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e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28"/>
  <workbookPr defaultThemeVersion="166925"/>
  <mc:AlternateContent xmlns:mc="http://schemas.openxmlformats.org/markup-compatibility/2006">
    <mc:Choice Requires="x15">
      <x15ac:absPath xmlns:x15ac="http://schemas.microsoft.com/office/spreadsheetml/2010/11/ac" url="D:\Données\1.UPRT\0-UPRT.fait\1-UPRT.FR-SITE-WEB\ff-fiches-fabrications\ff.fiches.fabrication.2023\ffr.restaurant.2023\"/>
    </mc:Choice>
  </mc:AlternateContent>
  <xr:revisionPtr revIDLastSave="0" documentId="13_ncr:1_{D77C1A5E-A169-4884-970C-D9BABE842E81}" xr6:coauthVersionLast="47" xr6:coauthVersionMax="47" xr10:uidLastSave="{00000000-0000-0000-0000-000000000000}"/>
  <bookViews>
    <workbookView xWindow="-120" yWindow="-120" windowWidth="29040" windowHeight="15720" firstSheet="3" activeTab="3" xr2:uid="{0A3504D5-6BD8-472D-8D6C-3D29C3829462}"/>
  </bookViews>
  <sheets>
    <sheet name="Nota.FR" sheetId="20" r:id="rId1"/>
    <sheet name="Note.EN" sheetId="21" r:id="rId2"/>
    <sheet name="Nota.ES" sheetId="22" r:id="rId3"/>
    <sheet name="Notice.utilisateur" sheetId="51" r:id="rId4"/>
    <sheet name="tableau.magique.29.11.2025" sheetId="79" r:id="rId5"/>
    <sheet name="Recette.Boudin.CEPROC.2002" sheetId="57" r:id="rId6"/>
    <sheet name="Recette.Boudin.Préformatée" sheetId="77" r:id="rId7"/>
    <sheet name="Fiche.préformatée" sheetId="76" r:id="rId8"/>
    <sheet name="Différents.&quot;Postits&quot;FR-EN-ES" sheetId="35" r:id="rId9"/>
    <sheet name="Répertoire.à.dupliquer" sheetId="58" r:id="rId10"/>
    <sheet name="Identité.FR-EN-ES" sheetId="13" r:id="rId11"/>
    <sheet name="Répertoire.15.col.C" sheetId="59" r:id="rId12"/>
    <sheet name="Répertoire.15.col.E" sheetId="61" r:id="rId13"/>
    <sheet name="Répertoire.15.col.N" sheetId="69" r:id="rId14"/>
    <sheet name="Répertoire.15.col.O" sheetId="70" r:id="rId15"/>
    <sheet name="Répertoire.15.col.P" sheetId="60" r:id="rId16"/>
    <sheet name="Répertoire.15.col.S" sheetId="71" r:id="rId17"/>
    <sheet name="Répertoire.15.col.T" sheetId="15" r:id="rId18"/>
    <sheet name="Traductions.FR-EN-ES" sheetId="2" r:id="rId19"/>
    <sheet name="quelques.traductions" sheetId="68" r:id="rId20"/>
    <sheet name="Vocabulaire.2025" sheetId="78" r:id="rId21"/>
    <sheet name="Transmission des savoirs.2025" sheetId="50" r:id="rId22"/>
    <sheet name="peser.sans.balance.31.01.2025" sheetId="52" r:id="rId23"/>
    <sheet name="ChatGPT" sheetId="40" r:id="rId24"/>
    <sheet name="aides cuisine" sheetId="53" r:id="rId25"/>
    <sheet name="pourcentages" sheetId="54" r:id="rId26"/>
    <sheet name="Couleurs" sheetId="55" r:id="rId27"/>
  </sheets>
  <externalReferences>
    <externalReference r:id="rId28"/>
    <externalReference r:id="rId29"/>
  </externalReferences>
  <definedNames>
    <definedName name="_xlnm._FilterDatabase" localSheetId="26" hidden="1">Couleurs!#REF!</definedName>
    <definedName name="_xlnm._FilterDatabase" localSheetId="3" hidden="1">Notice.utilisateur!#REF!</definedName>
    <definedName name="_xlnm._FilterDatabase" localSheetId="22" hidden="1">'peser.sans.balance.31.01.2025'!#REF!</definedName>
    <definedName name="Bananes">[1]!tbl_TypeFruit6[Bananes]</definedName>
    <definedName name="CatCodes">[2]Listes!$A$2:$A$7</definedName>
    <definedName name="Citrons">[1]!tbl_TypeFruit5[Citrons]</definedName>
    <definedName name="date">#REF!</definedName>
    <definedName name="Feries">#REF!</definedName>
    <definedName name="Frais_de_port">1.25</definedName>
    <definedName name="grp_AccoladeVisite">"shp_BraceBottom,txt_WalkMeBrace,shp_BraceLeft"</definedName>
    <definedName name="grp_FlèchesVisite">"shp_ArrowCurved,txt_WalkMeArrows,shp_ArrowStraight"</definedName>
    <definedName name="lst_TypeFruit">[1]!tbl_TypeFruit[Pommes]</definedName>
    <definedName name="matriceFeuilles">"lire.classeur(1)"</definedName>
    <definedName name="mois">#REF!</definedName>
    <definedName name="Oranges">[1]!tbl_TypeFruit4[Oranges]</definedName>
    <definedName name="Pommes">[1]!tbl_TypeFruit[Pommes]</definedName>
    <definedName name="TaxeVente">0.0825</definedName>
    <definedName name="X_Werte">OFFSET(#REF!,1,0,COUNTA(#REF!),1)</definedName>
    <definedName name="Y1_Werte">OFFSET(#REF!,1,0,COUNT(#REF!),1)</definedName>
    <definedName name="Y2_Werte">OFFSET(#REF!,1,0,COUNT(#REF!),1)</definedName>
    <definedName name="_xlnm.Print_Area" localSheetId="7">Fiche.préformatée!$AE$5:$BD$550</definedName>
    <definedName name="_xlnm.Print_Area" localSheetId="6">'Recette.Boudin.Préformatée'!$AE$5:$BD$550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Q28" i="79" l="1"/>
  <c r="V300" i="79"/>
  <c r="T300" i="79"/>
  <c r="M296" i="79"/>
  <c r="M295" i="79"/>
  <c r="M294" i="79"/>
  <c r="M290" i="79"/>
  <c r="M288" i="79"/>
  <c r="M289" i="79" s="1"/>
  <c r="N288" i="79" s="1"/>
  <c r="O288" i="79" s="1"/>
  <c r="N289" i="79" s="1"/>
  <c r="M284" i="79"/>
  <c r="M283" i="79"/>
  <c r="N282" i="79"/>
  <c r="M282" i="79"/>
  <c r="M278" i="79"/>
  <c r="P276" i="79"/>
  <c r="M276" i="79"/>
  <c r="M277" i="79" s="1"/>
  <c r="N276" i="79" s="1"/>
  <c r="M272" i="79"/>
  <c r="N270" i="79"/>
  <c r="M270" i="79"/>
  <c r="M271" i="79" s="1"/>
  <c r="M266" i="79"/>
  <c r="M264" i="79"/>
  <c r="M265" i="79" s="1"/>
  <c r="M260" i="79"/>
  <c r="M258" i="79"/>
  <c r="M259" i="79" s="1"/>
  <c r="N258" i="79" s="1"/>
  <c r="M254" i="79"/>
  <c r="P252" i="79"/>
  <c r="N252" i="79"/>
  <c r="O252" i="79" s="1"/>
  <c r="N253" i="79" s="1"/>
  <c r="M252" i="79"/>
  <c r="M253" i="79" s="1"/>
  <c r="M248" i="79"/>
  <c r="N246" i="79"/>
  <c r="M246" i="79"/>
  <c r="M247" i="79" s="1"/>
  <c r="M242" i="79"/>
  <c r="M241" i="79"/>
  <c r="N240" i="79" s="1"/>
  <c r="M240" i="79"/>
  <c r="M236" i="79"/>
  <c r="M234" i="79"/>
  <c r="M235" i="79" s="1"/>
  <c r="N234" i="79" s="1"/>
  <c r="M230" i="79"/>
  <c r="P228" i="79"/>
  <c r="M228" i="79"/>
  <c r="M229" i="79" s="1"/>
  <c r="N228" i="79" s="1"/>
  <c r="O228" i="79" s="1"/>
  <c r="N229" i="79" s="1"/>
  <c r="M224" i="79"/>
  <c r="M223" i="79"/>
  <c r="N222" i="79" s="1"/>
  <c r="M222" i="79"/>
  <c r="M218" i="79"/>
  <c r="M217" i="79"/>
  <c r="N216" i="79" s="1"/>
  <c r="I216" i="79" s="1"/>
  <c r="P216" i="79"/>
  <c r="O216" i="79"/>
  <c r="N217" i="79" s="1"/>
  <c r="M216" i="79"/>
  <c r="M212" i="79"/>
  <c r="M210" i="79"/>
  <c r="M211" i="79" s="1"/>
  <c r="N210" i="79" s="1"/>
  <c r="M206" i="79"/>
  <c r="N204" i="79"/>
  <c r="M204" i="79"/>
  <c r="M205" i="79" s="1"/>
  <c r="M200" i="79"/>
  <c r="M199" i="79"/>
  <c r="N198" i="79" s="1"/>
  <c r="M198" i="79"/>
  <c r="M194" i="79"/>
  <c r="P192" i="79"/>
  <c r="M192" i="79"/>
  <c r="M193" i="79" s="1"/>
  <c r="N192" i="79" s="1"/>
  <c r="I192" i="79" s="1"/>
  <c r="M188" i="79"/>
  <c r="M187" i="79"/>
  <c r="N186" i="79" s="1"/>
  <c r="M186" i="79"/>
  <c r="M182" i="79"/>
  <c r="M180" i="79"/>
  <c r="M181" i="79" s="1"/>
  <c r="M176" i="79"/>
  <c r="M174" i="79"/>
  <c r="M175" i="79" s="1"/>
  <c r="N174" i="79" s="1"/>
  <c r="M170" i="79"/>
  <c r="M168" i="79"/>
  <c r="M169" i="79" s="1"/>
  <c r="N168" i="79" s="1"/>
  <c r="M164" i="79"/>
  <c r="N163" i="79"/>
  <c r="I163" i="79" s="1"/>
  <c r="N162" i="79"/>
  <c r="O162" i="79" s="1"/>
  <c r="M162" i="79"/>
  <c r="M163" i="79" s="1"/>
  <c r="I162" i="79"/>
  <c r="M158" i="79"/>
  <c r="M156" i="79"/>
  <c r="M157" i="79" s="1"/>
  <c r="N156" i="79" s="1"/>
  <c r="M152" i="79"/>
  <c r="M150" i="79"/>
  <c r="M151" i="79" s="1"/>
  <c r="N150" i="79" s="1"/>
  <c r="M146" i="79"/>
  <c r="M145" i="79"/>
  <c r="N144" i="79" s="1"/>
  <c r="M144" i="79"/>
  <c r="M140" i="79"/>
  <c r="M139" i="79"/>
  <c r="N138" i="79" s="1"/>
  <c r="O138" i="79" s="1"/>
  <c r="N139" i="79" s="1"/>
  <c r="M138" i="79"/>
  <c r="I138" i="79"/>
  <c r="M134" i="79"/>
  <c r="M133" i="79"/>
  <c r="N132" i="79" s="1"/>
  <c r="M132" i="79"/>
  <c r="M128" i="79"/>
  <c r="M126" i="79"/>
  <c r="M127" i="79" s="1"/>
  <c r="N126" i="79" s="1"/>
  <c r="M122" i="79"/>
  <c r="M120" i="79"/>
  <c r="M121" i="79" s="1"/>
  <c r="N120" i="79" s="1"/>
  <c r="M116" i="79"/>
  <c r="N114" i="79"/>
  <c r="M114" i="79"/>
  <c r="M115" i="79" s="1"/>
  <c r="M110" i="79"/>
  <c r="M109" i="79"/>
  <c r="P108" i="79"/>
  <c r="N108" i="79"/>
  <c r="M108" i="79"/>
  <c r="M104" i="79"/>
  <c r="M103" i="79"/>
  <c r="N102" i="79" s="1"/>
  <c r="M102" i="79"/>
  <c r="M98" i="79"/>
  <c r="P96" i="79"/>
  <c r="N96" i="79"/>
  <c r="O96" i="79" s="1"/>
  <c r="N97" i="79" s="1"/>
  <c r="M96" i="79"/>
  <c r="M97" i="79" s="1"/>
  <c r="M92" i="79"/>
  <c r="M91" i="79"/>
  <c r="N90" i="79" s="1"/>
  <c r="O90" i="79" s="1"/>
  <c r="N91" i="79" s="1"/>
  <c r="P90" i="79"/>
  <c r="M90" i="79"/>
  <c r="M86" i="79"/>
  <c r="M84" i="79"/>
  <c r="M85" i="79" s="1"/>
  <c r="N84" i="79" s="1"/>
  <c r="M80" i="79"/>
  <c r="M79" i="79"/>
  <c r="N78" i="79" s="1"/>
  <c r="P78" i="79"/>
  <c r="M78" i="79"/>
  <c r="E76" i="79"/>
  <c r="E75" i="79" s="1"/>
  <c r="D76" i="79"/>
  <c r="C76" i="79"/>
  <c r="B76" i="79"/>
  <c r="R74" i="79"/>
  <c r="Q74" i="79"/>
  <c r="P74" i="79"/>
  <c r="M74" i="79"/>
  <c r="F74" i="79"/>
  <c r="P294" i="79" s="1"/>
  <c r="D74" i="79"/>
  <c r="C74" i="79"/>
  <c r="R73" i="79"/>
  <c r="Q73" i="79"/>
  <c r="P73" i="79"/>
  <c r="F73" i="79"/>
  <c r="P288" i="79" s="1"/>
  <c r="D73" i="79"/>
  <c r="C73" i="79"/>
  <c r="R72" i="79"/>
  <c r="Q72" i="79"/>
  <c r="N72" i="79"/>
  <c r="M72" i="79"/>
  <c r="M73" i="79" s="1"/>
  <c r="F72" i="79"/>
  <c r="P282" i="79" s="1"/>
  <c r="D72" i="79"/>
  <c r="C72" i="79"/>
  <c r="R71" i="79"/>
  <c r="Q71" i="79"/>
  <c r="P71" i="79"/>
  <c r="F71" i="79"/>
  <c r="D71" i="79"/>
  <c r="C71" i="79"/>
  <c r="P70" i="79"/>
  <c r="F70" i="79"/>
  <c r="P270" i="79" s="1"/>
  <c r="D70" i="79"/>
  <c r="C70" i="79"/>
  <c r="P69" i="79"/>
  <c r="F69" i="79"/>
  <c r="P264" i="79" s="1"/>
  <c r="D69" i="79"/>
  <c r="C69" i="79"/>
  <c r="P68" i="79"/>
  <c r="M68" i="79"/>
  <c r="N66" i="79" s="1"/>
  <c r="F68" i="79"/>
  <c r="P258" i="79" s="1"/>
  <c r="D68" i="79"/>
  <c r="Q68" i="79" s="1"/>
  <c r="C68" i="79"/>
  <c r="P67" i="79"/>
  <c r="M67" i="79"/>
  <c r="F67" i="79"/>
  <c r="D67" i="79"/>
  <c r="C67" i="79"/>
  <c r="M66" i="79"/>
  <c r="F66" i="79"/>
  <c r="P246" i="79" s="1"/>
  <c r="D66" i="79"/>
  <c r="Q66" i="79" s="1"/>
  <c r="C66" i="79"/>
  <c r="R65" i="79"/>
  <c r="Q65" i="79"/>
  <c r="P65" i="79"/>
  <c r="F65" i="79"/>
  <c r="P240" i="79" s="1"/>
  <c r="D65" i="79"/>
  <c r="C65" i="79"/>
  <c r="R64" i="79"/>
  <c r="Q64" i="79"/>
  <c r="P64" i="79"/>
  <c r="F64" i="79"/>
  <c r="P234" i="79" s="1"/>
  <c r="D64" i="79"/>
  <c r="C64" i="79"/>
  <c r="P63" i="79"/>
  <c r="F63" i="79"/>
  <c r="D63" i="79"/>
  <c r="C63" i="79"/>
  <c r="P62" i="79"/>
  <c r="M62" i="79"/>
  <c r="F62" i="79"/>
  <c r="P222" i="79" s="1"/>
  <c r="D62" i="79"/>
  <c r="C62" i="79"/>
  <c r="R61" i="79"/>
  <c r="Q61" i="79"/>
  <c r="P61" i="79"/>
  <c r="M61" i="79"/>
  <c r="N60" i="79" s="1"/>
  <c r="O60" i="79" s="1"/>
  <c r="N61" i="79" s="1"/>
  <c r="F61" i="79"/>
  <c r="D61" i="79"/>
  <c r="C61" i="79"/>
  <c r="R60" i="79"/>
  <c r="Q60" i="79"/>
  <c r="M60" i="79"/>
  <c r="F60" i="79"/>
  <c r="P210" i="79" s="1"/>
  <c r="D60" i="79"/>
  <c r="C60" i="79"/>
  <c r="P59" i="79"/>
  <c r="F59" i="79"/>
  <c r="P204" i="79" s="1"/>
  <c r="D59" i="79"/>
  <c r="C59" i="79"/>
  <c r="R58" i="79"/>
  <c r="Q58" i="79"/>
  <c r="P58" i="79"/>
  <c r="F58" i="79"/>
  <c r="P198" i="79" s="1"/>
  <c r="D58" i="79"/>
  <c r="C58" i="79"/>
  <c r="R57" i="79"/>
  <c r="Q57" i="79"/>
  <c r="P57" i="79"/>
  <c r="F57" i="79"/>
  <c r="D57" i="79"/>
  <c r="C57" i="79"/>
  <c r="P56" i="79"/>
  <c r="M56" i="79"/>
  <c r="F56" i="79"/>
  <c r="P186" i="79" s="1"/>
  <c r="D56" i="79"/>
  <c r="C56" i="79"/>
  <c r="P55" i="79"/>
  <c r="F55" i="79"/>
  <c r="P180" i="79" s="1"/>
  <c r="D55" i="79"/>
  <c r="C55" i="79"/>
  <c r="R54" i="79"/>
  <c r="Q54" i="79"/>
  <c r="M54" i="79"/>
  <c r="M55" i="79" s="1"/>
  <c r="F54" i="79"/>
  <c r="P174" i="79" s="1"/>
  <c r="D54" i="79"/>
  <c r="C54" i="79"/>
  <c r="R53" i="79"/>
  <c r="Q53" i="79"/>
  <c r="P53" i="79"/>
  <c r="F53" i="79"/>
  <c r="P168" i="79" s="1"/>
  <c r="D53" i="79"/>
  <c r="C53" i="79"/>
  <c r="P52" i="79"/>
  <c r="F52" i="79"/>
  <c r="P162" i="79" s="1"/>
  <c r="D52" i="79"/>
  <c r="C52" i="79"/>
  <c r="P51" i="79"/>
  <c r="F51" i="79"/>
  <c r="P156" i="79" s="1"/>
  <c r="D51" i="79"/>
  <c r="Q51" i="79" s="1"/>
  <c r="C51" i="79"/>
  <c r="R50" i="79"/>
  <c r="Q50" i="79"/>
  <c r="P50" i="79"/>
  <c r="M50" i="79"/>
  <c r="F50" i="79"/>
  <c r="P150" i="79" s="1"/>
  <c r="D50" i="79"/>
  <c r="C50" i="79"/>
  <c r="Q49" i="79"/>
  <c r="P49" i="79"/>
  <c r="M49" i="79"/>
  <c r="N48" i="79" s="1"/>
  <c r="F49" i="79"/>
  <c r="P144" i="79" s="1"/>
  <c r="D49" i="79"/>
  <c r="R49" i="79" s="1"/>
  <c r="C49" i="79"/>
  <c r="Q48" i="79"/>
  <c r="M48" i="79"/>
  <c r="F48" i="79"/>
  <c r="P138" i="79" s="1"/>
  <c r="D48" i="79"/>
  <c r="R48" i="79" s="1"/>
  <c r="C48" i="79"/>
  <c r="P47" i="79"/>
  <c r="F47" i="79"/>
  <c r="P132" i="79" s="1"/>
  <c r="D47" i="79"/>
  <c r="C47" i="79"/>
  <c r="P46" i="79"/>
  <c r="F46" i="79"/>
  <c r="P126" i="79" s="1"/>
  <c r="D46" i="79"/>
  <c r="C46" i="79"/>
  <c r="R45" i="79"/>
  <c r="Q45" i="79"/>
  <c r="P45" i="79"/>
  <c r="F45" i="79"/>
  <c r="P120" i="79" s="1"/>
  <c r="D45" i="79"/>
  <c r="C45" i="79"/>
  <c r="R44" i="79"/>
  <c r="Q44" i="79"/>
  <c r="P44" i="79"/>
  <c r="M44" i="79"/>
  <c r="F44" i="79"/>
  <c r="P114" i="79" s="1"/>
  <c r="D44" i="79"/>
  <c r="C44" i="79"/>
  <c r="R43" i="79"/>
  <c r="P43" i="79"/>
  <c r="F43" i="79"/>
  <c r="D43" i="79"/>
  <c r="Q43" i="79" s="1"/>
  <c r="C43" i="79"/>
  <c r="P42" i="79"/>
  <c r="M42" i="79"/>
  <c r="M43" i="79" s="1"/>
  <c r="N42" i="79" s="1"/>
  <c r="O42" i="79" s="1"/>
  <c r="N43" i="79" s="1"/>
  <c r="I42" i="79"/>
  <c r="F42" i="79"/>
  <c r="P102" i="79" s="1"/>
  <c r="D42" i="79"/>
  <c r="C42" i="79"/>
  <c r="P41" i="79"/>
  <c r="F41" i="79"/>
  <c r="D41" i="79"/>
  <c r="C41" i="79"/>
  <c r="P40" i="79"/>
  <c r="F40" i="79"/>
  <c r="D40" i="79"/>
  <c r="C40" i="79"/>
  <c r="R39" i="79"/>
  <c r="Q39" i="79"/>
  <c r="P39" i="79"/>
  <c r="F39" i="79"/>
  <c r="P84" i="79" s="1"/>
  <c r="D39" i="79"/>
  <c r="C39" i="79"/>
  <c r="R38" i="79"/>
  <c r="P38" i="79"/>
  <c r="M38" i="79"/>
  <c r="F38" i="79"/>
  <c r="D38" i="79"/>
  <c r="Q38" i="79" s="1"/>
  <c r="C38" i="79"/>
  <c r="P37" i="79"/>
  <c r="M37" i="79"/>
  <c r="N36" i="79" s="1"/>
  <c r="F37" i="79"/>
  <c r="P72" i="79" s="1"/>
  <c r="D37" i="79"/>
  <c r="C37" i="79"/>
  <c r="M36" i="79"/>
  <c r="F36" i="79"/>
  <c r="P66" i="79" s="1"/>
  <c r="D36" i="79"/>
  <c r="C36" i="79"/>
  <c r="P35" i="79"/>
  <c r="F35" i="79"/>
  <c r="P60" i="79" s="1"/>
  <c r="D35" i="79"/>
  <c r="C35" i="79"/>
  <c r="R34" i="79"/>
  <c r="Q34" i="79"/>
  <c r="P34" i="79"/>
  <c r="F34" i="79"/>
  <c r="P54" i="79" s="1"/>
  <c r="D34" i="79"/>
  <c r="C34" i="79"/>
  <c r="R33" i="79"/>
  <c r="Q33" i="79"/>
  <c r="P33" i="79"/>
  <c r="F33" i="79"/>
  <c r="P48" i="79" s="1"/>
  <c r="D33" i="79"/>
  <c r="C33" i="79"/>
  <c r="Q32" i="79"/>
  <c r="P32" i="79"/>
  <c r="M32" i="79"/>
  <c r="F32" i="79"/>
  <c r="D32" i="79"/>
  <c r="R32" i="79" s="1"/>
  <c r="C32" i="79"/>
  <c r="R31" i="79"/>
  <c r="Q31" i="79"/>
  <c r="P31" i="79"/>
  <c r="F31" i="79"/>
  <c r="P36" i="79" s="1"/>
  <c r="D31" i="79"/>
  <c r="C31" i="79"/>
  <c r="M30" i="79"/>
  <c r="M31" i="79" s="1"/>
  <c r="N30" i="79" s="1"/>
  <c r="O30" i="79" s="1"/>
  <c r="N31" i="79" s="1"/>
  <c r="F30" i="79"/>
  <c r="P30" i="79" s="1"/>
  <c r="D30" i="79"/>
  <c r="C30" i="79"/>
  <c r="E29" i="79"/>
  <c r="J26" i="79"/>
  <c r="E26" i="79"/>
  <c r="E17" i="79"/>
  <c r="J10" i="79"/>
  <c r="U7" i="79"/>
  <c r="R7" i="79"/>
  <c r="K7" i="79"/>
  <c r="U6" i="79"/>
  <c r="V3" i="79"/>
  <c r="J2" i="79"/>
  <c r="E2" i="79"/>
  <c r="V1" i="79"/>
  <c r="U1" i="79"/>
  <c r="R1" i="79"/>
  <c r="Q1" i="79"/>
  <c r="P1" i="79"/>
  <c r="O1" i="79"/>
  <c r="N1" i="79"/>
  <c r="M1" i="79"/>
  <c r="L1" i="79"/>
  <c r="K1" i="79"/>
  <c r="J1" i="79"/>
  <c r="I1" i="79"/>
  <c r="H1" i="79"/>
  <c r="G1" i="79"/>
  <c r="F1" i="79"/>
  <c r="E1" i="79"/>
  <c r="D1" i="79"/>
  <c r="C1" i="79"/>
  <c r="B1" i="79"/>
  <c r="A1" i="79"/>
  <c r="J8" i="79" l="1"/>
  <c r="O97" i="79"/>
  <c r="N98" i="79" s="1"/>
  <c r="O31" i="79"/>
  <c r="N32" i="79" s="1"/>
  <c r="I31" i="79"/>
  <c r="O102" i="79"/>
  <c r="N103" i="79" s="1"/>
  <c r="O78" i="79"/>
  <c r="N79" i="79" s="1"/>
  <c r="O36" i="79"/>
  <c r="N37" i="79" s="1"/>
  <c r="I120" i="79"/>
  <c r="O120" i="79"/>
  <c r="N121" i="79" s="1"/>
  <c r="O174" i="79"/>
  <c r="N175" i="79" s="1"/>
  <c r="I174" i="79"/>
  <c r="I168" i="79"/>
  <c r="O168" i="79"/>
  <c r="N169" i="79" s="1"/>
  <c r="O43" i="79"/>
  <c r="N44" i="79" s="1"/>
  <c r="I43" i="79"/>
  <c r="O258" i="79"/>
  <c r="N259" i="79" s="1"/>
  <c r="I258" i="79"/>
  <c r="O156" i="79"/>
  <c r="N157" i="79" s="1"/>
  <c r="I156" i="79"/>
  <c r="O217" i="79"/>
  <c r="N218" i="79" s="1"/>
  <c r="I217" i="79"/>
  <c r="O144" i="79"/>
  <c r="N145" i="79" s="1"/>
  <c r="I144" i="79"/>
  <c r="O48" i="79"/>
  <c r="N49" i="79" s="1"/>
  <c r="O61" i="79"/>
  <c r="N62" i="79" s="1"/>
  <c r="O253" i="79"/>
  <c r="N254" i="79" s="1"/>
  <c r="I253" i="79"/>
  <c r="O204" i="79"/>
  <c r="N205" i="79" s="1"/>
  <c r="I204" i="79"/>
  <c r="O150" i="79"/>
  <c r="N151" i="79" s="1"/>
  <c r="I150" i="79"/>
  <c r="Q40" i="79"/>
  <c r="R40" i="79"/>
  <c r="O84" i="79"/>
  <c r="N85" i="79" s="1"/>
  <c r="I30" i="79"/>
  <c r="O114" i="79"/>
  <c r="N115" i="79" s="1"/>
  <c r="I114" i="79"/>
  <c r="O246" i="79"/>
  <c r="N247" i="79" s="1"/>
  <c r="I246" i="79"/>
  <c r="O108" i="79"/>
  <c r="N109" i="79" s="1"/>
  <c r="I276" i="79"/>
  <c r="O276" i="79"/>
  <c r="N277" i="79" s="1"/>
  <c r="Q55" i="79"/>
  <c r="R55" i="79"/>
  <c r="O192" i="79"/>
  <c r="N193" i="79" s="1"/>
  <c r="R36" i="79"/>
  <c r="Q36" i="79"/>
  <c r="R46" i="79"/>
  <c r="Q46" i="79"/>
  <c r="R59" i="79"/>
  <c r="Q59" i="79"/>
  <c r="I252" i="79"/>
  <c r="R41" i="79"/>
  <c r="Q41" i="79"/>
  <c r="R51" i="79"/>
  <c r="O240" i="79"/>
  <c r="N241" i="79" s="1"/>
  <c r="I240" i="79"/>
  <c r="N294" i="79"/>
  <c r="R52" i="79"/>
  <c r="Q52" i="79"/>
  <c r="R66" i="79"/>
  <c r="O234" i="79"/>
  <c r="N235" i="79" s="1"/>
  <c r="I234" i="79"/>
  <c r="R70" i="79"/>
  <c r="Q70" i="79"/>
  <c r="I139" i="79"/>
  <c r="O139" i="79"/>
  <c r="N140" i="79" s="1"/>
  <c r="R68" i="79"/>
  <c r="O163" i="79"/>
  <c r="N164" i="79" s="1"/>
  <c r="O186" i="79"/>
  <c r="N187" i="79" s="1"/>
  <c r="I186" i="79"/>
  <c r="O210" i="79"/>
  <c r="N211" i="79" s="1"/>
  <c r="I210" i="79"/>
  <c r="I288" i="79"/>
  <c r="R56" i="79"/>
  <c r="Q56" i="79"/>
  <c r="R30" i="79"/>
  <c r="Q30" i="79"/>
  <c r="R47" i="79"/>
  <c r="Q47" i="79"/>
  <c r="O289" i="79"/>
  <c r="N290" i="79" s="1"/>
  <c r="I289" i="79"/>
  <c r="O132" i="79"/>
  <c r="N133" i="79" s="1"/>
  <c r="I132" i="79"/>
  <c r="Q42" i="79"/>
  <c r="R42" i="79"/>
  <c r="R67" i="79"/>
  <c r="Q67" i="79"/>
  <c r="I228" i="79"/>
  <c r="O222" i="79"/>
  <c r="N223" i="79" s="1"/>
  <c r="I222" i="79"/>
  <c r="O66" i="79"/>
  <c r="N67" i="79" s="1"/>
  <c r="O270" i="79"/>
  <c r="N271" i="79" s="1"/>
  <c r="I270" i="79"/>
  <c r="N54" i="79"/>
  <c r="O91" i="79"/>
  <c r="N92" i="79" s="1"/>
  <c r="O198" i="79"/>
  <c r="N199" i="79" s="1"/>
  <c r="I198" i="79"/>
  <c r="R63" i="79"/>
  <c r="Q63" i="79"/>
  <c r="O126" i="79"/>
  <c r="N127" i="79" s="1"/>
  <c r="I126" i="79"/>
  <c r="R35" i="79"/>
  <c r="Q35" i="79"/>
  <c r="R37" i="79"/>
  <c r="Q37" i="79"/>
  <c r="N180" i="79"/>
  <c r="O229" i="79"/>
  <c r="N230" i="79" s="1"/>
  <c r="I229" i="79"/>
  <c r="N264" i="79"/>
  <c r="O282" i="79"/>
  <c r="N283" i="79" s="1"/>
  <c r="I282" i="79"/>
  <c r="R62" i="79"/>
  <c r="Q62" i="79"/>
  <c r="R69" i="79"/>
  <c r="Q69" i="79"/>
  <c r="O72" i="79"/>
  <c r="N73" i="79" s="1"/>
  <c r="I49" i="79" l="1"/>
  <c r="O49" i="79"/>
  <c r="N50" i="79" s="1"/>
  <c r="I230" i="79"/>
  <c r="O230" i="79"/>
  <c r="N231" i="79" s="1"/>
  <c r="O145" i="79"/>
  <c r="N146" i="79" s="1"/>
  <c r="I145" i="79"/>
  <c r="O37" i="79"/>
  <c r="N38" i="79" s="1"/>
  <c r="I37" i="79"/>
  <c r="O180" i="79"/>
  <c r="N181" i="79" s="1"/>
  <c r="I180" i="79"/>
  <c r="O271" i="79"/>
  <c r="N272" i="79" s="1"/>
  <c r="I271" i="79"/>
  <c r="O235" i="79"/>
  <c r="N236" i="79" s="1"/>
  <c r="I235" i="79"/>
  <c r="O85" i="79"/>
  <c r="N86" i="79" s="1"/>
  <c r="O199" i="79"/>
  <c r="N200" i="79" s="1"/>
  <c r="I199" i="79"/>
  <c r="O92" i="79"/>
  <c r="N93" i="79" s="1"/>
  <c r="I92" i="79"/>
  <c r="O54" i="79"/>
  <c r="N55" i="79" s="1"/>
  <c r="I54" i="79"/>
  <c r="I254" i="79"/>
  <c r="O254" i="79"/>
  <c r="N255" i="79" s="1"/>
  <c r="O175" i="79"/>
  <c r="N176" i="79" s="1"/>
  <c r="I175" i="79"/>
  <c r="O283" i="79"/>
  <c r="N284" i="79" s="1"/>
  <c r="I283" i="79"/>
  <c r="O115" i="79"/>
  <c r="N116" i="79" s="1"/>
  <c r="I115" i="79"/>
  <c r="O157" i="79"/>
  <c r="N158" i="79" s="1"/>
  <c r="I157" i="79"/>
  <c r="I103" i="79"/>
  <c r="O103" i="79"/>
  <c r="N104" i="79" s="1"/>
  <c r="O62" i="79"/>
  <c r="N63" i="79" s="1"/>
  <c r="O121" i="79"/>
  <c r="N122" i="79" s="1"/>
  <c r="I121" i="79"/>
  <c r="O264" i="79"/>
  <c r="N265" i="79" s="1"/>
  <c r="I264" i="79"/>
  <c r="J30" i="79"/>
  <c r="O193" i="79"/>
  <c r="N194" i="79" s="1"/>
  <c r="I193" i="79"/>
  <c r="I223" i="79"/>
  <c r="O223" i="79"/>
  <c r="N224" i="79" s="1"/>
  <c r="O294" i="79"/>
  <c r="N295" i="79" s="1"/>
  <c r="I294" i="79"/>
  <c r="O277" i="79"/>
  <c r="N278" i="79" s="1"/>
  <c r="I277" i="79"/>
  <c r="O169" i="79"/>
  <c r="N170" i="79" s="1"/>
  <c r="I169" i="79"/>
  <c r="I140" i="79"/>
  <c r="O140" i="79"/>
  <c r="N141" i="79" s="1"/>
  <c r="O79" i="79"/>
  <c r="N80" i="79" s="1"/>
  <c r="O73" i="79"/>
  <c r="N74" i="79" s="1"/>
  <c r="O151" i="79"/>
  <c r="N152" i="79" s="1"/>
  <c r="I151" i="79"/>
  <c r="O259" i="79"/>
  <c r="N260" i="79" s="1"/>
  <c r="I259" i="79"/>
  <c r="O32" i="79"/>
  <c r="N33" i="79" s="1"/>
  <c r="I32" i="79"/>
  <c r="O187" i="79"/>
  <c r="N188" i="79" s="1"/>
  <c r="I187" i="79"/>
  <c r="O133" i="79"/>
  <c r="N134" i="79" s="1"/>
  <c r="I133" i="79"/>
  <c r="I218" i="79"/>
  <c r="O218" i="79"/>
  <c r="N219" i="79" s="1"/>
  <c r="I211" i="79"/>
  <c r="O211" i="79"/>
  <c r="N212" i="79" s="1"/>
  <c r="O241" i="79"/>
  <c r="N242" i="79" s="1"/>
  <c r="I241" i="79"/>
  <c r="I164" i="79"/>
  <c r="O164" i="79"/>
  <c r="N165" i="79" s="1"/>
  <c r="I247" i="79"/>
  <c r="O247" i="79"/>
  <c r="N248" i="79" s="1"/>
  <c r="I290" i="79"/>
  <c r="O290" i="79"/>
  <c r="N291" i="79" s="1"/>
  <c r="O67" i="79"/>
  <c r="N68" i="79" s="1"/>
  <c r="I67" i="79"/>
  <c r="I127" i="79"/>
  <c r="O127" i="79"/>
  <c r="N128" i="79" s="1"/>
  <c r="O109" i="79"/>
  <c r="N110" i="79" s="1"/>
  <c r="I109" i="79"/>
  <c r="O205" i="79"/>
  <c r="N206" i="79" s="1"/>
  <c r="I205" i="79"/>
  <c r="I44" i="79"/>
  <c r="O44" i="79"/>
  <c r="N45" i="79" s="1"/>
  <c r="O98" i="79"/>
  <c r="N99" i="79" s="1"/>
  <c r="I98" i="79"/>
  <c r="O295" i="79" l="1"/>
  <c r="N296" i="79" s="1"/>
  <c r="I295" i="79"/>
  <c r="I242" i="79"/>
  <c r="O242" i="79"/>
  <c r="N243" i="79" s="1"/>
  <c r="O80" i="79"/>
  <c r="N81" i="79" s="1"/>
  <c r="I80" i="79"/>
  <c r="I122" i="79"/>
  <c r="O122" i="79"/>
  <c r="N123" i="79" s="1"/>
  <c r="O55" i="79"/>
  <c r="N56" i="79" s="1"/>
  <c r="I55" i="79"/>
  <c r="I219" i="79"/>
  <c r="O219" i="79"/>
  <c r="N220" i="79" s="1"/>
  <c r="O63" i="79"/>
  <c r="N64" i="79" s="1"/>
  <c r="I63" i="79"/>
  <c r="I146" i="79"/>
  <c r="O146" i="79"/>
  <c r="N147" i="79" s="1"/>
  <c r="O272" i="79"/>
  <c r="N273" i="79" s="1"/>
  <c r="I272" i="79"/>
  <c r="O99" i="79"/>
  <c r="N100" i="79" s="1"/>
  <c r="I99" i="79"/>
  <c r="I45" i="79"/>
  <c r="O45" i="79"/>
  <c r="N46" i="79" s="1"/>
  <c r="O260" i="79"/>
  <c r="N261" i="79" s="1"/>
  <c r="I260" i="79"/>
  <c r="O152" i="79"/>
  <c r="N153" i="79" s="1"/>
  <c r="I152" i="79"/>
  <c r="I255" i="79"/>
  <c r="O255" i="79"/>
  <c r="N256" i="79" s="1"/>
  <c r="O265" i="79"/>
  <c r="N266" i="79" s="1"/>
  <c r="I265" i="79"/>
  <c r="I141" i="79"/>
  <c r="O141" i="79"/>
  <c r="N142" i="79" s="1"/>
  <c r="O200" i="79"/>
  <c r="N201" i="79" s="1"/>
  <c r="I200" i="79"/>
  <c r="I165" i="79"/>
  <c r="O165" i="79"/>
  <c r="N166" i="79" s="1"/>
  <c r="O176" i="79"/>
  <c r="N177" i="79" s="1"/>
  <c r="I176" i="79"/>
  <c r="O181" i="79"/>
  <c r="N182" i="79" s="1"/>
  <c r="I181" i="79"/>
  <c r="O110" i="79"/>
  <c r="N111" i="79" s="1"/>
  <c r="I110" i="79"/>
  <c r="O128" i="79"/>
  <c r="N129" i="79" s="1"/>
  <c r="I128" i="79"/>
  <c r="O93" i="79"/>
  <c r="N94" i="79" s="1"/>
  <c r="I93" i="79"/>
  <c r="O68" i="79"/>
  <c r="N69" i="79" s="1"/>
  <c r="I68" i="79"/>
  <c r="O104" i="79"/>
  <c r="N105" i="79" s="1"/>
  <c r="I104" i="79"/>
  <c r="I291" i="79"/>
  <c r="O291" i="79"/>
  <c r="N292" i="79" s="1"/>
  <c r="I134" i="79"/>
  <c r="O134" i="79"/>
  <c r="N135" i="79" s="1"/>
  <c r="I170" i="79"/>
  <c r="O170" i="79"/>
  <c r="N171" i="79" s="1"/>
  <c r="O224" i="79"/>
  <c r="N225" i="79" s="1"/>
  <c r="I224" i="79"/>
  <c r="I284" i="79"/>
  <c r="O284" i="79"/>
  <c r="N285" i="79" s="1"/>
  <c r="I194" i="79"/>
  <c r="O194" i="79"/>
  <c r="N195" i="79" s="1"/>
  <c r="O74" i="79"/>
  <c r="N75" i="79" s="1"/>
  <c r="I74" i="79"/>
  <c r="I158" i="79"/>
  <c r="O158" i="79"/>
  <c r="N159" i="79" s="1"/>
  <c r="I50" i="79"/>
  <c r="O50" i="79"/>
  <c r="N51" i="79" s="1"/>
  <c r="I33" i="79"/>
  <c r="O33" i="79"/>
  <c r="N34" i="79" s="1"/>
  <c r="I38" i="79"/>
  <c r="O38" i="79"/>
  <c r="N39" i="79" s="1"/>
  <c r="O248" i="79"/>
  <c r="N249" i="79" s="1"/>
  <c r="I248" i="79"/>
  <c r="O188" i="79"/>
  <c r="N189" i="79" s="1"/>
  <c r="I188" i="79"/>
  <c r="I278" i="79"/>
  <c r="O278" i="79"/>
  <c r="N279" i="79" s="1"/>
  <c r="H30" i="79"/>
  <c r="G30" i="79"/>
  <c r="I86" i="79"/>
  <c r="O86" i="79"/>
  <c r="N87" i="79" s="1"/>
  <c r="O236" i="79"/>
  <c r="N237" i="79" s="1"/>
  <c r="I236" i="79"/>
  <c r="I206" i="79"/>
  <c r="O206" i="79"/>
  <c r="N207" i="79" s="1"/>
  <c r="I212" i="79"/>
  <c r="O212" i="79"/>
  <c r="N213" i="79" s="1"/>
  <c r="O231" i="79"/>
  <c r="N232" i="79" s="1"/>
  <c r="I231" i="79"/>
  <c r="I116" i="79"/>
  <c r="O116" i="79"/>
  <c r="N117" i="79" s="1"/>
  <c r="I225" i="79" l="1"/>
  <c r="O225" i="79"/>
  <c r="N226" i="79" s="1"/>
  <c r="O34" i="79"/>
  <c r="N35" i="79" s="1"/>
  <c r="I34" i="79"/>
  <c r="I153" i="79"/>
  <c r="O153" i="79"/>
  <c r="N154" i="79" s="1"/>
  <c r="O171" i="79"/>
  <c r="N172" i="79" s="1"/>
  <c r="I171" i="79"/>
  <c r="I182" i="79"/>
  <c r="O182" i="79"/>
  <c r="N183" i="79" s="1"/>
  <c r="O135" i="79"/>
  <c r="N136" i="79" s="1"/>
  <c r="I135" i="79"/>
  <c r="I177" i="79"/>
  <c r="O177" i="79"/>
  <c r="N178" i="79" s="1"/>
  <c r="O232" i="79"/>
  <c r="N233" i="79" s="1"/>
  <c r="I232" i="79"/>
  <c r="O94" i="79"/>
  <c r="N95" i="79" s="1"/>
  <c r="I94" i="79"/>
  <c r="O256" i="79"/>
  <c r="N257" i="79" s="1"/>
  <c r="I256" i="79"/>
  <c r="I261" i="79"/>
  <c r="O261" i="79"/>
  <c r="N262" i="79" s="1"/>
  <c r="I159" i="79"/>
  <c r="O159" i="79"/>
  <c r="N160" i="79" s="1"/>
  <c r="O166" i="79"/>
  <c r="N167" i="79" s="1"/>
  <c r="I166" i="79"/>
  <c r="O279" i="79"/>
  <c r="N280" i="79" s="1"/>
  <c r="I279" i="79"/>
  <c r="O75" i="79"/>
  <c r="N76" i="79" s="1"/>
  <c r="I75" i="79"/>
  <c r="O243" i="79"/>
  <c r="N244" i="79" s="1"/>
  <c r="I243" i="79"/>
  <c r="O64" i="79"/>
  <c r="N65" i="79" s="1"/>
  <c r="I64" i="79"/>
  <c r="I129" i="79"/>
  <c r="O129" i="79"/>
  <c r="N130" i="79" s="1"/>
  <c r="O51" i="79"/>
  <c r="N52" i="79" s="1"/>
  <c r="I51" i="79"/>
  <c r="O195" i="79"/>
  <c r="N196" i="79" s="1"/>
  <c r="I195" i="79"/>
  <c r="I105" i="79"/>
  <c r="O105" i="79"/>
  <c r="N106" i="79" s="1"/>
  <c r="I201" i="79"/>
  <c r="O201" i="79"/>
  <c r="N202" i="79" s="1"/>
  <c r="I273" i="79"/>
  <c r="O273" i="79"/>
  <c r="N274" i="79" s="1"/>
  <c r="I266" i="79"/>
  <c r="O266" i="79"/>
  <c r="N267" i="79" s="1"/>
  <c r="O111" i="79"/>
  <c r="N112" i="79" s="1"/>
  <c r="I111" i="79"/>
  <c r="I117" i="79"/>
  <c r="O117" i="79"/>
  <c r="N118" i="79" s="1"/>
  <c r="O123" i="79"/>
  <c r="N124" i="79" s="1"/>
  <c r="I123" i="79"/>
  <c r="I189" i="79"/>
  <c r="O189" i="79"/>
  <c r="N190" i="79" s="1"/>
  <c r="I142" i="79"/>
  <c r="O142" i="79"/>
  <c r="N143" i="79" s="1"/>
  <c r="I147" i="79"/>
  <c r="O147" i="79"/>
  <c r="N148" i="79" s="1"/>
  <c r="I213" i="79"/>
  <c r="O213" i="79"/>
  <c r="N214" i="79" s="1"/>
  <c r="I207" i="79"/>
  <c r="O207" i="79"/>
  <c r="N208" i="79" s="1"/>
  <c r="I237" i="79"/>
  <c r="O237" i="79"/>
  <c r="N238" i="79" s="1"/>
  <c r="O87" i="79"/>
  <c r="N88" i="79" s="1"/>
  <c r="I87" i="79"/>
  <c r="O46" i="79"/>
  <c r="N47" i="79" s="1"/>
  <c r="I46" i="79"/>
  <c r="O100" i="79"/>
  <c r="N101" i="79" s="1"/>
  <c r="I100" i="79"/>
  <c r="I285" i="79"/>
  <c r="O285" i="79"/>
  <c r="N286" i="79" s="1"/>
  <c r="I69" i="79"/>
  <c r="O69" i="79"/>
  <c r="N70" i="79" s="1"/>
  <c r="I296" i="79"/>
  <c r="O296" i="79"/>
  <c r="N297" i="79" s="1"/>
  <c r="O39" i="79"/>
  <c r="N40" i="79" s="1"/>
  <c r="I39" i="79"/>
  <c r="O220" i="79"/>
  <c r="N221" i="79" s="1"/>
  <c r="I220" i="79"/>
  <c r="I56" i="79"/>
  <c r="O56" i="79"/>
  <c r="N57" i="79" s="1"/>
  <c r="O292" i="79"/>
  <c r="N293" i="79" s="1"/>
  <c r="I292" i="79"/>
  <c r="O81" i="79"/>
  <c r="N82" i="79" s="1"/>
  <c r="I81" i="79"/>
  <c r="I249" i="79"/>
  <c r="O249" i="79"/>
  <c r="N250" i="79" s="1"/>
  <c r="O82" i="79" l="1"/>
  <c r="N83" i="79" s="1"/>
  <c r="I82" i="79"/>
  <c r="O47" i="79"/>
  <c r="I47" i="79"/>
  <c r="O70" i="79"/>
  <c r="N71" i="79" s="1"/>
  <c r="I70" i="79"/>
  <c r="I88" i="79"/>
  <c r="O88" i="79"/>
  <c r="N89" i="79" s="1"/>
  <c r="O267" i="79"/>
  <c r="N268" i="79" s="1"/>
  <c r="I267" i="79"/>
  <c r="O172" i="79"/>
  <c r="N173" i="79" s="1"/>
  <c r="I172" i="79"/>
  <c r="O274" i="79"/>
  <c r="N275" i="79" s="1"/>
  <c r="I274" i="79"/>
  <c r="O244" i="79"/>
  <c r="N245" i="79" s="1"/>
  <c r="I244" i="79"/>
  <c r="O233" i="79"/>
  <c r="I233" i="79"/>
  <c r="O154" i="79"/>
  <c r="N155" i="79" s="1"/>
  <c r="I154" i="79"/>
  <c r="O178" i="79"/>
  <c r="N179" i="79" s="1"/>
  <c r="I178" i="79"/>
  <c r="O148" i="79"/>
  <c r="N149" i="79" s="1"/>
  <c r="I148" i="79"/>
  <c r="I297" i="79"/>
  <c r="O297" i="79"/>
  <c r="N298" i="79" s="1"/>
  <c r="O280" i="79"/>
  <c r="N281" i="79" s="1"/>
  <c r="I280" i="79"/>
  <c r="O257" i="79"/>
  <c r="I257" i="79"/>
  <c r="I190" i="79"/>
  <c r="O190" i="79"/>
  <c r="N191" i="79" s="1"/>
  <c r="O250" i="79"/>
  <c r="N251" i="79" s="1"/>
  <c r="I250" i="79"/>
  <c r="I202" i="79"/>
  <c r="O202" i="79"/>
  <c r="N203" i="79" s="1"/>
  <c r="I76" i="79"/>
  <c r="O76" i="79"/>
  <c r="N77" i="79" s="1"/>
  <c r="O262" i="79"/>
  <c r="N263" i="79" s="1"/>
  <c r="I262" i="79"/>
  <c r="I40" i="79"/>
  <c r="O40" i="79"/>
  <c r="N41" i="79" s="1"/>
  <c r="O52" i="79"/>
  <c r="N53" i="79" s="1"/>
  <c r="I52" i="79"/>
  <c r="O196" i="79"/>
  <c r="N197" i="79" s="1"/>
  <c r="I196" i="79"/>
  <c r="O130" i="79"/>
  <c r="N131" i="79" s="1"/>
  <c r="I130" i="79"/>
  <c r="O112" i="79"/>
  <c r="N113" i="79" s="1"/>
  <c r="I112" i="79"/>
  <c r="I183" i="79"/>
  <c r="O183" i="79"/>
  <c r="N184" i="79" s="1"/>
  <c r="O238" i="79"/>
  <c r="N239" i="79" s="1"/>
  <c r="I238" i="79"/>
  <c r="O160" i="79"/>
  <c r="N161" i="79" s="1"/>
  <c r="I160" i="79"/>
  <c r="O208" i="79"/>
  <c r="N209" i="79" s="1"/>
  <c r="I208" i="79"/>
  <c r="O35" i="79"/>
  <c r="I35" i="79"/>
  <c r="O143" i="79"/>
  <c r="I143" i="79"/>
  <c r="O136" i="79"/>
  <c r="N137" i="79" s="1"/>
  <c r="I136" i="79"/>
  <c r="O65" i="79"/>
  <c r="I65" i="79"/>
  <c r="O286" i="79"/>
  <c r="N287" i="79" s="1"/>
  <c r="I286" i="79"/>
  <c r="I106" i="79"/>
  <c r="O106" i="79"/>
  <c r="N107" i="79" s="1"/>
  <c r="I226" i="79"/>
  <c r="O226" i="79"/>
  <c r="N227" i="79" s="1"/>
  <c r="I293" i="79"/>
  <c r="O293" i="79"/>
  <c r="O167" i="79"/>
  <c r="I167" i="79"/>
  <c r="I95" i="79"/>
  <c r="O95" i="79"/>
  <c r="O57" i="79"/>
  <c r="N58" i="79" s="1"/>
  <c r="I57" i="79"/>
  <c r="O221" i="79"/>
  <c r="I221" i="79"/>
  <c r="O101" i="79"/>
  <c r="I101" i="79"/>
  <c r="O214" i="79"/>
  <c r="N215" i="79" s="1"/>
  <c r="I214" i="79"/>
  <c r="O124" i="79"/>
  <c r="N125" i="79" s="1"/>
  <c r="I124" i="79"/>
  <c r="O118" i="79"/>
  <c r="N119" i="79" s="1"/>
  <c r="I118" i="79"/>
  <c r="I197" i="79" l="1"/>
  <c r="O197" i="79"/>
  <c r="O227" i="79"/>
  <c r="I227" i="79"/>
  <c r="I125" i="79"/>
  <c r="O125" i="79"/>
  <c r="I281" i="79"/>
  <c r="O281" i="79"/>
  <c r="O239" i="79"/>
  <c r="I239" i="79"/>
  <c r="O89" i="79"/>
  <c r="I89" i="79"/>
  <c r="O41" i="79"/>
  <c r="I41" i="79"/>
  <c r="O215" i="79"/>
  <c r="I215" i="79"/>
  <c r="I173" i="79"/>
  <c r="O173" i="79"/>
  <c r="I36" i="79"/>
  <c r="O287" i="79"/>
  <c r="I287" i="79"/>
  <c r="O149" i="79"/>
  <c r="I149" i="79"/>
  <c r="O179" i="79"/>
  <c r="I179" i="79"/>
  <c r="I71" i="79"/>
  <c r="O71" i="79"/>
  <c r="O191" i="79"/>
  <c r="I191" i="79"/>
  <c r="I53" i="79"/>
  <c r="O53" i="79"/>
  <c r="O298" i="79"/>
  <c r="N299" i="79" s="1"/>
  <c r="I298" i="79"/>
  <c r="O184" i="79"/>
  <c r="N185" i="79" s="1"/>
  <c r="I184" i="79"/>
  <c r="O113" i="79"/>
  <c r="I113" i="79"/>
  <c r="O203" i="79"/>
  <c r="I203" i="79"/>
  <c r="I245" i="79"/>
  <c r="O245" i="79"/>
  <c r="I107" i="79"/>
  <c r="O107" i="79"/>
  <c r="O268" i="79"/>
  <c r="N269" i="79" s="1"/>
  <c r="I268" i="79"/>
  <c r="O263" i="79"/>
  <c r="I263" i="79"/>
  <c r="I58" i="79"/>
  <c r="O58" i="79"/>
  <c r="N59" i="79" s="1"/>
  <c r="I137" i="79"/>
  <c r="O137" i="79"/>
  <c r="O155" i="79"/>
  <c r="I155" i="79"/>
  <c r="O275" i="79"/>
  <c r="I275" i="79"/>
  <c r="I209" i="79"/>
  <c r="O209" i="79"/>
  <c r="O161" i="79"/>
  <c r="I161" i="79"/>
  <c r="O77" i="79"/>
  <c r="I77" i="79"/>
  <c r="O131" i="79"/>
  <c r="I131" i="79"/>
  <c r="O119" i="79"/>
  <c r="I119" i="79"/>
  <c r="O251" i="79"/>
  <c r="I251" i="79"/>
  <c r="I83" i="79"/>
  <c r="O83" i="79"/>
  <c r="O299" i="79" l="1"/>
  <c r="I299" i="79"/>
  <c r="J31" i="79"/>
  <c r="O269" i="79"/>
  <c r="I269" i="79"/>
  <c r="I59" i="79"/>
  <c r="O59" i="79"/>
  <c r="O185" i="79"/>
  <c r="I185" i="79"/>
  <c r="J32" i="79"/>
  <c r="I48" i="79"/>
  <c r="B31" i="79" l="1"/>
  <c r="H31" i="79"/>
  <c r="G31" i="79"/>
  <c r="I61" i="79"/>
  <c r="I60" i="79"/>
  <c r="G32" i="79"/>
  <c r="B32" i="79"/>
  <c r="H32" i="79"/>
  <c r="J34" i="79" l="1"/>
  <c r="I62" i="79"/>
  <c r="J35" i="79"/>
  <c r="H34" i="79" l="1"/>
  <c r="G34" i="79"/>
  <c r="B34" i="79"/>
  <c r="I66" i="79"/>
  <c r="H35" i="79"/>
  <c r="B35" i="79"/>
  <c r="G35" i="79"/>
  <c r="I72" i="79" l="1"/>
  <c r="J37" i="79"/>
  <c r="B37" i="79" l="1"/>
  <c r="H37" i="79"/>
  <c r="G37" i="79"/>
  <c r="I73" i="79"/>
  <c r="I78" i="79" l="1"/>
  <c r="J39" i="79"/>
  <c r="H39" i="79" l="1"/>
  <c r="G39" i="79"/>
  <c r="B39" i="79"/>
  <c r="I79" i="79"/>
  <c r="I84" i="79" l="1"/>
  <c r="I85" i="79" l="1"/>
  <c r="I90" i="79" s="1"/>
  <c r="I91" i="79" s="1"/>
  <c r="I96" i="79" s="1"/>
  <c r="I97" i="79" s="1"/>
  <c r="I102" i="79" s="1"/>
  <c r="I108" i="79" s="1"/>
  <c r="J224" i="79" s="1"/>
  <c r="J269" i="79"/>
  <c r="J80" i="79"/>
  <c r="H224" i="79" l="1"/>
  <c r="G224" i="79"/>
  <c r="G80" i="79"/>
  <c r="H80" i="79"/>
  <c r="J188" i="79"/>
  <c r="G269" i="79"/>
  <c r="H269" i="79"/>
  <c r="J181" i="79"/>
  <c r="J119" i="79"/>
  <c r="J192" i="79"/>
  <c r="J62" i="79"/>
  <c r="J268" i="79"/>
  <c r="J59" i="79"/>
  <c r="J43" i="79"/>
  <c r="J266" i="79"/>
  <c r="J33" i="79"/>
  <c r="J104" i="79"/>
  <c r="J280" i="79"/>
  <c r="J281" i="79"/>
  <c r="J261" i="79"/>
  <c r="J129" i="79"/>
  <c r="J263" i="79"/>
  <c r="J161" i="79"/>
  <c r="J136" i="79"/>
  <c r="J150" i="79"/>
  <c r="J105" i="79"/>
  <c r="J235" i="79"/>
  <c r="J47" i="79"/>
  <c r="J128" i="79"/>
  <c r="J198" i="79"/>
  <c r="J95" i="79"/>
  <c r="J97" i="79"/>
  <c r="J36" i="79"/>
  <c r="J221" i="79"/>
  <c r="J64" i="79"/>
  <c r="J284" i="79"/>
  <c r="J238" i="79"/>
  <c r="J81" i="79"/>
  <c r="J173" i="79"/>
  <c r="J206" i="79"/>
  <c r="J273" i="79"/>
  <c r="J99" i="79"/>
  <c r="J86" i="79"/>
  <c r="J260" i="79"/>
  <c r="J186" i="79"/>
  <c r="J295" i="79"/>
  <c r="J180" i="79"/>
  <c r="J242" i="79"/>
  <c r="J112" i="79"/>
  <c r="J89" i="79"/>
  <c r="J123" i="79"/>
  <c r="J274" i="79"/>
  <c r="J148" i="79"/>
  <c r="J74" i="79"/>
  <c r="J107" i="79"/>
  <c r="J172" i="79"/>
  <c r="J162" i="79"/>
  <c r="J124" i="79"/>
  <c r="J195" i="79"/>
  <c r="J147" i="79"/>
  <c r="J210" i="79"/>
  <c r="J69" i="79"/>
  <c r="J248" i="79"/>
  <c r="J78" i="79"/>
  <c r="J229" i="79"/>
  <c r="J45" i="79"/>
  <c r="J216" i="79"/>
  <c r="J169" i="79"/>
  <c r="J77" i="79"/>
  <c r="J101" i="79"/>
  <c r="J163" i="79"/>
  <c r="J58" i="79"/>
  <c r="J68" i="79"/>
  <c r="J109" i="79"/>
  <c r="J158" i="79"/>
  <c r="J131" i="79"/>
  <c r="J98" i="79"/>
  <c r="J145" i="79"/>
  <c r="J140" i="79"/>
  <c r="J226" i="79"/>
  <c r="J191" i="79"/>
  <c r="J213" i="79"/>
  <c r="J134" i="79"/>
  <c r="J120" i="79"/>
  <c r="J144" i="79"/>
  <c r="J117" i="79"/>
  <c r="J256" i="79"/>
  <c r="J170" i="79"/>
  <c r="J153" i="79"/>
  <c r="J90" i="79"/>
  <c r="J40" i="79"/>
  <c r="J177" i="79"/>
  <c r="J196" i="79"/>
  <c r="J185" i="79"/>
  <c r="J71" i="79"/>
  <c r="J114" i="79"/>
  <c r="J285" i="79"/>
  <c r="J52" i="79"/>
  <c r="J151" i="79"/>
  <c r="J258" i="79"/>
  <c r="J44" i="79"/>
  <c r="J91" i="79"/>
  <c r="J83" i="79"/>
  <c r="J259" i="79"/>
  <c r="J167" i="79"/>
  <c r="J73" i="79"/>
  <c r="J211" i="79"/>
  <c r="J41" i="79"/>
  <c r="J76" i="79"/>
  <c r="J65" i="79"/>
  <c r="J152" i="79"/>
  <c r="J55" i="79"/>
  <c r="J220" i="79"/>
  <c r="J175" i="79"/>
  <c r="J184" i="79"/>
  <c r="J149" i="79"/>
  <c r="J82" i="79"/>
  <c r="J168" i="79"/>
  <c r="J255" i="79"/>
  <c r="J54" i="79"/>
  <c r="J164" i="79"/>
  <c r="J272" i="79"/>
  <c r="J50" i="79"/>
  <c r="J264" i="79"/>
  <c r="J118" i="79"/>
  <c r="J203" i="79"/>
  <c r="J296" i="79"/>
  <c r="J121" i="79"/>
  <c r="J189" i="79"/>
  <c r="J243" i="79"/>
  <c r="J141" i="79"/>
  <c r="J96" i="79"/>
  <c r="J270" i="79"/>
  <c r="J156" i="79"/>
  <c r="J219" i="79"/>
  <c r="J282" i="79"/>
  <c r="J233" i="79"/>
  <c r="J287" i="79"/>
  <c r="J135" i="79"/>
  <c r="J116" i="79"/>
  <c r="J84" i="79"/>
  <c r="J283" i="79"/>
  <c r="J207" i="79"/>
  <c r="J230" i="79"/>
  <c r="J61" i="79"/>
  <c r="J100" i="79"/>
  <c r="J85" i="79"/>
  <c r="J288" i="79"/>
  <c r="J176" i="79"/>
  <c r="J187" i="79"/>
  <c r="J245" i="79"/>
  <c r="J75" i="79"/>
  <c r="J57" i="79"/>
  <c r="J138" i="79"/>
  <c r="J182" i="79"/>
  <c r="J231" i="79"/>
  <c r="J277" i="79"/>
  <c r="J209" i="79"/>
  <c r="J102" i="79"/>
  <c r="J222" i="79"/>
  <c r="J103" i="79"/>
  <c r="J127" i="79"/>
  <c r="J265" i="79"/>
  <c r="J142" i="79"/>
  <c r="J122" i="79"/>
  <c r="J241" i="79"/>
  <c r="J93" i="79"/>
  <c r="J271" i="79"/>
  <c r="J199" i="79"/>
  <c r="J159" i="79"/>
  <c r="J63" i="79"/>
  <c r="J253" i="79"/>
  <c r="J290" i="79"/>
  <c r="J262" i="79"/>
  <c r="J46" i="79"/>
  <c r="J179" i="79"/>
  <c r="J250" i="79"/>
  <c r="J297" i="79"/>
  <c r="J174" i="79"/>
  <c r="J193" i="79"/>
  <c r="J70" i="79"/>
  <c r="J267" i="79"/>
  <c r="J298" i="79"/>
  <c r="J275" i="79"/>
  <c r="J155" i="79"/>
  <c r="J60" i="79"/>
  <c r="J197" i="79"/>
  <c r="J218" i="79"/>
  <c r="J111" i="79"/>
  <c r="J293" i="79"/>
  <c r="J279" i="79"/>
  <c r="J227" i="79"/>
  <c r="J292" i="79"/>
  <c r="J130" i="79"/>
  <c r="J205" i="79"/>
  <c r="J113" i="79"/>
  <c r="J223" i="79"/>
  <c r="J234" i="79"/>
  <c r="J194" i="79"/>
  <c r="J133" i="79"/>
  <c r="J246" i="79"/>
  <c r="J239" i="79"/>
  <c r="J67" i="79"/>
  <c r="J108" i="79"/>
  <c r="J42" i="79"/>
  <c r="J146" i="79"/>
  <c r="J38" i="79"/>
  <c r="J204" i="79"/>
  <c r="J232" i="79"/>
  <c r="J202" i="79"/>
  <c r="J51" i="79"/>
  <c r="J157" i="79"/>
  <c r="J165" i="79"/>
  <c r="J251" i="79"/>
  <c r="J53" i="79"/>
  <c r="J49" i="79"/>
  <c r="J92" i="79"/>
  <c r="J286" i="79"/>
  <c r="J228" i="79"/>
  <c r="J278" i="79"/>
  <c r="J48" i="79"/>
  <c r="J249" i="79"/>
  <c r="J143" i="79"/>
  <c r="J294" i="79"/>
  <c r="J215" i="79"/>
  <c r="J276" i="79"/>
  <c r="J289" i="79"/>
  <c r="J254" i="79"/>
  <c r="J252" i="79"/>
  <c r="J87" i="79"/>
  <c r="J125" i="79"/>
  <c r="J240" i="79"/>
  <c r="J201" i="79"/>
  <c r="J126" i="79"/>
  <c r="J171" i="79"/>
  <c r="J110" i="79"/>
  <c r="J183" i="79"/>
  <c r="J160" i="79"/>
  <c r="J115" i="79"/>
  <c r="J79" i="79"/>
  <c r="J257" i="79"/>
  <c r="J72" i="79"/>
  <c r="J88" i="79"/>
  <c r="J139" i="79"/>
  <c r="J236" i="79"/>
  <c r="J208" i="79"/>
  <c r="J137" i="79"/>
  <c r="J166" i="79"/>
  <c r="J299" i="79"/>
  <c r="J291" i="79"/>
  <c r="J154" i="79"/>
  <c r="J178" i="79"/>
  <c r="J247" i="79"/>
  <c r="J244" i="79"/>
  <c r="J66" i="79"/>
  <c r="J200" i="79"/>
  <c r="J214" i="79"/>
  <c r="J56" i="79"/>
  <c r="J212" i="79"/>
  <c r="J225" i="79"/>
  <c r="J217" i="79"/>
  <c r="J94" i="79"/>
  <c r="J132" i="79"/>
  <c r="J106" i="79"/>
  <c r="J237" i="79"/>
  <c r="J190" i="79"/>
  <c r="H293" i="79" l="1"/>
  <c r="G293" i="79"/>
  <c r="H65" i="79"/>
  <c r="G65" i="79"/>
  <c r="B65" i="79"/>
  <c r="B43" i="79"/>
  <c r="H43" i="79"/>
  <c r="G43" i="79"/>
  <c r="B42" i="79"/>
  <c r="G42" i="79"/>
  <c r="H42" i="79"/>
  <c r="H196" i="79"/>
  <c r="G196" i="79"/>
  <c r="H59" i="79"/>
  <c r="G59" i="79"/>
  <c r="B59" i="79"/>
  <c r="G253" i="79"/>
  <c r="H253" i="79"/>
  <c r="H131" i="79"/>
  <c r="G131" i="79"/>
  <c r="G154" i="79"/>
  <c r="H154" i="79"/>
  <c r="H63" i="79"/>
  <c r="G63" i="79"/>
  <c r="B63" i="79"/>
  <c r="H40" i="79"/>
  <c r="G40" i="79"/>
  <c r="B40" i="79"/>
  <c r="H62" i="79"/>
  <c r="G62" i="79"/>
  <c r="B62" i="79"/>
  <c r="G239" i="79"/>
  <c r="H239" i="79"/>
  <c r="G287" i="79"/>
  <c r="H287" i="79"/>
  <c r="H99" i="79"/>
  <c r="G99" i="79"/>
  <c r="G299" i="79"/>
  <c r="H299" i="79"/>
  <c r="H155" i="79"/>
  <c r="G155" i="79"/>
  <c r="H167" i="79"/>
  <c r="G167" i="79"/>
  <c r="G150" i="79"/>
  <c r="H150" i="79"/>
  <c r="H49" i="79"/>
  <c r="G49" i="79"/>
  <c r="B49" i="79"/>
  <c r="H75" i="79"/>
  <c r="G75" i="79"/>
  <c r="H58" i="79"/>
  <c r="G58" i="79"/>
  <c r="B58" i="79"/>
  <c r="H181" i="79"/>
  <c r="G181" i="79"/>
  <c r="H194" i="79"/>
  <c r="G194" i="79"/>
  <c r="H219" i="79"/>
  <c r="G219" i="79"/>
  <c r="H163" i="79"/>
  <c r="G163" i="79"/>
  <c r="G94" i="79"/>
  <c r="H94" i="79"/>
  <c r="H208" i="79"/>
  <c r="G208" i="79"/>
  <c r="H87" i="79"/>
  <c r="G87" i="79"/>
  <c r="G251" i="79"/>
  <c r="H251" i="79"/>
  <c r="H234" i="79"/>
  <c r="G234" i="79"/>
  <c r="G267" i="79"/>
  <c r="H267" i="79"/>
  <c r="H241" i="79"/>
  <c r="G241" i="79"/>
  <c r="H187" i="79"/>
  <c r="G187" i="79"/>
  <c r="H156" i="79"/>
  <c r="G156" i="79"/>
  <c r="H168" i="79"/>
  <c r="G168" i="79"/>
  <c r="G91" i="79"/>
  <c r="H91" i="79"/>
  <c r="H117" i="79"/>
  <c r="G117" i="79"/>
  <c r="H101" i="79"/>
  <c r="G101" i="79"/>
  <c r="G74" i="79"/>
  <c r="B74" i="79"/>
  <c r="H74" i="79"/>
  <c r="G81" i="79"/>
  <c r="H81" i="79"/>
  <c r="G263" i="79"/>
  <c r="H263" i="79"/>
  <c r="G79" i="79"/>
  <c r="H79" i="79"/>
  <c r="H114" i="79"/>
  <c r="G114" i="79"/>
  <c r="H102" i="79"/>
  <c r="G102" i="79"/>
  <c r="H180" i="79"/>
  <c r="G180" i="79"/>
  <c r="H185" i="79"/>
  <c r="G185" i="79"/>
  <c r="H290" i="79"/>
  <c r="G290" i="79"/>
  <c r="G178" i="79"/>
  <c r="H178" i="79"/>
  <c r="H177" i="79"/>
  <c r="G177" i="79"/>
  <c r="H50" i="79"/>
  <c r="G50" i="79"/>
  <c r="B50" i="79"/>
  <c r="H286" i="79"/>
  <c r="G286" i="79"/>
  <c r="H109" i="79"/>
  <c r="G109" i="79"/>
  <c r="H199" i="79"/>
  <c r="G199" i="79"/>
  <c r="H162" i="79"/>
  <c r="G162" i="79"/>
  <c r="H282" i="79"/>
  <c r="G282" i="79"/>
  <c r="H132" i="79"/>
  <c r="G132" i="79"/>
  <c r="H256" i="79"/>
  <c r="G256" i="79"/>
  <c r="H223" i="79"/>
  <c r="G223" i="79"/>
  <c r="H270" i="79"/>
  <c r="G270" i="79"/>
  <c r="G82" i="79"/>
  <c r="H82" i="79"/>
  <c r="B44" i="79"/>
  <c r="H44" i="79"/>
  <c r="G44" i="79"/>
  <c r="H144" i="79"/>
  <c r="G144" i="79"/>
  <c r="H77" i="79"/>
  <c r="G77" i="79"/>
  <c r="H148" i="79"/>
  <c r="G148" i="79"/>
  <c r="H238" i="79"/>
  <c r="G238" i="79"/>
  <c r="H129" i="79"/>
  <c r="G129" i="79"/>
  <c r="H188" i="79"/>
  <c r="G188" i="79"/>
  <c r="H200" i="79"/>
  <c r="G200" i="79"/>
  <c r="G179" i="79"/>
  <c r="H179" i="79"/>
  <c r="H55" i="79"/>
  <c r="G55" i="79"/>
  <c r="B55" i="79"/>
  <c r="G97" i="79"/>
  <c r="H97" i="79"/>
  <c r="H143" i="79"/>
  <c r="G143" i="79"/>
  <c r="G152" i="79"/>
  <c r="H152" i="79"/>
  <c r="H95" i="79"/>
  <c r="G95" i="79"/>
  <c r="H249" i="79"/>
  <c r="G249" i="79"/>
  <c r="H283" i="79"/>
  <c r="G283" i="79"/>
  <c r="H295" i="79"/>
  <c r="G295" i="79"/>
  <c r="B48" i="79"/>
  <c r="H48" i="79"/>
  <c r="G48" i="79"/>
  <c r="H118" i="79"/>
  <c r="G118" i="79"/>
  <c r="H186" i="79"/>
  <c r="G186" i="79"/>
  <c r="G108" i="79"/>
  <c r="H108" i="79"/>
  <c r="H264" i="79"/>
  <c r="G264" i="79"/>
  <c r="H268" i="79"/>
  <c r="G268" i="79"/>
  <c r="H197" i="79"/>
  <c r="G197" i="79"/>
  <c r="H211" i="79"/>
  <c r="G211" i="79"/>
  <c r="H235" i="79"/>
  <c r="G235" i="79"/>
  <c r="B60" i="79"/>
  <c r="H60" i="79"/>
  <c r="G60" i="79"/>
  <c r="G272" i="79"/>
  <c r="H272" i="79"/>
  <c r="H124" i="79"/>
  <c r="G124" i="79"/>
  <c r="H237" i="79"/>
  <c r="G237" i="79"/>
  <c r="H246" i="79"/>
  <c r="G246" i="79"/>
  <c r="H164" i="79"/>
  <c r="G164" i="79"/>
  <c r="H273" i="79"/>
  <c r="G273" i="79"/>
  <c r="H166" i="79"/>
  <c r="G166" i="79"/>
  <c r="G275" i="79"/>
  <c r="H275" i="79"/>
  <c r="H259" i="79"/>
  <c r="G259" i="79"/>
  <c r="H206" i="79"/>
  <c r="G206" i="79"/>
  <c r="H125" i="79"/>
  <c r="G125" i="79"/>
  <c r="G93" i="79"/>
  <c r="H93" i="79"/>
  <c r="H83" i="79"/>
  <c r="G83" i="79"/>
  <c r="H173" i="79"/>
  <c r="G173" i="79"/>
  <c r="H236" i="79"/>
  <c r="G236" i="79"/>
  <c r="B70" i="79"/>
  <c r="G70" i="79"/>
  <c r="H70" i="79"/>
  <c r="H225" i="79"/>
  <c r="G225" i="79"/>
  <c r="H139" i="79"/>
  <c r="G139" i="79"/>
  <c r="H254" i="79"/>
  <c r="G254" i="79"/>
  <c r="G157" i="79"/>
  <c r="H157" i="79"/>
  <c r="H113" i="79"/>
  <c r="G113" i="79"/>
  <c r="H193" i="79"/>
  <c r="G193" i="79"/>
  <c r="H142" i="79"/>
  <c r="G142" i="79"/>
  <c r="H288" i="79"/>
  <c r="G288" i="79"/>
  <c r="G96" i="79"/>
  <c r="H96" i="79"/>
  <c r="H149" i="79"/>
  <c r="G149" i="79"/>
  <c r="H258" i="79"/>
  <c r="G258" i="79"/>
  <c r="H120" i="79"/>
  <c r="G120" i="79"/>
  <c r="H169" i="79"/>
  <c r="G169" i="79"/>
  <c r="H274" i="79"/>
  <c r="G274" i="79"/>
  <c r="H284" i="79"/>
  <c r="G284" i="79"/>
  <c r="H261" i="79"/>
  <c r="G261" i="79"/>
  <c r="H204" i="79"/>
  <c r="G204" i="79"/>
  <c r="H230" i="79"/>
  <c r="G230" i="79"/>
  <c r="H78" i="79"/>
  <c r="G78" i="79"/>
  <c r="H66" i="79"/>
  <c r="G66" i="79"/>
  <c r="B66" i="79"/>
  <c r="B38" i="79"/>
  <c r="H38" i="79"/>
  <c r="G38" i="79"/>
  <c r="H296" i="79"/>
  <c r="G296" i="79"/>
  <c r="H248" i="79"/>
  <c r="G248" i="79"/>
  <c r="G160" i="79"/>
  <c r="H160" i="79"/>
  <c r="H209" i="79"/>
  <c r="G209" i="79"/>
  <c r="H69" i="79"/>
  <c r="G69" i="79"/>
  <c r="B69" i="79"/>
  <c r="H183" i="79"/>
  <c r="G183" i="79"/>
  <c r="H84" i="79"/>
  <c r="G84" i="79"/>
  <c r="H210" i="79"/>
  <c r="G210" i="79"/>
  <c r="H110" i="79"/>
  <c r="G110" i="79"/>
  <c r="G231" i="79"/>
  <c r="H231" i="79"/>
  <c r="H41" i="79"/>
  <c r="G41" i="79"/>
  <c r="B41" i="79"/>
  <c r="H47" i="79"/>
  <c r="G47" i="79"/>
  <c r="B47" i="79"/>
  <c r="H67" i="79"/>
  <c r="G67" i="79"/>
  <c r="B67" i="79"/>
  <c r="H135" i="79"/>
  <c r="G135" i="79"/>
  <c r="H86" i="79"/>
  <c r="G86" i="79"/>
  <c r="H126" i="79"/>
  <c r="G126" i="79"/>
  <c r="G138" i="79"/>
  <c r="H138" i="79"/>
  <c r="H90" i="79"/>
  <c r="G90" i="79"/>
  <c r="H192" i="79"/>
  <c r="G192" i="79"/>
  <c r="G92" i="79"/>
  <c r="H92" i="79"/>
  <c r="H233" i="79"/>
  <c r="G233" i="79"/>
  <c r="H68" i="79"/>
  <c r="B68" i="79"/>
  <c r="G68" i="79"/>
  <c r="H106" i="79"/>
  <c r="G106" i="79"/>
  <c r="G133" i="79"/>
  <c r="H133" i="79"/>
  <c r="H54" i="79"/>
  <c r="G54" i="79"/>
  <c r="B54" i="79"/>
  <c r="G172" i="79"/>
  <c r="H172" i="79"/>
  <c r="G137" i="79"/>
  <c r="H137" i="79"/>
  <c r="G298" i="79"/>
  <c r="H298" i="79"/>
  <c r="H255" i="79"/>
  <c r="G255" i="79"/>
  <c r="H161" i="79"/>
  <c r="G161" i="79"/>
  <c r="H252" i="79"/>
  <c r="G252" i="79"/>
  <c r="H122" i="79"/>
  <c r="G122" i="79"/>
  <c r="H212" i="79"/>
  <c r="G212" i="79"/>
  <c r="H88" i="79"/>
  <c r="G88" i="79"/>
  <c r="H289" i="79"/>
  <c r="G289" i="79"/>
  <c r="G51" i="79"/>
  <c r="H51" i="79"/>
  <c r="B51" i="79"/>
  <c r="H205" i="79"/>
  <c r="G205" i="79"/>
  <c r="H174" i="79"/>
  <c r="G174" i="79"/>
  <c r="G265" i="79"/>
  <c r="H265" i="79"/>
  <c r="H85" i="79"/>
  <c r="G85" i="79"/>
  <c r="H141" i="79"/>
  <c r="G141" i="79"/>
  <c r="H184" i="79"/>
  <c r="G184" i="79"/>
  <c r="H151" i="79"/>
  <c r="G151" i="79"/>
  <c r="H134" i="79"/>
  <c r="G134" i="79"/>
  <c r="H216" i="79"/>
  <c r="G216" i="79"/>
  <c r="H123" i="79"/>
  <c r="G123" i="79"/>
  <c r="B64" i="79"/>
  <c r="H64" i="79"/>
  <c r="G64" i="79"/>
  <c r="H281" i="79"/>
  <c r="G281" i="79"/>
  <c r="G227" i="79"/>
  <c r="H227" i="79"/>
  <c r="H121" i="79"/>
  <c r="G121" i="79"/>
  <c r="H242" i="79"/>
  <c r="G242" i="79"/>
  <c r="H115" i="79"/>
  <c r="G115" i="79"/>
  <c r="H46" i="79"/>
  <c r="G46" i="79"/>
  <c r="B46" i="79"/>
  <c r="G71" i="79"/>
  <c r="B71" i="79"/>
  <c r="H71" i="79"/>
  <c r="H266" i="79"/>
  <c r="G266" i="79"/>
  <c r="H146" i="79"/>
  <c r="G146" i="79"/>
  <c r="G203" i="79"/>
  <c r="H203" i="79"/>
  <c r="H198" i="79"/>
  <c r="G198" i="79"/>
  <c r="H111" i="79"/>
  <c r="G111" i="79"/>
  <c r="H76" i="79"/>
  <c r="G76" i="79"/>
  <c r="H128" i="79"/>
  <c r="G128" i="79"/>
  <c r="H218" i="79"/>
  <c r="G218" i="79"/>
  <c r="H147" i="79"/>
  <c r="G147" i="79"/>
  <c r="H171" i="79"/>
  <c r="G171" i="79"/>
  <c r="H182" i="79"/>
  <c r="G182" i="79"/>
  <c r="H195" i="79"/>
  <c r="G195" i="79"/>
  <c r="G190" i="79"/>
  <c r="H190" i="79"/>
  <c r="H159" i="79"/>
  <c r="G159" i="79"/>
  <c r="H73" i="79"/>
  <c r="B73" i="79"/>
  <c r="G73" i="79"/>
  <c r="H105" i="79"/>
  <c r="G105" i="79"/>
  <c r="H201" i="79"/>
  <c r="G201" i="79"/>
  <c r="B57" i="79"/>
  <c r="G57" i="79"/>
  <c r="H57" i="79"/>
  <c r="H153" i="79"/>
  <c r="G153" i="79"/>
  <c r="G119" i="79"/>
  <c r="H119" i="79"/>
  <c r="H240" i="79"/>
  <c r="G240" i="79"/>
  <c r="H271" i="79"/>
  <c r="G271" i="79"/>
  <c r="H170" i="79"/>
  <c r="G170" i="79"/>
  <c r="H136" i="79"/>
  <c r="G136" i="79"/>
  <c r="B53" i="79"/>
  <c r="H53" i="79"/>
  <c r="G53" i="79"/>
  <c r="H245" i="79"/>
  <c r="G245" i="79"/>
  <c r="H107" i="79"/>
  <c r="G107" i="79"/>
  <c r="H217" i="79"/>
  <c r="G217" i="79"/>
  <c r="H165" i="79"/>
  <c r="G165" i="79"/>
  <c r="H176" i="79"/>
  <c r="G176" i="79"/>
  <c r="H56" i="79"/>
  <c r="G56" i="79"/>
  <c r="B56" i="79"/>
  <c r="H72" i="79"/>
  <c r="G72" i="79"/>
  <c r="B72" i="79"/>
  <c r="H276" i="79"/>
  <c r="G276" i="79"/>
  <c r="H202" i="79"/>
  <c r="G202" i="79"/>
  <c r="H130" i="79"/>
  <c r="G130" i="79"/>
  <c r="H297" i="79"/>
  <c r="G297" i="79"/>
  <c r="H127" i="79"/>
  <c r="G127" i="79"/>
  <c r="H100" i="79"/>
  <c r="G100" i="79"/>
  <c r="G243" i="79"/>
  <c r="H243" i="79"/>
  <c r="H175" i="79"/>
  <c r="G175" i="79"/>
  <c r="G52" i="79"/>
  <c r="H52" i="79"/>
  <c r="B52" i="79"/>
  <c r="H213" i="79"/>
  <c r="G213" i="79"/>
  <c r="H45" i="79"/>
  <c r="G45" i="79"/>
  <c r="B45" i="79"/>
  <c r="H89" i="79"/>
  <c r="G89" i="79"/>
  <c r="H221" i="79"/>
  <c r="G221" i="79"/>
  <c r="G280" i="79"/>
  <c r="H280" i="79"/>
  <c r="H294" i="79"/>
  <c r="G294" i="79"/>
  <c r="H222" i="79"/>
  <c r="G222" i="79"/>
  <c r="H226" i="79"/>
  <c r="G226" i="79"/>
  <c r="H33" i="79"/>
  <c r="G33" i="79"/>
  <c r="B33" i="79"/>
  <c r="G279" i="79"/>
  <c r="H279" i="79"/>
  <c r="G207" i="79"/>
  <c r="H207" i="79"/>
  <c r="H140" i="79"/>
  <c r="G140" i="79"/>
  <c r="G244" i="79"/>
  <c r="H244" i="79"/>
  <c r="G262" i="79"/>
  <c r="H262" i="79"/>
  <c r="H145" i="79"/>
  <c r="G145" i="79"/>
  <c r="H247" i="79"/>
  <c r="G247" i="79"/>
  <c r="G277" i="79"/>
  <c r="H277" i="79"/>
  <c r="H98" i="79"/>
  <c r="G98" i="79"/>
  <c r="H278" i="79"/>
  <c r="G278" i="79"/>
  <c r="H116" i="79"/>
  <c r="G116" i="79"/>
  <c r="G260" i="79"/>
  <c r="H260" i="79"/>
  <c r="H228" i="79"/>
  <c r="G228" i="79"/>
  <c r="H158" i="79"/>
  <c r="G158" i="79"/>
  <c r="H291" i="79"/>
  <c r="G291" i="79"/>
  <c r="H214" i="79"/>
  <c r="G214" i="79"/>
  <c r="G257" i="79"/>
  <c r="H257" i="79"/>
  <c r="G215" i="79"/>
  <c r="H215" i="79"/>
  <c r="G232" i="79"/>
  <c r="H232" i="79"/>
  <c r="H292" i="79"/>
  <c r="G292" i="79"/>
  <c r="H250" i="79"/>
  <c r="G250" i="79"/>
  <c r="G103" i="79"/>
  <c r="H103" i="79"/>
  <c r="G61" i="79"/>
  <c r="B61" i="79"/>
  <c r="H61" i="79"/>
  <c r="H189" i="79"/>
  <c r="G189" i="79"/>
  <c r="H220" i="79"/>
  <c r="G220" i="79"/>
  <c r="H285" i="79"/>
  <c r="G285" i="79"/>
  <c r="G191" i="79"/>
  <c r="H191" i="79"/>
  <c r="H229" i="79"/>
  <c r="G229" i="79"/>
  <c r="H112" i="79"/>
  <c r="G112" i="79"/>
  <c r="H36" i="79"/>
  <c r="B36" i="79"/>
  <c r="G36" i="79"/>
  <c r="H104" i="79"/>
  <c r="G104" i="79"/>
  <c r="U4" i="79" l="1"/>
  <c r="U3" i="79"/>
  <c r="U5" i="79"/>
  <c r="AI6" i="35" l="1"/>
  <c r="C6" i="35"/>
  <c r="S6" i="35"/>
  <c r="C2" i="35"/>
  <c r="D2" i="35"/>
  <c r="E2" i="35"/>
  <c r="F2" i="35"/>
  <c r="AC5" i="15"/>
  <c r="N5" i="15"/>
  <c r="D5" i="15"/>
  <c r="AC5" i="71"/>
  <c r="N5" i="71"/>
  <c r="D5" i="71"/>
  <c r="AC5" i="60"/>
  <c r="N5" i="60"/>
  <c r="D5" i="60"/>
  <c r="AC5" i="70"/>
  <c r="N5" i="70"/>
  <c r="D5" i="70"/>
  <c r="AC5" i="69"/>
  <c r="N5" i="69"/>
  <c r="D5" i="69"/>
  <c r="AC5" i="61"/>
  <c r="N5" i="61"/>
  <c r="D5" i="61"/>
  <c r="AC5" i="59"/>
  <c r="N5" i="59"/>
  <c r="D5" i="59"/>
  <c r="AC5" i="58"/>
  <c r="N5" i="58"/>
  <c r="C11" i="76"/>
  <c r="J9" i="76"/>
  <c r="C9" i="76"/>
  <c r="C11" i="77"/>
  <c r="J9" i="77"/>
  <c r="C9" i="77"/>
  <c r="C11" i="57"/>
  <c r="C9" i="57"/>
  <c r="J9" i="57"/>
  <c r="J7" i="51"/>
  <c r="F7" i="51"/>
  <c r="B7" i="51"/>
  <c r="H13" i="57"/>
  <c r="H13" i="77"/>
  <c r="H13" i="76"/>
  <c r="D5" i="58"/>
  <c r="H4" i="40"/>
  <c r="G4" i="52"/>
  <c r="BC469" i="78" l="1"/>
  <c r="BA469" i="78"/>
  <c r="AR459" i="78"/>
  <c r="AR460" i="78" s="1"/>
  <c r="AR461" i="78" s="1"/>
  <c r="AR462" i="78" s="1"/>
  <c r="AR463" i="78" s="1"/>
  <c r="AR464" i="78" s="1"/>
  <c r="AR465" i="78" s="1"/>
  <c r="AR456" i="78"/>
  <c r="AR432" i="78"/>
  <c r="AR433" i="78" s="1"/>
  <c r="AR434" i="78" s="1"/>
  <c r="AR435" i="78" s="1"/>
  <c r="AR436" i="78" s="1"/>
  <c r="AR437" i="78" s="1"/>
  <c r="AR438" i="78" s="1"/>
  <c r="AR439" i="78" s="1"/>
  <c r="AR440" i="78" s="1"/>
  <c r="AR441" i="78" s="1"/>
  <c r="AR442" i="78" s="1"/>
  <c r="AR443" i="78" s="1"/>
  <c r="AR444" i="78" s="1"/>
  <c r="AR445" i="78" s="1"/>
  <c r="AR446" i="78" s="1"/>
  <c r="AR447" i="78" s="1"/>
  <c r="AR448" i="78" s="1"/>
  <c r="AR449" i="78" s="1"/>
  <c r="AR450" i="78" s="1"/>
  <c r="AR451" i="78" s="1"/>
  <c r="AR452" i="78" s="1"/>
  <c r="AR453" i="78" s="1"/>
  <c r="AR431" i="78"/>
  <c r="AR405" i="78"/>
  <c r="AR406" i="78" s="1"/>
  <c r="AR407" i="78" s="1"/>
  <c r="AR408" i="78" s="1"/>
  <c r="AR409" i="78" s="1"/>
  <c r="AR410" i="78" s="1"/>
  <c r="AR411" i="78" s="1"/>
  <c r="AR412" i="78" s="1"/>
  <c r="AR413" i="78" s="1"/>
  <c r="AR414" i="78" s="1"/>
  <c r="AR415" i="78" s="1"/>
  <c r="AR416" i="78" s="1"/>
  <c r="AR417" i="78" s="1"/>
  <c r="AR418" i="78" s="1"/>
  <c r="AR419" i="78" s="1"/>
  <c r="AR420" i="78" s="1"/>
  <c r="AR421" i="78" s="1"/>
  <c r="AR422" i="78" s="1"/>
  <c r="AR423" i="78" s="1"/>
  <c r="AR424" i="78" s="1"/>
  <c r="AR425" i="78" s="1"/>
  <c r="AR426" i="78" s="1"/>
  <c r="AR427" i="78" s="1"/>
  <c r="AR428" i="78" s="1"/>
  <c r="AR401" i="78"/>
  <c r="AR399" i="78"/>
  <c r="AR397" i="78"/>
  <c r="AR395" i="78"/>
  <c r="AR393" i="78"/>
  <c r="AR391" i="78"/>
  <c r="AR389" i="78"/>
  <c r="AR387" i="78"/>
  <c r="AR385" i="78"/>
  <c r="AR383" i="78"/>
  <c r="AR381" i="78"/>
  <c r="AR379" i="78"/>
  <c r="AR377" i="78"/>
  <c r="AR375" i="78"/>
  <c r="AR373" i="78"/>
  <c r="AR371" i="78"/>
  <c r="AR369" i="78"/>
  <c r="AR367" i="78"/>
  <c r="AR365" i="78"/>
  <c r="AR363" i="78"/>
  <c r="AR361" i="78"/>
  <c r="AR359" i="78"/>
  <c r="AR357" i="78"/>
  <c r="AR355" i="78"/>
  <c r="AR353" i="78"/>
  <c r="AR351" i="78"/>
  <c r="AR349" i="78"/>
  <c r="AR308" i="78"/>
  <c r="AR309" i="78" s="1"/>
  <c r="AR310" i="78" s="1"/>
  <c r="AR311" i="78" s="1"/>
  <c r="AR312" i="78" s="1"/>
  <c r="AR313" i="78" s="1"/>
  <c r="AR314" i="78" s="1"/>
  <c r="AR315" i="78" s="1"/>
  <c r="AR316" i="78" s="1"/>
  <c r="AR317" i="78" s="1"/>
  <c r="AR318" i="78" s="1"/>
  <c r="AR319" i="78" s="1"/>
  <c r="AR320" i="78" s="1"/>
  <c r="AR321" i="78" s="1"/>
  <c r="AR322" i="78" s="1"/>
  <c r="AR323" i="78" s="1"/>
  <c r="AR324" i="78" s="1"/>
  <c r="AR325" i="78" s="1"/>
  <c r="AR326" i="78" s="1"/>
  <c r="AR327" i="78" s="1"/>
  <c r="AR328" i="78" s="1"/>
  <c r="AR329" i="78" s="1"/>
  <c r="AR330" i="78" s="1"/>
  <c r="AR331" i="78" s="1"/>
  <c r="AR332" i="78" s="1"/>
  <c r="AR333" i="78" s="1"/>
  <c r="AR334" i="78" s="1"/>
  <c r="AR335" i="78" s="1"/>
  <c r="AR336" i="78" s="1"/>
  <c r="AR337" i="78" s="1"/>
  <c r="AR338" i="78" s="1"/>
  <c r="AR339" i="78" s="1"/>
  <c r="AR340" i="78" s="1"/>
  <c r="AR341" i="78" s="1"/>
  <c r="AR342" i="78" s="1"/>
  <c r="AR302" i="78"/>
  <c r="AR270" i="78"/>
  <c r="AR271" i="78" s="1"/>
  <c r="AR272" i="78" s="1"/>
  <c r="AR273" i="78" s="1"/>
  <c r="AR274" i="78" s="1"/>
  <c r="AR275" i="78" s="1"/>
  <c r="AR276" i="78" s="1"/>
  <c r="AR277" i="78" s="1"/>
  <c r="AR278" i="78" s="1"/>
  <c r="AR279" i="78" s="1"/>
  <c r="AR280" i="78" s="1"/>
  <c r="AR281" i="78" s="1"/>
  <c r="AR282" i="78" s="1"/>
  <c r="AR283" i="78" s="1"/>
  <c r="AR284" i="78" s="1"/>
  <c r="AR285" i="78" s="1"/>
  <c r="AR286" i="78" s="1"/>
  <c r="AR287" i="78" s="1"/>
  <c r="AR288" i="78" s="1"/>
  <c r="AR289" i="78" s="1"/>
  <c r="AR290" i="78" s="1"/>
  <c r="AR291" i="78" s="1"/>
  <c r="AR292" i="78" s="1"/>
  <c r="AR293" i="78" s="1"/>
  <c r="AR294" i="78" s="1"/>
  <c r="AR295" i="78" s="1"/>
  <c r="AR296" i="78" s="1"/>
  <c r="AR297" i="78" s="1"/>
  <c r="AR298" i="78" s="1"/>
  <c r="AR299" i="78" s="1"/>
  <c r="AR267" i="78"/>
  <c r="AR268" i="78" s="1"/>
  <c r="AR269" i="78" s="1"/>
  <c r="AR258" i="78"/>
  <c r="AR259" i="78" s="1"/>
  <c r="AR260" i="78" s="1"/>
  <c r="AR261" i="78" s="1"/>
  <c r="AR262" i="78" s="1"/>
  <c r="AR263" i="78" s="1"/>
  <c r="AR264" i="78" s="1"/>
  <c r="AR257" i="78"/>
  <c r="AR256" i="78"/>
  <c r="AR244" i="78"/>
  <c r="AR245" i="78" s="1"/>
  <c r="AR246" i="78" s="1"/>
  <c r="AR247" i="78" s="1"/>
  <c r="AR248" i="78" s="1"/>
  <c r="AR249" i="78" s="1"/>
  <c r="AR240" i="78"/>
  <c r="AR239" i="78"/>
  <c r="AR238" i="78"/>
  <c r="AR227" i="78"/>
  <c r="AR228" i="78" s="1"/>
  <c r="AR229" i="78" s="1"/>
  <c r="AR230" i="78" s="1"/>
  <c r="AR231" i="78" s="1"/>
  <c r="AR232" i="78" s="1"/>
  <c r="AR233" i="78" s="1"/>
  <c r="AR234" i="78" s="1"/>
  <c r="AR235" i="78" s="1"/>
  <c r="AR223" i="78"/>
  <c r="AR221" i="78"/>
  <c r="AR219" i="78"/>
  <c r="AR217" i="78"/>
  <c r="AR215" i="78"/>
  <c r="AR213" i="78"/>
  <c r="AR211" i="78"/>
  <c r="AR209" i="78"/>
  <c r="AR207" i="78"/>
  <c r="AR205" i="78"/>
  <c r="AR203" i="78"/>
  <c r="AR201" i="78"/>
  <c r="AR199" i="78"/>
  <c r="AR197" i="78"/>
  <c r="AR195" i="78"/>
  <c r="AR158" i="78"/>
  <c r="AR159" i="78" s="1"/>
  <c r="AR160" i="78" s="1"/>
  <c r="AR161" i="78" s="1"/>
  <c r="AR162" i="78" s="1"/>
  <c r="AR163" i="78" s="1"/>
  <c r="AR164" i="78" s="1"/>
  <c r="AR165" i="78" s="1"/>
  <c r="AR166" i="78" s="1"/>
  <c r="AR167" i="78" s="1"/>
  <c r="AR168" i="78" s="1"/>
  <c r="AR169" i="78" s="1"/>
  <c r="AR170" i="78" s="1"/>
  <c r="AR171" i="78" s="1"/>
  <c r="AR172" i="78" s="1"/>
  <c r="AR173" i="78" s="1"/>
  <c r="AR174" i="78" s="1"/>
  <c r="AR175" i="78" s="1"/>
  <c r="AR176" i="78" s="1"/>
  <c r="AR177" i="78" s="1"/>
  <c r="AR178" i="78" s="1"/>
  <c r="AR179" i="78" s="1"/>
  <c r="AR180" i="78" s="1"/>
  <c r="AR181" i="78" s="1"/>
  <c r="AR182" i="78" s="1"/>
  <c r="AR183" i="78" s="1"/>
  <c r="AR184" i="78" s="1"/>
  <c r="AR185" i="78" s="1"/>
  <c r="AR186" i="78" s="1"/>
  <c r="AR187" i="78" s="1"/>
  <c r="AR188" i="78" s="1"/>
  <c r="AR189" i="78" s="1"/>
  <c r="AR190" i="78" s="1"/>
  <c r="AR191" i="78" s="1"/>
  <c r="X148" i="78"/>
  <c r="X146" i="78"/>
  <c r="X138" i="78"/>
  <c r="X139" i="78" s="1"/>
  <c r="X140" i="78" s="1"/>
  <c r="X141" i="78" s="1"/>
  <c r="X142" i="78" s="1"/>
  <c r="X143" i="78" s="1"/>
  <c r="X144" i="78" s="1"/>
  <c r="X130" i="78"/>
  <c r="X131" i="78" s="1"/>
  <c r="X132" i="78" s="1"/>
  <c r="X133" i="78" s="1"/>
  <c r="X134" i="78" s="1"/>
  <c r="X135" i="78" s="1"/>
  <c r="X136" i="78" s="1"/>
  <c r="X128" i="78"/>
  <c r="X129" i="78" s="1"/>
  <c r="X121" i="78"/>
  <c r="X122" i="78" s="1"/>
  <c r="X123" i="78" s="1"/>
  <c r="X124" i="78" s="1"/>
  <c r="X125" i="78" s="1"/>
  <c r="X117" i="78"/>
  <c r="X118" i="78" s="1"/>
  <c r="AR114" i="78"/>
  <c r="AR115" i="78" s="1"/>
  <c r="AR116" i="78" s="1"/>
  <c r="AR117" i="78" s="1"/>
  <c r="AR118" i="78" s="1"/>
  <c r="AR119" i="78" s="1"/>
  <c r="AR120" i="78" s="1"/>
  <c r="AR121" i="78" s="1"/>
  <c r="AR122" i="78" s="1"/>
  <c r="AR123" i="78" s="1"/>
  <c r="AR124" i="78" s="1"/>
  <c r="AR125" i="78" s="1"/>
  <c r="AR126" i="78" s="1"/>
  <c r="AR127" i="78" s="1"/>
  <c r="AR128" i="78" s="1"/>
  <c r="AR129" i="78" s="1"/>
  <c r="AR130" i="78" s="1"/>
  <c r="AR131" i="78" s="1"/>
  <c r="AR132" i="78" s="1"/>
  <c r="AR133" i="78" s="1"/>
  <c r="AR134" i="78" s="1"/>
  <c r="AR135" i="78" s="1"/>
  <c r="AR136" i="78" s="1"/>
  <c r="AR137" i="78" s="1"/>
  <c r="AR138" i="78" s="1"/>
  <c r="AR139" i="78" s="1"/>
  <c r="AR140" i="78" s="1"/>
  <c r="AR141" i="78" s="1"/>
  <c r="AR142" i="78" s="1"/>
  <c r="AR143" i="78" s="1"/>
  <c r="AR144" i="78" s="1"/>
  <c r="AR145" i="78" s="1"/>
  <c r="AR146" i="78" s="1"/>
  <c r="AR147" i="78" s="1"/>
  <c r="AR148" i="78" s="1"/>
  <c r="AR149" i="78" s="1"/>
  <c r="AR150" i="78" s="1"/>
  <c r="AR151" i="78" s="1"/>
  <c r="AR152" i="78" s="1"/>
  <c r="AR153" i="78" s="1"/>
  <c r="AR154" i="78" s="1"/>
  <c r="AR155" i="78" s="1"/>
  <c r="X112" i="78"/>
  <c r="AR108" i="78"/>
  <c r="AR109" i="78" s="1"/>
  <c r="AR110" i="78" s="1"/>
  <c r="AR111" i="78" s="1"/>
  <c r="AR112" i="78" s="1"/>
  <c r="AR113" i="78" s="1"/>
  <c r="AM108" i="78"/>
  <c r="AR107" i="78"/>
  <c r="X105" i="78"/>
  <c r="X103" i="78"/>
  <c r="AM102" i="78"/>
  <c r="AM103" i="78" s="1"/>
  <c r="X101" i="78"/>
  <c r="X98" i="78"/>
  <c r="AM95" i="78"/>
  <c r="AM96" i="78" s="1"/>
  <c r="AM97" i="78" s="1"/>
  <c r="AM85" i="78"/>
  <c r="AM86" i="78" s="1"/>
  <c r="AM87" i="78" s="1"/>
  <c r="AM88" i="78" s="1"/>
  <c r="AM89" i="78" s="1"/>
  <c r="AM90" i="78" s="1"/>
  <c r="AM91" i="78" s="1"/>
  <c r="AM92" i="78" s="1"/>
  <c r="X79" i="78"/>
  <c r="X80" i="78" s="1"/>
  <c r="X81" i="78" s="1"/>
  <c r="X82" i="78" s="1"/>
  <c r="X83" i="78" s="1"/>
  <c r="X84" i="78" s="1"/>
  <c r="X85" i="78" s="1"/>
  <c r="X86" i="78" s="1"/>
  <c r="X87" i="78" s="1"/>
  <c r="X88" i="78" s="1"/>
  <c r="X89" i="78" s="1"/>
  <c r="X90" i="78" s="1"/>
  <c r="X91" i="78" s="1"/>
  <c r="X92" i="78" s="1"/>
  <c r="X93" i="78" s="1"/>
  <c r="X94" i="78" s="1"/>
  <c r="X95" i="78" s="1"/>
  <c r="AM78" i="78"/>
  <c r="AM79" i="78" s="1"/>
  <c r="AM80" i="78" s="1"/>
  <c r="AM77" i="78"/>
  <c r="L76" i="78"/>
  <c r="L77" i="78" s="1"/>
  <c r="L75" i="78"/>
  <c r="AM74" i="78"/>
  <c r="L70" i="78"/>
  <c r="L71" i="78" s="1"/>
  <c r="L72" i="78" s="1"/>
  <c r="AM68" i="78"/>
  <c r="AM69" i="78" s="1"/>
  <c r="AM70" i="78" s="1"/>
  <c r="AM71" i="78" s="1"/>
  <c r="AM67" i="78"/>
  <c r="L65" i="78"/>
  <c r="L66" i="78" s="1"/>
  <c r="L67" i="78" s="1"/>
  <c r="AR64" i="78"/>
  <c r="AR65" i="78" s="1"/>
  <c r="AR66" i="78" s="1"/>
  <c r="AR67" i="78" s="1"/>
  <c r="AR68" i="78" s="1"/>
  <c r="AR69" i="78" s="1"/>
  <c r="AR70" i="78" s="1"/>
  <c r="AR71" i="78" s="1"/>
  <c r="AR72" i="78" s="1"/>
  <c r="AR73" i="78" s="1"/>
  <c r="AR74" i="78" s="1"/>
  <c r="AR75" i="78" s="1"/>
  <c r="AR76" i="78" s="1"/>
  <c r="AR77" i="78" s="1"/>
  <c r="AR78" i="78" s="1"/>
  <c r="AR79" i="78" s="1"/>
  <c r="AR80" i="78" s="1"/>
  <c r="AR81" i="78" s="1"/>
  <c r="AR82" i="78" s="1"/>
  <c r="AR83" i="78" s="1"/>
  <c r="AR84" i="78" s="1"/>
  <c r="AR85" i="78" s="1"/>
  <c r="AR86" i="78" s="1"/>
  <c r="AR87" i="78" s="1"/>
  <c r="AR88" i="78" s="1"/>
  <c r="AR89" i="78" s="1"/>
  <c r="AR90" i="78" s="1"/>
  <c r="AR91" i="78" s="1"/>
  <c r="AR92" i="78" s="1"/>
  <c r="AR93" i="78" s="1"/>
  <c r="AR94" i="78" s="1"/>
  <c r="AR95" i="78" s="1"/>
  <c r="AR96" i="78" s="1"/>
  <c r="AR97" i="78" s="1"/>
  <c r="AR98" i="78" s="1"/>
  <c r="AR99" i="78" s="1"/>
  <c r="AR100" i="78" s="1"/>
  <c r="AR101" i="78" s="1"/>
  <c r="AR102" i="78" s="1"/>
  <c r="AR103" i="78" s="1"/>
  <c r="L64" i="78"/>
  <c r="AM63" i="78"/>
  <c r="AM64" i="78" s="1"/>
  <c r="AR62" i="78"/>
  <c r="AR63" i="78" s="1"/>
  <c r="AR61" i="78"/>
  <c r="X61" i="78"/>
  <c r="X62" i="78" s="1"/>
  <c r="X63" i="78" s="1"/>
  <c r="X64" i="78" s="1"/>
  <c r="X65" i="78" s="1"/>
  <c r="X66" i="78" s="1"/>
  <c r="X67" i="78" s="1"/>
  <c r="X68" i="78" s="1"/>
  <c r="X69" i="78" s="1"/>
  <c r="X70" i="78" s="1"/>
  <c r="X71" i="78" s="1"/>
  <c r="X72" i="78" s="1"/>
  <c r="X73" i="78" s="1"/>
  <c r="X74" i="78" s="1"/>
  <c r="X75" i="78" s="1"/>
  <c r="X76" i="78" s="1"/>
  <c r="L61" i="78"/>
  <c r="AM59" i="78"/>
  <c r="AM60" i="78" s="1"/>
  <c r="AM61" i="78" s="1"/>
  <c r="AM62" i="78" s="1"/>
  <c r="L59" i="78"/>
  <c r="L57" i="78"/>
  <c r="L55" i="78"/>
  <c r="AM54" i="78"/>
  <c r="AM55" i="78" s="1"/>
  <c r="AM56" i="78" s="1"/>
  <c r="X49" i="78"/>
  <c r="X50" i="78" s="1"/>
  <c r="X51" i="78" s="1"/>
  <c r="X52" i="78" s="1"/>
  <c r="X53" i="78" s="1"/>
  <c r="X54" i="78" s="1"/>
  <c r="X55" i="78" s="1"/>
  <c r="X56" i="78" s="1"/>
  <c r="X57" i="78" s="1"/>
  <c r="X58" i="78" s="1"/>
  <c r="L49" i="78"/>
  <c r="AM48" i="78"/>
  <c r="AM49" i="78" s="1"/>
  <c r="AM50" i="78" s="1"/>
  <c r="AM51" i="78" s="1"/>
  <c r="AR45" i="78"/>
  <c r="AR46" i="78" s="1"/>
  <c r="AR47" i="78" s="1"/>
  <c r="AR48" i="78" s="1"/>
  <c r="AR49" i="78" s="1"/>
  <c r="AR50" i="78" s="1"/>
  <c r="AR51" i="78" s="1"/>
  <c r="AR52" i="78" s="1"/>
  <c r="AR53" i="78" s="1"/>
  <c r="AR54" i="78" s="1"/>
  <c r="AR55" i="78" s="1"/>
  <c r="AR56" i="78" s="1"/>
  <c r="AR57" i="78" s="1"/>
  <c r="AR58" i="78" s="1"/>
  <c r="AG45" i="78"/>
  <c r="AG46" i="78" s="1"/>
  <c r="AG47" i="78" s="1"/>
  <c r="AG48" i="78" s="1"/>
  <c r="AG49" i="78" s="1"/>
  <c r="AG50" i="78" s="1"/>
  <c r="AG51" i="78" s="1"/>
  <c r="AG52" i="78" s="1"/>
  <c r="AG53" i="78" s="1"/>
  <c r="AG54" i="78" s="1"/>
  <c r="AG55" i="78" s="1"/>
  <c r="AG56" i="78" s="1"/>
  <c r="AG57" i="78" s="1"/>
  <c r="AG58" i="78" s="1"/>
  <c r="AG59" i="78" s="1"/>
  <c r="AG60" i="78" s="1"/>
  <c r="AG61" i="78" s="1"/>
  <c r="AG62" i="78" s="1"/>
  <c r="AG63" i="78" s="1"/>
  <c r="AG64" i="78" s="1"/>
  <c r="AG65" i="78" s="1"/>
  <c r="AG66" i="78" s="1"/>
  <c r="AG67" i="78" s="1"/>
  <c r="AG68" i="78" s="1"/>
  <c r="AG69" i="78" s="1"/>
  <c r="AG70" i="78" s="1"/>
  <c r="L44" i="78"/>
  <c r="AR43" i="78"/>
  <c r="AR44" i="78" s="1"/>
  <c r="AG41" i="78"/>
  <c r="AG42" i="78" s="1"/>
  <c r="AG43" i="78" s="1"/>
  <c r="AG44" i="78" s="1"/>
  <c r="L41" i="78"/>
  <c r="L37" i="78"/>
  <c r="L38" i="78" s="1"/>
  <c r="AM35" i="78"/>
  <c r="AM36" i="78" s="1"/>
  <c r="AM37" i="78" s="1"/>
  <c r="AM38" i="78" s="1"/>
  <c r="AM39" i="78" s="1"/>
  <c r="AM40" i="78" s="1"/>
  <c r="AM41" i="78" s="1"/>
  <c r="AM42" i="78" s="1"/>
  <c r="AM43" i="78" s="1"/>
  <c r="AM44" i="78" s="1"/>
  <c r="AM45" i="78" s="1"/>
  <c r="AM33" i="78"/>
  <c r="AM34" i="78" s="1"/>
  <c r="L30" i="78"/>
  <c r="L31" i="78" s="1"/>
  <c r="L32" i="78" s="1"/>
  <c r="L33" i="78" s="1"/>
  <c r="L34" i="78" s="1"/>
  <c r="AM25" i="78"/>
  <c r="AM26" i="78" s="1"/>
  <c r="AM27" i="78" s="1"/>
  <c r="AM28" i="78" s="1"/>
  <c r="AM29" i="78" s="1"/>
  <c r="AM30" i="78" s="1"/>
  <c r="AM21" i="78"/>
  <c r="AM22" i="78" s="1"/>
  <c r="AM23" i="78" s="1"/>
  <c r="AM24" i="78" s="1"/>
  <c r="L18" i="78"/>
  <c r="L19" i="78" s="1"/>
  <c r="L20" i="78" s="1"/>
  <c r="L21" i="78" s="1"/>
  <c r="L22" i="78" s="1"/>
  <c r="L23" i="78" s="1"/>
  <c r="L24" i="78" s="1"/>
  <c r="L25" i="78" s="1"/>
  <c r="L17" i="78"/>
  <c r="AM16" i="78"/>
  <c r="AM17" i="78" s="1"/>
  <c r="AM18" i="78" s="1"/>
  <c r="AR15" i="78"/>
  <c r="AR16" i="78" s="1"/>
  <c r="AR17" i="78" s="1"/>
  <c r="AR18" i="78" s="1"/>
  <c r="AR19" i="78" s="1"/>
  <c r="AR20" i="78" s="1"/>
  <c r="AR21" i="78" s="1"/>
  <c r="AR22" i="78" s="1"/>
  <c r="AR23" i="78" s="1"/>
  <c r="AR24" i="78" s="1"/>
  <c r="AR25" i="78" s="1"/>
  <c r="AR26" i="78" s="1"/>
  <c r="AR27" i="78" s="1"/>
  <c r="AR28" i="78" s="1"/>
  <c r="AR29" i="78" s="1"/>
  <c r="AR30" i="78" s="1"/>
  <c r="AR31" i="78" s="1"/>
  <c r="AR32" i="78" s="1"/>
  <c r="AR33" i="78" s="1"/>
  <c r="AR34" i="78" s="1"/>
  <c r="AR35" i="78" s="1"/>
  <c r="AR36" i="78" s="1"/>
  <c r="AR37" i="78" s="1"/>
  <c r="AR38" i="78" s="1"/>
  <c r="AR39" i="78" s="1"/>
  <c r="AR40" i="78" s="1"/>
  <c r="AM14" i="78"/>
  <c r="AM15" i="78" s="1"/>
  <c r="AR13" i="78"/>
  <c r="AR14" i="78" s="1"/>
  <c r="AM13" i="78"/>
  <c r="L13" i="78"/>
  <c r="L11" i="78"/>
  <c r="AG10" i="78"/>
  <c r="AG11" i="78" s="1"/>
  <c r="AG12" i="78" s="1"/>
  <c r="AG13" i="78" s="1"/>
  <c r="AG14" i="78" s="1"/>
  <c r="AG15" i="78" s="1"/>
  <c r="AG16" i="78" s="1"/>
  <c r="AG17" i="78" s="1"/>
  <c r="AG18" i="78" s="1"/>
  <c r="AG19" i="78" s="1"/>
  <c r="AG20" i="78" s="1"/>
  <c r="AG21" i="78" s="1"/>
  <c r="AG22" i="78" s="1"/>
  <c r="AG23" i="78" s="1"/>
  <c r="AG24" i="78" s="1"/>
  <c r="AG25" i="78" s="1"/>
  <c r="AG26" i="78" s="1"/>
  <c r="AG27" i="78" s="1"/>
  <c r="AG28" i="78" s="1"/>
  <c r="AG29" i="78" s="1"/>
  <c r="AG30" i="78" s="1"/>
  <c r="AG31" i="78" s="1"/>
  <c r="AG32" i="78" s="1"/>
  <c r="AG33" i="78" s="1"/>
  <c r="AG34" i="78" s="1"/>
  <c r="AG35" i="78" s="1"/>
  <c r="AG36" i="78" s="1"/>
  <c r="AG37" i="78" s="1"/>
  <c r="AG38" i="78" s="1"/>
  <c r="AG9" i="78"/>
  <c r="X9" i="78"/>
  <c r="X10" i="78" s="1"/>
  <c r="X11" i="78" s="1"/>
  <c r="X12" i="78" s="1"/>
  <c r="X13" i="78" s="1"/>
  <c r="X14" i="78" s="1"/>
  <c r="X15" i="78" s="1"/>
  <c r="X16" i="78" s="1"/>
  <c r="X17" i="78" s="1"/>
  <c r="X18" i="78" s="1"/>
  <c r="X19" i="78" s="1"/>
  <c r="X20" i="78" s="1"/>
  <c r="X21" i="78" s="1"/>
  <c r="X22" i="78" s="1"/>
  <c r="X23" i="78" s="1"/>
  <c r="X24" i="78" s="1"/>
  <c r="X25" i="78" s="1"/>
  <c r="X26" i="78" s="1"/>
  <c r="X27" i="78" s="1"/>
  <c r="X28" i="78" s="1"/>
  <c r="X29" i="78" s="1"/>
  <c r="X30" i="78" s="1"/>
  <c r="X31" i="78" s="1"/>
  <c r="X32" i="78" s="1"/>
  <c r="X33" i="78" s="1"/>
  <c r="X34" i="78" s="1"/>
  <c r="X35" i="78" s="1"/>
  <c r="X36" i="78" s="1"/>
  <c r="X37" i="78" s="1"/>
  <c r="X38" i="78" s="1"/>
  <c r="X39" i="78" s="1"/>
  <c r="X40" i="78" s="1"/>
  <c r="X41" i="78" s="1"/>
  <c r="X42" i="78" s="1"/>
  <c r="X43" i="78" s="1"/>
  <c r="X44" i="78" s="1"/>
  <c r="X45" i="78" s="1"/>
  <c r="X46" i="78" s="1"/>
  <c r="BB7" i="78"/>
  <c r="J7" i="78"/>
  <c r="BB6" i="78"/>
  <c r="AY2" i="78"/>
  <c r="AX2" i="78"/>
  <c r="AW2" i="78"/>
  <c r="AV2" i="78"/>
  <c r="AU2" i="78"/>
  <c r="AT2" i="78"/>
  <c r="AS2" i="78"/>
  <c r="AR2" i="78"/>
  <c r="AP2" i="78"/>
  <c r="AO2" i="78"/>
  <c r="AN2" i="78"/>
  <c r="AM2" i="78"/>
  <c r="AK2" i="78"/>
  <c r="AJ2" i="78"/>
  <c r="AI2" i="78"/>
  <c r="AH2" i="78"/>
  <c r="AG2" i="78"/>
  <c r="AE2" i="78"/>
  <c r="AD2" i="78"/>
  <c r="AC2" i="78"/>
  <c r="AB2" i="78"/>
  <c r="AA2" i="78"/>
  <c r="Z2" i="78"/>
  <c r="Y2" i="78"/>
  <c r="X2" i="78"/>
  <c r="V2" i="78"/>
  <c r="U2" i="78"/>
  <c r="T2" i="78"/>
  <c r="R2" i="78"/>
  <c r="Q2" i="78"/>
  <c r="P2" i="78"/>
  <c r="O2" i="78"/>
  <c r="N2" i="78"/>
  <c r="M2" i="78"/>
  <c r="L2" i="78"/>
  <c r="J2" i="78"/>
  <c r="I2" i="78"/>
  <c r="H2" i="78"/>
  <c r="G2" i="78"/>
  <c r="E2" i="78"/>
  <c r="D2" i="78"/>
  <c r="C2" i="78"/>
  <c r="B2" i="78"/>
  <c r="BC1" i="78"/>
  <c r="BB1" i="78"/>
  <c r="AY1" i="78"/>
  <c r="AX1" i="78"/>
  <c r="AW1" i="78"/>
  <c r="AV1" i="78"/>
  <c r="AU1" i="78"/>
  <c r="AT1" i="78"/>
  <c r="AS1" i="78"/>
  <c r="AR1" i="78"/>
  <c r="AP1" i="78"/>
  <c r="AO1" i="78"/>
  <c r="AN1" i="78"/>
  <c r="AM1" i="78"/>
  <c r="AK1" i="78"/>
  <c r="AJ1" i="78"/>
  <c r="AI1" i="78"/>
  <c r="AH1" i="78"/>
  <c r="AG1" i="78"/>
  <c r="AE1" i="78"/>
  <c r="AD1" i="78"/>
  <c r="AC1" i="78"/>
  <c r="AB1" i="78"/>
  <c r="AA1" i="78"/>
  <c r="Z1" i="78"/>
  <c r="Y1" i="78"/>
  <c r="X1" i="78"/>
  <c r="V1" i="78"/>
  <c r="U1" i="78"/>
  <c r="T1" i="78"/>
  <c r="R1" i="78"/>
  <c r="Q1" i="78"/>
  <c r="P1" i="78"/>
  <c r="O1" i="78"/>
  <c r="N1" i="78"/>
  <c r="M1" i="78"/>
  <c r="L1" i="78"/>
  <c r="J1" i="78"/>
  <c r="I1" i="78"/>
  <c r="H1" i="78"/>
  <c r="G1" i="78"/>
  <c r="E1" i="78"/>
  <c r="D1" i="78"/>
  <c r="C1" i="78"/>
  <c r="B1" i="78"/>
  <c r="A1" i="78"/>
  <c r="Y18" i="57" a="1"/>
  <c r="Y18" i="57" s="1"/>
  <c r="AU34" i="15" a="1"/>
  <c r="AU34" i="15" s="1"/>
  <c r="AU33" i="15" a="1"/>
  <c r="AU33" i="15" s="1"/>
  <c r="AU32" i="15" a="1"/>
  <c r="AU32" i="15" s="1"/>
  <c r="AU31" i="15" a="1"/>
  <c r="AU31" i="15" s="1"/>
  <c r="AU30" i="15" a="1"/>
  <c r="AU30" i="15" s="1"/>
  <c r="AU29" i="15" a="1"/>
  <c r="AU29" i="15" s="1"/>
  <c r="AU28" i="15" a="1"/>
  <c r="AU28" i="15" s="1"/>
  <c r="AU27" i="15" a="1"/>
  <c r="AU27" i="15" s="1"/>
  <c r="AU26" i="15" a="1"/>
  <c r="AU26" i="15" s="1"/>
  <c r="AU25" i="15" a="1"/>
  <c r="AU25" i="15" s="1"/>
  <c r="AU24" i="15" a="1"/>
  <c r="AU24" i="15" s="1"/>
  <c r="AU23" i="15" a="1"/>
  <c r="AU23" i="15" s="1"/>
  <c r="AU22" i="15" a="1"/>
  <c r="AU22" i="15" s="1"/>
  <c r="AU21" i="15" a="1"/>
  <c r="AU21" i="15" s="1"/>
  <c r="AU20" i="15" a="1"/>
  <c r="AU20" i="15" s="1"/>
  <c r="AE34" i="15" a="1"/>
  <c r="AE34" i="15" s="1"/>
  <c r="AE33" i="15" a="1"/>
  <c r="AE33" i="15" s="1"/>
  <c r="AE32" i="15" a="1"/>
  <c r="AE32" i="15" s="1"/>
  <c r="AE31" i="15" a="1"/>
  <c r="AE31" i="15" s="1"/>
  <c r="AE30" i="15" a="1"/>
  <c r="AE30" i="15" s="1"/>
  <c r="AE29" i="15" a="1"/>
  <c r="AE29" i="15" s="1"/>
  <c r="AE28" i="15" a="1"/>
  <c r="AE28" i="15" s="1"/>
  <c r="AE27" i="15" a="1"/>
  <c r="AE27" i="15" s="1"/>
  <c r="AE26" i="15" a="1"/>
  <c r="AE26" i="15" s="1"/>
  <c r="AE25" i="15" a="1"/>
  <c r="AE25" i="15" s="1"/>
  <c r="AE24" i="15" a="1"/>
  <c r="AE24" i="15" s="1"/>
  <c r="AE23" i="15" a="1"/>
  <c r="AE23" i="15" s="1"/>
  <c r="AE22" i="15" a="1"/>
  <c r="AE22" i="15" s="1"/>
  <c r="AE21" i="15" a="1"/>
  <c r="AE21" i="15" s="1"/>
  <c r="AE20" i="15" a="1"/>
  <c r="AE20" i="15" s="1"/>
  <c r="O34" i="15" a="1"/>
  <c r="O34" i="15" s="1"/>
  <c r="O33" i="15" a="1"/>
  <c r="O33" i="15" s="1"/>
  <c r="O32" i="15" a="1"/>
  <c r="O32" i="15" s="1"/>
  <c r="O31" i="15" a="1"/>
  <c r="O31" i="15" s="1"/>
  <c r="O30" i="15" a="1"/>
  <c r="O30" i="15" s="1"/>
  <c r="O29" i="15" a="1"/>
  <c r="O29" i="15" s="1"/>
  <c r="O28" i="15" a="1"/>
  <c r="O28" i="15" s="1"/>
  <c r="O27" i="15" a="1"/>
  <c r="O27" i="15" s="1"/>
  <c r="O26" i="15" a="1"/>
  <c r="O26" i="15" s="1"/>
  <c r="O25" i="15" a="1"/>
  <c r="O25" i="15" s="1"/>
  <c r="O24" i="15" a="1"/>
  <c r="O24" i="15" s="1"/>
  <c r="O23" i="15" a="1"/>
  <c r="O23" i="15" s="1"/>
  <c r="O22" i="15" a="1"/>
  <c r="O22" i="15" s="1"/>
  <c r="O21" i="15" a="1"/>
  <c r="O21" i="15" s="1"/>
  <c r="O20" i="15" a="1"/>
  <c r="O20" i="15" s="1"/>
  <c r="O29" i="71" a="1"/>
  <c r="O29" i="71" s="1"/>
  <c r="O28" i="71" a="1"/>
  <c r="O28" i="71" s="1"/>
  <c r="O27" i="71" a="1"/>
  <c r="O27" i="71" s="1"/>
  <c r="O26" i="71" a="1"/>
  <c r="O26" i="71" s="1"/>
  <c r="O25" i="71" a="1"/>
  <c r="O25" i="71" s="1"/>
  <c r="O24" i="71" a="1"/>
  <c r="O24" i="71" s="1"/>
  <c r="O23" i="71" a="1"/>
  <c r="O23" i="71" s="1"/>
  <c r="O22" i="71" a="1"/>
  <c r="O22" i="71" s="1"/>
  <c r="O21" i="71" a="1"/>
  <c r="O21" i="71" s="1"/>
  <c r="O20" i="71" a="1"/>
  <c r="O20" i="71" s="1"/>
  <c r="AE29" i="61" a="1"/>
  <c r="AE29" i="61" s="1"/>
  <c r="AE28" i="61" a="1"/>
  <c r="AE28" i="61" s="1"/>
  <c r="AE27" i="61" a="1"/>
  <c r="AE27" i="61" s="1"/>
  <c r="AE26" i="61" a="1"/>
  <c r="AE26" i="61" s="1"/>
  <c r="AE25" i="61" a="1"/>
  <c r="AE25" i="61" s="1"/>
  <c r="AE24" i="61" a="1"/>
  <c r="AE24" i="61" s="1"/>
  <c r="AE23" i="61" a="1"/>
  <c r="AE23" i="61" s="1"/>
  <c r="AE22" i="61" a="1"/>
  <c r="AE22" i="61" s="1"/>
  <c r="AE21" i="61" a="1"/>
  <c r="AE21" i="61" s="1"/>
  <c r="AE20" i="61" a="1"/>
  <c r="AE20" i="61" s="1"/>
  <c r="O29" i="61" a="1"/>
  <c r="O29" i="61" s="1"/>
  <c r="O28" i="61" a="1"/>
  <c r="O28" i="61" s="1"/>
  <c r="O27" i="61" a="1"/>
  <c r="O27" i="61" s="1"/>
  <c r="O26" i="61" a="1"/>
  <c r="O26" i="61" s="1"/>
  <c r="O25" i="61" a="1"/>
  <c r="O25" i="61" s="1"/>
  <c r="O24" i="61" a="1"/>
  <c r="O24" i="61" s="1"/>
  <c r="O23" i="61" a="1"/>
  <c r="O23" i="61" s="1"/>
  <c r="O22" i="61" a="1"/>
  <c r="O22" i="61" s="1"/>
  <c r="O21" i="61" a="1"/>
  <c r="O21" i="61" s="1"/>
  <c r="O20" i="61" a="1"/>
  <c r="O20" i="61" s="1"/>
  <c r="AU34" i="59" a="1"/>
  <c r="AU34" i="59" s="1"/>
  <c r="AU33" i="59" a="1"/>
  <c r="AU33" i="59" s="1"/>
  <c r="AU32" i="59" a="1"/>
  <c r="AU32" i="59" s="1"/>
  <c r="AU31" i="59" a="1"/>
  <c r="AU31" i="59" s="1"/>
  <c r="AU30" i="59" a="1"/>
  <c r="AU30" i="59" s="1"/>
  <c r="AU29" i="59" a="1"/>
  <c r="AU29" i="59" s="1"/>
  <c r="AU28" i="59" a="1"/>
  <c r="AU28" i="59" s="1"/>
  <c r="AU27" i="59" a="1"/>
  <c r="AU27" i="59" s="1"/>
  <c r="AU26" i="59" a="1"/>
  <c r="AU26" i="59" s="1"/>
  <c r="AU25" i="59" a="1"/>
  <c r="AU25" i="59" s="1"/>
  <c r="AU24" i="59" a="1"/>
  <c r="AU24" i="59" s="1"/>
  <c r="AU23" i="59" a="1"/>
  <c r="AU23" i="59" s="1"/>
  <c r="AU22" i="59" a="1"/>
  <c r="AU22" i="59" s="1"/>
  <c r="AU21" i="59" a="1"/>
  <c r="AU21" i="59" s="1"/>
  <c r="AU20" i="59" a="1"/>
  <c r="AU20" i="59" s="1"/>
  <c r="AE34" i="59" a="1"/>
  <c r="AE34" i="59" s="1"/>
  <c r="AE33" i="59" a="1"/>
  <c r="AE33" i="59" s="1"/>
  <c r="AE32" i="59" a="1"/>
  <c r="AE32" i="59" s="1"/>
  <c r="AE31" i="59" a="1"/>
  <c r="AE31" i="59" s="1"/>
  <c r="AE30" i="59" a="1"/>
  <c r="AE30" i="59" s="1"/>
  <c r="AE29" i="59" a="1"/>
  <c r="AE29" i="59" s="1"/>
  <c r="AE28" i="59" a="1"/>
  <c r="AE28" i="59" s="1"/>
  <c r="AE27" i="59" a="1"/>
  <c r="AE27" i="59" s="1"/>
  <c r="AE26" i="59" a="1"/>
  <c r="AE26" i="59" s="1"/>
  <c r="AE25" i="59" a="1"/>
  <c r="AE25" i="59" s="1"/>
  <c r="AE24" i="59" a="1"/>
  <c r="AE24" i="59" s="1"/>
  <c r="AE23" i="59" a="1"/>
  <c r="AE23" i="59" s="1"/>
  <c r="AE22" i="59" a="1"/>
  <c r="AE22" i="59" s="1"/>
  <c r="AE21" i="59" a="1"/>
  <c r="AE21" i="59" s="1"/>
  <c r="AE20" i="59" a="1"/>
  <c r="AE20" i="59" s="1"/>
  <c r="O34" i="59" a="1"/>
  <c r="O34" i="59" s="1"/>
  <c r="O33" i="59" a="1"/>
  <c r="O33" i="59" s="1"/>
  <c r="O32" i="59" a="1"/>
  <c r="O32" i="59" s="1"/>
  <c r="O31" i="59" a="1"/>
  <c r="O31" i="59" s="1"/>
  <c r="O30" i="59" a="1"/>
  <c r="O30" i="59" s="1"/>
  <c r="O29" i="59" a="1"/>
  <c r="O29" i="59" s="1"/>
  <c r="O28" i="59" a="1"/>
  <c r="O28" i="59" s="1"/>
  <c r="O27" i="59" a="1"/>
  <c r="O27" i="59" s="1"/>
  <c r="O26" i="59" a="1"/>
  <c r="O26" i="59" s="1"/>
  <c r="O25" i="59" a="1"/>
  <c r="O25" i="59" s="1"/>
  <c r="O24" i="59" a="1"/>
  <c r="O24" i="59" s="1"/>
  <c r="O23" i="59" a="1"/>
  <c r="O23" i="59" s="1"/>
  <c r="O22" i="59" a="1"/>
  <c r="O22" i="59" s="1"/>
  <c r="O21" i="59" a="1"/>
  <c r="O21" i="59" s="1"/>
  <c r="O20" i="59" a="1"/>
  <c r="O20" i="59" s="1"/>
  <c r="AU354" i="35" a="1"/>
  <c r="AU354" i="35" s="1"/>
  <c r="AU353" i="35"/>
  <c r="AU353" i="35" a="1"/>
  <c r="AU352" i="35" a="1"/>
  <c r="AU352" i="35" s="1"/>
  <c r="AU351" i="35" a="1"/>
  <c r="AU351" i="35" s="1"/>
  <c r="AU350" i="35" a="1"/>
  <c r="AU350" i="35" s="1"/>
  <c r="AU349" i="35" a="1"/>
  <c r="AU349" i="35" s="1"/>
  <c r="AU348" i="35" a="1"/>
  <c r="AU348" i="35" s="1"/>
  <c r="AU347" i="35" a="1"/>
  <c r="AU347" i="35" s="1"/>
  <c r="AU346" i="35" a="1"/>
  <c r="AU346" i="35" s="1"/>
  <c r="AU345" i="35"/>
  <c r="AU345" i="35" a="1"/>
  <c r="AU344" i="35" a="1"/>
  <c r="AU344" i="35" s="1"/>
  <c r="AU343" i="35" a="1"/>
  <c r="AU343" i="35" s="1"/>
  <c r="AU342" i="35" a="1"/>
  <c r="AU342" i="35" s="1"/>
  <c r="AU341" i="35" a="1"/>
  <c r="AU341" i="35" s="1"/>
  <c r="AU340" i="35" a="1"/>
  <c r="AU340" i="35" s="1"/>
  <c r="AU339" i="35" a="1"/>
  <c r="AU339" i="35" s="1"/>
  <c r="AU338" i="35" a="1"/>
  <c r="AU338" i="35" s="1"/>
  <c r="AU337" i="35"/>
  <c r="AU337" i="35" a="1"/>
  <c r="AU336" i="35" a="1"/>
  <c r="AU336" i="35" s="1"/>
  <c r="AU335" i="35" a="1"/>
  <c r="AU335" i="35" s="1"/>
  <c r="AU334" i="35" a="1"/>
  <c r="AU334" i="35" s="1"/>
  <c r="AU333" i="35" a="1"/>
  <c r="AU333" i="35" s="1"/>
  <c r="AU332" i="35" a="1"/>
  <c r="AU332" i="35" s="1"/>
  <c r="AU331" i="35" a="1"/>
  <c r="AU331" i="35" s="1"/>
  <c r="AU330" i="35" a="1"/>
  <c r="AU330" i="35" s="1"/>
  <c r="AU329" i="35"/>
  <c r="AU329" i="35" a="1"/>
  <c r="AU328" i="35" a="1"/>
  <c r="AU328" i="35" s="1"/>
  <c r="AU327" i="35" a="1"/>
  <c r="AU327" i="35" s="1"/>
  <c r="AU326" i="35" a="1"/>
  <c r="AU326" i="35" s="1"/>
  <c r="AU325" i="35" a="1"/>
  <c r="AU325" i="35" s="1"/>
  <c r="AU324" i="35" a="1"/>
  <c r="AU324" i="35" s="1"/>
  <c r="AU323" i="35" a="1"/>
  <c r="AU323" i="35" s="1"/>
  <c r="AU322" i="35" a="1"/>
  <c r="AU322" i="35" s="1"/>
  <c r="AU321" i="35"/>
  <c r="AU321" i="35" a="1"/>
  <c r="AU320" i="35" a="1"/>
  <c r="AU320" i="35" s="1"/>
  <c r="AU319" i="35" a="1"/>
  <c r="AU319" i="35" s="1"/>
  <c r="AU318" i="35" a="1"/>
  <c r="AU318" i="35" s="1"/>
  <c r="AU317" i="35" a="1"/>
  <c r="AU317" i="35" s="1"/>
  <c r="AU316" i="35" a="1"/>
  <c r="AU316" i="35" s="1"/>
  <c r="AU315" i="35" a="1"/>
  <c r="AU315" i="35" s="1"/>
  <c r="AE354" i="35" a="1"/>
  <c r="AE354" i="35" s="1"/>
  <c r="AE353" i="35" a="1"/>
  <c r="AE353" i="35" s="1"/>
  <c r="AE352" i="35" a="1"/>
  <c r="AE352" i="35" s="1"/>
  <c r="AE351" i="35" a="1"/>
  <c r="AE351" i="35" s="1"/>
  <c r="AE350" i="35" a="1"/>
  <c r="AE350" i="35" s="1"/>
  <c r="AE349" i="35" a="1"/>
  <c r="AE349" i="35" s="1"/>
  <c r="AE348" i="35" a="1"/>
  <c r="AE348" i="35" s="1"/>
  <c r="AE347" i="35" a="1"/>
  <c r="AE347" i="35" s="1"/>
  <c r="AE346" i="35" a="1"/>
  <c r="AE346" i="35" s="1"/>
  <c r="AE345" i="35" a="1"/>
  <c r="AE345" i="35" s="1"/>
  <c r="AE344" i="35" a="1"/>
  <c r="AE344" i="35" s="1"/>
  <c r="AE343" i="35" a="1"/>
  <c r="AE343" i="35" s="1"/>
  <c r="AE342" i="35" a="1"/>
  <c r="AE342" i="35" s="1"/>
  <c r="AE341" i="35" a="1"/>
  <c r="AE341" i="35" s="1"/>
  <c r="AE340" i="35" a="1"/>
  <c r="AE340" i="35" s="1"/>
  <c r="AE339" i="35" a="1"/>
  <c r="AE339" i="35" s="1"/>
  <c r="AE338" i="35" a="1"/>
  <c r="AE338" i="35" s="1"/>
  <c r="AE337" i="35" a="1"/>
  <c r="AE337" i="35" s="1"/>
  <c r="AE336" i="35" a="1"/>
  <c r="AE336" i="35" s="1"/>
  <c r="AE335" i="35" a="1"/>
  <c r="AE335" i="35" s="1"/>
  <c r="AE334" i="35" a="1"/>
  <c r="AE334" i="35" s="1"/>
  <c r="AE333" i="35" a="1"/>
  <c r="AE333" i="35" s="1"/>
  <c r="AE332" i="35" a="1"/>
  <c r="AE332" i="35" s="1"/>
  <c r="AE331" i="35" a="1"/>
  <c r="AE331" i="35" s="1"/>
  <c r="AE330" i="35" a="1"/>
  <c r="AE330" i="35" s="1"/>
  <c r="AE329" i="35" a="1"/>
  <c r="AE329" i="35" s="1"/>
  <c r="AE328" i="35" a="1"/>
  <c r="AE328" i="35" s="1"/>
  <c r="AE327" i="35" a="1"/>
  <c r="AE327" i="35" s="1"/>
  <c r="AE326" i="35" a="1"/>
  <c r="AE326" i="35" s="1"/>
  <c r="AE325" i="35" a="1"/>
  <c r="AE325" i="35" s="1"/>
  <c r="AE324" i="35" a="1"/>
  <c r="AE324" i="35" s="1"/>
  <c r="AE323" i="35" a="1"/>
  <c r="AE323" i="35" s="1"/>
  <c r="AE322" i="35" a="1"/>
  <c r="AE322" i="35" s="1"/>
  <c r="AE321" i="35" a="1"/>
  <c r="AE321" i="35" s="1"/>
  <c r="AE320" i="35" a="1"/>
  <c r="AE320" i="35" s="1"/>
  <c r="AE319" i="35" a="1"/>
  <c r="AE319" i="35" s="1"/>
  <c r="AE318" i="35" a="1"/>
  <c r="AE318" i="35" s="1"/>
  <c r="AE317" i="35" a="1"/>
  <c r="AE317" i="35" s="1"/>
  <c r="AE316" i="35" a="1"/>
  <c r="AE316" i="35" s="1"/>
  <c r="AE315" i="35" a="1"/>
  <c r="AE315" i="35" s="1"/>
  <c r="O354" i="35" a="1"/>
  <c r="O354" i="35" s="1"/>
  <c r="O353" i="35" a="1"/>
  <c r="O353" i="35" s="1"/>
  <c r="O352" i="35" a="1"/>
  <c r="O352" i="35" s="1"/>
  <c r="O351" i="35"/>
  <c r="O351" i="35" a="1"/>
  <c r="O350" i="35" a="1"/>
  <c r="O350" i="35" s="1"/>
  <c r="O349" i="35" a="1"/>
  <c r="O349" i="35" s="1"/>
  <c r="O348" i="35" a="1"/>
  <c r="O348" i="35" s="1"/>
  <c r="O347" i="35" a="1"/>
  <c r="O347" i="35" s="1"/>
  <c r="O346" i="35" a="1"/>
  <c r="O346" i="35" s="1"/>
  <c r="O345" i="35" a="1"/>
  <c r="O345" i="35" s="1"/>
  <c r="O344" i="35" a="1"/>
  <c r="O344" i="35" s="1"/>
  <c r="O343" i="35"/>
  <c r="O343" i="35" a="1"/>
  <c r="O342" i="35" a="1"/>
  <c r="O342" i="35" s="1"/>
  <c r="O341" i="35" a="1"/>
  <c r="O341" i="35" s="1"/>
  <c r="O340" i="35" a="1"/>
  <c r="O340" i="35" s="1"/>
  <c r="O339" i="35" a="1"/>
  <c r="O339" i="35" s="1"/>
  <c r="O338" i="35" a="1"/>
  <c r="O338" i="35" s="1"/>
  <c r="O337" i="35" a="1"/>
  <c r="O337" i="35" s="1"/>
  <c r="O336" i="35" a="1"/>
  <c r="O336" i="35" s="1"/>
  <c r="O335" i="35"/>
  <c r="O335" i="35" a="1"/>
  <c r="O334" i="35" a="1"/>
  <c r="O334" i="35" s="1"/>
  <c r="O333" i="35" a="1"/>
  <c r="O333" i="35" s="1"/>
  <c r="O332" i="35" a="1"/>
  <c r="O332" i="35" s="1"/>
  <c r="O331" i="35" a="1"/>
  <c r="O331" i="35" s="1"/>
  <c r="O330" i="35" a="1"/>
  <c r="O330" i="35" s="1"/>
  <c r="O329" i="35" a="1"/>
  <c r="O329" i="35" s="1"/>
  <c r="O328" i="35" a="1"/>
  <c r="O328" i="35" s="1"/>
  <c r="O327" i="35"/>
  <c r="O327" i="35" a="1"/>
  <c r="O326" i="35" a="1"/>
  <c r="O326" i="35" s="1"/>
  <c r="O325" i="35" a="1"/>
  <c r="O325" i="35" s="1"/>
  <c r="O324" i="35" a="1"/>
  <c r="O324" i="35" s="1"/>
  <c r="O323" i="35" a="1"/>
  <c r="O323" i="35" s="1"/>
  <c r="O322" i="35" a="1"/>
  <c r="O322" i="35" s="1"/>
  <c r="O321" i="35" a="1"/>
  <c r="O321" i="35" s="1"/>
  <c r="O320" i="35" a="1"/>
  <c r="O320" i="35" s="1"/>
  <c r="O319" i="35"/>
  <c r="O319" i="35" a="1"/>
  <c r="O318" i="35" a="1"/>
  <c r="O318" i="35" s="1"/>
  <c r="O317" i="35" a="1"/>
  <c r="O317" i="35" s="1"/>
  <c r="O316" i="35" a="1"/>
  <c r="O316" i="35" s="1"/>
  <c r="O315" i="35" a="1"/>
  <c r="O315" i="35" s="1"/>
  <c r="AU258" i="35" a="1"/>
  <c r="AU258" i="35" s="1"/>
  <c r="AU257" i="35" a="1"/>
  <c r="AU257" i="35" s="1"/>
  <c r="AU256" i="35" a="1"/>
  <c r="AU256" i="35" s="1"/>
  <c r="AU255" i="35" a="1"/>
  <c r="AU255" i="35" s="1"/>
  <c r="AU254" i="35" a="1"/>
  <c r="AU254" i="35" s="1"/>
  <c r="AU253" i="35" a="1"/>
  <c r="AU253" i="35" s="1"/>
  <c r="AU252" i="35" a="1"/>
  <c r="AU252" i="35" s="1"/>
  <c r="AU251" i="35" a="1"/>
  <c r="AU251" i="35" s="1"/>
  <c r="AU250" i="35" a="1"/>
  <c r="AU250" i="35" s="1"/>
  <c r="AU249" i="35" a="1"/>
  <c r="AU249" i="35" s="1"/>
  <c r="AU248" i="35" a="1"/>
  <c r="AU248" i="35" s="1"/>
  <c r="AU247" i="35" a="1"/>
  <c r="AU247" i="35" s="1"/>
  <c r="AU246" i="35" a="1"/>
  <c r="AU246" i="35" s="1"/>
  <c r="AU245" i="35" a="1"/>
  <c r="AU245" i="35" s="1"/>
  <c r="AU244" i="35" a="1"/>
  <c r="AU244" i="35" s="1"/>
  <c r="AU243" i="35" a="1"/>
  <c r="AU243" i="35" s="1"/>
  <c r="AU242" i="35" a="1"/>
  <c r="AU242" i="35" s="1"/>
  <c r="AU241" i="35" a="1"/>
  <c r="AU241" i="35" s="1"/>
  <c r="AU240" i="35" a="1"/>
  <c r="AU240" i="35" s="1"/>
  <c r="AU239" i="35" a="1"/>
  <c r="AU239" i="35" s="1"/>
  <c r="AU238" i="35" a="1"/>
  <c r="AU238" i="35" s="1"/>
  <c r="AU237" i="35" a="1"/>
  <c r="AU237" i="35" s="1"/>
  <c r="AU236" i="35" a="1"/>
  <c r="AU236" i="35" s="1"/>
  <c r="AU235" i="35" a="1"/>
  <c r="AU235" i="35" s="1"/>
  <c r="AU234" i="35" a="1"/>
  <c r="AU234" i="35" s="1"/>
  <c r="AU233" i="35" a="1"/>
  <c r="AU233" i="35" s="1"/>
  <c r="AU232" i="35" a="1"/>
  <c r="AU232" i="35" s="1"/>
  <c r="AU231" i="35" a="1"/>
  <c r="AU231" i="35" s="1"/>
  <c r="AU230" i="35" a="1"/>
  <c r="AU230" i="35" s="1"/>
  <c r="AU229" i="35" a="1"/>
  <c r="AU229" i="35" s="1"/>
  <c r="AE258" i="35"/>
  <c r="AE258" i="35" a="1"/>
  <c r="AE257" i="35" a="1"/>
  <c r="AE257" i="35" s="1"/>
  <c r="AE256" i="35" a="1"/>
  <c r="AE256" i="35" s="1"/>
  <c r="AE255" i="35"/>
  <c r="AE255" i="35" a="1"/>
  <c r="AE254" i="35" a="1"/>
  <c r="AE254" i="35" s="1"/>
  <c r="AE253" i="35" a="1"/>
  <c r="AE253" i="35" s="1"/>
  <c r="AE252" i="35" a="1"/>
  <c r="AE252" i="35" s="1"/>
  <c r="AE251" i="35" a="1"/>
  <c r="AE251" i="35" s="1"/>
  <c r="AE250" i="35"/>
  <c r="AE250" i="35" a="1"/>
  <c r="AE249" i="35" a="1"/>
  <c r="AE249" i="35" s="1"/>
  <c r="AE248" i="35" a="1"/>
  <c r="AE248" i="35" s="1"/>
  <c r="AE247" i="35"/>
  <c r="AE247" i="35" a="1"/>
  <c r="AE246" i="35" a="1"/>
  <c r="AE246" i="35" s="1"/>
  <c r="AE245" i="35" a="1"/>
  <c r="AE245" i="35" s="1"/>
  <c r="AE244" i="35" a="1"/>
  <c r="AE244" i="35" s="1"/>
  <c r="AE243" i="35" a="1"/>
  <c r="AE243" i="35" s="1"/>
  <c r="AE242" i="35"/>
  <c r="AE242" i="35" a="1"/>
  <c r="AE241" i="35" a="1"/>
  <c r="AE241" i="35" s="1"/>
  <c r="AE240" i="35" a="1"/>
  <c r="AE240" i="35" s="1"/>
  <c r="AE239" i="35"/>
  <c r="AE239" i="35" a="1"/>
  <c r="AE238" i="35" a="1"/>
  <c r="AE238" i="35" s="1"/>
  <c r="AE237" i="35" a="1"/>
  <c r="AE237" i="35" s="1"/>
  <c r="AE236" i="35" a="1"/>
  <c r="AE236" i="35" s="1"/>
  <c r="AE235" i="35" a="1"/>
  <c r="AE235" i="35" s="1"/>
  <c r="AE234" i="35" a="1"/>
  <c r="AE234" i="35" s="1"/>
  <c r="AE233" i="35" a="1"/>
  <c r="AE233" i="35" s="1"/>
  <c r="AE232" i="35" a="1"/>
  <c r="AE232" i="35" s="1"/>
  <c r="AE231" i="35"/>
  <c r="AE231" i="35" a="1"/>
  <c r="AE230" i="35" a="1"/>
  <c r="AE230" i="35" s="1"/>
  <c r="AE229" i="35" a="1"/>
  <c r="AE229" i="35" s="1"/>
  <c r="O258" i="35" a="1"/>
  <c r="O258" i="35" s="1"/>
  <c r="O257" i="35" a="1"/>
  <c r="O257" i="35" s="1"/>
  <c r="O256" i="35" a="1"/>
  <c r="O256" i="35" s="1"/>
  <c r="O255" i="35" a="1"/>
  <c r="O255" i="35" s="1"/>
  <c r="O254" i="35" a="1"/>
  <c r="O254" i="35" s="1"/>
  <c r="O253" i="35" a="1"/>
  <c r="O253" i="35" s="1"/>
  <c r="O252" i="35" a="1"/>
  <c r="O252" i="35" s="1"/>
  <c r="O251" i="35" a="1"/>
  <c r="O251" i="35" s="1"/>
  <c r="O250" i="35" a="1"/>
  <c r="O250" i="35" s="1"/>
  <c r="O249" i="35" a="1"/>
  <c r="O249" i="35" s="1"/>
  <c r="O248" i="35" a="1"/>
  <c r="O248" i="35" s="1"/>
  <c r="O247" i="35" a="1"/>
  <c r="O247" i="35" s="1"/>
  <c r="O246" i="35" a="1"/>
  <c r="O246" i="35" s="1"/>
  <c r="O245" i="35" a="1"/>
  <c r="O245" i="35" s="1"/>
  <c r="O244" i="35" a="1"/>
  <c r="O244" i="35" s="1"/>
  <c r="O243" i="35" a="1"/>
  <c r="O243" i="35" s="1"/>
  <c r="O242" i="35" a="1"/>
  <c r="O242" i="35" s="1"/>
  <c r="O241" i="35" a="1"/>
  <c r="O241" i="35" s="1"/>
  <c r="O240" i="35" a="1"/>
  <c r="O240" i="35" s="1"/>
  <c r="O239" i="35" a="1"/>
  <c r="O239" i="35" s="1"/>
  <c r="O238" i="35" a="1"/>
  <c r="O238" i="35" s="1"/>
  <c r="O237" i="35" a="1"/>
  <c r="O237" i="35" s="1"/>
  <c r="O236" i="35" a="1"/>
  <c r="O236" i="35" s="1"/>
  <c r="O235" i="35" a="1"/>
  <c r="O235" i="35" s="1"/>
  <c r="O234" i="35" a="1"/>
  <c r="O234" i="35" s="1"/>
  <c r="O233" i="35" a="1"/>
  <c r="O233" i="35" s="1"/>
  <c r="O232" i="35" a="1"/>
  <c r="O232" i="35" s="1"/>
  <c r="O231" i="35" a="1"/>
  <c r="O231" i="35" s="1"/>
  <c r="O230" i="35" a="1"/>
  <c r="O230" i="35" s="1"/>
  <c r="O229" i="35" a="1"/>
  <c r="O229" i="35" s="1"/>
  <c r="O172" i="35" a="1"/>
  <c r="O172" i="35" s="1"/>
  <c r="O171" i="35" a="1"/>
  <c r="O171" i="35" s="1"/>
  <c r="O170" i="35" a="1"/>
  <c r="O170" i="35" s="1"/>
  <c r="O169" i="35"/>
  <c r="O169" i="35" a="1"/>
  <c r="O168" i="35" a="1"/>
  <c r="O168" i="35" s="1"/>
  <c r="O167" i="35" a="1"/>
  <c r="O167" i="35" s="1"/>
  <c r="O166" i="35" a="1"/>
  <c r="O166" i="35" s="1"/>
  <c r="O165" i="35" a="1"/>
  <c r="O165" i="35" s="1"/>
  <c r="O164" i="35" a="1"/>
  <c r="O164" i="35" s="1"/>
  <c r="O163" i="35" a="1"/>
  <c r="O163" i="35" s="1"/>
  <c r="O162" i="35" a="1"/>
  <c r="O162" i="35" s="1"/>
  <c r="O161" i="35"/>
  <c r="O161" i="35" a="1"/>
  <c r="O160" i="35" a="1"/>
  <c r="O160" i="35" s="1"/>
  <c r="O159" i="35" a="1"/>
  <c r="O159" i="35" s="1"/>
  <c r="O158" i="35" a="1"/>
  <c r="O158" i="35" s="1"/>
  <c r="O157" i="35" a="1"/>
  <c r="O157" i="35" s="1"/>
  <c r="O156" i="35" a="1"/>
  <c r="O156" i="35" s="1"/>
  <c r="O155" i="35" a="1"/>
  <c r="O155" i="35" s="1"/>
  <c r="O154" i="35" a="1"/>
  <c r="O154" i="35" s="1"/>
  <c r="O153" i="35"/>
  <c r="O153" i="35" a="1"/>
  <c r="AE172" i="35" a="1"/>
  <c r="AE172" i="35" s="1"/>
  <c r="AE171" i="35"/>
  <c r="AE171" i="35" a="1"/>
  <c r="AE170" i="35"/>
  <c r="AE170" i="35" a="1"/>
  <c r="AE169" i="35" a="1"/>
  <c r="AE169" i="35" s="1"/>
  <c r="AE168" i="35" a="1"/>
  <c r="AE168" i="35" s="1"/>
  <c r="AE167" i="35" a="1"/>
  <c r="AE167" i="35" s="1"/>
  <c r="AE166" i="35" a="1"/>
  <c r="AE166" i="35" s="1"/>
  <c r="AE165" i="35" a="1"/>
  <c r="AE165" i="35" s="1"/>
  <c r="AE164" i="35" a="1"/>
  <c r="AE164" i="35" s="1"/>
  <c r="AE163" i="35"/>
  <c r="AE163" i="35" a="1"/>
  <c r="AE162" i="35"/>
  <c r="AE162" i="35" a="1"/>
  <c r="AE161" i="35" a="1"/>
  <c r="AE161" i="35" s="1"/>
  <c r="AE160" i="35" a="1"/>
  <c r="AE160" i="35" s="1"/>
  <c r="AE159" i="35" a="1"/>
  <c r="AE159" i="35" s="1"/>
  <c r="AE158" i="35" a="1"/>
  <c r="AE158" i="35" s="1"/>
  <c r="AE157" i="35" a="1"/>
  <c r="AE157" i="35" s="1"/>
  <c r="AE156" i="35" a="1"/>
  <c r="AE156" i="35" s="1"/>
  <c r="AE155" i="35"/>
  <c r="AE155" i="35" a="1"/>
  <c r="AE154" i="35"/>
  <c r="AE154" i="35" a="1"/>
  <c r="AE153" i="35" a="1"/>
  <c r="AE153" i="35" s="1"/>
  <c r="AU172" i="35" a="1"/>
  <c r="AU172" i="35" s="1"/>
  <c r="AU171" i="35" a="1"/>
  <c r="AU171" i="35" s="1"/>
  <c r="AU170" i="35" a="1"/>
  <c r="AU170" i="35" s="1"/>
  <c r="AU169" i="35" a="1"/>
  <c r="AU169" i="35" s="1"/>
  <c r="AU168" i="35" a="1"/>
  <c r="AU168" i="35" s="1"/>
  <c r="AU167" i="35" a="1"/>
  <c r="AU167" i="35" s="1"/>
  <c r="AU166" i="35" a="1"/>
  <c r="AU166" i="35" s="1"/>
  <c r="AU165" i="35" a="1"/>
  <c r="AU165" i="35" s="1"/>
  <c r="AU164" i="35" a="1"/>
  <c r="AU164" i="35" s="1"/>
  <c r="AU163" i="35" a="1"/>
  <c r="AU163" i="35" s="1"/>
  <c r="AU162" i="35" a="1"/>
  <c r="AU162" i="35" s="1"/>
  <c r="AU161" i="35" a="1"/>
  <c r="AU161" i="35" s="1"/>
  <c r="AU160" i="35" a="1"/>
  <c r="AU160" i="35" s="1"/>
  <c r="AU159" i="35" a="1"/>
  <c r="AU159" i="35" s="1"/>
  <c r="AU158" i="35" a="1"/>
  <c r="AU158" i="35" s="1"/>
  <c r="AU157" i="35" a="1"/>
  <c r="AU157" i="35" s="1"/>
  <c r="AU156" i="35" a="1"/>
  <c r="AU156" i="35" s="1"/>
  <c r="AU155" i="35" a="1"/>
  <c r="AU155" i="35" s="1"/>
  <c r="AU154" i="35" a="1"/>
  <c r="AU154" i="35" s="1"/>
  <c r="AU153" i="35" a="1"/>
  <c r="AU153" i="35" s="1"/>
  <c r="Y365" i="77" a="1"/>
  <c r="Y365" i="77" s="1"/>
  <c r="Y364" i="77" a="1"/>
  <c r="Y364" i="77" s="1"/>
  <c r="Y363" i="77" a="1"/>
  <c r="Y363" i="77" s="1"/>
  <c r="Y362" i="77" a="1"/>
  <c r="Y362" i="77" s="1"/>
  <c r="Y361" i="77" a="1"/>
  <c r="Y361" i="77" s="1"/>
  <c r="Y360" i="77" a="1"/>
  <c r="Y360" i="77" s="1"/>
  <c r="Y359" i="77" a="1"/>
  <c r="Y359" i="77" s="1"/>
  <c r="Y358" i="77" a="1"/>
  <c r="Y358" i="77" s="1"/>
  <c r="Y357" i="77" a="1"/>
  <c r="Y357" i="77" s="1"/>
  <c r="Y356" i="77" a="1"/>
  <c r="Y356" i="77" s="1"/>
  <c r="Y355" i="77" a="1"/>
  <c r="Y355" i="77" s="1"/>
  <c r="Y354" i="77" a="1"/>
  <c r="Y354" i="77" s="1"/>
  <c r="Y353" i="77" a="1"/>
  <c r="Y353" i="77" s="1"/>
  <c r="Y352" i="77" a="1"/>
  <c r="Y352" i="77" s="1"/>
  <c r="Y351" i="77" a="1"/>
  <c r="Y351" i="77" s="1"/>
  <c r="Y350" i="77" a="1"/>
  <c r="Y350" i="77" s="1"/>
  <c r="Y349" i="77" a="1"/>
  <c r="Y349" i="77" s="1"/>
  <c r="Y348" i="77" a="1"/>
  <c r="Y348" i="77" s="1"/>
  <c r="Y347" i="77" a="1"/>
  <c r="Y347" i="77" s="1"/>
  <c r="Y346" i="77" a="1"/>
  <c r="Y346" i="77" s="1"/>
  <c r="Y360" i="57" a="1"/>
  <c r="Y360" i="57" s="1"/>
  <c r="Y359" i="57" a="1"/>
  <c r="Y359" i="57" s="1"/>
  <c r="Y358" i="57" a="1"/>
  <c r="Y358" i="57" s="1"/>
  <c r="Y357" i="57" a="1"/>
  <c r="Y357" i="57" s="1"/>
  <c r="Y356" i="57" a="1"/>
  <c r="Y356" i="57" s="1"/>
  <c r="Y355" i="57" a="1"/>
  <c r="Y355" i="57" s="1"/>
  <c r="Y354" i="57" a="1"/>
  <c r="Y354" i="57" s="1"/>
  <c r="Y353" i="57" a="1"/>
  <c r="Y353" i="57" s="1"/>
  <c r="Y352" i="57" a="1"/>
  <c r="Y352" i="57" s="1"/>
  <c r="Y351" i="57" a="1"/>
  <c r="Y351" i="57" s="1"/>
  <c r="Y350" i="57" a="1"/>
  <c r="Y350" i="57" s="1"/>
  <c r="Y349" i="57" a="1"/>
  <c r="Y349" i="57" s="1"/>
  <c r="Y348" i="57" a="1"/>
  <c r="Y348" i="57" s="1"/>
  <c r="Y347" i="57" a="1"/>
  <c r="Y347" i="57" s="1"/>
  <c r="Y346" i="57" a="1"/>
  <c r="Y346" i="57" s="1"/>
  <c r="Y345" i="57" a="1"/>
  <c r="Y345" i="57" s="1"/>
  <c r="Y344" i="57" a="1"/>
  <c r="Y344" i="57" s="1"/>
  <c r="Y343" i="57" a="1"/>
  <c r="Y343" i="57" s="1"/>
  <c r="Y342" i="57" a="1"/>
  <c r="Y342" i="57" s="1"/>
  <c r="Y341" i="57" a="1"/>
  <c r="Y341" i="57" s="1"/>
  <c r="AO360" i="57" a="1"/>
  <c r="AO360" i="57" s="1"/>
  <c r="AO359" i="57" a="1"/>
  <c r="AO359" i="57" s="1"/>
  <c r="AO358" i="57"/>
  <c r="AO358" i="57" a="1"/>
  <c r="AO357" i="57"/>
  <c r="AO357" i="57" a="1"/>
  <c r="AO356" i="57" a="1"/>
  <c r="AO356" i="57" s="1"/>
  <c r="AO355" i="57" a="1"/>
  <c r="AO355" i="57" s="1"/>
  <c r="AO354" i="57" a="1"/>
  <c r="AO354" i="57" s="1"/>
  <c r="AO353" i="57" a="1"/>
  <c r="AO353" i="57" s="1"/>
  <c r="AO352" i="57" a="1"/>
  <c r="AO352" i="57" s="1"/>
  <c r="AO351" i="57" a="1"/>
  <c r="AO351" i="57" s="1"/>
  <c r="AO350" i="57"/>
  <c r="AO350" i="57" a="1"/>
  <c r="AO349" i="57"/>
  <c r="AO349" i="57" a="1"/>
  <c r="AO348" i="57" a="1"/>
  <c r="AO348" i="57" s="1"/>
  <c r="AO347" i="57" a="1"/>
  <c r="AO347" i="57" s="1"/>
  <c r="AO346" i="57" a="1"/>
  <c r="AO346" i="57" s="1"/>
  <c r="AO345" i="57" a="1"/>
  <c r="AO345" i="57" s="1"/>
  <c r="AO344" i="57" a="1"/>
  <c r="AO344" i="57" s="1"/>
  <c r="AO343" i="57" a="1"/>
  <c r="AO343" i="57" s="1"/>
  <c r="AO342" i="57"/>
  <c r="AO342" i="57" a="1"/>
  <c r="AO341" i="57"/>
  <c r="AO341" i="57" a="1"/>
  <c r="BE360" i="57" a="1"/>
  <c r="BE360" i="57" s="1"/>
  <c r="BE359" i="57" a="1"/>
  <c r="BE359" i="57" s="1"/>
  <c r="BE358" i="57" a="1"/>
  <c r="BE358" i="57" s="1"/>
  <c r="BE357" i="57" a="1"/>
  <c r="BE357" i="57" s="1"/>
  <c r="BE356" i="57" a="1"/>
  <c r="BE356" i="57" s="1"/>
  <c r="BE355" i="57" a="1"/>
  <c r="BE355" i="57" s="1"/>
  <c r="BE354" i="57" a="1"/>
  <c r="BE354" i="57" s="1"/>
  <c r="BE353" i="57" a="1"/>
  <c r="BE353" i="57" s="1"/>
  <c r="BE352" i="57" a="1"/>
  <c r="BE352" i="57" s="1"/>
  <c r="BE351" i="57" a="1"/>
  <c r="BE351" i="57" s="1"/>
  <c r="BE350" i="57" a="1"/>
  <c r="BE350" i="57" s="1"/>
  <c r="BE349" i="57" a="1"/>
  <c r="BE349" i="57" s="1"/>
  <c r="BE348" i="57" a="1"/>
  <c r="BE348" i="57" s="1"/>
  <c r="BE347" i="57" a="1"/>
  <c r="BE347" i="57" s="1"/>
  <c r="BE346" i="57" a="1"/>
  <c r="BE346" i="57" s="1"/>
  <c r="BE345" i="57" a="1"/>
  <c r="BE345" i="57" s="1"/>
  <c r="BE344" i="57" a="1"/>
  <c r="BE344" i="57" s="1"/>
  <c r="BE343" i="57" a="1"/>
  <c r="BE343" i="57" s="1"/>
  <c r="BE342" i="57" a="1"/>
  <c r="BE342" i="57" s="1"/>
  <c r="BE341" i="57" a="1"/>
  <c r="BE341" i="57" s="1"/>
  <c r="AU117" i="35" a="1"/>
  <c r="AU117" i="35" s="1"/>
  <c r="AU116" i="35" a="1"/>
  <c r="AU116" i="35" s="1"/>
  <c r="AU115" i="35" a="1"/>
  <c r="AU115" i="35" s="1"/>
  <c r="AU114" i="35"/>
  <c r="AU114" i="35" a="1"/>
  <c r="AU113" i="35" a="1"/>
  <c r="AU113" i="35" s="1"/>
  <c r="AU112" i="35" a="1"/>
  <c r="AU112" i="35" s="1"/>
  <c r="AU111" i="35" a="1"/>
  <c r="AU111" i="35" s="1"/>
  <c r="AU110" i="35" a="1"/>
  <c r="AU110" i="35" s="1"/>
  <c r="AU109" i="35" a="1"/>
  <c r="AU109" i="35" s="1"/>
  <c r="AU108" i="35" a="1"/>
  <c r="AU108" i="35" s="1"/>
  <c r="AU107" i="35" a="1"/>
  <c r="AU107" i="35" s="1"/>
  <c r="AU106" i="35"/>
  <c r="AU106" i="35" a="1"/>
  <c r="AU105" i="35" a="1"/>
  <c r="AU105" i="35" s="1"/>
  <c r="AU104" i="35" a="1"/>
  <c r="AU104" i="35" s="1"/>
  <c r="AU103" i="35" a="1"/>
  <c r="AU103" i="35" s="1"/>
  <c r="AE117" i="35" a="1"/>
  <c r="AE117" i="35" s="1"/>
  <c r="AE116" i="35" a="1"/>
  <c r="AE116" i="35" s="1"/>
  <c r="AE115" i="35" a="1"/>
  <c r="AE115" i="35" s="1"/>
  <c r="AE114" i="35"/>
  <c r="AE114" i="35" a="1"/>
  <c r="AE113" i="35" a="1"/>
  <c r="AE113" i="35" s="1"/>
  <c r="AE112" i="35" a="1"/>
  <c r="AE112" i="35" s="1"/>
  <c r="AE111" i="35" a="1"/>
  <c r="AE111" i="35" s="1"/>
  <c r="AE110" i="35" a="1"/>
  <c r="AE110" i="35" s="1"/>
  <c r="AE109" i="35" a="1"/>
  <c r="AE109" i="35" s="1"/>
  <c r="AE108" i="35" a="1"/>
  <c r="AE108" i="35" s="1"/>
  <c r="AE107" i="35" a="1"/>
  <c r="AE107" i="35" s="1"/>
  <c r="AE106" i="35"/>
  <c r="AE106" i="35" a="1"/>
  <c r="AE105" i="35" a="1"/>
  <c r="AE105" i="35" s="1"/>
  <c r="AE104" i="35" a="1"/>
  <c r="AE104" i="35" s="1"/>
  <c r="AE103" i="35" a="1"/>
  <c r="AE103" i="35" s="1"/>
  <c r="O117" i="35" a="1"/>
  <c r="O117" i="35" s="1"/>
  <c r="O116" i="35" a="1"/>
  <c r="O116" i="35" s="1"/>
  <c r="O115" i="35" a="1"/>
  <c r="O115" i="35" s="1"/>
  <c r="O114" i="35" a="1"/>
  <c r="O114" i="35" s="1"/>
  <c r="O113" i="35" a="1"/>
  <c r="O113" i="35" s="1"/>
  <c r="O112" i="35" a="1"/>
  <c r="O112" i="35" s="1"/>
  <c r="O111" i="35" a="1"/>
  <c r="O111" i="35" s="1"/>
  <c r="O110" i="35" a="1"/>
  <c r="O110" i="35" s="1"/>
  <c r="O109" i="35" a="1"/>
  <c r="O109" i="35" s="1"/>
  <c r="O108" i="35" a="1"/>
  <c r="O108" i="35" s="1"/>
  <c r="O107" i="35" a="1"/>
  <c r="O107" i="35" s="1"/>
  <c r="O106" i="35" a="1"/>
  <c r="O106" i="35" s="1"/>
  <c r="O105" i="35" a="1"/>
  <c r="O105" i="35" s="1"/>
  <c r="O104" i="35" a="1"/>
  <c r="O104" i="35" s="1"/>
  <c r="O103" i="35" a="1"/>
  <c r="O103" i="35" s="1"/>
  <c r="AU67" i="35" a="1"/>
  <c r="AU67" i="35" s="1"/>
  <c r="AU66" i="35" a="1"/>
  <c r="AU66" i="35" s="1"/>
  <c r="AU65" i="35" a="1"/>
  <c r="AU65" i="35" s="1"/>
  <c r="AU64" i="35" a="1"/>
  <c r="AU64" i="35" s="1"/>
  <c r="AU63" i="35" a="1"/>
  <c r="AU63" i="35" s="1"/>
  <c r="AU62" i="35" a="1"/>
  <c r="AU62" i="35" s="1"/>
  <c r="AU61" i="35" a="1"/>
  <c r="AU61" i="35" s="1"/>
  <c r="AU60" i="35" a="1"/>
  <c r="AU60" i="35" s="1"/>
  <c r="AU59" i="35" a="1"/>
  <c r="AU59" i="35" s="1"/>
  <c r="AU58" i="35" a="1"/>
  <c r="AU58" i="35" s="1"/>
  <c r="O67" i="35" a="1"/>
  <c r="O67" i="35" s="1"/>
  <c r="O66" i="35" a="1"/>
  <c r="O66" i="35" s="1"/>
  <c r="O65" i="35" a="1"/>
  <c r="O65" i="35" s="1"/>
  <c r="O64" i="35" a="1"/>
  <c r="O64" i="35" s="1"/>
  <c r="O63" i="35" a="1"/>
  <c r="O63" i="35" s="1"/>
  <c r="O62" i="35" a="1"/>
  <c r="O62" i="35" s="1"/>
  <c r="O61" i="35" a="1"/>
  <c r="O61" i="35" s="1"/>
  <c r="O60" i="35" a="1"/>
  <c r="O60" i="35" s="1"/>
  <c r="O59" i="35" a="1"/>
  <c r="O59" i="35" s="1"/>
  <c r="O58" i="35" a="1"/>
  <c r="O58" i="35" s="1"/>
  <c r="AU22" i="35" a="1"/>
  <c r="AU22" i="35" s="1"/>
  <c r="AU21" i="35" a="1"/>
  <c r="AU21" i="35" s="1"/>
  <c r="AU20" i="35" a="1"/>
  <c r="AU20" i="35" s="1"/>
  <c r="AU19" i="35" a="1"/>
  <c r="AU19" i="35" s="1"/>
  <c r="AU18" i="35" a="1"/>
  <c r="AU18" i="35" s="1"/>
  <c r="AE22" i="35" a="1"/>
  <c r="AE22" i="35" s="1"/>
  <c r="AE21" i="35" a="1"/>
  <c r="AE21" i="35" s="1"/>
  <c r="AE20" i="35" a="1"/>
  <c r="AE20" i="35" s="1"/>
  <c r="AE19" i="35" a="1"/>
  <c r="AE19" i="35" s="1"/>
  <c r="AE18" i="35" a="1"/>
  <c r="AE18" i="35" s="1"/>
  <c r="O22" i="35" a="1"/>
  <c r="O22" i="35" s="1"/>
  <c r="O21" i="35" a="1"/>
  <c r="O21" i="35" s="1"/>
  <c r="O20" i="35" a="1"/>
  <c r="O20" i="35" s="1"/>
  <c r="O19" i="35" a="1"/>
  <c r="O19" i="35" s="1"/>
  <c r="O18" i="35" a="1"/>
  <c r="O18" i="35" s="1"/>
  <c r="AE67" i="35" a="1"/>
  <c r="AE67" i="35" s="1"/>
  <c r="AE66" i="35"/>
  <c r="AE66" i="35" a="1"/>
  <c r="AE65" i="35" a="1"/>
  <c r="AE65" i="35" s="1"/>
  <c r="AE64" i="35" a="1"/>
  <c r="AE64" i="35" s="1"/>
  <c r="AE63" i="35" a="1"/>
  <c r="AE63" i="35" s="1"/>
  <c r="AE62" i="35" a="1"/>
  <c r="AE62" i="35" s="1"/>
  <c r="AE61" i="35" a="1"/>
  <c r="AE61" i="35" s="1"/>
  <c r="AE60" i="35" a="1"/>
  <c r="AE60" i="35" s="1"/>
  <c r="AE59" i="35" a="1"/>
  <c r="AE59" i="35" s="1"/>
  <c r="AE58" i="35"/>
  <c r="AE58" i="35" a="1"/>
  <c r="BE147" i="57" a="1"/>
  <c r="BE147" i="57" s="1"/>
  <c r="BE146" i="57" a="1"/>
  <c r="BE146" i="57" s="1"/>
  <c r="BE145" i="57" a="1"/>
  <c r="BE145" i="57" s="1"/>
  <c r="BE144" i="57" a="1"/>
  <c r="BE144" i="57" s="1"/>
  <c r="BE143" i="57" a="1"/>
  <c r="BE143" i="57" s="1"/>
  <c r="BE142" i="57" a="1"/>
  <c r="BE142" i="57" s="1"/>
  <c r="BE141" i="57" a="1"/>
  <c r="BE141" i="57" s="1"/>
  <c r="BE140" i="57" a="1"/>
  <c r="BE140" i="57" s="1"/>
  <c r="BE139" i="57" a="1"/>
  <c r="BE139" i="57" s="1"/>
  <c r="BE138" i="57" a="1"/>
  <c r="BE138" i="57" s="1"/>
  <c r="BE137" i="57" a="1"/>
  <c r="BE137" i="57" s="1"/>
  <c r="BE136" i="57" a="1"/>
  <c r="BE136" i="57" s="1"/>
  <c r="BE135" i="57" a="1"/>
  <c r="BE135" i="57" s="1"/>
  <c r="BE134" i="57" a="1"/>
  <c r="BE134" i="57" s="1"/>
  <c r="BE133" i="57" a="1"/>
  <c r="BE133" i="57" s="1"/>
  <c r="BE132" i="57" a="1"/>
  <c r="BE132" i="57" s="1"/>
  <c r="BE131" i="57" a="1"/>
  <c r="BE131" i="57" s="1"/>
  <c r="BE130" i="57" a="1"/>
  <c r="BE130" i="57" s="1"/>
  <c r="BE129" i="57" a="1"/>
  <c r="BE129" i="57" s="1"/>
  <c r="BE128" i="57" a="1"/>
  <c r="BE128" i="57" s="1"/>
  <c r="BE127" i="57" a="1"/>
  <c r="BE127" i="57" s="1"/>
  <c r="BE126" i="57" a="1"/>
  <c r="BE126" i="57" s="1"/>
  <c r="BE125" i="57" a="1"/>
  <c r="BE125" i="57" s="1"/>
  <c r="BE124" i="57" a="1"/>
  <c r="BE124" i="57" s="1"/>
  <c r="BE123" i="57" a="1"/>
  <c r="BE123" i="57" s="1"/>
  <c r="BE122" i="57" a="1"/>
  <c r="BE122" i="57" s="1"/>
  <c r="BE121" i="57" a="1"/>
  <c r="BE121" i="57" s="1"/>
  <c r="BE120" i="57" a="1"/>
  <c r="BE120" i="57" s="1"/>
  <c r="BE119" i="57" a="1"/>
  <c r="BE119" i="57" s="1"/>
  <c r="BE118" i="57" a="1"/>
  <c r="BE118" i="57" s="1"/>
  <c r="AO147" i="57"/>
  <c r="AO147" i="57" a="1"/>
  <c r="AO146" i="57" a="1"/>
  <c r="AO146" i="57" s="1"/>
  <c r="AO145" i="57" a="1"/>
  <c r="AO145" i="57" s="1"/>
  <c r="AO144" i="57" a="1"/>
  <c r="AO144" i="57" s="1"/>
  <c r="AO143" i="57" a="1"/>
  <c r="AO143" i="57" s="1"/>
  <c r="AO142" i="57" a="1"/>
  <c r="AO142" i="57" s="1"/>
  <c r="AO141" i="57" a="1"/>
  <c r="AO141" i="57" s="1"/>
  <c r="AO140" i="57" a="1"/>
  <c r="AO140" i="57" s="1"/>
  <c r="AO139" i="57" a="1"/>
  <c r="AO139" i="57" s="1"/>
  <c r="AO138" i="57" a="1"/>
  <c r="AO138" i="57" s="1"/>
  <c r="AO137" i="57" a="1"/>
  <c r="AO137" i="57" s="1"/>
  <c r="AO136" i="57" a="1"/>
  <c r="AO136" i="57" s="1"/>
  <c r="AO135" i="57" a="1"/>
  <c r="AO135" i="57" s="1"/>
  <c r="AO134" i="57" a="1"/>
  <c r="AO134" i="57" s="1"/>
  <c r="AO133" i="57" a="1"/>
  <c r="AO133" i="57" s="1"/>
  <c r="AO132" i="57" a="1"/>
  <c r="AO132" i="57" s="1"/>
  <c r="AO131" i="57" a="1"/>
  <c r="AO131" i="57" s="1"/>
  <c r="AO130" i="57" a="1"/>
  <c r="AO130" i="57" s="1"/>
  <c r="AO129" i="57" a="1"/>
  <c r="AO129" i="57" s="1"/>
  <c r="AO128" i="57" a="1"/>
  <c r="AO128" i="57" s="1"/>
  <c r="AO127" i="57" a="1"/>
  <c r="AO127" i="57" s="1"/>
  <c r="AO126" i="57" a="1"/>
  <c r="AO126" i="57" s="1"/>
  <c r="AO125" i="57" a="1"/>
  <c r="AO125" i="57" s="1"/>
  <c r="AO124" i="57" a="1"/>
  <c r="AO124" i="57" s="1"/>
  <c r="AO123" i="57" a="1"/>
  <c r="AO123" i="57" s="1"/>
  <c r="AO122" i="57" a="1"/>
  <c r="AO122" i="57" s="1"/>
  <c r="AO121" i="57" a="1"/>
  <c r="AO121" i="57" s="1"/>
  <c r="AO120" i="57" a="1"/>
  <c r="AO120" i="57" s="1"/>
  <c r="AO119" i="57" a="1"/>
  <c r="AO119" i="57" s="1"/>
  <c r="AO118" i="57" a="1"/>
  <c r="AO118" i="57" s="1"/>
  <c r="BE305" i="57" a="1"/>
  <c r="BE305" i="57" s="1"/>
  <c r="BE304" i="57" a="1"/>
  <c r="BE304" i="57" s="1"/>
  <c r="BE303" i="57" a="1"/>
  <c r="BE303" i="57" s="1"/>
  <c r="BE302" i="57" a="1"/>
  <c r="BE302" i="57" s="1"/>
  <c r="BE301" i="57" a="1"/>
  <c r="BE301" i="57" s="1"/>
  <c r="BE300" i="57" a="1"/>
  <c r="BE300" i="57" s="1"/>
  <c r="BE299" i="57" a="1"/>
  <c r="BE299" i="57" s="1"/>
  <c r="BE298" i="57" a="1"/>
  <c r="BE298" i="57" s="1"/>
  <c r="BE297" i="57" a="1"/>
  <c r="BE297" i="57" s="1"/>
  <c r="BE296" i="57" a="1"/>
  <c r="BE296" i="57" s="1"/>
  <c r="AO305" i="57" a="1"/>
  <c r="AO305" i="57" s="1"/>
  <c r="AO304" i="57" a="1"/>
  <c r="AO304" i="57" s="1"/>
  <c r="AO303" i="57" a="1"/>
  <c r="AO303" i="57" s="1"/>
  <c r="AO302" i="57" a="1"/>
  <c r="AO302" i="57" s="1"/>
  <c r="AO301" i="57" a="1"/>
  <c r="AO301" i="57" s="1"/>
  <c r="AO300" i="57" a="1"/>
  <c r="AO300" i="57" s="1"/>
  <c r="AO299" i="57" a="1"/>
  <c r="AO299" i="57" s="1"/>
  <c r="AO298" i="57" a="1"/>
  <c r="AO298" i="57" s="1"/>
  <c r="AO297" i="57" a="1"/>
  <c r="AO297" i="57" s="1"/>
  <c r="AO296" i="57" a="1"/>
  <c r="AO296" i="57" s="1"/>
  <c r="Y305" i="57" a="1"/>
  <c r="Y305" i="57" s="1"/>
  <c r="Y304" i="57" a="1"/>
  <c r="Y304" i="57" s="1"/>
  <c r="Y303" i="57" a="1"/>
  <c r="Y303" i="57" s="1"/>
  <c r="Y302" i="57" a="1"/>
  <c r="Y302" i="57" s="1"/>
  <c r="Y301" i="57" a="1"/>
  <c r="Y301" i="57" s="1"/>
  <c r="Y300" i="57" a="1"/>
  <c r="Y300" i="57" s="1"/>
  <c r="Y299" i="57" a="1"/>
  <c r="Y299" i="57" s="1"/>
  <c r="Y298" i="57" a="1"/>
  <c r="Y298" i="57" s="1"/>
  <c r="Y297" i="57" a="1"/>
  <c r="Y297" i="57" s="1"/>
  <c r="Y296" i="57" a="1"/>
  <c r="Y296" i="57" s="1"/>
  <c r="Y230" i="57"/>
  <c r="Y231" i="57"/>
  <c r="Y232" i="57"/>
  <c r="Y233" i="57"/>
  <c r="Y234" i="57"/>
  <c r="Y235" i="57"/>
  <c r="Y236" i="57"/>
  <c r="Y237" i="57"/>
  <c r="Y238" i="57"/>
  <c r="Y239" i="57"/>
  <c r="Y310" i="77" a="1"/>
  <c r="Y310" i="77" s="1"/>
  <c r="Y309" i="77" a="1"/>
  <c r="Y309" i="77" s="1"/>
  <c r="Y308" i="77" a="1"/>
  <c r="Y308" i="77" s="1"/>
  <c r="Y307" i="77" a="1"/>
  <c r="Y307" i="77" s="1"/>
  <c r="Y306" i="77" a="1"/>
  <c r="Y306" i="77" s="1"/>
  <c r="Y305" i="77" a="1"/>
  <c r="Y305" i="77" s="1"/>
  <c r="Y304" i="77" a="1"/>
  <c r="Y304" i="77" s="1"/>
  <c r="Y303" i="77" a="1"/>
  <c r="Y303" i="77" s="1"/>
  <c r="Y302" i="77" a="1"/>
  <c r="Y302" i="77" s="1"/>
  <c r="Y301" i="77" a="1"/>
  <c r="Y301" i="77" s="1"/>
  <c r="Y235" i="77"/>
  <c r="Y236" i="77"/>
  <c r="Y237" i="77"/>
  <c r="Y238" i="77"/>
  <c r="Y239" i="77"/>
  <c r="Y240" i="77"/>
  <c r="Y241" i="77"/>
  <c r="Y242" i="77"/>
  <c r="Y243" i="77"/>
  <c r="Y244" i="77"/>
  <c r="Y152" i="77" a="1"/>
  <c r="Y152" i="77" s="1"/>
  <c r="Y151" i="77" a="1"/>
  <c r="Y151" i="77" s="1"/>
  <c r="Y150" i="77" a="1"/>
  <c r="Y150" i="77" s="1"/>
  <c r="Y149" i="77"/>
  <c r="Y149" i="77" a="1"/>
  <c r="Y148" i="77" a="1"/>
  <c r="Y148" i="77" s="1"/>
  <c r="Y147" i="77" a="1"/>
  <c r="Y147" i="77" s="1"/>
  <c r="Y146" i="77" a="1"/>
  <c r="Y146" i="77" s="1"/>
  <c r="Y145" i="77" a="1"/>
  <c r="Y145" i="77" s="1"/>
  <c r="Y144" i="77" a="1"/>
  <c r="Y144" i="77" s="1"/>
  <c r="Y143" i="77" a="1"/>
  <c r="Y143" i="77" s="1"/>
  <c r="Y142" i="77" a="1"/>
  <c r="Y142" i="77" s="1"/>
  <c r="Y141" i="77"/>
  <c r="Y141" i="77" a="1"/>
  <c r="Y140" i="77" a="1"/>
  <c r="Y140" i="77" s="1"/>
  <c r="Y139" i="77" a="1"/>
  <c r="Y139" i="77" s="1"/>
  <c r="Y138" i="77" a="1"/>
  <c r="Y138" i="77" s="1"/>
  <c r="Y137" i="77"/>
  <c r="Y137" i="77" a="1"/>
  <c r="Y136" i="77" a="1"/>
  <c r="Y136" i="77" s="1"/>
  <c r="Y135" i="77" a="1"/>
  <c r="Y135" i="77" s="1"/>
  <c r="Y134" i="77" a="1"/>
  <c r="Y134" i="77" s="1"/>
  <c r="Y133" i="77"/>
  <c r="Y133" i="77" a="1"/>
  <c r="Y132" i="77" a="1"/>
  <c r="Y132" i="77" s="1"/>
  <c r="Y131" i="77" a="1"/>
  <c r="Y131" i="77" s="1"/>
  <c r="Y130" i="77" a="1"/>
  <c r="Y130" i="77" s="1"/>
  <c r="Y129" i="77" a="1"/>
  <c r="Y129" i="77" s="1"/>
  <c r="Y128" i="77" a="1"/>
  <c r="Y128" i="77" s="1"/>
  <c r="Y127" i="77" a="1"/>
  <c r="Y127" i="77" s="1"/>
  <c r="Y126" i="77" a="1"/>
  <c r="Y126" i="77" s="1"/>
  <c r="Y125" i="77"/>
  <c r="Y125" i="77" a="1"/>
  <c r="Y124" i="77" a="1"/>
  <c r="Y124" i="77" s="1"/>
  <c r="Y123" i="77" a="1"/>
  <c r="Y123" i="77" s="1"/>
  <c r="Y87" i="77" a="1"/>
  <c r="Y87" i="77" s="1"/>
  <c r="Y86" i="77"/>
  <c r="Y86" i="77" a="1"/>
  <c r="Y85" i="77" a="1"/>
  <c r="Y85" i="77" s="1"/>
  <c r="Y84" i="77" a="1"/>
  <c r="Y84" i="77" s="1"/>
  <c r="Y83" i="77" a="1"/>
  <c r="Y83" i="77" s="1"/>
  <c r="Y82" i="77" a="1"/>
  <c r="Y82" i="77" s="1"/>
  <c r="Y81" i="77" a="1"/>
  <c r="Y81" i="77" s="1"/>
  <c r="Y80" i="77" a="1"/>
  <c r="Y80" i="77" s="1"/>
  <c r="Y79" i="77" a="1"/>
  <c r="Y79" i="77" s="1"/>
  <c r="Y78" i="77" a="1"/>
  <c r="Y78" i="77" s="1"/>
  <c r="Y77" i="77" a="1"/>
  <c r="Y77" i="77" s="1"/>
  <c r="Y76" i="77" a="1"/>
  <c r="Y76" i="77" s="1"/>
  <c r="Y75" i="77" a="1"/>
  <c r="Y75" i="77" s="1"/>
  <c r="Y74" i="77" a="1"/>
  <c r="Y74" i="77" s="1"/>
  <c r="Y73" i="77" a="1"/>
  <c r="Y73" i="77" s="1"/>
  <c r="Y37" i="77" a="1"/>
  <c r="Y37" i="77" s="1"/>
  <c r="Y36" i="77" a="1"/>
  <c r="Y36" i="77" s="1"/>
  <c r="Y35" i="77" a="1"/>
  <c r="Y35" i="77" s="1"/>
  <c r="Y34" i="77" a="1"/>
  <c r="Y34" i="77" s="1"/>
  <c r="Y33" i="77" a="1"/>
  <c r="Y33" i="77" s="1"/>
  <c r="Y32" i="77" a="1"/>
  <c r="Y32" i="77" s="1"/>
  <c r="Y31" i="77" a="1"/>
  <c r="Y31" i="77" s="1"/>
  <c r="Y30" i="77" a="1"/>
  <c r="Y30" i="77" s="1"/>
  <c r="Y29" i="77" a="1"/>
  <c r="Y29" i="77" s="1"/>
  <c r="Y28" i="77" a="1"/>
  <c r="Y28" i="77" s="1"/>
  <c r="Y27" i="77" a="1"/>
  <c r="Y27" i="77" s="1"/>
  <c r="Y26" i="77" a="1"/>
  <c r="Y26" i="77" s="1"/>
  <c r="Y25" i="77" a="1"/>
  <c r="Y25" i="77" s="1"/>
  <c r="Y24" i="77" a="1"/>
  <c r="Y24" i="77" s="1"/>
  <c r="Y23" i="77" a="1"/>
  <c r="Y23" i="77" s="1"/>
  <c r="X226" i="57"/>
  <c r="Y204" i="57"/>
  <c r="Y147" i="57" a="1"/>
  <c r="Y147" i="57" s="1"/>
  <c r="Y146" i="57" a="1"/>
  <c r="Y146" i="57" s="1"/>
  <c r="Y145" i="57" a="1"/>
  <c r="Y145" i="57" s="1"/>
  <c r="Y144" i="57" a="1"/>
  <c r="Y144" i="57" s="1"/>
  <c r="Y143" i="57" a="1"/>
  <c r="Y143" i="57" s="1"/>
  <c r="Y142" i="57" a="1"/>
  <c r="Y142" i="57" s="1"/>
  <c r="Y141" i="57" a="1"/>
  <c r="Y141" i="57" s="1"/>
  <c r="Y140" i="57" a="1"/>
  <c r="Y140" i="57" s="1"/>
  <c r="Y139" i="57" a="1"/>
  <c r="Y139" i="57" s="1"/>
  <c r="Y138" i="57" a="1"/>
  <c r="Y138" i="57" s="1"/>
  <c r="Y137" i="57" a="1"/>
  <c r="Y137" i="57" s="1"/>
  <c r="Y136" i="57" a="1"/>
  <c r="Y136" i="57" s="1"/>
  <c r="Y135" i="57" a="1"/>
  <c r="Y135" i="57" s="1"/>
  <c r="Y134" i="57" a="1"/>
  <c r="Y134" i="57" s="1"/>
  <c r="Y133" i="57" a="1"/>
  <c r="Y133" i="57" s="1"/>
  <c r="Y132" i="57" a="1"/>
  <c r="Y132" i="57" s="1"/>
  <c r="Y131" i="57" a="1"/>
  <c r="Y131" i="57" s="1"/>
  <c r="Y130" i="57" a="1"/>
  <c r="Y130" i="57" s="1"/>
  <c r="Y129" i="57" a="1"/>
  <c r="Y129" i="57" s="1"/>
  <c r="Y128" i="57" a="1"/>
  <c r="Y128" i="57" s="1"/>
  <c r="Y127" i="57" a="1"/>
  <c r="Y127" i="57" s="1"/>
  <c r="Y126" i="57" a="1"/>
  <c r="Y126" i="57" s="1"/>
  <c r="Y125" i="57" a="1"/>
  <c r="Y125" i="57" s="1"/>
  <c r="Y124" i="57" a="1"/>
  <c r="Y124" i="57" s="1"/>
  <c r="Y123" i="57" a="1"/>
  <c r="Y123" i="57" s="1"/>
  <c r="Y122" i="57" a="1"/>
  <c r="Y122" i="57" s="1"/>
  <c r="Y121" i="57" a="1"/>
  <c r="Y121" i="57" s="1"/>
  <c r="Y120" i="57" a="1"/>
  <c r="Y120" i="57" s="1"/>
  <c r="Y119" i="57" a="1"/>
  <c r="Y119" i="57" s="1"/>
  <c r="Y118" i="57" a="1"/>
  <c r="Y118" i="57" s="1"/>
  <c r="Y82" i="57" a="1"/>
  <c r="Y82" i="57" s="1"/>
  <c r="Y81" i="57" a="1"/>
  <c r="Y81" i="57" s="1"/>
  <c r="Y80" i="57" a="1"/>
  <c r="Y80" i="57" s="1"/>
  <c r="Y79" i="57" a="1"/>
  <c r="Y79" i="57" s="1"/>
  <c r="Y78" i="57" a="1"/>
  <c r="Y78" i="57" s="1"/>
  <c r="Y77" i="57" a="1"/>
  <c r="Y77" i="57" s="1"/>
  <c r="Y76" i="57" a="1"/>
  <c r="Y76" i="57" s="1"/>
  <c r="Y75" i="57" a="1"/>
  <c r="Y75" i="57" s="1"/>
  <c r="Y74" i="57" a="1"/>
  <c r="Y74" i="57" s="1"/>
  <c r="Y73" i="57" a="1"/>
  <c r="Y73" i="57" s="1"/>
  <c r="Y72" i="57" a="1"/>
  <c r="Y72" i="57" s="1"/>
  <c r="Y71" i="57" a="1"/>
  <c r="Y71" i="57" s="1"/>
  <c r="Y70" i="57" a="1"/>
  <c r="Y70" i="57" s="1"/>
  <c r="Y69" i="57" a="1"/>
  <c r="Y69" i="57" s="1"/>
  <c r="Y68" i="57" a="1"/>
  <c r="Y68" i="57" s="1"/>
  <c r="AO82" i="57" a="1"/>
  <c r="AO82" i="57" s="1"/>
  <c r="AO81" i="57" a="1"/>
  <c r="AO81" i="57" s="1"/>
  <c r="AO80" i="57"/>
  <c r="AO80" i="57" a="1"/>
  <c r="AO79" i="57" a="1"/>
  <c r="AO79" i="57" s="1"/>
  <c r="AO78" i="57" a="1"/>
  <c r="AO78" i="57" s="1"/>
  <c r="AO77" i="57" a="1"/>
  <c r="AO77" i="57" s="1"/>
  <c r="AO76" i="57" a="1"/>
  <c r="AO76" i="57" s="1"/>
  <c r="AO75" i="57" a="1"/>
  <c r="AO75" i="57" s="1"/>
  <c r="AO74" i="57" a="1"/>
  <c r="AO74" i="57" s="1"/>
  <c r="AO73" i="57" a="1"/>
  <c r="AO73" i="57" s="1"/>
  <c r="AO72" i="57"/>
  <c r="AO72" i="57" a="1"/>
  <c r="AO71" i="57" a="1"/>
  <c r="AO71" i="57" s="1"/>
  <c r="AO70" i="57" a="1"/>
  <c r="AO70" i="57" s="1"/>
  <c r="AO69" i="57" a="1"/>
  <c r="AO69" i="57" s="1"/>
  <c r="AO68" i="57" a="1"/>
  <c r="AO68" i="57" s="1"/>
  <c r="BE82" i="57" a="1"/>
  <c r="BE82" i="57" s="1"/>
  <c r="BE81" i="57"/>
  <c r="BE81" i="57" a="1"/>
  <c r="BE80" i="57" a="1"/>
  <c r="BE80" i="57" s="1"/>
  <c r="BE79" i="57" a="1"/>
  <c r="BE79" i="57" s="1"/>
  <c r="BE78" i="57" a="1"/>
  <c r="BE78" i="57" s="1"/>
  <c r="BE77" i="57" a="1"/>
  <c r="BE77" i="57" s="1"/>
  <c r="BE76" i="57" a="1"/>
  <c r="BE76" i="57" s="1"/>
  <c r="BE75" i="57" a="1"/>
  <c r="BE75" i="57" s="1"/>
  <c r="BE74" i="57" a="1"/>
  <c r="BE74" i="57" s="1"/>
  <c r="BE73" i="57" a="1"/>
  <c r="BE73" i="57" s="1"/>
  <c r="BE72" i="57" a="1"/>
  <c r="BE72" i="57" s="1"/>
  <c r="BE71" i="57" a="1"/>
  <c r="BE71" i="57" s="1"/>
  <c r="BE70" i="57" a="1"/>
  <c r="BE70" i="57" s="1"/>
  <c r="BE69" i="57" a="1"/>
  <c r="BE69" i="57" s="1"/>
  <c r="BE68" i="57" a="1"/>
  <c r="BE68" i="57" s="1"/>
  <c r="BE32" i="57" a="1"/>
  <c r="BE32" i="57" s="1"/>
  <c r="BE31" i="57" a="1"/>
  <c r="BE31" i="57" s="1"/>
  <c r="BE30" i="57" a="1"/>
  <c r="BE30" i="57" s="1"/>
  <c r="BE29" i="57" a="1"/>
  <c r="BE29" i="57" s="1"/>
  <c r="BE28" i="57" a="1"/>
  <c r="BE28" i="57" s="1"/>
  <c r="BE27" i="57" a="1"/>
  <c r="BE27" i="57" s="1"/>
  <c r="BE26" i="57" a="1"/>
  <c r="BE26" i="57" s="1"/>
  <c r="BE25" i="57" a="1"/>
  <c r="BE25" i="57" s="1"/>
  <c r="BE24" i="57" a="1"/>
  <c r="BE24" i="57" s="1"/>
  <c r="BE23" i="57" a="1"/>
  <c r="BE23" i="57" s="1"/>
  <c r="BE22" i="57" a="1"/>
  <c r="BE22" i="57" s="1"/>
  <c r="BE21" i="57" a="1"/>
  <c r="BE21" i="57" s="1"/>
  <c r="BE20" i="57" a="1"/>
  <c r="BE20" i="57" s="1"/>
  <c r="BE19" i="57" a="1"/>
  <c r="BE19" i="57" s="1"/>
  <c r="BE18" i="57" a="1"/>
  <c r="BE18" i="57" s="1"/>
  <c r="AO32" i="57" a="1"/>
  <c r="AO32" i="57" s="1"/>
  <c r="AO31" i="57" a="1"/>
  <c r="AO31" i="57" s="1"/>
  <c r="AO30" i="57" a="1"/>
  <c r="AO30" i="57" s="1"/>
  <c r="AO29" i="57" a="1"/>
  <c r="AO29" i="57" s="1"/>
  <c r="AO28" i="57" a="1"/>
  <c r="AO28" i="57" s="1"/>
  <c r="AO27" i="57" a="1"/>
  <c r="AO27" i="57" s="1"/>
  <c r="AO26" i="57" a="1"/>
  <c r="AO26" i="57" s="1"/>
  <c r="AO25" i="57" a="1"/>
  <c r="AO25" i="57" s="1"/>
  <c r="AO24" i="57" a="1"/>
  <c r="AO24" i="57" s="1"/>
  <c r="AO23" i="57" a="1"/>
  <c r="AO23" i="57" s="1"/>
  <c r="AO22" i="57" a="1"/>
  <c r="AO22" i="57" s="1"/>
  <c r="AO21" i="57" a="1"/>
  <c r="AO21" i="57" s="1"/>
  <c r="AO20" i="57" a="1"/>
  <c r="AO20" i="57" s="1"/>
  <c r="AO19" i="57" a="1"/>
  <c r="AO19" i="57" s="1"/>
  <c r="AO18" i="57" a="1"/>
  <c r="AO18" i="57" s="1"/>
  <c r="Y32" i="57" a="1"/>
  <c r="Y32" i="57" s="1"/>
  <c r="Y31" i="57" a="1"/>
  <c r="Y31" i="57" s="1"/>
  <c r="Y30" i="57" a="1"/>
  <c r="Y30" i="57" s="1"/>
  <c r="Y29" i="57" a="1"/>
  <c r="Y29" i="57" s="1"/>
  <c r="Y28" i="57" a="1"/>
  <c r="Y28" i="57" s="1"/>
  <c r="Y27" i="57" a="1"/>
  <c r="Y27" i="57" s="1"/>
  <c r="Y26" i="57" a="1"/>
  <c r="Y26" i="57" s="1"/>
  <c r="Y25" i="57" a="1"/>
  <c r="Y25" i="57" s="1"/>
  <c r="Y24" i="57" a="1"/>
  <c r="Y24" i="57" s="1"/>
  <c r="Y23" i="57" a="1"/>
  <c r="Y23" i="57" s="1"/>
  <c r="Y22" i="57" a="1"/>
  <c r="Y22" i="57" s="1"/>
  <c r="Y21" i="57" a="1"/>
  <c r="Y21" i="57" s="1"/>
  <c r="Y20" i="57" a="1"/>
  <c r="Y20" i="57" s="1"/>
  <c r="Y19" i="57" a="1"/>
  <c r="Y19" i="57" s="1"/>
  <c r="Y354" i="35"/>
  <c r="Y353" i="35"/>
  <c r="Y352" i="35"/>
  <c r="Y351" i="35"/>
  <c r="Y350" i="35"/>
  <c r="Y349" i="35"/>
  <c r="Y348" i="35"/>
  <c r="Y347" i="35"/>
  <c r="Y346" i="35"/>
  <c r="Y345" i="35"/>
  <c r="Y344" i="35"/>
  <c r="Y343" i="35"/>
  <c r="Y342" i="35"/>
  <c r="Y341" i="35"/>
  <c r="Y340" i="35"/>
  <c r="Y339" i="35"/>
  <c r="Y338" i="35"/>
  <c r="Y337" i="35"/>
  <c r="Y336" i="35"/>
  <c r="Y335" i="35"/>
  <c r="Y334" i="35"/>
  <c r="Y333" i="35"/>
  <c r="Y332" i="35"/>
  <c r="Y331" i="35"/>
  <c r="Y330" i="35"/>
  <c r="Y329" i="35"/>
  <c r="Y328" i="35"/>
  <c r="Y327" i="35"/>
  <c r="Y326" i="35"/>
  <c r="Y325" i="35"/>
  <c r="Y324" i="35"/>
  <c r="Y323" i="35"/>
  <c r="Y322" i="35"/>
  <c r="Y321" i="35"/>
  <c r="Y320" i="35"/>
  <c r="Y319" i="35"/>
  <c r="Y318" i="35"/>
  <c r="Y317" i="35"/>
  <c r="Y316" i="35"/>
  <c r="Y315" i="35"/>
  <c r="Y258" i="35"/>
  <c r="Y257" i="35"/>
  <c r="Y256" i="35"/>
  <c r="Y255" i="35"/>
  <c r="Y254" i="35"/>
  <c r="Y253" i="35"/>
  <c r="Y252" i="35"/>
  <c r="Y251" i="35"/>
  <c r="Y250" i="35"/>
  <c r="Y249" i="35"/>
  <c r="Y248" i="35"/>
  <c r="Y247" i="35"/>
  <c r="Y246" i="35"/>
  <c r="Y245" i="35"/>
  <c r="Y244" i="35"/>
  <c r="Y243" i="35"/>
  <c r="Y242" i="35"/>
  <c r="Y241" i="35"/>
  <c r="Y240" i="35"/>
  <c r="Y239" i="35"/>
  <c r="Y238" i="35"/>
  <c r="Y237" i="35"/>
  <c r="Y236" i="35"/>
  <c r="Y235" i="35"/>
  <c r="Y234" i="35"/>
  <c r="Y233" i="35"/>
  <c r="Y232" i="35"/>
  <c r="Y231" i="35"/>
  <c r="Y230" i="35"/>
  <c r="Y229" i="35"/>
  <c r="Y172" i="35"/>
  <c r="Y171" i="35"/>
  <c r="Y170" i="35"/>
  <c r="Y169" i="35"/>
  <c r="Y168" i="35"/>
  <c r="Y167" i="35"/>
  <c r="Y166" i="35"/>
  <c r="Y165" i="35"/>
  <c r="Y164" i="35"/>
  <c r="Y163" i="35"/>
  <c r="Y162" i="35"/>
  <c r="Y161" i="35"/>
  <c r="Y160" i="35"/>
  <c r="Y159" i="35"/>
  <c r="Y158" i="35"/>
  <c r="Y157" i="35"/>
  <c r="Y156" i="35"/>
  <c r="Y155" i="35"/>
  <c r="Y154" i="35"/>
  <c r="Y153" i="35"/>
  <c r="Y117" i="35"/>
  <c r="Y116" i="35"/>
  <c r="Y115" i="35"/>
  <c r="Y114" i="35"/>
  <c r="Y113" i="35"/>
  <c r="Y112" i="35"/>
  <c r="Y111" i="35"/>
  <c r="Y110" i="35"/>
  <c r="Y109" i="35"/>
  <c r="Y108" i="35"/>
  <c r="Y107" i="35"/>
  <c r="Y106" i="35"/>
  <c r="Y105" i="35"/>
  <c r="Y104" i="35"/>
  <c r="Y103" i="35"/>
  <c r="Y67" i="35"/>
  <c r="Y66" i="35"/>
  <c r="Y65" i="35"/>
  <c r="Y64" i="35"/>
  <c r="Y63" i="35"/>
  <c r="Y62" i="35"/>
  <c r="Y61" i="35"/>
  <c r="Y60" i="35"/>
  <c r="Y59" i="35"/>
  <c r="Y58" i="35"/>
  <c r="Y22" i="35"/>
  <c r="Y21" i="35"/>
  <c r="Y20" i="35"/>
  <c r="Y19" i="35"/>
  <c r="BB5" i="78" l="1"/>
  <c r="BB3" i="78"/>
  <c r="BB4" i="78"/>
  <c r="BC3" i="78"/>
  <c r="BC5" i="76"/>
  <c r="R410" i="77"/>
  <c r="N407" i="77"/>
  <c r="N406" i="77"/>
  <c r="N404" i="77"/>
  <c r="L404" i="77"/>
  <c r="O403" i="77"/>
  <c r="N403" i="77"/>
  <c r="L403" i="77"/>
  <c r="L402" i="77"/>
  <c r="L401" i="77"/>
  <c r="AJ401" i="77" s="1"/>
  <c r="N399" i="77"/>
  <c r="N397" i="77"/>
  <c r="N395" i="77"/>
  <c r="N393" i="77"/>
  <c r="N392" i="77"/>
  <c r="N391" i="77"/>
  <c r="N389" i="77"/>
  <c r="N388" i="77"/>
  <c r="N387" i="77"/>
  <c r="N385" i="77"/>
  <c r="N384" i="77"/>
  <c r="N383" i="77"/>
  <c r="N380" i="77"/>
  <c r="N379" i="77"/>
  <c r="Z378" i="77"/>
  <c r="N377" i="77"/>
  <c r="O376" i="77"/>
  <c r="N376" i="77"/>
  <c r="N375" i="77"/>
  <c r="N373" i="77"/>
  <c r="N372" i="77"/>
  <c r="R371" i="77"/>
  <c r="Q371" i="77"/>
  <c r="N370" i="77"/>
  <c r="N368" i="77"/>
  <c r="Z365" i="77"/>
  <c r="X365" i="77"/>
  <c r="S365" i="77"/>
  <c r="N365" i="77"/>
  <c r="L365" i="77"/>
  <c r="Z364" i="77"/>
  <c r="S364" i="77"/>
  <c r="Z363" i="77"/>
  <c r="X363" i="77"/>
  <c r="S363" i="77"/>
  <c r="L363" i="77"/>
  <c r="Z362" i="77"/>
  <c r="X362" i="77"/>
  <c r="S362" i="77"/>
  <c r="N362" i="77"/>
  <c r="Z361" i="77"/>
  <c r="S361" i="77"/>
  <c r="Z360" i="77"/>
  <c r="X360" i="77"/>
  <c r="S360" i="77"/>
  <c r="N360" i="77"/>
  <c r="L360" i="77"/>
  <c r="Z359" i="77"/>
  <c r="X359" i="77"/>
  <c r="S359" i="77"/>
  <c r="Z358" i="77"/>
  <c r="X358" i="77"/>
  <c r="S358" i="77"/>
  <c r="L358" i="77"/>
  <c r="Z357" i="77"/>
  <c r="X357" i="77"/>
  <c r="S357" i="77"/>
  <c r="N357" i="77"/>
  <c r="L357" i="77"/>
  <c r="Z356" i="77"/>
  <c r="X356" i="77"/>
  <c r="S356" i="77"/>
  <c r="L356" i="77"/>
  <c r="Z355" i="77"/>
  <c r="X355" i="77"/>
  <c r="S355" i="77"/>
  <c r="L355" i="77"/>
  <c r="Z354" i="77"/>
  <c r="X354" i="77"/>
  <c r="S354" i="77"/>
  <c r="L354" i="77"/>
  <c r="Z353" i="77"/>
  <c r="X353" i="77"/>
  <c r="S353" i="77"/>
  <c r="N353" i="77"/>
  <c r="L353" i="77"/>
  <c r="X352" i="77"/>
  <c r="S352" i="77"/>
  <c r="N352" i="77"/>
  <c r="L352" i="77"/>
  <c r="Z351" i="77"/>
  <c r="X351" i="77"/>
  <c r="S351" i="77"/>
  <c r="L351" i="77"/>
  <c r="Z350" i="77"/>
  <c r="X350" i="77"/>
  <c r="S350" i="77"/>
  <c r="L350" i="77"/>
  <c r="Z349" i="77"/>
  <c r="X349" i="77"/>
  <c r="S349" i="77"/>
  <c r="L349" i="77"/>
  <c r="Z348" i="77"/>
  <c r="X348" i="77"/>
  <c r="S348" i="77"/>
  <c r="N348" i="77"/>
  <c r="L348" i="77"/>
  <c r="Z347" i="77"/>
  <c r="S347" i="77"/>
  <c r="L347" i="77"/>
  <c r="Z346" i="77"/>
  <c r="X346" i="77"/>
  <c r="S346" i="77"/>
  <c r="N346" i="77"/>
  <c r="V342" i="77"/>
  <c r="Q342" i="77"/>
  <c r="P342" i="77"/>
  <c r="P346" i="77" s="1"/>
  <c r="O342" i="77"/>
  <c r="N342" i="77"/>
  <c r="V341" i="77"/>
  <c r="X361" i="77" s="1"/>
  <c r="N341" i="77"/>
  <c r="Y340" i="77"/>
  <c r="O340" i="77"/>
  <c r="N340" i="77"/>
  <c r="N338" i="77"/>
  <c r="N337" i="77"/>
  <c r="Z336" i="77"/>
  <c r="N336" i="77"/>
  <c r="R334" i="77"/>
  <c r="N333" i="77"/>
  <c r="O332" i="77"/>
  <c r="N332" i="77"/>
  <c r="N331" i="77"/>
  <c r="M331" i="77"/>
  <c r="N329" i="77"/>
  <c r="N328" i="77"/>
  <c r="L328" i="77"/>
  <c r="N327" i="77"/>
  <c r="M327" i="77"/>
  <c r="L327" i="77"/>
  <c r="AJ327" i="77" s="1"/>
  <c r="L326" i="77"/>
  <c r="N325" i="77"/>
  <c r="M325" i="77"/>
  <c r="L325" i="77"/>
  <c r="N324" i="77"/>
  <c r="M324" i="77"/>
  <c r="L324" i="77"/>
  <c r="Z323" i="77"/>
  <c r="N322" i="77"/>
  <c r="M322" i="77"/>
  <c r="N321" i="77"/>
  <c r="M321" i="77"/>
  <c r="N320" i="77"/>
  <c r="M320" i="77"/>
  <c r="N318" i="77"/>
  <c r="M318" i="77"/>
  <c r="N317" i="77"/>
  <c r="M317" i="77"/>
  <c r="R316" i="77"/>
  <c r="Q316" i="77"/>
  <c r="N315" i="77"/>
  <c r="O314" i="77"/>
  <c r="N314" i="77"/>
  <c r="N313" i="77"/>
  <c r="M313" i="77"/>
  <c r="N311" i="77"/>
  <c r="M311" i="77"/>
  <c r="Z310" i="77"/>
  <c r="S310" i="77"/>
  <c r="N310" i="77"/>
  <c r="M310" i="77"/>
  <c r="L310" i="77"/>
  <c r="S309" i="77"/>
  <c r="N309" i="77"/>
  <c r="M309" i="77"/>
  <c r="L309" i="77"/>
  <c r="Z308" i="77"/>
  <c r="X308" i="77"/>
  <c r="S308" i="77"/>
  <c r="O308" i="77"/>
  <c r="N308" i="77"/>
  <c r="L308" i="77"/>
  <c r="S307" i="77"/>
  <c r="N307" i="77"/>
  <c r="L307" i="77"/>
  <c r="Z306" i="77"/>
  <c r="X306" i="77"/>
  <c r="S306" i="77"/>
  <c r="N306" i="77"/>
  <c r="L306" i="77"/>
  <c r="X305" i="77"/>
  <c r="S305" i="77"/>
  <c r="N305" i="77"/>
  <c r="M305" i="77"/>
  <c r="L305" i="77"/>
  <c r="Z304" i="77"/>
  <c r="X304" i="77"/>
  <c r="S304" i="77"/>
  <c r="N304" i="77"/>
  <c r="L304" i="77"/>
  <c r="Z303" i="77"/>
  <c r="X303" i="77"/>
  <c r="S303" i="77"/>
  <c r="O303" i="77"/>
  <c r="N303" i="77"/>
  <c r="M303" i="77"/>
  <c r="L303" i="77"/>
  <c r="S302" i="77"/>
  <c r="N302" i="77"/>
  <c r="L302" i="77"/>
  <c r="Z301" i="77"/>
  <c r="X301" i="77"/>
  <c r="S301" i="77"/>
  <c r="N301" i="77"/>
  <c r="M301" i="77"/>
  <c r="N300" i="77"/>
  <c r="N299" i="77"/>
  <c r="M299" i="77"/>
  <c r="N298" i="77"/>
  <c r="M298" i="77"/>
  <c r="V297" i="77"/>
  <c r="Q297" i="77"/>
  <c r="M297" i="77" s="1"/>
  <c r="O297" i="77"/>
  <c r="N297" i="77"/>
  <c r="N330" i="77" s="1"/>
  <c r="V296" i="77"/>
  <c r="Z302" i="77" s="1"/>
  <c r="N296" i="77"/>
  <c r="M296" i="77"/>
  <c r="Y295" i="77"/>
  <c r="O295" i="77"/>
  <c r="N295" i="77"/>
  <c r="M295" i="77"/>
  <c r="N294" i="77"/>
  <c r="N293" i="77"/>
  <c r="M293" i="77"/>
  <c r="N292" i="77"/>
  <c r="M292" i="77"/>
  <c r="Z291" i="77"/>
  <c r="O291" i="77"/>
  <c r="N291" i="77"/>
  <c r="R289" i="77"/>
  <c r="M288" i="77"/>
  <c r="P287" i="77"/>
  <c r="M287" i="77"/>
  <c r="P286" i="77"/>
  <c r="M286" i="77"/>
  <c r="P285" i="77"/>
  <c r="L285" i="77"/>
  <c r="M284" i="77"/>
  <c r="L284" i="77"/>
  <c r="O283" i="77"/>
  <c r="M283" i="77"/>
  <c r="L283" i="77"/>
  <c r="P282" i="77"/>
  <c r="L282" i="77"/>
  <c r="M281" i="77"/>
  <c r="L281" i="77"/>
  <c r="L280" i="77"/>
  <c r="B280" i="77" s="1"/>
  <c r="P279" i="77"/>
  <c r="L279" i="77"/>
  <c r="U278" i="77"/>
  <c r="M278" i="77"/>
  <c r="U277" i="77"/>
  <c r="P277" i="77"/>
  <c r="U276" i="77"/>
  <c r="U275" i="77"/>
  <c r="N275" i="77"/>
  <c r="M275" i="77"/>
  <c r="U274" i="77"/>
  <c r="U273" i="77"/>
  <c r="P273" i="77"/>
  <c r="O273" i="77"/>
  <c r="P272" i="77"/>
  <c r="M272" i="77"/>
  <c r="L272" i="77"/>
  <c r="L271" i="77"/>
  <c r="P270" i="77"/>
  <c r="M270" i="77"/>
  <c r="L270" i="77"/>
  <c r="P269" i="77"/>
  <c r="L269" i="77"/>
  <c r="M268" i="77"/>
  <c r="L268" i="77"/>
  <c r="Q267" i="77"/>
  <c r="L267" i="77"/>
  <c r="AJ267" i="77" s="1"/>
  <c r="Q266" i="77"/>
  <c r="P266" i="77"/>
  <c r="L266" i="77"/>
  <c r="Q265" i="77"/>
  <c r="O265" i="77"/>
  <c r="N265" i="77"/>
  <c r="L265" i="77"/>
  <c r="Q264" i="77"/>
  <c r="P264" i="77"/>
  <c r="M264" i="77"/>
  <c r="L264" i="77"/>
  <c r="AJ264" i="77" s="1"/>
  <c r="Q263" i="77"/>
  <c r="L263" i="77"/>
  <c r="P262" i="77"/>
  <c r="O262" i="77"/>
  <c r="M262" i="77"/>
  <c r="L262" i="77"/>
  <c r="P261" i="77"/>
  <c r="L261" i="77"/>
  <c r="L260" i="77"/>
  <c r="M259" i="77"/>
  <c r="L259" i="77"/>
  <c r="P258" i="77"/>
  <c r="L258" i="77"/>
  <c r="Z257" i="77"/>
  <c r="P257" i="77"/>
  <c r="O257" i="77"/>
  <c r="L257" i="77"/>
  <c r="P256" i="77"/>
  <c r="O256" i="77"/>
  <c r="L256" i="77"/>
  <c r="M255" i="77"/>
  <c r="L255" i="77"/>
  <c r="AJ255" i="77" s="1"/>
  <c r="P254" i="77"/>
  <c r="M254" i="77"/>
  <c r="L254" i="77"/>
  <c r="Q253" i="77"/>
  <c r="L253" i="77"/>
  <c r="Q252" i="77"/>
  <c r="N252" i="77"/>
  <c r="M252" i="77"/>
  <c r="L252" i="77"/>
  <c r="M251" i="77"/>
  <c r="R250" i="77"/>
  <c r="Q250" i="77"/>
  <c r="P250" i="77"/>
  <c r="P249" i="77"/>
  <c r="M248" i="77"/>
  <c r="P247" i="77"/>
  <c r="O247" i="77"/>
  <c r="P246" i="77"/>
  <c r="M245" i="77"/>
  <c r="Z244" i="77"/>
  <c r="S244" i="77"/>
  <c r="N244" i="77"/>
  <c r="L244" i="77"/>
  <c r="S243" i="77"/>
  <c r="M243" i="77"/>
  <c r="L243" i="77"/>
  <c r="S242" i="77"/>
  <c r="L242" i="77"/>
  <c r="S241" i="77"/>
  <c r="P241" i="77"/>
  <c r="M241" i="77"/>
  <c r="L241" i="77"/>
  <c r="S240" i="77"/>
  <c r="M240" i="77"/>
  <c r="L240" i="77"/>
  <c r="S239" i="77"/>
  <c r="M239" i="77"/>
  <c r="L239" i="77"/>
  <c r="S238" i="77"/>
  <c r="O238" i="77"/>
  <c r="M238" i="77"/>
  <c r="L238" i="77"/>
  <c r="S237" i="77"/>
  <c r="O237" i="77"/>
  <c r="L237" i="77"/>
  <c r="S236" i="77"/>
  <c r="M236" i="77"/>
  <c r="L236" i="77"/>
  <c r="Z235" i="77"/>
  <c r="S235" i="77"/>
  <c r="P235" i="77"/>
  <c r="L235" i="77"/>
  <c r="O234" i="77"/>
  <c r="M234" i="77"/>
  <c r="P233" i="77"/>
  <c r="P232" i="77"/>
  <c r="N232" i="77"/>
  <c r="M232" i="77"/>
  <c r="Y231" i="77"/>
  <c r="W231" i="77"/>
  <c r="M231" i="77"/>
  <c r="P230" i="77"/>
  <c r="O230" i="77"/>
  <c r="M230" i="77"/>
  <c r="O229" i="77"/>
  <c r="N229" i="77"/>
  <c r="Z228" i="77"/>
  <c r="S228" i="77"/>
  <c r="M228" i="77"/>
  <c r="L228" i="77"/>
  <c r="Z227" i="77"/>
  <c r="X227" i="77"/>
  <c r="S227" i="77"/>
  <c r="P227" i="77"/>
  <c r="L227" i="77"/>
  <c r="Z226" i="77"/>
  <c r="S226" i="77"/>
  <c r="P226" i="77"/>
  <c r="L226" i="77"/>
  <c r="AJ226" i="77" s="1"/>
  <c r="AV226" i="77" s="1" a="1"/>
  <c r="AV226" i="77" s="1"/>
  <c r="Z225" i="77"/>
  <c r="X225" i="77"/>
  <c r="S225" i="77"/>
  <c r="P225" i="77"/>
  <c r="L225" i="77"/>
  <c r="S224" i="77"/>
  <c r="S223" i="77"/>
  <c r="P223" i="77"/>
  <c r="L223" i="77"/>
  <c r="S222" i="77"/>
  <c r="O222" i="77"/>
  <c r="N222" i="77"/>
  <c r="L222" i="77"/>
  <c r="S221" i="77"/>
  <c r="O221" i="77"/>
  <c r="N221" i="77"/>
  <c r="M221" i="77"/>
  <c r="S220" i="77"/>
  <c r="P220" i="77"/>
  <c r="L220" i="77"/>
  <c r="S219" i="77"/>
  <c r="P219" i="77"/>
  <c r="L219" i="77"/>
  <c r="Y218" i="77"/>
  <c r="Z218" i="77" s="1"/>
  <c r="X218" i="77"/>
  <c r="S218" i="77"/>
  <c r="P218" i="77"/>
  <c r="O218" i="77"/>
  <c r="N218" i="77"/>
  <c r="M218" i="77"/>
  <c r="L218" i="77"/>
  <c r="S217" i="77"/>
  <c r="P217" i="77"/>
  <c r="L217" i="77"/>
  <c r="X216" i="77"/>
  <c r="S216" i="77"/>
  <c r="P216" i="77"/>
  <c r="O216" i="77"/>
  <c r="M216" i="77"/>
  <c r="L216" i="77"/>
  <c r="X215" i="77"/>
  <c r="S215" i="77"/>
  <c r="M215" i="77"/>
  <c r="L215" i="77"/>
  <c r="X214" i="77"/>
  <c r="S214" i="77"/>
  <c r="N214" i="77"/>
  <c r="M214" i="77"/>
  <c r="L214" i="77"/>
  <c r="S213" i="77"/>
  <c r="P213" i="77"/>
  <c r="O213" i="77"/>
  <c r="M213" i="77"/>
  <c r="L213" i="77"/>
  <c r="S212" i="77"/>
  <c r="P212" i="77"/>
  <c r="O212" i="77"/>
  <c r="N212" i="77"/>
  <c r="M212" i="77"/>
  <c r="L212" i="77"/>
  <c r="Z211" i="77"/>
  <c r="S211" i="77"/>
  <c r="P211" i="77"/>
  <c r="Z210" i="77"/>
  <c r="Y210" i="77"/>
  <c r="W211" i="77" s="1"/>
  <c r="L211" i="77" s="1"/>
  <c r="S210" i="77"/>
  <c r="P210" i="77"/>
  <c r="M210" i="77"/>
  <c r="L210" i="77"/>
  <c r="S209" i="77"/>
  <c r="P209" i="77"/>
  <c r="M209" i="77"/>
  <c r="P208" i="77"/>
  <c r="M208" i="77"/>
  <c r="P207" i="77"/>
  <c r="N207" i="77"/>
  <c r="M207" i="77"/>
  <c r="P206" i="77"/>
  <c r="M206" i="77"/>
  <c r="V205" i="77"/>
  <c r="P205" i="77" s="1"/>
  <c r="P280" i="77" s="1"/>
  <c r="Q205" i="77"/>
  <c r="O205" i="77"/>
  <c r="O287" i="77" s="1"/>
  <c r="N205" i="77"/>
  <c r="N247" i="77" s="1"/>
  <c r="M205" i="77"/>
  <c r="V204" i="77"/>
  <c r="Y226" i="77" s="1"/>
  <c r="P204" i="77"/>
  <c r="M204" i="77"/>
  <c r="Y203" i="77"/>
  <c r="U202" i="77" s="1"/>
  <c r="AJ202" i="77" s="1"/>
  <c r="P203" i="77"/>
  <c r="M202" i="77"/>
  <c r="O201" i="77"/>
  <c r="N201" i="77"/>
  <c r="N200" i="77"/>
  <c r="M200" i="77"/>
  <c r="Z199" i="77"/>
  <c r="M199" i="77"/>
  <c r="R197" i="77"/>
  <c r="M193" i="77"/>
  <c r="P192" i="77"/>
  <c r="M192" i="77"/>
  <c r="M191" i="77"/>
  <c r="L191" i="77"/>
  <c r="AJ191" i="77" s="1"/>
  <c r="P190" i="77"/>
  <c r="O190" i="77"/>
  <c r="L190" i="77"/>
  <c r="M189" i="77"/>
  <c r="L189" i="77"/>
  <c r="L188" i="77"/>
  <c r="O187" i="77"/>
  <c r="N186" i="77"/>
  <c r="O184" i="77"/>
  <c r="M184" i="77"/>
  <c r="P183" i="77"/>
  <c r="M182" i="77"/>
  <c r="P181" i="77"/>
  <c r="O176" i="77"/>
  <c r="P175" i="77"/>
  <c r="P174" i="77"/>
  <c r="O174" i="77"/>
  <c r="N174" i="77"/>
  <c r="M172" i="77"/>
  <c r="O170" i="77"/>
  <c r="M170" i="77"/>
  <c r="P169" i="77"/>
  <c r="O169" i="77"/>
  <c r="M166" i="77"/>
  <c r="Z165" i="77"/>
  <c r="P165" i="77"/>
  <c r="M165" i="77"/>
  <c r="P164" i="77"/>
  <c r="P162" i="77"/>
  <c r="N162" i="77"/>
  <c r="N160" i="77"/>
  <c r="M160" i="77"/>
  <c r="M159" i="77"/>
  <c r="R158" i="77"/>
  <c r="Q158" i="77"/>
  <c r="P158" i="77"/>
  <c r="M155" i="77"/>
  <c r="P153" i="77"/>
  <c r="O153" i="77"/>
  <c r="M153" i="77"/>
  <c r="Z152" i="77"/>
  <c r="X152" i="77"/>
  <c r="S152" i="77"/>
  <c r="P152" i="77"/>
  <c r="L152" i="77"/>
  <c r="Z151" i="77"/>
  <c r="S151" i="77"/>
  <c r="P151" i="77"/>
  <c r="M151" i="77"/>
  <c r="L151" i="77"/>
  <c r="Z150" i="77"/>
  <c r="S150" i="77"/>
  <c r="O150" i="77"/>
  <c r="N150" i="77"/>
  <c r="M150" i="77"/>
  <c r="L150" i="77"/>
  <c r="Z149" i="77"/>
  <c r="S149" i="77"/>
  <c r="P149" i="77"/>
  <c r="N149" i="77"/>
  <c r="L149" i="77"/>
  <c r="Z148" i="77"/>
  <c r="X148" i="77"/>
  <c r="S148" i="77"/>
  <c r="L148" i="77"/>
  <c r="S147" i="77"/>
  <c r="M147" i="77"/>
  <c r="L147" i="77"/>
  <c r="Z146" i="77"/>
  <c r="S146" i="77"/>
  <c r="O146" i="77"/>
  <c r="M146" i="77"/>
  <c r="L146" i="77"/>
  <c r="Z145" i="77"/>
  <c r="S145" i="77"/>
  <c r="L145" i="77"/>
  <c r="S144" i="77"/>
  <c r="M144" i="77"/>
  <c r="L144" i="77"/>
  <c r="Z143" i="77"/>
  <c r="S143" i="77"/>
  <c r="M143" i="77"/>
  <c r="L143" i="77"/>
  <c r="AJ143" i="77" s="1"/>
  <c r="S142" i="77"/>
  <c r="N142" i="77"/>
  <c r="M142" i="77"/>
  <c r="L142" i="77"/>
  <c r="X141" i="77"/>
  <c r="S141" i="77"/>
  <c r="L141" i="77"/>
  <c r="Z140" i="77"/>
  <c r="S140" i="77"/>
  <c r="P140" i="77"/>
  <c r="L140" i="77"/>
  <c r="X139" i="77"/>
  <c r="S139" i="77"/>
  <c r="P139" i="77"/>
  <c r="L139" i="77"/>
  <c r="Z138" i="77"/>
  <c r="X138" i="77"/>
  <c r="S138" i="77"/>
  <c r="N138" i="77"/>
  <c r="L138" i="77"/>
  <c r="S137" i="77"/>
  <c r="L137" i="77"/>
  <c r="X136" i="77"/>
  <c r="S136" i="77"/>
  <c r="P136" i="77"/>
  <c r="O136" i="77"/>
  <c r="M136" i="77"/>
  <c r="L136" i="77"/>
  <c r="Z135" i="77"/>
  <c r="X135" i="77"/>
  <c r="S135" i="77"/>
  <c r="L135" i="77"/>
  <c r="Z134" i="77"/>
  <c r="X134" i="77"/>
  <c r="S134" i="77"/>
  <c r="L134" i="77"/>
  <c r="Z133" i="77"/>
  <c r="X133" i="77"/>
  <c r="S133" i="77"/>
  <c r="L133" i="77"/>
  <c r="Z132" i="77"/>
  <c r="X132" i="77"/>
  <c r="S132" i="77"/>
  <c r="N132" i="77"/>
  <c r="M132" i="77"/>
  <c r="L132" i="77"/>
  <c r="AJ132" i="77" s="1"/>
  <c r="Z131" i="77"/>
  <c r="X131" i="77"/>
  <c r="S131" i="77"/>
  <c r="L131" i="77"/>
  <c r="Z130" i="77"/>
  <c r="X130" i="77"/>
  <c r="S130" i="77"/>
  <c r="O130" i="77"/>
  <c r="L130" i="77"/>
  <c r="Z129" i="77"/>
  <c r="X129" i="77"/>
  <c r="S129" i="77"/>
  <c r="L129" i="77"/>
  <c r="X128" i="77"/>
  <c r="S128" i="77"/>
  <c r="O128" i="77"/>
  <c r="M128" i="77"/>
  <c r="L128" i="77"/>
  <c r="S127" i="77"/>
  <c r="O127" i="77"/>
  <c r="L127" i="77"/>
  <c r="Z126" i="77"/>
  <c r="X126" i="77"/>
  <c r="S126" i="77"/>
  <c r="N126" i="77"/>
  <c r="M126" i="77"/>
  <c r="L126" i="77"/>
  <c r="Z125" i="77"/>
  <c r="X125" i="77"/>
  <c r="S125" i="77"/>
  <c r="L125" i="77"/>
  <c r="Z124" i="77"/>
  <c r="X124" i="77"/>
  <c r="S124" i="77"/>
  <c r="L124" i="77"/>
  <c r="Z123" i="77"/>
  <c r="X123" i="77"/>
  <c r="S123" i="77"/>
  <c r="O123" i="77"/>
  <c r="N123" i="77"/>
  <c r="N122" i="77"/>
  <c r="M122" i="77"/>
  <c r="P121" i="77"/>
  <c r="M121" i="77"/>
  <c r="V119" i="77"/>
  <c r="Q119" i="77"/>
  <c r="M119" i="77" s="1"/>
  <c r="M169" i="77" s="1"/>
  <c r="P119" i="77"/>
  <c r="P186" i="77" s="1"/>
  <c r="O119" i="77"/>
  <c r="O149" i="77" s="1"/>
  <c r="N119" i="77"/>
  <c r="V118" i="77"/>
  <c r="Z139" i="77" s="1"/>
  <c r="P118" i="77"/>
  <c r="O118" i="77"/>
  <c r="N118" i="77"/>
  <c r="Y117" i="77"/>
  <c r="U116" i="77" s="1"/>
  <c r="O117" i="77"/>
  <c r="N117" i="77"/>
  <c r="M117" i="77"/>
  <c r="O116" i="77"/>
  <c r="Z113" i="77"/>
  <c r="O113" i="77"/>
  <c r="N113" i="77"/>
  <c r="M113" i="77"/>
  <c r="R111" i="77"/>
  <c r="P110" i="77"/>
  <c r="P109" i="77"/>
  <c r="P107" i="77"/>
  <c r="M107" i="77"/>
  <c r="P106" i="77"/>
  <c r="L105" i="77"/>
  <c r="L104" i="77"/>
  <c r="P103" i="77"/>
  <c r="O103" i="77"/>
  <c r="L103" i="77"/>
  <c r="L102" i="77"/>
  <c r="B102" i="77" s="1"/>
  <c r="P101" i="77"/>
  <c r="L101" i="77"/>
  <c r="Z100" i="77"/>
  <c r="P98" i="77"/>
  <c r="M97" i="77"/>
  <c r="P96" i="77"/>
  <c r="N95" i="77"/>
  <c r="P94" i="77"/>
  <c r="O94" i="77"/>
  <c r="R93" i="77"/>
  <c r="Q93" i="77"/>
  <c r="P93" i="77"/>
  <c r="P90" i="77"/>
  <c r="M90" i="77"/>
  <c r="M89" i="77"/>
  <c r="P88" i="77"/>
  <c r="M88" i="77"/>
  <c r="Z87" i="77"/>
  <c r="S87" i="77"/>
  <c r="N87" i="77"/>
  <c r="L87" i="77"/>
  <c r="Z86" i="77"/>
  <c r="X86" i="77"/>
  <c r="S86" i="77"/>
  <c r="M86" i="77"/>
  <c r="L86" i="77"/>
  <c r="Z85" i="77"/>
  <c r="S85" i="77"/>
  <c r="M85" i="77"/>
  <c r="L85" i="77"/>
  <c r="Z84" i="77"/>
  <c r="S84" i="77"/>
  <c r="N84" i="77"/>
  <c r="L84" i="77"/>
  <c r="AJ84" i="77" s="1"/>
  <c r="AV84" i="77" s="1" a="1"/>
  <c r="AV84" i="77" s="1"/>
  <c r="Z83" i="77"/>
  <c r="X83" i="77"/>
  <c r="S83" i="77"/>
  <c r="L83" i="77"/>
  <c r="X82" i="77"/>
  <c r="S82" i="77"/>
  <c r="L82" i="77"/>
  <c r="Z81" i="77"/>
  <c r="X81" i="77"/>
  <c r="S81" i="77"/>
  <c r="P81" i="77"/>
  <c r="L81" i="77"/>
  <c r="Z80" i="77"/>
  <c r="X80" i="77"/>
  <c r="S80" i="77"/>
  <c r="M80" i="77"/>
  <c r="L80" i="77"/>
  <c r="Z79" i="77"/>
  <c r="X79" i="77"/>
  <c r="S79" i="77"/>
  <c r="L79" i="77"/>
  <c r="Z78" i="77"/>
  <c r="X78" i="77"/>
  <c r="S78" i="77"/>
  <c r="P78" i="77"/>
  <c r="L78" i="77"/>
  <c r="Z77" i="77"/>
  <c r="X77" i="77"/>
  <c r="S77" i="77"/>
  <c r="O77" i="77"/>
  <c r="L77" i="77"/>
  <c r="X76" i="77"/>
  <c r="S76" i="77"/>
  <c r="P76" i="77"/>
  <c r="M76" i="77"/>
  <c r="L76" i="77"/>
  <c r="B76" i="77" s="1"/>
  <c r="S75" i="77"/>
  <c r="P75" i="77"/>
  <c r="L75" i="77"/>
  <c r="Z74" i="77"/>
  <c r="X74" i="77"/>
  <c r="S74" i="77"/>
  <c r="M74" i="77"/>
  <c r="L74" i="77"/>
  <c r="Z73" i="77"/>
  <c r="X73" i="77"/>
  <c r="S73" i="77"/>
  <c r="P73" i="77"/>
  <c r="P71" i="77"/>
  <c r="N70" i="77"/>
  <c r="V69" i="77"/>
  <c r="P69" i="77" s="1"/>
  <c r="P105" i="77" s="1"/>
  <c r="Q69" i="77"/>
  <c r="M69" i="77" s="1"/>
  <c r="O69" i="77"/>
  <c r="N69" i="77"/>
  <c r="V68" i="77"/>
  <c r="Y67" i="77"/>
  <c r="U66" i="77" s="1"/>
  <c r="P67" i="77"/>
  <c r="P66" i="77"/>
  <c r="P64" i="77"/>
  <c r="M64" i="77"/>
  <c r="Z63" i="77"/>
  <c r="N63" i="77"/>
  <c r="M63" i="77"/>
  <c r="R61" i="77"/>
  <c r="O60" i="77"/>
  <c r="N60" i="77"/>
  <c r="M60" i="77"/>
  <c r="O58" i="77"/>
  <c r="O57" i="77"/>
  <c r="O56" i="77"/>
  <c r="N56" i="77"/>
  <c r="N55" i="77"/>
  <c r="L55" i="77"/>
  <c r="L54" i="77"/>
  <c r="B54" i="77" s="1"/>
  <c r="O53" i="77"/>
  <c r="N53" i="77"/>
  <c r="L53" i="77"/>
  <c r="M52" i="77"/>
  <c r="L52" i="77"/>
  <c r="O51" i="77"/>
  <c r="N51" i="77"/>
  <c r="L51" i="77"/>
  <c r="Z50" i="77"/>
  <c r="O50" i="77"/>
  <c r="N50" i="77"/>
  <c r="O49" i="77"/>
  <c r="O48" i="77"/>
  <c r="O47" i="77"/>
  <c r="N47" i="77"/>
  <c r="N44" i="77"/>
  <c r="R43" i="77"/>
  <c r="Q43" i="77"/>
  <c r="O43" i="77"/>
  <c r="O41" i="77"/>
  <c r="N41" i="77"/>
  <c r="M41" i="77"/>
  <c r="O39" i="77"/>
  <c r="M38" i="77"/>
  <c r="Z37" i="77"/>
  <c r="S37" i="77"/>
  <c r="O37" i="77"/>
  <c r="N37" i="77"/>
  <c r="L37" i="77"/>
  <c r="Z36" i="77"/>
  <c r="S36" i="77"/>
  <c r="N36" i="77"/>
  <c r="L36" i="77"/>
  <c r="S35" i="77"/>
  <c r="O35" i="77"/>
  <c r="L35" i="77"/>
  <c r="B35" i="77" s="1"/>
  <c r="S34" i="77"/>
  <c r="O34" i="77"/>
  <c r="M34" i="77"/>
  <c r="L34" i="77"/>
  <c r="AJ34" i="77" s="1"/>
  <c r="Z33" i="77"/>
  <c r="S33" i="77"/>
  <c r="O33" i="77"/>
  <c r="L33" i="77"/>
  <c r="Z32" i="77"/>
  <c r="X32" i="77"/>
  <c r="S32" i="77"/>
  <c r="O32" i="77"/>
  <c r="M32" i="77"/>
  <c r="L32" i="77"/>
  <c r="AJ32" i="77" s="1"/>
  <c r="S31" i="77"/>
  <c r="O31" i="77"/>
  <c r="N31" i="77"/>
  <c r="L31" i="77"/>
  <c r="S30" i="77"/>
  <c r="O30" i="77"/>
  <c r="N30" i="77"/>
  <c r="L30" i="77"/>
  <c r="S29" i="77"/>
  <c r="P29" i="77"/>
  <c r="O29" i="77"/>
  <c r="L29" i="77"/>
  <c r="Z28" i="77"/>
  <c r="S28" i="77"/>
  <c r="O28" i="77"/>
  <c r="L28" i="77"/>
  <c r="X27" i="77"/>
  <c r="S27" i="77"/>
  <c r="O27" i="77"/>
  <c r="N27" i="77"/>
  <c r="L27" i="77"/>
  <c r="Z26" i="77"/>
  <c r="S26" i="77"/>
  <c r="O26" i="77"/>
  <c r="N26" i="77"/>
  <c r="L26" i="77"/>
  <c r="S25" i="77"/>
  <c r="O25" i="77"/>
  <c r="L25" i="77"/>
  <c r="S24" i="77"/>
  <c r="O24" i="77"/>
  <c r="L24" i="77"/>
  <c r="S23" i="77"/>
  <c r="O22" i="77"/>
  <c r="N22" i="77"/>
  <c r="M21" i="77"/>
  <c r="O20" i="77"/>
  <c r="N20" i="77"/>
  <c r="V19" i="77"/>
  <c r="Q19" i="77"/>
  <c r="M19" i="77" s="1"/>
  <c r="M30" i="77" s="1"/>
  <c r="P19" i="77"/>
  <c r="P25" i="77" s="1"/>
  <c r="O19" i="77"/>
  <c r="N19" i="77"/>
  <c r="N45" i="77" s="1"/>
  <c r="V18" i="77"/>
  <c r="O18" i="77"/>
  <c r="N18" i="77"/>
  <c r="Y17" i="77"/>
  <c r="O17" i="77"/>
  <c r="N17" i="77"/>
  <c r="M17" i="77"/>
  <c r="U16" i="77"/>
  <c r="P16" i="77"/>
  <c r="O16" i="77"/>
  <c r="O14" i="77"/>
  <c r="N14" i="77"/>
  <c r="Z13" i="77"/>
  <c r="O13" i="77"/>
  <c r="N13" i="77"/>
  <c r="DD551" i="77"/>
  <c r="DB551" i="77"/>
  <c r="AJ549" i="77"/>
  <c r="BF548" i="77"/>
  <c r="AZ548" i="77" s="1"/>
  <c r="AY548" i="77"/>
  <c r="AV548" i="77" a="1"/>
  <c r="AV548" i="77" s="1"/>
  <c r="AU548" i="77"/>
  <c r="AP548" i="77"/>
  <c r="AO548" i="77"/>
  <c r="AN548" i="77"/>
  <c r="AL548" i="77"/>
  <c r="AT548" i="77" s="1"/>
  <c r="AJ548" i="77"/>
  <c r="BA548" i="77" s="1"/>
  <c r="AF548" i="77"/>
  <c r="AE548" i="77"/>
  <c r="BA547" i="77"/>
  <c r="AY547" i="77"/>
  <c r="AU547" i="77"/>
  <c r="AO547" i="77"/>
  <c r="AN547" i="77"/>
  <c r="AL547" i="77"/>
  <c r="AT547" i="77" s="1"/>
  <c r="AJ547" i="77"/>
  <c r="AV547" i="77" s="1" a="1"/>
  <c r="AV547" i="77" s="1"/>
  <c r="AJ546" i="77"/>
  <c r="AV545" i="77" a="1"/>
  <c r="AV545" i="77" s="1"/>
  <c r="AU545" i="77"/>
  <c r="AO545" i="77"/>
  <c r="AN545" i="77"/>
  <c r="AJ545" i="77"/>
  <c r="AU544" i="77"/>
  <c r="AJ544" i="77"/>
  <c r="AL543" i="77"/>
  <c r="AT543" i="77" s="1"/>
  <c r="AJ543" i="77"/>
  <c r="AV542" i="77" a="1"/>
  <c r="AV542" i="77" s="1"/>
  <c r="AU542" i="77"/>
  <c r="AO542" i="77"/>
  <c r="AN542" i="77"/>
  <c r="AJ542" i="77"/>
  <c r="AU541" i="77"/>
  <c r="AJ541" i="77"/>
  <c r="AO540" i="77"/>
  <c r="AJ540" i="77"/>
  <c r="AJ539" i="77"/>
  <c r="AY538" i="77"/>
  <c r="AV538" i="77" a="1"/>
  <c r="AV538" i="77" s="1"/>
  <c r="AU538" i="77"/>
  <c r="AO538" i="77"/>
  <c r="AN538" i="77"/>
  <c r="AL538" i="77"/>
  <c r="AT538" i="77" s="1"/>
  <c r="AJ538" i="77"/>
  <c r="BA538" i="77" s="1"/>
  <c r="AP537" i="77"/>
  <c r="AO537" i="77"/>
  <c r="AN537" i="77"/>
  <c r="AL537" i="77"/>
  <c r="AT537" i="77" s="1"/>
  <c r="AJ537" i="77"/>
  <c r="BA536" i="77"/>
  <c r="AJ536" i="77"/>
  <c r="AY535" i="77"/>
  <c r="AV535" i="77" a="1"/>
  <c r="AV535" i="77" s="1"/>
  <c r="AU535" i="77"/>
  <c r="AO535" i="77"/>
  <c r="AN535" i="77"/>
  <c r="AL535" i="77"/>
  <c r="AT535" i="77" s="1"/>
  <c r="AJ535" i="77"/>
  <c r="BA535" i="77" s="1"/>
  <c r="BA534" i="77"/>
  <c r="AY534" i="77"/>
  <c r="AO534" i="77"/>
  <c r="AN534" i="77"/>
  <c r="AL534" i="77"/>
  <c r="AT534" i="77" s="1"/>
  <c r="AJ534" i="77"/>
  <c r="BA533" i="77"/>
  <c r="AY533" i="77"/>
  <c r="AU533" i="77"/>
  <c r="AL533" i="77"/>
  <c r="AT533" i="77" s="1"/>
  <c r="AJ533" i="77"/>
  <c r="AY532" i="77"/>
  <c r="AV532" i="77" a="1"/>
  <c r="AV532" i="77" s="1"/>
  <c r="AU532" i="77"/>
  <c r="AT532" i="77"/>
  <c r="AO532" i="77"/>
  <c r="AN532" i="77"/>
  <c r="AL532" i="77"/>
  <c r="AJ532" i="77"/>
  <c r="BA532" i="77" s="1"/>
  <c r="AY531" i="77"/>
  <c r="AU531" i="77"/>
  <c r="AN531" i="77"/>
  <c r="AJ531" i="77"/>
  <c r="AJ530" i="77"/>
  <c r="AY529" i="77"/>
  <c r="AO529" i="77"/>
  <c r="AJ529" i="77"/>
  <c r="AJ528" i="77"/>
  <c r="BA528" i="77" s="1"/>
  <c r="BA527" i="77"/>
  <c r="AV527" i="77" a="1"/>
  <c r="AV527" i="77" s="1"/>
  <c r="AU527" i="77"/>
  <c r="AO527" i="77"/>
  <c r="AJ527" i="77"/>
  <c r="BA526" i="77"/>
  <c r="AY526" i="77"/>
  <c r="AV526" i="77" a="1"/>
  <c r="AV526" i="77" s="1"/>
  <c r="AU526" i="77"/>
  <c r="AT526" i="77"/>
  <c r="AP526" i="77"/>
  <c r="AO526" i="77"/>
  <c r="AN526" i="77"/>
  <c r="AJ526" i="77"/>
  <c r="AL526" i="77" s="1"/>
  <c r="AU525" i="77"/>
  <c r="AJ525" i="77"/>
  <c r="AJ524" i="77"/>
  <c r="BA523" i="77"/>
  <c r="AY523" i="77"/>
  <c r="AV523" i="77" a="1"/>
  <c r="AV523" i="77" s="1"/>
  <c r="AU523" i="77"/>
  <c r="AO523" i="77"/>
  <c r="AJ523" i="77"/>
  <c r="AY522" i="77"/>
  <c r="AV522" i="77" a="1"/>
  <c r="AV522" i="77" s="1"/>
  <c r="AU522" i="77"/>
  <c r="AO522" i="77"/>
  <c r="AN522" i="77"/>
  <c r="AL522" i="77"/>
  <c r="AT522" i="77" s="1"/>
  <c r="AJ522" i="77"/>
  <c r="BA522" i="77" s="1"/>
  <c r="BA521" i="77"/>
  <c r="AY521" i="77"/>
  <c r="AO521" i="77"/>
  <c r="AN521" i="77"/>
  <c r="AL521" i="77"/>
  <c r="AT521" i="77" s="1"/>
  <c r="AX521" i="77" s="1"/>
  <c r="BD521" i="77" s="1"/>
  <c r="AJ521" i="77"/>
  <c r="AF521" i="77"/>
  <c r="BA520" i="77"/>
  <c r="AY520" i="77"/>
  <c r="AU520" i="77"/>
  <c r="AL520" i="77"/>
  <c r="AT520" i="77" s="1"/>
  <c r="AJ520" i="77"/>
  <c r="AY519" i="77"/>
  <c r="AV519" i="77" a="1"/>
  <c r="AV519" i="77" s="1"/>
  <c r="AU519" i="77"/>
  <c r="AT519" i="77"/>
  <c r="AP519" i="77"/>
  <c r="BF519" i="77" s="1"/>
  <c r="AZ519" i="77" s="1"/>
  <c r="AO519" i="77"/>
  <c r="AN519" i="77"/>
  <c r="AL519" i="77"/>
  <c r="AJ519" i="77"/>
  <c r="BA519" i="77" s="1"/>
  <c r="BA518" i="77"/>
  <c r="AY518" i="77"/>
  <c r="AJ518" i="77"/>
  <c r="AJ517" i="77"/>
  <c r="AY516" i="77"/>
  <c r="AV516" i="77" a="1"/>
  <c r="AV516" i="77" s="1"/>
  <c r="AU516" i="77"/>
  <c r="AT516" i="77"/>
  <c r="AX516" i="77" s="1"/>
  <c r="BD516" i="77" s="1"/>
  <c r="AO516" i="77"/>
  <c r="AN516" i="77"/>
  <c r="AL516" i="77"/>
  <c r="AJ516" i="77"/>
  <c r="BA516" i="77" s="1"/>
  <c r="AF516" i="77"/>
  <c r="AE516" i="77"/>
  <c r="BA515" i="77"/>
  <c r="AY515" i="77"/>
  <c r="AU515" i="77"/>
  <c r="AJ515" i="77"/>
  <c r="AJ514" i="77"/>
  <c r="BA513" i="77"/>
  <c r="AY513" i="77"/>
  <c r="AV513" i="77" a="1"/>
  <c r="AV513" i="77" s="1"/>
  <c r="AU513" i="77"/>
  <c r="AT513" i="77"/>
  <c r="AX513" i="77" s="1"/>
  <c r="BD513" i="77" s="1"/>
  <c r="AO513" i="77"/>
  <c r="AN513" i="77"/>
  <c r="AJ513" i="77"/>
  <c r="AL513" i="77" s="1"/>
  <c r="AF513" i="77"/>
  <c r="AE513" i="77"/>
  <c r="BA512" i="77"/>
  <c r="AJ512" i="77"/>
  <c r="AV511" i="77" a="1"/>
  <c r="AV511" i="77" s="1"/>
  <c r="AL511" i="77"/>
  <c r="AT511" i="77" s="1"/>
  <c r="AJ511" i="77"/>
  <c r="AJ510" i="77"/>
  <c r="BA509" i="77"/>
  <c r="AL509" i="77"/>
  <c r="AT509" i="77" s="1"/>
  <c r="AJ509" i="77"/>
  <c r="BA508" i="77"/>
  <c r="AY508" i="77"/>
  <c r="AV508" i="77" a="1"/>
  <c r="AV508" i="77" s="1"/>
  <c r="AO508" i="77"/>
  <c r="AN508" i="77"/>
  <c r="AL508" i="77"/>
  <c r="AT508" i="77" s="1"/>
  <c r="AJ508" i="77"/>
  <c r="AU508" i="77" s="1"/>
  <c r="AF508" i="77"/>
  <c r="AJ507" i="77"/>
  <c r="AY506" i="77"/>
  <c r="AV506" i="77" a="1"/>
  <c r="AV506" i="77" s="1"/>
  <c r="AU506" i="77"/>
  <c r="AO506" i="77"/>
  <c r="AN506" i="77"/>
  <c r="AL506" i="77"/>
  <c r="AT506" i="77" s="1"/>
  <c r="AJ506" i="77"/>
  <c r="BA506" i="77" s="1"/>
  <c r="AJ505" i="77"/>
  <c r="BA504" i="77"/>
  <c r="AV504" i="77" a="1"/>
  <c r="AV504" i="77" s="1"/>
  <c r="AU504" i="77"/>
  <c r="AL504" i="77"/>
  <c r="AT504" i="77" s="1"/>
  <c r="AJ504" i="77"/>
  <c r="BW503" i="77"/>
  <c r="AY503" i="77"/>
  <c r="AX503" i="77"/>
  <c r="BD503" i="77" s="1"/>
  <c r="AV503" i="77" a="1"/>
  <c r="AV503" i="77" s="1"/>
  <c r="AU503" i="77"/>
  <c r="AT503" i="77"/>
  <c r="AP503" i="77"/>
  <c r="BF503" i="77" s="1"/>
  <c r="AZ503" i="77" s="1"/>
  <c r="AO503" i="77"/>
  <c r="AN503" i="77"/>
  <c r="AL503" i="77"/>
  <c r="AJ503" i="77"/>
  <c r="BA503" i="77" s="1"/>
  <c r="AF503" i="77"/>
  <c r="AQ503" i="77" s="1"/>
  <c r="AE503" i="77"/>
  <c r="AJ502" i="77"/>
  <c r="AV501" i="77" a="1"/>
  <c r="AV501" i="77" s="1"/>
  <c r="AU501" i="77"/>
  <c r="AJ501" i="77"/>
  <c r="BA500" i="77"/>
  <c r="AV500" i="77" a="1"/>
  <c r="AV500" i="77" s="1"/>
  <c r="AU500" i="77"/>
  <c r="AN500" i="77"/>
  <c r="AJ500" i="77"/>
  <c r="BA499" i="77"/>
  <c r="AY499" i="77"/>
  <c r="AJ499" i="77"/>
  <c r="AO498" i="77"/>
  <c r="AN498" i="77"/>
  <c r="AL498" i="77"/>
  <c r="AT498" i="77" s="1"/>
  <c r="AJ498" i="77"/>
  <c r="BA497" i="77"/>
  <c r="AY497" i="77"/>
  <c r="AV497" i="77" a="1"/>
  <c r="AV497" i="77" s="1"/>
  <c r="AU497" i="77"/>
  <c r="AO497" i="77"/>
  <c r="AJ497" i="77"/>
  <c r="AV496" i="77" a="1"/>
  <c r="AV496" i="77" s="1"/>
  <c r="AU496" i="77"/>
  <c r="AO496" i="77"/>
  <c r="AN496" i="77"/>
  <c r="AP496" i="77" s="1"/>
  <c r="BF496" i="77" s="1"/>
  <c r="AZ496" i="77" s="1"/>
  <c r="BC496" i="77" s="1"/>
  <c r="AL496" i="77"/>
  <c r="AT496" i="77" s="1"/>
  <c r="AX496" i="77" s="1"/>
  <c r="BD496" i="77" s="1"/>
  <c r="AJ496" i="77"/>
  <c r="BA496" i="77" s="1"/>
  <c r="AF496" i="77"/>
  <c r="AE496" i="77"/>
  <c r="BA495" i="77"/>
  <c r="AY495" i="77"/>
  <c r="AV495" i="77" a="1"/>
  <c r="AV495" i="77" s="1"/>
  <c r="AU495" i="77"/>
  <c r="AP495" i="77"/>
  <c r="AO495" i="77"/>
  <c r="AN495" i="77"/>
  <c r="AL495" i="77"/>
  <c r="AT495" i="77" s="1"/>
  <c r="AJ495" i="77"/>
  <c r="AF495" i="77"/>
  <c r="BA494" i="77"/>
  <c r="AY494" i="77"/>
  <c r="AV494" i="77" a="1"/>
  <c r="AV494" i="77" s="1"/>
  <c r="AO494" i="77"/>
  <c r="AN494" i="77"/>
  <c r="AL494" i="77"/>
  <c r="AT494" i="77" s="1"/>
  <c r="AJ494" i="77"/>
  <c r="AU494" i="77" s="1"/>
  <c r="AF494" i="77"/>
  <c r="BA493" i="77"/>
  <c r="AY493" i="77"/>
  <c r="AV493" i="77" a="1"/>
  <c r="AV493" i="77" s="1"/>
  <c r="AU493" i="77"/>
  <c r="AJ493" i="77"/>
  <c r="AV492" i="77" a="1"/>
  <c r="AV492" i="77" s="1"/>
  <c r="AT492" i="77"/>
  <c r="AP492" i="77"/>
  <c r="BF492" i="77" s="1"/>
  <c r="AZ492" i="77" s="1"/>
  <c r="AO492" i="77"/>
  <c r="AN492" i="77"/>
  <c r="AL492" i="77"/>
  <c r="AJ492" i="77"/>
  <c r="BA491" i="77"/>
  <c r="AY491" i="77"/>
  <c r="AV491" i="77"/>
  <c r="AV491" i="77" a="1"/>
  <c r="AU491" i="77"/>
  <c r="AJ491" i="77"/>
  <c r="AY490" i="77"/>
  <c r="AV490" i="77" a="1"/>
  <c r="AV490" i="77" s="1"/>
  <c r="AU490" i="77"/>
  <c r="AO490" i="77"/>
  <c r="AN490" i="77"/>
  <c r="AP490" i="77" s="1"/>
  <c r="BF490" i="77" s="1"/>
  <c r="AZ490" i="77" s="1"/>
  <c r="BC490" i="77" s="1"/>
  <c r="AL490" i="77"/>
  <c r="AT490" i="77" s="1"/>
  <c r="AX490" i="77" s="1"/>
  <c r="BD490" i="77" s="1"/>
  <c r="AJ490" i="77"/>
  <c r="BA490" i="77" s="1"/>
  <c r="AF490" i="77"/>
  <c r="AQ490" i="77" s="1"/>
  <c r="BA489" i="77"/>
  <c r="AY489" i="77"/>
  <c r="AU489" i="77"/>
  <c r="AO489" i="77"/>
  <c r="AN489" i="77"/>
  <c r="AL489" i="77"/>
  <c r="AT489" i="77" s="1"/>
  <c r="AJ489" i="77"/>
  <c r="AV489" i="77" s="1" a="1"/>
  <c r="AV489" i="77" s="1"/>
  <c r="AF489" i="77"/>
  <c r="AY488" i="77"/>
  <c r="AL488" i="77"/>
  <c r="AT488" i="77" s="1"/>
  <c r="AJ488" i="77"/>
  <c r="BA487" i="77"/>
  <c r="AY487" i="77"/>
  <c r="AV487" i="77" a="1"/>
  <c r="AV487" i="77" s="1"/>
  <c r="AU487" i="77"/>
  <c r="AT487" i="77"/>
  <c r="AO487" i="77"/>
  <c r="AN487" i="77"/>
  <c r="AP487" i="77" s="1"/>
  <c r="AL487" i="77"/>
  <c r="AJ487" i="77"/>
  <c r="BA486" i="77"/>
  <c r="AV486" i="77" a="1"/>
  <c r="AV486" i="77" s="1"/>
  <c r="AL486" i="77"/>
  <c r="AT486" i="77" s="1"/>
  <c r="AJ486" i="77"/>
  <c r="AJ485" i="77"/>
  <c r="AY484" i="77"/>
  <c r="AV484" i="77" a="1"/>
  <c r="AV484" i="77" s="1"/>
  <c r="AU484" i="77"/>
  <c r="AO484" i="77"/>
  <c r="AN484" i="77"/>
  <c r="AL484" i="77"/>
  <c r="AT484" i="77" s="1"/>
  <c r="AJ484" i="77"/>
  <c r="BA484" i="77" s="1"/>
  <c r="BA483" i="77"/>
  <c r="AY483" i="77"/>
  <c r="AU483" i="77"/>
  <c r="AT483" i="77"/>
  <c r="AO483" i="77"/>
  <c r="AN483" i="77"/>
  <c r="AL483" i="77"/>
  <c r="AJ483" i="77"/>
  <c r="AV483" i="77" s="1" a="1"/>
  <c r="AV483" i="77" s="1"/>
  <c r="AF483" i="77"/>
  <c r="AY482" i="77"/>
  <c r="AJ482" i="77"/>
  <c r="AO481" i="77"/>
  <c r="AN481" i="77"/>
  <c r="AJ481" i="77"/>
  <c r="AV480" i="77" a="1"/>
  <c r="AV480" i="77" s="1"/>
  <c r="AU480" i="77"/>
  <c r="AJ480" i="77"/>
  <c r="AV479" i="77" a="1"/>
  <c r="AV479" i="77" s="1"/>
  <c r="AU479" i="77"/>
  <c r="AO479" i="77"/>
  <c r="AN479" i="77"/>
  <c r="AL479" i="77"/>
  <c r="AT479" i="77" s="1"/>
  <c r="AJ479" i="77"/>
  <c r="AJ478" i="77"/>
  <c r="AJ477" i="77"/>
  <c r="AJ476" i="77"/>
  <c r="BA475" i="77"/>
  <c r="AV475" i="77" a="1"/>
  <c r="AV475" i="77" s="1"/>
  <c r="AU475" i="77"/>
  <c r="AO475" i="77"/>
  <c r="AJ475" i="77"/>
  <c r="AY474" i="77"/>
  <c r="AV474" i="77" a="1"/>
  <c r="AV474" i="77" s="1"/>
  <c r="AU474" i="77"/>
  <c r="AP474" i="77"/>
  <c r="BF474" i="77" s="1"/>
  <c r="AZ474" i="77" s="1"/>
  <c r="BC474" i="77" s="1"/>
  <c r="AO474" i="77"/>
  <c r="AN474" i="77"/>
  <c r="AL474" i="77"/>
  <c r="AT474" i="77" s="1"/>
  <c r="AJ474" i="77"/>
  <c r="BA474" i="77" s="1"/>
  <c r="AF474" i="77"/>
  <c r="AE474" i="77"/>
  <c r="AY473" i="77"/>
  <c r="AU473" i="77"/>
  <c r="AP473" i="77"/>
  <c r="AO473" i="77"/>
  <c r="AN473" i="77"/>
  <c r="AL473" i="77"/>
  <c r="AT473" i="77" s="1"/>
  <c r="AJ473" i="77"/>
  <c r="AJ472" i="77"/>
  <c r="AJ471" i="77"/>
  <c r="AJ470" i="77"/>
  <c r="BA469" i="77"/>
  <c r="AV469" i="77" a="1"/>
  <c r="AV469" i="77" s="1"/>
  <c r="AU469" i="77"/>
  <c r="AT469" i="77"/>
  <c r="AO469" i="77"/>
  <c r="AL469" i="77"/>
  <c r="AJ469" i="77"/>
  <c r="BF468" i="77"/>
  <c r="AZ468" i="77" s="1"/>
  <c r="BC468" i="77"/>
  <c r="AY468" i="77"/>
  <c r="AV468" i="77" a="1"/>
  <c r="AV468" i="77" s="1"/>
  <c r="AU468" i="77"/>
  <c r="AP468" i="77"/>
  <c r="AO468" i="77"/>
  <c r="AN468" i="77"/>
  <c r="AL468" i="77"/>
  <c r="AT468" i="77" s="1"/>
  <c r="AJ468" i="77"/>
  <c r="BA468" i="77" s="1"/>
  <c r="AF468" i="77"/>
  <c r="AJ467" i="77"/>
  <c r="BA466" i="77"/>
  <c r="AY466" i="77"/>
  <c r="AV466" i="77" a="1"/>
  <c r="AV466" i="77" s="1"/>
  <c r="AU466" i="77"/>
  <c r="AT466" i="77"/>
  <c r="AP466" i="77"/>
  <c r="AN466" i="77"/>
  <c r="AL466" i="77"/>
  <c r="AJ466" i="77"/>
  <c r="AO466" i="77" s="1"/>
  <c r="BA465" i="77"/>
  <c r="AY465" i="77"/>
  <c r="AV465" i="77" a="1"/>
  <c r="AV465" i="77" s="1"/>
  <c r="AP465" i="77"/>
  <c r="AO465" i="77"/>
  <c r="AN465" i="77"/>
  <c r="AJ465" i="77"/>
  <c r="AF465" i="77"/>
  <c r="AU464" i="77"/>
  <c r="AJ464" i="77"/>
  <c r="AJ463" i="77"/>
  <c r="AJ462" i="77"/>
  <c r="BA461" i="77"/>
  <c r="AY461" i="77"/>
  <c r="AV461" i="77"/>
  <c r="AU461" i="77"/>
  <c r="AP461" i="77"/>
  <c r="AO461" i="77"/>
  <c r="AN461" i="77"/>
  <c r="AL461" i="77"/>
  <c r="AT461" i="77" s="1"/>
  <c r="AJ461" i="77"/>
  <c r="AV461" i="77" s="1" a="1"/>
  <c r="AF461" i="77"/>
  <c r="AE461" i="77" s="1"/>
  <c r="AY460" i="77"/>
  <c r="AN460" i="77"/>
  <c r="AL460" i="77"/>
  <c r="AT460" i="77" s="1"/>
  <c r="AJ460" i="77"/>
  <c r="AY459" i="77"/>
  <c r="AV459" i="77" a="1"/>
  <c r="AV459" i="77" s="1"/>
  <c r="AU459" i="77"/>
  <c r="AO459" i="77"/>
  <c r="AJ459" i="77"/>
  <c r="AY458" i="77"/>
  <c r="AV458" i="77" a="1"/>
  <c r="AV458" i="77" s="1"/>
  <c r="AU458" i="77"/>
  <c r="AO458" i="77"/>
  <c r="AN458" i="77"/>
  <c r="AP458" i="77" s="1"/>
  <c r="BF458" i="77" s="1"/>
  <c r="AZ458" i="77" s="1"/>
  <c r="BC458" i="77" s="1"/>
  <c r="AL458" i="77"/>
  <c r="AT458" i="77" s="1"/>
  <c r="AJ458" i="77"/>
  <c r="BA458" i="77" s="1"/>
  <c r="AF458" i="77"/>
  <c r="AE458" i="77"/>
  <c r="BA457" i="77"/>
  <c r="AY457" i="77"/>
  <c r="AV457" i="77"/>
  <c r="AU457" i="77"/>
  <c r="AP457" i="77"/>
  <c r="AO457" i="77"/>
  <c r="AN457" i="77"/>
  <c r="AL457" i="77"/>
  <c r="AT457" i="77" s="1"/>
  <c r="AJ457" i="77"/>
  <c r="AV457" i="77" s="1" a="1"/>
  <c r="AY456" i="77"/>
  <c r="AV456" i="77" a="1"/>
  <c r="AV456" i="77" s="1"/>
  <c r="AP456" i="77"/>
  <c r="AN456" i="77"/>
  <c r="AL456" i="77"/>
  <c r="AT456" i="77" s="1"/>
  <c r="AJ456" i="77"/>
  <c r="BA455" i="77"/>
  <c r="AY455" i="77"/>
  <c r="AV455" i="77" a="1"/>
  <c r="AV455" i="77" s="1"/>
  <c r="AU455" i="77"/>
  <c r="AT455" i="77"/>
  <c r="AO455" i="77"/>
  <c r="AN455" i="77"/>
  <c r="AL455" i="77"/>
  <c r="AJ455" i="77"/>
  <c r="AJ454" i="77"/>
  <c r="AY453" i="77"/>
  <c r="AO453" i="77"/>
  <c r="AL453" i="77"/>
  <c r="AT453" i="77" s="1"/>
  <c r="AJ453" i="77"/>
  <c r="AY452" i="77"/>
  <c r="AV452" i="77" a="1"/>
  <c r="AV452" i="77" s="1"/>
  <c r="AU452" i="77"/>
  <c r="AO452" i="77"/>
  <c r="AN452" i="77"/>
  <c r="AL452" i="77"/>
  <c r="AT452" i="77" s="1"/>
  <c r="AJ452" i="77"/>
  <c r="BA452" i="77" s="1"/>
  <c r="BA451" i="77"/>
  <c r="AY451" i="77"/>
  <c r="AU451" i="77"/>
  <c r="AT451" i="77"/>
  <c r="AP451" i="77"/>
  <c r="BF451" i="77" s="1"/>
  <c r="AZ451" i="77" s="1"/>
  <c r="AO451" i="77"/>
  <c r="AN451" i="77"/>
  <c r="AL451" i="77"/>
  <c r="AJ451" i="77"/>
  <c r="AV451" i="77" s="1" a="1"/>
  <c r="AV451" i="77" s="1"/>
  <c r="AF451" i="77"/>
  <c r="BA450" i="77"/>
  <c r="AY450" i="77"/>
  <c r="AV450" i="77" a="1"/>
  <c r="AV450" i="77" s="1"/>
  <c r="AJ450" i="77"/>
  <c r="AJ449" i="77"/>
  <c r="AJ448" i="77"/>
  <c r="AV447" i="77" a="1"/>
  <c r="AV447" i="77" s="1"/>
  <c r="AU447" i="77"/>
  <c r="AO447" i="77"/>
  <c r="AN447" i="77"/>
  <c r="AL447" i="77"/>
  <c r="AT447" i="77" s="1"/>
  <c r="AJ447" i="77"/>
  <c r="BA446" i="77"/>
  <c r="AY446" i="77"/>
  <c r="AV446" i="77" a="1"/>
  <c r="AV446" i="77" s="1"/>
  <c r="AU446" i="77"/>
  <c r="AT446" i="77"/>
  <c r="AL446" i="77"/>
  <c r="AJ446" i="77"/>
  <c r="AV445" i="77" a="1"/>
  <c r="AV445" i="77" s="1"/>
  <c r="AU445" i="77"/>
  <c r="AJ445" i="77"/>
  <c r="BA444" i="77"/>
  <c r="AY444" i="77"/>
  <c r="AO444" i="77"/>
  <c r="AJ444" i="77"/>
  <c r="AO443" i="77"/>
  <c r="AJ443" i="77"/>
  <c r="AZ442" i="77"/>
  <c r="BC442" i="77" s="1"/>
  <c r="AV442" i="77" a="1"/>
  <c r="AV442" i="77" s="1"/>
  <c r="AU442" i="77"/>
  <c r="AT442" i="77"/>
  <c r="AX442" i="77" s="1"/>
  <c r="BD442" i="77" s="1"/>
  <c r="AQ442" i="77"/>
  <c r="AP442" i="77"/>
  <c r="BF442" i="77" s="1"/>
  <c r="AO442" i="77"/>
  <c r="AN442" i="77"/>
  <c r="AL442" i="77"/>
  <c r="AJ442" i="77"/>
  <c r="BA442" i="77" s="1"/>
  <c r="AG442" i="77"/>
  <c r="AF442" i="77"/>
  <c r="AE442" i="77"/>
  <c r="BA441" i="77"/>
  <c r="AJ441" i="77"/>
  <c r="AJ440" i="77"/>
  <c r="AU439" i="77"/>
  <c r="AT439" i="77"/>
  <c r="AL439" i="77"/>
  <c r="AJ439" i="77"/>
  <c r="AJ438" i="77"/>
  <c r="BA437" i="77"/>
  <c r="AY437" i="77"/>
  <c r="AU437" i="77"/>
  <c r="AT437" i="77"/>
  <c r="AO437" i="77"/>
  <c r="AL437" i="77"/>
  <c r="AJ437" i="77"/>
  <c r="AY436" i="77"/>
  <c r="AV436" i="77" a="1"/>
  <c r="AV436" i="77" s="1"/>
  <c r="AU436" i="77"/>
  <c r="AT436" i="77"/>
  <c r="AO436" i="77"/>
  <c r="AN436" i="77"/>
  <c r="AP436" i="77" s="1"/>
  <c r="BF436" i="77" s="1"/>
  <c r="AZ436" i="77" s="1"/>
  <c r="BC436" i="77" s="1"/>
  <c r="AL436" i="77"/>
  <c r="AJ436" i="77"/>
  <c r="BA436" i="77" s="1"/>
  <c r="AF436" i="77"/>
  <c r="AE436" i="77"/>
  <c r="AJ435" i="77"/>
  <c r="AY434" i="77"/>
  <c r="AJ434" i="77"/>
  <c r="BA433" i="77"/>
  <c r="AY433" i="77"/>
  <c r="AO433" i="77"/>
  <c r="AN433" i="77"/>
  <c r="AJ433" i="77"/>
  <c r="AF433" i="77"/>
  <c r="AE433" i="77"/>
  <c r="BA432" i="77"/>
  <c r="AJ432" i="77"/>
  <c r="AJ431" i="77"/>
  <c r="BA430" i="77"/>
  <c r="AY430" i="77"/>
  <c r="AV430" i="77" a="1"/>
  <c r="AV430" i="77" s="1"/>
  <c r="AU430" i="77"/>
  <c r="AP430" i="77"/>
  <c r="AO430" i="77"/>
  <c r="AN430" i="77"/>
  <c r="AL430" i="77"/>
  <c r="AT430" i="77" s="1"/>
  <c r="AJ430" i="77"/>
  <c r="AL429" i="77"/>
  <c r="AT429" i="77" s="1"/>
  <c r="AJ429" i="77"/>
  <c r="BA428" i="77"/>
  <c r="AY428" i="77"/>
  <c r="AV428" i="77" a="1"/>
  <c r="AV428" i="77" s="1"/>
  <c r="AT428" i="77"/>
  <c r="AO428" i="77"/>
  <c r="AN428" i="77"/>
  <c r="AL428" i="77"/>
  <c r="AJ428" i="77"/>
  <c r="AU428" i="77" s="1"/>
  <c r="AH428" i="77"/>
  <c r="AG428" i="77"/>
  <c r="AF428" i="77"/>
  <c r="AE428" i="77" s="1"/>
  <c r="AV427" i="77" a="1"/>
  <c r="AV427" i="77" s="1"/>
  <c r="AJ427" i="77"/>
  <c r="AY426" i="77"/>
  <c r="AV426" i="77" a="1"/>
  <c r="AV426" i="77" s="1"/>
  <c r="AU426" i="77"/>
  <c r="AP426" i="77"/>
  <c r="AO426" i="77"/>
  <c r="AN426" i="77"/>
  <c r="AL426" i="77"/>
  <c r="AT426" i="77" s="1"/>
  <c r="AJ426" i="77"/>
  <c r="BA426" i="77" s="1"/>
  <c r="BA425" i="77"/>
  <c r="AY425" i="77"/>
  <c r="AO425" i="77"/>
  <c r="AN425" i="77"/>
  <c r="AL425" i="77"/>
  <c r="AT425" i="77" s="1"/>
  <c r="AJ425" i="77"/>
  <c r="AY424" i="77"/>
  <c r="AJ424" i="77"/>
  <c r="AY423" i="77"/>
  <c r="AV423" i="77" a="1"/>
  <c r="AV423" i="77" s="1"/>
  <c r="AU423" i="77"/>
  <c r="AP423" i="77"/>
  <c r="BF423" i="77" s="1"/>
  <c r="AZ423" i="77" s="1"/>
  <c r="AO423" i="77"/>
  <c r="AN423" i="77"/>
  <c r="AL423" i="77"/>
  <c r="AT423" i="77" s="1"/>
  <c r="AJ423" i="77"/>
  <c r="BA423" i="77" s="1"/>
  <c r="AF423" i="77"/>
  <c r="BA422" i="77"/>
  <c r="AJ422" i="77"/>
  <c r="AJ421" i="77"/>
  <c r="AY420" i="77"/>
  <c r="AV420" i="77" a="1"/>
  <c r="AV420" i="77" s="1"/>
  <c r="AU420" i="77"/>
  <c r="AT420" i="77"/>
  <c r="AO420" i="77"/>
  <c r="AN420" i="77"/>
  <c r="AL420" i="77"/>
  <c r="AJ420" i="77"/>
  <c r="BA420" i="77" s="1"/>
  <c r="AU419" i="77"/>
  <c r="AJ419" i="77"/>
  <c r="BA418" i="77"/>
  <c r="AV418" i="77" a="1"/>
  <c r="AV418" i="77" s="1"/>
  <c r="AU418" i="77"/>
  <c r="AT418" i="77"/>
  <c r="AN418" i="77"/>
  <c r="AL418" i="77"/>
  <c r="AJ418" i="77"/>
  <c r="AF418" i="77"/>
  <c r="BA417" i="77"/>
  <c r="AY417" i="77"/>
  <c r="AV417" i="77" a="1"/>
  <c r="AV417" i="77" s="1"/>
  <c r="AU417" i="77"/>
  <c r="AT417" i="77"/>
  <c r="AP417" i="77"/>
  <c r="AO417" i="77"/>
  <c r="AN417" i="77"/>
  <c r="AJ417" i="77"/>
  <c r="AL417" i="77" s="1"/>
  <c r="AF417" i="77"/>
  <c r="AE417" i="77"/>
  <c r="AU416" i="77"/>
  <c r="AJ416" i="77"/>
  <c r="AV415" i="77" a="1"/>
  <c r="AV415" i="77" s="1"/>
  <c r="AL415" i="77"/>
  <c r="AT415" i="77" s="1"/>
  <c r="AJ415" i="77"/>
  <c r="BA414" i="77"/>
  <c r="AY414" i="77"/>
  <c r="AV414" i="77" a="1"/>
  <c r="AV414" i="77" s="1"/>
  <c r="AU414" i="77"/>
  <c r="AT414" i="77"/>
  <c r="AO414" i="77"/>
  <c r="AJ414" i="77"/>
  <c r="AL414" i="77" s="1"/>
  <c r="AJ413" i="77"/>
  <c r="AY412" i="77"/>
  <c r="AV412" i="77" a="1"/>
  <c r="AV412" i="77" s="1"/>
  <c r="AO412" i="77"/>
  <c r="AN412" i="77"/>
  <c r="AP412" i="77" s="1"/>
  <c r="AJ412" i="77"/>
  <c r="AJ411" i="77"/>
  <c r="AY410" i="77"/>
  <c r="AO410" i="77"/>
  <c r="AN410" i="77"/>
  <c r="AJ410" i="77"/>
  <c r="AF410" i="77"/>
  <c r="AY409" i="77"/>
  <c r="AJ409" i="77"/>
  <c r="BA409" i="77" s="1"/>
  <c r="AJ408" i="77"/>
  <c r="AY408" i="77" s="1"/>
  <c r="AV407" i="77" a="1"/>
  <c r="AV407" i="77" s="1"/>
  <c r="AO407" i="77"/>
  <c r="AN407" i="77"/>
  <c r="AJ407" i="77"/>
  <c r="AJ406" i="77"/>
  <c r="AJ405" i="77"/>
  <c r="AL405" i="77" s="1"/>
  <c r="AT405" i="77" s="1"/>
  <c r="AL404" i="77"/>
  <c r="AT404" i="77" s="1"/>
  <c r="AJ404" i="77"/>
  <c r="AJ403" i="77"/>
  <c r="AJ402" i="77"/>
  <c r="AJ400" i="77"/>
  <c r="AJ399" i="77"/>
  <c r="AV399" i="77" s="1" a="1"/>
  <c r="AV399" i="77" s="1"/>
  <c r="BA398" i="77"/>
  <c r="AV398" i="77" a="1"/>
  <c r="AV398" i="77" s="1"/>
  <c r="AU398" i="77"/>
  <c r="AJ398" i="77"/>
  <c r="AO398" i="77" s="1"/>
  <c r="AJ397" i="77"/>
  <c r="BA397" i="77" s="1"/>
  <c r="AJ396" i="77"/>
  <c r="AJ395" i="77"/>
  <c r="AY394" i="77"/>
  <c r="AU394" i="77"/>
  <c r="AJ394" i="77"/>
  <c r="BA393" i="77"/>
  <c r="AY393" i="77"/>
  <c r="AJ393" i="77"/>
  <c r="AV392" i="77" a="1"/>
  <c r="AV392" i="77" s="1"/>
  <c r="AJ392" i="77"/>
  <c r="AJ391" i="77"/>
  <c r="AL391" i="77" s="1"/>
  <c r="AT391" i="77" s="1"/>
  <c r="AJ390" i="77"/>
  <c r="AU389" i="77"/>
  <c r="AT389" i="77"/>
  <c r="AL389" i="77"/>
  <c r="AJ389" i="77"/>
  <c r="AJ388" i="77"/>
  <c r="AU387" i="77"/>
  <c r="AJ387" i="77"/>
  <c r="AJ386" i="77"/>
  <c r="BA386" i="77" s="1"/>
  <c r="AY385" i="77"/>
  <c r="AN385" i="77"/>
  <c r="AP385" i="77" s="1"/>
  <c r="AJ385" i="77"/>
  <c r="BA384" i="77"/>
  <c r="AJ384" i="77"/>
  <c r="AL384" i="77" s="1"/>
  <c r="AT384" i="77" s="1"/>
  <c r="AU383" i="77"/>
  <c r="AO383" i="77"/>
  <c r="AJ383" i="77"/>
  <c r="AJ382" i="77"/>
  <c r="AU381" i="77"/>
  <c r="AJ381" i="77"/>
  <c r="AY380" i="77"/>
  <c r="AV380" i="77" a="1"/>
  <c r="AV380" i="77" s="1"/>
  <c r="AO380" i="77"/>
  <c r="AN380" i="77"/>
  <c r="AJ380" i="77"/>
  <c r="AU380" i="77" s="1"/>
  <c r="AJ379" i="77"/>
  <c r="AY379" i="77" s="1"/>
  <c r="AT378" i="77"/>
  <c r="AO378" i="77"/>
  <c r="AL378" i="77"/>
  <c r="AJ378" i="77"/>
  <c r="AJ377" i="77"/>
  <c r="AJ376" i="77"/>
  <c r="AV376" i="77" s="1" a="1"/>
  <c r="AV376" i="77" s="1"/>
  <c r="AJ375" i="77"/>
  <c r="AJ374" i="77"/>
  <c r="AJ373" i="77"/>
  <c r="AJ372" i="77"/>
  <c r="BA372" i="77" s="1"/>
  <c r="AY371" i="77"/>
  <c r="AV371" i="77" a="1"/>
  <c r="AV371" i="77" s="1"/>
  <c r="AN371" i="77"/>
  <c r="AP371" i="77" s="1"/>
  <c r="AJ371" i="77"/>
  <c r="AF371" i="77"/>
  <c r="AE371" i="77" s="1"/>
  <c r="AJ370" i="77"/>
  <c r="AN370" i="77" s="1"/>
  <c r="AY369" i="77"/>
  <c r="AO369" i="77"/>
  <c r="AJ369" i="77"/>
  <c r="BA368" i="77"/>
  <c r="AJ368" i="77"/>
  <c r="AV368" i="77" s="1" a="1"/>
  <c r="AV368" i="77" s="1"/>
  <c r="AV367" i="77" a="1"/>
  <c r="AV367" i="77" s="1"/>
  <c r="AL367" i="77"/>
  <c r="AT367" i="77" s="1"/>
  <c r="AJ367" i="77"/>
  <c r="AN366" i="77"/>
  <c r="AJ366" i="77"/>
  <c r="AV365" i="77" a="1"/>
  <c r="AV365" i="77" s="1"/>
  <c r="AJ365" i="77"/>
  <c r="AJ363" i="77"/>
  <c r="AV360" i="77" a="1"/>
  <c r="AV360" i="77" s="1"/>
  <c r="AJ360" i="77"/>
  <c r="AN360" i="77" s="1"/>
  <c r="AP360" i="77" s="1"/>
  <c r="AJ358" i="77"/>
  <c r="AJ357" i="77"/>
  <c r="AJ356" i="77"/>
  <c r="AJ355" i="77"/>
  <c r="AO355" i="77" s="1"/>
  <c r="AV354" i="77" a="1"/>
  <c r="AV354" i="77" s="1"/>
  <c r="AL354" i="77"/>
  <c r="AT354" i="77" s="1"/>
  <c r="AJ354" i="77"/>
  <c r="AY353" i="77"/>
  <c r="AV353" i="77" a="1"/>
  <c r="AV353" i="77" s="1"/>
  <c r="AN353" i="77"/>
  <c r="AJ353" i="77"/>
  <c r="AJ352" i="77"/>
  <c r="AJ351" i="77"/>
  <c r="AJ350" i="77"/>
  <c r="AJ349" i="77"/>
  <c r="AJ348" i="77"/>
  <c r="AJ347" i="77"/>
  <c r="AJ346" i="77"/>
  <c r="AJ345" i="77"/>
  <c r="AJ344" i="77"/>
  <c r="AJ343" i="77"/>
  <c r="BA343" i="77" s="1"/>
  <c r="AY342" i="77"/>
  <c r="AO342" i="77"/>
  <c r="AN342" i="77"/>
  <c r="AP342" i="77" s="1"/>
  <c r="BF342" i="77" s="1"/>
  <c r="AZ342" i="77" s="1"/>
  <c r="AL342" i="77"/>
  <c r="AT342" i="77" s="1"/>
  <c r="AJ342" i="77"/>
  <c r="AV340" i="77" a="1"/>
  <c r="AV340" i="77" s="1"/>
  <c r="AU340" i="77"/>
  <c r="AT340" i="77"/>
  <c r="AO340" i="77"/>
  <c r="AN340" i="77"/>
  <c r="AL340" i="77"/>
  <c r="AJ340" i="77"/>
  <c r="BA340" i="77" s="1"/>
  <c r="BA338" i="77"/>
  <c r="AY338" i="77"/>
  <c r="AV338" i="77" a="1"/>
  <c r="AV338" i="77" s="1"/>
  <c r="AU338" i="77"/>
  <c r="AL338" i="77"/>
  <c r="AT338" i="77" s="1"/>
  <c r="AJ338" i="77"/>
  <c r="AY337" i="77"/>
  <c r="AO337" i="77"/>
  <c r="AJ337" i="77"/>
  <c r="AN336" i="77"/>
  <c r="AP336" i="77" s="1"/>
  <c r="AL336" i="77"/>
  <c r="AT336" i="77" s="1"/>
  <c r="AJ336" i="77"/>
  <c r="AJ335" i="77"/>
  <c r="AV335" i="77" s="1" a="1"/>
  <c r="AV335" i="77" s="1"/>
  <c r="AJ334" i="77"/>
  <c r="AF334" i="77"/>
  <c r="BA333" i="77"/>
  <c r="AY333" i="77"/>
  <c r="AU333" i="77"/>
  <c r="AN333" i="77"/>
  <c r="AJ333" i="77"/>
  <c r="AL332" i="77"/>
  <c r="AT332" i="77" s="1"/>
  <c r="AJ332" i="77"/>
  <c r="BA332" i="77" s="1"/>
  <c r="AO331" i="77"/>
  <c r="AN331" i="77"/>
  <c r="AJ331" i="77"/>
  <c r="AJ330" i="77"/>
  <c r="AY329" i="77"/>
  <c r="AU329" i="77"/>
  <c r="AO329" i="77"/>
  <c r="AN329" i="77"/>
  <c r="AJ329" i="77"/>
  <c r="AJ328" i="77"/>
  <c r="AV326" i="77" a="1"/>
  <c r="AV326" i="77" s="1"/>
  <c r="AJ326" i="77"/>
  <c r="AN326" i="77" s="1"/>
  <c r="AY325" i="77"/>
  <c r="AV325" i="77" a="1"/>
  <c r="AV325" i="77" s="1"/>
  <c r="AU325" i="77"/>
  <c r="AO325" i="77"/>
  <c r="AJ325" i="77"/>
  <c r="BA325" i="77" s="1"/>
  <c r="AJ324" i="77"/>
  <c r="AU324" i="77" s="1"/>
  <c r="AJ323" i="77"/>
  <c r="AJ322" i="77"/>
  <c r="AJ321" i="77"/>
  <c r="AO321" i="77" s="1"/>
  <c r="AJ320" i="77"/>
  <c r="AJ319" i="77"/>
  <c r="AV319" i="77" s="1" a="1"/>
  <c r="AV319" i="77" s="1"/>
  <c r="AY318" i="77"/>
  <c r="AV318" i="77" a="1"/>
  <c r="AV318" i="77" s="1"/>
  <c r="AO318" i="77"/>
  <c r="AJ318" i="77"/>
  <c r="AJ317" i="77"/>
  <c r="AO317" i="77" s="1"/>
  <c r="AN316" i="77"/>
  <c r="AJ316" i="77"/>
  <c r="AJ315" i="77"/>
  <c r="BA314" i="77"/>
  <c r="AJ314" i="77"/>
  <c r="AU314" i="77" s="1"/>
  <c r="BA313" i="77"/>
  <c r="AV313" i="77" a="1"/>
  <c r="AV313" i="77" s="1"/>
  <c r="AU313" i="77"/>
  <c r="AO313" i="77"/>
  <c r="AN313" i="77"/>
  <c r="AL313" i="77"/>
  <c r="AT313" i="77" s="1"/>
  <c r="AJ313" i="77"/>
  <c r="AY313" i="77" s="1"/>
  <c r="AJ312" i="77"/>
  <c r="AJ311" i="77"/>
  <c r="AL311" i="77" s="1"/>
  <c r="AT311" i="77" s="1"/>
  <c r="AJ310" i="77"/>
  <c r="AY310" i="77" s="1"/>
  <c r="AJ309" i="77"/>
  <c r="AJ308" i="77"/>
  <c r="AN307" i="77"/>
  <c r="AP307" i="77" s="1"/>
  <c r="AJ307" i="77"/>
  <c r="B307" i="77"/>
  <c r="AJ306" i="77"/>
  <c r="J306" i="77"/>
  <c r="I306" i="77"/>
  <c r="H306" i="77"/>
  <c r="G306" i="77"/>
  <c r="F306" i="77"/>
  <c r="E306" i="77"/>
  <c r="D306" i="77"/>
  <c r="C306" i="77"/>
  <c r="B306" i="77"/>
  <c r="AJ305" i="77"/>
  <c r="AJ304" i="77"/>
  <c r="C304" i="77"/>
  <c r="C304" i="77" a="1"/>
  <c r="B304" i="77"/>
  <c r="AJ303" i="77"/>
  <c r="C303" i="77" a="1"/>
  <c r="C303" i="77" s="1"/>
  <c r="B303" i="77"/>
  <c r="AJ302" i="77"/>
  <c r="C302" i="77" a="1"/>
  <c r="C302" i="77" s="1"/>
  <c r="B302" i="77"/>
  <c r="AJ301" i="77"/>
  <c r="C301" i="77"/>
  <c r="C301" i="77" a="1"/>
  <c r="B301" i="77"/>
  <c r="BA300" i="77"/>
  <c r="AU300" i="77"/>
  <c r="AO300" i="77"/>
  <c r="AN300" i="77"/>
  <c r="AL300" i="77"/>
  <c r="AT300" i="77" s="1"/>
  <c r="AJ300" i="77"/>
  <c r="C300" i="77"/>
  <c r="C300" i="77" a="1"/>
  <c r="B300" i="77"/>
  <c r="AJ299" i="77"/>
  <c r="C299" i="77" a="1"/>
  <c r="C299" i="77" s="1"/>
  <c r="B299" i="77"/>
  <c r="BA298" i="77"/>
  <c r="AY298" i="77"/>
  <c r="AV298" i="77" a="1"/>
  <c r="AV298" i="77" s="1"/>
  <c r="AU298" i="77"/>
  <c r="AO298" i="77"/>
  <c r="AN298" i="77"/>
  <c r="AF298" i="77" s="1"/>
  <c r="AL298" i="77"/>
  <c r="AT298" i="77" s="1"/>
  <c r="AJ298" i="77"/>
  <c r="C298" i="77"/>
  <c r="C298" i="77" a="1"/>
  <c r="B298" i="77"/>
  <c r="BA297" i="77"/>
  <c r="AN297" i="77"/>
  <c r="AJ297" i="77"/>
  <c r="C297" i="77" a="1"/>
  <c r="C297" i="77" s="1"/>
  <c r="B297" i="77"/>
  <c r="C296" i="77" a="1"/>
  <c r="C296" i="77" s="1"/>
  <c r="B296" i="77"/>
  <c r="BA295" i="77"/>
  <c r="AY295" i="77"/>
  <c r="AV295" i="77" a="1"/>
  <c r="AV295" i="77" s="1"/>
  <c r="AU295" i="77"/>
  <c r="AN295" i="77"/>
  <c r="AJ295" i="77"/>
  <c r="AL295" i="77" s="1"/>
  <c r="AT295" i="77" s="1"/>
  <c r="C295" i="77"/>
  <c r="C295" i="77" a="1"/>
  <c r="B295" i="77"/>
  <c r="C294" i="77" a="1"/>
  <c r="C294" i="77" s="1"/>
  <c r="B294" i="77"/>
  <c r="AU293" i="77"/>
  <c r="AJ293" i="77"/>
  <c r="AV293" i="77" s="1" a="1"/>
  <c r="AV293" i="77" s="1"/>
  <c r="C293" i="77" a="1"/>
  <c r="C293" i="77" s="1"/>
  <c r="B293" i="77"/>
  <c r="BA292" i="77"/>
  <c r="AY292" i="77"/>
  <c r="AV292" i="77" a="1"/>
  <c r="AV292" i="77" s="1"/>
  <c r="AU292" i="77"/>
  <c r="AO292" i="77"/>
  <c r="AN292" i="77"/>
  <c r="AL292" i="77"/>
  <c r="AT292" i="77" s="1"/>
  <c r="AJ292" i="77"/>
  <c r="C292" i="77" a="1"/>
  <c r="C292" i="77" s="1"/>
  <c r="B292" i="77"/>
  <c r="AJ291" i="77"/>
  <c r="C291" i="77" a="1"/>
  <c r="C291" i="77" s="1"/>
  <c r="B291" i="77"/>
  <c r="AJ290" i="77"/>
  <c r="C290" i="77"/>
  <c r="C290" i="77" a="1"/>
  <c r="B290" i="77"/>
  <c r="BA289" i="77"/>
  <c r="AY289" i="77"/>
  <c r="AV289" i="77" a="1"/>
  <c r="AV289" i="77" s="1"/>
  <c r="AU289" i="77"/>
  <c r="AN289" i="77"/>
  <c r="AL289" i="77"/>
  <c r="AT289" i="77" s="1"/>
  <c r="AJ289" i="77"/>
  <c r="AO289" i="77" s="1"/>
  <c r="C289" i="77" a="1"/>
  <c r="C289" i="77" s="1"/>
  <c r="B289" i="77"/>
  <c r="AJ288" i="77"/>
  <c r="AO288" i="77" s="1"/>
  <c r="C288" i="77" a="1"/>
  <c r="C288" i="77" s="1"/>
  <c r="B288" i="77"/>
  <c r="BA287" i="77"/>
  <c r="AY287" i="77"/>
  <c r="AV287" i="77" a="1"/>
  <c r="AV287" i="77" s="1"/>
  <c r="AU287" i="77"/>
  <c r="AN287" i="77"/>
  <c r="AJ287" i="77"/>
  <c r="C287" i="77" a="1"/>
  <c r="C287" i="77" s="1"/>
  <c r="B287" i="77"/>
  <c r="AY286" i="77"/>
  <c r="AV286" i="77" a="1"/>
  <c r="AV286" i="77" s="1"/>
  <c r="AO286" i="77"/>
  <c r="AL286" i="77"/>
  <c r="AT286" i="77" s="1"/>
  <c r="AJ286" i="77"/>
  <c r="C286" i="77"/>
  <c r="C286" i="77" a="1"/>
  <c r="B286" i="77"/>
  <c r="AU285" i="77"/>
  <c r="AO285" i="77"/>
  <c r="AN285" i="77"/>
  <c r="AP285" i="77" s="1"/>
  <c r="AL285" i="77"/>
  <c r="AT285" i="77" s="1"/>
  <c r="AJ285" i="77"/>
  <c r="BA285" i="77" s="1"/>
  <c r="C285" i="77"/>
  <c r="C285" i="77" a="1"/>
  <c r="B285" i="77"/>
  <c r="AJ284" i="77"/>
  <c r="AV284" i="77" s="1" a="1"/>
  <c r="AV284" i="77" s="1"/>
  <c r="C284" i="77" a="1"/>
  <c r="C284" i="77" s="1"/>
  <c r="B284" i="77"/>
  <c r="AJ283" i="77"/>
  <c r="C283" i="77" a="1"/>
  <c r="C283" i="77" s="1"/>
  <c r="B283" i="77"/>
  <c r="BA282" i="77"/>
  <c r="AY282" i="77"/>
  <c r="AU282" i="77"/>
  <c r="AO282" i="77"/>
  <c r="AN282" i="77"/>
  <c r="AP282" i="77" s="1"/>
  <c r="BF282" i="77" s="1"/>
  <c r="AZ282" i="77" s="1"/>
  <c r="BC282" i="77" s="1"/>
  <c r="AJ282" i="77"/>
  <c r="C282" i="77"/>
  <c r="C282" i="77" a="1"/>
  <c r="B282" i="77"/>
  <c r="AJ281" i="77"/>
  <c r="C281" i="77"/>
  <c r="C281" i="77" a="1"/>
  <c r="B281" i="77"/>
  <c r="C280" i="77" a="1"/>
  <c r="C280" i="77" s="1"/>
  <c r="BA279" i="77"/>
  <c r="AY279" i="77"/>
  <c r="AU279" i="77"/>
  <c r="AJ279" i="77"/>
  <c r="AN279" i="77" s="1"/>
  <c r="AF279" i="77"/>
  <c r="C279" i="77"/>
  <c r="C279" i="77" a="1"/>
  <c r="B279" i="77"/>
  <c r="C278" i="77"/>
  <c r="C278" i="77" a="1"/>
  <c r="C277" i="77"/>
  <c r="C277" i="77" a="1"/>
  <c r="C276" i="77" a="1"/>
  <c r="C276" i="77" s="1"/>
  <c r="C275" i="77" a="1"/>
  <c r="C275" i="77" s="1"/>
  <c r="C274" i="77"/>
  <c r="C274" i="77" a="1"/>
  <c r="C273" i="77" a="1"/>
  <c r="C273" i="77" s="1"/>
  <c r="AJ272" i="77"/>
  <c r="C272" i="77"/>
  <c r="C272" i="77" a="1"/>
  <c r="B272" i="77"/>
  <c r="BA271" i="77"/>
  <c r="AY271" i="77"/>
  <c r="AV271" i="77" a="1"/>
  <c r="AV271" i="77" s="1"/>
  <c r="AU271" i="77"/>
  <c r="AT271" i="77"/>
  <c r="AO271" i="77"/>
  <c r="AN271" i="77"/>
  <c r="AJ271" i="77"/>
  <c r="AL271" i="77" s="1"/>
  <c r="C271" i="77" a="1"/>
  <c r="C271" i="77" s="1"/>
  <c r="B271" i="77"/>
  <c r="AU270" i="77"/>
  <c r="AJ270" i="77"/>
  <c r="AL270" i="77" s="1"/>
  <c r="AT270" i="77" s="1"/>
  <c r="C270" i="77"/>
  <c r="C270" i="77" a="1"/>
  <c r="B270" i="77"/>
  <c r="AJ269" i="77"/>
  <c r="C269" i="77" a="1"/>
  <c r="C269" i="77" s="1"/>
  <c r="B269" i="77"/>
  <c r="AJ268" i="77"/>
  <c r="C268" i="77"/>
  <c r="C268" i="77" a="1"/>
  <c r="B268" i="77"/>
  <c r="BA267" i="77"/>
  <c r="AN267" i="77"/>
  <c r="AP267" i="77" s="1"/>
  <c r="C267" i="77" a="1"/>
  <c r="C267" i="77" s="1"/>
  <c r="B267" i="77"/>
  <c r="AJ266" i="77"/>
  <c r="C266" i="77"/>
  <c r="C266" i="77" a="1"/>
  <c r="B266" i="77"/>
  <c r="BA265" i="77"/>
  <c r="AY265" i="77"/>
  <c r="AV265" i="77" a="1"/>
  <c r="AV265" i="77" s="1"/>
  <c r="AU265" i="77"/>
  <c r="AN265" i="77"/>
  <c r="AL265" i="77"/>
  <c r="AT265" i="77" s="1"/>
  <c r="AJ265" i="77"/>
  <c r="AO265" i="77" s="1"/>
  <c r="C265" i="77"/>
  <c r="C265" i="77" a="1"/>
  <c r="B265" i="77"/>
  <c r="C264" i="77"/>
  <c r="C264" i="77" a="1"/>
  <c r="B264" i="77"/>
  <c r="AY263" i="77"/>
  <c r="AJ263" i="77"/>
  <c r="J263" i="77"/>
  <c r="C263" i="77" a="1"/>
  <c r="C263" i="77" s="1"/>
  <c r="B263" i="77"/>
  <c r="C262" i="77" a="1"/>
  <c r="C262" i="77" s="1"/>
  <c r="AY261" i="77"/>
  <c r="AV261" i="77" a="1"/>
  <c r="AV261" i="77" s="1"/>
  <c r="AU261" i="77"/>
  <c r="AO261" i="77"/>
  <c r="AN261" i="77"/>
  <c r="AP261" i="77" s="1"/>
  <c r="AL261" i="77"/>
  <c r="AT261" i="77" s="1"/>
  <c r="AJ261" i="77"/>
  <c r="BA261" i="77" s="1"/>
  <c r="C261" i="77"/>
  <c r="C261" i="77" a="1"/>
  <c r="B261" i="77"/>
  <c r="AJ260" i="77"/>
  <c r="AL260" i="77" s="1"/>
  <c r="AT260" i="77" s="1"/>
  <c r="C260" i="77" a="1"/>
  <c r="C260" i="77" s="1"/>
  <c r="B260" i="77"/>
  <c r="AN259" i="77"/>
  <c r="AL259" i="77"/>
  <c r="AT259" i="77" s="1"/>
  <c r="AJ259" i="77"/>
  <c r="C259" i="77" a="1"/>
  <c r="C259" i="77" s="1"/>
  <c r="B259" i="77"/>
  <c r="AO258" i="77"/>
  <c r="AJ258" i="77"/>
  <c r="BA258" i="77" s="1"/>
  <c r="C258" i="77" a="1"/>
  <c r="C258" i="77" s="1"/>
  <c r="B258" i="77"/>
  <c r="BA257" i="77"/>
  <c r="AU257" i="77"/>
  <c r="AJ257" i="77"/>
  <c r="C257" i="77" a="1"/>
  <c r="C257" i="77" s="1"/>
  <c r="B257" i="77"/>
  <c r="BA256" i="77"/>
  <c r="AV256" i="77" a="1"/>
  <c r="AV256" i="77" s="1"/>
  <c r="AJ256" i="77"/>
  <c r="AL256" i="77" s="1"/>
  <c r="AT256" i="77" s="1"/>
  <c r="C256" i="77"/>
  <c r="C256" i="77" a="1"/>
  <c r="B256" i="77"/>
  <c r="C255" i="77"/>
  <c r="C255" i="77" a="1"/>
  <c r="AJ254" i="77"/>
  <c r="AV254" i="77" s="1" a="1"/>
  <c r="AV254" i="77" s="1"/>
  <c r="C254" i="77" a="1"/>
  <c r="C254" i="77" s="1"/>
  <c r="B254" i="77"/>
  <c r="AY253" i="77"/>
  <c r="AU253" i="77"/>
  <c r="AO253" i="77"/>
  <c r="AN253" i="77"/>
  <c r="AL253" i="77"/>
  <c r="AT253" i="77" s="1"/>
  <c r="AJ253" i="77"/>
  <c r="BA253" i="77" s="1"/>
  <c r="C253" i="77"/>
  <c r="C253" i="77" a="1"/>
  <c r="B253" i="77"/>
  <c r="BA252" i="77"/>
  <c r="AP252" i="77"/>
  <c r="AO252" i="77"/>
  <c r="AN252" i="77"/>
  <c r="AL252" i="77"/>
  <c r="AT252" i="77" s="1"/>
  <c r="AJ252" i="77"/>
  <c r="C252" i="77" a="1"/>
  <c r="C252" i="77" s="1"/>
  <c r="B252" i="77"/>
  <c r="AJ251" i="77"/>
  <c r="AL251" i="77" s="1"/>
  <c r="AT251" i="77" s="1"/>
  <c r="C251" i="77"/>
  <c r="C251" i="77" a="1"/>
  <c r="B251" i="77"/>
  <c r="AY250" i="77"/>
  <c r="AO250" i="77"/>
  <c r="AN250" i="77"/>
  <c r="AL250" i="77"/>
  <c r="AT250" i="77" s="1"/>
  <c r="AJ250" i="77"/>
  <c r="AU250" i="77" s="1"/>
  <c r="C250" i="77" a="1"/>
  <c r="C250" i="77" s="1"/>
  <c r="B250" i="77"/>
  <c r="AJ249" i="77"/>
  <c r="C249" i="77" a="1"/>
  <c r="C249" i="77" s="1"/>
  <c r="B249" i="77"/>
  <c r="AJ248" i="77"/>
  <c r="AL248" i="77" s="1"/>
  <c r="AT248" i="77" s="1"/>
  <c r="C248" i="77"/>
  <c r="C248" i="77" a="1"/>
  <c r="B248" i="77"/>
  <c r="AJ247" i="77"/>
  <c r="AV247" i="77" s="1" a="1"/>
  <c r="AV247" i="77" s="1"/>
  <c r="C247" i="77"/>
  <c r="C247" i="77" a="1"/>
  <c r="B247" i="77"/>
  <c r="AJ246" i="77"/>
  <c r="AN246" i="77" s="1"/>
  <c r="AP246" i="77" s="1"/>
  <c r="C246" i="77" a="1"/>
  <c r="C246" i="77" s="1"/>
  <c r="B246" i="77"/>
  <c r="AV245" i="77" a="1"/>
  <c r="AV245" i="77" s="1"/>
  <c r="AU245" i="77"/>
  <c r="AL245" i="77"/>
  <c r="AT245" i="77" s="1"/>
  <c r="AJ245" i="77"/>
  <c r="C245" i="77" a="1"/>
  <c r="C245" i="77" s="1"/>
  <c r="B245" i="77"/>
  <c r="AO244" i="77"/>
  <c r="AJ244" i="77"/>
  <c r="AN244" i="77" s="1"/>
  <c r="C244" i="77" a="1"/>
  <c r="C244" i="77" s="1"/>
  <c r="B244" i="77"/>
  <c r="AJ243" i="77"/>
  <c r="C243" i="77" a="1"/>
  <c r="C243" i="77" s="1"/>
  <c r="B243" i="77"/>
  <c r="AJ242" i="77"/>
  <c r="C242" i="77"/>
  <c r="C242" i="77" a="1"/>
  <c r="B242" i="77"/>
  <c r="AJ241" i="77"/>
  <c r="C241" i="77"/>
  <c r="C241" i="77" a="1"/>
  <c r="B241" i="77"/>
  <c r="AJ240" i="77"/>
  <c r="C240" i="77" a="1"/>
  <c r="C240" i="77" s="1"/>
  <c r="B240" i="77"/>
  <c r="AJ239" i="77"/>
  <c r="C239" i="77" a="1"/>
  <c r="C239" i="77" s="1"/>
  <c r="B239" i="77"/>
  <c r="AJ238" i="77"/>
  <c r="C238" i="77" a="1"/>
  <c r="C238" i="77" s="1"/>
  <c r="B238" i="77"/>
  <c r="AJ237" i="77"/>
  <c r="C237" i="77"/>
  <c r="C237" i="77" a="1"/>
  <c r="B237" i="77"/>
  <c r="AJ236" i="77"/>
  <c r="C236" i="77" a="1"/>
  <c r="C236" i="77" s="1"/>
  <c r="B236" i="77"/>
  <c r="AJ235" i="77"/>
  <c r="C235" i="77" a="1"/>
  <c r="C235" i="77" s="1"/>
  <c r="B235" i="77"/>
  <c r="AN234" i="77"/>
  <c r="AF234" i="77" s="1"/>
  <c r="AL234" i="77"/>
  <c r="AT234" i="77" s="1"/>
  <c r="AJ234" i="77"/>
  <c r="C234" i="77"/>
  <c r="C234" i="77" a="1"/>
  <c r="B234" i="77"/>
  <c r="AL233" i="77"/>
  <c r="AT233" i="77" s="1"/>
  <c r="AJ233" i="77"/>
  <c r="C233" i="77" a="1"/>
  <c r="C233" i="77" s="1"/>
  <c r="B233" i="77"/>
  <c r="AO232" i="77"/>
  <c r="AJ232" i="77"/>
  <c r="C232" i="77" a="1"/>
  <c r="C232" i="77" s="1"/>
  <c r="B232" i="77"/>
  <c r="AV231" i="77" a="1"/>
  <c r="AV231" i="77" s="1"/>
  <c r="AJ231" i="77"/>
  <c r="C231" i="77"/>
  <c r="C231" i="77" a="1"/>
  <c r="B231" i="77"/>
  <c r="AY230" i="77"/>
  <c r="AV230" i="77" a="1"/>
  <c r="AV230" i="77" s="1"/>
  <c r="AO230" i="77"/>
  <c r="AJ230" i="77"/>
  <c r="C230" i="77"/>
  <c r="C230" i="77" a="1"/>
  <c r="B230" i="77"/>
  <c r="AJ229" i="77"/>
  <c r="AV229" i="77" s="1" a="1"/>
  <c r="AV229" i="77" s="1"/>
  <c r="C229" i="77"/>
  <c r="C229" i="77" a="1"/>
  <c r="B229" i="77"/>
  <c r="AJ228" i="77"/>
  <c r="AN228" i="77" s="1"/>
  <c r="C228" i="77" a="1"/>
  <c r="C228" i="77" s="1"/>
  <c r="B228" i="77"/>
  <c r="AY227" i="77"/>
  <c r="AO227" i="77"/>
  <c r="AN227" i="77"/>
  <c r="AL227" i="77"/>
  <c r="AT227" i="77" s="1"/>
  <c r="AJ227" i="77"/>
  <c r="C227" i="77" a="1"/>
  <c r="C227" i="77" s="1"/>
  <c r="B227" i="77"/>
  <c r="C226" i="77" a="1"/>
  <c r="C226" i="77" s="1"/>
  <c r="AJ225" i="77"/>
  <c r="C225" i="77" a="1"/>
  <c r="C225" i="77" s="1"/>
  <c r="B225" i="77"/>
  <c r="C224" i="77" a="1"/>
  <c r="C224" i="77" s="1"/>
  <c r="AJ223" i="77"/>
  <c r="C223" i="77"/>
  <c r="C223" i="77" a="1"/>
  <c r="B223" i="77"/>
  <c r="AL222" i="77"/>
  <c r="AT222" i="77" s="1"/>
  <c r="AJ222" i="77"/>
  <c r="C222" i="77" a="1"/>
  <c r="C222" i="77" s="1"/>
  <c r="B222" i="77"/>
  <c r="C221" i="77"/>
  <c r="C221" i="77" a="1"/>
  <c r="BA220" i="77"/>
  <c r="AV220" i="77" a="1"/>
  <c r="AV220" i="77" s="1"/>
  <c r="AO220" i="77"/>
  <c r="AN220" i="77"/>
  <c r="AJ220" i="77"/>
  <c r="C220" i="77" a="1"/>
  <c r="C220" i="77" s="1"/>
  <c r="B220" i="77"/>
  <c r="AJ219" i="77"/>
  <c r="C219" i="77" a="1"/>
  <c r="C219" i="77" s="1"/>
  <c r="B219" i="77"/>
  <c r="AJ218" i="77"/>
  <c r="C218" i="77"/>
  <c r="C218" i="77" a="1"/>
  <c r="B218" i="77"/>
  <c r="AJ217" i="77"/>
  <c r="C217" i="77"/>
  <c r="C217" i="77" a="1"/>
  <c r="B217" i="77"/>
  <c r="AJ216" i="77"/>
  <c r="C216" i="77" a="1"/>
  <c r="C216" i="77" s="1"/>
  <c r="B216" i="77"/>
  <c r="AJ215" i="77"/>
  <c r="C215" i="77"/>
  <c r="C215" i="77" a="1"/>
  <c r="B215" i="77"/>
  <c r="AJ214" i="77"/>
  <c r="J214" i="77"/>
  <c r="C214" i="77" a="1"/>
  <c r="C214" i="77" s="1"/>
  <c r="B214" i="77"/>
  <c r="AJ213" i="77"/>
  <c r="C213" i="77"/>
  <c r="C213" i="77" a="1"/>
  <c r="B213" i="77"/>
  <c r="AJ212" i="77"/>
  <c r="C212" i="77" a="1"/>
  <c r="C212" i="77" s="1"/>
  <c r="B212" i="77"/>
  <c r="AJ211" i="77"/>
  <c r="C211" i="77"/>
  <c r="C211" i="77" a="1"/>
  <c r="B211" i="77"/>
  <c r="AJ210" i="77"/>
  <c r="C210" i="77"/>
  <c r="C210" i="77" a="1"/>
  <c r="B210" i="77"/>
  <c r="AJ209" i="77"/>
  <c r="C209" i="77"/>
  <c r="C209" i="77" a="1"/>
  <c r="B209" i="77"/>
  <c r="AJ208" i="77"/>
  <c r="AL208" i="77" s="1"/>
  <c r="AT208" i="77" s="1"/>
  <c r="C208" i="77"/>
  <c r="C208" i="77" a="1"/>
  <c r="B208" i="77"/>
  <c r="AJ207" i="77"/>
  <c r="AV207" i="77" s="1" a="1"/>
  <c r="AV207" i="77" s="1"/>
  <c r="C207" i="77" a="1"/>
  <c r="C207" i="77" s="1"/>
  <c r="B207" i="77"/>
  <c r="AU206" i="77"/>
  <c r="AO206" i="77"/>
  <c r="AJ206" i="77"/>
  <c r="C206" i="77" a="1"/>
  <c r="C206" i="77" s="1"/>
  <c r="B206" i="77"/>
  <c r="AJ205" i="77"/>
  <c r="C205" i="77" a="1"/>
  <c r="C205" i="77" s="1"/>
  <c r="B205" i="77"/>
  <c r="C204" i="77" a="1"/>
  <c r="C204" i="77" s="1"/>
  <c r="B204" i="77"/>
  <c r="AU203" i="77"/>
  <c r="AO203" i="77"/>
  <c r="AN203" i="77"/>
  <c r="AJ203" i="77"/>
  <c r="C203" i="77" a="1"/>
  <c r="C203" i="77" s="1"/>
  <c r="B203" i="77"/>
  <c r="AY202" i="77"/>
  <c r="AV202" i="77" a="1"/>
  <c r="AV202" i="77" s="1"/>
  <c r="AU202" i="77"/>
  <c r="AO202" i="77"/>
  <c r="AL202" i="77"/>
  <c r="AT202" i="77" s="1"/>
  <c r="C202" i="77"/>
  <c r="C202" i="77" a="1"/>
  <c r="B202" i="77"/>
  <c r="AV201" i="77" a="1"/>
  <c r="AV201" i="77" s="1"/>
  <c r="AU201" i="77"/>
  <c r="AL201" i="77"/>
  <c r="AT201" i="77" s="1"/>
  <c r="AJ201" i="77"/>
  <c r="BA201" i="77" s="1"/>
  <c r="C201" i="77" a="1"/>
  <c r="C201" i="77" s="1"/>
  <c r="B201" i="77"/>
  <c r="BA200" i="77"/>
  <c r="AY200" i="77"/>
  <c r="AO200" i="77"/>
  <c r="AL200" i="77"/>
  <c r="AT200" i="77" s="1"/>
  <c r="AJ200" i="77"/>
  <c r="C200" i="77" a="1"/>
  <c r="C200" i="77" s="1"/>
  <c r="B200" i="77"/>
  <c r="AJ199" i="77"/>
  <c r="C199" i="77" a="1"/>
  <c r="C199" i="77" s="1"/>
  <c r="B199" i="77"/>
  <c r="BA198" i="77"/>
  <c r="AY198" i="77"/>
  <c r="AV198" i="77" a="1"/>
  <c r="AV198" i="77" s="1"/>
  <c r="AU198" i="77"/>
  <c r="AJ198" i="77"/>
  <c r="C198" i="77" a="1"/>
  <c r="C198" i="77" s="1"/>
  <c r="B198" i="77"/>
  <c r="BA197" i="77"/>
  <c r="AV197" i="77" a="1"/>
  <c r="AV197" i="77" s="1"/>
  <c r="AL197" i="77"/>
  <c r="AT197" i="77" s="1"/>
  <c r="AJ197" i="77"/>
  <c r="C197" i="77" a="1"/>
  <c r="C197" i="77" s="1"/>
  <c r="B197" i="77"/>
  <c r="AO196" i="77"/>
  <c r="AN196" i="77"/>
  <c r="AP196" i="77" s="1"/>
  <c r="AJ196" i="77"/>
  <c r="C196" i="77"/>
  <c r="C196" i="77" a="1"/>
  <c r="B196" i="77"/>
  <c r="AY195" i="77"/>
  <c r="AL195" i="77"/>
  <c r="AT195" i="77" s="1"/>
  <c r="AJ195" i="77"/>
  <c r="C195" i="77" a="1"/>
  <c r="C195" i="77" s="1"/>
  <c r="B195" i="77"/>
  <c r="AY194" i="77"/>
  <c r="AJ194" i="77"/>
  <c r="C194" i="77" a="1"/>
  <c r="C194" i="77" s="1"/>
  <c r="B194" i="77"/>
  <c r="AJ193" i="77"/>
  <c r="AN193" i="77" s="1"/>
  <c r="C193" i="77"/>
  <c r="C193" i="77" a="1"/>
  <c r="B193" i="77"/>
  <c r="BA192" i="77"/>
  <c r="AU192" i="77"/>
  <c r="AJ192" i="77"/>
  <c r="AY192" i="77" s="1"/>
  <c r="C192" i="77" a="1"/>
  <c r="C192" i="77" s="1"/>
  <c r="B192" i="77"/>
  <c r="C191" i="77" a="1"/>
  <c r="C191" i="77" s="1"/>
  <c r="B191" i="77"/>
  <c r="AJ190" i="77"/>
  <c r="AO190" i="77" s="1"/>
  <c r="C190" i="77"/>
  <c r="C190" i="77" a="1"/>
  <c r="B190" i="77"/>
  <c r="AJ189" i="77"/>
  <c r="C189" i="77" a="1"/>
  <c r="C189" i="77" s="1"/>
  <c r="B189" i="77"/>
  <c r="AJ188" i="77"/>
  <c r="AV188" i="77" s="1" a="1"/>
  <c r="AV188" i="77" s="1"/>
  <c r="C188" i="77" a="1"/>
  <c r="C188" i="77" s="1"/>
  <c r="B188" i="77"/>
  <c r="AO187" i="77"/>
  <c r="AN187" i="77"/>
  <c r="AL187" i="77"/>
  <c r="AT187" i="77" s="1"/>
  <c r="AJ187" i="77"/>
  <c r="C187" i="77"/>
  <c r="C187" i="77" a="1"/>
  <c r="B187" i="77"/>
  <c r="AV186" i="77" a="1"/>
  <c r="AV186" i="77" s="1"/>
  <c r="AU186" i="77"/>
  <c r="AN186" i="77"/>
  <c r="AL186" i="77"/>
  <c r="AT186" i="77" s="1"/>
  <c r="AJ186" i="77"/>
  <c r="AF186" i="77"/>
  <c r="C186" i="77" a="1"/>
  <c r="C186" i="77" s="1"/>
  <c r="B186" i="77"/>
  <c r="BA185" i="77"/>
  <c r="AV185" i="77" a="1"/>
  <c r="AV185" i="77" s="1"/>
  <c r="AU185" i="77"/>
  <c r="AO185" i="77"/>
  <c r="AN185" i="77"/>
  <c r="AL185" i="77"/>
  <c r="AT185" i="77" s="1"/>
  <c r="AJ185" i="77"/>
  <c r="AY185" i="77" s="1"/>
  <c r="C185" i="77"/>
  <c r="C185" i="77" a="1"/>
  <c r="B185" i="77"/>
  <c r="AJ184" i="77"/>
  <c r="BA184" i="77" s="1"/>
  <c r="C184" i="77"/>
  <c r="C184" i="77" a="1"/>
  <c r="B184" i="77"/>
  <c r="BA183" i="77"/>
  <c r="AY183" i="77"/>
  <c r="AJ183" i="77"/>
  <c r="AO183" i="77" s="1"/>
  <c r="C183" i="77" a="1"/>
  <c r="C183" i="77" s="1"/>
  <c r="B183" i="77"/>
  <c r="AY182" i="77"/>
  <c r="AV182" i="77" a="1"/>
  <c r="AV182" i="77" s="1"/>
  <c r="AU182" i="77"/>
  <c r="AO182" i="77"/>
  <c r="AN182" i="77"/>
  <c r="AJ182" i="77"/>
  <c r="AF182" i="77"/>
  <c r="AE182" i="77"/>
  <c r="C182" i="77"/>
  <c r="C182" i="77" a="1"/>
  <c r="B182" i="77"/>
  <c r="BA181" i="77"/>
  <c r="AY181" i="77"/>
  <c r="AJ181" i="77"/>
  <c r="AL181" i="77" s="1"/>
  <c r="AT181" i="77" s="1"/>
  <c r="C181" i="77"/>
  <c r="C181" i="77" a="1"/>
  <c r="B181" i="77"/>
  <c r="BA180" i="77"/>
  <c r="AY180" i="77"/>
  <c r="AJ180" i="77"/>
  <c r="C180" i="77"/>
  <c r="C180" i="77" a="1"/>
  <c r="B180" i="77"/>
  <c r="AJ179" i="77"/>
  <c r="C179" i="77" a="1"/>
  <c r="C179" i="77" s="1"/>
  <c r="B179" i="77"/>
  <c r="AY178" i="77"/>
  <c r="AU178" i="77"/>
  <c r="AO178" i="77"/>
  <c r="AL178" i="77"/>
  <c r="AT178" i="77" s="1"/>
  <c r="AJ178" i="77"/>
  <c r="C178" i="77"/>
  <c r="C178" i="77" a="1"/>
  <c r="B178" i="77"/>
  <c r="AJ177" i="77"/>
  <c r="BA177" i="77" s="1"/>
  <c r="C177" i="77" a="1"/>
  <c r="C177" i="77" s="1"/>
  <c r="B177" i="77"/>
  <c r="AU176" i="77"/>
  <c r="AN176" i="77"/>
  <c r="AL176" i="77"/>
  <c r="AT176" i="77" s="1"/>
  <c r="AJ176" i="77"/>
  <c r="C176" i="77" a="1"/>
  <c r="C176" i="77" s="1"/>
  <c r="B176" i="77"/>
  <c r="AN175" i="77"/>
  <c r="AL175" i="77"/>
  <c r="AT175" i="77" s="1"/>
  <c r="AJ175" i="77"/>
  <c r="AY175" i="77" s="1"/>
  <c r="C175" i="77" a="1"/>
  <c r="C175" i="77" s="1"/>
  <c r="B175" i="77"/>
  <c r="AY174" i="77"/>
  <c r="AJ174" i="77"/>
  <c r="C174" i="77" a="1"/>
  <c r="C174" i="77" s="1"/>
  <c r="B174" i="77"/>
  <c r="AY173" i="77"/>
  <c r="AV173" i="77" a="1"/>
  <c r="AV173" i="77" s="1"/>
  <c r="AU173" i="77"/>
  <c r="AL173" i="77"/>
  <c r="AT173" i="77" s="1"/>
  <c r="AJ173" i="77"/>
  <c r="BA173" i="77" s="1"/>
  <c r="C173" i="77"/>
  <c r="C173" i="77" a="1"/>
  <c r="B173" i="77"/>
  <c r="AJ172" i="77"/>
  <c r="AY172" i="77" s="1"/>
  <c r="C172" i="77"/>
  <c r="C172" i="77" a="1"/>
  <c r="B172" i="77"/>
  <c r="BA171" i="77"/>
  <c r="AY171" i="77"/>
  <c r="AV171" i="77" a="1"/>
  <c r="AV171" i="77" s="1"/>
  <c r="AJ171" i="77"/>
  <c r="C171" i="77" a="1"/>
  <c r="C171" i="77" s="1"/>
  <c r="B171" i="77"/>
  <c r="AO170" i="77"/>
  <c r="AN170" i="77"/>
  <c r="AP170" i="77" s="1"/>
  <c r="BF170" i="77" s="1"/>
  <c r="AZ170" i="77" s="1"/>
  <c r="AJ170" i="77"/>
  <c r="C170" i="77"/>
  <c r="C170" i="77" a="1"/>
  <c r="B170" i="77"/>
  <c r="BA169" i="77"/>
  <c r="AL169" i="77"/>
  <c r="AT169" i="77" s="1"/>
  <c r="AJ169" i="77"/>
  <c r="AO169" i="77" s="1"/>
  <c r="C169" i="77"/>
  <c r="C169" i="77" a="1"/>
  <c r="B169" i="77"/>
  <c r="AJ168" i="77"/>
  <c r="AY168" i="77" s="1"/>
  <c r="C168" i="77" a="1"/>
  <c r="C168" i="77" s="1"/>
  <c r="B168" i="77"/>
  <c r="AO167" i="77"/>
  <c r="AN167" i="77"/>
  <c r="AL167" i="77"/>
  <c r="AT167" i="77" s="1"/>
  <c r="AJ167" i="77"/>
  <c r="C167" i="77"/>
  <c r="C167" i="77" a="1"/>
  <c r="B167" i="77"/>
  <c r="BA166" i="77"/>
  <c r="AY166" i="77"/>
  <c r="AO166" i="77"/>
  <c r="AN166" i="77"/>
  <c r="AL166" i="77"/>
  <c r="AT166" i="77" s="1"/>
  <c r="AJ166" i="77"/>
  <c r="C166" i="77"/>
  <c r="C166" i="77" a="1"/>
  <c r="B166" i="77"/>
  <c r="BA165" i="77"/>
  <c r="AY165" i="77"/>
  <c r="AJ165" i="77"/>
  <c r="C165" i="77" a="1"/>
  <c r="C165" i="77" s="1"/>
  <c r="B165" i="77"/>
  <c r="AV164" i="77" a="1"/>
  <c r="AV164" i="77" s="1"/>
  <c r="AU164" i="77"/>
  <c r="AT164" i="77"/>
  <c r="AO164" i="77"/>
  <c r="AN164" i="77"/>
  <c r="AJ164" i="77"/>
  <c r="AL164" i="77" s="1"/>
  <c r="C164" i="77" a="1"/>
  <c r="C164" i="77" s="1"/>
  <c r="B164" i="77"/>
  <c r="AY163" i="77"/>
  <c r="AJ163" i="77"/>
  <c r="AO163" i="77" s="1"/>
  <c r="C163" i="77"/>
  <c r="C163" i="77" a="1"/>
  <c r="B163" i="77"/>
  <c r="AL162" i="77"/>
  <c r="AT162" i="77" s="1"/>
  <c r="AJ162" i="77"/>
  <c r="C162" i="77"/>
  <c r="C162" i="77" a="1"/>
  <c r="B162" i="77"/>
  <c r="AV161" i="77" a="1"/>
  <c r="AV161" i="77" s="1"/>
  <c r="AU161" i="77"/>
  <c r="AJ161" i="77"/>
  <c r="C161" i="77" a="1"/>
  <c r="C161" i="77" s="1"/>
  <c r="B161" i="77"/>
  <c r="AJ160" i="77"/>
  <c r="BA160" i="77" s="1"/>
  <c r="C160" i="77" a="1"/>
  <c r="C160" i="77" s="1"/>
  <c r="B160" i="77"/>
  <c r="AJ159" i="77"/>
  <c r="AN159" i="77" s="1"/>
  <c r="AF159" i="77"/>
  <c r="C159" i="77"/>
  <c r="C159" i="77" a="1"/>
  <c r="B159" i="77"/>
  <c r="BA158" i="77"/>
  <c r="AJ158" i="77"/>
  <c r="C158" i="77"/>
  <c r="C158" i="77" a="1"/>
  <c r="B158" i="77"/>
  <c r="BA157" i="77"/>
  <c r="AJ157" i="77"/>
  <c r="C157" i="77" a="1"/>
  <c r="C157" i="77" s="1"/>
  <c r="B157" i="77"/>
  <c r="AV156" i="77" a="1"/>
  <c r="AV156" i="77" s="1"/>
  <c r="AU156" i="77"/>
  <c r="AT156" i="77"/>
  <c r="AN156" i="77"/>
  <c r="AL156" i="77"/>
  <c r="AJ156" i="77"/>
  <c r="C156" i="77" a="1"/>
  <c r="C156" i="77" s="1"/>
  <c r="B156" i="77"/>
  <c r="BA155" i="77"/>
  <c r="AU155" i="77"/>
  <c r="AJ155" i="77"/>
  <c r="AL155" i="77" s="1"/>
  <c r="AT155" i="77" s="1"/>
  <c r="C155" i="77" a="1"/>
  <c r="C155" i="77" s="1"/>
  <c r="B155" i="77"/>
  <c r="AJ154" i="77"/>
  <c r="C154" i="77" a="1"/>
  <c r="C154" i="77" s="1"/>
  <c r="B154" i="77"/>
  <c r="BA153" i="77"/>
  <c r="AY153" i="77"/>
  <c r="AO153" i="77"/>
  <c r="AJ153" i="77"/>
  <c r="C153" i="77"/>
  <c r="C153" i="77" a="1"/>
  <c r="B153" i="77"/>
  <c r="AU152" i="77"/>
  <c r="AN152" i="77"/>
  <c r="AJ152" i="77"/>
  <c r="AL152" i="77" s="1"/>
  <c r="AT152" i="77" s="1"/>
  <c r="C152" i="77"/>
  <c r="C152" i="77" a="1"/>
  <c r="B152" i="77"/>
  <c r="AJ151" i="77"/>
  <c r="BA151" i="77" s="1"/>
  <c r="C151" i="77"/>
  <c r="C151" i="77" a="1"/>
  <c r="B151" i="77"/>
  <c r="AV150" i="77" a="1"/>
  <c r="AV150" i="77" s="1"/>
  <c r="AJ150" i="77"/>
  <c r="AU150" i="77" s="1"/>
  <c r="C150" i="77" a="1"/>
  <c r="C150" i="77" s="1"/>
  <c r="B150" i="77"/>
  <c r="AJ149" i="77"/>
  <c r="AO149" i="77" s="1"/>
  <c r="C149" i="77" a="1"/>
  <c r="C149" i="77" s="1"/>
  <c r="B149" i="77"/>
  <c r="AJ148" i="77"/>
  <c r="C148" i="77" a="1"/>
  <c r="C148" i="77" s="1"/>
  <c r="B148" i="77"/>
  <c r="AJ147" i="77"/>
  <c r="C147" i="77"/>
  <c r="C147" i="77" a="1"/>
  <c r="B147" i="77"/>
  <c r="AJ146" i="77"/>
  <c r="AL146" i="77" s="1"/>
  <c r="AT146" i="77" s="1"/>
  <c r="C146" i="77" a="1"/>
  <c r="C146" i="77" s="1"/>
  <c r="B146" i="77"/>
  <c r="BA145" i="77"/>
  <c r="AY145" i="77"/>
  <c r="AO145" i="77"/>
  <c r="AN145" i="77"/>
  <c r="AL145" i="77"/>
  <c r="AT145" i="77" s="1"/>
  <c r="AJ145" i="77"/>
  <c r="C145" i="77"/>
  <c r="C145" i="77" a="1"/>
  <c r="B145" i="77"/>
  <c r="C144" i="77"/>
  <c r="C144" i="77" a="1"/>
  <c r="C143" i="77" a="1"/>
  <c r="C143" i="77" s="1"/>
  <c r="B143" i="77"/>
  <c r="AJ142" i="77"/>
  <c r="C142" i="77" a="1"/>
  <c r="C142" i="77" s="1"/>
  <c r="B142" i="77"/>
  <c r="AJ141" i="77"/>
  <c r="C141" i="77" a="1"/>
  <c r="C141" i="77" s="1"/>
  <c r="B141" i="77"/>
  <c r="AJ140" i="77"/>
  <c r="C140" i="77"/>
  <c r="C140" i="77" a="1"/>
  <c r="B140" i="77"/>
  <c r="AJ139" i="77"/>
  <c r="C139" i="77" a="1"/>
  <c r="C139" i="77" s="1"/>
  <c r="B139" i="77"/>
  <c r="AJ138" i="77"/>
  <c r="C138" i="77" a="1"/>
  <c r="C138" i="77" s="1"/>
  <c r="B138" i="77"/>
  <c r="AJ137" i="77"/>
  <c r="C137" i="77"/>
  <c r="C137" i="77" a="1"/>
  <c r="B137" i="77"/>
  <c r="AJ136" i="77"/>
  <c r="C136" i="77"/>
  <c r="C136" i="77" a="1"/>
  <c r="B136" i="77"/>
  <c r="AV135" i="77" a="1"/>
  <c r="AV135" i="77" s="1"/>
  <c r="AU135" i="77"/>
  <c r="AL135" i="77"/>
  <c r="AT135" i="77" s="1"/>
  <c r="AJ135" i="77"/>
  <c r="C135" i="77" a="1"/>
  <c r="C135" i="77" s="1"/>
  <c r="B135" i="77"/>
  <c r="BA134" i="77"/>
  <c r="AY134" i="77"/>
  <c r="AU134" i="77"/>
  <c r="AJ134" i="77"/>
  <c r="AV134" i="77" s="1" a="1"/>
  <c r="AV134" i="77" s="1"/>
  <c r="C134" i="77" a="1"/>
  <c r="C134" i="77" s="1"/>
  <c r="B134" i="77"/>
  <c r="AU133" i="77"/>
  <c r="AN133" i="77"/>
  <c r="AP133" i="77" s="1"/>
  <c r="AJ133" i="77"/>
  <c r="C133" i="77" a="1"/>
  <c r="C133" i="77" s="1"/>
  <c r="B133" i="77"/>
  <c r="AN132" i="77"/>
  <c r="C132" i="77"/>
  <c r="C132" i="77" a="1"/>
  <c r="B132" i="77"/>
  <c r="AJ131" i="77"/>
  <c r="C131" i="77"/>
  <c r="C131" i="77" a="1"/>
  <c r="B131" i="77"/>
  <c r="AO130" i="77"/>
  <c r="AJ130" i="77"/>
  <c r="C130" i="77" a="1"/>
  <c r="C130" i="77" s="1"/>
  <c r="B130" i="77"/>
  <c r="AJ129" i="77"/>
  <c r="C129" i="77"/>
  <c r="C129" i="77" a="1"/>
  <c r="B129" i="77"/>
  <c r="AJ128" i="77"/>
  <c r="C128" i="77"/>
  <c r="C128" i="77" a="1"/>
  <c r="B128" i="77"/>
  <c r="AJ127" i="77"/>
  <c r="C127" i="77"/>
  <c r="C127" i="77" a="1"/>
  <c r="B127" i="77"/>
  <c r="AJ126" i="77"/>
  <c r="C126" i="77" a="1"/>
  <c r="C126" i="77" s="1"/>
  <c r="B126" i="77"/>
  <c r="AJ125" i="77"/>
  <c r="C125" i="77" a="1"/>
  <c r="C125" i="77" s="1"/>
  <c r="B125" i="77"/>
  <c r="AJ124" i="77"/>
  <c r="C124" i="77" a="1"/>
  <c r="C124" i="77" s="1"/>
  <c r="B124" i="77"/>
  <c r="AJ123" i="77"/>
  <c r="BA123" i="77" s="1"/>
  <c r="C123" i="77" a="1"/>
  <c r="C123" i="77" s="1"/>
  <c r="B123" i="77"/>
  <c r="AJ122" i="77"/>
  <c r="C122" i="77" a="1"/>
  <c r="C122" i="77" s="1"/>
  <c r="B122" i="77"/>
  <c r="AJ121" i="77"/>
  <c r="AY121" i="77" s="1"/>
  <c r="C121" i="77"/>
  <c r="C121" i="77" a="1"/>
  <c r="B121" i="77"/>
  <c r="AJ120" i="77"/>
  <c r="C120" i="77"/>
  <c r="C120" i="77" a="1"/>
  <c r="B120" i="77"/>
  <c r="AJ119" i="77"/>
  <c r="C119" i="77"/>
  <c r="C119" i="77" a="1"/>
  <c r="B119" i="77"/>
  <c r="C118" i="77" a="1"/>
  <c r="C118" i="77" s="1"/>
  <c r="B118" i="77"/>
  <c r="AY117" i="77"/>
  <c r="AV117" i="77" a="1"/>
  <c r="AV117" i="77" s="1"/>
  <c r="AO117" i="77"/>
  <c r="AN117" i="77"/>
  <c r="AP117" i="77" s="1"/>
  <c r="AJ117" i="77"/>
  <c r="AL117" i="77" s="1"/>
  <c r="AT117" i="77" s="1"/>
  <c r="AF117" i="77"/>
  <c r="C117" i="77" a="1"/>
  <c r="C117" i="77" s="1"/>
  <c r="B117" i="77"/>
  <c r="AY116" i="77"/>
  <c r="AV116" i="77" a="1"/>
  <c r="AV116" i="77" s="1"/>
  <c r="AJ116" i="77"/>
  <c r="C116" i="77" a="1"/>
  <c r="C116" i="77" s="1"/>
  <c r="B116" i="77"/>
  <c r="AJ115" i="77"/>
  <c r="AO115" i="77" s="1"/>
  <c r="C115" i="77" a="1"/>
  <c r="C115" i="77" s="1"/>
  <c r="B115" i="77"/>
  <c r="BA114" i="77"/>
  <c r="AJ114" i="77"/>
  <c r="AN114" i="77" s="1"/>
  <c r="C114" i="77" a="1"/>
  <c r="C114" i="77" s="1"/>
  <c r="B114" i="77"/>
  <c r="AJ113" i="77"/>
  <c r="C113" i="77"/>
  <c r="C113" i="77" a="1"/>
  <c r="B113" i="77"/>
  <c r="AJ112" i="77"/>
  <c r="C112" i="77"/>
  <c r="C112" i="77" a="1"/>
  <c r="B112" i="77"/>
  <c r="AU111" i="77"/>
  <c r="AL111" i="77"/>
  <c r="AT111" i="77" s="1"/>
  <c r="AJ111" i="77"/>
  <c r="BA111" i="77" s="1"/>
  <c r="C111" i="77"/>
  <c r="C111" i="77" a="1"/>
  <c r="B111" i="77"/>
  <c r="AJ110" i="77"/>
  <c r="C110" i="77"/>
  <c r="C110" i="77" a="1"/>
  <c r="B110" i="77"/>
  <c r="AY109" i="77"/>
  <c r="AV109" i="77" a="1"/>
  <c r="AV109" i="77" s="1"/>
  <c r="AU109" i="77"/>
  <c r="AN109" i="77"/>
  <c r="AJ109" i="77"/>
  <c r="AL109" i="77" s="1"/>
  <c r="AT109" i="77" s="1"/>
  <c r="C109" i="77"/>
  <c r="C109" i="77" a="1"/>
  <c r="B109" i="77"/>
  <c r="AV108" i="77" a="1"/>
  <c r="AV108" i="77" s="1"/>
  <c r="AU108" i="77"/>
  <c r="AO108" i="77"/>
  <c r="AJ108" i="77"/>
  <c r="C108" i="77" a="1"/>
  <c r="C108" i="77" s="1"/>
  <c r="B108" i="77"/>
  <c r="AO107" i="77"/>
  <c r="AJ107" i="77"/>
  <c r="C107" i="77" a="1"/>
  <c r="C107" i="77" s="1"/>
  <c r="B107" i="77"/>
  <c r="AJ106" i="77"/>
  <c r="BA106" i="77" s="1"/>
  <c r="C106" i="77" a="1"/>
  <c r="C106" i="77" s="1"/>
  <c r="B106" i="77"/>
  <c r="AO105" i="77"/>
  <c r="AL105" i="77"/>
  <c r="AT105" i="77" s="1"/>
  <c r="AJ105" i="77"/>
  <c r="AN105" i="77" s="1"/>
  <c r="C105" i="77"/>
  <c r="C105" i="77" a="1"/>
  <c r="B105" i="77"/>
  <c r="C104" i="77"/>
  <c r="C104" i="77" a="1"/>
  <c r="AJ103" i="77"/>
  <c r="AL103" i="77" s="1"/>
  <c r="AT103" i="77" s="1"/>
  <c r="C103" i="77" a="1"/>
  <c r="C103" i="77" s="1"/>
  <c r="B103" i="77"/>
  <c r="AU102" i="77"/>
  <c r="AJ102" i="77"/>
  <c r="C102" i="77" a="1"/>
  <c r="C102" i="77" s="1"/>
  <c r="AJ101" i="77"/>
  <c r="AL101" i="77" s="1"/>
  <c r="AT101" i="77" s="1"/>
  <c r="C101" i="77" a="1"/>
  <c r="C101" i="77" s="1"/>
  <c r="B101" i="77"/>
  <c r="AJ100" i="77"/>
  <c r="AN100" i="77" s="1"/>
  <c r="C100" i="77" a="1"/>
  <c r="C100" i="77" s="1"/>
  <c r="B100" i="77"/>
  <c r="AO99" i="77"/>
  <c r="AN99" i="77"/>
  <c r="AL99" i="77"/>
  <c r="AT99" i="77" s="1"/>
  <c r="AJ99" i="77"/>
  <c r="C99" i="77"/>
  <c r="C99" i="77" a="1"/>
  <c r="B99" i="77"/>
  <c r="AJ98" i="77"/>
  <c r="BA98" i="77" s="1"/>
  <c r="C98" i="77" a="1"/>
  <c r="C98" i="77" s="1"/>
  <c r="B98" i="77"/>
  <c r="BA97" i="77"/>
  <c r="AY97" i="77"/>
  <c r="AL97" i="77"/>
  <c r="AT97" i="77" s="1"/>
  <c r="AJ97" i="77"/>
  <c r="C97" i="77"/>
  <c r="C97" i="77" a="1"/>
  <c r="B97" i="77"/>
  <c r="AU96" i="77"/>
  <c r="AJ96" i="77"/>
  <c r="C96" i="77"/>
  <c r="C96" i="77" a="1"/>
  <c r="B96" i="77"/>
  <c r="AJ95" i="77"/>
  <c r="AL95" i="77" s="1"/>
  <c r="AT95" i="77" s="1"/>
  <c r="C95" i="77"/>
  <c r="C95" i="77" a="1"/>
  <c r="B95" i="77"/>
  <c r="AJ94" i="77"/>
  <c r="C94" i="77" a="1"/>
  <c r="C94" i="77" s="1"/>
  <c r="B94" i="77"/>
  <c r="AJ93" i="77"/>
  <c r="C93" i="77"/>
  <c r="C93" i="77" a="1"/>
  <c r="B93" i="77"/>
  <c r="AY92" i="77"/>
  <c r="AV92" i="77" a="1"/>
  <c r="AV92" i="77" s="1"/>
  <c r="AU92" i="77"/>
  <c r="AO92" i="77"/>
  <c r="AL92" i="77"/>
  <c r="AT92" i="77" s="1"/>
  <c r="AJ92" i="77"/>
  <c r="BA92" i="77" s="1"/>
  <c r="C92" i="77"/>
  <c r="C92" i="77" a="1"/>
  <c r="B92" i="77"/>
  <c r="AJ91" i="77"/>
  <c r="AV91" i="77" s="1" a="1"/>
  <c r="AV91" i="77" s="1"/>
  <c r="C91" i="77"/>
  <c r="C91" i="77" a="1"/>
  <c r="B91" i="77"/>
  <c r="AY90" i="77"/>
  <c r="AO90" i="77"/>
  <c r="AN90" i="77"/>
  <c r="AL90" i="77"/>
  <c r="AT90" i="77" s="1"/>
  <c r="AJ90" i="77"/>
  <c r="C90" i="77" a="1"/>
  <c r="C90" i="77" s="1"/>
  <c r="B90" i="77"/>
  <c r="AJ89" i="77"/>
  <c r="AO89" i="77" s="1"/>
  <c r="C89" i="77"/>
  <c r="C89" i="77" a="1"/>
  <c r="B89" i="77"/>
  <c r="AV88" i="77" a="1"/>
  <c r="AV88" i="77" s="1"/>
  <c r="AU88" i="77"/>
  <c r="AN88" i="77"/>
  <c r="AL88" i="77"/>
  <c r="AT88" i="77" s="1"/>
  <c r="AJ88" i="77"/>
  <c r="C88" i="77"/>
  <c r="C88" i="77" a="1"/>
  <c r="B88" i="77"/>
  <c r="AJ87" i="77"/>
  <c r="C87" i="77" a="1"/>
  <c r="C87" i="77" s="1"/>
  <c r="B87" i="77"/>
  <c r="AJ86" i="77"/>
  <c r="AV86" i="77" s="1" a="1"/>
  <c r="AV86" i="77" s="1"/>
  <c r="C86" i="77" a="1"/>
  <c r="C86" i="77" s="1"/>
  <c r="B86" i="77"/>
  <c r="AY85" i="77"/>
  <c r="AO85" i="77"/>
  <c r="AN85" i="77"/>
  <c r="AJ85" i="77"/>
  <c r="AL85" i="77" s="1"/>
  <c r="AT85" i="77" s="1"/>
  <c r="C85" i="77"/>
  <c r="C85" i="77" a="1"/>
  <c r="B85" i="77"/>
  <c r="AY84" i="77"/>
  <c r="C84" i="77" a="1"/>
  <c r="C84" i="77" s="1"/>
  <c r="B84" i="77"/>
  <c r="AJ83" i="77"/>
  <c r="C83" i="77" a="1"/>
  <c r="C83" i="77" s="1"/>
  <c r="B83" i="77"/>
  <c r="AJ82" i="77"/>
  <c r="C82" i="77" a="1"/>
  <c r="C82" i="77" s="1"/>
  <c r="B82" i="77"/>
  <c r="AJ81" i="77"/>
  <c r="C81" i="77"/>
  <c r="C81" i="77" a="1"/>
  <c r="B81" i="77"/>
  <c r="AJ80" i="77"/>
  <c r="C80" i="77"/>
  <c r="C80" i="77" a="1"/>
  <c r="B80" i="77"/>
  <c r="AJ79" i="77"/>
  <c r="C79" i="77" a="1"/>
  <c r="C79" i="77" s="1"/>
  <c r="B79" i="77"/>
  <c r="AJ78" i="77"/>
  <c r="C78" i="77" a="1"/>
  <c r="C78" i="77" s="1"/>
  <c r="B78" i="77"/>
  <c r="AJ77" i="77"/>
  <c r="C77" i="77" a="1"/>
  <c r="C77" i="77" s="1"/>
  <c r="B77" i="77"/>
  <c r="AJ76" i="77"/>
  <c r="C76" i="77" a="1"/>
  <c r="C76" i="77" s="1"/>
  <c r="AJ75" i="77"/>
  <c r="C75" i="77" a="1"/>
  <c r="C75" i="77" s="1"/>
  <c r="B75" i="77"/>
  <c r="AJ74" i="77"/>
  <c r="C74" i="77" a="1"/>
  <c r="C74" i="77" s="1"/>
  <c r="B74" i="77"/>
  <c r="AJ73" i="77"/>
  <c r="C73" i="77"/>
  <c r="C73" i="77" a="1"/>
  <c r="B73" i="77"/>
  <c r="AJ72" i="77"/>
  <c r="C72" i="77"/>
  <c r="C72" i="77" a="1"/>
  <c r="B72" i="77"/>
  <c r="AJ71" i="77"/>
  <c r="AL71" i="77" s="1"/>
  <c r="AT71" i="77" s="1"/>
  <c r="C71" i="77" a="1"/>
  <c r="C71" i="77" s="1"/>
  <c r="B71" i="77"/>
  <c r="BA70" i="77"/>
  <c r="AY70" i="77"/>
  <c r="AV70" i="77" a="1"/>
  <c r="AV70" i="77" s="1"/>
  <c r="AJ70" i="77"/>
  <c r="AO70" i="77" s="1"/>
  <c r="C70" i="77"/>
  <c r="C70" i="77" a="1"/>
  <c r="B70" i="77"/>
  <c r="AJ69" i="77"/>
  <c r="C69" i="77" a="1"/>
  <c r="C69" i="77" s="1"/>
  <c r="B69" i="77"/>
  <c r="C68" i="77" a="1"/>
  <c r="C68" i="77" s="1"/>
  <c r="B68" i="77"/>
  <c r="CZ67" i="77"/>
  <c r="CY67" i="77"/>
  <c r="CX67" i="77"/>
  <c r="CW67" i="77"/>
  <c r="CV67" i="77"/>
  <c r="CU67" i="77"/>
  <c r="CT67" i="77"/>
  <c r="BA67" i="77"/>
  <c r="AY67" i="77"/>
  <c r="AJ67" i="77"/>
  <c r="C67" i="77"/>
  <c r="C67" i="77" a="1"/>
  <c r="B67" i="77"/>
  <c r="CR66" i="77"/>
  <c r="CQ66" i="77"/>
  <c r="CP66" i="77"/>
  <c r="CO66" i="77"/>
  <c r="CN66" i="77"/>
  <c r="CM66" i="77"/>
  <c r="CL66" i="77"/>
  <c r="CJ66" i="77"/>
  <c r="CI66" i="77"/>
  <c r="CH66" i="77"/>
  <c r="CG66" i="77"/>
  <c r="CF66" i="77"/>
  <c r="CE66" i="77"/>
  <c r="CD66" i="77"/>
  <c r="AY66" i="77"/>
  <c r="AV66" i="77" a="1"/>
  <c r="AV66" i="77" s="1"/>
  <c r="AU66" i="77"/>
  <c r="AO66" i="77"/>
  <c r="AN66" i="77"/>
  <c r="AJ66" i="77"/>
  <c r="BA66" i="77" s="1"/>
  <c r="C66" i="77" a="1"/>
  <c r="C66" i="77" s="1"/>
  <c r="B66" i="77"/>
  <c r="AV65" i="77" a="1"/>
  <c r="AV65" i="77" s="1"/>
  <c r="AN65" i="77"/>
  <c r="AL65" i="77"/>
  <c r="AT65" i="77" s="1"/>
  <c r="AJ65" i="77"/>
  <c r="C65" i="77" a="1"/>
  <c r="C65" i="77" s="1"/>
  <c r="B65" i="77"/>
  <c r="AJ64" i="77"/>
  <c r="BA64" i="77" s="1"/>
  <c r="C64" i="77" a="1"/>
  <c r="C64" i="77" s="1"/>
  <c r="B64" i="77"/>
  <c r="AL63" i="77"/>
  <c r="AT63" i="77" s="1"/>
  <c r="AJ63" i="77"/>
  <c r="C63" i="77" a="1"/>
  <c r="C63" i="77" s="1"/>
  <c r="B63" i="77"/>
  <c r="BL62" i="77"/>
  <c r="BO62" i="77" s="1"/>
  <c r="AJ62" i="77"/>
  <c r="BA62" i="77" s="1"/>
  <c r="C62" i="77" a="1"/>
  <c r="C62" i="77" s="1"/>
  <c r="B62" i="77"/>
  <c r="BL61" i="77"/>
  <c r="BO61" i="77" s="1"/>
  <c r="AY61" i="77"/>
  <c r="AJ61" i="77"/>
  <c r="AN61" i="77" s="1"/>
  <c r="C61" i="77" a="1"/>
  <c r="C61" i="77" s="1"/>
  <c r="B61" i="77"/>
  <c r="BO60" i="77"/>
  <c r="BL60" i="77"/>
  <c r="AJ60" i="77"/>
  <c r="C60" i="77" a="1"/>
  <c r="C60" i="77" s="1"/>
  <c r="B60" i="77"/>
  <c r="BO59" i="77"/>
  <c r="BL59" i="77"/>
  <c r="BA59" i="77"/>
  <c r="AY59" i="77"/>
  <c r="AO59" i="77"/>
  <c r="AN59" i="77"/>
  <c r="AL59" i="77"/>
  <c r="AT59" i="77" s="1"/>
  <c r="AJ59" i="77"/>
  <c r="C59" i="77" a="1"/>
  <c r="C59" i="77" s="1"/>
  <c r="B59" i="77"/>
  <c r="BO58" i="77"/>
  <c r="BL58" i="77"/>
  <c r="AJ58" i="77"/>
  <c r="C58" i="77" a="1"/>
  <c r="C58" i="77" s="1"/>
  <c r="B58" i="77"/>
  <c r="BL57" i="77"/>
  <c r="BO57" i="77" s="1"/>
  <c r="AJ57" i="77"/>
  <c r="BA57" i="77" s="1"/>
  <c r="C57" i="77" a="1"/>
  <c r="C57" i="77" s="1"/>
  <c r="B57" i="77"/>
  <c r="BL56" i="77"/>
  <c r="BO56" i="77" s="1"/>
  <c r="AL56" i="77"/>
  <c r="AT56" i="77" s="1"/>
  <c r="AJ56" i="77"/>
  <c r="C56" i="77" a="1"/>
  <c r="C56" i="77" s="1"/>
  <c r="B56" i="77"/>
  <c r="BL55" i="77"/>
  <c r="BO55" i="77" s="1"/>
  <c r="AJ55" i="77"/>
  <c r="AO55" i="77" s="1"/>
  <c r="C55" i="77" a="1"/>
  <c r="C55" i="77" s="1"/>
  <c r="B55" i="77"/>
  <c r="BL54" i="77"/>
  <c r="BO54" i="77" s="1"/>
  <c r="AJ54" i="77"/>
  <c r="C54" i="77" a="1"/>
  <c r="C54" i="77" s="1"/>
  <c r="BL53" i="77"/>
  <c r="BO53" i="77" s="1"/>
  <c r="AJ53" i="77"/>
  <c r="C53" i="77" a="1"/>
  <c r="C53" i="77" s="1"/>
  <c r="B53" i="77"/>
  <c r="BO52" i="77"/>
  <c r="BL52" i="77"/>
  <c r="AJ52" i="77"/>
  <c r="C52" i="77" a="1"/>
  <c r="C52" i="77" s="1"/>
  <c r="B52" i="77"/>
  <c r="BL51" i="77"/>
  <c r="BO51" i="77" s="1"/>
  <c r="AJ51" i="77"/>
  <c r="AY51" i="77" s="1"/>
  <c r="C51" i="77" a="1"/>
  <c r="C51" i="77" s="1"/>
  <c r="B51" i="77"/>
  <c r="BO50" i="77"/>
  <c r="BL50" i="77"/>
  <c r="AO50" i="77"/>
  <c r="AJ50" i="77"/>
  <c r="BA50" i="77" s="1"/>
  <c r="C50" i="77" a="1"/>
  <c r="C50" i="77" s="1"/>
  <c r="B50" i="77"/>
  <c r="BL49" i="77"/>
  <c r="BO49" i="77" s="1"/>
  <c r="BA49" i="77"/>
  <c r="AO49" i="77"/>
  <c r="AJ49" i="77"/>
  <c r="AL49" i="77" s="1"/>
  <c r="AT49" i="77" s="1"/>
  <c r="C49" i="77" a="1"/>
  <c r="C49" i="77" s="1"/>
  <c r="B49" i="77"/>
  <c r="BL48" i="77"/>
  <c r="BO48" i="77" s="1"/>
  <c r="AJ48" i="77"/>
  <c r="AY48" i="77" s="1"/>
  <c r="C48" i="77" a="1"/>
  <c r="C48" i="77" s="1"/>
  <c r="B48" i="77"/>
  <c r="BO47" i="77"/>
  <c r="BL47" i="77"/>
  <c r="AJ47" i="77"/>
  <c r="C47" i="77" a="1"/>
  <c r="C47" i="77" s="1"/>
  <c r="B47" i="77"/>
  <c r="BL46" i="77"/>
  <c r="BO46" i="77" s="1"/>
  <c r="AJ46" i="77"/>
  <c r="C46" i="77" a="1"/>
  <c r="C46" i="77" s="1"/>
  <c r="B46" i="77"/>
  <c r="BL45" i="77"/>
  <c r="BO45" i="77" s="1"/>
  <c r="AY45" i="77"/>
  <c r="AN45" i="77"/>
  <c r="AL45" i="77"/>
  <c r="AT45" i="77" s="1"/>
  <c r="AJ45" i="77"/>
  <c r="AO45" i="77" s="1"/>
  <c r="C45" i="77" a="1"/>
  <c r="C45" i="77" s="1"/>
  <c r="B45" i="77"/>
  <c r="BL44" i="77"/>
  <c r="BO44" i="77" s="1"/>
  <c r="AL44" i="77"/>
  <c r="AT44" i="77" s="1"/>
  <c r="AJ44" i="77"/>
  <c r="BA44" i="77" s="1"/>
  <c r="C44" i="77" a="1"/>
  <c r="C44" i="77" s="1"/>
  <c r="B44" i="77"/>
  <c r="BO43" i="77"/>
  <c r="BL43" i="77"/>
  <c r="AN43" i="77"/>
  <c r="AP43" i="77" s="1"/>
  <c r="AL43" i="77"/>
  <c r="AT43" i="77" s="1"/>
  <c r="AJ43" i="77"/>
  <c r="BA43" i="77" s="1"/>
  <c r="C43" i="77" a="1"/>
  <c r="C43" i="77" s="1"/>
  <c r="B43" i="77"/>
  <c r="BL42" i="77"/>
  <c r="BO42" i="77" s="1"/>
  <c r="AJ42" i="77"/>
  <c r="AN42" i="77" s="1"/>
  <c r="C42" i="77" a="1"/>
  <c r="C42" i="77" s="1"/>
  <c r="B42" i="77"/>
  <c r="BL41" i="77"/>
  <c r="BO41" i="77" s="1"/>
  <c r="AY41" i="77"/>
  <c r="AJ41" i="77"/>
  <c r="BA41" i="77" s="1"/>
  <c r="C41" i="77" a="1"/>
  <c r="C41" i="77" s="1"/>
  <c r="B41" i="77"/>
  <c r="BL40" i="77"/>
  <c r="BO40" i="77" s="1"/>
  <c r="AJ40" i="77"/>
  <c r="C40" i="77" a="1"/>
  <c r="C40" i="77" s="1"/>
  <c r="B40" i="77"/>
  <c r="BL39" i="77"/>
  <c r="BO39" i="77" s="1"/>
  <c r="AJ39" i="77"/>
  <c r="C39" i="77" a="1"/>
  <c r="C39" i="77" s="1"/>
  <c r="B39" i="77"/>
  <c r="BL38" i="77"/>
  <c r="BO38" i="77" s="1"/>
  <c r="AN38" i="77"/>
  <c r="AL38" i="77"/>
  <c r="AT38" i="77" s="1"/>
  <c r="AJ38" i="77"/>
  <c r="AO38" i="77" s="1"/>
  <c r="C38" i="77" a="1"/>
  <c r="C38" i="77" s="1"/>
  <c r="B38" i="77"/>
  <c r="BL37" i="77"/>
  <c r="BO37" i="77" s="1"/>
  <c r="BA37" i="77"/>
  <c r="AY37" i="77"/>
  <c r="AJ37" i="77"/>
  <c r="C37" i="77" a="1"/>
  <c r="C37" i="77" s="1"/>
  <c r="B37" i="77"/>
  <c r="BO36" i="77"/>
  <c r="BL36" i="77"/>
  <c r="AJ36" i="77"/>
  <c r="AY36" i="77" s="1"/>
  <c r="C36" i="77" a="1"/>
  <c r="C36" i="77" s="1"/>
  <c r="B36" i="77"/>
  <c r="BL35" i="77"/>
  <c r="BO35" i="77" s="1"/>
  <c r="C35" i="77" a="1"/>
  <c r="C35" i="77" s="1"/>
  <c r="BO34" i="77"/>
  <c r="BL34" i="77"/>
  <c r="C34" i="77" a="1"/>
  <c r="C34" i="77" s="1"/>
  <c r="BO33" i="77"/>
  <c r="BL33" i="77"/>
  <c r="AJ33" i="77"/>
  <c r="C33" i="77" a="1"/>
  <c r="C33" i="77" s="1"/>
  <c r="B33" i="77"/>
  <c r="BL32" i="77"/>
  <c r="BO32" i="77" s="1"/>
  <c r="C32" i="77" a="1"/>
  <c r="C32" i="77" s="1"/>
  <c r="B32" i="77"/>
  <c r="BL31" i="77"/>
  <c r="BO31" i="77" s="1"/>
  <c r="AJ31" i="77"/>
  <c r="C31" i="77" a="1"/>
  <c r="C31" i="77" s="1"/>
  <c r="B31" i="77"/>
  <c r="BL30" i="77"/>
  <c r="BO30" i="77" s="1"/>
  <c r="AJ30" i="77"/>
  <c r="C30" i="77" a="1"/>
  <c r="C30" i="77" s="1"/>
  <c r="B30" i="77"/>
  <c r="BO29" i="77"/>
  <c r="BL29" i="77"/>
  <c r="AJ29" i="77"/>
  <c r="C29" i="77" a="1"/>
  <c r="C29" i="77" s="1"/>
  <c r="B29" i="77"/>
  <c r="BO28" i="77"/>
  <c r="BL28" i="77"/>
  <c r="AJ28" i="77"/>
  <c r="C28" i="77" a="1"/>
  <c r="C28" i="77" s="1"/>
  <c r="B28" i="77"/>
  <c r="BO27" i="77"/>
  <c r="BL27" i="77"/>
  <c r="AO27" i="77"/>
  <c r="AN27" i="77"/>
  <c r="AJ27" i="77"/>
  <c r="C27" i="77" a="1"/>
  <c r="C27" i="77" s="1"/>
  <c r="B27" i="77"/>
  <c r="BO26" i="77"/>
  <c r="AO26" i="77"/>
  <c r="AN26" i="77"/>
  <c r="AJ26" i="77"/>
  <c r="C26" i="77"/>
  <c r="C26" i="77" a="1"/>
  <c r="B26" i="77"/>
  <c r="AJ25" i="77"/>
  <c r="C25" i="77"/>
  <c r="C25" i="77" a="1"/>
  <c r="B25" i="77"/>
  <c r="BO24" i="77"/>
  <c r="C24" i="77" a="1"/>
  <c r="C24" i="77" s="1"/>
  <c r="BO23" i="77"/>
  <c r="AJ23" i="77"/>
  <c r="C23" i="77" a="1"/>
  <c r="C23" i="77" s="1"/>
  <c r="B23" i="77"/>
  <c r="BO22" i="77"/>
  <c r="BL22" i="77"/>
  <c r="BA22" i="77"/>
  <c r="AJ22" i="77"/>
  <c r="AY22" i="77" s="1"/>
  <c r="C22" i="77" a="1"/>
  <c r="C22" i="77" s="1"/>
  <c r="B22" i="77"/>
  <c r="BW21" i="77"/>
  <c r="BO21" i="77"/>
  <c r="BL21" i="77"/>
  <c r="BG21" i="77"/>
  <c r="BF21" i="77"/>
  <c r="C21" i="77"/>
  <c r="C21" i="77" a="1"/>
  <c r="B21" i="77"/>
  <c r="BW20" i="77"/>
  <c r="BL20" i="77"/>
  <c r="BO20" i="77" s="1"/>
  <c r="BG20" i="77"/>
  <c r="BF20" i="77"/>
  <c r="C20" i="77" a="1"/>
  <c r="C20" i="77" s="1"/>
  <c r="B20" i="77"/>
  <c r="BW19" i="77"/>
  <c r="BO19" i="77"/>
  <c r="BL19" i="77"/>
  <c r="C19" i="77" a="1"/>
  <c r="C19" i="77" s="1"/>
  <c r="B19" i="77"/>
  <c r="BW18" i="77"/>
  <c r="BO18" i="77"/>
  <c r="BL18" i="77"/>
  <c r="BG18" i="77"/>
  <c r="BF18" i="77"/>
  <c r="BD18" i="77"/>
  <c r="BC18" i="77"/>
  <c r="BB18" i="77"/>
  <c r="BA18" i="77"/>
  <c r="AZ18" i="77"/>
  <c r="AY18" i="77"/>
  <c r="AX18" i="77"/>
  <c r="AW18" i="77"/>
  <c r="AV18" i="77"/>
  <c r="AU18" i="77"/>
  <c r="AT18" i="77"/>
  <c r="AS18" i="77"/>
  <c r="AR18" i="77"/>
  <c r="AQ18" i="77"/>
  <c r="AP18" i="77"/>
  <c r="AO18" i="77"/>
  <c r="AN18" i="77"/>
  <c r="AM18" i="77"/>
  <c r="AL18" i="77"/>
  <c r="AK18" i="77"/>
  <c r="AJ18" i="77"/>
  <c r="AI18" i="77"/>
  <c r="AH18" i="77"/>
  <c r="AG18" i="77"/>
  <c r="AF18" i="77"/>
  <c r="C18" i="77" a="1"/>
  <c r="C18" i="77" s="1"/>
  <c r="B18" i="77"/>
  <c r="BW17" i="77"/>
  <c r="BO17" i="77"/>
  <c r="C17" i="77"/>
  <c r="C17" i="77" a="1"/>
  <c r="B17" i="77"/>
  <c r="BW16" i="77"/>
  <c r="BO16" i="77"/>
  <c r="C16" i="77" a="1"/>
  <c r="C16" i="77" s="1"/>
  <c r="B16" i="77"/>
  <c r="BW15" i="77"/>
  <c r="BO15" i="77"/>
  <c r="C15" i="77" a="1"/>
  <c r="C15" i="77" s="1"/>
  <c r="B15" i="77"/>
  <c r="BW14" i="77"/>
  <c r="BP14" i="77"/>
  <c r="BO14" i="77"/>
  <c r="BN14" i="77"/>
  <c r="BM14" i="77"/>
  <c r="BL14" i="77"/>
  <c r="BK14" i="77"/>
  <c r="BJ14" i="77"/>
  <c r="BI14" i="77"/>
  <c r="C14" i="77"/>
  <c r="C14" i="77" a="1"/>
  <c r="B14" i="77"/>
  <c r="BW13" i="77"/>
  <c r="B13" i="77"/>
  <c r="BW12" i="77"/>
  <c r="B12" i="77"/>
  <c r="BW11" i="77"/>
  <c r="B11" i="77"/>
  <c r="BW10" i="77"/>
  <c r="J10" i="77"/>
  <c r="I10" i="77"/>
  <c r="H10" i="77"/>
  <c r="G10" i="77"/>
  <c r="F10" i="77"/>
  <c r="E10" i="77"/>
  <c r="D10" i="77"/>
  <c r="C10" i="77"/>
  <c r="B10" i="77"/>
  <c r="BW9" i="77"/>
  <c r="B9" i="77"/>
  <c r="BW8" i="77"/>
  <c r="B8" i="77"/>
  <c r="DC7" i="77"/>
  <c r="BW7" i="77"/>
  <c r="B7" i="77"/>
  <c r="DC6" i="77"/>
  <c r="BW6" i="77"/>
  <c r="B6" i="77"/>
  <c r="BZ5" i="77"/>
  <c r="BW5" i="77"/>
  <c r="BC5" i="77"/>
  <c r="B5" i="77"/>
  <c r="B4" i="77"/>
  <c r="DD3" i="77"/>
  <c r="CZ3" i="77"/>
  <c r="CX3" i="77"/>
  <c r="CZ2" i="77"/>
  <c r="CY2" i="77"/>
  <c r="CX2" i="77"/>
  <c r="CW2" i="77"/>
  <c r="CV2" i="77"/>
  <c r="CU2" i="77"/>
  <c r="CT2" i="77"/>
  <c r="CR2" i="77"/>
  <c r="CQ2" i="77"/>
  <c r="CP2" i="77"/>
  <c r="CO2" i="77"/>
  <c r="CN2" i="77"/>
  <c r="CM2" i="77"/>
  <c r="CL2" i="77"/>
  <c r="CJ2" i="77"/>
  <c r="CI2" i="77"/>
  <c r="CH2" i="77"/>
  <c r="CG2" i="77"/>
  <c r="CF2" i="77"/>
  <c r="CE2" i="77"/>
  <c r="CD2" i="77"/>
  <c r="CB2" i="77"/>
  <c r="CA2" i="77"/>
  <c r="BZ2" i="77"/>
  <c r="BY2" i="77"/>
  <c r="BX2" i="77"/>
  <c r="BW2" i="77"/>
  <c r="BP2" i="77"/>
  <c r="BO2" i="77"/>
  <c r="BN2" i="77"/>
  <c r="BM2" i="77"/>
  <c r="BL2" i="77"/>
  <c r="BI2" i="77"/>
  <c r="BH2" i="77"/>
  <c r="BG2" i="77"/>
  <c r="BD2" i="77"/>
  <c r="BC2" i="77"/>
  <c r="BB2" i="77"/>
  <c r="BA2" i="77"/>
  <c r="AZ2" i="77"/>
  <c r="AY2" i="77"/>
  <c r="AX2" i="77"/>
  <c r="AW2" i="77"/>
  <c r="AV2" i="77"/>
  <c r="AU2" i="77"/>
  <c r="AT2" i="77"/>
  <c r="AS2" i="77"/>
  <c r="AR2" i="77"/>
  <c r="AQ2" i="77"/>
  <c r="AP2" i="77"/>
  <c r="AO2" i="77"/>
  <c r="AN2" i="77"/>
  <c r="AM2" i="77"/>
  <c r="AL2" i="77"/>
  <c r="AK2" i="77"/>
  <c r="AJ2" i="77"/>
  <c r="AI2" i="77"/>
  <c r="AH2" i="77"/>
  <c r="AG2" i="77"/>
  <c r="AF2" i="77"/>
  <c r="AE2" i="77"/>
  <c r="Z2" i="77"/>
  <c r="Y2" i="77"/>
  <c r="X2" i="77"/>
  <c r="W2" i="77"/>
  <c r="V2" i="77"/>
  <c r="U2" i="77"/>
  <c r="T2" i="77"/>
  <c r="S2" i="77"/>
  <c r="R2" i="77"/>
  <c r="Q2" i="77"/>
  <c r="P2" i="77"/>
  <c r="O2" i="77"/>
  <c r="N2" i="77"/>
  <c r="M2" i="77"/>
  <c r="L2" i="77"/>
  <c r="K2" i="77"/>
  <c r="J2" i="77"/>
  <c r="I2" i="77"/>
  <c r="H2" i="77"/>
  <c r="G2" i="77"/>
  <c r="F2" i="77"/>
  <c r="E2" i="77"/>
  <c r="D2" i="77"/>
  <c r="C2" i="77"/>
  <c r="B2" i="77"/>
  <c r="DD1" i="77"/>
  <c r="DC1" i="77"/>
  <c r="CZ1" i="77"/>
  <c r="CY1" i="77"/>
  <c r="CX1" i="77"/>
  <c r="CW1" i="77"/>
  <c r="CV1" i="77"/>
  <c r="CU1" i="77"/>
  <c r="CT1" i="77"/>
  <c r="CR1" i="77"/>
  <c r="CQ1" i="77"/>
  <c r="CP1" i="77"/>
  <c r="CO1" i="77"/>
  <c r="CN1" i="77"/>
  <c r="CM1" i="77"/>
  <c r="CL1" i="77"/>
  <c r="CJ1" i="77"/>
  <c r="CI1" i="77"/>
  <c r="CH1" i="77"/>
  <c r="CG1" i="77"/>
  <c r="CF1" i="77"/>
  <c r="CE1" i="77"/>
  <c r="CD1" i="77"/>
  <c r="CB1" i="77"/>
  <c r="CA1" i="77"/>
  <c r="BZ1" i="77"/>
  <c r="BY1" i="77"/>
  <c r="BX1" i="77"/>
  <c r="BW1" i="77"/>
  <c r="BP1" i="77"/>
  <c r="BO1" i="77"/>
  <c r="BN1" i="77"/>
  <c r="BM1" i="77"/>
  <c r="BL1" i="77"/>
  <c r="BI1" i="77"/>
  <c r="BH1" i="77"/>
  <c r="BG1" i="77"/>
  <c r="BD1" i="77"/>
  <c r="BC1" i="77"/>
  <c r="BB1" i="77"/>
  <c r="BA1" i="77"/>
  <c r="AZ1" i="77"/>
  <c r="AY1" i="77"/>
  <c r="AX1" i="77"/>
  <c r="AW1" i="77"/>
  <c r="AV1" i="77"/>
  <c r="AU1" i="77"/>
  <c r="AT1" i="77"/>
  <c r="AS1" i="77"/>
  <c r="AR1" i="77"/>
  <c r="AQ1" i="77"/>
  <c r="AP1" i="77"/>
  <c r="AO1" i="77"/>
  <c r="AN1" i="77"/>
  <c r="AM1" i="77"/>
  <c r="AL1" i="77"/>
  <c r="AK1" i="77"/>
  <c r="AJ1" i="77"/>
  <c r="AI1" i="77"/>
  <c r="AH1" i="77"/>
  <c r="AG1" i="77"/>
  <c r="AF1" i="77"/>
  <c r="AE1" i="77"/>
  <c r="AC1" i="77"/>
  <c r="AB1" i="77"/>
  <c r="AA1" i="77"/>
  <c r="Z1" i="77"/>
  <c r="Y1" i="77"/>
  <c r="X1" i="77"/>
  <c r="W1" i="77"/>
  <c r="V1" i="77"/>
  <c r="U1" i="77"/>
  <c r="T1" i="77"/>
  <c r="S1" i="77"/>
  <c r="R1" i="77"/>
  <c r="Q1" i="77"/>
  <c r="P1" i="77"/>
  <c r="O1" i="77"/>
  <c r="N1" i="77"/>
  <c r="M1" i="77"/>
  <c r="L1" i="77"/>
  <c r="K1" i="77"/>
  <c r="J1" i="77"/>
  <c r="I1" i="77"/>
  <c r="H1" i="77"/>
  <c r="G1" i="77"/>
  <c r="F1" i="77"/>
  <c r="E1" i="77"/>
  <c r="D1" i="77"/>
  <c r="C1" i="77"/>
  <c r="B1" i="77"/>
  <c r="A1" i="77"/>
  <c r="DD551" i="76"/>
  <c r="DB551" i="76"/>
  <c r="BA549" i="76"/>
  <c r="AY549" i="76"/>
  <c r="AV549" i="76" a="1"/>
  <c r="AV549" i="76" s="1"/>
  <c r="AU549" i="76"/>
  <c r="AJ549" i="76"/>
  <c r="AV548" i="76" a="1"/>
  <c r="AV548" i="76" s="1"/>
  <c r="AL548" i="76"/>
  <c r="AT548" i="76" s="1"/>
  <c r="AJ548" i="76"/>
  <c r="AJ547" i="76"/>
  <c r="AV546" i="76" a="1"/>
  <c r="AV546" i="76" s="1"/>
  <c r="AU546" i="76"/>
  <c r="AT546" i="76"/>
  <c r="AO546" i="76"/>
  <c r="AN546" i="76"/>
  <c r="AJ546" i="76"/>
  <c r="AL546" i="76" s="1"/>
  <c r="AY545" i="76"/>
  <c r="AV545" i="76"/>
  <c r="AV545" i="76" a="1"/>
  <c r="AU545" i="76"/>
  <c r="AJ545" i="76"/>
  <c r="BW544" i="76"/>
  <c r="BA544" i="76"/>
  <c r="AP544" i="76"/>
  <c r="AQ544" i="76" s="1"/>
  <c r="AO544" i="76"/>
  <c r="AM544" i="76"/>
  <c r="AK544" i="76" a="1"/>
  <c r="AK544" i="76" s="1"/>
  <c r="BG544" i="76" s="1"/>
  <c r="AJ544" i="76"/>
  <c r="AN544" i="76" s="1"/>
  <c r="AF544" i="76"/>
  <c r="AE544" i="76" s="1"/>
  <c r="AV543" i="76" a="1"/>
  <c r="AV543" i="76" s="1"/>
  <c r="AU543" i="76"/>
  <c r="AJ543" i="76"/>
  <c r="BA542" i="76"/>
  <c r="AY542" i="76"/>
  <c r="AJ542" i="76"/>
  <c r="AV541" i="76"/>
  <c r="AV541" i="76" a="1"/>
  <c r="AU541" i="76"/>
  <c r="AO541" i="76"/>
  <c r="AJ541" i="76"/>
  <c r="BA540" i="76"/>
  <c r="AY540" i="76"/>
  <c r="AO540" i="76"/>
  <c r="AN540" i="76"/>
  <c r="AL540" i="76"/>
  <c r="AT540" i="76" s="1"/>
  <c r="AJ540" i="76"/>
  <c r="BA539" i="76"/>
  <c r="AY539" i="76"/>
  <c r="AV539" i="76"/>
  <c r="AV539" i="76" a="1"/>
  <c r="AU539" i="76"/>
  <c r="AT539" i="76"/>
  <c r="AP539" i="76"/>
  <c r="AO539" i="76"/>
  <c r="AL539" i="76"/>
  <c r="AJ539" i="76"/>
  <c r="AN539" i="76" s="1"/>
  <c r="AF539" i="76"/>
  <c r="BF538" i="76"/>
  <c r="AZ538" i="76" s="1"/>
  <c r="AY538" i="76"/>
  <c r="AV538" i="76" a="1"/>
  <c r="AV538" i="76" s="1"/>
  <c r="AU538" i="76"/>
  <c r="AO538" i="76"/>
  <c r="AN538" i="76"/>
  <c r="AP538" i="76" s="1"/>
  <c r="AL538" i="76"/>
  <c r="AT538" i="76" s="1"/>
  <c r="AJ538" i="76"/>
  <c r="BA538" i="76" s="1"/>
  <c r="AF538" i="76"/>
  <c r="BA537" i="76"/>
  <c r="AY537" i="76"/>
  <c r="AP537" i="76"/>
  <c r="AO537" i="76"/>
  <c r="AN537" i="76"/>
  <c r="AL537" i="76"/>
  <c r="AT537" i="76" s="1"/>
  <c r="AJ537" i="76"/>
  <c r="BA536" i="76"/>
  <c r="AY536" i="76"/>
  <c r="AL536" i="76"/>
  <c r="AT536" i="76" s="1"/>
  <c r="AJ536" i="76"/>
  <c r="AY535" i="76"/>
  <c r="AV535" i="76" a="1"/>
  <c r="AV535" i="76" s="1"/>
  <c r="AU535" i="76"/>
  <c r="AT535" i="76"/>
  <c r="AP535" i="76"/>
  <c r="AQ535" i="76" s="1"/>
  <c r="AO535" i="76"/>
  <c r="AN535" i="76"/>
  <c r="AL535" i="76"/>
  <c r="AJ535" i="76"/>
  <c r="BA535" i="76" s="1"/>
  <c r="AF535" i="76"/>
  <c r="AY534" i="76"/>
  <c r="AJ534" i="76"/>
  <c r="BA533" i="76"/>
  <c r="AY533" i="76"/>
  <c r="AV533" i="76" a="1"/>
  <c r="AV533" i="76" s="1"/>
  <c r="AU533" i="76"/>
  <c r="AN533" i="76"/>
  <c r="AL533" i="76"/>
  <c r="AT533" i="76" s="1"/>
  <c r="AJ533" i="76"/>
  <c r="AO533" i="76" s="1"/>
  <c r="BA532" i="76"/>
  <c r="AY532" i="76"/>
  <c r="AX532" i="76"/>
  <c r="BD532" i="76" s="1"/>
  <c r="AV532" i="76" a="1"/>
  <c r="AV532" i="76" s="1"/>
  <c r="AN532" i="76"/>
  <c r="AL532" i="76"/>
  <c r="AT532" i="76" s="1"/>
  <c r="AJ532" i="76"/>
  <c r="AU532" i="76" s="1"/>
  <c r="AF532" i="76"/>
  <c r="BA531" i="76"/>
  <c r="AY531" i="76"/>
  <c r="AV531" i="76" a="1"/>
  <c r="AV531" i="76" s="1"/>
  <c r="AU531" i="76"/>
  <c r="AT531" i="76"/>
  <c r="AO531" i="76"/>
  <c r="AN531" i="76"/>
  <c r="AL531" i="76"/>
  <c r="AJ531" i="76"/>
  <c r="BA530" i="76"/>
  <c r="AJ530" i="76"/>
  <c r="AY529" i="76"/>
  <c r="AU529" i="76"/>
  <c r="AJ529" i="76"/>
  <c r="BA528" i="76"/>
  <c r="AV528" i="76" a="1"/>
  <c r="AV528" i="76" s="1"/>
  <c r="AU528" i="76"/>
  <c r="AN528" i="76"/>
  <c r="AL528" i="76"/>
  <c r="AT528" i="76" s="1"/>
  <c r="AJ528" i="76"/>
  <c r="AY527" i="76"/>
  <c r="AV527" i="76" a="1"/>
  <c r="AV527" i="76" s="1"/>
  <c r="AU527" i="76"/>
  <c r="AO527" i="76"/>
  <c r="AN527" i="76"/>
  <c r="AL527" i="76"/>
  <c r="AT527" i="76" s="1"/>
  <c r="AJ527" i="76"/>
  <c r="BA527" i="76" s="1"/>
  <c r="AF527" i="76"/>
  <c r="BA526" i="76"/>
  <c r="AJ526" i="76"/>
  <c r="AV525" i="76" a="1"/>
  <c r="AV525" i="76" s="1"/>
  <c r="AU525" i="76"/>
  <c r="AT525" i="76"/>
  <c r="AP525" i="76"/>
  <c r="BF525" i="76" s="1"/>
  <c r="AZ525" i="76" s="1"/>
  <c r="AO525" i="76"/>
  <c r="AN525" i="76"/>
  <c r="AJ525" i="76"/>
  <c r="AL525" i="76" s="1"/>
  <c r="BA524" i="76"/>
  <c r="AV524" i="76" a="1"/>
  <c r="AV524" i="76" s="1"/>
  <c r="AJ524" i="76"/>
  <c r="AJ523" i="76"/>
  <c r="AY522" i="76"/>
  <c r="AX522" i="76"/>
  <c r="BD522" i="76" s="1"/>
  <c r="AV522" i="76"/>
  <c r="AV522" i="76" a="1"/>
  <c r="AU522" i="76"/>
  <c r="AT522" i="76"/>
  <c r="AP522" i="76"/>
  <c r="AO522" i="76"/>
  <c r="AN522" i="76"/>
  <c r="AL522" i="76"/>
  <c r="AK522" i="76" a="1"/>
  <c r="AK522" i="76" s="1"/>
  <c r="BG522" i="76" s="1"/>
  <c r="AJ522" i="76"/>
  <c r="BA522" i="76" s="1"/>
  <c r="AF522" i="76"/>
  <c r="AE522" i="76"/>
  <c r="AN521" i="76"/>
  <c r="AL521" i="76"/>
  <c r="AT521" i="76" s="1"/>
  <c r="AJ521" i="76"/>
  <c r="BA520" i="76"/>
  <c r="AY520" i="76"/>
  <c r="AU520" i="76"/>
  <c r="AJ520" i="76"/>
  <c r="AY519" i="76"/>
  <c r="AV519" i="76" a="1"/>
  <c r="AV519" i="76" s="1"/>
  <c r="AU519" i="76"/>
  <c r="AT519" i="76"/>
  <c r="AP519" i="76"/>
  <c r="AO519" i="76"/>
  <c r="AN519" i="76"/>
  <c r="AL519" i="76"/>
  <c r="AJ519" i="76"/>
  <c r="BA519" i="76" s="1"/>
  <c r="BA518" i="76"/>
  <c r="AU518" i="76"/>
  <c r="AJ518" i="76"/>
  <c r="AJ517" i="76"/>
  <c r="BA516" i="76"/>
  <c r="AU516" i="76"/>
  <c r="AJ516" i="76"/>
  <c r="AJ515" i="76"/>
  <c r="BA514" i="76"/>
  <c r="AY514" i="76"/>
  <c r="AV514" i="76"/>
  <c r="AV514" i="76" a="1"/>
  <c r="AU514" i="76"/>
  <c r="AL514" i="76"/>
  <c r="AT514" i="76" s="1"/>
  <c r="AJ514" i="76"/>
  <c r="BA513" i="76"/>
  <c r="AY513" i="76"/>
  <c r="AV513" i="76" a="1"/>
  <c r="AV513" i="76" s="1"/>
  <c r="AU513" i="76"/>
  <c r="AT513" i="76"/>
  <c r="AP513" i="76"/>
  <c r="AO513" i="76"/>
  <c r="AN513" i="76"/>
  <c r="AJ513" i="76"/>
  <c r="AL513" i="76" s="1"/>
  <c r="AF513" i="76"/>
  <c r="AP512" i="76"/>
  <c r="AO512" i="76"/>
  <c r="AN512" i="76"/>
  <c r="AL512" i="76"/>
  <c r="AT512" i="76" s="1"/>
  <c r="AJ512" i="76"/>
  <c r="AF512" i="76"/>
  <c r="AJ511" i="76"/>
  <c r="AJ510" i="76"/>
  <c r="BA509" i="76"/>
  <c r="AV509" i="76" a="1"/>
  <c r="AV509" i="76" s="1"/>
  <c r="AU509" i="76"/>
  <c r="AL509" i="76"/>
  <c r="AT509" i="76" s="1"/>
  <c r="AJ509" i="76"/>
  <c r="AV508" i="76" a="1"/>
  <c r="AV508" i="76" s="1"/>
  <c r="AN508" i="76"/>
  <c r="AL508" i="76"/>
  <c r="AT508" i="76" s="1"/>
  <c r="AJ508" i="76"/>
  <c r="BF507" i="76"/>
  <c r="BD507" i="76"/>
  <c r="BA507" i="76"/>
  <c r="AZ507" i="76"/>
  <c r="BC507" i="76" s="1"/>
  <c r="AY507" i="76"/>
  <c r="AV507" i="76" a="1"/>
  <c r="AV507" i="76" s="1"/>
  <c r="AU507" i="76"/>
  <c r="AO507" i="76"/>
  <c r="AL507" i="76"/>
  <c r="AT507" i="76" s="1"/>
  <c r="AX507" i="76" s="1"/>
  <c r="AK507" i="76" a="1"/>
  <c r="AK507" i="76" s="1"/>
  <c r="BG507" i="76" s="1"/>
  <c r="AJ507" i="76"/>
  <c r="AN507" i="76" s="1"/>
  <c r="AP507" i="76" s="1"/>
  <c r="AH507" i="76"/>
  <c r="AF507" i="76"/>
  <c r="AQ507" i="76" s="1"/>
  <c r="AE507" i="76"/>
  <c r="AY506" i="76"/>
  <c r="AV506" i="76" a="1"/>
  <c r="AV506" i="76" s="1"/>
  <c r="AU506" i="76"/>
  <c r="AP506" i="76"/>
  <c r="AO506" i="76"/>
  <c r="AN506" i="76"/>
  <c r="AL506" i="76"/>
  <c r="AT506" i="76" s="1"/>
  <c r="AJ506" i="76"/>
  <c r="BA506" i="76" s="1"/>
  <c r="AF506" i="76"/>
  <c r="AU505" i="76"/>
  <c r="AO505" i="76"/>
  <c r="AN505" i="76"/>
  <c r="AL505" i="76"/>
  <c r="AT505" i="76" s="1"/>
  <c r="AJ505" i="76"/>
  <c r="BA504" i="76"/>
  <c r="AV504" i="76" a="1"/>
  <c r="AV504" i="76" s="1"/>
  <c r="AU504" i="76"/>
  <c r="AJ504" i="76"/>
  <c r="BA503" i="76"/>
  <c r="AO503" i="76"/>
  <c r="AL503" i="76"/>
  <c r="AT503" i="76" s="1"/>
  <c r="AJ503" i="76"/>
  <c r="AJ502" i="76"/>
  <c r="BW501" i="76"/>
  <c r="BA501" i="76"/>
  <c r="AY501" i="76"/>
  <c r="AV501" i="76" a="1"/>
  <c r="AV501" i="76" s="1"/>
  <c r="AU501" i="76"/>
  <c r="AO501" i="76"/>
  <c r="AN501" i="76"/>
  <c r="AL501" i="76"/>
  <c r="AT501" i="76" s="1"/>
  <c r="AJ501" i="76"/>
  <c r="AF501" i="76"/>
  <c r="AX501" i="76" s="1"/>
  <c r="BD501" i="76" s="1"/>
  <c r="AE501" i="76"/>
  <c r="AY500" i="76"/>
  <c r="AN500" i="76"/>
  <c r="AL500" i="76"/>
  <c r="AT500" i="76" s="1"/>
  <c r="AJ500" i="76"/>
  <c r="AJ499" i="76"/>
  <c r="AU499" i="76" s="1"/>
  <c r="BA498" i="76"/>
  <c r="AV498" i="76" a="1"/>
  <c r="AV498" i="76" s="1"/>
  <c r="AU498" i="76"/>
  <c r="AP498" i="76"/>
  <c r="AO498" i="76"/>
  <c r="AN498" i="76"/>
  <c r="AL498" i="76"/>
  <c r="AT498" i="76" s="1"/>
  <c r="AJ498" i="76"/>
  <c r="AY498" i="76" s="1"/>
  <c r="BA497" i="76"/>
  <c r="AY497" i="76"/>
  <c r="AU497" i="76"/>
  <c r="AT497" i="76"/>
  <c r="AN497" i="76"/>
  <c r="AL497" i="76"/>
  <c r="AJ497" i="76"/>
  <c r="AJ496" i="76"/>
  <c r="AL496" i="76" s="1"/>
  <c r="AT496" i="76" s="1"/>
  <c r="AV495" i="76" a="1"/>
  <c r="AV495" i="76" s="1"/>
  <c r="AJ495" i="76"/>
  <c r="BA494" i="76"/>
  <c r="AV494" i="76" a="1"/>
  <c r="AV494" i="76" s="1"/>
  <c r="AT494" i="76"/>
  <c r="AO494" i="76"/>
  <c r="AN494" i="76"/>
  <c r="AL494" i="76"/>
  <c r="AJ494" i="76"/>
  <c r="AF494" i="76"/>
  <c r="AJ493" i="76"/>
  <c r="AJ492" i="76"/>
  <c r="AY491" i="76"/>
  <c r="AV491" i="76"/>
  <c r="AV491" i="76" a="1"/>
  <c r="AU491" i="76"/>
  <c r="AO491" i="76"/>
  <c r="AN491" i="76"/>
  <c r="AL491" i="76"/>
  <c r="AT491" i="76" s="1"/>
  <c r="AJ491" i="76"/>
  <c r="BA491" i="76" s="1"/>
  <c r="BA490" i="76"/>
  <c r="AY490" i="76"/>
  <c r="AV490" i="76"/>
  <c r="AV490" i="76" a="1"/>
  <c r="AU490" i="76"/>
  <c r="AO490" i="76"/>
  <c r="AJ490" i="76"/>
  <c r="BA489" i="76"/>
  <c r="AY489" i="76"/>
  <c r="AV489" i="76" a="1"/>
  <c r="AV489" i="76" s="1"/>
  <c r="AU489" i="76"/>
  <c r="AO489" i="76"/>
  <c r="AN489" i="76"/>
  <c r="AL489" i="76"/>
  <c r="AT489" i="76" s="1"/>
  <c r="AJ489" i="76"/>
  <c r="BW488" i="76"/>
  <c r="BA488" i="76"/>
  <c r="AY488" i="76"/>
  <c r="AV488" i="76" a="1"/>
  <c r="AV488" i="76" s="1"/>
  <c r="AQ488" i="76"/>
  <c r="AP488" i="76"/>
  <c r="AO488" i="76"/>
  <c r="AN488" i="76"/>
  <c r="AL488" i="76"/>
  <c r="AT488" i="76" s="1"/>
  <c r="AJ488" i="76"/>
  <c r="AU488" i="76" s="1"/>
  <c r="AF488" i="76"/>
  <c r="AX488" i="76" s="1"/>
  <c r="BD488" i="76" s="1"/>
  <c r="AE488" i="76"/>
  <c r="BA487" i="76"/>
  <c r="AY487" i="76"/>
  <c r="AV487" i="76" a="1"/>
  <c r="AV487" i="76" s="1"/>
  <c r="AU487" i="76"/>
  <c r="AL487" i="76"/>
  <c r="AT487" i="76" s="1"/>
  <c r="AJ487" i="76"/>
  <c r="AY486" i="76"/>
  <c r="AV486" i="76" a="1"/>
  <c r="AV486" i="76" s="1"/>
  <c r="AU486" i="76"/>
  <c r="AT486" i="76"/>
  <c r="AP486" i="76"/>
  <c r="BF486" i="76" s="1"/>
  <c r="AZ486" i="76" s="1"/>
  <c r="BC486" i="76" s="1"/>
  <c r="AO486" i="76"/>
  <c r="AN486" i="76"/>
  <c r="AL486" i="76"/>
  <c r="AJ486" i="76"/>
  <c r="BA486" i="76" s="1"/>
  <c r="AP485" i="76"/>
  <c r="AN485" i="76"/>
  <c r="AJ485" i="76"/>
  <c r="BW484" i="76"/>
  <c r="AY484" i="76"/>
  <c r="AV484" i="76" a="1"/>
  <c r="AV484" i="76" s="1"/>
  <c r="AU484" i="76"/>
  <c r="AT484" i="76"/>
  <c r="AX484" i="76" s="1"/>
  <c r="BD484" i="76" s="1"/>
  <c r="AQ484" i="76"/>
  <c r="AP484" i="76"/>
  <c r="AO484" i="76"/>
  <c r="AN484" i="76"/>
  <c r="AM484" i="76"/>
  <c r="AL484" i="76"/>
  <c r="AK484" i="76" a="1"/>
  <c r="AK484" i="76" s="1"/>
  <c r="AJ484" i="76"/>
  <c r="BA484" i="76" s="1"/>
  <c r="AI484" i="76"/>
  <c r="AH484" i="76"/>
  <c r="AG484" i="76"/>
  <c r="AF484" i="76"/>
  <c r="AE484" i="76"/>
  <c r="AU483" i="76"/>
  <c r="AJ483" i="76"/>
  <c r="BA482" i="76"/>
  <c r="AL482" i="76"/>
  <c r="AT482" i="76" s="1"/>
  <c r="AJ482" i="76"/>
  <c r="AY481" i="76"/>
  <c r="AU481" i="76"/>
  <c r="AJ481" i="76"/>
  <c r="AJ480" i="76"/>
  <c r="BA479" i="76"/>
  <c r="AY479" i="76"/>
  <c r="AO479" i="76"/>
  <c r="AJ479" i="76"/>
  <c r="AU478" i="76"/>
  <c r="AT478" i="76"/>
  <c r="AP478" i="76"/>
  <c r="AO478" i="76"/>
  <c r="AN478" i="76"/>
  <c r="AL478" i="76"/>
  <c r="AJ478" i="76"/>
  <c r="BF477" i="76"/>
  <c r="AZ477" i="76" s="1"/>
  <c r="BD477" i="76"/>
  <c r="BC477" i="76"/>
  <c r="BA477" i="76"/>
  <c r="AY477" i="76"/>
  <c r="AV477" i="76" a="1"/>
  <c r="AV477" i="76" s="1"/>
  <c r="AU477" i="76"/>
  <c r="AT477" i="76"/>
  <c r="AQ477" i="76"/>
  <c r="AO477" i="76"/>
  <c r="AN477" i="76"/>
  <c r="AP477" i="76" s="1"/>
  <c r="AJ477" i="76"/>
  <c r="AL477" i="76" s="1"/>
  <c r="AF477" i="76"/>
  <c r="AX477" i="76" s="1"/>
  <c r="AE477" i="76"/>
  <c r="BA476" i="76"/>
  <c r="AY476" i="76"/>
  <c r="AV476" i="76" a="1"/>
  <c r="AV476" i="76" s="1"/>
  <c r="AU476" i="76"/>
  <c r="AO476" i="76"/>
  <c r="AN476" i="76"/>
  <c r="AL476" i="76"/>
  <c r="AT476" i="76" s="1"/>
  <c r="AX476" i="76" s="1"/>
  <c r="BD476" i="76" s="1"/>
  <c r="AJ476" i="76"/>
  <c r="AF476" i="76"/>
  <c r="AJ475" i="76"/>
  <c r="AJ474" i="76"/>
  <c r="BA473" i="76"/>
  <c r="AY473" i="76"/>
  <c r="AJ473" i="76"/>
  <c r="BA472" i="76"/>
  <c r="AV472" i="76" a="1"/>
  <c r="AV472" i="76" s="1"/>
  <c r="AU472" i="76"/>
  <c r="AJ472" i="76"/>
  <c r="AJ471" i="76"/>
  <c r="BA470" i="76"/>
  <c r="AY470" i="76"/>
  <c r="AV470" i="76" a="1"/>
  <c r="AV470" i="76" s="1"/>
  <c r="AO470" i="76"/>
  <c r="AN470" i="76"/>
  <c r="AL470" i="76"/>
  <c r="AT470" i="76" s="1"/>
  <c r="AJ470" i="76"/>
  <c r="AU470" i="76" s="1"/>
  <c r="AF470" i="76"/>
  <c r="AY469" i="76"/>
  <c r="AO469" i="76"/>
  <c r="AL469" i="76"/>
  <c r="AT469" i="76" s="1"/>
  <c r="AJ469" i="76"/>
  <c r="BF468" i="76"/>
  <c r="AZ468" i="76" s="1"/>
  <c r="BD468" i="76"/>
  <c r="BC468" i="76"/>
  <c r="AY468" i="76"/>
  <c r="AV468" i="76"/>
  <c r="AV468" i="76" a="1"/>
  <c r="AU468" i="76"/>
  <c r="AT468" i="76"/>
  <c r="AP468" i="76"/>
  <c r="AQ468" i="76" s="1"/>
  <c r="AO468" i="76"/>
  <c r="AN468" i="76"/>
  <c r="AL468" i="76"/>
  <c r="AJ468" i="76"/>
  <c r="BA468" i="76" s="1"/>
  <c r="AF468" i="76"/>
  <c r="AX468" i="76" s="1"/>
  <c r="BA467" i="76"/>
  <c r="AU467" i="76"/>
  <c r="AO467" i="76"/>
  <c r="AN467" i="76"/>
  <c r="AL467" i="76"/>
  <c r="AT467" i="76" s="1"/>
  <c r="AJ467" i="76"/>
  <c r="AV466" i="76" a="1"/>
  <c r="AV466" i="76" s="1"/>
  <c r="AU466" i="76"/>
  <c r="AJ466" i="76"/>
  <c r="BA465" i="76"/>
  <c r="AY465" i="76"/>
  <c r="AV465" i="76" a="1"/>
  <c r="AV465" i="76" s="1"/>
  <c r="AU465" i="76"/>
  <c r="AT465" i="76"/>
  <c r="AO465" i="76"/>
  <c r="AN465" i="76"/>
  <c r="AP465" i="76" s="1"/>
  <c r="AL465" i="76"/>
  <c r="AJ465" i="76"/>
  <c r="BA464" i="76"/>
  <c r="AJ464" i="76"/>
  <c r="BA463" i="76"/>
  <c r="AJ463" i="76"/>
  <c r="BA462" i="76"/>
  <c r="AY462" i="76"/>
  <c r="AV462" i="76" a="1"/>
  <c r="AV462" i="76" s="1"/>
  <c r="AU462" i="76"/>
  <c r="AT462" i="76"/>
  <c r="AP462" i="76"/>
  <c r="BF462" i="76" s="1"/>
  <c r="AZ462" i="76" s="1"/>
  <c r="AO462" i="76"/>
  <c r="AN462" i="76"/>
  <c r="AL462" i="76"/>
  <c r="AJ462" i="76"/>
  <c r="BA461" i="76"/>
  <c r="AY461" i="76"/>
  <c r="AV461" i="76" a="1"/>
  <c r="AV461" i="76" s="1"/>
  <c r="AU461" i="76"/>
  <c r="AL461" i="76"/>
  <c r="AT461" i="76" s="1"/>
  <c r="AJ461" i="76"/>
  <c r="AV460" i="76"/>
  <c r="AV460" i="76" a="1"/>
  <c r="AU460" i="76"/>
  <c r="AL460" i="76"/>
  <c r="AT460" i="76" s="1"/>
  <c r="AJ460" i="76"/>
  <c r="BA459" i="76"/>
  <c r="AY459" i="76"/>
  <c r="AO459" i="76"/>
  <c r="AN459" i="76"/>
  <c r="AJ459" i="76"/>
  <c r="AP458" i="76"/>
  <c r="AO458" i="76"/>
  <c r="AN458" i="76"/>
  <c r="AL458" i="76"/>
  <c r="AT458" i="76" s="1"/>
  <c r="AJ458" i="76"/>
  <c r="AF458" i="76"/>
  <c r="AE458" i="76"/>
  <c r="BA457" i="76"/>
  <c r="AY457" i="76"/>
  <c r="AU457" i="76"/>
  <c r="AO457" i="76"/>
  <c r="AN457" i="76"/>
  <c r="AL457" i="76"/>
  <c r="AT457" i="76" s="1"/>
  <c r="AJ457" i="76"/>
  <c r="AV457" i="76" s="1" a="1"/>
  <c r="AV457" i="76" s="1"/>
  <c r="AF457" i="76"/>
  <c r="BA456" i="76"/>
  <c r="AY456" i="76"/>
  <c r="AV456" i="76" a="1"/>
  <c r="AV456" i="76" s="1"/>
  <c r="AU456" i="76"/>
  <c r="AO456" i="76"/>
  <c r="AJ456" i="76"/>
  <c r="AV455" i="76" a="1"/>
  <c r="AV455" i="76" s="1"/>
  <c r="AJ455" i="76"/>
  <c r="BA454" i="76"/>
  <c r="AV454" i="76" a="1"/>
  <c r="AV454" i="76" s="1"/>
  <c r="AN454" i="76"/>
  <c r="AJ454" i="76"/>
  <c r="AF454" i="76"/>
  <c r="AE454" i="76"/>
  <c r="BA453" i="76"/>
  <c r="AZ453" i="76"/>
  <c r="AY453" i="76"/>
  <c r="AV453" i="76"/>
  <c r="AV453" i="76" a="1"/>
  <c r="AU453" i="76"/>
  <c r="AT453" i="76"/>
  <c r="AP453" i="76"/>
  <c r="BF453" i="76" s="1"/>
  <c r="AO453" i="76"/>
  <c r="AL453" i="76"/>
  <c r="AJ453" i="76"/>
  <c r="AN453" i="76" s="1"/>
  <c r="AF453" i="76"/>
  <c r="AY452" i="76"/>
  <c r="AX452" i="76"/>
  <c r="BD452" i="76" s="1"/>
  <c r="AV452" i="76" a="1"/>
  <c r="AV452" i="76" s="1"/>
  <c r="AU452" i="76"/>
  <c r="AO452" i="76"/>
  <c r="AN452" i="76"/>
  <c r="AL452" i="76"/>
  <c r="AT452" i="76" s="1"/>
  <c r="AJ452" i="76"/>
  <c r="BA452" i="76" s="1"/>
  <c r="AF452" i="76"/>
  <c r="AO451" i="76"/>
  <c r="AJ451" i="76"/>
  <c r="AT450" i="76"/>
  <c r="AP450" i="76"/>
  <c r="AN450" i="76"/>
  <c r="AL450" i="76"/>
  <c r="AJ450" i="76"/>
  <c r="AV449" i="76" a="1"/>
  <c r="AV449" i="76" s="1"/>
  <c r="AU449" i="76"/>
  <c r="AL449" i="76"/>
  <c r="AT449" i="76" s="1"/>
  <c r="AJ449" i="76"/>
  <c r="BA448" i="76"/>
  <c r="AY448" i="76"/>
  <c r="AV448" i="76" a="1"/>
  <c r="AV448" i="76" s="1"/>
  <c r="AU448" i="76"/>
  <c r="AO448" i="76"/>
  <c r="AN448" i="76"/>
  <c r="AL448" i="76"/>
  <c r="AT448" i="76" s="1"/>
  <c r="AJ448" i="76"/>
  <c r="AJ447" i="76"/>
  <c r="AJ446" i="76"/>
  <c r="BA445" i="76"/>
  <c r="AY445" i="76"/>
  <c r="AU445" i="76"/>
  <c r="AP445" i="76"/>
  <c r="AO445" i="76"/>
  <c r="AN445" i="76"/>
  <c r="AL445" i="76"/>
  <c r="AT445" i="76" s="1"/>
  <c r="AJ445" i="76"/>
  <c r="AV445" i="76" s="1" a="1"/>
  <c r="AV445" i="76" s="1"/>
  <c r="BA444" i="76"/>
  <c r="AY444" i="76"/>
  <c r="AJ444" i="76"/>
  <c r="AV443" i="76" a="1"/>
  <c r="AV443" i="76" s="1"/>
  <c r="AJ443" i="76"/>
  <c r="AV442" i="76"/>
  <c r="AV442" i="76" a="1"/>
  <c r="AU442" i="76"/>
  <c r="AJ442" i="76"/>
  <c r="BA441" i="76"/>
  <c r="AY441" i="76"/>
  <c r="AV441" i="76"/>
  <c r="AV441" i="76" a="1"/>
  <c r="AU441" i="76"/>
  <c r="AO441" i="76"/>
  <c r="AN441" i="76"/>
  <c r="AL441" i="76"/>
  <c r="AT441" i="76" s="1"/>
  <c r="AJ441" i="76"/>
  <c r="AF441" i="76"/>
  <c r="AE441" i="76"/>
  <c r="AL440" i="76"/>
  <c r="AT440" i="76" s="1"/>
  <c r="AJ440" i="76"/>
  <c r="BA439" i="76"/>
  <c r="AY439" i="76"/>
  <c r="AU439" i="76"/>
  <c r="AJ439" i="76"/>
  <c r="BA438" i="76"/>
  <c r="AV438" i="76" a="1"/>
  <c r="AV438" i="76" s="1"/>
  <c r="AT438" i="76"/>
  <c r="AP438" i="76"/>
  <c r="BF438" i="76" s="1"/>
  <c r="AZ438" i="76" s="1"/>
  <c r="AO438" i="76"/>
  <c r="AN438" i="76"/>
  <c r="AL438" i="76"/>
  <c r="AJ438" i="76"/>
  <c r="BA437" i="76"/>
  <c r="AY437" i="76"/>
  <c r="AV437" i="76" a="1"/>
  <c r="AV437" i="76" s="1"/>
  <c r="AU437" i="76"/>
  <c r="AT437" i="76"/>
  <c r="AL437" i="76"/>
  <c r="AJ437" i="76"/>
  <c r="AY436" i="76"/>
  <c r="AV436" i="76" a="1"/>
  <c r="AV436" i="76" s="1"/>
  <c r="AU436" i="76"/>
  <c r="AO436" i="76"/>
  <c r="AN436" i="76"/>
  <c r="AL436" i="76"/>
  <c r="AT436" i="76" s="1"/>
  <c r="AJ436" i="76"/>
  <c r="BA436" i="76" s="1"/>
  <c r="AF436" i="76"/>
  <c r="BA435" i="76"/>
  <c r="AY435" i="76"/>
  <c r="AO435" i="76"/>
  <c r="AN435" i="76"/>
  <c r="AL435" i="76"/>
  <c r="AT435" i="76" s="1"/>
  <c r="AJ435" i="76"/>
  <c r="AJ434" i="76"/>
  <c r="AN434" i="76" s="1"/>
  <c r="BA433" i="76"/>
  <c r="AV433" i="76" a="1"/>
  <c r="AV433" i="76" s="1"/>
  <c r="AU433" i="76"/>
  <c r="AO433" i="76"/>
  <c r="AN433" i="76"/>
  <c r="AL433" i="76"/>
  <c r="AT433" i="76" s="1"/>
  <c r="AJ433" i="76"/>
  <c r="AY433" i="76" s="1"/>
  <c r="BA432" i="76"/>
  <c r="AY432" i="76"/>
  <c r="AV432" i="76" a="1"/>
  <c r="AV432" i="76" s="1"/>
  <c r="AU432" i="76"/>
  <c r="AL432" i="76"/>
  <c r="AT432" i="76" s="1"/>
  <c r="AJ432" i="76"/>
  <c r="AJ431" i="76"/>
  <c r="AV430" i="76" a="1"/>
  <c r="AV430" i="76" s="1"/>
  <c r="AU430" i="76"/>
  <c r="AJ430" i="76"/>
  <c r="BA429" i="76"/>
  <c r="AY429" i="76"/>
  <c r="AJ429" i="76"/>
  <c r="AJ428" i="76"/>
  <c r="BA427" i="76"/>
  <c r="AY427" i="76"/>
  <c r="AV427" i="76"/>
  <c r="AV427" i="76" a="1"/>
  <c r="AU427" i="76"/>
  <c r="AN427" i="76"/>
  <c r="AJ427" i="76"/>
  <c r="AF427" i="76"/>
  <c r="AE427" i="76"/>
  <c r="BA426" i="76"/>
  <c r="AY426" i="76"/>
  <c r="AJ426" i="76"/>
  <c r="BA425" i="76"/>
  <c r="AU425" i="76"/>
  <c r="AO425" i="76"/>
  <c r="AN425" i="76"/>
  <c r="AJ425" i="76"/>
  <c r="BW424" i="76"/>
  <c r="BA424" i="76"/>
  <c r="AY424" i="76"/>
  <c r="AU424" i="76"/>
  <c r="AO424" i="76"/>
  <c r="AN424" i="76"/>
  <c r="AL424" i="76"/>
  <c r="AT424" i="76" s="1"/>
  <c r="AJ424" i="76"/>
  <c r="AV424" i="76" s="1" a="1"/>
  <c r="AV424" i="76" s="1"/>
  <c r="AF424" i="76"/>
  <c r="AE424" i="76"/>
  <c r="BA423" i="76"/>
  <c r="AY423" i="76"/>
  <c r="AV423" i="76" a="1"/>
  <c r="AV423" i="76" s="1"/>
  <c r="AU423" i="76"/>
  <c r="AT423" i="76"/>
  <c r="AO423" i="76"/>
  <c r="AN423" i="76"/>
  <c r="AJ423" i="76"/>
  <c r="AL423" i="76" s="1"/>
  <c r="AF423" i="76"/>
  <c r="AE423" i="76" s="1"/>
  <c r="BA422" i="76"/>
  <c r="AP422" i="76"/>
  <c r="AO422" i="76"/>
  <c r="AN422" i="76"/>
  <c r="AL422" i="76"/>
  <c r="AT422" i="76" s="1"/>
  <c r="AJ422" i="76"/>
  <c r="BA421" i="76"/>
  <c r="AY421" i="76"/>
  <c r="AV421" i="76" a="1"/>
  <c r="AV421" i="76" s="1"/>
  <c r="AU421" i="76"/>
  <c r="AP421" i="76"/>
  <c r="AO421" i="76"/>
  <c r="AN421" i="76"/>
  <c r="AL421" i="76"/>
  <c r="AT421" i="76" s="1"/>
  <c r="AJ421" i="76"/>
  <c r="AJ420" i="76"/>
  <c r="BA419" i="76"/>
  <c r="AX419" i="76"/>
  <c r="BD419" i="76" s="1"/>
  <c r="AV419" i="76"/>
  <c r="AV419" i="76" a="1"/>
  <c r="AU419" i="76"/>
  <c r="AQ419" i="76"/>
  <c r="AP419" i="76"/>
  <c r="AO419" i="76"/>
  <c r="AN419" i="76"/>
  <c r="AL419" i="76"/>
  <c r="AT419" i="76" s="1"/>
  <c r="AJ419" i="76"/>
  <c r="AY419" i="76" s="1"/>
  <c r="AG419" i="76"/>
  <c r="AF419" i="76"/>
  <c r="AE419" i="76"/>
  <c r="AY418" i="76"/>
  <c r="AV418" i="76" a="1"/>
  <c r="AV418" i="76" s="1"/>
  <c r="AL418" i="76"/>
  <c r="AT418" i="76" s="1"/>
  <c r="AJ418" i="76"/>
  <c r="AJ417" i="76"/>
  <c r="AY417" i="76" s="1"/>
  <c r="AY416" i="76"/>
  <c r="AV416" i="76"/>
  <c r="AV416" i="76" a="1"/>
  <c r="AU416" i="76"/>
  <c r="AO416" i="76"/>
  <c r="AN416" i="76"/>
  <c r="AL416" i="76"/>
  <c r="AT416" i="76" s="1"/>
  <c r="AJ416" i="76"/>
  <c r="BA416" i="76" s="1"/>
  <c r="BA415" i="76"/>
  <c r="AY415" i="76"/>
  <c r="AT415" i="76"/>
  <c r="AP415" i="76"/>
  <c r="AO415" i="76"/>
  <c r="AN415" i="76"/>
  <c r="AL415" i="76"/>
  <c r="AJ415" i="76"/>
  <c r="AV414" i="76" a="1"/>
  <c r="AV414" i="76" s="1"/>
  <c r="AU414" i="76"/>
  <c r="AJ414" i="76"/>
  <c r="AY413" i="76"/>
  <c r="AV413" i="76" a="1"/>
  <c r="AV413" i="76" s="1"/>
  <c r="AU413" i="76"/>
  <c r="AO413" i="76"/>
  <c r="AN413" i="76"/>
  <c r="AL413" i="76"/>
  <c r="AT413" i="76" s="1"/>
  <c r="AJ413" i="76"/>
  <c r="BA413" i="76" s="1"/>
  <c r="AY412" i="76"/>
  <c r="AU412" i="76"/>
  <c r="AO412" i="76"/>
  <c r="AN412" i="76"/>
  <c r="AL412" i="76"/>
  <c r="AT412" i="76" s="1"/>
  <c r="AJ412" i="76"/>
  <c r="AY411" i="76"/>
  <c r="AV411" i="76" a="1"/>
  <c r="AV411" i="76" s="1"/>
  <c r="AU411" i="76"/>
  <c r="AN411" i="76"/>
  <c r="AJ411" i="76"/>
  <c r="BA410" i="76"/>
  <c r="AY410" i="76"/>
  <c r="AV410" i="76" a="1"/>
  <c r="AV410" i="76" s="1"/>
  <c r="AN410" i="76"/>
  <c r="AL410" i="76"/>
  <c r="AT410" i="76" s="1"/>
  <c r="AJ410" i="76"/>
  <c r="AU409" i="76"/>
  <c r="AO409" i="76"/>
  <c r="AN409" i="76"/>
  <c r="AJ409" i="76"/>
  <c r="BA408" i="76"/>
  <c r="AY408" i="76"/>
  <c r="AX408" i="76"/>
  <c r="BD408" i="76" s="1"/>
  <c r="AV408" i="76" a="1"/>
  <c r="AV408" i="76" s="1"/>
  <c r="AU408" i="76"/>
  <c r="AT408" i="76"/>
  <c r="AN408" i="76"/>
  <c r="AL408" i="76"/>
  <c r="AJ408" i="76"/>
  <c r="AO408" i="76" s="1"/>
  <c r="AF408" i="76"/>
  <c r="BA407" i="76"/>
  <c r="AY407" i="76"/>
  <c r="AV407" i="76"/>
  <c r="AV407" i="76" a="1"/>
  <c r="AU407" i="76"/>
  <c r="AT407" i="76"/>
  <c r="AO407" i="76"/>
  <c r="AN407" i="76"/>
  <c r="AJ407" i="76"/>
  <c r="AL407" i="76" s="1"/>
  <c r="AF407" i="76"/>
  <c r="BA406" i="76"/>
  <c r="AV406" i="76" a="1"/>
  <c r="AV406" i="76" s="1"/>
  <c r="AO406" i="76"/>
  <c r="AN406" i="76"/>
  <c r="AL406" i="76"/>
  <c r="AT406" i="76" s="1"/>
  <c r="AJ406" i="76"/>
  <c r="AV405" i="76" a="1"/>
  <c r="AV405" i="76" s="1"/>
  <c r="AU405" i="76"/>
  <c r="AJ405" i="76"/>
  <c r="BA404" i="76"/>
  <c r="AU404" i="76"/>
  <c r="AO404" i="76"/>
  <c r="AN404" i="76"/>
  <c r="AL404" i="76"/>
  <c r="AT404" i="76" s="1"/>
  <c r="AJ404" i="76"/>
  <c r="BA403" i="76"/>
  <c r="AY403" i="76"/>
  <c r="AV403" i="76" a="1"/>
  <c r="AV403" i="76" s="1"/>
  <c r="AU403" i="76"/>
  <c r="AT403" i="76"/>
  <c r="AL403" i="76"/>
  <c r="AJ403" i="76"/>
  <c r="AJ402" i="76"/>
  <c r="AO401" i="76"/>
  <c r="AL401" i="76"/>
  <c r="AT401" i="76" s="1"/>
  <c r="AJ401" i="76"/>
  <c r="AY400" i="76"/>
  <c r="AV400" i="76" a="1"/>
  <c r="AV400" i="76" s="1"/>
  <c r="AU400" i="76"/>
  <c r="AP400" i="76"/>
  <c r="AQ400" i="76" s="1"/>
  <c r="AO400" i="76"/>
  <c r="AN400" i="76"/>
  <c r="AL400" i="76"/>
  <c r="AT400" i="76" s="1"/>
  <c r="AJ400" i="76"/>
  <c r="BA400" i="76" s="1"/>
  <c r="AF400" i="76"/>
  <c r="BA399" i="76"/>
  <c r="AO399" i="76"/>
  <c r="AN399" i="76"/>
  <c r="AL399" i="76"/>
  <c r="AT399" i="76" s="1"/>
  <c r="AJ399" i="76"/>
  <c r="BA398" i="76"/>
  <c r="AY398" i="76"/>
  <c r="AV398" i="76" a="1"/>
  <c r="AV398" i="76" s="1"/>
  <c r="AU398" i="76"/>
  <c r="AN398" i="76"/>
  <c r="AJ398" i="76"/>
  <c r="AF398" i="76"/>
  <c r="AJ397" i="76"/>
  <c r="AJ396" i="76"/>
  <c r="AO395" i="76"/>
  <c r="AN395" i="76"/>
  <c r="AJ395" i="76"/>
  <c r="BA394" i="76"/>
  <c r="AY394" i="76"/>
  <c r="AV394" i="76" a="1"/>
  <c r="AV394" i="76" s="1"/>
  <c r="AU394" i="76"/>
  <c r="AT394" i="76"/>
  <c r="AP394" i="76"/>
  <c r="AO394" i="76"/>
  <c r="AN394" i="76"/>
  <c r="AJ394" i="76"/>
  <c r="AL394" i="76" s="1"/>
  <c r="AP393" i="76"/>
  <c r="AO393" i="76"/>
  <c r="AN393" i="76"/>
  <c r="AJ393" i="76"/>
  <c r="BA392" i="76"/>
  <c r="AY392" i="76"/>
  <c r="AV392" i="76" a="1"/>
  <c r="AV392" i="76" s="1"/>
  <c r="AU392" i="76"/>
  <c r="AO392" i="76"/>
  <c r="AN392" i="76"/>
  <c r="AL392" i="76"/>
  <c r="AT392" i="76" s="1"/>
  <c r="AJ392" i="76"/>
  <c r="AV391" i="76" a="1"/>
  <c r="AV391" i="76" s="1"/>
  <c r="AJ391" i="76"/>
  <c r="AO391" i="76" s="1"/>
  <c r="BA390" i="76"/>
  <c r="AV390" i="76" a="1"/>
  <c r="AV390" i="76" s="1"/>
  <c r="AU390" i="76"/>
  <c r="AO390" i="76"/>
  <c r="AN390" i="76"/>
  <c r="AL390" i="76"/>
  <c r="AT390" i="76" s="1"/>
  <c r="AJ390" i="76"/>
  <c r="AY390" i="76" s="1"/>
  <c r="BA389" i="76"/>
  <c r="AY389" i="76"/>
  <c r="AV389" i="76" a="1"/>
  <c r="AV389" i="76" s="1"/>
  <c r="AN389" i="76"/>
  <c r="AL389" i="76"/>
  <c r="AT389" i="76" s="1"/>
  <c r="AJ389" i="76"/>
  <c r="AY388" i="76"/>
  <c r="AV388" i="76"/>
  <c r="AV388" i="76" a="1"/>
  <c r="AJ388" i="76"/>
  <c r="AY387" i="76"/>
  <c r="AV387" i="76"/>
  <c r="AV387" i="76" a="1"/>
  <c r="AU387" i="76"/>
  <c r="AT387" i="76"/>
  <c r="AX387" i="76" s="1"/>
  <c r="BD387" i="76" s="1"/>
  <c r="AO387" i="76"/>
  <c r="AN387" i="76"/>
  <c r="AL387" i="76"/>
  <c r="AJ387" i="76"/>
  <c r="BA387" i="76" s="1"/>
  <c r="AF387" i="76"/>
  <c r="AE387" i="76"/>
  <c r="AG387" i="76" s="1"/>
  <c r="BA386" i="76"/>
  <c r="AY386" i="76"/>
  <c r="AT386" i="76"/>
  <c r="AP386" i="76"/>
  <c r="AO386" i="76"/>
  <c r="AN386" i="76"/>
  <c r="AL386" i="76"/>
  <c r="AJ386" i="76"/>
  <c r="BA385" i="76"/>
  <c r="AY385" i="76"/>
  <c r="AV385" i="76"/>
  <c r="AV385" i="76" a="1"/>
  <c r="AU385" i="76"/>
  <c r="AL385" i="76"/>
  <c r="AT385" i="76" s="1"/>
  <c r="AJ385" i="76"/>
  <c r="BW384" i="76"/>
  <c r="AY384" i="76"/>
  <c r="AX384" i="76"/>
  <c r="BD384" i="76" s="1"/>
  <c r="AV384" i="76"/>
  <c r="AV384" i="76" a="1"/>
  <c r="AU384" i="76"/>
  <c r="AO384" i="76"/>
  <c r="AN384" i="76"/>
  <c r="AM384" i="76"/>
  <c r="AL384" i="76"/>
  <c r="AT384" i="76" s="1"/>
  <c r="AJ384" i="76"/>
  <c r="BA384" i="76" s="1"/>
  <c r="AF384" i="76"/>
  <c r="AE384" i="76"/>
  <c r="AJ383" i="76"/>
  <c r="AY382" i="76"/>
  <c r="AV382" i="76" a="1"/>
  <c r="AV382" i="76" s="1"/>
  <c r="AU382" i="76"/>
  <c r="AL382" i="76"/>
  <c r="AT382" i="76" s="1"/>
  <c r="AJ382" i="76"/>
  <c r="BA381" i="76"/>
  <c r="AY381" i="76"/>
  <c r="AX381" i="76"/>
  <c r="BD381" i="76" s="1"/>
  <c r="AV381" i="76" a="1"/>
  <c r="AV381" i="76" s="1"/>
  <c r="AU381" i="76"/>
  <c r="AN381" i="76"/>
  <c r="AM381" i="76"/>
  <c r="AL381" i="76"/>
  <c r="AT381" i="76" s="1"/>
  <c r="AJ381" i="76"/>
  <c r="AO381" i="76" s="1"/>
  <c r="AF381" i="76"/>
  <c r="AE381" i="76"/>
  <c r="AJ380" i="76"/>
  <c r="AJ379" i="76"/>
  <c r="AJ378" i="76"/>
  <c r="BA377" i="76"/>
  <c r="AV377" i="76" a="1"/>
  <c r="AV377" i="76" s="1"/>
  <c r="AU377" i="76"/>
  <c r="AJ377" i="76"/>
  <c r="BF376" i="76"/>
  <c r="AZ376" i="76" s="1"/>
  <c r="BC376" i="76"/>
  <c r="BA376" i="76"/>
  <c r="AV376" i="76"/>
  <c r="AV376" i="76" a="1"/>
  <c r="AU376" i="76"/>
  <c r="AP376" i="76"/>
  <c r="AO376" i="76"/>
  <c r="AN376" i="76"/>
  <c r="AL376" i="76"/>
  <c r="AT376" i="76" s="1"/>
  <c r="AJ376" i="76"/>
  <c r="AY376" i="76" s="1"/>
  <c r="BA375" i="76"/>
  <c r="AY375" i="76"/>
  <c r="AV375" i="76"/>
  <c r="AV375" i="76" a="1"/>
  <c r="AU375" i="76"/>
  <c r="AJ375" i="76"/>
  <c r="AJ374" i="76"/>
  <c r="AJ373" i="76"/>
  <c r="BA372" i="76"/>
  <c r="AJ372" i="76"/>
  <c r="BF371" i="76"/>
  <c r="AZ371" i="76" s="1"/>
  <c r="BC371" i="76"/>
  <c r="AY371" i="76"/>
  <c r="AX371" i="76"/>
  <c r="BD371" i="76" s="1"/>
  <c r="AV371" i="76" a="1"/>
  <c r="AV371" i="76" s="1"/>
  <c r="AU371" i="76"/>
  <c r="AT371" i="76"/>
  <c r="AP371" i="76"/>
  <c r="AO371" i="76"/>
  <c r="AN371" i="76"/>
  <c r="AL371" i="76"/>
  <c r="AJ371" i="76"/>
  <c r="BA371" i="76" s="1"/>
  <c r="AF371" i="76"/>
  <c r="AQ371" i="76" s="1"/>
  <c r="AE371" i="76"/>
  <c r="AJ370" i="76"/>
  <c r="BA369" i="76"/>
  <c r="AY369" i="76"/>
  <c r="AU369" i="76"/>
  <c r="AJ369" i="76"/>
  <c r="AY368" i="76"/>
  <c r="AV368" i="76" a="1"/>
  <c r="AV368" i="76" s="1"/>
  <c r="AU368" i="76"/>
  <c r="AO368" i="76"/>
  <c r="AN368" i="76"/>
  <c r="AL368" i="76"/>
  <c r="AT368" i="76" s="1"/>
  <c r="AJ368" i="76"/>
  <c r="BA368" i="76" s="1"/>
  <c r="BA367" i="76"/>
  <c r="AY367" i="76"/>
  <c r="AU367" i="76"/>
  <c r="AP367" i="76"/>
  <c r="BF367" i="76" s="1"/>
  <c r="AZ367" i="76" s="1"/>
  <c r="BC367" i="76" s="1"/>
  <c r="AO367" i="76"/>
  <c r="AN367" i="76"/>
  <c r="AJ367" i="76"/>
  <c r="AJ366" i="76"/>
  <c r="BA365" i="76"/>
  <c r="AY365" i="76"/>
  <c r="AV365" i="76"/>
  <c r="AV365" i="76" a="1"/>
  <c r="AU365" i="76"/>
  <c r="AO365" i="76"/>
  <c r="AN365" i="76"/>
  <c r="AP365" i="76" s="1"/>
  <c r="AJ365" i="76"/>
  <c r="AL365" i="76" s="1"/>
  <c r="AT365" i="76" s="1"/>
  <c r="AY364" i="76"/>
  <c r="AP364" i="76"/>
  <c r="AO364" i="76"/>
  <c r="AN364" i="76"/>
  <c r="AL364" i="76"/>
  <c r="AT364" i="76" s="1"/>
  <c r="AJ364" i="76"/>
  <c r="BA363" i="76"/>
  <c r="AY363" i="76"/>
  <c r="AV363" i="76" a="1"/>
  <c r="AV363" i="76" s="1"/>
  <c r="AU363" i="76"/>
  <c r="AT363" i="76"/>
  <c r="AO363" i="76"/>
  <c r="AN363" i="76"/>
  <c r="AL363" i="76"/>
  <c r="AJ363" i="76"/>
  <c r="AJ362" i="76"/>
  <c r="BA361" i="76"/>
  <c r="AL361" i="76"/>
  <c r="AT361" i="76" s="1"/>
  <c r="AJ361" i="76"/>
  <c r="AO360" i="76"/>
  <c r="AJ360" i="76"/>
  <c r="BA359" i="76"/>
  <c r="AY359" i="76"/>
  <c r="AV359" i="76"/>
  <c r="AV359" i="76" a="1"/>
  <c r="AU359" i="76"/>
  <c r="AT359" i="76"/>
  <c r="AO359" i="76"/>
  <c r="AN359" i="76"/>
  <c r="AJ359" i="76"/>
  <c r="AL359" i="76" s="1"/>
  <c r="BA358" i="76"/>
  <c r="AV358" i="76" a="1"/>
  <c r="AV358" i="76" s="1"/>
  <c r="AN358" i="76"/>
  <c r="AL358" i="76"/>
  <c r="AT358" i="76" s="1"/>
  <c r="AJ358" i="76"/>
  <c r="BF357" i="76"/>
  <c r="AZ357" i="76" s="1"/>
  <c r="BA357" i="76"/>
  <c r="AY357" i="76"/>
  <c r="AV357" i="76"/>
  <c r="AV357" i="76" a="1"/>
  <c r="AP357" i="76"/>
  <c r="AO357" i="76"/>
  <c r="AN357" i="76"/>
  <c r="AL357" i="76"/>
  <c r="AT357" i="76" s="1"/>
  <c r="AJ357" i="76"/>
  <c r="AU357" i="76" s="1"/>
  <c r="BA356" i="76"/>
  <c r="AZ356" i="76"/>
  <c r="BC356" i="76" s="1"/>
  <c r="AY356" i="76"/>
  <c r="AX356" i="76"/>
  <c r="BD356" i="76" s="1"/>
  <c r="AV356" i="76"/>
  <c r="AV356" i="76" a="1"/>
  <c r="AU356" i="76"/>
  <c r="AP356" i="76"/>
  <c r="BF356" i="76" s="1"/>
  <c r="AO356" i="76"/>
  <c r="AL356" i="76"/>
  <c r="AT356" i="76" s="1"/>
  <c r="AJ356" i="76"/>
  <c r="AN356" i="76" s="1"/>
  <c r="AF356" i="76"/>
  <c r="AQ356" i="76" s="1"/>
  <c r="AE356" i="76"/>
  <c r="AG356" i="76" s="1"/>
  <c r="BW355" i="76"/>
  <c r="AY355" i="76"/>
  <c r="AX355" i="76"/>
  <c r="BD355" i="76" s="1"/>
  <c r="AV355" i="76" a="1"/>
  <c r="AV355" i="76" s="1"/>
  <c r="AU355" i="76"/>
  <c r="AO355" i="76"/>
  <c r="AN355" i="76"/>
  <c r="AL355" i="76"/>
  <c r="AT355" i="76" s="1"/>
  <c r="AJ355" i="76"/>
  <c r="BA355" i="76" s="1"/>
  <c r="AF355" i="76"/>
  <c r="AE355" i="76"/>
  <c r="AK355" i="76" s="1" a="1"/>
  <c r="AK355" i="76" s="1"/>
  <c r="AJ354" i="76"/>
  <c r="AY353" i="76"/>
  <c r="AV353" i="76" a="1"/>
  <c r="AV353" i="76" s="1"/>
  <c r="AU353" i="76"/>
  <c r="AT353" i="76"/>
  <c r="AL353" i="76"/>
  <c r="AJ353" i="76"/>
  <c r="BW352" i="76"/>
  <c r="AY352" i="76"/>
  <c r="AX352" i="76"/>
  <c r="BD352" i="76" s="1"/>
  <c r="AV352" i="76" a="1"/>
  <c r="AV352" i="76" s="1"/>
  <c r="AU352" i="76"/>
  <c r="AO352" i="76"/>
  <c r="AN352" i="76"/>
  <c r="AM352" i="76"/>
  <c r="AL352" i="76"/>
  <c r="AT352" i="76" s="1"/>
  <c r="AK352" i="76"/>
  <c r="AJ352" i="76"/>
  <c r="BA352" i="76" s="1"/>
  <c r="AI352" i="76"/>
  <c r="AH352" i="76"/>
  <c r="AG352" i="76"/>
  <c r="AF352" i="76"/>
  <c r="AE352" i="76"/>
  <c r="AK352" i="76" s="1" a="1"/>
  <c r="BA351" i="76"/>
  <c r="AY351" i="76"/>
  <c r="AU351" i="76"/>
  <c r="AO351" i="76"/>
  <c r="AN351" i="76"/>
  <c r="AL351" i="76"/>
  <c r="AT351" i="76" s="1"/>
  <c r="AJ351" i="76"/>
  <c r="AV351" i="76" s="1" a="1"/>
  <c r="AV351" i="76" s="1"/>
  <c r="BA350" i="76"/>
  <c r="AY350" i="76"/>
  <c r="AV350" i="76" a="1"/>
  <c r="AV350" i="76" s="1"/>
  <c r="AU350" i="76"/>
  <c r="AN350" i="76"/>
  <c r="AL350" i="76"/>
  <c r="AT350" i="76" s="1"/>
  <c r="AJ350" i="76"/>
  <c r="AO350" i="76" s="1"/>
  <c r="AF350" i="76"/>
  <c r="AY349" i="76"/>
  <c r="AV349" i="76" a="1"/>
  <c r="AV349" i="76" s="1"/>
  <c r="AJ349" i="76"/>
  <c r="BA348" i="76"/>
  <c r="AU348" i="76"/>
  <c r="AJ348" i="76"/>
  <c r="AY347" i="76"/>
  <c r="AV347" i="76" a="1"/>
  <c r="AV347" i="76" s="1"/>
  <c r="AU347" i="76"/>
  <c r="AO347" i="76"/>
  <c r="AN347" i="76"/>
  <c r="AL347" i="76"/>
  <c r="AT347" i="76" s="1"/>
  <c r="AJ347" i="76"/>
  <c r="BA347" i="76" s="1"/>
  <c r="AJ346" i="76"/>
  <c r="AJ345" i="76"/>
  <c r="AJ344" i="76"/>
  <c r="BA343" i="76"/>
  <c r="AV343" i="76" a="1"/>
  <c r="AV343" i="76" s="1"/>
  <c r="AU343" i="76"/>
  <c r="AO343" i="76"/>
  <c r="AN343" i="76"/>
  <c r="AJ343" i="76"/>
  <c r="AJ342" i="76"/>
  <c r="AV341" i="76" a="1"/>
  <c r="AV341" i="76" s="1"/>
  <c r="AL341" i="76"/>
  <c r="AT341" i="76" s="1"/>
  <c r="AJ341" i="76"/>
  <c r="AJ340" i="76"/>
  <c r="AV340" i="76" s="1" a="1"/>
  <c r="AV340" i="76" s="1"/>
  <c r="AY339" i="76"/>
  <c r="AV339" i="76"/>
  <c r="AV339" i="76" a="1"/>
  <c r="AU339" i="76"/>
  <c r="AT339" i="76"/>
  <c r="AO339" i="76"/>
  <c r="AN339" i="76"/>
  <c r="AL339" i="76"/>
  <c r="AJ339" i="76"/>
  <c r="BA339" i="76" s="1"/>
  <c r="AF339" i="76"/>
  <c r="BF338" i="76"/>
  <c r="AZ338" i="76" s="1"/>
  <c r="BC338" i="76" s="1"/>
  <c r="AP338" i="76"/>
  <c r="AO338" i="76"/>
  <c r="AN338" i="76"/>
  <c r="AJ338" i="76"/>
  <c r="BA337" i="76"/>
  <c r="AY337" i="76"/>
  <c r="AV337" i="76" a="1"/>
  <c r="AV337" i="76" s="1"/>
  <c r="AU337" i="76"/>
  <c r="AT337" i="76"/>
  <c r="AL337" i="76"/>
  <c r="AJ337" i="76"/>
  <c r="AY336" i="76"/>
  <c r="AX336" i="76"/>
  <c r="BD336" i="76" s="1"/>
  <c r="AV336" i="76" a="1"/>
  <c r="AV336" i="76" s="1"/>
  <c r="AU336" i="76"/>
  <c r="AT336" i="76"/>
  <c r="AO336" i="76"/>
  <c r="AN336" i="76"/>
  <c r="AL336" i="76"/>
  <c r="AJ336" i="76"/>
  <c r="BA336" i="76" s="1"/>
  <c r="AF336" i="76"/>
  <c r="AE336" i="76"/>
  <c r="AU335" i="76"/>
  <c r="AO335" i="76"/>
  <c r="AN335" i="76"/>
  <c r="AJ335" i="76"/>
  <c r="BA334" i="76"/>
  <c r="AY334" i="76"/>
  <c r="AV334" i="76" a="1"/>
  <c r="AV334" i="76" s="1"/>
  <c r="AU334" i="76"/>
  <c r="AN334" i="76"/>
  <c r="AJ334" i="76"/>
  <c r="AF334" i="76"/>
  <c r="AE334" i="76"/>
  <c r="AJ333" i="76"/>
  <c r="AL333" i="76" s="1"/>
  <c r="AT333" i="76" s="1"/>
  <c r="AO332" i="76"/>
  <c r="AJ332" i="76"/>
  <c r="AU331" i="76"/>
  <c r="AT331" i="76"/>
  <c r="AO331" i="76"/>
  <c r="AN331" i="76"/>
  <c r="AL331" i="76"/>
  <c r="AJ331" i="76"/>
  <c r="BA330" i="76"/>
  <c r="AY330" i="76"/>
  <c r="AV330" i="76" a="1"/>
  <c r="AV330" i="76" s="1"/>
  <c r="AU330" i="76"/>
  <c r="AT330" i="76"/>
  <c r="AX330" i="76" s="1"/>
  <c r="BD330" i="76" s="1"/>
  <c r="AP330" i="76"/>
  <c r="AQ330" i="76" s="1"/>
  <c r="AO330" i="76"/>
  <c r="AN330" i="76"/>
  <c r="AJ330" i="76"/>
  <c r="AL330" i="76" s="1"/>
  <c r="AI330" i="76"/>
  <c r="AH330" i="76"/>
  <c r="AG330" i="76"/>
  <c r="AF330" i="76"/>
  <c r="AE330" i="76"/>
  <c r="BA329" i="76"/>
  <c r="AO329" i="76"/>
  <c r="AN329" i="76"/>
  <c r="AL329" i="76"/>
  <c r="AT329" i="76" s="1"/>
  <c r="AJ329" i="76"/>
  <c r="AF329" i="76"/>
  <c r="BA328" i="76"/>
  <c r="AY328" i="76"/>
  <c r="AV328" i="76"/>
  <c r="AV328" i="76" a="1"/>
  <c r="AU328" i="76"/>
  <c r="AO328" i="76"/>
  <c r="AN328" i="76"/>
  <c r="AP328" i="76" s="1"/>
  <c r="AL328" i="76"/>
  <c r="AT328" i="76" s="1"/>
  <c r="AJ328" i="76"/>
  <c r="BA327" i="76"/>
  <c r="AY327" i="76"/>
  <c r="AV327" i="76" a="1"/>
  <c r="AV327" i="76" s="1"/>
  <c r="AJ327" i="76"/>
  <c r="BA326" i="76"/>
  <c r="AX326" i="76"/>
  <c r="BD326" i="76" s="1"/>
  <c r="AV326" i="76"/>
  <c r="AV326" i="76" a="1"/>
  <c r="AU326" i="76"/>
  <c r="AP326" i="76"/>
  <c r="AO326" i="76"/>
  <c r="AN326" i="76"/>
  <c r="AM326" i="76"/>
  <c r="AL326" i="76"/>
  <c r="AT326" i="76" s="1"/>
  <c r="AJ326" i="76"/>
  <c r="AY326" i="76" s="1"/>
  <c r="AG326" i="76"/>
  <c r="AF326" i="76"/>
  <c r="AQ326" i="76" s="1"/>
  <c r="AE326" i="76"/>
  <c r="AY325" i="76"/>
  <c r="AJ325" i="76"/>
  <c r="AL325" i="76" s="1"/>
  <c r="AT325" i="76" s="1"/>
  <c r="AJ324" i="76"/>
  <c r="AY323" i="76"/>
  <c r="AV323" i="76" a="1"/>
  <c r="AV323" i="76" s="1"/>
  <c r="AU323" i="76"/>
  <c r="AO323" i="76"/>
  <c r="AN323" i="76"/>
  <c r="AL323" i="76"/>
  <c r="AT323" i="76" s="1"/>
  <c r="AJ323" i="76"/>
  <c r="BA323" i="76" s="1"/>
  <c r="AF323" i="76"/>
  <c r="AE323" i="76"/>
  <c r="BA322" i="76"/>
  <c r="AY322" i="76"/>
  <c r="AT322" i="76"/>
  <c r="AP322" i="76"/>
  <c r="AO322" i="76"/>
  <c r="AN322" i="76"/>
  <c r="AL322" i="76"/>
  <c r="AJ322" i="76"/>
  <c r="BA321" i="76"/>
  <c r="AY321" i="76"/>
  <c r="AV321" i="76" a="1"/>
  <c r="AV321" i="76" s="1"/>
  <c r="AU321" i="76"/>
  <c r="AL321" i="76"/>
  <c r="AT321" i="76" s="1"/>
  <c r="AJ321" i="76"/>
  <c r="AY320" i="76"/>
  <c r="AV320" i="76" a="1"/>
  <c r="AV320" i="76" s="1"/>
  <c r="AU320" i="76"/>
  <c r="AO320" i="76"/>
  <c r="AN320" i="76"/>
  <c r="AL320" i="76"/>
  <c r="AT320" i="76" s="1"/>
  <c r="AJ320" i="76"/>
  <c r="BA320" i="76" s="1"/>
  <c r="AJ319" i="76"/>
  <c r="AY318" i="76"/>
  <c r="AV318" i="76" a="1"/>
  <c r="AV318" i="76" s="1"/>
  <c r="AU318" i="76"/>
  <c r="AN318" i="76"/>
  <c r="AL318" i="76"/>
  <c r="AT318" i="76" s="1"/>
  <c r="AJ318" i="76"/>
  <c r="AF318" i="76"/>
  <c r="AE318" i="76"/>
  <c r="BA317" i="76"/>
  <c r="AY317" i="76"/>
  <c r="AJ317" i="76"/>
  <c r="AJ316" i="76"/>
  <c r="BA315" i="76"/>
  <c r="AY315" i="76"/>
  <c r="AL315" i="76"/>
  <c r="AT315" i="76" s="1"/>
  <c r="AJ315" i="76"/>
  <c r="BA314" i="76"/>
  <c r="AJ314" i="76"/>
  <c r="AJ313" i="76"/>
  <c r="AJ312" i="76"/>
  <c r="BA311" i="76"/>
  <c r="AY311" i="76"/>
  <c r="AV311" i="76"/>
  <c r="AV311" i="76" a="1"/>
  <c r="AU311" i="76"/>
  <c r="AJ311" i="76"/>
  <c r="BA310" i="76"/>
  <c r="AL310" i="76"/>
  <c r="AT310" i="76" s="1"/>
  <c r="AJ310" i="76"/>
  <c r="AJ309" i="76"/>
  <c r="BA308" i="76"/>
  <c r="AZ308" i="76"/>
  <c r="BC308" i="76" s="1"/>
  <c r="AY308" i="76"/>
  <c r="AV308" i="76" a="1"/>
  <c r="AV308" i="76" s="1"/>
  <c r="AU308" i="76"/>
  <c r="AT308" i="76"/>
  <c r="AP308" i="76"/>
  <c r="AQ308" i="76" s="1"/>
  <c r="AO308" i="76"/>
  <c r="AL308" i="76"/>
  <c r="AJ308" i="76"/>
  <c r="AN308" i="76" s="1"/>
  <c r="BF308" i="76" s="1"/>
  <c r="AF308" i="76"/>
  <c r="BF307" i="76"/>
  <c r="AZ307" i="76" s="1"/>
  <c r="BC307" i="76"/>
  <c r="AY307" i="76"/>
  <c r="AX307" i="76"/>
  <c r="BD307" i="76" s="1"/>
  <c r="AV307" i="76" a="1"/>
  <c r="AV307" i="76" s="1"/>
  <c r="AU307" i="76"/>
  <c r="AT307" i="76"/>
  <c r="AP307" i="76"/>
  <c r="AO307" i="76"/>
  <c r="AN307" i="76"/>
  <c r="AL307" i="76"/>
  <c r="AJ307" i="76"/>
  <c r="BA307" i="76" s="1"/>
  <c r="AF307" i="76"/>
  <c r="AQ307" i="76" s="1"/>
  <c r="AE307" i="76"/>
  <c r="AG307" i="76" s="1"/>
  <c r="B307" i="76"/>
  <c r="AJ306" i="76"/>
  <c r="J306" i="76"/>
  <c r="I306" i="76"/>
  <c r="H306" i="76"/>
  <c r="G306" i="76"/>
  <c r="F306" i="76"/>
  <c r="E306" i="76"/>
  <c r="D306" i="76"/>
  <c r="C306" i="76"/>
  <c r="B306" i="76"/>
  <c r="AY305" i="76"/>
  <c r="AV305" i="76" a="1"/>
  <c r="AV305" i="76" s="1"/>
  <c r="AU305" i="76"/>
  <c r="AO305" i="76"/>
  <c r="AN305" i="76"/>
  <c r="AL305" i="76"/>
  <c r="AT305" i="76" s="1"/>
  <c r="AJ305" i="76"/>
  <c r="BA305" i="76" s="1"/>
  <c r="AY304" i="76"/>
  <c r="AJ304" i="76"/>
  <c r="AO304" i="76" s="1"/>
  <c r="C304" i="76" a="1"/>
  <c r="C304" i="76" s="1"/>
  <c r="B304" i="76"/>
  <c r="AJ303" i="76"/>
  <c r="C303" i="76"/>
  <c r="C303" i="76" a="1"/>
  <c r="B303" i="76"/>
  <c r="AL302" i="76"/>
  <c r="AT302" i="76" s="1"/>
  <c r="AJ302" i="76"/>
  <c r="C302" i="76" a="1"/>
  <c r="C302" i="76" s="1"/>
  <c r="B302" i="76"/>
  <c r="AV301" i="76" a="1"/>
  <c r="AV301" i="76" s="1"/>
  <c r="AJ301" i="76"/>
  <c r="C301" i="76"/>
  <c r="C301" i="76" a="1"/>
  <c r="B301" i="76"/>
  <c r="AU300" i="76"/>
  <c r="AJ300" i="76"/>
  <c r="C300" i="76"/>
  <c r="C300" i="76" a="1"/>
  <c r="B300" i="76"/>
  <c r="BF299" i="76"/>
  <c r="AZ299" i="76"/>
  <c r="AY299" i="76"/>
  <c r="AX299" i="76"/>
  <c r="BD299" i="76" s="1"/>
  <c r="AV299" i="76"/>
  <c r="AV299" i="76" a="1"/>
  <c r="AU299" i="76"/>
  <c r="AP299" i="76"/>
  <c r="AO299" i="76"/>
  <c r="AN299" i="76"/>
  <c r="AL299" i="76"/>
  <c r="AT299" i="76" s="1"/>
  <c r="AJ299" i="76"/>
  <c r="BA299" i="76" s="1"/>
  <c r="AF299" i="76"/>
  <c r="AQ299" i="76" s="1"/>
  <c r="C299" i="76" a="1"/>
  <c r="C299" i="76" s="1"/>
  <c r="B299" i="76"/>
  <c r="AJ298" i="76"/>
  <c r="AU298" i="76" s="1"/>
  <c r="C298" i="76" a="1"/>
  <c r="C298" i="76" s="1"/>
  <c r="B298" i="76"/>
  <c r="BF297" i="76"/>
  <c r="AZ297" i="76" s="1"/>
  <c r="BA297" i="76"/>
  <c r="AY297" i="76"/>
  <c r="AV297" i="76" a="1"/>
  <c r="AV297" i="76" s="1"/>
  <c r="AU297" i="76"/>
  <c r="AP297" i="76"/>
  <c r="AO297" i="76"/>
  <c r="AN297" i="76"/>
  <c r="AL297" i="76"/>
  <c r="AT297" i="76" s="1"/>
  <c r="AJ297" i="76"/>
  <c r="C297" i="76"/>
  <c r="C297" i="76" a="1"/>
  <c r="B297" i="76"/>
  <c r="AJ296" i="76"/>
  <c r="AY296" i="76" s="1"/>
  <c r="C296" i="76" a="1"/>
  <c r="C296" i="76" s="1"/>
  <c r="B296" i="76"/>
  <c r="AJ295" i="76"/>
  <c r="C295" i="76"/>
  <c r="C295" i="76" a="1"/>
  <c r="B295" i="76"/>
  <c r="BA294" i="76"/>
  <c r="AY294" i="76"/>
  <c r="AV294" i="76" a="1"/>
  <c r="AV294" i="76" s="1"/>
  <c r="AU294" i="76"/>
  <c r="AN294" i="76"/>
  <c r="AL294" i="76"/>
  <c r="AT294" i="76" s="1"/>
  <c r="AJ294" i="76"/>
  <c r="AO294" i="76" s="1"/>
  <c r="C294" i="76" a="1"/>
  <c r="C294" i="76" s="1"/>
  <c r="B294" i="76"/>
  <c r="BA293" i="76"/>
  <c r="AY293" i="76"/>
  <c r="AU293" i="76"/>
  <c r="AJ293" i="76"/>
  <c r="C293" i="76" a="1"/>
  <c r="C293" i="76" s="1"/>
  <c r="B293" i="76"/>
  <c r="AV292" i="76" a="1"/>
  <c r="AV292" i="76" s="1"/>
  <c r="AU292" i="76"/>
  <c r="AN292" i="76"/>
  <c r="AJ292" i="76"/>
  <c r="C292" i="76" a="1"/>
  <c r="C292" i="76" s="1"/>
  <c r="B292" i="76"/>
  <c r="AY291" i="76"/>
  <c r="AV291" i="76" a="1"/>
  <c r="AV291" i="76" s="1"/>
  <c r="AU291" i="76"/>
  <c r="AO291" i="76"/>
  <c r="AN291" i="76"/>
  <c r="AL291" i="76"/>
  <c r="AT291" i="76" s="1"/>
  <c r="AJ291" i="76"/>
  <c r="BA291" i="76" s="1"/>
  <c r="C291" i="76"/>
  <c r="C291" i="76" a="1"/>
  <c r="B291" i="76"/>
  <c r="BW290" i="76"/>
  <c r="BA290" i="76"/>
  <c r="AY290" i="76"/>
  <c r="AV290" i="76"/>
  <c r="AV290" i="76" a="1"/>
  <c r="AU290" i="76"/>
  <c r="AT290" i="76"/>
  <c r="AP290" i="76"/>
  <c r="AQ290" i="76" s="1"/>
  <c r="AO290" i="76"/>
  <c r="AN290" i="76"/>
  <c r="AJ290" i="76"/>
  <c r="AL290" i="76" s="1"/>
  <c r="AF290" i="76"/>
  <c r="AE290" i="76"/>
  <c r="C290" i="76" a="1"/>
  <c r="C290" i="76" s="1"/>
  <c r="B290" i="76"/>
  <c r="AL289" i="76"/>
  <c r="AT289" i="76" s="1"/>
  <c r="AJ289" i="76"/>
  <c r="C289" i="76" a="1"/>
  <c r="C289" i="76" s="1"/>
  <c r="B289" i="76"/>
  <c r="BA288" i="76"/>
  <c r="AY288" i="76"/>
  <c r="AO288" i="76"/>
  <c r="AN288" i="76"/>
  <c r="AL288" i="76"/>
  <c r="AT288" i="76" s="1"/>
  <c r="AJ288" i="76"/>
  <c r="C288" i="76"/>
  <c r="C288" i="76" a="1"/>
  <c r="B288" i="76"/>
  <c r="BA287" i="76"/>
  <c r="AY287" i="76"/>
  <c r="AU287" i="76"/>
  <c r="AN287" i="76"/>
  <c r="AL287" i="76"/>
  <c r="AT287" i="76" s="1"/>
  <c r="AJ287" i="76"/>
  <c r="C287" i="76"/>
  <c r="C287" i="76" a="1"/>
  <c r="B287" i="76"/>
  <c r="BA286" i="76"/>
  <c r="AY286" i="76"/>
  <c r="AV286" i="76"/>
  <c r="AV286" i="76" a="1"/>
  <c r="AU286" i="76"/>
  <c r="AO286" i="76"/>
  <c r="AJ286" i="76"/>
  <c r="C286" i="76" a="1"/>
  <c r="C286" i="76" s="1"/>
  <c r="B286" i="76"/>
  <c r="BW285" i="76"/>
  <c r="AY285" i="76"/>
  <c r="AX285" i="76"/>
  <c r="BD285" i="76" s="1"/>
  <c r="AV285" i="76" a="1"/>
  <c r="AV285" i="76" s="1"/>
  <c r="AU285" i="76"/>
  <c r="AO285" i="76"/>
  <c r="AN285" i="76"/>
  <c r="AL285" i="76"/>
  <c r="AT285" i="76" s="1"/>
  <c r="AJ285" i="76"/>
  <c r="BA285" i="76" s="1"/>
  <c r="AF285" i="76"/>
  <c r="AE285" i="76"/>
  <c r="AH285" i="76" s="1"/>
  <c r="C285" i="76" a="1"/>
  <c r="C285" i="76" s="1"/>
  <c r="B285" i="76"/>
  <c r="BA284" i="76"/>
  <c r="AJ284" i="76"/>
  <c r="C284" i="76" a="1"/>
  <c r="C284" i="76" s="1"/>
  <c r="B284" i="76"/>
  <c r="BA283" i="76"/>
  <c r="AO283" i="76"/>
  <c r="AN283" i="76"/>
  <c r="AP283" i="76" s="1"/>
  <c r="BF283" i="76" s="1"/>
  <c r="AZ283" i="76" s="1"/>
  <c r="BC283" i="76" s="1"/>
  <c r="AJ283" i="76"/>
  <c r="C283" i="76"/>
  <c r="C283" i="76" a="1"/>
  <c r="B283" i="76"/>
  <c r="AJ282" i="76"/>
  <c r="C282" i="76" a="1"/>
  <c r="C282" i="76" s="1"/>
  <c r="B282" i="76"/>
  <c r="AJ281" i="76"/>
  <c r="C281" i="76"/>
  <c r="C281" i="76" a="1"/>
  <c r="B281" i="76"/>
  <c r="BA280" i="76"/>
  <c r="AY280" i="76"/>
  <c r="AV280" i="76" a="1"/>
  <c r="AV280" i="76" s="1"/>
  <c r="AU280" i="76"/>
  <c r="AL280" i="76"/>
  <c r="AT280" i="76" s="1"/>
  <c r="AJ280" i="76"/>
  <c r="C280" i="76" a="1"/>
  <c r="C280" i="76" s="1"/>
  <c r="B280" i="76"/>
  <c r="AJ279" i="76"/>
  <c r="AU279" i="76" s="1"/>
  <c r="C279" i="76" a="1"/>
  <c r="C279" i="76" s="1"/>
  <c r="B279" i="76"/>
  <c r="AJ278" i="76"/>
  <c r="C278" i="76"/>
  <c r="C278" i="76" a="1"/>
  <c r="B278" i="76"/>
  <c r="AY277" i="76"/>
  <c r="AV277" i="76"/>
  <c r="AV277" i="76" a="1"/>
  <c r="AU277" i="76"/>
  <c r="AO277" i="76"/>
  <c r="AN277" i="76"/>
  <c r="AP277" i="76" s="1"/>
  <c r="AL277" i="76"/>
  <c r="AT277" i="76" s="1"/>
  <c r="AJ277" i="76"/>
  <c r="BA277" i="76" s="1"/>
  <c r="C277" i="76" a="1"/>
  <c r="C277" i="76" s="1"/>
  <c r="B277" i="76"/>
  <c r="AJ276" i="76"/>
  <c r="AN276" i="76" s="1"/>
  <c r="C276" i="76" a="1"/>
  <c r="C276" i="76" s="1"/>
  <c r="B276" i="76"/>
  <c r="BA275" i="76"/>
  <c r="AY275" i="76"/>
  <c r="AU275" i="76"/>
  <c r="AO275" i="76"/>
  <c r="AN275" i="76"/>
  <c r="AL275" i="76"/>
  <c r="AT275" i="76" s="1"/>
  <c r="AJ275" i="76"/>
  <c r="AV275" i="76" s="1" a="1"/>
  <c r="AV275" i="76" s="1"/>
  <c r="C275" i="76" a="1"/>
  <c r="C275" i="76" s="1"/>
  <c r="B275" i="76"/>
  <c r="AJ274" i="76"/>
  <c r="AN274" i="76" s="1"/>
  <c r="C274" i="76" a="1"/>
  <c r="C274" i="76" s="1"/>
  <c r="B274" i="76"/>
  <c r="BA273" i="76"/>
  <c r="AY273" i="76"/>
  <c r="AV273" i="76" a="1"/>
  <c r="AV273" i="76" s="1"/>
  <c r="AU273" i="76"/>
  <c r="AO273" i="76"/>
  <c r="AN273" i="76"/>
  <c r="AJ273" i="76"/>
  <c r="AL273" i="76" s="1"/>
  <c r="AT273" i="76" s="1"/>
  <c r="C273" i="76"/>
  <c r="C273" i="76" a="1"/>
  <c r="B273" i="76"/>
  <c r="AJ272" i="76"/>
  <c r="C272" i="76"/>
  <c r="C272" i="76" a="1"/>
  <c r="B272" i="76"/>
  <c r="AJ271" i="76"/>
  <c r="AU271" i="76" s="1"/>
  <c r="C271" i="76"/>
  <c r="C271" i="76" a="1"/>
  <c r="B271" i="76"/>
  <c r="AV270" i="76" a="1"/>
  <c r="AV270" i="76" s="1"/>
  <c r="AJ270" i="76"/>
  <c r="C270" i="76"/>
  <c r="C270" i="76" a="1"/>
  <c r="B270" i="76"/>
  <c r="AY269" i="76"/>
  <c r="AV269" i="76"/>
  <c r="AV269" i="76" a="1"/>
  <c r="AU269" i="76"/>
  <c r="AT269" i="76"/>
  <c r="AO269" i="76"/>
  <c r="AN269" i="76"/>
  <c r="AL269" i="76"/>
  <c r="AJ269" i="76"/>
  <c r="BA269" i="76" s="1"/>
  <c r="C269" i="76" a="1"/>
  <c r="C269" i="76" s="1"/>
  <c r="B269" i="76"/>
  <c r="BA268" i="76"/>
  <c r="AV268" i="76" a="1"/>
  <c r="AV268" i="76" s="1"/>
  <c r="AU268" i="76"/>
  <c r="AO268" i="76"/>
  <c r="AN268" i="76"/>
  <c r="AL268" i="76"/>
  <c r="AT268" i="76" s="1"/>
  <c r="AJ268" i="76"/>
  <c r="AY268" i="76" s="1"/>
  <c r="C268" i="76" a="1"/>
  <c r="C268" i="76" s="1"/>
  <c r="B268" i="76"/>
  <c r="AY267" i="76"/>
  <c r="AU267" i="76"/>
  <c r="AO267" i="76"/>
  <c r="AN267" i="76"/>
  <c r="AJ267" i="76"/>
  <c r="C267" i="76" a="1"/>
  <c r="C267" i="76" s="1"/>
  <c r="B267" i="76"/>
  <c r="BA266" i="76"/>
  <c r="AY266" i="76"/>
  <c r="AX266" i="76"/>
  <c r="BD266" i="76" s="1"/>
  <c r="AP266" i="76"/>
  <c r="AQ266" i="76" s="1"/>
  <c r="AO266" i="76"/>
  <c r="AN266" i="76"/>
  <c r="AL266" i="76"/>
  <c r="AT266" i="76" s="1"/>
  <c r="AJ266" i="76"/>
  <c r="AF266" i="76"/>
  <c r="C266" i="76" a="1"/>
  <c r="C266" i="76" s="1"/>
  <c r="B266" i="76"/>
  <c r="BA265" i="76"/>
  <c r="AY265" i="76"/>
  <c r="AJ265" i="76"/>
  <c r="C265" i="76"/>
  <c r="C265" i="76" a="1"/>
  <c r="B265" i="76"/>
  <c r="AJ264" i="76"/>
  <c r="C264" i="76" a="1"/>
  <c r="C264" i="76" s="1"/>
  <c r="B264" i="76"/>
  <c r="BA263" i="76"/>
  <c r="AV263" i="76"/>
  <c r="AV263" i="76" a="1"/>
  <c r="AU263" i="76"/>
  <c r="AO263" i="76"/>
  <c r="AJ263" i="76"/>
  <c r="J263" i="76"/>
  <c r="C263" i="76" a="1"/>
  <c r="C263" i="76" s="1"/>
  <c r="B263" i="76"/>
  <c r="BA262" i="76"/>
  <c r="AJ262" i="76"/>
  <c r="AN262" i="76" s="1"/>
  <c r="C262" i="76" a="1"/>
  <c r="C262" i="76" s="1"/>
  <c r="B262" i="76"/>
  <c r="AY261" i="76"/>
  <c r="AV261" i="76" a="1"/>
  <c r="AV261" i="76" s="1"/>
  <c r="AU261" i="76"/>
  <c r="AO261" i="76"/>
  <c r="AN261" i="76"/>
  <c r="AL261" i="76"/>
  <c r="AT261" i="76" s="1"/>
  <c r="AJ261" i="76"/>
  <c r="BA261" i="76" s="1"/>
  <c r="C261" i="76" a="1"/>
  <c r="C261" i="76" s="1"/>
  <c r="B261" i="76"/>
  <c r="AV260" i="76" a="1"/>
  <c r="AV260" i="76" s="1"/>
  <c r="AU260" i="76"/>
  <c r="AO260" i="76"/>
  <c r="AN260" i="76"/>
  <c r="AL260" i="76"/>
  <c r="AT260" i="76" s="1"/>
  <c r="AJ260" i="76"/>
  <c r="BA260" i="76" s="1"/>
  <c r="AF260" i="76"/>
  <c r="C260" i="76" a="1"/>
  <c r="C260" i="76" s="1"/>
  <c r="B260" i="76"/>
  <c r="AJ259" i="76"/>
  <c r="C259" i="76" a="1"/>
  <c r="C259" i="76" s="1"/>
  <c r="B259" i="76"/>
  <c r="AJ258" i="76"/>
  <c r="C258" i="76" a="1"/>
  <c r="C258" i="76" s="1"/>
  <c r="B258" i="76"/>
  <c r="BA257" i="76"/>
  <c r="AY257" i="76"/>
  <c r="AV257" i="76" a="1"/>
  <c r="AV257" i="76" s="1"/>
  <c r="AU257" i="76"/>
  <c r="AL257" i="76"/>
  <c r="AT257" i="76" s="1"/>
  <c r="AJ257" i="76"/>
  <c r="C257" i="76"/>
  <c r="C257" i="76" a="1"/>
  <c r="B257" i="76"/>
  <c r="BA256" i="76"/>
  <c r="AY256" i="76"/>
  <c r="AN256" i="76"/>
  <c r="AJ256" i="76"/>
  <c r="C256" i="76" a="1"/>
  <c r="C256" i="76" s="1"/>
  <c r="B256" i="76"/>
  <c r="BA255" i="76"/>
  <c r="AV255" i="76"/>
  <c r="AV255" i="76" a="1"/>
  <c r="AU255" i="76"/>
  <c r="AO255" i="76"/>
  <c r="AL255" i="76"/>
  <c r="AT255" i="76" s="1"/>
  <c r="AJ255" i="76"/>
  <c r="C255" i="76" a="1"/>
  <c r="C255" i="76" s="1"/>
  <c r="B255" i="76"/>
  <c r="BA254" i="76"/>
  <c r="AY254" i="76"/>
  <c r="AV254" i="76" a="1"/>
  <c r="AV254" i="76" s="1"/>
  <c r="AU254" i="76"/>
  <c r="AO254" i="76"/>
  <c r="AJ254" i="76"/>
  <c r="AL254" i="76" s="1"/>
  <c r="AT254" i="76" s="1"/>
  <c r="C254" i="76"/>
  <c r="C254" i="76" a="1"/>
  <c r="B254" i="76"/>
  <c r="AY253" i="76"/>
  <c r="AX253" i="76"/>
  <c r="BD253" i="76" s="1"/>
  <c r="AV253" i="76" a="1"/>
  <c r="AV253" i="76" s="1"/>
  <c r="AU253" i="76"/>
  <c r="AT253" i="76"/>
  <c r="AQ253" i="76"/>
  <c r="AP253" i="76"/>
  <c r="AO253" i="76"/>
  <c r="AN253" i="76"/>
  <c r="AL253" i="76"/>
  <c r="AJ253" i="76"/>
  <c r="BA253" i="76" s="1"/>
  <c r="AI253" i="76"/>
  <c r="AF253" i="76"/>
  <c r="AE253" i="76"/>
  <c r="C253" i="76" a="1"/>
  <c r="C253" i="76" s="1"/>
  <c r="B253" i="76"/>
  <c r="AV252" i="76" a="1"/>
  <c r="AV252" i="76" s="1"/>
  <c r="AU252" i="76"/>
  <c r="AO252" i="76"/>
  <c r="AN252" i="76"/>
  <c r="AJ252" i="76"/>
  <c r="C252" i="76" a="1"/>
  <c r="C252" i="76" s="1"/>
  <c r="B252" i="76"/>
  <c r="AJ251" i="76"/>
  <c r="C251" i="76" a="1"/>
  <c r="C251" i="76" s="1"/>
  <c r="B251" i="76"/>
  <c r="BA250" i="76"/>
  <c r="AY250" i="76"/>
  <c r="AO250" i="76"/>
  <c r="AN250" i="76"/>
  <c r="AL250" i="76"/>
  <c r="AT250" i="76" s="1"/>
  <c r="AJ250" i="76"/>
  <c r="C250" i="76" a="1"/>
  <c r="C250" i="76" s="1"/>
  <c r="B250" i="76"/>
  <c r="BA249" i="76"/>
  <c r="AV249" i="76" a="1"/>
  <c r="AV249" i="76" s="1"/>
  <c r="AU249" i="76"/>
  <c r="AO249" i="76"/>
  <c r="AN249" i="76"/>
  <c r="AP249" i="76" s="1"/>
  <c r="AJ249" i="76"/>
  <c r="AY249" i="76" s="1"/>
  <c r="C249" i="76"/>
  <c r="C249" i="76" a="1"/>
  <c r="B249" i="76"/>
  <c r="BA248" i="76"/>
  <c r="AV248" i="76" a="1"/>
  <c r="AV248" i="76" s="1"/>
  <c r="AN248" i="76"/>
  <c r="AP248" i="76" s="1"/>
  <c r="AL248" i="76"/>
  <c r="AT248" i="76" s="1"/>
  <c r="AJ248" i="76"/>
  <c r="AF248" i="76"/>
  <c r="C248" i="76" a="1"/>
  <c r="C248" i="76" s="1"/>
  <c r="B248" i="76"/>
  <c r="BA247" i="76"/>
  <c r="AY247" i="76"/>
  <c r="AV247" i="76" a="1"/>
  <c r="AV247" i="76" s="1"/>
  <c r="AU247" i="76"/>
  <c r="AP247" i="76"/>
  <c r="AO247" i="76"/>
  <c r="AL247" i="76"/>
  <c r="AT247" i="76" s="1"/>
  <c r="AJ247" i="76"/>
  <c r="AN247" i="76" s="1"/>
  <c r="AF247" i="76"/>
  <c r="C247" i="76" a="1"/>
  <c r="C247" i="76" s="1"/>
  <c r="B247" i="76"/>
  <c r="AJ246" i="76"/>
  <c r="C246" i="76" a="1"/>
  <c r="C246" i="76" s="1"/>
  <c r="B246" i="76"/>
  <c r="AY245" i="76"/>
  <c r="AV245" i="76"/>
  <c r="AV245" i="76" a="1"/>
  <c r="AU245" i="76"/>
  <c r="AO245" i="76"/>
  <c r="AN245" i="76"/>
  <c r="AL245" i="76"/>
  <c r="AT245" i="76" s="1"/>
  <c r="AJ245" i="76"/>
  <c r="BA245" i="76" s="1"/>
  <c r="C245" i="76" a="1"/>
  <c r="C245" i="76" s="1"/>
  <c r="B245" i="76"/>
  <c r="BA244" i="76"/>
  <c r="AV244" i="76"/>
  <c r="AV244" i="76" a="1"/>
  <c r="AU244" i="76"/>
  <c r="AJ244" i="76"/>
  <c r="AN244" i="76" s="1"/>
  <c r="AF244" i="76"/>
  <c r="AE244" i="76"/>
  <c r="C244" i="76" a="1"/>
  <c r="C244" i="76" s="1"/>
  <c r="B244" i="76"/>
  <c r="AN243" i="76"/>
  <c r="AL243" i="76"/>
  <c r="AT243" i="76" s="1"/>
  <c r="AJ243" i="76"/>
  <c r="C243" i="76" a="1"/>
  <c r="C243" i="76" s="1"/>
  <c r="B243" i="76"/>
  <c r="AJ242" i="76"/>
  <c r="C242" i="76" a="1"/>
  <c r="C242" i="76" s="1"/>
  <c r="B242" i="76"/>
  <c r="BA241" i="76"/>
  <c r="AY241" i="76"/>
  <c r="AV241" i="76" a="1"/>
  <c r="AV241" i="76" s="1"/>
  <c r="AU241" i="76"/>
  <c r="AP241" i="76"/>
  <c r="AO241" i="76"/>
  <c r="AN241" i="76"/>
  <c r="AL241" i="76"/>
  <c r="AT241" i="76" s="1"/>
  <c r="AJ241" i="76"/>
  <c r="AF241" i="76"/>
  <c r="C241" i="76"/>
  <c r="C241" i="76" a="1"/>
  <c r="B241" i="76"/>
  <c r="AV240" i="76" a="1"/>
  <c r="AV240" i="76" s="1"/>
  <c r="AU240" i="76"/>
  <c r="AN240" i="76"/>
  <c r="AL240" i="76"/>
  <c r="AT240" i="76" s="1"/>
  <c r="AJ240" i="76"/>
  <c r="C240" i="76" a="1"/>
  <c r="C240" i="76" s="1"/>
  <c r="B240" i="76"/>
  <c r="BF239" i="76"/>
  <c r="BA239" i="76"/>
  <c r="AZ239" i="76"/>
  <c r="BC239" i="76" s="1"/>
  <c r="AY239" i="76"/>
  <c r="AX239" i="76"/>
  <c r="BD239" i="76" s="1"/>
  <c r="AV239" i="76" a="1"/>
  <c r="AV239" i="76" s="1"/>
  <c r="AU239" i="76"/>
  <c r="AO239" i="76"/>
  <c r="AL239" i="76"/>
  <c r="AT239" i="76" s="1"/>
  <c r="AJ239" i="76"/>
  <c r="AN239" i="76" s="1"/>
  <c r="AP239" i="76" s="1"/>
  <c r="AF239" i="76"/>
  <c r="AQ239" i="76" s="1"/>
  <c r="AE239" i="76"/>
  <c r="C239" i="76" a="1"/>
  <c r="C239" i="76" s="1"/>
  <c r="B239" i="76"/>
  <c r="BA238" i="76"/>
  <c r="AY238" i="76"/>
  <c r="AV238" i="76" a="1"/>
  <c r="AV238" i="76" s="1"/>
  <c r="AU238" i="76"/>
  <c r="AT238" i="76"/>
  <c r="AO238" i="76"/>
  <c r="AN238" i="76"/>
  <c r="AJ238" i="76"/>
  <c r="AL238" i="76" s="1"/>
  <c r="AG238" i="76"/>
  <c r="AF238" i="76"/>
  <c r="AE238" i="76"/>
  <c r="C238" i="76"/>
  <c r="C238" i="76" a="1"/>
  <c r="B238" i="76"/>
  <c r="AY237" i="76"/>
  <c r="AV237" i="76" a="1"/>
  <c r="AV237" i="76" s="1"/>
  <c r="AU237" i="76"/>
  <c r="AO237" i="76"/>
  <c r="AN237" i="76"/>
  <c r="AP237" i="76" s="1"/>
  <c r="AL237" i="76"/>
  <c r="AT237" i="76" s="1"/>
  <c r="AJ237" i="76"/>
  <c r="BA237" i="76" s="1"/>
  <c r="C237" i="76" a="1"/>
  <c r="C237" i="76" s="1"/>
  <c r="B237" i="76"/>
  <c r="AJ236" i="76"/>
  <c r="C236" i="76" a="1"/>
  <c r="C236" i="76" s="1"/>
  <c r="B236" i="76"/>
  <c r="BA235" i="76"/>
  <c r="AY235" i="76"/>
  <c r="AV235" i="76" a="1"/>
  <c r="AV235" i="76" s="1"/>
  <c r="AU235" i="76"/>
  <c r="AO235" i="76"/>
  <c r="AN235" i="76"/>
  <c r="AL235" i="76"/>
  <c r="AT235" i="76" s="1"/>
  <c r="AJ235" i="76"/>
  <c r="C235" i="76"/>
  <c r="C235" i="76" a="1"/>
  <c r="B235" i="76"/>
  <c r="BA234" i="76"/>
  <c r="AU234" i="76"/>
  <c r="AO234" i="76"/>
  <c r="AN234" i="76"/>
  <c r="AL234" i="76"/>
  <c r="AT234" i="76" s="1"/>
  <c r="AJ234" i="76"/>
  <c r="C234" i="76" a="1"/>
  <c r="C234" i="76" s="1"/>
  <c r="B234" i="76"/>
  <c r="AJ233" i="76"/>
  <c r="C233" i="76"/>
  <c r="C233" i="76" a="1"/>
  <c r="B233" i="76"/>
  <c r="BA232" i="76"/>
  <c r="AY232" i="76"/>
  <c r="AV232" i="76" a="1"/>
  <c r="AV232" i="76" s="1"/>
  <c r="AU232" i="76"/>
  <c r="AT232" i="76"/>
  <c r="AL232" i="76"/>
  <c r="AJ232" i="76"/>
  <c r="C232" i="76"/>
  <c r="C232" i="76" a="1"/>
  <c r="B232" i="76"/>
  <c r="BA231" i="76"/>
  <c r="AZ231" i="76"/>
  <c r="AY231" i="76"/>
  <c r="AV231" i="76"/>
  <c r="AV231" i="76" a="1"/>
  <c r="AU231" i="76"/>
  <c r="AP231" i="76"/>
  <c r="BF231" i="76" s="1"/>
  <c r="AO231" i="76"/>
  <c r="AL231" i="76"/>
  <c r="AT231" i="76" s="1"/>
  <c r="AJ231" i="76"/>
  <c r="AN231" i="76" s="1"/>
  <c r="BC231" i="76" s="1"/>
  <c r="AF231" i="76"/>
  <c r="C231" i="76"/>
  <c r="C231" i="76" a="1"/>
  <c r="B231" i="76"/>
  <c r="BA230" i="76"/>
  <c r="AV230" i="76" a="1"/>
  <c r="AV230" i="76" s="1"/>
  <c r="AU230" i="76"/>
  <c r="AO230" i="76"/>
  <c r="AN230" i="76"/>
  <c r="AJ230" i="76"/>
  <c r="C230" i="76" a="1"/>
  <c r="C230" i="76" s="1"/>
  <c r="B230" i="76"/>
  <c r="AJ229" i="76"/>
  <c r="C229" i="76"/>
  <c r="C229" i="76" a="1"/>
  <c r="B229" i="76"/>
  <c r="BA228" i="76"/>
  <c r="AY228" i="76"/>
  <c r="AV228" i="76" a="1"/>
  <c r="AV228" i="76" s="1"/>
  <c r="AU228" i="76"/>
  <c r="AL228" i="76"/>
  <c r="AT228" i="76" s="1"/>
  <c r="AJ228" i="76"/>
  <c r="C228" i="76" a="1"/>
  <c r="C228" i="76" s="1"/>
  <c r="B228" i="76"/>
  <c r="BA227" i="76"/>
  <c r="AY227" i="76"/>
  <c r="AV227" i="76" a="1"/>
  <c r="AV227" i="76" s="1"/>
  <c r="AO227" i="76"/>
  <c r="AN227" i="76"/>
  <c r="AJ227" i="76"/>
  <c r="C227" i="76" a="1"/>
  <c r="C227" i="76" s="1"/>
  <c r="B227" i="76"/>
  <c r="AU226" i="76"/>
  <c r="AT226" i="76"/>
  <c r="AP226" i="76"/>
  <c r="AO226" i="76"/>
  <c r="AN226" i="76"/>
  <c r="AL226" i="76"/>
  <c r="AJ226" i="76"/>
  <c r="C226" i="76" a="1"/>
  <c r="C226" i="76" s="1"/>
  <c r="B226" i="76"/>
  <c r="BA225" i="76"/>
  <c r="AJ225" i="76"/>
  <c r="C225" i="76"/>
  <c r="C225" i="76" a="1"/>
  <c r="B225" i="76"/>
  <c r="AU224" i="76"/>
  <c r="AN224" i="76"/>
  <c r="AL224" i="76"/>
  <c r="AT224" i="76" s="1"/>
  <c r="AJ224" i="76"/>
  <c r="C224" i="76" a="1"/>
  <c r="C224" i="76" s="1"/>
  <c r="B224" i="76"/>
  <c r="AJ223" i="76"/>
  <c r="AO223" i="76" s="1"/>
  <c r="C223" i="76"/>
  <c r="C223" i="76" a="1"/>
  <c r="B223" i="76"/>
  <c r="AY222" i="76"/>
  <c r="AV222" i="76" a="1"/>
  <c r="AV222" i="76" s="1"/>
  <c r="AU222" i="76"/>
  <c r="AT222" i="76"/>
  <c r="AO222" i="76"/>
  <c r="AN222" i="76"/>
  <c r="AJ222" i="76"/>
  <c r="AL222" i="76" s="1"/>
  <c r="C222" i="76" a="1"/>
  <c r="C222" i="76" s="1"/>
  <c r="B222" i="76"/>
  <c r="BA221" i="76"/>
  <c r="AY221" i="76"/>
  <c r="AU221" i="76"/>
  <c r="AL221" i="76"/>
  <c r="AT221" i="76" s="1"/>
  <c r="AJ221" i="76"/>
  <c r="C221" i="76" a="1"/>
  <c r="C221" i="76" s="1"/>
  <c r="B221" i="76"/>
  <c r="AY220" i="76"/>
  <c r="AO220" i="76"/>
  <c r="AN220" i="76"/>
  <c r="AJ220" i="76"/>
  <c r="C220" i="76" a="1"/>
  <c r="C220" i="76" s="1"/>
  <c r="B220" i="76"/>
  <c r="AJ219" i="76"/>
  <c r="BA219" i="76" s="1"/>
  <c r="C219" i="76"/>
  <c r="C219" i="76" a="1"/>
  <c r="B219" i="76"/>
  <c r="BA218" i="76"/>
  <c r="AY218" i="76"/>
  <c r="AV218" i="76" a="1"/>
  <c r="AV218" i="76" s="1"/>
  <c r="AU218" i="76"/>
  <c r="AL218" i="76"/>
  <c r="AT218" i="76" s="1"/>
  <c r="AJ218" i="76"/>
  <c r="C218" i="76"/>
  <c r="C218" i="76" a="1"/>
  <c r="B218" i="76"/>
  <c r="AJ217" i="76"/>
  <c r="C217" i="76" a="1"/>
  <c r="C217" i="76" s="1"/>
  <c r="B217" i="76"/>
  <c r="BA216" i="76"/>
  <c r="AY216" i="76"/>
  <c r="AV216" i="76" a="1"/>
  <c r="AV216" i="76" s="1"/>
  <c r="AU216" i="76"/>
  <c r="AT216" i="76"/>
  <c r="AO216" i="76"/>
  <c r="AJ216" i="76"/>
  <c r="AL216" i="76" s="1"/>
  <c r="C216" i="76" a="1"/>
  <c r="C216" i="76" s="1"/>
  <c r="B216" i="76"/>
  <c r="AY215" i="76"/>
  <c r="AV215" i="76"/>
  <c r="AV215" i="76" a="1"/>
  <c r="AU215" i="76"/>
  <c r="AO215" i="76"/>
  <c r="AN215" i="76"/>
  <c r="AL215" i="76"/>
  <c r="AT215" i="76" s="1"/>
  <c r="AJ215" i="76"/>
  <c r="BA215" i="76" s="1"/>
  <c r="AF215" i="76"/>
  <c r="C215" i="76"/>
  <c r="C215" i="76" a="1"/>
  <c r="B215" i="76"/>
  <c r="AJ214" i="76"/>
  <c r="J214" i="76"/>
  <c r="C214" i="76" a="1"/>
  <c r="C214" i="76" s="1"/>
  <c r="B214" i="76"/>
  <c r="AV213" i="76" a="1"/>
  <c r="AV213" i="76" s="1"/>
  <c r="AU213" i="76"/>
  <c r="AO213" i="76"/>
  <c r="AN213" i="76"/>
  <c r="AJ213" i="76"/>
  <c r="C213" i="76" a="1"/>
  <c r="C213" i="76" s="1"/>
  <c r="B213" i="76"/>
  <c r="BA212" i="76"/>
  <c r="AY212" i="76"/>
  <c r="AJ212" i="76"/>
  <c r="C212" i="76" a="1"/>
  <c r="C212" i="76" s="1"/>
  <c r="B212" i="76"/>
  <c r="AJ211" i="76"/>
  <c r="C211" i="76"/>
  <c r="C211" i="76" a="1"/>
  <c r="B211" i="76"/>
  <c r="AJ210" i="76"/>
  <c r="AL210" i="76" s="1"/>
  <c r="AT210" i="76" s="1"/>
  <c r="C210" i="76" a="1"/>
  <c r="C210" i="76" s="1"/>
  <c r="B210" i="76"/>
  <c r="BA209" i="76"/>
  <c r="AY209" i="76"/>
  <c r="AV209" i="76"/>
  <c r="AV209" i="76" a="1"/>
  <c r="AU209" i="76"/>
  <c r="AJ209" i="76"/>
  <c r="C209" i="76" a="1"/>
  <c r="C209" i="76" s="1"/>
  <c r="B209" i="76"/>
  <c r="BA208" i="76"/>
  <c r="AU208" i="76"/>
  <c r="AJ208" i="76"/>
  <c r="C208" i="76"/>
  <c r="C208" i="76" a="1"/>
  <c r="B208" i="76"/>
  <c r="BF207" i="76"/>
  <c r="AZ207" i="76"/>
  <c r="AY207" i="76"/>
  <c r="AV207" i="76"/>
  <c r="AV207" i="76" a="1"/>
  <c r="AU207" i="76"/>
  <c r="AT207" i="76"/>
  <c r="AP207" i="76"/>
  <c r="AO207" i="76"/>
  <c r="AN207" i="76"/>
  <c r="AL207" i="76"/>
  <c r="AJ207" i="76"/>
  <c r="BA207" i="76" s="1"/>
  <c r="AF207" i="76"/>
  <c r="AE207" i="76"/>
  <c r="C207" i="76"/>
  <c r="C207" i="76" a="1"/>
  <c r="B207" i="76"/>
  <c r="AV206" i="76" a="1"/>
  <c r="AV206" i="76" s="1"/>
  <c r="AU206" i="76"/>
  <c r="AO206" i="76"/>
  <c r="AN206" i="76"/>
  <c r="AL206" i="76"/>
  <c r="AT206" i="76" s="1"/>
  <c r="AJ206" i="76"/>
  <c r="BA206" i="76" s="1"/>
  <c r="C206" i="76" a="1"/>
  <c r="C206" i="76" s="1"/>
  <c r="B206" i="76"/>
  <c r="BA205" i="76"/>
  <c r="AV205" i="76" a="1"/>
  <c r="AV205" i="76" s="1"/>
  <c r="AU205" i="76"/>
  <c r="AL205" i="76"/>
  <c r="AT205" i="76" s="1"/>
  <c r="AJ205" i="76"/>
  <c r="C205" i="76" a="1"/>
  <c r="C205" i="76" s="1"/>
  <c r="B205" i="76"/>
  <c r="BA204" i="76"/>
  <c r="AY204" i="76"/>
  <c r="AT204" i="76"/>
  <c r="AP204" i="76"/>
  <c r="AO204" i="76"/>
  <c r="AN204" i="76"/>
  <c r="AL204" i="76"/>
  <c r="AJ204" i="76"/>
  <c r="C204" i="76" a="1"/>
  <c r="C204" i="76" s="1"/>
  <c r="B204" i="76"/>
  <c r="AJ203" i="76"/>
  <c r="BA203" i="76" s="1"/>
  <c r="C203" i="76"/>
  <c r="C203" i="76" a="1"/>
  <c r="B203" i="76"/>
  <c r="BA202" i="76"/>
  <c r="AY202" i="76"/>
  <c r="AV202" i="76" a="1"/>
  <c r="AV202" i="76" s="1"/>
  <c r="AU202" i="76"/>
  <c r="AN202" i="76"/>
  <c r="AJ202" i="76"/>
  <c r="AO202" i="76" s="1"/>
  <c r="C202" i="76" a="1"/>
  <c r="C202" i="76" s="1"/>
  <c r="B202" i="76"/>
  <c r="BA201" i="76"/>
  <c r="AV201" i="76" a="1"/>
  <c r="AV201" i="76" s="1"/>
  <c r="AU201" i="76"/>
  <c r="AO201" i="76"/>
  <c r="AJ201" i="76"/>
  <c r="C201" i="76" a="1"/>
  <c r="C201" i="76" s="1"/>
  <c r="B201" i="76"/>
  <c r="BA200" i="76"/>
  <c r="AJ200" i="76"/>
  <c r="C200" i="76" a="1"/>
  <c r="C200" i="76" s="1"/>
  <c r="B200" i="76"/>
  <c r="AY199" i="76"/>
  <c r="AV199" i="76"/>
  <c r="AV199" i="76" a="1"/>
  <c r="AU199" i="76"/>
  <c r="AT199" i="76"/>
  <c r="AO199" i="76"/>
  <c r="AN199" i="76"/>
  <c r="AL199" i="76"/>
  <c r="AJ199" i="76"/>
  <c r="BA199" i="76" s="1"/>
  <c r="AF199" i="76"/>
  <c r="AE199" i="76"/>
  <c r="AH199" i="76" s="1"/>
  <c r="C199" i="76"/>
  <c r="C199" i="76" a="1"/>
  <c r="B199" i="76"/>
  <c r="AU198" i="76"/>
  <c r="AO198" i="76"/>
  <c r="AN198" i="76"/>
  <c r="AL198" i="76"/>
  <c r="AT198" i="76" s="1"/>
  <c r="AJ198" i="76"/>
  <c r="C198" i="76" a="1"/>
  <c r="C198" i="76" s="1"/>
  <c r="B198" i="76"/>
  <c r="AJ197" i="76"/>
  <c r="C197" i="76" a="1"/>
  <c r="C197" i="76" s="1"/>
  <c r="B197" i="76"/>
  <c r="BA196" i="76"/>
  <c r="AY196" i="76"/>
  <c r="AO196" i="76"/>
  <c r="AN196" i="76"/>
  <c r="AL196" i="76"/>
  <c r="AT196" i="76" s="1"/>
  <c r="AJ196" i="76"/>
  <c r="AF196" i="76"/>
  <c r="C196" i="76" a="1"/>
  <c r="C196" i="76" s="1"/>
  <c r="B196" i="76"/>
  <c r="AJ195" i="76"/>
  <c r="C195" i="76"/>
  <c r="C195" i="76" a="1"/>
  <c r="B195" i="76"/>
  <c r="BA194" i="76"/>
  <c r="AY194" i="76"/>
  <c r="AV194" i="76" a="1"/>
  <c r="AV194" i="76" s="1"/>
  <c r="AJ194" i="76"/>
  <c r="AL194" i="76" s="1"/>
  <c r="AT194" i="76" s="1"/>
  <c r="C194" i="76" a="1"/>
  <c r="C194" i="76" s="1"/>
  <c r="B194" i="76"/>
  <c r="BA193" i="76"/>
  <c r="AY193" i="76"/>
  <c r="AV193" i="76"/>
  <c r="AV193" i="76" a="1"/>
  <c r="AU193" i="76"/>
  <c r="AP193" i="76"/>
  <c r="AO193" i="76"/>
  <c r="AL193" i="76"/>
  <c r="AT193" i="76" s="1"/>
  <c r="AJ193" i="76"/>
  <c r="AN193" i="76" s="1"/>
  <c r="BF193" i="76" s="1"/>
  <c r="AZ193" i="76" s="1"/>
  <c r="BC193" i="76" s="1"/>
  <c r="AF193" i="76"/>
  <c r="AE193" i="76"/>
  <c r="C193" i="76"/>
  <c r="C193" i="76" a="1"/>
  <c r="B193" i="76"/>
  <c r="AO192" i="76"/>
  <c r="AJ192" i="76"/>
  <c r="C192" i="76" a="1"/>
  <c r="C192" i="76" s="1"/>
  <c r="B192" i="76"/>
  <c r="BF191" i="76"/>
  <c r="AZ191" i="76"/>
  <c r="AY191" i="76"/>
  <c r="AV191" i="76" a="1"/>
  <c r="AV191" i="76" s="1"/>
  <c r="AU191" i="76"/>
  <c r="AT191" i="76"/>
  <c r="AX191" i="76" s="1"/>
  <c r="BD191" i="76" s="1"/>
  <c r="AO191" i="76"/>
  <c r="AN191" i="76"/>
  <c r="AP191" i="76" s="1"/>
  <c r="AL191" i="76"/>
  <c r="AJ191" i="76"/>
  <c r="BA191" i="76" s="1"/>
  <c r="AI191" i="76"/>
  <c r="AH191" i="76"/>
  <c r="AG191" i="76"/>
  <c r="AF191" i="76"/>
  <c r="AQ191" i="76" s="1"/>
  <c r="AE191" i="76"/>
  <c r="C191" i="76" a="1"/>
  <c r="C191" i="76" s="1"/>
  <c r="B191" i="76"/>
  <c r="BA190" i="76"/>
  <c r="AV190" i="76"/>
  <c r="AV190" i="76" a="1"/>
  <c r="AU190" i="76"/>
  <c r="AO190" i="76"/>
  <c r="AN190" i="76"/>
  <c r="AJ190" i="76"/>
  <c r="AY190" i="76" s="1"/>
  <c r="C190" i="76" a="1"/>
  <c r="C190" i="76" s="1"/>
  <c r="B190" i="76"/>
  <c r="BA189" i="76"/>
  <c r="AT189" i="76"/>
  <c r="AO189" i="76"/>
  <c r="AN189" i="76"/>
  <c r="AL189" i="76"/>
  <c r="AJ189" i="76"/>
  <c r="C189" i="76" a="1"/>
  <c r="C189" i="76" s="1"/>
  <c r="B189" i="76"/>
  <c r="BA188" i="76"/>
  <c r="AY188" i="76"/>
  <c r="AJ188" i="76"/>
  <c r="C188" i="76" a="1"/>
  <c r="C188" i="76" s="1"/>
  <c r="B188" i="76"/>
  <c r="BA187" i="76"/>
  <c r="AY187" i="76"/>
  <c r="AV187" i="76"/>
  <c r="AV187" i="76" a="1"/>
  <c r="AU187" i="76"/>
  <c r="AO187" i="76"/>
  <c r="AN187" i="76"/>
  <c r="AL187" i="76"/>
  <c r="AT187" i="76" s="1"/>
  <c r="AJ187" i="76"/>
  <c r="C187" i="76"/>
  <c r="C187" i="76" a="1"/>
  <c r="B187" i="76"/>
  <c r="BA186" i="76"/>
  <c r="AV186" i="76" a="1"/>
  <c r="AV186" i="76" s="1"/>
  <c r="AU186" i="76"/>
  <c r="AN186" i="76"/>
  <c r="AJ186" i="76"/>
  <c r="AL186" i="76" s="1"/>
  <c r="AT186" i="76" s="1"/>
  <c r="C186" i="76" a="1"/>
  <c r="C186" i="76" s="1"/>
  <c r="B186" i="76"/>
  <c r="BA185" i="76"/>
  <c r="AY185" i="76"/>
  <c r="AV185" i="76" a="1"/>
  <c r="AV185" i="76" s="1"/>
  <c r="AU185" i="76"/>
  <c r="AL185" i="76"/>
  <c r="AT185" i="76" s="1"/>
  <c r="AJ185" i="76"/>
  <c r="C185" i="76" a="1"/>
  <c r="C185" i="76" s="1"/>
  <c r="B185" i="76"/>
  <c r="BA184" i="76"/>
  <c r="AY184" i="76"/>
  <c r="AX184" i="76"/>
  <c r="BD184" i="76" s="1"/>
  <c r="AV184" i="76" a="1"/>
  <c r="AV184" i="76" s="1"/>
  <c r="AU184" i="76"/>
  <c r="AT184" i="76"/>
  <c r="AO184" i="76"/>
  <c r="AN184" i="76"/>
  <c r="AJ184" i="76"/>
  <c r="AL184" i="76" s="1"/>
  <c r="AF184" i="76"/>
  <c r="AE184" i="76"/>
  <c r="AM184" i="76" s="1"/>
  <c r="C184" i="76" a="1"/>
  <c r="C184" i="76" s="1"/>
  <c r="B184" i="76"/>
  <c r="AY183" i="76"/>
  <c r="AV183" i="76"/>
  <c r="AV183" i="76" a="1"/>
  <c r="AU183" i="76"/>
  <c r="AO183" i="76"/>
  <c r="AN183" i="76"/>
  <c r="AL183" i="76"/>
  <c r="AT183" i="76" s="1"/>
  <c r="AJ183" i="76"/>
  <c r="BA183" i="76" s="1"/>
  <c r="C183" i="76" a="1"/>
  <c r="C183" i="76" s="1"/>
  <c r="B183" i="76"/>
  <c r="BA182" i="76"/>
  <c r="AV182" i="76" a="1"/>
  <c r="AV182" i="76" s="1"/>
  <c r="AU182" i="76"/>
  <c r="AJ182" i="76"/>
  <c r="C182" i="76" a="1"/>
  <c r="C182" i="76" s="1"/>
  <c r="B182" i="76"/>
  <c r="BA181" i="76"/>
  <c r="AY181" i="76"/>
  <c r="AV181" i="76" a="1"/>
  <c r="AV181" i="76" s="1"/>
  <c r="AU181" i="76"/>
  <c r="AO181" i="76"/>
  <c r="AN181" i="76"/>
  <c r="AL181" i="76"/>
  <c r="AT181" i="76" s="1"/>
  <c r="AJ181" i="76"/>
  <c r="C181" i="76"/>
  <c r="C181" i="76" a="1"/>
  <c r="B181" i="76"/>
  <c r="AJ180" i="76"/>
  <c r="C180" i="76" a="1"/>
  <c r="C180" i="76" s="1"/>
  <c r="B180" i="76"/>
  <c r="BA179" i="76"/>
  <c r="AY179" i="76"/>
  <c r="AV179" i="76" a="1"/>
  <c r="AV179" i="76" s="1"/>
  <c r="AU179" i="76"/>
  <c r="AJ179" i="76"/>
  <c r="C179" i="76"/>
  <c r="C179" i="76" a="1"/>
  <c r="B179" i="76"/>
  <c r="BW178" i="76"/>
  <c r="BA178" i="76"/>
  <c r="AY178" i="76"/>
  <c r="AV178" i="76"/>
  <c r="AV178" i="76" a="1"/>
  <c r="AU178" i="76"/>
  <c r="AN178" i="76"/>
  <c r="AL178" i="76"/>
  <c r="AT178" i="76" s="1"/>
  <c r="AJ178" i="76"/>
  <c r="AO178" i="76" s="1"/>
  <c r="AF178" i="76"/>
  <c r="AE178" i="76"/>
  <c r="C178" i="76" a="1"/>
  <c r="C178" i="76" s="1"/>
  <c r="B178" i="76"/>
  <c r="AJ177" i="76"/>
  <c r="C177" i="76" a="1"/>
  <c r="C177" i="76" s="1"/>
  <c r="B177" i="76"/>
  <c r="AJ176" i="76"/>
  <c r="C176" i="76" a="1"/>
  <c r="C176" i="76" s="1"/>
  <c r="B176" i="76"/>
  <c r="BW175" i="76"/>
  <c r="AY175" i="76"/>
  <c r="AX175" i="76"/>
  <c r="BD175" i="76" s="1"/>
  <c r="AV175" i="76"/>
  <c r="AV175" i="76" a="1"/>
  <c r="AU175" i="76"/>
  <c r="AT175" i="76"/>
  <c r="AP175" i="76"/>
  <c r="AO175" i="76"/>
  <c r="AN175" i="76"/>
  <c r="AL175" i="76"/>
  <c r="AJ175" i="76"/>
  <c r="BA175" i="76" s="1"/>
  <c r="AF175" i="76"/>
  <c r="AQ175" i="76" s="1"/>
  <c r="AE175" i="76"/>
  <c r="C175" i="76" a="1"/>
  <c r="C175" i="76" s="1"/>
  <c r="B175" i="76"/>
  <c r="AJ174" i="76"/>
  <c r="C174" i="76" a="1"/>
  <c r="C174" i="76" s="1"/>
  <c r="B174" i="76"/>
  <c r="AJ173" i="76"/>
  <c r="C173" i="76" a="1"/>
  <c r="C173" i="76" s="1"/>
  <c r="B173" i="76"/>
  <c r="BA172" i="76"/>
  <c r="AY172" i="76"/>
  <c r="AT172" i="76"/>
  <c r="AP172" i="76"/>
  <c r="AO172" i="76"/>
  <c r="AN172" i="76"/>
  <c r="AL172" i="76"/>
  <c r="AJ172" i="76"/>
  <c r="AF172" i="76"/>
  <c r="C172" i="76" a="1"/>
  <c r="C172" i="76" s="1"/>
  <c r="B172" i="76"/>
  <c r="AJ171" i="76"/>
  <c r="BA171" i="76" s="1"/>
  <c r="C171" i="76"/>
  <c r="C171" i="76" a="1"/>
  <c r="B171" i="76"/>
  <c r="BA170" i="76"/>
  <c r="AY170" i="76"/>
  <c r="AV170" i="76" a="1"/>
  <c r="AV170" i="76" s="1"/>
  <c r="AU170" i="76"/>
  <c r="AL170" i="76"/>
  <c r="AT170" i="76" s="1"/>
  <c r="AJ170" i="76"/>
  <c r="C170" i="76" a="1"/>
  <c r="C170" i="76" s="1"/>
  <c r="B170" i="76"/>
  <c r="BA169" i="76"/>
  <c r="AY169" i="76"/>
  <c r="AV169" i="76" a="1"/>
  <c r="AV169" i="76" s="1"/>
  <c r="AU169" i="76"/>
  <c r="AP169" i="76"/>
  <c r="AO169" i="76"/>
  <c r="AL169" i="76"/>
  <c r="AT169" i="76" s="1"/>
  <c r="AJ169" i="76"/>
  <c r="AN169" i="76" s="1"/>
  <c r="BF169" i="76" s="1"/>
  <c r="AZ169" i="76" s="1"/>
  <c r="AF169" i="76"/>
  <c r="C169" i="76" a="1"/>
  <c r="C169" i="76" s="1"/>
  <c r="B169" i="76"/>
  <c r="AJ168" i="76"/>
  <c r="C168" i="76"/>
  <c r="C168" i="76" a="1"/>
  <c r="B168" i="76"/>
  <c r="AY167" i="76"/>
  <c r="AV167" i="76" a="1"/>
  <c r="AV167" i="76" s="1"/>
  <c r="AU167" i="76"/>
  <c r="AT167" i="76"/>
  <c r="AL167" i="76"/>
  <c r="AJ167" i="76"/>
  <c r="C167" i="76"/>
  <c r="C167" i="76" a="1"/>
  <c r="B167" i="76"/>
  <c r="AJ166" i="76"/>
  <c r="C166" i="76"/>
  <c r="C166" i="76" a="1"/>
  <c r="B166" i="76"/>
  <c r="AY165" i="76"/>
  <c r="AV165" i="76" a="1"/>
  <c r="AV165" i="76" s="1"/>
  <c r="AU165" i="76"/>
  <c r="AO165" i="76"/>
  <c r="AN165" i="76"/>
  <c r="AJ165" i="76"/>
  <c r="AL165" i="76" s="1"/>
  <c r="AT165" i="76" s="1"/>
  <c r="C165" i="76" a="1"/>
  <c r="C165" i="76" s="1"/>
  <c r="B165" i="76"/>
  <c r="AY164" i="76"/>
  <c r="AV164" i="76" a="1"/>
  <c r="AV164" i="76" s="1"/>
  <c r="AU164" i="76"/>
  <c r="AO164" i="76"/>
  <c r="AN164" i="76"/>
  <c r="AP164" i="76" s="1"/>
  <c r="BF164" i="76" s="1"/>
  <c r="AZ164" i="76" s="1"/>
  <c r="AM164" i="76"/>
  <c r="AL164" i="76"/>
  <c r="AT164" i="76" s="1"/>
  <c r="AX164" i="76" s="1"/>
  <c r="BD164" i="76" s="1"/>
  <c r="AJ164" i="76"/>
  <c r="BA164" i="76" s="1"/>
  <c r="AG164" i="76"/>
  <c r="AF164" i="76"/>
  <c r="AE164" i="76"/>
  <c r="C164" i="76" a="1"/>
  <c r="C164" i="76" s="1"/>
  <c r="B164" i="76"/>
  <c r="BA163" i="76"/>
  <c r="AV163" i="76" a="1"/>
  <c r="AV163" i="76" s="1"/>
  <c r="AU163" i="76"/>
  <c r="AT163" i="76"/>
  <c r="AO163" i="76"/>
  <c r="AN163" i="76"/>
  <c r="AL163" i="76"/>
  <c r="AJ163" i="76"/>
  <c r="AY163" i="76" s="1"/>
  <c r="C163" i="76" a="1"/>
  <c r="C163" i="76" s="1"/>
  <c r="B163" i="76"/>
  <c r="BA162" i="76"/>
  <c r="AY162" i="76"/>
  <c r="AJ162" i="76"/>
  <c r="C162" i="76" a="1"/>
  <c r="C162" i="76" s="1"/>
  <c r="B162" i="76"/>
  <c r="AO161" i="76"/>
  <c r="AN161" i="76"/>
  <c r="AJ161" i="76"/>
  <c r="C161" i="76"/>
  <c r="C161" i="76" a="1"/>
  <c r="B161" i="76"/>
  <c r="BA160" i="76"/>
  <c r="AJ160" i="76"/>
  <c r="C160" i="76"/>
  <c r="C160" i="76" a="1"/>
  <c r="B160" i="76"/>
  <c r="AJ159" i="76"/>
  <c r="C159" i="76" a="1"/>
  <c r="C159" i="76" s="1"/>
  <c r="B159" i="76"/>
  <c r="BA158" i="76"/>
  <c r="AY158" i="76"/>
  <c r="AV158" i="76" a="1"/>
  <c r="AV158" i="76" s="1"/>
  <c r="AU158" i="76"/>
  <c r="AJ158" i="76"/>
  <c r="AO158" i="76" s="1"/>
  <c r="C158" i="76" a="1"/>
  <c r="C158" i="76" s="1"/>
  <c r="B158" i="76"/>
  <c r="AY157" i="76"/>
  <c r="AV157" i="76"/>
  <c r="AV157" i="76" a="1"/>
  <c r="AU157" i="76"/>
  <c r="AO157" i="76"/>
  <c r="AN157" i="76"/>
  <c r="AJ157" i="76"/>
  <c r="AL157" i="76" s="1"/>
  <c r="AT157" i="76" s="1"/>
  <c r="AF157" i="76"/>
  <c r="C157" i="76" a="1"/>
  <c r="C157" i="76" s="1"/>
  <c r="B157" i="76"/>
  <c r="AY156" i="76"/>
  <c r="AV156" i="76" a="1"/>
  <c r="AV156" i="76" s="1"/>
  <c r="AU156" i="76"/>
  <c r="AT156" i="76"/>
  <c r="AX156" i="76" s="1"/>
  <c r="BD156" i="76" s="1"/>
  <c r="AQ156" i="76"/>
  <c r="AP156" i="76"/>
  <c r="BF156" i="76" s="1"/>
  <c r="AZ156" i="76" s="1"/>
  <c r="AO156" i="76"/>
  <c r="AN156" i="76"/>
  <c r="AL156" i="76"/>
  <c r="AJ156" i="76"/>
  <c r="BA156" i="76" s="1"/>
  <c r="AF156" i="76"/>
  <c r="AE156" i="76"/>
  <c r="C156" i="76" a="1"/>
  <c r="C156" i="76" s="1"/>
  <c r="B156" i="76"/>
  <c r="AO155" i="76"/>
  <c r="AN155" i="76"/>
  <c r="AJ155" i="76"/>
  <c r="C155" i="76" a="1"/>
  <c r="C155" i="76" s="1"/>
  <c r="B155" i="76"/>
  <c r="BA154" i="76"/>
  <c r="AY154" i="76"/>
  <c r="AT154" i="76"/>
  <c r="AP154" i="76"/>
  <c r="AO154" i="76"/>
  <c r="AN154" i="76"/>
  <c r="AL154" i="76"/>
  <c r="AJ154" i="76"/>
  <c r="C154" i="76" a="1"/>
  <c r="C154" i="76" s="1"/>
  <c r="B154" i="76"/>
  <c r="BA153" i="76"/>
  <c r="AY153" i="76"/>
  <c r="AL153" i="76"/>
  <c r="AT153" i="76" s="1"/>
  <c r="AJ153" i="76"/>
  <c r="C153" i="76"/>
  <c r="C153" i="76" a="1"/>
  <c r="B153" i="76"/>
  <c r="BA152" i="76"/>
  <c r="AY152" i="76"/>
  <c r="AX152" i="76"/>
  <c r="BD152" i="76" s="1"/>
  <c r="AV152" i="76" a="1"/>
  <c r="AV152" i="76" s="1"/>
  <c r="AU152" i="76"/>
  <c r="AN152" i="76"/>
  <c r="AL152" i="76"/>
  <c r="AT152" i="76" s="1"/>
  <c r="AJ152" i="76"/>
  <c r="AO152" i="76" s="1"/>
  <c r="AF152" i="76"/>
  <c r="AE152" i="76"/>
  <c r="C152" i="76"/>
  <c r="C152" i="76" a="1"/>
  <c r="B152" i="76"/>
  <c r="BA151" i="76"/>
  <c r="AJ151" i="76"/>
  <c r="AL151" i="76" s="1"/>
  <c r="AT151" i="76" s="1"/>
  <c r="C151" i="76"/>
  <c r="C151" i="76" a="1"/>
  <c r="B151" i="76"/>
  <c r="AJ150" i="76"/>
  <c r="C150" i="76" a="1"/>
  <c r="C150" i="76" s="1"/>
  <c r="B150" i="76"/>
  <c r="BW149" i="76"/>
  <c r="AY149" i="76"/>
  <c r="AV149" i="76" a="1"/>
  <c r="AV149" i="76" s="1"/>
  <c r="AU149" i="76"/>
  <c r="AO149" i="76"/>
  <c r="AN149" i="76"/>
  <c r="AP149" i="76" s="1"/>
  <c r="AJ149" i="76"/>
  <c r="AL149" i="76" s="1"/>
  <c r="AT149" i="76" s="1"/>
  <c r="AI149" i="76"/>
  <c r="AH149" i="76"/>
  <c r="AF149" i="76"/>
  <c r="AE149" i="76"/>
  <c r="C149" i="76" a="1"/>
  <c r="C149" i="76" s="1"/>
  <c r="B149" i="76"/>
  <c r="AY148" i="76"/>
  <c r="AV148" i="76" a="1"/>
  <c r="AV148" i="76" s="1"/>
  <c r="AU148" i="76"/>
  <c r="AO148" i="76"/>
  <c r="AN148" i="76"/>
  <c r="AL148" i="76"/>
  <c r="AT148" i="76" s="1"/>
  <c r="AJ148" i="76"/>
  <c r="BA148" i="76" s="1"/>
  <c r="C148" i="76" a="1"/>
  <c r="C148" i="76" s="1"/>
  <c r="B148" i="76"/>
  <c r="AJ147" i="76"/>
  <c r="C147" i="76" a="1"/>
  <c r="C147" i="76" s="1"/>
  <c r="B147" i="76"/>
  <c r="AJ146" i="76"/>
  <c r="C146" i="76" a="1"/>
  <c r="C146" i="76" s="1"/>
  <c r="B146" i="76"/>
  <c r="BA145" i="76"/>
  <c r="AY145" i="76"/>
  <c r="AP145" i="76"/>
  <c r="AO145" i="76"/>
  <c r="AN145" i="76"/>
  <c r="AJ145" i="76"/>
  <c r="C145" i="76"/>
  <c r="C145" i="76" a="1"/>
  <c r="B145" i="76"/>
  <c r="AV144" i="76" a="1"/>
  <c r="AV144" i="76" s="1"/>
  <c r="AU144" i="76"/>
  <c r="AN144" i="76"/>
  <c r="AL144" i="76"/>
  <c r="AT144" i="76" s="1"/>
  <c r="AJ144" i="76"/>
  <c r="C144" i="76"/>
  <c r="C144" i="76" a="1"/>
  <c r="B144" i="76"/>
  <c r="BA143" i="76"/>
  <c r="AY143" i="76"/>
  <c r="AV143" i="76" a="1"/>
  <c r="AV143" i="76" s="1"/>
  <c r="AU143" i="76"/>
  <c r="AJ143" i="76"/>
  <c r="C143" i="76" a="1"/>
  <c r="C143" i="76" s="1"/>
  <c r="B143" i="76"/>
  <c r="BA142" i="76"/>
  <c r="AU142" i="76"/>
  <c r="AO142" i="76"/>
  <c r="AJ142" i="76"/>
  <c r="C142" i="76"/>
  <c r="C142" i="76" a="1"/>
  <c r="B142" i="76"/>
  <c r="AY141" i="76"/>
  <c r="AX141" i="76"/>
  <c r="BD141" i="76" s="1"/>
  <c r="AV141" i="76"/>
  <c r="AV141" i="76" a="1"/>
  <c r="AU141" i="76"/>
  <c r="AT141" i="76"/>
  <c r="AP141" i="76"/>
  <c r="AO141" i="76"/>
  <c r="AN141" i="76"/>
  <c r="AJ141" i="76"/>
  <c r="AL141" i="76" s="1"/>
  <c r="AF141" i="76"/>
  <c r="AQ141" i="76" s="1"/>
  <c r="AE141" i="76"/>
  <c r="C141" i="76" a="1"/>
  <c r="C141" i="76" s="1"/>
  <c r="B141" i="76"/>
  <c r="BF140" i="76"/>
  <c r="AZ140" i="76" s="1"/>
  <c r="AY140" i="76"/>
  <c r="AV140" i="76"/>
  <c r="AV140" i="76" a="1"/>
  <c r="AU140" i="76"/>
  <c r="AO140" i="76"/>
  <c r="AN140" i="76"/>
  <c r="AP140" i="76" s="1"/>
  <c r="AL140" i="76"/>
  <c r="AT140" i="76" s="1"/>
  <c r="AJ140" i="76"/>
  <c r="BA140" i="76" s="1"/>
  <c r="AF140" i="76"/>
  <c r="AE140" i="76"/>
  <c r="AM140" i="76" s="1"/>
  <c r="C140" i="76" a="1"/>
  <c r="C140" i="76" s="1"/>
  <c r="B140" i="76"/>
  <c r="BA139" i="76"/>
  <c r="AV139" i="76" a="1"/>
  <c r="AV139" i="76" s="1"/>
  <c r="AU139" i="76"/>
  <c r="AO139" i="76"/>
  <c r="AN139" i="76"/>
  <c r="AJ139" i="76"/>
  <c r="AY139" i="76" s="1"/>
  <c r="C139" i="76" a="1"/>
  <c r="C139" i="76" s="1"/>
  <c r="B139" i="76"/>
  <c r="AN138" i="76"/>
  <c r="AL138" i="76"/>
  <c r="AT138" i="76" s="1"/>
  <c r="AJ138" i="76"/>
  <c r="C138" i="76" a="1"/>
  <c r="C138" i="76" s="1"/>
  <c r="B138" i="76"/>
  <c r="BA137" i="76"/>
  <c r="AY137" i="76"/>
  <c r="AO137" i="76"/>
  <c r="AN137" i="76"/>
  <c r="AL137" i="76"/>
  <c r="AT137" i="76" s="1"/>
  <c r="AJ137" i="76"/>
  <c r="C137" i="76"/>
  <c r="C137" i="76" a="1"/>
  <c r="B137" i="76"/>
  <c r="AJ136" i="76"/>
  <c r="C136" i="76"/>
  <c r="C136" i="76" a="1"/>
  <c r="B136" i="76"/>
  <c r="BA135" i="76"/>
  <c r="AY135" i="76"/>
  <c r="AV135" i="76" a="1"/>
  <c r="AV135" i="76" s="1"/>
  <c r="AU135" i="76"/>
  <c r="AT135" i="76"/>
  <c r="AL135" i="76"/>
  <c r="AJ135" i="76"/>
  <c r="C135" i="76" a="1"/>
  <c r="C135" i="76" s="1"/>
  <c r="B135" i="76"/>
  <c r="BA134" i="76"/>
  <c r="AY134" i="76"/>
  <c r="AO134" i="76"/>
  <c r="AJ134" i="76"/>
  <c r="C134" i="76" a="1"/>
  <c r="C134" i="76" s="1"/>
  <c r="B134" i="76"/>
  <c r="AY133" i="76"/>
  <c r="AV133" i="76" a="1"/>
  <c r="AV133" i="76" s="1"/>
  <c r="AU133" i="76"/>
  <c r="AT133" i="76"/>
  <c r="AP133" i="76"/>
  <c r="AO133" i="76"/>
  <c r="AN133" i="76"/>
  <c r="AJ133" i="76"/>
  <c r="AL133" i="76" s="1"/>
  <c r="C133" i="76" a="1"/>
  <c r="C133" i="76" s="1"/>
  <c r="B133" i="76"/>
  <c r="BW132" i="76"/>
  <c r="BF132" i="76"/>
  <c r="AZ132" i="76" s="1"/>
  <c r="AY132" i="76"/>
  <c r="AX132" i="76"/>
  <c r="BD132" i="76" s="1"/>
  <c r="AV132" i="76" a="1"/>
  <c r="AV132" i="76" s="1"/>
  <c r="AU132" i="76"/>
  <c r="AO132" i="76"/>
  <c r="AN132" i="76"/>
  <c r="AP132" i="76" s="1"/>
  <c r="AL132" i="76"/>
  <c r="AT132" i="76" s="1"/>
  <c r="AJ132" i="76"/>
  <c r="BA132" i="76" s="1"/>
  <c r="AF132" i="76"/>
  <c r="AQ132" i="76" s="1"/>
  <c r="AE132" i="76"/>
  <c r="C132" i="76" a="1"/>
  <c r="C132" i="76" s="1"/>
  <c r="B132" i="76"/>
  <c r="BA131" i="76"/>
  <c r="AV131" i="76" a="1"/>
  <c r="AV131" i="76" s="1"/>
  <c r="AU131" i="76"/>
  <c r="AO131" i="76"/>
  <c r="AN131" i="76"/>
  <c r="AP131" i="76" s="1"/>
  <c r="AL131" i="76"/>
  <c r="AT131" i="76" s="1"/>
  <c r="AJ131" i="76"/>
  <c r="AY131" i="76" s="1"/>
  <c r="C131" i="76" a="1"/>
  <c r="C131" i="76" s="1"/>
  <c r="B131" i="76"/>
  <c r="AJ130" i="76"/>
  <c r="C130" i="76" a="1"/>
  <c r="C130" i="76" s="1"/>
  <c r="B130" i="76"/>
  <c r="AJ129" i="76"/>
  <c r="C129" i="76"/>
  <c r="C129" i="76" a="1"/>
  <c r="B129" i="76"/>
  <c r="AJ128" i="76"/>
  <c r="C128" i="76"/>
  <c r="C128" i="76" a="1"/>
  <c r="B128" i="76"/>
  <c r="AV127" i="76" a="1"/>
  <c r="AV127" i="76" s="1"/>
  <c r="AU127" i="76"/>
  <c r="AJ127" i="76"/>
  <c r="C127" i="76" a="1"/>
  <c r="C127" i="76" s="1"/>
  <c r="B127" i="76"/>
  <c r="BA126" i="76"/>
  <c r="AY126" i="76"/>
  <c r="AV126" i="76" a="1"/>
  <c r="AV126" i="76" s="1"/>
  <c r="AU126" i="76"/>
  <c r="AJ126" i="76"/>
  <c r="C126" i="76" a="1"/>
  <c r="C126" i="76" s="1"/>
  <c r="B126" i="76"/>
  <c r="AY125" i="76"/>
  <c r="AV125" i="76"/>
  <c r="AV125" i="76" a="1"/>
  <c r="AU125" i="76"/>
  <c r="AP125" i="76"/>
  <c r="AQ125" i="76" s="1"/>
  <c r="AO125" i="76"/>
  <c r="AN125" i="76"/>
  <c r="AJ125" i="76"/>
  <c r="AL125" i="76" s="1"/>
  <c r="AT125" i="76" s="1"/>
  <c r="AF125" i="76"/>
  <c r="AX125" i="76" s="1"/>
  <c r="BD125" i="76" s="1"/>
  <c r="AE125" i="76"/>
  <c r="AK125" i="76" s="1" a="1"/>
  <c r="AK125" i="76" s="1"/>
  <c r="C125" i="76" a="1"/>
  <c r="C125" i="76" s="1"/>
  <c r="B125" i="76"/>
  <c r="BF124" i="76"/>
  <c r="AZ124" i="76" s="1"/>
  <c r="AY124" i="76"/>
  <c r="AV124" i="76" a="1"/>
  <c r="AV124" i="76" s="1"/>
  <c r="AU124" i="76"/>
  <c r="AT124" i="76"/>
  <c r="AP124" i="76"/>
  <c r="AO124" i="76"/>
  <c r="AN124" i="76"/>
  <c r="AL124" i="76"/>
  <c r="AJ124" i="76"/>
  <c r="BA124" i="76" s="1"/>
  <c r="AG124" i="76"/>
  <c r="AF124" i="76"/>
  <c r="AE124" i="76"/>
  <c r="C124" i="76" a="1"/>
  <c r="C124" i="76" s="1"/>
  <c r="B124" i="76"/>
  <c r="AJ123" i="76"/>
  <c r="AL123" i="76" s="1"/>
  <c r="AT123" i="76" s="1"/>
  <c r="C123" i="76" a="1"/>
  <c r="C123" i="76" s="1"/>
  <c r="B123" i="76"/>
  <c r="BA122" i="76"/>
  <c r="AY122" i="76"/>
  <c r="AO122" i="76"/>
  <c r="AN122" i="76"/>
  <c r="AL122" i="76"/>
  <c r="AT122" i="76" s="1"/>
  <c r="AJ122" i="76"/>
  <c r="C122" i="76" a="1"/>
  <c r="C122" i="76" s="1"/>
  <c r="B122" i="76"/>
  <c r="AJ121" i="76"/>
  <c r="C121" i="76"/>
  <c r="C121" i="76" a="1"/>
  <c r="B121" i="76"/>
  <c r="BA120" i="76"/>
  <c r="AY120" i="76"/>
  <c r="AV120" i="76" a="1"/>
  <c r="AV120" i="76" s="1"/>
  <c r="AU120" i="76"/>
  <c r="AN120" i="76"/>
  <c r="AL120" i="76"/>
  <c r="AT120" i="76" s="1"/>
  <c r="AJ120" i="76"/>
  <c r="AO120" i="76" s="1"/>
  <c r="AF120" i="76"/>
  <c r="AE120" i="76"/>
  <c r="C120" i="76"/>
  <c r="C120" i="76" a="1"/>
  <c r="B120" i="76"/>
  <c r="AJ119" i="76"/>
  <c r="C119" i="76"/>
  <c r="C119" i="76" a="1"/>
  <c r="B119" i="76"/>
  <c r="AV118" i="76" a="1"/>
  <c r="AV118" i="76" s="1"/>
  <c r="AO118" i="76"/>
  <c r="AJ118" i="76"/>
  <c r="C118" i="76"/>
  <c r="C118" i="76" a="1"/>
  <c r="B118" i="76"/>
  <c r="AY117" i="76"/>
  <c r="AV117" i="76" a="1"/>
  <c r="AV117" i="76" s="1"/>
  <c r="AU117" i="76"/>
  <c r="AO117" i="76"/>
  <c r="AN117" i="76"/>
  <c r="AP117" i="76" s="1"/>
  <c r="BG117" i="76" s="1"/>
  <c r="AM117" i="76"/>
  <c r="AJ117" i="76"/>
  <c r="AL117" i="76" s="1"/>
  <c r="AT117" i="76" s="1"/>
  <c r="AX117" i="76" s="1"/>
  <c r="BD117" i="76" s="1"/>
  <c r="AI117" i="76"/>
  <c r="AF117" i="76"/>
  <c r="AE117" i="76"/>
  <c r="AK117" i="76" s="1" a="1"/>
  <c r="AK117" i="76" s="1"/>
  <c r="C117" i="76" a="1"/>
  <c r="C117" i="76" s="1"/>
  <c r="B117" i="76"/>
  <c r="AY116" i="76"/>
  <c r="AV116" i="76" a="1"/>
  <c r="AV116" i="76" s="1"/>
  <c r="AU116" i="76"/>
  <c r="AT116" i="76"/>
  <c r="AP116" i="76"/>
  <c r="AO116" i="76"/>
  <c r="AN116" i="76"/>
  <c r="AL116" i="76"/>
  <c r="AJ116" i="76"/>
  <c r="BA116" i="76" s="1"/>
  <c r="C116" i="76" a="1"/>
  <c r="C116" i="76" s="1"/>
  <c r="B116" i="76"/>
  <c r="BA115" i="76"/>
  <c r="AV115" i="76" a="1"/>
  <c r="AV115" i="76" s="1"/>
  <c r="AU115" i="76"/>
  <c r="AJ115" i="76"/>
  <c r="C115" i="76" a="1"/>
  <c r="C115" i="76" s="1"/>
  <c r="B115" i="76"/>
  <c r="AO114" i="76"/>
  <c r="AN114" i="76"/>
  <c r="AJ114" i="76"/>
  <c r="C114" i="76" a="1"/>
  <c r="C114" i="76" s="1"/>
  <c r="B114" i="76"/>
  <c r="BF113" i="76"/>
  <c r="AZ113" i="76" s="1"/>
  <c r="BC113" i="76"/>
  <c r="BA113" i="76"/>
  <c r="AY113" i="76"/>
  <c r="AP113" i="76"/>
  <c r="AO113" i="76"/>
  <c r="AN113" i="76"/>
  <c r="AJ113" i="76"/>
  <c r="AF113" i="76"/>
  <c r="C113" i="76"/>
  <c r="C113" i="76" a="1"/>
  <c r="B113" i="76"/>
  <c r="AJ112" i="76"/>
  <c r="C112" i="76"/>
  <c r="C112" i="76" a="1"/>
  <c r="B112" i="76"/>
  <c r="AJ111" i="76"/>
  <c r="C111" i="76" a="1"/>
  <c r="C111" i="76" s="1"/>
  <c r="B111" i="76"/>
  <c r="AJ110" i="76"/>
  <c r="C110" i="76"/>
  <c r="C110" i="76" a="1"/>
  <c r="B110" i="76"/>
  <c r="AY109" i="76"/>
  <c r="AV109" i="76" a="1"/>
  <c r="AV109" i="76" s="1"/>
  <c r="AU109" i="76"/>
  <c r="AT109" i="76"/>
  <c r="AP109" i="76"/>
  <c r="AO109" i="76"/>
  <c r="AN109" i="76"/>
  <c r="AJ109" i="76"/>
  <c r="AL109" i="76" s="1"/>
  <c r="AF109" i="76"/>
  <c r="AE109" i="76"/>
  <c r="AG109" i="76" s="1"/>
  <c r="C109" i="76"/>
  <c r="C109" i="76" a="1"/>
  <c r="B109" i="76"/>
  <c r="AY108" i="76"/>
  <c r="AV108" i="76"/>
  <c r="AV108" i="76" a="1"/>
  <c r="AU108" i="76"/>
  <c r="AO108" i="76"/>
  <c r="AN108" i="76"/>
  <c r="AL108" i="76"/>
  <c r="AT108" i="76" s="1"/>
  <c r="AJ108" i="76"/>
  <c r="BA108" i="76" s="1"/>
  <c r="C108" i="76" a="1"/>
  <c r="C108" i="76" s="1"/>
  <c r="B108" i="76"/>
  <c r="BF107" i="76"/>
  <c r="AZ107" i="76" s="1"/>
  <c r="BC107" i="76"/>
  <c r="BA107" i="76"/>
  <c r="AV107" i="76" a="1"/>
  <c r="AV107" i="76" s="1"/>
  <c r="AU107" i="76"/>
  <c r="AQ107" i="76"/>
  <c r="AP107" i="76"/>
  <c r="AO107" i="76"/>
  <c r="AN107" i="76"/>
  <c r="AF107" i="76" s="1"/>
  <c r="AJ107" i="76"/>
  <c r="AY107" i="76" s="1"/>
  <c r="AE107" i="76"/>
  <c r="C107" i="76" a="1"/>
  <c r="C107" i="76" s="1"/>
  <c r="B107" i="76"/>
  <c r="BA106" i="76"/>
  <c r="AN106" i="76"/>
  <c r="AJ106" i="76"/>
  <c r="C106" i="76" a="1"/>
  <c r="C106" i="76" s="1"/>
  <c r="B106" i="76"/>
  <c r="BA105" i="76"/>
  <c r="AY105" i="76"/>
  <c r="AP105" i="76"/>
  <c r="AO105" i="76"/>
  <c r="AN105" i="76"/>
  <c r="AL105" i="76"/>
  <c r="AT105" i="76" s="1"/>
  <c r="AJ105" i="76"/>
  <c r="C105" i="76"/>
  <c r="C105" i="76" a="1"/>
  <c r="B105" i="76"/>
  <c r="BA104" i="76"/>
  <c r="AJ104" i="76"/>
  <c r="C104" i="76"/>
  <c r="C104" i="76" a="1"/>
  <c r="B104" i="76"/>
  <c r="BA103" i="76"/>
  <c r="AY103" i="76"/>
  <c r="AV103" i="76" a="1"/>
  <c r="AV103" i="76" s="1"/>
  <c r="AU103" i="76"/>
  <c r="AL103" i="76"/>
  <c r="AT103" i="76" s="1"/>
  <c r="AJ103" i="76"/>
  <c r="C103" i="76" a="1"/>
  <c r="C103" i="76" s="1"/>
  <c r="B103" i="76"/>
  <c r="AJ102" i="76"/>
  <c r="C102" i="76" a="1"/>
  <c r="C102" i="76" s="1"/>
  <c r="B102" i="76"/>
  <c r="AY101" i="76"/>
  <c r="AV101" i="76" a="1"/>
  <c r="AV101" i="76" s="1"/>
  <c r="AU101" i="76"/>
  <c r="AO101" i="76"/>
  <c r="AN101" i="76"/>
  <c r="AP101" i="76" s="1"/>
  <c r="AJ101" i="76"/>
  <c r="AL101" i="76" s="1"/>
  <c r="AT101" i="76" s="1"/>
  <c r="C101" i="76" a="1"/>
  <c r="C101" i="76" s="1"/>
  <c r="B101" i="76"/>
  <c r="AY100" i="76"/>
  <c r="AV100" i="76" a="1"/>
  <c r="AV100" i="76" s="1"/>
  <c r="AU100" i="76"/>
  <c r="AO100" i="76"/>
  <c r="AN100" i="76"/>
  <c r="AP100" i="76" s="1"/>
  <c r="BF100" i="76" s="1"/>
  <c r="AZ100" i="76" s="1"/>
  <c r="AL100" i="76"/>
  <c r="AT100" i="76" s="1"/>
  <c r="AJ100" i="76"/>
  <c r="BA100" i="76" s="1"/>
  <c r="AF100" i="76"/>
  <c r="C100" i="76" a="1"/>
  <c r="C100" i="76" s="1"/>
  <c r="B100" i="76"/>
  <c r="BA99" i="76"/>
  <c r="AV99" i="76" a="1"/>
  <c r="AV99" i="76" s="1"/>
  <c r="AU99" i="76"/>
  <c r="AT99" i="76"/>
  <c r="AP99" i="76"/>
  <c r="AO99" i="76"/>
  <c r="AN99" i="76"/>
  <c r="AL99" i="76"/>
  <c r="AJ99" i="76"/>
  <c r="AY99" i="76" s="1"/>
  <c r="C99" i="76" a="1"/>
  <c r="C99" i="76" s="1"/>
  <c r="B99" i="76"/>
  <c r="BA98" i="76"/>
  <c r="AY98" i="76"/>
  <c r="AJ98" i="76"/>
  <c r="C98" i="76" a="1"/>
  <c r="C98" i="76" s="1"/>
  <c r="B98" i="76"/>
  <c r="AO97" i="76"/>
  <c r="AN97" i="76"/>
  <c r="AL97" i="76"/>
  <c r="AT97" i="76" s="1"/>
  <c r="AJ97" i="76"/>
  <c r="C97" i="76"/>
  <c r="C97" i="76" a="1"/>
  <c r="B97" i="76"/>
  <c r="BA96" i="76"/>
  <c r="AY96" i="76"/>
  <c r="AJ96" i="76"/>
  <c r="AU96" i="76" s="1"/>
  <c r="C96" i="76"/>
  <c r="C96" i="76" a="1"/>
  <c r="B96" i="76"/>
  <c r="AV95" i="76" a="1"/>
  <c r="AV95" i="76" s="1"/>
  <c r="AJ95" i="76"/>
  <c r="AL95" i="76" s="1"/>
  <c r="AT95" i="76" s="1"/>
  <c r="C95" i="76" a="1"/>
  <c r="C95" i="76" s="1"/>
  <c r="B95" i="76"/>
  <c r="BA94" i="76"/>
  <c r="AY94" i="76"/>
  <c r="AV94" i="76"/>
  <c r="AV94" i="76" a="1"/>
  <c r="AU94" i="76"/>
  <c r="AJ94" i="76"/>
  <c r="C94" i="76"/>
  <c r="C94" i="76" a="1"/>
  <c r="B94" i="76"/>
  <c r="AY93" i="76"/>
  <c r="AV93" i="76"/>
  <c r="AV93" i="76" a="1"/>
  <c r="AU93" i="76"/>
  <c r="AO93" i="76"/>
  <c r="AN93" i="76"/>
  <c r="AJ93" i="76"/>
  <c r="AL93" i="76" s="1"/>
  <c r="AT93" i="76" s="1"/>
  <c r="C93" i="76" a="1"/>
  <c r="C93" i="76" s="1"/>
  <c r="B93" i="76"/>
  <c r="AY92" i="76"/>
  <c r="AV92" i="76" a="1"/>
  <c r="AV92" i="76" s="1"/>
  <c r="AU92" i="76"/>
  <c r="AT92" i="76"/>
  <c r="AX92" i="76" s="1"/>
  <c r="BD92" i="76" s="1"/>
  <c r="AP92" i="76"/>
  <c r="BF92" i="76" s="1"/>
  <c r="AZ92" i="76" s="1"/>
  <c r="AO92" i="76"/>
  <c r="AN92" i="76"/>
  <c r="AL92" i="76"/>
  <c r="AJ92" i="76"/>
  <c r="BA92" i="76" s="1"/>
  <c r="AF92" i="76"/>
  <c r="AE92" i="76" s="1"/>
  <c r="C92" i="76" a="1"/>
  <c r="C92" i="76" s="1"/>
  <c r="B92" i="76"/>
  <c r="AO91" i="76"/>
  <c r="AN91" i="76"/>
  <c r="AL91" i="76"/>
  <c r="AT91" i="76" s="1"/>
  <c r="AJ91" i="76"/>
  <c r="C91" i="76" a="1"/>
  <c r="C91" i="76" s="1"/>
  <c r="B91" i="76"/>
  <c r="BA90" i="76"/>
  <c r="AY90" i="76"/>
  <c r="AT90" i="76"/>
  <c r="AP90" i="76"/>
  <c r="AO90" i="76"/>
  <c r="AN90" i="76"/>
  <c r="AL90" i="76"/>
  <c r="AJ90" i="76"/>
  <c r="C90" i="76" a="1"/>
  <c r="C90" i="76" s="1"/>
  <c r="B90" i="76"/>
  <c r="BA89" i="76"/>
  <c r="AY89" i="76"/>
  <c r="AL89" i="76"/>
  <c r="AT89" i="76" s="1"/>
  <c r="AJ89" i="76"/>
  <c r="C89" i="76"/>
  <c r="C89" i="76" a="1"/>
  <c r="B89" i="76"/>
  <c r="BA88" i="76"/>
  <c r="AY88" i="76"/>
  <c r="AV88" i="76" a="1"/>
  <c r="AV88" i="76" s="1"/>
  <c r="AU88" i="76"/>
  <c r="AN88" i="76"/>
  <c r="AL88" i="76"/>
  <c r="AT88" i="76" s="1"/>
  <c r="AJ88" i="76"/>
  <c r="AO88" i="76" s="1"/>
  <c r="C88" i="76"/>
  <c r="C88" i="76" a="1"/>
  <c r="B88" i="76"/>
  <c r="BA87" i="76"/>
  <c r="AY87" i="76"/>
  <c r="AJ87" i="76"/>
  <c r="C87" i="76"/>
  <c r="C87" i="76" a="1"/>
  <c r="B87" i="76"/>
  <c r="AY86" i="76"/>
  <c r="AV86" i="76"/>
  <c r="AV86" i="76" a="1"/>
  <c r="AJ86" i="76"/>
  <c r="C86" i="76" a="1"/>
  <c r="C86" i="76" s="1"/>
  <c r="B86" i="76"/>
  <c r="BW85" i="76"/>
  <c r="AY85" i="76"/>
  <c r="AX85" i="76"/>
  <c r="BD85" i="76" s="1"/>
  <c r="AV85" i="76"/>
  <c r="AV85" i="76" a="1"/>
  <c r="AU85" i="76"/>
  <c r="AO85" i="76"/>
  <c r="AN85" i="76"/>
  <c r="AP85" i="76" s="1"/>
  <c r="AJ85" i="76"/>
  <c r="AL85" i="76" s="1"/>
  <c r="AT85" i="76" s="1"/>
  <c r="AF85" i="76"/>
  <c r="AQ85" i="76" s="1"/>
  <c r="AE85" i="76"/>
  <c r="C85" i="76" a="1"/>
  <c r="C85" i="76" s="1"/>
  <c r="B85" i="76"/>
  <c r="AY84" i="76"/>
  <c r="AV84" i="76"/>
  <c r="AV84" i="76" a="1"/>
  <c r="AU84" i="76"/>
  <c r="AO84" i="76"/>
  <c r="AN84" i="76"/>
  <c r="AL84" i="76"/>
  <c r="AT84" i="76" s="1"/>
  <c r="AJ84" i="76"/>
  <c r="BA84" i="76" s="1"/>
  <c r="C84" i="76" a="1"/>
  <c r="C84" i="76" s="1"/>
  <c r="B84" i="76"/>
  <c r="AJ83" i="76"/>
  <c r="C83" i="76" a="1"/>
  <c r="C83" i="76" s="1"/>
  <c r="B83" i="76"/>
  <c r="AJ82" i="76"/>
  <c r="C82" i="76" a="1"/>
  <c r="C82" i="76" s="1"/>
  <c r="B82" i="76"/>
  <c r="BA81" i="76"/>
  <c r="AY81" i="76"/>
  <c r="AO81" i="76"/>
  <c r="AN81" i="76"/>
  <c r="AJ81" i="76"/>
  <c r="C81" i="76"/>
  <c r="C81" i="76" a="1"/>
  <c r="B81" i="76"/>
  <c r="AV80" i="76" a="1"/>
  <c r="AV80" i="76" s="1"/>
  <c r="AJ80" i="76"/>
  <c r="AN80" i="76" s="1"/>
  <c r="C80" i="76"/>
  <c r="C80" i="76" a="1"/>
  <c r="B80" i="76"/>
  <c r="AY79" i="76"/>
  <c r="AV79" i="76" a="1"/>
  <c r="AV79" i="76" s="1"/>
  <c r="AJ79" i="76"/>
  <c r="C79" i="76" a="1"/>
  <c r="C79" i="76" s="1"/>
  <c r="B79" i="76"/>
  <c r="AJ78" i="76"/>
  <c r="BA78" i="76" s="1"/>
  <c r="C78" i="76"/>
  <c r="C78" i="76" a="1"/>
  <c r="B78" i="76"/>
  <c r="AY77" i="76"/>
  <c r="AV77" i="76" a="1"/>
  <c r="AV77" i="76" s="1"/>
  <c r="AU77" i="76"/>
  <c r="AT77" i="76"/>
  <c r="AX77" i="76" s="1"/>
  <c r="BD77" i="76" s="1"/>
  <c r="AQ77" i="76"/>
  <c r="AP77" i="76"/>
  <c r="AO77" i="76"/>
  <c r="AN77" i="76"/>
  <c r="AJ77" i="76"/>
  <c r="AL77" i="76" s="1"/>
  <c r="AF77" i="76"/>
  <c r="AE77" i="76"/>
  <c r="C77" i="76" a="1"/>
  <c r="C77" i="76" s="1"/>
  <c r="B77" i="76"/>
  <c r="AY76" i="76"/>
  <c r="AV76" i="76"/>
  <c r="AV76" i="76" a="1"/>
  <c r="AU76" i="76"/>
  <c r="AO76" i="76"/>
  <c r="AN76" i="76"/>
  <c r="AL76" i="76"/>
  <c r="AT76" i="76" s="1"/>
  <c r="AJ76" i="76"/>
  <c r="BA76" i="76" s="1"/>
  <c r="AF76" i="76"/>
  <c r="C76" i="76" a="1"/>
  <c r="C76" i="76" s="1"/>
  <c r="B76" i="76"/>
  <c r="BA75" i="76"/>
  <c r="AV75" i="76" a="1"/>
  <c r="AV75" i="76" s="1"/>
  <c r="AU75" i="76"/>
  <c r="AO75" i="76"/>
  <c r="AN75" i="76"/>
  <c r="AJ75" i="76"/>
  <c r="AY75" i="76" s="1"/>
  <c r="C75" i="76" a="1"/>
  <c r="C75" i="76" s="1"/>
  <c r="B75" i="76"/>
  <c r="AJ74" i="76"/>
  <c r="C74" i="76" a="1"/>
  <c r="C74" i="76" s="1"/>
  <c r="B74" i="76"/>
  <c r="BA73" i="76"/>
  <c r="AY73" i="76"/>
  <c r="AO73" i="76"/>
  <c r="AN73" i="76"/>
  <c r="AL73" i="76"/>
  <c r="AT73" i="76" s="1"/>
  <c r="AJ73" i="76"/>
  <c r="C73" i="76"/>
  <c r="C73" i="76" a="1"/>
  <c r="B73" i="76"/>
  <c r="AJ72" i="76"/>
  <c r="C72" i="76"/>
  <c r="C72" i="76" a="1"/>
  <c r="B72" i="76"/>
  <c r="BA71" i="76"/>
  <c r="AY71" i="76"/>
  <c r="AV71" i="76" a="1"/>
  <c r="AV71" i="76" s="1"/>
  <c r="AU71" i="76"/>
  <c r="AL71" i="76"/>
  <c r="AT71" i="76" s="1"/>
  <c r="AJ71" i="76"/>
  <c r="C71" i="76" a="1"/>
  <c r="C71" i="76" s="1"/>
  <c r="B71" i="76"/>
  <c r="BA70" i="76"/>
  <c r="AY70" i="76"/>
  <c r="AJ70" i="76"/>
  <c r="C70" i="76" a="1"/>
  <c r="C70" i="76" s="1"/>
  <c r="B70" i="76"/>
  <c r="AY69" i="76"/>
  <c r="AV69" i="76" a="1"/>
  <c r="AV69" i="76" s="1"/>
  <c r="AU69" i="76"/>
  <c r="AT69" i="76"/>
  <c r="AP69" i="76"/>
  <c r="AO69" i="76"/>
  <c r="AN69" i="76"/>
  <c r="AJ69" i="76"/>
  <c r="AL69" i="76" s="1"/>
  <c r="C69" i="76" a="1"/>
  <c r="C69" i="76" s="1"/>
  <c r="B69" i="76"/>
  <c r="BF68" i="76"/>
  <c r="AZ68" i="76" s="1"/>
  <c r="AY68" i="76"/>
  <c r="AX68" i="76"/>
  <c r="BD68" i="76" s="1"/>
  <c r="AV68" i="76" a="1"/>
  <c r="AV68" i="76" s="1"/>
  <c r="AU68" i="76"/>
  <c r="AO68" i="76"/>
  <c r="AN68" i="76"/>
  <c r="AP68" i="76" s="1"/>
  <c r="AL68" i="76"/>
  <c r="AT68" i="76" s="1"/>
  <c r="AJ68" i="76"/>
  <c r="BA68" i="76" s="1"/>
  <c r="AF68" i="76"/>
  <c r="AQ68" i="76" s="1"/>
  <c r="AE68" i="76"/>
  <c r="C68" i="76" a="1"/>
  <c r="C68" i="76" s="1"/>
  <c r="B68" i="76"/>
  <c r="CZ67" i="76"/>
  <c r="CY67" i="76"/>
  <c r="CX67" i="76"/>
  <c r="CW67" i="76"/>
  <c r="CV67" i="76"/>
  <c r="CU67" i="76"/>
  <c r="CT67" i="76"/>
  <c r="BA67" i="76"/>
  <c r="AY67" i="76"/>
  <c r="AV67" i="76" a="1"/>
  <c r="AV67" i="76" s="1"/>
  <c r="AU67" i="76"/>
  <c r="AJ67" i="76"/>
  <c r="C67" i="76" a="1"/>
  <c r="C67" i="76" s="1"/>
  <c r="B67" i="76"/>
  <c r="CR66" i="76"/>
  <c r="CQ66" i="76"/>
  <c r="CP66" i="76"/>
  <c r="CO66" i="76"/>
  <c r="CN66" i="76"/>
  <c r="CM66" i="76"/>
  <c r="CL66" i="76"/>
  <c r="CJ66" i="76"/>
  <c r="CI66" i="76"/>
  <c r="CH66" i="76"/>
  <c r="CG66" i="76"/>
  <c r="CF66" i="76"/>
  <c r="CE66" i="76"/>
  <c r="CD66" i="76"/>
  <c r="AY66" i="76"/>
  <c r="AV66" i="76" a="1"/>
  <c r="AV66" i="76" s="1"/>
  <c r="AU66" i="76"/>
  <c r="AO66" i="76"/>
  <c r="AN66" i="76"/>
  <c r="AL66" i="76"/>
  <c r="AT66" i="76" s="1"/>
  <c r="AJ66" i="76"/>
  <c r="BA66" i="76" s="1"/>
  <c r="C66" i="76"/>
  <c r="C66" i="76" a="1"/>
  <c r="B66" i="76"/>
  <c r="AV65" i="76" a="1"/>
  <c r="AV65" i="76" s="1"/>
  <c r="AU65" i="76"/>
  <c r="AT65" i="76"/>
  <c r="AP65" i="76"/>
  <c r="AO65" i="76"/>
  <c r="AN65" i="76"/>
  <c r="AL65" i="76"/>
  <c r="AJ65" i="76"/>
  <c r="BA65" i="76" s="1"/>
  <c r="C65" i="76" a="1"/>
  <c r="C65" i="76" s="1"/>
  <c r="B65" i="76"/>
  <c r="BA64" i="76"/>
  <c r="AN64" i="76"/>
  <c r="AJ64" i="76"/>
  <c r="C64" i="76" a="1"/>
  <c r="C64" i="76" s="1"/>
  <c r="B64" i="76"/>
  <c r="BA63" i="76"/>
  <c r="AY63" i="76"/>
  <c r="AP63" i="76"/>
  <c r="AO63" i="76"/>
  <c r="AN63" i="76"/>
  <c r="AL63" i="76"/>
  <c r="AT63" i="76" s="1"/>
  <c r="AJ63" i="76"/>
  <c r="C63" i="76" a="1"/>
  <c r="C63" i="76" s="1"/>
  <c r="B63" i="76"/>
  <c r="BL62" i="76"/>
  <c r="BO62" i="76" s="1"/>
  <c r="AJ62" i="76"/>
  <c r="C62" i="76" a="1"/>
  <c r="C62" i="76" s="1"/>
  <c r="B62" i="76"/>
  <c r="BL61" i="76"/>
  <c r="BO61" i="76" s="1"/>
  <c r="BA61" i="76"/>
  <c r="AY61" i="76"/>
  <c r="AO61" i="76"/>
  <c r="AN61" i="76"/>
  <c r="AL61" i="76"/>
  <c r="AT61" i="76" s="1"/>
  <c r="AJ61" i="76"/>
  <c r="C61" i="76" a="1"/>
  <c r="C61" i="76" s="1"/>
  <c r="B61" i="76"/>
  <c r="BO60" i="76"/>
  <c r="BL60" i="76"/>
  <c r="AJ60" i="76"/>
  <c r="C60" i="76" a="1"/>
  <c r="C60" i="76" s="1"/>
  <c r="B60" i="76"/>
  <c r="BL59" i="76"/>
  <c r="BO59" i="76" s="1"/>
  <c r="BA59" i="76"/>
  <c r="AY59" i="76"/>
  <c r="AO59" i="76"/>
  <c r="AN59" i="76"/>
  <c r="AP59" i="76" s="1"/>
  <c r="AJ59" i="76"/>
  <c r="AL59" i="76" s="1"/>
  <c r="AT59" i="76" s="1"/>
  <c r="C59" i="76" a="1"/>
  <c r="C59" i="76" s="1"/>
  <c r="B59" i="76"/>
  <c r="BL58" i="76"/>
  <c r="BO58" i="76" s="1"/>
  <c r="AP58" i="76"/>
  <c r="BF58" i="76" s="1"/>
  <c r="AZ58" i="76" s="1"/>
  <c r="AO58" i="76"/>
  <c r="AN58" i="76"/>
  <c r="AL58" i="76"/>
  <c r="AT58" i="76" s="1"/>
  <c r="AJ58" i="76"/>
  <c r="C58" i="76" a="1"/>
  <c r="C58" i="76" s="1"/>
  <c r="B58" i="76"/>
  <c r="BL57" i="76"/>
  <c r="BO57" i="76" s="1"/>
  <c r="BA57" i="76"/>
  <c r="AY57" i="76"/>
  <c r="AJ57" i="76"/>
  <c r="C57" i="76" a="1"/>
  <c r="C57" i="76" s="1"/>
  <c r="B57" i="76"/>
  <c r="BL56" i="76"/>
  <c r="BO56" i="76" s="1"/>
  <c r="AJ56" i="76"/>
  <c r="C56" i="76" a="1"/>
  <c r="C56" i="76" s="1"/>
  <c r="B56" i="76"/>
  <c r="BL55" i="76"/>
  <c r="BO55" i="76" s="1"/>
  <c r="AJ55" i="76"/>
  <c r="C55" i="76" a="1"/>
  <c r="C55" i="76" s="1"/>
  <c r="B55" i="76"/>
  <c r="BO54" i="76"/>
  <c r="BL54" i="76"/>
  <c r="BA54" i="76"/>
  <c r="AY54" i="76"/>
  <c r="AO54" i="76"/>
  <c r="AN54" i="76"/>
  <c r="AL54" i="76"/>
  <c r="AT54" i="76" s="1"/>
  <c r="AJ54" i="76"/>
  <c r="C54" i="76" a="1"/>
  <c r="C54" i="76" s="1"/>
  <c r="B54" i="76"/>
  <c r="BO53" i="76"/>
  <c r="BL53" i="76"/>
  <c r="AJ53" i="76"/>
  <c r="C53" i="76" a="1"/>
  <c r="C53" i="76" s="1"/>
  <c r="B53" i="76"/>
  <c r="BO52" i="76"/>
  <c r="BL52" i="76"/>
  <c r="BA52" i="76"/>
  <c r="AY52" i="76"/>
  <c r="AO52" i="76"/>
  <c r="AN52" i="76"/>
  <c r="AJ52" i="76"/>
  <c r="C52" i="76" a="1"/>
  <c r="C52" i="76" s="1"/>
  <c r="B52" i="76"/>
  <c r="BL51" i="76"/>
  <c r="BO51" i="76" s="1"/>
  <c r="AO51" i="76"/>
  <c r="AN51" i="76"/>
  <c r="AJ51" i="76"/>
  <c r="C51" i="76" a="1"/>
  <c r="C51" i="76" s="1"/>
  <c r="B51" i="76"/>
  <c r="BL50" i="76"/>
  <c r="BO50" i="76" s="1"/>
  <c r="BA50" i="76"/>
  <c r="AJ50" i="76"/>
  <c r="AO50" i="76" s="1"/>
  <c r="C50" i="76" a="1"/>
  <c r="C50" i="76" s="1"/>
  <c r="B50" i="76"/>
  <c r="BL49" i="76"/>
  <c r="BO49" i="76" s="1"/>
  <c r="AJ49" i="76"/>
  <c r="C49" i="76" a="1"/>
  <c r="C49" i="76" s="1"/>
  <c r="B49" i="76"/>
  <c r="BL48" i="76"/>
  <c r="BO48" i="76" s="1"/>
  <c r="AJ48" i="76"/>
  <c r="C48" i="76" a="1"/>
  <c r="C48" i="76" s="1"/>
  <c r="B48" i="76"/>
  <c r="BO47" i="76"/>
  <c r="BL47" i="76"/>
  <c r="BA47" i="76"/>
  <c r="AY47" i="76"/>
  <c r="AO47" i="76"/>
  <c r="AN47" i="76"/>
  <c r="AL47" i="76"/>
  <c r="AT47" i="76" s="1"/>
  <c r="AJ47" i="76"/>
  <c r="C47" i="76" a="1"/>
  <c r="C47" i="76" s="1"/>
  <c r="B47" i="76"/>
  <c r="BL46" i="76"/>
  <c r="BO46" i="76" s="1"/>
  <c r="BA46" i="76"/>
  <c r="AO46" i="76"/>
  <c r="AN46" i="76"/>
  <c r="AP46" i="76" s="1"/>
  <c r="AL46" i="76"/>
  <c r="AT46" i="76" s="1"/>
  <c r="AJ46" i="76"/>
  <c r="C46" i="76" a="1"/>
  <c r="C46" i="76" s="1"/>
  <c r="B46" i="76"/>
  <c r="BL45" i="76"/>
  <c r="BO45" i="76" s="1"/>
  <c r="BA45" i="76"/>
  <c r="AY45" i="76"/>
  <c r="AJ45" i="76"/>
  <c r="C45" i="76" a="1"/>
  <c r="C45" i="76" s="1"/>
  <c r="B45" i="76"/>
  <c r="BL44" i="76"/>
  <c r="BO44" i="76" s="1"/>
  <c r="BA44" i="76"/>
  <c r="AY44" i="76"/>
  <c r="AO44" i="76"/>
  <c r="AN44" i="76"/>
  <c r="AL44" i="76"/>
  <c r="AT44" i="76" s="1"/>
  <c r="AJ44" i="76"/>
  <c r="C44" i="76" a="1"/>
  <c r="C44" i="76" s="1"/>
  <c r="B44" i="76"/>
  <c r="BO43" i="76"/>
  <c r="BL43" i="76"/>
  <c r="AY43" i="76"/>
  <c r="AN43" i="76"/>
  <c r="AJ43" i="76"/>
  <c r="C43" i="76" a="1"/>
  <c r="C43" i="76" s="1"/>
  <c r="B43" i="76"/>
  <c r="BO42" i="76"/>
  <c r="BL42" i="76"/>
  <c r="BA42" i="76"/>
  <c r="AY42" i="76"/>
  <c r="AO42" i="76"/>
  <c r="AN42" i="76"/>
  <c r="AJ42" i="76"/>
  <c r="C42" i="76" a="1"/>
  <c r="C42" i="76" s="1"/>
  <c r="B42" i="76"/>
  <c r="BL41" i="76"/>
  <c r="BO41" i="76" s="1"/>
  <c r="AO41" i="76"/>
  <c r="AJ41" i="76"/>
  <c r="C41" i="76" a="1"/>
  <c r="C41" i="76" s="1"/>
  <c r="B41" i="76"/>
  <c r="BO40" i="76"/>
  <c r="BL40" i="76"/>
  <c r="AJ40" i="76"/>
  <c r="C40" i="76" a="1"/>
  <c r="C40" i="76" s="1"/>
  <c r="B40" i="76"/>
  <c r="BO39" i="76"/>
  <c r="BL39" i="76"/>
  <c r="BA39" i="76"/>
  <c r="AY39" i="76"/>
  <c r="AO39" i="76"/>
  <c r="AN39" i="76"/>
  <c r="AL39" i="76"/>
  <c r="AT39" i="76" s="1"/>
  <c r="AJ39" i="76"/>
  <c r="C39" i="76" a="1"/>
  <c r="C39" i="76" s="1"/>
  <c r="B39" i="76"/>
  <c r="BO38" i="76"/>
  <c r="BL38" i="76"/>
  <c r="AL38" i="76"/>
  <c r="AT38" i="76" s="1"/>
  <c r="AJ38" i="76"/>
  <c r="C38" i="76" a="1"/>
  <c r="C38" i="76" s="1"/>
  <c r="B38" i="76"/>
  <c r="BL37" i="76"/>
  <c r="BO37" i="76" s="1"/>
  <c r="BA37" i="76"/>
  <c r="AY37" i="76"/>
  <c r="AJ37" i="76"/>
  <c r="C37" i="76" a="1"/>
  <c r="C37" i="76" s="1"/>
  <c r="B37" i="76"/>
  <c r="BL36" i="76"/>
  <c r="BO36" i="76" s="1"/>
  <c r="BA36" i="76"/>
  <c r="AY36" i="76"/>
  <c r="AT36" i="76"/>
  <c r="AP36" i="76"/>
  <c r="AO36" i="76"/>
  <c r="AN36" i="76"/>
  <c r="AL36" i="76"/>
  <c r="AJ36" i="76"/>
  <c r="C36" i="76" a="1"/>
  <c r="C36" i="76" s="1"/>
  <c r="B36" i="76"/>
  <c r="BL35" i="76"/>
  <c r="BO35" i="76" s="1"/>
  <c r="AJ35" i="76"/>
  <c r="C35" i="76" a="1"/>
  <c r="C35" i="76" s="1"/>
  <c r="B35" i="76"/>
  <c r="BO34" i="76"/>
  <c r="BL34" i="76"/>
  <c r="BA34" i="76"/>
  <c r="AY34" i="76"/>
  <c r="AO34" i="76"/>
  <c r="AN34" i="76"/>
  <c r="AJ34" i="76"/>
  <c r="AL34" i="76" s="1"/>
  <c r="AT34" i="76" s="1"/>
  <c r="C34" i="76" a="1"/>
  <c r="C34" i="76" s="1"/>
  <c r="B34" i="76"/>
  <c r="BL33" i="76"/>
  <c r="BO33" i="76" s="1"/>
  <c r="AT33" i="76"/>
  <c r="AO33" i="76"/>
  <c r="AN33" i="76"/>
  <c r="AP33" i="76" s="1"/>
  <c r="AL33" i="76"/>
  <c r="AJ33" i="76"/>
  <c r="C33" i="76" a="1"/>
  <c r="C33" i="76" s="1"/>
  <c r="B33" i="76"/>
  <c r="BL32" i="76"/>
  <c r="BO32" i="76" s="1"/>
  <c r="BA32" i="76"/>
  <c r="AY32" i="76"/>
  <c r="AJ32" i="76"/>
  <c r="C32" i="76" a="1"/>
  <c r="C32" i="76" s="1"/>
  <c r="B32" i="76"/>
  <c r="BO31" i="76"/>
  <c r="BL31" i="76"/>
  <c r="BA31" i="76"/>
  <c r="AY31" i="76"/>
  <c r="AO31" i="76"/>
  <c r="AN31" i="76"/>
  <c r="AP31" i="76" s="1"/>
  <c r="AL31" i="76"/>
  <c r="AT31" i="76" s="1"/>
  <c r="AJ31" i="76"/>
  <c r="C31" i="76" a="1"/>
  <c r="C31" i="76" s="1"/>
  <c r="B31" i="76"/>
  <c r="BL30" i="76"/>
  <c r="BO30" i="76" s="1"/>
  <c r="AJ30" i="76"/>
  <c r="C30" i="76" a="1"/>
  <c r="C30" i="76" s="1"/>
  <c r="B30" i="76"/>
  <c r="BL29" i="76"/>
  <c r="BO29" i="76" s="1"/>
  <c r="AY29" i="76"/>
  <c r="AJ29" i="76"/>
  <c r="C29" i="76" a="1"/>
  <c r="C29" i="76" s="1"/>
  <c r="B29" i="76"/>
  <c r="BL28" i="76"/>
  <c r="BO28" i="76" s="1"/>
  <c r="BA28" i="76"/>
  <c r="AY28" i="76"/>
  <c r="AT28" i="76"/>
  <c r="AP28" i="76"/>
  <c r="AO28" i="76"/>
  <c r="AN28" i="76"/>
  <c r="AL28" i="76"/>
  <c r="AJ28" i="76"/>
  <c r="C28" i="76" a="1"/>
  <c r="C28" i="76" s="1"/>
  <c r="B28" i="76"/>
  <c r="BL27" i="76"/>
  <c r="BO27" i="76" s="1"/>
  <c r="BA27" i="76"/>
  <c r="AY27" i="76"/>
  <c r="AJ27" i="76"/>
  <c r="C27" i="76" a="1"/>
  <c r="C27" i="76" s="1"/>
  <c r="B27" i="76"/>
  <c r="BO26" i="76"/>
  <c r="BA26" i="76"/>
  <c r="AY26" i="76"/>
  <c r="AO26" i="76"/>
  <c r="AN26" i="76"/>
  <c r="AJ26" i="76"/>
  <c r="AF26" i="76"/>
  <c r="C26" i="76" a="1"/>
  <c r="C26" i="76" s="1"/>
  <c r="B26" i="76"/>
  <c r="AJ25" i="76"/>
  <c r="AL25" i="76" s="1"/>
  <c r="AT25" i="76" s="1"/>
  <c r="C25" i="76"/>
  <c r="C25" i="76" a="1"/>
  <c r="B25" i="76"/>
  <c r="BO24" i="76"/>
  <c r="AY24" i="76"/>
  <c r="AJ24" i="76"/>
  <c r="C24" i="76" a="1"/>
  <c r="C24" i="76" s="1"/>
  <c r="B24" i="76"/>
  <c r="BO23" i="76"/>
  <c r="BA23" i="76"/>
  <c r="AY23" i="76"/>
  <c r="AV23" i="76" a="1"/>
  <c r="AV23" i="76" s="1"/>
  <c r="AU23" i="76"/>
  <c r="AT23" i="76"/>
  <c r="AL23" i="76"/>
  <c r="AJ23" i="76"/>
  <c r="C23" i="76" a="1"/>
  <c r="C23" i="76" s="1"/>
  <c r="B23" i="76"/>
  <c r="BL22" i="76"/>
  <c r="BO22" i="76" s="1"/>
  <c r="AJ22" i="76"/>
  <c r="C22" i="76" a="1"/>
  <c r="C22" i="76" s="1"/>
  <c r="B22" i="76"/>
  <c r="BW21" i="76"/>
  <c r="BL21" i="76"/>
  <c r="BO21" i="76" s="1"/>
  <c r="BG21" i="76"/>
  <c r="BF21" i="76"/>
  <c r="C21" i="76"/>
  <c r="C21" i="76" a="1"/>
  <c r="B21" i="76"/>
  <c r="BW20" i="76"/>
  <c r="BL20" i="76"/>
  <c r="BO20" i="76" s="1"/>
  <c r="BG20" i="76"/>
  <c r="BF20" i="76" s="1"/>
  <c r="C20" i="76" a="1"/>
  <c r="C20" i="76" s="1"/>
  <c r="B20" i="76"/>
  <c r="BW19" i="76"/>
  <c r="BL19" i="76"/>
  <c r="BO19" i="76" s="1"/>
  <c r="C19" i="76"/>
  <c r="C19" i="76" a="1"/>
  <c r="B19" i="76"/>
  <c r="BW18" i="76"/>
  <c r="BO18" i="76"/>
  <c r="BL18" i="76"/>
  <c r="BG18" i="76"/>
  <c r="BF18" i="76"/>
  <c r="BD18" i="76"/>
  <c r="BC18" i="76"/>
  <c r="BB18" i="76"/>
  <c r="BA18" i="76"/>
  <c r="AZ18" i="76"/>
  <c r="AY18" i="76"/>
  <c r="AX18" i="76"/>
  <c r="AW18" i="76"/>
  <c r="AV18" i="76"/>
  <c r="AU18" i="76"/>
  <c r="AT18" i="76"/>
  <c r="AS18" i="76"/>
  <c r="AR18" i="76"/>
  <c r="AQ18" i="76"/>
  <c r="AP18" i="76"/>
  <c r="AO18" i="76"/>
  <c r="AN18" i="76"/>
  <c r="AM18" i="76"/>
  <c r="AL18" i="76"/>
  <c r="AK18" i="76"/>
  <c r="AJ18" i="76"/>
  <c r="AI18" i="76"/>
  <c r="AH18" i="76"/>
  <c r="AG18" i="76"/>
  <c r="AF18" i="76"/>
  <c r="C18" i="76" a="1"/>
  <c r="C18" i="76" s="1"/>
  <c r="B18" i="76"/>
  <c r="BW17" i="76"/>
  <c r="BO17" i="76"/>
  <c r="C17" i="76" a="1"/>
  <c r="C17" i="76" s="1"/>
  <c r="B17" i="76"/>
  <c r="BW16" i="76"/>
  <c r="BO16" i="76"/>
  <c r="C16" i="76" a="1"/>
  <c r="C16" i="76" s="1"/>
  <c r="B16" i="76"/>
  <c r="BW15" i="76"/>
  <c r="BO15" i="76"/>
  <c r="C15" i="76" a="1"/>
  <c r="C15" i="76" s="1"/>
  <c r="B15" i="76"/>
  <c r="BW14" i="76"/>
  <c r="BP14" i="76"/>
  <c r="BO14" i="76"/>
  <c r="BN14" i="76"/>
  <c r="BM14" i="76"/>
  <c r="BL14" i="76"/>
  <c r="BK14" i="76"/>
  <c r="BJ14" i="76"/>
  <c r="BI14" i="76"/>
  <c r="C14" i="76"/>
  <c r="C14" i="76" a="1"/>
  <c r="B14" i="76"/>
  <c r="BW13" i="76"/>
  <c r="BD13" i="76"/>
  <c r="B13" i="76"/>
  <c r="BW12" i="76"/>
  <c r="B12" i="76"/>
  <c r="BW11" i="76"/>
  <c r="B11" i="76"/>
  <c r="BW10" i="76"/>
  <c r="J10" i="76"/>
  <c r="I10" i="76"/>
  <c r="H10" i="76"/>
  <c r="G10" i="76"/>
  <c r="F10" i="76"/>
  <c r="E10" i="76"/>
  <c r="D10" i="76"/>
  <c r="C10" i="76"/>
  <c r="B10" i="76"/>
  <c r="BW9" i="76"/>
  <c r="B9" i="76"/>
  <c r="BW8" i="76"/>
  <c r="B8" i="76"/>
  <c r="DC7" i="76"/>
  <c r="BW7" i="76"/>
  <c r="B7" i="76"/>
  <c r="DC6" i="76"/>
  <c r="BW6" i="76"/>
  <c r="B6" i="76"/>
  <c r="BZ5" i="76"/>
  <c r="BW5" i="76"/>
  <c r="B5" i="76"/>
  <c r="B4" i="76"/>
  <c r="DD3" i="76"/>
  <c r="CZ3" i="76"/>
  <c r="CX3" i="76"/>
  <c r="CZ2" i="76"/>
  <c r="CY2" i="76"/>
  <c r="CX2" i="76"/>
  <c r="CW2" i="76"/>
  <c r="CV2" i="76"/>
  <c r="CU2" i="76"/>
  <c r="CT2" i="76"/>
  <c r="CR2" i="76"/>
  <c r="CQ2" i="76"/>
  <c r="CP2" i="76"/>
  <c r="CO2" i="76"/>
  <c r="CN2" i="76"/>
  <c r="CM2" i="76"/>
  <c r="CL2" i="76"/>
  <c r="CJ2" i="76"/>
  <c r="CI2" i="76"/>
  <c r="CH2" i="76"/>
  <c r="CG2" i="76"/>
  <c r="CF2" i="76"/>
  <c r="CE2" i="76"/>
  <c r="CD2" i="76"/>
  <c r="CB2" i="76"/>
  <c r="CA2" i="76"/>
  <c r="BZ2" i="76"/>
  <c r="BY2" i="76"/>
  <c r="BX2" i="76"/>
  <c r="BW2" i="76"/>
  <c r="BP2" i="76"/>
  <c r="BO2" i="76"/>
  <c r="BN2" i="76"/>
  <c r="BM2" i="76"/>
  <c r="BL2" i="76"/>
  <c r="BI2" i="76"/>
  <c r="BH2" i="76"/>
  <c r="BG2" i="76"/>
  <c r="BD2" i="76"/>
  <c r="BC2" i="76"/>
  <c r="BB2" i="76"/>
  <c r="BA2" i="76"/>
  <c r="AZ2" i="76"/>
  <c r="AY2" i="76"/>
  <c r="AX2" i="76"/>
  <c r="AW2" i="76"/>
  <c r="AV2" i="76"/>
  <c r="AU2" i="76"/>
  <c r="AT2" i="76"/>
  <c r="AS2" i="76"/>
  <c r="AR2" i="76"/>
  <c r="AQ2" i="76"/>
  <c r="AP2" i="76"/>
  <c r="AO2" i="76"/>
  <c r="AN2" i="76"/>
  <c r="AM2" i="76"/>
  <c r="AL2" i="76"/>
  <c r="AK2" i="76"/>
  <c r="AJ2" i="76"/>
  <c r="AI2" i="76"/>
  <c r="AH2" i="76"/>
  <c r="AG2" i="76"/>
  <c r="AF2" i="76"/>
  <c r="AE2" i="76"/>
  <c r="Z2" i="76"/>
  <c r="Y2" i="76"/>
  <c r="X2" i="76"/>
  <c r="W2" i="76"/>
  <c r="V2" i="76"/>
  <c r="U2" i="76"/>
  <c r="T2" i="76"/>
  <c r="S2" i="76"/>
  <c r="R2" i="76"/>
  <c r="Q2" i="76"/>
  <c r="P2" i="76"/>
  <c r="O2" i="76"/>
  <c r="N2" i="76"/>
  <c r="M2" i="76"/>
  <c r="L2" i="76"/>
  <c r="K2" i="76"/>
  <c r="J2" i="76"/>
  <c r="I2" i="76"/>
  <c r="H2" i="76"/>
  <c r="G2" i="76"/>
  <c r="F2" i="76"/>
  <c r="E2" i="76"/>
  <c r="D2" i="76"/>
  <c r="C2" i="76"/>
  <c r="B2" i="76"/>
  <c r="DD1" i="76"/>
  <c r="DC1" i="76"/>
  <c r="CZ1" i="76"/>
  <c r="CY1" i="76"/>
  <c r="CX1" i="76"/>
  <c r="CW1" i="76"/>
  <c r="CV1" i="76"/>
  <c r="CU1" i="76"/>
  <c r="CT1" i="76"/>
  <c r="CR1" i="76"/>
  <c r="CQ1" i="76"/>
  <c r="CP1" i="76"/>
  <c r="CO1" i="76"/>
  <c r="CN1" i="76"/>
  <c r="CM1" i="76"/>
  <c r="CL1" i="76"/>
  <c r="CJ1" i="76"/>
  <c r="CI1" i="76"/>
  <c r="CH1" i="76"/>
  <c r="CG1" i="76"/>
  <c r="CF1" i="76"/>
  <c r="CE1" i="76"/>
  <c r="CD1" i="76"/>
  <c r="CB1" i="76"/>
  <c r="CA1" i="76"/>
  <c r="BZ1" i="76"/>
  <c r="BY1" i="76"/>
  <c r="BX1" i="76"/>
  <c r="BW1" i="76"/>
  <c r="BP1" i="76"/>
  <c r="BO1" i="76"/>
  <c r="BN1" i="76"/>
  <c r="BM1" i="76"/>
  <c r="BL1" i="76"/>
  <c r="BI1" i="76"/>
  <c r="BH1" i="76"/>
  <c r="BG1" i="76"/>
  <c r="BD1" i="76"/>
  <c r="BC1" i="76"/>
  <c r="BB1" i="76"/>
  <c r="BA1" i="76"/>
  <c r="AZ1" i="76"/>
  <c r="AY1" i="76"/>
  <c r="AX1" i="76"/>
  <c r="AW1" i="76"/>
  <c r="AV1" i="76"/>
  <c r="AU1" i="76"/>
  <c r="AT1" i="76"/>
  <c r="AS1" i="76"/>
  <c r="AR1" i="76"/>
  <c r="AQ1" i="76"/>
  <c r="AP1" i="76"/>
  <c r="AO1" i="76"/>
  <c r="AN1" i="76"/>
  <c r="AM1" i="76"/>
  <c r="AL1" i="76"/>
  <c r="AK1" i="76"/>
  <c r="AJ1" i="76"/>
  <c r="AI1" i="76"/>
  <c r="AH1" i="76"/>
  <c r="AG1" i="76"/>
  <c r="AF1" i="76"/>
  <c r="AE1" i="76"/>
  <c r="AC1" i="76"/>
  <c r="AB1" i="76"/>
  <c r="AA1" i="76"/>
  <c r="Z1" i="76"/>
  <c r="Y1" i="76"/>
  <c r="X1" i="76"/>
  <c r="W1" i="76"/>
  <c r="V1" i="76"/>
  <c r="U1" i="76"/>
  <c r="T1" i="76"/>
  <c r="S1" i="76"/>
  <c r="R1" i="76"/>
  <c r="Q1" i="76"/>
  <c r="P1" i="76"/>
  <c r="O1" i="76"/>
  <c r="N1" i="76"/>
  <c r="M1" i="76"/>
  <c r="L1" i="76"/>
  <c r="K1" i="76"/>
  <c r="J1" i="76"/>
  <c r="I1" i="76"/>
  <c r="H1" i="76"/>
  <c r="G1" i="76"/>
  <c r="F1" i="76"/>
  <c r="E1" i="76"/>
  <c r="D1" i="76"/>
  <c r="C1" i="76"/>
  <c r="B1" i="76"/>
  <c r="A1" i="76"/>
  <c r="V273" i="77"/>
  <c r="V275" i="77"/>
  <c r="V278" i="77"/>
  <c r="V276" i="77"/>
  <c r="V274" i="77"/>
  <c r="V277" i="77"/>
  <c r="M13" i="77" l="1"/>
  <c r="M25" i="77"/>
  <c r="M29" i="77"/>
  <c r="M54" i="77"/>
  <c r="M20" i="77"/>
  <c r="M37" i="77"/>
  <c r="M50" i="77"/>
  <c r="P21" i="77"/>
  <c r="P44" i="77"/>
  <c r="P60" i="77"/>
  <c r="P22" i="77"/>
  <c r="P18" i="77"/>
  <c r="P47" i="77"/>
  <c r="P34" i="77"/>
  <c r="P53" i="77"/>
  <c r="P31" i="77"/>
  <c r="P38" i="77"/>
  <c r="P48" i="77"/>
  <c r="P39" i="77"/>
  <c r="P49" i="77"/>
  <c r="P40" i="77"/>
  <c r="P14" i="77"/>
  <c r="AQ496" i="77"/>
  <c r="L278" i="77"/>
  <c r="L276" i="77"/>
  <c r="AP100" i="77"/>
  <c r="BF100" i="77" s="1"/>
  <c r="AZ100" i="77" s="1"/>
  <c r="AF100" i="77"/>
  <c r="AJ104" i="77"/>
  <c r="B104" i="77"/>
  <c r="AL36" i="77"/>
  <c r="AT36" i="77" s="1"/>
  <c r="AO124" i="77"/>
  <c r="AN124" i="77"/>
  <c r="AP124" i="77" s="1"/>
  <c r="BA266" i="77"/>
  <c r="AV266" i="77" a="1"/>
  <c r="AV266" i="77" s="1"/>
  <c r="AY266" i="77"/>
  <c r="AU266" i="77"/>
  <c r="AO266" i="77"/>
  <c r="AL406" i="77"/>
  <c r="AT406" i="77" s="1"/>
  <c r="AY406" i="77"/>
  <c r="Z23" i="77"/>
  <c r="AN36" i="77"/>
  <c r="AP36" i="77" s="1"/>
  <c r="BA102" i="77"/>
  <c r="AY102" i="77"/>
  <c r="AV102" i="77" a="1"/>
  <c r="AV102" i="77" s="1"/>
  <c r="AY106" i="77"/>
  <c r="AU195" i="77"/>
  <c r="AV195" i="77" a="1"/>
  <c r="AV195" i="77" s="1"/>
  <c r="BA195" i="77"/>
  <c r="AF287" i="77"/>
  <c r="AE287" i="77"/>
  <c r="BW287" i="77" s="1"/>
  <c r="BA366" i="77"/>
  <c r="AO366" i="77"/>
  <c r="BA36" i="77"/>
  <c r="AY264" i="77"/>
  <c r="AU264" i="77"/>
  <c r="AO264" i="77"/>
  <c r="AE117" i="77"/>
  <c r="AH117" i="77" s="1"/>
  <c r="AQ117" i="77"/>
  <c r="AY319" i="77"/>
  <c r="L277" i="77"/>
  <c r="AN57" i="77"/>
  <c r="AP57" i="77" s="1"/>
  <c r="AL100" i="77"/>
  <c r="AT100" i="77" s="1"/>
  <c r="AO57" i="77"/>
  <c r="AY62" i="77"/>
  <c r="BA13" i="77"/>
  <c r="BA52" i="77"/>
  <c r="AY52" i="77"/>
  <c r="AN52" i="77"/>
  <c r="AF52" i="77" s="1"/>
  <c r="AE52" i="77" s="1"/>
  <c r="AO52" i="77"/>
  <c r="AL52" i="77"/>
  <c r="AT52" i="77" s="1"/>
  <c r="AL69" i="77"/>
  <c r="AT69" i="77" s="1"/>
  <c r="AV69" i="77" a="1"/>
  <c r="AV69" i="77" s="1"/>
  <c r="AU69" i="77"/>
  <c r="AN69" i="77"/>
  <c r="AY69" i="77"/>
  <c r="AO69" i="77"/>
  <c r="AP132" i="77"/>
  <c r="BF132" i="77" s="1"/>
  <c r="AZ132" i="77" s="1"/>
  <c r="AF132" i="77"/>
  <c r="AE132" i="77" s="1"/>
  <c r="AY320" i="77"/>
  <c r="BA320" i="77"/>
  <c r="AO320" i="77"/>
  <c r="AN320" i="77"/>
  <c r="AP320" i="77" s="1"/>
  <c r="BF320" i="77" s="1"/>
  <c r="AZ320" i="77" s="1"/>
  <c r="BC320" i="77" s="1"/>
  <c r="AL320" i="77"/>
  <c r="AT320" i="77" s="1"/>
  <c r="BA390" i="77"/>
  <c r="AY390" i="77"/>
  <c r="AV390" i="77" a="1"/>
  <c r="AV390" i="77" s="1"/>
  <c r="AO31" i="77"/>
  <c r="AN31" i="77"/>
  <c r="AP31" i="77" s="1"/>
  <c r="BF31" i="77" s="1"/>
  <c r="AZ31" i="77" s="1"/>
  <c r="BA31" i="77" s="1"/>
  <c r="AY151" i="77"/>
  <c r="BA162" i="77"/>
  <c r="AV162" i="77" a="1"/>
  <c r="AV162" i="77" s="1"/>
  <c r="AU162" i="77"/>
  <c r="AY162" i="77"/>
  <c r="AO162" i="77"/>
  <c r="BA222" i="77"/>
  <c r="AY222" i="77"/>
  <c r="AN222" i="77"/>
  <c r="AF222" i="77" s="1"/>
  <c r="AV222" i="77" a="1"/>
  <c r="AV222" i="77" s="1"/>
  <c r="AU222" i="77"/>
  <c r="AO222" i="77"/>
  <c r="AO25" i="77"/>
  <c r="AO34" i="77"/>
  <c r="AN34" i="77"/>
  <c r="AF34" i="77" s="1"/>
  <c r="AE34" i="77" s="1"/>
  <c r="AL228" i="77"/>
  <c r="AT228" i="77" s="1"/>
  <c r="BA228" i="77"/>
  <c r="AY228" i="77"/>
  <c r="AO228" i="77"/>
  <c r="B34" i="77"/>
  <c r="BA100" i="77"/>
  <c r="AY100" i="77"/>
  <c r="AV100" i="77" a="1"/>
  <c r="AV100" i="77" s="1"/>
  <c r="AU100" i="77"/>
  <c r="AO100" i="77"/>
  <c r="AO75" i="77"/>
  <c r="BA405" i="77"/>
  <c r="AJ24" i="77"/>
  <c r="B24" i="77"/>
  <c r="AO36" i="77"/>
  <c r="BA65" i="77"/>
  <c r="AU65" i="77"/>
  <c r="AO65" i="77"/>
  <c r="AU91" i="77"/>
  <c r="AL93" i="77"/>
  <c r="AT93" i="77" s="1"/>
  <c r="AU93" i="77"/>
  <c r="AO93" i="77"/>
  <c r="AN93" i="77"/>
  <c r="AF93" i="77" s="1"/>
  <c r="AX93" i="77" s="1"/>
  <c r="BD93" i="77" s="1"/>
  <c r="AV93" i="77" a="1"/>
  <c r="AV93" i="77" s="1"/>
  <c r="AY93" i="77"/>
  <c r="AN162" i="77"/>
  <c r="AJ144" i="77"/>
  <c r="B144" i="77"/>
  <c r="AU191" i="77"/>
  <c r="AL191" i="77"/>
  <c r="AT191" i="77" s="1"/>
  <c r="AO191" i="77"/>
  <c r="AY191" i="77"/>
  <c r="AV191" i="77" a="1"/>
  <c r="AV191" i="77" s="1"/>
  <c r="AN191" i="77"/>
  <c r="AU168" i="77"/>
  <c r="BA168" i="77"/>
  <c r="AY57" i="77"/>
  <c r="AV176" i="77" a="1"/>
  <c r="AV176" i="77" s="1"/>
  <c r="AO176" i="77"/>
  <c r="AY176" i="77"/>
  <c r="AV259" i="77" a="1"/>
  <c r="AV259" i="77" s="1"/>
  <c r="AY259" i="77"/>
  <c r="AO259" i="77"/>
  <c r="AU259" i="77"/>
  <c r="BA259" i="77"/>
  <c r="AX117" i="77"/>
  <c r="BD117" i="77" s="1"/>
  <c r="AL154" i="77"/>
  <c r="AT154" i="77" s="1"/>
  <c r="AY154" i="77"/>
  <c r="AO154" i="77"/>
  <c r="AN215" i="77"/>
  <c r="AP215" i="77" s="1"/>
  <c r="BA283" i="77"/>
  <c r="AN283" i="77"/>
  <c r="AL283" i="77"/>
  <c r="AT283" i="77" s="1"/>
  <c r="AO283" i="77"/>
  <c r="BA374" i="77"/>
  <c r="AU374" i="77"/>
  <c r="AY374" i="77"/>
  <c r="AV374" i="77" a="1"/>
  <c r="AV374" i="77" s="1"/>
  <c r="AL374" i="77"/>
  <c r="AT374" i="77" s="1"/>
  <c r="AN374" i="77"/>
  <c r="AL386" i="77"/>
  <c r="AT386" i="77" s="1"/>
  <c r="AO96" i="77"/>
  <c r="BA96" i="77"/>
  <c r="AV96" i="77" a="1"/>
  <c r="AV96" i="77" s="1"/>
  <c r="AN98" i="77"/>
  <c r="AF98" i="77" s="1"/>
  <c r="AE98" i="77" s="1"/>
  <c r="AN154" i="77"/>
  <c r="AF154" i="77" s="1"/>
  <c r="AL50" i="77"/>
  <c r="AT50" i="77" s="1"/>
  <c r="BA55" i="77"/>
  <c r="AU84" i="77"/>
  <c r="AO86" i="77"/>
  <c r="AL96" i="77"/>
  <c r="AT96" i="77" s="1"/>
  <c r="AV115" i="77" a="1"/>
  <c r="AV115" i="77" s="1"/>
  <c r="AF133" i="77"/>
  <c r="AQ133" i="77" s="1"/>
  <c r="AN146" i="77"/>
  <c r="AE186" i="77"/>
  <c r="AI186" i="77" s="1"/>
  <c r="AO193" i="77"/>
  <c r="BA203" i="77"/>
  <c r="AY203" i="77"/>
  <c r="AO215" i="77"/>
  <c r="AL225" i="77"/>
  <c r="AT225" i="77" s="1"/>
  <c r="AV225" i="77" a="1"/>
  <c r="AV225" i="77" s="1"/>
  <c r="AU225" i="77"/>
  <c r="BA231" i="77"/>
  <c r="AO231" i="77"/>
  <c r="AY231" i="77"/>
  <c r="AN231" i="77"/>
  <c r="AL231" i="77"/>
  <c r="AT231" i="77" s="1"/>
  <c r="AO239" i="77"/>
  <c r="AY257" i="77"/>
  <c r="AV257" i="77" a="1"/>
  <c r="AV257" i="77" s="1"/>
  <c r="AN304" i="77"/>
  <c r="AO308" i="77"/>
  <c r="BA334" i="77"/>
  <c r="AY334" i="77"/>
  <c r="AO334" i="77"/>
  <c r="AV334" i="77" a="1"/>
  <c r="AV334" i="77" s="1"/>
  <c r="AN334" i="77"/>
  <c r="AY381" i="77"/>
  <c r="AV381" i="77" a="1"/>
  <c r="AV381" i="77" s="1"/>
  <c r="BA381" i="77"/>
  <c r="BA32" i="77"/>
  <c r="AY32" i="77"/>
  <c r="AN32" i="77"/>
  <c r="AP32" i="77" s="1"/>
  <c r="BF32" i="77" s="1"/>
  <c r="AZ32" i="77" s="1"/>
  <c r="BC32" i="77" s="1"/>
  <c r="AL149" i="77"/>
  <c r="AT149" i="77" s="1"/>
  <c r="AV149" i="77" a="1"/>
  <c r="AV149" i="77" s="1"/>
  <c r="AU149" i="77"/>
  <c r="AE159" i="77"/>
  <c r="AN184" i="77"/>
  <c r="AP184" i="77" s="1"/>
  <c r="AY184" i="77"/>
  <c r="AO184" i="77"/>
  <c r="AO237" i="77"/>
  <c r="AY55" i="77"/>
  <c r="AO84" i="77"/>
  <c r="AN149" i="77"/>
  <c r="AN157" i="77"/>
  <c r="AV157" i="77" a="1"/>
  <c r="AV157" i="77" s="1"/>
  <c r="AU157" i="77"/>
  <c r="AO157" i="77"/>
  <c r="AL184" i="77"/>
  <c r="AT184" i="77" s="1"/>
  <c r="AL188" i="77"/>
  <c r="AT188" i="77" s="1"/>
  <c r="AY188" i="77"/>
  <c r="AU188" i="77"/>
  <c r="AO188" i="77"/>
  <c r="AN188" i="77"/>
  <c r="BA270" i="77"/>
  <c r="AO270" i="77"/>
  <c r="AY270" i="77"/>
  <c r="AV270" i="77" a="1"/>
  <c r="AV270" i="77" s="1"/>
  <c r="AY283" i="77"/>
  <c r="AU360" i="77"/>
  <c r="BA360" i="77"/>
  <c r="AO374" i="77"/>
  <c r="AV386" i="77" a="1"/>
  <c r="AV386" i="77" s="1"/>
  <c r="AN50" i="77"/>
  <c r="AP50" i="77" s="1"/>
  <c r="AO63" i="77"/>
  <c r="AN63" i="77"/>
  <c r="AF63" i="77" s="1"/>
  <c r="AE63" i="77" s="1"/>
  <c r="AU86" i="77"/>
  <c r="AN96" i="77"/>
  <c r="AY107" i="77"/>
  <c r="BA107" i="77"/>
  <c r="AV107" i="77" a="1"/>
  <c r="AV107" i="77" s="1"/>
  <c r="AU107" i="77"/>
  <c r="AN107" i="77"/>
  <c r="AP107" i="77" s="1"/>
  <c r="AL107" i="77"/>
  <c r="AT107" i="77" s="1"/>
  <c r="BA115" i="77"/>
  <c r="AL133" i="77"/>
  <c r="AT133" i="77" s="1"/>
  <c r="AX133" i="77" s="1"/>
  <c r="BD133" i="77" s="1"/>
  <c r="AO133" i="77"/>
  <c r="AY133" i="77"/>
  <c r="AV133" i="77" a="1"/>
  <c r="AV133" i="77" s="1"/>
  <c r="AO146" i="77"/>
  <c r="AY157" i="77"/>
  <c r="AP186" i="77"/>
  <c r="BF186" i="77" s="1"/>
  <c r="AZ186" i="77" s="1"/>
  <c r="BC186" i="77" s="1"/>
  <c r="AL203" i="77"/>
  <c r="AT203" i="77" s="1"/>
  <c r="AV206" i="77" a="1"/>
  <c r="AV206" i="77" s="1"/>
  <c r="BA206" i="77"/>
  <c r="AY206" i="77"/>
  <c r="AN206" i="77"/>
  <c r="AL206" i="77"/>
  <c r="AT206" i="77" s="1"/>
  <c r="B226" i="77"/>
  <c r="AU231" i="77"/>
  <c r="BA234" i="77"/>
  <c r="AU234" i="77"/>
  <c r="AL257" i="77"/>
  <c r="AT257" i="77" s="1"/>
  <c r="AN270" i="77"/>
  <c r="AP270" i="77" s="1"/>
  <c r="AP298" i="77"/>
  <c r="BF298" i="77" s="1"/>
  <c r="AZ298" i="77" s="1"/>
  <c r="BC298" i="77" s="1"/>
  <c r="AN308" i="77"/>
  <c r="AP308" i="77" s="1"/>
  <c r="AL334" i="77"/>
  <c r="AT334" i="77" s="1"/>
  <c r="AO360" i="77"/>
  <c r="AL369" i="77"/>
  <c r="AT369" i="77" s="1"/>
  <c r="AV369" i="77" a="1"/>
  <c r="AV369" i="77" s="1"/>
  <c r="AN381" i="77"/>
  <c r="AP381" i="77" s="1"/>
  <c r="BF381" i="77" s="1"/>
  <c r="AZ381" i="77" s="1"/>
  <c r="BC381" i="77" s="1"/>
  <c r="O358" i="77"/>
  <c r="O345" i="77"/>
  <c r="O409" i="77"/>
  <c r="O405" i="77"/>
  <c r="O398" i="77"/>
  <c r="O394" i="77"/>
  <c r="O390" i="77"/>
  <c r="O386" i="77"/>
  <c r="O382" i="77"/>
  <c r="O371" i="77"/>
  <c r="O367" i="77"/>
  <c r="O363" i="77"/>
  <c r="O349" i="77"/>
  <c r="O339" i="77"/>
  <c r="O378" i="77"/>
  <c r="O374" i="77"/>
  <c r="O356" i="77"/>
  <c r="AO356" i="77" s="1"/>
  <c r="O347" i="77"/>
  <c r="AO347" i="77" s="1"/>
  <c r="O401" i="77"/>
  <c r="O361" i="77"/>
  <c r="O354" i="77"/>
  <c r="O344" i="77"/>
  <c r="O408" i="77"/>
  <c r="O404" i="77"/>
  <c r="O397" i="77"/>
  <c r="O393" i="77"/>
  <c r="O389" i="77"/>
  <c r="O385" i="77"/>
  <c r="O381" i="77"/>
  <c r="O370" i="77"/>
  <c r="O338" i="77"/>
  <c r="O407" i="77"/>
  <c r="O400" i="77"/>
  <c r="O396" i="77"/>
  <c r="O392" i="77"/>
  <c r="O388" i="77"/>
  <c r="O384" i="77"/>
  <c r="O380" i="77"/>
  <c r="O369" i="77"/>
  <c r="O357" i="77"/>
  <c r="O337" i="77"/>
  <c r="O355" i="77"/>
  <c r="O362" i="77"/>
  <c r="O343" i="77"/>
  <c r="O402" i="77"/>
  <c r="O375" i="77"/>
  <c r="O395" i="77"/>
  <c r="O368" i="77"/>
  <c r="O352" i="77"/>
  <c r="O350" i="77"/>
  <c r="O406" i="77"/>
  <c r="O379" i="77"/>
  <c r="O391" i="77"/>
  <c r="O365" i="77"/>
  <c r="O351" i="77"/>
  <c r="O348" i="77"/>
  <c r="O399" i="77"/>
  <c r="O364" i="77"/>
  <c r="O341" i="77"/>
  <c r="O373" i="77"/>
  <c r="O359" i="77"/>
  <c r="O353" i="77"/>
  <c r="O372" i="77"/>
  <c r="O346" i="77"/>
  <c r="AO346" i="77" s="1"/>
  <c r="O366" i="77"/>
  <c r="O377" i="77"/>
  <c r="O387" i="77"/>
  <c r="O360" i="77"/>
  <c r="O383" i="77"/>
  <c r="AO386" i="77"/>
  <c r="AN386" i="77"/>
  <c r="BA94" i="77"/>
  <c r="AY94" i="77"/>
  <c r="AN305" i="77"/>
  <c r="AN48" i="77"/>
  <c r="AP48" i="77" s="1"/>
  <c r="BF48" i="77" s="1"/>
  <c r="AZ48" i="77" s="1"/>
  <c r="BC48" i="77" s="1"/>
  <c r="AO94" i="77"/>
  <c r="AN125" i="77"/>
  <c r="AO141" i="77"/>
  <c r="BA223" i="77"/>
  <c r="AV223" i="77" a="1"/>
  <c r="AV223" i="77" s="1"/>
  <c r="AU223" i="77"/>
  <c r="AO223" i="77"/>
  <c r="AL324" i="77"/>
  <c r="AT324" i="77" s="1"/>
  <c r="AO32" i="77"/>
  <c r="AO43" i="77"/>
  <c r="AO48" i="77"/>
  <c r="AY50" i="77"/>
  <c r="AO56" i="77"/>
  <c r="AN56" i="77"/>
  <c r="AP56" i="77" s="1"/>
  <c r="BA87" i="77"/>
  <c r="AY87" i="77"/>
  <c r="AV87" i="77" a="1"/>
  <c r="AV87" i="77" s="1"/>
  <c r="AU94" i="77"/>
  <c r="AY96" i="77"/>
  <c r="AN101" i="77"/>
  <c r="AO125" i="77"/>
  <c r="AN141" i="77"/>
  <c r="AP141" i="77" s="1"/>
  <c r="BF141" i="77" s="1"/>
  <c r="AZ141" i="77" s="1"/>
  <c r="AY149" i="77"/>
  <c r="AN161" i="77"/>
  <c r="BA161" i="77"/>
  <c r="AY161" i="77"/>
  <c r="AO161" i="77"/>
  <c r="AL161" i="77"/>
  <c r="AT161" i="77" s="1"/>
  <c r="BA170" i="77"/>
  <c r="AL170" i="77"/>
  <c r="AT170" i="77" s="1"/>
  <c r="AV170" i="77" a="1"/>
  <c r="AV170" i="77" s="1"/>
  <c r="AU170" i="77"/>
  <c r="AN172" i="77"/>
  <c r="AP172" i="77" s="1"/>
  <c r="BA194" i="77"/>
  <c r="AU194" i="77"/>
  <c r="AV194" i="77" a="1"/>
  <c r="AV194" i="77" s="1"/>
  <c r="AO194" i="77"/>
  <c r="AN194" i="77"/>
  <c r="AL194" i="77"/>
  <c r="AT194" i="77" s="1"/>
  <c r="AL223" i="77"/>
  <c r="AT223" i="77" s="1"/>
  <c r="AY234" i="77"/>
  <c r="AU334" i="77"/>
  <c r="AL355" i="77"/>
  <c r="AT355" i="77" s="1"/>
  <c r="AU369" i="77"/>
  <c r="N110" i="77"/>
  <c r="N106" i="77"/>
  <c r="N92" i="77"/>
  <c r="N65" i="77"/>
  <c r="N88" i="77"/>
  <c r="N79" i="77"/>
  <c r="N73" i="77"/>
  <c r="N67" i="77"/>
  <c r="N109" i="77"/>
  <c r="N77" i="77"/>
  <c r="AN77" i="77" s="1"/>
  <c r="N104" i="77"/>
  <c r="N96" i="77"/>
  <c r="N81" i="77"/>
  <c r="AN81" i="77" s="1"/>
  <c r="N91" i="77"/>
  <c r="N85" i="77"/>
  <c r="N83" i="77"/>
  <c r="N107" i="77"/>
  <c r="N94" i="77"/>
  <c r="N108" i="77"/>
  <c r="N98" i="77"/>
  <c r="N74" i="77"/>
  <c r="N66" i="77"/>
  <c r="N97" i="77"/>
  <c r="N89" i="77"/>
  <c r="N100" i="77"/>
  <c r="N72" i="77"/>
  <c r="N105" i="77"/>
  <c r="N99" i="77"/>
  <c r="N86" i="77"/>
  <c r="N75" i="77"/>
  <c r="AN75" i="77" s="1"/>
  <c r="N90" i="77"/>
  <c r="N80" i="77"/>
  <c r="N71" i="77"/>
  <c r="N103" i="77"/>
  <c r="N82" i="77"/>
  <c r="N101" i="77"/>
  <c r="N93" i="77"/>
  <c r="N68" i="77"/>
  <c r="N76" i="77"/>
  <c r="AN76" i="77" s="1"/>
  <c r="N64" i="77"/>
  <c r="N78" i="77"/>
  <c r="AU64" i="77"/>
  <c r="BA108" i="77"/>
  <c r="AY108" i="77"/>
  <c r="BA113" i="77"/>
  <c r="AY113" i="77"/>
  <c r="AN113" i="77"/>
  <c r="AL113" i="77"/>
  <c r="AT113" i="77" s="1"/>
  <c r="AV158" i="77" a="1"/>
  <c r="AV158" i="77" s="1"/>
  <c r="AU158" i="77"/>
  <c r="AL163" i="77"/>
  <c r="AT163" i="77" s="1"/>
  <c r="BA172" i="77"/>
  <c r="AU189" i="77"/>
  <c r="BA189" i="77"/>
  <c r="AY189" i="77"/>
  <c r="AL199" i="77"/>
  <c r="AT199" i="77" s="1"/>
  <c r="AO199" i="77"/>
  <c r="AV203" i="77" a="1"/>
  <c r="AV203" i="77" s="1"/>
  <c r="BA230" i="77"/>
  <c r="AU230" i="77"/>
  <c r="AL246" i="77"/>
  <c r="AT246" i="77" s="1"/>
  <c r="BA394" i="77"/>
  <c r="AV394" i="77" a="1"/>
  <c r="AV394" i="77" s="1"/>
  <c r="AO394" i="77"/>
  <c r="AN394" i="77"/>
  <c r="AE394" i="77" s="1"/>
  <c r="O88" i="77"/>
  <c r="O79" i="77"/>
  <c r="AO79" i="77" s="1"/>
  <c r="O99" i="77"/>
  <c r="O95" i="77"/>
  <c r="O86" i="77"/>
  <c r="O68" i="77"/>
  <c r="O108" i="77"/>
  <c r="O101" i="77"/>
  <c r="O90" i="77"/>
  <c r="O80" i="77"/>
  <c r="O104" i="77"/>
  <c r="O96" i="77"/>
  <c r="O81" i="77"/>
  <c r="AO81" i="77" s="1"/>
  <c r="O73" i="77"/>
  <c r="O91" i="77"/>
  <c r="O85" i="77"/>
  <c r="O83" i="77"/>
  <c r="AO83" i="77" s="1"/>
  <c r="O87" i="77"/>
  <c r="O65" i="77"/>
  <c r="O78" i="77"/>
  <c r="AO78" i="77" s="1"/>
  <c r="O76" i="77"/>
  <c r="AO76" i="77" s="1"/>
  <c r="O74" i="77"/>
  <c r="O71" i="77"/>
  <c r="O66" i="77"/>
  <c r="O102" i="77"/>
  <c r="O92" i="77"/>
  <c r="O84" i="77"/>
  <c r="O107" i="77"/>
  <c r="O63" i="77"/>
  <c r="O105" i="77"/>
  <c r="O67" i="77"/>
  <c r="O75" i="77"/>
  <c r="O93" i="77"/>
  <c r="O110" i="77"/>
  <c r="O82" i="77"/>
  <c r="AO82" i="77" s="1"/>
  <c r="O109" i="77"/>
  <c r="O89" i="77"/>
  <c r="O100" i="77"/>
  <c r="O98" i="77"/>
  <c r="O72" i="77"/>
  <c r="O64" i="77"/>
  <c r="O97" i="77"/>
  <c r="O106" i="77"/>
  <c r="O70" i="77"/>
  <c r="O336" i="77"/>
  <c r="AP253" i="77"/>
  <c r="BF253" i="77" s="1"/>
  <c r="AZ253" i="77" s="1"/>
  <c r="BC253" i="77" s="1"/>
  <c r="AF253" i="77"/>
  <c r="BA324" i="77"/>
  <c r="AO324" i="77"/>
  <c r="AN324" i="77"/>
  <c r="BA84" i="77"/>
  <c r="AN84" i="77"/>
  <c r="AF84" i="77" s="1"/>
  <c r="AL84" i="77"/>
  <c r="AT84" i="77" s="1"/>
  <c r="AX84" i="77" s="1"/>
  <c r="BD84" i="77" s="1"/>
  <c r="P409" i="77"/>
  <c r="P405" i="77"/>
  <c r="P398" i="77"/>
  <c r="P394" i="77"/>
  <c r="P390" i="77"/>
  <c r="P386" i="77"/>
  <c r="P382" i="77"/>
  <c r="P371" i="77"/>
  <c r="P367" i="77"/>
  <c r="P363" i="77"/>
  <c r="P349" i="77"/>
  <c r="P339" i="77"/>
  <c r="P378" i="77"/>
  <c r="P374" i="77"/>
  <c r="P356" i="77"/>
  <c r="P347" i="77"/>
  <c r="P401" i="77"/>
  <c r="P361" i="77"/>
  <c r="P354" i="77"/>
  <c r="P344" i="77"/>
  <c r="P408" i="77"/>
  <c r="P404" i="77"/>
  <c r="P397" i="77"/>
  <c r="P393" i="77"/>
  <c r="P389" i="77"/>
  <c r="P385" i="77"/>
  <c r="P381" i="77"/>
  <c r="P370" i="77"/>
  <c r="P338" i="77"/>
  <c r="P377" i="77"/>
  <c r="P366" i="77"/>
  <c r="P352" i="77"/>
  <c r="P403" i="77"/>
  <c r="P376" i="77"/>
  <c r="P362" i="77"/>
  <c r="P348" i="77"/>
  <c r="P343" i="77"/>
  <c r="P402" i="77"/>
  <c r="P388" i="77"/>
  <c r="P375" i="77"/>
  <c r="P395" i="77"/>
  <c r="P368" i="77"/>
  <c r="P357" i="77"/>
  <c r="P350" i="77"/>
  <c r="P407" i="77"/>
  <c r="P380" i="77"/>
  <c r="P372" i="77"/>
  <c r="P400" i="77"/>
  <c r="P351" i="77"/>
  <c r="P345" i="77"/>
  <c r="P337" i="77"/>
  <c r="P399" i="77"/>
  <c r="P379" i="77"/>
  <c r="P406" i="77"/>
  <c r="P359" i="77"/>
  <c r="P396" i="77"/>
  <c r="P384" i="77"/>
  <c r="P373" i="77"/>
  <c r="P353" i="77"/>
  <c r="P365" i="77"/>
  <c r="P383" i="77"/>
  <c r="P340" i="77"/>
  <c r="P391" i="77"/>
  <c r="P392" i="77"/>
  <c r="P387" i="77"/>
  <c r="P358" i="77"/>
  <c r="P355" i="77"/>
  <c r="P341" i="77"/>
  <c r="P364" i="77"/>
  <c r="P369" i="77"/>
  <c r="AJ35" i="77"/>
  <c r="AO35" i="77" s="1"/>
  <c r="AV94" i="77" a="1"/>
  <c r="AV94" i="77" s="1"/>
  <c r="AO101" i="77"/>
  <c r="AO172" i="77"/>
  <c r="AN223" i="77"/>
  <c r="BA268" i="77"/>
  <c r="AY268" i="77"/>
  <c r="AO268" i="77"/>
  <c r="AV268" i="77" a="1"/>
  <c r="AV268" i="77" s="1"/>
  <c r="AN268" i="77"/>
  <c r="AP268" i="77" s="1"/>
  <c r="AL268" i="77"/>
  <c r="AT268" i="77" s="1"/>
  <c r="AV324" i="77" a="1"/>
  <c r="AV324" i="77" s="1"/>
  <c r="AU335" i="77"/>
  <c r="BA335" i="77"/>
  <c r="AY335" i="77"/>
  <c r="AN355" i="77"/>
  <c r="AV22" i="77" a="1"/>
  <c r="AV22" i="77" s="1"/>
  <c r="AY43" i="77"/>
  <c r="AN41" i="77"/>
  <c r="AP41" i="77" s="1"/>
  <c r="AV101" i="77" a="1"/>
  <c r="AV101" i="77" s="1"/>
  <c r="AL108" i="77"/>
  <c r="AT108" i="77" s="1"/>
  <c r="AO113" i="77"/>
  <c r="BA156" i="77"/>
  <c r="AO156" i="77"/>
  <c r="AY156" i="77"/>
  <c r="AL158" i="77"/>
  <c r="AT158" i="77" s="1"/>
  <c r="AN163" i="77"/>
  <c r="AF163" i="77" s="1"/>
  <c r="AV189" i="77" a="1"/>
  <c r="AV189" i="77" s="1"/>
  <c r="AY207" i="77"/>
  <c r="AO216" i="77"/>
  <c r="AN216" i="77"/>
  <c r="AY223" i="77"/>
  <c r="AL230" i="77"/>
  <c r="AT230" i="77" s="1"/>
  <c r="AU232" i="77"/>
  <c r="AN232" i="77"/>
  <c r="AP232" i="77" s="1"/>
  <c r="AY232" i="77"/>
  <c r="AV232" i="77" a="1"/>
  <c r="AV232" i="77" s="1"/>
  <c r="AU268" i="77"/>
  <c r="AL394" i="77"/>
  <c r="AT394" i="77" s="1"/>
  <c r="BA404" i="77"/>
  <c r="AO404" i="77"/>
  <c r="AN404" i="77"/>
  <c r="AU404" i="77"/>
  <c r="AY404" i="77"/>
  <c r="AV404" i="77" a="1"/>
  <c r="AV404" i="77" s="1"/>
  <c r="P336" i="77"/>
  <c r="AO391" i="77"/>
  <c r="BA391" i="77"/>
  <c r="AN391" i="77"/>
  <c r="AY391" i="77"/>
  <c r="AY98" i="77"/>
  <c r="AO98" i="77"/>
  <c r="AL48" i="77"/>
  <c r="AT48" i="77" s="1"/>
  <c r="BA48" i="77"/>
  <c r="AP66" i="77"/>
  <c r="BF66" i="77" s="1"/>
  <c r="AZ66" i="77" s="1"/>
  <c r="BC66" i="77" s="1"/>
  <c r="AF66" i="77"/>
  <c r="AE66" i="77" s="1"/>
  <c r="AM66" i="77" s="1"/>
  <c r="AP203" i="77"/>
  <c r="AF203" i="77"/>
  <c r="AQ203" i="77" s="1"/>
  <c r="AE203" i="77"/>
  <c r="BW203" i="77" s="1"/>
  <c r="AV288" i="77" a="1"/>
  <c r="AV288" i="77" s="1"/>
  <c r="AU288" i="77"/>
  <c r="AY375" i="77"/>
  <c r="AV375" i="77" a="1"/>
  <c r="AV375" i="77" s="1"/>
  <c r="AU375" i="77"/>
  <c r="BA116" i="77"/>
  <c r="AO116" i="77"/>
  <c r="AN116" i="77"/>
  <c r="AL116" i="77"/>
  <c r="AT116" i="77" s="1"/>
  <c r="AO128" i="77"/>
  <c r="AN128" i="77"/>
  <c r="BA246" i="77"/>
  <c r="AU246" i="77"/>
  <c r="AV246" i="77" a="1"/>
  <c r="AV246" i="77" s="1"/>
  <c r="AO246" i="77"/>
  <c r="AY246" i="77"/>
  <c r="B255" i="77"/>
  <c r="AU101" i="77"/>
  <c r="AO41" i="77"/>
  <c r="AV67" i="77" a="1"/>
  <c r="AV67" i="77" s="1"/>
  <c r="AU67" i="77"/>
  <c r="AP85" i="77"/>
  <c r="AF85" i="77"/>
  <c r="AY101" i="77"/>
  <c r="AN108" i="77"/>
  <c r="AU116" i="77"/>
  <c r="AY158" i="77"/>
  <c r="AY170" i="77"/>
  <c r="AU197" i="77"/>
  <c r="AY197" i="77"/>
  <c r="AN214" i="77"/>
  <c r="AN230" i="77"/>
  <c r="BA263" i="77"/>
  <c r="AV263" i="77" a="1"/>
  <c r="AV263" i="77" s="1"/>
  <c r="AU263" i="77"/>
  <c r="BA302" i="77"/>
  <c r="AO302" i="77"/>
  <c r="AN302" i="77"/>
  <c r="AL312" i="77"/>
  <c r="AT312" i="77" s="1"/>
  <c r="BA312" i="77"/>
  <c r="AO312" i="77"/>
  <c r="AY312" i="77"/>
  <c r="AV312" i="77" a="1"/>
  <c r="AV312" i="77" s="1"/>
  <c r="AU312" i="77"/>
  <c r="AN312" i="77"/>
  <c r="AU365" i="77"/>
  <c r="BA365" i="77"/>
  <c r="AY365" i="77"/>
  <c r="N102" i="77"/>
  <c r="BA327" i="77"/>
  <c r="AV327" i="77" a="1"/>
  <c r="AV327" i="77" s="1"/>
  <c r="AU327" i="77"/>
  <c r="AL327" i="77"/>
  <c r="AT327" i="77" s="1"/>
  <c r="P360" i="77"/>
  <c r="BA387" i="77"/>
  <c r="AO387" i="77"/>
  <c r="AY387" i="77"/>
  <c r="AV387" i="77" a="1"/>
  <c r="AV387" i="77" s="1"/>
  <c r="AN387" i="77"/>
  <c r="BA182" i="77"/>
  <c r="AL182" i="77"/>
  <c r="AT182" i="77" s="1"/>
  <c r="AX182" i="77" s="1"/>
  <c r="BD182" i="77" s="1"/>
  <c r="BA186" i="77"/>
  <c r="AO186" i="77"/>
  <c r="AV200" i="77" a="1"/>
  <c r="AV200" i="77" s="1"/>
  <c r="AU200" i="77"/>
  <c r="AN200" i="77"/>
  <c r="AP200" i="77" s="1"/>
  <c r="AL314" i="77"/>
  <c r="AT314" i="77" s="1"/>
  <c r="AO349" i="77"/>
  <c r="BA378" i="77"/>
  <c r="AU378" i="77"/>
  <c r="AN378" i="77"/>
  <c r="AL387" i="77"/>
  <c r="AT387" i="77" s="1"/>
  <c r="BA407" i="77"/>
  <c r="AU407" i="77"/>
  <c r="AL407" i="77"/>
  <c r="AT407" i="77" s="1"/>
  <c r="AY407" i="77"/>
  <c r="BA202" i="77"/>
  <c r="AN202" i="77"/>
  <c r="AF202" i="77" s="1"/>
  <c r="AO238" i="77"/>
  <c r="AV281" i="77" a="1"/>
  <c r="AV281" i="77" s="1"/>
  <c r="AU281" i="77"/>
  <c r="AV314" i="77" a="1"/>
  <c r="AV314" i="77" s="1"/>
  <c r="AO336" i="77"/>
  <c r="AY336" i="77"/>
  <c r="AO367" i="77"/>
  <c r="AY367" i="77"/>
  <c r="AU367" i="77"/>
  <c r="AN367" i="77"/>
  <c r="AP367" i="77" s="1"/>
  <c r="BF367" i="77" s="1"/>
  <c r="AZ367" i="77" s="1"/>
  <c r="BC367" i="77" s="1"/>
  <c r="BA383" i="77"/>
  <c r="AY383" i="77"/>
  <c r="AO392" i="77"/>
  <c r="AN392" i="77"/>
  <c r="AU392" i="77"/>
  <c r="AL392" i="77"/>
  <c r="AT392" i="77" s="1"/>
  <c r="X34" i="77"/>
  <c r="X25" i="77"/>
  <c r="X35" i="77"/>
  <c r="X33" i="77"/>
  <c r="Z31" i="77"/>
  <c r="X37" i="77"/>
  <c r="X31" i="77"/>
  <c r="Z29" i="77"/>
  <c r="Z34" i="77"/>
  <c r="Z30" i="77"/>
  <c r="X28" i="77"/>
  <c r="X30" i="77"/>
  <c r="X36" i="77"/>
  <c r="Z27" i="77"/>
  <c r="X23" i="77"/>
  <c r="Z25" i="77"/>
  <c r="Z35" i="77"/>
  <c r="X29" i="77"/>
  <c r="X26" i="77"/>
  <c r="AV111" i="77" a="1"/>
  <c r="AV111" i="77" s="1"/>
  <c r="AV152" i="77" a="1"/>
  <c r="AV152" i="77" s="1"/>
  <c r="AO175" i="77"/>
  <c r="BA178" i="77"/>
  <c r="AV178" i="77" a="1"/>
  <c r="AV178" i="77" s="1"/>
  <c r="AO209" i="77"/>
  <c r="AV250" i="77" a="1"/>
  <c r="AV250" i="77" s="1"/>
  <c r="BA286" i="77"/>
  <c r="AU286" i="77"/>
  <c r="AY354" i="77"/>
  <c r="BA354" i="77"/>
  <c r="BA367" i="77"/>
  <c r="AY372" i="77"/>
  <c r="AV378" i="77" a="1"/>
  <c r="AV378" i="77" s="1"/>
  <c r="AY392" i="77"/>
  <c r="P59" i="77"/>
  <c r="P55" i="77"/>
  <c r="P45" i="77"/>
  <c r="P36" i="77"/>
  <c r="P27" i="77"/>
  <c r="P37" i="77"/>
  <c r="P54" i="77"/>
  <c r="P46" i="77"/>
  <c r="P15" i="77"/>
  <c r="P50" i="77"/>
  <c r="P41" i="77"/>
  <c r="P35" i="77"/>
  <c r="P58" i="77"/>
  <c r="P23" i="77"/>
  <c r="P17" i="77"/>
  <c r="P24" i="77"/>
  <c r="P20" i="77"/>
  <c r="P13" i="77"/>
  <c r="P57" i="77"/>
  <c r="P52" i="77"/>
  <c r="P26" i="77"/>
  <c r="P33" i="77"/>
  <c r="P28" i="77"/>
  <c r="P51" i="77"/>
  <c r="P30" i="77"/>
  <c r="P56" i="77"/>
  <c r="P32" i="77"/>
  <c r="P42" i="77"/>
  <c r="B262" i="77"/>
  <c r="AJ262" i="77"/>
  <c r="BA321" i="77"/>
  <c r="AV321" i="77" a="1"/>
  <c r="AV321" i="77" s="1"/>
  <c r="AU321" i="77"/>
  <c r="AN321" i="77"/>
  <c r="AL321" i="77"/>
  <c r="AT321" i="77" s="1"/>
  <c r="BA42" i="77"/>
  <c r="AY111" i="77"/>
  <c r="BA175" i="77"/>
  <c r="AF282" i="77"/>
  <c r="AE282" i="77" s="1"/>
  <c r="AY321" i="77"/>
  <c r="AF340" i="77"/>
  <c r="AP340" i="77"/>
  <c r="BF340" i="77" s="1"/>
  <c r="AZ340" i="77" s="1"/>
  <c r="BC340" i="77" s="1"/>
  <c r="AN350" i="77"/>
  <c r="AY378" i="77"/>
  <c r="M31" i="77"/>
  <c r="M49" i="77"/>
  <c r="M42" i="77"/>
  <c r="M58" i="77"/>
  <c r="M51" i="77"/>
  <c r="M44" i="77"/>
  <c r="M26" i="77"/>
  <c r="AF26" i="77" s="1"/>
  <c r="M59" i="77"/>
  <c r="M24" i="77"/>
  <c r="M53" i="77"/>
  <c r="M40" i="77"/>
  <c r="M27" i="77"/>
  <c r="AF27" i="77" s="1"/>
  <c r="M14" i="77"/>
  <c r="M33" i="77"/>
  <c r="M18" i="77"/>
  <c r="M48" i="77"/>
  <c r="M43" i="77"/>
  <c r="M35" i="77"/>
  <c r="M56" i="77"/>
  <c r="M46" i="77"/>
  <c r="M47" i="77"/>
  <c r="M36" i="77"/>
  <c r="M16" i="77"/>
  <c r="M57" i="77"/>
  <c r="M39" i="77"/>
  <c r="M45" i="77"/>
  <c r="M28" i="77"/>
  <c r="M23" i="77"/>
  <c r="M15" i="77"/>
  <c r="M55" i="77"/>
  <c r="M22" i="77"/>
  <c r="X24" i="77"/>
  <c r="N196" i="77"/>
  <c r="N192" i="77"/>
  <c r="N185" i="77"/>
  <c r="N181" i="77"/>
  <c r="N177" i="77"/>
  <c r="N173" i="77"/>
  <c r="N169" i="77"/>
  <c r="N148" i="77"/>
  <c r="AN148" i="77" s="1"/>
  <c r="N195" i="77"/>
  <c r="N191" i="77"/>
  <c r="N184" i="77"/>
  <c r="N180" i="77"/>
  <c r="N176" i="77"/>
  <c r="N172" i="77"/>
  <c r="N168" i="77"/>
  <c r="N153" i="77"/>
  <c r="N144" i="77"/>
  <c r="N190" i="77"/>
  <c r="N163" i="77"/>
  <c r="N159" i="77"/>
  <c r="N147" i="77"/>
  <c r="AN147" i="77" s="1"/>
  <c r="N183" i="77"/>
  <c r="N178" i="77"/>
  <c r="N124" i="77"/>
  <c r="N154" i="77"/>
  <c r="N141" i="77"/>
  <c r="N131" i="77"/>
  <c r="N121" i="77"/>
  <c r="N171" i="77"/>
  <c r="N166" i="77"/>
  <c r="N157" i="77"/>
  <c r="N136" i="77"/>
  <c r="AN136" i="77" s="1"/>
  <c r="N125" i="77"/>
  <c r="N140" i="77"/>
  <c r="AN140" i="77" s="1"/>
  <c r="N127" i="77"/>
  <c r="N167" i="77"/>
  <c r="N161" i="77"/>
  <c r="N152" i="77"/>
  <c r="N145" i="77"/>
  <c r="N129" i="77"/>
  <c r="N115" i="77"/>
  <c r="N179" i="77"/>
  <c r="N156" i="77"/>
  <c r="N135" i="77"/>
  <c r="N133" i="77"/>
  <c r="N193" i="77"/>
  <c r="N165" i="77"/>
  <c r="N151" i="77"/>
  <c r="N139" i="77"/>
  <c r="AN139" i="77" s="1"/>
  <c r="AP139" i="77" s="1"/>
  <c r="BF139" i="77" s="1"/>
  <c r="AZ139" i="77" s="1"/>
  <c r="N130" i="77"/>
  <c r="AN130" i="77" s="1"/>
  <c r="AP130" i="77" s="1"/>
  <c r="BF130" i="77" s="1"/>
  <c r="AZ130" i="77" s="1"/>
  <c r="N120" i="77"/>
  <c r="N155" i="77"/>
  <c r="N170" i="77"/>
  <c r="N116" i="77"/>
  <c r="N137" i="77"/>
  <c r="AN137" i="77" s="1"/>
  <c r="N189" i="77"/>
  <c r="N128" i="77"/>
  <c r="N158" i="77"/>
  <c r="N134" i="77"/>
  <c r="N114" i="77"/>
  <c r="N188" i="77"/>
  <c r="N194" i="77"/>
  <c r="N187" i="77"/>
  <c r="N175" i="77"/>
  <c r="N164" i="77"/>
  <c r="N143" i="77"/>
  <c r="AN143" i="77" s="1"/>
  <c r="N182" i="77"/>
  <c r="N282" i="77"/>
  <c r="N253" i="77"/>
  <c r="N242" i="77"/>
  <c r="AN242" i="77" s="1"/>
  <c r="N223" i="77"/>
  <c r="N217" i="77"/>
  <c r="AN217" i="77" s="1"/>
  <c r="AP217" i="77" s="1"/>
  <c r="N210" i="77"/>
  <c r="N285" i="77"/>
  <c r="N266" i="77"/>
  <c r="N258" i="77"/>
  <c r="N250" i="77"/>
  <c r="N246" i="77"/>
  <c r="N225" i="77"/>
  <c r="N274" i="77"/>
  <c r="N240" i="77"/>
  <c r="AN240" i="77" s="1"/>
  <c r="AP240" i="77" s="1"/>
  <c r="BF240" i="77" s="1"/>
  <c r="AZ240" i="77" s="1"/>
  <c r="N271" i="77"/>
  <c r="N263" i="77"/>
  <c r="N276" i="77"/>
  <c r="N255" i="77"/>
  <c r="N238" i="77"/>
  <c r="AN238" i="77" s="1"/>
  <c r="N234" i="77"/>
  <c r="N213" i="77"/>
  <c r="N204" i="77"/>
  <c r="N288" i="77"/>
  <c r="N281" i="77"/>
  <c r="N268" i="77"/>
  <c r="N260" i="77"/>
  <c r="N287" i="77"/>
  <c r="N273" i="77"/>
  <c r="N270" i="77"/>
  <c r="N262" i="77"/>
  <c r="N248" i="77"/>
  <c r="N241" i="77"/>
  <c r="AN241" i="77" s="1"/>
  <c r="N230" i="77"/>
  <c r="N216" i="77"/>
  <c r="N209" i="77"/>
  <c r="AN209" i="77" s="1"/>
  <c r="N203" i="77"/>
  <c r="N277" i="77"/>
  <c r="N269" i="77"/>
  <c r="N257" i="77"/>
  <c r="N286" i="77"/>
  <c r="N261" i="77"/>
  <c r="N235" i="77"/>
  <c r="N231" i="77"/>
  <c r="N279" i="77"/>
  <c r="N259" i="77"/>
  <c r="N233" i="77"/>
  <c r="N227" i="77"/>
  <c r="N256" i="77"/>
  <c r="N237" i="77"/>
  <c r="AN237" i="77" s="1"/>
  <c r="N220" i="77"/>
  <c r="N284" i="77"/>
  <c r="N245" i="77"/>
  <c r="N215" i="77"/>
  <c r="N206" i="77"/>
  <c r="N251" i="77"/>
  <c r="N278" i="77"/>
  <c r="N239" i="77"/>
  <c r="AN239" i="77" s="1"/>
  <c r="N226" i="77"/>
  <c r="N202" i="77"/>
  <c r="N272" i="77"/>
  <c r="N254" i="77"/>
  <c r="N219" i="77"/>
  <c r="AN219" i="77" s="1"/>
  <c r="N249" i="77"/>
  <c r="N243" i="77"/>
  <c r="AN243" i="77" s="1"/>
  <c r="N236" i="77"/>
  <c r="AN236" i="77" s="1"/>
  <c r="N264" i="77"/>
  <c r="N208" i="77"/>
  <c r="N211" i="77"/>
  <c r="N283" i="77"/>
  <c r="N228" i="77"/>
  <c r="N224" i="77"/>
  <c r="N199" i="77"/>
  <c r="N280" i="77"/>
  <c r="AO267" i="77"/>
  <c r="AL267" i="77"/>
  <c r="AT267" i="77" s="1"/>
  <c r="AY44" i="77"/>
  <c r="AO77" i="77"/>
  <c r="AU85" i="77"/>
  <c r="AN92" i="77"/>
  <c r="AP92" i="77" s="1"/>
  <c r="BF92" i="77" s="1"/>
  <c r="AZ92" i="77" s="1"/>
  <c r="BC92" i="77" s="1"/>
  <c r="BA95" i="77"/>
  <c r="AO109" i="77"/>
  <c r="AV155" i="77" a="1"/>
  <c r="AV155" i="77" s="1"/>
  <c r="AY164" i="77"/>
  <c r="AN169" i="77"/>
  <c r="AP169" i="77" s="1"/>
  <c r="AN178" i="77"/>
  <c r="AP178" i="77" s="1"/>
  <c r="AY186" i="77"/>
  <c r="AL190" i="77"/>
  <c r="AT190" i="77" s="1"/>
  <c r="AU220" i="77"/>
  <c r="AY220" i="77"/>
  <c r="AL220" i="77"/>
  <c r="AT220" i="77" s="1"/>
  <c r="BA250" i="77"/>
  <c r="AJ280" i="77"/>
  <c r="AV282" i="77" a="1"/>
  <c r="AV282" i="77" s="1"/>
  <c r="AL282" i="77"/>
  <c r="AT282" i="77" s="1"/>
  <c r="AN286" i="77"/>
  <c r="BA336" i="77"/>
  <c r="AO350" i="77"/>
  <c r="AU354" i="77"/>
  <c r="AY368" i="77"/>
  <c r="BA373" i="77"/>
  <c r="AY373" i="77"/>
  <c r="AL385" i="77"/>
  <c r="AT385" i="77" s="1"/>
  <c r="AU385" i="77"/>
  <c r="BA385" i="77"/>
  <c r="AV385" i="77" a="1"/>
  <c r="AV385" i="77" s="1"/>
  <c r="AO385" i="77"/>
  <c r="Z24" i="77"/>
  <c r="P43" i="77"/>
  <c r="O165" i="77"/>
  <c r="O161" i="77"/>
  <c r="O139" i="77"/>
  <c r="AO139" i="77" s="1"/>
  <c r="O164" i="77"/>
  <c r="O160" i="77"/>
  <c r="O151" i="77"/>
  <c r="O135" i="77"/>
  <c r="O138" i="77"/>
  <c r="O173" i="77"/>
  <c r="O168" i="77"/>
  <c r="O154" i="77"/>
  <c r="O141" i="77"/>
  <c r="O131" i="77"/>
  <c r="O121" i="77"/>
  <c r="O196" i="77"/>
  <c r="O191" i="77"/>
  <c r="O163" i="77"/>
  <c r="O143" i="77"/>
  <c r="AO143" i="77" s="1"/>
  <c r="O115" i="77"/>
  <c r="O194" i="77"/>
  <c r="O140" i="77"/>
  <c r="AO140" i="77" s="1"/>
  <c r="O132" i="77"/>
  <c r="AO132" i="77" s="1"/>
  <c r="O167" i="77"/>
  <c r="O152" i="77"/>
  <c r="O145" i="77"/>
  <c r="O129" i="77"/>
  <c r="O125" i="77"/>
  <c r="O195" i="77"/>
  <c r="O185" i="77"/>
  <c r="O179" i="77"/>
  <c r="O156" i="77"/>
  <c r="O133" i="77"/>
  <c r="O122" i="77"/>
  <c r="O189" i="77"/>
  <c r="O172" i="77"/>
  <c r="O166" i="77"/>
  <c r="O147" i="77"/>
  <c r="AO147" i="77" s="1"/>
  <c r="O142" i="77"/>
  <c r="AO142" i="77" s="1"/>
  <c r="O183" i="77"/>
  <c r="O159" i="77"/>
  <c r="O144" i="77"/>
  <c r="O181" i="77"/>
  <c r="O155" i="77"/>
  <c r="O188" i="77"/>
  <c r="O171" i="77"/>
  <c r="O162" i="77"/>
  <c r="O124" i="77"/>
  <c r="O192" i="77"/>
  <c r="O186" i="77"/>
  <c r="O134" i="77"/>
  <c r="O126" i="77"/>
  <c r="AO126" i="77" s="1"/>
  <c r="O180" i="77"/>
  <c r="O158" i="77"/>
  <c r="O120" i="77"/>
  <c r="O178" i="77"/>
  <c r="O148" i="77"/>
  <c r="AO148" i="77" s="1"/>
  <c r="O137" i="77"/>
  <c r="O114" i="77"/>
  <c r="O177" i="77"/>
  <c r="O157" i="77"/>
  <c r="O175" i="77"/>
  <c r="O193" i="77"/>
  <c r="O182" i="77"/>
  <c r="N267" i="77"/>
  <c r="AL66" i="77"/>
  <c r="AT66" i="77" s="1"/>
  <c r="AX66" i="77" s="1"/>
  <c r="BD66" i="77" s="1"/>
  <c r="AU70" i="77"/>
  <c r="AV85" i="77" a="1"/>
  <c r="AV85" i="77" s="1"/>
  <c r="AU117" i="77"/>
  <c r="AN190" i="77"/>
  <c r="AP190" i="77" s="1"/>
  <c r="BA318" i="77"/>
  <c r="AU318" i="77"/>
  <c r="AN318" i="77"/>
  <c r="AL318" i="77"/>
  <c r="AT318" i="77" s="1"/>
  <c r="AV329" i="77" a="1"/>
  <c r="AV329" i="77" s="1"/>
  <c r="BA329" i="77"/>
  <c r="BA337" i="77"/>
  <c r="AN337" i="77"/>
  <c r="AF337" i="77" s="1"/>
  <c r="AL337" i="77"/>
  <c r="AT337" i="77" s="1"/>
  <c r="AV337" i="77" a="1"/>
  <c r="AV337" i="77" s="1"/>
  <c r="AU337" i="77"/>
  <c r="AX340" i="77"/>
  <c r="BD340" i="77" s="1"/>
  <c r="AV402" i="77" a="1"/>
  <c r="AV402" i="77" s="1"/>
  <c r="AL402" i="77"/>
  <c r="AT402" i="77" s="1"/>
  <c r="AY402" i="77"/>
  <c r="N146" i="77"/>
  <c r="M81" i="77"/>
  <c r="M71" i="77"/>
  <c r="M110" i="77"/>
  <c r="M106" i="77"/>
  <c r="M92" i="77"/>
  <c r="M65" i="77"/>
  <c r="M98" i="77"/>
  <c r="M94" i="77"/>
  <c r="M82" i="77"/>
  <c r="M79" i="77"/>
  <c r="M75" i="77"/>
  <c r="M66" i="77"/>
  <c r="M109" i="77"/>
  <c r="M77" i="77"/>
  <c r="AF77" i="77" s="1"/>
  <c r="AE77" i="77" s="1"/>
  <c r="M73" i="77"/>
  <c r="M104" i="77"/>
  <c r="M96" i="77"/>
  <c r="M103" i="77"/>
  <c r="M99" i="77"/>
  <c r="M68" i="77"/>
  <c r="M87" i="77"/>
  <c r="M70" i="77"/>
  <c r="M108" i="77"/>
  <c r="M102" i="77"/>
  <c r="M84" i="77"/>
  <c r="M101" i="77"/>
  <c r="M95" i="77"/>
  <c r="M78" i="77"/>
  <c r="Y153" i="77"/>
  <c r="O227" i="77"/>
  <c r="M342" i="77"/>
  <c r="AF342" i="77"/>
  <c r="BA353" i="77"/>
  <c r="AU353" i="77"/>
  <c r="BA371" i="77"/>
  <c r="AU371" i="77"/>
  <c r="P146" i="77"/>
  <c r="P142" i="77"/>
  <c r="P155" i="77"/>
  <c r="P145" i="77"/>
  <c r="P196" i="77"/>
  <c r="P191" i="77"/>
  <c r="P163" i="77"/>
  <c r="P143" i="77"/>
  <c r="P115" i="77"/>
  <c r="P187" i="77"/>
  <c r="P182" i="77"/>
  <c r="P129" i="77"/>
  <c r="P161" i="77"/>
  <c r="P123" i="77"/>
  <c r="P117" i="77"/>
  <c r="P195" i="77"/>
  <c r="P185" i="77"/>
  <c r="P179" i="77"/>
  <c r="P156" i="77"/>
  <c r="P133" i="77"/>
  <c r="P131" i="77"/>
  <c r="P173" i="77"/>
  <c r="P135" i="77"/>
  <c r="P122" i="77"/>
  <c r="P189" i="77"/>
  <c r="P172" i="77"/>
  <c r="P166" i="77"/>
  <c r="P147" i="77"/>
  <c r="P194" i="77"/>
  <c r="P184" i="77"/>
  <c r="P178" i="77"/>
  <c r="P160" i="77"/>
  <c r="P137" i="77"/>
  <c r="P188" i="77"/>
  <c r="P170" i="77"/>
  <c r="P154" i="77"/>
  <c r="P130" i="77"/>
  <c r="P128" i="77"/>
  <c r="P126" i="77"/>
  <c r="P124" i="77"/>
  <c r="P120" i="77"/>
  <c r="P113" i="77"/>
  <c r="P171" i="77"/>
  <c r="P180" i="77"/>
  <c r="P148" i="77"/>
  <c r="P138" i="77"/>
  <c r="P127" i="77"/>
  <c r="P116" i="77"/>
  <c r="P193" i="77"/>
  <c r="P150" i="77"/>
  <c r="P141" i="77"/>
  <c r="P132" i="77"/>
  <c r="P176" i="77"/>
  <c r="P159" i="77"/>
  <c r="O285" i="77"/>
  <c r="O266" i="77"/>
  <c r="O258" i="77"/>
  <c r="O250" i="77"/>
  <c r="O246" i="77"/>
  <c r="O225" i="77"/>
  <c r="O207" i="77"/>
  <c r="O274" i="77"/>
  <c r="O240" i="77"/>
  <c r="AO240" i="77" s="1"/>
  <c r="O271" i="77"/>
  <c r="O263" i="77"/>
  <c r="O276" i="77"/>
  <c r="O255" i="77"/>
  <c r="O288" i="77"/>
  <c r="O281" i="77"/>
  <c r="O268" i="77"/>
  <c r="O260" i="77"/>
  <c r="O249" i="77"/>
  <c r="O231" i="77"/>
  <c r="O220" i="77"/>
  <c r="O206" i="77"/>
  <c r="O284" i="77"/>
  <c r="O278" i="77"/>
  <c r="O280" i="77"/>
  <c r="O254" i="77"/>
  <c r="O286" i="77"/>
  <c r="O261" i="77"/>
  <c r="O235" i="77"/>
  <c r="O253" i="77"/>
  <c r="O244" i="77"/>
  <c r="O242" i="77"/>
  <c r="AO242" i="77" s="1"/>
  <c r="O272" i="77"/>
  <c r="O264" i="77"/>
  <c r="O275" i="77"/>
  <c r="O241" i="77"/>
  <c r="AO241" i="77" s="1"/>
  <c r="O236" i="77"/>
  <c r="AO236" i="77" s="1"/>
  <c r="O208" i="77"/>
  <c r="O279" i="77"/>
  <c r="O245" i="77"/>
  <c r="O233" i="77"/>
  <c r="O215" i="77"/>
  <c r="O203" i="77"/>
  <c r="O251" i="77"/>
  <c r="O269" i="77"/>
  <c r="O239" i="77"/>
  <c r="O226" i="77"/>
  <c r="O223" i="77"/>
  <c r="O202" i="77"/>
  <c r="O259" i="77"/>
  <c r="O228" i="77"/>
  <c r="O210" i="77"/>
  <c r="AO210" i="77" s="1"/>
  <c r="O267" i="77"/>
  <c r="O200" i="77"/>
  <c r="O270" i="77"/>
  <c r="O243" i="77"/>
  <c r="O209" i="77"/>
  <c r="O282" i="77"/>
  <c r="O248" i="77"/>
  <c r="O224" i="77"/>
  <c r="O217" i="77"/>
  <c r="AO217" i="77" s="1"/>
  <c r="O214" i="77"/>
  <c r="AO214" i="77" s="1"/>
  <c r="O204" i="77"/>
  <c r="O252" i="77"/>
  <c r="O219" i="77"/>
  <c r="AO219" i="77" s="1"/>
  <c r="O232" i="77"/>
  <c r="AU256" i="77"/>
  <c r="AN258" i="77"/>
  <c r="AN293" i="77"/>
  <c r="AF293" i="77" s="1"/>
  <c r="AL353" i="77"/>
  <c r="AT353" i="77" s="1"/>
  <c r="AL371" i="77"/>
  <c r="AT371" i="77" s="1"/>
  <c r="N15" i="77"/>
  <c r="N23" i="77"/>
  <c r="N28" i="77"/>
  <c r="N33" i="77"/>
  <c r="M83" i="77"/>
  <c r="M105" i="77"/>
  <c r="P144" i="77"/>
  <c r="P157" i="77"/>
  <c r="P177" i="77"/>
  <c r="O199" i="77"/>
  <c r="O306" i="77"/>
  <c r="AO306" i="77" s="1"/>
  <c r="O326" i="77"/>
  <c r="O323" i="77"/>
  <c r="O319" i="77"/>
  <c r="O300" i="77"/>
  <c r="O304" i="77"/>
  <c r="AO304" i="77" s="1"/>
  <c r="O294" i="77"/>
  <c r="O333" i="77"/>
  <c r="O329" i="77"/>
  <c r="O315" i="77"/>
  <c r="O311" i="77"/>
  <c r="O302" i="77"/>
  <c r="O322" i="77"/>
  <c r="O318" i="77"/>
  <c r="O309" i="77"/>
  <c r="AO309" i="77" s="1"/>
  <c r="O299" i="77"/>
  <c r="O321" i="77"/>
  <c r="O317" i="77"/>
  <c r="O305" i="77"/>
  <c r="AO305" i="77" s="1"/>
  <c r="O298" i="77"/>
  <c r="O293" i="77"/>
  <c r="O331" i="77"/>
  <c r="O325" i="77"/>
  <c r="O320" i="77"/>
  <c r="O313" i="77"/>
  <c r="O292" i="77"/>
  <c r="O296" i="77"/>
  <c r="O330" i="77"/>
  <c r="O328" i="77"/>
  <c r="O310" i="77"/>
  <c r="O316" i="77"/>
  <c r="O307" i="77"/>
  <c r="AO307" i="77" s="1"/>
  <c r="O324" i="77"/>
  <c r="O301" i="77"/>
  <c r="O312" i="77"/>
  <c r="BA410" i="77"/>
  <c r="AV410" i="77" a="1"/>
  <c r="AV410" i="77" s="1"/>
  <c r="AU410" i="77"/>
  <c r="N49" i="77"/>
  <c r="N42" i="77"/>
  <c r="N52" i="77"/>
  <c r="N38" i="77"/>
  <c r="N29" i="77"/>
  <c r="N54" i="77"/>
  <c r="N59" i="77"/>
  <c r="N24" i="77"/>
  <c r="N21" i="77"/>
  <c r="N57" i="77"/>
  <c r="N25" i="77"/>
  <c r="AN25" i="77" s="1"/>
  <c r="N58" i="77"/>
  <c r="N48" i="77"/>
  <c r="N43" i="77"/>
  <c r="N35" i="77"/>
  <c r="N40" i="77"/>
  <c r="N34" i="77"/>
  <c r="N32" i="77"/>
  <c r="N39" i="77"/>
  <c r="N46" i="77"/>
  <c r="M67" i="77"/>
  <c r="M72" i="77"/>
  <c r="M91" i="77"/>
  <c r="M100" i="77"/>
  <c r="P167" i="77"/>
  <c r="Q254" i="77"/>
  <c r="O327" i="77"/>
  <c r="AV253" i="77" a="1"/>
  <c r="AV253" i="77" s="1"/>
  <c r="AY256" i="77"/>
  <c r="AO295" i="77"/>
  <c r="AY332" i="77"/>
  <c r="AO353" i="77"/>
  <c r="AO371" i="77"/>
  <c r="AL410" i="77"/>
  <c r="AT410" i="77" s="1"/>
  <c r="N16" i="77"/>
  <c r="M93" i="77"/>
  <c r="P114" i="77"/>
  <c r="P125" i="77"/>
  <c r="P134" i="77"/>
  <c r="P168" i="77"/>
  <c r="O211" i="77"/>
  <c r="O277" i="77"/>
  <c r="O52" i="77"/>
  <c r="O38" i="77"/>
  <c r="O59" i="77"/>
  <c r="O55" i="77"/>
  <c r="O45" i="77"/>
  <c r="O36" i="77"/>
  <c r="O40" i="77"/>
  <c r="O42" i="77"/>
  <c r="O21" i="77"/>
  <c r="O54" i="77"/>
  <c r="O46" i="77"/>
  <c r="O15" i="77"/>
  <c r="O44" i="77"/>
  <c r="O23" i="77"/>
  <c r="AO23" i="77" s="1"/>
  <c r="M158" i="77"/>
  <c r="M154" i="77"/>
  <c r="M141" i="77"/>
  <c r="M188" i="77"/>
  <c r="M157" i="77"/>
  <c r="M137" i="77"/>
  <c r="M194" i="77"/>
  <c r="M187" i="77"/>
  <c r="M183" i="77"/>
  <c r="M179" i="77"/>
  <c r="M175" i="77"/>
  <c r="M171" i="77"/>
  <c r="M167" i="77"/>
  <c r="M140" i="77"/>
  <c r="M139" i="77"/>
  <c r="M133" i="77"/>
  <c r="M178" i="77"/>
  <c r="M173" i="77"/>
  <c r="M168" i="77"/>
  <c r="M124" i="77"/>
  <c r="M186" i="77"/>
  <c r="M181" i="77"/>
  <c r="M176" i="77"/>
  <c r="M138" i="77"/>
  <c r="M134" i="77"/>
  <c r="M114" i="77"/>
  <c r="M190" i="77"/>
  <c r="M174" i="77"/>
  <c r="M162" i="77"/>
  <c r="M123" i="77"/>
  <c r="M116" i="77"/>
  <c r="M131" i="77"/>
  <c r="M127" i="77"/>
  <c r="M125" i="77"/>
  <c r="M195" i="77"/>
  <c r="M185" i="77"/>
  <c r="M161" i="77"/>
  <c r="M152" i="77"/>
  <c r="M145" i="77"/>
  <c r="M129" i="77"/>
  <c r="M115" i="77"/>
  <c r="M156" i="77"/>
  <c r="M135" i="77"/>
  <c r="M177" i="77"/>
  <c r="M149" i="77"/>
  <c r="M118" i="77"/>
  <c r="M148" i="77"/>
  <c r="AF148" i="77" s="1"/>
  <c r="AE148" i="77" s="1"/>
  <c r="M180" i="77"/>
  <c r="L275" i="77"/>
  <c r="P99" i="77"/>
  <c r="P95" i="77"/>
  <c r="P86" i="77"/>
  <c r="P68" i="77"/>
  <c r="P102" i="77"/>
  <c r="P77" i="77"/>
  <c r="P70" i="77"/>
  <c r="P104" i="77"/>
  <c r="P87" i="77"/>
  <c r="P63" i="77"/>
  <c r="P91" i="77"/>
  <c r="P85" i="77"/>
  <c r="P83" i="77"/>
  <c r="P65" i="77"/>
  <c r="P108" i="77"/>
  <c r="P100" i="77"/>
  <c r="P72" i="77"/>
  <c r="P89" i="77"/>
  <c r="P82" i="77"/>
  <c r="P80" i="77"/>
  <c r="P97" i="77"/>
  <c r="M120" i="77"/>
  <c r="M130" i="77"/>
  <c r="M163" i="77"/>
  <c r="M196" i="77"/>
  <c r="P74" i="77"/>
  <c r="P79" i="77"/>
  <c r="P84" i="77"/>
  <c r="P92" i="77"/>
  <c r="M164" i="77"/>
  <c r="X213" i="77"/>
  <c r="Y228" i="77"/>
  <c r="X228" i="77"/>
  <c r="X226" i="77"/>
  <c r="Y216" i="77"/>
  <c r="Z216" i="77" s="1"/>
  <c r="Y209" i="77"/>
  <c r="Y219" i="77"/>
  <c r="Z219" i="77" s="1"/>
  <c r="X212" i="77"/>
  <c r="Y211" i="77"/>
  <c r="Y225" i="77"/>
  <c r="Y215" i="77"/>
  <c r="Z215" i="77" s="1"/>
  <c r="Y213" i="77"/>
  <c r="Z213" i="77" s="1"/>
  <c r="X211" i="77"/>
  <c r="X209" i="77"/>
  <c r="X210" i="77"/>
  <c r="Y217" i="77"/>
  <c r="Z217" i="77" s="1"/>
  <c r="Y212" i="77"/>
  <c r="Z212" i="77" s="1"/>
  <c r="X217" i="77"/>
  <c r="X219" i="77"/>
  <c r="Y214" i="77"/>
  <c r="Z214" i="77" s="1"/>
  <c r="Y227" i="77"/>
  <c r="Z136" i="77"/>
  <c r="Z141" i="77"/>
  <c r="X146" i="77"/>
  <c r="M279" i="77"/>
  <c r="M269" i="77"/>
  <c r="M261" i="77"/>
  <c r="M235" i="77"/>
  <c r="M227" i="77"/>
  <c r="M282" i="77"/>
  <c r="M253" i="77"/>
  <c r="M242" i="77"/>
  <c r="M223" i="77"/>
  <c r="M285" i="77"/>
  <c r="M266" i="77"/>
  <c r="M258" i="77"/>
  <c r="M250" i="77"/>
  <c r="M246" i="77"/>
  <c r="M225" i="77"/>
  <c r="M274" i="77"/>
  <c r="M271" i="77"/>
  <c r="M263" i="77"/>
  <c r="M276" i="77"/>
  <c r="M257" i="77"/>
  <c r="M233" i="77"/>
  <c r="M226" i="77"/>
  <c r="M224" i="77"/>
  <c r="M273" i="77"/>
  <c r="M249" i="77"/>
  <c r="M277" i="77"/>
  <c r="M280" i="77"/>
  <c r="M260" i="77"/>
  <c r="M267" i="77"/>
  <c r="M247" i="77"/>
  <c r="M219" i="77"/>
  <c r="M217" i="77"/>
  <c r="M211" i="77"/>
  <c r="M201" i="77"/>
  <c r="M222" i="77"/>
  <c r="M244" i="77"/>
  <c r="L273" i="77"/>
  <c r="U339" i="77"/>
  <c r="AJ339" i="77" s="1"/>
  <c r="AO339" i="77" s="1"/>
  <c r="X84" i="77"/>
  <c r="Z75" i="77"/>
  <c r="Z82" i="77"/>
  <c r="X75" i="77"/>
  <c r="X85" i="77"/>
  <c r="Z76" i="77"/>
  <c r="X144" i="77"/>
  <c r="Z147" i="77"/>
  <c r="X140" i="77"/>
  <c r="X143" i="77"/>
  <c r="X151" i="77"/>
  <c r="X149" i="77"/>
  <c r="X147" i="77"/>
  <c r="X145" i="77"/>
  <c r="Z127" i="77"/>
  <c r="X127" i="77"/>
  <c r="X150" i="77"/>
  <c r="Z144" i="77"/>
  <c r="Z128" i="77"/>
  <c r="L274" i="77"/>
  <c r="U294" i="77"/>
  <c r="AJ294" i="77" s="1"/>
  <c r="P297" i="77"/>
  <c r="X137" i="77"/>
  <c r="X142" i="77"/>
  <c r="M203" i="77"/>
  <c r="M220" i="77"/>
  <c r="M237" i="77"/>
  <c r="M256" i="77"/>
  <c r="AL380" i="77"/>
  <c r="AT380" i="77" s="1"/>
  <c r="X87" i="77"/>
  <c r="Z137" i="77"/>
  <c r="Z142" i="77"/>
  <c r="M229" i="77"/>
  <c r="M265" i="77"/>
  <c r="P221" i="77"/>
  <c r="P224" i="77"/>
  <c r="P229" i="77"/>
  <c r="P243" i="77"/>
  <c r="N402" i="77"/>
  <c r="N351" i="77"/>
  <c r="AN351" i="77" s="1"/>
  <c r="N358" i="77"/>
  <c r="AN358" i="77" s="1"/>
  <c r="N345" i="77"/>
  <c r="N409" i="77"/>
  <c r="N405" i="77"/>
  <c r="N398" i="77"/>
  <c r="N394" i="77"/>
  <c r="N390" i="77"/>
  <c r="N386" i="77"/>
  <c r="N382" i="77"/>
  <c r="N371" i="77"/>
  <c r="N367" i="77"/>
  <c r="N363" i="77"/>
  <c r="N349" i="77"/>
  <c r="AN349" i="77" s="1"/>
  <c r="AP349" i="77" s="1"/>
  <c r="N339" i="77"/>
  <c r="N378" i="77"/>
  <c r="N374" i="77"/>
  <c r="N356" i="77"/>
  <c r="AN356" i="77" s="1"/>
  <c r="N347" i="77"/>
  <c r="AN347" i="77" s="1"/>
  <c r="N401" i="77"/>
  <c r="N361" i="77"/>
  <c r="N354" i="77"/>
  <c r="N344" i="77"/>
  <c r="N364" i="77"/>
  <c r="N350" i="77"/>
  <c r="N343" i="77"/>
  <c r="W361" i="77"/>
  <c r="W359" i="77"/>
  <c r="L359" i="77" s="1"/>
  <c r="AJ359" i="77" s="1"/>
  <c r="Q373" i="77"/>
  <c r="W364" i="77"/>
  <c r="L364" i="77" s="1"/>
  <c r="AJ364" i="77" s="1"/>
  <c r="N359" i="77"/>
  <c r="N366" i="77"/>
  <c r="N400" i="77"/>
  <c r="Q255" i="77"/>
  <c r="P202" i="77"/>
  <c r="P237" i="77"/>
  <c r="P248" i="77"/>
  <c r="N355" i="77"/>
  <c r="N381" i="77"/>
  <c r="N408" i="77"/>
  <c r="P274" i="77"/>
  <c r="P240" i="77"/>
  <c r="P215" i="77"/>
  <c r="P201" i="77"/>
  <c r="P271" i="77"/>
  <c r="P263" i="77"/>
  <c r="P276" i="77"/>
  <c r="P255" i="77"/>
  <c r="P238" i="77"/>
  <c r="P234" i="77"/>
  <c r="P288" i="77"/>
  <c r="P281" i="77"/>
  <c r="P268" i="77"/>
  <c r="P260" i="77"/>
  <c r="P284" i="77"/>
  <c r="P278" i="77"/>
  <c r="P252" i="77"/>
  <c r="P245" i="77"/>
  <c r="P236" i="77"/>
  <c r="P228" i="77"/>
  <c r="P222" i="77"/>
  <c r="P200" i="77"/>
  <c r="P265" i="77"/>
  <c r="P283" i="77"/>
  <c r="P275" i="77"/>
  <c r="P267" i="77"/>
  <c r="P259" i="77"/>
  <c r="P251" i="77"/>
  <c r="P239" i="77"/>
  <c r="P214" i="77"/>
  <c r="P199" i="77"/>
  <c r="P231" i="77"/>
  <c r="P242" i="77"/>
  <c r="P244" i="77"/>
  <c r="P253" i="77"/>
  <c r="M308" i="77"/>
  <c r="AF308" i="77" s="1"/>
  <c r="AE308" i="77" s="1"/>
  <c r="M330" i="77"/>
  <c r="M316" i="77"/>
  <c r="M312" i="77"/>
  <c r="M291" i="77"/>
  <c r="M306" i="77"/>
  <c r="M326" i="77"/>
  <c r="M323" i="77"/>
  <c r="M319" i="77"/>
  <c r="M300" i="77"/>
  <c r="M304" i="77"/>
  <c r="M294" i="77"/>
  <c r="M333" i="77"/>
  <c r="M329" i="77"/>
  <c r="M315" i="77"/>
  <c r="M332" i="77"/>
  <c r="M328" i="77"/>
  <c r="M314" i="77"/>
  <c r="M307" i="77"/>
  <c r="AF307" i="77" s="1"/>
  <c r="M302" i="77"/>
  <c r="AF302" i="77" s="1"/>
  <c r="AE302" i="77" s="1"/>
  <c r="N369" i="77"/>
  <c r="N396" i="77"/>
  <c r="X310" i="77"/>
  <c r="Z305" i="77"/>
  <c r="X307" i="77"/>
  <c r="X364" i="77"/>
  <c r="Z307" i="77"/>
  <c r="X309" i="77"/>
  <c r="N319" i="77"/>
  <c r="N323" i="77"/>
  <c r="N326" i="77"/>
  <c r="Z352" i="77"/>
  <c r="X302" i="77"/>
  <c r="Z309" i="77"/>
  <c r="N312" i="77"/>
  <c r="N316" i="77"/>
  <c r="X347" i="77"/>
  <c r="BD12" i="77"/>
  <c r="AF292" i="77"/>
  <c r="AE292" i="77" s="1"/>
  <c r="AP292" i="77"/>
  <c r="BF292" i="77" s="1"/>
  <c r="AZ292" i="77" s="1"/>
  <c r="BC292" i="77" s="1"/>
  <c r="AO388" i="77"/>
  <c r="AN388" i="77"/>
  <c r="AV388" i="77" a="1"/>
  <c r="AV388" i="77" s="1"/>
  <c r="AU388" i="77"/>
  <c r="AY388" i="77"/>
  <c r="BA388" i="77"/>
  <c r="AL388" i="77"/>
  <c r="AT388" i="77" s="1"/>
  <c r="AV122" i="77" a="1"/>
  <c r="AV122" i="77" s="1"/>
  <c r="AU122" i="77"/>
  <c r="BA122" i="77"/>
  <c r="AL122" i="77"/>
  <c r="AT122" i="77" s="1"/>
  <c r="AO122" i="77"/>
  <c r="AN122" i="77"/>
  <c r="AY122" i="77"/>
  <c r="AP175" i="77"/>
  <c r="BF175" i="77"/>
  <c r="AZ175" i="77" s="1"/>
  <c r="BC175" i="77" s="1"/>
  <c r="AF175" i="77"/>
  <c r="AE175" i="77"/>
  <c r="AF114" i="77"/>
  <c r="AP114" i="77"/>
  <c r="BF114" i="77" s="1"/>
  <c r="AZ114" i="77" s="1"/>
  <c r="BC114" i="77" s="1"/>
  <c r="AU235" i="77"/>
  <c r="AV235" i="77" a="1"/>
  <c r="AV235" i="77" s="1"/>
  <c r="BA235" i="77"/>
  <c r="AY235" i="77"/>
  <c r="AO235" i="77"/>
  <c r="AN235" i="77"/>
  <c r="AL235" i="77"/>
  <c r="AT235" i="77" s="1"/>
  <c r="AF99" i="77"/>
  <c r="AP99" i="77"/>
  <c r="BF99" i="77" s="1"/>
  <c r="AZ99" i="77" s="1"/>
  <c r="BC99" i="77" s="1"/>
  <c r="AE109" i="77"/>
  <c r="AF109" i="77"/>
  <c r="AP109" i="77"/>
  <c r="BF109" i="77" s="1"/>
  <c r="AZ109" i="77" s="1"/>
  <c r="BC109" i="77" s="1"/>
  <c r="AF295" i="77"/>
  <c r="AE295" i="77"/>
  <c r="AP295" i="77"/>
  <c r="BF295" i="77" s="1"/>
  <c r="AZ295" i="77" s="1"/>
  <c r="BC295" i="77" s="1"/>
  <c r="AP337" i="77"/>
  <c r="BF337" i="77" s="1"/>
  <c r="AZ337" i="77" s="1"/>
  <c r="BC337" i="77" s="1"/>
  <c r="AP152" i="77"/>
  <c r="BF152" i="77" s="1"/>
  <c r="AZ152" i="77" s="1"/>
  <c r="BC152" i="77" s="1"/>
  <c r="AF152" i="77"/>
  <c r="AV73" i="77" a="1"/>
  <c r="AV73" i="77" s="1"/>
  <c r="AU73" i="77"/>
  <c r="AY73" i="77"/>
  <c r="BA73" i="77"/>
  <c r="AL73" i="77"/>
  <c r="AT73" i="77" s="1"/>
  <c r="AO73" i="77"/>
  <c r="AN73" i="77"/>
  <c r="AF145" i="77"/>
  <c r="AF193" i="77"/>
  <c r="AE193" i="77" s="1"/>
  <c r="AL226" i="77"/>
  <c r="AT226" i="77" s="1"/>
  <c r="AO322" i="77"/>
  <c r="AN322" i="77"/>
  <c r="AL322" i="77"/>
  <c r="AT322" i="77" s="1"/>
  <c r="BA322" i="77"/>
  <c r="AY322" i="77"/>
  <c r="AV322" i="77" a="1"/>
  <c r="AV322" i="77" s="1"/>
  <c r="AU322" i="77"/>
  <c r="AI461" i="77"/>
  <c r="AG461" i="77"/>
  <c r="BW461" i="77"/>
  <c r="AK461" i="77" a="1"/>
  <c r="AK461" i="77" s="1"/>
  <c r="BG461" i="77" s="1"/>
  <c r="AM461" i="77"/>
  <c r="AH461" i="77"/>
  <c r="AN23" i="77"/>
  <c r="AF90" i="77"/>
  <c r="AE90" i="77" s="1"/>
  <c r="AF187" i="77"/>
  <c r="AE187" i="77" s="1"/>
  <c r="AP187" i="77"/>
  <c r="BF187" i="77" s="1"/>
  <c r="AZ187" i="77" s="1"/>
  <c r="BC187" i="77" s="1"/>
  <c r="AX222" i="77"/>
  <c r="BD222" i="77" s="1"/>
  <c r="AF244" i="77"/>
  <c r="AE244" i="77"/>
  <c r="AP244" i="77"/>
  <c r="BF244" i="77" s="1"/>
  <c r="AZ244" i="77" s="1"/>
  <c r="BC244" i="77" s="1"/>
  <c r="AF300" i="77"/>
  <c r="AE300" i="77" s="1"/>
  <c r="AP300" i="77"/>
  <c r="BF300" i="77" s="1"/>
  <c r="AZ300" i="77" s="1"/>
  <c r="BC300" i="77" s="1"/>
  <c r="AP366" i="77"/>
  <c r="BF366" i="77" s="1"/>
  <c r="AZ366" i="77" s="1"/>
  <c r="BC366" i="77" s="1"/>
  <c r="AF366" i="77"/>
  <c r="AE366" i="77" s="1"/>
  <c r="BB13" i="77"/>
  <c r="AP145" i="77"/>
  <c r="BF145" i="77" s="1"/>
  <c r="AZ145" i="77" s="1"/>
  <c r="BC145" i="77" s="1"/>
  <c r="AF156" i="77"/>
  <c r="AE156" i="77" s="1"/>
  <c r="AP156" i="77"/>
  <c r="BF156" i="77" s="1"/>
  <c r="AZ156" i="77" s="1"/>
  <c r="BC156" i="77" s="1"/>
  <c r="AF167" i="77"/>
  <c r="AP167" i="77"/>
  <c r="BF167" i="77" s="1"/>
  <c r="AZ167" i="77" s="1"/>
  <c r="BC167" i="77" s="1"/>
  <c r="AE167" i="77"/>
  <c r="AP193" i="77"/>
  <c r="BF193" i="77" s="1"/>
  <c r="AZ193" i="77" s="1"/>
  <c r="BC193" i="77" s="1"/>
  <c r="BA13" i="76"/>
  <c r="AP90" i="77"/>
  <c r="BF90" i="77" s="1"/>
  <c r="AZ90" i="77" s="1"/>
  <c r="BC90" i="77" s="1"/>
  <c r="BW117" i="77"/>
  <c r="AN174" i="77"/>
  <c r="AL174" i="77"/>
  <c r="AT174" i="77" s="1"/>
  <c r="AV174" i="77" a="1"/>
  <c r="AV174" i="77" s="1"/>
  <c r="AU174" i="77"/>
  <c r="AO174" i="77"/>
  <c r="BA174" i="77"/>
  <c r="BF196" i="77"/>
  <c r="AZ196" i="77" s="1"/>
  <c r="BC196" i="77" s="1"/>
  <c r="AF196" i="77"/>
  <c r="AY269" i="77"/>
  <c r="AO269" i="77"/>
  <c r="AN269" i="77"/>
  <c r="BA269" i="77"/>
  <c r="AL269" i="77"/>
  <c r="AT269" i="77" s="1"/>
  <c r="AV269" i="77" a="1"/>
  <c r="AV269" i="77" s="1"/>
  <c r="AU269" i="77"/>
  <c r="AP128" i="77"/>
  <c r="BF128" i="77"/>
  <c r="AZ128" i="77" s="1"/>
  <c r="BA128" i="77" s="1"/>
  <c r="AV39" i="77" a="1"/>
  <c r="AV39" i="77" s="1"/>
  <c r="AU39" i="77"/>
  <c r="AN39" i="77"/>
  <c r="AL39" i="77"/>
  <c r="AT39" i="77" s="1"/>
  <c r="AY39" i="77"/>
  <c r="BA39" i="77"/>
  <c r="AO39" i="77"/>
  <c r="AN463" i="77"/>
  <c r="AL463" i="77"/>
  <c r="AT463" i="77" s="1"/>
  <c r="AU463" i="77"/>
  <c r="AO463" i="77"/>
  <c r="AY463" i="77"/>
  <c r="BA463" i="77"/>
  <c r="AV463" i="77" a="1"/>
  <c r="AV463" i="77" s="1"/>
  <c r="AV46" i="77" a="1"/>
  <c r="AV46" i="77" s="1"/>
  <c r="AU46" i="77"/>
  <c r="AO46" i="77"/>
  <c r="AL46" i="77"/>
  <c r="AT46" i="77" s="1"/>
  <c r="AN46" i="77"/>
  <c r="BA46" i="77"/>
  <c r="AY46" i="77"/>
  <c r="AF164" i="77"/>
  <c r="AE164" i="77" s="1"/>
  <c r="AF42" i="77"/>
  <c r="AE42" i="77" s="1"/>
  <c r="AP42" i="77"/>
  <c r="BF42" i="77" s="1"/>
  <c r="AZ42" i="77" s="1"/>
  <c r="BC42" i="77" s="1"/>
  <c r="AN131" i="77"/>
  <c r="AO131" i="77"/>
  <c r="AF38" i="77"/>
  <c r="AE38" i="77"/>
  <c r="AP38" i="77"/>
  <c r="BF38" i="77" s="1"/>
  <c r="AZ38" i="77" s="1"/>
  <c r="BC38" i="77" s="1"/>
  <c r="AO138" i="77"/>
  <c r="AN138" i="77"/>
  <c r="AP164" i="77"/>
  <c r="BF164" i="77" s="1"/>
  <c r="AZ164" i="77" s="1"/>
  <c r="BC164" i="77" s="1"/>
  <c r="AF271" i="77"/>
  <c r="AE271" i="77"/>
  <c r="AP271" i="77"/>
  <c r="BF271" i="77" s="1"/>
  <c r="AZ271" i="77" s="1"/>
  <c r="BC271" i="77" s="1"/>
  <c r="AF65" i="77"/>
  <c r="AE65" i="77" s="1"/>
  <c r="AP65" i="77"/>
  <c r="BF65" i="77" s="1"/>
  <c r="AZ65" i="77" s="1"/>
  <c r="BC65" i="77" s="1"/>
  <c r="AO226" i="77"/>
  <c r="AU226" i="77"/>
  <c r="AN226" i="77"/>
  <c r="BA226" i="77"/>
  <c r="AY226" i="77"/>
  <c r="AY413" i="77"/>
  <c r="AU413" i="77"/>
  <c r="BA413" i="77"/>
  <c r="AL413" i="77"/>
  <c r="AT413" i="77" s="1"/>
  <c r="AV413" i="77" a="1"/>
  <c r="AV413" i="77" s="1"/>
  <c r="AO413" i="77"/>
  <c r="AN413" i="77"/>
  <c r="AV435" i="77" a="1"/>
  <c r="AV435" i="77" s="1"/>
  <c r="AY435" i="77"/>
  <c r="AU435" i="77"/>
  <c r="BA435" i="77"/>
  <c r="AO435" i="77"/>
  <c r="AN435" i="77"/>
  <c r="AL435" i="77"/>
  <c r="AT435" i="77" s="1"/>
  <c r="AN129" i="77"/>
  <c r="AO129" i="77"/>
  <c r="AI182" i="77"/>
  <c r="AG182" i="77"/>
  <c r="AH182" i="77"/>
  <c r="AM182" i="77"/>
  <c r="AK182" i="77" a="1"/>
  <c r="AK182" i="77" s="1"/>
  <c r="BW182" i="77"/>
  <c r="AN29" i="77"/>
  <c r="AO29" i="77"/>
  <c r="AN110" i="77"/>
  <c r="AL110" i="77"/>
  <c r="AT110" i="77" s="1"/>
  <c r="AV110" i="77" a="1"/>
  <c r="AV110" i="77" s="1"/>
  <c r="AU110" i="77"/>
  <c r="BA110" i="77"/>
  <c r="AY110" i="77"/>
  <c r="AO110" i="77"/>
  <c r="AV33" i="77" a="1"/>
  <c r="AV33" i="77" s="1"/>
  <c r="AU33" i="77"/>
  <c r="AY33" i="77"/>
  <c r="BA33" i="77"/>
  <c r="AO33" i="77"/>
  <c r="AN33" i="77"/>
  <c r="AL33" i="77"/>
  <c r="AT33" i="77" s="1"/>
  <c r="AV89" i="77" a="1"/>
  <c r="AV89" i="77" s="1"/>
  <c r="AU89" i="77"/>
  <c r="AN89" i="77"/>
  <c r="AL89" i="77"/>
  <c r="AT89" i="77" s="1"/>
  <c r="BA89" i="77"/>
  <c r="AY89" i="77"/>
  <c r="AO213" i="77"/>
  <c r="AN213" i="77"/>
  <c r="AY301" i="77"/>
  <c r="AL301" i="77"/>
  <c r="AT301" i="77" s="1"/>
  <c r="AV301" i="77" a="1"/>
  <c r="AV301" i="77" s="1"/>
  <c r="AU301" i="77"/>
  <c r="BA301" i="77"/>
  <c r="AN301" i="77"/>
  <c r="AO301" i="77"/>
  <c r="AL315" i="77"/>
  <c r="AT315" i="77" s="1"/>
  <c r="BA315" i="77"/>
  <c r="AV315" i="77" a="1"/>
  <c r="AV315" i="77" s="1"/>
  <c r="AU315" i="77"/>
  <c r="AY315" i="77"/>
  <c r="AO315" i="77"/>
  <c r="AN315" i="77"/>
  <c r="AN411" i="77"/>
  <c r="AL411" i="77"/>
  <c r="AT411" i="77" s="1"/>
  <c r="AO411" i="77"/>
  <c r="AV411" i="77" a="1"/>
  <c r="AV411" i="77" s="1"/>
  <c r="BA411" i="77"/>
  <c r="AY411" i="77"/>
  <c r="AU411" i="77"/>
  <c r="AV53" i="77" a="1"/>
  <c r="AV53" i="77" s="1"/>
  <c r="AU53" i="77"/>
  <c r="AO53" i="77"/>
  <c r="AL53" i="77"/>
  <c r="AT53" i="77" s="1"/>
  <c r="AN53" i="77"/>
  <c r="BA53" i="77"/>
  <c r="AY53" i="77"/>
  <c r="AV403" i="77" a="1"/>
  <c r="AV403" i="77" s="1"/>
  <c r="AN403" i="77"/>
  <c r="AL403" i="77"/>
  <c r="AT403" i="77" s="1"/>
  <c r="AO403" i="77"/>
  <c r="AY403" i="77"/>
  <c r="BA403" i="77"/>
  <c r="AU403" i="77"/>
  <c r="AP26" i="77"/>
  <c r="BF26" i="77" s="1"/>
  <c r="AZ26" i="77" s="1"/>
  <c r="BC26" i="77" s="1"/>
  <c r="AK371" i="77" a="1"/>
  <c r="AK371" i="77" s="1"/>
  <c r="BG371" i="77" s="1"/>
  <c r="AI371" i="77"/>
  <c r="AH371" i="77"/>
  <c r="AG371" i="77"/>
  <c r="AM371" i="77"/>
  <c r="BW371" i="77"/>
  <c r="AV211" i="77" a="1"/>
  <c r="AV211" i="77" s="1"/>
  <c r="AO211" i="77"/>
  <c r="BA211" i="77"/>
  <c r="AY211" i="77"/>
  <c r="AN211" i="77"/>
  <c r="AL211" i="77"/>
  <c r="AT211" i="77" s="1"/>
  <c r="AU211" i="77"/>
  <c r="AE222" i="77"/>
  <c r="AP222" i="77"/>
  <c r="BF222" i="77" s="1"/>
  <c r="AZ222" i="77" s="1"/>
  <c r="BC222" i="77" s="1"/>
  <c r="AV299" i="77" a="1"/>
  <c r="AV299" i="77" s="1"/>
  <c r="AU299" i="77"/>
  <c r="AO299" i="77"/>
  <c r="AN299" i="77"/>
  <c r="BA299" i="77"/>
  <c r="AL299" i="77"/>
  <c r="AT299" i="77" s="1"/>
  <c r="AY299" i="77"/>
  <c r="BF426" i="77"/>
  <c r="AZ426" i="77" s="1"/>
  <c r="BC426" i="77"/>
  <c r="AF426" i="77"/>
  <c r="AO80" i="77"/>
  <c r="AO136" i="77"/>
  <c r="AX234" i="77"/>
  <c r="BD234" i="77" s="1"/>
  <c r="AQ342" i="77"/>
  <c r="AX342" i="77"/>
  <c r="BD342" i="77" s="1"/>
  <c r="AQ495" i="77"/>
  <c r="AX495" i="77"/>
  <c r="BD495" i="77" s="1"/>
  <c r="AE495" i="77"/>
  <c r="AF105" i="77"/>
  <c r="AE105" i="77" s="1"/>
  <c r="AP105" i="77"/>
  <c r="BF105" i="77" s="1"/>
  <c r="AZ105" i="77" s="1"/>
  <c r="BC105" i="77" s="1"/>
  <c r="AK159" i="77" a="1"/>
  <c r="AK159" i="77" s="1"/>
  <c r="AM159" i="77"/>
  <c r="AI159" i="77"/>
  <c r="BW159" i="77"/>
  <c r="AL328" i="77"/>
  <c r="AT328" i="77" s="1"/>
  <c r="BA328" i="77"/>
  <c r="AY328" i="77"/>
  <c r="AU328" i="77"/>
  <c r="AO328" i="77"/>
  <c r="AV328" i="77" a="1"/>
  <c r="AV328" i="77" s="1"/>
  <c r="AO478" i="77"/>
  <c r="AN478" i="77"/>
  <c r="AL478" i="77"/>
  <c r="AT478" i="77" s="1"/>
  <c r="BA478" i="77"/>
  <c r="AY478" i="77"/>
  <c r="AV478" i="77" a="1"/>
  <c r="AV478" i="77" s="1"/>
  <c r="AU478" i="77"/>
  <c r="AN28" i="77"/>
  <c r="AO28" i="77"/>
  <c r="AF69" i="77"/>
  <c r="AE69" i="77" s="1"/>
  <c r="AN82" i="77"/>
  <c r="AF146" i="77"/>
  <c r="AE146" i="77" s="1"/>
  <c r="AP146" i="77"/>
  <c r="BF146" i="77" s="1"/>
  <c r="AZ146" i="77" s="1"/>
  <c r="BC146" i="77" s="1"/>
  <c r="AP148" i="77"/>
  <c r="BF148" i="77" s="1"/>
  <c r="AZ148" i="77" s="1"/>
  <c r="BC148" i="77" s="1"/>
  <c r="AQ159" i="77"/>
  <c r="AQ186" i="77"/>
  <c r="AX186" i="77"/>
  <c r="BD186" i="77" s="1"/>
  <c r="AX202" i="77"/>
  <c r="BD202" i="77" s="1"/>
  <c r="AV249" i="77" a="1"/>
  <c r="AV249" i="77" s="1"/>
  <c r="AO249" i="77"/>
  <c r="AN249" i="77"/>
  <c r="AL249" i="77"/>
  <c r="AT249" i="77" s="1"/>
  <c r="AY249" i="77"/>
  <c r="AU249" i="77"/>
  <c r="BA249" i="77"/>
  <c r="AV251" i="77" a="1"/>
  <c r="AV251" i="77" s="1"/>
  <c r="AO251" i="77"/>
  <c r="AN251" i="77"/>
  <c r="AU251" i="77"/>
  <c r="BA251" i="77"/>
  <c r="AY251" i="77"/>
  <c r="AF305" i="77"/>
  <c r="BF305" i="77"/>
  <c r="AZ305" i="77" s="1"/>
  <c r="BC305" i="77" s="1"/>
  <c r="AL401" i="77"/>
  <c r="AT401" i="77" s="1"/>
  <c r="AO401" i="77"/>
  <c r="AN401" i="77"/>
  <c r="AV401" i="77" a="1"/>
  <c r="AV401" i="77" s="1"/>
  <c r="BA401" i="77"/>
  <c r="AY401" i="77"/>
  <c r="AU401" i="77"/>
  <c r="AK417" i="77" a="1"/>
  <c r="AK417" i="77" s="1"/>
  <c r="BG417" i="77" s="1"/>
  <c r="BW417" i="77"/>
  <c r="AI417" i="77"/>
  <c r="AH417" i="77"/>
  <c r="AM417" i="77"/>
  <c r="AG417" i="77"/>
  <c r="AU438" i="77"/>
  <c r="AL438" i="77"/>
  <c r="AT438" i="77" s="1"/>
  <c r="AO438" i="77"/>
  <c r="AN438" i="77"/>
  <c r="BA438" i="77"/>
  <c r="AY438" i="77"/>
  <c r="AV438" i="77" a="1"/>
  <c r="AV438" i="77" s="1"/>
  <c r="AN80" i="77"/>
  <c r="AO120" i="77"/>
  <c r="AY120" i="77"/>
  <c r="BA120" i="77"/>
  <c r="AV120" i="77" a="1"/>
  <c r="AV120" i="77" s="1"/>
  <c r="AN120" i="77"/>
  <c r="AU120" i="77"/>
  <c r="AL120" i="77"/>
  <c r="AT120" i="77" s="1"/>
  <c r="AG159" i="77"/>
  <c r="AO212" i="77"/>
  <c r="AN212" i="77"/>
  <c r="AV291" i="77" a="1"/>
  <c r="AV291" i="77" s="1"/>
  <c r="AU291" i="77"/>
  <c r="AY291" i="77"/>
  <c r="BA291" i="77"/>
  <c r="AO291" i="77"/>
  <c r="AN291" i="77"/>
  <c r="AL291" i="77"/>
  <c r="AT291" i="77" s="1"/>
  <c r="AN328" i="77"/>
  <c r="AQ417" i="77"/>
  <c r="AX417" i="77"/>
  <c r="BD417" i="77" s="1"/>
  <c r="AO127" i="77"/>
  <c r="AN127" i="77"/>
  <c r="AH186" i="77"/>
  <c r="AG186" i="77"/>
  <c r="AH66" i="77"/>
  <c r="AP69" i="77"/>
  <c r="BF69" i="77" s="1"/>
  <c r="AZ69" i="77" s="1"/>
  <c r="BC69" i="77" s="1"/>
  <c r="AO72" i="77"/>
  <c r="AU72" i="77"/>
  <c r="AN72" i="77"/>
  <c r="AL72" i="77"/>
  <c r="AT72" i="77" s="1"/>
  <c r="BA72" i="77"/>
  <c r="AY72" i="77"/>
  <c r="AV72" i="77" a="1"/>
  <c r="AV72" i="77" s="1"/>
  <c r="AH159" i="77"/>
  <c r="AP289" i="77"/>
  <c r="BF289" i="77" s="1"/>
  <c r="AZ289" i="77" s="1"/>
  <c r="BC289" i="77" s="1"/>
  <c r="AF289" i="77"/>
  <c r="AE289" i="77" s="1"/>
  <c r="AP305" i="77"/>
  <c r="AP378" i="77"/>
  <c r="BF378" i="77" s="1"/>
  <c r="AZ378" i="77" s="1"/>
  <c r="BC378" i="77" s="1"/>
  <c r="AF378" i="77"/>
  <c r="AE378" i="77"/>
  <c r="AF45" i="77"/>
  <c r="AE45" i="77" s="1"/>
  <c r="AV51" i="77" a="1"/>
  <c r="AV51" i="77" s="1"/>
  <c r="AU51" i="77"/>
  <c r="AN51" i="77"/>
  <c r="AO51" i="77"/>
  <c r="BA51" i="77"/>
  <c r="AV58" i="77" a="1"/>
  <c r="AV58" i="77" s="1"/>
  <c r="AU58" i="77"/>
  <c r="AY58" i="77"/>
  <c r="AO58" i="77"/>
  <c r="BA58" i="77"/>
  <c r="AN58" i="77"/>
  <c r="AY91" i="77"/>
  <c r="AN91" i="77"/>
  <c r="AO91" i="77"/>
  <c r="BA91" i="77"/>
  <c r="AP108" i="77"/>
  <c r="AO119" i="77"/>
  <c r="AN119" i="77"/>
  <c r="AU119" i="77"/>
  <c r="AL119" i="77"/>
  <c r="AT119" i="77" s="1"/>
  <c r="AY119" i="77"/>
  <c r="AV119" i="77" a="1"/>
  <c r="AV119" i="77" s="1"/>
  <c r="BA119" i="77"/>
  <c r="AP159" i="77"/>
  <c r="BF159" i="77" s="1"/>
  <c r="AZ159" i="77" s="1"/>
  <c r="BC159" i="77" s="1"/>
  <c r="AP166" i="77"/>
  <c r="BF166" i="77" s="1"/>
  <c r="AZ166" i="77" s="1"/>
  <c r="BC166" i="77" s="1"/>
  <c r="AF166" i="77"/>
  <c r="AE166" i="77" s="1"/>
  <c r="AF176" i="77"/>
  <c r="AE176" i="77"/>
  <c r="AF250" i="77"/>
  <c r="AE250" i="77" s="1"/>
  <c r="AK513" i="77" a="1"/>
  <c r="AK513" i="77" s="1"/>
  <c r="AM513" i="77"/>
  <c r="BW513" i="77"/>
  <c r="AI513" i="77"/>
  <c r="AH513" i="77"/>
  <c r="AG513" i="77"/>
  <c r="AN395" i="77"/>
  <c r="AL395" i="77"/>
  <c r="AT395" i="77" s="1"/>
  <c r="BA395" i="77"/>
  <c r="AY395" i="77"/>
  <c r="AV395" i="77" a="1"/>
  <c r="AV395" i="77" s="1"/>
  <c r="AU395" i="77"/>
  <c r="AX423" i="77"/>
  <c r="BD423" i="77" s="1"/>
  <c r="AQ423" i="77"/>
  <c r="AP45" i="77"/>
  <c r="BF45" i="77" s="1"/>
  <c r="AZ45" i="77" s="1"/>
  <c r="BC45" i="77" s="1"/>
  <c r="AO71" i="77"/>
  <c r="AN71" i="77"/>
  <c r="BA71" i="77"/>
  <c r="AY71" i="77"/>
  <c r="AV71" i="77" a="1"/>
  <c r="AV71" i="77" s="1"/>
  <c r="AU71" i="77"/>
  <c r="AF107" i="77"/>
  <c r="BF107" i="77"/>
  <c r="AZ107" i="77" s="1"/>
  <c r="BC107" i="77" s="1"/>
  <c r="AE107" i="77"/>
  <c r="AO137" i="77"/>
  <c r="AU146" i="77"/>
  <c r="AV146" i="77" a="1"/>
  <c r="AV146" i="77" s="1"/>
  <c r="AY146" i="77"/>
  <c r="BA146" i="77"/>
  <c r="AP176" i="77"/>
  <c r="BF176" i="77" s="1"/>
  <c r="AZ176" i="77" s="1"/>
  <c r="BC176" i="77" s="1"/>
  <c r="AO233" i="77"/>
  <c r="AN233" i="77"/>
  <c r="AV233" i="77" a="1"/>
  <c r="AV233" i="77" s="1"/>
  <c r="AU233" i="77"/>
  <c r="AY233" i="77"/>
  <c r="BA233" i="77"/>
  <c r="AP250" i="77"/>
  <c r="BF250" i="77" s="1"/>
  <c r="AZ250" i="77" s="1"/>
  <c r="BC250" i="77" s="1"/>
  <c r="AF326" i="77"/>
  <c r="AE326" i="77" s="1"/>
  <c r="AP326" i="77"/>
  <c r="BF326" i="77"/>
  <c r="AZ326" i="77" s="1"/>
  <c r="BC326" i="77" s="1"/>
  <c r="AK433" i="77" a="1"/>
  <c r="AK433" i="77" s="1"/>
  <c r="AI433" i="77"/>
  <c r="BW433" i="77"/>
  <c r="AH433" i="77"/>
  <c r="AM433" i="77"/>
  <c r="AG433" i="77"/>
  <c r="AO281" i="77"/>
  <c r="AN281" i="77"/>
  <c r="AY281" i="77"/>
  <c r="BA281" i="77"/>
  <c r="AK287" i="77" a="1"/>
  <c r="AK287" i="77" s="1"/>
  <c r="AI287" i="77"/>
  <c r="AM287" i="77"/>
  <c r="AP27" i="77"/>
  <c r="BF27" i="77" s="1"/>
  <c r="AZ27" i="77" s="1"/>
  <c r="AF32" i="77"/>
  <c r="AE32" i="77" s="1"/>
  <c r="AV40" i="77" a="1"/>
  <c r="AV40" i="77" s="1"/>
  <c r="AU40" i="77"/>
  <c r="BA40" i="77"/>
  <c r="AY40" i="77"/>
  <c r="AO40" i="77"/>
  <c r="AN40" i="77"/>
  <c r="AL40" i="77"/>
  <c r="AT40" i="77" s="1"/>
  <c r="AV47" i="77" a="1"/>
  <c r="AV47" i="77" s="1"/>
  <c r="AU47" i="77"/>
  <c r="BA47" i="77"/>
  <c r="AY47" i="77"/>
  <c r="AO47" i="77"/>
  <c r="AL47" i="77"/>
  <c r="AT47" i="77" s="1"/>
  <c r="AN47" i="77"/>
  <c r="AL51" i="77"/>
  <c r="AT51" i="77" s="1"/>
  <c r="AL58" i="77"/>
  <c r="AT58" i="77" s="1"/>
  <c r="AF61" i="77"/>
  <c r="AE61" i="77" s="1"/>
  <c r="AP61" i="77"/>
  <c r="BF61" i="77" s="1"/>
  <c r="AZ61" i="77" s="1"/>
  <c r="BC61" i="77" s="1"/>
  <c r="AP88" i="77"/>
  <c r="AF88" i="77"/>
  <c r="AE88" i="77" s="1"/>
  <c r="BF88" i="77"/>
  <c r="AZ88" i="77" s="1"/>
  <c r="BC88" i="77" s="1"/>
  <c r="AL91" i="77"/>
  <c r="AT91" i="77" s="1"/>
  <c r="AO165" i="77"/>
  <c r="AN165" i="77"/>
  <c r="AL165" i="77"/>
  <c r="AT165" i="77" s="1"/>
  <c r="AV165" i="77" a="1"/>
  <c r="AV165" i="77" s="1"/>
  <c r="AU165" i="77"/>
  <c r="BF172" i="77"/>
  <c r="AZ172" i="77" s="1"/>
  <c r="BC172" i="77" s="1"/>
  <c r="AF172" i="77"/>
  <c r="AE172" i="77" s="1"/>
  <c r="AL255" i="77"/>
  <c r="AT255" i="77" s="1"/>
  <c r="AV255" i="77" a="1"/>
  <c r="AV255" i="77" s="1"/>
  <c r="BA255" i="77"/>
  <c r="AY255" i="77"/>
  <c r="AU255" i="77"/>
  <c r="AO255" i="77"/>
  <c r="AN255" i="77"/>
  <c r="AN272" i="77"/>
  <c r="AO272" i="77"/>
  <c r="AV272" i="77" a="1"/>
  <c r="AV272" i="77" s="1"/>
  <c r="AU272" i="77"/>
  <c r="BA272" i="77"/>
  <c r="AY272" i="77"/>
  <c r="AL272" i="77"/>
  <c r="AT272" i="77" s="1"/>
  <c r="AG287" i="77"/>
  <c r="AP297" i="77"/>
  <c r="BF297" i="77" s="1"/>
  <c r="AZ297" i="77" s="1"/>
  <c r="BC297" i="77" s="1"/>
  <c r="AF297" i="77"/>
  <c r="AE297" i="77"/>
  <c r="AV317" i="77" a="1"/>
  <c r="AV317" i="77" s="1"/>
  <c r="AN317" i="77"/>
  <c r="AL317" i="77"/>
  <c r="AT317" i="77" s="1"/>
  <c r="BA317" i="77"/>
  <c r="AY317" i="77"/>
  <c r="AU317" i="77"/>
  <c r="AP324" i="77"/>
  <c r="AF324" i="77"/>
  <c r="AE324" i="77" s="1"/>
  <c r="BF324" i="77"/>
  <c r="AZ324" i="77" s="1"/>
  <c r="BC324" i="77" s="1"/>
  <c r="AY330" i="77"/>
  <c r="AN330" i="77"/>
  <c r="AL330" i="77"/>
  <c r="AT330" i="77" s="1"/>
  <c r="BA330" i="77"/>
  <c r="AV330" i="77" a="1"/>
  <c r="AV330" i="77" s="1"/>
  <c r="AU330" i="77"/>
  <c r="AO330" i="77"/>
  <c r="AO395" i="77"/>
  <c r="AN443" i="77"/>
  <c r="AL443" i="77"/>
  <c r="AT443" i="77" s="1"/>
  <c r="AY443" i="77"/>
  <c r="BA443" i="77"/>
  <c r="AU443" i="77"/>
  <c r="AV443" i="77" a="1"/>
  <c r="AV443" i="77" s="1"/>
  <c r="AF481" i="77"/>
  <c r="AE481" i="77"/>
  <c r="AP481" i="77"/>
  <c r="BF481" i="77" s="1"/>
  <c r="AZ481" i="77" s="1"/>
  <c r="BC481" i="77" s="1"/>
  <c r="AH496" i="77"/>
  <c r="AM496" i="77"/>
  <c r="BW496" i="77"/>
  <c r="AI496" i="77"/>
  <c r="AG496" i="77"/>
  <c r="AK496" i="77" a="1"/>
  <c r="AK496" i="77" s="1"/>
  <c r="BG496" i="77" s="1"/>
  <c r="AF57" i="77"/>
  <c r="AE57" i="77" s="1"/>
  <c r="BF57" i="77"/>
  <c r="AZ57" i="77" s="1"/>
  <c r="BC57" i="77" s="1"/>
  <c r="AN83" i="77"/>
  <c r="AP227" i="77"/>
  <c r="BF227" i="77"/>
  <c r="AZ227" i="77" s="1"/>
  <c r="BC227" i="77"/>
  <c r="AF227" i="77"/>
  <c r="AE227" i="77" s="1"/>
  <c r="AL281" i="77"/>
  <c r="AT281" i="77" s="1"/>
  <c r="AH287" i="77"/>
  <c r="AF407" i="77"/>
  <c r="AE407" i="77" s="1"/>
  <c r="AP407" i="77"/>
  <c r="BF407" i="77" s="1"/>
  <c r="AZ407" i="77" s="1"/>
  <c r="BC407" i="77" s="1"/>
  <c r="AK428" i="77" a="1"/>
  <c r="AK428" i="77" s="1"/>
  <c r="AI428" i="77"/>
  <c r="AM428" i="77"/>
  <c r="BW428" i="77"/>
  <c r="AU470" i="77"/>
  <c r="AN470" i="77"/>
  <c r="BA470" i="77"/>
  <c r="AV470" i="77" a="1"/>
  <c r="AV470" i="77" s="1"/>
  <c r="AY470" i="77"/>
  <c r="AO470" i="77"/>
  <c r="AL470" i="77"/>
  <c r="AT470" i="77" s="1"/>
  <c r="AV323" i="77" a="1"/>
  <c r="AV323" i="77" s="1"/>
  <c r="AU323" i="77"/>
  <c r="BA323" i="77"/>
  <c r="AY323" i="77"/>
  <c r="AM436" i="77"/>
  <c r="BW436" i="77"/>
  <c r="AK436" i="77" a="1"/>
  <c r="AK436" i="77" s="1"/>
  <c r="BG436" i="77" s="1"/>
  <c r="AI436" i="77"/>
  <c r="AH436" i="77"/>
  <c r="AG436" i="77"/>
  <c r="AV54" i="77" a="1"/>
  <c r="AV54" i="77" s="1"/>
  <c r="AU54" i="77"/>
  <c r="BA54" i="77"/>
  <c r="AY54" i="77"/>
  <c r="AF59" i="77"/>
  <c r="AE59" i="77" s="1"/>
  <c r="AU74" i="77"/>
  <c r="AV74" i="77" a="1"/>
  <c r="AV74" i="77" s="1"/>
  <c r="AO74" i="77"/>
  <c r="AN74" i="77"/>
  <c r="AL74" i="77"/>
  <c r="AT74" i="77" s="1"/>
  <c r="AE84" i="77"/>
  <c r="AL344" i="77"/>
  <c r="AT344" i="77" s="1"/>
  <c r="BA344" i="77"/>
  <c r="AY344" i="77"/>
  <c r="AU344" i="77"/>
  <c r="AO344" i="77"/>
  <c r="AN344" i="77"/>
  <c r="AH474" i="77"/>
  <c r="BW474" i="77"/>
  <c r="AK474" i="77" a="1"/>
  <c r="AK474" i="77" s="1"/>
  <c r="BG474" i="77" s="1"/>
  <c r="AM474" i="77"/>
  <c r="AF542" i="77"/>
  <c r="AE542" i="77" s="1"/>
  <c r="AP542" i="77"/>
  <c r="BF542" i="77" s="1"/>
  <c r="AZ542" i="77" s="1"/>
  <c r="BC542" i="77" s="1"/>
  <c r="AO112" i="77"/>
  <c r="AY112" i="77"/>
  <c r="AV112" i="77" a="1"/>
  <c r="AV112" i="77" s="1"/>
  <c r="AU112" i="77"/>
  <c r="AE253" i="77"/>
  <c r="AX253" i="77"/>
  <c r="BD253" i="77" s="1"/>
  <c r="BA179" i="77"/>
  <c r="AY179" i="77"/>
  <c r="AU179" i="77"/>
  <c r="AV179" i="77" a="1"/>
  <c r="AV179" i="77" s="1"/>
  <c r="AN210" i="77"/>
  <c r="AN150" i="77"/>
  <c r="AL150" i="77"/>
  <c r="AT150" i="77" s="1"/>
  <c r="BA150" i="77"/>
  <c r="AY150" i="77"/>
  <c r="AY193" i="77"/>
  <c r="AV193" i="77" a="1"/>
  <c r="AV193" i="77" s="1"/>
  <c r="AU193" i="77"/>
  <c r="BA193" i="77"/>
  <c r="AK203" i="77" a="1"/>
  <c r="AK203" i="77" s="1"/>
  <c r="AL284" i="77"/>
  <c r="AT284" i="77" s="1"/>
  <c r="AO408" i="77"/>
  <c r="AN408" i="77"/>
  <c r="AV408" i="77" a="1"/>
  <c r="AV408" i="77" s="1"/>
  <c r="AU408" i="77"/>
  <c r="BA408" i="77"/>
  <c r="AV467" i="77" a="1"/>
  <c r="AV467" i="77" s="1"/>
  <c r="AY467" i="77"/>
  <c r="BA467" i="77"/>
  <c r="AO467" i="77"/>
  <c r="AL467" i="77"/>
  <c r="AT467" i="77" s="1"/>
  <c r="AU467" i="77"/>
  <c r="AN467" i="77"/>
  <c r="BC13" i="76"/>
  <c r="AN54" i="77"/>
  <c r="AV62" i="77" a="1"/>
  <c r="AV62" i="77" s="1"/>
  <c r="AU62" i="77"/>
  <c r="AO62" i="77"/>
  <c r="AL62" i="77"/>
  <c r="AT62" i="77" s="1"/>
  <c r="AN62" i="77"/>
  <c r="AP76" i="77"/>
  <c r="BF76" i="77" s="1"/>
  <c r="AZ76" i="77" s="1"/>
  <c r="BA76" i="77" s="1"/>
  <c r="AL114" i="77"/>
  <c r="AT114" i="77" s="1"/>
  <c r="AU123" i="77"/>
  <c r="AO151" i="77"/>
  <c r="AN151" i="77"/>
  <c r="AU151" i="77"/>
  <c r="AL151" i="77"/>
  <c r="AT151" i="77" s="1"/>
  <c r="AU160" i="77"/>
  <c r="AP259" i="77"/>
  <c r="AU284" i="77"/>
  <c r="AO290" i="77"/>
  <c r="AN290" i="77"/>
  <c r="BA290" i="77"/>
  <c r="AY290" i="77"/>
  <c r="AV290" i="77" a="1"/>
  <c r="AV290" i="77" s="1"/>
  <c r="AU290" i="77"/>
  <c r="AO323" i="77"/>
  <c r="AF331" i="77"/>
  <c r="AY397" i="77"/>
  <c r="AN397" i="77"/>
  <c r="AL397" i="77"/>
  <c r="AT397" i="77" s="1"/>
  <c r="AU397" i="77"/>
  <c r="AO397" i="77"/>
  <c r="AV419" i="77" a="1"/>
  <c r="AV419" i="77" s="1"/>
  <c r="AO419" i="77"/>
  <c r="AN419" i="77"/>
  <c r="AL419" i="77"/>
  <c r="AT419" i="77" s="1"/>
  <c r="AY419" i="77"/>
  <c r="BA419" i="77"/>
  <c r="AP498" i="77"/>
  <c r="BF498" i="77" s="1"/>
  <c r="AZ498" i="77" s="1"/>
  <c r="BC498" i="77" s="1"/>
  <c r="AF498" i="77"/>
  <c r="AN539" i="77"/>
  <c r="AL539" i="77"/>
  <c r="AT539" i="77" s="1"/>
  <c r="BA539" i="77"/>
  <c r="AU539" i="77"/>
  <c r="AV539" i="77" a="1"/>
  <c r="AV539" i="77" s="1"/>
  <c r="AY539" i="77"/>
  <c r="AO539" i="77"/>
  <c r="BB13" i="76"/>
  <c r="AV37" i="77" a="1"/>
  <c r="AV37" i="77" s="1"/>
  <c r="AU37" i="77"/>
  <c r="AO37" i="77"/>
  <c r="AN37" i="77"/>
  <c r="AL37" i="77"/>
  <c r="AT37" i="77" s="1"/>
  <c r="AO54" i="77"/>
  <c r="AV56" i="77" a="1"/>
  <c r="AV56" i="77" s="1"/>
  <c r="AU56" i="77"/>
  <c r="BA56" i="77"/>
  <c r="AY56" i="77"/>
  <c r="AV63" i="77" a="1"/>
  <c r="AV63" i="77" s="1"/>
  <c r="AU63" i="77"/>
  <c r="AY63" i="77"/>
  <c r="BA63" i="77"/>
  <c r="AN86" i="77"/>
  <c r="AL86" i="77"/>
  <c r="AT86" i="77" s="1"/>
  <c r="BA86" i="77"/>
  <c r="AY86" i="77"/>
  <c r="AO88" i="77"/>
  <c r="BA88" i="77"/>
  <c r="AY88" i="77"/>
  <c r="AV105" i="77" a="1"/>
  <c r="AV105" i="77" s="1"/>
  <c r="AU105" i="77"/>
  <c r="BA105" i="77"/>
  <c r="AY105" i="77"/>
  <c r="AN112" i="77"/>
  <c r="AV123" i="77" a="1"/>
  <c r="AV123" i="77" s="1"/>
  <c r="AO150" i="77"/>
  <c r="AU154" i="77"/>
  <c r="AV154" i="77" a="1"/>
  <c r="AV154" i="77" s="1"/>
  <c r="BA154" i="77"/>
  <c r="AU167" i="77"/>
  <c r="BA167" i="77"/>
  <c r="AY167" i="77"/>
  <c r="AV167" i="77" a="1"/>
  <c r="AV167" i="77" s="1"/>
  <c r="AL172" i="77"/>
  <c r="AT172" i="77" s="1"/>
  <c r="AV172" i="77" a="1"/>
  <c r="AV172" i="77" s="1"/>
  <c r="AU172" i="77"/>
  <c r="AN179" i="77"/>
  <c r="AU190" i="77"/>
  <c r="AV190" i="77" a="1"/>
  <c r="AV190" i="77" s="1"/>
  <c r="AY190" i="77"/>
  <c r="BA190" i="77"/>
  <c r="AL196" i="77"/>
  <c r="AT196" i="77" s="1"/>
  <c r="AU196" i="77"/>
  <c r="AV196" i="77" a="1"/>
  <c r="AV196" i="77" s="1"/>
  <c r="BA196" i="77"/>
  <c r="AY196" i="77"/>
  <c r="AU227" i="77"/>
  <c r="AV227" i="77" a="1"/>
  <c r="AV227" i="77" s="1"/>
  <c r="BA227" i="77"/>
  <c r="AU229" i="77"/>
  <c r="AU254" i="77"/>
  <c r="AF267" i="77"/>
  <c r="BF267" i="77"/>
  <c r="AZ267" i="77" s="1"/>
  <c r="BC267" i="77" s="1"/>
  <c r="AE298" i="77"/>
  <c r="AO358" i="77"/>
  <c r="AV397" i="77" a="1"/>
  <c r="AV397" i="77" s="1"/>
  <c r="AO421" i="77"/>
  <c r="AN421" i="77"/>
  <c r="AV421" i="77" a="1"/>
  <c r="AV421" i="77" s="1"/>
  <c r="AU421" i="77"/>
  <c r="AY421" i="77"/>
  <c r="AL421" i="77"/>
  <c r="AT421" i="77" s="1"/>
  <c r="BA421" i="77"/>
  <c r="AV431" i="77" a="1"/>
  <c r="AV431" i="77" s="1"/>
  <c r="AU431" i="77"/>
  <c r="AO431" i="77"/>
  <c r="AN431" i="77"/>
  <c r="AL431" i="77"/>
  <c r="AT431" i="77" s="1"/>
  <c r="BA431" i="77"/>
  <c r="AY431" i="77"/>
  <c r="AO434" i="77"/>
  <c r="AL434" i="77"/>
  <c r="AT434" i="77" s="1"/>
  <c r="BA434" i="77"/>
  <c r="AU434" i="77"/>
  <c r="AV434" i="77" a="1"/>
  <c r="AV434" i="77" s="1"/>
  <c r="AN434" i="77"/>
  <c r="AO549" i="77"/>
  <c r="AN549" i="77"/>
  <c r="AL549" i="77"/>
  <c r="AT549" i="77" s="1"/>
  <c r="BA549" i="77"/>
  <c r="AY549" i="77"/>
  <c r="AV549" i="77" a="1"/>
  <c r="AV549" i="77" s="1"/>
  <c r="AU549" i="77"/>
  <c r="AU454" i="77"/>
  <c r="AO454" i="77"/>
  <c r="AN454" i="77"/>
  <c r="AL454" i="77"/>
  <c r="AT454" i="77" s="1"/>
  <c r="BA454" i="77"/>
  <c r="AY454" i="77"/>
  <c r="AV454" i="77" a="1"/>
  <c r="AV454" i="77" s="1"/>
  <c r="AV60" i="77" a="1"/>
  <c r="AV60" i="77" s="1"/>
  <c r="AU60" i="77"/>
  <c r="AN60" i="77"/>
  <c r="AO60" i="77"/>
  <c r="AF130" i="77"/>
  <c r="AU396" i="77"/>
  <c r="AY396" i="77"/>
  <c r="AV396" i="77" a="1"/>
  <c r="AV396" i="77" s="1"/>
  <c r="AO396" i="77"/>
  <c r="AN396" i="77"/>
  <c r="AL396" i="77"/>
  <c r="AT396" i="77" s="1"/>
  <c r="AV61" i="77" a="1"/>
  <c r="AV61" i="77" s="1"/>
  <c r="AU61" i="77"/>
  <c r="BA61" i="77"/>
  <c r="AO103" i="77"/>
  <c r="AN103" i="77"/>
  <c r="AY103" i="77"/>
  <c r="BA103" i="77"/>
  <c r="AV121" i="77" a="1"/>
  <c r="AV121" i="77" s="1"/>
  <c r="AU121" i="77"/>
  <c r="AN121" i="77"/>
  <c r="AL121" i="77"/>
  <c r="AT121" i="77" s="1"/>
  <c r="AF139" i="77"/>
  <c r="AE139" i="77" s="1"/>
  <c r="AV159" i="77" a="1"/>
  <c r="AV159" i="77" s="1"/>
  <c r="AU159" i="77"/>
  <c r="AY159" i="77"/>
  <c r="AO159" i="77"/>
  <c r="AF161" i="77"/>
  <c r="AE161" i="77" s="1"/>
  <c r="AF220" i="77"/>
  <c r="AE220" i="77" s="1"/>
  <c r="AO284" i="77"/>
  <c r="AN284" i="77"/>
  <c r="BA284" i="77"/>
  <c r="AV344" i="77" a="1"/>
  <c r="AV344" i="77" s="1"/>
  <c r="AY382" i="77"/>
  <c r="AL382" i="77"/>
  <c r="AT382" i="77" s="1"/>
  <c r="BA382" i="77"/>
  <c r="AN382" i="77"/>
  <c r="AO382" i="77"/>
  <c r="AP452" i="77"/>
  <c r="BF452" i="77" s="1"/>
  <c r="AZ452" i="77" s="1"/>
  <c r="BC452" i="77" s="1"/>
  <c r="AF452" i="77"/>
  <c r="AE452" i="77"/>
  <c r="AF41" i="77"/>
  <c r="AE41" i="77" s="1"/>
  <c r="BF41" i="77"/>
  <c r="AZ41" i="77" s="1"/>
  <c r="BC41" i="77" s="1"/>
  <c r="AP59" i="77"/>
  <c r="BF59" i="77" s="1"/>
  <c r="AZ59" i="77" s="1"/>
  <c r="BC59" i="77" s="1"/>
  <c r="AP84" i="77"/>
  <c r="BF84" i="77" s="1"/>
  <c r="AZ84" i="77" s="1"/>
  <c r="BC84" i="77" s="1"/>
  <c r="AN208" i="77"/>
  <c r="AY208" i="77"/>
  <c r="AV208" i="77" a="1"/>
  <c r="AV208" i="77" s="1"/>
  <c r="AU208" i="77"/>
  <c r="BA208" i="77"/>
  <c r="AO208" i="77"/>
  <c r="AO248" i="77"/>
  <c r="AU248" i="77"/>
  <c r="BA248" i="77"/>
  <c r="AV248" i="77" a="1"/>
  <c r="AV248" i="77" s="1"/>
  <c r="AL323" i="77"/>
  <c r="AT323" i="77" s="1"/>
  <c r="BA396" i="77"/>
  <c r="AV49" i="77" a="1"/>
  <c r="AV49" i="77" s="1"/>
  <c r="AU49" i="77"/>
  <c r="AY49" i="77"/>
  <c r="AL60" i="77"/>
  <c r="AT60" i="77" s="1"/>
  <c r="AO95" i="77"/>
  <c r="AN95" i="77"/>
  <c r="AY95" i="77"/>
  <c r="AV95" i="77" a="1"/>
  <c r="AV95" i="77" s="1"/>
  <c r="AU95" i="77"/>
  <c r="AL123" i="77"/>
  <c r="AT123" i="77" s="1"/>
  <c r="AP161" i="77"/>
  <c r="BF161" i="77" s="1"/>
  <c r="AZ161" i="77" s="1"/>
  <c r="BC161" i="77" s="1"/>
  <c r="AP220" i="77"/>
  <c r="BF220" i="77" s="1"/>
  <c r="AZ220" i="77" s="1"/>
  <c r="BC220" i="77" s="1"/>
  <c r="AU382" i="77"/>
  <c r="AO104" i="77"/>
  <c r="AU104" i="77"/>
  <c r="AN104" i="77"/>
  <c r="AL104" i="77"/>
  <c r="AT104" i="77" s="1"/>
  <c r="AL112" i="77"/>
  <c r="AT112" i="77" s="1"/>
  <c r="AO205" i="77"/>
  <c r="AN205" i="77"/>
  <c r="AY205" i="77"/>
  <c r="AV205" i="77" a="1"/>
  <c r="AV205" i="77" s="1"/>
  <c r="BA205" i="77"/>
  <c r="AU205" i="77"/>
  <c r="BF217" i="77"/>
  <c r="AZ217" i="77" s="1"/>
  <c r="BA217" i="77" s="1"/>
  <c r="AF217" i="77"/>
  <c r="AE217" i="77" s="1"/>
  <c r="AO229" i="77"/>
  <c r="AO303" i="77"/>
  <c r="AN303" i="77"/>
  <c r="AP316" i="77"/>
  <c r="BF316" i="77" s="1"/>
  <c r="AZ316" i="77" s="1"/>
  <c r="BC316" i="77" s="1"/>
  <c r="AF316" i="77"/>
  <c r="AN323" i="77"/>
  <c r="AV382" i="77" a="1"/>
  <c r="AV382" i="77" s="1"/>
  <c r="AE410" i="77"/>
  <c r="AP410" i="77"/>
  <c r="BF410" i="77" s="1"/>
  <c r="AZ410" i="77" s="1"/>
  <c r="BC410" i="77" s="1"/>
  <c r="AF455" i="77"/>
  <c r="AE455" i="77"/>
  <c r="AP455" i="77"/>
  <c r="BF455" i="77" s="1"/>
  <c r="AZ455" i="77" s="1"/>
  <c r="BC455" i="77" s="1"/>
  <c r="AL42" i="77"/>
  <c r="AT42" i="77" s="1"/>
  <c r="AY60" i="77"/>
  <c r="AY74" i="77"/>
  <c r="AN142" i="77"/>
  <c r="AO22" i="77"/>
  <c r="AN22" i="77"/>
  <c r="AU22" i="77"/>
  <c r="AL22" i="77"/>
  <c r="AT22" i="77" s="1"/>
  <c r="AV38" i="77" a="1"/>
  <c r="AV38" i="77" s="1"/>
  <c r="AU38" i="77"/>
  <c r="AY38" i="77"/>
  <c r="BA38" i="77"/>
  <c r="AF43" i="77"/>
  <c r="AE43" i="77"/>
  <c r="BF43" i="77"/>
  <c r="AZ43" i="77" s="1"/>
  <c r="BC43" i="77" s="1"/>
  <c r="AV44" i="77" a="1"/>
  <c r="AV44" i="77" s="1"/>
  <c r="AU44" i="77"/>
  <c r="AO44" i="77"/>
  <c r="AN44" i="77"/>
  <c r="BA60" i="77"/>
  <c r="AO61" i="77"/>
  <c r="AY64" i="77"/>
  <c r="AV64" i="77" a="1"/>
  <c r="AV64" i="77" s="1"/>
  <c r="AO64" i="77"/>
  <c r="AN64" i="77"/>
  <c r="AL64" i="77"/>
  <c r="AT64" i="77" s="1"/>
  <c r="BA74" i="77"/>
  <c r="AP77" i="77"/>
  <c r="BF77" i="77" s="1"/>
  <c r="AZ77" i="77" s="1"/>
  <c r="BA77" i="77" s="1"/>
  <c r="AN78" i="77"/>
  <c r="AO87" i="77"/>
  <c r="AN87" i="77"/>
  <c r="AU87" i="77"/>
  <c r="AL87" i="77"/>
  <c r="AT87" i="77" s="1"/>
  <c r="AP96" i="77"/>
  <c r="BF96" i="77"/>
  <c r="AZ96" i="77" s="1"/>
  <c r="BC96" i="77" s="1"/>
  <c r="AV97" i="77" a="1"/>
  <c r="AV97" i="77" s="1"/>
  <c r="AU97" i="77"/>
  <c r="AO97" i="77"/>
  <c r="AN97" i="77"/>
  <c r="AY99" i="77"/>
  <c r="BA99" i="77"/>
  <c r="AV99" i="77" a="1"/>
  <c r="AV99" i="77" s="1"/>
  <c r="AU99" i="77"/>
  <c r="AU103" i="77"/>
  <c r="AU106" i="77"/>
  <c r="AV106" i="77" a="1"/>
  <c r="AV106" i="77" s="1"/>
  <c r="AO106" i="77"/>
  <c r="AL106" i="77"/>
  <c r="AT106" i="77" s="1"/>
  <c r="AN106" i="77"/>
  <c r="AV151" i="77" a="1"/>
  <c r="AV151" i="77" s="1"/>
  <c r="AY155" i="77"/>
  <c r="AO155" i="77"/>
  <c r="AN155" i="77"/>
  <c r="BA159" i="77"/>
  <c r="AV163" i="77" a="1"/>
  <c r="AV163" i="77" s="1"/>
  <c r="AU163" i="77"/>
  <c r="BA163" i="77"/>
  <c r="AV166" i="77" a="1"/>
  <c r="AV166" i="77" s="1"/>
  <c r="AU166" i="77"/>
  <c r="AV168" i="77" a="1"/>
  <c r="AV168" i="77" s="1"/>
  <c r="AN168" i="77"/>
  <c r="AL168" i="77"/>
  <c r="AT168" i="77" s="1"/>
  <c r="AO168" i="77"/>
  <c r="AY177" i="77"/>
  <c r="AO177" i="77"/>
  <c r="AN177" i="77"/>
  <c r="AL177" i="77"/>
  <c r="AT177" i="77" s="1"/>
  <c r="AV177" i="77" a="1"/>
  <c r="AV177" i="77" s="1"/>
  <c r="AU177" i="77"/>
  <c r="AF178" i="77"/>
  <c r="AE178" i="77" s="1"/>
  <c r="BF178" i="77"/>
  <c r="AZ178" i="77" s="1"/>
  <c r="BC178" i="77" s="1"/>
  <c r="AO179" i="77"/>
  <c r="AV187" i="77" a="1"/>
  <c r="AV187" i="77" s="1"/>
  <c r="AU187" i="77"/>
  <c r="AY187" i="77"/>
  <c r="BA187" i="77"/>
  <c r="AL193" i="77"/>
  <c r="AT193" i="77" s="1"/>
  <c r="AL205" i="77"/>
  <c r="AT205" i="77" s="1"/>
  <c r="BF246" i="77"/>
  <c r="AZ246" i="77" s="1"/>
  <c r="BC246" i="77"/>
  <c r="AF246" i="77"/>
  <c r="AE246" i="77" s="1"/>
  <c r="AO247" i="77"/>
  <c r="AN247" i="77"/>
  <c r="AL247" i="77"/>
  <c r="AT247" i="77" s="1"/>
  <c r="AU247" i="77"/>
  <c r="BA247" i="77"/>
  <c r="AY247" i="77"/>
  <c r="AN248" i="77"/>
  <c r="AY284" i="77"/>
  <c r="AY293" i="77"/>
  <c r="AO293" i="77"/>
  <c r="BA293" i="77"/>
  <c r="AL293" i="77"/>
  <c r="AT293" i="77" s="1"/>
  <c r="AP329" i="77"/>
  <c r="BF329" i="77" s="1"/>
  <c r="AZ329" i="77" s="1"/>
  <c r="BC329" i="77" s="1"/>
  <c r="AF329" i="77"/>
  <c r="AE329" i="77"/>
  <c r="AP331" i="77"/>
  <c r="BF331" i="77" s="1"/>
  <c r="AZ331" i="77" s="1"/>
  <c r="BC331" i="77" s="1"/>
  <c r="AO352" i="77"/>
  <c r="AN352" i="77"/>
  <c r="BF360" i="77"/>
  <c r="AZ360" i="77" s="1"/>
  <c r="BC360" i="77" s="1"/>
  <c r="AE360" i="77"/>
  <c r="AF360" i="77"/>
  <c r="AL408" i="77"/>
  <c r="AT408" i="77" s="1"/>
  <c r="AU429" i="77"/>
  <c r="AV429" i="77" a="1"/>
  <c r="AV429" i="77" s="1"/>
  <c r="BA429" i="77"/>
  <c r="AY429" i="77"/>
  <c r="AO429" i="77"/>
  <c r="AN429" i="77"/>
  <c r="AP447" i="77"/>
  <c r="AF447" i="77"/>
  <c r="BF447" i="77"/>
  <c r="AZ447" i="77" s="1"/>
  <c r="BC447" i="77" s="1"/>
  <c r="AE447" i="77"/>
  <c r="AV515" i="77" a="1"/>
  <c r="AV515" i="77" s="1"/>
  <c r="AO515" i="77"/>
  <c r="AN515" i="77"/>
  <c r="AL515" i="77"/>
  <c r="AT515" i="77" s="1"/>
  <c r="AX334" i="77"/>
  <c r="BD334" i="77" s="1"/>
  <c r="AQ334" i="77"/>
  <c r="AY471" i="77"/>
  <c r="AU471" i="77"/>
  <c r="AV471" i="77" a="1"/>
  <c r="AV471" i="77" s="1"/>
  <c r="AO471" i="77"/>
  <c r="AL471" i="77"/>
  <c r="AT471" i="77" s="1"/>
  <c r="BA471" i="77"/>
  <c r="AX508" i="77"/>
  <c r="BD508" i="77" s="1"/>
  <c r="AE508" i="77"/>
  <c r="AY123" i="77"/>
  <c r="AN123" i="77"/>
  <c r="AO123" i="77"/>
  <c r="AV160" i="77" a="1"/>
  <c r="AV160" i="77" s="1"/>
  <c r="AY160" i="77"/>
  <c r="AO160" i="77"/>
  <c r="AN160" i="77"/>
  <c r="AL160" i="77"/>
  <c r="AT160" i="77" s="1"/>
  <c r="AP234" i="77"/>
  <c r="AQ234" i="77" s="1"/>
  <c r="BF234" i="77"/>
  <c r="AZ234" i="77" s="1"/>
  <c r="BC234" i="77" s="1"/>
  <c r="AE234" i="77"/>
  <c r="AY260" i="77"/>
  <c r="AO260" i="77"/>
  <c r="AN260" i="77"/>
  <c r="BA260" i="77"/>
  <c r="AV260" i="77" a="1"/>
  <c r="AV260" i="77" s="1"/>
  <c r="AU260" i="77"/>
  <c r="AO363" i="77"/>
  <c r="AN363" i="77"/>
  <c r="BA363" i="77"/>
  <c r="AY363" i="77"/>
  <c r="AU363" i="77"/>
  <c r="AV363" i="77" a="1"/>
  <c r="AV363" i="77" s="1"/>
  <c r="AN471" i="77"/>
  <c r="AF532" i="77"/>
  <c r="AE532" i="77" s="1"/>
  <c r="AP230" i="77"/>
  <c r="BF230" i="77" s="1"/>
  <c r="AZ230" i="77" s="1"/>
  <c r="BC230" i="77" s="1"/>
  <c r="BF285" i="77"/>
  <c r="AZ285" i="77" s="1"/>
  <c r="AF285" i="77"/>
  <c r="AE285" i="77" s="1"/>
  <c r="BC285" i="77"/>
  <c r="AQ298" i="77"/>
  <c r="AX298" i="77"/>
  <c r="BD298" i="77" s="1"/>
  <c r="AN346" i="77"/>
  <c r="AP353" i="77"/>
  <c r="BF353" i="77" s="1"/>
  <c r="AZ353" i="77" s="1"/>
  <c r="BC353" i="77" s="1"/>
  <c r="AF353" i="77"/>
  <c r="AE353" i="77"/>
  <c r="AX410" i="77"/>
  <c r="BD410" i="77" s="1"/>
  <c r="AQ474" i="77"/>
  <c r="AX474" i="77"/>
  <c r="BD474" i="77" s="1"/>
  <c r="AY528" i="77"/>
  <c r="AO528" i="77"/>
  <c r="AN528" i="77"/>
  <c r="AL528" i="77"/>
  <c r="AT528" i="77" s="1"/>
  <c r="AV528" i="77" a="1"/>
  <c r="AV528" i="77" s="1"/>
  <c r="AU528" i="77"/>
  <c r="AV42" i="77" a="1"/>
  <c r="AV42" i="77" s="1"/>
  <c r="AU42" i="77"/>
  <c r="AY42" i="77"/>
  <c r="AO42" i="77"/>
  <c r="AF48" i="77"/>
  <c r="AE48" i="77" s="1"/>
  <c r="AV114" i="77" a="1"/>
  <c r="AV114" i="77" s="1"/>
  <c r="AU114" i="77"/>
  <c r="AY114" i="77"/>
  <c r="AO121" i="77"/>
  <c r="AF185" i="77"/>
  <c r="AU207" i="77"/>
  <c r="AO207" i="77"/>
  <c r="AN207" i="77"/>
  <c r="AL207" i="77"/>
  <c r="AT207" i="77" s="1"/>
  <c r="BA207" i="77"/>
  <c r="AY229" i="77"/>
  <c r="AL229" i="77"/>
  <c r="AT229" i="77" s="1"/>
  <c r="BA229" i="77"/>
  <c r="AF318" i="77"/>
  <c r="AE318" i="77" s="1"/>
  <c r="AN399" i="77"/>
  <c r="AL399" i="77"/>
  <c r="AT399" i="77" s="1"/>
  <c r="BA399" i="77"/>
  <c r="AU399" i="77"/>
  <c r="AO399" i="77"/>
  <c r="AQ465" i="77"/>
  <c r="AG474" i="77"/>
  <c r="AP532" i="77"/>
  <c r="BF532" i="77" s="1"/>
  <c r="AZ532" i="77" s="1"/>
  <c r="BC532" i="77" s="1"/>
  <c r="AO30" i="77"/>
  <c r="AN30" i="77"/>
  <c r="AL54" i="77"/>
  <c r="AT54" i="77" s="1"/>
  <c r="AY115" i="77"/>
  <c r="AN115" i="77"/>
  <c r="AL115" i="77"/>
  <c r="AT115" i="77" s="1"/>
  <c r="AF141" i="77"/>
  <c r="AU199" i="77"/>
  <c r="AV199" i="77" a="1"/>
  <c r="AV199" i="77" s="1"/>
  <c r="BA199" i="77"/>
  <c r="AY199" i="77"/>
  <c r="AN229" i="77"/>
  <c r="BF232" i="77"/>
  <c r="AZ232" i="77" s="1"/>
  <c r="BC232" i="77" s="1"/>
  <c r="AF232" i="77"/>
  <c r="AE232" i="77" s="1"/>
  <c r="AL363" i="77"/>
  <c r="AT363" i="77" s="1"/>
  <c r="AI474" i="77"/>
  <c r="AV55" i="77" a="1"/>
  <c r="AV55" i="77" s="1"/>
  <c r="AU55" i="77"/>
  <c r="AN55" i="77"/>
  <c r="AL55" i="77"/>
  <c r="AT55" i="77" s="1"/>
  <c r="AL61" i="77"/>
  <c r="AT61" i="77" s="1"/>
  <c r="AO152" i="77"/>
  <c r="AY152" i="77"/>
  <c r="BA152" i="77"/>
  <c r="AL159" i="77"/>
  <c r="AT159" i="77" s="1"/>
  <c r="AX159" i="77" s="1"/>
  <c r="BD159" i="77" s="1"/>
  <c r="AL179" i="77"/>
  <c r="AT179" i="77" s="1"/>
  <c r="AP182" i="77"/>
  <c r="BF182" i="77" s="1"/>
  <c r="AZ182" i="77" s="1"/>
  <c r="BC182" i="77" s="1"/>
  <c r="AP185" i="77"/>
  <c r="BF185" i="77" s="1"/>
  <c r="AZ185" i="77" s="1"/>
  <c r="BC185" i="77" s="1"/>
  <c r="AO254" i="77"/>
  <c r="AN254" i="77"/>
  <c r="AL254" i="77"/>
  <c r="AT254" i="77" s="1"/>
  <c r="AY254" i="77"/>
  <c r="BA254" i="77"/>
  <c r="AP318" i="77"/>
  <c r="BF318" i="77" s="1"/>
  <c r="AZ318" i="77" s="1"/>
  <c r="BC318" i="77" s="1"/>
  <c r="BC13" i="77"/>
  <c r="AV45" i="77" a="1"/>
  <c r="AV45" i="77" s="1"/>
  <c r="AU45" i="77"/>
  <c r="BA45" i="77"/>
  <c r="AN49" i="77"/>
  <c r="AV90" i="77" a="1"/>
  <c r="AV90" i="77" s="1"/>
  <c r="AU90" i="77"/>
  <c r="BA90" i="77"/>
  <c r="AV103" i="77" a="1"/>
  <c r="AV103" i="77" s="1"/>
  <c r="BA112" i="77"/>
  <c r="AO114" i="77"/>
  <c r="AU115" i="77"/>
  <c r="BA121" i="77"/>
  <c r="BF133" i="77"/>
  <c r="AZ133" i="77" s="1"/>
  <c r="BC133" i="77"/>
  <c r="AE133" i="77"/>
  <c r="AO135" i="77"/>
  <c r="AN135" i="77"/>
  <c r="BA135" i="77"/>
  <c r="AY135" i="77"/>
  <c r="AO144" i="77"/>
  <c r="AV153" i="77" a="1"/>
  <c r="AV153" i="77" s="1"/>
  <c r="AU153" i="77"/>
  <c r="AN153" i="77"/>
  <c r="AL153" i="77"/>
  <c r="AT153" i="77" s="1"/>
  <c r="BC170" i="77"/>
  <c r="AF170" i="77"/>
  <c r="AN199" i="77"/>
  <c r="BF215" i="77"/>
  <c r="AZ215" i="77" s="1"/>
  <c r="BA215" i="77" s="1"/>
  <c r="AF228" i="77"/>
  <c r="AE228" i="77" s="1"/>
  <c r="AP228" i="77"/>
  <c r="BF228" i="77" s="1"/>
  <c r="AZ228" i="77" s="1"/>
  <c r="BC228" i="77" s="1"/>
  <c r="AY248" i="77"/>
  <c r="AF252" i="77"/>
  <c r="AE252" i="77"/>
  <c r="BF252" i="77"/>
  <c r="AZ252" i="77" s="1"/>
  <c r="BC252" i="77" s="1"/>
  <c r="AP265" i="77"/>
  <c r="BF265" i="77"/>
  <c r="AZ265" i="77" s="1"/>
  <c r="BC265" i="77"/>
  <c r="AF265" i="77"/>
  <c r="AL290" i="77"/>
  <c r="AT290" i="77" s="1"/>
  <c r="AO297" i="77"/>
  <c r="AY297" i="77"/>
  <c r="AL297" i="77"/>
  <c r="AT297" i="77" s="1"/>
  <c r="AV297" i="77" a="1"/>
  <c r="AV297" i="77" s="1"/>
  <c r="AU297" i="77"/>
  <c r="AP302" i="77"/>
  <c r="BF302" i="77"/>
  <c r="AZ302" i="77" s="1"/>
  <c r="BC302" i="77" s="1"/>
  <c r="AO319" i="77"/>
  <c r="AN319" i="77"/>
  <c r="AU319" i="77"/>
  <c r="AL319" i="77"/>
  <c r="AT319" i="77" s="1"/>
  <c r="BA319" i="77"/>
  <c r="AQ371" i="77"/>
  <c r="AX371" i="77"/>
  <c r="BD371" i="77" s="1"/>
  <c r="AN379" i="77"/>
  <c r="AV379" i="77" a="1"/>
  <c r="AV379" i="77" s="1"/>
  <c r="AU379" i="77"/>
  <c r="BA379" i="77"/>
  <c r="AO379" i="77"/>
  <c r="AL379" i="77"/>
  <c r="AT379" i="77" s="1"/>
  <c r="AY399" i="77"/>
  <c r="AX418" i="77"/>
  <c r="BD418" i="77" s="1"/>
  <c r="AV422" i="77" a="1"/>
  <c r="AV422" i="77" s="1"/>
  <c r="AU422" i="77"/>
  <c r="AL422" i="77"/>
  <c r="AT422" i="77" s="1"/>
  <c r="AY422" i="77"/>
  <c r="AO422" i="77"/>
  <c r="AN422" i="77"/>
  <c r="AX428" i="77"/>
  <c r="BD428" i="77" s="1"/>
  <c r="AP535" i="77"/>
  <c r="BF535" i="77" s="1"/>
  <c r="AZ535" i="77" s="1"/>
  <c r="BC535" i="77" s="1"/>
  <c r="AF535" i="77"/>
  <c r="AE535" i="77"/>
  <c r="AL180" i="77"/>
  <c r="AT180" i="77" s="1"/>
  <c r="AO180" i="77"/>
  <c r="AN180" i="77"/>
  <c r="AN306" i="77"/>
  <c r="AQ436" i="77"/>
  <c r="AX436" i="77"/>
  <c r="BD436" i="77" s="1"/>
  <c r="AU524" i="77"/>
  <c r="BA524" i="77"/>
  <c r="AY524" i="77"/>
  <c r="AV524" i="77" a="1"/>
  <c r="AV524" i="77" s="1"/>
  <c r="AO524" i="77"/>
  <c r="AN524" i="77"/>
  <c r="AN102" i="77"/>
  <c r="AL102" i="77"/>
  <c r="AT102" i="77" s="1"/>
  <c r="AN134" i="77"/>
  <c r="AL134" i="77"/>
  <c r="AT134" i="77" s="1"/>
  <c r="AO171" i="77"/>
  <c r="AN171" i="77"/>
  <c r="AL171" i="77"/>
  <c r="AT171" i="77" s="1"/>
  <c r="AO316" i="77"/>
  <c r="AV316" i="77" a="1"/>
  <c r="AV316" i="77" s="1"/>
  <c r="BA316" i="77"/>
  <c r="AY316" i="77"/>
  <c r="AU316" i="77"/>
  <c r="AY377" i="77"/>
  <c r="AU377" i="77"/>
  <c r="BA377" i="77"/>
  <c r="AO377" i="77"/>
  <c r="AN377" i="77"/>
  <c r="AV377" i="77" a="1"/>
  <c r="AV377" i="77" s="1"/>
  <c r="AP479" i="77"/>
  <c r="AF479" i="77"/>
  <c r="BF479" i="77"/>
  <c r="AZ479" i="77" s="1"/>
  <c r="BC479" i="77" s="1"/>
  <c r="AU98" i="77"/>
  <c r="AV98" i="77" a="1"/>
  <c r="AV98" i="77" s="1"/>
  <c r="AV192" i="77" a="1"/>
  <c r="AV192" i="77" s="1"/>
  <c r="AO192" i="77"/>
  <c r="AN192" i="77"/>
  <c r="AL192" i="77"/>
  <c r="AT192" i="77" s="1"/>
  <c r="AV244" i="77" a="1"/>
  <c r="AV244" i="77" s="1"/>
  <c r="AU244" i="77"/>
  <c r="BA244" i="77"/>
  <c r="AY244" i="77"/>
  <c r="AN264" i="77"/>
  <c r="AV264" i="77" a="1"/>
  <c r="AV264" i="77" s="1"/>
  <c r="BA264" i="77"/>
  <c r="AO351" i="77"/>
  <c r="AK548" i="77" a="1"/>
  <c r="AK548" i="77" s="1"/>
  <c r="BG548" i="77" s="1"/>
  <c r="AM548" i="77"/>
  <c r="AI548" i="77"/>
  <c r="BW548" i="77"/>
  <c r="AH548" i="77"/>
  <c r="AG548" i="77"/>
  <c r="AV50" i="77" a="1"/>
  <c r="AV50" i="77" s="1"/>
  <c r="AU50" i="77"/>
  <c r="AN79" i="77"/>
  <c r="AO102" i="77"/>
  <c r="AO111" i="77"/>
  <c r="AN111" i="77"/>
  <c r="AO134" i="77"/>
  <c r="AO158" i="77"/>
  <c r="AN158" i="77"/>
  <c r="AY201" i="77"/>
  <c r="AO201" i="77"/>
  <c r="AN201" i="77"/>
  <c r="AO348" i="77"/>
  <c r="AN348" i="77"/>
  <c r="AN357" i="77"/>
  <c r="AO357" i="77"/>
  <c r="AU370" i="77"/>
  <c r="AO370" i="77"/>
  <c r="BA370" i="77"/>
  <c r="AL370" i="77"/>
  <c r="AT370" i="77" s="1"/>
  <c r="AY370" i="77"/>
  <c r="AV370" i="77" a="1"/>
  <c r="AV370" i="77" s="1"/>
  <c r="AL462" i="77"/>
  <c r="AT462" i="77" s="1"/>
  <c r="AV462" i="77" a="1"/>
  <c r="AV462" i="77" s="1"/>
  <c r="AU462" i="77"/>
  <c r="AY462" i="77"/>
  <c r="AO462" i="77"/>
  <c r="AN462" i="77"/>
  <c r="BA477" i="77"/>
  <c r="AY477" i="77"/>
  <c r="AU477" i="77"/>
  <c r="AO477" i="77"/>
  <c r="AN477" i="77"/>
  <c r="AV477" i="77" a="1"/>
  <c r="AV477" i="77" s="1"/>
  <c r="AL477" i="77"/>
  <c r="AT477" i="77" s="1"/>
  <c r="AO482" i="77"/>
  <c r="AN482" i="77"/>
  <c r="AV482" i="77" a="1"/>
  <c r="AV482" i="77" s="1"/>
  <c r="AU482" i="77"/>
  <c r="BA482" i="77"/>
  <c r="AL482" i="77"/>
  <c r="AT482" i="77" s="1"/>
  <c r="AL524" i="77"/>
  <c r="AT524" i="77" s="1"/>
  <c r="AE545" i="77"/>
  <c r="AF545" i="77"/>
  <c r="AP545" i="77"/>
  <c r="BF545" i="77" s="1"/>
  <c r="AZ545" i="77" s="1"/>
  <c r="BC545" i="77" s="1"/>
  <c r="AX548" i="77"/>
  <c r="BD548" i="77" s="1"/>
  <c r="AQ548" i="77"/>
  <c r="AU476" i="77"/>
  <c r="AN476" i="77"/>
  <c r="BA476" i="77"/>
  <c r="AO476" i="77"/>
  <c r="AL476" i="77"/>
  <c r="AT476" i="77" s="1"/>
  <c r="AV476" i="77" a="1"/>
  <c r="AV476" i="77" s="1"/>
  <c r="AY476" i="77"/>
  <c r="AV32" i="77" a="1"/>
  <c r="AV32" i="77" s="1"/>
  <c r="AU32" i="77"/>
  <c r="AU326" i="77"/>
  <c r="AY326" i="77"/>
  <c r="AL326" i="77"/>
  <c r="AT326" i="77" s="1"/>
  <c r="BA326" i="77"/>
  <c r="BC342" i="77"/>
  <c r="AE342" i="77"/>
  <c r="AX494" i="77"/>
  <c r="BD494" i="77" s="1"/>
  <c r="AV41" i="77" a="1"/>
  <c r="AV41" i="77" s="1"/>
  <c r="AU41" i="77"/>
  <c r="AV57" i="77" a="1"/>
  <c r="AV57" i="77" s="1"/>
  <c r="AU57" i="77"/>
  <c r="AP418" i="77"/>
  <c r="BF418" i="77" s="1"/>
  <c r="AZ418" i="77" s="1"/>
  <c r="BC418" i="77" s="1"/>
  <c r="AE418" i="77"/>
  <c r="AL32" i="77"/>
  <c r="AT32" i="77" s="1"/>
  <c r="AV43" i="77" a="1"/>
  <c r="AV43" i="77" s="1"/>
  <c r="AU43" i="77"/>
  <c r="AV59" i="77" a="1"/>
  <c r="AV59" i="77" s="1"/>
  <c r="AU59" i="77"/>
  <c r="AO67" i="77"/>
  <c r="AN67" i="77"/>
  <c r="AL67" i="77"/>
  <c r="AT67" i="77" s="1"/>
  <c r="BF85" i="77"/>
  <c r="AZ85" i="77" s="1"/>
  <c r="BC85" i="77"/>
  <c r="BC100" i="77"/>
  <c r="AV113" i="77" a="1"/>
  <c r="AV113" i="77" s="1"/>
  <c r="AU113" i="77"/>
  <c r="BF117" i="77"/>
  <c r="AZ117" i="77" s="1"/>
  <c r="BC117" i="77"/>
  <c r="AV145" i="77" a="1"/>
  <c r="AV145" i="77" s="1"/>
  <c r="AU145" i="77"/>
  <c r="AY169" i="77"/>
  <c r="AV169" i="77" a="1"/>
  <c r="AV169" i="77" s="1"/>
  <c r="AU169" i="77"/>
  <c r="AU180" i="77"/>
  <c r="AV184" i="77" a="1"/>
  <c r="AV184" i="77" s="1"/>
  <c r="AU184" i="77"/>
  <c r="AO195" i="77"/>
  <c r="AN195" i="77"/>
  <c r="AO198" i="77"/>
  <c r="AL198" i="77"/>
  <c r="AT198" i="77" s="1"/>
  <c r="AN198" i="77"/>
  <c r="BF203" i="77"/>
  <c r="AZ203" i="77" s="1"/>
  <c r="BC203" i="77" s="1"/>
  <c r="BA245" i="77"/>
  <c r="AY245" i="77"/>
  <c r="AO245" i="77"/>
  <c r="AN245" i="77"/>
  <c r="AL263" i="77"/>
  <c r="AT263" i="77" s="1"/>
  <c r="AO263" i="77"/>
  <c r="AN263" i="77"/>
  <c r="AL316" i="77"/>
  <c r="AT316" i="77" s="1"/>
  <c r="AO326" i="77"/>
  <c r="AL329" i="77"/>
  <c r="AT329" i="77" s="1"/>
  <c r="AV355" i="77" a="1"/>
  <c r="AV355" i="77" s="1"/>
  <c r="AU355" i="77"/>
  <c r="AY355" i="77"/>
  <c r="BA355" i="77"/>
  <c r="AL377" i="77"/>
  <c r="AT377" i="77" s="1"/>
  <c r="AP380" i="77"/>
  <c r="BF380" i="77" s="1"/>
  <c r="AZ380" i="77" s="1"/>
  <c r="BC380" i="77" s="1"/>
  <c r="AF380" i="77"/>
  <c r="AE380" i="77" s="1"/>
  <c r="AP386" i="77"/>
  <c r="BF386" i="77"/>
  <c r="AZ386" i="77" s="1"/>
  <c r="BC386" i="77" s="1"/>
  <c r="AF386" i="77"/>
  <c r="AE386" i="77" s="1"/>
  <c r="BF430" i="77"/>
  <c r="AZ430" i="77" s="1"/>
  <c r="BC430" i="77" s="1"/>
  <c r="AF430" i="77"/>
  <c r="AY432" i="77"/>
  <c r="AL432" i="77"/>
  <c r="AT432" i="77" s="1"/>
  <c r="AO432" i="77"/>
  <c r="AN432" i="77"/>
  <c r="AU432" i="77"/>
  <c r="AV432" i="77" a="1"/>
  <c r="AV432" i="77" s="1"/>
  <c r="AV441" i="77" a="1"/>
  <c r="AV441" i="77" s="1"/>
  <c r="AY441" i="77"/>
  <c r="AO441" i="77"/>
  <c r="AN441" i="77"/>
  <c r="AL441" i="77"/>
  <c r="AT441" i="77" s="1"/>
  <c r="AU441" i="77"/>
  <c r="BA462" i="77"/>
  <c r="AF500" i="77"/>
  <c r="AP500" i="77"/>
  <c r="BF500" i="77" s="1"/>
  <c r="AZ500" i="77" s="1"/>
  <c r="BC500" i="77" s="1"/>
  <c r="AE500" i="77"/>
  <c r="AY525" i="77"/>
  <c r="AO525" i="77"/>
  <c r="BA525" i="77"/>
  <c r="AV525" i="77" a="1"/>
  <c r="AV525" i="77" s="1"/>
  <c r="AN525" i="77"/>
  <c r="AL525" i="77"/>
  <c r="AT525" i="77" s="1"/>
  <c r="AU183" i="77"/>
  <c r="AN183" i="77"/>
  <c r="AL183" i="77"/>
  <c r="AT183" i="77" s="1"/>
  <c r="AY311" i="77"/>
  <c r="AU311" i="77"/>
  <c r="AO311" i="77"/>
  <c r="AN311" i="77"/>
  <c r="BA311" i="77"/>
  <c r="AV311" i="77" a="1"/>
  <c r="AV311" i="77" s="1"/>
  <c r="AO440" i="77"/>
  <c r="AN440" i="77"/>
  <c r="AL440" i="77"/>
  <c r="AT440" i="77" s="1"/>
  <c r="AV440" i="77" a="1"/>
  <c r="AV440" i="77" s="1"/>
  <c r="AU440" i="77"/>
  <c r="BA440" i="77"/>
  <c r="AY440" i="77"/>
  <c r="AV502" i="77" a="1"/>
  <c r="AV502" i="77" s="1"/>
  <c r="BA502" i="77"/>
  <c r="AY502" i="77"/>
  <c r="AU502" i="77"/>
  <c r="AL502" i="77"/>
  <c r="AT502" i="77" s="1"/>
  <c r="AO502" i="77"/>
  <c r="AN502" i="77"/>
  <c r="AV48" i="77" a="1"/>
  <c r="AV48" i="77" s="1"/>
  <c r="AU48" i="77"/>
  <c r="AN70" i="77"/>
  <c r="AL70" i="77"/>
  <c r="AT70" i="77" s="1"/>
  <c r="AX279" i="77"/>
  <c r="BD279" i="77" s="1"/>
  <c r="AY400" i="77"/>
  <c r="BA400" i="77"/>
  <c r="AU400" i="77"/>
  <c r="AO400" i="77"/>
  <c r="AL400" i="77"/>
  <c r="AT400" i="77" s="1"/>
  <c r="AN400" i="77"/>
  <c r="BF412" i="77"/>
  <c r="AZ412" i="77" s="1"/>
  <c r="BC412" i="77" s="1"/>
  <c r="AF412" i="77"/>
  <c r="AO189" i="77"/>
  <c r="AN189" i="77"/>
  <c r="AL189" i="77"/>
  <c r="AT189" i="77" s="1"/>
  <c r="AP194" i="77"/>
  <c r="AV345" i="77" a="1"/>
  <c r="AV345" i="77" s="1"/>
  <c r="AU345" i="77"/>
  <c r="AO345" i="77"/>
  <c r="AN345" i="77"/>
  <c r="AL345" i="77"/>
  <c r="AT345" i="77" s="1"/>
  <c r="AY345" i="77"/>
  <c r="AF506" i="77"/>
  <c r="AE506" i="77"/>
  <c r="AP506" i="77"/>
  <c r="BF506" i="77" s="1"/>
  <c r="AZ506" i="77" s="1"/>
  <c r="BC506" i="77" s="1"/>
  <c r="AP522" i="77"/>
  <c r="BF522" i="77" s="1"/>
  <c r="AZ522" i="77" s="1"/>
  <c r="BC522" i="77" s="1"/>
  <c r="AF522" i="77"/>
  <c r="AE522" i="77" s="1"/>
  <c r="AO530" i="77"/>
  <c r="AV530" i="77" a="1"/>
  <c r="AV530" i="77" s="1"/>
  <c r="AU530" i="77"/>
  <c r="BA530" i="77"/>
  <c r="AN530" i="77"/>
  <c r="AY530" i="77"/>
  <c r="AV36" i="77" a="1"/>
  <c r="AV36" i="77" s="1"/>
  <c r="AU36" i="77"/>
  <c r="AL41" i="77"/>
  <c r="AT41" i="77" s="1"/>
  <c r="AV52" i="77" a="1"/>
  <c r="AV52" i="77" s="1"/>
  <c r="AU52" i="77"/>
  <c r="AL57" i="77"/>
  <c r="AT57" i="77" s="1"/>
  <c r="AN94" i="77"/>
  <c r="AL94" i="77"/>
  <c r="AT94" i="77" s="1"/>
  <c r="AL98" i="77"/>
  <c r="AT98" i="77" s="1"/>
  <c r="AN126" i="77"/>
  <c r="AU171" i="77"/>
  <c r="AU175" i="77"/>
  <c r="AV175" i="77" a="1"/>
  <c r="AV175" i="77" s="1"/>
  <c r="AV180" i="77" a="1"/>
  <c r="AV180" i="77" s="1"/>
  <c r="AO181" i="77"/>
  <c r="AN181" i="77"/>
  <c r="AU181" i="77"/>
  <c r="AV181" i="77" a="1"/>
  <c r="AV181" i="77" s="1"/>
  <c r="AV183" i="77" a="1"/>
  <c r="AV183" i="77" s="1"/>
  <c r="AO225" i="77"/>
  <c r="AN225" i="77"/>
  <c r="AY225" i="77"/>
  <c r="BA225" i="77"/>
  <c r="AL232" i="77"/>
  <c r="AT232" i="77" s="1"/>
  <c r="BA232" i="77"/>
  <c r="AL244" i="77"/>
  <c r="AT244" i="77" s="1"/>
  <c r="AL264" i="77"/>
  <c r="AT264" i="77" s="1"/>
  <c r="AE279" i="77"/>
  <c r="AP279" i="77"/>
  <c r="BF279" i="77" s="1"/>
  <c r="AZ279" i="77" s="1"/>
  <c r="BC279" i="77" s="1"/>
  <c r="AU310" i="77"/>
  <c r="BA310" i="77"/>
  <c r="AV310" i="77" a="1"/>
  <c r="AV310" i="77" s="1"/>
  <c r="AO310" i="77"/>
  <c r="AN310" i="77"/>
  <c r="AL310" i="77"/>
  <c r="AT310" i="77" s="1"/>
  <c r="BA345" i="77"/>
  <c r="AF370" i="77"/>
  <c r="AP370" i="77"/>
  <c r="BF370" i="77" s="1"/>
  <c r="AZ370" i="77" s="1"/>
  <c r="BC370" i="77"/>
  <c r="AE370" i="77"/>
  <c r="AV400" i="77" a="1"/>
  <c r="AV400" i="77" s="1"/>
  <c r="AF420" i="77"/>
  <c r="AP420" i="77"/>
  <c r="BF420" i="77" s="1"/>
  <c r="AZ420" i="77" s="1"/>
  <c r="BC420" i="77" s="1"/>
  <c r="AE425" i="77"/>
  <c r="AF425" i="77"/>
  <c r="AP425" i="77"/>
  <c r="BF425" i="77" s="1"/>
  <c r="AZ425" i="77" s="1"/>
  <c r="BC425" i="77" s="1"/>
  <c r="AF456" i="77"/>
  <c r="AE456" i="77"/>
  <c r="BF456" i="77"/>
  <c r="AZ456" i="77" s="1"/>
  <c r="BC456" i="77" s="1"/>
  <c r="AL530" i="77"/>
  <c r="AT530" i="77" s="1"/>
  <c r="BA101" i="77"/>
  <c r="BA109" i="77"/>
  <c r="BA133" i="77"/>
  <c r="BA149" i="77"/>
  <c r="AU258" i="77"/>
  <c r="AV258" i="77" a="1"/>
  <c r="AV258" i="77" s="1"/>
  <c r="AY258" i="77"/>
  <c r="AN288" i="77"/>
  <c r="AY288" i="77"/>
  <c r="BA288" i="77"/>
  <c r="AY448" i="77"/>
  <c r="AO448" i="77"/>
  <c r="AN448" i="77"/>
  <c r="BA448" i="77"/>
  <c r="AL448" i="77"/>
  <c r="AT448" i="77" s="1"/>
  <c r="AV448" i="77" a="1"/>
  <c r="AV448" i="77" s="1"/>
  <c r="AU448" i="77"/>
  <c r="AY65" i="77"/>
  <c r="BA164" i="77"/>
  <c r="BA176" i="77"/>
  <c r="BA188" i="77"/>
  <c r="BA191" i="77"/>
  <c r="AO218" i="77"/>
  <c r="AN218" i="77"/>
  <c r="AL279" i="77"/>
  <c r="AT279" i="77" s="1"/>
  <c r="AV279" i="77" a="1"/>
  <c r="AV279" i="77" s="1"/>
  <c r="AO279" i="77"/>
  <c r="AN309" i="77"/>
  <c r="AP313" i="77"/>
  <c r="BF313" i="77" s="1"/>
  <c r="AZ313" i="77" s="1"/>
  <c r="BC313" i="77" s="1"/>
  <c r="AF313" i="77"/>
  <c r="AV333" i="77" a="1"/>
  <c r="AV333" i="77" s="1"/>
  <c r="AL333" i="77"/>
  <c r="AT333" i="77" s="1"/>
  <c r="AO333" i="77"/>
  <c r="AO335" i="77"/>
  <c r="AN335" i="77"/>
  <c r="AL335" i="77"/>
  <c r="AT335" i="77" s="1"/>
  <c r="AU342" i="77"/>
  <c r="AV342" i="77" a="1"/>
  <c r="AV342" i="77" s="1"/>
  <c r="BA342" i="77"/>
  <c r="AQ458" i="77"/>
  <c r="AX458" i="77"/>
  <c r="BD458" i="77" s="1"/>
  <c r="AY512" i="77"/>
  <c r="AU512" i="77"/>
  <c r="AO512" i="77"/>
  <c r="AN512" i="77"/>
  <c r="AV512" i="77" a="1"/>
  <c r="AV512" i="77" s="1"/>
  <c r="AL512" i="77"/>
  <c r="AT512" i="77" s="1"/>
  <c r="AO546" i="77"/>
  <c r="AN546" i="77"/>
  <c r="AY546" i="77"/>
  <c r="AV546" i="77" a="1"/>
  <c r="AV546" i="77" s="1"/>
  <c r="AU546" i="77"/>
  <c r="AL546" i="77"/>
  <c r="AT546" i="77" s="1"/>
  <c r="BA546" i="77"/>
  <c r="BA117" i="77"/>
  <c r="AV366" i="77" a="1"/>
  <c r="AV366" i="77" s="1"/>
  <c r="AU366" i="77"/>
  <c r="AY366" i="77"/>
  <c r="AF394" i="77"/>
  <c r="AP428" i="77"/>
  <c r="BF428" i="77" s="1"/>
  <c r="AZ428" i="77" s="1"/>
  <c r="BC428" i="77" s="1"/>
  <c r="AO197" i="77"/>
  <c r="AN197" i="77"/>
  <c r="AO243" i="77"/>
  <c r="AV267" i="77" a="1"/>
  <c r="AV267" i="77" s="1"/>
  <c r="AU267" i="77"/>
  <c r="AY267" i="77"/>
  <c r="BF307" i="77"/>
  <c r="AZ307" i="77" s="1"/>
  <c r="BF308" i="77"/>
  <c r="AZ308" i="77" s="1"/>
  <c r="BC308" i="77" s="1"/>
  <c r="AO332" i="77"/>
  <c r="AV332" i="77" a="1"/>
  <c r="AV332" i="77" s="1"/>
  <c r="AU332" i="77"/>
  <c r="AN332" i="77"/>
  <c r="AN368" i="77"/>
  <c r="AL368" i="77"/>
  <c r="AT368" i="77" s="1"/>
  <c r="AU368" i="77"/>
  <c r="AO368" i="77"/>
  <c r="AV393" i="77" a="1"/>
  <c r="AV393" i="77" s="1"/>
  <c r="AO393" i="77"/>
  <c r="AU393" i="77"/>
  <c r="AN393" i="77"/>
  <c r="AL393" i="77"/>
  <c r="AT393" i="77" s="1"/>
  <c r="AO402" i="77"/>
  <c r="BA402" i="77"/>
  <c r="AU402" i="77"/>
  <c r="AN402" i="77"/>
  <c r="AU412" i="77"/>
  <c r="BA412" i="77"/>
  <c r="AL412" i="77"/>
  <c r="AT412" i="77" s="1"/>
  <c r="AO424" i="77"/>
  <c r="AN424" i="77"/>
  <c r="AL424" i="77"/>
  <c r="AT424" i="77" s="1"/>
  <c r="AV424" i="77" a="1"/>
  <c r="AV424" i="77" s="1"/>
  <c r="AU424" i="77"/>
  <c r="BA424" i="77"/>
  <c r="AP433" i="77"/>
  <c r="AQ433" i="77" s="1"/>
  <c r="BA445" i="77"/>
  <c r="AY445" i="77"/>
  <c r="AO445" i="77"/>
  <c r="AN445" i="77"/>
  <c r="AL445" i="77"/>
  <c r="AT445" i="77" s="1"/>
  <c r="AP460" i="77"/>
  <c r="BF460" i="77" s="1"/>
  <c r="AZ460" i="77" s="1"/>
  <c r="BC460" i="77" s="1"/>
  <c r="AF460" i="77"/>
  <c r="AE460" i="77"/>
  <c r="AY464" i="77"/>
  <c r="BA464" i="77"/>
  <c r="AO464" i="77"/>
  <c r="AN464" i="77"/>
  <c r="AL464" i="77"/>
  <c r="AT464" i="77" s="1"/>
  <c r="AV464" i="77" a="1"/>
  <c r="AV464" i="77" s="1"/>
  <c r="AN507" i="77"/>
  <c r="AL507" i="77"/>
  <c r="AT507" i="77" s="1"/>
  <c r="AO507" i="77"/>
  <c r="AV507" i="77" a="1"/>
  <c r="AV507" i="77" s="1"/>
  <c r="AU507" i="77"/>
  <c r="BA507" i="77"/>
  <c r="AY507" i="77"/>
  <c r="AV543" i="77" a="1"/>
  <c r="AV543" i="77" s="1"/>
  <c r="AU543" i="77"/>
  <c r="AO543" i="77"/>
  <c r="BA543" i="77"/>
  <c r="AY543" i="77"/>
  <c r="AN543" i="77"/>
  <c r="BA69" i="77"/>
  <c r="BA85" i="77"/>
  <c r="BA93" i="77"/>
  <c r="AP287" i="77"/>
  <c r="AQ287" i="77" s="1"/>
  <c r="AY343" i="77"/>
  <c r="AN343" i="77"/>
  <c r="AL343" i="77"/>
  <c r="AT343" i="77" s="1"/>
  <c r="AV343" i="77" a="1"/>
  <c r="AV343" i="77" s="1"/>
  <c r="AU343" i="77"/>
  <c r="AU376" i="77"/>
  <c r="BA376" i="77"/>
  <c r="AY376" i="77"/>
  <c r="AO376" i="77"/>
  <c r="AN376" i="77"/>
  <c r="AH458" i="77"/>
  <c r="AM458" i="77"/>
  <c r="AI458" i="77"/>
  <c r="BW458" i="77"/>
  <c r="AG458" i="77"/>
  <c r="AN485" i="77"/>
  <c r="BA485" i="77"/>
  <c r="AV485" i="77" a="1"/>
  <c r="AV485" i="77" s="1"/>
  <c r="AU485" i="77"/>
  <c r="AY485" i="77"/>
  <c r="AO485" i="77"/>
  <c r="AL485" i="77"/>
  <c r="AT485" i="77" s="1"/>
  <c r="BC487" i="77"/>
  <c r="BF487" i="77"/>
  <c r="AZ487" i="77" s="1"/>
  <c r="AF487" i="77"/>
  <c r="AE487" i="77" s="1"/>
  <c r="AL157" i="77"/>
  <c r="AT157" i="77" s="1"/>
  <c r="AO173" i="77"/>
  <c r="AN173" i="77"/>
  <c r="AO234" i="77"/>
  <c r="AV234" i="77" a="1"/>
  <c r="AV234" i="77" s="1"/>
  <c r="AL258" i="77"/>
  <c r="AT258" i="77" s="1"/>
  <c r="AL288" i="77"/>
  <c r="AT288" i="77" s="1"/>
  <c r="AL331" i="77"/>
  <c r="AT331" i="77" s="1"/>
  <c r="BA331" i="77"/>
  <c r="AY331" i="77"/>
  <c r="AV331" i="77" a="1"/>
  <c r="AV331" i="77" s="1"/>
  <c r="AU331" i="77"/>
  <c r="AF333" i="77"/>
  <c r="AE333" i="77"/>
  <c r="AP333" i="77"/>
  <c r="BF333" i="77" s="1"/>
  <c r="AZ333" i="77" s="1"/>
  <c r="BC333" i="77" s="1"/>
  <c r="AF336" i="77"/>
  <c r="AE336" i="77" s="1"/>
  <c r="BF336" i="77"/>
  <c r="AZ336" i="77" s="1"/>
  <c r="BC336" i="77" s="1"/>
  <c r="AO343" i="77"/>
  <c r="AL366" i="77"/>
  <c r="AT366" i="77" s="1"/>
  <c r="AL376" i="77"/>
  <c r="AT376" i="77" s="1"/>
  <c r="BF385" i="77"/>
  <c r="AZ385" i="77" s="1"/>
  <c r="BC385" i="77"/>
  <c r="AF385" i="77"/>
  <c r="AE385" i="77"/>
  <c r="AO405" i="77"/>
  <c r="AN405" i="77"/>
  <c r="AY405" i="77"/>
  <c r="AV405" i="77" a="1"/>
  <c r="AV405" i="77" s="1"/>
  <c r="AU405" i="77"/>
  <c r="AY416" i="77"/>
  <c r="AO416" i="77"/>
  <c r="AN416" i="77"/>
  <c r="AL416" i="77"/>
  <c r="AT416" i="77" s="1"/>
  <c r="BA416" i="77"/>
  <c r="AV416" i="77" a="1"/>
  <c r="AV416" i="77" s="1"/>
  <c r="AK458" i="77" a="1"/>
  <c r="AK458" i="77" s="1"/>
  <c r="BG458" i="77" s="1"/>
  <c r="AX483" i="77"/>
  <c r="BD483" i="77" s="1"/>
  <c r="AF531" i="77"/>
  <c r="AE531" i="77"/>
  <c r="AP531" i="77"/>
  <c r="BF531" i="77" s="1"/>
  <c r="AZ531" i="77" s="1"/>
  <c r="BC531" i="77" s="1"/>
  <c r="AY252" i="77"/>
  <c r="AV252" i="77" a="1"/>
  <c r="AV252" i="77" s="1"/>
  <c r="AU252" i="77"/>
  <c r="AN375" i="77"/>
  <c r="AL375" i="77"/>
  <c r="AT375" i="77" s="1"/>
  <c r="AO375" i="77"/>
  <c r="BA375" i="77"/>
  <c r="AY389" i="77"/>
  <c r="BA389" i="77"/>
  <c r="AV389" i="77" a="1"/>
  <c r="AV389" i="77" s="1"/>
  <c r="AO389" i="77"/>
  <c r="AN389" i="77"/>
  <c r="AL390" i="77"/>
  <c r="AT390" i="77" s="1"/>
  <c r="AU390" i="77"/>
  <c r="AO390" i="77"/>
  <c r="AN390" i="77"/>
  <c r="AH442" i="77"/>
  <c r="AM442" i="77"/>
  <c r="BW442" i="77"/>
  <c r="AK442" i="77" a="1"/>
  <c r="AK442" i="77" s="1"/>
  <c r="BG442" i="77" s="1"/>
  <c r="AI442" i="77"/>
  <c r="AX451" i="77"/>
  <c r="BD451" i="77" s="1"/>
  <c r="AQ451" i="77"/>
  <c r="AO472" i="77"/>
  <c r="AN472" i="77"/>
  <c r="AL472" i="77"/>
  <c r="AT472" i="77" s="1"/>
  <c r="AV472" i="77" a="1"/>
  <c r="AV472" i="77" s="1"/>
  <c r="AU472" i="77"/>
  <c r="BA472" i="77"/>
  <c r="AY472" i="77"/>
  <c r="AO514" i="77"/>
  <c r="AY514" i="77"/>
  <c r="AN514" i="77"/>
  <c r="AL514" i="77"/>
  <c r="AT514" i="77" s="1"/>
  <c r="BA514" i="77"/>
  <c r="AV514" i="77" a="1"/>
  <c r="AV514" i="77" s="1"/>
  <c r="AU514" i="77"/>
  <c r="AL529" i="77"/>
  <c r="AT529" i="77" s="1"/>
  <c r="BA529" i="77"/>
  <c r="AV529" i="77" a="1"/>
  <c r="AV529" i="77" s="1"/>
  <c r="AU529" i="77"/>
  <c r="AV228" i="77" a="1"/>
  <c r="AV228" i="77" s="1"/>
  <c r="AU228" i="77"/>
  <c r="AL287" i="77"/>
  <c r="AT287" i="77" s="1"/>
  <c r="AX287" i="77" s="1"/>
  <c r="BD287" i="77" s="1"/>
  <c r="AO287" i="77"/>
  <c r="AY327" i="77"/>
  <c r="AO327" i="77"/>
  <c r="AN327" i="77"/>
  <c r="AV373" i="77" a="1"/>
  <c r="AV373" i="77" s="1"/>
  <c r="AU373" i="77"/>
  <c r="AL373" i="77"/>
  <c r="AT373" i="77" s="1"/>
  <c r="AO373" i="77"/>
  <c r="AN373" i="77"/>
  <c r="AU386" i="77"/>
  <c r="AY386" i="77"/>
  <c r="AV409" i="77" a="1"/>
  <c r="AV409" i="77" s="1"/>
  <c r="AU409" i="77"/>
  <c r="AL409" i="77"/>
  <c r="AT409" i="77" s="1"/>
  <c r="AO409" i="77"/>
  <c r="AN409" i="77"/>
  <c r="AV439" i="77" a="1"/>
  <c r="AV439" i="77" s="1"/>
  <c r="BA439" i="77"/>
  <c r="AY439" i="77"/>
  <c r="AO439" i="77"/>
  <c r="AN439" i="77"/>
  <c r="AE457" i="77"/>
  <c r="BF457" i="77"/>
  <c r="AZ457" i="77" s="1"/>
  <c r="BC457" i="77" s="1"/>
  <c r="AF457" i="77"/>
  <c r="BF465" i="77"/>
  <c r="AZ465" i="77" s="1"/>
  <c r="BC465" i="77"/>
  <c r="AE465" i="77"/>
  <c r="AL510" i="77"/>
  <c r="AT510" i="77" s="1"/>
  <c r="AO510" i="77"/>
  <c r="AN510" i="77"/>
  <c r="BA510" i="77"/>
  <c r="AU510" i="77"/>
  <c r="AV510" i="77" a="1"/>
  <c r="AV510" i="77" s="1"/>
  <c r="AY510" i="77"/>
  <c r="AN529" i="77"/>
  <c r="AY544" i="77"/>
  <c r="AL544" i="77"/>
  <c r="AT544" i="77" s="1"/>
  <c r="BA544" i="77"/>
  <c r="AO544" i="77"/>
  <c r="AN544" i="77"/>
  <c r="AV544" i="77" a="1"/>
  <c r="AV544" i="77" s="1"/>
  <c r="AO257" i="77"/>
  <c r="AN257" i="77"/>
  <c r="AN266" i="77"/>
  <c r="AL266" i="77"/>
  <c r="AT266" i="77" s="1"/>
  <c r="AY285" i="77"/>
  <c r="AV285" i="77" a="1"/>
  <c r="AV285" i="77" s="1"/>
  <c r="AY300" i="77"/>
  <c r="AV300" i="77" a="1"/>
  <c r="AV300" i="77" s="1"/>
  <c r="AY314" i="77"/>
  <c r="AO314" i="77"/>
  <c r="AN314" i="77"/>
  <c r="AL360" i="77"/>
  <c r="AT360" i="77" s="1"/>
  <c r="AY360" i="77"/>
  <c r="BF371" i="77"/>
  <c r="AZ371" i="77" s="1"/>
  <c r="BC371" i="77" s="1"/>
  <c r="AO372" i="77"/>
  <c r="AN372" i="77"/>
  <c r="AV372" i="77" a="1"/>
  <c r="AV372" i="77" s="1"/>
  <c r="AU372" i="77"/>
  <c r="AL372" i="77"/>
  <c r="AT372" i="77" s="1"/>
  <c r="AL398" i="77"/>
  <c r="AT398" i="77" s="1"/>
  <c r="AY398" i="77"/>
  <c r="AN398" i="77"/>
  <c r="AN427" i="77"/>
  <c r="AL427" i="77"/>
  <c r="AT427" i="77" s="1"/>
  <c r="AU427" i="77"/>
  <c r="AO427" i="77"/>
  <c r="BA427" i="77"/>
  <c r="AY427" i="77"/>
  <c r="AO456" i="77"/>
  <c r="AU456" i="77"/>
  <c r="BA456" i="77"/>
  <c r="AX461" i="77"/>
  <c r="BD461" i="77" s="1"/>
  <c r="AQ461" i="77"/>
  <c r="AY480" i="77"/>
  <c r="AO480" i="77"/>
  <c r="AN480" i="77"/>
  <c r="BA480" i="77"/>
  <c r="AL480" i="77"/>
  <c r="AT480" i="77" s="1"/>
  <c r="AU486" i="77"/>
  <c r="AO486" i="77"/>
  <c r="AN486" i="77"/>
  <c r="AY486" i="77"/>
  <c r="AO536" i="77"/>
  <c r="AN536" i="77"/>
  <c r="AL536" i="77"/>
  <c r="AT536" i="77" s="1"/>
  <c r="AY536" i="77"/>
  <c r="AV536" i="77" a="1"/>
  <c r="AV536" i="77" s="1"/>
  <c r="AU536" i="77"/>
  <c r="AV320" i="77" a="1"/>
  <c r="AV320" i="77" s="1"/>
  <c r="AU320" i="77"/>
  <c r="AO338" i="77"/>
  <c r="AN338" i="77"/>
  <c r="AL365" i="77"/>
  <c r="AT365" i="77" s="1"/>
  <c r="AN365" i="77"/>
  <c r="BA415" i="77"/>
  <c r="AY415" i="77"/>
  <c r="AU415" i="77"/>
  <c r="AO415" i="77"/>
  <c r="AN415" i="77"/>
  <c r="AL449" i="77"/>
  <c r="AT449" i="77" s="1"/>
  <c r="BA449" i="77"/>
  <c r="AY449" i="77"/>
  <c r="AV449" i="77" a="1"/>
  <c r="AV449" i="77" s="1"/>
  <c r="AU449" i="77"/>
  <c r="AN449" i="77"/>
  <c r="AO517" i="77"/>
  <c r="AN517" i="77"/>
  <c r="AV517" i="77" a="1"/>
  <c r="AV517" i="77" s="1"/>
  <c r="AU517" i="77"/>
  <c r="AL517" i="77"/>
  <c r="AT517" i="77" s="1"/>
  <c r="BA517" i="77"/>
  <c r="AO256" i="77"/>
  <c r="AN256" i="77"/>
  <c r="AV283" i="77" a="1"/>
  <c r="AV283" i="77" s="1"/>
  <c r="AU283" i="77"/>
  <c r="AN325" i="77"/>
  <c r="AL325" i="77"/>
  <c r="AT325" i="77" s="1"/>
  <c r="AN369" i="77"/>
  <c r="BA369" i="77"/>
  <c r="AO381" i="77"/>
  <c r="AL381" i="77"/>
  <c r="AT381" i="77" s="1"/>
  <c r="AO449" i="77"/>
  <c r="AU460" i="77"/>
  <c r="AO460" i="77"/>
  <c r="BA460" i="77"/>
  <c r="AV460" i="77" a="1"/>
  <c r="AV460" i="77" s="1"/>
  <c r="BF461" i="77"/>
  <c r="AZ461" i="77" s="1"/>
  <c r="BC461" i="77" s="1"/>
  <c r="AO488" i="77"/>
  <c r="AU488" i="77"/>
  <c r="BA488" i="77"/>
  <c r="AV488" i="77" a="1"/>
  <c r="AV488" i="77" s="1"/>
  <c r="AN488" i="77"/>
  <c r="AV505" i="77" a="1"/>
  <c r="AV505" i="77" s="1"/>
  <c r="AU505" i="77"/>
  <c r="AO505" i="77"/>
  <c r="AN505" i="77"/>
  <c r="BA505" i="77"/>
  <c r="AY505" i="77"/>
  <c r="AL505" i="77"/>
  <c r="AT505" i="77" s="1"/>
  <c r="AV336" i="77" a="1"/>
  <c r="AV336" i="77" s="1"/>
  <c r="AU336" i="77"/>
  <c r="AO354" i="77"/>
  <c r="AN354" i="77"/>
  <c r="AO365" i="77"/>
  <c r="AN383" i="77"/>
  <c r="AL383" i="77"/>
  <c r="AT383" i="77" s="1"/>
  <c r="AV383" i="77" a="1"/>
  <c r="AV383" i="77" s="1"/>
  <c r="AY384" i="77"/>
  <c r="AV384" i="77" a="1"/>
  <c r="AV384" i="77" s="1"/>
  <c r="AU384" i="77"/>
  <c r="AO384" i="77"/>
  <c r="AN384" i="77"/>
  <c r="AV406" i="77" a="1"/>
  <c r="AV406" i="77" s="1"/>
  <c r="AU406" i="77"/>
  <c r="AO406" i="77"/>
  <c r="AN406" i="77"/>
  <c r="BA406" i="77"/>
  <c r="BF466" i="77"/>
  <c r="AZ466" i="77" s="1"/>
  <c r="BC466" i="77" s="1"/>
  <c r="AF466" i="77"/>
  <c r="AE483" i="77"/>
  <c r="AP483" i="77"/>
  <c r="BF483" i="77" s="1"/>
  <c r="AZ483" i="77" s="1"/>
  <c r="BC483" i="77" s="1"/>
  <c r="AY517" i="77"/>
  <c r="AV531" i="77" a="1"/>
  <c r="AV531" i="77" s="1"/>
  <c r="AL531" i="77"/>
  <c r="AT531" i="77" s="1"/>
  <c r="BA531" i="77"/>
  <c r="AO531" i="77"/>
  <c r="AE537" i="77"/>
  <c r="AF537" i="77"/>
  <c r="BF537" i="77"/>
  <c r="AZ537" i="77" s="1"/>
  <c r="BC537" i="77" s="1"/>
  <c r="AY324" i="77"/>
  <c r="AY340" i="77"/>
  <c r="AV391" i="77" a="1"/>
  <c r="AV391" i="77" s="1"/>
  <c r="AU391" i="77"/>
  <c r="AU444" i="77"/>
  <c r="AN444" i="77"/>
  <c r="AL444" i="77"/>
  <c r="AT444" i="77" s="1"/>
  <c r="AV444" i="77" a="1"/>
  <c r="AV444" i="77" s="1"/>
  <c r="AO450" i="77"/>
  <c r="AN450" i="77"/>
  <c r="AU450" i="77"/>
  <c r="AL450" i="77"/>
  <c r="AT450" i="77" s="1"/>
  <c r="AP484" i="77"/>
  <c r="BF484" i="77" s="1"/>
  <c r="AZ484" i="77" s="1"/>
  <c r="BC484" i="77"/>
  <c r="AF484" i="77"/>
  <c r="AE484" i="77" s="1"/>
  <c r="BF495" i="77"/>
  <c r="AZ495" i="77" s="1"/>
  <c r="BC495" i="77" s="1"/>
  <c r="AU540" i="77"/>
  <c r="AV540" i="77" a="1"/>
  <c r="AV540" i="77" s="1"/>
  <c r="AN540" i="77"/>
  <c r="AL540" i="77"/>
  <c r="AT540" i="77" s="1"/>
  <c r="BA540" i="77"/>
  <c r="AY540" i="77"/>
  <c r="BC423" i="77"/>
  <c r="AE423" i="77"/>
  <c r="AQ468" i="77"/>
  <c r="AE468" i="77"/>
  <c r="AX468" i="77"/>
  <c r="BD468" i="77" s="1"/>
  <c r="AL481" i="77"/>
  <c r="AT481" i="77" s="1"/>
  <c r="BA481" i="77"/>
  <c r="AY481" i="77"/>
  <c r="AV481" i="77" a="1"/>
  <c r="AV481" i="77" s="1"/>
  <c r="AU481" i="77"/>
  <c r="AX489" i="77"/>
  <c r="BD489" i="77" s="1"/>
  <c r="AE490" i="77"/>
  <c r="AN493" i="77"/>
  <c r="AL493" i="77"/>
  <c r="AT493" i="77" s="1"/>
  <c r="AO493" i="77"/>
  <c r="BF417" i="77"/>
  <c r="AZ417" i="77" s="1"/>
  <c r="BC417" i="77" s="1"/>
  <c r="AO418" i="77"/>
  <c r="AY418" i="77"/>
  <c r="AE451" i="77"/>
  <c r="BC451" i="77"/>
  <c r="AN453" i="77"/>
  <c r="BA453" i="77"/>
  <c r="AV453" i="77" a="1"/>
  <c r="AV453" i="77" s="1"/>
  <c r="AU453" i="77"/>
  <c r="BA380" i="77"/>
  <c r="BA392" i="77"/>
  <c r="AN437" i="77"/>
  <c r="AV437" i="77" a="1"/>
  <c r="AV437" i="77" s="1"/>
  <c r="AE489" i="77"/>
  <c r="AE494" i="77"/>
  <c r="BF494" i="77"/>
  <c r="AZ494" i="77" s="1"/>
  <c r="BC494" i="77" s="1"/>
  <c r="AK503" i="77" a="1"/>
  <c r="AK503" i="77" s="1"/>
  <c r="BG503" i="77" s="1"/>
  <c r="AM503" i="77"/>
  <c r="AI503" i="77"/>
  <c r="AH503" i="77"/>
  <c r="AG503" i="77"/>
  <c r="AP513" i="77"/>
  <c r="AQ513" i="77" s="1"/>
  <c r="AK516" i="77" a="1"/>
  <c r="AK516" i="77" s="1"/>
  <c r="BG516" i="77" s="1"/>
  <c r="AI516" i="77"/>
  <c r="AH516" i="77"/>
  <c r="AG516" i="77"/>
  <c r="AM516" i="77"/>
  <c r="BW516" i="77"/>
  <c r="AV537" i="77" a="1"/>
  <c r="AV537" i="77" s="1"/>
  <c r="AU537" i="77"/>
  <c r="BA537" i="77"/>
  <c r="AY537" i="77"/>
  <c r="AP538" i="77"/>
  <c r="BF538" i="77"/>
  <c r="AZ538" i="77" s="1"/>
  <c r="BC538" i="77" s="1"/>
  <c r="AF538" i="77"/>
  <c r="AE538" i="77" s="1"/>
  <c r="AO446" i="77"/>
  <c r="AN446" i="77"/>
  <c r="AN459" i="77"/>
  <c r="AL459" i="77"/>
  <c r="AT459" i="77" s="1"/>
  <c r="BA459" i="77"/>
  <c r="AL465" i="77"/>
  <c r="AT465" i="77" s="1"/>
  <c r="AX465" i="77" s="1"/>
  <c r="BD465" i="77" s="1"/>
  <c r="AU465" i="77"/>
  <c r="AE473" i="77"/>
  <c r="BF473" i="77"/>
  <c r="AZ473" i="77" s="1"/>
  <c r="BC473" i="77" s="1"/>
  <c r="AF473" i="77"/>
  <c r="AF547" i="77"/>
  <c r="AE547" i="77"/>
  <c r="AP547" i="77"/>
  <c r="BF547" i="77" s="1"/>
  <c r="AZ547" i="77" s="1"/>
  <c r="BC547" i="77" s="1"/>
  <c r="AN414" i="77"/>
  <c r="AV425" i="77" a="1"/>
  <c r="AV425" i="77" s="1"/>
  <c r="AU425" i="77"/>
  <c r="AL433" i="77"/>
  <c r="AT433" i="77" s="1"/>
  <c r="AX433" i="77" s="1"/>
  <c r="BD433" i="77" s="1"/>
  <c r="AV433" i="77" a="1"/>
  <c r="AV433" i="77" s="1"/>
  <c r="AU433" i="77"/>
  <c r="BA447" i="77"/>
  <c r="AY447" i="77"/>
  <c r="AP489" i="77"/>
  <c r="AQ489" i="77" s="1"/>
  <c r="AF492" i="77"/>
  <c r="AE492" i="77" s="1"/>
  <c r="BC492" i="77"/>
  <c r="AP494" i="77"/>
  <c r="AQ494" i="77" s="1"/>
  <c r="AY509" i="77"/>
  <c r="AV509" i="77" a="1"/>
  <c r="AV509" i="77" s="1"/>
  <c r="AU509" i="77"/>
  <c r="AO509" i="77"/>
  <c r="AN509" i="77"/>
  <c r="BF526" i="77"/>
  <c r="AZ526" i="77" s="1"/>
  <c r="BC526" i="77"/>
  <c r="AF526" i="77"/>
  <c r="AE526" i="77"/>
  <c r="AN469" i="77"/>
  <c r="AY469" i="77"/>
  <c r="AN475" i="77"/>
  <c r="AL475" i="77"/>
  <c r="AT475" i="77" s="1"/>
  <c r="AY475" i="77"/>
  <c r="AU492" i="77"/>
  <c r="BA492" i="77"/>
  <c r="AY492" i="77"/>
  <c r="AO501" i="77"/>
  <c r="AN501" i="77"/>
  <c r="AL501" i="77"/>
  <c r="AT501" i="77" s="1"/>
  <c r="BA501" i="77"/>
  <c r="AY501" i="77"/>
  <c r="BA511" i="77"/>
  <c r="AY511" i="77"/>
  <c r="AU511" i="77"/>
  <c r="AO511" i="77"/>
  <c r="AN511" i="77"/>
  <c r="AO533" i="77"/>
  <c r="AN533" i="77"/>
  <c r="AV533" i="77" a="1"/>
  <c r="AV533" i="77" s="1"/>
  <c r="BA479" i="77"/>
  <c r="AY479" i="77"/>
  <c r="AN491" i="77"/>
  <c r="AO491" i="77"/>
  <c r="AL491" i="77"/>
  <c r="AT491" i="77" s="1"/>
  <c r="AY500" i="77"/>
  <c r="AL500" i="77"/>
  <c r="AT500" i="77" s="1"/>
  <c r="AO500" i="77"/>
  <c r="AV518" i="77" a="1"/>
  <c r="AV518" i="77" s="1"/>
  <c r="AU518" i="77"/>
  <c r="AL518" i="77"/>
  <c r="AT518" i="77" s="1"/>
  <c r="AO518" i="77"/>
  <c r="AN518" i="77"/>
  <c r="AY527" i="77"/>
  <c r="AN527" i="77"/>
  <c r="AL527" i="77"/>
  <c r="AT527" i="77" s="1"/>
  <c r="AY541" i="77"/>
  <c r="AN541" i="77"/>
  <c r="AL541" i="77"/>
  <c r="AT541" i="77" s="1"/>
  <c r="AO541" i="77"/>
  <c r="BA541" i="77"/>
  <c r="AV541" i="77" a="1"/>
  <c r="AV541" i="77" s="1"/>
  <c r="AL545" i="77"/>
  <c r="AT545" i="77" s="1"/>
  <c r="AY545" i="77"/>
  <c r="BA545" i="77"/>
  <c r="AV473" i="77" a="1"/>
  <c r="AV473" i="77" s="1"/>
  <c r="BA473" i="77"/>
  <c r="AY498" i="77"/>
  <c r="AV498" i="77" a="1"/>
  <c r="AV498" i="77" s="1"/>
  <c r="BA498" i="77"/>
  <c r="AU498" i="77"/>
  <c r="AN499" i="77"/>
  <c r="AL499" i="77"/>
  <c r="AT499" i="77" s="1"/>
  <c r="AO499" i="77"/>
  <c r="AV499" i="77" a="1"/>
  <c r="AV499" i="77" s="1"/>
  <c r="AU499" i="77"/>
  <c r="BF516" i="77"/>
  <c r="AZ516" i="77" s="1"/>
  <c r="BC516" i="77" s="1"/>
  <c r="BC519" i="77"/>
  <c r="AF519" i="77"/>
  <c r="AE519" i="77"/>
  <c r="AO520" i="77"/>
  <c r="AN520" i="77"/>
  <c r="AV520" i="77" a="1"/>
  <c r="AV520" i="77" s="1"/>
  <c r="AP508" i="77"/>
  <c r="BF508" i="77" s="1"/>
  <c r="AZ508" i="77" s="1"/>
  <c r="BC508" i="77" s="1"/>
  <c r="AP516" i="77"/>
  <c r="AQ516" i="77" s="1"/>
  <c r="AY442" i="77"/>
  <c r="AE521" i="77"/>
  <c r="AF534" i="77"/>
  <c r="AE534" i="77" s="1"/>
  <c r="BF534" i="77"/>
  <c r="AZ534" i="77" s="1"/>
  <c r="BC534" i="77" s="1"/>
  <c r="AL542" i="77"/>
  <c r="AT542" i="77" s="1"/>
  <c r="BA542" i="77"/>
  <c r="AY542" i="77"/>
  <c r="BC548" i="77"/>
  <c r="AN497" i="77"/>
  <c r="AL497" i="77"/>
  <c r="AT497" i="77" s="1"/>
  <c r="AO504" i="77"/>
  <c r="AN504" i="77"/>
  <c r="AY504" i="77"/>
  <c r="AP521" i="77"/>
  <c r="AQ521" i="77" s="1"/>
  <c r="AP534" i="77"/>
  <c r="AY496" i="77"/>
  <c r="AN523" i="77"/>
  <c r="AL523" i="77"/>
  <c r="AT523" i="77" s="1"/>
  <c r="BC503" i="77"/>
  <c r="AV521" i="77" a="1"/>
  <c r="AV521" i="77" s="1"/>
  <c r="AU521" i="77"/>
  <c r="AV534" i="77" a="1"/>
  <c r="AV534" i="77" s="1"/>
  <c r="AU534" i="77"/>
  <c r="BD12" i="76"/>
  <c r="AF274" i="76"/>
  <c r="AP274" i="76"/>
  <c r="BF274" i="76"/>
  <c r="AZ274" i="76" s="1"/>
  <c r="BC274" i="76" s="1"/>
  <c r="AP80" i="76"/>
  <c r="AF80" i="76"/>
  <c r="AE80" i="76"/>
  <c r="BF80" i="76"/>
  <c r="AZ80" i="76" s="1"/>
  <c r="BC80" i="76" s="1"/>
  <c r="AX76" i="76"/>
  <c r="BD76" i="76" s="1"/>
  <c r="AK92" i="76" a="1"/>
  <c r="AK92" i="76" s="1"/>
  <c r="BG92" i="76" s="1"/>
  <c r="AH92" i="76"/>
  <c r="AI92" i="76"/>
  <c r="AM92" i="76"/>
  <c r="BW92" i="76"/>
  <c r="AF106" i="76"/>
  <c r="AE106" i="76"/>
  <c r="AP106" i="76"/>
  <c r="AQ169" i="76"/>
  <c r="AX169" i="76"/>
  <c r="BD169" i="76" s="1"/>
  <c r="AO251" i="76"/>
  <c r="AU251" i="76"/>
  <c r="AN251" i="76"/>
  <c r="AY251" i="76"/>
  <c r="BA251" i="76"/>
  <c r="AL251" i="76"/>
  <c r="AT251" i="76" s="1"/>
  <c r="AV251" i="76" a="1"/>
  <c r="AV251" i="76" s="1"/>
  <c r="AX26" i="76"/>
  <c r="BD26" i="76" s="1"/>
  <c r="AF43" i="76"/>
  <c r="AE43" i="76"/>
  <c r="AP43" i="76"/>
  <c r="BF43" i="76"/>
  <c r="AZ43" i="76" s="1"/>
  <c r="BC43" i="76" s="1"/>
  <c r="AV48" i="76" a="1"/>
  <c r="AV48" i="76" s="1"/>
  <c r="AU48" i="76"/>
  <c r="AO48" i="76"/>
  <c r="AN48" i="76"/>
  <c r="BA48" i="76"/>
  <c r="AY48" i="76"/>
  <c r="AF51" i="76"/>
  <c r="AE51" i="76"/>
  <c r="AG92" i="76"/>
  <c r="AF198" i="76"/>
  <c r="AP198" i="76"/>
  <c r="BF198" i="76" s="1"/>
  <c r="AZ198" i="76" s="1"/>
  <c r="BC198" i="76" s="1"/>
  <c r="AK207" i="76" a="1"/>
  <c r="AK207" i="76" s="1"/>
  <c r="BG207" i="76" s="1"/>
  <c r="AM207" i="76"/>
  <c r="AN324" i="76"/>
  <c r="BA324" i="76"/>
  <c r="AL324" i="76"/>
  <c r="AT324" i="76" s="1"/>
  <c r="AV324" i="76" a="1"/>
  <c r="AV324" i="76" s="1"/>
  <c r="AU324" i="76"/>
  <c r="AY324" i="76"/>
  <c r="AO324" i="76"/>
  <c r="BW427" i="76"/>
  <c r="AK427" i="76" a="1"/>
  <c r="AK427" i="76" s="1"/>
  <c r="AI427" i="76"/>
  <c r="AM427" i="76"/>
  <c r="AH427" i="76"/>
  <c r="AF47" i="76"/>
  <c r="AE47" i="76"/>
  <c r="BF47" i="76"/>
  <c r="AZ47" i="76" s="1"/>
  <c r="BC47" i="76" s="1"/>
  <c r="AP88" i="76"/>
  <c r="BF88" i="76"/>
  <c r="AZ88" i="76" s="1"/>
  <c r="BC88" i="76" s="1"/>
  <c r="AF88" i="76"/>
  <c r="AE88" i="76"/>
  <c r="BW120" i="76"/>
  <c r="AK120" i="76" a="1"/>
  <c r="AK120" i="76" s="1"/>
  <c r="AH120" i="76"/>
  <c r="AG120" i="76"/>
  <c r="AI120" i="76"/>
  <c r="AU146" i="76"/>
  <c r="AV146" i="76" a="1"/>
  <c r="AV146" i="76" s="1"/>
  <c r="AY146" i="76"/>
  <c r="BA146" i="76"/>
  <c r="AO146" i="76"/>
  <c r="AN146" i="76"/>
  <c r="AF155" i="76"/>
  <c r="AE155" i="76"/>
  <c r="AX207" i="76"/>
  <c r="BD207" i="76" s="1"/>
  <c r="AQ207" i="76"/>
  <c r="AP273" i="76"/>
  <c r="BF273" i="76"/>
  <c r="AZ273" i="76" s="1"/>
  <c r="BC273" i="76"/>
  <c r="AE273" i="76"/>
  <c r="AF305" i="76"/>
  <c r="AE305" i="76"/>
  <c r="AO379" i="76"/>
  <c r="AN379" i="76"/>
  <c r="AV379" i="76" a="1"/>
  <c r="AV379" i="76" s="1"/>
  <c r="AU379" i="76"/>
  <c r="AL379" i="76"/>
  <c r="AT379" i="76" s="1"/>
  <c r="BA379" i="76"/>
  <c r="AY379" i="76"/>
  <c r="AF84" i="76"/>
  <c r="AE84" i="76"/>
  <c r="AP84" i="76"/>
  <c r="BF84" i="76" s="1"/>
  <c r="AZ84" i="76" s="1"/>
  <c r="BC84" i="76" s="1"/>
  <c r="AQ120" i="76"/>
  <c r="AX120" i="76"/>
  <c r="BD120" i="76" s="1"/>
  <c r="AG207" i="76"/>
  <c r="AF335" i="76"/>
  <c r="AE335" i="76"/>
  <c r="AP335" i="76"/>
  <c r="BA380" i="76"/>
  <c r="AO380" i="76"/>
  <c r="AN380" i="76"/>
  <c r="AY380" i="76"/>
  <c r="AV380" i="76" a="1"/>
  <c r="AV380" i="76" s="1"/>
  <c r="AU380" i="76"/>
  <c r="AL380" i="76"/>
  <c r="AT380" i="76" s="1"/>
  <c r="AK441" i="76" a="1"/>
  <c r="AK441" i="76" s="1"/>
  <c r="BG441" i="76" s="1"/>
  <c r="BW441" i="76"/>
  <c r="AM441" i="76"/>
  <c r="AH441" i="76"/>
  <c r="AN523" i="76"/>
  <c r="AY523" i="76"/>
  <c r="BA523" i="76"/>
  <c r="AO523" i="76"/>
  <c r="AL523" i="76"/>
  <c r="AT523" i="76" s="1"/>
  <c r="AU523" i="76"/>
  <c r="AV523" i="76" a="1"/>
  <c r="AV523" i="76" s="1"/>
  <c r="AV55" i="76" a="1"/>
  <c r="AV55" i="76" s="1"/>
  <c r="AU55" i="76"/>
  <c r="AN55" i="76"/>
  <c r="AO55" i="76"/>
  <c r="BA55" i="76"/>
  <c r="AY55" i="76"/>
  <c r="AL55" i="76"/>
  <c r="AT55" i="76" s="1"/>
  <c r="AE73" i="76"/>
  <c r="AF73" i="76"/>
  <c r="AP73" i="76"/>
  <c r="BF73" i="76" s="1"/>
  <c r="AZ73" i="76" s="1"/>
  <c r="BC73" i="76" s="1"/>
  <c r="AN102" i="76"/>
  <c r="AL102" i="76"/>
  <c r="AT102" i="76" s="1"/>
  <c r="AV102" i="76" a="1"/>
  <c r="AV102" i="76" s="1"/>
  <c r="AU102" i="76"/>
  <c r="BA102" i="76"/>
  <c r="AY102" i="76"/>
  <c r="AO102" i="76"/>
  <c r="AG140" i="76"/>
  <c r="AP155" i="76"/>
  <c r="BF155" i="76" s="1"/>
  <c r="AZ155" i="76" s="1"/>
  <c r="BC155" i="76" s="1"/>
  <c r="AV242" i="76" a="1"/>
  <c r="AV242" i="76" s="1"/>
  <c r="AU242" i="76"/>
  <c r="AO242" i="76"/>
  <c r="AN242" i="76"/>
  <c r="BA242" i="76"/>
  <c r="AY242" i="76"/>
  <c r="AF275" i="76"/>
  <c r="AE275" i="76"/>
  <c r="BF275" i="76"/>
  <c r="AZ275" i="76" s="1"/>
  <c r="BC275" i="76" s="1"/>
  <c r="AP275" i="76"/>
  <c r="AP305" i="76"/>
  <c r="BF305" i="76" s="1"/>
  <c r="AZ305" i="76" s="1"/>
  <c r="BC305" i="76" s="1"/>
  <c r="AP363" i="76"/>
  <c r="BF363" i="76"/>
  <c r="AZ363" i="76" s="1"/>
  <c r="BC363" i="76"/>
  <c r="AF363" i="76"/>
  <c r="AE363" i="76"/>
  <c r="BF406" i="76"/>
  <c r="AZ406" i="76" s="1"/>
  <c r="BC406" i="76"/>
  <c r="AE406" i="76"/>
  <c r="AF406" i="76"/>
  <c r="AP406" i="76"/>
  <c r="AV62" i="76" a="1"/>
  <c r="AV62" i="76" s="1"/>
  <c r="AU62" i="76"/>
  <c r="AN62" i="76"/>
  <c r="AO62" i="76"/>
  <c r="BA62" i="76"/>
  <c r="AY62" i="76"/>
  <c r="AL62" i="76"/>
  <c r="AT62" i="76" s="1"/>
  <c r="AP93" i="76"/>
  <c r="BF93" i="76" s="1"/>
  <c r="AZ93" i="76" s="1"/>
  <c r="BC93" i="76" s="1"/>
  <c r="BF106" i="76"/>
  <c r="AZ106" i="76" s="1"/>
  <c r="BC106" i="76" s="1"/>
  <c r="AL146" i="76"/>
  <c r="AT146" i="76" s="1"/>
  <c r="AE220" i="76"/>
  <c r="AF220" i="76"/>
  <c r="AP220" i="76"/>
  <c r="BF220" i="76" s="1"/>
  <c r="AZ220" i="76" s="1"/>
  <c r="BC220" i="76" s="1"/>
  <c r="AX323" i="76"/>
  <c r="BD323" i="76" s="1"/>
  <c r="AO78" i="76"/>
  <c r="AO159" i="76"/>
  <c r="AN159" i="76"/>
  <c r="AY159" i="76"/>
  <c r="BA159" i="76"/>
  <c r="AL159" i="76"/>
  <c r="AT159" i="76" s="1"/>
  <c r="AV159" i="76" a="1"/>
  <c r="AV159" i="76" s="1"/>
  <c r="AU159" i="76"/>
  <c r="BF187" i="76"/>
  <c r="AZ187" i="76" s="1"/>
  <c r="BC187" i="76" s="1"/>
  <c r="AP187" i="76"/>
  <c r="AF187" i="76"/>
  <c r="AE187" i="76"/>
  <c r="BF190" i="76"/>
  <c r="AZ190" i="76" s="1"/>
  <c r="BC190" i="76" s="1"/>
  <c r="AE190" i="76"/>
  <c r="AF190" i="76"/>
  <c r="AY214" i="76"/>
  <c r="AO214" i="76"/>
  <c r="AL214" i="76"/>
  <c r="AT214" i="76" s="1"/>
  <c r="AN214" i="76"/>
  <c r="AU214" i="76"/>
  <c r="BA214" i="76"/>
  <c r="AV214" i="76" a="1"/>
  <c r="AV214" i="76" s="1"/>
  <c r="AF252" i="76"/>
  <c r="AP252" i="76"/>
  <c r="BF252" i="76" s="1"/>
  <c r="AZ252" i="76" s="1"/>
  <c r="BC252" i="76" s="1"/>
  <c r="AP262" i="76"/>
  <c r="BF262" i="76" s="1"/>
  <c r="AZ262" i="76" s="1"/>
  <c r="BC262" i="76" s="1"/>
  <c r="AF262" i="76"/>
  <c r="AE262" i="76"/>
  <c r="AV319" i="76" a="1"/>
  <c r="AV319" i="76" s="1"/>
  <c r="BA319" i="76"/>
  <c r="AL319" i="76"/>
  <c r="AT319" i="76" s="1"/>
  <c r="AY319" i="76"/>
  <c r="AU319" i="76"/>
  <c r="AX350" i="76"/>
  <c r="BD350" i="76" s="1"/>
  <c r="AE350" i="76"/>
  <c r="AP368" i="76"/>
  <c r="BF368" i="76" s="1"/>
  <c r="AZ368" i="76" s="1"/>
  <c r="BC368" i="76" s="1"/>
  <c r="AF368" i="76"/>
  <c r="AE368" i="76" s="1"/>
  <c r="AF66" i="76"/>
  <c r="AE66" i="76"/>
  <c r="AF75" i="76"/>
  <c r="AP75" i="76"/>
  <c r="BF75" i="76" s="1"/>
  <c r="AZ75" i="76" s="1"/>
  <c r="BC75" i="76" s="1"/>
  <c r="BC81" i="76"/>
  <c r="AF81" i="76"/>
  <c r="AQ92" i="76"/>
  <c r="AE97" i="76"/>
  <c r="AF97" i="76"/>
  <c r="AO112" i="76"/>
  <c r="AY112" i="76"/>
  <c r="BA112" i="76"/>
  <c r="AV112" i="76" a="1"/>
  <c r="AV112" i="76" s="1"/>
  <c r="AL112" i="76"/>
  <c r="AT112" i="76" s="1"/>
  <c r="AU112" i="76"/>
  <c r="AN112" i="76"/>
  <c r="AM120" i="76"/>
  <c r="AK132" i="76" a="1"/>
  <c r="AK132" i="76" s="1"/>
  <c r="BG132" i="76" s="1"/>
  <c r="AH132" i="76"/>
  <c r="AI132" i="76"/>
  <c r="AG132" i="76"/>
  <c r="AM132" i="76"/>
  <c r="AY174" i="76"/>
  <c r="AU174" i="76"/>
  <c r="AV174" i="76" a="1"/>
  <c r="AV174" i="76" s="1"/>
  <c r="BA174" i="76"/>
  <c r="AL174" i="76"/>
  <c r="AT174" i="76" s="1"/>
  <c r="AO174" i="76"/>
  <c r="AN174" i="76"/>
  <c r="AL242" i="76"/>
  <c r="AT242" i="76" s="1"/>
  <c r="AN344" i="76"/>
  <c r="BA344" i="76"/>
  <c r="AV344" i="76" a="1"/>
  <c r="AV344" i="76" s="1"/>
  <c r="AO344" i="76"/>
  <c r="AY83" i="76"/>
  <c r="AN83" i="76"/>
  <c r="AO83" i="76"/>
  <c r="AV83" i="76" a="1"/>
  <c r="AV83" i="76" s="1"/>
  <c r="BA83" i="76"/>
  <c r="AU83" i="76"/>
  <c r="AQ100" i="76"/>
  <c r="AE100" i="76"/>
  <c r="AX100" i="76"/>
  <c r="BD100" i="76" s="1"/>
  <c r="AO136" i="76"/>
  <c r="AN136" i="76"/>
  <c r="AV136" i="76" a="1"/>
  <c r="AV136" i="76" s="1"/>
  <c r="AU136" i="76"/>
  <c r="AP190" i="76"/>
  <c r="BW193" i="76"/>
  <c r="AM193" i="76"/>
  <c r="AI193" i="76"/>
  <c r="AK193" i="76" a="1"/>
  <c r="AK193" i="76" s="1"/>
  <c r="BG193" i="76" s="1"/>
  <c r="AX199" i="76"/>
  <c r="BD199" i="76" s="1"/>
  <c r="BF222" i="76"/>
  <c r="AZ222" i="76" s="1"/>
  <c r="BC222" i="76" s="1"/>
  <c r="AF222" i="76"/>
  <c r="AE222" i="76"/>
  <c r="AN319" i="76"/>
  <c r="AV383" i="76" a="1"/>
  <c r="AV383" i="76" s="1"/>
  <c r="AO383" i="76"/>
  <c r="BA383" i="76"/>
  <c r="AY383" i="76"/>
  <c r="AN383" i="76"/>
  <c r="AU383" i="76"/>
  <c r="AL383" i="76"/>
  <c r="AT383" i="76" s="1"/>
  <c r="AF404" i="76"/>
  <c r="AE404" i="76"/>
  <c r="BF404" i="76"/>
  <c r="AZ404" i="76" s="1"/>
  <c r="BC404" i="76" s="1"/>
  <c r="AV53" i="76" a="1"/>
  <c r="AV53" i="76" s="1"/>
  <c r="AU53" i="76"/>
  <c r="AY53" i="76"/>
  <c r="AO53" i="76"/>
  <c r="BA53" i="76"/>
  <c r="AP66" i="76"/>
  <c r="BF66" i="76" s="1"/>
  <c r="AZ66" i="76" s="1"/>
  <c r="BC66" i="76" s="1"/>
  <c r="AP81" i="76"/>
  <c r="AF161" i="76"/>
  <c r="AI178" i="76"/>
  <c r="AK178" i="76" a="1"/>
  <c r="AK178" i="76" s="1"/>
  <c r="BG178" i="76" s="1"/>
  <c r="AM178" i="76"/>
  <c r="AO319" i="76"/>
  <c r="AF61" i="76"/>
  <c r="AE61" i="76"/>
  <c r="BF61" i="76"/>
  <c r="AZ61" i="76" s="1"/>
  <c r="AP61" i="76"/>
  <c r="AO119" i="76"/>
  <c r="AN119" i="76"/>
  <c r="AU119" i="76"/>
  <c r="AV119" i="76" a="1"/>
  <c r="AV119" i="76" s="1"/>
  <c r="BA119" i="76"/>
  <c r="AF139" i="76"/>
  <c r="AP139" i="76"/>
  <c r="BF139" i="76" s="1"/>
  <c r="AZ139" i="76" s="1"/>
  <c r="BC139" i="76" s="1"/>
  <c r="AO197" i="76"/>
  <c r="AN197" i="76"/>
  <c r="AL197" i="76"/>
  <c r="AT197" i="76" s="1"/>
  <c r="BA197" i="76"/>
  <c r="AY197" i="76"/>
  <c r="AV197" i="76" a="1"/>
  <c r="AV197" i="76" s="1"/>
  <c r="AP222" i="76"/>
  <c r="AO366" i="76"/>
  <c r="AV366" i="76" a="1"/>
  <c r="AV366" i="76" s="1"/>
  <c r="AN366" i="76"/>
  <c r="BA366" i="76"/>
  <c r="AY366" i="76"/>
  <c r="AL366" i="76"/>
  <c r="AT366" i="76" s="1"/>
  <c r="AU366" i="76"/>
  <c r="AP404" i="76"/>
  <c r="AX457" i="76"/>
  <c r="BD457" i="76" s="1"/>
  <c r="AL475" i="76"/>
  <c r="AT475" i="76" s="1"/>
  <c r="AU475" i="76"/>
  <c r="BA475" i="76"/>
  <c r="AV475" i="76" a="1"/>
  <c r="AV475" i="76" s="1"/>
  <c r="AO475" i="76"/>
  <c r="AY475" i="76"/>
  <c r="AN475" i="76"/>
  <c r="AP500" i="76"/>
  <c r="BF500" i="76" s="1"/>
  <c r="AZ500" i="76" s="1"/>
  <c r="BC500" i="76" s="1"/>
  <c r="AF500" i="76"/>
  <c r="AE500" i="76" s="1"/>
  <c r="AF34" i="76"/>
  <c r="AE34" i="76"/>
  <c r="BF34" i="76"/>
  <c r="AZ34" i="76" s="1"/>
  <c r="BC34" i="76"/>
  <c r="AP186" i="76"/>
  <c r="BF186" i="76" s="1"/>
  <c r="AZ186" i="76" s="1"/>
  <c r="BC186" i="76" s="1"/>
  <c r="AF186" i="76"/>
  <c r="AE186" i="76"/>
  <c r="AH193" i="76"/>
  <c r="AU197" i="76"/>
  <c r="AO264" i="76"/>
  <c r="AN264" i="76"/>
  <c r="AL264" i="76"/>
  <c r="AT264" i="76" s="1"/>
  <c r="BA264" i="76"/>
  <c r="AV264" i="76" a="1"/>
  <c r="AV264" i="76" s="1"/>
  <c r="AU264" i="76"/>
  <c r="AY264" i="76"/>
  <c r="AY284" i="76"/>
  <c r="AL284" i="76"/>
  <c r="AT284" i="76" s="1"/>
  <c r="AO284" i="76"/>
  <c r="AN284" i="76"/>
  <c r="AV56" i="76" a="1"/>
  <c r="AV56" i="76" s="1"/>
  <c r="AU56" i="76"/>
  <c r="BA56" i="76"/>
  <c r="AL56" i="76"/>
  <c r="AT56" i="76" s="1"/>
  <c r="AO56" i="76"/>
  <c r="AN56" i="76"/>
  <c r="AU74" i="76"/>
  <c r="AV74" i="76" a="1"/>
  <c r="AV74" i="76" s="1"/>
  <c r="AY74" i="76"/>
  <c r="AO74" i="76"/>
  <c r="BA74" i="76"/>
  <c r="AN74" i="76"/>
  <c r="BF81" i="76"/>
  <c r="AZ81" i="76" s="1"/>
  <c r="BF97" i="76"/>
  <c r="AZ97" i="76" s="1"/>
  <c r="BC97" i="76" s="1"/>
  <c r="AF114" i="76"/>
  <c r="AE114" i="76"/>
  <c r="BW239" i="76"/>
  <c r="AM239" i="76"/>
  <c r="AK239" i="76" a="1"/>
  <c r="AK239" i="76" s="1"/>
  <c r="BG239" i="76" s="1"/>
  <c r="AH239" i="76"/>
  <c r="AI239" i="76"/>
  <c r="AG239" i="76"/>
  <c r="AL274" i="76"/>
  <c r="AT274" i="76" s="1"/>
  <c r="AY374" i="76"/>
  <c r="AV374" i="76" a="1"/>
  <c r="AV374" i="76" s="1"/>
  <c r="AN374" i="76"/>
  <c r="AL374" i="76"/>
  <c r="AT374" i="76" s="1"/>
  <c r="AU402" i="76"/>
  <c r="BA402" i="76"/>
  <c r="AV402" i="76" a="1"/>
  <c r="AV402" i="76" s="1"/>
  <c r="AO402" i="76"/>
  <c r="AN402" i="76"/>
  <c r="AY402" i="76"/>
  <c r="AL402" i="76"/>
  <c r="AT402" i="76" s="1"/>
  <c r="BW454" i="76"/>
  <c r="AK454" i="76" a="1"/>
  <c r="AK454" i="76" s="1"/>
  <c r="AI454" i="76"/>
  <c r="AM454" i="76"/>
  <c r="AH454" i="76"/>
  <c r="AG454" i="76"/>
  <c r="AP34" i="76"/>
  <c r="AN70" i="76"/>
  <c r="AL70" i="76"/>
  <c r="AT70" i="76" s="1"/>
  <c r="AV70" i="76" a="1"/>
  <c r="AV70" i="76" s="1"/>
  <c r="AU70" i="76"/>
  <c r="AK85" i="76" a="1"/>
  <c r="AK85" i="76" s="1"/>
  <c r="BG85" i="76" s="1"/>
  <c r="AM85" i="76"/>
  <c r="AI85" i="76"/>
  <c r="AH85" i="76"/>
  <c r="AG85" i="76"/>
  <c r="AL119" i="76"/>
  <c r="AT119" i="76" s="1"/>
  <c r="AY136" i="76"/>
  <c r="AN150" i="76"/>
  <c r="AL150" i="76"/>
  <c r="AT150" i="76" s="1"/>
  <c r="BA150" i="76"/>
  <c r="AV150" i="76" a="1"/>
  <c r="AV150" i="76" s="1"/>
  <c r="AO150" i="76"/>
  <c r="AU150" i="76"/>
  <c r="AN217" i="76"/>
  <c r="AL217" i="76"/>
  <c r="AT217" i="76" s="1"/>
  <c r="AU217" i="76"/>
  <c r="AV217" i="76" a="1"/>
  <c r="AV217" i="76" s="1"/>
  <c r="BA217" i="76"/>
  <c r="AO217" i="76"/>
  <c r="AY217" i="76"/>
  <c r="AU284" i="76"/>
  <c r="AI318" i="76"/>
  <c r="AH318" i="76"/>
  <c r="BW318" i="76"/>
  <c r="AK318" i="76" a="1"/>
  <c r="AK318" i="76" s="1"/>
  <c r="AM318" i="76"/>
  <c r="AV38" i="76" a="1"/>
  <c r="AV38" i="76" s="1"/>
  <c r="AU38" i="76"/>
  <c r="AY38" i="76"/>
  <c r="BA38" i="76"/>
  <c r="AO38" i="76"/>
  <c r="AN38" i="76"/>
  <c r="AV43" i="76" a="1"/>
  <c r="AV43" i="76" s="1"/>
  <c r="AU43" i="76"/>
  <c r="AO43" i="76"/>
  <c r="BA43" i="76"/>
  <c r="AL43" i="76"/>
  <c r="AT43" i="76" s="1"/>
  <c r="AN53" i="76"/>
  <c r="BC61" i="76"/>
  <c r="AO79" i="76"/>
  <c r="AN79" i="76"/>
  <c r="AL79" i="76"/>
  <c r="AT79" i="76" s="1"/>
  <c r="BA79" i="76"/>
  <c r="AE93" i="76"/>
  <c r="AF99" i="76"/>
  <c r="BF99" i="76"/>
  <c r="AZ99" i="76" s="1"/>
  <c r="BC99" i="76" s="1"/>
  <c r="AE99" i="76"/>
  <c r="AQ113" i="76"/>
  <c r="AP114" i="76"/>
  <c r="BF114" i="76" s="1"/>
  <c r="AZ114" i="76" s="1"/>
  <c r="BC114" i="76" s="1"/>
  <c r="AN118" i="76"/>
  <c r="AL118" i="76"/>
  <c r="AT118" i="76" s="1"/>
  <c r="BA118" i="76"/>
  <c r="AY118" i="76"/>
  <c r="AU118" i="76"/>
  <c r="AY119" i="76"/>
  <c r="AK124" i="76" a="1"/>
  <c r="AK124" i="76" s="1"/>
  <c r="BG124" i="76" s="1"/>
  <c r="AH124" i="76"/>
  <c r="AI124" i="76"/>
  <c r="AM124" i="76"/>
  <c r="BW124" i="76"/>
  <c r="BG125" i="76"/>
  <c r="BA136" i="76"/>
  <c r="AQ149" i="76"/>
  <c r="AX149" i="76"/>
  <c r="BD149" i="76" s="1"/>
  <c r="AE157" i="76"/>
  <c r="AP157" i="76"/>
  <c r="AQ157" i="76" s="1"/>
  <c r="AU233" i="76"/>
  <c r="AN233" i="76"/>
  <c r="AV233" i="76" a="1"/>
  <c r="AV233" i="76" s="1"/>
  <c r="AO233" i="76"/>
  <c r="BA233" i="76"/>
  <c r="AL233" i="76"/>
  <c r="AT233" i="76" s="1"/>
  <c r="AY233" i="76"/>
  <c r="BW238" i="76"/>
  <c r="AK238" i="76" a="1"/>
  <c r="AK238" i="76" s="1"/>
  <c r="AI238" i="76"/>
  <c r="AM238" i="76"/>
  <c r="AH238" i="76"/>
  <c r="AV284" i="76" a="1"/>
  <c r="AV284" i="76" s="1"/>
  <c r="AQ318" i="76"/>
  <c r="AX318" i="76"/>
  <c r="BD318" i="76" s="1"/>
  <c r="AL346" i="76"/>
  <c r="AT346" i="76" s="1"/>
  <c r="AO346" i="76"/>
  <c r="AN346" i="76"/>
  <c r="AV346" i="76" a="1"/>
  <c r="AV346" i="76" s="1"/>
  <c r="AU346" i="76"/>
  <c r="AY346" i="76"/>
  <c r="BA346" i="76"/>
  <c r="AV354" i="76" a="1"/>
  <c r="AV354" i="76" s="1"/>
  <c r="AU354" i="76"/>
  <c r="BA354" i="76"/>
  <c r="AY354" i="76"/>
  <c r="AL354" i="76"/>
  <c r="AT354" i="76" s="1"/>
  <c r="AO354" i="76"/>
  <c r="AU374" i="76"/>
  <c r="AE398" i="76"/>
  <c r="AF409" i="76"/>
  <c r="AP409" i="76"/>
  <c r="AE409" i="76"/>
  <c r="BF409" i="76"/>
  <c r="AZ409" i="76" s="1"/>
  <c r="BC409" i="76" s="1"/>
  <c r="AF33" i="76"/>
  <c r="AE33" i="76"/>
  <c r="BF33" i="76"/>
  <c r="AZ33" i="76" s="1"/>
  <c r="BC33" i="76" s="1"/>
  <c r="AF42" i="76"/>
  <c r="AP42" i="76"/>
  <c r="BF42" i="76" s="1"/>
  <c r="AZ42" i="76" s="1"/>
  <c r="BC42" i="76" s="1"/>
  <c r="AF59" i="76"/>
  <c r="AE59" i="76"/>
  <c r="BF59" i="76"/>
  <c r="AZ59" i="76" s="1"/>
  <c r="BC59" i="76"/>
  <c r="AV82" i="76" a="1"/>
  <c r="AV82" i="76" s="1"/>
  <c r="AU82" i="76"/>
  <c r="AY82" i="76"/>
  <c r="BA82" i="76"/>
  <c r="AN82" i="76"/>
  <c r="AO82" i="76"/>
  <c r="AL82" i="76"/>
  <c r="AT82" i="76" s="1"/>
  <c r="AP224" i="76"/>
  <c r="BF224" i="76" s="1"/>
  <c r="AZ224" i="76" s="1"/>
  <c r="BC224" i="76" s="1"/>
  <c r="AF224" i="76"/>
  <c r="AE224" i="76"/>
  <c r="AQ231" i="76"/>
  <c r="AX231" i="76"/>
  <c r="BD231" i="76" s="1"/>
  <c r="AQ247" i="76"/>
  <c r="AX247" i="76"/>
  <c r="BD247" i="76" s="1"/>
  <c r="AQ453" i="76"/>
  <c r="AX453" i="76"/>
  <c r="BD453" i="76" s="1"/>
  <c r="AE453" i="76"/>
  <c r="AK68" i="76" a="1"/>
  <c r="AK68" i="76" s="1"/>
  <c r="BG68" i="76" s="1"/>
  <c r="AH68" i="76"/>
  <c r="AI68" i="76"/>
  <c r="AG68" i="76"/>
  <c r="AM68" i="76"/>
  <c r="BW68" i="76"/>
  <c r="AK140" i="76" a="1"/>
  <c r="AK140" i="76" s="1"/>
  <c r="BG140" i="76" s="1"/>
  <c r="AH140" i="76"/>
  <c r="AI140" i="76"/>
  <c r="BW140" i="76"/>
  <c r="AO173" i="76"/>
  <c r="AN173" i="76"/>
  <c r="AY173" i="76"/>
  <c r="AL173" i="76"/>
  <c r="AT173" i="76" s="1"/>
  <c r="AV173" i="76" a="1"/>
  <c r="AV173" i="76" s="1"/>
  <c r="AU173" i="76"/>
  <c r="BA173" i="76"/>
  <c r="AQ260" i="76"/>
  <c r="AX260" i="76"/>
  <c r="BD260" i="76" s="1"/>
  <c r="AY312" i="76"/>
  <c r="BA312" i="76"/>
  <c r="AV312" i="76" a="1"/>
  <c r="AV312" i="76" s="1"/>
  <c r="AU312" i="76"/>
  <c r="AN312" i="76"/>
  <c r="AO312" i="76"/>
  <c r="AL312" i="76"/>
  <c r="AT312" i="76" s="1"/>
  <c r="AN340" i="76"/>
  <c r="AL340" i="76"/>
  <c r="AT340" i="76" s="1"/>
  <c r="BA340" i="76"/>
  <c r="AO340" i="76"/>
  <c r="AY340" i="76"/>
  <c r="AF343" i="76"/>
  <c r="AE343" i="76"/>
  <c r="AP343" i="76"/>
  <c r="BF343" i="76" s="1"/>
  <c r="AZ343" i="76" s="1"/>
  <c r="BC343" i="76" s="1"/>
  <c r="AQ427" i="76"/>
  <c r="AP51" i="76"/>
  <c r="BF51" i="76" s="1"/>
  <c r="AZ51" i="76" s="1"/>
  <c r="BC51" i="76" s="1"/>
  <c r="AV121" i="76" a="1"/>
  <c r="AV121" i="76" s="1"/>
  <c r="AU121" i="76"/>
  <c r="AN121" i="76"/>
  <c r="AO121" i="76"/>
  <c r="BA121" i="76"/>
  <c r="AY121" i="76"/>
  <c r="AL121" i="76"/>
  <c r="AT121" i="76" s="1"/>
  <c r="AX140" i="76"/>
  <c r="BD140" i="76" s="1"/>
  <c r="AQ140" i="76"/>
  <c r="BW207" i="76"/>
  <c r="BA303" i="76"/>
  <c r="AO303" i="76"/>
  <c r="AN303" i="76"/>
  <c r="AU303" i="76"/>
  <c r="AL303" i="76"/>
  <c r="AT303" i="76" s="1"/>
  <c r="AY303" i="76"/>
  <c r="BF390" i="76"/>
  <c r="AZ390" i="76" s="1"/>
  <c r="BC390" i="76"/>
  <c r="AF390" i="76"/>
  <c r="AE390" i="76" s="1"/>
  <c r="AP390" i="76"/>
  <c r="AG427" i="76"/>
  <c r="AP47" i="76"/>
  <c r="AL48" i="76"/>
  <c r="AT48" i="76" s="1"/>
  <c r="AN78" i="76"/>
  <c r="AL78" i="76"/>
  <c r="AT78" i="76" s="1"/>
  <c r="AV78" i="76" a="1"/>
  <c r="AV78" i="76" s="1"/>
  <c r="AY78" i="76"/>
  <c r="AO128" i="76"/>
  <c r="AN128" i="76"/>
  <c r="AL128" i="76"/>
  <c r="AT128" i="76" s="1"/>
  <c r="AY128" i="76"/>
  <c r="BA128" i="76"/>
  <c r="AV128" i="76" a="1"/>
  <c r="AV128" i="76" s="1"/>
  <c r="AF138" i="76"/>
  <c r="AE138" i="76"/>
  <c r="AP138" i="76"/>
  <c r="BF138" i="76"/>
  <c r="AZ138" i="76" s="1"/>
  <c r="BC138" i="76"/>
  <c r="AH207" i="76"/>
  <c r="AQ241" i="76"/>
  <c r="AE241" i="76"/>
  <c r="AX241" i="76"/>
  <c r="BD241" i="76" s="1"/>
  <c r="AI323" i="76"/>
  <c r="AM323" i="76"/>
  <c r="AK323" i="76" a="1"/>
  <c r="AK323" i="76" s="1"/>
  <c r="AH323" i="76"/>
  <c r="BW323" i="76"/>
  <c r="AU340" i="76"/>
  <c r="AV370" i="76" a="1"/>
  <c r="AV370" i="76" s="1"/>
  <c r="AU370" i="76"/>
  <c r="AY370" i="76"/>
  <c r="AO370" i="76"/>
  <c r="AN370" i="76"/>
  <c r="BA370" i="76"/>
  <c r="AL370" i="76"/>
  <c r="AT370" i="76" s="1"/>
  <c r="AQ441" i="76"/>
  <c r="AX441" i="76"/>
  <c r="BD441" i="76" s="1"/>
  <c r="AO22" i="76"/>
  <c r="AN22" i="76"/>
  <c r="BA22" i="76"/>
  <c r="AY22" i="76"/>
  <c r="AU22" i="76"/>
  <c r="AL22" i="76"/>
  <c r="AT22" i="76" s="1"/>
  <c r="AF46" i="76"/>
  <c r="AE46" i="76"/>
  <c r="AK109" i="76" a="1"/>
  <c r="AK109" i="76" s="1"/>
  <c r="BG109" i="76" s="1"/>
  <c r="BW109" i="76"/>
  <c r="AH109" i="76"/>
  <c r="AM109" i="76"/>
  <c r="AI109" i="76"/>
  <c r="AU128" i="76"/>
  <c r="AN177" i="76"/>
  <c r="AY177" i="76"/>
  <c r="AV177" i="76" a="1"/>
  <c r="AV177" i="76" s="1"/>
  <c r="AU177" i="76"/>
  <c r="BA177" i="76"/>
  <c r="AL177" i="76"/>
  <c r="AT177" i="76" s="1"/>
  <c r="AO177" i="76"/>
  <c r="AI207" i="76"/>
  <c r="AF267" i="76"/>
  <c r="AE267" i="76" s="1"/>
  <c r="AP267" i="76"/>
  <c r="BF267" i="76"/>
  <c r="AZ267" i="76" s="1"/>
  <c r="BC267" i="76"/>
  <c r="AV333" i="76" a="1"/>
  <c r="AV333" i="76" s="1"/>
  <c r="AO333" i="76"/>
  <c r="AN333" i="76"/>
  <c r="BA333" i="76"/>
  <c r="AY333" i="76"/>
  <c r="AU333" i="76"/>
  <c r="AF433" i="76"/>
  <c r="AE433" i="76"/>
  <c r="AP433" i="76"/>
  <c r="BF433" i="76" s="1"/>
  <c r="AZ433" i="76" s="1"/>
  <c r="BC433" i="76" s="1"/>
  <c r="AG441" i="76"/>
  <c r="AF505" i="76"/>
  <c r="AP505" i="76"/>
  <c r="BF505" i="76" s="1"/>
  <c r="AZ505" i="76" s="1"/>
  <c r="BC505" i="76" s="1"/>
  <c r="AV22" i="76" a="1"/>
  <c r="AV22" i="76" s="1"/>
  <c r="AX109" i="76"/>
  <c r="BD109" i="76" s="1"/>
  <c r="AQ109" i="76"/>
  <c r="AK141" i="76" a="1"/>
  <c r="AK141" i="76" s="1"/>
  <c r="BG141" i="76" s="1"/>
  <c r="AI141" i="76"/>
  <c r="BW141" i="76"/>
  <c r="AH141" i="76"/>
  <c r="AM141" i="76"/>
  <c r="AG141" i="76"/>
  <c r="AY195" i="76"/>
  <c r="AV195" i="76" a="1"/>
  <c r="AV195" i="76" s="1"/>
  <c r="BA195" i="76"/>
  <c r="AU195" i="76"/>
  <c r="AN195" i="76"/>
  <c r="AO195" i="76"/>
  <c r="AL195" i="76"/>
  <c r="AT195" i="76" s="1"/>
  <c r="AP260" i="76"/>
  <c r="AE260" i="76"/>
  <c r="BF260" i="76"/>
  <c r="AZ260" i="76" s="1"/>
  <c r="BC260" i="76" s="1"/>
  <c r="AN279" i="76"/>
  <c r="AL279" i="76"/>
  <c r="AT279" i="76" s="1"/>
  <c r="BA279" i="76"/>
  <c r="AO279" i="76"/>
  <c r="AY279" i="76"/>
  <c r="AV279" i="76" a="1"/>
  <c r="AV279" i="76" s="1"/>
  <c r="AV303" i="76" a="1"/>
  <c r="AV303" i="76" s="1"/>
  <c r="AG323" i="76"/>
  <c r="AI441" i="76"/>
  <c r="AV35" i="76" a="1"/>
  <c r="AV35" i="76" s="1"/>
  <c r="AU35" i="76"/>
  <c r="AO35" i="76"/>
  <c r="AY35" i="76"/>
  <c r="AN35" i="76"/>
  <c r="BA35" i="76"/>
  <c r="AL35" i="76"/>
  <c r="AT35" i="76" s="1"/>
  <c r="AO72" i="76"/>
  <c r="AN72" i="76"/>
  <c r="AV72" i="76" a="1"/>
  <c r="AV72" i="76" s="1"/>
  <c r="AU72" i="76"/>
  <c r="BA72" i="76"/>
  <c r="AL72" i="76"/>
  <c r="AT72" i="76" s="1"/>
  <c r="AN110" i="76"/>
  <c r="AL110" i="76"/>
  <c r="AT110" i="76" s="1"/>
  <c r="AV110" i="76" a="1"/>
  <c r="AV110" i="76" s="1"/>
  <c r="AY110" i="76"/>
  <c r="BA110" i="76"/>
  <c r="AU110" i="76"/>
  <c r="AO110" i="76"/>
  <c r="AY123" i="76"/>
  <c r="BA123" i="76"/>
  <c r="AV123" i="76" a="1"/>
  <c r="AV123" i="76" s="1"/>
  <c r="AU123" i="76"/>
  <c r="AN123" i="76"/>
  <c r="AO123" i="76"/>
  <c r="AF137" i="76"/>
  <c r="AE137" i="76" s="1"/>
  <c r="AF165" i="76"/>
  <c r="AP165" i="76"/>
  <c r="BF165" i="76" s="1"/>
  <c r="AZ165" i="76" s="1"/>
  <c r="BC165" i="76" s="1"/>
  <c r="AK199" i="76" a="1"/>
  <c r="AK199" i="76" s="1"/>
  <c r="BW199" i="76"/>
  <c r="AI199" i="76"/>
  <c r="AM199" i="76"/>
  <c r="AF230" i="76"/>
  <c r="AE230" i="76"/>
  <c r="AP230" i="76"/>
  <c r="BF230" i="76" s="1"/>
  <c r="AZ230" i="76" s="1"/>
  <c r="BC230" i="76" s="1"/>
  <c r="AY298" i="76"/>
  <c r="AO298" i="76"/>
  <c r="AN298" i="76"/>
  <c r="BA298" i="76"/>
  <c r="AL298" i="76"/>
  <c r="AT298" i="76" s="1"/>
  <c r="AV298" i="76" a="1"/>
  <c r="AV298" i="76" s="1"/>
  <c r="AX329" i="76"/>
  <c r="BD329" i="76" s="1"/>
  <c r="AQ329" i="76"/>
  <c r="BF335" i="76"/>
  <c r="AZ335" i="76" s="1"/>
  <c r="BC335" i="76" s="1"/>
  <c r="AQ339" i="76"/>
  <c r="AX339" i="76"/>
  <c r="BD339" i="76" s="1"/>
  <c r="AV30" i="76" a="1"/>
  <c r="AV30" i="76" s="1"/>
  <c r="AU30" i="76"/>
  <c r="AY30" i="76"/>
  <c r="AN30" i="76"/>
  <c r="BA30" i="76"/>
  <c r="AO30" i="76"/>
  <c r="AL30" i="76"/>
  <c r="AT30" i="76" s="1"/>
  <c r="AF54" i="76"/>
  <c r="AE54" i="76"/>
  <c r="AP54" i="76"/>
  <c r="BF54" i="76" s="1"/>
  <c r="AZ54" i="76" s="1"/>
  <c r="BC54" i="76" s="1"/>
  <c r="AU78" i="76"/>
  <c r="AP120" i="76"/>
  <c r="BF120" i="76"/>
  <c r="AZ120" i="76" s="1"/>
  <c r="BC120" i="76" s="1"/>
  <c r="AN223" i="76"/>
  <c r="AL223" i="76"/>
  <c r="AT223" i="76" s="1"/>
  <c r="AU223" i="76"/>
  <c r="AY223" i="76"/>
  <c r="BA223" i="76"/>
  <c r="AV223" i="76" a="1"/>
  <c r="AV223" i="76" s="1"/>
  <c r="AU447" i="76"/>
  <c r="AL447" i="76"/>
  <c r="AT447" i="76" s="1"/>
  <c r="AY447" i="76"/>
  <c r="BA447" i="76"/>
  <c r="AV447" i="76" a="1"/>
  <c r="AV447" i="76" s="1"/>
  <c r="AO447" i="76"/>
  <c r="AN447" i="76"/>
  <c r="AV40" i="76" a="1"/>
  <c r="AV40" i="76" s="1"/>
  <c r="AU40" i="76"/>
  <c r="AN40" i="76"/>
  <c r="AO40" i="76"/>
  <c r="AL40" i="76"/>
  <c r="AT40" i="76" s="1"/>
  <c r="AY40" i="76"/>
  <c r="AO80" i="76"/>
  <c r="BA80" i="76"/>
  <c r="AY80" i="76"/>
  <c r="AF91" i="76"/>
  <c r="AE91" i="76"/>
  <c r="AP91" i="76"/>
  <c r="BF91" i="76" s="1"/>
  <c r="AZ91" i="76" s="1"/>
  <c r="BC91" i="76" s="1"/>
  <c r="AP97" i="76"/>
  <c r="BF101" i="76"/>
  <c r="AZ101" i="76" s="1"/>
  <c r="BC101" i="76"/>
  <c r="AF101" i="76"/>
  <c r="AE101" i="76"/>
  <c r="AP137" i="76"/>
  <c r="BF137" i="76" s="1"/>
  <c r="AZ137" i="76" s="1"/>
  <c r="BC137" i="76" s="1"/>
  <c r="AX157" i="76"/>
  <c r="BD157" i="76" s="1"/>
  <c r="AX193" i="76"/>
  <c r="BD193" i="76" s="1"/>
  <c r="AQ193" i="76"/>
  <c r="AG199" i="76"/>
  <c r="AO272" i="76"/>
  <c r="AN272" i="76"/>
  <c r="BA272" i="76"/>
  <c r="AY272" i="76"/>
  <c r="AU272" i="76"/>
  <c r="AV272" i="76" a="1"/>
  <c r="AV272" i="76" s="1"/>
  <c r="AL272" i="76"/>
  <c r="AT272" i="76" s="1"/>
  <c r="AL344" i="76"/>
  <c r="AT344" i="76" s="1"/>
  <c r="AY25" i="76"/>
  <c r="AV25" i="76" a="1"/>
  <c r="AV25" i="76" s="1"/>
  <c r="AO25" i="76"/>
  <c r="AU25" i="76"/>
  <c r="AN25" i="76"/>
  <c r="BA25" i="76"/>
  <c r="BA40" i="76"/>
  <c r="AY72" i="76"/>
  <c r="AY147" i="76"/>
  <c r="AN147" i="76"/>
  <c r="AO147" i="76"/>
  <c r="BA147" i="76"/>
  <c r="AV147" i="76" a="1"/>
  <c r="AV147" i="76" s="1"/>
  <c r="AU147" i="76"/>
  <c r="AL168" i="76"/>
  <c r="AT168" i="76" s="1"/>
  <c r="AV168" i="76" a="1"/>
  <c r="AV168" i="76" s="1"/>
  <c r="AU168" i="76"/>
  <c r="BA168" i="76"/>
  <c r="AY168" i="76"/>
  <c r="AO168" i="76"/>
  <c r="AN168" i="76"/>
  <c r="AQ178" i="76"/>
  <c r="AX178" i="76"/>
  <c r="BD178" i="76" s="1"/>
  <c r="AG193" i="76"/>
  <c r="BW334" i="76"/>
  <c r="AI334" i="76"/>
  <c r="AH334" i="76"/>
  <c r="AM334" i="76"/>
  <c r="AK334" i="76" a="1"/>
  <c r="AK334" i="76" s="1"/>
  <c r="AG334" i="76"/>
  <c r="AU344" i="76"/>
  <c r="BF46" i="76"/>
  <c r="AZ46" i="76" s="1"/>
  <c r="BC46" i="76" s="1"/>
  <c r="AL83" i="76"/>
  <c r="AT83" i="76" s="1"/>
  <c r="AL136" i="76"/>
  <c r="AT136" i="76" s="1"/>
  <c r="AP161" i="76"/>
  <c r="AG178" i="76"/>
  <c r="AX196" i="76"/>
  <c r="BD196" i="76" s="1"/>
  <c r="AV274" i="76" a="1"/>
  <c r="AV274" i="76" s="1"/>
  <c r="AU274" i="76"/>
  <c r="BA274" i="76"/>
  <c r="AY274" i="76"/>
  <c r="AO274" i="76"/>
  <c r="AY344" i="76"/>
  <c r="AF459" i="76"/>
  <c r="AE459" i="76"/>
  <c r="AP459" i="76"/>
  <c r="BF459" i="76" s="1"/>
  <c r="AZ459" i="76" s="1"/>
  <c r="BC459" i="76" s="1"/>
  <c r="AL53" i="76"/>
  <c r="AT53" i="76" s="1"/>
  <c r="AV60" i="76" a="1"/>
  <c r="AV60" i="76" s="1"/>
  <c r="AU60" i="76"/>
  <c r="AY60" i="76"/>
  <c r="BA60" i="76"/>
  <c r="AO60" i="76"/>
  <c r="AN60" i="76"/>
  <c r="AL80" i="76"/>
  <c r="AT80" i="76" s="1"/>
  <c r="BF161" i="76"/>
  <c r="AZ161" i="76" s="1"/>
  <c r="BC161" i="76" s="1"/>
  <c r="AH178" i="76"/>
  <c r="AQ248" i="76"/>
  <c r="AX248" i="76"/>
  <c r="BD248" i="76" s="1"/>
  <c r="AE248" i="76"/>
  <c r="AP291" i="76"/>
  <c r="BF291" i="76" s="1"/>
  <c r="AZ291" i="76" s="1"/>
  <c r="BC291" i="76" s="1"/>
  <c r="AF291" i="76"/>
  <c r="AL396" i="76"/>
  <c r="AT396" i="76" s="1"/>
  <c r="AV396" i="76" a="1"/>
  <c r="AV396" i="76" s="1"/>
  <c r="AU396" i="76"/>
  <c r="BA396" i="76"/>
  <c r="AY396" i="76"/>
  <c r="AN396" i="76"/>
  <c r="AO396" i="76"/>
  <c r="AV428" i="76" a="1"/>
  <c r="AV428" i="76" s="1"/>
  <c r="AY428" i="76"/>
  <c r="BA428" i="76"/>
  <c r="AN428" i="76"/>
  <c r="AL428" i="76"/>
  <c r="AT428" i="76" s="1"/>
  <c r="AU428" i="76"/>
  <c r="AO428" i="76"/>
  <c r="AV510" i="76" a="1"/>
  <c r="AV510" i="76" s="1"/>
  <c r="AO510" i="76"/>
  <c r="AU510" i="76"/>
  <c r="AN510" i="76"/>
  <c r="AL510" i="76"/>
  <c r="AT510" i="76" s="1"/>
  <c r="AY510" i="76"/>
  <c r="BA510" i="76"/>
  <c r="AO24" i="76"/>
  <c r="AU24" i="76"/>
  <c r="AL24" i="76"/>
  <c r="AT24" i="76" s="1"/>
  <c r="AN24" i="76"/>
  <c r="BA24" i="76"/>
  <c r="AV24" i="76" a="1"/>
  <c r="AV24" i="76" s="1"/>
  <c r="AF39" i="76"/>
  <c r="AE39" i="76"/>
  <c r="BC39" i="76"/>
  <c r="BF39" i="76"/>
  <c r="AZ39" i="76" s="1"/>
  <c r="AP39" i="76"/>
  <c r="AF52" i="76"/>
  <c r="AE52" i="76"/>
  <c r="BF52" i="76"/>
  <c r="AZ52" i="76" s="1"/>
  <c r="BC52" i="76"/>
  <c r="AF64" i="76"/>
  <c r="AP64" i="76"/>
  <c r="BF64" i="76" s="1"/>
  <c r="AZ64" i="76" s="1"/>
  <c r="BC64" i="76"/>
  <c r="AV129" i="76" a="1"/>
  <c r="AV129" i="76" s="1"/>
  <c r="AU129" i="76"/>
  <c r="BA129" i="76"/>
  <c r="AY129" i="76"/>
  <c r="AO129" i="76"/>
  <c r="AN129" i="76"/>
  <c r="AL129" i="76"/>
  <c r="AT129" i="76" s="1"/>
  <c r="AL147" i="76"/>
  <c r="AT147" i="76" s="1"/>
  <c r="AK149" i="76" a="1"/>
  <c r="AK149" i="76" s="1"/>
  <c r="BG149" i="76" s="1"/>
  <c r="AM149" i="76"/>
  <c r="AF163" i="76"/>
  <c r="AE163" i="76" s="1"/>
  <c r="BC163" i="76"/>
  <c r="BF163" i="76"/>
  <c r="AZ163" i="76" s="1"/>
  <c r="AK175" i="76" a="1"/>
  <c r="AK175" i="76" s="1"/>
  <c r="BG175" i="76" s="1"/>
  <c r="AH175" i="76"/>
  <c r="AI175" i="76"/>
  <c r="AM175" i="76"/>
  <c r="AG175" i="76"/>
  <c r="AF189" i="76"/>
  <c r="AE189" i="76"/>
  <c r="AX215" i="76"/>
  <c r="BD215" i="76" s="1"/>
  <c r="AO374" i="76"/>
  <c r="AF28" i="76"/>
  <c r="AE28" i="76"/>
  <c r="BF28" i="76"/>
  <c r="AZ28" i="76" s="1"/>
  <c r="BC28" i="76"/>
  <c r="AP52" i="76"/>
  <c r="AY56" i="76"/>
  <c r="AL60" i="76"/>
  <c r="AT60" i="76" s="1"/>
  <c r="AO70" i="76"/>
  <c r="AL74" i="76"/>
  <c r="AT74" i="76" s="1"/>
  <c r="AE76" i="76"/>
  <c r="AU79" i="76"/>
  <c r="AU80" i="76"/>
  <c r="AF93" i="76"/>
  <c r="AO111" i="76"/>
  <c r="AN111" i="76"/>
  <c r="AL111" i="76"/>
  <c r="AT111" i="76" s="1"/>
  <c r="BA111" i="76"/>
  <c r="AV111" i="76" a="1"/>
  <c r="AV111" i="76" s="1"/>
  <c r="AU111" i="76"/>
  <c r="AY111" i="76"/>
  <c r="AQ124" i="76"/>
  <c r="AX124" i="76"/>
  <c r="BD124" i="76" s="1"/>
  <c r="AP144" i="76"/>
  <c r="AF144" i="76"/>
  <c r="AE144" i="76"/>
  <c r="BF144" i="76"/>
  <c r="AZ144" i="76" s="1"/>
  <c r="BC144" i="76" s="1"/>
  <c r="AG149" i="76"/>
  <c r="AY150" i="76"/>
  <c r="AP163" i="76"/>
  <c r="AE169" i="76"/>
  <c r="AP189" i="76"/>
  <c r="BF189" i="76" s="1"/>
  <c r="AZ189" i="76" s="1"/>
  <c r="BC189" i="76" s="1"/>
  <c r="AF213" i="76"/>
  <c r="AE213" i="76" s="1"/>
  <c r="AP213" i="76"/>
  <c r="BF213" i="76" s="1"/>
  <c r="AZ213" i="76" s="1"/>
  <c r="BC213" i="76" s="1"/>
  <c r="AE231" i="76"/>
  <c r="AE247" i="76"/>
  <c r="AL259" i="76"/>
  <c r="AT259" i="76" s="1"/>
  <c r="AO259" i="76"/>
  <c r="AV259" i="76" a="1"/>
  <c r="AV259" i="76" s="1"/>
  <c r="BA259" i="76"/>
  <c r="AY259" i="76"/>
  <c r="AU259" i="76"/>
  <c r="AN259" i="76"/>
  <c r="AF261" i="76"/>
  <c r="AE261" i="76" s="1"/>
  <c r="AP261" i="76"/>
  <c r="BF261" i="76" s="1"/>
  <c r="AZ261" i="76" s="1"/>
  <c r="BC261" i="76" s="1"/>
  <c r="AF273" i="76"/>
  <c r="AG318" i="76"/>
  <c r="AN354" i="76"/>
  <c r="BA374" i="76"/>
  <c r="BW423" i="76"/>
  <c r="AK423" i="76" a="1"/>
  <c r="AK423" i="76" s="1"/>
  <c r="BG423" i="76" s="1"/>
  <c r="AM423" i="76"/>
  <c r="AI423" i="76"/>
  <c r="AG423" i="76"/>
  <c r="AH423" i="76"/>
  <c r="AF108" i="76"/>
  <c r="AO127" i="76"/>
  <c r="AN127" i="76"/>
  <c r="BA127" i="76"/>
  <c r="AY127" i="76"/>
  <c r="AF148" i="76"/>
  <c r="AP148" i="76"/>
  <c r="BF148" i="76" s="1"/>
  <c r="AZ148" i="76" s="1"/>
  <c r="BC148" i="76" s="1"/>
  <c r="AN166" i="76"/>
  <c r="AL166" i="76"/>
  <c r="AT166" i="76" s="1"/>
  <c r="AV166" i="76" a="1"/>
  <c r="AV166" i="76" s="1"/>
  <c r="AU166" i="76"/>
  <c r="BA166" i="76"/>
  <c r="AY166" i="76"/>
  <c r="AL176" i="76"/>
  <c r="AT176" i="76" s="1"/>
  <c r="AN176" i="76"/>
  <c r="AO176" i="76"/>
  <c r="AY176" i="76"/>
  <c r="AU176" i="76"/>
  <c r="AV176" i="76" a="1"/>
  <c r="AV176" i="76" s="1"/>
  <c r="AL192" i="76"/>
  <c r="AT192" i="76" s="1"/>
  <c r="AY192" i="76"/>
  <c r="AV192" i="76" a="1"/>
  <c r="AV192" i="76" s="1"/>
  <c r="BA192" i="76"/>
  <c r="AU192" i="76"/>
  <c r="AQ238" i="76"/>
  <c r="AX238" i="76"/>
  <c r="BD238" i="76" s="1"/>
  <c r="AU373" i="76"/>
  <c r="AL373" i="76"/>
  <c r="AT373" i="76" s="1"/>
  <c r="AY373" i="76"/>
  <c r="AO373" i="76"/>
  <c r="AN373" i="76"/>
  <c r="BA373" i="76"/>
  <c r="AV373" i="76" a="1"/>
  <c r="AV373" i="76" s="1"/>
  <c r="AP533" i="76"/>
  <c r="BF533" i="76"/>
  <c r="AZ533" i="76" s="1"/>
  <c r="BC533" i="76"/>
  <c r="AF533" i="76"/>
  <c r="AE533" i="76"/>
  <c r="AV29" i="76" a="1"/>
  <c r="AV29" i="76" s="1"/>
  <c r="AU29" i="76"/>
  <c r="AO29" i="76"/>
  <c r="AL29" i="76"/>
  <c r="AT29" i="76" s="1"/>
  <c r="AN29" i="76"/>
  <c r="BA29" i="76"/>
  <c r="AV49" i="76" a="1"/>
  <c r="AV49" i="76" s="1"/>
  <c r="AU49" i="76"/>
  <c r="AY49" i="76"/>
  <c r="BA49" i="76"/>
  <c r="AO49" i="76"/>
  <c r="AN49" i="76"/>
  <c r="AL49" i="76"/>
  <c r="AT49" i="76" s="1"/>
  <c r="AP108" i="76"/>
  <c r="BF108" i="76" s="1"/>
  <c r="AZ108" i="76" s="1"/>
  <c r="BC108" i="76" s="1"/>
  <c r="AF122" i="76"/>
  <c r="AE122" i="76"/>
  <c r="BF122" i="76"/>
  <c r="AZ122" i="76" s="1"/>
  <c r="BC122" i="76" s="1"/>
  <c r="AP122" i="76"/>
  <c r="AV130" i="76" a="1"/>
  <c r="AV130" i="76" s="1"/>
  <c r="AU130" i="76"/>
  <c r="AO130" i="76"/>
  <c r="AN130" i="76"/>
  <c r="AL130" i="76"/>
  <c r="AT130" i="76" s="1"/>
  <c r="AY130" i="76"/>
  <c r="BA130" i="76"/>
  <c r="AF145" i="76"/>
  <c r="AE145" i="76" s="1"/>
  <c r="BF145" i="76"/>
  <c r="AZ145" i="76" s="1"/>
  <c r="BC145" i="76"/>
  <c r="AO166" i="76"/>
  <c r="AX172" i="76"/>
  <c r="BD172" i="76" s="1"/>
  <c r="AQ172" i="76"/>
  <c r="BA176" i="76"/>
  <c r="AO302" i="76"/>
  <c r="BA302" i="76"/>
  <c r="AY302" i="76"/>
  <c r="AV302" i="76" a="1"/>
  <c r="AV302" i="76" s="1"/>
  <c r="AU302" i="76"/>
  <c r="AN302" i="76"/>
  <c r="BA316" i="76"/>
  <c r="AY316" i="76"/>
  <c r="AV316" i="76" a="1"/>
  <c r="AV316" i="76" s="1"/>
  <c r="AU316" i="76"/>
  <c r="AO316" i="76"/>
  <c r="AL316" i="76"/>
  <c r="AT316" i="76" s="1"/>
  <c r="AY342" i="76"/>
  <c r="AN342" i="76"/>
  <c r="BA342" i="76"/>
  <c r="AU342" i="76"/>
  <c r="AV342" i="76" a="1"/>
  <c r="AV342" i="76" s="1"/>
  <c r="AO342" i="76"/>
  <c r="AL342" i="76"/>
  <c r="AT342" i="76" s="1"/>
  <c r="AL420" i="76"/>
  <c r="AT420" i="76" s="1"/>
  <c r="AU420" i="76"/>
  <c r="AO420" i="76"/>
  <c r="AN420" i="76"/>
  <c r="AV420" i="76" a="1"/>
  <c r="AV420" i="76" s="1"/>
  <c r="AY420" i="76"/>
  <c r="BA420" i="76"/>
  <c r="AO449" i="76"/>
  <c r="AN449" i="76"/>
  <c r="AY449" i="76"/>
  <c r="BA449" i="76"/>
  <c r="AP528" i="76"/>
  <c r="BF528" i="76" s="1"/>
  <c r="AZ528" i="76" s="1"/>
  <c r="BC528" i="76" s="1"/>
  <c r="AE528" i="76"/>
  <c r="AF528" i="76"/>
  <c r="AF58" i="76"/>
  <c r="AE58" i="76"/>
  <c r="BC58" i="76"/>
  <c r="AF90" i="76"/>
  <c r="AE90" i="76"/>
  <c r="BF90" i="76"/>
  <c r="AZ90" i="76" s="1"/>
  <c r="BC90" i="76"/>
  <c r="AL127" i="76"/>
  <c r="AT127" i="76" s="1"/>
  <c r="AU138" i="76"/>
  <c r="AV138" i="76" a="1"/>
  <c r="AV138" i="76" s="1"/>
  <c r="AY138" i="76"/>
  <c r="AO138" i="76"/>
  <c r="BA138" i="76"/>
  <c r="AN192" i="76"/>
  <c r="AF243" i="76"/>
  <c r="AE243" i="76"/>
  <c r="AP243" i="76"/>
  <c r="BF243" i="76"/>
  <c r="AZ243" i="76" s="1"/>
  <c r="BC243" i="76"/>
  <c r="AP276" i="76"/>
  <c r="BF276" i="76" s="1"/>
  <c r="AZ276" i="76" s="1"/>
  <c r="BC276" i="76" s="1"/>
  <c r="AF276" i="76"/>
  <c r="AE276" i="76"/>
  <c r="AN316" i="76"/>
  <c r="AP331" i="76"/>
  <c r="BF331" i="76"/>
  <c r="AZ331" i="76" s="1"/>
  <c r="BC331" i="76"/>
  <c r="AE331" i="76"/>
  <c r="AF331" i="76"/>
  <c r="AL446" i="76"/>
  <c r="AT446" i="76" s="1"/>
  <c r="AV446" i="76" a="1"/>
  <c r="AV446" i="76" s="1"/>
  <c r="AU446" i="76"/>
  <c r="BA446" i="76"/>
  <c r="AY446" i="76"/>
  <c r="AO446" i="76"/>
  <c r="AN446" i="76"/>
  <c r="AV451" i="76" a="1"/>
  <c r="AV451" i="76" s="1"/>
  <c r="AL451" i="76"/>
  <c r="AT451" i="76" s="1"/>
  <c r="AU451" i="76"/>
  <c r="AY451" i="76"/>
  <c r="BA451" i="76"/>
  <c r="AN451" i="76"/>
  <c r="AE467" i="76"/>
  <c r="BF467" i="76"/>
  <c r="AZ467" i="76" s="1"/>
  <c r="BC467" i="76" s="1"/>
  <c r="AF467" i="76"/>
  <c r="AP467" i="76"/>
  <c r="BW152" i="76"/>
  <c r="AK152" i="76" a="1"/>
  <c r="AK152" i="76" s="1"/>
  <c r="BG152" i="76" s="1"/>
  <c r="AH152" i="76"/>
  <c r="AG152" i="76"/>
  <c r="AI152" i="76"/>
  <c r="AV180" i="76" a="1"/>
  <c r="AV180" i="76" s="1"/>
  <c r="AU180" i="76"/>
  <c r="AY180" i="76"/>
  <c r="BA180" i="76"/>
  <c r="AP202" i="76"/>
  <c r="BF202" i="76"/>
  <c r="AZ202" i="76" s="1"/>
  <c r="AF202" i="76"/>
  <c r="BC202" i="76"/>
  <c r="AU211" i="76"/>
  <c r="BA211" i="76"/>
  <c r="AV211" i="76" a="1"/>
  <c r="AV211" i="76" s="1"/>
  <c r="AO211" i="76"/>
  <c r="AN211" i="76"/>
  <c r="AE215" i="76"/>
  <c r="AP215" i="76"/>
  <c r="AQ215" i="76" s="1"/>
  <c r="AF234" i="76"/>
  <c r="BF234" i="76"/>
  <c r="AZ234" i="76" s="1"/>
  <c r="BC234" i="76"/>
  <c r="AP240" i="76"/>
  <c r="BF240" i="76" s="1"/>
  <c r="AZ240" i="76" s="1"/>
  <c r="BC240" i="76" s="1"/>
  <c r="AF240" i="76"/>
  <c r="AE240" i="76"/>
  <c r="AF250" i="76"/>
  <c r="AE250" i="76" s="1"/>
  <c r="AL278" i="76"/>
  <c r="AT278" i="76" s="1"/>
  <c r="AY278" i="76"/>
  <c r="AV278" i="76" a="1"/>
  <c r="AV278" i="76" s="1"/>
  <c r="AO278" i="76"/>
  <c r="BA278" i="76"/>
  <c r="AU278" i="76"/>
  <c r="AQ407" i="76"/>
  <c r="AX407" i="76"/>
  <c r="BD407" i="76" s="1"/>
  <c r="AF44" i="76"/>
  <c r="AE44" i="76"/>
  <c r="BF44" i="76"/>
  <c r="AZ44" i="76" s="1"/>
  <c r="BC44" i="76" s="1"/>
  <c r="AO104" i="76"/>
  <c r="AU104" i="76"/>
  <c r="AN104" i="76"/>
  <c r="AV104" i="76" a="1"/>
  <c r="AV104" i="76" s="1"/>
  <c r="AQ152" i="76"/>
  <c r="AY236" i="76"/>
  <c r="AO236" i="76"/>
  <c r="AN236" i="76"/>
  <c r="AL236" i="76"/>
  <c r="AT236" i="76" s="1"/>
  <c r="BA236" i="76"/>
  <c r="AV236" i="76" a="1"/>
  <c r="AV236" i="76" s="1"/>
  <c r="AU236" i="76"/>
  <c r="AV282" i="76" a="1"/>
  <c r="AV282" i="76" s="1"/>
  <c r="AU282" i="76"/>
  <c r="AL282" i="76"/>
  <c r="AT282" i="76" s="1"/>
  <c r="AO282" i="76"/>
  <c r="AN282" i="76"/>
  <c r="AY282" i="76"/>
  <c r="AU309" i="76"/>
  <c r="AL309" i="76"/>
  <c r="AT309" i="76" s="1"/>
  <c r="AY309" i="76"/>
  <c r="AO309" i="76"/>
  <c r="AN309" i="76"/>
  <c r="AP334" i="76"/>
  <c r="AQ334" i="76" s="1"/>
  <c r="BF334" i="76"/>
  <c r="AZ334" i="76" s="1"/>
  <c r="BC334" i="76"/>
  <c r="AK336" i="76" a="1"/>
  <c r="AK336" i="76" s="1"/>
  <c r="BG336" i="76" s="1"/>
  <c r="AM336" i="76"/>
  <c r="BW336" i="76"/>
  <c r="AI336" i="76"/>
  <c r="AV27" i="76" a="1"/>
  <c r="AV27" i="76" s="1"/>
  <c r="AU27" i="76"/>
  <c r="AO27" i="76"/>
  <c r="AV41" i="76" a="1"/>
  <c r="AV41" i="76" s="1"/>
  <c r="AU41" i="76"/>
  <c r="BA41" i="76"/>
  <c r="AY41" i="76"/>
  <c r="AO160" i="76"/>
  <c r="AN160" i="76"/>
  <c r="AL160" i="76"/>
  <c r="AT160" i="76" s="1"/>
  <c r="AQ184" i="76"/>
  <c r="AP269" i="76"/>
  <c r="BF269" i="76" s="1"/>
  <c r="AZ269" i="76" s="1"/>
  <c r="BC269" i="76" s="1"/>
  <c r="AF269" i="76"/>
  <c r="AV397" i="76" a="1"/>
  <c r="AV397" i="76" s="1"/>
  <c r="AU397" i="76"/>
  <c r="AO397" i="76"/>
  <c r="AN397" i="76"/>
  <c r="BA397" i="76"/>
  <c r="AY397" i="76"/>
  <c r="AI424" i="76"/>
  <c r="AH424" i="76"/>
  <c r="AK424" i="76" a="1"/>
  <c r="AK424" i="76" s="1"/>
  <c r="AM424" i="76"/>
  <c r="AP44" i="76"/>
  <c r="AU106" i="76"/>
  <c r="AV106" i="76" a="1"/>
  <c r="AV106" i="76" s="1"/>
  <c r="AY106" i="76"/>
  <c r="AO106" i="76"/>
  <c r="AH125" i="76"/>
  <c r="AL180" i="76"/>
  <c r="AT180" i="76" s="1"/>
  <c r="AF183" i="76"/>
  <c r="AE183" i="76"/>
  <c r="BF183" i="76"/>
  <c r="AZ183" i="76" s="1"/>
  <c r="BC183" i="76" s="1"/>
  <c r="AG184" i="76"/>
  <c r="AL300" i="76"/>
  <c r="AT300" i="76" s="1"/>
  <c r="BA300" i="76"/>
  <c r="AY300" i="76"/>
  <c r="AV300" i="76" a="1"/>
  <c r="AV300" i="76" s="1"/>
  <c r="AQ424" i="76"/>
  <c r="AX424" i="76"/>
  <c r="BD424" i="76" s="1"/>
  <c r="AV32" i="76" a="1"/>
  <c r="AV32" i="76" s="1"/>
  <c r="AU32" i="76"/>
  <c r="AO32" i="76"/>
  <c r="AN32" i="76"/>
  <c r="AV57" i="76" a="1"/>
  <c r="AV57" i="76" s="1"/>
  <c r="AU57" i="76"/>
  <c r="AO57" i="76"/>
  <c r="AN57" i="76"/>
  <c r="AL57" i="76"/>
  <c r="AT57" i="76" s="1"/>
  <c r="AO87" i="76"/>
  <c r="AN87" i="76"/>
  <c r="AV87" i="76" a="1"/>
  <c r="AV87" i="76" s="1"/>
  <c r="AU87" i="76"/>
  <c r="AL104" i="76"/>
  <c r="AT104" i="76" s="1"/>
  <c r="AY115" i="76"/>
  <c r="AN115" i="76"/>
  <c r="AO115" i="76"/>
  <c r="AK156" i="76" a="1"/>
  <c r="AK156" i="76" s="1"/>
  <c r="BG156" i="76" s="1"/>
  <c r="AH156" i="76"/>
  <c r="AI156" i="76"/>
  <c r="AM156" i="76"/>
  <c r="BW156" i="76"/>
  <c r="AV160" i="76" a="1"/>
  <c r="AV160" i="76" s="1"/>
  <c r="AL246" i="76"/>
  <c r="AT246" i="76" s="1"/>
  <c r="AY246" i="76"/>
  <c r="AO246" i="76"/>
  <c r="AV246" i="76" a="1"/>
  <c r="AV246" i="76" s="1"/>
  <c r="AU246" i="76"/>
  <c r="AN246" i="76"/>
  <c r="AK253" i="76" a="1"/>
  <c r="AK253" i="76" s="1"/>
  <c r="BG253" i="76" s="1"/>
  <c r="BW253" i="76"/>
  <c r="AM253" i="76"/>
  <c r="AY281" i="76"/>
  <c r="BA281" i="76"/>
  <c r="AU281" i="76"/>
  <c r="AL281" i="76"/>
  <c r="AT281" i="76" s="1"/>
  <c r="AO281" i="76"/>
  <c r="AN281" i="76"/>
  <c r="AP287" i="76"/>
  <c r="AE287" i="76"/>
  <c r="BF287" i="76"/>
  <c r="AZ287" i="76" s="1"/>
  <c r="BC287" i="76" s="1"/>
  <c r="AF287" i="76"/>
  <c r="AE329" i="76"/>
  <c r="AP329" i="76"/>
  <c r="BF329" i="76" s="1"/>
  <c r="AZ329" i="76" s="1"/>
  <c r="BC329" i="76" s="1"/>
  <c r="AH336" i="76"/>
  <c r="BF407" i="76"/>
  <c r="AZ407" i="76" s="1"/>
  <c r="BC407" i="76"/>
  <c r="AE407" i="76"/>
  <c r="AG424" i="76"/>
  <c r="AL27" i="76"/>
  <c r="AT27" i="76" s="1"/>
  <c r="AF36" i="76"/>
  <c r="AE36" i="76"/>
  <c r="BF36" i="76"/>
  <c r="AZ36" i="76" s="1"/>
  <c r="BC36" i="76"/>
  <c r="AL41" i="76"/>
  <c r="AT41" i="76" s="1"/>
  <c r="AV46" i="76" a="1"/>
  <c r="AV46" i="76" s="1"/>
  <c r="AU46" i="76"/>
  <c r="AY46" i="76"/>
  <c r="AV58" i="76" a="1"/>
  <c r="AV58" i="76" s="1"/>
  <c r="AU58" i="76"/>
  <c r="BA58" i="76"/>
  <c r="AY58" i="76"/>
  <c r="AX107" i="76"/>
  <c r="BD107" i="76" s="1"/>
  <c r="AE113" i="76"/>
  <c r="AQ117" i="76"/>
  <c r="BF133" i="76"/>
  <c r="AZ133" i="76" s="1"/>
  <c r="BC133" i="76" s="1"/>
  <c r="AF133" i="76"/>
  <c r="AE133" i="76" s="1"/>
  <c r="AM152" i="76"/>
  <c r="AV153" i="76" a="1"/>
  <c r="AV153" i="76" s="1"/>
  <c r="AU153" i="76"/>
  <c r="AN153" i="76"/>
  <c r="AO153" i="76"/>
  <c r="AU162" i="76"/>
  <c r="AV162" i="76" a="1"/>
  <c r="AV162" i="76" s="1"/>
  <c r="AO162" i="76"/>
  <c r="AL162" i="76"/>
  <c r="AT162" i="76" s="1"/>
  <c r="AN162" i="76"/>
  <c r="AK164" i="76" a="1"/>
  <c r="AK164" i="76" s="1"/>
  <c r="BG164" i="76" s="1"/>
  <c r="AH164" i="76"/>
  <c r="AI164" i="76"/>
  <c r="AN180" i="76"/>
  <c r="AP183" i="76"/>
  <c r="AK191" i="76" a="1"/>
  <c r="AK191" i="76" s="1"/>
  <c r="BG191" i="76" s="1"/>
  <c r="AM191" i="76"/>
  <c r="BW191" i="76"/>
  <c r="AO256" i="76"/>
  <c r="AL256" i="76"/>
  <c r="AT256" i="76" s="1"/>
  <c r="AU256" i="76"/>
  <c r="AV256" i="76" a="1"/>
  <c r="AV256" i="76" s="1"/>
  <c r="AF268" i="76"/>
  <c r="AP268" i="76"/>
  <c r="BF268" i="76" s="1"/>
  <c r="AZ268" i="76" s="1"/>
  <c r="BC268" i="76" s="1"/>
  <c r="AO276" i="76"/>
  <c r="AH307" i="76"/>
  <c r="AN391" i="76"/>
  <c r="AY393" i="76"/>
  <c r="AU393" i="76"/>
  <c r="AL393" i="76"/>
  <c r="AT393" i="76" s="1"/>
  <c r="BA393" i="76"/>
  <c r="AV393" i="76" a="1"/>
  <c r="AV393" i="76" s="1"/>
  <c r="BF421" i="76"/>
  <c r="AZ421" i="76" s="1"/>
  <c r="BC421" i="76"/>
  <c r="AF421" i="76"/>
  <c r="AE421" i="76"/>
  <c r="AH458" i="76"/>
  <c r="AK458" i="76" a="1"/>
  <c r="AK458" i="76" s="1"/>
  <c r="BG458" i="76" s="1"/>
  <c r="AI458" i="76"/>
  <c r="AG458" i="76"/>
  <c r="BW458" i="76"/>
  <c r="AM458" i="76"/>
  <c r="AV483" i="76" a="1"/>
  <c r="AV483" i="76" s="1"/>
  <c r="BA483" i="76"/>
  <c r="AN483" i="76"/>
  <c r="AO483" i="76"/>
  <c r="AL483" i="76"/>
  <c r="AT483" i="76" s="1"/>
  <c r="AY483" i="76"/>
  <c r="BC140" i="76"/>
  <c r="AU171" i="76"/>
  <c r="AV171" i="76" a="1"/>
  <c r="AV171" i="76" s="1"/>
  <c r="AN171" i="76"/>
  <c r="AY171" i="76"/>
  <c r="AO171" i="76"/>
  <c r="AU203" i="76"/>
  <c r="AV203" i="76" a="1"/>
  <c r="AV203" i="76" s="1"/>
  <c r="AN203" i="76"/>
  <c r="AO203" i="76"/>
  <c r="AY203" i="76"/>
  <c r="AF206" i="76"/>
  <c r="AE206" i="76" s="1"/>
  <c r="AV229" i="76" a="1"/>
  <c r="AV229" i="76" s="1"/>
  <c r="AU229" i="76"/>
  <c r="AN229" i="76"/>
  <c r="AO229" i="76"/>
  <c r="BA229" i="76"/>
  <c r="AF249" i="76"/>
  <c r="AE249" i="76"/>
  <c r="BF249" i="76"/>
  <c r="AZ249" i="76" s="1"/>
  <c r="BC249" i="76" s="1"/>
  <c r="AL270" i="76"/>
  <c r="AT270" i="76" s="1"/>
  <c r="BA270" i="76"/>
  <c r="AY270" i="76"/>
  <c r="BF277" i="76"/>
  <c r="AZ277" i="76" s="1"/>
  <c r="BC277" i="76" s="1"/>
  <c r="AF277" i="76"/>
  <c r="AE277" i="76"/>
  <c r="AP288" i="76"/>
  <c r="BF288" i="76" s="1"/>
  <c r="AZ288" i="76" s="1"/>
  <c r="BC288" i="76" s="1"/>
  <c r="AF288" i="76"/>
  <c r="AY492" i="76"/>
  <c r="AV492" i="76" a="1"/>
  <c r="AV492" i="76" s="1"/>
  <c r="AN492" i="76"/>
  <c r="AL492" i="76"/>
  <c r="AT492" i="76" s="1"/>
  <c r="AU492" i="76"/>
  <c r="BA492" i="76"/>
  <c r="AX527" i="76"/>
  <c r="BD527" i="76" s="1"/>
  <c r="AK77" i="76" a="1"/>
  <c r="AK77" i="76" s="1"/>
  <c r="BG77" i="76" s="1"/>
  <c r="BW77" i="76"/>
  <c r="AH77" i="76"/>
  <c r="AM77" i="76"/>
  <c r="AI77" i="76"/>
  <c r="AN86" i="76"/>
  <c r="AL86" i="76"/>
  <c r="AT86" i="76" s="1"/>
  <c r="BA86" i="76"/>
  <c r="AO95" i="76"/>
  <c r="AN95" i="76"/>
  <c r="AY95" i="76"/>
  <c r="BA95" i="76"/>
  <c r="BW125" i="76"/>
  <c r="BW184" i="76"/>
  <c r="AK184" i="76" a="1"/>
  <c r="AK184" i="76" s="1"/>
  <c r="AH184" i="76"/>
  <c r="AI184" i="76"/>
  <c r="AV219" i="76" a="1"/>
  <c r="AV219" i="76" s="1"/>
  <c r="AU219" i="76"/>
  <c r="AN219" i="76"/>
  <c r="AO219" i="76"/>
  <c r="AL219" i="76"/>
  <c r="AT219" i="76" s="1"/>
  <c r="AF235" i="76"/>
  <c r="BF235" i="76"/>
  <c r="AZ235" i="76" s="1"/>
  <c r="BC235" i="76" s="1"/>
  <c r="AV258" i="76" a="1"/>
  <c r="AV258" i="76" s="1"/>
  <c r="AU258" i="76"/>
  <c r="AY258" i="76"/>
  <c r="BA258" i="76"/>
  <c r="AN271" i="76"/>
  <c r="AL271" i="76"/>
  <c r="AT271" i="76" s="1"/>
  <c r="AO271" i="76"/>
  <c r="AY271" i="76"/>
  <c r="AK285" i="76" a="1"/>
  <c r="AK285" i="76" s="1"/>
  <c r="AI285" i="76"/>
  <c r="AM285" i="76"/>
  <c r="AV296" i="76" a="1"/>
  <c r="AV296" i="76" s="1"/>
  <c r="AU296" i="76"/>
  <c r="BA296" i="76"/>
  <c r="AN296" i="76"/>
  <c r="AL296" i="76"/>
  <c r="AT296" i="76" s="1"/>
  <c r="AO296" i="76"/>
  <c r="AY313" i="76"/>
  <c r="AO313" i="76"/>
  <c r="AN313" i="76"/>
  <c r="AV313" i="76" a="1"/>
  <c r="AV313" i="76" s="1"/>
  <c r="AU313" i="76"/>
  <c r="BA313" i="76"/>
  <c r="AP320" i="76"/>
  <c r="AF320" i="76"/>
  <c r="AE320" i="76"/>
  <c r="AY345" i="76"/>
  <c r="BA345" i="76"/>
  <c r="AU345" i="76"/>
  <c r="AV345" i="76" a="1"/>
  <c r="AV345" i="76" s="1"/>
  <c r="AN345" i="76"/>
  <c r="AL345" i="76"/>
  <c r="AT345" i="76" s="1"/>
  <c r="AK501" i="76" a="1"/>
  <c r="AK501" i="76" s="1"/>
  <c r="BG501" i="76" s="1"/>
  <c r="AM501" i="76"/>
  <c r="AI501" i="76"/>
  <c r="AH501" i="76"/>
  <c r="AG501" i="76"/>
  <c r="AE26" i="76"/>
  <c r="AV45" i="76" a="1"/>
  <c r="AV45" i="76" s="1"/>
  <c r="AU45" i="76"/>
  <c r="AO45" i="76"/>
  <c r="AN45" i="76"/>
  <c r="AL45" i="76"/>
  <c r="AT45" i="76" s="1"/>
  <c r="AG125" i="76"/>
  <c r="AO151" i="76"/>
  <c r="AN151" i="76"/>
  <c r="AU151" i="76"/>
  <c r="AV151" i="76" a="1"/>
  <c r="AV151" i="76" s="1"/>
  <c r="AP206" i="76"/>
  <c r="BF206" i="76" s="1"/>
  <c r="AZ206" i="76" s="1"/>
  <c r="BC206" i="76" s="1"/>
  <c r="AI244" i="76"/>
  <c r="AH244" i="76"/>
  <c r="BW244" i="76"/>
  <c r="AK244" i="76" a="1"/>
  <c r="AK244" i="76" s="1"/>
  <c r="AM244" i="76"/>
  <c r="AP250" i="76"/>
  <c r="BF250" i="76" s="1"/>
  <c r="AZ250" i="76" s="1"/>
  <c r="BC250" i="76" s="1"/>
  <c r="AN270" i="76"/>
  <c r="AN278" i="76"/>
  <c r="BA282" i="76"/>
  <c r="AU325" i="76"/>
  <c r="BA325" i="76"/>
  <c r="AV325" i="76" a="1"/>
  <c r="AV325" i="76" s="1"/>
  <c r="AO325" i="76"/>
  <c r="AO345" i="76"/>
  <c r="AY64" i="76"/>
  <c r="AV64" i="76" a="1"/>
  <c r="AV64" i="76" s="1"/>
  <c r="AU64" i="76"/>
  <c r="AO64" i="76"/>
  <c r="AV114" i="76" a="1"/>
  <c r="AV114" i="76" s="1"/>
  <c r="AU114" i="76"/>
  <c r="AY114" i="76"/>
  <c r="BA114" i="76"/>
  <c r="AL171" i="76"/>
  <c r="AT171" i="76" s="1"/>
  <c r="AF181" i="76"/>
  <c r="AP181" i="76"/>
  <c r="BF181" i="76" s="1"/>
  <c r="AZ181" i="76" s="1"/>
  <c r="BC181" i="76" s="1"/>
  <c r="AL200" i="76"/>
  <c r="AT200" i="76" s="1"/>
  <c r="AO200" i="76"/>
  <c r="AV200" i="76" a="1"/>
  <c r="AV200" i="76" s="1"/>
  <c r="AU200" i="76"/>
  <c r="AN200" i="76"/>
  <c r="AL203" i="76"/>
  <c r="AT203" i="76" s="1"/>
  <c r="BF227" i="76"/>
  <c r="AZ227" i="76" s="1"/>
  <c r="BC227" i="76" s="1"/>
  <c r="AP227" i="76"/>
  <c r="AF227" i="76"/>
  <c r="AP235" i="76"/>
  <c r="AO270" i="76"/>
  <c r="AL397" i="76"/>
  <c r="AT397" i="76" s="1"/>
  <c r="BF434" i="76"/>
  <c r="AZ434" i="76" s="1"/>
  <c r="BC434" i="76" s="1"/>
  <c r="AP434" i="76"/>
  <c r="AF434" i="76"/>
  <c r="AE434" i="76" s="1"/>
  <c r="AP26" i="76"/>
  <c r="AQ26" i="76" s="1"/>
  <c r="AV51" i="76" a="1"/>
  <c r="AV51" i="76" s="1"/>
  <c r="AU51" i="76"/>
  <c r="BA51" i="76"/>
  <c r="AY51" i="76"/>
  <c r="AP76" i="76"/>
  <c r="AO96" i="76"/>
  <c r="AN96" i="76"/>
  <c r="AL96" i="76"/>
  <c r="AT96" i="76" s="1"/>
  <c r="BW117" i="76"/>
  <c r="AI125" i="76"/>
  <c r="AY155" i="76"/>
  <c r="BA155" i="76"/>
  <c r="AV155" i="76" a="1"/>
  <c r="AV155" i="76" s="1"/>
  <c r="AU155" i="76"/>
  <c r="AV161" i="76" a="1"/>
  <c r="AV161" i="76" s="1"/>
  <c r="AU161" i="76"/>
  <c r="BA161" i="76"/>
  <c r="AY161" i="76"/>
  <c r="AG244" i="76"/>
  <c r="AL258" i="76"/>
  <c r="AT258" i="76" s="1"/>
  <c r="AN301" i="76"/>
  <c r="AO301" i="76"/>
  <c r="AL301" i="76"/>
  <c r="AT301" i="76" s="1"/>
  <c r="BA301" i="76"/>
  <c r="AY301" i="76"/>
  <c r="AV309" i="76" a="1"/>
  <c r="AV309" i="76" s="1"/>
  <c r="AL313" i="76"/>
  <c r="AT313" i="76" s="1"/>
  <c r="AU496" i="76"/>
  <c r="AN496" i="76"/>
  <c r="BA496" i="76"/>
  <c r="AY496" i="76"/>
  <c r="AV496" i="76" a="1"/>
  <c r="AV496" i="76" s="1"/>
  <c r="AE527" i="76"/>
  <c r="AP527" i="76"/>
  <c r="AQ527" i="76" s="1"/>
  <c r="AX535" i="76"/>
  <c r="BD535" i="76" s="1"/>
  <c r="AE535" i="76"/>
  <c r="AV33" i="76" a="1"/>
  <c r="AV33" i="76" s="1"/>
  <c r="AU33" i="76"/>
  <c r="BA33" i="76"/>
  <c r="AY33" i="76"/>
  <c r="AV37" i="76" a="1"/>
  <c r="AV37" i="76" s="1"/>
  <c r="AU37" i="76"/>
  <c r="AO37" i="76"/>
  <c r="AN37" i="76"/>
  <c r="AL37" i="76"/>
  <c r="AT37" i="76" s="1"/>
  <c r="AF63" i="76"/>
  <c r="AE63" i="76"/>
  <c r="BF63" i="76"/>
  <c r="AZ63" i="76" s="1"/>
  <c r="BC63" i="76"/>
  <c r="AL64" i="76"/>
  <c r="AT64" i="76" s="1"/>
  <c r="AY91" i="76"/>
  <c r="BA91" i="76"/>
  <c r="AV91" i="76" a="1"/>
  <c r="AV91" i="76" s="1"/>
  <c r="AU91" i="76"/>
  <c r="AV96" i="76" a="1"/>
  <c r="AV96" i="76" s="1"/>
  <c r="AV97" i="76" a="1"/>
  <c r="AV97" i="76" s="1"/>
  <c r="AU97" i="76"/>
  <c r="BA97" i="76"/>
  <c r="AY97" i="76"/>
  <c r="AY104" i="76"/>
  <c r="BF105" i="76"/>
  <c r="AZ105" i="76" s="1"/>
  <c r="AF105" i="76"/>
  <c r="BC105" i="76"/>
  <c r="AL106" i="76"/>
  <c r="AT106" i="76" s="1"/>
  <c r="AL114" i="76"/>
  <c r="AT114" i="76" s="1"/>
  <c r="AG117" i="76"/>
  <c r="AM125" i="76"/>
  <c r="AN134" i="76"/>
  <c r="AL134" i="76"/>
  <c r="AT134" i="76" s="1"/>
  <c r="AV134" i="76" a="1"/>
  <c r="AV134" i="76" s="1"/>
  <c r="AU134" i="76"/>
  <c r="AN142" i="76"/>
  <c r="AL142" i="76"/>
  <c r="AT142" i="76" s="1"/>
  <c r="AV142" i="76" a="1"/>
  <c r="AV142" i="76" s="1"/>
  <c r="AY142" i="76"/>
  <c r="AP152" i="76"/>
  <c r="BF152" i="76"/>
  <c r="AZ152" i="76" s="1"/>
  <c r="BC152" i="76" s="1"/>
  <c r="AG156" i="76"/>
  <c r="AQ164" i="76"/>
  <c r="BW164" i="76"/>
  <c r="AO180" i="76"/>
  <c r="BF184" i="76"/>
  <c r="AZ184" i="76" s="1"/>
  <c r="BC184" i="76" s="1"/>
  <c r="AP184" i="76"/>
  <c r="AU189" i="76"/>
  <c r="AY189" i="76"/>
  <c r="AV189" i="76" a="1"/>
  <c r="AV189" i="76" s="1"/>
  <c r="AY200" i="76"/>
  <c r="AY211" i="76"/>
  <c r="AY229" i="76"/>
  <c r="AP244" i="76"/>
  <c r="BF244" i="76" s="1"/>
  <c r="AZ244" i="76" s="1"/>
  <c r="BC244" i="76" s="1"/>
  <c r="BA246" i="76"/>
  <c r="AG253" i="76"/>
  <c r="AN258" i="76"/>
  <c r="AV271" i="76" a="1"/>
  <c r="AV271" i="76" s="1"/>
  <c r="AN300" i="76"/>
  <c r="BA309" i="76"/>
  <c r="BF320" i="76"/>
  <c r="AZ320" i="76" s="1"/>
  <c r="BC320" i="76" s="1"/>
  <c r="AP395" i="76"/>
  <c r="BF395" i="76" s="1"/>
  <c r="AZ395" i="76" s="1"/>
  <c r="BC395" i="76"/>
  <c r="AF395" i="76"/>
  <c r="AE395" i="76"/>
  <c r="AF399" i="76"/>
  <c r="AE399" i="76" s="1"/>
  <c r="AP399" i="76"/>
  <c r="BF399" i="76" s="1"/>
  <c r="AZ399" i="76" s="1"/>
  <c r="BC399" i="76" s="1"/>
  <c r="AP407" i="76"/>
  <c r="AF412" i="76"/>
  <c r="AE412" i="76"/>
  <c r="AP412" i="76"/>
  <c r="BF412" i="76"/>
  <c r="AZ412" i="76" s="1"/>
  <c r="BC412" i="76" s="1"/>
  <c r="AO414" i="76"/>
  <c r="AN414" i="76"/>
  <c r="AL414" i="76"/>
  <c r="AT414" i="76" s="1"/>
  <c r="BA414" i="76"/>
  <c r="AY414" i="76"/>
  <c r="AY474" i="76"/>
  <c r="AV474" i="76" a="1"/>
  <c r="AV474" i="76" s="1"/>
  <c r="AL474" i="76"/>
  <c r="AT474" i="76" s="1"/>
  <c r="BA474" i="76"/>
  <c r="AO474" i="76"/>
  <c r="AN474" i="76"/>
  <c r="AU474" i="76"/>
  <c r="BF484" i="76"/>
  <c r="AZ484" i="76" s="1"/>
  <c r="BC484" i="76" s="1"/>
  <c r="BG484" i="76"/>
  <c r="AO496" i="76"/>
  <c r="AV50" i="76" a="1"/>
  <c r="AV50" i="76" s="1"/>
  <c r="AU50" i="76"/>
  <c r="AN50" i="76"/>
  <c r="AL50" i="76"/>
  <c r="AT50" i="76" s="1"/>
  <c r="AF131" i="76"/>
  <c r="BF131" i="76"/>
  <c r="AZ131" i="76" s="1"/>
  <c r="BC131" i="76" s="1"/>
  <c r="AE131" i="76"/>
  <c r="AE196" i="76"/>
  <c r="AP196" i="76"/>
  <c r="AQ196" i="76" s="1"/>
  <c r="AO210" i="76"/>
  <c r="AV210" i="76" a="1"/>
  <c r="AV210" i="76" s="1"/>
  <c r="AU210" i="76"/>
  <c r="AY210" i="76"/>
  <c r="BA210" i="76"/>
  <c r="AL229" i="76"/>
  <c r="AT229" i="76" s="1"/>
  <c r="AP234" i="76"/>
  <c r="AI307" i="76"/>
  <c r="AM307" i="76"/>
  <c r="BW307" i="76"/>
  <c r="AK307" i="76" a="1"/>
  <c r="AK307" i="76" s="1"/>
  <c r="BG307" i="76" s="1"/>
  <c r="AL391" i="76"/>
  <c r="AT391" i="76" s="1"/>
  <c r="AU391" i="76"/>
  <c r="AY391" i="76"/>
  <c r="BA391" i="76"/>
  <c r="AF425" i="76"/>
  <c r="AP425" i="76"/>
  <c r="BF425" i="76"/>
  <c r="AZ425" i="76" s="1"/>
  <c r="BC425" i="76"/>
  <c r="AF31" i="76"/>
  <c r="AE31" i="76" s="1"/>
  <c r="BF31" i="76"/>
  <c r="AZ31" i="76" s="1"/>
  <c r="BC31" i="76" s="1"/>
  <c r="AG77" i="76"/>
  <c r="AO86" i="76"/>
  <c r="AI107" i="76"/>
  <c r="AH107" i="76"/>
  <c r="AG107" i="76"/>
  <c r="AM107" i="76"/>
  <c r="AK107" i="76" a="1"/>
  <c r="AK107" i="76" s="1"/>
  <c r="BG107" i="76" s="1"/>
  <c r="BW107" i="76"/>
  <c r="AU160" i="76"/>
  <c r="AO186" i="76"/>
  <c r="AY186" i="76"/>
  <c r="AP199" i="76"/>
  <c r="AL211" i="76"/>
  <c r="AT211" i="76" s="1"/>
  <c r="AY219" i="76"/>
  <c r="AY276" i="76"/>
  <c r="AU276" i="76"/>
  <c r="AL276" i="76"/>
  <c r="AT276" i="76" s="1"/>
  <c r="BA276" i="76"/>
  <c r="AG285" i="76"/>
  <c r="AG336" i="76"/>
  <c r="AO492" i="76"/>
  <c r="AN27" i="76"/>
  <c r="AL32" i="76"/>
  <c r="AT32" i="76" s="1"/>
  <c r="AN41" i="76"/>
  <c r="AY50" i="76"/>
  <c r="AL51" i="76"/>
  <c r="AT51" i="76" s="1"/>
  <c r="BF65" i="76"/>
  <c r="AZ65" i="76" s="1"/>
  <c r="BC65" i="76" s="1"/>
  <c r="AF65" i="76"/>
  <c r="BF69" i="76"/>
  <c r="AZ69" i="76" s="1"/>
  <c r="BC69" i="76" s="1"/>
  <c r="AF69" i="76"/>
  <c r="AE69" i="76"/>
  <c r="AU86" i="76"/>
  <c r="AL87" i="76"/>
  <c r="AT87" i="76" s="1"/>
  <c r="AV89" i="76" a="1"/>
  <c r="AV89" i="76" s="1"/>
  <c r="AU89" i="76"/>
  <c r="AN89" i="76"/>
  <c r="AO89" i="76"/>
  <c r="AU95" i="76"/>
  <c r="AU98" i="76"/>
  <c r="AV98" i="76" a="1"/>
  <c r="AV98" i="76" s="1"/>
  <c r="AO98" i="76"/>
  <c r="AN98" i="76"/>
  <c r="AL98" i="76"/>
  <c r="AT98" i="76" s="1"/>
  <c r="AL115" i="76"/>
  <c r="AT115" i="76" s="1"/>
  <c r="BF116" i="76"/>
  <c r="AZ116" i="76" s="1"/>
  <c r="BC116" i="76" s="1"/>
  <c r="AF116" i="76"/>
  <c r="AH117" i="76"/>
  <c r="BF125" i="76"/>
  <c r="AZ125" i="76" s="1"/>
  <c r="BC125" i="76"/>
  <c r="AO143" i="76"/>
  <c r="AN143" i="76"/>
  <c r="AL143" i="76"/>
  <c r="AT143" i="76" s="1"/>
  <c r="AO144" i="76"/>
  <c r="BA144" i="76"/>
  <c r="AY144" i="76"/>
  <c r="AY151" i="76"/>
  <c r="AF154" i="76"/>
  <c r="BF154" i="76"/>
  <c r="AZ154" i="76" s="1"/>
  <c r="BC154" i="76" s="1"/>
  <c r="AL155" i="76"/>
  <c r="AT155" i="76" s="1"/>
  <c r="AY160" i="76"/>
  <c r="AL161" i="76"/>
  <c r="AT161" i="76" s="1"/>
  <c r="AN210" i="76"/>
  <c r="AO224" i="76"/>
  <c r="BA224" i="76"/>
  <c r="AY224" i="76"/>
  <c r="AV224" i="76" a="1"/>
  <c r="AV224" i="76" s="1"/>
  <c r="AV225" i="76" a="1"/>
  <c r="AV225" i="76" s="1"/>
  <c r="AU225" i="76"/>
  <c r="AO225" i="76"/>
  <c r="AN225" i="76"/>
  <c r="AL225" i="76"/>
  <c r="AT225" i="76" s="1"/>
  <c r="AY225" i="76"/>
  <c r="AY243" i="76"/>
  <c r="AV243" i="76" a="1"/>
  <c r="AV243" i="76" s="1"/>
  <c r="AU243" i="76"/>
  <c r="BA243" i="76"/>
  <c r="AO243" i="76"/>
  <c r="BF248" i="76"/>
  <c r="AZ248" i="76" s="1"/>
  <c r="BC248" i="76" s="1"/>
  <c r="AH253" i="76"/>
  <c r="AP256" i="76"/>
  <c r="BF256" i="76"/>
  <c r="AZ256" i="76" s="1"/>
  <c r="BC256" i="76" s="1"/>
  <c r="AF256" i="76"/>
  <c r="AE256" i="76"/>
  <c r="AO258" i="76"/>
  <c r="AU270" i="76"/>
  <c r="BA271" i="76"/>
  <c r="AV276" i="76" a="1"/>
  <c r="AV276" i="76" s="1"/>
  <c r="AV281" i="76" a="1"/>
  <c r="AV281" i="76" s="1"/>
  <c r="BF292" i="76"/>
  <c r="AZ292" i="76" s="1"/>
  <c r="BC292" i="76" s="1"/>
  <c r="AF292" i="76"/>
  <c r="AE292" i="76" s="1"/>
  <c r="AP292" i="76"/>
  <c r="AO300" i="76"/>
  <c r="AU301" i="76"/>
  <c r="AN325" i="76"/>
  <c r="AV331" i="76" a="1"/>
  <c r="AV331" i="76" s="1"/>
  <c r="BA331" i="76"/>
  <c r="AY331" i="76"/>
  <c r="AV360" i="76" a="1"/>
  <c r="AV360" i="76" s="1"/>
  <c r="AU360" i="76"/>
  <c r="BA360" i="76"/>
  <c r="AN360" i="76"/>
  <c r="AL360" i="76"/>
  <c r="AT360" i="76" s="1"/>
  <c r="AY360" i="76"/>
  <c r="AL362" i="76"/>
  <c r="AT362" i="76" s="1"/>
  <c r="AV362" i="76" a="1"/>
  <c r="AV362" i="76" s="1"/>
  <c r="AU362" i="76"/>
  <c r="AO362" i="76"/>
  <c r="AN362" i="76"/>
  <c r="BA362" i="76"/>
  <c r="AY362" i="76"/>
  <c r="AF364" i="76"/>
  <c r="BF364" i="76"/>
  <c r="AZ364" i="76" s="1"/>
  <c r="AE364" i="76"/>
  <c r="BC364" i="76"/>
  <c r="AF393" i="76"/>
  <c r="AE393" i="76"/>
  <c r="BF393" i="76"/>
  <c r="AZ393" i="76" s="1"/>
  <c r="BC393" i="76" s="1"/>
  <c r="AX423" i="76"/>
  <c r="BD423" i="76" s="1"/>
  <c r="AQ423" i="76"/>
  <c r="BA430" i="76"/>
  <c r="AO430" i="76"/>
  <c r="AN430" i="76"/>
  <c r="AL430" i="76"/>
  <c r="AT430" i="76" s="1"/>
  <c r="AY430" i="76"/>
  <c r="AU464" i="76"/>
  <c r="AN464" i="76"/>
  <c r="AO464" i="76"/>
  <c r="AY464" i="76"/>
  <c r="AV464" i="76" a="1"/>
  <c r="AV464" i="76" s="1"/>
  <c r="AL464" i="76"/>
  <c r="AT464" i="76" s="1"/>
  <c r="AY472" i="76"/>
  <c r="AN472" i="76"/>
  <c r="AL472" i="76"/>
  <c r="AT472" i="76" s="1"/>
  <c r="AO472" i="76"/>
  <c r="BC489" i="76"/>
  <c r="AP489" i="76"/>
  <c r="AF489" i="76"/>
  <c r="BF489" i="76"/>
  <c r="AZ489" i="76" s="1"/>
  <c r="AO517" i="76"/>
  <c r="AY517" i="76"/>
  <c r="AN517" i="76"/>
  <c r="AL517" i="76"/>
  <c r="AT517" i="76" s="1"/>
  <c r="AV517" i="76" a="1"/>
  <c r="AV517" i="76" s="1"/>
  <c r="AU517" i="76"/>
  <c r="BA517" i="76"/>
  <c r="AV26" i="76" a="1"/>
  <c r="AV26" i="76" s="1"/>
  <c r="AU26" i="76"/>
  <c r="AN126" i="76"/>
  <c r="AL126" i="76"/>
  <c r="AT126" i="76" s="1"/>
  <c r="AV188" i="76" a="1"/>
  <c r="AV188" i="76" s="1"/>
  <c r="AU188" i="76"/>
  <c r="AO188" i="76"/>
  <c r="AN188" i="76"/>
  <c r="AN201" i="76"/>
  <c r="AY201" i="76"/>
  <c r="AL208" i="76"/>
  <c r="AT208" i="76" s="1"/>
  <c r="AY208" i="76"/>
  <c r="AV208" i="76" a="1"/>
  <c r="AV208" i="76" s="1"/>
  <c r="AX290" i="76"/>
  <c r="BD290" i="76" s="1"/>
  <c r="AL332" i="76"/>
  <c r="AT332" i="76" s="1"/>
  <c r="AY332" i="76"/>
  <c r="AV332" i="76" a="1"/>
  <c r="AV332" i="76" s="1"/>
  <c r="AU332" i="76"/>
  <c r="BA332" i="76"/>
  <c r="AG355" i="76"/>
  <c r="AP358" i="76"/>
  <c r="BF358" i="76" s="1"/>
  <c r="AZ358" i="76" s="1"/>
  <c r="BC358" i="76" s="1"/>
  <c r="AF358" i="76"/>
  <c r="AI371" i="76"/>
  <c r="AM371" i="76"/>
  <c r="BW371" i="76"/>
  <c r="AK371" i="76" a="1"/>
  <c r="AK371" i="76" s="1"/>
  <c r="BG371" i="76" s="1"/>
  <c r="AQ387" i="76"/>
  <c r="AP398" i="76"/>
  <c r="AQ398" i="76" s="1"/>
  <c r="BF398" i="76"/>
  <c r="AZ398" i="76" s="1"/>
  <c r="BC398" i="76"/>
  <c r="AL405" i="76"/>
  <c r="AT405" i="76" s="1"/>
  <c r="AO405" i="76"/>
  <c r="AN405" i="76"/>
  <c r="BA405" i="76"/>
  <c r="AY405" i="76"/>
  <c r="AF413" i="76"/>
  <c r="AE413" i="76"/>
  <c r="AP424" i="76"/>
  <c r="BF424" i="76"/>
  <c r="AZ424" i="76" s="1"/>
  <c r="BC424" i="76" s="1"/>
  <c r="AQ436" i="76"/>
  <c r="AE436" i="76"/>
  <c r="AX436" i="76"/>
  <c r="BD436" i="76" s="1"/>
  <c r="AQ512" i="76"/>
  <c r="AX512" i="76"/>
  <c r="BD512" i="76" s="1"/>
  <c r="AO23" i="76"/>
  <c r="AN23" i="76"/>
  <c r="AV31" i="76" a="1"/>
  <c r="AV31" i="76" s="1"/>
  <c r="AU31" i="76"/>
  <c r="AV39" i="76" a="1"/>
  <c r="AV39" i="76" s="1"/>
  <c r="AU39" i="76"/>
  <c r="AV47" i="76" a="1"/>
  <c r="AV47" i="76" s="1"/>
  <c r="AU47" i="76"/>
  <c r="AV61" i="76" a="1"/>
  <c r="AV61" i="76" s="1"/>
  <c r="AU61" i="76"/>
  <c r="AU90" i="76"/>
  <c r="AV90" i="76" a="1"/>
  <c r="AV90" i="76" s="1"/>
  <c r="AU122" i="76"/>
  <c r="AV122" i="76" a="1"/>
  <c r="AV122" i="76" s="1"/>
  <c r="AU154" i="76"/>
  <c r="AV154" i="76" a="1"/>
  <c r="AV154" i="76" s="1"/>
  <c r="BC175" i="76"/>
  <c r="BF175" i="76"/>
  <c r="AZ175" i="76" s="1"/>
  <c r="AY198" i="76"/>
  <c r="BA198" i="76"/>
  <c r="AV198" i="76" a="1"/>
  <c r="AV198" i="76" s="1"/>
  <c r="AF204" i="76"/>
  <c r="AE204" i="76" s="1"/>
  <c r="BF204" i="76"/>
  <c r="AZ204" i="76" s="1"/>
  <c r="BC204" i="76"/>
  <c r="AY205" i="76"/>
  <c r="AN205" i="76"/>
  <c r="AO205" i="76"/>
  <c r="AP238" i="76"/>
  <c r="BF238" i="76" s="1"/>
  <c r="AZ238" i="76" s="1"/>
  <c r="BC238" i="76" s="1"/>
  <c r="BC253" i="76"/>
  <c r="BF253" i="76"/>
  <c r="AZ253" i="76" s="1"/>
  <c r="AO287" i="76"/>
  <c r="AV287" i="76" a="1"/>
  <c r="AV287" i="76" s="1"/>
  <c r="AV289" i="76" a="1"/>
  <c r="AV289" i="76" s="1"/>
  <c r="BA289" i="76"/>
  <c r="AY289" i="76"/>
  <c r="AU289" i="76"/>
  <c r="AO289" i="76"/>
  <c r="AN289" i="76"/>
  <c r="AP294" i="76"/>
  <c r="AF294" i="76"/>
  <c r="AE294" i="76"/>
  <c r="BF294" i="76"/>
  <c r="AZ294" i="76" s="1"/>
  <c r="BC294" i="76" s="1"/>
  <c r="AE299" i="76"/>
  <c r="AL314" i="76"/>
  <c r="AT314" i="76" s="1"/>
  <c r="AY314" i="76"/>
  <c r="AO314" i="76"/>
  <c r="AN314" i="76"/>
  <c r="AV314" i="76" a="1"/>
  <c r="AV314" i="76" s="1"/>
  <c r="AU314" i="76"/>
  <c r="BC357" i="76"/>
  <c r="AF357" i="76"/>
  <c r="AE357" i="76"/>
  <c r="AV364" i="76" a="1"/>
  <c r="AV364" i="76" s="1"/>
  <c r="AU364" i="76"/>
  <c r="BA364" i="76"/>
  <c r="AN388" i="76"/>
  <c r="BA388" i="76"/>
  <c r="AO388" i="76"/>
  <c r="AU388" i="76"/>
  <c r="AL388" i="76"/>
  <c r="AT388" i="76" s="1"/>
  <c r="BF392" i="76"/>
  <c r="AZ392" i="76" s="1"/>
  <c r="BC392" i="76" s="1"/>
  <c r="AP392" i="76"/>
  <c r="AF392" i="76"/>
  <c r="AE392" i="76"/>
  <c r="AG477" i="76"/>
  <c r="BW477" i="76"/>
  <c r="AK477" i="76" a="1"/>
  <c r="AK477" i="76" s="1"/>
  <c r="BG477" i="76" s="1"/>
  <c r="AM477" i="76"/>
  <c r="AI477" i="76"/>
  <c r="AH477" i="76"/>
  <c r="AV480" i="76" a="1"/>
  <c r="AV480" i="76" s="1"/>
  <c r="AY480" i="76"/>
  <c r="AL480" i="76"/>
  <c r="AT480" i="76" s="1"/>
  <c r="BA480" i="76"/>
  <c r="AO480" i="76"/>
  <c r="AN480" i="76"/>
  <c r="AU480" i="76"/>
  <c r="BW356" i="76"/>
  <c r="AM356" i="76"/>
  <c r="AK356" i="76" a="1"/>
  <c r="AK356" i="76" s="1"/>
  <c r="BG356" i="76" s="1"/>
  <c r="AI356" i="76"/>
  <c r="AH356" i="76"/>
  <c r="AP389" i="76"/>
  <c r="BF389" i="76"/>
  <c r="AZ389" i="76" s="1"/>
  <c r="AF389" i="76"/>
  <c r="AE389" i="76"/>
  <c r="BC389" i="76"/>
  <c r="AO434" i="76"/>
  <c r="AL434" i="76"/>
  <c r="AT434" i="76" s="1"/>
  <c r="BA434" i="76"/>
  <c r="AY434" i="76"/>
  <c r="AV434" i="76" a="1"/>
  <c r="AV434" i="76" s="1"/>
  <c r="AU434" i="76"/>
  <c r="AL511" i="76"/>
  <c r="AT511" i="76" s="1"/>
  <c r="AO511" i="76"/>
  <c r="AY511" i="76"/>
  <c r="AV511" i="76" a="1"/>
  <c r="AV511" i="76" s="1"/>
  <c r="AU511" i="76"/>
  <c r="BA511" i="76"/>
  <c r="AN511" i="76"/>
  <c r="AV42" i="76" a="1"/>
  <c r="AV42" i="76" s="1"/>
  <c r="AU42" i="76"/>
  <c r="AO67" i="76"/>
  <c r="AL67" i="76"/>
  <c r="AT67" i="76" s="1"/>
  <c r="AN67" i="76"/>
  <c r="BC68" i="76"/>
  <c r="AV81" i="76" a="1"/>
  <c r="AV81" i="76" s="1"/>
  <c r="AU81" i="76"/>
  <c r="BC100" i="76"/>
  <c r="AV113" i="76" a="1"/>
  <c r="AV113" i="76" s="1"/>
  <c r="AU113" i="76"/>
  <c r="BF117" i="76"/>
  <c r="AZ117" i="76" s="1"/>
  <c r="BC117" i="76"/>
  <c r="BC132" i="76"/>
  <c r="AV145" i="76" a="1"/>
  <c r="AV145" i="76" s="1"/>
  <c r="AU145" i="76"/>
  <c r="BF149" i="76"/>
  <c r="AZ149" i="76" s="1"/>
  <c r="BC149" i="76"/>
  <c r="AY182" i="76"/>
  <c r="AN182" i="76"/>
  <c r="AO182" i="76"/>
  <c r="AV212" i="76" a="1"/>
  <c r="AV212" i="76" s="1"/>
  <c r="AU212" i="76"/>
  <c r="AO212" i="76"/>
  <c r="AN212" i="76"/>
  <c r="AV220" i="76" a="1"/>
  <c r="AV220" i="76" s="1"/>
  <c r="AU220" i="76"/>
  <c r="BA220" i="76"/>
  <c r="BC237" i="76"/>
  <c r="AF237" i="76"/>
  <c r="AE237" i="76"/>
  <c r="BF237" i="76"/>
  <c r="AZ237" i="76" s="1"/>
  <c r="AP245" i="76"/>
  <c r="BF245" i="76" s="1"/>
  <c r="AZ245" i="76" s="1"/>
  <c r="BC245" i="76" s="1"/>
  <c r="AF245" i="76"/>
  <c r="AE245" i="76"/>
  <c r="AL262" i="76"/>
  <c r="AT262" i="76" s="1"/>
  <c r="AO262" i="76"/>
  <c r="AV262" i="76" a="1"/>
  <c r="AV262" i="76" s="1"/>
  <c r="AU262" i="76"/>
  <c r="AF283" i="76"/>
  <c r="AE283" i="76"/>
  <c r="AG290" i="76"/>
  <c r="AK290" i="76" a="1"/>
  <c r="AK290" i="76" s="1"/>
  <c r="BG290" i="76" s="1"/>
  <c r="AM290" i="76"/>
  <c r="AI290" i="76"/>
  <c r="AH290" i="76"/>
  <c r="AV306" i="76" a="1"/>
  <c r="AV306" i="76" s="1"/>
  <c r="AY306" i="76"/>
  <c r="BA306" i="76"/>
  <c r="AO306" i="76"/>
  <c r="AN306" i="76"/>
  <c r="AL306" i="76"/>
  <c r="AT306" i="76" s="1"/>
  <c r="BF328" i="76"/>
  <c r="AZ328" i="76" s="1"/>
  <c r="BC328" i="76"/>
  <c r="AF328" i="76"/>
  <c r="AK384" i="76" a="1"/>
  <c r="AK384" i="76" s="1"/>
  <c r="AI384" i="76"/>
  <c r="AH384" i="76"/>
  <c r="AG384" i="76"/>
  <c r="AP410" i="76"/>
  <c r="BF410" i="76" s="1"/>
  <c r="AZ410" i="76" s="1"/>
  <c r="BC410" i="76" s="1"/>
  <c r="AF410" i="76"/>
  <c r="AL499" i="76"/>
  <c r="AT499" i="76" s="1"/>
  <c r="AO499" i="76"/>
  <c r="AY499" i="76"/>
  <c r="BA499" i="76"/>
  <c r="AV499" i="76" a="1"/>
  <c r="AV499" i="76" s="1"/>
  <c r="AN499" i="76"/>
  <c r="AV52" i="76" a="1"/>
  <c r="AV52" i="76" s="1"/>
  <c r="AU52" i="76"/>
  <c r="AN94" i="76"/>
  <c r="AL94" i="76"/>
  <c r="AT94" i="76" s="1"/>
  <c r="AV265" i="76" a="1"/>
  <c r="AV265" i="76" s="1"/>
  <c r="AO265" i="76"/>
  <c r="AN265" i="76"/>
  <c r="AL265" i="76"/>
  <c r="AT265" i="76" s="1"/>
  <c r="AL295" i="76"/>
  <c r="AT295" i="76" s="1"/>
  <c r="AO295" i="76"/>
  <c r="AN295" i="76"/>
  <c r="AY295" i="76"/>
  <c r="AV295" i="76" a="1"/>
  <c r="AV295" i="76" s="1"/>
  <c r="AU295" i="76"/>
  <c r="AL42" i="76"/>
  <c r="AT42" i="76" s="1"/>
  <c r="AV54" i="76" a="1"/>
  <c r="AV54" i="76" s="1"/>
  <c r="AU54" i="76"/>
  <c r="AO71" i="76"/>
  <c r="AN71" i="76"/>
  <c r="AL75" i="76"/>
  <c r="AT75" i="76" s="1"/>
  <c r="AL81" i="76"/>
  <c r="AT81" i="76" s="1"/>
  <c r="AO94" i="76"/>
  <c r="AO103" i="76"/>
  <c r="AN103" i="76"/>
  <c r="AL107" i="76"/>
  <c r="AT107" i="76" s="1"/>
  <c r="AL113" i="76"/>
  <c r="AT113" i="76" s="1"/>
  <c r="AX113" i="76" s="1"/>
  <c r="BD113" i="76" s="1"/>
  <c r="AO126" i="76"/>
  <c r="AO135" i="76"/>
  <c r="AN135" i="76"/>
  <c r="AL139" i="76"/>
  <c r="AT139" i="76" s="1"/>
  <c r="AL145" i="76"/>
  <c r="AT145" i="76" s="1"/>
  <c r="BA167" i="76"/>
  <c r="AO167" i="76"/>
  <c r="AN167" i="76"/>
  <c r="AE172" i="76"/>
  <c r="BF172" i="76"/>
  <c r="AZ172" i="76" s="1"/>
  <c r="BC172" i="76"/>
  <c r="AO179" i="76"/>
  <c r="AL179" i="76"/>
  <c r="AT179" i="76" s="1"/>
  <c r="AN179" i="76"/>
  <c r="AL182" i="76"/>
  <c r="AT182" i="76" s="1"/>
  <c r="AN185" i="76"/>
  <c r="AO185" i="76"/>
  <c r="AN208" i="76"/>
  <c r="AL212" i="76"/>
  <c r="AT212" i="76" s="1"/>
  <c r="AL220" i="76"/>
  <c r="AT220" i="76" s="1"/>
  <c r="AE226" i="76"/>
  <c r="BF226" i="76"/>
  <c r="AZ226" i="76" s="1"/>
  <c r="BC226" i="76" s="1"/>
  <c r="AF226" i="76"/>
  <c r="AL227" i="76"/>
  <c r="AT227" i="76" s="1"/>
  <c r="AU227" i="76"/>
  <c r="AO248" i="76"/>
  <c r="AU248" i="76"/>
  <c r="AY248" i="76"/>
  <c r="AN255" i="76"/>
  <c r="AY255" i="76"/>
  <c r="AE266" i="76"/>
  <c r="BF266" i="76"/>
  <c r="AZ266" i="76" s="1"/>
  <c r="BC266" i="76" s="1"/>
  <c r="BA295" i="76"/>
  <c r="AU306" i="76"/>
  <c r="AY310" i="76"/>
  <c r="AO310" i="76"/>
  <c r="AV310" i="76" a="1"/>
  <c r="AV310" i="76" s="1"/>
  <c r="AU310" i="76"/>
  <c r="AN310" i="76"/>
  <c r="AF322" i="76"/>
  <c r="AE322" i="76" s="1"/>
  <c r="BF322" i="76"/>
  <c r="AZ322" i="76" s="1"/>
  <c r="BC322" i="76" s="1"/>
  <c r="AP323" i="76"/>
  <c r="BF323" i="76" s="1"/>
  <c r="AZ323" i="76" s="1"/>
  <c r="BC323" i="76" s="1"/>
  <c r="AU341" i="76"/>
  <c r="AY341" i="76"/>
  <c r="BA341" i="76"/>
  <c r="AO341" i="76"/>
  <c r="AN341" i="76"/>
  <c r="AG371" i="76"/>
  <c r="AE408" i="76"/>
  <c r="BA409" i="76"/>
  <c r="AY409" i="76"/>
  <c r="AV409" i="76" a="1"/>
  <c r="AV409" i="76" s="1"/>
  <c r="AL409" i="76"/>
  <c r="AT409" i="76" s="1"/>
  <c r="AP413" i="76"/>
  <c r="BF413" i="76" s="1"/>
  <c r="AZ413" i="76" s="1"/>
  <c r="BC413" i="76" s="1"/>
  <c r="AL443" i="76"/>
  <c r="AT443" i="76" s="1"/>
  <c r="AY443" i="76"/>
  <c r="AU443" i="76"/>
  <c r="AO443" i="76"/>
  <c r="BA443" i="76"/>
  <c r="BF458" i="76"/>
  <c r="AZ458" i="76" s="1"/>
  <c r="BC458" i="76"/>
  <c r="AF491" i="76"/>
  <c r="AP491" i="76"/>
  <c r="BF491" i="76" s="1"/>
  <c r="AZ491" i="76" s="1"/>
  <c r="BC491" i="76" s="1"/>
  <c r="AL493" i="76"/>
  <c r="AT493" i="76" s="1"/>
  <c r="AO493" i="76"/>
  <c r="AY493" i="76"/>
  <c r="BA493" i="76"/>
  <c r="AV493" i="76" a="1"/>
  <c r="AV493" i="76" s="1"/>
  <c r="AU493" i="76"/>
  <c r="AN493" i="76"/>
  <c r="AV500" i="76" a="1"/>
  <c r="AV500" i="76" s="1"/>
  <c r="AU500" i="76"/>
  <c r="BA500" i="76"/>
  <c r="AO500" i="76"/>
  <c r="AF521" i="76"/>
  <c r="AP521" i="76"/>
  <c r="BF521" i="76"/>
  <c r="AZ521" i="76" s="1"/>
  <c r="BC521" i="76" s="1"/>
  <c r="AI355" i="76"/>
  <c r="AH355" i="76"/>
  <c r="AM355" i="76"/>
  <c r="BF365" i="76"/>
  <c r="AZ365" i="76" s="1"/>
  <c r="BC365" i="76" s="1"/>
  <c r="AF365" i="76"/>
  <c r="AE365" i="76"/>
  <c r="AN417" i="76"/>
  <c r="BA417" i="76"/>
  <c r="AO417" i="76"/>
  <c r="AL417" i="76"/>
  <c r="AT417" i="76" s="1"/>
  <c r="AU417" i="76"/>
  <c r="AV417" i="76" a="1"/>
  <c r="AV417" i="76" s="1"/>
  <c r="AX458" i="76"/>
  <c r="BD458" i="76" s="1"/>
  <c r="AQ458" i="76"/>
  <c r="BC465" i="76"/>
  <c r="AF465" i="76"/>
  <c r="AE465" i="76"/>
  <c r="BF465" i="76"/>
  <c r="AZ465" i="76" s="1"/>
  <c r="AV34" i="76" a="1"/>
  <c r="AV34" i="76" s="1"/>
  <c r="AU34" i="76"/>
  <c r="AV59" i="76" a="1"/>
  <c r="AV59" i="76" s="1"/>
  <c r="AU59" i="76"/>
  <c r="BF85" i="76"/>
  <c r="AZ85" i="76" s="1"/>
  <c r="BC85" i="76" s="1"/>
  <c r="BC164" i="76"/>
  <c r="AP178" i="76"/>
  <c r="BF178" i="76"/>
  <c r="AZ178" i="76" s="1"/>
  <c r="BC178" i="76"/>
  <c r="AO194" i="76"/>
  <c r="AU194" i="76"/>
  <c r="AN194" i="76"/>
  <c r="AV304" i="76" a="1"/>
  <c r="AV304" i="76" s="1"/>
  <c r="AU304" i="76"/>
  <c r="AN304" i="76"/>
  <c r="BA304" i="76"/>
  <c r="AL304" i="76"/>
  <c r="AT304" i="76" s="1"/>
  <c r="AI387" i="76"/>
  <c r="BW387" i="76"/>
  <c r="AK387" i="76" a="1"/>
  <c r="AK387" i="76" s="1"/>
  <c r="BG387" i="76" s="1"/>
  <c r="AH387" i="76"/>
  <c r="AM387" i="76"/>
  <c r="AE452" i="76"/>
  <c r="AQ506" i="76"/>
  <c r="AX506" i="76"/>
  <c r="BD506" i="76" s="1"/>
  <c r="AN158" i="76"/>
  <c r="AL158" i="76"/>
  <c r="AT158" i="76" s="1"/>
  <c r="AY213" i="76"/>
  <c r="BA213" i="76"/>
  <c r="AV267" i="76" a="1"/>
  <c r="AV267" i="76" s="1"/>
  <c r="BA267" i="76"/>
  <c r="AL26" i="76"/>
  <c r="AT26" i="76" s="1"/>
  <c r="AV28" i="76" a="1"/>
  <c r="AV28" i="76" s="1"/>
  <c r="AU28" i="76"/>
  <c r="AV36" i="76" a="1"/>
  <c r="AV36" i="76" s="1"/>
  <c r="AU36" i="76"/>
  <c r="AV44" i="76" a="1"/>
  <c r="AV44" i="76" s="1"/>
  <c r="AU44" i="76"/>
  <c r="AL52" i="76"/>
  <c r="AT52" i="76" s="1"/>
  <c r="AV63" i="76" a="1"/>
  <c r="AV63" i="76" s="1"/>
  <c r="AU63" i="76"/>
  <c r="AV73" i="76" a="1"/>
  <c r="AV73" i="76" s="1"/>
  <c r="AU73" i="76"/>
  <c r="BF77" i="76"/>
  <c r="AZ77" i="76" s="1"/>
  <c r="BC77" i="76" s="1"/>
  <c r="BC92" i="76"/>
  <c r="AV105" i="76" a="1"/>
  <c r="AV105" i="76" s="1"/>
  <c r="AU105" i="76"/>
  <c r="BF109" i="76"/>
  <c r="AZ109" i="76" s="1"/>
  <c r="BC109" i="76"/>
  <c r="BC124" i="76"/>
  <c r="AV137" i="76" a="1"/>
  <c r="AV137" i="76" s="1"/>
  <c r="AU137" i="76"/>
  <c r="BF141" i="76"/>
  <c r="AZ141" i="76" s="1"/>
  <c r="BC141" i="76"/>
  <c r="BC156" i="76"/>
  <c r="AO170" i="76"/>
  <c r="AN170" i="76"/>
  <c r="AL188" i="76"/>
  <c r="AT188" i="76" s="1"/>
  <c r="AL201" i="76"/>
  <c r="AT201" i="76" s="1"/>
  <c r="AO208" i="76"/>
  <c r="AL213" i="76"/>
  <c r="AT213" i="76" s="1"/>
  <c r="AV221" i="76" a="1"/>
  <c r="AV221" i="76" s="1"/>
  <c r="AO221" i="76"/>
  <c r="AN221" i="76"/>
  <c r="AO240" i="76"/>
  <c r="AY240" i="76"/>
  <c r="BA240" i="76"/>
  <c r="AY262" i="76"/>
  <c r="AU265" i="76"/>
  <c r="AL267" i="76"/>
  <c r="AT267" i="76" s="1"/>
  <c r="AP285" i="76"/>
  <c r="AQ285" i="76" s="1"/>
  <c r="AL292" i="76"/>
  <c r="AT292" i="76" s="1"/>
  <c r="AO292" i="76"/>
  <c r="BA292" i="76"/>
  <c r="AY292" i="76"/>
  <c r="AN332" i="76"/>
  <c r="AV335" i="76" a="1"/>
  <c r="AV335" i="76" s="1"/>
  <c r="AY335" i="76"/>
  <c r="BA335" i="76"/>
  <c r="AL335" i="76"/>
  <c r="AT335" i="76" s="1"/>
  <c r="AY361" i="76"/>
  <c r="AU361" i="76"/>
  <c r="AV361" i="76" a="1"/>
  <c r="AV361" i="76" s="1"/>
  <c r="AO361" i="76"/>
  <c r="AN361" i="76"/>
  <c r="AH371" i="76"/>
  <c r="AN372" i="76"/>
  <c r="AV372" i="76" a="1"/>
  <c r="AV372" i="76" s="1"/>
  <c r="AO372" i="76"/>
  <c r="AL372" i="76"/>
  <c r="AT372" i="76" s="1"/>
  <c r="AY372" i="76"/>
  <c r="AU372" i="76"/>
  <c r="AL378" i="76"/>
  <c r="AT378" i="76" s="1"/>
  <c r="AY378" i="76"/>
  <c r="BA378" i="76"/>
  <c r="AV378" i="76" a="1"/>
  <c r="AV378" i="76" s="1"/>
  <c r="AO378" i="76"/>
  <c r="AN378" i="76"/>
  <c r="AU378" i="76"/>
  <c r="AU418" i="76"/>
  <c r="AO418" i="76"/>
  <c r="AN418" i="76"/>
  <c r="BA418" i="76"/>
  <c r="AV426" i="76" a="1"/>
  <c r="AV426" i="76" s="1"/>
  <c r="AO426" i="76"/>
  <c r="AU426" i="76"/>
  <c r="AN426" i="76"/>
  <c r="AL426" i="76"/>
  <c r="AT426" i="76" s="1"/>
  <c r="BA431" i="76"/>
  <c r="AU431" i="76"/>
  <c r="AL431" i="76"/>
  <c r="AT431" i="76" s="1"/>
  <c r="AV431" i="76" a="1"/>
  <c r="AV431" i="76" s="1"/>
  <c r="AO431" i="76"/>
  <c r="AN431" i="76"/>
  <c r="AY431" i="76"/>
  <c r="AN443" i="76"/>
  <c r="BF445" i="76"/>
  <c r="AZ445" i="76" s="1"/>
  <c r="BC445" i="76" s="1"/>
  <c r="AF445" i="76"/>
  <c r="AY455" i="76"/>
  <c r="BA455" i="76"/>
  <c r="AO455" i="76"/>
  <c r="AL455" i="76"/>
  <c r="AT455" i="76" s="1"/>
  <c r="AU455" i="76"/>
  <c r="AN455" i="76"/>
  <c r="AE512" i="76"/>
  <c r="BF512" i="76"/>
  <c r="AZ512" i="76" s="1"/>
  <c r="BC512" i="76" s="1"/>
  <c r="BA85" i="76"/>
  <c r="BA93" i="76"/>
  <c r="BA117" i="76"/>
  <c r="BA149" i="76"/>
  <c r="BA157" i="76"/>
  <c r="AY252" i="76"/>
  <c r="BA252" i="76"/>
  <c r="AO317" i="76"/>
  <c r="AN317" i="76"/>
  <c r="AV317" i="76" a="1"/>
  <c r="AV317" i="76" s="1"/>
  <c r="AU317" i="76"/>
  <c r="AE400" i="76"/>
  <c r="AX400" i="76"/>
  <c r="BD400" i="76" s="1"/>
  <c r="AO495" i="76"/>
  <c r="AY495" i="76"/>
  <c r="BA495" i="76"/>
  <c r="AU495" i="76"/>
  <c r="AN495" i="76"/>
  <c r="AY65" i="76"/>
  <c r="BC169" i="76"/>
  <c r="AV196" i="76" a="1"/>
  <c r="AV196" i="76" s="1"/>
  <c r="AU196" i="76"/>
  <c r="AO218" i="76"/>
  <c r="AN218" i="76"/>
  <c r="AV234" i="76" a="1"/>
  <c r="AV234" i="76" s="1"/>
  <c r="AY234" i="76"/>
  <c r="AO257" i="76"/>
  <c r="AN257" i="76"/>
  <c r="AN263" i="76"/>
  <c r="AL263" i="76"/>
  <c r="AT263" i="76" s="1"/>
  <c r="AY263" i="76"/>
  <c r="AL317" i="76"/>
  <c r="AT317" i="76" s="1"/>
  <c r="BA349" i="76"/>
  <c r="AO349" i="76"/>
  <c r="AN349" i="76"/>
  <c r="AL349" i="76"/>
  <c r="AT349" i="76" s="1"/>
  <c r="AF351" i="76"/>
  <c r="AE351" i="76"/>
  <c r="BC351" i="76"/>
  <c r="BF359" i="76"/>
  <c r="AZ359" i="76" s="1"/>
  <c r="BC359" i="76"/>
  <c r="AF359" i="76"/>
  <c r="AK381" i="76" a="1"/>
  <c r="AK381" i="76" s="1"/>
  <c r="AI381" i="76"/>
  <c r="BW381" i="76"/>
  <c r="AH381" i="76"/>
  <c r="AO382" i="76"/>
  <c r="BA382" i="76"/>
  <c r="AN382" i="76"/>
  <c r="AP435" i="76"/>
  <c r="BF435" i="76" s="1"/>
  <c r="AZ435" i="76" s="1"/>
  <c r="BC435" i="76" s="1"/>
  <c r="AF435" i="76"/>
  <c r="AE435" i="76" s="1"/>
  <c r="AP454" i="76"/>
  <c r="AQ454" i="76" s="1"/>
  <c r="BF454" i="76"/>
  <c r="AZ454" i="76" s="1"/>
  <c r="BC454" i="76" s="1"/>
  <c r="AL463" i="76"/>
  <c r="AT463" i="76" s="1"/>
  <c r="AY463" i="76"/>
  <c r="AV463" i="76" a="1"/>
  <c r="AV463" i="76" s="1"/>
  <c r="AU463" i="76"/>
  <c r="AO463" i="76"/>
  <c r="AN463" i="76"/>
  <c r="AP497" i="76"/>
  <c r="BF497" i="76" s="1"/>
  <c r="AZ497" i="76" s="1"/>
  <c r="BC497" i="76" s="1"/>
  <c r="AF497" i="76"/>
  <c r="AE497" i="76"/>
  <c r="AV502" i="76" a="1"/>
  <c r="AV502" i="76" s="1"/>
  <c r="AY502" i="76"/>
  <c r="BA502" i="76"/>
  <c r="AO502" i="76"/>
  <c r="AN502" i="76"/>
  <c r="AU502" i="76"/>
  <c r="AP540" i="76"/>
  <c r="BF540" i="76" s="1"/>
  <c r="AZ540" i="76" s="1"/>
  <c r="BC540" i="76" s="1"/>
  <c r="AE540" i="76"/>
  <c r="AF540" i="76"/>
  <c r="AN547" i="76"/>
  <c r="AL547" i="76"/>
  <c r="AT547" i="76" s="1"/>
  <c r="AV547" i="76" a="1"/>
  <c r="AV547" i="76" s="1"/>
  <c r="AU547" i="76"/>
  <c r="BA547" i="76"/>
  <c r="AO547" i="76"/>
  <c r="AY547" i="76"/>
  <c r="BA101" i="76"/>
  <c r="BA109" i="76"/>
  <c r="BA125" i="76"/>
  <c r="BA133" i="76"/>
  <c r="BA141" i="76"/>
  <c r="AY377" i="76"/>
  <c r="AO377" i="76"/>
  <c r="AN377" i="76"/>
  <c r="AL377" i="76"/>
  <c r="AT377" i="76" s="1"/>
  <c r="AP411" i="76"/>
  <c r="BF411" i="76" s="1"/>
  <c r="AZ411" i="76" s="1"/>
  <c r="BC411" i="76"/>
  <c r="AF411" i="76"/>
  <c r="AN444" i="76"/>
  <c r="AO444" i="76"/>
  <c r="AL444" i="76"/>
  <c r="AT444" i="76" s="1"/>
  <c r="AV444" i="76" a="1"/>
  <c r="AV444" i="76" s="1"/>
  <c r="AU530" i="76"/>
  <c r="AO530" i="76"/>
  <c r="AV530" i="76" a="1"/>
  <c r="AV530" i="76" s="1"/>
  <c r="AN530" i="76"/>
  <c r="AY530" i="76"/>
  <c r="AL530" i="76"/>
  <c r="AT530" i="76" s="1"/>
  <c r="AQ539" i="76"/>
  <c r="AE539" i="76"/>
  <c r="AX539" i="76"/>
  <c r="BD539" i="76" s="1"/>
  <c r="AV172" i="76" a="1"/>
  <c r="AV172" i="76" s="1"/>
  <c r="AU172" i="76"/>
  <c r="BC207" i="76"/>
  <c r="AO228" i="76"/>
  <c r="AN228" i="76"/>
  <c r="AL230" i="76"/>
  <c r="AT230" i="76" s="1"/>
  <c r="AY230" i="76"/>
  <c r="AO232" i="76"/>
  <c r="AN232" i="76"/>
  <c r="BF241" i="76"/>
  <c r="AZ241" i="76" s="1"/>
  <c r="BC241" i="76"/>
  <c r="AO280" i="76"/>
  <c r="AN280" i="76"/>
  <c r="BF290" i="76"/>
  <c r="AZ290" i="76" s="1"/>
  <c r="BC290" i="76" s="1"/>
  <c r="AO315" i="76"/>
  <c r="AN315" i="76"/>
  <c r="AV315" i="76" a="1"/>
  <c r="AV315" i="76" s="1"/>
  <c r="AU315" i="76"/>
  <c r="AI326" i="76"/>
  <c r="AH326" i="76"/>
  <c r="AK326" i="76" a="1"/>
  <c r="AK326" i="76" s="1"/>
  <c r="BG326" i="76" s="1"/>
  <c r="AF338" i="76"/>
  <c r="AO348" i="76"/>
  <c r="AY348" i="76"/>
  <c r="AV348" i="76" a="1"/>
  <c r="AV348" i="76" s="1"/>
  <c r="AN348" i="76"/>
  <c r="AL348" i="76"/>
  <c r="AT348" i="76" s="1"/>
  <c r="AP350" i="76"/>
  <c r="AO369" i="76"/>
  <c r="AN369" i="76"/>
  <c r="AL369" i="76"/>
  <c r="AT369" i="76" s="1"/>
  <c r="AV369" i="76" a="1"/>
  <c r="AV369" i="76" s="1"/>
  <c r="AQ381" i="76"/>
  <c r="AP387" i="76"/>
  <c r="BF387" i="76"/>
  <c r="AZ387" i="76" s="1"/>
  <c r="BC387" i="76" s="1"/>
  <c r="AF422" i="76"/>
  <c r="AE422" i="76"/>
  <c r="BF422" i="76"/>
  <c r="AZ422" i="76" s="1"/>
  <c r="BC422" i="76" s="1"/>
  <c r="AE457" i="76"/>
  <c r="AP457" i="76"/>
  <c r="AN471" i="76"/>
  <c r="AU471" i="76"/>
  <c r="AO471" i="76"/>
  <c r="AL471" i="76"/>
  <c r="AT471" i="76" s="1"/>
  <c r="BA471" i="76"/>
  <c r="AY471" i="76"/>
  <c r="AX494" i="76"/>
  <c r="BD494" i="76" s="1"/>
  <c r="AL495" i="76"/>
  <c r="AT495" i="76" s="1"/>
  <c r="AV518" i="76" a="1"/>
  <c r="AV518" i="76" s="1"/>
  <c r="AO518" i="76"/>
  <c r="AN518" i="76"/>
  <c r="AL518" i="76"/>
  <c r="AT518" i="76" s="1"/>
  <c r="AY518" i="76"/>
  <c r="BA69" i="76"/>
  <c r="BA77" i="76"/>
  <c r="BA165" i="76"/>
  <c r="BC191" i="76"/>
  <c r="AO209" i="76"/>
  <c r="AN209" i="76"/>
  <c r="AY244" i="76"/>
  <c r="AL244" i="76"/>
  <c r="AT244" i="76" s="1"/>
  <c r="AX244" i="76" s="1"/>
  <c r="BD244" i="76" s="1"/>
  <c r="AV283" i="76" a="1"/>
  <c r="AV283" i="76" s="1"/>
  <c r="AY283" i="76"/>
  <c r="AU283" i="76"/>
  <c r="AV395" i="76" a="1"/>
  <c r="AV395" i="76" s="1"/>
  <c r="AU395" i="76"/>
  <c r="BA395" i="76"/>
  <c r="AY395" i="76"/>
  <c r="AO466" i="76"/>
  <c r="AN466" i="76"/>
  <c r="BA466" i="76"/>
  <c r="AY466" i="76"/>
  <c r="AL190" i="76"/>
  <c r="AT190" i="76" s="1"/>
  <c r="AL202" i="76"/>
  <c r="AT202" i="76" s="1"/>
  <c r="AV204" i="76" a="1"/>
  <c r="AV204" i="76" s="1"/>
  <c r="AU204" i="76"/>
  <c r="AL209" i="76"/>
  <c r="AT209" i="76" s="1"/>
  <c r="AN216" i="76"/>
  <c r="AV226" i="76" a="1"/>
  <c r="AV226" i="76" s="1"/>
  <c r="BA226" i="76"/>
  <c r="AY226" i="76"/>
  <c r="AO244" i="76"/>
  <c r="BF247" i="76"/>
  <c r="AZ247" i="76" s="1"/>
  <c r="BC247" i="76" s="1"/>
  <c r="AL249" i="76"/>
  <c r="AT249" i="76" s="1"/>
  <c r="AL252" i="76"/>
  <c r="AT252" i="76" s="1"/>
  <c r="AN254" i="76"/>
  <c r="AL283" i="76"/>
  <c r="AT283" i="76" s="1"/>
  <c r="BW326" i="76"/>
  <c r="AE339" i="76"/>
  <c r="AP339" i="76"/>
  <c r="BF339" i="76"/>
  <c r="AZ339" i="76" s="1"/>
  <c r="BC339" i="76" s="1"/>
  <c r="AU349" i="76"/>
  <c r="AP351" i="76"/>
  <c r="BF351" i="76" s="1"/>
  <c r="AZ351" i="76" s="1"/>
  <c r="AP355" i="76"/>
  <c r="AP359" i="76"/>
  <c r="AG381" i="76"/>
  <c r="BF394" i="76"/>
  <c r="AZ394" i="76" s="1"/>
  <c r="BC394" i="76"/>
  <c r="AF394" i="76"/>
  <c r="AL395" i="76"/>
  <c r="AT395" i="76" s="1"/>
  <c r="AN401" i="76"/>
  <c r="BA401" i="76"/>
  <c r="AV401" i="76" a="1"/>
  <c r="AV401" i="76" s="1"/>
  <c r="AU401" i="76"/>
  <c r="AY401" i="76"/>
  <c r="BF415" i="76"/>
  <c r="AZ415" i="76" s="1"/>
  <c r="BC415" i="76" s="1"/>
  <c r="AF415" i="76"/>
  <c r="AE415" i="76" s="1"/>
  <c r="AP416" i="76"/>
  <c r="BF416" i="76"/>
  <c r="AZ416" i="76" s="1"/>
  <c r="AF416" i="76"/>
  <c r="BC416" i="76"/>
  <c r="AE416" i="76"/>
  <c r="AL439" i="76"/>
  <c r="AT439" i="76" s="1"/>
  <c r="AO439" i="76"/>
  <c r="AV439" i="76" a="1"/>
  <c r="AV439" i="76" s="1"/>
  <c r="AN439" i="76"/>
  <c r="AU444" i="76"/>
  <c r="AL466" i="76"/>
  <c r="AT466" i="76" s="1"/>
  <c r="AV471" i="76" a="1"/>
  <c r="AV471" i="76" s="1"/>
  <c r="AO482" i="76"/>
  <c r="AY482" i="76"/>
  <c r="AV482" i="76" a="1"/>
  <c r="AV482" i="76" s="1"/>
  <c r="AU482" i="76"/>
  <c r="AN482" i="76"/>
  <c r="AL502" i="76"/>
  <c r="AT502" i="76" s="1"/>
  <c r="AY515" i="76"/>
  <c r="AN515" i="76"/>
  <c r="BA515" i="76"/>
  <c r="AO515" i="76"/>
  <c r="AU515" i="76"/>
  <c r="AV515" i="76" a="1"/>
  <c r="AV515" i="76" s="1"/>
  <c r="AL515" i="76"/>
  <c r="AT515" i="76" s="1"/>
  <c r="AQ532" i="76"/>
  <c r="AE532" i="76"/>
  <c r="AY206" i="76"/>
  <c r="AV250" i="76" a="1"/>
  <c r="AV250" i="76" s="1"/>
  <c r="AU250" i="76"/>
  <c r="BF326" i="76"/>
  <c r="AZ326" i="76" s="1"/>
  <c r="BC326" i="76" s="1"/>
  <c r="AL327" i="76"/>
  <c r="AT327" i="76" s="1"/>
  <c r="AU327" i="76"/>
  <c r="AN327" i="76"/>
  <c r="BW330" i="76"/>
  <c r="AK330" i="76" a="1"/>
  <c r="AK330" i="76" s="1"/>
  <c r="BG330" i="76" s="1"/>
  <c r="AM330" i="76"/>
  <c r="AP336" i="76"/>
  <c r="BF336" i="76" s="1"/>
  <c r="AZ336" i="76" s="1"/>
  <c r="BC336" i="76" s="1"/>
  <c r="AV338" i="76" a="1"/>
  <c r="AV338" i="76" s="1"/>
  <c r="AU338" i="76"/>
  <c r="AL338" i="76"/>
  <c r="AT338" i="76" s="1"/>
  <c r="BA338" i="76"/>
  <c r="AY338" i="76"/>
  <c r="AP347" i="76"/>
  <c r="BF347" i="76"/>
  <c r="AZ347" i="76" s="1"/>
  <c r="BC347" i="76" s="1"/>
  <c r="AF347" i="76"/>
  <c r="AL375" i="76"/>
  <c r="AT375" i="76" s="1"/>
  <c r="AO375" i="76"/>
  <c r="AN375" i="76"/>
  <c r="AP381" i="76"/>
  <c r="BF381" i="76" s="1"/>
  <c r="AZ381" i="76" s="1"/>
  <c r="BC381" i="76" s="1"/>
  <c r="AP384" i="76"/>
  <c r="BF384" i="76" s="1"/>
  <c r="AZ384" i="76" s="1"/>
  <c r="BC384" i="76" s="1"/>
  <c r="AI419" i="76"/>
  <c r="AH419" i="76"/>
  <c r="AK419" i="76" a="1"/>
  <c r="AK419" i="76" s="1"/>
  <c r="BG419" i="76" s="1"/>
  <c r="AM419" i="76"/>
  <c r="AY422" i="76"/>
  <c r="AU422" i="76"/>
  <c r="AV422" i="76" a="1"/>
  <c r="AV422" i="76" s="1"/>
  <c r="AL425" i="76"/>
  <c r="AT425" i="76" s="1"/>
  <c r="AY425" i="76"/>
  <c r="AV425" i="76" a="1"/>
  <c r="AV425" i="76" s="1"/>
  <c r="AV440" i="76" a="1"/>
  <c r="AV440" i="76" s="1"/>
  <c r="AU440" i="76"/>
  <c r="AO440" i="76"/>
  <c r="BA440" i="76"/>
  <c r="AY440" i="76"/>
  <c r="AN440" i="76"/>
  <c r="AF478" i="76"/>
  <c r="AE478" i="76"/>
  <c r="BF478" i="76"/>
  <c r="AZ478" i="76" s="1"/>
  <c r="BC478" i="76" s="1"/>
  <c r="AM488" i="76"/>
  <c r="AI488" i="76"/>
  <c r="AK488" i="76" a="1"/>
  <c r="AK488" i="76" s="1"/>
  <c r="BG488" i="76" s="1"/>
  <c r="AH488" i="76"/>
  <c r="AG488" i="76"/>
  <c r="AO516" i="76"/>
  <c r="AN516" i="76"/>
  <c r="AV516" i="76" a="1"/>
  <c r="AV516" i="76" s="1"/>
  <c r="AL516" i="76"/>
  <c r="AT516" i="76" s="1"/>
  <c r="AY516" i="76"/>
  <c r="AL543" i="76"/>
  <c r="AT543" i="76" s="1"/>
  <c r="AO543" i="76"/>
  <c r="AN543" i="76"/>
  <c r="AY543" i="76"/>
  <c r="BA543" i="76"/>
  <c r="BA222" i="76"/>
  <c r="AV266" i="76" a="1"/>
  <c r="AV266" i="76" s="1"/>
  <c r="AU266" i="76"/>
  <c r="AN293" i="76"/>
  <c r="AV293" i="76" a="1"/>
  <c r="AV293" i="76" s="1"/>
  <c r="AO293" i="76"/>
  <c r="AL293" i="76"/>
  <c r="AT293" i="76" s="1"/>
  <c r="AX308" i="76"/>
  <c r="BD308" i="76" s="1"/>
  <c r="AP318" i="76"/>
  <c r="BF318" i="76" s="1"/>
  <c r="AZ318" i="76" s="1"/>
  <c r="BC318" i="76"/>
  <c r="AO327" i="76"/>
  <c r="AY329" i="76"/>
  <c r="AU329" i="76"/>
  <c r="AV329" i="76" a="1"/>
  <c r="AV329" i="76" s="1"/>
  <c r="AQ352" i="76"/>
  <c r="AY358" i="76"/>
  <c r="AU358" i="76"/>
  <c r="AO358" i="76"/>
  <c r="AF376" i="76"/>
  <c r="AE376" i="76"/>
  <c r="BW419" i="76"/>
  <c r="AN469" i="76"/>
  <c r="AV469" i="76" a="1"/>
  <c r="AV469" i="76" s="1"/>
  <c r="AU469" i="76"/>
  <c r="BA469" i="76"/>
  <c r="AN286" i="76"/>
  <c r="AL286" i="76"/>
  <c r="AT286" i="76" s="1"/>
  <c r="AV288" i="76" a="1"/>
  <c r="AV288" i="76" s="1"/>
  <c r="AU288" i="76"/>
  <c r="BF386" i="76"/>
  <c r="AZ386" i="76" s="1"/>
  <c r="BC386" i="76" s="1"/>
  <c r="AF386" i="76"/>
  <c r="AF450" i="76"/>
  <c r="BF450" i="76"/>
  <c r="AZ450" i="76" s="1"/>
  <c r="BC450" i="76" s="1"/>
  <c r="AL459" i="76"/>
  <c r="AT459" i="76" s="1"/>
  <c r="AV459" i="76" a="1"/>
  <c r="AV459" i="76" s="1"/>
  <c r="AU459" i="76"/>
  <c r="AF485" i="76"/>
  <c r="BF485" i="76"/>
  <c r="AZ485" i="76" s="1"/>
  <c r="BC485" i="76" s="1"/>
  <c r="AY260" i="76"/>
  <c r="AO318" i="76"/>
  <c r="BA318" i="76"/>
  <c r="AO321" i="76"/>
  <c r="AN321" i="76"/>
  <c r="AL343" i="76"/>
  <c r="AT343" i="76" s="1"/>
  <c r="AY343" i="76"/>
  <c r="AP352" i="76"/>
  <c r="AO353" i="76"/>
  <c r="AN353" i="76"/>
  <c r="BA353" i="76"/>
  <c r="AV367" i="76" a="1"/>
  <c r="AV367" i="76" s="1"/>
  <c r="AL367" i="76"/>
  <c r="AT367" i="76" s="1"/>
  <c r="AO385" i="76"/>
  <c r="AN385" i="76"/>
  <c r="AU389" i="76"/>
  <c r="AO389" i="76"/>
  <c r="AY404" i="76"/>
  <c r="AV404" i="76" a="1"/>
  <c r="AV404" i="76" s="1"/>
  <c r="AP427" i="76"/>
  <c r="BF427" i="76"/>
  <c r="AZ427" i="76" s="1"/>
  <c r="BC427" i="76" s="1"/>
  <c r="AO429" i="76"/>
  <c r="AN429" i="76"/>
  <c r="AV429" i="76" a="1"/>
  <c r="AV429" i="76" s="1"/>
  <c r="AU429" i="76"/>
  <c r="AY442" i="76"/>
  <c r="BA442" i="76"/>
  <c r="AO442" i="76"/>
  <c r="AN442" i="76"/>
  <c r="AO450" i="76"/>
  <c r="AY450" i="76"/>
  <c r="BA450" i="76"/>
  <c r="AV450" i="76" a="1"/>
  <c r="AV450" i="76" s="1"/>
  <c r="AU450" i="76"/>
  <c r="AN473" i="76"/>
  <c r="AV473" i="76" a="1"/>
  <c r="AV473" i="76" s="1"/>
  <c r="AU473" i="76"/>
  <c r="AO473" i="76"/>
  <c r="AL473" i="76"/>
  <c r="AT473" i="76" s="1"/>
  <c r="AN481" i="76"/>
  <c r="BA481" i="76"/>
  <c r="AV481" i="76" a="1"/>
  <c r="AV481" i="76" s="1"/>
  <c r="AO481" i="76"/>
  <c r="AF498" i="76"/>
  <c r="BF498" i="76"/>
  <c r="AZ498" i="76" s="1"/>
  <c r="BC498" i="76" s="1"/>
  <c r="AE498" i="76"/>
  <c r="AF297" i="76"/>
  <c r="BC297" i="76"/>
  <c r="BC299" i="76"/>
  <c r="AL311" i="76"/>
  <c r="AT311" i="76" s="1"/>
  <c r="AO311" i="76"/>
  <c r="AN311" i="76"/>
  <c r="BF330" i="76"/>
  <c r="AZ330" i="76" s="1"/>
  <c r="BC330" i="76" s="1"/>
  <c r="AO337" i="76"/>
  <c r="AN337" i="76"/>
  <c r="AO398" i="76"/>
  <c r="AL398" i="76"/>
  <c r="AT398" i="76" s="1"/>
  <c r="AX398" i="76" s="1"/>
  <c r="BD398" i="76" s="1"/>
  <c r="AV412" i="76" a="1"/>
  <c r="AV412" i="76" s="1"/>
  <c r="BA412" i="76"/>
  <c r="AL429" i="76"/>
  <c r="AT429" i="76" s="1"/>
  <c r="AP441" i="76"/>
  <c r="BF441" i="76" s="1"/>
  <c r="AZ441" i="76" s="1"/>
  <c r="BC441" i="76" s="1"/>
  <c r="AL442" i="76"/>
  <c r="AT442" i="76" s="1"/>
  <c r="AE468" i="76"/>
  <c r="AL481" i="76"/>
  <c r="AT481" i="76" s="1"/>
  <c r="AV521" i="76" a="1"/>
  <c r="AV521" i="76" s="1"/>
  <c r="AU521" i="76"/>
  <c r="BA521" i="76"/>
  <c r="AY521" i="76"/>
  <c r="AO521" i="76"/>
  <c r="BF522" i="76"/>
  <c r="AZ522" i="76" s="1"/>
  <c r="BC522" i="76" s="1"/>
  <c r="AQ522" i="76"/>
  <c r="AH544" i="76"/>
  <c r="AG544" i="76"/>
  <c r="AI544" i="76"/>
  <c r="AE308" i="76"/>
  <c r="AO334" i="76"/>
  <c r="AL334" i="76"/>
  <c r="AT334" i="76" s="1"/>
  <c r="AX334" i="76" s="1"/>
  <c r="BD334" i="76" s="1"/>
  <c r="AF367" i="76"/>
  <c r="AE367" i="76"/>
  <c r="AV399" i="76" a="1"/>
  <c r="AV399" i="76" s="1"/>
  <c r="AY399" i="76"/>
  <c r="AU399" i="76"/>
  <c r="AP408" i="76"/>
  <c r="AQ408" i="76" s="1"/>
  <c r="AU410" i="76"/>
  <c r="AO410" i="76"/>
  <c r="AO411" i="76"/>
  <c r="BA411" i="76"/>
  <c r="AL411" i="76"/>
  <c r="AT411" i="76" s="1"/>
  <c r="BF419" i="76"/>
  <c r="AZ419" i="76" s="1"/>
  <c r="BC419" i="76" s="1"/>
  <c r="AF438" i="76"/>
  <c r="BC438" i="76"/>
  <c r="AF462" i="76"/>
  <c r="AE462" i="76"/>
  <c r="BC462" i="76"/>
  <c r="AX470" i="76"/>
  <c r="BD470" i="76" s="1"/>
  <c r="AQ476" i="76"/>
  <c r="AP494" i="76"/>
  <c r="AQ494" i="76" s="1"/>
  <c r="AE494" i="76"/>
  <c r="BF494" i="76"/>
  <c r="AZ494" i="76" s="1"/>
  <c r="BC494" i="76" s="1"/>
  <c r="AO504" i="76"/>
  <c r="AN504" i="76"/>
  <c r="AY504" i="76"/>
  <c r="AL504" i="76"/>
  <c r="AT504" i="76" s="1"/>
  <c r="AO403" i="76"/>
  <c r="AN403" i="76"/>
  <c r="BC436" i="76"/>
  <c r="AE470" i="76"/>
  <c r="AL479" i="76"/>
  <c r="AT479" i="76" s="1"/>
  <c r="AV479" i="76" a="1"/>
  <c r="AV479" i="76" s="1"/>
  <c r="AU479" i="76"/>
  <c r="AL526" i="76"/>
  <c r="AT526" i="76" s="1"/>
  <c r="AO526" i="76"/>
  <c r="AV526" i="76" a="1"/>
  <c r="AV526" i="76" s="1"/>
  <c r="AU526" i="76"/>
  <c r="AY526" i="76"/>
  <c r="BF400" i="76"/>
  <c r="AZ400" i="76" s="1"/>
  <c r="BC400" i="76" s="1"/>
  <c r="AO427" i="76"/>
  <c r="AL427" i="76"/>
  <c r="AT427" i="76" s="1"/>
  <c r="AX427" i="76" s="1"/>
  <c r="BD427" i="76" s="1"/>
  <c r="AU438" i="76"/>
  <c r="AY438" i="76"/>
  <c r="AU454" i="76"/>
  <c r="AO454" i="76"/>
  <c r="AY454" i="76"/>
  <c r="BA460" i="76"/>
  <c r="AY460" i="76"/>
  <c r="AO460" i="76"/>
  <c r="AN460" i="76"/>
  <c r="AV485" i="76" a="1"/>
  <c r="AV485" i="76" s="1"/>
  <c r="AO485" i="76"/>
  <c r="AY485" i="76"/>
  <c r="AL485" i="76"/>
  <c r="AT485" i="76" s="1"/>
  <c r="AU485" i="76"/>
  <c r="BA485" i="76"/>
  <c r="AY512" i="76"/>
  <c r="AU512" i="76"/>
  <c r="BA512" i="76"/>
  <c r="AV512" i="76" a="1"/>
  <c r="AV512" i="76" s="1"/>
  <c r="AY541" i="76"/>
  <c r="AL541" i="76"/>
  <c r="AT541" i="76" s="1"/>
  <c r="BA541" i="76"/>
  <c r="AN541" i="76"/>
  <c r="AV322" i="76" a="1"/>
  <c r="AV322" i="76" s="1"/>
  <c r="AU322" i="76"/>
  <c r="AV386" i="76" a="1"/>
  <c r="AV386" i="76" s="1"/>
  <c r="AU386" i="76"/>
  <c r="AY406" i="76"/>
  <c r="AU406" i="76"/>
  <c r="AP423" i="76"/>
  <c r="BF423" i="76" s="1"/>
  <c r="AZ423" i="76" s="1"/>
  <c r="BC423" i="76" s="1"/>
  <c r="AO432" i="76"/>
  <c r="AN432" i="76"/>
  <c r="AP436" i="76"/>
  <c r="BF436" i="76" s="1"/>
  <c r="AZ436" i="76" s="1"/>
  <c r="AL454" i="76"/>
  <c r="AT454" i="76" s="1"/>
  <c r="AX454" i="76" s="1"/>
  <c r="BD454" i="76" s="1"/>
  <c r="AY458" i="76"/>
  <c r="AV458" i="76" a="1"/>
  <c r="AV458" i="76" s="1"/>
  <c r="AU458" i="76"/>
  <c r="BA458" i="76"/>
  <c r="AP470" i="76"/>
  <c r="AN479" i="76"/>
  <c r="AN487" i="76"/>
  <c r="AO487" i="76"/>
  <c r="AY503" i="76"/>
  <c r="AN503" i="76"/>
  <c r="AV503" i="76" a="1"/>
  <c r="AV503" i="76" s="1"/>
  <c r="AU503" i="76"/>
  <c r="AN526" i="76"/>
  <c r="AV534" i="76" a="1"/>
  <c r="AV534" i="76" s="1"/>
  <c r="AU534" i="76"/>
  <c r="BA534" i="76"/>
  <c r="AO534" i="76"/>
  <c r="AN534" i="76"/>
  <c r="AL534" i="76"/>
  <c r="AT534" i="76" s="1"/>
  <c r="BF537" i="76"/>
  <c r="AZ537" i="76" s="1"/>
  <c r="BC537" i="76" s="1"/>
  <c r="AF537" i="76"/>
  <c r="AE537" i="76" s="1"/>
  <c r="AY548" i="76"/>
  <c r="AO548" i="76"/>
  <c r="AN548" i="76"/>
  <c r="BA548" i="76"/>
  <c r="AU548" i="76"/>
  <c r="AF448" i="76"/>
  <c r="AE448" i="76"/>
  <c r="AN456" i="76"/>
  <c r="AL456" i="76"/>
  <c r="AT456" i="76" s="1"/>
  <c r="AE476" i="76"/>
  <c r="AP476" i="76"/>
  <c r="BF476" i="76" s="1"/>
  <c r="AZ476" i="76" s="1"/>
  <c r="BC476" i="76" s="1"/>
  <c r="BW507" i="76"/>
  <c r="AI507" i="76"/>
  <c r="AM507" i="76"/>
  <c r="AQ513" i="76"/>
  <c r="AE513" i="76"/>
  <c r="AX513" i="76"/>
  <c r="BD513" i="76" s="1"/>
  <c r="AL529" i="76"/>
  <c r="AT529" i="76" s="1"/>
  <c r="BA529" i="76"/>
  <c r="AV529" i="76" a="1"/>
  <c r="AV529" i="76" s="1"/>
  <c r="AN529" i="76"/>
  <c r="BC453" i="76"/>
  <c r="AO461" i="76"/>
  <c r="AN461" i="76"/>
  <c r="AY478" i="76"/>
  <c r="AV478" i="76" a="1"/>
  <c r="AV478" i="76" s="1"/>
  <c r="BA478" i="76"/>
  <c r="AO509" i="76"/>
  <c r="AN509" i="76"/>
  <c r="AY509" i="76"/>
  <c r="AL542" i="76"/>
  <c r="AT542" i="76" s="1"/>
  <c r="AV542" i="76" a="1"/>
  <c r="AV542" i="76" s="1"/>
  <c r="AU542" i="76"/>
  <c r="AO542" i="76"/>
  <c r="AN542" i="76"/>
  <c r="AP448" i="76"/>
  <c r="BF448" i="76" s="1"/>
  <c r="AZ448" i="76" s="1"/>
  <c r="BC448" i="76" s="1"/>
  <c r="AP452" i="76"/>
  <c r="BF452" i="76" s="1"/>
  <c r="AZ452" i="76" s="1"/>
  <c r="BC452" i="76" s="1"/>
  <c r="BF488" i="76"/>
  <c r="AZ488" i="76" s="1"/>
  <c r="BC488" i="76" s="1"/>
  <c r="AV505" i="76" a="1"/>
  <c r="AV505" i="76" s="1"/>
  <c r="AY505" i="76"/>
  <c r="BA505" i="76"/>
  <c r="AG507" i="76"/>
  <c r="AO529" i="76"/>
  <c r="AX544" i="76"/>
  <c r="BD544" i="76" s="1"/>
  <c r="AI522" i="76"/>
  <c r="AM522" i="76"/>
  <c r="BW522" i="76"/>
  <c r="AH522" i="76"/>
  <c r="AN437" i="76"/>
  <c r="AO437" i="76"/>
  <c r="AV467" i="76" a="1"/>
  <c r="AV467" i="76" s="1"/>
  <c r="AY467" i="76"/>
  <c r="BF508" i="76"/>
  <c r="AZ508" i="76" s="1"/>
  <c r="BC508" i="76" s="1"/>
  <c r="AF508" i="76"/>
  <c r="AE508" i="76"/>
  <c r="AQ538" i="76"/>
  <c r="AX538" i="76"/>
  <c r="BD538" i="76" s="1"/>
  <c r="AV415" i="76" a="1"/>
  <c r="AV415" i="76" s="1"/>
  <c r="AU415" i="76"/>
  <c r="AV435" i="76" a="1"/>
  <c r="AV435" i="76" s="1"/>
  <c r="AU435" i="76"/>
  <c r="AF486" i="76"/>
  <c r="AE486" i="76"/>
  <c r="AL490" i="76"/>
  <c r="AT490" i="76" s="1"/>
  <c r="AN490" i="76"/>
  <c r="AP508" i="76"/>
  <c r="AG522" i="76"/>
  <c r="AU524" i="76"/>
  <c r="AO524" i="76"/>
  <c r="AN524" i="76"/>
  <c r="AY524" i="76"/>
  <c r="AL524" i="76"/>
  <c r="AT524" i="76" s="1"/>
  <c r="BC525" i="76"/>
  <c r="AF525" i="76"/>
  <c r="AE525" i="76"/>
  <c r="AF531" i="76"/>
  <c r="AP531" i="76"/>
  <c r="BF531" i="76" s="1"/>
  <c r="AZ531" i="76" s="1"/>
  <c r="BC531" i="76" s="1"/>
  <c r="BC532" i="76"/>
  <c r="AP532" i="76"/>
  <c r="BF532" i="76" s="1"/>
  <c r="AZ532" i="76" s="1"/>
  <c r="AO497" i="76"/>
  <c r="AV497" i="76" a="1"/>
  <c r="AV497" i="76" s="1"/>
  <c r="BF506" i="76"/>
  <c r="AZ506" i="76" s="1"/>
  <c r="BC506" i="76"/>
  <c r="AE506" i="76"/>
  <c r="AU508" i="76"/>
  <c r="BA508" i="76"/>
  <c r="AY508" i="76"/>
  <c r="AO508" i="76"/>
  <c r="AY528" i="76"/>
  <c r="AO528" i="76"/>
  <c r="AL545" i="76"/>
  <c r="AT545" i="76" s="1"/>
  <c r="AN545" i="76"/>
  <c r="BA545" i="76"/>
  <c r="AO545" i="76"/>
  <c r="AP546" i="76"/>
  <c r="BF546" i="76" s="1"/>
  <c r="AZ546" i="76" s="1"/>
  <c r="AF546" i="76"/>
  <c r="AE546" i="76"/>
  <c r="BC546" i="76"/>
  <c r="AU494" i="76"/>
  <c r="AY494" i="76"/>
  <c r="AF519" i="76"/>
  <c r="AE519" i="76"/>
  <c r="BF519" i="76"/>
  <c r="AZ519" i="76" s="1"/>
  <c r="BC519" i="76" s="1"/>
  <c r="AO520" i="76"/>
  <c r="AN520" i="76"/>
  <c r="AL520" i="76"/>
  <c r="AT520" i="76" s="1"/>
  <c r="AV520" i="76" a="1"/>
  <c r="AV520" i="76" s="1"/>
  <c r="BF544" i="76"/>
  <c r="AZ544" i="76" s="1"/>
  <c r="BC544" i="76" s="1"/>
  <c r="AP501" i="76"/>
  <c r="BF513" i="76"/>
  <c r="AZ513" i="76" s="1"/>
  <c r="BC513" i="76"/>
  <c r="AO536" i="76"/>
  <c r="AN536" i="76"/>
  <c r="AV536" i="76" a="1"/>
  <c r="AV536" i="76" s="1"/>
  <c r="AU536" i="76"/>
  <c r="AE538" i="76"/>
  <c r="BC538" i="76"/>
  <c r="BF539" i="76"/>
  <c r="AZ539" i="76" s="1"/>
  <c r="BC539" i="76" s="1"/>
  <c r="AU540" i="76"/>
  <c r="AV540" i="76" a="1"/>
  <c r="AV540" i="76" s="1"/>
  <c r="AY525" i="76"/>
  <c r="BA525" i="76"/>
  <c r="AO532" i="76"/>
  <c r="AY544" i="76"/>
  <c r="AV544" i="76" a="1"/>
  <c r="AV544" i="76" s="1"/>
  <c r="AU544" i="76"/>
  <c r="AL544" i="76"/>
  <c r="AT544" i="76" s="1"/>
  <c r="AY546" i="76"/>
  <c r="BA546" i="76"/>
  <c r="AO549" i="76"/>
  <c r="AN549" i="76"/>
  <c r="AL549" i="76"/>
  <c r="AT549" i="76" s="1"/>
  <c r="AO514" i="76"/>
  <c r="AN514" i="76"/>
  <c r="BF535" i="76"/>
  <c r="AZ535" i="76" s="1"/>
  <c r="BC535" i="76" s="1"/>
  <c r="AV537" i="76" a="1"/>
  <c r="AV537" i="76" s="1"/>
  <c r="AU537" i="76"/>
  <c r="AX293" i="77" l="1"/>
  <c r="BD293" i="77" s="1"/>
  <c r="AE293" i="77"/>
  <c r="AP293" i="77"/>
  <c r="BF293" i="77" s="1"/>
  <c r="AZ293" i="77" s="1"/>
  <c r="BC293" i="77" s="1"/>
  <c r="BC141" i="77"/>
  <c r="BA141" i="77"/>
  <c r="BF513" i="77"/>
  <c r="AZ513" i="77" s="1"/>
  <c r="BC513" i="77" s="1"/>
  <c r="BA148" i="77"/>
  <c r="AQ508" i="77"/>
  <c r="BF521" i="77"/>
  <c r="AZ521" i="77" s="1"/>
  <c r="BC521" i="77" s="1"/>
  <c r="BF108" i="77"/>
  <c r="AZ108" i="77" s="1"/>
  <c r="BC108" i="77" s="1"/>
  <c r="AQ253" i="77"/>
  <c r="BF433" i="77"/>
  <c r="AZ433" i="77" s="1"/>
  <c r="BC433" i="77" s="1"/>
  <c r="BG203" i="77"/>
  <c r="BG428" i="77"/>
  <c r="BC240" i="77"/>
  <c r="BA240" i="77"/>
  <c r="BC139" i="77"/>
  <c r="BA139" i="77"/>
  <c r="BC130" i="77"/>
  <c r="BA130" i="77"/>
  <c r="AE404" i="77"/>
  <c r="AK404" i="77" s="1" a="1"/>
  <c r="AK404" i="77" s="1"/>
  <c r="AF81" i="77"/>
  <c r="AE81" i="77"/>
  <c r="AG81" i="77" s="1"/>
  <c r="AP81" i="77"/>
  <c r="BF81" i="77" s="1"/>
  <c r="AZ81" i="77" s="1"/>
  <c r="AF140" i="77"/>
  <c r="AE140" i="77" s="1"/>
  <c r="AP140" i="77"/>
  <c r="BF140" i="77" s="1"/>
  <c r="AZ140" i="77" s="1"/>
  <c r="BA132" i="77"/>
  <c r="BC132" i="77"/>
  <c r="AF239" i="77"/>
  <c r="AE239" i="77" s="1"/>
  <c r="AP239" i="77"/>
  <c r="BF239" i="77" s="1"/>
  <c r="AZ239" i="77" s="1"/>
  <c r="AP347" i="77"/>
  <c r="BF347" i="77"/>
  <c r="AZ347" i="77" s="1"/>
  <c r="BA347" i="77" s="1"/>
  <c r="AF347" i="77"/>
  <c r="AE347" i="77" s="1"/>
  <c r="AK347" i="77" s="1" a="1"/>
  <c r="AK347" i="77" s="1"/>
  <c r="AE307" i="77"/>
  <c r="AG307" i="77" s="1"/>
  <c r="AQ307" i="77"/>
  <c r="AF209" i="77"/>
  <c r="AP209" i="77"/>
  <c r="BF209" i="77" s="1"/>
  <c r="AZ209" i="77" s="1"/>
  <c r="AF242" i="77"/>
  <c r="AE242" i="77" s="1"/>
  <c r="AP242" i="77"/>
  <c r="BF242" i="77" s="1"/>
  <c r="AZ242" i="77" s="1"/>
  <c r="AF236" i="77"/>
  <c r="AE236" i="77" s="1"/>
  <c r="AP236" i="77"/>
  <c r="BF236" i="77" s="1"/>
  <c r="AZ236" i="77" s="1"/>
  <c r="AF237" i="77"/>
  <c r="AE237" i="77"/>
  <c r="AP237" i="77"/>
  <c r="BF237" i="77" s="1"/>
  <c r="AZ237" i="77" s="1"/>
  <c r="AP75" i="77"/>
  <c r="BF75" i="77" s="1"/>
  <c r="AZ75" i="77" s="1"/>
  <c r="AF75" i="77"/>
  <c r="AE75" i="77" s="1"/>
  <c r="M375" i="77"/>
  <c r="M365" i="77"/>
  <c r="M336" i="77"/>
  <c r="M402" i="77"/>
  <c r="M351" i="77"/>
  <c r="M358" i="77"/>
  <c r="M345" i="77"/>
  <c r="M409" i="77"/>
  <c r="M405" i="77"/>
  <c r="M398" i="77"/>
  <c r="M394" i="77"/>
  <c r="M390" i="77"/>
  <c r="M386" i="77"/>
  <c r="M382" i="77"/>
  <c r="M371" i="77"/>
  <c r="M367" i="77"/>
  <c r="M363" i="77"/>
  <c r="M349" i="77"/>
  <c r="M339" i="77"/>
  <c r="M378" i="77"/>
  <c r="M374" i="77"/>
  <c r="M356" i="77"/>
  <c r="M347" i="77"/>
  <c r="M373" i="77"/>
  <c r="M359" i="77"/>
  <c r="M341" i="77"/>
  <c r="M389" i="77"/>
  <c r="M383" i="77"/>
  <c r="M376" i="77"/>
  <c r="M360" i="77"/>
  <c r="M348" i="77"/>
  <c r="M340" i="77"/>
  <c r="M396" i="77"/>
  <c r="M369" i="77"/>
  <c r="M408" i="77"/>
  <c r="M381" i="77"/>
  <c r="M355" i="77"/>
  <c r="M343" i="77"/>
  <c r="M388" i="77"/>
  <c r="M362" i="77"/>
  <c r="M338" i="77"/>
  <c r="M393" i="77"/>
  <c r="M387" i="77"/>
  <c r="M354" i="77"/>
  <c r="M357" i="77"/>
  <c r="AF357" i="77" s="1"/>
  <c r="AE357" i="77" s="1"/>
  <c r="M346" i="77"/>
  <c r="AF346" i="77" s="1"/>
  <c r="AE346" i="77" s="1"/>
  <c r="M400" i="77"/>
  <c r="M380" i="77"/>
  <c r="M372" i="77"/>
  <c r="M407" i="77"/>
  <c r="M391" i="77"/>
  <c r="M344" i="77"/>
  <c r="M337" i="77"/>
  <c r="M404" i="77"/>
  <c r="M397" i="77"/>
  <c r="M361" i="77"/>
  <c r="M353" i="77"/>
  <c r="M395" i="77"/>
  <c r="M384" i="77"/>
  <c r="M350" i="77"/>
  <c r="M406" i="77"/>
  <c r="M403" i="77"/>
  <c r="M379" i="77"/>
  <c r="M368" i="77"/>
  <c r="M392" i="77"/>
  <c r="M366" i="77"/>
  <c r="M352" i="77"/>
  <c r="M364" i="77"/>
  <c r="M385" i="77"/>
  <c r="M370" i="77"/>
  <c r="M401" i="77"/>
  <c r="M377" i="77"/>
  <c r="M399" i="77"/>
  <c r="Q256" i="77"/>
  <c r="AP63" i="77"/>
  <c r="AQ63" i="77" s="1"/>
  <c r="AG117" i="77"/>
  <c r="AP34" i="77"/>
  <c r="BF34" i="77" s="1"/>
  <c r="AZ34" i="77" s="1"/>
  <c r="AF125" i="77"/>
  <c r="AE125" i="77"/>
  <c r="AK117" i="77" a="1"/>
  <c r="AK117" i="77" s="1"/>
  <c r="BG117" i="77" s="1"/>
  <c r="P326" i="77"/>
  <c r="P323" i="77"/>
  <c r="P319" i="77"/>
  <c r="P300" i="77"/>
  <c r="P304" i="77"/>
  <c r="P294" i="77"/>
  <c r="P333" i="77"/>
  <c r="P329" i="77"/>
  <c r="P315" i="77"/>
  <c r="P311" i="77"/>
  <c r="P302" i="77"/>
  <c r="P322" i="77"/>
  <c r="P318" i="77"/>
  <c r="P309" i="77"/>
  <c r="P299" i="77"/>
  <c r="P325" i="77"/>
  <c r="P293" i="77"/>
  <c r="P292" i="77"/>
  <c r="P331" i="77"/>
  <c r="P320" i="77"/>
  <c r="P313" i="77"/>
  <c r="P328" i="77"/>
  <c r="P291" i="77"/>
  <c r="P310" i="77"/>
  <c r="P316" i="77"/>
  <c r="P307" i="77"/>
  <c r="AK307" i="77" s="1" a="1"/>
  <c r="AK307" i="77" s="1"/>
  <c r="P324" i="77"/>
  <c r="P296" i="77"/>
  <c r="P330" i="77"/>
  <c r="P327" i="77"/>
  <c r="P303" i="77"/>
  <c r="P312" i="77"/>
  <c r="P305" i="77"/>
  <c r="P308" i="77"/>
  <c r="P317" i="77"/>
  <c r="P301" i="77"/>
  <c r="P314" i="77"/>
  <c r="P321" i="77"/>
  <c r="P295" i="77"/>
  <c r="P298" i="77"/>
  <c r="P332" i="77"/>
  <c r="P306" i="77"/>
  <c r="AP312" i="77"/>
  <c r="AF312" i="77"/>
  <c r="AE312" i="77"/>
  <c r="AX282" i="77"/>
  <c r="BD282" i="77" s="1"/>
  <c r="AO359" i="77"/>
  <c r="AN359" i="77"/>
  <c r="BA359" i="77"/>
  <c r="AV359" i="77" a="1"/>
  <c r="AV359" i="77" s="1"/>
  <c r="AU359" i="77"/>
  <c r="Y88" i="77"/>
  <c r="AF387" i="77"/>
  <c r="AE387" i="77"/>
  <c r="AP387" i="77"/>
  <c r="BF387" i="77" s="1"/>
  <c r="AZ387" i="77" s="1"/>
  <c r="BC387" i="77" s="1"/>
  <c r="AF76" i="77"/>
  <c r="AQ76" i="77" s="1"/>
  <c r="AE76" i="77"/>
  <c r="AF206" i="77"/>
  <c r="AX206" i="77" s="1"/>
  <c r="BD206" i="77" s="1"/>
  <c r="AP206" i="77"/>
  <c r="AF230" i="77"/>
  <c r="AE230" i="77" s="1"/>
  <c r="AP125" i="77"/>
  <c r="BF125" i="77" s="1"/>
  <c r="AZ125" i="77" s="1"/>
  <c r="AP202" i="77"/>
  <c r="BF202" i="77" s="1"/>
  <c r="AZ202" i="77" s="1"/>
  <c r="BC202" i="77" s="1"/>
  <c r="AK186" i="77" a="1"/>
  <c r="AK186" i="77" s="1"/>
  <c r="BG186" i="77" s="1"/>
  <c r="AG66" i="77"/>
  <c r="BG159" i="77"/>
  <c r="BG182" i="77"/>
  <c r="BF56" i="77"/>
  <c r="AZ56" i="77" s="1"/>
  <c r="BC56" i="77" s="1"/>
  <c r="Y366" i="77"/>
  <c r="AX100" i="77"/>
  <c r="BD100" i="77" s="1"/>
  <c r="AF215" i="77"/>
  <c r="AE215" i="77" s="1"/>
  <c r="AF404" i="77"/>
  <c r="AL339" i="77"/>
  <c r="AT339" i="77" s="1"/>
  <c r="AP355" i="77"/>
  <c r="BF355" i="77" s="1"/>
  <c r="AZ355" i="77" s="1"/>
  <c r="BC355" i="77" s="1"/>
  <c r="AE202" i="77"/>
  <c r="AM186" i="77"/>
  <c r="AI66" i="77"/>
  <c r="AE163" i="77"/>
  <c r="AK163" i="77" s="1" a="1"/>
  <c r="AK163" i="77" s="1"/>
  <c r="AF128" i="77"/>
  <c r="AQ128" i="77" s="1"/>
  <c r="L362" i="77"/>
  <c r="AJ362" i="77" s="1"/>
  <c r="L361" i="77"/>
  <c r="AJ361" i="77" s="1"/>
  <c r="AP214" i="77"/>
  <c r="BF214" i="77" s="1"/>
  <c r="AZ214" i="77" s="1"/>
  <c r="AF214" i="77"/>
  <c r="AP116" i="77"/>
  <c r="BF116" i="77" s="1"/>
  <c r="AZ116" i="77" s="1"/>
  <c r="BC116" i="77" s="1"/>
  <c r="AF116" i="77"/>
  <c r="AF194" i="77"/>
  <c r="AX194" i="77" s="1"/>
  <c r="BD194" i="77" s="1"/>
  <c r="AE194" i="77"/>
  <c r="Y38" i="77"/>
  <c r="AV104" i="77" a="1"/>
  <c r="AV104" i="77" s="1"/>
  <c r="BA104" i="77"/>
  <c r="AY104" i="77"/>
  <c r="AL359" i="77"/>
  <c r="AT359" i="77" s="1"/>
  <c r="AN339" i="77"/>
  <c r="AQ194" i="77"/>
  <c r="AP258" i="77"/>
  <c r="AF355" i="77"/>
  <c r="AE355" i="77" s="1"/>
  <c r="AF240" i="77"/>
  <c r="AE240" i="77" s="1"/>
  <c r="BW240" i="77" s="1"/>
  <c r="BF184" i="77"/>
  <c r="AZ184" i="77" s="1"/>
  <c r="BC184" i="77" s="1"/>
  <c r="BW186" i="77"/>
  <c r="AK66" i="77" a="1"/>
  <c r="AK66" i="77" s="1"/>
  <c r="BG66" i="77" s="1"/>
  <c r="AF56" i="77"/>
  <c r="AX56" i="77" s="1"/>
  <c r="BD56" i="77" s="1"/>
  <c r="Y220" i="77"/>
  <c r="Z220" i="77" s="1"/>
  <c r="W224" i="77"/>
  <c r="L224" i="77" s="1"/>
  <c r="W221" i="77"/>
  <c r="L221" i="77" s="1"/>
  <c r="Z209" i="77"/>
  <c r="Y223" i="77"/>
  <c r="AP350" i="77"/>
  <c r="AF350" i="77"/>
  <c r="BF350" i="77"/>
  <c r="AZ350" i="77" s="1"/>
  <c r="AN262" i="77"/>
  <c r="AV262" i="77" a="1"/>
  <c r="AV262" i="77" s="1"/>
  <c r="AU262" i="77"/>
  <c r="AL262" i="77"/>
  <c r="AT262" i="77" s="1"/>
  <c r="BA262" i="77"/>
  <c r="AY262" i="77"/>
  <c r="AO262" i="77"/>
  <c r="BA305" i="77"/>
  <c r="BA308" i="77"/>
  <c r="AF320" i="77"/>
  <c r="AE320" i="77" s="1"/>
  <c r="AF356" i="77"/>
  <c r="AP356" i="77"/>
  <c r="BF356" i="77" s="1"/>
  <c r="AZ356" i="77" s="1"/>
  <c r="S118" i="77"/>
  <c r="U118" i="77" s="1" a="1"/>
  <c r="U118" i="77" s="1"/>
  <c r="AJ118" i="77" s="1"/>
  <c r="Y118" i="77"/>
  <c r="AF188" i="77"/>
  <c r="AE188" i="77"/>
  <c r="AP334" i="77"/>
  <c r="BF334" i="77" s="1"/>
  <c r="AZ334" i="77" s="1"/>
  <c r="BC334" i="77" s="1"/>
  <c r="AM117" i="77"/>
  <c r="AF367" i="77"/>
  <c r="AE367" i="77"/>
  <c r="AE169" i="77"/>
  <c r="BW169" i="77" s="1"/>
  <c r="AP191" i="77"/>
  <c r="BF191" i="77" s="1"/>
  <c r="AZ191" i="77" s="1"/>
  <c r="BC191" i="77" s="1"/>
  <c r="AF191" i="77"/>
  <c r="AE191" i="77"/>
  <c r="BA26" i="77"/>
  <c r="BA294" i="77"/>
  <c r="AV294" i="77" a="1"/>
  <c r="AV294" i="77" s="1"/>
  <c r="AU294" i="77"/>
  <c r="AY294" i="77"/>
  <c r="AL294" i="77"/>
  <c r="AT294" i="77" s="1"/>
  <c r="AO294" i="77"/>
  <c r="AN294" i="77"/>
  <c r="AF374" i="77"/>
  <c r="AP374" i="77"/>
  <c r="BF374" i="77" s="1"/>
  <c r="AZ374" i="77" s="1"/>
  <c r="BC374" i="77" s="1"/>
  <c r="AF169" i="77"/>
  <c r="B274" i="77"/>
  <c r="AJ274" i="77"/>
  <c r="AY359" i="77"/>
  <c r="AY339" i="77"/>
  <c r="BF349" i="77"/>
  <c r="AZ349" i="77" s="1"/>
  <c r="AQ96" i="77"/>
  <c r="AE184" i="77"/>
  <c r="AH184" i="77" s="1"/>
  <c r="AF190" i="77"/>
  <c r="BC31" i="77"/>
  <c r="AF92" i="77"/>
  <c r="AP98" i="77"/>
  <c r="BF98" i="77" s="1"/>
  <c r="AZ98" i="77" s="1"/>
  <c r="BC98" i="77" s="1"/>
  <c r="AP113" i="77"/>
  <c r="BF113" i="77" s="1"/>
  <c r="AZ113" i="77" s="1"/>
  <c r="BC113" i="77" s="1"/>
  <c r="AF113" i="77"/>
  <c r="AX203" i="77"/>
  <c r="BD203" i="77" s="1"/>
  <c r="AF157" i="77"/>
  <c r="AP157" i="77"/>
  <c r="BF157" i="77" s="1"/>
  <c r="AZ157" i="77" s="1"/>
  <c r="BC157" i="77" s="1"/>
  <c r="AF231" i="77"/>
  <c r="AP231" i="77"/>
  <c r="BF231" i="77" s="1"/>
  <c r="AZ231" i="77" s="1"/>
  <c r="BC231" i="77" s="1"/>
  <c r="AE231" i="77"/>
  <c r="AJ277" i="77"/>
  <c r="B277" i="77"/>
  <c r="AP216" i="77"/>
  <c r="AF216" i="77"/>
  <c r="BF216" i="77"/>
  <c r="AZ216" i="77" s="1"/>
  <c r="AP238" i="77"/>
  <c r="AF238" i="77"/>
  <c r="AE238" i="77" s="1"/>
  <c r="BF238" i="77"/>
  <c r="AZ238" i="77" s="1"/>
  <c r="AE93" i="77"/>
  <c r="AJ273" i="77"/>
  <c r="B273" i="77"/>
  <c r="BW66" i="77"/>
  <c r="BF312" i="77"/>
  <c r="AZ312" i="77" s="1"/>
  <c r="BC312" i="77" s="1"/>
  <c r="BA339" i="77"/>
  <c r="BF50" i="77"/>
  <c r="AZ50" i="77" s="1"/>
  <c r="BC50" i="77" s="1"/>
  <c r="AN35" i="77"/>
  <c r="AM203" i="77"/>
  <c r="AF184" i="77"/>
  <c r="BF190" i="77"/>
  <c r="AZ190" i="77" s="1"/>
  <c r="BC190" i="77" s="1"/>
  <c r="AP52" i="77"/>
  <c r="BF52" i="77" s="1"/>
  <c r="AZ52" i="77" s="1"/>
  <c r="BC52" i="77" s="1"/>
  <c r="AE92" i="77"/>
  <c r="BW92" i="77" s="1"/>
  <c r="AP391" i="77"/>
  <c r="BF391" i="77"/>
  <c r="AZ391" i="77" s="1"/>
  <c r="BC391" i="77" s="1"/>
  <c r="AF391" i="77"/>
  <c r="AE391" i="77" s="1"/>
  <c r="AP223" i="77"/>
  <c r="BF223" i="77"/>
  <c r="AZ223" i="77" s="1"/>
  <c r="BC223" i="77" s="1"/>
  <c r="AF223" i="77"/>
  <c r="AE223" i="77"/>
  <c r="AP149" i="77"/>
  <c r="BF149" i="77" s="1"/>
  <c r="AZ149" i="77" s="1"/>
  <c r="BC149" i="77" s="1"/>
  <c r="AF149" i="77"/>
  <c r="AN144" i="77"/>
  <c r="AE100" i="77"/>
  <c r="AQ100" i="77"/>
  <c r="AP188" i="77"/>
  <c r="BF188" i="77" s="1"/>
  <c r="AZ188" i="77" s="1"/>
  <c r="BC188" i="77" s="1"/>
  <c r="AY364" i="77"/>
  <c r="AL364" i="77"/>
  <c r="AT364" i="77" s="1"/>
  <c r="AO364" i="77"/>
  <c r="AN364" i="77"/>
  <c r="BA364" i="77"/>
  <c r="AU364" i="77"/>
  <c r="AV364" i="77" a="1"/>
  <c r="AV364" i="77" s="1"/>
  <c r="AP163" i="77"/>
  <c r="BF163" i="77" s="1"/>
  <c r="AZ163" i="77" s="1"/>
  <c r="BC163" i="77" s="1"/>
  <c r="AQ85" i="77"/>
  <c r="AE85" i="77"/>
  <c r="AX85" i="77"/>
  <c r="BD85" i="77" s="1"/>
  <c r="AQ282" i="77"/>
  <c r="AU339" i="77"/>
  <c r="AF349" i="77"/>
  <c r="AE349" i="77" s="1"/>
  <c r="BF200" i="77"/>
  <c r="AZ200" i="77" s="1"/>
  <c r="BC200" i="77" s="1"/>
  <c r="AE50" i="77"/>
  <c r="AI50" i="77" s="1"/>
  <c r="BF124" i="77"/>
  <c r="AZ124" i="77" s="1"/>
  <c r="BF36" i="77"/>
  <c r="AZ36" i="77" s="1"/>
  <c r="BC36" i="77" s="1"/>
  <c r="AG203" i="77"/>
  <c r="AP93" i="77"/>
  <c r="AQ93" i="77" s="1"/>
  <c r="AF31" i="77"/>
  <c r="AP101" i="77"/>
  <c r="BF101" i="77" s="1"/>
  <c r="AZ101" i="77" s="1"/>
  <c r="BC101" i="77" s="1"/>
  <c r="AF101" i="77"/>
  <c r="AF96" i="77"/>
  <c r="AX96" i="77" s="1"/>
  <c r="BD96" i="77" s="1"/>
  <c r="AE96" i="77"/>
  <c r="AO24" i="77"/>
  <c r="AN24" i="77"/>
  <c r="AP392" i="77"/>
  <c r="BF392" i="77" s="1"/>
  <c r="AZ392" i="77" s="1"/>
  <c r="BC392" i="77" s="1"/>
  <c r="AP286" i="77"/>
  <c r="BF286" i="77" s="1"/>
  <c r="AZ286" i="77" s="1"/>
  <c r="BC286" i="77" s="1"/>
  <c r="AE286" i="77"/>
  <c r="AF286" i="77"/>
  <c r="AQ182" i="77"/>
  <c r="AQ222" i="77"/>
  <c r="BF169" i="77"/>
  <c r="AZ169" i="77" s="1"/>
  <c r="BC169" i="77" s="1"/>
  <c r="AN280" i="77"/>
  <c r="AL280" i="77"/>
  <c r="AT280" i="77" s="1"/>
  <c r="AO280" i="77"/>
  <c r="BA280" i="77"/>
  <c r="AV280" i="77" a="1"/>
  <c r="AV280" i="77" s="1"/>
  <c r="AU280" i="77"/>
  <c r="AY280" i="77"/>
  <c r="AE392" i="77"/>
  <c r="BW392" i="77" s="1"/>
  <c r="BC307" i="77"/>
  <c r="BA307" i="77"/>
  <c r="AP394" i="77"/>
  <c r="BF394" i="77" s="1"/>
  <c r="AZ394" i="77" s="1"/>
  <c r="BC394" i="77" s="1"/>
  <c r="AV339" i="77" a="1"/>
  <c r="AV339" i="77" s="1"/>
  <c r="AF50" i="77"/>
  <c r="AX50" i="77" s="1"/>
  <c r="BD50" i="77" s="1"/>
  <c r="AF124" i="77"/>
  <c r="AE124" i="77" s="1"/>
  <c r="AH124" i="77" s="1"/>
  <c r="AH203" i="77"/>
  <c r="AP154" i="77"/>
  <c r="BF154" i="77" s="1"/>
  <c r="AZ154" i="77" s="1"/>
  <c r="BC154" i="77" s="1"/>
  <c r="AF108" i="77"/>
  <c r="AE108" i="77" s="1"/>
  <c r="AI108" i="77" s="1"/>
  <c r="BC128" i="77"/>
  <c r="AF381" i="77"/>
  <c r="AE381" i="77" s="1"/>
  <c r="Y311" i="77"/>
  <c r="Q257" i="77"/>
  <c r="AF257" i="77" s="1"/>
  <c r="AE257" i="77" s="1"/>
  <c r="AQ340" i="77"/>
  <c r="AE340" i="77"/>
  <c r="AP283" i="77"/>
  <c r="AF283" i="77"/>
  <c r="BF162" i="77"/>
  <c r="AZ162" i="77" s="1"/>
  <c r="BC162" i="77" s="1"/>
  <c r="AP162" i="77"/>
  <c r="AF162" i="77"/>
  <c r="AJ276" i="77"/>
  <c r="B276" i="77"/>
  <c r="AP304" i="77"/>
  <c r="BF304" i="77" s="1"/>
  <c r="AZ304" i="77" s="1"/>
  <c r="AF304" i="77"/>
  <c r="AP404" i="77"/>
  <c r="BF404" i="77" s="1"/>
  <c r="AZ404" i="77" s="1"/>
  <c r="BC404" i="77" s="1"/>
  <c r="BC27" i="77"/>
  <c r="BA27" i="77"/>
  <c r="AI117" i="77"/>
  <c r="AE216" i="77"/>
  <c r="AQ132" i="77"/>
  <c r="AQ66" i="77"/>
  <c r="AP321" i="77"/>
  <c r="BF321" i="77" s="1"/>
  <c r="AZ321" i="77" s="1"/>
  <c r="BC321" i="77" s="1"/>
  <c r="AF321" i="77"/>
  <c r="AE334" i="77"/>
  <c r="AK334" i="77" s="1" a="1"/>
  <c r="AK334" i="77" s="1"/>
  <c r="BG334" i="77" s="1"/>
  <c r="AF392" i="77"/>
  <c r="AF200" i="77"/>
  <c r="AE200" i="77" s="1"/>
  <c r="BC215" i="77"/>
  <c r="BC217" i="77"/>
  <c r="AF36" i="77"/>
  <c r="AX36" i="77" s="1"/>
  <c r="BD36" i="77" s="1"/>
  <c r="AI203" i="77"/>
  <c r="B275" i="77"/>
  <c r="AJ275" i="77"/>
  <c r="AJ278" i="77"/>
  <c r="B278" i="77"/>
  <c r="AK380" i="77" a="1"/>
  <c r="AK380" i="77" s="1"/>
  <c r="BG380" i="77" s="1"/>
  <c r="AI380" i="77"/>
  <c r="AM380" i="77"/>
  <c r="AH380" i="77"/>
  <c r="AG380" i="77"/>
  <c r="BW380" i="77"/>
  <c r="AI250" i="77"/>
  <c r="AH250" i="77"/>
  <c r="AG250" i="77"/>
  <c r="AK250" i="77" a="1"/>
  <c r="AK250" i="77" s="1"/>
  <c r="BG250" i="77" s="1"/>
  <c r="BW250" i="77"/>
  <c r="AM250" i="77"/>
  <c r="AG98" i="77"/>
  <c r="AI98" i="77"/>
  <c r="BW98" i="77"/>
  <c r="AK98" i="77" a="1"/>
  <c r="AK98" i="77" s="1"/>
  <c r="BG98" i="77" s="1"/>
  <c r="AM98" i="77"/>
  <c r="AH98" i="77"/>
  <c r="AI45" i="77"/>
  <c r="AH45" i="77"/>
  <c r="AG45" i="77"/>
  <c r="BW45" i="77"/>
  <c r="AK45" i="77" a="1"/>
  <c r="AK45" i="77" s="1"/>
  <c r="BG45" i="77" s="1"/>
  <c r="AM45" i="77"/>
  <c r="AK69" i="77" a="1"/>
  <c r="AK69" i="77" s="1"/>
  <c r="BG69" i="77" s="1"/>
  <c r="AI69" i="77"/>
  <c r="AH69" i="77"/>
  <c r="AG69" i="77"/>
  <c r="BW69" i="77"/>
  <c r="AM69" i="77"/>
  <c r="AG300" i="77"/>
  <c r="BW300" i="77"/>
  <c r="AI300" i="77"/>
  <c r="AH300" i="77"/>
  <c r="AK300" i="77" a="1"/>
  <c r="AK300" i="77" s="1"/>
  <c r="BG300" i="77" s="1"/>
  <c r="AM300" i="77"/>
  <c r="AK534" i="77" a="1"/>
  <c r="AK534" i="77" s="1"/>
  <c r="BG534" i="77" s="1"/>
  <c r="AI534" i="77"/>
  <c r="BW534" i="77"/>
  <c r="AM534" i="77"/>
  <c r="AH534" i="77"/>
  <c r="AG534" i="77"/>
  <c r="AG484" i="77"/>
  <c r="AM484" i="77"/>
  <c r="AK484" i="77" a="1"/>
  <c r="AK484" i="77" s="1"/>
  <c r="BG484" i="77" s="1"/>
  <c r="AH484" i="77"/>
  <c r="AI484" i="77"/>
  <c r="BW484" i="77"/>
  <c r="AI139" i="77"/>
  <c r="AH139" i="77"/>
  <c r="AG139" i="77"/>
  <c r="BW139" i="77"/>
  <c r="AK139" i="77" a="1"/>
  <c r="AK139" i="77" s="1"/>
  <c r="AM139" i="77"/>
  <c r="AM164" i="77"/>
  <c r="AI164" i="77"/>
  <c r="AG164" i="77"/>
  <c r="AH164" i="77"/>
  <c r="BW164" i="77"/>
  <c r="AK164" i="77" a="1"/>
  <c r="AK164" i="77" s="1"/>
  <c r="BG164" i="77" s="1"/>
  <c r="AK532" i="77" a="1"/>
  <c r="AK532" i="77" s="1"/>
  <c r="BG532" i="77" s="1"/>
  <c r="AI532" i="77"/>
  <c r="AH532" i="77"/>
  <c r="BW532" i="77"/>
  <c r="AG532" i="77"/>
  <c r="AM532" i="77"/>
  <c r="AM232" i="77"/>
  <c r="BW232" i="77"/>
  <c r="AG232" i="77"/>
  <c r="AI232" i="77"/>
  <c r="AH232" i="77"/>
  <c r="AK232" i="77" a="1"/>
  <c r="AK232" i="77" s="1"/>
  <c r="BG232" i="77" s="1"/>
  <c r="AM32" i="77"/>
  <c r="AK32" i="77" a="1"/>
  <c r="AK32" i="77" s="1"/>
  <c r="BG32" i="77" s="1"/>
  <c r="BW32" i="77"/>
  <c r="AI32" i="77"/>
  <c r="AG32" i="77"/>
  <c r="AH32" i="77"/>
  <c r="AH240" i="77"/>
  <c r="AG240" i="77"/>
  <c r="AK124" i="77" a="1"/>
  <c r="AK124" i="77" s="1"/>
  <c r="AI124" i="77"/>
  <c r="BW124" i="77"/>
  <c r="AG124" i="77"/>
  <c r="AM124" i="77"/>
  <c r="AM172" i="77"/>
  <c r="AI172" i="77"/>
  <c r="AH172" i="77"/>
  <c r="BW172" i="77"/>
  <c r="AG172" i="77"/>
  <c r="AK172" i="77" a="1"/>
  <c r="AK172" i="77" s="1"/>
  <c r="BG172" i="77" s="1"/>
  <c r="AK34" i="77" a="1"/>
  <c r="AK34" i="77" s="1"/>
  <c r="AH34" i="77"/>
  <c r="AI34" i="77"/>
  <c r="BW34" i="77"/>
  <c r="AG34" i="77"/>
  <c r="AM34" i="77"/>
  <c r="AK246" i="77" a="1"/>
  <c r="AK246" i="77" s="1"/>
  <c r="BG246" i="77" s="1"/>
  <c r="AI246" i="77"/>
  <c r="AM246" i="77"/>
  <c r="AH246" i="77"/>
  <c r="BW246" i="77"/>
  <c r="AG246" i="77"/>
  <c r="AI538" i="77"/>
  <c r="AH538" i="77"/>
  <c r="AK538" i="77" a="1"/>
  <c r="AK538" i="77" s="1"/>
  <c r="BG538" i="77" s="1"/>
  <c r="AM538" i="77"/>
  <c r="BW538" i="77"/>
  <c r="AG538" i="77"/>
  <c r="AK318" i="77" a="1"/>
  <c r="AK318" i="77" s="1"/>
  <c r="BG318" i="77" s="1"/>
  <c r="AG318" i="77"/>
  <c r="AH318" i="77"/>
  <c r="BW318" i="77"/>
  <c r="AM318" i="77"/>
  <c r="AI318" i="77"/>
  <c r="AK220" i="77" a="1"/>
  <c r="AK220" i="77" s="1"/>
  <c r="BG220" i="77" s="1"/>
  <c r="BW220" i="77"/>
  <c r="AI220" i="77"/>
  <c r="AM220" i="77"/>
  <c r="AH220" i="77"/>
  <c r="AG220" i="77"/>
  <c r="AG63" i="77"/>
  <c r="AH63" i="77"/>
  <c r="AK63" i="77" a="1"/>
  <c r="AK63" i="77" s="1"/>
  <c r="AI63" i="77"/>
  <c r="BW63" i="77"/>
  <c r="AM63" i="77"/>
  <c r="AH492" i="77"/>
  <c r="AG492" i="77"/>
  <c r="AK492" i="77" a="1"/>
  <c r="AK492" i="77" s="1"/>
  <c r="BG492" i="77" s="1"/>
  <c r="AM492" i="77"/>
  <c r="AI492" i="77"/>
  <c r="BW492" i="77"/>
  <c r="AK289" i="77" a="1"/>
  <c r="AK289" i="77" s="1"/>
  <c r="BG289" i="77" s="1"/>
  <c r="AI289" i="77"/>
  <c r="AH289" i="77"/>
  <c r="AG289" i="77"/>
  <c r="BW289" i="77"/>
  <c r="AM289" i="77"/>
  <c r="AI324" i="77"/>
  <c r="AH324" i="77"/>
  <c r="AG324" i="77"/>
  <c r="AK324" i="77" a="1"/>
  <c r="AK324" i="77" s="1"/>
  <c r="BG324" i="77" s="1"/>
  <c r="BW324" i="77"/>
  <c r="AM324" i="77"/>
  <c r="AK108" i="77" a="1"/>
  <c r="AK108" i="77" s="1"/>
  <c r="BG108" i="77" s="1"/>
  <c r="AH108" i="77"/>
  <c r="AG386" i="77"/>
  <c r="AK386" i="77" a="1"/>
  <c r="AK386" i="77" s="1"/>
  <c r="BG386" i="77" s="1"/>
  <c r="AI386" i="77"/>
  <c r="AM386" i="77"/>
  <c r="AH386" i="77"/>
  <c r="BW386" i="77"/>
  <c r="AM542" i="77"/>
  <c r="AG542" i="77"/>
  <c r="AK542" i="77" a="1"/>
  <c r="AK542" i="77" s="1"/>
  <c r="BG542" i="77" s="1"/>
  <c r="AI542" i="77"/>
  <c r="BW542" i="77"/>
  <c r="AH542" i="77"/>
  <c r="AI227" i="77"/>
  <c r="AH227" i="77"/>
  <c r="AG227" i="77"/>
  <c r="BW227" i="77"/>
  <c r="AK227" i="77" a="1"/>
  <c r="AK227" i="77" s="1"/>
  <c r="BG227" i="77" s="1"/>
  <c r="AM227" i="77"/>
  <c r="AH88" i="77"/>
  <c r="AG88" i="77"/>
  <c r="BW88" i="77"/>
  <c r="AK88" i="77" a="1"/>
  <c r="AK88" i="77" s="1"/>
  <c r="BG88" i="77" s="1"/>
  <c r="AI88" i="77"/>
  <c r="AM88" i="77"/>
  <c r="AG52" i="77"/>
  <c r="AI52" i="77"/>
  <c r="AH52" i="77"/>
  <c r="AK52" i="77" a="1"/>
  <c r="AK52" i="77" s="1"/>
  <c r="BG52" i="77" s="1"/>
  <c r="BW52" i="77"/>
  <c r="AM52" i="77"/>
  <c r="AK487" i="77" a="1"/>
  <c r="AK487" i="77" s="1"/>
  <c r="BG487" i="77" s="1"/>
  <c r="AI487" i="77"/>
  <c r="AH487" i="77"/>
  <c r="AG487" i="77"/>
  <c r="AM487" i="77"/>
  <c r="BW487" i="77"/>
  <c r="AI522" i="77"/>
  <c r="AH522" i="77"/>
  <c r="AM522" i="77"/>
  <c r="BW522" i="77"/>
  <c r="AK522" i="77" a="1"/>
  <c r="AK522" i="77" s="1"/>
  <c r="BG522" i="77" s="1"/>
  <c r="AG522" i="77"/>
  <c r="BW41" i="77"/>
  <c r="AK41" i="77" a="1"/>
  <c r="AK41" i="77" s="1"/>
  <c r="BG41" i="77" s="1"/>
  <c r="AI41" i="77"/>
  <c r="AM41" i="77"/>
  <c r="AH41" i="77"/>
  <c r="AG41" i="77"/>
  <c r="AH193" i="77"/>
  <c r="AG193" i="77"/>
  <c r="AM193" i="77"/>
  <c r="AI193" i="77"/>
  <c r="AK193" i="77" a="1"/>
  <c r="AK193" i="77" s="1"/>
  <c r="BG193" i="77" s="1"/>
  <c r="BW193" i="77"/>
  <c r="AG292" i="77"/>
  <c r="AK292" i="77" a="1"/>
  <c r="AK292" i="77" s="1"/>
  <c r="BG292" i="77" s="1"/>
  <c r="AM292" i="77"/>
  <c r="AI292" i="77"/>
  <c r="BW292" i="77"/>
  <c r="AH292" i="77"/>
  <c r="AI308" i="77"/>
  <c r="AH308" i="77"/>
  <c r="AG308" i="77"/>
  <c r="AM308" i="77"/>
  <c r="AK308" i="77" a="1"/>
  <c r="AK308" i="77" s="1"/>
  <c r="BW308" i="77"/>
  <c r="AP171" i="77"/>
  <c r="BF171" i="77" s="1"/>
  <c r="AZ171" i="77" s="1"/>
  <c r="BC171" i="77" s="1"/>
  <c r="AF171" i="77"/>
  <c r="AE171" i="77" s="1"/>
  <c r="AF208" i="77"/>
  <c r="AE208" i="77" s="1"/>
  <c r="AP208" i="77"/>
  <c r="BF208" i="77" s="1"/>
  <c r="AZ208" i="77" s="1"/>
  <c r="BC208" i="77" s="1"/>
  <c r="AQ331" i="77"/>
  <c r="AX331" i="77"/>
  <c r="BD331" i="77" s="1"/>
  <c r="AX154" i="77"/>
  <c r="BD154" i="77" s="1"/>
  <c r="AQ154" i="77"/>
  <c r="AF518" i="77"/>
  <c r="AE518" i="77"/>
  <c r="AP518" i="77"/>
  <c r="BF518" i="77" s="1"/>
  <c r="AZ518" i="77" s="1"/>
  <c r="BC518" i="77" s="1"/>
  <c r="AX420" i="77"/>
  <c r="BD420" i="77" s="1"/>
  <c r="AQ420" i="77"/>
  <c r="AP183" i="77"/>
  <c r="BF183" i="77" s="1"/>
  <c r="AZ183" i="77" s="1"/>
  <c r="BC183" i="77" s="1"/>
  <c r="AF183" i="77"/>
  <c r="AE183" i="77" s="1"/>
  <c r="AQ349" i="77"/>
  <c r="AQ452" i="77"/>
  <c r="AX452" i="77"/>
  <c r="BD452" i="77" s="1"/>
  <c r="AF255" i="77"/>
  <c r="AE255" i="77" s="1"/>
  <c r="AP255" i="77"/>
  <c r="BF255" i="77" s="1"/>
  <c r="AZ255" i="77" s="1"/>
  <c r="BC255" i="77" s="1"/>
  <c r="AF249" i="77"/>
  <c r="AE249" i="77" s="1"/>
  <c r="AP249" i="77"/>
  <c r="BF249" i="77" s="1"/>
  <c r="AZ249" i="77" s="1"/>
  <c r="BC249" i="77" s="1"/>
  <c r="AX271" i="77"/>
  <c r="BD271" i="77" s="1"/>
  <c r="AQ271" i="77"/>
  <c r="BW295" i="77"/>
  <c r="AK295" i="77" a="1"/>
  <c r="AK295" i="77" s="1"/>
  <c r="BG295" i="77" s="1"/>
  <c r="AI295" i="77"/>
  <c r="AG295" i="77"/>
  <c r="AM295" i="77"/>
  <c r="AH295" i="77"/>
  <c r="AM279" i="77"/>
  <c r="AK279" i="77" a="1"/>
  <c r="AK279" i="77" s="1"/>
  <c r="BG279" i="77" s="1"/>
  <c r="AI279" i="77"/>
  <c r="AG279" i="77"/>
  <c r="AH279" i="77"/>
  <c r="BW279" i="77"/>
  <c r="AF86" i="77"/>
  <c r="AE86" i="77" s="1"/>
  <c r="AP86" i="77"/>
  <c r="BF86" i="77" s="1"/>
  <c r="AZ86" i="77" s="1"/>
  <c r="BC86" i="77" s="1"/>
  <c r="AK84" i="77" a="1"/>
  <c r="AK84" i="77" s="1"/>
  <c r="BG84" i="77" s="1"/>
  <c r="AI84" i="77"/>
  <c r="AH84" i="77"/>
  <c r="AM84" i="77"/>
  <c r="AG84" i="77"/>
  <c r="BW84" i="77"/>
  <c r="AF28" i="77"/>
  <c r="AE28" i="77"/>
  <c r="AP28" i="77"/>
  <c r="BF28" i="77" s="1"/>
  <c r="AZ28" i="77" s="1"/>
  <c r="AK42" i="77" a="1"/>
  <c r="AK42" i="77" s="1"/>
  <c r="BG42" i="77" s="1"/>
  <c r="AH42" i="77"/>
  <c r="BW42" i="77"/>
  <c r="AM42" i="77"/>
  <c r="AI42" i="77"/>
  <c r="AG42" i="77"/>
  <c r="AQ152" i="77"/>
  <c r="AX152" i="77"/>
  <c r="BD152" i="77" s="1"/>
  <c r="AK519" i="77" a="1"/>
  <c r="AK519" i="77" s="1"/>
  <c r="BG519" i="77" s="1"/>
  <c r="AI519" i="77"/>
  <c r="AM519" i="77"/>
  <c r="BW519" i="77"/>
  <c r="AH519" i="77"/>
  <c r="AG519" i="77"/>
  <c r="AQ336" i="77"/>
  <c r="AX336" i="77"/>
  <c r="BD336" i="77" s="1"/>
  <c r="AX506" i="77"/>
  <c r="BD506" i="77" s="1"/>
  <c r="AQ506" i="77"/>
  <c r="AP134" i="77"/>
  <c r="BF134" i="77" s="1"/>
  <c r="AZ134" i="77" s="1"/>
  <c r="BC134" i="77" s="1"/>
  <c r="AF134" i="77"/>
  <c r="AF528" i="77"/>
  <c r="AE528" i="77" s="1"/>
  <c r="AP528" i="77"/>
  <c r="BF528" i="77" s="1"/>
  <c r="AZ528" i="77" s="1"/>
  <c r="BC528" i="77" s="1"/>
  <c r="AP25" i="77"/>
  <c r="AF25" i="77"/>
  <c r="AE25" i="77" s="1"/>
  <c r="BF25" i="77"/>
  <c r="AZ25" i="77" s="1"/>
  <c r="BA25" i="77" s="1"/>
  <c r="BC25" i="77"/>
  <c r="AQ378" i="77"/>
  <c r="AX378" i="77"/>
  <c r="BD378" i="77" s="1"/>
  <c r="AX146" i="77"/>
  <c r="BD146" i="77" s="1"/>
  <c r="AQ146" i="77"/>
  <c r="AF403" i="77"/>
  <c r="AE403" i="77" s="1"/>
  <c r="AP403" i="77"/>
  <c r="BF403" i="77"/>
  <c r="AZ403" i="77" s="1"/>
  <c r="BC403" i="77" s="1"/>
  <c r="AE315" i="77"/>
  <c r="AF315" i="77"/>
  <c r="AP315" i="77"/>
  <c r="BF315" i="77" s="1"/>
  <c r="AZ315" i="77" s="1"/>
  <c r="BC315" i="77" s="1"/>
  <c r="AH38" i="77"/>
  <c r="AG38" i="77"/>
  <c r="AK38" i="77" a="1"/>
  <c r="AK38" i="77" s="1"/>
  <c r="BG38" i="77" s="1"/>
  <c r="AI38" i="77"/>
  <c r="BW38" i="77"/>
  <c r="AM38" i="77"/>
  <c r="AG175" i="77"/>
  <c r="BW175" i="77"/>
  <c r="AI175" i="77"/>
  <c r="AH175" i="77"/>
  <c r="AK175" i="77" a="1"/>
  <c r="AK175" i="77" s="1"/>
  <c r="BG175" i="77" s="1"/>
  <c r="AM175" i="77"/>
  <c r="AQ526" i="77"/>
  <c r="AX526" i="77"/>
  <c r="BD526" i="77" s="1"/>
  <c r="AP440" i="77"/>
  <c r="AF440" i="77"/>
  <c r="BF440" i="77"/>
  <c r="AZ440" i="77" s="1"/>
  <c r="BC440" i="77"/>
  <c r="BF194" i="77"/>
  <c r="AZ194" i="77" s="1"/>
  <c r="BC194" i="77" s="1"/>
  <c r="AQ302" i="77"/>
  <c r="AF44" i="77"/>
  <c r="AE44" i="77" s="1"/>
  <c r="AP44" i="77"/>
  <c r="BF44" i="77"/>
  <c r="AZ44" i="77" s="1"/>
  <c r="BC44" i="77" s="1"/>
  <c r="AP325" i="77"/>
  <c r="BF325" i="77" s="1"/>
  <c r="AZ325" i="77" s="1"/>
  <c r="BC325" i="77" s="1"/>
  <c r="AF325" i="77"/>
  <c r="AE325" i="77" s="1"/>
  <c r="AP372" i="77"/>
  <c r="BF372" i="77" s="1"/>
  <c r="AZ372" i="77" s="1"/>
  <c r="BC372" i="77" s="1"/>
  <c r="AF372" i="77"/>
  <c r="AE372" i="77" s="1"/>
  <c r="AK385" i="77" a="1"/>
  <c r="AK385" i="77" s="1"/>
  <c r="BG385" i="77" s="1"/>
  <c r="AI385" i="77"/>
  <c r="BW385" i="77"/>
  <c r="AH385" i="77"/>
  <c r="AG385" i="77"/>
  <c r="AM385" i="77"/>
  <c r="AH307" i="77"/>
  <c r="AM307" i="77"/>
  <c r="AP309" i="77"/>
  <c r="BF309" i="77" s="1"/>
  <c r="AZ309" i="77" s="1"/>
  <c r="AF309" i="77"/>
  <c r="AE309" i="77" s="1"/>
  <c r="AP530" i="77"/>
  <c r="BF530" i="77" s="1"/>
  <c r="AZ530" i="77" s="1"/>
  <c r="BC530" i="77" s="1"/>
  <c r="AF530" i="77"/>
  <c r="AE530" i="77"/>
  <c r="AP70" i="77"/>
  <c r="BF70" i="77" s="1"/>
  <c r="AZ70" i="77" s="1"/>
  <c r="BC70" i="77" s="1"/>
  <c r="AF70" i="77"/>
  <c r="AE70" i="77" s="1"/>
  <c r="AP195" i="77"/>
  <c r="BF195" i="77" s="1"/>
  <c r="AZ195" i="77" s="1"/>
  <c r="BC195" i="77" s="1"/>
  <c r="AF195" i="77"/>
  <c r="AE195" i="77"/>
  <c r="AF477" i="77"/>
  <c r="AE477" i="77"/>
  <c r="AP477" i="77"/>
  <c r="BF477" i="77" s="1"/>
  <c r="AZ477" i="77" s="1"/>
  <c r="BC477" i="77" s="1"/>
  <c r="AP377" i="77"/>
  <c r="BF377" i="77" s="1"/>
  <c r="AZ377" i="77" s="1"/>
  <c r="BC377" i="77" s="1"/>
  <c r="AF377" i="77"/>
  <c r="AX265" i="77"/>
  <c r="BD265" i="77" s="1"/>
  <c r="AE265" i="77"/>
  <c r="AQ265" i="77"/>
  <c r="AK455" i="77" a="1"/>
  <c r="AK455" i="77" s="1"/>
  <c r="BG455" i="77" s="1"/>
  <c r="AI455" i="77"/>
  <c r="AH455" i="77"/>
  <c r="AG455" i="77"/>
  <c r="BW455" i="77"/>
  <c r="AM455" i="77"/>
  <c r="AX161" i="77"/>
  <c r="BD161" i="77" s="1"/>
  <c r="AQ161" i="77"/>
  <c r="AF419" i="77"/>
  <c r="AE419" i="77"/>
  <c r="AP419" i="77"/>
  <c r="BF419" i="77" s="1"/>
  <c r="AZ419" i="77" s="1"/>
  <c r="BC419" i="77" s="1"/>
  <c r="AF74" i="77"/>
  <c r="AP74" i="77"/>
  <c r="BF74" i="77" s="1"/>
  <c r="AZ74" i="77" s="1"/>
  <c r="BC74" i="77" s="1"/>
  <c r="AQ61" i="77"/>
  <c r="AX61" i="77"/>
  <c r="BD61" i="77" s="1"/>
  <c r="AQ305" i="77"/>
  <c r="AX426" i="77"/>
  <c r="BD426" i="77" s="1"/>
  <c r="AQ426" i="77"/>
  <c r="AP446" i="77"/>
  <c r="BF446" i="77" s="1"/>
  <c r="AZ446" i="77" s="1"/>
  <c r="BC446" i="77" s="1"/>
  <c r="AF446" i="77"/>
  <c r="AG483" i="77"/>
  <c r="AI483" i="77"/>
  <c r="AH483" i="77"/>
  <c r="AM483" i="77"/>
  <c r="AK483" i="77" a="1"/>
  <c r="AK483" i="77" s="1"/>
  <c r="BG483" i="77" s="1"/>
  <c r="BW483" i="77"/>
  <c r="AX531" i="77"/>
  <c r="BD531" i="77" s="1"/>
  <c r="AQ531" i="77"/>
  <c r="AX333" i="77"/>
  <c r="BD333" i="77" s="1"/>
  <c r="AQ333" i="77"/>
  <c r="AP485" i="77"/>
  <c r="BF485" i="77" s="1"/>
  <c r="AZ485" i="77" s="1"/>
  <c r="BC485" i="77" s="1"/>
  <c r="AE485" i="77"/>
  <c r="AF485" i="77"/>
  <c r="AP424" i="77"/>
  <c r="BF424" i="77" s="1"/>
  <c r="AZ424" i="77" s="1"/>
  <c r="BC424" i="77" s="1"/>
  <c r="AF424" i="77"/>
  <c r="AE424" i="77" s="1"/>
  <c r="AP546" i="77"/>
  <c r="AF546" i="77"/>
  <c r="AE546" i="77" s="1"/>
  <c r="BF546" i="77"/>
  <c r="AZ546" i="77" s="1"/>
  <c r="BC546" i="77" s="1"/>
  <c r="AQ412" i="77"/>
  <c r="AX412" i="77"/>
  <c r="BD412" i="77" s="1"/>
  <c r="AF524" i="77"/>
  <c r="AE524" i="77"/>
  <c r="AP524" i="77"/>
  <c r="BF524" i="77" s="1"/>
  <c r="AZ524" i="77" s="1"/>
  <c r="BC524" i="77" s="1"/>
  <c r="AI228" i="77"/>
  <c r="AG228" i="77"/>
  <c r="BW228" i="77"/>
  <c r="AK228" i="77" a="1"/>
  <c r="AK228" i="77" s="1"/>
  <c r="BG228" i="77" s="1"/>
  <c r="AM228" i="77"/>
  <c r="AH228" i="77"/>
  <c r="AP254" i="77"/>
  <c r="AF254" i="77"/>
  <c r="BF254" i="77"/>
  <c r="AZ254" i="77" s="1"/>
  <c r="BC254" i="77" s="1"/>
  <c r="AQ141" i="77"/>
  <c r="AP399" i="77"/>
  <c r="BF399" i="77" s="1"/>
  <c r="AZ399" i="77" s="1"/>
  <c r="BC399" i="77" s="1"/>
  <c r="AF399" i="77"/>
  <c r="AF247" i="77"/>
  <c r="AP247" i="77"/>
  <c r="BF247" i="77" s="1"/>
  <c r="AZ247" i="77" s="1"/>
  <c r="BC247" i="77" s="1"/>
  <c r="AF205" i="77"/>
  <c r="AE205" i="77" s="1"/>
  <c r="AP205" i="77"/>
  <c r="BF205" i="77" s="1"/>
  <c r="AZ205" i="77" s="1"/>
  <c r="BC205" i="77" s="1"/>
  <c r="AP103" i="77"/>
  <c r="BF103" i="77" s="1"/>
  <c r="AZ103" i="77" s="1"/>
  <c r="BC103" i="77" s="1"/>
  <c r="AF103" i="77"/>
  <c r="AE103" i="77"/>
  <c r="AP549" i="77"/>
  <c r="BF549" i="77"/>
  <c r="AZ549" i="77" s="1"/>
  <c r="BC549" i="77" s="1"/>
  <c r="AE549" i="77"/>
  <c r="AF549" i="77"/>
  <c r="AF179" i="77"/>
  <c r="AP179" i="77"/>
  <c r="BF179" i="77" s="1"/>
  <c r="AZ179" i="77" s="1"/>
  <c r="BC179" i="77" s="1"/>
  <c r="AE179" i="77"/>
  <c r="AF62" i="77"/>
  <c r="AE62" i="77" s="1"/>
  <c r="AP62" i="77"/>
  <c r="BF62" i="77" s="1"/>
  <c r="AZ62" i="77" s="1"/>
  <c r="BC62" i="77" s="1"/>
  <c r="AF330" i="77"/>
  <c r="AE330" i="77" s="1"/>
  <c r="AP330" i="77"/>
  <c r="BF330" i="77" s="1"/>
  <c r="AZ330" i="77" s="1"/>
  <c r="BC330" i="77" s="1"/>
  <c r="BG433" i="77"/>
  <c r="AP119" i="77"/>
  <c r="BF119" i="77" s="1"/>
  <c r="AZ119" i="77" s="1"/>
  <c r="BC119" i="77" s="1"/>
  <c r="AF119" i="77"/>
  <c r="AE305" i="77"/>
  <c r="AF413" i="77"/>
  <c r="AE413" i="77" s="1"/>
  <c r="AP413" i="77"/>
  <c r="BF413" i="77" s="1"/>
  <c r="AZ413" i="77" s="1"/>
  <c r="BC413" i="77" s="1"/>
  <c r="AP463" i="77"/>
  <c r="BF463" i="77" s="1"/>
  <c r="AZ463" i="77" s="1"/>
  <c r="BC463" i="77" s="1"/>
  <c r="AF463" i="77"/>
  <c r="AQ366" i="77"/>
  <c r="AX366" i="77"/>
  <c r="BD366" i="77" s="1"/>
  <c r="AF509" i="77"/>
  <c r="AP509" i="77"/>
  <c r="BF509" i="77" s="1"/>
  <c r="AZ509" i="77" s="1"/>
  <c r="BC509" i="77" s="1"/>
  <c r="AE509" i="77"/>
  <c r="AQ466" i="77"/>
  <c r="AX466" i="77"/>
  <c r="BD466" i="77" s="1"/>
  <c r="AE466" i="77"/>
  <c r="AP383" i="77"/>
  <c r="BF383" i="77" s="1"/>
  <c r="AZ383" i="77" s="1"/>
  <c r="BC383" i="77" s="1"/>
  <c r="AF383" i="77"/>
  <c r="AF510" i="77"/>
  <c r="AE510" i="77" s="1"/>
  <c r="AP510" i="77"/>
  <c r="BF510" i="77" s="1"/>
  <c r="AZ510" i="77" s="1"/>
  <c r="BC510" i="77" s="1"/>
  <c r="AP375" i="77"/>
  <c r="BF375" i="77" s="1"/>
  <c r="AZ375" i="77" s="1"/>
  <c r="BC375" i="77" s="1"/>
  <c r="AF375" i="77"/>
  <c r="AE375" i="77"/>
  <c r="AQ483" i="77"/>
  <c r="BF287" i="77"/>
  <c r="AZ287" i="77" s="1"/>
  <c r="BC287" i="77" s="1"/>
  <c r="AQ460" i="77"/>
  <c r="AX460" i="77"/>
  <c r="BD460" i="77" s="1"/>
  <c r="AP368" i="77"/>
  <c r="BF368" i="77" s="1"/>
  <c r="AZ368" i="77" s="1"/>
  <c r="BC368" i="77" s="1"/>
  <c r="AF368" i="77"/>
  <c r="AE368" i="77" s="1"/>
  <c r="AM456" i="77"/>
  <c r="AG456" i="77"/>
  <c r="BW456" i="77"/>
  <c r="AH456" i="77"/>
  <c r="AI456" i="77"/>
  <c r="AK456" i="77" a="1"/>
  <c r="AK456" i="77" s="1"/>
  <c r="BG456" i="77" s="1"/>
  <c r="AF432" i="77"/>
  <c r="AE432" i="77"/>
  <c r="AP432" i="77"/>
  <c r="BF432" i="77" s="1"/>
  <c r="AZ432" i="77" s="1"/>
  <c r="BC432" i="77" s="1"/>
  <c r="BW320" i="77"/>
  <c r="AK320" i="77" a="1"/>
  <c r="AK320" i="77" s="1"/>
  <c r="BG320" i="77" s="1"/>
  <c r="AM320" i="77"/>
  <c r="AI320" i="77"/>
  <c r="AH320" i="77"/>
  <c r="AG320" i="77"/>
  <c r="AP143" i="77"/>
  <c r="BF143" i="77" s="1"/>
  <c r="AZ143" i="77" s="1"/>
  <c r="AF143" i="77"/>
  <c r="AE143" i="77" s="1"/>
  <c r="AX228" i="77"/>
  <c r="BD228" i="77" s="1"/>
  <c r="AQ228" i="77"/>
  <c r="AP135" i="77"/>
  <c r="BF135" i="77" s="1"/>
  <c r="AZ135" i="77" s="1"/>
  <c r="BC135" i="77" s="1"/>
  <c r="AF135" i="77"/>
  <c r="AE135" i="77"/>
  <c r="AE141" i="77"/>
  <c r="AP177" i="77"/>
  <c r="BF177" i="77" s="1"/>
  <c r="AZ177" i="77" s="1"/>
  <c r="BC177" i="77" s="1"/>
  <c r="AF177" i="77"/>
  <c r="AE177" i="77"/>
  <c r="AF60" i="77"/>
  <c r="AP60" i="77"/>
  <c r="BF60" i="77" s="1"/>
  <c r="AZ60" i="77" s="1"/>
  <c r="BC60" i="77" s="1"/>
  <c r="AP112" i="77"/>
  <c r="BF112" i="77" s="1"/>
  <c r="AZ112" i="77" s="1"/>
  <c r="BC112" i="77" s="1"/>
  <c r="AF112" i="77"/>
  <c r="AE112" i="77" s="1"/>
  <c r="AP408" i="77"/>
  <c r="BF408" i="77" s="1"/>
  <c r="AZ408" i="77" s="1"/>
  <c r="BC408" i="77" s="1"/>
  <c r="AF408" i="77"/>
  <c r="AE408" i="77" s="1"/>
  <c r="AF83" i="77"/>
  <c r="BF83" i="77"/>
  <c r="AZ83" i="77" s="1"/>
  <c r="AP83" i="77"/>
  <c r="AF233" i="77"/>
  <c r="AP233" i="77"/>
  <c r="BF233" i="77" s="1"/>
  <c r="AZ233" i="77" s="1"/>
  <c r="BC233" i="77" s="1"/>
  <c r="AK132" i="77" a="1"/>
  <c r="AK132" i="77" s="1"/>
  <c r="AI132" i="77"/>
  <c r="AH132" i="77"/>
  <c r="BW132" i="77"/>
  <c r="AM132" i="77"/>
  <c r="AG132" i="77"/>
  <c r="AQ166" i="77"/>
  <c r="AX166" i="77"/>
  <c r="BD166" i="77" s="1"/>
  <c r="AF53" i="77"/>
  <c r="AE53" i="77" s="1"/>
  <c r="AP53" i="77"/>
  <c r="BF53" i="77"/>
  <c r="AZ53" i="77" s="1"/>
  <c r="BC53" i="77" s="1"/>
  <c r="AP322" i="77"/>
  <c r="BF322" i="77" s="1"/>
  <c r="AZ322" i="77" s="1"/>
  <c r="BC322" i="77" s="1"/>
  <c r="AF322" i="77"/>
  <c r="AI404" i="77"/>
  <c r="AH404" i="77"/>
  <c r="AG404" i="77"/>
  <c r="AM404" i="77"/>
  <c r="AH237" i="77"/>
  <c r="AG237" i="77"/>
  <c r="AI237" i="77"/>
  <c r="BW237" i="77"/>
  <c r="AX267" i="77"/>
  <c r="BD267" i="77" s="1"/>
  <c r="AQ267" i="77"/>
  <c r="AP272" i="77"/>
  <c r="BF272" i="77" s="1"/>
  <c r="AZ272" i="77" s="1"/>
  <c r="BC272" i="77" s="1"/>
  <c r="AF272" i="77"/>
  <c r="AE272" i="77" s="1"/>
  <c r="AP281" i="77"/>
  <c r="BF281" i="77"/>
  <c r="AZ281" i="77" s="1"/>
  <c r="BC281" i="77" s="1"/>
  <c r="AF281" i="77"/>
  <c r="AE281" i="77" s="1"/>
  <c r="AI271" i="77"/>
  <c r="AH271" i="77"/>
  <c r="AM271" i="77"/>
  <c r="AK271" i="77" a="1"/>
  <c r="AK271" i="77" s="1"/>
  <c r="BG271" i="77" s="1"/>
  <c r="AG271" i="77"/>
  <c r="BW271" i="77"/>
  <c r="AK156" i="77" a="1"/>
  <c r="AK156" i="77" s="1"/>
  <c r="BG156" i="77" s="1"/>
  <c r="AI156" i="77"/>
  <c r="AH156" i="77"/>
  <c r="BW156" i="77"/>
  <c r="AG156" i="77"/>
  <c r="AM156" i="77"/>
  <c r="AQ145" i="77"/>
  <c r="AX145" i="77"/>
  <c r="BD145" i="77" s="1"/>
  <c r="AE505" i="77"/>
  <c r="AF505" i="77"/>
  <c r="AP505" i="77"/>
  <c r="BF505" i="77" s="1"/>
  <c r="AZ505" i="77" s="1"/>
  <c r="BC505" i="77" s="1"/>
  <c r="AP373" i="77"/>
  <c r="BF373" i="77" s="1"/>
  <c r="AZ373" i="77" s="1"/>
  <c r="BC373" i="77" s="1"/>
  <c r="AF373" i="77"/>
  <c r="AF441" i="77"/>
  <c r="AP441" i="77"/>
  <c r="BF441" i="77"/>
  <c r="AZ441" i="77" s="1"/>
  <c r="BC441" i="77" s="1"/>
  <c r="AF229" i="77"/>
  <c r="AP229" i="77"/>
  <c r="BF229" i="77"/>
  <c r="AZ229" i="77" s="1"/>
  <c r="BC229" i="77" s="1"/>
  <c r="AE229" i="77"/>
  <c r="AP472" i="77"/>
  <c r="BF472" i="77" s="1"/>
  <c r="AZ472" i="77" s="1"/>
  <c r="BC472" i="77" s="1"/>
  <c r="AF472" i="77"/>
  <c r="AE472" i="77"/>
  <c r="AQ308" i="77"/>
  <c r="AF181" i="77"/>
  <c r="AE181" i="77" s="1"/>
  <c r="AP181" i="77"/>
  <c r="BF181" i="77" s="1"/>
  <c r="AZ181" i="77" s="1"/>
  <c r="BC181" i="77" s="1"/>
  <c r="AP189" i="77"/>
  <c r="AF189" i="77"/>
  <c r="AE189" i="77" s="1"/>
  <c r="BF189" i="77"/>
  <c r="AZ189" i="77" s="1"/>
  <c r="BC189" i="77" s="1"/>
  <c r="AF55" i="77"/>
  <c r="AE55" i="77"/>
  <c r="AP55" i="77"/>
  <c r="BF55" i="77"/>
  <c r="AZ55" i="77" s="1"/>
  <c r="BC55" i="77" s="1"/>
  <c r="AX447" i="77"/>
  <c r="BD447" i="77" s="1"/>
  <c r="AQ447" i="77"/>
  <c r="AF106" i="77"/>
  <c r="AE106" i="77" s="1"/>
  <c r="AP106" i="77"/>
  <c r="BF106" i="77" s="1"/>
  <c r="AZ106" i="77" s="1"/>
  <c r="BC106" i="77" s="1"/>
  <c r="AK407" i="77" a="1"/>
  <c r="AK407" i="77" s="1"/>
  <c r="BG407" i="77" s="1"/>
  <c r="AI407" i="77"/>
  <c r="AH407" i="77"/>
  <c r="AG407" i="77"/>
  <c r="BW407" i="77"/>
  <c r="AM407" i="77"/>
  <c r="AP411" i="77"/>
  <c r="BF411" i="77" s="1"/>
  <c r="AZ411" i="77" s="1"/>
  <c r="BC411" i="77" s="1"/>
  <c r="AF411" i="77"/>
  <c r="AX295" i="77"/>
  <c r="BD295" i="77" s="1"/>
  <c r="AQ295" i="77"/>
  <c r="AX519" i="77"/>
  <c r="BD519" i="77" s="1"/>
  <c r="AQ519" i="77"/>
  <c r="AP437" i="77"/>
  <c r="BF437" i="77"/>
  <c r="AZ437" i="77" s="1"/>
  <c r="BC437" i="77" s="1"/>
  <c r="AF437" i="77"/>
  <c r="AE437" i="77" s="1"/>
  <c r="BF343" i="77"/>
  <c r="AZ343" i="77" s="1"/>
  <c r="BC343" i="77" s="1"/>
  <c r="AE343" i="77"/>
  <c r="AP343" i="77"/>
  <c r="AF343" i="77"/>
  <c r="AP525" i="77"/>
  <c r="BF525" i="77" s="1"/>
  <c r="AZ525" i="77" s="1"/>
  <c r="BC525" i="77" s="1"/>
  <c r="AF525" i="77"/>
  <c r="AE525" i="77"/>
  <c r="AP306" i="77"/>
  <c r="BF306" i="77" s="1"/>
  <c r="AZ306" i="77" s="1"/>
  <c r="AF306" i="77"/>
  <c r="AE306" i="77" s="1"/>
  <c r="AF379" i="77"/>
  <c r="AE379" i="77"/>
  <c r="AP379" i="77"/>
  <c r="BF379" i="77" s="1"/>
  <c r="AZ379" i="77" s="1"/>
  <c r="BC379" i="77" s="1"/>
  <c r="AF429" i="77"/>
  <c r="AE429" i="77" s="1"/>
  <c r="AP429" i="77"/>
  <c r="BF429" i="77" s="1"/>
  <c r="AZ429" i="77" s="1"/>
  <c r="BC429" i="77" s="1"/>
  <c r="AP87" i="77"/>
  <c r="BF87" i="77" s="1"/>
  <c r="AZ87" i="77" s="1"/>
  <c r="BC87" i="77" s="1"/>
  <c r="AF87" i="77"/>
  <c r="AE87" i="77"/>
  <c r="AF459" i="77"/>
  <c r="AE459" i="77"/>
  <c r="AP459" i="77"/>
  <c r="BF459" i="77" s="1"/>
  <c r="AZ459" i="77" s="1"/>
  <c r="BC459" i="77" s="1"/>
  <c r="AF488" i="77"/>
  <c r="AE488" i="77"/>
  <c r="AP488" i="77"/>
  <c r="BF488" i="77" s="1"/>
  <c r="AZ488" i="77" s="1"/>
  <c r="BC488" i="77" s="1"/>
  <c r="AG531" i="77"/>
  <c r="AM531" i="77"/>
  <c r="BW531" i="77"/>
  <c r="AI531" i="77"/>
  <c r="AH531" i="77"/>
  <c r="AK531" i="77" a="1"/>
  <c r="AK531" i="77" s="1"/>
  <c r="BG531" i="77" s="1"/>
  <c r="AG333" i="77"/>
  <c r="BW333" i="77"/>
  <c r="AK333" i="77" a="1"/>
  <c r="AK333" i="77" s="1"/>
  <c r="BG333" i="77" s="1"/>
  <c r="AM333" i="77"/>
  <c r="AI333" i="77"/>
  <c r="AH333" i="77"/>
  <c r="AG370" i="77"/>
  <c r="AM370" i="77"/>
  <c r="AI370" i="77"/>
  <c r="AH370" i="77"/>
  <c r="AK370" i="77" a="1"/>
  <c r="AK370" i="77" s="1"/>
  <c r="BG370" i="77" s="1"/>
  <c r="BW370" i="77"/>
  <c r="AP158" i="77"/>
  <c r="BF158" i="77" s="1"/>
  <c r="AZ158" i="77" s="1"/>
  <c r="BC158" i="77" s="1"/>
  <c r="AF158" i="77"/>
  <c r="AE158" i="77" s="1"/>
  <c r="AP102" i="77"/>
  <c r="BF102" i="77" s="1"/>
  <c r="AZ102" i="77" s="1"/>
  <c r="BC102" i="77" s="1"/>
  <c r="AF102" i="77"/>
  <c r="AE102" i="77"/>
  <c r="AQ428" i="77"/>
  <c r="AX481" i="77"/>
  <c r="BD481" i="77" s="1"/>
  <c r="AQ481" i="77"/>
  <c r="AX297" i="77"/>
  <c r="BD297" i="77" s="1"/>
  <c r="AQ297" i="77"/>
  <c r="AQ176" i="77"/>
  <c r="AX176" i="77"/>
  <c r="BD176" i="77" s="1"/>
  <c r="AP127" i="77"/>
  <c r="BF127" i="77" s="1"/>
  <c r="AZ127" i="77" s="1"/>
  <c r="AF127" i="77"/>
  <c r="AE127" i="77" s="1"/>
  <c r="AP409" i="77"/>
  <c r="BF409" i="77" s="1"/>
  <c r="AZ409" i="77" s="1"/>
  <c r="BC409" i="77" s="1"/>
  <c r="AF409" i="77"/>
  <c r="AE409" i="77" s="1"/>
  <c r="AX385" i="77"/>
  <c r="BD385" i="77" s="1"/>
  <c r="AQ385" i="77"/>
  <c r="AG460" i="77"/>
  <c r="AK460" i="77" a="1"/>
  <c r="AK460" i="77" s="1"/>
  <c r="BG460" i="77" s="1"/>
  <c r="AI460" i="77"/>
  <c r="BW460" i="77"/>
  <c r="AM460" i="77"/>
  <c r="AH460" i="77"/>
  <c r="AF448" i="77"/>
  <c r="AP448" i="77"/>
  <c r="BF448" i="77" s="1"/>
  <c r="AZ448" i="77" s="1"/>
  <c r="BC448" i="77" s="1"/>
  <c r="AE448" i="77"/>
  <c r="AP345" i="77"/>
  <c r="BF345" i="77" s="1"/>
  <c r="AZ345" i="77" s="1"/>
  <c r="BC345" i="77" s="1"/>
  <c r="AF345" i="77"/>
  <c r="AE345" i="77" s="1"/>
  <c r="AF422" i="77"/>
  <c r="AE422" i="77"/>
  <c r="AP422" i="77"/>
  <c r="BF422" i="77"/>
  <c r="AZ422" i="77" s="1"/>
  <c r="BC422" i="77"/>
  <c r="AP363" i="77"/>
  <c r="BF363" i="77" s="1"/>
  <c r="AZ363" i="77" s="1"/>
  <c r="BC363" i="77" s="1"/>
  <c r="AF363" i="77"/>
  <c r="AE363" i="77"/>
  <c r="AG329" i="77"/>
  <c r="AH329" i="77"/>
  <c r="BW329" i="77"/>
  <c r="AM329" i="77"/>
  <c r="AK329" i="77" a="1"/>
  <c r="AK329" i="77" s="1"/>
  <c r="BG329" i="77" s="1"/>
  <c r="AI329" i="77"/>
  <c r="AQ455" i="77"/>
  <c r="AX455" i="77"/>
  <c r="BD455" i="77" s="1"/>
  <c r="AE426" i="77"/>
  <c r="AP414" i="77"/>
  <c r="BF414" i="77" s="1"/>
  <c r="AZ414" i="77" s="1"/>
  <c r="BC414" i="77" s="1"/>
  <c r="AF414" i="77"/>
  <c r="AE414" i="77"/>
  <c r="AP415" i="77"/>
  <c r="BF415" i="77" s="1"/>
  <c r="AZ415" i="77" s="1"/>
  <c r="BC415" i="77" s="1"/>
  <c r="AF415" i="77"/>
  <c r="AE415" i="77"/>
  <c r="AP327" i="77"/>
  <c r="BF327" i="77" s="1"/>
  <c r="AZ327" i="77" s="1"/>
  <c r="BC327" i="77" s="1"/>
  <c r="AF327" i="77"/>
  <c r="AE327" i="77" s="1"/>
  <c r="AK282" i="77" a="1"/>
  <c r="AK282" i="77" s="1"/>
  <c r="BG282" i="77" s="1"/>
  <c r="BW282" i="77"/>
  <c r="AG282" i="77"/>
  <c r="AI282" i="77"/>
  <c r="AH282" i="77"/>
  <c r="AM282" i="77"/>
  <c r="AQ456" i="77"/>
  <c r="AX456" i="77"/>
  <c r="BD456" i="77" s="1"/>
  <c r="AQ370" i="77"/>
  <c r="AX370" i="77"/>
  <c r="BD370" i="77" s="1"/>
  <c r="AE412" i="77"/>
  <c r="AF502" i="77"/>
  <c r="AE502" i="77"/>
  <c r="AP502" i="77"/>
  <c r="BF502" i="77" s="1"/>
  <c r="AZ502" i="77" s="1"/>
  <c r="BC502" i="77" s="1"/>
  <c r="AP311" i="77"/>
  <c r="BF311" i="77" s="1"/>
  <c r="AZ311" i="77" s="1"/>
  <c r="BC311" i="77" s="1"/>
  <c r="AF311" i="77"/>
  <c r="AE311" i="77" s="1"/>
  <c r="AX545" i="77"/>
  <c r="BD545" i="77" s="1"/>
  <c r="AQ545" i="77"/>
  <c r="AX320" i="77"/>
  <c r="BD320" i="77" s="1"/>
  <c r="AQ320" i="77"/>
  <c r="AF49" i="77"/>
  <c r="AE49" i="77"/>
  <c r="AP49" i="77"/>
  <c r="BF49" i="77"/>
  <c r="AZ49" i="77" s="1"/>
  <c r="BC49" i="77" s="1"/>
  <c r="AQ410" i="77"/>
  <c r="AQ329" i="77"/>
  <c r="AX329" i="77"/>
  <c r="BD329" i="77" s="1"/>
  <c r="AF155" i="77"/>
  <c r="AP155" i="77"/>
  <c r="BF155" i="77"/>
  <c r="AZ155" i="77" s="1"/>
  <c r="BC155" i="77" s="1"/>
  <c r="AE155" i="77"/>
  <c r="AF434" i="77"/>
  <c r="AE434" i="77" s="1"/>
  <c r="AP434" i="77"/>
  <c r="BF434" i="77" s="1"/>
  <c r="AZ434" i="77" s="1"/>
  <c r="BC434" i="77" s="1"/>
  <c r="AF150" i="77"/>
  <c r="AE150" i="77"/>
  <c r="AP150" i="77"/>
  <c r="BF150" i="77" s="1"/>
  <c r="AZ150" i="77" s="1"/>
  <c r="BC150" i="77" s="1"/>
  <c r="AF47" i="77"/>
  <c r="AE47" i="77"/>
  <c r="AP47" i="77"/>
  <c r="BF47" i="77" s="1"/>
  <c r="AZ47" i="77" s="1"/>
  <c r="BC47" i="77" s="1"/>
  <c r="AQ105" i="77"/>
  <c r="AX105" i="77"/>
  <c r="BD105" i="77" s="1"/>
  <c r="AP174" i="77"/>
  <c r="BF174" i="77" s="1"/>
  <c r="AZ174" i="77" s="1"/>
  <c r="BC174" i="77" s="1"/>
  <c r="AF174" i="77"/>
  <c r="AH163" i="77"/>
  <c r="BW163" i="77"/>
  <c r="AG163" i="77"/>
  <c r="AI163" i="77"/>
  <c r="AM163" i="77"/>
  <c r="AE145" i="77"/>
  <c r="AP501" i="77"/>
  <c r="AF501" i="77"/>
  <c r="AE501" i="77"/>
  <c r="BF501" i="77"/>
  <c r="AZ501" i="77" s="1"/>
  <c r="BC501" i="77" s="1"/>
  <c r="AQ484" i="77"/>
  <c r="AX484" i="77"/>
  <c r="BD484" i="77" s="1"/>
  <c r="AF354" i="77"/>
  <c r="AP354" i="77"/>
  <c r="BF354" i="77" s="1"/>
  <c r="AZ354" i="77" s="1"/>
  <c r="BC354" i="77" s="1"/>
  <c r="AP536" i="77"/>
  <c r="BF536" i="77" s="1"/>
  <c r="AZ536" i="77" s="1"/>
  <c r="BC536" i="77" s="1"/>
  <c r="AF536" i="77"/>
  <c r="AP266" i="77"/>
  <c r="BF266" i="77" s="1"/>
  <c r="AZ266" i="77" s="1"/>
  <c r="BC266" i="77" s="1"/>
  <c r="AF266" i="77"/>
  <c r="AE266" i="77" s="1"/>
  <c r="AP514" i="77"/>
  <c r="BF514" i="77" s="1"/>
  <c r="AZ514" i="77" s="1"/>
  <c r="AF514" i="77"/>
  <c r="AE514" i="77"/>
  <c r="BC514" i="77"/>
  <c r="AF173" i="77"/>
  <c r="AP173" i="77"/>
  <c r="BF173" i="77" s="1"/>
  <c r="AZ173" i="77" s="1"/>
  <c r="BC173" i="77" s="1"/>
  <c r="AH394" i="77"/>
  <c r="AG394" i="77"/>
  <c r="AM394" i="77"/>
  <c r="BW394" i="77"/>
  <c r="AK394" i="77" a="1"/>
  <c r="AK394" i="77" s="1"/>
  <c r="BG394" i="77" s="1"/>
  <c r="AI394" i="77"/>
  <c r="AQ380" i="77"/>
  <c r="AX380" i="77"/>
  <c r="BD380" i="77" s="1"/>
  <c r="AP263" i="77"/>
  <c r="BF263" i="77" s="1"/>
  <c r="AZ263" i="77" s="1"/>
  <c r="BC263" i="77" s="1"/>
  <c r="AF263" i="77"/>
  <c r="AE263" i="77" s="1"/>
  <c r="AK545" i="77" a="1"/>
  <c r="AK545" i="77" s="1"/>
  <c r="BG545" i="77" s="1"/>
  <c r="AG545" i="77"/>
  <c r="AM545" i="77"/>
  <c r="AI545" i="77"/>
  <c r="BW545" i="77"/>
  <c r="AH545" i="77"/>
  <c r="AQ215" i="77"/>
  <c r="AK133" i="77" a="1"/>
  <c r="AK133" i="77" s="1"/>
  <c r="BG133" i="77" s="1"/>
  <c r="AG133" i="77"/>
  <c r="BW133" i="77"/>
  <c r="AM133" i="77"/>
  <c r="AH133" i="77"/>
  <c r="AI133" i="77"/>
  <c r="AF30" i="77"/>
  <c r="AE30" i="77"/>
  <c r="AP30" i="77"/>
  <c r="BF30" i="77"/>
  <c r="AZ30" i="77" s="1"/>
  <c r="BA30" i="77" s="1"/>
  <c r="AX318" i="77"/>
  <c r="BD318" i="77" s="1"/>
  <c r="AQ318" i="77"/>
  <c r="AF207" i="77"/>
  <c r="AE207" i="77"/>
  <c r="AP207" i="77"/>
  <c r="BF207" i="77" s="1"/>
  <c r="AZ207" i="77" s="1"/>
  <c r="BC207" i="77" s="1"/>
  <c r="AF123" i="77"/>
  <c r="AP123" i="77"/>
  <c r="BF123" i="77" s="1"/>
  <c r="AZ123" i="77" s="1"/>
  <c r="BC123" i="77" s="1"/>
  <c r="AE123" i="77"/>
  <c r="AQ246" i="77"/>
  <c r="AX246" i="77"/>
  <c r="BD246" i="77" s="1"/>
  <c r="AF78" i="77"/>
  <c r="AE78" i="77" s="1"/>
  <c r="AP78" i="77"/>
  <c r="BF78" i="77" s="1"/>
  <c r="AZ78" i="77" s="1"/>
  <c r="BA78" i="77" s="1"/>
  <c r="AP142" i="77"/>
  <c r="BF142" i="77" s="1"/>
  <c r="AZ142" i="77" s="1"/>
  <c r="AF142" i="77"/>
  <c r="AE142" i="77"/>
  <c r="AQ293" i="77"/>
  <c r="AP210" i="77"/>
  <c r="BF210" i="77" s="1"/>
  <c r="AZ210" i="77" s="1"/>
  <c r="BA210" i="77" s="1"/>
  <c r="AF210" i="77"/>
  <c r="BC210" i="77"/>
  <c r="AQ190" i="77"/>
  <c r="AX190" i="77"/>
  <c r="BD190" i="77" s="1"/>
  <c r="AX32" i="77"/>
  <c r="BD32" i="77" s="1"/>
  <c r="AQ32" i="77"/>
  <c r="AI107" i="77"/>
  <c r="AH107" i="77"/>
  <c r="AG107" i="77"/>
  <c r="BW107" i="77"/>
  <c r="AK107" i="77" a="1"/>
  <c r="AK107" i="77" s="1"/>
  <c r="BG107" i="77" s="1"/>
  <c r="AM107" i="77"/>
  <c r="BG513" i="77"/>
  <c r="BW166" i="77"/>
  <c r="AI166" i="77"/>
  <c r="AH166" i="77"/>
  <c r="AG166" i="77"/>
  <c r="AK166" i="77" a="1"/>
  <c r="AK166" i="77" s="1"/>
  <c r="BG166" i="77" s="1"/>
  <c r="AM166" i="77"/>
  <c r="AF51" i="77"/>
  <c r="AP51" i="77"/>
  <c r="BF51" i="77" s="1"/>
  <c r="AZ51" i="77" s="1"/>
  <c r="BC51" i="77" s="1"/>
  <c r="AQ289" i="77"/>
  <c r="AX289" i="77"/>
  <c r="BD289" i="77" s="1"/>
  <c r="AF328" i="77"/>
  <c r="AE328" i="77"/>
  <c r="AP328" i="77"/>
  <c r="BF328" i="77" s="1"/>
  <c r="AZ328" i="77" s="1"/>
  <c r="BC328" i="77" s="1"/>
  <c r="AH222" i="77"/>
  <c r="AM222" i="77"/>
  <c r="BW222" i="77"/>
  <c r="AK222" i="77" a="1"/>
  <c r="AK222" i="77" s="1"/>
  <c r="BG222" i="77" s="1"/>
  <c r="AI222" i="77"/>
  <c r="AG222" i="77"/>
  <c r="AI167" i="77"/>
  <c r="AH167" i="77"/>
  <c r="AG167" i="77"/>
  <c r="BW167" i="77"/>
  <c r="AK167" i="77" a="1"/>
  <c r="AK167" i="77" s="1"/>
  <c r="BG167" i="77" s="1"/>
  <c r="AM167" i="77"/>
  <c r="AK187" i="77" a="1"/>
  <c r="AK187" i="77" s="1"/>
  <c r="BG187" i="77" s="1"/>
  <c r="AG187" i="77"/>
  <c r="AI187" i="77"/>
  <c r="AH187" i="77"/>
  <c r="BW187" i="77"/>
  <c r="AM187" i="77"/>
  <c r="AX63" i="77"/>
  <c r="BD63" i="77" s="1"/>
  <c r="AX109" i="77"/>
  <c r="BD109" i="77" s="1"/>
  <c r="AQ109" i="77"/>
  <c r="AF122" i="77"/>
  <c r="AE122" i="77" s="1"/>
  <c r="AP122" i="77"/>
  <c r="BF122" i="77" s="1"/>
  <c r="AZ122" i="77" s="1"/>
  <c r="BC122" i="77" s="1"/>
  <c r="AP388" i="77"/>
  <c r="BF388" i="77"/>
  <c r="AZ388" i="77" s="1"/>
  <c r="BC388" i="77" s="1"/>
  <c r="AF388" i="77"/>
  <c r="AE388" i="77" s="1"/>
  <c r="AP517" i="77"/>
  <c r="BF517" i="77" s="1"/>
  <c r="AZ517" i="77" s="1"/>
  <c r="BC517" i="77" s="1"/>
  <c r="AF517" i="77"/>
  <c r="AP351" i="77"/>
  <c r="BF351" i="77" s="1"/>
  <c r="AZ351" i="77" s="1"/>
  <c r="AF351" i="77"/>
  <c r="AF352" i="77"/>
  <c r="AE352" i="77" s="1"/>
  <c r="AP352" i="77"/>
  <c r="BF352" i="77" s="1"/>
  <c r="AZ352" i="77" s="1"/>
  <c r="BA352" i="77" s="1"/>
  <c r="AK452" i="77" a="1"/>
  <c r="AK452" i="77" s="1"/>
  <c r="BG452" i="77" s="1"/>
  <c r="AI452" i="77"/>
  <c r="AM452" i="77"/>
  <c r="BW452" i="77"/>
  <c r="AH452" i="77"/>
  <c r="AG452" i="77"/>
  <c r="AF40" i="77"/>
  <c r="AE40" i="77" s="1"/>
  <c r="AP40" i="77"/>
  <c r="BF40" i="77" s="1"/>
  <c r="AZ40" i="77" s="1"/>
  <c r="BC40" i="77" s="1"/>
  <c r="AP401" i="77"/>
  <c r="BF401" i="77" s="1"/>
  <c r="AZ401" i="77" s="1"/>
  <c r="BC401" i="77" s="1"/>
  <c r="AF401" i="77"/>
  <c r="AE401" i="77"/>
  <c r="AX196" i="77"/>
  <c r="BD196" i="77" s="1"/>
  <c r="AQ196" i="77"/>
  <c r="AP520" i="77"/>
  <c r="BF520" i="77" s="1"/>
  <c r="AZ520" i="77" s="1"/>
  <c r="BC520" i="77" s="1"/>
  <c r="AF520" i="77"/>
  <c r="AE520" i="77"/>
  <c r="BF489" i="77"/>
  <c r="AZ489" i="77" s="1"/>
  <c r="BC489" i="77" s="1"/>
  <c r="AF439" i="77"/>
  <c r="AP439" i="77"/>
  <c r="BF439" i="77" s="1"/>
  <c r="AZ439" i="77" s="1"/>
  <c r="BC439" i="77" s="1"/>
  <c r="AP482" i="77"/>
  <c r="AF482" i="77"/>
  <c r="AE482" i="77"/>
  <c r="BF482" i="77"/>
  <c r="AZ482" i="77" s="1"/>
  <c r="BC482" i="77" s="1"/>
  <c r="AX535" i="77"/>
  <c r="BD535" i="77" s="1"/>
  <c r="AQ535" i="77"/>
  <c r="AF248" i="77"/>
  <c r="AE248" i="77" s="1"/>
  <c r="AP248" i="77"/>
  <c r="BF248" i="77" s="1"/>
  <c r="AZ248" i="77" s="1"/>
  <c r="BC248" i="77" s="1"/>
  <c r="AF449" i="77"/>
  <c r="AP449" i="77"/>
  <c r="BF449" i="77" s="1"/>
  <c r="AZ449" i="77" s="1"/>
  <c r="BC449" i="77" s="1"/>
  <c r="AE449" i="77"/>
  <c r="BF197" i="77"/>
  <c r="AZ197" i="77" s="1"/>
  <c r="BC197" i="77" s="1"/>
  <c r="AP197" i="77"/>
  <c r="AF197" i="77"/>
  <c r="AI253" i="77"/>
  <c r="AK253" i="77" a="1"/>
  <c r="AK253" i="77" s="1"/>
  <c r="BG253" i="77" s="1"/>
  <c r="AH253" i="77"/>
  <c r="AM253" i="77"/>
  <c r="AG253" i="77"/>
  <c r="BW253" i="77"/>
  <c r="AX90" i="77"/>
  <c r="BD90" i="77" s="1"/>
  <c r="AQ90" i="77"/>
  <c r="AF523" i="77"/>
  <c r="AP523" i="77"/>
  <c r="BF523" i="77" s="1"/>
  <c r="AZ523" i="77" s="1"/>
  <c r="BC523" i="77" s="1"/>
  <c r="AP491" i="77"/>
  <c r="BF491" i="77" s="1"/>
  <c r="AZ491" i="77" s="1"/>
  <c r="BC491" i="77" s="1"/>
  <c r="AF491" i="77"/>
  <c r="AE491" i="77"/>
  <c r="AG547" i="77"/>
  <c r="AK547" i="77" a="1"/>
  <c r="AK547" i="77" s="1"/>
  <c r="BG547" i="77" s="1"/>
  <c r="AI547" i="77"/>
  <c r="AH547" i="77"/>
  <c r="AM547" i="77"/>
  <c r="BW547" i="77"/>
  <c r="AF406" i="77"/>
  <c r="AE406" i="77"/>
  <c r="AP406" i="77"/>
  <c r="BF406" i="77" s="1"/>
  <c r="AZ406" i="77" s="1"/>
  <c r="BC406" i="77" s="1"/>
  <c r="AI334" i="77"/>
  <c r="AH334" i="77"/>
  <c r="BW334" i="77"/>
  <c r="AG334" i="77"/>
  <c r="AM392" i="77"/>
  <c r="AH392" i="77"/>
  <c r="AF390" i="77"/>
  <c r="AP390" i="77"/>
  <c r="BF390" i="77" s="1"/>
  <c r="AZ390" i="77" s="1"/>
  <c r="BC390" i="77" s="1"/>
  <c r="AF445" i="77"/>
  <c r="AE445" i="77"/>
  <c r="AP445" i="77"/>
  <c r="BF445" i="77"/>
  <c r="AZ445" i="77" s="1"/>
  <c r="BC445" i="77"/>
  <c r="AP402" i="77"/>
  <c r="BF402" i="77" s="1"/>
  <c r="AZ402" i="77" s="1"/>
  <c r="BC402" i="77" s="1"/>
  <c r="AF402" i="77"/>
  <c r="AX394" i="77"/>
  <c r="BD394" i="77" s="1"/>
  <c r="AQ394" i="77"/>
  <c r="AP218" i="77"/>
  <c r="BF218" i="77" s="1"/>
  <c r="AZ218" i="77" s="1"/>
  <c r="AF218" i="77"/>
  <c r="AE218" i="77"/>
  <c r="AF288" i="77"/>
  <c r="AE288" i="77"/>
  <c r="AP288" i="77"/>
  <c r="BF288" i="77"/>
  <c r="AZ288" i="77" s="1"/>
  <c r="BC288" i="77" s="1"/>
  <c r="AX430" i="77"/>
  <c r="BD430" i="77" s="1"/>
  <c r="AQ430" i="77"/>
  <c r="AM216" i="77"/>
  <c r="AI216" i="77"/>
  <c r="AK216" i="77" a="1"/>
  <c r="AK216" i="77" s="1"/>
  <c r="BW216" i="77"/>
  <c r="AH216" i="77"/>
  <c r="AG216" i="77"/>
  <c r="AX252" i="77"/>
  <c r="BD252" i="77" s="1"/>
  <c r="AQ252" i="77"/>
  <c r="AX170" i="77"/>
  <c r="BD170" i="77" s="1"/>
  <c r="AE170" i="77"/>
  <c r="AQ170" i="77"/>
  <c r="AQ48" i="77"/>
  <c r="AX48" i="77"/>
  <c r="BD48" i="77" s="1"/>
  <c r="AK353" i="77" a="1"/>
  <c r="AK353" i="77" s="1"/>
  <c r="BG353" i="77" s="1"/>
  <c r="AI353" i="77"/>
  <c r="AG353" i="77"/>
  <c r="BW353" i="77"/>
  <c r="AM353" i="77"/>
  <c r="AH353" i="77"/>
  <c r="AP260" i="77"/>
  <c r="AF35" i="77"/>
  <c r="AE35" i="77" s="1"/>
  <c r="AP35" i="77"/>
  <c r="BF35" i="77" s="1"/>
  <c r="AZ35" i="77" s="1"/>
  <c r="AF515" i="77"/>
  <c r="AE515" i="77"/>
  <c r="AP515" i="77"/>
  <c r="BF515" i="77"/>
  <c r="AZ515" i="77" s="1"/>
  <c r="BC515" i="77" s="1"/>
  <c r="AX43" i="77"/>
  <c r="BD43" i="77" s="1"/>
  <c r="AQ43" i="77"/>
  <c r="AQ77" i="77"/>
  <c r="AI410" i="77"/>
  <c r="AH410" i="77"/>
  <c r="AM410" i="77"/>
  <c r="AK410" i="77" a="1"/>
  <c r="AK410" i="77" s="1"/>
  <c r="BG410" i="77" s="1"/>
  <c r="BW410" i="77"/>
  <c r="AG410" i="77"/>
  <c r="AP104" i="77"/>
  <c r="BF104" i="77" s="1"/>
  <c r="AZ104" i="77" s="1"/>
  <c r="BC104" i="77" s="1"/>
  <c r="AF104" i="77"/>
  <c r="AP397" i="77"/>
  <c r="BF397" i="77" s="1"/>
  <c r="AZ397" i="77" s="1"/>
  <c r="BC397" i="77" s="1"/>
  <c r="AF397" i="77"/>
  <c r="AF54" i="77"/>
  <c r="AE54" i="77"/>
  <c r="AP54" i="77"/>
  <c r="BF54" i="77" s="1"/>
  <c r="AZ54" i="77" s="1"/>
  <c r="BC54" i="77" s="1"/>
  <c r="AK184" i="77" a="1"/>
  <c r="AK184" i="77" s="1"/>
  <c r="BG184" i="77" s="1"/>
  <c r="AK59" i="77" a="1"/>
  <c r="AK59" i="77" s="1"/>
  <c r="BG59" i="77" s="1"/>
  <c r="AH59" i="77"/>
  <c r="AG59" i="77"/>
  <c r="AI59" i="77"/>
  <c r="BW59" i="77"/>
  <c r="AM59" i="77"/>
  <c r="BW57" i="77"/>
  <c r="AI57" i="77"/>
  <c r="AK57" i="77" a="1"/>
  <c r="AK57" i="77" s="1"/>
  <c r="BG57" i="77" s="1"/>
  <c r="AH57" i="77"/>
  <c r="AG57" i="77"/>
  <c r="AM57" i="77"/>
  <c r="AE190" i="77"/>
  <c r="AQ326" i="77"/>
  <c r="AX326" i="77"/>
  <c r="BD326" i="77" s="1"/>
  <c r="AX107" i="77"/>
  <c r="BD107" i="77" s="1"/>
  <c r="AQ107" i="77"/>
  <c r="AF395" i="77"/>
  <c r="AE395" i="77" s="1"/>
  <c r="AP395" i="77"/>
  <c r="BF395" i="77" s="1"/>
  <c r="AZ395" i="77" s="1"/>
  <c r="BC395" i="77" s="1"/>
  <c r="AF291" i="77"/>
  <c r="AP291" i="77"/>
  <c r="BF291" i="77" s="1"/>
  <c r="AZ291" i="77" s="1"/>
  <c r="BC291" i="77" s="1"/>
  <c r="AP120" i="77"/>
  <c r="BF120" i="77" s="1"/>
  <c r="AZ120" i="77" s="1"/>
  <c r="BC120" i="77" s="1"/>
  <c r="AF120" i="77"/>
  <c r="AQ26" i="77"/>
  <c r="AP301" i="77"/>
  <c r="BF301" i="77" s="1"/>
  <c r="AZ301" i="77" s="1"/>
  <c r="BC301" i="77" s="1"/>
  <c r="AF301" i="77"/>
  <c r="AE301" i="77" s="1"/>
  <c r="AF89" i="77"/>
  <c r="AE89" i="77" s="1"/>
  <c r="AP89" i="77"/>
  <c r="BF89" i="77" s="1"/>
  <c r="AZ89" i="77" s="1"/>
  <c r="BC89" i="77" s="1"/>
  <c r="AP110" i="77"/>
  <c r="BF110" i="77" s="1"/>
  <c r="AZ110" i="77" s="1"/>
  <c r="BC110" i="77" s="1"/>
  <c r="AE110" i="77"/>
  <c r="AF110" i="77"/>
  <c r="AG65" i="77"/>
  <c r="AI65" i="77"/>
  <c r="AH65" i="77"/>
  <c r="AK65" i="77" a="1"/>
  <c r="AK65" i="77" s="1"/>
  <c r="BG65" i="77" s="1"/>
  <c r="BW65" i="77"/>
  <c r="AM65" i="77"/>
  <c r="AF138" i="77"/>
  <c r="AE138" i="77" s="1"/>
  <c r="AP138" i="77"/>
  <c r="BF138" i="77" s="1"/>
  <c r="AZ138" i="77" s="1"/>
  <c r="BA138" i="77" s="1"/>
  <c r="AF46" i="77"/>
  <c r="AE46" i="77" s="1"/>
  <c r="AP46" i="77"/>
  <c r="BF46" i="77" s="1"/>
  <c r="AZ46" i="77" s="1"/>
  <c r="BC46" i="77" s="1"/>
  <c r="AF39" i="77"/>
  <c r="AE39" i="77" s="1"/>
  <c r="AP39" i="77"/>
  <c r="BF39" i="77" s="1"/>
  <c r="AZ39" i="77" s="1"/>
  <c r="BC39" i="77" s="1"/>
  <c r="AX167" i="77"/>
  <c r="BD167" i="77" s="1"/>
  <c r="AQ167" i="77"/>
  <c r="AX187" i="77"/>
  <c r="BD187" i="77" s="1"/>
  <c r="AQ187" i="77"/>
  <c r="AQ84" i="77"/>
  <c r="AQ337" i="77"/>
  <c r="AX337" i="77"/>
  <c r="BD337" i="77" s="1"/>
  <c r="AM494" i="77"/>
  <c r="BW494" i="77"/>
  <c r="AK494" i="77" a="1"/>
  <c r="AK494" i="77" s="1"/>
  <c r="BG494" i="77" s="1"/>
  <c r="AI494" i="77"/>
  <c r="AG494" i="77"/>
  <c r="AH494" i="77"/>
  <c r="AF384" i="77"/>
  <c r="AP384" i="77"/>
  <c r="BF384" i="77" s="1"/>
  <c r="AZ384" i="77" s="1"/>
  <c r="BC384" i="77" s="1"/>
  <c r="AP393" i="77"/>
  <c r="BF393" i="77" s="1"/>
  <c r="AZ393" i="77" s="1"/>
  <c r="BC393" i="77" s="1"/>
  <c r="AF393" i="77"/>
  <c r="AE393" i="77" s="1"/>
  <c r="AF115" i="77"/>
  <c r="AP115" i="77"/>
  <c r="BF115" i="77" s="1"/>
  <c r="AZ115" i="77" s="1"/>
  <c r="BC115" i="77" s="1"/>
  <c r="AQ498" i="77"/>
  <c r="AX498" i="77"/>
  <c r="BD498" i="77" s="1"/>
  <c r="AQ27" i="77"/>
  <c r="AF480" i="77"/>
  <c r="AP480" i="77"/>
  <c r="BF480" i="77" s="1"/>
  <c r="AZ480" i="77" s="1"/>
  <c r="BC480" i="77" s="1"/>
  <c r="AE480" i="77"/>
  <c r="AX404" i="77"/>
  <c r="BD404" i="77" s="1"/>
  <c r="AE267" i="77"/>
  <c r="AP71" i="77"/>
  <c r="AF71" i="77"/>
  <c r="AE71" i="77" s="1"/>
  <c r="BF71" i="77"/>
  <c r="AZ71" i="77" s="1"/>
  <c r="BC71" i="77" s="1"/>
  <c r="AQ381" i="77"/>
  <c r="AX381" i="77"/>
  <c r="BD381" i="77" s="1"/>
  <c r="AK489" i="77" a="1"/>
  <c r="AK489" i="77" s="1"/>
  <c r="BG489" i="77" s="1"/>
  <c r="AI489" i="77"/>
  <c r="AG489" i="77"/>
  <c r="BW489" i="77"/>
  <c r="AH489" i="77"/>
  <c r="AM489" i="77"/>
  <c r="AP444" i="77"/>
  <c r="BF444" i="77" s="1"/>
  <c r="AZ444" i="77" s="1"/>
  <c r="BC444" i="77" s="1"/>
  <c r="AF444" i="77"/>
  <c r="AI336" i="77"/>
  <c r="AH336" i="77"/>
  <c r="AM336" i="77"/>
  <c r="BW336" i="77"/>
  <c r="AK336" i="77" a="1"/>
  <c r="AK336" i="77" s="1"/>
  <c r="BG336" i="77" s="1"/>
  <c r="AG336" i="77"/>
  <c r="AF464" i="77"/>
  <c r="AE464" i="77"/>
  <c r="AP464" i="77"/>
  <c r="BF464" i="77" s="1"/>
  <c r="AZ464" i="77" s="1"/>
  <c r="BC464" i="77" s="1"/>
  <c r="AI506" i="77"/>
  <c r="AG506" i="77"/>
  <c r="BW506" i="77"/>
  <c r="AH506" i="77"/>
  <c r="AM506" i="77"/>
  <c r="AK506" i="77" a="1"/>
  <c r="AK506" i="77" s="1"/>
  <c r="BG506" i="77" s="1"/>
  <c r="AK342" i="77" a="1"/>
  <c r="AK342" i="77" s="1"/>
  <c r="BG342" i="77" s="1"/>
  <c r="AI342" i="77"/>
  <c r="AM342" i="77"/>
  <c r="AH342" i="77"/>
  <c r="BW342" i="77"/>
  <c r="AG342" i="77"/>
  <c r="AG146" i="77"/>
  <c r="AI146" i="77"/>
  <c r="AH146" i="77"/>
  <c r="BW146" i="77"/>
  <c r="AK146" i="77" a="1"/>
  <c r="AK146" i="77" s="1"/>
  <c r="BG146" i="77" s="1"/>
  <c r="AM146" i="77"/>
  <c r="AM526" i="77"/>
  <c r="BW526" i="77"/>
  <c r="AI526" i="77"/>
  <c r="AH526" i="77"/>
  <c r="AG526" i="77"/>
  <c r="AK526" i="77" a="1"/>
  <c r="AK526" i="77" s="1"/>
  <c r="BG526" i="77" s="1"/>
  <c r="AP493" i="77"/>
  <c r="BF493" i="77" s="1"/>
  <c r="AZ493" i="77" s="1"/>
  <c r="BC493" i="77" s="1"/>
  <c r="AF493" i="77"/>
  <c r="AE493" i="77"/>
  <c r="AP369" i="77"/>
  <c r="BF369" i="77" s="1"/>
  <c r="AZ369" i="77" s="1"/>
  <c r="BC369" i="77" s="1"/>
  <c r="AF369" i="77"/>
  <c r="AE369" i="77" s="1"/>
  <c r="AP543" i="77"/>
  <c r="BF543" i="77"/>
  <c r="AZ543" i="77" s="1"/>
  <c r="BC543" i="77" s="1"/>
  <c r="AF543" i="77"/>
  <c r="AF303" i="77"/>
  <c r="AE303" i="77" s="1"/>
  <c r="AP303" i="77"/>
  <c r="BF303" i="77" s="1"/>
  <c r="AZ303" i="77" s="1"/>
  <c r="AX42" i="77"/>
  <c r="BD42" i="77" s="1"/>
  <c r="AQ42" i="77"/>
  <c r="AH244" i="77"/>
  <c r="AG244" i="77"/>
  <c r="AK244" i="77" a="1"/>
  <c r="AK244" i="77" s="1"/>
  <c r="BG244" i="77" s="1"/>
  <c r="AI244" i="77"/>
  <c r="BW244" i="77"/>
  <c r="AM244" i="77"/>
  <c r="AK490" i="77" a="1"/>
  <c r="AK490" i="77" s="1"/>
  <c r="BG490" i="77" s="1"/>
  <c r="AI490" i="77"/>
  <c r="AM490" i="77"/>
  <c r="BW490" i="77"/>
  <c r="AH490" i="77"/>
  <c r="AG490" i="77"/>
  <c r="AQ386" i="77"/>
  <c r="AX386" i="77"/>
  <c r="BD386" i="77" s="1"/>
  <c r="AP348" i="77"/>
  <c r="BF348" i="77"/>
  <c r="AZ348" i="77" s="1"/>
  <c r="BA348" i="77" s="1"/>
  <c r="AF348" i="77"/>
  <c r="AE348" i="77"/>
  <c r="BW215" i="77"/>
  <c r="AM215" i="77"/>
  <c r="AK215" i="77" a="1"/>
  <c r="AK215" i="77" s="1"/>
  <c r="AG215" i="77"/>
  <c r="AH215" i="77"/>
  <c r="AI215" i="77"/>
  <c r="AF382" i="77"/>
  <c r="AE382" i="77" s="1"/>
  <c r="AP382" i="77"/>
  <c r="BF382" i="77" s="1"/>
  <c r="AZ382" i="77" s="1"/>
  <c r="BC382" i="77" s="1"/>
  <c r="AX407" i="77"/>
  <c r="BD407" i="77" s="1"/>
  <c r="AQ407" i="77"/>
  <c r="AG297" i="77"/>
  <c r="AM297" i="77"/>
  <c r="BW297" i="77"/>
  <c r="AI297" i="77"/>
  <c r="AH297" i="77"/>
  <c r="AK297" i="77" a="1"/>
  <c r="AK297" i="77" s="1"/>
  <c r="BG297" i="77" s="1"/>
  <c r="AI61" i="77"/>
  <c r="AH61" i="77"/>
  <c r="AG61" i="77"/>
  <c r="AK61" i="77" a="1"/>
  <c r="AK61" i="77" s="1"/>
  <c r="BG61" i="77" s="1"/>
  <c r="AM61" i="77"/>
  <c r="BW61" i="77"/>
  <c r="AP212" i="77"/>
  <c r="BF212" i="77" s="1"/>
  <c r="AZ212" i="77" s="1"/>
  <c r="AF212" i="77"/>
  <c r="AE212" i="77" s="1"/>
  <c r="AF82" i="77"/>
  <c r="AE82" i="77"/>
  <c r="AP82" i="77"/>
  <c r="BF82" i="77" s="1"/>
  <c r="AZ82" i="77" s="1"/>
  <c r="AX164" i="77"/>
  <c r="BD164" i="77" s="1"/>
  <c r="AQ164" i="77"/>
  <c r="AQ175" i="77"/>
  <c r="AX175" i="77"/>
  <c r="BD175" i="77" s="1"/>
  <c r="AQ538" i="77"/>
  <c r="AX538" i="77"/>
  <c r="BD538" i="77" s="1"/>
  <c r="AP453" i="77"/>
  <c r="BF453" i="77" s="1"/>
  <c r="AZ453" i="77" s="1"/>
  <c r="BC453" i="77" s="1"/>
  <c r="AF453" i="77"/>
  <c r="AE453" i="77"/>
  <c r="AP257" i="77"/>
  <c r="AP462" i="77"/>
  <c r="AF462" i="77"/>
  <c r="AE462" i="77" s="1"/>
  <c r="BF462" i="77"/>
  <c r="AZ462" i="77" s="1"/>
  <c r="BC462" i="77" s="1"/>
  <c r="AF192" i="77"/>
  <c r="AP192" i="77"/>
  <c r="BF192" i="77" s="1"/>
  <c r="AZ192" i="77" s="1"/>
  <c r="BC192" i="77" s="1"/>
  <c r="AF199" i="77"/>
  <c r="AE199" i="77" s="1"/>
  <c r="AP199" i="77"/>
  <c r="BF199" i="77" s="1"/>
  <c r="AZ199" i="77" s="1"/>
  <c r="BC199" i="77" s="1"/>
  <c r="AM48" i="77"/>
  <c r="AK48" i="77" a="1"/>
  <c r="AK48" i="77" s="1"/>
  <c r="BG48" i="77" s="1"/>
  <c r="BW48" i="77"/>
  <c r="AI48" i="77"/>
  <c r="AG48" i="77"/>
  <c r="AH48" i="77"/>
  <c r="AK77" i="77" a="1"/>
  <c r="AK77" i="77" s="1"/>
  <c r="AI77" i="77"/>
  <c r="BW77" i="77"/>
  <c r="AH77" i="77"/>
  <c r="AG77" i="77"/>
  <c r="AM77" i="77"/>
  <c r="AF284" i="77"/>
  <c r="AP284" i="77"/>
  <c r="BF284" i="77" s="1"/>
  <c r="AZ284" i="77" s="1"/>
  <c r="BC284" i="77" s="1"/>
  <c r="AE284" i="77"/>
  <c r="AP421" i="77"/>
  <c r="BF421" i="77" s="1"/>
  <c r="AZ421" i="77" s="1"/>
  <c r="BC421" i="77" s="1"/>
  <c r="AF421" i="77"/>
  <c r="AE421" i="77" s="1"/>
  <c r="AX542" i="77"/>
  <c r="BD542" i="77" s="1"/>
  <c r="AQ542" i="77"/>
  <c r="AF241" i="77"/>
  <c r="AP241" i="77"/>
  <c r="BF241" i="77" s="1"/>
  <c r="AZ241" i="77" s="1"/>
  <c r="AE241" i="77"/>
  <c r="AQ324" i="77"/>
  <c r="AX324" i="77"/>
  <c r="BD324" i="77" s="1"/>
  <c r="AK326" i="77" a="1"/>
  <c r="AK326" i="77" s="1"/>
  <c r="BG326" i="77" s="1"/>
  <c r="AI326" i="77"/>
  <c r="AM326" i="77"/>
  <c r="BW326" i="77"/>
  <c r="AH326" i="77"/>
  <c r="AG326" i="77"/>
  <c r="AP80" i="77"/>
  <c r="BF80" i="77" s="1"/>
  <c r="AZ80" i="77" s="1"/>
  <c r="AF80" i="77"/>
  <c r="AK521" i="77" a="1"/>
  <c r="AK521" i="77" s="1"/>
  <c r="BG521" i="77" s="1"/>
  <c r="AI521" i="77"/>
  <c r="AG521" i="77"/>
  <c r="AM521" i="77"/>
  <c r="AH521" i="77"/>
  <c r="BW521" i="77"/>
  <c r="AF541" i="77"/>
  <c r="AP541" i="77"/>
  <c r="BF541" i="77" s="1"/>
  <c r="AZ541" i="77" s="1"/>
  <c r="BC541" i="77" s="1"/>
  <c r="AX547" i="77"/>
  <c r="BD547" i="77" s="1"/>
  <c r="AQ547" i="77"/>
  <c r="AG451" i="77"/>
  <c r="AI451" i="77"/>
  <c r="AH451" i="77"/>
  <c r="BW451" i="77"/>
  <c r="AK451" i="77" a="1"/>
  <c r="AK451" i="77" s="1"/>
  <c r="BG451" i="77" s="1"/>
  <c r="AM451" i="77"/>
  <c r="AM468" i="77"/>
  <c r="BW468" i="77"/>
  <c r="AG468" i="77"/>
  <c r="AI468" i="77"/>
  <c r="AH468" i="77"/>
  <c r="AK468" i="77" a="1"/>
  <c r="AK468" i="77" s="1"/>
  <c r="BG468" i="77" s="1"/>
  <c r="AX537" i="77"/>
  <c r="BD537" i="77" s="1"/>
  <c r="AQ537" i="77"/>
  <c r="AF486" i="77"/>
  <c r="AP486" i="77"/>
  <c r="BF486" i="77"/>
  <c r="AZ486" i="77" s="1"/>
  <c r="BC486" i="77" s="1"/>
  <c r="AE486" i="77"/>
  <c r="AX392" i="77"/>
  <c r="BD392" i="77" s="1"/>
  <c r="AF376" i="77"/>
  <c r="AP376" i="77"/>
  <c r="BF376" i="77" s="1"/>
  <c r="AZ376" i="77" s="1"/>
  <c r="BC376" i="77" s="1"/>
  <c r="AP332" i="77"/>
  <c r="BF332" i="77" s="1"/>
  <c r="AZ332" i="77" s="1"/>
  <c r="BC332" i="77" s="1"/>
  <c r="AF332" i="77"/>
  <c r="AE332" i="77" s="1"/>
  <c r="AQ425" i="77"/>
  <c r="AX425" i="77"/>
  <c r="BD425" i="77" s="1"/>
  <c r="AF310" i="77"/>
  <c r="AE310" i="77" s="1"/>
  <c r="AP310" i="77"/>
  <c r="BF310" i="77" s="1"/>
  <c r="AZ310" i="77" s="1"/>
  <c r="BC310" i="77" s="1"/>
  <c r="AF225" i="77"/>
  <c r="AE225" i="77" s="1"/>
  <c r="AP225" i="77"/>
  <c r="BF225" i="77" s="1"/>
  <c r="AZ225" i="77" s="1"/>
  <c r="BC225" i="77" s="1"/>
  <c r="AQ500" i="77"/>
  <c r="AX500" i="77"/>
  <c r="BD500" i="77" s="1"/>
  <c r="AE430" i="77"/>
  <c r="AF245" i="77"/>
  <c r="AE245" i="77" s="1"/>
  <c r="AP245" i="77"/>
  <c r="BF245" i="77" s="1"/>
  <c r="AZ245" i="77" s="1"/>
  <c r="BC245" i="77" s="1"/>
  <c r="AF476" i="77"/>
  <c r="AE476" i="77" s="1"/>
  <c r="AP476" i="77"/>
  <c r="BF476" i="77" s="1"/>
  <c r="AZ476" i="77" s="1"/>
  <c r="BC476" i="77" s="1"/>
  <c r="AQ353" i="77"/>
  <c r="AX353" i="77"/>
  <c r="BD353" i="77" s="1"/>
  <c r="AX285" i="77"/>
  <c r="BD285" i="77" s="1"/>
  <c r="AQ285" i="77"/>
  <c r="AX360" i="77"/>
  <c r="BD360" i="77" s="1"/>
  <c r="AQ360" i="77"/>
  <c r="AX169" i="77"/>
  <c r="BD169" i="77" s="1"/>
  <c r="AQ169" i="77"/>
  <c r="AP97" i="77"/>
  <c r="BF97" i="77"/>
  <c r="AZ97" i="77" s="1"/>
  <c r="BC97" i="77" s="1"/>
  <c r="AF97" i="77"/>
  <c r="AF396" i="77"/>
  <c r="AE396" i="77" s="1"/>
  <c r="AP396" i="77"/>
  <c r="BF396" i="77" s="1"/>
  <c r="AZ396" i="77" s="1"/>
  <c r="BC396" i="77" s="1"/>
  <c r="AK298" i="77" a="1"/>
  <c r="AK298" i="77" s="1"/>
  <c r="BG298" i="77" s="1"/>
  <c r="AI298" i="77"/>
  <c r="AM298" i="77"/>
  <c r="BW298" i="77"/>
  <c r="AH298" i="77"/>
  <c r="AG298" i="77"/>
  <c r="AI202" i="77"/>
  <c r="AK202" i="77" a="1"/>
  <c r="AK202" i="77" s="1"/>
  <c r="BG202" i="77" s="1"/>
  <c r="AH202" i="77"/>
  <c r="BW202" i="77"/>
  <c r="AM202" i="77"/>
  <c r="AG202" i="77"/>
  <c r="AX184" i="77"/>
  <c r="BD184" i="77" s="1"/>
  <c r="AQ184" i="77"/>
  <c r="AQ59" i="77"/>
  <c r="AX59" i="77"/>
  <c r="BD59" i="77" s="1"/>
  <c r="AF470" i="77"/>
  <c r="AE470" i="77" s="1"/>
  <c r="AP470" i="77"/>
  <c r="BF470" i="77"/>
  <c r="AZ470" i="77" s="1"/>
  <c r="BC470" i="77" s="1"/>
  <c r="AX57" i="77"/>
  <c r="BD57" i="77" s="1"/>
  <c r="AQ57" i="77"/>
  <c r="AQ148" i="77"/>
  <c r="AP136" i="77"/>
  <c r="BF136" i="77" s="1"/>
  <c r="AZ136" i="77" s="1"/>
  <c r="AF136" i="77"/>
  <c r="AE136" i="77"/>
  <c r="AP299" i="77"/>
  <c r="BF299" i="77" s="1"/>
  <c r="AZ299" i="77" s="1"/>
  <c r="BC299" i="77" s="1"/>
  <c r="AF299" i="77"/>
  <c r="AE299" i="77" s="1"/>
  <c r="AF147" i="77"/>
  <c r="AE147" i="77" s="1"/>
  <c r="AP147" i="77"/>
  <c r="BF147" i="77" s="1"/>
  <c r="AZ147" i="77" s="1"/>
  <c r="AP129" i="77"/>
  <c r="BF129" i="77" s="1"/>
  <c r="AZ129" i="77" s="1"/>
  <c r="AF129" i="77"/>
  <c r="AE129" i="77" s="1"/>
  <c r="AX65" i="77"/>
  <c r="BD65" i="77" s="1"/>
  <c r="AQ65" i="77"/>
  <c r="AF131" i="77"/>
  <c r="AP131" i="77"/>
  <c r="BF131" i="77" s="1"/>
  <c r="AZ131" i="77" s="1"/>
  <c r="AE131" i="77"/>
  <c r="AP269" i="77"/>
  <c r="AE337" i="77"/>
  <c r="AF504" i="77"/>
  <c r="AE504" i="77" s="1"/>
  <c r="AP504" i="77"/>
  <c r="BF504" i="77" s="1"/>
  <c r="AZ504" i="77" s="1"/>
  <c r="BC504" i="77" s="1"/>
  <c r="AF475" i="77"/>
  <c r="AE475" i="77" s="1"/>
  <c r="AP475" i="77"/>
  <c r="BF475" i="77" s="1"/>
  <c r="AZ475" i="77" s="1"/>
  <c r="BC475" i="77" s="1"/>
  <c r="AH447" i="77"/>
  <c r="AG447" i="77"/>
  <c r="BW447" i="77"/>
  <c r="AI447" i="77"/>
  <c r="AM447" i="77"/>
  <c r="AK447" i="77" a="1"/>
  <c r="AK447" i="77" s="1"/>
  <c r="BG447" i="77" s="1"/>
  <c r="AQ130" i="77"/>
  <c r="AP151" i="77"/>
  <c r="BF151" i="77" s="1"/>
  <c r="AZ151" i="77" s="1"/>
  <c r="BC151" i="77" s="1"/>
  <c r="AF151" i="77"/>
  <c r="AE151" i="77" s="1"/>
  <c r="AM495" i="77"/>
  <c r="AK495" i="77" a="1"/>
  <c r="AK495" i="77" s="1"/>
  <c r="BG495" i="77" s="1"/>
  <c r="AI495" i="77"/>
  <c r="BW495" i="77"/>
  <c r="AH495" i="77"/>
  <c r="AG495" i="77"/>
  <c r="AQ279" i="77"/>
  <c r="AF471" i="77"/>
  <c r="AE471" i="77" s="1"/>
  <c r="AP471" i="77"/>
  <c r="BF471" i="77" s="1"/>
  <c r="AZ471" i="77" s="1"/>
  <c r="BC471" i="77" s="1"/>
  <c r="AP121" i="77"/>
  <c r="BF121" i="77" s="1"/>
  <c r="AZ121" i="77" s="1"/>
  <c r="BC121" i="77" s="1"/>
  <c r="AF121" i="77"/>
  <c r="AF137" i="77"/>
  <c r="AE137" i="77" s="1"/>
  <c r="AP137" i="77"/>
  <c r="BF137" i="77" s="1"/>
  <c r="AZ137" i="77" s="1"/>
  <c r="AP469" i="77"/>
  <c r="BF469" i="77" s="1"/>
  <c r="AZ469" i="77" s="1"/>
  <c r="BC469" i="77" s="1"/>
  <c r="AF469" i="77"/>
  <c r="AE469" i="77"/>
  <c r="AF529" i="77"/>
  <c r="AE529" i="77" s="1"/>
  <c r="AP529" i="77"/>
  <c r="BF529" i="77" s="1"/>
  <c r="AZ529" i="77" s="1"/>
  <c r="BC529" i="77" s="1"/>
  <c r="AP198" i="77"/>
  <c r="BF198" i="77" s="1"/>
  <c r="AZ198" i="77" s="1"/>
  <c r="BC198" i="77" s="1"/>
  <c r="AF198" i="77"/>
  <c r="AE198" i="77"/>
  <c r="AX479" i="77"/>
  <c r="BD479" i="77" s="1"/>
  <c r="AQ479" i="77"/>
  <c r="AQ236" i="77"/>
  <c r="AX185" i="77"/>
  <c r="BD185" i="77" s="1"/>
  <c r="AQ185" i="77"/>
  <c r="AE185" i="77"/>
  <c r="AI178" i="77"/>
  <c r="BW178" i="77"/>
  <c r="AK178" i="77" a="1"/>
  <c r="AK178" i="77" s="1"/>
  <c r="BG178" i="77" s="1"/>
  <c r="AG178" i="77"/>
  <c r="AH178" i="77"/>
  <c r="AM178" i="77"/>
  <c r="BW378" i="77"/>
  <c r="AM378" i="77"/>
  <c r="AK378" i="77" a="1"/>
  <c r="AK378" i="77" s="1"/>
  <c r="BG378" i="77" s="1"/>
  <c r="AG378" i="77"/>
  <c r="AI378" i="77"/>
  <c r="AH378" i="77"/>
  <c r="AF438" i="77"/>
  <c r="AE438" i="77"/>
  <c r="AP438" i="77"/>
  <c r="BF438" i="77" s="1"/>
  <c r="AZ438" i="77" s="1"/>
  <c r="BC438" i="77" s="1"/>
  <c r="AF497" i="77"/>
  <c r="AE497" i="77" s="1"/>
  <c r="AP497" i="77"/>
  <c r="BF497" i="77" s="1"/>
  <c r="AZ497" i="77" s="1"/>
  <c r="BC497" i="77" s="1"/>
  <c r="AK302" i="77" a="1"/>
  <c r="AK302" i="77" s="1"/>
  <c r="AM302" i="77"/>
  <c r="AG302" i="77"/>
  <c r="AH302" i="77"/>
  <c r="AI302" i="77"/>
  <c r="BW302" i="77"/>
  <c r="AP346" i="77"/>
  <c r="BF346" i="77" s="1"/>
  <c r="AZ346" i="77" s="1"/>
  <c r="AQ178" i="77"/>
  <c r="AX178" i="77"/>
  <c r="BD178" i="77" s="1"/>
  <c r="AP22" i="77"/>
  <c r="AF22" i="77"/>
  <c r="AE22" i="77" s="1"/>
  <c r="BF22" i="77"/>
  <c r="AZ22" i="77" s="1"/>
  <c r="BC22" i="77" s="1"/>
  <c r="BW418" i="77"/>
  <c r="AI418" i="77"/>
  <c r="AH418" i="77"/>
  <c r="AM418" i="77"/>
  <c r="AK418" i="77" a="1"/>
  <c r="AK418" i="77" s="1"/>
  <c r="BG418" i="77" s="1"/>
  <c r="AG418" i="77"/>
  <c r="AF264" i="77"/>
  <c r="AP264" i="77"/>
  <c r="BF264" i="77" s="1"/>
  <c r="AZ264" i="77" s="1"/>
  <c r="BC264" i="77" s="1"/>
  <c r="AE152" i="77"/>
  <c r="AQ534" i="77"/>
  <c r="AX534" i="77"/>
  <c r="BD534" i="77" s="1"/>
  <c r="AP256" i="77"/>
  <c r="BF256" i="77" s="1"/>
  <c r="AZ256" i="77" s="1"/>
  <c r="BC256" i="77" s="1"/>
  <c r="AF256" i="77"/>
  <c r="AE256" i="77"/>
  <c r="AK465" i="77" a="1"/>
  <c r="AK465" i="77" s="1"/>
  <c r="BG465" i="77" s="1"/>
  <c r="AI465" i="77"/>
  <c r="AH465" i="77"/>
  <c r="AG465" i="77"/>
  <c r="AM465" i="77"/>
  <c r="BW465" i="77"/>
  <c r="AF512" i="77"/>
  <c r="AP512" i="77"/>
  <c r="BF512" i="77" s="1"/>
  <c r="AZ512" i="77" s="1"/>
  <c r="BC512" i="77" s="1"/>
  <c r="AP335" i="77"/>
  <c r="BF335" i="77" s="1"/>
  <c r="AZ335" i="77" s="1"/>
  <c r="BC335" i="77" s="1"/>
  <c r="AF335" i="77"/>
  <c r="AE335" i="77"/>
  <c r="AF126" i="77"/>
  <c r="AP126" i="77"/>
  <c r="BF126" i="77" s="1"/>
  <c r="AZ126" i="77" s="1"/>
  <c r="AE126" i="77"/>
  <c r="AF400" i="77"/>
  <c r="AE400" i="77"/>
  <c r="AP400" i="77"/>
  <c r="BF400" i="77" s="1"/>
  <c r="AZ400" i="77" s="1"/>
  <c r="BC400" i="77" s="1"/>
  <c r="AK500" i="77" a="1"/>
  <c r="AK500" i="77" s="1"/>
  <c r="BG500" i="77" s="1"/>
  <c r="BW500" i="77"/>
  <c r="AI500" i="77"/>
  <c r="AM500" i="77"/>
  <c r="AH500" i="77"/>
  <c r="AG500" i="77"/>
  <c r="AP111" i="77"/>
  <c r="BF111" i="77"/>
  <c r="AZ111" i="77" s="1"/>
  <c r="BC111" i="77"/>
  <c r="AF111" i="77"/>
  <c r="AE111" i="77"/>
  <c r="AH252" i="77"/>
  <c r="AG252" i="77"/>
  <c r="AK252" i="77" a="1"/>
  <c r="AK252" i="77" s="1"/>
  <c r="BG252" i="77" s="1"/>
  <c r="BW252" i="77"/>
  <c r="AM252" i="77"/>
  <c r="AI252" i="77"/>
  <c r="AH169" i="77"/>
  <c r="AG169" i="77"/>
  <c r="AK169" i="77" a="1"/>
  <c r="AK169" i="77" s="1"/>
  <c r="BG169" i="77" s="1"/>
  <c r="AI169" i="77"/>
  <c r="AM169" i="77"/>
  <c r="AK43" i="77" a="1"/>
  <c r="AK43" i="77" s="1"/>
  <c r="BG43" i="77" s="1"/>
  <c r="AH43" i="77"/>
  <c r="AI43" i="77"/>
  <c r="AG43" i="77"/>
  <c r="BW43" i="77"/>
  <c r="AM43" i="77"/>
  <c r="AP95" i="77"/>
  <c r="BF95" i="77" s="1"/>
  <c r="AZ95" i="77" s="1"/>
  <c r="BC95" i="77" s="1"/>
  <c r="AF95" i="77"/>
  <c r="AE95" i="77"/>
  <c r="AQ88" i="77"/>
  <c r="AX88" i="77"/>
  <c r="BD88" i="77" s="1"/>
  <c r="AF251" i="77"/>
  <c r="AE251" i="77"/>
  <c r="AP251" i="77"/>
  <c r="BF251" i="77" s="1"/>
  <c r="AZ251" i="77" s="1"/>
  <c r="BC251" i="77" s="1"/>
  <c r="AX69" i="77"/>
  <c r="BD69" i="77" s="1"/>
  <c r="AQ69" i="77"/>
  <c r="AP478" i="77"/>
  <c r="BF478" i="77" s="1"/>
  <c r="AZ478" i="77" s="1"/>
  <c r="BC478" i="77" s="1"/>
  <c r="AF478" i="77"/>
  <c r="AE478" i="77"/>
  <c r="AG105" i="77"/>
  <c r="AK105" i="77" a="1"/>
  <c r="AK105" i="77" s="1"/>
  <c r="BG105" i="77" s="1"/>
  <c r="BW105" i="77"/>
  <c r="AI105" i="77"/>
  <c r="AH105" i="77"/>
  <c r="AM105" i="77"/>
  <c r="AI366" i="77"/>
  <c r="AH366" i="77"/>
  <c r="AG366" i="77"/>
  <c r="AK366" i="77" a="1"/>
  <c r="AK366" i="77" s="1"/>
  <c r="BG366" i="77" s="1"/>
  <c r="BW366" i="77"/>
  <c r="AM366" i="77"/>
  <c r="AX98" i="77"/>
  <c r="BD98" i="77" s="1"/>
  <c r="AK109" i="77" a="1"/>
  <c r="AK109" i="77" s="1"/>
  <c r="BG109" i="77" s="1"/>
  <c r="AI109" i="77"/>
  <c r="BW109" i="77"/>
  <c r="AH109" i="77"/>
  <c r="AG109" i="77"/>
  <c r="AM109" i="77"/>
  <c r="BF365" i="77"/>
  <c r="AZ365" i="77" s="1"/>
  <c r="BC365" i="77" s="1"/>
  <c r="AF365" i="77"/>
  <c r="AP365" i="77"/>
  <c r="AE365" i="77"/>
  <c r="AF314" i="77"/>
  <c r="AE314" i="77" s="1"/>
  <c r="AP314" i="77"/>
  <c r="BF314" i="77"/>
  <c r="AZ314" i="77" s="1"/>
  <c r="BC314" i="77" s="1"/>
  <c r="AF544" i="77"/>
  <c r="AP544" i="77"/>
  <c r="BF544" i="77" s="1"/>
  <c r="AZ544" i="77" s="1"/>
  <c r="BC544" i="77" s="1"/>
  <c r="AE544" i="77"/>
  <c r="AQ457" i="77"/>
  <c r="AX457" i="77"/>
  <c r="BD457" i="77" s="1"/>
  <c r="AF416" i="77"/>
  <c r="AP416" i="77"/>
  <c r="BF416" i="77" s="1"/>
  <c r="AZ416" i="77" s="1"/>
  <c r="BC416" i="77" s="1"/>
  <c r="AQ487" i="77"/>
  <c r="AX487" i="77"/>
  <c r="BD487" i="77" s="1"/>
  <c r="AF243" i="77"/>
  <c r="AE243" i="77" s="1"/>
  <c r="AP243" i="77"/>
  <c r="BF243" i="77" s="1"/>
  <c r="AZ243" i="77" s="1"/>
  <c r="AF94" i="77"/>
  <c r="AE94" i="77" s="1"/>
  <c r="AP94" i="77"/>
  <c r="BF94" i="77" s="1"/>
  <c r="AZ94" i="77" s="1"/>
  <c r="BC94" i="77" s="1"/>
  <c r="AQ522" i="77"/>
  <c r="AX522" i="77"/>
  <c r="BD522" i="77" s="1"/>
  <c r="AF67" i="77"/>
  <c r="AE67" i="77" s="1"/>
  <c r="AP67" i="77"/>
  <c r="BF67" i="77" s="1"/>
  <c r="AZ67" i="77" s="1"/>
  <c r="BC67" i="77" s="1"/>
  <c r="AP79" i="77"/>
  <c r="BF79" i="77" s="1"/>
  <c r="AZ79" i="77" s="1"/>
  <c r="AF79" i="77"/>
  <c r="AP180" i="77"/>
  <c r="BF180" i="77" s="1"/>
  <c r="AZ180" i="77" s="1"/>
  <c r="AF180" i="77"/>
  <c r="AE180" i="77"/>
  <c r="BC180" i="77"/>
  <c r="AQ418" i="77"/>
  <c r="AM360" i="77"/>
  <c r="AI360" i="77"/>
  <c r="AH360" i="77"/>
  <c r="BW360" i="77"/>
  <c r="AG360" i="77"/>
  <c r="AK360" i="77" a="1"/>
  <c r="AK360" i="77" s="1"/>
  <c r="BG360" i="77" s="1"/>
  <c r="AP323" i="77"/>
  <c r="BF323" i="77" s="1"/>
  <c r="AZ323" i="77" s="1"/>
  <c r="BC323" i="77" s="1"/>
  <c r="AF323" i="77"/>
  <c r="AQ41" i="77"/>
  <c r="AX41" i="77"/>
  <c r="BD41" i="77" s="1"/>
  <c r="AP358" i="77"/>
  <c r="BF358" i="77"/>
  <c r="AZ358" i="77" s="1"/>
  <c r="BA358" i="77" s="1"/>
  <c r="AF358" i="77"/>
  <c r="AE358" i="77"/>
  <c r="AF37" i="77"/>
  <c r="AE37" i="77" s="1"/>
  <c r="AP37" i="77"/>
  <c r="BF37" i="77" s="1"/>
  <c r="AZ37" i="77" s="1"/>
  <c r="BC37" i="77" s="1"/>
  <c r="AP539" i="77"/>
  <c r="BF539" i="77" s="1"/>
  <c r="AZ539" i="77" s="1"/>
  <c r="BC539" i="77" s="1"/>
  <c r="AF539" i="77"/>
  <c r="AF467" i="77"/>
  <c r="AP467" i="77"/>
  <c r="BF467" i="77" s="1"/>
  <c r="AZ467" i="77" s="1"/>
  <c r="BC467" i="77" s="1"/>
  <c r="BF443" i="77"/>
  <c r="AZ443" i="77" s="1"/>
  <c r="BC443" i="77" s="1"/>
  <c r="AF443" i="77"/>
  <c r="AE443" i="77"/>
  <c r="AP443" i="77"/>
  <c r="BG287" i="77"/>
  <c r="AX250" i="77"/>
  <c r="BD250" i="77" s="1"/>
  <c r="AQ250" i="77"/>
  <c r="AK148" i="77" a="1"/>
  <c r="AK148" i="77" s="1"/>
  <c r="AI148" i="77"/>
  <c r="AH148" i="77"/>
  <c r="AM148" i="77"/>
  <c r="AG148" i="77"/>
  <c r="BW148" i="77"/>
  <c r="AE26" i="77"/>
  <c r="AH473" i="77"/>
  <c r="AG473" i="77"/>
  <c r="AI473" i="77"/>
  <c r="AM473" i="77"/>
  <c r="BW473" i="77"/>
  <c r="AK473" i="77" a="1"/>
  <c r="AK473" i="77" s="1"/>
  <c r="BG473" i="77" s="1"/>
  <c r="AK457" i="77" a="1"/>
  <c r="AK457" i="77" s="1"/>
  <c r="BG457" i="77" s="1"/>
  <c r="AI457" i="77"/>
  <c r="AH457" i="77"/>
  <c r="AM457" i="77"/>
  <c r="BW457" i="77"/>
  <c r="AG457" i="77"/>
  <c r="AQ313" i="77"/>
  <c r="AX313" i="77"/>
  <c r="BD313" i="77" s="1"/>
  <c r="AK535" i="77" a="1"/>
  <c r="AK535" i="77" s="1"/>
  <c r="BG535" i="77" s="1"/>
  <c r="AI535" i="77"/>
  <c r="AM535" i="77"/>
  <c r="AG535" i="77"/>
  <c r="AH535" i="77"/>
  <c r="BW535" i="77"/>
  <c r="AQ316" i="77"/>
  <c r="AX316" i="77"/>
  <c r="BD316" i="77" s="1"/>
  <c r="AF344" i="77"/>
  <c r="AE344" i="77"/>
  <c r="AP344" i="77"/>
  <c r="BF344" i="77" s="1"/>
  <c r="AZ344" i="77" s="1"/>
  <c r="BC344" i="77" s="1"/>
  <c r="AE435" i="77"/>
  <c r="AP435" i="77"/>
  <c r="BF435" i="77" s="1"/>
  <c r="AZ435" i="77" s="1"/>
  <c r="BC435" i="77" s="1"/>
  <c r="AF435" i="77"/>
  <c r="AX114" i="77"/>
  <c r="BD114" i="77" s="1"/>
  <c r="AQ114" i="77"/>
  <c r="AP511" i="77"/>
  <c r="BF511" i="77" s="1"/>
  <c r="AZ511" i="77" s="1"/>
  <c r="BC511" i="77" s="1"/>
  <c r="AF511" i="77"/>
  <c r="AP357" i="77"/>
  <c r="BF357" i="77" s="1"/>
  <c r="AZ357" i="77" s="1"/>
  <c r="AX230" i="77"/>
  <c r="BD230" i="77" s="1"/>
  <c r="AQ230" i="77"/>
  <c r="AP431" i="77"/>
  <c r="BF431" i="77" s="1"/>
  <c r="AZ431" i="77" s="1"/>
  <c r="BC431" i="77" s="1"/>
  <c r="AF431" i="77"/>
  <c r="AF317" i="77"/>
  <c r="AP317" i="77"/>
  <c r="BF317" i="77" s="1"/>
  <c r="AZ317" i="77" s="1"/>
  <c r="BC317" i="77" s="1"/>
  <c r="AF58" i="77"/>
  <c r="AE58" i="77" s="1"/>
  <c r="AP58" i="77"/>
  <c r="BF58" i="77"/>
  <c r="AZ58" i="77" s="1"/>
  <c r="BC58" i="77"/>
  <c r="AE196" i="77"/>
  <c r="AX99" i="77"/>
  <c r="BD99" i="77" s="1"/>
  <c r="AQ99" i="77"/>
  <c r="AP201" i="77"/>
  <c r="BF201" i="77" s="1"/>
  <c r="AZ201" i="77" s="1"/>
  <c r="BC201" i="77" s="1"/>
  <c r="AF201" i="77"/>
  <c r="AE201" i="77" s="1"/>
  <c r="AP213" i="77"/>
  <c r="BF213" i="77" s="1"/>
  <c r="AZ213" i="77" s="1"/>
  <c r="AF213" i="77"/>
  <c r="AE213" i="77" s="1"/>
  <c r="AF540" i="77"/>
  <c r="AP540" i="77"/>
  <c r="BF540" i="77"/>
  <c r="AZ540" i="77" s="1"/>
  <c r="BC540" i="77" s="1"/>
  <c r="AP405" i="77"/>
  <c r="BF405" i="77" s="1"/>
  <c r="AZ405" i="77" s="1"/>
  <c r="BC405" i="77" s="1"/>
  <c r="AF405" i="77"/>
  <c r="AF160" i="77"/>
  <c r="AE160" i="77" s="1"/>
  <c r="AP160" i="77"/>
  <c r="BF160" i="77" s="1"/>
  <c r="AZ160" i="77" s="1"/>
  <c r="BC160" i="77" s="1"/>
  <c r="AP72" i="77"/>
  <c r="BF72" i="77"/>
  <c r="AZ72" i="77" s="1"/>
  <c r="BC72" i="77" s="1"/>
  <c r="AF72" i="77"/>
  <c r="AE72" i="77" s="1"/>
  <c r="AP235" i="77"/>
  <c r="BF235" i="77" s="1"/>
  <c r="AZ235" i="77" s="1"/>
  <c r="BC235" i="77" s="1"/>
  <c r="AF235" i="77"/>
  <c r="AG161" i="77"/>
  <c r="AK161" i="77" a="1"/>
  <c r="AK161" i="77" s="1"/>
  <c r="BG161" i="77" s="1"/>
  <c r="AI161" i="77"/>
  <c r="BW161" i="77"/>
  <c r="AH161" i="77"/>
  <c r="AM161" i="77"/>
  <c r="AK481" i="77" a="1"/>
  <c r="AK481" i="77" s="1"/>
  <c r="BG481" i="77" s="1"/>
  <c r="AH481" i="77"/>
  <c r="AG481" i="77"/>
  <c r="BW481" i="77"/>
  <c r="AI481" i="77"/>
  <c r="AM481" i="77"/>
  <c r="AP165" i="77"/>
  <c r="BF165" i="77"/>
  <c r="AZ165" i="77" s="1"/>
  <c r="BC165" i="77" s="1"/>
  <c r="AF165" i="77"/>
  <c r="AE165" i="77"/>
  <c r="AI176" i="77"/>
  <c r="AG176" i="77"/>
  <c r="AH176" i="77"/>
  <c r="AK176" i="77" a="1"/>
  <c r="AK176" i="77" s="1"/>
  <c r="BG176" i="77" s="1"/>
  <c r="BW176" i="77"/>
  <c r="AM176" i="77"/>
  <c r="AX38" i="77"/>
  <c r="BD38" i="77" s="1"/>
  <c r="AQ38" i="77"/>
  <c r="AX244" i="77"/>
  <c r="BD244" i="77" s="1"/>
  <c r="AQ244" i="77"/>
  <c r="AP23" i="77"/>
  <c r="BF23" i="77" s="1"/>
  <c r="AZ23" i="77" s="1"/>
  <c r="BA23" i="77" s="1"/>
  <c r="AF23" i="77"/>
  <c r="AF499" i="77"/>
  <c r="AP499" i="77"/>
  <c r="BF499" i="77" s="1"/>
  <c r="AZ499" i="77" s="1"/>
  <c r="BC499" i="77" s="1"/>
  <c r="AX473" i="77"/>
  <c r="BD473" i="77" s="1"/>
  <c r="AQ473" i="77"/>
  <c r="AK423" i="77" a="1"/>
  <c r="AK423" i="77" s="1"/>
  <c r="BG423" i="77" s="1"/>
  <c r="AI423" i="77"/>
  <c r="AM423" i="77"/>
  <c r="AH423" i="77"/>
  <c r="AG423" i="77"/>
  <c r="BW423" i="77"/>
  <c r="AP450" i="77"/>
  <c r="AF450" i="77"/>
  <c r="AE450" i="77"/>
  <c r="BF450" i="77"/>
  <c r="AZ450" i="77" s="1"/>
  <c r="BC450" i="77" s="1"/>
  <c r="AH537" i="77"/>
  <c r="AG537" i="77"/>
  <c r="BW537" i="77"/>
  <c r="AK537" i="77" a="1"/>
  <c r="AK537" i="77" s="1"/>
  <c r="BG537" i="77" s="1"/>
  <c r="AI537" i="77"/>
  <c r="AM537" i="77"/>
  <c r="AP427" i="77"/>
  <c r="BF427" i="77" s="1"/>
  <c r="AZ427" i="77" s="1"/>
  <c r="BC427" i="77" s="1"/>
  <c r="AE427" i="77"/>
  <c r="AF427" i="77"/>
  <c r="AI425" i="77"/>
  <c r="AH425" i="77"/>
  <c r="AG425" i="77"/>
  <c r="BW425" i="77"/>
  <c r="AM425" i="77"/>
  <c r="AK425" i="77" a="1"/>
  <c r="AK425" i="77" s="1"/>
  <c r="BG425" i="77" s="1"/>
  <c r="AP219" i="77"/>
  <c r="BF219" i="77" s="1"/>
  <c r="AZ219" i="77" s="1"/>
  <c r="AF219" i="77"/>
  <c r="AE219" i="77" s="1"/>
  <c r="AF153" i="77"/>
  <c r="AP153" i="77"/>
  <c r="BF153" i="77" s="1"/>
  <c r="AZ153" i="77" s="1"/>
  <c r="BC153" i="77" s="1"/>
  <c r="AX232" i="77"/>
  <c r="BD232" i="77" s="1"/>
  <c r="AQ232" i="77"/>
  <c r="AI285" i="77"/>
  <c r="AH285" i="77"/>
  <c r="BW285" i="77"/>
  <c r="AG285" i="77"/>
  <c r="AM285" i="77"/>
  <c r="AK285" i="77" a="1"/>
  <c r="AK285" i="77" s="1"/>
  <c r="BG285" i="77" s="1"/>
  <c r="AF64" i="77"/>
  <c r="AE64" i="77"/>
  <c r="AP64" i="77"/>
  <c r="BF64" i="77" s="1"/>
  <c r="AZ64" i="77" s="1"/>
  <c r="BC64" i="77" s="1"/>
  <c r="AE316" i="77"/>
  <c r="AQ217" i="77"/>
  <c r="AF454" i="77"/>
  <c r="AP454" i="77"/>
  <c r="BF454" i="77" s="1"/>
  <c r="AZ454" i="77" s="1"/>
  <c r="BC454" i="77" s="1"/>
  <c r="AP290" i="77"/>
  <c r="BF290" i="77" s="1"/>
  <c r="AZ290" i="77" s="1"/>
  <c r="BC290" i="77" s="1"/>
  <c r="AF290" i="77"/>
  <c r="AE290" i="77"/>
  <c r="AP211" i="77"/>
  <c r="BF211" i="77" s="1"/>
  <c r="AZ211" i="77" s="1"/>
  <c r="BC211" i="77" s="1"/>
  <c r="AF211" i="77"/>
  <c r="AE211" i="77" s="1"/>
  <c r="AF29" i="77"/>
  <c r="AE29" i="77" s="1"/>
  <c r="AP29" i="77"/>
  <c r="BF29" i="77" s="1"/>
  <c r="AZ29" i="77" s="1"/>
  <c r="AX156" i="77"/>
  <c r="BD156" i="77" s="1"/>
  <c r="AQ156" i="77"/>
  <c r="AX92" i="77"/>
  <c r="BD92" i="77" s="1"/>
  <c r="AQ92" i="77"/>
  <c r="AE99" i="77"/>
  <c r="AG90" i="77"/>
  <c r="AI90" i="77"/>
  <c r="AH90" i="77"/>
  <c r="BW90" i="77"/>
  <c r="AM90" i="77"/>
  <c r="AK90" i="77" a="1"/>
  <c r="AK90" i="77" s="1"/>
  <c r="BG90" i="77" s="1"/>
  <c r="AF73" i="77"/>
  <c r="AE73" i="77" s="1"/>
  <c r="AP73" i="77"/>
  <c r="BF73" i="77"/>
  <c r="AZ73" i="77" s="1"/>
  <c r="BC73" i="77" s="1"/>
  <c r="AP527" i="77"/>
  <c r="BF527" i="77" s="1"/>
  <c r="AZ527" i="77" s="1"/>
  <c r="BC527" i="77" s="1"/>
  <c r="AF527" i="77"/>
  <c r="AP533" i="77"/>
  <c r="BF533" i="77" s="1"/>
  <c r="AZ533" i="77" s="1"/>
  <c r="BC533" i="77" s="1"/>
  <c r="AF533" i="77"/>
  <c r="AE533" i="77" s="1"/>
  <c r="AX492" i="77"/>
  <c r="BD492" i="77" s="1"/>
  <c r="AQ492" i="77"/>
  <c r="AF338" i="77"/>
  <c r="AE338" i="77" s="1"/>
  <c r="AP338" i="77"/>
  <c r="BF338" i="77" s="1"/>
  <c r="AZ338" i="77" s="1"/>
  <c r="BC338" i="77" s="1"/>
  <c r="AF398" i="77"/>
  <c r="AE398" i="77" s="1"/>
  <c r="AP398" i="77"/>
  <c r="BF398" i="77" s="1"/>
  <c r="AZ398" i="77" s="1"/>
  <c r="BC398" i="77" s="1"/>
  <c r="AP389" i="77"/>
  <c r="BF389" i="77" s="1"/>
  <c r="AZ389" i="77" s="1"/>
  <c r="BC389" i="77" s="1"/>
  <c r="AF389" i="77"/>
  <c r="AE389" i="77" s="1"/>
  <c r="AP507" i="77"/>
  <c r="BF507" i="77" s="1"/>
  <c r="AZ507" i="77" s="1"/>
  <c r="BC507" i="77" s="1"/>
  <c r="AF507" i="77"/>
  <c r="AE313" i="77"/>
  <c r="AE420" i="77"/>
  <c r="AE479" i="77"/>
  <c r="AP319" i="77"/>
  <c r="BF319" i="77" s="1"/>
  <c r="AZ319" i="77" s="1"/>
  <c r="BC319" i="77" s="1"/>
  <c r="AF319" i="77"/>
  <c r="AE319" i="77" s="1"/>
  <c r="AI293" i="77"/>
  <c r="AH293" i="77"/>
  <c r="AM293" i="77"/>
  <c r="AK293" i="77" a="1"/>
  <c r="AK293" i="77" s="1"/>
  <c r="BG293" i="77" s="1"/>
  <c r="BW293" i="77"/>
  <c r="AG293" i="77"/>
  <c r="AX532" i="77"/>
  <c r="BD532" i="77" s="1"/>
  <c r="AQ532" i="77"/>
  <c r="BW234" i="77"/>
  <c r="AI234" i="77"/>
  <c r="AG234" i="77"/>
  <c r="AH234" i="77"/>
  <c r="AM234" i="77"/>
  <c r="AK234" i="77" a="1"/>
  <c r="AK234" i="77" s="1"/>
  <c r="BG234" i="77" s="1"/>
  <c r="AI508" i="77"/>
  <c r="AH508" i="77"/>
  <c r="AK508" i="77" a="1"/>
  <c r="AK508" i="77" s="1"/>
  <c r="BG508" i="77" s="1"/>
  <c r="BW508" i="77"/>
  <c r="AM508" i="77"/>
  <c r="AG508" i="77"/>
  <c r="AF168" i="77"/>
  <c r="AE168" i="77" s="1"/>
  <c r="AP168" i="77"/>
  <c r="BF168" i="77" s="1"/>
  <c r="AZ168" i="77" s="1"/>
  <c r="BC168" i="77" s="1"/>
  <c r="AM217" i="77"/>
  <c r="AK217" i="77" a="1"/>
  <c r="AK217" i="77" s="1"/>
  <c r="BW217" i="77"/>
  <c r="AH217" i="77"/>
  <c r="AG217" i="77"/>
  <c r="AI217" i="77"/>
  <c r="AX220" i="77"/>
  <c r="BD220" i="77" s="1"/>
  <c r="AQ220" i="77"/>
  <c r="AQ139" i="77"/>
  <c r="AE130" i="77"/>
  <c r="AE498" i="77"/>
  <c r="AE331" i="77"/>
  <c r="AQ227" i="77"/>
  <c r="AX227" i="77"/>
  <c r="BD227" i="77" s="1"/>
  <c r="AX172" i="77"/>
  <c r="BD172" i="77" s="1"/>
  <c r="AQ172" i="77"/>
  <c r="AE27" i="77"/>
  <c r="AE154" i="77"/>
  <c r="AF91" i="77"/>
  <c r="AP91" i="77"/>
  <c r="BF91" i="77" s="1"/>
  <c r="AZ91" i="77" s="1"/>
  <c r="BC91" i="77" s="1"/>
  <c r="AX45" i="77"/>
  <c r="BD45" i="77" s="1"/>
  <c r="AQ45" i="77"/>
  <c r="AQ52" i="77"/>
  <c r="AX52" i="77"/>
  <c r="BD52" i="77" s="1"/>
  <c r="AX163" i="77"/>
  <c r="BD163" i="77" s="1"/>
  <c r="AF33" i="77"/>
  <c r="AE33" i="77"/>
  <c r="AP33" i="77"/>
  <c r="BF33" i="77" s="1"/>
  <c r="AZ33" i="77" s="1"/>
  <c r="BC33" i="77" s="1"/>
  <c r="AP226" i="77"/>
  <c r="BF226" i="77"/>
  <c r="AZ226" i="77" s="1"/>
  <c r="BC226" i="77" s="1"/>
  <c r="AF226" i="77"/>
  <c r="AX300" i="77"/>
  <c r="BD300" i="77" s="1"/>
  <c r="AQ300" i="77"/>
  <c r="AK92" i="77" a="1"/>
  <c r="AK92" i="77" s="1"/>
  <c r="BG92" i="77" s="1"/>
  <c r="AI92" i="77"/>
  <c r="AH92" i="77"/>
  <c r="AX193" i="77"/>
  <c r="BD193" i="77" s="1"/>
  <c r="AQ193" i="77"/>
  <c r="AQ34" i="77"/>
  <c r="AE114" i="77"/>
  <c r="AX292" i="77"/>
  <c r="BD292" i="77" s="1"/>
  <c r="AQ292" i="77"/>
  <c r="AI204" i="76"/>
  <c r="AH204" i="76"/>
  <c r="AG204" i="76"/>
  <c r="AM204" i="76"/>
  <c r="BW204" i="76"/>
  <c r="AK204" i="76" a="1"/>
  <c r="AK204" i="76" s="1"/>
  <c r="BG204" i="76" s="1"/>
  <c r="BW350" i="76"/>
  <c r="AK350" i="76" a="1"/>
  <c r="AK350" i="76" s="1"/>
  <c r="BG350" i="76" s="1"/>
  <c r="AI350" i="76"/>
  <c r="AM350" i="76"/>
  <c r="AH350" i="76"/>
  <c r="AG350" i="76"/>
  <c r="AX42" i="76"/>
  <c r="BD42" i="76" s="1"/>
  <c r="AQ42" i="76"/>
  <c r="AE42" i="76"/>
  <c r="BF350" i="76"/>
  <c r="AZ350" i="76" s="1"/>
  <c r="BC350" i="76" s="1"/>
  <c r="AQ350" i="76"/>
  <c r="AI31" i="76"/>
  <c r="AK31" i="76" a="1"/>
  <c r="AK31" i="76" s="1"/>
  <c r="BG31" i="76" s="1"/>
  <c r="AH31" i="76"/>
  <c r="AM31" i="76"/>
  <c r="BW31" i="76"/>
  <c r="AG31" i="76"/>
  <c r="AM145" i="76"/>
  <c r="BW145" i="76"/>
  <c r="AK145" i="76" a="1"/>
  <c r="AK145" i="76" s="1"/>
  <c r="BG145" i="76" s="1"/>
  <c r="AI145" i="76"/>
  <c r="AH145" i="76"/>
  <c r="AG145" i="76"/>
  <c r="BF279" i="76"/>
  <c r="AZ279" i="76" s="1"/>
  <c r="BC279" i="76"/>
  <c r="AF279" i="76"/>
  <c r="AP279" i="76"/>
  <c r="AI390" i="76"/>
  <c r="AH390" i="76"/>
  <c r="AK390" i="76" a="1"/>
  <c r="AK390" i="76" s="1"/>
  <c r="BG390" i="76" s="1"/>
  <c r="AG390" i="76"/>
  <c r="BW390" i="76"/>
  <c r="AM390" i="76"/>
  <c r="AG186" i="76"/>
  <c r="BW186" i="76"/>
  <c r="AI186" i="76"/>
  <c r="AH186" i="76"/>
  <c r="AM186" i="76"/>
  <c r="AK186" i="76" a="1"/>
  <c r="AK186" i="76" s="1"/>
  <c r="BG186" i="76" s="1"/>
  <c r="AK261" i="76" a="1"/>
  <c r="AK261" i="76" s="1"/>
  <c r="BG261" i="76" s="1"/>
  <c r="AH261" i="76"/>
  <c r="AG261" i="76"/>
  <c r="AI261" i="76"/>
  <c r="BW261" i="76"/>
  <c r="AM261" i="76"/>
  <c r="AF40" i="76"/>
  <c r="AE40" i="76"/>
  <c r="AP40" i="76"/>
  <c r="BF40" i="76"/>
  <c r="AZ40" i="76" s="1"/>
  <c r="BC40" i="76"/>
  <c r="AI73" i="76"/>
  <c r="AH73" i="76"/>
  <c r="AG73" i="76"/>
  <c r="BW73" i="76"/>
  <c r="AM73" i="76"/>
  <c r="AK73" i="76" a="1"/>
  <c r="AK73" i="76" s="1"/>
  <c r="BG73" i="76" s="1"/>
  <c r="AI435" i="76"/>
  <c r="BW435" i="76"/>
  <c r="AM435" i="76"/>
  <c r="AK435" i="76" a="1"/>
  <c r="AK435" i="76" s="1"/>
  <c r="BG435" i="76" s="1"/>
  <c r="AH435" i="76"/>
  <c r="AG435" i="76"/>
  <c r="AI206" i="76"/>
  <c r="AH206" i="76"/>
  <c r="AG206" i="76"/>
  <c r="AK206" i="76" a="1"/>
  <c r="AK206" i="76" s="1"/>
  <c r="BG206" i="76" s="1"/>
  <c r="BW206" i="76"/>
  <c r="AM206" i="76"/>
  <c r="AK250" i="76" a="1"/>
  <c r="AK250" i="76" s="1"/>
  <c r="BG250" i="76" s="1"/>
  <c r="BW250" i="76"/>
  <c r="AM250" i="76"/>
  <c r="AG250" i="76"/>
  <c r="AI250" i="76"/>
  <c r="AH250" i="76"/>
  <c r="AI220" i="76"/>
  <c r="AH220" i="76"/>
  <c r="AG220" i="76"/>
  <c r="AM220" i="76"/>
  <c r="AK220" i="76" a="1"/>
  <c r="AK220" i="76" s="1"/>
  <c r="BG220" i="76" s="1"/>
  <c r="BW220" i="76"/>
  <c r="AX198" i="76"/>
  <c r="BD198" i="76" s="1"/>
  <c r="AQ198" i="76"/>
  <c r="AE198" i="76"/>
  <c r="AM486" i="76"/>
  <c r="AG486" i="76"/>
  <c r="AK486" i="76" a="1"/>
  <c r="AK486" i="76" s="1"/>
  <c r="BG486" i="76" s="1"/>
  <c r="AI486" i="76"/>
  <c r="AH486" i="76"/>
  <c r="BW486" i="76"/>
  <c r="AF545" i="76"/>
  <c r="AP545" i="76"/>
  <c r="BF545" i="76" s="1"/>
  <c r="AZ545" i="76" s="1"/>
  <c r="BC545" i="76" s="1"/>
  <c r="AE545" i="76"/>
  <c r="AG137" i="76"/>
  <c r="AI137" i="76"/>
  <c r="AH137" i="76"/>
  <c r="BW137" i="76"/>
  <c r="AM137" i="76"/>
  <c r="AK137" i="76" a="1"/>
  <c r="AK137" i="76" s="1"/>
  <c r="BG137" i="76" s="1"/>
  <c r="AI331" i="76"/>
  <c r="AH331" i="76"/>
  <c r="AG331" i="76"/>
  <c r="BW331" i="76"/>
  <c r="AM331" i="76"/>
  <c r="AK331" i="76" a="1"/>
  <c r="AK331" i="76" s="1"/>
  <c r="BG331" i="76" s="1"/>
  <c r="AP280" i="76"/>
  <c r="AF280" i="76"/>
  <c r="AE280" i="76"/>
  <c r="BF280" i="76"/>
  <c r="AZ280" i="76" s="1"/>
  <c r="BC280" i="76" s="1"/>
  <c r="AF321" i="76"/>
  <c r="AE321" i="76"/>
  <c r="AP321" i="76"/>
  <c r="BF321" i="76" s="1"/>
  <c r="AZ321" i="76" s="1"/>
  <c r="BC321" i="76" s="1"/>
  <c r="AI415" i="76"/>
  <c r="AH415" i="76"/>
  <c r="AG415" i="76"/>
  <c r="AK415" i="76" a="1"/>
  <c r="AK415" i="76" s="1"/>
  <c r="BG415" i="76" s="1"/>
  <c r="AM415" i="76"/>
  <c r="BW415" i="76"/>
  <c r="BF408" i="76"/>
  <c r="AZ408" i="76" s="1"/>
  <c r="BC408" i="76" s="1"/>
  <c r="AP311" i="76"/>
  <c r="BF311" i="76" s="1"/>
  <c r="AZ311" i="76" s="1"/>
  <c r="BC311" i="76" s="1"/>
  <c r="AF311" i="76"/>
  <c r="AE311" i="76"/>
  <c r="BW399" i="76"/>
  <c r="AI399" i="76"/>
  <c r="AH399" i="76"/>
  <c r="AG399" i="76"/>
  <c r="AK399" i="76" a="1"/>
  <c r="AK399" i="76" s="1"/>
  <c r="BG399" i="76" s="1"/>
  <c r="AM399" i="76"/>
  <c r="AG240" i="76"/>
  <c r="AI240" i="76"/>
  <c r="BW240" i="76"/>
  <c r="AH240" i="76"/>
  <c r="AM240" i="76"/>
  <c r="AK240" i="76" a="1"/>
  <c r="AK240" i="76" s="1"/>
  <c r="BG240" i="76" s="1"/>
  <c r="AI163" i="76"/>
  <c r="AH163" i="76"/>
  <c r="AG163" i="76"/>
  <c r="AK163" i="76" a="1"/>
  <c r="AK163" i="76" s="1"/>
  <c r="BG163" i="76" s="1"/>
  <c r="BW163" i="76"/>
  <c r="AM163" i="76"/>
  <c r="AG114" i="76"/>
  <c r="AH114" i="76"/>
  <c r="AM114" i="76"/>
  <c r="AK114" i="76" a="1"/>
  <c r="AK114" i="76" s="1"/>
  <c r="BG114" i="76" s="1"/>
  <c r="AI114" i="76"/>
  <c r="BW114" i="76"/>
  <c r="AE225" i="76"/>
  <c r="AP225" i="76"/>
  <c r="BF225" i="76" s="1"/>
  <c r="AZ225" i="76" s="1"/>
  <c r="BC225" i="76" s="1"/>
  <c r="AF225" i="76"/>
  <c r="BW434" i="76"/>
  <c r="AI434" i="76"/>
  <c r="AH434" i="76"/>
  <c r="AG434" i="76"/>
  <c r="AK434" i="76" a="1"/>
  <c r="AK434" i="76" s="1"/>
  <c r="BG434" i="76" s="1"/>
  <c r="AM434" i="76"/>
  <c r="AQ386" i="76"/>
  <c r="AX386" i="76"/>
  <c r="BD386" i="76" s="1"/>
  <c r="AE386" i="76"/>
  <c r="AK133" i="76" a="1"/>
  <c r="AK133" i="76" s="1"/>
  <c r="BG133" i="76" s="1"/>
  <c r="BW133" i="76"/>
  <c r="AH133" i="76"/>
  <c r="AG133" i="76"/>
  <c r="AI133" i="76"/>
  <c r="AM133" i="76"/>
  <c r="AQ291" i="76"/>
  <c r="AX291" i="76"/>
  <c r="BD291" i="76" s="1"/>
  <c r="AE291" i="76"/>
  <c r="AP487" i="76"/>
  <c r="BF487" i="76" s="1"/>
  <c r="AZ487" i="76" s="1"/>
  <c r="BC487" i="76" s="1"/>
  <c r="AF487" i="76"/>
  <c r="AE487" i="76" s="1"/>
  <c r="AF460" i="76"/>
  <c r="AE460" i="76"/>
  <c r="AP460" i="76"/>
  <c r="BF460" i="76" s="1"/>
  <c r="AZ460" i="76" s="1"/>
  <c r="BC460" i="76" s="1"/>
  <c r="AX154" i="76"/>
  <c r="BD154" i="76" s="1"/>
  <c r="AQ154" i="76"/>
  <c r="AE154" i="76"/>
  <c r="AH213" i="76"/>
  <c r="AG213" i="76"/>
  <c r="AI213" i="76"/>
  <c r="AK213" i="76" a="1"/>
  <c r="AK213" i="76" s="1"/>
  <c r="BG213" i="76" s="1"/>
  <c r="BW213" i="76"/>
  <c r="AM213" i="76"/>
  <c r="AP303" i="76"/>
  <c r="BF303" i="76"/>
  <c r="AZ303" i="76" s="1"/>
  <c r="BC303" i="76" s="1"/>
  <c r="AF303" i="76"/>
  <c r="AE303" i="76"/>
  <c r="AI99" i="76"/>
  <c r="AH99" i="76"/>
  <c r="AG99" i="76"/>
  <c r="AK99" i="76" a="1"/>
  <c r="AK99" i="76" s="1"/>
  <c r="BG99" i="76" s="1"/>
  <c r="BW99" i="76"/>
  <c r="AM99" i="76"/>
  <c r="AI305" i="76"/>
  <c r="AK305" i="76" a="1"/>
  <c r="AK305" i="76" s="1"/>
  <c r="BG305" i="76" s="1"/>
  <c r="AG305" i="76"/>
  <c r="BW305" i="76"/>
  <c r="AH305" i="76"/>
  <c r="AM305" i="76"/>
  <c r="AK61" i="76" a="1"/>
  <c r="AK61" i="76" s="1"/>
  <c r="BG61" i="76" s="1"/>
  <c r="AH61" i="76"/>
  <c r="AI61" i="76"/>
  <c r="BW61" i="76"/>
  <c r="AM61" i="76"/>
  <c r="AG61" i="76"/>
  <c r="AK368" i="76" a="1"/>
  <c r="AK368" i="76" s="1"/>
  <c r="BG368" i="76" s="1"/>
  <c r="AI368" i="76"/>
  <c r="AH368" i="76"/>
  <c r="AG368" i="76"/>
  <c r="AM368" i="76"/>
  <c r="BW368" i="76"/>
  <c r="AP317" i="76"/>
  <c r="AF317" i="76"/>
  <c r="AE317" i="76" s="1"/>
  <c r="BF317" i="76"/>
  <c r="AZ317" i="76" s="1"/>
  <c r="BC317" i="76" s="1"/>
  <c r="AQ269" i="76"/>
  <c r="AX269" i="76"/>
  <c r="BD269" i="76" s="1"/>
  <c r="AE269" i="76"/>
  <c r="AG478" i="76"/>
  <c r="AK478" i="76" a="1"/>
  <c r="AK478" i="76" s="1"/>
  <c r="BG478" i="76" s="1"/>
  <c r="AI478" i="76"/>
  <c r="AM478" i="76"/>
  <c r="BW478" i="76"/>
  <c r="AH478" i="76"/>
  <c r="AP471" i="76"/>
  <c r="BF471" i="76"/>
  <c r="AZ471" i="76" s="1"/>
  <c r="BC471" i="76" s="1"/>
  <c r="AF471" i="76"/>
  <c r="AQ199" i="76"/>
  <c r="BF199" i="76"/>
  <c r="AZ199" i="76" s="1"/>
  <c r="BC199" i="76" s="1"/>
  <c r="AP301" i="76"/>
  <c r="BF301" i="76"/>
  <c r="AZ301" i="76" s="1"/>
  <c r="BC301" i="76" s="1"/>
  <c r="AF301" i="76"/>
  <c r="AE301" i="76"/>
  <c r="AF38" i="76"/>
  <c r="AE38" i="76" s="1"/>
  <c r="AP38" i="76"/>
  <c r="BF38" i="76" s="1"/>
  <c r="AZ38" i="76" s="1"/>
  <c r="BC38" i="76" s="1"/>
  <c r="AE129" i="76"/>
  <c r="AF129" i="76"/>
  <c r="AP129" i="76"/>
  <c r="BF129" i="76" s="1"/>
  <c r="AZ129" i="76" s="1"/>
  <c r="BC129" i="76" s="1"/>
  <c r="AH500" i="76"/>
  <c r="BW500" i="76"/>
  <c r="AG500" i="76"/>
  <c r="AK500" i="76" a="1"/>
  <c r="AK500" i="76" s="1"/>
  <c r="BG500" i="76" s="1"/>
  <c r="AI500" i="76"/>
  <c r="AM500" i="76"/>
  <c r="AX252" i="76"/>
  <c r="BD252" i="76" s="1"/>
  <c r="AQ252" i="76"/>
  <c r="AE252" i="76"/>
  <c r="AI322" i="76"/>
  <c r="AG322" i="76"/>
  <c r="BW322" i="76"/>
  <c r="AH322" i="76"/>
  <c r="AM322" i="76"/>
  <c r="AK322" i="76" a="1"/>
  <c r="AK322" i="76" s="1"/>
  <c r="BG322" i="76" s="1"/>
  <c r="AQ486" i="76"/>
  <c r="AX486" i="76"/>
  <c r="BD486" i="76" s="1"/>
  <c r="AX359" i="76"/>
  <c r="BD359" i="76" s="1"/>
  <c r="AQ359" i="76"/>
  <c r="AE359" i="76"/>
  <c r="AH528" i="76"/>
  <c r="AG528" i="76"/>
  <c r="AK528" i="76" a="1"/>
  <c r="AK528" i="76" s="1"/>
  <c r="BG528" i="76" s="1"/>
  <c r="AI528" i="76"/>
  <c r="BW528" i="76"/>
  <c r="AM528" i="76"/>
  <c r="AI494" i="76"/>
  <c r="AM494" i="76"/>
  <c r="BW494" i="76"/>
  <c r="AG494" i="76"/>
  <c r="AH494" i="76"/>
  <c r="AK494" i="76" a="1"/>
  <c r="AK494" i="76" s="1"/>
  <c r="BG494" i="76" s="1"/>
  <c r="AK465" i="76" a="1"/>
  <c r="AK465" i="76" s="1"/>
  <c r="BG465" i="76" s="1"/>
  <c r="AI465" i="76"/>
  <c r="AG465" i="76"/>
  <c r="AM465" i="76"/>
  <c r="BW465" i="76"/>
  <c r="AH465" i="76"/>
  <c r="AX65" i="76"/>
  <c r="BD65" i="76" s="1"/>
  <c r="AE65" i="76"/>
  <c r="AQ65" i="76"/>
  <c r="BF76" i="76"/>
  <c r="AZ76" i="76" s="1"/>
  <c r="BC76" i="76" s="1"/>
  <c r="AQ76" i="76"/>
  <c r="AG267" i="76"/>
  <c r="AI267" i="76"/>
  <c r="AK267" i="76" a="1"/>
  <c r="AK267" i="76" s="1"/>
  <c r="BG267" i="76" s="1"/>
  <c r="AH267" i="76"/>
  <c r="BW267" i="76"/>
  <c r="AM267" i="76"/>
  <c r="BF457" i="76"/>
  <c r="AZ457" i="76" s="1"/>
  <c r="BC457" i="76" s="1"/>
  <c r="AQ457" i="76"/>
  <c r="AG292" i="76"/>
  <c r="BW292" i="76"/>
  <c r="AI292" i="76"/>
  <c r="AH292" i="76"/>
  <c r="AM292" i="76"/>
  <c r="AK292" i="76" a="1"/>
  <c r="AK292" i="76" s="1"/>
  <c r="BG292" i="76" s="1"/>
  <c r="AK537" i="76" a="1"/>
  <c r="AK537" i="76" s="1"/>
  <c r="BG537" i="76" s="1"/>
  <c r="AH537" i="76"/>
  <c r="AG537" i="76"/>
  <c r="BW537" i="76"/>
  <c r="AM537" i="76"/>
  <c r="AI537" i="76"/>
  <c r="AP439" i="76"/>
  <c r="BF439" i="76"/>
  <c r="AZ439" i="76" s="1"/>
  <c r="AF439" i="76"/>
  <c r="AE439" i="76"/>
  <c r="BC439" i="76"/>
  <c r="AP22" i="76"/>
  <c r="BF22" i="76" s="1"/>
  <c r="AZ22" i="76" s="1"/>
  <c r="BC22" i="76" s="1"/>
  <c r="AF22" i="76"/>
  <c r="AX465" i="76"/>
  <c r="BD465" i="76" s="1"/>
  <c r="AQ465" i="76"/>
  <c r="AG364" i="76"/>
  <c r="AH364" i="76"/>
  <c r="BW364" i="76"/>
  <c r="AK364" i="76" a="1"/>
  <c r="AK364" i="76" s="1"/>
  <c r="BG364" i="76" s="1"/>
  <c r="AI364" i="76"/>
  <c r="AM364" i="76"/>
  <c r="AX268" i="76"/>
  <c r="BD268" i="76" s="1"/>
  <c r="AQ268" i="76"/>
  <c r="AI44" i="76"/>
  <c r="AH44" i="76"/>
  <c r="AG44" i="76"/>
  <c r="AM44" i="76"/>
  <c r="AK44" i="76" a="1"/>
  <c r="AK44" i="76" s="1"/>
  <c r="BG44" i="76" s="1"/>
  <c r="BW44" i="76"/>
  <c r="AP166" i="76"/>
  <c r="BF166" i="76" s="1"/>
  <c r="AZ166" i="76" s="1"/>
  <c r="BC166" i="76" s="1"/>
  <c r="AF166" i="76"/>
  <c r="AE166" i="76"/>
  <c r="AH39" i="76"/>
  <c r="AK39" i="76" a="1"/>
  <c r="AK39" i="76" s="1"/>
  <c r="BG39" i="76" s="1"/>
  <c r="AI39" i="76"/>
  <c r="AM39" i="76"/>
  <c r="AG39" i="76"/>
  <c r="BW39" i="76"/>
  <c r="AK101" i="76" a="1"/>
  <c r="AK101" i="76" s="1"/>
  <c r="BG101" i="76" s="1"/>
  <c r="BW101" i="76"/>
  <c r="AH101" i="76"/>
  <c r="AG101" i="76"/>
  <c r="AM101" i="76"/>
  <c r="AI101" i="76"/>
  <c r="AX445" i="76"/>
  <c r="BD445" i="76" s="1"/>
  <c r="AQ445" i="76"/>
  <c r="AP67" i="76"/>
  <c r="BF67" i="76" s="1"/>
  <c r="AZ67" i="76" s="1"/>
  <c r="BC67" i="76" s="1"/>
  <c r="AF67" i="76"/>
  <c r="AE67" i="76"/>
  <c r="AP313" i="76"/>
  <c r="BF313" i="76" s="1"/>
  <c r="AZ313" i="76" s="1"/>
  <c r="BC313" i="76"/>
  <c r="AF313" i="76"/>
  <c r="AX189" i="76"/>
  <c r="BD189" i="76" s="1"/>
  <c r="AQ189" i="76"/>
  <c r="AF177" i="76"/>
  <c r="AE177" i="76"/>
  <c r="BF177" i="76"/>
  <c r="AZ177" i="76" s="1"/>
  <c r="BC177" i="76" s="1"/>
  <c r="AP177" i="76"/>
  <c r="AI294" i="76"/>
  <c r="AG294" i="76"/>
  <c r="BW294" i="76"/>
  <c r="AH294" i="76"/>
  <c r="AM294" i="76"/>
  <c r="AK294" i="76" a="1"/>
  <c r="AK294" i="76" s="1"/>
  <c r="BG294" i="76" s="1"/>
  <c r="AE171" i="76"/>
  <c r="AP171" i="76"/>
  <c r="BF171" i="76" s="1"/>
  <c r="AZ171" i="76" s="1"/>
  <c r="BC171" i="76"/>
  <c r="AF171" i="76"/>
  <c r="AX148" i="76"/>
  <c r="BD148" i="76" s="1"/>
  <c r="AQ148" i="76"/>
  <c r="AH33" i="76"/>
  <c r="AG33" i="76"/>
  <c r="AK33" i="76" a="1"/>
  <c r="AK33" i="76" s="1"/>
  <c r="BG33" i="76" s="1"/>
  <c r="BW33" i="76"/>
  <c r="AI33" i="76"/>
  <c r="AM33" i="76"/>
  <c r="AX51" i="76"/>
  <c r="BD51" i="76" s="1"/>
  <c r="AQ51" i="76"/>
  <c r="AI525" i="76"/>
  <c r="AH525" i="76"/>
  <c r="AG525" i="76"/>
  <c r="AM525" i="76"/>
  <c r="AK525" i="76" a="1"/>
  <c r="AK525" i="76" s="1"/>
  <c r="BG525" i="76" s="1"/>
  <c r="BW525" i="76"/>
  <c r="AI351" i="76"/>
  <c r="AK351" i="76" a="1"/>
  <c r="AK351" i="76" s="1"/>
  <c r="BG351" i="76" s="1"/>
  <c r="AM351" i="76"/>
  <c r="AH351" i="76"/>
  <c r="AG351" i="76"/>
  <c r="BW351" i="76"/>
  <c r="AE445" i="76"/>
  <c r="BF285" i="76"/>
  <c r="AZ285" i="76" s="1"/>
  <c r="BC285" i="76" s="1"/>
  <c r="AF341" i="76"/>
  <c r="AE341" i="76"/>
  <c r="AP341" i="76"/>
  <c r="BF341" i="76" s="1"/>
  <c r="AZ341" i="76" s="1"/>
  <c r="BC341" i="76"/>
  <c r="AX294" i="76"/>
  <c r="BD294" i="76" s="1"/>
  <c r="AQ294" i="76"/>
  <c r="AQ105" i="76"/>
  <c r="AX105" i="76"/>
  <c r="BD105" i="76" s="1"/>
  <c r="AP449" i="76"/>
  <c r="BF449" i="76"/>
  <c r="AZ449" i="76" s="1"/>
  <c r="BC449" i="76" s="1"/>
  <c r="AF449" i="76"/>
  <c r="AX33" i="76"/>
  <c r="BD33" i="76" s="1"/>
  <c r="AQ33" i="76"/>
  <c r="AF214" i="76"/>
  <c r="AE214" i="76" s="1"/>
  <c r="AP214" i="76"/>
  <c r="BF214" i="76" s="1"/>
  <c r="AZ214" i="76" s="1"/>
  <c r="BC214" i="76" s="1"/>
  <c r="AE474" i="76"/>
  <c r="BC474" i="76"/>
  <c r="AP474" i="76"/>
  <c r="BF474" i="76"/>
  <c r="AZ474" i="76" s="1"/>
  <c r="AF474" i="76"/>
  <c r="AP151" i="76"/>
  <c r="BF151" i="76" s="1"/>
  <c r="AZ151" i="76" s="1"/>
  <c r="BC151" i="76" s="1"/>
  <c r="AF151" i="76"/>
  <c r="AE151" i="76" s="1"/>
  <c r="AX234" i="76"/>
  <c r="BD234" i="76" s="1"/>
  <c r="AQ234" i="76"/>
  <c r="AI276" i="76"/>
  <c r="AH276" i="76"/>
  <c r="AG276" i="76"/>
  <c r="AM276" i="76"/>
  <c r="AK276" i="76" a="1"/>
  <c r="AK276" i="76" s="1"/>
  <c r="BG276" i="76" s="1"/>
  <c r="BW276" i="76"/>
  <c r="AF49" i="76"/>
  <c r="AE49" i="76"/>
  <c r="AP49" i="76"/>
  <c r="BF49" i="76"/>
  <c r="AZ49" i="76" s="1"/>
  <c r="BC49" i="76" s="1"/>
  <c r="AX165" i="76"/>
  <c r="BD165" i="76" s="1"/>
  <c r="AQ165" i="76"/>
  <c r="BW453" i="76"/>
  <c r="AI453" i="76"/>
  <c r="AK453" i="76" a="1"/>
  <c r="AK453" i="76" s="1"/>
  <c r="BG453" i="76" s="1"/>
  <c r="AH453" i="76"/>
  <c r="AM453" i="76"/>
  <c r="AG453" i="76"/>
  <c r="BW88" i="76"/>
  <c r="AK88" i="76" a="1"/>
  <c r="AK88" i="76" s="1"/>
  <c r="BG88" i="76" s="1"/>
  <c r="AH88" i="76"/>
  <c r="AG88" i="76"/>
  <c r="AI88" i="76"/>
  <c r="AM88" i="76"/>
  <c r="AG80" i="76"/>
  <c r="AH80" i="76"/>
  <c r="BW80" i="76"/>
  <c r="AM80" i="76"/>
  <c r="AK80" i="76" a="1"/>
  <c r="AK80" i="76" s="1"/>
  <c r="BG80" i="76" s="1"/>
  <c r="AI80" i="76"/>
  <c r="AF534" i="76"/>
  <c r="AE534" i="76"/>
  <c r="AP534" i="76"/>
  <c r="BF534" i="76"/>
  <c r="AZ534" i="76" s="1"/>
  <c r="BC534" i="76" s="1"/>
  <c r="AX297" i="76"/>
  <c r="BD297" i="76" s="1"/>
  <c r="AQ297" i="76"/>
  <c r="AE297" i="76"/>
  <c r="AQ338" i="76"/>
  <c r="AX338" i="76"/>
  <c r="BD338" i="76" s="1"/>
  <c r="AK452" i="76" a="1"/>
  <c r="AK452" i="76" s="1"/>
  <c r="BG452" i="76" s="1"/>
  <c r="AI452" i="76"/>
  <c r="AH452" i="76"/>
  <c r="AG452" i="76"/>
  <c r="AM452" i="76"/>
  <c r="BW452" i="76"/>
  <c r="AQ389" i="76"/>
  <c r="AX389" i="76"/>
  <c r="BD389" i="76" s="1"/>
  <c r="AE105" i="76"/>
  <c r="AF48" i="76"/>
  <c r="AE48" i="76"/>
  <c r="AP48" i="76"/>
  <c r="BF48" i="76" s="1"/>
  <c r="AZ48" i="76" s="1"/>
  <c r="BC48" i="76" s="1"/>
  <c r="AI538" i="76"/>
  <c r="AG538" i="76"/>
  <c r="BW538" i="76"/>
  <c r="AM538" i="76"/>
  <c r="AH538" i="76"/>
  <c r="AK538" i="76" a="1"/>
  <c r="AK538" i="76" s="1"/>
  <c r="BG538" i="76" s="1"/>
  <c r="AX519" i="76"/>
  <c r="BD519" i="76" s="1"/>
  <c r="AQ519" i="76"/>
  <c r="AF461" i="76"/>
  <c r="AE461" i="76"/>
  <c r="AP461" i="76"/>
  <c r="BF461" i="76" s="1"/>
  <c r="AZ461" i="76" s="1"/>
  <c r="BC461" i="76" s="1"/>
  <c r="AX462" i="76"/>
  <c r="BD462" i="76" s="1"/>
  <c r="AQ462" i="76"/>
  <c r="AG498" i="76"/>
  <c r="AM498" i="76"/>
  <c r="AH498" i="76"/>
  <c r="AI498" i="76"/>
  <c r="AK498" i="76" a="1"/>
  <c r="AK498" i="76" s="1"/>
  <c r="BG498" i="76" s="1"/>
  <c r="BW498" i="76"/>
  <c r="AP286" i="76"/>
  <c r="BF286" i="76" s="1"/>
  <c r="AZ286" i="76" s="1"/>
  <c r="BC286" i="76" s="1"/>
  <c r="AF286" i="76"/>
  <c r="AQ416" i="76"/>
  <c r="AX416" i="76"/>
  <c r="BD416" i="76" s="1"/>
  <c r="AX422" i="76"/>
  <c r="BD422" i="76" s="1"/>
  <c r="AQ422" i="76"/>
  <c r="AP349" i="76"/>
  <c r="AF349" i="76"/>
  <c r="AE349" i="76"/>
  <c r="BF349" i="76"/>
  <c r="AZ349" i="76" s="1"/>
  <c r="BC349" i="76" s="1"/>
  <c r="AP431" i="76"/>
  <c r="BF431" i="76" s="1"/>
  <c r="AZ431" i="76" s="1"/>
  <c r="BC431" i="76" s="1"/>
  <c r="AF431" i="76"/>
  <c r="AE431" i="76"/>
  <c r="AF378" i="76"/>
  <c r="AE378" i="76"/>
  <c r="AP378" i="76"/>
  <c r="BF378" i="76" s="1"/>
  <c r="AZ378" i="76" s="1"/>
  <c r="BC378" i="76"/>
  <c r="AQ452" i="76"/>
  <c r="AK266" i="76" a="1"/>
  <c r="AK266" i="76" s="1"/>
  <c r="BG266" i="76" s="1"/>
  <c r="AI266" i="76"/>
  <c r="BW266" i="76"/>
  <c r="AG266" i="76"/>
  <c r="AH266" i="76"/>
  <c r="AM266" i="76"/>
  <c r="AP185" i="76"/>
  <c r="BF185" i="76"/>
  <c r="AZ185" i="76" s="1"/>
  <c r="AF185" i="76"/>
  <c r="AE185" i="76"/>
  <c r="BC185" i="76"/>
  <c r="AQ410" i="76"/>
  <c r="AX410" i="76"/>
  <c r="BD410" i="76" s="1"/>
  <c r="AE410" i="76"/>
  <c r="BF511" i="76"/>
  <c r="AZ511" i="76" s="1"/>
  <c r="BC511" i="76" s="1"/>
  <c r="AE511" i="76"/>
  <c r="AP511" i="76"/>
  <c r="AF511" i="76"/>
  <c r="AP289" i="76"/>
  <c r="BF289" i="76" s="1"/>
  <c r="AZ289" i="76" s="1"/>
  <c r="BC289" i="76" s="1"/>
  <c r="AF289" i="76"/>
  <c r="AE289" i="76" s="1"/>
  <c r="AP188" i="76"/>
  <c r="BF188" i="76"/>
  <c r="AZ188" i="76" s="1"/>
  <c r="BC188" i="76"/>
  <c r="AF188" i="76"/>
  <c r="AE188" i="76" s="1"/>
  <c r="AQ489" i="76"/>
  <c r="AX489" i="76"/>
  <c r="BD489" i="76" s="1"/>
  <c r="BC430" i="76"/>
  <c r="AP430" i="76"/>
  <c r="BF430" i="76" s="1"/>
  <c r="AZ430" i="76" s="1"/>
  <c r="AF430" i="76"/>
  <c r="AE89" i="76"/>
  <c r="AP89" i="76"/>
  <c r="BF89" i="76" s="1"/>
  <c r="AZ89" i="76" s="1"/>
  <c r="BC89" i="76" s="1"/>
  <c r="AF89" i="76"/>
  <c r="BF196" i="76"/>
  <c r="AZ196" i="76" s="1"/>
  <c r="BC196" i="76" s="1"/>
  <c r="AF37" i="76"/>
  <c r="AE37" i="76"/>
  <c r="AP37" i="76"/>
  <c r="BF37" i="76" s="1"/>
  <c r="AZ37" i="76" s="1"/>
  <c r="BC37" i="76" s="1"/>
  <c r="AE296" i="76"/>
  <c r="AF296" i="76"/>
  <c r="AP296" i="76"/>
  <c r="BF296" i="76"/>
  <c r="AZ296" i="76" s="1"/>
  <c r="BC296" i="76" s="1"/>
  <c r="AX235" i="76"/>
  <c r="BD235" i="76" s="1"/>
  <c r="AQ235" i="76"/>
  <c r="AE235" i="76"/>
  <c r="BG424" i="76"/>
  <c r="AI91" i="76"/>
  <c r="AH91" i="76"/>
  <c r="AG91" i="76"/>
  <c r="AK91" i="76" a="1"/>
  <c r="AK91" i="76" s="1"/>
  <c r="BG91" i="76" s="1"/>
  <c r="BW91" i="76"/>
  <c r="AM91" i="76"/>
  <c r="AK54" i="76" a="1"/>
  <c r="AK54" i="76" s="1"/>
  <c r="BG54" i="76" s="1"/>
  <c r="AG54" i="76"/>
  <c r="AI54" i="76"/>
  <c r="AH54" i="76"/>
  <c r="AM54" i="76"/>
  <c r="BW54" i="76"/>
  <c r="AF195" i="76"/>
  <c r="AE195" i="76"/>
  <c r="AP195" i="76"/>
  <c r="BF195" i="76" s="1"/>
  <c r="AZ195" i="76" s="1"/>
  <c r="BC195" i="76" s="1"/>
  <c r="AP79" i="76"/>
  <c r="AF79" i="76"/>
  <c r="AE79" i="76" s="1"/>
  <c r="BF79" i="76"/>
  <c r="AZ79" i="76" s="1"/>
  <c r="BC79" i="76" s="1"/>
  <c r="AX34" i="76"/>
  <c r="BD34" i="76" s="1"/>
  <c r="AQ34" i="76"/>
  <c r="AF383" i="76"/>
  <c r="AE383" i="76" s="1"/>
  <c r="AP383" i="76"/>
  <c r="BF383" i="76"/>
  <c r="AZ383" i="76" s="1"/>
  <c r="BC383" i="76"/>
  <c r="AP112" i="76"/>
  <c r="BF112" i="76" s="1"/>
  <c r="AZ112" i="76" s="1"/>
  <c r="BC112" i="76" s="1"/>
  <c r="AF112" i="76"/>
  <c r="AE112" i="76"/>
  <c r="AK66" i="76" a="1"/>
  <c r="AK66" i="76" s="1"/>
  <c r="BG66" i="76" s="1"/>
  <c r="AI66" i="76"/>
  <c r="AH66" i="76"/>
  <c r="AG66" i="76"/>
  <c r="BW66" i="76"/>
  <c r="AM66" i="76"/>
  <c r="AF380" i="76"/>
  <c r="AE380" i="76" s="1"/>
  <c r="AP380" i="76"/>
  <c r="BF380" i="76"/>
  <c r="AZ380" i="76" s="1"/>
  <c r="BC380" i="76" s="1"/>
  <c r="AK408" i="76" a="1"/>
  <c r="AK408" i="76" s="1"/>
  <c r="BG408" i="76" s="1"/>
  <c r="AI408" i="76"/>
  <c r="AM408" i="76"/>
  <c r="AG408" i="76"/>
  <c r="BW408" i="76"/>
  <c r="AH408" i="76"/>
  <c r="AX240" i="76"/>
  <c r="BD240" i="76" s="1"/>
  <c r="AQ240" i="76"/>
  <c r="AE284" i="76"/>
  <c r="BC284" i="76"/>
  <c r="BF284" i="76"/>
  <c r="AZ284" i="76" s="1"/>
  <c r="AP284" i="76"/>
  <c r="AF284" i="76"/>
  <c r="AF509" i="76"/>
  <c r="AE509" i="76"/>
  <c r="AP509" i="76"/>
  <c r="BF509" i="76" s="1"/>
  <c r="AZ509" i="76" s="1"/>
  <c r="BC509" i="76" s="1"/>
  <c r="AP473" i="76"/>
  <c r="BF473" i="76" s="1"/>
  <c r="AZ473" i="76" s="1"/>
  <c r="BC473" i="76" s="1"/>
  <c r="AF473" i="76"/>
  <c r="AE473" i="76"/>
  <c r="AP218" i="76"/>
  <c r="BF218" i="76"/>
  <c r="AZ218" i="76" s="1"/>
  <c r="AF218" i="76"/>
  <c r="BC218" i="76"/>
  <c r="AF372" i="76"/>
  <c r="AP372" i="76"/>
  <c r="BF372" i="76" s="1"/>
  <c r="AZ372" i="76" s="1"/>
  <c r="BC372" i="76" s="1"/>
  <c r="AX256" i="76"/>
  <c r="BD256" i="76" s="1"/>
  <c r="AQ256" i="76"/>
  <c r="BF527" i="76"/>
  <c r="AZ527" i="76" s="1"/>
  <c r="BC527" i="76" s="1"/>
  <c r="AF162" i="76"/>
  <c r="AE162" i="76"/>
  <c r="AP162" i="76"/>
  <c r="BF162" i="76"/>
  <c r="AZ162" i="76" s="1"/>
  <c r="BC162" i="76"/>
  <c r="AX122" i="76"/>
  <c r="BD122" i="76" s="1"/>
  <c r="AQ122" i="76"/>
  <c r="AK84" i="76" a="1"/>
  <c r="AK84" i="76" s="1"/>
  <c r="BG84" i="76" s="1"/>
  <c r="AI84" i="76"/>
  <c r="AH84" i="76"/>
  <c r="AG84" i="76"/>
  <c r="BW84" i="76"/>
  <c r="AM84" i="76"/>
  <c r="AP418" i="76"/>
  <c r="BF418" i="76"/>
  <c r="AZ418" i="76" s="1"/>
  <c r="BC418" i="76"/>
  <c r="AF418" i="76"/>
  <c r="AF306" i="76"/>
  <c r="AE306" i="76"/>
  <c r="AP306" i="76"/>
  <c r="BF306" i="76" s="1"/>
  <c r="AZ306" i="76" s="1"/>
  <c r="BC306" i="76" s="1"/>
  <c r="AP517" i="76"/>
  <c r="AF517" i="76"/>
  <c r="AE517" i="76"/>
  <c r="BF517" i="76"/>
  <c r="AZ517" i="76" s="1"/>
  <c r="BC517" i="76"/>
  <c r="AH412" i="76"/>
  <c r="AG412" i="76"/>
  <c r="AK412" i="76" a="1"/>
  <c r="AK412" i="76" s="1"/>
  <c r="BG412" i="76" s="1"/>
  <c r="AI412" i="76"/>
  <c r="AM412" i="76"/>
  <c r="BW412" i="76"/>
  <c r="AX99" i="76"/>
  <c r="BD99" i="76" s="1"/>
  <c r="AQ99" i="76"/>
  <c r="AF83" i="76"/>
  <c r="AP83" i="76"/>
  <c r="BF83" i="76" s="1"/>
  <c r="AZ83" i="76" s="1"/>
  <c r="BC83" i="76" s="1"/>
  <c r="AX394" i="76"/>
  <c r="BD394" i="76" s="1"/>
  <c r="AE394" i="76"/>
  <c r="AQ394" i="76"/>
  <c r="AX435" i="76"/>
  <c r="BD435" i="76" s="1"/>
  <c r="AQ435" i="76"/>
  <c r="AQ521" i="76"/>
  <c r="AX521" i="76"/>
  <c r="BD521" i="76" s="1"/>
  <c r="AP135" i="76"/>
  <c r="BF135" i="76"/>
  <c r="AZ135" i="76" s="1"/>
  <c r="BC135" i="76" s="1"/>
  <c r="AF135" i="76"/>
  <c r="AE135" i="76"/>
  <c r="AP388" i="76"/>
  <c r="BF388" i="76" s="1"/>
  <c r="AZ388" i="76" s="1"/>
  <c r="BC388" i="76" s="1"/>
  <c r="AF388" i="76"/>
  <c r="AQ384" i="76"/>
  <c r="AP95" i="76"/>
  <c r="BF95" i="76" s="1"/>
  <c r="AZ95" i="76" s="1"/>
  <c r="BC95" i="76" s="1"/>
  <c r="AF95" i="76"/>
  <c r="AE95" i="76"/>
  <c r="AQ459" i="76"/>
  <c r="AX459" i="76"/>
  <c r="BD459" i="76" s="1"/>
  <c r="AX343" i="76"/>
  <c r="BD343" i="76" s="1"/>
  <c r="AQ343" i="76"/>
  <c r="AK93" i="76" a="1"/>
  <c r="AK93" i="76" s="1"/>
  <c r="BG93" i="76" s="1"/>
  <c r="AM93" i="76"/>
  <c r="AG93" i="76"/>
  <c r="BW93" i="76"/>
  <c r="AI93" i="76"/>
  <c r="AH93" i="76"/>
  <c r="BF217" i="76"/>
  <c r="AZ217" i="76" s="1"/>
  <c r="AF217" i="76"/>
  <c r="AE217" i="76" s="1"/>
  <c r="BC217" i="76"/>
  <c r="AP217" i="76"/>
  <c r="AF74" i="76"/>
  <c r="AE74" i="76"/>
  <c r="AP74" i="76"/>
  <c r="BF74" i="76"/>
  <c r="AZ74" i="76" s="1"/>
  <c r="BC74" i="76" s="1"/>
  <c r="AP514" i="76"/>
  <c r="BF514" i="76"/>
  <c r="AZ514" i="76" s="1"/>
  <c r="BC514" i="76" s="1"/>
  <c r="AF514" i="76"/>
  <c r="AX525" i="76"/>
  <c r="BD525" i="76" s="1"/>
  <c r="AQ525" i="76"/>
  <c r="AM476" i="76"/>
  <c r="AK476" i="76" a="1"/>
  <c r="AK476" i="76" s="1"/>
  <c r="BG476" i="76" s="1"/>
  <c r="AH476" i="76"/>
  <c r="AG476" i="76"/>
  <c r="BW476" i="76"/>
  <c r="AI476" i="76"/>
  <c r="AK470" i="76" a="1"/>
  <c r="AK470" i="76" s="1"/>
  <c r="BG470" i="76" s="1"/>
  <c r="AI470" i="76"/>
  <c r="AG470" i="76"/>
  <c r="AH470" i="76"/>
  <c r="BW470" i="76"/>
  <c r="AM470" i="76"/>
  <c r="BW468" i="76"/>
  <c r="AM468" i="76"/>
  <c r="AK468" i="76" a="1"/>
  <c r="AK468" i="76" s="1"/>
  <c r="BG468" i="76" s="1"/>
  <c r="AI468" i="76"/>
  <c r="AH468" i="76"/>
  <c r="AG468" i="76"/>
  <c r="AF518" i="76"/>
  <c r="AE518" i="76"/>
  <c r="AP518" i="76"/>
  <c r="BF518" i="76"/>
  <c r="AZ518" i="76" s="1"/>
  <c r="BC518" i="76"/>
  <c r="AX351" i="76"/>
  <c r="BD351" i="76" s="1"/>
  <c r="AQ351" i="76"/>
  <c r="AP443" i="76"/>
  <c r="BF443" i="76" s="1"/>
  <c r="AZ443" i="76" s="1"/>
  <c r="BC443" i="76"/>
  <c r="AE443" i="76"/>
  <c r="AF443" i="76"/>
  <c r="AE521" i="76"/>
  <c r="AK389" i="76" a="1"/>
  <c r="AK389" i="76" s="1"/>
  <c r="BG389" i="76" s="1"/>
  <c r="BW389" i="76"/>
  <c r="AM389" i="76"/>
  <c r="AH389" i="76"/>
  <c r="AG389" i="76"/>
  <c r="AI389" i="76"/>
  <c r="AX63" i="76"/>
  <c r="BD63" i="76" s="1"/>
  <c r="AQ63" i="76"/>
  <c r="BW462" i="76"/>
  <c r="AK462" i="76" a="1"/>
  <c r="AK462" i="76" s="1"/>
  <c r="BG462" i="76" s="1"/>
  <c r="AG462" i="76"/>
  <c r="AI462" i="76"/>
  <c r="AH462" i="76"/>
  <c r="AM462" i="76"/>
  <c r="AX367" i="76"/>
  <c r="BD367" i="76" s="1"/>
  <c r="AQ367" i="76"/>
  <c r="AP385" i="76"/>
  <c r="BF385" i="76"/>
  <c r="AZ385" i="76" s="1"/>
  <c r="BC385" i="76" s="1"/>
  <c r="AE385" i="76"/>
  <c r="AF385" i="76"/>
  <c r="AF201" i="76"/>
  <c r="AE201" i="76"/>
  <c r="AP201" i="76"/>
  <c r="BF201" i="76"/>
  <c r="AZ201" i="76" s="1"/>
  <c r="BC201" i="76" s="1"/>
  <c r="BF362" i="76"/>
  <c r="AZ362" i="76" s="1"/>
  <c r="AE362" i="76"/>
  <c r="BC362" i="76"/>
  <c r="AP362" i="76"/>
  <c r="AF362" i="76"/>
  <c r="AP143" i="76"/>
  <c r="AF143" i="76"/>
  <c r="AE143" i="76"/>
  <c r="BF143" i="76"/>
  <c r="AZ143" i="76" s="1"/>
  <c r="BC143" i="76" s="1"/>
  <c r="AF345" i="76"/>
  <c r="AE345" i="76"/>
  <c r="AP345" i="76"/>
  <c r="BF345" i="76"/>
  <c r="AZ345" i="76" s="1"/>
  <c r="BC345" i="76"/>
  <c r="AF309" i="76"/>
  <c r="AP309" i="76"/>
  <c r="BF309" i="76" s="1"/>
  <c r="AZ309" i="76" s="1"/>
  <c r="BC309" i="76" s="1"/>
  <c r="AE234" i="76"/>
  <c r="AG409" i="76"/>
  <c r="AI409" i="76"/>
  <c r="AH409" i="76"/>
  <c r="AM409" i="76"/>
  <c r="AK409" i="76" a="1"/>
  <c r="AK409" i="76" s="1"/>
  <c r="BG409" i="76" s="1"/>
  <c r="BW409" i="76"/>
  <c r="BW34" i="76"/>
  <c r="AM34" i="76"/>
  <c r="AK34" i="76" a="1"/>
  <c r="AK34" i="76" s="1"/>
  <c r="BG34" i="76" s="1"/>
  <c r="AH34" i="76"/>
  <c r="AG34" i="76"/>
  <c r="AI34" i="76"/>
  <c r="AQ88" i="76"/>
  <c r="AX88" i="76"/>
  <c r="BD88" i="76" s="1"/>
  <c r="AP549" i="76"/>
  <c r="BF549" i="76"/>
  <c r="AZ549" i="76" s="1"/>
  <c r="BC549" i="76" s="1"/>
  <c r="AF549" i="76"/>
  <c r="AI508" i="76"/>
  <c r="AH508" i="76"/>
  <c r="AG508" i="76"/>
  <c r="AK508" i="76" a="1"/>
  <c r="AK508" i="76" s="1"/>
  <c r="BG508" i="76" s="1"/>
  <c r="BW508" i="76"/>
  <c r="AM508" i="76"/>
  <c r="AP456" i="76"/>
  <c r="AF456" i="76"/>
  <c r="AE456" i="76"/>
  <c r="BF456" i="76"/>
  <c r="AZ456" i="76" s="1"/>
  <c r="BC456" i="76"/>
  <c r="AP442" i="76"/>
  <c r="BF442" i="76" s="1"/>
  <c r="AZ442" i="76" s="1"/>
  <c r="BC442" i="76" s="1"/>
  <c r="AF442" i="76"/>
  <c r="AE442" i="76"/>
  <c r="AX485" i="76"/>
  <c r="BD485" i="76" s="1"/>
  <c r="AQ485" i="76"/>
  <c r="AP375" i="76"/>
  <c r="BF375" i="76" s="1"/>
  <c r="AZ375" i="76" s="1"/>
  <c r="BC375" i="76" s="1"/>
  <c r="AF375" i="76"/>
  <c r="AE375" i="76"/>
  <c r="AP327" i="76"/>
  <c r="BF327" i="76" s="1"/>
  <c r="AZ327" i="76" s="1"/>
  <c r="BC327" i="76"/>
  <c r="AF327" i="76"/>
  <c r="AP228" i="76"/>
  <c r="BF228" i="76"/>
  <c r="AZ228" i="76" s="1"/>
  <c r="AF228" i="76"/>
  <c r="AE228" i="76"/>
  <c r="BC228" i="76"/>
  <c r="AK497" i="76" a="1"/>
  <c r="AK497" i="76" s="1"/>
  <c r="BG497" i="76" s="1"/>
  <c r="AI497" i="76"/>
  <c r="AH497" i="76"/>
  <c r="AG497" i="76"/>
  <c r="BW497" i="76"/>
  <c r="AM497" i="76"/>
  <c r="AP382" i="76"/>
  <c r="AF382" i="76"/>
  <c r="BF382" i="76"/>
  <c r="AZ382" i="76" s="1"/>
  <c r="BC382" i="76" s="1"/>
  <c r="AF495" i="76"/>
  <c r="AP495" i="76"/>
  <c r="BF495" i="76" s="1"/>
  <c r="AZ495" i="76" s="1"/>
  <c r="BC495" i="76" s="1"/>
  <c r="AE495" i="76"/>
  <c r="AK237" i="76" a="1"/>
  <c r="AK237" i="76" s="1"/>
  <c r="BG237" i="76" s="1"/>
  <c r="AI237" i="76"/>
  <c r="AH237" i="76"/>
  <c r="AG237" i="76"/>
  <c r="BW237" i="76"/>
  <c r="AM237" i="76"/>
  <c r="AI357" i="76"/>
  <c r="AM357" i="76"/>
  <c r="AK357" i="76" a="1"/>
  <c r="AK357" i="76" s="1"/>
  <c r="BG357" i="76" s="1"/>
  <c r="AH357" i="76"/>
  <c r="AG357" i="76"/>
  <c r="BW357" i="76"/>
  <c r="AK413" i="76" a="1"/>
  <c r="AK413" i="76" s="1"/>
  <c r="BG413" i="76" s="1"/>
  <c r="AI413" i="76"/>
  <c r="AH413" i="76"/>
  <c r="AG413" i="76"/>
  <c r="BW413" i="76"/>
  <c r="AM413" i="76"/>
  <c r="AQ244" i="76"/>
  <c r="BF215" i="76"/>
  <c r="AZ215" i="76" s="1"/>
  <c r="BC215" i="76" s="1"/>
  <c r="AQ336" i="76"/>
  <c r="AK196" i="76" a="1"/>
  <c r="AK196" i="76" s="1"/>
  <c r="BG196" i="76" s="1"/>
  <c r="AI196" i="76"/>
  <c r="BW196" i="76"/>
  <c r="AM196" i="76"/>
  <c r="AH196" i="76"/>
  <c r="AG196" i="76"/>
  <c r="AP496" i="76"/>
  <c r="BF496" i="76" s="1"/>
  <c r="AZ496" i="76" s="1"/>
  <c r="BC496" i="76" s="1"/>
  <c r="AF496" i="76"/>
  <c r="AE496" i="76" s="1"/>
  <c r="AF86" i="76"/>
  <c r="AE86" i="76"/>
  <c r="AP86" i="76"/>
  <c r="BF86" i="76" s="1"/>
  <c r="AZ86" i="76" s="1"/>
  <c r="BC86" i="76" s="1"/>
  <c r="AP153" i="76"/>
  <c r="AF153" i="76"/>
  <c r="BF153" i="76"/>
  <c r="AZ153" i="76" s="1"/>
  <c r="BC153" i="76"/>
  <c r="AH329" i="76"/>
  <c r="AG329" i="76"/>
  <c r="AK329" i="76" a="1"/>
  <c r="AK329" i="76" s="1"/>
  <c r="BG329" i="76" s="1"/>
  <c r="AI329" i="76"/>
  <c r="BW329" i="76"/>
  <c r="AM329" i="76"/>
  <c r="AP87" i="76"/>
  <c r="BF87" i="76"/>
  <c r="AZ87" i="76" s="1"/>
  <c r="BC87" i="76"/>
  <c r="AF87" i="76"/>
  <c r="AE87" i="76"/>
  <c r="AK215" i="76" a="1"/>
  <c r="AK215" i="76" s="1"/>
  <c r="BG215" i="76" s="1"/>
  <c r="AI215" i="76"/>
  <c r="AH215" i="76"/>
  <c r="AG215" i="76"/>
  <c r="BW215" i="76"/>
  <c r="AM215" i="76"/>
  <c r="AF446" i="76"/>
  <c r="AE446" i="76"/>
  <c r="AP446" i="76"/>
  <c r="BF446" i="76" s="1"/>
  <c r="AZ446" i="76" s="1"/>
  <c r="BC446" i="76" s="1"/>
  <c r="AG90" i="76"/>
  <c r="BW90" i="76"/>
  <c r="AK90" i="76" a="1"/>
  <c r="AK90" i="76" s="1"/>
  <c r="BG90" i="76" s="1"/>
  <c r="AH90" i="76"/>
  <c r="AI90" i="76"/>
  <c r="AM90" i="76"/>
  <c r="AP373" i="76"/>
  <c r="BF373" i="76" s="1"/>
  <c r="AZ373" i="76" s="1"/>
  <c r="BC373" i="76" s="1"/>
  <c r="AF373" i="76"/>
  <c r="AQ273" i="76"/>
  <c r="AX273" i="76"/>
  <c r="BD273" i="76" s="1"/>
  <c r="AX64" i="76"/>
  <c r="BD64" i="76" s="1"/>
  <c r="AQ64" i="76"/>
  <c r="AF396" i="76"/>
  <c r="AE396" i="76" s="1"/>
  <c r="AP396" i="76"/>
  <c r="BF396" i="76" s="1"/>
  <c r="AZ396" i="76" s="1"/>
  <c r="BC396" i="76" s="1"/>
  <c r="AF147" i="76"/>
  <c r="AP147" i="76"/>
  <c r="BF147" i="76"/>
  <c r="AZ147" i="76" s="1"/>
  <c r="BC147" i="76" s="1"/>
  <c r="AE147" i="76"/>
  <c r="AX91" i="76"/>
  <c r="BD91" i="76" s="1"/>
  <c r="AQ91" i="76"/>
  <c r="AQ54" i="76"/>
  <c r="AX54" i="76"/>
  <c r="BD54" i="76" s="1"/>
  <c r="AF298" i="76"/>
  <c r="AE298" i="76"/>
  <c r="AP298" i="76"/>
  <c r="BF298" i="76" s="1"/>
  <c r="AZ298" i="76" s="1"/>
  <c r="BC298" i="76" s="1"/>
  <c r="AX505" i="76"/>
  <c r="BD505" i="76" s="1"/>
  <c r="AQ505" i="76"/>
  <c r="AG138" i="76"/>
  <c r="BW138" i="76"/>
  <c r="AI138" i="76"/>
  <c r="AH138" i="76"/>
  <c r="AM138" i="76"/>
  <c r="AK138" i="76" a="1"/>
  <c r="AK138" i="76" s="1"/>
  <c r="BG138" i="76" s="1"/>
  <c r="BF346" i="76"/>
  <c r="AZ346" i="76" s="1"/>
  <c r="AP346" i="76"/>
  <c r="AF346" i="76"/>
  <c r="AE346" i="76"/>
  <c r="BC346" i="76"/>
  <c r="AP233" i="76"/>
  <c r="BF233" i="76" s="1"/>
  <c r="AZ233" i="76" s="1"/>
  <c r="BC233" i="76" s="1"/>
  <c r="AF233" i="76"/>
  <c r="AX139" i="76"/>
  <c r="BD139" i="76" s="1"/>
  <c r="AQ139" i="76"/>
  <c r="AE139" i="76"/>
  <c r="AQ161" i="76"/>
  <c r="AX161" i="76"/>
  <c r="BD161" i="76" s="1"/>
  <c r="AF344" i="76"/>
  <c r="AE344" i="76" s="1"/>
  <c r="AP344" i="76"/>
  <c r="BF344" i="76" s="1"/>
  <c r="AZ344" i="76" s="1"/>
  <c r="BC344" i="76" s="1"/>
  <c r="AQ66" i="76"/>
  <c r="AX66" i="76"/>
  <c r="BD66" i="76" s="1"/>
  <c r="AM262" i="76"/>
  <c r="AK262" i="76" a="1"/>
  <c r="AK262" i="76" s="1"/>
  <c r="BG262" i="76" s="1"/>
  <c r="AI262" i="76"/>
  <c r="AH262" i="76"/>
  <c r="AG262" i="76"/>
  <c r="BW262" i="76"/>
  <c r="AI155" i="76"/>
  <c r="AH155" i="76"/>
  <c r="AG155" i="76"/>
  <c r="AK155" i="76" a="1"/>
  <c r="AK155" i="76" s="1"/>
  <c r="BG155" i="76" s="1"/>
  <c r="BW155" i="76"/>
  <c r="AM155" i="76"/>
  <c r="BW256" i="76"/>
  <c r="AK256" i="76" a="1"/>
  <c r="AK256" i="76" s="1"/>
  <c r="BG256" i="76" s="1"/>
  <c r="AG256" i="76"/>
  <c r="AM256" i="76"/>
  <c r="AI256" i="76"/>
  <c r="AH256" i="76"/>
  <c r="AP271" i="76"/>
  <c r="BF271" i="76" s="1"/>
  <c r="AZ271" i="76" s="1"/>
  <c r="BC271" i="76" s="1"/>
  <c r="AF271" i="76"/>
  <c r="AE271" i="76" s="1"/>
  <c r="AX186" i="76"/>
  <c r="BD186" i="76" s="1"/>
  <c r="AQ186" i="76"/>
  <c r="AX61" i="76"/>
  <c r="BD61" i="76" s="1"/>
  <c r="AQ61" i="76"/>
  <c r="AQ81" i="76"/>
  <c r="AX81" i="76"/>
  <c r="BD81" i="76" s="1"/>
  <c r="AQ537" i="76"/>
  <c r="AX537" i="76"/>
  <c r="BD537" i="76" s="1"/>
  <c r="AP466" i="76"/>
  <c r="BF466" i="76" s="1"/>
  <c r="AZ466" i="76" s="1"/>
  <c r="BC466" i="76" s="1"/>
  <c r="AF466" i="76"/>
  <c r="AE466" i="76"/>
  <c r="AF348" i="76"/>
  <c r="AP348" i="76"/>
  <c r="AE348" i="76"/>
  <c r="BF348" i="76"/>
  <c r="AZ348" i="76" s="1"/>
  <c r="BC348" i="76" s="1"/>
  <c r="AP170" i="76"/>
  <c r="BF170" i="76" s="1"/>
  <c r="AZ170" i="76" s="1"/>
  <c r="BC170" i="76" s="1"/>
  <c r="AF170" i="76"/>
  <c r="AE170" i="76"/>
  <c r="AP200" i="76"/>
  <c r="BF200" i="76" s="1"/>
  <c r="AZ200" i="76" s="1"/>
  <c r="BC200" i="76" s="1"/>
  <c r="AF200" i="76"/>
  <c r="AE200" i="76"/>
  <c r="AG144" i="76"/>
  <c r="AI144" i="76"/>
  <c r="AH144" i="76"/>
  <c r="BW144" i="76"/>
  <c r="AK144" i="76" a="1"/>
  <c r="AK144" i="76" s="1"/>
  <c r="BG144" i="76" s="1"/>
  <c r="AM144" i="76"/>
  <c r="AX39" i="76"/>
  <c r="BD39" i="76" s="1"/>
  <c r="AQ39" i="76"/>
  <c r="AK241" i="76" a="1"/>
  <c r="AK241" i="76" s="1"/>
  <c r="BG241" i="76" s="1"/>
  <c r="AI241" i="76"/>
  <c r="AM241" i="76"/>
  <c r="AH241" i="76"/>
  <c r="AG241" i="76"/>
  <c r="BW241" i="76"/>
  <c r="AI51" i="76"/>
  <c r="AH51" i="76"/>
  <c r="AK51" i="76" a="1"/>
  <c r="AK51" i="76" s="1"/>
  <c r="BG51" i="76" s="1"/>
  <c r="BW51" i="76"/>
  <c r="AG51" i="76"/>
  <c r="AM51" i="76"/>
  <c r="AX531" i="76"/>
  <c r="BD531" i="76" s="1"/>
  <c r="AQ531" i="76"/>
  <c r="AE531" i="76"/>
  <c r="BF470" i="76"/>
  <c r="AZ470" i="76" s="1"/>
  <c r="BC470" i="76" s="1"/>
  <c r="AQ470" i="76"/>
  <c r="AP543" i="76"/>
  <c r="BF543" i="76" s="1"/>
  <c r="AZ543" i="76" s="1"/>
  <c r="BC543" i="76" s="1"/>
  <c r="AF543" i="76"/>
  <c r="AE543" i="76" s="1"/>
  <c r="AP182" i="76"/>
  <c r="AF182" i="76"/>
  <c r="AE182" i="76"/>
  <c r="BF182" i="76"/>
  <c r="AZ182" i="76" s="1"/>
  <c r="BC182" i="76" s="1"/>
  <c r="AX425" i="76"/>
  <c r="BD425" i="76" s="1"/>
  <c r="AQ425" i="76"/>
  <c r="AE425" i="76"/>
  <c r="AQ249" i="76"/>
  <c r="AX249" i="76"/>
  <c r="BD249" i="76" s="1"/>
  <c r="AF115" i="76"/>
  <c r="AP115" i="76"/>
  <c r="AE115" i="76"/>
  <c r="BF115" i="76"/>
  <c r="AZ115" i="76" s="1"/>
  <c r="BC115" i="76"/>
  <c r="BG199" i="76"/>
  <c r="AF35" i="76"/>
  <c r="AE35" i="76"/>
  <c r="AP35" i="76"/>
  <c r="BF35" i="76"/>
  <c r="AZ35" i="76" s="1"/>
  <c r="BC35" i="76" s="1"/>
  <c r="AP333" i="76"/>
  <c r="AF333" i="76"/>
  <c r="BF333" i="76"/>
  <c r="AZ333" i="76" s="1"/>
  <c r="BC333" i="76" s="1"/>
  <c r="AF78" i="76"/>
  <c r="AP78" i="76"/>
  <c r="BF78" i="76" s="1"/>
  <c r="AZ78" i="76" s="1"/>
  <c r="BC78" i="76" s="1"/>
  <c r="AF82" i="76"/>
  <c r="AE82" i="76"/>
  <c r="AP82" i="76"/>
  <c r="BF82" i="76" s="1"/>
  <c r="AZ82" i="76" s="1"/>
  <c r="BC82" i="76" s="1"/>
  <c r="AM404" i="76"/>
  <c r="AK404" i="76" a="1"/>
  <c r="AK404" i="76" s="1"/>
  <c r="BG404" i="76" s="1"/>
  <c r="AI404" i="76"/>
  <c r="AH404" i="76"/>
  <c r="AG404" i="76"/>
  <c r="BW404" i="76"/>
  <c r="AE81" i="76"/>
  <c r="AQ363" i="76"/>
  <c r="AX363" i="76"/>
  <c r="BD363" i="76" s="1"/>
  <c r="AX84" i="76"/>
  <c r="BD84" i="76" s="1"/>
  <c r="AQ84" i="76"/>
  <c r="AP440" i="76"/>
  <c r="BF440" i="76"/>
  <c r="AZ440" i="76" s="1"/>
  <c r="BC440" i="76" s="1"/>
  <c r="AF440" i="76"/>
  <c r="AE440" i="76"/>
  <c r="AI457" i="76"/>
  <c r="BW457" i="76"/>
  <c r="AH457" i="76"/>
  <c r="AG457" i="76"/>
  <c r="AK457" i="76" a="1"/>
  <c r="AK457" i="76" s="1"/>
  <c r="BG457" i="76" s="1"/>
  <c r="AM457" i="76"/>
  <c r="AP232" i="76"/>
  <c r="BF232" i="76"/>
  <c r="AZ232" i="76" s="1"/>
  <c r="AF232" i="76"/>
  <c r="BC232" i="76"/>
  <c r="AE232" i="76"/>
  <c r="AP361" i="76"/>
  <c r="BF361" i="76" s="1"/>
  <c r="AZ361" i="76" s="1"/>
  <c r="BC361" i="76" s="1"/>
  <c r="AF361" i="76"/>
  <c r="AE361" i="76"/>
  <c r="AQ245" i="76"/>
  <c r="AX245" i="76"/>
  <c r="BD245" i="76" s="1"/>
  <c r="AQ412" i="76"/>
  <c r="AX412" i="76"/>
  <c r="BD412" i="76" s="1"/>
  <c r="AI63" i="76"/>
  <c r="AG63" i="76"/>
  <c r="AH63" i="76"/>
  <c r="AM63" i="76"/>
  <c r="AK63" i="76" a="1"/>
  <c r="AK63" i="76" s="1"/>
  <c r="BG63" i="76" s="1"/>
  <c r="BW63" i="76"/>
  <c r="AQ421" i="76"/>
  <c r="AX421" i="76"/>
  <c r="BD421" i="76" s="1"/>
  <c r="AF316" i="76"/>
  <c r="AP316" i="76"/>
  <c r="BF316" i="76"/>
  <c r="AZ316" i="76" s="1"/>
  <c r="BC316" i="76" s="1"/>
  <c r="AE316" i="76"/>
  <c r="AE148" i="76"/>
  <c r="AX404" i="76"/>
  <c r="BD404" i="76" s="1"/>
  <c r="AQ404" i="76"/>
  <c r="AM367" i="76"/>
  <c r="BW367" i="76"/>
  <c r="AK367" i="76" a="1"/>
  <c r="AK367" i="76" s="1"/>
  <c r="BG367" i="76" s="1"/>
  <c r="AI367" i="76"/>
  <c r="AH367" i="76"/>
  <c r="AG367" i="76"/>
  <c r="AI416" i="76"/>
  <c r="AG416" i="76"/>
  <c r="AM416" i="76"/>
  <c r="AH416" i="76"/>
  <c r="AK416" i="76" a="1"/>
  <c r="AK416" i="76" s="1"/>
  <c r="BG416" i="76" s="1"/>
  <c r="BW416" i="76"/>
  <c r="AP208" i="76"/>
  <c r="BF208" i="76" s="1"/>
  <c r="AZ208" i="76" s="1"/>
  <c r="AF208" i="76"/>
  <c r="BC208" i="76"/>
  <c r="AF205" i="76"/>
  <c r="AE205" i="76" s="1"/>
  <c r="AP205" i="76"/>
  <c r="BF205" i="76"/>
  <c r="AZ205" i="76" s="1"/>
  <c r="BC205" i="76" s="1"/>
  <c r="AP236" i="76"/>
  <c r="BF236" i="76" s="1"/>
  <c r="AZ236" i="76" s="1"/>
  <c r="BC236" i="76" s="1"/>
  <c r="AF236" i="76"/>
  <c r="AE236" i="76"/>
  <c r="BW247" i="76"/>
  <c r="AM247" i="76"/>
  <c r="AK247" i="76" a="1"/>
  <c r="AK247" i="76" s="1"/>
  <c r="BG247" i="76" s="1"/>
  <c r="AI247" i="76"/>
  <c r="AH247" i="76"/>
  <c r="AG247" i="76"/>
  <c r="AP24" i="76"/>
  <c r="BF24" i="76" s="1"/>
  <c r="AZ24" i="76" s="1"/>
  <c r="BC24" i="76" s="1"/>
  <c r="AF24" i="76"/>
  <c r="BG334" i="76"/>
  <c r="AP70" i="76"/>
  <c r="BF70" i="76" s="1"/>
  <c r="AZ70" i="76" s="1"/>
  <c r="BC70" i="76" s="1"/>
  <c r="AF70" i="76"/>
  <c r="AE70" i="76"/>
  <c r="AP374" i="76"/>
  <c r="AF374" i="76"/>
  <c r="BF374" i="76"/>
  <c r="AZ374" i="76" s="1"/>
  <c r="BC374" i="76"/>
  <c r="AF55" i="76"/>
  <c r="AE55" i="76" s="1"/>
  <c r="AP55" i="76"/>
  <c r="BF55" i="76"/>
  <c r="AZ55" i="76" s="1"/>
  <c r="BC55" i="76" s="1"/>
  <c r="AF251" i="76"/>
  <c r="AE251" i="76" s="1"/>
  <c r="AP251" i="76"/>
  <c r="BF251" i="76"/>
  <c r="AZ251" i="76" s="1"/>
  <c r="BC251" i="76" s="1"/>
  <c r="AK519" i="76" a="1"/>
  <c r="AK519" i="76" s="1"/>
  <c r="BG519" i="76" s="1"/>
  <c r="AG519" i="76"/>
  <c r="AH519" i="76"/>
  <c r="AM519" i="76"/>
  <c r="BW519" i="76"/>
  <c r="AI519" i="76"/>
  <c r="AF515" i="76"/>
  <c r="AE515" i="76" s="1"/>
  <c r="AP515" i="76"/>
  <c r="BF515" i="76" s="1"/>
  <c r="AZ515" i="76" s="1"/>
  <c r="BC515" i="76" s="1"/>
  <c r="AH422" i="76"/>
  <c r="AG422" i="76"/>
  <c r="BW422" i="76"/>
  <c r="AK422" i="76" a="1"/>
  <c r="AK422" i="76" s="1"/>
  <c r="BG422" i="76" s="1"/>
  <c r="AM422" i="76"/>
  <c r="AI422" i="76"/>
  <c r="AP295" i="76"/>
  <c r="AF295" i="76"/>
  <c r="AE295" i="76"/>
  <c r="BF295" i="76"/>
  <c r="AZ295" i="76" s="1"/>
  <c r="BC295" i="76" s="1"/>
  <c r="AF27" i="76"/>
  <c r="AE27" i="76" s="1"/>
  <c r="AP27" i="76"/>
  <c r="BF27" i="76"/>
  <c r="AZ27" i="76" s="1"/>
  <c r="BC27" i="76" s="1"/>
  <c r="AQ434" i="76"/>
  <c r="AX434" i="76"/>
  <c r="BD434" i="76" s="1"/>
  <c r="AX288" i="76"/>
  <c r="BD288" i="76" s="1"/>
  <c r="AQ288" i="76"/>
  <c r="AP229" i="76"/>
  <c r="AF229" i="76"/>
  <c r="AE229" i="76"/>
  <c r="BF229" i="76"/>
  <c r="AZ229" i="76" s="1"/>
  <c r="BC229" i="76" s="1"/>
  <c r="BF246" i="76"/>
  <c r="AZ246" i="76" s="1"/>
  <c r="BC246" i="76" s="1"/>
  <c r="AF246" i="76"/>
  <c r="AP246" i="76"/>
  <c r="AP160" i="76"/>
  <c r="BF160" i="76" s="1"/>
  <c r="AZ160" i="76" s="1"/>
  <c r="BC160" i="76" s="1"/>
  <c r="AF160" i="76"/>
  <c r="AX276" i="76"/>
  <c r="BD276" i="76" s="1"/>
  <c r="AQ276" i="76"/>
  <c r="AQ145" i="76"/>
  <c r="AX145" i="76"/>
  <c r="BD145" i="76" s="1"/>
  <c r="AP354" i="76"/>
  <c r="BF354" i="76" s="1"/>
  <c r="AZ354" i="76" s="1"/>
  <c r="BC354" i="76"/>
  <c r="AF354" i="76"/>
  <c r="BW231" i="76"/>
  <c r="AK231" i="76" a="1"/>
  <c r="AK231" i="76" s="1"/>
  <c r="BG231" i="76" s="1"/>
  <c r="AM231" i="76"/>
  <c r="AI231" i="76"/>
  <c r="AH231" i="76"/>
  <c r="AG231" i="76"/>
  <c r="AE165" i="76"/>
  <c r="AF370" i="76"/>
  <c r="AP370" i="76"/>
  <c r="BF370" i="76"/>
  <c r="AZ370" i="76" s="1"/>
  <c r="BC370" i="76" s="1"/>
  <c r="AX75" i="76"/>
  <c r="BD75" i="76" s="1"/>
  <c r="AQ75" i="76"/>
  <c r="AE75" i="76"/>
  <c r="AP159" i="76"/>
  <c r="AF159" i="76"/>
  <c r="AE159" i="76"/>
  <c r="BF159" i="76"/>
  <c r="AZ159" i="76" s="1"/>
  <c r="BC159" i="76" s="1"/>
  <c r="AQ80" i="76"/>
  <c r="AX80" i="76"/>
  <c r="BD80" i="76" s="1"/>
  <c r="AE338" i="76"/>
  <c r="AK506" i="76" a="1"/>
  <c r="AK506" i="76" s="1"/>
  <c r="BG506" i="76" s="1"/>
  <c r="AI506" i="76"/>
  <c r="AH506" i="76"/>
  <c r="BW506" i="76"/>
  <c r="AM506" i="76"/>
  <c r="AG506" i="76"/>
  <c r="AF524" i="76"/>
  <c r="AE524" i="76"/>
  <c r="BC524" i="76"/>
  <c r="AP524" i="76"/>
  <c r="BF524" i="76"/>
  <c r="AZ524" i="76" s="1"/>
  <c r="AX508" i="76"/>
  <c r="BD508" i="76" s="1"/>
  <c r="AQ508" i="76"/>
  <c r="BF403" i="76"/>
  <c r="AZ403" i="76" s="1"/>
  <c r="BC403" i="76" s="1"/>
  <c r="AP403" i="76"/>
  <c r="AF403" i="76"/>
  <c r="AX438" i="76"/>
  <c r="BD438" i="76" s="1"/>
  <c r="AQ438" i="76"/>
  <c r="AE438" i="76"/>
  <c r="BW308" i="76"/>
  <c r="AM308" i="76"/>
  <c r="AI308" i="76"/>
  <c r="AH308" i="76"/>
  <c r="AG308" i="76"/>
  <c r="AK308" i="76" a="1"/>
  <c r="AK308" i="76" s="1"/>
  <c r="BG308" i="76" s="1"/>
  <c r="AQ498" i="76"/>
  <c r="AX498" i="76"/>
  <c r="BD498" i="76" s="1"/>
  <c r="AE485" i="76"/>
  <c r="AP516" i="76"/>
  <c r="AF516" i="76"/>
  <c r="BF516" i="76"/>
  <c r="AZ516" i="76" s="1"/>
  <c r="BC516" i="76" s="1"/>
  <c r="AE516" i="76"/>
  <c r="AF482" i="76"/>
  <c r="AE482" i="76"/>
  <c r="AP482" i="76"/>
  <c r="BF482" i="76"/>
  <c r="AZ482" i="76" s="1"/>
  <c r="BC482" i="76"/>
  <c r="BG355" i="76"/>
  <c r="BF355" i="76"/>
  <c r="AZ355" i="76" s="1"/>
  <c r="BC355" i="76" s="1"/>
  <c r="AP444" i="76"/>
  <c r="BF444" i="76"/>
  <c r="AZ444" i="76" s="1"/>
  <c r="BC444" i="76"/>
  <c r="AF444" i="76"/>
  <c r="AE444" i="76" s="1"/>
  <c r="AX497" i="76"/>
  <c r="BD497" i="76" s="1"/>
  <c r="AQ497" i="76"/>
  <c r="AF255" i="76"/>
  <c r="AE255" i="76"/>
  <c r="AP255" i="76"/>
  <c r="BF255" i="76" s="1"/>
  <c r="AZ255" i="76" s="1"/>
  <c r="BC255" i="76" s="1"/>
  <c r="AP179" i="76"/>
  <c r="BF179" i="76" s="1"/>
  <c r="AZ179" i="76" s="1"/>
  <c r="BC179" i="76" s="1"/>
  <c r="AE179" i="76"/>
  <c r="AF179" i="76"/>
  <c r="AP103" i="76"/>
  <c r="BF103" i="76"/>
  <c r="AZ103" i="76" s="1"/>
  <c r="BC103" i="76" s="1"/>
  <c r="AF103" i="76"/>
  <c r="AE103" i="76"/>
  <c r="AX237" i="76"/>
  <c r="BD237" i="76" s="1"/>
  <c r="AQ237" i="76"/>
  <c r="AX357" i="76"/>
  <c r="BD357" i="76" s="1"/>
  <c r="AQ357" i="76"/>
  <c r="AQ413" i="76"/>
  <c r="AX413" i="76"/>
  <c r="BD413" i="76" s="1"/>
  <c r="AQ358" i="76"/>
  <c r="AX358" i="76"/>
  <c r="BD358" i="76" s="1"/>
  <c r="AE358" i="76"/>
  <c r="AE489" i="76"/>
  <c r="AP210" i="76"/>
  <c r="BF210" i="76" s="1"/>
  <c r="AZ210" i="76" s="1"/>
  <c r="BC210" i="76" s="1"/>
  <c r="AF210" i="76"/>
  <c r="AE210" i="76" s="1"/>
  <c r="AE288" i="76"/>
  <c r="AQ287" i="76"/>
  <c r="AX287" i="76"/>
  <c r="BD287" i="76" s="1"/>
  <c r="AX90" i="76"/>
  <c r="BD90" i="76" s="1"/>
  <c r="AQ90" i="76"/>
  <c r="AE420" i="76"/>
  <c r="AP420" i="76"/>
  <c r="BF420" i="76" s="1"/>
  <c r="AZ420" i="76" s="1"/>
  <c r="BC420" i="76" s="1"/>
  <c r="AF420" i="76"/>
  <c r="AP127" i="76"/>
  <c r="AF127" i="76"/>
  <c r="AE127" i="76"/>
  <c r="BF127" i="76"/>
  <c r="AZ127" i="76" s="1"/>
  <c r="BC127" i="76" s="1"/>
  <c r="AE64" i="76"/>
  <c r="AP272" i="76"/>
  <c r="AF272" i="76"/>
  <c r="AE272" i="76"/>
  <c r="BF272" i="76"/>
  <c r="AZ272" i="76" s="1"/>
  <c r="BC272" i="76"/>
  <c r="AE505" i="76"/>
  <c r="AX138" i="76"/>
  <c r="BD138" i="76" s="1"/>
  <c r="AQ138" i="76"/>
  <c r="AF173" i="76"/>
  <c r="AP173" i="76"/>
  <c r="BF173" i="76" s="1"/>
  <c r="AZ173" i="76" s="1"/>
  <c r="BC173" i="76" s="1"/>
  <c r="AX409" i="76"/>
  <c r="BD409" i="76" s="1"/>
  <c r="AQ409" i="76"/>
  <c r="BG318" i="76"/>
  <c r="AE161" i="76"/>
  <c r="AQ262" i="76"/>
  <c r="AX262" i="76"/>
  <c r="BD262" i="76" s="1"/>
  <c r="AQ190" i="76"/>
  <c r="AX190" i="76"/>
  <c r="BD190" i="76" s="1"/>
  <c r="AX155" i="76"/>
  <c r="BD155" i="76" s="1"/>
  <c r="AQ155" i="76"/>
  <c r="BF324" i="76"/>
  <c r="AZ324" i="76" s="1"/>
  <c r="BC324" i="76" s="1"/>
  <c r="AP324" i="76"/>
  <c r="AF324" i="76"/>
  <c r="AE324" i="76"/>
  <c r="AF499" i="76"/>
  <c r="AE499" i="76"/>
  <c r="BF499" i="76"/>
  <c r="AZ499" i="76" s="1"/>
  <c r="BC499" i="76" s="1"/>
  <c r="AP499" i="76"/>
  <c r="AF98" i="76"/>
  <c r="AE98" i="76"/>
  <c r="AP98" i="76"/>
  <c r="BF98" i="76" s="1"/>
  <c r="AZ98" i="76" s="1"/>
  <c r="BC98" i="76" s="1"/>
  <c r="AH467" i="76"/>
  <c r="AG467" i="76"/>
  <c r="AK467" i="76" a="1"/>
  <c r="AK467" i="76" s="1"/>
  <c r="BG467" i="76" s="1"/>
  <c r="BW467" i="76"/>
  <c r="AM467" i="76"/>
  <c r="AI467" i="76"/>
  <c r="AK533" i="76" a="1"/>
  <c r="AK533" i="76" s="1"/>
  <c r="BG533" i="76" s="1"/>
  <c r="AI533" i="76"/>
  <c r="AM533" i="76"/>
  <c r="AH533" i="76"/>
  <c r="AG533" i="76"/>
  <c r="BW533" i="76"/>
  <c r="AG189" i="76"/>
  <c r="BW189" i="76"/>
  <c r="AI189" i="76"/>
  <c r="AH189" i="76"/>
  <c r="AK189" i="76" a="1"/>
  <c r="AK189" i="76" s="1"/>
  <c r="BG189" i="76" s="1"/>
  <c r="AM189" i="76"/>
  <c r="BG427" i="76"/>
  <c r="AF401" i="76"/>
  <c r="AP401" i="76"/>
  <c r="AE401" i="76"/>
  <c r="BF401" i="76"/>
  <c r="AZ401" i="76" s="1"/>
  <c r="BC401" i="76" s="1"/>
  <c r="AQ491" i="76"/>
  <c r="AX491" i="76"/>
  <c r="BD491" i="76" s="1"/>
  <c r="AE491" i="76"/>
  <c r="BW249" i="76"/>
  <c r="AK249" i="76" a="1"/>
  <c r="AK249" i="76" s="1"/>
  <c r="BG249" i="76" s="1"/>
  <c r="AH249" i="76"/>
  <c r="AG249" i="76"/>
  <c r="AM249" i="76"/>
  <c r="AI249" i="76"/>
  <c r="AP342" i="76"/>
  <c r="BF342" i="76" s="1"/>
  <c r="AZ342" i="76" s="1"/>
  <c r="BC342" i="76"/>
  <c r="AF342" i="76"/>
  <c r="AE342" i="76"/>
  <c r="AP520" i="76"/>
  <c r="BF520" i="76"/>
  <c r="AZ520" i="76" s="1"/>
  <c r="BC520" i="76"/>
  <c r="AF520" i="76"/>
  <c r="AE520" i="76"/>
  <c r="AF502" i="76"/>
  <c r="AP502" i="76"/>
  <c r="BF502" i="76"/>
  <c r="AZ502" i="76" s="1"/>
  <c r="AE502" i="76"/>
  <c r="BC502" i="76"/>
  <c r="AK245" i="76" a="1"/>
  <c r="AK245" i="76" s="1"/>
  <c r="BG245" i="76" s="1"/>
  <c r="AG245" i="76"/>
  <c r="AM245" i="76"/>
  <c r="AI245" i="76"/>
  <c r="AH245" i="76"/>
  <c r="BW245" i="76"/>
  <c r="AI436" i="76"/>
  <c r="AM436" i="76"/>
  <c r="AH436" i="76"/>
  <c r="AG436" i="76"/>
  <c r="AK436" i="76" a="1"/>
  <c r="AK436" i="76" s="1"/>
  <c r="BG436" i="76" s="1"/>
  <c r="BW436" i="76"/>
  <c r="AF464" i="76"/>
  <c r="AP464" i="76"/>
  <c r="AE464" i="76"/>
  <c r="BF464" i="76"/>
  <c r="AZ464" i="76" s="1"/>
  <c r="BC464" i="76"/>
  <c r="AF258" i="76"/>
  <c r="BC258" i="76"/>
  <c r="AP258" i="76"/>
  <c r="BF258" i="76"/>
  <c r="AZ258" i="76" s="1"/>
  <c r="AF428" i="76"/>
  <c r="AE428" i="76"/>
  <c r="BC428" i="76"/>
  <c r="AP428" i="76"/>
  <c r="BF428" i="76"/>
  <c r="AZ428" i="76" s="1"/>
  <c r="AF536" i="76"/>
  <c r="AE536" i="76" s="1"/>
  <c r="AP536" i="76"/>
  <c r="BF536" i="76" s="1"/>
  <c r="AZ536" i="76" s="1"/>
  <c r="BC536" i="76" s="1"/>
  <c r="AI448" i="76"/>
  <c r="BW448" i="76"/>
  <c r="AH448" i="76"/>
  <c r="AG448" i="76"/>
  <c r="AM448" i="76"/>
  <c r="AK448" i="76" a="1"/>
  <c r="AK448" i="76" s="1"/>
  <c r="BG448" i="76" s="1"/>
  <c r="AF432" i="76"/>
  <c r="AE432" i="76" s="1"/>
  <c r="AP432" i="76"/>
  <c r="BF432" i="76" s="1"/>
  <c r="AZ432" i="76" s="1"/>
  <c r="BC432" i="76" s="1"/>
  <c r="AP417" i="76"/>
  <c r="BF417" i="76" s="1"/>
  <c r="AZ417" i="76" s="1"/>
  <c r="BC417" i="76" s="1"/>
  <c r="AF417" i="76"/>
  <c r="AQ292" i="76"/>
  <c r="AX292" i="76"/>
  <c r="BD292" i="76" s="1"/>
  <c r="AX181" i="76"/>
  <c r="BD181" i="76" s="1"/>
  <c r="AQ181" i="76"/>
  <c r="AE181" i="76"/>
  <c r="AK277" i="76" a="1"/>
  <c r="AK277" i="76" s="1"/>
  <c r="BG277" i="76" s="1"/>
  <c r="AI277" i="76"/>
  <c r="AH277" i="76"/>
  <c r="AG277" i="76"/>
  <c r="BW277" i="76"/>
  <c r="AM277" i="76"/>
  <c r="AF211" i="76"/>
  <c r="AP211" i="76"/>
  <c r="BF211" i="76"/>
  <c r="AZ211" i="76" s="1"/>
  <c r="BC211" i="76" s="1"/>
  <c r="AE211" i="76"/>
  <c r="AP176" i="76"/>
  <c r="BF176" i="76" s="1"/>
  <c r="AZ176" i="76" s="1"/>
  <c r="BC176" i="76" s="1"/>
  <c r="AE176" i="76"/>
  <c r="AF176" i="76"/>
  <c r="AE110" i="76"/>
  <c r="AP110" i="76"/>
  <c r="BF110" i="76" s="1"/>
  <c r="AZ110" i="76" s="1"/>
  <c r="BC110" i="76" s="1"/>
  <c r="AF110" i="76"/>
  <c r="AF53" i="76"/>
  <c r="AE53" i="76"/>
  <c r="AP53" i="76"/>
  <c r="BF53" i="76"/>
  <c r="AZ53" i="76" s="1"/>
  <c r="BC53" i="76" s="1"/>
  <c r="AP264" i="76"/>
  <c r="BF264" i="76"/>
  <c r="AZ264" i="76" s="1"/>
  <c r="AF264" i="76"/>
  <c r="BC264" i="76"/>
  <c r="AP136" i="76"/>
  <c r="BF136" i="76"/>
  <c r="AZ136" i="76" s="1"/>
  <c r="BC136" i="76"/>
  <c r="AF136" i="76"/>
  <c r="AE136" i="76" s="1"/>
  <c r="AP526" i="76"/>
  <c r="BF526" i="76" s="1"/>
  <c r="AZ526" i="76" s="1"/>
  <c r="BC526" i="76" s="1"/>
  <c r="AF526" i="76"/>
  <c r="AE526" i="76" s="1"/>
  <c r="AX116" i="76"/>
  <c r="BD116" i="76" s="1"/>
  <c r="AQ116" i="76"/>
  <c r="BW287" i="76"/>
  <c r="AH287" i="76"/>
  <c r="AG287" i="76"/>
  <c r="AI287" i="76"/>
  <c r="AK287" i="76" a="1"/>
  <c r="AK287" i="76" s="1"/>
  <c r="BG287" i="76" s="1"/>
  <c r="AM287" i="76"/>
  <c r="AF57" i="76"/>
  <c r="AE57" i="76"/>
  <c r="AP57" i="76"/>
  <c r="BF57" i="76" s="1"/>
  <c r="AZ57" i="76" s="1"/>
  <c r="BC57" i="76" s="1"/>
  <c r="AG58" i="76"/>
  <c r="BW58" i="76"/>
  <c r="AH58" i="76"/>
  <c r="AK58" i="76" a="1"/>
  <c r="AK58" i="76" s="1"/>
  <c r="BG58" i="76" s="1"/>
  <c r="AI58" i="76"/>
  <c r="AM58" i="76"/>
  <c r="AX108" i="76"/>
  <c r="BD108" i="76" s="1"/>
  <c r="AQ108" i="76"/>
  <c r="AX213" i="76"/>
  <c r="BD213" i="76" s="1"/>
  <c r="AQ213" i="76"/>
  <c r="AX28" i="76"/>
  <c r="BD28" i="76" s="1"/>
  <c r="AQ28" i="76"/>
  <c r="AQ46" i="76"/>
  <c r="AX46" i="76"/>
  <c r="BD46" i="76" s="1"/>
  <c r="BG454" i="76"/>
  <c r="AP366" i="76"/>
  <c r="AF366" i="76"/>
  <c r="BF366" i="76"/>
  <c r="AZ366" i="76" s="1"/>
  <c r="BC366" i="76"/>
  <c r="AQ323" i="76"/>
  <c r="AP102" i="76"/>
  <c r="BF102" i="76" s="1"/>
  <c r="AZ102" i="76" s="1"/>
  <c r="BC102" i="76" s="1"/>
  <c r="AE102" i="76"/>
  <c r="AF102" i="76"/>
  <c r="AP463" i="76"/>
  <c r="BF463" i="76"/>
  <c r="AZ463" i="76" s="1"/>
  <c r="BC463" i="76" s="1"/>
  <c r="AF463" i="76"/>
  <c r="AE463" i="76"/>
  <c r="AX365" i="76"/>
  <c r="BD365" i="76" s="1"/>
  <c r="AQ365" i="76"/>
  <c r="AQ392" i="76"/>
  <c r="AX392" i="76"/>
  <c r="BD392" i="76" s="1"/>
  <c r="AQ546" i="76"/>
  <c r="AX546" i="76"/>
  <c r="BD546" i="76" s="1"/>
  <c r="AP504" i="76"/>
  <c r="BF504" i="76" s="1"/>
  <c r="AZ504" i="76" s="1"/>
  <c r="BC504" i="76" s="1"/>
  <c r="AF504" i="76"/>
  <c r="AE504" i="76"/>
  <c r="AF481" i="76"/>
  <c r="AE481" i="76" s="1"/>
  <c r="AP481" i="76"/>
  <c r="BF481" i="76" s="1"/>
  <c r="AZ481" i="76" s="1"/>
  <c r="BC481" i="76" s="1"/>
  <c r="BF352" i="76"/>
  <c r="AZ352" i="76" s="1"/>
  <c r="BC352" i="76" s="1"/>
  <c r="BG352" i="76"/>
  <c r="AG376" i="76"/>
  <c r="AK376" i="76" a="1"/>
  <c r="AK376" i="76" s="1"/>
  <c r="BG376" i="76" s="1"/>
  <c r="BW376" i="76"/>
  <c r="AM376" i="76"/>
  <c r="AI376" i="76"/>
  <c r="AH376" i="76"/>
  <c r="AP293" i="76"/>
  <c r="BF293" i="76" s="1"/>
  <c r="AZ293" i="76" s="1"/>
  <c r="BC293" i="76" s="1"/>
  <c r="AF293" i="76"/>
  <c r="BF209" i="76"/>
  <c r="AZ209" i="76" s="1"/>
  <c r="BC209" i="76"/>
  <c r="AF209" i="76"/>
  <c r="AP209" i="76"/>
  <c r="AP369" i="76"/>
  <c r="BF369" i="76" s="1"/>
  <c r="AZ369" i="76" s="1"/>
  <c r="BC369" i="76" s="1"/>
  <c r="AF369" i="76"/>
  <c r="AE369" i="76"/>
  <c r="AP315" i="76"/>
  <c r="BF315" i="76"/>
  <c r="AZ315" i="76" s="1"/>
  <c r="BC315" i="76" s="1"/>
  <c r="AF315" i="76"/>
  <c r="BF263" i="76"/>
  <c r="AZ263" i="76" s="1"/>
  <c r="BC263" i="76" s="1"/>
  <c r="AF263" i="76"/>
  <c r="AE263" i="76"/>
  <c r="AP263" i="76"/>
  <c r="AF332" i="76"/>
  <c r="AE332" i="76"/>
  <c r="AP332" i="76"/>
  <c r="BF332" i="76" s="1"/>
  <c r="AZ332" i="76" s="1"/>
  <c r="BC332" i="76" s="1"/>
  <c r="BG384" i="76"/>
  <c r="AG283" i="76"/>
  <c r="AK283" i="76" a="1"/>
  <c r="AK283" i="76" s="1"/>
  <c r="BG283" i="76" s="1"/>
  <c r="BW283" i="76"/>
  <c r="AH283" i="76"/>
  <c r="AM283" i="76"/>
  <c r="AI283" i="76"/>
  <c r="BF314" i="76"/>
  <c r="AZ314" i="76" s="1"/>
  <c r="BC314" i="76" s="1"/>
  <c r="AF314" i="76"/>
  <c r="AE314" i="76" s="1"/>
  <c r="AP314" i="76"/>
  <c r="AP405" i="76"/>
  <c r="BF405" i="76" s="1"/>
  <c r="AZ405" i="76" s="1"/>
  <c r="BC405" i="76" s="1"/>
  <c r="AF405" i="76"/>
  <c r="AE405" i="76"/>
  <c r="AF472" i="76"/>
  <c r="AP472" i="76"/>
  <c r="BF472" i="76" s="1"/>
  <c r="AZ472" i="76" s="1"/>
  <c r="BC472" i="76" s="1"/>
  <c r="AH393" i="76"/>
  <c r="AG393" i="76"/>
  <c r="AM393" i="76"/>
  <c r="BW393" i="76"/>
  <c r="AK393" i="76" a="1"/>
  <c r="AK393" i="76" s="1"/>
  <c r="BG393" i="76" s="1"/>
  <c r="AI393" i="76"/>
  <c r="AF360" i="76"/>
  <c r="AE360" i="76"/>
  <c r="AP360" i="76"/>
  <c r="BF360" i="76" s="1"/>
  <c r="AZ360" i="76" s="1"/>
  <c r="BC360" i="76" s="1"/>
  <c r="AE116" i="76"/>
  <c r="AX69" i="76"/>
  <c r="BD69" i="76" s="1"/>
  <c r="AQ69" i="76"/>
  <c r="BG285" i="76"/>
  <c r="AI36" i="76"/>
  <c r="AG36" i="76"/>
  <c r="AH36" i="76"/>
  <c r="AM36" i="76"/>
  <c r="AK36" i="76" a="1"/>
  <c r="AK36" i="76" s="1"/>
  <c r="BG36" i="76" s="1"/>
  <c r="BW36" i="76"/>
  <c r="AP281" i="76"/>
  <c r="AF281" i="76"/>
  <c r="AE281" i="76"/>
  <c r="BF281" i="76"/>
  <c r="AZ281" i="76" s="1"/>
  <c r="BC281" i="76" s="1"/>
  <c r="AX183" i="76"/>
  <c r="BD183" i="76" s="1"/>
  <c r="AQ183" i="76"/>
  <c r="AG243" i="76"/>
  <c r="AI243" i="76"/>
  <c r="AH243" i="76"/>
  <c r="AM243" i="76"/>
  <c r="BW243" i="76"/>
  <c r="AK243" i="76" a="1"/>
  <c r="AK243" i="76" s="1"/>
  <c r="BG243" i="76" s="1"/>
  <c r="AX528" i="76"/>
  <c r="BD528" i="76" s="1"/>
  <c r="AQ528" i="76"/>
  <c r="BW169" i="76"/>
  <c r="AM169" i="76"/>
  <c r="AK169" i="76" a="1"/>
  <c r="AK169" i="76" s="1"/>
  <c r="BG169" i="76" s="1"/>
  <c r="AH169" i="76"/>
  <c r="AI169" i="76"/>
  <c r="AG169" i="76"/>
  <c r="AP111" i="76"/>
  <c r="BF111" i="76" s="1"/>
  <c r="AZ111" i="76" s="1"/>
  <c r="BC111" i="76" s="1"/>
  <c r="AF111" i="76"/>
  <c r="AE111" i="76" s="1"/>
  <c r="AX52" i="76"/>
  <c r="BD52" i="76" s="1"/>
  <c r="AQ52" i="76"/>
  <c r="BF168" i="76"/>
  <c r="AZ168" i="76" s="1"/>
  <c r="BC168" i="76" s="1"/>
  <c r="AE168" i="76"/>
  <c r="AP168" i="76"/>
  <c r="AF168" i="76"/>
  <c r="AH230" i="76"/>
  <c r="AG230" i="76"/>
  <c r="AK230" i="76" a="1"/>
  <c r="AK230" i="76" s="1"/>
  <c r="BG230" i="76" s="1"/>
  <c r="BW230" i="76"/>
  <c r="AI230" i="76"/>
  <c r="AM230" i="76"/>
  <c r="AK433" i="76" a="1"/>
  <c r="AK433" i="76" s="1"/>
  <c r="BG433" i="76" s="1"/>
  <c r="BW433" i="76"/>
  <c r="AI433" i="76"/>
  <c r="AH433" i="76"/>
  <c r="AG433" i="76"/>
  <c r="AM433" i="76"/>
  <c r="AF312" i="76"/>
  <c r="AE312" i="76" s="1"/>
  <c r="AP312" i="76"/>
  <c r="BF312" i="76" s="1"/>
  <c r="AZ312" i="76" s="1"/>
  <c r="BC312" i="76" s="1"/>
  <c r="AQ224" i="76"/>
  <c r="AX224" i="76"/>
  <c r="BD224" i="76" s="1"/>
  <c r="BF157" i="76"/>
  <c r="AZ157" i="76" s="1"/>
  <c r="BC157" i="76" s="1"/>
  <c r="BF475" i="76"/>
  <c r="AZ475" i="76" s="1"/>
  <c r="BC475" i="76" s="1"/>
  <c r="AF475" i="76"/>
  <c r="AE475" i="76"/>
  <c r="AP475" i="76"/>
  <c r="AI222" i="76"/>
  <c r="AH222" i="76"/>
  <c r="AG222" i="76"/>
  <c r="BW222" i="76"/>
  <c r="AM222" i="76"/>
  <c r="AK222" i="76" a="1"/>
  <c r="AK222" i="76" s="1"/>
  <c r="BG222" i="76" s="1"/>
  <c r="AK100" i="76" a="1"/>
  <c r="AK100" i="76" s="1"/>
  <c r="BG100" i="76" s="1"/>
  <c r="AI100" i="76"/>
  <c r="AH100" i="76"/>
  <c r="AM100" i="76"/>
  <c r="AG100" i="76"/>
  <c r="BW100" i="76"/>
  <c r="AQ187" i="76"/>
  <c r="AX187" i="76"/>
  <c r="BD187" i="76" s="1"/>
  <c r="AQ73" i="76"/>
  <c r="AX73" i="76"/>
  <c r="BD73" i="76" s="1"/>
  <c r="AX335" i="76"/>
  <c r="BD335" i="76" s="1"/>
  <c r="AQ335" i="76"/>
  <c r="AQ47" i="76"/>
  <c r="AX47" i="76"/>
  <c r="BD47" i="76" s="1"/>
  <c r="AG43" i="76"/>
  <c r="AK43" i="76" a="1"/>
  <c r="AK43" i="76" s="1"/>
  <c r="BG43" i="76" s="1"/>
  <c r="AI43" i="76"/>
  <c r="AH43" i="76"/>
  <c r="BW43" i="76"/>
  <c r="AM43" i="76"/>
  <c r="AX274" i="76"/>
  <c r="BD274" i="76" s="1"/>
  <c r="AQ274" i="76"/>
  <c r="BF300" i="76"/>
  <c r="AZ300" i="76" s="1"/>
  <c r="BC300" i="76"/>
  <c r="AF300" i="76"/>
  <c r="AE300" i="76" s="1"/>
  <c r="AP300" i="76"/>
  <c r="AI407" i="76"/>
  <c r="AK407" i="76" a="1"/>
  <c r="AK407" i="76" s="1"/>
  <c r="BG407" i="76" s="1"/>
  <c r="BW407" i="76"/>
  <c r="AH407" i="76"/>
  <c r="AG407" i="76"/>
  <c r="AM407" i="76"/>
  <c r="AQ202" i="76"/>
  <c r="AX202" i="76"/>
  <c r="BD202" i="76" s="1"/>
  <c r="AG122" i="76"/>
  <c r="AI122" i="76"/>
  <c r="AH122" i="76"/>
  <c r="BW122" i="76"/>
  <c r="AK122" i="76" a="1"/>
  <c r="AK122" i="76" s="1"/>
  <c r="BG122" i="76" s="1"/>
  <c r="AM122" i="76"/>
  <c r="BG238" i="76"/>
  <c r="AX114" i="76"/>
  <c r="BD114" i="76" s="1"/>
  <c r="AQ114" i="76"/>
  <c r="AP479" i="76"/>
  <c r="BF479" i="76"/>
  <c r="AZ479" i="76" s="1"/>
  <c r="BC479" i="76" s="1"/>
  <c r="AF479" i="76"/>
  <c r="AE479" i="76"/>
  <c r="AP530" i="76"/>
  <c r="BF530" i="76"/>
  <c r="AZ530" i="76" s="1"/>
  <c r="BC530" i="76" s="1"/>
  <c r="AF530" i="76"/>
  <c r="AP194" i="76"/>
  <c r="BF194" i="76" s="1"/>
  <c r="AZ194" i="76" s="1"/>
  <c r="BC194" i="76"/>
  <c r="AF194" i="76"/>
  <c r="AE194" i="76" s="1"/>
  <c r="AE451" i="76"/>
  <c r="BF451" i="76"/>
  <c r="AZ451" i="76" s="1"/>
  <c r="BC451" i="76" s="1"/>
  <c r="AP451" i="76"/>
  <c r="AF451" i="76"/>
  <c r="AX533" i="76"/>
  <c r="BD533" i="76" s="1"/>
  <c r="AQ533" i="76"/>
  <c r="AK76" i="76" a="1"/>
  <c r="AK76" i="76" s="1"/>
  <c r="BG76" i="76" s="1"/>
  <c r="AH76" i="76"/>
  <c r="AI76" i="76"/>
  <c r="AM76" i="76"/>
  <c r="BW76" i="76"/>
  <c r="AG76" i="76"/>
  <c r="AF541" i="76"/>
  <c r="AE541" i="76"/>
  <c r="AP541" i="76"/>
  <c r="BF541" i="76" s="1"/>
  <c r="AZ541" i="76" s="1"/>
  <c r="BC541" i="76" s="1"/>
  <c r="BF158" i="76"/>
  <c r="AZ158" i="76" s="1"/>
  <c r="BC158" i="76" s="1"/>
  <c r="AP158" i="76"/>
  <c r="AF158" i="76"/>
  <c r="AE158" i="76"/>
  <c r="AF492" i="76"/>
  <c r="AE492" i="76"/>
  <c r="BC492" i="76"/>
  <c r="AP492" i="76"/>
  <c r="BF492" i="76" s="1"/>
  <c r="AZ492" i="76" s="1"/>
  <c r="AM459" i="76"/>
  <c r="AI459" i="76"/>
  <c r="AH459" i="76"/>
  <c r="AG459" i="76"/>
  <c r="BW459" i="76"/>
  <c r="AK459" i="76" a="1"/>
  <c r="AK459" i="76" s="1"/>
  <c r="BG459" i="76" s="1"/>
  <c r="BG120" i="76"/>
  <c r="AF41" i="76"/>
  <c r="AE41" i="76"/>
  <c r="AP41" i="76"/>
  <c r="BF41" i="76" s="1"/>
  <c r="AZ41" i="76" s="1"/>
  <c r="BC41" i="76" s="1"/>
  <c r="AP529" i="76"/>
  <c r="BF529" i="76" s="1"/>
  <c r="AZ529" i="76" s="1"/>
  <c r="BC529" i="76" s="1"/>
  <c r="AF529" i="76"/>
  <c r="AE529" i="76"/>
  <c r="AX415" i="76"/>
  <c r="BD415" i="76" s="1"/>
  <c r="AQ415" i="76"/>
  <c r="AF216" i="76"/>
  <c r="AE216" i="76" s="1"/>
  <c r="AP216" i="76"/>
  <c r="BF216" i="76" s="1"/>
  <c r="AZ216" i="76" s="1"/>
  <c r="BC216" i="76" s="1"/>
  <c r="AX411" i="76"/>
  <c r="BD411" i="76" s="1"/>
  <c r="AQ411" i="76"/>
  <c r="AE411" i="76"/>
  <c r="AP493" i="76"/>
  <c r="BF493" i="76" s="1"/>
  <c r="AZ493" i="76" s="1"/>
  <c r="BC493" i="76" s="1"/>
  <c r="AF493" i="76"/>
  <c r="AE493" i="76"/>
  <c r="AP265" i="76"/>
  <c r="BF265" i="76" s="1"/>
  <c r="AZ265" i="76" s="1"/>
  <c r="BC265" i="76" s="1"/>
  <c r="AF265" i="76"/>
  <c r="AE265" i="76"/>
  <c r="AX204" i="76"/>
  <c r="BD204" i="76" s="1"/>
  <c r="AQ204" i="76"/>
  <c r="AI131" i="76"/>
  <c r="AH131" i="76"/>
  <c r="AG131" i="76"/>
  <c r="AM131" i="76"/>
  <c r="BW131" i="76"/>
  <c r="AK131" i="76" a="1"/>
  <c r="AK131" i="76" s="1"/>
  <c r="BG131" i="76" s="1"/>
  <c r="AX399" i="76"/>
  <c r="BD399" i="76" s="1"/>
  <c r="AQ399" i="76"/>
  <c r="BF142" i="76"/>
  <c r="AZ142" i="76" s="1"/>
  <c r="BC142" i="76" s="1"/>
  <c r="AE142" i="76"/>
  <c r="AF142" i="76"/>
  <c r="AP142" i="76"/>
  <c r="AP278" i="76"/>
  <c r="BF278" i="76" s="1"/>
  <c r="AZ278" i="76" s="1"/>
  <c r="BC278" i="76" s="1"/>
  <c r="AF278" i="76"/>
  <c r="AE278" i="76"/>
  <c r="AX206" i="76"/>
  <c r="BD206" i="76" s="1"/>
  <c r="AQ206" i="76"/>
  <c r="AP302" i="76"/>
  <c r="AF302" i="76"/>
  <c r="BF302" i="76"/>
  <c r="AZ302" i="76" s="1"/>
  <c r="BC302" i="76" s="1"/>
  <c r="AF60" i="76"/>
  <c r="AP60" i="76"/>
  <c r="BF60" i="76"/>
  <c r="AZ60" i="76" s="1"/>
  <c r="BC60" i="76" s="1"/>
  <c r="AQ137" i="76"/>
  <c r="AX137" i="76"/>
  <c r="BD137" i="76" s="1"/>
  <c r="AK46" i="76" a="1"/>
  <c r="AK46" i="76" s="1"/>
  <c r="BG46" i="76" s="1"/>
  <c r="AI46" i="76"/>
  <c r="AH46" i="76"/>
  <c r="BW46" i="76"/>
  <c r="AG46" i="76"/>
  <c r="AM46" i="76"/>
  <c r="AX390" i="76"/>
  <c r="BD390" i="76" s="1"/>
  <c r="AQ390" i="76"/>
  <c r="AE121" i="76"/>
  <c r="AP121" i="76"/>
  <c r="BF121" i="76" s="1"/>
  <c r="AZ121" i="76" s="1"/>
  <c r="BC121" i="76" s="1"/>
  <c r="AF121" i="76"/>
  <c r="AM59" i="76"/>
  <c r="BW59" i="76"/>
  <c r="AK59" i="76" a="1"/>
  <c r="AK59" i="76" s="1"/>
  <c r="BG59" i="76" s="1"/>
  <c r="AH59" i="76"/>
  <c r="AG59" i="76"/>
  <c r="AI59" i="76"/>
  <c r="AX500" i="76"/>
  <c r="BD500" i="76" s="1"/>
  <c r="AQ500" i="76"/>
  <c r="AI190" i="76"/>
  <c r="AH190" i="76"/>
  <c r="BW190" i="76"/>
  <c r="AK190" i="76" a="1"/>
  <c r="AK190" i="76" s="1"/>
  <c r="BG190" i="76" s="1"/>
  <c r="AG190" i="76"/>
  <c r="AM190" i="76"/>
  <c r="AP353" i="76"/>
  <c r="BF353" i="76" s="1"/>
  <c r="AZ353" i="76" s="1"/>
  <c r="BC353" i="76" s="1"/>
  <c r="AF353" i="76"/>
  <c r="AE353" i="76" s="1"/>
  <c r="AF469" i="76"/>
  <c r="AE469" i="76"/>
  <c r="AP469" i="76"/>
  <c r="BF469" i="76"/>
  <c r="AZ469" i="76" s="1"/>
  <c r="BC469" i="76" s="1"/>
  <c r="AH512" i="76"/>
  <c r="AK512" i="76" a="1"/>
  <c r="AK512" i="76" s="1"/>
  <c r="BG512" i="76" s="1"/>
  <c r="AI512" i="76"/>
  <c r="BW512" i="76"/>
  <c r="AM512" i="76"/>
  <c r="AG512" i="76"/>
  <c r="AF221" i="76"/>
  <c r="AE221" i="76"/>
  <c r="AP221" i="76"/>
  <c r="BF221" i="76"/>
  <c r="AZ221" i="76" s="1"/>
  <c r="BC221" i="76" s="1"/>
  <c r="AK365" i="76" a="1"/>
  <c r="AK365" i="76" s="1"/>
  <c r="BG365" i="76" s="1"/>
  <c r="AM365" i="76"/>
  <c r="BW365" i="76"/>
  <c r="AH365" i="76"/>
  <c r="AG365" i="76"/>
  <c r="AI365" i="76"/>
  <c r="AK395" i="76" a="1"/>
  <c r="AK395" i="76" s="1"/>
  <c r="BG395" i="76" s="1"/>
  <c r="AM395" i="76"/>
  <c r="AG395" i="76"/>
  <c r="AI395" i="76"/>
  <c r="AH395" i="76"/>
  <c r="BW395" i="76"/>
  <c r="AX448" i="76"/>
  <c r="BD448" i="76" s="1"/>
  <c r="AQ448" i="76"/>
  <c r="AF455" i="76"/>
  <c r="AE455" i="76" s="1"/>
  <c r="AP455" i="76"/>
  <c r="BF455" i="76" s="1"/>
  <c r="AZ455" i="76" s="1"/>
  <c r="BC455" i="76" s="1"/>
  <c r="AX131" i="76"/>
  <c r="BD131" i="76" s="1"/>
  <c r="AQ131" i="76"/>
  <c r="AQ395" i="76"/>
  <c r="AX395" i="76"/>
  <c r="BD395" i="76" s="1"/>
  <c r="AQ320" i="76"/>
  <c r="AX320" i="76"/>
  <c r="BD320" i="76" s="1"/>
  <c r="AP397" i="76"/>
  <c r="BF397" i="76" s="1"/>
  <c r="AZ397" i="76" s="1"/>
  <c r="BC397" i="76" s="1"/>
  <c r="AF397" i="76"/>
  <c r="AE397" i="76"/>
  <c r="AP104" i="76"/>
  <c r="BF104" i="76"/>
  <c r="AZ104" i="76" s="1"/>
  <c r="BC104" i="76" s="1"/>
  <c r="AF104" i="76"/>
  <c r="AE108" i="76"/>
  <c r="AF510" i="76"/>
  <c r="AE510" i="76"/>
  <c r="AP510" i="76"/>
  <c r="BF510" i="76" s="1"/>
  <c r="AZ510" i="76" s="1"/>
  <c r="BC510" i="76" s="1"/>
  <c r="AX106" i="76"/>
  <c r="BD106" i="76" s="1"/>
  <c r="AQ106" i="76"/>
  <c r="AP490" i="76"/>
  <c r="BF490" i="76" s="1"/>
  <c r="AZ490" i="76" s="1"/>
  <c r="BC490" i="76" s="1"/>
  <c r="AF490" i="76"/>
  <c r="AE490" i="76" s="1"/>
  <c r="AP437" i="76"/>
  <c r="BF437" i="76"/>
  <c r="AZ437" i="76" s="1"/>
  <c r="AF437" i="76"/>
  <c r="AE437" i="76"/>
  <c r="BC437" i="76"/>
  <c r="AF503" i="76"/>
  <c r="AE503" i="76"/>
  <c r="AP503" i="76"/>
  <c r="BF503" i="76" s="1"/>
  <c r="AZ503" i="76" s="1"/>
  <c r="BC503" i="76" s="1"/>
  <c r="AP337" i="76"/>
  <c r="BF337" i="76" s="1"/>
  <c r="AZ337" i="76" s="1"/>
  <c r="BC337" i="76" s="1"/>
  <c r="AF337" i="76"/>
  <c r="BF429" i="76"/>
  <c r="AZ429" i="76" s="1"/>
  <c r="BC429" i="76" s="1"/>
  <c r="AP429" i="76"/>
  <c r="AF429" i="76"/>
  <c r="AE429" i="76"/>
  <c r="AQ376" i="76"/>
  <c r="AX376" i="76"/>
  <c r="BD376" i="76" s="1"/>
  <c r="BW539" i="76"/>
  <c r="AM539" i="76"/>
  <c r="AK539" i="76" a="1"/>
  <c r="AK539" i="76" s="1"/>
  <c r="BG539" i="76" s="1"/>
  <c r="AI539" i="76"/>
  <c r="AH539" i="76"/>
  <c r="AG539" i="76"/>
  <c r="BF377" i="76"/>
  <c r="AZ377" i="76" s="1"/>
  <c r="AF377" i="76"/>
  <c r="AE377" i="76"/>
  <c r="BC377" i="76"/>
  <c r="AP377" i="76"/>
  <c r="AQ540" i="76"/>
  <c r="AX540" i="76"/>
  <c r="BD540" i="76" s="1"/>
  <c r="BG381" i="76"/>
  <c r="AP257" i="76"/>
  <c r="BF257" i="76"/>
  <c r="AZ257" i="76" s="1"/>
  <c r="BC257" i="76"/>
  <c r="AF257" i="76"/>
  <c r="AK400" i="76" a="1"/>
  <c r="AK400" i="76" s="1"/>
  <c r="BG400" i="76" s="1"/>
  <c r="AM400" i="76"/>
  <c r="AI400" i="76"/>
  <c r="BW400" i="76"/>
  <c r="AH400" i="76"/>
  <c r="AG400" i="76"/>
  <c r="BC426" i="76"/>
  <c r="AP426" i="76"/>
  <c r="AF426" i="76"/>
  <c r="AE426" i="76"/>
  <c r="BF426" i="76"/>
  <c r="AZ426" i="76" s="1"/>
  <c r="AK172" i="76" a="1"/>
  <c r="AK172" i="76" s="1"/>
  <c r="BG172" i="76" s="1"/>
  <c r="AI172" i="76"/>
  <c r="AH172" i="76"/>
  <c r="AM172" i="76"/>
  <c r="AG172" i="76"/>
  <c r="BW172" i="76"/>
  <c r="AP71" i="76"/>
  <c r="BF71" i="76" s="1"/>
  <c r="AZ71" i="76" s="1"/>
  <c r="BC71" i="76" s="1"/>
  <c r="AF71" i="76"/>
  <c r="AE71" i="76" s="1"/>
  <c r="BF94" i="76"/>
  <c r="AZ94" i="76" s="1"/>
  <c r="BC94" i="76" s="1"/>
  <c r="AP94" i="76"/>
  <c r="AF94" i="76"/>
  <c r="AE94" i="76"/>
  <c r="AQ355" i="76"/>
  <c r="AX283" i="76"/>
  <c r="BD283" i="76" s="1"/>
  <c r="AQ283" i="76"/>
  <c r="AF212" i="76"/>
  <c r="AE212" i="76"/>
  <c r="AP212" i="76"/>
  <c r="BF212" i="76" s="1"/>
  <c r="AZ212" i="76" s="1"/>
  <c r="BC212" i="76" s="1"/>
  <c r="AP23" i="76"/>
  <c r="BF23" i="76"/>
  <c r="AZ23" i="76" s="1"/>
  <c r="BC23" i="76" s="1"/>
  <c r="AF23" i="76"/>
  <c r="AE23" i="76" s="1"/>
  <c r="AX393" i="76"/>
  <c r="BD393" i="76" s="1"/>
  <c r="AQ393" i="76"/>
  <c r="AF50" i="76"/>
  <c r="AE50" i="76"/>
  <c r="AP50" i="76"/>
  <c r="BF50" i="76"/>
  <c r="AZ50" i="76" s="1"/>
  <c r="BC50" i="76"/>
  <c r="AE414" i="76"/>
  <c r="BC414" i="76"/>
  <c r="AF414" i="76"/>
  <c r="AP414" i="76"/>
  <c r="BF414" i="76" s="1"/>
  <c r="AZ414" i="76" s="1"/>
  <c r="AP134" i="76"/>
  <c r="BF134" i="76" s="1"/>
  <c r="AZ134" i="76" s="1"/>
  <c r="BC134" i="76" s="1"/>
  <c r="AF134" i="76"/>
  <c r="AE134" i="76" s="1"/>
  <c r="AP96" i="76"/>
  <c r="AF96" i="76"/>
  <c r="AE96" i="76"/>
  <c r="BF96" i="76"/>
  <c r="AZ96" i="76" s="1"/>
  <c r="BC96" i="76"/>
  <c r="AX227" i="76"/>
  <c r="BD227" i="76" s="1"/>
  <c r="AQ227" i="76"/>
  <c r="AE227" i="76"/>
  <c r="BG244" i="76"/>
  <c r="BF26" i="76"/>
  <c r="AZ26" i="76" s="1"/>
  <c r="BC26" i="76" s="1"/>
  <c r="AP203" i="76"/>
  <c r="BF203" i="76"/>
  <c r="AZ203" i="76" s="1"/>
  <c r="BC203" i="76"/>
  <c r="AE203" i="76"/>
  <c r="AF203" i="76"/>
  <c r="AF180" i="76"/>
  <c r="AP180" i="76"/>
  <c r="BF180" i="76" s="1"/>
  <c r="AZ180" i="76" s="1"/>
  <c r="BC180" i="76" s="1"/>
  <c r="AX36" i="76"/>
  <c r="BD36" i="76" s="1"/>
  <c r="AQ36" i="76"/>
  <c r="AQ467" i="76"/>
  <c r="AX467" i="76"/>
  <c r="BD467" i="76" s="1"/>
  <c r="AX243" i="76"/>
  <c r="BD243" i="76" s="1"/>
  <c r="AQ243" i="76"/>
  <c r="AF259" i="76"/>
  <c r="AE259" i="76" s="1"/>
  <c r="AP259" i="76"/>
  <c r="BF259" i="76" s="1"/>
  <c r="AZ259" i="76" s="1"/>
  <c r="BC259" i="76" s="1"/>
  <c r="AP25" i="76"/>
  <c r="AF25" i="76"/>
  <c r="AE25" i="76"/>
  <c r="BF25" i="76"/>
  <c r="AZ25" i="76" s="1"/>
  <c r="BC25" i="76" s="1"/>
  <c r="AX230" i="76"/>
  <c r="BD230" i="76" s="1"/>
  <c r="AQ230" i="76"/>
  <c r="AX433" i="76"/>
  <c r="BD433" i="76" s="1"/>
  <c r="AQ433" i="76"/>
  <c r="BG323" i="76"/>
  <c r="AP128" i="76"/>
  <c r="AF128" i="76"/>
  <c r="AE128" i="76"/>
  <c r="BF128" i="76"/>
  <c r="AZ128" i="76" s="1"/>
  <c r="BC128" i="76" s="1"/>
  <c r="AX222" i="76"/>
  <c r="BD222" i="76" s="1"/>
  <c r="AQ222" i="76"/>
  <c r="AQ97" i="76"/>
  <c r="AX97" i="76"/>
  <c r="BD97" i="76" s="1"/>
  <c r="AX406" i="76"/>
  <c r="BD406" i="76" s="1"/>
  <c r="AQ406" i="76"/>
  <c r="AF523" i="76"/>
  <c r="AE523" i="76"/>
  <c r="AP523" i="76"/>
  <c r="BF523" i="76" s="1"/>
  <c r="AZ523" i="76" s="1"/>
  <c r="BC523" i="76" s="1"/>
  <c r="AX43" i="76"/>
  <c r="BD43" i="76" s="1"/>
  <c r="AQ43" i="76"/>
  <c r="AE274" i="76"/>
  <c r="AK299" i="76" a="1"/>
  <c r="AK299" i="76" s="1"/>
  <c r="BG299" i="76" s="1"/>
  <c r="AM299" i="76"/>
  <c r="BW299" i="76"/>
  <c r="AI299" i="76"/>
  <c r="AG299" i="76"/>
  <c r="AH299" i="76"/>
  <c r="AM113" i="76"/>
  <c r="BW113" i="76"/>
  <c r="AK113" i="76" a="1"/>
  <c r="AK113" i="76" s="1"/>
  <c r="BG113" i="76" s="1"/>
  <c r="AH113" i="76"/>
  <c r="AG113" i="76"/>
  <c r="AI113" i="76"/>
  <c r="AX305" i="76"/>
  <c r="BD305" i="76" s="1"/>
  <c r="AQ305" i="76"/>
  <c r="AX478" i="76"/>
  <c r="BD478" i="76" s="1"/>
  <c r="AQ478" i="76"/>
  <c r="AP254" i="76"/>
  <c r="BF254" i="76" s="1"/>
  <c r="AZ254" i="76" s="1"/>
  <c r="BC254" i="76" s="1"/>
  <c r="AF254" i="76"/>
  <c r="AI226" i="76"/>
  <c r="AH226" i="76"/>
  <c r="AG226" i="76"/>
  <c r="AM226" i="76"/>
  <c r="AK226" i="76" a="1"/>
  <c r="AK226" i="76" s="1"/>
  <c r="BG226" i="76" s="1"/>
  <c r="BW226" i="76"/>
  <c r="AX44" i="76"/>
  <c r="BD44" i="76" s="1"/>
  <c r="AQ44" i="76"/>
  <c r="AX101" i="76"/>
  <c r="BD101" i="76" s="1"/>
  <c r="AQ101" i="76"/>
  <c r="AI260" i="76"/>
  <c r="AH260" i="76"/>
  <c r="AK260" i="76" a="1"/>
  <c r="AK260" i="76" s="1"/>
  <c r="BG260" i="76" s="1"/>
  <c r="AG260" i="76"/>
  <c r="BW260" i="76"/>
  <c r="AM260" i="76"/>
  <c r="AK363" i="76" a="1"/>
  <c r="AK363" i="76" s="1"/>
  <c r="BG363" i="76" s="1"/>
  <c r="AI363" i="76"/>
  <c r="BW363" i="76"/>
  <c r="AH363" i="76"/>
  <c r="AM363" i="76"/>
  <c r="AG363" i="76"/>
  <c r="BW273" i="76"/>
  <c r="AK273" i="76" a="1"/>
  <c r="AK273" i="76" s="1"/>
  <c r="BG273" i="76" s="1"/>
  <c r="AG273" i="76"/>
  <c r="AI273" i="76"/>
  <c r="AH273" i="76"/>
  <c r="AM273" i="76"/>
  <c r="AX364" i="76"/>
  <c r="BD364" i="76" s="1"/>
  <c r="AQ364" i="76"/>
  <c r="AI527" i="76"/>
  <c r="AH527" i="76"/>
  <c r="AG527" i="76"/>
  <c r="AK527" i="76" a="1"/>
  <c r="AK527" i="76" s="1"/>
  <c r="BG527" i="76" s="1"/>
  <c r="BW527" i="76"/>
  <c r="AM527" i="76"/>
  <c r="AK421" i="76" a="1"/>
  <c r="AK421" i="76" s="1"/>
  <c r="BG421" i="76" s="1"/>
  <c r="AI421" i="76"/>
  <c r="AH421" i="76"/>
  <c r="AG421" i="76"/>
  <c r="BW421" i="76"/>
  <c r="AM421" i="76"/>
  <c r="AQ144" i="76"/>
  <c r="AX144" i="76"/>
  <c r="BD144" i="76" s="1"/>
  <c r="AK248" i="76" a="1"/>
  <c r="AK248" i="76" s="1"/>
  <c r="BG248" i="76" s="1"/>
  <c r="AG248" i="76"/>
  <c r="AI248" i="76"/>
  <c r="AH248" i="76"/>
  <c r="AM248" i="76"/>
  <c r="BW248" i="76"/>
  <c r="AP447" i="76"/>
  <c r="AF447" i="76"/>
  <c r="BF447" i="76"/>
  <c r="AZ447" i="76" s="1"/>
  <c r="BC447" i="76" s="1"/>
  <c r="AE447" i="76"/>
  <c r="AM343" i="76"/>
  <c r="AK343" i="76" a="1"/>
  <c r="AK343" i="76" s="1"/>
  <c r="BG343" i="76" s="1"/>
  <c r="BW343" i="76"/>
  <c r="AH343" i="76"/>
  <c r="AI343" i="76"/>
  <c r="AG343" i="76"/>
  <c r="AF197" i="76"/>
  <c r="AP197" i="76"/>
  <c r="BF197" i="76"/>
  <c r="AZ197" i="76" s="1"/>
  <c r="BC197" i="76"/>
  <c r="AE197" i="76"/>
  <c r="AP325" i="76"/>
  <c r="AF325" i="76"/>
  <c r="AE325" i="76"/>
  <c r="BF325" i="76"/>
  <c r="AZ325" i="76" s="1"/>
  <c r="BC325" i="76" s="1"/>
  <c r="AF45" i="76"/>
  <c r="AE45" i="76" s="1"/>
  <c r="AP45" i="76"/>
  <c r="BF45" i="76"/>
  <c r="AZ45" i="76" s="1"/>
  <c r="BC45" i="76"/>
  <c r="AP219" i="76"/>
  <c r="BF219" i="76" s="1"/>
  <c r="AZ219" i="76" s="1"/>
  <c r="BC219" i="76" s="1"/>
  <c r="AF219" i="76"/>
  <c r="AE219" i="76" s="1"/>
  <c r="AP483" i="76"/>
  <c r="AF483" i="76"/>
  <c r="BF483" i="76"/>
  <c r="AZ483" i="76" s="1"/>
  <c r="BC483" i="76"/>
  <c r="AI28" i="76"/>
  <c r="AH28" i="76"/>
  <c r="AG28" i="76"/>
  <c r="BW28" i="76"/>
  <c r="AK28" i="76" a="1"/>
  <c r="AK28" i="76" s="1"/>
  <c r="BG28" i="76" s="1"/>
  <c r="AM28" i="76"/>
  <c r="AX267" i="76"/>
  <c r="BD267" i="76" s="1"/>
  <c r="AQ267" i="76"/>
  <c r="AP340" i="76"/>
  <c r="BF340" i="76" s="1"/>
  <c r="AZ340" i="76" s="1"/>
  <c r="BC340" i="76" s="1"/>
  <c r="AF340" i="76"/>
  <c r="AE340" i="76"/>
  <c r="BW398" i="76"/>
  <c r="AK398" i="76" a="1"/>
  <c r="AK398" i="76" s="1"/>
  <c r="BG398" i="76" s="1"/>
  <c r="AM398" i="76"/>
  <c r="AI398" i="76"/>
  <c r="AH398" i="76"/>
  <c r="AG398" i="76"/>
  <c r="BF150" i="76"/>
  <c r="AZ150" i="76" s="1"/>
  <c r="AF150" i="76"/>
  <c r="BC150" i="76"/>
  <c r="AP150" i="76"/>
  <c r="AF56" i="76"/>
  <c r="AE56" i="76"/>
  <c r="AP56" i="76"/>
  <c r="BF56" i="76" s="1"/>
  <c r="AZ56" i="76" s="1"/>
  <c r="BC56" i="76" s="1"/>
  <c r="AE174" i="76"/>
  <c r="AP174" i="76"/>
  <c r="BF174" i="76"/>
  <c r="AZ174" i="76" s="1"/>
  <c r="BC174" i="76" s="1"/>
  <c r="AF174" i="76"/>
  <c r="AF62" i="76"/>
  <c r="AE62" i="76"/>
  <c r="AP62" i="76"/>
  <c r="BF62" i="76"/>
  <c r="AZ62" i="76" s="1"/>
  <c r="BC62" i="76"/>
  <c r="AF146" i="76"/>
  <c r="AE146" i="76"/>
  <c r="AP146" i="76"/>
  <c r="BF146" i="76" s="1"/>
  <c r="AZ146" i="76" s="1"/>
  <c r="BC146" i="76" s="1"/>
  <c r="AQ347" i="76"/>
  <c r="AE347" i="76"/>
  <c r="AX347" i="76"/>
  <c r="BD347" i="76" s="1"/>
  <c r="AK392" i="76" a="1"/>
  <c r="AK392" i="76" s="1"/>
  <c r="BG392" i="76" s="1"/>
  <c r="AI392" i="76"/>
  <c r="AG392" i="76"/>
  <c r="BW392" i="76"/>
  <c r="AM392" i="76"/>
  <c r="AH392" i="76"/>
  <c r="BF270" i="76"/>
  <c r="AZ270" i="76" s="1"/>
  <c r="BC270" i="76"/>
  <c r="AF270" i="76"/>
  <c r="AE270" i="76"/>
  <c r="AP270" i="76"/>
  <c r="AK320" i="76" a="1"/>
  <c r="AK320" i="76" s="1"/>
  <c r="BG320" i="76" s="1"/>
  <c r="AI320" i="76"/>
  <c r="AH320" i="76"/>
  <c r="BW320" i="76"/>
  <c r="AM320" i="76"/>
  <c r="AG320" i="76"/>
  <c r="AX277" i="76"/>
  <c r="BD277" i="76" s="1"/>
  <c r="AQ277" i="76"/>
  <c r="AF130" i="76"/>
  <c r="AE130" i="76"/>
  <c r="AP130" i="76"/>
  <c r="BF130" i="76"/>
  <c r="AZ130" i="76" s="1"/>
  <c r="BC130" i="76" s="1"/>
  <c r="AX261" i="76"/>
  <c r="BD261" i="76" s="1"/>
  <c r="AQ261" i="76"/>
  <c r="AX163" i="76"/>
  <c r="BD163" i="76" s="1"/>
  <c r="AQ163" i="76"/>
  <c r="AX59" i="76"/>
  <c r="BD59" i="76" s="1"/>
  <c r="AQ59" i="76"/>
  <c r="AK157" i="76" a="1"/>
  <c r="AK157" i="76" s="1"/>
  <c r="BG157" i="76" s="1"/>
  <c r="AM157" i="76"/>
  <c r="AI157" i="76"/>
  <c r="BW157" i="76"/>
  <c r="AH157" i="76"/>
  <c r="AG157" i="76"/>
  <c r="AQ368" i="76"/>
  <c r="AX368" i="76"/>
  <c r="BD368" i="76" s="1"/>
  <c r="AG275" i="76"/>
  <c r="BW275" i="76"/>
  <c r="AK275" i="76" a="1"/>
  <c r="AK275" i="76" s="1"/>
  <c r="BG275" i="76" s="1"/>
  <c r="AH275" i="76"/>
  <c r="AI275" i="76"/>
  <c r="AM275" i="76"/>
  <c r="AG106" i="76"/>
  <c r="AM106" i="76"/>
  <c r="AK106" i="76" a="1"/>
  <c r="AK106" i="76" s="1"/>
  <c r="BG106" i="76" s="1"/>
  <c r="AI106" i="76"/>
  <c r="AH106" i="76"/>
  <c r="BW106" i="76"/>
  <c r="AK546" i="76" a="1"/>
  <c r="AK546" i="76" s="1"/>
  <c r="BG546" i="76" s="1"/>
  <c r="AI546" i="76"/>
  <c r="AM546" i="76"/>
  <c r="AH546" i="76"/>
  <c r="AG546" i="76"/>
  <c r="BW546" i="76"/>
  <c r="AP542" i="76"/>
  <c r="BF542" i="76" s="1"/>
  <c r="AZ542" i="76" s="1"/>
  <c r="BC542" i="76" s="1"/>
  <c r="AF542" i="76"/>
  <c r="AF547" i="76"/>
  <c r="AP547" i="76"/>
  <c r="BF547" i="76" s="1"/>
  <c r="AZ547" i="76" s="1"/>
  <c r="BC547" i="76"/>
  <c r="AE547" i="76"/>
  <c r="AX322" i="76"/>
  <c r="BD322" i="76" s="1"/>
  <c r="AQ322" i="76"/>
  <c r="AP126" i="76"/>
  <c r="BF126" i="76" s="1"/>
  <c r="AZ126" i="76" s="1"/>
  <c r="BC126" i="76" s="1"/>
  <c r="AF126" i="76"/>
  <c r="AE126" i="76" s="1"/>
  <c r="AK69" i="76" a="1"/>
  <c r="AK69" i="76" s="1"/>
  <c r="BG69" i="76" s="1"/>
  <c r="BW69" i="76"/>
  <c r="AH69" i="76"/>
  <c r="AG69" i="76"/>
  <c r="AM69" i="76"/>
  <c r="AI69" i="76"/>
  <c r="BF391" i="76"/>
  <c r="AZ391" i="76" s="1"/>
  <c r="AE391" i="76"/>
  <c r="BC391" i="76"/>
  <c r="AF391" i="76"/>
  <c r="AP391" i="76"/>
  <c r="AX133" i="76"/>
  <c r="BD133" i="76" s="1"/>
  <c r="AQ133" i="76"/>
  <c r="AK183" i="76" a="1"/>
  <c r="AK183" i="76" s="1"/>
  <c r="BG183" i="76" s="1"/>
  <c r="AI183" i="76"/>
  <c r="AH183" i="76"/>
  <c r="AG183" i="76"/>
  <c r="AM183" i="76"/>
  <c r="BW183" i="76"/>
  <c r="AP282" i="76"/>
  <c r="BF282" i="76"/>
  <c r="AZ282" i="76" s="1"/>
  <c r="BC282" i="76"/>
  <c r="AF282" i="76"/>
  <c r="AX250" i="76"/>
  <c r="BD250" i="76" s="1"/>
  <c r="AQ250" i="76"/>
  <c r="AX58" i="76"/>
  <c r="BD58" i="76" s="1"/>
  <c r="AQ58" i="76"/>
  <c r="AF29" i="76"/>
  <c r="AE29" i="76"/>
  <c r="AP29" i="76"/>
  <c r="BF29" i="76" s="1"/>
  <c r="AZ29" i="76" s="1"/>
  <c r="BC29" i="76" s="1"/>
  <c r="BW52" i="76"/>
  <c r="AI52" i="76"/>
  <c r="AK52" i="76" a="1"/>
  <c r="AK52" i="76" s="1"/>
  <c r="BG52" i="76" s="1"/>
  <c r="AH52" i="76"/>
  <c r="AG52" i="76"/>
  <c r="AM52" i="76"/>
  <c r="AF30" i="76"/>
  <c r="AE30" i="76"/>
  <c r="BC30" i="76"/>
  <c r="AP30" i="76"/>
  <c r="BF30" i="76"/>
  <c r="AZ30" i="76" s="1"/>
  <c r="AI224" i="76"/>
  <c r="AH224" i="76"/>
  <c r="AG224" i="76"/>
  <c r="AK224" i="76" a="1"/>
  <c r="AK224" i="76" s="1"/>
  <c r="BG224" i="76" s="1"/>
  <c r="AM224" i="76"/>
  <c r="BW224" i="76"/>
  <c r="AF118" i="76"/>
  <c r="AE118" i="76" s="1"/>
  <c r="AP118" i="76"/>
  <c r="BF118" i="76" s="1"/>
  <c r="AZ118" i="76" s="1"/>
  <c r="BC118" i="76" s="1"/>
  <c r="AP119" i="76"/>
  <c r="BF119" i="76" s="1"/>
  <c r="AZ119" i="76" s="1"/>
  <c r="BC119" i="76" s="1"/>
  <c r="AF119" i="76"/>
  <c r="AF319" i="76"/>
  <c r="AE319" i="76"/>
  <c r="AP319" i="76"/>
  <c r="BF319" i="76" s="1"/>
  <c r="AZ319" i="76" s="1"/>
  <c r="BC319" i="76" s="1"/>
  <c r="AK187" i="76" a="1"/>
  <c r="AK187" i="76" s="1"/>
  <c r="BG187" i="76" s="1"/>
  <c r="AH187" i="76"/>
  <c r="AI187" i="76"/>
  <c r="AM187" i="76"/>
  <c r="AG187" i="76"/>
  <c r="BW187" i="76"/>
  <c r="AX275" i="76"/>
  <c r="BD275" i="76" s="1"/>
  <c r="AQ275" i="76"/>
  <c r="AG335" i="76"/>
  <c r="AM335" i="76"/>
  <c r="AK335" i="76" a="1"/>
  <c r="AK335" i="76" s="1"/>
  <c r="BG335" i="76" s="1"/>
  <c r="AI335" i="76"/>
  <c r="AH335" i="76"/>
  <c r="BW335" i="76"/>
  <c r="AP379" i="76"/>
  <c r="BF379" i="76"/>
  <c r="AZ379" i="76" s="1"/>
  <c r="BC379" i="76"/>
  <c r="AF379" i="76"/>
  <c r="AE379" i="76"/>
  <c r="AK47" i="76" a="1"/>
  <c r="AK47" i="76" s="1"/>
  <c r="BG47" i="76" s="1"/>
  <c r="AH47" i="76"/>
  <c r="AI47" i="76"/>
  <c r="AG47" i="76"/>
  <c r="BW47" i="76"/>
  <c r="AM47" i="76"/>
  <c r="BF501" i="76"/>
  <c r="AZ501" i="76" s="1"/>
  <c r="BC501" i="76" s="1"/>
  <c r="AQ501" i="76"/>
  <c r="AI513" i="76"/>
  <c r="AH513" i="76"/>
  <c r="AG513" i="76"/>
  <c r="BW513" i="76"/>
  <c r="AK513" i="76" a="1"/>
  <c r="AK513" i="76" s="1"/>
  <c r="BG513" i="76" s="1"/>
  <c r="AM513" i="76"/>
  <c r="AF548" i="76"/>
  <c r="AE548" i="76"/>
  <c r="AP548" i="76"/>
  <c r="BF548" i="76"/>
  <c r="AZ548" i="76" s="1"/>
  <c r="BC548" i="76" s="1"/>
  <c r="AX450" i="76"/>
  <c r="BD450" i="76" s="1"/>
  <c r="AQ450" i="76"/>
  <c r="AE450" i="76"/>
  <c r="AK532" i="76" a="1"/>
  <c r="AK532" i="76" s="1"/>
  <c r="BG532" i="76" s="1"/>
  <c r="BW532" i="76"/>
  <c r="AH532" i="76"/>
  <c r="AG532" i="76"/>
  <c r="AM532" i="76"/>
  <c r="AI532" i="76"/>
  <c r="AI339" i="76"/>
  <c r="BW339" i="76"/>
  <c r="AK339" i="76" a="1"/>
  <c r="AK339" i="76" s="1"/>
  <c r="BG339" i="76" s="1"/>
  <c r="AH339" i="76"/>
  <c r="AM339" i="76"/>
  <c r="AG339" i="76"/>
  <c r="AI540" i="76"/>
  <c r="AH540" i="76"/>
  <c r="AM540" i="76"/>
  <c r="BW540" i="76"/>
  <c r="AG540" i="76"/>
  <c r="AK540" i="76" a="1"/>
  <c r="AK540" i="76" s="1"/>
  <c r="BG540" i="76" s="1"/>
  <c r="AF304" i="76"/>
  <c r="AP304" i="76"/>
  <c r="BF304" i="76" s="1"/>
  <c r="AZ304" i="76" s="1"/>
  <c r="BC304" i="76" s="1"/>
  <c r="AP310" i="76"/>
  <c r="BF310" i="76"/>
  <c r="AZ310" i="76" s="1"/>
  <c r="AF310" i="76"/>
  <c r="AE310" i="76" s="1"/>
  <c r="BC310" i="76"/>
  <c r="AX226" i="76"/>
  <c r="BD226" i="76" s="1"/>
  <c r="AQ226" i="76"/>
  <c r="AP167" i="76"/>
  <c r="BF167" i="76" s="1"/>
  <c r="AZ167" i="76" s="1"/>
  <c r="BC167" i="76" s="1"/>
  <c r="AF167" i="76"/>
  <c r="AE167" i="76"/>
  <c r="AQ328" i="76"/>
  <c r="AE328" i="76"/>
  <c r="AX328" i="76"/>
  <c r="BD328" i="76" s="1"/>
  <c r="AF480" i="76"/>
  <c r="AE480" i="76"/>
  <c r="AP480" i="76"/>
  <c r="BF480" i="76"/>
  <c r="AZ480" i="76" s="1"/>
  <c r="BC480" i="76" s="1"/>
  <c r="AQ31" i="76"/>
  <c r="AX31" i="76"/>
  <c r="BD31" i="76" s="1"/>
  <c r="AK535" i="76" a="1"/>
  <c r="AK535" i="76" s="1"/>
  <c r="BG535" i="76" s="1"/>
  <c r="AI535" i="76"/>
  <c r="AM535" i="76"/>
  <c r="AG535" i="76"/>
  <c r="BW535" i="76"/>
  <c r="AH535" i="76"/>
  <c r="BW26" i="76"/>
  <c r="AI26" i="76"/>
  <c r="AK26" i="76" a="1"/>
  <c r="AK26" i="76" s="1"/>
  <c r="BG26" i="76" s="1"/>
  <c r="AM26" i="76"/>
  <c r="AH26" i="76"/>
  <c r="AG26" i="76"/>
  <c r="BG184" i="76"/>
  <c r="AE268" i="76"/>
  <c r="AF32" i="76"/>
  <c r="AE32" i="76"/>
  <c r="AP32" i="76"/>
  <c r="BF32" i="76" s="1"/>
  <c r="AZ32" i="76" s="1"/>
  <c r="BC32" i="76"/>
  <c r="AE202" i="76"/>
  <c r="AQ331" i="76"/>
  <c r="AX331" i="76"/>
  <c r="BD331" i="76" s="1"/>
  <c r="BF192" i="76"/>
  <c r="AZ192" i="76" s="1"/>
  <c r="BC192" i="76" s="1"/>
  <c r="AF192" i="76"/>
  <c r="AE192" i="76" s="1"/>
  <c r="AP192" i="76"/>
  <c r="AX93" i="76"/>
  <c r="BD93" i="76" s="1"/>
  <c r="AQ93" i="76"/>
  <c r="AP223" i="76"/>
  <c r="BF223" i="76" s="1"/>
  <c r="AZ223" i="76" s="1"/>
  <c r="BC223" i="76" s="1"/>
  <c r="AF223" i="76"/>
  <c r="AE223" i="76"/>
  <c r="AF123" i="76"/>
  <c r="AP123" i="76"/>
  <c r="BF123" i="76" s="1"/>
  <c r="AZ123" i="76" s="1"/>
  <c r="BC123" i="76" s="1"/>
  <c r="AE123" i="76"/>
  <c r="AP72" i="76"/>
  <c r="BF72" i="76" s="1"/>
  <c r="AZ72" i="76" s="1"/>
  <c r="BC72" i="76" s="1"/>
  <c r="AF72" i="76"/>
  <c r="AE72" i="76"/>
  <c r="AP402" i="76"/>
  <c r="BF402" i="76"/>
  <c r="AZ402" i="76" s="1"/>
  <c r="BC402" i="76" s="1"/>
  <c r="AF402" i="76"/>
  <c r="AE402" i="76"/>
  <c r="AK97" i="76" a="1"/>
  <c r="AK97" i="76" s="1"/>
  <c r="BG97" i="76" s="1"/>
  <c r="AG97" i="76"/>
  <c r="AH97" i="76"/>
  <c r="AI97" i="76"/>
  <c r="BW97" i="76"/>
  <c r="AM97" i="76"/>
  <c r="AX220" i="76"/>
  <c r="BD220" i="76" s="1"/>
  <c r="AQ220" i="76"/>
  <c r="AH406" i="76"/>
  <c r="AI406" i="76"/>
  <c r="AG406" i="76"/>
  <c r="BW406" i="76"/>
  <c r="AK406" i="76" a="1"/>
  <c r="AK406" i="76" s="1"/>
  <c r="BG406" i="76" s="1"/>
  <c r="AM406" i="76"/>
  <c r="AE242" i="76"/>
  <c r="AP242" i="76"/>
  <c r="BF242" i="76" s="1"/>
  <c r="AZ242" i="76" s="1"/>
  <c r="BC242" i="76" s="1"/>
  <c r="AF242" i="76"/>
  <c r="AE56" i="77" l="1"/>
  <c r="AH56" i="77" s="1"/>
  <c r="BW50" i="77"/>
  <c r="AG50" i="77"/>
  <c r="AM50" i="77"/>
  <c r="AK50" i="77" a="1"/>
  <c r="AK50" i="77" s="1"/>
  <c r="BG50" i="77" s="1"/>
  <c r="AQ56" i="77"/>
  <c r="AQ50" i="77"/>
  <c r="BC358" i="77"/>
  <c r="BC347" i="77"/>
  <c r="BA28" i="77"/>
  <c r="BC28" i="77"/>
  <c r="AQ239" i="77"/>
  <c r="AQ98" i="77"/>
  <c r="BG163" i="77"/>
  <c r="AQ392" i="77"/>
  <c r="AQ163" i="77"/>
  <c r="AQ214" i="77"/>
  <c r="BG404" i="77"/>
  <c r="BC348" i="77"/>
  <c r="BA79" i="77"/>
  <c r="AM230" i="77"/>
  <c r="AK230" i="77" a="1"/>
  <c r="AK230" i="77" s="1"/>
  <c r="BG230" i="77" s="1"/>
  <c r="AI230" i="77"/>
  <c r="AH230" i="77"/>
  <c r="AG230" i="77"/>
  <c r="BW230" i="77"/>
  <c r="BA356" i="77"/>
  <c r="BC356" i="77"/>
  <c r="BA131" i="77"/>
  <c r="BC131" i="77"/>
  <c r="BG307" i="77"/>
  <c r="AL307" i="77"/>
  <c r="Q259" i="77"/>
  <c r="BW236" i="77"/>
  <c r="AM236" i="77"/>
  <c r="AG236" i="77"/>
  <c r="AH236" i="77"/>
  <c r="AI236" i="77"/>
  <c r="BW140" i="77"/>
  <c r="AK140" i="77" a="1"/>
  <c r="AK140" i="77" s="1"/>
  <c r="AI140" i="77"/>
  <c r="AM140" i="77"/>
  <c r="AG140" i="77"/>
  <c r="AH140" i="77"/>
  <c r="BC357" i="77"/>
  <c r="BA357" i="77"/>
  <c r="AH200" i="77"/>
  <c r="BW200" i="77"/>
  <c r="AI200" i="77"/>
  <c r="AM200" i="77"/>
  <c r="AK200" i="77" a="1"/>
  <c r="AK200" i="77" s="1"/>
  <c r="BG200" i="77" s="1"/>
  <c r="AG200" i="77"/>
  <c r="AM349" i="77"/>
  <c r="BW349" i="77"/>
  <c r="AH349" i="77"/>
  <c r="AI349" i="77"/>
  <c r="AG349" i="77"/>
  <c r="AK349" i="77" a="1"/>
  <c r="AK349" i="77" s="1"/>
  <c r="BW242" i="77"/>
  <c r="AM242" i="77"/>
  <c r="AG242" i="77"/>
  <c r="AI242" i="77"/>
  <c r="AH242" i="77"/>
  <c r="BA81" i="77"/>
  <c r="BC243" i="77"/>
  <c r="BA243" i="77"/>
  <c r="BC35" i="77"/>
  <c r="BA35" i="77"/>
  <c r="BG347" i="77"/>
  <c r="AL347" i="77"/>
  <c r="BA237" i="77"/>
  <c r="BC237" i="77"/>
  <c r="BC212" i="77"/>
  <c r="BA212" i="77"/>
  <c r="BA143" i="77"/>
  <c r="BC143" i="77"/>
  <c r="AI239" i="77"/>
  <c r="AM239" i="77"/>
  <c r="AG239" i="77"/>
  <c r="AH239" i="77"/>
  <c r="BW239" i="77"/>
  <c r="BC351" i="77"/>
  <c r="BA351" i="77"/>
  <c r="BA82" i="77"/>
  <c r="AH391" i="77"/>
  <c r="AM391" i="77"/>
  <c r="BW391" i="77"/>
  <c r="AI391" i="77"/>
  <c r="AK391" i="77" a="1"/>
  <c r="AK391" i="77" s="1"/>
  <c r="BG391" i="77" s="1"/>
  <c r="AG391" i="77"/>
  <c r="AM75" i="77"/>
  <c r="AH75" i="77"/>
  <c r="BW75" i="77"/>
  <c r="AK75" i="77" a="1"/>
  <c r="AK75" i="77" s="1"/>
  <c r="AI75" i="77"/>
  <c r="AG75" i="77"/>
  <c r="BW238" i="77"/>
  <c r="AH238" i="77"/>
  <c r="AM238" i="77"/>
  <c r="AG238" i="77"/>
  <c r="AI238" i="77"/>
  <c r="BA75" i="77"/>
  <c r="BA80" i="77"/>
  <c r="AI392" i="77"/>
  <c r="AI307" i="77"/>
  <c r="AI240" i="77"/>
  <c r="AF364" i="77"/>
  <c r="AE364" i="77" s="1"/>
  <c r="AP364" i="77"/>
  <c r="BF364" i="77" s="1"/>
  <c r="AZ364" i="77" s="1"/>
  <c r="BC364" i="77" s="1"/>
  <c r="AI231" i="77"/>
  <c r="AH231" i="77"/>
  <c r="AG231" i="77"/>
  <c r="BW231" i="77"/>
  <c r="AK231" i="77" a="1"/>
  <c r="AK231" i="77" s="1"/>
  <c r="BG231" i="77" s="1"/>
  <c r="AM231" i="77"/>
  <c r="AP262" i="77"/>
  <c r="AL361" i="77"/>
  <c r="AT361" i="77" s="1"/>
  <c r="AV361" i="77" a="1"/>
  <c r="AV361" i="77" s="1"/>
  <c r="AO361" i="77"/>
  <c r="BA361" i="77"/>
  <c r="AY361" i="77"/>
  <c r="AN361" i="77"/>
  <c r="AU361" i="77"/>
  <c r="BG216" i="77"/>
  <c r="AL216" i="77"/>
  <c r="Y296" i="77"/>
  <c r="S296" i="77"/>
  <c r="U296" i="77" s="1" a="1"/>
  <c r="U296" i="77" s="1"/>
  <c r="AJ296" i="77" s="1"/>
  <c r="AO118" i="77"/>
  <c r="BA118" i="77"/>
  <c r="AN118" i="77"/>
  <c r="AY118" i="77"/>
  <c r="AL118" i="77"/>
  <c r="AT118" i="77" s="1"/>
  <c r="AU118" i="77"/>
  <c r="AV118" i="77" a="1"/>
  <c r="AV118" i="77" s="1"/>
  <c r="AG387" i="77"/>
  <c r="AI387" i="77"/>
  <c r="AH387" i="77"/>
  <c r="BW387" i="77"/>
  <c r="AK387" i="77" a="1"/>
  <c r="AK387" i="77" s="1"/>
  <c r="BG387" i="77" s="1"/>
  <c r="AM387" i="77"/>
  <c r="AQ350" i="77"/>
  <c r="AX387" i="77"/>
  <c r="BD387" i="77" s="1"/>
  <c r="AQ387" i="77"/>
  <c r="AQ231" i="77"/>
  <c r="AX231" i="77"/>
  <c r="BD231" i="77" s="1"/>
  <c r="AE350" i="77"/>
  <c r="AQ355" i="77"/>
  <c r="AH50" i="77"/>
  <c r="BC127" i="77"/>
  <c r="BA127" i="77"/>
  <c r="BG63" i="77"/>
  <c r="BG34" i="77"/>
  <c r="AL34" i="77"/>
  <c r="AO276" i="77"/>
  <c r="AY276" i="77"/>
  <c r="AV276" i="77" a="1"/>
  <c r="AV276" i="77" s="1"/>
  <c r="AU276" i="77"/>
  <c r="AN276" i="77"/>
  <c r="BA276" i="77"/>
  <c r="AL276" i="77"/>
  <c r="AT276" i="77" s="1"/>
  <c r="AE31" i="77"/>
  <c r="AN273" i="77"/>
  <c r="BA273" i="77"/>
  <c r="AV273" i="77" a="1"/>
  <c r="AV273" i="77" s="1"/>
  <c r="AL273" i="77"/>
  <c r="AT273" i="77" s="1"/>
  <c r="AU273" i="77"/>
  <c r="AO273" i="77"/>
  <c r="AY273" i="77"/>
  <c r="AQ157" i="77"/>
  <c r="AE157" i="77"/>
  <c r="AV274" i="77" a="1"/>
  <c r="AV274" i="77" s="1"/>
  <c r="AU274" i="77"/>
  <c r="AL274" i="77"/>
  <c r="AT274" i="77" s="1"/>
  <c r="AN274" i="77"/>
  <c r="BA274" i="77"/>
  <c r="AO274" i="77"/>
  <c r="AY274" i="77"/>
  <c r="AQ356" i="77"/>
  <c r="AE356" i="77"/>
  <c r="X231" i="77"/>
  <c r="Z223" i="77"/>
  <c r="BC236" i="77"/>
  <c r="BA236" i="77"/>
  <c r="BG148" i="77"/>
  <c r="AL148" i="77"/>
  <c r="AT148" i="77" s="1"/>
  <c r="AQ124" i="77"/>
  <c r="BC137" i="77"/>
  <c r="BA137" i="77"/>
  <c r="AM81" i="77"/>
  <c r="AM334" i="77"/>
  <c r="AX355" i="77"/>
  <c r="BD355" i="77" s="1"/>
  <c r="BW404" i="77"/>
  <c r="AH347" i="77"/>
  <c r="AE321" i="77"/>
  <c r="AX321" i="77"/>
  <c r="BD321" i="77" s="1"/>
  <c r="AQ321" i="77"/>
  <c r="AQ162" i="77"/>
  <c r="AE162" i="77"/>
  <c r="AX162" i="77"/>
  <c r="BD162" i="77" s="1"/>
  <c r="AE36" i="77"/>
  <c r="AX280" i="77"/>
  <c r="BD280" i="77" s="1"/>
  <c r="BW100" i="77"/>
  <c r="AM100" i="77"/>
  <c r="AK100" i="77" a="1"/>
  <c r="AK100" i="77" s="1"/>
  <c r="BG100" i="77" s="1"/>
  <c r="AG100" i="77"/>
  <c r="AI100" i="77"/>
  <c r="AH100" i="77"/>
  <c r="AM93" i="77"/>
  <c r="AH93" i="77"/>
  <c r="AG93" i="77"/>
  <c r="AI93" i="77"/>
  <c r="AK93" i="77" a="1"/>
  <c r="AK93" i="77" s="1"/>
  <c r="BG93" i="77" s="1"/>
  <c r="BW93" i="77"/>
  <c r="AQ191" i="77"/>
  <c r="AX191" i="77"/>
  <c r="BD191" i="77" s="1"/>
  <c r="Y229" i="77"/>
  <c r="AE128" i="77"/>
  <c r="AI81" i="77"/>
  <c r="BC142" i="77"/>
  <c r="BA142" i="77"/>
  <c r="BG132" i="77"/>
  <c r="AL132" i="77"/>
  <c r="AT132" i="77" s="1"/>
  <c r="BW347" i="77"/>
  <c r="BG124" i="77"/>
  <c r="AL124" i="77"/>
  <c r="AF280" i="77"/>
  <c r="AE280" i="77"/>
  <c r="AP280" i="77"/>
  <c r="BF280" i="77"/>
  <c r="AZ280" i="77" s="1"/>
  <c r="BC280" i="77"/>
  <c r="BC238" i="77"/>
  <c r="BA238" i="77"/>
  <c r="BG139" i="77"/>
  <c r="AL139" i="77"/>
  <c r="BG302" i="77"/>
  <c r="AL302" i="77"/>
  <c r="AH81" i="77"/>
  <c r="AQ404" i="77"/>
  <c r="BC30" i="77"/>
  <c r="AQ209" i="77"/>
  <c r="AM56" i="77"/>
  <c r="AG347" i="77"/>
  <c r="AQ113" i="77"/>
  <c r="AX113" i="77"/>
  <c r="BD113" i="77" s="1"/>
  <c r="AE113" i="77"/>
  <c r="B221" i="77"/>
  <c r="AJ221" i="77"/>
  <c r="BD13" i="77"/>
  <c r="S18" i="77"/>
  <c r="Y18" i="77"/>
  <c r="BC125" i="77"/>
  <c r="BA125" i="77"/>
  <c r="AF359" i="77"/>
  <c r="AE359" i="77" s="1"/>
  <c r="AP359" i="77"/>
  <c r="BF359" i="77" s="1"/>
  <c r="AZ359" i="77" s="1"/>
  <c r="BC359" i="77" s="1"/>
  <c r="AG56" i="77"/>
  <c r="AI347" i="77"/>
  <c r="BA278" i="77"/>
  <c r="AU278" i="77"/>
  <c r="AN278" i="77"/>
  <c r="AL278" i="77"/>
  <c r="AT278" i="77" s="1"/>
  <c r="AY278" i="77"/>
  <c r="AV278" i="77" a="1"/>
  <c r="AV278" i="77" s="1"/>
  <c r="AO278" i="77"/>
  <c r="AP144" i="77"/>
  <c r="BF144" i="77" s="1"/>
  <c r="AZ144" i="77" s="1"/>
  <c r="AF144" i="77"/>
  <c r="AQ238" i="77"/>
  <c r="AG367" i="77"/>
  <c r="AK367" i="77" a="1"/>
  <c r="AK367" i="77" s="1"/>
  <c r="BG367" i="77" s="1"/>
  <c r="AI367" i="77"/>
  <c r="AM367" i="77"/>
  <c r="BW367" i="77"/>
  <c r="AH367" i="77"/>
  <c r="AJ224" i="77"/>
  <c r="B224" i="77"/>
  <c r="AM194" i="77"/>
  <c r="BW194" i="77"/>
  <c r="AH194" i="77"/>
  <c r="AI194" i="77"/>
  <c r="AK194" i="77" a="1"/>
  <c r="AK194" i="77" s="1"/>
  <c r="BG194" i="77" s="1"/>
  <c r="AG194" i="77"/>
  <c r="AK125" i="77" a="1"/>
  <c r="AK125" i="77" s="1"/>
  <c r="AL125" i="77" s="1"/>
  <c r="AM125" i="77"/>
  <c r="AI125" i="77"/>
  <c r="AG125" i="77"/>
  <c r="BW125" i="77"/>
  <c r="AH125" i="77"/>
  <c r="BC242" i="77"/>
  <c r="BA242" i="77"/>
  <c r="BC239" i="77"/>
  <c r="BA239" i="77"/>
  <c r="BC140" i="77"/>
  <c r="BA140" i="77"/>
  <c r="AX188" i="77"/>
  <c r="BD188" i="77" s="1"/>
  <c r="AQ188" i="77"/>
  <c r="BC214" i="77"/>
  <c r="BA214" i="77"/>
  <c r="BC219" i="77"/>
  <c r="BA219" i="77"/>
  <c r="AK392" i="77" a="1"/>
  <c r="AK392" i="77" s="1"/>
  <c r="BG392" i="77" s="1"/>
  <c r="AX391" i="77"/>
  <c r="BD391" i="77" s="1"/>
  <c r="AQ391" i="77"/>
  <c r="BC349" i="77"/>
  <c r="BA349" i="77"/>
  <c r="BA350" i="77"/>
  <c r="BC350" i="77"/>
  <c r="BG77" i="77"/>
  <c r="AL77" i="77"/>
  <c r="AT77" i="77" s="1"/>
  <c r="BF63" i="77"/>
  <c r="AZ63" i="77" s="1"/>
  <c r="BC63" i="77" s="1"/>
  <c r="AM240" i="77"/>
  <c r="AF24" i="77"/>
  <c r="AP24" i="77"/>
  <c r="BF24" i="77"/>
  <c r="AZ24" i="77" s="1"/>
  <c r="BA24" i="77" s="1"/>
  <c r="AX200" i="77"/>
  <c r="BD200" i="77" s="1"/>
  <c r="AQ140" i="77"/>
  <c r="AQ347" i="77"/>
  <c r="BC346" i="77"/>
  <c r="BA346" i="77"/>
  <c r="AQ200" i="77"/>
  <c r="AK81" i="77" a="1"/>
  <c r="AK81" i="77" s="1"/>
  <c r="BC129" i="77"/>
  <c r="BA129" i="77"/>
  <c r="AI184" i="77"/>
  <c r="AM108" i="77"/>
  <c r="AM347" i="77"/>
  <c r="BA275" i="77"/>
  <c r="AY275" i="77"/>
  <c r="AO275" i="77"/>
  <c r="AN275" i="77"/>
  <c r="AV275" i="77" a="1"/>
  <c r="AV275" i="77" s="1"/>
  <c r="AL275" i="77"/>
  <c r="AT275" i="77" s="1"/>
  <c r="AU275" i="77"/>
  <c r="AX283" i="77"/>
  <c r="BD283" i="77" s="1"/>
  <c r="AE283" i="77"/>
  <c r="AK85" i="77" a="1"/>
  <c r="AK85" i="77" s="1"/>
  <c r="BG85" i="77" s="1"/>
  <c r="AM85" i="77"/>
  <c r="AI85" i="77"/>
  <c r="AG85" i="77"/>
  <c r="AH85" i="77"/>
  <c r="BW85" i="77"/>
  <c r="AQ149" i="77"/>
  <c r="AX149" i="77"/>
  <c r="BD149" i="77" s="1"/>
  <c r="AE149" i="77"/>
  <c r="AQ374" i="77"/>
  <c r="AE374" i="77"/>
  <c r="AX374" i="77"/>
  <c r="BD374" i="77" s="1"/>
  <c r="AX367" i="77"/>
  <c r="BD367" i="77" s="1"/>
  <c r="AQ367" i="77"/>
  <c r="AQ206" i="77"/>
  <c r="BF206" i="77"/>
  <c r="AZ206" i="77" s="1"/>
  <c r="BC206" i="77" s="1"/>
  <c r="AQ125" i="77"/>
  <c r="AY277" i="77"/>
  <c r="AV277" i="77" a="1"/>
  <c r="AV277" i="77" s="1"/>
  <c r="BA277" i="77"/>
  <c r="AU277" i="77"/>
  <c r="AN277" i="77"/>
  <c r="AO277" i="77"/>
  <c r="AL277" i="77"/>
  <c r="AT277" i="77" s="1"/>
  <c r="Y341" i="77"/>
  <c r="S341" i="77"/>
  <c r="U341" i="77" s="1" a="1"/>
  <c r="U341" i="77" s="1"/>
  <c r="AJ341" i="77" s="1"/>
  <c r="AQ304" i="77"/>
  <c r="BF258" i="77"/>
  <c r="AZ258" i="77" s="1"/>
  <c r="BC258" i="77" s="1"/>
  <c r="AE304" i="77"/>
  <c r="AQ36" i="77"/>
  <c r="BC136" i="77"/>
  <c r="BA136" i="77"/>
  <c r="AM92" i="77"/>
  <c r="BC29" i="77"/>
  <c r="BA29" i="77"/>
  <c r="BW81" i="77"/>
  <c r="BC241" i="77"/>
  <c r="BA241" i="77"/>
  <c r="BG215" i="77"/>
  <c r="AL215" i="77"/>
  <c r="BW184" i="77"/>
  <c r="AX108" i="77"/>
  <c r="BD108" i="77" s="1"/>
  <c r="BA83" i="77"/>
  <c r="BC309" i="77"/>
  <c r="BA309" i="77"/>
  <c r="AP339" i="77"/>
  <c r="BF339" i="77" s="1"/>
  <c r="AZ339" i="77" s="1"/>
  <c r="BC339" i="77" s="1"/>
  <c r="AI56" i="77"/>
  <c r="BW108" i="77"/>
  <c r="AQ283" i="77"/>
  <c r="BF283" i="77"/>
  <c r="AZ283" i="77" s="1"/>
  <c r="BC283" i="77" s="1"/>
  <c r="AM96" i="77"/>
  <c r="BW96" i="77"/>
  <c r="AK96" i="77" a="1"/>
  <c r="AK96" i="77" s="1"/>
  <c r="BG96" i="77" s="1"/>
  <c r="AI96" i="77"/>
  <c r="AH96" i="77"/>
  <c r="AG96" i="77"/>
  <c r="BC216" i="77"/>
  <c r="BA216" i="77"/>
  <c r="AQ116" i="77"/>
  <c r="AE116" i="77"/>
  <c r="AX116" i="77"/>
  <c r="BD116" i="77" s="1"/>
  <c r="AX157" i="77"/>
  <c r="BD157" i="77" s="1"/>
  <c r="AH312" i="77"/>
  <c r="AM312" i="77"/>
  <c r="AK312" i="77" a="1"/>
  <c r="AK312" i="77" s="1"/>
  <c r="BG312" i="77" s="1"/>
  <c r="BW312" i="77"/>
  <c r="AI312" i="77"/>
  <c r="AG312" i="77"/>
  <c r="BC34" i="77"/>
  <c r="BA34" i="77"/>
  <c r="AQ242" i="77"/>
  <c r="BW188" i="77"/>
  <c r="AK188" i="77" a="1"/>
  <c r="AK188" i="77" s="1"/>
  <c r="BG188" i="77" s="1"/>
  <c r="AI188" i="77"/>
  <c r="AH188" i="77"/>
  <c r="AM188" i="77"/>
  <c r="AG188" i="77"/>
  <c r="BW76" i="77"/>
  <c r="AG76" i="77"/>
  <c r="AK76" i="77" a="1"/>
  <c r="AK76" i="77" s="1"/>
  <c r="AH76" i="77"/>
  <c r="AM76" i="77"/>
  <c r="AI76" i="77"/>
  <c r="AQ75" i="77"/>
  <c r="BC126" i="77"/>
  <c r="BA126" i="77"/>
  <c r="BC306" i="77"/>
  <c r="BA306" i="77"/>
  <c r="BC213" i="77"/>
  <c r="BA213" i="77"/>
  <c r="Y68" i="77"/>
  <c r="S68" i="77"/>
  <c r="U68" i="77" s="1" a="1"/>
  <c r="U68" i="77" s="1"/>
  <c r="AJ68" i="77" s="1"/>
  <c r="AQ81" i="77"/>
  <c r="BF257" i="77"/>
  <c r="AZ257" i="77" s="1"/>
  <c r="BC257" i="77" s="1"/>
  <c r="BC303" i="77"/>
  <c r="BA303" i="77"/>
  <c r="AG92" i="77"/>
  <c r="AQ237" i="77"/>
  <c r="BC147" i="77"/>
  <c r="BA147" i="77"/>
  <c r="AG184" i="77"/>
  <c r="AG392" i="77"/>
  <c r="BC352" i="77"/>
  <c r="AQ108" i="77"/>
  <c r="AQ31" i="77"/>
  <c r="AM237" i="77"/>
  <c r="BW307" i="77"/>
  <c r="AF339" i="77"/>
  <c r="AX339" i="77" s="1"/>
  <c r="BD339" i="77" s="1"/>
  <c r="AK56" i="77" a="1"/>
  <c r="AK56" i="77" s="1"/>
  <c r="BG56" i="77" s="1"/>
  <c r="AG108" i="77"/>
  <c r="AI340" i="77"/>
  <c r="AM340" i="77"/>
  <c r="AH340" i="77"/>
  <c r="AG340" i="77"/>
  <c r="AK340" i="77" a="1"/>
  <c r="AK340" i="77" s="1"/>
  <c r="BG340" i="77" s="1"/>
  <c r="BW340" i="77"/>
  <c r="AG223" i="77"/>
  <c r="BW223" i="77"/>
  <c r="AM223" i="77"/>
  <c r="AK223" i="77" a="1"/>
  <c r="AK223" i="77" s="1"/>
  <c r="BG223" i="77" s="1"/>
  <c r="AI223" i="77"/>
  <c r="AH223" i="77"/>
  <c r="AQ216" i="77"/>
  <c r="AF294" i="77"/>
  <c r="AP294" i="77"/>
  <c r="BF294" i="77" s="1"/>
  <c r="AZ294" i="77" s="1"/>
  <c r="BC294" i="77" s="1"/>
  <c r="AX312" i="77"/>
  <c r="BD312" i="77" s="1"/>
  <c r="AQ312" i="77"/>
  <c r="AE209" i="77"/>
  <c r="AH286" i="77"/>
  <c r="AG286" i="77"/>
  <c r="AK286" i="77" a="1"/>
  <c r="AK286" i="77" s="1"/>
  <c r="BG286" i="77" s="1"/>
  <c r="AI286" i="77"/>
  <c r="BW286" i="77"/>
  <c r="AM286" i="77"/>
  <c r="BA362" i="77"/>
  <c r="AL362" i="77"/>
  <c r="AT362" i="77" s="1"/>
  <c r="AY362" i="77"/>
  <c r="AN362" i="77"/>
  <c r="AV362" i="77" a="1"/>
  <c r="AV362" i="77" s="1"/>
  <c r="AO362" i="77"/>
  <c r="AU362" i="77"/>
  <c r="Q258" i="77"/>
  <c r="AF258" i="77" s="1"/>
  <c r="BG217" i="77"/>
  <c r="AL217" i="77"/>
  <c r="BG308" i="77"/>
  <c r="AL308" i="77"/>
  <c r="AT308" i="77" s="1"/>
  <c r="BC304" i="77"/>
  <c r="BA304" i="77"/>
  <c r="BC124" i="77"/>
  <c r="BA124" i="77"/>
  <c r="AK191" i="77" a="1"/>
  <c r="AK191" i="77" s="1"/>
  <c r="BG191" i="77" s="1"/>
  <c r="BW191" i="77"/>
  <c r="AM191" i="77"/>
  <c r="AI191" i="77"/>
  <c r="AH191" i="77"/>
  <c r="AG191" i="77"/>
  <c r="AM184" i="77"/>
  <c r="BC218" i="77"/>
  <c r="BA218" i="77"/>
  <c r="AQ240" i="77"/>
  <c r="BC138" i="77"/>
  <c r="BF93" i="77"/>
  <c r="AZ93" i="77" s="1"/>
  <c r="BC93" i="77" s="1"/>
  <c r="AQ286" i="77"/>
  <c r="AX286" i="77"/>
  <c r="BD286" i="77" s="1"/>
  <c r="AQ101" i="77"/>
  <c r="AX101" i="77"/>
  <c r="BD101" i="77" s="1"/>
  <c r="AE101" i="77"/>
  <c r="AX223" i="77"/>
  <c r="BD223" i="77" s="1"/>
  <c r="AQ223" i="77"/>
  <c r="AE214" i="77"/>
  <c r="AE206" i="77"/>
  <c r="BC209" i="77"/>
  <c r="BA209" i="77"/>
  <c r="AQ202" i="77"/>
  <c r="AM476" i="77"/>
  <c r="AG476" i="77"/>
  <c r="AI476" i="77"/>
  <c r="AH476" i="77"/>
  <c r="BW476" i="77"/>
  <c r="AK476" i="77" a="1"/>
  <c r="AK476" i="77" s="1"/>
  <c r="BG476" i="77" s="1"/>
  <c r="AG73" i="77"/>
  <c r="AM73" i="77"/>
  <c r="AK73" i="77" a="1"/>
  <c r="AK73" i="77" s="1"/>
  <c r="BG73" i="77" s="1"/>
  <c r="AH73" i="77"/>
  <c r="BW73" i="77"/>
  <c r="AI73" i="77"/>
  <c r="BW396" i="77"/>
  <c r="AI396" i="77"/>
  <c r="AH396" i="77"/>
  <c r="AG396" i="77"/>
  <c r="AM396" i="77"/>
  <c r="AK396" i="77" a="1"/>
  <c r="AK396" i="77" s="1"/>
  <c r="BG396" i="77" s="1"/>
  <c r="BW369" i="77"/>
  <c r="AI369" i="77"/>
  <c r="AH369" i="77"/>
  <c r="AG369" i="77"/>
  <c r="AK369" i="77" a="1"/>
  <c r="AK369" i="77" s="1"/>
  <c r="BG369" i="77" s="1"/>
  <c r="AM369" i="77"/>
  <c r="AM462" i="77"/>
  <c r="AK462" i="77" a="1"/>
  <c r="AK462" i="77" s="1"/>
  <c r="BG462" i="77" s="1"/>
  <c r="AH462" i="77"/>
  <c r="AG462" i="77"/>
  <c r="AI462" i="77"/>
  <c r="BW462" i="77"/>
  <c r="AM266" i="77"/>
  <c r="BW266" i="77"/>
  <c r="AI266" i="77"/>
  <c r="AH266" i="77"/>
  <c r="AG266" i="77"/>
  <c r="AK266" i="77" a="1"/>
  <c r="AK266" i="77" s="1"/>
  <c r="BG266" i="77" s="1"/>
  <c r="BW434" i="77"/>
  <c r="AK434" i="77" a="1"/>
  <c r="AK434" i="77" s="1"/>
  <c r="BG434" i="77" s="1"/>
  <c r="AM434" i="77"/>
  <c r="AI434" i="77"/>
  <c r="AH434" i="77"/>
  <c r="AG434" i="77"/>
  <c r="BW306" i="77"/>
  <c r="AM306" i="77"/>
  <c r="AK306" i="77" a="1"/>
  <c r="AK306" i="77" s="1"/>
  <c r="AI306" i="77"/>
  <c r="AH306" i="77"/>
  <c r="AG306" i="77"/>
  <c r="AK529" i="77" a="1"/>
  <c r="AK529" i="77" s="1"/>
  <c r="BG529" i="77" s="1"/>
  <c r="AH529" i="77"/>
  <c r="AG529" i="77"/>
  <c r="AM529" i="77"/>
  <c r="AI529" i="77"/>
  <c r="BW529" i="77"/>
  <c r="BW89" i="77"/>
  <c r="AK89" i="77" a="1"/>
  <c r="AK89" i="77" s="1"/>
  <c r="BG89" i="77" s="1"/>
  <c r="AM89" i="77"/>
  <c r="AH89" i="77"/>
  <c r="AG89" i="77"/>
  <c r="AI89" i="77"/>
  <c r="BW408" i="77"/>
  <c r="AM408" i="77"/>
  <c r="AG408" i="77"/>
  <c r="AH408" i="77"/>
  <c r="AK408" i="77" a="1"/>
  <c r="AK408" i="77" s="1"/>
  <c r="BG408" i="77" s="1"/>
  <c r="AI408" i="77"/>
  <c r="BW70" i="77"/>
  <c r="AM70" i="77"/>
  <c r="AK70" i="77" a="1"/>
  <c r="AK70" i="77" s="1"/>
  <c r="BG70" i="77" s="1"/>
  <c r="AG70" i="77"/>
  <c r="AH70" i="77"/>
  <c r="AI70" i="77"/>
  <c r="AH310" i="77"/>
  <c r="AG310" i="77"/>
  <c r="AM310" i="77"/>
  <c r="AI310" i="77"/>
  <c r="AK310" i="77" a="1"/>
  <c r="AK310" i="77" s="1"/>
  <c r="BG310" i="77" s="1"/>
  <c r="BW310" i="77"/>
  <c r="AI327" i="77"/>
  <c r="AH327" i="77"/>
  <c r="AG327" i="77"/>
  <c r="AK327" i="77" a="1"/>
  <c r="AK327" i="77" s="1"/>
  <c r="BG327" i="77" s="1"/>
  <c r="BW327" i="77"/>
  <c r="AM327" i="77"/>
  <c r="BW504" i="77"/>
  <c r="AG504" i="77"/>
  <c r="AH504" i="77"/>
  <c r="AK504" i="77" a="1"/>
  <c r="AK504" i="77" s="1"/>
  <c r="BG504" i="77" s="1"/>
  <c r="AI504" i="77"/>
  <c r="AM504" i="77"/>
  <c r="BW319" i="77"/>
  <c r="AM319" i="77"/>
  <c r="AI319" i="77"/>
  <c r="AH319" i="77"/>
  <c r="AG319" i="77"/>
  <c r="AK319" i="77" a="1"/>
  <c r="AK319" i="77" s="1"/>
  <c r="BG319" i="77" s="1"/>
  <c r="BW86" i="77"/>
  <c r="AM86" i="77"/>
  <c r="AG86" i="77"/>
  <c r="AK86" i="77" a="1"/>
  <c r="AK86" i="77" s="1"/>
  <c r="BG86" i="77" s="1"/>
  <c r="AI86" i="77"/>
  <c r="AH86" i="77"/>
  <c r="BW325" i="77"/>
  <c r="AM325" i="77"/>
  <c r="AK325" i="77" a="1"/>
  <c r="AK325" i="77" s="1"/>
  <c r="BG325" i="77" s="1"/>
  <c r="AI325" i="77"/>
  <c r="AG325" i="77"/>
  <c r="AH325" i="77"/>
  <c r="BW225" i="77"/>
  <c r="AM225" i="77"/>
  <c r="AG225" i="77"/>
  <c r="AI225" i="77"/>
  <c r="AH225" i="77"/>
  <c r="AK225" i="77" a="1"/>
  <c r="AK225" i="77" s="1"/>
  <c r="BG225" i="77" s="1"/>
  <c r="BW421" i="77"/>
  <c r="AM421" i="77"/>
  <c r="AI421" i="77"/>
  <c r="AH421" i="77"/>
  <c r="AG421" i="77"/>
  <c r="AK421" i="77" a="1"/>
  <c r="AK421" i="77" s="1"/>
  <c r="BG421" i="77" s="1"/>
  <c r="AI388" i="77"/>
  <c r="AH388" i="77"/>
  <c r="AG388" i="77"/>
  <c r="BW388" i="77"/>
  <c r="AM388" i="77"/>
  <c r="AK388" i="77" a="1"/>
  <c r="AK388" i="77" s="1"/>
  <c r="BG388" i="77" s="1"/>
  <c r="BW437" i="77"/>
  <c r="AK437" i="77" a="1"/>
  <c r="AK437" i="77" s="1"/>
  <c r="BG437" i="77" s="1"/>
  <c r="AM437" i="77"/>
  <c r="AI437" i="77"/>
  <c r="AH437" i="77"/>
  <c r="AG437" i="77"/>
  <c r="BW22" i="77"/>
  <c r="AM22" i="77"/>
  <c r="AK22" i="77" a="1"/>
  <c r="AK22" i="77" s="1"/>
  <c r="BG22" i="77" s="1"/>
  <c r="AI22" i="77"/>
  <c r="AH22" i="77"/>
  <c r="AG22" i="77"/>
  <c r="BW272" i="77"/>
  <c r="AM272" i="77"/>
  <c r="AK272" i="77" a="1"/>
  <c r="AK272" i="77" s="1"/>
  <c r="BG272" i="77" s="1"/>
  <c r="AI272" i="77"/>
  <c r="AH272" i="77"/>
  <c r="AG272" i="77"/>
  <c r="AM546" i="77"/>
  <c r="AH546" i="77"/>
  <c r="AG546" i="77"/>
  <c r="BW546" i="77"/>
  <c r="AI546" i="77"/>
  <c r="AK546" i="77" a="1"/>
  <c r="AK546" i="77" s="1"/>
  <c r="BG546" i="77" s="1"/>
  <c r="BW533" i="77"/>
  <c r="AM533" i="77"/>
  <c r="AK533" i="77" a="1"/>
  <c r="AK533" i="77" s="1"/>
  <c r="BG533" i="77" s="1"/>
  <c r="AI533" i="77"/>
  <c r="AH533" i="77"/>
  <c r="AG533" i="77"/>
  <c r="AG137" i="77"/>
  <c r="AM137" i="77"/>
  <c r="AK137" i="77" a="1"/>
  <c r="AK137" i="77" s="1"/>
  <c r="AI137" i="77"/>
  <c r="AH137" i="77"/>
  <c r="BW137" i="77"/>
  <c r="AH160" i="77"/>
  <c r="AG160" i="77"/>
  <c r="AM160" i="77"/>
  <c r="AK160" i="77" a="1"/>
  <c r="AK160" i="77" s="1"/>
  <c r="BG160" i="77" s="1"/>
  <c r="AI160" i="77"/>
  <c r="BW160" i="77"/>
  <c r="AX377" i="77"/>
  <c r="BD377" i="77" s="1"/>
  <c r="AQ377" i="77"/>
  <c r="AH479" i="77"/>
  <c r="AG479" i="77"/>
  <c r="AK479" i="77" a="1"/>
  <c r="AK479" i="77" s="1"/>
  <c r="BG479" i="77" s="1"/>
  <c r="BW479" i="77"/>
  <c r="AI479" i="77"/>
  <c r="AM479" i="77"/>
  <c r="AQ511" i="77"/>
  <c r="AX511" i="77"/>
  <c r="BD511" i="77" s="1"/>
  <c r="AH400" i="77"/>
  <c r="AG400" i="77"/>
  <c r="AI400" i="77"/>
  <c r="BW400" i="77"/>
  <c r="AM400" i="77"/>
  <c r="AK400" i="77" a="1"/>
  <c r="AK400" i="77" s="1"/>
  <c r="BG400" i="77" s="1"/>
  <c r="AQ376" i="77"/>
  <c r="AX376" i="77"/>
  <c r="BD376" i="77" s="1"/>
  <c r="AH464" i="77"/>
  <c r="AM464" i="77"/>
  <c r="AI464" i="77"/>
  <c r="AG464" i="77"/>
  <c r="AK464" i="77" a="1"/>
  <c r="AK464" i="77" s="1"/>
  <c r="BG464" i="77" s="1"/>
  <c r="BW464" i="77"/>
  <c r="AX46" i="77"/>
  <c r="BD46" i="77" s="1"/>
  <c r="AQ46" i="77"/>
  <c r="AX515" i="77"/>
  <c r="BD515" i="77" s="1"/>
  <c r="AQ515" i="77"/>
  <c r="AQ174" i="77"/>
  <c r="AX174" i="77"/>
  <c r="BD174" i="77" s="1"/>
  <c r="BW372" i="77"/>
  <c r="AM372" i="77"/>
  <c r="AI372" i="77"/>
  <c r="AH372" i="77"/>
  <c r="AG372" i="77"/>
  <c r="AK372" i="77" a="1"/>
  <c r="AK372" i="77" s="1"/>
  <c r="BG372" i="77" s="1"/>
  <c r="AQ165" i="77"/>
  <c r="AX165" i="77"/>
  <c r="BD165" i="77" s="1"/>
  <c r="AI493" i="77"/>
  <c r="BW493" i="77"/>
  <c r="AG493" i="77"/>
  <c r="AM493" i="77"/>
  <c r="AK493" i="77" a="1"/>
  <c r="AK493" i="77" s="1"/>
  <c r="BG493" i="77" s="1"/>
  <c r="AH493" i="77"/>
  <c r="BW401" i="77"/>
  <c r="AM401" i="77"/>
  <c r="AK401" i="77" a="1"/>
  <c r="AK401" i="77" s="1"/>
  <c r="BG401" i="77" s="1"/>
  <c r="AI401" i="77"/>
  <c r="AH401" i="77"/>
  <c r="AG401" i="77"/>
  <c r="AM316" i="77"/>
  <c r="AI316" i="77"/>
  <c r="AK316" i="77" a="1"/>
  <c r="AK316" i="77" s="1"/>
  <c r="BG316" i="77" s="1"/>
  <c r="BW316" i="77"/>
  <c r="AH316" i="77"/>
  <c r="AG316" i="77"/>
  <c r="AQ80" i="77"/>
  <c r="AE80" i="77"/>
  <c r="AX401" i="77"/>
  <c r="BD401" i="77" s="1"/>
  <c r="AQ401" i="77"/>
  <c r="AX379" i="77"/>
  <c r="BD379" i="77" s="1"/>
  <c r="AQ379" i="77"/>
  <c r="AQ358" i="77"/>
  <c r="AX111" i="77"/>
  <c r="BD111" i="77" s="1"/>
  <c r="AQ111" i="77"/>
  <c r="AX382" i="77"/>
  <c r="BD382" i="77" s="1"/>
  <c r="AQ382" i="77"/>
  <c r="AM482" i="77"/>
  <c r="AK482" i="77" a="1"/>
  <c r="AK482" i="77" s="1"/>
  <c r="BG482" i="77" s="1"/>
  <c r="AG482" i="77"/>
  <c r="BW482" i="77"/>
  <c r="AI482" i="77"/>
  <c r="AH482" i="77"/>
  <c r="AX135" i="77"/>
  <c r="BD135" i="77" s="1"/>
  <c r="AQ135" i="77"/>
  <c r="AQ192" i="77"/>
  <c r="AX192" i="77"/>
  <c r="BD192" i="77" s="1"/>
  <c r="AE192" i="77"/>
  <c r="AQ523" i="77"/>
  <c r="AX523" i="77"/>
  <c r="BD523" i="77" s="1"/>
  <c r="AE523" i="77"/>
  <c r="AQ29" i="77"/>
  <c r="AQ540" i="77"/>
  <c r="AX540" i="77"/>
  <c r="BD540" i="77" s="1"/>
  <c r="AE540" i="77"/>
  <c r="AM196" i="77"/>
  <c r="AK196" i="77" a="1"/>
  <c r="AK196" i="77" s="1"/>
  <c r="BG196" i="77" s="1"/>
  <c r="AG196" i="77"/>
  <c r="AI196" i="77"/>
  <c r="AH196" i="77"/>
  <c r="BW196" i="77"/>
  <c r="BW365" i="77"/>
  <c r="AM365" i="77"/>
  <c r="AK365" i="77" a="1"/>
  <c r="AK365" i="77" s="1"/>
  <c r="BG365" i="77" s="1"/>
  <c r="AI365" i="77"/>
  <c r="AH365" i="77"/>
  <c r="AG365" i="77"/>
  <c r="AM251" i="77"/>
  <c r="BW251" i="77"/>
  <c r="AG251" i="77"/>
  <c r="AH251" i="77"/>
  <c r="AI251" i="77"/>
  <c r="AK251" i="77" a="1"/>
  <c r="AK251" i="77" s="1"/>
  <c r="BG251" i="77" s="1"/>
  <c r="AQ126" i="77"/>
  <c r="AM198" i="77"/>
  <c r="BW198" i="77"/>
  <c r="AK198" i="77" a="1"/>
  <c r="AK198" i="77" s="1"/>
  <c r="BG198" i="77" s="1"/>
  <c r="AG198" i="77"/>
  <c r="AI198" i="77"/>
  <c r="AH198" i="77"/>
  <c r="AM486" i="77"/>
  <c r="AI486" i="77"/>
  <c r="AH486" i="77"/>
  <c r="AG486" i="77"/>
  <c r="BW486" i="77"/>
  <c r="AK486" i="77" a="1"/>
  <c r="AK486" i="77" s="1"/>
  <c r="BG486" i="77" s="1"/>
  <c r="AM71" i="77"/>
  <c r="BW71" i="77"/>
  <c r="AH71" i="77"/>
  <c r="AG71" i="77"/>
  <c r="AK71" i="77" a="1"/>
  <c r="AK71" i="77" s="1"/>
  <c r="BG71" i="77" s="1"/>
  <c r="AI71" i="77"/>
  <c r="AQ138" i="77"/>
  <c r="AI301" i="77"/>
  <c r="AH301" i="77"/>
  <c r="BW301" i="77"/>
  <c r="AK301" i="77" a="1"/>
  <c r="AK301" i="77" s="1"/>
  <c r="BG301" i="77" s="1"/>
  <c r="AG301" i="77"/>
  <c r="AM301" i="77"/>
  <c r="AQ35" i="77"/>
  <c r="AQ197" i="77"/>
  <c r="AX197" i="77"/>
  <c r="BD197" i="77" s="1"/>
  <c r="AM40" i="77"/>
  <c r="AK40" i="77" a="1"/>
  <c r="AK40" i="77" s="1"/>
  <c r="BG40" i="77" s="1"/>
  <c r="AH40" i="77"/>
  <c r="AI40" i="77"/>
  <c r="AG40" i="77"/>
  <c r="BW40" i="77"/>
  <c r="BW158" i="77"/>
  <c r="AM158" i="77"/>
  <c r="AH158" i="77"/>
  <c r="AK158" i="77" a="1"/>
  <c r="AK158" i="77" s="1"/>
  <c r="BG158" i="77" s="1"/>
  <c r="AI158" i="77"/>
  <c r="AG158" i="77"/>
  <c r="AG106" i="77"/>
  <c r="AM106" i="77"/>
  <c r="AK106" i="77" a="1"/>
  <c r="AK106" i="77" s="1"/>
  <c r="BG106" i="77" s="1"/>
  <c r="BW106" i="77"/>
  <c r="AI106" i="77"/>
  <c r="AH106" i="77"/>
  <c r="AH432" i="77"/>
  <c r="BW432" i="77"/>
  <c r="AK432" i="77" a="1"/>
  <c r="AK432" i="77" s="1"/>
  <c r="BG432" i="77" s="1"/>
  <c r="AM432" i="77"/>
  <c r="AG432" i="77"/>
  <c r="AI432" i="77"/>
  <c r="BW375" i="77"/>
  <c r="AM375" i="77"/>
  <c r="AK375" i="77" a="1"/>
  <c r="AK375" i="77" s="1"/>
  <c r="BG375" i="77" s="1"/>
  <c r="AG375" i="77"/>
  <c r="AI375" i="77"/>
  <c r="AH375" i="77"/>
  <c r="AQ62" i="77"/>
  <c r="AX62" i="77"/>
  <c r="BD62" i="77" s="1"/>
  <c r="BW103" i="77"/>
  <c r="AM103" i="77"/>
  <c r="AH103" i="77"/>
  <c r="AG103" i="77"/>
  <c r="AK103" i="77" a="1"/>
  <c r="AK103" i="77" s="1"/>
  <c r="BG103" i="77" s="1"/>
  <c r="AI103" i="77"/>
  <c r="AM168" i="77"/>
  <c r="BW168" i="77"/>
  <c r="AK168" i="77" a="1"/>
  <c r="AK168" i="77" s="1"/>
  <c r="BG168" i="77" s="1"/>
  <c r="AG168" i="77"/>
  <c r="AI168" i="77"/>
  <c r="AH168" i="77"/>
  <c r="AQ213" i="77"/>
  <c r="AM180" i="77"/>
  <c r="AK180" i="77" a="1"/>
  <c r="AK180" i="77" s="1"/>
  <c r="BG180" i="77" s="1"/>
  <c r="AI180" i="77"/>
  <c r="AH180" i="77"/>
  <c r="AG180" i="77"/>
  <c r="BW180" i="77"/>
  <c r="AX251" i="77"/>
  <c r="BD251" i="77" s="1"/>
  <c r="AQ251" i="77"/>
  <c r="AQ198" i="77"/>
  <c r="AX198" i="77"/>
  <c r="BD198" i="77" s="1"/>
  <c r="AM299" i="77"/>
  <c r="AI299" i="77"/>
  <c r="AH299" i="77"/>
  <c r="BW299" i="77"/>
  <c r="AG299" i="77"/>
  <c r="AK299" i="77" a="1"/>
  <c r="AK299" i="77" s="1"/>
  <c r="BG299" i="77" s="1"/>
  <c r="AG190" i="77"/>
  <c r="AH190" i="77"/>
  <c r="AK190" i="77" a="1"/>
  <c r="AK190" i="77" s="1"/>
  <c r="BG190" i="77" s="1"/>
  <c r="AI190" i="77"/>
  <c r="AM190" i="77"/>
  <c r="BW190" i="77"/>
  <c r="AE197" i="77"/>
  <c r="AM127" i="77"/>
  <c r="BW127" i="77"/>
  <c r="AH127" i="77"/>
  <c r="AG127" i="77"/>
  <c r="AK127" i="77" a="1"/>
  <c r="AK127" i="77" s="1"/>
  <c r="AI127" i="77"/>
  <c r="AQ103" i="77"/>
  <c r="AX103" i="77"/>
  <c r="BD103" i="77" s="1"/>
  <c r="AH528" i="77"/>
  <c r="AG528" i="77"/>
  <c r="AM528" i="77"/>
  <c r="AK528" i="77" a="1"/>
  <c r="AK528" i="77" s="1"/>
  <c r="BG528" i="77" s="1"/>
  <c r="BW528" i="77"/>
  <c r="AI528" i="77"/>
  <c r="AX255" i="77"/>
  <c r="BD255" i="77" s="1"/>
  <c r="AQ255" i="77"/>
  <c r="AM518" i="77"/>
  <c r="BW518" i="77"/>
  <c r="AG518" i="77"/>
  <c r="AK518" i="77" a="1"/>
  <c r="AK518" i="77" s="1"/>
  <c r="BG518" i="77" s="1"/>
  <c r="AI518" i="77"/>
  <c r="AH518" i="77"/>
  <c r="AX211" i="77"/>
  <c r="BD211" i="77" s="1"/>
  <c r="AQ211" i="77"/>
  <c r="AQ72" i="77"/>
  <c r="AX72" i="77"/>
  <c r="BD72" i="77" s="1"/>
  <c r="BW243" i="77"/>
  <c r="AH243" i="77"/>
  <c r="AI243" i="77"/>
  <c r="AM243" i="77"/>
  <c r="AG243" i="77"/>
  <c r="AX365" i="77"/>
  <c r="BD365" i="77" s="1"/>
  <c r="AQ365" i="77"/>
  <c r="BW335" i="77"/>
  <c r="AM335" i="77"/>
  <c r="AH335" i="77"/>
  <c r="AG335" i="77"/>
  <c r="AK335" i="77" a="1"/>
  <c r="AK335" i="77" s="1"/>
  <c r="BG335" i="77" s="1"/>
  <c r="AI335" i="77"/>
  <c r="AK267" i="77" a="1"/>
  <c r="AK267" i="77" s="1"/>
  <c r="BG267" i="77" s="1"/>
  <c r="AH267" i="77"/>
  <c r="AI267" i="77"/>
  <c r="BW267" i="77"/>
  <c r="AG267" i="77"/>
  <c r="AM267" i="77"/>
  <c r="AQ393" i="77"/>
  <c r="AX393" i="77"/>
  <c r="BD393" i="77" s="1"/>
  <c r="BW207" i="77"/>
  <c r="AM207" i="77"/>
  <c r="AI207" i="77"/>
  <c r="AH207" i="77"/>
  <c r="AG207" i="77"/>
  <c r="AK207" i="77" a="1"/>
  <c r="AK207" i="77" s="1"/>
  <c r="BG207" i="77" s="1"/>
  <c r="AX322" i="77"/>
  <c r="BD322" i="77" s="1"/>
  <c r="AQ322" i="77"/>
  <c r="AE322" i="77"/>
  <c r="AQ432" i="77"/>
  <c r="AX432" i="77"/>
  <c r="BD432" i="77" s="1"/>
  <c r="AX518" i="77"/>
  <c r="BD518" i="77" s="1"/>
  <c r="AQ518" i="77"/>
  <c r="AX416" i="77"/>
  <c r="BD416" i="77" s="1"/>
  <c r="AQ416" i="77"/>
  <c r="BW549" i="77"/>
  <c r="AK549" i="77" a="1"/>
  <c r="AK549" i="77" s="1"/>
  <c r="BG549" i="77" s="1"/>
  <c r="AI549" i="77"/>
  <c r="AH549" i="77"/>
  <c r="AG549" i="77"/>
  <c r="AM549" i="77"/>
  <c r="AG419" i="77"/>
  <c r="AM419" i="77"/>
  <c r="AH419" i="77"/>
  <c r="BW419" i="77"/>
  <c r="AI419" i="77"/>
  <c r="AK419" i="77" a="1"/>
  <c r="AK419" i="77" s="1"/>
  <c r="BG419" i="77" s="1"/>
  <c r="BW126" i="77"/>
  <c r="AM126" i="77"/>
  <c r="AI126" i="77"/>
  <c r="AH126" i="77"/>
  <c r="AG126" i="77"/>
  <c r="AK126" i="77" a="1"/>
  <c r="AK126" i="77" s="1"/>
  <c r="AX448" i="77"/>
  <c r="BD448" i="77" s="1"/>
  <c r="AQ448" i="77"/>
  <c r="AM398" i="77"/>
  <c r="AK398" i="77" a="1"/>
  <c r="AK398" i="77" s="1"/>
  <c r="BG398" i="77" s="1"/>
  <c r="BW398" i="77"/>
  <c r="AI398" i="77"/>
  <c r="AH398" i="77"/>
  <c r="AG398" i="77"/>
  <c r="BW94" i="77"/>
  <c r="AM94" i="77"/>
  <c r="AG94" i="77"/>
  <c r="AI94" i="77"/>
  <c r="AH94" i="77"/>
  <c r="AK94" i="77" a="1"/>
  <c r="AK94" i="77" s="1"/>
  <c r="BG94" i="77" s="1"/>
  <c r="AM470" i="77"/>
  <c r="AG470" i="77"/>
  <c r="BW470" i="77"/>
  <c r="AH470" i="77"/>
  <c r="AI470" i="77"/>
  <c r="AK470" i="77" a="1"/>
  <c r="AK470" i="77" s="1"/>
  <c r="BG470" i="77" s="1"/>
  <c r="BW453" i="77"/>
  <c r="AI453" i="77"/>
  <c r="AH453" i="77"/>
  <c r="AG453" i="77"/>
  <c r="AM453" i="77"/>
  <c r="AK453" i="77" a="1"/>
  <c r="AK453" i="77" s="1"/>
  <c r="BG453" i="77" s="1"/>
  <c r="AM514" i="77"/>
  <c r="AK514" i="77" a="1"/>
  <c r="AK514" i="77" s="1"/>
  <c r="BG514" i="77" s="1"/>
  <c r="BW514" i="77"/>
  <c r="AH514" i="77"/>
  <c r="AG514" i="77"/>
  <c r="AI514" i="77"/>
  <c r="AH426" i="77"/>
  <c r="AK426" i="77" a="1"/>
  <c r="AK426" i="77" s="1"/>
  <c r="BG426" i="77" s="1"/>
  <c r="AI426" i="77"/>
  <c r="AG426" i="77"/>
  <c r="BW426" i="77"/>
  <c r="AM426" i="77"/>
  <c r="BW33" i="77"/>
  <c r="AH33" i="77"/>
  <c r="AG33" i="77"/>
  <c r="AM33" i="77"/>
  <c r="AK33" i="77" a="1"/>
  <c r="AK33" i="77" s="1"/>
  <c r="BG33" i="77" s="1"/>
  <c r="AI33" i="77"/>
  <c r="AI311" i="77"/>
  <c r="AH311" i="77"/>
  <c r="AG311" i="77"/>
  <c r="AM311" i="77"/>
  <c r="AK311" i="77" a="1"/>
  <c r="AK311" i="77" s="1"/>
  <c r="BG311" i="77" s="1"/>
  <c r="BW311" i="77"/>
  <c r="AQ306" i="77"/>
  <c r="BW62" i="77"/>
  <c r="AM62" i="77"/>
  <c r="AI62" i="77"/>
  <c r="AH62" i="77"/>
  <c r="AG62" i="77"/>
  <c r="AK62" i="77" a="1"/>
  <c r="AK62" i="77" s="1"/>
  <c r="BG62" i="77" s="1"/>
  <c r="AX396" i="77"/>
  <c r="BD396" i="77" s="1"/>
  <c r="AQ396" i="77"/>
  <c r="AQ444" i="77"/>
  <c r="AX444" i="77"/>
  <c r="BD444" i="77" s="1"/>
  <c r="AE444" i="77"/>
  <c r="AI393" i="77"/>
  <c r="BW393" i="77"/>
  <c r="AH393" i="77"/>
  <c r="AG393" i="77"/>
  <c r="AM393" i="77"/>
  <c r="AK393" i="77" a="1"/>
  <c r="AK393" i="77" s="1"/>
  <c r="BG393" i="77" s="1"/>
  <c r="AH502" i="77"/>
  <c r="AG502" i="77"/>
  <c r="AK502" i="77" a="1"/>
  <c r="AK502" i="77" s="1"/>
  <c r="BG502" i="77" s="1"/>
  <c r="BW502" i="77"/>
  <c r="AI502" i="77"/>
  <c r="AM502" i="77"/>
  <c r="BW205" i="77"/>
  <c r="AM205" i="77"/>
  <c r="AI205" i="77"/>
  <c r="AH205" i="77"/>
  <c r="AG205" i="77"/>
  <c r="AK205" i="77" a="1"/>
  <c r="AK205" i="77" s="1"/>
  <c r="BG205" i="77" s="1"/>
  <c r="AQ254" i="77"/>
  <c r="AX254" i="77"/>
  <c r="BD254" i="77" s="1"/>
  <c r="AI211" i="77"/>
  <c r="AH211" i="77"/>
  <c r="AG211" i="77"/>
  <c r="BW211" i="77"/>
  <c r="AM211" i="77"/>
  <c r="AK211" i="77" a="1"/>
  <c r="AK211" i="77" s="1"/>
  <c r="BG211" i="77" s="1"/>
  <c r="AM72" i="77"/>
  <c r="BW72" i="77"/>
  <c r="AK72" i="77" a="1"/>
  <c r="AK72" i="77" s="1"/>
  <c r="BG72" i="77" s="1"/>
  <c r="AG72" i="77"/>
  <c r="AI72" i="77"/>
  <c r="AH72" i="77"/>
  <c r="AQ344" i="77"/>
  <c r="AX344" i="77"/>
  <c r="BD344" i="77" s="1"/>
  <c r="AG26" i="77"/>
  <c r="AI26" i="77"/>
  <c r="BW26" i="77"/>
  <c r="AH26" i="77"/>
  <c r="AK26" i="77" a="1"/>
  <c r="AK26" i="77" s="1"/>
  <c r="AM26" i="77"/>
  <c r="AX264" i="77"/>
  <c r="BD264" i="77" s="1"/>
  <c r="AQ264" i="77"/>
  <c r="AM151" i="77"/>
  <c r="BW151" i="77"/>
  <c r="AG151" i="77"/>
  <c r="AI151" i="77"/>
  <c r="AK151" i="77" a="1"/>
  <c r="AK151" i="77" s="1"/>
  <c r="BG151" i="77" s="1"/>
  <c r="AH151" i="77"/>
  <c r="AQ97" i="77"/>
  <c r="AX97" i="77"/>
  <c r="BD97" i="77" s="1"/>
  <c r="AE97" i="77"/>
  <c r="AK449" i="77" a="1"/>
  <c r="AK449" i="77" s="1"/>
  <c r="BG449" i="77" s="1"/>
  <c r="AH449" i="77"/>
  <c r="AG449" i="77"/>
  <c r="AM449" i="77"/>
  <c r="BW449" i="77"/>
  <c r="AI449" i="77"/>
  <c r="AQ207" i="77"/>
  <c r="AX207" i="77"/>
  <c r="BD207" i="77" s="1"/>
  <c r="AQ502" i="77"/>
  <c r="AX502" i="77"/>
  <c r="BD502" i="77" s="1"/>
  <c r="AQ472" i="77"/>
  <c r="AX472" i="77"/>
  <c r="BD472" i="77" s="1"/>
  <c r="AQ373" i="77"/>
  <c r="AX373" i="77"/>
  <c r="BD373" i="77" s="1"/>
  <c r="AE373" i="77"/>
  <c r="AQ83" i="77"/>
  <c r="AE83" i="77"/>
  <c r="AM510" i="77"/>
  <c r="AK510" i="77" a="1"/>
  <c r="AK510" i="77" s="1"/>
  <c r="BG510" i="77" s="1"/>
  <c r="BW510" i="77"/>
  <c r="AG510" i="77"/>
  <c r="AI510" i="77"/>
  <c r="AH510" i="77"/>
  <c r="AE254" i="77"/>
  <c r="BW475" i="77"/>
  <c r="AK475" i="77" a="1"/>
  <c r="AK475" i="77" s="1"/>
  <c r="BG475" i="77" s="1"/>
  <c r="AG475" i="77"/>
  <c r="AM475" i="77"/>
  <c r="AI475" i="77"/>
  <c r="AH475" i="77"/>
  <c r="AX467" i="77"/>
  <c r="BD467" i="77" s="1"/>
  <c r="AQ467" i="77"/>
  <c r="AX512" i="77"/>
  <c r="BD512" i="77" s="1"/>
  <c r="AQ512" i="77"/>
  <c r="AE512" i="77"/>
  <c r="AQ529" i="77"/>
  <c r="AX529" i="77"/>
  <c r="BD529" i="77" s="1"/>
  <c r="AK471" i="77" a="1"/>
  <c r="AK471" i="77" s="1"/>
  <c r="BG471" i="77" s="1"/>
  <c r="AI471" i="77"/>
  <c r="AH471" i="77"/>
  <c r="AG471" i="77"/>
  <c r="AM471" i="77"/>
  <c r="BW471" i="77"/>
  <c r="AX541" i="77"/>
  <c r="BD541" i="77" s="1"/>
  <c r="AQ541" i="77"/>
  <c r="AE541" i="77"/>
  <c r="AI381" i="77"/>
  <c r="BW381" i="77"/>
  <c r="AK381" i="77" a="1"/>
  <c r="AK381" i="77" s="1"/>
  <c r="BG381" i="77" s="1"/>
  <c r="AM381" i="77"/>
  <c r="AH381" i="77"/>
  <c r="AG381" i="77"/>
  <c r="AQ434" i="77"/>
  <c r="AX434" i="77"/>
  <c r="BD434" i="77" s="1"/>
  <c r="AI412" i="77"/>
  <c r="AH412" i="77"/>
  <c r="AG412" i="77"/>
  <c r="AK412" i="77" a="1"/>
  <c r="AK412" i="77" s="1"/>
  <c r="BG412" i="77" s="1"/>
  <c r="BW412" i="77"/>
  <c r="AM412" i="77"/>
  <c r="AM488" i="77"/>
  <c r="AG488" i="77"/>
  <c r="BW488" i="77"/>
  <c r="AK488" i="77" a="1"/>
  <c r="AK488" i="77" s="1"/>
  <c r="BG488" i="77" s="1"/>
  <c r="AI488" i="77"/>
  <c r="AH488" i="77"/>
  <c r="AX411" i="77"/>
  <c r="BD411" i="77" s="1"/>
  <c r="AQ411" i="77"/>
  <c r="AE411" i="77"/>
  <c r="AK55" i="77" a="1"/>
  <c r="AK55" i="77" s="1"/>
  <c r="BG55" i="77" s="1"/>
  <c r="AM55" i="77"/>
  <c r="BW55" i="77"/>
  <c r="AH55" i="77"/>
  <c r="AG55" i="77"/>
  <c r="AI55" i="77"/>
  <c r="AX463" i="77"/>
  <c r="BD463" i="77" s="1"/>
  <c r="AQ463" i="77"/>
  <c r="AQ247" i="77"/>
  <c r="AX247" i="77"/>
  <c r="BD247" i="77" s="1"/>
  <c r="AQ546" i="77"/>
  <c r="AX546" i="77"/>
  <c r="BD546" i="77" s="1"/>
  <c r="AX74" i="77"/>
  <c r="BD74" i="77" s="1"/>
  <c r="AQ74" i="77"/>
  <c r="AE74" i="77"/>
  <c r="AM44" i="77"/>
  <c r="AK44" i="77" a="1"/>
  <c r="AK44" i="77" s="1"/>
  <c r="BG44" i="77" s="1"/>
  <c r="AH44" i="77"/>
  <c r="AG44" i="77"/>
  <c r="BW44" i="77"/>
  <c r="AI44" i="77"/>
  <c r="AX86" i="77"/>
  <c r="BD86" i="77" s="1"/>
  <c r="AQ86" i="77"/>
  <c r="AM219" i="77"/>
  <c r="AK219" i="77" a="1"/>
  <c r="AK219" i="77" s="1"/>
  <c r="AI219" i="77"/>
  <c r="AG219" i="77"/>
  <c r="AH219" i="77"/>
  <c r="BW219" i="77"/>
  <c r="AQ431" i="77"/>
  <c r="AX431" i="77"/>
  <c r="BD431" i="77" s="1"/>
  <c r="AK337" i="77" a="1"/>
  <c r="AK337" i="77" s="1"/>
  <c r="BG337" i="77" s="1"/>
  <c r="AI337" i="77"/>
  <c r="AM337" i="77"/>
  <c r="AH337" i="77"/>
  <c r="BW337" i="77"/>
  <c r="AG337" i="77"/>
  <c r="BW46" i="77"/>
  <c r="AM46" i="77"/>
  <c r="AH46" i="77"/>
  <c r="AG46" i="77"/>
  <c r="AI46" i="77"/>
  <c r="AK46" i="77" a="1"/>
  <c r="AK46" i="77" s="1"/>
  <c r="BG46" i="77" s="1"/>
  <c r="AG515" i="77"/>
  <c r="AM515" i="77"/>
  <c r="BW515" i="77"/>
  <c r="AH515" i="77"/>
  <c r="AI515" i="77"/>
  <c r="AK515" i="77" a="1"/>
  <c r="AK515" i="77" s="1"/>
  <c r="BG515" i="77" s="1"/>
  <c r="AH248" i="77"/>
  <c r="AG248" i="77"/>
  <c r="BW248" i="77"/>
  <c r="AI248" i="77"/>
  <c r="AK248" i="77" a="1"/>
  <c r="AK248" i="77" s="1"/>
  <c r="BG248" i="77" s="1"/>
  <c r="AM248" i="77"/>
  <c r="AI155" i="77"/>
  <c r="AH155" i="77"/>
  <c r="AG155" i="77"/>
  <c r="AK155" i="77" a="1"/>
  <c r="AK155" i="77" s="1"/>
  <c r="BG155" i="77" s="1"/>
  <c r="BW155" i="77"/>
  <c r="AM155" i="77"/>
  <c r="AX383" i="77"/>
  <c r="BD383" i="77" s="1"/>
  <c r="AQ383" i="77"/>
  <c r="AK171" i="77" a="1"/>
  <c r="AK171" i="77" s="1"/>
  <c r="BG171" i="77" s="1"/>
  <c r="AM171" i="77"/>
  <c r="BW171" i="77"/>
  <c r="AH171" i="77"/>
  <c r="AG171" i="77"/>
  <c r="AI171" i="77"/>
  <c r="AX499" i="77"/>
  <c r="BD499" i="77" s="1"/>
  <c r="AQ499" i="77"/>
  <c r="AQ89" i="77"/>
  <c r="AX89" i="77"/>
  <c r="BD89" i="77" s="1"/>
  <c r="BW379" i="77"/>
  <c r="AG379" i="77"/>
  <c r="AM379" i="77"/>
  <c r="AI379" i="77"/>
  <c r="AH379" i="77"/>
  <c r="AK379" i="77" a="1"/>
  <c r="AK379" i="77" s="1"/>
  <c r="BG379" i="77" s="1"/>
  <c r="AH330" i="77"/>
  <c r="AG330" i="77"/>
  <c r="AM330" i="77"/>
  <c r="AI330" i="77"/>
  <c r="BW330" i="77"/>
  <c r="AK330" i="77" a="1"/>
  <c r="AK330" i="77" s="1"/>
  <c r="BG330" i="77" s="1"/>
  <c r="BW309" i="77"/>
  <c r="AM309" i="77"/>
  <c r="AK309" i="77" a="1"/>
  <c r="AK309" i="77" s="1"/>
  <c r="AI309" i="77"/>
  <c r="AH309" i="77"/>
  <c r="AG309" i="77"/>
  <c r="BW25" i="77"/>
  <c r="AK25" i="77" a="1"/>
  <c r="AK25" i="77" s="1"/>
  <c r="AM25" i="77"/>
  <c r="AH25" i="77"/>
  <c r="AG25" i="77"/>
  <c r="AI25" i="77"/>
  <c r="BW256" i="77"/>
  <c r="AK256" i="77" a="1"/>
  <c r="AK256" i="77" s="1"/>
  <c r="BG256" i="77" s="1"/>
  <c r="AI256" i="77"/>
  <c r="AG256" i="77"/>
  <c r="AH256" i="77"/>
  <c r="AM256" i="77"/>
  <c r="AQ153" i="77"/>
  <c r="AX153" i="77"/>
  <c r="BD153" i="77" s="1"/>
  <c r="AE153" i="77"/>
  <c r="AH314" i="77"/>
  <c r="AG314" i="77"/>
  <c r="BW314" i="77"/>
  <c r="AI314" i="77"/>
  <c r="AM314" i="77"/>
  <c r="AK314" i="77" a="1"/>
  <c r="AK314" i="77" s="1"/>
  <c r="BG314" i="77" s="1"/>
  <c r="AQ272" i="77"/>
  <c r="AX272" i="77"/>
  <c r="BD272" i="77" s="1"/>
  <c r="AI413" i="77"/>
  <c r="AH413" i="77"/>
  <c r="AG413" i="77"/>
  <c r="AM413" i="77"/>
  <c r="BW413" i="77"/>
  <c r="AK413" i="77" a="1"/>
  <c r="AK413" i="77" s="1"/>
  <c r="BG413" i="77" s="1"/>
  <c r="AI29" i="77"/>
  <c r="AH29" i="77"/>
  <c r="AG29" i="77"/>
  <c r="AM29" i="77"/>
  <c r="AK29" i="77" a="1"/>
  <c r="AK29" i="77" s="1"/>
  <c r="BW29" i="77"/>
  <c r="BW497" i="77"/>
  <c r="AH497" i="77"/>
  <c r="AG497" i="77"/>
  <c r="AM497" i="77"/>
  <c r="AK497" i="77" a="1"/>
  <c r="AK497" i="77" s="1"/>
  <c r="BG497" i="77" s="1"/>
  <c r="AI497" i="77"/>
  <c r="AX115" i="77"/>
  <c r="BD115" i="77" s="1"/>
  <c r="AQ115" i="77"/>
  <c r="AE115" i="77"/>
  <c r="AK35" i="77" a="1"/>
  <c r="AK35" i="77" s="1"/>
  <c r="AM35" i="77"/>
  <c r="AH35" i="77"/>
  <c r="AI35" i="77"/>
  <c r="BW35" i="77"/>
  <c r="AG35" i="77"/>
  <c r="AQ325" i="77"/>
  <c r="AX325" i="77"/>
  <c r="BD325" i="77" s="1"/>
  <c r="AX462" i="77"/>
  <c r="BD462" i="77" s="1"/>
  <c r="AQ462" i="77"/>
  <c r="BW142" i="77"/>
  <c r="AM142" i="77"/>
  <c r="AI142" i="77"/>
  <c r="AH142" i="77"/>
  <c r="AG142" i="77"/>
  <c r="AK142" i="77" a="1"/>
  <c r="AK142" i="77" s="1"/>
  <c r="AG58" i="77"/>
  <c r="AM58" i="77"/>
  <c r="AK58" i="77" a="1"/>
  <c r="AK58" i="77" s="1"/>
  <c r="BG58" i="77" s="1"/>
  <c r="BW58" i="77"/>
  <c r="AH58" i="77"/>
  <c r="AI58" i="77"/>
  <c r="AQ120" i="77"/>
  <c r="AX120" i="77"/>
  <c r="BD120" i="77" s="1"/>
  <c r="AE120" i="77"/>
  <c r="AQ406" i="77"/>
  <c r="AX406" i="77"/>
  <c r="BD406" i="77" s="1"/>
  <c r="AQ142" i="77"/>
  <c r="AX327" i="77"/>
  <c r="BD327" i="77" s="1"/>
  <c r="AQ327" i="77"/>
  <c r="AM472" i="77"/>
  <c r="AK472" i="77" a="1"/>
  <c r="AK472" i="77" s="1"/>
  <c r="BG472" i="77" s="1"/>
  <c r="AI472" i="77"/>
  <c r="AH472" i="77"/>
  <c r="AG472" i="77"/>
  <c r="BW472" i="77"/>
  <c r="AQ70" i="77"/>
  <c r="AX70" i="77"/>
  <c r="BD70" i="77" s="1"/>
  <c r="BW357" i="77"/>
  <c r="AM357" i="77"/>
  <c r="AG357" i="77"/>
  <c r="AI357" i="77"/>
  <c r="AK357" i="77" a="1"/>
  <c r="AK357" i="77" s="1"/>
  <c r="AH357" i="77"/>
  <c r="AQ219" i="77"/>
  <c r="AX317" i="77"/>
  <c r="BD317" i="77" s="1"/>
  <c r="AQ317" i="77"/>
  <c r="AE317" i="77"/>
  <c r="AQ357" i="77"/>
  <c r="AE467" i="77"/>
  <c r="AH185" i="77"/>
  <c r="AG185" i="77"/>
  <c r="AK185" i="77" a="1"/>
  <c r="AK185" i="77" s="1"/>
  <c r="BG185" i="77" s="1"/>
  <c r="AI185" i="77"/>
  <c r="AM185" i="77"/>
  <c r="BW185" i="77"/>
  <c r="AQ129" i="77"/>
  <c r="BW241" i="77"/>
  <c r="AM241" i="77"/>
  <c r="AI241" i="77"/>
  <c r="AH241" i="77"/>
  <c r="AG241" i="77"/>
  <c r="AH480" i="77"/>
  <c r="AG480" i="77"/>
  <c r="AM480" i="77"/>
  <c r="AI480" i="77"/>
  <c r="BW480" i="77"/>
  <c r="AK480" i="77" a="1"/>
  <c r="AK480" i="77" s="1"/>
  <c r="BG480" i="77" s="1"/>
  <c r="AM345" i="77"/>
  <c r="AI345" i="77"/>
  <c r="AK345" i="77" a="1"/>
  <c r="AK345" i="77" s="1"/>
  <c r="BG345" i="77" s="1"/>
  <c r="AH345" i="77"/>
  <c r="AG345" i="77"/>
  <c r="BW345" i="77"/>
  <c r="AQ488" i="77"/>
  <c r="AX488" i="77"/>
  <c r="BD488" i="77" s="1"/>
  <c r="AX55" i="77"/>
  <c r="BD55" i="77" s="1"/>
  <c r="AQ55" i="77"/>
  <c r="AK265" i="77" a="1"/>
  <c r="AK265" i="77" s="1"/>
  <c r="BG265" i="77" s="1"/>
  <c r="AI265" i="77"/>
  <c r="AG265" i="77"/>
  <c r="AH265" i="77"/>
  <c r="BW265" i="77"/>
  <c r="AM265" i="77"/>
  <c r="AX91" i="77"/>
  <c r="BD91" i="77" s="1"/>
  <c r="AQ91" i="77"/>
  <c r="AQ402" i="77"/>
  <c r="AX402" i="77"/>
  <c r="BD402" i="77" s="1"/>
  <c r="AQ137" i="77"/>
  <c r="AM382" i="77"/>
  <c r="AH382" i="77"/>
  <c r="AG382" i="77"/>
  <c r="AI382" i="77"/>
  <c r="AK382" i="77" a="1"/>
  <c r="AK382" i="77" s="1"/>
  <c r="BG382" i="77" s="1"/>
  <c r="BW382" i="77"/>
  <c r="BW395" i="77"/>
  <c r="AM395" i="77"/>
  <c r="AG395" i="77"/>
  <c r="AK395" i="77" a="1"/>
  <c r="AK395" i="77" s="1"/>
  <c r="BG395" i="77" s="1"/>
  <c r="AI395" i="77"/>
  <c r="AH395" i="77"/>
  <c r="AM111" i="77"/>
  <c r="BW111" i="77"/>
  <c r="AI111" i="77"/>
  <c r="AK111" i="77" a="1"/>
  <c r="AK111" i="77" s="1"/>
  <c r="BG111" i="77" s="1"/>
  <c r="AH111" i="77"/>
  <c r="AG111" i="77"/>
  <c r="AQ348" i="77"/>
  <c r="BW288" i="77"/>
  <c r="AM288" i="77"/>
  <c r="AG288" i="77"/>
  <c r="AK288" i="77" a="1"/>
  <c r="AK288" i="77" s="1"/>
  <c r="BG288" i="77" s="1"/>
  <c r="AI288" i="77"/>
  <c r="AH288" i="77"/>
  <c r="AX288" i="77"/>
  <c r="BD288" i="77" s="1"/>
  <c r="AQ288" i="77"/>
  <c r="BW150" i="77"/>
  <c r="AM150" i="77"/>
  <c r="AI150" i="77"/>
  <c r="AG150" i="77"/>
  <c r="AK150" i="77" a="1"/>
  <c r="AK150" i="77" s="1"/>
  <c r="BG150" i="77" s="1"/>
  <c r="AH150" i="77"/>
  <c r="AQ73" i="77"/>
  <c r="AX73" i="77"/>
  <c r="BD73" i="77" s="1"/>
  <c r="AQ121" i="77"/>
  <c r="AX121" i="77"/>
  <c r="BD121" i="77" s="1"/>
  <c r="AX453" i="77"/>
  <c r="BD453" i="77" s="1"/>
  <c r="AQ453" i="77"/>
  <c r="AQ482" i="77"/>
  <c r="AX482" i="77"/>
  <c r="BD482" i="77" s="1"/>
  <c r="AQ514" i="77"/>
  <c r="AX514" i="77"/>
  <c r="BD514" i="77" s="1"/>
  <c r="AM249" i="77"/>
  <c r="AH249" i="77"/>
  <c r="AG249" i="77"/>
  <c r="BW249" i="77"/>
  <c r="AI249" i="77"/>
  <c r="AK249" i="77" a="1"/>
  <c r="AK249" i="77" s="1"/>
  <c r="BG249" i="77" s="1"/>
  <c r="AQ476" i="77"/>
  <c r="AX476" i="77"/>
  <c r="BD476" i="77" s="1"/>
  <c r="AM328" i="77"/>
  <c r="BW328" i="77"/>
  <c r="AI328" i="77"/>
  <c r="AH328" i="77"/>
  <c r="AG328" i="77"/>
  <c r="AK328" i="77" a="1"/>
  <c r="AK328" i="77" s="1"/>
  <c r="BG328" i="77" s="1"/>
  <c r="AQ134" i="77"/>
  <c r="AX134" i="77"/>
  <c r="BD134" i="77" s="1"/>
  <c r="AE134" i="77"/>
  <c r="AI213" i="77"/>
  <c r="AH213" i="77"/>
  <c r="AG213" i="77"/>
  <c r="AM213" i="77"/>
  <c r="BW213" i="77"/>
  <c r="AK213" i="77" a="1"/>
  <c r="AK213" i="77" s="1"/>
  <c r="AM344" i="77"/>
  <c r="AG344" i="77"/>
  <c r="AK344" i="77" a="1"/>
  <c r="AK344" i="77" s="1"/>
  <c r="BG344" i="77" s="1"/>
  <c r="AH344" i="77"/>
  <c r="AI344" i="77"/>
  <c r="BW344" i="77"/>
  <c r="AQ136" i="77"/>
  <c r="AX421" i="77"/>
  <c r="BD421" i="77" s="1"/>
  <c r="AQ421" i="77"/>
  <c r="AQ49" i="77"/>
  <c r="AX49" i="77"/>
  <c r="BD49" i="77" s="1"/>
  <c r="AQ226" i="77"/>
  <c r="AX226" i="77"/>
  <c r="BD226" i="77" s="1"/>
  <c r="AE226" i="77"/>
  <c r="AE91" i="77"/>
  <c r="AQ319" i="77"/>
  <c r="AX319" i="77"/>
  <c r="BD319" i="77" s="1"/>
  <c r="AE499" i="77"/>
  <c r="AQ539" i="77"/>
  <c r="AX539" i="77"/>
  <c r="BD539" i="77" s="1"/>
  <c r="AE539" i="77"/>
  <c r="AX67" i="77"/>
  <c r="BD67" i="77" s="1"/>
  <c r="AQ67" i="77"/>
  <c r="AE416" i="77"/>
  <c r="AE264" i="77"/>
  <c r="AQ22" i="77"/>
  <c r="AX22" i="77"/>
  <c r="BD22" i="77" s="1"/>
  <c r="AM438" i="77"/>
  <c r="BW438" i="77"/>
  <c r="AH438" i="77"/>
  <c r="AG438" i="77"/>
  <c r="AK438" i="77" a="1"/>
  <c r="AK438" i="77" s="1"/>
  <c r="BG438" i="77" s="1"/>
  <c r="AI438" i="77"/>
  <c r="AH245" i="77"/>
  <c r="AG245" i="77"/>
  <c r="AM245" i="77"/>
  <c r="AK245" i="77" a="1"/>
  <c r="AK245" i="77" s="1"/>
  <c r="BG245" i="77" s="1"/>
  <c r="AI245" i="77"/>
  <c r="BW245" i="77"/>
  <c r="AG212" i="77"/>
  <c r="AM212" i="77"/>
  <c r="BW212" i="77"/>
  <c r="AK212" i="77" a="1"/>
  <c r="AK212" i="77" s="1"/>
  <c r="AH212" i="77"/>
  <c r="AI212" i="77"/>
  <c r="AQ369" i="77"/>
  <c r="AX369" i="77"/>
  <c r="BD369" i="77" s="1"/>
  <c r="AX51" i="77"/>
  <c r="BD51" i="77" s="1"/>
  <c r="AQ51" i="77"/>
  <c r="AE51" i="77"/>
  <c r="BW409" i="77"/>
  <c r="AK409" i="77" a="1"/>
  <c r="AK409" i="77" s="1"/>
  <c r="BG409" i="77" s="1"/>
  <c r="AH409" i="77"/>
  <c r="AG409" i="77"/>
  <c r="AM409" i="77"/>
  <c r="AI409" i="77"/>
  <c r="AI343" i="77"/>
  <c r="AH343" i="77"/>
  <c r="AG343" i="77"/>
  <c r="AM343" i="77"/>
  <c r="AK343" i="77" a="1"/>
  <c r="AK343" i="77" s="1"/>
  <c r="BG343" i="77" s="1"/>
  <c r="BW343" i="77"/>
  <c r="AE247" i="77"/>
  <c r="BW424" i="77"/>
  <c r="AM424" i="77"/>
  <c r="AI424" i="77"/>
  <c r="AH424" i="77"/>
  <c r="AG424" i="77"/>
  <c r="AK424" i="77" a="1"/>
  <c r="AK424" i="77" s="1"/>
  <c r="BG424" i="77" s="1"/>
  <c r="AQ315" i="77"/>
  <c r="AX315" i="77"/>
  <c r="BD315" i="77" s="1"/>
  <c r="AG389" i="77"/>
  <c r="AK389" i="77" a="1"/>
  <c r="AK389" i="77" s="1"/>
  <c r="BG389" i="77" s="1"/>
  <c r="BW389" i="77"/>
  <c r="AH389" i="77"/>
  <c r="AI389" i="77"/>
  <c r="AM389" i="77"/>
  <c r="AQ454" i="77"/>
  <c r="AX454" i="77"/>
  <c r="BD454" i="77" s="1"/>
  <c r="AE454" i="77"/>
  <c r="AX291" i="77"/>
  <c r="BD291" i="77" s="1"/>
  <c r="AQ291" i="77"/>
  <c r="AE291" i="77"/>
  <c r="AG47" i="77"/>
  <c r="AM47" i="77"/>
  <c r="AK47" i="77" a="1"/>
  <c r="AK47" i="77" s="1"/>
  <c r="BG47" i="77" s="1"/>
  <c r="AH47" i="77"/>
  <c r="AI47" i="77"/>
  <c r="BW47" i="77"/>
  <c r="AH448" i="77"/>
  <c r="AK448" i="77" a="1"/>
  <c r="AK448" i="77" s="1"/>
  <c r="BG448" i="77" s="1"/>
  <c r="AI448" i="77"/>
  <c r="AG448" i="77"/>
  <c r="AM448" i="77"/>
  <c r="BW448" i="77"/>
  <c r="AG114" i="77"/>
  <c r="AI114" i="77"/>
  <c r="AK114" i="77" a="1"/>
  <c r="AK114" i="77" s="1"/>
  <c r="BG114" i="77" s="1"/>
  <c r="AH114" i="77"/>
  <c r="AM114" i="77"/>
  <c r="BW114" i="77"/>
  <c r="AG154" i="77"/>
  <c r="AI154" i="77"/>
  <c r="AH154" i="77"/>
  <c r="BW154" i="77"/>
  <c r="AK154" i="77" a="1"/>
  <c r="AK154" i="77" s="1"/>
  <c r="BG154" i="77" s="1"/>
  <c r="AM154" i="77"/>
  <c r="AX389" i="77"/>
  <c r="BD389" i="77" s="1"/>
  <c r="AQ389" i="77"/>
  <c r="BW165" i="77"/>
  <c r="AM165" i="77"/>
  <c r="AK165" i="77" a="1"/>
  <c r="AK165" i="77" s="1"/>
  <c r="BG165" i="77" s="1"/>
  <c r="AH165" i="77"/>
  <c r="AG165" i="77"/>
  <c r="AI165" i="77"/>
  <c r="AE431" i="77"/>
  <c r="AM129" i="77"/>
  <c r="AH129" i="77"/>
  <c r="AG129" i="77"/>
  <c r="BW129" i="77"/>
  <c r="AK129" i="77" a="1"/>
  <c r="AK129" i="77" s="1"/>
  <c r="AI129" i="77"/>
  <c r="AM257" i="77"/>
  <c r="BW257" i="77"/>
  <c r="AI257" i="77"/>
  <c r="AH257" i="77"/>
  <c r="AG257" i="77"/>
  <c r="AK257" i="77" a="1"/>
  <c r="AK257" i="77" s="1"/>
  <c r="BG257" i="77" s="1"/>
  <c r="AX47" i="77"/>
  <c r="BD47" i="77" s="1"/>
  <c r="AQ47" i="77"/>
  <c r="AX437" i="77"/>
  <c r="BD437" i="77" s="1"/>
  <c r="AQ437" i="77"/>
  <c r="AM112" i="77"/>
  <c r="AK112" i="77" a="1"/>
  <c r="AK112" i="77" s="1"/>
  <c r="BG112" i="77" s="1"/>
  <c r="AI112" i="77"/>
  <c r="BW112" i="77"/>
  <c r="AH112" i="77"/>
  <c r="AG112" i="77"/>
  <c r="AH27" i="77"/>
  <c r="AK27" i="77" a="1"/>
  <c r="AK27" i="77" s="1"/>
  <c r="AI27" i="77"/>
  <c r="BW27" i="77"/>
  <c r="AM27" i="77"/>
  <c r="AG27" i="77"/>
  <c r="AX400" i="77"/>
  <c r="BD400" i="77" s="1"/>
  <c r="AQ400" i="77"/>
  <c r="AM348" i="77"/>
  <c r="BW348" i="77"/>
  <c r="AI348" i="77"/>
  <c r="AH348" i="77"/>
  <c r="AG348" i="77"/>
  <c r="AK348" i="77" a="1"/>
  <c r="AK348" i="77" s="1"/>
  <c r="AQ104" i="77"/>
  <c r="AX104" i="77"/>
  <c r="BD104" i="77" s="1"/>
  <c r="AE104" i="77"/>
  <c r="AQ440" i="77"/>
  <c r="AX440" i="77"/>
  <c r="BD440" i="77" s="1"/>
  <c r="AE440" i="77"/>
  <c r="AM450" i="77"/>
  <c r="AK450" i="77" a="1"/>
  <c r="AK450" i="77" s="1"/>
  <c r="BG450" i="77" s="1"/>
  <c r="AI450" i="77"/>
  <c r="AG450" i="77"/>
  <c r="AH450" i="77"/>
  <c r="BW450" i="77"/>
  <c r="AM358" i="77"/>
  <c r="BW358" i="77"/>
  <c r="AK358" i="77" a="1"/>
  <c r="AK358" i="77" s="1"/>
  <c r="AH358" i="77"/>
  <c r="AG358" i="77"/>
  <c r="AI358" i="77"/>
  <c r="AX225" i="77"/>
  <c r="BD225" i="77" s="1"/>
  <c r="AQ225" i="77"/>
  <c r="AI170" i="77"/>
  <c r="AH170" i="77"/>
  <c r="AG170" i="77"/>
  <c r="AK170" i="77" a="1"/>
  <c r="AK170" i="77" s="1"/>
  <c r="BG170" i="77" s="1"/>
  <c r="AM170" i="77"/>
  <c r="BW170" i="77"/>
  <c r="AQ210" i="77"/>
  <c r="AM135" i="77"/>
  <c r="BW135" i="77"/>
  <c r="AH135" i="77"/>
  <c r="AG135" i="77"/>
  <c r="AI135" i="77"/>
  <c r="AK135" i="77" a="1"/>
  <c r="AK135" i="77" s="1"/>
  <c r="BG135" i="77" s="1"/>
  <c r="AE383" i="77"/>
  <c r="AE210" i="77"/>
  <c r="AQ60" i="77"/>
  <c r="AX60" i="77"/>
  <c r="BD60" i="77" s="1"/>
  <c r="AE60" i="77"/>
  <c r="AG138" i="77"/>
  <c r="AM138" i="77"/>
  <c r="AH138" i="77"/>
  <c r="BW138" i="77"/>
  <c r="AI138" i="77"/>
  <c r="AK138" i="77" a="1"/>
  <c r="AK138" i="77" s="1"/>
  <c r="AX517" i="77"/>
  <c r="BD517" i="77" s="1"/>
  <c r="AQ517" i="77"/>
  <c r="AE517" i="77"/>
  <c r="BW501" i="77"/>
  <c r="AM501" i="77"/>
  <c r="AK501" i="77" a="1"/>
  <c r="AK501" i="77" s="1"/>
  <c r="BG501" i="77" s="1"/>
  <c r="AI501" i="77"/>
  <c r="AH501" i="77"/>
  <c r="AG501" i="77"/>
  <c r="AE121" i="77"/>
  <c r="AM136" i="77"/>
  <c r="AG136" i="77"/>
  <c r="BW136" i="77"/>
  <c r="AI136" i="77"/>
  <c r="AH136" i="77"/>
  <c r="AK136" i="77" a="1"/>
  <c r="AK136" i="77" s="1"/>
  <c r="AQ310" i="77"/>
  <c r="AX310" i="77"/>
  <c r="BD310" i="77" s="1"/>
  <c r="AM406" i="77"/>
  <c r="AI406" i="77"/>
  <c r="AH406" i="77"/>
  <c r="BW406" i="77"/>
  <c r="AK406" i="77" a="1"/>
  <c r="AK406" i="77" s="1"/>
  <c r="BG406" i="77" s="1"/>
  <c r="AG406" i="77"/>
  <c r="AQ388" i="77"/>
  <c r="AX388" i="77"/>
  <c r="BD388" i="77" s="1"/>
  <c r="AQ266" i="77"/>
  <c r="AX266" i="77"/>
  <c r="BD266" i="77" s="1"/>
  <c r="BW49" i="77"/>
  <c r="AG49" i="77"/>
  <c r="AM49" i="77"/>
  <c r="AI49" i="77"/>
  <c r="AK49" i="77" a="1"/>
  <c r="AK49" i="77" s="1"/>
  <c r="BG49" i="77" s="1"/>
  <c r="AH49" i="77"/>
  <c r="AM255" i="77"/>
  <c r="AG255" i="77"/>
  <c r="BW255" i="77"/>
  <c r="AK255" i="77" a="1"/>
  <c r="AK255" i="77" s="1"/>
  <c r="BG255" i="77" s="1"/>
  <c r="AI255" i="77"/>
  <c r="AH255" i="77"/>
  <c r="AQ390" i="77"/>
  <c r="AX390" i="77"/>
  <c r="BD390" i="77" s="1"/>
  <c r="AE390" i="77"/>
  <c r="AQ533" i="77"/>
  <c r="AX533" i="77"/>
  <c r="BD533" i="77" s="1"/>
  <c r="AE511" i="77"/>
  <c r="BW67" i="77"/>
  <c r="AM67" i="77"/>
  <c r="AK67" i="77" a="1"/>
  <c r="AK67" i="77" s="1"/>
  <c r="BG67" i="77" s="1"/>
  <c r="AG67" i="77"/>
  <c r="AI67" i="77"/>
  <c r="AH67" i="77"/>
  <c r="AH544" i="77"/>
  <c r="AG544" i="77"/>
  <c r="BW544" i="77"/>
  <c r="AK544" i="77" a="1"/>
  <c r="AK544" i="77" s="1"/>
  <c r="BG544" i="77" s="1"/>
  <c r="AM544" i="77"/>
  <c r="AI544" i="77"/>
  <c r="AX504" i="77"/>
  <c r="BD504" i="77" s="1"/>
  <c r="AQ504" i="77"/>
  <c r="AE376" i="77"/>
  <c r="AE402" i="77"/>
  <c r="BW78" i="77"/>
  <c r="AM78" i="77"/>
  <c r="AK78" i="77" a="1"/>
  <c r="AK78" i="77" s="1"/>
  <c r="AG78" i="77"/>
  <c r="AI78" i="77"/>
  <c r="AH78" i="77"/>
  <c r="AX354" i="77"/>
  <c r="BD354" i="77" s="1"/>
  <c r="AQ354" i="77"/>
  <c r="AE354" i="77"/>
  <c r="AE174" i="77"/>
  <c r="AI429" i="77"/>
  <c r="AG429" i="77"/>
  <c r="AH429" i="77"/>
  <c r="BW429" i="77"/>
  <c r="AM429" i="77"/>
  <c r="AK429" i="77" a="1"/>
  <c r="AK429" i="77" s="1"/>
  <c r="BG429" i="77" s="1"/>
  <c r="AH229" i="77"/>
  <c r="AG229" i="77"/>
  <c r="AM229" i="77"/>
  <c r="AK229" i="77" a="1"/>
  <c r="AK229" i="77" s="1"/>
  <c r="BG229" i="77" s="1"/>
  <c r="BW229" i="77"/>
  <c r="AI229" i="77"/>
  <c r="AQ408" i="77"/>
  <c r="AX408" i="77"/>
  <c r="BD408" i="77" s="1"/>
  <c r="AE463" i="77"/>
  <c r="AE377" i="77"/>
  <c r="AK315" i="77" a="1"/>
  <c r="AK315" i="77" s="1"/>
  <c r="BG315" i="77" s="1"/>
  <c r="BW315" i="77"/>
  <c r="AI315" i="77"/>
  <c r="AH315" i="77"/>
  <c r="AG315" i="77"/>
  <c r="AM315" i="77"/>
  <c r="BW208" i="77"/>
  <c r="AI208" i="77"/>
  <c r="AH208" i="77"/>
  <c r="AK208" i="77" a="1"/>
  <c r="AK208" i="77" s="1"/>
  <c r="BG208" i="77" s="1"/>
  <c r="AM208" i="77"/>
  <c r="AG208" i="77"/>
  <c r="AI99" i="77"/>
  <c r="AH99" i="77"/>
  <c r="AG99" i="77"/>
  <c r="AK99" i="77" a="1"/>
  <c r="AK99" i="77" s="1"/>
  <c r="BG99" i="77" s="1"/>
  <c r="BW99" i="77"/>
  <c r="AM99" i="77"/>
  <c r="AQ290" i="77"/>
  <c r="AX290" i="77"/>
  <c r="BD290" i="77" s="1"/>
  <c r="AX64" i="77"/>
  <c r="BD64" i="77" s="1"/>
  <c r="AQ64" i="77"/>
  <c r="AQ23" i="77"/>
  <c r="AQ235" i="77"/>
  <c r="AX235" i="77"/>
  <c r="BD235" i="77" s="1"/>
  <c r="AQ94" i="77"/>
  <c r="AX94" i="77"/>
  <c r="BD94" i="77" s="1"/>
  <c r="AM478" i="77"/>
  <c r="AK478" i="77" a="1"/>
  <c r="AK478" i="77" s="1"/>
  <c r="BG478" i="77" s="1"/>
  <c r="BW478" i="77"/>
  <c r="AI478" i="77"/>
  <c r="AH478" i="77"/>
  <c r="AG478" i="77"/>
  <c r="AQ335" i="77"/>
  <c r="AX335" i="77"/>
  <c r="BD335" i="77" s="1"/>
  <c r="AX438" i="77"/>
  <c r="BD438" i="77" s="1"/>
  <c r="AQ438" i="77"/>
  <c r="AQ303" i="77"/>
  <c r="AX384" i="77"/>
  <c r="BD384" i="77" s="1"/>
  <c r="AQ384" i="77"/>
  <c r="AQ397" i="77"/>
  <c r="AX397" i="77"/>
  <c r="BD397" i="77" s="1"/>
  <c r="AG355" i="77"/>
  <c r="AK355" i="77" a="1"/>
  <c r="AK355" i="77" s="1"/>
  <c r="BG355" i="77" s="1"/>
  <c r="AI355" i="77"/>
  <c r="AH355" i="77"/>
  <c r="AM355" i="77"/>
  <c r="BW355" i="77"/>
  <c r="AQ218" i="77"/>
  <c r="BW491" i="77"/>
  <c r="AK491" i="77" a="1"/>
  <c r="AK491" i="77" s="1"/>
  <c r="BG491" i="77" s="1"/>
  <c r="AM491" i="77"/>
  <c r="AI491" i="77"/>
  <c r="AH491" i="77"/>
  <c r="AG491" i="77"/>
  <c r="AX439" i="77"/>
  <c r="BD439" i="77" s="1"/>
  <c r="AQ439" i="77"/>
  <c r="AQ351" i="77"/>
  <c r="AX536" i="77"/>
  <c r="BD536" i="77" s="1"/>
  <c r="AQ536" i="77"/>
  <c r="AX155" i="77"/>
  <c r="BD155" i="77" s="1"/>
  <c r="AQ155" i="77"/>
  <c r="AQ415" i="77"/>
  <c r="AX415" i="77"/>
  <c r="BD415" i="77" s="1"/>
  <c r="BW422" i="77"/>
  <c r="AK422" i="77" a="1"/>
  <c r="AK422" i="77" s="1"/>
  <c r="BG422" i="77" s="1"/>
  <c r="AM422" i="77"/>
  <c r="AH422" i="77"/>
  <c r="AG422" i="77"/>
  <c r="AI422" i="77"/>
  <c r="AQ102" i="77"/>
  <c r="AX102" i="77"/>
  <c r="BD102" i="77" s="1"/>
  <c r="BW459" i="77"/>
  <c r="AI459" i="77"/>
  <c r="AH459" i="77"/>
  <c r="AG459" i="77"/>
  <c r="AK459" i="77" a="1"/>
  <c r="AK459" i="77" s="1"/>
  <c r="BG459" i="77" s="1"/>
  <c r="AM459" i="77"/>
  <c r="AH177" i="77"/>
  <c r="AG177" i="77"/>
  <c r="AM177" i="77"/>
  <c r="BW177" i="77"/>
  <c r="AK177" i="77" a="1"/>
  <c r="AK177" i="77" s="1"/>
  <c r="BG177" i="77" s="1"/>
  <c r="AI177" i="77"/>
  <c r="AQ399" i="77"/>
  <c r="AX399" i="77"/>
  <c r="BD399" i="77" s="1"/>
  <c r="AQ530" i="77"/>
  <c r="AX530" i="77"/>
  <c r="BD530" i="77" s="1"/>
  <c r="AG403" i="77"/>
  <c r="AM403" i="77"/>
  <c r="AI403" i="77"/>
  <c r="AH403" i="77"/>
  <c r="AK403" i="77" a="1"/>
  <c r="AK403" i="77" s="1"/>
  <c r="BG403" i="77" s="1"/>
  <c r="BW403" i="77"/>
  <c r="AM28" i="77"/>
  <c r="BW28" i="77"/>
  <c r="AI28" i="77"/>
  <c r="AK28" i="77" a="1"/>
  <c r="AK28" i="77" s="1"/>
  <c r="AH28" i="77"/>
  <c r="AG28" i="77"/>
  <c r="AM183" i="77"/>
  <c r="BW183" i="77"/>
  <c r="AK183" i="77" a="1"/>
  <c r="AK183" i="77" s="1"/>
  <c r="BG183" i="77" s="1"/>
  <c r="AH183" i="77"/>
  <c r="AG183" i="77"/>
  <c r="AI183" i="77"/>
  <c r="AM290" i="77"/>
  <c r="AI290" i="77"/>
  <c r="AH290" i="77"/>
  <c r="AG290" i="77"/>
  <c r="BW290" i="77"/>
  <c r="AK290" i="77" a="1"/>
  <c r="AK290" i="77" s="1"/>
  <c r="BG290" i="77" s="1"/>
  <c r="AX160" i="77"/>
  <c r="BD160" i="77" s="1"/>
  <c r="AQ160" i="77"/>
  <c r="AX323" i="77"/>
  <c r="BD323" i="77" s="1"/>
  <c r="AQ323" i="77"/>
  <c r="AQ54" i="77"/>
  <c r="AX54" i="77"/>
  <c r="BD54" i="77" s="1"/>
  <c r="AQ352" i="77"/>
  <c r="AQ87" i="77"/>
  <c r="AX87" i="77"/>
  <c r="BD87" i="77" s="1"/>
  <c r="AK331" i="77" a="1"/>
  <c r="AK331" i="77" s="1"/>
  <c r="BG331" i="77" s="1"/>
  <c r="AG331" i="77"/>
  <c r="AI331" i="77"/>
  <c r="AH331" i="77"/>
  <c r="BW331" i="77"/>
  <c r="AM331" i="77"/>
  <c r="AQ427" i="77"/>
  <c r="AX427" i="77"/>
  <c r="BD427" i="77" s="1"/>
  <c r="AE23" i="77"/>
  <c r="AE235" i="77"/>
  <c r="AX435" i="77"/>
  <c r="BD435" i="77" s="1"/>
  <c r="AQ435" i="77"/>
  <c r="AX544" i="77"/>
  <c r="BD544" i="77" s="1"/>
  <c r="AQ544" i="77"/>
  <c r="AX478" i="77"/>
  <c r="BD478" i="77" s="1"/>
  <c r="AQ478" i="77"/>
  <c r="AX284" i="77"/>
  <c r="BD284" i="77" s="1"/>
  <c r="AQ284" i="77"/>
  <c r="AX199" i="77"/>
  <c r="BD199" i="77" s="1"/>
  <c r="AQ199" i="77"/>
  <c r="AE384" i="77"/>
  <c r="AE397" i="77"/>
  <c r="AQ491" i="77"/>
  <c r="AX491" i="77"/>
  <c r="BD491" i="77" s="1"/>
  <c r="AE439" i="77"/>
  <c r="BW145" i="77"/>
  <c r="AK145" i="77" a="1"/>
  <c r="AK145" i="77" s="1"/>
  <c r="BG145" i="77" s="1"/>
  <c r="AG145" i="77"/>
  <c r="AI145" i="77"/>
  <c r="AH145" i="77"/>
  <c r="AM145" i="77"/>
  <c r="AQ422" i="77"/>
  <c r="AX422" i="77"/>
  <c r="BD422" i="77" s="1"/>
  <c r="AX459" i="77"/>
  <c r="BD459" i="77" s="1"/>
  <c r="AQ459" i="77"/>
  <c r="AX229" i="77"/>
  <c r="BD229" i="77" s="1"/>
  <c r="AQ229" i="77"/>
  <c r="AX233" i="77"/>
  <c r="BD233" i="77" s="1"/>
  <c r="AQ233" i="77"/>
  <c r="AX177" i="77"/>
  <c r="BD177" i="77" s="1"/>
  <c r="AQ177" i="77"/>
  <c r="AK179" i="77" a="1"/>
  <c r="AK179" i="77" s="1"/>
  <c r="BG179" i="77" s="1"/>
  <c r="AI179" i="77"/>
  <c r="AH179" i="77"/>
  <c r="AG179" i="77"/>
  <c r="AM179" i="77"/>
  <c r="BW179" i="77"/>
  <c r="AE399" i="77"/>
  <c r="AX403" i="77"/>
  <c r="BD403" i="77" s="1"/>
  <c r="AQ403" i="77"/>
  <c r="AQ28" i="77"/>
  <c r="AQ189" i="77"/>
  <c r="AX189" i="77"/>
  <c r="BD189" i="77" s="1"/>
  <c r="BW427" i="77"/>
  <c r="AM427" i="77"/>
  <c r="AI427" i="77"/>
  <c r="AH427" i="77"/>
  <c r="AG427" i="77"/>
  <c r="AK427" i="77" a="1"/>
  <c r="AK427" i="77" s="1"/>
  <c r="BG427" i="77" s="1"/>
  <c r="AX405" i="77"/>
  <c r="BD405" i="77" s="1"/>
  <c r="AQ405" i="77"/>
  <c r="AH201" i="77"/>
  <c r="AG201" i="77"/>
  <c r="AM201" i="77"/>
  <c r="AK201" i="77" a="1"/>
  <c r="AK201" i="77" s="1"/>
  <c r="BG201" i="77" s="1"/>
  <c r="BW201" i="77"/>
  <c r="AI201" i="77"/>
  <c r="AX58" i="77"/>
  <c r="BD58" i="77" s="1"/>
  <c r="AQ58" i="77"/>
  <c r="AQ79" i="77"/>
  <c r="BW95" i="77"/>
  <c r="AM95" i="77"/>
  <c r="AI95" i="77"/>
  <c r="AH95" i="77"/>
  <c r="AK95" i="77" a="1"/>
  <c r="AK95" i="77" s="1"/>
  <c r="BG95" i="77" s="1"/>
  <c r="AG95" i="77"/>
  <c r="AX471" i="77"/>
  <c r="BD471" i="77" s="1"/>
  <c r="AQ471" i="77"/>
  <c r="AI131" i="77"/>
  <c r="AH131" i="77"/>
  <c r="AG131" i="77"/>
  <c r="AM131" i="77"/>
  <c r="BW131" i="77"/>
  <c r="AK131" i="77" a="1"/>
  <c r="AK131" i="77" s="1"/>
  <c r="AQ147" i="77"/>
  <c r="AX245" i="77"/>
  <c r="BD245" i="77" s="1"/>
  <c r="AQ245" i="77"/>
  <c r="AQ486" i="77"/>
  <c r="AX486" i="77"/>
  <c r="BD486" i="77" s="1"/>
  <c r="AI199" i="77"/>
  <c r="AH199" i="77"/>
  <c r="AM199" i="77"/>
  <c r="AG199" i="77"/>
  <c r="AK199" i="77" a="1"/>
  <c r="AK199" i="77" s="1"/>
  <c r="BG199" i="77" s="1"/>
  <c r="BW199" i="77"/>
  <c r="AG82" i="77"/>
  <c r="BW82" i="77"/>
  <c r="AK82" i="77" a="1"/>
  <c r="AK82" i="77" s="1"/>
  <c r="AI82" i="77"/>
  <c r="AM82" i="77"/>
  <c r="AH82" i="77"/>
  <c r="AQ543" i="77"/>
  <c r="AX543" i="77"/>
  <c r="BD543" i="77" s="1"/>
  <c r="AM39" i="77"/>
  <c r="BW39" i="77"/>
  <c r="AK39" i="77" a="1"/>
  <c r="AK39" i="77" s="1"/>
  <c r="BG39" i="77" s="1"/>
  <c r="AG39" i="77"/>
  <c r="AI39" i="77"/>
  <c r="AH39" i="77"/>
  <c r="AX395" i="77"/>
  <c r="BD395" i="77" s="1"/>
  <c r="AQ395" i="77"/>
  <c r="AI445" i="77"/>
  <c r="AG445" i="77"/>
  <c r="AM445" i="77"/>
  <c r="BW445" i="77"/>
  <c r="AK445" i="77" a="1"/>
  <c r="AK445" i="77" s="1"/>
  <c r="BG445" i="77" s="1"/>
  <c r="AH445" i="77"/>
  <c r="AG122" i="77"/>
  <c r="AI122" i="77"/>
  <c r="AH122" i="77"/>
  <c r="AM122" i="77"/>
  <c r="AK122" i="77" a="1"/>
  <c r="AK122" i="77" s="1"/>
  <c r="BG122" i="77" s="1"/>
  <c r="BW122" i="77"/>
  <c r="AI123" i="77"/>
  <c r="AH123" i="77"/>
  <c r="AG123" i="77"/>
  <c r="AM123" i="77"/>
  <c r="AK123" i="77" a="1"/>
  <c r="AK123" i="77" s="1"/>
  <c r="BG123" i="77" s="1"/>
  <c r="BW123" i="77"/>
  <c r="BW30" i="77"/>
  <c r="AM30" i="77"/>
  <c r="AH30" i="77"/>
  <c r="AI30" i="77"/>
  <c r="AG30" i="77"/>
  <c r="AK30" i="77" a="1"/>
  <c r="AK30" i="77" s="1"/>
  <c r="AX173" i="77"/>
  <c r="BD173" i="77" s="1"/>
  <c r="AQ173" i="77"/>
  <c r="AE536" i="77"/>
  <c r="AM414" i="77"/>
  <c r="AK414" i="77" a="1"/>
  <c r="AK414" i="77" s="1"/>
  <c r="BG414" i="77" s="1"/>
  <c r="AI414" i="77"/>
  <c r="AH414" i="77"/>
  <c r="AG414" i="77"/>
  <c r="BW414" i="77"/>
  <c r="AG363" i="77"/>
  <c r="BW363" i="77"/>
  <c r="AM363" i="77"/>
  <c r="AK363" i="77" a="1"/>
  <c r="AK363" i="77" s="1"/>
  <c r="BG363" i="77" s="1"/>
  <c r="AI363" i="77"/>
  <c r="AH363" i="77"/>
  <c r="AQ127" i="77"/>
  <c r="AI525" i="77"/>
  <c r="AH525" i="77"/>
  <c r="AG525" i="77"/>
  <c r="BW525" i="77"/>
  <c r="AM525" i="77"/>
  <c r="AK525" i="77" a="1"/>
  <c r="AK525" i="77" s="1"/>
  <c r="BG525" i="77" s="1"/>
  <c r="AI509" i="77"/>
  <c r="AH509" i="77"/>
  <c r="AG509" i="77"/>
  <c r="AK509" i="77" a="1"/>
  <c r="AK509" i="77" s="1"/>
  <c r="BG509" i="77" s="1"/>
  <c r="BW509" i="77"/>
  <c r="AM509" i="77"/>
  <c r="AX413" i="77"/>
  <c r="BD413" i="77" s="1"/>
  <c r="AQ413" i="77"/>
  <c r="AQ446" i="77"/>
  <c r="AX446" i="77"/>
  <c r="BD446" i="77" s="1"/>
  <c r="AI477" i="77"/>
  <c r="AG477" i="77"/>
  <c r="AM477" i="77"/>
  <c r="AK477" i="77" a="1"/>
  <c r="AK477" i="77" s="1"/>
  <c r="BG477" i="77" s="1"/>
  <c r="AH477" i="77"/>
  <c r="BW477" i="77"/>
  <c r="AQ44" i="77"/>
  <c r="AX44" i="77"/>
  <c r="BD44" i="77" s="1"/>
  <c r="AQ493" i="77"/>
  <c r="AX493" i="77"/>
  <c r="BD493" i="77" s="1"/>
  <c r="AX301" i="77"/>
  <c r="BD301" i="77" s="1"/>
  <c r="AQ301" i="77"/>
  <c r="AM143" i="77"/>
  <c r="BW143" i="77"/>
  <c r="AK143" i="77" a="1"/>
  <c r="AK143" i="77" s="1"/>
  <c r="AH143" i="77"/>
  <c r="AI143" i="77"/>
  <c r="AG143" i="77"/>
  <c r="AI147" i="77"/>
  <c r="AH147" i="77"/>
  <c r="AG147" i="77"/>
  <c r="BW147" i="77"/>
  <c r="AM147" i="77"/>
  <c r="AK147" i="77" a="1"/>
  <c r="AK147" i="77" s="1"/>
  <c r="AG284" i="77"/>
  <c r="AM284" i="77"/>
  <c r="AI284" i="77"/>
  <c r="AH284" i="77"/>
  <c r="BW284" i="77"/>
  <c r="AK284" i="77" a="1"/>
  <c r="AK284" i="77" s="1"/>
  <c r="BG284" i="77" s="1"/>
  <c r="AG303" i="77"/>
  <c r="AM303" i="77"/>
  <c r="AK303" i="77" a="1"/>
  <c r="AK303" i="77" s="1"/>
  <c r="BW303" i="77"/>
  <c r="AI303" i="77"/>
  <c r="AH303" i="77"/>
  <c r="AQ501" i="77"/>
  <c r="AX501" i="77"/>
  <c r="BD501" i="77" s="1"/>
  <c r="BW102" i="77"/>
  <c r="AM102" i="77"/>
  <c r="AK102" i="77" a="1"/>
  <c r="AK102" i="77" s="1"/>
  <c r="BG102" i="77" s="1"/>
  <c r="AH102" i="77"/>
  <c r="AG102" i="77"/>
  <c r="AI102" i="77"/>
  <c r="BW530" i="77"/>
  <c r="AI530" i="77"/>
  <c r="AG530" i="77"/>
  <c r="AH530" i="77"/>
  <c r="AM530" i="77"/>
  <c r="AK530" i="77" a="1"/>
  <c r="AK530" i="77" s="1"/>
  <c r="BG530" i="77" s="1"/>
  <c r="AQ168" i="77"/>
  <c r="AX168" i="77"/>
  <c r="BD168" i="77" s="1"/>
  <c r="AQ527" i="77"/>
  <c r="AX527" i="77"/>
  <c r="BD527" i="77" s="1"/>
  <c r="BW469" i="77"/>
  <c r="AK469" i="77" a="1"/>
  <c r="AK469" i="77" s="1"/>
  <c r="BG469" i="77" s="1"/>
  <c r="AI469" i="77"/>
  <c r="AG469" i="77"/>
  <c r="AH469" i="77"/>
  <c r="AM469" i="77"/>
  <c r="AG130" i="77"/>
  <c r="AI130" i="77"/>
  <c r="BW130" i="77"/>
  <c r="AK130" i="77" a="1"/>
  <c r="AK130" i="77" s="1"/>
  <c r="AM130" i="77"/>
  <c r="AH130" i="77"/>
  <c r="AK420" i="77" a="1"/>
  <c r="AK420" i="77" s="1"/>
  <c r="BG420" i="77" s="1"/>
  <c r="AH420" i="77"/>
  <c r="AG420" i="77"/>
  <c r="AI420" i="77"/>
  <c r="AM420" i="77"/>
  <c r="BW420" i="77"/>
  <c r="AE527" i="77"/>
  <c r="AX201" i="77"/>
  <c r="BD201" i="77" s="1"/>
  <c r="AQ201" i="77"/>
  <c r="AE323" i="77"/>
  <c r="AX95" i="77"/>
  <c r="BD95" i="77" s="1"/>
  <c r="AQ95" i="77"/>
  <c r="AX469" i="77"/>
  <c r="BD469" i="77" s="1"/>
  <c r="AQ469" i="77"/>
  <c r="AM430" i="77"/>
  <c r="BW430" i="77"/>
  <c r="AK430" i="77" a="1"/>
  <c r="AK430" i="77" s="1"/>
  <c r="BG430" i="77" s="1"/>
  <c r="AI430" i="77"/>
  <c r="AH430" i="77"/>
  <c r="AG430" i="77"/>
  <c r="AQ82" i="77"/>
  <c r="AE543" i="77"/>
  <c r="AX39" i="77"/>
  <c r="BD39" i="77" s="1"/>
  <c r="AQ39" i="77"/>
  <c r="AX445" i="77"/>
  <c r="BD445" i="77" s="1"/>
  <c r="AQ445" i="77"/>
  <c r="AE351" i="77"/>
  <c r="AX122" i="77"/>
  <c r="BD122" i="77" s="1"/>
  <c r="AQ122" i="77"/>
  <c r="AQ30" i="77"/>
  <c r="AE173" i="77"/>
  <c r="AQ414" i="77"/>
  <c r="AX414" i="77"/>
  <c r="BD414" i="77" s="1"/>
  <c r="AX363" i="77"/>
  <c r="BD363" i="77" s="1"/>
  <c r="AQ363" i="77"/>
  <c r="AX525" i="77"/>
  <c r="BD525" i="77" s="1"/>
  <c r="AQ525" i="77"/>
  <c r="AX181" i="77"/>
  <c r="BD181" i="77" s="1"/>
  <c r="AQ181" i="77"/>
  <c r="AX505" i="77"/>
  <c r="BD505" i="77" s="1"/>
  <c r="AQ505" i="77"/>
  <c r="AE233" i="77"/>
  <c r="AK141" i="77" a="1"/>
  <c r="AK141" i="77" s="1"/>
  <c r="AI141" i="77"/>
  <c r="BW141" i="77"/>
  <c r="AH141" i="77"/>
  <c r="AG141" i="77"/>
  <c r="AM141" i="77"/>
  <c r="AQ368" i="77"/>
  <c r="AX368" i="77"/>
  <c r="BD368" i="77" s="1"/>
  <c r="AX179" i="77"/>
  <c r="BD179" i="77" s="1"/>
  <c r="AQ179" i="77"/>
  <c r="AX485" i="77"/>
  <c r="BD485" i="77" s="1"/>
  <c r="AQ485" i="77"/>
  <c r="AE446" i="77"/>
  <c r="AX477" i="77"/>
  <c r="BD477" i="77" s="1"/>
  <c r="AQ477" i="77"/>
  <c r="AQ183" i="77"/>
  <c r="AX183" i="77"/>
  <c r="BD183" i="77" s="1"/>
  <c r="AQ78" i="77"/>
  <c r="AX150" i="77"/>
  <c r="BD150" i="77" s="1"/>
  <c r="AQ150" i="77"/>
  <c r="AQ375" i="77"/>
  <c r="AX375" i="77"/>
  <c r="BD375" i="77" s="1"/>
  <c r="AQ424" i="77"/>
  <c r="AX424" i="77"/>
  <c r="BD424" i="77" s="1"/>
  <c r="AX419" i="77"/>
  <c r="BD419" i="77" s="1"/>
  <c r="AQ419" i="77"/>
  <c r="AQ33" i="77"/>
  <c r="AX33" i="77"/>
  <c r="BD33" i="77" s="1"/>
  <c r="AQ180" i="77"/>
  <c r="AX180" i="77"/>
  <c r="BD180" i="77" s="1"/>
  <c r="AH346" i="77"/>
  <c r="AG346" i="77"/>
  <c r="BW346" i="77"/>
  <c r="AK346" i="77" a="1"/>
  <c r="AK346" i="77" s="1"/>
  <c r="AM346" i="77"/>
  <c r="AI346" i="77"/>
  <c r="AQ241" i="77"/>
  <c r="AG415" i="77"/>
  <c r="AK415" i="77" a="1"/>
  <c r="AK415" i="77" s="1"/>
  <c r="BG415" i="77" s="1"/>
  <c r="AI415" i="77"/>
  <c r="BW415" i="77"/>
  <c r="AM415" i="77"/>
  <c r="AH415" i="77"/>
  <c r="AQ143" i="77"/>
  <c r="AI498" i="77"/>
  <c r="AH498" i="77"/>
  <c r="AG498" i="77"/>
  <c r="AK498" i="77" a="1"/>
  <c r="AK498" i="77" s="1"/>
  <c r="BG498" i="77" s="1"/>
  <c r="AM498" i="77"/>
  <c r="BW498" i="77"/>
  <c r="AX398" i="77"/>
  <c r="BD398" i="77" s="1"/>
  <c r="AQ398" i="77"/>
  <c r="AQ346" i="77"/>
  <c r="AK313" i="77" a="1"/>
  <c r="AK313" i="77" s="1"/>
  <c r="BG313" i="77" s="1"/>
  <c r="AM313" i="77"/>
  <c r="BW313" i="77"/>
  <c r="AG313" i="77"/>
  <c r="AI313" i="77"/>
  <c r="AH313" i="77"/>
  <c r="AE405" i="77"/>
  <c r="AE79" i="77"/>
  <c r="AQ497" i="77"/>
  <c r="AX497" i="77"/>
  <c r="BD497" i="77" s="1"/>
  <c r="AQ151" i="77"/>
  <c r="AX151" i="77"/>
  <c r="BD151" i="77" s="1"/>
  <c r="AQ332" i="77"/>
  <c r="AX332" i="77"/>
  <c r="BD332" i="77" s="1"/>
  <c r="AQ257" i="77"/>
  <c r="AX257" i="77"/>
  <c r="BD257" i="77" s="1"/>
  <c r="AX71" i="77"/>
  <c r="BD71" i="77" s="1"/>
  <c r="AQ71" i="77"/>
  <c r="AQ110" i="77"/>
  <c r="AX110" i="77"/>
  <c r="BD110" i="77" s="1"/>
  <c r="AQ40" i="77"/>
  <c r="AX40" i="77"/>
  <c r="BD40" i="77" s="1"/>
  <c r="AX311" i="77"/>
  <c r="BD311" i="77" s="1"/>
  <c r="AQ311" i="77"/>
  <c r="AQ158" i="77"/>
  <c r="AX158" i="77"/>
  <c r="BD158" i="77" s="1"/>
  <c r="AX429" i="77"/>
  <c r="BD429" i="77" s="1"/>
  <c r="AQ429" i="77"/>
  <c r="AX106" i="77"/>
  <c r="BD106" i="77" s="1"/>
  <c r="AQ106" i="77"/>
  <c r="AQ281" i="77"/>
  <c r="AX281" i="77"/>
  <c r="BD281" i="77" s="1"/>
  <c r="AM368" i="77"/>
  <c r="AK368" i="77" a="1"/>
  <c r="AK368" i="77" s="1"/>
  <c r="BG368" i="77" s="1"/>
  <c r="AI368" i="77"/>
  <c r="AH368" i="77"/>
  <c r="BW368" i="77"/>
  <c r="AG368" i="77"/>
  <c r="AQ510" i="77"/>
  <c r="AX510" i="77"/>
  <c r="BD510" i="77" s="1"/>
  <c r="AM305" i="77"/>
  <c r="AI305" i="77"/>
  <c r="AG305" i="77"/>
  <c r="AH305" i="77"/>
  <c r="BW305" i="77"/>
  <c r="AK305" i="77" a="1"/>
  <c r="AK305" i="77" s="1"/>
  <c r="AX205" i="77"/>
  <c r="BD205" i="77" s="1"/>
  <c r="AQ205" i="77"/>
  <c r="BW485" i="77"/>
  <c r="AI485" i="77"/>
  <c r="AH485" i="77"/>
  <c r="AG485" i="77"/>
  <c r="AM485" i="77"/>
  <c r="AK485" i="77" a="1"/>
  <c r="AK485" i="77" s="1"/>
  <c r="BG485" i="77" s="1"/>
  <c r="AQ309" i="77"/>
  <c r="AX208" i="77"/>
  <c r="BD208" i="77" s="1"/>
  <c r="AQ208" i="77"/>
  <c r="AX464" i="77"/>
  <c r="BD464" i="77" s="1"/>
  <c r="AQ464" i="77"/>
  <c r="AX480" i="77"/>
  <c r="BD480" i="77" s="1"/>
  <c r="AQ480" i="77"/>
  <c r="AH54" i="77"/>
  <c r="AG54" i="77"/>
  <c r="AK54" i="77" a="1"/>
  <c r="AK54" i="77" s="1"/>
  <c r="BG54" i="77" s="1"/>
  <c r="AM54" i="77"/>
  <c r="AI54" i="77"/>
  <c r="BW54" i="77"/>
  <c r="AH352" i="77"/>
  <c r="AG352" i="77"/>
  <c r="AM352" i="77"/>
  <c r="BW352" i="77"/>
  <c r="AK352" i="77" a="1"/>
  <c r="AK352" i="77" s="1"/>
  <c r="AI352" i="77"/>
  <c r="AX328" i="77"/>
  <c r="BD328" i="77" s="1"/>
  <c r="AQ328" i="77"/>
  <c r="AM87" i="77"/>
  <c r="BW87" i="77"/>
  <c r="AK87" i="77" a="1"/>
  <c r="AK87" i="77" s="1"/>
  <c r="BG87" i="77" s="1"/>
  <c r="AH87" i="77"/>
  <c r="AI87" i="77"/>
  <c r="AG87" i="77"/>
  <c r="BW189" i="77"/>
  <c r="AM189" i="77"/>
  <c r="AH189" i="77"/>
  <c r="AK189" i="77" a="1"/>
  <c r="AK189" i="77" s="1"/>
  <c r="BG189" i="77" s="1"/>
  <c r="AI189" i="77"/>
  <c r="AG189" i="77"/>
  <c r="AQ112" i="77"/>
  <c r="AX112" i="77"/>
  <c r="BD112" i="77" s="1"/>
  <c r="AM466" i="77"/>
  <c r="BW466" i="77"/>
  <c r="AK466" i="77" a="1"/>
  <c r="AK466" i="77" s="1"/>
  <c r="BG466" i="77" s="1"/>
  <c r="AH466" i="77"/>
  <c r="AG466" i="77"/>
  <c r="AI466" i="77"/>
  <c r="AQ25" i="77"/>
  <c r="AQ450" i="77"/>
  <c r="AX450" i="77"/>
  <c r="BD450" i="77" s="1"/>
  <c r="AI218" i="77"/>
  <c r="BW218" i="77"/>
  <c r="AK218" i="77" a="1"/>
  <c r="AK218" i="77" s="1"/>
  <c r="AH218" i="77"/>
  <c r="AG218" i="77"/>
  <c r="AM218" i="77"/>
  <c r="AQ449" i="77"/>
  <c r="AX449" i="77"/>
  <c r="BD449" i="77" s="1"/>
  <c r="AQ507" i="77"/>
  <c r="AX507" i="77"/>
  <c r="BD507" i="77" s="1"/>
  <c r="BW338" i="77"/>
  <c r="AM338" i="77"/>
  <c r="AK338" i="77" a="1"/>
  <c r="AK338" i="77" s="1"/>
  <c r="BG338" i="77" s="1"/>
  <c r="AI338" i="77"/>
  <c r="AH338" i="77"/>
  <c r="AG338" i="77"/>
  <c r="AG435" i="77"/>
  <c r="AK435" i="77" a="1"/>
  <c r="AK435" i="77" s="1"/>
  <c r="BG435" i="77" s="1"/>
  <c r="AI435" i="77"/>
  <c r="AH435" i="77"/>
  <c r="BW435" i="77"/>
  <c r="AM435" i="77"/>
  <c r="BW443" i="77"/>
  <c r="AM443" i="77"/>
  <c r="AK443" i="77" a="1"/>
  <c r="AK443" i="77" s="1"/>
  <c r="BG443" i="77" s="1"/>
  <c r="AH443" i="77"/>
  <c r="AG443" i="77"/>
  <c r="AI443" i="77"/>
  <c r="AM37" i="77"/>
  <c r="BW37" i="77"/>
  <c r="AG37" i="77"/>
  <c r="AK37" i="77" a="1"/>
  <c r="AK37" i="77" s="1"/>
  <c r="BG37" i="77" s="1"/>
  <c r="AI37" i="77"/>
  <c r="AH37" i="77"/>
  <c r="AH152" i="77"/>
  <c r="AG152" i="77"/>
  <c r="AM152" i="77"/>
  <c r="AI152" i="77"/>
  <c r="AK152" i="77" a="1"/>
  <c r="AK152" i="77" s="1"/>
  <c r="BG152" i="77" s="1"/>
  <c r="BW152" i="77"/>
  <c r="AX475" i="77"/>
  <c r="BD475" i="77" s="1"/>
  <c r="AQ475" i="77"/>
  <c r="AQ299" i="77"/>
  <c r="AX299" i="77"/>
  <c r="BD299" i="77" s="1"/>
  <c r="AK332" i="77" a="1"/>
  <c r="AK332" i="77" s="1"/>
  <c r="BG332" i="77" s="1"/>
  <c r="AH332" i="77"/>
  <c r="AI332" i="77"/>
  <c r="AG332" i="77"/>
  <c r="BW332" i="77"/>
  <c r="AM332" i="77"/>
  <c r="AQ212" i="77"/>
  <c r="BW110" i="77"/>
  <c r="AM110" i="77"/>
  <c r="AG110" i="77"/>
  <c r="AI110" i="77"/>
  <c r="AK110" i="77" a="1"/>
  <c r="AK110" i="77" s="1"/>
  <c r="BG110" i="77" s="1"/>
  <c r="AH110" i="77"/>
  <c r="AQ248" i="77"/>
  <c r="AX248" i="77"/>
  <c r="BD248" i="77" s="1"/>
  <c r="BW520" i="77"/>
  <c r="AM520" i="77"/>
  <c r="AK520" i="77" a="1"/>
  <c r="AK520" i="77" s="1"/>
  <c r="BG520" i="77" s="1"/>
  <c r="AI520" i="77"/>
  <c r="AG520" i="77"/>
  <c r="AH520" i="77"/>
  <c r="AM263" i="77"/>
  <c r="AG263" i="77"/>
  <c r="BW263" i="77"/>
  <c r="AK263" i="77" a="1"/>
  <c r="AK263" i="77" s="1"/>
  <c r="BG263" i="77" s="1"/>
  <c r="AH263" i="77"/>
  <c r="AI263" i="77"/>
  <c r="AQ345" i="77"/>
  <c r="AX345" i="77"/>
  <c r="BD345" i="77" s="1"/>
  <c r="AX343" i="77"/>
  <c r="BD343" i="77" s="1"/>
  <c r="AQ343" i="77"/>
  <c r="BW181" i="77"/>
  <c r="AI181" i="77"/>
  <c r="AH181" i="77"/>
  <c r="AG181" i="77"/>
  <c r="AK181" i="77" a="1"/>
  <c r="AK181" i="77" s="1"/>
  <c r="BG181" i="77" s="1"/>
  <c r="AM181" i="77"/>
  <c r="AX441" i="77"/>
  <c r="BD441" i="77" s="1"/>
  <c r="AQ441" i="77"/>
  <c r="AM505" i="77"/>
  <c r="BW505" i="77"/>
  <c r="AK505" i="77" a="1"/>
  <c r="AK505" i="77" s="1"/>
  <c r="BG505" i="77" s="1"/>
  <c r="AI505" i="77"/>
  <c r="AH505" i="77"/>
  <c r="AG505" i="77"/>
  <c r="AM53" i="77"/>
  <c r="BW53" i="77"/>
  <c r="AK53" i="77" a="1"/>
  <c r="AK53" i="77" s="1"/>
  <c r="BG53" i="77" s="1"/>
  <c r="AI53" i="77"/>
  <c r="AG53" i="77"/>
  <c r="AH53" i="77"/>
  <c r="AX509" i="77"/>
  <c r="BD509" i="77" s="1"/>
  <c r="AQ509" i="77"/>
  <c r="AQ119" i="77"/>
  <c r="AX119" i="77"/>
  <c r="BD119" i="77" s="1"/>
  <c r="AX330" i="77"/>
  <c r="BD330" i="77" s="1"/>
  <c r="AQ330" i="77"/>
  <c r="AG524" i="77"/>
  <c r="AI524" i="77"/>
  <c r="AH524" i="77"/>
  <c r="BW524" i="77"/>
  <c r="AM524" i="77"/>
  <c r="AK524" i="77" a="1"/>
  <c r="AK524" i="77" s="1"/>
  <c r="BG524" i="77" s="1"/>
  <c r="AK195" i="77" a="1"/>
  <c r="AK195" i="77" s="1"/>
  <c r="BG195" i="77" s="1"/>
  <c r="AM195" i="77"/>
  <c r="AG195" i="77"/>
  <c r="AI195" i="77"/>
  <c r="AH195" i="77"/>
  <c r="BW195" i="77"/>
  <c r="AQ372" i="77"/>
  <c r="AX372" i="77"/>
  <c r="BD372" i="77" s="1"/>
  <c r="AX528" i="77"/>
  <c r="BD528" i="77" s="1"/>
  <c r="AQ528" i="77"/>
  <c r="AH64" i="77"/>
  <c r="AG64" i="77"/>
  <c r="AM64" i="77"/>
  <c r="AK64" i="77" a="1"/>
  <c r="AK64" i="77" s="1"/>
  <c r="BG64" i="77" s="1"/>
  <c r="BW64" i="77"/>
  <c r="AI64" i="77"/>
  <c r="AQ256" i="77"/>
  <c r="AX256" i="77"/>
  <c r="BD256" i="77" s="1"/>
  <c r="AE507" i="77"/>
  <c r="AQ338" i="77"/>
  <c r="AX338" i="77"/>
  <c r="BD338" i="77" s="1"/>
  <c r="AX443" i="77"/>
  <c r="BD443" i="77" s="1"/>
  <c r="AQ443" i="77"/>
  <c r="AX37" i="77"/>
  <c r="BD37" i="77" s="1"/>
  <c r="AQ37" i="77"/>
  <c r="AQ243" i="77"/>
  <c r="AX314" i="77"/>
  <c r="BD314" i="77" s="1"/>
  <c r="AQ314" i="77"/>
  <c r="AQ131" i="77"/>
  <c r="AQ470" i="77"/>
  <c r="AX470" i="77"/>
  <c r="BD470" i="77" s="1"/>
  <c r="AQ520" i="77"/>
  <c r="AX520" i="77"/>
  <c r="BD520" i="77" s="1"/>
  <c r="AX123" i="77"/>
  <c r="BD123" i="77" s="1"/>
  <c r="AQ123" i="77"/>
  <c r="AQ263" i="77"/>
  <c r="AX263" i="77"/>
  <c r="BD263" i="77" s="1"/>
  <c r="AQ409" i="77"/>
  <c r="AX409" i="77"/>
  <c r="BD409" i="77" s="1"/>
  <c r="AE441" i="77"/>
  <c r="AH281" i="77"/>
  <c r="AG281" i="77"/>
  <c r="BW281" i="77"/>
  <c r="AI281" i="77"/>
  <c r="AK281" i="77" a="1"/>
  <c r="AK281" i="77" s="1"/>
  <c r="BG281" i="77" s="1"/>
  <c r="AM281" i="77"/>
  <c r="AX53" i="77"/>
  <c r="BD53" i="77" s="1"/>
  <c r="AQ53" i="77"/>
  <c r="AE119" i="77"/>
  <c r="AX549" i="77"/>
  <c r="BD549" i="77" s="1"/>
  <c r="AQ549" i="77"/>
  <c r="AQ524" i="77"/>
  <c r="AX524" i="77"/>
  <c r="BD524" i="77" s="1"/>
  <c r="AQ195" i="77"/>
  <c r="AX195" i="77"/>
  <c r="BD195" i="77" s="1"/>
  <c r="AQ249" i="77"/>
  <c r="AX249" i="77"/>
  <c r="BD249" i="77" s="1"/>
  <c r="AQ171" i="77"/>
  <c r="AX171" i="77"/>
  <c r="BD171" i="77" s="1"/>
  <c r="AM111" i="76"/>
  <c r="BW111" i="76"/>
  <c r="AK111" i="76" a="1"/>
  <c r="AK111" i="76" s="1"/>
  <c r="BG111" i="76" s="1"/>
  <c r="AI111" i="76"/>
  <c r="AH111" i="76"/>
  <c r="AG111" i="76"/>
  <c r="AI402" i="76"/>
  <c r="AH402" i="76"/>
  <c r="AM402" i="76"/>
  <c r="AK402" i="76" a="1"/>
  <c r="AK402" i="76" s="1"/>
  <c r="BG402" i="76" s="1"/>
  <c r="BW402" i="76"/>
  <c r="AG402" i="76"/>
  <c r="AM48" i="76"/>
  <c r="BW48" i="76"/>
  <c r="AH48" i="76"/>
  <c r="AG48" i="76"/>
  <c r="AK48" i="76" a="1"/>
  <c r="AK48" i="76" s="1"/>
  <c r="BG48" i="76" s="1"/>
  <c r="AI48" i="76"/>
  <c r="AH192" i="76"/>
  <c r="BW192" i="76"/>
  <c r="AG192" i="76"/>
  <c r="AM192" i="76"/>
  <c r="AK192" i="76" a="1"/>
  <c r="AK192" i="76" s="1"/>
  <c r="BG192" i="76" s="1"/>
  <c r="AI192" i="76"/>
  <c r="AH325" i="76"/>
  <c r="AG325" i="76"/>
  <c r="BW325" i="76"/>
  <c r="AM325" i="76"/>
  <c r="AK325" i="76" a="1"/>
  <c r="AK325" i="76" s="1"/>
  <c r="BG325" i="76" s="1"/>
  <c r="AI325" i="76"/>
  <c r="AG227" i="76"/>
  <c r="AK227" i="76" a="1"/>
  <c r="AK227" i="76" s="1"/>
  <c r="BG227" i="76" s="1"/>
  <c r="AM227" i="76"/>
  <c r="AI227" i="76"/>
  <c r="AH227" i="76"/>
  <c r="BW227" i="76"/>
  <c r="AX503" i="76"/>
  <c r="BD503" i="76" s="1"/>
  <c r="AQ503" i="76"/>
  <c r="BW23" i="76"/>
  <c r="AI23" i="76"/>
  <c r="AH23" i="76"/>
  <c r="AK23" i="76" a="1"/>
  <c r="AK23" i="76" s="1"/>
  <c r="BG23" i="76" s="1"/>
  <c r="AG23" i="76"/>
  <c r="AM23" i="76"/>
  <c r="AQ257" i="76"/>
  <c r="AX257" i="76"/>
  <c r="BD257" i="76" s="1"/>
  <c r="AE257" i="76"/>
  <c r="BW142" i="76"/>
  <c r="AM142" i="76"/>
  <c r="AK142" i="76" a="1"/>
  <c r="AK142" i="76" s="1"/>
  <c r="BG142" i="76" s="1"/>
  <c r="AI142" i="76"/>
  <c r="AH142" i="76"/>
  <c r="AG142" i="76"/>
  <c r="AX493" i="76"/>
  <c r="BD493" i="76" s="1"/>
  <c r="AQ493" i="76"/>
  <c r="AG312" i="76"/>
  <c r="AH312" i="76"/>
  <c r="BW312" i="76"/>
  <c r="AM312" i="76"/>
  <c r="AK312" i="76" a="1"/>
  <c r="AK312" i="76" s="1"/>
  <c r="BG312" i="76" s="1"/>
  <c r="AI312" i="76"/>
  <c r="AH405" i="76"/>
  <c r="BW405" i="76"/>
  <c r="AG405" i="76"/>
  <c r="AM405" i="76"/>
  <c r="AI405" i="76"/>
  <c r="AK405" i="76" a="1"/>
  <c r="AK405" i="76" s="1"/>
  <c r="BG405" i="76" s="1"/>
  <c r="AM362" i="76"/>
  <c r="BW362" i="76"/>
  <c r="AK362" i="76" a="1"/>
  <c r="AK362" i="76" s="1"/>
  <c r="BG362" i="76" s="1"/>
  <c r="AI362" i="76"/>
  <c r="AH362" i="76"/>
  <c r="AG362" i="76"/>
  <c r="AM225" i="76"/>
  <c r="AI225" i="76"/>
  <c r="AG225" i="76"/>
  <c r="AH225" i="76"/>
  <c r="BW225" i="76"/>
  <c r="AK225" i="76" a="1"/>
  <c r="AK225" i="76" s="1"/>
  <c r="BG225" i="76" s="1"/>
  <c r="BW414" i="76"/>
  <c r="AK414" i="76" a="1"/>
  <c r="AK414" i="76" s="1"/>
  <c r="BG414" i="76" s="1"/>
  <c r="AH414" i="76"/>
  <c r="AG414" i="76"/>
  <c r="AM414" i="76"/>
  <c r="AI414" i="76"/>
  <c r="AI242" i="76"/>
  <c r="AH242" i="76"/>
  <c r="AG242" i="76"/>
  <c r="BW242" i="76"/>
  <c r="AM242" i="76"/>
  <c r="AK242" i="76" a="1"/>
  <c r="AK242" i="76" s="1"/>
  <c r="BG242" i="76" s="1"/>
  <c r="AI455" i="76"/>
  <c r="AG455" i="76"/>
  <c r="AK455" i="76" a="1"/>
  <c r="AK455" i="76" s="1"/>
  <c r="BG455" i="76" s="1"/>
  <c r="BW455" i="76"/>
  <c r="AH455" i="76"/>
  <c r="AM455" i="76"/>
  <c r="AM475" i="76"/>
  <c r="BW475" i="76"/>
  <c r="AI475" i="76"/>
  <c r="AH475" i="76"/>
  <c r="AG475" i="76"/>
  <c r="AK475" i="76" a="1"/>
  <c r="AK475" i="76" s="1"/>
  <c r="BG475" i="76" s="1"/>
  <c r="AX529" i="76"/>
  <c r="BD529" i="76" s="1"/>
  <c r="AQ529" i="76"/>
  <c r="AX475" i="76"/>
  <c r="BD475" i="76" s="1"/>
  <c r="AQ475" i="76"/>
  <c r="AQ514" i="76"/>
  <c r="AX514" i="76"/>
  <c r="BD514" i="76" s="1"/>
  <c r="AE514" i="76"/>
  <c r="AX504" i="76"/>
  <c r="BD504" i="76" s="1"/>
  <c r="AQ504" i="76"/>
  <c r="AQ354" i="76"/>
  <c r="AX354" i="76"/>
  <c r="BD354" i="76" s="1"/>
  <c r="AE354" i="76"/>
  <c r="AI136" i="76"/>
  <c r="AH136" i="76"/>
  <c r="AG136" i="76"/>
  <c r="BW136" i="76"/>
  <c r="AM136" i="76"/>
  <c r="AK136" i="76" a="1"/>
  <c r="AK136" i="76" s="1"/>
  <c r="BG136" i="76" s="1"/>
  <c r="AG515" i="76"/>
  <c r="AH515" i="76"/>
  <c r="AM515" i="76"/>
  <c r="AI515" i="76"/>
  <c r="BW515" i="76"/>
  <c r="AK515" i="76" a="1"/>
  <c r="AK515" i="76" s="1"/>
  <c r="BG515" i="76" s="1"/>
  <c r="AM524" i="76"/>
  <c r="BW524" i="76"/>
  <c r="AG524" i="76"/>
  <c r="AI524" i="76"/>
  <c r="AH524" i="76"/>
  <c r="AK524" i="76" a="1"/>
  <c r="AK524" i="76" s="1"/>
  <c r="BG524" i="76" s="1"/>
  <c r="AH205" i="76"/>
  <c r="AG205" i="76"/>
  <c r="BW205" i="76"/>
  <c r="AK205" i="76" a="1"/>
  <c r="AK205" i="76" s="1"/>
  <c r="BG205" i="76" s="1"/>
  <c r="AI205" i="76"/>
  <c r="AM205" i="76"/>
  <c r="AI310" i="76"/>
  <c r="AH310" i="76"/>
  <c r="AK310" i="76" a="1"/>
  <c r="AK310" i="76" s="1"/>
  <c r="BG310" i="76" s="1"/>
  <c r="AG310" i="76"/>
  <c r="AM310" i="76"/>
  <c r="BW310" i="76"/>
  <c r="AQ30" i="76"/>
  <c r="AX30" i="76"/>
  <c r="BD30" i="76" s="1"/>
  <c r="AX524" i="76"/>
  <c r="BD524" i="76" s="1"/>
  <c r="AQ524" i="76"/>
  <c r="AM27" i="76"/>
  <c r="AI27" i="76"/>
  <c r="AK27" i="76" a="1"/>
  <c r="AK27" i="76" s="1"/>
  <c r="BG27" i="76" s="1"/>
  <c r="BW27" i="76"/>
  <c r="AH27" i="76"/>
  <c r="AG27" i="76"/>
  <c r="AX208" i="76"/>
  <c r="BD208" i="76" s="1"/>
  <c r="AQ208" i="76"/>
  <c r="AE208" i="76"/>
  <c r="AM383" i="76"/>
  <c r="AK383" i="76" a="1"/>
  <c r="AK383" i="76" s="1"/>
  <c r="BG383" i="76" s="1"/>
  <c r="BW383" i="76"/>
  <c r="AI383" i="76"/>
  <c r="AG383" i="76"/>
  <c r="AH383" i="76"/>
  <c r="AX22" i="76"/>
  <c r="BD22" i="76" s="1"/>
  <c r="AQ22" i="76"/>
  <c r="AE22" i="76"/>
  <c r="BW447" i="76"/>
  <c r="AM447" i="76"/>
  <c r="AK447" i="76" a="1"/>
  <c r="AK447" i="76" s="1"/>
  <c r="BG447" i="76" s="1"/>
  <c r="AH447" i="76"/>
  <c r="AG447" i="76"/>
  <c r="AI447" i="76"/>
  <c r="AM55" i="76"/>
  <c r="AK55" i="76" a="1"/>
  <c r="AK55" i="76" s="1"/>
  <c r="BG55" i="76" s="1"/>
  <c r="BW55" i="76"/>
  <c r="AI55" i="76"/>
  <c r="AH55" i="76"/>
  <c r="AG55" i="76"/>
  <c r="BW504" i="76"/>
  <c r="AM504" i="76"/>
  <c r="AH504" i="76"/>
  <c r="AI504" i="76"/>
  <c r="AG504" i="76"/>
  <c r="AK504" i="76" a="1"/>
  <c r="AK504" i="76" s="1"/>
  <c r="BG504" i="76" s="1"/>
  <c r="AH38" i="76"/>
  <c r="AG38" i="76"/>
  <c r="AK38" i="76" a="1"/>
  <c r="AK38" i="76" s="1"/>
  <c r="BG38" i="76" s="1"/>
  <c r="BW38" i="76"/>
  <c r="AI38" i="76"/>
  <c r="AM38" i="76"/>
  <c r="AK496" i="76" a="1"/>
  <c r="AK496" i="76" s="1"/>
  <c r="BG496" i="76" s="1"/>
  <c r="AH496" i="76"/>
  <c r="AM496" i="76"/>
  <c r="AG496" i="76"/>
  <c r="AI496" i="76"/>
  <c r="BW496" i="76"/>
  <c r="BW151" i="76"/>
  <c r="AM151" i="76"/>
  <c r="AK151" i="76" a="1"/>
  <c r="AK151" i="76" s="1"/>
  <c r="BG151" i="76" s="1"/>
  <c r="AI151" i="76"/>
  <c r="AH151" i="76"/>
  <c r="AG151" i="76"/>
  <c r="BW71" i="76"/>
  <c r="AM71" i="76"/>
  <c r="AK71" i="76" a="1"/>
  <c r="AK71" i="76" s="1"/>
  <c r="BG71" i="76" s="1"/>
  <c r="AG71" i="76"/>
  <c r="AI71" i="76"/>
  <c r="AH71" i="76"/>
  <c r="AQ472" i="76"/>
  <c r="AX472" i="76"/>
  <c r="BD472" i="76" s="1"/>
  <c r="AE472" i="76"/>
  <c r="AM30" i="76"/>
  <c r="AG30" i="76"/>
  <c r="BW30" i="76"/>
  <c r="AK30" i="76" a="1"/>
  <c r="AK30" i="76" s="1"/>
  <c r="BG30" i="76" s="1"/>
  <c r="AI30" i="76"/>
  <c r="AH30" i="76"/>
  <c r="BW223" i="76"/>
  <c r="AM223" i="76"/>
  <c r="AI223" i="76"/>
  <c r="AK223" i="76" a="1"/>
  <c r="AK223" i="76" s="1"/>
  <c r="BG223" i="76" s="1"/>
  <c r="AH223" i="76"/>
  <c r="AG223" i="76"/>
  <c r="AK219" i="76" a="1"/>
  <c r="AK219" i="76" s="1"/>
  <c r="BG219" i="76" s="1"/>
  <c r="AM219" i="76"/>
  <c r="AI219" i="76"/>
  <c r="AH219" i="76"/>
  <c r="AG219" i="76"/>
  <c r="BW219" i="76"/>
  <c r="AM490" i="76"/>
  <c r="AK490" i="76" a="1"/>
  <c r="AK490" i="76" s="1"/>
  <c r="BG490" i="76" s="1"/>
  <c r="AI490" i="76"/>
  <c r="AH490" i="76"/>
  <c r="AG490" i="76"/>
  <c r="BW490" i="76"/>
  <c r="AK511" i="76" a="1"/>
  <c r="AK511" i="76" s="1"/>
  <c r="BG511" i="76" s="1"/>
  <c r="AI511" i="76"/>
  <c r="BW511" i="76"/>
  <c r="AM511" i="76"/>
  <c r="AG511" i="76"/>
  <c r="AH511" i="76"/>
  <c r="BW432" i="76"/>
  <c r="AK432" i="76" a="1"/>
  <c r="AK432" i="76" s="1"/>
  <c r="BG432" i="76" s="1"/>
  <c r="AM432" i="76"/>
  <c r="AI432" i="76"/>
  <c r="AH432" i="76"/>
  <c r="AG432" i="76"/>
  <c r="AM212" i="76"/>
  <c r="AK212" i="76" a="1"/>
  <c r="AK212" i="76" s="1"/>
  <c r="BG212" i="76" s="1"/>
  <c r="AI212" i="76"/>
  <c r="AG212" i="76"/>
  <c r="BW212" i="76"/>
  <c r="AH212" i="76"/>
  <c r="AG314" i="76"/>
  <c r="AM314" i="76"/>
  <c r="AI314" i="76"/>
  <c r="AH314" i="76"/>
  <c r="AK314" i="76" a="1"/>
  <c r="AK314" i="76" s="1"/>
  <c r="BG314" i="76" s="1"/>
  <c r="BW314" i="76"/>
  <c r="AX258" i="76"/>
  <c r="BD258" i="76" s="1"/>
  <c r="AQ258" i="76"/>
  <c r="AQ295" i="76"/>
  <c r="AX295" i="76"/>
  <c r="BD295" i="76" s="1"/>
  <c r="AG396" i="76"/>
  <c r="BW396" i="76"/>
  <c r="AK396" i="76" a="1"/>
  <c r="AK396" i="76" s="1"/>
  <c r="BG396" i="76" s="1"/>
  <c r="AM396" i="76"/>
  <c r="AI396" i="76"/>
  <c r="AH396" i="76"/>
  <c r="AG380" i="76"/>
  <c r="AI380" i="76"/>
  <c r="AH380" i="76"/>
  <c r="AM380" i="76"/>
  <c r="BW380" i="76"/>
  <c r="AK380" i="76" a="1"/>
  <c r="AK380" i="76" s="1"/>
  <c r="BG380" i="76" s="1"/>
  <c r="AI214" i="76"/>
  <c r="AH214" i="76"/>
  <c r="AG214" i="76"/>
  <c r="AM214" i="76"/>
  <c r="BW214" i="76"/>
  <c r="AK214" i="76" a="1"/>
  <c r="AK214" i="76" s="1"/>
  <c r="BG214" i="76" s="1"/>
  <c r="AG547" i="76"/>
  <c r="AM547" i="76"/>
  <c r="BW547" i="76"/>
  <c r="AI547" i="76"/>
  <c r="AK547" i="76" a="1"/>
  <c r="AK547" i="76" s="1"/>
  <c r="BG547" i="76" s="1"/>
  <c r="AH547" i="76"/>
  <c r="AI300" i="76"/>
  <c r="AH300" i="76"/>
  <c r="AG300" i="76"/>
  <c r="BW300" i="76"/>
  <c r="AM300" i="76"/>
  <c r="AK300" i="76" a="1"/>
  <c r="AK300" i="76" s="1"/>
  <c r="BG300" i="76" s="1"/>
  <c r="AK481" i="76" a="1"/>
  <c r="AK481" i="76" s="1"/>
  <c r="BG481" i="76" s="1"/>
  <c r="AM481" i="76"/>
  <c r="AG481" i="76"/>
  <c r="BW481" i="76"/>
  <c r="AI481" i="76"/>
  <c r="AH481" i="76"/>
  <c r="AX373" i="76"/>
  <c r="BD373" i="76" s="1"/>
  <c r="AQ373" i="76"/>
  <c r="AE373" i="76"/>
  <c r="BW42" i="76"/>
  <c r="AM42" i="76"/>
  <c r="AK42" i="76" a="1"/>
  <c r="AK42" i="76" s="1"/>
  <c r="BG42" i="76" s="1"/>
  <c r="AI42" i="76"/>
  <c r="AH42" i="76"/>
  <c r="AG42" i="76"/>
  <c r="AQ325" i="76"/>
  <c r="AX325" i="76"/>
  <c r="BD325" i="76" s="1"/>
  <c r="BW487" i="76"/>
  <c r="AH487" i="76"/>
  <c r="AG487" i="76"/>
  <c r="AM487" i="76"/>
  <c r="AI487" i="76"/>
  <c r="AK487" i="76" a="1"/>
  <c r="AK487" i="76" s="1"/>
  <c r="BG487" i="76" s="1"/>
  <c r="BW536" i="76"/>
  <c r="AI536" i="76"/>
  <c r="AH536" i="76"/>
  <c r="AK536" i="76" a="1"/>
  <c r="AK536" i="76" s="1"/>
  <c r="BG536" i="76" s="1"/>
  <c r="AG536" i="76"/>
  <c r="AM536" i="76"/>
  <c r="BW271" i="76"/>
  <c r="AM271" i="76"/>
  <c r="AI271" i="76"/>
  <c r="AK271" i="76" a="1"/>
  <c r="AK271" i="76" s="1"/>
  <c r="BG271" i="76" s="1"/>
  <c r="AH271" i="76"/>
  <c r="AG271" i="76"/>
  <c r="AG296" i="76"/>
  <c r="AM296" i="76"/>
  <c r="BW296" i="76"/>
  <c r="AK296" i="76" a="1"/>
  <c r="AK296" i="76" s="1"/>
  <c r="BG296" i="76" s="1"/>
  <c r="AI296" i="76"/>
  <c r="AH296" i="76"/>
  <c r="AI289" i="76"/>
  <c r="AH289" i="76"/>
  <c r="AG289" i="76"/>
  <c r="AM289" i="76"/>
  <c r="AK289" i="76" a="1"/>
  <c r="AK289" i="76" s="1"/>
  <c r="BG289" i="76" s="1"/>
  <c r="BW289" i="76"/>
  <c r="AI147" i="76"/>
  <c r="AH147" i="76"/>
  <c r="AG147" i="76"/>
  <c r="AM147" i="76"/>
  <c r="BW147" i="76"/>
  <c r="AK147" i="76" a="1"/>
  <c r="AK147" i="76" s="1"/>
  <c r="BG147" i="76" s="1"/>
  <c r="AK317" i="76" a="1"/>
  <c r="AK317" i="76" s="1"/>
  <c r="BG317" i="76" s="1"/>
  <c r="AM317" i="76"/>
  <c r="AI317" i="76"/>
  <c r="AH317" i="76"/>
  <c r="AG317" i="76"/>
  <c r="BW317" i="76"/>
  <c r="BW32" i="76"/>
  <c r="AM32" i="76"/>
  <c r="AH32" i="76"/>
  <c r="AG32" i="76"/>
  <c r="AK32" i="76" a="1"/>
  <c r="AK32" i="76" s="1"/>
  <c r="BG32" i="76" s="1"/>
  <c r="AI32" i="76"/>
  <c r="AM344" i="76"/>
  <c r="AG344" i="76"/>
  <c r="BW344" i="76"/>
  <c r="AH344" i="76"/>
  <c r="AI344" i="76"/>
  <c r="AK344" i="76" a="1"/>
  <c r="AK344" i="76" s="1"/>
  <c r="BG344" i="76" s="1"/>
  <c r="AH474" i="76"/>
  <c r="BW474" i="76"/>
  <c r="AK474" i="76" a="1"/>
  <c r="AK474" i="76" s="1"/>
  <c r="BG474" i="76" s="1"/>
  <c r="AG474" i="76"/>
  <c r="AI474" i="76"/>
  <c r="AM474" i="76"/>
  <c r="AQ223" i="76"/>
  <c r="AX223" i="76"/>
  <c r="BD223" i="76" s="1"/>
  <c r="AQ111" i="76"/>
  <c r="AX111" i="76"/>
  <c r="BD111" i="76" s="1"/>
  <c r="AK116" i="76" a="1"/>
  <c r="AK116" i="76" s="1"/>
  <c r="BG116" i="76" s="1"/>
  <c r="AH116" i="76"/>
  <c r="AI116" i="76"/>
  <c r="AG116" i="76"/>
  <c r="AM116" i="76"/>
  <c r="BW116" i="76"/>
  <c r="AG425" i="76"/>
  <c r="BW425" i="76"/>
  <c r="AM425" i="76"/>
  <c r="AK425" i="76" a="1"/>
  <c r="AK425" i="76" s="1"/>
  <c r="BG425" i="76" s="1"/>
  <c r="AI425" i="76"/>
  <c r="AH425" i="76"/>
  <c r="AX309" i="76"/>
  <c r="BD309" i="76" s="1"/>
  <c r="AQ309" i="76"/>
  <c r="AE309" i="76"/>
  <c r="BW118" i="76"/>
  <c r="AM118" i="76"/>
  <c r="AI118" i="76"/>
  <c r="AH118" i="76"/>
  <c r="AG118" i="76"/>
  <c r="AK118" i="76" a="1"/>
  <c r="AK118" i="76" s="1"/>
  <c r="BG118" i="76" s="1"/>
  <c r="BW126" i="76"/>
  <c r="AM126" i="76"/>
  <c r="AI126" i="76"/>
  <c r="AK126" i="76" a="1"/>
  <c r="AK126" i="76" s="1"/>
  <c r="BG126" i="76" s="1"/>
  <c r="AG126" i="76"/>
  <c r="AH126" i="76"/>
  <c r="BW523" i="76"/>
  <c r="AM523" i="76"/>
  <c r="AG523" i="76"/>
  <c r="AI523" i="76"/>
  <c r="AH523" i="76"/>
  <c r="AK523" i="76" a="1"/>
  <c r="AK523" i="76" s="1"/>
  <c r="BG523" i="76" s="1"/>
  <c r="AQ212" i="76"/>
  <c r="AX212" i="76"/>
  <c r="BD212" i="76" s="1"/>
  <c r="AQ60" i="76"/>
  <c r="AX60" i="76"/>
  <c r="BD60" i="76" s="1"/>
  <c r="AE60" i="76"/>
  <c r="AE258" i="76"/>
  <c r="AX246" i="76"/>
  <c r="BD246" i="76" s="1"/>
  <c r="AQ246" i="76"/>
  <c r="AE246" i="76"/>
  <c r="AX333" i="76"/>
  <c r="BD333" i="76" s="1"/>
  <c r="AQ333" i="76"/>
  <c r="AE333" i="76"/>
  <c r="BW79" i="76"/>
  <c r="AM79" i="76"/>
  <c r="AK79" i="76" a="1"/>
  <c r="AK79" i="76" s="1"/>
  <c r="BG79" i="76" s="1"/>
  <c r="AH79" i="76"/>
  <c r="AG79" i="76"/>
  <c r="AI79" i="76"/>
  <c r="AM121" i="76"/>
  <c r="BW121" i="76"/>
  <c r="AI121" i="76"/>
  <c r="AK121" i="76" a="1"/>
  <c r="AK121" i="76" s="1"/>
  <c r="BG121" i="76" s="1"/>
  <c r="AH121" i="76"/>
  <c r="AG121" i="76"/>
  <c r="AM188" i="76"/>
  <c r="AI188" i="76"/>
  <c r="BW188" i="76"/>
  <c r="AK188" i="76" a="1"/>
  <c r="AK188" i="76" s="1"/>
  <c r="BG188" i="76" s="1"/>
  <c r="AH188" i="76"/>
  <c r="AG188" i="76"/>
  <c r="AG259" i="76"/>
  <c r="BW259" i="76"/>
  <c r="AK259" i="76" a="1"/>
  <c r="AK259" i="76" s="1"/>
  <c r="BG259" i="76" s="1"/>
  <c r="AM259" i="76"/>
  <c r="AI259" i="76"/>
  <c r="AH259" i="76"/>
  <c r="AM526" i="76"/>
  <c r="AH526" i="76"/>
  <c r="AG526" i="76"/>
  <c r="AK526" i="76" a="1"/>
  <c r="AK526" i="76" s="1"/>
  <c r="BG526" i="76" s="1"/>
  <c r="AI526" i="76"/>
  <c r="BW526" i="76"/>
  <c r="BW444" i="76"/>
  <c r="AM444" i="76"/>
  <c r="AI444" i="76"/>
  <c r="AH444" i="76"/>
  <c r="AG444" i="76"/>
  <c r="AK444" i="76" a="1"/>
  <c r="AK444" i="76" s="1"/>
  <c r="BG444" i="76" s="1"/>
  <c r="AM391" i="76"/>
  <c r="BW391" i="76"/>
  <c r="AI391" i="76"/>
  <c r="AH391" i="76"/>
  <c r="AG391" i="76"/>
  <c r="AK391" i="76" a="1"/>
  <c r="AK391" i="76" s="1"/>
  <c r="BG391" i="76" s="1"/>
  <c r="AM194" i="76"/>
  <c r="AK194" i="76" a="1"/>
  <c r="AK194" i="76" s="1"/>
  <c r="BG194" i="76" s="1"/>
  <c r="BW194" i="76"/>
  <c r="AG194" i="76"/>
  <c r="AI194" i="76"/>
  <c r="AH194" i="76"/>
  <c r="AM420" i="76"/>
  <c r="AI420" i="76"/>
  <c r="AH420" i="76"/>
  <c r="AG420" i="76"/>
  <c r="BW420" i="76"/>
  <c r="AK420" i="76" a="1"/>
  <c r="AK420" i="76" s="1"/>
  <c r="BG420" i="76" s="1"/>
  <c r="AG531" i="76"/>
  <c r="AK531" i="76" a="1"/>
  <c r="AK531" i="76" s="1"/>
  <c r="BG531" i="76" s="1"/>
  <c r="AI531" i="76"/>
  <c r="AM531" i="76"/>
  <c r="BW531" i="76"/>
  <c r="AH531" i="76"/>
  <c r="AI493" i="76"/>
  <c r="AK493" i="76" a="1"/>
  <c r="AK493" i="76" s="1"/>
  <c r="BG493" i="76" s="1"/>
  <c r="BW493" i="76"/>
  <c r="AG493" i="76"/>
  <c r="AM493" i="76"/>
  <c r="AH493" i="76"/>
  <c r="AQ530" i="76"/>
  <c r="AX530" i="76"/>
  <c r="BD530" i="76" s="1"/>
  <c r="AE530" i="76"/>
  <c r="AX119" i="76"/>
  <c r="BD119" i="76" s="1"/>
  <c r="AQ119" i="76"/>
  <c r="AE119" i="76"/>
  <c r="AQ264" i="76"/>
  <c r="AX264" i="76"/>
  <c r="BD264" i="76" s="1"/>
  <c r="AE264" i="76"/>
  <c r="BW134" i="76"/>
  <c r="AM134" i="76"/>
  <c r="AK134" i="76" a="1"/>
  <c r="AK134" i="76" s="1"/>
  <c r="BG134" i="76" s="1"/>
  <c r="AH134" i="76"/>
  <c r="AI134" i="76"/>
  <c r="AG134" i="76"/>
  <c r="AM210" i="76"/>
  <c r="AH210" i="76"/>
  <c r="AK210" i="76" a="1"/>
  <c r="AK210" i="76" s="1"/>
  <c r="BG210" i="76" s="1"/>
  <c r="AI210" i="76"/>
  <c r="AG210" i="76"/>
  <c r="BW210" i="76"/>
  <c r="AM295" i="76"/>
  <c r="BW295" i="76"/>
  <c r="AI295" i="76"/>
  <c r="AK295" i="76" a="1"/>
  <c r="AK295" i="76" s="1"/>
  <c r="BG295" i="76" s="1"/>
  <c r="AG295" i="76"/>
  <c r="AH295" i="76"/>
  <c r="BW217" i="76"/>
  <c r="AM217" i="76"/>
  <c r="AG217" i="76"/>
  <c r="AK217" i="76" a="1"/>
  <c r="AK217" i="76" s="1"/>
  <c r="BG217" i="76" s="1"/>
  <c r="AH217" i="76"/>
  <c r="AI217" i="76"/>
  <c r="BW353" i="76"/>
  <c r="AI353" i="76"/>
  <c r="AH353" i="76"/>
  <c r="AK353" i="76" a="1"/>
  <c r="AK353" i="76" s="1"/>
  <c r="BG353" i="76" s="1"/>
  <c r="AM353" i="76"/>
  <c r="AG353" i="76"/>
  <c r="AK216" i="76" a="1"/>
  <c r="AK216" i="76" s="1"/>
  <c r="BG216" i="76" s="1"/>
  <c r="BW216" i="76"/>
  <c r="AM216" i="76"/>
  <c r="AI216" i="76"/>
  <c r="AG216" i="76"/>
  <c r="AH216" i="76"/>
  <c r="AG251" i="76"/>
  <c r="AM251" i="76"/>
  <c r="BW251" i="76"/>
  <c r="AI251" i="76"/>
  <c r="AH251" i="76"/>
  <c r="AK251" i="76" a="1"/>
  <c r="AK251" i="76" s="1"/>
  <c r="BG251" i="76" s="1"/>
  <c r="AQ279" i="76"/>
  <c r="AX279" i="76"/>
  <c r="BD279" i="76" s="1"/>
  <c r="AE279" i="76"/>
  <c r="AQ402" i="76"/>
  <c r="AX402" i="76"/>
  <c r="BD402" i="76" s="1"/>
  <c r="AI529" i="76"/>
  <c r="AH529" i="76"/>
  <c r="AG529" i="76"/>
  <c r="BW529" i="76"/>
  <c r="AM529" i="76"/>
  <c r="AK529" i="76" a="1"/>
  <c r="AK529" i="76" s="1"/>
  <c r="BG529" i="76" s="1"/>
  <c r="BW543" i="76"/>
  <c r="AK543" i="76" a="1"/>
  <c r="AK543" i="76" s="1"/>
  <c r="BG543" i="76" s="1"/>
  <c r="AI543" i="76"/>
  <c r="AG543" i="76"/>
  <c r="AM543" i="76"/>
  <c r="AH543" i="76"/>
  <c r="AX327" i="76"/>
  <c r="BD327" i="76" s="1"/>
  <c r="AQ327" i="76"/>
  <c r="AE327" i="76"/>
  <c r="AX313" i="76"/>
  <c r="BD313" i="76" s="1"/>
  <c r="AQ313" i="76"/>
  <c r="AE313" i="76"/>
  <c r="AK503" i="76" a="1"/>
  <c r="AK503" i="76" s="1"/>
  <c r="BG503" i="76" s="1"/>
  <c r="AH503" i="76"/>
  <c r="AG503" i="76"/>
  <c r="BW503" i="76"/>
  <c r="AI503" i="76"/>
  <c r="AM503" i="76"/>
  <c r="AX173" i="76"/>
  <c r="BD173" i="76" s="1"/>
  <c r="AQ173" i="76"/>
  <c r="AE173" i="76"/>
  <c r="AX374" i="76"/>
  <c r="BD374" i="76" s="1"/>
  <c r="AQ374" i="76"/>
  <c r="AE374" i="76"/>
  <c r="AX218" i="76"/>
  <c r="BD218" i="76" s="1"/>
  <c r="AQ218" i="76"/>
  <c r="AE218" i="76"/>
  <c r="BW301" i="76"/>
  <c r="AM301" i="76"/>
  <c r="AI301" i="76"/>
  <c r="AG301" i="76"/>
  <c r="AK301" i="76" a="1"/>
  <c r="AK301" i="76" s="1"/>
  <c r="BG301" i="76" s="1"/>
  <c r="AH301" i="76"/>
  <c r="AQ382" i="76"/>
  <c r="AX382" i="76"/>
  <c r="BD382" i="76" s="1"/>
  <c r="AE382" i="76"/>
  <c r="AQ301" i="76"/>
  <c r="AX301" i="76"/>
  <c r="BD301" i="76" s="1"/>
  <c r="AQ282" i="76"/>
  <c r="AX282" i="76"/>
  <c r="BD282" i="76" s="1"/>
  <c r="AE282" i="76"/>
  <c r="AI75" i="76"/>
  <c r="AH75" i="76"/>
  <c r="AG75" i="76"/>
  <c r="AM75" i="76"/>
  <c r="BW75" i="76"/>
  <c r="AK75" i="76" a="1"/>
  <c r="AK75" i="76" s="1"/>
  <c r="BG75" i="76" s="1"/>
  <c r="BW45" i="76"/>
  <c r="AM45" i="76"/>
  <c r="AI45" i="76"/>
  <c r="AK45" i="76" a="1"/>
  <c r="AK45" i="76" s="1"/>
  <c r="BG45" i="76" s="1"/>
  <c r="AH45" i="76"/>
  <c r="AG45" i="76"/>
  <c r="AX302" i="76"/>
  <c r="BD302" i="76" s="1"/>
  <c r="AQ302" i="76"/>
  <c r="AE302" i="76"/>
  <c r="BW369" i="76"/>
  <c r="AK369" i="76" a="1"/>
  <c r="AK369" i="76" s="1"/>
  <c r="BG369" i="76" s="1"/>
  <c r="AM369" i="76"/>
  <c r="AI369" i="76"/>
  <c r="AH369" i="76"/>
  <c r="AG369" i="76"/>
  <c r="AI303" i="76"/>
  <c r="AH303" i="76"/>
  <c r="AM303" i="76"/>
  <c r="BW303" i="76"/>
  <c r="AG303" i="76"/>
  <c r="AK303" i="76" a="1"/>
  <c r="AK303" i="76" s="1"/>
  <c r="BG303" i="76" s="1"/>
  <c r="AQ32" i="76"/>
  <c r="AX32" i="76"/>
  <c r="BD32" i="76" s="1"/>
  <c r="AH347" i="76"/>
  <c r="AG347" i="76"/>
  <c r="AI347" i="76"/>
  <c r="AK347" i="76" a="1"/>
  <c r="AK347" i="76" s="1"/>
  <c r="BG347" i="76" s="1"/>
  <c r="BW347" i="76"/>
  <c r="AM347" i="76"/>
  <c r="AI439" i="76"/>
  <c r="BW439" i="76"/>
  <c r="AM439" i="76"/>
  <c r="AH439" i="76"/>
  <c r="AG439" i="76"/>
  <c r="AK439" i="76" a="1"/>
  <c r="AK439" i="76" s="1"/>
  <c r="BG439" i="76" s="1"/>
  <c r="AI268" i="76"/>
  <c r="AH268" i="76"/>
  <c r="AG268" i="76"/>
  <c r="AK268" i="76" a="1"/>
  <c r="AK268" i="76" s="1"/>
  <c r="BG268" i="76" s="1"/>
  <c r="AM268" i="76"/>
  <c r="BW268" i="76"/>
  <c r="BW340" i="76"/>
  <c r="AM340" i="76"/>
  <c r="AI340" i="76"/>
  <c r="AH340" i="76"/>
  <c r="AG340" i="76"/>
  <c r="AK340" i="76" a="1"/>
  <c r="AK340" i="76" s="1"/>
  <c r="BG340" i="76" s="1"/>
  <c r="AG360" i="76"/>
  <c r="BW360" i="76"/>
  <c r="AH360" i="76"/>
  <c r="AM360" i="76"/>
  <c r="AI360" i="76"/>
  <c r="AK360" i="76" a="1"/>
  <c r="AK360" i="76" s="1"/>
  <c r="BG360" i="76" s="1"/>
  <c r="AX542" i="76"/>
  <c r="BD542" i="76" s="1"/>
  <c r="AQ542" i="76"/>
  <c r="AQ340" i="76"/>
  <c r="AX340" i="76"/>
  <c r="BD340" i="76" s="1"/>
  <c r="AG197" i="76"/>
  <c r="AK197" i="76" a="1"/>
  <c r="AK197" i="76" s="1"/>
  <c r="BG197" i="76" s="1"/>
  <c r="AM197" i="76"/>
  <c r="AI197" i="76"/>
  <c r="AH197" i="76"/>
  <c r="BW197" i="76"/>
  <c r="BW96" i="76"/>
  <c r="AM96" i="76"/>
  <c r="AK96" i="76" a="1"/>
  <c r="AK96" i="76" s="1"/>
  <c r="BG96" i="76" s="1"/>
  <c r="AI96" i="76"/>
  <c r="AH96" i="76"/>
  <c r="AG96" i="76"/>
  <c r="AX492" i="76"/>
  <c r="BD492" i="76" s="1"/>
  <c r="AQ492" i="76"/>
  <c r="AM281" i="76"/>
  <c r="AI281" i="76"/>
  <c r="AG281" i="76"/>
  <c r="AK281" i="76" a="1"/>
  <c r="AK281" i="76" s="1"/>
  <c r="BG281" i="76" s="1"/>
  <c r="AH281" i="76"/>
  <c r="BW281" i="76"/>
  <c r="AQ286" i="76"/>
  <c r="AX286" i="76"/>
  <c r="BD286" i="76" s="1"/>
  <c r="AX341" i="76"/>
  <c r="BD341" i="76" s="1"/>
  <c r="AQ341" i="76"/>
  <c r="AQ96" i="76"/>
  <c r="AX96" i="76"/>
  <c r="BD96" i="76" s="1"/>
  <c r="BW437" i="76"/>
  <c r="AK437" i="76" a="1"/>
  <c r="AK437" i="76" s="1"/>
  <c r="BG437" i="76" s="1"/>
  <c r="AH437" i="76"/>
  <c r="AM437" i="76"/>
  <c r="AI437" i="76"/>
  <c r="AG437" i="76"/>
  <c r="AI411" i="76"/>
  <c r="AH411" i="76"/>
  <c r="BW411" i="76"/>
  <c r="AK411" i="76" a="1"/>
  <c r="AK411" i="76" s="1"/>
  <c r="BG411" i="76" s="1"/>
  <c r="AG411" i="76"/>
  <c r="AM411" i="76"/>
  <c r="AX366" i="76"/>
  <c r="BD366" i="76" s="1"/>
  <c r="AQ366" i="76"/>
  <c r="BW70" i="76"/>
  <c r="AM70" i="76"/>
  <c r="AI70" i="76"/>
  <c r="AH70" i="76"/>
  <c r="AG70" i="76"/>
  <c r="AK70" i="76" a="1"/>
  <c r="AK70" i="76" s="1"/>
  <c r="BG70" i="76" s="1"/>
  <c r="AM480" i="76"/>
  <c r="AI480" i="76"/>
  <c r="AH480" i="76"/>
  <c r="AG480" i="76"/>
  <c r="AK480" i="76" a="1"/>
  <c r="AK480" i="76" s="1"/>
  <c r="BG480" i="76" s="1"/>
  <c r="BW480" i="76"/>
  <c r="AI56" i="76"/>
  <c r="AH56" i="76"/>
  <c r="AG56" i="76"/>
  <c r="AM56" i="76"/>
  <c r="AK56" i="76" a="1"/>
  <c r="AK56" i="76" s="1"/>
  <c r="BG56" i="76" s="1"/>
  <c r="BW56" i="76"/>
  <c r="AQ25" i="76"/>
  <c r="AX25" i="76"/>
  <c r="BD25" i="76" s="1"/>
  <c r="AK426" i="76" a="1"/>
  <c r="AK426" i="76" s="1"/>
  <c r="BG426" i="76" s="1"/>
  <c r="AM426" i="76"/>
  <c r="AG426" i="76"/>
  <c r="AI426" i="76"/>
  <c r="AH426" i="76"/>
  <c r="BW426" i="76"/>
  <c r="AX429" i="76"/>
  <c r="BD429" i="76" s="1"/>
  <c r="AQ429" i="76"/>
  <c r="AQ104" i="76"/>
  <c r="AX104" i="76"/>
  <c r="BD104" i="76" s="1"/>
  <c r="BW479" i="76"/>
  <c r="AM479" i="76"/>
  <c r="AG479" i="76"/>
  <c r="AK479" i="76" a="1"/>
  <c r="AK479" i="76" s="1"/>
  <c r="BG479" i="76" s="1"/>
  <c r="AH479" i="76"/>
  <c r="AI479" i="76"/>
  <c r="AX168" i="76"/>
  <c r="BD168" i="76" s="1"/>
  <c r="AQ168" i="76"/>
  <c r="AX332" i="76"/>
  <c r="BD332" i="76" s="1"/>
  <c r="AQ332" i="76"/>
  <c r="AE366" i="76"/>
  <c r="AG53" i="76"/>
  <c r="AI53" i="76"/>
  <c r="AH53" i="76"/>
  <c r="AM53" i="76"/>
  <c r="AK53" i="76" a="1"/>
  <c r="AK53" i="76" s="1"/>
  <c r="BG53" i="76" s="1"/>
  <c r="BW53" i="76"/>
  <c r="AQ502" i="76"/>
  <c r="AX502" i="76"/>
  <c r="BD502" i="76" s="1"/>
  <c r="AX98" i="76"/>
  <c r="BD98" i="76" s="1"/>
  <c r="AQ98" i="76"/>
  <c r="AQ272" i="76"/>
  <c r="AX272" i="76"/>
  <c r="BD272" i="76" s="1"/>
  <c r="AX516" i="76"/>
  <c r="BD516" i="76" s="1"/>
  <c r="AQ516" i="76"/>
  <c r="AQ70" i="76"/>
  <c r="AX70" i="76"/>
  <c r="BD70" i="76" s="1"/>
  <c r="AQ236" i="76"/>
  <c r="AX236" i="76"/>
  <c r="BD236" i="76" s="1"/>
  <c r="AM35" i="76"/>
  <c r="AI35" i="76"/>
  <c r="AH35" i="76"/>
  <c r="BW35" i="76"/>
  <c r="AG35" i="76"/>
  <c r="AK35" i="76" a="1"/>
  <c r="AK35" i="76" s="1"/>
  <c r="BG35" i="76" s="1"/>
  <c r="AQ182" i="76"/>
  <c r="AX182" i="76"/>
  <c r="BD182" i="76" s="1"/>
  <c r="AM200" i="76"/>
  <c r="AK200" i="76" a="1"/>
  <c r="AK200" i="76" s="1"/>
  <c r="BG200" i="76" s="1"/>
  <c r="AI200" i="76"/>
  <c r="AH200" i="76"/>
  <c r="AG200" i="76"/>
  <c r="BW200" i="76"/>
  <c r="BW466" i="76"/>
  <c r="AK466" i="76" a="1"/>
  <c r="AK466" i="76" s="1"/>
  <c r="BG466" i="76" s="1"/>
  <c r="AI466" i="76"/>
  <c r="AH466" i="76"/>
  <c r="AG466" i="76"/>
  <c r="AM466" i="76"/>
  <c r="AQ233" i="76"/>
  <c r="AX233" i="76"/>
  <c r="BD233" i="76" s="1"/>
  <c r="BW86" i="76"/>
  <c r="AM86" i="76"/>
  <c r="AI86" i="76"/>
  <c r="AH86" i="76"/>
  <c r="AG86" i="76"/>
  <c r="AK86" i="76" a="1"/>
  <c r="AK86" i="76" s="1"/>
  <c r="BG86" i="76" s="1"/>
  <c r="AH345" i="76"/>
  <c r="AG345" i="76"/>
  <c r="BW345" i="76"/>
  <c r="AM345" i="76"/>
  <c r="AK345" i="76" a="1"/>
  <c r="AK345" i="76" s="1"/>
  <c r="BG345" i="76" s="1"/>
  <c r="AI345" i="76"/>
  <c r="AX201" i="76"/>
  <c r="BD201" i="76" s="1"/>
  <c r="AQ201" i="76"/>
  <c r="AX74" i="76"/>
  <c r="BD74" i="76" s="1"/>
  <c r="AQ74" i="76"/>
  <c r="AG112" i="76"/>
  <c r="AM112" i="76"/>
  <c r="AK112" i="76" a="1"/>
  <c r="AK112" i="76" s="1"/>
  <c r="BG112" i="76" s="1"/>
  <c r="AI112" i="76"/>
  <c r="BW112" i="76"/>
  <c r="AH112" i="76"/>
  <c r="AQ185" i="76"/>
  <c r="AX185" i="76"/>
  <c r="BD185" i="76" s="1"/>
  <c r="AG445" i="76"/>
  <c r="AI445" i="76"/>
  <c r="AK445" i="76" a="1"/>
  <c r="AK445" i="76" s="1"/>
  <c r="BG445" i="76" s="1"/>
  <c r="AH445" i="76"/>
  <c r="BW445" i="76"/>
  <c r="AM445" i="76"/>
  <c r="AQ67" i="76"/>
  <c r="AX67" i="76"/>
  <c r="BD67" i="76" s="1"/>
  <c r="AQ471" i="76"/>
  <c r="AX471" i="76"/>
  <c r="BD471" i="76" s="1"/>
  <c r="BW321" i="76"/>
  <c r="AK321" i="76" a="1"/>
  <c r="AK321" i="76" s="1"/>
  <c r="BG321" i="76" s="1"/>
  <c r="AI321" i="76"/>
  <c r="AH321" i="76"/>
  <c r="AG321" i="76"/>
  <c r="AM321" i="76"/>
  <c r="AX83" i="76"/>
  <c r="BD83" i="76" s="1"/>
  <c r="AQ83" i="76"/>
  <c r="AM359" i="76"/>
  <c r="AI359" i="76"/>
  <c r="AK359" i="76" a="1"/>
  <c r="AK359" i="76" s="1"/>
  <c r="BG359" i="76" s="1"/>
  <c r="AG359" i="76"/>
  <c r="BW359" i="76"/>
  <c r="AH359" i="76"/>
  <c r="AK269" i="76" a="1"/>
  <c r="AK269" i="76" s="1"/>
  <c r="BG269" i="76" s="1"/>
  <c r="AI269" i="76"/>
  <c r="AM269" i="76"/>
  <c r="BW269" i="76"/>
  <c r="AH269" i="76"/>
  <c r="AG269" i="76"/>
  <c r="AX447" i="76"/>
  <c r="BD447" i="76" s="1"/>
  <c r="AQ447" i="76"/>
  <c r="AX369" i="76"/>
  <c r="BD369" i="76" s="1"/>
  <c r="AQ369" i="76"/>
  <c r="AI211" i="76"/>
  <c r="AH211" i="76"/>
  <c r="AG211" i="76"/>
  <c r="AM211" i="76"/>
  <c r="AK211" i="76" a="1"/>
  <c r="AK211" i="76" s="1"/>
  <c r="BG211" i="76" s="1"/>
  <c r="BW211" i="76"/>
  <c r="AG438" i="76"/>
  <c r="AK438" i="76" a="1"/>
  <c r="AK438" i="76" s="1"/>
  <c r="BG438" i="76" s="1"/>
  <c r="BW438" i="76"/>
  <c r="AI438" i="76"/>
  <c r="AM438" i="76"/>
  <c r="AH438" i="76"/>
  <c r="AG348" i="76"/>
  <c r="AM348" i="76"/>
  <c r="AK348" i="76" a="1"/>
  <c r="AK348" i="76" s="1"/>
  <c r="BG348" i="76" s="1"/>
  <c r="AI348" i="76"/>
  <c r="AH348" i="76"/>
  <c r="BW348" i="76"/>
  <c r="AQ135" i="76"/>
  <c r="AX135" i="76"/>
  <c r="BD135" i="76" s="1"/>
  <c r="AI386" i="76"/>
  <c r="AH386" i="76"/>
  <c r="AG386" i="76"/>
  <c r="AM386" i="76"/>
  <c r="BW386" i="76"/>
  <c r="AK386" i="76" a="1"/>
  <c r="AK386" i="76" s="1"/>
  <c r="BG386" i="76" s="1"/>
  <c r="AM464" i="76"/>
  <c r="AH464" i="76"/>
  <c r="BW464" i="76"/>
  <c r="AG464" i="76"/>
  <c r="AI464" i="76"/>
  <c r="AK464" i="76" a="1"/>
  <c r="AK464" i="76" s="1"/>
  <c r="BG464" i="76" s="1"/>
  <c r="AQ229" i="76"/>
  <c r="AX229" i="76"/>
  <c r="BD229" i="76" s="1"/>
  <c r="AG461" i="76"/>
  <c r="AK461" i="76" a="1"/>
  <c r="AK461" i="76" s="1"/>
  <c r="BG461" i="76" s="1"/>
  <c r="BW461" i="76"/>
  <c r="AI461" i="76"/>
  <c r="AH461" i="76"/>
  <c r="AM461" i="76"/>
  <c r="AG341" i="76"/>
  <c r="AM341" i="76"/>
  <c r="AK341" i="76" a="1"/>
  <c r="AK341" i="76" s="1"/>
  <c r="BG341" i="76" s="1"/>
  <c r="AI341" i="76"/>
  <c r="AH341" i="76"/>
  <c r="BW341" i="76"/>
  <c r="AX548" i="76"/>
  <c r="BD548" i="76" s="1"/>
  <c r="AQ548" i="76"/>
  <c r="AM50" i="76"/>
  <c r="AK50" i="76" a="1"/>
  <c r="AK50" i="76" s="1"/>
  <c r="BG50" i="76" s="1"/>
  <c r="BW50" i="76"/>
  <c r="AI50" i="76"/>
  <c r="AG50" i="76"/>
  <c r="AH50" i="76"/>
  <c r="AX510" i="76"/>
  <c r="BD510" i="76" s="1"/>
  <c r="AQ510" i="76"/>
  <c r="AQ360" i="76"/>
  <c r="AX360" i="76"/>
  <c r="BD360" i="76" s="1"/>
  <c r="AK516" i="76" a="1"/>
  <c r="AK516" i="76" s="1"/>
  <c r="BG516" i="76" s="1"/>
  <c r="AM516" i="76"/>
  <c r="AI516" i="76"/>
  <c r="AH516" i="76"/>
  <c r="AG516" i="76"/>
  <c r="BW516" i="76"/>
  <c r="AH361" i="76"/>
  <c r="AG361" i="76"/>
  <c r="AK361" i="76" a="1"/>
  <c r="AK361" i="76" s="1"/>
  <c r="BG361" i="76" s="1"/>
  <c r="BW361" i="76"/>
  <c r="AI361" i="76"/>
  <c r="AM361" i="76"/>
  <c r="BW87" i="76"/>
  <c r="AM87" i="76"/>
  <c r="AH87" i="76"/>
  <c r="AI87" i="76"/>
  <c r="AG87" i="76"/>
  <c r="AK87" i="76" a="1"/>
  <c r="AK87" i="76" s="1"/>
  <c r="BG87" i="76" s="1"/>
  <c r="AQ418" i="76"/>
  <c r="AX418" i="76"/>
  <c r="BD418" i="76" s="1"/>
  <c r="BW473" i="76"/>
  <c r="AM473" i="76"/>
  <c r="AI473" i="76"/>
  <c r="AH473" i="76"/>
  <c r="AG473" i="76"/>
  <c r="AK473" i="76" a="1"/>
  <c r="AK473" i="76" s="1"/>
  <c r="BG473" i="76" s="1"/>
  <c r="AX37" i="76"/>
  <c r="BD37" i="76" s="1"/>
  <c r="AQ37" i="76"/>
  <c r="AE542" i="76"/>
  <c r="AM25" i="76"/>
  <c r="BW25" i="76"/>
  <c r="AK25" i="76" a="1"/>
  <c r="AK25" i="76" s="1"/>
  <c r="BG25" i="76" s="1"/>
  <c r="AI25" i="76"/>
  <c r="AH25" i="76"/>
  <c r="AG25" i="76"/>
  <c r="AX50" i="76"/>
  <c r="BD50" i="76" s="1"/>
  <c r="AQ50" i="76"/>
  <c r="AK108" i="76" a="1"/>
  <c r="AK108" i="76" s="1"/>
  <c r="BG108" i="76" s="1"/>
  <c r="AH108" i="76"/>
  <c r="AI108" i="76"/>
  <c r="BW108" i="76"/>
  <c r="AG108" i="76"/>
  <c r="AM108" i="76"/>
  <c r="AG98" i="76"/>
  <c r="AM98" i="76"/>
  <c r="AI98" i="76"/>
  <c r="BW98" i="76"/>
  <c r="AH98" i="76"/>
  <c r="AK98" i="76" a="1"/>
  <c r="AK98" i="76" s="1"/>
  <c r="BG98" i="76" s="1"/>
  <c r="AX255" i="76"/>
  <c r="BD255" i="76" s="1"/>
  <c r="AQ255" i="76"/>
  <c r="AX403" i="76"/>
  <c r="BD403" i="76" s="1"/>
  <c r="AQ403" i="76"/>
  <c r="AI236" i="76"/>
  <c r="AH236" i="76"/>
  <c r="AM236" i="76"/>
  <c r="AG236" i="76"/>
  <c r="AK236" i="76" a="1"/>
  <c r="AK236" i="76" s="1"/>
  <c r="BG236" i="76" s="1"/>
  <c r="BW236" i="76"/>
  <c r="AQ440" i="76"/>
  <c r="AX440" i="76"/>
  <c r="BD440" i="76" s="1"/>
  <c r="AQ375" i="76"/>
  <c r="AX375" i="76"/>
  <c r="BD375" i="76" s="1"/>
  <c r="AE418" i="76"/>
  <c r="AQ473" i="76"/>
  <c r="AX473" i="76"/>
  <c r="BD473" i="76" s="1"/>
  <c r="BW67" i="76"/>
  <c r="AM67" i="76"/>
  <c r="AK67" i="76" a="1"/>
  <c r="AK67" i="76" s="1"/>
  <c r="BG67" i="76" s="1"/>
  <c r="AG67" i="76"/>
  <c r="AI67" i="76"/>
  <c r="AH67" i="76"/>
  <c r="AQ317" i="76"/>
  <c r="AX317" i="76"/>
  <c r="BD317" i="76" s="1"/>
  <c r="AK270" i="76" a="1"/>
  <c r="AK270" i="76" s="1"/>
  <c r="BG270" i="76" s="1"/>
  <c r="AG270" i="76"/>
  <c r="AH270" i="76"/>
  <c r="BW270" i="76"/>
  <c r="AM270" i="76"/>
  <c r="AI270" i="76"/>
  <c r="AQ254" i="76"/>
  <c r="AX254" i="76"/>
  <c r="BD254" i="76" s="1"/>
  <c r="AQ94" i="76"/>
  <c r="AX94" i="76"/>
  <c r="BD94" i="76" s="1"/>
  <c r="AQ426" i="76"/>
  <c r="AX426" i="76"/>
  <c r="BD426" i="76" s="1"/>
  <c r="AE104" i="76"/>
  <c r="AQ469" i="76"/>
  <c r="AX469" i="76"/>
  <c r="BD469" i="76" s="1"/>
  <c r="AK278" i="76" a="1"/>
  <c r="AK278" i="76" s="1"/>
  <c r="BG278" i="76" s="1"/>
  <c r="BW278" i="76"/>
  <c r="AM278" i="76"/>
  <c r="AG278" i="76"/>
  <c r="AH278" i="76"/>
  <c r="AI278" i="76"/>
  <c r="AH41" i="76"/>
  <c r="AG41" i="76"/>
  <c r="AM41" i="76"/>
  <c r="BW41" i="76"/>
  <c r="AI41" i="76"/>
  <c r="AK41" i="76" a="1"/>
  <c r="AK41" i="76" s="1"/>
  <c r="BG41" i="76" s="1"/>
  <c r="AX158" i="76"/>
  <c r="BD158" i="76" s="1"/>
  <c r="AQ158" i="76"/>
  <c r="AX451" i="76"/>
  <c r="BD451" i="76" s="1"/>
  <c r="AQ451" i="76"/>
  <c r="AQ209" i="76"/>
  <c r="AX209" i="76"/>
  <c r="BD209" i="76" s="1"/>
  <c r="BW520" i="76"/>
  <c r="AM520" i="76"/>
  <c r="AG520" i="76"/>
  <c r="AI520" i="76"/>
  <c r="AK520" i="76" a="1"/>
  <c r="AK520" i="76" s="1"/>
  <c r="BG520" i="76" s="1"/>
  <c r="AH520" i="76"/>
  <c r="AI491" i="76"/>
  <c r="AG491" i="76"/>
  <c r="AH491" i="76"/>
  <c r="AK491" i="76" a="1"/>
  <c r="AK491" i="76" s="1"/>
  <c r="BG491" i="76" s="1"/>
  <c r="AM491" i="76"/>
  <c r="BW491" i="76"/>
  <c r="AI161" i="76"/>
  <c r="AH161" i="76"/>
  <c r="AG161" i="76"/>
  <c r="AK161" i="76" a="1"/>
  <c r="AK161" i="76" s="1"/>
  <c r="BG161" i="76" s="1"/>
  <c r="BW161" i="76"/>
  <c r="AM161" i="76"/>
  <c r="AI288" i="76"/>
  <c r="AH288" i="76"/>
  <c r="AK288" i="76" a="1"/>
  <c r="AK288" i="76" s="1"/>
  <c r="BG288" i="76" s="1"/>
  <c r="AG288" i="76"/>
  <c r="BW288" i="76"/>
  <c r="AM288" i="76"/>
  <c r="BW103" i="76"/>
  <c r="AM103" i="76"/>
  <c r="AK103" i="76" a="1"/>
  <c r="AK103" i="76" s="1"/>
  <c r="BG103" i="76" s="1"/>
  <c r="AH103" i="76"/>
  <c r="AG103" i="76"/>
  <c r="AI103" i="76"/>
  <c r="AE403" i="76"/>
  <c r="AM338" i="76"/>
  <c r="BW338" i="76"/>
  <c r="AK338" i="76" a="1"/>
  <c r="AK338" i="76" s="1"/>
  <c r="BG338" i="76" s="1"/>
  <c r="AI338" i="76"/>
  <c r="AG338" i="76"/>
  <c r="AH338" i="76"/>
  <c r="AK165" i="76" a="1"/>
  <c r="AK165" i="76" s="1"/>
  <c r="BG165" i="76" s="1"/>
  <c r="BW165" i="76"/>
  <c r="AH165" i="76"/>
  <c r="AG165" i="76"/>
  <c r="AM165" i="76"/>
  <c r="AI165" i="76"/>
  <c r="AX316" i="76"/>
  <c r="BD316" i="76" s="1"/>
  <c r="AQ316" i="76"/>
  <c r="AG82" i="76"/>
  <c r="AH82" i="76"/>
  <c r="AI82" i="76"/>
  <c r="BW82" i="76"/>
  <c r="AM82" i="76"/>
  <c r="AK82" i="76" a="1"/>
  <c r="AK82" i="76" s="1"/>
  <c r="BG82" i="76" s="1"/>
  <c r="AX35" i="76"/>
  <c r="BD35" i="76" s="1"/>
  <c r="AQ35" i="76"/>
  <c r="AQ200" i="76"/>
  <c r="AX200" i="76"/>
  <c r="BD200" i="76" s="1"/>
  <c r="AQ466" i="76"/>
  <c r="AX466" i="76"/>
  <c r="BD466" i="76" s="1"/>
  <c r="AE233" i="76"/>
  <c r="AQ86" i="76"/>
  <c r="AX86" i="76"/>
  <c r="BD86" i="76" s="1"/>
  <c r="AX345" i="76"/>
  <c r="BD345" i="76" s="1"/>
  <c r="AQ345" i="76"/>
  <c r="AM518" i="76"/>
  <c r="AK518" i="76" a="1"/>
  <c r="AK518" i="76" s="1"/>
  <c r="BG518" i="76" s="1"/>
  <c r="BW518" i="76"/>
  <c r="AH518" i="76"/>
  <c r="AG518" i="76"/>
  <c r="AI518" i="76"/>
  <c r="BW95" i="76"/>
  <c r="AM95" i="76"/>
  <c r="AG95" i="76"/>
  <c r="AK95" i="76" a="1"/>
  <c r="AK95" i="76" s="1"/>
  <c r="BG95" i="76" s="1"/>
  <c r="AI95" i="76"/>
  <c r="AH95" i="76"/>
  <c r="AQ112" i="76"/>
  <c r="AX112" i="76"/>
  <c r="BD112" i="76" s="1"/>
  <c r="AQ89" i="76"/>
  <c r="AX89" i="76"/>
  <c r="BD89" i="76" s="1"/>
  <c r="AI431" i="76"/>
  <c r="AH431" i="76"/>
  <c r="AM431" i="76"/>
  <c r="AG431" i="76"/>
  <c r="AK431" i="76" a="1"/>
  <c r="AK431" i="76" s="1"/>
  <c r="BG431" i="76" s="1"/>
  <c r="BW431" i="76"/>
  <c r="AX449" i="76"/>
  <c r="BD449" i="76" s="1"/>
  <c r="AQ449" i="76"/>
  <c r="BW166" i="76"/>
  <c r="AM166" i="76"/>
  <c r="AI166" i="76"/>
  <c r="AH166" i="76"/>
  <c r="AK166" i="76" a="1"/>
  <c r="AK166" i="76" s="1"/>
  <c r="BG166" i="76" s="1"/>
  <c r="AG166" i="76"/>
  <c r="AE471" i="76"/>
  <c r="AQ321" i="76"/>
  <c r="AX321" i="76"/>
  <c r="BD321" i="76" s="1"/>
  <c r="AQ483" i="76"/>
  <c r="AX483" i="76"/>
  <c r="BD483" i="76" s="1"/>
  <c r="AQ417" i="76"/>
  <c r="AX417" i="76"/>
  <c r="BD417" i="76" s="1"/>
  <c r="AK148" i="76" a="1"/>
  <c r="AK148" i="76" s="1"/>
  <c r="BG148" i="76" s="1"/>
  <c r="AI148" i="76"/>
  <c r="AH148" i="76"/>
  <c r="AG148" i="76"/>
  <c r="BW148" i="76"/>
  <c r="AM148" i="76"/>
  <c r="AX188" i="76"/>
  <c r="BD188" i="76" s="1"/>
  <c r="AQ188" i="76"/>
  <c r="AG105" i="76"/>
  <c r="AI105" i="76"/>
  <c r="AH105" i="76"/>
  <c r="AK105" i="76" a="1"/>
  <c r="AK105" i="76" s="1"/>
  <c r="BG105" i="76" s="1"/>
  <c r="AM105" i="76"/>
  <c r="BW105" i="76"/>
  <c r="AQ460" i="76"/>
  <c r="AX460" i="76"/>
  <c r="BD460" i="76" s="1"/>
  <c r="AK548" i="76" a="1"/>
  <c r="AK548" i="76" s="1"/>
  <c r="BG548" i="76" s="1"/>
  <c r="AI548" i="76"/>
  <c r="BW548" i="76"/>
  <c r="AM548" i="76"/>
  <c r="AH548" i="76"/>
  <c r="AG548" i="76"/>
  <c r="AX547" i="76"/>
  <c r="BD547" i="76" s="1"/>
  <c r="AQ547" i="76"/>
  <c r="AG316" i="76"/>
  <c r="AI316" i="76"/>
  <c r="AH316" i="76"/>
  <c r="AM316" i="76"/>
  <c r="AK316" i="76" a="1"/>
  <c r="AK316" i="76" s="1"/>
  <c r="BG316" i="76" s="1"/>
  <c r="BW316" i="76"/>
  <c r="AX378" i="76"/>
  <c r="BD378" i="76" s="1"/>
  <c r="AQ378" i="76"/>
  <c r="AQ439" i="76"/>
  <c r="AX439" i="76"/>
  <c r="BD439" i="76" s="1"/>
  <c r="AM379" i="76"/>
  <c r="BW379" i="76"/>
  <c r="AK379" i="76" a="1"/>
  <c r="AK379" i="76" s="1"/>
  <c r="BG379" i="76" s="1"/>
  <c r="AG379" i="76"/>
  <c r="AH379" i="76"/>
  <c r="AI379" i="76"/>
  <c r="AE483" i="76"/>
  <c r="AG332" i="76"/>
  <c r="BW332" i="76"/>
  <c r="AH332" i="76"/>
  <c r="AM332" i="76"/>
  <c r="AI332" i="76"/>
  <c r="AK332" i="76" a="1"/>
  <c r="AK332" i="76" s="1"/>
  <c r="BG332" i="76" s="1"/>
  <c r="AQ526" i="76"/>
  <c r="AX526" i="76"/>
  <c r="BD526" i="76" s="1"/>
  <c r="BW255" i="76"/>
  <c r="AM255" i="76"/>
  <c r="AG255" i="76"/>
  <c r="AI255" i="76"/>
  <c r="AH255" i="76"/>
  <c r="AK255" i="76" a="1"/>
  <c r="AK255" i="76" s="1"/>
  <c r="BG255" i="76" s="1"/>
  <c r="AM440" i="76"/>
  <c r="AI440" i="76"/>
  <c r="AH440" i="76"/>
  <c r="AK440" i="76" a="1"/>
  <c r="AK440" i="76" s="1"/>
  <c r="BG440" i="76" s="1"/>
  <c r="BW440" i="76"/>
  <c r="AG440" i="76"/>
  <c r="AI182" i="76"/>
  <c r="AH182" i="76"/>
  <c r="AM182" i="76"/>
  <c r="AK182" i="76" a="1"/>
  <c r="AK182" i="76" s="1"/>
  <c r="BG182" i="76" s="1"/>
  <c r="AG182" i="76"/>
  <c r="BW182" i="76"/>
  <c r="AX348" i="76"/>
  <c r="BD348" i="76" s="1"/>
  <c r="AQ348" i="76"/>
  <c r="AX147" i="76"/>
  <c r="BD147" i="76" s="1"/>
  <c r="AQ147" i="76"/>
  <c r="AM375" i="76"/>
  <c r="AK375" i="76" a="1"/>
  <c r="AK375" i="76" s="1"/>
  <c r="BG375" i="76" s="1"/>
  <c r="AH375" i="76"/>
  <c r="AG375" i="76"/>
  <c r="AI375" i="76"/>
  <c r="BW375" i="76"/>
  <c r="AG162" i="76"/>
  <c r="AM162" i="76"/>
  <c r="AK162" i="76" a="1"/>
  <c r="AK162" i="76" s="1"/>
  <c r="BG162" i="76" s="1"/>
  <c r="AI162" i="76"/>
  <c r="AH162" i="76"/>
  <c r="BW162" i="76"/>
  <c r="AX461" i="76"/>
  <c r="BD461" i="76" s="1"/>
  <c r="AQ461" i="76"/>
  <c r="AQ534" i="76"/>
  <c r="AX534" i="76"/>
  <c r="BD534" i="76" s="1"/>
  <c r="AQ379" i="76"/>
  <c r="AX379" i="76"/>
  <c r="BD379" i="76" s="1"/>
  <c r="AQ219" i="76"/>
  <c r="AX219" i="76"/>
  <c r="BD219" i="76" s="1"/>
  <c r="BW94" i="76"/>
  <c r="AM94" i="76"/>
  <c r="AI94" i="76"/>
  <c r="AK94" i="76" a="1"/>
  <c r="AK94" i="76" s="1"/>
  <c r="BG94" i="76" s="1"/>
  <c r="AH94" i="76"/>
  <c r="AG94" i="76"/>
  <c r="AG429" i="76"/>
  <c r="AK429" i="76" a="1"/>
  <c r="AK429" i="76" s="1"/>
  <c r="BG429" i="76" s="1"/>
  <c r="AM429" i="76"/>
  <c r="BW429" i="76"/>
  <c r="AI429" i="76"/>
  <c r="AH429" i="76"/>
  <c r="AQ281" i="76"/>
  <c r="AX281" i="76"/>
  <c r="BD281" i="76" s="1"/>
  <c r="AQ211" i="76"/>
  <c r="AX211" i="76"/>
  <c r="BD211" i="76" s="1"/>
  <c r="AQ464" i="76"/>
  <c r="AX464" i="76"/>
  <c r="BD464" i="76" s="1"/>
  <c r="BW272" i="76"/>
  <c r="AG272" i="76"/>
  <c r="AM272" i="76"/>
  <c r="AK272" i="76" a="1"/>
  <c r="AK272" i="76" s="1"/>
  <c r="BG272" i="76" s="1"/>
  <c r="AI272" i="76"/>
  <c r="AH272" i="76"/>
  <c r="AX370" i="76"/>
  <c r="BD370" i="76" s="1"/>
  <c r="AQ370" i="76"/>
  <c r="AX361" i="76"/>
  <c r="BD361" i="76" s="1"/>
  <c r="AQ361" i="76"/>
  <c r="AX87" i="76"/>
  <c r="BD87" i="76" s="1"/>
  <c r="AQ87" i="76"/>
  <c r="BW201" i="76"/>
  <c r="AM201" i="76"/>
  <c r="AG201" i="76"/>
  <c r="AI201" i="76"/>
  <c r="AK201" i="76" a="1"/>
  <c r="AK201" i="76" s="1"/>
  <c r="BG201" i="76" s="1"/>
  <c r="AH201" i="76"/>
  <c r="AG74" i="76"/>
  <c r="AH74" i="76"/>
  <c r="AM74" i="76"/>
  <c r="AK74" i="76" a="1"/>
  <c r="AK74" i="76" s="1"/>
  <c r="BG74" i="76" s="1"/>
  <c r="AI74" i="76"/>
  <c r="BW74" i="76"/>
  <c r="AX162" i="76"/>
  <c r="BD162" i="76" s="1"/>
  <c r="AQ162" i="76"/>
  <c r="BW185" i="76"/>
  <c r="AM185" i="76"/>
  <c r="AK185" i="76" a="1"/>
  <c r="AK185" i="76" s="1"/>
  <c r="BG185" i="76" s="1"/>
  <c r="AH185" i="76"/>
  <c r="AG185" i="76"/>
  <c r="AI185" i="76"/>
  <c r="AE286" i="76"/>
  <c r="AX487" i="76"/>
  <c r="BD487" i="76" s="1"/>
  <c r="AQ487" i="76"/>
  <c r="AI198" i="76"/>
  <c r="AH198" i="76"/>
  <c r="BW198" i="76"/>
  <c r="AG198" i="76"/>
  <c r="AK198" i="76" a="1"/>
  <c r="AK198" i="76" s="1"/>
  <c r="BG198" i="76" s="1"/>
  <c r="AM198" i="76"/>
  <c r="AG72" i="76"/>
  <c r="BW72" i="76"/>
  <c r="AM72" i="76"/>
  <c r="AK72" i="76" a="1"/>
  <c r="AK72" i="76" s="1"/>
  <c r="BG72" i="76" s="1"/>
  <c r="AI72" i="76"/>
  <c r="AH72" i="76"/>
  <c r="AX180" i="76"/>
  <c r="BD180" i="76" s="1"/>
  <c r="AQ180" i="76"/>
  <c r="AQ437" i="76"/>
  <c r="AX437" i="76"/>
  <c r="BD437" i="76" s="1"/>
  <c r="BW469" i="76"/>
  <c r="AK469" i="76" a="1"/>
  <c r="AK469" i="76" s="1"/>
  <c r="BG469" i="76" s="1"/>
  <c r="AG469" i="76"/>
  <c r="AI469" i="76"/>
  <c r="AM469" i="76"/>
  <c r="AH469" i="76"/>
  <c r="BW158" i="76"/>
  <c r="AM158" i="76"/>
  <c r="AI158" i="76"/>
  <c r="AK158" i="76" a="1"/>
  <c r="AK158" i="76" s="1"/>
  <c r="BG158" i="76" s="1"/>
  <c r="AH158" i="76"/>
  <c r="AG158" i="76"/>
  <c r="AE370" i="76"/>
  <c r="AX480" i="76"/>
  <c r="BD480" i="76" s="1"/>
  <c r="AQ480" i="76"/>
  <c r="AG146" i="76"/>
  <c r="AH146" i="76"/>
  <c r="BW146" i="76"/>
  <c r="AM146" i="76"/>
  <c r="AK146" i="76" a="1"/>
  <c r="AK146" i="76" s="1"/>
  <c r="BG146" i="76" s="1"/>
  <c r="AI146" i="76"/>
  <c r="AQ56" i="76"/>
  <c r="AX56" i="76"/>
  <c r="BD56" i="76" s="1"/>
  <c r="AE180" i="76"/>
  <c r="AX53" i="76"/>
  <c r="BD53" i="76" s="1"/>
  <c r="AQ53" i="76"/>
  <c r="AQ72" i="76"/>
  <c r="AX72" i="76"/>
  <c r="BD72" i="76" s="1"/>
  <c r="AX270" i="76"/>
  <c r="BD270" i="76" s="1"/>
  <c r="AQ270" i="76"/>
  <c r="AX146" i="76"/>
  <c r="BD146" i="76" s="1"/>
  <c r="AQ146" i="76"/>
  <c r="AX197" i="76"/>
  <c r="BD197" i="76" s="1"/>
  <c r="AQ197" i="76"/>
  <c r="AE254" i="76"/>
  <c r="AQ203" i="76"/>
  <c r="AX203" i="76"/>
  <c r="BD203" i="76" s="1"/>
  <c r="AQ278" i="76"/>
  <c r="AX278" i="76"/>
  <c r="BD278" i="76" s="1"/>
  <c r="AX41" i="76"/>
  <c r="BD41" i="76" s="1"/>
  <c r="AQ41" i="76"/>
  <c r="AX479" i="76"/>
  <c r="BD479" i="76" s="1"/>
  <c r="AQ479" i="76"/>
  <c r="AE209" i="76"/>
  <c r="AX110" i="76"/>
  <c r="BD110" i="76" s="1"/>
  <c r="AQ110" i="76"/>
  <c r="AX520" i="76"/>
  <c r="BD520" i="76" s="1"/>
  <c r="AQ520" i="76"/>
  <c r="AH64" i="76"/>
  <c r="AG64" i="76"/>
  <c r="AM64" i="76"/>
  <c r="AI64" i="76"/>
  <c r="AK64" i="76" a="1"/>
  <c r="AK64" i="76" s="1"/>
  <c r="BG64" i="76" s="1"/>
  <c r="BW64" i="76"/>
  <c r="AX103" i="76"/>
  <c r="BD103" i="76" s="1"/>
  <c r="AQ103" i="76"/>
  <c r="AX82" i="76"/>
  <c r="BD82" i="76" s="1"/>
  <c r="AQ82" i="76"/>
  <c r="AQ385" i="76"/>
  <c r="AX385" i="76"/>
  <c r="BD385" i="76" s="1"/>
  <c r="AQ518" i="76"/>
  <c r="AX518" i="76"/>
  <c r="BD518" i="76" s="1"/>
  <c r="AX95" i="76"/>
  <c r="BD95" i="76" s="1"/>
  <c r="AQ95" i="76"/>
  <c r="AG235" i="76"/>
  <c r="AK235" i="76" a="1"/>
  <c r="AK235" i="76" s="1"/>
  <c r="BG235" i="76" s="1"/>
  <c r="AM235" i="76"/>
  <c r="AI235" i="76"/>
  <c r="BW235" i="76"/>
  <c r="AH235" i="76"/>
  <c r="AQ431" i="76"/>
  <c r="AX431" i="76"/>
  <c r="BD431" i="76" s="1"/>
  <c r="AE449" i="76"/>
  <c r="AQ166" i="76"/>
  <c r="AX166" i="76"/>
  <c r="BD166" i="76" s="1"/>
  <c r="AQ129" i="76"/>
  <c r="AX129" i="76"/>
  <c r="BD129" i="76" s="1"/>
  <c r="AM456" i="76"/>
  <c r="BW456" i="76"/>
  <c r="AK456" i="76" a="1"/>
  <c r="AK456" i="76" s="1"/>
  <c r="BG456" i="76" s="1"/>
  <c r="AI456" i="76"/>
  <c r="AH456" i="76"/>
  <c r="AG456" i="76"/>
  <c r="AM135" i="76"/>
  <c r="BW135" i="76"/>
  <c r="AK135" i="76" a="1"/>
  <c r="AK135" i="76" s="1"/>
  <c r="BG135" i="76" s="1"/>
  <c r="AH135" i="76"/>
  <c r="AG135" i="76"/>
  <c r="AI135" i="76"/>
  <c r="AQ48" i="76"/>
  <c r="AX48" i="76"/>
  <c r="BD48" i="76" s="1"/>
  <c r="AX523" i="76"/>
  <c r="BD523" i="76" s="1"/>
  <c r="AQ523" i="76"/>
  <c r="AQ271" i="76"/>
  <c r="AX271" i="76"/>
  <c r="BD271" i="76" s="1"/>
  <c r="AM510" i="76"/>
  <c r="AH510" i="76"/>
  <c r="AG510" i="76"/>
  <c r="BW510" i="76"/>
  <c r="AK510" i="76" a="1"/>
  <c r="AK510" i="76" s="1"/>
  <c r="BG510" i="76" s="1"/>
  <c r="AI510" i="76"/>
  <c r="AX536" i="76"/>
  <c r="BD536" i="76" s="1"/>
  <c r="AQ536" i="76"/>
  <c r="AX306" i="76"/>
  <c r="BD306" i="76" s="1"/>
  <c r="AQ306" i="76"/>
  <c r="BW37" i="76"/>
  <c r="AM37" i="76"/>
  <c r="AK37" i="76" a="1"/>
  <c r="AK37" i="76" s="1"/>
  <c r="BG37" i="76" s="1"/>
  <c r="AG37" i="76"/>
  <c r="AI37" i="76"/>
  <c r="AH37" i="76"/>
  <c r="AK534" i="76" a="1"/>
  <c r="AK534" i="76" s="1"/>
  <c r="BG534" i="76" s="1"/>
  <c r="AG534" i="76"/>
  <c r="AM534" i="76"/>
  <c r="AI534" i="76"/>
  <c r="AH534" i="76"/>
  <c r="BW534" i="76"/>
  <c r="AX192" i="76"/>
  <c r="BD192" i="76" s="1"/>
  <c r="AQ192" i="76"/>
  <c r="AQ304" i="76"/>
  <c r="AX304" i="76"/>
  <c r="BD304" i="76" s="1"/>
  <c r="AX126" i="76"/>
  <c r="BD126" i="76" s="1"/>
  <c r="AQ126" i="76"/>
  <c r="BW168" i="76"/>
  <c r="AM168" i="76"/>
  <c r="AK168" i="76" a="1"/>
  <c r="AK168" i="76" s="1"/>
  <c r="BG168" i="76" s="1"/>
  <c r="AG168" i="76"/>
  <c r="AI168" i="76"/>
  <c r="AH168" i="76"/>
  <c r="BW263" i="76"/>
  <c r="AM263" i="76"/>
  <c r="AK263" i="76" a="1"/>
  <c r="AK263" i="76" s="1"/>
  <c r="BG263" i="76" s="1"/>
  <c r="AI263" i="76"/>
  <c r="AH263" i="76"/>
  <c r="AG263" i="76"/>
  <c r="AH463" i="76"/>
  <c r="AG463" i="76"/>
  <c r="AM463" i="76"/>
  <c r="AK463" i="76" a="1"/>
  <c r="AK463" i="76" s="1"/>
  <c r="BG463" i="76" s="1"/>
  <c r="AI463" i="76"/>
  <c r="BW463" i="76"/>
  <c r="AQ444" i="76"/>
  <c r="AX444" i="76"/>
  <c r="BD444" i="76" s="1"/>
  <c r="AQ160" i="76"/>
  <c r="AX160" i="76"/>
  <c r="BD160" i="76" s="1"/>
  <c r="AX251" i="76"/>
  <c r="BD251" i="76" s="1"/>
  <c r="AQ251" i="76"/>
  <c r="AH195" i="76"/>
  <c r="AG195" i="76"/>
  <c r="AK195" i="76" a="1"/>
  <c r="AK195" i="76" s="1"/>
  <c r="BG195" i="76" s="1"/>
  <c r="AM195" i="76"/>
  <c r="AI195" i="76"/>
  <c r="BW195" i="76"/>
  <c r="AM311" i="76"/>
  <c r="AK311" i="76" a="1"/>
  <c r="AK311" i="76" s="1"/>
  <c r="BG311" i="76" s="1"/>
  <c r="BW311" i="76"/>
  <c r="AI311" i="76"/>
  <c r="AH311" i="76"/>
  <c r="AG311" i="76"/>
  <c r="BW40" i="76"/>
  <c r="AM40" i="76"/>
  <c r="AK40" i="76" a="1"/>
  <c r="AK40" i="76" s="1"/>
  <c r="BG40" i="76" s="1"/>
  <c r="AI40" i="76"/>
  <c r="AG40" i="76"/>
  <c r="AH40" i="76"/>
  <c r="AI123" i="76"/>
  <c r="AH123" i="76"/>
  <c r="AG123" i="76"/>
  <c r="AM123" i="76"/>
  <c r="BW123" i="76"/>
  <c r="AK123" i="76" a="1"/>
  <c r="AK123" i="76" s="1"/>
  <c r="BG123" i="76" s="1"/>
  <c r="AM128" i="76"/>
  <c r="BW128" i="76"/>
  <c r="AK128" i="76" a="1"/>
  <c r="AK128" i="76" s="1"/>
  <c r="BG128" i="76" s="1"/>
  <c r="AI128" i="76"/>
  <c r="AH128" i="76"/>
  <c r="AG128" i="76"/>
  <c r="AX216" i="76"/>
  <c r="BD216" i="76" s="1"/>
  <c r="AQ216" i="76"/>
  <c r="AX463" i="76"/>
  <c r="BD463" i="76" s="1"/>
  <c r="AQ463" i="76"/>
  <c r="AH428" i="76"/>
  <c r="AG428" i="76"/>
  <c r="AM428" i="76"/>
  <c r="AI428" i="76"/>
  <c r="BW428" i="76"/>
  <c r="AK428" i="76" a="1"/>
  <c r="AK428" i="76" s="1"/>
  <c r="BG428" i="76" s="1"/>
  <c r="AM127" i="76"/>
  <c r="BW127" i="76"/>
  <c r="AG127" i="76"/>
  <c r="AI127" i="76"/>
  <c r="AH127" i="76"/>
  <c r="AK127" i="76" a="1"/>
  <c r="AK127" i="76" s="1"/>
  <c r="BG127" i="76" s="1"/>
  <c r="AE160" i="76"/>
  <c r="AQ24" i="76"/>
  <c r="AX24" i="76"/>
  <c r="BD24" i="76" s="1"/>
  <c r="AK446" i="76" a="1"/>
  <c r="AK446" i="76" s="1"/>
  <c r="BG446" i="76" s="1"/>
  <c r="AG446" i="76"/>
  <c r="BW446" i="76"/>
  <c r="AM446" i="76"/>
  <c r="AI446" i="76"/>
  <c r="AH446" i="76"/>
  <c r="AQ549" i="76"/>
  <c r="AX549" i="76"/>
  <c r="BD549" i="76" s="1"/>
  <c r="AX372" i="76"/>
  <c r="BD372" i="76" s="1"/>
  <c r="AQ372" i="76"/>
  <c r="AM167" i="76"/>
  <c r="AK167" i="76" a="1"/>
  <c r="AK167" i="76" s="1"/>
  <c r="BG167" i="76" s="1"/>
  <c r="AH167" i="76"/>
  <c r="AG167" i="76"/>
  <c r="BW167" i="76"/>
  <c r="AI167" i="76"/>
  <c r="AQ29" i="76"/>
  <c r="AX29" i="76"/>
  <c r="BD29" i="76" s="1"/>
  <c r="AX377" i="76"/>
  <c r="BD377" i="76" s="1"/>
  <c r="AQ377" i="76"/>
  <c r="AK397" i="76" a="1"/>
  <c r="AK397" i="76" s="1"/>
  <c r="BG397" i="76" s="1"/>
  <c r="BW397" i="76"/>
  <c r="AG397" i="76"/>
  <c r="AH397" i="76"/>
  <c r="AM397" i="76"/>
  <c r="AI397" i="76"/>
  <c r="AG221" i="76"/>
  <c r="AM221" i="76"/>
  <c r="AI221" i="76"/>
  <c r="AH221" i="76"/>
  <c r="BW221" i="76"/>
  <c r="AK221" i="76" a="1"/>
  <c r="AK221" i="76" s="1"/>
  <c r="BG221" i="76" s="1"/>
  <c r="AM265" i="76"/>
  <c r="AI265" i="76"/>
  <c r="AK265" i="76" a="1"/>
  <c r="AK265" i="76" s="1"/>
  <c r="BG265" i="76" s="1"/>
  <c r="BW265" i="76"/>
  <c r="AH265" i="76"/>
  <c r="AG265" i="76"/>
  <c r="AI541" i="76"/>
  <c r="AH541" i="76"/>
  <c r="BW541" i="76"/>
  <c r="AK541" i="76" a="1"/>
  <c r="AK541" i="76" s="1"/>
  <c r="BG541" i="76" s="1"/>
  <c r="AG541" i="76"/>
  <c r="AM541" i="76"/>
  <c r="AQ293" i="76"/>
  <c r="AX293" i="76"/>
  <c r="BD293" i="76" s="1"/>
  <c r="AQ57" i="76"/>
  <c r="AX57" i="76"/>
  <c r="BD57" i="76" s="1"/>
  <c r="AQ432" i="76"/>
  <c r="AX432" i="76"/>
  <c r="BD432" i="76" s="1"/>
  <c r="BW401" i="76"/>
  <c r="AH401" i="76"/>
  <c r="AG401" i="76"/>
  <c r="AI401" i="76"/>
  <c r="AK401" i="76" a="1"/>
  <c r="AK401" i="76" s="1"/>
  <c r="BG401" i="76" s="1"/>
  <c r="AM401" i="76"/>
  <c r="AX499" i="76"/>
  <c r="BD499" i="76" s="1"/>
  <c r="AQ499" i="76"/>
  <c r="AQ232" i="76"/>
  <c r="AX232" i="76"/>
  <c r="BD232" i="76" s="1"/>
  <c r="AX78" i="76"/>
  <c r="BD78" i="76" s="1"/>
  <c r="AQ78" i="76"/>
  <c r="AM346" i="76"/>
  <c r="AK346" i="76" a="1"/>
  <c r="AK346" i="76" s="1"/>
  <c r="BG346" i="76" s="1"/>
  <c r="AG346" i="76"/>
  <c r="AH346" i="76"/>
  <c r="AI346" i="76"/>
  <c r="BW346" i="76"/>
  <c r="AX298" i="76"/>
  <c r="BD298" i="76" s="1"/>
  <c r="AQ298" i="76"/>
  <c r="AX446" i="76"/>
  <c r="BD446" i="76" s="1"/>
  <c r="AQ446" i="76"/>
  <c r="AX228" i="76"/>
  <c r="BD228" i="76" s="1"/>
  <c r="AQ228" i="76"/>
  <c r="AQ143" i="76"/>
  <c r="AX143" i="76"/>
  <c r="BD143" i="76" s="1"/>
  <c r="BW394" i="76"/>
  <c r="AK394" i="76" a="1"/>
  <c r="AK394" i="76" s="1"/>
  <c r="BG394" i="76" s="1"/>
  <c r="AI394" i="76"/>
  <c r="AH394" i="76"/>
  <c r="AG394" i="76"/>
  <c r="AM394" i="76"/>
  <c r="AK349" i="76" a="1"/>
  <c r="AK349" i="76" s="1"/>
  <c r="BG349" i="76" s="1"/>
  <c r="AH349" i="76"/>
  <c r="AG349" i="76"/>
  <c r="AM349" i="76"/>
  <c r="AI349" i="76"/>
  <c r="BW349" i="76"/>
  <c r="AQ280" i="76"/>
  <c r="AX280" i="76"/>
  <c r="BD280" i="76" s="1"/>
  <c r="AX167" i="76"/>
  <c r="BD167" i="76" s="1"/>
  <c r="AQ167" i="76"/>
  <c r="AG130" i="76"/>
  <c r="AM130" i="76"/>
  <c r="AK130" i="76" a="1"/>
  <c r="AK130" i="76" s="1"/>
  <c r="BG130" i="76" s="1"/>
  <c r="AH130" i="76"/>
  <c r="BW130" i="76"/>
  <c r="AI130" i="76"/>
  <c r="AK62" i="76" a="1"/>
  <c r="AK62" i="76" s="1"/>
  <c r="BG62" i="76" s="1"/>
  <c r="AM62" i="76"/>
  <c r="BW62" i="76"/>
  <c r="AI62" i="76"/>
  <c r="AH62" i="76"/>
  <c r="AG62" i="76"/>
  <c r="AQ128" i="76"/>
  <c r="AX128" i="76"/>
  <c r="BD128" i="76" s="1"/>
  <c r="AX259" i="76"/>
  <c r="BD259" i="76" s="1"/>
  <c r="AQ259" i="76"/>
  <c r="AX397" i="76"/>
  <c r="BD397" i="76" s="1"/>
  <c r="AQ397" i="76"/>
  <c r="AX221" i="76"/>
  <c r="BD221" i="76" s="1"/>
  <c r="AQ221" i="76"/>
  <c r="AQ265" i="76"/>
  <c r="AX265" i="76"/>
  <c r="BD265" i="76" s="1"/>
  <c r="AQ315" i="76"/>
  <c r="AX315" i="76"/>
  <c r="BD315" i="76" s="1"/>
  <c r="AE293" i="76"/>
  <c r="AI342" i="76"/>
  <c r="AH342" i="76"/>
  <c r="AM342" i="76"/>
  <c r="AG342" i="76"/>
  <c r="AK342" i="76" a="1"/>
  <c r="AK342" i="76" s="1"/>
  <c r="BG342" i="76" s="1"/>
  <c r="BW342" i="76"/>
  <c r="BW324" i="76"/>
  <c r="AM324" i="76"/>
  <c r="AI324" i="76"/>
  <c r="AH324" i="76"/>
  <c r="AK324" i="76" a="1"/>
  <c r="AK324" i="76" s="1"/>
  <c r="BG324" i="76" s="1"/>
  <c r="AG324" i="76"/>
  <c r="AX159" i="76"/>
  <c r="BD159" i="76" s="1"/>
  <c r="AQ159" i="76"/>
  <c r="AE78" i="76"/>
  <c r="AM170" i="76"/>
  <c r="BW170" i="76"/>
  <c r="AI170" i="76"/>
  <c r="AG170" i="76"/>
  <c r="AH170" i="76"/>
  <c r="AK170" i="76" a="1"/>
  <c r="AK170" i="76" s="1"/>
  <c r="BG170" i="76" s="1"/>
  <c r="AQ346" i="76"/>
  <c r="AX346" i="76"/>
  <c r="BD346" i="76" s="1"/>
  <c r="AE549" i="76"/>
  <c r="AH521" i="76"/>
  <c r="AG521" i="76"/>
  <c r="AK521" i="76" a="1"/>
  <c r="AK521" i="76" s="1"/>
  <c r="BG521" i="76" s="1"/>
  <c r="AI521" i="76"/>
  <c r="BW521" i="76"/>
  <c r="AM521" i="76"/>
  <c r="AQ388" i="76"/>
  <c r="AX388" i="76"/>
  <c r="BD388" i="76" s="1"/>
  <c r="AG517" i="76"/>
  <c r="BW517" i="76"/>
  <c r="AI517" i="76"/>
  <c r="AM517" i="76"/>
  <c r="AK517" i="76" a="1"/>
  <c r="AK517" i="76" s="1"/>
  <c r="BG517" i="76" s="1"/>
  <c r="AH517" i="76"/>
  <c r="AQ509" i="76"/>
  <c r="AX509" i="76"/>
  <c r="BD509" i="76" s="1"/>
  <c r="AX511" i="76"/>
  <c r="BD511" i="76" s="1"/>
  <c r="AQ511" i="76"/>
  <c r="AQ349" i="76"/>
  <c r="AX349" i="76"/>
  <c r="BD349" i="76" s="1"/>
  <c r="AH49" i="76"/>
  <c r="AG49" i="76"/>
  <c r="AM49" i="76"/>
  <c r="AK49" i="76" a="1"/>
  <c r="AK49" i="76" s="1"/>
  <c r="BG49" i="76" s="1"/>
  <c r="AI49" i="76"/>
  <c r="BW49" i="76"/>
  <c r="AX177" i="76"/>
  <c r="BD177" i="76" s="1"/>
  <c r="AQ177" i="76"/>
  <c r="AI252" i="76"/>
  <c r="AH252" i="76"/>
  <c r="BW252" i="76"/>
  <c r="AK252" i="76" a="1"/>
  <c r="AK252" i="76" s="1"/>
  <c r="BG252" i="76" s="1"/>
  <c r="AG252" i="76"/>
  <c r="AM252" i="76"/>
  <c r="AG154" i="76"/>
  <c r="AH154" i="76"/>
  <c r="BW154" i="76"/>
  <c r="AK154" i="76" a="1"/>
  <c r="AK154" i="76" s="1"/>
  <c r="BG154" i="76" s="1"/>
  <c r="AI154" i="76"/>
  <c r="AM154" i="76"/>
  <c r="AQ545" i="76"/>
  <c r="AX545" i="76"/>
  <c r="BD545" i="76" s="1"/>
  <c r="AK410" i="76" a="1"/>
  <c r="AK410" i="76" s="1"/>
  <c r="BG410" i="76" s="1"/>
  <c r="AI410" i="76"/>
  <c r="AH410" i="76"/>
  <c r="AG410" i="76"/>
  <c r="AM410" i="76"/>
  <c r="BW410" i="76"/>
  <c r="AM171" i="76"/>
  <c r="AK171" i="76" a="1"/>
  <c r="AK171" i="76" s="1"/>
  <c r="BG171" i="76" s="1"/>
  <c r="AI171" i="76"/>
  <c r="AH171" i="76"/>
  <c r="AG171" i="76"/>
  <c r="BW171" i="76"/>
  <c r="AH492" i="76"/>
  <c r="AG492" i="76"/>
  <c r="BW492" i="76"/>
  <c r="AM492" i="76"/>
  <c r="AK492" i="76" a="1"/>
  <c r="AK492" i="76" s="1"/>
  <c r="BG492" i="76" s="1"/>
  <c r="AI492" i="76"/>
  <c r="AI505" i="76"/>
  <c r="AH505" i="76"/>
  <c r="AG505" i="76"/>
  <c r="BW505" i="76"/>
  <c r="AK505" i="76" a="1"/>
  <c r="AK505" i="76" s="1"/>
  <c r="BG505" i="76" s="1"/>
  <c r="AM505" i="76"/>
  <c r="AK229" i="76" a="1"/>
  <c r="AK229" i="76" s="1"/>
  <c r="BG229" i="76" s="1"/>
  <c r="BW229" i="76"/>
  <c r="AM229" i="76"/>
  <c r="AG229" i="76"/>
  <c r="AI229" i="76"/>
  <c r="AH229" i="76"/>
  <c r="AI139" i="76"/>
  <c r="AH139" i="76"/>
  <c r="AG139" i="76"/>
  <c r="AM139" i="76"/>
  <c r="AK139" i="76" a="1"/>
  <c r="AK139" i="76" s="1"/>
  <c r="BG139" i="76" s="1"/>
  <c r="BW139" i="76"/>
  <c r="AQ456" i="76"/>
  <c r="AX456" i="76"/>
  <c r="BD456" i="76" s="1"/>
  <c r="AG306" i="76"/>
  <c r="AM306" i="76"/>
  <c r="AK306" i="76" a="1"/>
  <c r="AK306" i="76" s="1"/>
  <c r="BG306" i="76" s="1"/>
  <c r="BW306" i="76"/>
  <c r="AI306" i="76"/>
  <c r="AH306" i="76"/>
  <c r="AQ79" i="76"/>
  <c r="AX79" i="76"/>
  <c r="BD79" i="76" s="1"/>
  <c r="AG378" i="76"/>
  <c r="AI378" i="76"/>
  <c r="AH378" i="76"/>
  <c r="BW378" i="76"/>
  <c r="AM378" i="76"/>
  <c r="AK378" i="76" a="1"/>
  <c r="AK378" i="76" s="1"/>
  <c r="BG378" i="76" s="1"/>
  <c r="AQ303" i="76"/>
  <c r="AX303" i="76"/>
  <c r="BD303" i="76" s="1"/>
  <c r="AQ405" i="76"/>
  <c r="AX405" i="76"/>
  <c r="BD405" i="76" s="1"/>
  <c r="AX482" i="76"/>
  <c r="BD482" i="76" s="1"/>
  <c r="AQ482" i="76"/>
  <c r="AQ134" i="76"/>
  <c r="AX134" i="76"/>
  <c r="BD134" i="76" s="1"/>
  <c r="AQ312" i="76"/>
  <c r="AX312" i="76"/>
  <c r="BD312" i="76" s="1"/>
  <c r="AQ210" i="76"/>
  <c r="AX210" i="76"/>
  <c r="BD210" i="76" s="1"/>
  <c r="AM485" i="76"/>
  <c r="AK485" i="76" a="1"/>
  <c r="AK485" i="76" s="1"/>
  <c r="BG485" i="76" s="1"/>
  <c r="AI485" i="76"/>
  <c r="BW485" i="76"/>
  <c r="AG485" i="76"/>
  <c r="AH485" i="76"/>
  <c r="BW232" i="76"/>
  <c r="AM232" i="76"/>
  <c r="AK232" i="76" a="1"/>
  <c r="AK232" i="76" s="1"/>
  <c r="BG232" i="76" s="1"/>
  <c r="AI232" i="76"/>
  <c r="AH232" i="76"/>
  <c r="AG232" i="76"/>
  <c r="AQ543" i="76"/>
  <c r="AX543" i="76"/>
  <c r="BD543" i="76" s="1"/>
  <c r="AX396" i="76"/>
  <c r="BD396" i="76" s="1"/>
  <c r="AQ396" i="76"/>
  <c r="AQ496" i="76"/>
  <c r="AX496" i="76"/>
  <c r="BD496" i="76" s="1"/>
  <c r="BW385" i="76"/>
  <c r="AK385" i="76" a="1"/>
  <c r="AK385" i="76" s="1"/>
  <c r="BG385" i="76" s="1"/>
  <c r="AM385" i="76"/>
  <c r="AI385" i="76"/>
  <c r="AH385" i="76"/>
  <c r="AG385" i="76"/>
  <c r="AQ289" i="76"/>
  <c r="AX289" i="76"/>
  <c r="BD289" i="76" s="1"/>
  <c r="AM129" i="76"/>
  <c r="AI129" i="76"/>
  <c r="AK129" i="76" a="1"/>
  <c r="AK129" i="76" s="1"/>
  <c r="BG129" i="76" s="1"/>
  <c r="AH129" i="76"/>
  <c r="AG129" i="76"/>
  <c r="BW129" i="76"/>
  <c r="AK291" i="76" a="1"/>
  <c r="AK291" i="76" s="1"/>
  <c r="BG291" i="76" s="1"/>
  <c r="AI291" i="76"/>
  <c r="BW291" i="76"/>
  <c r="AH291" i="76"/>
  <c r="AG291" i="76"/>
  <c r="AM291" i="76"/>
  <c r="AG319" i="76"/>
  <c r="AM319" i="76"/>
  <c r="BW319" i="76"/>
  <c r="AI319" i="76"/>
  <c r="AH319" i="76"/>
  <c r="AK319" i="76" a="1"/>
  <c r="AK319" i="76" s="1"/>
  <c r="BG319" i="76" s="1"/>
  <c r="AQ150" i="76"/>
  <c r="AX150" i="76"/>
  <c r="BD150" i="76" s="1"/>
  <c r="AQ71" i="76"/>
  <c r="AX71" i="76"/>
  <c r="BD71" i="76" s="1"/>
  <c r="AX481" i="76"/>
  <c r="BD481" i="76" s="1"/>
  <c r="AQ481" i="76"/>
  <c r="BW57" i="76"/>
  <c r="AM57" i="76"/>
  <c r="AH57" i="76"/>
  <c r="AG57" i="76"/>
  <c r="AK57" i="76" a="1"/>
  <c r="AK57" i="76" s="1"/>
  <c r="BG57" i="76" s="1"/>
  <c r="AI57" i="76"/>
  <c r="AG499" i="76"/>
  <c r="BW499" i="76"/>
  <c r="AM499" i="76"/>
  <c r="AH499" i="76"/>
  <c r="AK499" i="76" a="1"/>
  <c r="AK499" i="76" s="1"/>
  <c r="BG499" i="76" s="1"/>
  <c r="AI499" i="76"/>
  <c r="AH442" i="76"/>
  <c r="BW442" i="76"/>
  <c r="AK442" i="76" a="1"/>
  <c r="AK442" i="76" s="1"/>
  <c r="BG442" i="76" s="1"/>
  <c r="AM442" i="76"/>
  <c r="AI442" i="76"/>
  <c r="AG442" i="76"/>
  <c r="AM143" i="76"/>
  <c r="BW143" i="76"/>
  <c r="AK143" i="76" a="1"/>
  <c r="AK143" i="76" s="1"/>
  <c r="BG143" i="76" s="1"/>
  <c r="AI143" i="76"/>
  <c r="AH143" i="76"/>
  <c r="AG143" i="76"/>
  <c r="AX217" i="76"/>
  <c r="BD217" i="76" s="1"/>
  <c r="AQ217" i="76"/>
  <c r="AM89" i="76"/>
  <c r="BW89" i="76"/>
  <c r="AI89" i="76"/>
  <c r="AG89" i="76"/>
  <c r="AH89" i="76"/>
  <c r="AK89" i="76" a="1"/>
  <c r="AK89" i="76" s="1"/>
  <c r="BG89" i="76" s="1"/>
  <c r="AE304" i="76"/>
  <c r="AE150" i="76"/>
  <c r="BW274" i="76"/>
  <c r="AG274" i="76"/>
  <c r="AK274" i="76" a="1"/>
  <c r="AK274" i="76" s="1"/>
  <c r="BG274" i="76" s="1"/>
  <c r="AI274" i="76"/>
  <c r="AM274" i="76"/>
  <c r="AH274" i="76"/>
  <c r="AX337" i="76"/>
  <c r="BD337" i="76" s="1"/>
  <c r="AQ337" i="76"/>
  <c r="BW451" i="76"/>
  <c r="AM451" i="76"/>
  <c r="AK451" i="76" a="1"/>
  <c r="AK451" i="76" s="1"/>
  <c r="BG451" i="76" s="1"/>
  <c r="AI451" i="76"/>
  <c r="AG451" i="76"/>
  <c r="AH451" i="76"/>
  <c r="AX428" i="76"/>
  <c r="BD428" i="76" s="1"/>
  <c r="AQ428" i="76"/>
  <c r="AX127" i="76"/>
  <c r="BD127" i="76" s="1"/>
  <c r="AQ127" i="76"/>
  <c r="AM159" i="76"/>
  <c r="BW159" i="76"/>
  <c r="AG159" i="76"/>
  <c r="AK159" i="76" a="1"/>
  <c r="AK159" i="76" s="1"/>
  <c r="BG159" i="76" s="1"/>
  <c r="AH159" i="76"/>
  <c r="AI159" i="76"/>
  <c r="AI115" i="76"/>
  <c r="AH115" i="76"/>
  <c r="AG115" i="76"/>
  <c r="AM115" i="76"/>
  <c r="AK115" i="76" a="1"/>
  <c r="AK115" i="76" s="1"/>
  <c r="BG115" i="76" s="1"/>
  <c r="BW115" i="76"/>
  <c r="AQ442" i="76"/>
  <c r="AX442" i="76"/>
  <c r="BD442" i="76" s="1"/>
  <c r="AI509" i="76"/>
  <c r="BW509" i="76"/>
  <c r="AM509" i="76"/>
  <c r="AK509" i="76" a="1"/>
  <c r="AK509" i="76" s="1"/>
  <c r="BG509" i="76" s="1"/>
  <c r="AG509" i="76"/>
  <c r="AH509" i="76"/>
  <c r="AQ430" i="76"/>
  <c r="AX430" i="76"/>
  <c r="BD430" i="76" s="1"/>
  <c r="AQ474" i="76"/>
  <c r="AX474" i="76"/>
  <c r="BD474" i="76" s="1"/>
  <c r="BW177" i="76"/>
  <c r="AM177" i="76"/>
  <c r="AK177" i="76" a="1"/>
  <c r="AK177" i="76" s="1"/>
  <c r="BG177" i="76" s="1"/>
  <c r="AI177" i="76"/>
  <c r="AG177" i="76"/>
  <c r="AH177" i="76"/>
  <c r="AX242" i="76"/>
  <c r="BD242" i="76" s="1"/>
  <c r="AQ242" i="76"/>
  <c r="BW202" i="76"/>
  <c r="AK202" i="76" a="1"/>
  <c r="AK202" i="76" s="1"/>
  <c r="BG202" i="76" s="1"/>
  <c r="AG202" i="76"/>
  <c r="AM202" i="76"/>
  <c r="AI202" i="76"/>
  <c r="AH202" i="76"/>
  <c r="AX130" i="76"/>
  <c r="BD130" i="76" s="1"/>
  <c r="AQ130" i="76"/>
  <c r="AX62" i="76"/>
  <c r="BD62" i="76" s="1"/>
  <c r="AQ62" i="76"/>
  <c r="AQ121" i="76"/>
  <c r="AX121" i="76"/>
  <c r="BD121" i="76" s="1"/>
  <c r="AX541" i="76"/>
  <c r="BD541" i="76" s="1"/>
  <c r="AQ541" i="76"/>
  <c r="AE315" i="76"/>
  <c r="AQ102" i="76"/>
  <c r="AX102" i="76"/>
  <c r="BD102" i="76" s="1"/>
  <c r="AQ176" i="76"/>
  <c r="AX176" i="76"/>
  <c r="BD176" i="76" s="1"/>
  <c r="AG181" i="76"/>
  <c r="AK181" i="76" a="1"/>
  <c r="AK181" i="76" s="1"/>
  <c r="BG181" i="76" s="1"/>
  <c r="AI181" i="76"/>
  <c r="AM181" i="76"/>
  <c r="AH181" i="76"/>
  <c r="BW181" i="76"/>
  <c r="AQ342" i="76"/>
  <c r="AX342" i="76"/>
  <c r="BD342" i="76" s="1"/>
  <c r="AQ401" i="76"/>
  <c r="AX401" i="76"/>
  <c r="BD401" i="76" s="1"/>
  <c r="AX324" i="76"/>
  <c r="BD324" i="76" s="1"/>
  <c r="AQ324" i="76"/>
  <c r="AI489" i="76"/>
  <c r="AK489" i="76" a="1"/>
  <c r="AK489" i="76" s="1"/>
  <c r="BG489" i="76" s="1"/>
  <c r="BW489" i="76"/>
  <c r="AH489" i="76"/>
  <c r="AG489" i="76"/>
  <c r="AM489" i="76"/>
  <c r="AQ179" i="76"/>
  <c r="AX179" i="76"/>
  <c r="BD179" i="76" s="1"/>
  <c r="AE24" i="76"/>
  <c r="AM81" i="76"/>
  <c r="AK81" i="76" a="1"/>
  <c r="AK81" i="76" s="1"/>
  <c r="BG81" i="76" s="1"/>
  <c r="BW81" i="76"/>
  <c r="AG81" i="76"/>
  <c r="AH81" i="76"/>
  <c r="AI81" i="76"/>
  <c r="AX115" i="76"/>
  <c r="BD115" i="76" s="1"/>
  <c r="AQ115" i="76"/>
  <c r="AQ170" i="76"/>
  <c r="AX170" i="76"/>
  <c r="BD170" i="76" s="1"/>
  <c r="AX495" i="76"/>
  <c r="BD495" i="76" s="1"/>
  <c r="AQ495" i="76"/>
  <c r="AG234" i="76"/>
  <c r="BW234" i="76"/>
  <c r="AK234" i="76" a="1"/>
  <c r="AK234" i="76" s="1"/>
  <c r="BG234" i="76" s="1"/>
  <c r="AI234" i="76"/>
  <c r="AH234" i="76"/>
  <c r="AM234" i="76"/>
  <c r="AX362" i="76"/>
  <c r="BD362" i="76" s="1"/>
  <c r="AQ362" i="76"/>
  <c r="AX443" i="76"/>
  <c r="BD443" i="76" s="1"/>
  <c r="AQ443" i="76"/>
  <c r="AE388" i="76"/>
  <c r="AE83" i="76"/>
  <c r="AX517" i="76"/>
  <c r="BD517" i="76" s="1"/>
  <c r="AQ517" i="76"/>
  <c r="AE372" i="76"/>
  <c r="AX284" i="76"/>
  <c r="BD284" i="76" s="1"/>
  <c r="AQ284" i="76"/>
  <c r="AX296" i="76"/>
  <c r="BD296" i="76" s="1"/>
  <c r="AQ296" i="76"/>
  <c r="AE430" i="76"/>
  <c r="AG297" i="76"/>
  <c r="AI297" i="76"/>
  <c r="AM297" i="76"/>
  <c r="AK297" i="76" a="1"/>
  <c r="AK297" i="76" s="1"/>
  <c r="BG297" i="76" s="1"/>
  <c r="BW297" i="76"/>
  <c r="AH297" i="76"/>
  <c r="AX49" i="76"/>
  <c r="BD49" i="76" s="1"/>
  <c r="AQ49" i="76"/>
  <c r="AQ171" i="76"/>
  <c r="AX171" i="76"/>
  <c r="BD171" i="76" s="1"/>
  <c r="AI65" i="76"/>
  <c r="AH65" i="76"/>
  <c r="AG65" i="76"/>
  <c r="BW65" i="76"/>
  <c r="AK65" i="76" a="1"/>
  <c r="AK65" i="76" s="1"/>
  <c r="BG65" i="76" s="1"/>
  <c r="AM65" i="76"/>
  <c r="AX225" i="76"/>
  <c r="BD225" i="76" s="1"/>
  <c r="AQ225" i="76"/>
  <c r="AQ153" i="76"/>
  <c r="AX153" i="76"/>
  <c r="BD153" i="76" s="1"/>
  <c r="AI284" i="76"/>
  <c r="AH284" i="76"/>
  <c r="AG284" i="76"/>
  <c r="BW284" i="76"/>
  <c r="AK284" i="76" a="1"/>
  <c r="AK284" i="76" s="1"/>
  <c r="BG284" i="76" s="1"/>
  <c r="AM284" i="76"/>
  <c r="AX214" i="76"/>
  <c r="BD214" i="76" s="1"/>
  <c r="AQ214" i="76"/>
  <c r="AI460" i="76"/>
  <c r="AH460" i="76"/>
  <c r="AM460" i="76"/>
  <c r="AK460" i="76" a="1"/>
  <c r="AK460" i="76" s="1"/>
  <c r="BG460" i="76" s="1"/>
  <c r="AG460" i="76"/>
  <c r="BW460" i="76"/>
  <c r="AX118" i="76"/>
  <c r="BD118" i="76" s="1"/>
  <c r="AQ118" i="76"/>
  <c r="AI174" i="76"/>
  <c r="AH174" i="76"/>
  <c r="AM174" i="76"/>
  <c r="BW174" i="76"/>
  <c r="AK174" i="76" a="1"/>
  <c r="AK174" i="76" s="1"/>
  <c r="BG174" i="76" s="1"/>
  <c r="AG174" i="76"/>
  <c r="AM482" i="76"/>
  <c r="AI482" i="76"/>
  <c r="AG482" i="76"/>
  <c r="AH482" i="76"/>
  <c r="AK482" i="76" a="1"/>
  <c r="AK482" i="76" s="1"/>
  <c r="BG482" i="76" s="1"/>
  <c r="BW482" i="76"/>
  <c r="AX310" i="76"/>
  <c r="BD310" i="76" s="1"/>
  <c r="AQ310" i="76"/>
  <c r="AE417" i="76"/>
  <c r="AK502" i="76" a="1"/>
  <c r="AK502" i="76" s="1"/>
  <c r="BG502" i="76" s="1"/>
  <c r="AI502" i="76"/>
  <c r="BW502" i="76"/>
  <c r="AG502" i="76"/>
  <c r="AM502" i="76"/>
  <c r="AH502" i="76"/>
  <c r="AE153" i="76"/>
  <c r="AK328" i="76" a="1"/>
  <c r="AK328" i="76" s="1"/>
  <c r="BG328" i="76" s="1"/>
  <c r="AH328" i="76"/>
  <c r="AG328" i="76"/>
  <c r="AM328" i="76"/>
  <c r="BW328" i="76"/>
  <c r="AI328" i="76"/>
  <c r="AM203" i="76"/>
  <c r="AK203" i="76" a="1"/>
  <c r="AK203" i="76" s="1"/>
  <c r="BG203" i="76" s="1"/>
  <c r="AH203" i="76"/>
  <c r="BW203" i="76"/>
  <c r="AI203" i="76"/>
  <c r="AG203" i="76"/>
  <c r="AQ23" i="76"/>
  <c r="AX23" i="76"/>
  <c r="BD23" i="76" s="1"/>
  <c r="AQ490" i="76"/>
  <c r="AX490" i="76"/>
  <c r="BD490" i="76" s="1"/>
  <c r="AX353" i="76"/>
  <c r="BD353" i="76" s="1"/>
  <c r="AQ353" i="76"/>
  <c r="AQ314" i="76"/>
  <c r="AX314" i="76"/>
  <c r="BD314" i="76" s="1"/>
  <c r="AQ136" i="76"/>
  <c r="AX136" i="76"/>
  <c r="BD136" i="76" s="1"/>
  <c r="AI298" i="76"/>
  <c r="AH298" i="76"/>
  <c r="AM298" i="76"/>
  <c r="AG298" i="76"/>
  <c r="BW298" i="76"/>
  <c r="AK298" i="76" a="1"/>
  <c r="AK298" i="76" s="1"/>
  <c r="BG298" i="76" s="1"/>
  <c r="AG495" i="76"/>
  <c r="AK495" i="76" a="1"/>
  <c r="AK495" i="76" s="1"/>
  <c r="BG495" i="76" s="1"/>
  <c r="BW495" i="76"/>
  <c r="AH495" i="76"/>
  <c r="AM495" i="76"/>
  <c r="AI495" i="76"/>
  <c r="AX151" i="76"/>
  <c r="BD151" i="76" s="1"/>
  <c r="AQ151" i="76"/>
  <c r="BW29" i="76"/>
  <c r="AM29" i="76"/>
  <c r="AG29" i="76"/>
  <c r="AK29" i="76" a="1"/>
  <c r="AK29" i="76" s="1"/>
  <c r="BG29" i="76" s="1"/>
  <c r="AI29" i="76"/>
  <c r="AH29" i="76"/>
  <c r="AH377" i="76"/>
  <c r="AG377" i="76"/>
  <c r="AM377" i="76"/>
  <c r="AK377" i="76" a="1"/>
  <c r="AK377" i="76" s="1"/>
  <c r="BG377" i="76" s="1"/>
  <c r="BW377" i="76"/>
  <c r="AI377" i="76"/>
  <c r="AX455" i="76"/>
  <c r="BD455" i="76" s="1"/>
  <c r="AQ455" i="76"/>
  <c r="AX263" i="76"/>
  <c r="BD263" i="76" s="1"/>
  <c r="AQ263" i="76"/>
  <c r="AI228" i="76"/>
  <c r="BW228" i="76"/>
  <c r="AK228" i="76" a="1"/>
  <c r="AK228" i="76" s="1"/>
  <c r="BG228" i="76" s="1"/>
  <c r="AG228" i="76"/>
  <c r="AH228" i="76"/>
  <c r="AM228" i="76"/>
  <c r="AQ195" i="76"/>
  <c r="AX195" i="76"/>
  <c r="BD195" i="76" s="1"/>
  <c r="AX311" i="76"/>
  <c r="BD311" i="76" s="1"/>
  <c r="AQ311" i="76"/>
  <c r="BW280" i="76"/>
  <c r="AM280" i="76"/>
  <c r="AK280" i="76" a="1"/>
  <c r="AK280" i="76" s="1"/>
  <c r="BG280" i="76" s="1"/>
  <c r="AI280" i="76"/>
  <c r="AH280" i="76"/>
  <c r="AG280" i="76"/>
  <c r="AM545" i="76"/>
  <c r="BW545" i="76"/>
  <c r="AK545" i="76" a="1"/>
  <c r="AK545" i="76" s="1"/>
  <c r="BG545" i="76" s="1"/>
  <c r="AG545" i="76"/>
  <c r="AH545" i="76"/>
  <c r="AI545" i="76"/>
  <c r="AQ40" i="76"/>
  <c r="AX40" i="76"/>
  <c r="BD40" i="76" s="1"/>
  <c r="AQ319" i="76"/>
  <c r="AX319" i="76"/>
  <c r="BD319" i="76" s="1"/>
  <c r="BW110" i="76"/>
  <c r="AM110" i="76"/>
  <c r="AK110" i="76" a="1"/>
  <c r="AK110" i="76" s="1"/>
  <c r="BG110" i="76" s="1"/>
  <c r="AI110" i="76"/>
  <c r="AH110" i="76"/>
  <c r="AG110" i="76"/>
  <c r="AX123" i="76"/>
  <c r="BD123" i="76" s="1"/>
  <c r="AQ123" i="76"/>
  <c r="AG450" i="76"/>
  <c r="AI450" i="76"/>
  <c r="AH450" i="76"/>
  <c r="AK450" i="76" a="1"/>
  <c r="AK450" i="76" s="1"/>
  <c r="BG450" i="76" s="1"/>
  <c r="AM450" i="76"/>
  <c r="BW450" i="76"/>
  <c r="AQ391" i="76"/>
  <c r="AX391" i="76"/>
  <c r="BD391" i="76" s="1"/>
  <c r="AX174" i="76"/>
  <c r="BD174" i="76" s="1"/>
  <c r="AQ174" i="76"/>
  <c r="AX45" i="76"/>
  <c r="BD45" i="76" s="1"/>
  <c r="AQ45" i="76"/>
  <c r="AQ414" i="76"/>
  <c r="AX414" i="76"/>
  <c r="BD414" i="76" s="1"/>
  <c r="AE337" i="76"/>
  <c r="AX142" i="76"/>
  <c r="BD142" i="76" s="1"/>
  <c r="AQ142" i="76"/>
  <c r="AQ194" i="76"/>
  <c r="AX194" i="76"/>
  <c r="BD194" i="76" s="1"/>
  <c r="AX300" i="76"/>
  <c r="BD300" i="76" s="1"/>
  <c r="AQ300" i="76"/>
  <c r="BW102" i="76"/>
  <c r="AM102" i="76"/>
  <c r="AH102" i="76"/>
  <c r="AG102" i="76"/>
  <c r="AK102" i="76" a="1"/>
  <c r="AK102" i="76" s="1"/>
  <c r="BG102" i="76" s="1"/>
  <c r="AI102" i="76"/>
  <c r="AI176" i="76"/>
  <c r="AH176" i="76"/>
  <c r="BW176" i="76"/>
  <c r="AG176" i="76"/>
  <c r="AK176" i="76" a="1"/>
  <c r="AK176" i="76" s="1"/>
  <c r="BG176" i="76" s="1"/>
  <c r="AM176" i="76"/>
  <c r="AQ420" i="76"/>
  <c r="AX420" i="76"/>
  <c r="BD420" i="76" s="1"/>
  <c r="AI358" i="76"/>
  <c r="AH358" i="76"/>
  <c r="AK358" i="76" a="1"/>
  <c r="AK358" i="76" s="1"/>
  <c r="BG358" i="76" s="1"/>
  <c r="AG358" i="76"/>
  <c r="AM358" i="76"/>
  <c r="BW358" i="76"/>
  <c r="BW179" i="76"/>
  <c r="AM179" i="76"/>
  <c r="AK179" i="76" a="1"/>
  <c r="AK179" i="76" s="1"/>
  <c r="BG179" i="76" s="1"/>
  <c r="AG179" i="76"/>
  <c r="AH179" i="76"/>
  <c r="AI179" i="76"/>
  <c r="AX27" i="76"/>
  <c r="BD27" i="76" s="1"/>
  <c r="AQ27" i="76"/>
  <c r="AX515" i="76"/>
  <c r="BD515" i="76" s="1"/>
  <c r="AQ515" i="76"/>
  <c r="AQ55" i="76"/>
  <c r="AX55" i="76"/>
  <c r="BD55" i="76" s="1"/>
  <c r="AX205" i="76"/>
  <c r="BD205" i="76" s="1"/>
  <c r="AQ205" i="76"/>
  <c r="AQ344" i="76"/>
  <c r="AX344" i="76"/>
  <c r="BD344" i="76" s="1"/>
  <c r="AH443" i="76"/>
  <c r="AG443" i="76"/>
  <c r="AM443" i="76"/>
  <c r="AK443" i="76" a="1"/>
  <c r="AK443" i="76" s="1"/>
  <c r="BG443" i="76" s="1"/>
  <c r="AI443" i="76"/>
  <c r="BW443" i="76"/>
  <c r="AX380" i="76"/>
  <c r="BD380" i="76" s="1"/>
  <c r="AQ380" i="76"/>
  <c r="AQ383" i="76"/>
  <c r="AX383" i="76"/>
  <c r="BD383" i="76" s="1"/>
  <c r="AQ38" i="76"/>
  <c r="AX38" i="76"/>
  <c r="BD38" i="76" s="1"/>
  <c r="BW56" i="77" l="1"/>
  <c r="AT34" i="77"/>
  <c r="AU34" i="77" s="1"/>
  <c r="AY34" i="77" s="1"/>
  <c r="AT347" i="77"/>
  <c r="AX347" i="77" s="1"/>
  <c r="BD347" i="77" s="1"/>
  <c r="AT307" i="77"/>
  <c r="BC24" i="77"/>
  <c r="AT217" i="77"/>
  <c r="AT216" i="77"/>
  <c r="AX216" i="77" s="1"/>
  <c r="BD216" i="77" s="1"/>
  <c r="AT139" i="77"/>
  <c r="AV139" i="77" s="1" a="1"/>
  <c r="AV139" i="77" s="1"/>
  <c r="AG359" i="77"/>
  <c r="BW359" i="77"/>
  <c r="AH359" i="77"/>
  <c r="AK359" i="77" a="1"/>
  <c r="AK359" i="77" s="1"/>
  <c r="BG359" i="77" s="1"/>
  <c r="AM359" i="77"/>
  <c r="AI359" i="77"/>
  <c r="AK364" i="77" a="1"/>
  <c r="AK364" i="77" s="1"/>
  <c r="BG364" i="77" s="1"/>
  <c r="AH364" i="77"/>
  <c r="AM364" i="77"/>
  <c r="AG364" i="77"/>
  <c r="AI364" i="77"/>
  <c r="BW364" i="77"/>
  <c r="BC144" i="77"/>
  <c r="BA144" i="77"/>
  <c r="AF277" i="77"/>
  <c r="AX277" i="77" s="1"/>
  <c r="BD277" i="77" s="1"/>
  <c r="AP277" i="77"/>
  <c r="BF277" i="77" s="1"/>
  <c r="AZ277" i="77" s="1"/>
  <c r="BC277" i="77" s="1"/>
  <c r="AE144" i="77"/>
  <c r="AQ144" i="77"/>
  <c r="AY221" i="77"/>
  <c r="AL221" i="77"/>
  <c r="AT221" i="77" s="1"/>
  <c r="AO221" i="77"/>
  <c r="AV221" i="77" a="1"/>
  <c r="AV221" i="77" s="1"/>
  <c r="AU221" i="77"/>
  <c r="BA221" i="77"/>
  <c r="AN221" i="77"/>
  <c r="AH157" i="77"/>
  <c r="AG157" i="77"/>
  <c r="BW157" i="77"/>
  <c r="AK157" i="77" a="1"/>
  <c r="AK157" i="77" s="1"/>
  <c r="BG157" i="77" s="1"/>
  <c r="AM157" i="77"/>
  <c r="AI157" i="77"/>
  <c r="BG126" i="77"/>
  <c r="AL126" i="77"/>
  <c r="BG78" i="77"/>
  <c r="AL78" i="77"/>
  <c r="AU308" i="77"/>
  <c r="AY308" i="77" s="1"/>
  <c r="AV308" i="77" a="1"/>
  <c r="AV308" i="77" s="1"/>
  <c r="AX308" i="77"/>
  <c r="BD308" i="77" s="1"/>
  <c r="AK304" i="77" a="1"/>
  <c r="AK304" i="77" s="1"/>
  <c r="BW304" i="77"/>
  <c r="AM304" i="77"/>
  <c r="AI304" i="77"/>
  <c r="AH304" i="77"/>
  <c r="AG304" i="77"/>
  <c r="AK283" i="77" a="1"/>
  <c r="AK283" i="77" s="1"/>
  <c r="BG283" i="77" s="1"/>
  <c r="AI283" i="77"/>
  <c r="AM283" i="77"/>
  <c r="AG283" i="77"/>
  <c r="AH283" i="77"/>
  <c r="BW283" i="77"/>
  <c r="BG219" i="77"/>
  <c r="AL219" i="77"/>
  <c r="AQ280" i="77"/>
  <c r="AP361" i="77"/>
  <c r="AF361" i="77"/>
  <c r="AE361" i="77" s="1"/>
  <c r="BF361" i="77"/>
  <c r="AZ361" i="77" s="1"/>
  <c r="BC361" i="77" s="1"/>
  <c r="AL140" i="77"/>
  <c r="BG140" i="77"/>
  <c r="BG28" i="77"/>
  <c r="AL28" i="77"/>
  <c r="BG35" i="77"/>
  <c r="AL35" i="77"/>
  <c r="AT35" i="77" s="1"/>
  <c r="BG309" i="77"/>
  <c r="AL309" i="77"/>
  <c r="BG26" i="77"/>
  <c r="AL26" i="77"/>
  <c r="BG127" i="77"/>
  <c r="AL127" i="77"/>
  <c r="AT127" i="77" s="1"/>
  <c r="AV217" i="77" a="1"/>
  <c r="AV217" i="77" s="1"/>
  <c r="AU217" i="77"/>
  <c r="AY217" i="77" s="1"/>
  <c r="AX217" i="77"/>
  <c r="BD217" i="77" s="1"/>
  <c r="AK280" i="77" a="1"/>
  <c r="AK280" i="77" s="1"/>
  <c r="BG280" i="77" s="1"/>
  <c r="AH280" i="77"/>
  <c r="AG280" i="77"/>
  <c r="BW280" i="77"/>
  <c r="AM280" i="77"/>
  <c r="AI280" i="77"/>
  <c r="X239" i="77"/>
  <c r="X242" i="77"/>
  <c r="V232" i="77"/>
  <c r="X244" i="77"/>
  <c r="X243" i="77"/>
  <c r="X241" i="77"/>
  <c r="X240" i="77"/>
  <c r="X235" i="77"/>
  <c r="AX364" i="77"/>
  <c r="BD364" i="77" s="1"/>
  <c r="AQ364" i="77"/>
  <c r="AO296" i="77"/>
  <c r="AL296" i="77"/>
  <c r="AT296" i="77" s="1"/>
  <c r="AY296" i="77"/>
  <c r="AN296" i="77"/>
  <c r="AV296" i="77" a="1"/>
  <c r="AV296" i="77" s="1"/>
  <c r="BA296" i="77"/>
  <c r="AU296" i="77"/>
  <c r="AU216" i="77"/>
  <c r="AY216" i="77" s="1"/>
  <c r="AV216" i="77" a="1"/>
  <c r="AV216" i="77" s="1"/>
  <c r="BG147" i="77"/>
  <c r="AL147" i="77"/>
  <c r="AT147" i="77" s="1"/>
  <c r="BG129" i="77"/>
  <c r="AL129" i="77"/>
  <c r="AT129" i="77" s="1"/>
  <c r="BG213" i="77"/>
  <c r="AL213" i="77"/>
  <c r="BG142" i="77"/>
  <c r="AL142" i="77"/>
  <c r="BW209" i="77"/>
  <c r="AH209" i="77"/>
  <c r="AK209" i="77" a="1"/>
  <c r="AK209" i="77" s="1"/>
  <c r="AM209" i="77"/>
  <c r="AI209" i="77"/>
  <c r="AG209" i="77"/>
  <c r="BW321" i="77"/>
  <c r="AK321" i="77" a="1"/>
  <c r="AK321" i="77" s="1"/>
  <c r="BG321" i="77" s="1"/>
  <c r="AH321" i="77"/>
  <c r="AG321" i="77"/>
  <c r="AM321" i="77"/>
  <c r="AI321" i="77"/>
  <c r="AI356" i="77"/>
  <c r="AH356" i="77"/>
  <c r="AM356" i="77"/>
  <c r="AK356" i="77" a="1"/>
  <c r="AK356" i="77" s="1"/>
  <c r="BW356" i="77"/>
  <c r="AG356" i="77"/>
  <c r="AF362" i="77"/>
  <c r="AX362" i="77" s="1"/>
  <c r="BD362" i="77" s="1"/>
  <c r="AE362" i="77"/>
  <c r="AP362" i="77"/>
  <c r="AQ362" i="77" s="1"/>
  <c r="AF274" i="77"/>
  <c r="AE274" i="77" s="1"/>
  <c r="AP274" i="77"/>
  <c r="BF274" i="77" s="1"/>
  <c r="AZ274" i="77" s="1"/>
  <c r="BC274" i="77" s="1"/>
  <c r="BG76" i="77"/>
  <c r="AL76" i="77"/>
  <c r="AT76" i="77" s="1"/>
  <c r="AM101" i="77"/>
  <c r="AI101" i="77"/>
  <c r="BW101" i="77"/>
  <c r="AK101" i="77" a="1"/>
  <c r="AK101" i="77" s="1"/>
  <c r="BG101" i="77" s="1"/>
  <c r="AG101" i="77"/>
  <c r="AH101" i="77"/>
  <c r="BG143" i="77"/>
  <c r="AL143" i="77"/>
  <c r="BW128" i="77"/>
  <c r="AK128" i="77" a="1"/>
  <c r="AK128" i="77" s="1"/>
  <c r="AG128" i="77"/>
  <c r="AH128" i="77"/>
  <c r="AM128" i="77"/>
  <c r="AI128" i="77"/>
  <c r="BG29" i="77"/>
  <c r="AL29" i="77"/>
  <c r="AT29" i="77" s="1"/>
  <c r="S204" i="77"/>
  <c r="U204" i="77" s="1" a="1"/>
  <c r="U204" i="77" s="1"/>
  <c r="AJ204" i="77" s="1"/>
  <c r="Y204" i="77"/>
  <c r="BG30" i="77"/>
  <c r="AL30" i="77"/>
  <c r="BG218" i="77"/>
  <c r="AL218" i="77"/>
  <c r="AT218" i="77" s="1"/>
  <c r="AU347" i="77"/>
  <c r="AY347" i="77" s="1"/>
  <c r="AV347" i="77" a="1"/>
  <c r="AV347" i="77" s="1"/>
  <c r="BG131" i="77"/>
  <c r="AL131" i="77"/>
  <c r="AT131" i="77" s="1"/>
  <c r="BG348" i="77"/>
  <c r="AL348" i="77"/>
  <c r="AT348" i="77" s="1"/>
  <c r="AQ258" i="77"/>
  <c r="AX258" i="77"/>
  <c r="BD258" i="77" s="1"/>
  <c r="AE258" i="77"/>
  <c r="AT215" i="77"/>
  <c r="AT124" i="77"/>
  <c r="BG352" i="77"/>
  <c r="AL352" i="77"/>
  <c r="AT352" i="77" s="1"/>
  <c r="AE339" i="77"/>
  <c r="BA68" i="77"/>
  <c r="AV68" i="77" a="1"/>
  <c r="AV68" i="77" s="1"/>
  <c r="AU68" i="77"/>
  <c r="AN68" i="77"/>
  <c r="AL68" i="77"/>
  <c r="AT68" i="77" s="1"/>
  <c r="AO68" i="77"/>
  <c r="AY68" i="77"/>
  <c r="AV77" i="77" a="1"/>
  <c r="AV77" i="77" s="1"/>
  <c r="AU77" i="77"/>
  <c r="AY77" i="77" s="1"/>
  <c r="BC77" i="77"/>
  <c r="AX77" i="77"/>
  <c r="BD77" i="77" s="1"/>
  <c r="AM36" i="77"/>
  <c r="AI36" i="77"/>
  <c r="AH36" i="77"/>
  <c r="AG36" i="77"/>
  <c r="BW36" i="77"/>
  <c r="AK36" i="77" a="1"/>
  <c r="AK36" i="77" s="1"/>
  <c r="BG36" i="77" s="1"/>
  <c r="AV34" i="77" a="1"/>
  <c r="AV34" i="77" s="1"/>
  <c r="AX34" i="77"/>
  <c r="BD34" i="77" s="1"/>
  <c r="BG81" i="77"/>
  <c r="AL81" i="77"/>
  <c r="AT81" i="77" s="1"/>
  <c r="AF278" i="77"/>
  <c r="AE278" i="77" s="1"/>
  <c r="AP278" i="77"/>
  <c r="BF278" i="77" s="1"/>
  <c r="AZ278" i="77" s="1"/>
  <c r="BC278" i="77" s="1"/>
  <c r="AI162" i="77"/>
  <c r="BW162" i="77"/>
  <c r="AK162" i="77" a="1"/>
  <c r="AK162" i="77" s="1"/>
  <c r="BG162" i="77" s="1"/>
  <c r="AM162" i="77"/>
  <c r="AG162" i="77"/>
  <c r="AH162" i="77"/>
  <c r="BG27" i="77"/>
  <c r="AL27" i="77"/>
  <c r="AT27" i="77" s="1"/>
  <c r="AQ339" i="77"/>
  <c r="BG141" i="77"/>
  <c r="AL141" i="77"/>
  <c r="BG130" i="77"/>
  <c r="AL130" i="77"/>
  <c r="BG82" i="77"/>
  <c r="AL82" i="77"/>
  <c r="BG358" i="77"/>
  <c r="AL358" i="77"/>
  <c r="BG137" i="77"/>
  <c r="AL137" i="77"/>
  <c r="AT137" i="77" s="1"/>
  <c r="AO341" i="77"/>
  <c r="AV341" i="77" a="1"/>
  <c r="AV341" i="77" s="1"/>
  <c r="AU341" i="77"/>
  <c r="AL341" i="77"/>
  <c r="AT341" i="77" s="1"/>
  <c r="AN341" i="77"/>
  <c r="BA341" i="77"/>
  <c r="AY341" i="77"/>
  <c r="AK374" i="77" a="1"/>
  <c r="AK374" i="77" s="1"/>
  <c r="BG374" i="77" s="1"/>
  <c r="AG374" i="77"/>
  <c r="AI374" i="77"/>
  <c r="AH374" i="77"/>
  <c r="BW374" i="77"/>
  <c r="AM374" i="77"/>
  <c r="AP275" i="77"/>
  <c r="BF275" i="77" s="1"/>
  <c r="AZ275" i="77" s="1"/>
  <c r="BC275" i="77" s="1"/>
  <c r="AF275" i="77"/>
  <c r="AP273" i="77"/>
  <c r="BF273" i="77" s="1"/>
  <c r="AZ273" i="77" s="1"/>
  <c r="BC273" i="77" s="1"/>
  <c r="AF273" i="77"/>
  <c r="BW350" i="77"/>
  <c r="AK350" i="77" a="1"/>
  <c r="AK350" i="77" s="1"/>
  <c r="AM350" i="77"/>
  <c r="AI350" i="77"/>
  <c r="AH350" i="77"/>
  <c r="AG350" i="77"/>
  <c r="AF259" i="77"/>
  <c r="BF259" i="77"/>
  <c r="AZ259" i="77" s="1"/>
  <c r="BC259" i="77" s="1"/>
  <c r="AU139" i="77"/>
  <c r="AY139" i="77" s="1"/>
  <c r="BG305" i="77"/>
  <c r="AL305" i="77"/>
  <c r="AT305" i="77" s="1"/>
  <c r="AX359" i="77"/>
  <c r="BD359" i="77" s="1"/>
  <c r="AQ359" i="77"/>
  <c r="AG31" i="77"/>
  <c r="AM31" i="77"/>
  <c r="AI31" i="77"/>
  <c r="BW31" i="77"/>
  <c r="AH31" i="77"/>
  <c r="AK31" i="77" a="1"/>
  <c r="AK31" i="77" s="1"/>
  <c r="AF118" i="77"/>
  <c r="AE118" i="77" s="1"/>
  <c r="AP118" i="77"/>
  <c r="BF118" i="77" s="1"/>
  <c r="AZ118" i="77" s="1"/>
  <c r="BC118" i="77" s="1"/>
  <c r="BG75" i="77"/>
  <c r="AL75" i="77"/>
  <c r="V47" i="77"/>
  <c r="U18" i="77" a="1"/>
  <c r="U18" i="77" s="1"/>
  <c r="V48" i="77"/>
  <c r="BG25" i="77"/>
  <c r="AL25" i="77"/>
  <c r="BG346" i="77"/>
  <c r="AL346" i="77"/>
  <c r="AL224" i="77"/>
  <c r="AT224" i="77" s="1"/>
  <c r="AV224" i="77" a="1"/>
  <c r="AV224" i="77" s="1"/>
  <c r="AU224" i="77"/>
  <c r="BA224" i="77"/>
  <c r="AY224" i="77"/>
  <c r="AO224" i="77"/>
  <c r="AN224" i="77"/>
  <c r="AH113" i="77"/>
  <c r="BW113" i="77"/>
  <c r="AI113" i="77"/>
  <c r="AG113" i="77"/>
  <c r="AM113" i="77"/>
  <c r="AK113" i="77" a="1"/>
  <c r="AK113" i="77" s="1"/>
  <c r="BG113" i="77" s="1"/>
  <c r="BG136" i="77"/>
  <c r="AL136" i="77"/>
  <c r="BG138" i="77"/>
  <c r="AL138" i="77"/>
  <c r="BG212" i="77"/>
  <c r="AL212" i="77"/>
  <c r="AT212" i="77" s="1"/>
  <c r="BG357" i="77"/>
  <c r="AL357" i="77"/>
  <c r="AT357" i="77" s="1"/>
  <c r="BG306" i="77"/>
  <c r="AL306" i="77"/>
  <c r="BW206" i="77"/>
  <c r="AK206" i="77" a="1"/>
  <c r="AK206" i="77" s="1"/>
  <c r="BG206" i="77" s="1"/>
  <c r="AG206" i="77"/>
  <c r="AI206" i="77"/>
  <c r="AH206" i="77"/>
  <c r="AM206" i="77"/>
  <c r="AE294" i="77"/>
  <c r="AQ294" i="77"/>
  <c r="AX294" i="77"/>
  <c r="BD294" i="77" s="1"/>
  <c r="AI149" i="77"/>
  <c r="BW149" i="77"/>
  <c r="AM149" i="77"/>
  <c r="AK149" i="77" a="1"/>
  <c r="AK149" i="77" s="1"/>
  <c r="BG149" i="77" s="1"/>
  <c r="AG149" i="77"/>
  <c r="AH149" i="77"/>
  <c r="BG125" i="77"/>
  <c r="AT125" i="77" s="1"/>
  <c r="AV132" i="77" a="1"/>
  <c r="AV132" i="77" s="1"/>
  <c r="AU132" i="77"/>
  <c r="AY132" i="77" s="1"/>
  <c r="AX132" i="77"/>
  <c r="BD132" i="77" s="1"/>
  <c r="AF276" i="77"/>
  <c r="AE276" i="77" s="1"/>
  <c r="AP276" i="77"/>
  <c r="BF276" i="77" s="1"/>
  <c r="AZ276" i="77" s="1"/>
  <c r="BC276" i="77" s="1"/>
  <c r="BG303" i="77"/>
  <c r="AL303" i="77"/>
  <c r="AV307" i="77" a="1"/>
  <c r="AV307" i="77" s="1"/>
  <c r="AU307" i="77"/>
  <c r="AY307" i="77" s="1"/>
  <c r="AX307" i="77"/>
  <c r="BD307" i="77" s="1"/>
  <c r="AV148" i="77" a="1"/>
  <c r="AV148" i="77" s="1"/>
  <c r="AU148" i="77"/>
  <c r="AY148" i="77" s="1"/>
  <c r="AX148" i="77"/>
  <c r="BD148" i="77" s="1"/>
  <c r="AM116" i="77"/>
  <c r="AK116" i="77" a="1"/>
  <c r="AK116" i="77" s="1"/>
  <c r="BG116" i="77" s="1"/>
  <c r="AH116" i="77"/>
  <c r="AI116" i="77"/>
  <c r="BW116" i="77"/>
  <c r="AG116" i="77"/>
  <c r="BG349" i="77"/>
  <c r="AL349" i="77"/>
  <c r="AI214" i="77"/>
  <c r="AM214" i="77"/>
  <c r="BW214" i="77"/>
  <c r="AH214" i="77"/>
  <c r="AK214" i="77" a="1"/>
  <c r="AK214" i="77" s="1"/>
  <c r="AG214" i="77"/>
  <c r="Q260" i="77"/>
  <c r="AQ24" i="77"/>
  <c r="AE24" i="77"/>
  <c r="AT302" i="77"/>
  <c r="AI377" i="77"/>
  <c r="AH377" i="77"/>
  <c r="AG377" i="77"/>
  <c r="AM377" i="77"/>
  <c r="AK377" i="77" a="1"/>
  <c r="AK377" i="77" s="1"/>
  <c r="BG377" i="77" s="1"/>
  <c r="BW377" i="77"/>
  <c r="AG441" i="77"/>
  <c r="AM441" i="77"/>
  <c r="AK441" i="77" a="1"/>
  <c r="AK441" i="77" s="1"/>
  <c r="BG441" i="77" s="1"/>
  <c r="AH441" i="77"/>
  <c r="AI441" i="77"/>
  <c r="BW441" i="77"/>
  <c r="AK121" i="77" a="1"/>
  <c r="AK121" i="77" s="1"/>
  <c r="BG121" i="77" s="1"/>
  <c r="AM121" i="77"/>
  <c r="BW121" i="77"/>
  <c r="AI121" i="77"/>
  <c r="AG121" i="77"/>
  <c r="AH121" i="77"/>
  <c r="AM440" i="77"/>
  <c r="BW440" i="77"/>
  <c r="AK440" i="77" a="1"/>
  <c r="AK440" i="77" s="1"/>
  <c r="BG440" i="77" s="1"/>
  <c r="AH440" i="77"/>
  <c r="AG440" i="77"/>
  <c r="AI440" i="77"/>
  <c r="AG467" i="77"/>
  <c r="AH467" i="77"/>
  <c r="AI467" i="77"/>
  <c r="BW467" i="77"/>
  <c r="AM467" i="77"/>
  <c r="AK467" i="77" a="1"/>
  <c r="AK467" i="77" s="1"/>
  <c r="BG467" i="77" s="1"/>
  <c r="AG74" i="77"/>
  <c r="AM74" i="77"/>
  <c r="AK74" i="77" a="1"/>
  <c r="AK74" i="77" s="1"/>
  <c r="BG74" i="77" s="1"/>
  <c r="BW74" i="77"/>
  <c r="AI74" i="77"/>
  <c r="AH74" i="77"/>
  <c r="AH512" i="77"/>
  <c r="AG512" i="77"/>
  <c r="AM512" i="77"/>
  <c r="AI512" i="77"/>
  <c r="BW512" i="77"/>
  <c r="AK512" i="77" a="1"/>
  <c r="AK512" i="77" s="1"/>
  <c r="BG512" i="77" s="1"/>
  <c r="AM444" i="77"/>
  <c r="BW444" i="77"/>
  <c r="AK444" i="77" a="1"/>
  <c r="AK444" i="77" s="1"/>
  <c r="BG444" i="77" s="1"/>
  <c r="AG444" i="77"/>
  <c r="AI444" i="77"/>
  <c r="AH444" i="77"/>
  <c r="BW79" i="77"/>
  <c r="AM79" i="77"/>
  <c r="AI79" i="77"/>
  <c r="AK79" i="77" a="1"/>
  <c r="AK79" i="77" s="1"/>
  <c r="AH79" i="77"/>
  <c r="AG79" i="77"/>
  <c r="AK439" i="77" a="1"/>
  <c r="AK439" i="77" s="1"/>
  <c r="BG439" i="77" s="1"/>
  <c r="AI439" i="77"/>
  <c r="AM439" i="77"/>
  <c r="AH439" i="77"/>
  <c r="AG439" i="77"/>
  <c r="BW439" i="77"/>
  <c r="BW23" i="77"/>
  <c r="AM23" i="77"/>
  <c r="AK23" i="77" a="1"/>
  <c r="AK23" i="77" s="1"/>
  <c r="AG23" i="77"/>
  <c r="AI23" i="77"/>
  <c r="AH23" i="77"/>
  <c r="BW383" i="77"/>
  <c r="AM383" i="77"/>
  <c r="AI383" i="77"/>
  <c r="AH383" i="77"/>
  <c r="AK383" i="77" a="1"/>
  <c r="AK383" i="77" s="1"/>
  <c r="BG383" i="77" s="1"/>
  <c r="AG383" i="77"/>
  <c r="AM104" i="77"/>
  <c r="AG104" i="77"/>
  <c r="AI104" i="77"/>
  <c r="AH104" i="77"/>
  <c r="BW104" i="77"/>
  <c r="AK104" i="77" a="1"/>
  <c r="AK104" i="77" s="1"/>
  <c r="BG104" i="77" s="1"/>
  <c r="AG317" i="77"/>
  <c r="AM317" i="77"/>
  <c r="BW317" i="77"/>
  <c r="AH317" i="77"/>
  <c r="AK317" i="77" a="1"/>
  <c r="AK317" i="77" s="1"/>
  <c r="BG317" i="77" s="1"/>
  <c r="AI317" i="77"/>
  <c r="AI83" i="77"/>
  <c r="AH83" i="77"/>
  <c r="AG83" i="77"/>
  <c r="AK83" i="77" a="1"/>
  <c r="AK83" i="77" s="1"/>
  <c r="AM83" i="77"/>
  <c r="BW83" i="77"/>
  <c r="AH80" i="77"/>
  <c r="AG80" i="77"/>
  <c r="BW80" i="77"/>
  <c r="AI80" i="77"/>
  <c r="AM80" i="77"/>
  <c r="AK80" i="77" a="1"/>
  <c r="AK80" i="77" s="1"/>
  <c r="AM431" i="77"/>
  <c r="BW431" i="77"/>
  <c r="AH431" i="77"/>
  <c r="AG431" i="77"/>
  <c r="AK431" i="77" a="1"/>
  <c r="AK431" i="77" s="1"/>
  <c r="BG431" i="77" s="1"/>
  <c r="AI431" i="77"/>
  <c r="AH511" i="77"/>
  <c r="AG511" i="77"/>
  <c r="AK511" i="77" a="1"/>
  <c r="AK511" i="77" s="1"/>
  <c r="BG511" i="77" s="1"/>
  <c r="BW511" i="77"/>
  <c r="AM511" i="77"/>
  <c r="AI511" i="77"/>
  <c r="AM399" i="77"/>
  <c r="BW399" i="77"/>
  <c r="AI399" i="77"/>
  <c r="AH399" i="77"/>
  <c r="AG399" i="77"/>
  <c r="AK399" i="77" a="1"/>
  <c r="AK399" i="77" s="1"/>
  <c r="BG399" i="77" s="1"/>
  <c r="AK254" i="77" a="1"/>
  <c r="AK254" i="77" s="1"/>
  <c r="BG254" i="77" s="1"/>
  <c r="AM254" i="77"/>
  <c r="AH254" i="77"/>
  <c r="BW254" i="77"/>
  <c r="AG254" i="77"/>
  <c r="AI254" i="77"/>
  <c r="AM119" i="77"/>
  <c r="BW119" i="77"/>
  <c r="AK119" i="77" a="1"/>
  <c r="AK119" i="77" s="1"/>
  <c r="BG119" i="77" s="1"/>
  <c r="AI119" i="77"/>
  <c r="AH119" i="77"/>
  <c r="AG119" i="77"/>
  <c r="BW507" i="77"/>
  <c r="AM507" i="77"/>
  <c r="AK507" i="77" a="1"/>
  <c r="AK507" i="77" s="1"/>
  <c r="BG507" i="77" s="1"/>
  <c r="AH507" i="77"/>
  <c r="AI507" i="77"/>
  <c r="AG507" i="77"/>
  <c r="BW405" i="77"/>
  <c r="AH405" i="77"/>
  <c r="AG405" i="77"/>
  <c r="AI405" i="77"/>
  <c r="AK405" i="77" a="1"/>
  <c r="AK405" i="77" s="1"/>
  <c r="BG405" i="77" s="1"/>
  <c r="AM405" i="77"/>
  <c r="BW173" i="77"/>
  <c r="AI173" i="77"/>
  <c r="AG173" i="77"/>
  <c r="AH173" i="77"/>
  <c r="AK173" i="77" a="1"/>
  <c r="AK173" i="77" s="1"/>
  <c r="BG173" i="77" s="1"/>
  <c r="AM173" i="77"/>
  <c r="AH402" i="77"/>
  <c r="AG402" i="77"/>
  <c r="BW402" i="77"/>
  <c r="AI402" i="77"/>
  <c r="AK402" i="77" a="1"/>
  <c r="AK402" i="77" s="1"/>
  <c r="BG402" i="77" s="1"/>
  <c r="AM402" i="77"/>
  <c r="AI323" i="77"/>
  <c r="AH323" i="77"/>
  <c r="AG323" i="77"/>
  <c r="BW323" i="77"/>
  <c r="AK323" i="77" a="1"/>
  <c r="AK323" i="77" s="1"/>
  <c r="BG323" i="77" s="1"/>
  <c r="AM323" i="77"/>
  <c r="BW134" i="77"/>
  <c r="AM134" i="77"/>
  <c r="AK134" i="77" a="1"/>
  <c r="AK134" i="77" s="1"/>
  <c r="BG134" i="77" s="1"/>
  <c r="AG134" i="77"/>
  <c r="AI134" i="77"/>
  <c r="AH134" i="77"/>
  <c r="BW390" i="77"/>
  <c r="AM390" i="77"/>
  <c r="AK390" i="77" a="1"/>
  <c r="AK390" i="77" s="1"/>
  <c r="BG390" i="77" s="1"/>
  <c r="AG390" i="77"/>
  <c r="AH390" i="77"/>
  <c r="AI390" i="77"/>
  <c r="AM192" i="77"/>
  <c r="BW192" i="77"/>
  <c r="AH192" i="77"/>
  <c r="AK192" i="77" a="1"/>
  <c r="AK192" i="77" s="1"/>
  <c r="BG192" i="77" s="1"/>
  <c r="AI192" i="77"/>
  <c r="AG192" i="77"/>
  <c r="BW411" i="77"/>
  <c r="AM411" i="77"/>
  <c r="AG411" i="77"/>
  <c r="AI411" i="77"/>
  <c r="AH411" i="77"/>
  <c r="AK411" i="77" a="1"/>
  <c r="AK411" i="77" s="1"/>
  <c r="BG411" i="77" s="1"/>
  <c r="AI210" i="77"/>
  <c r="AH210" i="77"/>
  <c r="AG210" i="77"/>
  <c r="BW210" i="77"/>
  <c r="AM210" i="77"/>
  <c r="AK210" i="77" a="1"/>
  <c r="AK210" i="77" s="1"/>
  <c r="BW153" i="77"/>
  <c r="AM153" i="77"/>
  <c r="AK153" i="77" a="1"/>
  <c r="AK153" i="77" s="1"/>
  <c r="BG153" i="77" s="1"/>
  <c r="AI153" i="77"/>
  <c r="AH153" i="77"/>
  <c r="AG153" i="77"/>
  <c r="AI376" i="77"/>
  <c r="AH376" i="77"/>
  <c r="AG376" i="77"/>
  <c r="AM376" i="77"/>
  <c r="AK376" i="77" a="1"/>
  <c r="AK376" i="77" s="1"/>
  <c r="BG376" i="77" s="1"/>
  <c r="BW376" i="77"/>
  <c r="AI91" i="77"/>
  <c r="AH91" i="77"/>
  <c r="AG91" i="77"/>
  <c r="BW91" i="77"/>
  <c r="AM91" i="77"/>
  <c r="AK91" i="77" a="1"/>
  <c r="AK91" i="77" s="1"/>
  <c r="BG91" i="77" s="1"/>
  <c r="AI115" i="77"/>
  <c r="AH115" i="77"/>
  <c r="AG115" i="77"/>
  <c r="AM115" i="77"/>
  <c r="AK115" i="77" a="1"/>
  <c r="AK115" i="77" s="1"/>
  <c r="BG115" i="77" s="1"/>
  <c r="BW115" i="77"/>
  <c r="AM174" i="77"/>
  <c r="BW174" i="77"/>
  <c r="AK174" i="77" a="1"/>
  <c r="AK174" i="77" s="1"/>
  <c r="BG174" i="77" s="1"/>
  <c r="AG174" i="77"/>
  <c r="AI174" i="77"/>
  <c r="AH174" i="77"/>
  <c r="AM463" i="77"/>
  <c r="BW463" i="77"/>
  <c r="AI463" i="77"/>
  <c r="AK463" i="77" a="1"/>
  <c r="AK463" i="77" s="1"/>
  <c r="BG463" i="77" s="1"/>
  <c r="AH463" i="77"/>
  <c r="AG463" i="77"/>
  <c r="AH120" i="77"/>
  <c r="AG120" i="77"/>
  <c r="AM120" i="77"/>
  <c r="AK120" i="77" a="1"/>
  <c r="AK120" i="77" s="1"/>
  <c r="BG120" i="77" s="1"/>
  <c r="AI120" i="77"/>
  <c r="BW120" i="77"/>
  <c r="BW527" i="77"/>
  <c r="AG527" i="77"/>
  <c r="AK527" i="77" a="1"/>
  <c r="AK527" i="77" s="1"/>
  <c r="BG527" i="77" s="1"/>
  <c r="AI527" i="77"/>
  <c r="AM527" i="77"/>
  <c r="AH527" i="77"/>
  <c r="AM454" i="77"/>
  <c r="AI454" i="77"/>
  <c r="AH454" i="77"/>
  <c r="BW454" i="77"/>
  <c r="AG454" i="77"/>
  <c r="AK454" i="77" a="1"/>
  <c r="AK454" i="77" s="1"/>
  <c r="BG454" i="77" s="1"/>
  <c r="BW539" i="77"/>
  <c r="AM539" i="77"/>
  <c r="AI539" i="77"/>
  <c r="AH539" i="77"/>
  <c r="AG539" i="77"/>
  <c r="AK539" i="77" a="1"/>
  <c r="AK539" i="77" s="1"/>
  <c r="BG539" i="77" s="1"/>
  <c r="AI51" i="77"/>
  <c r="BW51" i="77"/>
  <c r="AH51" i="77"/>
  <c r="AG51" i="77"/>
  <c r="AM51" i="77"/>
  <c r="AK51" i="77" a="1"/>
  <c r="AK51" i="77" s="1"/>
  <c r="BG51" i="77" s="1"/>
  <c r="AI397" i="77"/>
  <c r="AH397" i="77"/>
  <c r="AM397" i="77"/>
  <c r="BW397" i="77"/>
  <c r="AK397" i="77" a="1"/>
  <c r="AK397" i="77" s="1"/>
  <c r="BG397" i="77" s="1"/>
  <c r="AG397" i="77"/>
  <c r="BW517" i="77"/>
  <c r="AI517" i="77"/>
  <c r="AG517" i="77"/>
  <c r="AM517" i="77"/>
  <c r="AK517" i="77" a="1"/>
  <c r="AK517" i="77" s="1"/>
  <c r="BG517" i="77" s="1"/>
  <c r="AH517" i="77"/>
  <c r="BW226" i="77"/>
  <c r="AK226" i="77" a="1"/>
  <c r="AK226" i="77" s="1"/>
  <c r="BG226" i="77" s="1"/>
  <c r="AM226" i="77"/>
  <c r="AG226" i="77"/>
  <c r="AI226" i="77"/>
  <c r="AH226" i="77"/>
  <c r="AI541" i="77"/>
  <c r="AH541" i="77"/>
  <c r="AG541" i="77"/>
  <c r="AM541" i="77"/>
  <c r="AK541" i="77" a="1"/>
  <c r="AK541" i="77" s="1"/>
  <c r="BG541" i="77" s="1"/>
  <c r="BW541" i="77"/>
  <c r="BW373" i="77"/>
  <c r="AK373" i="77" a="1"/>
  <c r="AK373" i="77" s="1"/>
  <c r="BG373" i="77" s="1"/>
  <c r="AM373" i="77"/>
  <c r="AI373" i="77"/>
  <c r="AH373" i="77"/>
  <c r="AG373" i="77"/>
  <c r="AH540" i="77"/>
  <c r="AG540" i="77"/>
  <c r="AK540" i="77" a="1"/>
  <c r="AK540" i="77" s="1"/>
  <c r="BG540" i="77" s="1"/>
  <c r="AM540" i="77"/>
  <c r="AI540" i="77"/>
  <c r="BW540" i="77"/>
  <c r="BW351" i="77"/>
  <c r="AK351" i="77" a="1"/>
  <c r="AK351" i="77" s="1"/>
  <c r="AH351" i="77"/>
  <c r="AI351" i="77"/>
  <c r="AM351" i="77"/>
  <c r="AG351" i="77"/>
  <c r="AM446" i="77"/>
  <c r="AK446" i="77" a="1"/>
  <c r="AK446" i="77" s="1"/>
  <c r="BG446" i="77" s="1"/>
  <c r="AI446" i="77"/>
  <c r="BW446" i="77"/>
  <c r="AH446" i="77"/>
  <c r="AG446" i="77"/>
  <c r="BW264" i="77"/>
  <c r="AM264" i="77"/>
  <c r="AH264" i="77"/>
  <c r="AG264" i="77"/>
  <c r="AI264" i="77"/>
  <c r="AK264" i="77" a="1"/>
  <c r="AK264" i="77" s="1"/>
  <c r="BG264" i="77" s="1"/>
  <c r="BW523" i="77"/>
  <c r="AM523" i="77"/>
  <c r="AK523" i="77" a="1"/>
  <c r="AK523" i="77" s="1"/>
  <c r="BG523" i="77" s="1"/>
  <c r="AG523" i="77"/>
  <c r="AI523" i="77"/>
  <c r="AH523" i="77"/>
  <c r="AH416" i="77"/>
  <c r="AG416" i="77"/>
  <c r="AM416" i="77"/>
  <c r="AK416" i="77" a="1"/>
  <c r="AK416" i="77" s="1"/>
  <c r="BG416" i="77" s="1"/>
  <c r="AI416" i="77"/>
  <c r="BW416" i="77"/>
  <c r="BW536" i="77"/>
  <c r="AM536" i="77"/>
  <c r="AK536" i="77" a="1"/>
  <c r="AK536" i="77" s="1"/>
  <c r="BG536" i="77" s="1"/>
  <c r="AG536" i="77"/>
  <c r="AI536" i="77"/>
  <c r="AH536" i="77"/>
  <c r="AM60" i="77"/>
  <c r="AK60" i="77" a="1"/>
  <c r="AK60" i="77" s="1"/>
  <c r="BG60" i="77" s="1"/>
  <c r="BW60" i="77"/>
  <c r="AH60" i="77"/>
  <c r="AI60" i="77"/>
  <c r="AG60" i="77"/>
  <c r="AM247" i="77"/>
  <c r="BW247" i="77"/>
  <c r="AK247" i="77" a="1"/>
  <c r="AK247" i="77" s="1"/>
  <c r="BG247" i="77" s="1"/>
  <c r="AG247" i="77"/>
  <c r="AI247" i="77"/>
  <c r="AH247" i="77"/>
  <c r="BW197" i="77"/>
  <c r="AK197" i="77" a="1"/>
  <c r="AK197" i="77" s="1"/>
  <c r="BG197" i="77" s="1"/>
  <c r="AH197" i="77"/>
  <c r="AI197" i="77"/>
  <c r="AM197" i="77"/>
  <c r="AG197" i="77"/>
  <c r="AH384" i="77"/>
  <c r="AM384" i="77"/>
  <c r="AI384" i="77"/>
  <c r="BW384" i="77"/>
  <c r="AG384" i="77"/>
  <c r="AK384" i="77" a="1"/>
  <c r="AK384" i="77" s="1"/>
  <c r="BG384" i="77" s="1"/>
  <c r="BW354" i="77"/>
  <c r="AM354" i="77"/>
  <c r="AI354" i="77"/>
  <c r="AH354" i="77"/>
  <c r="AG354" i="77"/>
  <c r="AK354" i="77" a="1"/>
  <c r="AK354" i="77" s="1"/>
  <c r="BG354" i="77" s="1"/>
  <c r="BW291" i="77"/>
  <c r="AM291" i="77"/>
  <c r="AK291" i="77" a="1"/>
  <c r="AK291" i="77" s="1"/>
  <c r="BG291" i="77" s="1"/>
  <c r="AI291" i="77"/>
  <c r="AH291" i="77"/>
  <c r="AG291" i="77"/>
  <c r="BW543" i="77"/>
  <c r="AI543" i="77"/>
  <c r="AH543" i="77"/>
  <c r="AG543" i="77"/>
  <c r="AM543" i="77"/>
  <c r="AK543" i="77" a="1"/>
  <c r="AK543" i="77" s="1"/>
  <c r="BG543" i="77" s="1"/>
  <c r="AI235" i="77"/>
  <c r="AH235" i="77"/>
  <c r="BW235" i="77"/>
  <c r="AG235" i="77"/>
  <c r="AM235" i="77"/>
  <c r="AK235" i="77" a="1"/>
  <c r="AK235" i="77" s="1"/>
  <c r="BG235" i="77" s="1"/>
  <c r="AG499" i="77"/>
  <c r="BW499" i="77"/>
  <c r="AI499" i="77"/>
  <c r="AH499" i="77"/>
  <c r="AK499" i="77" a="1"/>
  <c r="AK499" i="77" s="1"/>
  <c r="BG499" i="77" s="1"/>
  <c r="AM499" i="77"/>
  <c r="BW233" i="77"/>
  <c r="AM233" i="77"/>
  <c r="AK233" i="77" a="1"/>
  <c r="AK233" i="77" s="1"/>
  <c r="BG233" i="77" s="1"/>
  <c r="AH233" i="77"/>
  <c r="AG233" i="77"/>
  <c r="AI233" i="77"/>
  <c r="AK97" i="77" a="1"/>
  <c r="AK97" i="77" s="1"/>
  <c r="BG97" i="77" s="1"/>
  <c r="BW97" i="77"/>
  <c r="AI97" i="77"/>
  <c r="AH97" i="77"/>
  <c r="AG97" i="77"/>
  <c r="AM97" i="77"/>
  <c r="BW322" i="77"/>
  <c r="AM322" i="77"/>
  <c r="AK322" i="77" a="1"/>
  <c r="AK322" i="77" s="1"/>
  <c r="BG322" i="77" s="1"/>
  <c r="AH322" i="77"/>
  <c r="AG322" i="77"/>
  <c r="AI322" i="77"/>
  <c r="AI382" i="76"/>
  <c r="AH382" i="76"/>
  <c r="AG382" i="76"/>
  <c r="AK382" i="76" a="1"/>
  <c r="AK382" i="76" s="1"/>
  <c r="BG382" i="76" s="1"/>
  <c r="AM382" i="76"/>
  <c r="BW382" i="76"/>
  <c r="BW293" i="76"/>
  <c r="AM293" i="76"/>
  <c r="AK293" i="76" a="1"/>
  <c r="AK293" i="76" s="1"/>
  <c r="BG293" i="76" s="1"/>
  <c r="AI293" i="76"/>
  <c r="AH293" i="76"/>
  <c r="AG293" i="76"/>
  <c r="AK104" i="76" a="1"/>
  <c r="AK104" i="76" s="1"/>
  <c r="BG104" i="76" s="1"/>
  <c r="AM104" i="76"/>
  <c r="BW104" i="76"/>
  <c r="AH104" i="76"/>
  <c r="AG104" i="76"/>
  <c r="AI104" i="76"/>
  <c r="BW78" i="76"/>
  <c r="AM78" i="76"/>
  <c r="AI78" i="76"/>
  <c r="AH78" i="76"/>
  <c r="AG78" i="76"/>
  <c r="AK78" i="76" a="1"/>
  <c r="AK78" i="76" s="1"/>
  <c r="BG78" i="76" s="1"/>
  <c r="BW218" i="76"/>
  <c r="AK218" i="76" a="1"/>
  <c r="AK218" i="76" s="1"/>
  <c r="BG218" i="76" s="1"/>
  <c r="AI218" i="76"/>
  <c r="AM218" i="76"/>
  <c r="AH218" i="76"/>
  <c r="AG218" i="76"/>
  <c r="AK60" i="76" a="1"/>
  <c r="AK60" i="76" s="1"/>
  <c r="BG60" i="76" s="1"/>
  <c r="AI60" i="76"/>
  <c r="AH60" i="76"/>
  <c r="AM60" i="76"/>
  <c r="AG60" i="76"/>
  <c r="BW60" i="76"/>
  <c r="BW372" i="76"/>
  <c r="AM372" i="76"/>
  <c r="AH372" i="76"/>
  <c r="AG372" i="76"/>
  <c r="AI372" i="76"/>
  <c r="AK372" i="76" a="1"/>
  <c r="AK372" i="76" s="1"/>
  <c r="BG372" i="76" s="1"/>
  <c r="BW160" i="76"/>
  <c r="AM160" i="76"/>
  <c r="AK160" i="76" a="1"/>
  <c r="AK160" i="76" s="1"/>
  <c r="BG160" i="76" s="1"/>
  <c r="AI160" i="76"/>
  <c r="AH160" i="76"/>
  <c r="AG160" i="76"/>
  <c r="AI418" i="76"/>
  <c r="AH418" i="76"/>
  <c r="AG418" i="76"/>
  <c r="AM418" i="76"/>
  <c r="BW418" i="76"/>
  <c r="AK418" i="76" a="1"/>
  <c r="AK418" i="76" s="1"/>
  <c r="BG418" i="76" s="1"/>
  <c r="AG173" i="76"/>
  <c r="AM173" i="76"/>
  <c r="BW173" i="76"/>
  <c r="AI173" i="76"/>
  <c r="AH173" i="76"/>
  <c r="AK173" i="76" a="1"/>
  <c r="AK173" i="76" s="1"/>
  <c r="BG173" i="76" s="1"/>
  <c r="AM530" i="76"/>
  <c r="AI530" i="76"/>
  <c r="AH530" i="76"/>
  <c r="AG530" i="76"/>
  <c r="AK530" i="76" a="1"/>
  <c r="AK530" i="76" s="1"/>
  <c r="BG530" i="76" s="1"/>
  <c r="BW530" i="76"/>
  <c r="AI83" i="76"/>
  <c r="AH83" i="76"/>
  <c r="AG83" i="76"/>
  <c r="AM83" i="76"/>
  <c r="BW83" i="76"/>
  <c r="AK83" i="76" a="1"/>
  <c r="AK83" i="76" s="1"/>
  <c r="BG83" i="76" s="1"/>
  <c r="AM549" i="76"/>
  <c r="BW549" i="76"/>
  <c r="AK549" i="76" a="1"/>
  <c r="AK549" i="76" s="1"/>
  <c r="BG549" i="76" s="1"/>
  <c r="AI549" i="76"/>
  <c r="AH549" i="76"/>
  <c r="AG549" i="76"/>
  <c r="BW388" i="76"/>
  <c r="AM388" i="76"/>
  <c r="AI388" i="76"/>
  <c r="AH388" i="76"/>
  <c r="AG388" i="76"/>
  <c r="AK388" i="76" a="1"/>
  <c r="AK388" i="76" s="1"/>
  <c r="BG388" i="76" s="1"/>
  <c r="AI315" i="76"/>
  <c r="AH315" i="76"/>
  <c r="AG315" i="76"/>
  <c r="AK315" i="76" a="1"/>
  <c r="AK315" i="76" s="1"/>
  <c r="BG315" i="76" s="1"/>
  <c r="AM315" i="76"/>
  <c r="BW315" i="76"/>
  <c r="BW22" i="76"/>
  <c r="AG22" i="76"/>
  <c r="DC4" i="76" s="1"/>
  <c r="AM22" i="76"/>
  <c r="AK22" i="76" a="1"/>
  <c r="AK22" i="76" s="1"/>
  <c r="BG22" i="76" s="1"/>
  <c r="AI22" i="76"/>
  <c r="AH22" i="76"/>
  <c r="BW24" i="76"/>
  <c r="AM24" i="76"/>
  <c r="AH24" i="76"/>
  <c r="AG24" i="76"/>
  <c r="AI24" i="76"/>
  <c r="AK24" i="76" a="1"/>
  <c r="AK24" i="76" s="1"/>
  <c r="BG24" i="76" s="1"/>
  <c r="AI483" i="76"/>
  <c r="AM483" i="76"/>
  <c r="BW483" i="76"/>
  <c r="AH483" i="76"/>
  <c r="AG483" i="76"/>
  <c r="AK483" i="76" a="1"/>
  <c r="AK483" i="76" s="1"/>
  <c r="BG483" i="76" s="1"/>
  <c r="BW337" i="76"/>
  <c r="AK337" i="76" a="1"/>
  <c r="AK337" i="76" s="1"/>
  <c r="BG337" i="76" s="1"/>
  <c r="AI337" i="76"/>
  <c r="AM337" i="76"/>
  <c r="AG337" i="76"/>
  <c r="AH337" i="76"/>
  <c r="AK257" i="76" a="1"/>
  <c r="AK257" i="76" s="1"/>
  <c r="BG257" i="76" s="1"/>
  <c r="BW257" i="76"/>
  <c r="AI257" i="76"/>
  <c r="AM257" i="76"/>
  <c r="AH257" i="76"/>
  <c r="AG257" i="76"/>
  <c r="AM366" i="76"/>
  <c r="AG366" i="76"/>
  <c r="BW366" i="76"/>
  <c r="AH366" i="76"/>
  <c r="AK366" i="76" a="1"/>
  <c r="AK366" i="76" s="1"/>
  <c r="BG366" i="76" s="1"/>
  <c r="AI366" i="76"/>
  <c r="BW282" i="76"/>
  <c r="AK282" i="76" a="1"/>
  <c r="AK282" i="76" s="1"/>
  <c r="BG282" i="76" s="1"/>
  <c r="AM282" i="76"/>
  <c r="AI282" i="76"/>
  <c r="AH282" i="76"/>
  <c r="AG282" i="76"/>
  <c r="BW279" i="76"/>
  <c r="AM279" i="76"/>
  <c r="AH279" i="76"/>
  <c r="AG279" i="76"/>
  <c r="AK279" i="76" a="1"/>
  <c r="AK279" i="76" s="1"/>
  <c r="BG279" i="76" s="1"/>
  <c r="AI279" i="76"/>
  <c r="AM153" i="76"/>
  <c r="AH153" i="76"/>
  <c r="AK153" i="76" a="1"/>
  <c r="AK153" i="76" s="1"/>
  <c r="BG153" i="76" s="1"/>
  <c r="AG153" i="76"/>
  <c r="BW153" i="76"/>
  <c r="AI153" i="76"/>
  <c r="AM304" i="76"/>
  <c r="AH304" i="76"/>
  <c r="AG304" i="76"/>
  <c r="AK304" i="76" a="1"/>
  <c r="AK304" i="76" s="1"/>
  <c r="BG304" i="76" s="1"/>
  <c r="BW304" i="76"/>
  <c r="AI304" i="76"/>
  <c r="BW286" i="76"/>
  <c r="AM286" i="76"/>
  <c r="AI286" i="76"/>
  <c r="AH286" i="76"/>
  <c r="AK286" i="76" a="1"/>
  <c r="AK286" i="76" s="1"/>
  <c r="BG286" i="76" s="1"/>
  <c r="AG286" i="76"/>
  <c r="AH313" i="76"/>
  <c r="AG313" i="76"/>
  <c r="BW313" i="76"/>
  <c r="AK313" i="76" a="1"/>
  <c r="AK313" i="76" s="1"/>
  <c r="BG313" i="76" s="1"/>
  <c r="AM313" i="76"/>
  <c r="AI313" i="76"/>
  <c r="AM327" i="76"/>
  <c r="AK327" i="76" a="1"/>
  <c r="AK327" i="76" s="1"/>
  <c r="BG327" i="76" s="1"/>
  <c r="BW327" i="76"/>
  <c r="AI327" i="76"/>
  <c r="AH327" i="76"/>
  <c r="AG327" i="76"/>
  <c r="AM542" i="76"/>
  <c r="AK542" i="76" a="1"/>
  <c r="AK542" i="76" s="1"/>
  <c r="BG542" i="76" s="1"/>
  <c r="AG542" i="76"/>
  <c r="BW542" i="76"/>
  <c r="AI542" i="76"/>
  <c r="AH542" i="76"/>
  <c r="AM370" i="76"/>
  <c r="BW370" i="76"/>
  <c r="AI370" i="76"/>
  <c r="AH370" i="76"/>
  <c r="AK370" i="76" a="1"/>
  <c r="AK370" i="76" s="1"/>
  <c r="BG370" i="76" s="1"/>
  <c r="AG370" i="76"/>
  <c r="AK333" i="76" a="1"/>
  <c r="AK333" i="76" s="1"/>
  <c r="BG333" i="76" s="1"/>
  <c r="AI333" i="76"/>
  <c r="AH333" i="76"/>
  <c r="AG333" i="76"/>
  <c r="BW333" i="76"/>
  <c r="AM333" i="76"/>
  <c r="AM472" i="76"/>
  <c r="AH472" i="76"/>
  <c r="AG472" i="76"/>
  <c r="AI472" i="76"/>
  <c r="BW472" i="76"/>
  <c r="AK472" i="76" a="1"/>
  <c r="AK472" i="76" s="1"/>
  <c r="BG472" i="76" s="1"/>
  <c r="AH430" i="76"/>
  <c r="AG430" i="76"/>
  <c r="AM430" i="76"/>
  <c r="AK430" i="76" a="1"/>
  <c r="AK430" i="76" s="1"/>
  <c r="BG430" i="76" s="1"/>
  <c r="BW430" i="76"/>
  <c r="AI430" i="76"/>
  <c r="AK449" i="76" a="1"/>
  <c r="AK449" i="76" s="1"/>
  <c r="BG449" i="76" s="1"/>
  <c r="AM449" i="76"/>
  <c r="BW449" i="76"/>
  <c r="AI449" i="76"/>
  <c r="AH449" i="76"/>
  <c r="AG449" i="76"/>
  <c r="AG180" i="76"/>
  <c r="AM180" i="76"/>
  <c r="AK180" i="76" a="1"/>
  <c r="AK180" i="76" s="1"/>
  <c r="BG180" i="76" s="1"/>
  <c r="BW180" i="76"/>
  <c r="AH180" i="76"/>
  <c r="AI180" i="76"/>
  <c r="AM208" i="76"/>
  <c r="AI208" i="76"/>
  <c r="AK208" i="76" a="1"/>
  <c r="AK208" i="76" s="1"/>
  <c r="BG208" i="76" s="1"/>
  <c r="AG208" i="76"/>
  <c r="AH208" i="76"/>
  <c r="BW208" i="76"/>
  <c r="AH514" i="76"/>
  <c r="AM514" i="76"/>
  <c r="AK514" i="76" a="1"/>
  <c r="AK514" i="76" s="1"/>
  <c r="BG514" i="76" s="1"/>
  <c r="BW514" i="76"/>
  <c r="AG514" i="76"/>
  <c r="AI514" i="76"/>
  <c r="AI374" i="76"/>
  <c r="AH374" i="76"/>
  <c r="AM374" i="76"/>
  <c r="AG374" i="76"/>
  <c r="BW374" i="76"/>
  <c r="AK374" i="76" a="1"/>
  <c r="AK374" i="76" s="1"/>
  <c r="BG374" i="76" s="1"/>
  <c r="AM119" i="76"/>
  <c r="BW119" i="76"/>
  <c r="AK119" i="76" a="1"/>
  <c r="AK119" i="76" s="1"/>
  <c r="BG119" i="76" s="1"/>
  <c r="AH119" i="76"/>
  <c r="AI119" i="76"/>
  <c r="AG119" i="76"/>
  <c r="AM254" i="76"/>
  <c r="AK254" i="76" a="1"/>
  <c r="AK254" i="76" s="1"/>
  <c r="BG254" i="76" s="1"/>
  <c r="AI254" i="76"/>
  <c r="AH254" i="76"/>
  <c r="BW254" i="76"/>
  <c r="AG254" i="76"/>
  <c r="AM309" i="76"/>
  <c r="BW309" i="76"/>
  <c r="AG309" i="76"/>
  <c r="AK309" i="76" a="1"/>
  <c r="AK309" i="76" s="1"/>
  <c r="BG309" i="76" s="1"/>
  <c r="AI309" i="76"/>
  <c r="AH309" i="76"/>
  <c r="BW417" i="76"/>
  <c r="AM417" i="76"/>
  <c r="AI417" i="76"/>
  <c r="AH417" i="76"/>
  <c r="AK417" i="76" a="1"/>
  <c r="AK417" i="76" s="1"/>
  <c r="BG417" i="76" s="1"/>
  <c r="AG417" i="76"/>
  <c r="BW209" i="76"/>
  <c r="AM209" i="76"/>
  <c r="AK209" i="76" a="1"/>
  <c r="AK209" i="76" s="1"/>
  <c r="BG209" i="76" s="1"/>
  <c r="AI209" i="76"/>
  <c r="AH209" i="76"/>
  <c r="AG209" i="76"/>
  <c r="AI403" i="76"/>
  <c r="BW403" i="76"/>
  <c r="AK403" i="76" a="1"/>
  <c r="AK403" i="76" s="1"/>
  <c r="BG403" i="76" s="1"/>
  <c r="AM403" i="76"/>
  <c r="AH403" i="76"/>
  <c r="AG403" i="76"/>
  <c r="AG354" i="76"/>
  <c r="AM354" i="76"/>
  <c r="AK354" i="76" a="1"/>
  <c r="AK354" i="76" s="1"/>
  <c r="BG354" i="76" s="1"/>
  <c r="BW354" i="76"/>
  <c r="AH354" i="76"/>
  <c r="AI354" i="76"/>
  <c r="BW264" i="76"/>
  <c r="AM264" i="76"/>
  <c r="AG264" i="76"/>
  <c r="AK264" i="76" a="1"/>
  <c r="AK264" i="76" s="1"/>
  <c r="BG264" i="76" s="1"/>
  <c r="AI264" i="76"/>
  <c r="AH264" i="76"/>
  <c r="AI233" i="76"/>
  <c r="AH233" i="76"/>
  <c r="BW233" i="76"/>
  <c r="AG233" i="76"/>
  <c r="AM233" i="76"/>
  <c r="AK233" i="76" a="1"/>
  <c r="AK233" i="76" s="1"/>
  <c r="BG233" i="76" s="1"/>
  <c r="AG258" i="76"/>
  <c r="AM258" i="76"/>
  <c r="AK258" i="76" a="1"/>
  <c r="AK258" i="76" s="1"/>
  <c r="BG258" i="76" s="1"/>
  <c r="AI258" i="76"/>
  <c r="BW258" i="76"/>
  <c r="AH258" i="76"/>
  <c r="AH302" i="76"/>
  <c r="AG302" i="76"/>
  <c r="BW302" i="76"/>
  <c r="AI302" i="76"/>
  <c r="AK302" i="76" a="1"/>
  <c r="AK302" i="76" s="1"/>
  <c r="BG302" i="76" s="1"/>
  <c r="AM302" i="76"/>
  <c r="BW150" i="76"/>
  <c r="AM150" i="76"/>
  <c r="AI150" i="76"/>
  <c r="AH150" i="76"/>
  <c r="AG150" i="76"/>
  <c r="AK150" i="76" a="1"/>
  <c r="AK150" i="76" s="1"/>
  <c r="BG150" i="76" s="1"/>
  <c r="AM373" i="76"/>
  <c r="BW373" i="76"/>
  <c r="AK373" i="76" a="1"/>
  <c r="AK373" i="76" s="1"/>
  <c r="BG373" i="76" s="1"/>
  <c r="AH373" i="76"/>
  <c r="AG373" i="76"/>
  <c r="AI373" i="76"/>
  <c r="AI471" i="76"/>
  <c r="AM471" i="76"/>
  <c r="AK471" i="76" a="1"/>
  <c r="AK471" i="76" s="1"/>
  <c r="BG471" i="76" s="1"/>
  <c r="BW471" i="76"/>
  <c r="AH471" i="76"/>
  <c r="AG471" i="76"/>
  <c r="AK246" i="76" a="1"/>
  <c r="AK246" i="76" s="1"/>
  <c r="BG246" i="76" s="1"/>
  <c r="AM246" i="76"/>
  <c r="AI246" i="76"/>
  <c r="AH246" i="76"/>
  <c r="AG246" i="76"/>
  <c r="BW246" i="76"/>
  <c r="AT136" i="77" l="1"/>
  <c r="AT142" i="77"/>
  <c r="AT26" i="77"/>
  <c r="AT358" i="77"/>
  <c r="AT82" i="77"/>
  <c r="AT141" i="77"/>
  <c r="AT219" i="77"/>
  <c r="AT126" i="77"/>
  <c r="AX126" i="77" s="1"/>
  <c r="BD126" i="77" s="1"/>
  <c r="AX139" i="77"/>
  <c r="BD139" i="77" s="1"/>
  <c r="AT75" i="77"/>
  <c r="AU75" i="77" s="1"/>
  <c r="AY75" i="77" s="1"/>
  <c r="AT28" i="77"/>
  <c r="AV28" i="77" s="1" a="1"/>
  <c r="AV28" i="77" s="1"/>
  <c r="AE277" i="77"/>
  <c r="AM277" i="77" s="1"/>
  <c r="AQ277" i="77"/>
  <c r="AU125" i="77"/>
  <c r="AY125" i="77" s="1"/>
  <c r="AV125" i="77" a="1"/>
  <c r="AV125" i="77" s="1"/>
  <c r="AX125" i="77"/>
  <c r="BD125" i="77" s="1"/>
  <c r="AK274" i="77" a="1"/>
  <c r="AK274" i="77" s="1"/>
  <c r="BG274" i="77" s="1"/>
  <c r="AI274" i="77"/>
  <c r="AH274" i="77"/>
  <c r="AM274" i="77"/>
  <c r="BW274" i="77"/>
  <c r="AG274" i="77"/>
  <c r="BG351" i="77"/>
  <c r="AL351" i="77"/>
  <c r="BG83" i="77"/>
  <c r="AL83" i="77"/>
  <c r="AT83" i="77" s="1"/>
  <c r="AT306" i="77"/>
  <c r="AP224" i="77"/>
  <c r="BF224" i="77" s="1"/>
  <c r="AZ224" i="77" s="1"/>
  <c r="BC224" i="77" s="1"/>
  <c r="AF224" i="77"/>
  <c r="AE224" i="77"/>
  <c r="AT130" i="77"/>
  <c r="AX278" i="77"/>
  <c r="BD278" i="77" s="1"/>
  <c r="AQ278" i="77"/>
  <c r="AP221" i="77"/>
  <c r="BF221" i="77" s="1"/>
  <c r="AZ221" i="77" s="1"/>
  <c r="BC221" i="77" s="1"/>
  <c r="AF221" i="77"/>
  <c r="AE221" i="77"/>
  <c r="AV147" i="77" a="1"/>
  <c r="AV147" i="77" s="1"/>
  <c r="AU147" i="77"/>
  <c r="AY147" i="77" s="1"/>
  <c r="AX147" i="77"/>
  <c r="BD147" i="77" s="1"/>
  <c r="AV357" i="77" a="1"/>
  <c r="AV357" i="77" s="1"/>
  <c r="AU357" i="77"/>
  <c r="AY357" i="77" s="1"/>
  <c r="AX357" i="77"/>
  <c r="BD357" i="77" s="1"/>
  <c r="AQ274" i="77"/>
  <c r="AX274" i="77"/>
  <c r="BD274" i="77" s="1"/>
  <c r="BG31" i="77"/>
  <c r="AL31" i="77"/>
  <c r="AP68" i="77"/>
  <c r="BF68" i="77" s="1"/>
  <c r="AZ68" i="77" s="1"/>
  <c r="BC68" i="77" s="1"/>
  <c r="AF68" i="77"/>
  <c r="AE68" i="77" s="1"/>
  <c r="AT143" i="77"/>
  <c r="Z236" i="77"/>
  <c r="Z243" i="77"/>
  <c r="Z241" i="77"/>
  <c r="Z239" i="77"/>
  <c r="AK239" i="77" s="1" a="1"/>
  <c r="AK239" i="77" s="1"/>
  <c r="Z242" i="77"/>
  <c r="Z238" i="77"/>
  <c r="Z237" i="77"/>
  <c r="Z240" i="77"/>
  <c r="AK361" i="77" a="1"/>
  <c r="AK361" i="77" s="1"/>
  <c r="BG361" i="77" s="1"/>
  <c r="AI361" i="77"/>
  <c r="AH361" i="77"/>
  <c r="BW361" i="77"/>
  <c r="AM361" i="77"/>
  <c r="AG361" i="77"/>
  <c r="AE259" i="77"/>
  <c r="AX259" i="77"/>
  <c r="BD259" i="77" s="1"/>
  <c r="AQ259" i="77"/>
  <c r="AU81" i="77"/>
  <c r="AY81" i="77" s="1"/>
  <c r="AV81" i="77" a="1"/>
  <c r="AV81" i="77" s="1"/>
  <c r="BC81" i="77"/>
  <c r="AX81" i="77"/>
  <c r="BD81" i="77" s="1"/>
  <c r="AV131" i="77" a="1"/>
  <c r="AV131" i="77" s="1"/>
  <c r="AU131" i="77"/>
  <c r="AY131" i="77" s="1"/>
  <c r="AX131" i="77"/>
  <c r="BD131" i="77" s="1"/>
  <c r="AQ118" i="77"/>
  <c r="AX118" i="77"/>
  <c r="BD118" i="77" s="1"/>
  <c r="AV127" i="77" a="1"/>
  <c r="AV127" i="77" s="1"/>
  <c r="AU127" i="77"/>
  <c r="AY127" i="77" s="1"/>
  <c r="AX127" i="77"/>
  <c r="BD127" i="77" s="1"/>
  <c r="BG214" i="77"/>
  <c r="AL214" i="77"/>
  <c r="AV212" i="77" a="1"/>
  <c r="AV212" i="77" s="1"/>
  <c r="AU212" i="77"/>
  <c r="AY212" i="77" s="1"/>
  <c r="AX212" i="77"/>
  <c r="BD212" i="77" s="1"/>
  <c r="AH362" i="77"/>
  <c r="AK362" i="77" a="1"/>
  <c r="AK362" i="77" s="1"/>
  <c r="BG362" i="77" s="1"/>
  <c r="BW362" i="77"/>
  <c r="AI362" i="77"/>
  <c r="AG362" i="77"/>
  <c r="AM362" i="77"/>
  <c r="AF341" i="77"/>
  <c r="AP341" i="77"/>
  <c r="BF341" i="77"/>
  <c r="AZ341" i="77" s="1"/>
  <c r="BC341" i="77" s="1"/>
  <c r="AE341" i="77"/>
  <c r="AV27" i="77" a="1"/>
  <c r="AV27" i="77" s="1"/>
  <c r="AU27" i="77"/>
  <c r="AY27" i="77" s="1"/>
  <c r="AX27" i="77"/>
  <c r="BD27" i="77" s="1"/>
  <c r="AV218" i="77" a="1"/>
  <c r="AV218" i="77" s="1"/>
  <c r="AU218" i="77"/>
  <c r="AY218" i="77" s="1"/>
  <c r="AX218" i="77"/>
  <c r="BD218" i="77" s="1"/>
  <c r="Q261" i="77"/>
  <c r="AT138" i="77"/>
  <c r="BG350" i="77"/>
  <c r="AL350" i="77"/>
  <c r="BF362" i="77"/>
  <c r="AZ362" i="77" s="1"/>
  <c r="BC362" i="77" s="1"/>
  <c r="X237" i="77"/>
  <c r="AK237" i="77" s="1" a="1"/>
  <c r="AK237" i="77" s="1"/>
  <c r="AT309" i="77"/>
  <c r="AT78" i="77"/>
  <c r="AV219" i="77" a="1"/>
  <c r="AV219" i="77" s="1"/>
  <c r="AU219" i="77"/>
  <c r="AY219" i="77" s="1"/>
  <c r="AX219" i="77"/>
  <c r="BD219" i="77" s="1"/>
  <c r="AT303" i="77"/>
  <c r="AT346" i="77"/>
  <c r="AG339" i="77"/>
  <c r="AK339" i="77" a="1"/>
  <c r="AK339" i="77" s="1"/>
  <c r="BG339" i="77" s="1"/>
  <c r="AI339" i="77"/>
  <c r="AH339" i="77"/>
  <c r="AM339" i="77"/>
  <c r="BW339" i="77"/>
  <c r="AT30" i="77"/>
  <c r="X236" i="77"/>
  <c r="BG80" i="77"/>
  <c r="AL80" i="77"/>
  <c r="AU136" i="77"/>
  <c r="AY136" i="77" s="1"/>
  <c r="AV136" i="77" a="1"/>
  <c r="AV136" i="77" s="1"/>
  <c r="AX136" i="77"/>
  <c r="BD136" i="77" s="1"/>
  <c r="AE273" i="77"/>
  <c r="AQ273" i="77"/>
  <c r="AX273" i="77"/>
  <c r="BD273" i="77" s="1"/>
  <c r="AU352" i="77"/>
  <c r="AY352" i="77" s="1"/>
  <c r="AV352" i="77" a="1"/>
  <c r="AV352" i="77" s="1"/>
  <c r="AX352" i="77"/>
  <c r="BD352" i="77" s="1"/>
  <c r="BG209" i="77"/>
  <c r="AL209" i="77"/>
  <c r="AT209" i="77" s="1"/>
  <c r="AF296" i="77"/>
  <c r="AP296" i="77"/>
  <c r="BF296" i="77" s="1"/>
  <c r="AZ296" i="77" s="1"/>
  <c r="BC296" i="77" s="1"/>
  <c r="X238" i="77"/>
  <c r="AK238" i="77" s="1" a="1"/>
  <c r="AK238" i="77" s="1"/>
  <c r="AV35" i="77" a="1"/>
  <c r="AV35" i="77" s="1"/>
  <c r="AU35" i="77"/>
  <c r="AY35" i="77" s="1"/>
  <c r="AX35" i="77"/>
  <c r="BD35" i="77" s="1"/>
  <c r="AU348" i="77"/>
  <c r="AY348" i="77" s="1"/>
  <c r="AV348" i="77" a="1"/>
  <c r="AV348" i="77" s="1"/>
  <c r="AX348" i="77"/>
  <c r="BD348" i="77" s="1"/>
  <c r="AI118" i="77"/>
  <c r="AG118" i="77"/>
  <c r="AK118" i="77" a="1"/>
  <c r="AK118" i="77" s="1"/>
  <c r="BG118" i="77" s="1"/>
  <c r="BW118" i="77"/>
  <c r="AH118" i="77"/>
  <c r="AM118" i="77"/>
  <c r="BG23" i="77"/>
  <c r="AL23" i="77"/>
  <c r="AT23" i="77" s="1"/>
  <c r="AT349" i="77"/>
  <c r="BW294" i="77"/>
  <c r="AI294" i="77"/>
  <c r="AH294" i="77"/>
  <c r="AM294" i="77"/>
  <c r="AG294" i="77"/>
  <c r="AK294" i="77" a="1"/>
  <c r="AK294" i="77" s="1"/>
  <c r="BG294" i="77" s="1"/>
  <c r="AT25" i="77"/>
  <c r="BG304" i="77"/>
  <c r="AL304" i="77"/>
  <c r="AT304" i="77" s="1"/>
  <c r="BG79" i="77"/>
  <c r="AL79" i="77"/>
  <c r="AK276" i="77" a="1"/>
  <c r="AK276" i="77" s="1"/>
  <c r="BG276" i="77" s="1"/>
  <c r="AI276" i="77"/>
  <c r="AG276" i="77"/>
  <c r="BW276" i="77"/>
  <c r="AH276" i="77"/>
  <c r="AM276" i="77"/>
  <c r="AX275" i="77"/>
  <c r="BD275" i="77" s="1"/>
  <c r="AQ275" i="77"/>
  <c r="AV137" i="77" a="1"/>
  <c r="AV137" i="77" s="1"/>
  <c r="AU137" i="77"/>
  <c r="AY137" i="77" s="1"/>
  <c r="AX137" i="77"/>
  <c r="BD137" i="77" s="1"/>
  <c r="AU124" i="77"/>
  <c r="AY124" i="77" s="1"/>
  <c r="AV124" i="77" a="1"/>
  <c r="AV124" i="77" s="1"/>
  <c r="AX124" i="77"/>
  <c r="BD124" i="77" s="1"/>
  <c r="AU204" i="77"/>
  <c r="AY204" i="77"/>
  <c r="AV204" i="77" a="1"/>
  <c r="AV204" i="77" s="1"/>
  <c r="BA204" i="77"/>
  <c r="AO204" i="77"/>
  <c r="AL204" i="77"/>
  <c r="AT204" i="77" s="1"/>
  <c r="AN204" i="77"/>
  <c r="AG144" i="77"/>
  <c r="AM144" i="77"/>
  <c r="AH144" i="77"/>
  <c r="AI144" i="77"/>
  <c r="BW144" i="77"/>
  <c r="AK144" i="77" a="1"/>
  <c r="AK144" i="77" s="1"/>
  <c r="AV302" i="77" a="1"/>
  <c r="AV302" i="77" s="1"/>
  <c r="AU302" i="77"/>
  <c r="AY302" i="77" s="1"/>
  <c r="AX302" i="77"/>
  <c r="BD302" i="77" s="1"/>
  <c r="AV82" i="77" a="1"/>
  <c r="AV82" i="77" s="1"/>
  <c r="AU82" i="77"/>
  <c r="AY82" i="77" s="1"/>
  <c r="AX82" i="77"/>
  <c r="BD82" i="77" s="1"/>
  <c r="BC82" i="77"/>
  <c r="AV129" i="77" a="1"/>
  <c r="AV129" i="77" s="1"/>
  <c r="AU129" i="77"/>
  <c r="AY129" i="77" s="1"/>
  <c r="AX129" i="77"/>
  <c r="BD129" i="77" s="1"/>
  <c r="AK242" i="77" a="1"/>
  <c r="AK242" i="77" s="1"/>
  <c r="AX276" i="77"/>
  <c r="BD276" i="77" s="1"/>
  <c r="AQ276" i="77"/>
  <c r="AU305" i="77"/>
  <c r="AY305" i="77" s="1"/>
  <c r="AV305" i="77" a="1"/>
  <c r="AV305" i="77" s="1"/>
  <c r="AX305" i="77"/>
  <c r="BD305" i="77" s="1"/>
  <c r="AV215" i="77" a="1"/>
  <c r="AV215" i="77" s="1"/>
  <c r="AU215" i="77"/>
  <c r="AY215" i="77" s="1"/>
  <c r="AX215" i="77"/>
  <c r="BD215" i="77" s="1"/>
  <c r="AV29" i="77" a="1"/>
  <c r="AV29" i="77" s="1"/>
  <c r="AU29" i="77"/>
  <c r="AY29" i="77" s="1"/>
  <c r="AX29" i="77"/>
  <c r="BD29" i="77" s="1"/>
  <c r="BG356" i="77"/>
  <c r="AL356" i="77"/>
  <c r="AT356" i="77" s="1"/>
  <c r="AU142" i="77"/>
  <c r="AY142" i="77" s="1"/>
  <c r="AV142" i="77" a="1"/>
  <c r="AV142" i="77" s="1"/>
  <c r="AX142" i="77"/>
  <c r="BD142" i="77" s="1"/>
  <c r="BG210" i="77"/>
  <c r="AL210" i="77"/>
  <c r="AH278" i="77"/>
  <c r="AG278" i="77"/>
  <c r="AM278" i="77"/>
  <c r="BW278" i="77"/>
  <c r="AK278" i="77" a="1"/>
  <c r="AK278" i="77" s="1"/>
  <c r="BG278" i="77" s="1"/>
  <c r="AI278" i="77"/>
  <c r="BG128" i="77"/>
  <c r="AL128" i="77"/>
  <c r="AX361" i="77"/>
  <c r="BD361" i="77" s="1"/>
  <c r="AQ361" i="77"/>
  <c r="AF260" i="77"/>
  <c r="BF260" i="77"/>
  <c r="AZ260" i="77" s="1"/>
  <c r="BC260" i="77" s="1"/>
  <c r="AV141" i="77" a="1"/>
  <c r="AV141" i="77" s="1"/>
  <c r="AU141" i="77"/>
  <c r="AY141" i="77" s="1"/>
  <c r="AX141" i="77"/>
  <c r="BD141" i="77" s="1"/>
  <c r="AV26" i="77" a="1"/>
  <c r="AV26" i="77" s="1"/>
  <c r="AU26" i="77"/>
  <c r="AY26" i="77" s="1"/>
  <c r="AX26" i="77"/>
  <c r="BD26" i="77" s="1"/>
  <c r="AE275" i="77"/>
  <c r="AU358" i="77"/>
  <c r="AY358" i="77" s="1"/>
  <c r="AV358" i="77" a="1"/>
  <c r="AV358" i="77" s="1"/>
  <c r="AX358" i="77"/>
  <c r="BD358" i="77" s="1"/>
  <c r="AG258" i="77"/>
  <c r="AM258" i="77"/>
  <c r="AI258" i="77"/>
  <c r="AK258" i="77" a="1"/>
  <c r="AK258" i="77" s="1"/>
  <c r="BG258" i="77" s="1"/>
  <c r="AH258" i="77"/>
  <c r="BW258" i="77"/>
  <c r="AV76" i="77" a="1"/>
  <c r="AV76" i="77" s="1"/>
  <c r="AU76" i="77"/>
  <c r="AY76" i="77" s="1"/>
  <c r="BC76" i="77"/>
  <c r="AX76" i="77"/>
  <c r="BD76" i="77" s="1"/>
  <c r="BC75" i="77"/>
  <c r="AM24" i="77"/>
  <c r="AI24" i="77"/>
  <c r="AK24" i="77" a="1"/>
  <c r="AK24" i="77" s="1"/>
  <c r="BW24" i="77"/>
  <c r="AH24" i="77"/>
  <c r="AG24" i="77"/>
  <c r="AT213" i="77"/>
  <c r="AT140" i="77"/>
  <c r="DC3" i="76"/>
  <c r="DC5" i="76"/>
  <c r="AT351" i="77" l="1"/>
  <c r="AK277" i="77" a="1"/>
  <c r="AK277" i="77" s="1"/>
  <c r="BG277" i="77" s="1"/>
  <c r="AT214" i="77"/>
  <c r="AT80" i="77"/>
  <c r="AV75" i="77" a="1"/>
  <c r="AV75" i="77" s="1"/>
  <c r="AX28" i="77"/>
  <c r="BD28" i="77" s="1"/>
  <c r="AV126" i="77" a="1"/>
  <c r="AV126" i="77" s="1"/>
  <c r="AU126" i="77"/>
  <c r="AY126" i="77" s="1"/>
  <c r="AU28" i="77"/>
  <c r="AY28" i="77" s="1"/>
  <c r="AI277" i="77"/>
  <c r="AT128" i="77"/>
  <c r="AU128" i="77" s="1"/>
  <c r="AY128" i="77" s="1"/>
  <c r="AT31" i="77"/>
  <c r="AG277" i="77"/>
  <c r="AX75" i="77"/>
  <c r="BD75" i="77" s="1"/>
  <c r="AH277" i="77"/>
  <c r="AT350" i="77"/>
  <c r="AX350" i="77" s="1"/>
  <c r="BD350" i="77" s="1"/>
  <c r="BW277" i="77"/>
  <c r="BG237" i="77"/>
  <c r="AL237" i="77"/>
  <c r="AI68" i="77"/>
  <c r="AH68" i="77"/>
  <c r="AG68" i="77"/>
  <c r="AK68" i="77" a="1"/>
  <c r="AK68" i="77" s="1"/>
  <c r="BG68" i="77" s="1"/>
  <c r="AM68" i="77"/>
  <c r="BW68" i="77"/>
  <c r="AT79" i="77"/>
  <c r="AE296" i="77"/>
  <c r="AX296" i="77"/>
  <c r="BD296" i="77" s="1"/>
  <c r="AQ296" i="77"/>
  <c r="AK236" i="77" a="1"/>
  <c r="AK236" i="77" s="1"/>
  <c r="AQ68" i="77"/>
  <c r="AX221" i="77"/>
  <c r="BD221" i="77" s="1"/>
  <c r="AQ221" i="77"/>
  <c r="AU356" i="77"/>
  <c r="AY356" i="77" s="1"/>
  <c r="AV356" i="77" a="1"/>
  <c r="AV356" i="77" s="1"/>
  <c r="AX356" i="77"/>
  <c r="BD356" i="77" s="1"/>
  <c r="AX214" i="77"/>
  <c r="BD214" i="77" s="1"/>
  <c r="AV214" i="77" a="1"/>
  <c r="AV214" i="77" s="1"/>
  <c r="AU214" i="77"/>
  <c r="AY214" i="77" s="1"/>
  <c r="AU140" i="77"/>
  <c r="AY140" i="77" s="1"/>
  <c r="AV140" i="77" a="1"/>
  <c r="AV140" i="77" s="1"/>
  <c r="AX140" i="77"/>
  <c r="BD140" i="77" s="1"/>
  <c r="AU304" i="77"/>
  <c r="AY304" i="77" s="1"/>
  <c r="AV304" i="77" a="1"/>
  <c r="AV304" i="77" s="1"/>
  <c r="AX304" i="77"/>
  <c r="BD304" i="77" s="1"/>
  <c r="Y245" i="77"/>
  <c r="R232" i="77" s="1"/>
  <c r="AV31" i="77" a="1"/>
  <c r="AV31" i="77" s="1"/>
  <c r="AU31" i="77"/>
  <c r="AY31" i="77" s="1"/>
  <c r="AX31" i="77"/>
  <c r="BD31" i="77" s="1"/>
  <c r="AK241" i="77" a="1"/>
  <c r="AK241" i="77" s="1"/>
  <c r="AU138" i="77"/>
  <c r="AY138" i="77" s="1"/>
  <c r="AV138" i="77" a="1"/>
  <c r="AV138" i="77" s="1"/>
  <c r="AX138" i="77"/>
  <c r="BD138" i="77" s="1"/>
  <c r="AF204" i="77"/>
  <c r="AP204" i="77"/>
  <c r="BF204" i="77" s="1"/>
  <c r="AZ204" i="77" s="1"/>
  <c r="BC204" i="77" s="1"/>
  <c r="AE204" i="77"/>
  <c r="AV349" i="77" a="1"/>
  <c r="AV349" i="77" s="1"/>
  <c r="AU349" i="77"/>
  <c r="AY349" i="77" s="1"/>
  <c r="AX349" i="77"/>
  <c r="BD349" i="77" s="1"/>
  <c r="AU351" i="77"/>
  <c r="AY351" i="77" s="1"/>
  <c r="AV351" i="77" a="1"/>
  <c r="AV351" i="77" s="1"/>
  <c r="AX351" i="77"/>
  <c r="BD351" i="77" s="1"/>
  <c r="AV209" i="77" a="1"/>
  <c r="AV209" i="77" s="1"/>
  <c r="AU209" i="77"/>
  <c r="AY209" i="77" s="1"/>
  <c r="AX209" i="77"/>
  <c r="BD209" i="77" s="1"/>
  <c r="AT210" i="77"/>
  <c r="AK240" i="77" a="1"/>
  <c r="AK240" i="77" s="1"/>
  <c r="AF261" i="77"/>
  <c r="BF261" i="77"/>
  <c r="AZ261" i="77" s="1"/>
  <c r="BC261" i="77" s="1"/>
  <c r="AV346" i="77" a="1"/>
  <c r="AV346" i="77" s="1"/>
  <c r="AU346" i="77"/>
  <c r="AY346" i="77" s="1"/>
  <c r="AX346" i="77"/>
  <c r="BD346" i="77" s="1"/>
  <c r="AV83" i="77" a="1"/>
  <c r="AV83" i="77" s="1"/>
  <c r="AU83" i="77"/>
  <c r="AY83" i="77" s="1"/>
  <c r="AX83" i="77"/>
  <c r="BD83" i="77" s="1"/>
  <c r="BC83" i="77"/>
  <c r="AG259" i="77"/>
  <c r="AK259" i="77" a="1"/>
  <c r="AK259" i="77" s="1"/>
  <c r="BG259" i="77" s="1"/>
  <c r="AI259" i="77"/>
  <c r="AH259" i="77"/>
  <c r="BW259" i="77"/>
  <c r="AM259" i="77"/>
  <c r="AV143" i="77" a="1"/>
  <c r="AV143" i="77" s="1"/>
  <c r="AU143" i="77"/>
  <c r="AY143" i="77" s="1"/>
  <c r="AX143" i="77"/>
  <c r="BD143" i="77" s="1"/>
  <c r="AU23" i="77"/>
  <c r="AY23" i="77" s="1"/>
  <c r="AV23" i="77" a="1"/>
  <c r="AV23" i="77" s="1"/>
  <c r="BC23" i="77"/>
  <c r="AX23" i="77"/>
  <c r="BD23" i="77" s="1"/>
  <c r="BG239" i="77"/>
  <c r="AL239" i="77"/>
  <c r="AT239" i="77" s="1"/>
  <c r="AU130" i="77"/>
  <c r="AY130" i="77" s="1"/>
  <c r="AV130" i="77" a="1"/>
  <c r="AV130" i="77" s="1"/>
  <c r="AX130" i="77"/>
  <c r="BD130" i="77" s="1"/>
  <c r="AK273" i="77" a="1"/>
  <c r="AK273" i="77" s="1"/>
  <c r="BG273" i="77" s="1"/>
  <c r="BW273" i="77"/>
  <c r="AM273" i="77"/>
  <c r="AH273" i="77"/>
  <c r="AI273" i="77"/>
  <c r="AG273" i="77"/>
  <c r="AE260" i="77"/>
  <c r="AX260" i="77"/>
  <c r="BD260" i="77" s="1"/>
  <c r="AQ260" i="77"/>
  <c r="AV303" i="77" a="1"/>
  <c r="AV303" i="77" s="1"/>
  <c r="AU303" i="77"/>
  <c r="AY303" i="77" s="1"/>
  <c r="AX303" i="77"/>
  <c r="BD303" i="77" s="1"/>
  <c r="AU306" i="77"/>
  <c r="AY306" i="77" s="1"/>
  <c r="AV306" i="77" a="1"/>
  <c r="AV306" i="77" s="1"/>
  <c r="AX306" i="77"/>
  <c r="BD306" i="77" s="1"/>
  <c r="AX128" i="77"/>
  <c r="BD128" i="77" s="1"/>
  <c r="AV80" i="77" a="1"/>
  <c r="AV80" i="77" s="1"/>
  <c r="AU80" i="77"/>
  <c r="AY80" i="77" s="1"/>
  <c r="BC80" i="77"/>
  <c r="AX80" i="77"/>
  <c r="BD80" i="77" s="1"/>
  <c r="AV78" i="77" a="1"/>
  <c r="AV78" i="77" s="1"/>
  <c r="AU78" i="77"/>
  <c r="AY78" i="77" s="1"/>
  <c r="BC78" i="77"/>
  <c r="AX78" i="77"/>
  <c r="BD78" i="77" s="1"/>
  <c r="AM341" i="77"/>
  <c r="AH341" i="77"/>
  <c r="BW341" i="77"/>
  <c r="AG341" i="77"/>
  <c r="AI341" i="77"/>
  <c r="AK341" i="77" a="1"/>
  <c r="AK341" i="77" s="1"/>
  <c r="BG341" i="77" s="1"/>
  <c r="BG238" i="77"/>
  <c r="AL238" i="77"/>
  <c r="AT238" i="77" s="1"/>
  <c r="AV30" i="77" a="1"/>
  <c r="AV30" i="77" s="1"/>
  <c r="AU30" i="77"/>
  <c r="AY30" i="77" s="1"/>
  <c r="AX30" i="77"/>
  <c r="BD30" i="77" s="1"/>
  <c r="AQ341" i="77"/>
  <c r="AX341" i="77"/>
  <c r="BD341" i="77" s="1"/>
  <c r="BG242" i="77"/>
  <c r="AL242" i="77"/>
  <c r="AT242" i="77" s="1"/>
  <c r="Q262" i="77"/>
  <c r="AM224" i="77"/>
  <c r="AK224" i="77" a="1"/>
  <c r="AK224" i="77" s="1"/>
  <c r="BG224" i="77" s="1"/>
  <c r="AH224" i="77"/>
  <c r="AI224" i="77"/>
  <c r="BW224" i="77"/>
  <c r="AG224" i="77"/>
  <c r="AU309" i="77"/>
  <c r="AY309" i="77" s="1"/>
  <c r="AV309" i="77" a="1"/>
  <c r="AV309" i="77" s="1"/>
  <c r="AX309" i="77"/>
  <c r="BD309" i="77" s="1"/>
  <c r="AG221" i="77"/>
  <c r="AH221" i="77"/>
  <c r="AM221" i="77"/>
  <c r="AK221" i="77" a="1"/>
  <c r="AK221" i="77" s="1"/>
  <c r="BG221" i="77" s="1"/>
  <c r="BW221" i="77"/>
  <c r="AI221" i="77"/>
  <c r="AI275" i="77"/>
  <c r="AH275" i="77"/>
  <c r="BW275" i="77"/>
  <c r="AM275" i="77"/>
  <c r="AK275" i="77" a="1"/>
  <c r="AK275" i="77" s="1"/>
  <c r="BG275" i="77" s="1"/>
  <c r="AG275" i="77"/>
  <c r="BG144" i="77"/>
  <c r="AL144" i="77"/>
  <c r="AT144" i="77" s="1"/>
  <c r="AU213" i="77"/>
  <c r="AY213" i="77" s="1"/>
  <c r="AV213" i="77" a="1"/>
  <c r="AV213" i="77" s="1"/>
  <c r="AX213" i="77"/>
  <c r="BD213" i="77" s="1"/>
  <c r="AV25" i="77" a="1"/>
  <c r="AV25" i="77" s="1"/>
  <c r="AU25" i="77"/>
  <c r="AY25" i="77" s="1"/>
  <c r="AX25" i="77"/>
  <c r="BD25" i="77" s="1"/>
  <c r="BG24" i="77"/>
  <c r="AL24" i="77"/>
  <c r="AK243" i="77" a="1"/>
  <c r="AK243" i="77" s="1"/>
  <c r="AX68" i="77"/>
  <c r="BD68" i="77" s="1"/>
  <c r="AX224" i="77"/>
  <c r="BD224" i="77" s="1"/>
  <c r="AQ224" i="77"/>
  <c r="AT24" i="77" l="1"/>
  <c r="AU24" i="77" s="1"/>
  <c r="AY24" i="77" s="1"/>
  <c r="AV350" i="77" a="1"/>
  <c r="AV350" i="77" s="1"/>
  <c r="AU350" i="77"/>
  <c r="AY350" i="77" s="1"/>
  <c r="AT237" i="77"/>
  <c r="AX237" i="77" s="1"/>
  <c r="BD237" i="77" s="1"/>
  <c r="AV128" i="77" a="1"/>
  <c r="AV128" i="77" s="1"/>
  <c r="BG236" i="77"/>
  <c r="AL236" i="77"/>
  <c r="BG243" i="77"/>
  <c r="AL243" i="77"/>
  <c r="AT243" i="77" s="1"/>
  <c r="AF262" i="77"/>
  <c r="BF262" i="77"/>
  <c r="AZ262" i="77" s="1"/>
  <c r="BC262" i="77" s="1"/>
  <c r="Q268" i="77"/>
  <c r="AV242" i="77" a="1"/>
  <c r="AV242" i="77" s="1"/>
  <c r="AU242" i="77"/>
  <c r="AY242" i="77" s="1"/>
  <c r="AX242" i="77"/>
  <c r="BD242" i="77" s="1"/>
  <c r="AI296" i="77"/>
  <c r="AH296" i="77"/>
  <c r="AM296" i="77"/>
  <c r="BW296" i="77"/>
  <c r="AK296" i="77" a="1"/>
  <c r="AK296" i="77" s="1"/>
  <c r="BG296" i="77" s="1"/>
  <c r="AG296" i="77"/>
  <c r="AI204" i="77"/>
  <c r="AG204" i="77"/>
  <c r="AM204" i="77"/>
  <c r="AH204" i="77"/>
  <c r="BW204" i="77"/>
  <c r="AK204" i="77" a="1"/>
  <c r="AK204" i="77" s="1"/>
  <c r="BG204" i="77" s="1"/>
  <c r="AQ261" i="77"/>
  <c r="AX261" i="77"/>
  <c r="BD261" i="77" s="1"/>
  <c r="AE261" i="77"/>
  <c r="AU144" i="77"/>
  <c r="AY144" i="77" s="1"/>
  <c r="AV144" i="77" a="1"/>
  <c r="AV144" i="77" s="1"/>
  <c r="AX144" i="77"/>
  <c r="BD144" i="77" s="1"/>
  <c r="BG240" i="77"/>
  <c r="AL240" i="77"/>
  <c r="AT240" i="77" s="1"/>
  <c r="AV238" i="77" a="1"/>
  <c r="AV238" i="77" s="1"/>
  <c r="AU238" i="77"/>
  <c r="AY238" i="77" s="1"/>
  <c r="AX238" i="77"/>
  <c r="BD238" i="77" s="1"/>
  <c r="AU210" i="77"/>
  <c r="AY210" i="77" s="1"/>
  <c r="AV210" i="77" a="1"/>
  <c r="AV210" i="77" s="1"/>
  <c r="AX210" i="77"/>
  <c r="BD210" i="77" s="1"/>
  <c r="AV239" i="77" a="1"/>
  <c r="AV239" i="77" s="1"/>
  <c r="AU239" i="77"/>
  <c r="AY239" i="77" s="1"/>
  <c r="AX239" i="77"/>
  <c r="BD239" i="77" s="1"/>
  <c r="BG241" i="77"/>
  <c r="AL241" i="77"/>
  <c r="AV237" i="77" a="1"/>
  <c r="AV237" i="77" s="1"/>
  <c r="AU237" i="77"/>
  <c r="AY237" i="77" s="1"/>
  <c r="AH260" i="77"/>
  <c r="AG260" i="77"/>
  <c r="BW260" i="77"/>
  <c r="AM260" i="77"/>
  <c r="AK260" i="77" a="1"/>
  <c r="AK260" i="77" s="1"/>
  <c r="BG260" i="77" s="1"/>
  <c r="AI260" i="77"/>
  <c r="AV79" i="77" a="1"/>
  <c r="AV79" i="77" s="1"/>
  <c r="AU79" i="77"/>
  <c r="AY79" i="77" s="1"/>
  <c r="BC79" i="77"/>
  <c r="AX79" i="77"/>
  <c r="BD79" i="77" s="1"/>
  <c r="AQ204" i="77"/>
  <c r="AX204" i="77"/>
  <c r="BD204" i="77" s="1"/>
  <c r="AT241" i="77" l="1"/>
  <c r="AX24" i="77"/>
  <c r="BD24" i="77" s="1"/>
  <c r="AV24" i="77" a="1"/>
  <c r="AV24" i="77" s="1"/>
  <c r="AT236" i="77"/>
  <c r="AU241" i="77"/>
  <c r="AY241" i="77" s="1"/>
  <c r="AV241" i="77" a="1"/>
  <c r="AV241" i="77" s="1"/>
  <c r="AX241" i="77"/>
  <c r="BD241" i="77" s="1"/>
  <c r="AF268" i="77"/>
  <c r="BF268" i="77"/>
  <c r="AZ268" i="77" s="1"/>
  <c r="BC268" i="77" s="1"/>
  <c r="Q269" i="77"/>
  <c r="AV243" i="77" a="1"/>
  <c r="AV243" i="77" s="1"/>
  <c r="AU243" i="77"/>
  <c r="AY243" i="77" s="1"/>
  <c r="AX243" i="77"/>
  <c r="BD243" i="77" s="1"/>
  <c r="AI261" i="77"/>
  <c r="AM261" i="77"/>
  <c r="BW261" i="77"/>
  <c r="AK261" i="77" a="1"/>
  <c r="AK261" i="77" s="1"/>
  <c r="BG261" i="77" s="1"/>
  <c r="AH261" i="77"/>
  <c r="AG261" i="77"/>
  <c r="AU240" i="77"/>
  <c r="AY240" i="77" s="1"/>
  <c r="AV240" i="77" a="1"/>
  <c r="AV240" i="77" s="1"/>
  <c r="AX240" i="77"/>
  <c r="BD240" i="77" s="1"/>
  <c r="AQ262" i="77"/>
  <c r="AX262" i="77"/>
  <c r="BD262" i="77" s="1"/>
  <c r="AE262" i="77"/>
  <c r="AV236" i="77" a="1"/>
  <c r="AV236" i="77" s="1"/>
  <c r="AU236" i="77"/>
  <c r="AX236" i="77"/>
  <c r="BD236" i="77" s="1"/>
  <c r="AF269" i="77" l="1"/>
  <c r="BF269" i="77"/>
  <c r="AZ269" i="77" s="1"/>
  <c r="BC269" i="77" s="1"/>
  <c r="Q270" i="77"/>
  <c r="AM262" i="77"/>
  <c r="BW262" i="77"/>
  <c r="AK262" i="77" a="1"/>
  <c r="AK262" i="77" s="1"/>
  <c r="BG262" i="77" s="1"/>
  <c r="AI262" i="77"/>
  <c r="AH262" i="77"/>
  <c r="AG262" i="77"/>
  <c r="AX268" i="77"/>
  <c r="BD268" i="77" s="1"/>
  <c r="AE268" i="77"/>
  <c r="AQ268" i="77"/>
  <c r="AY236" i="77"/>
  <c r="AG268" i="77" l="1"/>
  <c r="AK268" i="77" a="1"/>
  <c r="AK268" i="77" s="1"/>
  <c r="BG268" i="77" s="1"/>
  <c r="AI268" i="77"/>
  <c r="AH268" i="77"/>
  <c r="AM268" i="77"/>
  <c r="BW268" i="77"/>
  <c r="BF270" i="77"/>
  <c r="AZ270" i="77" s="1"/>
  <c r="BC270" i="77" s="1"/>
  <c r="AF270" i="77"/>
  <c r="AE269" i="77"/>
  <c r="AX269" i="77"/>
  <c r="BD269" i="77" s="1"/>
  <c r="AQ269" i="77"/>
  <c r="A1" i="60"/>
  <c r="A1" i="61"/>
  <c r="I21" i="71"/>
  <c r="I22" i="71"/>
  <c r="I23" i="71"/>
  <c r="I24" i="71"/>
  <c r="I25" i="71"/>
  <c r="I26" i="71"/>
  <c r="I27" i="71"/>
  <c r="I28" i="71"/>
  <c r="I29" i="71"/>
  <c r="I20" i="71"/>
  <c r="H53" i="71"/>
  <c r="E52" i="71"/>
  <c r="D52" i="71"/>
  <c r="E51" i="71"/>
  <c r="D51" i="71"/>
  <c r="E50" i="71"/>
  <c r="D50" i="71"/>
  <c r="E48" i="71"/>
  <c r="D48" i="71"/>
  <c r="E47" i="71"/>
  <c r="D47" i="71"/>
  <c r="B47" i="71"/>
  <c r="E46" i="71"/>
  <c r="B46" i="71"/>
  <c r="B45" i="71"/>
  <c r="E44" i="71"/>
  <c r="D44" i="71"/>
  <c r="B44" i="71"/>
  <c r="E43" i="71"/>
  <c r="D43" i="71"/>
  <c r="B43" i="71"/>
  <c r="P42" i="71"/>
  <c r="D41" i="71"/>
  <c r="E40" i="71"/>
  <c r="D40" i="71"/>
  <c r="D37" i="71"/>
  <c r="E36" i="71"/>
  <c r="D36" i="71"/>
  <c r="H35" i="71"/>
  <c r="G35" i="71"/>
  <c r="E34" i="71"/>
  <c r="D34" i="71"/>
  <c r="E33" i="71"/>
  <c r="D33" i="71"/>
  <c r="E32" i="71"/>
  <c r="D32" i="71"/>
  <c r="E30" i="71"/>
  <c r="P29" i="71"/>
  <c r="N29" i="71"/>
  <c r="E29" i="71"/>
  <c r="B29" i="71"/>
  <c r="D28" i="71"/>
  <c r="B28" i="71"/>
  <c r="P27" i="71"/>
  <c r="N27" i="71"/>
  <c r="B27" i="71"/>
  <c r="N26" i="71"/>
  <c r="E26" i="71"/>
  <c r="D26" i="71"/>
  <c r="B26" i="71"/>
  <c r="P25" i="71"/>
  <c r="B25" i="71"/>
  <c r="N24" i="71"/>
  <c r="E24" i="71"/>
  <c r="D24" i="71"/>
  <c r="B24" i="71"/>
  <c r="E23" i="71"/>
  <c r="D23" i="71"/>
  <c r="B23" i="71"/>
  <c r="P22" i="71"/>
  <c r="N22" i="71"/>
  <c r="E22" i="71"/>
  <c r="D22" i="71"/>
  <c r="B22" i="71"/>
  <c r="E21" i="71"/>
  <c r="B21" i="71"/>
  <c r="P20" i="71"/>
  <c r="N20" i="71"/>
  <c r="E20" i="71"/>
  <c r="D19" i="71"/>
  <c r="D18" i="71"/>
  <c r="E17" i="71"/>
  <c r="D17" i="71"/>
  <c r="L16" i="71"/>
  <c r="F16" i="71" s="1"/>
  <c r="G16" i="71"/>
  <c r="C16" i="71" s="1"/>
  <c r="E16" i="71"/>
  <c r="E39" i="71" s="1"/>
  <c r="D16" i="71"/>
  <c r="D46" i="71" s="1"/>
  <c r="L15" i="71"/>
  <c r="N25" i="71" s="1"/>
  <c r="E15" i="71"/>
  <c r="D15" i="71"/>
  <c r="O14" i="71"/>
  <c r="E14" i="71"/>
  <c r="E13" i="71"/>
  <c r="D13" i="71"/>
  <c r="E12" i="71"/>
  <c r="D12" i="71"/>
  <c r="E11" i="71"/>
  <c r="D11" i="71"/>
  <c r="P10" i="71"/>
  <c r="E10" i="71"/>
  <c r="D10" i="71"/>
  <c r="BA343" i="71"/>
  <c r="AY343" i="71"/>
  <c r="C8" i="71"/>
  <c r="AZ7" i="71"/>
  <c r="AZ6" i="71"/>
  <c r="BA3" i="71"/>
  <c r="AV2" i="71"/>
  <c r="AU2" i="71"/>
  <c r="AT2" i="71"/>
  <c r="AS2" i="71"/>
  <c r="AR2" i="71"/>
  <c r="AQ2" i="71"/>
  <c r="AP2" i="71"/>
  <c r="AO2" i="71"/>
  <c r="AN2" i="71"/>
  <c r="AM2" i="71"/>
  <c r="AL2" i="71"/>
  <c r="AK2" i="71"/>
  <c r="AJ2" i="71"/>
  <c r="AI2" i="71"/>
  <c r="AH2" i="71"/>
  <c r="AF2" i="71"/>
  <c r="AE2" i="71"/>
  <c r="AD2" i="71"/>
  <c r="AC2" i="71"/>
  <c r="AB2" i="71"/>
  <c r="AA2" i="71"/>
  <c r="Z2" i="71"/>
  <c r="Y2" i="71"/>
  <c r="X2" i="71"/>
  <c r="W2" i="71"/>
  <c r="V2" i="71"/>
  <c r="U2" i="71"/>
  <c r="T2" i="71"/>
  <c r="S2" i="71"/>
  <c r="R2" i="71"/>
  <c r="P2" i="71"/>
  <c r="O2" i="71"/>
  <c r="N2" i="71"/>
  <c r="M2" i="71"/>
  <c r="L2" i="71"/>
  <c r="K2" i="71"/>
  <c r="J2" i="71"/>
  <c r="I2" i="71"/>
  <c r="H2" i="71"/>
  <c r="G2" i="71"/>
  <c r="F2" i="71"/>
  <c r="E2" i="71"/>
  <c r="D2" i="71"/>
  <c r="C2" i="71"/>
  <c r="B2" i="71"/>
  <c r="BA1" i="71"/>
  <c r="AZ1" i="71"/>
  <c r="AV1" i="71"/>
  <c r="AU1" i="71"/>
  <c r="AT1" i="71"/>
  <c r="AS1" i="71"/>
  <c r="AR1" i="71"/>
  <c r="AQ1" i="71"/>
  <c r="AP1" i="71"/>
  <c r="AO1" i="71"/>
  <c r="AN1" i="71"/>
  <c r="AM1" i="71"/>
  <c r="AL1" i="71"/>
  <c r="AK1" i="71"/>
  <c r="AJ1" i="71"/>
  <c r="AI1" i="71"/>
  <c r="AH1" i="71"/>
  <c r="AF1" i="71"/>
  <c r="AE1" i="71"/>
  <c r="AD1" i="71"/>
  <c r="AC1" i="71"/>
  <c r="AB1" i="71"/>
  <c r="AA1" i="71"/>
  <c r="Z1" i="71"/>
  <c r="Y1" i="71"/>
  <c r="X1" i="71"/>
  <c r="W1" i="71"/>
  <c r="V1" i="71"/>
  <c r="U1" i="71"/>
  <c r="T1" i="71"/>
  <c r="S1" i="71"/>
  <c r="R1" i="71"/>
  <c r="P1" i="71"/>
  <c r="O1" i="71"/>
  <c r="N1" i="71"/>
  <c r="M1" i="71"/>
  <c r="L1" i="71"/>
  <c r="K1" i="71"/>
  <c r="J1" i="71"/>
  <c r="I1" i="71"/>
  <c r="H1" i="71"/>
  <c r="G1" i="71"/>
  <c r="F1" i="71"/>
  <c r="E1" i="71"/>
  <c r="D1" i="71"/>
  <c r="C1" i="71"/>
  <c r="B1" i="71"/>
  <c r="A1" i="71"/>
  <c r="H100" i="70"/>
  <c r="B96" i="70"/>
  <c r="B95" i="70"/>
  <c r="D94" i="70"/>
  <c r="B94" i="70"/>
  <c r="B93" i="70"/>
  <c r="B92" i="70"/>
  <c r="B91" i="70"/>
  <c r="B90" i="70"/>
  <c r="K89" i="70"/>
  <c r="E89" i="70"/>
  <c r="D89" i="70"/>
  <c r="K88" i="70"/>
  <c r="K87" i="70"/>
  <c r="E87" i="70"/>
  <c r="K86" i="70"/>
  <c r="E86" i="70"/>
  <c r="K85" i="70"/>
  <c r="K84" i="70"/>
  <c r="E84" i="70"/>
  <c r="D84" i="70"/>
  <c r="B83" i="70"/>
  <c r="B82" i="70"/>
  <c r="B81" i="70"/>
  <c r="E80" i="70"/>
  <c r="B80" i="70"/>
  <c r="B79" i="70"/>
  <c r="G78" i="70"/>
  <c r="E78" i="70"/>
  <c r="D78" i="70"/>
  <c r="B78" i="70"/>
  <c r="G77" i="70"/>
  <c r="B77" i="70"/>
  <c r="G76" i="70"/>
  <c r="B76" i="70"/>
  <c r="G75" i="70"/>
  <c r="E75" i="70"/>
  <c r="D75" i="70"/>
  <c r="B75" i="70"/>
  <c r="G74" i="70"/>
  <c r="E74" i="70"/>
  <c r="D74" i="70"/>
  <c r="B74" i="70"/>
  <c r="B73" i="70"/>
  <c r="E72" i="70"/>
  <c r="B72" i="70"/>
  <c r="E71" i="70"/>
  <c r="D71" i="70"/>
  <c r="B71" i="70"/>
  <c r="B70" i="70"/>
  <c r="B69" i="70"/>
  <c r="P68" i="70"/>
  <c r="B68" i="70"/>
  <c r="B67" i="70"/>
  <c r="E66" i="70"/>
  <c r="D66" i="70"/>
  <c r="B66" i="70"/>
  <c r="G65" i="70"/>
  <c r="E65" i="70"/>
  <c r="B65" i="70"/>
  <c r="G64" i="70"/>
  <c r="B64" i="70"/>
  <c r="G63" i="70"/>
  <c r="D63" i="70"/>
  <c r="B63" i="70"/>
  <c r="E62" i="70"/>
  <c r="D62" i="70"/>
  <c r="I61" i="70"/>
  <c r="H61" i="70"/>
  <c r="G61" i="70"/>
  <c r="E59" i="70"/>
  <c r="D59" i="70"/>
  <c r="E58" i="70"/>
  <c r="D58" i="70"/>
  <c r="D57" i="70"/>
  <c r="P55" i="70"/>
  <c r="I55" i="70"/>
  <c r="E55" i="70"/>
  <c r="B55" i="70"/>
  <c r="I54" i="70"/>
  <c r="B54" i="70"/>
  <c r="I53" i="70"/>
  <c r="B53" i="70"/>
  <c r="I52" i="70"/>
  <c r="B52" i="70"/>
  <c r="I51" i="70"/>
  <c r="E51" i="70"/>
  <c r="B51" i="70"/>
  <c r="I50" i="70"/>
  <c r="B50" i="70"/>
  <c r="I49" i="70"/>
  <c r="D49" i="70"/>
  <c r="B49" i="70"/>
  <c r="I48" i="70"/>
  <c r="E48" i="70"/>
  <c r="B48" i="70"/>
  <c r="I47" i="70"/>
  <c r="B47" i="70"/>
  <c r="P46" i="70"/>
  <c r="I46" i="70"/>
  <c r="B46" i="70"/>
  <c r="E43" i="70"/>
  <c r="O42" i="70"/>
  <c r="M42" i="70"/>
  <c r="E40" i="70"/>
  <c r="P39" i="70"/>
  <c r="O39" i="70"/>
  <c r="N39" i="70"/>
  <c r="I39" i="70"/>
  <c r="E39" i="70"/>
  <c r="B39" i="70"/>
  <c r="P38" i="70"/>
  <c r="O38" i="70"/>
  <c r="N38" i="70"/>
  <c r="I38" i="70"/>
  <c r="B38" i="70"/>
  <c r="P37" i="70"/>
  <c r="O37" i="70"/>
  <c r="N37" i="70"/>
  <c r="I37" i="70"/>
  <c r="E37" i="70"/>
  <c r="D37" i="70"/>
  <c r="B37" i="70"/>
  <c r="P36" i="70"/>
  <c r="O36" i="70"/>
  <c r="N36" i="70"/>
  <c r="I36" i="70"/>
  <c r="B36" i="70"/>
  <c r="I35" i="70"/>
  <c r="E35" i="70"/>
  <c r="D35" i="70"/>
  <c r="I34" i="70"/>
  <c r="B34" i="70"/>
  <c r="I33" i="70"/>
  <c r="E33" i="70"/>
  <c r="B33" i="70"/>
  <c r="I32" i="70"/>
  <c r="E32" i="70"/>
  <c r="D32" i="70"/>
  <c r="I31" i="70"/>
  <c r="B31" i="70"/>
  <c r="O30" i="70"/>
  <c r="P30" i="70" s="1"/>
  <c r="N30" i="70"/>
  <c r="I30" i="70"/>
  <c r="E30" i="70"/>
  <c r="B30" i="70"/>
  <c r="O29" i="70"/>
  <c r="P29" i="70" s="1"/>
  <c r="N29" i="70"/>
  <c r="I29" i="70"/>
  <c r="B29" i="70"/>
  <c r="O28" i="70"/>
  <c r="P28" i="70" s="1"/>
  <c r="N28" i="70"/>
  <c r="I28" i="70"/>
  <c r="B28" i="70"/>
  <c r="O27" i="70"/>
  <c r="P27" i="70" s="1"/>
  <c r="N27" i="70"/>
  <c r="I27" i="70"/>
  <c r="B27" i="70"/>
  <c r="O26" i="70"/>
  <c r="P26" i="70" s="1"/>
  <c r="I26" i="70"/>
  <c r="B26" i="70"/>
  <c r="O25" i="70"/>
  <c r="P25" i="70" s="1"/>
  <c r="N25" i="70"/>
  <c r="I25" i="70"/>
  <c r="B25" i="70"/>
  <c r="O24" i="70"/>
  <c r="P24" i="70" s="1"/>
  <c r="N24" i="70"/>
  <c r="I24" i="70"/>
  <c r="D24" i="70"/>
  <c r="B24" i="70"/>
  <c r="O23" i="70"/>
  <c r="P23" i="70" s="1"/>
  <c r="N23" i="70"/>
  <c r="I23" i="70"/>
  <c r="B23" i="70"/>
  <c r="P22" i="70"/>
  <c r="O22" i="70"/>
  <c r="N22" i="70"/>
  <c r="M22" i="70"/>
  <c r="B22" i="70" s="1"/>
  <c r="I22" i="70"/>
  <c r="E22" i="70"/>
  <c r="O21" i="70"/>
  <c r="P21" i="70" s="1"/>
  <c r="N21" i="70"/>
  <c r="I21" i="70"/>
  <c r="B21" i="70"/>
  <c r="O20" i="70"/>
  <c r="N20" i="70"/>
  <c r="I20" i="70"/>
  <c r="E20" i="70"/>
  <c r="D20" i="70"/>
  <c r="E19" i="70"/>
  <c r="L16" i="70"/>
  <c r="F16" i="70" s="1"/>
  <c r="G16" i="70"/>
  <c r="C16" i="70" s="1"/>
  <c r="E16" i="70"/>
  <c r="D16" i="70"/>
  <c r="L15" i="70"/>
  <c r="N26" i="70" s="1"/>
  <c r="O14" i="70"/>
  <c r="E14" i="70"/>
  <c r="D14" i="70"/>
  <c r="K13" i="70"/>
  <c r="E12" i="70"/>
  <c r="P10" i="70"/>
  <c r="E10" i="70"/>
  <c r="D10" i="70"/>
  <c r="BA343" i="70"/>
  <c r="AY343" i="70"/>
  <c r="C8" i="70"/>
  <c r="AZ7" i="70"/>
  <c r="AZ6" i="70"/>
  <c r="BA3" i="70"/>
  <c r="AV2" i="70"/>
  <c r="AU2" i="70"/>
  <c r="AT2" i="70"/>
  <c r="AS2" i="70"/>
  <c r="AR2" i="70"/>
  <c r="AQ2" i="70"/>
  <c r="AP2" i="70"/>
  <c r="AO2" i="70"/>
  <c r="AN2" i="70"/>
  <c r="AM2" i="70"/>
  <c r="AL2" i="70"/>
  <c r="AK2" i="70"/>
  <c r="AJ2" i="70"/>
  <c r="AI2" i="70"/>
  <c r="AH2" i="70"/>
  <c r="AF2" i="70"/>
  <c r="AE2" i="70"/>
  <c r="AD2" i="70"/>
  <c r="AC2" i="70"/>
  <c r="AB2" i="70"/>
  <c r="AA2" i="70"/>
  <c r="Z2" i="70"/>
  <c r="Y2" i="70"/>
  <c r="X2" i="70"/>
  <c r="W2" i="70"/>
  <c r="V2" i="70"/>
  <c r="U2" i="70"/>
  <c r="T2" i="70"/>
  <c r="S2" i="70"/>
  <c r="R2" i="70"/>
  <c r="P2" i="70"/>
  <c r="O2" i="70"/>
  <c r="N2" i="70"/>
  <c r="M2" i="70"/>
  <c r="L2" i="70"/>
  <c r="K2" i="70"/>
  <c r="J2" i="70"/>
  <c r="I2" i="70"/>
  <c r="H2" i="70"/>
  <c r="G2" i="70"/>
  <c r="F2" i="70"/>
  <c r="E2" i="70"/>
  <c r="D2" i="70"/>
  <c r="C2" i="70"/>
  <c r="B2" i="70"/>
  <c r="BA1" i="70"/>
  <c r="AZ1" i="70"/>
  <c r="AV1" i="70"/>
  <c r="AU1" i="70"/>
  <c r="AT1" i="70"/>
  <c r="AS1" i="70"/>
  <c r="AR1" i="70"/>
  <c r="AQ1" i="70"/>
  <c r="AP1" i="70"/>
  <c r="AO1" i="70"/>
  <c r="AN1" i="70"/>
  <c r="AM1" i="70"/>
  <c r="AL1" i="70"/>
  <c r="AK1" i="70"/>
  <c r="AJ1" i="70"/>
  <c r="AI1" i="70"/>
  <c r="AH1" i="70"/>
  <c r="AF1" i="70"/>
  <c r="AE1" i="70"/>
  <c r="AD1" i="70"/>
  <c r="AC1" i="70"/>
  <c r="AB1" i="70"/>
  <c r="AA1" i="70"/>
  <c r="Z1" i="70"/>
  <c r="Y1" i="70"/>
  <c r="X1" i="70"/>
  <c r="W1" i="70"/>
  <c r="V1" i="70"/>
  <c r="U1" i="70"/>
  <c r="T1" i="70"/>
  <c r="S1" i="70"/>
  <c r="R1" i="70"/>
  <c r="P1" i="70"/>
  <c r="O1" i="70"/>
  <c r="N1" i="70"/>
  <c r="M1" i="70"/>
  <c r="L1" i="70"/>
  <c r="K1" i="70"/>
  <c r="J1" i="70"/>
  <c r="I1" i="70"/>
  <c r="H1" i="70"/>
  <c r="G1" i="70"/>
  <c r="F1" i="70"/>
  <c r="E1" i="70"/>
  <c r="D1" i="70"/>
  <c r="C1" i="70"/>
  <c r="B1" i="70"/>
  <c r="A1" i="70"/>
  <c r="X100" i="69"/>
  <c r="R96" i="69"/>
  <c r="T95" i="69"/>
  <c r="S95" i="69"/>
  <c r="R95" i="69"/>
  <c r="V94" i="69"/>
  <c r="U94" i="69"/>
  <c r="T94" i="69"/>
  <c r="S94" i="69"/>
  <c r="R94" i="69"/>
  <c r="R93" i="69"/>
  <c r="R92" i="69"/>
  <c r="R91" i="69"/>
  <c r="V90" i="69"/>
  <c r="R90" i="69"/>
  <c r="AA89" i="69"/>
  <c r="T89" i="69"/>
  <c r="S89" i="69"/>
  <c r="AA88" i="69"/>
  <c r="AA87" i="69"/>
  <c r="AA86" i="69"/>
  <c r="V86" i="69"/>
  <c r="U86" i="69"/>
  <c r="T86" i="69"/>
  <c r="S86" i="69"/>
  <c r="AA85" i="69"/>
  <c r="AA84" i="69"/>
  <c r="V84" i="69"/>
  <c r="R83" i="69"/>
  <c r="R82" i="69"/>
  <c r="V81" i="69"/>
  <c r="U81" i="69"/>
  <c r="T81" i="69"/>
  <c r="S81" i="69"/>
  <c r="R81" i="69"/>
  <c r="V80" i="69"/>
  <c r="R80" i="69"/>
  <c r="R79" i="69"/>
  <c r="W78" i="69"/>
  <c r="R78" i="69"/>
  <c r="W77" i="69"/>
  <c r="R77" i="69"/>
  <c r="W76" i="69"/>
  <c r="U76" i="69"/>
  <c r="T76" i="69"/>
  <c r="S76" i="69"/>
  <c r="R76" i="69"/>
  <c r="W75" i="69"/>
  <c r="R75" i="69"/>
  <c r="W74" i="69"/>
  <c r="R74" i="69"/>
  <c r="V73" i="69"/>
  <c r="U73" i="69"/>
  <c r="T73" i="69"/>
  <c r="S73" i="69"/>
  <c r="R73" i="69"/>
  <c r="V72" i="69"/>
  <c r="R72" i="69"/>
  <c r="R71" i="69"/>
  <c r="R70" i="69"/>
  <c r="R69" i="69"/>
  <c r="AF68" i="69"/>
  <c r="V68" i="69"/>
  <c r="U68" i="69"/>
  <c r="T68" i="69"/>
  <c r="S68" i="69"/>
  <c r="R68" i="69"/>
  <c r="R67" i="69"/>
  <c r="R66" i="69"/>
  <c r="R65" i="69"/>
  <c r="W64" i="69"/>
  <c r="R64" i="69"/>
  <c r="W63" i="69"/>
  <c r="T63" i="69"/>
  <c r="S63" i="69"/>
  <c r="R63" i="69"/>
  <c r="X61" i="69"/>
  <c r="W61" i="69"/>
  <c r="V59" i="69"/>
  <c r="U59" i="69"/>
  <c r="T59" i="69"/>
  <c r="S59" i="69"/>
  <c r="V58" i="69"/>
  <c r="U58" i="69"/>
  <c r="T58" i="69"/>
  <c r="T56" i="69"/>
  <c r="S56" i="69"/>
  <c r="AF55" i="69"/>
  <c r="Y55" i="69"/>
  <c r="R55" i="69"/>
  <c r="Y54" i="69"/>
  <c r="U54" i="69"/>
  <c r="T54" i="69"/>
  <c r="S54" i="69"/>
  <c r="R54" i="69"/>
  <c r="Y53" i="69"/>
  <c r="R53" i="69"/>
  <c r="Y52" i="69"/>
  <c r="R52" i="69"/>
  <c r="Y51" i="69"/>
  <c r="R51" i="69"/>
  <c r="Y50" i="69"/>
  <c r="V50" i="69"/>
  <c r="U50" i="69"/>
  <c r="R50" i="69"/>
  <c r="Y49" i="69"/>
  <c r="R49" i="69"/>
  <c r="Y48" i="69"/>
  <c r="V48" i="69"/>
  <c r="U48" i="69"/>
  <c r="T48" i="69"/>
  <c r="R48" i="69"/>
  <c r="Y47" i="69"/>
  <c r="T47" i="69"/>
  <c r="S47" i="69"/>
  <c r="R47" i="69"/>
  <c r="AF46" i="69"/>
  <c r="Y46" i="69"/>
  <c r="R46" i="69"/>
  <c r="V44" i="69"/>
  <c r="U44" i="69"/>
  <c r="T44" i="69"/>
  <c r="S44" i="69"/>
  <c r="V43" i="69"/>
  <c r="U43" i="69"/>
  <c r="AE42" i="69"/>
  <c r="AC42" i="69"/>
  <c r="V40" i="69"/>
  <c r="U40" i="69"/>
  <c r="AF39" i="69"/>
  <c r="AE39" i="69"/>
  <c r="AD39" i="69"/>
  <c r="Y39" i="69"/>
  <c r="T39" i="69"/>
  <c r="S39" i="69"/>
  <c r="R39" i="69"/>
  <c r="AF38" i="69"/>
  <c r="AE38" i="69"/>
  <c r="AD38" i="69"/>
  <c r="Y38" i="69"/>
  <c r="R38" i="69"/>
  <c r="AF37" i="69"/>
  <c r="AE37" i="69"/>
  <c r="AD37" i="69"/>
  <c r="Y37" i="69"/>
  <c r="V37" i="69"/>
  <c r="U37" i="69"/>
  <c r="T37" i="69"/>
  <c r="S37" i="69"/>
  <c r="R37" i="69"/>
  <c r="AF36" i="69"/>
  <c r="AE36" i="69"/>
  <c r="AD36" i="69"/>
  <c r="Y36" i="69"/>
  <c r="R36" i="69"/>
  <c r="Y35" i="69"/>
  <c r="Y34" i="69"/>
  <c r="R34" i="69"/>
  <c r="Y33" i="69"/>
  <c r="T33" i="69"/>
  <c r="R33" i="69"/>
  <c r="Y32" i="69"/>
  <c r="Y31" i="69"/>
  <c r="R31" i="69"/>
  <c r="AE30" i="69"/>
  <c r="AF30" i="69" s="1"/>
  <c r="AD30" i="69"/>
  <c r="Y30" i="69"/>
  <c r="V30" i="69"/>
  <c r="U30" i="69"/>
  <c r="R30" i="69"/>
  <c r="AE29" i="69"/>
  <c r="AF29" i="69" s="1"/>
  <c r="AD29" i="69"/>
  <c r="Y29" i="69"/>
  <c r="R29" i="69"/>
  <c r="AE28" i="69"/>
  <c r="AF28" i="69" s="1"/>
  <c r="AD28" i="69"/>
  <c r="Y28" i="69"/>
  <c r="R28" i="69"/>
  <c r="AE27" i="69"/>
  <c r="AF27" i="69" s="1"/>
  <c r="AD27" i="69"/>
  <c r="Y27" i="69"/>
  <c r="R27" i="69"/>
  <c r="AE26" i="69"/>
  <c r="AF26" i="69" s="1"/>
  <c r="Y26" i="69"/>
  <c r="R26" i="69"/>
  <c r="AE25" i="69"/>
  <c r="AF25" i="69" s="1"/>
  <c r="AD25" i="69"/>
  <c r="Y25" i="69"/>
  <c r="V25" i="69"/>
  <c r="U25" i="69"/>
  <c r="T25" i="69"/>
  <c r="S25" i="69"/>
  <c r="R25" i="69"/>
  <c r="Y24" i="69"/>
  <c r="R24" i="69"/>
  <c r="AE23" i="69"/>
  <c r="AF23" i="69" s="1"/>
  <c r="AD23" i="69"/>
  <c r="Y23" i="69"/>
  <c r="V23" i="69"/>
  <c r="U23" i="69"/>
  <c r="T23" i="69"/>
  <c r="R23" i="69"/>
  <c r="AF22" i="69"/>
  <c r="AE22" i="69"/>
  <c r="AD22" i="69"/>
  <c r="Y22" i="69"/>
  <c r="U22" i="69"/>
  <c r="AE21" i="69"/>
  <c r="AC22" i="69" s="1"/>
  <c r="R22" i="69" s="1"/>
  <c r="AD21" i="69"/>
  <c r="Y21" i="69"/>
  <c r="R21" i="69"/>
  <c r="AE20" i="69"/>
  <c r="AF20" i="69" s="1"/>
  <c r="AD20" i="69"/>
  <c r="Y20" i="69"/>
  <c r="V20" i="69"/>
  <c r="U20" i="69"/>
  <c r="T20" i="69"/>
  <c r="S20" i="69"/>
  <c r="V19" i="69"/>
  <c r="AB16" i="69"/>
  <c r="AA13" i="69" s="1"/>
  <c r="W16" i="69"/>
  <c r="V16" i="69"/>
  <c r="V98" i="69" s="1"/>
  <c r="U16" i="69"/>
  <c r="U98" i="69" s="1"/>
  <c r="T16" i="69"/>
  <c r="T62" i="69" s="1"/>
  <c r="S16" i="69"/>
  <c r="S92" i="69" s="1"/>
  <c r="AB15" i="69"/>
  <c r="AD26" i="69" s="1"/>
  <c r="AE14" i="69"/>
  <c r="V14" i="69"/>
  <c r="U14" i="69"/>
  <c r="T14" i="69"/>
  <c r="S14" i="69"/>
  <c r="AF10" i="69"/>
  <c r="V10" i="69"/>
  <c r="U10" i="69"/>
  <c r="T10" i="69"/>
  <c r="S10" i="69"/>
  <c r="H100" i="69"/>
  <c r="F97" i="69"/>
  <c r="B96" i="69"/>
  <c r="F95" i="69"/>
  <c r="B95" i="69"/>
  <c r="F94" i="69"/>
  <c r="E94" i="69"/>
  <c r="D94" i="69"/>
  <c r="B94" i="69"/>
  <c r="B93" i="69"/>
  <c r="B92" i="69"/>
  <c r="F91" i="69"/>
  <c r="B91" i="69"/>
  <c r="F90" i="69"/>
  <c r="D90" i="69"/>
  <c r="B90" i="69"/>
  <c r="K89" i="69"/>
  <c r="F89" i="69"/>
  <c r="K88" i="69"/>
  <c r="K87" i="69"/>
  <c r="K86" i="69"/>
  <c r="F86" i="69"/>
  <c r="E86" i="69"/>
  <c r="D86" i="69"/>
  <c r="K85" i="69"/>
  <c r="K84" i="69"/>
  <c r="F83" i="69"/>
  <c r="B83" i="69"/>
  <c r="B82" i="69"/>
  <c r="E81" i="69"/>
  <c r="D81" i="69"/>
  <c r="B81" i="69"/>
  <c r="B80" i="69"/>
  <c r="B79" i="69"/>
  <c r="G78" i="69"/>
  <c r="B78" i="69"/>
  <c r="G77" i="69"/>
  <c r="F77" i="69"/>
  <c r="B77" i="69"/>
  <c r="G76" i="69"/>
  <c r="B76" i="69"/>
  <c r="G75" i="69"/>
  <c r="B75" i="69"/>
  <c r="G74" i="69"/>
  <c r="B74" i="69"/>
  <c r="B73" i="69"/>
  <c r="F72" i="69"/>
  <c r="B72" i="69"/>
  <c r="B71" i="69"/>
  <c r="F70" i="69"/>
  <c r="E70" i="69"/>
  <c r="B70" i="69"/>
  <c r="F69" i="69"/>
  <c r="B69" i="69"/>
  <c r="P68" i="69"/>
  <c r="D68" i="69"/>
  <c r="B68" i="69"/>
  <c r="B67" i="69"/>
  <c r="B66" i="69"/>
  <c r="B65" i="69"/>
  <c r="G64" i="69"/>
  <c r="F64" i="69"/>
  <c r="E64" i="69"/>
  <c r="B64" i="69"/>
  <c r="G63" i="69"/>
  <c r="B63" i="69"/>
  <c r="H61" i="69"/>
  <c r="G61" i="69"/>
  <c r="F61" i="69"/>
  <c r="E60" i="69"/>
  <c r="E59" i="69"/>
  <c r="D59" i="69"/>
  <c r="F58" i="69"/>
  <c r="P55" i="69"/>
  <c r="I55" i="69"/>
  <c r="B55" i="69"/>
  <c r="I54" i="69"/>
  <c r="B54" i="69"/>
  <c r="I53" i="69"/>
  <c r="F53" i="69"/>
  <c r="E53" i="69"/>
  <c r="B53" i="69"/>
  <c r="I52" i="69"/>
  <c r="B52" i="69"/>
  <c r="I51" i="69"/>
  <c r="B51" i="69"/>
  <c r="I50" i="69"/>
  <c r="B50" i="69"/>
  <c r="I49" i="69"/>
  <c r="D49" i="69"/>
  <c r="B49" i="69"/>
  <c r="I48" i="69"/>
  <c r="B48" i="69"/>
  <c r="I47" i="69"/>
  <c r="B47" i="69"/>
  <c r="P46" i="69"/>
  <c r="I46" i="69"/>
  <c r="F46" i="69"/>
  <c r="E46" i="69"/>
  <c r="D46" i="69"/>
  <c r="B46" i="69"/>
  <c r="F43" i="69"/>
  <c r="O42" i="69"/>
  <c r="M42" i="69"/>
  <c r="E42" i="69"/>
  <c r="E41" i="69"/>
  <c r="D41" i="69"/>
  <c r="P39" i="69"/>
  <c r="I39" i="69"/>
  <c r="B39" i="69"/>
  <c r="P38" i="69"/>
  <c r="I38" i="69"/>
  <c r="F38" i="69"/>
  <c r="E38" i="69"/>
  <c r="D38" i="69"/>
  <c r="B38" i="69"/>
  <c r="P37" i="69"/>
  <c r="I37" i="69"/>
  <c r="B37" i="69"/>
  <c r="P36" i="69"/>
  <c r="I36" i="69"/>
  <c r="F36" i="69"/>
  <c r="B36" i="69"/>
  <c r="I35" i="69"/>
  <c r="D35" i="69"/>
  <c r="I34" i="69"/>
  <c r="F34" i="69"/>
  <c r="E34" i="69"/>
  <c r="B34" i="69"/>
  <c r="I33" i="69"/>
  <c r="B33" i="69"/>
  <c r="I32" i="69"/>
  <c r="F32" i="69"/>
  <c r="E32" i="69"/>
  <c r="D32" i="69"/>
  <c r="I31" i="69"/>
  <c r="B31" i="69"/>
  <c r="O30" i="69"/>
  <c r="P30" i="69" s="1"/>
  <c r="I30" i="69"/>
  <c r="B30" i="69"/>
  <c r="I29" i="69"/>
  <c r="D29" i="69"/>
  <c r="B29" i="69"/>
  <c r="I28" i="69"/>
  <c r="F28" i="69"/>
  <c r="B28" i="69"/>
  <c r="I27" i="69"/>
  <c r="F27" i="69"/>
  <c r="E27" i="69"/>
  <c r="D27" i="69"/>
  <c r="B27" i="69"/>
  <c r="I26" i="69"/>
  <c r="B26" i="69"/>
  <c r="N25" i="69"/>
  <c r="I25" i="69"/>
  <c r="B25" i="69"/>
  <c r="I24" i="69"/>
  <c r="D24" i="69"/>
  <c r="B24" i="69"/>
  <c r="I23" i="69"/>
  <c r="F23" i="69"/>
  <c r="E23" i="69"/>
  <c r="B23" i="69"/>
  <c r="P22" i="69"/>
  <c r="I22" i="69"/>
  <c r="D22" i="69"/>
  <c r="I21" i="69"/>
  <c r="B21" i="69"/>
  <c r="O20" i="69"/>
  <c r="I20" i="69"/>
  <c r="F19" i="69"/>
  <c r="E19" i="69"/>
  <c r="D19" i="69"/>
  <c r="L16" i="69"/>
  <c r="K13" i="69" s="1"/>
  <c r="G16" i="69"/>
  <c r="C16" i="69" s="1"/>
  <c r="F16" i="69"/>
  <c r="F78" i="69" s="1"/>
  <c r="E16" i="69"/>
  <c r="E97" i="69" s="1"/>
  <c r="D16" i="69"/>
  <c r="D70" i="69" s="1"/>
  <c r="L15" i="69"/>
  <c r="O38" i="69" s="1"/>
  <c r="O14" i="69"/>
  <c r="F14" i="69"/>
  <c r="E14" i="69"/>
  <c r="D14" i="69"/>
  <c r="F11" i="69"/>
  <c r="P10" i="69"/>
  <c r="BA343" i="69"/>
  <c r="AY343" i="69"/>
  <c r="C8" i="69"/>
  <c r="AZ7" i="69"/>
  <c r="AZ6" i="69"/>
  <c r="BA3" i="69"/>
  <c r="AV2" i="69"/>
  <c r="AU2" i="69"/>
  <c r="AT2" i="69"/>
  <c r="AS2" i="69"/>
  <c r="AR2" i="69"/>
  <c r="AQ2" i="69"/>
  <c r="AP2" i="69"/>
  <c r="AO2" i="69"/>
  <c r="AN2" i="69"/>
  <c r="AM2" i="69"/>
  <c r="AL2" i="69"/>
  <c r="AK2" i="69"/>
  <c r="AJ2" i="69"/>
  <c r="AI2" i="69"/>
  <c r="AH2" i="69"/>
  <c r="AF2" i="69"/>
  <c r="AE2" i="69"/>
  <c r="AD2" i="69"/>
  <c r="AC2" i="69"/>
  <c r="AB2" i="69"/>
  <c r="AA2" i="69"/>
  <c r="Z2" i="69"/>
  <c r="Y2" i="69"/>
  <c r="X2" i="69"/>
  <c r="W2" i="69"/>
  <c r="V2" i="69"/>
  <c r="U2" i="69"/>
  <c r="T2" i="69"/>
  <c r="S2" i="69"/>
  <c r="R2" i="69"/>
  <c r="P2" i="69"/>
  <c r="O2" i="69"/>
  <c r="N2" i="69"/>
  <c r="M2" i="69"/>
  <c r="L2" i="69"/>
  <c r="K2" i="69"/>
  <c r="J2" i="69"/>
  <c r="I2" i="69"/>
  <c r="H2" i="69"/>
  <c r="G2" i="69"/>
  <c r="F2" i="69"/>
  <c r="E2" i="69"/>
  <c r="D2" i="69"/>
  <c r="C2" i="69"/>
  <c r="B2" i="69"/>
  <c r="BA1" i="69"/>
  <c r="AZ1" i="69"/>
  <c r="AV1" i="69"/>
  <c r="AU1" i="69"/>
  <c r="AT1" i="69"/>
  <c r="AS1" i="69"/>
  <c r="AR1" i="69"/>
  <c r="AQ1" i="69"/>
  <c r="AP1" i="69"/>
  <c r="AO1" i="69"/>
  <c r="AN1" i="69"/>
  <c r="AM1" i="69"/>
  <c r="AL1" i="69"/>
  <c r="AK1" i="69"/>
  <c r="AJ1" i="69"/>
  <c r="AI1" i="69"/>
  <c r="AH1" i="69"/>
  <c r="AF1" i="69"/>
  <c r="AE1" i="69"/>
  <c r="AD1" i="69"/>
  <c r="AC1" i="69"/>
  <c r="AB1" i="69"/>
  <c r="AA1" i="69"/>
  <c r="Z1" i="69"/>
  <c r="Y1" i="69"/>
  <c r="X1" i="69"/>
  <c r="W1" i="69"/>
  <c r="V1" i="69"/>
  <c r="U1" i="69"/>
  <c r="T1" i="69"/>
  <c r="S1" i="69"/>
  <c r="R1" i="69"/>
  <c r="P1" i="69"/>
  <c r="O1" i="69"/>
  <c r="N1" i="69"/>
  <c r="M1" i="69"/>
  <c r="L1" i="69"/>
  <c r="K1" i="69"/>
  <c r="J1" i="69"/>
  <c r="I1" i="69"/>
  <c r="H1" i="69"/>
  <c r="G1" i="69"/>
  <c r="F1" i="69"/>
  <c r="E1" i="69"/>
  <c r="D1" i="69"/>
  <c r="C1" i="69"/>
  <c r="B1" i="69"/>
  <c r="A1" i="69"/>
  <c r="AN94" i="60"/>
  <c r="X94" i="60"/>
  <c r="H94" i="60"/>
  <c r="T93" i="60"/>
  <c r="AK92" i="60"/>
  <c r="AI92" i="60"/>
  <c r="S92" i="60"/>
  <c r="F92" i="60"/>
  <c r="AJ90" i="60"/>
  <c r="F90" i="60"/>
  <c r="AI89" i="60"/>
  <c r="AH88" i="60"/>
  <c r="R88" i="60"/>
  <c r="F88" i="60"/>
  <c r="B88" i="60"/>
  <c r="AK87" i="60"/>
  <c r="AJ87" i="60"/>
  <c r="AH87" i="60"/>
  <c r="S87" i="60"/>
  <c r="R87" i="60"/>
  <c r="B87" i="60"/>
  <c r="AH86" i="60"/>
  <c r="R86" i="60"/>
  <c r="B86" i="60"/>
  <c r="AI85" i="60"/>
  <c r="AH85" i="60"/>
  <c r="U85" i="60"/>
  <c r="T85" i="60"/>
  <c r="R85" i="60"/>
  <c r="F85" i="60"/>
  <c r="B85" i="60"/>
  <c r="AJ83" i="60"/>
  <c r="AI83" i="60"/>
  <c r="U83" i="60"/>
  <c r="F83" i="60"/>
  <c r="S82" i="60"/>
  <c r="F82" i="60"/>
  <c r="E82" i="60"/>
  <c r="AK81" i="60"/>
  <c r="AI81" i="60"/>
  <c r="AJ79" i="60"/>
  <c r="AI79" i="60"/>
  <c r="U79" i="60"/>
  <c r="F79" i="60"/>
  <c r="E79" i="60"/>
  <c r="E78" i="60"/>
  <c r="AK77" i="60"/>
  <c r="AJ75" i="60"/>
  <c r="AI75" i="60"/>
  <c r="U75" i="60"/>
  <c r="F75" i="60"/>
  <c r="E75" i="60"/>
  <c r="AK73" i="60"/>
  <c r="AI73" i="60"/>
  <c r="AK72" i="60"/>
  <c r="AI71" i="60"/>
  <c r="U71" i="60"/>
  <c r="F71" i="60"/>
  <c r="AI70" i="60"/>
  <c r="S69" i="60"/>
  <c r="F69" i="60"/>
  <c r="AK68" i="60"/>
  <c r="U68" i="60"/>
  <c r="S68" i="60"/>
  <c r="AI66" i="60"/>
  <c r="T66" i="60"/>
  <c r="S66" i="60"/>
  <c r="F66" i="60"/>
  <c r="F65" i="60"/>
  <c r="AK64" i="60"/>
  <c r="AV62" i="60"/>
  <c r="AJ62" i="60"/>
  <c r="AI62" i="60"/>
  <c r="AF62" i="60"/>
  <c r="U62" i="60"/>
  <c r="T62" i="60"/>
  <c r="S62" i="60"/>
  <c r="P62" i="60"/>
  <c r="U61" i="60"/>
  <c r="AK60" i="60"/>
  <c r="AJ60" i="60"/>
  <c r="U60" i="60"/>
  <c r="F60" i="60"/>
  <c r="T59" i="60"/>
  <c r="F59" i="60"/>
  <c r="E59" i="60"/>
  <c r="AK58" i="60"/>
  <c r="AI58" i="60"/>
  <c r="AK56" i="60"/>
  <c r="AJ56" i="60"/>
  <c r="U56" i="60"/>
  <c r="F56" i="60"/>
  <c r="E56" i="60"/>
  <c r="AN55" i="60"/>
  <c r="AM55" i="60"/>
  <c r="X55" i="60"/>
  <c r="W55" i="60"/>
  <c r="H55" i="60"/>
  <c r="G55" i="60"/>
  <c r="AI54" i="60"/>
  <c r="AI53" i="60"/>
  <c r="S53" i="60"/>
  <c r="F53" i="60"/>
  <c r="D53" i="60"/>
  <c r="U52" i="60"/>
  <c r="S51" i="60"/>
  <c r="AJ50" i="60"/>
  <c r="AI50" i="60"/>
  <c r="U50" i="60"/>
  <c r="AV49" i="60"/>
  <c r="AU49" i="60"/>
  <c r="AO49" i="60"/>
  <c r="AK49" i="60"/>
  <c r="AH49" i="60"/>
  <c r="AF49" i="60"/>
  <c r="Y49" i="60"/>
  <c r="U49" i="60"/>
  <c r="T49" i="60"/>
  <c r="R49" i="60"/>
  <c r="P49" i="60"/>
  <c r="I49" i="60"/>
  <c r="B49" i="60"/>
  <c r="AV48" i="60"/>
  <c r="AU48" i="60"/>
  <c r="AO48" i="60"/>
  <c r="AK48" i="60"/>
  <c r="AJ48" i="60"/>
  <c r="AI48" i="60"/>
  <c r="AH48" i="60"/>
  <c r="AF48" i="60"/>
  <c r="Y48" i="60"/>
  <c r="R48" i="60"/>
  <c r="P48" i="60"/>
  <c r="O48" i="60"/>
  <c r="N48" i="60"/>
  <c r="I48" i="60"/>
  <c r="F48" i="60"/>
  <c r="B48" i="60"/>
  <c r="AV47" i="60"/>
  <c r="AU47" i="60"/>
  <c r="AO47" i="60"/>
  <c r="AH47" i="60"/>
  <c r="AF47" i="60"/>
  <c r="Y47" i="60"/>
  <c r="U47" i="60"/>
  <c r="T47" i="60"/>
  <c r="R47" i="60"/>
  <c r="P47" i="60"/>
  <c r="I47" i="60"/>
  <c r="B47" i="60"/>
  <c r="AV46" i="60"/>
  <c r="AO46" i="60"/>
  <c r="AJ46" i="60"/>
  <c r="AI46" i="60"/>
  <c r="AH46" i="60"/>
  <c r="AF46" i="60"/>
  <c r="AD46" i="60"/>
  <c r="Y46" i="60"/>
  <c r="U46" i="60"/>
  <c r="T46" i="60"/>
  <c r="R46" i="60"/>
  <c r="P46" i="60"/>
  <c r="I46" i="60"/>
  <c r="B46" i="60"/>
  <c r="AT45" i="60"/>
  <c r="AO45" i="60"/>
  <c r="AK45" i="60"/>
  <c r="AJ45" i="60"/>
  <c r="AH45" i="60"/>
  <c r="Y45" i="60"/>
  <c r="R45" i="60"/>
  <c r="O45" i="60"/>
  <c r="P45" i="60" s="1"/>
  <c r="I45" i="60"/>
  <c r="B45" i="60"/>
  <c r="AU44" i="60"/>
  <c r="AV44" i="60" s="1"/>
  <c r="AO44" i="60"/>
  <c r="AH44" i="60"/>
  <c r="AE44" i="60"/>
  <c r="AF44" i="60" s="1"/>
  <c r="AD44" i="60"/>
  <c r="Y44" i="60"/>
  <c r="U44" i="60"/>
  <c r="S44" i="60"/>
  <c r="R44" i="60"/>
  <c r="I44" i="60"/>
  <c r="B44" i="60"/>
  <c r="AV43" i="60"/>
  <c r="AT43" i="60"/>
  <c r="AO43" i="60"/>
  <c r="AK43" i="60"/>
  <c r="AJ43" i="60"/>
  <c r="AH43" i="60"/>
  <c r="AF43" i="60"/>
  <c r="AE43" i="60"/>
  <c r="Y43" i="60"/>
  <c r="U43" i="60"/>
  <c r="R43" i="60"/>
  <c r="P43" i="60"/>
  <c r="I43" i="60"/>
  <c r="B43" i="60"/>
  <c r="AV42" i="60"/>
  <c r="AU42" i="60"/>
  <c r="AT42" i="60"/>
  <c r="AO42" i="60"/>
  <c r="AK42" i="60"/>
  <c r="AI42" i="60"/>
  <c r="AH42" i="60"/>
  <c r="AF42" i="60"/>
  <c r="Y42" i="60"/>
  <c r="R42" i="60"/>
  <c r="P42" i="60"/>
  <c r="N42" i="60"/>
  <c r="I42" i="60"/>
  <c r="B42" i="60"/>
  <c r="AO41" i="60"/>
  <c r="AH41" i="60"/>
  <c r="Y41" i="60"/>
  <c r="T41" i="60"/>
  <c r="S41" i="60"/>
  <c r="R41" i="60"/>
  <c r="I41" i="60"/>
  <c r="B41" i="60"/>
  <c r="AO40" i="60"/>
  <c r="AK40" i="60"/>
  <c r="AH40" i="60"/>
  <c r="Y40" i="60"/>
  <c r="U40" i="60"/>
  <c r="R40" i="60"/>
  <c r="I40" i="60"/>
  <c r="B40" i="60"/>
  <c r="AU39" i="60"/>
  <c r="AV39" i="60" s="1"/>
  <c r="AT39" i="60"/>
  <c r="AO39" i="60"/>
  <c r="AJ39" i="60"/>
  <c r="AI39" i="60"/>
  <c r="AH39" i="60"/>
  <c r="Y39" i="60"/>
  <c r="R39" i="60"/>
  <c r="I39" i="60"/>
  <c r="B39" i="60"/>
  <c r="AU38" i="60"/>
  <c r="AV38" i="60" s="1"/>
  <c r="AT38" i="60"/>
  <c r="AO38" i="60"/>
  <c r="AK38" i="60"/>
  <c r="AH38" i="60"/>
  <c r="Y38" i="60"/>
  <c r="U38" i="60"/>
  <c r="T38" i="60"/>
  <c r="R38" i="60"/>
  <c r="I38" i="60"/>
  <c r="B38" i="60"/>
  <c r="AO37" i="60"/>
  <c r="AJ37" i="60"/>
  <c r="AI37" i="60"/>
  <c r="AH37" i="60"/>
  <c r="AE37" i="60"/>
  <c r="AF37" i="60" s="1"/>
  <c r="AD37" i="60"/>
  <c r="Y37" i="60"/>
  <c r="U37" i="60"/>
  <c r="R37" i="60"/>
  <c r="I37" i="60"/>
  <c r="B37" i="60"/>
  <c r="AU36" i="60"/>
  <c r="AV36" i="60" s="1"/>
  <c r="AT36" i="60"/>
  <c r="AO36" i="60"/>
  <c r="AK36" i="60"/>
  <c r="AJ36" i="60"/>
  <c r="AH36" i="60"/>
  <c r="AD36" i="60"/>
  <c r="Y36" i="60"/>
  <c r="R36" i="60"/>
  <c r="I36" i="60"/>
  <c r="B36" i="60"/>
  <c r="AU35" i="60"/>
  <c r="AV35" i="60" s="1"/>
  <c r="AT35" i="60"/>
  <c r="AO35" i="60"/>
  <c r="AH35" i="60"/>
  <c r="AD35" i="60"/>
  <c r="Y35" i="60"/>
  <c r="U35" i="60"/>
  <c r="S35" i="60"/>
  <c r="R35" i="60"/>
  <c r="I35" i="60"/>
  <c r="B35" i="60"/>
  <c r="AT34" i="60"/>
  <c r="AO34" i="60"/>
  <c r="AK34" i="60"/>
  <c r="AJ34" i="60"/>
  <c r="AI34" i="60"/>
  <c r="AH34" i="60"/>
  <c r="AE34" i="60"/>
  <c r="AF34" i="60" s="1"/>
  <c r="AD34" i="60"/>
  <c r="Y34" i="60"/>
  <c r="R34" i="60"/>
  <c r="I34" i="60"/>
  <c r="B34" i="60"/>
  <c r="AU33" i="60"/>
  <c r="AV33" i="60" s="1"/>
  <c r="AT33" i="60"/>
  <c r="AO33" i="60"/>
  <c r="AK33" i="60"/>
  <c r="AI33" i="60"/>
  <c r="AH33" i="60"/>
  <c r="Y33" i="60"/>
  <c r="R33" i="60"/>
  <c r="N33" i="60"/>
  <c r="I33" i="60"/>
  <c r="B33" i="60"/>
  <c r="AV32" i="60"/>
  <c r="AU32" i="60"/>
  <c r="AO32" i="60"/>
  <c r="AH32" i="60"/>
  <c r="AF32" i="60"/>
  <c r="AE32" i="60"/>
  <c r="Y32" i="60"/>
  <c r="R32" i="60"/>
  <c r="P32" i="60"/>
  <c r="O32" i="60"/>
  <c r="N32" i="60"/>
  <c r="I32" i="60"/>
  <c r="B32" i="60"/>
  <c r="AV31" i="60"/>
  <c r="AU31" i="60"/>
  <c r="AT31" i="60"/>
  <c r="AO31" i="60"/>
  <c r="AK31" i="60"/>
  <c r="AH31" i="60"/>
  <c r="AF31" i="60"/>
  <c r="Y31" i="60"/>
  <c r="R31" i="60"/>
  <c r="P31" i="60"/>
  <c r="I31" i="60"/>
  <c r="F31" i="60"/>
  <c r="B31" i="60"/>
  <c r="AV30" i="60"/>
  <c r="AU30" i="60"/>
  <c r="AO30" i="60"/>
  <c r="AH30" i="60"/>
  <c r="AF30" i="60"/>
  <c r="Y30" i="60"/>
  <c r="U30" i="60"/>
  <c r="T30" i="60"/>
  <c r="S30" i="60"/>
  <c r="R30" i="60"/>
  <c r="P30" i="60"/>
  <c r="O30" i="60"/>
  <c r="N30" i="60"/>
  <c r="I30" i="60"/>
  <c r="F30" i="60"/>
  <c r="B30" i="60"/>
  <c r="AT29" i="60"/>
  <c r="AO29" i="60"/>
  <c r="AK29" i="60"/>
  <c r="AJ29" i="60"/>
  <c r="AH29" i="60"/>
  <c r="Y29" i="60"/>
  <c r="U29" i="60"/>
  <c r="T29" i="60"/>
  <c r="S29" i="60"/>
  <c r="R29" i="60"/>
  <c r="I29" i="60"/>
  <c r="B29" i="60"/>
  <c r="AV28" i="60"/>
  <c r="AU28" i="60"/>
  <c r="AO28" i="60"/>
  <c r="AK28" i="60"/>
  <c r="AI28" i="60"/>
  <c r="AH28" i="60"/>
  <c r="Y28" i="60"/>
  <c r="S28" i="60"/>
  <c r="R28" i="60"/>
  <c r="O28" i="60"/>
  <c r="P28" i="60" s="1"/>
  <c r="N28" i="60"/>
  <c r="I28" i="60"/>
  <c r="B28" i="60"/>
  <c r="AT27" i="60"/>
  <c r="AO27" i="60"/>
  <c r="AH27" i="60"/>
  <c r="AE27" i="60"/>
  <c r="AF27" i="60" s="1"/>
  <c r="Y27" i="60"/>
  <c r="U27" i="60"/>
  <c r="T27" i="60"/>
  <c r="S27" i="60"/>
  <c r="R27" i="60"/>
  <c r="I27" i="60"/>
  <c r="B27" i="60"/>
  <c r="AU26" i="60"/>
  <c r="AV26" i="60" s="1"/>
  <c r="AT26" i="60"/>
  <c r="AO26" i="60"/>
  <c r="AK26" i="60"/>
  <c r="AI26" i="60"/>
  <c r="AH26" i="60"/>
  <c r="AE26" i="60"/>
  <c r="AF26" i="60" s="1"/>
  <c r="AD26" i="60"/>
  <c r="Y26" i="60"/>
  <c r="R26" i="60"/>
  <c r="I26" i="60"/>
  <c r="B26" i="60"/>
  <c r="AT25" i="60"/>
  <c r="AO25" i="60"/>
  <c r="AJ25" i="60"/>
  <c r="AI25" i="60"/>
  <c r="AH25" i="60"/>
  <c r="Y25" i="60"/>
  <c r="R25" i="60"/>
  <c r="N25" i="60"/>
  <c r="I25" i="60"/>
  <c r="B25" i="60"/>
  <c r="AU24" i="60"/>
  <c r="AV24" i="60" s="1"/>
  <c r="AO24" i="60"/>
  <c r="AH24" i="60"/>
  <c r="AD24" i="60"/>
  <c r="Y24" i="60"/>
  <c r="R24" i="60"/>
  <c r="N24" i="60"/>
  <c r="I24" i="60"/>
  <c r="B24" i="60"/>
  <c r="AU23" i="60"/>
  <c r="AV23" i="60" s="1"/>
  <c r="AT23" i="60"/>
  <c r="AO23" i="60"/>
  <c r="AJ23" i="60"/>
  <c r="AI23" i="60"/>
  <c r="AH23" i="60"/>
  <c r="Y23" i="60"/>
  <c r="R23" i="60"/>
  <c r="I23" i="60"/>
  <c r="B23" i="60"/>
  <c r="AU22" i="60"/>
  <c r="AV22" i="60" s="1"/>
  <c r="AT22" i="60"/>
  <c r="AO22" i="60"/>
  <c r="AK22" i="60"/>
  <c r="AJ22" i="60"/>
  <c r="AH22" i="60"/>
  <c r="Y22" i="60"/>
  <c r="R22" i="60"/>
  <c r="O22" i="60"/>
  <c r="P22" i="60" s="1"/>
  <c r="I22" i="60"/>
  <c r="F22" i="60"/>
  <c r="B22" i="60"/>
  <c r="AO21" i="60"/>
  <c r="AI21" i="60"/>
  <c r="AH21" i="60"/>
  <c r="Y21" i="60"/>
  <c r="U21" i="60"/>
  <c r="R21" i="60"/>
  <c r="O21" i="60"/>
  <c r="P21" i="60" s="1"/>
  <c r="N21" i="60"/>
  <c r="I21" i="60"/>
  <c r="B21" i="60"/>
  <c r="AV20" i="60"/>
  <c r="AU20" i="60"/>
  <c r="AT20" i="60"/>
  <c r="AO20" i="60"/>
  <c r="AK20" i="60"/>
  <c r="AJ20" i="60"/>
  <c r="AF20" i="60"/>
  <c r="Y20" i="60"/>
  <c r="P20" i="60"/>
  <c r="I20" i="60"/>
  <c r="AK19" i="60"/>
  <c r="AI19" i="60"/>
  <c r="U19" i="60"/>
  <c r="S19" i="60"/>
  <c r="F19" i="60"/>
  <c r="AK17" i="60"/>
  <c r="AJ17" i="60"/>
  <c r="AI17" i="60"/>
  <c r="U17" i="60"/>
  <c r="T17" i="60"/>
  <c r="F17" i="60"/>
  <c r="AR16" i="60"/>
  <c r="AM16" i="60"/>
  <c r="AK16" i="60"/>
  <c r="AK59" i="60" s="1"/>
  <c r="AJ16" i="60"/>
  <c r="AJ52" i="60" s="1"/>
  <c r="AI16" i="60"/>
  <c r="AI52" i="60" s="1"/>
  <c r="AB16" i="60"/>
  <c r="W16" i="60"/>
  <c r="S16" i="60" s="1"/>
  <c r="S33" i="60" s="1"/>
  <c r="U16" i="60"/>
  <c r="T16" i="60"/>
  <c r="T58" i="60" s="1"/>
  <c r="L16" i="60"/>
  <c r="F16" i="60" s="1"/>
  <c r="G16" i="60"/>
  <c r="E16" i="60"/>
  <c r="E67" i="60" s="1"/>
  <c r="D16" i="60"/>
  <c r="C16" i="60"/>
  <c r="AR15" i="60"/>
  <c r="AU21" i="60" s="1"/>
  <c r="AV21" i="60" s="1"/>
  <c r="AJ15" i="60"/>
  <c r="AI15" i="60"/>
  <c r="AB15" i="60"/>
  <c r="AD40" i="60" s="1"/>
  <c r="L15" i="60"/>
  <c r="AU14" i="60"/>
  <c r="AJ14" i="60"/>
  <c r="AI14" i="60"/>
  <c r="AE14" i="60"/>
  <c r="U14" i="60"/>
  <c r="T14" i="60"/>
  <c r="S14" i="60"/>
  <c r="O14" i="60"/>
  <c r="F14" i="60"/>
  <c r="AJ12" i="60"/>
  <c r="AI12" i="60"/>
  <c r="U12" i="60"/>
  <c r="T12" i="60"/>
  <c r="S12" i="60"/>
  <c r="AK11" i="60"/>
  <c r="AI11" i="60"/>
  <c r="AV10" i="60"/>
  <c r="AK10" i="60"/>
  <c r="AJ10" i="60"/>
  <c r="AF10" i="60"/>
  <c r="P10" i="60"/>
  <c r="F10" i="60"/>
  <c r="X53" i="61"/>
  <c r="U52" i="61"/>
  <c r="T52" i="61"/>
  <c r="S52" i="61"/>
  <c r="U51" i="61"/>
  <c r="T51" i="61"/>
  <c r="S51" i="61"/>
  <c r="U50" i="61"/>
  <c r="T50" i="61"/>
  <c r="U48" i="61"/>
  <c r="T48" i="61"/>
  <c r="S48" i="61"/>
  <c r="U47" i="61"/>
  <c r="T47" i="61"/>
  <c r="S47" i="61"/>
  <c r="R47" i="61"/>
  <c r="U46" i="61"/>
  <c r="R46" i="61"/>
  <c r="U45" i="61"/>
  <c r="R45" i="61"/>
  <c r="U44" i="61"/>
  <c r="T44" i="61"/>
  <c r="S44" i="61"/>
  <c r="R44" i="61"/>
  <c r="U43" i="61"/>
  <c r="T43" i="61"/>
  <c r="R43" i="61"/>
  <c r="AF42" i="61"/>
  <c r="U42" i="61"/>
  <c r="U41" i="61"/>
  <c r="T41" i="61"/>
  <c r="S41" i="61"/>
  <c r="U40" i="61"/>
  <c r="T40" i="61"/>
  <c r="S40" i="61"/>
  <c r="U39" i="61"/>
  <c r="U38" i="61"/>
  <c r="U37" i="61"/>
  <c r="T37" i="61"/>
  <c r="S37" i="61"/>
  <c r="U36" i="61"/>
  <c r="T36" i="61"/>
  <c r="S36" i="61"/>
  <c r="X35" i="61"/>
  <c r="W35" i="61"/>
  <c r="U34" i="61"/>
  <c r="T34" i="61"/>
  <c r="S34" i="61"/>
  <c r="U33" i="61"/>
  <c r="T33" i="61"/>
  <c r="S33" i="61"/>
  <c r="U32" i="61"/>
  <c r="T32" i="61"/>
  <c r="U30" i="61"/>
  <c r="T30" i="61"/>
  <c r="S30" i="61"/>
  <c r="AF29" i="61"/>
  <c r="AD29" i="61"/>
  <c r="Y29" i="61"/>
  <c r="U29" i="61"/>
  <c r="R29" i="61"/>
  <c r="AF28" i="61"/>
  <c r="Y28" i="61"/>
  <c r="U28" i="61"/>
  <c r="T28" i="61"/>
  <c r="S28" i="61"/>
  <c r="R28" i="61"/>
  <c r="AF27" i="61"/>
  <c r="AD27" i="61"/>
  <c r="Y27" i="61"/>
  <c r="R27" i="61"/>
  <c r="AD26" i="61"/>
  <c r="Y26" i="61"/>
  <c r="U26" i="61"/>
  <c r="T26" i="61"/>
  <c r="S26" i="61"/>
  <c r="R26" i="61"/>
  <c r="AF25" i="61"/>
  <c r="Y25" i="61"/>
  <c r="U25" i="61"/>
  <c r="T25" i="61"/>
  <c r="R25" i="61"/>
  <c r="AF24" i="61"/>
  <c r="AD24" i="61"/>
  <c r="Y24" i="61"/>
  <c r="U24" i="61"/>
  <c r="T24" i="61"/>
  <c r="S24" i="61"/>
  <c r="R24" i="61"/>
  <c r="Y23" i="61"/>
  <c r="U23" i="61"/>
  <c r="T23" i="61"/>
  <c r="S23" i="61"/>
  <c r="R23" i="61"/>
  <c r="AF22" i="61"/>
  <c r="AD22" i="61"/>
  <c r="Y22" i="61"/>
  <c r="U22" i="61"/>
  <c r="T22" i="61"/>
  <c r="R22" i="61"/>
  <c r="AD21" i="61"/>
  <c r="Y21" i="61"/>
  <c r="U21" i="61"/>
  <c r="T21" i="61"/>
  <c r="S21" i="61"/>
  <c r="R21" i="61"/>
  <c r="AF20" i="61"/>
  <c r="AD20" i="61"/>
  <c r="Y20" i="61"/>
  <c r="U20" i="61"/>
  <c r="U19" i="61"/>
  <c r="U18" i="61"/>
  <c r="T18" i="61"/>
  <c r="S18" i="61"/>
  <c r="U17" i="61"/>
  <c r="T17" i="61"/>
  <c r="S17" i="61"/>
  <c r="AB16" i="61"/>
  <c r="V16" i="61" s="1"/>
  <c r="W16" i="61"/>
  <c r="U16" i="61"/>
  <c r="U27" i="61" s="1"/>
  <c r="T16" i="61"/>
  <c r="T46" i="61" s="1"/>
  <c r="S16" i="61"/>
  <c r="S50" i="61" s="1"/>
  <c r="AB15" i="61"/>
  <c r="AD25" i="61" s="1"/>
  <c r="U15" i="61"/>
  <c r="T15" i="61"/>
  <c r="S15" i="61"/>
  <c r="AE14" i="61"/>
  <c r="U14" i="61"/>
  <c r="U13" i="61"/>
  <c r="T13" i="61"/>
  <c r="S13" i="61"/>
  <c r="U12" i="61"/>
  <c r="T12" i="61"/>
  <c r="S12" i="61"/>
  <c r="U11" i="61"/>
  <c r="T11" i="61"/>
  <c r="S11" i="61"/>
  <c r="AF10" i="61"/>
  <c r="U10" i="61"/>
  <c r="T10" i="61"/>
  <c r="S10" i="61"/>
  <c r="H53" i="61"/>
  <c r="E52" i="61"/>
  <c r="D52" i="61"/>
  <c r="E51" i="61"/>
  <c r="D51" i="61"/>
  <c r="C51" i="61"/>
  <c r="E50" i="61"/>
  <c r="D50" i="61"/>
  <c r="E48" i="61"/>
  <c r="D48" i="61"/>
  <c r="E47" i="61"/>
  <c r="D47" i="61"/>
  <c r="C47" i="61"/>
  <c r="B47" i="61"/>
  <c r="E46" i="61"/>
  <c r="B46" i="61"/>
  <c r="E45" i="61"/>
  <c r="D45" i="61"/>
  <c r="C45" i="61"/>
  <c r="B45" i="61"/>
  <c r="E44" i="61"/>
  <c r="D44" i="61"/>
  <c r="C44" i="61"/>
  <c r="B44" i="61"/>
  <c r="E43" i="61"/>
  <c r="D43" i="61"/>
  <c r="B43" i="61"/>
  <c r="P42" i="61"/>
  <c r="E42" i="61"/>
  <c r="D42" i="61"/>
  <c r="C42" i="61"/>
  <c r="D41" i="61"/>
  <c r="C41" i="61"/>
  <c r="E40" i="61"/>
  <c r="D40" i="61"/>
  <c r="C40" i="61"/>
  <c r="E38" i="61"/>
  <c r="D38" i="61"/>
  <c r="C38" i="61"/>
  <c r="D37" i="61"/>
  <c r="C37" i="61"/>
  <c r="E36" i="61"/>
  <c r="D36" i="61"/>
  <c r="C36" i="61"/>
  <c r="H35" i="61"/>
  <c r="G35" i="61"/>
  <c r="E34" i="61"/>
  <c r="D34" i="61"/>
  <c r="E33" i="61"/>
  <c r="D33" i="61"/>
  <c r="C33" i="61"/>
  <c r="E32" i="61"/>
  <c r="D32" i="61"/>
  <c r="E30" i="61"/>
  <c r="P29" i="61"/>
  <c r="N29" i="61"/>
  <c r="I29" i="61"/>
  <c r="E29" i="61"/>
  <c r="B29" i="61"/>
  <c r="I28" i="61"/>
  <c r="D28" i="61"/>
  <c r="C28" i="61"/>
  <c r="B28" i="61"/>
  <c r="P27" i="61"/>
  <c r="N27" i="61"/>
  <c r="I27" i="61"/>
  <c r="B27" i="61"/>
  <c r="N26" i="61"/>
  <c r="I26" i="61"/>
  <c r="E26" i="61"/>
  <c r="D26" i="61"/>
  <c r="C26" i="61"/>
  <c r="B26" i="61"/>
  <c r="P25" i="61"/>
  <c r="I25" i="61"/>
  <c r="D25" i="61"/>
  <c r="C25" i="61"/>
  <c r="B25" i="61"/>
  <c r="I24" i="61"/>
  <c r="E24" i="61"/>
  <c r="D24" i="61"/>
  <c r="C24" i="61"/>
  <c r="B24" i="61"/>
  <c r="I23" i="61"/>
  <c r="E23" i="61"/>
  <c r="D23" i="61"/>
  <c r="C23" i="61"/>
  <c r="B23" i="61"/>
  <c r="P22" i="61"/>
  <c r="N22" i="61"/>
  <c r="I22" i="61"/>
  <c r="E22" i="61"/>
  <c r="D22" i="61"/>
  <c r="B22" i="61"/>
  <c r="I21" i="61"/>
  <c r="E21" i="61"/>
  <c r="C21" i="61"/>
  <c r="B21" i="61"/>
  <c r="P20" i="61"/>
  <c r="N20" i="61"/>
  <c r="I20" i="61"/>
  <c r="E19" i="61"/>
  <c r="D19" i="61"/>
  <c r="C19" i="61"/>
  <c r="D18" i="61"/>
  <c r="C18" i="61"/>
  <c r="E17" i="61"/>
  <c r="D17" i="61"/>
  <c r="C17" i="61"/>
  <c r="L16" i="61"/>
  <c r="F16" i="61" s="1"/>
  <c r="G16" i="61"/>
  <c r="E16" i="61"/>
  <c r="E39" i="61" s="1"/>
  <c r="D16" i="61"/>
  <c r="D46" i="61" s="1"/>
  <c r="C16" i="61"/>
  <c r="C50" i="61" s="1"/>
  <c r="L15" i="61"/>
  <c r="N25" i="61" s="1"/>
  <c r="E15" i="61"/>
  <c r="D15" i="61"/>
  <c r="C15" i="61"/>
  <c r="O14" i="61"/>
  <c r="E13" i="61"/>
  <c r="D13" i="61"/>
  <c r="C13" i="61"/>
  <c r="E12" i="61"/>
  <c r="D12" i="61"/>
  <c r="C12" i="61"/>
  <c r="E11" i="61"/>
  <c r="D11" i="61"/>
  <c r="C11" i="61"/>
  <c r="P10" i="61"/>
  <c r="E10" i="61"/>
  <c r="D10" i="61"/>
  <c r="AN58" i="59"/>
  <c r="X58" i="59"/>
  <c r="H58" i="59"/>
  <c r="AL57" i="59"/>
  <c r="U57" i="59"/>
  <c r="T57" i="59"/>
  <c r="S57" i="59"/>
  <c r="F57" i="59"/>
  <c r="AK56" i="59"/>
  <c r="AL55" i="59"/>
  <c r="AK55" i="59"/>
  <c r="AJ55" i="59"/>
  <c r="AI55" i="59"/>
  <c r="V55" i="59"/>
  <c r="U55" i="59"/>
  <c r="T55" i="59"/>
  <c r="U54" i="59"/>
  <c r="T54" i="59"/>
  <c r="D54" i="59"/>
  <c r="AL53" i="59"/>
  <c r="U53" i="59"/>
  <c r="T53" i="59"/>
  <c r="S53" i="59"/>
  <c r="F53" i="59"/>
  <c r="AH52" i="59"/>
  <c r="R52" i="59"/>
  <c r="D52" i="59"/>
  <c r="B52" i="59"/>
  <c r="AL51" i="59"/>
  <c r="AK51" i="59"/>
  <c r="AJ51" i="59"/>
  <c r="AH51" i="59"/>
  <c r="R51" i="59"/>
  <c r="D51" i="59"/>
  <c r="B51" i="59"/>
  <c r="AL50" i="59"/>
  <c r="AK50" i="59"/>
  <c r="AJ50" i="59"/>
  <c r="AI50" i="59"/>
  <c r="AH50" i="59"/>
  <c r="V50" i="59"/>
  <c r="U50" i="59"/>
  <c r="R50" i="59"/>
  <c r="C50" i="59"/>
  <c r="B50" i="59"/>
  <c r="AH49" i="59"/>
  <c r="U49" i="59"/>
  <c r="T49" i="59"/>
  <c r="R49" i="59"/>
  <c r="B49" i="59"/>
  <c r="AL48" i="59"/>
  <c r="AK48" i="59"/>
  <c r="AJ48" i="59"/>
  <c r="AI48" i="59"/>
  <c r="AH48" i="59"/>
  <c r="U48" i="59"/>
  <c r="T48" i="59"/>
  <c r="R48" i="59"/>
  <c r="B48" i="59"/>
  <c r="AV47" i="59"/>
  <c r="AL47" i="59"/>
  <c r="AK47" i="59"/>
  <c r="AJ47" i="59"/>
  <c r="AI47" i="59"/>
  <c r="AF47" i="59"/>
  <c r="V47" i="59"/>
  <c r="U47" i="59"/>
  <c r="T47" i="59"/>
  <c r="S47" i="59"/>
  <c r="P47" i="59"/>
  <c r="U46" i="59"/>
  <c r="T46" i="59"/>
  <c r="D46" i="59"/>
  <c r="AR45" i="59"/>
  <c r="AB45" i="59"/>
  <c r="V45" i="59"/>
  <c r="U45" i="59"/>
  <c r="T45" i="59"/>
  <c r="D45" i="59"/>
  <c r="AR44" i="59"/>
  <c r="AB44" i="59"/>
  <c r="V44" i="59"/>
  <c r="U44" i="59"/>
  <c r="T44" i="59"/>
  <c r="E44" i="59"/>
  <c r="D44" i="59"/>
  <c r="U43" i="59"/>
  <c r="T43" i="59"/>
  <c r="D43" i="59"/>
  <c r="AL42" i="59"/>
  <c r="AK42" i="59"/>
  <c r="AJ42" i="59"/>
  <c r="AI42" i="59"/>
  <c r="V42" i="59"/>
  <c r="AL41" i="59"/>
  <c r="U41" i="59"/>
  <c r="T41" i="59"/>
  <c r="AN40" i="59"/>
  <c r="AM40" i="59"/>
  <c r="AK40" i="59"/>
  <c r="AJ40" i="59"/>
  <c r="AI40" i="59"/>
  <c r="X40" i="59"/>
  <c r="W40" i="59"/>
  <c r="V40" i="59"/>
  <c r="U40" i="59"/>
  <c r="T40" i="59"/>
  <c r="H40" i="59"/>
  <c r="G40" i="59"/>
  <c r="AL39" i="59"/>
  <c r="AK39" i="59"/>
  <c r="AJ39" i="59"/>
  <c r="AI39" i="59"/>
  <c r="V39" i="59"/>
  <c r="U39" i="59"/>
  <c r="T39" i="59"/>
  <c r="S39" i="59"/>
  <c r="E39" i="59"/>
  <c r="D39" i="59"/>
  <c r="U38" i="59"/>
  <c r="T38" i="59"/>
  <c r="D38" i="59"/>
  <c r="AL37" i="59"/>
  <c r="AK37" i="59"/>
  <c r="AJ37" i="59"/>
  <c r="D37" i="59"/>
  <c r="AL36" i="59"/>
  <c r="U36" i="59"/>
  <c r="T36" i="59"/>
  <c r="AL35" i="59"/>
  <c r="AK35" i="59"/>
  <c r="AJ35" i="59"/>
  <c r="AI35" i="59"/>
  <c r="V35" i="59"/>
  <c r="U35" i="59"/>
  <c r="T35" i="59"/>
  <c r="S35" i="59"/>
  <c r="AV34" i="59"/>
  <c r="AO34" i="59"/>
  <c r="AL34" i="59"/>
  <c r="AK34" i="59"/>
  <c r="AJ34" i="59"/>
  <c r="AI34" i="59"/>
  <c r="AH34" i="59"/>
  <c r="AF34" i="59"/>
  <c r="AD34" i="59"/>
  <c r="Y34" i="59"/>
  <c r="R34" i="59"/>
  <c r="P34" i="59"/>
  <c r="I34" i="59"/>
  <c r="D34" i="59"/>
  <c r="B34" i="59"/>
  <c r="AV33" i="59"/>
  <c r="AO33" i="59"/>
  <c r="AJ33" i="59"/>
  <c r="AI33" i="59"/>
  <c r="AH33" i="59"/>
  <c r="AF33" i="59"/>
  <c r="AD33" i="59"/>
  <c r="Y33" i="59"/>
  <c r="U33" i="59"/>
  <c r="T33" i="59"/>
  <c r="R33" i="59"/>
  <c r="P33" i="59"/>
  <c r="I33" i="59"/>
  <c r="D33" i="59"/>
  <c r="B33" i="59"/>
  <c r="AV32" i="59"/>
  <c r="AT32" i="59"/>
  <c r="AO32" i="59"/>
  <c r="AH32" i="59"/>
  <c r="Y32" i="59"/>
  <c r="U32" i="59"/>
  <c r="T32" i="59"/>
  <c r="R32" i="59"/>
  <c r="I32" i="59"/>
  <c r="B32" i="59"/>
  <c r="AO31" i="59"/>
  <c r="AL31" i="59"/>
  <c r="AK31" i="59"/>
  <c r="AJ31" i="59"/>
  <c r="AI31" i="59"/>
  <c r="AH31" i="59"/>
  <c r="AF31" i="59"/>
  <c r="Y31" i="59"/>
  <c r="S31" i="59"/>
  <c r="R31" i="59"/>
  <c r="I31" i="59"/>
  <c r="D31" i="59"/>
  <c r="B31" i="59"/>
  <c r="AV30" i="59"/>
  <c r="AO30" i="59"/>
  <c r="AK30" i="59"/>
  <c r="AJ30" i="59"/>
  <c r="AI30" i="59"/>
  <c r="AH30" i="59"/>
  <c r="AF30" i="59"/>
  <c r="AD30" i="59"/>
  <c r="Y30" i="59"/>
  <c r="U30" i="59"/>
  <c r="T30" i="59"/>
  <c r="R30" i="59"/>
  <c r="P30" i="59"/>
  <c r="I30" i="59"/>
  <c r="D30" i="59"/>
  <c r="B30" i="59"/>
  <c r="AV29" i="59"/>
  <c r="AT29" i="59"/>
  <c r="AO29" i="59"/>
  <c r="AH29" i="59"/>
  <c r="AF29" i="59"/>
  <c r="Y29" i="59"/>
  <c r="U29" i="59"/>
  <c r="T29" i="59"/>
  <c r="R29" i="59"/>
  <c r="P29" i="59"/>
  <c r="I29" i="59"/>
  <c r="B29" i="59"/>
  <c r="AO28" i="59"/>
  <c r="AL28" i="59"/>
  <c r="AK28" i="59"/>
  <c r="AJ28" i="59"/>
  <c r="AI28" i="59"/>
  <c r="AH28" i="59"/>
  <c r="Y28" i="59"/>
  <c r="U28" i="59"/>
  <c r="T28" i="59"/>
  <c r="S28" i="59"/>
  <c r="R28" i="59"/>
  <c r="I28" i="59"/>
  <c r="D28" i="59"/>
  <c r="B28" i="59"/>
  <c r="AO27" i="59"/>
  <c r="AL27" i="59"/>
  <c r="AK27" i="59"/>
  <c r="AJ27" i="59"/>
  <c r="AI27" i="59"/>
  <c r="AH27" i="59"/>
  <c r="AF27" i="59"/>
  <c r="Y27" i="59"/>
  <c r="U27" i="59"/>
  <c r="R27" i="59"/>
  <c r="I27" i="59"/>
  <c r="D27" i="59"/>
  <c r="B27" i="59"/>
  <c r="AV26" i="59"/>
  <c r="AT26" i="59"/>
  <c r="AO26" i="59"/>
  <c r="AH26" i="59"/>
  <c r="Y26" i="59"/>
  <c r="U26" i="59"/>
  <c r="T26" i="59"/>
  <c r="R26" i="59"/>
  <c r="I26" i="59"/>
  <c r="B26" i="59"/>
  <c r="AO25" i="59"/>
  <c r="AH25" i="59"/>
  <c r="Y25" i="59"/>
  <c r="U25" i="59"/>
  <c r="T25" i="59"/>
  <c r="R25" i="59"/>
  <c r="I25" i="59"/>
  <c r="D25" i="59"/>
  <c r="B25" i="59"/>
  <c r="AO24" i="59"/>
  <c r="AL24" i="59"/>
  <c r="AK24" i="59"/>
  <c r="AJ24" i="59"/>
  <c r="AI24" i="59"/>
  <c r="AH24" i="59"/>
  <c r="AF24" i="59"/>
  <c r="AD24" i="59"/>
  <c r="Y24" i="59"/>
  <c r="V24" i="59"/>
  <c r="R24" i="59"/>
  <c r="I24" i="59"/>
  <c r="D24" i="59"/>
  <c r="B24" i="59"/>
  <c r="AV23" i="59"/>
  <c r="AT23" i="59"/>
  <c r="AO23" i="59"/>
  <c r="AH23" i="59"/>
  <c r="AF23" i="59"/>
  <c r="Y23" i="59"/>
  <c r="U23" i="59"/>
  <c r="T23" i="59"/>
  <c r="R23" i="59"/>
  <c r="I23" i="59"/>
  <c r="D23" i="59"/>
  <c r="B23" i="59"/>
  <c r="AV22" i="59"/>
  <c r="AT22" i="59"/>
  <c r="AO22" i="59"/>
  <c r="AH22" i="59"/>
  <c r="Y22" i="59"/>
  <c r="U22" i="59"/>
  <c r="T22" i="59"/>
  <c r="R22" i="59"/>
  <c r="I22" i="59"/>
  <c r="F22" i="59"/>
  <c r="B22" i="59"/>
  <c r="AO21" i="59"/>
  <c r="AL21" i="59"/>
  <c r="AK21" i="59"/>
  <c r="AJ21" i="59"/>
  <c r="AI21" i="59"/>
  <c r="AH21" i="59"/>
  <c r="AF21" i="59"/>
  <c r="AD21" i="59"/>
  <c r="Y21" i="59"/>
  <c r="R21" i="59"/>
  <c r="I21" i="59"/>
  <c r="D21" i="59"/>
  <c r="B21" i="59"/>
  <c r="AO20" i="59"/>
  <c r="AI20" i="59"/>
  <c r="AD20" i="59"/>
  <c r="Y20" i="59"/>
  <c r="V20" i="59"/>
  <c r="U20" i="59"/>
  <c r="T20" i="59"/>
  <c r="I20" i="59"/>
  <c r="AL19" i="59"/>
  <c r="AK19" i="59"/>
  <c r="AJ19" i="59"/>
  <c r="AI19" i="59"/>
  <c r="V19" i="59"/>
  <c r="U19" i="59"/>
  <c r="T19" i="59"/>
  <c r="S19" i="59"/>
  <c r="F19" i="59"/>
  <c r="U18" i="59"/>
  <c r="T18" i="59"/>
  <c r="D18" i="59"/>
  <c r="AL17" i="59"/>
  <c r="AK17" i="59"/>
  <c r="S17" i="59"/>
  <c r="D17" i="59"/>
  <c r="AR16" i="59"/>
  <c r="AM16" i="59"/>
  <c r="AL16" i="59"/>
  <c r="AK16" i="59"/>
  <c r="AJ16" i="59"/>
  <c r="AI16" i="59"/>
  <c r="AI18" i="59" s="1"/>
  <c r="AB16" i="59"/>
  <c r="V16" i="59" s="1"/>
  <c r="V33" i="59" s="1"/>
  <c r="W16" i="59"/>
  <c r="U16" i="59"/>
  <c r="U56" i="59" s="1"/>
  <c r="T16" i="59"/>
  <c r="T50" i="59" s="1"/>
  <c r="S16" i="59"/>
  <c r="S48" i="59" s="1"/>
  <c r="L16" i="59"/>
  <c r="G16" i="59"/>
  <c r="C16" i="59" s="1"/>
  <c r="F16" i="59"/>
  <c r="E16" i="59"/>
  <c r="D16" i="59"/>
  <c r="D57" i="59" s="1"/>
  <c r="AR15" i="59"/>
  <c r="AB15" i="59"/>
  <c r="AD32" i="59" s="1"/>
  <c r="V15" i="59"/>
  <c r="U15" i="59"/>
  <c r="T15" i="59"/>
  <c r="L15" i="59"/>
  <c r="N25" i="59" s="1"/>
  <c r="AU14" i="59"/>
  <c r="AL14" i="59"/>
  <c r="AK14" i="59"/>
  <c r="AJ14" i="59"/>
  <c r="AI14" i="59"/>
  <c r="AE14" i="59"/>
  <c r="AA13" i="59" s="1"/>
  <c r="V14" i="59"/>
  <c r="U14" i="59"/>
  <c r="T14" i="59"/>
  <c r="S14" i="59"/>
  <c r="O14" i="59"/>
  <c r="AQ13" i="59"/>
  <c r="AL13" i="59"/>
  <c r="AK13" i="59"/>
  <c r="U13" i="59"/>
  <c r="T13" i="59"/>
  <c r="AK12" i="59"/>
  <c r="AJ12" i="59"/>
  <c r="AI12" i="59"/>
  <c r="V12" i="59"/>
  <c r="U12" i="59"/>
  <c r="T12" i="59"/>
  <c r="S12" i="59"/>
  <c r="F12" i="59"/>
  <c r="D12" i="59"/>
  <c r="U11" i="59"/>
  <c r="T11" i="59"/>
  <c r="D11" i="59"/>
  <c r="AV10" i="59"/>
  <c r="AL10" i="59"/>
  <c r="AK10" i="59"/>
  <c r="AJ10" i="59"/>
  <c r="AF10" i="59"/>
  <c r="T10" i="59"/>
  <c r="P10" i="59"/>
  <c r="D10" i="59"/>
  <c r="AN58" i="15"/>
  <c r="X58" i="15"/>
  <c r="H58" i="15"/>
  <c r="U57" i="15"/>
  <c r="T57" i="15"/>
  <c r="S57" i="15"/>
  <c r="F57" i="15"/>
  <c r="F56" i="15"/>
  <c r="AK55" i="15"/>
  <c r="AJ55" i="15"/>
  <c r="S55" i="15"/>
  <c r="F55" i="15"/>
  <c r="AK54" i="15"/>
  <c r="AJ54" i="15"/>
  <c r="AI54" i="15"/>
  <c r="U54" i="15"/>
  <c r="T54" i="15"/>
  <c r="F54" i="15"/>
  <c r="F53" i="15"/>
  <c r="AK52" i="15"/>
  <c r="AJ52" i="15"/>
  <c r="AI52" i="15"/>
  <c r="AH52" i="15"/>
  <c r="R52" i="15"/>
  <c r="F52" i="15"/>
  <c r="B52" i="15"/>
  <c r="AK51" i="15"/>
  <c r="AJ51" i="15"/>
  <c r="AI51" i="15"/>
  <c r="AH51" i="15"/>
  <c r="R51" i="15"/>
  <c r="F51" i="15"/>
  <c r="B51" i="15"/>
  <c r="AH50" i="15"/>
  <c r="U50" i="15"/>
  <c r="R50" i="15"/>
  <c r="F50" i="15"/>
  <c r="B50" i="15"/>
  <c r="AK49" i="15"/>
  <c r="AJ49" i="15"/>
  <c r="AH49" i="15"/>
  <c r="U49" i="15"/>
  <c r="T49" i="15"/>
  <c r="R49" i="15"/>
  <c r="B49" i="15"/>
  <c r="AK48" i="15"/>
  <c r="AJ48" i="15"/>
  <c r="AI48" i="15"/>
  <c r="AH48" i="15"/>
  <c r="U48" i="15"/>
  <c r="R48" i="15"/>
  <c r="B48" i="15"/>
  <c r="AV47" i="15"/>
  <c r="AK47" i="15"/>
  <c r="AJ47" i="15"/>
  <c r="AF47" i="15"/>
  <c r="U47" i="15"/>
  <c r="T47" i="15"/>
  <c r="P47" i="15"/>
  <c r="AI46" i="15"/>
  <c r="U46" i="15"/>
  <c r="T46" i="15"/>
  <c r="S46" i="15"/>
  <c r="F46" i="15"/>
  <c r="AI45" i="15"/>
  <c r="U45" i="15"/>
  <c r="T45" i="15"/>
  <c r="F45" i="15"/>
  <c r="AK44" i="15"/>
  <c r="AJ44" i="15"/>
  <c r="F44" i="15"/>
  <c r="AK43" i="15"/>
  <c r="AJ43" i="15"/>
  <c r="U42" i="15"/>
  <c r="T42" i="15"/>
  <c r="F42" i="15"/>
  <c r="S41" i="15"/>
  <c r="F41" i="15"/>
  <c r="E41" i="15"/>
  <c r="D41" i="15"/>
  <c r="AN40" i="15"/>
  <c r="AM40" i="15"/>
  <c r="X40" i="15"/>
  <c r="W40" i="15"/>
  <c r="U40" i="15"/>
  <c r="H40" i="15"/>
  <c r="G40" i="15"/>
  <c r="F40" i="15"/>
  <c r="U39" i="15"/>
  <c r="T39" i="15"/>
  <c r="F39" i="15"/>
  <c r="F38" i="15"/>
  <c r="AK37" i="15"/>
  <c r="AJ37" i="15"/>
  <c r="AI37" i="15"/>
  <c r="U37" i="15"/>
  <c r="T37" i="15"/>
  <c r="F37" i="15"/>
  <c r="U36" i="15"/>
  <c r="T36" i="15"/>
  <c r="F36" i="15"/>
  <c r="F35" i="15"/>
  <c r="AV34" i="15"/>
  <c r="AO34" i="15"/>
  <c r="AJ34" i="15"/>
  <c r="AI34" i="15"/>
  <c r="AH34" i="15"/>
  <c r="AF34" i="15"/>
  <c r="AD34" i="15"/>
  <c r="Y34" i="15"/>
  <c r="U34" i="15"/>
  <c r="T34" i="15"/>
  <c r="S34" i="15"/>
  <c r="R34" i="15"/>
  <c r="P34" i="15"/>
  <c r="I34" i="15"/>
  <c r="F34" i="15"/>
  <c r="B34" i="15"/>
  <c r="AV33" i="15"/>
  <c r="AO33" i="15"/>
  <c r="AJ33" i="15"/>
  <c r="AH33" i="15"/>
  <c r="AF33" i="15"/>
  <c r="AD33" i="15"/>
  <c r="Y33" i="15"/>
  <c r="U33" i="15"/>
  <c r="T33" i="15"/>
  <c r="R33" i="15"/>
  <c r="P33" i="15"/>
  <c r="I33" i="15"/>
  <c r="F33" i="15"/>
  <c r="B33" i="15"/>
  <c r="AV32" i="15"/>
  <c r="AT32" i="15"/>
  <c r="AO32" i="15"/>
  <c r="AK32" i="15"/>
  <c r="AH32" i="15"/>
  <c r="AF32" i="15"/>
  <c r="AD32" i="15"/>
  <c r="Y32" i="15"/>
  <c r="R32" i="15"/>
  <c r="P32" i="15"/>
  <c r="I32" i="15"/>
  <c r="F32" i="15"/>
  <c r="B32" i="15"/>
  <c r="AV31" i="15"/>
  <c r="AO31" i="15"/>
  <c r="AK31" i="15"/>
  <c r="AH31" i="15"/>
  <c r="AF31" i="15"/>
  <c r="AD31" i="15"/>
  <c r="Y31" i="15"/>
  <c r="U31" i="15"/>
  <c r="T31" i="15"/>
  <c r="S31" i="15"/>
  <c r="R31" i="15"/>
  <c r="P31" i="15"/>
  <c r="I31" i="15"/>
  <c r="F31" i="15"/>
  <c r="B31" i="15"/>
  <c r="AV30" i="15"/>
  <c r="AT30" i="15"/>
  <c r="AO30" i="15"/>
  <c r="AK30" i="15"/>
  <c r="AH30" i="15"/>
  <c r="AF30" i="15"/>
  <c r="AD30" i="15"/>
  <c r="Y30" i="15"/>
  <c r="U30" i="15"/>
  <c r="T30" i="15"/>
  <c r="R30" i="15"/>
  <c r="I30" i="15"/>
  <c r="B30" i="15"/>
  <c r="AV29" i="15"/>
  <c r="AT29" i="15"/>
  <c r="AO29" i="15"/>
  <c r="AK29" i="15"/>
  <c r="AJ29" i="15"/>
  <c r="AI29" i="15"/>
  <c r="AH29" i="15"/>
  <c r="AF29" i="15"/>
  <c r="Y29" i="15"/>
  <c r="S29" i="15"/>
  <c r="R29" i="15"/>
  <c r="I29" i="15"/>
  <c r="F29" i="15"/>
  <c r="B29" i="15"/>
  <c r="AO28" i="15"/>
  <c r="AH28" i="15"/>
  <c r="AF28" i="15"/>
  <c r="AD28" i="15"/>
  <c r="Y28" i="15"/>
  <c r="U28" i="15"/>
  <c r="T28" i="15"/>
  <c r="R28" i="15"/>
  <c r="I28" i="15"/>
  <c r="F28" i="15"/>
  <c r="B28" i="15"/>
  <c r="AV27" i="15"/>
  <c r="AT27" i="15"/>
  <c r="AO27" i="15"/>
  <c r="AH27" i="15"/>
  <c r="AF27" i="15"/>
  <c r="AD27" i="15"/>
  <c r="Y27" i="15"/>
  <c r="U27" i="15"/>
  <c r="R27" i="15"/>
  <c r="I27" i="15"/>
  <c r="B27" i="15"/>
  <c r="AV26" i="15"/>
  <c r="AT26" i="15"/>
  <c r="AO26" i="15"/>
  <c r="AK26" i="15"/>
  <c r="AH26" i="15"/>
  <c r="AD26" i="15"/>
  <c r="Y26" i="15"/>
  <c r="U26" i="15"/>
  <c r="T26" i="15"/>
  <c r="R26" i="15"/>
  <c r="I26" i="15"/>
  <c r="F26" i="15"/>
  <c r="B26" i="15"/>
  <c r="AO25" i="15"/>
  <c r="AH25" i="15"/>
  <c r="AF25" i="15"/>
  <c r="AD25" i="15"/>
  <c r="Y25" i="15"/>
  <c r="U25" i="15"/>
  <c r="R25" i="15"/>
  <c r="I25" i="15"/>
  <c r="F25" i="15"/>
  <c r="E25" i="15"/>
  <c r="B25" i="15"/>
  <c r="AV24" i="15"/>
  <c r="AT24" i="15"/>
  <c r="AO24" i="15"/>
  <c r="AI24" i="15"/>
  <c r="AH24" i="15"/>
  <c r="AF24" i="15"/>
  <c r="AD24" i="15"/>
  <c r="Y24" i="15"/>
  <c r="U24" i="15"/>
  <c r="T24" i="15"/>
  <c r="S24" i="15"/>
  <c r="R24" i="15"/>
  <c r="I24" i="15"/>
  <c r="B24" i="15"/>
  <c r="AO23" i="15"/>
  <c r="AK23" i="15"/>
  <c r="AJ23" i="15"/>
  <c r="AI23" i="15"/>
  <c r="AH23" i="15"/>
  <c r="AF23" i="15"/>
  <c r="AD23" i="15"/>
  <c r="Y23" i="15"/>
  <c r="U23" i="15"/>
  <c r="T23" i="15"/>
  <c r="R23" i="15"/>
  <c r="I23" i="15"/>
  <c r="F23" i="15"/>
  <c r="B23" i="15"/>
  <c r="AV22" i="15"/>
  <c r="AT22" i="15"/>
  <c r="AO22" i="15"/>
  <c r="AK22" i="15"/>
  <c r="AH22" i="15"/>
  <c r="AF22" i="15"/>
  <c r="AD22" i="15"/>
  <c r="Y22" i="15"/>
  <c r="R22" i="15"/>
  <c r="I22" i="15"/>
  <c r="F22" i="15"/>
  <c r="E22" i="15"/>
  <c r="D22" i="15"/>
  <c r="B22" i="15"/>
  <c r="AV21" i="15"/>
  <c r="AO21" i="15"/>
  <c r="AH21" i="15"/>
  <c r="AF21" i="15"/>
  <c r="AD21" i="15"/>
  <c r="Y21" i="15"/>
  <c r="U21" i="15"/>
  <c r="T21" i="15"/>
  <c r="S21" i="15"/>
  <c r="R21" i="15"/>
  <c r="P21" i="15"/>
  <c r="I21" i="15"/>
  <c r="F21" i="15"/>
  <c r="B21" i="15"/>
  <c r="AV20" i="15"/>
  <c r="AT20" i="15"/>
  <c r="AO20" i="15"/>
  <c r="AK20" i="15"/>
  <c r="AJ20" i="15"/>
  <c r="AI20" i="15"/>
  <c r="AF20" i="15"/>
  <c r="AD20" i="15"/>
  <c r="Y20" i="15"/>
  <c r="U20" i="15"/>
  <c r="T20" i="15"/>
  <c r="P20" i="15"/>
  <c r="I20" i="15"/>
  <c r="F20" i="15"/>
  <c r="AI19" i="15"/>
  <c r="F19" i="15"/>
  <c r="E19" i="15"/>
  <c r="D19" i="15"/>
  <c r="F18" i="15"/>
  <c r="U17" i="15"/>
  <c r="T17" i="15"/>
  <c r="S17" i="15"/>
  <c r="AR16" i="15"/>
  <c r="AQ13" i="15" s="1"/>
  <c r="AM16" i="15"/>
  <c r="AK16" i="15"/>
  <c r="AJ16" i="15"/>
  <c r="AI16" i="15"/>
  <c r="AI32" i="15" s="1"/>
  <c r="AB16" i="15"/>
  <c r="W16" i="15"/>
  <c r="U16" i="15"/>
  <c r="T16" i="15"/>
  <c r="S16" i="15"/>
  <c r="L16" i="15"/>
  <c r="G16" i="15"/>
  <c r="F16" i="15"/>
  <c r="F30" i="15" s="1"/>
  <c r="E16" i="15"/>
  <c r="E31" i="15" s="1"/>
  <c r="D16" i="15"/>
  <c r="D54" i="15" s="1"/>
  <c r="C16" i="15"/>
  <c r="C49" i="15" s="1"/>
  <c r="AR15" i="15"/>
  <c r="AB15" i="15"/>
  <c r="AD29" i="15" s="1"/>
  <c r="U15" i="15"/>
  <c r="T15" i="15"/>
  <c r="L15" i="15"/>
  <c r="P29" i="15" s="1"/>
  <c r="F15" i="15"/>
  <c r="AU14" i="15"/>
  <c r="AE14" i="15"/>
  <c r="U14" i="15"/>
  <c r="T14" i="15"/>
  <c r="O14" i="15"/>
  <c r="K13" i="15" s="1"/>
  <c r="F14" i="15"/>
  <c r="U13" i="15"/>
  <c r="T13" i="15"/>
  <c r="F13" i="15"/>
  <c r="AK12" i="15"/>
  <c r="U12" i="15"/>
  <c r="T12" i="15"/>
  <c r="F12" i="15"/>
  <c r="AK11" i="15"/>
  <c r="AJ11" i="15"/>
  <c r="AI11" i="15"/>
  <c r="U11" i="15"/>
  <c r="F11" i="15"/>
  <c r="AV10" i="15"/>
  <c r="AI10" i="15"/>
  <c r="AF10" i="15"/>
  <c r="U10" i="15"/>
  <c r="T10" i="15"/>
  <c r="S10" i="15"/>
  <c r="P10" i="15"/>
  <c r="D10" i="15"/>
  <c r="C10" i="15"/>
  <c r="AQ308" i="35"/>
  <c r="AQ222" i="35"/>
  <c r="AQ146" i="35"/>
  <c r="AQ96" i="35"/>
  <c r="AQ51" i="35"/>
  <c r="AQ11" i="35"/>
  <c r="AA308" i="35"/>
  <c r="AA222" i="35"/>
  <c r="AA146" i="35"/>
  <c r="AA96" i="35"/>
  <c r="AA51" i="35"/>
  <c r="AA11" i="35"/>
  <c r="AK11" i="57"/>
  <c r="AK61" i="57"/>
  <c r="AK111" i="57"/>
  <c r="AK197" i="57"/>
  <c r="AX405" i="57"/>
  <c r="AU404" i="57"/>
  <c r="AT404" i="57"/>
  <c r="AU403" i="57"/>
  <c r="AT403" i="57"/>
  <c r="AU402" i="57"/>
  <c r="AT402" i="57"/>
  <c r="AV400" i="57"/>
  <c r="AU400" i="57"/>
  <c r="AT400" i="57"/>
  <c r="AV399" i="57"/>
  <c r="AU399" i="57"/>
  <c r="AT399" i="57"/>
  <c r="AR399" i="57"/>
  <c r="AU398" i="57"/>
  <c r="AR398" i="57"/>
  <c r="AU397" i="57"/>
  <c r="AT397" i="57"/>
  <c r="AR397" i="57"/>
  <c r="AV396" i="57"/>
  <c r="AU396" i="57"/>
  <c r="AT396" i="57"/>
  <c r="AR396" i="57"/>
  <c r="AV395" i="57"/>
  <c r="AU395" i="57"/>
  <c r="AT395" i="57"/>
  <c r="AV393" i="57"/>
  <c r="AU393" i="57"/>
  <c r="AT393" i="57"/>
  <c r="AU392" i="57"/>
  <c r="AT392" i="57"/>
  <c r="AU391" i="57"/>
  <c r="AT391" i="57"/>
  <c r="AV389" i="57"/>
  <c r="AU389" i="57"/>
  <c r="AT389" i="57"/>
  <c r="AV388" i="57"/>
  <c r="AU388" i="57"/>
  <c r="AT388" i="57"/>
  <c r="AV387" i="57"/>
  <c r="AU387" i="57"/>
  <c r="AT387" i="57"/>
  <c r="AU385" i="57"/>
  <c r="AT385" i="57"/>
  <c r="AU384" i="57"/>
  <c r="AT384" i="57"/>
  <c r="AU383" i="57"/>
  <c r="AT383" i="57"/>
  <c r="AV381" i="57"/>
  <c r="AU381" i="57"/>
  <c r="AT381" i="57"/>
  <c r="AV380" i="57"/>
  <c r="AU380" i="57"/>
  <c r="AT380" i="57"/>
  <c r="AU379" i="57"/>
  <c r="AT379" i="57"/>
  <c r="AU377" i="57"/>
  <c r="AT377" i="57"/>
  <c r="AU376" i="57"/>
  <c r="AT376" i="57"/>
  <c r="AV375" i="57"/>
  <c r="AU375" i="57"/>
  <c r="AT375" i="57"/>
  <c r="BF373" i="57"/>
  <c r="AV373" i="57"/>
  <c r="AU373" i="57"/>
  <c r="AT373" i="57"/>
  <c r="AU372" i="57"/>
  <c r="AT372" i="57"/>
  <c r="AU371" i="57"/>
  <c r="AU369" i="57"/>
  <c r="AT369" i="57"/>
  <c r="AV368" i="57"/>
  <c r="AU368" i="57"/>
  <c r="AT368" i="57"/>
  <c r="AV367" i="57"/>
  <c r="AX366" i="57"/>
  <c r="AW366" i="57"/>
  <c r="AV366" i="57"/>
  <c r="AU366" i="57"/>
  <c r="AT366" i="57"/>
  <c r="AU365" i="57"/>
  <c r="AT365" i="57"/>
  <c r="AU364" i="57"/>
  <c r="AT364" i="57"/>
  <c r="AU362" i="57"/>
  <c r="AT362" i="57"/>
  <c r="AV361" i="57"/>
  <c r="AU361" i="57"/>
  <c r="AT361" i="57"/>
  <c r="BF360" i="57"/>
  <c r="AY360" i="57"/>
  <c r="AR360" i="57"/>
  <c r="BF359" i="57"/>
  <c r="BD359" i="57"/>
  <c r="AY359" i="57"/>
  <c r="AU359" i="57"/>
  <c r="AT359" i="57"/>
  <c r="BF358" i="57"/>
  <c r="AY358" i="57"/>
  <c r="AV358" i="57"/>
  <c r="AU358" i="57"/>
  <c r="AT358" i="57"/>
  <c r="AR358" i="57"/>
  <c r="BF357" i="57"/>
  <c r="BD357" i="57"/>
  <c r="AY357" i="57"/>
  <c r="AU357" i="57"/>
  <c r="BF356" i="57"/>
  <c r="AY356" i="57"/>
  <c r="AU356" i="57"/>
  <c r="AT356" i="57"/>
  <c r="AR356" i="57"/>
  <c r="BF355" i="57"/>
  <c r="BD355" i="57"/>
  <c r="AY355" i="57"/>
  <c r="AR355" i="57"/>
  <c r="BF354" i="57"/>
  <c r="BD354" i="57"/>
  <c r="AY354" i="57"/>
  <c r="AU354" i="57"/>
  <c r="AT354" i="57"/>
  <c r="AY353" i="57"/>
  <c r="AU353" i="57"/>
  <c r="AT353" i="57"/>
  <c r="AR353" i="57"/>
  <c r="BF352" i="57"/>
  <c r="BD352" i="57"/>
  <c r="AY352" i="57"/>
  <c r="AV352" i="57"/>
  <c r="AU352" i="57"/>
  <c r="AT352" i="57"/>
  <c r="AR352" i="57"/>
  <c r="AY351" i="57"/>
  <c r="AU351" i="57"/>
  <c r="AT351" i="57"/>
  <c r="AR351" i="57"/>
  <c r="BF350" i="57"/>
  <c r="BD350" i="57"/>
  <c r="AY350" i="57"/>
  <c r="AV350" i="57"/>
  <c r="AR350" i="57"/>
  <c r="BF349" i="57"/>
  <c r="AY349" i="57"/>
  <c r="AV349" i="57"/>
  <c r="AU349" i="57"/>
  <c r="AT349" i="57"/>
  <c r="AR349" i="57"/>
  <c r="BF348" i="57"/>
  <c r="BD348" i="57"/>
  <c r="AY348" i="57"/>
  <c r="AR348" i="57"/>
  <c r="BD347" i="57"/>
  <c r="AY347" i="57"/>
  <c r="AV347" i="57"/>
  <c r="AU347" i="57"/>
  <c r="AT347" i="57"/>
  <c r="AR347" i="57"/>
  <c r="AY346" i="57"/>
  <c r="AV346" i="57"/>
  <c r="AU346" i="57"/>
  <c r="AT346" i="57"/>
  <c r="AR346" i="57"/>
  <c r="BF345" i="57"/>
  <c r="BD345" i="57"/>
  <c r="AY345" i="57"/>
  <c r="AU345" i="57"/>
  <c r="AT345" i="57"/>
  <c r="AR345" i="57"/>
  <c r="AY344" i="57"/>
  <c r="AV344" i="57"/>
  <c r="AU344" i="57"/>
  <c r="AT344" i="57"/>
  <c r="AR344" i="57"/>
  <c r="BF343" i="57"/>
  <c r="BD343" i="57"/>
  <c r="AY343" i="57"/>
  <c r="AU343" i="57"/>
  <c r="AR343" i="57"/>
  <c r="AY342" i="57"/>
  <c r="AU342" i="57"/>
  <c r="AT342" i="57"/>
  <c r="AR342" i="57"/>
  <c r="BD341" i="57"/>
  <c r="AY341" i="57"/>
  <c r="AV340" i="57"/>
  <c r="AU340" i="57"/>
  <c r="AT340" i="57"/>
  <c r="AV339" i="57"/>
  <c r="AU339" i="57"/>
  <c r="AT339" i="57"/>
  <c r="AU338" i="57"/>
  <c r="AT338" i="57"/>
  <c r="BB337" i="57"/>
  <c r="AW337" i="57"/>
  <c r="AS337" i="57" s="1"/>
  <c r="AV337" i="57"/>
  <c r="AV341" i="57" s="1"/>
  <c r="AU337" i="57"/>
  <c r="AU367" i="57" s="1"/>
  <c r="AT337" i="57"/>
  <c r="AT398" i="57" s="1"/>
  <c r="BB336" i="57"/>
  <c r="BD360" i="57" s="1"/>
  <c r="AV336" i="57"/>
  <c r="AU336" i="57"/>
  <c r="AT336" i="57"/>
  <c r="BE335" i="57"/>
  <c r="BA334" i="57" s="1"/>
  <c r="AV334" i="57"/>
  <c r="AU334" i="57"/>
  <c r="AT334" i="57"/>
  <c r="AU333" i="57"/>
  <c r="AT333" i="57"/>
  <c r="AU332" i="57"/>
  <c r="AT332" i="57"/>
  <c r="BF331" i="57"/>
  <c r="AV331" i="57"/>
  <c r="AU331" i="57"/>
  <c r="AH405" i="57"/>
  <c r="AE404" i="57"/>
  <c r="AD404" i="57"/>
  <c r="AC404" i="57"/>
  <c r="AE403" i="57"/>
  <c r="AD403" i="57"/>
  <c r="AE402" i="57"/>
  <c r="AD402" i="57"/>
  <c r="AE400" i="57"/>
  <c r="AD400" i="57"/>
  <c r="AE399" i="57"/>
  <c r="AD399" i="57"/>
  <c r="AC399" i="57"/>
  <c r="AB399" i="57"/>
  <c r="AE398" i="57"/>
  <c r="AB398" i="57"/>
  <c r="AE397" i="57"/>
  <c r="AD397" i="57"/>
  <c r="AB397" i="57"/>
  <c r="AE396" i="57"/>
  <c r="AD396" i="57"/>
  <c r="AB396" i="57"/>
  <c r="AE395" i="57"/>
  <c r="AD395" i="57"/>
  <c r="AE393" i="57"/>
  <c r="AD393" i="57"/>
  <c r="AE392" i="57"/>
  <c r="AD392" i="57"/>
  <c r="AE391" i="57"/>
  <c r="AD391" i="57"/>
  <c r="AE389" i="57"/>
  <c r="AD389" i="57"/>
  <c r="AC389" i="57"/>
  <c r="AE388" i="57"/>
  <c r="AD388" i="57"/>
  <c r="AC388" i="57"/>
  <c r="AE387" i="57"/>
  <c r="AD387" i="57"/>
  <c r="AE385" i="57"/>
  <c r="AD385" i="57"/>
  <c r="AE384" i="57"/>
  <c r="AD384" i="57"/>
  <c r="AC384" i="57"/>
  <c r="AE383" i="57"/>
  <c r="AD383" i="57"/>
  <c r="AE381" i="57"/>
  <c r="AD381" i="57"/>
  <c r="AE380" i="57"/>
  <c r="AD380" i="57"/>
  <c r="AE379" i="57"/>
  <c r="AD379" i="57"/>
  <c r="AE377" i="57"/>
  <c r="AD377" i="57"/>
  <c r="AC377" i="57"/>
  <c r="AE376" i="57"/>
  <c r="AD376" i="57"/>
  <c r="AE375" i="57"/>
  <c r="AD375" i="57"/>
  <c r="AP373" i="57"/>
  <c r="AE373" i="57"/>
  <c r="AD373" i="57"/>
  <c r="AE372" i="57"/>
  <c r="AD372" i="57"/>
  <c r="AC372" i="57"/>
  <c r="AE371" i="57"/>
  <c r="AE369" i="57"/>
  <c r="AD369" i="57"/>
  <c r="AE368" i="57"/>
  <c r="AD368" i="57"/>
  <c r="AH366" i="57"/>
  <c r="AG366" i="57"/>
  <c r="AE366" i="57"/>
  <c r="AD366" i="57"/>
  <c r="AC366" i="57"/>
  <c r="AE365" i="57"/>
  <c r="AD365" i="57"/>
  <c r="AE364" i="57"/>
  <c r="AD364" i="57"/>
  <c r="AE362" i="57"/>
  <c r="AD362" i="57"/>
  <c r="AE361" i="57"/>
  <c r="AD361" i="57"/>
  <c r="AC361" i="57"/>
  <c r="AP360" i="57"/>
  <c r="AI360" i="57"/>
  <c r="AB360" i="57"/>
  <c r="AP359" i="57"/>
  <c r="AN359" i="57"/>
  <c r="AI359" i="57"/>
  <c r="AE359" i="57"/>
  <c r="AD359" i="57"/>
  <c r="AP358" i="57"/>
  <c r="AI358" i="57"/>
  <c r="AE358" i="57"/>
  <c r="AD358" i="57"/>
  <c r="AC358" i="57"/>
  <c r="AB358" i="57"/>
  <c r="AP357" i="57"/>
  <c r="AN357" i="57"/>
  <c r="AI357" i="57"/>
  <c r="AE357" i="57"/>
  <c r="AP356" i="57"/>
  <c r="AI356" i="57"/>
  <c r="AE356" i="57"/>
  <c r="AD356" i="57"/>
  <c r="AC356" i="57"/>
  <c r="AB356" i="57"/>
  <c r="AP355" i="57"/>
  <c r="AN355" i="57"/>
  <c r="AI355" i="57"/>
  <c r="AB355" i="57"/>
  <c r="AP354" i="57"/>
  <c r="AN354" i="57"/>
  <c r="AI354" i="57"/>
  <c r="AE354" i="57"/>
  <c r="AD354" i="57"/>
  <c r="AI353" i="57"/>
  <c r="AE353" i="57"/>
  <c r="AD353" i="57"/>
  <c r="AC353" i="57"/>
  <c r="AB353" i="57"/>
  <c r="AP352" i="57"/>
  <c r="AN352" i="57"/>
  <c r="AI352" i="57"/>
  <c r="AE352" i="57"/>
  <c r="AD352" i="57"/>
  <c r="AB352" i="57"/>
  <c r="AI351" i="57"/>
  <c r="AE351" i="57"/>
  <c r="AD351" i="57"/>
  <c r="AC351" i="57"/>
  <c r="AB351" i="57"/>
  <c r="AP350" i="57"/>
  <c r="AN350" i="57"/>
  <c r="AI350" i="57"/>
  <c r="AB350" i="57"/>
  <c r="AP349" i="57"/>
  <c r="AI349" i="57"/>
  <c r="AE349" i="57"/>
  <c r="AD349" i="57"/>
  <c r="AB349" i="57"/>
  <c r="AP348" i="57"/>
  <c r="AN348" i="57"/>
  <c r="AI348" i="57"/>
  <c r="AB348" i="57"/>
  <c r="AN347" i="57"/>
  <c r="AI347" i="57"/>
  <c r="AE347" i="57"/>
  <c r="AD347" i="57"/>
  <c r="AB347" i="57"/>
  <c r="AI346" i="57"/>
  <c r="AE346" i="57"/>
  <c r="AD346" i="57"/>
  <c r="AB346" i="57"/>
  <c r="AP345" i="57"/>
  <c r="AN345" i="57"/>
  <c r="AI345" i="57"/>
  <c r="AE345" i="57"/>
  <c r="AD345" i="57"/>
  <c r="AB345" i="57"/>
  <c r="AI344" i="57"/>
  <c r="AE344" i="57"/>
  <c r="AD344" i="57"/>
  <c r="AB344" i="57"/>
  <c r="AP343" i="57"/>
  <c r="AN343" i="57"/>
  <c r="AI343" i="57"/>
  <c r="AE343" i="57"/>
  <c r="AB343" i="57"/>
  <c r="AI342" i="57"/>
  <c r="AE342" i="57"/>
  <c r="AD342" i="57"/>
  <c r="AB342" i="57"/>
  <c r="AN341" i="57"/>
  <c r="AI341" i="57"/>
  <c r="AE340" i="57"/>
  <c r="AD340" i="57"/>
  <c r="AC340" i="57"/>
  <c r="AE339" i="57"/>
  <c r="AD339" i="57"/>
  <c r="AC339" i="57"/>
  <c r="AE338" i="57"/>
  <c r="AD338" i="57"/>
  <c r="AL337" i="57"/>
  <c r="AK334" i="57" s="1"/>
  <c r="AG337" i="57"/>
  <c r="AE337" i="57"/>
  <c r="AE367" i="57" s="1"/>
  <c r="AD337" i="57"/>
  <c r="AD398" i="57" s="1"/>
  <c r="AC337" i="57"/>
  <c r="AC402" i="57" s="1"/>
  <c r="AL336" i="57"/>
  <c r="AN360" i="57" s="1"/>
  <c r="AE336" i="57"/>
  <c r="AD336" i="57"/>
  <c r="AC336" i="57"/>
  <c r="AO335" i="57"/>
  <c r="AE334" i="57"/>
  <c r="AD334" i="57"/>
  <c r="AE333" i="57"/>
  <c r="AD333" i="57"/>
  <c r="AE332" i="57"/>
  <c r="AD332" i="57"/>
  <c r="AP331" i="57"/>
  <c r="AE331" i="57"/>
  <c r="AC331" i="57"/>
  <c r="AH329" i="57"/>
  <c r="AF325" i="57"/>
  <c r="AE325" i="57"/>
  <c r="AD325" i="57"/>
  <c r="AB323" i="57"/>
  <c r="AB322" i="57"/>
  <c r="AB321" i="57"/>
  <c r="AB320" i="57"/>
  <c r="AE319" i="57"/>
  <c r="AD319" i="57"/>
  <c r="AB319" i="57"/>
  <c r="AP318" i="57"/>
  <c r="AE314" i="57"/>
  <c r="AE312" i="57"/>
  <c r="AD312" i="57"/>
  <c r="AH311" i="57"/>
  <c r="AG311" i="57"/>
  <c r="AF311" i="57"/>
  <c r="AE307" i="57"/>
  <c r="AD307" i="57"/>
  <c r="AP305" i="57"/>
  <c r="AN305" i="57"/>
  <c r="AI305" i="57"/>
  <c r="AB305" i="57"/>
  <c r="AP304" i="57"/>
  <c r="AI304" i="57"/>
  <c r="AB304" i="57"/>
  <c r="AP303" i="57"/>
  <c r="AN303" i="57"/>
  <c r="AI303" i="57"/>
  <c r="AF303" i="57"/>
  <c r="AE303" i="57"/>
  <c r="AD303" i="57"/>
  <c r="AB303" i="57"/>
  <c r="AN302" i="57"/>
  <c r="AI302" i="57"/>
  <c r="AB302" i="57"/>
  <c r="AP301" i="57"/>
  <c r="AN301" i="57"/>
  <c r="AI301" i="57"/>
  <c r="AE301" i="57"/>
  <c r="AD301" i="57"/>
  <c r="AB301" i="57"/>
  <c r="AP300" i="57"/>
  <c r="AN300" i="57"/>
  <c r="AI300" i="57"/>
  <c r="AB300" i="57"/>
  <c r="AP299" i="57"/>
  <c r="AN299" i="57"/>
  <c r="AI299" i="57"/>
  <c r="AB299" i="57"/>
  <c r="AP298" i="57"/>
  <c r="AN298" i="57"/>
  <c r="AI298" i="57"/>
  <c r="AE298" i="57"/>
  <c r="AB298" i="57"/>
  <c r="AP297" i="57"/>
  <c r="AN297" i="57"/>
  <c r="AI297" i="57"/>
  <c r="AB297" i="57"/>
  <c r="AP296" i="57"/>
  <c r="AN296" i="57"/>
  <c r="AI296" i="57"/>
  <c r="AE296" i="57"/>
  <c r="AD296" i="57"/>
  <c r="AL292" i="57"/>
  <c r="AK289" i="57" s="1"/>
  <c r="AG292" i="57"/>
  <c r="AC292" i="57" s="1"/>
  <c r="AF292" i="57"/>
  <c r="AF308" i="57" s="1"/>
  <c r="AE292" i="57"/>
  <c r="AD292" i="57"/>
  <c r="AD315" i="57" s="1"/>
  <c r="AL291" i="57"/>
  <c r="AN304" i="57" s="1"/>
  <c r="AE291" i="57"/>
  <c r="AD291" i="57"/>
  <c r="AO290" i="57"/>
  <c r="AE287" i="57"/>
  <c r="AD287" i="57"/>
  <c r="AP286" i="57"/>
  <c r="AE286" i="57"/>
  <c r="AD286" i="57"/>
  <c r="V292" i="57"/>
  <c r="Q292" i="57"/>
  <c r="AX329" i="57"/>
  <c r="AU327" i="57"/>
  <c r="AT327" i="57"/>
  <c r="AU326" i="57"/>
  <c r="AT326" i="57"/>
  <c r="AU323" i="57"/>
  <c r="AT323" i="57"/>
  <c r="AR323" i="57"/>
  <c r="AU322" i="57"/>
  <c r="AR322" i="57"/>
  <c r="AU321" i="57"/>
  <c r="AR321" i="57"/>
  <c r="AU320" i="57"/>
  <c r="AT320" i="57"/>
  <c r="AR320" i="57"/>
  <c r="AU319" i="57"/>
  <c r="AT319" i="57"/>
  <c r="AR319" i="57"/>
  <c r="BF318" i="57"/>
  <c r="AU318" i="57"/>
  <c r="AU317" i="57"/>
  <c r="AT317" i="57"/>
  <c r="AU316" i="57"/>
  <c r="AT316" i="57"/>
  <c r="AS316" i="57"/>
  <c r="AU314" i="57"/>
  <c r="AU313" i="57"/>
  <c r="AT313" i="57"/>
  <c r="AU312" i="57"/>
  <c r="AT312" i="57"/>
  <c r="AX311" i="57"/>
  <c r="AW311" i="57"/>
  <c r="AU309" i="57"/>
  <c r="AT309" i="57"/>
  <c r="AU308" i="57"/>
  <c r="AT308" i="57"/>
  <c r="BF305" i="57"/>
  <c r="BD305" i="57"/>
  <c r="AY305" i="57"/>
  <c r="AU305" i="57"/>
  <c r="AR305" i="57"/>
  <c r="BF304" i="57"/>
  <c r="AY304" i="57"/>
  <c r="AU304" i="57"/>
  <c r="AT304" i="57"/>
  <c r="AR304" i="57"/>
  <c r="BF303" i="57"/>
  <c r="BD303" i="57"/>
  <c r="AY303" i="57"/>
  <c r="AR303" i="57"/>
  <c r="BD302" i="57"/>
  <c r="AY302" i="57"/>
  <c r="AU302" i="57"/>
  <c r="AT302" i="57"/>
  <c r="AS302" i="57"/>
  <c r="AR302" i="57"/>
  <c r="BF301" i="57"/>
  <c r="AY301" i="57"/>
  <c r="AU301" i="57"/>
  <c r="AT301" i="57"/>
  <c r="AR301" i="57"/>
  <c r="BF300" i="57"/>
  <c r="BD300" i="57"/>
  <c r="AY300" i="57"/>
  <c r="AU300" i="57"/>
  <c r="AT300" i="57"/>
  <c r="AS300" i="57"/>
  <c r="AR300" i="57"/>
  <c r="BF299" i="57"/>
  <c r="BD299" i="57"/>
  <c r="AY299" i="57"/>
  <c r="AR299" i="57"/>
  <c r="BF298" i="57"/>
  <c r="BD298" i="57"/>
  <c r="AY298" i="57"/>
  <c r="AU298" i="57"/>
  <c r="AT298" i="57"/>
  <c r="AR298" i="57"/>
  <c r="BF297" i="57"/>
  <c r="BD297" i="57"/>
  <c r="AY297" i="57"/>
  <c r="AR297" i="57"/>
  <c r="BF296" i="57"/>
  <c r="BD296" i="57"/>
  <c r="AY296" i="57"/>
  <c r="AU295" i="57"/>
  <c r="AU294" i="57"/>
  <c r="AT294" i="57"/>
  <c r="AU293" i="57"/>
  <c r="AT293" i="57"/>
  <c r="BB292" i="57"/>
  <c r="AV292" i="57" s="1"/>
  <c r="AW292" i="57"/>
  <c r="AU292" i="57"/>
  <c r="AU315" i="57" s="1"/>
  <c r="AT292" i="57"/>
  <c r="AT322" i="57" s="1"/>
  <c r="AS292" i="57"/>
  <c r="AS326" i="57" s="1"/>
  <c r="BB291" i="57"/>
  <c r="BD301" i="57" s="1"/>
  <c r="AU291" i="57"/>
  <c r="AT291" i="57"/>
  <c r="AS291" i="57"/>
  <c r="BE290" i="57"/>
  <c r="AU288" i="57"/>
  <c r="AT288" i="57"/>
  <c r="AU287" i="57"/>
  <c r="AT287" i="57"/>
  <c r="BF286" i="57"/>
  <c r="AU286" i="57"/>
  <c r="AT286" i="57"/>
  <c r="AX284" i="57"/>
  <c r="AT282" i="57"/>
  <c r="AU281" i="57"/>
  <c r="AT281" i="57"/>
  <c r="AR280" i="57"/>
  <c r="AR279" i="57"/>
  <c r="AU278" i="57"/>
  <c r="AT278" i="57"/>
  <c r="AR278" i="57"/>
  <c r="AR277" i="57"/>
  <c r="AR276" i="57"/>
  <c r="AT275" i="57"/>
  <c r="AR275" i="57"/>
  <c r="AR274" i="57"/>
  <c r="BA273" i="57"/>
  <c r="BA272" i="57"/>
  <c r="BA271" i="57"/>
  <c r="BA270" i="57"/>
  <c r="AU270" i="57"/>
  <c r="AT270" i="57"/>
  <c r="BA269" i="57"/>
  <c r="BA268" i="57"/>
  <c r="AU268" i="57"/>
  <c r="AT268" i="57"/>
  <c r="AR267" i="57"/>
  <c r="AR266" i="57"/>
  <c r="AU265" i="57"/>
  <c r="AT265" i="57"/>
  <c r="AR265" i="57"/>
  <c r="AR264" i="57"/>
  <c r="AR263" i="57"/>
  <c r="AW262" i="57"/>
  <c r="AR262" i="57"/>
  <c r="AW261" i="57"/>
  <c r="AR261" i="57"/>
  <c r="AW260" i="57"/>
  <c r="AT260" i="57"/>
  <c r="AR260" i="57"/>
  <c r="AW259" i="57"/>
  <c r="AU259" i="57"/>
  <c r="AT259" i="57"/>
  <c r="AR259" i="57"/>
  <c r="AW258" i="57"/>
  <c r="AR258" i="57"/>
  <c r="AU257" i="57"/>
  <c r="AR257" i="57"/>
  <c r="AR256" i="57"/>
  <c r="AR255" i="57"/>
  <c r="AU254" i="57"/>
  <c r="AT254" i="57"/>
  <c r="AR254" i="57"/>
  <c r="AR253" i="57"/>
  <c r="BF252" i="57"/>
  <c r="AU252" i="57"/>
  <c r="AT252" i="57"/>
  <c r="AR252" i="57"/>
  <c r="AU251" i="57"/>
  <c r="AR251" i="57"/>
  <c r="AR250" i="57"/>
  <c r="AW249" i="57"/>
  <c r="AR249" i="57"/>
  <c r="AW248" i="57"/>
  <c r="AR248" i="57"/>
  <c r="AW247" i="57"/>
  <c r="AT247" i="57"/>
  <c r="AR247" i="57"/>
  <c r="AU246" i="57"/>
  <c r="AT246" i="57"/>
  <c r="AX245" i="57"/>
  <c r="AW245" i="57"/>
  <c r="AT243" i="57"/>
  <c r="AU242" i="57"/>
  <c r="AT242" i="57"/>
  <c r="AT240" i="57"/>
  <c r="BF239" i="57"/>
  <c r="AY239" i="57"/>
  <c r="AU239" i="57"/>
  <c r="AR239" i="57"/>
  <c r="AY238" i="57"/>
  <c r="AT238" i="57"/>
  <c r="AR238" i="57"/>
  <c r="AY237" i="57"/>
  <c r="AR237" i="57"/>
  <c r="AY236" i="57"/>
  <c r="AU236" i="57"/>
  <c r="AT236" i="57"/>
  <c r="AR236" i="57"/>
  <c r="AY235" i="57"/>
  <c r="AR235" i="57"/>
  <c r="AY234" i="57"/>
  <c r="AU234" i="57"/>
  <c r="AT234" i="57"/>
  <c r="AR234" i="57"/>
  <c r="AY233" i="57"/>
  <c r="AR233" i="57"/>
  <c r="AY232" i="57"/>
  <c r="AU232" i="57"/>
  <c r="AT232" i="57"/>
  <c r="AR232" i="57"/>
  <c r="AY231" i="57"/>
  <c r="AT231" i="57"/>
  <c r="AR231" i="57"/>
  <c r="BF230" i="57"/>
  <c r="AY230" i="57"/>
  <c r="AR230" i="57"/>
  <c r="AT228" i="57"/>
  <c r="AU227" i="57"/>
  <c r="BE226" i="57"/>
  <c r="BC226" i="57"/>
  <c r="AU225" i="57"/>
  <c r="AT225" i="57"/>
  <c r="BF223" i="57"/>
  <c r="BE223" i="57"/>
  <c r="BD223" i="57"/>
  <c r="AY223" i="57"/>
  <c r="AT223" i="57"/>
  <c r="AR223" i="57"/>
  <c r="BF222" i="57"/>
  <c r="BE222" i="57"/>
  <c r="BD222" i="57"/>
  <c r="AY222" i="57"/>
  <c r="AR222" i="57"/>
  <c r="BF221" i="57"/>
  <c r="BE221" i="57"/>
  <c r="BD221" i="57"/>
  <c r="AY221" i="57"/>
  <c r="AU221" i="57"/>
  <c r="AT221" i="57"/>
  <c r="AR221" i="57"/>
  <c r="BF220" i="57"/>
  <c r="BE220" i="57"/>
  <c r="BD220" i="57"/>
  <c r="AY220" i="57"/>
  <c r="AR220" i="57"/>
  <c r="AY219" i="57"/>
  <c r="AY218" i="57"/>
  <c r="AR218" i="57"/>
  <c r="AY217" i="57"/>
  <c r="AT217" i="57"/>
  <c r="AR217" i="57"/>
  <c r="AY216" i="57"/>
  <c r="AU216" i="57"/>
  <c r="AY215" i="57"/>
  <c r="AR215" i="57"/>
  <c r="BE214" i="57"/>
  <c r="BF214" i="57" s="1"/>
  <c r="BD214" i="57"/>
  <c r="AY214" i="57"/>
  <c r="AU214" i="57"/>
  <c r="AR214" i="57"/>
  <c r="BE213" i="57"/>
  <c r="BF213" i="57" s="1"/>
  <c r="BD213" i="57"/>
  <c r="AY213" i="57"/>
  <c r="AU213" i="57"/>
  <c r="AT213" i="57"/>
  <c r="AR213" i="57"/>
  <c r="BE212" i="57"/>
  <c r="BF212" i="57" s="1"/>
  <c r="BD212" i="57"/>
  <c r="AY212" i="57"/>
  <c r="AR212" i="57"/>
  <c r="BE211" i="57"/>
  <c r="BF211" i="57" s="1"/>
  <c r="BD211" i="57"/>
  <c r="AY211" i="57"/>
  <c r="AU211" i="57"/>
  <c r="AT211" i="57"/>
  <c r="AR211" i="57"/>
  <c r="BE210" i="57"/>
  <c r="BF210" i="57" s="1"/>
  <c r="AY210" i="57"/>
  <c r="AR210" i="57"/>
  <c r="BE209" i="57"/>
  <c r="BF209" i="57" s="1"/>
  <c r="BD209" i="57"/>
  <c r="AY209" i="57"/>
  <c r="AU209" i="57"/>
  <c r="AT209" i="57"/>
  <c r="AR209" i="57"/>
  <c r="AY208" i="57"/>
  <c r="AR208" i="57"/>
  <c r="BE207" i="57"/>
  <c r="BF207" i="57" s="1"/>
  <c r="BD207" i="57"/>
  <c r="AY207" i="57"/>
  <c r="AU207" i="57"/>
  <c r="AT207" i="57"/>
  <c r="AR207" i="57"/>
  <c r="BF206" i="57"/>
  <c r="BE206" i="57"/>
  <c r="BD206" i="57"/>
  <c r="AY206" i="57"/>
  <c r="AU206" i="57"/>
  <c r="AT206" i="57"/>
  <c r="BE205" i="57"/>
  <c r="BC206" i="57" s="1"/>
  <c r="AR206" i="57" s="1"/>
  <c r="BD205" i="57"/>
  <c r="AY205" i="57"/>
  <c r="AR205" i="57"/>
  <c r="BE204" i="57"/>
  <c r="BD204" i="57"/>
  <c r="AY204" i="57"/>
  <c r="AU204" i="57"/>
  <c r="AT204" i="57"/>
  <c r="AU203" i="57"/>
  <c r="AT203" i="57"/>
  <c r="BB200" i="57"/>
  <c r="BA197" i="57" s="1"/>
  <c r="AW200" i="57"/>
  <c r="AS200" i="57" s="1"/>
  <c r="AU200" i="57"/>
  <c r="AU282" i="57" s="1"/>
  <c r="AT200" i="57"/>
  <c r="AT257" i="57" s="1"/>
  <c r="BB199" i="57"/>
  <c r="BD210" i="57" s="1"/>
  <c r="BE198" i="57"/>
  <c r="AU198" i="57"/>
  <c r="AT198" i="57"/>
  <c r="AU197" i="57"/>
  <c r="AT195" i="57"/>
  <c r="BF194" i="57"/>
  <c r="AU194" i="57"/>
  <c r="AT194" i="57"/>
  <c r="AH284" i="57"/>
  <c r="AE283" i="57"/>
  <c r="AD283" i="57"/>
  <c r="AE282" i="57"/>
  <c r="AD282" i="57"/>
  <c r="AC282" i="57"/>
  <c r="AE281" i="57"/>
  <c r="AD281" i="57"/>
  <c r="AD280" i="57"/>
  <c r="AB280" i="57"/>
  <c r="AE279" i="57"/>
  <c r="AD279" i="57"/>
  <c r="AB279" i="57"/>
  <c r="AE278" i="57"/>
  <c r="AD278" i="57"/>
  <c r="AB278" i="57"/>
  <c r="AB277" i="57"/>
  <c r="AE276" i="57"/>
  <c r="AD276" i="57"/>
  <c r="AC276" i="57"/>
  <c r="AB276" i="57"/>
  <c r="AE275" i="57"/>
  <c r="AD275" i="57"/>
  <c r="AC275" i="57"/>
  <c r="AB275" i="57"/>
  <c r="AB274" i="57"/>
  <c r="AK273" i="57"/>
  <c r="AE273" i="57"/>
  <c r="AD273" i="57"/>
  <c r="AK272" i="57"/>
  <c r="AE272" i="57"/>
  <c r="AD272" i="57"/>
  <c r="AK271" i="57"/>
  <c r="AE271" i="57"/>
  <c r="AD271" i="57"/>
  <c r="AK270" i="57"/>
  <c r="AE270" i="57"/>
  <c r="AD270" i="57"/>
  <c r="AK269" i="57"/>
  <c r="AE269" i="57"/>
  <c r="AD269" i="57"/>
  <c r="AK268" i="57"/>
  <c r="AE268" i="57"/>
  <c r="AD268" i="57"/>
  <c r="AE267" i="57"/>
  <c r="AB267" i="57"/>
  <c r="AE266" i="57"/>
  <c r="AD266" i="57"/>
  <c r="AB266" i="57"/>
  <c r="AE265" i="57"/>
  <c r="AD265" i="57"/>
  <c r="AC265" i="57"/>
  <c r="AB265" i="57"/>
  <c r="AB264" i="57"/>
  <c r="AE263" i="57"/>
  <c r="AD263" i="57"/>
  <c r="AB263" i="57"/>
  <c r="AG262" i="57"/>
  <c r="AE262" i="57"/>
  <c r="AD262" i="57"/>
  <c r="AC262" i="57"/>
  <c r="AB262" i="57"/>
  <c r="AG261" i="57"/>
  <c r="AD261" i="57"/>
  <c r="AB261" i="57"/>
  <c r="AG260" i="57"/>
  <c r="AE260" i="57"/>
  <c r="AD260" i="57"/>
  <c r="AB260" i="57"/>
  <c r="AG259" i="57"/>
  <c r="AE259" i="57"/>
  <c r="AD259" i="57"/>
  <c r="AB259" i="57"/>
  <c r="AG258" i="57"/>
  <c r="AE258" i="57"/>
  <c r="AD258" i="57"/>
  <c r="AB258" i="57"/>
  <c r="AE257" i="57"/>
  <c r="AD257" i="57"/>
  <c r="AB257" i="57"/>
  <c r="AB256" i="57"/>
  <c r="AE255" i="57"/>
  <c r="AD255" i="57"/>
  <c r="AC255" i="57"/>
  <c r="AB255" i="57"/>
  <c r="AE254" i="57"/>
  <c r="AD254" i="57"/>
  <c r="AC254" i="57"/>
  <c r="AB254" i="57"/>
  <c r="AD253" i="57"/>
  <c r="AB253" i="57"/>
  <c r="AP252" i="57"/>
  <c r="AE252" i="57"/>
  <c r="AD252" i="57"/>
  <c r="AC252" i="57"/>
  <c r="AB252" i="57"/>
  <c r="AE251" i="57"/>
  <c r="AB251" i="57"/>
  <c r="AE250" i="57"/>
  <c r="AD250" i="57"/>
  <c r="AB250" i="57"/>
  <c r="AE249" i="57"/>
  <c r="AD249" i="57"/>
  <c r="AC249" i="57"/>
  <c r="AB249" i="57"/>
  <c r="AE248" i="57"/>
  <c r="AD248" i="57"/>
  <c r="AB248" i="57"/>
  <c r="AG247" i="57"/>
  <c r="AE247" i="57"/>
  <c r="AD247" i="57"/>
  <c r="AB247" i="57"/>
  <c r="AH245" i="57"/>
  <c r="AG245" i="57"/>
  <c r="AE245" i="57"/>
  <c r="AD245" i="57"/>
  <c r="AC245" i="57"/>
  <c r="AE244" i="57"/>
  <c r="AD244" i="57"/>
  <c r="AC244" i="57"/>
  <c r="AE243" i="57"/>
  <c r="AE242" i="57"/>
  <c r="AD242" i="57"/>
  <c r="AE241" i="57"/>
  <c r="AD241" i="57"/>
  <c r="AE240" i="57"/>
  <c r="AD240" i="57"/>
  <c r="AC240" i="57"/>
  <c r="AP239" i="57"/>
  <c r="AI239" i="57"/>
  <c r="AE239" i="57"/>
  <c r="AD239" i="57"/>
  <c r="AB239" i="57"/>
  <c r="AI238" i="57"/>
  <c r="AE238" i="57"/>
  <c r="AD238" i="57"/>
  <c r="AC238" i="57"/>
  <c r="AB238" i="57"/>
  <c r="AI237" i="57"/>
  <c r="AE237" i="57"/>
  <c r="AD237" i="57"/>
  <c r="AC237" i="57"/>
  <c r="AB237" i="57"/>
  <c r="AI236" i="57"/>
  <c r="AE236" i="57"/>
  <c r="AB236" i="57"/>
  <c r="AI235" i="57"/>
  <c r="AE235" i="57"/>
  <c r="AD235" i="57"/>
  <c r="AC235" i="57"/>
  <c r="AB235" i="57"/>
  <c r="AI234" i="57"/>
  <c r="AB234" i="57"/>
  <c r="AI233" i="57"/>
  <c r="AE233" i="57"/>
  <c r="AD233" i="57"/>
  <c r="AB233" i="57"/>
  <c r="AI232" i="57"/>
  <c r="AE232" i="57"/>
  <c r="AD232" i="57"/>
  <c r="AB232" i="57"/>
  <c r="AI231" i="57"/>
  <c r="AE231" i="57"/>
  <c r="AD231" i="57"/>
  <c r="AB231" i="57"/>
  <c r="AP230" i="57"/>
  <c r="AI230" i="57"/>
  <c r="AE230" i="57"/>
  <c r="AD230" i="57"/>
  <c r="AC230" i="57"/>
  <c r="AB230" i="57"/>
  <c r="AE229" i="57"/>
  <c r="AD229" i="57"/>
  <c r="AE228" i="57"/>
  <c r="AD228" i="57"/>
  <c r="AE227" i="57"/>
  <c r="AD227" i="57"/>
  <c r="AO226" i="57"/>
  <c r="AM226" i="57"/>
  <c r="AE226" i="57"/>
  <c r="AD226" i="57"/>
  <c r="AC226" i="57"/>
  <c r="AE225" i="57"/>
  <c r="AD225" i="57"/>
  <c r="AE224" i="57"/>
  <c r="AD224" i="57"/>
  <c r="AP223" i="57"/>
  <c r="AO223" i="57"/>
  <c r="AN223" i="57"/>
  <c r="AI223" i="57"/>
  <c r="AE223" i="57"/>
  <c r="AD223" i="57"/>
  <c r="AC223" i="57"/>
  <c r="AB223" i="57"/>
  <c r="AP222" i="57"/>
  <c r="AI222" i="57"/>
  <c r="AE222" i="57"/>
  <c r="AD222" i="57"/>
  <c r="AB222" i="57"/>
  <c r="AP221" i="57"/>
  <c r="AO221" i="57"/>
  <c r="AN221" i="57"/>
  <c r="AI221" i="57"/>
  <c r="AE221" i="57"/>
  <c r="AD221" i="57"/>
  <c r="AC221" i="57"/>
  <c r="AB221" i="57"/>
  <c r="AP220" i="57"/>
  <c r="AI220" i="57"/>
  <c r="AE220" i="57"/>
  <c r="AD220" i="57"/>
  <c r="AC220" i="57"/>
  <c r="AB220" i="57"/>
  <c r="AI219" i="57"/>
  <c r="AE219" i="57"/>
  <c r="AD219" i="57"/>
  <c r="AI218" i="57"/>
  <c r="AE218" i="57"/>
  <c r="AD218" i="57"/>
  <c r="AC218" i="57"/>
  <c r="AB218" i="57"/>
  <c r="AI217" i="57"/>
  <c r="AE217" i="57"/>
  <c r="AD217" i="57"/>
  <c r="AB217" i="57"/>
  <c r="AI216" i="57"/>
  <c r="AE216" i="57"/>
  <c r="AD216" i="57"/>
  <c r="AI215" i="57"/>
  <c r="AF215" i="57"/>
  <c r="AE215" i="57"/>
  <c r="AD215" i="57"/>
  <c r="AC215" i="57"/>
  <c r="AB215" i="57"/>
  <c r="AO214" i="57"/>
  <c r="AP214" i="57" s="1"/>
  <c r="AI214" i="57"/>
  <c r="AE214" i="57"/>
  <c r="AD214" i="57"/>
  <c r="AB214" i="57"/>
  <c r="AO213" i="57"/>
  <c r="AP213" i="57" s="1"/>
  <c r="AN213" i="57"/>
  <c r="AI213" i="57"/>
  <c r="AE213" i="57"/>
  <c r="AD213" i="57"/>
  <c r="AC213" i="57"/>
  <c r="AB213" i="57"/>
  <c r="AI212" i="57"/>
  <c r="AE212" i="57"/>
  <c r="AD212" i="57"/>
  <c r="AB212" i="57"/>
  <c r="AO211" i="57"/>
  <c r="AP211" i="57" s="1"/>
  <c r="AN211" i="57"/>
  <c r="AI211" i="57"/>
  <c r="AE211" i="57"/>
  <c r="AD211" i="57"/>
  <c r="AB211" i="57"/>
  <c r="AI210" i="57"/>
  <c r="AE210" i="57"/>
  <c r="AD210" i="57"/>
  <c r="AC210" i="57"/>
  <c r="AB210" i="57"/>
  <c r="AO209" i="57"/>
  <c r="AP209" i="57" s="1"/>
  <c r="AN209" i="57"/>
  <c r="AI209" i="57"/>
  <c r="AB209" i="57"/>
  <c r="AO208" i="57"/>
  <c r="AP208" i="57" s="1"/>
  <c r="AN208" i="57"/>
  <c r="AI208" i="57"/>
  <c r="AE208" i="57"/>
  <c r="AD208" i="57"/>
  <c r="AC208" i="57"/>
  <c r="AB208" i="57"/>
  <c r="AO207" i="57"/>
  <c r="AP207" i="57" s="1"/>
  <c r="AN207" i="57"/>
  <c r="AI207" i="57"/>
  <c r="AE207" i="57"/>
  <c r="AD207" i="57"/>
  <c r="AB207" i="57"/>
  <c r="AP206" i="57"/>
  <c r="AO206" i="57"/>
  <c r="AN206" i="57"/>
  <c r="AI206" i="57"/>
  <c r="AE206" i="57"/>
  <c r="AD206" i="57"/>
  <c r="AC206" i="57"/>
  <c r="AN205" i="57"/>
  <c r="AI205" i="57"/>
  <c r="AE205" i="57"/>
  <c r="AD205" i="57"/>
  <c r="AB205" i="57"/>
  <c r="AO204" i="57"/>
  <c r="AN204" i="57"/>
  <c r="AI204" i="57"/>
  <c r="AE204" i="57"/>
  <c r="AD204" i="57"/>
  <c r="AE203" i="57"/>
  <c r="AD203" i="57"/>
  <c r="AE202" i="57"/>
  <c r="AD202" i="57"/>
  <c r="AE201" i="57"/>
  <c r="AD201" i="57"/>
  <c r="AL200" i="57"/>
  <c r="AG200" i="57"/>
  <c r="AC200" i="57" s="1"/>
  <c r="AC268" i="57" s="1"/>
  <c r="AF200" i="57"/>
  <c r="AF274" i="57" s="1"/>
  <c r="AE200" i="57"/>
  <c r="AE274" i="57" s="1"/>
  <c r="AD200" i="57"/>
  <c r="AD267" i="57" s="1"/>
  <c r="AL199" i="57"/>
  <c r="AO222" i="57" s="1"/>
  <c r="AE199" i="57"/>
  <c r="AD199" i="57"/>
  <c r="AO198" i="57"/>
  <c r="AE198" i="57"/>
  <c r="AD198" i="57"/>
  <c r="AE197" i="57"/>
  <c r="AD197" i="57"/>
  <c r="AC197" i="57"/>
  <c r="AE196" i="57"/>
  <c r="AD196" i="57"/>
  <c r="AC196" i="57"/>
  <c r="AF195" i="57"/>
  <c r="AE195" i="57"/>
  <c r="AD195" i="57"/>
  <c r="AP194" i="57"/>
  <c r="AE194" i="57"/>
  <c r="AD194" i="57"/>
  <c r="U270" i="57"/>
  <c r="U271" i="57"/>
  <c r="U269" i="57"/>
  <c r="U268" i="57"/>
  <c r="U273" i="57"/>
  <c r="U272" i="57"/>
  <c r="L233" i="57"/>
  <c r="L264" i="57"/>
  <c r="Q368" i="57"/>
  <c r="R405" i="57"/>
  <c r="L399" i="57"/>
  <c r="L398" i="57"/>
  <c r="N397" i="57"/>
  <c r="L397" i="57"/>
  <c r="N396" i="57"/>
  <c r="L396" i="57"/>
  <c r="N392" i="57"/>
  <c r="N391" i="57"/>
  <c r="N388" i="57"/>
  <c r="N387" i="57"/>
  <c r="N384" i="57"/>
  <c r="Z373" i="57"/>
  <c r="N373" i="57"/>
  <c r="N372" i="57"/>
  <c r="N370" i="57"/>
  <c r="N369" i="57"/>
  <c r="R366" i="57"/>
  <c r="Q366" i="57"/>
  <c r="N365" i="57"/>
  <c r="N364" i="57"/>
  <c r="N361" i="57"/>
  <c r="Z360" i="57"/>
  <c r="S360" i="57"/>
  <c r="L360" i="57"/>
  <c r="Z359" i="57"/>
  <c r="S359" i="57"/>
  <c r="N359" i="57"/>
  <c r="Z358" i="57"/>
  <c r="S358" i="57"/>
  <c r="N358" i="57"/>
  <c r="L358" i="57"/>
  <c r="Z357" i="57"/>
  <c r="S357" i="57"/>
  <c r="Z356" i="57"/>
  <c r="S356" i="57"/>
  <c r="Z355" i="57"/>
  <c r="S355" i="57"/>
  <c r="L355" i="57"/>
  <c r="Z354" i="57"/>
  <c r="S354" i="57"/>
  <c r="S353" i="57"/>
  <c r="L353" i="57"/>
  <c r="S352" i="57"/>
  <c r="N352" i="57"/>
  <c r="L352" i="57"/>
  <c r="S351" i="57"/>
  <c r="N351" i="57"/>
  <c r="L351" i="57"/>
  <c r="Z350" i="57"/>
  <c r="S350" i="57"/>
  <c r="L350" i="57"/>
  <c r="Z349" i="57"/>
  <c r="S349" i="57"/>
  <c r="L349" i="57"/>
  <c r="Z348" i="57"/>
  <c r="S348" i="57"/>
  <c r="N348" i="57"/>
  <c r="L348" i="57"/>
  <c r="S347" i="57"/>
  <c r="N347" i="57"/>
  <c r="L347" i="57"/>
  <c r="S346" i="57"/>
  <c r="L346" i="57"/>
  <c r="Z345" i="57"/>
  <c r="S345" i="57"/>
  <c r="N345" i="57"/>
  <c r="L345" i="57"/>
  <c r="S344" i="57"/>
  <c r="L344" i="57"/>
  <c r="Z343" i="57"/>
  <c r="S343" i="57"/>
  <c r="L343" i="57"/>
  <c r="S342" i="57"/>
  <c r="N342" i="57"/>
  <c r="L342" i="57"/>
  <c r="Z341" i="57"/>
  <c r="S341" i="57"/>
  <c r="N341" i="57"/>
  <c r="N338" i="57"/>
  <c r="V337" i="57"/>
  <c r="U334" i="57" s="1"/>
  <c r="Q337" i="57"/>
  <c r="M337" i="57" s="1"/>
  <c r="O337" i="57"/>
  <c r="O346" i="57" s="1"/>
  <c r="N337" i="57"/>
  <c r="N398" i="57" s="1"/>
  <c r="V336" i="57"/>
  <c r="Y335" i="57"/>
  <c r="N335" i="57"/>
  <c r="N334" i="57"/>
  <c r="N333" i="57"/>
  <c r="N332" i="57"/>
  <c r="Z331" i="57"/>
  <c r="Y18" i="35"/>
  <c r="R329" i="57"/>
  <c r="L323" i="57"/>
  <c r="L322" i="57"/>
  <c r="L321" i="57"/>
  <c r="L320" i="57"/>
  <c r="L319" i="57"/>
  <c r="Z318" i="57"/>
  <c r="R311" i="57"/>
  <c r="Q311" i="57"/>
  <c r="N310" i="57"/>
  <c r="Z305" i="57"/>
  <c r="S305" i="57"/>
  <c r="L305" i="57"/>
  <c r="S304" i="57"/>
  <c r="L304" i="57"/>
  <c r="S303" i="57"/>
  <c r="L303" i="57"/>
  <c r="S302" i="57"/>
  <c r="L302" i="57"/>
  <c r="S301" i="57"/>
  <c r="L301" i="57"/>
  <c r="S300" i="57"/>
  <c r="L300" i="57"/>
  <c r="S299" i="57"/>
  <c r="O299" i="57"/>
  <c r="L299" i="57"/>
  <c r="S298" i="57"/>
  <c r="L298" i="57"/>
  <c r="S297" i="57"/>
  <c r="L297" i="57"/>
  <c r="Z296" i="57"/>
  <c r="S296" i="57"/>
  <c r="P292" i="57"/>
  <c r="M292" i="57"/>
  <c r="O292" i="57"/>
  <c r="O315" i="57" s="1"/>
  <c r="N292" i="57"/>
  <c r="N322" i="57" s="1"/>
  <c r="V291" i="57"/>
  <c r="X301" i="57" s="1"/>
  <c r="O291" i="57"/>
  <c r="Y290" i="57"/>
  <c r="Z286" i="57"/>
  <c r="R284" i="57"/>
  <c r="L280" i="57"/>
  <c r="L279" i="57"/>
  <c r="L278" i="57"/>
  <c r="L277" i="57"/>
  <c r="L276" i="57"/>
  <c r="L275" i="57"/>
  <c r="L274" i="57"/>
  <c r="L267" i="57"/>
  <c r="L266" i="57"/>
  <c r="L265" i="57"/>
  <c r="Q263" i="57"/>
  <c r="Q264" i="57" s="1"/>
  <c r="L263" i="57"/>
  <c r="Q262" i="57"/>
  <c r="L262" i="57"/>
  <c r="Q261" i="57"/>
  <c r="L261" i="57"/>
  <c r="Q260" i="57"/>
  <c r="L260" i="57"/>
  <c r="Q259" i="57"/>
  <c r="L259" i="57"/>
  <c r="Q258" i="57"/>
  <c r="L258" i="57"/>
  <c r="L257" i="57"/>
  <c r="L256" i="57"/>
  <c r="L255" i="57"/>
  <c r="L254" i="57"/>
  <c r="L253" i="57"/>
  <c r="Z252" i="57"/>
  <c r="L252" i="57"/>
  <c r="L251" i="57"/>
  <c r="L250" i="57"/>
  <c r="L249" i="57"/>
  <c r="L248" i="57"/>
  <c r="Q247" i="57"/>
  <c r="Q248" i="57" s="1"/>
  <c r="L247" i="57"/>
  <c r="R245" i="57"/>
  <c r="Q245" i="57"/>
  <c r="Z239" i="57"/>
  <c r="S239" i="57"/>
  <c r="L239" i="57"/>
  <c r="S238" i="57"/>
  <c r="L238" i="57"/>
  <c r="S237" i="57"/>
  <c r="L237" i="57"/>
  <c r="S236" i="57"/>
  <c r="L236" i="57"/>
  <c r="S235" i="57"/>
  <c r="L235" i="57"/>
  <c r="S234" i="57"/>
  <c r="L234" i="57"/>
  <c r="S233" i="57"/>
  <c r="S232" i="57"/>
  <c r="L232" i="57"/>
  <c r="S231" i="57"/>
  <c r="L231" i="57"/>
  <c r="Z230" i="57"/>
  <c r="S230" i="57"/>
  <c r="L230" i="57"/>
  <c r="Y226" i="57"/>
  <c r="W226" i="57"/>
  <c r="Z223" i="57"/>
  <c r="S223" i="57"/>
  <c r="L223" i="57"/>
  <c r="Z222" i="57"/>
  <c r="S222" i="57"/>
  <c r="L222" i="57"/>
  <c r="Z221" i="57"/>
  <c r="S221" i="57"/>
  <c r="L221" i="57"/>
  <c r="Z220" i="57"/>
  <c r="S220" i="57"/>
  <c r="L220" i="57"/>
  <c r="S219" i="57"/>
  <c r="S218" i="57"/>
  <c r="L218" i="57"/>
  <c r="S217" i="57"/>
  <c r="L217" i="57"/>
  <c r="S216" i="57"/>
  <c r="S215" i="57"/>
  <c r="L215" i="57"/>
  <c r="S214" i="57"/>
  <c r="L214" i="57"/>
  <c r="S213" i="57"/>
  <c r="L213" i="57"/>
  <c r="S212" i="57"/>
  <c r="L212" i="57"/>
  <c r="S211" i="57"/>
  <c r="L211" i="57"/>
  <c r="S210" i="57"/>
  <c r="L210" i="57"/>
  <c r="S209" i="57"/>
  <c r="L209" i="57"/>
  <c r="S208" i="57"/>
  <c r="L208" i="57"/>
  <c r="S207" i="57"/>
  <c r="L207" i="57"/>
  <c r="Z206" i="57"/>
  <c r="S206" i="57"/>
  <c r="S205" i="57"/>
  <c r="L205" i="57"/>
  <c r="S204" i="57"/>
  <c r="V200" i="57"/>
  <c r="P200" i="57" s="1"/>
  <c r="Q200" i="57"/>
  <c r="M200" i="57" s="1"/>
  <c r="O200" i="57"/>
  <c r="O274" i="57" s="1"/>
  <c r="N200" i="57"/>
  <c r="N269" i="57" s="1"/>
  <c r="V199" i="57"/>
  <c r="X223" i="57" s="1"/>
  <c r="Y198" i="57"/>
  <c r="Z194" i="57"/>
  <c r="L87" i="70"/>
  <c r="L86" i="69"/>
  <c r="V271" i="57"/>
  <c r="BB271" i="57"/>
  <c r="BB273" i="57"/>
  <c r="BB270" i="57"/>
  <c r="BB269" i="57"/>
  <c r="AL268" i="57"/>
  <c r="L89" i="70"/>
  <c r="AB87" i="69"/>
  <c r="L85" i="70"/>
  <c r="BB272" i="57"/>
  <c r="AL270" i="57"/>
  <c r="AB86" i="69"/>
  <c r="AL271" i="57"/>
  <c r="V273" i="57"/>
  <c r="V272" i="57"/>
  <c r="AB84" i="69"/>
  <c r="L84" i="69"/>
  <c r="L88" i="70"/>
  <c r="L86" i="70"/>
  <c r="AL272" i="57"/>
  <c r="L87" i="69"/>
  <c r="V269" i="57"/>
  <c r="BB268" i="57"/>
  <c r="L85" i="69"/>
  <c r="L89" i="69"/>
  <c r="L84" i="70"/>
  <c r="AL269" i="57"/>
  <c r="AB85" i="69"/>
  <c r="V270" i="57"/>
  <c r="L88" i="69"/>
  <c r="V268" i="57"/>
  <c r="AL273" i="57"/>
  <c r="AB89" i="69"/>
  <c r="AB88" i="69"/>
  <c r="N28" i="69" l="1"/>
  <c r="N38" i="69"/>
  <c r="O24" i="69"/>
  <c r="P24" i="69" s="1"/>
  <c r="AM269" i="77"/>
  <c r="AK269" i="77" a="1"/>
  <c r="AK269" i="77" s="1"/>
  <c r="BG269" i="77" s="1"/>
  <c r="BW269" i="77"/>
  <c r="AG269" i="77"/>
  <c r="AH269" i="77"/>
  <c r="AI269" i="77"/>
  <c r="AQ270" i="77"/>
  <c r="AX270" i="77"/>
  <c r="BD270" i="77" s="1"/>
  <c r="AE270" i="77"/>
  <c r="C50" i="71"/>
  <c r="C43" i="71"/>
  <c r="C32" i="71"/>
  <c r="C22" i="71"/>
  <c r="C13" i="71"/>
  <c r="C33" i="71"/>
  <c r="C24" i="71"/>
  <c r="C46" i="71"/>
  <c r="C29" i="71"/>
  <c r="C38" i="71"/>
  <c r="C39" i="71"/>
  <c r="C20" i="71"/>
  <c r="C14" i="71"/>
  <c r="C42" i="71"/>
  <c r="C19" i="71"/>
  <c r="C23" i="71"/>
  <c r="C15" i="71"/>
  <c r="C27" i="71"/>
  <c r="C12" i="71"/>
  <c r="C51" i="71"/>
  <c r="C36" i="71"/>
  <c r="C17" i="71"/>
  <c r="C49" i="71"/>
  <c r="C35" i="71"/>
  <c r="C31" i="71"/>
  <c r="C10" i="71"/>
  <c r="C45" i="71"/>
  <c r="C44" i="71"/>
  <c r="C25" i="71"/>
  <c r="C40" i="71"/>
  <c r="C11" i="71"/>
  <c r="C52" i="71"/>
  <c r="C48" i="71"/>
  <c r="C34" i="71"/>
  <c r="C30" i="71"/>
  <c r="C21" i="71"/>
  <c r="C41" i="71"/>
  <c r="C37" i="71"/>
  <c r="C28" i="71"/>
  <c r="C18" i="71"/>
  <c r="C47" i="71"/>
  <c r="C26" i="71"/>
  <c r="F27" i="71"/>
  <c r="F41" i="71"/>
  <c r="F50" i="71"/>
  <c r="F49" i="71"/>
  <c r="F35" i="71"/>
  <c r="F31" i="71"/>
  <c r="F10" i="71"/>
  <c r="F43" i="71"/>
  <c r="F25" i="71"/>
  <c r="F30" i="71"/>
  <c r="F21" i="71"/>
  <c r="F18" i="71"/>
  <c r="F36" i="71"/>
  <c r="F22" i="71"/>
  <c r="F45" i="71"/>
  <c r="F42" i="71"/>
  <c r="F38" i="71"/>
  <c r="F19" i="71"/>
  <c r="F28" i="71"/>
  <c r="F17" i="71"/>
  <c r="F39" i="71"/>
  <c r="F23" i="71"/>
  <c r="F13" i="71"/>
  <c r="F52" i="71"/>
  <c r="F48" i="71"/>
  <c r="F34" i="71"/>
  <c r="F37" i="71"/>
  <c r="F40" i="71"/>
  <c r="F32" i="71"/>
  <c r="F29" i="71"/>
  <c r="F20" i="71"/>
  <c r="F14" i="71"/>
  <c r="F44" i="71"/>
  <c r="F12" i="71"/>
  <c r="F51" i="71"/>
  <c r="F47" i="71"/>
  <c r="F33" i="71"/>
  <c r="F26" i="71"/>
  <c r="F15" i="71"/>
  <c r="F24" i="71"/>
  <c r="F11" i="71"/>
  <c r="F46" i="71"/>
  <c r="E18" i="71"/>
  <c r="D21" i="71"/>
  <c r="P24" i="71"/>
  <c r="E28" i="71"/>
  <c r="D30" i="71"/>
  <c r="E37" i="71"/>
  <c r="E41" i="71"/>
  <c r="N28" i="71"/>
  <c r="D38" i="71"/>
  <c r="D42" i="71"/>
  <c r="D45" i="71"/>
  <c r="E19" i="71"/>
  <c r="N21" i="71"/>
  <c r="D25" i="71"/>
  <c r="P28" i="71"/>
  <c r="E38" i="71"/>
  <c r="E42" i="71"/>
  <c r="E45" i="71"/>
  <c r="P26" i="71"/>
  <c r="K13" i="71"/>
  <c r="P21" i="71"/>
  <c r="E25" i="71"/>
  <c r="D31" i="71"/>
  <c r="D35" i="71"/>
  <c r="D49" i="71"/>
  <c r="N23" i="71"/>
  <c r="D27" i="71"/>
  <c r="E31" i="71"/>
  <c r="E35" i="71"/>
  <c r="E49" i="71"/>
  <c r="D14" i="71"/>
  <c r="D20" i="71"/>
  <c r="P23" i="71"/>
  <c r="E27" i="71"/>
  <c r="D39" i="71"/>
  <c r="D29" i="71"/>
  <c r="B89" i="70"/>
  <c r="B84" i="70"/>
  <c r="B85" i="70"/>
  <c r="B87" i="70"/>
  <c r="C83" i="70"/>
  <c r="C67" i="70"/>
  <c r="C58" i="70"/>
  <c r="C48" i="70"/>
  <c r="C32" i="70"/>
  <c r="C23" i="70"/>
  <c r="C19" i="70"/>
  <c r="C90" i="70"/>
  <c r="C80" i="70"/>
  <c r="C72" i="70"/>
  <c r="C55" i="70"/>
  <c r="C43" i="70"/>
  <c r="C40" i="70"/>
  <c r="C30" i="70"/>
  <c r="C13" i="70"/>
  <c r="C93" i="70"/>
  <c r="C64" i="70"/>
  <c r="C46" i="70"/>
  <c r="C38" i="70"/>
  <c r="C37" i="70"/>
  <c r="C86" i="70"/>
  <c r="C39" i="70"/>
  <c r="C12" i="70"/>
  <c r="C61" i="70"/>
  <c r="C52" i="70"/>
  <c r="C50" i="70"/>
  <c r="C42" i="70"/>
  <c r="C60" i="70"/>
  <c r="C95" i="70"/>
  <c r="C54" i="70"/>
  <c r="C45" i="70"/>
  <c r="C34" i="70"/>
  <c r="C18" i="70"/>
  <c r="C91" i="70"/>
  <c r="C76" i="70"/>
  <c r="C56" i="70"/>
  <c r="C27" i="70"/>
  <c r="C25" i="70"/>
  <c r="C21" i="70"/>
  <c r="C99" i="70"/>
  <c r="C88" i="70"/>
  <c r="C82" i="70"/>
  <c r="C79" i="70"/>
  <c r="C73" i="70"/>
  <c r="C70" i="70"/>
  <c r="C31" i="70"/>
  <c r="C29" i="70"/>
  <c r="C15" i="70"/>
  <c r="C11" i="70"/>
  <c r="C85" i="70"/>
  <c r="C41" i="70"/>
  <c r="C78" i="70"/>
  <c r="C74" i="70"/>
  <c r="C17" i="70"/>
  <c r="C87" i="70"/>
  <c r="C65" i="70"/>
  <c r="C51" i="70"/>
  <c r="C33" i="70"/>
  <c r="C22" i="70"/>
  <c r="C98" i="70"/>
  <c r="C92" i="70"/>
  <c r="C24" i="70"/>
  <c r="C96" i="70"/>
  <c r="C63" i="70"/>
  <c r="C57" i="70"/>
  <c r="C35" i="70"/>
  <c r="C89" i="70"/>
  <c r="C49" i="70"/>
  <c r="C84" i="70"/>
  <c r="C20" i="70"/>
  <c r="C14" i="70"/>
  <c r="C69" i="70"/>
  <c r="C77" i="70"/>
  <c r="C59" i="70"/>
  <c r="C36" i="70"/>
  <c r="C81" i="70"/>
  <c r="C26" i="70"/>
  <c r="C97" i="70"/>
  <c r="C68" i="70"/>
  <c r="C53" i="70"/>
  <c r="C47" i="70"/>
  <c r="C10" i="70"/>
  <c r="C28" i="70"/>
  <c r="C94" i="70"/>
  <c r="C75" i="70"/>
  <c r="C71" i="70"/>
  <c r="C66" i="70"/>
  <c r="C62" i="70"/>
  <c r="C44" i="70"/>
  <c r="F96" i="70"/>
  <c r="F77" i="70"/>
  <c r="F69" i="70"/>
  <c r="F53" i="70"/>
  <c r="F34" i="70"/>
  <c r="F28" i="70"/>
  <c r="F21" i="70"/>
  <c r="F85" i="70"/>
  <c r="F61" i="70"/>
  <c r="F57" i="70"/>
  <c r="F36" i="70"/>
  <c r="F18" i="70"/>
  <c r="F82" i="70"/>
  <c r="F74" i="70"/>
  <c r="F51" i="70"/>
  <c r="F26" i="70"/>
  <c r="F95" i="70"/>
  <c r="F54" i="70"/>
  <c r="F45" i="70"/>
  <c r="F91" i="70"/>
  <c r="F76" i="70"/>
  <c r="F56" i="70"/>
  <c r="F27" i="70"/>
  <c r="F25" i="70"/>
  <c r="F99" i="70"/>
  <c r="F88" i="70"/>
  <c r="F79" i="70"/>
  <c r="F73" i="70"/>
  <c r="F70" i="70"/>
  <c r="F67" i="70"/>
  <c r="F64" i="70"/>
  <c r="F31" i="70"/>
  <c r="F29" i="70"/>
  <c r="F23" i="70"/>
  <c r="F15" i="70"/>
  <c r="F11" i="70"/>
  <c r="F98" i="70"/>
  <c r="F66" i="70"/>
  <c r="F33" i="70"/>
  <c r="F87" i="70"/>
  <c r="F60" i="70"/>
  <c r="F41" i="70"/>
  <c r="F44" i="70"/>
  <c r="F17" i="70"/>
  <c r="F94" i="70"/>
  <c r="F63" i="70"/>
  <c r="F49" i="70"/>
  <c r="F47" i="70"/>
  <c r="F90" i="70"/>
  <c r="F59" i="70"/>
  <c r="F48" i="70"/>
  <c r="F43" i="70"/>
  <c r="F12" i="70"/>
  <c r="F81" i="70"/>
  <c r="F50" i="70"/>
  <c r="F80" i="70"/>
  <c r="F75" i="70"/>
  <c r="F71" i="70"/>
  <c r="F62" i="70"/>
  <c r="F84" i="70"/>
  <c r="F93" i="70"/>
  <c r="F78" i="70"/>
  <c r="F92" i="70"/>
  <c r="F83" i="70"/>
  <c r="F24" i="70"/>
  <c r="F97" i="70"/>
  <c r="F68" i="70"/>
  <c r="F72" i="70"/>
  <c r="F58" i="70"/>
  <c r="F10" i="70"/>
  <c r="F86" i="70"/>
  <c r="F38" i="70"/>
  <c r="F32" i="70"/>
  <c r="F42" i="70"/>
  <c r="F35" i="70"/>
  <c r="F89" i="70"/>
  <c r="F40" i="70"/>
  <c r="F20" i="70"/>
  <c r="F14" i="70"/>
  <c r="F37" i="70"/>
  <c r="F55" i="70"/>
  <c r="F52" i="70"/>
  <c r="F46" i="70"/>
  <c r="F65" i="70"/>
  <c r="F39" i="70"/>
  <c r="F30" i="70"/>
  <c r="F22" i="70"/>
  <c r="F19" i="70"/>
  <c r="F13" i="70"/>
  <c r="O31" i="70"/>
  <c r="P31" i="70" s="1"/>
  <c r="O34" i="70"/>
  <c r="P20" i="70"/>
  <c r="D90" i="70"/>
  <c r="D80" i="70"/>
  <c r="D72" i="70"/>
  <c r="D55" i="70"/>
  <c r="D43" i="70"/>
  <c r="D40" i="70"/>
  <c r="D30" i="70"/>
  <c r="D13" i="70"/>
  <c r="D93" i="70"/>
  <c r="D64" i="70"/>
  <c r="D46" i="70"/>
  <c r="D38" i="70"/>
  <c r="D96" i="70"/>
  <c r="D77" i="70"/>
  <c r="D69" i="70"/>
  <c r="D53" i="70"/>
  <c r="D34" i="70"/>
  <c r="D28" i="70"/>
  <c r="D21" i="70"/>
  <c r="D86" i="70"/>
  <c r="D48" i="70"/>
  <c r="D39" i="70"/>
  <c r="D19" i="70"/>
  <c r="D12" i="70"/>
  <c r="D83" i="70"/>
  <c r="D61" i="70"/>
  <c r="D52" i="70"/>
  <c r="D50" i="70"/>
  <c r="D42" i="70"/>
  <c r="D95" i="70"/>
  <c r="D54" i="70"/>
  <c r="D45" i="70"/>
  <c r="D18" i="70"/>
  <c r="D44" i="70"/>
  <c r="D36" i="70"/>
  <c r="D91" i="70"/>
  <c r="D76" i="70"/>
  <c r="D56" i="70"/>
  <c r="D27" i="70"/>
  <c r="D25" i="70"/>
  <c r="D99" i="70"/>
  <c r="D88" i="70"/>
  <c r="D82" i="70"/>
  <c r="D79" i="70"/>
  <c r="D73" i="70"/>
  <c r="D70" i="70"/>
  <c r="D67" i="70"/>
  <c r="D31" i="70"/>
  <c r="D29" i="70"/>
  <c r="D23" i="70"/>
  <c r="D15" i="70"/>
  <c r="D11" i="70"/>
  <c r="D85" i="70"/>
  <c r="D60" i="70"/>
  <c r="D41" i="70"/>
  <c r="D17" i="70"/>
  <c r="M35" i="70"/>
  <c r="B35" i="70" s="1"/>
  <c r="D47" i="70"/>
  <c r="D68" i="70"/>
  <c r="D97" i="70"/>
  <c r="E93" i="70"/>
  <c r="E64" i="70"/>
  <c r="E46" i="70"/>
  <c r="E38" i="70"/>
  <c r="E96" i="70"/>
  <c r="E77" i="70"/>
  <c r="E69" i="70"/>
  <c r="E53" i="70"/>
  <c r="E34" i="70"/>
  <c r="E28" i="70"/>
  <c r="E21" i="70"/>
  <c r="E85" i="70"/>
  <c r="E61" i="70"/>
  <c r="E57" i="70"/>
  <c r="E36" i="70"/>
  <c r="E83" i="70"/>
  <c r="E52" i="70"/>
  <c r="E50" i="70"/>
  <c r="E42" i="70"/>
  <c r="E95" i="70"/>
  <c r="E54" i="70"/>
  <c r="E45" i="70"/>
  <c r="E18" i="70"/>
  <c r="E91" i="70"/>
  <c r="E76" i="70"/>
  <c r="E56" i="70"/>
  <c r="E27" i="70"/>
  <c r="E25" i="70"/>
  <c r="E98" i="70"/>
  <c r="E90" i="70"/>
  <c r="E99" i="70"/>
  <c r="E88" i="70"/>
  <c r="E82" i="70"/>
  <c r="E79" i="70"/>
  <c r="E73" i="70"/>
  <c r="E70" i="70"/>
  <c r="E67" i="70"/>
  <c r="E31" i="70"/>
  <c r="E29" i="70"/>
  <c r="E23" i="70"/>
  <c r="E15" i="70"/>
  <c r="E11" i="70"/>
  <c r="E60" i="70"/>
  <c r="E41" i="70"/>
  <c r="E44" i="70"/>
  <c r="E17" i="70"/>
  <c r="E94" i="70"/>
  <c r="E63" i="70"/>
  <c r="E49" i="70"/>
  <c r="E47" i="70"/>
  <c r="D26" i="70"/>
  <c r="E68" i="70"/>
  <c r="D81" i="70"/>
  <c r="B86" i="70"/>
  <c r="E97" i="70"/>
  <c r="E26" i="70"/>
  <c r="M32" i="70"/>
  <c r="B32" i="70" s="1"/>
  <c r="E81" i="70"/>
  <c r="O40" i="70"/>
  <c r="D92" i="70"/>
  <c r="D98" i="70"/>
  <c r="E13" i="70"/>
  <c r="D22" i="70"/>
  <c r="E24" i="70"/>
  <c r="D33" i="70"/>
  <c r="D51" i="70"/>
  <c r="D65" i="70"/>
  <c r="D87" i="70"/>
  <c r="E92" i="70"/>
  <c r="G66" i="70"/>
  <c r="G68" i="70" s="1"/>
  <c r="G67" i="70"/>
  <c r="B88" i="70"/>
  <c r="R86" i="69"/>
  <c r="R89" i="69"/>
  <c r="R87" i="69"/>
  <c r="R85" i="69"/>
  <c r="R84" i="69"/>
  <c r="S52" i="69"/>
  <c r="U55" i="69"/>
  <c r="V65" i="69"/>
  <c r="T70" i="69"/>
  <c r="U78" i="69"/>
  <c r="U83" i="69"/>
  <c r="U91" i="69"/>
  <c r="V83" i="69"/>
  <c r="S98" i="69"/>
  <c r="T11" i="69"/>
  <c r="U41" i="69"/>
  <c r="S62" i="69"/>
  <c r="V70" i="69"/>
  <c r="T75" i="69"/>
  <c r="T98" i="69"/>
  <c r="U13" i="69"/>
  <c r="S17" i="69"/>
  <c r="T27" i="69"/>
  <c r="V41" i="69"/>
  <c r="V52" i="69"/>
  <c r="U75" i="69"/>
  <c r="S84" i="69"/>
  <c r="U88" i="69"/>
  <c r="S97" i="69"/>
  <c r="S88" i="69"/>
  <c r="S75" i="69"/>
  <c r="S58" i="69"/>
  <c r="S48" i="69"/>
  <c r="S32" i="69"/>
  <c r="S23" i="69"/>
  <c r="S19" i="69"/>
  <c r="S93" i="69"/>
  <c r="S53" i="69"/>
  <c r="S61" i="69"/>
  <c r="S49" i="69"/>
  <c r="S45" i="69"/>
  <c r="S83" i="69"/>
  <c r="S67" i="69"/>
  <c r="S55" i="69"/>
  <c r="S43" i="69"/>
  <c r="S40" i="69"/>
  <c r="S30" i="69"/>
  <c r="S13" i="69"/>
  <c r="S64" i="69"/>
  <c r="S28" i="69"/>
  <c r="S21" i="69"/>
  <c r="S77" i="69"/>
  <c r="S69" i="69"/>
  <c r="S18" i="69"/>
  <c r="S85" i="69"/>
  <c r="S51" i="69"/>
  <c r="S74" i="69"/>
  <c r="S87" i="69"/>
  <c r="S66" i="69"/>
  <c r="S90" i="69"/>
  <c r="S80" i="69"/>
  <c r="S72" i="69"/>
  <c r="S46" i="69"/>
  <c r="S38" i="69"/>
  <c r="S34" i="69"/>
  <c r="S96" i="69"/>
  <c r="S57" i="69"/>
  <c r="S36" i="69"/>
  <c r="S12" i="69"/>
  <c r="S82" i="69"/>
  <c r="S24" i="69"/>
  <c r="S15" i="69"/>
  <c r="S99" i="69"/>
  <c r="S26" i="69"/>
  <c r="T83" i="69"/>
  <c r="T67" i="69"/>
  <c r="T55" i="69"/>
  <c r="T43" i="69"/>
  <c r="T40" i="69"/>
  <c r="T30" i="69"/>
  <c r="T13" i="69"/>
  <c r="T77" i="69"/>
  <c r="T79" i="69"/>
  <c r="T71" i="69"/>
  <c r="T31" i="69"/>
  <c r="T90" i="69"/>
  <c r="T80" i="69"/>
  <c r="T72" i="69"/>
  <c r="T46" i="69"/>
  <c r="T38" i="69"/>
  <c r="T96" i="69"/>
  <c r="T69" i="69"/>
  <c r="T61" i="69"/>
  <c r="T57" i="69"/>
  <c r="T26" i="69"/>
  <c r="T12" i="69"/>
  <c r="T82" i="69"/>
  <c r="T87" i="69"/>
  <c r="T99" i="69"/>
  <c r="T60" i="69"/>
  <c r="T93" i="69"/>
  <c r="T64" i="69"/>
  <c r="T53" i="69"/>
  <c r="T34" i="69"/>
  <c r="T28" i="69"/>
  <c r="T21" i="69"/>
  <c r="T36" i="69"/>
  <c r="T18" i="69"/>
  <c r="T85" i="69"/>
  <c r="T51" i="69"/>
  <c r="T74" i="69"/>
  <c r="T66" i="69"/>
  <c r="T49" i="69"/>
  <c r="T45" i="69"/>
  <c r="T24" i="69"/>
  <c r="T15" i="69"/>
  <c r="T92" i="69"/>
  <c r="T42" i="69"/>
  <c r="T17" i="69"/>
  <c r="T35" i="69"/>
  <c r="S78" i="69"/>
  <c r="S91" i="69"/>
  <c r="U90" i="69"/>
  <c r="U80" i="69"/>
  <c r="U72" i="69"/>
  <c r="U46" i="69"/>
  <c r="U38" i="69"/>
  <c r="U85" i="69"/>
  <c r="U51" i="69"/>
  <c r="U26" i="69"/>
  <c r="U74" i="69"/>
  <c r="U45" i="69"/>
  <c r="U92" i="69"/>
  <c r="U95" i="69"/>
  <c r="U47" i="69"/>
  <c r="U39" i="69"/>
  <c r="U33" i="69"/>
  <c r="U93" i="69"/>
  <c r="U64" i="69"/>
  <c r="U53" i="69"/>
  <c r="U34" i="69"/>
  <c r="U28" i="69"/>
  <c r="U21" i="69"/>
  <c r="U87" i="69"/>
  <c r="U49" i="69"/>
  <c r="U99" i="69"/>
  <c r="U63" i="69"/>
  <c r="U56" i="69"/>
  <c r="U96" i="69"/>
  <c r="U77" i="69"/>
  <c r="U69" i="69"/>
  <c r="U61" i="69"/>
  <c r="U57" i="69"/>
  <c r="U36" i="69"/>
  <c r="U18" i="69"/>
  <c r="U12" i="69"/>
  <c r="U82" i="69"/>
  <c r="U66" i="69"/>
  <c r="U24" i="69"/>
  <c r="U15" i="69"/>
  <c r="U79" i="69"/>
  <c r="U71" i="69"/>
  <c r="U60" i="69"/>
  <c r="U42" i="69"/>
  <c r="U31" i="69"/>
  <c r="U17" i="69"/>
  <c r="U11" i="69"/>
  <c r="U89" i="69"/>
  <c r="U65" i="69"/>
  <c r="S70" i="69"/>
  <c r="T78" i="69"/>
  <c r="U97" i="69"/>
  <c r="V97" i="69"/>
  <c r="S11" i="69"/>
  <c r="T41" i="69"/>
  <c r="U52" i="69"/>
  <c r="T88" i="69"/>
  <c r="V13" i="69"/>
  <c r="T19" i="69"/>
  <c r="S22" i="69"/>
  <c r="U27" i="69"/>
  <c r="S42" i="69"/>
  <c r="S50" i="69"/>
  <c r="U62" i="69"/>
  <c r="U67" i="69"/>
  <c r="V75" i="69"/>
  <c r="S79" i="69"/>
  <c r="T84" i="69"/>
  <c r="V88" i="69"/>
  <c r="S31" i="69"/>
  <c r="S35" i="69"/>
  <c r="S65" i="69"/>
  <c r="T65" i="69"/>
  <c r="T97" i="69"/>
  <c r="S29" i="69"/>
  <c r="T32" i="69"/>
  <c r="U35" i="69"/>
  <c r="S60" i="69"/>
  <c r="T91" i="69"/>
  <c r="V93" i="69"/>
  <c r="V64" i="69"/>
  <c r="V53" i="69"/>
  <c r="V34" i="69"/>
  <c r="V28" i="69"/>
  <c r="V21" i="69"/>
  <c r="V82" i="69"/>
  <c r="V74" i="69"/>
  <c r="V66" i="69"/>
  <c r="V45" i="69"/>
  <c r="V92" i="69"/>
  <c r="V31" i="69"/>
  <c r="V29" i="69"/>
  <c r="V96" i="69"/>
  <c r="V77" i="69"/>
  <c r="V69" i="69"/>
  <c r="V61" i="69"/>
  <c r="V57" i="69"/>
  <c r="V36" i="69"/>
  <c r="V18" i="69"/>
  <c r="V24" i="69"/>
  <c r="V15" i="69"/>
  <c r="V99" i="69"/>
  <c r="V79" i="69"/>
  <c r="V42" i="69"/>
  <c r="V47" i="69"/>
  <c r="V76" i="69"/>
  <c r="V54" i="69"/>
  <c r="V85" i="69"/>
  <c r="V51" i="69"/>
  <c r="V26" i="69"/>
  <c r="V12" i="69"/>
  <c r="V87" i="69"/>
  <c r="V49" i="69"/>
  <c r="V71" i="69"/>
  <c r="V60" i="69"/>
  <c r="V17" i="69"/>
  <c r="V95" i="69"/>
  <c r="V63" i="69"/>
  <c r="V56" i="69"/>
  <c r="V39" i="69"/>
  <c r="V33" i="69"/>
  <c r="V11" i="69"/>
  <c r="V22" i="69"/>
  <c r="V89" i="69"/>
  <c r="T29" i="69"/>
  <c r="U32" i="69"/>
  <c r="V35" i="69"/>
  <c r="S41" i="69"/>
  <c r="V46" i="69"/>
  <c r="U29" i="69"/>
  <c r="V32" i="69"/>
  <c r="V38" i="69"/>
  <c r="T52" i="69"/>
  <c r="V55" i="69"/>
  <c r="W65" i="69"/>
  <c r="U70" i="69"/>
  <c r="V78" i="69"/>
  <c r="V91" i="69"/>
  <c r="AF21" i="69"/>
  <c r="S27" i="69"/>
  <c r="U19" i="69"/>
  <c r="T22" i="69"/>
  <c r="V27" i="69"/>
  <c r="S33" i="69"/>
  <c r="T50" i="69"/>
  <c r="V62" i="69"/>
  <c r="V67" i="69"/>
  <c r="S71" i="69"/>
  <c r="U84" i="69"/>
  <c r="R88" i="69"/>
  <c r="W66" i="69"/>
  <c r="AD24" i="69"/>
  <c r="AE24" i="69"/>
  <c r="B88" i="69"/>
  <c r="B86" i="69"/>
  <c r="B84" i="69"/>
  <c r="B89" i="69"/>
  <c r="B87" i="69"/>
  <c r="B85" i="69"/>
  <c r="C97" i="69"/>
  <c r="C88" i="69"/>
  <c r="C75" i="69"/>
  <c r="C90" i="69"/>
  <c r="C80" i="69"/>
  <c r="C72" i="69"/>
  <c r="C46" i="69"/>
  <c r="C38" i="69"/>
  <c r="C64" i="69"/>
  <c r="C53" i="69"/>
  <c r="C34" i="69"/>
  <c r="C28" i="69"/>
  <c r="C21" i="69"/>
  <c r="C93" i="69"/>
  <c r="C96" i="69"/>
  <c r="C77" i="69"/>
  <c r="C69" i="69"/>
  <c r="C61" i="69"/>
  <c r="C57" i="69"/>
  <c r="C36" i="69"/>
  <c r="C18" i="69"/>
  <c r="C85" i="69"/>
  <c r="C51" i="69"/>
  <c r="C26" i="69"/>
  <c r="C12" i="69"/>
  <c r="C87" i="69"/>
  <c r="C66" i="69"/>
  <c r="C49" i="69"/>
  <c r="C45" i="69"/>
  <c r="C24" i="69"/>
  <c r="C15" i="69"/>
  <c r="C99" i="69"/>
  <c r="C92" i="69"/>
  <c r="C79" i="69"/>
  <c r="C71" i="69"/>
  <c r="C60" i="69"/>
  <c r="C42" i="69"/>
  <c r="C31" i="69"/>
  <c r="C17" i="69"/>
  <c r="C95" i="69"/>
  <c r="C89" i="69"/>
  <c r="C63" i="69"/>
  <c r="C56" i="69"/>
  <c r="C47" i="69"/>
  <c r="C39" i="69"/>
  <c r="C33" i="69"/>
  <c r="C94" i="69"/>
  <c r="C76" i="69"/>
  <c r="C35" i="69"/>
  <c r="C32" i="69"/>
  <c r="C29" i="69"/>
  <c r="C14" i="69"/>
  <c r="C58" i="69"/>
  <c r="C67" i="69"/>
  <c r="C98" i="69"/>
  <c r="C86" i="69"/>
  <c r="C68" i="69"/>
  <c r="C59" i="69"/>
  <c r="C44" i="69"/>
  <c r="C84" i="69"/>
  <c r="C48" i="69"/>
  <c r="C40" i="69"/>
  <c r="C37" i="69"/>
  <c r="C13" i="69"/>
  <c r="C22" i="69"/>
  <c r="C54" i="69"/>
  <c r="C41" i="69"/>
  <c r="C62" i="69"/>
  <c r="C50" i="69"/>
  <c r="C11" i="69"/>
  <c r="C83" i="69"/>
  <c r="C74" i="69"/>
  <c r="C70" i="69"/>
  <c r="C23" i="69"/>
  <c r="C91" i="69"/>
  <c r="C43" i="69"/>
  <c r="C82" i="69"/>
  <c r="C78" i="69"/>
  <c r="C25" i="69"/>
  <c r="C65" i="69"/>
  <c r="C20" i="69"/>
  <c r="C73" i="69"/>
  <c r="C55" i="69"/>
  <c r="C52" i="69"/>
  <c r="C30" i="69"/>
  <c r="C10" i="69"/>
  <c r="C81" i="69"/>
  <c r="C27" i="69"/>
  <c r="C19" i="69"/>
  <c r="D10" i="69"/>
  <c r="D15" i="69"/>
  <c r="D30" i="69"/>
  <c r="D52" i="69"/>
  <c r="D55" i="69"/>
  <c r="D73" i="69"/>
  <c r="E10" i="69"/>
  <c r="D20" i="69"/>
  <c r="E30" i="69"/>
  <c r="E52" i="69"/>
  <c r="E55" i="69"/>
  <c r="D65" i="69"/>
  <c r="E73" i="69"/>
  <c r="F10" i="69"/>
  <c r="N24" i="69"/>
  <c r="O39" i="69"/>
  <c r="O22" i="69"/>
  <c r="N39" i="69"/>
  <c r="O29" i="69"/>
  <c r="P29" i="69" s="1"/>
  <c r="N22" i="69"/>
  <c r="O37" i="69"/>
  <c r="N29" i="69"/>
  <c r="N27" i="69"/>
  <c r="N20" i="69"/>
  <c r="O25" i="69"/>
  <c r="P25" i="69" s="1"/>
  <c r="E20" i="69"/>
  <c r="D25" i="69"/>
  <c r="O27" i="69"/>
  <c r="P27" i="69" s="1"/>
  <c r="F30" i="69"/>
  <c r="F33" i="69"/>
  <c r="N36" i="69"/>
  <c r="F55" i="69"/>
  <c r="E65" i="69"/>
  <c r="D78" i="69"/>
  <c r="F96" i="69"/>
  <c r="F20" i="69"/>
  <c r="E25" i="69"/>
  <c r="O36" i="69"/>
  <c r="D43" i="69"/>
  <c r="F65" i="69"/>
  <c r="E78" i="69"/>
  <c r="D87" i="69"/>
  <c r="D91" i="69"/>
  <c r="D97" i="69"/>
  <c r="D23" i="69"/>
  <c r="F25" i="69"/>
  <c r="E28" i="69"/>
  <c r="N30" i="69"/>
  <c r="F39" i="69"/>
  <c r="E43" i="69"/>
  <c r="F47" i="69"/>
  <c r="E83" i="69"/>
  <c r="E91" i="69"/>
  <c r="G65" i="69"/>
  <c r="D83" i="69"/>
  <c r="D93" i="69"/>
  <c r="D64" i="69"/>
  <c r="D53" i="69"/>
  <c r="D34" i="69"/>
  <c r="D28" i="69"/>
  <c r="D21" i="69"/>
  <c r="D61" i="69"/>
  <c r="D57" i="69"/>
  <c r="D36" i="69"/>
  <c r="D18" i="69"/>
  <c r="D96" i="69"/>
  <c r="D77" i="69"/>
  <c r="D69" i="69"/>
  <c r="D85" i="69"/>
  <c r="D51" i="69"/>
  <c r="D26" i="69"/>
  <c r="D12" i="69"/>
  <c r="D82" i="69"/>
  <c r="D74" i="69"/>
  <c r="D99" i="69"/>
  <c r="D92" i="69"/>
  <c r="D79" i="69"/>
  <c r="D71" i="69"/>
  <c r="D60" i="69"/>
  <c r="D42" i="69"/>
  <c r="D31" i="69"/>
  <c r="D17" i="69"/>
  <c r="D95" i="69"/>
  <c r="D89" i="69"/>
  <c r="D63" i="69"/>
  <c r="D56" i="69"/>
  <c r="D47" i="69"/>
  <c r="D39" i="69"/>
  <c r="D33" i="69"/>
  <c r="D11" i="69"/>
  <c r="D76" i="69"/>
  <c r="D54" i="69"/>
  <c r="D50" i="69"/>
  <c r="D66" i="69"/>
  <c r="E90" i="69"/>
  <c r="E80" i="69"/>
  <c r="E72" i="69"/>
  <c r="E96" i="69"/>
  <c r="E77" i="69"/>
  <c r="E69" i="69"/>
  <c r="E61" i="69"/>
  <c r="E57" i="69"/>
  <c r="E36" i="69"/>
  <c r="E18" i="69"/>
  <c r="E51" i="69"/>
  <c r="E26" i="69"/>
  <c r="E12" i="69"/>
  <c r="E85" i="69"/>
  <c r="E82" i="69"/>
  <c r="E74" i="69"/>
  <c r="E87" i="69"/>
  <c r="E66" i="69"/>
  <c r="E49" i="69"/>
  <c r="E45" i="69"/>
  <c r="E24" i="69"/>
  <c r="E15" i="69"/>
  <c r="E95" i="69"/>
  <c r="E89" i="69"/>
  <c r="E63" i="69"/>
  <c r="E56" i="69"/>
  <c r="E47" i="69"/>
  <c r="E39" i="69"/>
  <c r="E33" i="69"/>
  <c r="E11" i="69"/>
  <c r="E76" i="69"/>
  <c r="E54" i="69"/>
  <c r="E29" i="69"/>
  <c r="E22" i="69"/>
  <c r="E68" i="69"/>
  <c r="E44" i="69"/>
  <c r="E37" i="69"/>
  <c r="E35" i="69"/>
  <c r="E50" i="69"/>
  <c r="E62" i="69"/>
  <c r="D75" i="69"/>
  <c r="D88" i="69"/>
  <c r="F93" i="69"/>
  <c r="F85" i="69"/>
  <c r="F51" i="69"/>
  <c r="F26" i="69"/>
  <c r="F12" i="69"/>
  <c r="F82" i="69"/>
  <c r="F74" i="69"/>
  <c r="F87" i="69"/>
  <c r="F66" i="69"/>
  <c r="F49" i="69"/>
  <c r="F45" i="69"/>
  <c r="F24" i="69"/>
  <c r="F15" i="69"/>
  <c r="F99" i="69"/>
  <c r="F92" i="69"/>
  <c r="F79" i="69"/>
  <c r="F71" i="69"/>
  <c r="F60" i="69"/>
  <c r="F42" i="69"/>
  <c r="F31" i="69"/>
  <c r="F17" i="69"/>
  <c r="F76" i="69"/>
  <c r="F54" i="69"/>
  <c r="F29" i="69"/>
  <c r="F22" i="69"/>
  <c r="F68" i="69"/>
  <c r="F44" i="69"/>
  <c r="F37" i="69"/>
  <c r="F35" i="69"/>
  <c r="F98" i="69"/>
  <c r="F84" i="69"/>
  <c r="F81" i="69"/>
  <c r="F73" i="69"/>
  <c r="F59" i="69"/>
  <c r="F52" i="69"/>
  <c r="F41" i="69"/>
  <c r="F50" i="69"/>
  <c r="F56" i="69"/>
  <c r="E75" i="69"/>
  <c r="E79" i="69"/>
  <c r="E88" i="69"/>
  <c r="E92" i="69"/>
  <c r="F21" i="69"/>
  <c r="N23" i="69"/>
  <c r="O28" i="69"/>
  <c r="P28" i="69" s="1"/>
  <c r="D40" i="69"/>
  <c r="D48" i="69"/>
  <c r="F57" i="69"/>
  <c r="D67" i="69"/>
  <c r="F75" i="69"/>
  <c r="D84" i="69"/>
  <c r="F88" i="69"/>
  <c r="E98" i="69"/>
  <c r="F13" i="69"/>
  <c r="O23" i="69"/>
  <c r="P23" i="69" s="1"/>
  <c r="N26" i="69"/>
  <c r="N37" i="69"/>
  <c r="E48" i="69"/>
  <c r="E93" i="69"/>
  <c r="E17" i="69"/>
  <c r="N21" i="69"/>
  <c r="O26" i="69"/>
  <c r="P26" i="69" s="1"/>
  <c r="F40" i="69"/>
  <c r="D45" i="69"/>
  <c r="F48" i="69"/>
  <c r="D58" i="69"/>
  <c r="F67" i="69"/>
  <c r="F80" i="69"/>
  <c r="P20" i="69"/>
  <c r="D62" i="69"/>
  <c r="D13" i="69"/>
  <c r="E21" i="69"/>
  <c r="D37" i="69"/>
  <c r="F62" i="69"/>
  <c r="D98" i="69"/>
  <c r="E13" i="69"/>
  <c r="E31" i="69"/>
  <c r="E40" i="69"/>
  <c r="D44" i="69"/>
  <c r="F63" i="69"/>
  <c r="E67" i="69"/>
  <c r="E71" i="69"/>
  <c r="D80" i="69"/>
  <c r="E84" i="69"/>
  <c r="E99" i="69"/>
  <c r="F18" i="69"/>
  <c r="O21" i="69"/>
  <c r="E58" i="69"/>
  <c r="D72" i="69"/>
  <c r="C49" i="60"/>
  <c r="C33" i="60"/>
  <c r="C59" i="60"/>
  <c r="C46" i="60"/>
  <c r="C37" i="60"/>
  <c r="C21" i="60"/>
  <c r="C92" i="60"/>
  <c r="C86" i="60"/>
  <c r="C87" i="60"/>
  <c r="C88" i="60"/>
  <c r="C61" i="60"/>
  <c r="C57" i="60"/>
  <c r="C93" i="60"/>
  <c r="C89" i="60"/>
  <c r="C82" i="60"/>
  <c r="C78" i="60"/>
  <c r="C74" i="60"/>
  <c r="C70" i="60"/>
  <c r="C66" i="60"/>
  <c r="C35" i="60"/>
  <c r="C62" i="60"/>
  <c r="C58" i="60"/>
  <c r="C42" i="60"/>
  <c r="C26" i="60"/>
  <c r="C20" i="60"/>
  <c r="C15" i="60"/>
  <c r="C81" i="60"/>
  <c r="C47" i="60"/>
  <c r="C41" i="60"/>
  <c r="C30" i="60"/>
  <c r="C19" i="60"/>
  <c r="C91" i="60"/>
  <c r="C43" i="60"/>
  <c r="C85" i="60"/>
  <c r="C83" i="60"/>
  <c r="C68" i="60"/>
  <c r="C60" i="60"/>
  <c r="C44" i="60"/>
  <c r="C27" i="60"/>
  <c r="C17" i="60"/>
  <c r="C76" i="60"/>
  <c r="C52" i="60"/>
  <c r="C32" i="60"/>
  <c r="C24" i="60"/>
  <c r="C12" i="60"/>
  <c r="C72" i="60"/>
  <c r="C54" i="60"/>
  <c r="C50" i="60"/>
  <c r="C40" i="60"/>
  <c r="C53" i="60"/>
  <c r="C38" i="60"/>
  <c r="C18" i="60"/>
  <c r="C90" i="60"/>
  <c r="C71" i="60"/>
  <c r="C48" i="60"/>
  <c r="C29" i="60"/>
  <c r="C14" i="60"/>
  <c r="C28" i="60"/>
  <c r="C73" i="60"/>
  <c r="C25" i="60"/>
  <c r="C23" i="60"/>
  <c r="C51" i="60"/>
  <c r="C84" i="60"/>
  <c r="C67" i="60"/>
  <c r="C64" i="60"/>
  <c r="C36" i="60"/>
  <c r="C45" i="60"/>
  <c r="C39" i="60"/>
  <c r="C80" i="60"/>
  <c r="C63" i="60"/>
  <c r="C11" i="60"/>
  <c r="C77" i="60"/>
  <c r="C55" i="60"/>
  <c r="C34" i="60"/>
  <c r="C13" i="60"/>
  <c r="D59" i="60"/>
  <c r="D46" i="60"/>
  <c r="D30" i="60"/>
  <c r="D17" i="60"/>
  <c r="D91" i="60"/>
  <c r="D84" i="60"/>
  <c r="D80" i="60"/>
  <c r="D76" i="60"/>
  <c r="D72" i="60"/>
  <c r="D68" i="60"/>
  <c r="D64" i="60"/>
  <c r="D43" i="60"/>
  <c r="D85" i="60"/>
  <c r="D60" i="60"/>
  <c r="D56" i="60"/>
  <c r="D34" i="60"/>
  <c r="D18" i="60"/>
  <c r="D87" i="60"/>
  <c r="D88" i="60"/>
  <c r="D93" i="60"/>
  <c r="D89" i="60"/>
  <c r="D82" i="60"/>
  <c r="D78" i="60"/>
  <c r="D74" i="60"/>
  <c r="D70" i="60"/>
  <c r="D66" i="60"/>
  <c r="D52" i="60"/>
  <c r="D48" i="60"/>
  <c r="D32" i="60"/>
  <c r="D13" i="60"/>
  <c r="D90" i="60"/>
  <c r="D83" i="60"/>
  <c r="D79" i="60"/>
  <c r="D75" i="60"/>
  <c r="D71" i="60"/>
  <c r="D67" i="60"/>
  <c r="D63" i="60"/>
  <c r="D39" i="60"/>
  <c r="D23" i="60"/>
  <c r="D92" i="60"/>
  <c r="D58" i="60"/>
  <c r="D44" i="60"/>
  <c r="D35" i="60"/>
  <c r="D27" i="60"/>
  <c r="D24" i="60"/>
  <c r="D12" i="60"/>
  <c r="D62" i="60"/>
  <c r="D54" i="60"/>
  <c r="D50" i="60"/>
  <c r="D40" i="60"/>
  <c r="D15" i="60"/>
  <c r="D21" i="60"/>
  <c r="D37" i="60"/>
  <c r="D29" i="60"/>
  <c r="D14" i="60"/>
  <c r="D55" i="60"/>
  <c r="D47" i="60"/>
  <c r="D19" i="60"/>
  <c r="D86" i="60"/>
  <c r="D41" i="60"/>
  <c r="D51" i="60"/>
  <c r="D20" i="60"/>
  <c r="D36" i="60"/>
  <c r="D28" i="60"/>
  <c r="D81" i="60"/>
  <c r="D61" i="60"/>
  <c r="D45" i="60"/>
  <c r="D26" i="60"/>
  <c r="D38" i="60"/>
  <c r="D11" i="60"/>
  <c r="D77" i="60"/>
  <c r="D57" i="60"/>
  <c r="D42" i="60"/>
  <c r="D73" i="60"/>
  <c r="D25" i="60"/>
  <c r="D69" i="60"/>
  <c r="D33" i="60"/>
  <c r="C22" i="60"/>
  <c r="C75" i="60"/>
  <c r="D10" i="60"/>
  <c r="D49" i="60"/>
  <c r="D65" i="60"/>
  <c r="C31" i="60"/>
  <c r="AD39" i="60"/>
  <c r="AE36" i="60"/>
  <c r="AF36" i="60" s="1"/>
  <c r="AD23" i="60"/>
  <c r="AD20" i="60"/>
  <c r="AE49" i="60"/>
  <c r="AD43" i="60"/>
  <c r="AE40" i="60"/>
  <c r="AF40" i="60" s="1"/>
  <c r="AD27" i="60"/>
  <c r="AE24" i="60"/>
  <c r="AF24" i="60" s="1"/>
  <c r="AD41" i="60"/>
  <c r="AE38" i="60"/>
  <c r="AF38" i="60" s="1"/>
  <c r="AD25" i="60"/>
  <c r="AE22" i="60"/>
  <c r="AF22" i="60" s="1"/>
  <c r="AD48" i="60"/>
  <c r="AE45" i="60"/>
  <c r="AF45" i="60" s="1"/>
  <c r="AD32" i="60"/>
  <c r="AE29" i="60"/>
  <c r="AF29" i="60" s="1"/>
  <c r="AE42" i="60"/>
  <c r="AE33" i="60"/>
  <c r="AF33" i="60" s="1"/>
  <c r="AE28" i="60"/>
  <c r="AF28" i="60" s="1"/>
  <c r="AE25" i="60"/>
  <c r="AF25" i="60" s="1"/>
  <c r="AE48" i="60"/>
  <c r="AD45" i="60"/>
  <c r="AD42" i="60"/>
  <c r="AD33" i="60"/>
  <c r="AD28" i="60"/>
  <c r="AD22" i="60"/>
  <c r="AE41" i="60"/>
  <c r="AF41" i="60" s="1"/>
  <c r="AE30" i="60"/>
  <c r="AD38" i="60"/>
  <c r="AE35" i="60"/>
  <c r="AF35" i="60" s="1"/>
  <c r="AD30" i="60"/>
  <c r="AE23" i="60"/>
  <c r="AF23" i="60" s="1"/>
  <c r="AD21" i="60"/>
  <c r="AE20" i="60"/>
  <c r="AE47" i="60"/>
  <c r="AE31" i="60"/>
  <c r="AD31" i="60"/>
  <c r="AD49" i="60"/>
  <c r="AD47" i="60"/>
  <c r="AE46" i="60"/>
  <c r="AD29" i="60"/>
  <c r="AE21" i="60"/>
  <c r="AF21" i="60" s="1"/>
  <c r="C56" i="60"/>
  <c r="C79" i="60"/>
  <c r="C10" i="60"/>
  <c r="D22" i="60"/>
  <c r="D31" i="60"/>
  <c r="C69" i="60"/>
  <c r="C65" i="60"/>
  <c r="AE39" i="60"/>
  <c r="AF39" i="60" s="1"/>
  <c r="E20" i="60"/>
  <c r="E23" i="60"/>
  <c r="E33" i="60"/>
  <c r="E51" i="60"/>
  <c r="E13" i="60"/>
  <c r="F54" i="60"/>
  <c r="F40" i="60"/>
  <c r="F24" i="60"/>
  <c r="F11" i="60"/>
  <c r="F87" i="60"/>
  <c r="F55" i="60"/>
  <c r="F51" i="60"/>
  <c r="F44" i="60"/>
  <c r="F28" i="60"/>
  <c r="F12" i="60"/>
  <c r="F93" i="60"/>
  <c r="F89" i="60"/>
  <c r="F62" i="60"/>
  <c r="F58" i="60"/>
  <c r="F42" i="60"/>
  <c r="F26" i="60"/>
  <c r="F20" i="60"/>
  <c r="F15" i="60"/>
  <c r="F49" i="60"/>
  <c r="F33" i="60"/>
  <c r="F68" i="60"/>
  <c r="F32" i="60"/>
  <c r="F76" i="60"/>
  <c r="F43" i="60"/>
  <c r="F63" i="60"/>
  <c r="F70" i="60"/>
  <c r="F52" i="60"/>
  <c r="F50" i="60"/>
  <c r="F21" i="60"/>
  <c r="F78" i="60"/>
  <c r="F72" i="60"/>
  <c r="F37" i="60"/>
  <c r="F91" i="60"/>
  <c r="F34" i="60"/>
  <c r="F29" i="60"/>
  <c r="F74" i="60"/>
  <c r="F23" i="60"/>
  <c r="E34" i="60"/>
  <c r="F73" i="60"/>
  <c r="E35" i="60"/>
  <c r="E41" i="60"/>
  <c r="E42" i="60"/>
  <c r="T51" i="60"/>
  <c r="E55" i="60"/>
  <c r="T70" i="60"/>
  <c r="S73" i="60"/>
  <c r="F86" i="60"/>
  <c r="T89" i="60"/>
  <c r="K13" i="60"/>
  <c r="O47" i="60"/>
  <c r="N34" i="60"/>
  <c r="O31" i="60"/>
  <c r="N47" i="60"/>
  <c r="O44" i="60"/>
  <c r="P44" i="60" s="1"/>
  <c r="N38" i="60"/>
  <c r="O35" i="60"/>
  <c r="P35" i="60" s="1"/>
  <c r="N22" i="60"/>
  <c r="O49" i="60"/>
  <c r="N36" i="60"/>
  <c r="O33" i="60"/>
  <c r="P33" i="60" s="1"/>
  <c r="N43" i="60"/>
  <c r="O40" i="60"/>
  <c r="P40" i="60" s="1"/>
  <c r="N27" i="60"/>
  <c r="O24" i="60"/>
  <c r="P24" i="60" s="1"/>
  <c r="N40" i="60"/>
  <c r="N37" i="60"/>
  <c r="N46" i="60"/>
  <c r="O29" i="60"/>
  <c r="P29" i="60" s="1"/>
  <c r="O43" i="60"/>
  <c r="O34" i="60"/>
  <c r="P34" i="60" s="1"/>
  <c r="N29" i="60"/>
  <c r="O26" i="60"/>
  <c r="P26" i="60" s="1"/>
  <c r="O20" i="60"/>
  <c r="N26" i="60"/>
  <c r="N20" i="60"/>
  <c r="N31" i="60"/>
  <c r="O23" i="60"/>
  <c r="P23" i="60" s="1"/>
  <c r="N49" i="60"/>
  <c r="O46" i="60"/>
  <c r="O39" i="60"/>
  <c r="P39" i="60" s="1"/>
  <c r="O36" i="60"/>
  <c r="P36" i="60" s="1"/>
  <c r="U92" i="60"/>
  <c r="U87" i="60"/>
  <c r="U81" i="60"/>
  <c r="U77" i="60"/>
  <c r="U73" i="60"/>
  <c r="U69" i="60"/>
  <c r="U65" i="60"/>
  <c r="U48" i="60"/>
  <c r="U32" i="60"/>
  <c r="U88" i="60"/>
  <c r="U51" i="60"/>
  <c r="U45" i="60"/>
  <c r="U93" i="60"/>
  <c r="U89" i="60"/>
  <c r="U82" i="60"/>
  <c r="U78" i="60"/>
  <c r="U74" i="60"/>
  <c r="U70" i="60"/>
  <c r="U66" i="60"/>
  <c r="U36" i="60"/>
  <c r="U13" i="60"/>
  <c r="U90" i="60"/>
  <c r="U53" i="60"/>
  <c r="U34" i="60"/>
  <c r="U54" i="60"/>
  <c r="U41" i="60"/>
  <c r="U25" i="60"/>
  <c r="U11" i="60"/>
  <c r="U72" i="60"/>
  <c r="U31" i="60"/>
  <c r="U23" i="60"/>
  <c r="U39" i="60"/>
  <c r="U86" i="60"/>
  <c r="U63" i="60"/>
  <c r="U18" i="60"/>
  <c r="U59" i="60"/>
  <c r="U91" i="60"/>
  <c r="U76" i="60"/>
  <c r="U10" i="60"/>
  <c r="U80" i="60"/>
  <c r="U57" i="60"/>
  <c r="U28" i="60"/>
  <c r="U42" i="60"/>
  <c r="U33" i="60"/>
  <c r="E18" i="60"/>
  <c r="U20" i="60"/>
  <c r="S21" i="60"/>
  <c r="N23" i="60"/>
  <c r="E26" i="60"/>
  <c r="F35" i="60"/>
  <c r="F41" i="60"/>
  <c r="AI49" i="60"/>
  <c r="T52" i="60"/>
  <c r="E57" i="60"/>
  <c r="E63" i="60"/>
  <c r="F77" i="60"/>
  <c r="F80" i="60"/>
  <c r="AI93" i="60"/>
  <c r="F25" i="60"/>
  <c r="E11" i="60"/>
  <c r="S13" i="60"/>
  <c r="F18" i="60"/>
  <c r="S32" i="60"/>
  <c r="S34" i="60"/>
  <c r="E38" i="60"/>
  <c r="E39" i="60"/>
  <c r="E44" i="60"/>
  <c r="E46" i="60"/>
  <c r="F57" i="60"/>
  <c r="S77" i="60"/>
  <c r="S11" i="60"/>
  <c r="U15" i="60"/>
  <c r="V16" i="60"/>
  <c r="AA13" i="60"/>
  <c r="S18" i="60"/>
  <c r="T22" i="60"/>
  <c r="T24" i="60"/>
  <c r="O25" i="60"/>
  <c r="P25" i="60" s="1"/>
  <c r="AI30" i="60"/>
  <c r="T32" i="60"/>
  <c r="T34" i="60"/>
  <c r="N35" i="60"/>
  <c r="O37" i="60"/>
  <c r="P37" i="60" s="1"/>
  <c r="F38" i="60"/>
  <c r="F39" i="60"/>
  <c r="N41" i="60"/>
  <c r="O42" i="60"/>
  <c r="F45" i="60"/>
  <c r="F46" i="60"/>
  <c r="U55" i="60"/>
  <c r="E58" i="60"/>
  <c r="E61" i="60"/>
  <c r="F64" i="60"/>
  <c r="F81" i="60"/>
  <c r="F84" i="60"/>
  <c r="E91" i="60"/>
  <c r="E84" i="60"/>
  <c r="E80" i="60"/>
  <c r="E76" i="60"/>
  <c r="E72" i="60"/>
  <c r="E68" i="60"/>
  <c r="E64" i="60"/>
  <c r="E43" i="60"/>
  <c r="E27" i="60"/>
  <c r="E10" i="60"/>
  <c r="E40" i="60"/>
  <c r="E54" i="60"/>
  <c r="E92" i="60"/>
  <c r="E86" i="60"/>
  <c r="E81" i="60"/>
  <c r="E77" i="60"/>
  <c r="E73" i="60"/>
  <c r="E69" i="60"/>
  <c r="E65" i="60"/>
  <c r="E50" i="60"/>
  <c r="E47" i="60"/>
  <c r="E31" i="60"/>
  <c r="E88" i="60"/>
  <c r="E93" i="60"/>
  <c r="E89" i="60"/>
  <c r="E52" i="60"/>
  <c r="E45" i="60"/>
  <c r="E29" i="60"/>
  <c r="E14" i="60"/>
  <c r="E53" i="60"/>
  <c r="E36" i="60"/>
  <c r="E85" i="60"/>
  <c r="E83" i="60"/>
  <c r="E66" i="60"/>
  <c r="E60" i="60"/>
  <c r="E24" i="60"/>
  <c r="E17" i="60"/>
  <c r="E12" i="60"/>
  <c r="E62" i="60"/>
  <c r="E32" i="60"/>
  <c r="E15" i="60"/>
  <c r="E74" i="60"/>
  <c r="E70" i="60"/>
  <c r="E21" i="60"/>
  <c r="E49" i="60"/>
  <c r="E37" i="60"/>
  <c r="E22" i="60"/>
  <c r="S85" i="60"/>
  <c r="S38" i="60"/>
  <c r="S22" i="60"/>
  <c r="S86" i="60"/>
  <c r="S60" i="60"/>
  <c r="S56" i="60"/>
  <c r="S55" i="60"/>
  <c r="S50" i="60"/>
  <c r="S42" i="60"/>
  <c r="S26" i="60"/>
  <c r="S93" i="60"/>
  <c r="S89" i="60"/>
  <c r="S58" i="60"/>
  <c r="S90" i="60"/>
  <c r="S83" i="60"/>
  <c r="S79" i="60"/>
  <c r="S75" i="60"/>
  <c r="S71" i="60"/>
  <c r="S67" i="60"/>
  <c r="S63" i="60"/>
  <c r="S40" i="60"/>
  <c r="S24" i="60"/>
  <c r="S59" i="60"/>
  <c r="S47" i="60"/>
  <c r="S31" i="60"/>
  <c r="S17" i="60"/>
  <c r="S10" i="60"/>
  <c r="S70" i="60"/>
  <c r="S52" i="60"/>
  <c r="S49" i="60"/>
  <c r="S46" i="60"/>
  <c r="S20" i="60"/>
  <c r="S88" i="60"/>
  <c r="S48" i="60"/>
  <c r="S25" i="60"/>
  <c r="S57" i="60"/>
  <c r="S72" i="60"/>
  <c r="S54" i="60"/>
  <c r="S23" i="60"/>
  <c r="S78" i="60"/>
  <c r="S80" i="60"/>
  <c r="S65" i="60"/>
  <c r="S74" i="60"/>
  <c r="S39" i="60"/>
  <c r="S36" i="60"/>
  <c r="S45" i="60"/>
  <c r="S91" i="60"/>
  <c r="S76" i="60"/>
  <c r="F27" i="60"/>
  <c r="T11" i="60"/>
  <c r="AI43" i="60"/>
  <c r="AI27" i="60"/>
  <c r="AI40" i="60"/>
  <c r="AI61" i="60"/>
  <c r="AI57" i="60"/>
  <c r="AI47" i="60"/>
  <c r="AI31" i="60"/>
  <c r="AI90" i="60"/>
  <c r="AI59" i="60"/>
  <c r="AI91" i="60"/>
  <c r="AI84" i="60"/>
  <c r="AI80" i="60"/>
  <c r="AI76" i="60"/>
  <c r="AI72" i="60"/>
  <c r="AI68" i="60"/>
  <c r="AI64" i="60"/>
  <c r="AI45" i="60"/>
  <c r="AI29" i="60"/>
  <c r="AI87" i="60"/>
  <c r="AI60" i="60"/>
  <c r="AI56" i="60"/>
  <c r="AI36" i="60"/>
  <c r="AI20" i="60"/>
  <c r="AI18" i="60"/>
  <c r="AI22" i="60"/>
  <c r="AI10" i="60"/>
  <c r="AI24" i="60"/>
  <c r="AI51" i="60"/>
  <c r="AI88" i="60"/>
  <c r="AI86" i="60"/>
  <c r="AI78" i="60"/>
  <c r="AI41" i="60"/>
  <c r="AI38" i="60"/>
  <c r="AI13" i="60"/>
  <c r="AI67" i="60"/>
  <c r="AI69" i="60"/>
  <c r="AI63" i="60"/>
  <c r="AI35" i="60"/>
  <c r="AI82" i="60"/>
  <c r="AI65" i="60"/>
  <c r="AI55" i="60"/>
  <c r="AI44" i="60"/>
  <c r="AI32" i="60"/>
  <c r="U22" i="60"/>
  <c r="U24" i="60"/>
  <c r="T26" i="60"/>
  <c r="O27" i="60"/>
  <c r="P27" i="60" s="1"/>
  <c r="E28" i="60"/>
  <c r="AJ30" i="60"/>
  <c r="F36" i="60"/>
  <c r="O41" i="60"/>
  <c r="P41" i="60" s="1"/>
  <c r="S43" i="60"/>
  <c r="N44" i="60"/>
  <c r="F61" i="60"/>
  <c r="S64" i="60"/>
  <c r="F67" i="60"/>
  <c r="AI74" i="60"/>
  <c r="AI77" i="60"/>
  <c r="S81" i="60"/>
  <c r="S84" i="60"/>
  <c r="E87" i="60"/>
  <c r="E25" i="60"/>
  <c r="F13" i="60"/>
  <c r="T86" i="60"/>
  <c r="T60" i="60"/>
  <c r="T56" i="60"/>
  <c r="T55" i="60"/>
  <c r="T50" i="60"/>
  <c r="T35" i="60"/>
  <c r="T18" i="60"/>
  <c r="T92" i="60"/>
  <c r="T87" i="60"/>
  <c r="T81" i="60"/>
  <c r="T77" i="60"/>
  <c r="T73" i="60"/>
  <c r="T69" i="60"/>
  <c r="T65" i="60"/>
  <c r="T48" i="60"/>
  <c r="T61" i="60"/>
  <c r="T57" i="60"/>
  <c r="T39" i="60"/>
  <c r="T23" i="60"/>
  <c r="T20" i="60"/>
  <c r="T19" i="60"/>
  <c r="T15" i="60"/>
  <c r="T90" i="60"/>
  <c r="T83" i="60"/>
  <c r="T79" i="60"/>
  <c r="T75" i="60"/>
  <c r="T71" i="60"/>
  <c r="T67" i="60"/>
  <c r="T63" i="60"/>
  <c r="T53" i="60"/>
  <c r="T37" i="60"/>
  <c r="T21" i="60"/>
  <c r="T91" i="60"/>
  <c r="T84" i="60"/>
  <c r="T80" i="60"/>
  <c r="T76" i="60"/>
  <c r="T72" i="60"/>
  <c r="T68" i="60"/>
  <c r="T64" i="60"/>
  <c r="T44" i="60"/>
  <c r="T28" i="60"/>
  <c r="T54" i="60"/>
  <c r="T42" i="60"/>
  <c r="T74" i="60"/>
  <c r="T36" i="60"/>
  <c r="T31" i="60"/>
  <c r="T13" i="60"/>
  <c r="T82" i="60"/>
  <c r="T25" i="60"/>
  <c r="T10" i="60"/>
  <c r="T33" i="60"/>
  <c r="T88" i="60"/>
  <c r="T78" i="60"/>
  <c r="T45" i="60"/>
  <c r="AJ61" i="60"/>
  <c r="AJ57" i="60"/>
  <c r="AJ40" i="60"/>
  <c r="AJ24" i="60"/>
  <c r="AJ19" i="60"/>
  <c r="AJ13" i="60"/>
  <c r="AJ93" i="60"/>
  <c r="AJ89" i="60"/>
  <c r="AJ82" i="60"/>
  <c r="AJ78" i="60"/>
  <c r="AJ74" i="60"/>
  <c r="AJ70" i="60"/>
  <c r="AJ66" i="60"/>
  <c r="AJ58" i="60"/>
  <c r="AJ44" i="60"/>
  <c r="AJ28" i="60"/>
  <c r="AJ91" i="60"/>
  <c r="AJ84" i="60"/>
  <c r="AJ80" i="60"/>
  <c r="AJ76" i="60"/>
  <c r="AJ72" i="60"/>
  <c r="AJ68" i="60"/>
  <c r="AJ64" i="60"/>
  <c r="AJ85" i="60"/>
  <c r="AJ55" i="60"/>
  <c r="AJ54" i="60"/>
  <c r="AJ42" i="60"/>
  <c r="AJ26" i="60"/>
  <c r="AJ11" i="60"/>
  <c r="AJ92" i="60"/>
  <c r="AJ88" i="60"/>
  <c r="AJ81" i="60"/>
  <c r="AJ77" i="60"/>
  <c r="AJ73" i="60"/>
  <c r="AJ69" i="60"/>
  <c r="AJ65" i="60"/>
  <c r="AJ49" i="60"/>
  <c r="AJ33" i="60"/>
  <c r="AJ86" i="60"/>
  <c r="AJ41" i="60"/>
  <c r="AJ38" i="60"/>
  <c r="AJ63" i="60"/>
  <c r="AJ35" i="60"/>
  <c r="AJ59" i="60"/>
  <c r="AJ71" i="60"/>
  <c r="AJ53" i="60"/>
  <c r="AJ32" i="60"/>
  <c r="AJ27" i="60"/>
  <c r="AJ18" i="60"/>
  <c r="AJ51" i="60"/>
  <c r="AJ21" i="60"/>
  <c r="AJ67" i="60"/>
  <c r="AJ47" i="60"/>
  <c r="E19" i="60"/>
  <c r="U26" i="60"/>
  <c r="E30" i="60"/>
  <c r="AJ31" i="60"/>
  <c r="S37" i="60"/>
  <c r="O38" i="60"/>
  <c r="P38" i="60" s="1"/>
  <c r="N39" i="60"/>
  <c r="T40" i="60"/>
  <c r="T43" i="60"/>
  <c r="N45" i="60"/>
  <c r="F47" i="60"/>
  <c r="E48" i="60"/>
  <c r="U58" i="60"/>
  <c r="S61" i="60"/>
  <c r="U64" i="60"/>
  <c r="U67" i="60"/>
  <c r="E71" i="60"/>
  <c r="U84" i="60"/>
  <c r="E90" i="60"/>
  <c r="AT40" i="60"/>
  <c r="AU46" i="60"/>
  <c r="AK93" i="60"/>
  <c r="AK89" i="60"/>
  <c r="AK82" i="60"/>
  <c r="AK78" i="60"/>
  <c r="AK74" i="60"/>
  <c r="AK70" i="60"/>
  <c r="AK66" i="60"/>
  <c r="AK37" i="60"/>
  <c r="AK21" i="60"/>
  <c r="AK14" i="60"/>
  <c r="AK62" i="60"/>
  <c r="AK52" i="60"/>
  <c r="AK90" i="60"/>
  <c r="AK83" i="60"/>
  <c r="AK79" i="60"/>
  <c r="AK75" i="60"/>
  <c r="AK71" i="60"/>
  <c r="AK67" i="60"/>
  <c r="AK63" i="60"/>
  <c r="AK41" i="60"/>
  <c r="AK25" i="60"/>
  <c r="AK91" i="60"/>
  <c r="AK85" i="60"/>
  <c r="AK55" i="60"/>
  <c r="AK54" i="60"/>
  <c r="AK86" i="60"/>
  <c r="AK50" i="60"/>
  <c r="AK39" i="60"/>
  <c r="AK23" i="60"/>
  <c r="AK15" i="60"/>
  <c r="AK51" i="60"/>
  <c r="AK46" i="60"/>
  <c r="AK30" i="60"/>
  <c r="AK12" i="60"/>
  <c r="AK24" i="60"/>
  <c r="AL16" i="60"/>
  <c r="AQ13" i="60"/>
  <c r="AU37" i="60"/>
  <c r="AV37" i="60" s="1"/>
  <c r="AU40" i="60"/>
  <c r="AV40" i="60" s="1"/>
  <c r="AK44" i="60"/>
  <c r="AK47" i="60"/>
  <c r="AK57" i="60"/>
  <c r="AK65" i="60"/>
  <c r="AK80" i="60"/>
  <c r="AK53" i="60"/>
  <c r="AK84" i="60"/>
  <c r="AK18" i="60"/>
  <c r="AK27" i="60"/>
  <c r="AK32" i="60"/>
  <c r="AK61" i="60"/>
  <c r="AK69" i="60"/>
  <c r="AK13" i="60"/>
  <c r="AT44" i="60"/>
  <c r="AU41" i="60"/>
  <c r="AV41" i="60" s="1"/>
  <c r="AT28" i="60"/>
  <c r="AU25" i="60"/>
  <c r="AV25" i="60" s="1"/>
  <c r="AT41" i="60"/>
  <c r="AT48" i="60"/>
  <c r="AU45" i="60"/>
  <c r="AV45" i="60" s="1"/>
  <c r="AT32" i="60"/>
  <c r="AU29" i="60"/>
  <c r="AV29" i="60" s="1"/>
  <c r="AT49" i="60"/>
  <c r="AT46" i="60"/>
  <c r="AU43" i="60"/>
  <c r="AT30" i="60"/>
  <c r="AU27" i="60"/>
  <c r="AV27" i="60" s="1"/>
  <c r="AT37" i="60"/>
  <c r="AU34" i="60"/>
  <c r="AV34" i="60" s="1"/>
  <c r="AT21" i="60"/>
  <c r="AT24" i="60"/>
  <c r="AK35" i="60"/>
  <c r="AT47" i="60"/>
  <c r="AK76" i="60"/>
  <c r="AK88" i="60"/>
  <c r="V27" i="61"/>
  <c r="V42" i="61"/>
  <c r="V23" i="61"/>
  <c r="V13" i="61"/>
  <c r="V51" i="61"/>
  <c r="V40" i="61"/>
  <c r="V20" i="61"/>
  <c r="V49" i="61"/>
  <c r="V35" i="61"/>
  <c r="V31" i="61"/>
  <c r="V10" i="61"/>
  <c r="V45" i="61"/>
  <c r="V38" i="61"/>
  <c r="V47" i="61"/>
  <c r="V15" i="61"/>
  <c r="V24" i="61"/>
  <c r="V50" i="61"/>
  <c r="V32" i="61"/>
  <c r="V25" i="61"/>
  <c r="V19" i="61"/>
  <c r="V12" i="61"/>
  <c r="V17" i="61"/>
  <c r="V11" i="61"/>
  <c r="V43" i="61"/>
  <c r="V22" i="61"/>
  <c r="V14" i="61"/>
  <c r="V52" i="61"/>
  <c r="V48" i="61"/>
  <c r="V34" i="61"/>
  <c r="V30" i="61"/>
  <c r="V21" i="61"/>
  <c r="V41" i="61"/>
  <c r="V37" i="61"/>
  <c r="V28" i="61"/>
  <c r="V18" i="61"/>
  <c r="V44" i="61"/>
  <c r="V33" i="61"/>
  <c r="V26" i="61"/>
  <c r="V36" i="61"/>
  <c r="V46" i="61"/>
  <c r="V29" i="61"/>
  <c r="V39" i="61"/>
  <c r="S19" i="61"/>
  <c r="AF26" i="61"/>
  <c r="S38" i="61"/>
  <c r="S42" i="61"/>
  <c r="S45" i="61"/>
  <c r="T19" i="61"/>
  <c r="S25" i="61"/>
  <c r="AD28" i="61"/>
  <c r="T38" i="61"/>
  <c r="T42" i="61"/>
  <c r="T45" i="61"/>
  <c r="S31" i="61"/>
  <c r="S35" i="61"/>
  <c r="AA13" i="61"/>
  <c r="AF21" i="61"/>
  <c r="T35" i="61"/>
  <c r="S14" i="61"/>
  <c r="S20" i="61"/>
  <c r="AD23" i="61"/>
  <c r="T27" i="61"/>
  <c r="U31" i="61"/>
  <c r="U35" i="61"/>
  <c r="S39" i="61"/>
  <c r="U49" i="61"/>
  <c r="T14" i="61"/>
  <c r="T20" i="61"/>
  <c r="AF23" i="61"/>
  <c r="S29" i="61"/>
  <c r="T39" i="61"/>
  <c r="S46" i="61"/>
  <c r="S49" i="61"/>
  <c r="S27" i="61"/>
  <c r="T31" i="61"/>
  <c r="T49" i="61"/>
  <c r="S22" i="61"/>
  <c r="T29" i="61"/>
  <c r="S32" i="61"/>
  <c r="S43" i="61"/>
  <c r="F27" i="61"/>
  <c r="F23" i="61"/>
  <c r="F13" i="61"/>
  <c r="F52" i="61"/>
  <c r="F30" i="61"/>
  <c r="F41" i="61"/>
  <c r="F37" i="61"/>
  <c r="F28" i="61"/>
  <c r="F50" i="61"/>
  <c r="F32" i="61"/>
  <c r="F20" i="61"/>
  <c r="F49" i="61"/>
  <c r="F35" i="61"/>
  <c r="F31" i="61"/>
  <c r="F10" i="61"/>
  <c r="F18" i="61"/>
  <c r="F25" i="61"/>
  <c r="F39" i="61"/>
  <c r="F45" i="61"/>
  <c r="F42" i="61"/>
  <c r="F38" i="61"/>
  <c r="F19" i="61"/>
  <c r="F48" i="61"/>
  <c r="F34" i="61"/>
  <c r="F21" i="61"/>
  <c r="F43" i="61"/>
  <c r="F22" i="61"/>
  <c r="F44" i="61"/>
  <c r="F12" i="61"/>
  <c r="F51" i="61"/>
  <c r="F47" i="61"/>
  <c r="F33" i="61"/>
  <c r="F26" i="61"/>
  <c r="F15" i="61"/>
  <c r="F40" i="61"/>
  <c r="F36" i="61"/>
  <c r="F24" i="61"/>
  <c r="F17" i="61"/>
  <c r="F11" i="61"/>
  <c r="F46" i="61"/>
  <c r="F29" i="61"/>
  <c r="F14" i="61"/>
  <c r="N24" i="61"/>
  <c r="C30" i="61"/>
  <c r="E18" i="61"/>
  <c r="D21" i="61"/>
  <c r="P24" i="61"/>
  <c r="E28" i="61"/>
  <c r="D30" i="61"/>
  <c r="C34" i="61"/>
  <c r="E37" i="61"/>
  <c r="E41" i="61"/>
  <c r="C48" i="61"/>
  <c r="C52" i="61"/>
  <c r="N28" i="61"/>
  <c r="C31" i="61"/>
  <c r="C49" i="61"/>
  <c r="K13" i="61"/>
  <c r="P21" i="61"/>
  <c r="E25" i="61"/>
  <c r="C27" i="61"/>
  <c r="D31" i="61"/>
  <c r="D35" i="61"/>
  <c r="D49" i="61"/>
  <c r="C14" i="61"/>
  <c r="C20" i="61"/>
  <c r="N23" i="61"/>
  <c r="D27" i="61"/>
  <c r="E31" i="61"/>
  <c r="E35" i="61"/>
  <c r="C39" i="61"/>
  <c r="E49" i="61"/>
  <c r="D14" i="61"/>
  <c r="D20" i="61"/>
  <c r="P23" i="61"/>
  <c r="E27" i="61"/>
  <c r="C29" i="61"/>
  <c r="D39" i="61"/>
  <c r="C46" i="61"/>
  <c r="P26" i="61"/>
  <c r="C10" i="61"/>
  <c r="N21" i="61"/>
  <c r="P28" i="61"/>
  <c r="C35" i="61"/>
  <c r="E14" i="61"/>
  <c r="E20" i="61"/>
  <c r="C22" i="61"/>
  <c r="D29" i="61"/>
  <c r="C32" i="61"/>
  <c r="C43" i="61"/>
  <c r="P21" i="59"/>
  <c r="E55" i="59"/>
  <c r="E41" i="59"/>
  <c r="E49" i="59"/>
  <c r="E26" i="59"/>
  <c r="E50" i="59"/>
  <c r="E42" i="59"/>
  <c r="E35" i="59"/>
  <c r="E32" i="59"/>
  <c r="E13" i="59"/>
  <c r="E56" i="59"/>
  <c r="E51" i="59"/>
  <c r="E48" i="59"/>
  <c r="E47" i="59"/>
  <c r="E40" i="59"/>
  <c r="E36" i="59"/>
  <c r="E29" i="59"/>
  <c r="E14" i="59"/>
  <c r="E20" i="59"/>
  <c r="E15" i="59"/>
  <c r="E23" i="59"/>
  <c r="E57" i="59"/>
  <c r="E53" i="59"/>
  <c r="E22" i="59"/>
  <c r="E19" i="59"/>
  <c r="E12" i="59"/>
  <c r="E25" i="59"/>
  <c r="E45" i="59"/>
  <c r="E31" i="59"/>
  <c r="E21" i="59"/>
  <c r="E24" i="59"/>
  <c r="E43" i="59"/>
  <c r="E18" i="59"/>
  <c r="E11" i="59"/>
  <c r="E54" i="59"/>
  <c r="E30" i="59"/>
  <c r="E27" i="59"/>
  <c r="E52" i="59"/>
  <c r="E46" i="59"/>
  <c r="E33" i="59"/>
  <c r="E10" i="59"/>
  <c r="E34" i="59"/>
  <c r="E28" i="59"/>
  <c r="E38" i="59"/>
  <c r="E37" i="59"/>
  <c r="E17" i="59"/>
  <c r="F35" i="59"/>
  <c r="F32" i="59"/>
  <c r="F13" i="59"/>
  <c r="F56" i="59"/>
  <c r="F50" i="59"/>
  <c r="F42" i="59"/>
  <c r="F23" i="59"/>
  <c r="F51" i="59"/>
  <c r="F48" i="59"/>
  <c r="F47" i="59"/>
  <c r="F40" i="59"/>
  <c r="F36" i="59"/>
  <c r="F29" i="59"/>
  <c r="F14" i="59"/>
  <c r="F52" i="59"/>
  <c r="F49" i="59"/>
  <c r="F26" i="59"/>
  <c r="F20" i="59"/>
  <c r="F15" i="59"/>
  <c r="F45" i="59"/>
  <c r="F31" i="59"/>
  <c r="F21" i="59"/>
  <c r="F10" i="59"/>
  <c r="F28" i="59"/>
  <c r="F11" i="59"/>
  <c r="F54" i="59"/>
  <c r="F41" i="59"/>
  <c r="F30" i="59"/>
  <c r="F27" i="59"/>
  <c r="F46" i="59"/>
  <c r="F33" i="59"/>
  <c r="F37" i="59"/>
  <c r="F55" i="59"/>
  <c r="F25" i="59"/>
  <c r="F34" i="59"/>
  <c r="F38" i="59"/>
  <c r="F24" i="59"/>
  <c r="F43" i="59"/>
  <c r="F18" i="59"/>
  <c r="F39" i="59"/>
  <c r="F17" i="59"/>
  <c r="F44" i="59"/>
  <c r="C46" i="59"/>
  <c r="C39" i="59"/>
  <c r="C25" i="59"/>
  <c r="C35" i="59"/>
  <c r="C32" i="59"/>
  <c r="C48" i="59"/>
  <c r="C47" i="59"/>
  <c r="C40" i="59"/>
  <c r="C36" i="59"/>
  <c r="C22" i="59"/>
  <c r="C19" i="59"/>
  <c r="C49" i="59"/>
  <c r="C55" i="59"/>
  <c r="C41" i="59"/>
  <c r="C13" i="59"/>
  <c r="C29" i="59"/>
  <c r="C14" i="59"/>
  <c r="C44" i="59"/>
  <c r="C17" i="59"/>
  <c r="C53" i="59"/>
  <c r="C12" i="59"/>
  <c r="C34" i="59"/>
  <c r="C28" i="59"/>
  <c r="C20" i="59"/>
  <c r="C38" i="59"/>
  <c r="C24" i="59"/>
  <c r="C56" i="59"/>
  <c r="C43" i="59"/>
  <c r="C18" i="59"/>
  <c r="C11" i="59"/>
  <c r="C54" i="59"/>
  <c r="C30" i="59"/>
  <c r="C27" i="59"/>
  <c r="C23" i="59"/>
  <c r="C52" i="59"/>
  <c r="C33" i="59"/>
  <c r="C15" i="59"/>
  <c r="C57" i="59"/>
  <c r="C51" i="59"/>
  <c r="C45" i="59"/>
  <c r="C31" i="59"/>
  <c r="C21" i="59"/>
  <c r="C10" i="59"/>
  <c r="C26" i="59"/>
  <c r="N26" i="59"/>
  <c r="P23" i="59"/>
  <c r="N20" i="59"/>
  <c r="N30" i="59"/>
  <c r="P27" i="59"/>
  <c r="N23" i="59"/>
  <c r="N33" i="59"/>
  <c r="N31" i="59"/>
  <c r="P28" i="59"/>
  <c r="N21" i="59"/>
  <c r="N24" i="59"/>
  <c r="P26" i="59"/>
  <c r="N34" i="59"/>
  <c r="N28" i="59"/>
  <c r="P24" i="59"/>
  <c r="N27" i="59"/>
  <c r="P22" i="59"/>
  <c r="N32" i="59"/>
  <c r="N29" i="59"/>
  <c r="N22" i="59"/>
  <c r="P32" i="59"/>
  <c r="P25" i="59"/>
  <c r="P31" i="59"/>
  <c r="C37" i="59"/>
  <c r="C42" i="59"/>
  <c r="S13" i="59"/>
  <c r="V22" i="59"/>
  <c r="S41" i="59"/>
  <c r="V49" i="59"/>
  <c r="AI56" i="59"/>
  <c r="AJ32" i="59"/>
  <c r="AJ17" i="59"/>
  <c r="AJ44" i="59"/>
  <c r="AJ38" i="59"/>
  <c r="AJ23" i="59"/>
  <c r="AJ45" i="59"/>
  <c r="AJ57" i="59"/>
  <c r="AJ53" i="59"/>
  <c r="AJ43" i="59"/>
  <c r="AJ29" i="59"/>
  <c r="AJ54" i="59"/>
  <c r="AJ26" i="59"/>
  <c r="AJ11" i="59"/>
  <c r="AJ15" i="59"/>
  <c r="AJ20" i="59"/>
  <c r="AJ18" i="59"/>
  <c r="S18" i="59"/>
  <c r="S23" i="59"/>
  <c r="AJ25" i="59"/>
  <c r="V26" i="59"/>
  <c r="AJ52" i="59"/>
  <c r="AK57" i="59"/>
  <c r="AK53" i="59"/>
  <c r="AK43" i="59"/>
  <c r="AK29" i="59"/>
  <c r="AK26" i="59"/>
  <c r="AK11" i="59"/>
  <c r="AK20" i="59"/>
  <c r="AK44" i="59"/>
  <c r="AK38" i="59"/>
  <c r="AK23" i="59"/>
  <c r="AK15" i="59"/>
  <c r="AK45" i="59"/>
  <c r="AK18" i="59"/>
  <c r="AK54" i="59"/>
  <c r="AK33" i="59"/>
  <c r="AK25" i="59"/>
  <c r="AD29" i="59"/>
  <c r="S33" i="59"/>
  <c r="S43" i="59"/>
  <c r="V46" i="59"/>
  <c r="AI49" i="59"/>
  <c r="AK52" i="59"/>
  <c r="V13" i="59"/>
  <c r="AT20" i="59"/>
  <c r="AT27" i="59"/>
  <c r="AV24" i="59"/>
  <c r="AT33" i="59"/>
  <c r="AV21" i="59"/>
  <c r="AT30" i="59"/>
  <c r="AV27" i="59"/>
  <c r="AT24" i="59"/>
  <c r="AL26" i="59"/>
  <c r="AL11" i="59"/>
  <c r="AL33" i="59"/>
  <c r="AL40" i="59"/>
  <c r="AL44" i="59"/>
  <c r="AL38" i="59"/>
  <c r="AL23" i="59"/>
  <c r="AL15" i="59"/>
  <c r="AL54" i="59"/>
  <c r="AL46" i="59"/>
  <c r="AL45" i="59"/>
  <c r="AL20" i="59"/>
  <c r="AL18" i="59"/>
  <c r="AL30" i="59"/>
  <c r="AL12" i="59"/>
  <c r="AL25" i="59"/>
  <c r="V41" i="59"/>
  <c r="AI46" i="59"/>
  <c r="AJ49" i="59"/>
  <c r="AL52" i="59"/>
  <c r="V54" i="59"/>
  <c r="AL56" i="59"/>
  <c r="AI13" i="59"/>
  <c r="AK22" i="59"/>
  <c r="AT25" i="59"/>
  <c r="AV28" i="59"/>
  <c r="V30" i="59"/>
  <c r="AV31" i="59"/>
  <c r="AL32" i="59"/>
  <c r="AJ36" i="59"/>
  <c r="AJ41" i="59"/>
  <c r="AL43" i="59"/>
  <c r="AK46" i="59"/>
  <c r="AL49" i="59"/>
  <c r="D53" i="59"/>
  <c r="S49" i="59"/>
  <c r="S36" i="59"/>
  <c r="S30" i="59"/>
  <c r="S37" i="59"/>
  <c r="S50" i="59"/>
  <c r="S27" i="59"/>
  <c r="S52" i="59"/>
  <c r="S34" i="59"/>
  <c r="S56" i="59"/>
  <c r="S51" i="59"/>
  <c r="S42" i="59"/>
  <c r="S24" i="59"/>
  <c r="S21" i="59"/>
  <c r="AF20" i="59"/>
  <c r="S25" i="59"/>
  <c r="S44" i="59"/>
  <c r="S22" i="59"/>
  <c r="S29" i="59"/>
  <c r="S32" i="59"/>
  <c r="S26" i="59"/>
  <c r="K13" i="59"/>
  <c r="AD31" i="59"/>
  <c r="AF28" i="59"/>
  <c r="AD22" i="59"/>
  <c r="AF32" i="59"/>
  <c r="AD28" i="59"/>
  <c r="AF25" i="59"/>
  <c r="AD25" i="59"/>
  <c r="AF22" i="59"/>
  <c r="V52" i="59"/>
  <c r="V21" i="59"/>
  <c r="V25" i="59"/>
  <c r="V37" i="59"/>
  <c r="V34" i="59"/>
  <c r="V57" i="59"/>
  <c r="V53" i="59"/>
  <c r="V43" i="59"/>
  <c r="V28" i="59"/>
  <c r="V31" i="59"/>
  <c r="V17" i="59"/>
  <c r="V10" i="59"/>
  <c r="V11" i="59"/>
  <c r="AV20" i="59"/>
  <c r="S46" i="59"/>
  <c r="V56" i="59"/>
  <c r="AI37" i="59"/>
  <c r="AI10" i="59"/>
  <c r="AI26" i="59"/>
  <c r="AI44" i="59"/>
  <c r="AI38" i="59"/>
  <c r="AI45" i="59"/>
  <c r="AI32" i="59"/>
  <c r="AI17" i="59"/>
  <c r="AI15" i="59"/>
  <c r="AI57" i="59"/>
  <c r="AI53" i="59"/>
  <c r="AI43" i="59"/>
  <c r="AI29" i="59"/>
  <c r="AI11" i="59"/>
  <c r="AI23" i="59"/>
  <c r="AI25" i="59"/>
  <c r="V29" i="59"/>
  <c r="V32" i="59"/>
  <c r="AI52" i="59"/>
  <c r="S54" i="59"/>
  <c r="S11" i="59"/>
  <c r="AJ56" i="59"/>
  <c r="AI22" i="59"/>
  <c r="AD26" i="59"/>
  <c r="AT34" i="59"/>
  <c r="V36" i="59"/>
  <c r="S38" i="59"/>
  <c r="V18" i="59"/>
  <c r="S20" i="59"/>
  <c r="AT21" i="59"/>
  <c r="AJ22" i="59"/>
  <c r="V23" i="59"/>
  <c r="AF26" i="59"/>
  <c r="V27" i="59"/>
  <c r="AT28" i="59"/>
  <c r="AT31" i="59"/>
  <c r="AK32" i="59"/>
  <c r="AI36" i="59"/>
  <c r="S40" i="59"/>
  <c r="AI41" i="59"/>
  <c r="AJ46" i="59"/>
  <c r="AK49" i="59"/>
  <c r="V51" i="59"/>
  <c r="AI54" i="59"/>
  <c r="S10" i="59"/>
  <c r="AJ13" i="59"/>
  <c r="D22" i="59"/>
  <c r="D19" i="59"/>
  <c r="D48" i="59"/>
  <c r="D47" i="59"/>
  <c r="D29" i="59"/>
  <c r="D49" i="59"/>
  <c r="D56" i="59"/>
  <c r="D42" i="59"/>
  <c r="D55" i="59"/>
  <c r="D41" i="59"/>
  <c r="D50" i="59"/>
  <c r="D35" i="59"/>
  <c r="D32" i="59"/>
  <c r="D13" i="59"/>
  <c r="D40" i="59"/>
  <c r="D36" i="59"/>
  <c r="D14" i="59"/>
  <c r="D26" i="59"/>
  <c r="D20" i="59"/>
  <c r="D15" i="59"/>
  <c r="AL22" i="59"/>
  <c r="AD23" i="59"/>
  <c r="AV25" i="59"/>
  <c r="AD27" i="59"/>
  <c r="AL29" i="59"/>
  <c r="AK36" i="59"/>
  <c r="V38" i="59"/>
  <c r="AK41" i="59"/>
  <c r="S45" i="59"/>
  <c r="V48" i="59"/>
  <c r="AI51" i="59"/>
  <c r="S55" i="59"/>
  <c r="T17" i="59"/>
  <c r="U10" i="59"/>
  <c r="U17" i="59"/>
  <c r="T34" i="59"/>
  <c r="T21" i="59"/>
  <c r="U34" i="59"/>
  <c r="U37" i="59"/>
  <c r="T52" i="59"/>
  <c r="T37" i="59"/>
  <c r="U21" i="59"/>
  <c r="T24" i="59"/>
  <c r="T42" i="59"/>
  <c r="T51" i="59"/>
  <c r="U52" i="59"/>
  <c r="T56" i="59"/>
  <c r="T31" i="59"/>
  <c r="U31" i="59"/>
  <c r="U24" i="59"/>
  <c r="T27" i="59"/>
  <c r="U42" i="59"/>
  <c r="U51" i="59"/>
  <c r="C36" i="15"/>
  <c r="E40" i="15"/>
  <c r="D44" i="15"/>
  <c r="C20" i="15"/>
  <c r="P22" i="15"/>
  <c r="N26" i="15"/>
  <c r="N32" i="15"/>
  <c r="D36" i="15"/>
  <c r="C38" i="15"/>
  <c r="E42" i="15"/>
  <c r="E44" i="15"/>
  <c r="S49" i="15"/>
  <c r="S43" i="15"/>
  <c r="S28" i="15"/>
  <c r="S56" i="15"/>
  <c r="S51" i="15"/>
  <c r="S38" i="15"/>
  <c r="S22" i="15"/>
  <c r="S50" i="15"/>
  <c r="S25" i="15"/>
  <c r="S11" i="15"/>
  <c r="S52" i="15"/>
  <c r="S45" i="15"/>
  <c r="S37" i="15"/>
  <c r="S30" i="15"/>
  <c r="S12" i="15"/>
  <c r="S48" i="15"/>
  <c r="S40" i="15"/>
  <c r="S27" i="15"/>
  <c r="S35" i="15"/>
  <c r="S32" i="15"/>
  <c r="S19" i="15"/>
  <c r="C18" i="15"/>
  <c r="D20" i="15"/>
  <c r="D23" i="15"/>
  <c r="E36" i="15"/>
  <c r="D38" i="15"/>
  <c r="S14" i="15"/>
  <c r="D18" i="15"/>
  <c r="E20" i="15"/>
  <c r="E23" i="15"/>
  <c r="S53" i="15"/>
  <c r="N28" i="15"/>
  <c r="D30" i="15"/>
  <c r="D17" i="15"/>
  <c r="D27" i="15"/>
  <c r="D55" i="15"/>
  <c r="D37" i="15"/>
  <c r="D33" i="15"/>
  <c r="D48" i="15"/>
  <c r="D47" i="15"/>
  <c r="D43" i="15"/>
  <c r="D31" i="15"/>
  <c r="D52" i="15"/>
  <c r="D28" i="15"/>
  <c r="D15" i="15"/>
  <c r="D57" i="15"/>
  <c r="D45" i="15"/>
  <c r="D21" i="15"/>
  <c r="D12" i="15"/>
  <c r="C17" i="15"/>
  <c r="D46" i="15"/>
  <c r="C14" i="15"/>
  <c r="E26" i="15"/>
  <c r="D40" i="15"/>
  <c r="C44" i="15"/>
  <c r="E51" i="15"/>
  <c r="C12" i="15"/>
  <c r="E14" i="15"/>
  <c r="N22" i="15"/>
  <c r="C53" i="15"/>
  <c r="C27" i="15"/>
  <c r="C50" i="15"/>
  <c r="S26" i="15"/>
  <c r="N27" i="15"/>
  <c r="E29" i="15"/>
  <c r="C34" i="15"/>
  <c r="D50" i="15"/>
  <c r="D56" i="15"/>
  <c r="D34" i="15"/>
  <c r="C39" i="15"/>
  <c r="S47" i="15"/>
  <c r="E50" i="15"/>
  <c r="E54" i="15"/>
  <c r="E56" i="15"/>
  <c r="S33" i="15"/>
  <c r="E34" i="15"/>
  <c r="C45" i="15"/>
  <c r="E11" i="15"/>
  <c r="E13" i="15"/>
  <c r="AJ30" i="15"/>
  <c r="AJ12" i="15"/>
  <c r="AJ35" i="15"/>
  <c r="AJ19" i="15"/>
  <c r="AJ13" i="15"/>
  <c r="AJ57" i="15"/>
  <c r="AJ53" i="15"/>
  <c r="AJ40" i="15"/>
  <c r="AJ39" i="15"/>
  <c r="AJ27" i="15"/>
  <c r="AJ24" i="15"/>
  <c r="AJ45" i="15"/>
  <c r="AJ41" i="15"/>
  <c r="AJ31" i="15"/>
  <c r="AJ21" i="15"/>
  <c r="AJ50" i="15"/>
  <c r="AJ38" i="15"/>
  <c r="AJ28" i="15"/>
  <c r="AJ17" i="15"/>
  <c r="AJ15" i="15"/>
  <c r="AJ10" i="15"/>
  <c r="AJ46" i="15"/>
  <c r="AJ36" i="15"/>
  <c r="AJ18" i="15"/>
  <c r="AI36" i="15"/>
  <c r="E39" i="15"/>
  <c r="AJ42" i="15"/>
  <c r="S54" i="15"/>
  <c r="AJ14" i="15"/>
  <c r="AK57" i="15"/>
  <c r="AK53" i="15"/>
  <c r="AK40" i="15"/>
  <c r="AK39" i="15"/>
  <c r="AK27" i="15"/>
  <c r="AK45" i="15"/>
  <c r="AK41" i="15"/>
  <c r="AK21" i="15"/>
  <c r="AK35" i="15"/>
  <c r="AK24" i="15"/>
  <c r="AK19" i="15"/>
  <c r="AK13" i="15"/>
  <c r="AK14" i="15"/>
  <c r="AK34" i="15"/>
  <c r="AK50" i="15"/>
  <c r="AK38" i="15"/>
  <c r="AK28" i="15"/>
  <c r="AK17" i="15"/>
  <c r="AK15" i="15"/>
  <c r="AK10" i="15"/>
  <c r="AK46" i="15"/>
  <c r="AK36" i="15"/>
  <c r="AK33" i="15"/>
  <c r="AK18" i="15"/>
  <c r="S20" i="15"/>
  <c r="C21" i="15"/>
  <c r="P24" i="15"/>
  <c r="AI56" i="15"/>
  <c r="AT34" i="15"/>
  <c r="AT28" i="15"/>
  <c r="AT31" i="15"/>
  <c r="AV28" i="15"/>
  <c r="AV25" i="15"/>
  <c r="AT33" i="15"/>
  <c r="AV23" i="15"/>
  <c r="AT23" i="15"/>
  <c r="AT21" i="15"/>
  <c r="AT25" i="15"/>
  <c r="AL16" i="15"/>
  <c r="AI22" i="15"/>
  <c r="C25" i="15"/>
  <c r="D35" i="15"/>
  <c r="S39" i="15"/>
  <c r="AJ56" i="15"/>
  <c r="C46" i="15"/>
  <c r="C42" i="15"/>
  <c r="C23" i="15"/>
  <c r="C55" i="15"/>
  <c r="C37" i="15"/>
  <c r="C30" i="15"/>
  <c r="C33" i="15"/>
  <c r="C54" i="15"/>
  <c r="C47" i="15"/>
  <c r="C26" i="15"/>
  <c r="C57" i="15"/>
  <c r="C31" i="15"/>
  <c r="C52" i="15"/>
  <c r="C28" i="15"/>
  <c r="C15" i="15"/>
  <c r="C48" i="15"/>
  <c r="C32" i="15"/>
  <c r="D26" i="15"/>
  <c r="D32" i="15"/>
  <c r="C51" i="15"/>
  <c r="E55" i="15"/>
  <c r="E37" i="15"/>
  <c r="E33" i="15"/>
  <c r="E48" i="15"/>
  <c r="E47" i="15"/>
  <c r="E43" i="15"/>
  <c r="E10" i="15"/>
  <c r="E30" i="15"/>
  <c r="E17" i="15"/>
  <c r="E27" i="15"/>
  <c r="E49" i="15"/>
  <c r="E52" i="15"/>
  <c r="E28" i="15"/>
  <c r="E15" i="15"/>
  <c r="E57" i="15"/>
  <c r="E45" i="15"/>
  <c r="E21" i="15"/>
  <c r="E12" i="15"/>
  <c r="E32" i="15"/>
  <c r="C40" i="15"/>
  <c r="E46" i="15"/>
  <c r="D51" i="15"/>
  <c r="D14" i="15"/>
  <c r="N24" i="15"/>
  <c r="N34" i="15"/>
  <c r="P28" i="15"/>
  <c r="N21" i="15"/>
  <c r="N31" i="15"/>
  <c r="N33" i="15"/>
  <c r="P25" i="15"/>
  <c r="P23" i="15"/>
  <c r="N25" i="15"/>
  <c r="N23" i="15"/>
  <c r="P30" i="15"/>
  <c r="D42" i="15"/>
  <c r="D53" i="15"/>
  <c r="P26" i="15"/>
  <c r="E53" i="15"/>
  <c r="C29" i="15"/>
  <c r="E38" i="15"/>
  <c r="S42" i="15"/>
  <c r="S44" i="15"/>
  <c r="E18" i="15"/>
  <c r="D29" i="15"/>
  <c r="S36" i="15"/>
  <c r="C56" i="15"/>
  <c r="C24" i="15"/>
  <c r="C11" i="15"/>
  <c r="C13" i="15"/>
  <c r="V16" i="15"/>
  <c r="AA13" i="15"/>
  <c r="S18" i="15"/>
  <c r="N20" i="15"/>
  <c r="D24" i="15"/>
  <c r="P27" i="15"/>
  <c r="D11" i="15"/>
  <c r="D13" i="15"/>
  <c r="AI44" i="15"/>
  <c r="AI33" i="15"/>
  <c r="AI57" i="15"/>
  <c r="AI53" i="15"/>
  <c r="AI40" i="15"/>
  <c r="AI39" i="15"/>
  <c r="AI30" i="15"/>
  <c r="AI12" i="15"/>
  <c r="AI27" i="15"/>
  <c r="AI35" i="15"/>
  <c r="AI55" i="15"/>
  <c r="AI49" i="15"/>
  <c r="AI43" i="15"/>
  <c r="AI41" i="15"/>
  <c r="AI26" i="15"/>
  <c r="AI17" i="15"/>
  <c r="AI31" i="15"/>
  <c r="AI13" i="15"/>
  <c r="AI50" i="15"/>
  <c r="AI38" i="15"/>
  <c r="AI28" i="15"/>
  <c r="AI15" i="15"/>
  <c r="AI18" i="15"/>
  <c r="AI21" i="15"/>
  <c r="S23" i="15"/>
  <c r="E24" i="15"/>
  <c r="AI25" i="15"/>
  <c r="D39" i="15"/>
  <c r="AI42" i="15"/>
  <c r="AI14" i="15"/>
  <c r="AJ25" i="15"/>
  <c r="N29" i="15"/>
  <c r="AK25" i="15"/>
  <c r="C35" i="15"/>
  <c r="AK42" i="15"/>
  <c r="S13" i="15"/>
  <c r="C19" i="15"/>
  <c r="C22" i="15"/>
  <c r="AJ22" i="15"/>
  <c r="D25" i="15"/>
  <c r="AJ26" i="15"/>
  <c r="N30" i="15"/>
  <c r="AJ32" i="15"/>
  <c r="E35" i="15"/>
  <c r="C41" i="15"/>
  <c r="C43" i="15"/>
  <c r="AI47" i="15"/>
  <c r="D49" i="15"/>
  <c r="AK56" i="15"/>
  <c r="T50" i="15"/>
  <c r="T25" i="15"/>
  <c r="T11" i="15"/>
  <c r="T52" i="15"/>
  <c r="T18" i="15"/>
  <c r="T56" i="15"/>
  <c r="T51" i="15"/>
  <c r="T38" i="15"/>
  <c r="T22" i="15"/>
  <c r="T44" i="15"/>
  <c r="T32" i="15"/>
  <c r="T29" i="15"/>
  <c r="T41" i="15"/>
  <c r="T43" i="15"/>
  <c r="T53" i="15"/>
  <c r="T55" i="15"/>
  <c r="U56" i="15"/>
  <c r="U51" i="15"/>
  <c r="U38" i="15"/>
  <c r="U22" i="15"/>
  <c r="U44" i="15"/>
  <c r="U32" i="15"/>
  <c r="U29" i="15"/>
  <c r="U52" i="15"/>
  <c r="U18" i="15"/>
  <c r="U41" i="15"/>
  <c r="U43" i="15"/>
  <c r="U53" i="15"/>
  <c r="U55" i="15"/>
  <c r="T19" i="15"/>
  <c r="T35" i="15"/>
  <c r="U19" i="15"/>
  <c r="T27" i="15"/>
  <c r="U35" i="15"/>
  <c r="T40" i="15"/>
  <c r="T48" i="15"/>
  <c r="F24" i="15"/>
  <c r="F10" i="15"/>
  <c r="F27" i="15"/>
  <c r="F43" i="15"/>
  <c r="F47" i="15"/>
  <c r="F48" i="15"/>
  <c r="F49" i="15"/>
  <c r="F17" i="15"/>
  <c r="AV353" i="57"/>
  <c r="AV356" i="57"/>
  <c r="AV376" i="57"/>
  <c r="AV332" i="57"/>
  <c r="AV342" i="57"/>
  <c r="AV345" i="57"/>
  <c r="AV359" i="57"/>
  <c r="AV369" i="57"/>
  <c r="AV391" i="57"/>
  <c r="AV364" i="57"/>
  <c r="AV384" i="57"/>
  <c r="AV397" i="57"/>
  <c r="AV403" i="57"/>
  <c r="AV383" i="57"/>
  <c r="AV371" i="57"/>
  <c r="AV377" i="57"/>
  <c r="AV362" i="57"/>
  <c r="AV333" i="57"/>
  <c r="AV338" i="57"/>
  <c r="AV351" i="57"/>
  <c r="AV354" i="57"/>
  <c r="AV357" i="57"/>
  <c r="AV392" i="57"/>
  <c r="AV402" i="57"/>
  <c r="AV343" i="57"/>
  <c r="AV365" i="57"/>
  <c r="AV385" i="57"/>
  <c r="AV398" i="57"/>
  <c r="AV404" i="57"/>
  <c r="AV372" i="57"/>
  <c r="AV379" i="57"/>
  <c r="AV200" i="57"/>
  <c r="AV252" i="57" s="1"/>
  <c r="AF337" i="57"/>
  <c r="AF298" i="57"/>
  <c r="AF315" i="57"/>
  <c r="AF296" i="57"/>
  <c r="AF299" i="57"/>
  <c r="AF319" i="57"/>
  <c r="AF301" i="57"/>
  <c r="AF314" i="57"/>
  <c r="AF318" i="57"/>
  <c r="AF286" i="57"/>
  <c r="AF307" i="57"/>
  <c r="AF287" i="57"/>
  <c r="AF202" i="57"/>
  <c r="AF208" i="57"/>
  <c r="AF217" i="57"/>
  <c r="AF254" i="57"/>
  <c r="AF206" i="57"/>
  <c r="AF251" i="57"/>
  <c r="AF199" i="57"/>
  <c r="AF204" i="57"/>
  <c r="AF275" i="57"/>
  <c r="AF281" i="57"/>
  <c r="AF225" i="57"/>
  <c r="AF257" i="57"/>
  <c r="AF272" i="57"/>
  <c r="AF268" i="57"/>
  <c r="AF229" i="57"/>
  <c r="AF247" i="57"/>
  <c r="AF265" i="57"/>
  <c r="AF196" i="57"/>
  <c r="AF210" i="57"/>
  <c r="AF226" i="57"/>
  <c r="AF244" i="57"/>
  <c r="P337" i="57"/>
  <c r="AC368" i="57"/>
  <c r="AC385" i="57"/>
  <c r="AC380" i="57"/>
  <c r="AC392" i="57"/>
  <c r="AC333" i="57"/>
  <c r="AC345" i="57"/>
  <c r="AC365" i="57"/>
  <c r="AC381" i="57"/>
  <c r="AC346" i="57"/>
  <c r="AC354" i="57"/>
  <c r="AC359" i="57"/>
  <c r="AC362" i="57"/>
  <c r="AC373" i="57"/>
  <c r="AC396" i="57"/>
  <c r="AC344" i="57"/>
  <c r="AC349" i="57"/>
  <c r="AC400" i="57"/>
  <c r="AC334" i="57"/>
  <c r="AC338" i="57"/>
  <c r="AC342" i="57"/>
  <c r="AC347" i="57"/>
  <c r="AC397" i="57"/>
  <c r="AC369" i="57"/>
  <c r="AC376" i="57"/>
  <c r="AC393" i="57"/>
  <c r="AC403" i="57"/>
  <c r="AS402" i="57"/>
  <c r="AS396" i="57"/>
  <c r="AS373" i="57"/>
  <c r="AS362" i="57"/>
  <c r="AS359" i="57"/>
  <c r="AS354" i="57"/>
  <c r="AS384" i="57"/>
  <c r="AS351" i="57"/>
  <c r="AS366" i="57"/>
  <c r="AS353" i="57"/>
  <c r="AS358" i="57"/>
  <c r="AS336" i="57"/>
  <c r="AS331" i="57"/>
  <c r="AS339" i="57"/>
  <c r="AS403" i="57"/>
  <c r="AS376" i="57"/>
  <c r="AS400" i="57"/>
  <c r="AS333" i="57"/>
  <c r="AS346" i="57"/>
  <c r="AS393" i="57"/>
  <c r="AS344" i="57"/>
  <c r="AS397" i="57"/>
  <c r="AS392" i="57"/>
  <c r="AS368" i="57"/>
  <c r="AS399" i="57"/>
  <c r="AS389" i="57"/>
  <c r="AS356" i="57"/>
  <c r="AS340" i="57"/>
  <c r="AS404" i="57"/>
  <c r="AS377" i="57"/>
  <c r="AS372" i="57"/>
  <c r="AS361" i="57"/>
  <c r="AS388" i="57"/>
  <c r="AS381" i="57"/>
  <c r="AS365" i="57"/>
  <c r="AS345" i="57"/>
  <c r="AS369" i="57"/>
  <c r="AS347" i="57"/>
  <c r="AS342" i="57"/>
  <c r="AS338" i="57"/>
  <c r="AS334" i="57"/>
  <c r="AS380" i="57"/>
  <c r="AS385" i="57"/>
  <c r="AS349" i="57"/>
  <c r="BD349" i="57"/>
  <c r="BF342" i="57"/>
  <c r="AS348" i="57"/>
  <c r="BD351" i="57"/>
  <c r="AS401" i="57"/>
  <c r="BD344" i="57"/>
  <c r="AT348" i="57"/>
  <c r="BF351" i="57"/>
  <c r="AT355" i="57"/>
  <c r="AT374" i="57"/>
  <c r="AT378" i="57"/>
  <c r="AT386" i="57"/>
  <c r="AT390" i="57"/>
  <c r="AT394" i="57"/>
  <c r="AT335" i="57"/>
  <c r="AT341" i="57"/>
  <c r="BF344" i="57"/>
  <c r="AU348" i="57"/>
  <c r="AS350" i="57"/>
  <c r="BD353" i="57"/>
  <c r="AV360" i="57"/>
  <c r="AS367" i="57"/>
  <c r="AU378" i="57"/>
  <c r="AU390" i="57"/>
  <c r="AU335" i="57"/>
  <c r="AU341" i="57"/>
  <c r="AS343" i="57"/>
  <c r="BD346" i="57"/>
  <c r="AV348" i="57"/>
  <c r="AT350" i="57"/>
  <c r="BF353" i="57"/>
  <c r="AV355" i="57"/>
  <c r="AS357" i="57"/>
  <c r="AV363" i="57"/>
  <c r="AT367" i="57"/>
  <c r="AS371" i="57"/>
  <c r="AV374" i="57"/>
  <c r="AV378" i="57"/>
  <c r="AV382" i="57"/>
  <c r="AV386" i="57"/>
  <c r="AV390" i="57"/>
  <c r="AV394" i="57"/>
  <c r="AS398" i="57"/>
  <c r="AV401" i="57"/>
  <c r="BF341" i="57"/>
  <c r="BF347" i="57"/>
  <c r="BD342" i="57"/>
  <c r="BD356" i="57"/>
  <c r="AS360" i="57"/>
  <c r="AS370" i="57"/>
  <c r="AT331" i="57"/>
  <c r="AS355" i="57"/>
  <c r="AT360" i="57"/>
  <c r="AS363" i="57"/>
  <c r="AT370" i="57"/>
  <c r="AS374" i="57"/>
  <c r="AS378" i="57"/>
  <c r="AS382" i="57"/>
  <c r="AS386" i="57"/>
  <c r="AS390" i="57"/>
  <c r="AS394" i="57"/>
  <c r="AS335" i="57"/>
  <c r="AS341" i="57"/>
  <c r="BD358" i="57"/>
  <c r="AU360" i="57"/>
  <c r="AT363" i="57"/>
  <c r="AU370" i="57"/>
  <c r="AT382" i="57"/>
  <c r="AT401" i="57"/>
  <c r="AU355" i="57"/>
  <c r="AU363" i="57"/>
  <c r="AV370" i="57"/>
  <c r="AU374" i="57"/>
  <c r="AU382" i="57"/>
  <c r="AU386" i="57"/>
  <c r="AU394" i="57"/>
  <c r="AU401" i="57"/>
  <c r="AS332" i="57"/>
  <c r="AV335" i="57"/>
  <c r="AT343" i="57"/>
  <c r="BF346" i="57"/>
  <c r="AU350" i="57"/>
  <c r="AS352" i="57"/>
  <c r="AT357" i="57"/>
  <c r="AS364" i="57"/>
  <c r="AT371" i="57"/>
  <c r="AS375" i="57"/>
  <c r="AS379" i="57"/>
  <c r="AS383" i="57"/>
  <c r="AS387" i="57"/>
  <c r="AS391" i="57"/>
  <c r="AS395" i="57"/>
  <c r="AP341" i="57"/>
  <c r="AN342" i="57"/>
  <c r="AN356" i="57"/>
  <c r="AC360" i="57"/>
  <c r="AD331" i="57"/>
  <c r="AP342" i="57"/>
  <c r="AC348" i="57"/>
  <c r="AN351" i="57"/>
  <c r="AC355" i="57"/>
  <c r="AD360" i="57"/>
  <c r="AC363" i="57"/>
  <c r="AD370" i="57"/>
  <c r="AC374" i="57"/>
  <c r="AC378" i="57"/>
  <c r="AC382" i="57"/>
  <c r="AC386" i="57"/>
  <c r="AC390" i="57"/>
  <c r="AC394" i="57"/>
  <c r="AC335" i="57"/>
  <c r="AC341" i="57"/>
  <c r="AN344" i="57"/>
  <c r="AN358" i="57"/>
  <c r="AE360" i="57"/>
  <c r="AE370" i="57"/>
  <c r="AD374" i="57"/>
  <c r="AD378" i="57"/>
  <c r="AD382" i="57"/>
  <c r="AD386" i="57"/>
  <c r="AD390" i="57"/>
  <c r="AD394" i="57"/>
  <c r="AD335" i="57"/>
  <c r="AD341" i="57"/>
  <c r="AP344" i="57"/>
  <c r="AE348" i="57"/>
  <c r="AC350" i="57"/>
  <c r="AN353" i="57"/>
  <c r="AE355" i="57"/>
  <c r="AF360" i="57"/>
  <c r="AE363" i="57"/>
  <c r="AC367" i="57"/>
  <c r="AF370" i="57"/>
  <c r="AE374" i="57"/>
  <c r="AE378" i="57"/>
  <c r="AE382" i="57"/>
  <c r="AE386" i="57"/>
  <c r="AE390" i="57"/>
  <c r="AE394" i="57"/>
  <c r="AE401" i="57"/>
  <c r="AD348" i="57"/>
  <c r="AP351" i="57"/>
  <c r="AD355" i="57"/>
  <c r="AD363" i="57"/>
  <c r="AD401" i="57"/>
  <c r="AE335" i="57"/>
  <c r="AE341" i="57"/>
  <c r="AC343" i="57"/>
  <c r="AN346" i="57"/>
  <c r="AF348" i="57"/>
  <c r="AD350" i="57"/>
  <c r="AP353" i="57"/>
  <c r="AF355" i="57"/>
  <c r="AC357" i="57"/>
  <c r="AF363" i="57"/>
  <c r="AD367" i="57"/>
  <c r="AC371" i="57"/>
  <c r="AF374" i="57"/>
  <c r="AF378" i="57"/>
  <c r="AF382" i="57"/>
  <c r="AF386" i="57"/>
  <c r="AF390" i="57"/>
  <c r="AF394" i="57"/>
  <c r="AC398" i="57"/>
  <c r="AF401" i="57"/>
  <c r="AP347" i="57"/>
  <c r="AN349" i="57"/>
  <c r="AC370" i="57"/>
  <c r="AC401" i="57"/>
  <c r="AC332" i="57"/>
  <c r="AF335" i="57"/>
  <c r="AD343" i="57"/>
  <c r="AP346" i="57"/>
  <c r="AE350" i="57"/>
  <c r="AC352" i="57"/>
  <c r="AD357" i="57"/>
  <c r="AC364" i="57"/>
  <c r="AD371" i="57"/>
  <c r="AC375" i="57"/>
  <c r="AC379" i="57"/>
  <c r="AC383" i="57"/>
  <c r="AC387" i="57"/>
  <c r="AC391" i="57"/>
  <c r="AC395" i="57"/>
  <c r="AS286" i="57"/>
  <c r="AS317" i="57"/>
  <c r="AS304" i="57"/>
  <c r="AS309" i="57"/>
  <c r="AS287" i="57"/>
  <c r="AS323" i="57"/>
  <c r="AS312" i="57"/>
  <c r="AS288" i="57"/>
  <c r="AS294" i="57"/>
  <c r="AS293" i="57"/>
  <c r="AS327" i="57"/>
  <c r="AS313" i="57"/>
  <c r="AS320" i="57"/>
  <c r="AC312" i="57"/>
  <c r="AC287" i="57"/>
  <c r="AC296" i="57"/>
  <c r="AC325" i="57"/>
  <c r="AC319" i="57"/>
  <c r="AC323" i="57"/>
  <c r="AC286" i="57"/>
  <c r="AC291" i="57"/>
  <c r="AC307" i="57"/>
  <c r="AC301" i="57"/>
  <c r="AC321" i="57"/>
  <c r="AC318" i="57"/>
  <c r="AC314" i="57"/>
  <c r="AC295" i="57"/>
  <c r="AC299" i="57"/>
  <c r="AC289" i="57"/>
  <c r="AC328" i="57"/>
  <c r="AC324" i="57"/>
  <c r="AC310" i="57"/>
  <c r="AC306" i="57"/>
  <c r="AC297" i="57"/>
  <c r="AC317" i="57"/>
  <c r="AC313" i="57"/>
  <c r="AC304" i="57"/>
  <c r="AC294" i="57"/>
  <c r="AC320" i="57"/>
  <c r="AE299" i="57"/>
  <c r="AE289" i="57"/>
  <c r="AE328" i="57"/>
  <c r="AE324" i="57"/>
  <c r="AE310" i="57"/>
  <c r="AE306" i="57"/>
  <c r="AE297" i="57"/>
  <c r="AE317" i="57"/>
  <c r="AE313" i="57"/>
  <c r="AE304" i="57"/>
  <c r="AE294" i="57"/>
  <c r="AE320" i="57"/>
  <c r="AE288" i="57"/>
  <c r="AE327" i="57"/>
  <c r="AE323" i="57"/>
  <c r="AE309" i="57"/>
  <c r="AE302" i="57"/>
  <c r="AD326" i="57"/>
  <c r="AF328" i="57"/>
  <c r="AF324" i="57"/>
  <c r="AF310" i="57"/>
  <c r="AF306" i="57"/>
  <c r="AF297" i="57"/>
  <c r="AF317" i="57"/>
  <c r="AF313" i="57"/>
  <c r="AF304" i="57"/>
  <c r="AF294" i="57"/>
  <c r="AF320" i="57"/>
  <c r="AF288" i="57"/>
  <c r="AF327" i="57"/>
  <c r="AF323" i="57"/>
  <c r="AF309" i="57"/>
  <c r="AF302" i="57"/>
  <c r="AF291" i="57"/>
  <c r="AF316" i="57"/>
  <c r="AF312" i="57"/>
  <c r="AF300" i="57"/>
  <c r="AF293" i="57"/>
  <c r="AC308" i="57"/>
  <c r="AC315" i="57"/>
  <c r="AE326" i="57"/>
  <c r="AC288" i="57"/>
  <c r="AD308" i="57"/>
  <c r="AE321" i="57"/>
  <c r="AF326" i="57"/>
  <c r="AF289" i="57"/>
  <c r="AE308" i="57"/>
  <c r="AE315" i="57"/>
  <c r="AF321" i="57"/>
  <c r="AC327" i="57"/>
  <c r="AD321" i="57"/>
  <c r="AD318" i="57"/>
  <c r="AD314" i="57"/>
  <c r="AD295" i="57"/>
  <c r="AD299" i="57"/>
  <c r="AD289" i="57"/>
  <c r="AD328" i="57"/>
  <c r="AD324" i="57"/>
  <c r="AD310" i="57"/>
  <c r="AD306" i="57"/>
  <c r="AD297" i="57"/>
  <c r="AD317" i="57"/>
  <c r="AD313" i="57"/>
  <c r="AD304" i="57"/>
  <c r="AD294" i="57"/>
  <c r="AD320" i="57"/>
  <c r="AD288" i="57"/>
  <c r="AD327" i="57"/>
  <c r="AD323" i="57"/>
  <c r="AD309" i="57"/>
  <c r="AD302" i="57"/>
  <c r="AC326" i="57"/>
  <c r="AC293" i="57"/>
  <c r="AC302" i="57"/>
  <c r="AC290" i="57"/>
  <c r="AD293" i="57"/>
  <c r="AC300" i="57"/>
  <c r="AC305" i="57"/>
  <c r="AC309" i="57"/>
  <c r="AC316" i="57"/>
  <c r="AC322" i="57"/>
  <c r="AD290" i="57"/>
  <c r="AE293" i="57"/>
  <c r="AD300" i="57"/>
  <c r="AD305" i="57"/>
  <c r="AC311" i="57"/>
  <c r="AD316" i="57"/>
  <c r="AD322" i="57"/>
  <c r="AE290" i="57"/>
  <c r="AE295" i="57"/>
  <c r="AC298" i="57"/>
  <c r="AE300" i="57"/>
  <c r="AE305" i="57"/>
  <c r="AD311" i="57"/>
  <c r="AE316" i="57"/>
  <c r="AE322" i="57"/>
  <c r="AF290" i="57"/>
  <c r="AF295" i="57"/>
  <c r="AD298" i="57"/>
  <c r="AC303" i="57"/>
  <c r="AF305" i="57"/>
  <c r="AE311" i="57"/>
  <c r="AE318" i="57"/>
  <c r="AF322" i="57"/>
  <c r="AP302" i="57"/>
  <c r="AV303" i="57"/>
  <c r="AV325" i="57"/>
  <c r="AV311" i="57"/>
  <c r="AV307" i="57"/>
  <c r="AV286" i="57"/>
  <c r="AV301" i="57"/>
  <c r="AV321" i="57"/>
  <c r="AV318" i="57"/>
  <c r="AV314" i="57"/>
  <c r="AV295" i="57"/>
  <c r="AV299" i="57"/>
  <c r="AV289" i="57"/>
  <c r="AV291" i="57"/>
  <c r="AV316" i="57"/>
  <c r="AV312" i="57"/>
  <c r="AV300" i="57"/>
  <c r="AV326" i="57"/>
  <c r="AV308" i="57"/>
  <c r="AV322" i="57"/>
  <c r="AV305" i="57"/>
  <c r="AV328" i="57"/>
  <c r="AV324" i="57"/>
  <c r="AV310" i="57"/>
  <c r="AV306" i="57"/>
  <c r="AV297" i="57"/>
  <c r="AV317" i="57"/>
  <c r="AV313" i="57"/>
  <c r="AV304" i="57"/>
  <c r="AV294" i="57"/>
  <c r="AV320" i="57"/>
  <c r="AV288" i="57"/>
  <c r="AV327" i="57"/>
  <c r="AV323" i="57"/>
  <c r="AV309" i="57"/>
  <c r="AV302" i="57"/>
  <c r="AV293" i="57"/>
  <c r="AV287" i="57"/>
  <c r="AV319" i="57"/>
  <c r="AV298" i="57"/>
  <c r="AV315" i="57"/>
  <c r="AV296" i="57"/>
  <c r="AV290" i="57"/>
  <c r="AS297" i="57"/>
  <c r="AS306" i="57"/>
  <c r="AT297" i="57"/>
  <c r="AT306" i="57"/>
  <c r="AS310" i="57"/>
  <c r="AS324" i="57"/>
  <c r="AS328" i="57"/>
  <c r="AS289" i="57"/>
  <c r="AU297" i="57"/>
  <c r="AS299" i="57"/>
  <c r="AU306" i="57"/>
  <c r="AT310" i="57"/>
  <c r="AT324" i="57"/>
  <c r="AT328" i="57"/>
  <c r="AT289" i="57"/>
  <c r="AS295" i="57"/>
  <c r="AT299" i="57"/>
  <c r="BF302" i="57"/>
  <c r="AU310" i="57"/>
  <c r="AS314" i="57"/>
  <c r="AS318" i="57"/>
  <c r="AS321" i="57"/>
  <c r="AU324" i="57"/>
  <c r="AU328" i="57"/>
  <c r="AU289" i="57"/>
  <c r="AT295" i="57"/>
  <c r="AU299" i="57"/>
  <c r="AS301" i="57"/>
  <c r="BD304" i="57"/>
  <c r="AT314" i="57"/>
  <c r="AT318" i="57"/>
  <c r="AT321" i="57"/>
  <c r="AS307" i="57"/>
  <c r="AS311" i="57"/>
  <c r="AS325" i="57"/>
  <c r="BA289" i="57"/>
  <c r="AS303" i="57"/>
  <c r="AT307" i="57"/>
  <c r="AT311" i="57"/>
  <c r="AT325" i="57"/>
  <c r="AS290" i="57"/>
  <c r="AS296" i="57"/>
  <c r="AT303" i="57"/>
  <c r="AU307" i="57"/>
  <c r="AU311" i="57"/>
  <c r="AS315" i="57"/>
  <c r="AU325" i="57"/>
  <c r="AT290" i="57"/>
  <c r="AT296" i="57"/>
  <c r="AU303" i="57"/>
  <c r="AS305" i="57"/>
  <c r="AT315" i="57"/>
  <c r="AS322" i="57"/>
  <c r="AU290" i="57"/>
  <c r="AU296" i="57"/>
  <c r="AS298" i="57"/>
  <c r="AT305" i="57"/>
  <c r="AS308" i="57"/>
  <c r="AS319" i="57"/>
  <c r="AR270" i="57"/>
  <c r="AR268" i="57"/>
  <c r="AR271" i="57"/>
  <c r="AR273" i="57"/>
  <c r="AR269" i="57"/>
  <c r="AS281" i="57"/>
  <c r="AS272" i="57"/>
  <c r="AS259" i="57"/>
  <c r="AS242" i="57"/>
  <c r="AS232" i="57"/>
  <c r="AS216" i="57"/>
  <c r="AS207" i="57"/>
  <c r="AS203" i="57"/>
  <c r="AS248" i="57"/>
  <c r="AS237" i="57"/>
  <c r="AS218" i="57"/>
  <c r="AS205" i="57"/>
  <c r="AS245" i="57"/>
  <c r="AI245" i="57" s="1"/>
  <c r="AS202" i="57"/>
  <c r="AS233" i="57"/>
  <c r="AS229" i="57"/>
  <c r="AS199" i="57"/>
  <c r="AS283" i="57"/>
  <c r="AS267" i="57"/>
  <c r="AS251" i="57"/>
  <c r="AS239" i="57"/>
  <c r="AS227" i="57"/>
  <c r="AS224" i="57"/>
  <c r="AS214" i="57"/>
  <c r="AS197" i="57"/>
  <c r="AS277" i="57"/>
  <c r="AS280" i="57"/>
  <c r="AS261" i="57"/>
  <c r="AS253" i="57"/>
  <c r="AS241" i="57"/>
  <c r="AS210" i="57"/>
  <c r="AS196" i="57"/>
  <c r="AS258" i="57"/>
  <c r="AS208" i="57"/>
  <c r="AS274" i="57"/>
  <c r="AS264" i="57"/>
  <c r="AS256" i="57"/>
  <c r="AS230" i="57"/>
  <c r="AS222" i="57"/>
  <c r="AS212" i="57"/>
  <c r="AS220" i="57"/>
  <c r="AS269" i="57"/>
  <c r="AS235" i="57"/>
  <c r="AS266" i="57"/>
  <c r="AS271" i="57"/>
  <c r="AS250" i="57"/>
  <c r="AS263" i="57"/>
  <c r="AS254" i="57"/>
  <c r="AS244" i="57"/>
  <c r="AS213" i="57"/>
  <c r="AS270" i="57"/>
  <c r="AS231" i="57"/>
  <c r="AS198" i="57"/>
  <c r="AS217" i="57"/>
  <c r="AS234" i="57"/>
  <c r="AS201" i="57"/>
  <c r="AS211" i="57"/>
  <c r="AS195" i="57"/>
  <c r="AS276" i="57"/>
  <c r="AS194" i="57"/>
  <c r="AS275" i="57"/>
  <c r="AS265" i="57"/>
  <c r="AS260" i="57"/>
  <c r="AS273" i="57"/>
  <c r="AS206" i="57"/>
  <c r="AS246" i="57"/>
  <c r="AS236" i="57"/>
  <c r="AS225" i="57"/>
  <c r="AS262" i="57"/>
  <c r="AS249" i="57"/>
  <c r="AS219" i="57"/>
  <c r="AS215" i="57"/>
  <c r="AS221" i="57"/>
  <c r="AS279" i="57"/>
  <c r="AS240" i="57"/>
  <c r="AS209" i="57"/>
  <c r="AS255" i="57"/>
  <c r="AS226" i="57"/>
  <c r="AS282" i="57"/>
  <c r="AS243" i="57"/>
  <c r="AS238" i="57"/>
  <c r="AS228" i="57"/>
  <c r="AS257" i="57"/>
  <c r="AS252" i="57"/>
  <c r="AS247" i="57"/>
  <c r="AS223" i="57"/>
  <c r="AS204" i="57"/>
  <c r="AS278" i="57"/>
  <c r="AS268" i="57"/>
  <c r="AW251" i="57"/>
  <c r="AV216" i="57"/>
  <c r="AV222" i="57"/>
  <c r="AV239" i="57"/>
  <c r="AV264" i="57"/>
  <c r="AV256" i="57"/>
  <c r="AV274" i="57"/>
  <c r="AV227" i="57"/>
  <c r="AV204" i="57"/>
  <c r="BE218" i="57"/>
  <c r="AV242" i="57"/>
  <c r="AV265" i="57"/>
  <c r="AV270" i="57"/>
  <c r="AV281" i="57"/>
  <c r="AV221" i="57"/>
  <c r="AU275" i="57"/>
  <c r="AV277" i="57"/>
  <c r="AV248" i="57"/>
  <c r="AV237" i="57"/>
  <c r="AV218" i="57"/>
  <c r="AV212" i="57"/>
  <c r="AV205" i="57"/>
  <c r="AV266" i="57"/>
  <c r="AV271" i="57"/>
  <c r="AV229" i="57"/>
  <c r="AV276" i="57"/>
  <c r="AV247" i="57"/>
  <c r="AV231" i="57"/>
  <c r="AV195" i="57"/>
  <c r="AV280" i="57"/>
  <c r="AV261" i="57"/>
  <c r="AV253" i="57"/>
  <c r="AV245" i="57"/>
  <c r="AV241" i="57"/>
  <c r="AV220" i="57"/>
  <c r="AV202" i="57"/>
  <c r="AV258" i="57"/>
  <c r="AV233" i="57"/>
  <c r="AV201" i="57"/>
  <c r="AV223" i="57"/>
  <c r="AV217" i="57"/>
  <c r="AV260" i="57"/>
  <c r="AV213" i="57"/>
  <c r="AV206" i="57"/>
  <c r="AV269" i="57"/>
  <c r="AV235" i="57"/>
  <c r="AV210" i="57"/>
  <c r="AV196" i="57"/>
  <c r="AV250" i="57"/>
  <c r="AV208" i="57"/>
  <c r="AV199" i="57"/>
  <c r="AV283" i="57"/>
  <c r="AV263" i="57"/>
  <c r="AV255" i="57"/>
  <c r="AV244" i="57"/>
  <c r="AV226" i="57"/>
  <c r="AV215" i="57"/>
  <c r="AV279" i="57"/>
  <c r="AV273" i="57"/>
  <c r="AV240" i="57"/>
  <c r="AV238" i="57"/>
  <c r="AV262" i="57"/>
  <c r="AV246" i="57"/>
  <c r="AV251" i="57"/>
  <c r="AV203" i="57"/>
  <c r="AU224" i="57"/>
  <c r="AU228" i="57"/>
  <c r="AU238" i="57"/>
  <c r="AU243" i="57"/>
  <c r="AV257" i="57"/>
  <c r="AU267" i="57"/>
  <c r="AV219" i="57"/>
  <c r="AV230" i="57"/>
  <c r="AV272" i="57"/>
  <c r="AR272" i="57"/>
  <c r="AV254" i="57"/>
  <c r="AV268" i="57"/>
  <c r="AV197" i="57"/>
  <c r="AV259" i="57"/>
  <c r="AV198" i="57"/>
  <c r="AV209" i="57"/>
  <c r="AV232" i="57"/>
  <c r="AT267" i="57"/>
  <c r="AT251" i="57"/>
  <c r="AT239" i="57"/>
  <c r="AT227" i="57"/>
  <c r="AT224" i="57"/>
  <c r="AT214" i="57"/>
  <c r="AT197" i="57"/>
  <c r="AT280" i="57"/>
  <c r="AT245" i="57"/>
  <c r="AT241" i="57"/>
  <c r="AT220" i="57"/>
  <c r="AT202" i="57"/>
  <c r="AT269" i="57"/>
  <c r="AT235" i="57"/>
  <c r="AT244" i="57"/>
  <c r="AT201" i="57"/>
  <c r="AT274" i="57"/>
  <c r="AT264" i="57"/>
  <c r="AT256" i="57"/>
  <c r="AT230" i="57"/>
  <c r="AT222" i="57"/>
  <c r="AT261" i="57"/>
  <c r="AT253" i="57"/>
  <c r="AT199" i="57"/>
  <c r="AT283" i="57"/>
  <c r="AT255" i="57"/>
  <c r="AT226" i="57"/>
  <c r="AT215" i="57"/>
  <c r="AT277" i="57"/>
  <c r="AT248" i="57"/>
  <c r="AT237" i="57"/>
  <c r="AT218" i="57"/>
  <c r="AT212" i="57"/>
  <c r="AT205" i="57"/>
  <c r="AT210" i="57"/>
  <c r="AT196" i="57"/>
  <c r="AT266" i="57"/>
  <c r="AT258" i="57"/>
  <c r="AT271" i="57"/>
  <c r="AT250" i="57"/>
  <c r="AT233" i="57"/>
  <c r="AT229" i="57"/>
  <c r="AT208" i="57"/>
  <c r="AT276" i="57"/>
  <c r="AT263" i="57"/>
  <c r="AT279" i="57"/>
  <c r="AT273" i="57"/>
  <c r="AV207" i="57"/>
  <c r="AT219" i="57"/>
  <c r="AV224" i="57"/>
  <c r="AV228" i="57"/>
  <c r="AV243" i="57"/>
  <c r="AT249" i="57"/>
  <c r="AT262" i="57"/>
  <c r="AV267" i="57"/>
  <c r="AT272" i="57"/>
  <c r="AV282" i="57"/>
  <c r="AV249" i="57"/>
  <c r="BF205" i="57"/>
  <c r="AV225" i="57"/>
  <c r="AV236" i="57"/>
  <c r="AV278" i="57"/>
  <c r="AV211" i="57"/>
  <c r="AV214" i="57"/>
  <c r="AV234" i="57"/>
  <c r="AV275" i="57"/>
  <c r="AV194" i="57"/>
  <c r="AU274" i="57"/>
  <c r="AU264" i="57"/>
  <c r="AU256" i="57"/>
  <c r="AU230" i="57"/>
  <c r="AU222" i="57"/>
  <c r="AU269" i="57"/>
  <c r="AU235" i="57"/>
  <c r="AU196" i="57"/>
  <c r="AU266" i="57"/>
  <c r="AU208" i="57"/>
  <c r="AU283" i="57"/>
  <c r="AU255" i="57"/>
  <c r="AU201" i="57"/>
  <c r="AU279" i="57"/>
  <c r="AU277" i="57"/>
  <c r="AU248" i="57"/>
  <c r="AU237" i="57"/>
  <c r="AU218" i="57"/>
  <c r="AU212" i="57"/>
  <c r="AU205" i="57"/>
  <c r="AU199" i="57"/>
  <c r="AU276" i="57"/>
  <c r="AU244" i="57"/>
  <c r="AU231" i="57"/>
  <c r="AU223" i="57"/>
  <c r="AU280" i="57"/>
  <c r="AU261" i="57"/>
  <c r="AU253" i="57"/>
  <c r="AU245" i="57"/>
  <c r="AU241" i="57"/>
  <c r="AU220" i="57"/>
  <c r="AU202" i="57"/>
  <c r="AU210" i="57"/>
  <c r="AU258" i="57"/>
  <c r="AU271" i="57"/>
  <c r="AU250" i="57"/>
  <c r="AU233" i="57"/>
  <c r="AU229" i="57"/>
  <c r="AU226" i="57"/>
  <c r="AU215" i="57"/>
  <c r="AU247" i="57"/>
  <c r="AU240" i="57"/>
  <c r="AU195" i="57"/>
  <c r="AU260" i="57"/>
  <c r="AU263" i="57"/>
  <c r="AU273" i="57"/>
  <c r="AU217" i="57"/>
  <c r="AT216" i="57"/>
  <c r="AU219" i="57"/>
  <c r="AU249" i="57"/>
  <c r="AU262" i="57"/>
  <c r="AU272" i="57"/>
  <c r="BF204" i="57"/>
  <c r="BD208" i="57"/>
  <c r="AW250" i="57"/>
  <c r="AW252" i="57" s="1"/>
  <c r="BE208" i="57"/>
  <c r="BF208" i="57" s="1"/>
  <c r="BC219" i="57"/>
  <c r="AR219" i="57" s="1"/>
  <c r="AB270" i="57"/>
  <c r="AB271" i="57"/>
  <c r="AB273" i="57"/>
  <c r="AB269" i="57"/>
  <c r="AB268" i="57"/>
  <c r="AF240" i="57"/>
  <c r="AF211" i="57"/>
  <c r="AC219" i="57"/>
  <c r="AF221" i="57"/>
  <c r="AC233" i="57"/>
  <c r="AC241" i="57"/>
  <c r="AF259" i="57"/>
  <c r="AC273" i="57"/>
  <c r="AC201" i="57"/>
  <c r="AF238" i="57"/>
  <c r="AF249" i="57"/>
  <c r="AF252" i="57"/>
  <c r="AF256" i="57"/>
  <c r="AF282" i="57"/>
  <c r="AF198" i="57"/>
  <c r="AF209" i="57"/>
  <c r="AC228" i="57"/>
  <c r="AC263" i="57"/>
  <c r="AF270" i="57"/>
  <c r="AC283" i="57"/>
  <c r="AF194" i="57"/>
  <c r="AC205" i="57"/>
  <c r="AF233" i="57"/>
  <c r="AF231" i="57"/>
  <c r="AC257" i="57"/>
  <c r="AF278" i="57"/>
  <c r="AC195" i="57"/>
  <c r="AC202" i="57"/>
  <c r="AF228" i="57"/>
  <c r="AC250" i="57"/>
  <c r="AG248" i="57"/>
  <c r="AB272" i="57"/>
  <c r="AF277" i="57"/>
  <c r="AF234" i="57"/>
  <c r="AF280" i="57"/>
  <c r="AF261" i="57"/>
  <c r="AF253" i="57"/>
  <c r="AF266" i="57"/>
  <c r="AF227" i="57"/>
  <c r="AF224" i="57"/>
  <c r="AF214" i="57"/>
  <c r="AF197" i="57"/>
  <c r="AF271" i="57"/>
  <c r="AF230" i="57"/>
  <c r="AF222" i="57"/>
  <c r="AF283" i="57"/>
  <c r="AF276" i="57"/>
  <c r="AF263" i="57"/>
  <c r="AF255" i="57"/>
  <c r="AF250" i="57"/>
  <c r="AF237" i="57"/>
  <c r="AF218" i="57"/>
  <c r="AF212" i="57"/>
  <c r="AF205" i="57"/>
  <c r="AF273" i="57"/>
  <c r="AF245" i="57"/>
  <c r="AF241" i="57"/>
  <c r="AF269" i="57"/>
  <c r="AF248" i="57"/>
  <c r="AF242" i="57"/>
  <c r="AF232" i="57"/>
  <c r="AF216" i="57"/>
  <c r="AF207" i="57"/>
  <c r="AF203" i="57"/>
  <c r="AF258" i="57"/>
  <c r="AF239" i="57"/>
  <c r="AF279" i="57"/>
  <c r="AF220" i="57"/>
  <c r="AF213" i="57"/>
  <c r="AC281" i="57"/>
  <c r="AC272" i="57"/>
  <c r="AC259" i="57"/>
  <c r="AC267" i="57"/>
  <c r="AC251" i="57"/>
  <c r="AC243" i="57"/>
  <c r="AC236" i="57"/>
  <c r="AC225" i="57"/>
  <c r="AC211" i="57"/>
  <c r="AC204" i="57"/>
  <c r="AC198" i="57"/>
  <c r="AC277" i="57"/>
  <c r="AC234" i="57"/>
  <c r="AC209" i="57"/>
  <c r="AC194" i="57"/>
  <c r="AC280" i="57"/>
  <c r="AC261" i="57"/>
  <c r="AC253" i="57"/>
  <c r="AC269" i="57"/>
  <c r="AC248" i="57"/>
  <c r="AC242" i="57"/>
  <c r="AC232" i="57"/>
  <c r="AC216" i="57"/>
  <c r="AC207" i="57"/>
  <c r="AC203" i="57"/>
  <c r="AC239" i="57"/>
  <c r="AC274" i="57"/>
  <c r="AC264" i="57"/>
  <c r="AC256" i="57"/>
  <c r="AC246" i="57"/>
  <c r="AC266" i="57"/>
  <c r="AC258" i="57"/>
  <c r="AC227" i="57"/>
  <c r="AC224" i="57"/>
  <c r="AC214" i="57"/>
  <c r="AF223" i="57"/>
  <c r="AF235" i="57"/>
  <c r="AF262" i="57"/>
  <c r="AC270" i="57"/>
  <c r="AP204" i="57"/>
  <c r="AC231" i="57"/>
  <c r="AF246" i="57"/>
  <c r="AC278" i="57"/>
  <c r="AF219" i="57"/>
  <c r="AF236" i="57"/>
  <c r="AC260" i="57"/>
  <c r="AF267" i="57"/>
  <c r="AC199" i="57"/>
  <c r="AF201" i="57"/>
  <c r="AC247" i="57"/>
  <c r="AC212" i="57"/>
  <c r="AC217" i="57"/>
  <c r="AC222" i="57"/>
  <c r="AC229" i="57"/>
  <c r="AF243" i="57"/>
  <c r="AF260" i="57"/>
  <c r="AF264" i="57"/>
  <c r="AC271" i="57"/>
  <c r="AC279" i="57"/>
  <c r="AO205" i="57"/>
  <c r="AO218" i="57" s="1"/>
  <c r="AD209" i="57"/>
  <c r="AO212" i="57"/>
  <c r="AP212" i="57" s="1"/>
  <c r="AN222" i="57"/>
  <c r="AD234" i="57"/>
  <c r="AE253" i="57"/>
  <c r="AE261" i="57"/>
  <c r="AD277" i="57"/>
  <c r="AE280" i="57"/>
  <c r="AN210" i="57"/>
  <c r="AO210" i="57"/>
  <c r="AP210" i="57" s="1"/>
  <c r="AN220" i="57"/>
  <c r="AN212" i="57"/>
  <c r="AO220" i="57"/>
  <c r="AE209" i="57"/>
  <c r="AN214" i="57"/>
  <c r="AE234" i="57"/>
  <c r="AD246" i="57"/>
  <c r="AD256" i="57"/>
  <c r="AD264" i="57"/>
  <c r="AD274" i="57"/>
  <c r="AE277" i="57"/>
  <c r="AD236" i="57"/>
  <c r="AD243" i="57"/>
  <c r="AE246" i="57"/>
  <c r="AD251" i="57"/>
  <c r="AE256" i="57"/>
  <c r="AE264" i="57"/>
  <c r="L268" i="57"/>
  <c r="L273" i="57"/>
  <c r="L272" i="57"/>
  <c r="L270" i="57"/>
  <c r="Q265" i="57"/>
  <c r="L271" i="57"/>
  <c r="L269" i="57"/>
  <c r="X355" i="57"/>
  <c r="X359" i="57"/>
  <c r="X347" i="57"/>
  <c r="X344" i="57"/>
  <c r="X348" i="57"/>
  <c r="X343" i="57"/>
  <c r="Z344" i="57"/>
  <c r="X341" i="57"/>
  <c r="X354" i="57"/>
  <c r="N331" i="57"/>
  <c r="Z351" i="57"/>
  <c r="N368" i="57"/>
  <c r="N395" i="57"/>
  <c r="N375" i="57"/>
  <c r="N336" i="57"/>
  <c r="N343" i="57"/>
  <c r="X346" i="57"/>
  <c r="X353" i="57"/>
  <c r="N376" i="57"/>
  <c r="N399" i="57"/>
  <c r="Z346" i="57"/>
  <c r="N350" i="57"/>
  <c r="Z353" i="57"/>
  <c r="N357" i="57"/>
  <c r="X360" i="57"/>
  <c r="N379" i="57"/>
  <c r="N402" i="57"/>
  <c r="N380" i="57"/>
  <c r="N403" i="57"/>
  <c r="X350" i="57"/>
  <c r="N354" i="57"/>
  <c r="X357" i="57"/>
  <c r="N383" i="57"/>
  <c r="M402" i="57"/>
  <c r="M395" i="57"/>
  <c r="M391" i="57"/>
  <c r="M387" i="57"/>
  <c r="M383" i="57"/>
  <c r="M379" i="57"/>
  <c r="M375" i="57"/>
  <c r="M348" i="57"/>
  <c r="M401" i="57"/>
  <c r="M334" i="57"/>
  <c r="M373" i="57"/>
  <c r="M365" i="57"/>
  <c r="M399" i="57"/>
  <c r="M392" i="57"/>
  <c r="M388" i="57"/>
  <c r="M384" i="57"/>
  <c r="M380" i="57"/>
  <c r="M376" i="57"/>
  <c r="M361" i="57"/>
  <c r="M352" i="57"/>
  <c r="M332" i="57"/>
  <c r="M398" i="57"/>
  <c r="M371" i="57"/>
  <c r="M367" i="57"/>
  <c r="M355" i="57"/>
  <c r="M331" i="57"/>
  <c r="M340" i="57"/>
  <c r="M394" i="57"/>
  <c r="M390" i="57"/>
  <c r="M386" i="57"/>
  <c r="M382" i="57"/>
  <c r="M378" i="57"/>
  <c r="M374" i="57"/>
  <c r="M360" i="57"/>
  <c r="M370" i="57"/>
  <c r="M333" i="57"/>
  <c r="M354" i="57"/>
  <c r="M396" i="57"/>
  <c r="M345" i="57"/>
  <c r="M338" i="57"/>
  <c r="M368" i="57"/>
  <c r="M343" i="57"/>
  <c r="M350" i="57"/>
  <c r="M364" i="57"/>
  <c r="M341" i="57"/>
  <c r="M335" i="57"/>
  <c r="M346" i="57"/>
  <c r="M363" i="57"/>
  <c r="M353" i="57"/>
  <c r="M344" i="57"/>
  <c r="M351" i="57"/>
  <c r="M369" i="57"/>
  <c r="M347" i="57"/>
  <c r="M336" i="57"/>
  <c r="M372" i="57"/>
  <c r="M359" i="57"/>
  <c r="M397" i="57"/>
  <c r="M358" i="57"/>
  <c r="M342" i="57"/>
  <c r="M366" i="57"/>
  <c r="M362" i="57"/>
  <c r="M349" i="57"/>
  <c r="M339" i="57"/>
  <c r="M404" i="57"/>
  <c r="M400" i="57"/>
  <c r="M393" i="57"/>
  <c r="M389" i="57"/>
  <c r="M385" i="57"/>
  <c r="M381" i="57"/>
  <c r="M377" i="57"/>
  <c r="M356" i="57"/>
  <c r="M403" i="57"/>
  <c r="M357" i="57"/>
  <c r="P371" i="57"/>
  <c r="O402" i="57"/>
  <c r="P348" i="57"/>
  <c r="O399" i="57"/>
  <c r="O345" i="57"/>
  <c r="P352" i="57"/>
  <c r="P392" i="57"/>
  <c r="P345" i="57"/>
  <c r="O354" i="57"/>
  <c r="P365" i="57"/>
  <c r="P396" i="57"/>
  <c r="P336" i="57"/>
  <c r="O347" i="57"/>
  <c r="X352" i="57"/>
  <c r="P354" i="57"/>
  <c r="N356" i="57"/>
  <c r="O369" i="57"/>
  <c r="O373" i="57"/>
  <c r="N377" i="57"/>
  <c r="N381" i="57"/>
  <c r="N385" i="57"/>
  <c r="N389" i="57"/>
  <c r="N393" i="57"/>
  <c r="N400" i="57"/>
  <c r="N404" i="57"/>
  <c r="O333" i="57"/>
  <c r="N339" i="57"/>
  <c r="X345" i="57"/>
  <c r="P347" i="57"/>
  <c r="N349" i="57"/>
  <c r="Z352" i="57"/>
  <c r="O356" i="57"/>
  <c r="N362" i="57"/>
  <c r="N366" i="57"/>
  <c r="P369" i="57"/>
  <c r="P373" i="57"/>
  <c r="O377" i="57"/>
  <c r="O381" i="57"/>
  <c r="O385" i="57"/>
  <c r="O389" i="57"/>
  <c r="O393" i="57"/>
  <c r="O400" i="57"/>
  <c r="O404" i="57"/>
  <c r="O367" i="57"/>
  <c r="O398" i="57"/>
  <c r="P355" i="57"/>
  <c r="O341" i="57"/>
  <c r="O357" i="57"/>
  <c r="O364" i="57"/>
  <c r="P379" i="57"/>
  <c r="P387" i="57"/>
  <c r="P391" i="57"/>
  <c r="P402" i="57"/>
  <c r="O368" i="57"/>
  <c r="P343" i="57"/>
  <c r="O352" i="57"/>
  <c r="O361" i="57"/>
  <c r="P368" i="57"/>
  <c r="P372" i="57"/>
  <c r="O376" i="57"/>
  <c r="O380" i="57"/>
  <c r="O384" i="57"/>
  <c r="O388" i="57"/>
  <c r="O403" i="57"/>
  <c r="P332" i="57"/>
  <c r="O338" i="57"/>
  <c r="O365" i="57"/>
  <c r="P380" i="57"/>
  <c r="P384" i="57"/>
  <c r="P388" i="57"/>
  <c r="O396" i="57"/>
  <c r="O349" i="57"/>
  <c r="P356" i="57"/>
  <c r="O362" i="57"/>
  <c r="P377" i="57"/>
  <c r="P381" i="57"/>
  <c r="P385" i="57"/>
  <c r="P389" i="57"/>
  <c r="P393" i="57"/>
  <c r="P404" i="57"/>
  <c r="P342" i="57"/>
  <c r="N344" i="57"/>
  <c r="Z347" i="57"/>
  <c r="O351" i="57"/>
  <c r="X356" i="57"/>
  <c r="P358" i="57"/>
  <c r="N360" i="57"/>
  <c r="N378" i="57"/>
  <c r="N390" i="57"/>
  <c r="O334" i="57"/>
  <c r="N340" i="57"/>
  <c r="O344" i="57"/>
  <c r="X349" i="57"/>
  <c r="P351" i="57"/>
  <c r="N353" i="57"/>
  <c r="O360" i="57"/>
  <c r="N363" i="57"/>
  <c r="P370" i="57"/>
  <c r="O374" i="57"/>
  <c r="O378" i="57"/>
  <c r="O382" i="57"/>
  <c r="O386" i="57"/>
  <c r="O390" i="57"/>
  <c r="O394" i="57"/>
  <c r="O401" i="57"/>
  <c r="O331" i="57"/>
  <c r="O355" i="57"/>
  <c r="O371" i="57"/>
  <c r="P331" i="57"/>
  <c r="O383" i="57"/>
  <c r="P375" i="57"/>
  <c r="P383" i="57"/>
  <c r="P395" i="57"/>
  <c r="O343" i="57"/>
  <c r="O359" i="57"/>
  <c r="P359" i="57"/>
  <c r="P361" i="57"/>
  <c r="P376" i="57"/>
  <c r="P399" i="57"/>
  <c r="O336" i="57"/>
  <c r="P333" i="57"/>
  <c r="O339" i="57"/>
  <c r="P339" i="57"/>
  <c r="O358" i="57"/>
  <c r="P362" i="57"/>
  <c r="P366" i="57"/>
  <c r="O397" i="57"/>
  <c r="O370" i="57"/>
  <c r="N374" i="57"/>
  <c r="N382" i="57"/>
  <c r="N386" i="57"/>
  <c r="N394" i="57"/>
  <c r="P397" i="57"/>
  <c r="N401" i="57"/>
  <c r="P334" i="57"/>
  <c r="O340" i="57"/>
  <c r="X342" i="57"/>
  <c r="P344" i="57"/>
  <c r="N346" i="57"/>
  <c r="O353" i="57"/>
  <c r="X358" i="57"/>
  <c r="P360" i="57"/>
  <c r="O363" i="57"/>
  <c r="P374" i="57"/>
  <c r="P378" i="57"/>
  <c r="P382" i="57"/>
  <c r="P386" i="57"/>
  <c r="P390" i="57"/>
  <c r="P394" i="57"/>
  <c r="P401" i="57"/>
  <c r="O348" i="57"/>
  <c r="P367" i="57"/>
  <c r="O375" i="57"/>
  <c r="O379" i="57"/>
  <c r="O387" i="57"/>
  <c r="O391" i="57"/>
  <c r="O395" i="57"/>
  <c r="P398" i="57"/>
  <c r="O335" i="57"/>
  <c r="P335" i="57"/>
  <c r="P341" i="57"/>
  <c r="O350" i="57"/>
  <c r="P357" i="57"/>
  <c r="P364" i="57"/>
  <c r="P350" i="57"/>
  <c r="O372" i="57"/>
  <c r="O332" i="57"/>
  <c r="O392" i="57"/>
  <c r="P403" i="57"/>
  <c r="P338" i="57"/>
  <c r="O366" i="57"/>
  <c r="P400" i="57"/>
  <c r="O342" i="57"/>
  <c r="P349" i="57"/>
  <c r="P340" i="57"/>
  <c r="X351" i="57"/>
  <c r="P353" i="57"/>
  <c r="N355" i="57"/>
  <c r="N367" i="57"/>
  <c r="N371" i="57"/>
  <c r="O248" i="57"/>
  <c r="M281" i="57"/>
  <c r="M275" i="57"/>
  <c r="M251" i="57"/>
  <c r="M197" i="57"/>
  <c r="O251" i="57"/>
  <c r="O267" i="57"/>
  <c r="N241" i="57"/>
  <c r="N197" i="57"/>
  <c r="O241" i="57"/>
  <c r="N220" i="57"/>
  <c r="N251" i="57"/>
  <c r="O197" i="57"/>
  <c r="O222" i="57"/>
  <c r="U197" i="57"/>
  <c r="O256" i="57"/>
  <c r="N275" i="57"/>
  <c r="O220" i="57"/>
  <c r="O205" i="57"/>
  <c r="O275" i="57"/>
  <c r="O310" i="57"/>
  <c r="Z300" i="57"/>
  <c r="O302" i="57"/>
  <c r="O319" i="57"/>
  <c r="O316" i="57"/>
  <c r="M218" i="57"/>
  <c r="M242" i="57"/>
  <c r="O286" i="57"/>
  <c r="N297" i="57"/>
  <c r="O301" i="57"/>
  <c r="N218" i="57"/>
  <c r="N242" i="57"/>
  <c r="O297" i="57"/>
  <c r="O218" i="57"/>
  <c r="O242" i="57"/>
  <c r="O288" i="57"/>
  <c r="O294" i="57"/>
  <c r="Y223" i="57"/>
  <c r="O235" i="57"/>
  <c r="O289" i="57"/>
  <c r="O290" i="57"/>
  <c r="M214" i="57"/>
  <c r="N214" i="57"/>
  <c r="X208" i="57"/>
  <c r="O214" i="57"/>
  <c r="M230" i="57"/>
  <c r="N245" i="57"/>
  <c r="O269" i="57"/>
  <c r="N230" i="57"/>
  <c r="O320" i="57"/>
  <c r="O230" i="57"/>
  <c r="O305" i="57"/>
  <c r="Y208" i="57"/>
  <c r="Z208" i="57" s="1"/>
  <c r="O203" i="57"/>
  <c r="M237" i="57"/>
  <c r="O300" i="57"/>
  <c r="N237" i="57"/>
  <c r="M256" i="57"/>
  <c r="O281" i="57"/>
  <c r="O322" i="57"/>
  <c r="O210" i="57"/>
  <c r="N256" i="57"/>
  <c r="M264" i="57"/>
  <c r="M282" i="57"/>
  <c r="O293" i="57"/>
  <c r="X300" i="57"/>
  <c r="O306" i="57"/>
  <c r="O308" i="57"/>
  <c r="M205" i="57"/>
  <c r="N264" i="57"/>
  <c r="N282" i="57"/>
  <c r="O196" i="57"/>
  <c r="N205" i="57"/>
  <c r="O282" i="57"/>
  <c r="O309" i="57"/>
  <c r="Y206" i="57"/>
  <c r="X210" i="57"/>
  <c r="N224" i="57"/>
  <c r="M232" i="57"/>
  <c r="O237" i="57"/>
  <c r="O245" i="57"/>
  <c r="N259" i="57"/>
  <c r="O264" i="57"/>
  <c r="M224" i="57"/>
  <c r="M216" i="57"/>
  <c r="O224" i="57"/>
  <c r="N232" i="57"/>
  <c r="O259" i="57"/>
  <c r="O323" i="57"/>
  <c r="N216" i="57"/>
  <c r="O232" i="57"/>
  <c r="M278" i="57"/>
  <c r="O324" i="57"/>
  <c r="M207" i="57"/>
  <c r="O216" i="57"/>
  <c r="N253" i="57"/>
  <c r="N278" i="57"/>
  <c r="N291" i="57"/>
  <c r="O298" i="57"/>
  <c r="O326" i="57"/>
  <c r="N202" i="57"/>
  <c r="N207" i="57"/>
  <c r="M212" i="57"/>
  <c r="M227" i="57"/>
  <c r="O253" i="57"/>
  <c r="M272" i="57"/>
  <c r="O278" i="57"/>
  <c r="O312" i="57"/>
  <c r="O327" i="57"/>
  <c r="N194" i="57"/>
  <c r="O202" i="57"/>
  <c r="O207" i="57"/>
  <c r="N212" i="57"/>
  <c r="N227" i="57"/>
  <c r="M239" i="57"/>
  <c r="N272" i="57"/>
  <c r="O313" i="57"/>
  <c r="O328" i="57"/>
  <c r="M259" i="57"/>
  <c r="O194" i="57"/>
  <c r="M203" i="57"/>
  <c r="O212" i="57"/>
  <c r="M222" i="57"/>
  <c r="O227" i="57"/>
  <c r="N239" i="57"/>
  <c r="M248" i="57"/>
  <c r="N261" i="57"/>
  <c r="M267" i="57"/>
  <c r="O272" i="57"/>
  <c r="N304" i="57"/>
  <c r="N203" i="57"/>
  <c r="N222" i="57"/>
  <c r="O239" i="57"/>
  <c r="N248" i="57"/>
  <c r="O261" i="57"/>
  <c r="N267" i="57"/>
  <c r="N281" i="57"/>
  <c r="O304" i="57"/>
  <c r="O317" i="57"/>
  <c r="Z301" i="57"/>
  <c r="N286" i="57"/>
  <c r="X298" i="57"/>
  <c r="X305" i="57"/>
  <c r="N324" i="57"/>
  <c r="Z298" i="57"/>
  <c r="N302" i="57"/>
  <c r="N317" i="57"/>
  <c r="N288" i="57"/>
  <c r="N295" i="57"/>
  <c r="N299" i="57"/>
  <c r="X302" i="57"/>
  <c r="N327" i="57"/>
  <c r="N294" i="57"/>
  <c r="Z302" i="57"/>
  <c r="N308" i="57"/>
  <c r="N319" i="57"/>
  <c r="N298" i="57"/>
  <c r="N313" i="57"/>
  <c r="N326" i="57"/>
  <c r="N287" i="57"/>
  <c r="N289" i="57"/>
  <c r="N328" i="57"/>
  <c r="N323" i="57"/>
  <c r="N309" i="57"/>
  <c r="N306" i="57"/>
  <c r="X303" i="57"/>
  <c r="N320" i="57"/>
  <c r="M326" i="57"/>
  <c r="M319" i="57"/>
  <c r="M308" i="57"/>
  <c r="M298" i="57"/>
  <c r="M318" i="57"/>
  <c r="M314" i="57"/>
  <c r="M310" i="57"/>
  <c r="M306" i="57"/>
  <c r="M313" i="57"/>
  <c r="M288" i="57"/>
  <c r="M327" i="57"/>
  <c r="M302" i="57"/>
  <c r="M287" i="57"/>
  <c r="M322" i="57"/>
  <c r="M305" i="57"/>
  <c r="M295" i="57"/>
  <c r="M299" i="57"/>
  <c r="M324" i="57"/>
  <c r="M309" i="57"/>
  <c r="M315" i="57"/>
  <c r="M296" i="57"/>
  <c r="M290" i="57"/>
  <c r="M303" i="57"/>
  <c r="M323" i="57"/>
  <c r="M321" i="57"/>
  <c r="M297" i="57"/>
  <c r="M325" i="57"/>
  <c r="M311" i="57"/>
  <c r="M307" i="57"/>
  <c r="M286" i="57"/>
  <c r="M289" i="57"/>
  <c r="M328" i="57"/>
  <c r="M304" i="57"/>
  <c r="M320" i="57"/>
  <c r="M301" i="57"/>
  <c r="M317" i="57"/>
  <c r="M294" i="57"/>
  <c r="M291" i="57"/>
  <c r="M316" i="57"/>
  <c r="M312" i="57"/>
  <c r="M300" i="57"/>
  <c r="M293" i="57"/>
  <c r="P303" i="57"/>
  <c r="P306" i="57"/>
  <c r="P320" i="57"/>
  <c r="P288" i="57"/>
  <c r="P323" i="57"/>
  <c r="P293" i="57"/>
  <c r="P325" i="57"/>
  <c r="P311" i="57"/>
  <c r="P307" i="57"/>
  <c r="P286" i="57"/>
  <c r="P297" i="57"/>
  <c r="P294" i="57"/>
  <c r="P301" i="57"/>
  <c r="P304" i="57"/>
  <c r="P327" i="57"/>
  <c r="P309" i="57"/>
  <c r="P302" i="57"/>
  <c r="P321" i="57"/>
  <c r="P318" i="57"/>
  <c r="P314" i="57"/>
  <c r="P295" i="57"/>
  <c r="P313" i="57"/>
  <c r="P287" i="57"/>
  <c r="P299" i="57"/>
  <c r="P289" i="57"/>
  <c r="P324" i="57"/>
  <c r="P310" i="57"/>
  <c r="P317" i="57"/>
  <c r="P312" i="57"/>
  <c r="P300" i="57"/>
  <c r="P290" i="57"/>
  <c r="P328" i="57"/>
  <c r="P291" i="57"/>
  <c r="P316" i="57"/>
  <c r="P326" i="57"/>
  <c r="P319" i="57"/>
  <c r="P308" i="57"/>
  <c r="P298" i="57"/>
  <c r="P322" i="57"/>
  <c r="P305" i="57"/>
  <c r="P315" i="57"/>
  <c r="P296" i="57"/>
  <c r="O287" i="57"/>
  <c r="N293" i="57"/>
  <c r="X296" i="57"/>
  <c r="N300" i="57"/>
  <c r="Z303" i="57"/>
  <c r="N312" i="57"/>
  <c r="N316" i="57"/>
  <c r="X304" i="57"/>
  <c r="N318" i="57"/>
  <c r="N314" i="57"/>
  <c r="N321" i="57"/>
  <c r="O295" i="57"/>
  <c r="X297" i="57"/>
  <c r="N301" i="57"/>
  <c r="Z304" i="57"/>
  <c r="O314" i="57"/>
  <c r="O318" i="57"/>
  <c r="O321" i="57"/>
  <c r="N307" i="57"/>
  <c r="N311" i="57"/>
  <c r="N325" i="57"/>
  <c r="U289" i="57"/>
  <c r="X299" i="57"/>
  <c r="N303" i="57"/>
  <c r="O307" i="57"/>
  <c r="O311" i="57"/>
  <c r="O325" i="57"/>
  <c r="Z297" i="57"/>
  <c r="N290" i="57"/>
  <c r="N296" i="57"/>
  <c r="Z299" i="57"/>
  <c r="O303" i="57"/>
  <c r="N315" i="57"/>
  <c r="O296" i="57"/>
  <c r="N305" i="57"/>
  <c r="P277" i="57"/>
  <c r="P250" i="57"/>
  <c r="P233" i="57"/>
  <c r="P229" i="57"/>
  <c r="P208" i="57"/>
  <c r="P199" i="57"/>
  <c r="P267" i="57"/>
  <c r="P214" i="57"/>
  <c r="P197" i="57"/>
  <c r="P230" i="57"/>
  <c r="P210" i="57"/>
  <c r="P258" i="57"/>
  <c r="P280" i="57"/>
  <c r="P271" i="57"/>
  <c r="P263" i="57"/>
  <c r="P255" i="57"/>
  <c r="P244" i="57"/>
  <c r="P226" i="57"/>
  <c r="P215" i="57"/>
  <c r="P201" i="57"/>
  <c r="P282" i="57"/>
  <c r="P251" i="57"/>
  <c r="P239" i="57"/>
  <c r="P256" i="57"/>
  <c r="P248" i="57"/>
  <c r="P235" i="57"/>
  <c r="P196" i="57"/>
  <c r="P247" i="57"/>
  <c r="P240" i="57"/>
  <c r="P231" i="57"/>
  <c r="P223" i="57"/>
  <c r="P217" i="57"/>
  <c r="P195" i="57"/>
  <c r="P206" i="57"/>
  <c r="P219" i="57"/>
  <c r="P249" i="57"/>
  <c r="P224" i="57"/>
  <c r="P205" i="57"/>
  <c r="P261" i="57"/>
  <c r="P253" i="57"/>
  <c r="P202" i="57"/>
  <c r="P260" i="57"/>
  <c r="P238" i="57"/>
  <c r="P213" i="57"/>
  <c r="P204" i="57"/>
  <c r="P198" i="57"/>
  <c r="P203" i="57"/>
  <c r="P275" i="57"/>
  <c r="P227" i="57"/>
  <c r="P278" i="57"/>
  <c r="P264" i="57"/>
  <c r="P237" i="57"/>
  <c r="P218" i="57"/>
  <c r="P212" i="57"/>
  <c r="P241" i="57"/>
  <c r="P266" i="57"/>
  <c r="P252" i="57"/>
  <c r="P228" i="57"/>
  <c r="P221" i="57"/>
  <c r="P279" i="57"/>
  <c r="P242" i="57"/>
  <c r="P232" i="57"/>
  <c r="P272" i="57"/>
  <c r="P274" i="57"/>
  <c r="P283" i="57"/>
  <c r="P276" i="57"/>
  <c r="P273" i="57"/>
  <c r="P268" i="57"/>
  <c r="P265" i="57"/>
  <c r="P257" i="57"/>
  <c r="P243" i="57"/>
  <c r="P236" i="57"/>
  <c r="P225" i="57"/>
  <c r="P211" i="57"/>
  <c r="P259" i="57"/>
  <c r="P216" i="57"/>
  <c r="P207" i="57"/>
  <c r="P270" i="57"/>
  <c r="P262" i="57"/>
  <c r="P254" i="57"/>
  <c r="P246" i="57"/>
  <c r="P234" i="57"/>
  <c r="P209" i="57"/>
  <c r="P194" i="57"/>
  <c r="P222" i="57"/>
  <c r="P281" i="57"/>
  <c r="P245" i="57"/>
  <c r="P220" i="57"/>
  <c r="P269" i="57"/>
  <c r="Y212" i="57"/>
  <c r="Z212" i="57" s="1"/>
  <c r="Y222" i="57"/>
  <c r="M225" i="57"/>
  <c r="O234" i="57"/>
  <c r="M236" i="57"/>
  <c r="M243" i="57"/>
  <c r="O246" i="57"/>
  <c r="N249" i="57"/>
  <c r="O254" i="57"/>
  <c r="M257" i="57"/>
  <c r="O262" i="57"/>
  <c r="M265" i="57"/>
  <c r="M268" i="57"/>
  <c r="O270" i="57"/>
  <c r="M273" i="57"/>
  <c r="M276" i="57"/>
  <c r="N279" i="57"/>
  <c r="M283" i="57"/>
  <c r="N198" i="57"/>
  <c r="N204" i="57"/>
  <c r="X207" i="57"/>
  <c r="N211" i="57"/>
  <c r="Y214" i="57"/>
  <c r="Z214" i="57" s="1"/>
  <c r="M219" i="57"/>
  <c r="M221" i="57"/>
  <c r="N225" i="57"/>
  <c r="M228" i="57"/>
  <c r="N236" i="57"/>
  <c r="N243" i="57"/>
  <c r="O249" i="57"/>
  <c r="M252" i="57"/>
  <c r="N257" i="57"/>
  <c r="N265" i="57"/>
  <c r="N268" i="57"/>
  <c r="N273" i="57"/>
  <c r="N276" i="57"/>
  <c r="O279" i="57"/>
  <c r="N283" i="57"/>
  <c r="M246" i="57"/>
  <c r="M254" i="57"/>
  <c r="M270" i="57"/>
  <c r="N262" i="57"/>
  <c r="N270" i="57"/>
  <c r="M204" i="57"/>
  <c r="X209" i="57"/>
  <c r="N213" i="57"/>
  <c r="M217" i="57"/>
  <c r="O219" i="57"/>
  <c r="O221" i="57"/>
  <c r="M223" i="57"/>
  <c r="O228" i="57"/>
  <c r="M231" i="57"/>
  <c r="N238" i="57"/>
  <c r="M240" i="57"/>
  <c r="M247" i="57"/>
  <c r="Q249" i="57"/>
  <c r="O252" i="57"/>
  <c r="N260" i="57"/>
  <c r="X212" i="57"/>
  <c r="M262" i="57"/>
  <c r="N254" i="57"/>
  <c r="N195" i="57"/>
  <c r="M201" i="57"/>
  <c r="O213" i="57"/>
  <c r="M215" i="57"/>
  <c r="N217" i="57"/>
  <c r="N223" i="57"/>
  <c r="M226" i="57"/>
  <c r="N231" i="57"/>
  <c r="O238" i="57"/>
  <c r="N240" i="57"/>
  <c r="M244" i="57"/>
  <c r="N247" i="57"/>
  <c r="M255" i="57"/>
  <c r="O260" i="57"/>
  <c r="M263" i="57"/>
  <c r="M271" i="57"/>
  <c r="M280" i="57"/>
  <c r="X220" i="57"/>
  <c r="M194" i="57"/>
  <c r="X222" i="57"/>
  <c r="M279" i="57"/>
  <c r="M238" i="57"/>
  <c r="M260" i="57"/>
  <c r="O268" i="57"/>
  <c r="O283" i="57"/>
  <c r="M195" i="57"/>
  <c r="N215" i="57"/>
  <c r="O217" i="57"/>
  <c r="O223" i="57"/>
  <c r="N226" i="57"/>
  <c r="M229" i="57"/>
  <c r="O231" i="57"/>
  <c r="M233" i="57"/>
  <c r="O240" i="57"/>
  <c r="N244" i="57"/>
  <c r="O247" i="57"/>
  <c r="M250" i="57"/>
  <c r="N255" i="57"/>
  <c r="N263" i="57"/>
  <c r="N271" i="57"/>
  <c r="M277" i="57"/>
  <c r="N280" i="57"/>
  <c r="Y220" i="57"/>
  <c r="M234" i="57"/>
  <c r="O209" i="57"/>
  <c r="Y207" i="57"/>
  <c r="Z207" i="57" s="1"/>
  <c r="N252" i="57"/>
  <c r="O257" i="57"/>
  <c r="O265" i="57"/>
  <c r="O276" i="57"/>
  <c r="N206" i="57"/>
  <c r="O206" i="57"/>
  <c r="Y209" i="57"/>
  <c r="Z209" i="57" s="1"/>
  <c r="O195" i="57"/>
  <c r="M199" i="57"/>
  <c r="N201" i="57"/>
  <c r="X204" i="57"/>
  <c r="M208" i="57"/>
  <c r="X211" i="57"/>
  <c r="N199" i="57"/>
  <c r="O201" i="57"/>
  <c r="N208" i="57"/>
  <c r="Y211" i="57"/>
  <c r="Z211" i="57" s="1"/>
  <c r="O215" i="57"/>
  <c r="X221" i="57"/>
  <c r="O226" i="57"/>
  <c r="N229" i="57"/>
  <c r="N233" i="57"/>
  <c r="O244" i="57"/>
  <c r="N250" i="57"/>
  <c r="O255" i="57"/>
  <c r="M258" i="57"/>
  <c r="O263" i="57"/>
  <c r="M266" i="57"/>
  <c r="O271" i="57"/>
  <c r="M274" i="57"/>
  <c r="N277" i="57"/>
  <c r="O280" i="57"/>
  <c r="Y210" i="57"/>
  <c r="Z210" i="57" s="1"/>
  <c r="M249" i="57"/>
  <c r="M211" i="57"/>
  <c r="M206" i="57"/>
  <c r="O211" i="57"/>
  <c r="N219" i="57"/>
  <c r="N221" i="57"/>
  <c r="O225" i="57"/>
  <c r="N228" i="57"/>
  <c r="O236" i="57"/>
  <c r="O243" i="57"/>
  <c r="O273" i="57"/>
  <c r="M196" i="57"/>
  <c r="O199" i="57"/>
  <c r="O208" i="57"/>
  <c r="M210" i="57"/>
  <c r="X213" i="57"/>
  <c r="Y221" i="57"/>
  <c r="O229" i="57"/>
  <c r="O233" i="57"/>
  <c r="M235" i="57"/>
  <c r="O250" i="57"/>
  <c r="N258" i="57"/>
  <c r="N266" i="57"/>
  <c r="M269" i="57"/>
  <c r="N274" i="57"/>
  <c r="O277" i="57"/>
  <c r="X205" i="57"/>
  <c r="M209" i="57"/>
  <c r="Y205" i="57"/>
  <c r="N209" i="57"/>
  <c r="N234" i="57"/>
  <c r="N246" i="57"/>
  <c r="M198" i="57"/>
  <c r="X214" i="57"/>
  <c r="O198" i="57"/>
  <c r="O204" i="57"/>
  <c r="M213" i="57"/>
  <c r="N196" i="57"/>
  <c r="M202" i="57"/>
  <c r="X206" i="57"/>
  <c r="N210" i="57"/>
  <c r="Y213" i="57"/>
  <c r="Z213" i="57" s="1"/>
  <c r="M220" i="57"/>
  <c r="N235" i="57"/>
  <c r="M241" i="57"/>
  <c r="M245" i="57"/>
  <c r="M253" i="57"/>
  <c r="O258" i="57"/>
  <c r="M261" i="57"/>
  <c r="O266" i="57"/>
  <c r="M32" i="69" l="1"/>
  <c r="B32" i="69" s="1"/>
  <c r="AG270" i="77"/>
  <c r="AM270" i="77"/>
  <c r="BW270" i="77"/>
  <c r="AK270" i="77" a="1"/>
  <c r="AK270" i="77" s="1"/>
  <c r="BG270" i="77" s="1"/>
  <c r="AH270" i="77"/>
  <c r="AI270" i="77"/>
  <c r="DC4" i="77"/>
  <c r="O30" i="71"/>
  <c r="P34" i="70"/>
  <c r="N42" i="70"/>
  <c r="G69" i="70"/>
  <c r="G70" i="70" s="1"/>
  <c r="I15" i="70"/>
  <c r="K15" i="70" s="1" a="1"/>
  <c r="K15" i="70" s="1"/>
  <c r="O15" i="70"/>
  <c r="AF24" i="69"/>
  <c r="AE34" i="69"/>
  <c r="AE31" i="69"/>
  <c r="AF31" i="69" s="1"/>
  <c r="AC32" i="69"/>
  <c r="R32" i="69" s="1"/>
  <c r="AC35" i="69"/>
  <c r="R35" i="69" s="1"/>
  <c r="W67" i="69"/>
  <c r="O31" i="69"/>
  <c r="P31" i="69" s="1"/>
  <c r="O34" i="69"/>
  <c r="M22" i="69"/>
  <c r="B22" i="69" s="1"/>
  <c r="M35" i="69"/>
  <c r="B35" i="69" s="1"/>
  <c r="P21" i="69"/>
  <c r="G66" i="69"/>
  <c r="AL62" i="60"/>
  <c r="AL52" i="60"/>
  <c r="AL34" i="60"/>
  <c r="AL47" i="60"/>
  <c r="AL53" i="60"/>
  <c r="AL38" i="60"/>
  <c r="AL22" i="60"/>
  <c r="AL91" i="60"/>
  <c r="AL86" i="60"/>
  <c r="AL50" i="60"/>
  <c r="AL87" i="60"/>
  <c r="AL60" i="60"/>
  <c r="AL56" i="60"/>
  <c r="AL36" i="60"/>
  <c r="AL20" i="60"/>
  <c r="AL18" i="60"/>
  <c r="AL43" i="60"/>
  <c r="AL27" i="60"/>
  <c r="AL78" i="60"/>
  <c r="AL63" i="60"/>
  <c r="AL32" i="60"/>
  <c r="AL15" i="60"/>
  <c r="AL73" i="60"/>
  <c r="AL40" i="60"/>
  <c r="AL80" i="60"/>
  <c r="AL65" i="60"/>
  <c r="AL57" i="60"/>
  <c r="AL44" i="60"/>
  <c r="AL82" i="60"/>
  <c r="AL67" i="60"/>
  <c r="AL59" i="60"/>
  <c r="AL55" i="60"/>
  <c r="AL24" i="60"/>
  <c r="AL21" i="60"/>
  <c r="AL11" i="60"/>
  <c r="AL71" i="60"/>
  <c r="AL37" i="60"/>
  <c r="AL14" i="60"/>
  <c r="AL46" i="60"/>
  <c r="AL84" i="60"/>
  <c r="AL69" i="60"/>
  <c r="AL61" i="60"/>
  <c r="AL51" i="60"/>
  <c r="AL74" i="60"/>
  <c r="AL30" i="60"/>
  <c r="AL88" i="60"/>
  <c r="AL85" i="60"/>
  <c r="AL75" i="60"/>
  <c r="AL45" i="60"/>
  <c r="AL39" i="60"/>
  <c r="AL26" i="60"/>
  <c r="AL12" i="60"/>
  <c r="AL89" i="60"/>
  <c r="AL70" i="60"/>
  <c r="AL49" i="60"/>
  <c r="AL13" i="60"/>
  <c r="AL93" i="60"/>
  <c r="AL48" i="60"/>
  <c r="AL83" i="60"/>
  <c r="AL66" i="60"/>
  <c r="AL29" i="60"/>
  <c r="AL79" i="60"/>
  <c r="AL28" i="60"/>
  <c r="AL17" i="60"/>
  <c r="AL92" i="60"/>
  <c r="AL76" i="60"/>
  <c r="AL10" i="60"/>
  <c r="AL54" i="60"/>
  <c r="AL72" i="60"/>
  <c r="AL35" i="60"/>
  <c r="AL25" i="60"/>
  <c r="AL77" i="60"/>
  <c r="AL41" i="60"/>
  <c r="AL23" i="60"/>
  <c r="AL90" i="60"/>
  <c r="AL19" i="60"/>
  <c r="AL64" i="60"/>
  <c r="AL81" i="60"/>
  <c r="AL42" i="60"/>
  <c r="AL33" i="60"/>
  <c r="AL68" i="60"/>
  <c r="AL58" i="60"/>
  <c r="AL31" i="60"/>
  <c r="V88" i="60"/>
  <c r="V51" i="60"/>
  <c r="V45" i="60"/>
  <c r="V29" i="60"/>
  <c r="V12" i="60"/>
  <c r="V42" i="60"/>
  <c r="V52" i="60"/>
  <c r="V49" i="60"/>
  <c r="V33" i="60"/>
  <c r="V14" i="60"/>
  <c r="V90" i="60"/>
  <c r="V59" i="60"/>
  <c r="V47" i="60"/>
  <c r="V31" i="60"/>
  <c r="V17" i="60"/>
  <c r="V10" i="60"/>
  <c r="V85" i="60"/>
  <c r="V38" i="60"/>
  <c r="V22" i="60"/>
  <c r="V74" i="60"/>
  <c r="V39" i="60"/>
  <c r="V36" i="60"/>
  <c r="V13" i="60"/>
  <c r="V91" i="60"/>
  <c r="V76" i="60"/>
  <c r="V82" i="60"/>
  <c r="V84" i="60"/>
  <c r="V67" i="60"/>
  <c r="V61" i="60"/>
  <c r="V78" i="60"/>
  <c r="V25" i="60"/>
  <c r="V18" i="60"/>
  <c r="V65" i="60"/>
  <c r="V86" i="60"/>
  <c r="V80" i="60"/>
  <c r="V63" i="60"/>
  <c r="V57" i="60"/>
  <c r="V48" i="60"/>
  <c r="V28" i="60"/>
  <c r="V81" i="60"/>
  <c r="V24" i="60"/>
  <c r="V11" i="60"/>
  <c r="V60" i="60"/>
  <c r="V55" i="60"/>
  <c r="V34" i="60"/>
  <c r="V32" i="60"/>
  <c r="V15" i="60"/>
  <c r="V56" i="60"/>
  <c r="V77" i="60"/>
  <c r="V23" i="60"/>
  <c r="V21" i="60"/>
  <c r="V20" i="60"/>
  <c r="V89" i="60"/>
  <c r="V73" i="60"/>
  <c r="V70" i="60"/>
  <c r="V93" i="60"/>
  <c r="V69" i="60"/>
  <c r="V66" i="60"/>
  <c r="V30" i="60"/>
  <c r="V83" i="60"/>
  <c r="V79" i="60"/>
  <c r="V44" i="60"/>
  <c r="V87" i="60"/>
  <c r="V19" i="60"/>
  <c r="V68" i="60"/>
  <c r="V71" i="60"/>
  <c r="V50" i="60"/>
  <c r="V40" i="60"/>
  <c r="V92" i="60"/>
  <c r="V75" i="60"/>
  <c r="V54" i="60"/>
  <c r="V62" i="60"/>
  <c r="V58" i="60"/>
  <c r="V53" i="60"/>
  <c r="V72" i="60"/>
  <c r="V35" i="60"/>
  <c r="V64" i="60"/>
  <c r="V46" i="60"/>
  <c r="V41" i="60"/>
  <c r="V37" i="60"/>
  <c r="V27" i="60"/>
  <c r="V26" i="60"/>
  <c r="V43" i="60"/>
  <c r="O50" i="60"/>
  <c r="AE50" i="60"/>
  <c r="AU50" i="60"/>
  <c r="AE30" i="61"/>
  <c r="O30" i="61"/>
  <c r="AE35" i="59"/>
  <c r="O35" i="59"/>
  <c r="P20" i="59"/>
  <c r="AU35" i="59"/>
  <c r="AF26" i="15"/>
  <c r="AE35" i="15"/>
  <c r="AU35" i="15"/>
  <c r="AL35" i="15"/>
  <c r="AL24" i="15"/>
  <c r="AL19" i="15"/>
  <c r="AL13" i="15"/>
  <c r="AL34" i="15"/>
  <c r="AL36" i="15"/>
  <c r="AL45" i="15"/>
  <c r="AL41" i="15"/>
  <c r="AL21" i="15"/>
  <c r="AL14" i="15"/>
  <c r="AL54" i="15"/>
  <c r="AL31" i="15"/>
  <c r="AL50" i="15"/>
  <c r="AL38" i="15"/>
  <c r="AL28" i="15"/>
  <c r="AL17" i="15"/>
  <c r="AL15" i="15"/>
  <c r="AL10" i="15"/>
  <c r="AL53" i="15"/>
  <c r="AL46" i="15"/>
  <c r="AL33" i="15"/>
  <c r="AL23" i="15"/>
  <c r="AL27" i="15"/>
  <c r="AL11" i="15"/>
  <c r="AL47" i="15"/>
  <c r="AL43" i="15"/>
  <c r="AL32" i="15"/>
  <c r="AL26" i="15"/>
  <c r="AL42" i="15"/>
  <c r="AL25" i="15"/>
  <c r="AL18" i="15"/>
  <c r="AL48" i="15"/>
  <c r="AL40" i="15"/>
  <c r="AL44" i="15"/>
  <c r="AL30" i="15"/>
  <c r="AL12" i="15"/>
  <c r="AL29" i="15"/>
  <c r="AL52" i="15"/>
  <c r="AL39" i="15"/>
  <c r="AL22" i="15"/>
  <c r="AL56" i="15"/>
  <c r="AL51" i="15"/>
  <c r="AL55" i="15"/>
  <c r="AL20" i="15"/>
  <c r="AL49" i="15"/>
  <c r="AL57" i="15"/>
  <c r="AL37" i="15"/>
  <c r="O35" i="15"/>
  <c r="V52" i="15"/>
  <c r="V18" i="15"/>
  <c r="V29" i="15"/>
  <c r="V12" i="15"/>
  <c r="V57" i="15"/>
  <c r="V39" i="15"/>
  <c r="V26" i="15"/>
  <c r="V44" i="15"/>
  <c r="V32" i="15"/>
  <c r="V53" i="15"/>
  <c r="V55" i="15"/>
  <c r="V43" i="15"/>
  <c r="V41" i="15"/>
  <c r="V49" i="15"/>
  <c r="V34" i="15"/>
  <c r="V20" i="15"/>
  <c r="V24" i="15"/>
  <c r="V13" i="15"/>
  <c r="V54" i="15"/>
  <c r="V45" i="15"/>
  <c r="V28" i="15"/>
  <c r="V11" i="15"/>
  <c r="V47" i="15"/>
  <c r="V27" i="15"/>
  <c r="V56" i="15"/>
  <c r="V14" i="15"/>
  <c r="V40" i="15"/>
  <c r="V22" i="15"/>
  <c r="V48" i="15"/>
  <c r="V46" i="15"/>
  <c r="V30" i="15"/>
  <c r="V19" i="15"/>
  <c r="V35" i="15"/>
  <c r="V37" i="15"/>
  <c r="V50" i="15"/>
  <c r="V33" i="15"/>
  <c r="V23" i="15"/>
  <c r="V36" i="15"/>
  <c r="V42" i="15"/>
  <c r="V38" i="15"/>
  <c r="V31" i="15"/>
  <c r="V15" i="15"/>
  <c r="V51" i="15"/>
  <c r="V10" i="15"/>
  <c r="V25" i="15"/>
  <c r="V21" i="15"/>
  <c r="V17" i="15"/>
  <c r="AF341" i="57"/>
  <c r="AF392" i="57"/>
  <c r="AF354" i="57"/>
  <c r="AF395" i="57"/>
  <c r="AF351" i="57"/>
  <c r="AF343" i="57"/>
  <c r="AF375" i="57"/>
  <c r="AF334" i="57"/>
  <c r="AF398" i="57"/>
  <c r="AF403" i="57"/>
  <c r="AF385" i="57"/>
  <c r="AF379" i="57"/>
  <c r="AF366" i="57"/>
  <c r="AF396" i="57"/>
  <c r="AF400" i="57"/>
  <c r="AF346" i="57"/>
  <c r="AF376" i="57"/>
  <c r="AF357" i="57"/>
  <c r="AF356" i="57"/>
  <c r="AF404" i="57"/>
  <c r="AF338" i="57"/>
  <c r="AF345" i="57"/>
  <c r="AF333" i="57"/>
  <c r="AF397" i="57"/>
  <c r="AF372" i="57"/>
  <c r="AF347" i="57"/>
  <c r="AF332" i="57"/>
  <c r="AF331" i="57"/>
  <c r="AF349" i="57"/>
  <c r="AF369" i="57"/>
  <c r="AF368" i="57"/>
  <c r="AF393" i="57"/>
  <c r="AF353" i="57"/>
  <c r="AF367" i="57"/>
  <c r="AF373" i="57"/>
  <c r="AF358" i="57"/>
  <c r="AF391" i="57"/>
  <c r="AF350" i="57"/>
  <c r="AF344" i="57"/>
  <c r="AF399" i="57"/>
  <c r="AF402" i="57"/>
  <c r="AF384" i="57"/>
  <c r="AF377" i="57"/>
  <c r="AF365" i="57"/>
  <c r="AF352" i="57"/>
  <c r="AF340" i="57"/>
  <c r="AF389" i="57"/>
  <c r="AF371" i="57"/>
  <c r="AF336" i="57"/>
  <c r="AF383" i="57"/>
  <c r="AF364" i="57"/>
  <c r="AF339" i="57"/>
  <c r="AF388" i="57"/>
  <c r="AF359" i="57"/>
  <c r="AF381" i="57"/>
  <c r="AF362" i="57"/>
  <c r="AF387" i="57"/>
  <c r="AF380" i="57"/>
  <c r="AF361" i="57"/>
  <c r="AF342" i="57"/>
  <c r="P363" i="57"/>
  <c r="P346" i="57"/>
  <c r="BC356" i="57"/>
  <c r="AR357" i="57" s="1"/>
  <c r="BC354" i="57"/>
  <c r="AR354" i="57" s="1"/>
  <c r="AW368" i="57"/>
  <c r="BC359" i="57"/>
  <c r="AR359" i="57" s="1"/>
  <c r="BE361" i="57"/>
  <c r="AO361" i="57"/>
  <c r="AM354" i="57"/>
  <c r="AB354" i="57" s="1"/>
  <c r="AG368" i="57"/>
  <c r="AM359" i="57"/>
  <c r="AB359" i="57" s="1"/>
  <c r="AM356" i="57"/>
  <c r="AB357" i="57" s="1"/>
  <c r="AO306" i="57"/>
  <c r="BE306" i="57"/>
  <c r="AW253" i="57"/>
  <c r="BC216" i="57"/>
  <c r="AR216" i="57" s="1"/>
  <c r="BD226" i="57"/>
  <c r="BF218" i="57"/>
  <c r="BE215" i="57"/>
  <c r="BF215" i="57" s="1"/>
  <c r="AP218" i="57"/>
  <c r="AN226" i="57"/>
  <c r="AM219" i="57"/>
  <c r="AB219" i="57" s="1"/>
  <c r="AP205" i="57"/>
  <c r="AO215" i="57"/>
  <c r="AM206" i="57"/>
  <c r="AB206" i="57" s="1"/>
  <c r="AM216" i="57"/>
  <c r="AB216" i="57" s="1"/>
  <c r="AG249" i="57"/>
  <c r="Z342" i="57"/>
  <c r="W359" i="57"/>
  <c r="L359" i="57" s="1"/>
  <c r="W356" i="57"/>
  <c r="W354" i="57"/>
  <c r="L354" i="57" s="1"/>
  <c r="Y361" i="57"/>
  <c r="S336" i="57" s="1"/>
  <c r="U336" i="57" s="1" a="1"/>
  <c r="U336" i="57" s="1"/>
  <c r="Y306" i="57"/>
  <c r="S291" i="57" s="1"/>
  <c r="U291" i="57" s="1" a="1"/>
  <c r="U291" i="57" s="1"/>
  <c r="Q250" i="57"/>
  <c r="W206" i="57"/>
  <c r="L206" i="57" s="1"/>
  <c r="Z205" i="57"/>
  <c r="Q251" i="57"/>
  <c r="L357" i="57" l="1"/>
  <c r="L356" i="57"/>
  <c r="DC3" i="77"/>
  <c r="DC5" i="77"/>
  <c r="O15" i="71"/>
  <c r="I15" i="71"/>
  <c r="L43" i="70"/>
  <c r="G71" i="70"/>
  <c r="G72" i="70" s="1"/>
  <c r="AE40" i="69"/>
  <c r="AD42" i="69"/>
  <c r="AF34" i="69"/>
  <c r="W68" i="69"/>
  <c r="G67" i="69"/>
  <c r="O40" i="69"/>
  <c r="N42" i="69"/>
  <c r="P34" i="69"/>
  <c r="AE15" i="60"/>
  <c r="Y15" i="60"/>
  <c r="AA15" i="60" s="1" a="1"/>
  <c r="AA15" i="60" s="1"/>
  <c r="I15" i="60"/>
  <c r="K15" i="60" s="1" a="1"/>
  <c r="K15" i="60" s="1"/>
  <c r="O15" i="60"/>
  <c r="AU15" i="60"/>
  <c r="AO15" i="60"/>
  <c r="AQ15" i="60" s="1" a="1"/>
  <c r="AQ15" i="60" s="1"/>
  <c r="Y15" i="61"/>
  <c r="AA15" i="61" s="1" a="1"/>
  <c r="AA15" i="61" s="1"/>
  <c r="AE15" i="61"/>
  <c r="O15" i="61"/>
  <c r="I15" i="61"/>
  <c r="K15" i="61" s="1" a="1"/>
  <c r="K15" i="61" s="1"/>
  <c r="AO15" i="59"/>
  <c r="AQ15" i="59" s="1" a="1"/>
  <c r="AQ15" i="59" s="1"/>
  <c r="AU15" i="59"/>
  <c r="I15" i="59"/>
  <c r="O15" i="59"/>
  <c r="Y15" i="59"/>
  <c r="AA15" i="59" s="1" a="1"/>
  <c r="AA15" i="59" s="1"/>
  <c r="AE15" i="59"/>
  <c r="AU15" i="15"/>
  <c r="AO15" i="15"/>
  <c r="AQ15" i="15" s="1" a="1"/>
  <c r="AQ15" i="15" s="1"/>
  <c r="I15" i="15"/>
  <c r="K15" i="15" s="1" a="1"/>
  <c r="K15" i="15" s="1"/>
  <c r="O15" i="15"/>
  <c r="Y15" i="15"/>
  <c r="AA15" i="15" s="1" a="1"/>
  <c r="AA15" i="15" s="1"/>
  <c r="AE15" i="15"/>
  <c r="BE336" i="57"/>
  <c r="AY336" i="57"/>
  <c r="BA336" i="57" s="1" a="1"/>
  <c r="BA336" i="57" s="1"/>
  <c r="AO336" i="57"/>
  <c r="AI336" i="57"/>
  <c r="AK336" i="57" s="1" a="1"/>
  <c r="AK336" i="57" s="1"/>
  <c r="AO291" i="57"/>
  <c r="AI291" i="57"/>
  <c r="AK291" i="57" s="1" a="1"/>
  <c r="AK291" i="57" s="1"/>
  <c r="BE291" i="57"/>
  <c r="AY291" i="57"/>
  <c r="BA291" i="57" s="1" a="1"/>
  <c r="BA291" i="57" s="1"/>
  <c r="BB227" i="57"/>
  <c r="BD235" i="57" s="1"/>
  <c r="BD237" i="57"/>
  <c r="BD239" i="57"/>
  <c r="AW254" i="57"/>
  <c r="BE224" i="57"/>
  <c r="AP215" i="57"/>
  <c r="AO224" i="57"/>
  <c r="AG250" i="57"/>
  <c r="AN239" i="57"/>
  <c r="AL227" i="57"/>
  <c r="AN237" i="57"/>
  <c r="AN235" i="57"/>
  <c r="AN230" i="57"/>
  <c r="AN231" i="57"/>
  <c r="AN234" i="57"/>
  <c r="Y336" i="57"/>
  <c r="Y291" i="57"/>
  <c r="Q252" i="57"/>
  <c r="K15" i="71" l="1" a="1"/>
  <c r="K15" i="71" s="1"/>
  <c r="AZ3" i="71" s="1"/>
  <c r="O49" i="70"/>
  <c r="P49" i="70" s="1"/>
  <c r="O47" i="70"/>
  <c r="P47" i="70" s="1"/>
  <c r="O53" i="70"/>
  <c r="P53" i="70" s="1"/>
  <c r="O51" i="70"/>
  <c r="P51" i="70" s="1"/>
  <c r="O55" i="70"/>
  <c r="O54" i="70"/>
  <c r="P54" i="70" s="1"/>
  <c r="O52" i="70"/>
  <c r="P52" i="70" s="1"/>
  <c r="O46" i="70"/>
  <c r="O50" i="70"/>
  <c r="P50" i="70" s="1"/>
  <c r="O48" i="70"/>
  <c r="P48" i="70" s="1"/>
  <c r="N55" i="70"/>
  <c r="N52" i="70"/>
  <c r="N48" i="70"/>
  <c r="N50" i="70"/>
  <c r="N53" i="70"/>
  <c r="N46" i="70"/>
  <c r="N54" i="70"/>
  <c r="N47" i="70"/>
  <c r="N49" i="70"/>
  <c r="N51" i="70"/>
  <c r="G73" i="70"/>
  <c r="G79" i="70" s="1"/>
  <c r="G80" i="70" s="1"/>
  <c r="G81" i="70" s="1"/>
  <c r="AB43" i="69"/>
  <c r="AD52" i="69" s="1"/>
  <c r="AD50" i="69"/>
  <c r="AD53" i="69"/>
  <c r="Y15" i="69"/>
  <c r="AA15" i="69" s="1" a="1"/>
  <c r="AA15" i="69" s="1"/>
  <c r="AE15" i="69"/>
  <c r="W69" i="69"/>
  <c r="W70" i="69" s="1"/>
  <c r="I15" i="69"/>
  <c r="O15" i="69"/>
  <c r="L43" i="69"/>
  <c r="N46" i="69"/>
  <c r="N48" i="69"/>
  <c r="G68" i="69"/>
  <c r="K15" i="59" a="1"/>
  <c r="K15" i="59" s="1"/>
  <c r="L45" i="59"/>
  <c r="L44" i="59"/>
  <c r="BD234" i="57"/>
  <c r="BD231" i="57"/>
  <c r="BD230" i="57"/>
  <c r="BD236" i="57"/>
  <c r="BD233" i="57"/>
  <c r="AY199" i="57"/>
  <c r="BA199" i="57" s="1" a="1"/>
  <c r="BA199" i="57" s="1"/>
  <c r="BE199" i="57"/>
  <c r="BE233" i="57"/>
  <c r="BF233" i="57" s="1"/>
  <c r="BE231" i="57"/>
  <c r="BF231" i="57" s="1"/>
  <c r="BE238" i="57"/>
  <c r="BF238" i="57" s="1"/>
  <c r="BE236" i="57"/>
  <c r="BF236" i="57" s="1"/>
  <c r="BE232" i="57"/>
  <c r="BF232" i="57" s="1"/>
  <c r="BE230" i="57"/>
  <c r="BE235" i="57"/>
  <c r="BF235" i="57" s="1"/>
  <c r="BE239" i="57"/>
  <c r="BE234" i="57"/>
  <c r="BF234" i="57" s="1"/>
  <c r="BE237" i="57"/>
  <c r="BF237" i="57" s="1"/>
  <c r="BD232" i="57"/>
  <c r="BD238" i="57"/>
  <c r="AW255" i="57"/>
  <c r="AG251" i="57"/>
  <c r="AO239" i="57"/>
  <c r="AO230" i="57"/>
  <c r="AO235" i="57"/>
  <c r="AP235" i="57" s="1"/>
  <c r="AO237" i="57"/>
  <c r="AP237" i="57" s="1"/>
  <c r="AO233" i="57"/>
  <c r="AP233" i="57" s="1"/>
  <c r="AO236" i="57"/>
  <c r="AP236" i="57" s="1"/>
  <c r="AO232" i="57"/>
  <c r="AP232" i="57" s="1"/>
  <c r="AO234" i="57"/>
  <c r="AP234" i="57" s="1"/>
  <c r="AO231" i="57"/>
  <c r="AP231" i="57" s="1"/>
  <c r="AO238" i="57"/>
  <c r="AP238" i="57" s="1"/>
  <c r="AN232" i="57"/>
  <c r="AO199" i="57"/>
  <c r="AI199" i="57"/>
  <c r="AK199" i="57" s="1" a="1"/>
  <c r="AK199" i="57" s="1"/>
  <c r="AN238" i="57"/>
  <c r="AN233" i="57"/>
  <c r="AG252" i="57"/>
  <c r="AN236" i="57"/>
  <c r="Q253" i="57"/>
  <c r="AZ5" i="71" l="1"/>
  <c r="AZ4" i="71"/>
  <c r="O56" i="70"/>
  <c r="H43" i="70" s="1"/>
  <c r="AD48" i="69"/>
  <c r="W71" i="69"/>
  <c r="AE54" i="69"/>
  <c r="AF54" i="69" s="1"/>
  <c r="AE49" i="69"/>
  <c r="AF49" i="69" s="1"/>
  <c r="AE52" i="69"/>
  <c r="AF52" i="69" s="1"/>
  <c r="AE47" i="69"/>
  <c r="AF47" i="69" s="1"/>
  <c r="AE48" i="69"/>
  <c r="AF48" i="69" s="1"/>
  <c r="AE51" i="69"/>
  <c r="AF51" i="69" s="1"/>
  <c r="AE55" i="69"/>
  <c r="AE50" i="69"/>
  <c r="AF50" i="69" s="1"/>
  <c r="AE46" i="69"/>
  <c r="AE56" i="69" s="1"/>
  <c r="X43" i="69" s="1"/>
  <c r="AE53" i="69"/>
  <c r="AF53" i="69" s="1"/>
  <c r="AD47" i="69"/>
  <c r="AD54" i="69"/>
  <c r="AD55" i="69"/>
  <c r="AD46" i="69"/>
  <c r="AD49" i="69"/>
  <c r="AD51" i="69"/>
  <c r="G69" i="69"/>
  <c r="G70" i="69"/>
  <c r="G71" i="69" s="1"/>
  <c r="G72" i="69"/>
  <c r="O47" i="69"/>
  <c r="P47" i="69" s="1"/>
  <c r="O54" i="69"/>
  <c r="P54" i="69" s="1"/>
  <c r="O50" i="69"/>
  <c r="P50" i="69" s="1"/>
  <c r="O53" i="69"/>
  <c r="P53" i="69" s="1"/>
  <c r="O55" i="69"/>
  <c r="O51" i="69"/>
  <c r="P51" i="69" s="1"/>
  <c r="O52" i="69"/>
  <c r="P52" i="69" s="1"/>
  <c r="O49" i="69"/>
  <c r="P49" i="69" s="1"/>
  <c r="O46" i="69"/>
  <c r="O48" i="69"/>
  <c r="P48" i="69" s="1"/>
  <c r="N53" i="69"/>
  <c r="N50" i="69"/>
  <c r="N49" i="69"/>
  <c r="K15" i="69" a="1"/>
  <c r="K15" i="69" s="1"/>
  <c r="N55" i="69"/>
  <c r="N51" i="69"/>
  <c r="N52" i="69"/>
  <c r="N54" i="69"/>
  <c r="N47" i="69"/>
  <c r="BE240" i="57"/>
  <c r="AX227" i="57" s="1"/>
  <c r="AW256" i="57"/>
  <c r="AG253" i="57"/>
  <c r="AO240" i="57"/>
  <c r="AH227" i="57" s="1"/>
  <c r="Q254" i="57"/>
  <c r="Q255" i="57" s="1"/>
  <c r="O56" i="69" l="1"/>
  <c r="H43" i="69" s="1"/>
  <c r="AZ5" i="70"/>
  <c r="AZ4" i="70"/>
  <c r="AZ3" i="70"/>
  <c r="W72" i="69"/>
  <c r="G73" i="69"/>
  <c r="G79" i="69"/>
  <c r="AW257" i="57"/>
  <c r="AW263" i="57" s="1"/>
  <c r="AW264" i="57"/>
  <c r="AW265" i="57" s="1"/>
  <c r="AG254" i="57"/>
  <c r="AG255" i="57"/>
  <c r="AG256" i="57" s="1"/>
  <c r="Q256" i="57"/>
  <c r="Q257" i="57" s="1"/>
  <c r="B261" i="57"/>
  <c r="B307" i="57"/>
  <c r="B306" i="57"/>
  <c r="B305" i="57"/>
  <c r="B304" i="57"/>
  <c r="B303" i="57"/>
  <c r="B289" i="57"/>
  <c r="B288" i="57"/>
  <c r="B286" i="57"/>
  <c r="B285" i="57"/>
  <c r="B284" i="57"/>
  <c r="B283" i="57"/>
  <c r="B282" i="57"/>
  <c r="BW6" i="35"/>
  <c r="BW7" i="35" a="1"/>
  <c r="BW7" i="35" s="1"/>
  <c r="AN91" i="35"/>
  <c r="X91" i="35"/>
  <c r="H91" i="35"/>
  <c r="AH85" i="35"/>
  <c r="R85" i="35"/>
  <c r="B85" i="35"/>
  <c r="AH84" i="35"/>
  <c r="R84" i="35"/>
  <c r="B84" i="35"/>
  <c r="AH83" i="35"/>
  <c r="R83" i="35"/>
  <c r="B83" i="35"/>
  <c r="AH82" i="35"/>
  <c r="R82" i="35"/>
  <c r="B82" i="35"/>
  <c r="AH81" i="35"/>
  <c r="R81" i="35"/>
  <c r="B81" i="35"/>
  <c r="AV80" i="35"/>
  <c r="AF80" i="35"/>
  <c r="P80" i="35"/>
  <c r="AN73" i="35"/>
  <c r="AM73" i="35"/>
  <c r="X73" i="35"/>
  <c r="W73" i="35"/>
  <c r="H73" i="35"/>
  <c r="G73" i="35"/>
  <c r="AV67" i="35"/>
  <c r="AO67" i="35"/>
  <c r="AH67" i="35"/>
  <c r="AF67" i="35"/>
  <c r="R67" i="35"/>
  <c r="P67" i="35"/>
  <c r="I67" i="35"/>
  <c r="B67" i="35"/>
  <c r="AV66" i="35"/>
  <c r="AO66" i="35"/>
  <c r="AH66" i="35"/>
  <c r="AF66" i="35"/>
  <c r="R66" i="35"/>
  <c r="P66" i="35"/>
  <c r="I66" i="35"/>
  <c r="B66" i="35"/>
  <c r="AV65" i="35"/>
  <c r="AO65" i="35"/>
  <c r="AH65" i="35"/>
  <c r="AF65" i="35"/>
  <c r="R65" i="35"/>
  <c r="P65" i="35"/>
  <c r="I65" i="35"/>
  <c r="B65" i="35"/>
  <c r="AV64" i="35"/>
  <c r="AO64" i="35"/>
  <c r="AH64" i="35"/>
  <c r="AF64" i="35"/>
  <c r="R64" i="35"/>
  <c r="P64" i="35"/>
  <c r="I64" i="35"/>
  <c r="B64" i="35"/>
  <c r="AV63" i="35"/>
  <c r="AO63" i="35"/>
  <c r="AH63" i="35"/>
  <c r="AF63" i="35"/>
  <c r="R63" i="35"/>
  <c r="P63" i="35"/>
  <c r="I63" i="35"/>
  <c r="B63" i="35"/>
  <c r="AV62" i="35"/>
  <c r="AO62" i="35"/>
  <c r="AH62" i="35"/>
  <c r="AF62" i="35"/>
  <c r="R62" i="35"/>
  <c r="P62" i="35"/>
  <c r="I62" i="35"/>
  <c r="B62" i="35"/>
  <c r="AV61" i="35"/>
  <c r="AO61" i="35"/>
  <c r="AH61" i="35"/>
  <c r="AF61" i="35"/>
  <c r="R61" i="35"/>
  <c r="P61" i="35"/>
  <c r="I61" i="35"/>
  <c r="B61" i="35"/>
  <c r="AV60" i="35"/>
  <c r="AO60" i="35"/>
  <c r="AH60" i="35"/>
  <c r="AF60" i="35"/>
  <c r="R60" i="35"/>
  <c r="P60" i="35"/>
  <c r="I60" i="35"/>
  <c r="B60" i="35"/>
  <c r="AV59" i="35"/>
  <c r="AO59" i="35"/>
  <c r="AH59" i="35"/>
  <c r="AF59" i="35"/>
  <c r="R59" i="35"/>
  <c r="P59" i="35"/>
  <c r="I59" i="35"/>
  <c r="B59" i="35"/>
  <c r="AV58" i="35"/>
  <c r="AO58" i="35"/>
  <c r="AF58" i="35"/>
  <c r="P58" i="35"/>
  <c r="I58" i="35"/>
  <c r="AR54" i="35"/>
  <c r="AL54" i="35" s="1"/>
  <c r="AL86" i="35" s="1"/>
  <c r="AM54" i="35"/>
  <c r="AI54" i="35" s="1"/>
  <c r="AI84" i="35" s="1"/>
  <c r="AK54" i="35"/>
  <c r="AK90" i="35" s="1"/>
  <c r="AJ54" i="35"/>
  <c r="AJ90" i="35" s="1"/>
  <c r="AB54" i="35"/>
  <c r="V54" i="35" s="1"/>
  <c r="V84" i="35" s="1"/>
  <c r="W54" i="35"/>
  <c r="S54" i="35" s="1"/>
  <c r="U54" i="35"/>
  <c r="U89" i="35" s="1"/>
  <c r="T54" i="35"/>
  <c r="T88" i="35" s="1"/>
  <c r="L54" i="35"/>
  <c r="F54" i="35" s="1"/>
  <c r="F48" i="35" s="1"/>
  <c r="G54" i="35"/>
  <c r="C54" i="35" s="1"/>
  <c r="C59" i="35" s="1"/>
  <c r="E54" i="35"/>
  <c r="E48" i="35" s="1"/>
  <c r="D54" i="35"/>
  <c r="D59" i="35" s="1"/>
  <c r="AR53" i="35"/>
  <c r="AT67" i="35" s="1"/>
  <c r="AB53" i="35"/>
  <c r="L53" i="35"/>
  <c r="AU52" i="35"/>
  <c r="AE52" i="35"/>
  <c r="O52" i="35"/>
  <c r="AV48" i="35"/>
  <c r="AF48" i="35"/>
  <c r="P48" i="35"/>
  <c r="B262" i="57"/>
  <c r="B259" i="57"/>
  <c r="B223" i="57"/>
  <c r="B222" i="57"/>
  <c r="B221" i="57"/>
  <c r="B220" i="57"/>
  <c r="B218" i="57"/>
  <c r="B217" i="57"/>
  <c r="B215" i="57"/>
  <c r="B214" i="57"/>
  <c r="B213" i="57"/>
  <c r="B212" i="57"/>
  <c r="B211" i="57"/>
  <c r="B210" i="57"/>
  <c r="B209" i="57"/>
  <c r="B208" i="57"/>
  <c r="B207" i="57"/>
  <c r="B206" i="57"/>
  <c r="B205" i="57"/>
  <c r="C283" i="57" a="1"/>
  <c r="C283" i="57" s="1"/>
  <c r="C284" i="57" a="1"/>
  <c r="C284" i="57" s="1"/>
  <c r="C285" i="57" a="1"/>
  <c r="C285" i="57" s="1"/>
  <c r="C286" i="57" a="1"/>
  <c r="C286" i="57" s="1"/>
  <c r="B287" i="57"/>
  <c r="C287" i="57" a="1"/>
  <c r="C287" i="57" s="1"/>
  <c r="C288" i="57" a="1"/>
  <c r="C288" i="57" s="1"/>
  <c r="C289" i="57" a="1"/>
  <c r="C289" i="57" s="1"/>
  <c r="B290" i="57"/>
  <c r="C290" i="57" a="1"/>
  <c r="C290" i="57" s="1"/>
  <c r="B291" i="57"/>
  <c r="C291" i="57" a="1"/>
  <c r="C291" i="57" s="1"/>
  <c r="B292" i="57"/>
  <c r="C292" i="57" a="1"/>
  <c r="C292" i="57" s="1"/>
  <c r="B293" i="57"/>
  <c r="C293" i="57" a="1"/>
  <c r="C293" i="57" s="1"/>
  <c r="B294" i="57"/>
  <c r="C294" i="57" a="1"/>
  <c r="C294" i="57" s="1"/>
  <c r="B295" i="57"/>
  <c r="C295" i="57" a="1"/>
  <c r="C295" i="57" s="1"/>
  <c r="B296" i="57"/>
  <c r="C296" i="57" a="1"/>
  <c r="C296" i="57" s="1"/>
  <c r="B297" i="57"/>
  <c r="C297" i="57" a="1"/>
  <c r="C297" i="57" s="1"/>
  <c r="B298" i="57"/>
  <c r="C298" i="57" a="1"/>
  <c r="C298" i="57" s="1"/>
  <c r="B299" i="57"/>
  <c r="C299" i="57" a="1"/>
  <c r="C299" i="57" s="1"/>
  <c r="B300" i="57"/>
  <c r="C300" i="57" a="1"/>
  <c r="C300" i="57" s="1"/>
  <c r="B301" i="57"/>
  <c r="C301" i="57" a="1"/>
  <c r="C301" i="57" s="1"/>
  <c r="B302" i="57"/>
  <c r="C302" i="57" a="1"/>
  <c r="C302" i="57" s="1"/>
  <c r="C303" i="57" a="1"/>
  <c r="C303" i="57" s="1"/>
  <c r="C304" i="57" a="1"/>
  <c r="C304" i="57" s="1"/>
  <c r="C305" i="57" a="1"/>
  <c r="C305" i="57" s="1"/>
  <c r="C306" i="57" a="1"/>
  <c r="C306" i="57" s="1"/>
  <c r="C307" i="57" a="1"/>
  <c r="C307" i="57" s="1"/>
  <c r="B308" i="57"/>
  <c r="C308" i="57" a="1"/>
  <c r="C308" i="57" s="1"/>
  <c r="B309" i="57"/>
  <c r="C309" i="57" a="1"/>
  <c r="C309" i="57" s="1"/>
  <c r="B310" i="57"/>
  <c r="C310" i="57" a="1"/>
  <c r="C310" i="57" s="1"/>
  <c r="B311" i="57"/>
  <c r="C311" i="57" a="1"/>
  <c r="C311" i="57" s="1"/>
  <c r="B312" i="57"/>
  <c r="C312" i="57" a="1"/>
  <c r="C312" i="57" s="1"/>
  <c r="B313" i="57"/>
  <c r="C313" i="57" a="1"/>
  <c r="C313" i="57" s="1"/>
  <c r="B314" i="57"/>
  <c r="C314" i="57" a="1"/>
  <c r="C314" i="57" s="1"/>
  <c r="B315" i="57"/>
  <c r="C315" i="57" a="1"/>
  <c r="C315" i="57" s="1"/>
  <c r="B316" i="57"/>
  <c r="C316" i="57" a="1"/>
  <c r="C316" i="57" s="1"/>
  <c r="B317" i="57"/>
  <c r="C317" i="57" a="1"/>
  <c r="C317" i="57" s="1"/>
  <c r="B318" i="57"/>
  <c r="C318" i="57" a="1"/>
  <c r="C318" i="57" s="1"/>
  <c r="B319" i="57"/>
  <c r="C319" i="57" a="1"/>
  <c r="C319" i="57" s="1"/>
  <c r="B320" i="57"/>
  <c r="C320" i="57" a="1"/>
  <c r="C320" i="57" s="1"/>
  <c r="B321" i="57"/>
  <c r="C321" i="57" a="1"/>
  <c r="C321" i="57" s="1"/>
  <c r="B322" i="57"/>
  <c r="C322" i="57" a="1"/>
  <c r="C322" i="57"/>
  <c r="B323" i="57"/>
  <c r="C323" i="57" a="1"/>
  <c r="C323" i="57" s="1"/>
  <c r="B324" i="57"/>
  <c r="C324" i="57" a="1"/>
  <c r="C324" i="57" s="1"/>
  <c r="B325" i="57"/>
  <c r="C325" i="57" a="1"/>
  <c r="C325" i="57" s="1"/>
  <c r="B326" i="57"/>
  <c r="C326" i="57" a="1"/>
  <c r="C326" i="57" s="1"/>
  <c r="B327" i="57"/>
  <c r="C327" i="57" a="1"/>
  <c r="C327" i="57" s="1"/>
  <c r="B328" i="57"/>
  <c r="C328" i="57" a="1"/>
  <c r="C328" i="57" s="1"/>
  <c r="B329" i="57"/>
  <c r="C329" i="57" a="1"/>
  <c r="C329" i="57" s="1"/>
  <c r="B330" i="57"/>
  <c r="C330" i="57" a="1"/>
  <c r="C330" i="57" s="1"/>
  <c r="B331" i="57"/>
  <c r="C331" i="57" a="1"/>
  <c r="C331" i="57" s="1"/>
  <c r="B332" i="57"/>
  <c r="C332" i="57" a="1"/>
  <c r="C332" i="57" s="1"/>
  <c r="B333" i="57"/>
  <c r="C333" i="57" a="1"/>
  <c r="C333" i="57" s="1"/>
  <c r="B334" i="57"/>
  <c r="C334" i="57" a="1"/>
  <c r="C334" i="57" s="1"/>
  <c r="B335" i="57"/>
  <c r="C335" i="57" a="1"/>
  <c r="C335" i="57" s="1"/>
  <c r="B336" i="57"/>
  <c r="C336" i="57" a="1"/>
  <c r="C336" i="57" s="1"/>
  <c r="B337" i="57"/>
  <c r="C337" i="57" a="1"/>
  <c r="C337" i="57" s="1"/>
  <c r="B338" i="57"/>
  <c r="C338" i="57" a="1"/>
  <c r="C338" i="57" s="1"/>
  <c r="B339" i="57"/>
  <c r="C339" i="57" a="1"/>
  <c r="C339" i="57" s="1"/>
  <c r="B340" i="57"/>
  <c r="C340" i="57" a="1"/>
  <c r="C340" i="57" s="1"/>
  <c r="B341" i="57"/>
  <c r="C341" i="57" a="1"/>
  <c r="C341" i="57" s="1"/>
  <c r="B342" i="57"/>
  <c r="C342" i="57" a="1"/>
  <c r="C342" i="57" s="1"/>
  <c r="B343" i="57"/>
  <c r="C343" i="57" a="1"/>
  <c r="C343" i="57" s="1"/>
  <c r="B344" i="57"/>
  <c r="C344" i="57" a="1"/>
  <c r="C344" i="57" s="1"/>
  <c r="B345" i="57"/>
  <c r="C345" i="57" a="1"/>
  <c r="C345" i="57" s="1"/>
  <c r="B346" i="57"/>
  <c r="C346" i="57" a="1"/>
  <c r="C346" i="57" s="1"/>
  <c r="B347" i="57"/>
  <c r="C347" i="57" a="1"/>
  <c r="C347" i="57" s="1"/>
  <c r="B348" i="57"/>
  <c r="C348" i="57" a="1"/>
  <c r="C348" i="57" s="1"/>
  <c r="B349" i="57"/>
  <c r="C349" i="57" a="1"/>
  <c r="C349" i="57" s="1"/>
  <c r="B350" i="57"/>
  <c r="C350" i="57" a="1"/>
  <c r="C350" i="57" s="1"/>
  <c r="B351" i="57"/>
  <c r="C351" i="57" a="1"/>
  <c r="C351" i="57" s="1"/>
  <c r="B352" i="57"/>
  <c r="C352" i="57" a="1"/>
  <c r="C352" i="57" s="1"/>
  <c r="B353" i="57"/>
  <c r="C353" i="57" a="1"/>
  <c r="C353" i="57" s="1"/>
  <c r="B354" i="57"/>
  <c r="C354" i="57" a="1"/>
  <c r="C354" i="57" s="1"/>
  <c r="B355" i="57"/>
  <c r="C355" i="57" a="1"/>
  <c r="C355" i="57" s="1"/>
  <c r="B356" i="57"/>
  <c r="C356" i="57" a="1"/>
  <c r="C356" i="57" s="1"/>
  <c r="B357" i="57"/>
  <c r="C357" i="57" a="1"/>
  <c r="C357" i="57" s="1"/>
  <c r="B358" i="57"/>
  <c r="C358" i="57" a="1"/>
  <c r="C358" i="57" s="1"/>
  <c r="B359" i="57"/>
  <c r="C359" i="57" a="1"/>
  <c r="C359" i="57" s="1"/>
  <c r="B360" i="57"/>
  <c r="C360" i="57" a="1"/>
  <c r="C360" i="57" s="1"/>
  <c r="B361" i="57"/>
  <c r="C361" i="57" a="1"/>
  <c r="C361" i="57" s="1"/>
  <c r="B362" i="57"/>
  <c r="C362" i="57" a="1"/>
  <c r="C362" i="57" s="1"/>
  <c r="B363" i="57"/>
  <c r="C363" i="57" a="1"/>
  <c r="C363" i="57" s="1"/>
  <c r="B364" i="57"/>
  <c r="C364" i="57" a="1"/>
  <c r="C364" i="57" s="1"/>
  <c r="B365" i="57"/>
  <c r="C365" i="57" a="1"/>
  <c r="C365" i="57" s="1"/>
  <c r="B366" i="57"/>
  <c r="C366" i="57" a="1"/>
  <c r="C366" i="57" s="1"/>
  <c r="B367" i="57"/>
  <c r="C367" i="57" a="1"/>
  <c r="C367" i="57" s="1"/>
  <c r="B368" i="57"/>
  <c r="C368" i="57" a="1"/>
  <c r="C368" i="57" s="1"/>
  <c r="B369" i="57"/>
  <c r="C369" i="57" a="1"/>
  <c r="C369" i="57" s="1"/>
  <c r="B370" i="57"/>
  <c r="C370" i="57" a="1"/>
  <c r="C370" i="57" s="1"/>
  <c r="B371" i="57"/>
  <c r="C371" i="57" a="1"/>
  <c r="C371" i="57" s="1"/>
  <c r="B372" i="57"/>
  <c r="C372" i="57" a="1"/>
  <c r="C372" i="57" s="1"/>
  <c r="B373" i="57"/>
  <c r="C373" i="57" a="1"/>
  <c r="C373" i="57" s="1"/>
  <c r="B374" i="57"/>
  <c r="C374" i="57" a="1"/>
  <c r="C374" i="57" s="1"/>
  <c r="B375" i="57"/>
  <c r="C375" i="57" a="1"/>
  <c r="C375" i="57" s="1"/>
  <c r="B376" i="57"/>
  <c r="C376" i="57" a="1"/>
  <c r="C376" i="57" s="1"/>
  <c r="B377" i="57"/>
  <c r="C377" i="57" a="1"/>
  <c r="C377" i="57" s="1"/>
  <c r="B378" i="57"/>
  <c r="C378" i="57" a="1"/>
  <c r="C378" i="57" s="1"/>
  <c r="B379" i="57"/>
  <c r="C379" i="57" a="1"/>
  <c r="C379" i="57" s="1"/>
  <c r="B380" i="57"/>
  <c r="C380" i="57" a="1"/>
  <c r="C380" i="57" s="1"/>
  <c r="B381" i="57"/>
  <c r="C381" i="57" a="1"/>
  <c r="C381" i="57" s="1"/>
  <c r="B382" i="57"/>
  <c r="C382" i="57" a="1"/>
  <c r="C382" i="57" s="1"/>
  <c r="B383" i="57"/>
  <c r="C383" i="57" a="1"/>
  <c r="C383" i="57" s="1"/>
  <c r="B384" i="57"/>
  <c r="C384" i="57" a="1"/>
  <c r="C384" i="57" s="1"/>
  <c r="B385" i="57"/>
  <c r="C385" i="57" a="1"/>
  <c r="C385" i="57" s="1"/>
  <c r="B386" i="57"/>
  <c r="C386" i="57" a="1"/>
  <c r="C386" i="57" s="1"/>
  <c r="B387" i="57"/>
  <c r="C387" i="57" a="1"/>
  <c r="C387" i="57" s="1"/>
  <c r="B388" i="57"/>
  <c r="C388" i="57" a="1"/>
  <c r="C388" i="57" s="1"/>
  <c r="B389" i="57"/>
  <c r="C389" i="57" a="1"/>
  <c r="C389" i="57" s="1"/>
  <c r="B390" i="57"/>
  <c r="C390" i="57" a="1"/>
  <c r="C390" i="57" s="1"/>
  <c r="B391" i="57"/>
  <c r="C391" i="57" a="1"/>
  <c r="C391" i="57" s="1"/>
  <c r="B392" i="57"/>
  <c r="C392" i="57" a="1"/>
  <c r="C392" i="57" s="1"/>
  <c r="B393" i="57"/>
  <c r="C393" i="57" a="1"/>
  <c r="C393" i="57" s="1"/>
  <c r="B394" i="57"/>
  <c r="C394" i="57" a="1"/>
  <c r="C394" i="57" s="1"/>
  <c r="B395" i="57"/>
  <c r="C395" i="57" a="1"/>
  <c r="C395" i="57" s="1"/>
  <c r="B396" i="57"/>
  <c r="C396" i="57" a="1"/>
  <c r="C396" i="57" s="1"/>
  <c r="B397" i="57"/>
  <c r="C397" i="57" a="1"/>
  <c r="C397" i="57" s="1"/>
  <c r="B398" i="57"/>
  <c r="C398" i="57" a="1"/>
  <c r="C398" i="57" s="1"/>
  <c r="B399" i="57"/>
  <c r="C399" i="57" a="1"/>
  <c r="C399" i="57" s="1"/>
  <c r="B400" i="57"/>
  <c r="C400" i="57" a="1"/>
  <c r="C400" i="57" s="1"/>
  <c r="B401" i="57"/>
  <c r="C401" i="57" a="1"/>
  <c r="C401" i="57" s="1"/>
  <c r="B402" i="57"/>
  <c r="C402" i="57" a="1"/>
  <c r="C402" i="57" s="1"/>
  <c r="B403" i="57"/>
  <c r="C403" i="57" a="1"/>
  <c r="C403" i="57" s="1"/>
  <c r="B404" i="57"/>
  <c r="C404" i="57" a="1"/>
  <c r="C404" i="57" s="1"/>
  <c r="B405" i="57"/>
  <c r="C405" i="57" a="1"/>
  <c r="C405" i="57" s="1"/>
  <c r="B406" i="57"/>
  <c r="C406" i="57" a="1"/>
  <c r="C406" i="57" s="1"/>
  <c r="B407" i="57"/>
  <c r="C407" i="57" a="1"/>
  <c r="C407" i="57" s="1"/>
  <c r="B408" i="57"/>
  <c r="C408" i="57" a="1"/>
  <c r="C408" i="57" s="1"/>
  <c r="B409" i="57"/>
  <c r="C409" i="57" a="1"/>
  <c r="C409" i="57" s="1"/>
  <c r="B410" i="57"/>
  <c r="C410" i="57" a="1"/>
  <c r="C410" i="57" s="1"/>
  <c r="B411" i="57"/>
  <c r="C411" i="57" a="1"/>
  <c r="C411" i="57" s="1"/>
  <c r="B412" i="57"/>
  <c r="C412" i="57" a="1"/>
  <c r="C412" i="57" s="1"/>
  <c r="B413" i="57"/>
  <c r="C413" i="57" a="1"/>
  <c r="C413" i="57" s="1"/>
  <c r="B414" i="57"/>
  <c r="C414" i="57" a="1"/>
  <c r="C414" i="57" s="1"/>
  <c r="B415" i="57"/>
  <c r="C415" i="57" a="1"/>
  <c r="C415" i="57" s="1"/>
  <c r="B416" i="57"/>
  <c r="C416" i="57" a="1"/>
  <c r="C416" i="57" s="1"/>
  <c r="B417" i="57"/>
  <c r="C417" i="57" a="1"/>
  <c r="C417" i="57" s="1"/>
  <c r="B418" i="57"/>
  <c r="C418" i="57" a="1"/>
  <c r="C418" i="57" s="1"/>
  <c r="B419" i="57"/>
  <c r="C419" i="57" a="1"/>
  <c r="C419" i="57" s="1"/>
  <c r="B420" i="57"/>
  <c r="C420" i="57" a="1"/>
  <c r="C420" i="57" s="1"/>
  <c r="B421" i="57"/>
  <c r="C421" i="57" a="1"/>
  <c r="C421" i="57" s="1"/>
  <c r="B422" i="57"/>
  <c r="C422" i="57" a="1"/>
  <c r="C422" i="57" s="1"/>
  <c r="B423" i="57"/>
  <c r="C423" i="57" a="1"/>
  <c r="C423" i="57" s="1"/>
  <c r="B424" i="57"/>
  <c r="C424" i="57" a="1"/>
  <c r="C424" i="57" s="1"/>
  <c r="B425" i="57"/>
  <c r="C425" i="57" a="1"/>
  <c r="C425" i="57" s="1"/>
  <c r="B426" i="57"/>
  <c r="C426" i="57" a="1"/>
  <c r="C426" i="57" s="1"/>
  <c r="B427" i="57"/>
  <c r="C427" i="57" a="1"/>
  <c r="C427" i="57" s="1"/>
  <c r="B428" i="57"/>
  <c r="C428" i="57" a="1"/>
  <c r="C428" i="57" s="1"/>
  <c r="B429" i="57"/>
  <c r="C429" i="57" a="1"/>
  <c r="C429" i="57" s="1"/>
  <c r="B430" i="57"/>
  <c r="C430" i="57" a="1"/>
  <c r="C430" i="57" s="1"/>
  <c r="B431" i="57"/>
  <c r="C431" i="57" a="1"/>
  <c r="C431" i="57" s="1"/>
  <c r="B432" i="57"/>
  <c r="C432" i="57" a="1"/>
  <c r="C432" i="57" s="1"/>
  <c r="B433" i="57"/>
  <c r="C433" i="57" a="1"/>
  <c r="C433" i="57" s="1"/>
  <c r="B434" i="57"/>
  <c r="C434" i="57" a="1"/>
  <c r="C434" i="57" s="1"/>
  <c r="B435" i="57"/>
  <c r="C435" i="57" a="1"/>
  <c r="C435" i="57" s="1"/>
  <c r="B436" i="57"/>
  <c r="C436" i="57" a="1"/>
  <c r="C436" i="57" s="1"/>
  <c r="B437" i="57"/>
  <c r="C437" i="57" a="1"/>
  <c r="C437" i="57" s="1"/>
  <c r="B438" i="57"/>
  <c r="C438" i="57" a="1"/>
  <c r="C438" i="57" s="1"/>
  <c r="B439" i="57"/>
  <c r="C439" i="57" a="1"/>
  <c r="C439" i="57" s="1"/>
  <c r="B440" i="57"/>
  <c r="C440" i="57" a="1"/>
  <c r="C440" i="57" s="1"/>
  <c r="B441" i="57"/>
  <c r="C441" i="57" a="1"/>
  <c r="C441" i="57" s="1"/>
  <c r="B442" i="57"/>
  <c r="C442" i="57" a="1"/>
  <c r="C442" i="57"/>
  <c r="B443" i="57"/>
  <c r="C443" i="57" a="1"/>
  <c r="C443" i="57" s="1"/>
  <c r="B444" i="57"/>
  <c r="C444" i="57" a="1"/>
  <c r="C444" i="57" s="1"/>
  <c r="B445" i="57"/>
  <c r="C445" i="57" a="1"/>
  <c r="C445" i="57" s="1"/>
  <c r="B446" i="57"/>
  <c r="C446" i="57" a="1"/>
  <c r="C446" i="57" s="1"/>
  <c r="B447" i="57"/>
  <c r="C447" i="57" a="1"/>
  <c r="C447" i="57" s="1"/>
  <c r="B448" i="57"/>
  <c r="C448" i="57" a="1"/>
  <c r="C448" i="57" s="1"/>
  <c r="B449" i="57"/>
  <c r="C449" i="57" a="1"/>
  <c r="C449" i="57"/>
  <c r="B450" i="57"/>
  <c r="C450" i="57" a="1"/>
  <c r="C450" i="57" s="1"/>
  <c r="B451" i="57"/>
  <c r="C451" i="57" a="1"/>
  <c r="C451" i="57" s="1"/>
  <c r="B452" i="57"/>
  <c r="C452" i="57" a="1"/>
  <c r="C452" i="57" s="1"/>
  <c r="B453" i="57"/>
  <c r="C453" i="57" a="1"/>
  <c r="C453" i="57" s="1"/>
  <c r="B454" i="57"/>
  <c r="C454" i="57" a="1"/>
  <c r="C454" i="57" s="1"/>
  <c r="B455" i="57"/>
  <c r="C455" i="57" a="1"/>
  <c r="C455" i="57" s="1"/>
  <c r="B456" i="57"/>
  <c r="C456" i="57" a="1"/>
  <c r="C456" i="57" s="1"/>
  <c r="B457" i="57"/>
  <c r="C457" i="57" a="1"/>
  <c r="C457" i="57" s="1"/>
  <c r="B458" i="57"/>
  <c r="C458" i="57" a="1"/>
  <c r="C458" i="57" s="1"/>
  <c r="B459" i="57"/>
  <c r="C459" i="57" a="1"/>
  <c r="C459" i="57" s="1"/>
  <c r="B460" i="57"/>
  <c r="C460" i="57" a="1"/>
  <c r="C460" i="57" s="1"/>
  <c r="B461" i="57"/>
  <c r="C461" i="57" a="1"/>
  <c r="C461" i="57" s="1"/>
  <c r="B462" i="57"/>
  <c r="C462" i="57" a="1"/>
  <c r="C462" i="57"/>
  <c r="B463" i="57"/>
  <c r="C463" i="57" a="1"/>
  <c r="C463" i="57" s="1"/>
  <c r="B464" i="57"/>
  <c r="C464" i="57" a="1"/>
  <c r="C464" i="57" s="1"/>
  <c r="B465" i="57"/>
  <c r="C465" i="57" a="1"/>
  <c r="C465" i="57"/>
  <c r="B466" i="57"/>
  <c r="C466" i="57" a="1"/>
  <c r="C466" i="57" s="1"/>
  <c r="B467" i="57"/>
  <c r="C467" i="57" a="1"/>
  <c r="C467" i="57" s="1"/>
  <c r="B468" i="57"/>
  <c r="C468" i="57" a="1"/>
  <c r="C468" i="57" s="1"/>
  <c r="B469" i="57"/>
  <c r="C469" i="57" a="1"/>
  <c r="C469" i="57" s="1"/>
  <c r="B470" i="57"/>
  <c r="C470" i="57" a="1"/>
  <c r="C470" i="57" s="1"/>
  <c r="B471" i="57"/>
  <c r="C471" i="57" a="1"/>
  <c r="C471" i="57" s="1"/>
  <c r="B472" i="57"/>
  <c r="C472" i="57" a="1"/>
  <c r="C472" i="57" s="1"/>
  <c r="B473" i="57"/>
  <c r="C473" i="57" a="1"/>
  <c r="C473" i="57" s="1"/>
  <c r="B474" i="57"/>
  <c r="C474" i="57" a="1"/>
  <c r="C474" i="57"/>
  <c r="B475" i="57"/>
  <c r="C475" i="57" a="1"/>
  <c r="C475" i="57" s="1"/>
  <c r="B476" i="57"/>
  <c r="C476" i="57" a="1"/>
  <c r="C476" i="57" s="1"/>
  <c r="DB2" i="57"/>
  <c r="DA2" i="57"/>
  <c r="CZ2" i="57"/>
  <c r="CY2" i="57"/>
  <c r="CX2" i="57"/>
  <c r="CW2" i="57"/>
  <c r="CV2" i="57"/>
  <c r="CU2" i="57"/>
  <c r="CT2" i="57"/>
  <c r="CS2" i="57"/>
  <c r="CR2" i="57"/>
  <c r="CQ2" i="57"/>
  <c r="CP2" i="57"/>
  <c r="CO2" i="57"/>
  <c r="CN2" i="57"/>
  <c r="DB1" i="57"/>
  <c r="DA1" i="57"/>
  <c r="CZ1" i="57"/>
  <c r="CY1" i="57"/>
  <c r="CX1" i="57"/>
  <c r="CW1" i="57"/>
  <c r="CV1" i="57"/>
  <c r="CU1" i="57"/>
  <c r="CT1" i="57"/>
  <c r="CS1" i="57"/>
  <c r="CR1" i="57"/>
  <c r="CQ1" i="57"/>
  <c r="CP1" i="57"/>
  <c r="CO1" i="57"/>
  <c r="CN1" i="57"/>
  <c r="BX1" i="57"/>
  <c r="BY1" i="57"/>
  <c r="BZ1" i="57"/>
  <c r="CA1" i="57"/>
  <c r="CB1" i="57"/>
  <c r="CC1" i="57"/>
  <c r="CD1" i="57"/>
  <c r="CE1" i="57"/>
  <c r="CF1" i="57"/>
  <c r="CG1" i="57"/>
  <c r="CH1" i="57"/>
  <c r="CI1" i="57"/>
  <c r="CJ1" i="57"/>
  <c r="CK1" i="57"/>
  <c r="CL1" i="57"/>
  <c r="BX2" i="57"/>
  <c r="BY2" i="57"/>
  <c r="BZ2" i="57"/>
  <c r="CA2" i="57"/>
  <c r="CB2" i="57"/>
  <c r="CC2" i="57"/>
  <c r="CD2" i="57"/>
  <c r="CE2" i="57"/>
  <c r="CF2" i="57"/>
  <c r="CG2" i="57"/>
  <c r="CH2" i="57"/>
  <c r="CI2" i="57"/>
  <c r="CJ2" i="57"/>
  <c r="CK2" i="57"/>
  <c r="CL2" i="57"/>
  <c r="BV2" i="57"/>
  <c r="BU2" i="57"/>
  <c r="BT2" i="57"/>
  <c r="BS2" i="57"/>
  <c r="BR2" i="57"/>
  <c r="BQ2" i="57"/>
  <c r="BP2" i="57"/>
  <c r="BO2" i="57"/>
  <c r="BN2" i="57"/>
  <c r="BM2" i="57"/>
  <c r="BL2" i="57"/>
  <c r="BK2" i="57"/>
  <c r="BJ2" i="57"/>
  <c r="BI2" i="57"/>
  <c r="BH2" i="57"/>
  <c r="BV1" i="57"/>
  <c r="BU1" i="57"/>
  <c r="BT1" i="57"/>
  <c r="BS1" i="57"/>
  <c r="BR1" i="57"/>
  <c r="BQ1" i="57"/>
  <c r="BP1" i="57"/>
  <c r="BO1" i="57"/>
  <c r="BN1" i="57"/>
  <c r="BM1" i="57"/>
  <c r="BL1" i="57"/>
  <c r="BK1" i="57"/>
  <c r="BJ1" i="57"/>
  <c r="BI1" i="57"/>
  <c r="BH1" i="57"/>
  <c r="AX192" i="57"/>
  <c r="AH192" i="57"/>
  <c r="R192" i="57"/>
  <c r="AR186" i="57"/>
  <c r="AB186" i="57"/>
  <c r="L186" i="57"/>
  <c r="B186" i="57" s="1"/>
  <c r="AR185" i="57"/>
  <c r="AB185" i="57"/>
  <c r="L185" i="57"/>
  <c r="B185" i="57" s="1"/>
  <c r="AR184" i="57"/>
  <c r="AB184" i="57"/>
  <c r="L184" i="57"/>
  <c r="B184" i="57" s="1"/>
  <c r="AR183" i="57"/>
  <c r="AB183" i="57"/>
  <c r="L183" i="57"/>
  <c r="B183" i="57" s="1"/>
  <c r="BF160" i="57"/>
  <c r="AP160" i="57"/>
  <c r="Z160" i="57"/>
  <c r="AX153" i="57"/>
  <c r="AW153" i="57"/>
  <c r="AH153" i="57"/>
  <c r="AG153" i="57"/>
  <c r="R153" i="57"/>
  <c r="Q153" i="57"/>
  <c r="BF147" i="57"/>
  <c r="AY147" i="57"/>
  <c r="AR147" i="57"/>
  <c r="AP147" i="57"/>
  <c r="AI147" i="57"/>
  <c r="AB147" i="57"/>
  <c r="Z147" i="57"/>
  <c r="S147" i="57"/>
  <c r="L147" i="57"/>
  <c r="B147" i="57" s="1"/>
  <c r="BF146" i="57"/>
  <c r="AY146" i="57"/>
  <c r="AR146" i="57"/>
  <c r="AP146" i="57"/>
  <c r="AI146" i="57"/>
  <c r="AB146" i="57"/>
  <c r="Z146" i="57"/>
  <c r="S146" i="57"/>
  <c r="L146" i="57"/>
  <c r="B146" i="57" s="1"/>
  <c r="BF145" i="57"/>
  <c r="AY145" i="57"/>
  <c r="AR145" i="57"/>
  <c r="AP145" i="57"/>
  <c r="AI145" i="57"/>
  <c r="AB145" i="57"/>
  <c r="Z145" i="57"/>
  <c r="S145" i="57"/>
  <c r="L145" i="57"/>
  <c r="B145" i="57" s="1"/>
  <c r="BF144" i="57"/>
  <c r="AY144" i="57"/>
  <c r="AR144" i="57"/>
  <c r="AP144" i="57"/>
  <c r="AI144" i="57"/>
  <c r="AB144" i="57"/>
  <c r="Z144" i="57"/>
  <c r="S144" i="57"/>
  <c r="L144" i="57"/>
  <c r="B144" i="57" s="1"/>
  <c r="AY143" i="57"/>
  <c r="AR143" i="57"/>
  <c r="AI143" i="57"/>
  <c r="AB143" i="57"/>
  <c r="S143" i="57"/>
  <c r="L143" i="57"/>
  <c r="B143" i="57" s="1"/>
  <c r="AY142" i="57"/>
  <c r="AR142" i="57"/>
  <c r="AI142" i="57"/>
  <c r="AB142" i="57"/>
  <c r="S142" i="57"/>
  <c r="L142" i="57"/>
  <c r="B142" i="57" s="1"/>
  <c r="BF141" i="57"/>
  <c r="AY141" i="57"/>
  <c r="AR141" i="57"/>
  <c r="AP141" i="57"/>
  <c r="AI141" i="57"/>
  <c r="AB141" i="57"/>
  <c r="Z141" i="57"/>
  <c r="S141" i="57"/>
  <c r="L141" i="57"/>
  <c r="B141" i="57" s="1"/>
  <c r="BF140" i="57"/>
  <c r="AY140" i="57"/>
  <c r="AR140" i="57"/>
  <c r="AP140" i="57"/>
  <c r="AI140" i="57"/>
  <c r="AB140" i="57"/>
  <c r="Z140" i="57"/>
  <c r="S140" i="57"/>
  <c r="L140" i="57"/>
  <c r="B140" i="57" s="1"/>
  <c r="AY139" i="57"/>
  <c r="AR139" i="57"/>
  <c r="AI139" i="57"/>
  <c r="AB139" i="57"/>
  <c r="S139" i="57"/>
  <c r="L139" i="57"/>
  <c r="B139" i="57" s="1"/>
  <c r="AY138" i="57"/>
  <c r="AR138" i="57"/>
  <c r="AI138" i="57"/>
  <c r="AB138" i="57"/>
  <c r="S138" i="57"/>
  <c r="L138" i="57"/>
  <c r="B138" i="57" s="1"/>
  <c r="AY137" i="57"/>
  <c r="AR137" i="57"/>
  <c r="AI137" i="57"/>
  <c r="AB137" i="57"/>
  <c r="S137" i="57"/>
  <c r="L137" i="57"/>
  <c r="B137" i="57" s="1"/>
  <c r="AY136" i="57"/>
  <c r="AR136" i="57"/>
  <c r="AI136" i="57"/>
  <c r="AB136" i="57"/>
  <c r="S136" i="57"/>
  <c r="L136" i="57"/>
  <c r="B136" i="57" s="1"/>
  <c r="AY135" i="57"/>
  <c r="AR135" i="57"/>
  <c r="AI135" i="57"/>
  <c r="AB135" i="57"/>
  <c r="S135" i="57"/>
  <c r="L135" i="57"/>
  <c r="B135" i="57" s="1"/>
  <c r="AY134" i="57"/>
  <c r="AR134" i="57"/>
  <c r="AI134" i="57"/>
  <c r="AB134" i="57"/>
  <c r="S134" i="57"/>
  <c r="L134" i="57"/>
  <c r="B134" i="57" s="1"/>
  <c r="AY133" i="57"/>
  <c r="AR133" i="57"/>
  <c r="AI133" i="57"/>
  <c r="AB133" i="57"/>
  <c r="S133" i="57"/>
  <c r="L133" i="57"/>
  <c r="B133" i="57" s="1"/>
  <c r="AY132" i="57"/>
  <c r="AR132" i="57"/>
  <c r="AI132" i="57"/>
  <c r="AB132" i="57"/>
  <c r="S132" i="57"/>
  <c r="L132" i="57"/>
  <c r="B132" i="57" s="1"/>
  <c r="AY131" i="57"/>
  <c r="AR131" i="57"/>
  <c r="AI131" i="57"/>
  <c r="AB131" i="57"/>
  <c r="S131" i="57"/>
  <c r="L131" i="57"/>
  <c r="B131" i="57" s="1"/>
  <c r="BF130" i="57"/>
  <c r="AY130" i="57"/>
  <c r="AR130" i="57"/>
  <c r="AP130" i="57"/>
  <c r="AI130" i="57"/>
  <c r="AB130" i="57"/>
  <c r="Z130" i="57"/>
  <c r="S130" i="57"/>
  <c r="L130" i="57"/>
  <c r="B130" i="57" s="1"/>
  <c r="BF129" i="57"/>
  <c r="AY129" i="57"/>
  <c r="AR129" i="57"/>
  <c r="AP129" i="57"/>
  <c r="AI129" i="57"/>
  <c r="AB129" i="57"/>
  <c r="Z129" i="57"/>
  <c r="S129" i="57"/>
  <c r="L129" i="57"/>
  <c r="B129" i="57" s="1"/>
  <c r="BF128" i="57"/>
  <c r="AY128" i="57"/>
  <c r="AR128" i="57"/>
  <c r="AP128" i="57"/>
  <c r="AI128" i="57"/>
  <c r="AB128" i="57"/>
  <c r="Z128" i="57"/>
  <c r="S128" i="57"/>
  <c r="L128" i="57"/>
  <c r="B128" i="57" s="1"/>
  <c r="AY127" i="57"/>
  <c r="AR127" i="57"/>
  <c r="AI127" i="57"/>
  <c r="AB127" i="57"/>
  <c r="S127" i="57"/>
  <c r="L127" i="57"/>
  <c r="B127" i="57" s="1"/>
  <c r="AY126" i="57"/>
  <c r="AR126" i="57"/>
  <c r="AI126" i="57"/>
  <c r="AB126" i="57"/>
  <c r="S126" i="57"/>
  <c r="L126" i="57"/>
  <c r="B126" i="57" s="1"/>
  <c r="AY125" i="57"/>
  <c r="AR125" i="57"/>
  <c r="AI125" i="57"/>
  <c r="AB125" i="57"/>
  <c r="S125" i="57"/>
  <c r="L125" i="57"/>
  <c r="B125" i="57" s="1"/>
  <c r="AY124" i="57"/>
  <c r="AR124" i="57"/>
  <c r="AI124" i="57"/>
  <c r="AB124" i="57"/>
  <c r="S124" i="57"/>
  <c r="L124" i="57"/>
  <c r="B124" i="57" s="1"/>
  <c r="AY123" i="57"/>
  <c r="AR123" i="57"/>
  <c r="AI123" i="57"/>
  <c r="AB123" i="57"/>
  <c r="S123" i="57"/>
  <c r="L123" i="57"/>
  <c r="B123" i="57" s="1"/>
  <c r="AY122" i="57"/>
  <c r="AR122" i="57"/>
  <c r="AI122" i="57"/>
  <c r="AB122" i="57"/>
  <c r="S122" i="57"/>
  <c r="L122" i="57"/>
  <c r="B122" i="57" s="1"/>
  <c r="AY121" i="57"/>
  <c r="AR121" i="57"/>
  <c r="AI121" i="57"/>
  <c r="AB121" i="57"/>
  <c r="S121" i="57"/>
  <c r="L121" i="57"/>
  <c r="B121" i="57" s="1"/>
  <c r="AY120" i="57"/>
  <c r="AR120" i="57"/>
  <c r="AI120" i="57"/>
  <c r="AB120" i="57"/>
  <c r="S120" i="57"/>
  <c r="L120" i="57"/>
  <c r="B120" i="57" s="1"/>
  <c r="AY119" i="57"/>
  <c r="AR119" i="57"/>
  <c r="AI119" i="57"/>
  <c r="AB119" i="57"/>
  <c r="S119" i="57"/>
  <c r="L119" i="57"/>
  <c r="B119" i="57" s="1"/>
  <c r="BF118" i="57"/>
  <c r="AY118" i="57"/>
  <c r="AP118" i="57"/>
  <c r="AI118" i="57"/>
  <c r="Z118" i="57"/>
  <c r="S118" i="57"/>
  <c r="N115" i="57"/>
  <c r="BB114" i="57"/>
  <c r="AV114" i="57" s="1"/>
  <c r="AV124" i="57" s="1"/>
  <c r="AW114" i="57"/>
  <c r="AS114" i="57" s="1"/>
  <c r="AU114" i="57"/>
  <c r="AU174" i="57" s="1"/>
  <c r="AT114" i="57"/>
  <c r="AT159" i="57" s="1"/>
  <c r="AL114" i="57"/>
  <c r="AG114" i="57"/>
  <c r="AC114" i="57" s="1"/>
  <c r="AE114" i="57"/>
  <c r="AE168" i="57" s="1"/>
  <c r="AD114" i="57"/>
  <c r="AD164" i="57" s="1"/>
  <c r="V114" i="57"/>
  <c r="P114" i="57" s="1"/>
  <c r="P189" i="57" s="1"/>
  <c r="Q114" i="57"/>
  <c r="M114" i="57" s="1"/>
  <c r="O114" i="57"/>
  <c r="O189" i="57" s="1"/>
  <c r="N114" i="57"/>
  <c r="N157" i="57" s="1"/>
  <c r="BB113" i="57"/>
  <c r="AL113" i="57"/>
  <c r="AP137" i="57" s="1"/>
  <c r="V113" i="57"/>
  <c r="BE112" i="57"/>
  <c r="AO112" i="57"/>
  <c r="Y112" i="57"/>
  <c r="BF108" i="57"/>
  <c r="AP108" i="57"/>
  <c r="Z108" i="57"/>
  <c r="FI242" i="57"/>
  <c r="FH242" i="57"/>
  <c r="FC372" i="57"/>
  <c r="EY326" i="57"/>
  <c r="EY325" i="57"/>
  <c r="FA346" i="57" s="1"/>
  <c r="FB324" i="57"/>
  <c r="FC320" i="57"/>
  <c r="AX106" i="57"/>
  <c r="AH106" i="57"/>
  <c r="R106" i="57"/>
  <c r="AR100" i="57"/>
  <c r="AB100" i="57"/>
  <c r="L100" i="57"/>
  <c r="B100" i="57" s="1"/>
  <c r="AR99" i="57"/>
  <c r="AB99" i="57"/>
  <c r="L99" i="57"/>
  <c r="B99" i="57" s="1"/>
  <c r="AR98" i="57"/>
  <c r="AB98" i="57"/>
  <c r="L98" i="57"/>
  <c r="B98" i="57" s="1"/>
  <c r="AR97" i="57"/>
  <c r="AB97" i="57"/>
  <c r="L97" i="57"/>
  <c r="B97" i="57" s="1"/>
  <c r="AR96" i="57"/>
  <c r="AB96" i="57"/>
  <c r="L96" i="57"/>
  <c r="B96" i="57" s="1"/>
  <c r="BF95" i="57"/>
  <c r="AP95" i="57"/>
  <c r="Z95" i="57"/>
  <c r="AX88" i="57"/>
  <c r="AW88" i="57"/>
  <c r="AH88" i="57"/>
  <c r="AG88" i="57"/>
  <c r="R88" i="57"/>
  <c r="Q88" i="57"/>
  <c r="BF82" i="57"/>
  <c r="AY82" i="57"/>
  <c r="AR82" i="57"/>
  <c r="AP82" i="57"/>
  <c r="AI82" i="57"/>
  <c r="AB82" i="57"/>
  <c r="Z82" i="57"/>
  <c r="S82" i="57"/>
  <c r="L82" i="57"/>
  <c r="B82" i="57" s="1"/>
  <c r="BF81" i="57"/>
  <c r="AY81" i="57"/>
  <c r="AR81" i="57"/>
  <c r="AP81" i="57"/>
  <c r="AI81" i="57"/>
  <c r="AB81" i="57"/>
  <c r="Z81" i="57"/>
  <c r="S81" i="57"/>
  <c r="L81" i="57"/>
  <c r="B81" i="57" s="1"/>
  <c r="BF80" i="57"/>
  <c r="AY80" i="57"/>
  <c r="AR80" i="57"/>
  <c r="AP80" i="57"/>
  <c r="AI80" i="57"/>
  <c r="AB80" i="57"/>
  <c r="Z80" i="57"/>
  <c r="S80" i="57"/>
  <c r="L80" i="57"/>
  <c r="B80" i="57" s="1"/>
  <c r="BF79" i="57"/>
  <c r="AY79" i="57"/>
  <c r="AR79" i="57"/>
  <c r="AP79" i="57"/>
  <c r="AI79" i="57"/>
  <c r="AB79" i="57"/>
  <c r="Z79" i="57"/>
  <c r="S79" i="57"/>
  <c r="L79" i="57"/>
  <c r="B79" i="57" s="1"/>
  <c r="AY78" i="57"/>
  <c r="AR78" i="57"/>
  <c r="AI78" i="57"/>
  <c r="AB78" i="57"/>
  <c r="S78" i="57"/>
  <c r="L78" i="57"/>
  <c r="B78" i="57" s="1"/>
  <c r="AY77" i="57"/>
  <c r="AR77" i="57"/>
  <c r="AI77" i="57"/>
  <c r="AB77" i="57"/>
  <c r="S77" i="57"/>
  <c r="L77" i="57"/>
  <c r="B77" i="57" s="1"/>
  <c r="AY76" i="57"/>
  <c r="AR76" i="57"/>
  <c r="AI76" i="57"/>
  <c r="AB76" i="57"/>
  <c r="S76" i="57"/>
  <c r="L76" i="57"/>
  <c r="B76" i="57" s="1"/>
  <c r="AY75" i="57"/>
  <c r="AR75" i="57"/>
  <c r="AI75" i="57"/>
  <c r="AB75" i="57"/>
  <c r="S75" i="57"/>
  <c r="L75" i="57"/>
  <c r="B75" i="57" s="1"/>
  <c r="AY74" i="57"/>
  <c r="AR74" i="57"/>
  <c r="AI74" i="57"/>
  <c r="AB74" i="57"/>
  <c r="S74" i="57"/>
  <c r="L74" i="57"/>
  <c r="B74" i="57" s="1"/>
  <c r="AY73" i="57"/>
  <c r="AR73" i="57"/>
  <c r="AI73" i="57"/>
  <c r="AB73" i="57"/>
  <c r="S73" i="57"/>
  <c r="L73" i="57"/>
  <c r="B73" i="57" s="1"/>
  <c r="AY72" i="57"/>
  <c r="AR72" i="57"/>
  <c r="AI72" i="57"/>
  <c r="AB72" i="57"/>
  <c r="S72" i="57"/>
  <c r="L72" i="57"/>
  <c r="B72" i="57" s="1"/>
  <c r="AY71" i="57"/>
  <c r="AR71" i="57"/>
  <c r="AI71" i="57"/>
  <c r="AB71" i="57"/>
  <c r="S71" i="57"/>
  <c r="L71" i="57"/>
  <c r="B71" i="57" s="1"/>
  <c r="AY70" i="57"/>
  <c r="AR70" i="57"/>
  <c r="AI70" i="57"/>
  <c r="AB70" i="57"/>
  <c r="S70" i="57"/>
  <c r="L70" i="57"/>
  <c r="B70" i="57" s="1"/>
  <c r="BF69" i="57"/>
  <c r="AY69" i="57"/>
  <c r="AR69" i="57"/>
  <c r="AP69" i="57"/>
  <c r="AI69" i="57"/>
  <c r="AB69" i="57"/>
  <c r="Z69" i="57"/>
  <c r="S69" i="57"/>
  <c r="L69" i="57"/>
  <c r="B69" i="57" s="1"/>
  <c r="BF68" i="57"/>
  <c r="AY68" i="57"/>
  <c r="AP68" i="57"/>
  <c r="AI68" i="57"/>
  <c r="Z68" i="57"/>
  <c r="S68" i="57"/>
  <c r="BB64" i="57"/>
  <c r="AV64" i="57" s="1"/>
  <c r="AV104" i="57" s="1"/>
  <c r="AW64" i="57"/>
  <c r="AS64" i="57" s="1"/>
  <c r="AS69" i="57" s="1"/>
  <c r="AU64" i="57"/>
  <c r="AU105" i="57" s="1"/>
  <c r="AT64" i="57"/>
  <c r="AT103" i="57" s="1"/>
  <c r="AL64" i="57"/>
  <c r="AG64" i="57"/>
  <c r="AC64" i="57" s="1"/>
  <c r="AE64" i="57"/>
  <c r="AE96" i="57" s="1"/>
  <c r="AD64" i="57"/>
  <c r="AD103" i="57" s="1"/>
  <c r="V64" i="57"/>
  <c r="Q64" i="57"/>
  <c r="M64" i="57" s="1"/>
  <c r="O64" i="57"/>
  <c r="O103" i="57" s="1"/>
  <c r="N64" i="57"/>
  <c r="N76" i="57" s="1"/>
  <c r="BB63" i="57"/>
  <c r="BD82" i="57" s="1"/>
  <c r="AL63" i="57"/>
  <c r="AP78" i="57" s="1"/>
  <c r="V63" i="57"/>
  <c r="X72" i="57" s="1"/>
  <c r="BE62" i="57"/>
  <c r="AO62" i="57"/>
  <c r="Y62" i="57"/>
  <c r="BF58" i="57"/>
  <c r="AP58" i="57"/>
  <c r="Z58" i="57"/>
  <c r="FK240" i="57"/>
  <c r="FE234" i="57"/>
  <c r="FE233" i="57"/>
  <c r="FE232" i="57"/>
  <c r="FE231" i="57"/>
  <c r="FE230" i="57"/>
  <c r="FS229" i="57"/>
  <c r="FC229" i="57"/>
  <c r="FL222" i="57"/>
  <c r="FE222" i="57"/>
  <c r="FL221" i="57"/>
  <c r="FE221" i="57"/>
  <c r="FL220" i="57"/>
  <c r="FE220" i="57"/>
  <c r="FL219" i="57"/>
  <c r="FE219" i="57"/>
  <c r="FL218" i="57"/>
  <c r="FE218" i="57"/>
  <c r="FL217" i="57"/>
  <c r="FE217" i="57"/>
  <c r="FL216" i="57"/>
  <c r="FE216" i="57"/>
  <c r="FL215" i="57"/>
  <c r="FE215" i="57"/>
  <c r="FL214" i="57"/>
  <c r="FE214" i="57"/>
  <c r="FS213" i="57"/>
  <c r="FL213" i="57"/>
  <c r="FE213" i="57"/>
  <c r="FS212" i="57"/>
  <c r="FL212" i="57"/>
  <c r="FO208" i="57"/>
  <c r="FI208" i="57" s="1"/>
  <c r="FJ208" i="57"/>
  <c r="FF208" i="57" s="1"/>
  <c r="FF231" i="57" s="1"/>
  <c r="FH208" i="57"/>
  <c r="FH239" i="57" s="1"/>
  <c r="FG208" i="57"/>
  <c r="FG222" i="57" s="1"/>
  <c r="EY208" i="57"/>
  <c r="FO207" i="57"/>
  <c r="EY207" i="57"/>
  <c r="FR206" i="57"/>
  <c r="FB206" i="57"/>
  <c r="FS202" i="57"/>
  <c r="FC202" i="57"/>
  <c r="FC286" i="57"/>
  <c r="FA273" i="57"/>
  <c r="FA272" i="57"/>
  <c r="FB271" i="57"/>
  <c r="FC271" i="57" s="1"/>
  <c r="FA271" i="57"/>
  <c r="FB270" i="57"/>
  <c r="FC270" i="57" s="1"/>
  <c r="FB269" i="57"/>
  <c r="FC269" i="57" s="1"/>
  <c r="FB268" i="57"/>
  <c r="FC268" i="57" s="1"/>
  <c r="FA268" i="57"/>
  <c r="FA267" i="57"/>
  <c r="FB265" i="57"/>
  <c r="FC265" i="57" s="1"/>
  <c r="FA265" i="57"/>
  <c r="FB264" i="57"/>
  <c r="FC264" i="57" s="1"/>
  <c r="FA263" i="57"/>
  <c r="FB262" i="57"/>
  <c r="FC262" i="57" s="1"/>
  <c r="FA262" i="57"/>
  <c r="FA261" i="57"/>
  <c r="FB260" i="57"/>
  <c r="FC260" i="57" s="1"/>
  <c r="FB259" i="57"/>
  <c r="FC259" i="57" s="1"/>
  <c r="FB258" i="57"/>
  <c r="FC258" i="57" s="1"/>
  <c r="FA258" i="57"/>
  <c r="FA257" i="57"/>
  <c r="FA256" i="57"/>
  <c r="FB255" i="57"/>
  <c r="FC255" i="57" s="1"/>
  <c r="FA255" i="57"/>
  <c r="FB254" i="57"/>
  <c r="FC254" i="57" s="1"/>
  <c r="FB253" i="57"/>
  <c r="FC253" i="57" s="1"/>
  <c r="FB252" i="57"/>
  <c r="FC252" i="57" s="1"/>
  <c r="FA252" i="57"/>
  <c r="FB251" i="57"/>
  <c r="FC251" i="57" s="1"/>
  <c r="FA251" i="57"/>
  <c r="FB249" i="57"/>
  <c r="FC249" i="57" s="1"/>
  <c r="FA249" i="57"/>
  <c r="FB248" i="57"/>
  <c r="FC248" i="57" s="1"/>
  <c r="FA247" i="57"/>
  <c r="FB246" i="57"/>
  <c r="FC246" i="57" s="1"/>
  <c r="FA246" i="57"/>
  <c r="FA245" i="57"/>
  <c r="FB244" i="57"/>
  <c r="FC244" i="57" s="1"/>
  <c r="FA244" i="57"/>
  <c r="FB272" i="57"/>
  <c r="FC272" i="57" s="1"/>
  <c r="B11" i="57"/>
  <c r="B12" i="57"/>
  <c r="B13" i="57"/>
  <c r="B14" i="57"/>
  <c r="B15" i="57"/>
  <c r="B16" i="57"/>
  <c r="B17" i="57"/>
  <c r="B18" i="57"/>
  <c r="B33" i="57"/>
  <c r="B34" i="57"/>
  <c r="B35" i="57"/>
  <c r="B36" i="57"/>
  <c r="B37" i="57"/>
  <c r="B38" i="57"/>
  <c r="B39" i="57"/>
  <c r="B40" i="57"/>
  <c r="B41" i="57"/>
  <c r="B42" i="57"/>
  <c r="B43" i="57"/>
  <c r="B44" i="57"/>
  <c r="B45" i="57"/>
  <c r="B51" i="57"/>
  <c r="B52" i="57"/>
  <c r="B53" i="57"/>
  <c r="B54" i="57"/>
  <c r="B55" i="57"/>
  <c r="B56" i="57"/>
  <c r="B57" i="57"/>
  <c r="B58" i="57"/>
  <c r="B59" i="57"/>
  <c r="B60" i="57"/>
  <c r="B61" i="57"/>
  <c r="B62" i="57"/>
  <c r="B63" i="57"/>
  <c r="B64" i="57"/>
  <c r="B65" i="57"/>
  <c r="B66" i="57"/>
  <c r="B67" i="57"/>
  <c r="B68" i="57"/>
  <c r="B83" i="57"/>
  <c r="B84" i="57"/>
  <c r="B85" i="57"/>
  <c r="B86" i="57"/>
  <c r="B87" i="57"/>
  <c r="B88" i="57"/>
  <c r="B89" i="57"/>
  <c r="B90" i="57"/>
  <c r="B91" i="57"/>
  <c r="B92" i="57"/>
  <c r="B93" i="57"/>
  <c r="B94" i="57"/>
  <c r="B95" i="57"/>
  <c r="B101" i="57"/>
  <c r="B102" i="57"/>
  <c r="B103" i="57"/>
  <c r="B104" i="57"/>
  <c r="B105" i="57"/>
  <c r="B106" i="57"/>
  <c r="B107" i="57"/>
  <c r="B108" i="57"/>
  <c r="B109" i="57"/>
  <c r="B110" i="57"/>
  <c r="B111" i="57"/>
  <c r="B112" i="57"/>
  <c r="B113" i="57"/>
  <c r="B114" i="57"/>
  <c r="B115" i="57"/>
  <c r="B116" i="57"/>
  <c r="B117" i="57"/>
  <c r="B118" i="57"/>
  <c r="B148" i="57"/>
  <c r="B149" i="57"/>
  <c r="B150" i="57"/>
  <c r="B151" i="57"/>
  <c r="B152" i="57"/>
  <c r="B153" i="57"/>
  <c r="B154" i="57"/>
  <c r="B155" i="57"/>
  <c r="B156" i="57"/>
  <c r="B157" i="57"/>
  <c r="B158" i="57"/>
  <c r="B159" i="57"/>
  <c r="B160" i="57"/>
  <c r="B161" i="57"/>
  <c r="B162" i="57"/>
  <c r="B163" i="57"/>
  <c r="B164" i="57"/>
  <c r="B165" i="57"/>
  <c r="B166" i="57"/>
  <c r="B167" i="57"/>
  <c r="B168" i="57"/>
  <c r="B169" i="57"/>
  <c r="B170" i="57"/>
  <c r="B171" i="57"/>
  <c r="B172" i="57"/>
  <c r="B173" i="57"/>
  <c r="B174" i="57"/>
  <c r="B175" i="57"/>
  <c r="B176" i="57"/>
  <c r="B177" i="57"/>
  <c r="B178" i="57"/>
  <c r="B179" i="57"/>
  <c r="B180" i="57"/>
  <c r="B181" i="57"/>
  <c r="B182" i="57"/>
  <c r="B187" i="57"/>
  <c r="B188" i="57"/>
  <c r="B189" i="57"/>
  <c r="B190" i="57"/>
  <c r="B191" i="57"/>
  <c r="B192" i="57"/>
  <c r="B193" i="57"/>
  <c r="B194" i="57"/>
  <c r="B195" i="57"/>
  <c r="B196" i="57"/>
  <c r="B197" i="57"/>
  <c r="B198" i="57"/>
  <c r="B199" i="57"/>
  <c r="B200" i="57"/>
  <c r="B201" i="57"/>
  <c r="B202" i="57"/>
  <c r="B203" i="57"/>
  <c r="B204" i="57"/>
  <c r="B224" i="57"/>
  <c r="B225" i="57"/>
  <c r="B226" i="57"/>
  <c r="B227" i="57"/>
  <c r="B228" i="57"/>
  <c r="B229" i="57"/>
  <c r="B230" i="57"/>
  <c r="B231" i="57"/>
  <c r="B232" i="57"/>
  <c r="B233" i="57"/>
  <c r="B234" i="57"/>
  <c r="B235" i="57"/>
  <c r="B236" i="57"/>
  <c r="B237" i="57"/>
  <c r="B238" i="57"/>
  <c r="B239" i="57"/>
  <c r="B240" i="57"/>
  <c r="B241" i="57"/>
  <c r="B242" i="57"/>
  <c r="B243" i="57"/>
  <c r="B244" i="57"/>
  <c r="B245" i="57"/>
  <c r="B246" i="57"/>
  <c r="B247" i="57"/>
  <c r="B248" i="57"/>
  <c r="B249" i="57"/>
  <c r="B250" i="57"/>
  <c r="B251" i="57"/>
  <c r="B252" i="57"/>
  <c r="B253" i="57"/>
  <c r="B254" i="57"/>
  <c r="B255" i="57"/>
  <c r="B256" i="57"/>
  <c r="B257" i="57"/>
  <c r="B258" i="57"/>
  <c r="B263" i="57"/>
  <c r="B264" i="57"/>
  <c r="B265" i="57"/>
  <c r="B266" i="57"/>
  <c r="B267" i="57"/>
  <c r="B268" i="57"/>
  <c r="B269" i="57"/>
  <c r="B270" i="57"/>
  <c r="B271" i="57"/>
  <c r="B272" i="57"/>
  <c r="B273" i="57"/>
  <c r="B274" i="57"/>
  <c r="B275" i="57"/>
  <c r="B276" i="57"/>
  <c r="B277" i="57"/>
  <c r="B278" i="57"/>
  <c r="B279" i="57"/>
  <c r="B280" i="57"/>
  <c r="B281" i="57"/>
  <c r="B5" i="57"/>
  <c r="B6" i="57"/>
  <c r="B7" i="57"/>
  <c r="B8" i="57"/>
  <c r="B9" i="57"/>
  <c r="B10" i="57"/>
  <c r="J478" i="57"/>
  <c r="I478" i="57"/>
  <c r="H478" i="57"/>
  <c r="G478" i="57"/>
  <c r="F478" i="57"/>
  <c r="E478" i="57"/>
  <c r="D478" i="57"/>
  <c r="C478" i="57"/>
  <c r="B478" i="57"/>
  <c r="C282" i="57" a="1"/>
  <c r="C282" i="57" s="1"/>
  <c r="C281" i="57" a="1"/>
  <c r="C281" i="57" s="1"/>
  <c r="C280" i="57" a="1"/>
  <c r="C280" i="57" s="1"/>
  <c r="C279" i="57" a="1"/>
  <c r="C279" i="57" s="1"/>
  <c r="C278" i="57" a="1"/>
  <c r="C278" i="57" s="1"/>
  <c r="C277" i="57" a="1"/>
  <c r="C277" i="57" s="1"/>
  <c r="C276" i="57" a="1"/>
  <c r="C276" i="57" s="1"/>
  <c r="C275" i="57" a="1"/>
  <c r="C275" i="57" s="1"/>
  <c r="C274" i="57" a="1"/>
  <c r="C274" i="57" s="1"/>
  <c r="C273" i="57" a="1"/>
  <c r="C273" i="57" s="1"/>
  <c r="C272" i="57" a="1"/>
  <c r="C272" i="57" s="1"/>
  <c r="C271" i="57" a="1"/>
  <c r="C271" i="57" s="1"/>
  <c r="C270" i="57" a="1"/>
  <c r="C270" i="57" s="1"/>
  <c r="C269" i="57" a="1"/>
  <c r="C269" i="57" s="1"/>
  <c r="C268" i="57" a="1"/>
  <c r="C268" i="57" s="1"/>
  <c r="C267" i="57" a="1"/>
  <c r="C267" i="57" s="1"/>
  <c r="C266" i="57" a="1"/>
  <c r="C266" i="57" s="1"/>
  <c r="C265" i="57" a="1"/>
  <c r="C265" i="57" s="1"/>
  <c r="C264" i="57" a="1"/>
  <c r="C264" i="57" s="1"/>
  <c r="C263" i="57" a="1"/>
  <c r="C263" i="57" s="1"/>
  <c r="C262" i="57" a="1"/>
  <c r="C262" i="57" s="1"/>
  <c r="C261" i="57" a="1"/>
  <c r="C261" i="57" s="1"/>
  <c r="C260" i="57" a="1"/>
  <c r="C260" i="57" s="1"/>
  <c r="C259" i="57" a="1"/>
  <c r="C259" i="57" s="1"/>
  <c r="C258" i="57" a="1"/>
  <c r="C258" i="57" s="1"/>
  <c r="C257" i="57" a="1"/>
  <c r="C257" i="57" s="1"/>
  <c r="C256" i="57" a="1"/>
  <c r="C256" i="57" s="1"/>
  <c r="C255" i="57" a="1"/>
  <c r="C255" i="57" s="1"/>
  <c r="C254" i="57" a="1"/>
  <c r="C254" i="57" s="1"/>
  <c r="C253" i="57" a="1"/>
  <c r="C253" i="57" s="1"/>
  <c r="C252" i="57" a="1"/>
  <c r="C252" i="57" s="1"/>
  <c r="C251" i="57" a="1"/>
  <c r="C251" i="57" s="1"/>
  <c r="C250" i="57" a="1"/>
  <c r="C250" i="57" s="1"/>
  <c r="C249" i="57" a="1"/>
  <c r="C249" i="57" s="1"/>
  <c r="C248" i="57" a="1"/>
  <c r="C248" i="57" s="1"/>
  <c r="C247" i="57" a="1"/>
  <c r="C247" i="57" s="1"/>
  <c r="C246" i="57" a="1"/>
  <c r="C246" i="57" s="1"/>
  <c r="C245" i="57" a="1"/>
  <c r="C245" i="57" s="1"/>
  <c r="C244" i="57" a="1"/>
  <c r="C244" i="57" s="1"/>
  <c r="C243" i="57" a="1"/>
  <c r="C243" i="57" s="1"/>
  <c r="C242" i="57" a="1"/>
  <c r="C242" i="57" s="1"/>
  <c r="C241" i="57" a="1"/>
  <c r="C241" i="57" s="1"/>
  <c r="C240" i="57" a="1"/>
  <c r="C240" i="57" s="1"/>
  <c r="C239" i="57" a="1"/>
  <c r="C239" i="57" s="1"/>
  <c r="C238" i="57" a="1"/>
  <c r="C238" i="57" s="1"/>
  <c r="C237" i="57" a="1"/>
  <c r="C237" i="57" s="1"/>
  <c r="C236" i="57" a="1"/>
  <c r="C236" i="57" s="1"/>
  <c r="C235" i="57" a="1"/>
  <c r="C235" i="57" s="1"/>
  <c r="C234" i="57" a="1"/>
  <c r="C234" i="57" s="1"/>
  <c r="C233" i="57" a="1"/>
  <c r="C233" i="57" s="1"/>
  <c r="C232" i="57" a="1"/>
  <c r="C232" i="57" s="1"/>
  <c r="C231" i="57" a="1"/>
  <c r="C231" i="57" s="1"/>
  <c r="C230" i="57" a="1"/>
  <c r="C230" i="57" s="1"/>
  <c r="C229" i="57" a="1"/>
  <c r="C229" i="57" s="1"/>
  <c r="C228" i="57" a="1"/>
  <c r="C228" i="57" s="1"/>
  <c r="C227" i="57" a="1"/>
  <c r="C227" i="57" s="1"/>
  <c r="C226" i="57" a="1"/>
  <c r="C226" i="57" s="1"/>
  <c r="C225" i="57" a="1"/>
  <c r="C225" i="57" s="1"/>
  <c r="C224" i="57" a="1"/>
  <c r="C224" i="57" s="1"/>
  <c r="C223" i="57" a="1"/>
  <c r="C223" i="57" s="1"/>
  <c r="C222" i="57" a="1"/>
  <c r="C222" i="57" s="1"/>
  <c r="C221" i="57" a="1"/>
  <c r="C221" i="57" s="1"/>
  <c r="C220" i="57" a="1"/>
  <c r="C220" i="57" s="1"/>
  <c r="C219" i="57" a="1"/>
  <c r="C219" i="57" s="1"/>
  <c r="C218" i="57" a="1"/>
  <c r="C218" i="57" s="1"/>
  <c r="C217" i="57" a="1"/>
  <c r="C217" i="57" s="1"/>
  <c r="C216" i="57" a="1"/>
  <c r="C216" i="57" s="1"/>
  <c r="C215" i="57" a="1"/>
  <c r="C215" i="57" s="1"/>
  <c r="C214" i="57" a="1"/>
  <c r="C214" i="57" s="1"/>
  <c r="C213" i="57" a="1"/>
  <c r="C213" i="57" s="1"/>
  <c r="C212" i="57" a="1"/>
  <c r="C212" i="57" s="1"/>
  <c r="C211" i="57" a="1"/>
  <c r="C211" i="57" s="1"/>
  <c r="C210" i="57" a="1"/>
  <c r="C210" i="57" s="1"/>
  <c r="C209" i="57" a="1"/>
  <c r="C209" i="57" s="1"/>
  <c r="C208" i="57" a="1"/>
  <c r="C208" i="57" s="1"/>
  <c r="C207" i="57" a="1"/>
  <c r="C207" i="57" s="1"/>
  <c r="C206" i="57" a="1"/>
  <c r="C206" i="57" s="1"/>
  <c r="C205" i="57" a="1"/>
  <c r="C205" i="57" s="1"/>
  <c r="C204" i="57" a="1"/>
  <c r="C204" i="57" s="1"/>
  <c r="C203" i="57" a="1"/>
  <c r="C203" i="57" s="1"/>
  <c r="C202" i="57" a="1"/>
  <c r="C202" i="57" s="1"/>
  <c r="C201" i="57" a="1"/>
  <c r="C201" i="57" s="1"/>
  <c r="C200" i="57" a="1"/>
  <c r="C200" i="57" s="1"/>
  <c r="C199" i="57" a="1"/>
  <c r="C199" i="57" s="1"/>
  <c r="C198" i="57" a="1"/>
  <c r="C198" i="57" s="1"/>
  <c r="C197" i="57" a="1"/>
  <c r="C197" i="57" s="1"/>
  <c r="C196" i="57" a="1"/>
  <c r="C196" i="57" s="1"/>
  <c r="C195" i="57" a="1"/>
  <c r="C195" i="57" s="1"/>
  <c r="C194" i="57" a="1"/>
  <c r="C194" i="57" s="1"/>
  <c r="C193" i="57" a="1"/>
  <c r="C193" i="57" s="1"/>
  <c r="C192" i="57" a="1"/>
  <c r="C192" i="57" s="1"/>
  <c r="C191" i="57" a="1"/>
  <c r="C191" i="57" s="1"/>
  <c r="C190" i="57" a="1"/>
  <c r="C190" i="57" s="1"/>
  <c r="C189" i="57" a="1"/>
  <c r="C189" i="57" s="1"/>
  <c r="C188" i="57" a="1"/>
  <c r="C188" i="57" s="1"/>
  <c r="C187" i="57" a="1"/>
  <c r="C187" i="57" s="1"/>
  <c r="C186" i="57" a="1"/>
  <c r="C186" i="57" s="1"/>
  <c r="C185" i="57" a="1"/>
  <c r="C185" i="57" s="1"/>
  <c r="C184" i="57" a="1"/>
  <c r="C184" i="57" s="1"/>
  <c r="C183" i="57" a="1"/>
  <c r="C183" i="57" s="1"/>
  <c r="C182" i="57" a="1"/>
  <c r="C182" i="57" s="1"/>
  <c r="C181" i="57" a="1"/>
  <c r="C181" i="57" s="1"/>
  <c r="C180" i="57" a="1"/>
  <c r="C180" i="57" s="1"/>
  <c r="C179" i="57" a="1"/>
  <c r="C179" i="57" s="1"/>
  <c r="C178" i="57" a="1"/>
  <c r="C178" i="57" s="1"/>
  <c r="C177" i="57" a="1"/>
  <c r="C177" i="57" s="1"/>
  <c r="C176" i="57" a="1"/>
  <c r="C176" i="57" s="1"/>
  <c r="C175" i="57" a="1"/>
  <c r="C175" i="57" s="1"/>
  <c r="C174" i="57" a="1"/>
  <c r="C174" i="57" s="1"/>
  <c r="C173" i="57" a="1"/>
  <c r="C173" i="57" s="1"/>
  <c r="C172" i="57" a="1"/>
  <c r="C172" i="57" s="1"/>
  <c r="C171" i="57" a="1"/>
  <c r="C171" i="57" s="1"/>
  <c r="C170" i="57" a="1"/>
  <c r="C170" i="57" s="1"/>
  <c r="C169" i="57" a="1"/>
  <c r="C169" i="57" s="1"/>
  <c r="C168" i="57" a="1"/>
  <c r="C168" i="57" s="1"/>
  <c r="C167" i="57" a="1"/>
  <c r="C167" i="57" s="1"/>
  <c r="C166" i="57" a="1"/>
  <c r="C166" i="57" s="1"/>
  <c r="C165" i="57" a="1"/>
  <c r="C165" i="57" s="1"/>
  <c r="C164" i="57" a="1"/>
  <c r="C164" i="57" s="1"/>
  <c r="C163" i="57" a="1"/>
  <c r="C163" i="57" s="1"/>
  <c r="C162" i="57" a="1"/>
  <c r="C162" i="57" s="1"/>
  <c r="C161" i="57" a="1"/>
  <c r="C161" i="57" s="1"/>
  <c r="C160" i="57" a="1"/>
  <c r="C160" i="57" s="1"/>
  <c r="C159" i="57" a="1"/>
  <c r="C159" i="57" s="1"/>
  <c r="C158" i="57" a="1"/>
  <c r="C158" i="57" s="1"/>
  <c r="C157" i="57" a="1"/>
  <c r="C157" i="57" s="1"/>
  <c r="C156" i="57" a="1"/>
  <c r="C156" i="57" s="1"/>
  <c r="C155" i="57" a="1"/>
  <c r="C155" i="57" s="1"/>
  <c r="C154" i="57" a="1"/>
  <c r="C154" i="57" s="1"/>
  <c r="C153" i="57" a="1"/>
  <c r="C153" i="57" s="1"/>
  <c r="C152" i="57" a="1"/>
  <c r="C152" i="57" s="1"/>
  <c r="C151" i="57" a="1"/>
  <c r="C151" i="57" s="1"/>
  <c r="C150" i="57" a="1"/>
  <c r="C150" i="57" s="1"/>
  <c r="C149" i="57" a="1"/>
  <c r="C149" i="57" s="1"/>
  <c r="C148" i="57" a="1"/>
  <c r="C148" i="57" s="1"/>
  <c r="C147" i="57" a="1"/>
  <c r="C147" i="57" s="1"/>
  <c r="C146" i="57" a="1"/>
  <c r="C146" i="57" s="1"/>
  <c r="C145" i="57" a="1"/>
  <c r="C145" i="57" s="1"/>
  <c r="C144" i="57" a="1"/>
  <c r="C144" i="57" s="1"/>
  <c r="C143" i="57" a="1"/>
  <c r="C143" i="57" s="1"/>
  <c r="C142" i="57" a="1"/>
  <c r="C142" i="57" s="1"/>
  <c r="C141" i="57" a="1"/>
  <c r="C141" i="57" s="1"/>
  <c r="C140" i="57" a="1"/>
  <c r="C140" i="57" s="1"/>
  <c r="C139" i="57" a="1"/>
  <c r="C139" i="57" s="1"/>
  <c r="C138" i="57" a="1"/>
  <c r="C138" i="57" s="1"/>
  <c r="C137" i="57" a="1"/>
  <c r="C137" i="57" s="1"/>
  <c r="C136" i="57" a="1"/>
  <c r="C136" i="57" s="1"/>
  <c r="C135" i="57" a="1"/>
  <c r="C135" i="57" s="1"/>
  <c r="C134" i="57" a="1"/>
  <c r="C134" i="57" s="1"/>
  <c r="C133" i="57" a="1"/>
  <c r="C133" i="57" s="1"/>
  <c r="C132" i="57" a="1"/>
  <c r="C132" i="57" s="1"/>
  <c r="C131" i="57" a="1"/>
  <c r="C131" i="57" s="1"/>
  <c r="C130" i="57" a="1"/>
  <c r="C130" i="57" s="1"/>
  <c r="C129" i="57" a="1"/>
  <c r="C129" i="57" s="1"/>
  <c r="C128" i="57" a="1"/>
  <c r="C128" i="57" s="1"/>
  <c r="C127" i="57" a="1"/>
  <c r="C127" i="57" s="1"/>
  <c r="C126" i="57" a="1"/>
  <c r="C126" i="57" s="1"/>
  <c r="C125" i="57" a="1"/>
  <c r="C125" i="57" s="1"/>
  <c r="C124" i="57" a="1"/>
  <c r="C124" i="57" s="1"/>
  <c r="C123" i="57" a="1"/>
  <c r="C123" i="57" s="1"/>
  <c r="C122" i="57" a="1"/>
  <c r="C122" i="57" s="1"/>
  <c r="C121" i="57" a="1"/>
  <c r="C121" i="57" s="1"/>
  <c r="C120" i="57" a="1"/>
  <c r="C120" i="57" s="1"/>
  <c r="C119" i="57" a="1"/>
  <c r="C119" i="57" s="1"/>
  <c r="C118" i="57" a="1"/>
  <c r="C118" i="57" s="1"/>
  <c r="C117" i="57" a="1"/>
  <c r="C117" i="57" s="1"/>
  <c r="C116" i="57" a="1"/>
  <c r="C116" i="57" s="1"/>
  <c r="C115" i="57" a="1"/>
  <c r="C115" i="57" s="1"/>
  <c r="C114" i="57" a="1"/>
  <c r="C114" i="57" s="1"/>
  <c r="C113" i="57" a="1"/>
  <c r="C113" i="57" s="1"/>
  <c r="C112" i="57" a="1"/>
  <c r="C112" i="57" s="1"/>
  <c r="C111" i="57" a="1"/>
  <c r="C111" i="57" s="1"/>
  <c r="C110" i="57" a="1"/>
  <c r="C110" i="57" s="1"/>
  <c r="C109" i="57" a="1"/>
  <c r="C109" i="57" s="1"/>
  <c r="C108" i="57" a="1"/>
  <c r="C108" i="57" s="1"/>
  <c r="C107" i="57" a="1"/>
  <c r="C107" i="57" s="1"/>
  <c r="C106" i="57" a="1"/>
  <c r="C106" i="57" s="1"/>
  <c r="C105" i="57" a="1"/>
  <c r="C105" i="57" s="1"/>
  <c r="C104" i="57" a="1"/>
  <c r="C104" i="57" s="1"/>
  <c r="C103" i="57" a="1"/>
  <c r="C103" i="57" s="1"/>
  <c r="C102" i="57" a="1"/>
  <c r="C102" i="57" s="1"/>
  <c r="C101" i="57" a="1"/>
  <c r="C101" i="57" s="1"/>
  <c r="C100" i="57" a="1"/>
  <c r="C100" i="57" s="1"/>
  <c r="C99" i="57" a="1"/>
  <c r="C99" i="57" s="1"/>
  <c r="C98" i="57" a="1"/>
  <c r="C98" i="57" s="1"/>
  <c r="C97" i="57" a="1"/>
  <c r="C97" i="57" s="1"/>
  <c r="C96" i="57" a="1"/>
  <c r="C96" i="57" s="1"/>
  <c r="C95" i="57" a="1"/>
  <c r="C95" i="57" s="1"/>
  <c r="C94" i="57" a="1"/>
  <c r="C94" i="57" s="1"/>
  <c r="C93" i="57" a="1"/>
  <c r="C93" i="57" s="1"/>
  <c r="C92" i="57" a="1"/>
  <c r="C92" i="57" s="1"/>
  <c r="C91" i="57" a="1"/>
  <c r="C91" i="57" s="1"/>
  <c r="C90" i="57" a="1"/>
  <c r="C90" i="57" s="1"/>
  <c r="C89" i="57" a="1"/>
  <c r="C89" i="57" s="1"/>
  <c r="C88" i="57" a="1"/>
  <c r="C88" i="57" s="1"/>
  <c r="C87" i="57" a="1"/>
  <c r="C87" i="57" s="1"/>
  <c r="C86" i="57" a="1"/>
  <c r="C86" i="57" s="1"/>
  <c r="C85" i="57" a="1"/>
  <c r="C85" i="57" s="1"/>
  <c r="C84" i="57" a="1"/>
  <c r="C84" i="57" s="1"/>
  <c r="C83" i="57" a="1"/>
  <c r="C83" i="57" s="1"/>
  <c r="C82" i="57" a="1"/>
  <c r="C82" i="57" s="1"/>
  <c r="C81" i="57" a="1"/>
  <c r="C81" i="57" s="1"/>
  <c r="C80" i="57" a="1"/>
  <c r="C80" i="57" s="1"/>
  <c r="C79" i="57" a="1"/>
  <c r="C79" i="57" s="1"/>
  <c r="C78" i="57" a="1"/>
  <c r="C78" i="57" s="1"/>
  <c r="C77" i="57" a="1"/>
  <c r="C77" i="57" s="1"/>
  <c r="C76" i="57" a="1"/>
  <c r="C76" i="57" s="1"/>
  <c r="C75" i="57" a="1"/>
  <c r="C75" i="57" s="1"/>
  <c r="C74" i="57" a="1"/>
  <c r="C74" i="57" s="1"/>
  <c r="C73" i="57" a="1"/>
  <c r="C73" i="57" s="1"/>
  <c r="C72" i="57" a="1"/>
  <c r="C72" i="57" s="1"/>
  <c r="C71" i="57" a="1"/>
  <c r="C71" i="57" s="1"/>
  <c r="C70" i="57" a="1"/>
  <c r="C70" i="57" s="1"/>
  <c r="C69" i="57" a="1"/>
  <c r="C69" i="57" s="1"/>
  <c r="C68" i="57" a="1"/>
  <c r="C68" i="57" s="1"/>
  <c r="C67" i="57" a="1"/>
  <c r="C67" i="57" s="1"/>
  <c r="C66" i="57" a="1"/>
  <c r="C66" i="57" s="1"/>
  <c r="C65" i="57" a="1"/>
  <c r="C65" i="57" s="1"/>
  <c r="C64" i="57" a="1"/>
  <c r="C64" i="57" s="1"/>
  <c r="C63" i="57" a="1"/>
  <c r="C63" i="57" s="1"/>
  <c r="C62" i="57" a="1"/>
  <c r="C62" i="57" s="1"/>
  <c r="C61" i="57" a="1"/>
  <c r="C61" i="57" s="1"/>
  <c r="C60" i="57" a="1"/>
  <c r="C60" i="57" s="1"/>
  <c r="C59" i="57" a="1"/>
  <c r="C59" i="57" s="1"/>
  <c r="C58" i="57" a="1"/>
  <c r="C58" i="57" s="1"/>
  <c r="C57" i="57" a="1"/>
  <c r="C57" i="57" s="1"/>
  <c r="C56" i="57" a="1"/>
  <c r="C56" i="57" s="1"/>
  <c r="C55" i="57" a="1"/>
  <c r="C55" i="57" s="1"/>
  <c r="C54" i="57" a="1"/>
  <c r="C54" i="57" s="1"/>
  <c r="C53" i="57" a="1"/>
  <c r="C53" i="57" s="1"/>
  <c r="C52" i="57" a="1"/>
  <c r="C52" i="57" s="1"/>
  <c r="C51" i="57" a="1"/>
  <c r="C51" i="57" s="1"/>
  <c r="C50" i="57" a="1"/>
  <c r="C50" i="57" s="1"/>
  <c r="C49" i="57" a="1"/>
  <c r="C49" i="57" s="1"/>
  <c r="C48" i="57" a="1"/>
  <c r="C48" i="57" s="1"/>
  <c r="C47" i="57" a="1"/>
  <c r="C47" i="57" s="1"/>
  <c r="C46" i="57" a="1"/>
  <c r="C46" i="57" s="1"/>
  <c r="C45" i="57" a="1"/>
  <c r="C45" i="57" s="1"/>
  <c r="C44" i="57" a="1"/>
  <c r="C44" i="57" s="1"/>
  <c r="C43" i="57" a="1"/>
  <c r="C43" i="57" s="1"/>
  <c r="C42" i="57" a="1"/>
  <c r="C42" i="57" s="1"/>
  <c r="C41" i="57" a="1"/>
  <c r="C41" i="57" s="1"/>
  <c r="C40" i="57" a="1"/>
  <c r="C40" i="57" s="1"/>
  <c r="C39" i="57" a="1"/>
  <c r="C39" i="57" s="1"/>
  <c r="C38" i="57" a="1"/>
  <c r="C38" i="57" s="1"/>
  <c r="C37" i="57" a="1"/>
  <c r="C37" i="57" s="1"/>
  <c r="C36" i="57" a="1"/>
  <c r="C36" i="57" s="1"/>
  <c r="C35" i="57" a="1"/>
  <c r="C35" i="57" s="1"/>
  <c r="C34" i="57" a="1"/>
  <c r="C34" i="57" s="1"/>
  <c r="C33" i="57" a="1"/>
  <c r="C33" i="57" s="1"/>
  <c r="C32" i="57" a="1"/>
  <c r="C32" i="57" s="1"/>
  <c r="C31" i="57" a="1"/>
  <c r="C31" i="57" s="1"/>
  <c r="C30" i="57" a="1"/>
  <c r="C30" i="57" s="1"/>
  <c r="C29" i="57" a="1"/>
  <c r="C29" i="57" s="1"/>
  <c r="C28" i="57" a="1"/>
  <c r="C28" i="57" s="1"/>
  <c r="C27" i="57" a="1"/>
  <c r="C27" i="57" s="1"/>
  <c r="C26" i="57" a="1"/>
  <c r="C26" i="57" s="1"/>
  <c r="C25" i="57" a="1"/>
  <c r="C25" i="57" s="1"/>
  <c r="C24" i="57" a="1"/>
  <c r="C24" i="57" s="1"/>
  <c r="C23" i="57" a="1"/>
  <c r="C23" i="57" s="1"/>
  <c r="C22" i="57" a="1"/>
  <c r="C22" i="57" s="1"/>
  <c r="C21" i="57" a="1"/>
  <c r="C21" i="57" s="1"/>
  <c r="C20" i="57" a="1"/>
  <c r="C20" i="57" s="1"/>
  <c r="C19" i="57" a="1"/>
  <c r="C19" i="57" s="1"/>
  <c r="C18" i="57" a="1"/>
  <c r="C18" i="57" s="1"/>
  <c r="C17" i="57" a="1"/>
  <c r="C17" i="57" s="1"/>
  <c r="C16" i="57" a="1"/>
  <c r="C16" i="57" s="1"/>
  <c r="C15" i="57" a="1"/>
  <c r="C15" i="57" s="1"/>
  <c r="C14" i="57" a="1"/>
  <c r="C14" i="57" s="1"/>
  <c r="J10" i="57"/>
  <c r="I10" i="57"/>
  <c r="H10" i="57"/>
  <c r="G10" i="57"/>
  <c r="F10" i="57"/>
  <c r="E10" i="57"/>
  <c r="D10" i="57"/>
  <c r="C10" i="57"/>
  <c r="B4" i="57"/>
  <c r="J2" i="57"/>
  <c r="I2" i="57"/>
  <c r="H2" i="57"/>
  <c r="G2" i="57"/>
  <c r="F2" i="57"/>
  <c r="E2" i="57"/>
  <c r="D2" i="57"/>
  <c r="C2" i="57"/>
  <c r="B2" i="57"/>
  <c r="J1" i="57"/>
  <c r="I1" i="57"/>
  <c r="H1" i="57"/>
  <c r="G1" i="57"/>
  <c r="F1" i="57"/>
  <c r="E1" i="57"/>
  <c r="D1" i="57"/>
  <c r="C1" i="57"/>
  <c r="B1" i="57"/>
  <c r="AX56" i="57"/>
  <c r="AH56" i="57"/>
  <c r="R56" i="57"/>
  <c r="AR50" i="57"/>
  <c r="AB50" i="57"/>
  <c r="L50" i="57"/>
  <c r="B50" i="57" s="1"/>
  <c r="AR49" i="57"/>
  <c r="AB49" i="57"/>
  <c r="L49" i="57"/>
  <c r="B49" i="57" s="1"/>
  <c r="AR48" i="57"/>
  <c r="AB48" i="57"/>
  <c r="L48" i="57"/>
  <c r="B48" i="57" s="1"/>
  <c r="AR47" i="57"/>
  <c r="AB47" i="57"/>
  <c r="L47" i="57"/>
  <c r="B47" i="57" s="1"/>
  <c r="AR46" i="57"/>
  <c r="AB46" i="57"/>
  <c r="L46" i="57"/>
  <c r="B46" i="57" s="1"/>
  <c r="BF45" i="57"/>
  <c r="AP45" i="57"/>
  <c r="Z45" i="57"/>
  <c r="AX38" i="57"/>
  <c r="AW38" i="57"/>
  <c r="AH38" i="57"/>
  <c r="AG38" i="57"/>
  <c r="R38" i="57"/>
  <c r="Q38" i="57"/>
  <c r="BF32" i="57"/>
  <c r="AY32" i="57"/>
  <c r="AR32" i="57"/>
  <c r="AP32" i="57"/>
  <c r="AI32" i="57"/>
  <c r="AB32" i="57"/>
  <c r="Z32" i="57"/>
  <c r="S32" i="57"/>
  <c r="L32" i="57"/>
  <c r="B32" i="57" s="1"/>
  <c r="BF31" i="57"/>
  <c r="AY31" i="57"/>
  <c r="AR31" i="57"/>
  <c r="AP31" i="57"/>
  <c r="AI31" i="57"/>
  <c r="AB31" i="57"/>
  <c r="Z31" i="57"/>
  <c r="S31" i="57"/>
  <c r="L31" i="57"/>
  <c r="B31" i="57" s="1"/>
  <c r="AY30" i="57"/>
  <c r="AR30" i="57"/>
  <c r="AI30" i="57"/>
  <c r="AB30" i="57"/>
  <c r="S30" i="57"/>
  <c r="L30" i="57"/>
  <c r="B30" i="57" s="1"/>
  <c r="AY29" i="57"/>
  <c r="AR29" i="57"/>
  <c r="AI29" i="57"/>
  <c r="AB29" i="57"/>
  <c r="S29" i="57"/>
  <c r="L29" i="57"/>
  <c r="B29" i="57" s="1"/>
  <c r="BF28" i="57"/>
  <c r="AY28" i="57"/>
  <c r="AR28" i="57"/>
  <c r="AP28" i="57"/>
  <c r="AI28" i="57"/>
  <c r="AB28" i="57"/>
  <c r="Z28" i="57"/>
  <c r="S28" i="57"/>
  <c r="L28" i="57"/>
  <c r="B28" i="57" s="1"/>
  <c r="BF27" i="57"/>
  <c r="AY27" i="57"/>
  <c r="AR27" i="57"/>
  <c r="AP27" i="57"/>
  <c r="AI27" i="57"/>
  <c r="AB27" i="57"/>
  <c r="Z27" i="57"/>
  <c r="S27" i="57"/>
  <c r="L27" i="57"/>
  <c r="B27" i="57" s="1"/>
  <c r="AY26" i="57"/>
  <c r="AR26" i="57"/>
  <c r="AI26" i="57"/>
  <c r="AB26" i="57"/>
  <c r="S26" i="57"/>
  <c r="L26" i="57"/>
  <c r="B26" i="57" s="1"/>
  <c r="AY25" i="57"/>
  <c r="AR25" i="57"/>
  <c r="AI25" i="57"/>
  <c r="AB25" i="57"/>
  <c r="S25" i="57"/>
  <c r="L25" i="57"/>
  <c r="B25" i="57" s="1"/>
  <c r="AY24" i="57"/>
  <c r="AR24" i="57"/>
  <c r="AI24" i="57"/>
  <c r="AB24" i="57"/>
  <c r="S24" i="57"/>
  <c r="L24" i="57"/>
  <c r="B24" i="57" s="1"/>
  <c r="AY23" i="57"/>
  <c r="AR23" i="57"/>
  <c r="AI23" i="57"/>
  <c r="AB23" i="57"/>
  <c r="S23" i="57"/>
  <c r="L23" i="57"/>
  <c r="B23" i="57" s="1"/>
  <c r="AY22" i="57"/>
  <c r="AR22" i="57"/>
  <c r="AI22" i="57"/>
  <c r="AB22" i="57"/>
  <c r="S22" i="57"/>
  <c r="L22" i="57"/>
  <c r="B22" i="57" s="1"/>
  <c r="AY21" i="57"/>
  <c r="AR21" i="57"/>
  <c r="AI21" i="57"/>
  <c r="AB21" i="57"/>
  <c r="S21" i="57"/>
  <c r="L21" i="57"/>
  <c r="B21" i="57" s="1"/>
  <c r="AY20" i="57"/>
  <c r="AR20" i="57"/>
  <c r="AI20" i="57"/>
  <c r="AB20" i="57"/>
  <c r="S20" i="57"/>
  <c r="L20" i="57"/>
  <c r="B20" i="57" s="1"/>
  <c r="AY19" i="57"/>
  <c r="AR19" i="57"/>
  <c r="AI19" i="57"/>
  <c r="AB19" i="57"/>
  <c r="S19" i="57"/>
  <c r="L19" i="57"/>
  <c r="B19" i="57" s="1"/>
  <c r="AY18" i="57"/>
  <c r="AI18" i="57"/>
  <c r="S18" i="57"/>
  <c r="BB14" i="57"/>
  <c r="AW14" i="57"/>
  <c r="AS14" i="57" s="1"/>
  <c r="AS30" i="57" s="1"/>
  <c r="AU14" i="57"/>
  <c r="AU55" i="57" s="1"/>
  <c r="AT14" i="57"/>
  <c r="AT30" i="57" s="1"/>
  <c r="AL14" i="57"/>
  <c r="AF14" i="57" s="1"/>
  <c r="AF35" i="57" s="1"/>
  <c r="AG14" i="57"/>
  <c r="AC14" i="57" s="1"/>
  <c r="AC12" i="57" s="1"/>
  <c r="AE14" i="57"/>
  <c r="AE54" i="57" s="1"/>
  <c r="AD14" i="57"/>
  <c r="AD48" i="57" s="1"/>
  <c r="V14" i="57"/>
  <c r="Q14" i="57"/>
  <c r="M14" i="57" s="1"/>
  <c r="O14" i="57"/>
  <c r="O53" i="57" s="1"/>
  <c r="N14" i="57"/>
  <c r="N20" i="57" s="1"/>
  <c r="BB13" i="57"/>
  <c r="BD18" i="57" s="1"/>
  <c r="AL13" i="57"/>
  <c r="AN29" i="57" s="1"/>
  <c r="V13" i="57"/>
  <c r="X24" i="57" s="1"/>
  <c r="BE12" i="57"/>
  <c r="AO12" i="57"/>
  <c r="Y12" i="57"/>
  <c r="BF8" i="57"/>
  <c r="AP8" i="57"/>
  <c r="Z8" i="57"/>
  <c r="P93" i="35"/>
  <c r="AF93" i="35"/>
  <c r="AV93" i="35"/>
  <c r="O97" i="35"/>
  <c r="AE97" i="35"/>
  <c r="AU97" i="35"/>
  <c r="L98" i="35"/>
  <c r="N113" i="35" s="1"/>
  <c r="AB98" i="35"/>
  <c r="AR98" i="35"/>
  <c r="AT109" i="35" s="1"/>
  <c r="D99" i="35"/>
  <c r="D103" i="35" s="1"/>
  <c r="E99" i="35"/>
  <c r="E101" i="35" s="1"/>
  <c r="G99" i="35"/>
  <c r="C99" i="35" s="1"/>
  <c r="C128" i="35" s="1"/>
  <c r="L99" i="35"/>
  <c r="F99" i="35" s="1"/>
  <c r="F115" i="35" s="1"/>
  <c r="T99" i="35"/>
  <c r="T130" i="35" s="1"/>
  <c r="U99" i="35"/>
  <c r="U93" i="35" s="1"/>
  <c r="W99" i="35"/>
  <c r="S99" i="35" s="1"/>
  <c r="S100" i="35" s="1"/>
  <c r="AB99" i="35"/>
  <c r="AJ99" i="35"/>
  <c r="AK99" i="35"/>
  <c r="AK95" i="35" s="1"/>
  <c r="AM99" i="35"/>
  <c r="AI99" i="35" s="1"/>
  <c r="AI108" i="35" s="1"/>
  <c r="AR99" i="35"/>
  <c r="AL99" i="35" s="1"/>
  <c r="AL109" i="35" s="1"/>
  <c r="I103" i="35"/>
  <c r="P103" i="35"/>
  <c r="AF103" i="35"/>
  <c r="AO103" i="35"/>
  <c r="AV103" i="35"/>
  <c r="B104" i="35"/>
  <c r="I104" i="35"/>
  <c r="P104" i="35"/>
  <c r="R104" i="35"/>
  <c r="AF104" i="35"/>
  <c r="AH104" i="35"/>
  <c r="AO104" i="35"/>
  <c r="AV104" i="35"/>
  <c r="B105" i="35"/>
  <c r="I105" i="35"/>
  <c r="P105" i="35"/>
  <c r="R105" i="35"/>
  <c r="AF105" i="35"/>
  <c r="AH105" i="35"/>
  <c r="AO105" i="35"/>
  <c r="AV105" i="35"/>
  <c r="B106" i="35"/>
  <c r="I106" i="35"/>
  <c r="P106" i="35"/>
  <c r="R106" i="35"/>
  <c r="AF106" i="35"/>
  <c r="AH106" i="35"/>
  <c r="AO106" i="35"/>
  <c r="AV106" i="35"/>
  <c r="B107" i="35"/>
  <c r="I107" i="35"/>
  <c r="P107" i="35"/>
  <c r="R107" i="35"/>
  <c r="AF107" i="35"/>
  <c r="AH107" i="35"/>
  <c r="AO107" i="35"/>
  <c r="AV107" i="35"/>
  <c r="B108" i="35"/>
  <c r="I108" i="35"/>
  <c r="P108" i="35"/>
  <c r="R108" i="35"/>
  <c r="AF108" i="35"/>
  <c r="AH108" i="35"/>
  <c r="AO108" i="35"/>
  <c r="AV108" i="35"/>
  <c r="B109" i="35"/>
  <c r="I109" i="35"/>
  <c r="P109" i="35"/>
  <c r="R109" i="35"/>
  <c r="AF109" i="35"/>
  <c r="AH109" i="35"/>
  <c r="AO109" i="35"/>
  <c r="AV109" i="35"/>
  <c r="B110" i="35"/>
  <c r="I110" i="35"/>
  <c r="P110" i="35"/>
  <c r="R110" i="35"/>
  <c r="AF110" i="35"/>
  <c r="AH110" i="35"/>
  <c r="AO110" i="35"/>
  <c r="AV110" i="35"/>
  <c r="B111" i="35"/>
  <c r="I111" i="35"/>
  <c r="P111" i="35"/>
  <c r="R111" i="35"/>
  <c r="AF111" i="35"/>
  <c r="AH111" i="35"/>
  <c r="AO111" i="35"/>
  <c r="AV111" i="35"/>
  <c r="B112" i="35"/>
  <c r="I112" i="35"/>
  <c r="P112" i="35"/>
  <c r="R112" i="35"/>
  <c r="AF112" i="35"/>
  <c r="AH112" i="35"/>
  <c r="AO112" i="35"/>
  <c r="AV112" i="35"/>
  <c r="B113" i="35"/>
  <c r="I113" i="35"/>
  <c r="P113" i="35"/>
  <c r="R113" i="35"/>
  <c r="AF113" i="35"/>
  <c r="AH113" i="35"/>
  <c r="AO113" i="35"/>
  <c r="AV113" i="35"/>
  <c r="B114" i="35"/>
  <c r="I114" i="35"/>
  <c r="P114" i="35"/>
  <c r="R114" i="35"/>
  <c r="AF114" i="35"/>
  <c r="AH114" i="35"/>
  <c r="AO114" i="35"/>
  <c r="AV114" i="35"/>
  <c r="B115" i="35"/>
  <c r="I115" i="35"/>
  <c r="P115" i="35"/>
  <c r="R115" i="35"/>
  <c r="AF115" i="35"/>
  <c r="AH115" i="35"/>
  <c r="AO115" i="35"/>
  <c r="AV115" i="35"/>
  <c r="B116" i="35"/>
  <c r="I116" i="35"/>
  <c r="P116" i="35"/>
  <c r="R116" i="35"/>
  <c r="AF116" i="35"/>
  <c r="AH116" i="35"/>
  <c r="AO116" i="35"/>
  <c r="AV116" i="35"/>
  <c r="B117" i="35"/>
  <c r="I117" i="35"/>
  <c r="P117" i="35"/>
  <c r="R117" i="35"/>
  <c r="AF117" i="35"/>
  <c r="AH117" i="35"/>
  <c r="AO117" i="35"/>
  <c r="AV117" i="35"/>
  <c r="G123" i="35"/>
  <c r="H123" i="35"/>
  <c r="W123" i="35"/>
  <c r="X123" i="35"/>
  <c r="AM123" i="35"/>
  <c r="AN123" i="35"/>
  <c r="P130" i="35"/>
  <c r="AF130" i="35"/>
  <c r="AV130" i="35"/>
  <c r="B131" i="35"/>
  <c r="R131" i="35"/>
  <c r="AH131" i="35"/>
  <c r="B132" i="35"/>
  <c r="R132" i="35"/>
  <c r="AH132" i="35"/>
  <c r="B133" i="35"/>
  <c r="R133" i="35"/>
  <c r="AH133" i="35"/>
  <c r="B134" i="35"/>
  <c r="R134" i="35"/>
  <c r="AH134" i="35"/>
  <c r="B135" i="35"/>
  <c r="R135" i="35"/>
  <c r="AH135" i="35"/>
  <c r="H141" i="35"/>
  <c r="X141" i="35"/>
  <c r="AN141" i="35"/>
  <c r="P143" i="35"/>
  <c r="AF143" i="35"/>
  <c r="AV143" i="35"/>
  <c r="O147" i="35"/>
  <c r="AE147" i="35"/>
  <c r="AU147" i="35"/>
  <c r="L148" i="35"/>
  <c r="AB148" i="35"/>
  <c r="AD168" i="35" s="1"/>
  <c r="AR148" i="35"/>
  <c r="AT164" i="35" s="1"/>
  <c r="D149" i="35"/>
  <c r="D167" i="35" s="1"/>
  <c r="E149" i="35"/>
  <c r="E173" i="35" s="1"/>
  <c r="G149" i="35"/>
  <c r="C149" i="35" s="1"/>
  <c r="C207" i="35" s="1"/>
  <c r="L149" i="35"/>
  <c r="F149" i="35" s="1"/>
  <c r="F194" i="35" s="1"/>
  <c r="T149" i="35"/>
  <c r="T159" i="35" s="1"/>
  <c r="U149" i="35"/>
  <c r="U156" i="35" s="1"/>
  <c r="W149" i="35"/>
  <c r="S149" i="35" s="1"/>
  <c r="AB149" i="35"/>
  <c r="V149" i="35" s="1"/>
  <c r="V151" i="35" s="1"/>
  <c r="AJ149" i="35"/>
  <c r="AJ143" i="35" s="1"/>
  <c r="AK149" i="35"/>
  <c r="AK188" i="35" s="1"/>
  <c r="AM149" i="35"/>
  <c r="AI149" i="35" s="1"/>
  <c r="AI180" i="35" s="1"/>
  <c r="AR149" i="35"/>
  <c r="AL149" i="35" s="1"/>
  <c r="AL168" i="35" s="1"/>
  <c r="I153" i="35"/>
  <c r="P153" i="35"/>
  <c r="AF153" i="35"/>
  <c r="AO153" i="35"/>
  <c r="AV153" i="35"/>
  <c r="B154" i="35"/>
  <c r="I154" i="35"/>
  <c r="P154" i="35"/>
  <c r="R154" i="35"/>
  <c r="AF154" i="35"/>
  <c r="AH154" i="35"/>
  <c r="AO154" i="35"/>
  <c r="AV154" i="35"/>
  <c r="B155" i="35"/>
  <c r="I155" i="35"/>
  <c r="P155" i="35"/>
  <c r="R155" i="35"/>
  <c r="AF155" i="35"/>
  <c r="AH155" i="35"/>
  <c r="AO155" i="35"/>
  <c r="AV155" i="35"/>
  <c r="B156" i="35"/>
  <c r="I156" i="35"/>
  <c r="P156" i="35"/>
  <c r="R156" i="35"/>
  <c r="AF156" i="35"/>
  <c r="AH156" i="35"/>
  <c r="AO156" i="35"/>
  <c r="AV156" i="35"/>
  <c r="B157" i="35"/>
  <c r="I157" i="35"/>
  <c r="P157" i="35"/>
  <c r="R157" i="35"/>
  <c r="AF157" i="35"/>
  <c r="AH157" i="35"/>
  <c r="AO157" i="35"/>
  <c r="AV157" i="35"/>
  <c r="B158" i="35"/>
  <c r="I158" i="35"/>
  <c r="P158" i="35"/>
  <c r="R158" i="35"/>
  <c r="AF158" i="35"/>
  <c r="AH158" i="35"/>
  <c r="AO158" i="35"/>
  <c r="AV158" i="35"/>
  <c r="B159" i="35"/>
  <c r="I159" i="35"/>
  <c r="P159" i="35"/>
  <c r="R159" i="35"/>
  <c r="AF159" i="35"/>
  <c r="AH159" i="35"/>
  <c r="AO159" i="35"/>
  <c r="AV159" i="35"/>
  <c r="B160" i="35"/>
  <c r="I160" i="35"/>
  <c r="P160" i="35"/>
  <c r="R160" i="35"/>
  <c r="AF160" i="35"/>
  <c r="AH160" i="35"/>
  <c r="AO160" i="35"/>
  <c r="AV160" i="35"/>
  <c r="B161" i="35"/>
  <c r="I161" i="35"/>
  <c r="P161" i="35"/>
  <c r="R161" i="35"/>
  <c r="AF161" i="35"/>
  <c r="AH161" i="35"/>
  <c r="AO161" i="35"/>
  <c r="AV161" i="35"/>
  <c r="B162" i="35"/>
  <c r="I162" i="35"/>
  <c r="P162" i="35"/>
  <c r="R162" i="35"/>
  <c r="AF162" i="35"/>
  <c r="AH162" i="35"/>
  <c r="AO162" i="35"/>
  <c r="AV162" i="35"/>
  <c r="B163" i="35"/>
  <c r="I163" i="35"/>
  <c r="P163" i="35"/>
  <c r="R163" i="35"/>
  <c r="AF163" i="35"/>
  <c r="AH163" i="35"/>
  <c r="AO163" i="35"/>
  <c r="AV163" i="35"/>
  <c r="B164" i="35"/>
  <c r="I164" i="35"/>
  <c r="P164" i="35"/>
  <c r="R164" i="35"/>
  <c r="AF164" i="35"/>
  <c r="AH164" i="35"/>
  <c r="AO164" i="35"/>
  <c r="AV164" i="35"/>
  <c r="B165" i="35"/>
  <c r="I165" i="35"/>
  <c r="P165" i="35"/>
  <c r="R165" i="35"/>
  <c r="AF165" i="35"/>
  <c r="AH165" i="35"/>
  <c r="AO165" i="35"/>
  <c r="AV165" i="35"/>
  <c r="B166" i="35"/>
  <c r="I166" i="35"/>
  <c r="P166" i="35"/>
  <c r="R166" i="35"/>
  <c r="AF166" i="35"/>
  <c r="AH166" i="35"/>
  <c r="AO166" i="35"/>
  <c r="AV166" i="35"/>
  <c r="B167" i="35"/>
  <c r="I167" i="35"/>
  <c r="P167" i="35"/>
  <c r="R167" i="35"/>
  <c r="AF167" i="35"/>
  <c r="AH167" i="35"/>
  <c r="AO167" i="35"/>
  <c r="AV167" i="35"/>
  <c r="B168" i="35"/>
  <c r="I168" i="35"/>
  <c r="P168" i="35"/>
  <c r="R168" i="35"/>
  <c r="AF168" i="35"/>
  <c r="AH168" i="35"/>
  <c r="AO168" i="35"/>
  <c r="AV168" i="35"/>
  <c r="B169" i="35"/>
  <c r="I169" i="35"/>
  <c r="P169" i="35"/>
  <c r="R169" i="35"/>
  <c r="AF169" i="35"/>
  <c r="AH169" i="35"/>
  <c r="AO169" i="35"/>
  <c r="AV169" i="35"/>
  <c r="B170" i="35"/>
  <c r="I170" i="35"/>
  <c r="P170" i="35"/>
  <c r="R170" i="35"/>
  <c r="AF170" i="35"/>
  <c r="AH170" i="35"/>
  <c r="AO170" i="35"/>
  <c r="AV170" i="35"/>
  <c r="B171" i="35"/>
  <c r="I171" i="35"/>
  <c r="P171" i="35"/>
  <c r="R171" i="35"/>
  <c r="AF171" i="35"/>
  <c r="AH171" i="35"/>
  <c r="AO171" i="35"/>
  <c r="AV171" i="35"/>
  <c r="B172" i="35"/>
  <c r="I172" i="35"/>
  <c r="P172" i="35"/>
  <c r="R172" i="35"/>
  <c r="AF172" i="35"/>
  <c r="AH172" i="35"/>
  <c r="AO172" i="35"/>
  <c r="AV172" i="35"/>
  <c r="G178" i="35"/>
  <c r="H178" i="35"/>
  <c r="W178" i="35"/>
  <c r="X178" i="35"/>
  <c r="AM178" i="35"/>
  <c r="AN178" i="35"/>
  <c r="P185" i="35"/>
  <c r="AF185" i="35"/>
  <c r="AV185" i="35"/>
  <c r="B208" i="35"/>
  <c r="R208" i="35"/>
  <c r="AH208" i="35"/>
  <c r="B209" i="35"/>
  <c r="R209" i="35"/>
  <c r="AH209" i="35"/>
  <c r="B210" i="35"/>
  <c r="R210" i="35"/>
  <c r="AH210" i="35"/>
  <c r="B211" i="35"/>
  <c r="R211" i="35"/>
  <c r="AH211" i="35"/>
  <c r="H217" i="35"/>
  <c r="X217" i="35"/>
  <c r="AN217" i="35"/>
  <c r="P219" i="35"/>
  <c r="AF219" i="35"/>
  <c r="AV219" i="35"/>
  <c r="O223" i="35"/>
  <c r="AE223" i="35"/>
  <c r="AU223" i="35"/>
  <c r="L224" i="35"/>
  <c r="N229" i="35" s="1"/>
  <c r="AB224" i="35"/>
  <c r="AR224" i="35"/>
  <c r="D225" i="35"/>
  <c r="D261" i="35" s="1"/>
  <c r="E225" i="35"/>
  <c r="E221" i="35" s="1"/>
  <c r="G225" i="35"/>
  <c r="C225" i="35" s="1"/>
  <c r="C268" i="35" s="1"/>
  <c r="L225" i="35"/>
  <c r="F225" i="35" s="1"/>
  <c r="F267" i="35" s="1"/>
  <c r="T225" i="35"/>
  <c r="T220" i="35" s="1"/>
  <c r="U225" i="35"/>
  <c r="U239" i="35" s="1"/>
  <c r="W225" i="35"/>
  <c r="S225" i="35" s="1"/>
  <c r="S281" i="35" s="1"/>
  <c r="AB225" i="35"/>
  <c r="V225" i="35" s="1"/>
  <c r="AJ225" i="35"/>
  <c r="AJ251" i="35" s="1"/>
  <c r="AK225" i="35"/>
  <c r="AK246" i="35" s="1"/>
  <c r="AM225" i="35"/>
  <c r="AI225" i="35" s="1"/>
  <c r="AI242" i="35" s="1"/>
  <c r="AR225" i="35"/>
  <c r="AL225" i="35" s="1"/>
  <c r="AL301" i="35" s="1"/>
  <c r="I229" i="35"/>
  <c r="P229" i="35"/>
  <c r="AF229" i="35"/>
  <c r="AO229" i="35"/>
  <c r="AV229" i="35"/>
  <c r="B230" i="35"/>
  <c r="I230" i="35"/>
  <c r="P230" i="35"/>
  <c r="R230" i="35"/>
  <c r="AF230" i="35"/>
  <c r="AH230" i="35"/>
  <c r="AO230" i="35"/>
  <c r="AV230" i="35"/>
  <c r="B231" i="35"/>
  <c r="I231" i="35"/>
  <c r="P231" i="35"/>
  <c r="R231" i="35"/>
  <c r="AF231" i="35"/>
  <c r="AH231" i="35"/>
  <c r="AO231" i="35"/>
  <c r="AV231" i="35"/>
  <c r="B232" i="35"/>
  <c r="I232" i="35"/>
  <c r="P232" i="35"/>
  <c r="R232" i="35"/>
  <c r="AF232" i="35"/>
  <c r="AH232" i="35"/>
  <c r="AO232" i="35"/>
  <c r="AV232" i="35"/>
  <c r="B233" i="35"/>
  <c r="I233" i="35"/>
  <c r="P233" i="35"/>
  <c r="R233" i="35"/>
  <c r="AF233" i="35"/>
  <c r="AH233" i="35"/>
  <c r="AO233" i="35"/>
  <c r="AV233" i="35"/>
  <c r="B234" i="35"/>
  <c r="I234" i="35"/>
  <c r="P234" i="35"/>
  <c r="R234" i="35"/>
  <c r="AF234" i="35"/>
  <c r="AH234" i="35"/>
  <c r="AO234" i="35"/>
  <c r="AV234" i="35"/>
  <c r="B235" i="35"/>
  <c r="I235" i="35"/>
  <c r="P235" i="35"/>
  <c r="R235" i="35"/>
  <c r="AF235" i="35"/>
  <c r="AH235" i="35"/>
  <c r="AO235" i="35"/>
  <c r="AV235" i="35"/>
  <c r="B236" i="35"/>
  <c r="I236" i="35"/>
  <c r="P236" i="35"/>
  <c r="R236" i="35"/>
  <c r="AF236" i="35"/>
  <c r="AH236" i="35"/>
  <c r="AO236" i="35"/>
  <c r="AV236" i="35"/>
  <c r="B237" i="35"/>
  <c r="I237" i="35"/>
  <c r="P237" i="35"/>
  <c r="R237" i="35"/>
  <c r="AF237" i="35"/>
  <c r="AH237" i="35"/>
  <c r="AO237" i="35"/>
  <c r="AV237" i="35"/>
  <c r="B238" i="35"/>
  <c r="I238" i="35"/>
  <c r="P238" i="35"/>
  <c r="R238" i="35"/>
  <c r="AF238" i="35"/>
  <c r="AH238" i="35"/>
  <c r="AO238" i="35"/>
  <c r="AV238" i="35"/>
  <c r="B239" i="35"/>
  <c r="I239" i="35"/>
  <c r="P239" i="35"/>
  <c r="R239" i="35"/>
  <c r="AF239" i="35"/>
  <c r="AH239" i="35"/>
  <c r="AO239" i="35"/>
  <c r="AV239" i="35"/>
  <c r="B240" i="35"/>
  <c r="I240" i="35"/>
  <c r="P240" i="35"/>
  <c r="R240" i="35"/>
  <c r="AF240" i="35"/>
  <c r="AH240" i="35"/>
  <c r="AO240" i="35"/>
  <c r="AV240" i="35"/>
  <c r="B241" i="35"/>
  <c r="I241" i="35"/>
  <c r="P241" i="35"/>
  <c r="R241" i="35"/>
  <c r="AF241" i="35"/>
  <c r="AH241" i="35"/>
  <c r="AO241" i="35"/>
  <c r="AV241" i="35"/>
  <c r="B242" i="35"/>
  <c r="I242" i="35"/>
  <c r="P242" i="35"/>
  <c r="R242" i="35"/>
  <c r="AF242" i="35"/>
  <c r="AH242" i="35"/>
  <c r="AO242" i="35"/>
  <c r="AV242" i="35"/>
  <c r="B243" i="35"/>
  <c r="I243" i="35"/>
  <c r="P243" i="35"/>
  <c r="R243" i="35"/>
  <c r="AF243" i="35"/>
  <c r="AH243" i="35"/>
  <c r="AO243" i="35"/>
  <c r="AV243" i="35"/>
  <c r="B244" i="35"/>
  <c r="I244" i="35"/>
  <c r="P244" i="35"/>
  <c r="R244" i="35"/>
  <c r="AF244" i="35"/>
  <c r="AH244" i="35"/>
  <c r="AO244" i="35"/>
  <c r="AV244" i="35"/>
  <c r="B245" i="35"/>
  <c r="I245" i="35"/>
  <c r="P245" i="35"/>
  <c r="R245" i="35"/>
  <c r="AF245" i="35"/>
  <c r="AH245" i="35"/>
  <c r="AO245" i="35"/>
  <c r="AV245" i="35"/>
  <c r="B246" i="35"/>
  <c r="I246" i="35"/>
  <c r="P246" i="35"/>
  <c r="R246" i="35"/>
  <c r="AF246" i="35"/>
  <c r="AH246" i="35"/>
  <c r="AO246" i="35"/>
  <c r="AV246" i="35"/>
  <c r="B247" i="35"/>
  <c r="I247" i="35"/>
  <c r="P247" i="35"/>
  <c r="R247" i="35"/>
  <c r="AF247" i="35"/>
  <c r="AH247" i="35"/>
  <c r="AO247" i="35"/>
  <c r="AV247" i="35"/>
  <c r="B248" i="35"/>
  <c r="I248" i="35"/>
  <c r="P248" i="35"/>
  <c r="R248" i="35"/>
  <c r="AF248" i="35"/>
  <c r="AH248" i="35"/>
  <c r="AO248" i="35"/>
  <c r="AV248" i="35"/>
  <c r="B249" i="35"/>
  <c r="I249" i="35"/>
  <c r="P249" i="35"/>
  <c r="R249" i="35"/>
  <c r="T249" i="35"/>
  <c r="AF249" i="35"/>
  <c r="AH249" i="35"/>
  <c r="AO249" i="35"/>
  <c r="AV249" i="35"/>
  <c r="B250" i="35"/>
  <c r="I250" i="35"/>
  <c r="P250" i="35"/>
  <c r="R250" i="35"/>
  <c r="AF250" i="35"/>
  <c r="AH250" i="35"/>
  <c r="AO250" i="35"/>
  <c r="AV250" i="35"/>
  <c r="B251" i="35"/>
  <c r="I251" i="35"/>
  <c r="P251" i="35"/>
  <c r="R251" i="35"/>
  <c r="AF251" i="35"/>
  <c r="AH251" i="35"/>
  <c r="AO251" i="35"/>
  <c r="AV251" i="35"/>
  <c r="B252" i="35"/>
  <c r="I252" i="35"/>
  <c r="P252" i="35"/>
  <c r="R252" i="35"/>
  <c r="AF252" i="35"/>
  <c r="AH252" i="35"/>
  <c r="AO252" i="35"/>
  <c r="AV252" i="35"/>
  <c r="B253" i="35"/>
  <c r="I253" i="35"/>
  <c r="P253" i="35"/>
  <c r="R253" i="35"/>
  <c r="AF253" i="35"/>
  <c r="AH253" i="35"/>
  <c r="AO253" i="35"/>
  <c r="AV253" i="35"/>
  <c r="B254" i="35"/>
  <c r="I254" i="35"/>
  <c r="P254" i="35"/>
  <c r="R254" i="35"/>
  <c r="AF254" i="35"/>
  <c r="AH254" i="35"/>
  <c r="AO254" i="35"/>
  <c r="AV254" i="35"/>
  <c r="B255" i="35"/>
  <c r="I255" i="35"/>
  <c r="P255" i="35"/>
  <c r="R255" i="35"/>
  <c r="AF255" i="35"/>
  <c r="AH255" i="35"/>
  <c r="AO255" i="35"/>
  <c r="AV255" i="35"/>
  <c r="B256" i="35"/>
  <c r="I256" i="35"/>
  <c r="P256" i="35"/>
  <c r="R256" i="35"/>
  <c r="T256" i="35"/>
  <c r="AF256" i="35"/>
  <c r="AH256" i="35"/>
  <c r="AO256" i="35"/>
  <c r="AV256" i="35"/>
  <c r="B257" i="35"/>
  <c r="I257" i="35"/>
  <c r="P257" i="35"/>
  <c r="R257" i="35"/>
  <c r="AF257" i="35"/>
  <c r="AH257" i="35"/>
  <c r="AO257" i="35"/>
  <c r="AV257" i="35"/>
  <c r="B258" i="35"/>
  <c r="I258" i="35"/>
  <c r="P258" i="35"/>
  <c r="R258" i="35"/>
  <c r="AF258" i="35"/>
  <c r="AH258" i="35"/>
  <c r="AO258" i="35"/>
  <c r="AV258" i="35"/>
  <c r="G264" i="35"/>
  <c r="H264" i="35"/>
  <c r="W264" i="35"/>
  <c r="X264" i="35"/>
  <c r="AM264" i="35"/>
  <c r="AN264" i="35"/>
  <c r="P271" i="35"/>
  <c r="AF271" i="35"/>
  <c r="AV271" i="35"/>
  <c r="B294" i="35"/>
  <c r="R294" i="35"/>
  <c r="AH294" i="35"/>
  <c r="B295" i="35"/>
  <c r="R295" i="35"/>
  <c r="AH295" i="35"/>
  <c r="B296" i="35"/>
  <c r="R296" i="35"/>
  <c r="AH296" i="35"/>
  <c r="B297" i="35"/>
  <c r="R297" i="35"/>
  <c r="AH297" i="35"/>
  <c r="H303" i="35"/>
  <c r="X303" i="35"/>
  <c r="AN303" i="35"/>
  <c r="P305" i="35"/>
  <c r="AF305" i="35"/>
  <c r="AV305" i="35"/>
  <c r="O309" i="35"/>
  <c r="AE309" i="35"/>
  <c r="AU309" i="35"/>
  <c r="L310" i="35"/>
  <c r="AB310" i="35"/>
  <c r="AR310" i="35"/>
  <c r="D311" i="35"/>
  <c r="D359" i="35" s="1"/>
  <c r="E311" i="35"/>
  <c r="E340" i="35" s="1"/>
  <c r="G311" i="35"/>
  <c r="C311" i="35" s="1"/>
  <c r="L311" i="35"/>
  <c r="T311" i="35"/>
  <c r="T309" i="35" s="1"/>
  <c r="U311" i="35"/>
  <c r="U313" i="35" s="1"/>
  <c r="W311" i="35"/>
  <c r="S311" i="35" s="1"/>
  <c r="S362" i="35" s="1"/>
  <c r="AB311" i="35"/>
  <c r="AJ311" i="35"/>
  <c r="AJ319" i="35" s="1"/>
  <c r="AK311" i="35"/>
  <c r="AK323" i="35" s="1"/>
  <c r="AM311" i="35"/>
  <c r="AI311" i="35" s="1"/>
  <c r="AI392" i="35" s="1"/>
  <c r="AR311" i="35"/>
  <c r="I315" i="35"/>
  <c r="P315" i="35"/>
  <c r="AF315" i="35"/>
  <c r="AO315" i="35"/>
  <c r="AV315" i="35"/>
  <c r="B316" i="35"/>
  <c r="I316" i="35"/>
  <c r="P316" i="35"/>
  <c r="R316" i="35"/>
  <c r="AF316" i="35"/>
  <c r="AH316" i="35"/>
  <c r="AO316" i="35"/>
  <c r="AV316" i="35"/>
  <c r="B317" i="35"/>
  <c r="I317" i="35"/>
  <c r="P317" i="35"/>
  <c r="R317" i="35"/>
  <c r="AF317" i="35"/>
  <c r="AH317" i="35"/>
  <c r="AO317" i="35"/>
  <c r="AV317" i="35"/>
  <c r="B318" i="35"/>
  <c r="I318" i="35"/>
  <c r="P318" i="35"/>
  <c r="R318" i="35"/>
  <c r="AF318" i="35"/>
  <c r="AH318" i="35"/>
  <c r="AO318" i="35"/>
  <c r="AV318" i="35"/>
  <c r="B319" i="35"/>
  <c r="I319" i="35"/>
  <c r="P319" i="35"/>
  <c r="R319" i="35"/>
  <c r="AF319" i="35"/>
  <c r="AH319" i="35"/>
  <c r="AO319" i="35"/>
  <c r="AV319" i="35"/>
  <c r="B320" i="35"/>
  <c r="I320" i="35"/>
  <c r="P320" i="35"/>
  <c r="R320" i="35"/>
  <c r="AF320" i="35"/>
  <c r="AH320" i="35"/>
  <c r="AO320" i="35"/>
  <c r="AV320" i="35"/>
  <c r="B321" i="35"/>
  <c r="I321" i="35"/>
  <c r="P321" i="35"/>
  <c r="R321" i="35"/>
  <c r="AF321" i="35"/>
  <c r="AH321" i="35"/>
  <c r="AO321" i="35"/>
  <c r="AV321" i="35"/>
  <c r="B322" i="35"/>
  <c r="I322" i="35"/>
  <c r="P322" i="35"/>
  <c r="R322" i="35"/>
  <c r="AF322" i="35"/>
  <c r="AH322" i="35"/>
  <c r="AO322" i="35"/>
  <c r="AV322" i="35"/>
  <c r="B323" i="35"/>
  <c r="I323" i="35"/>
  <c r="P323" i="35"/>
  <c r="R323" i="35"/>
  <c r="AF323" i="35"/>
  <c r="AH323" i="35"/>
  <c r="AO323" i="35"/>
  <c r="AV323" i="35"/>
  <c r="B324" i="35"/>
  <c r="I324" i="35"/>
  <c r="P324" i="35"/>
  <c r="R324" i="35"/>
  <c r="AF324" i="35"/>
  <c r="AH324" i="35"/>
  <c r="AO324" i="35"/>
  <c r="AV324" i="35"/>
  <c r="B325" i="35"/>
  <c r="I325" i="35"/>
  <c r="P325" i="35"/>
  <c r="R325" i="35"/>
  <c r="AF325" i="35"/>
  <c r="AH325" i="35"/>
  <c r="AO325" i="35"/>
  <c r="AV325" i="35"/>
  <c r="B326" i="35"/>
  <c r="I326" i="35"/>
  <c r="P326" i="35"/>
  <c r="R326" i="35"/>
  <c r="AF326" i="35"/>
  <c r="AH326" i="35"/>
  <c r="AO326" i="35"/>
  <c r="AV326" i="35"/>
  <c r="B327" i="35"/>
  <c r="I327" i="35"/>
  <c r="P327" i="35"/>
  <c r="R327" i="35"/>
  <c r="AF327" i="35"/>
  <c r="AH327" i="35"/>
  <c r="AO327" i="35"/>
  <c r="AV327" i="35"/>
  <c r="B328" i="35"/>
  <c r="I328" i="35"/>
  <c r="P328" i="35"/>
  <c r="R328" i="35"/>
  <c r="AF328" i="35"/>
  <c r="AH328" i="35"/>
  <c r="AO328" i="35"/>
  <c r="AV328" i="35"/>
  <c r="B329" i="35"/>
  <c r="I329" i="35"/>
  <c r="P329" i="35"/>
  <c r="R329" i="35"/>
  <c r="AF329" i="35"/>
  <c r="AH329" i="35"/>
  <c r="AO329" i="35"/>
  <c r="AV329" i="35"/>
  <c r="B330" i="35"/>
  <c r="I330" i="35"/>
  <c r="P330" i="35"/>
  <c r="R330" i="35"/>
  <c r="AF330" i="35"/>
  <c r="AH330" i="35"/>
  <c r="AO330" i="35"/>
  <c r="AV330" i="35"/>
  <c r="B331" i="35"/>
  <c r="I331" i="35"/>
  <c r="P331" i="35"/>
  <c r="R331" i="35"/>
  <c r="AF331" i="35"/>
  <c r="AH331" i="35"/>
  <c r="AO331" i="35"/>
  <c r="AV331" i="35"/>
  <c r="B332" i="35"/>
  <c r="I332" i="35"/>
  <c r="P332" i="35"/>
  <c r="R332" i="35"/>
  <c r="AF332" i="35"/>
  <c r="AH332" i="35"/>
  <c r="AO332" i="35"/>
  <c r="AV332" i="35"/>
  <c r="B333" i="35"/>
  <c r="I333" i="35"/>
  <c r="P333" i="35"/>
  <c r="R333" i="35"/>
  <c r="AF333" i="35"/>
  <c r="AH333" i="35"/>
  <c r="AO333" i="35"/>
  <c r="AV333" i="35"/>
  <c r="B334" i="35"/>
  <c r="I334" i="35"/>
  <c r="P334" i="35"/>
  <c r="R334" i="35"/>
  <c r="AF334" i="35"/>
  <c r="AH334" i="35"/>
  <c r="AO334" i="35"/>
  <c r="AV334" i="35"/>
  <c r="B335" i="35"/>
  <c r="I335" i="35"/>
  <c r="P335" i="35"/>
  <c r="R335" i="35"/>
  <c r="AF335" i="35"/>
  <c r="AH335" i="35"/>
  <c r="AO335" i="35"/>
  <c r="AV335" i="35"/>
  <c r="B336" i="35"/>
  <c r="I336" i="35"/>
  <c r="P336" i="35"/>
  <c r="R336" i="35"/>
  <c r="AF336" i="35"/>
  <c r="AH336" i="35"/>
  <c r="AO336" i="35"/>
  <c r="AV336" i="35"/>
  <c r="B337" i="35"/>
  <c r="I337" i="35"/>
  <c r="P337" i="35"/>
  <c r="R337" i="35"/>
  <c r="AF337" i="35"/>
  <c r="AH337" i="35"/>
  <c r="AO337" i="35"/>
  <c r="AV337" i="35"/>
  <c r="B338" i="35"/>
  <c r="I338" i="35"/>
  <c r="P338" i="35"/>
  <c r="R338" i="35"/>
  <c r="AF338" i="35"/>
  <c r="AH338" i="35"/>
  <c r="AO338" i="35"/>
  <c r="AV338" i="35"/>
  <c r="B339" i="35"/>
  <c r="I339" i="35"/>
  <c r="P339" i="35"/>
  <c r="R339" i="35"/>
  <c r="AF339" i="35"/>
  <c r="AH339" i="35"/>
  <c r="AO339" i="35"/>
  <c r="AV339" i="35"/>
  <c r="B340" i="35"/>
  <c r="I340" i="35"/>
  <c r="P340" i="35"/>
  <c r="R340" i="35"/>
  <c r="AF340" i="35"/>
  <c r="AH340" i="35"/>
  <c r="AO340" i="35"/>
  <c r="AV340" i="35"/>
  <c r="B341" i="35"/>
  <c r="I341" i="35"/>
  <c r="P341" i="35"/>
  <c r="R341" i="35"/>
  <c r="AF341" i="35"/>
  <c r="AH341" i="35"/>
  <c r="AO341" i="35"/>
  <c r="AV341" i="35"/>
  <c r="B342" i="35"/>
  <c r="I342" i="35"/>
  <c r="P342" i="35"/>
  <c r="R342" i="35"/>
  <c r="AF342" i="35"/>
  <c r="AH342" i="35"/>
  <c r="AO342" i="35"/>
  <c r="AV342" i="35"/>
  <c r="B343" i="35"/>
  <c r="I343" i="35"/>
  <c r="P343" i="35"/>
  <c r="R343" i="35"/>
  <c r="AF343" i="35"/>
  <c r="AH343" i="35"/>
  <c r="AO343" i="35"/>
  <c r="AV343" i="35"/>
  <c r="B344" i="35"/>
  <c r="I344" i="35"/>
  <c r="P344" i="35"/>
  <c r="R344" i="35"/>
  <c r="AF344" i="35"/>
  <c r="AH344" i="35"/>
  <c r="AO344" i="35"/>
  <c r="AV344" i="35"/>
  <c r="B345" i="35"/>
  <c r="I345" i="35"/>
  <c r="P345" i="35"/>
  <c r="R345" i="35"/>
  <c r="AF345" i="35"/>
  <c r="AH345" i="35"/>
  <c r="AO345" i="35"/>
  <c r="AV345" i="35"/>
  <c r="B346" i="35"/>
  <c r="I346" i="35"/>
  <c r="P346" i="35"/>
  <c r="R346" i="35"/>
  <c r="AF346" i="35"/>
  <c r="AH346" i="35"/>
  <c r="AO346" i="35"/>
  <c r="AV346" i="35"/>
  <c r="B347" i="35"/>
  <c r="I347" i="35"/>
  <c r="P347" i="35"/>
  <c r="R347" i="35"/>
  <c r="AF347" i="35"/>
  <c r="AH347" i="35"/>
  <c r="AO347" i="35"/>
  <c r="AV347" i="35"/>
  <c r="B348" i="35"/>
  <c r="I348" i="35"/>
  <c r="P348" i="35"/>
  <c r="R348" i="35"/>
  <c r="AF348" i="35"/>
  <c r="AH348" i="35"/>
  <c r="AO348" i="35"/>
  <c r="AV348" i="35"/>
  <c r="B349" i="35"/>
  <c r="I349" i="35"/>
  <c r="P349" i="35"/>
  <c r="R349" i="35"/>
  <c r="AF349" i="35"/>
  <c r="AH349" i="35"/>
  <c r="AO349" i="35"/>
  <c r="AV349" i="35"/>
  <c r="B350" i="35"/>
  <c r="I350" i="35"/>
  <c r="P350" i="35"/>
  <c r="R350" i="35"/>
  <c r="AF350" i="35"/>
  <c r="AH350" i="35"/>
  <c r="AO350" i="35"/>
  <c r="AV350" i="35"/>
  <c r="B351" i="35"/>
  <c r="I351" i="35"/>
  <c r="P351" i="35"/>
  <c r="R351" i="35"/>
  <c r="AF351" i="35"/>
  <c r="AH351" i="35"/>
  <c r="AO351" i="35"/>
  <c r="AV351" i="35"/>
  <c r="B352" i="35"/>
  <c r="I352" i="35"/>
  <c r="P352" i="35"/>
  <c r="R352" i="35"/>
  <c r="AF352" i="35"/>
  <c r="AH352" i="35"/>
  <c r="AO352" i="35"/>
  <c r="AV352" i="35"/>
  <c r="B353" i="35"/>
  <c r="I353" i="35"/>
  <c r="P353" i="35"/>
  <c r="R353" i="35"/>
  <c r="AF353" i="35"/>
  <c r="AH353" i="35"/>
  <c r="AO353" i="35"/>
  <c r="AV353" i="35"/>
  <c r="B354" i="35"/>
  <c r="I354" i="35"/>
  <c r="P354" i="35"/>
  <c r="R354" i="35"/>
  <c r="AF354" i="35"/>
  <c r="AH354" i="35"/>
  <c r="AO354" i="35"/>
  <c r="AV354" i="35"/>
  <c r="G360" i="35"/>
  <c r="H360" i="35"/>
  <c r="W360" i="35"/>
  <c r="X360" i="35"/>
  <c r="AM360" i="35"/>
  <c r="AN360" i="35"/>
  <c r="P367" i="35"/>
  <c r="AF367" i="35"/>
  <c r="AV367" i="35"/>
  <c r="B390" i="35"/>
  <c r="R390" i="35"/>
  <c r="AH390" i="35"/>
  <c r="B391" i="35"/>
  <c r="R391" i="35"/>
  <c r="AH391" i="35"/>
  <c r="B392" i="35"/>
  <c r="R392" i="35"/>
  <c r="AH392" i="35"/>
  <c r="B393" i="35"/>
  <c r="R393" i="35"/>
  <c r="AH393" i="35"/>
  <c r="H399" i="35"/>
  <c r="X399" i="35"/>
  <c r="AN399" i="35"/>
  <c r="G442" i="35"/>
  <c r="W442" i="35"/>
  <c r="AM442" i="35"/>
  <c r="G443" i="35"/>
  <c r="W443" i="35"/>
  <c r="AM443" i="35"/>
  <c r="G457" i="35"/>
  <c r="H457" i="35"/>
  <c r="J457" i="35"/>
  <c r="K457" i="35"/>
  <c r="W457" i="35"/>
  <c r="X457" i="35"/>
  <c r="Z457" i="35"/>
  <c r="AA457" i="35"/>
  <c r="AM457" i="35"/>
  <c r="AN457" i="35"/>
  <c r="AP457" i="35"/>
  <c r="AQ457" i="35"/>
  <c r="G458" i="35"/>
  <c r="H458" i="35"/>
  <c r="J458" i="35"/>
  <c r="K458" i="35"/>
  <c r="W458" i="35"/>
  <c r="X458" i="35"/>
  <c r="Z458" i="35"/>
  <c r="AA458" i="35"/>
  <c r="AM458" i="35"/>
  <c r="AN458" i="35"/>
  <c r="AP458" i="35"/>
  <c r="AQ458" i="35"/>
  <c r="H471" i="35"/>
  <c r="X471" i="35"/>
  <c r="AN471" i="35"/>
  <c r="P483" i="35"/>
  <c r="M488" i="35" s="1"/>
  <c r="AF483" i="35"/>
  <c r="AC488" i="35" s="1"/>
  <c r="AV483" i="35"/>
  <c r="AS488" i="35" s="1"/>
  <c r="N486" i="35"/>
  <c r="AD486" i="35"/>
  <c r="AT486" i="35"/>
  <c r="N487" i="35"/>
  <c r="AD487" i="35"/>
  <c r="AT487" i="35"/>
  <c r="G488" i="35"/>
  <c r="W488" i="35"/>
  <c r="AM488" i="35"/>
  <c r="P490" i="35"/>
  <c r="M492" i="35" s="1"/>
  <c r="AF490" i="35"/>
  <c r="AC492" i="35" s="1"/>
  <c r="AV490" i="35"/>
  <c r="AS492" i="35" s="1"/>
  <c r="N491" i="35"/>
  <c r="AD491" i="35"/>
  <c r="AT491" i="35"/>
  <c r="I500" i="35"/>
  <c r="L500" i="35" s="1"/>
  <c r="Y500" i="35"/>
  <c r="AB500" i="35" s="1"/>
  <c r="AO500" i="35"/>
  <c r="AR500" i="35" s="1"/>
  <c r="I501" i="35"/>
  <c r="L501" i="35" s="1"/>
  <c r="Y501" i="35"/>
  <c r="AB501" i="35" s="1"/>
  <c r="AO501" i="35"/>
  <c r="AR501" i="35" s="1"/>
  <c r="I502" i="35"/>
  <c r="L502" i="35" s="1"/>
  <c r="Y502" i="35"/>
  <c r="AB502" i="35" s="1"/>
  <c r="AO502" i="35"/>
  <c r="AR502" i="35" s="1"/>
  <c r="I503" i="35"/>
  <c r="L503" i="35" s="1"/>
  <c r="Y503" i="35"/>
  <c r="AB503" i="35" s="1"/>
  <c r="AO503" i="35"/>
  <c r="AR503" i="35" s="1"/>
  <c r="H542" i="35"/>
  <c r="X542" i="35"/>
  <c r="AN542" i="35"/>
  <c r="K548" i="35"/>
  <c r="AA548" i="35"/>
  <c r="AQ548" i="35"/>
  <c r="J549" i="35"/>
  <c r="Z549" i="35"/>
  <c r="AP549" i="35"/>
  <c r="J550" i="35"/>
  <c r="Z550" i="35"/>
  <c r="AP550" i="35"/>
  <c r="J551" i="35"/>
  <c r="Z551" i="35"/>
  <c r="AP551" i="35"/>
  <c r="J552" i="35"/>
  <c r="Z552" i="35"/>
  <c r="AP552" i="35"/>
  <c r="J553" i="35"/>
  <c r="Z553" i="35"/>
  <c r="AP553" i="35"/>
  <c r="J554" i="35"/>
  <c r="Z554" i="35"/>
  <c r="AP554" i="35"/>
  <c r="J555" i="35"/>
  <c r="Z555" i="35"/>
  <c r="AP555" i="35"/>
  <c r="J556" i="35"/>
  <c r="Z556" i="35"/>
  <c r="AP556" i="35"/>
  <c r="J557" i="35"/>
  <c r="Z557" i="35"/>
  <c r="AP557" i="35"/>
  <c r="G563" i="35"/>
  <c r="W563" i="35"/>
  <c r="AM563" i="35"/>
  <c r="G565" i="35"/>
  <c r="H565" i="35"/>
  <c r="J565" i="35"/>
  <c r="K565" i="35"/>
  <c r="L565" i="35"/>
  <c r="W565" i="35"/>
  <c r="X565" i="35"/>
  <c r="Z565" i="35"/>
  <c r="AA565" i="35"/>
  <c r="AB565" i="35"/>
  <c r="AM565" i="35"/>
  <c r="AN565" i="35"/>
  <c r="AP565" i="35"/>
  <c r="AQ565" i="35"/>
  <c r="AR565" i="35"/>
  <c r="G566" i="35"/>
  <c r="W566" i="35"/>
  <c r="AM566" i="35"/>
  <c r="G568" i="35"/>
  <c r="H568" i="35"/>
  <c r="J568" i="35"/>
  <c r="K568" i="35"/>
  <c r="L568" i="35"/>
  <c r="W568" i="35"/>
  <c r="X568" i="35"/>
  <c r="Z568" i="35"/>
  <c r="AA568" i="35"/>
  <c r="AB568" i="35"/>
  <c r="AM568" i="35"/>
  <c r="AN568" i="35"/>
  <c r="AP568" i="35"/>
  <c r="AQ568" i="35"/>
  <c r="AR568" i="35"/>
  <c r="L581" i="35"/>
  <c r="G583" i="35" s="1"/>
  <c r="AB581" i="35"/>
  <c r="W583" i="35" s="1"/>
  <c r="AR581" i="35"/>
  <c r="AM583" i="35" s="1"/>
  <c r="L582" i="35"/>
  <c r="G584" i="35" s="1"/>
  <c r="AB582" i="35"/>
  <c r="W584" i="35" s="1"/>
  <c r="AR582" i="35"/>
  <c r="AM584" i="35" s="1"/>
  <c r="J597" i="35"/>
  <c r="J598" i="35" s="1"/>
  <c r="L597" i="35"/>
  <c r="L598" i="35" s="1"/>
  <c r="Z597" i="35"/>
  <c r="Z598" i="35" s="1"/>
  <c r="AB597" i="35"/>
  <c r="AB598" i="35" s="1"/>
  <c r="AP597" i="35"/>
  <c r="AP598" i="35" s="1"/>
  <c r="AR597" i="35"/>
  <c r="AR598" i="35"/>
  <c r="J600" i="35"/>
  <c r="J601" i="35" s="1"/>
  <c r="Z600" i="35"/>
  <c r="Z601" i="35" s="1"/>
  <c r="AP600" i="35"/>
  <c r="AP601" i="35" s="1"/>
  <c r="L601" i="35"/>
  <c r="AB601" i="35"/>
  <c r="AR601" i="35"/>
  <c r="L602" i="35"/>
  <c r="AB602" i="35"/>
  <c r="AR602" i="35"/>
  <c r="FC150" i="57"/>
  <c r="EY104" i="57"/>
  <c r="EY103" i="57"/>
  <c r="FB133" i="57" s="1"/>
  <c r="FC133" i="57" s="1"/>
  <c r="FB102" i="57"/>
  <c r="FC98" i="57"/>
  <c r="BA343" i="61"/>
  <c r="AY343" i="61"/>
  <c r="C8" i="61"/>
  <c r="AZ7" i="61"/>
  <c r="AZ6" i="61"/>
  <c r="BA3" i="61"/>
  <c r="AV2" i="61"/>
  <c r="AU2" i="61"/>
  <c r="AT2" i="61"/>
  <c r="AS2" i="61"/>
  <c r="AR2" i="61"/>
  <c r="AQ2" i="61"/>
  <c r="AP2" i="61"/>
  <c r="AO2" i="61"/>
  <c r="AN2" i="61"/>
  <c r="AM2" i="61"/>
  <c r="AL2" i="61"/>
  <c r="AK2" i="61"/>
  <c r="AJ2" i="61"/>
  <c r="AI2" i="61"/>
  <c r="AH2" i="61"/>
  <c r="AF2" i="61"/>
  <c r="AE2" i="61"/>
  <c r="AD2" i="61"/>
  <c r="AC2" i="61"/>
  <c r="AB2" i="61"/>
  <c r="AA2" i="61"/>
  <c r="Z2" i="61"/>
  <c r="Y2" i="61"/>
  <c r="X2" i="61"/>
  <c r="W2" i="61"/>
  <c r="V2" i="61"/>
  <c r="U2" i="61"/>
  <c r="T2" i="61"/>
  <c r="S2" i="61"/>
  <c r="R2" i="61"/>
  <c r="P2" i="61"/>
  <c r="O2" i="61"/>
  <c r="N2" i="61"/>
  <c r="M2" i="61"/>
  <c r="L2" i="61"/>
  <c r="K2" i="61"/>
  <c r="J2" i="61"/>
  <c r="I2" i="61"/>
  <c r="H2" i="61"/>
  <c r="G2" i="61"/>
  <c r="F2" i="61"/>
  <c r="E2" i="61"/>
  <c r="D2" i="61"/>
  <c r="C2" i="61"/>
  <c r="B2" i="61"/>
  <c r="BA1" i="61"/>
  <c r="AZ1" i="61"/>
  <c r="AV1" i="61"/>
  <c r="AU1" i="61"/>
  <c r="AT1" i="61"/>
  <c r="AS1" i="61"/>
  <c r="AR1" i="61"/>
  <c r="AQ1" i="61"/>
  <c r="AP1" i="61"/>
  <c r="AO1" i="61"/>
  <c r="AN1" i="61"/>
  <c r="AM1" i="61"/>
  <c r="AL1" i="61"/>
  <c r="AK1" i="61"/>
  <c r="AJ1" i="61"/>
  <c r="AI1" i="61"/>
  <c r="AH1" i="61"/>
  <c r="AF1" i="61"/>
  <c r="AE1" i="61"/>
  <c r="AD1" i="61"/>
  <c r="AC1" i="61"/>
  <c r="AB1" i="61"/>
  <c r="AA1" i="61"/>
  <c r="Z1" i="61"/>
  <c r="Y1" i="61"/>
  <c r="X1" i="61"/>
  <c r="W1" i="61"/>
  <c r="V1" i="61"/>
  <c r="U1" i="61"/>
  <c r="T1" i="61"/>
  <c r="S1" i="61"/>
  <c r="R1" i="61"/>
  <c r="P1" i="61"/>
  <c r="O1" i="61"/>
  <c r="N1" i="61"/>
  <c r="M1" i="61"/>
  <c r="L1" i="61"/>
  <c r="K1" i="61"/>
  <c r="J1" i="61"/>
  <c r="I1" i="61"/>
  <c r="H1" i="61"/>
  <c r="G1" i="61"/>
  <c r="F1" i="61"/>
  <c r="E1" i="61"/>
  <c r="D1" i="61"/>
  <c r="C1" i="61"/>
  <c r="B1" i="61"/>
  <c r="BA343" i="60"/>
  <c r="AY343" i="60"/>
  <c r="C8" i="60"/>
  <c r="AZ7" i="60"/>
  <c r="AZ6" i="60"/>
  <c r="BA3" i="60"/>
  <c r="AV2" i="60"/>
  <c r="AU2" i="60"/>
  <c r="AT2" i="60"/>
  <c r="AS2" i="60"/>
  <c r="AR2" i="60"/>
  <c r="AQ2" i="60"/>
  <c r="AP2" i="60"/>
  <c r="AO2" i="60"/>
  <c r="AN2" i="60"/>
  <c r="AM2" i="60"/>
  <c r="AL2" i="60"/>
  <c r="AK2" i="60"/>
  <c r="AJ2" i="60"/>
  <c r="AI2" i="60"/>
  <c r="AH2" i="60"/>
  <c r="AF2" i="60"/>
  <c r="AE2" i="60"/>
  <c r="AD2" i="60"/>
  <c r="AC2" i="60"/>
  <c r="AB2" i="60"/>
  <c r="AA2" i="60"/>
  <c r="Z2" i="60"/>
  <c r="Y2" i="60"/>
  <c r="X2" i="60"/>
  <c r="W2" i="60"/>
  <c r="V2" i="60"/>
  <c r="U2" i="60"/>
  <c r="T2" i="60"/>
  <c r="S2" i="60"/>
  <c r="R2" i="60"/>
  <c r="P2" i="60"/>
  <c r="O2" i="60"/>
  <c r="N2" i="60"/>
  <c r="M2" i="60"/>
  <c r="L2" i="60"/>
  <c r="K2" i="60"/>
  <c r="J2" i="60"/>
  <c r="I2" i="60"/>
  <c r="H2" i="60"/>
  <c r="G2" i="60"/>
  <c r="F2" i="60"/>
  <c r="E2" i="60"/>
  <c r="D2" i="60"/>
  <c r="C2" i="60"/>
  <c r="B2" i="60"/>
  <c r="BA1" i="60"/>
  <c r="AZ1" i="60"/>
  <c r="AV1" i="60"/>
  <c r="AU1" i="60"/>
  <c r="AT1" i="60"/>
  <c r="AS1" i="60"/>
  <c r="AR1" i="60"/>
  <c r="AQ1" i="60"/>
  <c r="AP1" i="60"/>
  <c r="AO1" i="60"/>
  <c r="AN1" i="60"/>
  <c r="AM1" i="60"/>
  <c r="AL1" i="60"/>
  <c r="AK1" i="60"/>
  <c r="AJ1" i="60"/>
  <c r="AI1" i="60"/>
  <c r="AH1" i="60"/>
  <c r="AF1" i="60"/>
  <c r="AE1" i="60"/>
  <c r="AD1" i="60"/>
  <c r="AC1" i="60"/>
  <c r="AB1" i="60"/>
  <c r="AA1" i="60"/>
  <c r="Z1" i="60"/>
  <c r="Y1" i="60"/>
  <c r="X1" i="60"/>
  <c r="W1" i="60"/>
  <c r="V1" i="60"/>
  <c r="U1" i="60"/>
  <c r="T1" i="60"/>
  <c r="S1" i="60"/>
  <c r="R1" i="60"/>
  <c r="P1" i="60"/>
  <c r="O1" i="60"/>
  <c r="N1" i="60"/>
  <c r="M1" i="60"/>
  <c r="L1" i="60"/>
  <c r="K1" i="60"/>
  <c r="J1" i="60"/>
  <c r="I1" i="60"/>
  <c r="H1" i="60"/>
  <c r="G1" i="60"/>
  <c r="F1" i="60"/>
  <c r="E1" i="60"/>
  <c r="D1" i="60"/>
  <c r="C1" i="60"/>
  <c r="B1" i="60"/>
  <c r="BA343" i="59"/>
  <c r="AY343" i="59"/>
  <c r="C8" i="59"/>
  <c r="AZ7" i="59"/>
  <c r="AZ6" i="59"/>
  <c r="AV2" i="59"/>
  <c r="AU2" i="59"/>
  <c r="AT2" i="59"/>
  <c r="AS2" i="59"/>
  <c r="AR2" i="59"/>
  <c r="AQ2" i="59"/>
  <c r="AP2" i="59"/>
  <c r="AO2" i="59"/>
  <c r="AN2" i="59"/>
  <c r="AM2" i="59"/>
  <c r="AL2" i="59"/>
  <c r="AK2" i="59"/>
  <c r="AJ2" i="59"/>
  <c r="AI2" i="59"/>
  <c r="AH2" i="59"/>
  <c r="AF2" i="59"/>
  <c r="AE2" i="59"/>
  <c r="AD2" i="59"/>
  <c r="AC2" i="59"/>
  <c r="AB2" i="59"/>
  <c r="AA2" i="59"/>
  <c r="Z2" i="59"/>
  <c r="Y2" i="59"/>
  <c r="X2" i="59"/>
  <c r="W2" i="59"/>
  <c r="V2" i="59"/>
  <c r="U2" i="59"/>
  <c r="T2" i="59"/>
  <c r="S2" i="59"/>
  <c r="R2" i="59"/>
  <c r="P2" i="59"/>
  <c r="O2" i="59"/>
  <c r="N2" i="59"/>
  <c r="M2" i="59"/>
  <c r="L2" i="59"/>
  <c r="K2" i="59"/>
  <c r="J2" i="59"/>
  <c r="I2" i="59"/>
  <c r="H2" i="59"/>
  <c r="G2" i="59"/>
  <c r="F2" i="59"/>
  <c r="E2" i="59"/>
  <c r="D2" i="59"/>
  <c r="C2" i="59"/>
  <c r="B2" i="59"/>
  <c r="BA1" i="59"/>
  <c r="AZ1" i="59"/>
  <c r="AV1" i="59"/>
  <c r="AU1" i="59"/>
  <c r="AT1" i="59"/>
  <c r="AS1" i="59"/>
  <c r="AR1" i="59"/>
  <c r="AQ1" i="59"/>
  <c r="AP1" i="59"/>
  <c r="AO1" i="59"/>
  <c r="AN1" i="59"/>
  <c r="AM1" i="59"/>
  <c r="AL1" i="59"/>
  <c r="AK1" i="59"/>
  <c r="AJ1" i="59"/>
  <c r="AI1" i="59"/>
  <c r="AH1" i="59"/>
  <c r="AF1" i="59"/>
  <c r="AE1" i="59"/>
  <c r="AD1" i="59"/>
  <c r="AC1" i="59"/>
  <c r="AB1" i="59"/>
  <c r="AA1" i="59"/>
  <c r="Z1" i="59"/>
  <c r="Y1" i="59"/>
  <c r="X1" i="59"/>
  <c r="W1" i="59"/>
  <c r="V1" i="59"/>
  <c r="U1" i="59"/>
  <c r="T1" i="59"/>
  <c r="S1" i="59"/>
  <c r="R1" i="59"/>
  <c r="P1" i="59"/>
  <c r="O1" i="59"/>
  <c r="N1" i="59"/>
  <c r="M1" i="59"/>
  <c r="L1" i="59"/>
  <c r="K1" i="59"/>
  <c r="J1" i="59"/>
  <c r="I1" i="59"/>
  <c r="H1" i="59"/>
  <c r="G1" i="59"/>
  <c r="F1" i="59"/>
  <c r="E1" i="59"/>
  <c r="D1" i="59"/>
  <c r="C1" i="59"/>
  <c r="B1" i="59"/>
  <c r="A1" i="59"/>
  <c r="BA343" i="58"/>
  <c r="AY343" i="58"/>
  <c r="C8" i="58"/>
  <c r="AZ7" i="58"/>
  <c r="AZ6" i="58"/>
  <c r="AV2" i="58"/>
  <c r="AU2" i="58"/>
  <c r="AT2" i="58"/>
  <c r="AS2" i="58"/>
  <c r="AR2" i="58"/>
  <c r="AQ2" i="58"/>
  <c r="AP2" i="58"/>
  <c r="AO2" i="58"/>
  <c r="AN2" i="58"/>
  <c r="AM2" i="58"/>
  <c r="AL2" i="58"/>
  <c r="AK2" i="58"/>
  <c r="AJ2" i="58"/>
  <c r="AI2" i="58"/>
  <c r="AH2" i="58"/>
  <c r="AF2" i="58"/>
  <c r="AE2" i="58"/>
  <c r="AD2" i="58"/>
  <c r="AC2" i="58"/>
  <c r="AB2" i="58"/>
  <c r="AA2" i="58"/>
  <c r="Z2" i="58"/>
  <c r="Y2" i="58"/>
  <c r="X2" i="58"/>
  <c r="W2" i="58"/>
  <c r="V2" i="58"/>
  <c r="U2" i="58"/>
  <c r="T2" i="58"/>
  <c r="S2" i="58"/>
  <c r="R2" i="58"/>
  <c r="P2" i="58"/>
  <c r="O2" i="58"/>
  <c r="N2" i="58"/>
  <c r="M2" i="58"/>
  <c r="L2" i="58"/>
  <c r="K2" i="58"/>
  <c r="J2" i="58"/>
  <c r="I2" i="58"/>
  <c r="H2" i="58"/>
  <c r="G2" i="58"/>
  <c r="F2" i="58"/>
  <c r="E2" i="58"/>
  <c r="D2" i="58"/>
  <c r="C2" i="58"/>
  <c r="B2" i="58"/>
  <c r="BA1" i="58"/>
  <c r="AZ1" i="58"/>
  <c r="AV1" i="58"/>
  <c r="AU1" i="58"/>
  <c r="AT1" i="58"/>
  <c r="AS1" i="58"/>
  <c r="AR1" i="58"/>
  <c r="AQ1" i="58"/>
  <c r="AP1" i="58"/>
  <c r="AO1" i="58"/>
  <c r="AN1" i="58"/>
  <c r="AM1" i="58"/>
  <c r="AL1" i="58"/>
  <c r="AK1" i="58"/>
  <c r="AJ1" i="58"/>
  <c r="AI1" i="58"/>
  <c r="AH1" i="58"/>
  <c r="AF1" i="58"/>
  <c r="AE1" i="58"/>
  <c r="AD1" i="58"/>
  <c r="AC1" i="58"/>
  <c r="AB1" i="58"/>
  <c r="AA1" i="58"/>
  <c r="Z1" i="58"/>
  <c r="Y1" i="58"/>
  <c r="X1" i="58"/>
  <c r="W1" i="58"/>
  <c r="V1" i="58"/>
  <c r="U1" i="58"/>
  <c r="T1" i="58"/>
  <c r="S1" i="58"/>
  <c r="R1" i="58"/>
  <c r="P1" i="58"/>
  <c r="O1" i="58"/>
  <c r="N1" i="58"/>
  <c r="M1" i="58"/>
  <c r="L1" i="58"/>
  <c r="K1" i="58"/>
  <c r="J1" i="58"/>
  <c r="I1" i="58"/>
  <c r="H1" i="58"/>
  <c r="G1" i="58"/>
  <c r="F1" i="58"/>
  <c r="E1" i="58"/>
  <c r="D1" i="58"/>
  <c r="C1" i="58"/>
  <c r="B1" i="58"/>
  <c r="A1" i="58"/>
  <c r="W73" i="69" l="1"/>
  <c r="W79" i="69" s="1"/>
  <c r="G80" i="69"/>
  <c r="AG257" i="57"/>
  <c r="AG263" i="57"/>
  <c r="AG264" i="57" s="1"/>
  <c r="AG265" i="57" s="1"/>
  <c r="U242" i="35"/>
  <c r="T242" i="35"/>
  <c r="T235" i="35"/>
  <c r="T268" i="35"/>
  <c r="AT60" i="35"/>
  <c r="T266" i="35"/>
  <c r="U230" i="35"/>
  <c r="E179" i="35"/>
  <c r="AT59" i="35"/>
  <c r="E143" i="35"/>
  <c r="U96" i="35"/>
  <c r="E168" i="35"/>
  <c r="AL205" i="35"/>
  <c r="U265" i="35"/>
  <c r="N153" i="35"/>
  <c r="T265" i="35"/>
  <c r="AD64" i="35"/>
  <c r="N63" i="35"/>
  <c r="AK58" i="35"/>
  <c r="AI61" i="35"/>
  <c r="AT58" i="35"/>
  <c r="S239" i="35"/>
  <c r="S265" i="35"/>
  <c r="F78" i="35"/>
  <c r="T293" i="35"/>
  <c r="U80" i="35"/>
  <c r="AK59" i="35"/>
  <c r="AI65" i="35"/>
  <c r="AJ80" i="35"/>
  <c r="AK80" i="35"/>
  <c r="F59" i="35"/>
  <c r="E78" i="35"/>
  <c r="T301" i="35"/>
  <c r="T292" i="35"/>
  <c r="N166" i="35"/>
  <c r="N64" i="35"/>
  <c r="T300" i="35"/>
  <c r="T291" i="35"/>
  <c r="T298" i="35"/>
  <c r="T227" i="35"/>
  <c r="S73" i="35"/>
  <c r="S80" i="35"/>
  <c r="S78" i="35"/>
  <c r="S55" i="35"/>
  <c r="S50" i="35"/>
  <c r="S63" i="35"/>
  <c r="S48" i="35"/>
  <c r="U83" i="35"/>
  <c r="E213" i="35"/>
  <c r="AI51" i="35"/>
  <c r="U61" i="35"/>
  <c r="AK62" i="35"/>
  <c r="N65" i="35"/>
  <c r="T66" i="35"/>
  <c r="U79" i="35"/>
  <c r="U88" i="35"/>
  <c r="U48" i="35"/>
  <c r="U53" i="35"/>
  <c r="N62" i="35"/>
  <c r="U49" i="35"/>
  <c r="U67" i="35"/>
  <c r="T63" i="35"/>
  <c r="N66" i="35"/>
  <c r="U76" i="35"/>
  <c r="U86" i="35"/>
  <c r="U290" i="35"/>
  <c r="T245" i="35"/>
  <c r="U50" i="35"/>
  <c r="T55" i="35"/>
  <c r="N60" i="35"/>
  <c r="T87" i="35"/>
  <c r="U51" i="35"/>
  <c r="U56" i="35"/>
  <c r="N59" i="35"/>
  <c r="T82" i="35"/>
  <c r="U87" i="35"/>
  <c r="T286" i="35"/>
  <c r="E194" i="35"/>
  <c r="AI57" i="35"/>
  <c r="T283" i="35"/>
  <c r="E193" i="35"/>
  <c r="AJ51" i="35"/>
  <c r="U66" i="35"/>
  <c r="AK69" i="35"/>
  <c r="AI82" i="35"/>
  <c r="AI88" i="35"/>
  <c r="AI53" i="35"/>
  <c r="U81" i="35"/>
  <c r="AK51" i="35"/>
  <c r="N58" i="35"/>
  <c r="U60" i="35"/>
  <c r="AT62" i="35"/>
  <c r="U70" i="35"/>
  <c r="AJ82" i="35"/>
  <c r="U90" i="35"/>
  <c r="U58" i="35"/>
  <c r="T48" i="35"/>
  <c r="AJ48" i="35"/>
  <c r="U75" i="35"/>
  <c r="T76" i="35"/>
  <c r="N61" i="35"/>
  <c r="T50" i="35"/>
  <c r="E198" i="35"/>
  <c r="T290" i="35"/>
  <c r="C214" i="35"/>
  <c r="E197" i="35"/>
  <c r="T296" i="35"/>
  <c r="T281" i="35"/>
  <c r="D111" i="35"/>
  <c r="T277" i="35"/>
  <c r="AJ224" i="35"/>
  <c r="E146" i="35"/>
  <c r="AL51" i="35"/>
  <c r="U59" i="35"/>
  <c r="U72" i="35"/>
  <c r="T80" i="35"/>
  <c r="B260" i="57"/>
  <c r="O187" i="57"/>
  <c r="N177" i="57"/>
  <c r="O177" i="57"/>
  <c r="AK198" i="35"/>
  <c r="AJ198" i="35"/>
  <c r="AK351" i="35"/>
  <c r="V49" i="35"/>
  <c r="AL57" i="35"/>
  <c r="AD67" i="35"/>
  <c r="AJ70" i="35"/>
  <c r="V75" i="35"/>
  <c r="AJ78" i="35"/>
  <c r="AJ49" i="35"/>
  <c r="AJ321" i="35"/>
  <c r="AL65" i="35"/>
  <c r="V89" i="35"/>
  <c r="AI89" i="35"/>
  <c r="V83" i="35"/>
  <c r="AK85" i="35"/>
  <c r="AK371" i="35"/>
  <c r="E171" i="35"/>
  <c r="AL85" i="35"/>
  <c r="AJ83" i="35"/>
  <c r="AJ56" i="35"/>
  <c r="AJ76" i="35"/>
  <c r="AK83" i="35"/>
  <c r="V180" i="35"/>
  <c r="AK50" i="35"/>
  <c r="D53" i="35"/>
  <c r="AK56" i="35"/>
  <c r="V60" i="35"/>
  <c r="AD61" i="35"/>
  <c r="S69" i="35"/>
  <c r="AK76" i="35"/>
  <c r="AL83" i="35"/>
  <c r="V53" i="35"/>
  <c r="AK358" i="35"/>
  <c r="AJ53" i="35"/>
  <c r="AK63" i="35"/>
  <c r="AL53" i="35"/>
  <c r="AK65" i="35"/>
  <c r="AK70" i="35"/>
  <c r="AI75" i="35"/>
  <c r="AJ355" i="35"/>
  <c r="AK335" i="35"/>
  <c r="AK49" i="35"/>
  <c r="AJ71" i="35"/>
  <c r="AK378" i="35"/>
  <c r="AT65" i="35"/>
  <c r="AL66" i="35"/>
  <c r="AJ67" i="35"/>
  <c r="AL71" i="35"/>
  <c r="AJ79" i="35"/>
  <c r="AJ85" i="35"/>
  <c r="AL72" i="35"/>
  <c r="AI83" i="35"/>
  <c r="AL90" i="35"/>
  <c r="K51" i="35"/>
  <c r="AJ310" i="35"/>
  <c r="U240" i="35"/>
  <c r="E180" i="35"/>
  <c r="AL50" i="35"/>
  <c r="T57" i="35"/>
  <c r="U63" i="35"/>
  <c r="T69" i="35"/>
  <c r="AJ77" i="35"/>
  <c r="V80" i="35"/>
  <c r="U82" i="35"/>
  <c r="AK87" i="35"/>
  <c r="AJ57" i="35"/>
  <c r="AJ61" i="35"/>
  <c r="V67" i="35"/>
  <c r="AJ74" i="35"/>
  <c r="AJ84" i="35"/>
  <c r="AJ63" i="35"/>
  <c r="V70" i="35"/>
  <c r="AK82" i="35"/>
  <c r="AL82" i="35"/>
  <c r="AK355" i="35"/>
  <c r="AK321" i="35"/>
  <c r="AK88" i="35"/>
  <c r="AT63" i="35"/>
  <c r="AJ66" i="35"/>
  <c r="AK66" i="35"/>
  <c r="AK71" i="35"/>
  <c r="AK75" i="35"/>
  <c r="AI79" i="35"/>
  <c r="AI85" i="35"/>
  <c r="AJ89" i="35"/>
  <c r="AK67" i="35"/>
  <c r="AK79" i="35"/>
  <c r="AJ81" i="35"/>
  <c r="V50" i="35"/>
  <c r="AJ55" i="35"/>
  <c r="V58" i="35"/>
  <c r="AT66" i="35"/>
  <c r="AD58" i="35"/>
  <c r="U250" i="35"/>
  <c r="AJ207" i="35"/>
  <c r="AK179" i="35"/>
  <c r="T53" i="35"/>
  <c r="U57" i="35"/>
  <c r="AI58" i="35"/>
  <c r="AI62" i="35"/>
  <c r="V63" i="35"/>
  <c r="U64" i="35"/>
  <c r="AD65" i="35"/>
  <c r="U69" i="35"/>
  <c r="AL73" i="35"/>
  <c r="AK77" i="35"/>
  <c r="V82" i="35"/>
  <c r="S88" i="35"/>
  <c r="V88" i="35"/>
  <c r="AK57" i="35"/>
  <c r="AK84" i="35"/>
  <c r="AJ65" i="35"/>
  <c r="AJ88" i="35"/>
  <c r="AK64" i="35"/>
  <c r="AJ75" i="35"/>
  <c r="V79" i="35"/>
  <c r="AK379" i="35"/>
  <c r="V52" i="35"/>
  <c r="AJ188" i="35"/>
  <c r="AI81" i="35"/>
  <c r="AI378" i="35"/>
  <c r="E117" i="35"/>
  <c r="AJ52" i="35"/>
  <c r="AI55" i="35"/>
  <c r="AK89" i="35"/>
  <c r="AK52" i="35"/>
  <c r="V76" i="35"/>
  <c r="AK81" i="35"/>
  <c r="AI50" i="35"/>
  <c r="AL52" i="35"/>
  <c r="AI76" i="35"/>
  <c r="E183" i="35"/>
  <c r="AJ50" i="35"/>
  <c r="AI348" i="35"/>
  <c r="D207" i="35"/>
  <c r="AJ179" i="35"/>
  <c r="V51" i="35"/>
  <c r="V57" i="35"/>
  <c r="AJ58" i="35"/>
  <c r="AJ59" i="35"/>
  <c r="AJ62" i="35"/>
  <c r="S66" i="35"/>
  <c r="V69" i="35"/>
  <c r="D78" i="35"/>
  <c r="AI80" i="35"/>
  <c r="C90" i="35"/>
  <c r="D55" i="35"/>
  <c r="E88" i="35"/>
  <c r="E70" i="35"/>
  <c r="E66" i="35"/>
  <c r="E50" i="35"/>
  <c r="E63" i="35"/>
  <c r="E81" i="35"/>
  <c r="E80" i="35"/>
  <c r="E76" i="35"/>
  <c r="E60" i="35"/>
  <c r="E57" i="35"/>
  <c r="E82" i="35"/>
  <c r="E89" i="35"/>
  <c r="E83" i="35"/>
  <c r="E71" i="35"/>
  <c r="E84" i="35"/>
  <c r="E67" i="35"/>
  <c r="E52" i="35"/>
  <c r="E85" i="35"/>
  <c r="E77" i="35"/>
  <c r="E64" i="35"/>
  <c r="E58" i="35"/>
  <c r="E53" i="35"/>
  <c r="C67" i="35"/>
  <c r="E90" i="35"/>
  <c r="F63" i="35"/>
  <c r="F81" i="35"/>
  <c r="F80" i="35"/>
  <c r="F76" i="35"/>
  <c r="F60" i="35"/>
  <c r="F57" i="35"/>
  <c r="F82" i="35"/>
  <c r="F89" i="35"/>
  <c r="F83" i="35"/>
  <c r="F71" i="35"/>
  <c r="F51" i="35"/>
  <c r="F84" i="35"/>
  <c r="F67" i="35"/>
  <c r="F85" i="35"/>
  <c r="F77" i="35"/>
  <c r="F64" i="35"/>
  <c r="F58" i="35"/>
  <c r="F53" i="35"/>
  <c r="F61" i="35"/>
  <c r="F90" i="35"/>
  <c r="F86" i="35"/>
  <c r="F72" i="35"/>
  <c r="C72" i="35"/>
  <c r="D72" i="35"/>
  <c r="C52" i="35"/>
  <c r="C61" i="35"/>
  <c r="F70" i="35"/>
  <c r="T83" i="35"/>
  <c r="T51" i="35"/>
  <c r="T89" i="35"/>
  <c r="T84" i="35"/>
  <c r="T71" i="35"/>
  <c r="T52" i="35"/>
  <c r="T85" i="35"/>
  <c r="T77" i="35"/>
  <c r="T65" i="35"/>
  <c r="T62" i="35"/>
  <c r="T90" i="35"/>
  <c r="T86" i="35"/>
  <c r="T72" i="35"/>
  <c r="T59" i="35"/>
  <c r="T78" i="35"/>
  <c r="T74" i="35"/>
  <c r="T73" i="35"/>
  <c r="E61" i="35"/>
  <c r="T67" i="35"/>
  <c r="F68" i="35"/>
  <c r="T70" i="35"/>
  <c r="F74" i="35"/>
  <c r="F79" i="35"/>
  <c r="D56" i="35"/>
  <c r="S60" i="35"/>
  <c r="C65" i="35"/>
  <c r="C73" i="35"/>
  <c r="S74" i="35"/>
  <c r="S79" i="35"/>
  <c r="E86" i="35"/>
  <c r="C49" i="35"/>
  <c r="AD62" i="35"/>
  <c r="AD59" i="35"/>
  <c r="AD66" i="35"/>
  <c r="AD63" i="35"/>
  <c r="AD60" i="35"/>
  <c r="E56" i="35"/>
  <c r="C58" i="35"/>
  <c r="T60" i="35"/>
  <c r="D65" i="35"/>
  <c r="S68" i="35"/>
  <c r="D73" i="35"/>
  <c r="T79" i="35"/>
  <c r="D49" i="35"/>
  <c r="AI52" i="35"/>
  <c r="V85" i="35"/>
  <c r="V77" i="35"/>
  <c r="V65" i="35"/>
  <c r="V90" i="35"/>
  <c r="V62" i="35"/>
  <c r="V86" i="35"/>
  <c r="V72" i="35"/>
  <c r="V59" i="35"/>
  <c r="V78" i="35"/>
  <c r="V74" i="35"/>
  <c r="V73" i="35"/>
  <c r="V68" i="35"/>
  <c r="V55" i="35"/>
  <c r="V48" i="35"/>
  <c r="V66" i="35"/>
  <c r="V87" i="35"/>
  <c r="F56" i="35"/>
  <c r="D58" i="35"/>
  <c r="AI59" i="35"/>
  <c r="C62" i="35"/>
  <c r="AL62" i="35"/>
  <c r="E65" i="35"/>
  <c r="T68" i="35"/>
  <c r="AI70" i="35"/>
  <c r="E73" i="35"/>
  <c r="D75" i="35"/>
  <c r="AL76" i="35"/>
  <c r="C64" i="35"/>
  <c r="D64" i="35"/>
  <c r="F52" i="35"/>
  <c r="S56" i="35"/>
  <c r="S64" i="35"/>
  <c r="C77" i="35"/>
  <c r="S49" i="35"/>
  <c r="AL68" i="35"/>
  <c r="AL48" i="35"/>
  <c r="AL78" i="35"/>
  <c r="AL74" i="35"/>
  <c r="AL55" i="35"/>
  <c r="AL67" i="35"/>
  <c r="AL87" i="35"/>
  <c r="AL69" i="35"/>
  <c r="AL64" i="35"/>
  <c r="AL49" i="35"/>
  <c r="AL61" i="35"/>
  <c r="AL79" i="35"/>
  <c r="AL75" i="35"/>
  <c r="AL58" i="35"/>
  <c r="AL56" i="35"/>
  <c r="AL88" i="35"/>
  <c r="AL81" i="35"/>
  <c r="AL80" i="35"/>
  <c r="AL59" i="35"/>
  <c r="T61" i="35"/>
  <c r="F62" i="35"/>
  <c r="D69" i="35"/>
  <c r="AL70" i="35"/>
  <c r="S75" i="35"/>
  <c r="AL84" i="35"/>
  <c r="E87" i="35"/>
  <c r="C79" i="35"/>
  <c r="C75" i="35"/>
  <c r="C56" i="35"/>
  <c r="C88" i="35"/>
  <c r="C70" i="35"/>
  <c r="C66" i="35"/>
  <c r="C50" i="35"/>
  <c r="C63" i="35"/>
  <c r="C81" i="35"/>
  <c r="C80" i="35"/>
  <c r="C76" i="35"/>
  <c r="C60" i="35"/>
  <c r="C57" i="35"/>
  <c r="C82" i="35"/>
  <c r="C89" i="35"/>
  <c r="C83" i="35"/>
  <c r="C71" i="35"/>
  <c r="C51" i="35"/>
  <c r="C84" i="35"/>
  <c r="C55" i="35"/>
  <c r="D90" i="35"/>
  <c r="E55" i="35"/>
  <c r="F50" i="35"/>
  <c r="F55" i="35"/>
  <c r="F88" i="35"/>
  <c r="C68" i="35"/>
  <c r="C74" i="35"/>
  <c r="D61" i="35"/>
  <c r="S67" i="35"/>
  <c r="E68" i="35"/>
  <c r="S70" i="35"/>
  <c r="E74" i="35"/>
  <c r="E79" i="35"/>
  <c r="C86" i="35"/>
  <c r="E49" i="35"/>
  <c r="D62" i="35"/>
  <c r="F65" i="35"/>
  <c r="F73" i="35"/>
  <c r="S81" i="35"/>
  <c r="T64" i="35"/>
  <c r="C69" i="35"/>
  <c r="D87" i="35"/>
  <c r="C48" i="35"/>
  <c r="T49" i="35"/>
  <c r="AI77" i="35"/>
  <c r="AI66" i="35"/>
  <c r="AI63" i="35"/>
  <c r="AI90" i="35"/>
  <c r="AI86" i="35"/>
  <c r="AI73" i="35"/>
  <c r="AI72" i="35"/>
  <c r="AI60" i="35"/>
  <c r="AI68" i="35"/>
  <c r="AI48" i="35"/>
  <c r="AI78" i="35"/>
  <c r="AI74" i="35"/>
  <c r="AI67" i="35"/>
  <c r="AI87" i="35"/>
  <c r="AI69" i="35"/>
  <c r="AI64" i="35"/>
  <c r="AI49" i="35"/>
  <c r="V56" i="35"/>
  <c r="AL63" i="35"/>
  <c r="V64" i="35"/>
  <c r="F66" i="35"/>
  <c r="E69" i="35"/>
  <c r="V71" i="35"/>
  <c r="T75" i="35"/>
  <c r="AL77" i="35"/>
  <c r="V81" i="35"/>
  <c r="F87" i="35"/>
  <c r="D88" i="35"/>
  <c r="D70" i="35"/>
  <c r="D66" i="35"/>
  <c r="D50" i="35"/>
  <c r="D63" i="35"/>
  <c r="D81" i="35"/>
  <c r="D80" i="35"/>
  <c r="D76" i="35"/>
  <c r="D60" i="35"/>
  <c r="D57" i="35"/>
  <c r="D82" i="35"/>
  <c r="D89" i="35"/>
  <c r="D83" i="35"/>
  <c r="D71" i="35"/>
  <c r="D51" i="35"/>
  <c r="D84" i="35"/>
  <c r="D67" i="35"/>
  <c r="D52" i="35"/>
  <c r="D85" i="35"/>
  <c r="D77" i="35"/>
  <c r="D68" i="35"/>
  <c r="E72" i="35"/>
  <c r="D74" i="35"/>
  <c r="D79" i="35"/>
  <c r="S82" i="35"/>
  <c r="S76" i="35"/>
  <c r="S61" i="35"/>
  <c r="S58" i="35"/>
  <c r="S57" i="35"/>
  <c r="S83" i="35"/>
  <c r="S51" i="35"/>
  <c r="S89" i="35"/>
  <c r="S84" i="35"/>
  <c r="S71" i="35"/>
  <c r="S52" i="35"/>
  <c r="S85" i="35"/>
  <c r="S77" i="35"/>
  <c r="S65" i="35"/>
  <c r="S62" i="35"/>
  <c r="S90" i="35"/>
  <c r="S86" i="35"/>
  <c r="S72" i="35"/>
  <c r="S59" i="35"/>
  <c r="D86" i="35"/>
  <c r="E75" i="35"/>
  <c r="C87" i="35"/>
  <c r="F49" i="35"/>
  <c r="E51" i="35"/>
  <c r="T56" i="35"/>
  <c r="E62" i="35"/>
  <c r="F75" i="35"/>
  <c r="T81" i="35"/>
  <c r="D48" i="35"/>
  <c r="C53" i="35"/>
  <c r="AI56" i="35"/>
  <c r="T58" i="35"/>
  <c r="E59" i="35"/>
  <c r="AL60" i="35"/>
  <c r="V61" i="35"/>
  <c r="F69" i="35"/>
  <c r="AI71" i="35"/>
  <c r="C78" i="35"/>
  <c r="C85" i="35"/>
  <c r="S87" i="35"/>
  <c r="AL89" i="35"/>
  <c r="U55" i="35"/>
  <c r="U68" i="35"/>
  <c r="U73" i="35"/>
  <c r="U74" i="35"/>
  <c r="U78" i="35"/>
  <c r="AK53" i="35"/>
  <c r="AK61" i="35"/>
  <c r="AJ64" i="35"/>
  <c r="AJ69" i="35"/>
  <c r="AJ87" i="35"/>
  <c r="U62" i="35"/>
  <c r="AK55" i="35"/>
  <c r="AT61" i="35"/>
  <c r="U65" i="35"/>
  <c r="N67" i="35"/>
  <c r="AJ68" i="35"/>
  <c r="AK74" i="35"/>
  <c r="U77" i="35"/>
  <c r="AK78" i="35"/>
  <c r="AK48" i="35"/>
  <c r="AJ60" i="35"/>
  <c r="AT64" i="35"/>
  <c r="AK68" i="35"/>
  <c r="AJ72" i="35"/>
  <c r="AJ73" i="35"/>
  <c r="U85" i="35"/>
  <c r="AJ86" i="35"/>
  <c r="U52" i="35"/>
  <c r="AK60" i="35"/>
  <c r="U71" i="35"/>
  <c r="AK72" i="35"/>
  <c r="AK73" i="35"/>
  <c r="U84" i="35"/>
  <c r="AK86" i="35"/>
  <c r="AK318" i="35"/>
  <c r="AK314" i="35"/>
  <c r="AJ146" i="35"/>
  <c r="AK376" i="35"/>
  <c r="U223" i="35"/>
  <c r="U120" i="35"/>
  <c r="AK375" i="35"/>
  <c r="T284" i="35"/>
  <c r="T223" i="35"/>
  <c r="N170" i="35"/>
  <c r="E388" i="35"/>
  <c r="AT344" i="35"/>
  <c r="E307" i="35"/>
  <c r="E306" i="35"/>
  <c r="N168" i="35"/>
  <c r="N156" i="35"/>
  <c r="AK174" i="35"/>
  <c r="N165" i="35"/>
  <c r="U233" i="35"/>
  <c r="T233" i="35"/>
  <c r="N171" i="35"/>
  <c r="D381" i="35"/>
  <c r="N160" i="35"/>
  <c r="E342" i="35"/>
  <c r="AK348" i="35"/>
  <c r="T270" i="35"/>
  <c r="T180" i="35"/>
  <c r="N158" i="35"/>
  <c r="N155" i="35"/>
  <c r="AN130" i="57"/>
  <c r="AE162" i="57"/>
  <c r="N188" i="57"/>
  <c r="AT148" i="57"/>
  <c r="O133" i="57"/>
  <c r="AD187" i="57"/>
  <c r="P133" i="57"/>
  <c r="P180" i="57"/>
  <c r="AE58" i="57"/>
  <c r="AD135" i="57"/>
  <c r="AE109" i="57"/>
  <c r="AE142" i="57"/>
  <c r="AD113" i="57"/>
  <c r="AE113" i="57"/>
  <c r="AE120" i="57"/>
  <c r="AN145" i="57"/>
  <c r="AP73" i="57"/>
  <c r="AD109" i="57"/>
  <c r="AE135" i="57"/>
  <c r="AD142" i="57"/>
  <c r="P115" i="57"/>
  <c r="P123" i="57"/>
  <c r="AD159" i="57"/>
  <c r="AE159" i="57"/>
  <c r="AP135" i="57"/>
  <c r="N160" i="57"/>
  <c r="O82" i="57"/>
  <c r="O58" i="57"/>
  <c r="AP127" i="57"/>
  <c r="N109" i="57"/>
  <c r="AN125" i="57"/>
  <c r="O149" i="57"/>
  <c r="O67" i="57"/>
  <c r="AD139" i="57"/>
  <c r="P176" i="57"/>
  <c r="AE139" i="57"/>
  <c r="AD176" i="57"/>
  <c r="BD78" i="57"/>
  <c r="AN127" i="57"/>
  <c r="O77" i="57"/>
  <c r="BD118" i="57"/>
  <c r="P110" i="57"/>
  <c r="P121" i="57"/>
  <c r="P149" i="57"/>
  <c r="AE165" i="57"/>
  <c r="P185" i="57"/>
  <c r="P112" i="57"/>
  <c r="P126" i="57"/>
  <c r="AE152" i="57"/>
  <c r="AD166" i="57"/>
  <c r="N63" i="57"/>
  <c r="O84" i="57"/>
  <c r="O153" i="57"/>
  <c r="O176" i="57"/>
  <c r="O63" i="57"/>
  <c r="P113" i="57"/>
  <c r="AE141" i="57"/>
  <c r="AE176" i="57"/>
  <c r="FQ216" i="57"/>
  <c r="AT108" i="57"/>
  <c r="FR216" i="57"/>
  <c r="FS216" i="57" s="1"/>
  <c r="O115" i="57"/>
  <c r="P128" i="57"/>
  <c r="P140" i="57"/>
  <c r="P166" i="57"/>
  <c r="O183" i="57"/>
  <c r="AE187" i="57"/>
  <c r="N118" i="57"/>
  <c r="N124" i="57"/>
  <c r="BD131" i="57"/>
  <c r="BD133" i="57"/>
  <c r="O168" i="57"/>
  <c r="AD183" i="57"/>
  <c r="O188" i="57"/>
  <c r="O118" i="57"/>
  <c r="O124" i="57"/>
  <c r="BF131" i="57"/>
  <c r="AT154" i="57"/>
  <c r="AD168" i="57"/>
  <c r="AC188" i="57"/>
  <c r="BF72" i="57"/>
  <c r="O86" i="57"/>
  <c r="P118" i="57"/>
  <c r="N120" i="57"/>
  <c r="N134" i="57"/>
  <c r="P142" i="57"/>
  <c r="N155" i="57"/>
  <c r="N169" i="57"/>
  <c r="AT190" i="57"/>
  <c r="BA111" i="57"/>
  <c r="FQ218" i="57"/>
  <c r="AP70" i="57"/>
  <c r="N111" i="57"/>
  <c r="O120" i="57"/>
  <c r="O134" i="57"/>
  <c r="O155" i="57"/>
  <c r="O169" i="57"/>
  <c r="O191" i="57"/>
  <c r="AE103" i="57"/>
  <c r="AU62" i="57"/>
  <c r="FQ213" i="57"/>
  <c r="O80" i="57"/>
  <c r="O111" i="57"/>
  <c r="AE122" i="57"/>
  <c r="AD144" i="57"/>
  <c r="O158" i="57"/>
  <c r="P169" i="57"/>
  <c r="P191" i="57"/>
  <c r="AE62" i="57"/>
  <c r="FR213" i="57"/>
  <c r="AD58" i="57"/>
  <c r="O112" i="57"/>
  <c r="P139" i="57"/>
  <c r="N159" i="57"/>
  <c r="N176" i="57"/>
  <c r="AV118" i="57"/>
  <c r="FI232" i="57"/>
  <c r="AD115" i="57"/>
  <c r="AN122" i="57"/>
  <c r="AN129" i="57"/>
  <c r="AN132" i="57"/>
  <c r="AD188" i="57"/>
  <c r="O68" i="57"/>
  <c r="AU99" i="57"/>
  <c r="AE111" i="57"/>
  <c r="N117" i="57"/>
  <c r="N119" i="57"/>
  <c r="AP122" i="57"/>
  <c r="O140" i="57"/>
  <c r="N143" i="57"/>
  <c r="O179" i="57"/>
  <c r="AV184" i="57"/>
  <c r="AE188" i="57"/>
  <c r="O117" i="57"/>
  <c r="O119" i="57"/>
  <c r="AD124" i="57"/>
  <c r="AD126" i="57"/>
  <c r="AE138" i="57"/>
  <c r="O143" i="57"/>
  <c r="O161" i="57"/>
  <c r="AE169" i="57"/>
  <c r="N180" i="57"/>
  <c r="N77" i="57"/>
  <c r="N112" i="57"/>
  <c r="AE117" i="57"/>
  <c r="AE126" i="57"/>
  <c r="BD132" i="57"/>
  <c r="AE136" i="57"/>
  <c r="AU148" i="57"/>
  <c r="AV154" i="57"/>
  <c r="P162" i="57"/>
  <c r="O172" i="57"/>
  <c r="O180" i="57"/>
  <c r="O185" i="57"/>
  <c r="N191" i="57"/>
  <c r="AN144" i="57"/>
  <c r="AV148" i="57"/>
  <c r="AN128" i="57"/>
  <c r="AN136" i="57"/>
  <c r="FN205" i="57"/>
  <c r="U61" i="57"/>
  <c r="N73" i="57"/>
  <c r="AE112" i="57"/>
  <c r="AE121" i="57"/>
  <c r="N135" i="57"/>
  <c r="N139" i="57"/>
  <c r="O142" i="57"/>
  <c r="N150" i="57"/>
  <c r="AE155" i="57"/>
  <c r="N165" i="57"/>
  <c r="O173" i="57"/>
  <c r="O181" i="57"/>
  <c r="AN146" i="57"/>
  <c r="AD172" i="57"/>
  <c r="N123" i="57"/>
  <c r="AE108" i="57"/>
  <c r="AC155" i="57"/>
  <c r="AE164" i="57"/>
  <c r="N173" i="57"/>
  <c r="N181" i="57"/>
  <c r="AD191" i="57"/>
  <c r="AP77" i="57"/>
  <c r="AE145" i="57"/>
  <c r="O150" i="57"/>
  <c r="AT157" i="57"/>
  <c r="O165" i="57"/>
  <c r="AD173" i="57"/>
  <c r="AV123" i="57"/>
  <c r="AD119" i="57"/>
  <c r="BD129" i="57"/>
  <c r="N163" i="57"/>
  <c r="AE172" i="57"/>
  <c r="AE180" i="57"/>
  <c r="AE119" i="57"/>
  <c r="AP136" i="57"/>
  <c r="AD140" i="57"/>
  <c r="AP143" i="57"/>
  <c r="O73" i="57"/>
  <c r="O71" i="57"/>
  <c r="AP75" i="57"/>
  <c r="N84" i="57"/>
  <c r="AV108" i="57"/>
  <c r="AD125" i="57"/>
  <c r="AE133" i="57"/>
  <c r="AD152" i="57"/>
  <c r="N158" i="57"/>
  <c r="AD165" i="57"/>
  <c r="AE173" i="57"/>
  <c r="N183" i="57"/>
  <c r="AU84" i="57"/>
  <c r="AT152" i="57"/>
  <c r="AT111" i="57"/>
  <c r="AT117" i="57"/>
  <c r="AT128" i="57"/>
  <c r="AU131" i="57"/>
  <c r="AV137" i="57"/>
  <c r="AT158" i="57"/>
  <c r="AV161" i="57"/>
  <c r="AU66" i="57"/>
  <c r="BF78" i="57"/>
  <c r="AU100" i="57"/>
  <c r="AU111" i="57"/>
  <c r="AU117" i="57"/>
  <c r="AT127" i="57"/>
  <c r="AT129" i="57"/>
  <c r="AV131" i="57"/>
  <c r="FI226" i="57"/>
  <c r="N67" i="57"/>
  <c r="AN80" i="57"/>
  <c r="N97" i="57"/>
  <c r="N101" i="57"/>
  <c r="O109" i="57"/>
  <c r="AV111" i="57"/>
  <c r="AT113" i="57"/>
  <c r="AV117" i="57"/>
  <c r="AD120" i="57"/>
  <c r="AP121" i="57"/>
  <c r="AE125" i="57"/>
  <c r="AU127" i="57"/>
  <c r="BD128" i="57"/>
  <c r="AT130" i="57"/>
  <c r="N133" i="57"/>
  <c r="P134" i="57"/>
  <c r="AU136" i="57"/>
  <c r="BD137" i="57"/>
  <c r="AC139" i="57"/>
  <c r="AC140" i="57"/>
  <c r="AD141" i="57"/>
  <c r="AN143" i="57"/>
  <c r="AC149" i="57"/>
  <c r="AD155" i="57"/>
  <c r="O159" i="57"/>
  <c r="AD162" i="57"/>
  <c r="AT165" i="57"/>
  <c r="AD169" i="57"/>
  <c r="P173" i="57"/>
  <c r="AV176" i="57"/>
  <c r="AD180" i="57"/>
  <c r="AE183" i="57"/>
  <c r="P188" i="57"/>
  <c r="AE191" i="57"/>
  <c r="AT177" i="57"/>
  <c r="FI206" i="57"/>
  <c r="AU59" i="57"/>
  <c r="AU104" i="57"/>
  <c r="AU109" i="57"/>
  <c r="AV121" i="57"/>
  <c r="AN124" i="57"/>
  <c r="O128" i="57"/>
  <c r="N129" i="57"/>
  <c r="N132" i="57"/>
  <c r="N137" i="57"/>
  <c r="AD138" i="57"/>
  <c r="AP142" i="57"/>
  <c r="AU143" i="57"/>
  <c r="BD145" i="57"/>
  <c r="BD146" i="57"/>
  <c r="AV147" i="57"/>
  <c r="P150" i="57"/>
  <c r="AU153" i="57"/>
  <c r="N156" i="57"/>
  <c r="O160" i="57"/>
  <c r="O163" i="57"/>
  <c r="AE166" i="57"/>
  <c r="AU170" i="57"/>
  <c r="AD174" i="57"/>
  <c r="AU177" i="57"/>
  <c r="AD181" i="57"/>
  <c r="N184" i="57"/>
  <c r="AT188" i="57"/>
  <c r="AT179" i="57"/>
  <c r="AP125" i="57"/>
  <c r="AT173" i="57"/>
  <c r="O60" i="57"/>
  <c r="BD73" i="57"/>
  <c r="N89" i="57"/>
  <c r="O98" i="57"/>
  <c r="N105" i="57"/>
  <c r="AV109" i="57"/>
  <c r="AT115" i="57"/>
  <c r="AU120" i="57"/>
  <c r="AP124" i="57"/>
  <c r="AT125" i="57"/>
  <c r="BF126" i="57"/>
  <c r="O129" i="57"/>
  <c r="N130" i="57"/>
  <c r="N131" i="57"/>
  <c r="O132" i="57"/>
  <c r="AT134" i="57"/>
  <c r="O137" i="57"/>
  <c r="AT139" i="57"/>
  <c r="AE150" i="57"/>
  <c r="AV153" i="57"/>
  <c r="O156" i="57"/>
  <c r="P160" i="57"/>
  <c r="AT163" i="57"/>
  <c r="AT166" i="57"/>
  <c r="N171" i="57"/>
  <c r="AE174" i="57"/>
  <c r="AV177" i="57"/>
  <c r="AE181" i="57"/>
  <c r="O184" i="57"/>
  <c r="N186" i="57"/>
  <c r="AE189" i="57"/>
  <c r="AU78" i="57"/>
  <c r="X147" i="57"/>
  <c r="AT161" i="57"/>
  <c r="AU137" i="57"/>
  <c r="AT149" i="57"/>
  <c r="AU58" i="57"/>
  <c r="AT121" i="57"/>
  <c r="AT126" i="57"/>
  <c r="AT145" i="57"/>
  <c r="AT183" i="57"/>
  <c r="AV155" i="57"/>
  <c r="AT170" i="57"/>
  <c r="N61" i="57"/>
  <c r="AD72" i="57"/>
  <c r="AN82" i="57"/>
  <c r="O89" i="57"/>
  <c r="O105" i="57"/>
  <c r="FB338" i="57"/>
  <c r="FC338" i="57" s="1"/>
  <c r="O110" i="57"/>
  <c r="AU115" i="57"/>
  <c r="AV120" i="57"/>
  <c r="BD121" i="57"/>
  <c r="AD123" i="57"/>
  <c r="P129" i="57"/>
  <c r="O130" i="57"/>
  <c r="O131" i="57"/>
  <c r="AV134" i="57"/>
  <c r="N136" i="57"/>
  <c r="P137" i="57"/>
  <c r="AU139" i="57"/>
  <c r="AT142" i="57"/>
  <c r="N145" i="57"/>
  <c r="BD147" i="57"/>
  <c r="N151" i="57"/>
  <c r="AT156" i="57"/>
  <c r="AU163" i="57"/>
  <c r="N167" i="57"/>
  <c r="O171" i="57"/>
  <c r="AT174" i="57"/>
  <c r="P178" i="57"/>
  <c r="AT181" i="57"/>
  <c r="P186" i="57"/>
  <c r="AT189" i="57"/>
  <c r="AT137" i="57"/>
  <c r="AU165" i="57"/>
  <c r="AT185" i="57"/>
  <c r="AU103" i="57"/>
  <c r="AV113" i="57"/>
  <c r="AT162" i="57"/>
  <c r="AT169" i="57"/>
  <c r="AT143" i="57"/>
  <c r="AU147" i="57"/>
  <c r="AT153" i="57"/>
  <c r="AV185" i="57"/>
  <c r="O61" i="57"/>
  <c r="N74" i="57"/>
  <c r="AU79" i="57"/>
  <c r="N94" i="57"/>
  <c r="N116" i="57"/>
  <c r="AE123" i="57"/>
  <c r="BD125" i="57"/>
  <c r="N127" i="57"/>
  <c r="P130" i="57"/>
  <c r="P131" i="57"/>
  <c r="AN133" i="57"/>
  <c r="O136" i="57"/>
  <c r="AN138" i="57"/>
  <c r="AV139" i="57"/>
  <c r="AT140" i="57"/>
  <c r="AT141" i="57"/>
  <c r="AU142" i="57"/>
  <c r="O144" i="57"/>
  <c r="O145" i="57"/>
  <c r="N146" i="57"/>
  <c r="O151" i="57"/>
  <c r="O157" i="57"/>
  <c r="AD160" i="57"/>
  <c r="N164" i="57"/>
  <c r="O167" i="57"/>
  <c r="P171" i="57"/>
  <c r="N175" i="57"/>
  <c r="AD178" i="57"/>
  <c r="P182" i="57"/>
  <c r="AE184" i="57"/>
  <c r="AU189" i="57"/>
  <c r="AV191" i="57"/>
  <c r="AT146" i="57"/>
  <c r="AU155" i="57"/>
  <c r="O104" i="57"/>
  <c r="AT109" i="57"/>
  <c r="AU126" i="57"/>
  <c r="AN141" i="57"/>
  <c r="FR221" i="57"/>
  <c r="FS221" i="57" s="1"/>
  <c r="AN70" i="57"/>
  <c r="O74" i="57"/>
  <c r="AD78" i="57"/>
  <c r="O94" i="57"/>
  <c r="O108" i="57"/>
  <c r="AT110" i="57"/>
  <c r="O116" i="57"/>
  <c r="AP119" i="57"/>
  <c r="AT124" i="57"/>
  <c r="BF125" i="57"/>
  <c r="O127" i="57"/>
  <c r="AD132" i="57"/>
  <c r="AP133" i="57"/>
  <c r="BD134" i="57"/>
  <c r="AP138" i="57"/>
  <c r="AU140" i="57"/>
  <c r="P144" i="57"/>
  <c r="P145" i="57"/>
  <c r="O146" i="57"/>
  <c r="N147" i="57"/>
  <c r="P151" i="57"/>
  <c r="N154" i="57"/>
  <c r="P157" i="57"/>
  <c r="O164" i="57"/>
  <c r="P167" i="57"/>
  <c r="AT171" i="57"/>
  <c r="O175" i="57"/>
  <c r="AE178" i="57"/>
  <c r="AD182" i="57"/>
  <c r="AV189" i="57"/>
  <c r="AT131" i="57"/>
  <c r="AU161" i="57"/>
  <c r="AT147" i="57"/>
  <c r="AN120" i="57"/>
  <c r="AU121" i="57"/>
  <c r="AN140" i="57"/>
  <c r="AE78" i="57"/>
  <c r="AU110" i="57"/>
  <c r="N113" i="57"/>
  <c r="AE116" i="57"/>
  <c r="AT118" i="57"/>
  <c r="N121" i="57"/>
  <c r="AU124" i="57"/>
  <c r="AD128" i="57"/>
  <c r="AE132" i="57"/>
  <c r="BF134" i="57"/>
  <c r="AV140" i="57"/>
  <c r="BD141" i="57"/>
  <c r="BF142" i="57"/>
  <c r="P146" i="57"/>
  <c r="O147" i="57"/>
  <c r="N148" i="57"/>
  <c r="AD151" i="57"/>
  <c r="O154" i="57"/>
  <c r="AD157" i="57"/>
  <c r="P164" i="57"/>
  <c r="AT167" i="57"/>
  <c r="AU171" i="57"/>
  <c r="P175" i="57"/>
  <c r="AT178" i="57"/>
  <c r="AE182" i="57"/>
  <c r="AT184" i="57"/>
  <c r="AT186" i="57"/>
  <c r="N190" i="57"/>
  <c r="AU113" i="57"/>
  <c r="AV127" i="57"/>
  <c r="AV136" i="57"/>
  <c r="AT144" i="57"/>
  <c r="AU185" i="57"/>
  <c r="AU97" i="57"/>
  <c r="AV135" i="57"/>
  <c r="FR219" i="57"/>
  <c r="FS219" i="57" s="1"/>
  <c r="O69" i="57"/>
  <c r="BD72" i="57"/>
  <c r="AU76" i="57"/>
  <c r="AV110" i="57"/>
  <c r="O113" i="57"/>
  <c r="AT116" i="57"/>
  <c r="AU118" i="57"/>
  <c r="O121" i="57"/>
  <c r="AD122" i="57"/>
  <c r="AT123" i="57"/>
  <c r="O126" i="57"/>
  <c r="AE131" i="57"/>
  <c r="AT133" i="57"/>
  <c r="AD136" i="57"/>
  <c r="N140" i="57"/>
  <c r="P147" i="57"/>
  <c r="O148" i="57"/>
  <c r="AE151" i="57"/>
  <c r="AE154" i="57"/>
  <c r="AE157" i="57"/>
  <c r="N161" i="57"/>
  <c r="N168" i="57"/>
  <c r="N172" i="57"/>
  <c r="AT175" i="57"/>
  <c r="N179" i="57"/>
  <c r="AT182" i="57"/>
  <c r="AU184" i="57"/>
  <c r="N187" i="57"/>
  <c r="O190" i="57"/>
  <c r="AC122" i="57"/>
  <c r="AC128" i="57"/>
  <c r="AC178" i="57"/>
  <c r="AC151" i="57"/>
  <c r="AC144" i="57"/>
  <c r="AS160" i="57"/>
  <c r="AS126" i="57"/>
  <c r="AS129" i="57"/>
  <c r="AS137" i="57"/>
  <c r="AS131" i="57"/>
  <c r="AS120" i="57"/>
  <c r="AS118" i="57"/>
  <c r="AS108" i="57"/>
  <c r="AS110" i="57"/>
  <c r="AS157" i="57"/>
  <c r="AS178" i="57"/>
  <c r="AS145" i="57"/>
  <c r="AS184" i="57"/>
  <c r="AS142" i="57"/>
  <c r="AS147" i="57"/>
  <c r="AS149" i="57"/>
  <c r="AS186" i="57"/>
  <c r="AS189" i="57"/>
  <c r="AS171" i="57"/>
  <c r="AS143" i="57"/>
  <c r="AS121" i="57"/>
  <c r="AS127" i="57"/>
  <c r="AS153" i="57"/>
  <c r="AS190" i="57"/>
  <c r="AC132" i="57"/>
  <c r="AC162" i="57"/>
  <c r="AC119" i="57"/>
  <c r="AC166" i="57"/>
  <c r="AC173" i="57"/>
  <c r="X127" i="57"/>
  <c r="X139" i="57"/>
  <c r="X140" i="57"/>
  <c r="X125" i="57"/>
  <c r="X138" i="57"/>
  <c r="X128" i="57"/>
  <c r="Z125" i="57"/>
  <c r="X136" i="57"/>
  <c r="Z138" i="57"/>
  <c r="X141" i="57"/>
  <c r="Z124" i="57"/>
  <c r="X135" i="57"/>
  <c r="Z136" i="57"/>
  <c r="X137" i="57"/>
  <c r="X144" i="57"/>
  <c r="Z135" i="57"/>
  <c r="Z137" i="57"/>
  <c r="X124" i="57"/>
  <c r="X118" i="57"/>
  <c r="X120" i="57"/>
  <c r="X122" i="57"/>
  <c r="X123" i="57"/>
  <c r="X143" i="57"/>
  <c r="Z120" i="57"/>
  <c r="X121" i="57"/>
  <c r="Z122" i="57"/>
  <c r="X131" i="57"/>
  <c r="X133" i="57"/>
  <c r="X134" i="57"/>
  <c r="X119" i="57"/>
  <c r="Z121" i="57"/>
  <c r="Z131" i="57"/>
  <c r="Z132" i="57"/>
  <c r="Z133" i="57"/>
  <c r="Z134" i="57"/>
  <c r="Z119" i="57"/>
  <c r="M147" i="57"/>
  <c r="M131" i="57"/>
  <c r="M157" i="57"/>
  <c r="M144" i="57"/>
  <c r="M128" i="57"/>
  <c r="M115" i="57"/>
  <c r="M189" i="57"/>
  <c r="M182" i="57"/>
  <c r="M178" i="57"/>
  <c r="M174" i="57"/>
  <c r="M170" i="57"/>
  <c r="M166" i="57"/>
  <c r="M162" i="57"/>
  <c r="M141" i="57"/>
  <c r="M125" i="57"/>
  <c r="M108" i="57"/>
  <c r="M190" i="57"/>
  <c r="M184" i="57"/>
  <c r="M179" i="57"/>
  <c r="M175" i="57"/>
  <c r="M171" i="57"/>
  <c r="M167" i="57"/>
  <c r="M163" i="57"/>
  <c r="M148" i="57"/>
  <c r="M145" i="57"/>
  <c r="M129" i="57"/>
  <c r="M146" i="57"/>
  <c r="M133" i="57"/>
  <c r="M135" i="57"/>
  <c r="M119" i="57"/>
  <c r="M117" i="57"/>
  <c r="M191" i="57"/>
  <c r="M160" i="57"/>
  <c r="M150" i="57"/>
  <c r="M130" i="57"/>
  <c r="M122" i="57"/>
  <c r="M187" i="57"/>
  <c r="M181" i="57"/>
  <c r="M172" i="57"/>
  <c r="M165" i="57"/>
  <c r="M158" i="57"/>
  <c r="M138" i="57"/>
  <c r="M155" i="57"/>
  <c r="M134" i="57"/>
  <c r="M123" i="57"/>
  <c r="M173" i="57"/>
  <c r="M168" i="57"/>
  <c r="M153" i="57"/>
  <c r="M151" i="57"/>
  <c r="M152" i="57"/>
  <c r="M186" i="57"/>
  <c r="M188" i="57"/>
  <c r="M180" i="57"/>
  <c r="M161" i="57"/>
  <c r="M159" i="57"/>
  <c r="M132" i="57"/>
  <c r="M177" i="57"/>
  <c r="M154" i="57"/>
  <c r="M127" i="57"/>
  <c r="M143" i="57"/>
  <c r="M156" i="57"/>
  <c r="M120" i="57"/>
  <c r="M136" i="57"/>
  <c r="M140" i="57"/>
  <c r="M113" i="57"/>
  <c r="M111" i="57"/>
  <c r="M121" i="57"/>
  <c r="M109" i="57"/>
  <c r="M185" i="57"/>
  <c r="M126" i="57"/>
  <c r="M142" i="57"/>
  <c r="M137" i="57"/>
  <c r="M118" i="57"/>
  <c r="M183" i="57"/>
  <c r="M176" i="57"/>
  <c r="M169" i="57"/>
  <c r="M124" i="57"/>
  <c r="M164" i="57"/>
  <c r="M149" i="57"/>
  <c r="M139" i="57"/>
  <c r="M116" i="57"/>
  <c r="M112" i="57"/>
  <c r="M110" i="57"/>
  <c r="AC110" i="57"/>
  <c r="AC123" i="57"/>
  <c r="AV160" i="57"/>
  <c r="AV150" i="57"/>
  <c r="AV132" i="57"/>
  <c r="AV145" i="57"/>
  <c r="AV129" i="57"/>
  <c r="AV188" i="57"/>
  <c r="AV156" i="57"/>
  <c r="AV142" i="57"/>
  <c r="AV126" i="57"/>
  <c r="AV181" i="57"/>
  <c r="AV157" i="57"/>
  <c r="AV146" i="57"/>
  <c r="AV130" i="57"/>
  <c r="AV115" i="57"/>
  <c r="AV175" i="57"/>
  <c r="AV168" i="57"/>
  <c r="AV166" i="57"/>
  <c r="AV151" i="57"/>
  <c r="AV141" i="57"/>
  <c r="AV112" i="57"/>
  <c r="AV138" i="57"/>
  <c r="AV180" i="57"/>
  <c r="AV164" i="57"/>
  <c r="AV182" i="57"/>
  <c r="AV173" i="57"/>
  <c r="AV125" i="57"/>
  <c r="AV190" i="57"/>
  <c r="AV143" i="57"/>
  <c r="AV119" i="57"/>
  <c r="AV122" i="57"/>
  <c r="AV159" i="57"/>
  <c r="AV149" i="57"/>
  <c r="AV186" i="57"/>
  <c r="AV183" i="57"/>
  <c r="AV178" i="57"/>
  <c r="AV171" i="57"/>
  <c r="AV162" i="57"/>
  <c r="AU116" i="57"/>
  <c r="AS134" i="57"/>
  <c r="AC142" i="57"/>
  <c r="AV144" i="57"/>
  <c r="AS156" i="57"/>
  <c r="AU158" i="57"/>
  <c r="AU179" i="57"/>
  <c r="AU181" i="57"/>
  <c r="AC183" i="57"/>
  <c r="AC136" i="57"/>
  <c r="AC120" i="57"/>
  <c r="AC184" i="57"/>
  <c r="AC158" i="57"/>
  <c r="AC154" i="57"/>
  <c r="AC153" i="57"/>
  <c r="AC148" i="57"/>
  <c r="AC133" i="57"/>
  <c r="AC116" i="57"/>
  <c r="AC186" i="57"/>
  <c r="AC190" i="57"/>
  <c r="AC185" i="57"/>
  <c r="AC179" i="57"/>
  <c r="AC175" i="57"/>
  <c r="AC171" i="57"/>
  <c r="AC167" i="57"/>
  <c r="AC163" i="57"/>
  <c r="AC146" i="57"/>
  <c r="AC130" i="57"/>
  <c r="AC191" i="57"/>
  <c r="AC187" i="57"/>
  <c r="AC180" i="57"/>
  <c r="AC176" i="57"/>
  <c r="AC172" i="57"/>
  <c r="AC168" i="57"/>
  <c r="AC164" i="57"/>
  <c r="AC134" i="57"/>
  <c r="AC111" i="57"/>
  <c r="AC112" i="57"/>
  <c r="AC189" i="57"/>
  <c r="AC145" i="57"/>
  <c r="AC121" i="57"/>
  <c r="AC117" i="57"/>
  <c r="AC108" i="57"/>
  <c r="AC115" i="57"/>
  <c r="AC156" i="57"/>
  <c r="AC137" i="57"/>
  <c r="AC129" i="57"/>
  <c r="AC177" i="57"/>
  <c r="AC170" i="57"/>
  <c r="AC161" i="57"/>
  <c r="AC147" i="57"/>
  <c r="AC118" i="57"/>
  <c r="AC131" i="57"/>
  <c r="AC152" i="57"/>
  <c r="AC169" i="57"/>
  <c r="AC174" i="57"/>
  <c r="AC181" i="57"/>
  <c r="AF114" i="57"/>
  <c r="AC160" i="57"/>
  <c r="AS141" i="57"/>
  <c r="AS125" i="57"/>
  <c r="AS159" i="57"/>
  <c r="AS155" i="57"/>
  <c r="AS138" i="57"/>
  <c r="AS122" i="57"/>
  <c r="AS117" i="57"/>
  <c r="AS111" i="57"/>
  <c r="AS191" i="57"/>
  <c r="AS187" i="57"/>
  <c r="AS180" i="57"/>
  <c r="AS176" i="57"/>
  <c r="AS172" i="57"/>
  <c r="AS168" i="57"/>
  <c r="AS164" i="57"/>
  <c r="AS135" i="57"/>
  <c r="AS119" i="57"/>
  <c r="AS112" i="57"/>
  <c r="AS188" i="57"/>
  <c r="AS181" i="57"/>
  <c r="AS177" i="57"/>
  <c r="AS173" i="57"/>
  <c r="AS169" i="57"/>
  <c r="AS165" i="57"/>
  <c r="AS161" i="57"/>
  <c r="AS139" i="57"/>
  <c r="AS123" i="57"/>
  <c r="AS144" i="57"/>
  <c r="AS136" i="57"/>
  <c r="AS115" i="57"/>
  <c r="AS113" i="57"/>
  <c r="AS185" i="57"/>
  <c r="AS133" i="57"/>
  <c r="AS128" i="57"/>
  <c r="AS109" i="57"/>
  <c r="AS154" i="57"/>
  <c r="AS151" i="57"/>
  <c r="AS175" i="57"/>
  <c r="AS166" i="57"/>
  <c r="AS146" i="57"/>
  <c r="AS182" i="57"/>
  <c r="AS130" i="57"/>
  <c r="AS162" i="57"/>
  <c r="AC124" i="57"/>
  <c r="AS158" i="57"/>
  <c r="AS179" i="57"/>
  <c r="AC125" i="57"/>
  <c r="AU128" i="57"/>
  <c r="AV116" i="57"/>
  <c r="AV128" i="57"/>
  <c r="AV133" i="57"/>
  <c r="AS140" i="57"/>
  <c r="AS148" i="57"/>
  <c r="AU152" i="57"/>
  <c r="AV158" i="57"/>
  <c r="AU167" i="57"/>
  <c r="AV169" i="57"/>
  <c r="AV179" i="57"/>
  <c r="AV187" i="57"/>
  <c r="AC141" i="57"/>
  <c r="AS116" i="57"/>
  <c r="AS132" i="57"/>
  <c r="AC135" i="57"/>
  <c r="AU191" i="57"/>
  <c r="AU187" i="57"/>
  <c r="AU180" i="57"/>
  <c r="AU176" i="57"/>
  <c r="AU172" i="57"/>
  <c r="AU168" i="57"/>
  <c r="AU164" i="57"/>
  <c r="AU135" i="57"/>
  <c r="AU119" i="57"/>
  <c r="AU112" i="57"/>
  <c r="AU160" i="57"/>
  <c r="AU150" i="57"/>
  <c r="AU132" i="57"/>
  <c r="AU145" i="57"/>
  <c r="AU129" i="57"/>
  <c r="AU133" i="57"/>
  <c r="AU108" i="57"/>
  <c r="AU154" i="57"/>
  <c r="AU188" i="57"/>
  <c r="AU190" i="57"/>
  <c r="AU159" i="57"/>
  <c r="AU157" i="57"/>
  <c r="AU138" i="57"/>
  <c r="AU175" i="57"/>
  <c r="AU166" i="57"/>
  <c r="AU151" i="57"/>
  <c r="AU146" i="57"/>
  <c r="AU141" i="57"/>
  <c r="AU122" i="57"/>
  <c r="AU149" i="57"/>
  <c r="AU178" i="57"/>
  <c r="AU182" i="57"/>
  <c r="AU173" i="57"/>
  <c r="AU130" i="57"/>
  <c r="AU125" i="57"/>
  <c r="AU186" i="57"/>
  <c r="AU183" i="57"/>
  <c r="AU144" i="57"/>
  <c r="AC150" i="57"/>
  <c r="AS152" i="57"/>
  <c r="AU162" i="57"/>
  <c r="AC165" i="57"/>
  <c r="AS167" i="57"/>
  <c r="AS174" i="57"/>
  <c r="AS183" i="57"/>
  <c r="AU169" i="57"/>
  <c r="AC109" i="57"/>
  <c r="BD142" i="57"/>
  <c r="BF139" i="57"/>
  <c r="BD126" i="57"/>
  <c r="BF123" i="57"/>
  <c r="BD139" i="57"/>
  <c r="BF136" i="57"/>
  <c r="BD123" i="57"/>
  <c r="BF120" i="57"/>
  <c r="BD136" i="57"/>
  <c r="BF133" i="57"/>
  <c r="BD120" i="57"/>
  <c r="BD140" i="57"/>
  <c r="BF137" i="57"/>
  <c r="BD124" i="57"/>
  <c r="BF121" i="57"/>
  <c r="BF138" i="57"/>
  <c r="BD130" i="57"/>
  <c r="BD122" i="57"/>
  <c r="BF143" i="57"/>
  <c r="BD138" i="57"/>
  <c r="BF119" i="57"/>
  <c r="BD135" i="57"/>
  <c r="BD127" i="57"/>
  <c r="BF124" i="57"/>
  <c r="BD143" i="57"/>
  <c r="BF135" i="57"/>
  <c r="BF127" i="57"/>
  <c r="BD119" i="57"/>
  <c r="BF132" i="57"/>
  <c r="BF122" i="57"/>
  <c r="AU123" i="57"/>
  <c r="AC126" i="57"/>
  <c r="AU134" i="57"/>
  <c r="BD144" i="57"/>
  <c r="AS150" i="57"/>
  <c r="AV152" i="57"/>
  <c r="AU156" i="57"/>
  <c r="AS163" i="57"/>
  <c r="AV167" i="57"/>
  <c r="AS170" i="57"/>
  <c r="AV172" i="57"/>
  <c r="AV174" i="57"/>
  <c r="AC182" i="57"/>
  <c r="AC138" i="57"/>
  <c r="AS124" i="57"/>
  <c r="AC127" i="57"/>
  <c r="AC143" i="57"/>
  <c r="AC157" i="57"/>
  <c r="AC159" i="57"/>
  <c r="AV163" i="57"/>
  <c r="AV165" i="57"/>
  <c r="AV170" i="57"/>
  <c r="P124" i="57"/>
  <c r="P168" i="57"/>
  <c r="P177" i="57"/>
  <c r="P108" i="57"/>
  <c r="P148" i="57"/>
  <c r="P156" i="57"/>
  <c r="P111" i="57"/>
  <c r="AN137" i="57"/>
  <c r="AP134" i="57"/>
  <c r="AN121" i="57"/>
  <c r="AN118" i="57"/>
  <c r="AN134" i="57"/>
  <c r="AP131" i="57"/>
  <c r="AN147" i="57"/>
  <c r="AN131" i="57"/>
  <c r="AN135" i="57"/>
  <c r="AP132" i="57"/>
  <c r="AN119" i="57"/>
  <c r="AD184" i="57"/>
  <c r="AD158" i="57"/>
  <c r="AD154" i="57"/>
  <c r="AD153" i="57"/>
  <c r="AD148" i="57"/>
  <c r="AD133" i="57"/>
  <c r="AD116" i="57"/>
  <c r="AD190" i="57"/>
  <c r="AD185" i="57"/>
  <c r="AD179" i="57"/>
  <c r="AD175" i="57"/>
  <c r="AD171" i="57"/>
  <c r="AD167" i="57"/>
  <c r="AD163" i="57"/>
  <c r="AD146" i="57"/>
  <c r="AD130" i="57"/>
  <c r="AD186" i="57"/>
  <c r="AD149" i="57"/>
  <c r="AD143" i="57"/>
  <c r="AD127" i="57"/>
  <c r="AD110" i="57"/>
  <c r="AD150" i="57"/>
  <c r="AD147" i="57"/>
  <c r="AD131" i="57"/>
  <c r="AD112" i="57"/>
  <c r="AE115" i="57"/>
  <c r="AD118" i="57"/>
  <c r="AP120" i="57"/>
  <c r="AD134" i="57"/>
  <c r="AN139" i="57"/>
  <c r="P143" i="57"/>
  <c r="AE147" i="57"/>
  <c r="AE148" i="57"/>
  <c r="AD161" i="57"/>
  <c r="AD170" i="57"/>
  <c r="AD177" i="57"/>
  <c r="P152" i="57"/>
  <c r="P138" i="57"/>
  <c r="P122" i="57"/>
  <c r="P109" i="57"/>
  <c r="P190" i="57"/>
  <c r="P135" i="57"/>
  <c r="P119" i="57"/>
  <c r="P183" i="57"/>
  <c r="P158" i="57"/>
  <c r="P154" i="57"/>
  <c r="P132" i="57"/>
  <c r="P116" i="57"/>
  <c r="P184" i="57"/>
  <c r="P159" i="57"/>
  <c r="P155" i="57"/>
  <c r="P136" i="57"/>
  <c r="P120" i="57"/>
  <c r="P117" i="57"/>
  <c r="P153" i="57"/>
  <c r="P127" i="57"/>
  <c r="U111" i="57"/>
  <c r="AE190" i="57"/>
  <c r="AE185" i="57"/>
  <c r="AE179" i="57"/>
  <c r="AE175" i="57"/>
  <c r="AE171" i="57"/>
  <c r="AE167" i="57"/>
  <c r="AE163" i="57"/>
  <c r="AE146" i="57"/>
  <c r="AE130" i="57"/>
  <c r="AE186" i="57"/>
  <c r="AE149" i="57"/>
  <c r="AE143" i="57"/>
  <c r="AE127" i="57"/>
  <c r="AE110" i="57"/>
  <c r="AE140" i="57"/>
  <c r="AE124" i="57"/>
  <c r="AE160" i="57"/>
  <c r="AE144" i="57"/>
  <c r="AE128" i="57"/>
  <c r="AE118" i="57"/>
  <c r="AN123" i="57"/>
  <c r="AN126" i="57"/>
  <c r="AD129" i="57"/>
  <c r="AE134" i="57"/>
  <c r="AD137" i="57"/>
  <c r="AP139" i="57"/>
  <c r="AE153" i="57"/>
  <c r="AD156" i="57"/>
  <c r="AE161" i="57"/>
  <c r="P163" i="57"/>
  <c r="AE170" i="57"/>
  <c r="AE177" i="57"/>
  <c r="P179" i="57"/>
  <c r="P161" i="57"/>
  <c r="P170" i="57"/>
  <c r="AD108" i="57"/>
  <c r="AD111" i="57"/>
  <c r="AD117" i="57"/>
  <c r="AD121" i="57"/>
  <c r="AP123" i="57"/>
  <c r="P125" i="57"/>
  <c r="AP126" i="57"/>
  <c r="AE129" i="57"/>
  <c r="AE137" i="57"/>
  <c r="P141" i="57"/>
  <c r="AN142" i="57"/>
  <c r="AD145" i="57"/>
  <c r="AE156" i="57"/>
  <c r="AE158" i="57"/>
  <c r="P165" i="57"/>
  <c r="P172" i="57"/>
  <c r="P174" i="57"/>
  <c r="P181" i="57"/>
  <c r="P187" i="57"/>
  <c r="AD189" i="57"/>
  <c r="N110" i="57"/>
  <c r="AT120" i="57"/>
  <c r="O123" i="57"/>
  <c r="N126" i="57"/>
  <c r="Z127" i="57"/>
  <c r="X130" i="57"/>
  <c r="AT136" i="57"/>
  <c r="O139" i="57"/>
  <c r="N142" i="57"/>
  <c r="Z143" i="57"/>
  <c r="X146" i="57"/>
  <c r="N149" i="57"/>
  <c r="AT151" i="57"/>
  <c r="N153" i="57"/>
  <c r="N185" i="57"/>
  <c r="O186" i="57"/>
  <c r="N122" i="57"/>
  <c r="Z123" i="57"/>
  <c r="X126" i="57"/>
  <c r="AT132" i="57"/>
  <c r="O135" i="57"/>
  <c r="N138" i="57"/>
  <c r="Z139" i="57"/>
  <c r="X142" i="57"/>
  <c r="AT150" i="57"/>
  <c r="N152" i="57"/>
  <c r="AT160" i="57"/>
  <c r="N108" i="57"/>
  <c r="AT112" i="57"/>
  <c r="AT119" i="57"/>
  <c r="O122" i="57"/>
  <c r="N125" i="57"/>
  <c r="Z126" i="57"/>
  <c r="X129" i="57"/>
  <c r="AT135" i="57"/>
  <c r="O138" i="57"/>
  <c r="N141" i="57"/>
  <c r="Z142" i="57"/>
  <c r="X145" i="57"/>
  <c r="O152" i="57"/>
  <c r="N162" i="57"/>
  <c r="AT164" i="57"/>
  <c r="N166" i="57"/>
  <c r="AT168" i="57"/>
  <c r="N170" i="57"/>
  <c r="AT172" i="57"/>
  <c r="N174" i="57"/>
  <c r="AT176" i="57"/>
  <c r="N178" i="57"/>
  <c r="AT180" i="57"/>
  <c r="N182" i="57"/>
  <c r="AT187" i="57"/>
  <c r="N189" i="57"/>
  <c r="AT191" i="57"/>
  <c r="AT122" i="57"/>
  <c r="O125" i="57"/>
  <c r="N128" i="57"/>
  <c r="X132" i="57"/>
  <c r="AT138" i="57"/>
  <c r="O141" i="57"/>
  <c r="N144" i="57"/>
  <c r="AT155" i="57"/>
  <c r="O162" i="57"/>
  <c r="O166" i="57"/>
  <c r="O170" i="57"/>
  <c r="O174" i="57"/>
  <c r="O178" i="57"/>
  <c r="O182" i="57"/>
  <c r="FA343" i="57"/>
  <c r="FB330" i="57"/>
  <c r="FC330" i="57" s="1"/>
  <c r="FB358" i="57"/>
  <c r="FC358" i="57" s="1"/>
  <c r="FB339" i="57"/>
  <c r="FC339" i="57" s="1"/>
  <c r="FA358" i="57"/>
  <c r="FA332" i="57"/>
  <c r="FB344" i="57"/>
  <c r="FC344" i="57" s="1"/>
  <c r="FB346" i="57"/>
  <c r="FC346" i="57" s="1"/>
  <c r="AD75" i="57"/>
  <c r="AE72" i="57"/>
  <c r="AD94" i="57"/>
  <c r="FG218" i="57"/>
  <c r="AE69" i="57"/>
  <c r="AE59" i="57"/>
  <c r="AT85" i="57"/>
  <c r="FB354" i="57"/>
  <c r="FC354" i="57" s="1"/>
  <c r="FI207" i="57"/>
  <c r="FI212" i="57"/>
  <c r="FI215" i="57"/>
  <c r="FG233" i="57"/>
  <c r="AN81" i="57"/>
  <c r="N86" i="57"/>
  <c r="O90" i="57"/>
  <c r="AU95" i="57"/>
  <c r="N98" i="57"/>
  <c r="O101" i="57"/>
  <c r="FB352" i="57"/>
  <c r="FC352" i="57" s="1"/>
  <c r="FI222" i="57"/>
  <c r="FI239" i="57"/>
  <c r="FG203" i="57"/>
  <c r="FI233" i="57"/>
  <c r="AU60" i="57"/>
  <c r="AT63" i="57"/>
  <c r="AE71" i="57"/>
  <c r="AD90" i="57"/>
  <c r="AD101" i="57"/>
  <c r="FA348" i="57"/>
  <c r="FA349" i="57"/>
  <c r="FA350" i="57"/>
  <c r="FG238" i="57"/>
  <c r="AU85" i="57"/>
  <c r="FQ212" i="57"/>
  <c r="FQ215" i="57"/>
  <c r="FG230" i="57"/>
  <c r="AU63" i="57"/>
  <c r="AD65" i="57"/>
  <c r="AU68" i="57"/>
  <c r="AD76" i="57"/>
  <c r="AU86" i="57"/>
  <c r="AE90" i="57"/>
  <c r="AE101" i="57"/>
  <c r="FB350" i="57"/>
  <c r="FC350" i="57" s="1"/>
  <c r="AS85" i="57"/>
  <c r="FG204" i="57"/>
  <c r="FG209" i="57"/>
  <c r="FR212" i="57"/>
  <c r="FR215" i="57"/>
  <c r="FS215" i="57" s="1"/>
  <c r="AE65" i="57"/>
  <c r="AU74" i="57"/>
  <c r="AE76" i="57"/>
  <c r="AU77" i="57"/>
  <c r="AU81" i="57"/>
  <c r="AU82" i="57"/>
  <c r="O87" i="57"/>
  <c r="AD91" i="57"/>
  <c r="AE98" i="57"/>
  <c r="O102" i="57"/>
  <c r="AD97" i="57"/>
  <c r="AD69" i="57"/>
  <c r="AD59" i="57"/>
  <c r="AE82" i="57"/>
  <c r="AD95" i="57"/>
  <c r="FI238" i="57"/>
  <c r="AD81" i="57"/>
  <c r="AE68" i="57"/>
  <c r="AD77" i="57"/>
  <c r="AE105" i="57"/>
  <c r="FI204" i="57"/>
  <c r="FI209" i="57"/>
  <c r="AD61" i="57"/>
  <c r="AU65" i="57"/>
  <c r="AU71" i="57"/>
  <c r="AD87" i="57"/>
  <c r="AE91" i="57"/>
  <c r="AD102" i="57"/>
  <c r="FA341" i="57"/>
  <c r="AE75" i="57"/>
  <c r="AE67" i="57"/>
  <c r="AE94" i="57"/>
  <c r="AD105" i="57"/>
  <c r="FI219" i="57"/>
  <c r="FG225" i="57"/>
  <c r="FI234" i="57"/>
  <c r="AU61" i="57"/>
  <c r="O66" i="57"/>
  <c r="O70" i="57"/>
  <c r="AE73" i="57"/>
  <c r="BD74" i="57"/>
  <c r="AN76" i="57"/>
  <c r="AN79" i="57"/>
  <c r="AE87" i="57"/>
  <c r="AU91" i="57"/>
  <c r="AS96" i="57"/>
  <c r="AU98" i="57"/>
  <c r="AE102" i="57"/>
  <c r="EX323" i="57"/>
  <c r="FB341" i="57"/>
  <c r="FC341" i="57" s="1"/>
  <c r="AE84" i="57"/>
  <c r="FB353" i="57"/>
  <c r="FC353" i="57" s="1"/>
  <c r="FA359" i="57"/>
  <c r="FG207" i="57"/>
  <c r="FG215" i="57"/>
  <c r="AD63" i="57"/>
  <c r="FI205" i="57"/>
  <c r="FG210" i="57"/>
  <c r="FG221" i="57"/>
  <c r="FI225" i="57"/>
  <c r="FG231" i="57"/>
  <c r="FI235" i="57"/>
  <c r="O62" i="57"/>
  <c r="P64" i="57"/>
  <c r="P78" i="57" s="1"/>
  <c r="AS66" i="57"/>
  <c r="AP76" i="57"/>
  <c r="AU80" i="57"/>
  <c r="N88" i="57"/>
  <c r="AU92" i="57"/>
  <c r="AT96" i="57"/>
  <c r="AU102" i="57"/>
  <c r="FA334" i="57"/>
  <c r="FA337" i="57"/>
  <c r="FA342" i="57"/>
  <c r="FA345" i="57"/>
  <c r="AD84" i="57"/>
  <c r="FG237" i="57"/>
  <c r="AD82" i="57"/>
  <c r="AE97" i="57"/>
  <c r="FI218" i="57"/>
  <c r="AE95" i="57"/>
  <c r="AU24" i="57"/>
  <c r="FI210" i="57"/>
  <c r="FQ214" i="57"/>
  <c r="FQ219" i="57"/>
  <c r="FI221" i="57"/>
  <c r="FG226" i="57"/>
  <c r="FI231" i="57"/>
  <c r="AT66" i="57"/>
  <c r="N69" i="57"/>
  <c r="AN73" i="57"/>
  <c r="O83" i="57"/>
  <c r="O88" i="57"/>
  <c r="O93" i="57"/>
  <c r="AU96" i="57"/>
  <c r="O99" i="57"/>
  <c r="FB334" i="57"/>
  <c r="FC334" i="57" s="1"/>
  <c r="FB337" i="57"/>
  <c r="FC337" i="57" s="1"/>
  <c r="FA340" i="57"/>
  <c r="FB342" i="57"/>
  <c r="FC342" i="57" s="1"/>
  <c r="FA354" i="57"/>
  <c r="FB351" i="57"/>
  <c r="FC351" i="57" s="1"/>
  <c r="FA338" i="57"/>
  <c r="FB335" i="57"/>
  <c r="FC335" i="57" s="1"/>
  <c r="FA351" i="57"/>
  <c r="FB348" i="57"/>
  <c r="FC348" i="57" s="1"/>
  <c r="FA335" i="57"/>
  <c r="FB332" i="57"/>
  <c r="FC332" i="57" s="1"/>
  <c r="FA352" i="57"/>
  <c r="FB349" i="57"/>
  <c r="FC349" i="57" s="1"/>
  <c r="FA336" i="57"/>
  <c r="FB333" i="57"/>
  <c r="FC333" i="57" s="1"/>
  <c r="FA347" i="57"/>
  <c r="FB357" i="57"/>
  <c r="FC357" i="57" s="1"/>
  <c r="FA355" i="57"/>
  <c r="FA353" i="57"/>
  <c r="FB336" i="57"/>
  <c r="FC336" i="57" s="1"/>
  <c r="FA330" i="57"/>
  <c r="FB359" i="57"/>
  <c r="FC359" i="57" s="1"/>
  <c r="FA357" i="57"/>
  <c r="FB340" i="57"/>
  <c r="FC340" i="57" s="1"/>
  <c r="FB356" i="57"/>
  <c r="FC356" i="57" s="1"/>
  <c r="FB347" i="57"/>
  <c r="FC347" i="57" s="1"/>
  <c r="FA333" i="57"/>
  <c r="FA356" i="57"/>
  <c r="FB343" i="57"/>
  <c r="FC343" i="57" s="1"/>
  <c r="FA344" i="57"/>
  <c r="FB331" i="57"/>
  <c r="FC331" i="57" s="1"/>
  <c r="FA331" i="57"/>
  <c r="FA339" i="57"/>
  <c r="FB355" i="57"/>
  <c r="FC355" i="57" s="1"/>
  <c r="FB345" i="57"/>
  <c r="FC345" i="57" s="1"/>
  <c r="Z72" i="57"/>
  <c r="X71" i="57"/>
  <c r="Z71" i="57"/>
  <c r="Z75" i="57"/>
  <c r="X79" i="57"/>
  <c r="X78" i="57"/>
  <c r="X68" i="57"/>
  <c r="Z76" i="57"/>
  <c r="Z70" i="57"/>
  <c r="X74" i="57"/>
  <c r="Z78" i="57"/>
  <c r="X77" i="57"/>
  <c r="X76" i="57"/>
  <c r="Z74" i="57"/>
  <c r="X80" i="57"/>
  <c r="X73" i="57"/>
  <c r="Z77" i="57"/>
  <c r="X81" i="57"/>
  <c r="X75" i="57"/>
  <c r="Z73" i="57"/>
  <c r="BD71" i="57"/>
  <c r="BF71" i="57"/>
  <c r="BD70" i="57"/>
  <c r="BD75" i="57"/>
  <c r="BF70" i="57"/>
  <c r="BF75" i="57"/>
  <c r="BD68" i="57"/>
  <c r="BD69" i="57"/>
  <c r="BD81" i="57"/>
  <c r="AV77" i="57"/>
  <c r="AV99" i="57"/>
  <c r="AV74" i="57"/>
  <c r="AV62" i="57"/>
  <c r="AV66" i="57"/>
  <c r="AV73" i="57"/>
  <c r="AV105" i="57"/>
  <c r="AV81" i="57"/>
  <c r="AV78" i="57"/>
  <c r="AV101" i="57"/>
  <c r="AV87" i="57"/>
  <c r="AV63" i="57"/>
  <c r="M95" i="57"/>
  <c r="M61" i="57"/>
  <c r="M89" i="57"/>
  <c r="M74" i="57"/>
  <c r="M91" i="57"/>
  <c r="M73" i="57"/>
  <c r="M63" i="57"/>
  <c r="M88" i="57"/>
  <c r="M97" i="57"/>
  <c r="M84" i="57"/>
  <c r="M67" i="57"/>
  <c r="AC97" i="57"/>
  <c r="AC91" i="57"/>
  <c r="AC76" i="57"/>
  <c r="AC60" i="57"/>
  <c r="AC100" i="57"/>
  <c r="AC66" i="57"/>
  <c r="AC98" i="57"/>
  <c r="AC73" i="57"/>
  <c r="AC104" i="57"/>
  <c r="AC99" i="57"/>
  <c r="AC86" i="57"/>
  <c r="AC70" i="57"/>
  <c r="AC105" i="57"/>
  <c r="AC101" i="57"/>
  <c r="AC87" i="57"/>
  <c r="AC74" i="57"/>
  <c r="AC62" i="57"/>
  <c r="AC71" i="57"/>
  <c r="AC68" i="57"/>
  <c r="AC67" i="57"/>
  <c r="AC83" i="57"/>
  <c r="AC75" i="57"/>
  <c r="AC85" i="57"/>
  <c r="AC79" i="57"/>
  <c r="AC102" i="57"/>
  <c r="AC92" i="57"/>
  <c r="AC90" i="57"/>
  <c r="AC88" i="57"/>
  <c r="AC78" i="57"/>
  <c r="AC94" i="57"/>
  <c r="AC81" i="57"/>
  <c r="AC69" i="57"/>
  <c r="AC58" i="57"/>
  <c r="AC84" i="57"/>
  <c r="AC77" i="57"/>
  <c r="AC65" i="57"/>
  <c r="AC80" i="57"/>
  <c r="AC72" i="57"/>
  <c r="AC61" i="57"/>
  <c r="AC93" i="57"/>
  <c r="AC59" i="57"/>
  <c r="AC96" i="57"/>
  <c r="AC82" i="57"/>
  <c r="AC89" i="57"/>
  <c r="AC103" i="57"/>
  <c r="AC95" i="57"/>
  <c r="AS92" i="57"/>
  <c r="AS81" i="57"/>
  <c r="AS61" i="57"/>
  <c r="AS83" i="57"/>
  <c r="AS72" i="57"/>
  <c r="AS67" i="57"/>
  <c r="AS78" i="57"/>
  <c r="AS62" i="57"/>
  <c r="AS105" i="57"/>
  <c r="AS101" i="57"/>
  <c r="AS88" i="57"/>
  <c r="AS87" i="57"/>
  <c r="AS75" i="57"/>
  <c r="AS102" i="57"/>
  <c r="AS84" i="57"/>
  <c r="AS79" i="57"/>
  <c r="AS76" i="57"/>
  <c r="AS58" i="57"/>
  <c r="AS74" i="57"/>
  <c r="AT78" i="57"/>
  <c r="AT62" i="57"/>
  <c r="AT93" i="57"/>
  <c r="AT89" i="57"/>
  <c r="AT69" i="57"/>
  <c r="AT105" i="57"/>
  <c r="AT101" i="57"/>
  <c r="AT88" i="57"/>
  <c r="AT87" i="57"/>
  <c r="AT75" i="57"/>
  <c r="AT83" i="57"/>
  <c r="AT72" i="57"/>
  <c r="AT76" i="57"/>
  <c r="AT58" i="57"/>
  <c r="AT94" i="57"/>
  <c r="AT90" i="57"/>
  <c r="AT73" i="57"/>
  <c r="AT99" i="57"/>
  <c r="AS82" i="57"/>
  <c r="AS91" i="57"/>
  <c r="AS93" i="57"/>
  <c r="AS103" i="57"/>
  <c r="AS59" i="57"/>
  <c r="AV68" i="57"/>
  <c r="AS104" i="57"/>
  <c r="AS60" i="57"/>
  <c r="AT65" i="57"/>
  <c r="M68" i="57"/>
  <c r="AV76" i="57"/>
  <c r="N80" i="57"/>
  <c r="M87" i="57"/>
  <c r="AS94" i="57"/>
  <c r="AS97" i="57"/>
  <c r="AT100" i="57"/>
  <c r="AT104" i="57"/>
  <c r="AT60" i="57"/>
  <c r="AD98" i="57"/>
  <c r="AD73" i="57"/>
  <c r="AD66" i="57"/>
  <c r="AD92" i="57"/>
  <c r="AD80" i="57"/>
  <c r="AD104" i="57"/>
  <c r="AD99" i="57"/>
  <c r="AD86" i="57"/>
  <c r="AD70" i="57"/>
  <c r="AD60" i="57"/>
  <c r="AD100" i="57"/>
  <c r="AD71" i="57"/>
  <c r="AD68" i="57"/>
  <c r="AD67" i="57"/>
  <c r="AD93" i="57"/>
  <c r="AD89" i="57"/>
  <c r="AD88" i="57"/>
  <c r="AD83" i="57"/>
  <c r="AD74" i="57"/>
  <c r="AE74" i="57"/>
  <c r="AT77" i="57"/>
  <c r="AD79" i="57"/>
  <c r="AT81" i="57"/>
  <c r="AD85" i="57"/>
  <c r="AS90" i="57"/>
  <c r="M93" i="57"/>
  <c r="AV100" i="57"/>
  <c r="AS99" i="57"/>
  <c r="AT74" i="57"/>
  <c r="AS70" i="57"/>
  <c r="AT70" i="57"/>
  <c r="AT82" i="57"/>
  <c r="AT91" i="57"/>
  <c r="AS95" i="57"/>
  <c r="AT59" i="57"/>
  <c r="AT61" i="57"/>
  <c r="M94" i="57"/>
  <c r="M90" i="57"/>
  <c r="M71" i="57"/>
  <c r="M59" i="57"/>
  <c r="M78" i="57"/>
  <c r="M65" i="57"/>
  <c r="M58" i="57"/>
  <c r="M103" i="57"/>
  <c r="M85" i="57"/>
  <c r="M81" i="57"/>
  <c r="M104" i="57"/>
  <c r="M98" i="57"/>
  <c r="M86" i="57"/>
  <c r="M69" i="57"/>
  <c r="M60" i="57"/>
  <c r="M99" i="57"/>
  <c r="M82" i="57"/>
  <c r="M66" i="57"/>
  <c r="AV83" i="57"/>
  <c r="AV72" i="57"/>
  <c r="AV67" i="57"/>
  <c r="AV102" i="57"/>
  <c r="AV84" i="57"/>
  <c r="AV79" i="57"/>
  <c r="AV93" i="57"/>
  <c r="AV89" i="57"/>
  <c r="AV69" i="57"/>
  <c r="AV82" i="57"/>
  <c r="AV70" i="57"/>
  <c r="AV103" i="57"/>
  <c r="AV96" i="57"/>
  <c r="AV95" i="57"/>
  <c r="AV85" i="57"/>
  <c r="AV59" i="57"/>
  <c r="M70" i="57"/>
  <c r="AS71" i="57"/>
  <c r="AT79" i="57"/>
  <c r="AS89" i="57"/>
  <c r="AT95" i="57"/>
  <c r="M102" i="57"/>
  <c r="N58" i="57"/>
  <c r="N65" i="57"/>
  <c r="N96" i="57"/>
  <c r="N95" i="57"/>
  <c r="N91" i="57"/>
  <c r="N75" i="57"/>
  <c r="N103" i="57"/>
  <c r="N85" i="57"/>
  <c r="N81" i="57"/>
  <c r="N59" i="57"/>
  <c r="N78" i="57"/>
  <c r="N99" i="57"/>
  <c r="N82" i="57"/>
  <c r="N66" i="57"/>
  <c r="N100" i="57"/>
  <c r="N92" i="57"/>
  <c r="N79" i="57"/>
  <c r="N70" i="57"/>
  <c r="AT71" i="57"/>
  <c r="AV75" i="57"/>
  <c r="M79" i="57"/>
  <c r="N90" i="57"/>
  <c r="AV91" i="57"/>
  <c r="M100" i="57"/>
  <c r="N102" i="57"/>
  <c r="N104" i="57"/>
  <c r="N60" i="57"/>
  <c r="AV61" i="57"/>
  <c r="AS68" i="57"/>
  <c r="AS86" i="57"/>
  <c r="M92" i="57"/>
  <c r="AS98" i="57"/>
  <c r="BA61" i="57"/>
  <c r="AT68" i="57"/>
  <c r="AV71" i="57"/>
  <c r="M75" i="57"/>
  <c r="AT86" i="57"/>
  <c r="AT98" i="57"/>
  <c r="M62" i="57"/>
  <c r="N71" i="57"/>
  <c r="AS80" i="57"/>
  <c r="M83" i="57"/>
  <c r="AT84" i="57"/>
  <c r="M96" i="57"/>
  <c r="N62" i="57"/>
  <c r="AS65" i="57"/>
  <c r="AT67" i="57"/>
  <c r="M80" i="57"/>
  <c r="AT80" i="57"/>
  <c r="N83" i="57"/>
  <c r="AV86" i="57"/>
  <c r="AT92" i="57"/>
  <c r="AV98" i="57"/>
  <c r="AS100" i="57"/>
  <c r="AN77" i="57"/>
  <c r="AP74" i="57"/>
  <c r="AN68" i="57"/>
  <c r="AN74" i="57"/>
  <c r="AP71" i="57"/>
  <c r="AN71" i="57"/>
  <c r="AN75" i="57"/>
  <c r="AP72" i="57"/>
  <c r="AN72" i="57"/>
  <c r="N68" i="57"/>
  <c r="AN69" i="57"/>
  <c r="M76" i="57"/>
  <c r="AS77" i="57"/>
  <c r="AN78" i="57"/>
  <c r="AV80" i="57"/>
  <c r="N87" i="57"/>
  <c r="AV88" i="57"/>
  <c r="AV92" i="57"/>
  <c r="AV94" i="57"/>
  <c r="AD96" i="57"/>
  <c r="AT97" i="57"/>
  <c r="AT102" i="57"/>
  <c r="AV58" i="57"/>
  <c r="AE104" i="57"/>
  <c r="AE99" i="57"/>
  <c r="AE86" i="57"/>
  <c r="AE70" i="57"/>
  <c r="AE60" i="57"/>
  <c r="AE77" i="57"/>
  <c r="AE63" i="57"/>
  <c r="AE61" i="57"/>
  <c r="AE100" i="57"/>
  <c r="AE66" i="57"/>
  <c r="AE92" i="57"/>
  <c r="AE80" i="57"/>
  <c r="AE93" i="57"/>
  <c r="AE89" i="57"/>
  <c r="AE88" i="57"/>
  <c r="AE83" i="57"/>
  <c r="AE81" i="57"/>
  <c r="AV65" i="57"/>
  <c r="M72" i="57"/>
  <c r="AV60" i="57"/>
  <c r="AD62" i="57"/>
  <c r="AS63" i="57"/>
  <c r="AF64" i="57"/>
  <c r="N72" i="57"/>
  <c r="AS73" i="57"/>
  <c r="M77" i="57"/>
  <c r="AE79" i="57"/>
  <c r="AE85" i="57"/>
  <c r="AV90" i="57"/>
  <c r="N93" i="57"/>
  <c r="AV97" i="57"/>
  <c r="M101" i="57"/>
  <c r="M105" i="57"/>
  <c r="AU70" i="57"/>
  <c r="BF74" i="57"/>
  <c r="O76" i="57"/>
  <c r="BD77" i="57"/>
  <c r="X70" i="57"/>
  <c r="AU73" i="57"/>
  <c r="BF77" i="57"/>
  <c r="O79" i="57"/>
  <c r="BD80" i="57"/>
  <c r="AU90" i="57"/>
  <c r="O92" i="57"/>
  <c r="AU94" i="57"/>
  <c r="O100" i="57"/>
  <c r="AU69" i="57"/>
  <c r="O75" i="57"/>
  <c r="BD76" i="57"/>
  <c r="X82" i="57"/>
  <c r="AU89" i="57"/>
  <c r="O91" i="57"/>
  <c r="AU93" i="57"/>
  <c r="O95" i="57"/>
  <c r="O96" i="57"/>
  <c r="O65" i="57"/>
  <c r="AU67" i="57"/>
  <c r="X69" i="57"/>
  <c r="AU72" i="57"/>
  <c r="BF76" i="57"/>
  <c r="O78" i="57"/>
  <c r="BD79" i="57"/>
  <c r="AU83" i="57"/>
  <c r="O72" i="57"/>
  <c r="O97" i="57"/>
  <c r="O59" i="57"/>
  <c r="AU75" i="57"/>
  <c r="O81" i="57"/>
  <c r="O85" i="57"/>
  <c r="AU87" i="57"/>
  <c r="AU88" i="57"/>
  <c r="AU101" i="57"/>
  <c r="FA214" i="57"/>
  <c r="FB214" i="57"/>
  <c r="FC214" i="57" s="1"/>
  <c r="FH212" i="57"/>
  <c r="FH230" i="57"/>
  <c r="FH233" i="57"/>
  <c r="FH209" i="57"/>
  <c r="FH218" i="57"/>
  <c r="FH225" i="57"/>
  <c r="FH215" i="57"/>
  <c r="FH236" i="57"/>
  <c r="FH237" i="57"/>
  <c r="FH226" i="57"/>
  <c r="FH206" i="57"/>
  <c r="FH210" i="57"/>
  <c r="FH202" i="57"/>
  <c r="FH221" i="57"/>
  <c r="FH238" i="57"/>
  <c r="FH203" i="57"/>
  <c r="FH228" i="57"/>
  <c r="FH231" i="57"/>
  <c r="FG234" i="57"/>
  <c r="FH204" i="57"/>
  <c r="FH207" i="57"/>
  <c r="FH217" i="57"/>
  <c r="FH222" i="57"/>
  <c r="FG229" i="57"/>
  <c r="FH234" i="57"/>
  <c r="FH229" i="57"/>
  <c r="FH220" i="57"/>
  <c r="FG205" i="57"/>
  <c r="FH213" i="57"/>
  <c r="FQ222" i="57"/>
  <c r="FG232" i="57"/>
  <c r="FH205" i="57"/>
  <c r="FG212" i="57"/>
  <c r="FR222" i="57"/>
  <c r="FS222" i="57" s="1"/>
  <c r="FH224" i="57"/>
  <c r="FH232" i="57"/>
  <c r="EX205" i="57"/>
  <c r="FA217" i="57"/>
  <c r="FB217" i="57"/>
  <c r="FC217" i="57" s="1"/>
  <c r="FF229" i="57"/>
  <c r="FF214" i="57"/>
  <c r="FF204" i="57"/>
  <c r="FF207" i="57"/>
  <c r="FF221" i="57"/>
  <c r="FF230" i="57"/>
  <c r="FF232" i="57"/>
  <c r="FF238" i="57"/>
  <c r="FF237" i="57"/>
  <c r="FF203" i="57"/>
  <c r="FF234" i="57"/>
  <c r="FF209" i="57"/>
  <c r="FF215" i="57"/>
  <c r="FF218" i="57"/>
  <c r="FA221" i="57"/>
  <c r="FB218" i="57"/>
  <c r="FC218" i="57" s="1"/>
  <c r="FA218" i="57"/>
  <c r="FB215" i="57"/>
  <c r="FC215" i="57" s="1"/>
  <c r="FB212" i="57"/>
  <c r="FC212" i="57" s="1"/>
  <c r="FA215" i="57"/>
  <c r="FA212" i="57"/>
  <c r="FB222" i="57"/>
  <c r="FC222" i="57" s="1"/>
  <c r="FA222" i="57"/>
  <c r="FB219" i="57"/>
  <c r="FC219" i="57" s="1"/>
  <c r="FA219" i="57"/>
  <c r="FB216" i="57"/>
  <c r="FC216" i="57" s="1"/>
  <c r="FA216" i="57"/>
  <c r="FB213" i="57"/>
  <c r="FC213" i="57" s="1"/>
  <c r="FA213" i="57"/>
  <c r="FF226" i="57"/>
  <c r="FF205" i="57"/>
  <c r="FF222" i="57"/>
  <c r="FF206" i="57"/>
  <c r="FF239" i="57"/>
  <c r="FF235" i="57"/>
  <c r="FF219" i="57"/>
  <c r="FF216" i="57"/>
  <c r="FF211" i="57"/>
  <c r="FF240" i="57"/>
  <c r="FF227" i="57"/>
  <c r="FF223" i="57"/>
  <c r="FF213" i="57"/>
  <c r="FF236" i="57"/>
  <c r="FF220" i="57"/>
  <c r="FF202" i="57"/>
  <c r="FF228" i="57"/>
  <c r="FF224" i="57"/>
  <c r="FF217" i="57"/>
  <c r="FF210" i="57"/>
  <c r="FA220" i="57"/>
  <c r="FF225" i="57"/>
  <c r="FF212" i="57"/>
  <c r="FB220" i="57"/>
  <c r="FC220" i="57" s="1"/>
  <c r="FB221" i="57"/>
  <c r="FC221" i="57" s="1"/>
  <c r="FF233" i="57"/>
  <c r="FG214" i="57"/>
  <c r="FI203" i="57"/>
  <c r="FH214" i="57"/>
  <c r="FG217" i="57"/>
  <c r="FR218" i="57"/>
  <c r="FS218" i="57" s="1"/>
  <c r="FQ221" i="57"/>
  <c r="FG224" i="57"/>
  <c r="FG228" i="57"/>
  <c r="FI229" i="57"/>
  <c r="FI230" i="57"/>
  <c r="FI237" i="57"/>
  <c r="FG202" i="57"/>
  <c r="FI214" i="57"/>
  <c r="FG220" i="57"/>
  <c r="FI217" i="57"/>
  <c r="FI224" i="57"/>
  <c r="FI228" i="57"/>
  <c r="FG236" i="57"/>
  <c r="FI202" i="57"/>
  <c r="FI220" i="57"/>
  <c r="FG213" i="57"/>
  <c r="FR214" i="57"/>
  <c r="FQ217" i="57"/>
  <c r="FG223" i="57"/>
  <c r="FG227" i="57"/>
  <c r="FI236" i="57"/>
  <c r="FG240" i="57"/>
  <c r="FG211" i="57"/>
  <c r="FG216" i="57"/>
  <c r="FR217" i="57"/>
  <c r="FS217" i="57" s="1"/>
  <c r="FQ220" i="57"/>
  <c r="FH223" i="57"/>
  <c r="FH227" i="57"/>
  <c r="FH240" i="57"/>
  <c r="FH211" i="57"/>
  <c r="FI213" i="57"/>
  <c r="FH216" i="57"/>
  <c r="FG219" i="57"/>
  <c r="FR220" i="57"/>
  <c r="FS220" i="57" s="1"/>
  <c r="FI223" i="57"/>
  <c r="FI227" i="57"/>
  <c r="FG235" i="57"/>
  <c r="FG239" i="57"/>
  <c r="FI240" i="57"/>
  <c r="FG206" i="57"/>
  <c r="FI211" i="57"/>
  <c r="FI216" i="57"/>
  <c r="FH219" i="57"/>
  <c r="FH235" i="57"/>
  <c r="FB245" i="57"/>
  <c r="FC245" i="57" s="1"/>
  <c r="FA248" i="57"/>
  <c r="FB261" i="57"/>
  <c r="FC261" i="57" s="1"/>
  <c r="FA264" i="57"/>
  <c r="FA254" i="57"/>
  <c r="FB267" i="57"/>
  <c r="FC267" i="57" s="1"/>
  <c r="FA270" i="57"/>
  <c r="FB257" i="57"/>
  <c r="FC257" i="57" s="1"/>
  <c r="FA260" i="57"/>
  <c r="FB273" i="57"/>
  <c r="FC273" i="57" s="1"/>
  <c r="FB247" i="57"/>
  <c r="FC247" i="57" s="1"/>
  <c r="FA250" i="57"/>
  <c r="FB263" i="57"/>
  <c r="FC263" i="57" s="1"/>
  <c r="FA266" i="57"/>
  <c r="FB250" i="57"/>
  <c r="FC250" i="57" s="1"/>
  <c r="FA253" i="57"/>
  <c r="FB266" i="57"/>
  <c r="FC266" i="57" s="1"/>
  <c r="FA269" i="57"/>
  <c r="FB256" i="57"/>
  <c r="FC256" i="57" s="1"/>
  <c r="FA259" i="57"/>
  <c r="AI118" i="35"/>
  <c r="AK397" i="35"/>
  <c r="AK389" i="35"/>
  <c r="AK341" i="35"/>
  <c r="E188" i="35"/>
  <c r="E164" i="35"/>
  <c r="E153" i="35"/>
  <c r="AK365" i="35"/>
  <c r="AK339" i="35"/>
  <c r="U336" i="35"/>
  <c r="T295" i="35"/>
  <c r="T275" i="35"/>
  <c r="T254" i="35"/>
  <c r="E187" i="35"/>
  <c r="E152" i="35"/>
  <c r="AK395" i="35"/>
  <c r="AJ367" i="35"/>
  <c r="AK388" i="35"/>
  <c r="AJ388" i="35"/>
  <c r="U115" i="35"/>
  <c r="AJ384" i="35"/>
  <c r="AK363" i="35"/>
  <c r="AK347" i="35"/>
  <c r="AK342" i="35"/>
  <c r="AJ271" i="35"/>
  <c r="T263" i="35"/>
  <c r="T257" i="35"/>
  <c r="T247" i="35"/>
  <c r="E170" i="35"/>
  <c r="E107" i="35"/>
  <c r="AI95" i="35"/>
  <c r="AK354" i="35"/>
  <c r="U112" i="35"/>
  <c r="AJ364" i="35"/>
  <c r="T244" i="35"/>
  <c r="E159" i="35"/>
  <c r="AJ392" i="35"/>
  <c r="AJ337" i="35"/>
  <c r="AK325" i="35"/>
  <c r="AJ301" i="35"/>
  <c r="T260" i="35"/>
  <c r="S247" i="35"/>
  <c r="F134" i="35"/>
  <c r="AI246" i="35"/>
  <c r="AK370" i="35"/>
  <c r="AI162" i="35"/>
  <c r="U109" i="35"/>
  <c r="E189" i="35"/>
  <c r="AK394" i="35"/>
  <c r="AK393" i="35"/>
  <c r="AK344" i="35"/>
  <c r="AK386" i="35"/>
  <c r="AK380" i="35"/>
  <c r="AK350" i="35"/>
  <c r="AJ320" i="35"/>
  <c r="U301" i="35"/>
  <c r="T271" i="35"/>
  <c r="N244" i="35"/>
  <c r="T239" i="35"/>
  <c r="T229" i="35"/>
  <c r="D185" i="35"/>
  <c r="E147" i="35"/>
  <c r="D352" i="35"/>
  <c r="AI198" i="35"/>
  <c r="AI196" i="35"/>
  <c r="E294" i="35"/>
  <c r="AT330" i="35"/>
  <c r="AT322" i="35"/>
  <c r="T119" i="35"/>
  <c r="AI374" i="35"/>
  <c r="D363" i="35"/>
  <c r="AT339" i="35"/>
  <c r="AI207" i="35"/>
  <c r="AK129" i="35"/>
  <c r="AK392" i="35"/>
  <c r="AK372" i="35"/>
  <c r="AK362" i="35"/>
  <c r="AK333" i="35"/>
  <c r="AT325" i="35"/>
  <c r="AK307" i="35"/>
  <c r="E207" i="35"/>
  <c r="N172" i="35"/>
  <c r="U129" i="35"/>
  <c r="U118" i="35"/>
  <c r="U116" i="35"/>
  <c r="S105" i="35"/>
  <c r="D346" i="35"/>
  <c r="D277" i="35"/>
  <c r="C299" i="35"/>
  <c r="U128" i="35"/>
  <c r="AK126" i="35"/>
  <c r="AK360" i="35"/>
  <c r="AK349" i="35"/>
  <c r="AT255" i="35"/>
  <c r="AI205" i="35"/>
  <c r="E151" i="35"/>
  <c r="U126" i="35"/>
  <c r="U108" i="35"/>
  <c r="AK368" i="35"/>
  <c r="AT340" i="35"/>
  <c r="AK331" i="35"/>
  <c r="AK287" i="35"/>
  <c r="U210" i="35"/>
  <c r="E205" i="35"/>
  <c r="T170" i="35"/>
  <c r="E169" i="35"/>
  <c r="E163" i="35"/>
  <c r="E160" i="35"/>
  <c r="N157" i="35"/>
  <c r="T140" i="35"/>
  <c r="U125" i="35"/>
  <c r="U98" i="35"/>
  <c r="AT338" i="35"/>
  <c r="AT316" i="35"/>
  <c r="AK93" i="35"/>
  <c r="D364" i="35"/>
  <c r="E299" i="35"/>
  <c r="U119" i="35"/>
  <c r="D388" i="35"/>
  <c r="AT352" i="35"/>
  <c r="U133" i="35"/>
  <c r="AT346" i="35"/>
  <c r="U103" i="35"/>
  <c r="AK385" i="35"/>
  <c r="AJ259" i="35"/>
  <c r="AK382" i="35"/>
  <c r="D368" i="35"/>
  <c r="AK337" i="35"/>
  <c r="AT334" i="35"/>
  <c r="AT326" i="35"/>
  <c r="E204" i="35"/>
  <c r="E177" i="35"/>
  <c r="N154" i="35"/>
  <c r="U138" i="35"/>
  <c r="U132" i="35"/>
  <c r="U124" i="35"/>
  <c r="U111" i="35"/>
  <c r="U100" i="35"/>
  <c r="S134" i="35"/>
  <c r="D389" i="35"/>
  <c r="AT351" i="35"/>
  <c r="C277" i="35"/>
  <c r="C276" i="35"/>
  <c r="AT249" i="35"/>
  <c r="AT236" i="35"/>
  <c r="AK114" i="35"/>
  <c r="AK369" i="35"/>
  <c r="V210" i="35"/>
  <c r="D382" i="35"/>
  <c r="D286" i="35"/>
  <c r="E210" i="35"/>
  <c r="E203" i="35"/>
  <c r="E176" i="35"/>
  <c r="AT165" i="35"/>
  <c r="T164" i="35"/>
  <c r="T147" i="35"/>
  <c r="U137" i="35"/>
  <c r="U114" i="35"/>
  <c r="AT335" i="35"/>
  <c r="C228" i="35"/>
  <c r="U130" i="35"/>
  <c r="AT345" i="35"/>
  <c r="AT231" i="35"/>
  <c r="U140" i="35"/>
  <c r="AK381" i="35"/>
  <c r="AK367" i="35"/>
  <c r="AK353" i="35"/>
  <c r="AD343" i="35"/>
  <c r="AK315" i="35"/>
  <c r="E285" i="35"/>
  <c r="N252" i="35"/>
  <c r="E184" i="35"/>
  <c r="N161" i="35"/>
  <c r="E154" i="35"/>
  <c r="AK135" i="35"/>
  <c r="AK115" i="35"/>
  <c r="T131" i="35"/>
  <c r="T127" i="35"/>
  <c r="T120" i="35"/>
  <c r="T114" i="35"/>
  <c r="E381" i="35"/>
  <c r="D342" i="35"/>
  <c r="E323" i="35"/>
  <c r="D307" i="35"/>
  <c r="D299" i="35"/>
  <c r="F286" i="35"/>
  <c r="D276" i="35"/>
  <c r="D175" i="35"/>
  <c r="D117" i="35"/>
  <c r="S114" i="35"/>
  <c r="T111" i="35"/>
  <c r="D107" i="35"/>
  <c r="S95" i="35"/>
  <c r="F285" i="35"/>
  <c r="AT244" i="35"/>
  <c r="AJ216" i="35"/>
  <c r="U193" i="35"/>
  <c r="AK184" i="35"/>
  <c r="AJ165" i="35"/>
  <c r="T137" i="35"/>
  <c r="S130" i="35"/>
  <c r="AK387" i="35"/>
  <c r="AK377" i="35"/>
  <c r="D324" i="35"/>
  <c r="AK322" i="35"/>
  <c r="U293" i="35"/>
  <c r="AT257" i="35"/>
  <c r="F230" i="35"/>
  <c r="AI214" i="35"/>
  <c r="AK209" i="35"/>
  <c r="T193" i="35"/>
  <c r="AI184" i="35"/>
  <c r="T154" i="35"/>
  <c r="AK143" i="35"/>
  <c r="U136" i="35"/>
  <c r="D229" i="35"/>
  <c r="AK145" i="35"/>
  <c r="T138" i="35"/>
  <c r="F284" i="35"/>
  <c r="D227" i="35"/>
  <c r="E230" i="35"/>
  <c r="D214" i="35"/>
  <c r="U204" i="35"/>
  <c r="T184" i="35"/>
  <c r="AJ162" i="35"/>
  <c r="T136" i="35"/>
  <c r="U106" i="35"/>
  <c r="U102" i="35"/>
  <c r="T118" i="35"/>
  <c r="AK398" i="35"/>
  <c r="AK384" i="35"/>
  <c r="D376" i="35"/>
  <c r="AK366" i="35"/>
  <c r="AK359" i="35"/>
  <c r="AD345" i="35"/>
  <c r="AK338" i="35"/>
  <c r="AK329" i="35"/>
  <c r="E328" i="35"/>
  <c r="AK316" i="35"/>
  <c r="AK313" i="35"/>
  <c r="AK301" i="35"/>
  <c r="F296" i="35"/>
  <c r="D281" i="35"/>
  <c r="C269" i="35"/>
  <c r="AT248" i="35"/>
  <c r="N237" i="35"/>
  <c r="D231" i="35"/>
  <c r="AK213" i="35"/>
  <c r="AI189" i="35"/>
  <c r="AJ183" i="35"/>
  <c r="D164" i="35"/>
  <c r="T132" i="35"/>
  <c r="U107" i="35"/>
  <c r="T100" i="35"/>
  <c r="AK169" i="35"/>
  <c r="D328" i="35"/>
  <c r="E296" i="35"/>
  <c r="D291" i="35"/>
  <c r="C281" i="35"/>
  <c r="C231" i="35"/>
  <c r="T213" i="35"/>
  <c r="AK208" i="35"/>
  <c r="D204" i="35"/>
  <c r="U189" i="35"/>
  <c r="AJ177" i="35"/>
  <c r="U155" i="35"/>
  <c r="D151" i="35"/>
  <c r="T128" i="35"/>
  <c r="U117" i="35"/>
  <c r="T107" i="35"/>
  <c r="F294" i="35"/>
  <c r="AT250" i="35"/>
  <c r="AK205" i="35"/>
  <c r="AJ158" i="35"/>
  <c r="AJ145" i="35"/>
  <c r="T103" i="35"/>
  <c r="C302" i="35"/>
  <c r="F281" i="35"/>
  <c r="AT241" i="35"/>
  <c r="AT238" i="35"/>
  <c r="C230" i="35"/>
  <c r="T204" i="35"/>
  <c r="AJ192" i="35"/>
  <c r="S136" i="35"/>
  <c r="T123" i="35"/>
  <c r="T116" i="35"/>
  <c r="E397" i="35"/>
  <c r="AK383" i="35"/>
  <c r="AK374" i="35"/>
  <c r="AK364" i="35"/>
  <c r="T358" i="35"/>
  <c r="E341" i="35"/>
  <c r="E337" i="35"/>
  <c r="AT317" i="35"/>
  <c r="AI301" i="35"/>
  <c r="D296" i="35"/>
  <c r="C291" i="35"/>
  <c r="F280" i="35"/>
  <c r="D268" i="35"/>
  <c r="U257" i="35"/>
  <c r="AD254" i="35"/>
  <c r="AT242" i="35"/>
  <c r="D221" i="35"/>
  <c r="T189" i="35"/>
  <c r="AK182" i="35"/>
  <c r="AI177" i="35"/>
  <c r="AJ150" i="35"/>
  <c r="T135" i="35"/>
  <c r="D128" i="35"/>
  <c r="U122" i="35"/>
  <c r="T117" i="35"/>
  <c r="U110" i="35"/>
  <c r="S107" i="35"/>
  <c r="AT256" i="35"/>
  <c r="AK158" i="35"/>
  <c r="E324" i="35"/>
  <c r="D341" i="35"/>
  <c r="D337" i="35"/>
  <c r="E319" i="35"/>
  <c r="E280" i="35"/>
  <c r="AT258" i="35"/>
  <c r="AK211" i="35"/>
  <c r="D203" i="35"/>
  <c r="D181" i="35"/>
  <c r="V177" i="35"/>
  <c r="T169" i="35"/>
  <c r="T122" i="35"/>
  <c r="T97" i="35"/>
  <c r="AK206" i="35"/>
  <c r="T125" i="35"/>
  <c r="AK168" i="35"/>
  <c r="E376" i="35"/>
  <c r="D340" i="35"/>
  <c r="D397" i="35"/>
  <c r="D358" i="35"/>
  <c r="T349" i="35"/>
  <c r="AK396" i="35"/>
  <c r="E382" i="35"/>
  <c r="AK373" i="35"/>
  <c r="E364" i="35"/>
  <c r="AK357" i="35"/>
  <c r="AK343" i="35"/>
  <c r="D319" i="35"/>
  <c r="AK317" i="35"/>
  <c r="E309" i="35"/>
  <c r="U254" i="35"/>
  <c r="N232" i="35"/>
  <c r="D199" i="35"/>
  <c r="U177" i="35"/>
  <c r="E158" i="35"/>
  <c r="D154" i="35"/>
  <c r="U131" i="35"/>
  <c r="U127" i="35"/>
  <c r="S122" i="35"/>
  <c r="S169" i="35"/>
  <c r="S200" i="35"/>
  <c r="S152" i="35"/>
  <c r="S172" i="35"/>
  <c r="V233" i="35"/>
  <c r="V261" i="35"/>
  <c r="V257" i="35"/>
  <c r="V223" i="35"/>
  <c r="V242" i="35"/>
  <c r="V301" i="35"/>
  <c r="V237" i="35"/>
  <c r="V273" i="35"/>
  <c r="V244" i="35"/>
  <c r="V263" i="35"/>
  <c r="V275" i="35"/>
  <c r="V254" i="35"/>
  <c r="V251" i="35"/>
  <c r="V283" i="35"/>
  <c r="V290" i="35"/>
  <c r="V292" i="35"/>
  <c r="V297" i="35"/>
  <c r="E131" i="35"/>
  <c r="D102" i="35"/>
  <c r="D134" i="35"/>
  <c r="E104" i="35"/>
  <c r="T348" i="35"/>
  <c r="U161" i="35"/>
  <c r="T197" i="35"/>
  <c r="D136" i="35"/>
  <c r="N253" i="35"/>
  <c r="T216" i="35"/>
  <c r="U209" i="35"/>
  <c r="D126" i="35"/>
  <c r="AI122" i="35"/>
  <c r="D105" i="35"/>
  <c r="E391" i="35"/>
  <c r="U386" i="35"/>
  <c r="E380" i="35"/>
  <c r="E367" i="35"/>
  <c r="E333" i="35"/>
  <c r="U330" i="35"/>
  <c r="AT327" i="35"/>
  <c r="AT318" i="35"/>
  <c r="AJ299" i="35"/>
  <c r="AJ292" i="35"/>
  <c r="AK269" i="35"/>
  <c r="N255" i="35"/>
  <c r="AD250" i="35"/>
  <c r="AD230" i="35"/>
  <c r="E216" i="35"/>
  <c r="E212" i="35"/>
  <c r="E206" i="35"/>
  <c r="E202" i="35"/>
  <c r="E192" i="35"/>
  <c r="V186" i="35"/>
  <c r="U175" i="35"/>
  <c r="U167" i="35"/>
  <c r="U157" i="35"/>
  <c r="E155" i="35"/>
  <c r="T145" i="35"/>
  <c r="T161" i="35"/>
  <c r="E374" i="35"/>
  <c r="E356" i="35"/>
  <c r="N246" i="35"/>
  <c r="N240" i="35"/>
  <c r="V175" i="35"/>
  <c r="D395" i="35"/>
  <c r="D391" i="35"/>
  <c r="E373" i="35"/>
  <c r="D367" i="35"/>
  <c r="E312" i="35"/>
  <c r="F299" i="35"/>
  <c r="AJ269" i="35"/>
  <c r="N248" i="35"/>
  <c r="N247" i="35"/>
  <c r="S242" i="35"/>
  <c r="U215" i="35"/>
  <c r="E209" i="35"/>
  <c r="D206" i="35"/>
  <c r="T201" i="35"/>
  <c r="U196" i="35"/>
  <c r="D192" i="35"/>
  <c r="U186" i="35"/>
  <c r="AJ182" i="35"/>
  <c r="E175" i="35"/>
  <c r="E165" i="35"/>
  <c r="E161" i="35"/>
  <c r="D155" i="35"/>
  <c r="T150" i="35"/>
  <c r="E145" i="35"/>
  <c r="U97" i="35"/>
  <c r="AD247" i="35"/>
  <c r="N245" i="35"/>
  <c r="T315" i="35"/>
  <c r="AK249" i="35"/>
  <c r="D112" i="35"/>
  <c r="AJ279" i="35"/>
  <c r="AD257" i="35"/>
  <c r="N239" i="35"/>
  <c r="N233" i="35"/>
  <c r="V212" i="35"/>
  <c r="D362" i="35"/>
  <c r="E385" i="35"/>
  <c r="D373" i="35"/>
  <c r="E355" i="35"/>
  <c r="AT336" i="35"/>
  <c r="E334" i="35"/>
  <c r="AT328" i="35"/>
  <c r="AT319" i="35"/>
  <c r="E316" i="35"/>
  <c r="T310" i="35"/>
  <c r="N254" i="35"/>
  <c r="N241" i="35"/>
  <c r="E196" i="35"/>
  <c r="U178" i="35"/>
  <c r="E156" i="35"/>
  <c r="E125" i="35"/>
  <c r="N115" i="35"/>
  <c r="AT108" i="35"/>
  <c r="D385" i="35"/>
  <c r="AJ378" i="35"/>
  <c r="U366" i="35"/>
  <c r="D355" i="35"/>
  <c r="AT353" i="35"/>
  <c r="AT348" i="35"/>
  <c r="E344" i="35"/>
  <c r="U340" i="35"/>
  <c r="D334" i="35"/>
  <c r="D316" i="35"/>
  <c r="S292" i="35"/>
  <c r="U263" i="35"/>
  <c r="N256" i="35"/>
  <c r="N235" i="35"/>
  <c r="AJ232" i="35"/>
  <c r="T230" i="35"/>
  <c r="E215" i="35"/>
  <c r="U200" i="35"/>
  <c r="D196" i="35"/>
  <c r="E191" i="35"/>
  <c r="E186" i="35"/>
  <c r="U181" i="35"/>
  <c r="E172" i="35"/>
  <c r="AJ169" i="35"/>
  <c r="E166" i="35"/>
  <c r="T158" i="35"/>
  <c r="D156" i="35"/>
  <c r="T144" i="35"/>
  <c r="E140" i="35"/>
  <c r="E135" i="35"/>
  <c r="D125" i="35"/>
  <c r="D122" i="35"/>
  <c r="E110" i="35"/>
  <c r="AK104" i="35"/>
  <c r="E102" i="35"/>
  <c r="D119" i="35"/>
  <c r="AI271" i="35"/>
  <c r="AJ223" i="35"/>
  <c r="U207" i="35"/>
  <c r="T198" i="35"/>
  <c r="U176" i="35"/>
  <c r="S374" i="35"/>
  <c r="U356" i="35"/>
  <c r="N238" i="35"/>
  <c r="T203" i="35"/>
  <c r="U151" i="35"/>
  <c r="E362" i="35"/>
  <c r="AJ278" i="35"/>
  <c r="U216" i="35"/>
  <c r="D348" i="35"/>
  <c r="T192" i="35"/>
  <c r="D312" i="35"/>
  <c r="T215" i="35"/>
  <c r="E201" i="35"/>
  <c r="T191" i="35"/>
  <c r="E182" i="35"/>
  <c r="E150" i="35"/>
  <c r="U144" i="35"/>
  <c r="AT349" i="35"/>
  <c r="D344" i="35"/>
  <c r="AT342" i="35"/>
  <c r="AJ336" i="35"/>
  <c r="AK332" i="35"/>
  <c r="AK328" i="35"/>
  <c r="E326" i="35"/>
  <c r="AT324" i="35"/>
  <c r="U323" i="35"/>
  <c r="AK319" i="35"/>
  <c r="U295" i="35"/>
  <c r="U283" i="35"/>
  <c r="F268" i="35"/>
  <c r="AL238" i="35"/>
  <c r="AD237" i="35"/>
  <c r="E211" i="35"/>
  <c r="T200" i="35"/>
  <c r="U195" i="35"/>
  <c r="AJ190" i="35"/>
  <c r="T181" i="35"/>
  <c r="U174" i="35"/>
  <c r="E167" i="35"/>
  <c r="E162" i="35"/>
  <c r="E148" i="35"/>
  <c r="E144" i="35"/>
  <c r="D140" i="35"/>
  <c r="E129" i="35"/>
  <c r="AK124" i="35"/>
  <c r="E121" i="35"/>
  <c r="D114" i="35"/>
  <c r="D106" i="35"/>
  <c r="N103" i="35"/>
  <c r="D97" i="35"/>
  <c r="U166" i="35"/>
  <c r="T186" i="35"/>
  <c r="E390" i="35"/>
  <c r="D378" i="35"/>
  <c r="E365" i="35"/>
  <c r="U360" i="35"/>
  <c r="E351" i="35"/>
  <c r="AJ347" i="35"/>
  <c r="U327" i="35"/>
  <c r="D326" i="35"/>
  <c r="D322" i="35"/>
  <c r="AT320" i="35"/>
  <c r="E317" i="35"/>
  <c r="AK309" i="35"/>
  <c r="U298" i="35"/>
  <c r="F291" i="35"/>
  <c r="AK261" i="35"/>
  <c r="N258" i="35"/>
  <c r="N257" i="35"/>
  <c r="AT254" i="35"/>
  <c r="N249" i="35"/>
  <c r="N243" i="35"/>
  <c r="N242" i="35"/>
  <c r="AK238" i="35"/>
  <c r="AD233" i="35"/>
  <c r="V214" i="35"/>
  <c r="D211" i="35"/>
  <c r="U208" i="35"/>
  <c r="V205" i="35"/>
  <c r="T195" i="35"/>
  <c r="U190" i="35"/>
  <c r="E181" i="35"/>
  <c r="E178" i="35"/>
  <c r="E174" i="35"/>
  <c r="AJ160" i="35"/>
  <c r="U159" i="35"/>
  <c r="U153" i="35"/>
  <c r="E139" i="35"/>
  <c r="AK131" i="35"/>
  <c r="AK128" i="35"/>
  <c r="AK120" i="35"/>
  <c r="N116" i="35"/>
  <c r="D115" i="35"/>
  <c r="AK96" i="35"/>
  <c r="E134" i="35"/>
  <c r="U348" i="35"/>
  <c r="E112" i="35"/>
  <c r="T176" i="35"/>
  <c r="T166" i="35"/>
  <c r="T187" i="35"/>
  <c r="D374" i="35"/>
  <c r="E354" i="35"/>
  <c r="E349" i="35"/>
  <c r="AK299" i="35"/>
  <c r="D390" i="35"/>
  <c r="E384" i="35"/>
  <c r="E370" i="35"/>
  <c r="D365" i="35"/>
  <c r="AT354" i="35"/>
  <c r="D351" i="35"/>
  <c r="D345" i="35"/>
  <c r="E331" i="35"/>
  <c r="S295" i="35"/>
  <c r="S274" i="35"/>
  <c r="AJ261" i="35"/>
  <c r="N250" i="35"/>
  <c r="AJ238" i="35"/>
  <c r="N231" i="35"/>
  <c r="N230" i="35"/>
  <c r="U214" i="35"/>
  <c r="U205" i="35"/>
  <c r="E200" i="35"/>
  <c r="E195" i="35"/>
  <c r="E190" i="35"/>
  <c r="T173" i="35"/>
  <c r="V170" i="35"/>
  <c r="E157" i="35"/>
  <c r="E124" i="35"/>
  <c r="E103" i="35"/>
  <c r="V193" i="35"/>
  <c r="E137" i="35"/>
  <c r="D95" i="35"/>
  <c r="S349" i="35"/>
  <c r="U315" i="35"/>
  <c r="V207" i="35"/>
  <c r="V176" i="35"/>
  <c r="D127" i="35"/>
  <c r="U391" i="35"/>
  <c r="S356" i="35"/>
  <c r="AI258" i="35"/>
  <c r="S254" i="35"/>
  <c r="N234" i="35"/>
  <c r="U212" i="35"/>
  <c r="U192" i="35"/>
  <c r="T183" i="35"/>
  <c r="E98" i="35"/>
  <c r="T212" i="35"/>
  <c r="S345" i="35"/>
  <c r="D384" i="35"/>
  <c r="D370" i="35"/>
  <c r="E352" i="35"/>
  <c r="AT333" i="35"/>
  <c r="D331" i="35"/>
  <c r="AT329" i="35"/>
  <c r="AK320" i="35"/>
  <c r="AJ297" i="35"/>
  <c r="AJ273" i="35"/>
  <c r="AT253" i="35"/>
  <c r="N251" i="35"/>
  <c r="AJ246" i="35"/>
  <c r="N236" i="35"/>
  <c r="AK224" i="35"/>
  <c r="E214" i="35"/>
  <c r="E208" i="35"/>
  <c r="T205" i="35"/>
  <c r="E199" i="35"/>
  <c r="T194" i="35"/>
  <c r="E185" i="35"/>
  <c r="U170" i="35"/>
  <c r="V169" i="35"/>
  <c r="U147" i="35"/>
  <c r="D124" i="35"/>
  <c r="E96" i="35"/>
  <c r="AP24" i="57"/>
  <c r="O30" i="57"/>
  <c r="N13" i="57"/>
  <c r="N36" i="57"/>
  <c r="O36" i="57"/>
  <c r="FA113" i="57"/>
  <c r="N32" i="57"/>
  <c r="O32" i="57"/>
  <c r="AN26" i="57"/>
  <c r="FB113" i="57"/>
  <c r="FC113" i="57" s="1"/>
  <c r="FB120" i="57"/>
  <c r="FC120" i="57" s="1"/>
  <c r="FB136" i="57"/>
  <c r="FC136" i="57" s="1"/>
  <c r="N19" i="57"/>
  <c r="BD24" i="57"/>
  <c r="O19" i="57"/>
  <c r="AN32" i="57"/>
  <c r="N10" i="57"/>
  <c r="AN27" i="57"/>
  <c r="N44" i="57"/>
  <c r="FA120" i="57"/>
  <c r="AN28" i="57"/>
  <c r="O29" i="57"/>
  <c r="O11" i="57"/>
  <c r="AP19" i="57"/>
  <c r="O52" i="57"/>
  <c r="O12" i="57"/>
  <c r="BD21" i="57"/>
  <c r="BD23" i="57"/>
  <c r="O33" i="57"/>
  <c r="N53" i="57"/>
  <c r="BF20" i="57"/>
  <c r="N23" i="57"/>
  <c r="AN19" i="57"/>
  <c r="BF21" i="57"/>
  <c r="AT34" i="57"/>
  <c r="FA136" i="57"/>
  <c r="AP23" i="57"/>
  <c r="AU34" i="57"/>
  <c r="FA129" i="57"/>
  <c r="FB111" i="57"/>
  <c r="FC111" i="57" s="1"/>
  <c r="BD20" i="57"/>
  <c r="O10" i="57"/>
  <c r="N11" i="57"/>
  <c r="AT35" i="57"/>
  <c r="AD34" i="57"/>
  <c r="FA131" i="57"/>
  <c r="FA112" i="57"/>
  <c r="FA109" i="57"/>
  <c r="FB125" i="57"/>
  <c r="FC125" i="57" s="1"/>
  <c r="AT29" i="57"/>
  <c r="O42" i="57"/>
  <c r="AT48" i="57"/>
  <c r="FB109" i="57"/>
  <c r="FC109" i="57" s="1"/>
  <c r="FB116" i="57"/>
  <c r="FC116" i="57" s="1"/>
  <c r="FA123" i="57"/>
  <c r="FB127" i="57"/>
  <c r="FC127" i="57" s="1"/>
  <c r="AE28" i="57"/>
  <c r="AU29" i="57"/>
  <c r="AU48" i="57"/>
  <c r="FB119" i="57"/>
  <c r="FC119" i="57" s="1"/>
  <c r="FA128" i="57"/>
  <c r="FB135" i="57"/>
  <c r="FC135" i="57" s="1"/>
  <c r="AU46" i="57"/>
  <c r="AD52" i="57"/>
  <c r="FB128" i="57"/>
  <c r="FC128" i="57" s="1"/>
  <c r="AV14" i="57"/>
  <c r="AV37" i="57" s="1"/>
  <c r="AT27" i="57"/>
  <c r="AF32" i="57"/>
  <c r="AE52" i="57"/>
  <c r="AU53" i="57"/>
  <c r="FA133" i="57"/>
  <c r="FB108" i="57"/>
  <c r="FC108" i="57" s="1"/>
  <c r="FA130" i="57"/>
  <c r="FB137" i="57"/>
  <c r="FC137" i="57" s="1"/>
  <c r="O17" i="57"/>
  <c r="FB122" i="57"/>
  <c r="FC122" i="57" s="1"/>
  <c r="FA137" i="57"/>
  <c r="O20" i="57"/>
  <c r="FB121" i="57"/>
  <c r="FC121" i="57" s="1"/>
  <c r="FB130" i="57"/>
  <c r="FC130" i="57" s="1"/>
  <c r="FB124" i="57"/>
  <c r="FC124" i="57" s="1"/>
  <c r="AE12" i="57"/>
  <c r="FB112" i="57"/>
  <c r="FC112" i="57" s="1"/>
  <c r="FA114" i="57"/>
  <c r="FA125" i="57"/>
  <c r="AN31" i="57"/>
  <c r="N39" i="57"/>
  <c r="M44" i="57"/>
  <c r="M10" i="57"/>
  <c r="M26" i="57"/>
  <c r="M19" i="57"/>
  <c r="M20" i="57"/>
  <c r="M12" i="57"/>
  <c r="M17" i="57"/>
  <c r="M36" i="57"/>
  <c r="M43" i="57"/>
  <c r="AD13" i="57"/>
  <c r="Z18" i="57"/>
  <c r="AU23" i="57"/>
  <c r="AU35" i="57"/>
  <c r="AE43" i="57"/>
  <c r="AT49" i="57"/>
  <c r="AD54" i="57"/>
  <c r="AD42" i="57"/>
  <c r="AE20" i="57"/>
  <c r="AD23" i="57"/>
  <c r="AC25" i="57"/>
  <c r="AT55" i="57"/>
  <c r="AD49" i="57"/>
  <c r="AE18" i="57"/>
  <c r="AE44" i="57"/>
  <c r="AD27" i="57"/>
  <c r="AE27" i="57"/>
  <c r="AU15" i="57"/>
  <c r="AP22" i="57"/>
  <c r="AN25" i="57"/>
  <c r="BD26" i="57"/>
  <c r="BD31" i="57"/>
  <c r="AU32" i="57"/>
  <c r="AE36" i="57"/>
  <c r="AU39" i="57"/>
  <c r="AU47" i="57"/>
  <c r="AE34" i="57"/>
  <c r="AD17" i="57"/>
  <c r="AE19" i="57"/>
  <c r="AD43" i="57"/>
  <c r="AU54" i="57"/>
  <c r="AD11" i="57"/>
  <c r="AD44" i="57"/>
  <c r="AU13" i="57"/>
  <c r="AE30" i="57"/>
  <c r="AU19" i="57"/>
  <c r="X21" i="57"/>
  <c r="FA115" i="57"/>
  <c r="FB129" i="57"/>
  <c r="FC129" i="57" s="1"/>
  <c r="AF9" i="57"/>
  <c r="N16" i="57"/>
  <c r="AD21" i="57"/>
  <c r="AP25" i="57"/>
  <c r="AU30" i="57"/>
  <c r="AD40" i="57"/>
  <c r="AD45" i="57"/>
  <c r="AU50" i="57"/>
  <c r="AD46" i="57"/>
  <c r="AD8" i="57"/>
  <c r="U11" i="57"/>
  <c r="AE13" i="57"/>
  <c r="AD18" i="57"/>
  <c r="AT8" i="57"/>
  <c r="AE11" i="57"/>
  <c r="AF22" i="57"/>
  <c r="AE47" i="57"/>
  <c r="AU8" i="57"/>
  <c r="AN18" i="57"/>
  <c r="AT32" i="57"/>
  <c r="AE39" i="57"/>
  <c r="AE50" i="57"/>
  <c r="FA122" i="57"/>
  <c r="AT9" i="57"/>
  <c r="O16" i="57"/>
  <c r="AE21" i="57"/>
  <c r="AD24" i="57"/>
  <c r="N37" i="57"/>
  <c r="AU40" i="57"/>
  <c r="AT51" i="57"/>
  <c r="AE38" i="57"/>
  <c r="AD31" i="57"/>
  <c r="AT26" i="57"/>
  <c r="AU9" i="57"/>
  <c r="P14" i="57"/>
  <c r="P30" i="57" s="1"/>
  <c r="AE24" i="57"/>
  <c r="AU25" i="57"/>
  <c r="BD30" i="57"/>
  <c r="AD37" i="57"/>
  <c r="AT41" i="57"/>
  <c r="AU45" i="57"/>
  <c r="AE48" i="57"/>
  <c r="AE10" i="57"/>
  <c r="AE17" i="57"/>
  <c r="AE53" i="57"/>
  <c r="AU49" i="57"/>
  <c r="AD22" i="57"/>
  <c r="AD30" i="57"/>
  <c r="AD47" i="57"/>
  <c r="BF23" i="57"/>
  <c r="AE25" i="57"/>
  <c r="AU26" i="57"/>
  <c r="FB114" i="57"/>
  <c r="FC114" i="57" s="1"/>
  <c r="FA121" i="57"/>
  <c r="FB132" i="57"/>
  <c r="FC132" i="57" s="1"/>
  <c r="AD12" i="57"/>
  <c r="AD16" i="57"/>
  <c r="AN21" i="57"/>
  <c r="AD28" i="57"/>
  <c r="AP29" i="57"/>
  <c r="BF30" i="57"/>
  <c r="AE33" i="57"/>
  <c r="AE37" i="57"/>
  <c r="AS15" i="57"/>
  <c r="BF18" i="57"/>
  <c r="AF50" i="57"/>
  <c r="AF19" i="57"/>
  <c r="AF29" i="57"/>
  <c r="AF15" i="57"/>
  <c r="AF27" i="57"/>
  <c r="AF53" i="57"/>
  <c r="AF38" i="57"/>
  <c r="AF31" i="57"/>
  <c r="AF55" i="57"/>
  <c r="AF51" i="57"/>
  <c r="AF41" i="57"/>
  <c r="AF26" i="57"/>
  <c r="AF46" i="57"/>
  <c r="AF45" i="57"/>
  <c r="AF23" i="57"/>
  <c r="AF13" i="57"/>
  <c r="AF18" i="57"/>
  <c r="AF17" i="57"/>
  <c r="AF36" i="57"/>
  <c r="AF20" i="57"/>
  <c r="AF10" i="57"/>
  <c r="AF37" i="57"/>
  <c r="AF21" i="57"/>
  <c r="AF39" i="57"/>
  <c r="AF33" i="57"/>
  <c r="AF42" i="57"/>
  <c r="AF16" i="57"/>
  <c r="AF52" i="57"/>
  <c r="AF43" i="57"/>
  <c r="AF30" i="57"/>
  <c r="AF11" i="57"/>
  <c r="AF44" i="57"/>
  <c r="AF24" i="57"/>
  <c r="AF12" i="57"/>
  <c r="AF47" i="57"/>
  <c r="AF34" i="57"/>
  <c r="AF28" i="57"/>
  <c r="AF48" i="57"/>
  <c r="AF25" i="57"/>
  <c r="AF54" i="57"/>
  <c r="AF49" i="57"/>
  <c r="AF40" i="57"/>
  <c r="AC47" i="57"/>
  <c r="AC34" i="57"/>
  <c r="AC28" i="57"/>
  <c r="AC54" i="57"/>
  <c r="AC49" i="57"/>
  <c r="AC40" i="57"/>
  <c r="AC22" i="57"/>
  <c r="AC8" i="57"/>
  <c r="AC36" i="57"/>
  <c r="AC42" i="57"/>
  <c r="AC16" i="57"/>
  <c r="AC11" i="57"/>
  <c r="AC44" i="57"/>
  <c r="AC37" i="57"/>
  <c r="AC50" i="57"/>
  <c r="AC19" i="57"/>
  <c r="AC35" i="57"/>
  <c r="AC32" i="57"/>
  <c r="AC9" i="57"/>
  <c r="AC20" i="57"/>
  <c r="AC29" i="57"/>
  <c r="AC15" i="57"/>
  <c r="AC52" i="57"/>
  <c r="AC43" i="57"/>
  <c r="AC30" i="57"/>
  <c r="AC24" i="57"/>
  <c r="AC55" i="57"/>
  <c r="AC51" i="57"/>
  <c r="AC41" i="57"/>
  <c r="AC26" i="57"/>
  <c r="AC10" i="57"/>
  <c r="AC23" i="57"/>
  <c r="AC27" i="57"/>
  <c r="AC21" i="57"/>
  <c r="AC18" i="57"/>
  <c r="AC17" i="57"/>
  <c r="AC53" i="57"/>
  <c r="AC39" i="57"/>
  <c r="AC38" i="57"/>
  <c r="AC33" i="57"/>
  <c r="AC46" i="57"/>
  <c r="AC45" i="57"/>
  <c r="AC31" i="57"/>
  <c r="AF8" i="57"/>
  <c r="AS35" i="57"/>
  <c r="AS9" i="57"/>
  <c r="AS55" i="57"/>
  <c r="AS51" i="57"/>
  <c r="AS41" i="57"/>
  <c r="AS27" i="57"/>
  <c r="AS44" i="57"/>
  <c r="AS38" i="57"/>
  <c r="AS47" i="57"/>
  <c r="AS48" i="57"/>
  <c r="AS24" i="57"/>
  <c r="AS13" i="57"/>
  <c r="AS37" i="57"/>
  <c r="AS25" i="57"/>
  <c r="AS32" i="57"/>
  <c r="AS42" i="57"/>
  <c r="AS36" i="57"/>
  <c r="AS21" i="57"/>
  <c r="AS10" i="57"/>
  <c r="AS19" i="57"/>
  <c r="AS43" i="57"/>
  <c r="AS18" i="57"/>
  <c r="AS16" i="57"/>
  <c r="AS33" i="57"/>
  <c r="AS17" i="57"/>
  <c r="AS46" i="57"/>
  <c r="AS45" i="57"/>
  <c r="AS39" i="57"/>
  <c r="AS34" i="57"/>
  <c r="AS29" i="57"/>
  <c r="AS52" i="57"/>
  <c r="AS31" i="57"/>
  <c r="AS11" i="57"/>
  <c r="AS28" i="57"/>
  <c r="AS12" i="57"/>
  <c r="AS22" i="57"/>
  <c r="AS53" i="57"/>
  <c r="AS49" i="57"/>
  <c r="AS26" i="57"/>
  <c r="AS8" i="57"/>
  <c r="AS54" i="57"/>
  <c r="AS50" i="57"/>
  <c r="AS40" i="57"/>
  <c r="AS23" i="57"/>
  <c r="AC48" i="57"/>
  <c r="AS20" i="57"/>
  <c r="Z24" i="57"/>
  <c r="X27" i="57"/>
  <c r="AT20" i="57"/>
  <c r="O23" i="57"/>
  <c r="N26" i="57"/>
  <c r="M29" i="57"/>
  <c r="X30" i="57"/>
  <c r="O37" i="57"/>
  <c r="M42" i="57"/>
  <c r="N43" i="57"/>
  <c r="O44" i="57"/>
  <c r="M52" i="57"/>
  <c r="M16" i="57"/>
  <c r="AU20" i="57"/>
  <c r="AN22" i="57"/>
  <c r="AT23" i="57"/>
  <c r="BF24" i="57"/>
  <c r="O26" i="57"/>
  <c r="BD27" i="57"/>
  <c r="N29" i="57"/>
  <c r="Z30" i="57"/>
  <c r="AE31" i="57"/>
  <c r="M32" i="57"/>
  <c r="AD33" i="57"/>
  <c r="AD38" i="57"/>
  <c r="AD39" i="57"/>
  <c r="AT40" i="57"/>
  <c r="N42" i="57"/>
  <c r="O43" i="57"/>
  <c r="AE45" i="57"/>
  <c r="AE46" i="57"/>
  <c r="AT50" i="57"/>
  <c r="N52" i="57"/>
  <c r="AD53" i="57"/>
  <c r="AT54" i="57"/>
  <c r="M22" i="57"/>
  <c r="X23" i="57"/>
  <c r="M15" i="57"/>
  <c r="AT19" i="57"/>
  <c r="O22" i="57"/>
  <c r="N25" i="57"/>
  <c r="M28" i="57"/>
  <c r="X29" i="57"/>
  <c r="AT39" i="57"/>
  <c r="M8" i="57"/>
  <c r="N9" i="57"/>
  <c r="AD10" i="57"/>
  <c r="O15" i="57"/>
  <c r="AE16" i="57"/>
  <c r="AU17" i="57"/>
  <c r="X19" i="57"/>
  <c r="AD20" i="57"/>
  <c r="AP21" i="57"/>
  <c r="AU22" i="57"/>
  <c r="AN24" i="57"/>
  <c r="AT25" i="57"/>
  <c r="BF26" i="57"/>
  <c r="O28" i="57"/>
  <c r="BD29" i="57"/>
  <c r="N31" i="57"/>
  <c r="AU33" i="57"/>
  <c r="N35" i="57"/>
  <c r="AD36" i="57"/>
  <c r="AT37" i="57"/>
  <c r="AT38" i="57"/>
  <c r="AE42" i="57"/>
  <c r="AT44" i="57"/>
  <c r="M49" i="57"/>
  <c r="N50" i="57"/>
  <c r="X26" i="57"/>
  <c r="AT53" i="57"/>
  <c r="M50" i="57"/>
  <c r="N8" i="57"/>
  <c r="O9" i="57"/>
  <c r="AT12" i="57"/>
  <c r="Z19" i="57"/>
  <c r="M21" i="57"/>
  <c r="X22" i="57"/>
  <c r="AT28" i="57"/>
  <c r="BF29" i="57"/>
  <c r="O31" i="57"/>
  <c r="BD32" i="57"/>
  <c r="O35" i="57"/>
  <c r="AU37" i="57"/>
  <c r="AU38" i="57"/>
  <c r="M40" i="57"/>
  <c r="AU44" i="57"/>
  <c r="M48" i="57"/>
  <c r="N49" i="57"/>
  <c r="O50" i="57"/>
  <c r="M54" i="57"/>
  <c r="Z23" i="57"/>
  <c r="M41" i="57"/>
  <c r="AT47" i="57"/>
  <c r="N41" i="57"/>
  <c r="N51" i="57"/>
  <c r="N15" i="57"/>
  <c r="N28" i="57"/>
  <c r="Z29" i="57"/>
  <c r="X32" i="57"/>
  <c r="M35" i="57"/>
  <c r="O8" i="57"/>
  <c r="AT11" i="57"/>
  <c r="AU12" i="57"/>
  <c r="M18" i="57"/>
  <c r="BD19" i="57"/>
  <c r="N21" i="57"/>
  <c r="Z22" i="57"/>
  <c r="AE23" i="57"/>
  <c r="M24" i="57"/>
  <c r="X25" i="57"/>
  <c r="AD26" i="57"/>
  <c r="AU28" i="57"/>
  <c r="AN30" i="57"/>
  <c r="AT31" i="57"/>
  <c r="N40" i="57"/>
  <c r="AD41" i="57"/>
  <c r="M47" i="57"/>
  <c r="N48" i="57"/>
  <c r="O49" i="57"/>
  <c r="AD51" i="57"/>
  <c r="AT52" i="57"/>
  <c r="N54" i="57"/>
  <c r="AD55" i="57"/>
  <c r="M25" i="57"/>
  <c r="M55" i="57"/>
  <c r="AT17" i="57"/>
  <c r="O25" i="57"/>
  <c r="O51" i="57"/>
  <c r="AU11" i="57"/>
  <c r="AD15" i="57"/>
  <c r="AT16" i="57"/>
  <c r="N18" i="57"/>
  <c r="AT18" i="57"/>
  <c r="BF19" i="57"/>
  <c r="O21" i="57"/>
  <c r="BD22" i="57"/>
  <c r="N24" i="57"/>
  <c r="Z25" i="57"/>
  <c r="AE26" i="57"/>
  <c r="M27" i="57"/>
  <c r="X28" i="57"/>
  <c r="AD29" i="57"/>
  <c r="AP30" i="57"/>
  <c r="AU31" i="57"/>
  <c r="M34" i="57"/>
  <c r="M38" i="57"/>
  <c r="O40" i="57"/>
  <c r="AE41" i="57"/>
  <c r="AT43" i="57"/>
  <c r="M45" i="57"/>
  <c r="M46" i="57"/>
  <c r="N47" i="57"/>
  <c r="O48" i="57"/>
  <c r="AE51" i="57"/>
  <c r="AU52" i="57"/>
  <c r="O54" i="57"/>
  <c r="AE55" i="57"/>
  <c r="N22" i="57"/>
  <c r="M51" i="57"/>
  <c r="Z26" i="57"/>
  <c r="N55" i="57"/>
  <c r="AT22" i="57"/>
  <c r="AT33" i="57"/>
  <c r="O41" i="57"/>
  <c r="O55" i="57"/>
  <c r="AD9" i="57"/>
  <c r="AT10" i="57"/>
  <c r="AE15" i="57"/>
  <c r="AU16" i="57"/>
  <c r="O18" i="57"/>
  <c r="AU18" i="57"/>
  <c r="AN20" i="57"/>
  <c r="AT21" i="57"/>
  <c r="BF22" i="57"/>
  <c r="O24" i="57"/>
  <c r="BD25" i="57"/>
  <c r="N27" i="57"/>
  <c r="AE29" i="57"/>
  <c r="M30" i="57"/>
  <c r="X31" i="57"/>
  <c r="AD32" i="57"/>
  <c r="M33" i="57"/>
  <c r="N34" i="57"/>
  <c r="AD35" i="57"/>
  <c r="AT36" i="57"/>
  <c r="N38" i="57"/>
  <c r="AT42" i="57"/>
  <c r="AU43" i="57"/>
  <c r="N45" i="57"/>
  <c r="N46" i="57"/>
  <c r="O47" i="57"/>
  <c r="X20" i="57"/>
  <c r="Z20" i="57"/>
  <c r="AT45" i="57"/>
  <c r="AT46" i="57"/>
  <c r="M9" i="57"/>
  <c r="M31" i="57"/>
  <c r="AE9" i="57"/>
  <c r="AU10" i="57"/>
  <c r="BA11" i="57"/>
  <c r="M13" i="57"/>
  <c r="AT13" i="57"/>
  <c r="AD19" i="57"/>
  <c r="AP20" i="57"/>
  <c r="AU21" i="57"/>
  <c r="AN23" i="57"/>
  <c r="AT24" i="57"/>
  <c r="BF25" i="57"/>
  <c r="O27" i="57"/>
  <c r="BD28" i="57"/>
  <c r="N30" i="57"/>
  <c r="AE32" i="57"/>
  <c r="N33" i="57"/>
  <c r="O34" i="57"/>
  <c r="AE35" i="57"/>
  <c r="AU36" i="57"/>
  <c r="O38" i="57"/>
  <c r="M39" i="57"/>
  <c r="AU42" i="57"/>
  <c r="O45" i="57"/>
  <c r="O46" i="57"/>
  <c r="AD50" i="57"/>
  <c r="M53" i="57"/>
  <c r="AE8" i="57"/>
  <c r="M11" i="57"/>
  <c r="N12" i="57"/>
  <c r="O13" i="57"/>
  <c r="AT15" i="57"/>
  <c r="N17" i="57"/>
  <c r="X18" i="57"/>
  <c r="Z21" i="57"/>
  <c r="AE22" i="57"/>
  <c r="M23" i="57"/>
  <c r="AD25" i="57"/>
  <c r="AP26" i="57"/>
  <c r="AU27" i="57"/>
  <c r="M37" i="57"/>
  <c r="O39" i="57"/>
  <c r="AE40" i="57"/>
  <c r="AU41" i="57"/>
  <c r="AE49" i="57"/>
  <c r="AU51" i="57"/>
  <c r="AD346" i="35"/>
  <c r="AI380" i="35"/>
  <c r="AI305" i="35"/>
  <c r="AI315" i="35"/>
  <c r="AI316" i="35"/>
  <c r="AI317" i="35"/>
  <c r="AI327" i="35"/>
  <c r="AI319" i="35"/>
  <c r="AI344" i="35"/>
  <c r="AI350" i="35"/>
  <c r="AI345" i="35"/>
  <c r="AI368" i="35"/>
  <c r="AI372" i="35"/>
  <c r="AI375" i="35"/>
  <c r="AI393" i="35"/>
  <c r="AI335" i="35"/>
  <c r="AI395" i="35"/>
  <c r="AI308" i="35"/>
  <c r="AI313" i="35"/>
  <c r="AI331" i="35"/>
  <c r="AI379" i="35"/>
  <c r="AI383" i="35"/>
  <c r="AI324" i="35"/>
  <c r="AI352" i="35"/>
  <c r="AI382" i="35"/>
  <c r="AI398" i="35"/>
  <c r="AI366" i="35"/>
  <c r="AI357" i="35"/>
  <c r="AI363" i="35"/>
  <c r="AI386" i="35"/>
  <c r="AI326" i="35"/>
  <c r="AI376" i="35"/>
  <c r="AI321" i="35"/>
  <c r="N328" i="35"/>
  <c r="N323" i="35"/>
  <c r="N326" i="35"/>
  <c r="N333" i="35"/>
  <c r="N344" i="35"/>
  <c r="N336" i="35"/>
  <c r="N349" i="35"/>
  <c r="N319" i="35"/>
  <c r="AD347" i="35"/>
  <c r="AI337" i="35"/>
  <c r="C101" i="35"/>
  <c r="C108" i="35"/>
  <c r="C118" i="35"/>
  <c r="C109" i="35"/>
  <c r="C130" i="35"/>
  <c r="C135" i="35"/>
  <c r="C137" i="35"/>
  <c r="C96" i="35"/>
  <c r="C98" i="35"/>
  <c r="C110" i="35"/>
  <c r="C121" i="35"/>
  <c r="C111" i="35"/>
  <c r="C112" i="35"/>
  <c r="C114" i="35"/>
  <c r="C119" i="35"/>
  <c r="C126" i="35"/>
  <c r="C95" i="35"/>
  <c r="C116" i="35"/>
  <c r="C120" i="35"/>
  <c r="C136" i="35"/>
  <c r="C100" i="35"/>
  <c r="C122" i="35"/>
  <c r="C127" i="35"/>
  <c r="C139" i="35"/>
  <c r="C123" i="35"/>
  <c r="C131" i="35"/>
  <c r="C104" i="35"/>
  <c r="C105" i="35"/>
  <c r="C115" i="35"/>
  <c r="C124" i="35"/>
  <c r="C134" i="35"/>
  <c r="C97" i="35"/>
  <c r="C133" i="35"/>
  <c r="C103" i="35"/>
  <c r="C113" i="35"/>
  <c r="C107" i="35"/>
  <c r="C102" i="35"/>
  <c r="C138" i="35"/>
  <c r="C94" i="35"/>
  <c r="AJ312" i="35"/>
  <c r="AJ326" i="35"/>
  <c r="AJ345" i="35"/>
  <c r="AJ346" i="35"/>
  <c r="AJ348" i="35"/>
  <c r="AJ376" i="35"/>
  <c r="AJ305" i="35"/>
  <c r="AJ329" i="35"/>
  <c r="AJ333" i="35"/>
  <c r="AJ306" i="35"/>
  <c r="AJ309" i="35"/>
  <c r="AJ331" i="35"/>
  <c r="AJ341" i="35"/>
  <c r="AJ351" i="35"/>
  <c r="AJ365" i="35"/>
  <c r="AJ328" i="35"/>
  <c r="AJ360" i="35"/>
  <c r="AJ363" i="35"/>
  <c r="AJ386" i="35"/>
  <c r="AJ344" i="35"/>
  <c r="AJ350" i="35"/>
  <c r="AJ385" i="35"/>
  <c r="AJ397" i="35"/>
  <c r="AJ330" i="35"/>
  <c r="AJ349" i="35"/>
  <c r="AJ362" i="35"/>
  <c r="AJ368" i="35"/>
  <c r="AJ372" i="35"/>
  <c r="AJ375" i="35"/>
  <c r="AJ393" i="35"/>
  <c r="AJ357" i="35"/>
  <c r="AJ322" i="35"/>
  <c r="AJ308" i="35"/>
  <c r="AJ313" i="35"/>
  <c r="AJ353" i="35"/>
  <c r="AJ356" i="35"/>
  <c r="AJ379" i="35"/>
  <c r="AJ389" i="35"/>
  <c r="AJ352" i="35"/>
  <c r="AJ354" i="35"/>
  <c r="AJ382" i="35"/>
  <c r="AJ394" i="35"/>
  <c r="AJ398" i="35"/>
  <c r="AJ314" i="35"/>
  <c r="AJ366" i="35"/>
  <c r="AJ369" i="35"/>
  <c r="AJ391" i="35"/>
  <c r="AJ325" i="35"/>
  <c r="AJ373" i="35"/>
  <c r="AJ380" i="35"/>
  <c r="AJ383" i="35"/>
  <c r="AJ327" i="35"/>
  <c r="AJ335" i="35"/>
  <c r="AJ387" i="35"/>
  <c r="AJ395" i="35"/>
  <c r="V311" i="35"/>
  <c r="V322" i="35" s="1"/>
  <c r="C199" i="35"/>
  <c r="AJ359" i="35"/>
  <c r="AD352" i="35"/>
  <c r="AJ371" i="35"/>
  <c r="AJ340" i="35"/>
  <c r="AJ316" i="35"/>
  <c r="S158" i="35"/>
  <c r="AJ95" i="35"/>
  <c r="AJ96" i="35"/>
  <c r="AJ104" i="35"/>
  <c r="AJ106" i="35"/>
  <c r="AJ132" i="35"/>
  <c r="AJ121" i="35"/>
  <c r="AJ93" i="35"/>
  <c r="AJ133" i="35"/>
  <c r="AJ125" i="35"/>
  <c r="AJ128" i="35"/>
  <c r="AJ117" i="35"/>
  <c r="AJ126" i="35"/>
  <c r="AJ135" i="35"/>
  <c r="AJ138" i="35"/>
  <c r="F107" i="35"/>
  <c r="F117" i="35"/>
  <c r="F127" i="35"/>
  <c r="F125" i="35"/>
  <c r="F133" i="35"/>
  <c r="F139" i="35"/>
  <c r="F101" i="35"/>
  <c r="F137" i="35"/>
  <c r="F102" i="35"/>
  <c r="F94" i="35"/>
  <c r="F96" i="35"/>
  <c r="AI388" i="35"/>
  <c r="AJ315" i="35"/>
  <c r="AJ377" i="35"/>
  <c r="AJ338" i="35"/>
  <c r="AT112" i="35"/>
  <c r="AT103" i="35"/>
  <c r="AT107" i="35"/>
  <c r="AT106" i="35"/>
  <c r="AT104" i="35"/>
  <c r="AT113" i="35"/>
  <c r="AT116" i="35"/>
  <c r="AT115" i="35"/>
  <c r="AI371" i="35"/>
  <c r="AJ358" i="35"/>
  <c r="AJ342" i="35"/>
  <c r="AI340" i="35"/>
  <c r="N331" i="35"/>
  <c r="AJ323" i="35"/>
  <c r="E254" i="35"/>
  <c r="C204" i="35"/>
  <c r="AD318" i="35"/>
  <c r="AD328" i="35"/>
  <c r="AD330" i="35"/>
  <c r="AD335" i="35"/>
  <c r="AD334" i="35"/>
  <c r="AD349" i="35"/>
  <c r="AD350" i="35"/>
  <c r="AD319" i="35"/>
  <c r="AD331" i="35"/>
  <c r="AD354" i="35"/>
  <c r="AD329" i="35"/>
  <c r="AD320" i="35"/>
  <c r="AD323" i="35"/>
  <c r="AD337" i="35"/>
  <c r="AD322" i="35"/>
  <c r="AD336" i="35"/>
  <c r="AD339" i="35"/>
  <c r="AD325" i="35"/>
  <c r="AD321" i="35"/>
  <c r="AD327" i="35"/>
  <c r="AD338" i="35"/>
  <c r="S162" i="35"/>
  <c r="AJ118" i="35"/>
  <c r="AJ396" i="35"/>
  <c r="C154" i="35"/>
  <c r="F104" i="35"/>
  <c r="AI332" i="35"/>
  <c r="S390" i="35"/>
  <c r="S336" i="35"/>
  <c r="S351" i="35"/>
  <c r="S320" i="35"/>
  <c r="S309" i="35"/>
  <c r="S327" i="35"/>
  <c r="S382" i="35"/>
  <c r="S391" i="35"/>
  <c r="S322" i="35"/>
  <c r="S323" i="35"/>
  <c r="S335" i="35"/>
  <c r="S305" i="35"/>
  <c r="AJ381" i="35"/>
  <c r="AD353" i="35"/>
  <c r="AJ343" i="35"/>
  <c r="AI342" i="35"/>
  <c r="AJ339" i="35"/>
  <c r="AI323" i="35"/>
  <c r="AJ317" i="35"/>
  <c r="AJ307" i="35"/>
  <c r="F229" i="35"/>
  <c r="F240" i="35"/>
  <c r="F242" i="35"/>
  <c r="F250" i="35"/>
  <c r="F259" i="35"/>
  <c r="F231" i="35"/>
  <c r="F258" i="35"/>
  <c r="F275" i="35"/>
  <c r="F288" i="35"/>
  <c r="F302" i="35"/>
  <c r="F300" i="35"/>
  <c r="F233" i="35"/>
  <c r="F244" i="35"/>
  <c r="F226" i="35"/>
  <c r="F235" i="35"/>
  <c r="F283" i="35"/>
  <c r="F255" i="35"/>
  <c r="F256" i="35"/>
  <c r="F287" i="35"/>
  <c r="F297" i="35"/>
  <c r="F254" i="35"/>
  <c r="F272" i="35"/>
  <c r="F239" i="35"/>
  <c r="F241" i="35"/>
  <c r="F245" i="35"/>
  <c r="F249" i="35"/>
  <c r="F251" i="35"/>
  <c r="F271" i="35"/>
  <c r="F253" i="35"/>
  <c r="F269" i="35"/>
  <c r="F277" i="35"/>
  <c r="F282" i="35"/>
  <c r="F264" i="35"/>
  <c r="F265" i="35"/>
  <c r="F292" i="35"/>
  <c r="F260" i="35"/>
  <c r="F234" i="35"/>
  <c r="F263" i="35"/>
  <c r="F237" i="35"/>
  <c r="F238" i="35"/>
  <c r="F246" i="35"/>
  <c r="F295" i="35"/>
  <c r="F252" i="35"/>
  <c r="F278" i="35"/>
  <c r="F301" i="35"/>
  <c r="F293" i="35"/>
  <c r="F248" i="35"/>
  <c r="F274" i="35"/>
  <c r="F279" i="35"/>
  <c r="F289" i="35"/>
  <c r="F298" i="35"/>
  <c r="F220" i="35"/>
  <c r="F243" i="35"/>
  <c r="F290" i="35"/>
  <c r="K222" i="35"/>
  <c r="S209" i="35"/>
  <c r="S170" i="35"/>
  <c r="N105" i="35"/>
  <c r="N117" i="35"/>
  <c r="N108" i="35"/>
  <c r="N112" i="35"/>
  <c r="N111" i="35"/>
  <c r="N114" i="35"/>
  <c r="N109" i="35"/>
  <c r="N110" i="35"/>
  <c r="N106" i="35"/>
  <c r="S181" i="35"/>
  <c r="C197" i="35"/>
  <c r="C215" i="35"/>
  <c r="C183" i="35"/>
  <c r="C209" i="35"/>
  <c r="C213" i="35"/>
  <c r="C146" i="35"/>
  <c r="C161" i="35"/>
  <c r="C212" i="35"/>
  <c r="C187" i="35"/>
  <c r="C156" i="35"/>
  <c r="C148" i="35"/>
  <c r="C201" i="35"/>
  <c r="C173" i="35"/>
  <c r="C162" i="35"/>
  <c r="C179" i="35"/>
  <c r="C160" i="35"/>
  <c r="C195" i="35"/>
  <c r="C203" i="35"/>
  <c r="C167" i="35"/>
  <c r="C117" i="35"/>
  <c r="AJ332" i="35"/>
  <c r="S157" i="35"/>
  <c r="AJ130" i="35"/>
  <c r="AJ361" i="35"/>
  <c r="AD341" i="35"/>
  <c r="AJ334" i="35"/>
  <c r="S315" i="35"/>
  <c r="E261" i="35"/>
  <c r="E229" i="35"/>
  <c r="C224" i="35"/>
  <c r="C233" i="35"/>
  <c r="C251" i="35"/>
  <c r="C253" i="35"/>
  <c r="C267" i="35"/>
  <c r="C272" i="35"/>
  <c r="C243" i="35"/>
  <c r="C246" i="35"/>
  <c r="C252" i="35"/>
  <c r="C254" i="35"/>
  <c r="C270" i="35"/>
  <c r="C279" i="35"/>
  <c r="C285" i="35"/>
  <c r="C289" i="35"/>
  <c r="C292" i="35"/>
  <c r="C294" i="35"/>
  <c r="C298" i="35"/>
  <c r="C221" i="35"/>
  <c r="C237" i="35"/>
  <c r="C260" i="35"/>
  <c r="C263" i="35"/>
  <c r="C296" i="35"/>
  <c r="C238" i="35"/>
  <c r="C220" i="35"/>
  <c r="C239" i="35"/>
  <c r="C284" i="35"/>
  <c r="C262" i="35"/>
  <c r="C265" i="35"/>
  <c r="C266" i="35"/>
  <c r="C219" i="35"/>
  <c r="C273" i="35"/>
  <c r="C287" i="35"/>
  <c r="C300" i="35"/>
  <c r="C280" i="35"/>
  <c r="C283" i="35"/>
  <c r="C227" i="35"/>
  <c r="C247" i="35"/>
  <c r="C255" i="35"/>
  <c r="C257" i="35"/>
  <c r="C242" i="35"/>
  <c r="C249" i="35"/>
  <c r="C288" i="35"/>
  <c r="C240" i="35"/>
  <c r="C248" i="35"/>
  <c r="C258" i="35"/>
  <c r="C264" i="35"/>
  <c r="C271" i="35"/>
  <c r="C293" i="35"/>
  <c r="C275" i="35"/>
  <c r="S184" i="35"/>
  <c r="AI112" i="35"/>
  <c r="AI93" i="35"/>
  <c r="AI132" i="35"/>
  <c r="AI138" i="35"/>
  <c r="AI117" i="35"/>
  <c r="AI140" i="35"/>
  <c r="AI126" i="35"/>
  <c r="AI110" i="35"/>
  <c r="AI104" i="35"/>
  <c r="AI125" i="35"/>
  <c r="AI94" i="35"/>
  <c r="AI128" i="35"/>
  <c r="AI101" i="35"/>
  <c r="AI115" i="35"/>
  <c r="AI135" i="35"/>
  <c r="AI111" i="35"/>
  <c r="AI121" i="35"/>
  <c r="F98" i="35"/>
  <c r="AI361" i="35"/>
  <c r="AD340" i="35"/>
  <c r="AI334" i="35"/>
  <c r="E231" i="35"/>
  <c r="E232" i="35"/>
  <c r="E258" i="35"/>
  <c r="E288" i="35"/>
  <c r="E262" i="35"/>
  <c r="E300" i="35"/>
  <c r="E233" i="35"/>
  <c r="E251" i="35"/>
  <c r="E253" i="35"/>
  <c r="E267" i="35"/>
  <c r="E272" i="35"/>
  <c r="E282" i="35"/>
  <c r="E223" i="35"/>
  <c r="E265" i="35"/>
  <c r="E268" i="35"/>
  <c r="E273" i="35"/>
  <c r="E276" i="35"/>
  <c r="E286" i="35"/>
  <c r="E290" i="35"/>
  <c r="E228" i="35"/>
  <c r="E269" i="35"/>
  <c r="E274" i="35"/>
  <c r="E281" i="35"/>
  <c r="E293" i="35"/>
  <c r="E277" i="35"/>
  <c r="E235" i="35"/>
  <c r="E284" i="35"/>
  <c r="E292" i="35"/>
  <c r="E248" i="35"/>
  <c r="E219" i="35"/>
  <c r="E263" i="35"/>
  <c r="E242" i="35"/>
  <c r="E289" i="35"/>
  <c r="E243" i="35"/>
  <c r="E266" i="35"/>
  <c r="E271" i="35"/>
  <c r="E237" i="35"/>
  <c r="E238" i="35"/>
  <c r="E246" i="35"/>
  <c r="E295" i="35"/>
  <c r="E236" i="35"/>
  <c r="E247" i="35"/>
  <c r="E252" i="35"/>
  <c r="E256" i="35"/>
  <c r="E257" i="35"/>
  <c r="E259" i="35"/>
  <c r="E278" i="35"/>
  <c r="E301" i="35"/>
  <c r="E245" i="35"/>
  <c r="E249" i="35"/>
  <c r="E255" i="35"/>
  <c r="E270" i="35"/>
  <c r="E220" i="35"/>
  <c r="E240" i="35"/>
  <c r="E260" i="35"/>
  <c r="E234" i="35"/>
  <c r="E264" i="35"/>
  <c r="C140" i="35"/>
  <c r="C132" i="35"/>
  <c r="AL129" i="35"/>
  <c r="AL120" i="35"/>
  <c r="AL113" i="35"/>
  <c r="AL139" i="35"/>
  <c r="AL121" i="35"/>
  <c r="AL123" i="35"/>
  <c r="AL122" i="35"/>
  <c r="AL134" i="35"/>
  <c r="AL135" i="35"/>
  <c r="AL96" i="35"/>
  <c r="AL126" i="35"/>
  <c r="AL131" i="35"/>
  <c r="AL138" i="35"/>
  <c r="AL105" i="35"/>
  <c r="AL110" i="35"/>
  <c r="AL93" i="35"/>
  <c r="AL137" i="35"/>
  <c r="AL114" i="35"/>
  <c r="AL133" i="35"/>
  <c r="AL117" i="35"/>
  <c r="AL311" i="35"/>
  <c r="AL365" i="35" s="1"/>
  <c r="S159" i="35"/>
  <c r="S175" i="35"/>
  <c r="S199" i="35"/>
  <c r="S202" i="35"/>
  <c r="S160" i="35"/>
  <c r="S185" i="35"/>
  <c r="S207" i="35"/>
  <c r="S180" i="35"/>
  <c r="S194" i="35"/>
  <c r="S205" i="35"/>
  <c r="S161" i="35"/>
  <c r="S164" i="35"/>
  <c r="S166" i="35"/>
  <c r="S191" i="35"/>
  <c r="S197" i="35"/>
  <c r="S215" i="35"/>
  <c r="S173" i="35"/>
  <c r="S186" i="35"/>
  <c r="S192" i="35"/>
  <c r="S195" i="35"/>
  <c r="S198" i="35"/>
  <c r="S203" i="35"/>
  <c r="S211" i="35"/>
  <c r="S201" i="35"/>
  <c r="S204" i="35"/>
  <c r="S206" i="35"/>
  <c r="S176" i="35"/>
  <c r="S150" i="35"/>
  <c r="S163" i="35"/>
  <c r="S144" i="35"/>
  <c r="S177" i="35"/>
  <c r="S146" i="35"/>
  <c r="S189" i="35"/>
  <c r="S153" i="35"/>
  <c r="S182" i="35"/>
  <c r="S212" i="35"/>
  <c r="S183" i="35"/>
  <c r="S208" i="35"/>
  <c r="S216" i="35"/>
  <c r="S213" i="35"/>
  <c r="AJ390" i="35"/>
  <c r="AJ370" i="35"/>
  <c r="AJ374" i="35"/>
  <c r="AI365" i="35"/>
  <c r="AJ324" i="35"/>
  <c r="AJ318" i="35"/>
  <c r="C261" i="35"/>
  <c r="C229" i="35"/>
  <c r="D262" i="35"/>
  <c r="D275" i="35"/>
  <c r="D300" i="35"/>
  <c r="D302" i="35"/>
  <c r="D224" i="35"/>
  <c r="D233" i="35"/>
  <c r="D244" i="35"/>
  <c r="D251" i="35"/>
  <c r="D253" i="35"/>
  <c r="D267" i="35"/>
  <c r="D272" i="35"/>
  <c r="D282" i="35"/>
  <c r="D243" i="35"/>
  <c r="D245" i="35"/>
  <c r="D246" i="35"/>
  <c r="D252" i="35"/>
  <c r="D254" i="35"/>
  <c r="D270" i="35"/>
  <c r="D279" i="35"/>
  <c r="D285" i="35"/>
  <c r="D289" i="35"/>
  <c r="D292" i="35"/>
  <c r="D294" i="35"/>
  <c r="D298" i="35"/>
  <c r="D219" i="35"/>
  <c r="D247" i="35"/>
  <c r="D271" i="35"/>
  <c r="D280" i="35"/>
  <c r="D230" i="35"/>
  <c r="D248" i="35"/>
  <c r="D249" i="35"/>
  <c r="D257" i="35"/>
  <c r="D264" i="35"/>
  <c r="D269" i="35"/>
  <c r="D260" i="35"/>
  <c r="D274" i="35"/>
  <c r="D293" i="35"/>
  <c r="D263" i="35"/>
  <c r="D265" i="35"/>
  <c r="D220" i="35"/>
  <c r="D240" i="35"/>
  <c r="D258" i="35"/>
  <c r="D232" i="35"/>
  <c r="D237" i="35"/>
  <c r="D238" i="35"/>
  <c r="D273" i="35"/>
  <c r="D287" i="35"/>
  <c r="D295" i="35"/>
  <c r="D297" i="35"/>
  <c r="D250" i="35"/>
  <c r="D290" i="35"/>
  <c r="D236" i="35"/>
  <c r="D256" i="35"/>
  <c r="D259" i="35"/>
  <c r="D278" i="35"/>
  <c r="D283" i="35"/>
  <c r="D301" i="35"/>
  <c r="D255" i="35"/>
  <c r="D235" i="35"/>
  <c r="D239" i="35"/>
  <c r="D241" i="35"/>
  <c r="D242" i="35"/>
  <c r="D288" i="35"/>
  <c r="D234" i="35"/>
  <c r="D266" i="35"/>
  <c r="D226" i="35"/>
  <c r="D284" i="35"/>
  <c r="S187" i="35"/>
  <c r="D180" i="35"/>
  <c r="D194" i="35"/>
  <c r="D205" i="35"/>
  <c r="D178" i="35"/>
  <c r="D191" i="35"/>
  <c r="D197" i="35"/>
  <c r="D215" i="35"/>
  <c r="D145" i="35"/>
  <c r="D152" i="35"/>
  <c r="D170" i="35"/>
  <c r="D183" i="35"/>
  <c r="D188" i="35"/>
  <c r="D200" i="35"/>
  <c r="D209" i="35"/>
  <c r="D176" i="35"/>
  <c r="D213" i="35"/>
  <c r="D184" i="35"/>
  <c r="D144" i="35"/>
  <c r="D147" i="35"/>
  <c r="D165" i="35"/>
  <c r="D166" i="35"/>
  <c r="D179" i="35"/>
  <c r="D187" i="35"/>
  <c r="D190" i="35"/>
  <c r="D169" i="35"/>
  <c r="S94" i="35"/>
  <c r="T340" i="35"/>
  <c r="AI283" i="35"/>
  <c r="AL258" i="35"/>
  <c r="AL269" i="35"/>
  <c r="AL220" i="35"/>
  <c r="AI224" i="35"/>
  <c r="D174" i="35"/>
  <c r="D158" i="35"/>
  <c r="AT170" i="35"/>
  <c r="AT171" i="35"/>
  <c r="AT172" i="35"/>
  <c r="AT154" i="35"/>
  <c r="AT168" i="35"/>
  <c r="D216" i="35"/>
  <c r="AL166" i="35"/>
  <c r="D162" i="35"/>
  <c r="D161" i="35"/>
  <c r="S97" i="35"/>
  <c r="AI273" i="35"/>
  <c r="D210" i="35"/>
  <c r="D208" i="35"/>
  <c r="D198" i="35"/>
  <c r="D186" i="35"/>
  <c r="D177" i="35"/>
  <c r="D173" i="35"/>
  <c r="AT167" i="35"/>
  <c r="AK177" i="35"/>
  <c r="AK190" i="35"/>
  <c r="AK151" i="35"/>
  <c r="AK157" i="35"/>
  <c r="AK185" i="35"/>
  <c r="AK202" i="35"/>
  <c r="AK165" i="35"/>
  <c r="AK200" i="35"/>
  <c r="AK216" i="35"/>
  <c r="S135" i="35"/>
  <c r="S131" i="35"/>
  <c r="T386" i="35"/>
  <c r="AL232" i="35"/>
  <c r="D201" i="35"/>
  <c r="AJ153" i="35"/>
  <c r="AJ144" i="35"/>
  <c r="AJ187" i="35"/>
  <c r="AJ210" i="35"/>
  <c r="AJ202" i="35"/>
  <c r="AJ205" i="35"/>
  <c r="AJ213" i="35"/>
  <c r="AJ174" i="35"/>
  <c r="AJ184" i="35"/>
  <c r="D148" i="35"/>
  <c r="S120" i="35"/>
  <c r="D195" i="35"/>
  <c r="AI297" i="35"/>
  <c r="AI237" i="35"/>
  <c r="AI261" i="35"/>
  <c r="AI290" i="35"/>
  <c r="S109" i="35"/>
  <c r="AI269" i="35"/>
  <c r="AI243" i="35"/>
  <c r="S238" i="35"/>
  <c r="S263" i="35"/>
  <c r="S301" i="35"/>
  <c r="AI223" i="35"/>
  <c r="AK171" i="35"/>
  <c r="AI187" i="35"/>
  <c r="AI212" i="35"/>
  <c r="AI147" i="35"/>
  <c r="AI169" i="35"/>
  <c r="S112" i="35"/>
  <c r="D143" i="35"/>
  <c r="D159" i="35"/>
  <c r="D157" i="35"/>
  <c r="T317" i="35"/>
  <c r="T336" i="35"/>
  <c r="T351" i="35"/>
  <c r="T323" i="35"/>
  <c r="T330" i="35"/>
  <c r="D202" i="35"/>
  <c r="D172" i="35"/>
  <c r="AL182" i="35"/>
  <c r="AL157" i="35"/>
  <c r="AL210" i="35"/>
  <c r="AL160" i="35"/>
  <c r="AL198" i="35"/>
  <c r="T391" i="35"/>
  <c r="T382" i="35"/>
  <c r="T360" i="35"/>
  <c r="T327" i="35"/>
  <c r="V227" i="35"/>
  <c r="V293" i="35"/>
  <c r="V247" i="35"/>
  <c r="V281" i="35"/>
  <c r="V284" i="35"/>
  <c r="V250" i="35"/>
  <c r="V298" i="35"/>
  <c r="V234" i="35"/>
  <c r="V265" i="35"/>
  <c r="V271" i="35"/>
  <c r="AJ214" i="35"/>
  <c r="D212" i="35"/>
  <c r="AJ209" i="35"/>
  <c r="AJ204" i="35"/>
  <c r="AL200" i="35"/>
  <c r="AK196" i="35"/>
  <c r="D182" i="35"/>
  <c r="AK178" i="35"/>
  <c r="AT162" i="35"/>
  <c r="S137" i="35"/>
  <c r="D123" i="35"/>
  <c r="D133" i="35"/>
  <c r="D139" i="35"/>
  <c r="D101" i="35"/>
  <c r="D108" i="35"/>
  <c r="D118" i="35"/>
  <c r="D109" i="35"/>
  <c r="D130" i="35"/>
  <c r="D135" i="35"/>
  <c r="D137" i="35"/>
  <c r="D96" i="35"/>
  <c r="D98" i="35"/>
  <c r="D110" i="35"/>
  <c r="D121" i="35"/>
  <c r="D113" i="35"/>
  <c r="D132" i="35"/>
  <c r="D100" i="35"/>
  <c r="D104" i="35"/>
  <c r="D129" i="35"/>
  <c r="D131" i="35"/>
  <c r="D171" i="35"/>
  <c r="D168" i="35"/>
  <c r="S103" i="35"/>
  <c r="S127" i="35"/>
  <c r="S104" i="35"/>
  <c r="S116" i="35"/>
  <c r="S118" i="35"/>
  <c r="S125" i="35"/>
  <c r="S123" i="35"/>
  <c r="S140" i="35"/>
  <c r="AD158" i="35"/>
  <c r="AD161" i="35"/>
  <c r="T362" i="35"/>
  <c r="T356" i="35"/>
  <c r="AL299" i="35"/>
  <c r="U227" i="35"/>
  <c r="U247" i="35"/>
  <c r="U281" i="35"/>
  <c r="U220" i="35"/>
  <c r="U291" i="35"/>
  <c r="U262" i="35"/>
  <c r="U275" i="35"/>
  <c r="U237" i="35"/>
  <c r="AJ196" i="35"/>
  <c r="D193" i="35"/>
  <c r="D189" i="35"/>
  <c r="AK160" i="35"/>
  <c r="D153" i="35"/>
  <c r="S128" i="35"/>
  <c r="S119" i="35"/>
  <c r="S113" i="35"/>
  <c r="U310" i="35"/>
  <c r="AT232" i="35"/>
  <c r="T208" i="35"/>
  <c r="T172" i="35"/>
  <c r="N159" i="35"/>
  <c r="T157" i="35"/>
  <c r="T153" i="35"/>
  <c r="V150" i="35"/>
  <c r="AK117" i="35"/>
  <c r="AK108" i="35"/>
  <c r="K96" i="35"/>
  <c r="T163" i="35"/>
  <c r="AK305" i="35"/>
  <c r="AK312" i="35"/>
  <c r="AK259" i="35"/>
  <c r="AT246" i="35"/>
  <c r="T207" i="35"/>
  <c r="N169" i="35"/>
  <c r="N163" i="35"/>
  <c r="N162" i="35"/>
  <c r="AK326" i="35"/>
  <c r="AK295" i="35"/>
  <c r="AK278" i="35"/>
  <c r="AT234" i="35"/>
  <c r="T202" i="35"/>
  <c r="T199" i="35"/>
  <c r="AK113" i="35"/>
  <c r="C308" i="35"/>
  <c r="C320" i="35"/>
  <c r="C336" i="35"/>
  <c r="C352" i="35"/>
  <c r="C355" i="35"/>
  <c r="C326" i="35"/>
  <c r="C342" i="35"/>
  <c r="C313" i="35"/>
  <c r="C329" i="35"/>
  <c r="C338" i="35"/>
  <c r="C347" i="35"/>
  <c r="C371" i="35"/>
  <c r="C375" i="35"/>
  <c r="C379" i="35"/>
  <c r="C383" i="35"/>
  <c r="C387" i="35"/>
  <c r="C394" i="35"/>
  <c r="C398" i="35"/>
  <c r="C306" i="35"/>
  <c r="C310" i="35"/>
  <c r="C354" i="35"/>
  <c r="C366" i="35"/>
  <c r="C322" i="35"/>
  <c r="C331" i="35"/>
  <c r="C340" i="35"/>
  <c r="C349" i="35"/>
  <c r="C393" i="35"/>
  <c r="C327" i="35"/>
  <c r="C335" i="35"/>
  <c r="C386" i="35"/>
  <c r="C377" i="35"/>
  <c r="C318" i="35"/>
  <c r="C333" i="35"/>
  <c r="C351" i="35"/>
  <c r="C305" i="35"/>
  <c r="C330" i="35"/>
  <c r="C343" i="35"/>
  <c r="C369" i="35"/>
  <c r="C372" i="35"/>
  <c r="C396" i="35"/>
  <c r="C325" i="35"/>
  <c r="C341" i="35"/>
  <c r="C392" i="35"/>
  <c r="C315" i="35"/>
  <c r="C353" i="35"/>
  <c r="C357" i="35"/>
  <c r="C380" i="35"/>
  <c r="C346" i="35"/>
  <c r="C363" i="35"/>
  <c r="C339" i="35"/>
  <c r="C359" i="35"/>
  <c r="C348" i="35"/>
  <c r="C345" i="35"/>
  <c r="C376" i="35"/>
  <c r="C332" i="35"/>
  <c r="C317" i="35"/>
  <c r="C397" i="35"/>
  <c r="C368" i="35"/>
  <c r="C395" i="35"/>
  <c r="C321" i="35"/>
  <c r="C319" i="35"/>
  <c r="C344" i="35"/>
  <c r="C323" i="35"/>
  <c r="C356" i="35"/>
  <c r="C358" i="35"/>
  <c r="C360" i="35"/>
  <c r="C382" i="35"/>
  <c r="C309" i="35"/>
  <c r="C337" i="35"/>
  <c r="C307" i="35"/>
  <c r="C378" i="35"/>
  <c r="C384" i="35"/>
  <c r="C314" i="35"/>
  <c r="C334" i="35"/>
  <c r="C365" i="35"/>
  <c r="C373" i="35"/>
  <c r="C381" i="35"/>
  <c r="C312" i="35"/>
  <c r="C367" i="35"/>
  <c r="C385" i="35"/>
  <c r="C389" i="35"/>
  <c r="C361" i="35"/>
  <c r="C391" i="35"/>
  <c r="C316" i="35"/>
  <c r="C362" i="35"/>
  <c r="C364" i="35"/>
  <c r="C374" i="35"/>
  <c r="C324" i="35"/>
  <c r="C328" i="35"/>
  <c r="C388" i="35"/>
  <c r="C390" i="35"/>
  <c r="C370" i="35"/>
  <c r="C350" i="35"/>
  <c r="AD109" i="35"/>
  <c r="AD112" i="35"/>
  <c r="AD111" i="35"/>
  <c r="AD104" i="35"/>
  <c r="AD113" i="35"/>
  <c r="AD116" i="35"/>
  <c r="AD117" i="35"/>
  <c r="AD105" i="35"/>
  <c r="AD106" i="35"/>
  <c r="AL287" i="35"/>
  <c r="AL278" i="35"/>
  <c r="AL273" i="35"/>
  <c r="AL246" i="35"/>
  <c r="F190" i="35"/>
  <c r="U305" i="35"/>
  <c r="U319" i="35"/>
  <c r="U335" i="35"/>
  <c r="U351" i="35"/>
  <c r="U325" i="35"/>
  <c r="U341" i="35"/>
  <c r="U314" i="35"/>
  <c r="U326" i="35"/>
  <c r="U355" i="35"/>
  <c r="U359" i="35"/>
  <c r="U307" i="35"/>
  <c r="U328" i="35"/>
  <c r="U337" i="35"/>
  <c r="U346" i="35"/>
  <c r="U353" i="35"/>
  <c r="U368" i="35"/>
  <c r="U372" i="35"/>
  <c r="U376" i="35"/>
  <c r="U380" i="35"/>
  <c r="U384" i="35"/>
  <c r="U388" i="35"/>
  <c r="U395" i="35"/>
  <c r="U309" i="35"/>
  <c r="U316" i="35"/>
  <c r="U347" i="35"/>
  <c r="U354" i="35"/>
  <c r="U358" i="35"/>
  <c r="U367" i="35"/>
  <c r="U373" i="35"/>
  <c r="U329" i="35"/>
  <c r="U321" i="35"/>
  <c r="U331" i="35"/>
  <c r="U344" i="35"/>
  <c r="U390" i="35"/>
  <c r="U334" i="35"/>
  <c r="U364" i="35"/>
  <c r="U370" i="35"/>
  <c r="U381" i="35"/>
  <c r="U394" i="35"/>
  <c r="U397" i="35"/>
  <c r="U306" i="35"/>
  <c r="U342" i="35"/>
  <c r="U352" i="35"/>
  <c r="U375" i="35"/>
  <c r="U378" i="35"/>
  <c r="U389" i="35"/>
  <c r="AL256" i="35"/>
  <c r="AK233" i="35"/>
  <c r="AK220" i="35"/>
  <c r="AK219" i="35"/>
  <c r="AK254" i="35"/>
  <c r="AK273" i="35"/>
  <c r="AK277" i="35"/>
  <c r="AK281" i="35"/>
  <c r="AK285" i="35"/>
  <c r="AK289" i="35"/>
  <c r="AK293" i="35"/>
  <c r="AK300" i="35"/>
  <c r="AK227" i="35"/>
  <c r="AK232" i="35"/>
  <c r="AK247" i="35"/>
  <c r="AK271" i="35"/>
  <c r="AK297" i="35"/>
  <c r="AK222" i="35"/>
  <c r="AK264" i="35"/>
  <c r="AK274" i="35"/>
  <c r="AK267" i="35"/>
  <c r="AK288" i="35"/>
  <c r="AK291" i="35"/>
  <c r="AK231" i="35"/>
  <c r="AK260" i="35"/>
  <c r="AK263" i="35"/>
  <c r="AK223" i="35"/>
  <c r="AK239" i="35"/>
  <c r="AK290" i="35"/>
  <c r="AK292" i="35"/>
  <c r="AK240" i="35"/>
  <c r="AK257" i="35"/>
  <c r="AK237" i="35"/>
  <c r="AK242" i="35"/>
  <c r="AK283" i="35"/>
  <c r="AK298" i="35"/>
  <c r="AK272" i="35"/>
  <c r="AK302" i="35"/>
  <c r="AK226" i="35"/>
  <c r="AK230" i="35"/>
  <c r="AK252" i="35"/>
  <c r="AK265" i="35"/>
  <c r="AK276" i="35"/>
  <c r="AK250" i="35"/>
  <c r="U385" i="35"/>
  <c r="U322" i="35"/>
  <c r="AK256" i="35"/>
  <c r="AL253" i="35"/>
  <c r="F187" i="35"/>
  <c r="F172" i="35"/>
  <c r="U398" i="35"/>
  <c r="U392" i="35"/>
  <c r="U371" i="35"/>
  <c r="U369" i="35"/>
  <c r="U343" i="35"/>
  <c r="U339" i="35"/>
  <c r="AI220" i="35"/>
  <c r="AI239" i="35"/>
  <c r="AI228" i="35"/>
  <c r="AI227" i="35"/>
  <c r="AI232" i="35"/>
  <c r="AI250" i="35"/>
  <c r="AI272" i="35"/>
  <c r="AI276" i="35"/>
  <c r="AI280" i="35"/>
  <c r="AI284" i="35"/>
  <c r="AI288" i="35"/>
  <c r="AI292" i="35"/>
  <c r="AI299" i="35"/>
  <c r="AI231" i="35"/>
  <c r="AI233" i="35"/>
  <c r="AI260" i="35"/>
  <c r="AI263" i="35"/>
  <c r="AI229" i="35"/>
  <c r="AI236" i="35"/>
  <c r="AI238" i="35"/>
  <c r="AI240" i="35"/>
  <c r="AI279" i="35"/>
  <c r="AI285" i="35"/>
  <c r="AI254" i="35"/>
  <c r="AI267" i="35"/>
  <c r="AI291" i="35"/>
  <c r="AI296" i="35"/>
  <c r="AI219" i="35"/>
  <c r="AI282" i="35"/>
  <c r="AI249" i="35"/>
  <c r="AI256" i="35"/>
  <c r="AI270" i="35"/>
  <c r="AI295" i="35"/>
  <c r="AI302" i="35"/>
  <c r="AI252" i="35"/>
  <c r="AI265" i="35"/>
  <c r="AI257" i="35"/>
  <c r="AI287" i="35"/>
  <c r="AI235" i="35"/>
  <c r="AI248" i="35"/>
  <c r="AI259" i="35"/>
  <c r="AI226" i="35"/>
  <c r="AI230" i="35"/>
  <c r="AI247" i="35"/>
  <c r="AI255" i="35"/>
  <c r="AI294" i="35"/>
  <c r="AI278" i="35"/>
  <c r="AI300" i="35"/>
  <c r="AI245" i="35"/>
  <c r="AI274" i="35"/>
  <c r="AL164" i="35"/>
  <c r="AL186" i="35"/>
  <c r="AL190" i="35"/>
  <c r="AL167" i="35"/>
  <c r="AL153" i="35"/>
  <c r="AL171" i="35"/>
  <c r="AL184" i="35"/>
  <c r="AL188" i="35"/>
  <c r="AL208" i="35"/>
  <c r="AL162" i="35"/>
  <c r="AL195" i="35"/>
  <c r="AL199" i="35"/>
  <c r="AL203" i="35"/>
  <c r="AL207" i="35"/>
  <c r="AL214" i="35"/>
  <c r="AL144" i="35"/>
  <c r="AL180" i="35"/>
  <c r="AL183" i="35"/>
  <c r="AL189" i="35"/>
  <c r="AL150" i="35"/>
  <c r="AL155" i="35"/>
  <c r="AL159" i="35"/>
  <c r="AL147" i="35"/>
  <c r="AL161" i="35"/>
  <c r="AL170" i="35"/>
  <c r="AL212" i="35"/>
  <c r="AL215" i="35"/>
  <c r="AL146" i="35"/>
  <c r="AL213" i="35"/>
  <c r="AL194" i="35"/>
  <c r="AL206" i="35"/>
  <c r="AL158" i="35"/>
  <c r="AL169" i="35"/>
  <c r="AL174" i="35"/>
  <c r="AL176" i="35"/>
  <c r="AL209" i="35"/>
  <c r="AL216" i="35"/>
  <c r="AL187" i="35"/>
  <c r="AL163" i="35"/>
  <c r="AL193" i="35"/>
  <c r="AL197" i="35"/>
  <c r="AL148" i="35"/>
  <c r="AL175" i="35"/>
  <c r="AL185" i="35"/>
  <c r="AL165" i="35"/>
  <c r="AL192" i="35"/>
  <c r="AL202" i="35"/>
  <c r="AL173" i="35"/>
  <c r="AL177" i="35"/>
  <c r="AL181" i="35"/>
  <c r="AL152" i="35"/>
  <c r="AL154" i="35"/>
  <c r="AL179" i="35"/>
  <c r="AL204" i="35"/>
  <c r="AL211" i="35"/>
  <c r="T396" i="35"/>
  <c r="T392" i="35"/>
  <c r="T387" i="35"/>
  <c r="U377" i="35"/>
  <c r="T371" i="35"/>
  <c r="T347" i="35"/>
  <c r="U318" i="35"/>
  <c r="S312" i="35"/>
  <c r="AL296" i="35"/>
  <c r="AJ293" i="35"/>
  <c r="AL282" i="35"/>
  <c r="AK229" i="35"/>
  <c r="S369" i="35"/>
  <c r="S365" i="35"/>
  <c r="AL291" i="35"/>
  <c r="AI253" i="35"/>
  <c r="S219" i="35"/>
  <c r="S234" i="35"/>
  <c r="S223" i="35"/>
  <c r="S227" i="35"/>
  <c r="S255" i="35"/>
  <c r="S271" i="35"/>
  <c r="S233" i="35"/>
  <c r="S235" i="35"/>
  <c r="S245" i="35"/>
  <c r="S275" i="35"/>
  <c r="S279" i="35"/>
  <c r="S283" i="35"/>
  <c r="S287" i="35"/>
  <c r="S291" i="35"/>
  <c r="S298" i="35"/>
  <c r="S302" i="35"/>
  <c r="S226" i="35"/>
  <c r="S232" i="35"/>
  <c r="S248" i="35"/>
  <c r="S294" i="35"/>
  <c r="S299" i="35"/>
  <c r="S221" i="35"/>
  <c r="S266" i="35"/>
  <c r="S290" i="35"/>
  <c r="S228" i="35"/>
  <c r="S273" i="35"/>
  <c r="S276" i="35"/>
  <c r="S257" i="35"/>
  <c r="S241" i="35"/>
  <c r="S250" i="35"/>
  <c r="S262" i="35"/>
  <c r="S230" i="35"/>
  <c r="S237" i="35"/>
  <c r="S269" i="35"/>
  <c r="S293" i="35"/>
  <c r="S231" i="35"/>
  <c r="S243" i="35"/>
  <c r="S253" i="35"/>
  <c r="S278" i="35"/>
  <c r="S285" i="35"/>
  <c r="S261" i="35"/>
  <c r="S220" i="35"/>
  <c r="S244" i="35"/>
  <c r="S289" i="35"/>
  <c r="S256" i="35"/>
  <c r="S222" i="35"/>
  <c r="S236" i="35"/>
  <c r="S246" i="35"/>
  <c r="S251" i="35"/>
  <c r="S258" i="35"/>
  <c r="S267" i="35"/>
  <c r="S280" i="35"/>
  <c r="S297" i="35"/>
  <c r="S259" i="35"/>
  <c r="T379" i="35"/>
  <c r="S377" i="35"/>
  <c r="T363" i="35"/>
  <c r="S354" i="35"/>
  <c r="N335" i="35"/>
  <c r="U333" i="35"/>
  <c r="U308" i="35"/>
  <c r="AI277" i="35"/>
  <c r="AL156" i="35"/>
  <c r="E310" i="35"/>
  <c r="E330" i="35"/>
  <c r="E346" i="35"/>
  <c r="E308" i="35"/>
  <c r="E320" i="35"/>
  <c r="E336" i="35"/>
  <c r="E345" i="35"/>
  <c r="E358" i="35"/>
  <c r="E363" i="35"/>
  <c r="E371" i="35"/>
  <c r="E318" i="35"/>
  <c r="E327" i="35"/>
  <c r="E375" i="35"/>
  <c r="E313" i="35"/>
  <c r="E329" i="35"/>
  <c r="E338" i="35"/>
  <c r="E347" i="35"/>
  <c r="E379" i="35"/>
  <c r="E383" i="35"/>
  <c r="E387" i="35"/>
  <c r="E394" i="35"/>
  <c r="E398" i="35"/>
  <c r="E322" i="35"/>
  <c r="E348" i="35"/>
  <c r="E360" i="35"/>
  <c r="E378" i="35"/>
  <c r="E389" i="35"/>
  <c r="E305" i="35"/>
  <c r="E369" i="35"/>
  <c r="E315" i="35"/>
  <c r="E332" i="35"/>
  <c r="E361" i="35"/>
  <c r="E366" i="35"/>
  <c r="E372" i="35"/>
  <c r="E335" i="35"/>
  <c r="E386" i="35"/>
  <c r="E343" i="35"/>
  <c r="E393" i="35"/>
  <c r="E396" i="35"/>
  <c r="E353" i="35"/>
  <c r="E357" i="35"/>
  <c r="V296" i="35"/>
  <c r="AI286" i="35"/>
  <c r="V277" i="35"/>
  <c r="AL270" i="35"/>
  <c r="V256" i="35"/>
  <c r="V249" i="35"/>
  <c r="AK234" i="35"/>
  <c r="AJ227" i="35"/>
  <c r="AI152" i="35"/>
  <c r="AI157" i="35"/>
  <c r="AI175" i="35"/>
  <c r="AI185" i="35"/>
  <c r="AI160" i="35"/>
  <c r="AI151" i="35"/>
  <c r="AI164" i="35"/>
  <c r="AI144" i="35"/>
  <c r="AI166" i="35"/>
  <c r="AI148" i="35"/>
  <c r="AI155" i="35"/>
  <c r="AI172" i="35"/>
  <c r="AI176" i="35"/>
  <c r="AI186" i="35"/>
  <c r="AI194" i="35"/>
  <c r="AI168" i="35"/>
  <c r="AI170" i="35"/>
  <c r="AI173" i="35"/>
  <c r="AI197" i="35"/>
  <c r="AI200" i="35"/>
  <c r="AI206" i="35"/>
  <c r="AI146" i="35"/>
  <c r="AI153" i="35"/>
  <c r="AI191" i="35"/>
  <c r="AI203" i="35"/>
  <c r="AI183" i="35"/>
  <c r="AI199" i="35"/>
  <c r="AI210" i="35"/>
  <c r="AI215" i="35"/>
  <c r="AI143" i="35"/>
  <c r="AI150" i="35"/>
  <c r="AI178" i="35"/>
  <c r="AI201" i="35"/>
  <c r="AI163" i="35"/>
  <c r="AI156" i="35"/>
  <c r="AI195" i="35"/>
  <c r="AI182" i="35"/>
  <c r="AI159" i="35"/>
  <c r="AI167" i="35"/>
  <c r="AI208" i="35"/>
  <c r="AI211" i="35"/>
  <c r="AI158" i="35"/>
  <c r="AI165" i="35"/>
  <c r="AI209" i="35"/>
  <c r="AI181" i="35"/>
  <c r="AI145" i="35"/>
  <c r="AI154" i="35"/>
  <c r="AI192" i="35"/>
  <c r="AI171" i="35"/>
  <c r="AI179" i="35"/>
  <c r="AI190" i="35"/>
  <c r="AI202" i="35"/>
  <c r="AI188" i="35"/>
  <c r="AI204" i="35"/>
  <c r="AI213" i="35"/>
  <c r="E377" i="35"/>
  <c r="U357" i="35"/>
  <c r="N347" i="35"/>
  <c r="AK270" i="35"/>
  <c r="U235" i="35"/>
  <c r="AI234" i="35"/>
  <c r="AJ221" i="35"/>
  <c r="AI216" i="35"/>
  <c r="F210" i="35"/>
  <c r="AL143" i="35"/>
  <c r="AD115" i="35"/>
  <c r="AD108" i="35"/>
  <c r="U393" i="35"/>
  <c r="D392" i="35"/>
  <c r="E359" i="35"/>
  <c r="S357" i="35"/>
  <c r="N342" i="35"/>
  <c r="S338" i="35"/>
  <c r="U332" i="35"/>
  <c r="N318" i="35"/>
  <c r="AL302" i="35"/>
  <c r="S300" i="35"/>
  <c r="U286" i="35"/>
  <c r="U268" i="35"/>
  <c r="U266" i="35"/>
  <c r="U260" i="35"/>
  <c r="AK251" i="35"/>
  <c r="S249" i="35"/>
  <c r="AJ248" i="35"/>
  <c r="U245" i="35"/>
  <c r="AK244" i="35"/>
  <c r="AD239" i="35"/>
  <c r="AI221" i="35"/>
  <c r="V216" i="35"/>
  <c r="AL196" i="35"/>
  <c r="AI174" i="35"/>
  <c r="V164" i="35"/>
  <c r="AD107" i="35"/>
  <c r="F145" i="35"/>
  <c r="F154" i="35"/>
  <c r="F170" i="35"/>
  <c r="F173" i="35"/>
  <c r="F188" i="35"/>
  <c r="F192" i="35"/>
  <c r="F157" i="35"/>
  <c r="F174" i="35"/>
  <c r="F150" i="35"/>
  <c r="F153" i="35"/>
  <c r="F155" i="35"/>
  <c r="F162" i="35"/>
  <c r="F177" i="35"/>
  <c r="F182" i="35"/>
  <c r="F193" i="35"/>
  <c r="F197" i="35"/>
  <c r="F201" i="35"/>
  <c r="F205" i="35"/>
  <c r="F212" i="35"/>
  <c r="F216" i="35"/>
  <c r="F214" i="35"/>
  <c r="F159" i="35"/>
  <c r="F178" i="35"/>
  <c r="F179" i="35"/>
  <c r="F196" i="35"/>
  <c r="F209" i="35"/>
  <c r="F161" i="35"/>
  <c r="F175" i="35"/>
  <c r="F199" i="35"/>
  <c r="F208" i="35"/>
  <c r="F198" i="35"/>
  <c r="F203" i="35"/>
  <c r="F158" i="35"/>
  <c r="F184" i="35"/>
  <c r="F166" i="35"/>
  <c r="F169" i="35"/>
  <c r="F213" i="35"/>
  <c r="F215" i="35"/>
  <c r="F163" i="35"/>
  <c r="F186" i="35"/>
  <c r="F143" i="35"/>
  <c r="F151" i="35"/>
  <c r="F180" i="35"/>
  <c r="F207" i="35"/>
  <c r="F211" i="35"/>
  <c r="F176" i="35"/>
  <c r="F147" i="35"/>
  <c r="F200" i="35"/>
  <c r="F206" i="35"/>
  <c r="F164" i="35"/>
  <c r="F195" i="35"/>
  <c r="F152" i="35"/>
  <c r="F183" i="35"/>
  <c r="AL224" i="35"/>
  <c r="AL230" i="35"/>
  <c r="AL233" i="35"/>
  <c r="AL236" i="35"/>
  <c r="AL222" i="35"/>
  <c r="AL239" i="35"/>
  <c r="AL251" i="35"/>
  <c r="AL263" i="35"/>
  <c r="AL264" i="35"/>
  <c r="AL294" i="35"/>
  <c r="AL257" i="35"/>
  <c r="AL268" i="35"/>
  <c r="AL243" i="35"/>
  <c r="AL245" i="35"/>
  <c r="AL280" i="35"/>
  <c r="AL283" i="35"/>
  <c r="AL286" i="35"/>
  <c r="AL300" i="35"/>
  <c r="AL247" i="35"/>
  <c r="AL271" i="35"/>
  <c r="AL277" i="35"/>
  <c r="AL297" i="35"/>
  <c r="AL231" i="35"/>
  <c r="AL254" i="35"/>
  <c r="AL274" i="35"/>
  <c r="AL260" i="35"/>
  <c r="AL221" i="35"/>
  <c r="AL234" i="35"/>
  <c r="AL262" i="35"/>
  <c r="AL295" i="35"/>
  <c r="AL276" i="35"/>
  <c r="AL250" i="35"/>
  <c r="AL240" i="35"/>
  <c r="AL223" i="35"/>
  <c r="AL281" i="35"/>
  <c r="AL290" i="35"/>
  <c r="AL292" i="35"/>
  <c r="AL265" i="35"/>
  <c r="AL272" i="35"/>
  <c r="AL237" i="35"/>
  <c r="AL242" i="35"/>
  <c r="AL285" i="35"/>
  <c r="AL298" i="35"/>
  <c r="AL226" i="35"/>
  <c r="AL252" i="35"/>
  <c r="AL267" i="35"/>
  <c r="F165" i="35"/>
  <c r="AL261" i="35"/>
  <c r="F156" i="35"/>
  <c r="F185" i="35"/>
  <c r="V99" i="35"/>
  <c r="T322" i="35"/>
  <c r="T338" i="35"/>
  <c r="T354" i="35"/>
  <c r="T357" i="35"/>
  <c r="T328" i="35"/>
  <c r="T344" i="35"/>
  <c r="T307" i="35"/>
  <c r="T335" i="35"/>
  <c r="T337" i="35"/>
  <c r="T346" i="35"/>
  <c r="T353" i="35"/>
  <c r="T368" i="35"/>
  <c r="T372" i="35"/>
  <c r="T376" i="35"/>
  <c r="T380" i="35"/>
  <c r="T384" i="35"/>
  <c r="T388" i="35"/>
  <c r="T395" i="35"/>
  <c r="T319" i="35"/>
  <c r="T339" i="35"/>
  <c r="T321" i="35"/>
  <c r="T331" i="35"/>
  <c r="T390" i="35"/>
  <c r="T308" i="35"/>
  <c r="T313" i="35"/>
  <c r="T364" i="35"/>
  <c r="T370" i="35"/>
  <c r="T381" i="35"/>
  <c r="T394" i="35"/>
  <c r="T397" i="35"/>
  <c r="T352" i="35"/>
  <c r="T366" i="35"/>
  <c r="T306" i="35"/>
  <c r="T326" i="35"/>
  <c r="T329" i="35"/>
  <c r="T334" i="35"/>
  <c r="T342" i="35"/>
  <c r="T355" i="35"/>
  <c r="T375" i="35"/>
  <c r="T378" i="35"/>
  <c r="T389" i="35"/>
  <c r="T361" i="35"/>
  <c r="AL275" i="35"/>
  <c r="F171" i="35"/>
  <c r="AD110" i="35"/>
  <c r="U396" i="35"/>
  <c r="U387" i="35"/>
  <c r="U365" i="35"/>
  <c r="T312" i="35"/>
  <c r="AL293" i="35"/>
  <c r="AK253" i="35"/>
  <c r="AK245" i="35"/>
  <c r="AL241" i="35"/>
  <c r="AL235" i="35"/>
  <c r="AK228" i="35"/>
  <c r="S385" i="35"/>
  <c r="T369" i="35"/>
  <c r="K308" i="35"/>
  <c r="AJ289" i="35"/>
  <c r="AK284" i="35"/>
  <c r="AK280" i="35"/>
  <c r="AJ275" i="35"/>
  <c r="AL266" i="35"/>
  <c r="AJ253" i="35"/>
  <c r="AK241" i="35"/>
  <c r="AK235" i="35"/>
  <c r="AI222" i="35"/>
  <c r="F144" i="35"/>
  <c r="S398" i="35"/>
  <c r="U350" i="35"/>
  <c r="T325" i="35"/>
  <c r="AI298" i="35"/>
  <c r="AK296" i="35"/>
  <c r="AI293" i="35"/>
  <c r="AI289" i="35"/>
  <c r="AK286" i="35"/>
  <c r="AJ284" i="35"/>
  <c r="AJ280" i="35"/>
  <c r="AI275" i="35"/>
  <c r="AD249" i="35"/>
  <c r="AK236" i="35"/>
  <c r="T383" i="35"/>
  <c r="T359" i="35"/>
  <c r="S318" i="35"/>
  <c r="AK268" i="35"/>
  <c r="V230" i="35"/>
  <c r="V220" i="35"/>
  <c r="V228" i="35"/>
  <c r="V241" i="35"/>
  <c r="V219" i="35"/>
  <c r="V231" i="35"/>
  <c r="V246" i="35"/>
  <c r="V262" i="35"/>
  <c r="V221" i="35"/>
  <c r="V240" i="35"/>
  <c r="V252" i="35"/>
  <c r="V267" i="35"/>
  <c r="V229" i="35"/>
  <c r="V291" i="35"/>
  <c r="V295" i="35"/>
  <c r="V226" i="35"/>
  <c r="V232" i="35"/>
  <c r="V255" i="35"/>
  <c r="V294" i="35"/>
  <c r="V253" i="35"/>
  <c r="V270" i="35"/>
  <c r="V288" i="35"/>
  <c r="V302" i="35"/>
  <c r="V259" i="35"/>
  <c r="V279" i="35"/>
  <c r="V282" i="35"/>
  <c r="V285" i="35"/>
  <c r="V299" i="35"/>
  <c r="V248" i="35"/>
  <c r="V276" i="35"/>
  <c r="V235" i="35"/>
  <c r="V278" i="35"/>
  <c r="V258" i="35"/>
  <c r="V269" i="35"/>
  <c r="V280" i="35"/>
  <c r="V289" i="35"/>
  <c r="V236" i="35"/>
  <c r="V272" i="35"/>
  <c r="V300" i="35"/>
  <c r="V238" i="35"/>
  <c r="V243" i="35"/>
  <c r="V264" i="35"/>
  <c r="V274" i="35"/>
  <c r="V287" i="35"/>
  <c r="V222" i="35"/>
  <c r="AL219" i="35"/>
  <c r="K146" i="35"/>
  <c r="S379" i="35"/>
  <c r="S359" i="35"/>
  <c r="N339" i="35"/>
  <c r="U324" i="35"/>
  <c r="S282" i="35"/>
  <c r="AI266" i="35"/>
  <c r="U219" i="35"/>
  <c r="U244" i="35"/>
  <c r="U231" i="35"/>
  <c r="U234" i="35"/>
  <c r="U243" i="35"/>
  <c r="U249" i="35"/>
  <c r="U272" i="35"/>
  <c r="U276" i="35"/>
  <c r="U280" i="35"/>
  <c r="U284" i="35"/>
  <c r="U288" i="35"/>
  <c r="U292" i="35"/>
  <c r="U299" i="35"/>
  <c r="U255" i="35"/>
  <c r="U271" i="35"/>
  <c r="U246" i="35"/>
  <c r="U253" i="35"/>
  <c r="U267" i="35"/>
  <c r="U270" i="35"/>
  <c r="U302" i="35"/>
  <c r="U259" i="35"/>
  <c r="U279" i="35"/>
  <c r="U282" i="35"/>
  <c r="U285" i="35"/>
  <c r="U228" i="35"/>
  <c r="U226" i="35"/>
  <c r="U232" i="35"/>
  <c r="U248" i="35"/>
  <c r="U294" i="35"/>
  <c r="U224" i="35"/>
  <c r="U273" i="35"/>
  <c r="U300" i="35"/>
  <c r="U269" i="35"/>
  <c r="U222" i="35"/>
  <c r="U251" i="35"/>
  <c r="U261" i="35"/>
  <c r="U297" i="35"/>
  <c r="U238" i="35"/>
  <c r="U241" i="35"/>
  <c r="U264" i="35"/>
  <c r="U274" i="35"/>
  <c r="U287" i="35"/>
  <c r="U258" i="35"/>
  <c r="U289" i="35"/>
  <c r="U236" i="35"/>
  <c r="U278" i="35"/>
  <c r="AK221" i="35"/>
  <c r="AJ219" i="35"/>
  <c r="F202" i="35"/>
  <c r="AL191" i="35"/>
  <c r="F189" i="35"/>
  <c r="AL172" i="35"/>
  <c r="AD163" i="35"/>
  <c r="F148" i="35"/>
  <c r="F146" i="35"/>
  <c r="E392" i="35"/>
  <c r="S333" i="35"/>
  <c r="T324" i="35"/>
  <c r="U296" i="35"/>
  <c r="S284" i="35"/>
  <c r="V266" i="35"/>
  <c r="U256" i="35"/>
  <c r="AD252" i="35"/>
  <c r="V245" i="35"/>
  <c r="AI161" i="35"/>
  <c r="F160" i="35"/>
  <c r="AL151" i="35"/>
  <c r="T393" i="35"/>
  <c r="U374" i="35"/>
  <c r="N354" i="35"/>
  <c r="E350" i="35"/>
  <c r="N346" i="35"/>
  <c r="U345" i="35"/>
  <c r="T341" i="35"/>
  <c r="E339" i="35"/>
  <c r="T332" i="35"/>
  <c r="E325" i="35"/>
  <c r="E321" i="35"/>
  <c r="U320" i="35"/>
  <c r="T316" i="35"/>
  <c r="AI306" i="35"/>
  <c r="AI330" i="35"/>
  <c r="AI346" i="35"/>
  <c r="AI320" i="35"/>
  <c r="AI336" i="35"/>
  <c r="AI318" i="35"/>
  <c r="AI338" i="35"/>
  <c r="AI369" i="35"/>
  <c r="AI373" i="35"/>
  <c r="AI377" i="35"/>
  <c r="AI381" i="35"/>
  <c r="AI385" i="35"/>
  <c r="AI389" i="35"/>
  <c r="AI396" i="35"/>
  <c r="AI329" i="35"/>
  <c r="AI347" i="35"/>
  <c r="AI360" i="35"/>
  <c r="AI364" i="35"/>
  <c r="AI314" i="35"/>
  <c r="AI322" i="35"/>
  <c r="AI349" i="35"/>
  <c r="AI354" i="35"/>
  <c r="AI359" i="35"/>
  <c r="AI312" i="35"/>
  <c r="AI343" i="35"/>
  <c r="AI353" i="35"/>
  <c r="AI356" i="35"/>
  <c r="AI362" i="35"/>
  <c r="AI309" i="35"/>
  <c r="AI328" i="35"/>
  <c r="AI351" i="35"/>
  <c r="AI394" i="35"/>
  <c r="AI325" i="35"/>
  <c r="AI384" i="35"/>
  <c r="AI387" i="35"/>
  <c r="AI391" i="35"/>
  <c r="AI339" i="35"/>
  <c r="AI397" i="35"/>
  <c r="AI333" i="35"/>
  <c r="AI341" i="35"/>
  <c r="AI358" i="35"/>
  <c r="AI310" i="35"/>
  <c r="AI367" i="35"/>
  <c r="AI355" i="35"/>
  <c r="AI370" i="35"/>
  <c r="AI390" i="35"/>
  <c r="AI307" i="35"/>
  <c r="S296" i="35"/>
  <c r="AL288" i="35"/>
  <c r="AL279" i="35"/>
  <c r="S277" i="35"/>
  <c r="S270" i="35"/>
  <c r="AK262" i="35"/>
  <c r="AK258" i="35"/>
  <c r="U252" i="35"/>
  <c r="AI244" i="35"/>
  <c r="AK243" i="35"/>
  <c r="S229" i="35"/>
  <c r="U221" i="35"/>
  <c r="F204" i="35"/>
  <c r="AL201" i="35"/>
  <c r="F191" i="35"/>
  <c r="V174" i="35"/>
  <c r="AL145" i="35"/>
  <c r="AD114" i="35"/>
  <c r="AL259" i="35"/>
  <c r="AL249" i="35"/>
  <c r="AD103" i="35"/>
  <c r="U312" i="35"/>
  <c r="AL228" i="35"/>
  <c r="AJ226" i="35"/>
  <c r="AJ236" i="35"/>
  <c r="AJ220" i="35"/>
  <c r="AJ228" i="35"/>
  <c r="AJ257" i="35"/>
  <c r="AJ268" i="35"/>
  <c r="AJ230" i="35"/>
  <c r="AJ234" i="35"/>
  <c r="AJ241" i="35"/>
  <c r="AJ244" i="35"/>
  <c r="AJ247" i="35"/>
  <c r="AJ262" i="35"/>
  <c r="AJ222" i="35"/>
  <c r="AJ264" i="35"/>
  <c r="AJ274" i="35"/>
  <c r="AJ277" i="35"/>
  <c r="AJ231" i="35"/>
  <c r="AJ233" i="35"/>
  <c r="AJ260" i="35"/>
  <c r="AJ263" i="35"/>
  <c r="AJ256" i="35"/>
  <c r="AJ254" i="35"/>
  <c r="AJ267" i="35"/>
  <c r="AJ288" i="35"/>
  <c r="AJ291" i="35"/>
  <c r="AJ296" i="35"/>
  <c r="AJ249" i="35"/>
  <c r="AJ270" i="35"/>
  <c r="AJ295" i="35"/>
  <c r="AJ237" i="35"/>
  <c r="AJ242" i="35"/>
  <c r="AJ281" i="35"/>
  <c r="AJ283" i="35"/>
  <c r="AJ298" i="35"/>
  <c r="AJ302" i="35"/>
  <c r="AJ245" i="35"/>
  <c r="AJ255" i="35"/>
  <c r="AJ287" i="35"/>
  <c r="AJ252" i="35"/>
  <c r="AJ265" i="35"/>
  <c r="AJ276" i="35"/>
  <c r="AJ285" i="35"/>
  <c r="AJ240" i="35"/>
  <c r="AJ294" i="35"/>
  <c r="AJ250" i="35"/>
  <c r="AJ272" i="35"/>
  <c r="AJ300" i="35"/>
  <c r="AJ235" i="35"/>
  <c r="T385" i="35"/>
  <c r="S325" i="35"/>
  <c r="S341" i="35"/>
  <c r="S331" i="35"/>
  <c r="S347" i="35"/>
  <c r="S328" i="35"/>
  <c r="S337" i="35"/>
  <c r="S346" i="35"/>
  <c r="S353" i="35"/>
  <c r="S368" i="35"/>
  <c r="S372" i="35"/>
  <c r="S376" i="35"/>
  <c r="S380" i="35"/>
  <c r="S384" i="35"/>
  <c r="S388" i="35"/>
  <c r="S395" i="35"/>
  <c r="S319" i="35"/>
  <c r="S339" i="35"/>
  <c r="S321" i="35"/>
  <c r="S330" i="35"/>
  <c r="S348" i="35"/>
  <c r="S358" i="35"/>
  <c r="S363" i="35"/>
  <c r="S367" i="35"/>
  <c r="S344" i="35"/>
  <c r="S364" i="35"/>
  <c r="S370" i="35"/>
  <c r="S381" i="35"/>
  <c r="S394" i="35"/>
  <c r="S397" i="35"/>
  <c r="S313" i="35"/>
  <c r="S317" i="35"/>
  <c r="S306" i="35"/>
  <c r="S326" i="35"/>
  <c r="S329" i="35"/>
  <c r="S334" i="35"/>
  <c r="S342" i="35"/>
  <c r="S308" i="35"/>
  <c r="S340" i="35"/>
  <c r="S386" i="35"/>
  <c r="S352" i="35"/>
  <c r="S355" i="35"/>
  <c r="S375" i="35"/>
  <c r="S378" i="35"/>
  <c r="S389" i="35"/>
  <c r="S361" i="35"/>
  <c r="S366" i="35"/>
  <c r="S324" i="35"/>
  <c r="S350" i="35"/>
  <c r="S360" i="35"/>
  <c r="S383" i="35"/>
  <c r="N315" i="35"/>
  <c r="N321" i="35"/>
  <c r="N337" i="35"/>
  <c r="N353" i="35"/>
  <c r="N327" i="35"/>
  <c r="N343" i="35"/>
  <c r="N332" i="35"/>
  <c r="N341" i="35"/>
  <c r="N350" i="35"/>
  <c r="N316" i="35"/>
  <c r="N325" i="35"/>
  <c r="N334" i="35"/>
  <c r="N352" i="35"/>
  <c r="N317" i="35"/>
  <c r="N320" i="35"/>
  <c r="N324" i="35"/>
  <c r="N340" i="35"/>
  <c r="N345" i="35"/>
  <c r="N322" i="35"/>
  <c r="N338" i="35"/>
  <c r="N348" i="35"/>
  <c r="AL289" i="35"/>
  <c r="AL284" i="35"/>
  <c r="AK275" i="35"/>
  <c r="AL229" i="35"/>
  <c r="T398" i="35"/>
  <c r="T373" i="35"/>
  <c r="T367" i="35"/>
  <c r="T365" i="35"/>
  <c r="U361" i="35"/>
  <c r="N351" i="35"/>
  <c r="T343" i="35"/>
  <c r="AD235" i="35"/>
  <c r="AD229" i="35"/>
  <c r="AD256" i="35"/>
  <c r="AD246" i="35"/>
  <c r="AD236" i="35"/>
  <c r="AD238" i="35"/>
  <c r="AD242" i="35"/>
  <c r="AD258" i="35"/>
  <c r="AD234" i="35"/>
  <c r="AD244" i="35"/>
  <c r="AD251" i="35"/>
  <c r="AD253" i="35"/>
  <c r="AD240" i="35"/>
  <c r="AD248" i="35"/>
  <c r="AD243" i="35"/>
  <c r="AD232" i="35"/>
  <c r="AD231" i="35"/>
  <c r="AD241" i="35"/>
  <c r="AD169" i="35"/>
  <c r="AD153" i="35"/>
  <c r="AD156" i="35"/>
  <c r="AD170" i="35"/>
  <c r="AD162" i="35"/>
  <c r="AD154" i="35"/>
  <c r="AD157" i="35"/>
  <c r="AD160" i="35"/>
  <c r="AD166" i="35"/>
  <c r="AD164" i="35"/>
  <c r="AD171" i="35"/>
  <c r="AD165" i="35"/>
  <c r="AD159" i="35"/>
  <c r="AD167" i="35"/>
  <c r="AD172" i="35"/>
  <c r="AD155" i="35"/>
  <c r="S396" i="35"/>
  <c r="S392" i="35"/>
  <c r="S387" i="35"/>
  <c r="U383" i="35"/>
  <c r="U379" i="35"/>
  <c r="T377" i="35"/>
  <c r="S373" i="35"/>
  <c r="S371" i="35"/>
  <c r="U363" i="35"/>
  <c r="S343" i="35"/>
  <c r="T318" i="35"/>
  <c r="AK282" i="35"/>
  <c r="AK266" i="35"/>
  <c r="AI241" i="35"/>
  <c r="AJ239" i="35"/>
  <c r="AJ229" i="35"/>
  <c r="T350" i="35"/>
  <c r="N330" i="35"/>
  <c r="T314" i="35"/>
  <c r="F311" i="35"/>
  <c r="AJ286" i="35"/>
  <c r="AJ282" i="35"/>
  <c r="AJ266" i="35"/>
  <c r="AD245" i="35"/>
  <c r="AL227" i="35"/>
  <c r="T333" i="35"/>
  <c r="S314" i="35"/>
  <c r="S272" i="35"/>
  <c r="AI268" i="35"/>
  <c r="AL255" i="35"/>
  <c r="AL248" i="35"/>
  <c r="V224" i="35"/>
  <c r="U338" i="35"/>
  <c r="N329" i="35"/>
  <c r="U317" i="35"/>
  <c r="E314" i="35"/>
  <c r="D309" i="35"/>
  <c r="D314" i="35"/>
  <c r="D317" i="35"/>
  <c r="D333" i="35"/>
  <c r="D349" i="35"/>
  <c r="D356" i="35"/>
  <c r="D360" i="35"/>
  <c r="D323" i="35"/>
  <c r="D339" i="35"/>
  <c r="D318" i="35"/>
  <c r="D327" i="35"/>
  <c r="D336" i="35"/>
  <c r="D313" i="35"/>
  <c r="D329" i="35"/>
  <c r="D338" i="35"/>
  <c r="D347" i="35"/>
  <c r="D371" i="35"/>
  <c r="D375" i="35"/>
  <c r="D379" i="35"/>
  <c r="D383" i="35"/>
  <c r="D387" i="35"/>
  <c r="D394" i="35"/>
  <c r="D398" i="35"/>
  <c r="D306" i="35"/>
  <c r="D310" i="35"/>
  <c r="D320" i="35"/>
  <c r="D354" i="35"/>
  <c r="D366" i="35"/>
  <c r="D308" i="35"/>
  <c r="D332" i="35"/>
  <c r="D361" i="35"/>
  <c r="D325" i="35"/>
  <c r="D335" i="35"/>
  <c r="D386" i="35"/>
  <c r="D315" i="35"/>
  <c r="D357" i="35"/>
  <c r="D377" i="35"/>
  <c r="D305" i="35"/>
  <c r="D330" i="35"/>
  <c r="D343" i="35"/>
  <c r="D369" i="35"/>
  <c r="D372" i="35"/>
  <c r="D393" i="35"/>
  <c r="D396" i="35"/>
  <c r="D353" i="35"/>
  <c r="D380" i="35"/>
  <c r="V286" i="35"/>
  <c r="U277" i="35"/>
  <c r="V268" i="35"/>
  <c r="AI264" i="35"/>
  <c r="V260" i="35"/>
  <c r="AK255" i="35"/>
  <c r="AK248" i="35"/>
  <c r="AL244" i="35"/>
  <c r="S240" i="35"/>
  <c r="U229" i="35"/>
  <c r="V147" i="35"/>
  <c r="V159" i="35"/>
  <c r="V189" i="35"/>
  <c r="V146" i="35"/>
  <c r="V148" i="35"/>
  <c r="V162" i="35"/>
  <c r="V144" i="35"/>
  <c r="V161" i="35"/>
  <c r="V154" i="35"/>
  <c r="V163" i="35"/>
  <c r="V172" i="35"/>
  <c r="V183" i="35"/>
  <c r="V187" i="35"/>
  <c r="V194" i="35"/>
  <c r="V198" i="35"/>
  <c r="V202" i="35"/>
  <c r="V206" i="35"/>
  <c r="V213" i="35"/>
  <c r="V156" i="35"/>
  <c r="V197" i="35"/>
  <c r="V200" i="35"/>
  <c r="V143" i="35"/>
  <c r="V152" i="35"/>
  <c r="V158" i="35"/>
  <c r="V191" i="35"/>
  <c r="V203" i="35"/>
  <c r="V160" i="35"/>
  <c r="V165" i="35"/>
  <c r="V182" i="35"/>
  <c r="V185" i="35"/>
  <c r="V211" i="35"/>
  <c r="V167" i="35"/>
  <c r="V196" i="35"/>
  <c r="V209" i="35"/>
  <c r="V171" i="35"/>
  <c r="V178" i="35"/>
  <c r="V195" i="35"/>
  <c r="V208" i="35"/>
  <c r="V184" i="35"/>
  <c r="V201" i="35"/>
  <c r="V168" i="35"/>
  <c r="V199" i="35"/>
  <c r="V157" i="35"/>
  <c r="V173" i="35"/>
  <c r="V192" i="35"/>
  <c r="V145" i="35"/>
  <c r="V215" i="35"/>
  <c r="V179" i="35"/>
  <c r="V190" i="35"/>
  <c r="V155" i="35"/>
  <c r="V166" i="35"/>
  <c r="V181" i="35"/>
  <c r="V188" i="35"/>
  <c r="V204" i="35"/>
  <c r="E395" i="35"/>
  <c r="S393" i="35"/>
  <c r="U382" i="35"/>
  <c r="T374" i="35"/>
  <c r="E368" i="35"/>
  <c r="U362" i="35"/>
  <c r="D350" i="35"/>
  <c r="U349" i="35"/>
  <c r="T345" i="35"/>
  <c r="S332" i="35"/>
  <c r="D321" i="35"/>
  <c r="T320" i="35"/>
  <c r="S316" i="35"/>
  <c r="S307" i="35"/>
  <c r="T305" i="35"/>
  <c r="AK294" i="35"/>
  <c r="AJ290" i="35"/>
  <c r="S288" i="35"/>
  <c r="S286" i="35"/>
  <c r="AI281" i="35"/>
  <c r="AK279" i="35"/>
  <c r="S268" i="35"/>
  <c r="S264" i="35"/>
  <c r="AI262" i="35"/>
  <c r="S260" i="35"/>
  <c r="AJ258" i="35"/>
  <c r="AD255" i="35"/>
  <c r="S252" i="35"/>
  <c r="AI251" i="35"/>
  <c r="AJ243" i="35"/>
  <c r="V239" i="35"/>
  <c r="AI193" i="35"/>
  <c r="F181" i="35"/>
  <c r="AL178" i="35"/>
  <c r="F168" i="35"/>
  <c r="F167" i="35"/>
  <c r="V153" i="35"/>
  <c r="T231" i="35"/>
  <c r="T219" i="35"/>
  <c r="T234" i="35"/>
  <c r="T237" i="35"/>
  <c r="T221" i="35"/>
  <c r="T240" i="35"/>
  <c r="T252" i="35"/>
  <c r="T267" i="35"/>
  <c r="T258" i="35"/>
  <c r="T261" i="35"/>
  <c r="T259" i="35"/>
  <c r="T279" i="35"/>
  <c r="T282" i="35"/>
  <c r="T285" i="35"/>
  <c r="T288" i="35"/>
  <c r="T262" i="35"/>
  <c r="T226" i="35"/>
  <c r="T232" i="35"/>
  <c r="T248" i="35"/>
  <c r="T294" i="35"/>
  <c r="T299" i="35"/>
  <c r="T224" i="35"/>
  <c r="T228" i="35"/>
  <c r="T255" i="35"/>
  <c r="T273" i="35"/>
  <c r="T276" i="35"/>
  <c r="T241" i="35"/>
  <c r="T250" i="35"/>
  <c r="C150" i="35"/>
  <c r="C163" i="35"/>
  <c r="C177" i="35"/>
  <c r="C144" i="35"/>
  <c r="C166" i="35"/>
  <c r="C164" i="35"/>
  <c r="C211" i="35"/>
  <c r="C157" i="35"/>
  <c r="C185" i="35"/>
  <c r="C189" i="35"/>
  <c r="C210" i="35"/>
  <c r="C155" i="35"/>
  <c r="C172" i="35"/>
  <c r="C202" i="35"/>
  <c r="C205" i="35"/>
  <c r="C208" i="35"/>
  <c r="C145" i="35"/>
  <c r="C168" i="35"/>
  <c r="C170" i="35"/>
  <c r="C181" i="35"/>
  <c r="C184" i="35"/>
  <c r="C190" i="35"/>
  <c r="C151" i="35"/>
  <c r="C159" i="35"/>
  <c r="C171" i="35"/>
  <c r="C180" i="35"/>
  <c r="C191" i="35"/>
  <c r="C147" i="35"/>
  <c r="C153" i="35"/>
  <c r="C182" i="35"/>
  <c r="C193" i="35"/>
  <c r="C200" i="35"/>
  <c r="C186" i="35"/>
  <c r="C192" i="35"/>
  <c r="C194" i="35"/>
  <c r="C175" i="35"/>
  <c r="C196" i="35"/>
  <c r="C188" i="35"/>
  <c r="C198" i="35"/>
  <c r="C216" i="35"/>
  <c r="C165" i="35"/>
  <c r="F110" i="35"/>
  <c r="F126" i="35"/>
  <c r="F130" i="35"/>
  <c r="F131" i="35"/>
  <c r="F100" i="35"/>
  <c r="F113" i="35"/>
  <c r="F112" i="35"/>
  <c r="F135" i="35"/>
  <c r="F138" i="35"/>
  <c r="F93" i="35"/>
  <c r="F97" i="35"/>
  <c r="F114" i="35"/>
  <c r="F119" i="35"/>
  <c r="F122" i="35"/>
  <c r="F121" i="35"/>
  <c r="F124" i="35"/>
  <c r="F116" i="35"/>
  <c r="F118" i="35"/>
  <c r="F111" i="35"/>
  <c r="F123" i="35"/>
  <c r="F132" i="35"/>
  <c r="F95" i="35"/>
  <c r="F105" i="35"/>
  <c r="F129" i="35"/>
  <c r="F109" i="35"/>
  <c r="F120" i="35"/>
  <c r="F128" i="35"/>
  <c r="F136" i="35"/>
  <c r="F106" i="35"/>
  <c r="T302" i="35"/>
  <c r="T289" i="35"/>
  <c r="T269" i="35"/>
  <c r="C178" i="35"/>
  <c r="E100" i="35"/>
  <c r="E113" i="35"/>
  <c r="E94" i="35"/>
  <c r="E116" i="35"/>
  <c r="E120" i="35"/>
  <c r="E138" i="35"/>
  <c r="E93" i="35"/>
  <c r="E97" i="35"/>
  <c r="E114" i="35"/>
  <c r="E119" i="35"/>
  <c r="E122" i="35"/>
  <c r="E126" i="35"/>
  <c r="E118" i="35"/>
  <c r="E111" i="35"/>
  <c r="E123" i="35"/>
  <c r="E132" i="35"/>
  <c r="E109" i="35"/>
  <c r="E136" i="35"/>
  <c r="E95" i="35"/>
  <c r="E105" i="35"/>
  <c r="E127" i="35"/>
  <c r="E108" i="35"/>
  <c r="E115" i="35"/>
  <c r="E133" i="35"/>
  <c r="E128" i="35"/>
  <c r="E130" i="35"/>
  <c r="E106" i="35"/>
  <c r="T222" i="35"/>
  <c r="AT158" i="35"/>
  <c r="AT161" i="35"/>
  <c r="AT169" i="35"/>
  <c r="AT160" i="35"/>
  <c r="AT163" i="35"/>
  <c r="AT157" i="35"/>
  <c r="AT156" i="35"/>
  <c r="AT153" i="35"/>
  <c r="AT159" i="35"/>
  <c r="AT166" i="35"/>
  <c r="AT155" i="35"/>
  <c r="AD326" i="35"/>
  <c r="AD342" i="35"/>
  <c r="AD316" i="35"/>
  <c r="AD332" i="35"/>
  <c r="AD348" i="35"/>
  <c r="AD333" i="35"/>
  <c r="AD324" i="35"/>
  <c r="AD351" i="35"/>
  <c r="AD315" i="35"/>
  <c r="AD317" i="35"/>
  <c r="AD344" i="35"/>
  <c r="T278" i="35"/>
  <c r="T253" i="35"/>
  <c r="T243" i="35"/>
  <c r="C176" i="35"/>
  <c r="C158" i="35"/>
  <c r="AK167" i="35"/>
  <c r="AK181" i="35"/>
  <c r="AK154" i="35"/>
  <c r="AK170" i="35"/>
  <c r="AK162" i="35"/>
  <c r="AK195" i="35"/>
  <c r="AK199" i="35"/>
  <c r="AK203" i="35"/>
  <c r="AK207" i="35"/>
  <c r="AK214" i="35"/>
  <c r="AK155" i="35"/>
  <c r="AK175" i="35"/>
  <c r="AK180" i="35"/>
  <c r="AK191" i="35"/>
  <c r="AK150" i="35"/>
  <c r="AK159" i="35"/>
  <c r="AK147" i="35"/>
  <c r="AK161" i="35"/>
  <c r="AK212" i="35"/>
  <c r="AK215" i="35"/>
  <c r="AK148" i="35"/>
  <c r="AK152" i="35"/>
  <c r="AK166" i="35"/>
  <c r="AK172" i="35"/>
  <c r="AK176" i="35"/>
  <c r="AK186" i="35"/>
  <c r="AK194" i="35"/>
  <c r="AK153" i="35"/>
  <c r="AK192" i="35"/>
  <c r="AK204" i="35"/>
  <c r="AK173" i="35"/>
  <c r="AK183" i="35"/>
  <c r="AK210" i="35"/>
  <c r="AK144" i="35"/>
  <c r="AK146" i="35"/>
  <c r="AK187" i="35"/>
  <c r="AK201" i="35"/>
  <c r="AK163" i="35"/>
  <c r="AK189" i="35"/>
  <c r="AK193" i="35"/>
  <c r="AK197" i="35"/>
  <c r="AK156" i="35"/>
  <c r="AK164" i="35"/>
  <c r="F108" i="35"/>
  <c r="T297" i="35"/>
  <c r="T280" i="35"/>
  <c r="T251" i="35"/>
  <c r="T246" i="35"/>
  <c r="T236" i="35"/>
  <c r="C174" i="35"/>
  <c r="F103" i="35"/>
  <c r="T287" i="35"/>
  <c r="T274" i="35"/>
  <c r="T272" i="35"/>
  <c r="T264" i="35"/>
  <c r="T238" i="35"/>
  <c r="AT229" i="35"/>
  <c r="AT240" i="35"/>
  <c r="AT230" i="35"/>
  <c r="AT237" i="35"/>
  <c r="AT245" i="35"/>
  <c r="AT239" i="35"/>
  <c r="AT251" i="35"/>
  <c r="AT235" i="35"/>
  <c r="AT233" i="35"/>
  <c r="AT252" i="35"/>
  <c r="AT247" i="35"/>
  <c r="AT243" i="35"/>
  <c r="C206" i="35"/>
  <c r="C169" i="35"/>
  <c r="C152" i="35"/>
  <c r="AJ154" i="35"/>
  <c r="AJ170" i="35"/>
  <c r="AJ152" i="35"/>
  <c r="AJ157" i="35"/>
  <c r="AJ155" i="35"/>
  <c r="AJ175" i="35"/>
  <c r="AJ180" i="35"/>
  <c r="AJ191" i="35"/>
  <c r="AJ151" i="35"/>
  <c r="AJ164" i="35"/>
  <c r="AJ147" i="35"/>
  <c r="AJ161" i="35"/>
  <c r="AJ212" i="35"/>
  <c r="AJ215" i="35"/>
  <c r="AJ148" i="35"/>
  <c r="AJ166" i="35"/>
  <c r="AJ172" i="35"/>
  <c r="AJ176" i="35"/>
  <c r="AJ186" i="35"/>
  <c r="AJ194" i="35"/>
  <c r="AJ168" i="35"/>
  <c r="AJ173" i="35"/>
  <c r="AJ197" i="35"/>
  <c r="AJ200" i="35"/>
  <c r="AJ206" i="35"/>
  <c r="AJ159" i="35"/>
  <c r="AJ171" i="35"/>
  <c r="AJ181" i="35"/>
  <c r="AJ163" i="35"/>
  <c r="AJ185" i="35"/>
  <c r="AJ189" i="35"/>
  <c r="AJ193" i="35"/>
  <c r="AJ178" i="35"/>
  <c r="AJ199" i="35"/>
  <c r="AJ211" i="35"/>
  <c r="AJ156" i="35"/>
  <c r="AJ195" i="35"/>
  <c r="AJ201" i="35"/>
  <c r="AJ167" i="35"/>
  <c r="AJ203" i="35"/>
  <c r="AJ208" i="35"/>
  <c r="C143" i="35"/>
  <c r="F140" i="35"/>
  <c r="AL104" i="35"/>
  <c r="AL124" i="35"/>
  <c r="AL128" i="35"/>
  <c r="AL102" i="35"/>
  <c r="AL107" i="35"/>
  <c r="AL118" i="35"/>
  <c r="AL95" i="35"/>
  <c r="AL112" i="35"/>
  <c r="AL127" i="35"/>
  <c r="AL132" i="35"/>
  <c r="AL125" i="35"/>
  <c r="AL130" i="35"/>
  <c r="AL116" i="35"/>
  <c r="AL94" i="35"/>
  <c r="AL97" i="35"/>
  <c r="AL111" i="35"/>
  <c r="AL136" i="35"/>
  <c r="AL140" i="35"/>
  <c r="AL100" i="35"/>
  <c r="AL103" i="35"/>
  <c r="AL108" i="35"/>
  <c r="AL115" i="35"/>
  <c r="AL119" i="35"/>
  <c r="AT114" i="35"/>
  <c r="AT117" i="35"/>
  <c r="AT110" i="35"/>
  <c r="AT105" i="35"/>
  <c r="AT111" i="35"/>
  <c r="AK324" i="35"/>
  <c r="AK340" i="35"/>
  <c r="AK306" i="35"/>
  <c r="AK330" i="35"/>
  <c r="AK346" i="35"/>
  <c r="AT315" i="35"/>
  <c r="AT331" i="35"/>
  <c r="AT347" i="35"/>
  <c r="AT321" i="35"/>
  <c r="AT337" i="35"/>
  <c r="F223" i="35"/>
  <c r="F236" i="35"/>
  <c r="F227" i="35"/>
  <c r="F222" i="35"/>
  <c r="F224" i="35"/>
  <c r="F257" i="35"/>
  <c r="F261" i="35"/>
  <c r="F232" i="35"/>
  <c r="F247" i="35"/>
  <c r="F266" i="35"/>
  <c r="F270" i="35"/>
  <c r="F221" i="35"/>
  <c r="U146" i="35"/>
  <c r="U148" i="35"/>
  <c r="U162" i="35"/>
  <c r="U180" i="35"/>
  <c r="U184" i="35"/>
  <c r="U165" i="35"/>
  <c r="U154" i="35"/>
  <c r="U163" i="35"/>
  <c r="U172" i="35"/>
  <c r="U183" i="35"/>
  <c r="U187" i="35"/>
  <c r="U194" i="35"/>
  <c r="U198" i="35"/>
  <c r="U202" i="35"/>
  <c r="U206" i="35"/>
  <c r="U213" i="35"/>
  <c r="U143" i="35"/>
  <c r="U152" i="35"/>
  <c r="U158" i="35"/>
  <c r="U191" i="35"/>
  <c r="U203" i="35"/>
  <c r="U160" i="35"/>
  <c r="U182" i="35"/>
  <c r="U185" i="35"/>
  <c r="U211" i="35"/>
  <c r="U171" i="35"/>
  <c r="U179" i="35"/>
  <c r="U188" i="35"/>
  <c r="U150" i="35"/>
  <c r="U164" i="35"/>
  <c r="U169" i="35"/>
  <c r="U173" i="35"/>
  <c r="U201" i="35"/>
  <c r="U145" i="35"/>
  <c r="AL101" i="35"/>
  <c r="AK102" i="35"/>
  <c r="AK107" i="35"/>
  <c r="AK118" i="35"/>
  <c r="AK110" i="35"/>
  <c r="AK122" i="35"/>
  <c r="AK123" i="35"/>
  <c r="AK136" i="35"/>
  <c r="AK140" i="35"/>
  <c r="AK112" i="35"/>
  <c r="AK127" i="35"/>
  <c r="AK132" i="35"/>
  <c r="AK103" i="35"/>
  <c r="AK139" i="35"/>
  <c r="AK116" i="35"/>
  <c r="AK94" i="35"/>
  <c r="AK97" i="35"/>
  <c r="AK111" i="35"/>
  <c r="AK98" i="35"/>
  <c r="AK100" i="35"/>
  <c r="AK105" i="35"/>
  <c r="AK109" i="35"/>
  <c r="AK134" i="35"/>
  <c r="AK137" i="35"/>
  <c r="AK121" i="35"/>
  <c r="AK130" i="35"/>
  <c r="AK138" i="35"/>
  <c r="AK133" i="35"/>
  <c r="AK390" i="35"/>
  <c r="AK361" i="35"/>
  <c r="AK356" i="35"/>
  <c r="AK352" i="35"/>
  <c r="AT350" i="35"/>
  <c r="AK345" i="35"/>
  <c r="AT343" i="35"/>
  <c r="AK336" i="35"/>
  <c r="AK327" i="35"/>
  <c r="AK308" i="35"/>
  <c r="F262" i="35"/>
  <c r="C222" i="35"/>
  <c r="C245" i="35"/>
  <c r="C232" i="35"/>
  <c r="C235" i="35"/>
  <c r="C226" i="35"/>
  <c r="C241" i="35"/>
  <c r="C244" i="35"/>
  <c r="C250" i="35"/>
  <c r="C297" i="35"/>
  <c r="C223" i="35"/>
  <c r="C234" i="35"/>
  <c r="C236" i="35"/>
  <c r="C256" i="35"/>
  <c r="C259" i="35"/>
  <c r="C274" i="35"/>
  <c r="C278" i="35"/>
  <c r="C282" i="35"/>
  <c r="C286" i="35"/>
  <c r="C290" i="35"/>
  <c r="C295" i="35"/>
  <c r="C301" i="35"/>
  <c r="U199" i="35"/>
  <c r="U168" i="35"/>
  <c r="T165" i="35"/>
  <c r="T151" i="35"/>
  <c r="T168" i="35"/>
  <c r="T143" i="35"/>
  <c r="T156" i="35"/>
  <c r="T174" i="35"/>
  <c r="T178" i="35"/>
  <c r="T179" i="35"/>
  <c r="T190" i="35"/>
  <c r="T146" i="35"/>
  <c r="T160" i="35"/>
  <c r="T162" i="35"/>
  <c r="T182" i="35"/>
  <c r="T185" i="35"/>
  <c r="T206" i="35"/>
  <c r="T211" i="35"/>
  <c r="T171" i="35"/>
  <c r="T188" i="35"/>
  <c r="T167" i="35"/>
  <c r="T210" i="35"/>
  <c r="T214" i="35"/>
  <c r="T152" i="35"/>
  <c r="T196" i="35"/>
  <c r="T209" i="35"/>
  <c r="T155" i="35"/>
  <c r="T175" i="35"/>
  <c r="T177" i="35"/>
  <c r="T148" i="35"/>
  <c r="AL106" i="35"/>
  <c r="AK101" i="35"/>
  <c r="AJ110" i="35"/>
  <c r="AJ122" i="35"/>
  <c r="AJ123" i="35"/>
  <c r="AJ136" i="35"/>
  <c r="AJ140" i="35"/>
  <c r="AJ97" i="35"/>
  <c r="AJ113" i="35"/>
  <c r="AJ103" i="35"/>
  <c r="AJ139" i="35"/>
  <c r="AJ105" i="35"/>
  <c r="AJ114" i="35"/>
  <c r="AJ116" i="35"/>
  <c r="AJ120" i="35"/>
  <c r="AJ124" i="35"/>
  <c r="AJ131" i="35"/>
  <c r="AJ94" i="35"/>
  <c r="AJ111" i="35"/>
  <c r="AJ127" i="35"/>
  <c r="AJ98" i="35"/>
  <c r="AJ100" i="35"/>
  <c r="AJ109" i="35"/>
  <c r="AJ134" i="35"/>
  <c r="AJ137" i="35"/>
  <c r="AJ107" i="35"/>
  <c r="AJ119" i="35"/>
  <c r="AJ129" i="35"/>
  <c r="AJ108" i="35"/>
  <c r="AJ115" i="35"/>
  <c r="AJ102" i="35"/>
  <c r="AJ112" i="35"/>
  <c r="AK391" i="35"/>
  <c r="AT341" i="35"/>
  <c r="AK334" i="35"/>
  <c r="AT332" i="35"/>
  <c r="AT323" i="35"/>
  <c r="AK310" i="35"/>
  <c r="F276" i="35"/>
  <c r="F273" i="35"/>
  <c r="F228" i="35"/>
  <c r="E224" i="35"/>
  <c r="E227" i="35"/>
  <c r="E239" i="35"/>
  <c r="E222" i="35"/>
  <c r="E275" i="35"/>
  <c r="E279" i="35"/>
  <c r="E283" i="35"/>
  <c r="E287" i="35"/>
  <c r="E291" i="35"/>
  <c r="E298" i="35"/>
  <c r="E302" i="35"/>
  <c r="E226" i="35"/>
  <c r="E241" i="35"/>
  <c r="E244" i="35"/>
  <c r="E250" i="35"/>
  <c r="E297" i="35"/>
  <c r="F219" i="35"/>
  <c r="U197" i="35"/>
  <c r="AK125" i="35"/>
  <c r="AK119" i="35"/>
  <c r="AK106" i="35"/>
  <c r="AJ101" i="35"/>
  <c r="AI97" i="35"/>
  <c r="AI113" i="35"/>
  <c r="AI96" i="35"/>
  <c r="AI116" i="35"/>
  <c r="AI127" i="35"/>
  <c r="AI105" i="35"/>
  <c r="AI114" i="35"/>
  <c r="AI120" i="35"/>
  <c r="AI124" i="35"/>
  <c r="AI131" i="35"/>
  <c r="AI130" i="35"/>
  <c r="AI136" i="35"/>
  <c r="AI98" i="35"/>
  <c r="AI100" i="35"/>
  <c r="AI109" i="35"/>
  <c r="AI134" i="35"/>
  <c r="AI137" i="35"/>
  <c r="AI107" i="35"/>
  <c r="AI119" i="35"/>
  <c r="AI129" i="35"/>
  <c r="AI139" i="35"/>
  <c r="AI133" i="35"/>
  <c r="AI102" i="35"/>
  <c r="AI103" i="35"/>
  <c r="AI106" i="35"/>
  <c r="AI123" i="35"/>
  <c r="AL98" i="35"/>
  <c r="S151" i="35"/>
  <c r="S168" i="35"/>
  <c r="S174" i="35"/>
  <c r="S145" i="35"/>
  <c r="S155" i="35"/>
  <c r="S171" i="35"/>
  <c r="S143" i="35"/>
  <c r="S156" i="35"/>
  <c r="S178" i="35"/>
  <c r="S179" i="35"/>
  <c r="S190" i="35"/>
  <c r="S147" i="35"/>
  <c r="S165" i="35"/>
  <c r="S188" i="35"/>
  <c r="S167" i="35"/>
  <c r="S210" i="35"/>
  <c r="S214" i="35"/>
  <c r="S154" i="35"/>
  <c r="S193" i="35"/>
  <c r="S196" i="35"/>
  <c r="T95" i="35"/>
  <c r="T105" i="35"/>
  <c r="T121" i="35"/>
  <c r="T134" i="35"/>
  <c r="T139" i="35"/>
  <c r="T108" i="35"/>
  <c r="T133" i="35"/>
  <c r="T94" i="35"/>
  <c r="T104" i="35"/>
  <c r="T101" i="35"/>
  <c r="T115" i="35"/>
  <c r="T126" i="35"/>
  <c r="T129" i="35"/>
  <c r="T112" i="35"/>
  <c r="T102" i="35"/>
  <c r="T106" i="35"/>
  <c r="T93" i="35"/>
  <c r="T96" i="35"/>
  <c r="T110" i="35"/>
  <c r="T124" i="35"/>
  <c r="S108" i="35"/>
  <c r="S133" i="35"/>
  <c r="S111" i="35"/>
  <c r="S126" i="35"/>
  <c r="S132" i="35"/>
  <c r="S101" i="35"/>
  <c r="S115" i="35"/>
  <c r="S129" i="35"/>
  <c r="S106" i="35"/>
  <c r="S117" i="35"/>
  <c r="S138" i="35"/>
  <c r="S102" i="35"/>
  <c r="S139" i="35"/>
  <c r="S93" i="35"/>
  <c r="S96" i="35"/>
  <c r="S110" i="35"/>
  <c r="S121" i="35"/>
  <c r="S124" i="35"/>
  <c r="T98" i="35"/>
  <c r="T113" i="35"/>
  <c r="T109" i="35"/>
  <c r="D223" i="35"/>
  <c r="D228" i="35"/>
  <c r="D222" i="35"/>
  <c r="U101" i="35"/>
  <c r="U135" i="35"/>
  <c r="U95" i="35"/>
  <c r="U105" i="35"/>
  <c r="U121" i="35"/>
  <c r="U134" i="35"/>
  <c r="U139" i="35"/>
  <c r="U113" i="35"/>
  <c r="U123" i="35"/>
  <c r="U94" i="35"/>
  <c r="U104" i="35"/>
  <c r="D94" i="35"/>
  <c r="D116" i="35"/>
  <c r="D120" i="35"/>
  <c r="D138" i="35"/>
  <c r="D93" i="35"/>
  <c r="N104" i="35"/>
  <c r="N107" i="35"/>
  <c r="D160" i="35"/>
  <c r="D150" i="35"/>
  <c r="D163" i="35"/>
  <c r="N164" i="35"/>
  <c r="N167" i="35"/>
  <c r="D146" i="35"/>
  <c r="C93" i="35"/>
  <c r="C106" i="35"/>
  <c r="C125" i="35"/>
  <c r="C129" i="35"/>
  <c r="EX101" i="57"/>
  <c r="FA135" i="57"/>
  <c r="FA127" i="57"/>
  <c r="FA119" i="57"/>
  <c r="FA111" i="57"/>
  <c r="FA134" i="57"/>
  <c r="FA126" i="57"/>
  <c r="FA118" i="57"/>
  <c r="FA110" i="57"/>
  <c r="FB134" i="57"/>
  <c r="FC134" i="57" s="1"/>
  <c r="FB126" i="57"/>
  <c r="FC126" i="57" s="1"/>
  <c r="FB118" i="57"/>
  <c r="FC118" i="57" s="1"/>
  <c r="FB110" i="57"/>
  <c r="FC110" i="57" s="1"/>
  <c r="FA132" i="57"/>
  <c r="FA124" i="57"/>
  <c r="FA116" i="57"/>
  <c r="FA108" i="57"/>
  <c r="FB131" i="57"/>
  <c r="FC131" i="57" s="1"/>
  <c r="FB123" i="57"/>
  <c r="FC123" i="57" s="1"/>
  <c r="FB115" i="57"/>
  <c r="FC115" i="57" s="1"/>
  <c r="FA117" i="57"/>
  <c r="FB117" i="57"/>
  <c r="FC117" i="57" s="1"/>
  <c r="AZ3" i="61"/>
  <c r="AZ5" i="61"/>
  <c r="AZ4" i="61"/>
  <c r="AZ3" i="60"/>
  <c r="AZ5" i="60"/>
  <c r="AZ4" i="60"/>
  <c r="AZ3" i="59"/>
  <c r="AZ5" i="59"/>
  <c r="BA3" i="59"/>
  <c r="AZ4" i="59"/>
  <c r="AZ4" i="58"/>
  <c r="AZ5" i="58"/>
  <c r="BA3" i="58"/>
  <c r="AZ3" i="58"/>
  <c r="AU12" i="35"/>
  <c r="AE12" i="35"/>
  <c r="O12" i="35"/>
  <c r="DH479" i="57"/>
  <c r="DF479" i="57"/>
  <c r="DE3" i="57" s="1"/>
  <c r="DG7" i="57" a="1"/>
  <c r="DG7" i="57" s="1"/>
  <c r="DG6" i="57"/>
  <c r="DD2" i="57"/>
  <c r="BF2" i="57"/>
  <c r="BE2" i="57"/>
  <c r="BD2" i="57"/>
  <c r="BC2" i="57"/>
  <c r="BB2" i="57"/>
  <c r="BA2" i="57"/>
  <c r="AZ2" i="57"/>
  <c r="AY2" i="57"/>
  <c r="AX2" i="57"/>
  <c r="AW2" i="57"/>
  <c r="AV2" i="57"/>
  <c r="AU2" i="57"/>
  <c r="AT2" i="57"/>
  <c r="AS2" i="57"/>
  <c r="AR2" i="57"/>
  <c r="AP2" i="57"/>
  <c r="AO2" i="57"/>
  <c r="AN2" i="57"/>
  <c r="AM2" i="57"/>
  <c r="AL2" i="57"/>
  <c r="AK2" i="57"/>
  <c r="AJ2" i="57"/>
  <c r="AI2" i="57"/>
  <c r="AH2" i="57"/>
  <c r="AG2" i="57"/>
  <c r="AF2" i="57"/>
  <c r="AE2" i="57"/>
  <c r="AD2" i="57"/>
  <c r="AC2" i="57"/>
  <c r="AB2" i="57"/>
  <c r="Z2" i="57"/>
  <c r="Y2" i="57"/>
  <c r="X2" i="57"/>
  <c r="W2" i="57"/>
  <c r="V2" i="57"/>
  <c r="U2" i="57"/>
  <c r="T2" i="57"/>
  <c r="S2" i="57"/>
  <c r="R2" i="57"/>
  <c r="Q2" i="57"/>
  <c r="P2" i="57"/>
  <c r="O2" i="57"/>
  <c r="N2" i="57"/>
  <c r="M2" i="57"/>
  <c r="L2" i="57"/>
  <c r="DH1" i="57"/>
  <c r="DG1" i="57"/>
  <c r="DD1" i="57"/>
  <c r="BF1" i="57"/>
  <c r="BE1" i="57"/>
  <c r="BD1" i="57"/>
  <c r="BC1" i="57"/>
  <c r="BB1" i="57"/>
  <c r="BA1" i="57"/>
  <c r="AZ1" i="57"/>
  <c r="AY1" i="57"/>
  <c r="AX1" i="57"/>
  <c r="AW1" i="57"/>
  <c r="AV1" i="57"/>
  <c r="AU1" i="57"/>
  <c r="AT1" i="57"/>
  <c r="AS1" i="57"/>
  <c r="AR1" i="57"/>
  <c r="AP1" i="57"/>
  <c r="AO1" i="57"/>
  <c r="AN1" i="57"/>
  <c r="AM1" i="57"/>
  <c r="AL1" i="57"/>
  <c r="AK1" i="57"/>
  <c r="AJ1" i="57"/>
  <c r="AI1" i="57"/>
  <c r="AH1" i="57"/>
  <c r="AG1" i="57"/>
  <c r="AF1" i="57"/>
  <c r="AE1" i="57"/>
  <c r="AD1" i="57"/>
  <c r="AC1" i="57"/>
  <c r="AB1" i="57"/>
  <c r="Z1" i="57"/>
  <c r="Y1" i="57"/>
  <c r="X1" i="57"/>
  <c r="W1" i="57"/>
  <c r="V1" i="57"/>
  <c r="U1" i="57"/>
  <c r="T1" i="57"/>
  <c r="S1" i="57"/>
  <c r="R1" i="57"/>
  <c r="Q1" i="57"/>
  <c r="P1" i="57"/>
  <c r="O1" i="57"/>
  <c r="N1" i="57"/>
  <c r="M1" i="57"/>
  <c r="L1" i="57"/>
  <c r="A1" i="57"/>
  <c r="AF7" i="51"/>
  <c r="AF6" i="51"/>
  <c r="AG3" i="51"/>
  <c r="AC3" i="51"/>
  <c r="AG150" i="51"/>
  <c r="AE150" i="51"/>
  <c r="AG1" i="51"/>
  <c r="AF1" i="51"/>
  <c r="X1" i="51"/>
  <c r="Y1" i="51"/>
  <c r="Z1" i="51"/>
  <c r="AA1" i="51"/>
  <c r="AB1" i="51"/>
  <c r="AC1" i="51"/>
  <c r="AD1" i="51"/>
  <c r="X2" i="51"/>
  <c r="Y2" i="51"/>
  <c r="Z2" i="51"/>
  <c r="AA2" i="51"/>
  <c r="AB2" i="51"/>
  <c r="AC2" i="51"/>
  <c r="AD2" i="51"/>
  <c r="W2" i="51"/>
  <c r="S1" i="51"/>
  <c r="T1" i="51"/>
  <c r="U1" i="51"/>
  <c r="V1" i="51"/>
  <c r="W1" i="51"/>
  <c r="S2" i="51"/>
  <c r="T2" i="51"/>
  <c r="U2" i="51"/>
  <c r="V2" i="51"/>
  <c r="R2" i="51"/>
  <c r="Q2" i="51"/>
  <c r="P2" i="51"/>
  <c r="O2" i="51"/>
  <c r="N2" i="51"/>
  <c r="R1" i="51"/>
  <c r="Q1" i="51"/>
  <c r="P1" i="51"/>
  <c r="O1" i="51"/>
  <c r="N1" i="51"/>
  <c r="L2" i="51"/>
  <c r="K2" i="51"/>
  <c r="L1" i="51"/>
  <c r="K1" i="51"/>
  <c r="J2" i="51"/>
  <c r="J1" i="51"/>
  <c r="H2" i="51"/>
  <c r="G2" i="51"/>
  <c r="F2" i="51"/>
  <c r="H1" i="51"/>
  <c r="G1" i="51"/>
  <c r="F1" i="51"/>
  <c r="C1" i="51"/>
  <c r="D1" i="51"/>
  <c r="C2" i="51"/>
  <c r="D2" i="51"/>
  <c r="B2" i="51"/>
  <c r="B1" i="51"/>
  <c r="P3" i="51"/>
  <c r="AS408" i="55"/>
  <c r="AQ408" i="55"/>
  <c r="AO406" i="55"/>
  <c r="AN406" i="55"/>
  <c r="AM406" i="55"/>
  <c r="AL406" i="55"/>
  <c r="AK406" i="55"/>
  <c r="AJ406" i="55"/>
  <c r="AH406" i="55"/>
  <c r="AG406" i="55"/>
  <c r="AF406" i="55"/>
  <c r="AE406" i="55"/>
  <c r="AD406" i="55"/>
  <c r="AC406" i="55"/>
  <c r="AA406" i="55"/>
  <c r="Z406" i="55"/>
  <c r="Y406" i="55"/>
  <c r="X406" i="55"/>
  <c r="W406" i="55"/>
  <c r="V406" i="55"/>
  <c r="Q12" i="55"/>
  <c r="AR7" i="55"/>
  <c r="AR6" i="55"/>
  <c r="AS3" i="55"/>
  <c r="AO2" i="55"/>
  <c r="AN2" i="55"/>
  <c r="AM2" i="55"/>
  <c r="AL2" i="55"/>
  <c r="AK2" i="55"/>
  <c r="AJ2" i="55"/>
  <c r="AH2" i="55"/>
  <c r="AG2" i="55"/>
  <c r="AF2" i="55"/>
  <c r="AE2" i="55"/>
  <c r="AD2" i="55"/>
  <c r="AC2" i="55"/>
  <c r="Z2" i="55"/>
  <c r="Y2" i="55"/>
  <c r="X2" i="55"/>
  <c r="W2" i="55"/>
  <c r="V2" i="55"/>
  <c r="T2" i="55"/>
  <c r="S2" i="55"/>
  <c r="R2" i="55"/>
  <c r="Q2" i="55"/>
  <c r="P2" i="55"/>
  <c r="O2" i="55"/>
  <c r="N2" i="55"/>
  <c r="M2" i="55"/>
  <c r="L2" i="55"/>
  <c r="K2" i="55"/>
  <c r="I2" i="55"/>
  <c r="H2" i="55"/>
  <c r="F2" i="55"/>
  <c r="E2" i="55"/>
  <c r="C2" i="55"/>
  <c r="B2" i="55"/>
  <c r="AS1" i="55"/>
  <c r="AR1" i="55"/>
  <c r="AO1" i="55"/>
  <c r="AN1" i="55"/>
  <c r="AM1" i="55"/>
  <c r="AL1" i="55"/>
  <c r="AK1" i="55"/>
  <c r="AJ1" i="55"/>
  <c r="AH1" i="55"/>
  <c r="AG1" i="55"/>
  <c r="AF1" i="55"/>
  <c r="AE1" i="55"/>
  <c r="AD1" i="55"/>
  <c r="AC1" i="55"/>
  <c r="Z1" i="55"/>
  <c r="Y1" i="55"/>
  <c r="X1" i="55"/>
  <c r="W1" i="55"/>
  <c r="V1" i="55"/>
  <c r="T1" i="55"/>
  <c r="S1" i="55"/>
  <c r="R1" i="55"/>
  <c r="Q1" i="55"/>
  <c r="P1" i="55"/>
  <c r="O1" i="55"/>
  <c r="N1" i="55"/>
  <c r="M1" i="55"/>
  <c r="L1" i="55"/>
  <c r="K1" i="55"/>
  <c r="I1" i="55"/>
  <c r="H1" i="55"/>
  <c r="F1" i="55"/>
  <c r="E1" i="55"/>
  <c r="C1" i="55"/>
  <c r="B1" i="55"/>
  <c r="A1" i="55"/>
  <c r="Q163" i="54"/>
  <c r="A134" i="54"/>
  <c r="N125" i="54"/>
  <c r="P125" i="54" s="1"/>
  <c r="N124" i="54"/>
  <c r="P124" i="54" s="1"/>
  <c r="F124" i="54"/>
  <c r="E124" i="54"/>
  <c r="N123" i="54"/>
  <c r="P123" i="54" s="1"/>
  <c r="N122" i="54"/>
  <c r="P122" i="54" s="1"/>
  <c r="F122" i="54"/>
  <c r="E122" i="54"/>
  <c r="N121" i="54"/>
  <c r="P121" i="54" s="1"/>
  <c r="N120" i="54"/>
  <c r="P120" i="54" s="1"/>
  <c r="F120" i="54"/>
  <c r="F126" i="54" s="1"/>
  <c r="E120" i="54"/>
  <c r="E126" i="54" s="1"/>
  <c r="N119" i="54"/>
  <c r="P119" i="54" s="1"/>
  <c r="N118" i="54"/>
  <c r="P118" i="54" s="1"/>
  <c r="N117" i="54"/>
  <c r="P117" i="54" s="1"/>
  <c r="F117" i="54"/>
  <c r="N116" i="54"/>
  <c r="P116" i="54" s="1"/>
  <c r="J115" i="54"/>
  <c r="P112" i="54" s="1"/>
  <c r="F114" i="54"/>
  <c r="K112" i="54"/>
  <c r="F112" i="54"/>
  <c r="J109" i="54"/>
  <c r="J80" i="54" s="1"/>
  <c r="I109" i="54"/>
  <c r="B109" i="54"/>
  <c r="C80" i="54" s="1"/>
  <c r="A109" i="54"/>
  <c r="A76" i="54"/>
  <c r="B74" i="54"/>
  <c r="C74" i="54" s="1"/>
  <c r="C71" i="54"/>
  <c r="B71" i="54"/>
  <c r="L67" i="54"/>
  <c r="K67" i="54"/>
  <c r="L64" i="54"/>
  <c r="C63" i="54"/>
  <c r="B67" i="54" s="1"/>
  <c r="C67" i="54" s="1"/>
  <c r="C62" i="54"/>
  <c r="K59" i="54"/>
  <c r="B59" i="54"/>
  <c r="C17" i="54" s="1"/>
  <c r="J58" i="54"/>
  <c r="A58" i="54"/>
  <c r="C55" i="54"/>
  <c r="L54" i="54"/>
  <c r="L55" i="54" s="1"/>
  <c r="C54" i="54"/>
  <c r="K51" i="54"/>
  <c r="B51" i="54"/>
  <c r="J50" i="54"/>
  <c r="A50" i="54"/>
  <c r="N44" i="54"/>
  <c r="E44" i="54"/>
  <c r="C44" i="54"/>
  <c r="P43" i="54"/>
  <c r="P44" i="54" s="1"/>
  <c r="N43" i="54"/>
  <c r="L43" i="54"/>
  <c r="L44" i="54" s="1"/>
  <c r="G43" i="54"/>
  <c r="G44" i="54" s="1"/>
  <c r="E43" i="54"/>
  <c r="C43" i="54"/>
  <c r="P40" i="54"/>
  <c r="G40" i="54"/>
  <c r="G39" i="54" s="1"/>
  <c r="P39" i="54"/>
  <c r="N39" i="54"/>
  <c r="N40" i="54" s="1"/>
  <c r="L39" i="54"/>
  <c r="L40" i="54" s="1"/>
  <c r="E39" i="54"/>
  <c r="E40" i="54" s="1"/>
  <c r="C39" i="54"/>
  <c r="C40" i="54" s="1"/>
  <c r="K36" i="54"/>
  <c r="J11" i="54" s="1"/>
  <c r="J36" i="54"/>
  <c r="B36" i="54"/>
  <c r="C11" i="54" s="1"/>
  <c r="A36" i="54"/>
  <c r="G30" i="54"/>
  <c r="J29" i="54"/>
  <c r="J30" i="54" s="1"/>
  <c r="G29" i="54"/>
  <c r="D29" i="54"/>
  <c r="D30" i="54" s="1"/>
  <c r="J25" i="54"/>
  <c r="G25" i="54"/>
  <c r="D25" i="54"/>
  <c r="J24" i="54"/>
  <c r="G24" i="54"/>
  <c r="D24" i="54"/>
  <c r="B21" i="54"/>
  <c r="C8" i="54" s="1"/>
  <c r="A21" i="54"/>
  <c r="J17" i="54"/>
  <c r="J14" i="54"/>
  <c r="C14" i="54"/>
  <c r="Q6" i="54"/>
  <c r="Q3" i="54"/>
  <c r="A2" i="54"/>
  <c r="AA495" i="53"/>
  <c r="I488" i="53"/>
  <c r="H488" i="53"/>
  <c r="I487" i="53"/>
  <c r="H487" i="53"/>
  <c r="G487" i="53"/>
  <c r="G488" i="53" s="1"/>
  <c r="F487" i="53"/>
  <c r="J484" i="53"/>
  <c r="B480" i="53"/>
  <c r="J41" i="53" s="1"/>
  <c r="A480" i="53"/>
  <c r="C467" i="53"/>
  <c r="B467" i="53"/>
  <c r="I466" i="53"/>
  <c r="H466" i="53"/>
  <c r="B466" i="53" s="1"/>
  <c r="C466" i="53"/>
  <c r="D466" i="53" s="1"/>
  <c r="I465" i="53"/>
  <c r="H465" i="53"/>
  <c r="B465" i="53" s="1"/>
  <c r="C465" i="53"/>
  <c r="D465" i="53" s="1"/>
  <c r="C464" i="53"/>
  <c r="I464" i="53" s="1"/>
  <c r="H464" i="53" s="1"/>
  <c r="B464" i="53"/>
  <c r="C463" i="53"/>
  <c r="C462" i="53"/>
  <c r="I462" i="53" s="1"/>
  <c r="H462" i="53" s="1"/>
  <c r="B462" i="53"/>
  <c r="B447" i="53"/>
  <c r="J38" i="53" s="1"/>
  <c r="A447" i="53"/>
  <c r="K441" i="53"/>
  <c r="K439" i="53"/>
  <c r="K437" i="53"/>
  <c r="G435" i="53"/>
  <c r="F435" i="53"/>
  <c r="E435" i="53"/>
  <c r="D435" i="53"/>
  <c r="C435" i="53"/>
  <c r="K433" i="53"/>
  <c r="K432" i="53"/>
  <c r="K431" i="53"/>
  <c r="K430" i="53"/>
  <c r="K429" i="53"/>
  <c r="K425" i="53"/>
  <c r="I422" i="53"/>
  <c r="F422" i="53"/>
  <c r="B420" i="53"/>
  <c r="B417" i="53"/>
  <c r="A417" i="53"/>
  <c r="F413" i="53"/>
  <c r="E412" i="53"/>
  <c r="F411" i="53"/>
  <c r="G411" i="53" s="1"/>
  <c r="J411" i="53" s="1"/>
  <c r="F409" i="53"/>
  <c r="G409" i="53" s="1"/>
  <c r="J409" i="53" s="1"/>
  <c r="G408" i="53"/>
  <c r="J408" i="53" s="1"/>
  <c r="F408" i="53"/>
  <c r="F407" i="53"/>
  <c r="G407" i="53" s="1"/>
  <c r="J407" i="53" s="1"/>
  <c r="F406" i="53"/>
  <c r="G406" i="53" s="1"/>
  <c r="J406" i="53" s="1"/>
  <c r="F405" i="53"/>
  <c r="G405" i="53" s="1"/>
  <c r="J405" i="53" s="1"/>
  <c r="F404" i="53"/>
  <c r="F410" i="53" s="1"/>
  <c r="G410" i="53" s="1"/>
  <c r="J410" i="53" s="1"/>
  <c r="B403" i="53"/>
  <c r="A403" i="53"/>
  <c r="K394" i="53"/>
  <c r="G394" i="53"/>
  <c r="B394" i="53"/>
  <c r="K393" i="53"/>
  <c r="N393" i="53" s="1"/>
  <c r="G393" i="53"/>
  <c r="M391" i="53"/>
  <c r="I391" i="53"/>
  <c r="D391" i="53"/>
  <c r="B393" i="53" s="1"/>
  <c r="C393" i="53" s="1"/>
  <c r="N390" i="53"/>
  <c r="J390" i="53"/>
  <c r="B383" i="53"/>
  <c r="A383" i="53"/>
  <c r="B382" i="53"/>
  <c r="B378" i="53"/>
  <c r="F373" i="53"/>
  <c r="B356" i="53"/>
  <c r="J23" i="53" s="1"/>
  <c r="A356" i="53"/>
  <c r="B355" i="53"/>
  <c r="C351" i="53"/>
  <c r="N345" i="53"/>
  <c r="E344" i="53"/>
  <c r="E351" i="53" s="1"/>
  <c r="H343" i="53"/>
  <c r="G343" i="53"/>
  <c r="B343" i="53"/>
  <c r="A343" i="53"/>
  <c r="C337" i="53"/>
  <c r="K330" i="53"/>
  <c r="J330" i="53"/>
  <c r="I330" i="53"/>
  <c r="H330" i="53"/>
  <c r="G330" i="53"/>
  <c r="M329" i="53"/>
  <c r="K329" i="53"/>
  <c r="J329" i="53"/>
  <c r="I329" i="53"/>
  <c r="H329" i="53"/>
  <c r="K327" i="53"/>
  <c r="J327" i="53"/>
  <c r="I327" i="53"/>
  <c r="H327" i="53"/>
  <c r="G327" i="53"/>
  <c r="M326" i="53"/>
  <c r="K326" i="53"/>
  <c r="J326" i="53"/>
  <c r="I326" i="53"/>
  <c r="H326" i="53"/>
  <c r="G326" i="53"/>
  <c r="L325" i="53"/>
  <c r="K319" i="53"/>
  <c r="J319" i="53"/>
  <c r="I319" i="53"/>
  <c r="H319" i="53"/>
  <c r="G319" i="53"/>
  <c r="L318" i="53"/>
  <c r="B306" i="53"/>
  <c r="C44" i="53" s="1"/>
  <c r="A306" i="53"/>
  <c r="C300" i="53"/>
  <c r="K293" i="53"/>
  <c r="J293" i="53"/>
  <c r="I293" i="53"/>
  <c r="H293" i="53"/>
  <c r="G293" i="53"/>
  <c r="M292" i="53"/>
  <c r="K292" i="53"/>
  <c r="J292" i="53"/>
  <c r="K290" i="53"/>
  <c r="J290" i="53"/>
  <c r="I290" i="53"/>
  <c r="H290" i="53"/>
  <c r="G290" i="53"/>
  <c r="M289" i="53"/>
  <c r="K289" i="53"/>
  <c r="J289" i="53"/>
  <c r="I289" i="53"/>
  <c r="I292" i="53" s="1"/>
  <c r="H289" i="53"/>
  <c r="H292" i="53" s="1"/>
  <c r="G289" i="53"/>
  <c r="L288" i="53"/>
  <c r="L287" i="53"/>
  <c r="B276" i="53"/>
  <c r="A276" i="53"/>
  <c r="Q269" i="53"/>
  <c r="Q268" i="53"/>
  <c r="D266" i="53"/>
  <c r="D265" i="53"/>
  <c r="D264" i="53"/>
  <c r="D263" i="53"/>
  <c r="Q262" i="53"/>
  <c r="D262" i="53"/>
  <c r="Q261" i="53"/>
  <c r="D261" i="53"/>
  <c r="D260" i="53"/>
  <c r="D259" i="53"/>
  <c r="D258" i="53"/>
  <c r="D257" i="53"/>
  <c r="D256" i="53"/>
  <c r="D255" i="53"/>
  <c r="Q253" i="53"/>
  <c r="Q252" i="53"/>
  <c r="D252" i="53"/>
  <c r="M248" i="53"/>
  <c r="B248" i="53"/>
  <c r="A248" i="53"/>
  <c r="H244" i="53"/>
  <c r="G244" i="53"/>
  <c r="E244" i="53"/>
  <c r="J244" i="53" s="1"/>
  <c r="B239" i="53"/>
  <c r="A239" i="53"/>
  <c r="T238" i="53"/>
  <c r="R238" i="53"/>
  <c r="Q238" i="53"/>
  <c r="S238" i="53" s="1"/>
  <c r="U237" i="53"/>
  <c r="V237" i="53" s="1"/>
  <c r="T237" i="53"/>
  <c r="S237" i="53"/>
  <c r="Z234" i="53"/>
  <c r="N231" i="53"/>
  <c r="J17" i="53" s="1"/>
  <c r="M231" i="53"/>
  <c r="E231" i="53"/>
  <c r="B231" i="53"/>
  <c r="D231" i="53" s="1"/>
  <c r="F231" i="53" s="1"/>
  <c r="P227" i="53"/>
  <c r="O227" i="53"/>
  <c r="N227" i="53"/>
  <c r="N219" i="53"/>
  <c r="J14" i="53" s="1"/>
  <c r="M219" i="53"/>
  <c r="B219" i="53"/>
  <c r="C32" i="53" s="1"/>
  <c r="A219" i="53"/>
  <c r="D210" i="53"/>
  <c r="D209" i="53"/>
  <c r="E209" i="53" s="1"/>
  <c r="C208" i="53"/>
  <c r="D207" i="53"/>
  <c r="C205" i="53"/>
  <c r="D211" i="53" s="1"/>
  <c r="E204" i="53"/>
  <c r="D206" i="53" s="1"/>
  <c r="R203" i="53"/>
  <c r="N203" i="53"/>
  <c r="K203" i="53"/>
  <c r="N202" i="53" s="1"/>
  <c r="R202" i="53"/>
  <c r="S202" i="53" s="1"/>
  <c r="Q201" i="53"/>
  <c r="M201" i="53"/>
  <c r="O202" i="53" s="1"/>
  <c r="R200" i="53"/>
  <c r="H200" i="53"/>
  <c r="J11" i="53" s="1"/>
  <c r="G200" i="53"/>
  <c r="B200" i="53"/>
  <c r="A200" i="53"/>
  <c r="C191" i="53"/>
  <c r="D190" i="53"/>
  <c r="C189" i="53"/>
  <c r="K188" i="53"/>
  <c r="E188" i="53"/>
  <c r="R187" i="53"/>
  <c r="S187" i="53" s="1"/>
  <c r="O187" i="53"/>
  <c r="N187" i="53"/>
  <c r="Q186" i="53"/>
  <c r="M186" i="53"/>
  <c r="R185" i="53"/>
  <c r="H185" i="53"/>
  <c r="G185" i="53"/>
  <c r="B185" i="53"/>
  <c r="C26" i="53" s="1"/>
  <c r="A185" i="53"/>
  <c r="C180" i="53"/>
  <c r="G174" i="53"/>
  <c r="F174" i="53"/>
  <c r="J174" i="53" s="1"/>
  <c r="G175" i="53" s="1"/>
  <c r="F172" i="53"/>
  <c r="J170" i="53"/>
  <c r="B170" i="53"/>
  <c r="A170" i="53"/>
  <c r="C166" i="53"/>
  <c r="J161" i="53"/>
  <c r="I161" i="53"/>
  <c r="K161" i="53" s="1"/>
  <c r="G161" i="53"/>
  <c r="F161" i="53"/>
  <c r="G159" i="53"/>
  <c r="K157" i="53"/>
  <c r="B157" i="53"/>
  <c r="A157" i="53"/>
  <c r="H152" i="53"/>
  <c r="H151" i="53"/>
  <c r="H150" i="53"/>
  <c r="H149" i="53"/>
  <c r="H148" i="53"/>
  <c r="I145" i="53"/>
  <c r="H145" i="53"/>
  <c r="G145" i="53"/>
  <c r="F145" i="53"/>
  <c r="F144" i="53"/>
  <c r="F142" i="53"/>
  <c r="E142" i="53"/>
  <c r="D142" i="53"/>
  <c r="C142" i="53"/>
  <c r="F141" i="53"/>
  <c r="E141" i="53"/>
  <c r="K140" i="53"/>
  <c r="I140" i="53"/>
  <c r="B136" i="53"/>
  <c r="C17" i="53" s="1"/>
  <c r="A136" i="53"/>
  <c r="B121" i="53"/>
  <c r="A121" i="53"/>
  <c r="M115" i="53"/>
  <c r="L115" i="53"/>
  <c r="M114" i="53"/>
  <c r="L114" i="53"/>
  <c r="O114" i="53" s="1"/>
  <c r="P114" i="53" s="1"/>
  <c r="M113" i="53"/>
  <c r="L113" i="53"/>
  <c r="M111" i="53"/>
  <c r="L111" i="53"/>
  <c r="O111" i="53" s="1"/>
  <c r="P111" i="53" s="1"/>
  <c r="M110" i="53"/>
  <c r="L110" i="53"/>
  <c r="P109" i="53"/>
  <c r="M109" i="53"/>
  <c r="L109" i="53"/>
  <c r="O109" i="53" s="1"/>
  <c r="M108" i="53"/>
  <c r="L108" i="53"/>
  <c r="L106" i="53"/>
  <c r="B101" i="53"/>
  <c r="A101" i="53"/>
  <c r="B71" i="53"/>
  <c r="C8" i="53" s="1"/>
  <c r="A70" i="53"/>
  <c r="J54" i="53"/>
  <c r="B54" i="53"/>
  <c r="I53" i="53"/>
  <c r="A53" i="53"/>
  <c r="C47" i="53"/>
  <c r="C41" i="53"/>
  <c r="C38" i="53"/>
  <c r="J35" i="53"/>
  <c r="C35" i="53"/>
  <c r="J32" i="53"/>
  <c r="J29" i="53"/>
  <c r="C29" i="53"/>
  <c r="J26" i="53"/>
  <c r="C23" i="53"/>
  <c r="J20" i="53"/>
  <c r="C20" i="53"/>
  <c r="C14" i="53"/>
  <c r="C11" i="53"/>
  <c r="J8" i="53"/>
  <c r="J5" i="53"/>
  <c r="C5" i="53"/>
  <c r="Q4" i="53"/>
  <c r="U2" i="53"/>
  <c r="A2" i="53"/>
  <c r="A1" i="51"/>
  <c r="J233" i="53"/>
  <c r="K141" i="53"/>
  <c r="I149" i="53"/>
  <c r="G234" i="53"/>
  <c r="I150" i="53"/>
  <c r="D233" i="53"/>
  <c r="F233" i="53"/>
  <c r="I141" i="53"/>
  <c r="B233" i="53"/>
  <c r="I151" i="53"/>
  <c r="H233" i="53"/>
  <c r="I152" i="53"/>
  <c r="I148" i="53"/>
  <c r="I234" i="53"/>
  <c r="W80" i="69" l="1"/>
  <c r="W81" i="69" s="1"/>
  <c r="AZ4" i="69"/>
  <c r="G81" i="69"/>
  <c r="O68" i="35"/>
  <c r="O53" i="35" s="1"/>
  <c r="V307" i="35"/>
  <c r="V363" i="35"/>
  <c r="V348" i="35"/>
  <c r="V359" i="35"/>
  <c r="AE68" i="35"/>
  <c r="Y53" i="35" s="1"/>
  <c r="AA53" i="35" s="1" a="1"/>
  <c r="AA53" i="35" s="1"/>
  <c r="V332" i="35"/>
  <c r="V316" i="35"/>
  <c r="I53" i="35"/>
  <c r="K53" i="35" s="1" a="1"/>
  <c r="K53" i="35" s="1"/>
  <c r="AL348" i="35"/>
  <c r="AE53" i="35"/>
  <c r="AU68" i="35"/>
  <c r="AO53" i="35" s="1"/>
  <c r="AQ53" i="35" s="1" a="1"/>
  <c r="AQ53" i="35" s="1"/>
  <c r="AL316" i="35"/>
  <c r="AL332" i="35"/>
  <c r="AL322" i="35"/>
  <c r="AL338" i="35"/>
  <c r="P90" i="57"/>
  <c r="P105" i="57"/>
  <c r="P96" i="57"/>
  <c r="P104" i="57"/>
  <c r="P92" i="57"/>
  <c r="P98" i="57"/>
  <c r="P87" i="57"/>
  <c r="P81" i="57"/>
  <c r="P80" i="57"/>
  <c r="P74" i="57"/>
  <c r="P83" i="57"/>
  <c r="P85" i="57"/>
  <c r="P101" i="57"/>
  <c r="P66" i="57"/>
  <c r="P95" i="57"/>
  <c r="P65" i="57"/>
  <c r="P97" i="57"/>
  <c r="P59" i="57"/>
  <c r="P60" i="57"/>
  <c r="Y148" i="57"/>
  <c r="AO148" i="57"/>
  <c r="AI113" i="57" s="1"/>
  <c r="AK113" i="57" s="1" a="1"/>
  <c r="AK113" i="57" s="1"/>
  <c r="AF186" i="57"/>
  <c r="AF149" i="57"/>
  <c r="AF143" i="57"/>
  <c r="AF127" i="57"/>
  <c r="AF110" i="57"/>
  <c r="AF140" i="57"/>
  <c r="AF124" i="57"/>
  <c r="AF191" i="57"/>
  <c r="AF187" i="57"/>
  <c r="AF159" i="57"/>
  <c r="AF155" i="57"/>
  <c r="AF137" i="57"/>
  <c r="AF121" i="57"/>
  <c r="AF118" i="57"/>
  <c r="AF117" i="57"/>
  <c r="AF113" i="57"/>
  <c r="AF156" i="57"/>
  <c r="AF141" i="57"/>
  <c r="AF125" i="57"/>
  <c r="AF179" i="57"/>
  <c r="AF177" i="57"/>
  <c r="AF170" i="57"/>
  <c r="AF163" i="57"/>
  <c r="AF161" i="57"/>
  <c r="AF153" i="57"/>
  <c r="AF134" i="57"/>
  <c r="AF175" i="57"/>
  <c r="AF139" i="57"/>
  <c r="AF168" i="57"/>
  <c r="AF148" i="57"/>
  <c r="AF147" i="57"/>
  <c r="AF115" i="57"/>
  <c r="AF123" i="57"/>
  <c r="AF166" i="57"/>
  <c r="AF188" i="57"/>
  <c r="AF182" i="57"/>
  <c r="AF142" i="57"/>
  <c r="AF131" i="57"/>
  <c r="AF112" i="57"/>
  <c r="AF109" i="57"/>
  <c r="AF185" i="57"/>
  <c r="AF154" i="57"/>
  <c r="AF151" i="57"/>
  <c r="AF126" i="57"/>
  <c r="AF173" i="57"/>
  <c r="AF111" i="57"/>
  <c r="AF190" i="57"/>
  <c r="AF165" i="57"/>
  <c r="AF136" i="57"/>
  <c r="AF146" i="57"/>
  <c r="AF181" i="57"/>
  <c r="AF167" i="57"/>
  <c r="AF160" i="57"/>
  <c r="AF128" i="57"/>
  <c r="AF144" i="57"/>
  <c r="AF132" i="57"/>
  <c r="AF157" i="57"/>
  <c r="AF120" i="57"/>
  <c r="AF119" i="57"/>
  <c r="AF172" i="57"/>
  <c r="AF150" i="57"/>
  <c r="AF135" i="57"/>
  <c r="AF130" i="57"/>
  <c r="AF174" i="57"/>
  <c r="AF169" i="57"/>
  <c r="AF152" i="57"/>
  <c r="AF183" i="57"/>
  <c r="AF176" i="57"/>
  <c r="AF158" i="57"/>
  <c r="AF129" i="57"/>
  <c r="AF116" i="57"/>
  <c r="AF164" i="57"/>
  <c r="AF162" i="57"/>
  <c r="AF133" i="57"/>
  <c r="AF178" i="57"/>
  <c r="AF171" i="57"/>
  <c r="AF138" i="57"/>
  <c r="AF184" i="57"/>
  <c r="AF145" i="57"/>
  <c r="AF189" i="57"/>
  <c r="AF122" i="57"/>
  <c r="AF108" i="57"/>
  <c r="AF180" i="57"/>
  <c r="BE148" i="57"/>
  <c r="AY113" i="57" s="1"/>
  <c r="BA113" i="57" s="1" a="1"/>
  <c r="BA113" i="57" s="1"/>
  <c r="P79" i="57"/>
  <c r="P102" i="57"/>
  <c r="P73" i="57"/>
  <c r="P91" i="57"/>
  <c r="P88" i="57"/>
  <c r="P69" i="57"/>
  <c r="P89" i="57"/>
  <c r="P76" i="57"/>
  <c r="P100" i="57"/>
  <c r="P68" i="57"/>
  <c r="P63" i="57"/>
  <c r="P75" i="57"/>
  <c r="P103" i="57"/>
  <c r="P99" i="57"/>
  <c r="P77" i="57"/>
  <c r="P67" i="57"/>
  <c r="P72" i="57"/>
  <c r="P61" i="57"/>
  <c r="P94" i="57"/>
  <c r="P82" i="57"/>
  <c r="P84" i="57"/>
  <c r="P71" i="57"/>
  <c r="P62" i="57"/>
  <c r="P70" i="57"/>
  <c r="P93" i="57"/>
  <c r="P58" i="57"/>
  <c r="P86" i="57"/>
  <c r="FB360" i="57"/>
  <c r="Y83" i="57"/>
  <c r="Y63" i="57" s="1"/>
  <c r="AO83" i="57"/>
  <c r="AI63" i="57" s="1"/>
  <c r="AK63" i="57" s="1" a="1"/>
  <c r="AK63" i="57" s="1"/>
  <c r="AF100" i="57"/>
  <c r="AF66" i="57"/>
  <c r="AF63" i="57"/>
  <c r="AF61" i="57"/>
  <c r="AF105" i="57"/>
  <c r="AF101" i="57"/>
  <c r="AF87" i="57"/>
  <c r="AF74" i="57"/>
  <c r="AF62" i="57"/>
  <c r="AF92" i="57"/>
  <c r="AF80" i="57"/>
  <c r="AF77" i="57"/>
  <c r="AF81" i="57"/>
  <c r="AF102" i="57"/>
  <c r="AF84" i="57"/>
  <c r="AF78" i="57"/>
  <c r="AF96" i="57"/>
  <c r="AF70" i="57"/>
  <c r="AF90" i="57"/>
  <c r="AF94" i="57"/>
  <c r="AF69" i="57"/>
  <c r="AF58" i="57"/>
  <c r="AF97" i="57"/>
  <c r="AF88" i="57"/>
  <c r="AF67" i="57"/>
  <c r="AF65" i="57"/>
  <c r="AF73" i="57"/>
  <c r="AF86" i="57"/>
  <c r="AF72" i="57"/>
  <c r="AF98" i="57"/>
  <c r="AF89" i="57"/>
  <c r="AF68" i="57"/>
  <c r="AF71" i="57"/>
  <c r="AF79" i="57"/>
  <c r="AF82" i="57"/>
  <c r="AF60" i="57"/>
  <c r="AF104" i="57"/>
  <c r="AF93" i="57"/>
  <c r="AF75" i="57"/>
  <c r="AF99" i="57"/>
  <c r="AF85" i="57"/>
  <c r="AF83" i="57"/>
  <c r="AF76" i="57"/>
  <c r="AF59" i="57"/>
  <c r="AF103" i="57"/>
  <c r="AF95" i="57"/>
  <c r="AF91" i="57"/>
  <c r="BF73" i="57"/>
  <c r="BE83" i="57"/>
  <c r="AY63" i="57" s="1"/>
  <c r="BA63" i="57" s="1" a="1"/>
  <c r="BA63" i="57" s="1"/>
  <c r="FR207" i="57"/>
  <c r="FS214" i="57"/>
  <c r="FB274" i="57"/>
  <c r="AL360" i="35"/>
  <c r="AL307" i="35"/>
  <c r="V328" i="35"/>
  <c r="V335" i="35"/>
  <c r="V364" i="35"/>
  <c r="V344" i="35"/>
  <c r="V317" i="35"/>
  <c r="AL351" i="35"/>
  <c r="V326" i="35"/>
  <c r="V314" i="35"/>
  <c r="V315" i="35"/>
  <c r="AL350" i="35"/>
  <c r="V355" i="35"/>
  <c r="V338" i="35"/>
  <c r="AL325" i="35"/>
  <c r="AL386" i="35"/>
  <c r="AL343" i="35"/>
  <c r="AL370" i="35"/>
  <c r="AL312" i="35"/>
  <c r="AL393" i="35"/>
  <c r="AL359" i="35"/>
  <c r="AL326" i="35"/>
  <c r="O173" i="35"/>
  <c r="I148" i="35" s="1"/>
  <c r="K148" i="35" s="1" a="1"/>
  <c r="K148" i="35" s="1"/>
  <c r="AL331" i="35"/>
  <c r="AL319" i="35"/>
  <c r="O259" i="35"/>
  <c r="I224" i="35" s="1"/>
  <c r="K224" i="35" s="1" a="1"/>
  <c r="K224" i="35" s="1"/>
  <c r="AL355" i="35"/>
  <c r="AL327" i="35"/>
  <c r="O118" i="35"/>
  <c r="O98" i="35" s="1"/>
  <c r="AL382" i="35"/>
  <c r="AL328" i="35"/>
  <c r="AL379" i="35"/>
  <c r="AL375" i="35"/>
  <c r="AL376" i="35"/>
  <c r="AL357" i="35"/>
  <c r="AL335" i="35"/>
  <c r="AL323" i="35"/>
  <c r="AL330" i="35"/>
  <c r="P41" i="57"/>
  <c r="AV24" i="57"/>
  <c r="AV21" i="57"/>
  <c r="AV10" i="57"/>
  <c r="AV42" i="57"/>
  <c r="P9" i="57"/>
  <c r="AV39" i="57"/>
  <c r="P23" i="57"/>
  <c r="AV54" i="57"/>
  <c r="AV18" i="57"/>
  <c r="AV47" i="57"/>
  <c r="AV55" i="57"/>
  <c r="AV9" i="57"/>
  <c r="P50" i="57"/>
  <c r="AV25" i="57"/>
  <c r="AV33" i="57"/>
  <c r="AV35" i="57"/>
  <c r="AV27" i="57"/>
  <c r="AV13" i="57"/>
  <c r="P22" i="57"/>
  <c r="AV53" i="57"/>
  <c r="AV49" i="57"/>
  <c r="AV11" i="57"/>
  <c r="P15" i="57"/>
  <c r="AV43" i="57"/>
  <c r="AV16" i="57"/>
  <c r="AV50" i="57"/>
  <c r="AV51" i="57"/>
  <c r="AV44" i="57"/>
  <c r="AV22" i="57"/>
  <c r="AV46" i="57"/>
  <c r="AV34" i="57"/>
  <c r="AV30" i="57"/>
  <c r="AV40" i="57"/>
  <c r="P31" i="57"/>
  <c r="AV15" i="57"/>
  <c r="AV26" i="57"/>
  <c r="AV12" i="57"/>
  <c r="AV32" i="57"/>
  <c r="AV28" i="57"/>
  <c r="AV20" i="57"/>
  <c r="AV45" i="57"/>
  <c r="AV29" i="57"/>
  <c r="FB138" i="57"/>
  <c r="FB103" i="57" s="1"/>
  <c r="AV17" i="57"/>
  <c r="AV31" i="57"/>
  <c r="AV8" i="57"/>
  <c r="AV19" i="57"/>
  <c r="P44" i="57"/>
  <c r="AV52" i="57"/>
  <c r="AV36" i="57"/>
  <c r="Y33" i="57"/>
  <c r="Y13" i="57" s="1"/>
  <c r="AV23" i="57"/>
  <c r="AV41" i="57"/>
  <c r="P40" i="57"/>
  <c r="AV48" i="57"/>
  <c r="AV38" i="57"/>
  <c r="P33" i="57"/>
  <c r="P52" i="57"/>
  <c r="P20" i="57"/>
  <c r="P13" i="57"/>
  <c r="P10" i="57"/>
  <c r="P34" i="57"/>
  <c r="P16" i="57"/>
  <c r="P39" i="57"/>
  <c r="P27" i="57"/>
  <c r="P45" i="57"/>
  <c r="P36" i="57"/>
  <c r="P19" i="57"/>
  <c r="P38" i="57"/>
  <c r="P12" i="57"/>
  <c r="P53" i="57"/>
  <c r="P29" i="57"/>
  <c r="P43" i="57"/>
  <c r="P17" i="57"/>
  <c r="P46" i="57"/>
  <c r="P42" i="57"/>
  <c r="P26" i="57"/>
  <c r="P32" i="57"/>
  <c r="P24" i="57"/>
  <c r="P8" i="57"/>
  <c r="P11" i="57"/>
  <c r="P28" i="57"/>
  <c r="P47" i="57"/>
  <c r="P21" i="57"/>
  <c r="P37" i="57"/>
  <c r="P18" i="57"/>
  <c r="P54" i="57"/>
  <c r="P49" i="57"/>
  <c r="P55" i="57"/>
  <c r="P51" i="57"/>
  <c r="P35" i="57"/>
  <c r="P48" i="57"/>
  <c r="P25" i="57"/>
  <c r="AO33" i="57"/>
  <c r="AI13" i="57" s="1"/>
  <c r="AK13" i="57" s="1" a="1"/>
  <c r="AK13" i="57" s="1"/>
  <c r="AP18" i="57"/>
  <c r="BE33" i="57"/>
  <c r="AY13" i="57" s="1"/>
  <c r="BA13" i="57" s="1" a="1"/>
  <c r="BA13" i="57" s="1"/>
  <c r="AL329" i="35"/>
  <c r="AL364" i="35"/>
  <c r="AL362" i="35"/>
  <c r="AL356" i="35"/>
  <c r="AL321" i="35"/>
  <c r="AL367" i="35"/>
  <c r="AL313" i="35"/>
  <c r="AL397" i="35"/>
  <c r="AL314" i="35"/>
  <c r="AL352" i="35"/>
  <c r="AL310" i="35"/>
  <c r="AL380" i="35"/>
  <c r="AL353" i="35"/>
  <c r="AL366" i="35"/>
  <c r="AL315" i="35"/>
  <c r="AL337" i="35"/>
  <c r="AL377" i="35"/>
  <c r="AL385" i="35"/>
  <c r="AL309" i="35"/>
  <c r="AL318" i="35"/>
  <c r="AL336" i="35"/>
  <c r="AL383" i="35"/>
  <c r="AL354" i="35"/>
  <c r="AL388" i="35"/>
  <c r="AL384" i="35"/>
  <c r="AL345" i="35"/>
  <c r="AL358" i="35"/>
  <c r="AL324" i="35"/>
  <c r="AL342" i="35"/>
  <c r="AL347" i="35"/>
  <c r="AL398" i="35"/>
  <c r="AL308" i="35"/>
  <c r="V383" i="35"/>
  <c r="V386" i="35"/>
  <c r="V394" i="35"/>
  <c r="V398" i="35"/>
  <c r="V312" i="35"/>
  <c r="V319" i="35"/>
  <c r="V331" i="35"/>
  <c r="V320" i="35"/>
  <c r="V321" i="35"/>
  <c r="V325" i="35"/>
  <c r="V308" i="35"/>
  <c r="V368" i="35"/>
  <c r="V372" i="35"/>
  <c r="V375" i="35"/>
  <c r="V385" i="35"/>
  <c r="V397" i="35"/>
  <c r="V373" i="35"/>
  <c r="V380" i="35"/>
  <c r="V392" i="35"/>
  <c r="V377" i="35"/>
  <c r="V313" i="35"/>
  <c r="V362" i="35"/>
  <c r="V379" i="35"/>
  <c r="V318" i="35"/>
  <c r="V323" i="35"/>
  <c r="V336" i="35"/>
  <c r="V376" i="35"/>
  <c r="V340" i="35"/>
  <c r="V343" i="35"/>
  <c r="V356" i="35"/>
  <c r="V382" i="35"/>
  <c r="V389" i="35"/>
  <c r="V339" i="35"/>
  <c r="V305" i="35"/>
  <c r="V333" i="35"/>
  <c r="V347" i="35"/>
  <c r="V370" i="35"/>
  <c r="V390" i="35"/>
  <c r="V327" i="35"/>
  <c r="V360" i="35"/>
  <c r="V366" i="35"/>
  <c r="V391" i="35"/>
  <c r="V357" i="35"/>
  <c r="V369" i="35"/>
  <c r="V324" i="35"/>
  <c r="V309" i="35"/>
  <c r="V334" i="35"/>
  <c r="V337" i="35"/>
  <c r="V395" i="35"/>
  <c r="V387" i="35"/>
  <c r="V306" i="35"/>
  <c r="V341" i="35"/>
  <c r="V354" i="35"/>
  <c r="V361" i="35"/>
  <c r="V393" i="35"/>
  <c r="V330" i="35"/>
  <c r="V349" i="35"/>
  <c r="V353" i="35"/>
  <c r="V381" i="35"/>
  <c r="V388" i="35"/>
  <c r="V329" i="35"/>
  <c r="V346" i="35"/>
  <c r="V342" i="35"/>
  <c r="V358" i="35"/>
  <c r="V371" i="35"/>
  <c r="V396" i="35"/>
  <c r="V378" i="35"/>
  <c r="V384" i="35"/>
  <c r="V345" i="35"/>
  <c r="V374" i="35"/>
  <c r="V351" i="35"/>
  <c r="V352" i="35"/>
  <c r="V367" i="35"/>
  <c r="V350" i="35"/>
  <c r="V310" i="35"/>
  <c r="V365" i="35"/>
  <c r="AL394" i="35"/>
  <c r="AL317" i="35"/>
  <c r="AL306" i="35"/>
  <c r="AL339" i="35"/>
  <c r="AL395" i="35"/>
  <c r="AL391" i="35"/>
  <c r="AE355" i="35"/>
  <c r="AU173" i="35"/>
  <c r="AO148" i="35" s="1"/>
  <c r="AQ148" i="35" s="1" a="1"/>
  <c r="AQ148" i="35" s="1"/>
  <c r="O355" i="35"/>
  <c r="O310" i="35" s="1"/>
  <c r="AL396" i="35"/>
  <c r="AL363" i="35"/>
  <c r="AL389" i="35"/>
  <c r="AL387" i="35"/>
  <c r="AL374" i="35"/>
  <c r="AL334" i="35"/>
  <c r="AU259" i="35"/>
  <c r="AL305" i="35"/>
  <c r="AL390" i="35"/>
  <c r="AL344" i="35"/>
  <c r="AU355" i="35"/>
  <c r="AL369" i="35"/>
  <c r="AL341" i="35"/>
  <c r="AL381" i="35"/>
  <c r="AL373" i="35"/>
  <c r="AL371" i="35"/>
  <c r="AL392" i="35"/>
  <c r="AL378" i="35"/>
  <c r="AL320" i="35"/>
  <c r="AL372" i="35"/>
  <c r="AL361" i="35"/>
  <c r="AL333" i="35"/>
  <c r="AL340" i="35"/>
  <c r="AL349" i="35"/>
  <c r="AL346" i="35"/>
  <c r="AL368" i="35"/>
  <c r="AE118" i="35"/>
  <c r="Y98" i="35" s="1"/>
  <c r="AA98" i="35" s="1" a="1"/>
  <c r="AA98" i="35" s="1"/>
  <c r="AE173" i="35"/>
  <c r="Y148" i="35" s="1"/>
  <c r="AA148" i="35" s="1" a="1"/>
  <c r="AA148" i="35" s="1"/>
  <c r="F327" i="35"/>
  <c r="F343" i="35"/>
  <c r="F362" i="35"/>
  <c r="F309" i="35"/>
  <c r="F314" i="35"/>
  <c r="F317" i="35"/>
  <c r="F333" i="35"/>
  <c r="F349" i="35"/>
  <c r="F316" i="35"/>
  <c r="F325" i="35"/>
  <c r="F334" i="35"/>
  <c r="F352" i="35"/>
  <c r="F367" i="35"/>
  <c r="F336" i="35"/>
  <c r="F345" i="35"/>
  <c r="F358" i="35"/>
  <c r="F363" i="35"/>
  <c r="F318" i="35"/>
  <c r="F306" i="35"/>
  <c r="F350" i="35"/>
  <c r="F355" i="35"/>
  <c r="F330" i="35"/>
  <c r="F335" i="35"/>
  <c r="F383" i="35"/>
  <c r="F372" i="35"/>
  <c r="F308" i="35"/>
  <c r="F320" i="35"/>
  <c r="F322" i="35"/>
  <c r="F338" i="35"/>
  <c r="F348" i="35"/>
  <c r="F360" i="35"/>
  <c r="F375" i="35"/>
  <c r="F378" i="35"/>
  <c r="F389" i="35"/>
  <c r="F313" i="35"/>
  <c r="F332" i="35"/>
  <c r="F361" i="35"/>
  <c r="F366" i="35"/>
  <c r="F386" i="35"/>
  <c r="F305" i="35"/>
  <c r="F369" i="35"/>
  <c r="F393" i="35"/>
  <c r="F396" i="35"/>
  <c r="F342" i="35"/>
  <c r="F370" i="35"/>
  <c r="F397" i="35"/>
  <c r="F371" i="35"/>
  <c r="F387" i="35"/>
  <c r="F312" i="35"/>
  <c r="F319" i="35"/>
  <c r="F315" i="35"/>
  <c r="F353" i="35"/>
  <c r="F364" i="35"/>
  <c r="F374" i="35"/>
  <c r="F376" i="35"/>
  <c r="F307" i="35"/>
  <c r="F324" i="35"/>
  <c r="F328" i="35"/>
  <c r="F346" i="35"/>
  <c r="F384" i="35"/>
  <c r="F388" i="35"/>
  <c r="F390" i="35"/>
  <c r="F329" i="35"/>
  <c r="F347" i="35"/>
  <c r="F357" i="35"/>
  <c r="F368" i="35"/>
  <c r="F395" i="35"/>
  <c r="F377" i="35"/>
  <c r="F392" i="35"/>
  <c r="F326" i="35"/>
  <c r="F385" i="35"/>
  <c r="F323" i="35"/>
  <c r="F344" i="35"/>
  <c r="F331" i="35"/>
  <c r="F391" i="35"/>
  <c r="F394" i="35"/>
  <c r="F337" i="35"/>
  <c r="F354" i="35"/>
  <c r="F321" i="35"/>
  <c r="F339" i="35"/>
  <c r="F359" i="35"/>
  <c r="F379" i="35"/>
  <c r="F351" i="35"/>
  <c r="F365" i="35"/>
  <c r="F373" i="35"/>
  <c r="F381" i="35"/>
  <c r="F398" i="35"/>
  <c r="F310" i="35"/>
  <c r="F340" i="35"/>
  <c r="F356" i="35"/>
  <c r="F380" i="35"/>
  <c r="F341" i="35"/>
  <c r="F382" i="35"/>
  <c r="V115" i="35"/>
  <c r="V127" i="35"/>
  <c r="V101" i="35"/>
  <c r="V135" i="35"/>
  <c r="V136" i="35"/>
  <c r="V113" i="35"/>
  <c r="V123" i="35"/>
  <c r="V119" i="35"/>
  <c r="V129" i="35"/>
  <c r="V103" i="35"/>
  <c r="V117" i="35"/>
  <c r="V133" i="35"/>
  <c r="V139" i="35"/>
  <c r="V108" i="35"/>
  <c r="V112" i="35"/>
  <c r="V121" i="35"/>
  <c r="V102" i="35"/>
  <c r="V104" i="35"/>
  <c r="V100" i="35"/>
  <c r="V93" i="35"/>
  <c r="V109" i="35"/>
  <c r="V125" i="35"/>
  <c r="V95" i="35"/>
  <c r="V111" i="35"/>
  <c r="V116" i="35"/>
  <c r="V134" i="35"/>
  <c r="V107" i="35"/>
  <c r="V131" i="35"/>
  <c r="V138" i="35"/>
  <c r="V140" i="35"/>
  <c r="V97" i="35"/>
  <c r="V106" i="35"/>
  <c r="V137" i="35"/>
  <c r="V118" i="35"/>
  <c r="V120" i="35"/>
  <c r="V124" i="35"/>
  <c r="V132" i="35"/>
  <c r="V122" i="35"/>
  <c r="V110" i="35"/>
  <c r="V105" i="35"/>
  <c r="V128" i="35"/>
  <c r="V114" i="35"/>
  <c r="V94" i="35"/>
  <c r="V130" i="35"/>
  <c r="V126" i="35"/>
  <c r="V96" i="35"/>
  <c r="V98" i="35"/>
  <c r="AE259" i="35"/>
  <c r="Y224" i="35" s="1"/>
  <c r="AA224" i="35" s="1" a="1"/>
  <c r="AA224" i="35" s="1"/>
  <c r="AU118" i="35"/>
  <c r="AO98" i="35" s="1"/>
  <c r="AQ98" i="35" s="1" a="1"/>
  <c r="AQ98" i="35" s="1"/>
  <c r="DH3" i="57"/>
  <c r="AF3" i="51"/>
  <c r="AF4" i="51"/>
  <c r="AF5" i="51"/>
  <c r="AR3" i="55" a="1"/>
  <c r="AR3" i="55" s="1"/>
  <c r="AR5" i="55"/>
  <c r="AR4" i="55"/>
  <c r="P115" i="54"/>
  <c r="C64" i="54"/>
  <c r="L112" i="54"/>
  <c r="R114" i="53"/>
  <c r="S114" i="53" s="1"/>
  <c r="T114" i="53" s="1"/>
  <c r="Q114" i="53"/>
  <c r="J162" i="53"/>
  <c r="I162" i="53"/>
  <c r="K162" i="53" s="1"/>
  <c r="H162" i="53"/>
  <c r="X237" i="53"/>
  <c r="Y237" i="53" s="1"/>
  <c r="Z237" i="53" s="1"/>
  <c r="W237" i="53"/>
  <c r="R111" i="53"/>
  <c r="S111" i="53" s="1"/>
  <c r="T111" i="53" s="1"/>
  <c r="Q111" i="53"/>
  <c r="Q109" i="53"/>
  <c r="P113" i="53"/>
  <c r="R109" i="53"/>
  <c r="S109" i="53" s="1"/>
  <c r="T109" i="53" s="1"/>
  <c r="D462" i="53"/>
  <c r="S227" i="53"/>
  <c r="I463" i="53"/>
  <c r="H463" i="53" s="1"/>
  <c r="B463" i="53" s="1"/>
  <c r="D463" i="53" s="1"/>
  <c r="M347" i="53"/>
  <c r="M350" i="53" s="1"/>
  <c r="L347" i="53"/>
  <c r="L350" i="53" s="1"/>
  <c r="K347" i="53"/>
  <c r="K350" i="53" s="1"/>
  <c r="J347" i="53"/>
  <c r="J350" i="53" s="1"/>
  <c r="I347" i="53"/>
  <c r="I350" i="53" s="1"/>
  <c r="P108" i="53"/>
  <c r="V238" i="53"/>
  <c r="F488" i="53"/>
  <c r="J488" i="53" s="1"/>
  <c r="J487" i="53"/>
  <c r="D193" i="53"/>
  <c r="D192" i="53"/>
  <c r="E192" i="53" s="1"/>
  <c r="G231" i="53"/>
  <c r="G329" i="53"/>
  <c r="L329" i="53" s="1"/>
  <c r="L326" i="53"/>
  <c r="E393" i="53"/>
  <c r="E190" i="53"/>
  <c r="U238" i="53"/>
  <c r="H347" i="53"/>
  <c r="H350" i="53" s="1"/>
  <c r="D393" i="53"/>
  <c r="H175" i="53"/>
  <c r="J175" i="53" s="1"/>
  <c r="J393" i="53"/>
  <c r="I393" i="53"/>
  <c r="P115" i="53"/>
  <c r="G292" i="53"/>
  <c r="L292" i="53" s="1"/>
  <c r="L289" i="53"/>
  <c r="H393" i="53"/>
  <c r="D464" i="53"/>
  <c r="R227" i="53"/>
  <c r="O108" i="53"/>
  <c r="O110" i="53"/>
  <c r="P110" i="53" s="1"/>
  <c r="O113" i="53"/>
  <c r="O115" i="53"/>
  <c r="L393" i="53"/>
  <c r="E206" i="53"/>
  <c r="M393" i="53"/>
  <c r="AU310" i="35" l="1"/>
  <c r="AO310" i="35"/>
  <c r="AQ310" i="35" s="1" a="1"/>
  <c r="AQ310" i="35" s="1"/>
  <c r="AE310" i="35"/>
  <c r="Y310" i="35"/>
  <c r="AA310" i="35" s="1" a="1"/>
  <c r="AA310" i="35" s="1"/>
  <c r="AU224" i="35"/>
  <c r="AO224" i="35"/>
  <c r="AQ224" i="35" s="1" a="1"/>
  <c r="AQ224" i="35" s="1"/>
  <c r="AZ3" i="69"/>
  <c r="AZ5" i="69"/>
  <c r="AU53" i="35"/>
  <c r="S63" i="57"/>
  <c r="U63" i="57" s="1" a="1"/>
  <c r="U63" i="57" s="1"/>
  <c r="BE113" i="57"/>
  <c r="AO113" i="57"/>
  <c r="S113" i="57"/>
  <c r="U113" i="57" s="1" a="1"/>
  <c r="U113" i="57" s="1"/>
  <c r="Y113" i="57"/>
  <c r="FK207" i="57"/>
  <c r="FM207" i="57" s="1"/>
  <c r="FB325" i="57"/>
  <c r="BE63" i="57"/>
  <c r="AO63" i="57"/>
  <c r="FB207" i="57"/>
  <c r="O148" i="35"/>
  <c r="O224" i="35"/>
  <c r="AU148" i="35"/>
  <c r="I98" i="35"/>
  <c r="K98" i="35" s="1" a="1"/>
  <c r="K98" i="35" s="1"/>
  <c r="I310" i="35"/>
  <c r="K310" i="35" s="1" a="1"/>
  <c r="K310" i="35" s="1"/>
  <c r="S13" i="57"/>
  <c r="U13" i="57" s="1" a="1"/>
  <c r="U13" i="57" s="1"/>
  <c r="BE13" i="57"/>
  <c r="AO13" i="57"/>
  <c r="AE148" i="35"/>
  <c r="AE98" i="35"/>
  <c r="AU98" i="35"/>
  <c r="AE224" i="35"/>
  <c r="Q110" i="53"/>
  <c r="R110" i="53"/>
  <c r="S110" i="53" s="1"/>
  <c r="T110" i="53" s="1"/>
  <c r="X238" i="53"/>
  <c r="Y238" i="53" s="1"/>
  <c r="Z238" i="53" s="1"/>
  <c r="W238" i="53"/>
  <c r="Q108" i="53"/>
  <c r="R108" i="53"/>
  <c r="S108" i="53"/>
  <c r="T108" i="53" s="1"/>
  <c r="U227" i="53"/>
  <c r="T227" i="53"/>
  <c r="V227" i="53"/>
  <c r="W227" i="53" s="1"/>
  <c r="E464" i="53"/>
  <c r="I231" i="53"/>
  <c r="J231" i="53"/>
  <c r="K231" i="53" s="1"/>
  <c r="H231" i="53"/>
  <c r="K461" i="53"/>
  <c r="Q115" i="53"/>
  <c r="R115" i="53"/>
  <c r="S115" i="53"/>
  <c r="T115" i="53" s="1"/>
  <c r="J489" i="53"/>
  <c r="J490" i="53" s="1"/>
  <c r="N350" i="53"/>
  <c r="Q113" i="53"/>
  <c r="R113" i="53"/>
  <c r="S113" i="53" s="1"/>
  <c r="T113" i="53" s="1"/>
  <c r="V42" i="57" l="1"/>
  <c r="V43" i="57"/>
  <c r="AL42" i="57"/>
  <c r="AL43" i="57"/>
  <c r="BB42" i="57"/>
  <c r="BB43" i="57"/>
  <c r="E466" i="53"/>
  <c r="E465" i="53"/>
  <c r="F464" i="53"/>
  <c r="J464" i="53"/>
  <c r="K464" i="53" s="1"/>
  <c r="E462" i="53"/>
  <c r="E463" i="53"/>
  <c r="F463" i="53" l="1"/>
  <c r="J463" i="53"/>
  <c r="K463" i="53" s="1"/>
  <c r="E452" i="53"/>
  <c r="C456" i="53" s="1"/>
  <c r="J462" i="53"/>
  <c r="K462" i="53" s="1"/>
  <c r="F462" i="53"/>
  <c r="F465" i="53"/>
  <c r="J465" i="53"/>
  <c r="K465" i="53" s="1"/>
  <c r="F466" i="53"/>
  <c r="J466" i="53" s="1"/>
  <c r="K466" i="53" s="1"/>
  <c r="C458" i="53" l="1"/>
  <c r="B458" i="53"/>
  <c r="H456" i="53"/>
  <c r="G456" i="53"/>
  <c r="B456" i="53"/>
  <c r="H452" i="53"/>
  <c r="K458" i="53" s="1"/>
  <c r="J461" i="53"/>
  <c r="K450" i="53" s="1"/>
  <c r="I450" i="53" s="1"/>
  <c r="F456" i="53" l="1"/>
  <c r="I458" i="53"/>
  <c r="D458" i="53"/>
  <c r="F458" i="53" l="1"/>
  <c r="J458" i="53" s="1"/>
  <c r="G458" i="53"/>
  <c r="J456" i="53"/>
  <c r="D456" i="53"/>
  <c r="BB7" i="50" l="1"/>
  <c r="BB6" i="50" a="1"/>
  <c r="BB6" i="50"/>
  <c r="BC3" i="50"/>
  <c r="A1" i="50"/>
  <c r="BA237" i="50"/>
  <c r="BC1" i="50"/>
  <c r="BB1" i="50"/>
  <c r="H235" i="50"/>
  <c r="G235" i="50"/>
  <c r="F235" i="50"/>
  <c r="E235" i="50"/>
  <c r="D235" i="50"/>
  <c r="C235" i="50"/>
  <c r="T233" i="50"/>
  <c r="S233" i="50"/>
  <c r="R233" i="50"/>
  <c r="Q233" i="50"/>
  <c r="P233" i="50"/>
  <c r="O233" i="50"/>
  <c r="N233" i="50"/>
  <c r="G232" i="50"/>
  <c r="H232" i="50" s="1"/>
  <c r="G231" i="50"/>
  <c r="H231" i="50" s="1"/>
  <c r="G230" i="50"/>
  <c r="H230" i="50" s="1"/>
  <c r="G229" i="50"/>
  <c r="H229" i="50" s="1"/>
  <c r="R228" i="50"/>
  <c r="T228" i="50" s="1"/>
  <c r="G228" i="50"/>
  <c r="H228" i="50" s="1"/>
  <c r="D228" i="50"/>
  <c r="R227" i="50"/>
  <c r="T227" i="50" s="1"/>
  <c r="R226" i="50"/>
  <c r="T226" i="50" s="1"/>
  <c r="C226" i="50"/>
  <c r="R225" i="50"/>
  <c r="T225" i="50" s="1"/>
  <c r="R224" i="50"/>
  <c r="T224" i="50" s="1"/>
  <c r="R223" i="50"/>
  <c r="T223" i="50" s="1"/>
  <c r="K223" i="50"/>
  <c r="J223" i="50"/>
  <c r="I223" i="50"/>
  <c r="H223" i="50"/>
  <c r="G223" i="50"/>
  <c r="F223" i="50"/>
  <c r="E223" i="50"/>
  <c r="D223" i="50"/>
  <c r="C223" i="50"/>
  <c r="R222" i="50"/>
  <c r="T222" i="50" s="1"/>
  <c r="R221" i="50"/>
  <c r="T221" i="50" s="1"/>
  <c r="R220" i="50"/>
  <c r="T220" i="50" s="1"/>
  <c r="H220" i="50"/>
  <c r="R219" i="50"/>
  <c r="T219" i="50" s="1"/>
  <c r="K219" i="50"/>
  <c r="K220" i="50" s="1"/>
  <c r="H219" i="50"/>
  <c r="E219" i="50"/>
  <c r="E220" i="50" s="1"/>
  <c r="N218" i="50"/>
  <c r="P215" i="50" s="1"/>
  <c r="K216" i="50"/>
  <c r="K215" i="50" s="1"/>
  <c r="O215" i="50"/>
  <c r="H215" i="50"/>
  <c r="H216" i="50" s="1"/>
  <c r="E215" i="50"/>
  <c r="E216" i="50" s="1"/>
  <c r="N212" i="50"/>
  <c r="C212" i="50"/>
  <c r="K209" i="50"/>
  <c r="J209" i="50"/>
  <c r="I209" i="50"/>
  <c r="H209" i="50"/>
  <c r="G209" i="50"/>
  <c r="F209" i="50"/>
  <c r="E209" i="50"/>
  <c r="D209" i="50"/>
  <c r="C209" i="50"/>
  <c r="L206" i="50"/>
  <c r="H206" i="50"/>
  <c r="L205" i="50"/>
  <c r="K205" i="50"/>
  <c r="K206" i="50" s="1"/>
  <c r="H205" i="50"/>
  <c r="E205" i="50"/>
  <c r="E206" i="50" s="1"/>
  <c r="L201" i="50"/>
  <c r="H201" i="50"/>
  <c r="E201" i="50"/>
  <c r="L200" i="50"/>
  <c r="K200" i="50"/>
  <c r="K201" i="50" s="1"/>
  <c r="H200" i="50"/>
  <c r="E200" i="50"/>
  <c r="C197" i="50"/>
  <c r="H194" i="50"/>
  <c r="G194" i="50"/>
  <c r="F194" i="50"/>
  <c r="E194" i="50"/>
  <c r="D194" i="50"/>
  <c r="C194" i="50"/>
  <c r="E191" i="50"/>
  <c r="G180" i="50"/>
  <c r="F177" i="50"/>
  <c r="C165" i="50" s="1"/>
  <c r="E177" i="50"/>
  <c r="D165" i="50" s="1"/>
  <c r="G175" i="50"/>
  <c r="E178" i="50" s="1"/>
  <c r="F165" i="50" s="1"/>
  <c r="F175" i="50"/>
  <c r="D172" i="50"/>
  <c r="F171" i="50"/>
  <c r="G171" i="50" s="1"/>
  <c r="G176" i="50" s="1"/>
  <c r="E179" i="50" s="1"/>
  <c r="H165" i="50" s="1"/>
  <c r="F170" i="50"/>
  <c r="E164" i="50" s="1"/>
  <c r="H164" i="50" s="1"/>
  <c r="F163" i="50"/>
  <c r="C162" i="50"/>
  <c r="G161" i="50"/>
  <c r="H160" i="50"/>
  <c r="H158" i="50"/>
  <c r="G158" i="50"/>
  <c r="F158" i="50"/>
  <c r="E158" i="50"/>
  <c r="D158" i="50"/>
  <c r="C158" i="50"/>
  <c r="H155" i="50"/>
  <c r="I145" i="50"/>
  <c r="I144" i="50"/>
  <c r="G144" i="50"/>
  <c r="J145" i="50" s="1"/>
  <c r="M143" i="50"/>
  <c r="I143" i="50"/>
  <c r="F143" i="50"/>
  <c r="E143" i="50"/>
  <c r="E144" i="50" s="1"/>
  <c r="J144" i="50" s="1"/>
  <c r="I141" i="50"/>
  <c r="I140" i="50"/>
  <c r="G140" i="50"/>
  <c r="G143" i="50" s="1"/>
  <c r="F140" i="50"/>
  <c r="H140" i="50" s="1"/>
  <c r="I138" i="50"/>
  <c r="H138" i="50"/>
  <c r="G138" i="50"/>
  <c r="J138" i="50" s="1"/>
  <c r="I137" i="50"/>
  <c r="G137" i="50"/>
  <c r="J137" i="50" s="1"/>
  <c r="I135" i="50"/>
  <c r="I134" i="50"/>
  <c r="I133" i="50"/>
  <c r="I132" i="50"/>
  <c r="C132" i="50"/>
  <c r="I131" i="50"/>
  <c r="G131" i="50"/>
  <c r="J131" i="50" s="1"/>
  <c r="H130" i="50"/>
  <c r="H127" i="50"/>
  <c r="G127" i="50"/>
  <c r="F127" i="50"/>
  <c r="E127" i="50"/>
  <c r="D127" i="50"/>
  <c r="C127" i="50"/>
  <c r="H124" i="50"/>
  <c r="I114" i="50"/>
  <c r="I113" i="50"/>
  <c r="G113" i="50"/>
  <c r="J114" i="50" s="1"/>
  <c r="I112" i="50"/>
  <c r="F112" i="50"/>
  <c r="E112" i="50"/>
  <c r="E113" i="50" s="1"/>
  <c r="J113" i="50" s="1"/>
  <c r="I109" i="50"/>
  <c r="F109" i="50"/>
  <c r="H109" i="50" s="1"/>
  <c r="I107" i="50"/>
  <c r="I106" i="50"/>
  <c r="G106" i="50"/>
  <c r="J106" i="50" s="1"/>
  <c r="I104" i="50"/>
  <c r="I103" i="50"/>
  <c r="I102" i="50"/>
  <c r="I101" i="50"/>
  <c r="C101" i="50"/>
  <c r="I100" i="50"/>
  <c r="G100" i="50"/>
  <c r="J100" i="50" s="1"/>
  <c r="I99" i="50"/>
  <c r="I96" i="50"/>
  <c r="S77" i="50"/>
  <c r="R77" i="50"/>
  <c r="Q77" i="50"/>
  <c r="P77" i="50"/>
  <c r="O77" i="50"/>
  <c r="C75" i="50"/>
  <c r="C73" i="50"/>
  <c r="R72" i="50"/>
  <c r="C71" i="50"/>
  <c r="P62" i="50"/>
  <c r="O62" i="50"/>
  <c r="N62" i="50"/>
  <c r="M62" i="50"/>
  <c r="L62" i="50"/>
  <c r="K62" i="50"/>
  <c r="J62" i="50"/>
  <c r="C59" i="50"/>
  <c r="C56" i="50"/>
  <c r="C53" i="50"/>
  <c r="O51" i="50"/>
  <c r="O50" i="50"/>
  <c r="C50" i="50"/>
  <c r="O49" i="50"/>
  <c r="O48" i="50"/>
  <c r="C47" i="50"/>
  <c r="P45" i="50"/>
  <c r="P44" i="50"/>
  <c r="C44" i="50"/>
  <c r="D36" i="50"/>
  <c r="C36" i="50"/>
  <c r="E62" i="50" s="1"/>
  <c r="B36" i="50"/>
  <c r="D18" i="50"/>
  <c r="E36" i="50"/>
  <c r="D56" i="50"/>
  <c r="K140" i="50"/>
  <c r="K143" i="50"/>
  <c r="K135" i="50"/>
  <c r="D47" i="50"/>
  <c r="D73" i="50"/>
  <c r="P49" i="50"/>
  <c r="P51" i="50"/>
  <c r="K141" i="50"/>
  <c r="Q44" i="50"/>
  <c r="K133" i="50"/>
  <c r="K145" i="50"/>
  <c r="J97" i="50"/>
  <c r="K106" i="50"/>
  <c r="M206" i="50"/>
  <c r="K109" i="50"/>
  <c r="M201" i="50"/>
  <c r="K104" i="50"/>
  <c r="D71" i="50"/>
  <c r="K112" i="50"/>
  <c r="K102" i="50"/>
  <c r="N143" i="50"/>
  <c r="Q45" i="50"/>
  <c r="K103" i="50"/>
  <c r="K107" i="50"/>
  <c r="D50" i="50"/>
  <c r="K100" i="50"/>
  <c r="P50" i="50"/>
  <c r="K114" i="50"/>
  <c r="K138" i="50"/>
  <c r="M200" i="50"/>
  <c r="J96" i="50"/>
  <c r="D44" i="50"/>
  <c r="K134" i="50"/>
  <c r="K101" i="50"/>
  <c r="K132" i="50"/>
  <c r="M205" i="50"/>
  <c r="K137" i="50"/>
  <c r="D59" i="50"/>
  <c r="D75" i="50"/>
  <c r="D53" i="50"/>
  <c r="K144" i="50"/>
  <c r="K113" i="50"/>
  <c r="K131" i="50"/>
  <c r="BB3" i="50" l="1"/>
  <c r="BB5" i="50"/>
  <c r="BB4" i="50"/>
  <c r="U1" i="50"/>
  <c r="E133" i="50"/>
  <c r="E163" i="50"/>
  <c r="E180" i="50" s="1"/>
  <c r="C164" i="50"/>
  <c r="J140" i="50"/>
  <c r="T218" i="50"/>
  <c r="H106" i="50"/>
  <c r="I97" i="50" s="1"/>
  <c r="H112" i="50"/>
  <c r="J141" i="50"/>
  <c r="H137" i="50"/>
  <c r="H143" i="50"/>
  <c r="H171" i="50"/>
  <c r="E102" i="50"/>
  <c r="J112" i="50"/>
  <c r="E107" i="50"/>
  <c r="T215" i="50"/>
  <c r="G109" i="50"/>
  <c r="H175" i="50"/>
  <c r="E165" i="50" s="1"/>
  <c r="J143" i="50"/>
  <c r="F178" i="50"/>
  <c r="D164" i="50" l="1"/>
  <c r="G164" i="50" s="1"/>
  <c r="F164" i="50" s="1"/>
  <c r="F133" i="50"/>
  <c r="J132" i="50"/>
  <c r="J107" i="50"/>
  <c r="H99" i="50"/>
  <c r="G112" i="50"/>
  <c r="J109" i="50"/>
  <c r="J101" i="50"/>
  <c r="F102" i="50"/>
  <c r="H176" i="50"/>
  <c r="G165" i="50" s="1"/>
  <c r="F179" i="50"/>
  <c r="H133" i="50" l="1"/>
  <c r="J135" i="50" s="1"/>
  <c r="J133" i="50"/>
  <c r="G133" i="50"/>
  <c r="J134" i="50" s="1"/>
  <c r="J102" i="50"/>
  <c r="H102" i="50"/>
  <c r="J104" i="50" s="1"/>
  <c r="G102" i="50" l="1"/>
  <c r="J103" i="50" s="1"/>
  <c r="A89" i="40"/>
  <c r="A88" i="40"/>
  <c r="A87" i="40"/>
  <c r="A85" i="40"/>
  <c r="A84" i="40"/>
  <c r="A82" i="40"/>
  <c r="A81" i="40"/>
  <c r="A80" i="40"/>
  <c r="A78" i="40"/>
  <c r="A77" i="40"/>
  <c r="A75" i="40"/>
  <c r="A74" i="40"/>
  <c r="A73" i="40"/>
  <c r="A71" i="40"/>
  <c r="A70" i="40"/>
  <c r="A64" i="40"/>
  <c r="BT297" i="35" l="1"/>
  <c r="BS297" i="35"/>
  <c r="BR297" i="35"/>
  <c r="BQ297" i="35"/>
  <c r="BP297" i="35"/>
  <c r="BO297" i="35"/>
  <c r="BN297" i="35"/>
  <c r="BL297" i="35"/>
  <c r="BK297" i="35"/>
  <c r="BJ297" i="35"/>
  <c r="BI297" i="35"/>
  <c r="BH297" i="35"/>
  <c r="BG297" i="35"/>
  <c r="BF297" i="35"/>
  <c r="BD297" i="35"/>
  <c r="BC297" i="35"/>
  <c r="BB297" i="35"/>
  <c r="BA297" i="35"/>
  <c r="AZ297" i="35"/>
  <c r="AY297" i="35"/>
  <c r="AX297" i="35"/>
  <c r="BR288" i="35"/>
  <c r="BQ288" i="35"/>
  <c r="BO288" i="35"/>
  <c r="BN288" i="35"/>
  <c r="BJ288" i="35"/>
  <c r="BI288" i="35"/>
  <c r="BG288" i="35"/>
  <c r="BF288" i="35"/>
  <c r="BB288" i="35"/>
  <c r="BA288" i="35"/>
  <c r="AY288" i="35"/>
  <c r="AX288" i="35"/>
  <c r="BR287" i="35"/>
  <c r="BQ287" i="35"/>
  <c r="BO287" i="35"/>
  <c r="BN287" i="35"/>
  <c r="BJ287" i="35"/>
  <c r="BI287" i="35"/>
  <c r="BG287" i="35"/>
  <c r="BF287" i="35"/>
  <c r="BB287" i="35"/>
  <c r="BA287" i="35"/>
  <c r="AY287" i="35"/>
  <c r="AX287" i="35"/>
  <c r="BN276" i="35"/>
  <c r="BF276" i="35"/>
  <c r="AX276" i="35"/>
  <c r="BN275" i="35"/>
  <c r="BF275" i="35"/>
  <c r="AX275" i="35"/>
  <c r="BP231" i="35"/>
  <c r="BH231" i="35"/>
  <c r="AZ231" i="35"/>
  <c r="BR230" i="35"/>
  <c r="BO232" i="35" s="1"/>
  <c r="BJ230" i="35"/>
  <c r="BG232" i="35" s="1"/>
  <c r="BB230" i="35"/>
  <c r="AY232" i="35" s="1"/>
  <c r="AY228" i="35"/>
  <c r="BP227" i="35"/>
  <c r="BH227" i="35"/>
  <c r="AZ227" i="35"/>
  <c r="BR226" i="35"/>
  <c r="BO228" i="35" s="1"/>
  <c r="BJ226" i="35"/>
  <c r="BG228" i="35" s="1"/>
  <c r="AZ226" i="35"/>
  <c r="BB223" i="35"/>
  <c r="BR221" i="35"/>
  <c r="BJ221" i="35"/>
  <c r="BB221" i="35"/>
  <c r="P22" i="35"/>
  <c r="P21" i="35"/>
  <c r="P20" i="35"/>
  <c r="P19" i="35"/>
  <c r="P18" i="35"/>
  <c r="AF22" i="35"/>
  <c r="AF21" i="35"/>
  <c r="AF20" i="35"/>
  <c r="AV22" i="35"/>
  <c r="AT1" i="35"/>
  <c r="AT2" i="35"/>
  <c r="AD1" i="35"/>
  <c r="AD2" i="35"/>
  <c r="AV35" i="35"/>
  <c r="AF35" i="35"/>
  <c r="P35" i="35"/>
  <c r="AR14" i="35" l="1"/>
  <c r="AL14" i="35" s="1"/>
  <c r="AB14" i="35"/>
  <c r="AM14" i="35"/>
  <c r="AI14" i="35" s="1"/>
  <c r="AK14" i="35"/>
  <c r="AK11" i="35" s="1"/>
  <c r="AJ14" i="35"/>
  <c r="AJ9" i="35" s="1"/>
  <c r="AR13" i="35"/>
  <c r="AV19" i="35" s="1"/>
  <c r="AV8" i="35"/>
  <c r="W14" i="35"/>
  <c r="S14" i="35" s="1"/>
  <c r="S34" i="35" s="1"/>
  <c r="AB13" i="35"/>
  <c r="AF8" i="35"/>
  <c r="N1" i="35"/>
  <c r="N2" i="35"/>
  <c r="BX609" i="35"/>
  <c r="BV609" i="35"/>
  <c r="BR3" i="35" s="1"/>
  <c r="AN46" i="35"/>
  <c r="X46" i="35"/>
  <c r="H46" i="35"/>
  <c r="AH40" i="35"/>
  <c r="R40" i="35"/>
  <c r="B40" i="35"/>
  <c r="AH39" i="35"/>
  <c r="R39" i="35"/>
  <c r="B39" i="35"/>
  <c r="AH38" i="35"/>
  <c r="R38" i="35"/>
  <c r="B38" i="35"/>
  <c r="AH37" i="35"/>
  <c r="R37" i="35"/>
  <c r="B37" i="35"/>
  <c r="AH36" i="35"/>
  <c r="R36" i="35"/>
  <c r="B36" i="35"/>
  <c r="AN28" i="35"/>
  <c r="AM28" i="35"/>
  <c r="X28" i="35"/>
  <c r="W28" i="35"/>
  <c r="H28" i="35"/>
  <c r="G28" i="35"/>
  <c r="AZ22" i="35"/>
  <c r="AO22" i="35"/>
  <c r="AH22" i="35"/>
  <c r="R22" i="35"/>
  <c r="I22" i="35"/>
  <c r="B22" i="35"/>
  <c r="AO21" i="35"/>
  <c r="AH21" i="35"/>
  <c r="R21" i="35"/>
  <c r="I21" i="35"/>
  <c r="B21" i="35"/>
  <c r="AO20" i="35"/>
  <c r="AH20" i="35"/>
  <c r="R20" i="35"/>
  <c r="I20" i="35"/>
  <c r="B20" i="35"/>
  <c r="AO19" i="35"/>
  <c r="AH19" i="35"/>
  <c r="R19" i="35"/>
  <c r="I19" i="35"/>
  <c r="B19" i="35"/>
  <c r="AO18" i="35"/>
  <c r="I18" i="35"/>
  <c r="U14" i="35"/>
  <c r="U17" i="35" s="1"/>
  <c r="T14" i="35"/>
  <c r="T36" i="35" s="1"/>
  <c r="L14" i="35"/>
  <c r="G14" i="35"/>
  <c r="C14" i="35" s="1"/>
  <c r="E14" i="35"/>
  <c r="E12" i="35" s="1"/>
  <c r="D14" i="35"/>
  <c r="D12" i="35" s="1"/>
  <c r="L13" i="35"/>
  <c r="N20" i="35" s="1"/>
  <c r="P8" i="35"/>
  <c r="BT2" i="35"/>
  <c r="BS2" i="35"/>
  <c r="BR2" i="35"/>
  <c r="BQ2" i="35"/>
  <c r="BP2" i="35"/>
  <c r="BO2" i="35"/>
  <c r="BN2" i="35"/>
  <c r="BL2" i="35"/>
  <c r="BK2" i="35"/>
  <c r="BJ2" i="35"/>
  <c r="BI2" i="35"/>
  <c r="BH2" i="35"/>
  <c r="BG2" i="35"/>
  <c r="BF2" i="35"/>
  <c r="BD2" i="35"/>
  <c r="BC2" i="35"/>
  <c r="BB2" i="35"/>
  <c r="BA2" i="35"/>
  <c r="AZ2" i="35"/>
  <c r="AY2" i="35"/>
  <c r="AX2" i="35"/>
  <c r="AV2" i="35"/>
  <c r="AU2" i="35"/>
  <c r="AS2" i="35"/>
  <c r="AR2" i="35"/>
  <c r="AQ2" i="35"/>
  <c r="AP2" i="35"/>
  <c r="AO2" i="35"/>
  <c r="AN2" i="35"/>
  <c r="AM2" i="35"/>
  <c r="AL2" i="35"/>
  <c r="AK2" i="35"/>
  <c r="AJ2" i="35"/>
  <c r="AI2" i="35"/>
  <c r="AH2" i="35"/>
  <c r="AF2" i="35"/>
  <c r="AE2" i="35"/>
  <c r="AC2" i="35"/>
  <c r="AB2" i="35"/>
  <c r="AA2" i="35"/>
  <c r="Z2" i="35"/>
  <c r="Y2" i="35"/>
  <c r="X2" i="35"/>
  <c r="W2" i="35"/>
  <c r="V2" i="35"/>
  <c r="U2" i="35"/>
  <c r="T2" i="35"/>
  <c r="S2" i="35"/>
  <c r="R2" i="35"/>
  <c r="P2" i="35"/>
  <c r="O2" i="35"/>
  <c r="M2" i="35"/>
  <c r="L2" i="35"/>
  <c r="K2" i="35"/>
  <c r="J2" i="35"/>
  <c r="I2" i="35"/>
  <c r="H2" i="35"/>
  <c r="G2" i="35"/>
  <c r="B2" i="35"/>
  <c r="BX1" i="35"/>
  <c r="BW1" i="35"/>
  <c r="BT1" i="35"/>
  <c r="BS1" i="35"/>
  <c r="BR1" i="35"/>
  <c r="BQ1" i="35"/>
  <c r="BP1" i="35"/>
  <c r="BO1" i="35"/>
  <c r="BN1" i="35"/>
  <c r="BL1" i="35"/>
  <c r="BK1" i="35"/>
  <c r="BJ1" i="35"/>
  <c r="BI1" i="35"/>
  <c r="BH1" i="35"/>
  <c r="BG1" i="35"/>
  <c r="BF1" i="35"/>
  <c r="BD1" i="35"/>
  <c r="BC1" i="35"/>
  <c r="BB1" i="35"/>
  <c r="BA1" i="35"/>
  <c r="AZ1" i="35"/>
  <c r="AY1" i="35"/>
  <c r="AX1" i="35"/>
  <c r="AV1" i="35"/>
  <c r="AU1" i="35"/>
  <c r="AS1" i="35"/>
  <c r="AR1" i="35"/>
  <c r="AQ1" i="35"/>
  <c r="AP1" i="35"/>
  <c r="AO1" i="35"/>
  <c r="AN1" i="35"/>
  <c r="AM1" i="35"/>
  <c r="AL1" i="35"/>
  <c r="AK1" i="35"/>
  <c r="AJ1" i="35"/>
  <c r="AI1" i="35"/>
  <c r="AH1" i="35"/>
  <c r="AF1" i="35"/>
  <c r="AE1" i="35"/>
  <c r="AC1" i="35"/>
  <c r="AB1" i="35"/>
  <c r="AA1" i="35"/>
  <c r="Z1" i="35"/>
  <c r="Y1" i="35"/>
  <c r="X1" i="35"/>
  <c r="W1" i="35"/>
  <c r="V1" i="35"/>
  <c r="U1" i="35"/>
  <c r="T1" i="35"/>
  <c r="S1" i="35"/>
  <c r="R1" i="35"/>
  <c r="P1" i="35"/>
  <c r="O1" i="35"/>
  <c r="M1" i="35"/>
  <c r="L1" i="35"/>
  <c r="K1" i="35"/>
  <c r="J1" i="35"/>
  <c r="I1" i="35"/>
  <c r="H1" i="35"/>
  <c r="G1" i="35"/>
  <c r="F1" i="35"/>
  <c r="E1" i="35"/>
  <c r="D1" i="35"/>
  <c r="C1" i="35"/>
  <c r="B1" i="35"/>
  <c r="A1" i="35"/>
  <c r="L7" i="35" l="1" a="1"/>
  <c r="L7" i="35" s="1"/>
  <c r="AD18" i="35"/>
  <c r="D18" i="35"/>
  <c r="AD19" i="35"/>
  <c r="AD20" i="35"/>
  <c r="AT20" i="35"/>
  <c r="D43" i="35"/>
  <c r="AD21" i="35"/>
  <c r="AK9" i="35"/>
  <c r="AT19" i="35"/>
  <c r="AJ10" i="35"/>
  <c r="AD22" i="35"/>
  <c r="AK10" i="35"/>
  <c r="AJ13" i="35"/>
  <c r="AT21" i="35"/>
  <c r="AK13" i="35"/>
  <c r="AT22" i="35"/>
  <c r="K11" i="35"/>
  <c r="AT18" i="35"/>
  <c r="AI13" i="35"/>
  <c r="AI10" i="35"/>
  <c r="AL15" i="35"/>
  <c r="AL13" i="35"/>
  <c r="AL35" i="35"/>
  <c r="AL39" i="35"/>
  <c r="AL9" i="35"/>
  <c r="AL10" i="35"/>
  <c r="AL11" i="35"/>
  <c r="AI11" i="35"/>
  <c r="AJ8" i="35"/>
  <c r="AI8" i="35"/>
  <c r="AK19" i="35"/>
  <c r="AL20" i="35"/>
  <c r="AL27" i="35"/>
  <c r="AK8" i="35"/>
  <c r="AI12" i="35"/>
  <c r="AL24" i="35"/>
  <c r="AL38" i="35"/>
  <c r="AL8" i="35"/>
  <c r="AJ12" i="35"/>
  <c r="AI15" i="35"/>
  <c r="AK12" i="35"/>
  <c r="AJ15" i="35"/>
  <c r="AI9" i="35"/>
  <c r="AL12" i="35"/>
  <c r="AK15" i="35"/>
  <c r="AJ11" i="35"/>
  <c r="AK27" i="35"/>
  <c r="V14" i="35"/>
  <c r="V17" i="35" s="1"/>
  <c r="N21" i="35"/>
  <c r="N22" i="35"/>
  <c r="AJ29" i="35"/>
  <c r="AJ16" i="35"/>
  <c r="D8" i="35"/>
  <c r="D40" i="35"/>
  <c r="D16" i="35"/>
  <c r="D39" i="35"/>
  <c r="D13" i="35"/>
  <c r="N18" i="35"/>
  <c r="N19" i="35"/>
  <c r="C11" i="35"/>
  <c r="C40" i="35"/>
  <c r="C18" i="35"/>
  <c r="C33" i="35"/>
  <c r="C28" i="35"/>
  <c r="C19" i="35"/>
  <c r="C42" i="35"/>
  <c r="C25" i="35"/>
  <c r="C29" i="35"/>
  <c r="C39" i="35"/>
  <c r="C16" i="35"/>
  <c r="C23" i="35"/>
  <c r="C43" i="35"/>
  <c r="C8" i="35"/>
  <c r="C13" i="35"/>
  <c r="E26" i="35"/>
  <c r="E29" i="35"/>
  <c r="E25" i="35"/>
  <c r="E21" i="35"/>
  <c r="E18" i="35"/>
  <c r="E44" i="35"/>
  <c r="E40" i="35"/>
  <c r="E38" i="35"/>
  <c r="E22" i="35"/>
  <c r="E24" i="35"/>
  <c r="E23" i="35"/>
  <c r="E41" i="35"/>
  <c r="E34" i="35"/>
  <c r="E28" i="35"/>
  <c r="E19" i="35"/>
  <c r="E11" i="35"/>
  <c r="E31" i="35"/>
  <c r="E10" i="35"/>
  <c r="E42" i="35"/>
  <c r="E27" i="35"/>
  <c r="E20" i="35"/>
  <c r="T34" i="35"/>
  <c r="T22" i="35"/>
  <c r="T41" i="35"/>
  <c r="T43" i="35"/>
  <c r="T31" i="35"/>
  <c r="T9" i="35"/>
  <c r="E13" i="35"/>
  <c r="U43" i="35"/>
  <c r="U37" i="35"/>
  <c r="U9" i="35"/>
  <c r="U20" i="35"/>
  <c r="T37" i="35"/>
  <c r="E8" i="35"/>
  <c r="T8" i="35"/>
  <c r="S29" i="35"/>
  <c r="E30" i="35"/>
  <c r="E9" i="35"/>
  <c r="T24" i="35"/>
  <c r="U30" i="35"/>
  <c r="E43" i="35"/>
  <c r="E33" i="35"/>
  <c r="E45" i="35"/>
  <c r="E17" i="35"/>
  <c r="T11" i="35"/>
  <c r="E35" i="35"/>
  <c r="S45" i="35"/>
  <c r="D45" i="35"/>
  <c r="D29" i="35"/>
  <c r="D25" i="35"/>
  <c r="D24" i="35"/>
  <c r="D35" i="35"/>
  <c r="D11" i="35"/>
  <c r="D23" i="35"/>
  <c r="D33" i="35"/>
  <c r="D28" i="35"/>
  <c r="D19" i="35"/>
  <c r="D10" i="35"/>
  <c r="D42" i="35"/>
  <c r="D31" i="35"/>
  <c r="E16" i="35"/>
  <c r="T26" i="35"/>
  <c r="E39" i="35"/>
  <c r="T45" i="35"/>
  <c r="AI38" i="35"/>
  <c r="AI34" i="35"/>
  <c r="AI30" i="35"/>
  <c r="AV21" i="35"/>
  <c r="AV18" i="35"/>
  <c r="AL40" i="35"/>
  <c r="AL19" i="35"/>
  <c r="AL32" i="35"/>
  <c r="AL41" i="35"/>
  <c r="AF18" i="35"/>
  <c r="AF19" i="35"/>
  <c r="S38" i="35"/>
  <c r="S32" i="35"/>
  <c r="S16" i="35"/>
  <c r="S44" i="35"/>
  <c r="S39" i="35"/>
  <c r="S21" i="35"/>
  <c r="S19" i="35"/>
  <c r="S12" i="35"/>
  <c r="S40" i="35"/>
  <c r="S27" i="35"/>
  <c r="S23" i="35"/>
  <c r="S30" i="35"/>
  <c r="S20" i="35"/>
  <c r="S17" i="35"/>
  <c r="S42" i="35"/>
  <c r="S35" i="35"/>
  <c r="S28" i="35"/>
  <c r="S25" i="35"/>
  <c r="S33" i="35"/>
  <c r="S15" i="35"/>
  <c r="S10" i="35"/>
  <c r="S18" i="35"/>
  <c r="S24" i="35"/>
  <c r="S22" i="35"/>
  <c r="S8" i="35"/>
  <c r="S31" i="35"/>
  <c r="S26" i="35"/>
  <c r="S43" i="35"/>
  <c r="S37" i="35"/>
  <c r="S36" i="35"/>
  <c r="S41" i="35"/>
  <c r="S11" i="35"/>
  <c r="AI43" i="35"/>
  <c r="AI33" i="35"/>
  <c r="AI29" i="35"/>
  <c r="AI17" i="35"/>
  <c r="AI41" i="35"/>
  <c r="AI22" i="35"/>
  <c r="AI20" i="35"/>
  <c r="AI18" i="35"/>
  <c r="AI45" i="35"/>
  <c r="AI24" i="35"/>
  <c r="AI42" i="35"/>
  <c r="AI27" i="35"/>
  <c r="AI25" i="35"/>
  <c r="AI39" i="35"/>
  <c r="AI35" i="35"/>
  <c r="AI40" i="35"/>
  <c r="AI36" i="35"/>
  <c r="AI21" i="35"/>
  <c r="AI28" i="35"/>
  <c r="AI31" i="35"/>
  <c r="AI23" i="35"/>
  <c r="AI16" i="35"/>
  <c r="AI37" i="35"/>
  <c r="AI26" i="35"/>
  <c r="AI32" i="35"/>
  <c r="AI44" i="35"/>
  <c r="AI19" i="35"/>
  <c r="U40" i="35"/>
  <c r="U27" i="35"/>
  <c r="U13" i="35"/>
  <c r="U16" i="35"/>
  <c r="U41" i="35"/>
  <c r="U33" i="35"/>
  <c r="U29" i="35"/>
  <c r="U28" i="35"/>
  <c r="U23" i="35"/>
  <c r="U38" i="35"/>
  <c r="U15" i="35"/>
  <c r="U10" i="35"/>
  <c r="U19" i="35"/>
  <c r="U45" i="35"/>
  <c r="U31" i="35"/>
  <c r="U44" i="35"/>
  <c r="U42" i="35"/>
  <c r="U35" i="35"/>
  <c r="U39" i="35"/>
  <c r="U22" i="35"/>
  <c r="U25" i="35"/>
  <c r="U18" i="35"/>
  <c r="U32" i="35"/>
  <c r="U26" i="35"/>
  <c r="U8" i="35"/>
  <c r="U34" i="35"/>
  <c r="U11" i="35"/>
  <c r="AK24" i="35"/>
  <c r="AK45" i="35"/>
  <c r="AK17" i="35"/>
  <c r="AK42" i="35"/>
  <c r="AK34" i="35"/>
  <c r="AK30" i="35"/>
  <c r="AK31" i="35"/>
  <c r="AK16" i="35"/>
  <c r="AK28" i="35"/>
  <c r="AK22" i="35"/>
  <c r="AK18" i="35"/>
  <c r="AK40" i="35"/>
  <c r="AK33" i="35"/>
  <c r="AK23" i="35"/>
  <c r="AK36" i="35"/>
  <c r="AK21" i="35"/>
  <c r="AK43" i="35"/>
  <c r="AK26" i="35"/>
  <c r="AK29" i="35"/>
  <c r="AK39" i="35"/>
  <c r="AK37" i="35"/>
  <c r="AK32" i="35"/>
  <c r="AK35" i="35"/>
  <c r="AK44" i="35"/>
  <c r="AK41" i="35"/>
  <c r="AK20" i="35"/>
  <c r="AK38" i="35"/>
  <c r="AK25" i="35"/>
  <c r="U12" i="35"/>
  <c r="U21" i="35"/>
  <c r="AJ41" i="35"/>
  <c r="AJ22" i="35"/>
  <c r="AJ20" i="35"/>
  <c r="AJ18" i="35"/>
  <c r="AJ24" i="35"/>
  <c r="AJ42" i="35"/>
  <c r="AJ34" i="35"/>
  <c r="AJ30" i="35"/>
  <c r="AJ45" i="35"/>
  <c r="AJ17" i="35"/>
  <c r="AJ39" i="35"/>
  <c r="AJ35" i="35"/>
  <c r="AJ40" i="35"/>
  <c r="AJ26" i="35"/>
  <c r="AJ33" i="35"/>
  <c r="AJ31" i="35"/>
  <c r="AJ23" i="35"/>
  <c r="AJ21" i="35"/>
  <c r="AJ28" i="35"/>
  <c r="AJ36" i="35"/>
  <c r="AJ43" i="35"/>
  <c r="AJ27" i="35"/>
  <c r="AJ44" i="35"/>
  <c r="AJ37" i="35"/>
  <c r="AJ32" i="35"/>
  <c r="AJ19" i="35"/>
  <c r="AJ38" i="35"/>
  <c r="U24" i="35"/>
  <c r="U36" i="35"/>
  <c r="S9" i="35"/>
  <c r="AJ25" i="35"/>
  <c r="T42" i="35"/>
  <c r="T44" i="35"/>
  <c r="T39" i="35"/>
  <c r="T21" i="35"/>
  <c r="T19" i="35"/>
  <c r="T12" i="35"/>
  <c r="T40" i="35"/>
  <c r="T27" i="35"/>
  <c r="T13" i="35"/>
  <c r="T33" i="35"/>
  <c r="T29" i="35"/>
  <c r="T28" i="35"/>
  <c r="T16" i="35"/>
  <c r="T23" i="35"/>
  <c r="T32" i="35"/>
  <c r="T30" i="35"/>
  <c r="T20" i="35"/>
  <c r="T17" i="35"/>
  <c r="T25" i="35"/>
  <c r="T15" i="35"/>
  <c r="T10" i="35"/>
  <c r="T38" i="35"/>
  <c r="T35" i="35"/>
  <c r="T18" i="35"/>
  <c r="AL37" i="35"/>
  <c r="C45" i="35"/>
  <c r="C35" i="35"/>
  <c r="C31" i="35"/>
  <c r="C10" i="35"/>
  <c r="C15" i="35"/>
  <c r="C22" i="35"/>
  <c r="C20" i="35"/>
  <c r="C36" i="35"/>
  <c r="C26" i="35"/>
  <c r="C17" i="35"/>
  <c r="AL26" i="35"/>
  <c r="C38" i="35"/>
  <c r="AL43" i="35"/>
  <c r="D22" i="35"/>
  <c r="D20" i="35"/>
  <c r="D26" i="35"/>
  <c r="D37" i="35"/>
  <c r="D32" i="35"/>
  <c r="D36" i="35"/>
  <c r="D15" i="35"/>
  <c r="D38" i="35"/>
  <c r="C9" i="35"/>
  <c r="D21" i="35"/>
  <c r="AL23" i="35"/>
  <c r="AL31" i="35"/>
  <c r="AL33" i="35"/>
  <c r="AL44" i="35"/>
  <c r="AL45" i="35"/>
  <c r="AL17" i="35"/>
  <c r="AL25" i="35"/>
  <c r="AL42" i="35"/>
  <c r="AL34" i="35"/>
  <c r="AL30" i="35"/>
  <c r="AV20" i="35"/>
  <c r="C30" i="35"/>
  <c r="D30" i="35"/>
  <c r="C44" i="35"/>
  <c r="AL21" i="35"/>
  <c r="D27" i="35"/>
  <c r="AL36" i="35"/>
  <c r="D44" i="35"/>
  <c r="D9" i="35"/>
  <c r="F14" i="35"/>
  <c r="C32" i="35"/>
  <c r="C34" i="35"/>
  <c r="C37" i="35"/>
  <c r="C41" i="35"/>
  <c r="AL16" i="35"/>
  <c r="AL29" i="35"/>
  <c r="BX3" i="35"/>
  <c r="D17" i="35"/>
  <c r="C27" i="35"/>
  <c r="C21" i="35"/>
  <c r="C12" i="35"/>
  <c r="AL18" i="35"/>
  <c r="AL22" i="35"/>
  <c r="C24" i="35"/>
  <c r="AL28" i="35"/>
  <c r="D34" i="35"/>
  <c r="D41" i="35"/>
  <c r="E32" i="35"/>
  <c r="E37" i="35"/>
  <c r="E15" i="35"/>
  <c r="E36" i="35"/>
  <c r="V34" i="35" l="1"/>
  <c r="V18" i="35"/>
  <c r="V19" i="35"/>
  <c r="V21" i="35"/>
  <c r="V22" i="35"/>
  <c r="V44" i="35"/>
  <c r="V30" i="35"/>
  <c r="V12" i="35"/>
  <c r="V10" i="35"/>
  <c r="V41" i="35"/>
  <c r="V9" i="35"/>
  <c r="V26" i="35"/>
  <c r="V32" i="35"/>
  <c r="V15" i="35"/>
  <c r="V24" i="35"/>
  <c r="V20" i="35"/>
  <c r="V36" i="35"/>
  <c r="V35" i="35"/>
  <c r="V23" i="35"/>
  <c r="V38" i="35"/>
  <c r="V42" i="35"/>
  <c r="V28" i="35"/>
  <c r="V45" i="35"/>
  <c r="V27" i="35"/>
  <c r="V43" i="35"/>
  <c r="V37" i="35"/>
  <c r="V13" i="35"/>
  <c r="V33" i="35"/>
  <c r="V16" i="35"/>
  <c r="V8" i="35"/>
  <c r="V31" i="35"/>
  <c r="V11" i="35"/>
  <c r="V39" i="35"/>
  <c r="V29" i="35"/>
  <c r="V25" i="35"/>
  <c r="V40" i="35"/>
  <c r="O23" i="35"/>
  <c r="I13" i="35" s="1"/>
  <c r="AU23" i="35"/>
  <c r="AO13" i="35" s="1"/>
  <c r="AQ13" i="35" s="1" a="1"/>
  <c r="AQ13" i="35" s="1"/>
  <c r="AE23" i="35"/>
  <c r="Y13" i="35" s="1"/>
  <c r="AA13" i="35" s="1" a="1"/>
  <c r="AA13" i="35" s="1"/>
  <c r="F36" i="35"/>
  <c r="F15" i="35"/>
  <c r="F37" i="35"/>
  <c r="F32" i="35"/>
  <c r="F11" i="35"/>
  <c r="F27" i="35"/>
  <c r="F44" i="35"/>
  <c r="F38" i="35"/>
  <c r="F12" i="35"/>
  <c r="F39" i="35"/>
  <c r="F21" i="35"/>
  <c r="F13" i="35"/>
  <c r="F20" i="35"/>
  <c r="F10" i="35"/>
  <c r="F25" i="35"/>
  <c r="F35" i="35"/>
  <c r="F30" i="35"/>
  <c r="F17" i="35"/>
  <c r="F42" i="35"/>
  <c r="F33" i="35"/>
  <c r="F29" i="35"/>
  <c r="F23" i="35"/>
  <c r="F24" i="35"/>
  <c r="F16" i="35"/>
  <c r="F41" i="35"/>
  <c r="F31" i="35"/>
  <c r="F26" i="35"/>
  <c r="F43" i="35"/>
  <c r="F18" i="35"/>
  <c r="F34" i="35"/>
  <c r="F40" i="35"/>
  <c r="F19" i="35"/>
  <c r="F9" i="35"/>
  <c r="F45" i="35"/>
  <c r="F8" i="35"/>
  <c r="F28" i="35"/>
  <c r="F22" i="35"/>
  <c r="AU13" i="35" l="1"/>
  <c r="AE13" i="35"/>
  <c r="K13" i="35" a="1"/>
  <c r="K13" i="35" s="1"/>
  <c r="O13" i="35"/>
  <c r="G69" i="22"/>
  <c r="G68" i="21"/>
  <c r="G71" i="20"/>
  <c r="BW5" i="35" l="1"/>
  <c r="BW4" i="35"/>
  <c r="BW3" i="35"/>
  <c r="H135" i="22" l="1"/>
  <c r="H134" i="22"/>
  <c r="D134" i="22"/>
  <c r="O133" i="22"/>
  <c r="J135" i="22" s="1"/>
  <c r="N133" i="22"/>
  <c r="J134" i="22" s="1"/>
  <c r="H130" i="21"/>
  <c r="H129" i="21"/>
  <c r="D129" i="21"/>
  <c r="O128" i="21"/>
  <c r="J130" i="21" s="1"/>
  <c r="N128" i="21"/>
  <c r="J129" i="21" s="1"/>
  <c r="H134" i="20"/>
  <c r="H133" i="20"/>
  <c r="D133" i="20"/>
  <c r="O132" i="20"/>
  <c r="J134" i="20" s="1"/>
  <c r="N132" i="20"/>
  <c r="J133" i="20" s="1"/>
  <c r="Y14" i="22"/>
  <c r="AN282" i="22"/>
  <c r="AL282" i="22"/>
  <c r="E227" i="22"/>
  <c r="B167" i="22"/>
  <c r="B162" i="22"/>
  <c r="AM7" i="22"/>
  <c r="AM6" i="22"/>
  <c r="AN1" i="22"/>
  <c r="AM1" i="22"/>
  <c r="A1" i="22"/>
  <c r="AN277" i="21"/>
  <c r="AL277" i="21"/>
  <c r="E221" i="21"/>
  <c r="B162" i="21"/>
  <c r="B157" i="21"/>
  <c r="Y14" i="21"/>
  <c r="AM7" i="21"/>
  <c r="AM6" i="21"/>
  <c r="AN1" i="21"/>
  <c r="AM1" i="21"/>
  <c r="A1" i="21"/>
  <c r="AN3" i="21" s="1"/>
  <c r="AN288" i="20"/>
  <c r="AL288" i="20"/>
  <c r="E226" i="20"/>
  <c r="B166" i="20"/>
  <c r="B161" i="20"/>
  <c r="Y14" i="20"/>
  <c r="AM7" i="20"/>
  <c r="AM6" i="20"/>
  <c r="AN1" i="20"/>
  <c r="AM1" i="20"/>
  <c r="A1" i="20"/>
  <c r="BA343" i="15"/>
  <c r="AY343" i="15"/>
  <c r="C8" i="15"/>
  <c r="AZ7" i="15"/>
  <c r="AZ6" i="15"/>
  <c r="AV2" i="15"/>
  <c r="AU2" i="15"/>
  <c r="AT2" i="15"/>
  <c r="AS2" i="15"/>
  <c r="AR2" i="15"/>
  <c r="AQ2" i="15"/>
  <c r="AP2" i="15"/>
  <c r="AO2" i="15"/>
  <c r="AN2" i="15"/>
  <c r="AM2" i="15"/>
  <c r="AL2" i="15"/>
  <c r="AK2" i="15"/>
  <c r="AJ2" i="15"/>
  <c r="AI2" i="15"/>
  <c r="AH2" i="15"/>
  <c r="AF2" i="15"/>
  <c r="AE2" i="15"/>
  <c r="AD2" i="15"/>
  <c r="AC2" i="15"/>
  <c r="AB2" i="15"/>
  <c r="AA2" i="15"/>
  <c r="Z2" i="15"/>
  <c r="Y2" i="15"/>
  <c r="X2" i="15"/>
  <c r="W2" i="15"/>
  <c r="V2" i="15"/>
  <c r="U2" i="15"/>
  <c r="T2" i="15"/>
  <c r="S2" i="15"/>
  <c r="R2" i="15"/>
  <c r="P2" i="15"/>
  <c r="O2" i="15"/>
  <c r="N2" i="15"/>
  <c r="M2" i="15"/>
  <c r="L2" i="15"/>
  <c r="K2" i="15"/>
  <c r="J2" i="15"/>
  <c r="I2" i="15"/>
  <c r="H2" i="15"/>
  <c r="G2" i="15"/>
  <c r="F2" i="15"/>
  <c r="E2" i="15"/>
  <c r="D2" i="15"/>
  <c r="C2" i="15"/>
  <c r="B2" i="15"/>
  <c r="BA1" i="15"/>
  <c r="AZ1" i="15"/>
  <c r="AV1" i="15"/>
  <c r="AU1" i="15"/>
  <c r="AT1" i="15"/>
  <c r="AS1" i="15"/>
  <c r="AR1" i="15"/>
  <c r="AQ1" i="15"/>
  <c r="AP1" i="15"/>
  <c r="AO1" i="15"/>
  <c r="AN1" i="15"/>
  <c r="AM1" i="15"/>
  <c r="AL1" i="15"/>
  <c r="AK1" i="15"/>
  <c r="AJ1" i="15"/>
  <c r="AI1" i="15"/>
  <c r="AH1" i="15"/>
  <c r="AF1" i="15"/>
  <c r="AE1" i="15"/>
  <c r="AD1" i="15"/>
  <c r="AC1" i="15"/>
  <c r="AB1" i="15"/>
  <c r="AA1" i="15"/>
  <c r="Z1" i="15"/>
  <c r="Y1" i="15"/>
  <c r="X1" i="15"/>
  <c r="W1" i="15"/>
  <c r="V1" i="15"/>
  <c r="U1" i="15"/>
  <c r="T1" i="15"/>
  <c r="S1" i="15"/>
  <c r="R1" i="15"/>
  <c r="P1" i="15"/>
  <c r="O1" i="15"/>
  <c r="N1" i="15"/>
  <c r="M1" i="15"/>
  <c r="L1" i="15"/>
  <c r="K1" i="15"/>
  <c r="J1" i="15"/>
  <c r="I1" i="15"/>
  <c r="H1" i="15"/>
  <c r="G1" i="15"/>
  <c r="F1" i="15"/>
  <c r="E1" i="15"/>
  <c r="D1" i="15"/>
  <c r="C1" i="15"/>
  <c r="B1" i="15"/>
  <c r="A1" i="15"/>
  <c r="DO183" i="13"/>
  <c r="DM183" i="13"/>
  <c r="E15" i="13"/>
  <c r="E14" i="13"/>
  <c r="AG11" i="13"/>
  <c r="AG10" i="13"/>
  <c r="X10" i="13"/>
  <c r="W12" i="13" s="1"/>
  <c r="DN7" i="13"/>
  <c r="DN6" i="13"/>
  <c r="R5" i="13"/>
  <c r="DK2" i="13"/>
  <c r="DI2" i="13"/>
  <c r="DH2" i="13"/>
  <c r="DF2" i="13"/>
  <c r="DE2" i="13"/>
  <c r="DC2" i="13"/>
  <c r="DB2" i="13"/>
  <c r="CZ2" i="13"/>
  <c r="CY2" i="13"/>
  <c r="CW2" i="13"/>
  <c r="CV2" i="13"/>
  <c r="CT2" i="13"/>
  <c r="CS2" i="13"/>
  <c r="CQ2" i="13"/>
  <c r="CP2" i="13"/>
  <c r="CN2" i="13"/>
  <c r="CM2" i="13"/>
  <c r="CK2" i="13"/>
  <c r="CJ2" i="13"/>
  <c r="CH2" i="13"/>
  <c r="CG2" i="13"/>
  <c r="CE2" i="13"/>
  <c r="CD2" i="13"/>
  <c r="BX2" i="13"/>
  <c r="BW2" i="13"/>
  <c r="BU2" i="13"/>
  <c r="BT2" i="13"/>
  <c r="BR2" i="13"/>
  <c r="BQ2" i="13"/>
  <c r="BO2" i="13"/>
  <c r="BN2" i="13"/>
  <c r="BL2" i="13"/>
  <c r="BK2" i="13"/>
  <c r="BI2" i="13"/>
  <c r="BH2" i="13"/>
  <c r="BF2" i="13"/>
  <c r="BE2" i="13"/>
  <c r="BC2" i="13"/>
  <c r="BB2" i="13"/>
  <c r="AZ2" i="13"/>
  <c r="AY2" i="13"/>
  <c r="AW2" i="13"/>
  <c r="AV2" i="13"/>
  <c r="AT2" i="13"/>
  <c r="AS2" i="13"/>
  <c r="AP2" i="13"/>
  <c r="AO2" i="13"/>
  <c r="AM2" i="13"/>
  <c r="AL2" i="13"/>
  <c r="AJ2" i="13"/>
  <c r="AI2" i="13"/>
  <c r="AG2" i="13"/>
  <c r="AF2" i="13"/>
  <c r="AD2" i="13"/>
  <c r="AC2" i="13"/>
  <c r="AA2" i="13"/>
  <c r="Z2" i="13"/>
  <c r="X2" i="13"/>
  <c r="W2" i="13"/>
  <c r="U2" i="13"/>
  <c r="T2" i="13"/>
  <c r="R2" i="13"/>
  <c r="Q2" i="13"/>
  <c r="O2" i="13"/>
  <c r="N2" i="13"/>
  <c r="L2" i="13"/>
  <c r="K2" i="13"/>
  <c r="I2" i="13"/>
  <c r="H2" i="13"/>
  <c r="F2" i="13"/>
  <c r="E2" i="13"/>
  <c r="C2" i="13"/>
  <c r="B2" i="13"/>
  <c r="DO1" i="13"/>
  <c r="DN1" i="13"/>
  <c r="DK1" i="13"/>
  <c r="DI1" i="13"/>
  <c r="DH1" i="13"/>
  <c r="DF1" i="13"/>
  <c r="DE1" i="13"/>
  <c r="DC1" i="13"/>
  <c r="DB1" i="13"/>
  <c r="CZ1" i="13"/>
  <c r="CY1" i="13"/>
  <c r="CW1" i="13"/>
  <c r="CV1" i="13"/>
  <c r="CT1" i="13"/>
  <c r="CS1" i="13"/>
  <c r="CQ1" i="13"/>
  <c r="CP1" i="13"/>
  <c r="CN1" i="13"/>
  <c r="CM1" i="13"/>
  <c r="CK1" i="13"/>
  <c r="CJ1" i="13"/>
  <c r="CH1" i="13"/>
  <c r="CG1" i="13"/>
  <c r="CE1" i="13"/>
  <c r="CD1" i="13"/>
  <c r="BX1" i="13"/>
  <c r="BW1" i="13"/>
  <c r="BU1" i="13"/>
  <c r="BT1" i="13"/>
  <c r="BR1" i="13"/>
  <c r="BQ1" i="13"/>
  <c r="BO1" i="13"/>
  <c r="BN1" i="13"/>
  <c r="BL1" i="13"/>
  <c r="BK1" i="13"/>
  <c r="BI1" i="13"/>
  <c r="BH1" i="13"/>
  <c r="BF1" i="13"/>
  <c r="BE1" i="13"/>
  <c r="BC1" i="13"/>
  <c r="BB1" i="13"/>
  <c r="AZ1" i="13"/>
  <c r="AY1" i="13"/>
  <c r="AW1" i="13"/>
  <c r="AV1" i="13"/>
  <c r="AT1" i="13"/>
  <c r="AS1" i="13"/>
  <c r="AP1" i="13"/>
  <c r="AO1" i="13"/>
  <c r="AM1" i="13"/>
  <c r="AL1" i="13"/>
  <c r="AJ1" i="13"/>
  <c r="AI1" i="13"/>
  <c r="AG1" i="13"/>
  <c r="AF1" i="13"/>
  <c r="AD1" i="13"/>
  <c r="AC1" i="13"/>
  <c r="AA1" i="13"/>
  <c r="Z1" i="13"/>
  <c r="X1" i="13"/>
  <c r="W1" i="13"/>
  <c r="U1" i="13"/>
  <c r="T1" i="13"/>
  <c r="R1" i="13"/>
  <c r="Q1" i="13"/>
  <c r="O1" i="13"/>
  <c r="N1" i="13"/>
  <c r="L1" i="13"/>
  <c r="K1" i="13"/>
  <c r="I1" i="13"/>
  <c r="H1" i="13"/>
  <c r="F1" i="13"/>
  <c r="E1" i="13"/>
  <c r="C1" i="13"/>
  <c r="B1" i="13"/>
  <c r="A1" i="13"/>
  <c r="F15" i="13"/>
  <c r="X12" i="13"/>
  <c r="C157" i="21"/>
  <c r="AI8" i="13"/>
  <c r="F14" i="13"/>
  <c r="AI11" i="13"/>
  <c r="C162" i="22"/>
  <c r="C161" i="20"/>
  <c r="AN3" i="22" l="1"/>
  <c r="AZ3" i="15"/>
  <c r="AM5" i="22"/>
  <c r="AM4" i="22"/>
  <c r="AM3" i="22"/>
  <c r="AM4" i="21"/>
  <c r="AM5" i="21"/>
  <c r="AM3" i="21"/>
  <c r="AN3" i="20"/>
  <c r="AM5" i="20"/>
  <c r="AM4" i="20"/>
  <c r="AM3" i="20"/>
  <c r="AZ5" i="15"/>
  <c r="AZ4" i="15"/>
  <c r="BA3" i="15"/>
  <c r="DN4" i="13"/>
  <c r="DN5" i="13"/>
  <c r="DO3" i="13"/>
  <c r="DN3" i="13"/>
  <c r="L2" i="2"/>
  <c r="L1" i="2"/>
  <c r="J2" i="2"/>
  <c r="J1" i="2"/>
  <c r="H2" i="2"/>
  <c r="H1" i="2"/>
  <c r="F2" i="2"/>
  <c r="D2" i="2"/>
  <c r="B2" i="2"/>
  <c r="F1" i="2"/>
  <c r="D1" i="2"/>
  <c r="B1" i="2"/>
  <c r="W219" i="57" l="1"/>
  <c r="L219" i="57" s="1"/>
  <c r="B219" i="57" s="1"/>
  <c r="W216" i="57"/>
  <c r="L216" i="57" s="1"/>
  <c r="B216" i="57" s="1"/>
  <c r="Y215" i="57"/>
  <c r="Y224" i="57" s="1"/>
  <c r="Y218" i="57"/>
  <c r="Z218" i="57" s="1"/>
  <c r="V227" i="57"/>
  <c r="Z204" i="57"/>
  <c r="X237" i="57" l="1"/>
  <c r="Z238" i="57"/>
  <c r="Z232" i="57"/>
  <c r="Z231" i="57"/>
  <c r="Z235" i="57"/>
  <c r="X232" i="57"/>
  <c r="X233" i="57"/>
  <c r="X230" i="57"/>
  <c r="X234" i="57"/>
  <c r="Z237" i="57"/>
  <c r="Z236" i="57"/>
  <c r="Z234" i="57"/>
  <c r="Z233" i="57"/>
  <c r="S199" i="57"/>
  <c r="Y199" i="57"/>
  <c r="X239" i="57"/>
  <c r="X235" i="57"/>
  <c r="Z215" i="57"/>
  <c r="X231" i="57"/>
  <c r="X236" i="57"/>
  <c r="X238" i="57"/>
  <c r="DG3" i="57" l="1"/>
  <c r="DG5" i="57"/>
  <c r="U199" i="57" a="1"/>
  <c r="U199" i="57" s="1"/>
  <c r="DG4" i="57"/>
  <c r="Y240" i="57"/>
  <c r="R227" i="57"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<sst xmlns="http://schemas.openxmlformats.org/spreadsheetml/2006/main" count="33780" uniqueCount="13581">
  <si>
    <t>L</t>
  </si>
  <si>
    <t>M</t>
  </si>
  <si>
    <t>P</t>
  </si>
  <si>
    <t>Ce document est composé de : This document is composed of: Este documento se compone de:</t>
  </si>
  <si>
    <t>Fin du document cellule</t>
  </si>
  <si>
    <t>Col.1</t>
  </si>
  <si>
    <t>Col.2</t>
  </si>
  <si>
    <t>Col.3</t>
  </si>
  <si>
    <t>Col.4</t>
  </si>
  <si>
    <t>Col.5</t>
  </si>
  <si>
    <t>avec valeurs ou texte-with values or text-con valores o texto</t>
  </si>
  <si>
    <t>A</t>
  </si>
  <si>
    <t>Paramètres régionaux Excel : pour les décimales soit un . soit une ,</t>
  </si>
  <si>
    <t>cellules vides - empty cells - celdas vacías</t>
  </si>
  <si>
    <t xml:space="preserve">cartouche = Emplacement réservé au titre et aux cellules de commandes, situé en tête du document </t>
  </si>
  <si>
    <t>lignes - rows - filas</t>
  </si>
  <si>
    <t>►</t>
  </si>
  <si>
    <t>❷</t>
  </si>
  <si>
    <t>colonnes - columns - columnas</t>
  </si>
  <si>
    <t xml:space="preserve">C CHIBOUST PAMPLEMOUSSE | pâtisserie--ENTREMET| Auteur &gt; M. Guy KRENZER, Eric GODDYN, Jean François DEPORT </t>
  </si>
  <si>
    <t>assiettes</t>
  </si>
  <si>
    <t>Recette mère ► MILLE-FEUILLE meringue et chiboust pamplemousse aux fraises des bois</t>
  </si>
  <si>
    <t>.</t>
  </si>
  <si>
    <t>Circuit</t>
  </si>
  <si>
    <t>CHIBOUST PAMPLEMOUSSE</t>
  </si>
  <si>
    <t>pâtisserie--ENTREMET</t>
  </si>
  <si>
    <t>📝 Mode d'emploi du Postit adaptation selon modèle</t>
  </si>
  <si>
    <t>📝 Instructions for the Postit — adapt according to template</t>
  </si>
  <si>
    <t>📝 Modo de empleo del Postit — adaptación según modelo</t>
  </si>
  <si>
    <t>Cir .1.2.5</t>
  </si>
  <si>
    <t>◄ Masquez ces 4 colonnes</t>
  </si>
  <si>
    <t>Auteur &gt;</t>
  </si>
  <si>
    <t>❾ référence Auteur</t>
  </si>
  <si>
    <t>Constituant de &gt;</t>
  </si>
  <si>
    <t>Recette mère ► MILLE-FEUILLE meringue et chiboust pamplemousse aux fraises des bois ► Famille = pâtisserie--ENTREMET ► CHIBOUST PAMPLEMOUSSE  ⓫  Dupliquée pour 20 couverts</t>
  </si>
  <si>
    <t>⓫  Dupliquée pour</t>
  </si>
  <si>
    <t>couverts</t>
  </si>
  <si>
    <t>j’ai saisi "Postit" volontairement l'autre version est une marque déposée</t>
  </si>
  <si>
    <t>I intentionally wrote “Postit”; the other version is a registered trademark.</t>
  </si>
  <si>
    <t>He escrito “Postit” deliberadamente; la otra versión es una marca registrada.</t>
  </si>
  <si>
    <t>▼ Quantité ?</t>
  </si>
  <si>
    <t>▼ Quoi ?</t>
  </si>
  <si>
    <t>Circuit .1.2.5</t>
  </si>
  <si>
    <t>① le NOM DE LA RECETTE.FAMILLE</t>
  </si>
  <si>
    <t xml:space="preserve"> la Famille</t>
  </si>
  <si>
    <t>circuit.1.2.5</t>
  </si>
  <si>
    <t>① the NAME OF THE RECIPE</t>
  </si>
  <si>
    <t xml:space="preserve"> the Family</t>
  </si>
  <si>
    <t>① el NOMBRE DE LA RECETA</t>
  </si>
  <si>
    <t xml:space="preserve"> la Familia</t>
  </si>
  <si>
    <t>Poids</t>
  </si>
  <si>
    <t>❿ votre référence</t>
  </si>
  <si>
    <t>pastry--ENTREMET</t>
  </si>
  <si>
    <t>pastelería--ENTREMET</t>
  </si>
  <si>
    <t>Recette mère ?</t>
  </si>
  <si>
    <t>ARCHIVAGE ET CLASSEMENT</t>
  </si>
  <si>
    <t>MILLE-FEUILLE meringue et chiboust pamplemousse aux fraises des bois</t>
  </si>
  <si>
    <t>② l' AUTEUR : &gt;</t>
  </si>
  <si>
    <t>VOUS</t>
  </si>
  <si>
    <t>les - ou doubles -- sont importants pour de l'extraction de texte ( voir la fiche identification)</t>
  </si>
  <si>
    <t>② the AUTHOR : &gt;</t>
  </si>
  <si>
    <t>YOU</t>
  </si>
  <si>
    <t>the - or double -- are important for text extraction (see the identification sheet)</t>
  </si>
  <si>
    <t>② el AUTOR : &gt;</t>
  </si>
  <si>
    <t>USTED</t>
  </si>
  <si>
    <t>los - o dobles -- son importantes para la extracción de texto (ver la ficha de identificación)</t>
  </si>
  <si>
    <t>Col.6</t>
  </si>
  <si>
    <t>Col.7</t>
  </si>
  <si>
    <t>Col.8</t>
  </si>
  <si>
    <t>Col.9</t>
  </si>
  <si>
    <t>Col.10</t>
  </si>
  <si>
    <t>Col.11</t>
  </si>
  <si>
    <t>Col.12</t>
  </si>
  <si>
    <t>Col.13</t>
  </si>
  <si>
    <t>Col.14</t>
  </si>
  <si>
    <t>Col.15</t>
  </si>
  <si>
    <t>Col.16</t>
  </si>
  <si>
    <t>④</t>
  </si>
  <si>
    <t>⑤</t>
  </si>
  <si>
    <t>⑥ Poids ou Volume</t>
  </si>
  <si>
    <t>⑦g.kg.L.dl.cl.ml</t>
  </si>
  <si>
    <t>⑧ Coefficient</t>
  </si>
  <si>
    <t>③</t>
  </si>
  <si>
    <t>Unités</t>
  </si>
  <si>
    <t>Poids Auteur sans coef.</t>
  </si>
  <si>
    <t xml:space="preserve"> Vos poids avec coef.</t>
  </si>
  <si>
    <t>Équivalences arrondies</t>
  </si>
  <si>
    <t>Component of &gt;</t>
  </si>
  <si>
    <t>Master recipe ► MILLE-FEUILLE with meringue and grapefruit chiboust with wild strawberries ► Family = pastry--ENTREMET ► GRAPEFRUIT CHIBOUST  ⓫  Duplicated for 20 servings</t>
  </si>
  <si>
    <t>Constituyente de &gt;</t>
  </si>
  <si>
    <t>Receta madre ► MILHOJAS con merengue y chiboust de pomelo con fresas del bosque ► Familia = pastelería--ENTREMET ► CHIBOUST DE POMELO  ⓫  Duplicada para 20 cubiertos</t>
  </si>
  <si>
    <t>Quantité</t>
  </si>
  <si>
    <t>Quoi</t>
  </si>
  <si>
    <t>de</t>
  </si>
  <si>
    <t xml:space="preserve"> Denrées</t>
  </si>
  <si>
    <t xml:space="preserve">pour </t>
  </si>
  <si>
    <t>dl</t>
  </si>
  <si>
    <t>crème</t>
  </si>
  <si>
    <t>40 cl</t>
  </si>
  <si>
    <t>g</t>
  </si>
  <si>
    <t>zestes de pamplemousse</t>
  </si>
  <si>
    <t>40 g</t>
  </si>
  <si>
    <t>demi/L</t>
  </si>
  <si>
    <t>Verre(s)</t>
  </si>
  <si>
    <t>Recette mère ► Recette prévu pour quelle préparation</t>
  </si>
  <si>
    <t>Master recipe ► Recipe intended for which preparation</t>
  </si>
  <si>
    <t>Receta madre ► Receta prevista para qué preparación</t>
  </si>
  <si>
    <t>demi(s)Kg</t>
  </si>
  <si>
    <t xml:space="preserve">Master recipe ► </t>
  </si>
  <si>
    <t>MILLE-FEUILLE with meringue and grapefruit chiboust with wild strawberries</t>
  </si>
  <si>
    <t>Receta madre ►</t>
  </si>
  <si>
    <t xml:space="preserve"> MILHOJAS con merengue y chiboust de pomelo con fresas del bosque</t>
  </si>
  <si>
    <t>Cup(s).sucre</t>
  </si>
  <si>
    <t>Champ d’application ou circuit  1- 2-3-5-6</t>
  </si>
  <si>
    <t>Scope or circuit  1- 2-3-5-6</t>
  </si>
  <si>
    <t>Campo de aplicación o circuito  1- 2-3-5-6</t>
  </si>
  <si>
    <t/>
  </si>
  <si>
    <t>Bol(s)</t>
  </si>
  <si>
    <t>Champ d’application ou circuit des documents</t>
  </si>
  <si>
    <t>1 Archivage</t>
  </si>
  <si>
    <t>Scope or document circuit</t>
  </si>
  <si>
    <t>1 Archiving</t>
  </si>
  <si>
    <t>Campo de aplicación o circuito de los documentos</t>
  </si>
  <si>
    <t>1 Archivo</t>
  </si>
  <si>
    <t>2 Chef</t>
  </si>
  <si>
    <t>3 Responsable qualité</t>
  </si>
  <si>
    <t>3 Quality manager</t>
  </si>
  <si>
    <t>3 Responsable de calidad</t>
  </si>
  <si>
    <t>4 Directeur</t>
  </si>
  <si>
    <t>4 Director</t>
  </si>
  <si>
    <t>5 Cuisiniers</t>
  </si>
  <si>
    <t>5 Cooks</t>
  </si>
  <si>
    <t>5 Cocineros</t>
  </si>
  <si>
    <t>6 Magasinier</t>
  </si>
  <si>
    <t>6 Storekeeper</t>
  </si>
  <si>
    <t>6 Almacenero</t>
  </si>
  <si>
    <t>Décimale : selon paramètres régionaux »  point . ou ,</t>
  </si>
  <si>
    <t>❾ Author reference</t>
  </si>
  <si>
    <t>⓫ Duplicated for</t>
  </si>
  <si>
    <t>plates</t>
  </si>
  <si>
    <t>❾ Referencia Autor</t>
  </si>
  <si>
    <t>⓫ Duplicada para</t>
  </si>
  <si>
    <t>platos</t>
  </si>
  <si>
    <t>kg</t>
  </si>
  <si>
    <t>vide</t>
  </si>
  <si>
    <t>quart(s)Kg</t>
  </si>
  <si>
    <t>Tiers(s)Kg</t>
  </si>
  <si>
    <t>cl</t>
  </si>
  <si>
    <t>ml</t>
  </si>
  <si>
    <t>tiers/L</t>
  </si>
  <si>
    <t>5ème/L</t>
  </si>
  <si>
    <t>▼ Quantity?</t>
  </si>
  <si>
    <t>▼ What?</t>
  </si>
  <si>
    <t>Weight</t>
  </si>
  <si>
    <t>❿ your reference</t>
  </si>
  <si>
    <t>❿ su referencia</t>
  </si>
  <si>
    <t>ounce (oz)</t>
  </si>
  <si>
    <t>Cup(s).farine</t>
  </si>
  <si>
    <t>Cup(s).beurre</t>
  </si>
  <si>
    <t>Cup.liquide</t>
  </si>
  <si>
    <t>cuil(s).Café</t>
  </si>
  <si>
    <t>cuil(s).Thé</t>
  </si>
  <si>
    <t>cuil.Soupe</t>
  </si>
  <si>
    <t>10ème/L</t>
  </si>
  <si>
    <t>Trait(s)</t>
  </si>
  <si>
    <t>Coût : 1* économique - 4**** luxe</t>
  </si>
  <si>
    <t>*</t>
  </si>
  <si>
    <t>ICI</t>
  </si>
  <si>
    <t>Difficulté : 1*Facile - 4**** Difficile</t>
  </si>
  <si>
    <t>④ Quantité ou Nombre d'unités selon fiche</t>
  </si>
  <si>
    <t>④ Quantity or Number of units per sheet</t>
  </si>
  <si>
    <t>④ Cantidad o Número de unidades según ficha</t>
  </si>
  <si>
    <t>Temps de préparation</t>
  </si>
  <si>
    <t>faire bouillir la crème avec les zestes</t>
  </si>
  <si>
    <t>Temps de cuisson</t>
  </si>
  <si>
    <t xml:space="preserve">⑤ Quoi </t>
  </si>
  <si>
    <t>œufs - cuisses -tartes - parts  ou - CB = cuillère de bar -BS =Barspoon - CC = cuillère à café - CT = cuillère à thé -CP = cuillère à potage - QS = quantité suffisante - PM = pour mémoire - plaques gastro 1/1 - louches...etc</t>
  </si>
  <si>
    <t>⑤ What</t>
  </si>
  <si>
    <t>eggs - thighs - tarts - portions or - CB = bar spoon - BS = Barspoon - CC = teaspoon - CT = tea spoon - CP = soup spoon - QS = sufficient quantity - PM = for the record - GN trays 1/1 - ladles...etc</t>
  </si>
  <si>
    <t>⑤ Qué</t>
  </si>
  <si>
    <t>huevos - muslos - tartas - raciones o - CB = cuchara de bar - BS = Barspoon - CC = cucharilla - CT = cucharita de té - CP = cuchara sopera - QS = cantidad suficiente - PM = para memoria - bandejas GN 1/1 - cucharones...etc.</t>
  </si>
  <si>
    <t>cuire comme une crème patissière avec le sucre ,les jaunes, et la maîzena</t>
  </si>
  <si>
    <t>Temps de refroidissement</t>
  </si>
  <si>
    <t>Total</t>
  </si>
  <si>
    <t>lorsque vous saisissez un nombre d'unités ⑤</t>
  </si>
  <si>
    <t>when you enter a number of units ⑤</t>
  </si>
  <si>
    <t>cuando introduce un número de unidades ⑤</t>
  </si>
  <si>
    <t>CONDITIONNEMENT</t>
  </si>
  <si>
    <t>et un Poids ou Volume ⑥ "de" s'affiche automatiquement pour indiquer que vous saisissez un poids à l'unité</t>
  </si>
  <si>
    <t>and a Weight or Volume ⑥ “de/of” appears automatically to indicate that you are entering a per-unit weight</t>
  </si>
  <si>
    <t>y un Peso o Volumen ⑥ aparece “de” automáticamente para indicar que está introduciendo un peso por unidad</t>
  </si>
  <si>
    <t>Effectifs ▼</t>
  </si>
  <si>
    <t>Quoi ▼</t>
  </si>
  <si>
    <t xml:space="preserve"> couverts</t>
  </si>
  <si>
    <t>⑥ Poids ou Volume ajustez les décimales (+ ou - de 0 )</t>
  </si>
  <si>
    <t>⑥ Weight or Volume adjust the decimals (+ or − from 0)</t>
  </si>
  <si>
    <t>⑥ Peso o Volumen ajuste los decimales (+ o − desde 0)</t>
  </si>
  <si>
    <t>L'utilisation professionnelle des recettes vous engage à connaître la réglementation en matière d'hygiène et HACCP.</t>
  </si>
  <si>
    <t xml:space="preserve"> Quoi ? Saisissez Morceaux - tranches- portions - pièces - cerises etc</t>
  </si>
  <si>
    <t>&lt; poids par portion</t>
  </si>
  <si>
    <t>le contenant saisissez  gastro(s) 1/1 - grille(s) - plat(s) - louche(s) etc..</t>
  </si>
  <si>
    <t>Lien Auteur @</t>
  </si>
  <si>
    <t xml:space="preserve">tout ce qui n'est pas saisi dans la colonne ⑥ Poids ou Volume </t>
  </si>
  <si>
    <t>anything not entered in column ⑥ Weight or Volume</t>
  </si>
  <si>
    <t>todo lo que no se introduzca en la columna ⑥ Peso o Volumen</t>
  </si>
  <si>
    <t>ne sera pas comptabilisé dans les poids</t>
  </si>
  <si>
    <t>will not be counted in the weights</t>
  </si>
  <si>
    <t>no se contabilizará en los pesos</t>
  </si>
  <si>
    <t>Adresse PC</t>
  </si>
  <si>
    <t>Produits à la pièce &gt;  nombre 27 jaunes d'œufs  et poids d' 1  jaune</t>
  </si>
  <si>
    <t>Products sold by the piece &gt; quantity 27 egg yolks and weight of 1 yolk</t>
  </si>
  <si>
    <t>Productos por pieza &gt;  número 27 yemas de huevo y peso de 1 yema</t>
  </si>
  <si>
    <t>les ¼ de botte de fines herbes en 0,25 ou en quart(s)</t>
  </si>
  <si>
    <t>¼ bunch of herbs as 0.25 or as quarter(s)</t>
  </si>
  <si>
    <t>¼ de manojo de finas hierbas como 0,25 o en cuarto(s)</t>
  </si>
  <si>
    <t>Cellule ICI</t>
  </si>
  <si>
    <t>en remplacement Collez les compléments si vous en avez besoin</t>
  </si>
  <si>
    <t>Lait 0.75 ou 3 quart/L  - ½ citron 0.5 ou 1 demi(s)</t>
  </si>
  <si>
    <t>Milk 0.75 or 3 quarter/L  - ½ lemon 0.5 or 1 half/halves</t>
  </si>
  <si>
    <t>Leche 0,75 o 3 cuartos/L  - ½ limón 0,5 o 1 medio(s)</t>
  </si>
  <si>
    <t>ORGANISATION RAISONNÉE DU TRAVAIL</t>
  </si>
  <si>
    <t>👍</t>
  </si>
  <si>
    <t>controler les marchandises - qualité - quantité - températures</t>
  </si>
  <si>
    <t>Selon modèle en fonction du nombre de colonnes vous pouvez obtenir ce genre de résultat</t>
  </si>
  <si>
    <t>Depending on the template and the number of columns you can obtain this kind of result</t>
  </si>
  <si>
    <t>Según el modelo y el número de columnas puede obtener este tipo de resultado</t>
  </si>
  <si>
    <t>vérifier les DLC - relever les N° de lot ou conserver les étiquettes</t>
  </si>
  <si>
    <t>désinfecter les sachets - poches - barquettes - boites avant ouverture</t>
  </si>
  <si>
    <t>⑥ Weight or Volume</t>
  </si>
  <si>
    <t>⑥ Peso o Volumen</t>
  </si>
  <si>
    <t>laver légumes et fruits avant utilisation</t>
  </si>
  <si>
    <t>Quantity</t>
  </si>
  <si>
    <t>What</t>
  </si>
  <si>
    <t xml:space="preserve"> Foodstuffs</t>
  </si>
  <si>
    <t>Cantidad</t>
  </si>
  <si>
    <t>Qué</t>
  </si>
  <si>
    <t>égoutter en bacs perforées si besoin</t>
  </si>
  <si>
    <t>cream</t>
  </si>
  <si>
    <t>nata/crema</t>
  </si>
  <si>
    <t>décongeler en bacs perforés + étiquette date de décongélation</t>
  </si>
  <si>
    <t>grapefruit zest</t>
  </si>
  <si>
    <t>ralladura de pomelo</t>
  </si>
  <si>
    <t>cuire et refroidir en cellule avant assemblage</t>
  </si>
  <si>
    <t>trancher - découper - hacher en respectant les protocoles</t>
  </si>
  <si>
    <t>Units</t>
  </si>
  <si>
    <t>Author’s weight without coef.</t>
  </si>
  <si>
    <t xml:space="preserve"> Your weights with coef.</t>
  </si>
  <si>
    <t>Rounded equivalents</t>
  </si>
  <si>
    <t>Peso</t>
  </si>
  <si>
    <t>Unidades</t>
  </si>
  <si>
    <t>Peso del Autor sin coef.</t>
  </si>
  <si>
    <t xml:space="preserve"> Sus pesos con coef.</t>
  </si>
  <si>
    <t>Equivalencias redondeadas</t>
  </si>
  <si>
    <t>préparer l'assaisonnement ou la sauce assembler</t>
  </si>
  <si>
    <t xml:space="preserve">gouter et vérifier l'assaisonnement - dresser - décorer  </t>
  </si>
  <si>
    <t>conditionner et étiqueter DLC</t>
  </si>
  <si>
    <t>garder un plat témoins</t>
  </si>
  <si>
    <t>▲ dans cette colonne la présence de la fonction RECHERCHEX est indispensable pour le fonctionnement des documents répertoire</t>
  </si>
  <si>
    <t>▲ in this column the presence of the XLOOKUP function is essential for the directory sheets to work</t>
  </si>
  <si>
    <t>▲ en esta columna la presencia de la función BUSCARX es imprescindible para el funcionamiento de las hojas de directorio</t>
  </si>
  <si>
    <t>stocker en chambre froide</t>
  </si>
  <si>
    <t>SIERREUR(LET(v;SIERREUR(RECHERCHEX(K22;G37:S37;G38:S38);RECHERCHEX(K22;G39:S39;G40:S40));v*J22*SI(ESTVIDE(G22);1;G22));0)</t>
  </si>
  <si>
    <t>LET(unite;SUBSTITUE(SUPPRESPACE(K22);" (s)";"");val;R22;estVol;NB.SI(M37:S37;unite)+NB.SI(M39:S39;unite)&gt;0;estPoids;NB.SI(G37:L37;unite)+NB.SI(G39:L39;unite)&gt;0;SI(estVol;SI(ARRONDI(val;3)&gt;=1;ARRONDI(val;3)&amp;" L";MAX(1;ARRONDI(val*100;0))&amp;" cl");SI(estPoids;SI(ARRONDI(val;3)&gt;=1;ARRONDI(val;3)&amp;" Kg";MAX(1;ARRONDI(val*1000;0))&amp;" g");"")))</t>
  </si>
  <si>
    <t>◄ Masquez les 3 colonnes</t>
  </si>
  <si>
    <t>lorsque vous saisissez une valeur dans ④ Quantité ET dans ⑥ Poids ou Volume</t>
  </si>
  <si>
    <t>DÉMARCHE QUALITÉ  -  DÉVELOPPEMENT ET AMÉLIORATION DES RECETTES</t>
  </si>
  <si>
    <t>"de" s'affiche automatiquement pour éviter toute confusion " 27 " " jaunes d'œufs"  "de"  " 20 g"</t>
  </si>
  <si>
    <t>“de/of” appears automatically to avoid any confusion “27” “egg yolks” “de/of” “20 g”</t>
  </si>
  <si>
    <t>aparece “de” automáticamente para evitar confusión “27” “yemas de huevo” “de” “20 g”</t>
  </si>
  <si>
    <t>Descriptif de la recette d'origine</t>
  </si>
  <si>
    <t>Premières impressions sur cette recette produits-technique-prix : que faut-il modifier-pouvons nous la servir à tous nos clients- etc..</t>
  </si>
  <si>
    <t>OU cette présentation</t>
  </si>
  <si>
    <t>OR this layout</t>
  </si>
  <si>
    <t>O esta presentación</t>
  </si>
  <si>
    <t xml:space="preserve"> Vos poids et volumesBruts avec coef.</t>
  </si>
  <si>
    <t xml:space="preserve"> % Perte</t>
  </si>
  <si>
    <t xml:space="preserve"> Vos poids et volumes Nets avec coef.</t>
  </si>
  <si>
    <t xml:space="preserve"> Your gross weights and volumes with coef.</t>
  </si>
  <si>
    <t xml:space="preserve"> % Loss</t>
  </si>
  <si>
    <t xml:space="preserve"> Your net weights and volumes with coef.</t>
  </si>
  <si>
    <t xml:space="preserve"> Sus pesos y volúmenes brutos con coef.</t>
  </si>
  <si>
    <t xml:space="preserve"> % Merma</t>
  </si>
  <si>
    <t xml:space="preserve"> Sus pesos y volúmenes netos con coef.</t>
  </si>
  <si>
    <t>Recette testée par : MAURICE</t>
  </si>
  <si>
    <t xml:space="preserve"> Géneros</t>
  </si>
  <si>
    <t>Modifications  adaptation conseils et suggestions :</t>
  </si>
  <si>
    <t>Crème liquide</t>
  </si>
  <si>
    <t>1.11 Kg</t>
  </si>
  <si>
    <t>1 110 g</t>
  </si>
  <si>
    <t>888 g</t>
  </si>
  <si>
    <t>Heavy cream</t>
  </si>
  <si>
    <t>Nata/crema líquida</t>
  </si>
  <si>
    <t>Débarrasez la viande de tout excès de graisse, séchez-la et frottez-la avec l'assaisonnement ou les herbes aromatiques de votre choix. Faites-la cuire sur une grille ou une mirepoix de légumes crus grossièrement coupée qui laisse l'air circuler autour de la viande. Une fois cuite, la mirepoix ajoute une saveur délicieuse à la sauce prépaparée à partir de ce fond de cuisson</t>
  </si>
  <si>
    <t>grand Marnier</t>
  </si>
  <si>
    <t>13 cl</t>
  </si>
  <si>
    <t>133 ml</t>
  </si>
  <si>
    <t>119.88 ml</t>
  </si>
  <si>
    <t>Grand Marnier</t>
  </si>
  <si>
    <t>pommes</t>
  </si>
  <si>
    <t>8.325 Kg</t>
  </si>
  <si>
    <t>33 quart(s)</t>
  </si>
  <si>
    <t>23.31 quart(s)</t>
  </si>
  <si>
    <t>apples</t>
  </si>
  <si>
    <t>manzanas</t>
  </si>
  <si>
    <t>Quantité ou nombre d'unités au choix</t>
  </si>
  <si>
    <t>Quantity or number of units, your choice</t>
  </si>
  <si>
    <t>Cantidad o número de unidades a elección</t>
  </si>
  <si>
    <t>Productos por pieza &gt; número 27 yemas de huevo y peso de 1 yema</t>
  </si>
  <si>
    <t>bottes</t>
  </si>
  <si>
    <t>¼ de botte de fines herbes</t>
  </si>
  <si>
    <t>bunches</t>
  </si>
  <si>
    <t>¼ bunch of herbs</t>
  </si>
  <si>
    <t>manojos</t>
  </si>
  <si>
    <t>¼ de manojo de finas hierbas</t>
  </si>
  <si>
    <t>citrons</t>
  </si>
  <si>
    <t>½ citron</t>
  </si>
  <si>
    <t>lemons</t>
  </si>
  <si>
    <t>½ lemon</t>
  </si>
  <si>
    <t>limones</t>
  </si>
  <si>
    <t>½ limón</t>
  </si>
  <si>
    <t xml:space="preserve">note Maxi par critère = 3   DÉVELOPPEMENT ET AMÉLIORATION DES RECETTES  </t>
  </si>
  <si>
    <t>litres</t>
  </si>
  <si>
    <t>¾ de litre</t>
  </si>
  <si>
    <t>liters</t>
  </si>
  <si>
    <t>¾ liter</t>
  </si>
  <si>
    <t>litros</t>
  </si>
  <si>
    <t>¾ de litro</t>
  </si>
  <si>
    <t>VISUEL / PRÉSENTATION</t>
  </si>
  <si>
    <t>Les produits ou la recette sont/est :</t>
  </si>
  <si>
    <t>CUISSON</t>
  </si>
  <si>
    <t>Bon</t>
  </si>
  <si>
    <t xml:space="preserve">TEXTURE </t>
  </si>
  <si>
    <t>non acceptable pour nos clients</t>
  </si>
  <si>
    <t xml:space="preserve"> GUSTATIF / SAVEUR</t>
  </si>
  <si>
    <t xml:space="preserve"> GUSTATIF</t>
  </si>
  <si>
    <t>TEMPÉRATURE</t>
  </si>
  <si>
    <t>tout ce qui n'est pas saisi dans la colonne ⑥ Poids ou Volume ne sera pas comptabilisé dans les poids</t>
  </si>
  <si>
    <t>anything not entered in column ⑥ Weight or Volume will not be counted in the weights</t>
  </si>
  <si>
    <t>todo lo que no se introduzca en la columna ⑥ Peso o Volumen no se contabilizará en los pesos</t>
  </si>
  <si>
    <t xml:space="preserve">QUALITÉ </t>
  </si>
  <si>
    <t>à améliorer</t>
  </si>
  <si>
    <t>Un point manquant ou un espace en plus et Excel ne reconnait pas. Donc faites du Copier / Coller</t>
  </si>
  <si>
    <t>One missing dot or one extra space and Excel won’t recognize it. So use Copy / Paste</t>
  </si>
  <si>
    <t>Un punto que falte o un espacio de más y Excel no lo reconoce. Así que use Copiar / Pegar</t>
  </si>
  <si>
    <t>VARIÉTÉ</t>
  </si>
  <si>
    <t>❌</t>
  </si>
  <si>
    <t>⑥Poids ou Volume ajustez les décimales (+ ou - de 0 )</t>
  </si>
  <si>
    <t>ORIGINALITÉ</t>
  </si>
  <si>
    <t>VISUEL</t>
  </si>
  <si>
    <t>lorsque vous collez 1 Quart ; 1 demi ; 1 Tiers col .⑤ Quoi il n'y a pas de poids le résultat s'affiche en quantité colonnes 18 - 19 Unités et Quoi ?</t>
  </si>
  <si>
    <t>when you paste 1 Quarter; 1 Half; 1 Third in col. ⑤ What there is no weight; the result appears as a quantity in columns 18 - 19 Units and What?</t>
  </si>
  <si>
    <t>cuando pega 1 Cuarto; 1 Medio; 1 Tercio en la col. ⑤ Qué no hay peso; el resultado aparece como cantidad en las columnas 18 - 19 Unidades y Qué?</t>
  </si>
  <si>
    <t>pour les critères saisis</t>
  </si>
  <si>
    <t>✅</t>
  </si>
  <si>
    <t>BIEN</t>
  </si>
  <si>
    <t>TOTAL obtenu</t>
  </si>
  <si>
    <t>Quelle différence</t>
  </si>
  <si>
    <t>Poids et volumes arrondis</t>
  </si>
  <si>
    <t>What’s the difference</t>
  </si>
  <si>
    <t>Rounded weights and volumes</t>
  </si>
  <si>
    <t>Qué diferencia</t>
  </si>
  <si>
    <t>Pesos y volúmenes redondeados</t>
  </si>
  <si>
    <t xml:space="preserve">TOTAL maxi à atteindre </t>
  </si>
  <si>
    <t>CONCLUSION</t>
  </si>
  <si>
    <t>quart/L</t>
  </si>
  <si>
    <t>440 L</t>
  </si>
  <si>
    <t>880 demi/L</t>
  </si>
  <si>
    <t>pouvons nous la servir à tous nos clients</t>
  </si>
  <si>
    <t>Acceptation</t>
  </si>
  <si>
    <t xml:space="preserve"> volumes  si &gt; à 1 ; = L  sinon  cl</t>
  </si>
  <si>
    <t>Refus partiel ou total</t>
  </si>
  <si>
    <t>quart(s)</t>
  </si>
  <si>
    <t>demi(s)</t>
  </si>
  <si>
    <t>440 Kg</t>
  </si>
  <si>
    <t>880 demi(s)</t>
  </si>
  <si>
    <t xml:space="preserve"> Poids si &gt; à 1 ; = Kg  sinon  g</t>
  </si>
  <si>
    <t>1 quart de melon</t>
  </si>
  <si>
    <t xml:space="preserve">1 demi part - </t>
  </si>
  <si>
    <t>1 quarter of melon</t>
  </si>
  <si>
    <t>1 half portion -</t>
  </si>
  <si>
    <t>1 cuarto de melón</t>
  </si>
  <si>
    <t>1 media ración -</t>
  </si>
  <si>
    <t>les Valeurs de recherche sont en Kg - exemple 1 verre = 0.225</t>
  </si>
  <si>
    <t>Lookup values are in kg - example 1 glass = 0.225</t>
  </si>
  <si>
    <t>Los valores de búsqueda están en kg - ejemplo 1 vaso = 0,225</t>
  </si>
  <si>
    <t>Appréciation : Bien (3), Moyen (2), Non satisfaisant (1) sur  points.</t>
  </si>
  <si>
    <t>⑦g.kg.L.dl.cl.ml  Collez une unité au choix</t>
  </si>
  <si>
    <t>⑦ g.kg.L.dl.cl.ml  Paste one unit of your choice</t>
  </si>
  <si>
    <t>⑦ g.kg.L.dl.cl.ml  Pegue una unidad a elección</t>
  </si>
  <si>
    <t>Hors d'Œuvre</t>
  </si>
  <si>
    <t>Plat</t>
  </si>
  <si>
    <t>Légume</t>
  </si>
  <si>
    <t>Dessert</t>
  </si>
  <si>
    <t>⑧  Coefficient</t>
  </si>
  <si>
    <t>le Coefficient vous permet d'augmenter</t>
  </si>
  <si>
    <t>the Coefficient lets you increase,</t>
  </si>
  <si>
    <t>⑧  Coeficiente</t>
  </si>
  <si>
    <t>el Coeficiente le permite aumentar,</t>
  </si>
  <si>
    <t>de diminuer ou d'éviter un ingrédient</t>
  </si>
  <si>
    <t>decrease, or omit an ingredient</t>
  </si>
  <si>
    <t>disminuir o evitar un ingrediente</t>
  </si>
  <si>
    <t xml:space="preserve">Vous pouvez détourner l'utilisation de la colonne Coefficient en augmentant ou  diminuant </t>
  </si>
  <si>
    <t>You can repurpose the Coefficient column by increasing or decreasing the value.</t>
  </si>
  <si>
    <t>Puede reutilizar la columna Coeficiente aumentando o disminuyendo el valor</t>
  </si>
  <si>
    <t>pour faire varier le poids d'un aliment  sans recommencer une nouvelle fiche</t>
  </si>
  <si>
    <t>to vary an item’s weight without starting a new sheet</t>
  </si>
  <si>
    <t>para variar el peso de un alimento sin empezar una nueva ficha</t>
  </si>
  <si>
    <t xml:space="preserve">Vous pouvez également saisir la valeur 0 zéro pour un aliment allergène selon convives </t>
  </si>
  <si>
    <t>You can also enter the value 0 zero for an allergenic food depending on guests</t>
  </si>
  <si>
    <t>También puede introducir el valor 0 cero para un alimento alergénico según comensales</t>
  </si>
  <si>
    <t>Saveur :salée-sucrée-amère-acide-métallique-forte-aigre-acre-fade-naturelle</t>
  </si>
  <si>
    <t xml:space="preserve">ou supprimer un ingrédient piment ou autres par exemple </t>
  </si>
  <si>
    <t>or remove an ingredient—chili or others for example</t>
  </si>
  <si>
    <t>o suprimir un ingrediente—picante u otros por ejemplo</t>
  </si>
  <si>
    <t>Texture : tendre-fondante-moelleuse-naturelle-granuleuse-fibreuse-cordée-farineuse-gélatineuse-croustillante</t>
  </si>
  <si>
    <t>si vous saisissez une valeur différente de 1 la cellule change de couleur  pour attirer votre attention</t>
  </si>
  <si>
    <t>if you enter a value different from 1 the cell changes color to draw your attention</t>
  </si>
  <si>
    <t>si introduce un valor distinto de 1 la celda cambia de color para llamar su atención</t>
  </si>
  <si>
    <t>Cuisson : trop juste--bien-trop cuit-à revoir-Grammages-% Pertes avant et après cuisson-Mode de cuisson etc..</t>
  </si>
  <si>
    <t xml:space="preserve"> (Mise en Forme Conditionnelle)</t>
  </si>
  <si>
    <t>(Conditional Formatting)</t>
  </si>
  <si>
    <t>(Formato condicional)</t>
  </si>
  <si>
    <t>Contenant</t>
  </si>
  <si>
    <t>Temps</t>
  </si>
  <si>
    <t xml:space="preserve">Température </t>
  </si>
  <si>
    <t xml:space="preserve"> % Humidité </t>
  </si>
  <si>
    <t>Mode</t>
  </si>
  <si>
    <t xml:space="preserve">Mode de Fonctionnement </t>
  </si>
  <si>
    <t>Air pulsé</t>
  </si>
  <si>
    <t xml:space="preserve"> Préchauffage</t>
  </si>
  <si>
    <t>Gastro 1/1</t>
  </si>
  <si>
    <t>mixte</t>
  </si>
  <si>
    <t>cuisson 1</t>
  </si>
  <si>
    <t>grilles 2/1</t>
  </si>
  <si>
    <t>cuisson 2</t>
  </si>
  <si>
    <t>Régénération banquet</t>
  </si>
  <si>
    <t>gomme</t>
  </si>
  <si>
    <t>◄  If column 11 is red, paste the “eraser”</t>
  </si>
  <si>
    <t>goma</t>
  </si>
  <si>
    <t>◄  Si la columna 11 está en rojo, pegue la “goma”</t>
  </si>
  <si>
    <t xml:space="preserve"> ensuite supprimez le mot "gomme." et saisissez un chiffre</t>
  </si>
  <si>
    <t xml:space="preserve"> then delete the word “eraser.” and enter a number</t>
  </si>
  <si>
    <t xml:space="preserve"> luego borre la palabra “goma.” e introduzca un número</t>
  </si>
  <si>
    <t>for</t>
  </si>
  <si>
    <t>para</t>
  </si>
  <si>
    <t>vous pouvez saisir un autre poids selon vos besoins</t>
  </si>
  <si>
    <t>you can enter another weight according to your needs</t>
  </si>
  <si>
    <t>puede introducir otro peso según sus necesidades</t>
  </si>
  <si>
    <t>this column lets you compare recipes.</t>
  </si>
  <si>
    <t>esta columna le permite comparar recetas.</t>
  </si>
  <si>
    <t>les Auteurs prévoient leur recettes pour des quantités ou un nombre de portions différentes</t>
  </si>
  <si>
    <t>Authors plan their recipes for different quantities or number of portions</t>
  </si>
  <si>
    <t>Los Autores prevén sus recetas para cantidades o números de raciones diferentes</t>
  </si>
  <si>
    <t>Il est donc difficile de comparer. Avec cette colonne cela devient facile</t>
  </si>
  <si>
    <t>So it’s hard to compare. With this column it becomes easy</t>
  </si>
  <si>
    <t>Por lo tanto es difícil comparar. Con esta columna se vuelve fácil</t>
  </si>
  <si>
    <t>Température de cuisson</t>
  </si>
  <si>
    <t>Refroidissement</t>
  </si>
  <si>
    <t>❾</t>
  </si>
  <si>
    <t>l'Auteur à prévu sa recette pour combien de couverts ou pour quel poids</t>
  </si>
  <si>
    <t>The Author planned the recipe for how many covers or for what weight</t>
  </si>
  <si>
    <t>El Autor previó su receta para cuántos cubiertos o para qué peso</t>
  </si>
  <si>
    <t>tarte</t>
  </si>
  <si>
    <t>tart</t>
  </si>
  <si>
    <t>tarta</t>
  </si>
  <si>
    <t>feuilles de génoise</t>
  </si>
  <si>
    <t>sponge sheets</t>
  </si>
  <si>
    <t>planchas de bizcocho</t>
  </si>
  <si>
    <t>based on your guests you estimate this recipe for how many</t>
  </si>
  <si>
    <t>en función de sus comensales usted estima esta receta para cuántos</t>
  </si>
  <si>
    <t>Vous pouvez valider en re-saisissant les mêmes valeurs que l'Auteur</t>
  </si>
  <si>
    <t>You can validate by re-entering the same values as the Author</t>
  </si>
  <si>
    <t>Puede validar reintroduciendo los mismos valores que el Autor</t>
  </si>
  <si>
    <t>cadre(s)</t>
  </si>
  <si>
    <t>frame(s)</t>
  </si>
  <si>
    <t>aro(s)/marco(s)</t>
  </si>
  <si>
    <t>tartes de 18 cm</t>
  </si>
  <si>
    <t>18-cm tarts</t>
  </si>
  <si>
    <t>tartas de 18 cm</t>
  </si>
  <si>
    <t>covers/servings</t>
  </si>
  <si>
    <t>cubiertos/raciones</t>
  </si>
  <si>
    <t>OU faire un autre choix</t>
  </si>
  <si>
    <t>OR make another choice</t>
  </si>
  <si>
    <t>O hacer otra elección</t>
  </si>
  <si>
    <t>soit vous faites le choix de dupliquer la recette à partir d'un effectif ou du poids d'une denrée Exemple farine pour le pain</t>
  </si>
  <si>
    <t>either you choose to duplicate the recipe starting from a headcount or from the weight of one item—for example flour for bread</t>
  </si>
  <si>
    <t>o bien decide duplicar la receta a partir de un efectivo o del peso de un género—por ejemplo harina para pan</t>
  </si>
  <si>
    <t>CALCULEZ VOS POIDS NETS</t>
  </si>
  <si>
    <t>poulets</t>
  </si>
  <si>
    <t>chickens</t>
  </si>
  <si>
    <t>pollos</t>
  </si>
  <si>
    <t>⑫ % Perte</t>
  </si>
  <si>
    <t>Poids Net</t>
  </si>
  <si>
    <t>Kg de bœuf</t>
  </si>
  <si>
    <t>kg of beef</t>
  </si>
  <si>
    <t>kg de ternera</t>
  </si>
  <si>
    <t>Kg de farine</t>
  </si>
  <si>
    <t>kg of flour</t>
  </si>
  <si>
    <t>kg de harina</t>
  </si>
  <si>
    <t>Maigre de canard sauvage</t>
  </si>
  <si>
    <t>œufs</t>
  </si>
  <si>
    <t>eggs</t>
  </si>
  <si>
    <t>huevos</t>
  </si>
  <si>
    <t>Maigre de porc</t>
  </si>
  <si>
    <t>▲  C'est cette première valeur qu'Excel va utiliser</t>
  </si>
  <si>
    <t>▲  This first value is the one Excel will use</t>
  </si>
  <si>
    <t>▲  Este primer valor es el que usará Excel</t>
  </si>
  <si>
    <t xml:space="preserve"> Facultatif Produit de référence</t>
  </si>
  <si>
    <t>bœuf</t>
  </si>
  <si>
    <t xml:space="preserve"> Optional Reference product</t>
  </si>
  <si>
    <t>beef</t>
  </si>
  <si>
    <t xml:space="preserve"> Opcional Producto de referencia</t>
  </si>
  <si>
    <t>ternera</t>
  </si>
  <si>
    <t>Jus de cuisson</t>
  </si>
  <si>
    <t>Si vous estimez que les grammages sont trop ou pas assez copieux pour vos convives : modifiez vos portions ❿  Trop copieux :  augmentez - Pas assez copieux diminuez</t>
  </si>
  <si>
    <t>If you think the gram amounts are too generous or not generous enough for your guests: adjust your portions ❿  Too generous: increase — Not enough: decrease</t>
  </si>
  <si>
    <t>Si estima que los gramajes son demasiado o poco generosos para sus comensales: modifique sus porciones ❿  Demasiado generosos: aumente — Insuficientes: disminuya</t>
  </si>
  <si>
    <t>Collez une unité dans la colonne ⑦</t>
  </si>
  <si>
    <t>⑥  ajustez les décimales</t>
  </si>
  <si>
    <t>⓫</t>
  </si>
  <si>
    <t xml:space="preserve"> A dupliquer pour</t>
  </si>
  <si>
    <t xml:space="preserve"> To duplicate for</t>
  </si>
  <si>
    <t xml:space="preserve"> A duplicar para</t>
  </si>
  <si>
    <t xml:space="preserve">à vous de saisir la quantité </t>
  </si>
  <si>
    <t>you enter the quantity</t>
  </si>
  <si>
    <t>le toca introducir la cantidad</t>
  </si>
  <si>
    <t>▲  C'est la valeur saisie dans cette cellule  qu'Excel va utiliser pour  dupliquer la recette</t>
  </si>
  <si>
    <t>▲  It’s the value entered in this cell that Excel will use to duplicate the recipe</t>
  </si>
  <si>
    <t>▲  Es el valor introducido en esta celda el que Excel usará para duplicar la receta</t>
  </si>
  <si>
    <t>Matériels</t>
  </si>
  <si>
    <t>Temp°</t>
  </si>
  <si>
    <t>Action</t>
  </si>
  <si>
    <t>Conseils</t>
  </si>
  <si>
    <t>selon modèles vous pouvez avoir :</t>
  </si>
  <si>
    <t>depending on templates you may have:</t>
  </si>
  <si>
    <t>según modelos puede tener:</t>
  </si>
  <si>
    <t>Sauteuse</t>
  </si>
  <si>
    <t>rissolage viande</t>
  </si>
  <si>
    <t>Mode fonction &gt;</t>
  </si>
  <si>
    <t>chaleur sèche</t>
  </si>
  <si>
    <t xml:space="preserve"> Prix</t>
  </si>
  <si>
    <t>ne confondez pas prix au Kg et prix à la pièce</t>
  </si>
  <si>
    <t xml:space="preserve"> Price</t>
  </si>
  <si>
    <t>don’t confuse price per kg and price per piece</t>
  </si>
  <si>
    <t xml:space="preserve"> Precio</t>
  </si>
  <si>
    <t>no confunda precio por kg y precio por pieza</t>
  </si>
  <si>
    <t>Four</t>
  </si>
  <si>
    <t>préchauffage</t>
  </si>
  <si>
    <t>unitaire &gt;</t>
  </si>
  <si>
    <t>unitario &gt;</t>
  </si>
  <si>
    <t>Somme</t>
  </si>
  <si>
    <t>Sum</t>
  </si>
  <si>
    <t>Suma</t>
  </si>
  <si>
    <t>saisir la viande</t>
  </si>
  <si>
    <t>cuire la viande à coeur de + 95 / 97 °C</t>
  </si>
  <si>
    <t xml:space="preserve">  % Perte</t>
  </si>
  <si>
    <t xml:space="preserve">  % Loss</t>
  </si>
  <si>
    <t xml:space="preserve">  % Merma</t>
  </si>
  <si>
    <t>Vapeur</t>
  </si>
  <si>
    <t>1 Kg de produit pert combien à l'épluchage ou au parage - au conditionnement etc..</t>
  </si>
  <si>
    <t>How much does 1 kg of product lose during peeling or trimming — in packaging, etc.</t>
  </si>
  <si>
    <t>Brut Équivalences arrondies</t>
  </si>
  <si>
    <t>Gross Rounded equivalents</t>
  </si>
  <si>
    <t>Bruto Equivalencias redondeadas</t>
  </si>
  <si>
    <t>Mixte</t>
  </si>
  <si>
    <t>Poids Bruts</t>
  </si>
  <si>
    <t>Gross weights</t>
  </si>
  <si>
    <t>Pesos brutos</t>
  </si>
  <si>
    <t>Équivalences arrondies les poids supérieurs à 1 Kg sont exprimés en Kg</t>
  </si>
  <si>
    <t>Rounded equivalents weights above 1 kg are expressed in kg</t>
  </si>
  <si>
    <t>Equivalencias redondeadas los pesos superiores a 1 kg se expresan en kg</t>
  </si>
  <si>
    <t>les poids inférieurs à 1 Kg sont exprimés en g</t>
  </si>
  <si>
    <t>weights below 1 kg are expressed in g</t>
  </si>
  <si>
    <t>los pesos inferiores a 1 kg se expresan en g</t>
  </si>
  <si>
    <t>TABLEAU DE RECHERCHE  - LOOKUP_TABLE - TABLA_DE_BÚSQUEDA</t>
  </si>
  <si>
    <t>les Col.de 6 à 11 sont réservées aux poids</t>
  </si>
  <si>
    <t>Cols 6 to 11 are reserved for weights</t>
  </si>
  <si>
    <t>Las Cols. de 6 a 11 están reservadas a los pesos</t>
  </si>
  <si>
    <t>Mise en place</t>
  </si>
  <si>
    <t>déconditionnement</t>
  </si>
  <si>
    <t>légumerie</t>
  </si>
  <si>
    <t>plaquage</t>
  </si>
  <si>
    <t>because Col 18 uses them for conversion to g</t>
  </si>
  <si>
    <t>porque la Col. 18 las usa para conversión a g</t>
  </si>
  <si>
    <t>rissolage</t>
  </si>
  <si>
    <t>Si c’est un poids :</t>
  </si>
  <si>
    <t>If it’s a weight:</t>
  </si>
  <si>
    <t>Si es un peso:</t>
  </si>
  <si>
    <t>val ≥ 1 ⇒ affichage en kilogrammes (Kg) avec 3 décimales max.</t>
  </si>
  <si>
    <t>val ≥ 1 ⇒ display in kilograms (kg) with up to 3 decimals.</t>
  </si>
  <si>
    <t>val ≥ 1 ⇒ visualización en kilogramos (kg) con máx. 3 decimales.</t>
  </si>
  <si>
    <t>cuisson</t>
  </si>
  <si>
    <t>val &lt; 1 ⇒ conversion en grammes (g) et arrondi à l’entier, minimum 1 g.</t>
  </si>
  <si>
    <t>val &lt; 1 ⇒ convert to grams (g) and round to a whole number, minimum 1 g.</t>
  </si>
  <si>
    <t>val &lt; 1 ⇒ conversión a gramos (g) y redondeo al entero, mínimo 1 g.</t>
  </si>
  <si>
    <t>sauce réduction</t>
  </si>
  <si>
    <t>conditionnement</t>
  </si>
  <si>
    <t xml:space="preserve">+ 9 °C </t>
  </si>
  <si>
    <t>refroidissement température cible</t>
  </si>
  <si>
    <t>A Cœur</t>
  </si>
  <si>
    <t>Liaison Chaude</t>
  </si>
  <si>
    <t>Cols 12 to 18 are reserved for volumes</t>
  </si>
  <si>
    <t>Las Cols. de 12 a 18 están reservadas a los volúmenes</t>
  </si>
  <si>
    <t>Liaison froide</t>
  </si>
  <si>
    <t>parce que la Col.18 s'en sert pour conversion en cl</t>
  </si>
  <si>
    <t>because Col 18 uses them for conversion to cl</t>
  </si>
  <si>
    <t>porque la Col. 18 las usa para conversión a cl</t>
  </si>
  <si>
    <t>Si c’est un volume :</t>
  </si>
  <si>
    <t>If it’s a volume:</t>
  </si>
  <si>
    <t>Si es un volumen:</t>
  </si>
  <si>
    <t>val ≥ 1 ⇒ affichage en litres (L) avec 3 décimales max.</t>
  </si>
  <si>
    <t>val ≥ 1 ⇒ display in liters (L) with up to 3 decimals.</t>
  </si>
  <si>
    <t>val ≥ 1 ⇒ visualización en litros (L) con máx. 3 decimales.</t>
  </si>
  <si>
    <t xml:space="preserve">LISTE ET MISE EN PLACE DES MATÉRIELS </t>
  </si>
  <si>
    <t>val &lt; 1 ⇒ conversion en centilitres (cl) et arrondi à l’entier, minimum 1 cl.</t>
  </si>
  <si>
    <t>val &lt; 1 ⇒ convert to centiliters (cl) and round to a whole number, minimum 1 cl.</t>
  </si>
  <si>
    <t>val &lt; 1 ⇒ conversión a centilitros (cl) y redondeo al entero, mínimo 1 cl.</t>
  </si>
  <si>
    <t>dans 1 contenant ▼</t>
  </si>
  <si>
    <t>Contenances gastro  GN 1/1 H 65 inox plein</t>
  </si>
  <si>
    <t xml:space="preserve">portions </t>
  </si>
  <si>
    <t xml:space="preserve">&lt;  L 'Auteur prévu du matériel pour </t>
  </si>
  <si>
    <t>Poulet 4/4 .12 Cuisses CRUES</t>
  </si>
  <si>
    <t>IMPORTANT</t>
  </si>
  <si>
    <t>IMPORTANTE</t>
  </si>
  <si>
    <t>Vos quantités &gt;</t>
  </si>
  <si>
    <t>Poulet 4/4.24 Cuisses petites CUITES</t>
  </si>
  <si>
    <t>les colonnes 2 à 5</t>
  </si>
  <si>
    <t>MAJUSCULE(GAUCHE(J12;1))&amp;" "&amp;J12&amp;" | "&amp;Q12&amp;"| "&amp;J14&amp;" "&amp;K14</t>
  </si>
  <si>
    <t>columns 2 to 5</t>
  </si>
  <si>
    <t>las columnas 2 a 5</t>
  </si>
  <si>
    <t>Gastro</t>
  </si>
  <si>
    <t>Matériel</t>
  </si>
  <si>
    <t>25 escalopes de volailles cuites 120g</t>
  </si>
  <si>
    <t>contiennent les informations utiles pour l'archivage et le fonctionnement des répertoires</t>
  </si>
  <si>
    <t>contain useful information for archiving and folder operation</t>
  </si>
  <si>
    <t>contienen la información útil para el archivo y el funcionamiento de los directorios</t>
  </si>
  <si>
    <t>GN 2/1 en polycarbonate</t>
  </si>
  <si>
    <t>Viande tranchée 60 tr.</t>
  </si>
  <si>
    <t xml:space="preserve"> bac GN 2/1 H 100 inox plein</t>
  </si>
  <si>
    <t xml:space="preserve">25 Paupiettes de dindes 120g </t>
  </si>
  <si>
    <t xml:space="preserve"> bac GN 2/1 H 65 inox plein</t>
  </si>
  <si>
    <t>20 Tomates farcies</t>
  </si>
  <si>
    <t>GN 1/1 H 100 inox plein</t>
  </si>
  <si>
    <t xml:space="preserve">7.2 Kg Tartiflette </t>
  </si>
  <si>
    <t>GN 1/1 H 65 inox plein</t>
  </si>
  <si>
    <t xml:space="preserve"> 4 Kg Brandade de morue</t>
  </si>
  <si>
    <t>?</t>
  </si>
  <si>
    <t xml:space="preserve"> 3 Kg Sauté en morceaux</t>
  </si>
  <si>
    <t>⓬  ▼ PROGRESSION PHASES</t>
  </si>
  <si>
    <t>⓬  ▼ FASES DE PROGRESIÓN</t>
  </si>
  <si>
    <t>bring the cream to a boil with the zests</t>
  </si>
  <si>
    <t>hervir la nata con las ralladuras</t>
  </si>
  <si>
    <t>cook like a pastry cream with the sugar, the yolks, and the cornstarch (maïzena)</t>
  </si>
  <si>
    <t>cocer como una crema pastelera con el azúcar, las yemas y la maicena</t>
  </si>
  <si>
    <t xml:space="preserve">NOMBRE DE PORTIONS  ET GRAMMAGES PORTIONS </t>
  </si>
  <si>
    <t>Professional use of recipes requires you to know hygiene and HACCP regulations.</t>
  </si>
  <si>
    <t>El uso profesional de las recetas le obliga a conocer la normativa de higiene y APPCC (HACCP).</t>
  </si>
  <si>
    <t>Ado</t>
  </si>
  <si>
    <t>A +</t>
  </si>
  <si>
    <t>Familles</t>
  </si>
  <si>
    <t>toujours citer la source ou ajouter un lien</t>
  </si>
  <si>
    <t>Author link @</t>
  </si>
  <si>
    <t>always cite the source or add a link</t>
  </si>
  <si>
    <t>Enlace Autor @</t>
  </si>
  <si>
    <t>citar siempre la fuente o añadir un enlace</t>
  </si>
  <si>
    <t xml:space="preserve">◄ Grammages portions </t>
  </si>
  <si>
    <t>Nombre de portions résultats arrondis</t>
  </si>
  <si>
    <t>◄ Nb.de couverts</t>
  </si>
  <si>
    <t>**</t>
  </si>
  <si>
    <t>Cost: 1* economical - 4**** luxury</t>
  </si>
  <si>
    <t>Costo: 1* económico - 4**** lujo</t>
  </si>
  <si>
    <t xml:space="preserve">Grammages portions </t>
  </si>
  <si>
    <t>Difficulty: 1* Easy - 4**** Difficult</t>
  </si>
  <si>
    <t>Dificultad: 1* Fácil - 4**** Difícil</t>
  </si>
  <si>
    <t>Primaires - P</t>
  </si>
  <si>
    <t>Adultes - A</t>
  </si>
  <si>
    <t>Prep time</t>
  </si>
  <si>
    <t>Tiempo de preparación</t>
  </si>
  <si>
    <t>Maternelles - M</t>
  </si>
  <si>
    <t>Adolescents - Ado</t>
  </si>
  <si>
    <t>Adultes + - A+</t>
  </si>
  <si>
    <t>saisissez vos valeurs cellules fond jaune</t>
  </si>
  <si>
    <t>Cooking time</t>
  </si>
  <si>
    <t>Tiempo de cocción</t>
  </si>
  <si>
    <t>Cooling time</t>
  </si>
  <si>
    <t>Tiempo de enfriado</t>
  </si>
  <si>
    <t>PACKAGING</t>
  </si>
  <si>
    <t>CONDICIONAMIENTO / ENVASADO</t>
  </si>
  <si>
    <t>Headcount ▼</t>
  </si>
  <si>
    <t>What ▼</t>
  </si>
  <si>
    <t>Efectivos ▼</t>
  </si>
  <si>
    <t>Qué ▼</t>
  </si>
  <si>
    <t>gastro 1/1</t>
  </si>
  <si>
    <t>GN 1/1</t>
  </si>
  <si>
    <t>&lt; Container</t>
  </si>
  <si>
    <t>&lt; Contenedor</t>
  </si>
  <si>
    <t>&lt; Quantité p.p.</t>
  </si>
  <si>
    <t>&lt; Qty per person</t>
  </si>
  <si>
    <t>&lt; Cantidad p.p.</t>
  </si>
  <si>
    <t xml:space="preserve"> CONDITIONNEMENT</t>
  </si>
  <si>
    <t>Saisissez l'effectif -la Quantité p.p. - Quoi - Quantité par contenant et le type de contenant</t>
  </si>
  <si>
    <t>&lt; weight per portion</t>
  </si>
  <si>
    <t>&lt; peso por ración</t>
  </si>
  <si>
    <t xml:space="preserve">Quantité </t>
  </si>
  <si>
    <t>Effectifs</t>
  </si>
  <si>
    <t>Quantité p.p.</t>
  </si>
  <si>
    <t>par Assiette(s)</t>
  </si>
  <si>
    <t>madeleine(s)</t>
  </si>
  <si>
    <t>Assiette(s)</t>
  </si>
  <si>
    <t>par portion</t>
  </si>
  <si>
    <t>le contenant peut-être un gastro - 1 plat - 1 louche - 1 barquette etc.</t>
  </si>
  <si>
    <t>ou quel grammage par portion</t>
  </si>
  <si>
    <t>or what weight per portion</t>
  </si>
  <si>
    <t>o qué gramaje por ración</t>
  </si>
  <si>
    <t>Saisissez vos effectifs</t>
  </si>
  <si>
    <t>Enter your headcounts</t>
  </si>
  <si>
    <t xml:space="preserve"> What? Enter Pieces - slices - portions - pieces - cherries etc.</t>
  </si>
  <si>
    <t>Introduzca sus efectivos</t>
  </si>
  <si>
    <t xml:space="preserve"> ¿Qué? Introduzca Trozos - rebanadas - raciones - piezas - cerezas etc.</t>
  </si>
  <si>
    <t xml:space="preserve">Quantité p.p. au choix ou les deux </t>
  </si>
  <si>
    <t>Qty per person of your choice or both</t>
  </si>
  <si>
    <t>the container enter GN pan(s) 1/1 - rack(s) - dish(es) - ladle(s) etc.</t>
  </si>
  <si>
    <t>Cantidad p.p. a elección o ambas</t>
  </si>
  <si>
    <t>el contenedor introduzca GN 1/1 - rejilla(s) - fuente(s) - cucharón(es) etc.</t>
  </si>
  <si>
    <t>combien de pièces par personne (tranches - louches- etc..)</t>
  </si>
  <si>
    <t>combien de tranches ou autre par contenant</t>
  </si>
  <si>
    <t>how many pieces per person (slices - ladles - etc.)</t>
  </si>
  <si>
    <t>how many slices or other per container</t>
  </si>
  <si>
    <t>cuántas piezas por persona (rebanadas - cucharones - etc.)</t>
  </si>
  <si>
    <t>cuántas rebanadas u otro por contenedor</t>
  </si>
  <si>
    <t>ou quel poids par contenant</t>
  </si>
  <si>
    <t>or what weight per container</t>
  </si>
  <si>
    <t>o qué peso por contenedor</t>
  </si>
  <si>
    <t>▲ ce texte " Adresse PC "   est important pour séparer les recettes dans la fiche répertoire</t>
  </si>
  <si>
    <t>▲ this text “PC Address” is important to separate recipes in the directory sheet</t>
  </si>
  <si>
    <t>▲ este texto “Dirección PC” es importante para separar las recetas en la hoja de directorio</t>
  </si>
  <si>
    <t>SI(SUPPRESPACE(Q255)="Adresse PC";"▼ recette suivante";SI(AH255&gt;0;M255;""))</t>
  </si>
  <si>
    <t>IF(TRIM(Q255)="PC Address","▼ next recipe",IF(AH255&gt;0,M255,""))</t>
  </si>
  <si>
    <t>SI(ESPACIOS(Q255)="Dirección PC","▼ receta siguiente",SI(AH255&gt;0,M255,""))</t>
  </si>
  <si>
    <t>Ligne 62 Cellule ICI</t>
  </si>
  <si>
    <t>vous avez plusieurs modèles à coller</t>
  </si>
  <si>
    <t>Line 62 Cell HERE</t>
  </si>
  <si>
    <t>you have several templates to paste</t>
  </si>
  <si>
    <t>Línea 62 Celda AQUÍ</t>
  </si>
  <si>
    <t>tiene varios modelos para pegar</t>
  </si>
  <si>
    <t>UTILITAIRES</t>
  </si>
  <si>
    <t>as a replacement Paste the add-ons if you need them</t>
  </si>
  <si>
    <t>en sustitución Pegue los complementos si los necesita</t>
  </si>
  <si>
    <t>POIDS BRUT</t>
  </si>
  <si>
    <t>PRIX D'ACHAT</t>
  </si>
  <si>
    <t>POIDS NET</t>
  </si>
  <si>
    <t>PRIX VENTE</t>
  </si>
  <si>
    <t>HERE</t>
  </si>
  <si>
    <t>REASONED WORK ORGANIZATION</t>
  </si>
  <si>
    <t>AQUÍ</t>
  </si>
  <si>
    <t>ORGANIZACIÓN RAZONADA DEL TRABAJO</t>
  </si>
  <si>
    <t xml:space="preserve"> Poids de perte</t>
  </si>
  <si>
    <t>Augmentation</t>
  </si>
  <si>
    <t>check goods — quality — quantity — temperatures</t>
  </si>
  <si>
    <t>controlar las mercancías — calidad — cantidad — temperaturas</t>
  </si>
  <si>
    <t>%  de perte</t>
  </si>
  <si>
    <t>%  d'augmentation</t>
  </si>
  <si>
    <t>check use-by dates — note lot numbers or keep the labels</t>
  </si>
  <si>
    <t>verificar las fechas de caducidad — anotar los nº de lote o conservar las etiquetas</t>
  </si>
  <si>
    <t>%  de PERTE</t>
  </si>
  <si>
    <t>sanitize bags — piping bags — trays — boxes before opening</t>
  </si>
  <si>
    <t>desinfectar bolsas — mangas pasteleras — bandejas — cajas antes de abrir</t>
  </si>
  <si>
    <t>Poids net</t>
  </si>
  <si>
    <t>QUALITY APPROACH — RECIPE DEVELOPMENT AND IMPROVEMENT</t>
  </si>
  <si>
    <t>ENFOQUE DE CALIDAD — DESARROLLO Y MEJORA DE LAS RECETAS</t>
  </si>
  <si>
    <t>Description of the original recipe</t>
  </si>
  <si>
    <t>Descripción de la receta original</t>
  </si>
  <si>
    <t>First impressions about this recipe products-technique-price: what should we modify — can we serve it to all our customers — etc.</t>
  </si>
  <si>
    <t>Primeras impresiones sobre esta receta productos-técnica-precio: qué hay que modificar — ¿podemos servirla a todos nuestros clientes? — etc.</t>
  </si>
  <si>
    <t>Recipe tested by: MAURICE</t>
  </si>
  <si>
    <t>Receta probada por: MAURICE</t>
  </si>
  <si>
    <t>Modifications — adaptation — advice and suggestions:</t>
  </si>
  <si>
    <t>Modificaciones — adaptación — consejos y sugerencias:</t>
  </si>
  <si>
    <t>Trim any excess fat from the meat, pat it dry and rub it with seasoning or aromatic herbs of your choice. Cook it on a rack or on a mirepoix of roughly cut raw vegetables that lets air circulate around the meat. Once cooked, the mirepoix adds a delicious flavor to the sauce prepared from these roasting juices.</t>
  </si>
  <si>
    <t>Limpie la carne de todo exceso de grasa, séquela y frótela con el sazonado o las hierbas aromáticas de su elección. Cuézala sobre una rejilla o sobre una mirepoix de verduras crudas cortadas groseramente que permita circular el aire alrededor de la carne. Una vez cocida, la mirepoix aporta un sabor delicioso a la salsa preparada a partir de ese fondo de cocción.</t>
  </si>
  <si>
    <t>Max score per criterion = 3   RECIPE DEVELOPMENT AND IMPROVEMENT</t>
  </si>
  <si>
    <t>Nota máxima por criterio = 3   DESARROLLO Y MEJORA DE LAS RECETAS</t>
  </si>
  <si>
    <t>VISUAL / PRESENTATION</t>
  </si>
  <si>
    <t>The products or the recipe is/are:</t>
  </si>
  <si>
    <t>VISUAL / PRESENTACIÓN</t>
  </si>
  <si>
    <t>COOKING</t>
  </si>
  <si>
    <t>Good</t>
  </si>
  <si>
    <t>COCCIÓN</t>
  </si>
  <si>
    <t>Bueno</t>
  </si>
  <si>
    <t>TEXTURE</t>
  </si>
  <si>
    <t>not acceptable for our customers</t>
  </si>
  <si>
    <t>TEXTURA</t>
  </si>
  <si>
    <t>no aceptable para nuestros clientes</t>
  </si>
  <si>
    <t>for the entered criteria</t>
  </si>
  <si>
    <t>WELL</t>
  </si>
  <si>
    <t>para los criterios introducidos</t>
  </si>
  <si>
    <t>TOTAL obtained</t>
  </si>
  <si>
    <t>TOTAL obtenido</t>
  </si>
  <si>
    <t>MAX total to reach</t>
  </si>
  <si>
    <t>TOTAL máx. a alcanzar</t>
  </si>
  <si>
    <t>CONCLUSIÓN</t>
  </si>
  <si>
    <t>can we serve it to all our customers</t>
  </si>
  <si>
    <t>Acceptance</t>
  </si>
  <si>
    <t>podemos servirla a todos nuestros clientes?</t>
  </si>
  <si>
    <t>Aceptación</t>
  </si>
  <si>
    <t>Partial or total refusal</t>
  </si>
  <si>
    <t>Rechazo parcial o total</t>
  </si>
  <si>
    <t>Rating: Good (3), Medium (2), Unsatisfactory (1) on  points.</t>
  </si>
  <si>
    <t>Valoración: Bien (3), Medio (2), No satisfactorio (1) sobre  puntos.</t>
  </si>
  <si>
    <t>Starter</t>
  </si>
  <si>
    <t>Main course</t>
  </si>
  <si>
    <t>Vegetable</t>
  </si>
  <si>
    <t>Entrada</t>
  </si>
  <si>
    <t>Plato</t>
  </si>
  <si>
    <t>Verdura</t>
  </si>
  <si>
    <t>Postre</t>
  </si>
  <si>
    <t>Flavor: salty-sweet-bitter-acid-metallic-strong-sour-pungent-bland-natural</t>
  </si>
  <si>
    <t>Sabor: salado-dulce-amargo-ácido-metálico-fuerte-agrio-acre-soso-natural</t>
  </si>
  <si>
    <t>Texture: tender-melt-in-the-mouth-soft-natural-grainy-fibrous-stringy-mealy-gelatinous-crispy</t>
  </si>
  <si>
    <t>Textura: tierna-fundente-esponjosa-natural-granulosa-fibrosa-acorazonada-harinosa-gelatinosa-crujiente</t>
  </si>
  <si>
    <t>Cooking: undercooked--good-done-overcooked-to be reviewed—Weights—% Loss before and after cooking—Cooking method etc.</t>
  </si>
  <si>
    <t>Cocción: poco hecho--bien-en su punto-pasado-a revisar—Gramajes—% Mermas antes y después de cocción—Modo de cocción etc.</t>
  </si>
  <si>
    <t>ETC…......</t>
  </si>
  <si>
    <t>FIN</t>
  </si>
  <si>
    <t>FR</t>
  </si>
  <si>
    <t>EN</t>
  </si>
  <si>
    <t>ES</t>
  </si>
  <si>
    <t>Circuito .1.2.5</t>
  </si>
  <si>
    <t>① le NOM DE LA RECETTE</t>
  </si>
  <si>
    <t>Recette mère ►MILLE-FEUILLE meringue et chiboust pamplemousse aux fraises des bois</t>
  </si>
  <si>
    <t>Master recipe ► MILLE-FEUILLE with meringue and grapefruit chiboust with wild strawberries</t>
  </si>
  <si>
    <t>Receta madre ► MILHOJAS con merengue y chiboust de pomelo con fresas del bosque</t>
  </si>
  <si>
    <t>⑦ g.kg.L.dl.cl.ml</t>
  </si>
  <si>
    <t>⑧ Coeficiente</t>
  </si>
  <si>
    <t>⑤ Quoi</t>
  </si>
  <si>
    <t>tout ce qui n'est pas saisi dans la colonne ⑥ Poids ou Volume</t>
  </si>
  <si>
    <t>parce que la Col.18 s'en sert pour conversion en g</t>
  </si>
  <si>
    <t>les Col.de 12 à 18 sont réservées aux volumes</t>
  </si>
  <si>
    <t>when you enter a value in ④ Quantity AND in ⑥ Weight or Volume</t>
  </si>
  <si>
    <t>cuando introduce un valor en ④ Cantidad Y en ⑥ Peso o Volumen</t>
  </si>
  <si>
    <t>de s'affiche automatiquement pour éviter toute confusion " 27 " " jaunes d'œufs"  "de"  " 20 g"</t>
  </si>
  <si>
    <t>1 demi part -</t>
  </si>
  <si>
    <t>▼ ¿Cantidad?</t>
  </si>
  <si>
    <t>▼ ¿Qué?</t>
  </si>
  <si>
    <t>③ Denrées</t>
  </si>
  <si>
    <t>③  Foodstuffs</t>
  </si>
  <si>
    <t>③  Géneros</t>
  </si>
  <si>
    <t>Vous pouvez également saisir la valeur 0 zéro pour un aliment allergène selon convives</t>
  </si>
  <si>
    <t>ou supprimer un ingrédient piment ou autres par exemple</t>
  </si>
  <si>
    <t>eraser</t>
  </si>
  <si>
    <t>◄  Si la colonne 11 est rouge, collez la "gomme"</t>
  </si>
  <si>
    <t>pour</t>
  </si>
  <si>
    <t>cette colonne vous permet de comparer les recettes .</t>
  </si>
  <si>
    <t>en fonction de vos convives vous estimez cette recette pour combien</t>
  </si>
  <si>
    <t>à vous de saisir la quantité</t>
  </si>
  <si>
    <t>unit &gt;</t>
  </si>
  <si>
    <t>¿Cuánto pierde 1 kg de producto en pelado o despiece — en acondicionamiento, etc.?</t>
  </si>
  <si>
    <t>⓬  ▼ PHASES DE PROGRESSION</t>
  </si>
  <si>
    <t>&lt; Contenant</t>
  </si>
  <si>
    <t>Quantité p.p. au choix ou les deux</t>
  </si>
  <si>
    <t>note Maxi par critère = 3   DÉVELOPPEMENT ET AMÉLIORATION DES RECETTES</t>
  </si>
  <si>
    <t>TOTAL maxi à atteindre</t>
  </si>
  <si>
    <t>¿podemos servirla a todos nuestros clientes?</t>
  </si>
  <si>
    <t>Los productos o la receta son/es:</t>
  </si>
  <si>
    <t>ETC……..</t>
  </si>
  <si>
    <t>▼</t>
  </si>
  <si>
    <t>PATISSERIE</t>
  </si>
  <si>
    <t>Ingredients</t>
  </si>
  <si>
    <t>demi</t>
  </si>
  <si>
    <t>Ingredientes</t>
  </si>
  <si>
    <t>Quart</t>
  </si>
  <si>
    <t>Tiers</t>
  </si>
  <si>
    <t>Kg</t>
  </si>
  <si>
    <t>⓪①②③④⑤⑥⑦⑧⑨⑩⑪⑫⑬⑭⑮⑯⑰⑱⑲⑳</t>
  </si>
  <si>
    <t>⓿❶❷❸❹❺❻❼❽❾❿⓫⓬⓭⓮⓯⓰⓱⓲⓳⓴</t>
  </si>
  <si>
    <t>Filtres intelligents dans Excel</t>
  </si>
  <si>
    <t>https://excel-exercice.com/filtres-intelligents-dans-excel/</t>
  </si>
  <si>
    <t xml:space="preserve">Masquer une ligne ou une colonne sur Excel </t>
  </si>
  <si>
    <t>https://www.youtube.com/watch?v=q-52-9FshWw</t>
  </si>
  <si>
    <t>Astuces Excel</t>
  </si>
  <si>
    <t>https://www.youtube.com/@Astuces_Excel/videos</t>
  </si>
  <si>
    <t>Ce document est composé de :</t>
  </si>
  <si>
    <t>avec valeurs ou texte</t>
  </si>
  <si>
    <t xml:space="preserve">cellules vides </t>
  </si>
  <si>
    <t>lignes</t>
  </si>
  <si>
    <t>colonnes</t>
  </si>
  <si>
    <t>NAME OF YOUR RECIPE</t>
  </si>
  <si>
    <t>Retrieve the formulas and adapt them to your documents.</t>
  </si>
  <si>
    <t>◄ Hide the 4 columns</t>
  </si>
  <si>
    <t xml:space="preserve"> Author &gt;</t>
  </si>
  <si>
    <t>Your weights with coeff.</t>
  </si>
  <si>
    <t>of</t>
  </si>
  <si>
    <t>Lean pork</t>
  </si>
  <si>
    <t>Decimal: per regional settings — dot (.) or comma (,)</t>
  </si>
  <si>
    <t>Cost: 1* budget – 4**** luxury</t>
  </si>
  <si>
    <t>Difficulty: 1* easy – 4**** hard</t>
  </si>
  <si>
    <t>servings</t>
  </si>
  <si>
    <t>slices</t>
  </si>
  <si>
    <t>pack(s)</t>
  </si>
  <si>
    <t>The professional use of recipes requires you to know hygiene and HACCP regulations.</t>
  </si>
  <si>
    <t>What? Enter pieces – slices – portions – items – cherries, etc.</t>
  </si>
  <si>
    <t>&lt; weight per serving</t>
  </si>
  <si>
    <t>For the container, enter GN 1/1 pan(s) – rack(s) – dish(es) – ladle(s), etc.</t>
  </si>
  <si>
    <t>◄ Oculte las 4 columnas</t>
  </si>
  <si>
    <t>Autor &gt;</t>
  </si>
  <si>
    <t>❾ Referencia del autor</t>
  </si>
  <si>
    <t>ARCHIVADO Y CLASIFICACIÓN</t>
  </si>
  <si>
    <t>Sus pesos con coef.</t>
  </si>
  <si>
    <t>Costo: 1* económico – 4**** lujo</t>
  </si>
  <si>
    <t>Dificultad: 1* fácil – 4**** difícil</t>
  </si>
  <si>
    <t>⑧</t>
  </si>
  <si>
    <t>Tiempo de enfriamiento</t>
  </si>
  <si>
    <t>Qué? ▼</t>
  </si>
  <si>
    <t xml:space="preserve"> El uso profesional de las recetas implica conocer la normativa de higiene y HACCP.</t>
  </si>
  <si>
    <t>&lt; peso por porción</t>
  </si>
  <si>
    <t>Enlace del autor @</t>
  </si>
  <si>
    <t>0.000" Kg"</t>
  </si>
  <si>
    <t>0" %"</t>
  </si>
  <si>
    <t>Formule pour une séquence alphabétique horizontale allant au-delà de Z</t>
  </si>
  <si>
    <t>tranches</t>
  </si>
  <si>
    <t>FRANÇAIS</t>
  </si>
  <si>
    <t>ENGLISH</t>
  </si>
  <si>
    <t>ESPAÑOL</t>
  </si>
  <si>
    <t>🌍 Traduction du document – Pour les utilisateurs non francophones</t>
  </si>
  <si>
    <t>🌍 Document Translation – For Non►French Users</t>
  </si>
  <si>
    <t>🌍 Traducción del documento – Para usuarios no francófonos</t>
  </si>
  <si>
    <t>💡 Ce document est rédigé en français.</t>
  </si>
  <si>
    <t>💡 This document is written in French.</t>
  </si>
  <si>
    <t>💡 Este documento está redactado en francés.</t>
  </si>
  <si>
    <t>Si vous souhaitez le traduire dans votre langue, voici quelques méthodes simples :</t>
  </si>
  <si>
    <t>If you wish to translate it into your language, here are some simple methods:</t>
  </si>
  <si>
    <t>Si desea traducirlo a su idioma, aquí hay algunos métodos simples:</t>
  </si>
  <si>
    <t>✅ Méthode 1 : Utiliser Google Translate</t>
  </si>
  <si>
    <t>✅ Method 1: Use Google Translate</t>
  </si>
  <si>
    <t>✅ Método 1: Utilice Google Translate</t>
  </si>
  <si>
    <t>1. Sélectionnez le texte dans la feuille Excel (copiez 10–20 lignes à la fois maximum)</t>
  </si>
  <si>
    <t>1. Select the text in the Excel sheet (copy 10–20 rows at a time max)</t>
  </si>
  <si>
    <t>1. Seleccione el texto en la hoja de Excel (copie 10–20 filas como máximo)</t>
  </si>
  <si>
    <t>2. Allez sur https://translate.google.com</t>
  </si>
  <si>
    <t>2. Go to https://translate.google.com</t>
  </si>
  <si>
    <t>2. Vaya a https://translate.google.com</t>
  </si>
  <si>
    <t>https://translate.google.com</t>
  </si>
  <si>
    <t>3. Collez le texte et choisissez votre langue (anglais, espagnol, etc.)</t>
  </si>
  <si>
    <t>3. Paste the text and choose your language (English, Spanish, etc.)</t>
  </si>
  <si>
    <t>3. Pegue el texto y elija su idioma (inglés, español, etc.)</t>
  </si>
  <si>
    <t>✅ Méthode 2 : Utiliser Microsoft Excel (si vous avez Microsoft 365)</t>
  </si>
  <si>
    <t>✅ Method 2: Use Microsoft Excel (if you have Microsoft 365)</t>
  </si>
  <si>
    <t>✅ Método 2: Use Microsoft Excel (si tiene Microsoft 365)</t>
  </si>
  <si>
    <t>1. Sélectionnez les cellules à traduire</t>
  </si>
  <si>
    <t>1. Select the cells you want to translate</t>
  </si>
  <si>
    <t>1. Seleccione las celdas que desea traducir</t>
  </si>
  <si>
    <t>2. Menu Révision → Traduire</t>
  </si>
  <si>
    <t>2. Review tab → Translate</t>
  </si>
  <si>
    <t>2. Menú Revisar → Traducir</t>
  </si>
  <si>
    <t>3. Choisissez la langue souhaitée</t>
  </si>
  <si>
    <t>3. Choose your preferred language</t>
  </si>
  <si>
    <t>3. Elija el idioma deseado</t>
  </si>
  <si>
    <t>✅ Méthode 3 : Utiliser Deepl (plus précis que Google Translate)</t>
  </si>
  <si>
    <t>✅ Method 3: Use Deepl (more accurate than Google Translate)</t>
  </si>
  <si>
    <t>✅ Método 3: Use Deepl (más preciso que Google Translate)</t>
  </si>
  <si>
    <t>► Allez sur : https://www.deepl.com/translator</t>
  </si>
  <si>
    <t>► Go to: https://www.deepl.com/translator</t>
  </si>
  <si>
    <t>► Vaya a: https://www.deepl.com/translator</t>
  </si>
  <si>
    <t>https://www.deepl.com/translator</t>
  </si>
  <si>
    <t>► Collez le texte pour une traduction instantanée</t>
  </si>
  <si>
    <t>► Paste the text for instant translation</t>
  </si>
  <si>
    <t>► Pegue el texto para una traducción instantánea</t>
  </si>
  <si>
    <t>✳️ Astuce :</t>
  </si>
  <si>
    <t>✳️ Tip:</t>
  </si>
  <si>
    <t>✳️ Consejo:</t>
  </si>
  <si>
    <t>Vous pouvez aussi copier la fiche dans Word, puis utiliser :</t>
  </si>
  <si>
    <t>You can also copy the sheet into Word, then use:</t>
  </si>
  <si>
    <t>También puede copiar la hoja en Word y luego usar:</t>
  </si>
  <si>
    <t>Outils → Traduire → Traduire le document entier</t>
  </si>
  <si>
    <t>Tools → Translate → Translate entire document</t>
  </si>
  <si>
    <t>Herramientas → Traducir → Traducir todo el documento</t>
  </si>
  <si>
    <t xml:space="preserve">choisissez : vous avez soit la première lettre du nom de la recette ▼                  </t>
  </si>
  <si>
    <t xml:space="preserve">soit une concaténation de la famille avec des formules d'extraction▼                  </t>
  </si>
  <si>
    <t>TEST collez une identification ▼</t>
  </si>
  <si>
    <t xml:space="preserve">Cellules IDENTITE à coller </t>
  </si>
  <si>
    <t>Voici une petite liste je vous laisse le plaisir de modifier les couleurs à votre convenance</t>
  </si>
  <si>
    <t>j'ai saisi "Postit" parce que Post-it® est une marque déposée</t>
  </si>
  <si>
    <t>▼ abrévation de l'identification (formules d'extraction)</t>
  </si>
  <si>
    <t>cuisine-crudité-CÉLÉRI BRANCHE</t>
  </si>
  <si>
    <t>Code couleur Rouge Vert Bleu RVB</t>
  </si>
  <si>
    <t>Couleur diététique</t>
  </si>
  <si>
    <t>CUISINE</t>
  </si>
  <si>
    <t>TRAITEUR</t>
  </si>
  <si>
    <t>CHARCUTERIE</t>
  </si>
  <si>
    <t>MODES DE CUISSON</t>
  </si>
  <si>
    <t>cuisine-plat-PROTÉINES</t>
  </si>
  <si>
    <t>cuisine-légumes-CUIDITES</t>
  </si>
  <si>
    <t>cuisine-légumes-CRUDITES</t>
  </si>
  <si>
    <t>cuisine-légumes-FÉCULENTS</t>
  </si>
  <si>
    <t>POISSONNERIE</t>
  </si>
  <si>
    <t>Batenders-BAR-BOISSONS</t>
  </si>
  <si>
    <t>R51-V153 B102</t>
  </si>
  <si>
    <t>Pour renvoyer un texte</t>
  </si>
  <si>
    <t>cuisine-ACCOMPAGNEMENTS</t>
  </si>
  <si>
    <t>pâtisserie--BAVAROIS</t>
  </si>
  <si>
    <t>traiteur-ROTIS-froids</t>
  </si>
  <si>
    <t xml:space="preserve"> charcuterie--GELEES</t>
  </si>
  <si>
    <t>cuisson--BRAISÉ</t>
  </si>
  <si>
    <t>cuisine-protéines-ABATS</t>
  </si>
  <si>
    <t>AGRUMES-comme -POMME PAMPLE.</t>
  </si>
  <si>
    <t>crudité-AGRUMES-POMME PAMPLE.</t>
  </si>
  <si>
    <t>cuisine-féculent-BLÉ</t>
  </si>
  <si>
    <t>Poissonnerie--COQUILLAGES</t>
  </si>
  <si>
    <t>BAR-Cocktails-avec alcool</t>
  </si>
  <si>
    <t>R153-V204 B0</t>
  </si>
  <si>
    <t>R0-V128 B0</t>
  </si>
  <si>
    <t xml:space="preserve"> a la ligne dans une cellule</t>
  </si>
  <si>
    <t>vous pouvez fusionner les cellules et renvoyer à la ligne automatiquement</t>
  </si>
  <si>
    <t>cuisine-COMPOSES-VERTS</t>
  </si>
  <si>
    <t>pâtisserie--BISCUITS</t>
  </si>
  <si>
    <t>traiteur-AMUSE-BOUCHE</t>
  </si>
  <si>
    <t>charcuterie-BOUDIN-BLANC</t>
  </si>
  <si>
    <t>cuisson--CONFIT</t>
  </si>
  <si>
    <t>cuisine-protéines-ABATTIS</t>
  </si>
  <si>
    <t>cuisine-cuidité-ARTICHAUT</t>
  </si>
  <si>
    <t>cuisine-crudité-AVOCAT</t>
  </si>
  <si>
    <t>cuisine-féculent-BOULGHOUR</t>
  </si>
  <si>
    <t>Poissonnerie--CRUSTACÉS</t>
  </si>
  <si>
    <t>BAR-Cocktails-sans alcool</t>
  </si>
  <si>
    <t>R128-V0-B0</t>
  </si>
  <si>
    <t>R0-V255 B0</t>
  </si>
  <si>
    <t>MAIS VOUS POUVEZ AUSSI</t>
  </si>
  <si>
    <t>BOEUF
VB = Viandede bœuf</t>
  </si>
  <si>
    <t>cuisine--CRUDITES</t>
  </si>
  <si>
    <t>pâtisserie--CHARLOTES</t>
  </si>
  <si>
    <t>traiteur--ASPICS</t>
  </si>
  <si>
    <t xml:space="preserve"> charcuterie-BOUDIN-NOIR</t>
  </si>
  <si>
    <t>cuisson--FRIT</t>
  </si>
  <si>
    <t>cuisine-protéines-AGNEAU</t>
  </si>
  <si>
    <t>cuisine-cuidité-ASPERGES</t>
  </si>
  <si>
    <t>cuisine-crudité-BETTERAVES</t>
  </si>
  <si>
    <t>cuisine-féculent-FÉVES</t>
  </si>
  <si>
    <t>Poissonnerie--POISSON ENTIER</t>
  </si>
  <si>
    <t>BAR-Boissons-boissons chaudes</t>
  </si>
  <si>
    <t>R255-V0 B255</t>
  </si>
  <si>
    <t>R255-V153 B204</t>
  </si>
  <si>
    <t xml:space="preserve">Insérer un saut de ligne </t>
  </si>
  <si>
    <t>cuisine--CUIDITES</t>
  </si>
  <si>
    <t>pâtisserie--CHOCOLATS</t>
  </si>
  <si>
    <t>traiteur--CANAPÉS</t>
  </si>
  <si>
    <t xml:space="preserve"> charcuterie--GIBIER</t>
  </si>
  <si>
    <t>cuisson--FUMÉ</t>
  </si>
  <si>
    <t>cuisine-protéines-BŒUF</t>
  </si>
  <si>
    <t>cuisine-cuidité-BETTERAVES</t>
  </si>
  <si>
    <t>cuisine-crudité-CAROTTES</t>
  </si>
  <si>
    <t>cuisine-féculent-FÉVETTES</t>
  </si>
  <si>
    <t>Poissonnerie--Filets / Portions</t>
  </si>
  <si>
    <t>BAR-Boissons-boissons froides</t>
  </si>
  <si>
    <t>R255-V102 B0</t>
  </si>
  <si>
    <t>R50-V204 B255</t>
  </si>
  <si>
    <t>dans la cellule</t>
  </si>
  <si>
    <t>1. Double-cliquez sur la</t>
  </si>
  <si>
    <t xml:space="preserve"> cellule dans laquelle </t>
  </si>
  <si>
    <t>cuisine-DESSERT-ASSIETTE</t>
  </si>
  <si>
    <t>pâtisserie--CONFISERIES</t>
  </si>
  <si>
    <t>traiteur-CHAUD-FROID</t>
  </si>
  <si>
    <t xml:space="preserve"> charcuterie--LAPIN</t>
  </si>
  <si>
    <t>cuisson--GRILLÉ</t>
  </si>
  <si>
    <t>cuisine-protéines-CAILLES</t>
  </si>
  <si>
    <t>cuisine-cuidité-CAROTTES</t>
  </si>
  <si>
    <t>cuisine-féculent-H. COCOS</t>
  </si>
  <si>
    <t>Poissonnerie--Charcuterie de la Mer</t>
  </si>
  <si>
    <t>BAR-CAFES-cafés</t>
  </si>
  <si>
    <t>R255-V0 B0</t>
  </si>
  <si>
    <t>R255-V204 B0</t>
  </si>
  <si>
    <t xml:space="preserve">vous voulez insérer une </t>
  </si>
  <si>
    <t>coupure de ligne</t>
  </si>
  <si>
    <t xml:space="preserve">2. Cliquez à l’emplacement </t>
  </si>
  <si>
    <t>cuisine--DESSERTS</t>
  </si>
  <si>
    <t>traiteur-ENTRÉE-FROIDE</t>
  </si>
  <si>
    <t xml:space="preserve"> charcuterie-PURE-VOLAILLE </t>
  </si>
  <si>
    <t>cuisson--NATURE</t>
  </si>
  <si>
    <t>cuisine-protéines-CANARD</t>
  </si>
  <si>
    <t>cuisine-cuidité-CÉLÉRI BRANCHE</t>
  </si>
  <si>
    <t>cuisine-crudité-CÉLÉRI RAVE</t>
  </si>
  <si>
    <t>cuisine-féculent-H. FLAGEOLETS</t>
  </si>
  <si>
    <t>Poissonnerie--FUMAISONS</t>
  </si>
  <si>
    <t>BAR-THE-thés</t>
  </si>
  <si>
    <t>R0-V0 B255</t>
  </si>
  <si>
    <t xml:space="preserve">où vous souhaitez couper </t>
  </si>
  <si>
    <t>la ligne.</t>
  </si>
  <si>
    <t xml:space="preserve">3. Appuyez sur Alt+Entrée </t>
  </si>
  <si>
    <t>cuisine--ENTRÉES</t>
  </si>
  <si>
    <t>pâtisserie-ENTREMET-GÉNOISE</t>
  </si>
  <si>
    <t>traiteur-ENTRÉE-CHAUDE</t>
  </si>
  <si>
    <t xml:space="preserve"> charcuterie--GALANTINE</t>
  </si>
  <si>
    <t>cuisson--PAPILLOTES</t>
  </si>
  <si>
    <t>cuisine-protéines-CHARCUTERIES</t>
  </si>
  <si>
    <t>cuisine-cuidité-CÉLÉRI RAVE</t>
  </si>
  <si>
    <t>cuisine-crudité-CHAMPIGNONS</t>
  </si>
  <si>
    <t>cuisine-féculent-H. NOIRS</t>
  </si>
  <si>
    <t>Poissonnerie--MARINADES &amp; SALAISONS</t>
  </si>
  <si>
    <t>BAR--JUS-Jus &amp; pressés</t>
  </si>
  <si>
    <t>R255-V204 B153</t>
  </si>
  <si>
    <t>R153-V204 B255</t>
  </si>
  <si>
    <t xml:space="preserve">pour insérer le break </t>
  </si>
  <si>
    <t>de ligne.</t>
  </si>
  <si>
    <t>cuisine--ENTREMET</t>
  </si>
  <si>
    <t>pâtisserie--GANACHE</t>
  </si>
  <si>
    <t>traiteur-FOIE-GRAS</t>
  </si>
  <si>
    <t xml:space="preserve"> charcuterie--MORTADELLE</t>
  </si>
  <si>
    <t>cuisson--POCHÉ</t>
  </si>
  <si>
    <t>cuisine-protéines-COQUILLAGES</t>
  </si>
  <si>
    <t>cuisine-cuidité-CHAMPIGNONS</t>
  </si>
  <si>
    <t>cuisine-crudité-CHOU BLANC</t>
  </si>
  <si>
    <t>cuisine-féculent-H. ROUGES</t>
  </si>
  <si>
    <t>Poissonnerie--Tatrtares &amp; Ceviches</t>
  </si>
  <si>
    <t>BAR--Smoothies</t>
  </si>
  <si>
    <t>R204-V153 B255</t>
  </si>
  <si>
    <t>R0-V102 B204</t>
  </si>
  <si>
    <t>cuisine--FECULENTS</t>
  </si>
  <si>
    <t>pâtisserie--GATEAU</t>
  </si>
  <si>
    <t>traiteur-HORS-D'ŒUVRE</t>
  </si>
  <si>
    <t xml:space="preserve"> charcuterie-PATE-CAMPAGNE</t>
  </si>
  <si>
    <t>cuisson--POELLÉ</t>
  </si>
  <si>
    <t>cuisine-protéines-CRUSTACÉS</t>
  </si>
  <si>
    <t>cuisine-cuidité-CHOU BLANC</t>
  </si>
  <si>
    <t>cuisine-crudité-CHOU ROUGE</t>
  </si>
  <si>
    <t>cuisine-féculent-H. SOISSON</t>
  </si>
  <si>
    <t>Poissonnerie--Soupes &amp; Bisques</t>
  </si>
  <si>
    <t>BAR--Sodas &amp; limonades</t>
  </si>
  <si>
    <t>cuisine--GOUTER</t>
  </si>
  <si>
    <t>pâtisserie--MERINGUE</t>
  </si>
  <si>
    <t>traiteur-PATISSERIE-TRAITEUR</t>
  </si>
  <si>
    <t xml:space="preserve"> charcuterie-PATÉ DE-FOIE </t>
  </si>
  <si>
    <t>cuisson--RÂGOUTS</t>
  </si>
  <si>
    <t>cuisine-protéines-DINDE</t>
  </si>
  <si>
    <t>cuisine-cuidité-CHOU ROUGE</t>
  </si>
  <si>
    <t>cuisine-crudité-CHOUX BROCOLIS</t>
  </si>
  <si>
    <t>cuisine-féculent-H.BLANCS</t>
  </si>
  <si>
    <t>Poissonnerie--Préparations de base</t>
  </si>
  <si>
    <t>BAR--Sirops &amp; shrubs</t>
  </si>
  <si>
    <t>cuisine-LAITAGES-+FECULENTS</t>
  </si>
  <si>
    <t>pâtisserie--MOUSSES</t>
  </si>
  <si>
    <t>traiteur-SALADE-COMPOSÉE</t>
  </si>
  <si>
    <t xml:space="preserve"> charcuterie--QUENELLES</t>
  </si>
  <si>
    <t>cuisson--RÔTI</t>
  </si>
  <si>
    <t>cuisine-protéines-FARCES</t>
  </si>
  <si>
    <t>cuisine-cuidité-CHOUX BROCOLIS</t>
  </si>
  <si>
    <t>cuisine-crudité-CHOUX CHINOIS</t>
  </si>
  <si>
    <t>cuisine-féculent-LENTILLES</t>
  </si>
  <si>
    <t>Poissonnerie--Sauces &amp; Beurres</t>
  </si>
  <si>
    <t xml:space="preserve">BAR--Punchs </t>
  </si>
  <si>
    <t>cuisine-LAITAGES-FROMAGES</t>
  </si>
  <si>
    <t>pâtisserie-PATE A-BRIOCHE</t>
  </si>
  <si>
    <t>traiteur-SALADE-SIMPLE</t>
  </si>
  <si>
    <t xml:space="preserve"> charcuterie--RILLETTES</t>
  </si>
  <si>
    <t>cuisson--SAUMURÉ</t>
  </si>
  <si>
    <t>cuisine-protéines-GIBIER À PLUMES</t>
  </si>
  <si>
    <t>cuisine-cuidité-CHOUX BRUXELLES</t>
  </si>
  <si>
    <t>cuisine-crudité-CHOUX FLEUR</t>
  </si>
  <si>
    <t>cuisine-féculent-MAÏS</t>
  </si>
  <si>
    <t>Poissonnerie--CABILLAUD</t>
  </si>
  <si>
    <t>BAR-Fermentées-(kefir, kombucha)</t>
  </si>
  <si>
    <t>cuisine--PATISSERIES</t>
  </si>
  <si>
    <t>pâtisserie-PATE A-CROISSANTS</t>
  </si>
  <si>
    <t>traiteur-SAUCE-CHAUDE</t>
  </si>
  <si>
    <t xml:space="preserve"> charcuterie--RILLONS</t>
  </si>
  <si>
    <t>cuisson-SAUTÉ-AVEC SAUCE</t>
  </si>
  <si>
    <t>cuisine-protéines-GIBIER À POIL</t>
  </si>
  <si>
    <t>cuisine-cuidité-CHOUX CHINOIS</t>
  </si>
  <si>
    <t>cuisine-crudité-CHOUX ROMANESCO</t>
  </si>
  <si>
    <t>cuisine-féculent-P.TERRE</t>
  </si>
  <si>
    <t>Poissonnerie--SAUMON</t>
  </si>
  <si>
    <t>BAR--Detox</t>
  </si>
  <si>
    <t>cuisine-PLAT-PRINCIPAL</t>
  </si>
  <si>
    <t>pâtisserie-PATE -FEUILLETÉE</t>
  </si>
  <si>
    <t>traiteur-SAUCE-EMULSIONNÉE CHAUDE</t>
  </si>
  <si>
    <t xml:space="preserve"> charcuterie--ROULADE</t>
  </si>
  <si>
    <t>cuisson-SAUTÉ-SANS SAUCE</t>
  </si>
  <si>
    <t>cuisine-protéines-JUS / BOUILLON</t>
  </si>
  <si>
    <t>cuisine-cuidité-CHOUX DE MILAN</t>
  </si>
  <si>
    <t>cuisine-crudité-CONCOMBRES</t>
  </si>
  <si>
    <t>cuisine-féculent-PÂTES</t>
  </si>
  <si>
    <t>Poissonnerie--THON</t>
  </si>
  <si>
    <t>BAR--Fruité</t>
  </si>
  <si>
    <t>cuisine-PLATS-COMPLETS</t>
  </si>
  <si>
    <t>pâtisserie-PATE A-PAIN</t>
  </si>
  <si>
    <t>traiteur-SAUCE FROIDE</t>
  </si>
  <si>
    <t xml:space="preserve"> charcuterie--SAUCISSE </t>
  </si>
  <si>
    <t>cuisson--VAPEUR</t>
  </si>
  <si>
    <t>cuisine-protéines-LAPIN</t>
  </si>
  <si>
    <t>cuisine-cuidité-CHOUX FLEUR</t>
  </si>
  <si>
    <t>cuisine-crudité-COURGETTES</t>
  </si>
  <si>
    <t>cuisine-féculent-POIS CHICHES</t>
  </si>
  <si>
    <t>Poissonnerie--DORADE</t>
  </si>
  <si>
    <t>BAR--Crémeux</t>
  </si>
  <si>
    <t>cuisine-POISSONS</t>
  </si>
  <si>
    <t>pâtisserie-PATE-PAIN DE MIE</t>
  </si>
  <si>
    <t>traiteur-TERRINE DE-LÉGUMES</t>
  </si>
  <si>
    <t xml:space="preserve"> charcuterie-SAUCISSON DE-FOIE</t>
  </si>
  <si>
    <t>cuisine-protéines-MOUTON</t>
  </si>
  <si>
    <t>cuisine-cuidité-CHOUX ROMANESCO</t>
  </si>
  <si>
    <t>cuisine-crudité-ENDIVES</t>
  </si>
  <si>
    <t>cuisine-féculent-POLENTA</t>
  </si>
  <si>
    <t>Poissonnerie--MERLU</t>
  </si>
  <si>
    <t>BAR--Classiques</t>
  </si>
  <si>
    <t>cuisine-PREPARATIONS-CHAUDES</t>
  </si>
  <si>
    <t>pâtisserie-PATE A-SAVARIN</t>
  </si>
  <si>
    <t>traiteur-TERRINE DE-POISSON</t>
  </si>
  <si>
    <t xml:space="preserve"> charcuterie--ABATS</t>
  </si>
  <si>
    <t>cuisine-protéines-ŒUFS</t>
  </si>
  <si>
    <t>cuisine-cuidité-CŒUR DE PALMIER</t>
  </si>
  <si>
    <t>cuisine-crudité-EPINARDS</t>
  </si>
  <si>
    <t>cuisine-féculent-RIZ</t>
  </si>
  <si>
    <t>Poissonnerie--LIEU</t>
  </si>
  <si>
    <t>BAR--Signatures</t>
  </si>
  <si>
    <t>cuisine--VIANDES</t>
  </si>
  <si>
    <t>pâtisserie-PATE-LEVÉE</t>
  </si>
  <si>
    <t>traiteur-TERRINE DE-VIANDE</t>
  </si>
  <si>
    <t xml:space="preserve"> charcuterie--CONFIT</t>
  </si>
  <si>
    <t>cuisine-protéines-POISSON</t>
  </si>
  <si>
    <t>cuisine-cuidité-CONCOMBRES</t>
  </si>
  <si>
    <t>cuisine-crudité-FENOUIL</t>
  </si>
  <si>
    <t>cuisine-féculent-RUTABAGA</t>
  </si>
  <si>
    <t>Poissonnerie--FRAIS (JOUR)</t>
  </si>
  <si>
    <t>BAR--Short</t>
  </si>
  <si>
    <t>cuisine--VOLAILLES</t>
  </si>
  <si>
    <t>pâtisserie-PATE-SÈCHE</t>
  </si>
  <si>
    <t>traiteur-TERRINE DE-VOLAILLE</t>
  </si>
  <si>
    <t xml:space="preserve"> charcuterie--Pâtés</t>
  </si>
  <si>
    <t>cuisine-protéines-PORC</t>
  </si>
  <si>
    <t>cuisine-cuidité-COURGE</t>
  </si>
  <si>
    <t>cuisine-crudité-NAVETS</t>
  </si>
  <si>
    <t>cuisine-féculent-SEMOULE</t>
  </si>
  <si>
    <t>Poissonnerie--SURGELÉ</t>
  </si>
  <si>
    <t>BAR--Long</t>
  </si>
  <si>
    <t>cuisine--POTAGE</t>
  </si>
  <si>
    <t>pâtisserie-PATE-SUCRÉE</t>
  </si>
  <si>
    <t>traiteur-Bouchées-apéritif</t>
  </si>
  <si>
    <t xml:space="preserve"> charcuterie--TERRINES</t>
  </si>
  <si>
    <t>cuisine-protéines-POULE</t>
  </si>
  <si>
    <t>cuisine-cuidité-COURGETTES</t>
  </si>
  <si>
    <t>cuisine-crudité-OIGNONS</t>
  </si>
  <si>
    <t>cuisine-féculent-TOPINAMBOUR</t>
  </si>
  <si>
    <t>Poissonnerie--FARCI</t>
  </si>
  <si>
    <t>BAR--Punchs</t>
  </si>
  <si>
    <t>cuisine--ŒUFS</t>
  </si>
  <si>
    <t>pâtisserie-PATES-A….</t>
  </si>
  <si>
    <t>traiteur-Buffet-froid</t>
  </si>
  <si>
    <t>cuisine-protéines-POULET</t>
  </si>
  <si>
    <t>cuisine-cuidité-CROSNE</t>
  </si>
  <si>
    <t>cuisine-crudité-POIVRONS JAUNES</t>
  </si>
  <si>
    <t>cuisine--CRUSTACÉS</t>
  </si>
  <si>
    <t>pâtisserie-PATES-DE-FRUITS</t>
  </si>
  <si>
    <t>traiteur-Buffet-chaud</t>
  </si>
  <si>
    <t xml:space="preserve"> charcuterie--SAUCISSES (boyau)</t>
  </si>
  <si>
    <t>cuisine-protéines-VEAU</t>
  </si>
  <si>
    <t>cuisine-cuidité-ENDIVES</t>
  </si>
  <si>
    <t>cuisine-crudité-POIVRONS ROUGES</t>
  </si>
  <si>
    <t>cuisine--SAUTÉ</t>
  </si>
  <si>
    <t>pâtisserie-PETITS-FOURS</t>
  </si>
  <si>
    <t>traiteur-Salades-composées</t>
  </si>
  <si>
    <t xml:space="preserve"> charcuterie--Jambons &amp; salaisons</t>
  </si>
  <si>
    <t>cuisine-cuidité-EPINARDS</t>
  </si>
  <si>
    <t>cuisine-crudité-POIVRONS VERTS</t>
  </si>
  <si>
    <t>cuisine--RAGOUT</t>
  </si>
  <si>
    <t>pâtisserie--PUDDING</t>
  </si>
  <si>
    <t>traiteur--VERRINES</t>
  </si>
  <si>
    <t xml:space="preserve"> charcuterie--BALLOTINES</t>
  </si>
  <si>
    <t>cuisine-cuidité-FENOUIL</t>
  </si>
  <si>
    <t>cuisine-crudité-RADIS NOIRS</t>
  </si>
  <si>
    <t>cuisine--GRATIN</t>
  </si>
  <si>
    <t>pâtisserie--Viennoiseries</t>
  </si>
  <si>
    <t>traiteur--FEUILLETES</t>
  </si>
  <si>
    <t xml:space="preserve"> charcuterie--ASPICS</t>
  </si>
  <si>
    <t>cuisine-cuidité-NAVETS</t>
  </si>
  <si>
    <t>cuisine-crudité-RADIS ROSES</t>
  </si>
  <si>
    <t>cuisine--PORC</t>
  </si>
  <si>
    <t>pâtisserie--Tartes</t>
  </si>
  <si>
    <t>traiteur--QUICHES</t>
  </si>
  <si>
    <t xml:space="preserve"> charcuterie--Fromage de tête</t>
  </si>
  <si>
    <t>cuisine-cuidité-OIGNONS</t>
  </si>
  <si>
    <t>cuisine-crudité-SAL.BATAVIA</t>
  </si>
  <si>
    <t>cuisine--VEAU</t>
  </si>
  <si>
    <t>pâtisserie--Macarons</t>
  </si>
  <si>
    <t>traiteur--PLATS</t>
  </si>
  <si>
    <t xml:space="preserve"> charcuterie--CONFITS</t>
  </si>
  <si>
    <t>cuisine-cuidité-PATISSON</t>
  </si>
  <si>
    <t>cuisine-crudité-SAL.CHICORÉE</t>
  </si>
  <si>
    <t>cuisine--AGNEAU</t>
  </si>
  <si>
    <t>pâtisserie--Chocolaterie</t>
  </si>
  <si>
    <t>traiteur--GARNITURES</t>
  </si>
  <si>
    <t xml:space="preserve"> charcuterie--FUMAISONS</t>
  </si>
  <si>
    <t>cuisine-cuidité-POIVRONS JAUNES</t>
  </si>
  <si>
    <t>cuisine-crudité-SAL.CRESSON</t>
  </si>
  <si>
    <t>pâtisserie--Crèmes &amp; mousses</t>
  </si>
  <si>
    <t xml:space="preserve"> charcuterie--GRATTONS</t>
  </si>
  <si>
    <t>cuisine-cuidité-POIVRONS ROUGES</t>
  </si>
  <si>
    <t>cuisine-crudité-SAL.ENDIVE</t>
  </si>
  <si>
    <t>pâtisserie--Pâtes de base</t>
  </si>
  <si>
    <t>cuisine-cuidité-POIVRONS VERTS</t>
  </si>
  <si>
    <t>cuisine-crudité-SAL.FEUILLE DE CHÊNE</t>
  </si>
  <si>
    <t>pâtisserie--Bûches</t>
  </si>
  <si>
    <t>cuisine-cuidité-POTIRON</t>
  </si>
  <si>
    <t>cuisine-crudité-SAL.FRISÉE</t>
  </si>
  <si>
    <t>pâtisserie--Petits fours</t>
  </si>
  <si>
    <t>cuisine-cuidité-POUSSES DE BAMBOU</t>
  </si>
  <si>
    <t>cuisine-crudité-SAL.ICEBERG</t>
  </si>
  <si>
    <t>pâtisserie--Glacerie</t>
  </si>
  <si>
    <t>cuisine-cuidité-RADIS NOIRS</t>
  </si>
  <si>
    <t>cuisine-crudité-SAL.KRISETTE</t>
  </si>
  <si>
    <t>pâtisserie--Décors</t>
  </si>
  <si>
    <t>cuisine-cuidité-RADIS ROSES</t>
  </si>
  <si>
    <t>cuisine-crudité-SAL.LAITUE</t>
  </si>
  <si>
    <t>cuisine-cuidité-SALADE</t>
  </si>
  <si>
    <t>cuisine-crudité-SAL.LOLA ROSA</t>
  </si>
  <si>
    <t>cuisine-cuidité-SALSIFIS</t>
  </si>
  <si>
    <t>cuisine-crudité-SAL.MÂCHE</t>
  </si>
  <si>
    <t>cuisine-cuidité-SOJA</t>
  </si>
  <si>
    <t>cuisine-crudité-SAL.MESCLUN</t>
  </si>
  <si>
    <t>cuisine-cuidité-TOMATES CERISES</t>
  </si>
  <si>
    <t>cuisine-crudité-SAL.PISSENLIT</t>
  </si>
  <si>
    <t>cuisine-cuidité-TOMATES MARMANDE</t>
  </si>
  <si>
    <t>cuisine-crudité-SAL.ROMAINE</t>
  </si>
  <si>
    <t>cuisine-cuidité-TOMATES OLIVETTE</t>
  </si>
  <si>
    <t>cuisine-crudité-SAL.SCAROLE</t>
  </si>
  <si>
    <t>cuisine-cuidité-TOMATES ROMAINE</t>
  </si>
  <si>
    <t>cuisine-crudité-SAL.TRÉVISE</t>
  </si>
  <si>
    <t>cuisine-crudité-SALADE</t>
  </si>
  <si>
    <t>SALADES COMPOSÉES</t>
  </si>
  <si>
    <t>cuisine-crudité-SALSIFIS</t>
  </si>
  <si>
    <t>cuisine-crudité-SOJA</t>
  </si>
  <si>
    <t>cuisine-crudité-TOMATES</t>
  </si>
  <si>
    <t>cuisine-crudité-TOMATES CERISES</t>
  </si>
  <si>
    <t>cuisine-crudité-TOMATES MARMANDE</t>
  </si>
  <si>
    <t>cuisine-crudité-TOMATES OLIVETTE</t>
  </si>
  <si>
    <t>cuisine-crudité-TOMATES ROMAINE</t>
  </si>
  <si>
    <t>IDENTIFICATION  DES CADRES ET DES "POSTITS" RECETTES  le tiret  - ou le double  --  du 6 sert,servent de séparateur(s) pour la formule d'extraction</t>
  </si>
  <si>
    <t>Dernière mise à jour : 6 Octobre 2025</t>
  </si>
  <si>
    <t>Autre méthode , utilisez ChatGPT</t>
  </si>
  <si>
    <t>Another method: use ChatGPT.</t>
  </si>
  <si>
    <t>Otro método: use ChatGPT.</t>
  </si>
  <si>
    <t>cuarto(s) kg</t>
  </si>
  <si>
    <t>tercio(s) kg</t>
  </si>
  <si>
    <t>medio(s) kg</t>
  </si>
  <si>
    <t>medio/L</t>
  </si>
  <si>
    <t>tercio/L</t>
  </si>
  <si>
    <t>quinto/L</t>
  </si>
  <si>
    <t>onza (oz)</t>
  </si>
  <si>
    <t>Taza(s).harina</t>
  </si>
  <si>
    <t>vacío</t>
  </si>
  <si>
    <t>Taza(s).azúcar</t>
  </si>
  <si>
    <t>Taza(s).mantequilla</t>
  </si>
  <si>
    <t>Taza.líquido</t>
  </si>
  <si>
    <t>Bol(es)</t>
  </si>
  <si>
    <t>cucharadita(s)</t>
  </si>
  <si>
    <t>cucharilla(s) de té</t>
  </si>
  <si>
    <t>cucharada(s) (sopera)</t>
  </si>
  <si>
    <t>décimo/L</t>
  </si>
  <si>
    <t>Vaso(s)</t>
  </si>
  <si>
    <t>Gota(s)</t>
  </si>
  <si>
    <t>quarter(s) kg</t>
  </si>
  <si>
    <t>third(s) kg</t>
  </si>
  <si>
    <t>half/halves kg</t>
  </si>
  <si>
    <t>half/L</t>
  </si>
  <si>
    <t>third/L</t>
  </si>
  <si>
    <t>fifth/L</t>
  </si>
  <si>
    <t>Cup(s).flour</t>
  </si>
  <si>
    <t>empty</t>
  </si>
  <si>
    <t>Cup(s).sugar</t>
  </si>
  <si>
    <t>Cup(s).butter</t>
  </si>
  <si>
    <t>Bowl(s)</t>
  </si>
  <si>
    <t>teaspoon(s)</t>
  </si>
  <si>
    <t>tea spoon(s)</t>
  </si>
  <si>
    <t>tablespoon(s)</t>
  </si>
  <si>
    <t>tenth/L</t>
  </si>
  <si>
    <t>Glass(es)</t>
  </si>
  <si>
    <t>Dash(es</t>
  </si>
  <si>
    <t>persona</t>
  </si>
  <si>
    <t>tajadas</t>
  </si>
  <si>
    <t>NOM DE VOTRE RECETTE</t>
  </si>
  <si>
    <t>FAMILLE--Identité</t>
  </si>
  <si>
    <t>quarter/L</t>
  </si>
  <si>
    <t>cuarto/L</t>
  </si>
  <si>
    <t>(fluid cup)</t>
  </si>
  <si>
    <t xml:space="preserve"> &lt; largeurs conseillées</t>
  </si>
  <si>
    <t>IMPORTANT :</t>
  </si>
  <si>
    <t>IMPORTANTE:</t>
  </si>
  <si>
    <t>Excel regional settings: for decimals, use either a period (.) or a comma (,).</t>
  </si>
  <si>
    <t>Configuración regional de Excel: para los decimales, use un punto (.) o una coma (,).</t>
  </si>
  <si>
    <t>Title block: placeholder for the title and control cells, located at the top of the document.</t>
  </si>
  <si>
    <t>Bloque de título: espacio reservado para el título y las celdas de control, situado en la parte superior del documento.</t>
  </si>
  <si>
    <t>paste it — FAMILY</t>
  </si>
  <si>
    <t>pegue esto — FAMILIA</t>
  </si>
  <si>
    <t>Cell AQUÍ</t>
  </si>
  <si>
    <t>sustituir; pegue complementos si los necesita</t>
  </si>
  <si>
    <t>check goods – quality – quantity – temperatures</t>
  </si>
  <si>
    <t>controlar las mercancías – calidad – cantidad – temperaturas</t>
  </si>
  <si>
    <t>check use-by dates (DLC) – record lot/batch numbers or keep labels</t>
  </si>
  <si>
    <t>verificar las fechas de caducidad – anotar nº de lote o conservar las etiquetas</t>
  </si>
  <si>
    <t>disinfect pouches/trays/boxes before opening</t>
  </si>
  <si>
    <t>desinfectar bolsas – bolsas al vacío – barquetas – cajas antes de abrir</t>
  </si>
  <si>
    <t>wash vegetables and fruits before use</t>
  </si>
  <si>
    <t>lavar verduras y frutas antes de usar</t>
  </si>
  <si>
    <t>drain in perforated trays if needed</t>
  </si>
  <si>
    <t>escurrir en bandejas perforadas si es necesario</t>
  </si>
  <si>
    <t>defrost in perforated trays + label with defrost date</t>
  </si>
  <si>
    <t>descongelar en bandejas perforadas + etiquetar con la fecha de descongelación</t>
  </si>
  <si>
    <t>cook and blast-chill before assembly</t>
  </si>
  <si>
    <t>cocinar y abatir en célula antes del montaje</t>
  </si>
  <si>
    <t>slice – cut – mince according to protocols</t>
  </si>
  <si>
    <t>lonchear – cortar – picar respetando los protocolos</t>
  </si>
  <si>
    <t>prepare seasoning or sauce; assemble</t>
  </si>
  <si>
    <t>preparar el aliño o la salsa; montar</t>
  </si>
  <si>
    <t>taste and check seasoning – plate – garnish</t>
  </si>
  <si>
    <t>probar y verificar el sazonado – emplatar – decorar</t>
  </si>
  <si>
    <t>pack and label with use-by date</t>
  </si>
  <si>
    <t>envasar y etiquetar con fecha de caducidad</t>
  </si>
  <si>
    <t>keep a retention/sample dish</t>
  </si>
  <si>
    <t>conservar un plato testigo</t>
  </si>
  <si>
    <t>store in cold room</t>
  </si>
  <si>
    <t>almacenar en cámara frigorífica</t>
  </si>
  <si>
    <t>Professional use of these recipes requires knowledge of hygiene regulations and HACCP.</t>
  </si>
  <si>
    <t>El uso profesional de estas recetas implica conocer la normativa de higiene y APPCC.</t>
  </si>
  <si>
    <t>QUALITY APPROACH – RECIPE DEVELOPMENT &amp; IMPROVEMENT</t>
  </si>
  <si>
    <t>ENFOQUE DE CALIDAD – DESARROLLO Y MEJORA DE RECETAS</t>
  </si>
  <si>
    <t>Original recipe description</t>
  </si>
  <si>
    <t>First impressions (products–technique–cost): what should be adjusted—can we serve it to all customers—etc.</t>
  </si>
  <si>
    <t>Primeras impresiones (productos–técnica–precio): qué hay que modificar—¿podemos servirla a todos los clientes?—etc.</t>
  </si>
  <si>
    <t>Modifications – adaptations – tips and suggestions:</t>
  </si>
  <si>
    <t>Modificaciones – adaptaciones – consejos y sugerencias:</t>
  </si>
  <si>
    <t>Trim excess fat from the meat, pat it dry, and rub with seasoning or herbs of your choice. Roast on a rack or on a coarse-cut raw vegetable mirepoix that lets air circulate around the meat. Once cooked, the mirepoix adds great flavor to any sauce made from the roasting juices.</t>
  </si>
  <si>
    <t>Retire el exceso de grasa de la carne, séquela y frótela con el sazonado o las hierbas que prefiera. Ásela sobre una rejilla o sobre una mirepoix de verduras crudas cortadas en trozos grandes que permita la circulación del aire alrededor de la carne. Una vez cocida, la mirepoix aporta un sabor excelente a cualquier salsa elaborada con los jugos de asado.</t>
  </si>
  <si>
    <t>Qué? Introduzca trozos – lonchas – raciones – piezas – cerezas, etc.</t>
  </si>
  <si>
    <t>Container: enter GN pan(s) 1/1 – rack(s) – dish(es) – ladle(s), etc.</t>
  </si>
  <si>
    <t>Contenedor: introduzca bandeja GN 1/1 – rejilla(s) – fuente(s) – cazo(s), etc.</t>
  </si>
  <si>
    <t>max score per criterion = 3 – RECIPE DEVELOPMENT &amp; IMPROVEMENT</t>
  </si>
  <si>
    <t>puntuación máxima por criterio = 3 – DESARROLLO Y MEJORA DE RECETAS</t>
  </si>
  <si>
    <t>The products or the recipe are/is:</t>
  </si>
  <si>
    <t>TASTE / FLAVOR</t>
  </si>
  <si>
    <t>TASTE</t>
  </si>
  <si>
    <t>GUSTATIVO / SABOR</t>
  </si>
  <si>
    <t>GUSTATIVO</t>
  </si>
  <si>
    <t>TEMPERATURE</t>
  </si>
  <si>
    <t>TEMPERATURA</t>
  </si>
  <si>
    <t>QUALITY</t>
  </si>
  <si>
    <t>needs improvement</t>
  </si>
  <si>
    <t>CALIDAD</t>
  </si>
  <si>
    <t>a mejorar</t>
  </si>
  <si>
    <t>VARIETY</t>
  </si>
  <si>
    <t>VARIEDAD</t>
  </si>
  <si>
    <t>ORIGINALITY</t>
  </si>
  <si>
    <t>VISUAL</t>
  </si>
  <si>
    <t>ORIGINALIDAD</t>
  </si>
  <si>
    <t>GOOD</t>
  </si>
  <si>
    <t>TOTAL achieved</t>
  </si>
  <si>
    <t>MAX total possible</t>
  </si>
  <si>
    <t>TOTAL máximo posible</t>
  </si>
  <si>
    <t>Accepted</t>
  </si>
  <si>
    <t>Aceptado</t>
  </si>
  <si>
    <t>Partial or total rejection</t>
  </si>
  <si>
    <t>Rating: Good (3), Average (2), Unsatisfactory (1) out of  points.</t>
  </si>
  <si>
    <t>Valoración: Bueno (3), Medio (2), No satisfactorio (1) sobre  puntos.</t>
  </si>
  <si>
    <t>Entrante</t>
  </si>
  <si>
    <t>Plato principal</t>
  </si>
  <si>
    <t>Flavor: salty – sweet – bitter – sour – metallic – strong – tart – acrid – bland – natural</t>
  </si>
  <si>
    <t>Sabor: salado – dulce – amargo – ácido – metálico – intenso – agrio – acre – soso – natural</t>
  </si>
  <si>
    <t>Texture: tender – melting – soft – natural – grainy – fibrous – stringy – floury – gelatinous – crispy</t>
  </si>
  <si>
    <t>Textura: tierno – fundente – suave – natural – granuloso – fibroso – correoso – harinoso – gelatinoso – crujiente</t>
  </si>
  <si>
    <t>Cooking: underdone – good – overcooked – to review – Weights – % losses before/after cooking – Cooking method, etc.</t>
  </si>
  <si>
    <t>Cocción: poco hecho – bien – pasado – a revisar – Gramajes – % pérdidas antes/después de la cocción – Método de cocción, etc.</t>
  </si>
  <si>
    <t>STRUCTURED WORK ORGANIZATION</t>
  </si>
  <si>
    <t>Container</t>
  </si>
  <si>
    <t>Time</t>
  </si>
  <si>
    <t>Temperature</t>
  </si>
  <si>
    <t>% Humidity</t>
  </si>
  <si>
    <t>Operating mode</t>
  </si>
  <si>
    <t>Contenedor</t>
  </si>
  <si>
    <t>Tiempo</t>
  </si>
  <si>
    <t>Temperatura</t>
  </si>
  <si>
    <t>% Humedad</t>
  </si>
  <si>
    <t>Modo</t>
  </si>
  <si>
    <t>Modo de funcionamiento</t>
  </si>
  <si>
    <t>Convection (fan-forced)</t>
  </si>
  <si>
    <t>Preheating</t>
  </si>
  <si>
    <t>Convección (aire forzado)</t>
  </si>
  <si>
    <t>GN 1/1 pan</t>
  </si>
  <si>
    <t>Combi (mixed)</t>
  </si>
  <si>
    <t>Cooking 1</t>
  </si>
  <si>
    <t>Bandeja GN 1/1</t>
  </si>
  <si>
    <t>Combi (mixto)</t>
  </si>
  <si>
    <t>GN 2/1 racks</t>
  </si>
  <si>
    <t>Cooking 2</t>
  </si>
  <si>
    <t>Rejillas GN 2/1</t>
  </si>
  <si>
    <t>Banquet regeneration (reheating)</t>
  </si>
  <si>
    <t>Cooking temperature</t>
  </si>
  <si>
    <t>Temperatura de cocción</t>
  </si>
  <si>
    <t>Cook time</t>
  </si>
  <si>
    <t>Core temperature</t>
  </si>
  <si>
    <t>Temperatura en el corazón (núcleo)</t>
  </si>
  <si>
    <t>Cooling</t>
  </si>
  <si>
    <t>Cost: 1* budget – 4**** premium</t>
  </si>
  <si>
    <t>Enfriamiento</t>
  </si>
  <si>
    <t>Coste: 1* económico – 4**** premium</t>
  </si>
  <si>
    <t>CALCULATE YOUR NET WEIGHTS</t>
  </si>
  <si>
    <t>CALCULE SUS PESOS NETOS</t>
  </si>
  <si>
    <t>Base weight (no coefficient)</t>
  </si>
  <si>
    <t>⑦ g – kg – L – dl – cl – ml</t>
  </si>
  <si>
    <t>⑫ % Loss</t>
  </si>
  <si>
    <t>Net weight</t>
  </si>
  <si>
    <t>Peso base (sin coeficiente)</t>
  </si>
  <si>
    <t>⑫ % Merma</t>
  </si>
  <si>
    <t>Peso neto</t>
  </si>
  <si>
    <t>Lean wild duck</t>
  </si>
  <si>
    <t>Magro de pato salvaje</t>
  </si>
  <si>
    <t>Magro de cerdo</t>
  </si>
  <si>
    <t>cooking juices</t>
  </si>
  <si>
    <t>jugos de cocción</t>
  </si>
  <si>
    <t>Paste a unit in column ⑦</t>
  </si>
  <si>
    <t>⑥ adjust the decimals</t>
  </si>
  <si>
    <t>Pegue una unidad en la columna ⑦</t>
  </si>
  <si>
    <t>⑥ ajuste los decimales</t>
  </si>
  <si>
    <t>Equipment</t>
  </si>
  <si>
    <t>Tips</t>
  </si>
  <si>
    <t>Equipos</t>
  </si>
  <si>
    <t>Acción</t>
  </si>
  <si>
    <t>sauté pan</t>
  </si>
  <si>
    <t>browning meat</t>
  </si>
  <si>
    <t>sauté (sartén alta)</t>
  </si>
  <si>
    <t>dorado de carne</t>
  </si>
  <si>
    <t>Operating mode &gt;</t>
  </si>
  <si>
    <t>dry heat</t>
  </si>
  <si>
    <t>Modo de funcionamiento &gt;</t>
  </si>
  <si>
    <t>calor seco</t>
  </si>
  <si>
    <t>oven</t>
  </si>
  <si>
    <t>preheating</t>
  </si>
  <si>
    <t>horno</t>
  </si>
  <si>
    <t>precalentamiento</t>
  </si>
  <si>
    <t>sear the meat</t>
  </si>
  <si>
    <t>sellar la carne</t>
  </si>
  <si>
    <t>cook meat to a core temperature of 95–97 °C</t>
  </si>
  <si>
    <t>cocinar la carne a una temperatura en el corazón de 95–97 °C</t>
  </si>
  <si>
    <t>steam</t>
  </si>
  <si>
    <t>vapor</t>
  </si>
  <si>
    <t>combi (mixed)</t>
  </si>
  <si>
    <t>combi (mixto)</t>
  </si>
  <si>
    <t>mise en place (prep)</t>
  </si>
  <si>
    <t>mise en place (preparación)</t>
  </si>
  <si>
    <t>unpacking</t>
  </si>
  <si>
    <t>desembalaje</t>
  </si>
  <si>
    <t>vegetable prep</t>
  </si>
  <si>
    <t>zona de verduras (preparación)</t>
  </si>
  <si>
    <t>tray-up</t>
  </si>
  <si>
    <t>bandejado</t>
  </si>
  <si>
    <t>browning</t>
  </si>
  <si>
    <t>dorado</t>
  </si>
  <si>
    <t>cooking</t>
  </si>
  <si>
    <t>cocción</t>
  </si>
  <si>
    <t>sauce reduction</t>
  </si>
  <si>
    <t>reducción de salsa</t>
  </si>
  <si>
    <t>packing</t>
  </si>
  <si>
    <t>envasado</t>
  </si>
  <si>
    <t>cooling to target temperature</t>
  </si>
  <si>
    <t>enfriamiento a temperatura objetivo</t>
  </si>
  <si>
    <t>Core (temp)</t>
  </si>
  <si>
    <t>Hot service (hot holding)</t>
  </si>
  <si>
    <t>Servicio en caliente (mantenimiento)</t>
  </si>
  <si>
    <t>Cold chain (chilled holding)</t>
  </si>
  <si>
    <t>Cadena de frío (mantenimiento)</t>
  </si>
  <si>
    <t>EQUIPMENT LIST AND SETUP</t>
  </si>
  <si>
    <t>LISTA Y PUESTA A PUNTO DEL EQUIPO</t>
  </si>
  <si>
    <t>in 1 container ▼</t>
  </si>
  <si>
    <t>GN capacities – GN 1/1 H65 stainless, solid</t>
  </si>
  <si>
    <t>en 1 contenedor ▼</t>
  </si>
  <si>
    <t>Capacidades GN – GN 1/1 H65 inox lisa</t>
  </si>
  <si>
    <t>portions</t>
  </si>
  <si>
    <t>&lt; Author planned equipment for</t>
  </si>
  <si>
    <t>Chicken 4/4: 12 RAW thighs</t>
  </si>
  <si>
    <t>raciones</t>
  </si>
  <si>
    <t>&lt; El autor previó material para</t>
  </si>
  <si>
    <t>Pollo 4/4: 12 muslos CRUDOS</t>
  </si>
  <si>
    <t>Your quantities &gt;</t>
  </si>
  <si>
    <t>Chicken 4/4: 24 small COOKED thighs</t>
  </si>
  <si>
    <t>Sus cantidades &gt;</t>
  </si>
  <si>
    <t>Pollo 4/4: 24 muslos pequeños COCIDOS</t>
  </si>
  <si>
    <t>GN pan</t>
  </si>
  <si>
    <t>25 cooked poultry escallops, 120 g</t>
  </si>
  <si>
    <t>Bandeja GN</t>
  </si>
  <si>
    <t>Material</t>
  </si>
  <si>
    <t>25 escalopes de ave cocidos, 120 g</t>
  </si>
  <si>
    <t>GN 2/1 in polycarbonate</t>
  </si>
  <si>
    <t>Sliced meat, 60 slices</t>
  </si>
  <si>
    <t>GN 2/1 en policarbonato</t>
  </si>
  <si>
    <t>Carne en lonchas, 60 lonchas</t>
  </si>
  <si>
    <t>GN 2/1 pan H100 stainless, solid</t>
  </si>
  <si>
    <t>25 turkey paupiettes, 120 g</t>
  </si>
  <si>
    <t>bandeja GN 2/1 H100 inox lisa</t>
  </si>
  <si>
    <t>25 rollitos de pavo, 120 g</t>
  </si>
  <si>
    <t>GN 2/1 pan H65 stainless, solid</t>
  </si>
  <si>
    <t>20 stuffed tomatoes</t>
  </si>
  <si>
    <t>bandeja GN 2/1 H65 inox lisa</t>
  </si>
  <si>
    <t>20 tomates rellenos</t>
  </si>
  <si>
    <t>GN 1/1 pan H100 stainless, solid</t>
  </si>
  <si>
    <t>7.2 kg tartiflette</t>
  </si>
  <si>
    <t>bandeja GN 1/1 H100 inox lisa</t>
  </si>
  <si>
    <t>7,2 kg tartiflette</t>
  </si>
  <si>
    <t>GN 1/1 pan H65 stainless, solid</t>
  </si>
  <si>
    <t>4 kg salt-cod brandade</t>
  </si>
  <si>
    <t>bandeja GN 1/1 H65 inox lisa</t>
  </si>
  <si>
    <t>4 kg brandada de bacalao</t>
  </si>
  <si>
    <t>3 kg diced stew meat</t>
  </si>
  <si>
    <t>3 kg estofado en trozos</t>
  </si>
  <si>
    <t>NUMBER OF PORTIONS &amp; PORTION WEIGHTS</t>
  </si>
  <si>
    <t>NÚMERO DE RACIONES Y GRAMAJES POR RACIÓN</t>
  </si>
  <si>
    <t>Families</t>
  </si>
  <si>
    <t>Familias</t>
  </si>
  <si>
    <t>◄ Portion weights</t>
  </si>
  <si>
    <t>◄ Gramajes por ración</t>
  </si>
  <si>
    <t>Número de raciones (resultados redondeados)</t>
  </si>
  <si>
    <t>◄ Number of covers</t>
  </si>
  <si>
    <t>◄ Nº de cubiertos</t>
  </si>
  <si>
    <t>Portion weights</t>
  </si>
  <si>
    <t>Gramajes por ración</t>
  </si>
  <si>
    <t>Primary – P</t>
  </si>
  <si>
    <t>Adults – A</t>
  </si>
  <si>
    <t>Primaria – P</t>
  </si>
  <si>
    <t>Adultos – A</t>
  </si>
  <si>
    <t>Preschool – M</t>
  </si>
  <si>
    <t>Teenagers – Ado</t>
  </si>
  <si>
    <t>Older adults – A+</t>
  </si>
  <si>
    <t>enter your values in yellow cells</t>
  </si>
  <si>
    <t>Infantil (Maternales) – M</t>
  </si>
  <si>
    <t>Adolescentes – Ado</t>
  </si>
  <si>
    <t>Adultos + – A+</t>
  </si>
  <si>
    <t>introduzca sus valores en las celdas amarillas</t>
  </si>
  <si>
    <t>PACKAGING / PORTIONING</t>
  </si>
  <si>
    <t>ENVASADO / RACIONADO</t>
  </si>
  <si>
    <t>Enter headcount – quantity per person – item – quantity per container and container type</t>
  </si>
  <si>
    <t>Introduzca efectivos – cantidad p.p. – ítem – cantidad por contenedor y tipo de contenedor</t>
  </si>
  <si>
    <t>Headcount</t>
  </si>
  <si>
    <t>Quantity p.p.</t>
  </si>
  <si>
    <t>Item</t>
  </si>
  <si>
    <t>Efectivos</t>
  </si>
  <si>
    <t>Cantidad p.p.</t>
  </si>
  <si>
    <t>Ítem</t>
  </si>
  <si>
    <t>por ración</t>
  </si>
  <si>
    <t>Plate(s)</t>
  </si>
  <si>
    <t>magdalena(s)</t>
  </si>
  <si>
    <t>Plato(s)</t>
  </si>
  <si>
    <t>per portion</t>
  </si>
  <si>
    <t>container may be a GN pan – a dish – a ladle – a tray, etc.</t>
  </si>
  <si>
    <t>por plato(s)</t>
  </si>
  <si>
    <t>el contenedor puede ser una bandeja GN – una fuente – un cazo – una barqueta, etc.</t>
  </si>
  <si>
    <t>UTILITIES</t>
  </si>
  <si>
    <t>UTILIDADES</t>
  </si>
  <si>
    <t>GROSS WEIGHT</t>
  </si>
  <si>
    <t>PURCHASE PRICE</t>
  </si>
  <si>
    <t>PESO BRUTO</t>
  </si>
  <si>
    <t>PRECIO DE COMPRA</t>
  </si>
  <si>
    <t>NET WEIGHT</t>
  </si>
  <si>
    <t>SELLING PRICE</t>
  </si>
  <si>
    <t>PESO NETO</t>
  </si>
  <si>
    <t>PRECIO DE VENTA</t>
  </si>
  <si>
    <t>Weight loss</t>
  </si>
  <si>
    <t>Increase</t>
  </si>
  <si>
    <t>Peso de merma</t>
  </si>
  <si>
    <t>Incremento</t>
  </si>
  <si>
    <t>% loss</t>
  </si>
  <si>
    <t>% increase</t>
  </si>
  <si>
    <t>% de merma</t>
  </si>
  <si>
    <t>% de incremento</t>
  </si>
  <si>
    <t>% LOSS</t>
  </si>
  <si>
    <t>% DE MERMA</t>
  </si>
  <si>
    <t>B</t>
  </si>
  <si>
    <t>C</t>
  </si>
  <si>
    <t>D</t>
  </si>
  <si>
    <t>X</t>
  </si>
  <si>
    <t>Z</t>
  </si>
  <si>
    <t>Paste the photo of the dish or paste a screenshot. To enlarge the image, click it and drag the white squares or circles at the corners.</t>
  </si>
  <si>
    <t>Press the F9 key to force the recalculation of all functions. _ Pulsa la tecla F9 para forzar el recálculo de todas las funciones.</t>
  </si>
  <si>
    <t>Fin du document cellule &gt;</t>
  </si>
  <si>
    <t>Pega la foto del plato o pega una captura de pantalla. Para agrandar la imagen, haz clic sobre ella y arrastra los cuadros o círculos blancos en las esquinas.</t>
  </si>
  <si>
    <t>Enfoncer la touche F9 du clavier pour forcer le recalcul de toutes les fonctions</t>
  </si>
  <si>
    <t>Hidden rows  -   Filas ocultas</t>
  </si>
  <si>
    <t>End of document — cell - Fin del documento — celda &gt;</t>
  </si>
  <si>
    <t>Filtrer</t>
  </si>
  <si>
    <t>⑬ le/la &gt;</t>
  </si>
  <si>
    <t>📝 Mode d'emploi du répertoire</t>
  </si>
  <si>
    <t>📝 User Guide for the Recipe Directory</t>
  </si>
  <si>
    <t>📝 Modo de empleo del directorio de recetas</t>
  </si>
  <si>
    <t>FILTER _ FILTRAR</t>
  </si>
  <si>
    <t>COMMENT AFFICHER LES LIGNES UTILES -  HOW TO DISPLAY THE RELEVANT ROWS - CÓMO MOSTRAR LAS FILAS ÚTILES</t>
  </si>
  <si>
    <t>Excel regional settings: for decimals, use either a . (dot) or a , (comma).Cartouche: placeholder for the title and control cells, located at the top of the document.</t>
  </si>
  <si>
    <t>⑬ &gt;</t>
  </si>
  <si>
    <t>Nom de l'Auteur   Author Name    Nombre del autor</t>
  </si>
  <si>
    <t>* identité police calibri taille 14</t>
  </si>
  <si>
    <t xml:space="preserve">Fiche N° &gt; </t>
  </si>
  <si>
    <t>Pour agrandir l'image cliquez dessus et tirez sur les carrés ou les cercles blancs dans les angles</t>
  </si>
  <si>
    <t>Configuración regional de Excel: para los decimales, usa . (punto) o , (coma).Cartouche (encabezado): espacio reservado para el título y las celdas de control, situado en la parte superior del documento.</t>
  </si>
  <si>
    <t xml:space="preserve">1 - Positionnez vous sur la cellule A rouge - Go to the red A cell  - Sitúate en la celda A </t>
  </si>
  <si>
    <t>⓯ Recette dupliquée pour :</t>
  </si>
  <si>
    <t>Col.31-35 = L ou kg = réponse en Litre(s) et équivalence en Kg si vous pesez vos liquides</t>
  </si>
  <si>
    <t>et sur Filtrer - and enable Filter - roja y activa Filtro</t>
  </si>
  <si>
    <t>⑬ NOM DE LA RECETTE - Famille et N° de la recette</t>
  </si>
  <si>
    <t>⑬ RECIPE NAME – Family and Recipe No.</t>
  </si>
  <si>
    <t>⑬ NOMBRE DE LA RECETA – Familia y Nº de la receta</t>
  </si>
  <si>
    <t xml:space="preserve">tandis que celles de L à AC présentent les différentes recettes collées (postits) </t>
  </si>
  <si>
    <t>Col.31-35 = L or kg = answer in liter(s) and the equivalent in kg if you weigh your liquids</t>
  </si>
  <si>
    <t>je saisis volontairement "Postit" parce que l'autre version est une marque _I intentionally use “Postit” because the other version is a trademark._Escribo intencionadamente “Postit” porque la otra versión es una marca registrada.</t>
  </si>
  <si>
    <t>⓯ Recipe duplicated for:  Receta duplicada para:</t>
  </si>
  <si>
    <t xml:space="preserve">▲  ⓯ Quoi ? </t>
  </si>
  <si>
    <t>Col.31-35 = L o kg = respuesta en litro(s) y equivalencia en kg si pesas tus líquidos</t>
  </si>
  <si>
    <t>B_Factor</t>
  </si>
  <si>
    <t>C_Larger_Unit</t>
  </si>
  <si>
    <t>D_Threshold</t>
  </si>
  <si>
    <t>Milliliters_Or_Grams</t>
  </si>
  <si>
    <t>2 - Données &gt; Filtre - Data &gt; Filter - Datos &gt; Filtro</t>
  </si>
  <si>
    <t>⑬ &gt; Auteur</t>
  </si>
  <si>
    <t>⑬ &gt; Author</t>
  </si>
  <si>
    <t>⑬ &gt; Autor</t>
  </si>
  <si>
    <t>caractères + espaces</t>
  </si>
  <si>
    <t>▲ ⓯ What?   Qué?</t>
  </si>
  <si>
    <t>hidden columns</t>
  </si>
  <si>
    <t>A_Unidad</t>
  </si>
  <si>
    <t>C_Unidad_Superior</t>
  </si>
  <si>
    <t>D_Umbral</t>
  </si>
  <si>
    <t>Mililitros_o_Gramos</t>
  </si>
  <si>
    <t xml:space="preserve">evitez ( le ou la ) crème anglaise par exemple ..  inutile pour la récupérarion </t>
  </si>
  <si>
    <t xml:space="preserve">Avoid adding articles like “le/la” before names (e.g., “la crème anglaise”). </t>
  </si>
  <si>
    <t>Evita poner artículos como “el/la” antes de los nombres (p. ej., “la crema inglesa”).</t>
  </si>
  <si>
    <t xml:space="preserve"> hidden rows</t>
  </si>
  <si>
    <t>F -A (Unité)</t>
  </si>
  <si>
    <t>EN - A (Unité)</t>
  </si>
  <si>
    <t>ES - A (Unité)</t>
  </si>
  <si>
    <t>B (Facteur)</t>
  </si>
  <si>
    <t>C (Unité sup)</t>
  </si>
  <si>
    <t>D (Seuil)</t>
  </si>
  <si>
    <t>Millilitres/grammes</t>
  </si>
  <si>
    <t>3 - Cliquez sur la flèche Filtre  - Click the Filter arrow - Haz clic en la flecha de Filtro</t>
  </si>
  <si>
    <t>du code avec cette formule  GAUCHE(Q6;1)</t>
  </si>
  <si>
    <t>It’s unnecessary and breaks code retrieval with this formula: LEFT(Q6,1).</t>
  </si>
  <si>
    <t>Es innecesario y estropea la recuperación del código con esta fórmula: IZQUIERDA(Q6;1).</t>
  </si>
  <si>
    <t>❾ Author_Ref</t>
  </si>
  <si>
    <t>Duplicated_For</t>
  </si>
  <si>
    <t>Gross_x_Coefficient</t>
  </si>
  <si>
    <t>Rounded_Weight_and_Volume_x_Coefficient</t>
  </si>
  <si>
    <t>⑰ % Loss_Percent</t>
  </si>
  <si>
    <t>NET</t>
  </si>
  <si>
    <t>Item ?</t>
  </si>
  <si>
    <t>⑱ Price</t>
  </si>
  <si>
    <t>Cost</t>
  </si>
  <si>
    <t>columna oculta</t>
  </si>
  <si>
    <t>filas ocultas</t>
  </si>
  <si>
    <t>half</t>
  </si>
  <si>
    <t>medio</t>
  </si>
  <si>
    <t>entier</t>
  </si>
  <si>
    <t>de la cellule A rouge - on the red A cell - de la celda A roja</t>
  </si>
  <si>
    <t>Que faut-il faire</t>
  </si>
  <si>
    <t>What to do</t>
  </si>
  <si>
    <t>Qué hay que hacer</t>
  </si>
  <si>
    <t>❾ Referencia_Autor</t>
  </si>
  <si>
    <t xml:space="preserve"> Duplicado_Para</t>
  </si>
  <si>
    <t>Bruto_x_Coeficiente</t>
  </si>
  <si>
    <t>Peso_y_Volumen_Redondeados_x_Coeficiente</t>
  </si>
  <si>
    <t>⑰ % Porcentaje_de_Pérdida</t>
  </si>
  <si>
    <t>NETO</t>
  </si>
  <si>
    <t>Ítem (o Concepto) ?</t>
  </si>
  <si>
    <t>⑱ Precio</t>
  </si>
  <si>
    <t>Costo</t>
  </si>
  <si>
    <t>quarter</t>
  </si>
  <si>
    <t>cuarto</t>
  </si>
  <si>
    <t>third</t>
  </si>
  <si>
    <t>tercio</t>
  </si>
  <si>
    <t>Choisissez des valeurs spécifiques :   Choose specific values:  Elegir valores específicos:</t>
  </si>
  <si>
    <t>⑬ - Nommez le répertoire , Nom de la recette le N° de fiche et collez la famille</t>
  </si>
  <si>
    <t>⑬ – Name the directory with the Recipe Name, the Sheet No., and paste the Family.</t>
  </si>
  <si>
    <t>⑬ – Nombra el directorio con el Nombre de la receta, el Nº de la ficha y pega la Familia.</t>
  </si>
  <si>
    <t>poids</t>
  </si>
  <si>
    <t>Col.21</t>
  </si>
  <si>
    <t>Col.22</t>
  </si>
  <si>
    <t>Col.23</t>
  </si>
  <si>
    <t>Col.24</t>
  </si>
  <si>
    <t>Col.25</t>
  </si>
  <si>
    <t>Col.26</t>
  </si>
  <si>
    <t>Col.27</t>
  </si>
  <si>
    <t>Col.28</t>
  </si>
  <si>
    <t>Col.29</t>
  </si>
  <si>
    <t>Col.30</t>
  </si>
  <si>
    <t>Col.31</t>
  </si>
  <si>
    <t>Col.32</t>
  </si>
  <si>
    <t>Col.33</t>
  </si>
  <si>
    <t>Col.34</t>
  </si>
  <si>
    <t>Col.35</t>
  </si>
  <si>
    <t>Col.36</t>
  </si>
  <si>
    <t>Col.37</t>
  </si>
  <si>
    <t>Col.38</t>
  </si>
  <si>
    <t>Col.39</t>
  </si>
  <si>
    <t>Col.40</t>
  </si>
  <si>
    <t>Coeff.AE . AG . AI</t>
  </si>
  <si>
    <t>Décochez (Sélectionner tout)  Uncheck (Select All)   Desmarca (Seleccionar todo)</t>
  </si>
  <si>
    <t xml:space="preserve">⑭ - collez vos postits colonne L à partir de la lignes 12 </t>
  </si>
  <si>
    <t>⑭ – Paste your sticky notes in column L starting from row 12.</t>
  </si>
  <si>
    <t>⑭ – Pega tus notas adhesivas en la columna L a partir de la fila 12.</t>
  </si>
  <si>
    <t>◄  test Nb de caractères + espaces</t>
  </si>
  <si>
    <t>Recettes</t>
  </si>
  <si>
    <t>Dupliquée  pour</t>
  </si>
  <si>
    <t>Brut avec coef.</t>
  </si>
  <si>
    <t>Poids et vol.arrondis avec coef.</t>
  </si>
  <si>
    <t>⑰ % Perte</t>
  </si>
  <si>
    <t>Quoi ?</t>
  </si>
  <si>
    <t>⑱ Prix</t>
  </si>
  <si>
    <t xml:space="preserve">Coût </t>
  </si>
  <si>
    <t>pour décocher toutes les cases,   to clear all boxes  para desmarcar todas las casillas</t>
  </si>
  <si>
    <t>⓯ Recipe duplicated for:</t>
  </si>
  <si>
    <t>⓯ Receta duplicada para:</t>
  </si>
  <si>
    <t>▲  ⓯ Quoi ? Portions - tarte - couverts ou contenant</t>
  </si>
  <si>
    <t>▲ ⓯ What? Servings – tart – place settings or container</t>
  </si>
  <si>
    <t>▲ ⓯ Qué? Porciones – tarta – cubiertos o recipiente</t>
  </si>
  <si>
    <t>L ou kg</t>
  </si>
  <si>
    <t>volume</t>
  </si>
  <si>
    <t>mais en général le même intitulé que le Quoi de  l'Auteur</t>
  </si>
  <si>
    <t>…but generally keep the same title as the Author’s What.</t>
  </si>
  <si>
    <t>…pero en general usa el mismo título que el Qué del Autor.</t>
  </si>
  <si>
    <t>Puis cochez A (afficher)  Do the opposite: check (Select All),  Desmarca (Seleccionar todo)</t>
  </si>
  <si>
    <t xml:space="preserve"> pour selectionner les lignes à afficher   to select the rows to display  para seleccionar las filas a mostrar</t>
  </si>
  <si>
    <t>(too high or too low for your guests),</t>
  </si>
  <si>
    <t>Pour l'affichage de toutes les lignes  To show all rows again:  Para volver a mostrar todas las filas:</t>
  </si>
  <si>
    <t>Facultatif</t>
  </si>
  <si>
    <t>⑰ % Loss</t>
  </si>
  <si>
    <t>Optional</t>
  </si>
  <si>
    <t>⑰ % Pérdida</t>
  </si>
  <si>
    <t>Opcional</t>
  </si>
  <si>
    <t>1/2 tasse</t>
  </si>
  <si>
    <t>1/2 cup</t>
  </si>
  <si>
    <t>1/2 taza</t>
  </si>
  <si>
    <t>Tasse(s)</t>
  </si>
  <si>
    <t>Cup(s)</t>
  </si>
  <si>
    <t>Taza(s)</t>
  </si>
  <si>
    <t>ne confondez pas le prix au Kg et le prix à la pièce</t>
  </si>
  <si>
    <t>Do not confuse price per kg with price per piece.</t>
  </si>
  <si>
    <t>No confundas el precio por kg con el precio por pieza.</t>
  </si>
  <si>
    <t>tasse(s).Thé</t>
  </si>
  <si>
    <t>Teacup(s)</t>
  </si>
  <si>
    <t>Taza(s) de té</t>
  </si>
  <si>
    <t xml:space="preserve"> faites l'inverse cochez (Sélectionner tout)  Do the opposite: check (Select All),  Haz lo contrario: marca (Seleccionar todo),</t>
  </si>
  <si>
    <t>Pour l'affichage ou l'impression papier de ce document</t>
  </si>
  <si>
    <t>For on-screen display or printing of this document</t>
  </si>
  <si>
    <t>Para la visualización en pantalla o la impresión de este documento</t>
  </si>
  <si>
    <t>CONDITIONNEMENT   (exemple)</t>
  </si>
  <si>
    <t xml:space="preserve">◄ votre Contenant </t>
  </si>
  <si>
    <t>./2.once.liquide</t>
  </si>
  <si>
    <t>./2 fluid ounce</t>
  </si>
  <si>
    <t>./2 onza líquida</t>
  </si>
  <si>
    <t>lorsque vous avez masqué des colonnes cliquez sur enregistrer pour qu'excel en tienne compte puis</t>
  </si>
  <si>
    <t>After hiding columns, click Save so Excel takes it into account, then</t>
  </si>
  <si>
    <t>Cuando hayas ocultado columnas, haz clic en Guardar para que Excel lo tenga en cuenta y luego</t>
  </si>
  <si>
    <t>press F9 to force recalculation of all functions.</t>
  </si>
  <si>
    <t>pulsa F9 para forzar el recálculo de todas las funciones.</t>
  </si>
  <si>
    <t>./2 Cup(s)</t>
  </si>
  <si>
    <t>./2 Taza(s)</t>
  </si>
  <si>
    <t>./4 Cup(s)</t>
  </si>
  <si>
    <t>./4 Taza(s)</t>
  </si>
  <si>
    <t>Masquer des colonnes - Résumé express  :</t>
  </si>
  <si>
    <t>Hide Columns – Quick Summary:</t>
  </si>
  <si>
    <t>Ocultar Columnas – Resumen exprés:</t>
  </si>
  <si>
    <t>ou cliquez de nouveau sur "l'entonnoir"  or click the funnel icon (Sort &amp; Filter)  o vuelve a hacer clic en el icono de embudo</t>
  </si>
  <si>
    <t>1. Sélectionnez la ou les colonnes que vous voulez masquer (clic gauche sur les lettres de colonnes).</t>
  </si>
  <si>
    <t>1. Select the column(s) you want to hide (left-click the column letters).</t>
  </si>
  <si>
    <t>1. Selecciona las columnas que quieres ocultar (clic izquierdo en las letras de columna).</t>
  </si>
  <si>
    <t>2. Clic droit sur une des colonnes sélectionnées.</t>
  </si>
  <si>
    <t>2. Right-click one of the selected columns.</t>
  </si>
  <si>
    <t>2. Clic derecho sobre una de las columnas seleccionadas.</t>
  </si>
  <si>
    <t>3. Choisissez "Masquer" dans le menu contextuel.</t>
  </si>
  <si>
    <t>3. Choose Hide from the context menu.</t>
  </si>
  <si>
    <t>3. Elige Ocultar en el menú contextual.</t>
  </si>
  <si>
    <t>trier en haut de l'écran pour désactiver  on the ribbon again to turn Filter off.  o vuelve a hacer clic en el icono de embudo (Ordenar y filtrar)</t>
  </si>
  <si>
    <t>4. Pour les réafficher, sélectionnez les colonnes adjacentes, clic droit → "Afficher".</t>
  </si>
  <si>
    <t>4. To show them again, select the adjacent columns, right-click → Unhide.</t>
  </si>
  <si>
    <t>4. Para mostrarlas de nuevo, selecciona las columnas adyacentes, clic derecho → Mostrar/Revelar.</t>
  </si>
  <si>
    <t>Dash(s)</t>
  </si>
  <si>
    <t>plotée(s)</t>
  </si>
  <si>
    <t>scoop(s)</t>
  </si>
  <si>
    <t>cucharón</t>
  </si>
  <si>
    <t>Masquer les Colonnes dans Excel 🟢[2 SOLUTIONS PRO] 🟢</t>
  </si>
  <si>
    <t>Hide Columns in Excel 🟢[2 PRO SOLUTIONS] 🟢</t>
  </si>
  <si>
    <t>Ocultar Columnas en Excel 🟢[2 SOLUCIONES PRO] 🟢</t>
  </si>
  <si>
    <t>Splash(s)</t>
  </si>
  <si>
    <t>Splash(es</t>
  </si>
  <si>
    <t>Chorrito(s)</t>
  </si>
  <si>
    <t xml:space="preserve"> la fonction Tri  Filter off  en la cinta para desactivar Filtro.</t>
  </si>
  <si>
    <t>Lien &gt;</t>
  </si>
  <si>
    <t>https://www.youtube.com/watch?v=WbtKbVzE2mE&amp;t=2s</t>
  </si>
  <si>
    <t>Link @ &gt;</t>
  </si>
  <si>
    <t>Enlace @ &gt;</t>
  </si>
  <si>
    <t>shot(s)</t>
  </si>
  <si>
    <t>chupito(s)</t>
  </si>
  <si>
    <t>jigger(s)</t>
  </si>
  <si>
    <t>Comment mettre un accent à une majuscule (À, É, È, Ç) ?</t>
  </si>
  <si>
    <t>How to add an accent to a capital letter (À, É, È, Ç)?</t>
  </si>
  <si>
    <t>Cómo poner acento a una mayúscula (À, É, È, Ç)?</t>
  </si>
  <si>
    <t>Pony(s)</t>
  </si>
  <si>
    <t>È (e majuscule accent grave) = Alt + 0200</t>
  </si>
  <si>
    <t>É (e majuscule accent aigu) =Alt + 0201</t>
  </si>
  <si>
    <t>È (capital E with grave) = Alt + 0200</t>
  </si>
  <si>
    <t>É (capital E with acute) = Alt + 0201</t>
  </si>
  <si>
    <t>È (E mayúscula con acento grave) = Alt + 0200</t>
  </si>
  <si>
    <t>É (E mayúscula con acento agudo) = Alt + 0201</t>
  </si>
  <si>
    <t>Mug(s)</t>
  </si>
  <si>
    <t>Taza(s) grande</t>
  </si>
  <si>
    <t>À (a majuscule accent) = Alt + 0192</t>
  </si>
  <si>
    <t>Ç (c cédille majuscule) = Alt + 0199</t>
  </si>
  <si>
    <t>À (capital A with grave) = Alt + 0192</t>
  </si>
  <si>
    <t>Ç (capital C with cedilla) = Alt + 0199</t>
  </si>
  <si>
    <t>À (A mayúscula con acento grave) = Alt + 0192</t>
  </si>
  <si>
    <t>Ç (C mayúscula con cedilla) = Alt + 0199</t>
  </si>
  <si>
    <t>./2 pinte(s)</t>
  </si>
  <si>
    <t>./2 pint(s)</t>
  </si>
  <si>
    <t>./2 pinta(s)</t>
  </si>
  <si>
    <t>Ù (u majuscule accent grave) = Alt + 0217</t>
  </si>
  <si>
    <t>Ù (capital U with grave) = Alt + 0217</t>
  </si>
  <si>
    <t>Excel formula note (English): GAUCHE(Q6;1) in French Excel = LEFT(Q6,1) in English Excel.</t>
  </si>
  <si>
    <t>Ù (U mayúscula con acento grave) = Alt + 0217</t>
  </si>
  <si>
    <t>pint (pt)</t>
  </si>
  <si>
    <t>pinta (pt)</t>
  </si>
  <si>
    <t>Si tu Excel est\u00e1 en otro idioma/locale, pense à ajuster la formule (GAUCHE/LEFT/IZQUIERDA) et le séparateur (, vs ;).</t>
  </si>
  <si>
    <t>Pint (US)(s)</t>
  </si>
  <si>
    <t>Pint (US)</t>
  </si>
  <si>
    <t>Pinta (EE. UU.)</t>
  </si>
  <si>
    <t>« Les libellés ""Adresse PC";"▼ recette suivante" en AE, AR , AX . servent de déclencheur pour les calculs des colonnes  »</t>
  </si>
  <si>
    <t>Pint (UK)(s)</t>
  </si>
  <si>
    <t>Pint (UK)</t>
  </si>
  <si>
    <t>Pinta (Reino Unido)</t>
  </si>
  <si>
    <t>cliquez sur la colonne de chiffres et sélectionnez dans la barre de formule le numéro ou la lettre qui vous intéresse choisissez la police de caractères et la couleur qui vous conviennent</t>
  </si>
  <si>
    <t>Click the number column, then in the formula bar select the number or letter you want; choose the font and color that suit you.</t>
  </si>
  <si>
    <t>Haz clic en la columna de números y, en la barra de fórmulas, selecciona el número o la letra que te interese; elige la tipografía y el color que prefieras.</t>
  </si>
  <si>
    <t>quart (qt)</t>
  </si>
  <si>
    <t>cuarto (qt)</t>
  </si>
  <si>
    <t>gallon (gal)</t>
  </si>
  <si>
    <t>galón (gal)</t>
  </si>
  <si>
    <t>Ounce (fl oz)us</t>
  </si>
  <si>
    <t>Onza (fl oz EE. UU.)</t>
  </si>
  <si>
    <t>%</t>
  </si>
  <si>
    <t>&amp;</t>
  </si>
  <si>
    <t>@</t>
  </si>
  <si>
    <t>‰</t>
  </si>
  <si>
    <t>≈</t>
  </si>
  <si>
    <t>±</t>
  </si>
  <si>
    <t>Φ</t>
  </si>
  <si>
    <t>sur le postit dans la table de recherche ne mélangez pas poids et volumes ,les col.6 à col.11 sont réservées aux poids Kg  -  les col.suivantes pour les volumes.</t>
  </si>
  <si>
    <t>¼</t>
  </si>
  <si>
    <t>½</t>
  </si>
  <si>
    <t>¾</t>
  </si>
  <si>
    <t>◄</t>
  </si>
  <si>
    <t>▲</t>
  </si>
  <si>
    <t>Nota sobre la fórmula de Excel (ES): GAUCHE(Q6;1) en Excel francés = IZQUIERDA(Q6;1) en Excel en español (los separadores pueden ser “;” o “,” según la configuración regional).</t>
  </si>
  <si>
    <t>unités utilisées pour cocktails encre violette et verte</t>
  </si>
  <si>
    <t>On the postit in the lookup table, do not mix weights and volumes; columns 6 to 11 are reserved for weights (kg), and the following columns are for volumes.</t>
  </si>
  <si>
    <t>En el postit de la tabla de búsqueda, no mezcles pesos y volúmenes; las columnas 6 a 11 están reservadas para los pesos (kg) y las columnas siguientes son para los volúmenes.</t>
  </si>
  <si>
    <t>Label (short): Units used for cocktails — purple and green ink</t>
  </si>
  <si>
    <t>Etiqueta (corta): Unidades utilizadas para cócteles — tinta violeta y verde</t>
  </si>
  <si>
    <t>FR .  Pour que les formules renvoient le bon résultat, le texte doit être strictement identique entre le tableau de recherche et les « Post-it ». Un espace en trop, un accent ou une parenthèse manquants suffisent à faire échouer la correspondance. Utilisez le copier/coller depuis la source pour éviter toute erreur.</t>
  </si>
  <si>
    <t>PACKAGING   (example)</t>
  </si>
  <si>
    <t>◄ yor Container</t>
  </si>
  <si>
    <t>EN .  For formulas to return the correct result, the text must match exactly between the lookup table and the “Post-its.” A single extra space, a missing accent, or a missing parenthesis is enough to break the match. Use copy/paste from the source to avoid errors.</t>
  </si>
  <si>
    <t xml:space="preserve">Although this sheet was not originally designed for this purpose, </t>
  </si>
  <si>
    <t>it can be effectively adapted for managing cocktail recipes.</t>
  </si>
  <si>
    <t>The Bar model typically involves only 5 to 6 products or ingredients.</t>
  </si>
  <si>
    <t>You can use DeepL Translator to translate the cells that contain text.</t>
  </si>
  <si>
    <t>https://www.deepl.com/fr/translator</t>
  </si>
  <si>
    <t>ES .  Para que las fórmulas devuelvan el resultado correcto, el texto debe ser estrictamente idéntico entre la tabla de búsqueda y los “post-it”. Un solo espacio de más, un acento o un paréntesis que falte bastan para que falle la coincidencia. Use copiar/pegar desde la fuente para evitar errores.</t>
  </si>
  <si>
    <t>Español</t>
  </si>
  <si>
    <t xml:space="preserve">Aunque esta hoja no fue diseñada específicamente para este fin, </t>
  </si>
  <si>
    <t>puede adaptarse eficazmente para la gestión de recetas de cócteles.</t>
  </si>
  <si>
    <t>El modelo Bar suele utilizar entre 5 y 6 productos o ingredientes.</t>
  </si>
  <si>
    <t>Puede utilizar DeepL Translator para traducir las celdas que contienen texto.</t>
  </si>
  <si>
    <t>Les traductions (approximatives) ont été réalisées avec l’aide de ChatGPT. En revanche, les formules sont conçues pour Excel en français, version 2021 ou ultérieure.</t>
  </si>
  <si>
    <t>Si vous remplacez la formule de la colonne 15 par une version sans "RECHERCHEX ", vous devrez adapter les formules des colonnes 20, 27 et 34 en conséquence dans la fiche Répertoire .</t>
  </si>
  <si>
    <t>The (approximate) translations were done with ChatGPT’s help. However, the formulas are designed for Excel in French, version 2021 or later.</t>
  </si>
  <si>
    <t>If you replace the formula in column 15 with a version without RECHERCHEX, you’ll need to adjust the formulas in columns 20, 27, and 34 accordingly in the Directory sheet.</t>
  </si>
  <si>
    <t>Las traducciones (aproximadas) se realizaron con la ayuda de ChatGPT. Sin embargo, las fórmulas están diseñadas para Excel en francés, versión 2021 o posterior.</t>
  </si>
  <si>
    <t>Si sustituye la fórmula de la columna 15 por una versión sin RECHERCHEX, deberá adaptar en consecuencia las fórmulas de las columnas 20, 27 y 34 en la hoja Directorio (o “Répertoire” si mantiene el nombre en francés).</t>
  </si>
  <si>
    <t>ENVASADO   (ejemplo)</t>
  </si>
  <si>
    <t xml:space="preserve"> &lt; largeurs effectives</t>
  </si>
  <si>
    <t>Cell HERE</t>
  </si>
  <si>
    <t>Si vous remplacez la formule de la colonne 15 par une version sans RECHERCHEX, vous devrez adapter les formules des colonnes 20, 27 et 34 en conséquence dans la fiche Répertoire .</t>
  </si>
  <si>
    <t>Col.20 =SI(SUPPRESPACE(Q22)="Adresse PC";"▼ recette suivante";SI(AI22&gt;0;M22;""))</t>
  </si>
  <si>
    <t>Col.34 =SI(SUPPRESPACE(AE22)="▼ recette suivante";AE22;SI(AO22="";"";SI(ESTVIDE(AR22);AO22;ARRONDI(AO22*(1-MIN(1;MAX(0;SI(AR22&gt;1;AR22/100;AR22))));3))))</t>
  </si>
  <si>
    <t>IDENTIFICATION OF FRAMES AND RECIPE “POSTITS”: the hyphen “-” or the double “--” from column 6 serve as separator(s) for the extraction formula</t>
  </si>
  <si>
    <t>IDENTIFICACIÓN DE LOS MARCOS Y DE LOS “POSTITS” DE RECETAS: el guion “-” o el doble “--” de la columna 6 sirven como separadores para la fórmula de extracción.</t>
  </si>
  <si>
    <t>V18&amp;" "&amp;W18&amp;" ► Famille = "&amp;AA12&amp;" ► "&amp;T12&amp;" "&amp;Z15&amp;" "&amp;AA15&amp;" "&amp;AB15&amp;" "&amp;AC15</t>
  </si>
  <si>
    <t>MAJUSCULE(GAUCHE(T12;1))&amp;" "&amp;T12&amp;" | "&amp;AA12&amp;"| "&amp;T14&amp;" "&amp;U14</t>
  </si>
  <si>
    <t>Pour vos futurs documents = autre identification possible</t>
  </si>
  <si>
    <t>cuisine-SIDES</t>
  </si>
  <si>
    <t>PASTRY</t>
  </si>
  <si>
    <t>CATERING</t>
  </si>
  <si>
    <t>FAMILY--Identity</t>
  </si>
  <si>
    <t>BARTENDERS - BAR - DRINKS</t>
  </si>
  <si>
    <t>RGB color codes (Red–Green–Blue)</t>
  </si>
  <si>
    <t>cuisine-ACOMPAÑAMIENTOS</t>
  </si>
  <si>
    <t>PASTELERÍA</t>
  </si>
  <si>
    <t>CÁTERING</t>
  </si>
  <si>
    <t>FAMILIA--Identidad</t>
  </si>
  <si>
    <t>PESCADERÍA</t>
  </si>
  <si>
    <t>BARTENDERS - BAR - BEBIDAS</t>
  </si>
  <si>
    <t>R      G       B           HEX</t>
  </si>
  <si>
    <t>51 153 102  #339966</t>
  </si>
  <si>
    <t>cuisine-COMPOSED GREEN SALADS</t>
  </si>
  <si>
    <t>pastry--BAVARIANS (BAVAROIS)</t>
  </si>
  <si>
    <t>traiteur-COLD ROASTS</t>
  </si>
  <si>
    <t>COOKING METHODS</t>
  </si>
  <si>
    <t>Dietary color</t>
  </si>
  <si>
    <t>Poissonnerie--SHELLFISH (MOLLUSCS)</t>
  </si>
  <si>
    <t>BAR-Cocktails-with alcohol</t>
  </si>
  <si>
    <t>153 204 0   #99CC00</t>
  </si>
  <si>
    <t>cuisine-ENSALADAS VERDES COMPUESTAS</t>
  </si>
  <si>
    <t>pastelería--BÁVAROS (BAVAROIS)</t>
  </si>
  <si>
    <t>traiteur-ASADOS FRÍOS</t>
  </si>
  <si>
    <t>CHARCUTERÍA</t>
  </si>
  <si>
    <t>MODOS DE COCCIÓN</t>
  </si>
  <si>
    <t>Color dietético</t>
  </si>
  <si>
    <t>Poissonnerie--MOLUSCOS</t>
  </si>
  <si>
    <t>BAR-Cócteles-con alcohol</t>
  </si>
  <si>
    <t>128 0   0   #800000</t>
  </si>
  <si>
    <t>255 0   255 #FF00FF</t>
  </si>
  <si>
    <t>pastry--BISCUITS</t>
  </si>
  <si>
    <t>traiteur-AMUSE-BOUCHES</t>
  </si>
  <si>
    <t>charcuterie--JELLIES</t>
  </si>
  <si>
    <t>cooking--BRAISED</t>
  </si>
  <si>
    <t>cuisine-dish-PROTEINS</t>
  </si>
  <si>
    <t>cuisine-vegetables-COOKED VEGETABLES</t>
  </si>
  <si>
    <t>cuisine-vegetables-RAW VEGETABLES</t>
  </si>
  <si>
    <t>cuisine-vegetables-STARCHES</t>
  </si>
  <si>
    <t>Poissonnerie--CRUSTACEANS</t>
  </si>
  <si>
    <t>BAR-Cocktails-non-alcoholic</t>
  </si>
  <si>
    <t>255 102 0   #FF6600</t>
  </si>
  <si>
    <t>cuisine--CRUDITÉS</t>
  </si>
  <si>
    <t>pastelería--BIZCOCHOS</t>
  </si>
  <si>
    <t>traiteur-APERITIVOS</t>
  </si>
  <si>
    <t>charcutería--GELATINAS</t>
  </si>
  <si>
    <t>cocción--BRASADO</t>
  </si>
  <si>
    <t>cuisine-plato-PROTEÍNAS</t>
  </si>
  <si>
    <t>cuisine-verduras-COCIDAS</t>
  </si>
  <si>
    <t>cuisine-verduras-CRUDITÉS</t>
  </si>
  <si>
    <t>cuisine-verduras-FÉCULAS</t>
  </si>
  <si>
    <t>Poissonnerie--CRUSTÁCEOS</t>
  </si>
  <si>
    <t>BAR-Cócteles-sin alcohol</t>
  </si>
  <si>
    <t>255 0   0   #FF0000</t>
  </si>
  <si>
    <t>0   0   255 #0000FF</t>
  </si>
  <si>
    <t>cuisine--COOKED VEGETABLES</t>
  </si>
  <si>
    <t>pastry--CHARLOTTES</t>
  </si>
  <si>
    <t>charcuterie-BOUDIN BLANC</t>
  </si>
  <si>
    <t>cooking--CONFIT</t>
  </si>
  <si>
    <t>cuisine-proteins-OFFAL</t>
  </si>
  <si>
    <t>CITRUS (e.g., grapefruit)</t>
  </si>
  <si>
    <t>crudité-CITRUS—POMELO/GRAPEFRUIT</t>
  </si>
  <si>
    <t>cuisine-starch-WHEAT</t>
  </si>
  <si>
    <t>Poissonnerie--WHOLE FISH</t>
  </si>
  <si>
    <t>BAR-Drinks-hot beverages</t>
  </si>
  <si>
    <t>255 204 153 #FFCC99</t>
  </si>
  <si>
    <t>cuisine--VERDURAS COCIDAS</t>
  </si>
  <si>
    <t>pastelería--CHARLOTTES</t>
  </si>
  <si>
    <t>charcutería-BOUDIN BLANC (morcilla blanca)</t>
  </si>
  <si>
    <t>cocción--CONFITADO</t>
  </si>
  <si>
    <t>cuisine-proteínas-CASQUERÍA</t>
  </si>
  <si>
    <t>CÍTRICOS (p. ej., pomelo)</t>
  </si>
  <si>
    <t>crudité-CÍTRICOS—POMELO/TORONJA</t>
  </si>
  <si>
    <t>cuisine-féculent-TRIGO</t>
  </si>
  <si>
    <t>Poissonnerie--PESCADO ENTERO</t>
  </si>
  <si>
    <t>BAR-Bebidas-calientes</t>
  </si>
  <si>
    <t>204 153 255 #CC99FF</t>
  </si>
  <si>
    <t>cuisine-PLATED DESSERT</t>
  </si>
  <si>
    <t>pastry--CHOCOLATES</t>
  </si>
  <si>
    <t>traiteur--CANAPES</t>
  </si>
  <si>
    <t>cooking--FRIED</t>
  </si>
  <si>
    <t>cuisine-proteins-GIBLETS</t>
  </si>
  <si>
    <t>cuisine-cooked-ARTICHOKE</t>
  </si>
  <si>
    <t>cuisine-raw-AVOCADO</t>
  </si>
  <si>
    <t>cuisine-starch-BULGUR</t>
  </si>
  <si>
    <t>Poissonnerie--FILLETs / PORTIONS</t>
  </si>
  <si>
    <t>BAR-Drinks-cold beverages</t>
  </si>
  <si>
    <t>cuisine-POSTRE EMPLATADO</t>
  </si>
  <si>
    <t>pastelería--CHOCOLATES</t>
  </si>
  <si>
    <t>cocción--FRITO</t>
  </si>
  <si>
    <t>cuisine-proteínas-MENUDOS (abattis)</t>
  </si>
  <si>
    <t>cuisine-cocido-ALCACHOFA</t>
  </si>
  <si>
    <t>cuisine-crudité-AGUACATE</t>
  </si>
  <si>
    <t>cuisine-féculent-BULGUR</t>
  </si>
  <si>
    <t>Poissonnerie--FILETES / PORCIONES</t>
  </si>
  <si>
    <t>BAR-Bebidas-frías</t>
  </si>
  <si>
    <t>Códigos de color RGB (Rojo–Verde–Azul)</t>
  </si>
  <si>
    <t>pastry--CONFECTIONERY</t>
  </si>
  <si>
    <t>charcuterie--GAME</t>
  </si>
  <si>
    <t>cooking--SMOKED</t>
  </si>
  <si>
    <t>cuisine-proteins-LAMB</t>
  </si>
  <si>
    <t>cuisine-cooked-ASPARAGUS</t>
  </si>
  <si>
    <t>cuisine-raw-BEETS</t>
  </si>
  <si>
    <t>cuisine-starch-BROAD BEANS (FAVA)</t>
  </si>
  <si>
    <t>Poissonnerie--SEAFOOD CHARCUTERIE</t>
  </si>
  <si>
    <t>BAR-COFFEES</t>
  </si>
  <si>
    <t>51  153 102  #339966</t>
  </si>
  <si>
    <t>cuisine--POSTRES</t>
  </si>
  <si>
    <t>pastelería--CONFITERÍA</t>
  </si>
  <si>
    <t>traiteur-CALIENTE-FRÍO</t>
  </si>
  <si>
    <t>charcutería--CAZA</t>
  </si>
  <si>
    <t>cocción--AHUMADO</t>
  </si>
  <si>
    <t>cuisine-proteínas-CORDERO</t>
  </si>
  <si>
    <t>cuisine-cocido-ESPÁRRAGOS</t>
  </si>
  <si>
    <t>cuisine-crudité-REMOLACHAS</t>
  </si>
  <si>
    <t>cuisine-féculent-HABAS (FAVA)</t>
  </si>
  <si>
    <t>Poissonnerie--CHARCUTERÍA DEL MAR</t>
  </si>
  <si>
    <t>BAR-CAFÉS</t>
  </si>
  <si>
    <t>153 204 0    #99CC00</t>
  </si>
  <si>
    <t>128 0   0    #800000</t>
  </si>
  <si>
    <t>cuisine--STARTERS</t>
  </si>
  <si>
    <t>pastry--ENTREMETS</t>
  </si>
  <si>
    <t>traiteur-COLD STARTER</t>
  </si>
  <si>
    <t>charcuterie--RABBIT</t>
  </si>
  <si>
    <t>cooking--GRILLED</t>
  </si>
  <si>
    <t>cuisine-proteins-BEEF</t>
  </si>
  <si>
    <t>cuisine-cooked-BEETS</t>
  </si>
  <si>
    <t>cuisine-raw-CARROTS</t>
  </si>
  <si>
    <t>cuisine-starch-BABY FAVA BEANS</t>
  </si>
  <si>
    <t>Poissonnerie--SMOKED FISH</t>
  </si>
  <si>
    <t>BAR-TEAS</t>
  </si>
  <si>
    <t>255 0   255  #FF00FF</t>
  </si>
  <si>
    <t>cuisine--ENTRANTES</t>
  </si>
  <si>
    <t>pastelería--ENTREMETS</t>
  </si>
  <si>
    <t>traiteur-ENTRANTE FRÍO</t>
  </si>
  <si>
    <t>charcutería--CONEJO</t>
  </si>
  <si>
    <t>cocción--A LA PARRILLA</t>
  </si>
  <si>
    <t>cuisine-proteínas-TERnera</t>
  </si>
  <si>
    <t>cuisine-cocido-REMOLACHAS</t>
  </si>
  <si>
    <t>cuisine-crudité-ZANAHORIAS</t>
  </si>
  <si>
    <t>cuisine-féculent-HABITAS (HABAS BABY)</t>
  </si>
  <si>
    <t>Poissonnerie--AHUMADOS</t>
  </si>
  <si>
    <t>BAR-TÉS</t>
  </si>
  <si>
    <t>255 102 0    #FF6600</t>
  </si>
  <si>
    <t>255 0   0    #FF0000</t>
  </si>
  <si>
    <t>cuisine--ENTREMETS</t>
  </si>
  <si>
    <t>pastry-ENTREMET-GENOISE</t>
  </si>
  <si>
    <t>traiteur-HOT STARTER</t>
  </si>
  <si>
    <t>charcuterie-PURE POULTRY</t>
  </si>
  <si>
    <t>cooking--PLAIN</t>
  </si>
  <si>
    <t>cuisine-proteins-QUAIL</t>
  </si>
  <si>
    <t>cuisine-cooked-CARROTS</t>
  </si>
  <si>
    <t>cuisine-raw-CELERY STALKS</t>
  </si>
  <si>
    <t>cuisine-starch-COCO BEANS</t>
  </si>
  <si>
    <t>Poissonnerie--MARINADES &amp; CURES</t>
  </si>
  <si>
    <t>BAR--JUICES-Juices &amp; fresh-pressed</t>
  </si>
  <si>
    <t>0   0   255  #0000FF</t>
  </si>
  <si>
    <t>pastelería-ENTREMET-GENOVESA</t>
  </si>
  <si>
    <t>traiteur-ENTRANTE CALIENTE</t>
  </si>
  <si>
    <t>charcutería-PURA AVE</t>
  </si>
  <si>
    <t>cocción--NATURAL</t>
  </si>
  <si>
    <t>cuisine-proteínas-CODORNICES</t>
  </si>
  <si>
    <t>cuisine-cocido-ZANAHORIAS</t>
  </si>
  <si>
    <t>cuisine-crudité-APIO EN RAMA</t>
  </si>
  <si>
    <t>cuisine-féculent-ALUBIAS COCO</t>
  </si>
  <si>
    <t>Poissonnerie--MARINADOS Y SALAZONES</t>
  </si>
  <si>
    <t>BAR--ZUMOS-Zumos y prensados</t>
  </si>
  <si>
    <t>255 204 153  #FFCC99</t>
  </si>
  <si>
    <t>204 153 255  #CC99FF</t>
  </si>
  <si>
    <t>cuisine--STARCHES</t>
  </si>
  <si>
    <t>pastry--GANACHE</t>
  </si>
  <si>
    <t>traiteur-FOIE GRAS</t>
  </si>
  <si>
    <t>charcuterie--GALANTINE</t>
  </si>
  <si>
    <t>cooking--EN PAPILLOTE</t>
  </si>
  <si>
    <t>cuisine-proteins-DUCK</t>
  </si>
  <si>
    <t>cuisine-cooked-CELERY STALKS</t>
  </si>
  <si>
    <t>cuisine-raw-CELERIAC (CELERY ROOT)</t>
  </si>
  <si>
    <t>cuisine-starch-FLAGEOLET BEANS</t>
  </si>
  <si>
    <t>Poissonnerie--TARTARES &amp; CEVICHES</t>
  </si>
  <si>
    <t>cuisine--FÉCULAS</t>
  </si>
  <si>
    <t>pastelería--GANACHE</t>
  </si>
  <si>
    <t>charcutería--GALANTINA</t>
  </si>
  <si>
    <t>cocción--EN PAPILLOTE</t>
  </si>
  <si>
    <t>cuisine-proteínas-PATO</t>
  </si>
  <si>
    <t>cuisine-cocido-APIO EN RAMA</t>
  </si>
  <si>
    <t>cuisine-crudité-APIONABO</t>
  </si>
  <si>
    <t>cuisine-féculent-FLAGEOLETS</t>
  </si>
  <si>
    <t>Poissonnerie--TÁRTAROS Y CEVICHES</t>
  </si>
  <si>
    <t>cuisine--AFTERNOON SNACK</t>
  </si>
  <si>
    <t>pastry--CAKE</t>
  </si>
  <si>
    <t>traiteur-HORS D'OEUVRES</t>
  </si>
  <si>
    <t>charcuterie--MORTADELLA</t>
  </si>
  <si>
    <t>cooking--POACHED</t>
  </si>
  <si>
    <t>cuisine-proteins-CHARCUTERIE</t>
  </si>
  <si>
    <t>cuisine-cooked-CELERIAC (CELERY ROOT)</t>
  </si>
  <si>
    <t>cuisine-raw-MUSHROOMS</t>
  </si>
  <si>
    <t>cuisine-starch-BLACK BEANS</t>
  </si>
  <si>
    <t>Poissonnerie--SOUPS &amp; BISQUES</t>
  </si>
  <si>
    <t>BAR--Sodas &amp; lemonades</t>
  </si>
  <si>
    <t>cuisine--MERIENDA</t>
  </si>
  <si>
    <t>pastelería--PASTEL</t>
  </si>
  <si>
    <t>traiteur-ENTREM ESES</t>
  </si>
  <si>
    <t>charcutería--MORTADELA</t>
  </si>
  <si>
    <t>cocción--POCHADO</t>
  </si>
  <si>
    <t>cuisine-proteínas-CHARCUTERÍA</t>
  </si>
  <si>
    <t>cuisine-cocido-APIONABO</t>
  </si>
  <si>
    <t>cuisine-crudité-CHAMPIÑONES</t>
  </si>
  <si>
    <t>cuisine-féculent-FRIJOLES/ALUBIAS NEGRAS</t>
  </si>
  <si>
    <t>Poissonnerie--SOPAS Y BISQUES</t>
  </si>
  <si>
    <t>BAR--Refrescos y limonadas</t>
  </si>
  <si>
    <t>cuisine-DAIRY + STARCHES</t>
  </si>
  <si>
    <t>pastry--MERINGUE</t>
  </si>
  <si>
    <t>traiteur-CATERING PASTRY</t>
  </si>
  <si>
    <t>charcuterie-COUNTRY PÂTÉ</t>
  </si>
  <si>
    <t>cooking--PAN-ROASTED</t>
  </si>
  <si>
    <t>cuisine-proteins-SHELLFISH (MOLLUSCS)</t>
  </si>
  <si>
    <t>cuisine-cooked-MUSHROOMS</t>
  </si>
  <si>
    <t>cuisine-raw-WHITE CABBAGE</t>
  </si>
  <si>
    <t>cuisine-starch-RED BEANS</t>
  </si>
  <si>
    <t>Poissonnerie--BASIC PREPARATIONS</t>
  </si>
  <si>
    <t>BAR--Syrups &amp; shrubs</t>
  </si>
  <si>
    <t>cuisine-LÁCTEOS + FÉCULAS</t>
  </si>
  <si>
    <t>pastelería--MERENGUE</t>
  </si>
  <si>
    <t>traiteur-PASTELERÍA DE CÁTERING</t>
  </si>
  <si>
    <t>charcutería-PATÉ DE CAMPAÑA</t>
  </si>
  <si>
    <t>cocción--A LA SARTÉN</t>
  </si>
  <si>
    <t>cuisine-proteínas-MOLUSCOS</t>
  </si>
  <si>
    <t>cuisine-cocido-CHAMPIÑONES</t>
  </si>
  <si>
    <t>cuisine-crudité-COL BLANCA</t>
  </si>
  <si>
    <t>cuisine-féculent-FRIJOLES/ALUBIAS ROJAS</t>
  </si>
  <si>
    <t>Poissonnerie--PREPARACIONES BÁSICAS</t>
  </si>
  <si>
    <t>BAR--Jarabes y shrubs</t>
  </si>
  <si>
    <t>cuisine-DAIRY-CHEESES</t>
  </si>
  <si>
    <t>pastry--MOUSSES</t>
  </si>
  <si>
    <t>traiteur-COMPOSED SALAD</t>
  </si>
  <si>
    <t>charcuterie-LIVER PÂTÉ</t>
  </si>
  <si>
    <t>cooking--STEWED</t>
  </si>
  <si>
    <t>cuisine-proteins-CRUSTACEANS</t>
  </si>
  <si>
    <t>cuisine-cooked-WHITE CABBAGE</t>
  </si>
  <si>
    <t>cuisine-raw-RED CABBAGE</t>
  </si>
  <si>
    <t>cuisine-starch-SOISSON BEANS</t>
  </si>
  <si>
    <t>Poissonnerie--SAUCES &amp; BUTTERS</t>
  </si>
  <si>
    <t>BAR--Punches</t>
  </si>
  <si>
    <t>cuisine-LÁCTEOS-QUESOS</t>
  </si>
  <si>
    <t>pastelería--MOUSSES</t>
  </si>
  <si>
    <t>traiteur-ENSALADA COMPUESTA</t>
  </si>
  <si>
    <t>charcutería-PATÉ DE HÍGADO</t>
  </si>
  <si>
    <t>cocción--ESTOFADO</t>
  </si>
  <si>
    <t>cuisine-proteínas-CRUSTÁCEOS</t>
  </si>
  <si>
    <t>cuisine-cocido-COL BLANCA</t>
  </si>
  <si>
    <t>cuisine-crudité-COL ROJA (LOMBARDA)</t>
  </si>
  <si>
    <t>cuisine-féculent-ALUBIAS SOISSON</t>
  </si>
  <si>
    <t>Poissonnerie--SALSAS Y MANTEQUILLAS</t>
  </si>
  <si>
    <t>BAR--Ponches</t>
  </si>
  <si>
    <t>cuisine--PASTRIES</t>
  </si>
  <si>
    <t>pastry-DOUGH-BRIOCHE</t>
  </si>
  <si>
    <t>traiteur-SIMPLE SALAD</t>
  </si>
  <si>
    <t>charcuterie--QUENELLES</t>
  </si>
  <si>
    <t>cooking--ROASTED</t>
  </si>
  <si>
    <t>cuisine-proteins-TURKEY</t>
  </si>
  <si>
    <t>cuisine-cooked-RED CABBAGE</t>
  </si>
  <si>
    <t>cuisine-raw-BROCCOLI</t>
  </si>
  <si>
    <t>cuisine-starch-WHITE BEANS</t>
  </si>
  <si>
    <t>Poissonnerie--COD</t>
  </si>
  <si>
    <t>BAR-Fermented-(kefir, kombucha)</t>
  </si>
  <si>
    <t>cuisine--PASTELERÍA</t>
  </si>
  <si>
    <t>pastelería-MASA-BRIOCHE</t>
  </si>
  <si>
    <t>traiteur-ENSALADA SIMPLE</t>
  </si>
  <si>
    <t>charcutería--QUENELLES</t>
  </si>
  <si>
    <t>cocción--ASADO</t>
  </si>
  <si>
    <t>cuisine-proteínas-PAVO</t>
  </si>
  <si>
    <t>cuisine-cocido-COL ROJA (LOMBARDA)</t>
  </si>
  <si>
    <t>cuisine-crudité-BRÓCOLI</t>
  </si>
  <si>
    <t>cuisine-féculent-ALUBIAS BLANCAS</t>
  </si>
  <si>
    <t>Poissonnerie--BACALAO</t>
  </si>
  <si>
    <t>BAR-Fermentadas-(kéfir, kombucha)</t>
  </si>
  <si>
    <t>cuisine-MAIN COURSE</t>
  </si>
  <si>
    <t>pastry-DOUGH-CROISSANTS</t>
  </si>
  <si>
    <t>traiteur-HOT SAUCE</t>
  </si>
  <si>
    <t>charcuterie--RILLETTES</t>
  </si>
  <si>
    <t>cooking--BRINED</t>
  </si>
  <si>
    <t>cuisine-proteins-STUFFINGS</t>
  </si>
  <si>
    <t>cuisine-cooked-BROCCOLI</t>
  </si>
  <si>
    <t>cuisine-raw-CHINESE CABBAGE</t>
  </si>
  <si>
    <t>cuisine-starch-LENTILS</t>
  </si>
  <si>
    <t>Poissonnerie--SALMON</t>
  </si>
  <si>
    <t>cuisine-PLATO PRINCIPAL</t>
  </si>
  <si>
    <t>pastelería-MASA-CROISSANT</t>
  </si>
  <si>
    <t>traiteur-SALSA CALIENTE</t>
  </si>
  <si>
    <t>charcutería--RILLETTES</t>
  </si>
  <si>
    <t>cocción--SALMUERADO</t>
  </si>
  <si>
    <t>cuisine-proteínas-RELLENOS</t>
  </si>
  <si>
    <t>cuisine-cocido-BRÓCOLI</t>
  </si>
  <si>
    <t>cuisine-crudité-COL CHINA</t>
  </si>
  <si>
    <t>cuisine-féculent-LENTEJAS</t>
  </si>
  <si>
    <t>Poissonnerie--SALMÓN</t>
  </si>
  <si>
    <t>cuisine-COMPLETE DISHES</t>
  </si>
  <si>
    <t>pastry-DOUGH-PUFF PASTRY</t>
  </si>
  <si>
    <t>traiteur-HOT EMULSIFIED SAUCE</t>
  </si>
  <si>
    <t>charcuterie--RILLONS</t>
  </si>
  <si>
    <t>cooking-SAUTEED-WITH SAUCE</t>
  </si>
  <si>
    <t>cuisine-proteins-GAME BIRDS</t>
  </si>
  <si>
    <t>cuisine-cooked-BRUSSELS SPROUTS</t>
  </si>
  <si>
    <t>cuisine-raw-CAULIFLOWER</t>
  </si>
  <si>
    <t>cuisine-starch-CORN (MAIZE)</t>
  </si>
  <si>
    <t>Poissonnerie--TUNA</t>
  </si>
  <si>
    <t>BAR--Fruity</t>
  </si>
  <si>
    <t>cuisine-PLATOS COMPLETOS</t>
  </si>
  <si>
    <t>pastelería-MASA-HOJALDRADA</t>
  </si>
  <si>
    <t>traiteur-SALSA EMULSIONADA CALIENTE</t>
  </si>
  <si>
    <t>charcutería--RILLONS (de cerdo)</t>
  </si>
  <si>
    <t>cocción-SALTEADO-CON SALSA</t>
  </si>
  <si>
    <t>cuisine-proteínas-CAZA DE PLUMA</t>
  </si>
  <si>
    <t>cuisine-cocido-COLES DE BRUSELAS</t>
  </si>
  <si>
    <t>cuisine-crudité-COLIFLOR</t>
  </si>
  <si>
    <t>cuisine-féculent-MAÍZ</t>
  </si>
  <si>
    <t>Poissonnerie--ATÚN</t>
  </si>
  <si>
    <t>BAR--Afrutado</t>
  </si>
  <si>
    <t>cuisine-FISH</t>
  </si>
  <si>
    <t>pastry-DOUGH-BREAD</t>
  </si>
  <si>
    <t>traiteur-COLD SAUCE</t>
  </si>
  <si>
    <t>charcuterie--ROULADE</t>
  </si>
  <si>
    <t>cooking-SAUTEED-WITHOUT SAUCE</t>
  </si>
  <si>
    <t>cuisine-proteins-GAME (MAMMALS)</t>
  </si>
  <si>
    <t>cuisine-cooked-CHINESE CABBAGE</t>
  </si>
  <si>
    <t>cuisine-raw-ROMANESCO</t>
  </si>
  <si>
    <t>cuisine-starch-POTATOES</t>
  </si>
  <si>
    <t>Poissonnerie--SEA BREAM</t>
  </si>
  <si>
    <t>BAR--Creamy</t>
  </si>
  <si>
    <t>cuisine-PESCADOS</t>
  </si>
  <si>
    <t>pastelería-MASA-PAN</t>
  </si>
  <si>
    <t>traiteur-SALSA FRÍA</t>
  </si>
  <si>
    <t>charcutería--ROULADE</t>
  </si>
  <si>
    <t>cocción-SALTEADO-SIN SALSA</t>
  </si>
  <si>
    <t>cuisine-proteínas-CAZA DE PELO</t>
  </si>
  <si>
    <t>cuisine-cocido-COL CHINA</t>
  </si>
  <si>
    <t>cuisine-crudité-ROMANESCO</t>
  </si>
  <si>
    <t>cuisine-féculent-PATATAS</t>
  </si>
  <si>
    <t>Poissonnerie--DORADA</t>
  </si>
  <si>
    <t>BAR--Cremoso</t>
  </si>
  <si>
    <t>cuisine-HOT PREPARATIONS</t>
  </si>
  <si>
    <t>pastry-DOUGH-SANDWICH BREAD</t>
  </si>
  <si>
    <t>traiteur-VEGETABLE TERRINE</t>
  </si>
  <si>
    <t>charcuterie--SAUSAGE</t>
  </si>
  <si>
    <t>cooking--STEAMED</t>
  </si>
  <si>
    <t>cuisine-proteins-JUS / STOCK</t>
  </si>
  <si>
    <t>cuisine-cooked-SAVOY CABBAGE</t>
  </si>
  <si>
    <t>cuisine-raw-CUCUMBERS</t>
  </si>
  <si>
    <t>cuisine-starch-PASTA</t>
  </si>
  <si>
    <t>Poissonnerie--HAKE</t>
  </si>
  <si>
    <t>BAR--Classics</t>
  </si>
  <si>
    <t>cuisine-PREPARACIONES CALIENTES</t>
  </si>
  <si>
    <t>pastelería-MASA-PAN DE MOLDE</t>
  </si>
  <si>
    <t>traiteur-TERRINA DE VERDURAS</t>
  </si>
  <si>
    <t>charcutería--SALCHICHA</t>
  </si>
  <si>
    <t>cocción--AL VAPOR</t>
  </si>
  <si>
    <t>cuisine-proteínas-JUS / CALDO</t>
  </si>
  <si>
    <t>cuisine-cocido-COL DE SABOYA</t>
  </si>
  <si>
    <t>cuisine-crudité-PEPINOS</t>
  </si>
  <si>
    <t>cuisine-féculent-PASTA</t>
  </si>
  <si>
    <t>Poissonnerie--MERLUZA</t>
  </si>
  <si>
    <t>BAR--Clásicos</t>
  </si>
  <si>
    <t>cuisine--MEATS</t>
  </si>
  <si>
    <t>pastry-DOUGH-SAVARIN</t>
  </si>
  <si>
    <t>traiteur-FISH TERRINE</t>
  </si>
  <si>
    <t>charcuterie-LIVER SAUSAGE</t>
  </si>
  <si>
    <t>cuisine-proteins-RABBIT</t>
  </si>
  <si>
    <t>cuisine-cooked-CAULIFLOWER</t>
  </si>
  <si>
    <t>cuisine-raw-ZUCCHINI</t>
  </si>
  <si>
    <t>cuisine-starch-CHICKPEAS</t>
  </si>
  <si>
    <t>Poissonnerie--POLLOCK</t>
  </si>
  <si>
    <t>cuisine--CARNES</t>
  </si>
  <si>
    <t>pastelería-MASA-SAVARIN</t>
  </si>
  <si>
    <t>traiteur-TERRINA DE PESCADO</t>
  </si>
  <si>
    <t>charcutería-SALCHICHA DE HÍGADO</t>
  </si>
  <si>
    <t>cuisine-proteínas-CONEJO</t>
  </si>
  <si>
    <t>cuisine-cocido-COLIFLOR</t>
  </si>
  <si>
    <t>cuisine-crudité-CALABACINES</t>
  </si>
  <si>
    <t>cuisine-féculent-GARBANZOS</t>
  </si>
  <si>
    <t>Poissonnerie--ABADEJO</t>
  </si>
  <si>
    <t>BAR--De autor</t>
  </si>
  <si>
    <t>cuisine--POULTRY</t>
  </si>
  <si>
    <t>pastry-DOUGH-YEASTED</t>
  </si>
  <si>
    <t>traiteur-MEAT TERRINE</t>
  </si>
  <si>
    <t>charcuterie--OFFAL</t>
  </si>
  <si>
    <t>cuisine-proteins-MUTTON</t>
  </si>
  <si>
    <t>cuisine-cooked-ROMANESCO</t>
  </si>
  <si>
    <t>cuisine-raw-ENDIVES</t>
  </si>
  <si>
    <t>cuisine-starch-POLENTA</t>
  </si>
  <si>
    <t>Poissonnerie--FRESH (DAY)</t>
  </si>
  <si>
    <t>cuisine--AVES</t>
  </si>
  <si>
    <t>pastelería-MASA-LEVADA</t>
  </si>
  <si>
    <t>traiteur-TERRINA DE CARNE</t>
  </si>
  <si>
    <t>charcutería--CASCQUERÍA</t>
  </si>
  <si>
    <t>cuisine-proteínas-CARNE DE OVEJA (MUTTON)</t>
  </si>
  <si>
    <t>cuisine-cocido-ROMANESCO</t>
  </si>
  <si>
    <t>cuisine-crudité-ENDIVIAS</t>
  </si>
  <si>
    <t>Poissonnerie--FRESCO (DEL DÍA)</t>
  </si>
  <si>
    <t>BAR--Corto</t>
  </si>
  <si>
    <t>cuisine--SOUP</t>
  </si>
  <si>
    <t>pastry-DOUGH-SHORT/DRY</t>
  </si>
  <si>
    <t>traiteur-POULTRY TERRINE</t>
  </si>
  <si>
    <t>charcuterie--CONFIT</t>
  </si>
  <si>
    <t>cuisine-proteins-EGGS</t>
  </si>
  <si>
    <t>cuisine-cooked-HEARTS OF PALM</t>
  </si>
  <si>
    <t>cuisine-raw-SPINACH</t>
  </si>
  <si>
    <t>cuisine-starch-RICE</t>
  </si>
  <si>
    <t>Poissonnerie--FROZEN</t>
  </si>
  <si>
    <t>cuisine--SOPA</t>
  </si>
  <si>
    <t>pastelería-MASA-SECA</t>
  </si>
  <si>
    <t>traiteur-TERRINA DE AVE</t>
  </si>
  <si>
    <t>charcutería--CONFITADO</t>
  </si>
  <si>
    <t>cuisine-proteínas-HUEVOS</t>
  </si>
  <si>
    <t>cuisine-cocido-PALMITOS</t>
  </si>
  <si>
    <t>cuisine-crudité-ESPINACAS</t>
  </si>
  <si>
    <t>cuisine-féculent-ARROZ</t>
  </si>
  <si>
    <t>Poissonnerie--CONGELADO</t>
  </si>
  <si>
    <t>BAR--Largo</t>
  </si>
  <si>
    <t>cuisine--EGGS</t>
  </si>
  <si>
    <t>pastry-DOUGH-SWEET (PÂTE SUCRÉE)</t>
  </si>
  <si>
    <t>traiteur-COCKTAIL BITES</t>
  </si>
  <si>
    <t>charcuterie--PÂTÉS</t>
  </si>
  <si>
    <t>cuisine-proteins-FISH</t>
  </si>
  <si>
    <t>cuisine-cooked-CUCUMBERS</t>
  </si>
  <si>
    <t>cuisine-raw-FENNEL</t>
  </si>
  <si>
    <t>cuisine-starch-RUTABAGA</t>
  </si>
  <si>
    <t>Poissonnerie--STUFFED</t>
  </si>
  <si>
    <t>cuisine--HUEVOS</t>
  </si>
  <si>
    <t>pastelería-MASA-DULCE (PÂTE SUCRÉE)</t>
  </si>
  <si>
    <t>traiteur-BOCADITOS DE APERITIVO</t>
  </si>
  <si>
    <t>charcutería--PATÉS</t>
  </si>
  <si>
    <t>cuisine-proteínas-PESCADO</t>
  </si>
  <si>
    <t>cuisine-cocido-PEPINOS</t>
  </si>
  <si>
    <t>cuisine-crudité-HINOJO</t>
  </si>
  <si>
    <t>cuisine-féculent-NABO SUECO (RUTABAGA)</t>
  </si>
  <si>
    <t>Poissonnerie--RELLENO</t>
  </si>
  <si>
    <t>cuisine--SHELLFISH</t>
  </si>
  <si>
    <t>pastry-DOUGHS-FOR-…</t>
  </si>
  <si>
    <t>traiteur-COLD BUFFET</t>
  </si>
  <si>
    <t>charcuterie--TERRINES</t>
  </si>
  <si>
    <t>cuisine-proteins-PORK</t>
  </si>
  <si>
    <t>cuisine-cooked-SQUASH</t>
  </si>
  <si>
    <t>cuisine-raw-TURNIPS</t>
  </si>
  <si>
    <t>cuisine-starch-SEMOLINA (COUSCOUS)</t>
  </si>
  <si>
    <t>cuisine--CRUSTÁCEOS</t>
  </si>
  <si>
    <t>pastelería-MASAS-PARA-…</t>
  </si>
  <si>
    <t>traiteur-BUFÉ FRÍO</t>
  </si>
  <si>
    <t>charcutería--TERRINAS</t>
  </si>
  <si>
    <t>cuisine-proteínas-CERDO</t>
  </si>
  <si>
    <t>cuisine-cocido-CALABAZA</t>
  </si>
  <si>
    <t>cuisine-crudité-NABOS</t>
  </si>
  <si>
    <t>cuisine-féculent-SÉMOLA (COUSCOUS)</t>
  </si>
  <si>
    <t>cuisine--SAUTE</t>
  </si>
  <si>
    <t>pastry-FRUIT PASTES (PÂTES DE FRUITS)</t>
  </si>
  <si>
    <t>traiteur-HOT BUFFET</t>
  </si>
  <si>
    <t>cuisine-proteins-HEN</t>
  </si>
  <si>
    <t>cuisine-cooked-ZUCCHINI</t>
  </si>
  <si>
    <t>cuisine-raw-ONIONS</t>
  </si>
  <si>
    <t>cuisine-starch-JERUSALEM ARTICHOKE</t>
  </si>
  <si>
    <t>cuisine--SALTEADO</t>
  </si>
  <si>
    <t>pastelería-PÂTES-DE-FRUITS (DULCES DE FRUTA)</t>
  </si>
  <si>
    <t>traiteur-BUFÉ CALIENTE</t>
  </si>
  <si>
    <t>cuisine-proteínas-GALLINA</t>
  </si>
  <si>
    <t>cuisine-cocido-CALABACINES</t>
  </si>
  <si>
    <t>cuisine-crudité-CEBOLLAS</t>
  </si>
  <si>
    <t>cuisine-féculent-ALCACHOFA DE JERUSALÉN</t>
  </si>
  <si>
    <t>cuisine--STEW</t>
  </si>
  <si>
    <t>pastry--PETITS FOURS</t>
  </si>
  <si>
    <t>traiteur-COMPOSED SALADS</t>
  </si>
  <si>
    <t>charcuterie--SAUSAGES (casings)</t>
  </si>
  <si>
    <t>cuisine-proteins-CHICKEN</t>
  </si>
  <si>
    <t>cuisine-cooked-CROSNE (CHINESE ARTICHOKE)</t>
  </si>
  <si>
    <t>cuisine-raw-YELLOW BELL PEPPERS</t>
  </si>
  <si>
    <t>cuisine--ESTOFADO</t>
  </si>
  <si>
    <t>pastelería--PETITS FOURS</t>
  </si>
  <si>
    <t>traiteur-ENSALADAS COMPUESTAS</t>
  </si>
  <si>
    <t>charcutería--SALCHICHAS (en tripa)</t>
  </si>
  <si>
    <t>cuisine-proteínas-POLLO</t>
  </si>
  <si>
    <t>cuisine-cocido-CROSNE (ALCACHOFA CHINA)</t>
  </si>
  <si>
    <t>cuisine-crudité-PIMIENTOS AMARILLOS</t>
  </si>
  <si>
    <t>pastry--PUDDING</t>
  </si>
  <si>
    <t>charcuterie--HAMS &amp; CURED MEATS</t>
  </si>
  <si>
    <t>cuisine-proteins-VEAL</t>
  </si>
  <si>
    <t>cuisine-cooked-ENDIVES</t>
  </si>
  <si>
    <t>cuisine-raw-RED BELL PEPPERS</t>
  </si>
  <si>
    <t>cuisine--GRATÉN</t>
  </si>
  <si>
    <t>pastelería--PUDIN</t>
  </si>
  <si>
    <t>charcutería--JAMONES Y SALAZONES</t>
  </si>
  <si>
    <t>cuisine-proteínas-TERNERA</t>
  </si>
  <si>
    <t>cuisine-cocido-ENDIVIAS</t>
  </si>
  <si>
    <t>cuisine-crudité-PIMIENTOS ROJOS</t>
  </si>
  <si>
    <t>cuisine--PORK</t>
  </si>
  <si>
    <t>pastry--VIENNOISERIES</t>
  </si>
  <si>
    <t>traiteur--PUFF-PASTRY BITES</t>
  </si>
  <si>
    <t>charcuterie--BALLOTINES</t>
  </si>
  <si>
    <t>cuisine-cooked-SPINACH</t>
  </si>
  <si>
    <t>cuisine-raw-GREEN BELL PEPPERS</t>
  </si>
  <si>
    <t>cuisine--CERDO</t>
  </si>
  <si>
    <t>pastelería--VIENNOISERIES</t>
  </si>
  <si>
    <t>traiteur--HOJALDRES</t>
  </si>
  <si>
    <t>charcutería--BALOTINAS</t>
  </si>
  <si>
    <t>cuisine-cocido-ESPINACAS</t>
  </si>
  <si>
    <t>cuisine-crudité-PIMIENTOS VERDES</t>
  </si>
  <si>
    <t>cuisine--VEAL</t>
  </si>
  <si>
    <t>pastry--TARTS</t>
  </si>
  <si>
    <t>charcuterie--ASPICS</t>
  </si>
  <si>
    <t>cuisine-cooked-FENNEL</t>
  </si>
  <si>
    <t>cuisine-raw-BLACK RADISHES</t>
  </si>
  <si>
    <t>cuisine--TERNERA</t>
  </si>
  <si>
    <t>pastelería--TARTAS</t>
  </si>
  <si>
    <t>charcutería--ASPICS</t>
  </si>
  <si>
    <t>cuisine-cocido-HINOJO</t>
  </si>
  <si>
    <t>cuisine-crudité-RÁBANOS NEGROS</t>
  </si>
  <si>
    <t>cuisine--LAMB</t>
  </si>
  <si>
    <t>pastry--MACARONS</t>
  </si>
  <si>
    <t>traiteur--DISHES</t>
  </si>
  <si>
    <t>charcuterie--HEAD CHEESE</t>
  </si>
  <si>
    <t>cuisine-cooked-TURNIPS</t>
  </si>
  <si>
    <t>cuisine-raw-RED RADISHES</t>
  </si>
  <si>
    <t>cuisine--CORDERO</t>
  </si>
  <si>
    <t>pastelería--MACARONS</t>
  </si>
  <si>
    <t>traiteur--PLATOS</t>
  </si>
  <si>
    <t>charcutería--QUESO DE CABEZA</t>
  </si>
  <si>
    <t>cuisine-cocido-NABOS</t>
  </si>
  <si>
    <t>cuisine-crudité-RÁBANOS ROSAS</t>
  </si>
  <si>
    <t>pastry--CHOCOLATE WORK</t>
  </si>
  <si>
    <t>traiteur--GARNISHES</t>
  </si>
  <si>
    <t>charcuterie--CONFITS</t>
  </si>
  <si>
    <t>cuisine-cooked-ONIONS</t>
  </si>
  <si>
    <t>cuisine-raw-SALAD BATAVIA</t>
  </si>
  <si>
    <t>pastelería--CHOCOLATERÍA</t>
  </si>
  <si>
    <t>traiteur--GUARNICIONES</t>
  </si>
  <si>
    <t>charcutería--CONFITS</t>
  </si>
  <si>
    <t>cuisine-cocido-CEBOLLAS</t>
  </si>
  <si>
    <t>cuisine-crudité-ENSALADA BATAVIA</t>
  </si>
  <si>
    <t>pastry--CREAMS &amp; MOUSSES</t>
  </si>
  <si>
    <t>charcuterie--SMOKED PRODUCTS</t>
  </si>
  <si>
    <t>cuisine-cooked-PATTYPAN SQUASH</t>
  </si>
  <si>
    <t>cuisine-raw-SALAD CHICORY</t>
  </si>
  <si>
    <t>pastelería--CREMAS Y MOUSSES</t>
  </si>
  <si>
    <t>charcutería--AHUMADOS</t>
  </si>
  <si>
    <t>cuisine-cocido-PATISSON (CALABAZA BONETERA)</t>
  </si>
  <si>
    <t>cuisine-crudité-ENSALADA ACHICORIA</t>
  </si>
  <si>
    <t>pastry--BASIC DOUGHS</t>
  </si>
  <si>
    <t>charcuterie--CRACKLINGS</t>
  </si>
  <si>
    <t>cuisine-cooked-YELLOW BELL PEPPERS</t>
  </si>
  <si>
    <t>cuisine-raw-SALAD CRESS</t>
  </si>
  <si>
    <t>pastelería--MASAS BÁSICAS</t>
  </si>
  <si>
    <t>charcutería--CHICHARRONES</t>
  </si>
  <si>
    <t>cuisine-cocido-PIMIENTOS AMARILLOS</t>
  </si>
  <si>
    <t>cuisine-crudité-ENSALADA BERRO</t>
  </si>
  <si>
    <t>pastry--YULE LOGS (BÛCHES)</t>
  </si>
  <si>
    <t>cuisine-cooked-RED BELL PEPPERS</t>
  </si>
  <si>
    <t>cuisine-raw-SALAD ENDIVE</t>
  </si>
  <si>
    <t>pastelería--TRONCOS (BÛCHES)</t>
  </si>
  <si>
    <t>cuisine-cocido-PIMIENTOS ROJOS</t>
  </si>
  <si>
    <t>cuisine-crudité-ENSALADA ENDIVIA</t>
  </si>
  <si>
    <t>cuisine-cooked-GREEN BELL PEPPERS</t>
  </si>
  <si>
    <t>cuisine-raw-SALAD OAK LEAF</t>
  </si>
  <si>
    <t>cuisine-cocido-PIMIENTOS VERDES</t>
  </si>
  <si>
    <t>cuisine-crudité-ENSALADA HOJA DE ROBLE</t>
  </si>
  <si>
    <t>pastry--ICE CREAM &amp; FROZEN DESSERTS</t>
  </si>
  <si>
    <t>cuisine-cooked-PUMPKIN</t>
  </si>
  <si>
    <t>cuisine-raw-SALAD FRISÉE</t>
  </si>
  <si>
    <t>pastelería--HELADERÍA</t>
  </si>
  <si>
    <t>cuisine-cocido-CALABAZA (POTIRON)</t>
  </si>
  <si>
    <t>cuisine-crudité-ENSALADA FRISÉE</t>
  </si>
  <si>
    <t>pastry--DECORATIONS</t>
  </si>
  <si>
    <t>cuisine-cooked-BAMBOO SHOOTS</t>
  </si>
  <si>
    <t>cuisine-raw-SALAD ICEBERG</t>
  </si>
  <si>
    <t>pastelería--DECORACIONES</t>
  </si>
  <si>
    <t>cuisine-cocido-BROTES DE BAMBÚ</t>
  </si>
  <si>
    <t>cuisine-crudité-ENSALADA ICEBERG</t>
  </si>
  <si>
    <t>cuisine-cooked-BLACK RADISHES</t>
  </si>
  <si>
    <t>cuisine-raw-SALAD KRISETTE</t>
  </si>
  <si>
    <t>cuisine-cocido-RÁBANOS NEGROS</t>
  </si>
  <si>
    <t>cuisine-crudité-ENSALADA KRISETTE</t>
  </si>
  <si>
    <t>cuisine-cooked-RED RADISHES</t>
  </si>
  <si>
    <t>cuisine-raw-SALAD LETTUCE</t>
  </si>
  <si>
    <t>cuisine-cocido-RÁBANOS ROSAS</t>
  </si>
  <si>
    <t>cuisine-crudité-ENSALADA LECHUGA</t>
  </si>
  <si>
    <t>cuisine-cooked-LETTUCE</t>
  </si>
  <si>
    <t>cuisine-raw-SALAD LOLLO ROSA</t>
  </si>
  <si>
    <t>cuisine-cocido-LECHUGA</t>
  </si>
  <si>
    <t>cuisine-crudité-ENSALADA LOLLO ROSA</t>
  </si>
  <si>
    <t>cuisine-cooked-SALSIFY</t>
  </si>
  <si>
    <t>cuisine-raw-SALAD LAMB’S LETTUCE (MÂCHE)</t>
  </si>
  <si>
    <t>cuisine-cocido-SALSIFÍ</t>
  </si>
  <si>
    <t>cuisine-crudité-ENSALADA CANÓNIGOS (MÂCHE)</t>
  </si>
  <si>
    <t>cuisine-cooked-SOY</t>
  </si>
  <si>
    <t>cuisine-raw-SALAD MESCLUN</t>
  </si>
  <si>
    <t>cuisine-cocido-SOJA</t>
  </si>
  <si>
    <t>cuisine-crudité-ENSALADA MESCLUN</t>
  </si>
  <si>
    <t>cuisine-cooked-CHERRY TOMATOES</t>
  </si>
  <si>
    <t>cuisine-raw-SALAD DANDELION</t>
  </si>
  <si>
    <t>cuisine-cocido-TOMATES CHERRY</t>
  </si>
  <si>
    <t>cuisine-crudité-ENSALADA DIENTE DE LEÓN</t>
  </si>
  <si>
    <t>cuisine-cooked-MARMANDE TOMATOES</t>
  </si>
  <si>
    <t>cuisine-raw-SALAD ROMAINE</t>
  </si>
  <si>
    <t>cuisine-cocido-TOMATES MARMANDE</t>
  </si>
  <si>
    <t>cuisine-crudité-ENSALADA ROMANA</t>
  </si>
  <si>
    <t>cuisine-cooked-OLIVETTE (PLUM) TOMATOES</t>
  </si>
  <si>
    <t>cuisine-raw-SALAD ESCAROLE</t>
  </si>
  <si>
    <t>cuisine-cocido-TOMATES OLIVETTE (PERA)</t>
  </si>
  <si>
    <t>cuisine-crudité-ENSALADA ESCAROLA</t>
  </si>
  <si>
    <t>cuisine-cooked-ROMA TOMATOES</t>
  </si>
  <si>
    <t>cuisine-raw-SALAD TREVISO</t>
  </si>
  <si>
    <t>cuisine-cocido-TOMATES ROMA</t>
  </si>
  <si>
    <t>cuisine-crudité-ENSALADA TREVISO</t>
  </si>
  <si>
    <t>cuisine-raw-SALAD (GENERAL)</t>
  </si>
  <si>
    <t>cuisine-crudité-ENSALADA (GENERAL)</t>
  </si>
  <si>
    <t>COMPOSED SALADS</t>
  </si>
  <si>
    <t>ENSALADAS COMPUESTAS</t>
  </si>
  <si>
    <t>cuisine-raw-SALSIFY</t>
  </si>
  <si>
    <t>cuisine-crudité-SALSIFÍ</t>
  </si>
  <si>
    <t>cuisine-raw-SOY</t>
  </si>
  <si>
    <t>cuisine-raw-TOMATOES</t>
  </si>
  <si>
    <t>cuisine-raw-CHERRY TOMATOES</t>
  </si>
  <si>
    <t>cuisine-crudité-TOMATES CHERRY</t>
  </si>
  <si>
    <t>cuisine-raw-MARMANDE TOMATOES</t>
  </si>
  <si>
    <t>cuisine-raw-OLIVETTE (PLUM) TOMATOES</t>
  </si>
  <si>
    <t>cuisine-crudité-TOMATES OLIVETTE (PERA)</t>
  </si>
  <si>
    <t>cuisine-raw-ROMA TOMATOES</t>
  </si>
  <si>
    <t>cuisine-crudité-TOMATES ROMA</t>
  </si>
  <si>
    <t>Collez cette ligne de séparation avec un "A" entre 2 Postits  -  Paste this separation line with an “A” between 2 Postits  -  Pegue esta línea de separación con una “A” entre 2 Postits.</t>
  </si>
  <si>
    <t>Collez la photo du plat - (alt.) Insert the photo of the dish - (alt.) Inserte la foto del plato.</t>
  </si>
  <si>
    <t>ou collez un imprim' écran - or paste a screenshot - o pegue una captura de pantalla (alt.: “un pantallazo”)</t>
  </si>
  <si>
    <t xml:space="preserve">  ▼ BROUILLON - DRAFT - BORRADOR</t>
  </si>
  <si>
    <t>◄ test No. of characters + spaces (alt.: test character count + spaces)</t>
  </si>
  <si>
    <t>◄ prueba Nº de caracteres + espacios (alt.: recuento de caracteres + espacios)</t>
  </si>
  <si>
    <t>Joel Leboucher - Rochefort sur Mer 11 Octobre 2025</t>
  </si>
  <si>
    <t>The translations were made with the help of ChatGPT.</t>
  </si>
  <si>
    <t>Les traductions ont été faites avec l'aide de ChatGPT</t>
  </si>
  <si>
    <t>Las traducciones se hicieron con la ayuda de ChatGPT.</t>
  </si>
  <si>
    <t>CET AIDE MÉMOIRE  REGROUPE    X ? EXTRAITS de RECETTES DE ?                                    THIS MEMO GROUPS TOGETHER X ? EXCERPTS OF RECIPES FROM ?                                    ESTE RECORDATORIO REÚNE X ? EXTRACTOS DE RECETAS DE ?</t>
  </si>
  <si>
    <t>A chacun de choisir son mode de classement : Exemple PÂTE A CIGARETTES à répertorier dans  P ou dans C ?</t>
  </si>
  <si>
    <t>Each person can choose their own filing method: Example—PÂTE A CIGARETTES: file under P or under C?</t>
  </si>
  <si>
    <t>Cada quien puede elegir su modo de clasificación: Ejemplo—PÂTE A CIGARETTES: clasificar en P o en C?</t>
  </si>
  <si>
    <t xml:space="preserve">Date de mise à jour : 10 OCTOBRE 2025 </t>
  </si>
  <si>
    <t xml:space="preserve">Ces documents sont le fruit de mon expérience en restauration collective </t>
  </si>
  <si>
    <t>NOUVELLE VERSION V enrichie</t>
  </si>
  <si>
    <t>ainsi que du travail de passionnés qui ont partagé leurs formules et fonctions Excel en ligne.</t>
  </si>
  <si>
    <t>Annule - remplace ou complète les versions précédentes</t>
  </si>
  <si>
    <t>ff. pour fiche de fabrication</t>
  </si>
  <si>
    <t xml:space="preserve">Le Mondial de la Pifométrie &gt; </t>
  </si>
  <si>
    <t>https://www.google.com/search?client=firefox-b-d&amp;q=Mondial+de+la+Pifom%C3%A9trie</t>
  </si>
  <si>
    <t>https://www.appvizer.fr/magazine/collaboration/km/gestion-des-connaissances</t>
  </si>
  <si>
    <t xml:space="preserve">Je vous recommande de garder ce fichier comme modèle. </t>
  </si>
  <si>
    <t>Sélectionnez les feuilles qui vous intéressent, copiez-les dans votre classeur, puis supprimez les colonnes inutiles pour vous.</t>
  </si>
  <si>
    <t>Ensuite, personnalisez et adaptez les documents selon vos besoins.</t>
  </si>
  <si>
    <t>Copier une fiche Excel dans un nouveau classeur</t>
  </si>
  <si>
    <t>1️⃣ Faites un clic droit sur l’onglet de la fiche.</t>
  </si>
  <si>
    <t>2️⃣ Sélectionnez "Déplacer ou copier...".</t>
  </si>
  <si>
    <t>3️⃣ Choisissez "(nouveau classeur)", cochez "Créer une copie", puis cliquez sur OK.</t>
  </si>
  <si>
    <t>3️⃣ Choose “(new workbook)”, check “Create a copy”, then click OK.</t>
  </si>
  <si>
    <t>4️⃣ Dans le nouveau classeur, allez dans "Fichier" &gt; "Enregistrer sous", nommez et enregistrez le fichier.</t>
  </si>
  <si>
    <t>Votre fiche est prête à être envoyée ! ✅</t>
  </si>
  <si>
    <t>📌 Instructions de copie des postits</t>
  </si>
  <si>
    <t>🇫🇷 Sélectionnez un postit  🟦, copiez-le (Ctrl + C 📋), puis collez-le (Ctrl + V 📥) à l'endroit souhaité dans une autre feuille, puis ajustez la largeur des colonnes si nécessaire.</t>
  </si>
  <si>
    <t>Récupérez les formules pour vos documents</t>
  </si>
  <si>
    <t>Constituez vous des répertoires par lettres Alphabétiques</t>
  </si>
  <si>
    <t xml:space="preserve">Pour l'identification de vos fiches vous avez le choix </t>
  </si>
  <si>
    <t>Lien&gt;</t>
  </si>
  <si>
    <t xml:space="preserve"> la Piffométrie</t>
  </si>
  <si>
    <t>entre la numérotation et l'identification Alpha</t>
  </si>
  <si>
    <t>N°2</t>
  </si>
  <si>
    <t>https://savour.eu/portfolio/pifometrie/</t>
  </si>
  <si>
    <t xml:space="preserve">Alpha vous permet de vous constituer des répertoires </t>
  </si>
  <si>
    <t>et</t>
  </si>
  <si>
    <t xml:space="preserve">et de regrouper des préparations pour vous permettre </t>
  </si>
  <si>
    <t>the Wet Finger Institute</t>
  </si>
  <si>
    <t>de faire des assemblages</t>
  </si>
  <si>
    <t>à la louche</t>
  </si>
  <si>
    <t>au pif</t>
  </si>
  <si>
    <t>à vue de nez</t>
  </si>
  <si>
    <t>au doigt muoillé</t>
  </si>
  <si>
    <t>Cliquez aussi sur les liens du net</t>
  </si>
  <si>
    <t>Recettes !  Le français des sciences</t>
  </si>
  <si>
    <t>Recipes!  French for science</t>
  </si>
  <si>
    <t>https://dupala.be/upload/files/141_Pages-de-D-un-e-prof-a-l-autre-Numero-71-Octobre-2014-page15-16.pdf</t>
  </si>
  <si>
    <t>Je remercie chaleureusement les internautes passionnés qui élaborent et proposent des formules et fonctions imbriquées</t>
  </si>
  <si>
    <t>un lien rompu ou devenu obsolète…..pas de panique…Google saura vous retrouver un document équivalent</t>
  </si>
  <si>
    <t>Barquette(s)</t>
  </si>
  <si>
    <t xml:space="preserve"> Quoi ? Saisissez Morceux - tranches- portions - pièces - cerises etc….....le contenant saisissez  gastro(s) 1/1 -  grille(s) - plat(s) - louche(s) etc..</t>
  </si>
  <si>
    <t>suite automatique de A à AZ et plus</t>
  </si>
  <si>
    <t>collez cette formule ou vous voulez dans votre document</t>
  </si>
  <si>
    <t xml:space="preserve">SANS le signe = puis ajoutez le signe = au début </t>
  </si>
  <si>
    <t>positionnez vous en fin de formule puis appuyez sur entrée du clavier</t>
  </si>
  <si>
    <t>https://fr.vecteezy.com/video/5480445-appuyer-sur-la-touche-entree-sur-le-clavier-d-un-ordinateur-de-bureau</t>
  </si>
  <si>
    <t>et tirez la poignée vers le bas</t>
  </si>
  <si>
    <t>SI(LIGNE(A1)&lt;=26;CAR(LIGNE(A1)+64);CAR(ENT((LIGNE(A1)-26-1)/26)+65)&amp;CAR(MOD(LIGNE(A1)-1;26)+65))</t>
  </si>
  <si>
    <t>si vous copiez cette formule avec le signe = vous aurez une erreur #REF!</t>
  </si>
  <si>
    <t>Suites automatiques des lettres de l'alphabet avec Excel jusqu’à Z puis AA;AB etc</t>
  </si>
  <si>
    <t>https://www.youtube.com/watch?app=desktop&amp;v=Yuy1jisXErY</t>
  </si>
  <si>
    <t>Listes automatiques et séries de nombres dans Excel</t>
  </si>
  <si>
    <t>https://www.youtube.com/watch?v=FZwdUZUwnuI</t>
  </si>
  <si>
    <t>https://cellulexcel.blogspot.com/p/blog-page_16.html</t>
  </si>
  <si>
    <t>Vidéo tutorielle pour faire une liste alphabétique</t>
  </si>
  <si>
    <t>https://excel-exercice.com/comment-faire-une-liste-alphabetique-automatique/</t>
  </si>
  <si>
    <t>Comment augmenter automatiquement la lettre d'une unité pour obtenir la lettre suivante dans Excel?</t>
  </si>
  <si>
    <t>https://fr.extendoffice.com/documents/excel/4027-excel-increase-letter-by-one.html</t>
  </si>
  <si>
    <t>Demandez à ChatGPT de vous traduire la formule en Excel français</t>
  </si>
  <si>
    <t>excel Suite automatique de lettres au-delà de Z</t>
  </si>
  <si>
    <t xml:space="preserve"> tirez sur la poignée vers le bas</t>
  </si>
  <si>
    <t xml:space="preserve"> lettre A = A65 </t>
  </si>
  <si>
    <t>Coller la formule ci-dessous dans une cellule puis</t>
  </si>
  <si>
    <t>dans la formule figer toutes les lettres de colonnes par un     exemple COLONNE(X75)</t>
  </si>
  <si>
    <t>E etc…</t>
  </si>
  <si>
    <r>
      <t>Tirez la poignée de recopie vers la droite</t>
    </r>
    <r>
      <rPr>
        <sz val="20"/>
        <color theme="0"/>
        <rFont val="Calibri"/>
        <family val="2"/>
        <scheme val="minor"/>
      </rPr>
      <t xml:space="preserve"> pour étendre la formule aux cellules suivantes </t>
    </r>
  </si>
  <si>
    <t>Quelques polices de caractères utilisées</t>
  </si>
  <si>
    <t>Quelques formats utilisés</t>
  </si>
  <si>
    <t>Arial</t>
  </si>
  <si>
    <t>Calibri</t>
  </si>
  <si>
    <t>Rockwell</t>
  </si>
  <si>
    <t>Verdana</t>
  </si>
  <si>
    <t>15.5 &gt;</t>
  </si>
  <si>
    <t>ARIAL</t>
  </si>
  <si>
    <t>CALIBRI</t>
  </si>
  <si>
    <t>ROCKWELL</t>
  </si>
  <si>
    <t>VERDANA</t>
  </si>
  <si>
    <t>personnalisés &gt;</t>
  </si>
  <si>
    <t>Autres polices à découvrir</t>
  </si>
  <si>
    <t>ARIAL NARROW    Arial Narrow</t>
  </si>
  <si>
    <t>COMIC SANS MF  Comic Sans MF</t>
  </si>
  <si>
    <t>GIL SANS MT  Gill Sans MT</t>
  </si>
  <si>
    <t>PALATINO LINOTYPE  Palatino Linotype</t>
  </si>
  <si>
    <t>TAHOMA   Tahoma</t>
  </si>
  <si>
    <t>TIMES NEW ROMAN Times New Roman</t>
  </si>
  <si>
    <t>TRBUCHET MF  Trébuchet MF</t>
  </si>
  <si>
    <t>TW CEN MT  Tw Cen MT</t>
  </si>
  <si>
    <t>VRINDA   Vrinda</t>
  </si>
  <si>
    <t>Où trouver la police Helvetica ?</t>
  </si>
  <si>
    <r>
      <t xml:space="preserve">On retrouve également cette police </t>
    </r>
    <r>
      <rPr>
        <b/>
        <sz val="14"/>
        <color theme="1"/>
        <rFont val="Arial"/>
        <family val="2"/>
      </rPr>
      <t>dans des documents officiels, ou de la signalétique</t>
    </r>
    <r>
      <rPr>
        <sz val="14"/>
        <color theme="1"/>
        <rFont val="Arial"/>
        <family val="2"/>
      </rPr>
      <t>, et ce, partout dans le monde.</t>
    </r>
  </si>
  <si>
    <t xml:space="preserve"> Pour l'anecdote, la police qui compose le logotype Microsoft est également Helvetica, </t>
  </si>
  <si>
    <t>même si la société a demandé la création de l'Arial en remplacement d'Helvetica en mesure de réduction des coûts.</t>
  </si>
  <si>
    <t>Helvetica - Wikipédia</t>
  </si>
  <si>
    <t>Quelle police ressemble le plus à Helvetica ?</t>
  </si>
  <si>
    <t xml:space="preserve"> face au succès persistant des polices grotesques sans empattement telles que Helvetica et Arial.1 mars 2022</t>
  </si>
  <si>
    <t>https://fr.maisfontes.com/aktiv-grotesk-w01.police</t>
  </si>
  <si>
    <t>Les 10 polices alternatives à Helvetica - Extensis</t>
  </si>
  <si>
    <t>Pourquoi choisir la police Calibri ?</t>
  </si>
  <si>
    <t xml:space="preserve">Calibri était effectivement considéré comme une police lisible sur des documents assez courts, </t>
  </si>
  <si>
    <t xml:space="preserve">avec une allure équilibrée et qui pouvait passer aussi bien sur un grand écran d'ordinateur </t>
  </si>
  <si>
    <t>que sur une feuille de papier ou l'écran moins imposant d'un smartphone.2 mai 2021</t>
  </si>
  <si>
    <t>Quelle police se rapproche le plus de Calibri ?</t>
  </si>
  <si>
    <t>Parmi ces six polices, Calibri est la plus proche de Lucida Grande ou Lucida Sans.</t>
  </si>
  <si>
    <t>Calibri - Wikipédia</t>
  </si>
  <si>
    <t>Microsoft : par quelle police voudriez-vous remplacer Calibri</t>
  </si>
  <si>
    <t>Quelle est la police d'écriture la plus classe ?</t>
  </si>
  <si>
    <t xml:space="preserve">Garamond. C'est une police facile à lire, proche de l'écriture manuscrite, qui convient parfaitement </t>
  </si>
  <si>
    <t xml:space="preserve">aux cadres expérimentés ou aux profils littéraires. </t>
  </si>
  <si>
    <t>Garamond a la particularité de toujours mener l'œil là où il doit aller.20 juil. 2015</t>
  </si>
  <si>
    <t>Quelle est la meilleure police d'écriture à utiliser pour son CV</t>
  </si>
  <si>
    <t>https://laruche.wizbii.com › 17703-meilleure-police-ecritu...</t>
  </si>
  <si>
    <t>Rechercher : Quelle est la police d'écriture la plus classe ?</t>
  </si>
  <si>
    <r>
      <t xml:space="preserve">La </t>
    </r>
    <r>
      <rPr>
        <b/>
        <sz val="16"/>
        <color theme="1"/>
        <rFont val="Cambria"/>
        <family val="1"/>
      </rPr>
      <t>police</t>
    </r>
    <r>
      <rPr>
        <sz val="16"/>
        <color theme="1"/>
        <rFont val="Cambria"/>
        <family val="1"/>
      </rPr>
      <t xml:space="preserve"> Cambria a été conçue spécifiquement </t>
    </r>
    <r>
      <rPr>
        <b/>
        <sz val="16"/>
        <color theme="1"/>
        <rFont val="Cambria"/>
        <family val="1"/>
      </rPr>
      <t>pour</t>
    </r>
    <r>
      <rPr>
        <sz val="16"/>
        <color theme="1"/>
        <rFont val="Cambria"/>
        <family val="1"/>
      </rPr>
      <t xml:space="preserve"> être lue à l'écran. ...</t>
    </r>
  </si>
  <si>
    <t>Quelle police avec Cambria ?</t>
  </si>
  <si>
    <r>
      <t xml:space="preserve">Caladea (créée comme une </t>
    </r>
    <r>
      <rPr>
        <b/>
        <sz val="16"/>
        <color theme="1"/>
        <rFont val="Cambria"/>
        <family val="1"/>
      </rPr>
      <t>police</t>
    </r>
    <r>
      <rPr>
        <sz val="16"/>
        <color theme="1"/>
        <rFont val="Cambria"/>
        <family val="1"/>
      </rPr>
      <t xml:space="preserve"> supplémentaire de Chrome OS) a les mêmes métriques </t>
    </r>
  </si>
  <si>
    <t>que Cambria MS et peut être utilisée en remplacement.</t>
  </si>
  <si>
    <t>POUR AUDITER LES FORMULES</t>
  </si>
  <si>
    <t>Pour supprimer l'affichage des zéro sur la fiche cliquez sur : FICHIER &gt; Option &gt; Options avancées &gt;</t>
  </si>
  <si>
    <t>pour localiser la cellule correspondante cliquez sur l'onglet FORMULES</t>
  </si>
  <si>
    <t xml:space="preserve"> décocher Afficher un zéro dans les cellules qui ont une valeur nulle</t>
  </si>
  <si>
    <t>puis sur la fonction Repérer les antécédants &gt;</t>
  </si>
  <si>
    <t>double cliquez sur la pointe de la flèche, cela vous enverra directement à l'emplacement de saisie</t>
  </si>
  <si>
    <t>Ⓐ Ⓑ Ⓒ Ⓓ Ⓔ Ⓕ Ⓖ Ⓗ Ⓘ Ⓙ Ⓚ Ⓛ Ⓜ Ⓝ Ⓞ Ⓟ Ⓠ Ⓡ Ⓢ Ⓣ Ⓤ Ⓥ Ⓦ Ⓧ Ⓧ Ⓩ MAJUSCULES</t>
  </si>
  <si>
    <t>Illustrations avec les émojis</t>
  </si>
  <si>
    <t>ⓐ ⓑ ⓒ ⓓ ⓔ ⓕ ⓕ ⓗ ⓗ ⓘ ⓙ ⓚ ⓛ ⓜ ⓝ ⓞ ⓟ ⓠ ⓡ ⓡ ⓣ ⓤ ⓥ ⓦ ⓧ ⓨ ⓩ minuscules</t>
  </si>
  <si>
    <t>https://www.bonbache.fr/syntheses-graphiques-excel-avec-les-emoticones-499.html</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</si>
  <si>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</si>
  <si>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</si>
  <si>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</si>
  <si>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</si>
  <si>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</si>
  <si>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</si>
  <si>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</si>
  <si>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</si>
  <si>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</si>
  <si>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</si>
  <si>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</si>
  <si>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</si>
  <si>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</si>
  <si>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</si>
  <si>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</si>
  <si>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</si>
  <si>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</si>
  <si>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</si>
  <si>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</si>
  <si>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</si>
  <si>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</si>
  <si>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</si>
  <si>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</si>
  <si>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</si>
  <si>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</si>
  <si>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</si>
  <si>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</si>
  <si>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</si>
  <si>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</si>
  <si>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</si>
  <si>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</si>
  <si>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</si>
  <si>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</si>
  <si>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</si>
  <si>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</si>
  <si>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</si>
  <si>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</si>
  <si>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</si>
  <si>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</si>
  <si>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</si>
  <si>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</si>
  <si>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</si>
  <si>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</si>
  <si>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</si>
  <si>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</si>
  <si>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</si>
  <si>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</si>
  <si>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</si>
  <si>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</si>
  <si>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</si>
  <si>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</si>
  <si>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</si>
  <si>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</si>
  <si>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</si>
  <si>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</si>
  <si>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 xml:space="preserve"> ⓑ</t>
  </si>
  <si>
    <t>ⓒ</t>
  </si>
  <si>
    <t>ⓓ</t>
  </si>
  <si>
    <t>ⓔ</t>
  </si>
  <si>
    <t>ⓕ</t>
  </si>
  <si>
    <t xml:space="preserve"> ⓕ</t>
  </si>
  <si>
    <t>ⓗ</t>
  </si>
  <si>
    <t>ⓘ</t>
  </si>
  <si>
    <t>ⓙ</t>
  </si>
  <si>
    <t>ⓚ</t>
  </si>
  <si>
    <t>ⓛ</t>
  </si>
  <si>
    <t>ⓜ</t>
  </si>
  <si>
    <t>ⓝ</t>
  </si>
  <si>
    <t xml:space="preserve"> ⓞ</t>
  </si>
  <si>
    <t>ⓟ</t>
  </si>
  <si>
    <t>ⓠ</t>
  </si>
  <si>
    <t>ⓡ</t>
  </si>
  <si>
    <t>ⓣ</t>
  </si>
  <si>
    <t>ⓤ</t>
  </si>
  <si>
    <t xml:space="preserve"> ⓥ</t>
  </si>
  <si>
    <t>ⓦ</t>
  </si>
  <si>
    <t>ⓧ</t>
  </si>
  <si>
    <t>ⓨ</t>
  </si>
  <si>
    <t>ⓩ</t>
  </si>
  <si>
    <t>Ⓐ</t>
  </si>
  <si>
    <t>Ⓑ</t>
  </si>
  <si>
    <t>Ⓒ</t>
  </si>
  <si>
    <t xml:space="preserve"> Ⓓ</t>
  </si>
  <si>
    <t>Ⓔ</t>
  </si>
  <si>
    <t>Ⓕ</t>
  </si>
  <si>
    <t>Ⓖ</t>
  </si>
  <si>
    <t>Ⓗ</t>
  </si>
  <si>
    <t>Ⓘ</t>
  </si>
  <si>
    <t>Ⓙ</t>
  </si>
  <si>
    <t>Ⓚ</t>
  </si>
  <si>
    <t>Ⓛ</t>
  </si>
  <si>
    <t>Ⓜ</t>
  </si>
  <si>
    <t>⓿</t>
  </si>
  <si>
    <t>❶</t>
  </si>
  <si>
    <t>❸</t>
  </si>
  <si>
    <t>❹</t>
  </si>
  <si>
    <t>❺</t>
  </si>
  <si>
    <t>❻</t>
  </si>
  <si>
    <t>❼</t>
  </si>
  <si>
    <t>❽</t>
  </si>
  <si>
    <t>❿</t>
  </si>
  <si>
    <t>Ⓝ</t>
  </si>
  <si>
    <t>Ⓞ</t>
  </si>
  <si>
    <t>Ⓟ</t>
  </si>
  <si>
    <t>Ⓠ</t>
  </si>
  <si>
    <t>Ⓡ</t>
  </si>
  <si>
    <t>Ⓢ</t>
  </si>
  <si>
    <t>Ⓣ</t>
  </si>
  <si>
    <t>Ⓤ</t>
  </si>
  <si>
    <t>Ⓥ</t>
  </si>
  <si>
    <t>Ⓦ</t>
  </si>
  <si>
    <t>Ⓧ</t>
  </si>
  <si>
    <t>Ⓩ</t>
  </si>
  <si>
    <t>⓬</t>
  </si>
  <si>
    <t>⓭</t>
  </si>
  <si>
    <t>⓮</t>
  </si>
  <si>
    <t>⓯</t>
  </si>
  <si>
    <t>⓰</t>
  </si>
  <si>
    <t>⓱</t>
  </si>
  <si>
    <t>⓲</t>
  </si>
  <si>
    <t>⓳</t>
  </si>
  <si>
    <t>⓴</t>
  </si>
  <si>
    <t>⓪</t>
  </si>
  <si>
    <t>①</t>
  </si>
  <si>
    <t>②</t>
  </si>
  <si>
    <t>⑥</t>
  </si>
  <si>
    <t>⑦</t>
  </si>
  <si>
    <t>⑨</t>
  </si>
  <si>
    <t>⑩</t>
  </si>
  <si>
    <t>⑪</t>
  </si>
  <si>
    <t>⑫</t>
  </si>
  <si>
    <t>⑬</t>
  </si>
  <si>
    <t>⑭</t>
  </si>
  <si>
    <t>⑮</t>
  </si>
  <si>
    <t>⑯</t>
  </si>
  <si>
    <t>⑰</t>
  </si>
  <si>
    <t>⑱</t>
  </si>
  <si>
    <t>⑲</t>
  </si>
  <si>
    <t>⑳</t>
  </si>
  <si>
    <r>
      <t xml:space="preserve">Les chiffres encadrés en format carré </t>
    </r>
    <r>
      <rPr>
        <b/>
        <sz val="22"/>
        <color theme="0"/>
        <rFont val="Calibri"/>
        <family val="2"/>
        <scheme val="minor"/>
      </rPr>
      <t>(🔢)</t>
    </r>
    <r>
      <rPr>
        <sz val="22"/>
        <color theme="0"/>
        <rFont val="Calibri"/>
        <family val="2"/>
        <scheme val="minor"/>
      </rPr>
      <t xml:space="preserve"> ne vont que de </t>
    </r>
    <r>
      <rPr>
        <b/>
        <sz val="22"/>
        <color theme="0"/>
        <rFont val="Calibri"/>
        <family val="2"/>
        <scheme val="minor"/>
      </rPr>
      <t>0️⃣ à 9️⃣</t>
    </r>
    <r>
      <rPr>
        <sz val="22"/>
        <color theme="0"/>
        <rFont val="Calibri"/>
        <family val="2"/>
        <scheme val="minor"/>
      </rPr>
      <t xml:space="preserve">. Il n’existe pas de versions officielles pour </t>
    </r>
    <r>
      <rPr>
        <b/>
        <sz val="22"/>
        <color theme="0"/>
        <rFont val="Calibri"/>
        <family val="2"/>
        <scheme val="minor"/>
      </rPr>
      <t>10 à 20</t>
    </r>
    <r>
      <rPr>
        <sz val="22"/>
        <color theme="0"/>
        <rFont val="Calibri"/>
        <family val="2"/>
        <scheme val="minor"/>
      </rPr>
      <t xml:space="preserve"> en un seul caractère.</t>
    </r>
  </si>
  <si>
    <t>Mais voici une alternative en combinant les symboles disponibles :</t>
  </si>
  <si>
    <t>0️⃣ 1️⃣ 2️⃣ 3️⃣ 4️⃣ 5️⃣ 6️⃣ 7️⃣ 8️⃣ 9️⃣ 🔟 1️⃣1️⃣ 1️⃣2️⃣ 1️⃣3️⃣ 1️⃣4️⃣ 1️⃣5️⃣ 1️⃣6️⃣ 1️⃣7️⃣ 1️⃣8️⃣ 1️⃣9️⃣ 2️⃣0️⃣</t>
  </si>
  <si>
    <t xml:space="preserve">0️⃣ </t>
  </si>
  <si>
    <t xml:space="preserve">1️⃣ </t>
  </si>
  <si>
    <t>2️⃣</t>
  </si>
  <si>
    <t xml:space="preserve">3️⃣ </t>
  </si>
  <si>
    <t>4️⃣</t>
  </si>
  <si>
    <t xml:space="preserve"> 5️⃣ </t>
  </si>
  <si>
    <t xml:space="preserve">6️⃣ </t>
  </si>
  <si>
    <t xml:space="preserve">7️⃣ </t>
  </si>
  <si>
    <t xml:space="preserve">8️⃣ </t>
  </si>
  <si>
    <t xml:space="preserve">9️⃣ </t>
  </si>
  <si>
    <t>🔟</t>
  </si>
  <si>
    <t xml:space="preserve">1️⃣1️⃣ </t>
  </si>
  <si>
    <t>1️⃣2️⃣</t>
  </si>
  <si>
    <t>1️⃣3️⃣</t>
  </si>
  <si>
    <t>1️⃣4️⃣</t>
  </si>
  <si>
    <t>1️⃣5️⃣</t>
  </si>
  <si>
    <t>1️⃣6️⃣</t>
  </si>
  <si>
    <t>1️⃣7️⃣</t>
  </si>
  <si>
    <t>1️⃣8️⃣</t>
  </si>
  <si>
    <t>1️⃣9️⃣</t>
  </si>
  <si>
    <t>2️⃣0️⃣</t>
  </si>
  <si>
    <r>
      <t xml:space="preserve">Le chiffre </t>
    </r>
    <r>
      <rPr>
        <sz val="22"/>
        <color theme="0"/>
        <rFont val="Calibri"/>
        <family val="2"/>
        <scheme val="minor"/>
      </rPr>
      <t>10 utilise 🔟, et à partir de 11, j’ai combiné les chiffres disponibles pour garder une cohérence visuelle. 😊 ChatGPT</t>
    </r>
  </si>
  <si>
    <t>des caractères spéciaux</t>
  </si>
  <si>
    <t>Que signifient les symboles (&amp;,,{, etc.) dans les formules ? – Excel</t>
  </si>
  <si>
    <t>https://www.automateexcel.com/fr/how-to/que-signifient-les-symboles-etc-dans-les-formules-excel-et-google-sheets/</t>
  </si>
  <si>
    <t>!</t>
  </si>
  <si>
    <t>"</t>
  </si>
  <si>
    <t>#</t>
  </si>
  <si>
    <t>»</t>
  </si>
  <si>
    <t>ø</t>
  </si>
  <si>
    <t>Police &gt; Segoe UI Emoji</t>
  </si>
  <si>
    <t>🍏 🍎 🍐 🍊 🍋 🍌 🍉 🍇 🍓 🫐 🍈 🍒 🍑 🥭 🍍 🥥 🥝 🍅 🍆 🥑 🥦 🥬 🥒 🌶 🫑 🌽 🥕 🫒 🧄 🧅 🥔 🍠 🥐 🥯 🍞 🥖 🥨 🧀 🥚 🍳 🧈 🥞 🧇 🥓 🥩 🍗 🍖 🦴 🌭 🍔 🍟 🍕</t>
  </si>
  <si>
    <t xml:space="preserve"> 🫓 🥪 🥙 🧆 🌮 🌯 🫔 🥗 🥘 🫕 🥫 🍝 🍜 🍲 🍛 🍣 🍱 🥟 🦪 🍤 🍙 🍚 🍘 🍥 🥠 🥮 🍢 🍡 🍧 🍨 🍦 🥧 🧁 🍰 🎂 🍮 🍭 🍬 🍫 🍿 🍩 🍪 🌰 🥜 🍯 🥛 🍼 🫖 ☕️ 🍵 🧃 🥤 🧋</t>
  </si>
  <si>
    <t xml:space="preserve"> 🍶 🍺 🍻 🥂 🍷 🥃 🍸 🍹 🧉 🍾 🧊 🥄 🍴 🍽 🥣 🥡 🥢 🧂</t>
  </si>
  <si>
    <t>cliquez sur la colonne  D et copiez dans la barre de formules l'émoticone qui vous intéresse choisissez la police de caractères et la couleur qui vous conviennent</t>
  </si>
  <si>
    <t>🚾 ♿️ 🅿️ 🛗 🈳 🈂️ 🛂 🛃 🛄 🛅 🚹 🚺 🚼 ⚧ 🚻 🚮 🎦 📶 🈁 🔣 ℹ️ 🔤 🔡 🔠 🆖 🆗 🆙 🆒 🆕 🆓 0️⃣ 1️⃣ 2️⃣ 3️⃣ 4️⃣ 5️⃣ 6️⃣ 7️⃣ 8️⃣ 9️⃣ 🔟 🔢 #️⃣ *️⃣ ⏏️ ▶️ ⏸ ⏯ ⏹</t>
  </si>
  <si>
    <t xml:space="preserve"> ⏺ ⏭ ⏮ ⏩ ⏪ ⏫ ⏬ ◀️ 🔼 🔽 ➡️ ⬅️ ⬆️ ⬇️ ↗️ ↘️ ↙️ ↖️ ↕️ ↔️ ↪️ ↩️ ⤴️ ⤵️ 🔀 🔁 🔂 🔄 🔃 🎵 🎶 ➕ ➖ ➗ ✖️ </t>
  </si>
  <si>
    <t>Une numérotation avec couleur de police modifiable</t>
  </si>
  <si>
    <t>2</t>
  </si>
  <si>
    <t>3</t>
  </si>
  <si>
    <t>4</t>
  </si>
  <si>
    <t>5</t>
  </si>
  <si>
    <t>6</t>
  </si>
  <si>
    <t>7</t>
  </si>
  <si>
    <t>8</t>
  </si>
  <si>
    <t>9</t>
  </si>
  <si>
    <t>10</t>
  </si>
  <si>
    <t>11</t>
  </si>
  <si>
    <t>12</t>
  </si>
  <si>
    <t>13</t>
  </si>
  <si>
    <t>14</t>
  </si>
  <si>
    <t>15</t>
  </si>
  <si>
    <t>16</t>
  </si>
  <si>
    <t>17</t>
  </si>
  <si>
    <t>18</t>
  </si>
  <si>
    <t>19</t>
  </si>
  <si>
    <t>20</t>
  </si>
  <si>
    <t>Monétaire</t>
  </si>
  <si>
    <t>0.00\ " cm³"</t>
  </si>
  <si>
    <t>Format | cellule | personnalisé | 0" cm³"</t>
  </si>
  <si>
    <t>ou copier-coller</t>
  </si>
  <si>
    <t>t</t>
  </si>
  <si>
    <t>u</t>
  </si>
  <si>
    <t>le ² se fait en tapant alt+0178</t>
  </si>
  <si>
    <t xml:space="preserve">m² </t>
  </si>
  <si>
    <t xml:space="preserve">M² </t>
  </si>
  <si>
    <t xml:space="preserve">cm² </t>
  </si>
  <si>
    <t>²</t>
  </si>
  <si>
    <t>Police Wingdings 3</t>
  </si>
  <si>
    <t>le ³ se fait en tapant alt+0179</t>
  </si>
  <si>
    <t>m³ </t>
  </si>
  <si>
    <t>M³ </t>
  </si>
  <si>
    <t>cm³ </t>
  </si>
  <si>
    <t>³</t>
  </si>
  <si>
    <t>q</t>
  </si>
  <si>
    <t>p</t>
  </si>
  <si>
    <t>Classeur évolutif</t>
  </si>
  <si>
    <t>Modèles de fiches “nouvelle génération” prêts à adapter (liens, formats, formules, tableaux) + exemples pour démarrer vite.</t>
  </si>
  <si>
    <t>Mise en route rapide</t>
  </si>
  <si>
    <t>Langues prises en charge (depuis 2022)</t>
  </si>
  <si>
    <t>Conversions automatiques</t>
  </si>
  <si>
    <t>Public visé</t>
  </si>
  <si>
    <t>Gains attendus</t>
  </si>
  <si>
    <t>Moins d’erreurs (formats/uniformisation).</t>
  </si>
  <si>
    <t>Temps gagné sur les conversions et la mise en page.</t>
  </si>
  <si>
    <t>Capitalisation du savoir (réutilisation de modèles et de formules).</t>
  </si>
  <si>
    <t>Culture &amp; bonnes pratiques</t>
  </si>
  <si>
    <t>Repère express pour Excel</t>
  </si>
  <si>
    <t>Dupliquez un modèle, copiez/collez les formats.</t>
  </si>
  <si>
    <t>Ajoutez/ajustez les formules.</t>
  </si>
  <si>
    <t>Gardez des libellés strictement identiques (orthographe/espaces) pour éviter les erreurs de recherche.</t>
  </si>
  <si>
    <t>FR / EN / ES pour la saisie et l’utilisation des unités.</t>
  </si>
  <si>
    <t>Calcul poids ↔ volume selon le modèle, sans manipulation manuelle.</t>
  </si>
  <si>
    <t>Centres de formation &amp; professionnels qui veulent structurer, standardiser et optimiser leur production documentaire.</t>
  </si>
  <si>
    <t>Pensez “bataille navale” : Excel calcule à partir des positions relatives des cellules (ligne, colonne, diagonale).</t>
  </si>
  <si>
    <t>Unités couvertes (exemples):</t>
  </si>
  <si>
    <t>Partagez votre expérience : l’essentiel, c’est votre savoir-faire et la manière dont vous l’appliquez.</t>
  </si>
  <si>
    <t>Ne pas tout savoir n’a rien de dévalorisant : on valorise surtout vos compétences et leur mise en pratique.</t>
  </si>
  <si>
    <t>Formules en Français Excel 2021</t>
  </si>
  <si>
    <t>Françaises : g, kg, L, dL, cL, mL, ¼ kg, c. s. etc..</t>
  </si>
  <si>
    <t>Anglaises : oz, fl oz, cup etc..</t>
  </si>
  <si>
    <t>Espagnoles : tercio/L, taza líquida, cucharadita etc..</t>
  </si>
  <si>
    <t>Cocktails : shot, pony, jigger etc.. (fonctionnalités étendues sur ces fiches).</t>
  </si>
  <si>
    <t xml:space="preserve">Si vous travaillez plutôt “au feeling” (pifométrie / estimation au doigt mouillé), ces modèles — pensés pour la précision — risquent de moins vous convenir. </t>
  </si>
  <si>
    <t>Dans ce cas, continuez d’éblouir le monde avec vos approximations divines… ailleurs 😉</t>
  </si>
  <si>
    <t>Evolving workbook</t>
  </si>
  <si>
    <t>“Next-generation” sheet templates ready to adapt (links, formats, formulas, tables) + examples to get started fast.</t>
  </si>
  <si>
    <t>Quick start</t>
  </si>
  <si>
    <t>Duplicate a template, copy/paste the formats.</t>
  </si>
  <si>
    <t>Add/adjust the formulas.</t>
  </si>
  <si>
    <t>Keep labels strictly identical (spelling/spaces) to avoid lookup errors.</t>
  </si>
  <si>
    <t>Supported languages (since 2022)</t>
  </si>
  <si>
    <t>FR / EN / ES for data entry and unit usage.</t>
  </si>
  <si>
    <t>Formulas in French (Excel 2021).</t>
  </si>
  <si>
    <t>Automatic conversions</t>
  </si>
  <si>
    <t>Weight ↔ volume calculation depending on the template, no manual handling.</t>
  </si>
  <si>
    <t>Units covered (examples):</t>
  </si>
  <si>
    <t>English: oz, fl oz, cup, etc.</t>
  </si>
  <si>
    <t>Cocktails: shot, pony, jigger, etc. (extended features on these sheets).</t>
  </si>
  <si>
    <t>Target audience</t>
  </si>
  <si>
    <t>Training centers &amp; professionals who want to structure, standardize, and optimize their document production.</t>
  </si>
  <si>
    <t>Expected gains</t>
  </si>
  <si>
    <t>Fewer errors (formats/standardization).</t>
  </si>
  <si>
    <t>Time saved on conversions and layout.</t>
  </si>
  <si>
    <t>Knowledge capitalization (reusing templates and formulas).</t>
  </si>
  <si>
    <t>Culture &amp; good practices</t>
  </si>
  <si>
    <t>Share your experience: what matters is your know-how and how you apply it.</t>
  </si>
  <si>
    <t>There’s nothing demeaning about not knowing everything: we value your skills and how you put them into practice.</t>
  </si>
  <si>
    <t>If you work more “by feel” (guesstimation / wet-finger estimates), these precision-oriented templates may suit you less.</t>
  </si>
  <si>
    <t>In that case, keep dazzling the world with your divine approximations… elsewhere 😉</t>
  </si>
  <si>
    <t>Quick Excel cue</t>
  </si>
  <si>
    <t>Think “Battleship”: Excel calculates from the relative positions of cells (row, column, diagonal).</t>
  </si>
  <si>
    <t>Libro de trabajo evolutivo</t>
  </si>
  <si>
    <t>Plantillas de “nueva generación” listas para adaptar (enlaces, formatos, fórmulas, tablas) + ejemplos para empezar rápido.</t>
  </si>
  <si>
    <t>Puesta en marcha rápida</t>
  </si>
  <si>
    <t>Duplique una plantilla, copie/pegue los formatos.</t>
  </si>
  <si>
    <t>Añada/ajuste las fórmulas.</t>
  </si>
  <si>
    <t>Mantenga las etiquetas estrictamente idénticas (ortografía/espacios) para evitar errores de búsqueda.</t>
  </si>
  <si>
    <t>Idiomas admitidos (desde 2022)</t>
  </si>
  <si>
    <t>FR / EN / ES para la entrada y el uso de unidades.</t>
  </si>
  <si>
    <t>Fórmulas en francés (Excel 2021).</t>
  </si>
  <si>
    <t>Conversiones automáticas</t>
  </si>
  <si>
    <t>Cálculo peso ↔ volumen según el modelo, sin manipulación manual.</t>
  </si>
  <si>
    <t>Unidades cubiertas (ejemplos):</t>
  </si>
  <si>
    <t>Inglesas: oz, fl oz, cup, etc.</t>
  </si>
  <si>
    <t>Españolas: tercio/L, taza líquida, cucharadita, etc.</t>
  </si>
  <si>
    <t>Cócteles: shot, pony, jigger, etc. (funcionalidades ampliadas en esas fichas).</t>
  </si>
  <si>
    <t>Público objetivo</t>
  </si>
  <si>
    <t>Centros de formación y profesionales que desean estructurar, estandarizar y optimizar su producción documental.</t>
  </si>
  <si>
    <t>Beneficios esperados</t>
  </si>
  <si>
    <t>Menos errores (formatos/normalización).</t>
  </si>
  <si>
    <t>Ahorro de tiempo en conversiones y maquetación.</t>
  </si>
  <si>
    <t>Capitalización del conocimiento (reutilización de plantillas y fórmulas).</t>
  </si>
  <si>
    <t>Cultura y buenas prácticas</t>
  </si>
  <si>
    <t>Comparta su experiencia: lo esencial es su saber hacer y cómo lo aplica.</t>
  </si>
  <si>
    <t>No saberlo todo no es desvalorizante: valoramos sus competencias y su puesta en práctica.</t>
  </si>
  <si>
    <t>Si trabaja más “a ojo” (pifometría / estimación al dedo), estas plantillas orientadas a la precisión quizá le convengan menos.</t>
  </si>
  <si>
    <t>En ese caso, siga deslumbrando al mundo con sus aproximaciones divinas… en otro lugar 😉</t>
  </si>
  <si>
    <t>Pista rápida para Excel</t>
  </si>
  <si>
    <t>Piense en “Batalla naval”: Excel calcula a partir de las posiciones relativas de las celdas (fila, columna, diagonal).</t>
  </si>
  <si>
    <t xml:space="preserve">These documents are the result of my experience in institutional/collective catering, </t>
  </si>
  <si>
    <t>as well as the work of enthusiasts who have shared their Excel formulas and functions online.</t>
  </si>
  <si>
    <t>Estos documentos son el fruto de mi experiencia en restauración colectiva, así como del trabajo de personas</t>
  </si>
  <si>
    <t>apasionadas que han compartido en línea sus fórmulas y funciones de Excel.</t>
  </si>
  <si>
    <t>Pourquoi formaliser le savoir ?</t>
  </si>
  <si>
    <t xml:space="preserve">Un·e collaborateur·trice passe en moyenne 7 h 30 par semaine à chercher une information sans la trouver (Association Information et Management). </t>
  </si>
  <si>
    <t>Mettre en place un processus de gestion des connaissances (knowledge management) permet de maîtriser et valoriser votre capital informationnel.</t>
  </si>
  <si>
    <t>Why formalize knowledge?</t>
  </si>
  <si>
    <t>An employee spends on average 7 h 30 min per week searching for information without finding it (Association Information et Management).</t>
  </si>
  <si>
    <t>Implementing a knowledge-management process helps you control and leverage your information assets.</t>
  </si>
  <si>
    <t>Por qué formalizar el conocimiento?</t>
  </si>
  <si>
    <t>Un(a) colaborador(a) dedica en promedio 7 h 30 min por semana a buscar información sin encontrarla (Association Information et Management).</t>
  </si>
  <si>
    <t>Implantar un proceso de gestión del conocimiento (knowledge management) permite controlar y valorizar su capital informacional.</t>
  </si>
  <si>
    <t>This text was rephrased with the help of ChatGPT.</t>
  </si>
  <si>
    <t>(alt.) This text has been reworded with assistance from ChatGPT.)</t>
  </si>
  <si>
    <t>Este texto fue reformulado con la ayuda de ChatGPT.</t>
  </si>
  <si>
    <t>(alt.) Este texto ha sido reescrito con la asistencia de ChatGPT.)</t>
  </si>
  <si>
    <t>Ce texte a été reformulé avec l'aide de ChatGPT</t>
  </si>
  <si>
    <t>NUEVA VERSIÓN V (ampliada)</t>
  </si>
  <si>
    <t>Anula — sustituye o completa las versiones anteriores</t>
  </si>
  <si>
    <t>ff. = para ficha de fabricación</t>
  </si>
  <si>
    <t>NEW VERSION V (enhanced)</t>
  </si>
  <si>
    <t>Cancels — replaces or supplements previous versions</t>
  </si>
  <si>
    <t>ff. = for production sheet</t>
  </si>
  <si>
    <t>Spanish: tercio/L, taza líquida, cucharadita etc..</t>
  </si>
  <si>
    <t>French: g, kg, L, dL, cL, mL, ¼ kg, c. s. etc..</t>
  </si>
  <si>
    <t>Francesas: g, kg, L, dL, cL, mL, ¼ kg, c. s. etc..</t>
  </si>
  <si>
    <t>I recommend keeping this file as a template.</t>
  </si>
  <si>
    <t>Select the sheets you’re interested in, copy them into your workbook, then delete the columns you don’t need.</t>
  </si>
  <si>
    <t>Next, customize and adapt the documents to your needs.</t>
  </si>
  <si>
    <t>Le recomiendo conservar este archivo como plantilla.</t>
  </si>
  <si>
    <t>Seleccione las hojas que le interesen, cópielas en su libro y luego elimine las columnas que no necesite.</t>
  </si>
  <si>
    <t>Después, personalice y adapte los documentos según sus necesidades.</t>
  </si>
  <si>
    <t>Copy an Excel sheet to a new workbook</t>
  </si>
  <si>
    <t>1️⃣ Right-click the sheet tab.</t>
  </si>
  <si>
    <t>2️⃣ Select “Move or Copy…”.</t>
  </si>
  <si>
    <t>4️⃣ In the new workbook, go to “File” &gt; “Save As”, name and save the file.</t>
  </si>
  <si>
    <t>Your sheet is ready to send! ✅</t>
  </si>
  <si>
    <t>Copiar una hoja de Excel a un libro nuevo</t>
  </si>
  <si>
    <t>1️⃣ Haga clic derecho en la pestaña de la hoja.</t>
  </si>
  <si>
    <t>2️⃣ Seleccione “Mover o copiar…”.</t>
  </si>
  <si>
    <t>3️⃣ Elija “(libro nuevo)”, marque “Crear una copia” y haga clic en Aceptar.</t>
  </si>
  <si>
    <t>4️⃣ En el nuevo libro, vaya a “Archivo” &gt; “Guardar como”, asigne un nombre y guarde el archivo.</t>
  </si>
  <si>
    <t>¡Su hoja está lista para enviarse! ✅</t>
  </si>
  <si>
    <t>si les fiches  vous "barbent" vous avez  la Piffométrie</t>
  </si>
  <si>
    <t xml:space="preserve">la Pifométrie c'est quoi &gt; </t>
  </si>
  <si>
    <t>à la louche → à vue de nez → au pif → au doigt mouillé</t>
  </si>
  <si>
    <t>pifometría  → a ojo / a grandes rasgos  →  a ojo / a simple vista (AL: a ojo de buen cubero) → a ojo / al tanteo → a dedo al viento / al dedo mojado</t>
  </si>
  <si>
    <t xml:space="preserve">guesstimation (pifometry) →  roughly / by eye → roughly / at a guess → off the top of one’s head / by feel →  wet-finger estimate / see which way the wind blows </t>
  </si>
  <si>
    <t>Why choose the Calibri font?</t>
  </si>
  <si>
    <t>Among these six fonts, Calibri is the closest to Lucida Grande or Lucida Sans.</t>
  </si>
  <si>
    <t xml:space="preserve">Calibri was indeed considered a readable font for fairly short documents, </t>
  </si>
  <si>
    <t xml:space="preserve">with a balanced look that could work just as well on a large computer screen </t>
  </si>
  <si>
    <t>as on a sheet of paper or the smaller screen of a smartphone. May 2, 2021.</t>
  </si>
  <si>
    <t>Por qué elegir la fuente Calibri?</t>
  </si>
  <si>
    <t>Calibri se consideraba efectivamente una fuente legible para documentos bastante cortos, con un aspecto</t>
  </si>
  <si>
    <t>equilibrado que podía funcionar igual de bien en una pantalla grande de ordenador como en una hoja de</t>
  </si>
  <si>
    <t>papel o en la pantalla, más reducida, de un smartphone. 2 de mayo de 2021.</t>
  </si>
  <si>
    <t>Qué fuente se parece más a Calibri?</t>
  </si>
  <si>
    <t>Entre estas seis fuentes, Calibri es la más cercana a Lucida Grande o Lucida Sans.</t>
  </si>
  <si>
    <t>Qué fuente se parece más a Helvetica?</t>
  </si>
  <si>
    <t>Aktiv Grotesk (16 estilos): creada en 2010, Aktiv Grotesk es la respuesta de Bruno Maag al éxito persistente</t>
  </si>
  <si>
    <t>de las tipografías grotescas sans serif como Helvetica y Arial. 1 de marzo de 2022.</t>
  </si>
  <si>
    <t>Which font looks most like Helvetica?</t>
  </si>
  <si>
    <t>Aktiv Grotesk (16 styles): created in 2010, Aktiv Grotesk is Bruno Maag’s answer to the enduring success of</t>
  </si>
  <si>
    <t>grotesque sans-serif typefaces such as Helvetica and Arial. March 1, 2022.</t>
  </si>
  <si>
    <r>
      <t>Aktiv Grotesk</t>
    </r>
    <r>
      <rPr>
        <sz val="16"/>
        <color theme="1"/>
        <rFont val="Arial"/>
        <family val="2"/>
      </rPr>
      <t xml:space="preserve"> (16 styles) : créée en 2010, Aktiv Grotesk est la solution apportée par Bruno Maag</t>
    </r>
  </si>
  <si>
    <t>Where can you find the Helvetica font?</t>
  </si>
  <si>
    <t>This typeface is also found in official documents and signage all over the world. As an aside, the typeface</t>
  </si>
  <si>
    <t>used for the Microsoft logotype is also Helvetica, even though the company commissioned Arial as a cost-</t>
  </si>
  <si>
    <t>saving replacement for Helvetica.</t>
  </si>
  <si>
    <t>Dónde encontrar la fuente Helvetica?</t>
  </si>
  <si>
    <t>Esta tipografía también aparece en documentos oficiales y en la señalética, en todo el mundo. Como</t>
  </si>
  <si>
    <t>anécdota, la tipografía que compone el logotipo de Microsoft también es Helvetica, aunque la empresa</t>
  </si>
  <si>
    <t>encargó la creación de Arial como sustituto de Helvetica para reducir costes.</t>
  </si>
  <si>
    <t>Cuál es la tipografía más elegante?</t>
  </si>
  <si>
    <t>Garamond. Es una fuente fácil de leer, cercana a la escritura manuscrita, que encaja perfectamente con</t>
  </si>
  <si>
    <t>directivos experimentados o perfiles literarios. Garamond tiene la particularidad de llevar siempre el ojo</t>
  </si>
  <si>
    <t>adonde debe ir. 20 de julio de 2015.</t>
  </si>
  <si>
    <t>What’s the classiest typeface?</t>
  </si>
  <si>
    <t>Garamond. It’s an easy-to-read font, close to handwriting, that suits seasoned executives or literary profiles.</t>
  </si>
  <si>
    <t>Garamond has the distinctive ability to guide the eye exactly where it should go. July 20, 2015</t>
  </si>
  <si>
    <t>Cambria was designed specifically for on-screen reading.</t>
  </si>
  <si>
    <t>Which font to use with Cambria?</t>
  </si>
  <si>
    <t xml:space="preserve">Caladea (created as an additional Chrome OS font) has the same metrics as Cambria MS </t>
  </si>
  <si>
    <t>and can be used as a replacement.</t>
  </si>
  <si>
    <t>Cambria fue diseñada específicamente para la lectura en pantalla. …</t>
  </si>
  <si>
    <t>Qué fuente usar con Cambria?</t>
  </si>
  <si>
    <t>Caladea (creada como una fuente adicional de Chrome OS) tiene las mismas métricas que Cambria MS</t>
  </si>
  <si>
    <t xml:space="preserve"> y puede usarse como sustituta.</t>
  </si>
  <si>
    <t>PARA AUDITAR LAS FÓRMULAS (alt.: Para auditar fórmulas)</t>
  </si>
  <si>
    <t>TO AUDIT FORMULAS  (alt.: For auditing formulas)</t>
  </si>
  <si>
    <t>uncheck Show a zero in cells that have zero value.</t>
  </si>
  <si>
    <t xml:space="preserve">To hide zeros on the sheet, click: FILE &gt; Options &gt; Advanced &gt; </t>
  </si>
  <si>
    <t>Para ocultar los ceros en la hoja, haga clic en: ARCHIVO &gt; Opciones &gt; Avanzadas &gt;</t>
  </si>
  <si>
    <t xml:space="preserve"> desactive Mostrar un cero en las celdas que tienen un valor cero.</t>
  </si>
  <si>
    <t>Adresse PC : indique le chemin d’accès pour retrouver l’emplacement où le document est archivé sur votre ordinateur.</t>
  </si>
  <si>
    <t>PC address: indicates the access path (file path) to find where the document is archived on your computer.</t>
  </si>
  <si>
    <t>Dirección PC: indica la ruta de acceso (ruta de archivo) para localizar dónde está archivado el documento en su ordenador.</t>
  </si>
  <si>
    <t>color de fuente blanco sobre fondo gris — modifíquelo para sus documentos</t>
  </si>
  <si>
    <t>white font color on gray background — change it for your documents</t>
  </si>
  <si>
    <t>Illustrations with emojis</t>
  </si>
  <si>
    <t>Ⓐ Ⓑ Ⓒ Ⓓ Ⓔ Ⓕ Ⓖ Ⓗ Ⓘ Ⓙ Ⓚ Ⓛ Ⓜ Ⓝ Ⓞ Ⓟ Ⓠ Ⓡ Ⓢ Ⓣ Ⓤ Ⓥ Ⓦ Ⓧ Ⓧ Ⓩ UPPERCASE</t>
  </si>
  <si>
    <t>ⓐ ⓑ ⓒ ⓓ ⓔ ⓕ ⓕ ⓗ ⓗ ⓘ ⓙ ⓚ ⓛ ⓜ ⓝ ⓞ ⓟ ⓠ ⓡ ⓡ ⓣ ⓤ ⓥ ⓦ ⓧ ⓨ ⓩ lowercase</t>
  </si>
  <si>
    <t>Ilustraciones con emojis</t>
  </si>
  <si>
    <t>Ⓐ Ⓑ Ⓒ Ⓓ Ⓔ Ⓕ Ⓖ Ⓗ Ⓘ Ⓙ Ⓚ Ⓛ Ⓜ Ⓝ Ⓞ Ⓟ Ⓠ Ⓡ Ⓢ Ⓣ Ⓤ Ⓥ Ⓦ Ⓧ Ⓧ Ⓩ MAYÚSCULAS</t>
  </si>
  <si>
    <t>ⓐ ⓑ ⓒ ⓓ ⓔ ⓕ ⓕ ⓗ ⓗ ⓘ ⓙ ⓚ ⓛ ⓜ ⓝ ⓞ ⓟ ⓠ ⓡ ⓡ ⓣ ⓤ ⓥ ⓦ ⓧ ⓨ ⓩ minúsculas</t>
  </si>
  <si>
    <t>Los números en formato cuadrado (🔢) solo van de 0️⃣ a 9️⃣. No existen versiones oficiales de un solo carácter para 10 a 20.</t>
  </si>
  <si>
    <t>Pero aquí tiene una alternativa combinando los símbolos disponibles:</t>
  </si>
  <si>
    <t>El número 10 usa 🔟 y, a partir del 11, combiné las cifras disponibles para mantener la coherencia visual. 😊 ChatGPT</t>
  </si>
  <si>
    <t>caracteres especiales</t>
  </si>
  <si>
    <t xml:space="preserve">Qué significan los símbolos (&amp;, , {, etc.) en las fórmulas? – Excel &gt; </t>
  </si>
  <si>
    <t>haga clic en la columna D y copie en la barra de fórmulas el emoji que le interese; elija la tipografía y el color que prefiera</t>
  </si>
  <si>
    <t>The squared digits (🔢) only go from 0️⃣ to 9️⃣. There are no official single-character versions for 10 to 20.</t>
  </si>
  <si>
    <t>But here’s an alternative using the available symbols:</t>
  </si>
  <si>
    <t>The number 10 uses 🔟, and from 11 onward I combined the available digits to keep visual consistency. 😊 ChatGPT</t>
  </si>
  <si>
    <t>special characters</t>
  </si>
  <si>
    <t xml:space="preserve">What do the symbols (&amp;, , {, etc.) mean in formulas? – Excel &gt; </t>
  </si>
  <si>
    <t>click column D and copy in the formula bar the emoji you’re interested in; choose the font and the color you prefer</t>
  </si>
  <si>
    <t>Font &gt; Segoe UI Emoji</t>
  </si>
  <si>
    <t>Numbering with editable font color</t>
  </si>
  <si>
    <t>Currency</t>
  </si>
  <si>
    <t>Fuente &gt; Segoe UI Emoji</t>
  </si>
  <si>
    <t>Numeración con color de fuente modificable</t>
  </si>
  <si>
    <t>Moneda</t>
  </si>
  <si>
    <t>Formato | celda | personalizado | 0" cm³"</t>
  </si>
  <si>
    <t>o copiar–pegar</t>
  </si>
  <si>
    <t>² se escribe con Alt+0178</t>
  </si>
  <si>
    <t>³ se escribe con Alt+0179</t>
  </si>
  <si>
    <t>Fuente Wingdings 3</t>
  </si>
  <si>
    <t>Format | cell | custom | 0" cm³"</t>
  </si>
  <si>
    <t>or copy–paste</t>
  </si>
  <si>
    <t>² is typed with Alt+0178</t>
  </si>
  <si>
    <t>³ is typed with Alt+0179</t>
  </si>
  <si>
    <t>Font Wingdings 3</t>
  </si>
  <si>
    <t>Agradezco calurosamente a las personas apasionadas en internet que elaboran y comparten fórmulas y funciones anidadas.</t>
  </si>
  <si>
    <t>un enlace roto u obsoleto… no se asuste… Google sabrá encontrarle un documento equivalente</t>
  </si>
  <si>
    <t>secuencia automática de A a AZ y más allá</t>
  </si>
  <si>
    <t>pegue esta fórmula donde quiera en su documento</t>
  </si>
  <si>
    <t>SIN el signo =, luego añada el signo = al principio</t>
  </si>
  <si>
    <t>sitúese al final de la fórmula y pulse Intro</t>
  </si>
  <si>
    <t>y arrastre el controlador de relleno hacia abajo</t>
  </si>
  <si>
    <t>si copia esta fórmula con el signo =, obtendrá un error #REF!</t>
  </si>
  <si>
    <t>Secuencias automáticas de letras del alfabeto en Excel hasta Z y luego AA, AB, etc.</t>
  </si>
  <si>
    <t>Listas automáticas y series de números en Excel</t>
  </si>
  <si>
    <t>Vídeo tutorial para hacer una lista alfabética</t>
  </si>
  <si>
    <t>Pídale a ChatGPT que le traduzca la fórmula al Excel en francés</t>
  </si>
  <si>
    <t>secuencia automática de letras en Excel más allá de Z</t>
  </si>
  <si>
    <t>letra A = A65</t>
  </si>
  <si>
    <t>Fórmula para una secuencia alfabética horizontal que vaya más allá de Z</t>
  </si>
  <si>
    <t>Pegue la fórmula de abajo en una celda y luego</t>
  </si>
  <si>
    <t>en la fórmula, bloquee todas las letras de columna con p. ej., COLUMNA(X75)</t>
  </si>
  <si>
    <t>Arrastre el controlador de relleno hacia la derecha para extender la fórmula a las celdas siguientes</t>
  </si>
  <si>
    <t>Algunas tipografías utilizadas</t>
  </si>
  <si>
    <t>Algunos formatos utilizados</t>
  </si>
  <si>
    <t>personalizados &gt;</t>
  </si>
  <si>
    <t>Otras fuentes/tipografías por descubrir</t>
  </si>
  <si>
    <t>Cómo aumentar automáticamente una letra en una unidad para obtener la siguiente en Excel?</t>
  </si>
  <si>
    <t>Cant. por persona (p. p.)</t>
  </si>
  <si>
    <t>Barqueta(s)</t>
  </si>
  <si>
    <t>rebanadas</t>
  </si>
  <si>
    <t>Qué? Introduzca Trozos – rebanadas – raciones – piezas – cerezas, etc… ….. para el contenedor introduzca GN 1/1 – rejilla(s) – fuente(s) – cucharón(es), etc.</t>
  </si>
  <si>
    <t>What? Enter Pieces – slices – portions – items – cherries, etc… ….. for the container enter GN 1/1 pan(s) – rack(s) – dish(es) – ladle(s), etc.</t>
  </si>
  <si>
    <t>Tray(s)</t>
  </si>
  <si>
    <t xml:space="preserve">Qty </t>
  </si>
  <si>
    <t xml:space="preserve"> &lt; Container</t>
  </si>
  <si>
    <t xml:space="preserve"> &lt; What</t>
  </si>
  <si>
    <t>&lt; poids d'1 portion</t>
  </si>
  <si>
    <t xml:space="preserve"> &lt; Quoi ?</t>
  </si>
  <si>
    <t xml:space="preserve"> &lt; Contenant</t>
  </si>
  <si>
    <t xml:space="preserve"> &lt; Qué</t>
  </si>
  <si>
    <t>&lt; peso de 1 ración</t>
  </si>
  <si>
    <t>Recupere las fórmulas para sus documentos</t>
  </si>
  <si>
    <t>Constituya directorios por letras alfabéticas</t>
  </si>
  <si>
    <t>Para identificar sus fichas, puede elegir</t>
  </si>
  <si>
    <t>entre numeración e identificación Alfa</t>
  </si>
  <si>
    <t>Alfa le permite crear directorios</t>
  </si>
  <si>
    <t>y agrupar preparaciones para</t>
  </si>
  <si>
    <t>hacer ensamblajes</t>
  </si>
  <si>
    <t>Retrieve the formulas for your documents</t>
  </si>
  <si>
    <t>Build alphabetical letter directories</t>
  </si>
  <si>
    <t>For identifying your sheets, you can choose</t>
  </si>
  <si>
    <t>between numbering and Alpha identification</t>
  </si>
  <si>
    <t>Alpha lets you build directories</t>
  </si>
  <si>
    <t>and group preparations so you can</t>
  </si>
  <si>
    <t>make assemblies</t>
  </si>
  <si>
    <t>📌 Instrucciones para copiar "postits"</t>
  </si>
  <si>
    <t>Seleccione un post-it 🟦, cópielo (Ctrl + C 📋) y luego péguelo (Ctrl + V 📥) en el lugar deseado en otra hoja; después, ajuste el ancho de las columnas si es necesario.</t>
  </si>
  <si>
    <t>📌 Instructions for copying "postits"</t>
  </si>
  <si>
    <t>Select a 🟦 post-it, copy it (Ctrl + C 📋), then paste it (Ctrl + V 📥) where you want on another sheet, and adjust the column widths if needed.</t>
  </si>
  <si>
    <t>Para localizar la celda correspondiente, haga clic en la pestaña FÓRMULAS → Auditoría de fórmulas.</t>
  </si>
  <si>
    <t>Después, haga clic en Rastrear precedentes.</t>
  </si>
  <si>
    <t>Haga doble clic en la punta de la flecha; le llevará directamente a la celda de entrada.</t>
  </si>
  <si>
    <t>To locate the corresponding cell, click the FORMULAS tab → Formula Auditing (alt.: To audit formulas).</t>
  </si>
  <si>
    <t>Then click Trace Precedents.</t>
  </si>
  <si>
    <t>Double-click the tip of the arrow; it will take you directly to the input cell.</t>
  </si>
  <si>
    <t>PAGE LAYOUT  FORMULAS  DATA</t>
  </si>
  <si>
    <t>Trace Precedents</t>
  </si>
  <si>
    <t>Trace Dependents</t>
  </si>
  <si>
    <t>Remove Arrows</t>
  </si>
  <si>
    <t>DISEÑO DE PÁGINA  FÓRMULAS  DATOS</t>
  </si>
  <si>
    <t>Rastrear precedentes</t>
  </si>
  <si>
    <t>Rastrear dependientes</t>
  </si>
  <si>
    <t>Quitar flechas</t>
  </si>
  <si>
    <t>Este documento se compone de:</t>
  </si>
  <si>
    <t>con valores o texto</t>
  </si>
  <si>
    <t>celdas vacías</t>
  </si>
  <si>
    <t>filas</t>
  </si>
  <si>
    <t>columnas</t>
  </si>
  <si>
    <t>This document is composed of:</t>
  </si>
  <si>
    <t>with values or text</t>
  </si>
  <si>
    <t>empty cells</t>
  </si>
  <si>
    <t>rows</t>
  </si>
  <si>
    <t>columns</t>
  </si>
  <si>
    <t>https://www.youtube.com/watch?v=8Lz6KCW3Nqo</t>
  </si>
  <si>
    <t>desserts</t>
  </si>
  <si>
    <t>* *</t>
  </si>
  <si>
    <t>Matthieu Dugal répond à vos questions sur l'intelligence artificielle!</t>
  </si>
  <si>
    <t>F</t>
  </si>
  <si>
    <t>J</t>
  </si>
  <si>
    <t>Objectif : uniformiser les supports et développer la maîtrise du tableur chez vos élèves.</t>
  </si>
  <si>
    <t xml:space="preserve"> « Vos fiches Excel prêtes rapidement— multilingue, conversions auto, zéro prise de tête. »</t>
  </si>
  <si>
    <t>Gain de temps  &gt; Copiez/Collez = FR : g, kg, L, dL, cL, mL, ¼ kg, c. s., etc. / EN : oz, fl oz, cup, etc. / ES : tercio/L, taza líquida, cucharadita, etc.</t>
  </si>
  <si>
    <t>Facile à adapter aux recettes, process et barèmes maison.</t>
  </si>
  <si>
    <t xml:space="preserve">Classeur Excel 2021 de modèles de fiches conçu pour les TP en métiers de bouche (CFA/lycée hôtelier/centre pro). </t>
  </si>
  <si>
    <t>Excel 2021 workbook of sheet templates designed for hands-on training in food trades (CFA/hotel school/vocational center).</t>
  </si>
  <si>
    <t>Goal: standardize materials and build spreadsheet mastery among your students.</t>
  </si>
  <si>
    <t>“Your Excel sheets ready fast—multilingual, auto conversions, zero hassle.”</t>
  </si>
  <si>
    <t>Time saver &gt; Copy/Paste = FR: g, kg, L, dL, cL, mL, ¼ kg, tbsp (c. s.), etc. / EN: oz, fl oz, cup, etc. / ES: third/L, liquid cup, teaspoon, etc.</t>
  </si>
  <si>
    <t>Easy to adapt to your recipes, processes, and in-house grading scales.</t>
  </si>
  <si>
    <t>Libro de Excel 2021 con plantillas de fichas diseñado para TP en oficios de cocina (CFA/escuela de hostelería/centro profesional).</t>
  </si>
  <si>
    <t>Objetivo: uniformizar los soportes y desarrollar el dominio de la hoja de cálculo en su alumnado.</t>
  </si>
  <si>
    <t>«Sus fichas de Excel listas rápido—multilingüe, conversiones automáticas, cero complicaciones.»</t>
  </si>
  <si>
    <t>Ahorro de tiempo &gt; Copiar/Pegar = FR: g, kg, L, dL, cL, mL, ¼ kg, cda. (c. s.), etc. / EN: oz, fl oz, cup, etc. / ES: tercio/L, taza líquida, cucharadita, etc.</t>
  </si>
  <si>
    <t>Fácil de adaptar a sus recetas, procesos y baremos internos.</t>
  </si>
  <si>
    <t>▲ Table de recherche les Col.6 et 7 sont réservées aux poids Kg</t>
  </si>
  <si>
    <t>▲ Lookup table: Col.6 to 7 are reserved for weights (Kg)</t>
  </si>
  <si>
    <t>Vos poids avec coef.</t>
  </si>
  <si>
    <t>▲ Tabla de búsqueda: de la Col.6 - Col.7 están reservadas para los pesos (Kg)</t>
  </si>
  <si>
    <t>Col.27 =SI(SUPPRESPACE(AE22)="▼ recette suivante";AE22;SI(AK22&gt;0;AN9;0))</t>
  </si>
  <si>
    <t>L14&amp;" "&amp;M14&amp;" ► Famille = "&amp;N8&amp;" ► "&amp;I8&amp;" "&amp;N11&amp;" "&amp;O11&amp;" pour "&amp;N13&amp;" "&amp;O13</t>
  </si>
  <si>
    <t>AA14&amp;" "&amp;AB14&amp;" ► Famille = "&amp;AC8&amp;" ► "&amp;X8&amp;" "&amp;AC11&amp;" "&amp;AD11&amp;" for "&amp;AC13&amp;" "&amp;AD13</t>
  </si>
  <si>
    <t>AP14&amp;" "&amp;AQ14&amp;" ► Famille = "&amp;AR8&amp;" ► "&amp;AM8&amp;" "&amp;AR11&amp;" "&amp;AS11&amp;" para "&amp;AR13&amp;" "&amp;AS13</t>
  </si>
  <si>
    <t>Receta madre ► MILLE-FEUILLE meringue et chiboust pamplemousse aux fraises des bois ► Famille = pegue esto — FAMILIA ► NOMBRE DE SU RECETA   para 20 desserts</t>
  </si>
  <si>
    <t>Master recipe ► Guinea fowl ballotine ► Famille = paste it — FAMILY ► NAME OF YOUR RECIPE   for 20 kg</t>
  </si>
  <si>
    <t>Recette mère ► MILLE-FEUILLE meringue et chiboust pamplemousse aux fraises des bois ► Famille = pâtisserie--ENTREMET ► CHIBOUST PAMPLEMOUSSE   pour 20 desserts</t>
  </si>
  <si>
    <t>❿  Dupliquée pour</t>
  </si>
  <si>
    <t>❿   Duplicated for</t>
  </si>
  <si>
    <t>❿   Duplicada para</t>
  </si>
  <si>
    <t>famille--COLLEZ</t>
  </si>
  <si>
    <t>Saisir le nom de la recette principale</t>
  </si>
  <si>
    <t>5 lignes</t>
  </si>
  <si>
    <t>30 lignes</t>
  </si>
  <si>
    <t>40 lignes</t>
  </si>
  <si>
    <t>family--PASTE</t>
  </si>
  <si>
    <t>Master recipe?</t>
  </si>
  <si>
    <t>ARCHIVING &amp; FILING</t>
  </si>
  <si>
    <t>Enter the main recipe name</t>
  </si>
  <si>
    <t>Introduzca el nombre de la receta principal</t>
  </si>
  <si>
    <t>Receta madre?</t>
  </si>
  <si>
    <t>NOMBRE DE LA RECETA</t>
  </si>
  <si>
    <t>Température à cœur</t>
  </si>
  <si>
    <t>GN 1/</t>
  </si>
  <si>
    <t>LET(unite;SUBSTITUE(SUPPRESPACE(AQ58);" (s)";"");val;AU58;estVol;NB.SI(AP73:AV73;unite)+NB.SI(AP75:AV75;unite)&gt;0;estPoids;NB.SI(AM73:AN73;unite)+NB.SI(AM75:AN75;unite)&gt;0;SI(estVol;SI(ARRONDI(val;3)&gt;=1;ARRONDI(val;3)&amp;" L";MAX(1;ARRONDI(val*100;0))&amp;" cl");SI(estPoids;SI(ARRONDI(val;3)&gt;=1;ARRONDI(val;3)&amp;" Kg";MAX(1;ARRONDI(val*1000;0))&amp;" g");"")))</t>
  </si>
  <si>
    <t>❿ Duplicated for</t>
  </si>
  <si>
    <t>⓫ ▼ FASES DE PROGRESIÓN</t>
  </si>
  <si>
    <t>❿ Duplicada para</t>
  </si>
  <si>
    <t>⓫  ▼ PHASES OF PROGRESSION</t>
  </si>
  <si>
    <t xml:space="preserve">⓫  ▼ PHASES DE PROGRESSION </t>
  </si>
  <si>
    <t>Col.6 to 7 are reserved for weights (Kg)</t>
  </si>
  <si>
    <t>les Col.6 et 7 sont réservées aux poids Kg</t>
  </si>
  <si>
    <t>Las Cols. de 6 - 7 están reservadas a los pesos</t>
  </si>
  <si>
    <t xml:space="preserve">parce que la Col.15 s'en sert pour conversion en g </t>
  </si>
  <si>
    <t>because Col 15 uses them for conversion to g</t>
  </si>
  <si>
    <t>porque la Col. 15 las usa para conversión a g</t>
  </si>
  <si>
    <t xml:space="preserve">les Col.de 9 à 15 sont réservées aux volumes </t>
  </si>
  <si>
    <t>⓫  ▼ PROGRESSION PHASES</t>
  </si>
  <si>
    <t>Qué? Introduzca Trozos - rebanadas - raciones - piezas - cerezas etc.</t>
  </si>
  <si>
    <t xml:space="preserve"> Cell HERE</t>
  </si>
  <si>
    <t xml:space="preserve"> Celda AQUÍ</t>
  </si>
  <si>
    <t xml:space="preserve"> Col.14 conserver le texte de la fonction " RECHERCHEX" utilisé pour le fonctionnement des répertoires et le texte " Adresse PC " en bas de fiche</t>
  </si>
  <si>
    <t>Col. 14 — keep the RECHERCHEX function (and its text) used for the directories/lookup lists to work, and keep the literal text "Adresse PC" at the bottom of the sheet.</t>
  </si>
  <si>
    <t>Col. 14 — conservar la función "RECHERCHEX" y el texto «Adresse PC», utilizados para el funcionamiento de los directorios.</t>
  </si>
  <si>
    <t>5 lines</t>
  </si>
  <si>
    <t>5 líneas</t>
  </si>
  <si>
    <t>30 líneas</t>
  </si>
  <si>
    <t>40 líneas</t>
  </si>
  <si>
    <t>30 lines</t>
  </si>
  <si>
    <t>40 lines</t>
  </si>
  <si>
    <t>postres</t>
  </si>
  <si>
    <t>Organisation des Recettes (Cuisine, Pâtisserie, Charcuterie)</t>
  </si>
  <si>
    <t>Pour masquer les valeurs zéro cliquez sur Fichier - Options avancées et décochez</t>
  </si>
  <si>
    <t>Afficher un Zéro dans les cellules qui ont une valeur nulle</t>
  </si>
  <si>
    <t xml:space="preserve">Idem pour des recettes de cuisine ou de charcuterie faites des répertoires </t>
  </si>
  <si>
    <t>Attention selon version Excel le séparateur de nombre peut être soit une virgule, soit un point; j'ai utilisé le point</t>
  </si>
  <si>
    <t>donc si une formule n'affiche pas la valeur souhaitée vérifiez bien ces séparateurs</t>
  </si>
  <si>
    <t xml:space="preserve">dans Fichier &gt; Options &gt; Options avancées &gt; Options d'édition </t>
  </si>
  <si>
    <t>les séparateurs système sont définis dans le panneau de configuration &gt; Paramètres régionnaux Fchiers &gt;Options &gt; Avancé &gt; Option d'édition</t>
  </si>
  <si>
    <t xml:space="preserve">Excel Français cocher utiliser des séparateurs système </t>
  </si>
  <si>
    <t xml:space="preserve">cliquez sur la première cellule et sélectionnez dans la barre de formule le numéro </t>
  </si>
  <si>
    <t xml:space="preserve"> qui vous intéresse choisissez la police de caractères et la couleur qui vous conviennent</t>
  </si>
  <si>
    <t>► ◄  ▲  ▼  '@  #  &amp;  %  ± ➕ ➖ ➗ ✖️ ¼  ½  ¾</t>
  </si>
  <si>
    <t>Madame..Monsieur….Bonjour</t>
  </si>
  <si>
    <t>Voici un exemple d'utilitaires que vous pouvez trouver sur le site UPRT</t>
  </si>
  <si>
    <t>L'objectif des documents est bien sur leur utilisation si cela convient</t>
  </si>
  <si>
    <t>Mais c'est avant tout de maintenir et développer la capacité de réflexion en proposant des exemples</t>
  </si>
  <si>
    <t>Un tableur comme l'utilisation de l'informatique pour les cuissons en fours c'est formidable</t>
  </si>
  <si>
    <t>Mais en utilisant des fonctions pré-définies on risque de perdre sa capacité à penser - réfléchir et à maitriser</t>
  </si>
  <si>
    <t>Un jeune en formation en CFA ou autre - ou un un professionnel en activité n'ont pas de temps à perdre pour maitriser des bases d'un tableur s'il n'ont pas eu d'initiation</t>
  </si>
  <si>
    <t>Mais par contre en leur proposant des modèles peut être prendront ils le temps de découper - coller - utiliser format - formules et fonctions</t>
  </si>
  <si>
    <t xml:space="preserve">C'est pour cela que j'incite l'internaute à télécharger sur disque dur tout ce qu'il peut trouver sur ce site pour se constituer </t>
  </si>
  <si>
    <t>une Webthèque ou Nethèque qu'il pourra consulter et utiliser le moment venu</t>
  </si>
  <si>
    <t>adaptables a la restauration commerciale</t>
  </si>
  <si>
    <t xml:space="preserve">Joël leboucher      </t>
  </si>
  <si>
    <t>Everything  un utilitaire de recherche gratuit pour indexer et rechercher vos fichiers</t>
  </si>
  <si>
    <t>https://everything.fr.softonic.com/</t>
  </si>
  <si>
    <t>PLAN DU SITE</t>
  </si>
  <si>
    <t>http://www.uprt.fr/detail.php?id=6&amp;titre=plan-du-site</t>
  </si>
  <si>
    <t>DOCUMENTS POUR RESTAURATEURS</t>
  </si>
  <si>
    <t>http://www.uprt.fr/detail.php?id=185&amp;titre=restaurateurs</t>
  </si>
  <si>
    <t>Pour faire court voici quelques petits exemples</t>
  </si>
  <si>
    <t>sur cette page vous avez déjà des formules à récupérer et des liens à visiter</t>
  </si>
  <si>
    <t>Pourquoi une cellule ICI &gt; pour sélectionner le tableau en se déportant vers la droite et vous pouvez le coller dans une autre feuille</t>
  </si>
  <si>
    <t>Quelques liens hypertexte internes exemple de formules</t>
  </si>
  <si>
    <t>Pour modifier une formule &gt; dans la barre de formule supprimez le =</t>
  </si>
  <si>
    <t>la formule devient texte et se modifie comme du texte</t>
  </si>
  <si>
    <t>Un lien Hypertexte commence toujours par :    LIEN_HYPERTEXTE("#" c25 par exemple</t>
  </si>
  <si>
    <t xml:space="preserve">lorsque vous avez fini remettez un = devant positionnez vous à la fin de la formule </t>
  </si>
  <si>
    <t>Mettre seulement le dièse "#" entre 2 guillemets pour ne pas figer la cellule de destination</t>
  </si>
  <si>
    <t>et appuyez sur Entrée</t>
  </si>
  <si>
    <t>les mises à jours seront automatiques lorsque vous collerez votre tableau dans une autre feuille</t>
  </si>
  <si>
    <t>Vous avez une autre option pour figer la formule &gt; saisissez un ' apostrophe devant =</t>
  </si>
  <si>
    <t>vous obtenez le même résultat  MAIS cet ' est plus difficile à identifier en cas d'erreur</t>
  </si>
  <si>
    <t>Exemples de formules nomades vous indiquez une bonne fois pour toutes l'emplacement de la cellule de destination</t>
  </si>
  <si>
    <t xml:space="preserve">Combiner les Prénoms et Noms </t>
  </si>
  <si>
    <t>A vous d'imaginer d'autres utilisations possibles</t>
  </si>
  <si>
    <t>Affichage</t>
  </si>
  <si>
    <t>Détail de la formule saisie</t>
  </si>
  <si>
    <t>Prénom</t>
  </si>
  <si>
    <t>Nom</t>
  </si>
  <si>
    <t>Combinaison</t>
  </si>
  <si>
    <t>Formules utilisées pour afficher ces résultats</t>
  </si>
  <si>
    <t>Robert</t>
  </si>
  <si>
    <t>Spière</t>
  </si>
  <si>
    <t>Guillaume</t>
  </si>
  <si>
    <t>Tell</t>
  </si>
  <si>
    <t>Prénom et Nom</t>
  </si>
  <si>
    <t>Extraire les Noms et Prénoms</t>
  </si>
  <si>
    <t>Guillaume Tell</t>
  </si>
  <si>
    <t>FORMULETEXTE(O42)</t>
  </si>
  <si>
    <t>Guillaume,Tell</t>
  </si>
  <si>
    <t>indiquez entre les guillemets " , "que vous voulez supprimer la virgule de séparation</t>
  </si>
  <si>
    <t>Séparer Nom et Prénom et en faire une adresse mail</t>
  </si>
  <si>
    <t>https://www.youtube.com/watch?v=2TmdhLLUsOQ</t>
  </si>
  <si>
    <t>Largeurs de colonnes figées pour mémoire  et  Largeurs de colonnes formule pourquoi ?</t>
  </si>
  <si>
    <t xml:space="preserve">Lorsque vous Copiez/Collez un document dans une nouvelle feuille </t>
  </si>
  <si>
    <t>vous n'obtenez pas toujours le même écartement de colonnes pour la taille de police.</t>
  </si>
  <si>
    <t>les formules vous indiquent les nouvelles largeurs et les largeurs figées les corrections à apporter</t>
  </si>
  <si>
    <t>Excel n'aime pas les cellules vides j'ai donc saisi des valeurs 1 dans certaines cellules</t>
  </si>
  <si>
    <t>&lt;Largeurs de colonnes figées pour mémoire</t>
  </si>
  <si>
    <t xml:space="preserve">Pour toutes ces formules remplacez </t>
  </si>
  <si>
    <t>par votre N° de Ligne et de Colonne</t>
  </si>
  <si>
    <t>&lt;Largeurs de colonnes formule</t>
  </si>
  <si>
    <t>l'avantage de ne pas mettre le nom de la cellule entre guillemets c'est qu'elle se mettra automatiquement à jour lorsque vous copierez votre tableau ailleurs</t>
  </si>
  <si>
    <t>Formats de cellules nombres personnalisées</t>
  </si>
  <si>
    <t>UNICAR(128269)</t>
  </si>
  <si>
    <t>Tableau de bord des ventes et de gestion des stocks</t>
  </si>
  <si>
    <t>https://www.youtube.com/watch?v=BEAwIv4fIw4</t>
  </si>
  <si>
    <t>dans les 3 formules suivantes</t>
  </si>
  <si>
    <t># ##0" gr"</t>
  </si>
  <si>
    <t>Lien incrémenté ne se met pas à jour dans un autre emplacement</t>
  </si>
  <si>
    <t># ##0.000" kg"</t>
  </si>
  <si>
    <t>Extraire du texte d'une chaine de caractères</t>
  </si>
  <si>
    <t>formule plus simple MAIS si vous déplacez votre tableau vous devez à chaque fois modifier l'adresse ("# c131";</t>
  </si>
  <si>
    <t>de # ##0.000" kg"</t>
  </si>
  <si>
    <t>Collez votre texte &gt;</t>
  </si>
  <si>
    <t>qtzt-45221-kiu</t>
  </si>
  <si>
    <t>de 0.00" Kg"</t>
  </si>
  <si>
    <t>position du premier caractère à extraire</t>
  </si>
  <si>
    <t>0.000K\g</t>
  </si>
  <si>
    <t>nombre de caractères à extraire</t>
  </si>
  <si>
    <t>Poids portion 0.000" Kg"</t>
  </si>
  <si>
    <t>Résultat</t>
  </si>
  <si>
    <t># ##0" cl"</t>
  </si>
  <si>
    <t>0.00 " cm³"</t>
  </si>
  <si>
    <t>Vous pouvez extraire ce que vous voulez d'une phrase des nombre un prénom etc</t>
  </si>
  <si>
    <t>0.000 " dm³"</t>
  </si>
  <si>
    <t>0.000" L"</t>
  </si>
  <si>
    <t>Vous pouvez mettre des émotocones dans vos formules entre deux guillemets "   "</t>
  </si>
  <si>
    <t>0" lignes"</t>
  </si>
  <si>
    <t>"🚲 "   " 🤓 "   " ✔ "   " 🆗 "</t>
  </si>
  <si>
    <t>0" jours"</t>
  </si>
  <si>
    <t>0" H"</t>
  </si>
  <si>
    <t>➕  ⏮  ➿  ⁉  ⬅  ☺  ✔  ❓  🆗  🌼  🚲  🤓  🔛 🚐  «</t>
  </si>
  <si>
    <t>0" Mx"</t>
  </si>
  <si>
    <t>Voici quelques photos pour aider à estimer les quantités</t>
  </si>
  <si>
    <t>0.0" %"</t>
  </si>
  <si>
    <t>Visuellement, ça représente quoi 100 calories ?</t>
  </si>
  <si>
    <t>🔗</t>
  </si>
  <si>
    <t>🔎#</t>
  </si>
  <si>
    <t>N° 0</t>
  </si>
  <si>
    <t>Col.0</t>
  </si>
  <si>
    <t>Comment taper sur votre clavier d'ordinateur tous les symboles, emoji, signes, icones ?</t>
  </si>
  <si>
    <t>0.0" mm"</t>
  </si>
  <si>
    <t>http://www.symbole-clavier.com/</t>
  </si>
  <si>
    <t>https://www.premiers-clics.fr/cours-informatique/windows-les-fonctionnalites-du-clavier/</t>
  </si>
  <si>
    <t>0.00" cm"</t>
  </si>
  <si>
    <t>Manuel d’utilisation</t>
  </si>
  <si>
    <t>0.00 " cm²"</t>
  </si>
  <si>
    <t>https://bepo.fr/wiki/Manuel</t>
  </si>
  <si>
    <t>https://bepo.fr/wiki/Menu</t>
  </si>
  <si>
    <t>Actif;"Actif";"Inactif"</t>
  </si>
  <si>
    <t>Vrai;"Vrai";"Faux"</t>
  </si>
  <si>
    <t>Liste des fonctions Excel avec une traduction</t>
  </si>
  <si>
    <t>https://fr.excelfunctions.eu/</t>
  </si>
  <si>
    <t>Pour vous détendre un peu  : Convertir un CD en MP3 avec Windows Media Player</t>
  </si>
  <si>
    <t>https://www.premiers-clics.fr/cours-informatique/windows-convertir-un-cd-en-fichiers-mp3/</t>
  </si>
  <si>
    <t>lorsque vous collez ce tableau ailleurs</t>
  </si>
  <si>
    <t>Amusez vous un tableur c'est fait pour ça</t>
  </si>
  <si>
    <t>Pour obtenir un nombre de plaques gastro à utiliser par exemple</t>
  </si>
  <si>
    <t>dans les formules avec loupe n'oubliez pas de modifier les adresses &gt; # k93 &amp;" K93"</t>
  </si>
  <si>
    <t>🛺</t>
  </si>
  <si>
    <t>🚲</t>
  </si>
  <si>
    <t>si vous utilisez un poids cru vous avez une formule</t>
  </si>
  <si>
    <t>❹ Kg cru</t>
  </si>
  <si>
    <t>et si vous utilisez un poids cuit vous en avez une autre</t>
  </si>
  <si>
    <t>❺ Kg cuit</t>
  </si>
  <si>
    <t>🤓</t>
  </si>
  <si>
    <t>Nombre de contenants</t>
  </si>
  <si>
    <t>Produit conditionné</t>
  </si>
  <si>
    <t>contenant(s) a prévoir &gt;</t>
  </si>
  <si>
    <t>Bœuf</t>
  </si>
  <si>
    <t>Sautés en morceaux service au poids</t>
  </si>
  <si>
    <t>❷ Type de Contenant</t>
  </si>
  <si>
    <t xml:space="preserve"> GN 1/ 1 = 3 Kg crus</t>
  </si>
  <si>
    <t>▼  ❹ ou ❺</t>
  </si>
  <si>
    <t>capacité du contenant ❸</t>
  </si>
  <si>
    <t xml:space="preserve"> Grammage  p.p.❼</t>
  </si>
  <si>
    <t>Effectif ❽</t>
  </si>
  <si>
    <t xml:space="preserve">A conditionner </t>
  </si>
  <si>
    <t>Total contenants &gt;</t>
  </si>
  <si>
    <t>1 cont.pour &gt;</t>
  </si>
  <si>
    <t>un contenant* peut être une panière - un sachet - une plaque gastro - une louche - une barquette etc..</t>
  </si>
  <si>
    <t>Saisissez vos valeurs dans les cellules fond de couleur et collez ❹ Kg cru ou  ❺ Kg cuit</t>
  </si>
  <si>
    <t>LÉGENDE</t>
  </si>
  <si>
    <t>❶ FAMILLE et NOM DU PLAT</t>
  </si>
  <si>
    <t xml:space="preserve">❻ %  de PERTE </t>
  </si>
  <si>
    <t>❻ % de BONI &gt;</t>
  </si>
  <si>
    <t>❸ capacité du contenant*</t>
  </si>
  <si>
    <t>❻ Foisonnement</t>
  </si>
  <si>
    <t>❼  Grammage  p.p.</t>
  </si>
  <si>
    <t>❽ Saisissez vos effectifs</t>
  </si>
  <si>
    <t xml:space="preserve">Collez ❹ Kg cru ou ❺ Kg cuit </t>
  </si>
  <si>
    <t>Cellule &gt;</t>
  </si>
  <si>
    <t>CRU moins % Perte = CUIT</t>
  </si>
  <si>
    <t xml:space="preserve">CUIT + % boni = CRU </t>
  </si>
  <si>
    <t>Utilitaire pour le foisionnement en + ou - pour légumes secs et céréales etc…</t>
  </si>
  <si>
    <t>Produit conditionné &gt;</t>
  </si>
  <si>
    <t>CRU  Multiplié = CUIT</t>
  </si>
  <si>
    <t xml:space="preserve">CUIT Divisé  = CRU </t>
  </si>
  <si>
    <t>Service de quoi ? &gt;</t>
  </si>
  <si>
    <t>Morceaux</t>
  </si>
  <si>
    <t>(Morceaux- Tranches ...?)</t>
  </si>
  <si>
    <t>Combien p.p.❼</t>
  </si>
  <si>
    <t>Saisissez vos valeurs dans les cellules fond de couleur et collez ❹ Cu ou  ❺ Cuit</t>
  </si>
  <si>
    <t>❼  Quantité p.p.</t>
  </si>
  <si>
    <t>Collez ❹ Cru ou ❺ Cuit Cellule &gt;</t>
  </si>
  <si>
    <t>Prix D'ACHAT / Prix de VENTE</t>
  </si>
  <si>
    <t>Bricolage "artisanal "   on peut faire plus simple mais c'est "pédagogique"</t>
  </si>
  <si>
    <t>&lt; position colonne et n° de ligne</t>
  </si>
  <si>
    <t xml:space="preserve">Saisissez vos valeurs dans les cellules fond ivoire </t>
  </si>
  <si>
    <t>Aide à la décision en Kg</t>
  </si>
  <si>
    <t>Pourcentages NET / BRUT et BRUT / NET</t>
  </si>
  <si>
    <t>Décriptage d'une recette par les pourcentages</t>
  </si>
  <si>
    <t>Nom de la recette &gt;</t>
  </si>
  <si>
    <t>PUNCH</t>
  </si>
  <si>
    <t>POIDS de PERTE</t>
  </si>
  <si>
    <t>Poids brut</t>
  </si>
  <si>
    <t>Total :</t>
  </si>
  <si>
    <t>Pourcentages</t>
  </si>
  <si>
    <t>% Perte</t>
  </si>
  <si>
    <t>BRUT</t>
  </si>
  <si>
    <t>POIDS DE LA RECETTE A DÉCRYPTER &gt;</t>
  </si>
  <si>
    <t>Rhum</t>
  </si>
  <si>
    <t>Sucre de cannes</t>
  </si>
  <si>
    <t>Jus de pamplemousse</t>
  </si>
  <si>
    <t>Jus d'orange</t>
  </si>
  <si>
    <t>Citron vert</t>
  </si>
  <si>
    <t>conversion : volume Centilitres / poids</t>
  </si>
  <si>
    <t>Volume</t>
  </si>
  <si>
    <t>produit</t>
  </si>
  <si>
    <t>densité</t>
  </si>
  <si>
    <t>Eau</t>
  </si>
  <si>
    <t>lait entier</t>
  </si>
  <si>
    <t>Saisissez vos valeurs dans les cellules fond jaune</t>
  </si>
  <si>
    <t>lait 1/2 écrémé</t>
  </si>
  <si>
    <t>Nom de la recette</t>
  </si>
  <si>
    <t>POIDS DE LA RECETTE A DÉCRYPTER</t>
  </si>
  <si>
    <t>huile</t>
  </si>
  <si>
    <t>liste des produits</t>
  </si>
  <si>
    <t>Pourcentages des produits</t>
  </si>
  <si>
    <t>alcool</t>
  </si>
  <si>
    <t>Saisissez vos valeurs dans la cellule fond jaune encre rouge</t>
  </si>
  <si>
    <t>VOCABULAIRE GENERAL PROFESSIONNEL    un verbe…une action             collez verbes et actions dans les PHASES DE PROGRESSION ⓬</t>
  </si>
  <si>
    <t>Q</t>
  </si>
  <si>
    <t>T</t>
  </si>
  <si>
    <t>faire court …1 verbe = 1 action</t>
  </si>
  <si>
    <t>Abaisser</t>
  </si>
  <si>
    <t>Dauber</t>
  </si>
  <si>
    <t>Façonner</t>
  </si>
  <si>
    <t>Macérer</t>
  </si>
  <si>
    <t>Quadriller</t>
  </si>
  <si>
    <t>accomplir</t>
  </si>
  <si>
    <t>localiser</t>
  </si>
  <si>
    <t>EPICERIE</t>
  </si>
  <si>
    <t>épicerie</t>
  </si>
  <si>
    <t>PHASES ESSENTIELLES  DE PROGRESSION</t>
  </si>
  <si>
    <t>Faire bouillir</t>
  </si>
  <si>
    <t>Maintenir en temp. sup à 63°</t>
  </si>
  <si>
    <t>taillage</t>
  </si>
  <si>
    <t>acheter</t>
  </si>
  <si>
    <t>assiette</t>
  </si>
  <si>
    <t>Abricoter</t>
  </si>
  <si>
    <t>Farcir</t>
  </si>
  <si>
    <t>Manchonner</t>
  </si>
  <si>
    <t>Tailler</t>
  </si>
  <si>
    <t>achever</t>
  </si>
  <si>
    <t>habiller les soles</t>
  </si>
  <si>
    <t>Accompagner</t>
  </si>
  <si>
    <t>Décanter</t>
  </si>
  <si>
    <t>Farder</t>
  </si>
  <si>
    <t>R</t>
  </si>
  <si>
    <t>Tamiser</t>
  </si>
  <si>
    <t>activer</t>
  </si>
  <si>
    <t>Mise en place du poste de travail</t>
  </si>
  <si>
    <t>acheminement vers operculage</t>
  </si>
  <si>
    <t>Décartonner</t>
  </si>
  <si>
    <t>Fariner</t>
  </si>
  <si>
    <t>Manipuler</t>
  </si>
  <si>
    <t>Rabattre</t>
  </si>
  <si>
    <t>Tamponner</t>
  </si>
  <si>
    <t>agrandir</t>
  </si>
  <si>
    <t>manier</t>
  </si>
  <si>
    <t>Acheminer</t>
  </si>
  <si>
    <t>Décercler</t>
  </si>
  <si>
    <t>Festonner</t>
  </si>
  <si>
    <t>Marbrer</t>
  </si>
  <si>
    <t>Raccourcir</t>
  </si>
  <si>
    <t>Tapisser</t>
  </si>
  <si>
    <t>ajuster</t>
  </si>
  <si>
    <t>manœuvrer</t>
  </si>
  <si>
    <t>peser les denrées</t>
  </si>
  <si>
    <t>Additionner</t>
  </si>
  <si>
    <t>dechargement du four</t>
  </si>
  <si>
    <t>Fileter</t>
  </si>
  <si>
    <t>Mariner</t>
  </si>
  <si>
    <t>Rafraîchir</t>
  </si>
  <si>
    <t>Terminer</t>
  </si>
  <si>
    <t>améliorer</t>
  </si>
  <si>
    <t>mesurer</t>
  </si>
  <si>
    <t>balance</t>
  </si>
  <si>
    <t>sélectionner le matériel</t>
  </si>
  <si>
    <t>Adjoindre</t>
  </si>
  <si>
    <t>Décharger</t>
  </si>
  <si>
    <t>marquage</t>
  </si>
  <si>
    <t>Raidir</t>
  </si>
  <si>
    <t>aménager</t>
  </si>
  <si>
    <t>mettre</t>
  </si>
  <si>
    <t>barquettes</t>
  </si>
  <si>
    <t>désinfecter le matériel et le poste de travail suivant la procédure</t>
  </si>
  <si>
    <t>Agir rapidement</t>
  </si>
  <si>
    <t>Déconditionner</t>
  </si>
  <si>
    <t>Filmer</t>
  </si>
  <si>
    <t>Marquer</t>
  </si>
  <si>
    <t>rangement</t>
  </si>
  <si>
    <t>Torréfier</t>
  </si>
  <si>
    <t>analyser</t>
  </si>
  <si>
    <t>moderniser</t>
  </si>
  <si>
    <t>PRODUITS LAITIERS</t>
  </si>
  <si>
    <t>produits laitiers</t>
  </si>
  <si>
    <t>Ajouter</t>
  </si>
  <si>
    <t>Décorer</t>
  </si>
  <si>
    <t>Fixer</t>
  </si>
  <si>
    <t>Masquer</t>
  </si>
  <si>
    <t>Ranger</t>
  </si>
  <si>
    <t>appliquer</t>
  </si>
  <si>
    <t>Aplatir</t>
  </si>
  <si>
    <t>Décortiquer</t>
  </si>
  <si>
    <t>Flamber</t>
  </si>
  <si>
    <t>Masser</t>
  </si>
  <si>
    <t>Rassir</t>
  </si>
  <si>
    <t>approuver</t>
  </si>
  <si>
    <t>Préparations préliminaires</t>
  </si>
  <si>
    <t>Aromatiser</t>
  </si>
  <si>
    <t>Rayer</t>
  </si>
  <si>
    <t>archiver</t>
  </si>
  <si>
    <t>N</t>
  </si>
  <si>
    <t>camion</t>
  </si>
  <si>
    <t>Arroser</t>
  </si>
  <si>
    <t>Découper</t>
  </si>
  <si>
    <t>Fleurer</t>
  </si>
  <si>
    <t>Mélanger</t>
  </si>
  <si>
    <t>Réaliser</t>
  </si>
  <si>
    <t>tranchage</t>
  </si>
  <si>
    <t>assembler</t>
  </si>
  <si>
    <t>naviguer</t>
  </si>
  <si>
    <t>assaisonnement</t>
  </si>
  <si>
    <t>Foisonner</t>
  </si>
  <si>
    <t>Meringuer</t>
  </si>
  <si>
    <t>Trancher</t>
  </si>
  <si>
    <t>attacher</t>
  </si>
  <si>
    <t>nettoyer</t>
  </si>
  <si>
    <t>chariots</t>
  </si>
  <si>
    <t>Assaisonner</t>
  </si>
  <si>
    <t>transport</t>
  </si>
  <si>
    <t>attribuer</t>
  </si>
  <si>
    <t>chariots isothermes</t>
  </si>
  <si>
    <t>assemblage</t>
  </si>
  <si>
    <t>Déglacer</t>
  </si>
  <si>
    <t>Fondre</t>
  </si>
  <si>
    <t>transport en bacs inox</t>
  </si>
  <si>
    <t>O</t>
  </si>
  <si>
    <t>couvercle barquette</t>
  </si>
  <si>
    <t>monter au beurre</t>
  </si>
  <si>
    <t>assemblage assiette</t>
  </si>
  <si>
    <t>Dégorger</t>
  </si>
  <si>
    <t>Fouetter</t>
  </si>
  <si>
    <t>Reconditionner</t>
  </si>
  <si>
    <t>Transporter</t>
  </si>
  <si>
    <t>optimiser</t>
  </si>
  <si>
    <t>assemblage collectif</t>
  </si>
  <si>
    <t>Dégourdir</t>
  </si>
  <si>
    <t>Fouler</t>
  </si>
  <si>
    <t>Mettre en cuisson</t>
  </si>
  <si>
    <t>Recouvrir</t>
  </si>
  <si>
    <t>Travailler</t>
  </si>
  <si>
    <t>brancher</t>
  </si>
  <si>
    <t>ordonnancer</t>
  </si>
  <si>
    <t>Dégraisser</t>
  </si>
  <si>
    <t>Fourrer</t>
  </si>
  <si>
    <t>Mijoter</t>
  </si>
  <si>
    <t>Tremper</t>
  </si>
  <si>
    <t>organiser</t>
  </si>
  <si>
    <t>cuiseur vapeur</t>
  </si>
  <si>
    <t>Déhousser</t>
  </si>
  <si>
    <t>mise en bac ou grille pour cuisson</t>
  </si>
  <si>
    <t>Tronçonner</t>
  </si>
  <si>
    <t>cul de poule</t>
  </si>
  <si>
    <t>assemblage plateaux midi</t>
  </si>
  <si>
    <t>Délayer</t>
  </si>
  <si>
    <t>Frapper</t>
  </si>
  <si>
    <t>mise en bac pour conditionnement</t>
  </si>
  <si>
    <t>Refroidir</t>
  </si>
  <si>
    <t>calculer</t>
  </si>
  <si>
    <t>cutter</t>
  </si>
  <si>
    <t>VIANDES SURGELEES A CUISSON COURTE</t>
  </si>
  <si>
    <t>assemblage plateaux soir</t>
  </si>
  <si>
    <t>Démouler</t>
  </si>
  <si>
    <t>mise en chariot</t>
  </si>
  <si>
    <t>refroidissement =&lt; 9°</t>
  </si>
  <si>
    <t>Turbiner</t>
  </si>
  <si>
    <t>cataloguer</t>
  </si>
  <si>
    <t>planifier</t>
  </si>
  <si>
    <t>Dénerver</t>
  </si>
  <si>
    <t>Frémir</t>
  </si>
  <si>
    <t>Mixer</t>
  </si>
  <si>
    <t>Régénérer</t>
  </si>
  <si>
    <t>centraliser</t>
  </si>
  <si>
    <t>préparer</t>
  </si>
  <si>
    <t>VIANDES SURGELEES CUITES</t>
  </si>
  <si>
    <t>viandes surgelées cuites</t>
  </si>
  <si>
    <t>attente</t>
  </si>
  <si>
    <t>Dénoyauter</t>
  </si>
  <si>
    <t>Frire</t>
  </si>
  <si>
    <t>Modeler</t>
  </si>
  <si>
    <t>Réhydrater</t>
  </si>
  <si>
    <t>U</t>
  </si>
  <si>
    <t>chercher</t>
  </si>
  <si>
    <t>présenter</t>
  </si>
  <si>
    <t>VIANDES SURGELEES CUITES A TRANCHER</t>
  </si>
  <si>
    <t>attendre</t>
  </si>
  <si>
    <t>Denteler</t>
  </si>
  <si>
    <t>Moiner</t>
  </si>
  <si>
    <t>rejet</t>
  </si>
  <si>
    <t>Utiliser</t>
  </si>
  <si>
    <t>classifier</t>
  </si>
  <si>
    <t>prévoir</t>
  </si>
  <si>
    <t>Dépouiller</t>
  </si>
  <si>
    <t>G</t>
  </si>
  <si>
    <t>Monder</t>
  </si>
  <si>
    <t>Rejeter</t>
  </si>
  <si>
    <t>Upériser</t>
  </si>
  <si>
    <t>commander</t>
  </si>
  <si>
    <t>produire</t>
  </si>
  <si>
    <t>E</t>
  </si>
  <si>
    <t>Garnir</t>
  </si>
  <si>
    <t>Monter</t>
  </si>
  <si>
    <t>Relâcher</t>
  </si>
  <si>
    <t>compiler</t>
  </si>
  <si>
    <t>programmer</t>
  </si>
  <si>
    <t>Préparer la purée</t>
  </si>
  <si>
    <t>Barder</t>
  </si>
  <si>
    <t>desemballage</t>
  </si>
  <si>
    <t>gerbage</t>
  </si>
  <si>
    <t>Mortifier</t>
  </si>
  <si>
    <t>V</t>
  </si>
  <si>
    <t>compter</t>
  </si>
  <si>
    <t>Battre</t>
  </si>
  <si>
    <t>Désemballer</t>
  </si>
  <si>
    <t>Gerber</t>
  </si>
  <si>
    <t>Vanner</t>
  </si>
  <si>
    <t>concevoir</t>
  </si>
  <si>
    <t>emballage carton</t>
  </si>
  <si>
    <t>Beurrer</t>
  </si>
  <si>
    <t>Désinfecter</t>
  </si>
  <si>
    <t>Glacer</t>
  </si>
  <si>
    <t>Mouler</t>
  </si>
  <si>
    <t>Vérifier la temp.</t>
  </si>
  <si>
    <t>conduire</t>
  </si>
  <si>
    <t>rebâtir</t>
  </si>
  <si>
    <t>emballage originel</t>
  </si>
  <si>
    <t>Blanchir</t>
  </si>
  <si>
    <t>desinfection</t>
  </si>
  <si>
    <t>Gommer</t>
  </si>
  <si>
    <t>Mousser</t>
  </si>
  <si>
    <t>Remonter</t>
  </si>
  <si>
    <t>Verser</t>
  </si>
  <si>
    <t>consigner</t>
  </si>
  <si>
    <t>Blondir</t>
  </si>
  <si>
    <t>Désosser</t>
  </si>
  <si>
    <t>Remonter en température</t>
  </si>
  <si>
    <t>Videler</t>
  </si>
  <si>
    <t>constituer</t>
  </si>
  <si>
    <t>reconstruire</t>
  </si>
  <si>
    <t>Bouler</t>
  </si>
  <si>
    <t>Dessécher</t>
  </si>
  <si>
    <t>Grainer</t>
  </si>
  <si>
    <t>Remplacer</t>
  </si>
  <si>
    <t>Voiler</t>
  </si>
  <si>
    <t>construire</t>
  </si>
  <si>
    <t>réduire</t>
  </si>
  <si>
    <t>Braiser</t>
  </si>
  <si>
    <t>dessouvidage</t>
  </si>
  <si>
    <t>Graisser</t>
  </si>
  <si>
    <t>Remplir Barq</t>
  </si>
  <si>
    <t>contrôler</t>
  </si>
  <si>
    <t>régler</t>
  </si>
  <si>
    <t>Brider</t>
  </si>
  <si>
    <t>Dessouvider</t>
  </si>
  <si>
    <t>Gratiner</t>
  </si>
  <si>
    <t>Napper</t>
  </si>
  <si>
    <t>Remplir Des Chariots Isothermes</t>
  </si>
  <si>
    <t>couper</t>
  </si>
  <si>
    <t>réguler</t>
  </si>
  <si>
    <t>Quelques expressions</t>
  </si>
  <si>
    <t>Broyer</t>
  </si>
  <si>
    <t>destockage</t>
  </si>
  <si>
    <t>Griller</t>
  </si>
  <si>
    <t>remplissage barq.</t>
  </si>
  <si>
    <t>Zester</t>
  </si>
  <si>
    <t>créer</t>
  </si>
  <si>
    <t>remodeler</t>
  </si>
  <si>
    <t>fouet</t>
  </si>
  <si>
    <t>Confectionner la brandade de morue</t>
  </si>
  <si>
    <t>Brûler</t>
  </si>
  <si>
    <t>Destocker</t>
  </si>
  <si>
    <t>remplissage des chariots isothermes</t>
  </si>
  <si>
    <t>creuser</t>
  </si>
  <si>
    <t>remplacer</t>
  </si>
  <si>
    <t>four mixte</t>
  </si>
  <si>
    <t>désinfecter le matériel</t>
  </si>
  <si>
    <t>Détailler</t>
  </si>
  <si>
    <t>H</t>
  </si>
  <si>
    <t>Remuer</t>
  </si>
  <si>
    <t>cultiver</t>
  </si>
  <si>
    <t>rénover</t>
  </si>
  <si>
    <t>désinfecter le poste de travail</t>
  </si>
  <si>
    <t>Cuire les filets à la vapeur 7 minutes environ</t>
  </si>
  <si>
    <t>Détendre</t>
  </si>
  <si>
    <t>Habiller</t>
  </si>
  <si>
    <t>Répartir</t>
  </si>
  <si>
    <t>réorganiser</t>
  </si>
  <si>
    <t>Détremper</t>
  </si>
  <si>
    <t>Hacher</t>
  </si>
  <si>
    <t>repartition</t>
  </si>
  <si>
    <t>réparer</t>
  </si>
  <si>
    <t>Canneler</t>
  </si>
  <si>
    <t>Disperser</t>
  </si>
  <si>
    <t>Historier</t>
  </si>
  <si>
    <t>Panacher</t>
  </si>
  <si>
    <t>Repasser</t>
  </si>
  <si>
    <t>décentraliser</t>
  </si>
  <si>
    <t>résoudre</t>
  </si>
  <si>
    <t>grille</t>
  </si>
  <si>
    <t>suivre les protocoles</t>
  </si>
  <si>
    <t>Caraméliser</t>
  </si>
  <si>
    <t>Disposer</t>
  </si>
  <si>
    <t>Huiler</t>
  </si>
  <si>
    <t>Paner</t>
  </si>
  <si>
    <t>Réserver</t>
  </si>
  <si>
    <t>réviser</t>
  </si>
  <si>
    <t>Cerner</t>
  </si>
  <si>
    <t>Dorer</t>
  </si>
  <si>
    <t>Papilloter</t>
  </si>
  <si>
    <t>Respecter le délai de 2 H</t>
  </si>
  <si>
    <t>dessiner</t>
  </si>
  <si>
    <t>revoir</t>
  </si>
  <si>
    <t>Chablonner</t>
  </si>
  <si>
    <t>Doubler</t>
  </si>
  <si>
    <t>I</t>
  </si>
  <si>
    <t>parage</t>
  </si>
  <si>
    <t>Retirer</t>
  </si>
  <si>
    <t>documenter</t>
  </si>
  <si>
    <t>Dresser</t>
  </si>
  <si>
    <t>Parer</t>
  </si>
  <si>
    <t>Retomber</t>
  </si>
  <si>
    <t>S</t>
  </si>
  <si>
    <t>faire tremper</t>
  </si>
  <si>
    <t>changement de chariot</t>
  </si>
  <si>
    <t>Inciser</t>
  </si>
  <si>
    <t>Parfumer</t>
  </si>
  <si>
    <t>retour vers conditionnement</t>
  </si>
  <si>
    <t>sensibiliser</t>
  </si>
  <si>
    <t>Incorporer</t>
  </si>
  <si>
    <t>Parsemer</t>
  </si>
  <si>
    <t>Retourner</t>
  </si>
  <si>
    <t>écouler</t>
  </si>
  <si>
    <t>simplifier</t>
  </si>
  <si>
    <t>hacher finement</t>
  </si>
  <si>
    <t>Changer</t>
  </si>
  <si>
    <t>Indications packaging</t>
  </si>
  <si>
    <t>passage en cellule</t>
  </si>
  <si>
    <t>Revenir</t>
  </si>
  <si>
    <t>écrire</t>
  </si>
  <si>
    <t>soulever</t>
  </si>
  <si>
    <t>louche</t>
  </si>
  <si>
    <t>laver à grande eau</t>
  </si>
  <si>
    <t>chargement chariots isothermes</t>
  </si>
  <si>
    <t>Infuser</t>
  </si>
  <si>
    <t>passage rapide en cellule</t>
  </si>
  <si>
    <t>Rincer</t>
  </si>
  <si>
    <t>édifier</t>
  </si>
  <si>
    <t>standardiser</t>
  </si>
  <si>
    <t>chargement du camion</t>
  </si>
  <si>
    <t>interstockage</t>
  </si>
  <si>
    <t>Passer</t>
  </si>
  <si>
    <t>Rioler</t>
  </si>
  <si>
    <t>effectuer</t>
  </si>
  <si>
    <t>superviser</t>
  </si>
  <si>
    <t>trier et tremper</t>
  </si>
  <si>
    <t>chargement du four</t>
  </si>
  <si>
    <t>Pasteuriser</t>
  </si>
  <si>
    <t>Rissoler</t>
  </si>
  <si>
    <t>élaborer</t>
  </si>
  <si>
    <t>surveiller</t>
  </si>
  <si>
    <t>vérifier les DLC</t>
  </si>
  <si>
    <t>chargt. chariots collec.</t>
  </si>
  <si>
    <t>Peler</t>
  </si>
  <si>
    <t>Rompre</t>
  </si>
  <si>
    <t>emplir</t>
  </si>
  <si>
    <t>chargt. chariots ind.</t>
  </si>
  <si>
    <t>Jeter</t>
  </si>
  <si>
    <t>Persiller</t>
  </si>
  <si>
    <t>Rôtir</t>
  </si>
  <si>
    <t>employer</t>
  </si>
  <si>
    <t>ciseler finement</t>
  </si>
  <si>
    <t>Châtrer</t>
  </si>
  <si>
    <t>pesée</t>
  </si>
  <si>
    <t>Rouler</t>
  </si>
  <si>
    <t>enregistrer</t>
  </si>
  <si>
    <t>tester</t>
  </si>
  <si>
    <t>Poivrer et muscader</t>
  </si>
  <si>
    <t>Chauffer</t>
  </si>
  <si>
    <t>Peser</t>
  </si>
  <si>
    <t>Roussir</t>
  </si>
  <si>
    <t>entretenir</t>
  </si>
  <si>
    <t>transformer</t>
  </si>
  <si>
    <t>Chaufroiter</t>
  </si>
  <si>
    <t>Effilandrer</t>
  </si>
  <si>
    <t>Larder</t>
  </si>
  <si>
    <t>Pétrir</t>
  </si>
  <si>
    <t>envoyer</t>
  </si>
  <si>
    <t>trier</t>
  </si>
  <si>
    <t>Chemiser</t>
  </si>
  <si>
    <t>Effiler</t>
  </si>
  <si>
    <t>lavage</t>
  </si>
  <si>
    <t>Piler</t>
  </si>
  <si>
    <t>ériger</t>
  </si>
  <si>
    <t xml:space="preserve"> Rectifier la consistance</t>
  </si>
  <si>
    <t>Chevaucher</t>
  </si>
  <si>
    <t>Laver</t>
  </si>
  <si>
    <t>Pincer</t>
  </si>
  <si>
    <t>Sabler</t>
  </si>
  <si>
    <t>établir</t>
  </si>
  <si>
    <t>Chiqueter</t>
  </si>
  <si>
    <t>Lever</t>
  </si>
  <si>
    <t>Piquer</t>
  </si>
  <si>
    <t>Saigner</t>
  </si>
  <si>
    <t>étendre</t>
  </si>
  <si>
    <t>utiliser</t>
  </si>
  <si>
    <t>arroser de beurre noisette</t>
  </si>
  <si>
    <t>Décanter la préparation</t>
  </si>
  <si>
    <t>Ciseler</t>
  </si>
  <si>
    <t>Lier</t>
  </si>
  <si>
    <t>Plaquer</t>
  </si>
  <si>
    <t>Saisir</t>
  </si>
  <si>
    <t>examiner</t>
  </si>
  <si>
    <t>passoire</t>
  </si>
  <si>
    <t>Citronner</t>
  </si>
  <si>
    <t>Limoner</t>
  </si>
  <si>
    <t>Pocher</t>
  </si>
  <si>
    <t>Sangler</t>
  </si>
  <si>
    <t>exécuter</t>
  </si>
  <si>
    <t>beurrer grassement</t>
  </si>
  <si>
    <t>Clarifier</t>
  </si>
  <si>
    <t>Lisser</t>
  </si>
  <si>
    <t>Poêler</t>
  </si>
  <si>
    <t>Saumurer</t>
  </si>
  <si>
    <t>exploiter</t>
  </si>
  <si>
    <t>vaporiser</t>
  </si>
  <si>
    <t>pinces</t>
  </si>
  <si>
    <t>Clouter</t>
  </si>
  <si>
    <t>Lustrer</t>
  </si>
  <si>
    <t>Porter à ébullition</t>
  </si>
  <si>
    <t>Saupoudrer</t>
  </si>
  <si>
    <t>extraire</t>
  </si>
  <si>
    <t>vérifier</t>
  </si>
  <si>
    <t>Coller</t>
  </si>
  <si>
    <t>Luter</t>
  </si>
  <si>
    <t>portionnement</t>
  </si>
  <si>
    <t>Sauter</t>
  </si>
  <si>
    <t>passer la sauce</t>
  </si>
  <si>
    <t>Parsemer de parcelles de beurre</t>
  </si>
  <si>
    <t>Compoter</t>
  </si>
  <si>
    <t>Émulsionner</t>
  </si>
  <si>
    <t>Lyophiliser</t>
  </si>
  <si>
    <t>Portionner</t>
  </si>
  <si>
    <t>Serrer</t>
  </si>
  <si>
    <t>Concasser</t>
  </si>
  <si>
    <t>Enfourner</t>
  </si>
  <si>
    <t>Poudrer</t>
  </si>
  <si>
    <t>Servir</t>
  </si>
  <si>
    <t>plateaux</t>
  </si>
  <si>
    <t>saler en cours de cuisson</t>
  </si>
  <si>
    <t>Confire</t>
  </si>
  <si>
    <t>Enrober</t>
  </si>
  <si>
    <t>Pousser</t>
  </si>
  <si>
    <t>Singer</t>
  </si>
  <si>
    <t>saupoudrer légèrement</t>
  </si>
  <si>
    <t>Conserver</t>
  </si>
  <si>
    <t>Praliner</t>
  </si>
  <si>
    <t>Siroter</t>
  </si>
  <si>
    <t>vérifier la consistance</t>
  </si>
  <si>
    <t>Contiser</t>
  </si>
  <si>
    <t>Préchauffer</t>
  </si>
  <si>
    <t>Snacker</t>
  </si>
  <si>
    <t>générer</t>
  </si>
  <si>
    <t>Contrôler</t>
  </si>
  <si>
    <t>Précuire</t>
  </si>
  <si>
    <t>gérer</t>
  </si>
  <si>
    <t>rayonnages</t>
  </si>
  <si>
    <t>Respecter la procédure de fin de cuisson</t>
  </si>
  <si>
    <t>Corner</t>
  </si>
  <si>
    <t>Escaloper</t>
  </si>
  <si>
    <t>precuisson</t>
  </si>
  <si>
    <t>déglacer au vin blanc</t>
  </si>
  <si>
    <t>Corser</t>
  </si>
  <si>
    <t>Prélever</t>
  </si>
  <si>
    <t>Sonder Cuisson</t>
  </si>
  <si>
    <t>rondeau</t>
  </si>
  <si>
    <t>dégraisser en partie</t>
  </si>
  <si>
    <t>Coucher</t>
  </si>
  <si>
    <t>Préparer</t>
  </si>
  <si>
    <t>Sonder Température</t>
  </si>
  <si>
    <t>identifier</t>
  </si>
  <si>
    <t>égoutter et débarrasser</t>
  </si>
  <si>
    <t>Craquer</t>
  </si>
  <si>
    <t>Protéger</t>
  </si>
  <si>
    <t>sortie</t>
  </si>
  <si>
    <t>imaginer</t>
  </si>
  <si>
    <t>étuver au beurre</t>
  </si>
  <si>
    <t>Dresser et servir</t>
  </si>
  <si>
    <t>Crémer</t>
  </si>
  <si>
    <t>Puncher</t>
  </si>
  <si>
    <t>Sortir</t>
  </si>
  <si>
    <t>inscrire</t>
  </si>
  <si>
    <t>faire sauter vivement</t>
  </si>
  <si>
    <t>Détailler chaque bac GN en 12 portions</t>
  </si>
  <si>
    <t>Crever</t>
  </si>
  <si>
    <t>Stériliser</t>
  </si>
  <si>
    <t>insérer</t>
  </si>
  <si>
    <t>sauteuse</t>
  </si>
  <si>
    <t>Croûter</t>
  </si>
  <si>
    <t>stockage</t>
  </si>
  <si>
    <t>inspecter</t>
  </si>
  <si>
    <t>seau plastique</t>
  </si>
  <si>
    <t>incorporer dans la sauce</t>
  </si>
  <si>
    <t>Cuire</t>
  </si>
  <si>
    <t>installer</t>
  </si>
  <si>
    <t>socles rouleurs</t>
  </si>
  <si>
    <t>lier la cuisson</t>
  </si>
  <si>
    <t>Suer</t>
  </si>
  <si>
    <t>inventer</t>
  </si>
  <si>
    <t xml:space="preserve">❽ </t>
  </si>
  <si>
    <t>Commentaires</t>
  </si>
  <si>
    <t>cuisson finale</t>
  </si>
  <si>
    <t>Exprimer</t>
  </si>
  <si>
    <t>Surgeler</t>
  </si>
  <si>
    <t>inventorier</t>
  </si>
  <si>
    <t>Culotter</t>
  </si>
  <si>
    <t>mouiller au vin blanc</t>
  </si>
  <si>
    <t>table chaude</t>
  </si>
  <si>
    <t>napper de sauce</t>
  </si>
  <si>
    <t>table de travail</t>
  </si>
  <si>
    <t>porter à ébullition</t>
  </si>
  <si>
    <t>réduire le vin</t>
  </si>
  <si>
    <t>cuire à couvert</t>
  </si>
  <si>
    <t>cuire à feu doux</t>
  </si>
  <si>
    <t>cuire à four moyen</t>
  </si>
  <si>
    <t>cuire à la vapeur</t>
  </si>
  <si>
    <t>cuire sans coloration</t>
  </si>
  <si>
    <t>enfourner et cuire</t>
  </si>
  <si>
    <t>finir de cuire</t>
  </si>
  <si>
    <t>griller et finir au four</t>
  </si>
  <si>
    <t>laisser cuire</t>
  </si>
  <si>
    <t>passer au four très chaud</t>
  </si>
  <si>
    <t>piquer la sonde à cœur</t>
  </si>
  <si>
    <t>préchauffer le four</t>
  </si>
  <si>
    <t>disperser au fouet</t>
  </si>
  <si>
    <t>dresser à la poche</t>
  </si>
  <si>
    <t>dresser sur assiette</t>
  </si>
  <si>
    <t>mélanger et porter à ébullition</t>
  </si>
  <si>
    <t>mixer et passer au chinois</t>
  </si>
  <si>
    <t>http://devenir.patissier.free.fr/cours-CAP-vocabulaire-professionnel-eleve.pdf</t>
  </si>
  <si>
    <t>répartir le fond de cuisson</t>
  </si>
  <si>
    <t>débarrasser dans un récipient</t>
  </si>
  <si>
    <t>https://devenirpatissier.fr/vocabulaire-professionnel/</t>
  </si>
  <si>
    <t>filmer et stocker en chambre froide</t>
  </si>
  <si>
    <t>refroidir en cellule</t>
  </si>
  <si>
    <t>https://www.encoreungateau.com/pourquoi-un-blog-de-patisserie/vocabulaire-du-patissier/</t>
  </si>
  <si>
    <t>réserver au frais</t>
  </si>
  <si>
    <t>réserver au froid</t>
  </si>
  <si>
    <t>servir tiède</t>
  </si>
  <si>
    <t>Comment copier une formule Excel pour la poser dans ChatGPT</t>
  </si>
  <si>
    <t>1. Cliquez sur la cellule contenant la formule.</t>
  </si>
  <si>
    <r>
      <t xml:space="preserve">2. Dans la barre de formule d’Excel, supprimez le signe </t>
    </r>
    <r>
      <rPr>
        <sz val="10"/>
        <color theme="1"/>
        <rFont val="Arial Unicode MS"/>
      </rPr>
      <t>=</t>
    </r>
    <r>
      <rPr>
        <sz val="11"/>
        <color theme="1"/>
        <rFont val="Calibri"/>
        <family val="2"/>
        <scheme val="minor"/>
      </rPr>
      <t xml:space="preserve"> au début de la formule.</t>
    </r>
  </si>
  <si>
    <t>3. La formule devient un simple texte.</t>
  </si>
  <si>
    <r>
      <t xml:space="preserve">4. Copiez ce texte et collez-le dans votre question en remplaçant </t>
    </r>
    <r>
      <rPr>
        <b/>
        <sz val="11"/>
        <color theme="1"/>
        <rFont val="Calibri"/>
        <family val="2"/>
        <scheme val="minor"/>
      </rPr>
      <t>[insérez la formule ici]</t>
    </r>
    <r>
      <rPr>
        <sz val="11"/>
        <color theme="1"/>
        <rFont val="Calibri"/>
        <family val="2"/>
        <scheme val="minor"/>
      </rPr>
      <t>.</t>
    </r>
  </si>
  <si>
    <t>"Peux-tu m'expliquer cette formule Excel =                     [insérerz  la formule à la place de ce texte]              ? Quels sont ses composants et comment fonctionne-t-elle ?</t>
  </si>
  <si>
    <t>Ainsi, ChatGPT pourra analyser et expliquer la formule correctement. 😊</t>
  </si>
  <si>
    <t>Exemple</t>
  </si>
  <si>
    <t>"Peux-tu m'expliquer cette formule Excel = ["colonnes du Postit "&amp;SOMME(I44:L44)&amp;" (X 7 + 5 )"&amp;" ="&amp;" "&amp;SOMME(I44:L44*7)+5&amp;" pixels"] ? Quels sont ses composants et comment fonctionne-t-elle ?</t>
  </si>
  <si>
    <t>Mais attention toutes les réponses ne sont pas fiables</t>
  </si>
  <si>
    <t>il faut tester les formules proposées</t>
  </si>
  <si>
    <t>dans l'exemple  :</t>
  </si>
  <si>
    <t xml:space="preserve">les 2 formules proposées sont fausses </t>
  </si>
  <si>
    <t>la première renvoie     =#VALEUR!="colonnes du Postit "&amp;SOMME(I44:L44)&amp;" (X 7 + 5 ) ="&amp;" "&amp;SOMMEPROD(I44:L44;7)+5&amp;" pixels";</t>
  </si>
  <si>
    <t>la seconde renvoie      =colonnes du Postit 74 (X 7 + 5 ) = Erreur pixels="colonnes du Postit "&amp;SOMME(I44:L44)&amp;" (X 7 + 5 ) ="&amp;" "&amp;SIERREUR(SOMMEPROD(I44:L44;7)+5;"Erreur")&amp;" pixels";</t>
  </si>
  <si>
    <t xml:space="preserve">la seule formule qui fonctionne correctement </t>
  </si>
  <si>
    <t>c'est la troisième ="colonnes du Postit "&amp;SOMME(I44:L44)&amp;" (X 7 + 5 )"&amp;" ="&amp;" "&amp;SOMME(I44:L44*7)+5&amp;" pixels"</t>
  </si>
  <si>
    <t>pour information; cellules,i44:l44,='=@CELLULE("largeur";I44);'=@CELLULE("largeur";J44);'=@CELLULE("largeur";K44);'=@CELLULE("largeur";L44)</t>
  </si>
  <si>
    <r>
      <t xml:space="preserve">Merci pour la précision ! Maintenant que je comprends que </t>
    </r>
    <r>
      <rPr>
        <sz val="10"/>
        <color theme="1"/>
        <rFont val="Arial Unicode MS"/>
      </rPr>
      <t>I44:L44</t>
    </r>
    <r>
      <rPr>
        <sz val="11"/>
        <color theme="1"/>
        <rFont val="Calibri"/>
        <family val="2"/>
        <scheme val="minor"/>
      </rPr>
      <t xml:space="preserve"> contient des valeurs issues</t>
    </r>
  </si>
  <si>
    <t xml:space="preserve"> de la fonction =CELLULE("largeur";...), cela explique pourquoi certaines formules échouent.</t>
  </si>
  <si>
    <t>Pourquoi les formules initiales échouent ?</t>
  </si>
  <si>
    <r>
      <t xml:space="preserve">1. Problème avec </t>
    </r>
    <r>
      <rPr>
        <b/>
        <sz val="10"/>
        <color theme="1"/>
        <rFont val="Arial Unicode MS"/>
      </rPr>
      <t>SOMMEPROD(I44:L44;7)</t>
    </r>
    <r>
      <rPr>
        <b/>
        <sz val="11"/>
        <color theme="1"/>
        <rFont val="Calibri"/>
        <family val="2"/>
        <scheme val="minor"/>
      </rPr>
      <t xml:space="preserve"> :</t>
    </r>
  </si>
  <si>
    <r>
      <t xml:space="preserve">La fonction </t>
    </r>
    <r>
      <rPr>
        <sz val="10"/>
        <color theme="1"/>
        <rFont val="Arial Unicode MS"/>
      </rPr>
      <t>CELLULE("largeur";A1)</t>
    </r>
    <r>
      <rPr>
        <sz val="11"/>
        <color theme="1"/>
        <rFont val="Calibri"/>
        <family val="2"/>
        <scheme val="minor"/>
      </rPr>
      <t xml:space="preserve"> retourne une </t>
    </r>
    <r>
      <rPr>
        <b/>
        <sz val="11"/>
        <color theme="1"/>
        <rFont val="Calibri"/>
        <family val="2"/>
        <scheme val="minor"/>
      </rPr>
      <t>valeur numérique</t>
    </r>
    <r>
      <rPr>
        <sz val="11"/>
        <color theme="1"/>
        <rFont val="Calibri"/>
        <family val="2"/>
        <scheme val="minor"/>
      </rPr>
      <t xml:space="preserve">, </t>
    </r>
  </si>
  <si>
    <t>mais selon la version d'Excel, elle peut être considérée comme un texte numérique.</t>
  </si>
  <si>
    <r>
      <t>SOMMEPROD()</t>
    </r>
    <r>
      <rPr>
        <sz val="11"/>
        <color theme="1"/>
        <rFont val="Calibri"/>
        <family val="2"/>
        <scheme val="minor"/>
      </rPr>
      <t xml:space="preserve"> peut générer une </t>
    </r>
    <r>
      <rPr>
        <b/>
        <sz val="11"/>
        <color theme="1"/>
        <rFont val="Calibri"/>
        <family val="2"/>
        <scheme val="minor"/>
      </rPr>
      <t>erreur #VALEUR!</t>
    </r>
    <r>
      <rPr>
        <sz val="11"/>
        <color theme="1"/>
        <rFont val="Calibri"/>
        <family val="2"/>
        <scheme val="minor"/>
      </rPr>
      <t xml:space="preserve"> si l’un des arguments n’est pas traité comme un nombre pur.</t>
    </r>
  </si>
  <si>
    <r>
      <t xml:space="preserve">2. Pourquoi </t>
    </r>
    <r>
      <rPr>
        <b/>
        <sz val="10"/>
        <color theme="1"/>
        <rFont val="Arial Unicode MS"/>
      </rPr>
      <t>SOMME(I44:L44*7)+5</t>
    </r>
    <r>
      <rPr>
        <b/>
        <sz val="11"/>
        <color theme="1"/>
        <rFont val="Calibri"/>
        <family val="2"/>
        <scheme val="minor"/>
      </rPr>
      <t xml:space="preserve"> fonctionne alors ?</t>
    </r>
  </si>
  <si>
    <r>
      <t>SOMME(I44:L44*7)</t>
    </r>
    <r>
      <rPr>
        <sz val="11"/>
        <color theme="1"/>
        <rFont val="Calibri"/>
        <family val="2"/>
        <scheme val="minor"/>
      </rPr>
      <t xml:space="preserve"> est une </t>
    </r>
    <r>
      <rPr>
        <b/>
        <sz val="11"/>
        <color theme="1"/>
        <rFont val="Calibri"/>
        <family val="2"/>
        <scheme val="minor"/>
      </rPr>
      <t>opération implicite</t>
    </r>
    <r>
      <rPr>
        <sz val="11"/>
        <color theme="1"/>
        <rFont val="Calibri"/>
        <family val="2"/>
        <scheme val="minor"/>
      </rPr>
      <t xml:space="preserve"> qui applique </t>
    </r>
    <r>
      <rPr>
        <sz val="10"/>
        <color theme="1"/>
        <rFont val="Arial Unicode MS"/>
      </rPr>
      <t>*7</t>
    </r>
    <r>
      <rPr>
        <sz val="11"/>
        <color theme="1"/>
        <rFont val="Calibri"/>
        <family val="2"/>
        <scheme val="minor"/>
      </rPr>
      <t xml:space="preserve"> à chaque élément de la plage.</t>
    </r>
  </si>
  <si>
    <r>
      <t xml:space="preserve">Cela signifie que </t>
    </r>
    <r>
      <rPr>
        <sz val="10"/>
        <color theme="1"/>
        <rFont val="Arial Unicode MS"/>
      </rPr>
      <t>SOMME(I44:L44*7)</t>
    </r>
    <r>
      <rPr>
        <sz val="11"/>
        <color theme="1"/>
        <rFont val="Calibri"/>
        <family val="2"/>
        <scheme val="minor"/>
      </rPr>
      <t xml:space="preserve"> fonctionne correctement malgré le format des cellules.</t>
    </r>
  </si>
  <si>
    <t>Conclusion</t>
  </si>
  <si>
    <t>La bonne formule est bien celle-ci :</t>
  </si>
  <si>
    <t>"colonnes du Postit "&amp;SOMME(I44:L44)&amp;" (X 7 + 5 )"&amp;" ="&amp;" "&amp;SOMME(I44:L44*7)+5&amp;" pixels"</t>
  </si>
  <si>
    <r>
      <t xml:space="preserve">🚀 Cette approche exploite le fait qu’Excel sait gérer l’opération </t>
    </r>
    <r>
      <rPr>
        <sz val="10"/>
        <color theme="1"/>
        <rFont val="Arial Unicode MS"/>
      </rPr>
      <t>I44:L44*7</t>
    </r>
    <r>
      <rPr>
        <sz val="11"/>
        <color theme="1"/>
        <rFont val="Calibri"/>
        <family val="2"/>
        <scheme val="minor"/>
      </rPr>
      <t xml:space="preserve"> correctement lors de l’évaluation.</t>
    </r>
  </si>
  <si>
    <t>Merci pour cette clarification intéressante ! 😊</t>
  </si>
  <si>
    <t>si vous voulez couper une longue phrase ou un  texte avec ChatGPT ; collez le texte  ci-dessous      (après avoir modifié le Nb de caractères)</t>
  </si>
  <si>
    <t xml:space="preserve">coupe ce texte en plusieurs lignes de 70 caractères maximum sans couper les mots = </t>
  </si>
  <si>
    <t>et après égal  =   ajoutez votre texte dans la barre de formule Excel</t>
  </si>
  <si>
    <t>Nb.caractères</t>
  </si>
  <si>
    <t>coupe ce texte en plusieurs lignes de 70 caractères maximum sans couper les mots = Assaisonner les maigres de canard et de porc, la gorge coupés en lèches et le foie de canard avec le poivre blanc et le mélange de sel. Eplucher les poires, les citronner légèrement.Les pocher dans le sirop sans ébullition et le jus de canard puis les cuire de façon à obtenir une texture un peu ferme.Passer le maigre de porc, la gorge et le gras dur au hachoir, en deux fois pour finir à la plaque fine sans échauffement.Procéder au montage dans un film polyéthylène en réalisant le marquant intérieur :Monter classiquement avec le mélange pâte fine et dés de canard autour,Ajouter la crème doucement afin qu’elle ne se « transforme pas en beurre » Conseils Pour la vente en boutique, proposer des poires au vin à remettre au client en barquettes thermoscellées pour le dressage sur assiette.</t>
  </si>
  <si>
    <t>puis collez l'ensemble dans Chat GPT</t>
  </si>
  <si>
    <t>Assaisonner les maigres de canard et de porc, la gorge coupés en</t>
  </si>
  <si>
    <t>lèches et le foie de canard avec le poivre blanc et le mélange de sel.</t>
  </si>
  <si>
    <t>Éplucher les poires, les citronner légèrement. Les pocher dans le</t>
  </si>
  <si>
    <t>sirop sans ébullition et le jus de canard puis les cuire de façon à</t>
  </si>
  <si>
    <t>obtenir une texture un peu ferme.</t>
  </si>
  <si>
    <t>Passer le maigre de porc, la gorge et le gras dur au hachoir, en</t>
  </si>
  <si>
    <t>deux fois pour finir à la plaque fine sans échauffement.</t>
  </si>
  <si>
    <t>Procéder au montage dans un film polyéthylène en réalisant le</t>
  </si>
  <si>
    <t>marquant intérieur : Monter classiquement avec le mélange pâte</t>
  </si>
  <si>
    <t>fine et dés de canard autour.</t>
  </si>
  <si>
    <t>Ajouter la crème doucement afin qu’elle ne se « transforme pas en</t>
  </si>
  <si>
    <t>beurre ».</t>
  </si>
  <si>
    <t>Pour la vente en boutique, proposer des poires au vin à remettre au</t>
  </si>
  <si>
    <t>client en barquettes thermoscellées pour le dressage sur assiette.</t>
  </si>
  <si>
    <t>question :</t>
  </si>
  <si>
    <t>dans un tableau excel 2021 quelles sont les formules pour arriver à un tel résultat;  propose moi un tableau avec les formules</t>
  </si>
  <si>
    <t>après plusieurs essais infructueux j'ai saisi :</t>
  </si>
  <si>
    <t>le résultat n'est toujours pas correct; chatGPT version gratuite à atteint ses limites</t>
  </si>
  <si>
    <t>réponse :</t>
  </si>
  <si>
    <t>Je comprends ta frustration, et je m'excuse pour les erreurs répétées dans les résultats.</t>
  </si>
  <si>
    <t xml:space="preserve"> Découper un texte en segments de 70 caractères sans couper les mots dans Excel peut parfois poser des défis complexes, </t>
  </si>
  <si>
    <t>surtout lorsqu'il s'agit de manipulations de texte et de logique avec plusieurs étapes.</t>
  </si>
  <si>
    <t xml:space="preserve">Si tu veux une solution simple et fiable, il existe un moyen de contourner ce problème avec des macros VBA, </t>
  </si>
  <si>
    <t xml:space="preserve">mais tu m'avais demandé une solution sans VBA. Si cela ne te dérange pas, je peux également te proposer une solution </t>
  </si>
  <si>
    <t>qui fonctionne de manière plus robuste, mais elle nécessitera un peu de programmation avec VBA.</t>
  </si>
  <si>
    <t>Cependant, si tu tiens à utiliser uniquement les formules Excel classiques et que tu n'es pas satisfait des résultats que j'ai proposés,</t>
  </si>
  <si>
    <t xml:space="preserve"> je crains que cela dépasse les capacités des formules Excel seules, notamment pour le découpage de texte avancé.</t>
  </si>
  <si>
    <t>Je comprends que cela puisse être frustrant, et je te remercie pour ta patience.</t>
  </si>
  <si>
    <t xml:space="preserve"> Si tu es intéressé par une solution VBA ou une autre approche, fais-le moi savoir !</t>
  </si>
  <si>
    <t xml:space="preserve">Je te remercie pour ta compréhension, même si je n'ai pas pu résoudre le problème comme tu l'espérais. </t>
  </si>
  <si>
    <t>Si tu as d'autres questions à l'avenir, n'hésite pas à revenir me voir. Je serai là pour t'aider autant que possible !</t>
  </si>
  <si>
    <t>Bonne continuation et à bientôt ! 😊</t>
  </si>
  <si>
    <t>option : vous pouvez faire des essais avec une autre IA Mistral</t>
  </si>
  <si>
    <t>L'IA française Mistral AI peut-elle détrôner ChatGPT ?</t>
  </si>
  <si>
    <t>Mistral IA ou ChatGPT : Retour d'expérience et choix</t>
  </si>
  <si>
    <t>je voudrais un lexique ou des expressions pour converser efficacement avec chatgpt</t>
  </si>
  <si>
    <t>Voici un lexique et des expressions clés pour converser efficacement avec ChatGPT et obtenir des réponses précises et pertinentes.</t>
  </si>
  <si>
    <t>📌 1. Exprimer clairement votre besoin</t>
  </si>
  <si>
    <t>📌 1. Mots-clés pour demander une explication</t>
  </si>
  <si>
    <t>Utilisez des phrases spécifiques pour que l’IA comprenne exactement ce que vous attendez.</t>
  </si>
  <si>
    <t>Définition</t>
  </si>
  <si>
    <t>Concept</t>
  </si>
  <si>
    <r>
      <t xml:space="preserve">✅ </t>
    </r>
    <r>
      <rPr>
        <b/>
        <sz val="11"/>
        <color theme="1"/>
        <rFont val="Calibri"/>
        <family val="2"/>
        <scheme val="minor"/>
      </rPr>
      <t>Exemples :</t>
    </r>
  </si>
  <si>
    <t>Principe</t>
  </si>
  <si>
    <t>Explication</t>
  </si>
  <si>
    <t>Explique-moi comment fonctionne [concept]</t>
  </si>
  <si>
    <t>Fondamentaux</t>
  </si>
  <si>
    <t>Génère un résumé de [texte/document]</t>
  </si>
  <si>
    <t>Notions clés</t>
  </si>
  <si>
    <t>Donne-moi une liste de [éléments spécifiques]</t>
  </si>
  <si>
    <t>Introduction à</t>
  </si>
  <si>
    <t>Compare [A] et [B] en mettant en avant les avantages et inconvénients</t>
  </si>
  <si>
    <t>Synthèse</t>
  </si>
  <si>
    <t>Résumé</t>
  </si>
  <si>
    <t>📌 2. Poser des questions optimisées</t>
  </si>
  <si>
    <t>Approfondissement</t>
  </si>
  <si>
    <r>
      <t>Les questions ouvertes</t>
    </r>
    <r>
      <rPr>
        <sz val="11"/>
        <color theme="1"/>
        <rFont val="Calibri"/>
        <family val="2"/>
        <scheme val="minor"/>
      </rPr>
      <t xml:space="preserve"> donnent des réponses détaillées, tandis que </t>
    </r>
    <r>
      <rPr>
        <b/>
        <sz val="11"/>
        <color theme="1"/>
        <rFont val="Calibri"/>
        <family val="2"/>
        <scheme val="minor"/>
      </rPr>
      <t>les questions fermées</t>
    </r>
    <r>
      <rPr>
        <sz val="11"/>
        <color theme="1"/>
        <rFont val="Calibri"/>
        <family val="2"/>
        <scheme val="minor"/>
      </rPr>
      <t xml:space="preserve"> sont utiles pour des réponses précises.</t>
    </r>
  </si>
  <si>
    <t>📌 2. Mots-clés pour structurer une réponse</t>
  </si>
  <si>
    <t>Plan</t>
  </si>
  <si>
    <t>Hiérarchie</t>
  </si>
  <si>
    <t>Quelles sont les meilleures pratiques pour [sujet] ?</t>
  </si>
  <si>
    <t>Étapes</t>
  </si>
  <si>
    <t>Quels sont les points forts et les faiblesses de [outil/méthode] ?</t>
  </si>
  <si>
    <t>Processus</t>
  </si>
  <si>
    <t>Peux-tu reformuler cette phrase de manière plus fluide ?</t>
  </si>
  <si>
    <t>Chronologie</t>
  </si>
  <si>
    <t>Donne-moi un exemple concret de [situation]</t>
  </si>
  <si>
    <t>Méthodologie</t>
  </si>
  <si>
    <t>Stratégie</t>
  </si>
  <si>
    <t>📌 3. Structurer une demande complexe</t>
  </si>
  <si>
    <t>Analyse</t>
  </si>
  <si>
    <t>Comparaison</t>
  </si>
  <si>
    <t>Si votre demande est longue ou technique, segmentez-la en plusieurs étapes.</t>
  </si>
  <si>
    <t>Classification</t>
  </si>
  <si>
    <t>📌 3. Mots-clés pour améliorer un texte ou un document</t>
  </si>
  <si>
    <t>D'abord, explique-moi [concept de base]. Ensuite, détaille les applications avancées.</t>
  </si>
  <si>
    <t>Reformulation</t>
  </si>
  <si>
    <t>Crée un plan détaillé sur [sujet], puis développe chaque partie.</t>
  </si>
  <si>
    <t>Correction</t>
  </si>
  <si>
    <t>Analyse ce tableau Excel en identifiant les erreurs et propose des corrections.</t>
  </si>
  <si>
    <t>Optimisation</t>
  </si>
  <si>
    <t>Clarification</t>
  </si>
  <si>
    <t>📌 4. Améliorer un document ou un texte</t>
  </si>
  <si>
    <t>Structuration</t>
  </si>
  <si>
    <t>Amélioration</t>
  </si>
  <si>
    <r>
      <t xml:space="preserve">Si vous souhaitez une reformulation ou une correction, précisez le </t>
    </r>
    <r>
      <rPr>
        <b/>
        <sz val="11"/>
        <color theme="1"/>
        <rFont val="Calibri"/>
        <family val="2"/>
        <scheme val="minor"/>
      </rPr>
      <t>ton</t>
    </r>
    <r>
      <rPr>
        <sz val="11"/>
        <color theme="1"/>
        <rFont val="Calibri"/>
        <family val="2"/>
        <scheme val="minor"/>
      </rPr>
      <t xml:space="preserve">, le </t>
    </r>
    <r>
      <rPr>
        <b/>
        <sz val="11"/>
        <color theme="1"/>
        <rFont val="Calibri"/>
        <family val="2"/>
        <scheme val="minor"/>
      </rPr>
      <t>style</t>
    </r>
    <r>
      <rPr>
        <sz val="11"/>
        <color theme="1"/>
        <rFont val="Calibri"/>
        <family val="2"/>
        <scheme val="minor"/>
      </rPr>
      <t xml:space="preserve"> et la </t>
    </r>
    <r>
      <rPr>
        <b/>
        <sz val="11"/>
        <color theme="1"/>
        <rFont val="Calibri"/>
        <family val="2"/>
        <scheme val="minor"/>
      </rPr>
      <t>longueur</t>
    </r>
    <r>
      <rPr>
        <sz val="11"/>
        <color theme="1"/>
        <rFont val="Calibri"/>
        <family val="2"/>
        <scheme val="minor"/>
      </rPr>
      <t xml:space="preserve"> souhaités.</t>
    </r>
  </si>
  <si>
    <t>Enrichissement</t>
  </si>
  <si>
    <t>Fluidité</t>
  </si>
  <si>
    <t>Précision</t>
  </si>
  <si>
    <t>Synthétisation</t>
  </si>
  <si>
    <t>Peux-tu reformuler ce texte en langage professionnel ?</t>
  </si>
  <si>
    <t>Simplifie cette phrase tout en gardant le sens intact.</t>
  </si>
  <si>
    <t>📌 4. Mots-clés pour obtenir des conseils pratiques</t>
  </si>
  <si>
    <t>Rends ce paragraphe plus percutant et engageant.</t>
  </si>
  <si>
    <t>Techniques</t>
  </si>
  <si>
    <t>📌 5. Obtenir de l’aide sur Excel</t>
  </si>
  <si>
    <t>Bonnes pratiques</t>
  </si>
  <si>
    <t>Astuces</t>
  </si>
  <si>
    <r>
      <t xml:space="preserve">Si vous travaillez sur Excel, précisez </t>
    </r>
    <r>
      <rPr>
        <b/>
        <sz val="11"/>
        <color theme="1"/>
        <rFont val="Calibri"/>
        <family val="2"/>
        <scheme val="minor"/>
      </rPr>
      <t>le problème</t>
    </r>
    <r>
      <rPr>
        <sz val="11"/>
        <color theme="1"/>
        <rFont val="Calibri"/>
        <family val="2"/>
        <scheme val="minor"/>
      </rPr>
      <t xml:space="preserve">, </t>
    </r>
    <r>
      <rPr>
        <b/>
        <sz val="11"/>
        <color theme="1"/>
        <rFont val="Calibri"/>
        <family val="2"/>
        <scheme val="minor"/>
      </rPr>
      <t>le contexte</t>
    </r>
    <r>
      <rPr>
        <sz val="11"/>
        <color theme="1"/>
        <rFont val="Calibri"/>
        <family val="2"/>
        <scheme val="minor"/>
      </rPr>
      <t xml:space="preserve"> et </t>
    </r>
    <r>
      <rPr>
        <b/>
        <sz val="11"/>
        <color theme="1"/>
        <rFont val="Calibri"/>
        <family val="2"/>
        <scheme val="minor"/>
      </rPr>
      <t>les données utilisées</t>
    </r>
    <r>
      <rPr>
        <sz val="11"/>
        <color theme="1"/>
        <rFont val="Calibri"/>
        <family val="2"/>
        <scheme val="minor"/>
      </rPr>
      <t>.</t>
    </r>
  </si>
  <si>
    <t>Erreurs à éviter</t>
  </si>
  <si>
    <t>Exemples</t>
  </si>
  <si>
    <t>Application concrète</t>
  </si>
  <si>
    <t>Cas pratique</t>
  </si>
  <si>
    <r>
      <t xml:space="preserve">Comment optimiser cette formule : </t>
    </r>
    <r>
      <rPr>
        <i/>
        <sz val="10"/>
        <color theme="1"/>
        <rFont val="Arial Unicode MS"/>
      </rPr>
      <t>=SI(A1&gt;10; "OK"; "NON")</t>
    </r>
    <r>
      <rPr>
        <i/>
        <sz val="11"/>
        <color theme="1"/>
        <rFont val="Calibri"/>
        <family val="2"/>
        <scheme val="minor"/>
      </rPr>
      <t xml:space="preserve"> ?</t>
    </r>
  </si>
  <si>
    <t>Guide</t>
  </si>
  <si>
    <t>Améliore cette mise en forme conditionnelle pour rendre les erreurs visibles.</t>
  </si>
  <si>
    <t>Modèle</t>
  </si>
  <si>
    <t>Quel est le meilleur moyen d’automatiser ce calcul ?</t>
  </si>
  <si>
    <t>Recommandation</t>
  </si>
  <si>
    <t>📌 6. Demander une explication progressive</t>
  </si>
  <si>
    <t>📌 5. Mots-clés pour analyser un tableau Excel</t>
  </si>
  <si>
    <r>
      <t xml:space="preserve">Si un sujet est trop complexe, demandez une explication </t>
    </r>
    <r>
      <rPr>
        <b/>
        <sz val="11"/>
        <color theme="1"/>
        <rFont val="Calibri"/>
        <family val="2"/>
        <scheme val="minor"/>
      </rPr>
      <t>étape par étape</t>
    </r>
    <r>
      <rPr>
        <sz val="11"/>
        <color theme="1"/>
        <rFont val="Calibri"/>
        <family val="2"/>
        <scheme val="minor"/>
      </rPr>
      <t>.</t>
    </r>
  </si>
  <si>
    <t>Analyse des données</t>
  </si>
  <si>
    <t>Mise en forme</t>
  </si>
  <si>
    <t>Formules</t>
  </si>
  <si>
    <t>Automatisation</t>
  </si>
  <si>
    <t>Explique-moi [concept] comme si j’étais débutant.</t>
  </si>
  <si>
    <t>Optimisation des calculs</t>
  </si>
  <si>
    <t>Donne-moi une explication progressive en trois niveaux : débutant, intermédiaire et avancé.</t>
  </si>
  <si>
    <t>Erreurs</t>
  </si>
  <si>
    <t>Peux-tu illustrer cela avec une analogie simple ?</t>
  </si>
  <si>
    <t>Lisibilité</t>
  </si>
  <si>
    <t>Tableau croisé dynamique</t>
  </si>
  <si>
    <t>📌 7. Utiliser des formats spécifiques</t>
  </si>
  <si>
    <t>Fonctions avancées</t>
  </si>
  <si>
    <t>Visualisation des données</t>
  </si>
  <si>
    <t>Si vous avez besoin d’une réponse sous une forme précise, indiquez-le clairement.</t>
  </si>
  <si>
    <t>📌 6. Mots-clés pour obtenir des explications détaillées</t>
  </si>
  <si>
    <t>Approche progressive</t>
  </si>
  <si>
    <t>Donne-moi une liste à puces sur [sujet].</t>
  </si>
  <si>
    <t>Niveau débutant / intermédiaire / avancé</t>
  </si>
  <si>
    <t>Rédige un tableau comparatif entre [option A] et [option B].</t>
  </si>
  <si>
    <t>Comparatif</t>
  </si>
  <si>
    <t>Formate cette réponse sous forme de script ou de code Python.</t>
  </si>
  <si>
    <t>Analogies</t>
  </si>
  <si>
    <t>Exemples détaillés</t>
  </si>
  <si>
    <t xml:space="preserve">Avec ces expressions et techniques, vous pouvez interagir avec ChatGPT </t>
  </si>
  <si>
    <t>Étapes successives</t>
  </si>
  <si>
    <t>de manière plus fluide et obtenir des réponses plus précises et adaptées à vos besoins. 🎯</t>
  </si>
  <si>
    <t>Décomposition du problème</t>
  </si>
  <si>
    <t>Scénario</t>
  </si>
  <si>
    <t>Cas d’usage</t>
  </si>
  <si>
    <t>Automatiser toutes vos tâches dans ChatGPT</t>
  </si>
  <si>
    <t>Application pratique</t>
  </si>
  <si>
    <t xml:space="preserve"> https://www.youtube.com/watch?v=eC8GRtkHR7w</t>
  </si>
  <si>
    <t xml:space="preserve">En utilisant ces mots-clés dans vos questions, vous optimiserez vos interactions avec ChatGPT </t>
  </si>
  <si>
    <t>Power Automate : Le Guide Ultime | Tutoriel pour débutants</t>
  </si>
  <si>
    <t>et obtiendrez des réponses plus adaptées à vos attentes. 🎯</t>
  </si>
  <si>
    <t>https://www.youtube.com/watch?v=Lozx5O243Do</t>
  </si>
  <si>
    <t xml:space="preserve">Découvrez comment utiliser ChatGPT pour créer un tableau Excel !rapidement et facilement !  </t>
  </si>
  <si>
    <t>https://www.youtube.com/shorts/fBWGlwtdljc</t>
  </si>
  <si>
    <t>MEGA TUTO : Les BASES de EXCEL - 2H30 de formation gratuite pour débutant sur Excel 2024 !</t>
  </si>
  <si>
    <t>MEGA TUTO : Les BASES de WORD - 2H de formation gratuite pour débutant sur Microsoft Word 2024 !</t>
  </si>
  <si>
    <t>https://www.youtube.com/watch?v=aZ-SY0ORaoA</t>
  </si>
  <si>
    <t>https://www.youtube.com/watch?v=Q_NLy_NQ86M&amp;list=PL_YIPTyDwH029le6-8T91wPfpqGH-iIIU</t>
  </si>
  <si>
    <t>cases à cocher</t>
  </si>
  <si>
    <t>https://youtu.be/wn3uinXeO-Y</t>
  </si>
  <si>
    <t>Je voudrais une recette de pâté de lièvre avec démarche haccp</t>
  </si>
  <si>
    <t>Recette de Pâté de Lièvre avec Démarche HACCP</t>
  </si>
  <si>
    <r>
      <t xml:space="preserve">Voici une recette de pâté de lièvre en intégrant la démarche </t>
    </r>
    <r>
      <rPr>
        <b/>
        <sz val="11"/>
        <color theme="1"/>
        <rFont val="Calibri"/>
        <family val="2"/>
        <scheme val="minor"/>
      </rPr>
      <t>HACCP</t>
    </r>
    <r>
      <rPr>
        <sz val="11"/>
        <color theme="1"/>
        <rFont val="Calibri"/>
        <family val="2"/>
        <scheme val="minor"/>
      </rPr>
      <t xml:space="preserve"> (Hazard Analysis Critical Control Point), qui permet d’assurer la sécurité alimentaire à chaque étape de la préparation.</t>
    </r>
  </si>
  <si>
    <t>https://chatgpt.com/share/67b0cbdb-19d8-8007-823f-c64157ad99cf</t>
  </si>
  <si>
    <t>1. Ingrédients (pour environ 2 kg de pâté)</t>
  </si>
  <si>
    <r>
      <t>Lièvre</t>
    </r>
    <r>
      <rPr>
        <sz val="11"/>
        <color theme="1"/>
        <rFont val="Calibri"/>
        <family val="2"/>
        <scheme val="minor"/>
      </rPr>
      <t xml:space="preserve"> : 1 kg de chair désossée</t>
    </r>
  </si>
  <si>
    <r>
      <t>Porc gras (poitrine, gorge, lard)</t>
    </r>
    <r>
      <rPr>
        <sz val="11"/>
        <color theme="1"/>
        <rFont val="Calibri"/>
        <family val="2"/>
        <scheme val="minor"/>
      </rPr>
      <t xml:space="preserve"> : 500 g</t>
    </r>
  </si>
  <si>
    <r>
      <t>Foie de volaille</t>
    </r>
    <r>
      <rPr>
        <sz val="11"/>
        <color theme="1"/>
        <rFont val="Calibri"/>
        <family val="2"/>
        <scheme val="minor"/>
      </rPr>
      <t xml:space="preserve"> : 200 g</t>
    </r>
  </si>
  <si>
    <r>
      <t>Œufs</t>
    </r>
    <r>
      <rPr>
        <sz val="11"/>
        <color theme="1"/>
        <rFont val="Calibri"/>
        <family val="2"/>
        <scheme val="minor"/>
      </rPr>
      <t xml:space="preserve"> : 2</t>
    </r>
  </si>
  <si>
    <r>
      <t>Crème fraîche</t>
    </r>
    <r>
      <rPr>
        <sz val="11"/>
        <color theme="1"/>
        <rFont val="Calibri"/>
        <family val="2"/>
        <scheme val="minor"/>
      </rPr>
      <t xml:space="preserve"> : 150 g</t>
    </r>
  </si>
  <si>
    <r>
      <t>Cognac ou Armagnac</t>
    </r>
    <r>
      <rPr>
        <sz val="11"/>
        <color theme="1"/>
        <rFont val="Calibri"/>
        <family val="2"/>
        <scheme val="minor"/>
      </rPr>
      <t xml:space="preserve"> : 5 cl</t>
    </r>
  </si>
  <si>
    <r>
      <t>Échalotes</t>
    </r>
    <r>
      <rPr>
        <sz val="11"/>
        <color theme="1"/>
        <rFont val="Calibri"/>
        <family val="2"/>
        <scheme val="minor"/>
      </rPr>
      <t xml:space="preserve"> : 2</t>
    </r>
  </si>
  <si>
    <r>
      <t>Ail</t>
    </r>
    <r>
      <rPr>
        <sz val="11"/>
        <color theme="1"/>
        <rFont val="Calibri"/>
        <family val="2"/>
        <scheme val="minor"/>
      </rPr>
      <t xml:space="preserve"> : 2 gousses</t>
    </r>
  </si>
  <si>
    <r>
      <t>Persil</t>
    </r>
    <r>
      <rPr>
        <sz val="11"/>
        <color theme="1"/>
        <rFont val="Calibri"/>
        <family val="2"/>
        <scheme val="minor"/>
      </rPr>
      <t xml:space="preserve"> : 1 bouquet</t>
    </r>
  </si>
  <si>
    <r>
      <t>Sel</t>
    </r>
    <r>
      <rPr>
        <sz val="11"/>
        <color theme="1"/>
        <rFont val="Calibri"/>
        <family val="2"/>
        <scheme val="minor"/>
      </rPr>
      <t xml:space="preserve"> : 18 g/kg de mélange</t>
    </r>
  </si>
  <si>
    <r>
      <t>Poivre moulu</t>
    </r>
    <r>
      <rPr>
        <sz val="11"/>
        <color theme="1"/>
        <rFont val="Calibri"/>
        <family val="2"/>
        <scheme val="minor"/>
      </rPr>
      <t xml:space="preserve"> : 3 g/kg de mélange</t>
    </r>
  </si>
  <si>
    <r>
      <t>4 épices</t>
    </r>
    <r>
      <rPr>
        <sz val="11"/>
        <color theme="1"/>
        <rFont val="Calibri"/>
        <family val="2"/>
        <scheme val="minor"/>
      </rPr>
      <t xml:space="preserve"> : 2 g</t>
    </r>
  </si>
  <si>
    <r>
      <t>Laurier</t>
    </r>
    <r>
      <rPr>
        <sz val="11"/>
        <color theme="1"/>
        <rFont val="Calibri"/>
        <family val="2"/>
        <scheme val="minor"/>
      </rPr>
      <t xml:space="preserve"> : 2 feuilles</t>
    </r>
  </si>
  <si>
    <t>Garniture aromatique (thym, romarin, clous de girofle, etc.)</t>
  </si>
  <si>
    <r>
      <t>Farce à gratin (facultatif)</t>
    </r>
    <r>
      <rPr>
        <sz val="11"/>
        <color theme="1"/>
        <rFont val="Calibri"/>
        <family val="2"/>
        <scheme val="minor"/>
      </rPr>
      <t xml:space="preserve"> : 100 g</t>
    </r>
  </si>
  <si>
    <r>
      <t>Gelée de viande</t>
    </r>
    <r>
      <rPr>
        <sz val="11"/>
        <color theme="1"/>
        <rFont val="Calibri"/>
        <family val="2"/>
        <scheme val="minor"/>
      </rPr>
      <t xml:space="preserve"> : pour nappage</t>
    </r>
  </si>
  <si>
    <t>2. Étapes de Préparation et Points de Contrôle HACCP</t>
  </si>
  <si>
    <t>a) Réception et Stockage des Ingrédients</t>
  </si>
  <si>
    <r>
      <t xml:space="preserve">✅ </t>
    </r>
    <r>
      <rPr>
        <b/>
        <sz val="11"/>
        <color theme="1"/>
        <rFont val="Calibri"/>
        <family val="2"/>
        <scheme val="minor"/>
      </rPr>
      <t>CCP 1 (Contrôle des Matières Premières)</t>
    </r>
  </si>
  <si>
    <t>Vérifier la fraîcheur de la viande (T°C &lt; 4°C, absence d’odeur suspecte).</t>
  </si>
  <si>
    <t>Vérifier la traçabilité des produits.</t>
  </si>
  <si>
    <t>Stocker la viande immédiatement au réfrigérateur (T°C entre 0 et 3°C).</t>
  </si>
  <si>
    <t>Séparer viandes crues et autres ingrédients pour éviter la contamination croisée.</t>
  </si>
  <si>
    <t>b) Préparation des ingrédients</t>
  </si>
  <si>
    <r>
      <t xml:space="preserve">✅ </t>
    </r>
    <r>
      <rPr>
        <b/>
        <sz val="11"/>
        <color theme="1"/>
        <rFont val="Calibri"/>
        <family val="2"/>
        <scheme val="minor"/>
      </rPr>
      <t>CCP 2 (Hygiène du Personnel et du Matériel)</t>
    </r>
  </si>
  <si>
    <t>Laver et désinfecter les mains, le plan de travail et le matériel.</t>
  </si>
  <si>
    <t>Désinfecter les échalotes, ail et persil avant utilisation.</t>
  </si>
  <si>
    <r>
      <t xml:space="preserve">✅ </t>
    </r>
    <r>
      <rPr>
        <b/>
        <sz val="11"/>
        <color theme="1"/>
        <rFont val="Calibri"/>
        <family val="2"/>
        <scheme val="minor"/>
      </rPr>
      <t>CCP 3 (Maîtrise de la Température)</t>
    </r>
  </si>
  <si>
    <t>Garder les viandes au froid jusqu’au moment du hachage (éviter prolifération bactérienne).</t>
  </si>
  <si>
    <t>1. Désosser le lièvre et le découper en morceaux.</t>
  </si>
  <si>
    <t>2. Émincer les échalotes, l’ail et le persil.</t>
  </si>
  <si>
    <t>3. Hacher les viandes (lièvre, porc et foie de volaille) avec une grille moyenne.</t>
  </si>
  <si>
    <t>c) Assaisonnement et Macération</t>
  </si>
  <si>
    <t>1. Ajouter le sel, poivre, 4 épices et le cognac.</t>
  </si>
  <si>
    <t>2. Mélanger soigneusement et laisser macérer au réfrigérateur pendant 12 h.</t>
  </si>
  <si>
    <r>
      <t xml:space="preserve">✅ </t>
    </r>
    <r>
      <rPr>
        <b/>
        <sz val="11"/>
        <color theme="1"/>
        <rFont val="Calibri"/>
        <family val="2"/>
        <scheme val="minor"/>
      </rPr>
      <t>CCP 4 (Maîtrise du pH et de la Salaison)</t>
    </r>
  </si>
  <si>
    <t>Vérifier la dose de sel (minimum 18 g/kg) pour garantir la conservation.</t>
  </si>
  <si>
    <t>d) Montage et Cuisson du Pâté</t>
  </si>
  <si>
    <t>1. Incorporer les œufs et la crème à la préparation.</t>
  </si>
  <si>
    <t>2. Remplir des terrines en tassant bien, ajouter une feuille de laurier sur le dessus.</t>
  </si>
  <si>
    <r>
      <t xml:space="preserve">3. Cuire au bain-marie à </t>
    </r>
    <r>
      <rPr>
        <b/>
        <sz val="11"/>
        <color theme="1"/>
        <rFont val="Calibri"/>
        <family val="2"/>
        <scheme val="minor"/>
      </rPr>
      <t>160°C pendant 1h30</t>
    </r>
    <r>
      <rPr>
        <sz val="11"/>
        <color theme="1"/>
        <rFont val="Calibri"/>
        <family val="2"/>
        <scheme val="minor"/>
      </rPr>
      <t xml:space="preserve"> jusqu’à atteindre une température à cœur de </t>
    </r>
    <r>
      <rPr>
        <b/>
        <sz val="11"/>
        <color theme="1"/>
        <rFont val="Calibri"/>
        <family val="2"/>
        <scheme val="minor"/>
      </rPr>
      <t>75°C minimum</t>
    </r>
    <r>
      <rPr>
        <sz val="11"/>
        <color theme="1"/>
        <rFont val="Calibri"/>
        <family val="2"/>
        <scheme val="minor"/>
      </rPr>
      <t>.</t>
    </r>
  </si>
  <si>
    <r>
      <t xml:space="preserve">✅ </t>
    </r>
    <r>
      <rPr>
        <b/>
        <sz val="11"/>
        <color theme="1"/>
        <rFont val="Calibri"/>
        <family val="2"/>
        <scheme val="minor"/>
      </rPr>
      <t>CCP 5 (Maîtrise de la Cuisson)</t>
    </r>
  </si>
  <si>
    <t>Vérifier la température à cœur du pâté avec une sonde (≥ 75°C pour éliminer les pathogènes).</t>
  </si>
  <si>
    <t>e) Refroidissement et Conservation</t>
  </si>
  <si>
    <r>
      <t xml:space="preserve">✅ </t>
    </r>
    <r>
      <rPr>
        <b/>
        <sz val="11"/>
        <color theme="1"/>
        <rFont val="Calibri"/>
        <family val="2"/>
        <scheme val="minor"/>
      </rPr>
      <t>CCP 6 (Refroidissement Rapide)</t>
    </r>
  </si>
  <si>
    <t>Refroidir les terrines dans un bac d’eau froide puis en chambre froide (de +63°C à &lt;10°C en moins de 2h).</t>
  </si>
  <si>
    <r>
      <t xml:space="preserve">✅ </t>
    </r>
    <r>
      <rPr>
        <b/>
        <sz val="11"/>
        <color theme="1"/>
        <rFont val="Calibri"/>
        <family val="2"/>
        <scheme val="minor"/>
      </rPr>
      <t>CCP 7 (Stockage et DLC)</t>
    </r>
  </si>
  <si>
    <r>
      <t xml:space="preserve">Conserver le pâté à </t>
    </r>
    <r>
      <rPr>
        <b/>
        <sz val="11"/>
        <color theme="1"/>
        <rFont val="Calibri"/>
        <family val="2"/>
        <scheme val="minor"/>
      </rPr>
      <t>+3°C</t>
    </r>
    <r>
      <rPr>
        <sz val="11"/>
        <color theme="1"/>
        <rFont val="Calibri"/>
        <family val="2"/>
        <scheme val="minor"/>
      </rPr>
      <t xml:space="preserve"> et consommer sous </t>
    </r>
    <r>
      <rPr>
        <b/>
        <sz val="11"/>
        <color theme="1"/>
        <rFont val="Calibri"/>
        <family val="2"/>
        <scheme val="minor"/>
      </rPr>
      <t>5 jours</t>
    </r>
    <r>
      <rPr>
        <sz val="11"/>
        <color theme="1"/>
        <rFont val="Calibri"/>
        <family val="2"/>
        <scheme val="minor"/>
      </rPr>
      <t>.</t>
    </r>
  </si>
  <si>
    <t>Pour une conservation plus longue, recouvrir de gelée et stocker sous vide.</t>
  </si>
  <si>
    <t>f) Service et Consommation</t>
  </si>
  <si>
    <t>Servir frais avec du pain de campagne et des cornichons.</t>
  </si>
  <si>
    <t>S’assurer que le pâté est consommé dans les délais recommandés.</t>
  </si>
  <si>
    <t>Résumé des Points Critiques HACCP</t>
  </si>
  <si>
    <t>Étape</t>
  </si>
  <si>
    <t>Danger</t>
  </si>
  <si>
    <t>Contrôle</t>
  </si>
  <si>
    <t>Action Corrective</t>
  </si>
  <si>
    <t>Réception</t>
  </si>
  <si>
    <t>Viande avariée</t>
  </si>
  <si>
    <t>Vérification qualité &amp; T°C</t>
  </si>
  <si>
    <t>Refus des matières non conformes</t>
  </si>
  <si>
    <t>Préparation</t>
  </si>
  <si>
    <t>Contamination croisée</t>
  </si>
  <si>
    <t>Hygiène stricte &amp; désinfection</t>
  </si>
  <si>
    <t>Nettoyage &amp; formation du personnel</t>
  </si>
  <si>
    <t>Hachage</t>
  </si>
  <si>
    <t>Multiplication bactérienne</t>
  </si>
  <si>
    <t>Travail à froid</t>
  </si>
  <si>
    <t>Maintien au froid permanent</t>
  </si>
  <si>
    <t>Cuisson</t>
  </si>
  <si>
    <t>Pathogènes</t>
  </si>
  <si>
    <t>T°C ≥ 75°C à cœur</t>
  </si>
  <si>
    <t>Prolongation cuisson si nécessaire</t>
  </si>
  <si>
    <t>Passage rapide en froid</t>
  </si>
  <si>
    <t>Réduction des portions, contrôle T°C</t>
  </si>
  <si>
    <t>Stockage</t>
  </si>
  <si>
    <t>Mauvaise conservation</t>
  </si>
  <si>
    <t>T°C ≤ 3°C</t>
  </si>
  <si>
    <t>Élimination des produits douteux</t>
  </si>
  <si>
    <r>
      <t xml:space="preserve">Avec cette démarche HACCP, votre pâté de lièvre est </t>
    </r>
    <r>
      <rPr>
        <b/>
        <sz val="11"/>
        <color theme="1"/>
        <rFont val="Calibri"/>
        <family val="2"/>
        <scheme val="minor"/>
      </rPr>
      <t>sécurisé</t>
    </r>
    <r>
      <rPr>
        <sz val="11"/>
        <color theme="1"/>
        <rFont val="Calibri"/>
        <family val="2"/>
        <scheme val="minor"/>
      </rPr>
      <t xml:space="preserve"> et conforme aux bonnes pratiques d’hygiène ! 😊</t>
    </r>
  </si>
  <si>
    <t>Note pro</t>
  </si>
  <si>
    <t>roll out (dough)</t>
  </si>
  <si>
    <t>estirar/la masa</t>
  </si>
  <si>
    <t>Étaler une pâte au rouleau à une épaisseur donnée.</t>
  </si>
  <si>
    <t>Abaisser la temp. à cœur</t>
  </si>
  <si>
    <t>bring down the core/internal temperature</t>
  </si>
  <si>
    <t>Terme HACCP ; souvent après cuisson/refroidissement rapide.</t>
  </si>
  <si>
    <t>glaze with apricot (nappage)</t>
  </si>
  <si>
    <t>En pâtisserie ; « abricotar » se voit, mais « abrillantar/napar » est plus standard.</t>
  </si>
  <si>
    <t>serve with; garnish with</t>
  </si>
  <si>
    <t>acompañar; guarnecer con</t>
  </si>
  <si>
    <t>Pour une garniture : « serve with a side of… » / « con guarnición de… ».</t>
  </si>
  <si>
    <t>transfer to the sealing station</t>
  </si>
  <si>
    <t>Flux de production ; « operculage » = scellage par film.</t>
  </si>
  <si>
    <t>route; dispatch; transfer</t>
  </si>
  <si>
    <t>encaminar; trasladar</t>
  </si>
  <si>
    <t>Mouvement produit/logistique interne.</t>
  </si>
  <si>
    <t>add up; sum</t>
  </si>
  <si>
    <t>sumar</t>
  </si>
  <si>
    <t>Plutôt pour chiffres/quantités, pas culinaire « ajouter ».</t>
  </si>
  <si>
    <t>add; attach; append; join</t>
  </si>
  <si>
    <t>adjuntar; incorporar</t>
  </si>
  <si>
    <t>Selon contexte : document, ingrédient, pièce.</t>
  </si>
  <si>
    <t>work quickly</t>
  </si>
  <si>
    <t>trabajar con rapidez</t>
  </si>
  <si>
    <t>Sens service/production : « move fast ».</t>
  </si>
  <si>
    <t>add</t>
  </si>
  <si>
    <t>añadir; agregar</t>
  </si>
  <si>
    <t>flatten; pound</t>
  </si>
  <si>
    <t>Viande/poisson : « pound thin » / « majar la carne ».</t>
  </si>
  <si>
    <t>flavor; infuse</t>
  </si>
  <si>
    <t>aromatizar; infusionar</t>
  </si>
  <si>
    <t>« Infuse » si par macération/infusion.</t>
  </si>
  <si>
    <t>seasoning</t>
  </si>
  <si>
    <t>« Aliño » plutôt pour salades/sauces ; « sazonado » pour cuisson.</t>
  </si>
  <si>
    <t>season</t>
  </si>
  <si>
    <t>sazonar; aliñar</t>
  </si>
  <si>
    <t>« Season to taste » / « sazonar al gusto ».</t>
  </si>
  <si>
    <t>assembly</t>
  </si>
  <si>
    <t>montaje</t>
  </si>
  <si>
    <t>Étape générique avant service/expédition.</t>
  </si>
  <si>
    <t>emplatado</t>
  </si>
  <si>
    <t>Mise en assiette individuelle.</t>
  </si>
  <si>
    <t>batch/line plating; bulk assembly</t>
  </si>
  <si>
    <t>emplatado colectivo / en cadena</t>
  </si>
  <si>
    <t>Self, catering, grandes séries.</t>
  </si>
  <si>
    <t>assemblage ind. (individuel)</t>
  </si>
  <si>
    <t>individual assembly</t>
  </si>
  <si>
    <t>montaje individual</t>
  </si>
  <si>
    <t>Unité portion/assiette.</t>
  </si>
  <si>
    <t>assemblage plateaux</t>
  </si>
  <si>
    <t>tray assembly</t>
  </si>
  <si>
    <t>montaje de bandejas</t>
  </si>
  <si>
    <t>Plateaux repas.</t>
  </si>
  <si>
    <t>lunch tray assembly</t>
  </si>
  <si>
    <t>Préciser service.</t>
  </si>
  <si>
    <t>dinner tray assembly</t>
  </si>
  <si>
    <t>Idem.</t>
  </si>
  <si>
    <t>assemble; put together</t>
  </si>
  <si>
    <t>holding; waiting</t>
  </si>
  <si>
    <t>« En attente » : produits tenus/parkés avant étape suivante.</t>
  </si>
  <si>
    <t>wait; hold; let rest</t>
  </si>
  <si>
    <t>esperar; dejar reposar</t>
  </si>
  <si>
    <t>Pain/viande : « let it rest ».</t>
  </si>
  <si>
    <r>
      <t xml:space="preserve">bajar la temperatura en el </t>
    </r>
    <r>
      <rPr>
        <b/>
        <sz val="11"/>
        <color theme="1"/>
        <rFont val="Calibri"/>
        <family val="2"/>
        <scheme val="minor"/>
      </rPr>
      <t>centro</t>
    </r>
    <r>
      <rPr>
        <sz val="11"/>
        <color theme="1"/>
        <rFont val="Calibri"/>
        <family val="2"/>
        <scheme val="minor"/>
      </rPr>
      <t xml:space="preserve"> del producto</t>
    </r>
  </si>
  <si>
    <r>
      <t>abrillantar</t>
    </r>
    <r>
      <rPr>
        <sz val="11"/>
        <color theme="1"/>
        <rFont val="Calibri"/>
        <family val="2"/>
        <scheme val="minor"/>
      </rPr>
      <t>/napar con mermelada de albaricoque</t>
    </r>
  </si>
  <si>
    <r>
      <t xml:space="preserve">traslado hacia el </t>
    </r>
    <r>
      <rPr>
        <b/>
        <sz val="11"/>
        <color theme="1"/>
        <rFont val="Calibri"/>
        <family val="2"/>
        <scheme val="minor"/>
      </rPr>
      <t>termosellado</t>
    </r>
  </si>
  <si>
    <r>
      <t xml:space="preserve">aplanar; </t>
    </r>
    <r>
      <rPr>
        <b/>
        <sz val="11"/>
        <color theme="1"/>
        <rFont val="Calibri"/>
        <family val="2"/>
        <scheme val="minor"/>
      </rPr>
      <t>majar</t>
    </r>
  </si>
  <si>
    <r>
      <t>sazonado</t>
    </r>
    <r>
      <rPr>
        <sz val="11"/>
        <color theme="1"/>
        <rFont val="Calibri"/>
        <family val="2"/>
        <scheme val="minor"/>
      </rPr>
      <t>; aliño/condimentación</t>
    </r>
  </si>
  <si>
    <r>
      <t xml:space="preserve">plate assembly; </t>
    </r>
    <r>
      <rPr>
        <b/>
        <sz val="11"/>
        <color theme="1"/>
        <rFont val="Calibri"/>
        <family val="2"/>
        <scheme val="minor"/>
      </rPr>
      <t>plating</t>
    </r>
  </si>
  <si>
    <r>
      <t xml:space="preserve">montaje de bandejas (servicio </t>
    </r>
    <r>
      <rPr>
        <b/>
        <sz val="11"/>
        <color theme="1"/>
        <rFont val="Calibri"/>
        <family val="2"/>
        <scheme val="minor"/>
      </rPr>
      <t>mediodía</t>
    </r>
    <r>
      <rPr>
        <sz val="11"/>
        <color theme="1"/>
        <rFont val="Calibri"/>
        <family val="2"/>
        <scheme val="minor"/>
      </rPr>
      <t>)</t>
    </r>
  </si>
  <si>
    <r>
      <t xml:space="preserve">montaje de bandejas (servicio </t>
    </r>
    <r>
      <rPr>
        <b/>
        <sz val="11"/>
        <color theme="1"/>
        <rFont val="Calibri"/>
        <family val="2"/>
        <scheme val="minor"/>
      </rPr>
      <t>noche</t>
    </r>
    <r>
      <rPr>
        <sz val="11"/>
        <color theme="1"/>
        <rFont val="Calibri"/>
        <family val="2"/>
        <scheme val="minor"/>
      </rPr>
      <t>)</t>
    </r>
  </si>
  <si>
    <r>
      <t>espera</t>
    </r>
    <r>
      <rPr>
        <sz val="11"/>
        <color theme="1"/>
        <rFont val="Calibri"/>
        <family val="2"/>
        <scheme val="minor"/>
      </rPr>
      <t xml:space="preserve">; </t>
    </r>
    <r>
      <rPr>
        <b/>
        <sz val="11"/>
        <color theme="1"/>
        <rFont val="Calibri"/>
        <family val="2"/>
        <scheme val="minor"/>
      </rPr>
      <t>holding</t>
    </r>
  </si>
  <si>
    <t>bard (wrap with bacon/lard)</t>
  </si>
  <si>
    <r>
      <t>lardar</t>
    </r>
    <r>
      <rPr>
        <sz val="11"/>
        <color theme="1"/>
        <rFont val="Calibri"/>
        <family val="2"/>
        <scheme val="minor"/>
      </rPr>
      <t>; envolver con tocino/panceta</t>
    </r>
  </si>
  <si>
    <t>Entourer une pièce (volaille, gibier) de lard pour protéger à la cuisson.</t>
  </si>
  <si>
    <r>
      <t xml:space="preserve">beat; whisk; </t>
    </r>
    <r>
      <rPr>
        <b/>
        <sz val="11"/>
        <color theme="1"/>
        <rFont val="Calibri"/>
        <family val="2"/>
        <scheme val="minor"/>
      </rPr>
      <t>pound</t>
    </r>
    <r>
      <rPr>
        <sz val="11"/>
        <color theme="1"/>
        <rFont val="Calibri"/>
        <family val="2"/>
        <scheme val="minor"/>
      </rPr>
      <t xml:space="preserve"> (meat)</t>
    </r>
  </si>
  <si>
    <r>
      <t>batir</t>
    </r>
    <r>
      <rPr>
        <sz val="11"/>
        <color theme="1"/>
        <rFont val="Calibri"/>
        <family val="2"/>
        <scheme val="minor"/>
      </rPr>
      <t xml:space="preserve">; </t>
    </r>
    <r>
      <rPr>
        <b/>
        <sz val="11"/>
        <color theme="1"/>
        <rFont val="Calibri"/>
        <family val="2"/>
        <scheme val="minor"/>
      </rPr>
      <t>majar/golpear</t>
    </r>
    <r>
      <rPr>
        <sz val="11"/>
        <color theme="1"/>
        <rFont val="Calibri"/>
        <family val="2"/>
        <scheme val="minor"/>
      </rPr>
      <t xml:space="preserve"> (carne)</t>
    </r>
  </si>
  <si>
    <t>butter; grease with butter</t>
  </si>
  <si>
    <r>
      <t>enmantequillar</t>
    </r>
    <r>
      <rPr>
        <sz val="11"/>
        <color theme="1"/>
        <rFont val="Calibri"/>
        <family val="2"/>
        <scheme val="minor"/>
      </rPr>
      <t>; untar/engrasar con mantequilla</t>
    </r>
  </si>
  <si>
    <t>blanch (veg); whisk until pale (eggs+sugar)</t>
  </si>
  <si>
    <r>
      <t>escaldar</t>
    </r>
    <r>
      <rPr>
        <sz val="11"/>
        <color theme="1"/>
        <rFont val="Calibri"/>
        <family val="2"/>
        <scheme val="minor"/>
      </rPr>
      <t xml:space="preserve"> (verduras); </t>
    </r>
    <r>
      <rPr>
        <b/>
        <sz val="11"/>
        <color theme="1"/>
        <rFont val="Calibri"/>
        <family val="2"/>
        <scheme val="minor"/>
      </rPr>
      <t>blanquear</t>
    </r>
    <r>
      <rPr>
        <sz val="11"/>
        <color theme="1"/>
        <rFont val="Calibri"/>
        <family val="2"/>
        <scheme val="minor"/>
      </rPr>
      <t xml:space="preserve"> huevos con azúcar</t>
    </r>
  </si>
  <si>
    <t>Cuisine : mise à l’eau bouillante brève ; pâtisserie : œufs + sucre fouettés pâles.</t>
  </si>
  <si>
    <t>brown lightly; cook until golden/blond</t>
  </si>
  <si>
    <r>
      <t>dorar ligeramente</t>
    </r>
    <r>
      <rPr>
        <sz val="11"/>
        <color theme="1"/>
        <rFont val="Calibri"/>
        <family val="2"/>
        <scheme val="minor"/>
      </rPr>
      <t>; rehogar hasta dorar</t>
    </r>
  </si>
  <si>
    <t>Oignons/mirepoix : coloration blonde, pas brun foncé.</t>
  </si>
  <si>
    <t>round (dough); preshape into a boule</t>
  </si>
  <si>
    <r>
      <t>bolear</t>
    </r>
    <r>
      <rPr>
        <sz val="11"/>
        <color theme="1"/>
        <rFont val="Calibri"/>
        <family val="2"/>
        <scheme val="minor"/>
      </rPr>
      <t xml:space="preserve"> (masa)</t>
    </r>
  </si>
  <si>
    <t>BVP : former une boule bien tendue avant apprêt.</t>
  </si>
  <si>
    <t>braise</t>
  </si>
  <si>
    <r>
      <t>estofar</t>
    </r>
    <r>
      <rPr>
        <sz val="11"/>
        <color theme="1"/>
        <rFont val="Calibri"/>
        <family val="2"/>
        <scheme val="minor"/>
      </rPr>
      <t>; brasear</t>
    </r>
  </si>
  <si>
    <t>Saisir puis cuire couvert, avec peu de liquide, à feu doux/au four.</t>
  </si>
  <si>
    <t>truss (poultry)</t>
  </si>
  <si>
    <t>bridar (atar)</t>
  </si>
  <si>
    <t>Ficeler une volaille/pièce pour tenue et cuisson régulière.</t>
  </si>
  <si>
    <t>grind; crush; mill</t>
  </si>
  <si>
    <r>
      <t>moler</t>
    </r>
    <r>
      <rPr>
        <sz val="11"/>
        <color theme="1"/>
        <rFont val="Calibri"/>
        <family val="2"/>
        <scheme val="minor"/>
      </rPr>
      <t>; triturar</t>
    </r>
  </si>
  <si>
    <t>Grains, fruits secs, praliné, épices : réduction de taille/texture.</t>
  </si>
  <si>
    <t>burn; scorch; caramelize (top)</t>
  </si>
  <si>
    <r>
      <t>quemar</t>
    </r>
    <r>
      <rPr>
        <sz val="11"/>
        <color theme="1"/>
        <rFont val="Calibri"/>
        <family val="2"/>
        <scheme val="minor"/>
      </rPr>
      <t>; caramelizar (superficie)</t>
    </r>
  </si>
  <si>
    <t>Candir</t>
  </si>
  <si>
    <t>candy (in sugar)</t>
  </si>
  <si>
    <t>confitar en azúcar</t>
  </si>
  <si>
    <t>Fruits confits, écorces : cuisson sirop jusqu’à saturation.</t>
  </si>
  <si>
    <t>flute / make grooves; channel</t>
  </si>
  <si>
    <t>hacer canaladuras; estriar</t>
  </si>
  <si>
    <t>Zestes/agrume avec canneleur pour décors/longs filaments.</t>
  </si>
  <si>
    <t>caramelize</t>
  </si>
  <si>
    <t>caramelizar</t>
  </si>
  <si>
    <t>Sucre, surface de crème brûlée, légumes légèrement sucrés.</t>
  </si>
  <si>
    <t>score (make a shallow cut around)</t>
  </si>
  <si>
    <t>marcar/incidir con corte superficial</t>
  </si>
  <si>
    <t>Marrons/tomates : incision circulaire pour éviter l’éclatement.</t>
  </si>
  <si>
    <t>seal with a thin coat of chocolate/cocoa butter</t>
  </si>
  <si>
    <t>impermeabilizar con chocolate (chablón)</t>
  </si>
  <si>
    <t>Protéger biscuit/fond de tarte de l’humidité.</t>
  </si>
  <si>
    <t>changement d’échelle</t>
  </si>
  <si>
    <t>scale up/down (recipe/batch)</t>
  </si>
  <si>
    <t>cambio de escala; ajustar gramajes</t>
  </si>
  <si>
    <t>Adapter quantités/temps/courbes à la taille de lot.</t>
  </si>
  <si>
    <t>trolley changeover</t>
  </si>
  <si>
    <t>cambio de carro</t>
  </si>
  <si>
    <t>Changement de support de cuisson/transport.</t>
  </si>
  <si>
    <t>changement chariots isothermes</t>
  </si>
  <si>
    <t>insulated trolley changeover</t>
  </si>
  <si>
    <t>cambio de carros isotermos</t>
  </si>
  <si>
    <t>Logistique froid/chaud en catering.</t>
  </si>
  <si>
    <t>change; replace; switch</t>
  </si>
  <si>
    <t>cambiar; sustituir</t>
  </si>
  <si>
    <t>Matériel, pièces, bacs, plans.</t>
  </si>
  <si>
    <t>load insulated trolleys</t>
  </si>
  <si>
    <t>carga de carros isotermos</t>
  </si>
  <si>
    <t>Mise en bacs/plateaux puis en chariots.</t>
  </si>
  <si>
    <t>load the truck</t>
  </si>
  <si>
    <t>carga del camión</t>
  </si>
  <si>
    <t>Expédition/distribution.</t>
  </si>
  <si>
    <t>load the oven</t>
  </si>
  <si>
    <t>carga del horno</t>
  </si>
  <si>
    <t>Enfournement.</t>
  </si>
  <si>
    <t>load collective-service trolleys</t>
  </si>
  <si>
    <t>carga de carros colectivos</t>
  </si>
  <si>
    <t>Pour self/catering en série.</t>
  </si>
  <si>
    <t>load individual-service trolleys</t>
  </si>
  <si>
    <t>carga de carros individuales</t>
  </si>
  <si>
    <t>Plateaux/portions individuelles.</t>
  </si>
  <si>
    <t>devein (crayfish/shrimp); remove garlic germ</t>
  </si>
  <si>
    <t>desvenar (camarón); quitar germen del ajo</t>
  </si>
  <si>
    <t>Écrevisses/crevettes, ou « dégermer » l’ail.</t>
  </si>
  <si>
    <t>heat; warm</t>
  </si>
  <si>
    <t>calentar</t>
  </si>
  <si>
    <t>Monter en T° un appareil, sauce, assiette.</t>
  </si>
  <si>
    <t>coat with chaud-froid sauce</t>
  </si>
  <si>
    <t>napar con salsa chaud-froid</t>
  </si>
  <si>
    <t>Finition froide brillante sur viandes/poissons.</t>
  </si>
  <si>
    <t>line (a mold/tin)</t>
  </si>
  <si>
    <t>forrar (un molde)</t>
  </si>
  <si>
    <t>Avec beurre, papier, biscuit, gelée, etc.</t>
  </si>
  <si>
    <t>overlap (slices)</t>
  </si>
  <si>
    <t>solapar/superponer (lonchas)</t>
  </si>
  <si>
    <t>Dressage : tranches partiellement superposées.</t>
  </si>
  <si>
    <t>crimp/scallop (edge)</t>
  </si>
  <si>
    <t>festonear/puntear el borde</t>
  </si>
  <si>
    <t>Bord de tourte/tarte marqué au couteau.</t>
  </si>
  <si>
    <t>finely chop; score (skin)</t>
  </si>
  <si>
    <t>picar fino/ciselar; hacer incisiones</t>
  </si>
  <si>
    <t>Échalote « ciselée » / inciser peau de poisson.</t>
  </si>
  <si>
    <t>acidulate with lemon</t>
  </si>
  <si>
    <t>acidular con limón</t>
  </si>
  <si>
    <t>Éviter l’oxydation (fruits, avocats, artichauts).</t>
  </si>
  <si>
    <t>clarify (stock/butter/eggs)</t>
  </si>
  <si>
    <t>clarificar</t>
  </si>
  <si>
    <t>Beurre clarifié ; consommé ; blancs séparés (« clarifier des œufs »).</t>
  </si>
  <si>
    <t>stud (e.g., onion with cloves)</t>
  </si>
  <si>
    <t>clavar/mechar con clavos (de olor)</t>
  </si>
  <si>
    <t>« Oignon clouté »; aussi piquer viandes d’aromates.</t>
  </si>
  <si>
    <t>set/gel with gelatin; glue</t>
  </si>
  <si>
    <t>gelificar con gelatina; pegar</t>
  </si>
  <si>
    <t>« Coller à la gélatine » / assembler éléments.</t>
  </si>
  <si>
    <t>cook down to a compote</t>
  </si>
  <si>
    <t>hacer compota; reducir hasta compota</t>
  </si>
  <si>
    <t>Cuisson douce jusqu’à texture compotée.</t>
  </si>
  <si>
    <t>confit; candy; preserve in fat/sugar</t>
  </si>
  <si>
    <t>confitar</t>
  </si>
  <si>
    <t>Graisse (canard), sucre (fruits), vinaigre (pickles).</t>
  </si>
  <si>
    <t>store; preserve</t>
  </si>
  <si>
    <t>conservar</t>
  </si>
  <si>
    <t>Chaîne du froid, DLC/DMF, contenants adaptés.</t>
  </si>
  <si>
    <t>insert truffle slices under the skin</t>
  </si>
  <si>
    <t>hacer incisiones e insertar láminas de trufa bajo la piel</t>
  </si>
  <si>
    <t>« Poularde demi-deuil ». Terme rare en EN/ES → description.</t>
  </si>
  <si>
    <t>check; inspect</t>
  </si>
  <si>
    <t>controlar; verificar</t>
  </si>
  <si>
    <t>Qualité, T°C à cœur, poids, conformité.</t>
  </si>
  <si>
    <t>scrape down (with spatula)</t>
  </si>
  <si>
    <t>raspar/recoger con lengua (espátula)</t>
  </si>
  <si>
    <t>Récupérer/ramener une préparation dans le bol.</t>
  </si>
  <si>
    <t>intensify; concentrate (flavour)</t>
  </si>
  <si>
    <t>reforzar; concentrar sabor</t>
  </si>
  <si>
    <t>Réduire, ajuster assaisonnement, torréfier légèrement.</t>
  </si>
  <si>
    <t>pipe (choux, meringue); lay out</t>
  </si>
  <si>
    <t>escudillar</t>
  </si>
  <si>
    <t>Poche à douille : « coucher » des éclairs/macaronnage.</t>
  </si>
  <si>
    <t>crack; split</t>
  </si>
  <si>
    <t>agrietarse; rajarse</t>
  </si>
  <si>
    <t>Pain/viennoiserie/couennes qui se fendent.</t>
  </si>
  <si>
    <t>cream (butter &amp; sugar)</t>
  </si>
  <si>
    <t>cremar; batir mantequilla y azúcar</t>
  </si>
  <si>
    <t>Pâtisserie : obtenir mélange pâle et mousseux.</t>
  </si>
  <si>
    <t>parboil so grains burst (rice); burst</t>
  </si>
  <si>
    <t>escaldar para que reviente (arroz); reventar</t>
  </si>
  <si>
    <t>« Crever le riz » avant cuisson au lait.</t>
  </si>
  <si>
    <t>form a skin/crust (resting)</t>
  </si>
  <si>
    <t>acortezarse; orearse hasta costra</t>
  </si>
  <si>
    <t>Macarons/terrines : laisser « croûter » avant cuisson.</t>
  </si>
  <si>
    <t>cook; bake; roast</t>
  </si>
  <si>
    <t>cocer; hornear; asar</t>
  </si>
  <si>
    <t>cooking/doneness</t>
  </si>
  <si>
    <t>cocción; punto de cocción</t>
  </si>
  <si>
    <t>De « saignant » à « bien cuit » ; suivi T°.</t>
  </si>
  <si>
    <t>final cook/finishing bake</t>
  </si>
  <si>
    <t>cocción final; acabado</t>
  </si>
  <si>
    <t>Dernière phase avant service/expédition.</t>
  </si>
  <si>
    <t>season (a pan); build patina</t>
  </si>
  <si>
    <t>curar una sartén/olla</t>
  </si>
  <si>
    <t>Fonte/acier : créer couche anti-adhésive naturelle.</t>
  </si>
  <si>
    <t>stew “daube”-style</t>
  </si>
  <si>
    <r>
      <t xml:space="preserve">guisar en </t>
    </r>
    <r>
      <rPr>
        <b/>
        <sz val="11"/>
        <color theme="1"/>
        <rFont val="Calibri"/>
        <family val="2"/>
        <scheme val="minor"/>
      </rPr>
      <t>daube</t>
    </r>
  </si>
  <si>
    <t>deboitage / Déboîtage</t>
  </si>
  <si>
    <t>destacking; unstacking</t>
  </si>
  <si>
    <t>desapilado</t>
  </si>
  <si>
    <t>Défaire piles de bacs/assiettes/pots sur ligne.</t>
  </si>
  <si>
    <t>Déboiter (volaille/articulation)</t>
  </si>
  <si>
    <t>disjoint; separate at the joint</t>
  </si>
  <si>
    <t>desarticular</t>
  </si>
  <si>
    <t>Découpe bouchère/volaille.</t>
  </si>
  <si>
    <t>decant; let stand; clarify</t>
  </si>
  <si>
    <t>decantar; clarificar</t>
  </si>
  <si>
    <t>Fonds/sauces/vins : séparation dépôt/gras.</t>
  </si>
  <si>
    <t>remove from carton</t>
  </si>
  <si>
    <r>
      <t>desencajonar</t>
    </r>
    <r>
      <rPr>
        <sz val="11"/>
        <color theme="1"/>
        <rFont val="Calibri"/>
        <family val="2"/>
        <scheme val="minor"/>
      </rPr>
      <t xml:space="preserve"> / sacar del cartón</t>
    </r>
  </si>
  <si>
    <t>Étape de déballage avant production.</t>
  </si>
  <si>
    <t>remove ring; unmould from ring</t>
  </si>
  <si>
    <r>
      <t>desmoldar</t>
    </r>
    <r>
      <rPr>
        <sz val="11"/>
        <color theme="1"/>
        <rFont val="Calibri"/>
        <family val="2"/>
        <scheme val="minor"/>
      </rPr>
      <t xml:space="preserve"> (quitar aro)</t>
    </r>
  </si>
  <si>
    <t>Entremets/tartes cerclées.</t>
  </si>
  <si>
    <t>unload the oven</t>
  </si>
  <si>
    <t>descarga del horno</t>
  </si>
  <si>
    <t>Défournement.</t>
  </si>
  <si>
    <t>unload; offload</t>
  </si>
  <si>
    <t>descargar</t>
  </si>
  <si>
    <t>Camion, four, chariot.</t>
  </si>
  <si>
    <t>depackage; remove from primary pack</t>
  </si>
  <si>
    <t>desenvasar</t>
  </si>
  <si>
    <t>Ouvrir barquettes/sous-vide avant usage.</t>
  </si>
  <si>
    <t>decorate; garnish</t>
  </si>
  <si>
    <r>
      <t xml:space="preserve">decorar; </t>
    </r>
    <r>
      <rPr>
        <b/>
        <sz val="11"/>
        <color theme="1"/>
        <rFont val="Calibri"/>
        <family val="2"/>
        <scheme val="minor"/>
      </rPr>
      <t>decorar/engalanar</t>
    </r>
  </si>
  <si>
    <t>Dressage, pâtisserie.</t>
  </si>
  <si>
    <t>shell; husk; peel</t>
  </si>
  <si>
    <r>
      <t>descascarillar</t>
    </r>
    <r>
      <rPr>
        <sz val="11"/>
        <color theme="1"/>
        <rFont val="Calibri"/>
        <family val="2"/>
        <scheme val="minor"/>
      </rPr>
      <t>; pelar</t>
    </r>
  </si>
  <si>
    <t>Fruits secs, crustacés, céréales.</t>
  </si>
  <si>
    <t>decoupe / Découpe</t>
  </si>
  <si>
    <t>cutting; butchery/cutting stage</t>
  </si>
  <si>
    <r>
      <t>corte</t>
    </r>
    <r>
      <rPr>
        <sz val="11"/>
        <color theme="1"/>
        <rFont val="Calibri"/>
        <family val="2"/>
        <scheme val="minor"/>
      </rPr>
      <t>; despiece</t>
    </r>
  </si>
  <si>
    <t>Nom d’étape/atelier.</t>
  </si>
  <si>
    <t>cut; carve; slice</t>
  </si>
  <si>
    <t>cortar; trinchar/laminar</t>
  </si>
  <si>
    <t>Trancher/portionner/parer.</t>
  </si>
  <si>
    <t>Décuire (sucre/caramel)</t>
  </si>
  <si>
    <t>reduce stage by adding liquid</t>
  </si>
  <si>
    <r>
      <t>rebajar</t>
    </r>
    <r>
      <rPr>
        <sz val="11"/>
        <color theme="1"/>
        <rFont val="Calibri"/>
        <family val="2"/>
        <scheme val="minor"/>
      </rPr>
      <t xml:space="preserve"> (caramelo) con líquido</t>
    </r>
  </si>
  <si>
    <t>Ajouter eau/crème pour baisser la T° du sucre.</t>
  </si>
  <si>
    <t>Déffilandrer (défilander)</t>
  </si>
  <si>
    <t>remove sinews/filaments</t>
  </si>
  <si>
    <r>
      <t>quitar fibras/nervios</t>
    </r>
    <r>
      <rPr>
        <sz val="11"/>
        <color theme="1"/>
        <rFont val="Calibri"/>
        <family val="2"/>
        <scheme val="minor"/>
      </rPr>
      <t>; deshilar</t>
    </r>
  </si>
  <si>
    <t>purge (in salt water); drain</t>
  </si>
  <si>
    <r>
      <t>desangrar/purgar</t>
    </r>
    <r>
      <rPr>
        <sz val="11"/>
        <color theme="1"/>
        <rFont val="Calibri"/>
        <family val="2"/>
        <scheme val="minor"/>
      </rPr>
      <t>; escurrir</t>
    </r>
  </si>
  <si>
    <t>take the chill off; temper slightly</t>
  </si>
  <si>
    <r>
      <t>atemperar</t>
    </r>
    <r>
      <rPr>
        <sz val="11"/>
        <color theme="1"/>
        <rFont val="Calibri"/>
        <family val="2"/>
        <scheme val="minor"/>
      </rPr>
      <t>; quitar el frío</t>
    </r>
  </si>
  <si>
    <t>Ramener proche T° ambiante avant travail.</t>
  </si>
  <si>
    <t>remove cover/casing</t>
  </si>
  <si>
    <r>
      <t>desenfundar</t>
    </r>
    <r>
      <rPr>
        <sz val="11"/>
        <color theme="1"/>
        <rFont val="Calibri"/>
        <family val="2"/>
        <scheme val="minor"/>
      </rPr>
      <t>; quitar funda</t>
    </r>
  </si>
  <si>
    <t>Jambons/produits enrobés de toile/housse.</t>
  </si>
  <si>
    <t>dilute; thin out</t>
  </si>
  <si>
    <r>
      <t>diluir</t>
    </r>
    <r>
      <rPr>
        <sz val="11"/>
        <color theme="1"/>
        <rFont val="Calibri"/>
        <family val="2"/>
        <scheme val="minor"/>
      </rPr>
      <t>; desleír</t>
    </r>
  </si>
  <si>
    <t>Pâte/maïzena/levure dans liquide.</t>
  </si>
  <si>
    <t>unmould</t>
  </si>
  <si>
    <t>desmoldar</t>
  </si>
  <si>
    <t>Sortir d’un moule/terrine.</t>
  </si>
  <si>
    <t>remove sinews/silverskin</t>
  </si>
  <si>
    <r>
      <t>desnervar</t>
    </r>
    <r>
      <rPr>
        <sz val="11"/>
        <color theme="1"/>
        <rFont val="Calibri"/>
        <family val="2"/>
        <scheme val="minor"/>
      </rPr>
      <t>; quitar telilla</t>
    </r>
  </si>
  <si>
    <t>Viandes/foie gras.</t>
  </si>
  <si>
    <t>stone; pit</t>
  </si>
  <si>
    <r>
      <t>deshuesar</t>
    </r>
    <r>
      <rPr>
        <sz val="11"/>
        <color theme="1"/>
        <rFont val="Calibri"/>
        <family val="2"/>
        <scheme val="minor"/>
      </rPr>
      <t xml:space="preserve"> (fruta) / quitar hueso</t>
    </r>
  </si>
  <si>
    <t>Cerises, abricots, olives.</t>
  </si>
  <si>
    <t>crimp/scallop the edge</t>
  </si>
  <si>
    <r>
      <t>festonear</t>
    </r>
    <r>
      <rPr>
        <sz val="11"/>
        <color theme="1"/>
        <rFont val="Calibri"/>
        <family val="2"/>
        <scheme val="minor"/>
      </rPr>
      <t xml:space="preserve"> el borde</t>
    </r>
  </si>
  <si>
    <t>Bord de pâte avec pince/couteau.</t>
  </si>
  <si>
    <t>Dépouiller (sauce)</t>
  </si>
  <si>
    <t>skim while reducing</t>
  </si>
  <si>
    <r>
      <t>desespumar</t>
    </r>
    <r>
      <rPr>
        <sz val="11"/>
        <color theme="1"/>
        <rFont val="Calibri"/>
        <family val="2"/>
        <scheme val="minor"/>
      </rPr>
      <t xml:space="preserve"> / espumar</t>
    </r>
  </si>
  <si>
    <t>Retirer écume/impuretés en réduction.</t>
  </si>
  <si>
    <t>Dérober (tomates/haricots)</t>
  </si>
  <si>
    <t>peel after blanching</t>
  </si>
  <si>
    <t>pelar tras escaldar</t>
  </si>
  <si>
    <t>Inciser, blanchir, rafraîchir, peler.</t>
  </si>
  <si>
    <t>Noun.</t>
  </si>
  <si>
    <t>unpack</t>
  </si>
  <si>
    <t>desembalar</t>
  </si>
  <si>
    <t>Verbe.</t>
  </si>
  <si>
    <t>disinfect; sanitize</t>
  </si>
  <si>
    <r>
      <t>desinfectar</t>
    </r>
    <r>
      <rPr>
        <sz val="11"/>
        <color theme="1"/>
        <rFont val="Calibri"/>
        <family val="2"/>
        <scheme val="minor"/>
      </rPr>
      <t>; sanitizar</t>
    </r>
  </si>
  <si>
    <t>Surfaces/matériel HACCP.</t>
  </si>
  <si>
    <t>disinfection (sanitation)</t>
  </si>
  <si>
    <t>desinfección</t>
  </si>
  <si>
    <t>Nom d’étape/procédure.</t>
  </si>
  <si>
    <t>bone; debone</t>
  </si>
  <si>
    <t>deshuesar</t>
  </si>
  <si>
    <t>Boucherie/volaille/poisson (“désarêter” = fish).</t>
  </si>
  <si>
    <t>dry out; cook to dry</t>
  </si>
  <si>
    <r>
      <t>secar</t>
    </r>
    <r>
      <rPr>
        <sz val="11"/>
        <color theme="1"/>
        <rFont val="Calibri"/>
        <family val="2"/>
        <scheme val="minor"/>
      </rPr>
      <t xml:space="preserve"> / desecar</t>
    </r>
  </si>
  <si>
    <t>Pâte à choux en casserole, purées.</t>
  </si>
  <si>
    <t>removal from vacuum pack</t>
  </si>
  <si>
    <t>salida de sous-vide</t>
  </si>
  <si>
    <t>Nom d’étape.</t>
  </si>
  <si>
    <t>remove from vacuum bag</t>
  </si>
  <si>
    <t>sacar del vacío</t>
  </si>
  <si>
    <t>Ouvrir et extraire le produit.</t>
  </si>
  <si>
    <t>destocking; stock drawdown</t>
  </si>
  <si>
    <t>desestocaje</t>
  </si>
  <si>
    <t>Gestion de stocks.</t>
  </si>
  <si>
    <t>destock; run down stock</t>
  </si>
  <si>
    <t>desestocar</t>
  </si>
  <si>
    <t>Action.</t>
  </si>
  <si>
    <t>cut into (dice/slices); portion</t>
  </si>
  <si>
    <r>
      <t>detallar</t>
    </r>
    <r>
      <rPr>
        <sz val="11"/>
        <color theme="1"/>
        <rFont val="Calibri"/>
        <family val="2"/>
        <scheme val="minor"/>
      </rPr>
      <t>; cortar en…</t>
    </r>
  </si>
  <si>
    <t>« Détailler en brunoise, en bâtons… ».</t>
  </si>
  <si>
    <t>loosen; thin; relax</t>
  </si>
  <si>
    <r>
      <t>aflojar</t>
    </r>
    <r>
      <rPr>
        <sz val="11"/>
        <color theme="1"/>
        <rFont val="Calibri"/>
        <family val="2"/>
        <scheme val="minor"/>
      </rPr>
      <t>; aligerar</t>
    </r>
  </si>
  <si>
    <t>Assouplir pâte/sauce (ajout liquide / repos).</t>
  </si>
  <si>
    <t>moisten; make the détrempe</t>
  </si>
  <si>
    <r>
      <t>amasar la “détrempe”</t>
    </r>
    <r>
      <rPr>
        <sz val="11"/>
        <color theme="1"/>
        <rFont val="Calibri"/>
        <family val="2"/>
        <scheme val="minor"/>
      </rPr>
      <t>; humedecer</t>
    </r>
  </si>
  <si>
    <t>Pâte feuilletée : détrempe.</t>
  </si>
  <si>
    <t>disperse (powders)</t>
  </si>
  <si>
    <t>dispersar</t>
  </si>
  <si>
    <t>Poudres dans liquide sous agitation.</t>
  </si>
  <si>
    <t>arrange; set; lay out</t>
  </si>
  <si>
    <r>
      <t>disponer</t>
    </r>
    <r>
      <rPr>
        <sz val="11"/>
        <color theme="1"/>
        <rFont val="Calibri"/>
        <family val="2"/>
        <scheme val="minor"/>
      </rPr>
      <t>; colocar</t>
    </r>
  </si>
  <si>
    <t>Dressage/implantation sur plaque.</t>
  </si>
  <si>
    <t>egg-wash; glaze with egg</t>
  </si>
  <si>
    <t>pintar con huevo</t>
  </si>
  <si>
    <t>« Dorer à l’œuf » pour brillance/couleur.</t>
  </si>
  <si>
    <t>line/double; make a second layer</t>
  </si>
  <si>
    <r>
      <t>forrar</t>
    </r>
    <r>
      <rPr>
        <sz val="11"/>
        <color theme="1"/>
        <rFont val="Calibri"/>
        <family val="2"/>
        <scheme val="minor"/>
      </rPr>
      <t>; doblar capa</t>
    </r>
  </si>
  <si>
    <t>Moule, chemisage, superposition.</t>
  </si>
  <si>
    <t>plate; set up; pipe (pastry)</t>
  </si>
  <si>
    <r>
      <t>emplatar</t>
    </r>
    <r>
      <rPr>
        <sz val="11"/>
        <color theme="1"/>
        <rFont val="Calibri"/>
        <family val="2"/>
        <scheme val="minor"/>
      </rPr>
      <t>; montar/escudillar</t>
    </r>
  </si>
  <si>
    <t>Mise en assiette, dressage en poche.</t>
  </si>
  <si>
    <t>Ébarber</t>
  </si>
  <si>
    <t>trim; pare (edges)</t>
  </si>
  <si>
    <t>recortar; perfilar</t>
  </si>
  <si>
    <t>Retirer bavures/bords (pâtisseries, poissons, ravioles).</t>
  </si>
  <si>
    <t>Ébaucher</t>
  </si>
  <si>
    <t>rough-shape; preform</t>
  </si>
  <si>
    <t>preformar; dar forma previa</t>
  </si>
  <si>
    <t>Mise en forme initiale avant finition.</t>
  </si>
  <si>
    <t>Écailler</t>
  </si>
  <si>
    <t>scale (a fish)</t>
  </si>
  <si>
    <t>desescamar (un pescado)</t>
  </si>
  <si>
    <t>Retirer les écailles.</t>
  </si>
  <si>
    <t>Écaler</t>
  </si>
  <si>
    <t>shell (boiled eggs); husk</t>
  </si>
  <si>
    <t>pelar huevos; descascarillar</t>
  </si>
  <si>
    <t>Œufs durs, fruits secs.</t>
  </si>
  <si>
    <t>Échauder</t>
  </si>
  <si>
    <t>scald; blanch briefly</t>
  </si>
  <si>
    <t>escaldar</t>
  </si>
  <si>
    <t>Eau très chaude avant peler/traiter.</t>
  </si>
  <si>
    <t>Écorcher</t>
  </si>
  <si>
    <t>skin (animal/fish)</t>
  </si>
  <si>
    <r>
      <t xml:space="preserve">desollar; </t>
    </r>
    <r>
      <rPr>
        <b/>
        <sz val="11"/>
        <color theme="1"/>
        <rFont val="Calibri"/>
        <family val="2"/>
        <scheme val="minor"/>
      </rPr>
      <t>quitar la piel</t>
    </r>
  </si>
  <si>
    <t>Dépouiller peau (gibier/poisson).</t>
  </si>
  <si>
    <t>Écosser</t>
  </si>
  <si>
    <t>shell (peas/beans)</t>
  </si>
  <si>
    <r>
      <t xml:space="preserve">desgranar; </t>
    </r>
    <r>
      <rPr>
        <b/>
        <sz val="11"/>
        <color theme="1"/>
        <rFont val="Calibri"/>
        <family val="2"/>
        <scheme val="minor"/>
      </rPr>
      <t>desenvainar</t>
    </r>
  </si>
  <si>
    <t>Sortir des gousses.</t>
  </si>
  <si>
    <t>Écumer</t>
  </si>
  <si>
    <t>skim (foam/scum)</t>
  </si>
  <si>
    <t>desespumar</t>
  </si>
  <si>
    <t>En ébullition/réduction.</t>
  </si>
  <si>
    <t>remove sinews / shred into fine strips</t>
  </si>
  <si>
    <t>quitar fibras; deshilachar fino</t>
  </si>
  <si>
    <t>Viandes/abats/volaille (syn. « défilander »).</t>
  </si>
  <si>
    <t>slice thin; flake; sliver</t>
  </si>
  <si>
    <t>laminar fino; filetear</t>
  </si>
  <si>
    <t>Amandes effilées, oignons en fines lamelles.</t>
  </si>
  <si>
    <t>Égermer (dégermage)</t>
  </si>
  <si>
    <t>de-germ (garlic); remove sprouts</t>
  </si>
  <si>
    <r>
      <t>desgerminar</t>
    </r>
    <r>
      <rPr>
        <sz val="11"/>
        <color theme="1"/>
        <rFont val="Calibri"/>
        <family val="2"/>
        <scheme val="minor"/>
      </rPr>
      <t>; quitar brotes</t>
    </r>
  </si>
  <si>
    <t>Ail (germen), pommes de terre germées.</t>
  </si>
  <si>
    <t>Égouttage</t>
  </si>
  <si>
    <t>draining (step)</t>
  </si>
  <si>
    <t>escurrido</t>
  </si>
  <si>
    <t>Nom d’étape (fromages, fritures, légumes).</t>
  </si>
  <si>
    <t>Égoutter</t>
  </si>
  <si>
    <t>Égrapper</t>
  </si>
  <si>
    <t>destem (grapes)</t>
  </si>
  <si>
    <t>despalillar</t>
  </si>
  <si>
    <t>Œnologie/raisins de table.</t>
  </si>
  <si>
    <t>Égrener</t>
  </si>
  <si>
    <t>seed; shell kernels (corn)</t>
  </si>
  <si>
    <t>desgranear; desgranar</t>
  </si>
  <si>
    <t>Maïs, grenade, petits pois.</t>
  </si>
  <si>
    <t>Émincer</t>
  </si>
  <si>
    <t>slice thin</t>
  </si>
  <si>
    <r>
      <t>laminar fino</t>
    </r>
    <r>
      <rPr>
        <sz val="11"/>
        <color theme="1"/>
        <rFont val="Calibri"/>
        <family val="2"/>
        <scheme val="minor"/>
      </rPr>
      <t>; cortar en plumas</t>
    </r>
  </si>
  <si>
    <t>Échalote/oignon/viande.</t>
  </si>
  <si>
    <t>Émonder</t>
  </si>
  <si>
    <t>blanch and peel; skin</t>
  </si>
  <si>
    <r>
      <t>escaldar y pelar</t>
    </r>
    <r>
      <rPr>
        <sz val="11"/>
        <color theme="1"/>
        <rFont val="Calibri"/>
        <family val="2"/>
        <scheme val="minor"/>
      </rPr>
      <t>; mondar</t>
    </r>
  </si>
  <si>
    <t>Tomates, amandes.</t>
  </si>
  <si>
    <t>emulsify</t>
  </si>
  <si>
    <t>emulsionar</t>
  </si>
  <si>
    <t>Stabiliser eau+gras (vinaigrette, mayo).</t>
  </si>
  <si>
    <t>coat; enrobe</t>
  </si>
  <si>
    <r>
      <t>bañar</t>
    </r>
    <r>
      <rPr>
        <sz val="11"/>
        <color theme="1"/>
        <rFont val="Calibri"/>
        <family val="2"/>
        <scheme val="minor"/>
      </rPr>
      <t>; recubrir</t>
    </r>
  </si>
  <si>
    <t>Chocolat, panure, nappage.</t>
  </si>
  <si>
    <t>Épluchage</t>
  </si>
  <si>
    <t>peeling (process)</t>
  </si>
  <si>
    <t>pelado</t>
  </si>
  <si>
    <t>Nom d’atelier/opération.</t>
  </si>
  <si>
    <t>Éplucher</t>
  </si>
  <si>
    <t>peel; trim</t>
  </si>
  <si>
    <t>pelar; mondar</t>
  </si>
  <si>
    <t>Légumes/fruits ; « parer » pour viandes/poissons.</t>
  </si>
  <si>
    <t>Équeuter</t>
  </si>
  <si>
    <t>destem; hull (strawberries)</t>
  </si>
  <si>
    <r>
      <t>desrabiar</t>
    </r>
    <r>
      <rPr>
        <sz val="11"/>
        <color theme="1"/>
        <rFont val="Calibri"/>
        <family val="2"/>
        <scheme val="minor"/>
      </rPr>
      <t>/</t>
    </r>
    <r>
      <rPr>
        <b/>
        <sz val="11"/>
        <color theme="1"/>
        <rFont val="Calibri"/>
        <family val="2"/>
        <scheme val="minor"/>
      </rPr>
      <t>quitar el rabo</t>
    </r>
    <r>
      <rPr>
        <sz val="11"/>
        <color theme="1"/>
        <rFont val="Calibri"/>
        <family val="2"/>
        <scheme val="minor"/>
      </rPr>
      <t xml:space="preserve">; </t>
    </r>
    <r>
      <rPr>
        <b/>
        <sz val="11"/>
        <color theme="1"/>
        <rFont val="Calibri"/>
        <family val="2"/>
        <scheme val="minor"/>
      </rPr>
      <t>deshojar</t>
    </r>
    <r>
      <rPr>
        <sz val="11"/>
        <color theme="1"/>
        <rFont val="Calibri"/>
        <family val="2"/>
        <scheme val="minor"/>
      </rPr>
      <t xml:space="preserve"> (fresa)</t>
    </r>
  </si>
  <si>
    <t>Haricots/fraises.</t>
  </si>
  <si>
    <t>cut into thin scallops; slice on the bias</t>
  </si>
  <si>
    <t>filetear fino; cortar en escalopes</t>
  </si>
  <si>
    <t>Volaille/veau/poisson en « escalopes ».</t>
  </si>
  <si>
    <t>Étaler</t>
  </si>
  <si>
    <t>spread; roll out (dough)</t>
  </si>
  <si>
    <r>
      <t>extender</t>
    </r>
    <r>
      <rPr>
        <sz val="11"/>
        <color theme="1"/>
        <rFont val="Calibri"/>
        <family val="2"/>
        <scheme val="minor"/>
      </rPr>
      <t>; estirar (masa)</t>
    </r>
  </si>
  <si>
    <t>Pâtes, crèmes, appareils.</t>
  </si>
  <si>
    <t>Étiqueter</t>
  </si>
  <si>
    <t>label</t>
  </si>
  <si>
    <t>etiquetar</t>
  </si>
  <si>
    <t>Apposer étiquette (DLC/lot/traçabilité).</t>
  </si>
  <si>
    <t>étiquetage collec.</t>
  </si>
  <si>
    <t>collective/batch labeling</t>
  </si>
  <si>
    <t>etiquetado colectivo</t>
  </si>
  <si>
    <t>Pour plateaux/batchs.</t>
  </si>
  <si>
    <t>étiquetage ind.</t>
  </si>
  <si>
    <t>individual labeling</t>
  </si>
  <si>
    <t>etiquetado individual</t>
  </si>
  <si>
    <t>Portion unitaire.</t>
  </si>
  <si>
    <t>Étoffer</t>
  </si>
  <si>
    <t>thicken/enrich; bulk up</t>
  </si>
  <si>
    <t>espesar/robustecer</t>
  </si>
  <si>
    <t>Garnitures, farces, fiches techniques.</t>
  </si>
  <si>
    <t>Étouffer (cuire à l’étouffée)</t>
  </si>
  <si>
    <t>smother-cook; cook covered</t>
  </si>
  <si>
    <t>cocer al estofado tapado</t>
  </si>
  <si>
    <t>Peu de liquide, couvercle.</t>
  </si>
  <si>
    <t>Étuver</t>
  </si>
  <si>
    <t>sweat/steam gently; proof (dough)</t>
  </si>
  <si>
    <r>
      <t>rehogar suave/estufar</t>
    </r>
    <r>
      <rPr>
        <sz val="11"/>
        <color theme="1"/>
        <rFont val="Calibri"/>
        <family val="2"/>
        <scheme val="minor"/>
      </rPr>
      <t xml:space="preserve">; </t>
    </r>
    <r>
      <rPr>
        <b/>
        <sz val="11"/>
        <color theme="1"/>
        <rFont val="Calibri"/>
        <family val="2"/>
        <scheme val="minor"/>
      </rPr>
      <t>fermentar</t>
    </r>
    <r>
      <rPr>
        <sz val="11"/>
        <color theme="1"/>
        <rFont val="Calibri"/>
        <family val="2"/>
        <scheme val="minor"/>
      </rPr>
      <t xml:space="preserve"> (masa)</t>
    </r>
  </si>
  <si>
    <t>Évider</t>
  </si>
  <si>
    <t>hollow out; core</t>
  </si>
  <si>
    <t>vaciar; descorazonar</t>
  </si>
  <si>
    <t>Courgettes, pommes, pains.</t>
  </si>
  <si>
    <t>express; press out (juice)</t>
  </si>
  <si>
    <t>exprimir</t>
  </si>
  <si>
    <t>Exprimer un citron, le beurre noisette, etc.</t>
  </si>
  <si>
    <t>shape; form</t>
  </si>
  <si>
    <r>
      <t>formar</t>
    </r>
    <r>
      <rPr>
        <sz val="11"/>
        <color theme="1"/>
        <rFont val="Calibri"/>
        <family val="2"/>
        <scheme val="minor"/>
      </rPr>
      <t>; dar forma</t>
    </r>
  </si>
  <si>
    <t>Pains, pâtons, quenelles, pièces de viande.</t>
  </si>
  <si>
    <t>bring to a boil; boil</t>
  </si>
  <si>
    <r>
      <t>llevar a ebullición</t>
    </r>
    <r>
      <rPr>
        <sz val="11"/>
        <color theme="1"/>
        <rFont val="Calibri"/>
        <family val="2"/>
        <scheme val="minor"/>
      </rPr>
      <t>; hervir</t>
    </r>
  </si>
  <si>
    <t>Monter jusqu’à gros bouillons.</t>
  </si>
  <si>
    <t>stuff; fill</t>
  </si>
  <si>
    <t>rellenar</t>
  </si>
  <si>
    <t>Volaille, légumes, charcuterie.</t>
  </si>
  <si>
    <t>mask/coat (thin layer for presentation)</t>
  </si>
  <si>
    <r>
      <t>enmascarar</t>
    </r>
    <r>
      <rPr>
        <sz val="11"/>
        <color theme="1"/>
        <rFont val="Calibri"/>
        <family val="2"/>
        <scheme val="minor"/>
      </rPr>
      <t>; cubrir finamente</t>
    </r>
  </si>
  <si>
    <t>Charcuterie/pâtisserie : couche fine de gelée, farce, crème.</t>
  </si>
  <si>
    <t>flour; dredge in flour</t>
  </si>
  <si>
    <t>enharinar</t>
  </si>
  <si>
    <t>Légèrement fariner plan de travail, produit, moule.</t>
  </si>
  <si>
    <t>scallop/crimp the edge</t>
  </si>
  <si>
    <t>Décor sur bord de pâte/tourte.</t>
  </si>
  <si>
    <t>fillet (a fish)</t>
  </si>
  <si>
    <r>
      <t>filetear</t>
    </r>
    <r>
      <rPr>
        <sz val="11"/>
        <color theme="1"/>
        <rFont val="Calibri"/>
        <family val="2"/>
        <scheme val="minor"/>
      </rPr>
      <t>; sacar lomos</t>
    </r>
  </si>
  <si>
    <t>Lever des filets, retirer arêtes.</t>
  </si>
  <si>
    <t>filmage (étape)</t>
  </si>
  <si>
    <t>wrapping with film</t>
  </si>
  <si>
    <r>
      <t>enfilmado</t>
    </r>
    <r>
      <rPr>
        <sz val="11"/>
        <color theme="1"/>
        <rFont val="Calibri"/>
        <family val="2"/>
        <scheme val="minor"/>
      </rPr>
      <t xml:space="preserve"> (envoltura con film)</t>
    </r>
  </si>
  <si>
    <t>Étape conditionnement/stockage.</t>
  </si>
  <si>
    <t>wrap/cover with plastic wrap</t>
  </si>
  <si>
    <r>
      <t>envolver con film</t>
    </r>
    <r>
      <rPr>
        <sz val="11"/>
        <color theme="1"/>
        <rFont val="Calibri"/>
        <family val="2"/>
        <scheme val="minor"/>
      </rPr>
      <t>; filmar</t>
    </r>
  </si>
  <si>
    <t>Contact direct ou fermeture d’un bac.</t>
  </si>
  <si>
    <t>set/stabilize (gel/color)</t>
  </si>
  <si>
    <r>
      <t>fijar</t>
    </r>
    <r>
      <rPr>
        <sz val="11"/>
        <color theme="1"/>
        <rFont val="Calibri"/>
        <family val="2"/>
        <scheme val="minor"/>
      </rPr>
      <t xml:space="preserve">; </t>
    </r>
    <r>
      <rPr>
        <b/>
        <sz val="11"/>
        <color theme="1"/>
        <rFont val="Calibri"/>
        <family val="2"/>
        <scheme val="minor"/>
      </rPr>
      <t>cuajar</t>
    </r>
    <r>
      <rPr>
        <sz val="11"/>
        <color theme="1"/>
        <rFont val="Calibri"/>
        <family val="2"/>
        <scheme val="minor"/>
      </rPr>
      <t xml:space="preserve"> (gelatina)</t>
    </r>
  </si>
  <si>
    <t>Fixer couleur (chlorophylle) / prise à la gélatine.</t>
  </si>
  <si>
    <t>flambé</t>
  </si>
  <si>
    <t>flambear</t>
  </si>
  <si>
    <t>Enflammer avec alcool ; aussi « brûler » plumes volaille.</t>
  </si>
  <si>
    <t>Flanquer (de)</t>
  </si>
  <si>
    <t>flank (with garnish)</t>
  </si>
  <si>
    <r>
      <t>flanquear</t>
    </r>
    <r>
      <rPr>
        <sz val="11"/>
        <color theme="1"/>
        <rFont val="Calibri"/>
        <family val="2"/>
        <scheme val="minor"/>
      </rPr>
      <t xml:space="preserve"> (con guarnición)</t>
    </r>
  </si>
  <si>
    <t>Présentation : pièce flanquée de garnitures.</t>
  </si>
  <si>
    <t>dust with flour</t>
  </si>
  <si>
    <t>espolvorear con harina</t>
  </si>
  <si>
    <t>Légère farine sur plan/pâte pour éviter d’adhérer.</t>
  </si>
  <si>
    <r>
      <t xml:space="preserve">aerate; increase in volume; </t>
    </r>
    <r>
      <rPr>
        <b/>
        <sz val="11"/>
        <color theme="1"/>
        <rFont val="Calibri"/>
        <family val="2"/>
        <scheme val="minor"/>
      </rPr>
      <t>overrun</t>
    </r>
    <r>
      <rPr>
        <sz val="11"/>
        <color theme="1"/>
        <rFont val="Calibri"/>
        <family val="2"/>
        <scheme val="minor"/>
      </rPr>
      <t xml:space="preserve"> (ice cream)</t>
    </r>
  </si>
  <si>
    <r>
      <t>airear</t>
    </r>
    <r>
      <rPr>
        <sz val="11"/>
        <color theme="1"/>
        <rFont val="Calibri"/>
        <family val="2"/>
        <scheme val="minor"/>
      </rPr>
      <t xml:space="preserve">; </t>
    </r>
    <r>
      <rPr>
        <b/>
        <sz val="11"/>
        <color theme="1"/>
        <rFont val="Calibri"/>
        <family val="2"/>
        <scheme val="minor"/>
      </rPr>
      <t>mantecar</t>
    </r>
    <r>
      <rPr>
        <sz val="11"/>
        <color theme="1"/>
        <rFont val="Calibri"/>
        <family val="2"/>
        <scheme val="minor"/>
      </rPr>
      <t xml:space="preserve"> (helado)</t>
    </r>
  </si>
  <si>
    <t>Crèmes/chantilly/glaces : incorporer de l’air.</t>
  </si>
  <si>
    <t>Foncer (un moule)</t>
  </si>
  <si>
    <t>line (a tin/shell)</t>
  </si>
  <si>
    <r>
      <t>forrar</t>
    </r>
    <r>
      <rPr>
        <sz val="11"/>
        <color theme="1"/>
        <rFont val="Calibri"/>
        <family val="2"/>
        <scheme val="minor"/>
      </rPr>
      <t xml:space="preserve"> (un molde)</t>
    </r>
  </si>
  <si>
    <t>Tarte/tourte : abaisser dans le moule.</t>
  </si>
  <si>
    <t>melt</t>
  </si>
  <si>
    <t>fundir / derretir</t>
  </si>
  <si>
    <t>Beurre, chocolat, fromage.</t>
  </si>
  <si>
    <t>whisk; whip</t>
  </si>
  <si>
    <t>batir (con varillas)</t>
  </si>
  <si>
    <t>Monter crème, œufs, sauces émulsionnées.</t>
  </si>
  <si>
    <t>press/strain through a chinois</t>
  </si>
  <si>
    <t>pasar presionando por un chino</t>
  </si>
  <si>
    <t>Obtenir texture lisse/extraire jus.</t>
  </si>
  <si>
    <t>fill (chocolates/pastry)</t>
  </si>
  <si>
    <t>Bonbons, croissants, choux.</t>
  </si>
  <si>
    <r>
      <t xml:space="preserve">Fraiser </t>
    </r>
    <r>
      <rPr>
        <i/>
        <sz val="11"/>
        <color theme="1"/>
        <rFont val="Calibri"/>
        <family val="2"/>
        <scheme val="minor"/>
      </rPr>
      <t>(→ fraser)</t>
    </r>
  </si>
  <si>
    <t>smear to combine (dough)</t>
  </si>
  <si>
    <t>(véase “Fraser”)</t>
  </si>
  <si>
    <r>
      <t xml:space="preserve">Orthographe fréquente mais on vise </t>
    </r>
    <r>
      <rPr>
        <b/>
        <sz val="11"/>
        <color theme="1"/>
        <rFont val="Calibri"/>
        <family val="2"/>
        <scheme val="minor"/>
      </rPr>
      <t>fraser</t>
    </r>
    <r>
      <rPr>
        <sz val="11"/>
        <color theme="1"/>
        <rFont val="Calibri"/>
        <family val="2"/>
        <scheme val="minor"/>
      </rPr>
      <t>.</t>
    </r>
  </si>
  <si>
    <t>chill/ice down; frappe (drink)</t>
  </si>
  <si>
    <r>
      <t>enfriar rápidamente</t>
    </r>
    <r>
      <rPr>
        <sz val="11"/>
        <color theme="1"/>
        <rFont val="Calibri"/>
        <family val="2"/>
        <scheme val="minor"/>
      </rPr>
      <t xml:space="preserve"> (baño de hielo)</t>
    </r>
  </si>
  <si>
    <t>Refroidir une cuve, un sirop, un shaker.</t>
  </si>
  <si>
    <t>Fraser (pâtisserie)</t>
  </si>
  <si>
    <t>smear dough to homogeneize</t>
  </si>
  <si>
    <t>trabajar la masa con la palma para homogeneizar</t>
  </si>
  <si>
    <t>Sur marbre : pousser la pâte pour lier sans corser.</t>
  </si>
  <si>
    <t>simmer gently (below boil)</t>
  </si>
  <si>
    <r>
      <t>hervir suavemente</t>
    </r>
    <r>
      <rPr>
        <sz val="11"/>
        <color theme="1"/>
        <rFont val="Calibri"/>
        <family val="2"/>
        <scheme val="minor"/>
      </rPr>
      <t xml:space="preserve"> (sin borbotear)</t>
    </r>
  </si>
  <si>
    <t>Petits frémissements ~95–98 °C.</t>
  </si>
  <si>
    <t>fry; deep-fry</t>
  </si>
  <si>
    <t>freír</t>
  </si>
  <si>
    <t>À l’huile/gras, contrôler T° et croustillance.</t>
  </si>
  <si>
    <t>garnish; fill</t>
  </si>
  <si>
    <r>
      <t>guarnecer</t>
    </r>
    <r>
      <rPr>
        <sz val="11"/>
        <color theme="1"/>
        <rFont val="Calibri"/>
        <family val="2"/>
        <scheme val="minor"/>
      </rPr>
      <t xml:space="preserve">; </t>
    </r>
    <r>
      <rPr>
        <b/>
        <sz val="11"/>
        <color theme="1"/>
        <rFont val="Calibri"/>
        <family val="2"/>
        <scheme val="minor"/>
      </rPr>
      <t>rellenar</t>
    </r>
  </si>
  <si>
    <t>Garniture d’assiette ou farce/crème dans une pâte.</t>
  </si>
  <si>
    <t>stacking (pallets/crates)</t>
  </si>
  <si>
    <r>
      <t>apilado</t>
    </r>
    <r>
      <rPr>
        <sz val="11"/>
        <color theme="1"/>
        <rFont val="Calibri"/>
        <family val="2"/>
        <scheme val="minor"/>
      </rPr>
      <t xml:space="preserve"> (palets/cajas)</t>
    </r>
  </si>
  <si>
    <t>Logistique : empilement sur palettes/chariots.</t>
  </si>
  <si>
    <t>stack; palletize</t>
  </si>
  <si>
    <r>
      <t>apilar</t>
    </r>
    <r>
      <rPr>
        <sz val="11"/>
        <color theme="1"/>
        <rFont val="Calibri"/>
        <family val="2"/>
        <scheme val="minor"/>
      </rPr>
      <t>; paletizar</t>
    </r>
  </si>
  <si>
    <t>Action d’empiler bacs/plateaux/palettes.</t>
  </si>
  <si>
    <t>glaze; ice/frost</t>
  </si>
  <si>
    <r>
      <t>glasear</t>
    </r>
    <r>
      <rPr>
        <sz val="11"/>
        <color theme="1"/>
        <rFont val="Calibri"/>
        <family val="2"/>
        <scheme val="minor"/>
      </rPr>
      <t xml:space="preserve">; </t>
    </r>
    <r>
      <rPr>
        <b/>
        <sz val="11"/>
        <color theme="1"/>
        <rFont val="Calibri"/>
        <family val="2"/>
        <scheme val="minor"/>
      </rPr>
      <t>bañar/glasar</t>
    </r>
  </si>
  <si>
    <t>Pâtisserie (glaçage), légumes « glacés » au beurre/sucre, viandes nappées brillantes.</t>
  </si>
  <si>
    <t>brush with gum arabic; seal with gum</t>
  </si>
  <si>
    <t>barnizar con goma arábiga</t>
  </si>
  <si>
    <t>Pâtisserie/boulangerie : solution de gomme pour brillance/étanchéité.</t>
  </si>
  <si>
    <t>goûtage</t>
  </si>
  <si>
    <t>tasting; sampling</t>
  </si>
  <si>
    <r>
      <t>cata</t>
    </r>
    <r>
      <rPr>
        <sz val="11"/>
        <color theme="1"/>
        <rFont val="Calibri"/>
        <family val="2"/>
        <scheme val="minor"/>
      </rPr>
      <t>; degustación</t>
    </r>
  </si>
  <si>
    <t>Contrôle organoleptique/QA.</t>
  </si>
  <si>
    <t>crystallize / turn grainy; seize (chocolate)</t>
  </si>
  <si>
    <r>
      <t>cristalizar</t>
    </r>
    <r>
      <rPr>
        <sz val="11"/>
        <color theme="1"/>
        <rFont val="Calibri"/>
        <family val="2"/>
        <scheme val="minor"/>
      </rPr>
      <t xml:space="preserve">; </t>
    </r>
    <r>
      <rPr>
        <b/>
        <sz val="11"/>
        <color theme="1"/>
        <rFont val="Calibri"/>
        <family val="2"/>
        <scheme val="minor"/>
      </rPr>
      <t>cortarse/granear</t>
    </r>
  </si>
  <si>
    <t>Sucre qui « graine », ganache/émulsion qui tranche.</t>
  </si>
  <si>
    <t>grease; oil</t>
  </si>
  <si>
    <r>
      <t>engrasar</t>
    </r>
    <r>
      <rPr>
        <sz val="11"/>
        <color theme="1"/>
        <rFont val="Calibri"/>
        <family val="2"/>
        <scheme val="minor"/>
      </rPr>
      <t>; aceitar</t>
    </r>
  </si>
  <si>
    <t>Plaques, moules, charnières de machines.</t>
  </si>
  <si>
    <t>gratinate; brown under the grill</t>
  </si>
  <si>
    <r>
      <t>gratin ar</t>
    </r>
    <r>
      <rPr>
        <sz val="11"/>
        <color theme="1"/>
        <rFont val="Calibri"/>
        <family val="2"/>
        <scheme val="minor"/>
      </rPr>
      <t>/</t>
    </r>
    <r>
      <rPr>
        <b/>
        <sz val="11"/>
        <color theme="1"/>
        <rFont val="Calibri"/>
        <family val="2"/>
        <scheme val="minor"/>
      </rPr>
      <t>gratinar</t>
    </r>
  </si>
  <si>
    <t>Croûte dorée (fromage/chapelure) au four/salamandre.</t>
  </si>
  <si>
    <t>grill; toast; sear</t>
  </si>
  <si>
    <r>
      <t>asar a la parrilla</t>
    </r>
    <r>
      <rPr>
        <sz val="11"/>
        <color theme="1"/>
        <rFont val="Calibri"/>
        <family val="2"/>
        <scheme val="minor"/>
      </rPr>
      <t>; tostar</t>
    </r>
  </si>
  <si>
    <t>Viandes/poissons au gril ; pain/noix « toaster ».</t>
  </si>
  <si>
    <t>dress/clean (fish, game, poultry)</t>
  </si>
  <si>
    <r>
      <t>limpiar y preparar</t>
    </r>
    <r>
      <rPr>
        <sz val="11"/>
        <color theme="1"/>
        <rFont val="Calibri"/>
        <family val="2"/>
        <scheme val="minor"/>
      </rPr>
      <t>; eviscerar (pescado/ave)</t>
    </r>
  </si>
  <si>
    <t>Préparer avant cuisson : écailler/vider (poisson), déplumer/vider (volaille), parer (gibier).</t>
  </si>
  <si>
    <t>chop; mince/grind</t>
  </si>
  <si>
    <r>
      <t>picar</t>
    </r>
    <r>
      <rPr>
        <sz val="11"/>
        <color theme="1"/>
        <rFont val="Calibri"/>
        <family val="2"/>
        <scheme val="minor"/>
      </rPr>
      <t xml:space="preserve">; </t>
    </r>
    <r>
      <rPr>
        <b/>
        <sz val="11"/>
        <color theme="1"/>
        <rFont val="Calibri"/>
        <family val="2"/>
        <scheme val="minor"/>
      </rPr>
      <t>moler/triturar</t>
    </r>
    <r>
      <rPr>
        <sz val="11"/>
        <color theme="1"/>
        <rFont val="Calibri"/>
        <family val="2"/>
        <scheme val="minor"/>
      </rPr>
      <t xml:space="preserve"> (carne)</t>
    </r>
  </si>
  <si>
    <t>Couteau : « chop/picar » ; hachoir/moulin : « mince/grind/moler ».</t>
  </si>
  <si>
    <t>ornament; embellish (with motifs)</t>
  </si>
  <si>
    <r>
      <t>ornamentar</t>
    </r>
    <r>
      <rPr>
        <sz val="11"/>
        <color theme="1"/>
        <rFont val="Calibri"/>
        <family val="2"/>
        <scheme val="minor"/>
      </rPr>
      <t xml:space="preserve">; </t>
    </r>
    <r>
      <rPr>
        <b/>
        <sz val="11"/>
        <color theme="1"/>
        <rFont val="Calibri"/>
        <family val="2"/>
        <scheme val="minor"/>
      </rPr>
      <t>decorar con motivos</t>
    </r>
  </si>
  <si>
    <t>Terme rare/littéraire : décors figuratifs en pâtisserie/présentation.</t>
  </si>
  <si>
    <t>oil; grease with oil</t>
  </si>
  <si>
    <r>
      <t>aceitar</t>
    </r>
    <r>
      <rPr>
        <sz val="11"/>
        <color theme="1"/>
        <rFont val="Calibri"/>
        <family val="2"/>
        <scheme val="minor"/>
      </rPr>
      <t>; engrasar con aceite</t>
    </r>
  </si>
  <si>
    <t>Huiler plaque, moule, plancha ou assaisonner en filet/pinceau.</t>
  </si>
  <si>
    <r>
      <t xml:space="preserve">soak; </t>
    </r>
    <r>
      <rPr>
        <b/>
        <sz val="11"/>
        <color theme="1"/>
        <rFont val="Calibri"/>
        <family val="2"/>
        <scheme val="minor"/>
      </rPr>
      <t>soak with syrup</t>
    </r>
  </si>
  <si>
    <r>
      <t>calar / emborrachar</t>
    </r>
    <r>
      <rPr>
        <sz val="11"/>
        <color theme="1"/>
        <rFont val="Calibri"/>
        <family val="2"/>
        <scheme val="minor"/>
      </rPr>
      <t xml:space="preserve"> (bizcocho); impregnar</t>
    </r>
  </si>
  <si>
    <t>score; make shallow cuts</t>
  </si>
  <si>
    <r>
      <t>hacer incisiones</t>
    </r>
    <r>
      <rPr>
        <sz val="11"/>
        <color theme="1"/>
        <rFont val="Calibri"/>
        <family val="2"/>
        <scheme val="minor"/>
      </rPr>
      <t xml:space="preserve">; </t>
    </r>
    <r>
      <rPr>
        <i/>
        <sz val="11"/>
        <color theme="1"/>
        <rFont val="Calibri"/>
        <family val="2"/>
        <scheme val="minor"/>
      </rPr>
      <t>(panificación)</t>
    </r>
    <r>
      <rPr>
        <sz val="11"/>
        <color theme="1"/>
        <rFont val="Calibri"/>
        <family val="2"/>
        <scheme val="minor"/>
      </rPr>
      <t xml:space="preserve"> </t>
    </r>
    <r>
      <rPr>
        <b/>
        <sz val="11"/>
        <color theme="1"/>
        <rFont val="Calibri"/>
        <family val="2"/>
        <scheme val="minor"/>
      </rPr>
      <t>greñar</t>
    </r>
  </si>
  <si>
    <r>
      <t>packaging instructions</t>
    </r>
    <r>
      <rPr>
        <sz val="11"/>
        <color theme="1"/>
        <rFont val="Calibri"/>
        <family val="2"/>
        <scheme val="minor"/>
      </rPr>
      <t>; pack/labelling notes</t>
    </r>
  </si>
  <si>
    <r>
      <t>instrucciones de envasado</t>
    </r>
    <r>
      <rPr>
        <sz val="11"/>
        <color theme="1"/>
        <rFont val="Calibri"/>
        <family val="2"/>
        <scheme val="minor"/>
      </rPr>
      <t>; indicaciones de etiquetado</t>
    </r>
  </si>
  <si>
    <t>Fiches prod : grammage, barquette, film, DLC, lot, étiquettes, ATM, etc.</t>
  </si>
  <si>
    <t>infuse; steep</t>
  </si>
  <si>
    <r>
      <t>infusionar</t>
    </r>
    <r>
      <rPr>
        <sz val="11"/>
        <color theme="1"/>
        <rFont val="Calibri"/>
        <family val="2"/>
        <scheme val="minor"/>
      </rPr>
      <t>; macerar</t>
    </r>
  </si>
  <si>
    <t>Liquides/arômes (thé, vanille, herbes) ; à chaud ou à froid.</t>
  </si>
  <si>
    <t>intermediate/buffer storage</t>
  </si>
  <si>
    <t>almacenamiento intermedio / buffer</t>
  </si>
  <si>
    <t>Zone/période tampon entre deux étapes (refroidissement, attente de conditionnement).</t>
  </si>
  <si>
    <r>
      <t xml:space="preserve">throw away; discard; </t>
    </r>
    <r>
      <rPr>
        <b/>
        <sz val="11"/>
        <color theme="1"/>
        <rFont val="Calibri"/>
        <family val="2"/>
        <scheme val="minor"/>
      </rPr>
      <t>add/drop into</t>
    </r>
    <r>
      <rPr>
        <sz val="11"/>
        <color theme="1"/>
        <rFont val="Calibri"/>
        <family val="2"/>
        <scheme val="minor"/>
      </rPr>
      <t xml:space="preserve"> (boiling water/oil)</t>
    </r>
  </si>
  <si>
    <r>
      <t>tirar</t>
    </r>
    <r>
      <rPr>
        <sz val="11"/>
        <color theme="1"/>
        <rFont val="Calibri"/>
        <family val="2"/>
        <scheme val="minor"/>
      </rPr>
      <t xml:space="preserve">; desechar; </t>
    </r>
    <r>
      <rPr>
        <b/>
        <sz val="11"/>
        <color theme="1"/>
        <rFont val="Calibri"/>
        <family val="2"/>
        <scheme val="minor"/>
      </rPr>
      <t>echar</t>
    </r>
    <r>
      <rPr>
        <sz val="11"/>
        <color theme="1"/>
        <rFont val="Calibri"/>
        <family val="2"/>
        <scheme val="minor"/>
      </rPr>
      <t xml:space="preserve"> (a agua/aceite hirviendo)</t>
    </r>
  </si>
  <si>
    <t>lard (insert strips of fat/bacon)</t>
  </si>
  <si>
    <r>
      <t>mechar</t>
    </r>
    <r>
      <rPr>
        <sz val="11"/>
        <color theme="1"/>
        <rFont val="Calibri"/>
        <family val="2"/>
        <scheme val="minor"/>
      </rPr>
      <t xml:space="preserve"> (con tocino)</t>
    </r>
  </si>
  <si>
    <t>Piquer de lardons pour protéger/arroser la pièce à la cuisson.</t>
  </si>
  <si>
    <t>washing (step)</t>
  </si>
  <si>
    <t>lavado</t>
  </si>
  <si>
    <t>Étape d’hygiène produit/ustensiles/bacs.</t>
  </si>
  <si>
    <t>wash; rinse</t>
  </si>
  <si>
    <r>
      <t>lavar</t>
    </r>
    <r>
      <rPr>
        <sz val="11"/>
        <color theme="1"/>
        <rFont val="Calibri"/>
        <family val="2"/>
        <scheme val="minor"/>
      </rPr>
      <t>; enjuagar</t>
    </r>
  </si>
  <si>
    <t>Sous eau potable, en respectant les flux propres/sales.</t>
  </si>
  <si>
    <r>
      <t xml:space="preserve">1) </t>
    </r>
    <r>
      <rPr>
        <b/>
        <sz val="11"/>
        <color theme="1"/>
        <rFont val="Calibri"/>
        <family val="2"/>
        <scheme val="minor"/>
      </rPr>
      <t>fillet</t>
    </r>
    <r>
      <rPr>
        <sz val="11"/>
        <color theme="1"/>
        <rFont val="Calibri"/>
        <family val="2"/>
        <scheme val="minor"/>
      </rPr>
      <t xml:space="preserve"> (a fish) 2) </t>
    </r>
    <r>
      <rPr>
        <b/>
        <sz val="11"/>
        <color theme="1"/>
        <rFont val="Calibri"/>
        <family val="2"/>
        <scheme val="minor"/>
      </rPr>
      <t>let dough rise / proof</t>
    </r>
  </si>
  <si>
    <r>
      <t xml:space="preserve">1) </t>
    </r>
    <r>
      <rPr>
        <b/>
        <sz val="11"/>
        <color theme="1"/>
        <rFont val="Calibri"/>
        <family val="2"/>
        <scheme val="minor"/>
      </rPr>
      <t>filetear/sacar lomos</t>
    </r>
    <r>
      <rPr>
        <sz val="11"/>
        <color theme="1"/>
        <rFont val="Calibri"/>
        <family val="2"/>
        <scheme val="minor"/>
      </rPr>
      <t xml:space="preserve"> 2) </t>
    </r>
    <r>
      <rPr>
        <b/>
        <sz val="11"/>
        <color theme="1"/>
        <rFont val="Calibri"/>
        <family val="2"/>
        <scheme val="minor"/>
      </rPr>
      <t>dejar levar/fermentar</t>
    </r>
  </si>
  <si>
    <t>« Lever des filets » (poisson) ; « laisser lever » une pâte (BVP).</t>
  </si>
  <si>
    <t>Liaison (jaune+crème), roux, fécule, beurre manié, gélatine.</t>
  </si>
  <si>
    <t>clean off slime/blood (under running water)</t>
  </si>
  <si>
    <r>
      <t>limpiar</t>
    </r>
    <r>
      <rPr>
        <sz val="11"/>
        <color theme="1"/>
        <rFont val="Calibri"/>
        <family val="2"/>
        <scheme val="minor"/>
      </rPr>
      <t xml:space="preserve"> (quitar mucosidad/sangre bajo el grifo)</t>
    </r>
  </si>
  <si>
    <t>smooth; smooth out</t>
  </si>
  <si>
    <t>alisar</t>
  </si>
  <si>
    <t>Crèmes/ganaches/purées : rendre la surface/texture régulière.</t>
  </si>
  <si>
    <t>glaze to make shiny</t>
  </si>
  <si>
    <r>
      <t>abrillantar</t>
    </r>
    <r>
      <rPr>
        <sz val="11"/>
        <color theme="1"/>
        <rFont val="Calibri"/>
        <family val="2"/>
        <scheme val="minor"/>
      </rPr>
      <t>; napar para dar brillo</t>
    </r>
  </si>
  <si>
    <r>
      <t xml:space="preserve">seal a pot with a strip of dough; </t>
    </r>
    <r>
      <rPr>
        <b/>
        <sz val="11"/>
        <color theme="1"/>
        <rFont val="Calibri"/>
        <family val="2"/>
        <scheme val="minor"/>
      </rPr>
      <t>to lute</t>
    </r>
  </si>
  <si>
    <t>sellar con una pasta (harina+agua)</t>
  </si>
  <si>
    <t>lyophilize; freeze-dry</t>
  </si>
  <si>
    <t>liofilizar</t>
  </si>
  <si>
    <t>Déshydratation sous vide par le froid (poudres, fruits, herbes).</t>
  </si>
  <si>
    <t>macerate; soak</t>
  </si>
  <si>
    <r>
      <t>macerar</t>
    </r>
    <r>
      <rPr>
        <sz val="11"/>
        <color theme="1"/>
        <rFont val="Calibri"/>
        <family val="2"/>
        <scheme val="minor"/>
      </rPr>
      <t>; poner en remojo</t>
    </r>
  </si>
  <si>
    <t>À froid, alcool/sucre/sirop pour parfumer/attendrir.</t>
  </si>
  <si>
    <t>hold hot above 63 °C</t>
  </si>
  <si>
    <t>mantener caliente por encima de 63 °C</t>
  </si>
  <si>
    <t>french (bones)</t>
  </si>
  <si>
    <r>
      <t>frenchar</t>
    </r>
    <r>
      <rPr>
        <sz val="11"/>
        <color theme="1"/>
        <rFont val="Calibri"/>
        <family val="2"/>
        <scheme val="minor"/>
      </rPr>
      <t xml:space="preserve"> / </t>
    </r>
    <r>
      <rPr>
        <b/>
        <sz val="11"/>
        <color theme="1"/>
        <rFont val="Calibri"/>
        <family val="2"/>
        <scheme val="minor"/>
      </rPr>
      <t>deshuesar a la francesa</t>
    </r>
  </si>
  <si>
    <t>Dégager l’os (carré d’agneau, volaille).</t>
  </si>
  <si>
    <t>rub in; work by hand</t>
  </si>
  <si>
    <r>
      <t>arenar/frotar</t>
    </r>
    <r>
      <rPr>
        <sz val="11"/>
        <color theme="1"/>
        <rFont val="Calibri"/>
        <family val="2"/>
        <scheme val="minor"/>
      </rPr>
      <t>; trabajar con las manos</t>
    </r>
  </si>
  <si>
    <t>« Beurre manié » : farine+beurre frottés.</t>
  </si>
  <si>
    <t>handle</t>
  </si>
  <si>
    <t>manipular</t>
  </si>
  <si>
    <t>Gestes/flux propres → gants, pinces, hygiène.</t>
  </si>
  <si>
    <t>marble (a batter/coating)</t>
  </si>
  <si>
    <t>marmolear</t>
  </si>
  <si>
    <t>Effet marbré dans cake, glaçage, chocolat.</t>
  </si>
  <si>
    <t>marinate</t>
  </si>
  <si>
    <r>
      <t>marinar</t>
    </r>
    <r>
      <rPr>
        <sz val="11"/>
        <color theme="1"/>
        <rFont val="Calibri"/>
        <family val="2"/>
        <scheme val="minor"/>
      </rPr>
      <t xml:space="preserve"> / adobar</t>
    </r>
  </si>
  <si>
    <t>Liquide aromatique (acidulé/salé/gras) selon produit.</t>
  </si>
  <si>
    <t>marking; stamping; grill marks</t>
  </si>
  <si>
    <r>
      <t>marcado</t>
    </r>
    <r>
      <rPr>
        <sz val="11"/>
        <color theme="1"/>
        <rFont val="Calibri"/>
        <family val="2"/>
        <scheme val="minor"/>
      </rPr>
      <t>; sellado/etiquetado (según contexto)</t>
    </r>
  </si>
  <si>
    <t>Soit étiquetage/traçabilité, soit stries de gril.</t>
  </si>
  <si>
    <t>start/sear; mark (on grill)</t>
  </si>
  <si>
    <r>
      <t>marcar</t>
    </r>
    <r>
      <rPr>
        <sz val="11"/>
        <color theme="1"/>
        <rFont val="Calibri"/>
        <family val="2"/>
        <scheme val="minor"/>
      </rPr>
      <t>; sellar</t>
    </r>
  </si>
  <si>
    <t>« Marquer en cuisson » (saisir/démarrer), strier au gril.</t>
  </si>
  <si>
    <t>mask/coat (surface)</t>
  </si>
  <si>
    <r>
      <t>enmascarar</t>
    </r>
    <r>
      <rPr>
        <sz val="11"/>
        <color theme="1"/>
        <rFont val="Calibri"/>
        <family val="2"/>
        <scheme val="minor"/>
      </rPr>
      <t>; cubrir</t>
    </r>
  </si>
  <si>
    <t>Recouvrir d’une couche (crème, gelée, sauce).</t>
  </si>
  <si>
    <t>seize (sugar); knead/massage</t>
  </si>
  <si>
    <r>
      <t>azucararse</t>
    </r>
    <r>
      <rPr>
        <sz val="11"/>
        <color theme="1"/>
        <rFont val="Calibri"/>
        <family val="2"/>
        <scheme val="minor"/>
      </rPr>
      <t xml:space="preserve"> (jarabe); </t>
    </r>
    <r>
      <rPr>
        <b/>
        <sz val="11"/>
        <color theme="1"/>
        <rFont val="Calibri"/>
        <family val="2"/>
        <scheme val="minor"/>
      </rPr>
      <t>amasar</t>
    </r>
  </si>
  <si>
    <t>Sucre qui « masse » ↔ re-cristallise ; aussi frictions.</t>
  </si>
  <si>
    <t>mélange</t>
  </si>
  <si>
    <t>mixture; mix</t>
  </si>
  <si>
    <t>mezcla</t>
  </si>
  <si>
    <t>Nom générique d’appareil/compound.</t>
  </si>
  <si>
    <t>top with meringue; whip to meringue</t>
  </si>
  <si>
    <t>merengar</t>
  </si>
  <si>
    <t>Napper d’une meringue / monter blancs+sucres.</t>
  </si>
  <si>
    <t>Mettre au point (chocolat)</t>
  </si>
  <si>
    <t>temper (chocolate)</t>
  </si>
  <si>
    <r>
      <t>atemperar</t>
    </r>
    <r>
      <rPr>
        <sz val="11"/>
        <color theme="1"/>
        <rFont val="Calibri"/>
        <family val="2"/>
        <scheme val="minor"/>
      </rPr>
      <t xml:space="preserve"> (chocolate)</t>
    </r>
  </si>
  <si>
    <t>Courbe T° (fonte → descente → remonte).</t>
  </si>
  <si>
    <t>Mettre en bac</t>
  </si>
  <si>
    <t>tray up / pan up</t>
  </si>
  <si>
    <t>poner en cubeta/bandeja</t>
  </si>
  <si>
    <t>Transvaser en bac gastro pour repos/stock.</t>
  </si>
  <si>
    <t>Mettre en chariot</t>
  </si>
  <si>
    <t>load onto trolley</t>
  </si>
  <si>
    <t>poner en carro</t>
  </si>
  <si>
    <t>Charger plaques/bacs sur chariot.</t>
  </si>
  <si>
    <t>start cooking; put in to cook</t>
  </si>
  <si>
    <r>
      <t>poner a cocer</t>
    </r>
    <r>
      <rPr>
        <sz val="11"/>
        <color theme="1"/>
        <rFont val="Calibri"/>
        <family val="2"/>
        <scheme val="minor"/>
      </rPr>
      <t xml:space="preserve"> / iniciar cocción</t>
    </r>
  </si>
  <si>
    <t>Lancer la cuisson (four, sauteuse, vapeur…).</t>
  </si>
  <si>
    <t>simmer slowly</t>
  </si>
  <si>
    <t>cocinar a fuego lento</t>
  </si>
  <si>
    <t>Sous ébullition douce, couvert, longuement.</t>
  </si>
  <si>
    <t>place in tray/rack for baking</t>
  </si>
  <si>
    <t>poner en bandeja/rejilla para cocción</t>
  </si>
  <si>
    <t>Prépa avant enfournement.</t>
  </si>
  <si>
    <t>tray up for packing</t>
  </si>
  <si>
    <t>poner en cubeta para envasado</t>
  </si>
  <si>
    <t>Avant filmage/operculage.</t>
  </si>
  <si>
    <t>trolley loading</t>
  </si>
  <si>
    <t>carga en carro</t>
  </si>
  <si>
    <t>Étape logistique interne.</t>
  </si>
  <si>
    <t>blend; process</t>
  </si>
  <si>
    <r>
      <t>triturar</t>
    </r>
    <r>
      <rPr>
        <sz val="11"/>
        <color theme="1"/>
        <rFont val="Calibri"/>
        <family val="2"/>
        <scheme val="minor"/>
      </rPr>
      <t>; licuar</t>
    </r>
  </si>
  <si>
    <t>Robot/blender pour lisser une préparation.</t>
  </si>
  <si>
    <t>model; shape</t>
  </si>
  <si>
    <r>
      <t>modelar</t>
    </r>
    <r>
      <rPr>
        <sz val="11"/>
        <color theme="1"/>
        <rFont val="Calibri"/>
        <family val="2"/>
        <scheme val="minor"/>
      </rPr>
      <t>; dar forma</t>
    </r>
  </si>
  <si>
    <t>Pâtes, farces, chocolat, confiserie.</t>
  </si>
  <si>
    <t>torte (split cake into layers)</t>
  </si>
  <si>
    <t>tornear/cortar en capas</t>
  </si>
  <si>
    <t>Couper un biscuit en disques horizontaux réguliers.</t>
  </si>
  <si>
    <t>blanch &amp; peel; skin</t>
  </si>
  <si>
    <t>Tomates/amandes (syn. « émonder »).</t>
  </si>
  <si>
    <t>whip up; mount (with butter); assemble</t>
  </si>
  <si>
    <r>
      <t>montar</t>
    </r>
    <r>
      <rPr>
        <sz val="11"/>
        <color theme="1"/>
        <rFont val="Calibri"/>
        <family val="2"/>
        <scheme val="minor"/>
      </rPr>
      <t xml:space="preserve">; emulsionar con mantequilla; </t>
    </r>
    <r>
      <rPr>
        <b/>
        <sz val="11"/>
        <color theme="1"/>
        <rFont val="Calibri"/>
        <family val="2"/>
        <scheme val="minor"/>
      </rPr>
      <t>montar (emplatar)</t>
    </r>
  </si>
  <si>
    <t>Crème/œufs (volume), monter au beurre une sauce, « monter » un entremets.</t>
  </si>
  <si>
    <t>hang/age (game/meat)</t>
  </si>
  <si>
    <r>
      <t>madurar/orear</t>
    </r>
    <r>
      <rPr>
        <sz val="11"/>
        <color theme="1"/>
        <rFont val="Calibri"/>
        <family val="2"/>
        <scheme val="minor"/>
      </rPr>
      <t xml:space="preserve"> (carne/caza)</t>
    </r>
  </si>
  <si>
    <t>Faire rassir pour attendrir et développer les arômes.</t>
  </si>
  <si>
    <t>add liquid to (cover/deglaze)</t>
  </si>
  <si>
    <r>
      <t>mojar</t>
    </r>
    <r>
      <rPr>
        <sz val="11"/>
        <color theme="1"/>
        <rFont val="Calibri"/>
        <family val="2"/>
        <scheme val="minor"/>
      </rPr>
      <t>; añadir líquido</t>
    </r>
  </si>
  <si>
    <t>Ajouter fond/eau/vin jusqu’au niveau voulu.</t>
  </si>
  <si>
    <t>mould; cast</t>
  </si>
  <si>
    <r>
      <t>moldar</t>
    </r>
    <r>
      <rPr>
        <sz val="11"/>
        <color theme="1"/>
        <rFont val="Calibri"/>
        <family val="2"/>
        <scheme val="minor"/>
      </rPr>
      <t xml:space="preserve">; </t>
    </r>
    <r>
      <rPr>
        <b/>
        <sz val="11"/>
        <color theme="1"/>
        <rFont val="Calibri"/>
        <family val="2"/>
        <scheme val="minor"/>
      </rPr>
      <t>desmoldar</t>
    </r>
    <r>
      <rPr>
        <sz val="11"/>
        <color theme="1"/>
        <rFont val="Calibri"/>
        <family val="2"/>
        <scheme val="minor"/>
      </rPr>
      <t xml:space="preserve"> (→ sortir)</t>
    </r>
  </si>
  <si>
    <t>Verser dans un moule / donner la forme.</t>
  </si>
  <si>
    <t>foam; make foamy</t>
  </si>
  <si>
    <r>
      <t>espumar</t>
    </r>
    <r>
      <rPr>
        <sz val="11"/>
        <color theme="1"/>
        <rFont val="Calibri"/>
        <family val="2"/>
        <scheme val="minor"/>
      </rPr>
      <t>; hacer espuma</t>
    </r>
  </si>
  <si>
    <t>Obtenir mousse (mixeur, siphon, fouet).</t>
  </si>
  <si>
    <t>Nacrer (riz/échalotes)</t>
  </si>
  <si>
    <t>pearl (until translucent); sweat until pearly</t>
  </si>
  <si>
    <r>
      <t>nacarar</t>
    </r>
    <r>
      <rPr>
        <sz val="11"/>
        <color theme="1"/>
        <rFont val="Calibri"/>
        <family val="2"/>
        <scheme val="minor"/>
      </rPr>
      <t>; rehogar hasta que quede nacarado</t>
    </r>
  </si>
  <si>
    <t>Étape risotto/pilaf : grains enrobés de matière grasse, translucides sans colorer.</t>
  </si>
  <si>
    <t>coat/nap; to spoon sauce over</t>
  </si>
  <si>
    <r>
      <t>napar</t>
    </r>
    <r>
      <rPr>
        <sz val="11"/>
        <color theme="1"/>
        <rFont val="Calibri"/>
        <family val="2"/>
        <scheme val="minor"/>
      </rPr>
      <t>; cubrir con salsa</t>
    </r>
  </si>
  <si>
    <t>Obtenir une couche régulière (consistance « nappe » sur la spatule/cuillère).</t>
  </si>
  <si>
    <t>ouverture boîte</t>
  </si>
  <si>
    <r>
      <t>can opening</t>
    </r>
    <r>
      <rPr>
        <sz val="11"/>
        <color theme="1"/>
        <rFont val="Calibri"/>
        <family val="2"/>
        <scheme val="minor"/>
      </rPr>
      <t xml:space="preserve"> / open the can; </t>
    </r>
    <r>
      <rPr>
        <b/>
        <sz val="11"/>
        <color theme="1"/>
        <rFont val="Calibri"/>
        <family val="2"/>
        <scheme val="minor"/>
      </rPr>
      <t>case/box opening</t>
    </r>
  </si>
  <si>
    <r>
      <t>apertura de lata / abrir la lata</t>
    </r>
    <r>
      <rPr>
        <sz val="11"/>
        <color theme="1"/>
        <rFont val="Calibri"/>
        <family val="2"/>
        <scheme val="minor"/>
      </rPr>
      <t xml:space="preserve">; </t>
    </r>
    <r>
      <rPr>
        <b/>
        <sz val="11"/>
        <color theme="1"/>
        <rFont val="Calibri"/>
        <family val="2"/>
        <scheme val="minor"/>
      </rPr>
      <t>apertura de caja / abrir la caja</t>
    </r>
  </si>
  <si>
    <t>mix/assort (varieties/colors)</t>
  </si>
  <si>
    <t>mezclar/combinar surtidos</t>
  </si>
  <si>
    <t>Ex. assortiments de viennoiseries, salades mêlées.</t>
  </si>
  <si>
    <t>bread; bread-crumb coat</t>
  </si>
  <si>
    <r>
      <t>empanar</t>
    </r>
    <r>
      <rPr>
        <sz val="11"/>
        <color theme="1"/>
        <rFont val="Calibri"/>
        <family val="2"/>
        <scheme val="minor"/>
      </rPr>
      <t>; rebozar</t>
    </r>
  </si>
  <si>
    <t>Fariner → œuf → chapelure (ou panure anglaise).</t>
  </si>
  <si>
    <r>
      <t xml:space="preserve">wrap/cook </t>
    </r>
    <r>
      <rPr>
        <i/>
        <sz val="11"/>
        <color theme="1"/>
        <rFont val="Calibri"/>
        <family val="2"/>
        <scheme val="minor"/>
      </rPr>
      <t>en papillote</t>
    </r>
  </si>
  <si>
    <t>cocinar en papillote</t>
  </si>
  <si>
    <t>Papier/film cuisson fermé (poisson, légumes).</t>
  </si>
  <si>
    <t>trimming (step)</t>
  </si>
  <si>
    <t>recorte/parado</t>
  </si>
  <si>
    <t>Étape de parage viandes/poissons/légumes.</t>
  </si>
  <si>
    <t>trim/pare</t>
  </si>
  <si>
    <t>parar/recortar</t>
  </si>
  <si>
    <t>Ôter parties grasses/nerveuses/abîmées.</t>
  </si>
  <si>
    <t>flavor; scent</t>
  </si>
  <si>
    <r>
      <t>aromatizar</t>
    </r>
    <r>
      <rPr>
        <sz val="11"/>
        <color theme="1"/>
        <rFont val="Calibri"/>
        <family val="2"/>
        <scheme val="minor"/>
      </rPr>
      <t>; perfumar</t>
    </r>
  </si>
  <si>
    <t>Ajout d’arômes (zestes, alcool, vanille…).</t>
  </si>
  <si>
    <t>sprinkle; scatter</t>
  </si>
  <si>
    <r>
      <t>espolvorear</t>
    </r>
    <r>
      <rPr>
        <sz val="11"/>
        <color theme="1"/>
        <rFont val="Calibri"/>
        <family val="2"/>
        <scheme val="minor"/>
      </rPr>
      <t>; esparcir</t>
    </r>
  </si>
  <si>
    <t>Fines herbes, fromage, sucre glace, etc.</t>
  </si>
  <si>
    <t>blast-chill/freezing pass</t>
  </si>
  <si>
    <t>paso por abatidor</t>
  </si>
  <si>
    <t>Cellule de refroidissement/surgélation.</t>
  </si>
  <si>
    <t>quick blast pass</t>
  </si>
  <si>
    <t>paso rápido por abatidor</t>
  </si>
  <si>
    <t>Abaissement T° en courte durée.</t>
  </si>
  <si>
    <t>strain/sieve; pass through</t>
  </si>
  <si>
    <t>colar/pasar por tamiz</t>
  </si>
  <si>
    <t>Aussi « passer dans la farine/panure ».</t>
  </si>
  <si>
    <t>pasteurize</t>
  </si>
  <si>
    <t>pasteurizar</t>
  </si>
  <si>
    <t>Traitement thermique de sécurité.</t>
  </si>
  <si>
    <t>peel</t>
  </si>
  <si>
    <r>
      <t>pelar</t>
    </r>
    <r>
      <rPr>
        <sz val="11"/>
        <color theme="1"/>
        <rFont val="Calibri"/>
        <family val="2"/>
        <scheme val="minor"/>
      </rPr>
      <t>; mondar</t>
    </r>
  </si>
  <si>
    <t>Couteau/économe ou après échaudage.</t>
  </si>
  <si>
    <t>sprinkle with parsley; (meat) be marbled</t>
  </si>
  <si>
    <r>
      <t>espolvorear con perejil</t>
    </r>
    <r>
      <rPr>
        <sz val="11"/>
        <color theme="1"/>
        <rFont val="Calibri"/>
        <family val="2"/>
        <scheme val="minor"/>
      </rPr>
      <t xml:space="preserve">; </t>
    </r>
    <r>
      <rPr>
        <b/>
        <sz val="11"/>
        <color theme="1"/>
        <rFont val="Calibri"/>
        <family val="2"/>
        <scheme val="minor"/>
      </rPr>
      <t>veteado</t>
    </r>
    <r>
      <rPr>
        <sz val="11"/>
        <color theme="1"/>
        <rFont val="Calibri"/>
        <family val="2"/>
        <scheme val="minor"/>
      </rPr>
      <t xml:space="preserve"> (carne)</t>
    </r>
  </si>
  <si>
    <t>Deux sens selon contexte.</t>
  </si>
  <si>
    <t>weighing (step)</t>
  </si>
  <si>
    <t>pesada</t>
  </si>
  <si>
    <t>Étape de pesée d’ingrédients/portions.</t>
  </si>
  <si>
    <t>knead</t>
  </si>
  <si>
    <t>amasar</t>
  </si>
  <si>
    <t>Pâtes panifiées/pâtissières.</t>
  </si>
  <si>
    <t>crush; pound</t>
  </si>
  <si>
    <r>
      <t>majar</t>
    </r>
    <r>
      <rPr>
        <sz val="11"/>
        <color theme="1"/>
        <rFont val="Calibri"/>
        <family val="2"/>
        <scheme val="minor"/>
      </rPr>
      <t>; triturar</t>
    </r>
  </si>
  <si>
    <t>Mortier/pilon, glace pilée.</t>
  </si>
  <si>
    <t>pinch (edge); brown sucs</t>
  </si>
  <si>
    <r>
      <t>pellizcar el borde</t>
    </r>
    <r>
      <rPr>
        <sz val="11"/>
        <color theme="1"/>
        <rFont val="Calibri"/>
        <family val="2"/>
        <scheme val="minor"/>
      </rPr>
      <t xml:space="preserve">; </t>
    </r>
    <r>
      <rPr>
        <b/>
        <sz val="11"/>
        <color theme="1"/>
        <rFont val="Calibri"/>
        <family val="2"/>
        <scheme val="minor"/>
      </rPr>
      <t>pincelar/fijar fondos</t>
    </r>
  </si>
  <si>
    <t>1) Festonner bord d’une pâte. 2) « Pincer les sucs » = saisir pour fond.</t>
  </si>
  <si>
    <t>dock/prick (pastry); prick (meat/sausage)</t>
  </si>
  <si>
    <r>
      <t>pinchar</t>
    </r>
    <r>
      <rPr>
        <sz val="11"/>
        <color theme="1"/>
        <rFont val="Calibri"/>
        <family val="2"/>
        <scheme val="minor"/>
      </rPr>
      <t xml:space="preserve">; </t>
    </r>
    <r>
      <rPr>
        <b/>
        <sz val="11"/>
        <color theme="1"/>
        <rFont val="Calibri"/>
        <family val="2"/>
        <scheme val="minor"/>
      </rPr>
      <t>picar</t>
    </r>
    <r>
      <rPr>
        <sz val="11"/>
        <color theme="1"/>
        <rFont val="Calibri"/>
        <family val="2"/>
        <scheme val="minor"/>
      </rPr>
      <t xml:space="preserve"> (masa)</t>
    </r>
  </si>
  <si>
    <t>Éviter boursouflures (pâte) ; piquer saucisses.</t>
  </si>
  <si>
    <t>place on a tray/sheet</t>
  </si>
  <si>
    <t>colocar en bandeja</t>
  </si>
  <si>
    <t>Étaler sur plaque pour refroidir, congeler, sécher.</t>
  </si>
  <si>
    <t>pan-roast/pan-fry (covered classic)</t>
  </si>
  <si>
    <t>saltear/poelar</t>
  </si>
  <si>
    <t>Classique : beurre, couverte; moderne ≈ sauter/poêler.</t>
  </si>
  <si>
    <t>bring to a boil</t>
  </si>
  <si>
    <t>llevar a ebullición</t>
  </si>
  <si>
    <t>Monter jusqu’aux gros bouillons.</t>
  </si>
  <si>
    <t>portioning (step)</t>
  </si>
  <si>
    <t>porcionado</t>
  </si>
  <si>
    <t>Étape de division en portions.</t>
  </si>
  <si>
    <t>portion; divide</t>
  </si>
  <si>
    <t>porcionar</t>
  </si>
  <si>
    <t>Au poids/au volume, à l’écopage ou à la coupe.</t>
  </si>
  <si>
    <t>dust (sugar/flour/cocoa)</t>
  </si>
  <si>
    <t>espolvorear</t>
  </si>
  <si>
    <t>Sucre glace, cacao, farine.</t>
  </si>
  <si>
    <t>proof (dough)</t>
  </si>
  <si>
    <t>leudar/fermentar</t>
  </si>
  <si>
    <t>Passage en étuve / levée contrôlée.</t>
  </si>
  <si>
    <t>coat with caramelized nuts; make praliné</t>
  </si>
  <si>
    <r>
      <t>garrapiñar</t>
    </r>
    <r>
      <rPr>
        <sz val="11"/>
        <color theme="1"/>
        <rFont val="Calibri"/>
        <family val="2"/>
        <scheme val="minor"/>
      </rPr>
      <t>; hacer praliné</t>
    </r>
  </si>
  <si>
    <t>Noisettes/amandes caramélisées puis mixées = praliné.</t>
  </si>
  <si>
    <t>par-cook; par-bake</t>
  </si>
  <si>
    <r>
      <t>precocer</t>
    </r>
    <r>
      <rPr>
        <sz val="11"/>
        <color theme="1"/>
        <rFont val="Calibri"/>
        <family val="2"/>
        <scheme val="minor"/>
      </rPr>
      <t>; prehornear</t>
    </r>
  </si>
  <si>
    <t>Ex. fond de tarte à blanc.</t>
  </si>
  <si>
    <t>par-cooking (stage)</t>
  </si>
  <si>
    <t>precocción</t>
  </si>
  <si>
    <t>take (a piece/sample)</t>
  </si>
  <si>
    <r>
      <t>prelevar/tomar</t>
    </r>
    <r>
      <rPr>
        <sz val="11"/>
        <color theme="1"/>
        <rFont val="Calibri"/>
        <family val="2"/>
        <scheme val="minor"/>
      </rPr>
      <t>; muestrear</t>
    </r>
  </si>
  <si>
    <t>Portion, pièce, ou échantillon QC.</t>
  </si>
  <si>
    <t>prepare; prep</t>
  </si>
  <si>
    <t>preparar</t>
  </si>
  <si>
    <t>Mise en place, anticipations, assaisonnement.</t>
  </si>
  <si>
    <t>protect (cover/wrap/shield)</t>
  </si>
  <si>
    <r>
      <t>proteger</t>
    </r>
    <r>
      <rPr>
        <sz val="11"/>
        <color theme="1"/>
        <rFont val="Calibri"/>
        <family val="2"/>
        <scheme val="minor"/>
      </rPr>
      <t>; cubrir</t>
    </r>
  </si>
  <si>
    <t>Film, couvercle, papier huilé, chablonnage.</t>
  </si>
  <si>
    <t>soak with syrup (sponge)</t>
  </si>
  <si>
    <r>
      <t>calar / emborrachar</t>
    </r>
    <r>
      <rPr>
        <sz val="11"/>
        <color theme="1"/>
        <rFont val="Calibri"/>
        <family val="2"/>
        <scheme val="minor"/>
      </rPr>
      <t xml:space="preserve"> (bizcocho)</t>
    </r>
  </si>
  <si>
    <t>Pâtisserie : imbiber un biscuit avec sirop/alcool.</t>
  </si>
  <si>
    <t>crosshatch; mark with grill/diamond marks</t>
  </si>
  <si>
    <r>
      <t xml:space="preserve">marcar en rombos / enrejado; </t>
    </r>
    <r>
      <rPr>
        <b/>
        <sz val="11"/>
        <color theme="1"/>
        <rFont val="Calibri"/>
        <family val="2"/>
        <scheme val="minor"/>
      </rPr>
      <t>rayar en cruz</t>
    </r>
  </si>
  <si>
    <r>
      <t xml:space="preserve">fold (batter); </t>
    </r>
    <r>
      <rPr>
        <b/>
        <sz val="11"/>
        <color theme="1"/>
        <rFont val="Calibri"/>
        <family val="2"/>
        <scheme val="minor"/>
      </rPr>
      <t>knock back</t>
    </r>
    <r>
      <rPr>
        <sz val="11"/>
        <color theme="1"/>
        <rFont val="Calibri"/>
        <family val="2"/>
        <scheme val="minor"/>
      </rPr>
      <t xml:space="preserve"> (dough)</t>
    </r>
  </si>
  <si>
    <r>
      <t>plegar</t>
    </r>
    <r>
      <rPr>
        <sz val="11"/>
        <color theme="1"/>
        <rFont val="Calibri"/>
        <family val="2"/>
        <scheme val="minor"/>
      </rPr>
      <t xml:space="preserve">; </t>
    </r>
    <r>
      <rPr>
        <b/>
        <sz val="11"/>
        <color theme="1"/>
        <rFont val="Calibri"/>
        <family val="2"/>
        <scheme val="minor"/>
      </rPr>
      <t>desgasificar</t>
    </r>
    <r>
      <rPr>
        <sz val="11"/>
        <color theme="1"/>
        <rFont val="Calibri"/>
        <family val="2"/>
        <scheme val="minor"/>
      </rPr>
      <t xml:space="preserve"> (masa)</t>
    </r>
  </si>
  <si>
    <t>Pâtisserie : rabattre une pâte/meringue ; BVP : chasser le gaz après 1re pousse.</t>
  </si>
  <si>
    <t>shorten (a dough/gluten); cut shorter</t>
  </si>
  <si>
    <r>
      <t>acortar</t>
    </r>
    <r>
      <rPr>
        <sz val="11"/>
        <color theme="1"/>
        <rFont val="Calibri"/>
        <family val="2"/>
        <scheme val="minor"/>
      </rPr>
      <t xml:space="preserve"> (una masa)</t>
    </r>
  </si>
  <si>
    <t>Limiter le réseau glutineux par ajout de gras ; sens générique « réduire la longueur ».</t>
  </si>
  <si>
    <t>chill/refresh; refresh starter</t>
  </si>
  <si>
    <r>
      <t>enfriar rápidamente</t>
    </r>
    <r>
      <rPr>
        <sz val="11"/>
        <color theme="1"/>
        <rFont val="Calibri"/>
        <family val="2"/>
        <scheme val="minor"/>
      </rPr>
      <t xml:space="preserve">; </t>
    </r>
    <r>
      <rPr>
        <b/>
        <sz val="11"/>
        <color theme="1"/>
        <rFont val="Calibri"/>
        <family val="2"/>
        <scheme val="minor"/>
      </rPr>
      <t>refrescar</t>
    </r>
    <r>
      <rPr>
        <sz val="11"/>
        <color theme="1"/>
        <rFont val="Calibri"/>
        <family val="2"/>
        <scheme val="minor"/>
      </rPr>
      <t xml:space="preserve"> (masa madre)</t>
    </r>
  </si>
  <si>
    <t>stiffen/seize in fat (lightly)</t>
  </si>
  <si>
    <r>
      <t>retar / endurecer</t>
    </r>
    <r>
      <rPr>
        <sz val="11"/>
        <color theme="1"/>
        <rFont val="Calibri"/>
        <family val="2"/>
        <scheme val="minor"/>
      </rPr>
      <t xml:space="preserve"> en grasa (sellar)</t>
    </r>
  </si>
  <si>
    <t>Saisir une viande sans (ou à peine) coloration avant braisage.</t>
  </si>
  <si>
    <t>storage/put-away (step)</t>
  </si>
  <si>
    <t>almacenado / guardado</t>
  </si>
  <si>
    <t>Opération de rangement de poste/bacs/ustensiles.</t>
  </si>
  <si>
    <t>store; put away; tidy</t>
  </si>
  <si>
    <t>guardar / ordenar</t>
  </si>
  <si>
    <t>Fin de service / hygiène.</t>
  </si>
  <si>
    <t>go stale</t>
  </si>
  <si>
    <t>envejecer / quedarse duro</t>
  </si>
  <si>
    <t>Pain/viennoiseries qui sèchent.</t>
  </si>
  <si>
    <t>score/make lines (decor)</t>
  </si>
  <si>
    <r>
      <t>rayar</t>
    </r>
    <r>
      <rPr>
        <sz val="11"/>
        <color theme="1"/>
        <rFont val="Calibri"/>
        <family val="2"/>
        <scheme val="minor"/>
      </rPr>
      <t xml:space="preserve"> / marcar líneas</t>
    </r>
  </si>
  <si>
    <t>Quadrillage léger sur pâte, entremets, chocolat.</t>
  </si>
  <si>
    <t>make; prepare</t>
  </si>
  <si>
    <t>realizar / elaborar</t>
  </si>
  <si>
    <t>Formulation/réalisation d’une recette.</t>
  </si>
  <si>
    <t>réception / contrôles</t>
  </si>
  <si>
    <t>Réceptionner / Contrôler</t>
  </si>
  <si>
    <t>receive &amp; inspect</t>
  </si>
  <si>
    <t>recepcionar y controlar</t>
  </si>
  <si>
    <t>Étape d’entrée marchandises (HACCP).</t>
  </si>
  <si>
    <t>Réchauffer en moins d’1 H</t>
  </si>
  <si>
    <t>reheat in under 1 hour</t>
  </si>
  <si>
    <t>recalentar en menos de 1 h</t>
  </si>
  <si>
    <t>Instruction de cadence/service ; vérifier T° cœur cible.</t>
  </si>
  <si>
    <t>repackage</t>
  </si>
  <si>
    <t>re-envasar / reacondicionar</t>
  </si>
  <si>
    <t>Changer de contenant/format/état d’emballage.</t>
  </si>
  <si>
    <t>cover; coat</t>
  </si>
  <si>
    <t>cubrir / recubrir</t>
  </si>
  <si>
    <t>Film, couvercle, nappage, chocolat.</t>
  </si>
  <si>
    <t>Rectifier (l’assais.)</t>
  </si>
  <si>
    <t>adjust/ correct (seasoning)</t>
  </si>
  <si>
    <r>
      <t>rectificar</t>
    </r>
    <r>
      <rPr>
        <sz val="11"/>
        <color theme="1"/>
        <rFont val="Calibri"/>
        <family val="2"/>
        <scheme val="minor"/>
      </rPr>
      <t xml:space="preserve"> (de sal/sazonado)</t>
    </r>
  </si>
  <si>
    <t>« Rectifier l’assaisonnement ».</t>
  </si>
  <si>
    <t>cool/chill</t>
  </si>
  <si>
    <t>enfriar / abatir</t>
  </si>
  <si>
    <t>Cellule, eau glacée, ventilation.</t>
  </si>
  <si>
    <t>cool to ≤ 9 °C</t>
  </si>
  <si>
    <t>enfriar a ≤ 9 °C</t>
  </si>
  <si>
    <t>Consigne interne/HACCP : atteindre ≤ 9 °C au cœur dans le délai prévu.</t>
  </si>
  <si>
    <r>
      <t xml:space="preserve">regenerate / </t>
    </r>
    <r>
      <rPr>
        <b/>
        <sz val="11"/>
        <color theme="1"/>
        <rFont val="Calibri"/>
        <family val="2"/>
        <scheme val="minor"/>
      </rPr>
      <t>retherm</t>
    </r>
  </si>
  <si>
    <t>regenerar</t>
  </si>
  <si>
    <t>Réchauffage contrôlé des plats « cook-chill ».</t>
  </si>
  <si>
    <t>rehydrate</t>
  </si>
  <si>
    <t>rehidratar</t>
  </si>
  <si>
    <t>Légumineuses, gélatine, poudres.</t>
  </si>
  <si>
    <t>reject / waste (item)</t>
  </si>
  <si>
    <t>rechazo / merma</t>
  </si>
  <si>
    <t>Pièces non conformes → déchets/retour.</t>
  </si>
  <si>
    <t>reject; discard</t>
  </si>
  <si>
    <t>rechazar / desechar</t>
  </si>
  <si>
    <t>slacken/loosen (texture)</t>
  </si>
  <si>
    <t>aflojar / licuar</t>
  </si>
  <si>
    <t>Sauce/pâte qui se détend (ajout liquide/chaleur).</t>
  </si>
  <si>
    <t>Relever (goût)</t>
  </si>
  <si>
    <r>
      <t xml:space="preserve">brighten; perk up; </t>
    </r>
    <r>
      <rPr>
        <b/>
        <sz val="11"/>
        <color theme="1"/>
        <rFont val="Calibri"/>
        <family val="2"/>
        <scheme val="minor"/>
      </rPr>
      <t>spice up</t>
    </r>
  </si>
  <si>
    <r>
      <t>realzar</t>
    </r>
    <r>
      <rPr>
        <sz val="11"/>
        <color theme="1"/>
        <rFont val="Calibri"/>
        <family val="2"/>
        <scheme val="minor"/>
      </rPr>
      <t>; avivar</t>
    </r>
  </si>
  <si>
    <t>Renforcer acidité/épices/sel.</t>
  </si>
  <si>
    <t>Remettre en T°</t>
  </si>
  <si>
    <t>bring back to temp</t>
  </si>
  <si>
    <t>volver a temperatura</t>
  </si>
  <si>
    <t>Revenir à T° service/ambiante selon consigne.</t>
  </si>
  <si>
    <t>remise en t° (étape)</t>
  </si>
  <si>
    <t>temperature recovery (step)</t>
  </si>
  <si>
    <t>puesta a temperatura</t>
  </si>
  <si>
    <t>Nom d’étape process.</t>
  </si>
  <si>
    <t>bring back up; whip back (emulsion)</t>
  </si>
  <si>
    <r>
      <t>subir / recuperar</t>
    </r>
    <r>
      <rPr>
        <sz val="11"/>
        <color theme="1"/>
        <rFont val="Calibri"/>
        <family val="2"/>
        <scheme val="minor"/>
      </rPr>
      <t xml:space="preserve">; </t>
    </r>
    <r>
      <rPr>
        <b/>
        <sz val="11"/>
        <color theme="1"/>
        <rFont val="Calibri"/>
        <family val="2"/>
        <scheme val="minor"/>
      </rPr>
      <t>remontar</t>
    </r>
    <r>
      <rPr>
        <sz val="11"/>
        <color theme="1"/>
        <rFont val="Calibri"/>
        <family val="2"/>
        <scheme val="minor"/>
      </rPr>
      <t xml:space="preserve"> (emulsión)</t>
    </r>
  </si>
  <si>
    <t>« Remonter une mayo tranchée ».</t>
  </si>
  <si>
    <t>bring temperature back up</t>
  </si>
  <si>
    <t>elevar de nuevo la temperatura</t>
  </si>
  <si>
    <t>À cœur selon barème (ex. ≥ 63 °C).</t>
  </si>
  <si>
    <t>replace; swap</t>
  </si>
  <si>
    <t>reemplazar</t>
  </si>
  <si>
    <t>Ingrédient/pièce/matériel.</t>
  </si>
  <si>
    <t>fill trays (barquettes)</t>
  </si>
  <si>
    <t>llenar barquetas</t>
  </si>
  <si>
    <t>Abréviation « Barq » = barquettes.</t>
  </si>
  <si>
    <t>llenar carros isotermos</t>
  </si>
  <si>
    <t>Logistique chaud/froid.</t>
  </si>
  <si>
    <t>tray filling (stage)</t>
  </si>
  <si>
    <t>llenado de barquetas</t>
  </si>
  <si>
    <t>insulated trolley loading</t>
  </si>
  <si>
    <t>llenado de carros isotermos</t>
  </si>
  <si>
    <t>stir; mix</t>
  </si>
  <si>
    <r>
      <t>remover</t>
    </r>
    <r>
      <rPr>
        <sz val="11"/>
        <color theme="1"/>
        <rFont val="Calibri"/>
        <family val="2"/>
        <scheme val="minor"/>
      </rPr>
      <t>; mezclar</t>
    </r>
  </si>
  <si>
    <t>À la spatule/cuillère, fond sans accrocher.</t>
  </si>
  <si>
    <t>distribute; divide out</t>
  </si>
  <si>
    <t>repartir / distribuir</t>
  </si>
  <si>
    <t>Sur plaques, en moules, par portions.</t>
  </si>
  <si>
    <t>distribution (layout)</t>
  </si>
  <si>
    <t>reparto / distribución</t>
  </si>
  <si>
    <t>Plan de répartition en bacs/assiettes.</t>
  </si>
  <si>
    <r>
      <t xml:space="preserve">pass again; </t>
    </r>
    <r>
      <rPr>
        <b/>
        <sz val="11"/>
        <color theme="1"/>
        <rFont val="Calibri"/>
        <family val="2"/>
        <scheme val="minor"/>
      </rPr>
      <t>return to oven/pan</t>
    </r>
  </si>
  <si>
    <t>pasar de nuevo / repasar</t>
  </si>
  <si>
    <t>« Repasser à la salamandre / au four ».</t>
  </si>
  <si>
    <t>respect the 2-hour limit</t>
  </si>
  <si>
    <t>respetar el plazo de 2 h</t>
  </si>
  <si>
    <t>Fenêtre sécurité (refroid./remise en T°/service).</t>
  </si>
  <si>
    <t>remove; take off heat</t>
  </si>
  <si>
    <r>
      <t>retirar</t>
    </r>
    <r>
      <rPr>
        <sz val="11"/>
        <color theme="1"/>
        <rFont val="Calibri"/>
        <family val="2"/>
        <scheme val="minor"/>
      </rPr>
      <t>; apartar del fuego</t>
    </r>
  </si>
  <si>
    <t>Fin de cuisson, décuver, décercler.</t>
  </si>
  <si>
    <t>collapse/deflate</t>
  </si>
  <si>
    <r>
      <t>bajarse</t>
    </r>
    <r>
      <rPr>
        <sz val="11"/>
        <color theme="1"/>
        <rFont val="Calibri"/>
        <family val="2"/>
        <scheme val="minor"/>
      </rPr>
      <t>; colapsar</t>
    </r>
  </si>
  <si>
    <t>Mousse/soufflé/chantilly qui « retombe ».</t>
  </si>
  <si>
    <t>return to packaging</t>
  </si>
  <si>
    <t>vuelta a envasado</t>
  </si>
  <si>
    <t>Flux process après étape intermédiaire.</t>
  </si>
  <si>
    <t>flip; turn over</t>
  </si>
  <si>
    <t>dar la vuelta</t>
  </si>
  <si>
    <t>En cuisson/égouttage/dressage.</t>
  </si>
  <si>
    <t>sauté (lightly brown)</t>
  </si>
  <si>
    <t>rehogar / saltear</t>
  </si>
  <si>
    <t>« Faire revenir les oignons » : fondre/dorer léger.</t>
  </si>
  <si>
    <t>rinse</t>
  </si>
  <si>
    <t>enjuagar</t>
  </si>
  <si>
    <t>À l’eau claire/potable.</t>
  </si>
  <si>
    <t>lattice with strips (pâte)</t>
  </si>
  <si>
    <r>
      <t>enrejillar</t>
    </r>
    <r>
      <rPr>
        <sz val="11"/>
        <color theme="1"/>
        <rFont val="Calibri"/>
        <family val="2"/>
        <scheme val="minor"/>
      </rPr>
      <t xml:space="preserve"> (con tiras)</t>
    </r>
  </si>
  <si>
    <t>Décor de tourte/pâté en croûte.</t>
  </si>
  <si>
    <t>brown until crisp; pan-fry</t>
  </si>
  <si>
    <t>dorar / sofreír hasta dorado</t>
  </si>
  <si>
    <t>Pommes rissolées, viandes en surface croustillante.</t>
  </si>
  <si>
    <t>knock back (dough); break</t>
  </si>
  <si>
    <r>
      <t>desgasificar</t>
    </r>
    <r>
      <rPr>
        <sz val="11"/>
        <color theme="1"/>
        <rFont val="Calibri"/>
        <family val="2"/>
        <scheme val="minor"/>
      </rPr>
      <t>; romper</t>
    </r>
  </si>
  <si>
    <t>Dégazer une pâte après pointage.</t>
  </si>
  <si>
    <t>roast</t>
  </si>
  <si>
    <t>asar / asar al horno</t>
  </si>
  <si>
    <t>Rôtissoire/four sec, arrosage régulier.</t>
  </si>
  <si>
    <t>roll; roll up</t>
  </si>
  <si>
    <t>rodar / enrollar</t>
  </si>
  <si>
    <t>Abaisser une pâte; rouler un biscuit, un boudin.</t>
  </si>
  <si>
    <t>brown; scorch slightly</t>
  </si>
  <si>
    <t>tostar / dorar</t>
  </si>
  <si>
    <t>Beurre noisette, oignons « roussis ».</t>
  </si>
  <si>
    <t>rub in (to sandy texture); cut in (US)</t>
  </si>
  <si>
    <r>
      <t>arenar</t>
    </r>
    <r>
      <rPr>
        <sz val="11"/>
        <color theme="1"/>
        <rFont val="Calibri"/>
        <family val="2"/>
        <scheme val="minor"/>
      </rPr>
      <t xml:space="preserve"> (mezclar mantequilla+harina hasta “arena”)</t>
    </r>
  </si>
  <si>
    <t>Méthode des pâtes sablées.</t>
  </si>
  <si>
    <r>
      <t xml:space="preserve">bleed (animal/fish); serve </t>
    </r>
    <r>
      <rPr>
        <b/>
        <sz val="11"/>
        <color theme="1"/>
        <rFont val="Calibri"/>
        <family val="2"/>
        <scheme val="minor"/>
      </rPr>
      <t>rare</t>
    </r>
    <r>
      <rPr>
        <sz val="11"/>
        <color theme="1"/>
        <rFont val="Calibri"/>
        <family val="2"/>
        <scheme val="minor"/>
      </rPr>
      <t xml:space="preserve"> (doneness)</t>
    </r>
  </si>
  <si>
    <r>
      <t>desangrar</t>
    </r>
    <r>
      <rPr>
        <sz val="11"/>
        <color theme="1"/>
        <rFont val="Calibri"/>
        <family val="2"/>
        <scheme val="minor"/>
      </rPr>
      <t xml:space="preserve">; </t>
    </r>
    <r>
      <rPr>
        <b/>
        <sz val="11"/>
        <color theme="1"/>
        <rFont val="Calibri"/>
        <family val="2"/>
        <scheme val="minor"/>
      </rPr>
      <t>poco hecho</t>
    </r>
    <r>
      <rPr>
        <sz val="11"/>
        <color theme="1"/>
        <rFont val="Calibri"/>
        <family val="2"/>
        <scheme val="minor"/>
      </rPr>
      <t xml:space="preserve"> (punto “sangrante”)</t>
    </r>
  </si>
  <si>
    <t>Abattage/poisson ; cuisson viande « saignant ».</t>
  </si>
  <si>
    <t>sear (hot &amp; quick)</t>
  </si>
  <si>
    <r>
      <t>sellar / marcar</t>
    </r>
    <r>
      <rPr>
        <sz val="11"/>
        <color theme="1"/>
        <rFont val="Calibri"/>
        <family val="2"/>
        <scheme val="minor"/>
      </rPr>
      <t xml:space="preserve"> a fuego fuerte</t>
    </r>
  </si>
  <si>
    <t>Colorer surface sans cuire à cœur.</t>
  </si>
  <si>
    <t>churn/freeze (ice cream); pack in ice-salt</t>
  </si>
  <si>
    <r>
      <t>mantecar / helar</t>
    </r>
    <r>
      <rPr>
        <sz val="11"/>
        <color theme="1"/>
        <rFont val="Calibri"/>
        <family val="2"/>
        <scheme val="minor"/>
      </rPr>
      <t>; enterrar en sal-hielo</t>
    </r>
  </si>
  <si>
    <t>Glacerie : prise en turbine/à l’ancienne.</t>
  </si>
  <si>
    <t>brine</t>
  </si>
  <si>
    <t>salmuera / poner en salmuera</t>
  </si>
  <si>
    <t>Solution salée pour assaisonner/attendrir.</t>
  </si>
  <si>
    <t>tighten; whip to stiff peaks; pack tightly</t>
  </si>
  <si>
    <t>apretar / montar a punto firme</t>
  </si>
  <si>
    <t>« Blancs serrés » (sucre) ; tasser en moule/bac.</t>
  </si>
  <si>
    <t>dust with flour (to thicken)</t>
  </si>
  <si>
    <r>
      <t>espolvorear con harina</t>
    </r>
    <r>
      <rPr>
        <sz val="11"/>
        <color theme="1"/>
        <rFont val="Calibri"/>
        <family val="2"/>
        <scheme val="minor"/>
      </rPr>
      <t xml:space="preserve"> (para ligar)</t>
    </r>
  </si>
  <si>
    <t>Fariner matières grasses avant mouiller.</t>
  </si>
  <si>
    <t>sip slowly</t>
  </si>
  <si>
    <t>sorber / tomar a sorbos</t>
  </si>
  <si>
    <t>Boissons/cocktails.</t>
  </si>
  <si>
    <t>quick-sear on a griddle/plancha</t>
  </si>
  <si>
    <t>marcar a la plancha (rápido)</t>
  </si>
  <si>
    <t>Aller-retour vif, sans surcuire.</t>
  </si>
  <si>
    <t>sondage de température</t>
  </si>
  <si>
    <t>temperature probing (step)</t>
  </si>
  <si>
    <t>sondeo / toma de temperatura</t>
  </si>
  <si>
    <t>Étape HACCP avec thermomètre sonde.</t>
  </si>
  <si>
    <t>probe for doneness</t>
  </si>
  <si>
    <t>sondear la cocción</t>
  </si>
  <si>
    <t>Vérifier cuisson à cœur.</t>
  </si>
  <si>
    <t>take/measure temperature</t>
  </si>
  <si>
    <t>medir la temperatura</t>
  </si>
  <si>
    <t>Relevé de T° (entrée/sortie/holding).</t>
  </si>
  <si>
    <t>output/dispatch; removal (from oven/line)</t>
  </si>
  <si>
    <t>salida / expedición; salida del horno</t>
  </si>
  <si>
    <t>Étape générique : défournement, sortie de ligne, expédition.</t>
  </si>
  <si>
    <t>take out; remove</t>
  </si>
  <si>
    <t>sacar / retirar</t>
  </si>
  <si>
    <t>D’un four, d’un moule, d’une cellule.</t>
  </si>
  <si>
    <t>sterilize</t>
  </si>
  <si>
    <t>esterilizar</t>
  </si>
  <si>
    <t>Traitement thermique ≥ 100 °C / autoclave ; ou matériel.</t>
  </si>
  <si>
    <t>storage (stage)</t>
  </si>
  <si>
    <t>almacenamiento</t>
  </si>
  <si>
    <t>Nom d’étape/zone.</t>
  </si>
  <si>
    <t>sweat (without browning)</t>
  </si>
  <si>
    <r>
      <t>rehogar/sudar</t>
    </r>
    <r>
      <rPr>
        <sz val="11"/>
        <color theme="1"/>
        <rFont val="Calibri"/>
        <family val="2"/>
        <scheme val="minor"/>
      </rPr>
      <t xml:space="preserve"> (sin dorar)</t>
    </r>
  </si>
  <si>
    <t>Légumes à feu doux avec matière grasse.</t>
  </si>
  <si>
    <t>blast-freeze / deep-freeze</t>
  </si>
  <si>
    <t>ultracongelar / abatir a congelación</t>
  </si>
  <si>
    <t>Passage en cellule de surgélation (≤ −18 °C au cœur).</t>
  </si>
  <si>
    <t>Tabler (chocolat)</t>
  </si>
  <si>
    <t>table/temper on marble</t>
  </si>
  <si>
    <t>atemperar sobre mármol</t>
  </si>
  <si>
    <t>Méthode de tempérage : étaler/refroidir puis réunir.</t>
  </si>
  <si>
    <t>cutting style/cut size</t>
  </si>
  <si>
    <t>corte/tamaño de corte</t>
  </si>
  <si>
    <t>Ex. brunoise, julienne, bâtonnets, mirepoix.</t>
  </si>
  <si>
    <t>cut; trim; cut to size</t>
  </si>
  <si>
    <t>cortar; recortar</t>
  </si>
  <si>
    <t>Préciser le taillage (en dés, en sifflets, etc.).</t>
  </si>
  <si>
    <t>sift</t>
  </si>
  <si>
    <t>tamizar</t>
  </si>
  <si>
    <t>Farine, sucre glace, poudre d’amande/cacao.</t>
  </si>
  <si>
    <t>blot; pat dry</t>
  </si>
  <si>
    <t>secar con papel; tamponar</t>
  </si>
  <si>
    <t>Éponger avec papier absorbant (viandes, fritures).</t>
  </si>
  <si>
    <t>line/cover (a mold/wall)</t>
  </si>
  <si>
    <t>forrar; tapizar</t>
  </si>
  <si>
    <t>Biscuit, film, lard, gelée, feuilles de salade…</t>
  </si>
  <si>
    <t>finish; complete</t>
  </si>
  <si>
    <t>terminar; acabar</t>
  </si>
  <si>
    <t>Finition d’un plat, d’un poste.</t>
  </si>
  <si>
    <t>Tomber (les légumes)</t>
  </si>
  <si>
    <t>cook down/wilt (in fat)</t>
  </si>
  <si>
    <t>rehogar hasta ablandar</t>
  </si>
  <si>
    <t>Faire “tomber” épinards/oignons sans coloration.</t>
  </si>
  <si>
    <t>toast/roast to develop aroma</t>
  </si>
  <si>
    <t>torrar; tostar</t>
  </si>
  <si>
    <t>Fruits secs, épices, farines, beurre noisette.</t>
  </si>
  <si>
    <t>Tourer (feuilletage)</t>
  </si>
  <si>
    <t>laminate (give turns)</t>
  </si>
  <si>
    <t>laminar/da r vueltas</t>
  </si>
  <si>
    <t>Pâte + beurre : tours simples/doubles, repos.</t>
  </si>
  <si>
    <t>Tourner (légumes)</t>
  </si>
  <si>
    <t>turn (shape into barrels)</t>
  </si>
  <si>
    <r>
      <t>tornear</t>
    </r>
    <r>
      <rPr>
        <sz val="11"/>
        <color theme="1"/>
        <rFont val="Calibri"/>
        <family val="2"/>
        <scheme val="minor"/>
      </rPr>
      <t xml:space="preserve"> (verduras)</t>
    </r>
  </si>
  <si>
    <t>Carottes/pommes de terre « tournées ».</t>
  </si>
  <si>
    <t>Tourner (en cuisson)</t>
  </si>
  <si>
    <t>turn over/flip</t>
  </si>
  <si>
    <t>Retourner une pièce à la poêle/plancha.</t>
  </si>
  <si>
    <t>slicing (stage)</t>
  </si>
  <si>
    <t>rebanado/corte en lonchas</t>
  </si>
  <si>
    <t>Étape machine/manuel (charcut., pain, fromages).</t>
  </si>
  <si>
    <t>slice; carve</t>
  </si>
  <si>
    <t>rebanar; trinchar</t>
  </si>
  <si>
    <t>Viandes rôties, charcuterie, pains.</t>
  </si>
  <si>
    <t>transport / shipping</t>
  </si>
  <si>
    <t>transporte</t>
  </si>
  <si>
    <t>Flux interne/externe.</t>
  </si>
  <si>
    <t>transport in stainless GN pans</t>
  </si>
  <si>
    <t>transporte en cubetas inox</t>
  </si>
  <si>
    <t>Logistique interne en bacs gastro inox.</t>
  </si>
  <si>
    <t>transport; carry</t>
  </si>
  <si>
    <t>transportar; llevar</t>
  </si>
  <si>
    <t>Entre postes, vers cellule, vers expédition.</t>
  </si>
  <si>
    <t>work (a dough/cream); mix</t>
  </si>
  <si>
    <t>trabajar (masa/crema)</t>
  </si>
  <si>
    <t>À la maryse, au crochet, à la feuille, etc.</t>
  </si>
  <si>
    <t>soak; dip</t>
  </si>
  <si>
    <t>remojar; bañar</t>
  </si>
  <si>
    <t>Biscuits (sirop/chocolat), légumes secs, gélatine.</t>
  </si>
  <si>
    <t>cut into large sections/steaks</t>
  </si>
  <si>
    <t>tronzonar; cortar en trozos gruesos</t>
  </si>
  <si>
    <t>Poisson (tronçons), os à moelle, légumes.</t>
  </si>
  <si>
    <t>Trousser (volaille)</t>
  </si>
  <si>
    <t>truss/tuck legs under</t>
  </si>
  <si>
    <t>bridar/“trousser”</t>
  </si>
  <si>
    <t>Préparer volaille pour cuisson/présentation.</t>
  </si>
  <si>
    <t>churn (ice cream)</t>
  </si>
  <si>
    <t>mantecar; turbinar</t>
  </si>
  <si>
    <t>Prise en turbine jusqu’à la texture voulue.</t>
  </si>
  <si>
    <t>use; employ; utilize</t>
  </si>
  <si>
    <r>
      <t>usar</t>
    </r>
    <r>
      <rPr>
        <sz val="11"/>
        <color theme="1"/>
        <rFont val="Calibri"/>
        <family val="2"/>
        <scheme val="minor"/>
      </rPr>
      <t>; emplear; utilizar</t>
    </r>
  </si>
  <si>
    <t>Verbe générique de fiche process : « utiliser des gants », « use a whisk ».</t>
  </si>
  <si>
    <r>
      <t xml:space="preserve">UHT-treat; ultra-heat treat; </t>
    </r>
    <r>
      <rPr>
        <b/>
        <sz val="11"/>
        <color theme="1"/>
        <rFont val="Calibri"/>
        <family val="2"/>
        <scheme val="minor"/>
      </rPr>
      <t>sterilize at UHT</t>
    </r>
  </si>
  <si>
    <r>
      <t>esterilizar UHT</t>
    </r>
    <r>
      <rPr>
        <sz val="11"/>
        <color theme="1"/>
        <rFont val="Calibri"/>
        <family val="2"/>
        <scheme val="minor"/>
      </rPr>
      <t xml:space="preserve">; </t>
    </r>
    <r>
      <rPr>
        <b/>
        <sz val="11"/>
        <color theme="1"/>
        <rFont val="Calibri"/>
        <family val="2"/>
        <scheme val="minor"/>
      </rPr>
      <t>tratamiento UHT / ultra pasteurizar</t>
    </r>
  </si>
  <si>
    <t>stir to cool; stir to prevent a skin</t>
  </si>
  <si>
    <r>
      <t>remover/abatir para enfriar</t>
    </r>
    <r>
      <rPr>
        <sz val="11"/>
        <color theme="1"/>
        <rFont val="Calibri"/>
        <family val="2"/>
        <scheme val="minor"/>
      </rPr>
      <t xml:space="preserve"> (evitar costra)</t>
    </r>
  </si>
  <si>
    <t>Pâtisserie/sauces : remuer hors du feu jusqu’à tiédeur pour éviter la peau et lisser.</t>
  </si>
  <si>
    <t>check / take the temperature</t>
  </si>
  <si>
    <t>verificar/medir la temperatura</t>
  </si>
  <si>
    <t>HACCP : sonde cœur, huile de friture, chambre froide, etc.</t>
  </si>
  <si>
    <t>pour; pour in</t>
  </si>
  <si>
    <t>verter; echar</t>
  </si>
  <si>
    <t>Transvaser proprement dans cuve/moule/mixeur.</t>
  </si>
  <si>
    <t>flute/crimp the edge (folded rim)</t>
  </si>
  <si>
    <t>acordonar / festonear el borde</t>
  </si>
  <si>
    <t>Bord de tarte/tourte : ourlets en vague en repliant la pâte.</t>
  </si>
  <si>
    <t>veil; lightly coat (with sauce/gel)</t>
  </si>
  <si>
    <t>velar; napar ligeramente</t>
  </si>
  <si>
    <t>Pellicule très fine pour brillance/protection (gelée, sauce, sirop).</t>
  </si>
  <si>
    <t>zest; remove citrus zest (with zester/microplane)</t>
  </si>
  <si>
    <r>
      <t>rallar la piel</t>
    </r>
    <r>
      <rPr>
        <sz val="11"/>
        <color theme="1"/>
        <rFont val="Calibri"/>
        <family val="2"/>
        <scheme val="minor"/>
      </rPr>
      <t xml:space="preserve"> (ralladura); sacar tiras finas (sin albedo)</t>
    </r>
  </si>
  <si>
    <t>Usar “infusionar” si es por maceración/infusión.</t>
  </si>
  <si>
    <t>Plating individual portions.</t>
  </si>
  <si>
    <t>Emplatado de porciones individuales.</t>
  </si>
  <si>
    <t>Bakery: shape a tight ball before proofing.</t>
  </si>
  <si>
    <t>Caramelizar azúcar, la superficie de la crème brûlée o verduras ligeramente dulces.</t>
  </si>
  <si>
    <t>Plating: overlap slices partially.</t>
  </si>
  <si>
    <t>Cook gently until a compote-like texture.</t>
  </si>
  <si>
    <t>Cocer suavemente hasta textura de compota.</t>
  </si>
  <si>
    <t>Parboil rice so some grains burst before cooking in milk.</t>
  </si>
  <si>
    <t>Escaldar el arroz para que algunos granos revienten antes de cocer en leche.</t>
  </si>
  <si>
    <t>Season cast iron/steel to build a natural nonstick patina.</t>
  </si>
  <si>
    <t>Curar hierro fundido/acero para crear una pátina antiadherente natural.</t>
  </si>
  <si>
    <t>Cuisson lente en marinade vin/aromates (daube provençale).</t>
  </si>
  <si>
    <t>Unstack nested bins/plates/containers on the line.</t>
  </si>
  <si>
    <t>Desapilar cubetas/platos/envases en la línea.</t>
  </si>
  <si>
    <t>Unload the oven (remove trays/items).</t>
  </si>
  <si>
    <t>Atemperar/quitar el frío antes de trabajar.</t>
  </si>
  <si>
    <t>Disperse powders into a liquid under agitation.</t>
  </si>
  <si>
    <t>Dispersar polvos en un líquido con agitación.</t>
  </si>
  <si>
    <t>Pintar con huevo para dar brillo/color.</t>
  </si>
  <si>
    <t>Trim off excess/rough edges (pastries, fish, ravioli).</t>
  </si>
  <si>
    <t>Recortar rebabas/bordes (pasteles, pescados, raviolis).</t>
  </si>
  <si>
    <t>Initial rough shaping before finishing.</t>
  </si>
  <si>
    <t>Desollar/quitar la piel (caza/pescado).</t>
  </si>
  <si>
    <t>Desespumar durante ebullición/reducción.</t>
  </si>
  <si>
    <t>Desgerminar el ajo; quitar brotes de patatas.</t>
  </si>
  <si>
    <t>Etapa de escurrido (quesos, fritos, verduras).</t>
  </si>
  <si>
    <t>Blanch then peel (tomatoes/almonds).</t>
  </si>
  <si>
    <t>Escaldar y luego pelar (tomates/almendras).</t>
  </si>
  <si>
    <t>Coat in chocolate/breading/glaze.</t>
  </si>
  <si>
    <t>Cook covered with little liquid (smother-cook).</t>
  </si>
  <si>
    <t>Cocer tapado con poco líquido.</t>
  </si>
  <si>
    <t>Bring to a rolling boil.</t>
  </si>
  <si>
    <t>Llevar a ebullición con borbotones.</t>
  </si>
  <si>
    <t>Wash under potable water, respecting clean/dirty flows.</t>
  </si>
  <si>
    <t>Lavar con agua potable respetando flujos limpio/sucio.</t>
  </si>
  <si>
    <t>French the bones (rack of lamb, poultry).</t>
  </si>
  <si>
    <t>Crear efecto marmolado en masas, glaseados o chocolate.</t>
  </si>
  <si>
    <t>Marinate in an aromatic liquid (acid/salt/fat profile).</t>
  </si>
  <si>
    <t>Start/sear cooking; mark with grill ridges.</t>
  </si>
  <si>
    <t>Mask/coat with a thin layer (cream/jelly/sauce).</t>
  </si>
  <si>
    <t>Enmascarar/cubrir con una capa fina (crema/gelatina/salsa).</t>
  </si>
  <si>
    <t>Término genérico para una mezcla/preparación.</t>
  </si>
  <si>
    <t>Transfer to GN pans for resting/storage.</t>
  </si>
  <si>
    <t>Load trays/bins onto a trolley.</t>
  </si>
  <si>
    <t>Cargar bandejas/cubetas en un carro.</t>
  </si>
  <si>
    <t>Simmer gently for a long time, covered.</t>
  </si>
  <si>
    <t>Blend/process to a smooth texture.</t>
  </si>
  <si>
    <t>Triturar/licuar hasta textura lisa.</t>
  </si>
  <si>
    <t>Model/shape doughs, fillings, chocolate, confectionery.</t>
  </si>
  <si>
    <t>Modelar/dar forma a masas, farsas, chocolate, confitería.</t>
  </si>
  <si>
    <t>Torte a sponge into even horizontal layers.</t>
  </si>
  <si>
    <t>Cortar un bizcocho en capas horizontales regulares.</t>
  </si>
  <si>
    <t>Add stock/water/wine to the required level.</t>
  </si>
  <si>
    <t>Hacer espuma (batidora, sifón, varillas).</t>
  </si>
  <si>
    <t>Trimming step for meats/fish/vegetables.</t>
  </si>
  <si>
    <t>Peel with knife/peeler or after blanching.</t>
  </si>
  <si>
    <t>Pelar con cuchillo/pelador o tras escaldar.</t>
  </si>
  <si>
    <t>Weighing step for ingredients/portions.</t>
  </si>
  <si>
    <t>Etapa de porcionado.</t>
  </si>
  <si>
    <t>Dust with icing sugar/cocoa/flour.</t>
  </si>
  <si>
    <t>Espolvorear con azúcar glas/cacao/harina.</t>
  </si>
  <si>
    <t>Proof in a proofer / controlled rise.</t>
  </si>
  <si>
    <t>Refroidir en cellule/eau glacée ; rafraîchir une pâte mère.</t>
  </si>
  <si>
    <t>Blast-freeze to ≤ −18 °C at the core.</t>
  </si>
  <si>
    <t>HACCP: probe core temp, frying oil, cold room, etc.</t>
  </si>
  <si>
    <t>accomplish; carry out</t>
  </si>
  <si>
    <t>Exécuter une tâche/procédure jusqu’au bout.</t>
  </si>
  <si>
    <t>buy; purchase</t>
  </si>
  <si>
    <t>Approvisionnement, achats matières/emballages.</t>
  </si>
  <si>
    <t>complete; finish</t>
  </si>
  <si>
    <t>Clore une étape/ordre de fabrication.</t>
  </si>
  <si>
    <t>activate; speed up; boost</t>
  </si>
  <si>
    <t>Accélérer un process (p. ex. cadence, flux).</t>
  </si>
  <si>
    <t>enlarge; expand</t>
  </si>
  <si>
    <t>Augmenter capacité/surface/format.</t>
  </si>
  <si>
    <t>adjust; fine-tune</t>
  </si>
  <si>
    <t>Petits réglages (assais., poids, température).</t>
  </si>
  <si>
    <t>improve; enhance</t>
  </si>
  <si>
    <r>
      <t>mejorar</t>
    </r>
    <r>
      <rPr>
        <sz val="11"/>
        <color theme="1"/>
        <rFont val="Calibri"/>
        <family val="2"/>
        <scheme val="minor"/>
      </rPr>
      <t>; optimizar</t>
    </r>
  </si>
  <si>
    <t>Gains qualité, sécurité, productivité.</t>
  </si>
  <si>
    <t>arrange; set up; fit out</t>
  </si>
  <si>
    <t>Mettre en place un poste/une zone (layout, flux).</t>
  </si>
  <si>
    <t>analyze; test</t>
  </si>
  <si>
    <t>Contrôles (physico-chimiques, sensoriels, coûts).</t>
  </si>
  <si>
    <t>apply; implement</t>
  </si>
  <si>
    <t>Appliquer un protocole, une consigne, une couche.</t>
  </si>
  <si>
    <t>approve; validate</t>
  </si>
  <si>
    <t>Validation recette/procédure/commande.</t>
  </si>
  <si>
    <t>archive; file</t>
  </si>
  <si>
    <t>archivar</t>
  </si>
  <si>
    <t>Ranger/numériser docs (traçabilité, HACCP).</t>
  </si>
  <si>
    <r>
      <t>ensamblar</t>
    </r>
    <r>
      <rPr>
        <sz val="11"/>
        <color theme="1"/>
        <rFont val="Calibri"/>
        <family val="2"/>
        <scheme val="minor"/>
      </rPr>
      <t>; montar</t>
    </r>
  </si>
  <si>
    <t>Monter un produit/assiette/lot.</t>
  </si>
  <si>
    <t>attach; tie; fasten</t>
  </si>
  <si>
    <t>Fixer physiquement / joindre un fichier.</t>
  </si>
  <si>
    <t>assign; allocate</t>
  </si>
  <si>
    <t>Attribuer ressources, responsabilités, numéros de lot.</t>
  </si>
  <si>
    <t>auditer</t>
  </si>
  <si>
    <t>audit; review</t>
  </si>
  <si>
    <t>Contrôle systématique (qualité, hygiène, process).</t>
  </si>
  <si>
    <t>augmenter</t>
  </si>
  <si>
    <t>increase; raise; scale up</t>
  </si>
  <si>
    <t>Hausse de capacité, volume, température, budget.</t>
  </si>
  <si>
    <t>authentifier</t>
  </si>
  <si>
    <t>authenticate; verify</t>
  </si>
  <si>
    <t>Vérif. identité/données (traçabilité, accès).</t>
  </si>
  <si>
    <t>s’auto-évaluer</t>
  </si>
  <si>
    <t>self-assess</t>
  </si>
  <si>
    <t>auto-evaluarse</t>
  </si>
  <si>
    <t>Bilan individuel/équipe sur pratiques/performances.</t>
  </si>
  <si>
    <t>automatiser</t>
  </si>
  <si>
    <t>automate</t>
  </si>
  <si>
    <t>automatizar</t>
  </si>
  <si>
    <t>Remplacer tâches manuelles par un flux outillé.</t>
  </si>
  <si>
    <t>autoriser</t>
  </si>
  <si>
    <t>authorize; permit</t>
  </si>
  <si>
    <t>Accorder un droit (accès, dépense, changement).</t>
  </si>
  <si>
    <t>avancer (un délai/étape)</t>
  </si>
  <si>
    <t>move forward; bring forward</t>
  </si>
  <si>
    <t>adelantar</t>
  </si>
  <si>
    <t>Avancer une échéance/production.</t>
  </si>
  <si>
    <t>avertir</t>
  </si>
  <si>
    <t>warn; alert; notify</t>
  </si>
  <si>
    <t>Prévenir d’un risque/incident/retard.</t>
  </si>
  <si>
    <t>aviser</t>
  </si>
  <si>
    <t>notify; inform</t>
  </si>
  <si>
    <t>Communication formelle (mail, fiche, ticket).</t>
  </si>
  <si>
    <t>afficher</t>
  </si>
  <si>
    <t>display; show</t>
  </si>
  <si>
    <t>Affichage écran/panneau/tableau de bord.</t>
  </si>
  <si>
    <t>affiner</t>
  </si>
  <si>
    <t>refine; fine-tune</t>
  </si>
  <si>
    <r>
      <t>afinar</t>
    </r>
    <r>
      <rPr>
        <sz val="11"/>
        <color theme="1"/>
        <rFont val="Calibri"/>
        <family val="2"/>
        <scheme val="minor"/>
      </rPr>
      <t>; perfeccionar</t>
    </r>
  </si>
  <si>
    <t>Ajuster un réglage/recette/procédé.</t>
  </si>
  <si>
    <t>affûter</t>
  </si>
  <si>
    <t>sharpen</t>
  </si>
  <si>
    <t>afilar</t>
  </si>
  <si>
    <t>Couteaux/lames/outillage.</t>
  </si>
  <si>
    <t>aligner</t>
  </si>
  <si>
    <t>align; bring into line</t>
  </si>
  <si>
    <t>alinear</t>
  </si>
  <si>
    <t>Harmoniser pratiques/mesures/objectifs.</t>
  </si>
  <si>
    <t>allouer</t>
  </si>
  <si>
    <t>allocate; assign</t>
  </si>
  <si>
    <t>Ressources (temps, budget, personnel).</t>
  </si>
  <si>
    <t>allumer</t>
  </si>
  <si>
    <t>turn on; switch on</t>
  </si>
  <si>
    <t>Mise sous tension d’un appareil/ligne.</t>
  </si>
  <si>
    <t>annuler</t>
  </si>
  <si>
    <t>cancel; void</t>
  </si>
  <si>
    <t>Commande, OF, réservation, opération.</t>
  </si>
  <si>
    <t>anticiper</t>
  </si>
  <si>
    <t>anticipate; plan ahead</t>
  </si>
  <si>
    <t>Prévoir besoin/risque et agir en amont.</t>
  </si>
  <si>
    <t>approvisionner</t>
  </si>
  <si>
    <t>supply; procure; stock</t>
  </si>
  <si>
    <t>Matières, emballages, consommables.</t>
  </si>
  <si>
    <t>arrêter (une machine)</t>
  </si>
  <si>
    <t>stop; shut down</t>
  </si>
  <si>
    <t>Arrêt normal/d’urgence d’équipement.</t>
  </si>
  <si>
    <t>arrimer</t>
  </si>
  <si>
    <t>secure; lash</t>
  </si>
  <si>
    <t>Sécuriser charges/palettes pour transport.</t>
  </si>
  <si>
    <t>arrondir</t>
  </si>
  <si>
    <t>round; round off</t>
  </si>
  <si>
    <t>redondear</t>
  </si>
  <si>
    <t>Valeurs, prix, grammages (tolérances).</t>
  </si>
  <si>
    <t>articuler</t>
  </si>
  <si>
    <t>articulate; structure</t>
  </si>
  <si>
    <t>Clarifier étapes/argumentaire/process.</t>
  </si>
  <si>
    <t>assainir</t>
  </si>
  <si>
    <t>sanitize; make safe</t>
  </si>
  <si>
    <t>Assainir locaux/process/données.</t>
  </si>
  <si>
    <t>assister</t>
  </si>
  <si>
    <t>assist; help</t>
  </si>
  <si>
    <t>Aide opérationnelle/technique.</t>
  </si>
  <si>
    <t>assurer</t>
  </si>
  <si>
    <t>ensure; secure; guarantee</t>
  </si>
  <si>
    <t>S’assurer qu’un résultat/exigence est atteint.</t>
  </si>
  <si>
    <t>atténuer</t>
  </si>
  <si>
    <t>mitigate; lessen</t>
  </si>
  <si>
    <t>Réduire un risque/impact (qualité/sécu).</t>
  </si>
  <si>
    <t>attester</t>
  </si>
  <si>
    <t>certify; attest</t>
  </si>
  <si>
    <t>Attestation écrite (conformité, test).</t>
  </si>
  <si>
    <t>attirer</t>
  </si>
  <si>
    <t>attract; draw</t>
  </si>
  <si>
    <t>atraer</t>
  </si>
  <si>
    <t>Attirer clients/talents/attention.</t>
  </si>
  <si>
    <t>calculate; compute</t>
  </si>
  <si>
    <t>Coûts, rendements, pertes, ratios HACCP.</t>
  </si>
  <si>
    <t>catalog; classify</t>
  </si>
  <si>
    <t>Référencer produits/recettes/outils.</t>
  </si>
  <si>
    <t>centralize; consolidate</t>
  </si>
  <si>
    <t>Regrouper données/stocks/décisions.</t>
  </si>
  <si>
    <t>search; look for</t>
  </si>
  <si>
    <t>Trouver infos, pièces, causes (RCA).</t>
  </si>
  <si>
    <t>classify; sort</t>
  </si>
  <si>
    <t>Ranger par familles, allergènes, risques.</t>
  </si>
  <si>
    <t>order; place an order</t>
  </si>
  <si>
    <t>Achats matières, consommables, pièces.</t>
  </si>
  <si>
    <t>compile; aggregate</t>
  </si>
  <si>
    <t>Rassembler données/rapports/recettes.</t>
  </si>
  <si>
    <t>count; tally</t>
  </si>
  <si>
    <t>Inventaire, portions, unités produites.</t>
  </si>
  <si>
    <t>design; conceive</t>
  </si>
  <si>
    <t>Recette/process/outil/implantation.</t>
  </si>
  <si>
    <t>drive; operate; lead</t>
  </si>
  <si>
    <t>Véhicule/machine/équipe/projet.</t>
  </si>
  <si>
    <t>log; record; write down</t>
  </si>
  <si>
    <t>Traçabilité, températures, incidents.</t>
  </si>
  <si>
    <t>constitute; form; make up</t>
  </si>
  <si>
    <t>Former un dossier/lot/équipe.</t>
  </si>
  <si>
    <t>build; construct</t>
  </si>
  <si>
    <t>Lignes, postes, supports, structures.</t>
  </si>
  <si>
    <t>check; inspect; audit</t>
  </si>
  <si>
    <t>Qualité, conformité, T°, poids, étiquettes.</t>
  </si>
  <si>
    <t>cut; slice</t>
  </si>
  <si>
    <r>
      <t>cortar</t>
    </r>
    <r>
      <rPr>
        <sz val="11"/>
        <color theme="1"/>
        <rFont val="Calibri"/>
        <family val="2"/>
        <scheme val="minor"/>
      </rPr>
      <t>; rebanar</t>
    </r>
  </si>
  <si>
    <t>Taillages précis selon fiche.</t>
  </si>
  <si>
    <t>create; develop</t>
  </si>
  <si>
    <t>Nouvelle recette, visuel, procédure.</t>
  </si>
  <si>
    <t>hollow out; dig; deepen</t>
  </si>
  <si>
    <r>
      <t>ahuecar</t>
    </r>
    <r>
      <rPr>
        <sz val="11"/>
        <color theme="1"/>
        <rFont val="Calibri"/>
        <family val="2"/>
        <scheme val="minor"/>
      </rPr>
      <t>; cavar; profundizar</t>
    </r>
  </si>
  <si>
    <t>Évider légumes/pains ; approfondir un sujet.</t>
  </si>
  <si>
    <t>cultivate; grow</t>
  </si>
  <si>
    <t>Herbes, levains, savoir-faire/équipe.</t>
  </si>
  <si>
    <t>plug in; connect</t>
  </si>
  <si>
    <t>Raccorder un appareil (secteur), une sonde, un périphérique.</t>
  </si>
  <si>
    <t>balayer</t>
  </si>
  <si>
    <t>sweep</t>
  </si>
  <si>
    <t>Nettoyage des sols entre/fin de services.</t>
  </si>
  <si>
    <t>baliser</t>
  </si>
  <si>
    <t>mark out; signpost</t>
  </si>
  <si>
    <t>Marquage zones, flux piétons/chariots, sécurité.</t>
  </si>
  <si>
    <t>baisser</t>
  </si>
  <si>
    <t>lower; reduce</t>
  </si>
  <si>
    <r>
      <t>bajar</t>
    </r>
    <r>
      <rPr>
        <sz val="11"/>
        <color theme="1"/>
        <rFont val="Calibri"/>
        <family val="2"/>
        <scheme val="minor"/>
      </rPr>
      <t>; reducir</t>
    </r>
  </si>
  <si>
    <t>Température, volume sonore, cadence, prix, flamme.</t>
  </si>
  <si>
    <t>bâcher</t>
  </si>
  <si>
    <t>tarp; cover with a tarp</t>
  </si>
  <si>
    <r>
      <t>toldar</t>
    </r>
    <r>
      <rPr>
        <sz val="11"/>
        <color theme="1"/>
        <rFont val="Calibri"/>
        <family val="2"/>
        <scheme val="minor"/>
      </rPr>
      <t>; cubrir con lona</t>
    </r>
  </si>
  <si>
    <t>Protéger palettes/charges en extérieur.</t>
  </si>
  <si>
    <t>basculer</t>
  </si>
  <si>
    <t>switch over; toggle</t>
  </si>
  <si>
    <t>Basculer de mode/ligne/serveur/compte.</t>
  </si>
  <si>
    <t>bâtir</t>
  </si>
  <si>
    <t>Construire un plan, un poste, une structure.</t>
  </si>
  <si>
    <t>bloquer</t>
  </si>
  <si>
    <t>block; lock; freeze</t>
  </si>
  <si>
    <r>
      <t>bloquear</t>
    </r>
    <r>
      <rPr>
        <sz val="11"/>
        <color theme="1"/>
        <rFont val="Calibri"/>
        <family val="2"/>
        <scheme val="minor"/>
      </rPr>
      <t>; inmovilizar</t>
    </r>
  </si>
  <si>
    <t>Bloquer stock/OF, verrouiller une consigne.</t>
  </si>
  <si>
    <t>boucher</t>
  </si>
  <si>
    <t>plug; stop up</t>
  </si>
  <si>
    <r>
      <t>taponar</t>
    </r>
    <r>
      <rPr>
        <sz val="11"/>
        <color theme="1"/>
        <rFont val="Calibri"/>
        <family val="2"/>
        <scheme val="minor"/>
      </rPr>
      <t>; obturar</t>
    </r>
  </si>
  <si>
    <t>Obstruer une fuite; « boucher un trou » planning.</t>
  </si>
  <si>
    <t>boucler</t>
  </si>
  <si>
    <t>close; finalize; loop</t>
  </si>
  <si>
    <r>
      <t>cerrar</t>
    </r>
    <r>
      <rPr>
        <sz val="11"/>
        <color theme="1"/>
        <rFont val="Calibri"/>
        <family val="2"/>
        <scheme val="minor"/>
      </rPr>
      <t>; finalizar</t>
    </r>
  </si>
  <si>
    <t>Boucler un dossier/lot/boucle de rétroaction.</t>
  </si>
  <si>
    <t>boulonner</t>
  </si>
  <si>
    <t>bolt (down)</t>
  </si>
  <si>
    <t>Fixer solidement machines/étagères au sol/mur.</t>
  </si>
  <si>
    <t>brasser</t>
  </si>
  <si>
    <t>mix; brew</t>
  </si>
  <si>
    <r>
      <t>mezclar</t>
    </r>
    <r>
      <rPr>
        <sz val="11"/>
        <color theme="1"/>
        <rFont val="Calibri"/>
        <family val="2"/>
        <scheme val="minor"/>
      </rPr>
      <t xml:space="preserve">; </t>
    </r>
    <r>
      <rPr>
        <b/>
        <sz val="11"/>
        <color theme="1"/>
        <rFont val="Calibri"/>
        <family val="2"/>
        <scheme val="minor"/>
      </rPr>
      <t>fabricar cerveza</t>
    </r>
    <r>
      <rPr>
        <sz val="11"/>
        <color theme="1"/>
        <rFont val="Calibri"/>
        <family val="2"/>
        <scheme val="minor"/>
      </rPr>
      <t xml:space="preserve"> (si bière)</t>
    </r>
  </si>
  <si>
    <t>Mélanger lots/liquides ; brasserie : brasser.</t>
  </si>
  <si>
    <t>briefer</t>
  </si>
  <si>
    <t>brief; give a briefing</t>
  </si>
  <si>
    <t>Consignes d’équipe avant service/production.</t>
  </si>
  <si>
    <t>briquer</t>
  </si>
  <si>
    <t>polish; shine</t>
  </si>
  <si>
    <t>Lustrer inox, plaques, vitrines.</t>
  </si>
  <si>
    <t>brosser</t>
  </si>
  <si>
    <t>brush</t>
  </si>
  <si>
    <t>cepillar</t>
  </si>
  <si>
    <t>Brosser grilles, légumes, chaussures de sécu.</t>
  </si>
  <si>
    <t>budgéter</t>
  </si>
  <si>
    <t>budget; cost out</t>
  </si>
  <si>
    <t>Établir prévisionnel/coût recette/opération.</t>
  </si>
  <si>
    <t>barrer (rayer)</t>
  </si>
  <si>
    <t>cross out; strike through</t>
  </si>
  <si>
    <t>Rayer une ligne sur un bon/étiquette, éviter les doublons.</t>
  </si>
  <si>
    <t>decentralize; devolve</t>
  </si>
  <si>
    <t>Répartir décisions/ressources sur le terrain (sites/équipes), moins de dépendance au siège.</t>
  </si>
  <si>
    <t>draw; sketch; design</t>
  </si>
  <si>
    <r>
      <t>dibujar</t>
    </r>
    <r>
      <rPr>
        <sz val="11"/>
        <color theme="1"/>
        <rFont val="Calibri"/>
        <family val="2"/>
        <scheme val="minor"/>
      </rPr>
      <t xml:space="preserve">; </t>
    </r>
    <r>
      <rPr>
        <b/>
        <sz val="11"/>
        <color theme="1"/>
        <rFont val="Calibri"/>
        <family val="2"/>
        <scheme val="minor"/>
      </rPr>
      <t>diseñar</t>
    </r>
  </si>
  <si>
    <t>Croquis de poste/layout, schéma de pièce, design d’étiquette/pack.</t>
  </si>
  <si>
    <t>document; write up; record</t>
  </si>
  <si>
    <t>Rédiger une preuve/fiche (procédure, contrôle, incident) pour traçabilité et audits.</t>
  </si>
  <si>
    <t>sell off; dispose of; drain</t>
  </si>
  <si>
    <t>Écouler un stock (fin de série/DLC courte) ou évacuer un liquide.</t>
  </si>
  <si>
    <t>write; draft</t>
  </si>
  <si>
    <t>Rédiger recettes, procédures, comptes rendus, e-mails.</t>
  </si>
  <si>
    <t>build; erect</t>
  </si>
  <si>
    <t>Au sens concret (bâtir) ou figuré (construire un plan).</t>
  </si>
  <si>
    <t>carry out; perform</t>
  </si>
  <si>
    <t>Réaliser une tâche/mesure/test selon consigne.</t>
  </si>
  <si>
    <t>develop; formulate</t>
  </si>
  <si>
    <t>Créer/mettre au point une recette, un protocole.</t>
  </si>
  <si>
    <t>fill</t>
  </si>
  <si>
    <t>llenar</t>
  </si>
  <si>
    <t>Remplir contenants (barquettes, bacs, moules).</t>
  </si>
  <si>
    <t>use; employ</t>
  </si>
  <si>
    <t>Employer un outil/un ingrédient/une méthode.</t>
  </si>
  <si>
    <t>record; register; save</t>
  </si>
  <si>
    <t>Traçabilité, températures, lots ; sauvegarder un fichier.</t>
  </si>
  <si>
    <t>maintain; service; upkeep</t>
  </si>
  <si>
    <t>Nettoyage, graissage, petites réparations préventives.</t>
  </si>
  <si>
    <t>send; dispatch</t>
  </si>
  <si>
    <t>Envoi d’échantillons, de documents, expéditions.</t>
  </si>
  <si>
    <t>erect; set up</t>
  </si>
  <si>
    <t>Monter une structure/étagère/auvent (sens concret).</t>
  </si>
  <si>
    <t>establish; set up; draw up</t>
  </si>
  <si>
    <t>Établir une norme/un planning/un rapport.</t>
  </si>
  <si>
    <t>extend; spread; roll out</t>
  </si>
  <si>
    <t>Étendre une pâte/étendre un plan d’action/déployer un outil.</t>
  </si>
  <si>
    <t>examine; inspect</t>
  </si>
  <si>
    <t>Contrôle visuel/qualité, revue de documents.</t>
  </si>
  <si>
    <t>execute; run</t>
  </si>
  <si>
    <t>Exécuter une commande/processus/plan.</t>
  </si>
  <si>
    <t>operate; leverage; exploit</t>
  </si>
  <si>
    <t>Exploiter une ligne/une donnée, tirer parti d’un outil.</t>
  </si>
  <si>
    <t>extract; pull out</t>
  </si>
  <si>
    <r>
      <t>extraer</t>
    </r>
    <r>
      <rPr>
        <sz val="11"/>
        <color theme="1"/>
        <rFont val="Calibri"/>
        <family val="2"/>
        <scheme val="minor"/>
      </rPr>
      <t>; sacar</t>
    </r>
  </si>
  <si>
    <t>Extraire données/jus/échantillon d’un lot.</t>
  </si>
  <si>
    <t>faire + nom (ex. faire un rapport)</t>
  </si>
  <si>
    <t>make / write / prepare (a report)</t>
  </si>
  <si>
    <r>
      <t>hacer / redactar / preparar</t>
    </r>
    <r>
      <rPr>
        <sz val="11"/>
        <color theme="1"/>
        <rFont val="Calibri"/>
        <family val="2"/>
        <scheme val="minor"/>
      </rPr>
      <t xml:space="preserve"> (un informe)</t>
    </r>
  </si>
  <si>
    <t>faire + infinitif (causatif)</t>
  </si>
  <si>
    <t>have/get [sth] done; make [sb] do</t>
  </si>
  <si>
    <r>
      <t>hacer que</t>
    </r>
    <r>
      <rPr>
        <sz val="11"/>
        <color theme="1"/>
        <rFont val="Calibri"/>
        <family val="2"/>
        <scheme val="minor"/>
      </rPr>
      <t xml:space="preserve"> + subj.; </t>
    </r>
    <r>
      <rPr>
        <b/>
        <sz val="11"/>
        <color theme="1"/>
        <rFont val="Calibri"/>
        <family val="2"/>
        <scheme val="minor"/>
      </rPr>
      <t>mandar</t>
    </r>
    <r>
      <rPr>
        <sz val="11"/>
        <color theme="1"/>
        <rFont val="Calibri"/>
        <family val="2"/>
        <scheme val="minor"/>
      </rPr>
      <t xml:space="preserve"> + inf.</t>
    </r>
  </si>
  <si>
    <t>faire cuire / faire bouillir</t>
  </si>
  <si>
    <t>cook / bring to a boil</t>
  </si>
  <si>
    <t>cocer / llevar a ebullición</t>
  </si>
  <si>
    <t>faire revenir / faire rissoler</t>
  </si>
  <si>
    <t>sauté / brown</t>
  </si>
  <si>
    <t>rehogar / dorar</t>
  </si>
  <si>
    <t>Employer le verbe technique plutôt que « faire ».</t>
  </si>
  <si>
    <t>faire fondre</t>
  </si>
  <si>
    <t>Idem : verbe précis recommandé.</t>
  </si>
  <si>
    <t>faire monter (une sauce, une mayo)</t>
  </si>
  <si>
    <t>whip up / mount (with butter)</t>
  </si>
  <si>
    <t>montar / emulsionar</t>
  </si>
  <si>
    <t>faire refroidir / faire réchauffer</t>
  </si>
  <si>
    <t>cool / reheat</t>
  </si>
  <si>
    <t>enfriar / recalentar</t>
  </si>
  <si>
    <t>Préparation &amp; mélange</t>
  </si>
  <si>
    <t>Cuisson &amp; texture</t>
  </si>
  <si>
    <t>Pâtisserie &amp; chocolat</t>
  </si>
  <si>
    <t>Assaisonnement &amp; finition</t>
  </si>
  <si>
    <t>Hygiène, HACCP &amp; qualité</t>
  </si>
  <si>
    <t>Logistique, conditionnement, étiquetage</t>
  </si>
  <si>
    <t>Documentation, gestion &amp; outils</t>
  </si>
  <si>
    <t>Maintenance &amp; sécurité</t>
  </si>
  <si>
    <t>Service &amp; présentation</t>
  </si>
  <si>
    <t>Astuce express</t>
  </si>
  <si>
    <t>generate; produce</t>
  </si>
  <si>
    <t>Générer un rapport, un code-barres, un lot, des alertes, des déchets (by-product).</t>
  </si>
  <si>
    <t>manage; handle; administer</t>
  </si>
  <si>
    <t>Gérer stocks/équipes/planning/incidents : prioriser, affecter, suivre, corriger.</t>
  </si>
  <si>
    <t>identify; pinpoint</t>
  </si>
  <si>
    <t>Repérer un besoin, une non-conformité, une cause racine, un lot.</t>
  </si>
  <si>
    <t>imagine; conceive</t>
  </si>
  <si>
    <t>Idéation recette/process/visuel; brainstorming d’améliorations.</t>
  </si>
  <si>
    <t>register; enter; write down</t>
  </si>
  <si>
    <t>Inscrire en registre/logiciel : lots, T°, actions, participants.</t>
  </si>
  <si>
    <t>insert; slot in</t>
  </si>
  <si>
    <t>Insérer un bac, un document, un step dans un planning/ligne.</t>
  </si>
  <si>
    <t>inspect; examine</t>
  </si>
  <si>
    <r>
      <t>inspeccionar</t>
    </r>
    <r>
      <rPr>
        <sz val="11"/>
        <color theme="1"/>
        <rFont val="Calibri"/>
        <family val="2"/>
        <scheme val="minor"/>
      </rPr>
      <t>; examinar</t>
    </r>
  </si>
  <si>
    <t>Contrôle visuel/HACCP, audit poste/équipement.</t>
  </si>
  <si>
    <t>install; set up</t>
  </si>
  <si>
    <t>Monter un équipement/poste; paramétrer logiciel/sonde.</t>
  </si>
  <si>
    <t>invent; devise</t>
  </si>
  <si>
    <t>Créer une nouvelle recette/méthode/outillage.</t>
  </si>
  <si>
    <t>take inventory; inventory</t>
  </si>
  <si>
    <t>Comptage physique, rapprochement stocks/FIFO/FEFO.</t>
  </si>
  <si>
    <t>locate; pinpoint; geolocate</t>
  </si>
  <si>
    <t>Repérer précisément un poste, un équipement, un lot/colis (étiquette, emplacement), une panne ou une non-conformité sur la ligne/plan. Utiliser références d’emplacement (rangée/étagère/niveau) ou coordonnées (QR/RFID).</t>
  </si>
  <si>
    <t>handle; manipulate; work by hand</t>
  </si>
  <si>
    <r>
      <t>manejar</t>
    </r>
    <r>
      <rPr>
        <sz val="11"/>
        <color theme="1"/>
        <rFont val="Calibri"/>
        <family val="2"/>
        <scheme val="minor"/>
      </rPr>
      <t>; manipular</t>
    </r>
  </si>
  <si>
    <t>Manipulation produit/outil : hygiène (EPI), gestes sûrs; en pâtisserie, travailler à la main.</t>
  </si>
  <si>
    <t>maneuver; operate; steer</t>
  </si>
  <si>
    <t>Chariot/engin/machine; déplacements en zone étroite, règles de sécurité et signaux.</t>
  </si>
  <si>
    <t>measure; take a measurement</t>
  </si>
  <si>
    <r>
      <t>medir</t>
    </r>
    <r>
      <rPr>
        <sz val="11"/>
        <color theme="1"/>
        <rFont val="Calibri"/>
        <family val="2"/>
        <scheme val="minor"/>
      </rPr>
      <t>; tomar medidas</t>
    </r>
  </si>
  <si>
    <t>put; place; set</t>
  </si>
  <si>
    <t>modernize; upgrade</t>
  </si>
  <si>
    <t>Équipements, process, SI; passage à outils digitaux, amélioration ergonomie/sécurité.</t>
  </si>
  <si>
    <t>navigate; browse</t>
  </si>
  <si>
    <t>clean; clean down; sanitize (light)</t>
  </si>
  <si>
    <r>
      <t>limpiar</t>
    </r>
    <r>
      <rPr>
        <sz val="11"/>
        <color theme="1"/>
        <rFont val="Calibri"/>
        <family val="2"/>
        <scheme val="minor"/>
      </rPr>
      <t>; limpiar/sanear</t>
    </r>
  </si>
  <si>
    <t>optimize; streamline</t>
  </si>
  <si>
    <t>Améliorer coûts, temps, flux, réglages (OEE, rendement, pertes). Décrire les leviers : 5S, SMED, standard work.</t>
  </si>
  <si>
    <t>schedule; sequence; dispatch</t>
  </si>
  <si>
    <t>Planifier l’ordre des OF/ lots sur lignes/étuves/fours ; gestion des priorités et des capacités.</t>
  </si>
  <si>
    <t>organize; arrange; set up</t>
  </si>
  <si>
    <t>Structurer poste, planning, documents, zones (5S), répartir les rôles et ressources.</t>
  </si>
  <si>
    <t>plan; schedule</t>
  </si>
  <si>
    <t>Définir tâches, ressources, capacités, jalons (Gantt, planning de four/étuve, équipes).</t>
  </si>
  <si>
    <t>prepare; get ready; set up</t>
  </si>
  <si>
    <t>Mise en place, pesées, matériels, documents; préciser check-list/temps.</t>
  </si>
  <si>
    <t>present; showcase; display</t>
  </si>
  <si>
    <t>Présentation d’un plat/produit/rapport; soigner dressage, visuels, étiquetage.</t>
  </si>
  <si>
    <t>anticipate; forecast; plan ahead</t>
  </si>
  <si>
    <t>Besoins matières, pics d’activité, risques; prévoir plans B (stock tampon, redondance).</t>
  </si>
  <si>
    <t>produce; manufacture; make</t>
  </si>
  <si>
    <t>Fabrication conforme (qualité, traçabilité, rendement); suivre indicateurs (OEE, rebut).</t>
  </si>
  <si>
    <t>program; schedule; set up</t>
  </si>
  <si>
    <t>Programmer machine/étuve, scripts, créneaux; préciser paramètres (temp., temps, cycle).</t>
  </si>
  <si>
    <t>rebuild; re-erect</t>
  </si>
  <si>
    <t>Refaire une structure/organisation sur des bases nouvelles.</t>
  </si>
  <si>
    <t>receive; take delivery</t>
  </si>
  <si>
    <r>
      <t>recepcionar</t>
    </r>
    <r>
      <rPr>
        <sz val="11"/>
        <color theme="1"/>
        <rFont val="Calibri"/>
        <family val="2"/>
        <scheme val="minor"/>
      </rPr>
      <t xml:space="preserve">; </t>
    </r>
    <r>
      <rPr>
        <b/>
        <sz val="11"/>
        <color theme="1"/>
        <rFont val="Calibri"/>
        <family val="2"/>
        <scheme val="minor"/>
      </rPr>
      <t>recibir</t>
    </r>
  </si>
  <si>
    <t>Entrée marchandises : quantité, intégrité, T°, DLC/lot (traçabilité).</t>
  </si>
  <si>
    <t>rebuild; reconstruct</t>
  </si>
  <si>
    <t>reconstruir</t>
  </si>
  <si>
    <t>Après incident/changement majeur : process, équipe, bâtiment.</t>
  </si>
  <si>
    <t>reduce; boil down</t>
  </si>
  <si>
    <r>
      <t>reducir</t>
    </r>
    <r>
      <rPr>
        <sz val="11"/>
        <color theme="1"/>
        <rFont val="Calibri"/>
        <family val="2"/>
        <scheme val="minor"/>
      </rPr>
      <t>; concentrar</t>
    </r>
  </si>
  <si>
    <t>Cuisine : concentrer une sauce ; gestion : réduire coûts/délais.</t>
  </si>
  <si>
    <t>set; adjust; tune</t>
  </si>
  <si>
    <r>
      <t>ajustar</t>
    </r>
    <r>
      <rPr>
        <sz val="11"/>
        <color theme="1"/>
        <rFont val="Calibri"/>
        <family val="2"/>
        <scheme val="minor"/>
      </rPr>
      <t xml:space="preserve">; </t>
    </r>
    <r>
      <rPr>
        <b/>
        <sz val="11"/>
        <color theme="1"/>
        <rFont val="Calibri"/>
        <family val="2"/>
        <scheme val="minor"/>
      </rPr>
      <t>regular</t>
    </r>
  </si>
  <si>
    <t>Régler paramètres machine (T°, vitesse), calibrer un process.</t>
  </si>
  <si>
    <t>regulate; control</t>
  </si>
  <si>
    <r>
      <t>regular</t>
    </r>
    <r>
      <rPr>
        <sz val="11"/>
        <color theme="1"/>
        <rFont val="Calibri"/>
        <family val="2"/>
        <scheme val="minor"/>
      </rPr>
      <t>; controlar</t>
    </r>
  </si>
  <si>
    <t>Stabiliser des variations (débit, T°, pression, flux).</t>
  </si>
  <si>
    <t>reshape; redesign</t>
  </si>
  <si>
    <t>Repenser formes/produit/poste/layout.</t>
  </si>
  <si>
    <t>replace; swap out</t>
  </si>
  <si>
    <t>Pièce, ingrédient, personne (poste) ou lot non conforme.</t>
  </si>
  <si>
    <t>renovate; refurbish; upgrade</t>
  </si>
  <si>
    <t>Locaux/équipements : mise à niveau technique/hygiène.</t>
  </si>
  <si>
    <t>reorganize; restructure</t>
  </si>
  <si>
    <t>Redéfinir rôles/flux/implantation (5S, VSM).</t>
  </si>
  <si>
    <t>repair; fix</t>
  </si>
  <si>
    <t>Maintenance corrective sur machine/outillage/structure.</t>
  </si>
  <si>
    <t>solve; resolve</t>
  </si>
  <si>
    <t>Problème/incident : méthode 5 Why, Ishikawa, action plan.</t>
  </si>
  <si>
    <t>revise; service; review</t>
  </si>
  <si>
    <t>Réviser un document/process ; maintenance périodique.</t>
  </si>
  <si>
    <t>review; reassess</t>
  </si>
  <si>
    <t>Relecture/ajustement d’une recette, procédure, plan.</t>
  </si>
  <si>
    <t>raise awareness; brief</t>
  </si>
  <si>
    <t>Informer/former aux risques, allergènes, bonnes pratiques (HACCP, sécurité).</t>
  </si>
  <si>
    <t>simplify; streamline</t>
  </si>
  <si>
    <t>Réduire étapes, clics, formats; supprimer gaspillages (LEAN).</t>
  </si>
  <si>
    <t>lift; raise</t>
  </si>
  <si>
    <t>Soulever charges/plaques en posture sûre (EPI, gestes et postures).</t>
  </si>
  <si>
    <t>standardize; harmonize</t>
  </si>
  <si>
    <t>Définir standards (recette, réglage, format d’étiquette), 5S/« standard work ».</t>
  </si>
  <si>
    <t>supervise; oversee</t>
  </si>
  <si>
    <t>Encadrer l’exécution, prioriser, débloquer, valider en temps réel.</t>
  </si>
  <si>
    <t>monitor; keep an eye on</t>
  </si>
  <si>
    <t>Suivre T°, temps, niveaux, OEE; alarmes et seuils de contrôle.</t>
  </si>
  <si>
    <t>test; try out; validate</t>
  </si>
  <si>
    <r>
      <t>probar</t>
    </r>
    <r>
      <rPr>
        <sz val="11"/>
        <color theme="1"/>
        <rFont val="Calibri"/>
        <family val="2"/>
        <scheme val="minor"/>
      </rPr>
      <t xml:space="preserve">; </t>
    </r>
    <r>
      <rPr>
        <b/>
        <sz val="11"/>
        <color theme="1"/>
        <rFont val="Calibri"/>
        <family val="2"/>
        <scheme val="minor"/>
      </rPr>
      <t>ensayar</t>
    </r>
    <r>
      <rPr>
        <sz val="11"/>
        <color theme="1"/>
        <rFont val="Calibri"/>
        <family val="2"/>
        <scheme val="minor"/>
      </rPr>
      <t>; validar</t>
    </r>
  </si>
  <si>
    <t>Essais recette/process/machine; définir protocole (critères, échantillonnage, T°, temps) et consigner les résultats.</t>
  </si>
  <si>
    <t>transform; process; convert</t>
  </si>
  <si>
    <t>Transformer matières en produits (découpe, cuisson, mélange) ou données en infos actionnables (ETL).</t>
  </si>
  <si>
    <t>sort; screen; segregate</t>
  </si>
  <si>
    <r>
      <t>clasificar</t>
    </r>
    <r>
      <rPr>
        <sz val="11"/>
        <color theme="1"/>
        <rFont val="Calibri"/>
        <family val="2"/>
        <scheme val="minor"/>
      </rPr>
      <t xml:space="preserve">; </t>
    </r>
    <r>
      <rPr>
        <b/>
        <sz val="11"/>
        <color theme="1"/>
        <rFont val="Calibri"/>
        <family val="2"/>
        <scheme val="minor"/>
      </rPr>
      <t>tri ar</t>
    </r>
    <r>
      <rPr>
        <sz val="11"/>
        <color theme="1"/>
        <rFont val="Calibri"/>
        <family val="2"/>
        <scheme val="minor"/>
      </rPr>
      <t xml:space="preserve"> / separar</t>
    </r>
  </si>
  <si>
    <t>Tri par calibre/qualité/allergènes/déchets; flux dédiés et bacs identifiés (FIFO/FEFO, déchets/valorisation).</t>
  </si>
  <si>
    <t>spray; mist</t>
  </si>
  <si>
    <r>
      <t>vaporizar</t>
    </r>
    <r>
      <rPr>
        <sz val="11"/>
        <color theme="1"/>
        <rFont val="Calibri"/>
        <family val="2"/>
        <scheme val="minor"/>
      </rPr>
      <t>; pulverizar</t>
    </r>
  </si>
  <si>
    <t>Appliquer une fine couche (eau, huile, sirop, alcool, désinfectant). Indiquer produit, dosage et distance (ex. 20–30 cm).</t>
  </si>
  <si>
    <t>check; verify; confirm</t>
  </si>
  <si>
    <r>
      <t>verificar</t>
    </r>
    <r>
      <rPr>
        <sz val="11"/>
        <color theme="1"/>
        <rFont val="Calibri"/>
        <family val="2"/>
        <scheme val="minor"/>
      </rPr>
      <t>; comprobar; confirmar</t>
    </r>
  </si>
  <si>
    <t>Contrôle qualité/HACCP : T° cœur, poids, DLC/lot, intégrité emballage, réglages machine. Consigner résultat (trace).</t>
  </si>
  <si>
    <t>Roll out dough with a rolling pin to a specified thickness.</t>
  </si>
  <si>
    <t>Estirar la masa con rodillo hasta un grosor especificado.</t>
  </si>
  <si>
    <t>HACCP term; often after cooking/rapid chilling.</t>
  </si>
  <si>
    <t>Término APPCC; a menudo tras cocción/enfriamiento rápido.</t>
  </si>
  <si>
    <t>In pastry: “apricot glaze” is used, but “glaze/nap” is more standard.</t>
  </si>
  <si>
    <t>En pastelería: se usa “abrillantar con albaricoque”, pero “abrillantar/napar” es más estándar.</t>
  </si>
  <si>
    <t>For garnish: “serve with a side of…”.</t>
  </si>
  <si>
    <t>Para guarnición: “con guarnición de…”.</t>
  </si>
  <si>
    <t>Production flow; “lidding/sealing” = heat-sealing with film.</t>
  </si>
  <si>
    <t>Flujo de producción; “termosellado” = sellado con film.</t>
  </si>
  <si>
    <t>Product movement/internal logistics.</t>
  </si>
  <si>
    <t>Movimiento de producto/logística interna.</t>
  </si>
  <si>
    <t>Use for numbers/quantities, not the culinary “add”.</t>
  </si>
  <si>
    <t>Usar para números/cantidades, no para “añadir” culinario.</t>
  </si>
  <si>
    <t>Depending on context: document, ingredient, part.</t>
  </si>
  <si>
    <t>Según el contexto: documento, ingrediente, pieza.</t>
  </si>
  <si>
    <t>In service/production: “move fast.”</t>
  </si>
  <si>
    <t>En servicio/producción: “moverse rápido”.</t>
  </si>
  <si>
    <t>Meat/fish: “pound thin.”</t>
  </si>
  <si>
    <t>Carne/pescado: “majar/golpear para afinar.”</t>
  </si>
  <si>
    <t>Use “infuse” if by steeping/maceration.</t>
  </si>
  <si>
    <t>“Dressing” for salads/sauces; “seasoning” for cooking.</t>
  </si>
  <si>
    <t>“Aliño” para ensaladas/salsas; “sazonado” para la cocción.</t>
  </si>
  <si>
    <t>“Season to taste.”</t>
  </si>
  <si>
    <t>“Sazonar al gusto.”</t>
  </si>
  <si>
    <t>Generic step before service/shipping.</t>
  </si>
  <si>
    <t>Etapa genérica antes del servicio/expedición.</t>
  </si>
  <si>
    <t>Self-service, catering, large-batch.</t>
  </si>
  <si>
    <t>Autoservicio, catering, grandes series.</t>
  </si>
  <si>
    <t>Single portion/plate unit.</t>
  </si>
  <si>
    <t>Unidad de ración/platillo.</t>
  </si>
  <si>
    <t>Meal trays.</t>
  </si>
  <si>
    <t>Bandejas de comida.</t>
  </si>
  <si>
    <t>Specify the service (lunch/dinner/etc.).</t>
  </si>
  <si>
    <t>Especificar el servicio (mediodía/noche/etc.).</t>
  </si>
  <si>
    <t>Same.</t>
  </si>
  <si>
    <t>Ídem.</t>
  </si>
  <si>
    <t>“On hold”: items parked before the next step.</t>
  </si>
  <si>
    <t>“En espera”: productos retenidos antes de la siguiente etapa.</t>
  </si>
  <si>
    <t>Bread/meat: “let it rest.”</t>
  </si>
  <si>
    <t>Pan/carne: “dejar reposar”.</t>
  </si>
  <si>
    <t>Wrap the cut (poultry/game) with bacon/lard to protect during cooking (bard).</t>
  </si>
  <si>
    <t>Envolver la pieza (ave/caza) con panceta/tocino para protegerla en la cocción.</t>
  </si>
  <si>
    <t>Batteurs/foets: « whisk » ; pour attendrir/étaler une viande : « pound/majar ».</t>
  </si>
  <si>
    <r>
      <t xml:space="preserve">With mixer/whisk: </t>
    </r>
    <r>
      <rPr>
        <b/>
        <sz val="11"/>
        <color theme="1"/>
        <rFont val="Calibri"/>
        <family val="2"/>
        <scheme val="minor"/>
      </rPr>
      <t>whisk</t>
    </r>
    <r>
      <rPr>
        <sz val="11"/>
        <color theme="1"/>
        <rFont val="Calibri"/>
        <family val="2"/>
        <scheme val="minor"/>
      </rPr>
      <t xml:space="preserve">; to tenderize/flatten meat: </t>
    </r>
    <r>
      <rPr>
        <b/>
        <sz val="11"/>
        <color theme="1"/>
        <rFont val="Calibri"/>
        <family val="2"/>
        <scheme val="minor"/>
      </rPr>
      <t>pound</t>
    </r>
    <r>
      <rPr>
        <sz val="11"/>
        <color theme="1"/>
        <rFont val="Calibri"/>
        <family val="2"/>
        <scheme val="minor"/>
      </rPr>
      <t>.</t>
    </r>
  </si>
  <si>
    <r>
      <t xml:space="preserve">Con batidora/varillas: </t>
    </r>
    <r>
      <rPr>
        <b/>
        <sz val="11"/>
        <color theme="1"/>
        <rFont val="Calibri"/>
        <family val="2"/>
        <scheme val="minor"/>
      </rPr>
      <t>batir</t>
    </r>
    <r>
      <rPr>
        <sz val="11"/>
        <color theme="1"/>
        <rFont val="Calibri"/>
        <family val="2"/>
        <scheme val="minor"/>
      </rPr>
      <t xml:space="preserve">; para ablandar/afinar carne: </t>
    </r>
    <r>
      <rPr>
        <b/>
        <sz val="11"/>
        <color theme="1"/>
        <rFont val="Calibri"/>
        <family val="2"/>
        <scheme val="minor"/>
      </rPr>
      <t>majar/golpear</t>
    </r>
    <r>
      <rPr>
        <sz val="11"/>
        <color theme="1"/>
        <rFont val="Calibri"/>
        <family val="2"/>
        <scheme val="minor"/>
      </rPr>
      <t>.</t>
    </r>
  </si>
  <si>
    <t>Cooking: brief boil/blanch; pastry: eggs + sugar whisked until pale.</t>
  </si>
  <si>
    <t>Cocina: escaldado breve; pastelería: huevos con azúcar batidos hasta blanquear.</t>
  </si>
  <si>
    <t>Onions/mirepoix: light blond color, not dark brown.</t>
  </si>
  <si>
    <t>Cebolla/mirepoix: dorado claro (rubio), no marrón oscuro.</t>
  </si>
  <si>
    <r>
      <t xml:space="preserve">Panadería: </t>
    </r>
    <r>
      <rPr>
        <b/>
        <sz val="11"/>
        <color theme="1"/>
        <rFont val="Calibri"/>
        <family val="2"/>
        <scheme val="minor"/>
      </rPr>
      <t>bolear</t>
    </r>
    <r>
      <rPr>
        <sz val="11"/>
        <color theme="1"/>
        <rFont val="Calibri"/>
        <family val="2"/>
        <scheme val="minor"/>
      </rPr>
      <t xml:space="preserve"> una pieza tensa antes del levado.</t>
    </r>
  </si>
  <si>
    <t>Sear, then cook covered with little liquid over low heat/in the oven (braise).</t>
  </si>
  <si>
    <t>Sellar y luego cocer tapado con poco líquido, a fuego bajo o al horno (brasear/estofar).</t>
  </si>
  <si>
    <t>Tie/truss poultry or a cut for shape and even cooking.</t>
  </si>
  <si>
    <t>Atar/bridar un ave o una pieza para mantener la forma y una cocción uniforme.</t>
  </si>
  <si>
    <t>Grind/crush to reduce particle size/texture (nuts, praliné, spices).</t>
  </si>
  <si>
    <t>Moler/triturar para reducir el tamaño de partícula/ textura (frutos secos, praliné, especias).</t>
  </si>
  <si>
    <t>Candied fruits/peels: cook in syrup until saturated.</t>
  </si>
  <si>
    <t>Frutas/cáscaras confitadas: cocer en almíbar hasta saturar.</t>
  </si>
  <si>
    <t>Use a channel knife on citrus to make decorative long strips.</t>
  </si>
  <si>
    <t>Usar caneleur en cítricos para hacer tiras decorativas largas.</t>
  </si>
  <si>
    <t>Caramelize sugar, crème brûlée tops, or lightly sweet vegetables.</t>
  </si>
  <si>
    <t>Score around chestnuts/tomatoes to prevent bursting.</t>
  </si>
  <si>
    <t>Hacer una incisión circular en castañas/tomates para evitar que revienten.</t>
  </si>
  <si>
    <t>Seal biscuit/tart base to protect from moisture.</t>
  </si>
  <si>
    <t>Impermeabilizar un bizcocho/fondo de tarta contra la humedad.</t>
  </si>
  <si>
    <t>Adjust quantities/times/temperature curves to batch size.</t>
  </si>
  <si>
    <t>Ajustar cantidades/tiempos/curvas de temperatura al tamaño de lote.</t>
  </si>
  <si>
    <t>Change the cooking/transport rack or support.</t>
  </si>
  <si>
    <t>Cambiar el soporte de cocción/transporte.</t>
  </si>
  <si>
    <t>Hot/cold logistics in catering with insulated trolleys.</t>
  </si>
  <si>
    <t>Logística caliente/fría en catering con carros isotermos.</t>
  </si>
  <si>
    <t>Equipment, parts, bins, set-ups.</t>
  </si>
  <si>
    <t>Equipos, piezas, cubetas, configuraciones.</t>
  </si>
  <si>
    <t>Place in trays/bins, then load onto trolleys.</t>
  </si>
  <si>
    <t>Poner en bandejas/cubetas y cargar en carros.</t>
  </si>
  <si>
    <t>Shipping/distribution.</t>
  </si>
  <si>
    <t>Expedición/distribución.</t>
  </si>
  <si>
    <t>Load into the oven.</t>
  </si>
  <si>
    <t>Meter al horno.</t>
  </si>
  <si>
    <t>For self-service/large-batch catering.</t>
  </si>
  <si>
    <t>Para autoservicio/catering en serie.</t>
  </si>
  <si>
    <t>Trays/individual portions.</t>
  </si>
  <si>
    <t>Bandejas/porciones individuales.</t>
  </si>
  <si>
    <t>Devein crayfish/shrimp, or remove the germ from garlic.</t>
  </si>
  <si>
    <t>Desvenar cangrejos/camarones, o quitar el germen del ajo.</t>
  </si>
  <si>
    <t>Heat up a mixture, sauce, or plate.</t>
  </si>
  <si>
    <t>Calentar una preparación, salsa o plato.</t>
  </si>
  <si>
    <t>Glossy cold finish on meats/fish (chaud-froid style).</t>
  </si>
  <si>
    <t>Acabado frío y brillante en carnes/pescados (estilo chaud-froid).</t>
  </si>
  <si>
    <t>Line/coat a mold with butter, paper, biscuit, jelly, etc.</t>
  </si>
  <si>
    <t>Forrar/recubrir un molde con mantequilla, papel, bizcocho, gelatina, etc.</t>
  </si>
  <si>
    <t>Emplatado: solapar las lonchas parcialmente.</t>
  </si>
  <si>
    <t>Crimp/scallop the tart/pie edge with a knife.</t>
  </si>
  <si>
    <t>Festonear el borde de la tarta/empanada con cuchillo.</t>
  </si>
  <si>
    <t>Finely slice shallots / score fish skin.</t>
  </si>
  <si>
    <t>Picar fino la chalota / hacer incisiones en la piel del pescado.</t>
  </si>
  <si>
    <t>Prevent oxidation (fruits, avocados, artichokes).</t>
  </si>
  <si>
    <t>Evitar la oxidación (frutas, aguacates, alcachofas).</t>
  </si>
  <si>
    <t>Clarified butter; clarified stock; separate eggs (whites/yolks).</t>
  </si>
  <si>
    <t>Mantequilla clarificada; caldo clarificado; separar huevos (claras/yemas).</t>
  </si>
  <si>
    <t>Stud an onion with cloves; also stud meats with aromatics.</t>
  </si>
  <si>
    <t>Cebolla claveteada con clavos; también mechar carnes con aromáticos.</t>
  </si>
  <si>
    <t>Set with gelatin / glue elements together.</t>
  </si>
  <si>
    <t>Gelificar con gelatina / unir elementos.</t>
  </si>
  <si>
    <t>Confit in fat (duck), candy in sugar (fruits), or pickle in vinegar.</t>
  </si>
  <si>
    <t>Confitado en grasa (pato), en azúcar (frutas) o encurtido en vinagre.</t>
  </si>
  <si>
    <t>Cold chain, use-by/best-before dates, appropriate containers.</t>
  </si>
  <si>
    <t>Cadena de frío, fechas de caducidad/consumo, envases adecuados.</t>
  </si>
  <si>
    <t>“Demi-deuil” chicken: truffle slices under the skin (describe rather than translate).</t>
  </si>
  <si>
    <t>“Poularda demi-deuil”: láminas de trufa bajo la piel (mejor describir).</t>
  </si>
  <si>
    <t>Quality, core temperature, weight, compliance.</t>
  </si>
  <si>
    <t>Calidad, temperatura en el centro, peso, conformidad.</t>
  </si>
  <si>
    <t>Scrape down the bowl to gather the mixture.</t>
  </si>
  <si>
    <t>Recoger la mezcla en el bol con espátula.</t>
  </si>
  <si>
    <t>Reduce; adjust seasoning; lightly toast to intensify.</t>
  </si>
  <si>
    <t>Reducir; rectificar sazonado; tostar ligeramente para intensificar.</t>
  </si>
  <si>
    <t>Pipe with a pastry bag (éclairs/macarons).</t>
  </si>
  <si>
    <t>Escudillar con manga pastelera (eclairs/macarons).</t>
  </si>
  <si>
    <t>Cracking/splitting of breads/pastries/rinds.</t>
  </si>
  <si>
    <t>Grietas/rajaduras en panes/bollerías/cortezas.</t>
  </si>
  <si>
    <t>Pastry: beat until pale and fluffy.</t>
  </si>
  <si>
    <t>Pastelería: batir hasta mezcla pálida y esponjosa.</t>
  </si>
  <si>
    <t>Let macarons/terrines dry until a skin forms before baking.</t>
  </si>
  <si>
    <t>Dejar secar macarons/terrinas hasta que se forme una piel antes de hornear.</t>
  </si>
  <si>
    <t>Doneness from rare to well-done; monitor temperature.</t>
  </si>
  <si>
    <t>Puntos de cocción de poco hecho a bien cocido; controlar la temperatura.</t>
  </si>
  <si>
    <t>Final cook/finishing step before service/shipping.</t>
  </si>
  <si>
    <t>Cocción/acabado final antes del servicio/expedición.</t>
  </si>
  <si>
    <t>Slow braise in a wine-based marinade with aromatics (daube-style).</t>
  </si>
  <si>
    <r>
      <t xml:space="preserve">Cocción lenta en marinada de vino con aromáticos (estilo </t>
    </r>
    <r>
      <rPr>
        <i/>
        <sz val="11"/>
        <color theme="1"/>
        <rFont val="Calibri"/>
        <family val="2"/>
        <scheme val="minor"/>
      </rPr>
      <t>daube</t>
    </r>
    <r>
      <rPr>
        <sz val="11"/>
        <color theme="1"/>
        <rFont val="Calibri"/>
        <family val="2"/>
        <scheme val="minor"/>
      </rPr>
      <t>).</t>
    </r>
  </si>
  <si>
    <t>Butchery/poultry cutting.</t>
  </si>
  <si>
    <t>Corte de carnicería/aves.</t>
  </si>
  <si>
    <t>Stocks/sauces/wines: separate sediment/fat (decant).</t>
  </si>
  <si>
    <t>Caldos/salsas/vinos: separar sedimentos/grasa (decantar).</t>
  </si>
  <si>
    <t>Unpacking step before production.</t>
  </si>
  <si>
    <t>Etapa de desembalaje previa a la producción.</t>
  </si>
  <si>
    <t>Ring-molded entremets/tarts.</t>
  </si>
  <si>
    <t>Tartas/entremets en aro.</t>
  </si>
  <si>
    <t>Descarga del horno (sacar bandejas/piezas).</t>
  </si>
  <si>
    <t>Truck, oven, trolley (to unload).</t>
  </si>
  <si>
    <t>Camión, horno, carro (para descargar).</t>
  </si>
  <si>
    <t>De-package trays/vacuum bags before use.</t>
  </si>
  <si>
    <t>Abrir barquetas/bolsas de vacío antes de usar.</t>
  </si>
  <si>
    <t>Plating/pastry (decoration task).</t>
  </si>
  <si>
    <t>Emplatado/pastelería (tarea de decoración).</t>
  </si>
  <si>
    <t>Shell/husk nuts, shellfish, grains.</t>
  </si>
  <si>
    <t>Descascarillar frutos secos, mariscos y cereales.</t>
  </si>
  <si>
    <t>Name of step/workstation.</t>
  </si>
  <si>
    <t>Nombre de etapa/taller.</t>
  </si>
  <si>
    <t>Slice/portion/trim.</t>
  </si>
  <si>
    <t>Rebanar/porcionar/parear.</t>
  </si>
  <si>
    <t>Add water/cream to lower the sugar/caramel stage.</t>
  </si>
  <si>
    <t>Añadir agua/nata para bajar el punto del azúcar/caramelo.</t>
  </si>
  <si>
    <t>Viandes/poissons. Orthographe usuelle : défilander.</t>
  </si>
  <si>
    <t>Meats/fish: remove fibers/sinews; common spelling: “défilander.”</t>
  </si>
  <si>
    <t>Carnes/pescados: quitar fibras/nervios; ortografía habitual: «défilander».</t>
  </si>
  <si>
    <t>Bring close to room temperature before working (take the chill off).</t>
  </si>
  <si>
    <t>Remove the cloth/casing from hams/products.</t>
  </si>
  <si>
    <t>Desenfundar/quitar la funda de jamones/productos.</t>
  </si>
  <si>
    <t>Dilute flour/starch/yeast into liquid (make a slurry).</t>
  </si>
  <si>
    <t>Disolver harina/maicena/levadura en un líquido (hacer una papilla).</t>
  </si>
  <si>
    <t>Unmold from a tin/terrine.</t>
  </si>
  <si>
    <t>Desmoldar de un molde/terrina.</t>
  </si>
  <si>
    <t>Remove sinews from meat; devein foie gras.</t>
  </si>
  <si>
    <r>
      <t xml:space="preserve">Desnervar carne; desvenar </t>
    </r>
    <r>
      <rPr>
        <i/>
        <sz val="11"/>
        <color theme="1"/>
        <rFont val="Calibri"/>
        <family val="2"/>
        <scheme val="minor"/>
      </rPr>
      <t>foie gras</t>
    </r>
    <r>
      <rPr>
        <sz val="11"/>
        <color theme="1"/>
        <rFont val="Calibri"/>
        <family val="2"/>
        <scheme val="minor"/>
      </rPr>
      <t>.</t>
    </r>
  </si>
  <si>
    <t>Pit/stone cherries, apricots, olives.</t>
  </si>
  <si>
    <t>Deshuesar cerezas, albaricoques y aceitunas.</t>
  </si>
  <si>
    <t>Crimp/scallop the pastry edge with pincers/knife.</t>
  </si>
  <si>
    <t>Festonear el borde de la masa con pinza/cuchillo.</t>
  </si>
  <si>
    <t>Skim off scum/impurities while reducing.</t>
  </si>
  <si>
    <t>Desespumar/retirar impurezas durante la reducción.</t>
  </si>
  <si>
    <t>Score, blanch, refresh, peel.</t>
  </si>
  <si>
    <t>Hacer incisiones, escaldar, refrescar, pelar.</t>
  </si>
  <si>
    <t>Noun (part of speech).</t>
  </si>
  <si>
    <t>Sustantivo.</t>
  </si>
  <si>
    <t>Verb (part of speech).</t>
  </si>
  <si>
    <t>Verbo.</t>
  </si>
  <si>
    <t>Surfaces/equipment per HACCP protocol.</t>
  </si>
  <si>
    <t>Superficies/equipos según protocolo APPCC.</t>
  </si>
  <si>
    <t>Name of step/procedure.</t>
  </si>
  <si>
    <t>Nombre de etapa/procedimiento.</t>
  </si>
  <si>
    <t>Butchery/poultry/fish: remove bones; fish: debone/“debone fish.”</t>
  </si>
  <si>
    <t>Carnicería/aves/pescado: deshuesar; pescado: desespinar.</t>
  </si>
  <si>
    <t>Dry out choux paste in the pan; purées (cook off moisture).</t>
  </si>
  <si>
    <t>Desecar pasta choux en cazo; purés (evaporar humedad).</t>
  </si>
  <si>
    <t>Step name.</t>
  </si>
  <si>
    <t>Nombre de etapa.</t>
  </si>
  <si>
    <t>Open and remove the product (from its pack).</t>
  </si>
  <si>
    <t>Abrir y extraer el producto (del envase).</t>
  </si>
  <si>
    <t>Inventory/stock management.</t>
  </si>
  <si>
    <t>Gestión de existencias/stock.</t>
  </si>
  <si>
    <t>Action (verb).</t>
  </si>
  <si>
    <t>Acción (verbo).</t>
  </si>
  <si>
    <t>“Cut into brunoise, into batons, etc.”</t>
  </si>
  <si>
    <t>«Cortar en brunoise, en bastones…».</t>
  </si>
  <si>
    <t>Loosen/relax a dough/sauce (add liquid/rest).</t>
  </si>
  <si>
    <t>Aflojar/relajar una masa/salsa (añadir líquido/reposo).</t>
  </si>
  <si>
    <r>
      <t xml:space="preserve">Puff pastry: make the </t>
    </r>
    <r>
      <rPr>
        <i/>
        <sz val="11"/>
        <color theme="1"/>
        <rFont val="Calibri"/>
        <family val="2"/>
        <scheme val="minor"/>
      </rPr>
      <t>détrempe</t>
    </r>
    <r>
      <rPr>
        <sz val="11"/>
        <color theme="1"/>
        <rFont val="Calibri"/>
        <family val="2"/>
        <scheme val="minor"/>
      </rPr>
      <t xml:space="preserve"> (moistened base dough).</t>
    </r>
  </si>
  <si>
    <r>
      <t xml:space="preserve">Hojaldre: preparar la </t>
    </r>
    <r>
      <rPr>
        <i/>
        <sz val="11"/>
        <color theme="1"/>
        <rFont val="Calibri"/>
        <family val="2"/>
        <scheme val="minor"/>
      </rPr>
      <t>détrempe</t>
    </r>
    <r>
      <rPr>
        <sz val="11"/>
        <color theme="1"/>
        <rFont val="Calibri"/>
        <family val="2"/>
        <scheme val="minor"/>
      </rPr>
      <t xml:space="preserve"> (masa base hidratada).</t>
    </r>
  </si>
  <si>
    <t>Arrange/lay out on a tray/sheet.</t>
  </si>
  <si>
    <t>Disponer/colocar en bandeja/placa.</t>
  </si>
  <si>
    <t>Egg-wash for shine/color.</t>
  </si>
  <si>
    <t>Line a mold; layer components.</t>
  </si>
  <si>
    <t>Forrar un molde; superponer capas.</t>
  </si>
  <si>
    <t>Plate the dish; pipe with a pastry bag.</t>
  </si>
  <si>
    <t>Emplatar; escudillar con manga pastelera.</t>
  </si>
  <si>
    <t>Forma preliminar antes del acabado.</t>
  </si>
  <si>
    <t>Remove fish scales.</t>
  </si>
  <si>
    <t>Quitar las escamas del pescado.</t>
  </si>
  <si>
    <t>Shell hard-boiled eggs; shell nuts.</t>
  </si>
  <si>
    <t>Pelar huevos cocidos; descascarillar frutos secos.</t>
  </si>
  <si>
    <t>Scald in very hot water before peeling/processing.</t>
  </si>
  <si>
    <t>Escaldar en agua muy caliente antes de pelar/procesar.</t>
  </si>
  <si>
    <t>Skin (game/fish); remove hide/skin.</t>
  </si>
  <si>
    <t>Shell from pods.</t>
  </si>
  <si>
    <t>Desgranar/sacar de las vainas.</t>
  </si>
  <si>
    <t>Skim while boiling/reducing.</t>
  </si>
  <si>
    <t>Remove fibers/sinews; cut into fine shreds (meats/offal/poultry).</t>
  </si>
  <si>
    <t>Quitar fibras/nervios; deshilachar fino (carnes/menudencias/aves).</t>
  </si>
  <si>
    <t>Slice into slivers (almonds); slice very thin (onions).</t>
  </si>
  <si>
    <t>Laminar en láminas finas (almendras); cortar muy fino (cebollas).</t>
  </si>
  <si>
    <t>Remove the germ from garlic; sprouts from potatoes.</t>
  </si>
  <si>
    <t>Draining step (cheese, fried items, vegetables).</t>
  </si>
  <si>
    <t>Destemming in oenology/table grapes.</t>
  </si>
  <si>
    <t>Despalillado en enología/uvas de mesa.</t>
  </si>
  <si>
    <t>Remove kernels/seeds (corn, pomegranate, peas).</t>
  </si>
  <si>
    <t>Desgranar/retirar granos/semillas (maíz, granada, guisantes).</t>
  </si>
  <si>
    <t>Slice very thin (shallot/onion/meat).</t>
  </si>
  <si>
    <t>Cortar muy fino (chalota/cebolla/carne).</t>
  </si>
  <si>
    <t>Emulsify water + fat (vinaigrette, mayonnaise).</t>
  </si>
  <si>
    <t>Emulsionar agua + grasa (vinagreta, mayonesa).</t>
  </si>
  <si>
    <t>Recubrir en chocolate/empanado/nappage.</t>
  </si>
  <si>
    <t>Name of workshop/operation (stage).</t>
  </si>
  <si>
    <t>Nombre de taller/operación (etapa).</t>
  </si>
  <si>
    <t>Peel/trim vegetables or fruit; use “trim/pare” for meats/fish.</t>
  </si>
  <si>
    <r>
      <t xml:space="preserve">Pelar/limpiar verduras o fruta; para carnes/pescados, </t>
    </r>
    <r>
      <rPr>
        <b/>
        <sz val="11"/>
        <color theme="1"/>
        <rFont val="Calibri"/>
        <family val="2"/>
        <scheme val="minor"/>
      </rPr>
      <t>parear/recortar</t>
    </r>
    <r>
      <rPr>
        <sz val="11"/>
        <color theme="1"/>
        <rFont val="Calibri"/>
        <family val="2"/>
        <scheme val="minor"/>
      </rPr>
      <t>.</t>
    </r>
  </si>
  <si>
    <t>Destem green beans; hull/de-stem strawberries.</t>
  </si>
  <si>
    <r>
      <t xml:space="preserve">Quitar el rabo a las judías; </t>
    </r>
    <r>
      <rPr>
        <b/>
        <sz val="11"/>
        <color theme="1"/>
        <rFont val="Calibri"/>
        <family val="2"/>
        <scheme val="minor"/>
      </rPr>
      <t>deshojar/ quitar el pedúnculo</t>
    </r>
    <r>
      <rPr>
        <sz val="11"/>
        <color theme="1"/>
        <rFont val="Calibri"/>
        <family val="2"/>
        <scheme val="minor"/>
      </rPr>
      <t xml:space="preserve"> a las fresas.</t>
    </r>
  </si>
  <si>
    <t>Cut poultry/veal/fish into thin scallops/escalopes (on the bias).</t>
  </si>
  <si>
    <t>Cortar ave/ternera/pescado en escalopes finos (al sesgo).</t>
  </si>
  <si>
    <t>Spread/roll out doughs; spread creams/batters.</t>
  </si>
  <si>
    <t>Estirar/extend­er masas; extender cremas/aparatos.</t>
  </si>
  <si>
    <t>Apply label (use-by/lot/traceability).</t>
  </si>
  <si>
    <t>Colocar etiqueta (caducidad/lote/trazabilidad).</t>
  </si>
  <si>
    <t>For trays/batches (collective labeling).</t>
  </si>
  <si>
    <t>Para bandejas/lotes (etiquetado colectivo).</t>
  </si>
  <si>
    <t>Individual/unit portion labeling.</t>
  </si>
  <si>
    <t>Etiquetado unitario/por ración.</t>
  </si>
  <si>
    <t>Enrich/thicken a prep; also flesh out garnishes, fillings, spec sheets.</t>
  </si>
  <si>
    <r>
      <t xml:space="preserve">Espesar/enriquecer una preparación; también </t>
    </r>
    <r>
      <rPr>
        <b/>
        <sz val="11"/>
        <color theme="1"/>
        <rFont val="Calibri"/>
        <family val="2"/>
        <scheme val="minor"/>
      </rPr>
      <t>desarrollar</t>
    </r>
    <r>
      <rPr>
        <sz val="11"/>
        <color theme="1"/>
        <rFont val="Calibri"/>
        <family val="2"/>
        <scheme val="minor"/>
      </rPr>
      <t xml:space="preserve"> guarniciones, farsas y fichas técnicas.</t>
    </r>
  </si>
  <si>
    <t>Hollow out zucchinis, apples, breads.</t>
  </si>
  <si>
    <t>Ahuecar calabacines, manzanas, panes.</t>
  </si>
  <si>
    <t>Squeeze/press a lemon; press out clarified brown butter, etc.</t>
  </si>
  <si>
    <t>Exprimir un limón; extraer mantequilla avellana clarificada, etc.</t>
  </si>
  <si>
    <t>Breads, dough pieces, quenelles, cuts of meat.</t>
  </si>
  <si>
    <r>
      <t xml:space="preserve">Panes, porciones de masa, </t>
    </r>
    <r>
      <rPr>
        <i/>
        <sz val="11"/>
        <color theme="1"/>
        <rFont val="Calibri"/>
        <family val="2"/>
        <scheme val="minor"/>
      </rPr>
      <t>quenelles</t>
    </r>
    <r>
      <rPr>
        <sz val="11"/>
        <color theme="1"/>
        <rFont val="Calibri"/>
        <family val="2"/>
        <scheme val="minor"/>
      </rPr>
      <t>, piezas de carne.</t>
    </r>
  </si>
  <si>
    <t>Poultry, vegetables, charcuterie.</t>
  </si>
  <si>
    <t>Aves, verduras, charcutería.</t>
  </si>
  <si>
    <t>Thin layer of jelly/filling/cream to mask/finish.</t>
  </si>
  <si>
    <t>Capa fina de gelatina/relleno/crema para enmascarar/acabar.</t>
  </si>
  <si>
    <t>Lightly flour the bench, item, or mold.</t>
  </si>
  <si>
    <t>Espolvorear ligeramente de harina la mesa, el producto o el molde.</t>
  </si>
  <si>
    <t>Decorative crimp/scallop on pastry/pie edge.</t>
  </si>
  <si>
    <t>Adorno festoneado en el borde de la masa/empanada.</t>
  </si>
  <si>
    <t>Fillet and remove bones.</t>
  </si>
  <si>
    <t>Filetear y quitar espinas/huesos.</t>
  </si>
  <si>
    <t>Packaging/storage step.</t>
  </si>
  <si>
    <t>Etapa de envasado/almacenamiento.</t>
  </si>
  <si>
    <t>Wrap in contact or close the container.</t>
  </si>
  <si>
    <t>Envolver “al contacto” o cerrar la cubeta/recipiente.</t>
  </si>
  <si>
    <t>Fix color (chlorophyll) / set with gelatin.</t>
  </si>
  <si>
    <t>Fijar el color (clorofila) / cuajar con gelatina.</t>
  </si>
  <si>
    <t>Flambé with alcohol; also singe bird plumage.</t>
  </si>
  <si>
    <t>Flambear con alcohol; también chamuscar el plumón del ave.</t>
  </si>
  <si>
    <t>Plating: flank the main item with garnishes.</t>
  </si>
  <si>
    <t>Presentación: pieza flanqueada por guarniciones.</t>
  </si>
  <si>
    <t>Light dusting of flour on bench/dough to prevent sticking.</t>
  </si>
  <si>
    <t>Ligero espolvoreado de harina en mesa/masa para que no se pegue.</t>
  </si>
  <si>
    <t>Incorporate air (whipping/churning) into creams/ice cream.</t>
  </si>
  <si>
    <t>Incorporar aire (batido/mantecación) en cremas/helados.</t>
  </si>
  <si>
    <t>Line the tart/pie tin with rolled-out dough.</t>
  </si>
  <si>
    <t>Forrar el molde de tarta/empanada con la masa estirada.</t>
  </si>
  <si>
    <t>Gently melt butter, chocolate, or cheese.</t>
  </si>
  <si>
    <t>Fundir suavemente mantequilla, chocolate o queso.</t>
  </si>
  <si>
    <t>Whip creams/eggs; emulsify sauces.</t>
  </si>
  <si>
    <t>Batir natas/huevos; emulsionar salsas.</t>
  </si>
  <si>
    <t>Press/strain through a chinois to smooth/extract juices.</t>
  </si>
  <si>
    <t>Pasar presionando por un chino para alisar/extraer jugos.</t>
  </si>
  <si>
    <t>Fill chocolates/croissants/choux.</t>
  </si>
  <si>
    <t>Rellenar bombones/cruasanes/lionesas.</t>
  </si>
  <si>
    <r>
      <t xml:space="preserve">Common misspelling; correct action is </t>
    </r>
    <r>
      <rPr>
        <b/>
        <sz val="11"/>
        <color theme="1"/>
        <rFont val="Calibri"/>
        <family val="2"/>
        <scheme val="minor"/>
      </rPr>
      <t>fraser</t>
    </r>
    <r>
      <rPr>
        <sz val="11"/>
        <color theme="1"/>
        <rFont val="Calibri"/>
        <family val="2"/>
        <scheme val="minor"/>
      </rPr>
      <t xml:space="preserve"> (smear dough to homogenize).</t>
    </r>
  </si>
  <si>
    <r>
      <t xml:space="preserve">Error frecuente; la acción correcta es </t>
    </r>
    <r>
      <rPr>
        <b/>
        <sz val="11"/>
        <color theme="1"/>
        <rFont val="Calibri"/>
        <family val="2"/>
        <scheme val="minor"/>
      </rPr>
      <t>fraser</t>
    </r>
    <r>
      <rPr>
        <sz val="11"/>
        <color theme="1"/>
        <rFont val="Calibri"/>
        <family val="2"/>
        <scheme val="minor"/>
      </rPr>
      <t xml:space="preserve"> (empujar la masa para homogeneizar).</t>
    </r>
  </si>
  <si>
    <t>Chill a tank/syrup/shaker quickly.</t>
  </si>
  <si>
    <t>Enfriar rápidamente una cuba/un jarabe/una coctelera.</t>
  </si>
  <si>
    <t>On marble: smear the dough to bind without overworking gluten.</t>
  </si>
  <si>
    <t>En mármol: empujar la masa para ligar sin sobretrabajar el gluten.</t>
  </si>
  <si>
    <t>Gentle simmer ~95–98 °C.</t>
  </si>
  <si>
    <t>Hervor suave ~95–98 °C.</t>
  </si>
  <si>
    <t>Fry in oil/fat; control temperature and crispness.</t>
  </si>
  <si>
    <t>Freír en aceite/grasa; controlar la temperatura y la textura crujiente.</t>
  </si>
  <si>
    <t>Plate garnish, or fill pastry/dough with cream/filling.</t>
  </si>
  <si>
    <t>Guarnición de plato, o rellenar una masa/pastel con crema/relleno.</t>
  </si>
  <si>
    <t>Logistics: stacking on pallets/trolleys.</t>
  </si>
  <si>
    <t>Logística: apilado en palets/carros.</t>
  </si>
  <si>
    <t>Action of stacking bins/trays/pallets.</t>
  </si>
  <si>
    <t>Acción de apilar cubetas/bandejas/palets.</t>
  </si>
  <si>
    <t>Pastry glazing; vegetables glazed with butter/sugar; meats coated to a glossy finish.</t>
  </si>
  <si>
    <t>Glaseado en pastelería; verduras glaseadas con mantequilla/azúcar; carnes napadas con brillo.</t>
  </si>
  <si>
    <t>Pastry/bakery: gum arabic solution for shine/sealing.</t>
  </si>
  <si>
    <t>Pastelería/panadería: solución de goma arábiga para brillo/impermeabilizar.</t>
  </si>
  <si>
    <t>Sensory check / QA.</t>
  </si>
  <si>
    <t>Control organoléptico / calidad.</t>
  </si>
  <si>
    <t>Sugar recrystallizing; ganache/emulsion splitting.</t>
  </si>
  <si>
    <t>Azúcar que recristaliza; ganache/emulsión que se corta.</t>
  </si>
  <si>
    <t>Trays, molds, machine hinges.</t>
  </si>
  <si>
    <t>Bandejas, moldes, bisagras de máquinas.</t>
  </si>
  <si>
    <t>Golden crust (cheese/crumbs) under oven/salamander.</t>
  </si>
  <si>
    <t>Costra dorada (queso/pan rallado) al horno/salamandra.</t>
  </si>
  <si>
    <t>Meats/fish on the grill; toast bread/nuts.</t>
  </si>
  <si>
    <t>Carnes/pescados a la parrilla; tostar pan/frutos secos.</t>
  </si>
  <si>
    <t>Prep before cooking: scale/gut fish, pluck/gut poultry, trim/pare game.</t>
  </si>
  <si>
    <t>Preparar antes de la cocción: desescamar/eviscerar pescado, desplumar/eviscerar aves, parear/recortar caza.</t>
  </si>
  <si>
    <r>
      <t xml:space="preserve">By knife: </t>
    </r>
    <r>
      <rPr>
        <b/>
        <sz val="11"/>
        <color theme="1"/>
        <rFont val="Calibri"/>
        <family val="2"/>
        <scheme val="minor"/>
      </rPr>
      <t>chop</t>
    </r>
    <r>
      <rPr>
        <sz val="11"/>
        <color theme="1"/>
        <rFont val="Calibri"/>
        <family val="2"/>
        <scheme val="minor"/>
      </rPr>
      <t xml:space="preserve">; with grinder/mill: </t>
    </r>
    <r>
      <rPr>
        <b/>
        <sz val="11"/>
        <color theme="1"/>
        <rFont val="Calibri"/>
        <family val="2"/>
        <scheme val="minor"/>
      </rPr>
      <t>mince/grind</t>
    </r>
    <r>
      <rPr>
        <sz val="11"/>
        <color theme="1"/>
        <rFont val="Calibri"/>
        <family val="2"/>
        <scheme val="minor"/>
      </rPr>
      <t>.</t>
    </r>
  </si>
  <si>
    <r>
      <t xml:space="preserve">Con cuchillo: </t>
    </r>
    <r>
      <rPr>
        <b/>
        <sz val="11"/>
        <color theme="1"/>
        <rFont val="Calibri"/>
        <family val="2"/>
        <scheme val="minor"/>
      </rPr>
      <t>picar</t>
    </r>
    <r>
      <rPr>
        <sz val="11"/>
        <color theme="1"/>
        <rFont val="Calibri"/>
        <family val="2"/>
        <scheme val="minor"/>
      </rPr>
      <t xml:space="preserve">; con picadora/molino: </t>
    </r>
    <r>
      <rPr>
        <b/>
        <sz val="11"/>
        <color theme="1"/>
        <rFont val="Calibri"/>
        <family val="2"/>
        <scheme val="minor"/>
      </rPr>
      <t>moler/triturar</t>
    </r>
    <r>
      <rPr>
        <sz val="11"/>
        <color theme="1"/>
        <rFont val="Calibri"/>
        <family val="2"/>
        <scheme val="minor"/>
      </rPr>
      <t>.</t>
    </r>
  </si>
  <si>
    <t>Rare/literary term: figurative/ornamental decorations in pastry/plating.</t>
  </si>
  <si>
    <t>Término raro/literario: decoraciones figurativas/ornamentales en pastelería/emplatado.</t>
  </si>
  <si>
    <t>Oil a tray/mold/griddle or drizzle/brush as seasoning.</t>
  </si>
  <si>
    <t>Aceitar una bandeja/molde/plancha o aderezar en hilo/pincelar.</t>
  </si>
  <si>
    <t>Pâtisserie : sirop sur biscuit = to soak/calar/emborrachar.</t>
  </si>
  <si>
    <r>
      <t>Pastry: soak a sponge with syrup (</t>
    </r>
    <r>
      <rPr>
        <i/>
        <sz val="11"/>
        <color theme="1"/>
        <rFont val="Calibri"/>
        <family val="2"/>
        <scheme val="minor"/>
      </rPr>
      <t>to soak</t>
    </r>
    <r>
      <rPr>
        <sz val="11"/>
        <color theme="1"/>
        <rFont val="Calibri"/>
        <family val="2"/>
        <scheme val="minor"/>
      </rPr>
      <t>).</t>
    </r>
  </si>
  <si>
    <r>
      <t xml:space="preserve">Pastelería: </t>
    </r>
    <r>
      <rPr>
        <b/>
        <sz val="11"/>
        <color theme="1"/>
        <rFont val="Calibri"/>
        <family val="2"/>
        <scheme val="minor"/>
      </rPr>
      <t>calar/emborrachar</t>
    </r>
    <r>
      <rPr>
        <sz val="11"/>
        <color theme="1"/>
        <rFont val="Calibri"/>
        <family val="2"/>
        <scheme val="minor"/>
      </rPr>
      <t xml:space="preserve"> un bizcocho con almíbar.</t>
    </r>
  </si>
  <si>
    <t>Peau de poisson/viande : score ; pain : greñar.</t>
  </si>
  <si>
    <t>Score fish/meat skin; for bread: score/slash (create grignes).</t>
  </si>
  <si>
    <r>
      <t xml:space="preserve">Practicar cortes en la piel de pescado/carne; en pan: </t>
    </r>
    <r>
      <rPr>
        <b/>
        <sz val="11"/>
        <color theme="1"/>
        <rFont val="Calibri"/>
        <family val="2"/>
        <scheme val="minor"/>
      </rPr>
      <t>greñar</t>
    </r>
    <r>
      <rPr>
        <sz val="11"/>
        <color theme="1"/>
        <rFont val="Calibri"/>
        <family val="2"/>
        <scheme val="minor"/>
      </rPr>
      <t xml:space="preserve"> (hacer cortes).</t>
    </r>
  </si>
  <si>
    <t>Packaging sheet: weights, tray/film type, use-by date, lot, labels, MAP, etc.</t>
  </si>
  <si>
    <r>
      <t xml:space="preserve">Ficha de envasado: gramajes, tipo de barqueta/film, fecha de caducidad, lote, etiquetas, </t>
    </r>
    <r>
      <rPr>
        <b/>
        <sz val="11"/>
        <color theme="1"/>
        <rFont val="Calibri"/>
        <family val="2"/>
        <scheme val="minor"/>
      </rPr>
      <t>ATM</t>
    </r>
    <r>
      <rPr>
        <sz val="11"/>
        <color theme="1"/>
        <rFont val="Calibri"/>
        <family val="2"/>
        <scheme val="minor"/>
      </rPr>
      <t xml:space="preserve"> (atmósfera modificada), etc.</t>
    </r>
  </si>
  <si>
    <t>Infuse liquids/flavors (tea, vanilla, herbs), hot or cold.</t>
  </si>
  <si>
    <t>Infusionar líquidos/aromas (té, vainilla, hierbas), en caliente o en frío.</t>
  </si>
  <si>
    <t>Buffer area/time between steps (cooling, waiting for packaging).</t>
  </si>
  <si>
    <r>
      <t xml:space="preserve">Zona/periodo </t>
    </r>
    <r>
      <rPr>
        <b/>
        <sz val="11"/>
        <color theme="1"/>
        <rFont val="Calibri"/>
        <family val="2"/>
        <scheme val="minor"/>
      </rPr>
      <t>buffer</t>
    </r>
    <r>
      <rPr>
        <sz val="11"/>
        <color theme="1"/>
        <rFont val="Calibri"/>
        <family val="2"/>
        <scheme val="minor"/>
      </rPr>
      <t xml:space="preserve"> entre etapas (enfriado, espera para envasado).</t>
    </r>
  </si>
  <si>
    <t>1) Rebut : « jeter une préparation » = discard.</t>
  </si>
  <si>
    <r>
      <t xml:space="preserve">1) Waste: </t>
    </r>
    <r>
      <rPr>
        <b/>
        <sz val="11"/>
        <color theme="1"/>
        <rFont val="Calibri"/>
        <family val="2"/>
        <scheme val="minor"/>
      </rPr>
      <t>discard</t>
    </r>
    <r>
      <rPr>
        <sz val="11"/>
        <color theme="1"/>
        <rFont val="Calibri"/>
        <family val="2"/>
        <scheme val="minor"/>
      </rPr>
      <t xml:space="preserve"> a preparation.</t>
    </r>
  </si>
  <si>
    <r>
      <t xml:space="preserve">1) Merma: </t>
    </r>
    <r>
      <rPr>
        <b/>
        <sz val="11"/>
        <color theme="1"/>
        <rFont val="Calibri"/>
        <family val="2"/>
        <scheme val="minor"/>
      </rPr>
      <t>desechar</t>
    </r>
    <r>
      <rPr>
        <sz val="11"/>
        <color theme="1"/>
        <rFont val="Calibri"/>
        <family val="2"/>
        <scheme val="minor"/>
      </rPr>
      <t xml:space="preserve"> una preparación.</t>
    </r>
  </si>
  <si>
    <t>2) Mise en cuisson : « jeter les pâtes » = add/drop pasta into boiling water.</t>
  </si>
  <si>
    <r>
      <t xml:space="preserve">2) Cooking: </t>
    </r>
    <r>
      <rPr>
        <b/>
        <sz val="11"/>
        <color theme="1"/>
        <rFont val="Calibri"/>
        <family val="2"/>
        <scheme val="minor"/>
      </rPr>
      <t>add/drop the pasta into boiling water</t>
    </r>
    <r>
      <rPr>
        <sz val="11"/>
        <color theme="1"/>
        <rFont val="Calibri"/>
        <family val="2"/>
        <scheme val="minor"/>
      </rPr>
      <t>.</t>
    </r>
  </si>
  <si>
    <r>
      <t xml:space="preserve">2) Cocción: </t>
    </r>
    <r>
      <rPr>
        <b/>
        <sz val="11"/>
        <color theme="1"/>
        <rFont val="Calibri"/>
        <family val="2"/>
        <scheme val="minor"/>
      </rPr>
      <t>echar la pasta al agua hirviendo</t>
    </r>
    <r>
      <rPr>
        <sz val="11"/>
        <color theme="1"/>
        <rFont val="Calibri"/>
        <family val="2"/>
        <scheme val="minor"/>
      </rPr>
      <t>.</t>
    </r>
  </si>
  <si>
    <t>3) « Jeter en pluie » (semoule, polenta) = sprinkle in pour éviter les grumeaux.</t>
  </si>
  <si>
    <r>
      <t xml:space="preserve">3) </t>
    </r>
    <r>
      <rPr>
        <b/>
        <sz val="11"/>
        <color theme="1"/>
        <rFont val="Calibri"/>
        <family val="2"/>
        <scheme val="minor"/>
      </rPr>
      <t>Sprinkle in</t>
    </r>
    <r>
      <rPr>
        <sz val="11"/>
        <color theme="1"/>
        <rFont val="Calibri"/>
        <family val="2"/>
        <scheme val="minor"/>
      </rPr>
      <t xml:space="preserve"> (semolina, polenta) to avoid lumps.</t>
    </r>
  </si>
  <si>
    <r>
      <t xml:space="preserve">3) </t>
    </r>
    <r>
      <rPr>
        <b/>
        <sz val="11"/>
        <color theme="1"/>
        <rFont val="Calibri"/>
        <family val="2"/>
        <scheme val="minor"/>
      </rPr>
      <t>Echar en lluvia</t>
    </r>
    <r>
      <rPr>
        <sz val="11"/>
        <color theme="1"/>
        <rFont val="Calibri"/>
        <family val="2"/>
        <scheme val="minor"/>
      </rPr>
      <t xml:space="preserve"> (sémola, polenta) para evitar grumos.</t>
    </r>
  </si>
  <si>
    <t>Insert lardoons to baste/protect the meat during cooking (lard).</t>
  </si>
  <si>
    <t>Mechar con tiras de tocino para proteger/regarse durante la cocción.</t>
  </si>
  <si>
    <t>Washing/cleaning stage for product, utensils, and bins.</t>
  </si>
  <si>
    <t>Etapa de lavado/limpieza de producto, utensilios y cubetas.</t>
  </si>
  <si>
    <r>
      <t xml:space="preserve">Fish: </t>
    </r>
    <r>
      <rPr>
        <b/>
        <sz val="11"/>
        <color theme="1"/>
        <rFont val="Calibri"/>
        <family val="2"/>
        <scheme val="minor"/>
      </rPr>
      <t>fillet</t>
    </r>
    <r>
      <rPr>
        <sz val="11"/>
        <color theme="1"/>
        <rFont val="Calibri"/>
        <family val="2"/>
        <scheme val="minor"/>
      </rPr>
      <t xml:space="preserve"> (lift the fillets); bakery: </t>
    </r>
    <r>
      <rPr>
        <b/>
        <sz val="11"/>
        <color theme="1"/>
        <rFont val="Calibri"/>
        <family val="2"/>
        <scheme val="minor"/>
      </rPr>
      <t>let the dough rise/proof</t>
    </r>
    <r>
      <rPr>
        <sz val="11"/>
        <color theme="1"/>
        <rFont val="Calibri"/>
        <family val="2"/>
        <scheme val="minor"/>
      </rPr>
      <t>.</t>
    </r>
  </si>
  <si>
    <r>
      <t xml:space="preserve">Pescado: </t>
    </r>
    <r>
      <rPr>
        <b/>
        <sz val="11"/>
        <color theme="1"/>
        <rFont val="Calibri"/>
        <family val="2"/>
        <scheme val="minor"/>
      </rPr>
      <t>filetear</t>
    </r>
    <r>
      <rPr>
        <sz val="11"/>
        <color theme="1"/>
        <rFont val="Calibri"/>
        <family val="2"/>
        <scheme val="minor"/>
      </rPr>
      <t xml:space="preserve"> (sacar los lomos); panadería: </t>
    </r>
    <r>
      <rPr>
        <b/>
        <sz val="11"/>
        <color theme="1"/>
        <rFont val="Calibri"/>
        <family val="2"/>
        <scheme val="minor"/>
      </rPr>
      <t>dejar levar/fermentar</t>
    </r>
    <r>
      <rPr>
        <sz val="11"/>
        <color theme="1"/>
        <rFont val="Calibri"/>
        <family val="2"/>
        <scheme val="minor"/>
      </rPr>
      <t>.</t>
    </r>
  </si>
  <si>
    <t>Thicken with liaison (egg yolk+cream), roux, starch, beurre manié, gelatin.</t>
  </si>
  <si>
    <r>
      <t xml:space="preserve">Espesar con ligazón (yema+nata), roux, almidón, </t>
    </r>
    <r>
      <rPr>
        <i/>
        <sz val="11"/>
        <color theme="1"/>
        <rFont val="Calibri"/>
        <family val="2"/>
        <scheme val="minor"/>
      </rPr>
      <t>beurre manié</t>
    </r>
    <r>
      <rPr>
        <sz val="11"/>
        <color theme="1"/>
        <rFont val="Calibri"/>
        <family val="2"/>
        <scheme val="minor"/>
      </rPr>
      <t>, gelatina.</t>
    </r>
  </si>
  <si>
    <t>Poisson/abats : rinçage pour ôter limon/impuretés. Terme fr. spécifique.</t>
  </si>
  <si>
    <r>
      <t xml:space="preserve">Rinse fish/offal to remove slime/mud and impurities (FR-specific term </t>
    </r>
    <r>
      <rPr>
        <i/>
        <sz val="11"/>
        <color theme="1"/>
        <rFont val="Calibri"/>
        <family val="2"/>
        <scheme val="minor"/>
      </rPr>
      <t>limoner</t>
    </r>
    <r>
      <rPr>
        <sz val="11"/>
        <color theme="1"/>
        <rFont val="Calibri"/>
        <family val="2"/>
        <scheme val="minor"/>
      </rPr>
      <t>).</t>
    </r>
  </si>
  <si>
    <r>
      <t xml:space="preserve">Enjuagar pescado/menudencias para quitar limo/impurezas (término francés específico </t>
    </r>
    <r>
      <rPr>
        <i/>
        <sz val="11"/>
        <color theme="1"/>
        <rFont val="Calibri"/>
        <family val="2"/>
        <scheme val="minor"/>
      </rPr>
      <t>limoner</t>
    </r>
    <r>
      <rPr>
        <sz val="11"/>
        <color theme="1"/>
        <rFont val="Calibri"/>
        <family val="2"/>
        <scheme val="minor"/>
      </rPr>
      <t>).</t>
    </r>
  </si>
  <si>
    <t>Smooth the surface/texture (creams, ganaches, purées).</t>
  </si>
  <si>
    <t>Alisar la superficie/textura (cremas, ganaches, purés).</t>
  </si>
  <si>
    <t>Nappage/gelée/sirop (pâtisserie) ou beurre clarifié/jus réduit.</t>
  </si>
  <si>
    <t>Glaze with nappage/jelly/syrup (pastry) or brush with clarified butter/reduced jus.</t>
  </si>
  <si>
    <r>
      <t xml:space="preserve">Abrillantar con </t>
    </r>
    <r>
      <rPr>
        <i/>
        <sz val="11"/>
        <color theme="1"/>
        <rFont val="Calibri"/>
        <family val="2"/>
        <scheme val="minor"/>
      </rPr>
      <t>nappage</t>
    </r>
    <r>
      <rPr>
        <sz val="11"/>
        <color theme="1"/>
        <rFont val="Calibri"/>
        <family val="2"/>
        <scheme val="minor"/>
      </rPr>
      <t>/gelatina/almíbar (pastelería) o pincelar con mantequilla clarificada/jugo reducido.</t>
    </r>
  </si>
  <si>
    <t>« Cocotte lutée » : couvercle scellé à la pâte pour cuisson étanche.</t>
  </si>
  <si>
    <t>“Luted” pot: seal the lid with a strip of dough for airtight cooking.</t>
  </si>
  <si>
    <t>Olla “luteada”: sellar la tapa con una tira de masa para cocción hermética.</t>
  </si>
  <si>
    <t>Freeze-drying under vacuum (powders, fruits, herbs).</t>
  </si>
  <si>
    <t>Macerate cold in alcohol/sugar/syrup to flavor/tenderize.</t>
  </si>
  <si>
    <t>Macerar en frío en alcohol/azúcar/almíbar para aromatizar/ablandar.</t>
  </si>
  <si>
    <t>“Frenchar”/deshuesar a la francesa (costillar de cordero, aves).</t>
  </si>
  <si>
    <t>Beurre manié: rub flour and butter together.</t>
  </si>
  <si>
    <r>
      <t>Beurre manié</t>
    </r>
    <r>
      <rPr>
        <sz val="11"/>
        <color theme="1"/>
        <rFont val="Calibri"/>
        <family val="2"/>
        <scheme val="minor"/>
      </rPr>
      <t>: frotar harina con mantequilla.</t>
    </r>
  </si>
  <si>
    <t>Handle with proper hygiene: gloves, tongs, clean flows.</t>
  </si>
  <si>
    <t>Manipular con higiene: guantes, pinzas, flujo limpio.</t>
  </si>
  <si>
    <t>Create a marbled effect in batter, glaze, or chocolate.</t>
  </si>
  <si>
    <t>Marinar en un líquido aromático (perfil ácido/salado/graso).</t>
  </si>
  <si>
    <t>Either labeling/traceability, or grill marks (depends on context).</t>
  </si>
  <si>
    <t>Puede ser etiquetado/trazabilidad o marcas de parrilla (según contexto).</t>
  </si>
  <si>
    <t>Iniciar/ sellar la cocción; marcar en la parrilla.</t>
  </si>
  <si>
    <t>Sugar “grains” (recrystallizes); also kneading/rubbing action.</t>
  </si>
  <si>
    <t>Azúcar que “gran ea” (recristaliza); también acción de amasar/frotar.</t>
  </si>
  <si>
    <t>Generic term for a mixture/preparation.</t>
  </si>
  <si>
    <t>Top with meringue / whip whites with sugar into meringue.</t>
  </si>
  <si>
    <t>Cubrir con merengue / montar claras con azúcar a merengue.</t>
  </si>
  <si>
    <t>Tempering curve (melt → cool → reheat).</t>
  </si>
  <si>
    <t>Curva de atemperado (fundir → enfriar → recalentar).</t>
  </si>
  <si>
    <t>Trasvasar a cubetas GN para reposo/almacenaje.</t>
  </si>
  <si>
    <t>Start cooking (oven, braiser, steamer, etc.).</t>
  </si>
  <si>
    <t>Iniciar la cocción (horno, brasera, vapor, etc.).</t>
  </si>
  <si>
    <t>Cocinar a fuego lento y tapado durante tiempo.</t>
  </si>
  <si>
    <t>Prepare on tray/rack before baking.</t>
  </si>
  <si>
    <t>Preparación en bandeja/rejilla antes del horneado.</t>
  </si>
  <si>
    <t>Tray up for packaging before wrapping/sealing.</t>
  </si>
  <si>
    <t>Poner en cubeta para envasado antes de filmar/termosellar.</t>
  </si>
  <si>
    <t>Internal logistics step (move via trolley/zone).</t>
  </si>
  <si>
    <t>Etapa logística interna (traslado por carro/zona).</t>
  </si>
  <si>
    <t>Whip cream/eggs (volume); mount a sauce with butter; assemble a layered dessert.</t>
  </si>
  <si>
    <t>Montar nata/huevos (volumen); emulsionar una salsa con mantequilla; montar un postre por capas.</t>
  </si>
  <si>
    <t>Age/hang (meat/game) to tenderize and develop flavor.</t>
  </si>
  <si>
    <t>Madurar/orear (carne/caza) para ablandar y potenciar sabor.</t>
  </si>
  <si>
    <t>Añadir fondo/agua/vino hasta el nivel deseado.</t>
  </si>
  <si>
    <t>Pour into a mold / shape in a mold.</t>
  </si>
  <si>
    <t>Verter en un molde / dar la forma en molde.</t>
  </si>
  <si>
    <t>Create a foam (blender, siphon, whisk).</t>
  </si>
  <si>
    <t>Risotto/pilaf step: coat grains in fat until translucent without browning.</t>
  </si>
  <si>
    <t>Paso de risotto/pilaf: envolver los granos en grasa hasta translúcidos sin dorar.</t>
  </si>
  <si>
    <t>Aim for a uniform coating (nappe consistency on the spatula/spoon).</t>
  </si>
  <si>
    <r>
      <t xml:space="preserve">Lograr una capa uniforme (consistencia </t>
    </r>
    <r>
      <rPr>
        <b/>
        <sz val="11"/>
        <color theme="1"/>
        <rFont val="Calibri"/>
        <family val="2"/>
        <scheme val="minor"/>
      </rPr>
      <t>nappe</t>
    </r>
    <r>
      <rPr>
        <sz val="11"/>
        <color theme="1"/>
        <rFont val="Calibri"/>
        <family val="2"/>
        <scheme val="minor"/>
      </rPr>
      <t xml:space="preserve"> en la espátula/cuchara).</t>
    </r>
  </si>
  <si>
    <t>En production alimentaire, « boîte » = le plus souvent boîte de conserve (can). Si c’est un carton logistique, utiliser box/case (ES: caja). Indiquer l’outil : ouvre-boîte/abre-latas; cutter pour carton.</t>
  </si>
  <si>
    <r>
      <t xml:space="preserve">In food production, “boîte” usually means a </t>
    </r>
    <r>
      <rPr>
        <b/>
        <sz val="11"/>
        <color theme="1"/>
        <rFont val="Calibri"/>
        <family val="2"/>
        <scheme val="minor"/>
      </rPr>
      <t>can</t>
    </r>
    <r>
      <rPr>
        <sz val="11"/>
        <color theme="1"/>
        <rFont val="Calibri"/>
        <family val="2"/>
        <scheme val="minor"/>
      </rPr>
      <t xml:space="preserve">. If it’s a logistics carton, use </t>
    </r>
    <r>
      <rPr>
        <b/>
        <sz val="11"/>
        <color theme="1"/>
        <rFont val="Calibri"/>
        <family val="2"/>
        <scheme val="minor"/>
      </rPr>
      <t>box/case</t>
    </r>
    <r>
      <rPr>
        <sz val="11"/>
        <color theme="1"/>
        <rFont val="Calibri"/>
        <family val="2"/>
        <scheme val="minor"/>
      </rPr>
      <t xml:space="preserve">. Specify the tool: </t>
    </r>
    <r>
      <rPr>
        <b/>
        <sz val="11"/>
        <color theme="1"/>
        <rFont val="Calibri"/>
        <family val="2"/>
        <scheme val="minor"/>
      </rPr>
      <t>can opener</t>
    </r>
    <r>
      <rPr>
        <sz val="11"/>
        <color theme="1"/>
        <rFont val="Calibri"/>
        <family val="2"/>
        <scheme val="minor"/>
      </rPr>
      <t xml:space="preserve">; </t>
    </r>
    <r>
      <rPr>
        <b/>
        <sz val="11"/>
        <color theme="1"/>
        <rFont val="Calibri"/>
        <family val="2"/>
        <scheme val="minor"/>
      </rPr>
      <t>box cutter/utility knife</t>
    </r>
    <r>
      <rPr>
        <sz val="11"/>
        <color theme="1"/>
        <rFont val="Calibri"/>
        <family val="2"/>
        <scheme val="minor"/>
      </rPr>
      <t xml:space="preserve"> for cartons.</t>
    </r>
  </si>
  <si>
    <r>
      <t xml:space="preserve">En producción alimentaria, «boîte» suele referirse a una </t>
    </r>
    <r>
      <rPr>
        <b/>
        <sz val="11"/>
        <color theme="1"/>
        <rFont val="Calibri"/>
        <family val="2"/>
        <scheme val="minor"/>
      </rPr>
      <t>lata</t>
    </r>
    <r>
      <rPr>
        <sz val="11"/>
        <color theme="1"/>
        <rFont val="Calibri"/>
        <family val="2"/>
        <scheme val="minor"/>
      </rPr>
      <t xml:space="preserve">. Si es un cartón logístico, usa </t>
    </r>
    <r>
      <rPr>
        <b/>
        <sz val="11"/>
        <color theme="1"/>
        <rFont val="Calibri"/>
        <family val="2"/>
        <scheme val="minor"/>
      </rPr>
      <t>caja</t>
    </r>
    <r>
      <rPr>
        <sz val="11"/>
        <color theme="1"/>
        <rFont val="Calibri"/>
        <family val="2"/>
        <scheme val="minor"/>
      </rPr>
      <t>/</t>
    </r>
    <r>
      <rPr>
        <b/>
        <sz val="11"/>
        <color theme="1"/>
        <rFont val="Calibri"/>
        <family val="2"/>
        <scheme val="minor"/>
      </rPr>
      <t>case</t>
    </r>
    <r>
      <rPr>
        <sz val="11"/>
        <color theme="1"/>
        <rFont val="Calibri"/>
        <family val="2"/>
        <scheme val="minor"/>
      </rPr>
      <t xml:space="preserve">. Indicar la herramienta: </t>
    </r>
    <r>
      <rPr>
        <b/>
        <sz val="11"/>
        <color theme="1"/>
        <rFont val="Calibri"/>
        <family val="2"/>
        <scheme val="minor"/>
      </rPr>
      <t>abre-latas</t>
    </r>
    <r>
      <rPr>
        <sz val="11"/>
        <color theme="1"/>
        <rFont val="Calibri"/>
        <family val="2"/>
        <scheme val="minor"/>
      </rPr>
      <t xml:space="preserve">; </t>
    </r>
    <r>
      <rPr>
        <b/>
        <sz val="11"/>
        <color theme="1"/>
        <rFont val="Calibri"/>
        <family val="2"/>
        <scheme val="minor"/>
      </rPr>
      <t>cúter/cortacajas</t>
    </r>
    <r>
      <rPr>
        <sz val="11"/>
        <color theme="1"/>
        <rFont val="Calibri"/>
        <family val="2"/>
        <scheme val="minor"/>
      </rPr>
      <t xml:space="preserve"> para cartones.</t>
    </r>
  </si>
  <si>
    <t>Assorted selections (pastries, mixed salads).</t>
  </si>
  <si>
    <t>Surtidos (bollería, ensaladas mixtas).</t>
  </si>
  <si>
    <t>Standard breading: flour → egg → breadcrumbs (English breading).</t>
  </si>
  <si>
    <t>Empanado estándar: harina → huevo → pan rallado (empanado inglés).</t>
  </si>
  <si>
    <r>
      <t xml:space="preserve">Cook </t>
    </r>
    <r>
      <rPr>
        <b/>
        <sz val="11"/>
        <color theme="1"/>
        <rFont val="Calibri"/>
        <family val="2"/>
        <scheme val="minor"/>
      </rPr>
      <t>en papillote</t>
    </r>
    <r>
      <rPr>
        <sz val="11"/>
        <color theme="1"/>
        <rFont val="Calibri"/>
        <family val="2"/>
        <scheme val="minor"/>
      </rPr>
      <t xml:space="preserve"> (parchment/foil packet) for fish/veg.</t>
    </r>
  </si>
  <si>
    <r>
      <t xml:space="preserve">Cocción </t>
    </r>
    <r>
      <rPr>
        <b/>
        <sz val="11"/>
        <color theme="1"/>
        <rFont val="Calibri"/>
        <family val="2"/>
        <scheme val="minor"/>
      </rPr>
      <t>en papillote</t>
    </r>
    <r>
      <rPr>
        <sz val="11"/>
        <color theme="1"/>
        <rFont val="Calibri"/>
        <family val="2"/>
        <scheme val="minor"/>
      </rPr>
      <t xml:space="preserve"> (paquete de papel/aluminio) para pescado/verduras.</t>
    </r>
  </si>
  <si>
    <r>
      <t xml:space="preserve">Etapa de </t>
    </r>
    <r>
      <rPr>
        <b/>
        <sz val="11"/>
        <color theme="1"/>
        <rFont val="Calibri"/>
        <family val="2"/>
        <scheme val="minor"/>
      </rPr>
      <t>parado/recorte</t>
    </r>
    <r>
      <rPr>
        <sz val="11"/>
        <color theme="1"/>
        <rFont val="Calibri"/>
        <family val="2"/>
        <scheme val="minor"/>
      </rPr>
      <t xml:space="preserve"> de carnes/pescados/verduras.</t>
    </r>
  </si>
  <si>
    <t>Remove fat/sinew/damaged parts.</t>
  </si>
  <si>
    <t>Retirar partes grasas/nervios/zonas dañadas.</t>
  </si>
  <si>
    <t>Add flavorings (zest, spirits, vanilla, etc.).</t>
  </si>
  <si>
    <t>Añadir aromatizantes (ralladura, alcohol, vainilla, etc.).</t>
  </si>
  <si>
    <t>Sprinkle with fine herbs/cheese/icing sugar, etc.</t>
  </si>
  <si>
    <t>Espolvorear con finas hierbas/queso/azúcar glas, etc.</t>
  </si>
  <si>
    <t>Blast chiller/freezer.</t>
  </si>
  <si>
    <t>Abatidor de temperatura/congelación rápida.</t>
  </si>
  <si>
    <t>Rapid temperature drop.</t>
  </si>
  <si>
    <t>Descenso rápido de temperatura.</t>
  </si>
  <si>
    <t>Also: dredge in flour/breading.</t>
  </si>
  <si>
    <t>También: pasar por harina/empanado.</t>
  </si>
  <si>
    <t>Heat treatment for safety (e.g., pasteurize/sterilize).</t>
  </si>
  <si>
    <t>Tratamiento térmico de seguridad (p. ej., pasteurizar/esterilizar).</t>
  </si>
  <si>
    <t>Two meanings depending on context.</t>
  </si>
  <si>
    <t>Dos sentidos según el contexto.</t>
  </si>
  <si>
    <t>Etapa de pesado de ingredientes/porciones.</t>
  </si>
  <si>
    <t>Leavened doughs and pastry doughs.</t>
  </si>
  <si>
    <t>Masas panificadas y masas pasteleras.</t>
  </si>
  <si>
    <t>Mortar &amp; pestle; crushed ice.</t>
  </si>
  <si>
    <t>Mortero y mano; hielo picado.</t>
  </si>
  <si>
    <t>1) Crimp/scallop pastry edge. 2) Sear to develop fond (“pinch the juices”).</t>
  </si>
  <si>
    <r>
      <t xml:space="preserve">1) Festonear el borde de la masa. 2) Sellar para formar </t>
    </r>
    <r>
      <rPr>
        <i/>
        <sz val="11"/>
        <color theme="1"/>
        <rFont val="Calibri"/>
        <family val="2"/>
        <scheme val="minor"/>
      </rPr>
      <t>fond</t>
    </r>
    <r>
      <rPr>
        <sz val="11"/>
        <color theme="1"/>
        <rFont val="Calibri"/>
        <family val="2"/>
        <scheme val="minor"/>
      </rPr>
      <t>.</t>
    </r>
  </si>
  <si>
    <t>Dock dough to prevent bubbles; prick sausages.</t>
  </si>
  <si>
    <t>Pinchar la masa para evitar ampollas; pinchar salchichas.</t>
  </si>
  <si>
    <t>Spread on a tray to cool/freeze/dry.</t>
  </si>
  <si>
    <t>Extender en bandeja para enfriar/congelar/secar.</t>
  </si>
  <si>
    <r>
      <t xml:space="preserve">Classic </t>
    </r>
    <r>
      <rPr>
        <b/>
        <sz val="11"/>
        <color theme="1"/>
        <rFont val="Calibri"/>
        <family val="2"/>
        <scheme val="minor"/>
      </rPr>
      <t>poêler</t>
    </r>
    <r>
      <rPr>
        <sz val="11"/>
        <color theme="1"/>
        <rFont val="Calibri"/>
        <family val="2"/>
        <scheme val="minor"/>
      </rPr>
      <t xml:space="preserve"> method: butter, covered; modern ≈ sauté/pan-roast.</t>
    </r>
  </si>
  <si>
    <r>
      <t xml:space="preserve">Método clásico </t>
    </r>
    <r>
      <rPr>
        <b/>
        <sz val="11"/>
        <color theme="1"/>
        <rFont val="Calibri"/>
        <family val="2"/>
        <scheme val="minor"/>
      </rPr>
      <t>poêler</t>
    </r>
    <r>
      <rPr>
        <sz val="11"/>
        <color theme="1"/>
        <rFont val="Calibri"/>
        <family val="2"/>
        <scheme val="minor"/>
      </rPr>
      <t>: mantequilla, cubierto; moderno ≈ saltear/sellar en sartén.</t>
    </r>
  </si>
  <si>
    <t>Portioning step.</t>
  </si>
  <si>
    <t>By weight/volume; ladled or cut portions.</t>
  </si>
  <si>
    <t>Por peso/volumen; por cazo o por corte.</t>
  </si>
  <si>
    <t>Paso por cámara de fermentación / levado controlado.</t>
  </si>
  <si>
    <r>
      <t xml:space="preserve">Caramelize hazelnuts/almonds then grind = </t>
    </r>
    <r>
      <rPr>
        <b/>
        <sz val="11"/>
        <color theme="1"/>
        <rFont val="Calibri"/>
        <family val="2"/>
        <scheme val="minor"/>
      </rPr>
      <t>praliné</t>
    </r>
    <r>
      <rPr>
        <sz val="11"/>
        <color theme="1"/>
        <rFont val="Calibri"/>
        <family val="2"/>
        <scheme val="minor"/>
      </rPr>
      <t>.</t>
    </r>
  </si>
  <si>
    <r>
      <t xml:space="preserve">Avellanas/almendras caramelizadas y luego trituradas = </t>
    </r>
    <r>
      <rPr>
        <b/>
        <sz val="11"/>
        <color theme="1"/>
        <rFont val="Calibri"/>
        <family val="2"/>
        <scheme val="minor"/>
      </rPr>
      <t>praliné</t>
    </r>
    <r>
      <rPr>
        <sz val="11"/>
        <color theme="1"/>
        <rFont val="Calibri"/>
        <family val="2"/>
        <scheme val="minor"/>
      </rPr>
      <t>.</t>
    </r>
  </si>
  <si>
    <t>Example: blind-bake a tart shell.</t>
  </si>
  <si>
    <t>Ej.: cocer en blanco una base de tarta.</t>
  </si>
  <si>
    <t>Portion/unit, or QC sample.</t>
  </si>
  <si>
    <t>Ración/pieza o muestra de control de calidad.</t>
  </si>
  <si>
    <t>Mise en place, prep ahead, seasoning.</t>
  </si>
  <si>
    <r>
      <t>Mise en place</t>
    </r>
    <r>
      <rPr>
        <sz val="11"/>
        <color theme="1"/>
        <rFont val="Calibri"/>
        <family val="2"/>
        <scheme val="minor"/>
      </rPr>
      <t>, preparaciones previas, sazonado.</t>
    </r>
  </si>
  <si>
    <r>
      <t xml:space="preserve">Cover: cling film, lid, oiled paper; </t>
    </r>
    <r>
      <rPr>
        <b/>
        <sz val="11"/>
        <color theme="1"/>
        <rFont val="Calibri"/>
        <family val="2"/>
        <scheme val="minor"/>
      </rPr>
      <t>chablonnage</t>
    </r>
    <r>
      <rPr>
        <sz val="11"/>
        <color theme="1"/>
        <rFont val="Calibri"/>
        <family val="2"/>
        <scheme val="minor"/>
      </rPr>
      <t xml:space="preserve"> (thin chocolate seal).</t>
    </r>
  </si>
  <si>
    <r>
      <t xml:space="preserve">Cubrir: film, tapa, papel aceitado; </t>
    </r>
    <r>
      <rPr>
        <b/>
        <sz val="11"/>
        <color theme="1"/>
        <rFont val="Calibri"/>
        <family val="2"/>
        <scheme val="minor"/>
      </rPr>
      <t>chablonnage</t>
    </r>
    <r>
      <rPr>
        <sz val="11"/>
        <color theme="1"/>
        <rFont val="Calibri"/>
        <family val="2"/>
        <scheme val="minor"/>
      </rPr>
      <t xml:space="preserve"> (sellado fino de chocolate).</t>
    </r>
  </si>
  <si>
    <t>Pastry: soak a sponge with syrup/spirits.</t>
  </si>
  <si>
    <t>Pastelería: calar/emborrachar un bizcocho con almíbar/alcohol.</t>
  </si>
  <si>
    <t>1) Au gril/plancha : pivoter la pièce pour obtenir des losanges.</t>
  </si>
  <si>
    <t>On the grill/plancha: rotate the item to create diamond grill marks.</t>
  </si>
  <si>
    <t>En la parrilla/plancha: girar la pieza para formar rombos (marcas de parrilla).</t>
  </si>
  <si>
    <t>2) Inciser la peau (ex. magret) en croisillons avant cuisson.</t>
  </si>
  <si>
    <t>Score the skin (e.g., duck breast) in a crosshatch before cooking.</t>
  </si>
  <si>
    <t>Practicar cortes en la piel (p. ej., magret) en enrejado antes de cocer.</t>
  </si>
  <si>
    <t>3) Décor sur pâte/feuilletage : tracer un quadrillage léger sans couper.</t>
  </si>
  <si>
    <t>For pastry/puff: score a light lattice pattern without cutting through.</t>
  </si>
  <si>
    <t>En masa/hojaldre: marcar un enrejado ligero sin cortar la masa.</t>
  </si>
  <si>
    <r>
      <t xml:space="preserve">Pastry: </t>
    </r>
    <r>
      <rPr>
        <b/>
        <sz val="11"/>
        <color theme="1"/>
        <rFont val="Calibri"/>
        <family val="2"/>
        <scheme val="minor"/>
      </rPr>
      <t>fold down</t>
    </r>
    <r>
      <rPr>
        <sz val="11"/>
        <color theme="1"/>
        <rFont val="Calibri"/>
        <family val="2"/>
        <scheme val="minor"/>
      </rPr>
      <t xml:space="preserve"> batter/meringue; Bakery: </t>
    </r>
    <r>
      <rPr>
        <b/>
        <sz val="11"/>
        <color theme="1"/>
        <rFont val="Calibri"/>
        <family val="2"/>
        <scheme val="minor"/>
      </rPr>
      <t>knock back</t>
    </r>
    <r>
      <rPr>
        <sz val="11"/>
        <color theme="1"/>
        <rFont val="Calibri"/>
        <family val="2"/>
        <scheme val="minor"/>
      </rPr>
      <t xml:space="preserve"> dough after first rise.</t>
    </r>
  </si>
  <si>
    <r>
      <t xml:space="preserve">Pastelería: </t>
    </r>
    <r>
      <rPr>
        <b/>
        <sz val="11"/>
        <color theme="1"/>
        <rFont val="Calibri"/>
        <family val="2"/>
        <scheme val="minor"/>
      </rPr>
      <t>abater/plegar</t>
    </r>
    <r>
      <rPr>
        <sz val="11"/>
        <color theme="1"/>
        <rFont val="Calibri"/>
        <family val="2"/>
        <scheme val="minor"/>
      </rPr>
      <t xml:space="preserve"> la mezcla/merengue; Panadería: </t>
    </r>
    <r>
      <rPr>
        <b/>
        <sz val="11"/>
        <color theme="1"/>
        <rFont val="Calibri"/>
        <family val="2"/>
        <scheme val="minor"/>
      </rPr>
      <t>desgasificar</t>
    </r>
    <r>
      <rPr>
        <sz val="11"/>
        <color theme="1"/>
        <rFont val="Calibri"/>
        <family val="2"/>
        <scheme val="minor"/>
      </rPr>
      <t xml:space="preserve"> la masa tras el primer levado.</t>
    </r>
  </si>
  <si>
    <r>
      <t>Shorten</t>
    </r>
    <r>
      <rPr>
        <sz val="11"/>
        <color theme="1"/>
        <rFont val="Calibri"/>
        <family val="2"/>
        <scheme val="minor"/>
      </rPr>
      <t xml:space="preserve"> gluten network by adding fat; generic: </t>
    </r>
    <r>
      <rPr>
        <b/>
        <sz val="11"/>
        <color theme="1"/>
        <rFont val="Calibri"/>
        <family val="2"/>
        <scheme val="minor"/>
      </rPr>
      <t>shorten</t>
    </r>
    <r>
      <rPr>
        <sz val="11"/>
        <color theme="1"/>
        <rFont val="Calibri"/>
        <family val="2"/>
        <scheme val="minor"/>
      </rPr>
      <t>.</t>
    </r>
  </si>
  <si>
    <r>
      <t>Acortar</t>
    </r>
    <r>
      <rPr>
        <sz val="11"/>
        <color theme="1"/>
        <rFont val="Calibri"/>
        <family val="2"/>
        <scheme val="minor"/>
      </rPr>
      <t xml:space="preserve"> la red de gluten añadiendo grasa; genérico: </t>
    </r>
    <r>
      <rPr>
        <b/>
        <sz val="11"/>
        <color theme="1"/>
        <rFont val="Calibri"/>
        <family val="2"/>
        <scheme val="minor"/>
      </rPr>
      <t>acortar</t>
    </r>
    <r>
      <rPr>
        <sz val="11"/>
        <color theme="1"/>
        <rFont val="Calibri"/>
        <family val="2"/>
        <scheme val="minor"/>
      </rPr>
      <t>.</t>
    </r>
  </si>
  <si>
    <r>
      <t>Blast-chill/ice-bath</t>
    </r>
    <r>
      <rPr>
        <sz val="11"/>
        <color theme="1"/>
        <rFont val="Calibri"/>
        <family val="2"/>
        <scheme val="minor"/>
      </rPr>
      <t xml:space="preserve">; </t>
    </r>
    <r>
      <rPr>
        <b/>
        <sz val="11"/>
        <color theme="1"/>
        <rFont val="Calibri"/>
        <family val="2"/>
        <scheme val="minor"/>
      </rPr>
      <t>refresh/feed</t>
    </r>
    <r>
      <rPr>
        <sz val="11"/>
        <color theme="1"/>
        <rFont val="Calibri"/>
        <family val="2"/>
        <scheme val="minor"/>
      </rPr>
      <t xml:space="preserve"> a starter.</t>
    </r>
  </si>
  <si>
    <r>
      <t>Abatir/enfriar en baño de hielo</t>
    </r>
    <r>
      <rPr>
        <sz val="11"/>
        <color theme="1"/>
        <rFont val="Calibri"/>
        <family val="2"/>
        <scheme val="minor"/>
      </rPr>
      <t xml:space="preserve">; </t>
    </r>
    <r>
      <rPr>
        <b/>
        <sz val="11"/>
        <color theme="1"/>
        <rFont val="Calibri"/>
        <family val="2"/>
        <scheme val="minor"/>
      </rPr>
      <t>refrescar/alimentar</t>
    </r>
    <r>
      <rPr>
        <sz val="11"/>
        <color theme="1"/>
        <rFont val="Calibri"/>
        <family val="2"/>
        <scheme val="minor"/>
      </rPr>
      <t xml:space="preserve"> una masa madre.</t>
    </r>
  </si>
  <si>
    <r>
      <t>Sear lightly without browning</t>
    </r>
    <r>
      <rPr>
        <sz val="11"/>
        <color theme="1"/>
        <rFont val="Calibri"/>
        <family val="2"/>
        <scheme val="minor"/>
      </rPr>
      <t xml:space="preserve"> before braising.</t>
    </r>
  </si>
  <si>
    <r>
      <t>Sellar sin (apenas) dorar</t>
    </r>
    <r>
      <rPr>
        <sz val="11"/>
        <color theme="1"/>
        <rFont val="Calibri"/>
        <family val="2"/>
        <scheme val="minor"/>
      </rPr>
      <t xml:space="preserve"> antes de estofar.</t>
    </r>
  </si>
  <si>
    <r>
      <t>Tidy/clear down</t>
    </r>
    <r>
      <rPr>
        <sz val="11"/>
        <color theme="1"/>
        <rFont val="Calibri"/>
        <family val="2"/>
        <scheme val="minor"/>
      </rPr>
      <t xml:space="preserve"> the station: put away bins/utensils.</t>
    </r>
  </si>
  <si>
    <r>
      <t>Recoger/ordenar</t>
    </r>
    <r>
      <rPr>
        <sz val="11"/>
        <color theme="1"/>
        <rFont val="Calibri"/>
        <family val="2"/>
        <scheme val="minor"/>
      </rPr>
      <t xml:space="preserve"> el puesto: guardar cubetas/utensilios.</t>
    </r>
  </si>
  <si>
    <r>
      <t xml:space="preserve">End-of-service </t>
    </r>
    <r>
      <rPr>
        <b/>
        <sz val="11"/>
        <color theme="1"/>
        <rFont val="Calibri"/>
        <family val="2"/>
        <scheme val="minor"/>
      </rPr>
      <t>clean-down/sanitation</t>
    </r>
    <r>
      <rPr>
        <sz val="11"/>
        <color theme="1"/>
        <rFont val="Calibri"/>
        <family val="2"/>
        <scheme val="minor"/>
      </rPr>
      <t>.</t>
    </r>
  </si>
  <si>
    <r>
      <t>Limpieza</t>
    </r>
    <r>
      <rPr>
        <sz val="11"/>
        <color theme="1"/>
        <rFont val="Calibri"/>
        <family val="2"/>
        <scheme val="minor"/>
      </rPr>
      <t xml:space="preserve"> fin de servicio / </t>
    </r>
    <r>
      <rPr>
        <b/>
        <sz val="11"/>
        <color theme="1"/>
        <rFont val="Calibri"/>
        <family val="2"/>
        <scheme val="minor"/>
      </rPr>
      <t>sanitización</t>
    </r>
    <r>
      <rPr>
        <sz val="11"/>
        <color theme="1"/>
        <rFont val="Calibri"/>
        <family val="2"/>
        <scheme val="minor"/>
      </rPr>
      <t>.</t>
    </r>
  </si>
  <si>
    <r>
      <t xml:space="preserve">Bread/pastries </t>
    </r>
    <r>
      <rPr>
        <b/>
        <sz val="11"/>
        <color theme="1"/>
        <rFont val="Calibri"/>
        <family val="2"/>
        <scheme val="minor"/>
      </rPr>
      <t>going stale</t>
    </r>
    <r>
      <rPr>
        <sz val="11"/>
        <color theme="1"/>
        <rFont val="Calibri"/>
        <family val="2"/>
        <scheme val="minor"/>
      </rPr>
      <t>.</t>
    </r>
  </si>
  <si>
    <r>
      <t xml:space="preserve">Pan/bollerías </t>
    </r>
    <r>
      <rPr>
        <b/>
        <sz val="11"/>
        <color theme="1"/>
        <rFont val="Calibri"/>
        <family val="2"/>
        <scheme val="minor"/>
      </rPr>
      <t>que se endurecen</t>
    </r>
    <r>
      <rPr>
        <sz val="11"/>
        <color theme="1"/>
        <rFont val="Calibri"/>
        <family val="2"/>
        <scheme val="minor"/>
      </rPr>
      <t xml:space="preserve"> (se ponen </t>
    </r>
    <r>
      <rPr>
        <b/>
        <sz val="11"/>
        <color theme="1"/>
        <rFont val="Calibri"/>
        <family val="2"/>
        <scheme val="minor"/>
      </rPr>
      <t>duros</t>
    </r>
    <r>
      <rPr>
        <sz val="11"/>
        <color theme="1"/>
        <rFont val="Calibri"/>
        <family val="2"/>
        <scheme val="minor"/>
      </rPr>
      <t>).</t>
    </r>
  </si>
  <si>
    <r>
      <t xml:space="preserve">Light </t>
    </r>
    <r>
      <rPr>
        <b/>
        <sz val="11"/>
        <color theme="1"/>
        <rFont val="Calibri"/>
        <family val="2"/>
        <scheme val="minor"/>
      </rPr>
      <t>crosshatch/lattice</t>
    </r>
    <r>
      <rPr>
        <sz val="11"/>
        <color theme="1"/>
        <rFont val="Calibri"/>
        <family val="2"/>
        <scheme val="minor"/>
      </rPr>
      <t xml:space="preserve"> scoring on pastry, entremets, chocolate.</t>
    </r>
  </si>
  <si>
    <r>
      <t>Enrejado</t>
    </r>
    <r>
      <rPr>
        <sz val="11"/>
        <color theme="1"/>
        <rFont val="Calibri"/>
        <family val="2"/>
        <scheme val="minor"/>
      </rPr>
      <t xml:space="preserve"> ligero en masa, entremets, chocolate.</t>
    </r>
  </si>
  <si>
    <r>
      <t>Develop and execute</t>
    </r>
    <r>
      <rPr>
        <sz val="11"/>
        <color theme="1"/>
        <rFont val="Calibri"/>
        <family val="2"/>
        <scheme val="minor"/>
      </rPr>
      <t xml:space="preserve"> a recipe.</t>
    </r>
  </si>
  <si>
    <r>
      <t>Desarrollar y ejecutar</t>
    </r>
    <r>
      <rPr>
        <sz val="11"/>
        <color theme="1"/>
        <rFont val="Calibri"/>
        <family val="2"/>
        <scheme val="minor"/>
      </rPr>
      <t xml:space="preserve"> una receta.</t>
    </r>
  </si>
  <si>
    <r>
      <t>Goods-in receiving</t>
    </r>
    <r>
      <rPr>
        <sz val="11"/>
        <color theme="1"/>
        <rFont val="Calibri"/>
        <family val="2"/>
        <scheme val="minor"/>
      </rPr>
      <t xml:space="preserve"> (HACCP).</t>
    </r>
  </si>
  <si>
    <r>
      <t>Recepción</t>
    </r>
    <r>
      <rPr>
        <sz val="11"/>
        <color theme="1"/>
        <rFont val="Calibri"/>
        <family val="2"/>
        <scheme val="minor"/>
      </rPr>
      <t xml:space="preserve"> de mercancías (APPCC).</t>
    </r>
  </si>
  <si>
    <r>
      <t>Pacing/service instruction</t>
    </r>
    <r>
      <rPr>
        <sz val="11"/>
        <color theme="1"/>
        <rFont val="Calibri"/>
        <family val="2"/>
        <scheme val="minor"/>
      </rPr>
      <t xml:space="preserve">; verify </t>
    </r>
    <r>
      <rPr>
        <b/>
        <sz val="11"/>
        <color theme="1"/>
        <rFont val="Calibri"/>
        <family val="2"/>
        <scheme val="minor"/>
      </rPr>
      <t>target core temp</t>
    </r>
    <r>
      <rPr>
        <sz val="11"/>
        <color theme="1"/>
        <rFont val="Calibri"/>
        <family val="2"/>
        <scheme val="minor"/>
      </rPr>
      <t>.</t>
    </r>
  </si>
  <si>
    <r>
      <t>Instrucción de cadencia/servicio</t>
    </r>
    <r>
      <rPr>
        <sz val="11"/>
        <color theme="1"/>
        <rFont val="Calibri"/>
        <family val="2"/>
        <scheme val="minor"/>
      </rPr>
      <t xml:space="preserve">; verificar </t>
    </r>
    <r>
      <rPr>
        <b/>
        <sz val="11"/>
        <color theme="1"/>
        <rFont val="Calibri"/>
        <family val="2"/>
        <scheme val="minor"/>
      </rPr>
      <t>T° en el centro objetivo</t>
    </r>
    <r>
      <rPr>
        <sz val="11"/>
        <color theme="1"/>
        <rFont val="Calibri"/>
        <family val="2"/>
        <scheme val="minor"/>
      </rPr>
      <t>.</t>
    </r>
  </si>
  <si>
    <r>
      <t>Repackage/recontainerize</t>
    </r>
    <r>
      <rPr>
        <sz val="11"/>
        <color theme="1"/>
        <rFont val="Calibri"/>
        <family val="2"/>
        <scheme val="minor"/>
      </rPr>
      <t>; change pack format/state.</t>
    </r>
  </si>
  <si>
    <r>
      <t>Reenvasar/cambiar de envase</t>
    </r>
    <r>
      <rPr>
        <sz val="11"/>
        <color theme="1"/>
        <rFont val="Calibri"/>
        <family val="2"/>
        <scheme val="minor"/>
      </rPr>
      <t>; cambiar formato/estado.</t>
    </r>
  </si>
  <si>
    <r>
      <t>Cover</t>
    </r>
    <r>
      <rPr>
        <sz val="11"/>
        <color theme="1"/>
        <rFont val="Calibri"/>
        <family val="2"/>
        <scheme val="minor"/>
      </rPr>
      <t xml:space="preserve">: film/lid; </t>
    </r>
    <r>
      <rPr>
        <b/>
        <sz val="11"/>
        <color theme="1"/>
        <rFont val="Calibri"/>
        <family val="2"/>
        <scheme val="minor"/>
      </rPr>
      <t>glaze/coat</t>
    </r>
    <r>
      <rPr>
        <sz val="11"/>
        <color theme="1"/>
        <rFont val="Calibri"/>
        <family val="2"/>
        <scheme val="minor"/>
      </rPr>
      <t xml:space="preserve"> with jelly/chocolate.</t>
    </r>
  </si>
  <si>
    <r>
      <t>Cubrir</t>
    </r>
    <r>
      <rPr>
        <sz val="11"/>
        <color theme="1"/>
        <rFont val="Calibri"/>
        <family val="2"/>
        <scheme val="minor"/>
      </rPr>
      <t xml:space="preserve">: film/tapa; </t>
    </r>
    <r>
      <rPr>
        <b/>
        <sz val="11"/>
        <color theme="1"/>
        <rFont val="Calibri"/>
        <family val="2"/>
        <scheme val="minor"/>
      </rPr>
      <t>napar/bañar</t>
    </r>
    <r>
      <rPr>
        <sz val="11"/>
        <color theme="1"/>
        <rFont val="Calibri"/>
        <family val="2"/>
        <scheme val="minor"/>
      </rPr>
      <t xml:space="preserve"> con gelatina/chocolate.</t>
    </r>
  </si>
  <si>
    <r>
      <t>Adjust seasoning</t>
    </r>
    <r>
      <rPr>
        <sz val="11"/>
        <color theme="1"/>
        <rFont val="Calibri"/>
        <family val="2"/>
        <scheme val="minor"/>
      </rPr>
      <t>.</t>
    </r>
  </si>
  <si>
    <r>
      <t>Rectificar el sazonado</t>
    </r>
    <r>
      <rPr>
        <sz val="11"/>
        <color theme="1"/>
        <rFont val="Calibri"/>
        <family val="2"/>
        <scheme val="minor"/>
      </rPr>
      <t>.</t>
    </r>
  </si>
  <si>
    <r>
      <t>Blast chiller, ice bath, ventilation</t>
    </r>
    <r>
      <rPr>
        <sz val="11"/>
        <color theme="1"/>
        <rFont val="Calibri"/>
        <family val="2"/>
        <scheme val="minor"/>
      </rPr>
      <t>.</t>
    </r>
  </si>
  <si>
    <r>
      <t>Abatidor, baño de hielo, ventilación</t>
    </r>
    <r>
      <rPr>
        <sz val="11"/>
        <color theme="1"/>
        <rFont val="Calibri"/>
        <family val="2"/>
        <scheme val="minor"/>
      </rPr>
      <t>.</t>
    </r>
  </si>
  <si>
    <r>
      <t xml:space="preserve">Instruction: cool to </t>
    </r>
    <r>
      <rPr>
        <b/>
        <sz val="11"/>
        <color theme="1"/>
        <rFont val="Calibri"/>
        <family val="2"/>
        <scheme val="minor"/>
      </rPr>
      <t>≤ 9 °C core</t>
    </r>
    <r>
      <rPr>
        <sz val="11"/>
        <color theme="1"/>
        <rFont val="Calibri"/>
        <family val="2"/>
        <scheme val="minor"/>
      </rPr>
      <t xml:space="preserve"> within required time.</t>
    </r>
  </si>
  <si>
    <r>
      <t xml:space="preserve">Consigna: enfriar a </t>
    </r>
    <r>
      <rPr>
        <b/>
        <sz val="11"/>
        <color theme="1"/>
        <rFont val="Calibri"/>
        <family val="2"/>
        <scheme val="minor"/>
      </rPr>
      <t>≤ 9 °C al centro</t>
    </r>
    <r>
      <rPr>
        <sz val="11"/>
        <color theme="1"/>
        <rFont val="Calibri"/>
        <family val="2"/>
        <scheme val="minor"/>
      </rPr>
      <t xml:space="preserve"> en el tiempo requerido.</t>
    </r>
  </si>
  <si>
    <r>
      <t>Controlled reheat</t>
    </r>
    <r>
      <rPr>
        <sz val="11"/>
        <color theme="1"/>
        <rFont val="Calibri"/>
        <family val="2"/>
        <scheme val="minor"/>
      </rPr>
      <t xml:space="preserve"> of cook-chill dishes.</t>
    </r>
  </si>
  <si>
    <r>
      <t>Regeneración controlada</t>
    </r>
    <r>
      <rPr>
        <sz val="11"/>
        <color theme="1"/>
        <rFont val="Calibri"/>
        <family val="2"/>
        <scheme val="minor"/>
      </rPr>
      <t xml:space="preserve"> de platos </t>
    </r>
    <r>
      <rPr>
        <i/>
        <sz val="11"/>
        <color theme="1"/>
        <rFont val="Calibri"/>
        <family val="2"/>
        <scheme val="minor"/>
      </rPr>
      <t>cook-chill</t>
    </r>
    <r>
      <rPr>
        <sz val="11"/>
        <color theme="1"/>
        <rFont val="Calibri"/>
        <family val="2"/>
        <scheme val="minor"/>
      </rPr>
      <t>.</t>
    </r>
  </si>
  <si>
    <r>
      <t>Soak/disperse</t>
    </r>
    <r>
      <rPr>
        <sz val="11"/>
        <color theme="1"/>
        <rFont val="Calibri"/>
        <family val="2"/>
        <scheme val="minor"/>
      </rPr>
      <t xml:space="preserve"> legumes; </t>
    </r>
    <r>
      <rPr>
        <b/>
        <sz val="11"/>
        <color theme="1"/>
        <rFont val="Calibri"/>
        <family val="2"/>
        <scheme val="minor"/>
      </rPr>
      <t>bloom</t>
    </r>
    <r>
      <rPr>
        <sz val="11"/>
        <color theme="1"/>
        <rFont val="Calibri"/>
        <family val="2"/>
        <scheme val="minor"/>
      </rPr>
      <t xml:space="preserve"> gelatin; </t>
    </r>
    <r>
      <rPr>
        <b/>
        <sz val="11"/>
        <color theme="1"/>
        <rFont val="Calibri"/>
        <family val="2"/>
        <scheme val="minor"/>
      </rPr>
      <t>disperse</t>
    </r>
    <r>
      <rPr>
        <sz val="11"/>
        <color theme="1"/>
        <rFont val="Calibri"/>
        <family val="2"/>
        <scheme val="minor"/>
      </rPr>
      <t xml:space="preserve"> powders.</t>
    </r>
  </si>
  <si>
    <r>
      <t>Remojar/dispersar</t>
    </r>
    <r>
      <rPr>
        <sz val="11"/>
        <color theme="1"/>
        <rFont val="Calibri"/>
        <family val="2"/>
        <scheme val="minor"/>
      </rPr>
      <t xml:space="preserve"> legumbres; </t>
    </r>
    <r>
      <rPr>
        <b/>
        <sz val="11"/>
        <color theme="1"/>
        <rFont val="Calibri"/>
        <family val="2"/>
        <scheme val="minor"/>
      </rPr>
      <t>hidratar</t>
    </r>
    <r>
      <rPr>
        <sz val="11"/>
        <color theme="1"/>
        <rFont val="Calibri"/>
        <family val="2"/>
        <scheme val="minor"/>
      </rPr>
      <t xml:space="preserve"> gelatina; </t>
    </r>
    <r>
      <rPr>
        <b/>
        <sz val="11"/>
        <color theme="1"/>
        <rFont val="Calibri"/>
        <family val="2"/>
        <scheme val="minor"/>
      </rPr>
      <t>dispersar</t>
    </r>
    <r>
      <rPr>
        <sz val="11"/>
        <color theme="1"/>
        <rFont val="Calibri"/>
        <family val="2"/>
        <scheme val="minor"/>
      </rPr>
      <t xml:space="preserve"> polvos.</t>
    </r>
  </si>
  <si>
    <r>
      <t>Non-conforming items → scrap/return</t>
    </r>
    <r>
      <rPr>
        <sz val="11"/>
        <color theme="1"/>
        <rFont val="Calibri"/>
        <family val="2"/>
        <scheme val="minor"/>
      </rPr>
      <t>.</t>
    </r>
  </si>
  <si>
    <r>
      <t>Piezas no conformes → merma/devolución</t>
    </r>
    <r>
      <rPr>
        <sz val="11"/>
        <color theme="1"/>
        <rFont val="Calibri"/>
        <family val="2"/>
        <scheme val="minor"/>
      </rPr>
      <t>.</t>
    </r>
  </si>
  <si>
    <t>Action (step).</t>
  </si>
  <si>
    <t>Acción (etapa).</t>
  </si>
  <si>
    <r>
      <t xml:space="preserve">Sauce/dough </t>
    </r>
    <r>
      <rPr>
        <b/>
        <sz val="11"/>
        <color theme="1"/>
        <rFont val="Calibri"/>
        <family val="2"/>
        <scheme val="minor"/>
      </rPr>
      <t>loosens/relaxes</t>
    </r>
    <r>
      <rPr>
        <sz val="11"/>
        <color theme="1"/>
        <rFont val="Calibri"/>
        <family val="2"/>
        <scheme val="minor"/>
      </rPr>
      <t xml:space="preserve"> (with liquid/heat).</t>
    </r>
  </si>
  <si>
    <r>
      <t xml:space="preserve">Salsa/masa </t>
    </r>
    <r>
      <rPr>
        <b/>
        <sz val="11"/>
        <color theme="1"/>
        <rFont val="Calibri"/>
        <family val="2"/>
        <scheme val="minor"/>
      </rPr>
      <t>se afloja</t>
    </r>
    <r>
      <rPr>
        <sz val="11"/>
        <color theme="1"/>
        <rFont val="Calibri"/>
        <family val="2"/>
        <scheme val="minor"/>
      </rPr>
      <t xml:space="preserve"> (con líquido/calor).</t>
    </r>
  </si>
  <si>
    <r>
      <t>Boost</t>
    </r>
    <r>
      <rPr>
        <sz val="11"/>
        <color theme="1"/>
        <rFont val="Calibri"/>
        <family val="2"/>
        <scheme val="minor"/>
      </rPr>
      <t xml:space="preserve"> acidity/spice/salt.</t>
    </r>
  </si>
  <si>
    <r>
      <t>Potenciar</t>
    </r>
    <r>
      <rPr>
        <sz val="11"/>
        <color theme="1"/>
        <rFont val="Calibri"/>
        <family val="2"/>
        <scheme val="minor"/>
      </rPr>
      <t xml:space="preserve"> acidez/especias/sal.</t>
    </r>
  </si>
  <si>
    <r>
      <t>Bring back</t>
    </r>
    <r>
      <rPr>
        <sz val="11"/>
        <color theme="1"/>
        <rFont val="Calibri"/>
        <family val="2"/>
        <scheme val="minor"/>
      </rPr>
      <t xml:space="preserve"> to service/room temp as instructed.</t>
    </r>
  </si>
  <si>
    <r>
      <t>Llevar</t>
    </r>
    <r>
      <rPr>
        <sz val="11"/>
        <color theme="1"/>
        <rFont val="Calibri"/>
        <family val="2"/>
        <scheme val="minor"/>
      </rPr>
      <t xml:space="preserve"> a T° de servicio/ambiente según consigna.</t>
    </r>
  </si>
  <si>
    <t>Process step name.</t>
  </si>
  <si>
    <t>Nombre de etapa del proceso.</t>
  </si>
  <si>
    <r>
      <t>Rescue</t>
    </r>
    <r>
      <rPr>
        <sz val="11"/>
        <color theme="1"/>
        <rFont val="Calibri"/>
        <family val="2"/>
        <scheme val="minor"/>
      </rPr>
      <t xml:space="preserve"> a split mayo (re-emulsify).</t>
    </r>
  </si>
  <si>
    <r>
      <t>Recuperar</t>
    </r>
    <r>
      <rPr>
        <sz val="11"/>
        <color theme="1"/>
        <rFont val="Calibri"/>
        <family val="2"/>
        <scheme val="minor"/>
      </rPr>
      <t xml:space="preserve"> una mayonesa cortada (reemulsionar).</t>
    </r>
  </si>
  <si>
    <r>
      <t>To core</t>
    </r>
    <r>
      <rPr>
        <sz val="11"/>
        <color theme="1"/>
        <rFont val="Calibri"/>
        <family val="2"/>
        <scheme val="minor"/>
      </rPr>
      <t xml:space="preserve"> per standard (e.g., </t>
    </r>
    <r>
      <rPr>
        <b/>
        <sz val="11"/>
        <color theme="1"/>
        <rFont val="Calibri"/>
        <family val="2"/>
        <scheme val="minor"/>
      </rPr>
      <t>≥ 63 °C</t>
    </r>
    <r>
      <rPr>
        <sz val="11"/>
        <color theme="1"/>
        <rFont val="Calibri"/>
        <family val="2"/>
        <scheme val="minor"/>
      </rPr>
      <t>).</t>
    </r>
  </si>
  <si>
    <r>
      <t>A corazón</t>
    </r>
    <r>
      <rPr>
        <sz val="11"/>
        <color theme="1"/>
        <rFont val="Calibri"/>
        <family val="2"/>
        <scheme val="minor"/>
      </rPr>
      <t xml:space="preserve"> según baremo (p. ej., </t>
    </r>
    <r>
      <rPr>
        <b/>
        <sz val="11"/>
        <color theme="1"/>
        <rFont val="Calibri"/>
        <family val="2"/>
        <scheme val="minor"/>
      </rPr>
      <t>≥ 63 °C</t>
    </r>
    <r>
      <rPr>
        <sz val="11"/>
        <color theme="1"/>
        <rFont val="Calibri"/>
        <family val="2"/>
        <scheme val="minor"/>
      </rPr>
      <t>).</t>
    </r>
  </si>
  <si>
    <t>Ingredient/item/equipment.</t>
  </si>
  <si>
    <t>Ingrediente/pieza/equipo.</t>
  </si>
  <si>
    <r>
      <t xml:space="preserve">Abbrev. </t>
    </r>
    <r>
      <rPr>
        <b/>
        <sz val="11"/>
        <color theme="1"/>
        <rFont val="Calibri"/>
        <family val="2"/>
        <scheme val="minor"/>
      </rPr>
      <t>“Barq” = trays</t>
    </r>
    <r>
      <rPr>
        <sz val="11"/>
        <color theme="1"/>
        <rFont val="Calibri"/>
        <family val="2"/>
        <scheme val="minor"/>
      </rPr>
      <t>.</t>
    </r>
  </si>
  <si>
    <r>
      <t xml:space="preserve">Abrev. </t>
    </r>
    <r>
      <rPr>
        <b/>
        <sz val="11"/>
        <color theme="1"/>
        <rFont val="Calibri"/>
        <family val="2"/>
        <scheme val="minor"/>
      </rPr>
      <t>«Barq» = barquetas</t>
    </r>
    <r>
      <rPr>
        <sz val="11"/>
        <color theme="1"/>
        <rFont val="Calibri"/>
        <family val="2"/>
        <scheme val="minor"/>
      </rPr>
      <t>.</t>
    </r>
  </si>
  <si>
    <r>
      <t>Hot/cold logistics</t>
    </r>
    <r>
      <rPr>
        <sz val="11"/>
        <color theme="1"/>
        <rFont val="Calibri"/>
        <family val="2"/>
        <scheme val="minor"/>
      </rPr>
      <t>.</t>
    </r>
  </si>
  <si>
    <r>
      <t>Logística caliente/fría</t>
    </r>
    <r>
      <rPr>
        <sz val="11"/>
        <color theme="1"/>
        <rFont val="Calibri"/>
        <family val="2"/>
        <scheme val="minor"/>
      </rPr>
      <t>.</t>
    </r>
  </si>
  <si>
    <r>
      <t>Stir/scrape</t>
    </r>
    <r>
      <rPr>
        <sz val="11"/>
        <color theme="1"/>
        <rFont val="Calibri"/>
        <family val="2"/>
        <scheme val="minor"/>
      </rPr>
      <t xml:space="preserve"> to keep from sticking to the bottom.</t>
    </r>
  </si>
  <si>
    <r>
      <t>Remover/raspar</t>
    </r>
    <r>
      <rPr>
        <sz val="11"/>
        <color theme="1"/>
        <rFont val="Calibri"/>
        <family val="2"/>
        <scheme val="minor"/>
      </rPr>
      <t xml:space="preserve"> para que no se pegue al fondo.</t>
    </r>
  </si>
  <si>
    <r>
      <t xml:space="preserve">On </t>
    </r>
    <r>
      <rPr>
        <b/>
        <sz val="11"/>
        <color theme="1"/>
        <rFont val="Calibri"/>
        <family val="2"/>
        <scheme val="minor"/>
      </rPr>
      <t>sheet trays</t>
    </r>
    <r>
      <rPr>
        <sz val="11"/>
        <color theme="1"/>
        <rFont val="Calibri"/>
        <family val="2"/>
        <scheme val="minor"/>
      </rPr>
      <t xml:space="preserve">, in </t>
    </r>
    <r>
      <rPr>
        <b/>
        <sz val="11"/>
        <color theme="1"/>
        <rFont val="Calibri"/>
        <family val="2"/>
        <scheme val="minor"/>
      </rPr>
      <t>molds</t>
    </r>
    <r>
      <rPr>
        <sz val="11"/>
        <color theme="1"/>
        <rFont val="Calibri"/>
        <family val="2"/>
        <scheme val="minor"/>
      </rPr>
      <t xml:space="preserve">, by </t>
    </r>
    <r>
      <rPr>
        <b/>
        <sz val="11"/>
        <color theme="1"/>
        <rFont val="Calibri"/>
        <family val="2"/>
        <scheme val="minor"/>
      </rPr>
      <t>portions</t>
    </r>
    <r>
      <rPr>
        <sz val="11"/>
        <color theme="1"/>
        <rFont val="Calibri"/>
        <family val="2"/>
        <scheme val="minor"/>
      </rPr>
      <t>.</t>
    </r>
  </si>
  <si>
    <r>
      <t xml:space="preserve">En </t>
    </r>
    <r>
      <rPr>
        <b/>
        <sz val="11"/>
        <color theme="1"/>
        <rFont val="Calibri"/>
        <family val="2"/>
        <scheme val="minor"/>
      </rPr>
      <t>bandejas</t>
    </r>
    <r>
      <rPr>
        <sz val="11"/>
        <color theme="1"/>
        <rFont val="Calibri"/>
        <family val="2"/>
        <scheme val="minor"/>
      </rPr>
      <t xml:space="preserve">, en </t>
    </r>
    <r>
      <rPr>
        <b/>
        <sz val="11"/>
        <color theme="1"/>
        <rFont val="Calibri"/>
        <family val="2"/>
        <scheme val="minor"/>
      </rPr>
      <t>moldes</t>
    </r>
    <r>
      <rPr>
        <sz val="11"/>
        <color theme="1"/>
        <rFont val="Calibri"/>
        <family val="2"/>
        <scheme val="minor"/>
      </rPr>
      <t xml:space="preserve">, por </t>
    </r>
    <r>
      <rPr>
        <b/>
        <sz val="11"/>
        <color theme="1"/>
        <rFont val="Calibri"/>
        <family val="2"/>
        <scheme val="minor"/>
      </rPr>
      <t>porciones</t>
    </r>
    <r>
      <rPr>
        <sz val="11"/>
        <color theme="1"/>
        <rFont val="Calibri"/>
        <family val="2"/>
        <scheme val="minor"/>
      </rPr>
      <t>.</t>
    </r>
  </si>
  <si>
    <r>
      <t>Allocation/plating plan</t>
    </r>
    <r>
      <rPr>
        <sz val="11"/>
        <color theme="1"/>
        <rFont val="Calibri"/>
        <family val="2"/>
        <scheme val="minor"/>
      </rPr>
      <t xml:space="preserve"> by bins/plates.</t>
    </r>
  </si>
  <si>
    <r>
      <t>Plan de reparto/emplatado</t>
    </r>
    <r>
      <rPr>
        <sz val="11"/>
        <color theme="1"/>
        <rFont val="Calibri"/>
        <family val="2"/>
        <scheme val="minor"/>
      </rPr>
      <t xml:space="preserve"> por cubetas/platos.</t>
    </r>
  </si>
  <si>
    <r>
      <t>Flash</t>
    </r>
    <r>
      <rPr>
        <sz val="11"/>
        <color theme="1"/>
        <rFont val="Calibri"/>
        <family val="2"/>
        <scheme val="minor"/>
      </rPr>
      <t xml:space="preserve"> under the salamander / in the oven.</t>
    </r>
  </si>
  <si>
    <r>
      <t>Dar un golpe</t>
    </r>
    <r>
      <rPr>
        <sz val="11"/>
        <color theme="1"/>
        <rFont val="Calibri"/>
        <family val="2"/>
        <scheme val="minor"/>
      </rPr>
      <t xml:space="preserve"> de salamandra / de horno.</t>
    </r>
  </si>
  <si>
    <r>
      <t>Safety window</t>
    </r>
    <r>
      <rPr>
        <sz val="11"/>
        <color theme="1"/>
        <rFont val="Calibri"/>
        <family val="2"/>
        <scheme val="minor"/>
      </rPr>
      <t xml:space="preserve"> (cooling/reheat/service timing).</t>
    </r>
  </si>
  <si>
    <r>
      <t>Ventana de seguridad</t>
    </r>
    <r>
      <rPr>
        <sz val="11"/>
        <color theme="1"/>
        <rFont val="Calibri"/>
        <family val="2"/>
        <scheme val="minor"/>
      </rPr>
      <t xml:space="preserve"> (enfriado/recalentado/servicio).</t>
    </r>
  </si>
  <si>
    <r>
      <t xml:space="preserve">End of cooking; </t>
    </r>
    <r>
      <rPr>
        <b/>
        <sz val="11"/>
        <color theme="1"/>
        <rFont val="Calibri"/>
        <family val="2"/>
        <scheme val="minor"/>
      </rPr>
      <t>drain/empty the vat</t>
    </r>
    <r>
      <rPr>
        <sz val="11"/>
        <color theme="1"/>
        <rFont val="Calibri"/>
        <family val="2"/>
        <scheme val="minor"/>
      </rPr>
      <t xml:space="preserve">; </t>
    </r>
    <r>
      <rPr>
        <b/>
        <sz val="11"/>
        <color theme="1"/>
        <rFont val="Calibri"/>
        <family val="2"/>
        <scheme val="minor"/>
      </rPr>
      <t>de-ring/unmold</t>
    </r>
    <r>
      <rPr>
        <sz val="11"/>
        <color theme="1"/>
        <rFont val="Calibri"/>
        <family val="2"/>
        <scheme val="minor"/>
      </rPr>
      <t>.</t>
    </r>
  </si>
  <si>
    <r>
      <t xml:space="preserve">Fin de cocción; </t>
    </r>
    <r>
      <rPr>
        <b/>
        <sz val="11"/>
        <color theme="1"/>
        <rFont val="Calibri"/>
        <family val="2"/>
        <scheme val="minor"/>
      </rPr>
      <t>descu bar/vaciar cuba</t>
    </r>
    <r>
      <rPr>
        <sz val="11"/>
        <color theme="1"/>
        <rFont val="Calibri"/>
        <family val="2"/>
        <scheme val="minor"/>
      </rPr>
      <t xml:space="preserve">; </t>
    </r>
    <r>
      <rPr>
        <b/>
        <sz val="11"/>
        <color theme="1"/>
        <rFont val="Calibri"/>
        <family val="2"/>
        <scheme val="minor"/>
      </rPr>
      <t>desmoldar/quitar aro</t>
    </r>
    <r>
      <rPr>
        <sz val="11"/>
        <color theme="1"/>
        <rFont val="Calibri"/>
        <family val="2"/>
        <scheme val="minor"/>
      </rPr>
      <t>.</t>
    </r>
  </si>
  <si>
    <r>
      <t xml:space="preserve">Foam/soufflé/whipped cream </t>
    </r>
    <r>
      <rPr>
        <b/>
        <sz val="11"/>
        <color theme="1"/>
        <rFont val="Calibri"/>
        <family val="2"/>
        <scheme val="minor"/>
      </rPr>
      <t>collapses/deflates</t>
    </r>
    <r>
      <rPr>
        <sz val="11"/>
        <color theme="1"/>
        <rFont val="Calibri"/>
        <family val="2"/>
        <scheme val="minor"/>
      </rPr>
      <t>.</t>
    </r>
  </si>
  <si>
    <r>
      <t xml:space="preserve">Espuma/soufflé/nata montada </t>
    </r>
    <r>
      <rPr>
        <b/>
        <sz val="11"/>
        <color theme="1"/>
        <rFont val="Calibri"/>
        <family val="2"/>
        <scheme val="minor"/>
      </rPr>
      <t>se baja/colapsa</t>
    </r>
    <r>
      <rPr>
        <sz val="11"/>
        <color theme="1"/>
        <rFont val="Calibri"/>
        <family val="2"/>
        <scheme val="minor"/>
      </rPr>
      <t>.</t>
    </r>
  </si>
  <si>
    <r>
      <t>Process flow</t>
    </r>
    <r>
      <rPr>
        <sz val="11"/>
        <color theme="1"/>
        <rFont val="Calibri"/>
        <family val="2"/>
        <scheme val="minor"/>
      </rPr>
      <t xml:space="preserve"> after an intermediate step.</t>
    </r>
  </si>
  <si>
    <r>
      <t>Flujo de proceso</t>
    </r>
    <r>
      <rPr>
        <sz val="11"/>
        <color theme="1"/>
        <rFont val="Calibri"/>
        <family val="2"/>
        <scheme val="minor"/>
      </rPr>
      <t xml:space="preserve"> tras etapa intermedia.</t>
    </r>
  </si>
  <si>
    <r>
      <t xml:space="preserve">During </t>
    </r>
    <r>
      <rPr>
        <b/>
        <sz val="11"/>
        <color theme="1"/>
        <rFont val="Calibri"/>
        <family val="2"/>
        <scheme val="minor"/>
      </rPr>
      <t>cooking/draining/plating</t>
    </r>
    <r>
      <rPr>
        <sz val="11"/>
        <color theme="1"/>
        <rFont val="Calibri"/>
        <family val="2"/>
        <scheme val="minor"/>
      </rPr>
      <t>.</t>
    </r>
  </si>
  <si>
    <r>
      <t xml:space="preserve">En </t>
    </r>
    <r>
      <rPr>
        <b/>
        <sz val="11"/>
        <color theme="1"/>
        <rFont val="Calibri"/>
        <family val="2"/>
        <scheme val="minor"/>
      </rPr>
      <t>cocción/escurrido/emplatado</t>
    </r>
    <r>
      <rPr>
        <sz val="11"/>
        <color theme="1"/>
        <rFont val="Calibri"/>
        <family val="2"/>
        <scheme val="minor"/>
      </rPr>
      <t>.</t>
    </r>
  </si>
  <si>
    <r>
      <t>Sweat/soften</t>
    </r>
    <r>
      <rPr>
        <sz val="11"/>
        <color theme="1"/>
        <rFont val="Calibri"/>
        <family val="2"/>
        <scheme val="minor"/>
      </rPr>
      <t xml:space="preserve"> onions; </t>
    </r>
    <r>
      <rPr>
        <b/>
        <sz val="11"/>
        <color theme="1"/>
        <rFont val="Calibri"/>
        <family val="2"/>
        <scheme val="minor"/>
      </rPr>
      <t>lightly brown</t>
    </r>
    <r>
      <rPr>
        <sz val="11"/>
        <color theme="1"/>
        <rFont val="Calibri"/>
        <family val="2"/>
        <scheme val="minor"/>
      </rPr>
      <t>.</t>
    </r>
  </si>
  <si>
    <r>
      <t>Pochar</t>
    </r>
    <r>
      <rPr>
        <sz val="11"/>
        <color theme="1"/>
        <rFont val="Calibri"/>
        <family val="2"/>
        <scheme val="minor"/>
      </rPr>
      <t xml:space="preserve"> cebollas; </t>
    </r>
    <r>
      <rPr>
        <b/>
        <sz val="11"/>
        <color theme="1"/>
        <rFont val="Calibri"/>
        <family val="2"/>
        <scheme val="minor"/>
      </rPr>
      <t>dorar ligeramente</t>
    </r>
    <r>
      <rPr>
        <sz val="11"/>
        <color theme="1"/>
        <rFont val="Calibri"/>
        <family val="2"/>
        <scheme val="minor"/>
      </rPr>
      <t>.</t>
    </r>
  </si>
  <si>
    <r>
      <t xml:space="preserve">In </t>
    </r>
    <r>
      <rPr>
        <b/>
        <sz val="11"/>
        <color theme="1"/>
        <rFont val="Calibri"/>
        <family val="2"/>
        <scheme val="minor"/>
      </rPr>
      <t>clean/potable water</t>
    </r>
    <r>
      <rPr>
        <sz val="11"/>
        <color theme="1"/>
        <rFont val="Calibri"/>
        <family val="2"/>
        <scheme val="minor"/>
      </rPr>
      <t>.</t>
    </r>
  </si>
  <si>
    <r>
      <t xml:space="preserve">En </t>
    </r>
    <r>
      <rPr>
        <b/>
        <sz val="11"/>
        <color theme="1"/>
        <rFont val="Calibri"/>
        <family val="2"/>
        <scheme val="minor"/>
      </rPr>
      <t>agua limpia/potable</t>
    </r>
    <r>
      <rPr>
        <sz val="11"/>
        <color theme="1"/>
        <rFont val="Calibri"/>
        <family val="2"/>
        <scheme val="minor"/>
      </rPr>
      <t>.</t>
    </r>
  </si>
  <si>
    <r>
      <t xml:space="preserve">Decorative </t>
    </r>
    <r>
      <rPr>
        <b/>
        <sz val="11"/>
        <color theme="1"/>
        <rFont val="Calibri"/>
        <family val="2"/>
        <scheme val="minor"/>
      </rPr>
      <t>scoring/pattern</t>
    </r>
    <r>
      <rPr>
        <sz val="11"/>
        <color theme="1"/>
        <rFont val="Calibri"/>
        <family val="2"/>
        <scheme val="minor"/>
      </rPr>
      <t xml:space="preserve"> on pie/pâté en croûte.</t>
    </r>
  </si>
  <si>
    <r>
      <t>Decorado/calveado</t>
    </r>
    <r>
      <rPr>
        <sz val="11"/>
        <color theme="1"/>
        <rFont val="Calibri"/>
        <family val="2"/>
        <scheme val="minor"/>
      </rPr>
      <t xml:space="preserve"> en tarta/paté en croûte.</t>
    </r>
  </si>
  <si>
    <r>
      <t>Pan-fried</t>
    </r>
    <r>
      <rPr>
        <sz val="11"/>
        <color theme="1"/>
        <rFont val="Calibri"/>
        <family val="2"/>
        <scheme val="minor"/>
      </rPr>
      <t xml:space="preserve"> potatoes; meats </t>
    </r>
    <r>
      <rPr>
        <b/>
        <sz val="11"/>
        <color theme="1"/>
        <rFont val="Calibri"/>
        <family val="2"/>
        <scheme val="minor"/>
      </rPr>
      <t>browned crisp</t>
    </r>
    <r>
      <rPr>
        <sz val="11"/>
        <color theme="1"/>
        <rFont val="Calibri"/>
        <family val="2"/>
        <scheme val="minor"/>
      </rPr>
      <t>.</t>
    </r>
  </si>
  <si>
    <r>
      <t xml:space="preserve">Patatas </t>
    </r>
    <r>
      <rPr>
        <b/>
        <sz val="11"/>
        <color theme="1"/>
        <rFont val="Calibri"/>
        <family val="2"/>
        <scheme val="minor"/>
      </rPr>
      <t>salteadas/doradas</t>
    </r>
    <r>
      <rPr>
        <sz val="11"/>
        <color theme="1"/>
        <rFont val="Calibri"/>
        <family val="2"/>
        <scheme val="minor"/>
      </rPr>
      <t xml:space="preserve">; carnes </t>
    </r>
    <r>
      <rPr>
        <b/>
        <sz val="11"/>
        <color theme="1"/>
        <rFont val="Calibri"/>
        <family val="2"/>
        <scheme val="minor"/>
      </rPr>
      <t>crujientes por fuera</t>
    </r>
    <r>
      <rPr>
        <sz val="11"/>
        <color theme="1"/>
        <rFont val="Calibri"/>
        <family val="2"/>
        <scheme val="minor"/>
      </rPr>
      <t>.</t>
    </r>
  </si>
  <si>
    <r>
      <t>Punch down/degass</t>
    </r>
    <r>
      <rPr>
        <sz val="11"/>
        <color theme="1"/>
        <rFont val="Calibri"/>
        <family val="2"/>
        <scheme val="minor"/>
      </rPr>
      <t xml:space="preserve"> dough after bulk proof.</t>
    </r>
  </si>
  <si>
    <r>
      <t>Desgasificar</t>
    </r>
    <r>
      <rPr>
        <sz val="11"/>
        <color theme="1"/>
        <rFont val="Calibri"/>
        <family val="2"/>
        <scheme val="minor"/>
      </rPr>
      <t xml:space="preserve"> la masa tras el primer levado.</t>
    </r>
  </si>
  <si>
    <r>
      <t>Dry oven/rotisserie</t>
    </r>
    <r>
      <rPr>
        <sz val="11"/>
        <color theme="1"/>
        <rFont val="Calibri"/>
        <family val="2"/>
        <scheme val="minor"/>
      </rPr>
      <t xml:space="preserve"> with regular </t>
    </r>
    <r>
      <rPr>
        <b/>
        <sz val="11"/>
        <color theme="1"/>
        <rFont val="Calibri"/>
        <family val="2"/>
        <scheme val="minor"/>
      </rPr>
      <t>basting</t>
    </r>
    <r>
      <rPr>
        <sz val="11"/>
        <color theme="1"/>
        <rFont val="Calibri"/>
        <family val="2"/>
        <scheme val="minor"/>
      </rPr>
      <t>.</t>
    </r>
  </si>
  <si>
    <r>
      <t>Horno seco/rotisser</t>
    </r>
    <r>
      <rPr>
        <sz val="11"/>
        <color theme="1"/>
        <rFont val="Calibri"/>
        <family val="2"/>
        <scheme val="minor"/>
      </rPr>
      <t xml:space="preserve"> con </t>
    </r>
    <r>
      <rPr>
        <b/>
        <sz val="11"/>
        <color theme="1"/>
        <rFont val="Calibri"/>
        <family val="2"/>
        <scheme val="minor"/>
      </rPr>
      <t>regado</t>
    </r>
    <r>
      <rPr>
        <sz val="11"/>
        <color theme="1"/>
        <rFont val="Calibri"/>
        <family val="2"/>
        <scheme val="minor"/>
      </rPr>
      <t xml:space="preserve"> regular.</t>
    </r>
  </si>
  <si>
    <r>
      <t>Roll out</t>
    </r>
    <r>
      <rPr>
        <sz val="11"/>
        <color theme="1"/>
        <rFont val="Calibri"/>
        <family val="2"/>
        <scheme val="minor"/>
      </rPr>
      <t xml:space="preserve"> dough; </t>
    </r>
    <r>
      <rPr>
        <b/>
        <sz val="11"/>
        <color theme="1"/>
        <rFont val="Calibri"/>
        <family val="2"/>
        <scheme val="minor"/>
      </rPr>
      <t>roll</t>
    </r>
    <r>
      <rPr>
        <sz val="11"/>
        <color theme="1"/>
        <rFont val="Calibri"/>
        <family val="2"/>
        <scheme val="minor"/>
      </rPr>
      <t xml:space="preserve"> a sponge/roulade/log.</t>
    </r>
  </si>
  <si>
    <r>
      <t>Estirar</t>
    </r>
    <r>
      <rPr>
        <sz val="11"/>
        <color theme="1"/>
        <rFont val="Calibri"/>
        <family val="2"/>
        <scheme val="minor"/>
      </rPr>
      <t xml:space="preserve"> la masa; </t>
    </r>
    <r>
      <rPr>
        <b/>
        <sz val="11"/>
        <color theme="1"/>
        <rFont val="Calibri"/>
        <family val="2"/>
        <scheme val="minor"/>
      </rPr>
      <t>enrollar</t>
    </r>
    <r>
      <rPr>
        <sz val="11"/>
        <color theme="1"/>
        <rFont val="Calibri"/>
        <family val="2"/>
        <scheme val="minor"/>
      </rPr>
      <t xml:space="preserve"> un bizcocho/arrollado/rulo.</t>
    </r>
  </si>
  <si>
    <r>
      <t>Brown butter</t>
    </r>
    <r>
      <rPr>
        <sz val="11"/>
        <color theme="1"/>
        <rFont val="Calibri"/>
        <family val="2"/>
        <scheme val="minor"/>
      </rPr>
      <t xml:space="preserve">; </t>
    </r>
    <r>
      <rPr>
        <b/>
        <sz val="11"/>
        <color theme="1"/>
        <rFont val="Calibri"/>
        <family val="2"/>
        <scheme val="minor"/>
      </rPr>
      <t>browned</t>
    </r>
    <r>
      <rPr>
        <sz val="11"/>
        <color theme="1"/>
        <rFont val="Calibri"/>
        <family val="2"/>
        <scheme val="minor"/>
      </rPr>
      <t xml:space="preserve"> onions.</t>
    </r>
  </si>
  <si>
    <r>
      <t>Mantequilla avellana</t>
    </r>
    <r>
      <rPr>
        <sz val="11"/>
        <color theme="1"/>
        <rFont val="Calibri"/>
        <family val="2"/>
        <scheme val="minor"/>
      </rPr>
      <t xml:space="preserve">; cebollas </t>
    </r>
    <r>
      <rPr>
        <b/>
        <sz val="11"/>
        <color theme="1"/>
        <rFont val="Calibri"/>
        <family val="2"/>
        <scheme val="minor"/>
      </rPr>
      <t>doradas</t>
    </r>
    <r>
      <rPr>
        <sz val="11"/>
        <color theme="1"/>
        <rFont val="Calibri"/>
        <family val="2"/>
        <scheme val="minor"/>
      </rPr>
      <t>.</t>
    </r>
  </si>
  <si>
    <t>Shortcrust/sablé method.</t>
  </si>
  <si>
    <t>Método de masa sablé/masa quebrada.</t>
  </si>
  <si>
    <t>Slaughter/processing of fish; meat cooked rare.</t>
  </si>
  <si>
    <r>
      <t xml:space="preserve">Sacrificio/procesado de pescado; carne al punto </t>
    </r>
    <r>
      <rPr>
        <b/>
        <sz val="11"/>
        <color theme="1"/>
        <rFont val="Calibri"/>
        <family val="2"/>
        <scheme val="minor"/>
      </rPr>
      <t>poco hecha</t>
    </r>
    <r>
      <rPr>
        <sz val="11"/>
        <color theme="1"/>
        <rFont val="Calibri"/>
        <family val="2"/>
        <scheme val="minor"/>
      </rPr>
      <t>.</t>
    </r>
  </si>
  <si>
    <t>Brown the surface without cooking through.</t>
  </si>
  <si>
    <t>Dorar la superficie sin cocinar al centro.</t>
  </si>
  <si>
    <t>Ice cream: churn in a batch freezer / by hand (traditional).</t>
  </si>
  <si>
    <t>Heladería: mantecar en turbina / a la antigua (manual).</t>
  </si>
  <si>
    <t>Saline brine to season/tenderize.</t>
  </si>
  <si>
    <t>Salmuera para sazonar/ablandar.</t>
  </si>
  <si>
    <t>“Tight” egg whites (stabilized with sugar); pack/press into mold or tray.</t>
  </si>
  <si>
    <t>Claras “firmes” (estabilizadas con azúcar); compactar/prensar en molde o cubeta.</t>
  </si>
  <si>
    <t>Make a roux: cook fat with flour before adding liquid.</t>
  </si>
  <si>
    <t>Hacer un roux: cocer grasa con harina antes de añadir líquido.</t>
  </si>
  <si>
    <t>Beverages/cocktails.</t>
  </si>
  <si>
    <t>Bebidas/cócteles.</t>
  </si>
  <si>
    <t>Quick sear on both sides without overcooking.</t>
  </si>
  <si>
    <t>Vuelta y vuelta fuerte, sin sobrecocer.</t>
  </si>
  <si>
    <t>HACCP step with probe thermometer.</t>
  </si>
  <si>
    <t>Etapa APPCC con termómetro sonda.</t>
  </si>
  <si>
    <t>Check core doneness/temperature.</t>
  </si>
  <si>
    <t>Verificar cocción/temperatura al centro.</t>
  </si>
  <si>
    <t>Temperature log (in/out/holding).</t>
  </si>
  <si>
    <t>Registro de T° (entrada/salida/mantenimiento).</t>
  </si>
  <si>
    <t>Generic step: out of oven, off the line, shipping.</t>
  </si>
  <si>
    <t>Etapa genérica: deshornado, salida de línea, expedición.</t>
  </si>
  <si>
    <t>From an oven, a mold, a blast chiller.</t>
  </si>
  <si>
    <t>De un horno, un molde, una célula de abatimiento.</t>
  </si>
  <si>
    <t>Heat treatment ≥ 100 °C / retort; or the sterilizer unit itself.</t>
  </si>
  <si>
    <t>Tratamiento térmico ≥ 100 °C / autoclave; o el equipo esterilizador.</t>
  </si>
  <si>
    <t>Step/area name.</t>
  </si>
  <si>
    <t>Nombre de etapa/zona.</t>
  </si>
  <si>
    <t>Sweat vegetables gently in fat.</t>
  </si>
  <si>
    <t>Pochar/sudar verduras a fuego suave con grasa.</t>
  </si>
  <si>
    <t>Pasar por abatidor de congelación (≤ −18 °C en el centro).</t>
  </si>
  <si>
    <t>Tempering method: spread/cool, then recombine.</t>
  </si>
  <si>
    <t>Método de atemperado: extender/enfriar y luego reunir.</t>
  </si>
  <si>
    <t>E.g., brunoise, julienne, batons, mirepoix.</t>
  </si>
  <si>
    <t>P. ej., brunoise, juliana, bastones, mirepoix.</t>
  </si>
  <si>
    <t>Specify the cut (diced, oblique cuts, etc.).</t>
  </si>
  <si>
    <t>Precisar el corte (en dados, en sifletes, etc.).</t>
  </si>
  <si>
    <t>Dust with flour, icing sugar, almond/cocoa powder.</t>
  </si>
  <si>
    <t>Espolvorear con harina, azúcar glas, polvo de almendra/cacao.</t>
  </si>
  <si>
    <t>Blot/drain on paper towels (meats, fried items).</t>
  </si>
  <si>
    <t>Escurrir/secar con papel absorbente (carnes, fritos).</t>
  </si>
  <si>
    <t>Line/cover with sponge, film, bacon, jelly, lettuce leaves, etc.</t>
  </si>
  <si>
    <t>Forrar/cubrir con bizcocho, film, tocino, gelatina, hojas de lechuga…</t>
  </si>
  <si>
    <t>Finishing step for a dish/station.</t>
  </si>
  <si>
    <t>Acabado de un plato/puesto.</t>
  </si>
  <si>
    <t>Sweat down spinach/onions without browning.</t>
  </si>
  <si>
    <t>Pochar/bajar espinacas/cebollas sin dorar.</t>
  </si>
  <si>
    <t>Toast nuts, spices, flours; brown butter.</t>
  </si>
  <si>
    <t>Tostar frutos secos, especias, harinas; hacer mantequilla avellana.</t>
  </si>
  <si>
    <t>Dough + butter: single/double turns, resting.</t>
  </si>
  <si>
    <t>Masa + mantequilla: vueltas simples/dobles, reposo.</t>
  </si>
  <si>
    <t>Turned carrots/potatoes (tourner).</t>
  </si>
  <si>
    <t>Verduras « torneadas » (zanahorias/patatas).</t>
  </si>
  <si>
    <t>Turn/flip the item in the pan/plancha.</t>
  </si>
  <si>
    <t>Dar la vuelta a la pieza en sartén/plancha.</t>
  </si>
  <si>
    <t>Machine/manual step (charcuterie, bread, cheeses).</t>
  </si>
  <si>
    <t>Etapa a máquina/manual (charcutería, pan, quesos).</t>
  </si>
  <si>
    <t>Roasted meats, charcuterie, breads.</t>
  </si>
  <si>
    <t>Carnes asadas, charcutería, panes.</t>
  </si>
  <si>
    <t>Internal/external flow.</t>
  </si>
  <si>
    <t>Flujo interno/externo.</t>
  </si>
  <si>
    <t>Internal logistics in stainless GN pans.</t>
  </si>
  <si>
    <t>Logística interna en cubetas GN de acero inoxidable.</t>
  </si>
  <si>
    <t>Between stations, to the blast chiller, to shipping.</t>
  </si>
  <si>
    <t>Entre puestos, hacia la célula de abatimiento, hacia expediciones.</t>
  </si>
  <si>
    <t>With a spatula, dough hook, paddle, etc.</t>
  </si>
  <si>
    <t>Con lengua/marisa, gancho, pala, etc.</t>
  </si>
  <si>
    <t>Soak cakes (syrup/chocolate), rehydrate pulses, bloom gelatin.</t>
  </si>
  <si>
    <t>Calar bizcochos (almíbar/chocolate), rehidratar legumbres, hidratar gelatina.</t>
  </si>
  <si>
    <t>Cut into sections: fish, marrow bones, vegetables.</t>
  </si>
  <si>
    <t>Cortar en trozos/anillas: pescado, huesos de tuétano, verduras.</t>
  </si>
  <si>
    <t>Dress/prepare poultry for cooking/presentation.</t>
  </si>
  <si>
    <t>Limpiar/preparar el ave para cocción/presentación.</t>
  </si>
  <si>
    <t>Churn in the batch freezer until desired texture.</t>
  </si>
  <si>
    <t>Mantecar en la turbina hasta la textura deseada.</t>
  </si>
  <si>
    <t>Generic process verb: “use gloves”, “use a whisk.”</t>
  </si>
  <si>
    <t>Verbo genérico en ficha de proceso: «usar guantes», «usar un batidor».</t>
  </si>
  <si>
    <t>Traitement thermique ultra-haute température (≈135–150 °C quelques secondes) pour obtenir un produit stérile commercial (lait, crèmes, sauces). En ES, on dit surtout esterilizar/tratamiento UHT plutôt que uperizar.</t>
  </si>
  <si>
    <r>
      <t xml:space="preserve">Ultra-high temperature (≈135–150 °C for a few seconds) heat treatment to achieve commercial sterility (milk, creams, sauces) — </t>
    </r>
    <r>
      <rPr>
        <b/>
        <sz val="11"/>
        <color theme="1"/>
        <rFont val="Calibri"/>
        <family val="2"/>
        <scheme val="minor"/>
      </rPr>
      <t>UHT</t>
    </r>
    <r>
      <rPr>
        <sz val="11"/>
        <color theme="1"/>
        <rFont val="Calibri"/>
        <family val="2"/>
        <scheme val="minor"/>
      </rPr>
      <t>.</t>
    </r>
  </si>
  <si>
    <r>
      <t xml:space="preserve">Tratamiento térmico de </t>
    </r>
    <r>
      <rPr>
        <b/>
        <sz val="11"/>
        <color theme="1"/>
        <rFont val="Calibri"/>
        <family val="2"/>
        <scheme val="minor"/>
      </rPr>
      <t>ultra alta temperatura</t>
    </r>
    <r>
      <rPr>
        <sz val="11"/>
        <color theme="1"/>
        <rFont val="Calibri"/>
        <family val="2"/>
        <scheme val="minor"/>
      </rPr>
      <t xml:space="preserve"> (≈135–150 °C durante unos segundos) para lograr esterilidad comercial (leche, cremas, salsas) — </t>
    </r>
    <r>
      <rPr>
        <b/>
        <sz val="11"/>
        <color theme="1"/>
        <rFont val="Calibri"/>
        <family val="2"/>
        <scheme val="minor"/>
      </rPr>
      <t>UHT</t>
    </r>
    <r>
      <rPr>
        <sz val="11"/>
        <color theme="1"/>
        <rFont val="Calibri"/>
        <family val="2"/>
        <scheme val="minor"/>
      </rPr>
      <t xml:space="preserve">; en español se usa </t>
    </r>
    <r>
      <rPr>
        <b/>
        <sz val="11"/>
        <color theme="1"/>
        <rFont val="Calibri"/>
        <family val="2"/>
        <scheme val="minor"/>
      </rPr>
      <t>esterilizar/tratamiento UHT</t>
    </r>
    <r>
      <rPr>
        <sz val="11"/>
        <color theme="1"/>
        <rFont val="Calibri"/>
        <family val="2"/>
        <scheme val="minor"/>
      </rPr>
      <t xml:space="preserve"> más que «uperizar».</t>
    </r>
  </si>
  <si>
    <t>Off the heat, stir until lukewarm to prevent a skin and smooth the texture.</t>
  </si>
  <si>
    <t>Fuera del fuego, remover hasta tibio para evitar la película y alisar la textura.</t>
  </si>
  <si>
    <t>APPCC: sondear T° al centro, aceite de fritura, cámara frigorífica, etc.</t>
  </si>
  <si>
    <t>Decant/transfer cleanly into a vat/mold/blender.</t>
  </si>
  <si>
    <t>Trasvasar/verter limpiamente en cuba/molde/licuadora.</t>
  </si>
  <si>
    <t>Crimp the tart/pie edge into wave-like flutes by folding the dough.</t>
  </si>
  <si>
    <t>Festonear el borde de la tarta/empanada con ondulaciones doblando la masa.</t>
  </si>
  <si>
    <t>Apply a very thin glaze/film for shine and protection (jelly, sauce, syrup).</t>
  </si>
  <si>
    <t>Aplicar una capa muy fina para brillo/protección (gelatina, salsa, almíbar).</t>
  </si>
  <si>
    <t>Zeste très fin au microplane (ralladura) ou longues lanières avec canneleur (tiras). Éviter l’albedo (partie blanche amère).</t>
  </si>
  <si>
    <t>Very fine zest with a microplane, or long strips with a channel knife. Avoid the albedo (bitter white pith).</t>
  </si>
  <si>
    <r>
      <t>Ralladura muy fina con microplane, o tiras largas con canelador (</t>
    </r>
    <r>
      <rPr>
        <i/>
        <sz val="11"/>
        <color theme="1"/>
        <rFont val="Calibri"/>
        <family val="2"/>
        <scheme val="minor"/>
      </rPr>
      <t>channel knife</t>
    </r>
    <r>
      <rPr>
        <sz val="11"/>
        <color theme="1"/>
        <rFont val="Calibri"/>
        <family val="2"/>
        <scheme val="minor"/>
      </rPr>
      <t xml:space="preserve">). Evitar el </t>
    </r>
    <r>
      <rPr>
        <b/>
        <sz val="11"/>
        <color theme="1"/>
        <rFont val="Calibri"/>
        <family val="2"/>
        <scheme val="minor"/>
      </rPr>
      <t>albedo</t>
    </r>
    <r>
      <rPr>
        <sz val="11"/>
        <color theme="1"/>
        <rFont val="Calibri"/>
        <family val="2"/>
        <scheme val="minor"/>
      </rPr>
      <t xml:space="preserve"> (la parte blanca amarga).</t>
    </r>
  </si>
  <si>
    <t>Carry out a task/procedure to completion.</t>
  </si>
  <si>
    <t>Realizar una tarea/procedimiento hasta el final.</t>
  </si>
  <si>
    <t>Procurement: raw materials/packaging purchases.</t>
  </si>
  <si>
    <t>Aprovisionamiento: compras de materias/envases.</t>
  </si>
  <si>
    <t>Close a step/work order.</t>
  </si>
  <si>
    <t>Cerrar una etapa/orden de fabricación (OF).</t>
  </si>
  <si>
    <t>Speed up a process (rate/flow).</t>
  </si>
  <si>
    <t>Acelerar un proceso (cadencia/flujo).</t>
  </si>
  <si>
    <t>Increase capacity/area/format.</t>
  </si>
  <si>
    <t>Aumentar capacidad/superficie/formato.</t>
  </si>
  <si>
    <t>Fine-tune (seasoning, weight, temperature).</t>
  </si>
  <si>
    <t>Ajustes finos (sazonado, peso, temperatura).</t>
  </si>
  <si>
    <t>Improve quality, safety, productivity.</t>
  </si>
  <si>
    <t>Mejoras de calidad, seguridad, productividad.</t>
  </si>
  <si>
    <t>Set up a station/area (layout/flow).</t>
  </si>
  <si>
    <t>Implantar un puesto/zona (layout/flujo).</t>
  </si>
  <si>
    <t>Run checks (physico-chemical, sensory, cost).</t>
  </si>
  <si>
    <t>Controles (fisicoquímicos, sensoriales, costes).</t>
  </si>
  <si>
    <t>Apply a protocol/instruction/a coating.</t>
  </si>
  <si>
    <t>Aplicar un protocolo/consigna/una capa.</t>
  </si>
  <si>
    <t>Validate recipe/procedure/order.</t>
  </si>
  <si>
    <t>Validar receta/procedimiento/pedido.</t>
  </si>
  <si>
    <t>File/scan docs (traceability, HACCP).</t>
  </si>
  <si>
    <t>Archivar/digitalizar docs (trazabilidad, APPCC).</t>
  </si>
  <si>
    <t>Assemble a product/plate/batch.</t>
  </si>
  <si>
    <t>Ensamblar un producto/emplatar/un lote.</t>
  </si>
  <si>
    <t>Physically attach / attach a file.</t>
  </si>
  <si>
    <t>Fijar físicamente / adjuntar un archivo.</t>
  </si>
  <si>
    <t>Assign resources, responsibilities, lot numbers.</t>
  </si>
  <si>
    <t>Asignar recursos, responsabilidades, números de lote.</t>
  </si>
  <si>
    <t>Systematic audit (quality, hygiene, process).</t>
  </si>
  <si>
    <t>Auditoría sistemática (calidad, higiene, proceso).</t>
  </si>
  <si>
    <t>Increase capacity, volume, temp, budget.</t>
  </si>
  <si>
    <t>Incrementar capacidad, volumen, T°, presupuesto.</t>
  </si>
  <si>
    <t>Verify identity/data (traceability, access).</t>
  </si>
  <si>
    <t>Verificar identidad/datos (trazabilidad, accesos).</t>
  </si>
  <si>
    <t>Self/team assessment of practices/performance.</t>
  </si>
  <si>
    <t>Autoevaluación/evaluación del equipo (prácticas/rendimiento).</t>
  </si>
  <si>
    <t>Automate: replace manual tasks with tooling.</t>
  </si>
  <si>
    <t>Automatizar: sustituir tareas manuales por flujo con herramientas.</t>
  </si>
  <si>
    <t>Authorize a right (access, spend, change).</t>
  </si>
  <si>
    <t>Autorizar un derecho (acceso, gasto, cambio).</t>
  </si>
  <si>
    <t>Bring a deadline/production forward.</t>
  </si>
  <si>
    <t>Adelantar un plazo/producción.</t>
  </si>
  <si>
    <t>Warn/alert of risk/incident/delay.</t>
  </si>
  <si>
    <t>Avisar/alertar de riesgo/incidente/retraso.</t>
  </si>
  <si>
    <t>Formal communication (email, sheet, ticket).</t>
  </si>
  <si>
    <t>Comunicación formal (correo, ficha, ticket).</t>
  </si>
  <si>
    <t>Display on screen/board/dashboard.</t>
  </si>
  <si>
    <t>Mostrar en pantalla/panel/cuadro de mando.</t>
  </si>
  <si>
    <t>Adjust a setting/recipe/process.</t>
  </si>
  <si>
    <t>Ajustar un parámetro/receta/proceso.</t>
  </si>
  <si>
    <t>Sharpen/maintain knives/blades/tools.</t>
  </si>
  <si>
    <t>Cuchillos/cuchillas/herramental.</t>
  </si>
  <si>
    <t>Align/standardize practices/measures/goals.</t>
  </si>
  <si>
    <t>Alinear/estandarizar prácticas/medidas/objetivos.</t>
  </si>
  <si>
    <t>Allocate resources (time, budget, staff).</t>
  </si>
  <si>
    <t>Asignar recursos (tiempo, presupuesto, personal).</t>
  </si>
  <si>
    <t>Power on/start a device/line.</t>
  </si>
  <si>
    <t>Poner en marcha/energizar un equipo/línea.</t>
  </si>
  <si>
    <t>Order, work order, booking, operation.</t>
  </si>
  <si>
    <t>Pedido, OF, reserva, operación.</t>
  </si>
  <si>
    <t>Anticipate needs/risks and act upstream.</t>
  </si>
  <si>
    <t>Prever necesidades/riesgos y actuar con antelación.</t>
  </si>
  <si>
    <t>Supply materials, packaging, consumables.</t>
  </si>
  <si>
    <t>Suministrar materias, envases, consumibles.</t>
  </si>
  <si>
    <t>Normal/emergency stop of equipment.</t>
  </si>
  <si>
    <t>Parada normal/de emergencia del equipo.</t>
  </si>
  <si>
    <t>Secure loads/pallets for transport.</t>
  </si>
  <si>
    <t>Asegurar cargas/palets para el transporte.</t>
  </si>
  <si>
    <t>Round values/prices/weights (tolerances).</t>
  </si>
  <si>
    <t>Redondear valores/precios/gramajes (tolerancias).</t>
  </si>
  <si>
    <t>Articulate/structure steps/argument/process.</t>
  </si>
  <si>
    <t>Estructurar/clarificar etapas/argumento/proceso.</t>
  </si>
  <si>
    <t>Sanitize premises/process/data.</t>
  </si>
  <si>
    <t>Sanear instalaciones/procesos/datos.</t>
  </si>
  <si>
    <t>Operational/technical assistance.</t>
  </si>
  <si>
    <t>Asistencia operativa/técnica.</t>
  </si>
  <si>
    <t>Ensure a result/requirement is met.</t>
  </si>
  <si>
    <t>Asegurar que se cumple un resultado/requisito.</t>
  </si>
  <si>
    <t>Mitigate risk/impact (quality/safety).</t>
  </si>
  <si>
    <t>Mitigar riesgo/impacto (calidad/seguridad).</t>
  </si>
  <si>
    <t>Written certification/attestation (compliance, test).</t>
  </si>
  <si>
    <t>Certificación/constancia escrita (conformidad, ensayo).</t>
  </si>
  <si>
    <t>Attract customers/talent/attention.</t>
  </si>
  <si>
    <t>Atraer clientes/talento/atención.</t>
  </si>
  <si>
    <t>Plug in/connect a device, a probe, a peripheral.</t>
  </si>
  <si>
    <t>Enchufar/conectar un equipo, una sonda, un periférico.</t>
  </si>
  <si>
    <t>Sweep/clean floors between/at end of service.</t>
  </si>
  <si>
    <t>Barrer/limpiar suelos entre/al final del servicio.</t>
  </si>
  <si>
    <t>Mark out zones, pedestrian/trolley flows, safety.</t>
  </si>
  <si>
    <t>Señalizar zonas, flujos peatonales/carros, seguridad.</t>
  </si>
  <si>
    <t>Lower temperature, noise level, rate, price, flame.</t>
  </si>
  <si>
    <t>Bajar temperatura, nivel de ruido, cadencia, precio, llama.</t>
  </si>
  <si>
    <t>Tarp/cover pallets/loads outdoors.</t>
  </si>
  <si>
    <t>Cubrir con lona palets/cargas en exterior.</t>
  </si>
  <si>
    <t>Switch over mode/line/server/account.</t>
  </si>
  <si>
    <t>Conmutar/cambiar de modo/línea/servidor/cuenta.</t>
  </si>
  <si>
    <t>Build a plan/station/structure.</t>
  </si>
  <si>
    <t>Construir un plan/puesto/estructura.</t>
  </si>
  <si>
    <t>Block stock/work order; lock a setting/instruction.</t>
  </si>
  <si>
    <t>Bloquear stock/OF; bloquear una consigna/ajuste.</t>
  </si>
  <si>
    <t>Plug/stop a leak; fill a gap in the schedule.</t>
  </si>
  <si>
    <t>Taponar una fuga; “tapar un hueco” en el planning.</t>
  </si>
  <si>
    <t>Close out a file/batch/feedback loop.</t>
  </si>
  <si>
    <t>Cerrar un expediente/lote/bucle de retroalimentación.</t>
  </si>
  <si>
    <t>Bolt machines/shelves securely to floor/wall.</t>
  </si>
  <si>
    <t>Pernar/atornillar máquinas/estanterías al suelo/pared.</t>
  </si>
  <si>
    <t>Mix batches/liquids; brewery: brew.</t>
  </si>
  <si>
    <t>Mezclar lotes/líquidos; cervecería: elaborar cerveza.</t>
  </si>
  <si>
    <t>Team briefing before service/production.</t>
  </si>
  <si>
    <t>Reunión/briefing del equipo antes del servicio/producción.</t>
  </si>
  <si>
    <t>Polish stainless steel, trays, display cases.</t>
  </si>
  <si>
    <t>Abrillantar/pulir inox, bandejas, vitrinas.</t>
  </si>
  <si>
    <t>Brush grates/veggies/safety shoes.</t>
  </si>
  <si>
    <t>Cepillar rejillas, verduras, calzado de seguridad.</t>
  </si>
  <si>
    <t>Budget/forecast recipe or operation costs.</t>
  </si>
  <si>
    <t>Presupuestar/pronosticar costes de receta/operación.</t>
  </si>
  <si>
    <t>Cross out a line on a ticket/label to avoid duplicates.</t>
  </si>
  <si>
    <t>Tachar una línea en un albarán/etiqueta para evitar duplicados.</t>
  </si>
  <si>
    <t>Costs, yields, losses, HACCP ratios.</t>
  </si>
  <si>
    <t>Costes, rendimientos, mermas, ratios APPCC.</t>
  </si>
  <si>
    <t>Catalog/reference products/recipes/tools.</t>
  </si>
  <si>
    <t>Catalogar/referenciar productos/recetas/herramientas.</t>
  </si>
  <si>
    <t>Consolidate/centralize data, inventory, decisions.</t>
  </si>
  <si>
    <t>Consolidar/centralizar datos, stocks y decisiones.</t>
  </si>
  <si>
    <t>Find info, parts, causes (RCA = Root Cause Analysis).</t>
  </si>
  <si>
    <t>Buscar información, piezas, causas (ACR = Análisis de Causa Raíz).</t>
  </si>
  <si>
    <t>Classify by families, allergens, risks.</t>
  </si>
  <si>
    <t>Clasificar por familias, alérgenos y riesgos.</t>
  </si>
  <si>
    <t>Purchase raw materials, consumables, parts.</t>
  </si>
  <si>
    <t>Compras de materias primas, consumibles y repuestos.</t>
  </si>
  <si>
    <t>Compile/aggregate data, reports, recipes.</t>
  </si>
  <si>
    <t>Compilar/recopilar datos, informes y recetas.</t>
  </si>
  <si>
    <t>Inventory counts, portions, units produced.</t>
  </si>
  <si>
    <t>Inventario, raciones y unidades producidas.</t>
  </si>
  <si>
    <t>Design a recipe/process/tool/layout.</t>
  </si>
  <si>
    <t>Diseñar una receta/proceso/herramienta/implantación.</t>
  </si>
  <si>
    <t>Drive/operate/lead/manage (vehicle/machine/team/project).</t>
  </si>
  <si>
    <t>Conducir/operar/dirigir/gestionar (vehículo/máquina/equipo/proyecto).</t>
  </si>
  <si>
    <t>Record/log traceability, temperatures, incidents.</t>
  </si>
  <si>
    <t>Registrar/trazar temperaturas e incidencias.</t>
  </si>
  <si>
    <t>Build a file/batch/team.</t>
  </si>
  <si>
    <t>Formar un expediente/lote/equipo.</t>
  </si>
  <si>
    <t>Build lines, stations, fixtures, structures.</t>
  </si>
  <si>
    <t>Construir líneas, puestos, soportes y estructuras.</t>
  </si>
  <si>
    <t>Check quality, compliance, temp, weight, labels.</t>
  </si>
  <si>
    <t>Verificar calidad, conformidad, T°, peso y etiquetas.</t>
  </si>
  <si>
    <t>Precise cuts per spec sheet.</t>
  </si>
  <si>
    <t>Cortes precisos según ficha técnica.</t>
  </si>
  <si>
    <t>Create a new recipe, visual, procedure.</t>
  </si>
  <si>
    <t>Crear una nueva receta, visual, procedimiento.</t>
  </si>
  <si>
    <t>Hollow out vegetables/breads; dig deeper into a topic.</t>
  </si>
  <si>
    <t>Ahuecar verduras/panes; profundizar en un tema.</t>
  </si>
  <si>
    <t>Cultivate herbs/starters; develop know-how/team.</t>
  </si>
  <si>
    <t>terrain (sites/équipes), moins de dépendance au siège.</t>
  </si>
  <si>
    <t>Decentralize decisions/resources to the field (sites/teams), reducing HQ dependency.</t>
  </si>
  <si>
    <t>Descentralizar decisiones/recursos al terreno (sitios/equipos), reduciendo la dependencia de la central.</t>
  </si>
  <si>
    <t>Sketch a station/layout, part diagram, label/pack design.</t>
  </si>
  <si>
    <t>Bocetar un puesto/layout, esquema de pieza, diseño de etiqueta/envase.</t>
  </si>
  <si>
    <t>Document evidence/record (procedure, check, incident) for traceability and audits.</t>
  </si>
  <si>
    <t>Documentar una prueba/ficha (procedimiento, control, incidente) para trazabilidad y auditorías.</t>
  </si>
  <si>
    <t>Sell off a stock (end of line/short shelf life) or drain a liquid.</t>
  </si>
  <si>
    <t>Liquidar un stock (fin de serie/caducidad corta) o drenar un líquido.</t>
  </si>
  <si>
    <t>Write recipes, procedures, reports, emails.</t>
  </si>
  <si>
    <t>Redactar recetas, procedimientos, informes y correos.</t>
  </si>
  <si>
    <t>Build/erect (literal) or build a plan (figurative).</t>
  </si>
  <si>
    <t>Edificar/construir (literal) o construir un plan (figurado).</t>
  </si>
  <si>
    <t>Carry out a task/measurement/test as instructed.</t>
  </si>
  <si>
    <t>Efectuar una tarea/medición/prueba según la consigna.</t>
  </si>
  <si>
    <t>Develop/refine a recipe or protocol.</t>
  </si>
  <si>
    <t>Elaborar/poner a punto una receta o un protocolo.</t>
  </si>
  <si>
    <t>Fill containers (trays, bins, molds).</t>
  </si>
  <si>
    <t>Llenar recipientes (barquetas, cubetas, moldes).</t>
  </si>
  <si>
    <t>Use/employ a tool/ingredient/method.</t>
  </si>
  <si>
    <t>Usar/emplear una herramienta/ingrediente/método.</t>
  </si>
  <si>
    <t>Record traceability/temps/batches; save a file.</t>
  </si>
  <si>
    <t>Registrar trazabilidad/temperaturas/lotes; guardar un archivo.</t>
  </si>
  <si>
    <t>Maintenance: cleaning, lubrication, minor preventive fixes.</t>
  </si>
  <si>
    <t>Mantenimiento: limpieza, engrase, pequeñas reparaciones preventivas.</t>
  </si>
  <si>
    <t>Send samples/documents/shipments.</t>
  </si>
  <si>
    <t>Enviar muestras/documentos/expediciones.</t>
  </si>
  <si>
    <t>Erect a structure/shelf/awning (literal).</t>
  </si>
  <si>
    <t>Levantar/instalar una estructura/estantería/marquesina.</t>
  </si>
  <si>
    <t>Establish a standard/schedule/report.</t>
  </si>
  <si>
    <t>Establecer una norma/un planning/un informe.</t>
  </si>
  <si>
    <t>Roll out dough / roll out an action plan / deploy a tool.</t>
  </si>
  <si>
    <t>Estirar una masa / desplegar un plan de acción / implantar una herramienta.</t>
  </si>
  <si>
    <t>Visual/quality inspection; document review.</t>
  </si>
  <si>
    <t>Inspección visual/de calidad; revisión de documentos.</t>
  </si>
  <si>
    <t>Execute an order/process/plan.</t>
  </si>
  <si>
    <t>Ejecutar un pedido/proceso/plan.</t>
  </si>
  <si>
    <t>Operate a line / leverage data / make use of a tool.</t>
  </si>
  <si>
    <t>Operar una línea / aprovechar datos / sacar partido a una herramienta.</t>
  </si>
  <si>
    <t>Extract data/juice/a sample from a batch.</t>
  </si>
  <si>
    <t>Extraer datos/jugo/una muestra de un lote.</t>
  </si>
  <si>
    <t>Choisir le verbe le plus exact selon l’objet : make dough / write a report / prepare a tray.</t>
  </si>
  <si>
    <r>
      <t xml:space="preserve">Choose the most exact verb for the object: </t>
    </r>
    <r>
      <rPr>
        <b/>
        <sz val="11"/>
        <color theme="1"/>
        <rFont val="Calibri"/>
        <family val="2"/>
        <scheme val="minor"/>
      </rPr>
      <t>make dough / write a report / prepare a tray</t>
    </r>
    <r>
      <rPr>
        <sz val="11"/>
        <color theme="1"/>
        <rFont val="Calibri"/>
        <family val="2"/>
        <scheme val="minor"/>
      </rPr>
      <t>.</t>
    </r>
  </si>
  <si>
    <r>
      <t xml:space="preserve">Elegir el verbo más exacto según el objeto: </t>
    </r>
    <r>
      <rPr>
        <b/>
        <sz val="11"/>
        <color theme="1"/>
        <rFont val="Calibri"/>
        <family val="2"/>
        <scheme val="minor"/>
      </rPr>
      <t>hacer la masa / redactar un informe / preparar una bandeja</t>
    </r>
    <r>
      <rPr>
        <sz val="11"/>
        <color theme="1"/>
        <rFont val="Calibri"/>
        <family val="2"/>
        <scheme val="minor"/>
      </rPr>
      <t>.</t>
    </r>
  </si>
  <si>
    <t>« Faire vérifier la T° » → have the temperature checked / hacer que se verifique la temperatura.</t>
  </si>
  <si>
    <r>
      <t xml:space="preserve">“Faire vérifier la T°” → </t>
    </r>
    <r>
      <rPr>
        <b/>
        <sz val="11"/>
        <color theme="1"/>
        <rFont val="Calibri"/>
        <family val="2"/>
        <scheme val="minor"/>
      </rPr>
      <t>have the temperature checked</t>
    </r>
    <r>
      <rPr>
        <sz val="11"/>
        <color theme="1"/>
        <rFont val="Calibri"/>
        <family val="2"/>
        <scheme val="minor"/>
      </rPr>
      <t>.</t>
    </r>
  </si>
  <si>
    <r>
      <t xml:space="preserve">«Hacer verificar la T°» → </t>
    </r>
    <r>
      <rPr>
        <b/>
        <sz val="11"/>
        <color theme="1"/>
        <rFont val="Calibri"/>
        <family val="2"/>
        <scheme val="minor"/>
      </rPr>
      <t>hacer que se verifique la temperatura</t>
    </r>
    <r>
      <rPr>
        <sz val="11"/>
        <color theme="1"/>
        <rFont val="Calibri"/>
        <family val="2"/>
        <scheme val="minor"/>
      </rPr>
      <t>.</t>
    </r>
  </si>
  <si>
    <t>Préférer directement cuire / bouillir dans les fiches.</t>
  </si>
  <si>
    <r>
      <t xml:space="preserve">Prefer </t>
    </r>
    <r>
      <rPr>
        <b/>
        <sz val="11"/>
        <color theme="1"/>
        <rFont val="Calibri"/>
        <family val="2"/>
        <scheme val="minor"/>
      </rPr>
      <t>cook / boil</t>
    </r>
    <r>
      <rPr>
        <sz val="11"/>
        <color theme="1"/>
        <rFont val="Calibri"/>
        <family val="2"/>
        <scheme val="minor"/>
      </rPr>
      <t xml:space="preserve"> directly in the sheets.</t>
    </r>
  </si>
  <si>
    <r>
      <t xml:space="preserve">Preferir </t>
    </r>
    <r>
      <rPr>
        <b/>
        <sz val="11"/>
        <color theme="1"/>
        <rFont val="Calibri"/>
        <family val="2"/>
        <scheme val="minor"/>
      </rPr>
      <t>cocer / hervir</t>
    </r>
    <r>
      <rPr>
        <sz val="11"/>
        <color theme="1"/>
        <rFont val="Calibri"/>
        <family val="2"/>
        <scheme val="minor"/>
      </rPr>
      <t xml:space="preserve"> directamente en las fichas.</t>
    </r>
  </si>
  <si>
    <r>
      <t xml:space="preserve">Use the </t>
    </r>
    <r>
      <rPr>
        <b/>
        <sz val="11"/>
        <color theme="1"/>
        <rFont val="Calibri"/>
        <family val="2"/>
        <scheme val="minor"/>
      </rPr>
      <t>technical verb</t>
    </r>
    <r>
      <rPr>
        <sz val="11"/>
        <color theme="1"/>
        <rFont val="Calibri"/>
        <family val="2"/>
        <scheme val="minor"/>
      </rPr>
      <t xml:space="preserve"> instead of “do/make.”</t>
    </r>
  </si>
  <si>
    <r>
      <t xml:space="preserve">Usar el </t>
    </r>
    <r>
      <rPr>
        <b/>
        <sz val="11"/>
        <color theme="1"/>
        <rFont val="Calibri"/>
        <family val="2"/>
        <scheme val="minor"/>
      </rPr>
      <t>verbo técnico</t>
    </r>
    <r>
      <rPr>
        <sz val="11"/>
        <color theme="1"/>
        <rFont val="Calibri"/>
        <family val="2"/>
        <scheme val="minor"/>
      </rPr>
      <t xml:space="preserve"> en lugar de «hacer».</t>
    </r>
  </si>
  <si>
    <t>Same: a precise verb is recommended.</t>
  </si>
  <si>
    <t>Ídem: se recomienda un verbo preciso.</t>
  </si>
  <si>
    <t>Monter au beurre = mount with butter / emulsionar con mantequilla.</t>
  </si>
  <si>
    <r>
      <t>Monter au beurre</t>
    </r>
    <r>
      <rPr>
        <sz val="11"/>
        <color theme="1"/>
        <rFont val="Calibri"/>
        <family val="2"/>
        <scheme val="minor"/>
      </rPr>
      <t xml:space="preserve"> = </t>
    </r>
    <r>
      <rPr>
        <b/>
        <sz val="11"/>
        <color theme="1"/>
        <rFont val="Calibri"/>
        <family val="2"/>
        <scheme val="minor"/>
      </rPr>
      <t>mount with butter</t>
    </r>
    <r>
      <rPr>
        <sz val="11"/>
        <color theme="1"/>
        <rFont val="Calibri"/>
        <family val="2"/>
        <scheme val="minor"/>
      </rPr>
      <t>.</t>
    </r>
  </si>
  <si>
    <r>
      <t>Montar al mantequilla</t>
    </r>
    <r>
      <rPr>
        <sz val="11"/>
        <color theme="1"/>
        <rFont val="Calibri"/>
        <family val="2"/>
        <scheme val="minor"/>
      </rPr>
      <t>/</t>
    </r>
    <r>
      <rPr>
        <b/>
        <sz val="11"/>
        <color theme="1"/>
        <rFont val="Calibri"/>
        <family val="2"/>
        <scheme val="minor"/>
      </rPr>
      <t>emulsionar con mantequilla</t>
    </r>
    <r>
      <rPr>
        <sz val="11"/>
        <color theme="1"/>
        <rFont val="Calibri"/>
        <family val="2"/>
        <scheme val="minor"/>
      </rPr>
      <t>.</t>
    </r>
  </si>
  <si>
    <t>Utiliser refroidir / réchauffer directement si possible.</t>
  </si>
  <si>
    <r>
      <t xml:space="preserve">Use </t>
    </r>
    <r>
      <rPr>
        <b/>
        <sz val="11"/>
        <color theme="1"/>
        <rFont val="Calibri"/>
        <family val="2"/>
        <scheme val="minor"/>
      </rPr>
      <t>cool / reheat</t>
    </r>
    <r>
      <rPr>
        <sz val="11"/>
        <color theme="1"/>
        <rFont val="Calibri"/>
        <family val="2"/>
        <scheme val="minor"/>
      </rPr>
      <t xml:space="preserve"> directly when possible.</t>
    </r>
  </si>
  <si>
    <r>
      <t xml:space="preserve">Usar </t>
    </r>
    <r>
      <rPr>
        <b/>
        <sz val="11"/>
        <color theme="1"/>
        <rFont val="Calibri"/>
        <family val="2"/>
        <scheme val="minor"/>
      </rPr>
      <t>enfriar / recalentar</t>
    </r>
    <r>
      <rPr>
        <sz val="11"/>
        <color theme="1"/>
        <rFont val="Calibri"/>
        <family val="2"/>
        <scheme val="minor"/>
      </rPr>
      <t xml:space="preserve"> directamente si es posible.</t>
    </r>
  </si>
  <si>
    <t>Generate a report, a barcode, a batch, alerts, and waste/by-products.</t>
  </si>
  <si>
    <t>Generar un informe, un código de barras, un lote, alertas y residuos/subproductos.</t>
  </si>
  <si>
    <t>Manage inventory/teams/schedule/incidents: prioritize, assign, track, correct.</t>
  </si>
  <si>
    <t>Gestionar stock/equipos/planificación/incidencias: priorizar, asignar, seguir, corregir.</t>
  </si>
  <si>
    <t>Identify a need, a non-conformity, a root cause, a batch.</t>
  </si>
  <si>
    <t>Identificar una necesidad, una no conformidad, una causa raíz, un lote.</t>
  </si>
  <si>
    <t>Ideation for recipe/process/visual; brainstorming improvements.</t>
  </si>
  <si>
    <t>Ideación de receta/proceso/visual; lluvia de ideas de mejoras.</t>
  </si>
  <si>
    <t>Enter in the log/software: batches, temps, actions, participants.</t>
  </si>
  <si>
    <t>Inscribir en registro/software: lotes, T°, acciones, participantes.</t>
  </si>
  <si>
    <t>Insert a bin, a document, or a step into a schedule/line.</t>
  </si>
  <si>
    <t>Insertar una cubeta, un documento o una etapa en un planning/línea.</t>
  </si>
  <si>
    <t>Visual/HACCP inspection; station/equipment audit.</t>
  </si>
  <si>
    <t>Inspección visual/APPCC; auditoría de puesto/equipo.</t>
  </si>
  <si>
    <t>Install equipment/station; configure software/probe.</t>
  </si>
  <si>
    <t>Instalar equipo/puesto; configurar software/sonda.</t>
  </si>
  <si>
    <t>Invent a new recipe/method/tooling.</t>
  </si>
  <si>
    <t>Inventar una nueva receta/método/herramental.</t>
  </si>
  <si>
    <t>Physical counts; reconcile inventory; FIFO/FEFO.</t>
  </si>
  <si>
    <t>Conteo físico; conciliación de inventario; FIFO/FEFO.</t>
  </si>
  <si>
    <t>Precisely locate a workstation, equipment, a batch/parcel (label, location), a fault or a non-conformity on the line/layout. Use location references (row/shelf/level) or coordinates (QR/RFID).</t>
  </si>
  <si>
    <t>Localizar con precisión un puesto, un equipo, un lote/paquete (etiqueta, ubicación), una avería o una no conformidad en la línea/plano. Usar referencias de ubicación (fila/estante/nivel) o coordenadas (QR/RFID).</t>
  </si>
  <si>
    <t>Tenir une T° (ex. &gt;63 °C), un réglage, une cadence; plan de maintenance = maintenance plan.</t>
  </si>
  <si>
    <r>
      <t xml:space="preserve">Maintain a temperature (e.g., &gt;63 °C), a setting, a pace; maintenance plan = </t>
    </r>
    <r>
      <rPr>
        <b/>
        <sz val="11"/>
        <color theme="1"/>
        <rFont val="Calibri"/>
        <family val="2"/>
        <scheme val="minor"/>
      </rPr>
      <t>maintenance plan</t>
    </r>
    <r>
      <rPr>
        <sz val="11"/>
        <color theme="1"/>
        <rFont val="Calibri"/>
        <family val="2"/>
        <scheme val="minor"/>
      </rPr>
      <t>.</t>
    </r>
  </si>
  <si>
    <r>
      <t xml:space="preserve">Mantener una temperatura (p. ej., &gt;63 °C), un ajuste, un ritmo; </t>
    </r>
    <r>
      <rPr>
        <b/>
        <sz val="11"/>
        <color theme="1"/>
        <rFont val="Calibri"/>
        <family val="2"/>
        <scheme val="minor"/>
      </rPr>
      <t>maintenance plan</t>
    </r>
    <r>
      <rPr>
        <sz val="11"/>
        <color theme="1"/>
        <rFont val="Calibri"/>
        <family val="2"/>
        <scheme val="minor"/>
      </rPr>
      <t xml:space="preserve"> = </t>
    </r>
    <r>
      <rPr>
        <b/>
        <sz val="11"/>
        <color theme="1"/>
        <rFont val="Calibri"/>
        <family val="2"/>
        <scheme val="minor"/>
      </rPr>
      <t>plan de mantenimiento</t>
    </r>
    <r>
      <rPr>
        <sz val="11"/>
        <color theme="1"/>
        <rFont val="Calibri"/>
        <family val="2"/>
        <scheme val="minor"/>
      </rPr>
      <t>.</t>
    </r>
  </si>
  <si>
    <t>Product/tool handling: hygiene (PPE), safe movements; in pastry, work by hand.</t>
  </si>
  <si>
    <t>Manipulación de producto/herramienta: higiene (EPP), gestos seguros; en pastelería, trabajar a mano.</t>
  </si>
  <si>
    <t>Trolley/vehicle/machine; moves in tight areas, safety rules and signals.</t>
  </si>
  <si>
    <t>Carro/vehículo/máquina; desplazamientos en zonas estrechas, normas y señales de seguridad.</t>
  </si>
  <si>
    <t>Poids, volume, T°, pH, dimensions; instruments étalonnés (balance, sonde, pH-mètre).</t>
  </si>
  <si>
    <r>
      <t xml:space="preserve">Weight, volume, temp, pH, dimensions; </t>
    </r>
    <r>
      <rPr>
        <b/>
        <sz val="11"/>
        <color theme="1"/>
        <rFont val="Calibri"/>
        <family val="2"/>
        <scheme val="minor"/>
      </rPr>
      <t>calibrated instruments</t>
    </r>
    <r>
      <rPr>
        <sz val="11"/>
        <color theme="1"/>
        <rFont val="Calibri"/>
        <family val="2"/>
        <scheme val="minor"/>
      </rPr>
      <t xml:space="preserve"> (scale, probe, pH meter).</t>
    </r>
  </si>
  <si>
    <r>
      <t xml:space="preserve">Peso, volumen, T°, pH, dimensiones; </t>
    </r>
    <r>
      <rPr>
        <b/>
        <sz val="11"/>
        <color theme="1"/>
        <rFont val="Calibri"/>
        <family val="2"/>
        <scheme val="minor"/>
      </rPr>
      <t>instrumentos calibrados</t>
    </r>
    <r>
      <rPr>
        <sz val="11"/>
        <color theme="1"/>
        <rFont val="Calibri"/>
        <family val="2"/>
        <scheme val="minor"/>
      </rPr>
      <t xml:space="preserve"> (balanza, sonda, pH-metro).</t>
    </r>
  </si>
  <si>
    <t>Verbe générique → préférer précis : mettre en marche = start/turn on (ES: encender), mettre en bac = tray up (ES: poner en cubeta), mettre à jour = update (ES: actualizar).</t>
  </si>
  <si>
    <t>Equipment, processes, IS/IT; move to digital tools, improve ergonomics/safety.</t>
  </si>
  <si>
    <t>Equipos, procesos, SI/IT; pasar a herramientas digitales, mejorar ergonomía/seguridad.</t>
  </si>
  <si>
    <r>
      <t xml:space="preserve">Nettoyage de poste/ustensiles/sols. Pour désinfection stricte, préférer </t>
    </r>
    <r>
      <rPr>
        <b/>
        <sz val="11"/>
        <color theme="1"/>
        <rFont val="Calibri"/>
        <family val="2"/>
        <scheme val="minor"/>
      </rPr>
      <t>sanitize/disinfect</t>
    </r>
    <r>
      <rPr>
        <sz val="11"/>
        <color theme="1"/>
        <rFont val="Calibri"/>
        <family val="2"/>
        <scheme val="minor"/>
      </rPr>
      <t>. Préciser méthode (CIP, foam, rinse) et fréquences HACCP.</t>
    </r>
  </si>
  <si>
    <r>
      <t xml:space="preserve">Clean station/utensils/floors. For strict disinfection, use </t>
    </r>
    <r>
      <rPr>
        <b/>
        <sz val="11"/>
        <color theme="1"/>
        <rFont val="Calibri"/>
        <family val="2"/>
        <scheme val="minor"/>
      </rPr>
      <t>sanitize/disinfect</t>
    </r>
    <r>
      <rPr>
        <sz val="11"/>
        <color theme="1"/>
        <rFont val="Calibri"/>
        <family val="2"/>
        <scheme val="minor"/>
      </rPr>
      <t>. Specify method (CIP, foam, rinse) and HACCP frequencies.</t>
    </r>
  </si>
  <si>
    <r>
      <t xml:space="preserve">Limpieza de puesto/utensilios/suelos. Para desinfección estricta, usar </t>
    </r>
    <r>
      <rPr>
        <b/>
        <sz val="11"/>
        <color theme="1"/>
        <rFont val="Calibri"/>
        <family val="2"/>
        <scheme val="minor"/>
      </rPr>
      <t>desinfectar/sanitizar</t>
    </r>
    <r>
      <rPr>
        <sz val="11"/>
        <color theme="1"/>
        <rFont val="Calibri"/>
        <family val="2"/>
        <scheme val="minor"/>
      </rPr>
      <t>. Especificar método (CIP, espuma, enjuague) y frecuencias APPCC.</t>
    </r>
  </si>
  <si>
    <t>Improve costs, time, flows, settings (OEE, yield, losses). Specify the levers: 5S, SMED, standard work.</t>
  </si>
  <si>
    <t>Schedule the sequence of WOs/batches on lines/proofers/ovens; manage priorities and capacities.</t>
  </si>
  <si>
    <t>Programar la secuencia de OF/lotes en líneas/cámaras/ hornos; gestionar prioridades y capacidades.</t>
  </si>
  <si>
    <t>Organize the workstation, schedule, documents, and zones (5S); allocate roles and resources.</t>
  </si>
  <si>
    <t>Organizar el puesto, el planning, la documentación y las zonas (5S); asignar roles y recursos.</t>
  </si>
  <si>
    <t>Define tasks, resources, capacities, milestones (Gantt, oven/proofer schedule, teams).</t>
  </si>
  <si>
    <t>Definir tareas, recursos, capacidades, hitos (Gantt, planning de horno/cámara, equipos).</t>
  </si>
  <si>
    <t>Mise en place, weighing, equipment, documents; specify checklist/timing.</t>
  </si>
  <si>
    <t>Presentation of a dish/product/report; refine plating, visuals, labeling.</t>
  </si>
  <si>
    <t>Presentación de un plato/producto/informe; cuidar emplatado, visuales, etiquetado.</t>
  </si>
  <si>
    <t>Material needs, activity peaks, risks; plan contingencies (buffer stock, redundancy).</t>
  </si>
  <si>
    <t>Necesidades de materiales, picos de actividad, riesgos; prever planes B (stock tampón, redundancia).</t>
  </si>
  <si>
    <t>Compliant production (quality, traceability, yield); track KPIs (OEE, scrap).</t>
  </si>
  <si>
    <t>Producción conforme (calidad, trazabilidad, rendimiento); seguir KPIs (OEE, merma).</t>
  </si>
  <si>
    <t>Program a machine/proofer, scripts, time slots; specify parameters (temp, time, cycle).</t>
  </si>
  <si>
    <t>Programar máquina/cámara, scripts, franjas; especificar parámetros (temp., tiempo, ciclo).</t>
  </si>
  <si>
    <t>Rebuild a structure/organization from the ground up.</t>
  </si>
  <si>
    <t>Reconstruir una estructura/organización desde cero.</t>
  </si>
  <si>
    <t>Goods-in: quantity, integrity, temperature, use-by/lot (traceability).</t>
  </si>
  <si>
    <t>Recepción: cantidad, integridad, T°, caducidad/lote (trazabilidad).</t>
  </si>
  <si>
    <t>After an incident/major change: process, team, building.</t>
  </si>
  <si>
    <t>Tras un incidente/cambio mayor: proceso, equipo, edificio.</t>
  </si>
  <si>
    <t>Kitchen: reduce a sauce; management: reduce costs/lead times.</t>
  </si>
  <si>
    <t>Cocina: reducir una salsa; gestión: reducir costes/plazos.</t>
  </si>
  <si>
    <t>Set machine parameters (temp, speed), calibrate a process.</t>
  </si>
  <si>
    <t>Ajustar parámetros de máquina (T°, velocidad), calibrar un proceso.</t>
  </si>
  <si>
    <t>Regulate/stabilize variations (flow, temp, pressure, throughput).</t>
  </si>
  <si>
    <t>Regular/estabilizar variaciones (caudal, T°, presión, flujo).</t>
  </si>
  <si>
    <t>Redesign shapes/product/station/layout.</t>
  </si>
  <si>
    <t>Rediseñar formas/producto/puesto/layout.</t>
  </si>
  <si>
    <t>Replace a part/ingredient/person (position) or non-conforming batch.</t>
  </si>
  <si>
    <t>Sustituir una pieza/ingrediente/persona (puesto) o un lote no conforme.</t>
  </si>
  <si>
    <t>Premises/equipment: technical/hygiene upgrade.</t>
  </si>
  <si>
    <t>Locales/equipos: puesta al día técnica/higiénica.</t>
  </si>
  <si>
    <t>Redefine roles/flows/layout (5S, VSM).</t>
  </si>
  <si>
    <t>Redefinir roles/flujo/implantación (5S, VSM).</t>
  </si>
  <si>
    <t>Corrective maintenance on machine/tooling/structure.</t>
  </si>
  <si>
    <t>Mantenimiento correctivo en máquina/herramental/estructura.</t>
  </si>
  <si>
    <t>Problem/incident: 5 Whys, Ishikawa, action plan.</t>
  </si>
  <si>
    <t>Problema/incidente: 5 Porqués, Ishikawa, plan de acción.</t>
  </si>
  <si>
    <t>Revise a document/process; periodic servicing.</t>
  </si>
  <si>
    <t>Revisar un documento/proceso; mantenimiento periódico.</t>
  </si>
  <si>
    <t>Review/adjust a recipe, procedure, plan.</t>
  </si>
  <si>
    <t>Revisión/ajuste de una receta, procedimiento, plan.</t>
  </si>
  <si>
    <t>Raise awareness/train on risks, allergens, and best practices (HACCP, safety).</t>
  </si>
  <si>
    <t>Sensibilizar/formar sobre riesgos, alérgenos y buenas prácticas (APPCC, seguridad).</t>
  </si>
  <si>
    <t>Simplify/streamline steps, clicks, formats; eliminate waste (LEAN).</t>
  </si>
  <si>
    <t>Simplificar/agilizar pasos, clics y formatos; eliminar desperdicios (LEAN).</t>
  </si>
  <si>
    <t>Lift loads/trays with safe posture (PPE, ergonomics).</t>
  </si>
  <si>
    <t>Levantar cargas/bandejas con postura segura (EPP, ergonomía).</t>
  </si>
  <si>
    <t>Define standards (recipe, settings, label format), 5S/standard work.</t>
  </si>
  <si>
    <t>Supervise execution, prioritize, unblock, and validate in real time.</t>
  </si>
  <si>
    <t>Supervisar la ejecución, priorizar, destrabar y validar en tiempo real.</t>
  </si>
  <si>
    <t>Monitor temp, time, levels, OEE; alarms and control limits.</t>
  </si>
  <si>
    <t>Monitorizar T°, tiempo, niveles, OEE; alarmas y límites de control.</t>
  </si>
  <si>
    <t>Recipe/process/machine tests; define a protocol (criteria, sampling, temp, time) and log the results.</t>
  </si>
  <si>
    <t>Pruebas de receta/proceso/máquina; definir un protocolo (criterios, muestreo, T°, tiempo) y registrar los resultados.</t>
  </si>
  <si>
    <t>Transform raw materials into products (cutting, cooking, mixing) or data into actionable information (ETL).</t>
  </si>
  <si>
    <t>Transformar materias primas en productos (corte, cocción, mezcla) o datos en información accionable (ETL).</t>
  </si>
  <si>
    <t>Sorting by size/quality/allergens/waste; dedicated flows and labeled bins (FIFO/FEFO, waste/valorization).</t>
  </si>
  <si>
    <t>Clasificación por calibre/calidad/alérgenos/residuos; flujos dedicados y cubetas identificadas (FIFO/FEFO, residuos/valorización).</t>
  </si>
  <si>
    <t>Spray/apply a thin coat (water, oil, syrup, alcohol, disinfectant). Specify product, dosage, and distance (e.g., 20–30 cm).</t>
  </si>
  <si>
    <t>Pulverizar/aplicar una capa fina (agua, aceite, almíbar, alcohol, desinfectante). Indicar producto, dosificación y distancia (p. ej., 20–30 cm).</t>
  </si>
  <si>
    <t>Quality/HACCP check: core temp, weight, use-by/lot, package integrity, machine settings. Record the result (traceability).</t>
  </si>
  <si>
    <t>Control de calidad/APPCC: T° al centro, peso, caducidad/lote, integridad del envase, ajustes de máquina. Registrar el resultado (trazabilidad).</t>
  </si>
  <si>
    <t>plate; dinner plate</t>
  </si>
  <si>
    <r>
      <t>plato</t>
    </r>
    <r>
      <rPr>
        <sz val="11"/>
        <color theme="1"/>
        <rFont val="Calibri"/>
        <family val="2"/>
        <scheme val="minor"/>
      </rPr>
      <t>; plato llano</t>
    </r>
  </si>
  <si>
    <t>bacs (GN)</t>
  </si>
  <si>
    <t>GN pans; bins; containers</t>
  </si>
  <si>
    <r>
      <t>cubetas GN</t>
    </r>
    <r>
      <rPr>
        <sz val="11"/>
        <color theme="1"/>
        <rFont val="Calibri"/>
        <family val="2"/>
        <scheme val="minor"/>
      </rPr>
      <t>; contenedores</t>
    </r>
  </si>
  <si>
    <t>Inox GN 1/1, 1/2, 1/3… avec couvercle/perforés; stockage, cuisson, cellule.</t>
  </si>
  <si>
    <t>bain-marie</t>
  </si>
  <si>
    <t>bain-marie; water bath; hot well</t>
  </si>
  <si>
    <t>baño María</t>
  </si>
  <si>
    <t>Maintien/chauffe douce ou refroidi; double-boiler possible; HACCP: chaud ≥63 °C.</t>
  </si>
  <si>
    <t>(weighing) scale; bench scale</t>
  </si>
  <si>
    <r>
      <t>balanza</t>
    </r>
    <r>
      <rPr>
        <sz val="11"/>
        <color theme="1"/>
        <rFont val="Calibri"/>
        <family val="2"/>
        <scheme val="minor"/>
      </rPr>
      <t xml:space="preserve">; </t>
    </r>
    <r>
      <rPr>
        <b/>
        <sz val="11"/>
        <color theme="1"/>
        <rFont val="Calibri"/>
        <family val="2"/>
        <scheme val="minor"/>
      </rPr>
      <t>báscula</t>
    </r>
  </si>
  <si>
    <t>Étalo/étalonnage, tare, précision (g/kg); pesée ingrédients/portions.</t>
  </si>
  <si>
    <t>food trays; containers</t>
  </si>
  <si>
    <r>
      <t>barquetas</t>
    </r>
    <r>
      <rPr>
        <sz val="11"/>
        <color theme="1"/>
        <rFont val="Calibri"/>
        <family val="2"/>
        <scheme val="minor"/>
      </rPr>
      <t>; envases</t>
    </r>
  </si>
  <si>
    <t>Operculables, micro-ondables; mentionner volume, matériau (PP, PET, alu).</t>
  </si>
  <si>
    <t>bascule (industrielle)</t>
  </si>
  <si>
    <t>weighbridge; platform scale</t>
  </si>
  <si>
    <r>
      <t>báscula puente</t>
    </r>
    <r>
      <rPr>
        <sz val="11"/>
        <color theme="1"/>
        <rFont val="Calibri"/>
        <family val="2"/>
        <scheme val="minor"/>
      </rPr>
      <t xml:space="preserve">; </t>
    </r>
    <r>
      <rPr>
        <b/>
        <sz val="11"/>
        <color theme="1"/>
        <rFont val="Calibri"/>
        <family val="2"/>
        <scheme val="minor"/>
      </rPr>
      <t>báscula de plataforma</t>
    </r>
  </si>
  <si>
    <t>Palettes/chariots/tonnages; accès rampe, imprimante tickets, traçabilité.</t>
  </si>
  <si>
    <t>truck; lorry (UK)</t>
  </si>
  <si>
    <t>camión</t>
  </si>
  <si>
    <t>cellule (de refroidissement/surgélation)</t>
  </si>
  <si>
    <t>blast chiller / blast freezer</t>
  </si>
  <si>
    <t>abatidor de temperatura / de congelación</t>
  </si>
  <si>
    <t>trolleys; carts; rack trolleys</t>
  </si>
  <si>
    <r>
      <t>carros</t>
    </r>
    <r>
      <rPr>
        <sz val="11"/>
        <color theme="1"/>
        <rFont val="Calibri"/>
        <family val="2"/>
        <scheme val="minor"/>
      </rPr>
      <t xml:space="preserve">; </t>
    </r>
    <r>
      <rPr>
        <b/>
        <sz val="11"/>
        <color theme="1"/>
        <rFont val="Calibri"/>
        <family val="2"/>
        <scheme val="minor"/>
      </rPr>
      <t>carros porta-bandejas</t>
    </r>
  </si>
  <si>
    <t>insulated food trolleys; hot/cold carts</t>
  </si>
  <si>
    <t>carros isotermos</t>
  </si>
  <si>
    <t>Logistique chaud/froid (self, catering); indiquer plages T° et autonomie.</t>
  </si>
  <si>
    <t>tray lid (snap-on)</t>
  </si>
  <si>
    <t>tapa para barqueta</t>
  </si>
  <si>
    <t>couvercle inox (GN)</t>
  </si>
  <si>
    <t>stainless (GN) lid</t>
  </si>
  <si>
    <t>tapa GN de acero inoxidable</t>
  </si>
  <si>
    <t>Plein/perforé/avec poignée; format GN 1/1, 1/2, 1/3, etc.</t>
  </si>
  <si>
    <t>couvercle polyc. (GN)</t>
  </si>
  <si>
    <t>polycarbonate (GN) lid</t>
  </si>
  <si>
    <t>tapa GN de policarbonato</t>
  </si>
  <si>
    <t>Transparent, compatible froid/cellule; vérifier T°/lave-vaisselle.</t>
  </si>
  <si>
    <t>steamer; steam cooker</t>
  </si>
  <si>
    <r>
      <t>vaporera</t>
    </r>
    <r>
      <rPr>
        <sz val="11"/>
        <color theme="1"/>
        <rFont val="Calibri"/>
        <family val="2"/>
        <scheme val="minor"/>
      </rPr>
      <t xml:space="preserve">; </t>
    </r>
    <r>
      <rPr>
        <b/>
        <sz val="11"/>
        <color theme="1"/>
        <rFont val="Calibri"/>
        <family val="2"/>
        <scheme val="minor"/>
      </rPr>
      <t>cocedor al vapor</t>
    </r>
  </si>
  <si>
    <t>mixing bowl (hemispherical)</t>
  </si>
  <si>
    <r>
      <t>bol de mezcla</t>
    </r>
    <r>
      <rPr>
        <sz val="11"/>
        <color theme="1"/>
        <rFont val="Calibri"/>
        <family val="2"/>
        <scheme val="minor"/>
      </rPr>
      <t xml:space="preserve"> (hemisférico)</t>
    </r>
  </si>
  <si>
    <t>Inox, fond arrondi pour fouetter/émulsionner; existe en polycarbonate.</t>
  </si>
  <si>
    <t>douchette (évier)</t>
  </si>
  <si>
    <t>pre-rinse spray gun; sink spray hose</t>
  </si>
  <si>
    <r>
      <t>ducha de mano</t>
    </r>
    <r>
      <rPr>
        <sz val="11"/>
        <color theme="1"/>
        <rFont val="Calibri"/>
        <family val="2"/>
        <scheme val="minor"/>
      </rPr>
      <t xml:space="preserve">; </t>
    </r>
    <r>
      <rPr>
        <b/>
        <sz val="11"/>
        <color theme="1"/>
        <rFont val="Calibri"/>
        <family val="2"/>
        <scheme val="minor"/>
      </rPr>
      <t>pistola de enjuague</t>
    </r>
  </si>
  <si>
    <t>échelle (de four / pâtisserie)</t>
  </si>
  <si>
    <t>rack trolley; baker’s rack; oven rack cart</t>
  </si>
  <si>
    <r>
      <t>carro estantería</t>
    </r>
    <r>
      <rPr>
        <sz val="11"/>
        <color theme="1"/>
        <rFont val="Calibri"/>
        <family val="2"/>
        <scheme val="minor"/>
      </rPr>
      <t xml:space="preserve">; </t>
    </r>
    <r>
      <rPr>
        <b/>
        <sz val="11"/>
        <color theme="1"/>
        <rFont val="Calibri"/>
        <family val="2"/>
        <scheme val="minor"/>
      </rPr>
      <t>rack panadero</t>
    </r>
  </si>
  <si>
    <t>écumoire</t>
  </si>
  <si>
    <t>skimmer; slotted spoon</t>
  </si>
  <si>
    <t>espumadera</t>
  </si>
  <si>
    <t>cardboard packaging; corrugated box</t>
  </si>
  <si>
    <r>
      <t>envase/embalaje de cartón</t>
    </r>
    <r>
      <rPr>
        <sz val="11"/>
        <color theme="1"/>
        <rFont val="Calibri"/>
        <family val="2"/>
        <scheme val="minor"/>
      </rPr>
      <t xml:space="preserve">; </t>
    </r>
    <r>
      <rPr>
        <b/>
        <sz val="11"/>
        <color theme="1"/>
        <rFont val="Calibri"/>
        <family val="2"/>
        <scheme val="minor"/>
      </rPr>
      <t>caja corrugada</t>
    </r>
  </si>
  <si>
    <t>original packaging; manufacturer’s packaging</t>
  </si>
  <si>
    <t>embalaje original</t>
  </si>
  <si>
    <t>étagères</t>
  </si>
  <si>
    <t>shelves; shelving; racking</t>
  </si>
  <si>
    <r>
      <t>estanterías</t>
    </r>
    <r>
      <rPr>
        <sz val="11"/>
        <color theme="1"/>
        <rFont val="Calibri"/>
        <family val="2"/>
        <scheme val="minor"/>
      </rPr>
      <t xml:space="preserve">; </t>
    </r>
    <r>
      <rPr>
        <b/>
        <sz val="11"/>
        <color theme="1"/>
        <rFont val="Calibri"/>
        <family val="2"/>
        <scheme val="minor"/>
      </rPr>
      <t>rack</t>
    </r>
  </si>
  <si>
    <t>étiqueteuse</t>
  </si>
  <si>
    <t>labeler; labeling machine</t>
  </si>
  <si>
    <t>etiquetadora</t>
  </si>
  <si>
    <t>film étirable (alimentaire)</t>
  </si>
  <si>
    <t>cling film; plastic wrap</t>
  </si>
  <si>
    <r>
      <t>film transparente (alimentario)</t>
    </r>
    <r>
      <rPr>
        <sz val="11"/>
        <color theme="1"/>
        <rFont val="Calibri"/>
        <family val="2"/>
        <scheme val="minor"/>
      </rPr>
      <t xml:space="preserve">; </t>
    </r>
    <r>
      <rPr>
        <b/>
        <sz val="11"/>
        <color theme="1"/>
        <rFont val="Calibri"/>
        <family val="2"/>
        <scheme val="minor"/>
      </rPr>
      <t>papel film</t>
    </r>
  </si>
  <si>
    <t>whisk; balloon whisk</t>
  </si>
  <si>
    <r>
      <t>batidor de varillas</t>
    </r>
    <r>
      <rPr>
        <sz val="11"/>
        <color theme="1"/>
        <rFont val="Calibri"/>
        <family val="2"/>
        <scheme val="minor"/>
      </rPr>
      <t xml:space="preserve">; </t>
    </r>
    <r>
      <rPr>
        <b/>
        <sz val="11"/>
        <color theme="1"/>
        <rFont val="Calibri"/>
        <family val="2"/>
        <scheme val="minor"/>
      </rPr>
      <t>batidor globo</t>
    </r>
  </si>
  <si>
    <t>combi oven; combi-steamer</t>
  </si>
  <si>
    <r>
      <t>horno mixto (convección-vapor)</t>
    </r>
    <r>
      <rPr>
        <sz val="11"/>
        <color theme="1"/>
        <rFont val="Calibri"/>
        <family val="2"/>
        <scheme val="minor"/>
      </rPr>
      <t xml:space="preserve">; </t>
    </r>
    <r>
      <rPr>
        <b/>
        <sz val="11"/>
        <color theme="1"/>
        <rFont val="Calibri"/>
        <family val="2"/>
        <scheme val="minor"/>
      </rPr>
      <t>horno combinado</t>
    </r>
  </si>
  <si>
    <t>gastro (bacs GN)</t>
  </si>
  <si>
    <t>GN pans; Gastronorm containers</t>
  </si>
  <si>
    <r>
      <t>cubetas GN</t>
    </r>
    <r>
      <rPr>
        <sz val="11"/>
        <color theme="1"/>
        <rFont val="Calibri"/>
        <family val="2"/>
        <scheme val="minor"/>
      </rPr>
      <t>; contenedores Gastronorm</t>
    </r>
  </si>
  <si>
    <t>(oven) rack; cooling rack; grill grate</t>
  </si>
  <si>
    <r>
      <t>rejilla de horno</t>
    </r>
    <r>
      <rPr>
        <sz val="11"/>
        <color theme="1"/>
        <rFont val="Calibri"/>
        <family val="2"/>
        <scheme val="minor"/>
      </rPr>
      <t xml:space="preserve">; </t>
    </r>
    <r>
      <rPr>
        <b/>
        <sz val="11"/>
        <color theme="1"/>
        <rFont val="Calibri"/>
        <family val="2"/>
        <scheme val="minor"/>
      </rPr>
      <t>rejilla enfriadora</t>
    </r>
    <r>
      <rPr>
        <sz val="11"/>
        <color theme="1"/>
        <rFont val="Calibri"/>
        <family val="2"/>
        <scheme val="minor"/>
      </rPr>
      <t xml:space="preserve">; </t>
    </r>
    <r>
      <rPr>
        <b/>
        <sz val="11"/>
        <color theme="1"/>
        <rFont val="Calibri"/>
        <family val="2"/>
        <scheme val="minor"/>
      </rPr>
      <t>parrilla</t>
    </r>
  </si>
  <si>
    <t>hachoir (robot/multifonction)</t>
  </si>
  <si>
    <t>food chopper; processor</t>
  </si>
  <si>
    <t>picadora / procesador de alimentos</t>
  </si>
  <si>
    <t>housse de protection (chariot/étagère/équipement)</t>
  </si>
  <si>
    <t>protective cover; dust cover</t>
  </si>
  <si>
    <r>
      <t>funda de protección</t>
    </r>
    <r>
      <rPr>
        <sz val="11"/>
        <color theme="1"/>
        <rFont val="Calibri"/>
        <family val="2"/>
        <scheme val="minor"/>
      </rPr>
      <t xml:space="preserve">; </t>
    </r>
    <r>
      <rPr>
        <b/>
        <sz val="11"/>
        <color theme="1"/>
        <rFont val="Calibri"/>
        <family val="2"/>
        <scheme val="minor"/>
      </rPr>
      <t>cubre-polvo</t>
    </r>
  </si>
  <si>
    <t>ladle; soup ladle; sauce ladle</t>
  </si>
  <si>
    <r>
      <t>cucharón</t>
    </r>
    <r>
      <rPr>
        <sz val="11"/>
        <color theme="1"/>
        <rFont val="Calibri"/>
        <family val="2"/>
        <scheme val="minor"/>
      </rPr>
      <t>; cucharón sopero; cucharón para salsas</t>
    </r>
  </si>
  <si>
    <t>machine à râper</t>
  </si>
  <si>
    <t>grater machine; electric grater; shredding machine</t>
  </si>
  <si>
    <r>
      <t>ralladora eléctrica</t>
    </r>
    <r>
      <rPr>
        <sz val="11"/>
        <color theme="1"/>
        <rFont val="Calibri"/>
        <family val="2"/>
        <scheme val="minor"/>
      </rPr>
      <t xml:space="preserve">; </t>
    </r>
    <r>
      <rPr>
        <b/>
        <sz val="11"/>
        <color theme="1"/>
        <rFont val="Calibri"/>
        <family val="2"/>
        <scheme val="minor"/>
      </rPr>
      <t>máquina de rallar</t>
    </r>
  </si>
  <si>
    <t>marmite (de cuisson)</t>
  </si>
  <si>
    <t>stock pot; kettle</t>
  </si>
  <si>
    <r>
      <t>olla</t>
    </r>
    <r>
      <rPr>
        <sz val="11"/>
        <color theme="1"/>
        <rFont val="Calibri"/>
        <family val="2"/>
        <scheme val="minor"/>
      </rPr>
      <t xml:space="preserve">; </t>
    </r>
    <r>
      <rPr>
        <b/>
        <sz val="11"/>
        <color theme="1"/>
        <rFont val="Calibri"/>
        <family val="2"/>
        <scheme val="minor"/>
      </rPr>
      <t>caldera</t>
    </r>
    <r>
      <rPr>
        <sz val="11"/>
        <color theme="1"/>
        <rFont val="Calibri"/>
        <family val="2"/>
        <scheme val="minor"/>
      </rPr>
      <t xml:space="preserve"> (industrial)</t>
    </r>
  </si>
  <si>
    <t>mixer (plongeant)</t>
  </si>
  <si>
    <t>immersion blender; stick blender</t>
  </si>
  <si>
    <t>batidora de inmersión</t>
  </si>
  <si>
    <t>ouvre-boîte</t>
  </si>
  <si>
    <t>can opener; tin opener (UK)</t>
  </si>
  <si>
    <t>abre-latas</t>
  </si>
  <si>
    <t>palette (logistique)</t>
  </si>
  <si>
    <t>pallet (EUR/EPAL pallet)</t>
  </si>
  <si>
    <r>
      <t>palé / palet</t>
    </r>
    <r>
      <rPr>
        <sz val="11"/>
        <color theme="1"/>
        <rFont val="Calibri"/>
        <family val="2"/>
        <scheme val="minor"/>
      </rPr>
      <t xml:space="preserve">; </t>
    </r>
    <r>
      <rPr>
        <b/>
        <sz val="11"/>
        <color theme="1"/>
        <rFont val="Calibri"/>
        <family val="2"/>
        <scheme val="minor"/>
      </rPr>
      <t>palé europeo (EPAL)</t>
    </r>
  </si>
  <si>
    <t>colander; strainer</t>
  </si>
  <si>
    <r>
      <t>colador</t>
    </r>
    <r>
      <rPr>
        <sz val="11"/>
        <color theme="1"/>
        <rFont val="Calibri"/>
        <family val="2"/>
        <scheme val="minor"/>
      </rPr>
      <t xml:space="preserve">; </t>
    </r>
    <r>
      <rPr>
        <b/>
        <sz val="11"/>
        <color theme="1"/>
        <rFont val="Calibri"/>
        <family val="2"/>
        <scheme val="minor"/>
      </rPr>
      <t>escurridor</t>
    </r>
  </si>
  <si>
    <t>pelle à pizza</t>
  </si>
  <si>
    <t>pizza peel</t>
  </si>
  <si>
    <t>pala para pizza</t>
  </si>
  <si>
    <t>tongs; kitchen tongs</t>
  </si>
  <si>
    <r>
      <t>pinzas</t>
    </r>
    <r>
      <rPr>
        <sz val="11"/>
        <color theme="1"/>
        <rFont val="Calibri"/>
        <family val="2"/>
        <scheme val="minor"/>
      </rPr>
      <t xml:space="preserve"> (de cocina)</t>
    </r>
  </si>
  <si>
    <r>
      <t>plaque eutectique</t>
    </r>
    <r>
      <rPr>
        <sz val="11"/>
        <color theme="1"/>
        <rFont val="Calibri"/>
        <family val="2"/>
        <scheme val="minor"/>
      </rPr>
      <t xml:space="preserve"> </t>
    </r>
    <r>
      <rPr>
        <i/>
        <sz val="11"/>
        <color theme="1"/>
        <rFont val="Calibri"/>
        <family val="2"/>
        <scheme val="minor"/>
      </rPr>
      <t>(correction de « pl.euthechtique »)</t>
    </r>
  </si>
  <si>
    <t>eutectic cold plate; gel cold pack</t>
  </si>
  <si>
    <r>
      <t>placa eutéctica</t>
    </r>
    <r>
      <rPr>
        <sz val="11"/>
        <color theme="1"/>
        <rFont val="Calibri"/>
        <family val="2"/>
        <scheme val="minor"/>
      </rPr>
      <t xml:space="preserve">; </t>
    </r>
    <r>
      <rPr>
        <b/>
        <sz val="11"/>
        <color theme="1"/>
        <rFont val="Calibri"/>
        <family val="2"/>
        <scheme val="minor"/>
      </rPr>
      <t>acumulador de frío</t>
    </r>
  </si>
  <si>
    <t>planche à découper</t>
  </si>
  <si>
    <t>cutting board; chopping board</t>
  </si>
  <si>
    <t>tabla de cortar</t>
  </si>
  <si>
    <t>plat gastro (GN plat)</t>
  </si>
  <si>
    <t>GN tray / GN shallow pan</t>
  </si>
  <si>
    <t>bandeja GN / cubeta GN baja</t>
  </si>
  <si>
    <t>trays; service trays</t>
  </si>
  <si>
    <r>
      <t>bandejas</t>
    </r>
    <r>
      <rPr>
        <sz val="11"/>
        <color theme="1"/>
        <rFont val="Calibri"/>
        <family val="2"/>
        <scheme val="minor"/>
      </rPr>
      <t xml:space="preserve">; </t>
    </r>
    <r>
      <rPr>
        <b/>
        <sz val="11"/>
        <color theme="1"/>
        <rFont val="Calibri"/>
        <family val="2"/>
        <scheme val="minor"/>
      </rPr>
      <t>bandejas de servicio</t>
    </r>
  </si>
  <si>
    <t>râpeuse</t>
  </si>
  <si>
    <t>grating machine; rotary/drum grater</t>
  </si>
  <si>
    <r>
      <t>ralladora</t>
    </r>
    <r>
      <rPr>
        <sz val="11"/>
        <color theme="1"/>
        <rFont val="Calibri"/>
        <family val="2"/>
        <scheme val="minor"/>
      </rPr>
      <t>; máquina de rallar (de tambor)</t>
    </r>
  </si>
  <si>
    <t>shelving; racking</t>
  </si>
  <si>
    <r>
      <t>estanterías</t>
    </r>
    <r>
      <rPr>
        <sz val="11"/>
        <color theme="1"/>
        <rFont val="Calibri"/>
        <family val="2"/>
        <scheme val="minor"/>
      </rPr>
      <t xml:space="preserve">; </t>
    </r>
    <r>
      <rPr>
        <b/>
        <sz val="11"/>
        <color theme="1"/>
        <rFont val="Calibri"/>
        <family val="2"/>
        <scheme val="minor"/>
      </rPr>
      <t>racks</t>
    </r>
  </si>
  <si>
    <t>rolls (logistique)</t>
  </si>
  <si>
    <t>roll cage; roll container</t>
  </si>
  <si>
    <r>
      <t>carro jaula</t>
    </r>
    <r>
      <rPr>
        <sz val="11"/>
        <color theme="1"/>
        <rFont val="Calibri"/>
        <family val="2"/>
        <scheme val="minor"/>
      </rPr>
      <t>; contenedor rodante</t>
    </r>
  </si>
  <si>
    <t>rondeau; braiser pan (wide, shallow pot)</t>
  </si>
  <si>
    <r>
      <t>rondeau</t>
    </r>
    <r>
      <rPr>
        <sz val="11"/>
        <color theme="1"/>
        <rFont val="Calibri"/>
        <family val="2"/>
        <scheme val="minor"/>
      </rPr>
      <t>; cacerola baja ancha</t>
    </r>
  </si>
  <si>
    <t>rouleau (à pâtisserie)</t>
  </si>
  <si>
    <t>rolling pin</t>
  </si>
  <si>
    <t>rodillo (de pastelería)</t>
  </si>
  <si>
    <r>
      <t xml:space="preserve">sauté pan (straight sides) / </t>
    </r>
    <r>
      <rPr>
        <b/>
        <sz val="11"/>
        <color theme="1"/>
        <rFont val="Calibri"/>
        <family val="2"/>
        <scheme val="minor"/>
      </rPr>
      <t>saucier</t>
    </r>
    <r>
      <rPr>
        <sz val="11"/>
        <color theme="1"/>
        <rFont val="Calibri"/>
        <family val="2"/>
        <scheme val="minor"/>
      </rPr>
      <t xml:space="preserve"> (rounded)</t>
    </r>
  </si>
  <si>
    <r>
      <t>salteadora</t>
    </r>
    <r>
      <rPr>
        <sz val="11"/>
        <color theme="1"/>
        <rFont val="Calibri"/>
        <family val="2"/>
        <scheme val="minor"/>
      </rPr>
      <t xml:space="preserve"> (paredes rectas) / </t>
    </r>
    <r>
      <rPr>
        <b/>
        <sz val="11"/>
        <color theme="1"/>
        <rFont val="Calibri"/>
        <family val="2"/>
        <scheme val="minor"/>
      </rPr>
      <t>cazo salteador</t>
    </r>
    <r>
      <rPr>
        <sz val="11"/>
        <color theme="1"/>
        <rFont val="Calibri"/>
        <family val="2"/>
        <scheme val="minor"/>
      </rPr>
      <t xml:space="preserve"> (bordes redondeados)</t>
    </r>
  </si>
  <si>
    <t>plastic pail/bucket (food-grade)</t>
  </si>
  <si>
    <t>cubo/balde de plástico (grado alimentario)</t>
  </si>
  <si>
    <t>dolly; rolling base</t>
  </si>
  <si>
    <r>
      <t>base rodante</t>
    </r>
    <r>
      <rPr>
        <sz val="11"/>
        <color theme="1"/>
        <rFont val="Calibri"/>
        <family val="2"/>
        <scheme val="minor"/>
      </rPr>
      <t xml:space="preserve">; </t>
    </r>
    <r>
      <rPr>
        <b/>
        <sz val="11"/>
        <color theme="1"/>
        <rFont val="Calibri"/>
        <family val="2"/>
        <scheme val="minor"/>
      </rPr>
      <t>dolly</t>
    </r>
  </si>
  <si>
    <t>sonde (température)</t>
  </si>
  <si>
    <t>probe thermometer; core probe; oil probe</t>
  </si>
  <si>
    <r>
      <t>sonda de temperatura</t>
    </r>
    <r>
      <rPr>
        <sz val="11"/>
        <color theme="1"/>
        <rFont val="Calibri"/>
        <family val="2"/>
        <scheme val="minor"/>
      </rPr>
      <t xml:space="preserve">; </t>
    </r>
    <r>
      <rPr>
        <b/>
        <sz val="11"/>
        <color theme="1"/>
        <rFont val="Calibri"/>
        <family val="2"/>
        <scheme val="minor"/>
      </rPr>
      <t>sonda de penetración</t>
    </r>
    <r>
      <rPr>
        <sz val="11"/>
        <color theme="1"/>
        <rFont val="Calibri"/>
        <family val="2"/>
        <scheme val="minor"/>
      </rPr>
      <t xml:space="preserve">; </t>
    </r>
    <r>
      <rPr>
        <b/>
        <sz val="11"/>
        <color theme="1"/>
        <rFont val="Calibri"/>
        <family val="2"/>
        <scheme val="minor"/>
      </rPr>
      <t>sonda para aceite</t>
    </r>
  </si>
  <si>
    <t>hot holding table; hot well; heated service table</t>
  </si>
  <si>
    <r>
      <t>mesa caliente</t>
    </r>
    <r>
      <rPr>
        <sz val="11"/>
        <color theme="1"/>
        <rFont val="Calibri"/>
        <family val="2"/>
        <scheme val="minor"/>
      </rPr>
      <t xml:space="preserve">; </t>
    </r>
    <r>
      <rPr>
        <b/>
        <sz val="11"/>
        <color theme="1"/>
        <rFont val="Calibri"/>
        <family val="2"/>
        <scheme val="minor"/>
      </rPr>
      <t>baño maría de servicio</t>
    </r>
  </si>
  <si>
    <t>work table; prep table (stainless)</t>
  </si>
  <si>
    <r>
      <t>mesa de trabajo</t>
    </r>
    <r>
      <rPr>
        <sz val="11"/>
        <color theme="1"/>
        <rFont val="Calibri"/>
        <family val="2"/>
        <scheme val="minor"/>
      </rPr>
      <t xml:space="preserve">; </t>
    </r>
    <r>
      <rPr>
        <b/>
        <sz val="11"/>
        <color theme="1"/>
        <rFont val="Calibri"/>
        <family val="2"/>
        <scheme val="minor"/>
      </rPr>
      <t>mesa de preparación (inox)</t>
    </r>
  </si>
  <si>
    <t>thermoscelleuse (barquettes)</t>
  </si>
  <si>
    <t>tray sealer; heat sealer; lidding machine</t>
  </si>
  <si>
    <t>termoselladora (de barquetas)</t>
  </si>
  <si>
    <t>trancheur (charcuterie)</t>
  </si>
  <si>
    <t>slicer; deli meat slicer</t>
  </si>
  <si>
    <r>
      <t>cortadora de fiambre</t>
    </r>
    <r>
      <rPr>
        <sz val="11"/>
        <color theme="1"/>
        <rFont val="Calibri"/>
        <family val="2"/>
        <scheme val="minor"/>
      </rPr>
      <t xml:space="preserve">; </t>
    </r>
    <r>
      <rPr>
        <b/>
        <sz val="11"/>
        <color theme="1"/>
        <rFont val="Calibri"/>
        <family val="2"/>
        <scheme val="minor"/>
      </rPr>
      <t>rebanadora</t>
    </r>
  </si>
  <si>
    <t>LÉGUMES APPERTISES</t>
  </si>
  <si>
    <t>LÉGUMES FRAIS A CUIRE</t>
  </si>
  <si>
    <t>LÉGUMES SECS</t>
  </si>
  <si>
    <t>LÉGUMES SOUS VIDE A CUIRE</t>
  </si>
  <si>
    <t>LÉGUMES SOUS VIDE CUITS</t>
  </si>
  <si>
    <t>LÉGUMES SURGELÉS A CUIRE</t>
  </si>
  <si>
    <t>LÉGUMES SURGELÉS CUITS</t>
  </si>
  <si>
    <t>VIANDE FRAÎCHE CUITE SOUS VIDE</t>
  </si>
  <si>
    <t>VIANDE FRAÎCHE SOUS VIDE CRUE A COUPER</t>
  </si>
  <si>
    <t>VIANDE FRAÎCHE SOUS VIDE CRUE A CUIRE A COUPER+APPERTISÉ</t>
  </si>
  <si>
    <t>VIANDE FRAÎCHE SOUS VIDE CUITE A COUPER</t>
  </si>
  <si>
    <t>VIANDES FRAÎCHES A PIÉCER AVANT CUISSON COURTE</t>
  </si>
  <si>
    <t>VIANDES FRAÎCHES A PIÉCER AVANT CUISSON LONGUE</t>
  </si>
  <si>
    <t>VIANDES FRAÎCHES DÉCOUPÉE A CUISSON LONGUE</t>
  </si>
  <si>
    <t>VIANDES FRAÎCHES PIÉCÉES A CUISSON COURTE</t>
  </si>
  <si>
    <t>VIANDES FRAÎCHES PIÉCÉES A CUISSON LONGUE</t>
  </si>
  <si>
    <t>VIANDES SURGELEES CRUES A TRANCHER AVANT CUISSON</t>
  </si>
  <si>
    <t>VIANDES SURGELEES CUITES TRANCHÉES</t>
  </si>
  <si>
    <t>VIANDES SOUS VIDE A PIÉCER AVANT CUISSON COURTE</t>
  </si>
  <si>
    <t>VIANDES SOUS VIDE A PIÉCER AVANT CUISSON LONGUE</t>
  </si>
  <si>
    <t>VIANDES SOUS VIDE A TRANCHER SANS CUISSON</t>
  </si>
  <si>
    <t>VIANDES SOUS VIDE DÉCOUPÉE A CUISSON LONGUE</t>
  </si>
  <si>
    <t>VIANDES SOUS VIDE PIÉCÉES A CUISSON COURTE</t>
  </si>
  <si>
    <t>VIANDES SOUS VIDE PIÉCÉES A CUISSON LONGUE</t>
  </si>
  <si>
    <t>appertisé = canned = en conserva ; catégorie légumes = categoría verduras</t>
  </si>
  <si>
    <t>à cuire = to cook = para cocinar ; catégorie légumes = categoría verduras</t>
  </si>
  <si>
    <t>catégorie légumes = categoría verduras</t>
  </si>
  <si>
    <t>sous vide = vacuum-packed = envasado al vacío ; à cuire = to cook = para cocinar ; catégorie légumes = categoría verduras</t>
  </si>
  <si>
    <t>sous vide = vacuum-packed = envasado al vacío ; catégorie légumes = categoría verduras</t>
  </si>
  <si>
    <t>catégorie produits laitiers = categoría productos lácteos</t>
  </si>
  <si>
    <t>sous vide = vacuum-packed = envasado al vacío ; cuit(e) = cooked = cocido/a ; catégorie viandes = categoría carnes</t>
  </si>
  <si>
    <t>sous vide = vacuum-packed = envasado al vacío ; cru(e) = raw = crudo/a ; à couper = to cut = para cortar ; catégorie viandes = categoría carnes</t>
  </si>
  <si>
    <t>sous vide = vacuum-packed = envasado al vacío ; appertisé = canned = en conserva ; cru(e) = raw = crudo/a ; à cuire = to cook = para cocinar ; à couper = to cut = para cortar ; catégorie viandes = categoría carnes</t>
  </si>
  <si>
    <t>sous vide = vacuum-packed = envasado al vacío ; cuit(e) = cooked = cocido/a ; à couper = to cut = para cortar ; catégorie viandes = categoría carnes</t>
  </si>
  <si>
    <t>cuisson courte = short cook = cocción corta ; catégorie viandes = categoría carnes</t>
  </si>
  <si>
    <t>cuisson longue = long cook = cocción larga ; catégorie viandes = categoría carnes</t>
  </si>
  <si>
    <t>cuisson longue = long cook = cocción larga ; découpée = cut = cortada ; catégorie viandes = categoría carnes</t>
  </si>
  <si>
    <t>cru(e) = raw = crudo/a ; à trancher = to slice = para rebanar ; catégorie viandes = categoría carnes</t>
  </si>
  <si>
    <t>cuit(e) = cooked = cocido/a ; catégorie viandes = categoría carnes</t>
  </si>
  <si>
    <t>cuit(e) = cooked = cocido/a ; à trancher = to slice = para rebanar ; catégorie viandes = categoría carnes</t>
  </si>
  <si>
    <t>cuit(e) = cooked = cocido/a ; tranchées = sliced = rebanadas ; catégorie viandes = categoría carnes</t>
  </si>
  <si>
    <t>sous vide = vacuum-packed = envasado al vacío ; cuisson courte = short cook = cocción corta ; catégorie viandes = categoría carnes</t>
  </si>
  <si>
    <t>sous vide = vacuum-packed = envasado al vacío ; cuisson longue = long cook = cocción larga ; catégorie viandes = categoría carnes</t>
  </si>
  <si>
    <t>sous vide = vacuum-packed = envasado al vacío ; à trancher = to slice = para rebanar ; catégorie viandes = categoría carnes</t>
  </si>
  <si>
    <t>sous vide = vacuum-packed = envasado al vacío ; cuisson longue = long cook = cocción larga ; découpée = cut = cortada ; catégorie viandes = categoría carnes</t>
  </si>
  <si>
    <r>
      <t>Abaisse</t>
    </r>
    <r>
      <rPr>
        <sz val="11"/>
        <color theme="1"/>
        <rFont val="Calibri"/>
        <family val="2"/>
        <scheme val="minor"/>
      </rPr>
      <t xml:space="preserve"> : morceau de pâte étalé au rouleau à une épaisseur voulue.</t>
    </r>
  </si>
  <si>
    <r>
      <t>Lámina de masa estirada</t>
    </r>
    <r>
      <rPr>
        <sz val="11"/>
        <color theme="1"/>
        <rFont val="Calibri"/>
        <family val="2"/>
        <scheme val="minor"/>
      </rPr>
      <t xml:space="preserve"> a un grosor definido.</t>
    </r>
  </si>
  <si>
    <r>
      <t>Abaisser</t>
    </r>
    <r>
      <rPr>
        <sz val="11"/>
        <color theme="1"/>
        <rFont val="Calibri"/>
        <family val="2"/>
        <scheme val="minor"/>
      </rPr>
      <t xml:space="preserve"> : étaler une pâte au rouleau à une épaisseur voulue.</t>
    </r>
  </si>
  <si>
    <r>
      <t>Roll out</t>
    </r>
    <r>
      <rPr>
        <sz val="11"/>
        <color theme="1"/>
        <rFont val="Calibri"/>
        <family val="2"/>
        <scheme val="minor"/>
      </rPr>
      <t xml:space="preserve"> dough to a set thickness.</t>
    </r>
  </si>
  <si>
    <r>
      <t>Estirar</t>
    </r>
    <r>
      <rPr>
        <sz val="11"/>
        <color theme="1"/>
        <rFont val="Calibri"/>
        <family val="2"/>
        <scheme val="minor"/>
      </rPr>
      <t xml:space="preserve"> la masa a un grosor deseado.</t>
    </r>
  </si>
  <si>
    <r>
      <t>Accoler</t>
    </r>
    <r>
      <rPr>
        <sz val="11"/>
        <color theme="1"/>
        <rFont val="Calibri"/>
        <family val="2"/>
        <scheme val="minor"/>
      </rPr>
      <t xml:space="preserve"> : réunir/assembler éléments (gâteau, pièces).</t>
    </r>
  </si>
  <si>
    <r>
      <t>Join/assemble</t>
    </r>
    <r>
      <rPr>
        <sz val="11"/>
        <color theme="1"/>
        <rFont val="Calibri"/>
        <family val="2"/>
        <scheme val="minor"/>
      </rPr>
      <t xml:space="preserve"> components (cake, pieces).</t>
    </r>
  </si>
  <si>
    <r>
      <t>Unir/ensamblar</t>
    </r>
    <r>
      <rPr>
        <sz val="11"/>
        <color theme="1"/>
        <rFont val="Calibri"/>
        <family val="2"/>
        <scheme val="minor"/>
      </rPr>
      <t xml:space="preserve"> elementos (pastel, piezas).</t>
    </r>
  </si>
  <si>
    <r>
      <t>Appareil</t>
    </r>
    <r>
      <rPr>
        <sz val="11"/>
        <color theme="1"/>
        <rFont val="Calibri"/>
        <family val="2"/>
        <scheme val="minor"/>
      </rPr>
      <t xml:space="preserve"> : mélange de base pour une préparation.</t>
    </r>
  </si>
  <si>
    <r>
      <t>Batter/mixture</t>
    </r>
    <r>
      <rPr>
        <sz val="11"/>
        <color theme="1"/>
        <rFont val="Calibri"/>
        <family val="2"/>
        <scheme val="minor"/>
      </rPr>
      <t xml:space="preserve"> (base mix for a preparation).</t>
    </r>
  </si>
  <si>
    <r>
      <t>Aparato/mezcla base</t>
    </r>
    <r>
      <rPr>
        <sz val="11"/>
        <color theme="1"/>
        <rFont val="Calibri"/>
        <family val="2"/>
        <scheme val="minor"/>
      </rPr>
      <t xml:space="preserve"> para una preparación.</t>
    </r>
  </si>
  <si>
    <r>
      <t>Apprêt</t>
    </r>
    <r>
      <rPr>
        <sz val="11"/>
        <color theme="1"/>
        <rFont val="Calibri"/>
        <family val="2"/>
        <scheme val="minor"/>
      </rPr>
      <t xml:space="preserve"> : pousse finale d’une pâte levée avant cuisson.</t>
    </r>
  </si>
  <si>
    <r>
      <t>Final proof</t>
    </r>
    <r>
      <rPr>
        <sz val="11"/>
        <color theme="1"/>
        <rFont val="Calibri"/>
        <family val="2"/>
        <scheme val="minor"/>
      </rPr>
      <t xml:space="preserve"> of yeasted dough before baking.</t>
    </r>
  </si>
  <si>
    <r>
      <t>Leudado final</t>
    </r>
    <r>
      <rPr>
        <sz val="11"/>
        <color theme="1"/>
        <rFont val="Calibri"/>
        <family val="2"/>
        <scheme val="minor"/>
      </rPr>
      <t xml:space="preserve"> de la masa antes del horneado.</t>
    </r>
  </si>
  <si>
    <r>
      <t>Aromatiser</t>
    </r>
    <r>
      <rPr>
        <sz val="11"/>
        <color theme="1"/>
        <rFont val="Calibri"/>
        <family val="2"/>
        <scheme val="minor"/>
      </rPr>
      <t xml:space="preserve"> : ajouter arôme/aromates.</t>
    </r>
  </si>
  <si>
    <r>
      <t>Flavor/aromatize</t>
    </r>
    <r>
      <rPr>
        <sz val="11"/>
        <color theme="1"/>
        <rFont val="Calibri"/>
        <family val="2"/>
        <scheme val="minor"/>
      </rPr>
      <t xml:space="preserve"> a preparation.</t>
    </r>
  </si>
  <si>
    <r>
      <t>Aromatizar</t>
    </r>
    <r>
      <rPr>
        <sz val="11"/>
        <color theme="1"/>
        <rFont val="Calibri"/>
        <family val="2"/>
        <scheme val="minor"/>
      </rPr>
      <t xml:space="preserve"> una preparación.</t>
    </r>
  </si>
  <si>
    <r>
      <t>Bain-marie</t>
    </r>
    <r>
      <rPr>
        <sz val="11"/>
        <color theme="1"/>
        <rFont val="Calibri"/>
        <family val="2"/>
        <scheme val="minor"/>
      </rPr>
      <t xml:space="preserve"> : cuisson/maintien au chaud dans eau.</t>
    </r>
  </si>
  <si>
    <r>
      <t>Bain-marie / water bath</t>
    </r>
    <r>
      <rPr>
        <sz val="11"/>
        <color theme="1"/>
        <rFont val="Calibri"/>
        <family val="2"/>
        <scheme val="minor"/>
      </rPr>
      <t xml:space="preserve"> for gentle cooking/holding.</t>
    </r>
  </si>
  <si>
    <r>
      <t>Baño María</t>
    </r>
    <r>
      <rPr>
        <sz val="11"/>
        <color theme="1"/>
        <rFont val="Calibri"/>
        <family val="2"/>
        <scheme val="minor"/>
      </rPr>
      <t xml:space="preserve"> para cocción/mantenimiento suave.</t>
    </r>
  </si>
  <si>
    <r>
      <t>Battre</t>
    </r>
    <r>
      <rPr>
        <sz val="11"/>
        <color theme="1"/>
        <rFont val="Calibri"/>
        <family val="2"/>
        <scheme val="minor"/>
      </rPr>
      <t xml:space="preserve"> : fouetter énergiquement pour homogénéiser/foisonner.</t>
    </r>
  </si>
  <si>
    <r>
      <t>Beat/whisk</t>
    </r>
    <r>
      <rPr>
        <sz val="11"/>
        <color theme="1"/>
        <rFont val="Calibri"/>
        <family val="2"/>
        <scheme val="minor"/>
      </rPr>
      <t xml:space="preserve"> to combine or aerate.</t>
    </r>
  </si>
  <si>
    <r>
      <t>Batir</t>
    </r>
    <r>
      <rPr>
        <sz val="11"/>
        <color theme="1"/>
        <rFont val="Calibri"/>
        <family val="2"/>
        <scheme val="minor"/>
      </rPr>
      <t xml:space="preserve"> para homogeneizar o airear.</t>
    </r>
  </si>
  <si>
    <r>
      <t>Beurre clarifié</t>
    </r>
    <r>
      <rPr>
        <sz val="11"/>
        <color theme="1"/>
        <rFont val="Calibri"/>
        <family val="2"/>
        <scheme val="minor"/>
      </rPr>
      <t xml:space="preserve"> : beurre fondu décanté (sans caséine/petit-lait).</t>
    </r>
  </si>
  <si>
    <r>
      <t>Clarified butter</t>
    </r>
    <r>
      <rPr>
        <sz val="11"/>
        <color theme="1"/>
        <rFont val="Calibri"/>
        <family val="2"/>
        <scheme val="minor"/>
      </rPr>
      <t xml:space="preserve"> (milk solids removed).</t>
    </r>
  </si>
  <si>
    <r>
      <t>Mantequilla clarificada</t>
    </r>
    <r>
      <rPr>
        <sz val="11"/>
        <color theme="1"/>
        <rFont val="Calibri"/>
        <family val="2"/>
        <scheme val="minor"/>
      </rPr>
      <t>.</t>
    </r>
  </si>
  <si>
    <r>
      <t>Beurre en pommade</t>
    </r>
    <r>
      <rPr>
        <sz val="11"/>
        <color theme="1"/>
        <rFont val="Calibri"/>
        <family val="2"/>
        <scheme val="minor"/>
      </rPr>
      <t xml:space="preserve"> : beurre ramolli, texture pommade.</t>
    </r>
  </si>
  <si>
    <r>
      <t>Softened/butter at pomade stage</t>
    </r>
    <r>
      <rPr>
        <sz val="11"/>
        <color theme="1"/>
        <rFont val="Calibri"/>
        <family val="2"/>
        <scheme val="minor"/>
      </rPr>
      <t>.</t>
    </r>
  </si>
  <si>
    <r>
      <t>Mantequilla en pomada</t>
    </r>
    <r>
      <rPr>
        <sz val="11"/>
        <color theme="1"/>
        <rFont val="Calibri"/>
        <family val="2"/>
        <scheme val="minor"/>
      </rPr>
      <t>.</t>
    </r>
  </si>
  <si>
    <r>
      <t>Blanchir (pâtisserie)</t>
    </r>
    <r>
      <rPr>
        <sz val="11"/>
        <color theme="1"/>
        <rFont val="Calibri"/>
        <family val="2"/>
        <scheme val="minor"/>
      </rPr>
      <t xml:space="preserve"> : fouetter jaunes + sucre jusqu’à mousseux.</t>
    </r>
  </si>
  <si>
    <r>
      <t>Blanch</t>
    </r>
    <r>
      <rPr>
        <sz val="11"/>
        <color theme="1"/>
        <rFont val="Calibri"/>
        <family val="2"/>
        <scheme val="minor"/>
      </rPr>
      <t xml:space="preserve"> egg yolks with sugar (whip pale/foamy).</t>
    </r>
  </si>
  <si>
    <r>
      <t>Blanquear</t>
    </r>
    <r>
      <rPr>
        <sz val="11"/>
        <color theme="1"/>
        <rFont val="Calibri"/>
        <family val="2"/>
        <scheme val="minor"/>
      </rPr>
      <t xml:space="preserve"> yemas con azúcar (batir hasta espumar).</t>
    </r>
  </si>
  <si>
    <r>
      <t>Bouler</t>
    </r>
    <r>
      <rPr>
        <sz val="11"/>
        <color theme="1"/>
        <rFont val="Calibri"/>
        <family val="2"/>
        <scheme val="minor"/>
      </rPr>
      <t xml:space="preserve"> : façonner une boule de pâte.</t>
    </r>
  </si>
  <si>
    <r>
      <t>Round/ball up</t>
    </r>
    <r>
      <rPr>
        <sz val="11"/>
        <color theme="1"/>
        <rFont val="Calibri"/>
        <family val="2"/>
        <scheme val="minor"/>
      </rPr>
      <t xml:space="preserve"> dough.</t>
    </r>
  </si>
  <si>
    <r>
      <t>Bolear</t>
    </r>
    <r>
      <rPr>
        <sz val="11"/>
        <color theme="1"/>
        <rFont val="Calibri"/>
        <family val="2"/>
        <scheme val="minor"/>
      </rPr>
      <t xml:space="preserve"> la masa.</t>
    </r>
  </si>
  <si>
    <r>
      <t>Brunissement enzymatique</t>
    </r>
    <r>
      <rPr>
        <sz val="11"/>
        <color theme="1"/>
        <rFont val="Calibri"/>
        <family val="2"/>
        <scheme val="minor"/>
      </rPr>
      <t xml:space="preserve"> : brunissement à l’air après coupe/épluchage.</t>
    </r>
  </si>
  <si>
    <r>
      <t>Enzymatic browning</t>
    </r>
    <r>
      <rPr>
        <sz val="11"/>
        <color theme="1"/>
        <rFont val="Calibri"/>
        <family val="2"/>
        <scheme val="minor"/>
      </rPr>
      <t xml:space="preserve"> after cutting/peeling.</t>
    </r>
  </si>
  <si>
    <r>
      <t>Pardeamiento enzimático</t>
    </r>
    <r>
      <rPr>
        <sz val="11"/>
        <color theme="1"/>
        <rFont val="Calibri"/>
        <family val="2"/>
        <scheme val="minor"/>
      </rPr>
      <t>.</t>
    </r>
  </si>
  <si>
    <r>
      <t>Canneler</t>
    </r>
    <r>
      <rPr>
        <sz val="11"/>
        <color theme="1"/>
        <rFont val="Calibri"/>
        <family val="2"/>
        <scheme val="minor"/>
      </rPr>
      <t xml:space="preserve"> : faire des cannelures décoratives sur fruits/légumes.</t>
    </r>
  </si>
  <si>
    <r>
      <t>Channel/zest in strips</t>
    </r>
    <r>
      <rPr>
        <sz val="11"/>
        <color theme="1"/>
        <rFont val="Calibri"/>
        <family val="2"/>
        <scheme val="minor"/>
      </rPr>
      <t xml:space="preserve"> (make decorative grooves).</t>
    </r>
  </si>
  <si>
    <r>
      <t>Hacer canaladuras</t>
    </r>
    <r>
      <rPr>
        <sz val="11"/>
        <color theme="1"/>
        <rFont val="Calibri"/>
        <family val="2"/>
        <scheme val="minor"/>
      </rPr>
      <t xml:space="preserve"> / </t>
    </r>
    <r>
      <rPr>
        <b/>
        <sz val="11"/>
        <color theme="1"/>
        <rFont val="Calibri"/>
        <family val="2"/>
        <scheme val="minor"/>
      </rPr>
      <t>sacar tiras decorativas</t>
    </r>
    <r>
      <rPr>
        <sz val="11"/>
        <color theme="1"/>
        <rFont val="Calibri"/>
        <family val="2"/>
        <scheme val="minor"/>
      </rPr>
      <t>.</t>
    </r>
  </si>
  <si>
    <r>
      <t>Caramélisation</t>
    </r>
    <r>
      <rPr>
        <sz val="11"/>
        <color theme="1"/>
        <rFont val="Calibri"/>
        <family val="2"/>
        <scheme val="minor"/>
      </rPr>
      <t xml:space="preserve"> : brunissement non enzymatique du sucre par chaleur.</t>
    </r>
  </si>
  <si>
    <r>
      <t>Chiqueter</t>
    </r>
    <r>
      <rPr>
        <sz val="11"/>
        <color theme="1"/>
        <rFont val="Calibri"/>
        <family val="2"/>
        <scheme val="minor"/>
      </rPr>
      <t xml:space="preserve"> : entailler le bord d’un feuilletage (décor).</t>
    </r>
  </si>
  <si>
    <r>
      <t>Crimp/scallop</t>
    </r>
    <r>
      <rPr>
        <sz val="11"/>
        <color theme="1"/>
        <rFont val="Calibri"/>
        <family val="2"/>
        <scheme val="minor"/>
      </rPr>
      <t xml:space="preserve"> puff edges (decorative notches).</t>
    </r>
  </si>
  <si>
    <r>
      <t>Festonear</t>
    </r>
    <r>
      <rPr>
        <sz val="11"/>
        <color theme="1"/>
        <rFont val="Calibri"/>
        <family val="2"/>
        <scheme val="minor"/>
      </rPr>
      <t xml:space="preserve"> los bordes de hojaldre.</t>
    </r>
  </si>
  <si>
    <r>
      <t>Confire (fruits)</t>
    </r>
    <r>
      <rPr>
        <sz val="11"/>
        <color theme="1"/>
        <rFont val="Calibri"/>
        <family val="2"/>
        <scheme val="minor"/>
      </rPr>
      <t xml:space="preserve"> : remplacer eau de végétation par sirops successifs.</t>
    </r>
  </si>
  <si>
    <r>
      <t>Candy/Confit</t>
    </r>
    <r>
      <rPr>
        <sz val="11"/>
        <color theme="1"/>
        <rFont val="Calibri"/>
        <family val="2"/>
        <scheme val="minor"/>
      </rPr>
      <t xml:space="preserve"> fruit in progressively stronger syrups.</t>
    </r>
  </si>
  <si>
    <r>
      <t>Confitar</t>
    </r>
    <r>
      <rPr>
        <sz val="11"/>
        <color theme="1"/>
        <rFont val="Calibri"/>
        <family val="2"/>
        <scheme val="minor"/>
      </rPr>
      <t xml:space="preserve"> fruta en jarabes crecientes.</t>
    </r>
  </si>
  <si>
    <r>
      <t>Corner</t>
    </r>
    <r>
      <rPr>
        <sz val="11"/>
        <color theme="1"/>
        <rFont val="Calibri"/>
        <family val="2"/>
        <scheme val="minor"/>
      </rPr>
      <t xml:space="preserve"> : racler à la corne pour récupérer l’appareil.</t>
    </r>
  </si>
  <si>
    <r>
      <t>Scrape</t>
    </r>
    <r>
      <rPr>
        <sz val="11"/>
        <color theme="1"/>
        <rFont val="Calibri"/>
        <family val="2"/>
        <scheme val="minor"/>
      </rPr>
      <t xml:space="preserve"> bowl with a scraper to recover batter.</t>
    </r>
  </si>
  <si>
    <r>
      <t>Raspar</t>
    </r>
    <r>
      <rPr>
        <sz val="11"/>
        <color theme="1"/>
        <rFont val="Calibri"/>
        <family val="2"/>
        <scheme val="minor"/>
      </rPr>
      <t xml:space="preserve"> con rasqueta para recuperar mezcla.</t>
    </r>
  </si>
  <si>
    <r>
      <t>Corps (pâte)</t>
    </r>
    <r>
      <rPr>
        <sz val="11"/>
        <color theme="1"/>
        <rFont val="Calibri"/>
        <family val="2"/>
        <scheme val="minor"/>
      </rPr>
      <t xml:space="preserve"> : élasticité/résistance liée au gluten.</t>
    </r>
  </si>
  <si>
    <r>
      <t>Body</t>
    </r>
    <r>
      <rPr>
        <sz val="11"/>
        <color theme="1"/>
        <rFont val="Calibri"/>
        <family val="2"/>
        <scheme val="minor"/>
      </rPr>
      <t xml:space="preserve"> of dough (gluten strength/elasticity).</t>
    </r>
  </si>
  <si>
    <r>
      <t>Cuerpo</t>
    </r>
    <r>
      <rPr>
        <sz val="11"/>
        <color theme="1"/>
        <rFont val="Calibri"/>
        <family val="2"/>
        <scheme val="minor"/>
      </rPr>
      <t xml:space="preserve"> de la masa (fuerza del gluten).</t>
    </r>
  </si>
  <si>
    <r>
      <t>Corser (pâte)</t>
    </r>
    <r>
      <rPr>
        <sz val="11"/>
        <color theme="1"/>
        <rFont val="Calibri"/>
        <family val="2"/>
        <scheme val="minor"/>
      </rPr>
      <t xml:space="preserve"> : renforcer l’élasticité par pétrissage.</t>
    </r>
  </si>
  <si>
    <r>
      <t>Develop</t>
    </r>
    <r>
      <rPr>
        <sz val="11"/>
        <color theme="1"/>
        <rFont val="Calibri"/>
        <family val="2"/>
        <scheme val="minor"/>
      </rPr>
      <t xml:space="preserve"> dough (strengthen gluten by kneading).</t>
    </r>
  </si>
  <si>
    <r>
      <t>Desarrollar</t>
    </r>
    <r>
      <rPr>
        <sz val="11"/>
        <color theme="1"/>
        <rFont val="Calibri"/>
        <family val="2"/>
        <scheme val="minor"/>
      </rPr>
      <t xml:space="preserve"> la masa (fortalecer gluten).</t>
    </r>
  </si>
  <si>
    <r>
      <t>Coucher (dresser)</t>
    </r>
    <r>
      <rPr>
        <sz val="11"/>
        <color theme="1"/>
        <rFont val="Calibri"/>
        <family val="2"/>
        <scheme val="minor"/>
      </rPr>
      <t xml:space="preserve"> : pocher à la douille sur plaque/tapis.</t>
    </r>
  </si>
  <si>
    <r>
      <t>Pipe/lay out</t>
    </r>
    <r>
      <rPr>
        <sz val="11"/>
        <color theme="1"/>
        <rFont val="Calibri"/>
        <family val="2"/>
        <scheme val="minor"/>
      </rPr>
      <t xml:space="preserve"> with a pastry bag on tray/mat.</t>
    </r>
  </si>
  <si>
    <r>
      <t>Escudillar</t>
    </r>
    <r>
      <rPr>
        <sz val="11"/>
        <color theme="1"/>
        <rFont val="Calibri"/>
        <family val="2"/>
        <scheme val="minor"/>
      </rPr>
      <t xml:space="preserve"> con manga sobre bandeja/tapete.</t>
    </r>
  </si>
  <si>
    <r>
      <t>Crémer</t>
    </r>
    <r>
      <rPr>
        <sz val="11"/>
        <color theme="1"/>
        <rFont val="Calibri"/>
        <family val="2"/>
        <scheme val="minor"/>
      </rPr>
      <t xml:space="preserve"> : travailler matière grasse (seule/avec sucre) jusqu’à crémage.</t>
    </r>
  </si>
  <si>
    <r>
      <t>Cream</t>
    </r>
    <r>
      <rPr>
        <sz val="11"/>
        <color theme="1"/>
        <rFont val="Calibri"/>
        <family val="2"/>
        <scheme val="minor"/>
      </rPr>
      <t xml:space="preserve"> butter (alone/with sugar) until fluffy.</t>
    </r>
  </si>
  <si>
    <r>
      <t>Acremar</t>
    </r>
    <r>
      <rPr>
        <sz val="11"/>
        <color theme="1"/>
        <rFont val="Calibri"/>
        <family val="2"/>
        <scheme val="minor"/>
      </rPr>
      <t xml:space="preserve"> mantequilla (sola/con azúcar).</t>
    </r>
  </si>
  <si>
    <r>
      <t>Croûter</t>
    </r>
    <r>
      <rPr>
        <sz val="11"/>
        <color theme="1"/>
        <rFont val="Calibri"/>
        <family val="2"/>
        <scheme val="minor"/>
      </rPr>
      <t xml:space="preserve"> : sécher en surface (air/étuve) avant suite (ex. macarons).</t>
    </r>
  </si>
  <si>
    <r>
      <t>Crust/skin over</t>
    </r>
    <r>
      <rPr>
        <sz val="11"/>
        <color theme="1"/>
        <rFont val="Calibri"/>
        <family val="2"/>
        <scheme val="minor"/>
      </rPr>
      <t xml:space="preserve"> (air/proofer), e.g., macarons.</t>
    </r>
  </si>
  <si>
    <r>
      <t>Acortezar/formar piel</t>
    </r>
    <r>
      <rPr>
        <sz val="11"/>
        <color theme="1"/>
        <rFont val="Calibri"/>
        <family val="2"/>
        <scheme val="minor"/>
      </rPr>
      <t xml:space="preserve"> (aire/cámara).</t>
    </r>
  </si>
  <si>
    <r>
      <t>Décercler</t>
    </r>
    <r>
      <rPr>
        <sz val="11"/>
        <color theme="1"/>
        <rFont val="Calibri"/>
        <family val="2"/>
        <scheme val="minor"/>
      </rPr>
      <t xml:space="preserve"> : retirer le cercle d’un fond/entremets.</t>
    </r>
  </si>
  <si>
    <r>
      <t>Unring</t>
    </r>
    <r>
      <rPr>
        <sz val="11"/>
        <color theme="1"/>
        <rFont val="Calibri"/>
        <family val="2"/>
        <scheme val="minor"/>
      </rPr>
      <t xml:space="preserve"> (remove tart/cake ring).</t>
    </r>
  </si>
  <si>
    <r>
      <t>Desmoldar (quitar aro)</t>
    </r>
    <r>
      <rPr>
        <sz val="11"/>
        <color theme="1"/>
        <rFont val="Calibri"/>
        <family val="2"/>
        <scheme val="minor"/>
      </rPr>
      <t>.</t>
    </r>
  </si>
  <si>
    <r>
      <t>Décoction</t>
    </r>
    <r>
      <rPr>
        <sz val="11"/>
        <color theme="1"/>
        <rFont val="Calibri"/>
        <family val="2"/>
        <scheme val="minor"/>
      </rPr>
      <t xml:space="preserve"> : extraction par ébullition prolongée.</t>
    </r>
  </si>
  <si>
    <r>
      <t>Decoction</t>
    </r>
    <r>
      <rPr>
        <sz val="11"/>
        <color theme="1"/>
        <rFont val="Calibri"/>
        <family val="2"/>
        <scheme val="minor"/>
      </rPr>
      <t xml:space="preserve"> (prolonged boiling extraction).</t>
    </r>
  </si>
  <si>
    <r>
      <t>Decocción</t>
    </r>
    <r>
      <rPr>
        <sz val="11"/>
        <color theme="1"/>
        <rFont val="Calibri"/>
        <family val="2"/>
        <scheme val="minor"/>
      </rPr>
      <t>.</t>
    </r>
  </si>
  <si>
    <r>
      <t>Dessécher</t>
    </r>
    <r>
      <rPr>
        <sz val="11"/>
        <color theme="1"/>
        <rFont val="Calibri"/>
        <family val="2"/>
        <scheme val="minor"/>
      </rPr>
      <t xml:space="preserve"> : évaporer l’excès d’eau sur feu doux/étuve/four (pâte à choux).</t>
    </r>
  </si>
  <si>
    <r>
      <t>Dry out</t>
    </r>
    <r>
      <rPr>
        <sz val="11"/>
        <color theme="1"/>
        <rFont val="Calibri"/>
        <family val="2"/>
        <scheme val="minor"/>
      </rPr>
      <t xml:space="preserve"> moisture gently (e.g., choux panade).</t>
    </r>
  </si>
  <si>
    <r>
      <t>Desecar</t>
    </r>
    <r>
      <rPr>
        <sz val="11"/>
        <color theme="1"/>
        <rFont val="Calibri"/>
        <family val="2"/>
        <scheme val="minor"/>
      </rPr>
      <t xml:space="preserve"> (p. ej., masa choux).</t>
    </r>
  </si>
  <si>
    <r>
      <t>Détailler</t>
    </r>
    <r>
      <rPr>
        <sz val="11"/>
        <color theme="1"/>
        <rFont val="Calibri"/>
        <family val="2"/>
        <scheme val="minor"/>
      </rPr>
      <t xml:space="preserve"> : découper formes nettes dans une abaisse.</t>
    </r>
  </si>
  <si>
    <r>
      <t>Cut out</t>
    </r>
    <r>
      <rPr>
        <sz val="11"/>
        <color theme="1"/>
        <rFont val="Calibri"/>
        <family val="2"/>
        <scheme val="minor"/>
      </rPr>
      <t xml:space="preserve"> shapes from rolled dough.</t>
    </r>
  </si>
  <si>
    <r>
      <t>Cortar</t>
    </r>
    <r>
      <rPr>
        <sz val="11"/>
        <color theme="1"/>
        <rFont val="Calibri"/>
        <family val="2"/>
        <scheme val="minor"/>
      </rPr>
      <t xml:space="preserve"> piezas de una lámina de masa.</t>
    </r>
  </si>
  <si>
    <r>
      <t>Détrempe</t>
    </r>
    <r>
      <rPr>
        <sz val="11"/>
        <color theme="1"/>
        <rFont val="Calibri"/>
        <family val="2"/>
        <scheme val="minor"/>
      </rPr>
      <t xml:space="preserve"> : base farine+eau+sel pour feuilletée/levée feuilletée.</t>
    </r>
  </si>
  <si>
    <r>
      <t>Détrempe</t>
    </r>
    <r>
      <rPr>
        <sz val="11"/>
        <color theme="1"/>
        <rFont val="Calibri"/>
        <family val="2"/>
        <scheme val="minor"/>
      </rPr>
      <t>: base dough (flour+water+salt) for puff/laminated.</t>
    </r>
  </si>
  <si>
    <r>
      <t>Detrempe</t>
    </r>
    <r>
      <rPr>
        <sz val="11"/>
        <color theme="1"/>
        <rFont val="Calibri"/>
        <family val="2"/>
        <scheme val="minor"/>
      </rPr>
      <t>: base para hojaldre/levado hojaldrado.</t>
    </r>
  </si>
  <si>
    <r>
      <t>Façonner</t>
    </r>
    <r>
      <rPr>
        <sz val="11"/>
        <color theme="1"/>
        <rFont val="Calibri"/>
        <family val="2"/>
        <scheme val="minor"/>
      </rPr>
      <t xml:space="preserve"> : donner une forme avant cuisson.</t>
    </r>
  </si>
  <si>
    <r>
      <t>Shape/Form</t>
    </r>
    <r>
      <rPr>
        <sz val="11"/>
        <color theme="1"/>
        <rFont val="Calibri"/>
        <family val="2"/>
        <scheme val="minor"/>
      </rPr>
      <t xml:space="preserve"> before baking.</t>
    </r>
  </si>
  <si>
    <r>
      <t>Formar/Dar forma</t>
    </r>
    <r>
      <rPr>
        <sz val="11"/>
        <color theme="1"/>
        <rFont val="Calibri"/>
        <family val="2"/>
        <scheme val="minor"/>
      </rPr>
      <t>.</t>
    </r>
  </si>
  <si>
    <r>
      <t>Festonner</t>
    </r>
    <r>
      <rPr>
        <sz val="11"/>
        <color theme="1"/>
        <rFont val="Calibri"/>
        <family val="2"/>
        <scheme val="minor"/>
      </rPr>
      <t xml:space="preserve"> : bordures décoratives arrondies (pithiviers…).</t>
    </r>
  </si>
  <si>
    <r>
      <t>Scallop</t>
    </r>
    <r>
      <rPr>
        <sz val="11"/>
        <color theme="1"/>
        <rFont val="Calibri"/>
        <family val="2"/>
        <scheme val="minor"/>
      </rPr>
      <t xml:space="preserve"> decorative edges.</t>
    </r>
  </si>
  <si>
    <r>
      <t>Festonear</t>
    </r>
    <r>
      <rPr>
        <sz val="11"/>
        <color theme="1"/>
        <rFont val="Calibri"/>
        <family val="2"/>
        <scheme val="minor"/>
      </rPr>
      <t xml:space="preserve"> bordes decorativos.</t>
    </r>
  </si>
  <si>
    <r>
      <t>Fleurer</t>
    </r>
    <r>
      <rPr>
        <sz val="11"/>
        <color theme="1"/>
        <rFont val="Calibri"/>
        <family val="2"/>
        <scheme val="minor"/>
      </rPr>
      <t xml:space="preserve"> : fariner légèrement tour/plaque/moule.</t>
    </r>
  </si>
  <si>
    <r>
      <t>Dust</t>
    </r>
    <r>
      <rPr>
        <sz val="11"/>
        <color theme="1"/>
        <rFont val="Calibri"/>
        <family val="2"/>
        <scheme val="minor"/>
      </rPr>
      <t xml:space="preserve"> lightly with flour.</t>
    </r>
  </si>
  <si>
    <r>
      <t>Espolvorear</t>
    </r>
    <r>
      <rPr>
        <sz val="11"/>
        <color theme="1"/>
        <rFont val="Calibri"/>
        <family val="2"/>
        <scheme val="minor"/>
      </rPr>
      <t xml:space="preserve"> con harina.</t>
    </r>
  </si>
  <si>
    <r>
      <t>Foncer</t>
    </r>
    <r>
      <rPr>
        <sz val="11"/>
        <color theme="1"/>
        <rFont val="Calibri"/>
        <family val="2"/>
        <scheme val="minor"/>
      </rPr>
      <t xml:space="preserve"> : tapisser un moule/cercle avec pâte.</t>
    </r>
  </si>
  <si>
    <r>
      <t>Line</t>
    </r>
    <r>
      <rPr>
        <sz val="11"/>
        <color theme="1"/>
        <rFont val="Calibri"/>
        <family val="2"/>
        <scheme val="minor"/>
      </rPr>
      <t xml:space="preserve"> a tin/ring with pastry.</t>
    </r>
  </si>
  <si>
    <r>
      <t>Forrar</t>
    </r>
    <r>
      <rPr>
        <sz val="11"/>
        <color theme="1"/>
        <rFont val="Calibri"/>
        <family val="2"/>
        <scheme val="minor"/>
      </rPr>
      <t xml:space="preserve"> un molde/aro con masa.</t>
    </r>
  </si>
  <si>
    <r>
      <t>Fond (base)</t>
    </r>
    <r>
      <rPr>
        <sz val="11"/>
        <color theme="1"/>
        <rFont val="Calibri"/>
        <family val="2"/>
        <scheme val="minor"/>
      </rPr>
      <t xml:space="preserve"> : élément de base d’un gâteau.</t>
    </r>
  </si>
  <si>
    <r>
      <t>Base/shell</t>
    </r>
    <r>
      <rPr>
        <sz val="11"/>
        <color theme="1"/>
        <rFont val="Calibri"/>
        <family val="2"/>
        <scheme val="minor"/>
      </rPr>
      <t xml:space="preserve"> (foundation layer).</t>
    </r>
  </si>
  <si>
    <r>
      <t>Base/fondo</t>
    </r>
    <r>
      <rPr>
        <sz val="11"/>
        <color theme="1"/>
        <rFont val="Calibri"/>
        <family val="2"/>
        <scheme val="minor"/>
      </rPr>
      <t xml:space="preserve"> de un pastel.</t>
    </r>
  </si>
  <si>
    <r>
      <t>Foisonnement</t>
    </r>
    <r>
      <rPr>
        <sz val="11"/>
        <color theme="1"/>
        <rFont val="Calibri"/>
        <family val="2"/>
        <scheme val="minor"/>
      </rPr>
      <t xml:space="preserve"> : augmentation de volume par air/gaz.</t>
    </r>
  </si>
  <si>
    <r>
      <t>Overrun/foaming</t>
    </r>
    <r>
      <rPr>
        <sz val="11"/>
        <color theme="1"/>
        <rFont val="Calibri"/>
        <family val="2"/>
        <scheme val="minor"/>
      </rPr>
      <t xml:space="preserve"> (volume increase by air).</t>
    </r>
  </si>
  <si>
    <r>
      <t>Aumento de volumen/aireación</t>
    </r>
    <r>
      <rPr>
        <sz val="11"/>
        <color theme="1"/>
        <rFont val="Calibri"/>
        <family val="2"/>
        <scheme val="minor"/>
      </rPr>
      <t>.</t>
    </r>
  </si>
  <si>
    <r>
      <t>Fraser</t>
    </r>
    <r>
      <rPr>
        <sz val="11"/>
        <color theme="1"/>
        <rFont val="Calibri"/>
        <family val="2"/>
        <scheme val="minor"/>
      </rPr>
      <t xml:space="preserve"> : écraser la pâte pour lier/homogénéiser (sur marbre/au batteur).</t>
    </r>
  </si>
  <si>
    <r>
      <t>Fraisage</t>
    </r>
    <r>
      <rPr>
        <sz val="11"/>
        <color theme="1"/>
        <rFont val="Calibri"/>
        <family val="2"/>
        <scheme val="minor"/>
      </rPr>
      <t>: smear dough to bind/homogenize.</t>
    </r>
  </si>
  <si>
    <r>
      <t>Fresado</t>
    </r>
    <r>
      <rPr>
        <sz val="11"/>
        <color theme="1"/>
        <rFont val="Calibri"/>
        <family val="2"/>
        <scheme val="minor"/>
      </rPr>
      <t>: empujar/untar la masa para ligar.</t>
    </r>
  </si>
  <si>
    <r>
      <t>Garnir</t>
    </r>
    <r>
      <rPr>
        <sz val="11"/>
        <color theme="1"/>
        <rFont val="Calibri"/>
        <family val="2"/>
        <scheme val="minor"/>
      </rPr>
      <t xml:space="preserve"> : remplir (fond, moule, poche).</t>
    </r>
  </si>
  <si>
    <r>
      <t>Fill</t>
    </r>
    <r>
      <rPr>
        <sz val="11"/>
        <color theme="1"/>
        <rFont val="Calibri"/>
        <family val="2"/>
        <scheme val="minor"/>
      </rPr>
      <t xml:space="preserve"> (shell, mold, piping bag).</t>
    </r>
  </si>
  <si>
    <r>
      <t>Rellenar</t>
    </r>
    <r>
      <rPr>
        <sz val="11"/>
        <color theme="1"/>
        <rFont val="Calibri"/>
        <family val="2"/>
        <scheme val="minor"/>
      </rPr>
      <t xml:space="preserve"> (base, molde, manga).</t>
    </r>
  </si>
  <si>
    <r>
      <t>Glacer</t>
    </r>
    <r>
      <rPr>
        <sz val="11"/>
        <color theme="1"/>
        <rFont val="Calibri"/>
        <family val="2"/>
        <scheme val="minor"/>
      </rPr>
      <t xml:space="preserve"> : 1) recouvrir de glaçage; 2) faire briller (sirop/sucre glace au four).</t>
    </r>
  </si>
  <si>
    <r>
      <t>Glaze</t>
    </r>
    <r>
      <rPr>
        <sz val="11"/>
        <color theme="1"/>
        <rFont val="Calibri"/>
        <family val="2"/>
        <scheme val="minor"/>
      </rPr>
      <t>: 1) coat with icing; 2) make shiny (syrup/icing sugar).</t>
    </r>
  </si>
  <si>
    <r>
      <t>Glasear</t>
    </r>
    <r>
      <rPr>
        <sz val="11"/>
        <color theme="1"/>
        <rFont val="Calibri"/>
        <family val="2"/>
        <scheme val="minor"/>
      </rPr>
      <t xml:space="preserve"> / </t>
    </r>
    <r>
      <rPr>
        <b/>
        <sz val="11"/>
        <color theme="1"/>
        <rFont val="Calibri"/>
        <family val="2"/>
        <scheme val="minor"/>
      </rPr>
      <t>abrillantar</t>
    </r>
    <r>
      <rPr>
        <sz val="11"/>
        <color theme="1"/>
        <rFont val="Calibri"/>
        <family val="2"/>
        <scheme val="minor"/>
      </rPr>
      <t>.</t>
    </r>
  </si>
  <si>
    <r>
      <t>Grainage</t>
    </r>
    <r>
      <rPr>
        <sz val="11"/>
        <color theme="1"/>
        <rFont val="Calibri"/>
        <family val="2"/>
        <scheme val="minor"/>
      </rPr>
      <t xml:space="preserve"> : mousse/émulsion qui tranche (sur-battu).</t>
    </r>
  </si>
  <si>
    <r>
      <t>Graining/splitting</t>
    </r>
    <r>
      <rPr>
        <sz val="11"/>
        <color theme="1"/>
        <rFont val="Calibri"/>
        <family val="2"/>
        <scheme val="minor"/>
      </rPr>
      <t xml:space="preserve"> (overbeaten foam/emulsion).</t>
    </r>
  </si>
  <si>
    <r>
      <t>Granulado/corte</t>
    </r>
    <r>
      <rPr>
        <sz val="11"/>
        <color theme="1"/>
        <rFont val="Calibri"/>
        <family val="2"/>
        <scheme val="minor"/>
      </rPr>
      <t xml:space="preserve"> de mousse/emulsión.</t>
    </r>
  </si>
  <si>
    <r>
      <t>Graisser</t>
    </r>
    <r>
      <rPr>
        <sz val="11"/>
        <color theme="1"/>
        <rFont val="Calibri"/>
        <family val="2"/>
        <scheme val="minor"/>
      </rPr>
      <t xml:space="preserve"> : enduire de matière grasse (moule/plaque).</t>
    </r>
  </si>
  <si>
    <r>
      <t>Grease</t>
    </r>
    <r>
      <rPr>
        <sz val="11"/>
        <color theme="1"/>
        <rFont val="Calibri"/>
        <family val="2"/>
        <scheme val="minor"/>
      </rPr>
      <t xml:space="preserve"> mold/tray.</t>
    </r>
  </si>
  <si>
    <r>
      <t>Engrasar</t>
    </r>
    <r>
      <rPr>
        <sz val="11"/>
        <color theme="1"/>
        <rFont val="Calibri"/>
        <family val="2"/>
        <scheme val="minor"/>
      </rPr>
      <t xml:space="preserve"> molde/bandeja.</t>
    </r>
  </si>
  <si>
    <r>
      <t>Lisser</t>
    </r>
    <r>
      <rPr>
        <sz val="11"/>
        <color theme="1"/>
        <rFont val="Calibri"/>
        <family val="2"/>
        <scheme val="minor"/>
      </rPr>
      <t xml:space="preserve"> : homogénéiser, rendre lisse.</t>
    </r>
  </si>
  <si>
    <r>
      <t>Smooth out</t>
    </r>
    <r>
      <rPr>
        <sz val="11"/>
        <color theme="1"/>
        <rFont val="Calibri"/>
        <family val="2"/>
        <scheme val="minor"/>
      </rPr>
      <t xml:space="preserve"> / </t>
    </r>
    <r>
      <rPr>
        <b/>
        <sz val="11"/>
        <color theme="1"/>
        <rFont val="Calibri"/>
        <family val="2"/>
        <scheme val="minor"/>
      </rPr>
      <t>make homogeneous</t>
    </r>
    <r>
      <rPr>
        <sz val="11"/>
        <color theme="1"/>
        <rFont val="Calibri"/>
        <family val="2"/>
        <scheme val="minor"/>
      </rPr>
      <t>.</t>
    </r>
  </si>
  <si>
    <r>
      <t>Alisar</t>
    </r>
    <r>
      <rPr>
        <sz val="11"/>
        <color theme="1"/>
        <rFont val="Calibri"/>
        <family val="2"/>
        <scheme val="minor"/>
      </rPr>
      <t xml:space="preserve"> / </t>
    </r>
    <r>
      <rPr>
        <b/>
        <sz val="11"/>
        <color theme="1"/>
        <rFont val="Calibri"/>
        <family val="2"/>
        <scheme val="minor"/>
      </rPr>
      <t>homogeneizar</t>
    </r>
    <r>
      <rPr>
        <sz val="11"/>
        <color theme="1"/>
        <rFont val="Calibri"/>
        <family val="2"/>
        <scheme val="minor"/>
      </rPr>
      <t>.</t>
    </r>
  </si>
  <si>
    <r>
      <t>Lustrer</t>
    </r>
    <r>
      <rPr>
        <sz val="11"/>
        <color theme="1"/>
        <rFont val="Calibri"/>
        <family val="2"/>
        <scheme val="minor"/>
      </rPr>
      <t xml:space="preserve"> : napper de gelée/beurre fondu pour brillance.</t>
    </r>
  </si>
  <si>
    <r>
      <t>Lacquer/brush</t>
    </r>
    <r>
      <rPr>
        <sz val="11"/>
        <color theme="1"/>
        <rFont val="Calibri"/>
        <family val="2"/>
        <scheme val="minor"/>
      </rPr>
      <t xml:space="preserve"> with jelly/clarified butter.</t>
    </r>
  </si>
  <si>
    <r>
      <t>Abrillantar</t>
    </r>
    <r>
      <rPr>
        <sz val="11"/>
        <color theme="1"/>
        <rFont val="Calibri"/>
        <family val="2"/>
        <scheme val="minor"/>
      </rPr>
      <t xml:space="preserve"> con gelatina/mantequilla.</t>
    </r>
  </si>
  <si>
    <r>
      <t>Masquer</t>
    </r>
    <r>
      <rPr>
        <sz val="11"/>
        <color theme="1"/>
        <rFont val="Calibri"/>
        <family val="2"/>
        <scheme val="minor"/>
      </rPr>
      <t xml:space="preserve"> : recouvrir d’une fine couche (crème/sauce/gelée).</t>
    </r>
  </si>
  <si>
    <r>
      <t>Monter</t>
    </r>
    <r>
      <rPr>
        <sz val="11"/>
        <color theme="1"/>
        <rFont val="Calibri"/>
        <family val="2"/>
        <scheme val="minor"/>
      </rPr>
      <t xml:space="preserve"> : a) </t>
    </r>
    <r>
      <rPr>
        <b/>
        <sz val="11"/>
        <color theme="1"/>
        <rFont val="Calibri"/>
        <family val="2"/>
        <scheme val="minor"/>
      </rPr>
      <t>au fouet</t>
    </r>
    <r>
      <rPr>
        <sz val="11"/>
        <color theme="1"/>
        <rFont val="Calibri"/>
        <family val="2"/>
        <scheme val="minor"/>
      </rPr>
      <t xml:space="preserve"> : augmenter le volume (blancs, crème) ; b) </t>
    </r>
    <r>
      <rPr>
        <b/>
        <sz val="11"/>
        <color theme="1"/>
        <rFont val="Calibri"/>
        <family val="2"/>
        <scheme val="minor"/>
      </rPr>
      <t>assembler</t>
    </r>
    <r>
      <rPr>
        <sz val="11"/>
        <color theme="1"/>
        <rFont val="Calibri"/>
        <family val="2"/>
        <scheme val="minor"/>
      </rPr>
      <t xml:space="preserve"> un entremets/pièce.</t>
    </r>
  </si>
  <si>
    <r>
      <t>Whip</t>
    </r>
    <r>
      <rPr>
        <sz val="11"/>
        <color theme="1"/>
        <rFont val="Calibri"/>
        <family val="2"/>
        <scheme val="minor"/>
      </rPr>
      <t xml:space="preserve"> to volume; </t>
    </r>
    <r>
      <rPr>
        <b/>
        <sz val="11"/>
        <color theme="1"/>
        <rFont val="Calibri"/>
        <family val="2"/>
        <scheme val="minor"/>
      </rPr>
      <t>assemble</t>
    </r>
    <r>
      <rPr>
        <sz val="11"/>
        <color theme="1"/>
        <rFont val="Calibri"/>
        <family val="2"/>
        <scheme val="minor"/>
      </rPr>
      <t xml:space="preserve"> a cake/entremets.</t>
    </r>
  </si>
  <si>
    <r>
      <t>Montar</t>
    </r>
    <r>
      <rPr>
        <sz val="11"/>
        <color theme="1"/>
        <rFont val="Calibri"/>
        <family val="2"/>
        <scheme val="minor"/>
      </rPr>
      <t xml:space="preserve"> (batir a volumen); </t>
    </r>
    <r>
      <rPr>
        <b/>
        <sz val="11"/>
        <color theme="1"/>
        <rFont val="Calibri"/>
        <family val="2"/>
        <scheme val="minor"/>
      </rPr>
      <t>montar</t>
    </r>
    <r>
      <rPr>
        <sz val="11"/>
        <color theme="1"/>
        <rFont val="Calibri"/>
        <family val="2"/>
        <scheme val="minor"/>
      </rPr>
      <t xml:space="preserve"> un postre/pieza.</t>
    </r>
  </si>
  <si>
    <r>
      <t>Mouler</t>
    </r>
    <r>
      <rPr>
        <sz val="11"/>
        <color theme="1"/>
        <rFont val="Calibri"/>
        <family val="2"/>
        <scheme val="minor"/>
      </rPr>
      <t xml:space="preserve"> : verser en moule pour prendre la forme.</t>
    </r>
  </si>
  <si>
    <r>
      <t>Mold</t>
    </r>
    <r>
      <rPr>
        <sz val="11"/>
        <color theme="1"/>
        <rFont val="Calibri"/>
        <family val="2"/>
        <scheme val="minor"/>
      </rPr>
      <t xml:space="preserve"> (pour into a mold).</t>
    </r>
  </si>
  <si>
    <r>
      <t>Moldelar/Verter en molde</t>
    </r>
    <r>
      <rPr>
        <sz val="11"/>
        <color theme="1"/>
        <rFont val="Calibri"/>
        <family val="2"/>
        <scheme val="minor"/>
      </rPr>
      <t>.</t>
    </r>
  </si>
  <si>
    <r>
      <t>Napper</t>
    </r>
    <r>
      <rPr>
        <sz val="11"/>
        <color theme="1"/>
        <rFont val="Calibri"/>
        <family val="2"/>
        <scheme val="minor"/>
      </rPr>
      <t xml:space="preserve"> : recouvrir de sauce/gelée/crème.</t>
    </r>
  </si>
  <si>
    <r>
      <t>Nappe/coat</t>
    </r>
    <r>
      <rPr>
        <sz val="11"/>
        <color theme="1"/>
        <rFont val="Calibri"/>
        <family val="2"/>
        <scheme val="minor"/>
      </rPr>
      <t xml:space="preserve"> with sauce/jelly/cream.</t>
    </r>
  </si>
  <si>
    <r>
      <t>Napar</t>
    </r>
    <r>
      <rPr>
        <sz val="11"/>
        <color theme="1"/>
        <rFont val="Calibri"/>
        <family val="2"/>
        <scheme val="minor"/>
      </rPr>
      <t xml:space="preserve"> / </t>
    </r>
    <r>
      <rPr>
        <b/>
        <sz val="11"/>
        <color theme="1"/>
        <rFont val="Calibri"/>
        <family val="2"/>
        <scheme val="minor"/>
      </rPr>
      <t>cubrir</t>
    </r>
    <r>
      <rPr>
        <sz val="11"/>
        <color theme="1"/>
        <rFont val="Calibri"/>
        <family val="2"/>
        <scheme val="minor"/>
      </rPr>
      <t xml:space="preserve"> con salsa/gelatina/crema.</t>
    </r>
  </si>
  <si>
    <r>
      <t>Pasteuriser</t>
    </r>
    <r>
      <rPr>
        <sz val="11"/>
        <color theme="1"/>
        <rFont val="Calibri"/>
        <family val="2"/>
        <scheme val="minor"/>
      </rPr>
      <t xml:space="preserve"> : traiter &lt; 100 °C temps défini pour détruire pathogènes.</t>
    </r>
  </si>
  <si>
    <r>
      <t>Passer</t>
    </r>
    <r>
      <rPr>
        <sz val="11"/>
        <color theme="1"/>
        <rFont val="Calibri"/>
        <family val="2"/>
        <scheme val="minor"/>
      </rPr>
      <t xml:space="preserve"> : filtrer/égoutter au chinois/passoire/tamis.</t>
    </r>
  </si>
  <si>
    <r>
      <t>Pâton</t>
    </r>
    <r>
      <rPr>
        <sz val="11"/>
        <color theme="1"/>
        <rFont val="Calibri"/>
        <family val="2"/>
        <scheme val="minor"/>
      </rPr>
      <t xml:space="preserve"> : pièce de pâte pesée prête à façonner.</t>
    </r>
  </si>
  <si>
    <r>
      <t>Dough piece / dough ball</t>
    </r>
    <r>
      <rPr>
        <sz val="11"/>
        <color theme="1"/>
        <rFont val="Calibri"/>
        <family val="2"/>
        <scheme val="minor"/>
      </rPr>
      <t>.</t>
    </r>
  </si>
  <si>
    <r>
      <t>Porción de masa / bollo</t>
    </r>
    <r>
      <rPr>
        <sz val="11"/>
        <color theme="1"/>
        <rFont val="Calibri"/>
        <family val="2"/>
        <scheme val="minor"/>
      </rPr>
      <t>.</t>
    </r>
  </si>
  <si>
    <r>
      <t>Piquer</t>
    </r>
    <r>
      <rPr>
        <sz val="11"/>
        <color theme="1"/>
        <rFont val="Calibri"/>
        <family val="2"/>
        <scheme val="minor"/>
      </rPr>
      <t xml:space="preserve"> : percer la pâte pour éviter boursouflures.</t>
    </r>
  </si>
  <si>
    <r>
      <t>Pincer</t>
    </r>
    <r>
      <rPr>
        <sz val="11"/>
        <color theme="1"/>
        <rFont val="Calibri"/>
        <family val="2"/>
        <scheme val="minor"/>
      </rPr>
      <t xml:space="preserve"> : faire un décor au pourtour (pince spéciale).</t>
    </r>
  </si>
  <si>
    <r>
      <t>Crimp</t>
    </r>
    <r>
      <rPr>
        <sz val="11"/>
        <color theme="1"/>
        <rFont val="Calibri"/>
        <family val="2"/>
        <scheme val="minor"/>
      </rPr>
      <t xml:space="preserve"> decorative edge.</t>
    </r>
  </si>
  <si>
    <r>
      <t>Pellizcar/festonear</t>
    </r>
    <r>
      <rPr>
        <sz val="11"/>
        <color theme="1"/>
        <rFont val="Calibri"/>
        <family val="2"/>
        <scheme val="minor"/>
      </rPr>
      <t xml:space="preserve"> el borde.</t>
    </r>
  </si>
  <si>
    <r>
      <t>Pocher</t>
    </r>
    <r>
      <rPr>
        <sz val="11"/>
        <color theme="1"/>
        <rFont val="Calibri"/>
        <family val="2"/>
        <scheme val="minor"/>
      </rPr>
      <t xml:space="preserve"> : cuire dans un liquide à ~70–85 °C.</t>
    </r>
  </si>
  <si>
    <r>
      <t>Poach</t>
    </r>
    <r>
      <rPr>
        <sz val="11"/>
        <color theme="1"/>
        <rFont val="Calibri"/>
        <family val="2"/>
        <scheme val="minor"/>
      </rPr>
      <t xml:space="preserve"> (70–85 °C).</t>
    </r>
  </si>
  <si>
    <r>
      <t>Escalfar/pochar</t>
    </r>
    <r>
      <rPr>
        <sz val="11"/>
        <color theme="1"/>
        <rFont val="Calibri"/>
        <family val="2"/>
        <scheme val="minor"/>
      </rPr>
      <t xml:space="preserve"> (70–85 °C).</t>
    </r>
  </si>
  <si>
    <r>
      <t>Pointage</t>
    </r>
    <r>
      <rPr>
        <sz val="11"/>
        <color theme="1"/>
        <rFont val="Calibri"/>
        <family val="2"/>
        <scheme val="minor"/>
      </rPr>
      <t xml:space="preserve"> : première fermentation après pétrissage.</t>
    </r>
  </si>
  <si>
    <r>
      <t>Bulk fermentation (first rise)</t>
    </r>
    <r>
      <rPr>
        <sz val="11"/>
        <color theme="1"/>
        <rFont val="Calibri"/>
        <family val="2"/>
        <scheme val="minor"/>
      </rPr>
      <t>.</t>
    </r>
  </si>
  <si>
    <r>
      <t>Fermentación en bloque (primer levado)</t>
    </r>
    <r>
      <rPr>
        <sz val="11"/>
        <color theme="1"/>
        <rFont val="Calibri"/>
        <family val="2"/>
        <scheme val="minor"/>
      </rPr>
      <t>.</t>
    </r>
  </si>
  <si>
    <r>
      <t>Punch</t>
    </r>
    <r>
      <rPr>
        <sz val="11"/>
        <color theme="1"/>
        <rFont val="Calibri"/>
        <family val="2"/>
        <scheme val="minor"/>
      </rPr>
      <t xml:space="preserve"> : sirop + alcool/café/jus/vanille…</t>
    </r>
  </si>
  <si>
    <r>
      <t>Punch syrup</t>
    </r>
    <r>
      <rPr>
        <sz val="11"/>
        <color theme="1"/>
        <rFont val="Calibri"/>
        <family val="2"/>
        <scheme val="minor"/>
      </rPr>
      <t xml:space="preserve"> (sugar syrup + flavor/booze).</t>
    </r>
  </si>
  <si>
    <r>
      <t>Almíbar punch</t>
    </r>
    <r>
      <rPr>
        <sz val="11"/>
        <color theme="1"/>
        <rFont val="Calibri"/>
        <family val="2"/>
        <scheme val="minor"/>
      </rPr>
      <t xml:space="preserve"> (almíbar + licor/sabor).</t>
    </r>
  </si>
  <si>
    <r>
      <t>Retomber</t>
    </r>
    <r>
      <rPr>
        <sz val="11"/>
        <color theme="1"/>
        <rFont val="Calibri"/>
        <family val="2"/>
        <scheme val="minor"/>
      </rPr>
      <t xml:space="preserve"> : volume qui diminue (pâte, appareil).</t>
    </r>
  </si>
  <si>
    <r>
      <t>Rognures</t>
    </r>
    <r>
      <rPr>
        <sz val="11"/>
        <color theme="1"/>
        <rFont val="Calibri"/>
        <family val="2"/>
        <scheme val="minor"/>
      </rPr>
      <t xml:space="preserve"> : chutes de découpe (pâtes, entremets).</t>
    </r>
  </si>
  <si>
    <r>
      <t>Rompre</t>
    </r>
    <r>
      <rPr>
        <sz val="11"/>
        <color theme="1"/>
        <rFont val="Calibri"/>
        <family val="2"/>
        <scheme val="minor"/>
      </rPr>
      <t xml:space="preserve"> : rabattre/dégazer après pointage.</t>
    </r>
  </si>
  <si>
    <r>
      <t>Ruban</t>
    </r>
    <r>
      <rPr>
        <sz val="11"/>
        <color theme="1"/>
        <rFont val="Calibri"/>
        <family val="2"/>
        <scheme val="minor"/>
      </rPr>
      <t xml:space="preserve"> : texture qui coule en ruban (génoise).</t>
    </r>
  </si>
  <si>
    <r>
      <t>Tourer</t>
    </r>
    <r>
      <rPr>
        <sz val="11"/>
        <color theme="1"/>
        <rFont val="Calibri"/>
        <family val="2"/>
        <scheme val="minor"/>
      </rPr>
      <t xml:space="preserve"> : plier en 3/4 un pâton feuilleté (tours).</t>
    </r>
  </si>
  <si>
    <r>
      <t>Tremper</t>
    </r>
    <r>
      <rPr>
        <sz val="11"/>
        <color theme="1"/>
        <rFont val="Calibri"/>
        <family val="2"/>
        <scheme val="minor"/>
      </rPr>
      <t xml:space="preserve"> : a) imbiber au sirop ; b) enrober au chocolat/fondant.</t>
    </r>
  </si>
  <si>
    <r>
      <t>Soak</t>
    </r>
    <r>
      <rPr>
        <sz val="11"/>
        <color theme="1"/>
        <rFont val="Calibri"/>
        <family val="2"/>
        <scheme val="minor"/>
      </rPr>
      <t xml:space="preserve"> in syrup; </t>
    </r>
    <r>
      <rPr>
        <b/>
        <sz val="11"/>
        <color theme="1"/>
        <rFont val="Calibri"/>
        <family val="2"/>
        <scheme val="minor"/>
      </rPr>
      <t>enrobe/dip</t>
    </r>
    <r>
      <rPr>
        <sz val="11"/>
        <color theme="1"/>
        <rFont val="Calibri"/>
        <family val="2"/>
        <scheme val="minor"/>
      </rPr>
      <t xml:space="preserve"> in chocolate/fondant.</t>
    </r>
  </si>
  <si>
    <r>
      <t>Calar</t>
    </r>
    <r>
      <rPr>
        <sz val="11"/>
        <color theme="1"/>
        <rFont val="Calibri"/>
        <family val="2"/>
        <scheme val="minor"/>
      </rPr>
      <t xml:space="preserve"> en almíbar; </t>
    </r>
    <r>
      <rPr>
        <b/>
        <sz val="11"/>
        <color theme="1"/>
        <rFont val="Calibri"/>
        <family val="2"/>
        <scheme val="minor"/>
      </rPr>
      <t>bañar</t>
    </r>
    <r>
      <rPr>
        <sz val="11"/>
        <color theme="1"/>
        <rFont val="Calibri"/>
        <family val="2"/>
        <scheme val="minor"/>
      </rPr>
      <t xml:space="preserve"> en chocolate/fondant.</t>
    </r>
  </si>
  <si>
    <r>
      <t>Vanner</t>
    </r>
    <r>
      <rPr>
        <sz val="11"/>
        <color theme="1"/>
        <rFont val="Calibri"/>
        <family val="2"/>
        <scheme val="minor"/>
      </rPr>
      <t xml:space="preserve"> : remuer en refroidissant pour lisser/éviter la peau.</t>
    </r>
  </si>
  <si>
    <r>
      <t>Stir while cooling</t>
    </r>
    <r>
      <rPr>
        <sz val="11"/>
        <color theme="1"/>
        <rFont val="Calibri"/>
        <family val="2"/>
        <scheme val="minor"/>
      </rPr>
      <t xml:space="preserve"> to smooth/prevent skin.</t>
    </r>
  </si>
  <si>
    <r>
      <t>Batir/remover al enfriar</t>
    </r>
    <r>
      <rPr>
        <sz val="11"/>
        <color theme="1"/>
        <rFont val="Calibri"/>
        <family val="2"/>
        <scheme val="minor"/>
      </rPr>
      <t xml:space="preserve"> para alisar/evitar película.</t>
    </r>
  </si>
  <si>
    <r>
      <t>Zeste</t>
    </r>
    <r>
      <rPr>
        <sz val="11"/>
        <color theme="1"/>
        <rFont val="Calibri"/>
        <family val="2"/>
        <scheme val="minor"/>
      </rPr>
      <t xml:space="preserve"> : partie colorée de l’écorce d’agrume.</t>
    </r>
  </si>
  <si>
    <t>Habiller les soles</t>
  </si>
  <si>
    <t>Dress/prepare the soles</t>
  </si>
  <si>
    <t>Limpiar/preparar las sollas</t>
  </si>
  <si>
    <t>Les dépouiller</t>
  </si>
  <si>
    <t>Skin them</t>
  </si>
  <si>
    <t>Desollar/quitar la piel</t>
  </si>
  <si>
    <t>Les mettre en filet</t>
  </si>
  <si>
    <t>Fillet them</t>
  </si>
  <si>
    <t>Filetearlas</t>
  </si>
  <si>
    <t>Dégorger le tout 1/2 heure à l’eau fraîche</t>
  </si>
  <si>
    <t>Soak everything in cold water for 30 min</t>
  </si>
  <si>
    <t>Desangrar/poner en remojo en agua fría 30 min</t>
  </si>
  <si>
    <t>Hacher finement oignons et échalotes</t>
  </si>
  <si>
    <t>Finely chop onions and shallots</t>
  </si>
  <si>
    <t>Picar finamente cebolla y chalota</t>
  </si>
  <si>
    <t>Monder, épépiner, concasser les tomates</t>
  </si>
  <si>
    <t>Blanch, seed, and chop the tomatoes</t>
  </si>
  <si>
    <t>Escaldar, quitar semillas y concasar los tomates</t>
  </si>
  <si>
    <t>Concasser le persil</t>
  </si>
  <si>
    <t>Chop the parsley</t>
  </si>
  <si>
    <t>Picar el perejil</t>
  </si>
  <si>
    <t>Pocher les filets pliés à très court mouillement, sur toute cette garniture, avec un peu de vin blanc</t>
  </si>
  <si>
    <t>Poach the folded fillets with a very small amount of liquid over the garnish, with a splash of white wine</t>
  </si>
  <si>
    <t>Pochar los filetes doblados con muy poco líquido sobre la guarnición, con un poco de vino blanco</t>
  </si>
  <si>
    <t>Cuire 4 à 6 min</t>
  </si>
  <si>
    <t>Cook 4–6 min</t>
  </si>
  <si>
    <t>Cocinar 4–6 min</t>
  </si>
  <si>
    <t>Débarrasser les filets sur plat beurré</t>
  </si>
  <si>
    <t>Transfer fillets to a buttered platter</t>
  </si>
  <si>
    <t>Retirar los filetes a una fuente enmantequillada</t>
  </si>
  <si>
    <t>Les tenir au chaud</t>
  </si>
  <si>
    <t>Keep them warm</t>
  </si>
  <si>
    <t>Mantenerlos calientes</t>
  </si>
  <si>
    <t>Réduire la garniture presque à sec</t>
  </si>
  <si>
    <t>Reduce the garnish almost dry</t>
  </si>
  <si>
    <t>Reducir la guarnición casi a seco</t>
  </si>
  <si>
    <t>Monter au beurre</t>
  </si>
  <si>
    <t>Finish/mount with butter</t>
  </si>
  <si>
    <t>Montar/terminar con mantequilla</t>
  </si>
  <si>
    <t>Napper les filets</t>
  </si>
  <si>
    <t>Nap/coat the fillets with the sauce</t>
  </si>
  <si>
    <t>Napar/cubrir los filetes con la salsa</t>
  </si>
  <si>
    <t>Servir sans attendre</t>
  </si>
  <si>
    <t>Serve immediately</t>
  </si>
  <si>
    <t>Servir de inmediato</t>
  </si>
  <si>
    <t>disinfect the equipment</t>
  </si>
  <si>
    <t>disinfect the workstation</t>
  </si>
  <si>
    <t>desinfectar el puesto de trabajo</t>
  </si>
  <si>
    <t>étager les bacs sur l’échelle de cuisson</t>
  </si>
  <si>
    <t>select the equipment</t>
  </si>
  <si>
    <t>follow the protocols</t>
  </si>
  <si>
    <t>seguir los protocolos</t>
  </si>
  <si>
    <t>soak</t>
  </si>
  <si>
    <t>poner en remojo</t>
  </si>
  <si>
    <t>finely chop</t>
  </si>
  <si>
    <t>picar finamente</t>
  </si>
  <si>
    <t>lavar con abundante agua</t>
  </si>
  <si>
    <t>sort and soak</t>
  </si>
  <si>
    <t>check use-by dates</t>
  </si>
  <si>
    <t>cut in half</t>
  </si>
  <si>
    <t>add cream</t>
  </si>
  <si>
    <t>ajouter dans l’ordre les autres éléments</t>
  </si>
  <si>
    <t>baste with brown butter</t>
  </si>
  <si>
    <t>strain the sauce</t>
  </si>
  <si>
    <t>réviser l’assaisonnement</t>
  </si>
  <si>
    <t>salt during cooking</t>
  </si>
  <si>
    <t>salar durante la cocción</t>
  </si>
  <si>
    <t>espolvorear ligeramente</t>
  </si>
  <si>
    <t>check the consistency</t>
  </si>
  <si>
    <t>deglaze with white wine</t>
  </si>
  <si>
    <t>desglasar con vino blanco</t>
  </si>
  <si>
    <t>drain and transfer</t>
  </si>
  <si>
    <t>sweat (without coloring)</t>
  </si>
  <si>
    <t>incorporar a la salsa</t>
  </si>
  <si>
    <t>lustrer à l’huile</t>
  </si>
  <si>
    <t>brush/glaze with oil</t>
  </si>
  <si>
    <t>moisten with white wine</t>
  </si>
  <si>
    <t>mojar con vino blanco</t>
  </si>
  <si>
    <t>coat with sauce</t>
  </si>
  <si>
    <t>napar con salsa</t>
  </si>
  <si>
    <t>rafraîchir et égoutter</t>
  </si>
  <si>
    <t>reduce the wine</t>
  </si>
  <si>
    <t>reducir el vino</t>
  </si>
  <si>
    <t>sauter au beurre et à l’huile</t>
  </si>
  <si>
    <t>sauté in butter and oil</t>
  </si>
  <si>
    <t>saltear con mantequilla y aceite</t>
  </si>
  <si>
    <t>cook covered</t>
  </si>
  <si>
    <t>cook over low heat</t>
  </si>
  <si>
    <t>cuire à feu vif</t>
  </si>
  <si>
    <t>cook over high heat</t>
  </si>
  <si>
    <t>bake in a moderate oven</t>
  </si>
  <si>
    <t>cuire à l’eau salée</t>
  </si>
  <si>
    <t>cook in salted water</t>
  </si>
  <si>
    <t>cocer en agua salada</t>
  </si>
  <si>
    <t>cook without browning</t>
  </si>
  <si>
    <t>put in the oven and bake</t>
  </si>
  <si>
    <t>finish cooking</t>
  </si>
  <si>
    <t>terminar de cocer</t>
  </si>
  <si>
    <t>let cook</t>
  </si>
  <si>
    <t>dejar cocer</t>
  </si>
  <si>
    <t>flash in a very hot oven</t>
  </si>
  <si>
    <t>preheat the oven</t>
  </si>
  <si>
    <t>precalentar el horno</t>
  </si>
  <si>
    <t>pipe with a pastry bag</t>
  </si>
  <si>
    <t>mix and bring to a boil</t>
  </si>
  <si>
    <t>mezclar y llevar a ebullición</t>
  </si>
  <si>
    <t>blend and strain through a chinois</t>
  </si>
  <si>
    <t>rectifier l’assaisonnement</t>
  </si>
  <si>
    <t>make the mixture smooth/creamy</t>
  </si>
  <si>
    <t>distribute the cooking juices</t>
  </si>
  <si>
    <t>transfer to a container</t>
  </si>
  <si>
    <t>wrap and store in the cold room</t>
  </si>
  <si>
    <t>blast-chill</t>
  </si>
  <si>
    <t>keep chilled</t>
  </si>
  <si>
    <t>reservar en frío</t>
  </si>
  <si>
    <t>mantener en frío</t>
  </si>
  <si>
    <t>réserver dans des bacs</t>
  </si>
  <si>
    <t>reservar en cubetas</t>
  </si>
  <si>
    <t>store in the cold room</t>
  </si>
  <si>
    <t>maintenir à température +63 °C</t>
  </si>
  <si>
    <t>Skin</t>
  </si>
  <si>
    <t>Desollar</t>
  </si>
  <si>
    <t>Chop crush</t>
  </si>
  <si>
    <t>Concasar/picar</t>
  </si>
  <si>
    <t>Poach</t>
  </si>
  <si>
    <t>Pochar/escalfar</t>
  </si>
  <si>
    <t>Débarrasser</t>
  </si>
  <si>
    <t>Transfer</t>
  </si>
  <si>
    <t>Traspasar</t>
  </si>
  <si>
    <t>Hold/warm</t>
  </si>
  <si>
    <t>Reservar</t>
  </si>
  <si>
    <t>Monter (au beurre)</t>
  </si>
  <si>
    <t>Mount (with butter)</t>
  </si>
  <si>
    <t>Montar (con mantequilla)</t>
  </si>
  <si>
    <t>Serve</t>
  </si>
  <si>
    <t>Sélectionner</t>
  </si>
  <si>
    <t>Select</t>
  </si>
  <si>
    <t>Seleccionar</t>
  </si>
  <si>
    <t>Suivre</t>
  </si>
  <si>
    <t>Follow</t>
  </si>
  <si>
    <t>Seguir</t>
  </si>
  <si>
    <t>Mince</t>
  </si>
  <si>
    <t>Ciselar</t>
  </si>
  <si>
    <t>Weigh</t>
  </si>
  <si>
    <t>Pesar</t>
  </si>
  <si>
    <t>Vérifier (DLC/T°)</t>
  </si>
  <si>
    <t>Check</t>
  </si>
  <si>
    <t>Verificar</t>
  </si>
  <si>
    <t>Adjoindre (crème)</t>
  </si>
  <si>
    <t>Add (cream)</t>
  </si>
  <si>
    <t>Añadir (nata)</t>
  </si>
  <si>
    <t>Baste/Drizzle</t>
  </si>
  <si>
    <t>Rociar</t>
  </si>
  <si>
    <t>Passer (sauce)</t>
  </si>
  <si>
    <t>Strain</t>
  </si>
  <si>
    <t>Colar</t>
  </si>
  <si>
    <t>Saler</t>
  </si>
  <si>
    <t>Salt</t>
  </si>
  <si>
    <t>Salar</t>
  </si>
  <si>
    <t>Dust/Sprinkle</t>
  </si>
  <si>
    <t>Espolvorear</t>
  </si>
  <si>
    <t>Deglaze</t>
  </si>
  <si>
    <t>Desglasar</t>
  </si>
  <si>
    <t>Degrease/Skim</t>
  </si>
  <si>
    <t>Desgrasar</t>
  </si>
  <si>
    <t>Drain</t>
  </si>
  <si>
    <t>Escurrir</t>
  </si>
  <si>
    <t>Sauté</t>
  </si>
  <si>
    <t>Saltear</t>
  </si>
  <si>
    <t>Fold/Incorporate</t>
  </si>
  <si>
    <t>Incorporar</t>
  </si>
  <si>
    <t>Bind/Thicken</t>
  </si>
  <si>
    <t>Ligar</t>
  </si>
  <si>
    <t>Mouiller (vin/eau)</t>
  </si>
  <si>
    <t>Bouillir</t>
  </si>
  <si>
    <t>Boil</t>
  </si>
  <si>
    <t>Hervir</t>
  </si>
  <si>
    <t>Bake (put in oven)</t>
  </si>
  <si>
    <t>Hornear</t>
  </si>
  <si>
    <t>Preheat</t>
  </si>
  <si>
    <t>Precalentar</t>
  </si>
  <si>
    <t>Sonder (à cœur)</t>
  </si>
  <si>
    <t>Probe (core)</t>
  </si>
  <si>
    <t>Sondear (al corazón)</t>
  </si>
  <si>
    <t>Disperser (fouet)</t>
  </si>
  <si>
    <t>Disperse (whisk)</t>
  </si>
  <si>
    <t>Dispersar</t>
  </si>
  <si>
    <t>Dresser (poche)</t>
  </si>
  <si>
    <t>Pipe/Plate</t>
  </si>
  <si>
    <t>Escudillar/Emplatar</t>
  </si>
  <si>
    <t>Mix</t>
  </si>
  <si>
    <t>Mezclar</t>
  </si>
  <si>
    <t>Refroidir (cellule)</t>
  </si>
  <si>
    <t>Blast-chill</t>
  </si>
  <si>
    <t>Abatir</t>
  </si>
  <si>
    <t>Stocker (chambre froide)</t>
  </si>
  <si>
    <t>Store (cold room)</t>
  </si>
  <si>
    <t>Almacenar</t>
  </si>
  <si>
    <t>faire court … 1 verbe = 1 action → keep it short … 1 verb = 1 action → ir al grano … 1 verbo = 1 acción</t>
  </si>
  <si>
    <t>PHASES ESSENTIELLES DE PROGRESSION → ESSENTIAL PROCESS PHASES → FASES ESENCIALES DEL PROCESO</t>
  </si>
  <si>
    <t>Exemple pour un filet de sole Duglére → Example: Dugléré sole fillet → Ejemplo: filete de lenguado Dugléré</t>
  </si>
  <si>
    <t>EXEMPLE UN PEU PLUS LONG : → A SLIGHTLY LONGER EXAMPLE: → UN EJEMPLO UN POCO MÁS LARGO:</t>
  </si>
  <si>
    <t>Exemple pour une brandade de morue Bénédictine → Example: Bénédictine-style salt cod brandade → Ejemplo: brandada de bacalao a la benedictina</t>
  </si>
  <si>
    <t>Set up the station</t>
  </si>
  <si>
    <t>Montar el puesto</t>
  </si>
  <si>
    <t>Check use-by dates</t>
  </si>
  <si>
    <t>Verificar fechas de caducidad</t>
  </si>
  <si>
    <t>Weigh ingredients</t>
  </si>
  <si>
    <t>Pesar los géneros</t>
  </si>
  <si>
    <t>Select equipment</t>
  </si>
  <si>
    <t>Seleccionar el equipo</t>
  </si>
  <si>
    <t>Disinfect equipment and workstation per SOP</t>
  </si>
  <si>
    <t>Desinfectar equipo y puesto según POE</t>
  </si>
  <si>
    <t>La veille, décongeler les filets de morue suivant la procédure</t>
  </si>
  <si>
    <t>Thaw cod fillets per SOP (day before)</t>
  </si>
  <si>
    <t>Descongelar filetes de bacalao según POE (víspera)</t>
  </si>
  <si>
    <t>Éventuellement, dessaler par trempage dans un grand volume d’eau</t>
  </si>
  <si>
    <t>If needed, desalinate by soaking in plenty of water</t>
  </si>
  <si>
    <t>Si procede, desalar en remojo con abundante agua</t>
  </si>
  <si>
    <t>Plaquer les filets sur 5 bacs GN 1/1 H 25 perforés</t>
  </si>
  <si>
    <t>Lay fillets on 5 GN 1/1 H25 perforated pans</t>
  </si>
  <si>
    <t>Disponer filetes en 5 cubetas GN 1/1 H25 perforadas</t>
  </si>
  <si>
    <t>Au cutter, hacher finement l’ail. Réserver</t>
  </si>
  <si>
    <t>Chop garlic in cutter. Reserve</t>
  </si>
  <si>
    <t>Picar ajo en cutter. Reservar</t>
  </si>
  <si>
    <t>Chauffer le lait et le maintenir au chaud</t>
  </si>
  <si>
    <t>Heat the milk and hold hot</t>
  </si>
  <si>
    <t>Calentar la leche y mantener caliente</t>
  </si>
  <si>
    <t>Au pinceau, badigeonner de beurre 8 bacs GN 1/1 H65</t>
  </si>
  <si>
    <t>Brush 8 GN 1/1 H65 pans with butter</t>
  </si>
  <si>
    <t>Pincelar con mantequilla 8 cubetas GN 1/1 H65</t>
  </si>
  <si>
    <t>Mettre au point l’assaisonnement. Muscader légèrement. Réserver au chaud</t>
  </si>
  <si>
    <t>Adjust seasoning. Nutmeg lightly. Hold hot</t>
  </si>
  <si>
    <t>Ajustar sazonado. Nuez moscada ligera. Mantener caliente</t>
  </si>
  <si>
    <t>Préchauffer le four en vapeur</t>
  </si>
  <si>
    <t>Preheat oven to steam</t>
  </si>
  <si>
    <t>Precalentar horno en vapor</t>
  </si>
  <si>
    <t>Steam fillets ~7 min</t>
  </si>
  <si>
    <t>Cocer al vapor los filetes ~7 min</t>
  </si>
  <si>
    <t>Effeuiller les filets cuits</t>
  </si>
  <si>
    <t>Flake the cooked fillets</t>
  </si>
  <si>
    <t>Desmigar los filetes cocidos</t>
  </si>
  <si>
    <t>Chauffer l’huile d’olive dans une sauteuse</t>
  </si>
  <si>
    <t>Heat olive oil in a sauté pan</t>
  </si>
  <si>
    <t>Calentar aceite de oliva en salteadora</t>
  </si>
  <si>
    <t>Ajouter la morue effeuillée et l’ail</t>
  </si>
  <si>
    <t>Add flaked cod and garlic</t>
  </si>
  <si>
    <t>Añadir bacalao desmigado y ajo</t>
  </si>
  <si>
    <t>Mettre la morue dans la grande cuve du batteur</t>
  </si>
  <si>
    <t>Transfer cod to large mixer bowl</t>
  </si>
  <si>
    <t>Pasar bacalao a la cuba grande</t>
  </si>
  <si>
    <t>À la feuille, 1re vitesse, incorporer lait et crème progressivement</t>
  </si>
  <si>
    <t>With paddle, speed 1, fold in milk and cream gradually</t>
  </si>
  <si>
    <t>Con pala, vel. 1, incorporar leche y nata poco a poco</t>
  </si>
  <si>
    <t>Obtenir une pâte homogène et compacte</t>
  </si>
  <si>
    <t>Reach a homogeneous, compact paste</t>
  </si>
  <si>
    <t>Lograr pasta homogénea y compacta</t>
  </si>
  <si>
    <t>Pepper and add nutmeg</t>
  </si>
  <si>
    <t>Pimentar y añadir nuez moscada</t>
  </si>
  <si>
    <t>Finir de lier en ajoutant la purée</t>
  </si>
  <si>
    <t>Finish binding with the mash</t>
  </si>
  <si>
    <t>Terminar de ligar añadiendo el puré</t>
  </si>
  <si>
    <t>Répartir la brandade dans 8 bacs GN 1/1 beurrés</t>
  </si>
  <si>
    <t>Portion brandade into 8 buttered GN 1/1 pans</t>
  </si>
  <si>
    <t>Repartir brandada en 8 cubetas GN 1/1 enmantequilladas</t>
  </si>
  <si>
    <t>Égaliser la surface</t>
  </si>
  <si>
    <t>Level the surface</t>
  </si>
  <si>
    <t>Igualar la superficie</t>
  </si>
  <si>
    <t>Saupoudrer d’emmental râpé</t>
  </si>
  <si>
    <t>Sprinkle grated Emmental</t>
  </si>
  <si>
    <t>Espolvorear emmental rallado</t>
  </si>
  <si>
    <t>Dot with butter</t>
  </si>
  <si>
    <t>Repartir trocitos de mantequilla</t>
  </si>
  <si>
    <t>Étager les bacs sur l’échelle de cuisson</t>
  </si>
  <si>
    <t>Stack pans on the baking trolley</t>
  </si>
  <si>
    <t>Escalonar cubetas en el carro de cocción</t>
  </si>
  <si>
    <t>Four chaleur sèche à 170 °C</t>
  </si>
  <si>
    <t>Dry heat oven at 170 °C</t>
  </si>
  <si>
    <t>Horno de calor seco a 170 °C</t>
  </si>
  <si>
    <t>Gratiner légèrement la surface</t>
  </si>
  <si>
    <t>Lightly gratinate the top</t>
  </si>
  <si>
    <t>Gratinar ligeramente la superficie</t>
  </si>
  <si>
    <t>Follow end-of-cook SOP</t>
  </si>
  <si>
    <t>Respetar POE de fin de cocción</t>
  </si>
  <si>
    <t>La brandade de morue n’est constituée que de poisson</t>
  </si>
  <si>
    <t>Brandade is fish-only</t>
  </si>
  <si>
    <t>La brandada auténtica es solo pescado</t>
  </si>
  <si>
    <t>L’ajout de purée de pomme de terre n’est pas une brandade au sens strict</t>
  </si>
  <si>
    <t>Adding potato purée = not strict brandade</t>
  </si>
  <si>
    <t>Con puré de patata no es brandada estricta</t>
  </si>
  <si>
    <t>Accompagnements possibles : pommes anglaises / en robe des champs / purée à l’huile d’olive / croûtons frits</t>
  </si>
  <si>
    <t>Sides: English potatoes / jacket potatoes / olive-oil mash / fried croutons</t>
  </si>
  <si>
    <t>Guarniciones: patatas a la inglesa / asadas con piel / puré con aceite de oliva / picatostes fritos</t>
  </si>
  <si>
    <t>Méthode citée à titre d’exemple</t>
  </si>
  <si>
    <t>Method given as an example</t>
  </si>
  <si>
    <t>Método a modo de ejemplo</t>
  </si>
  <si>
    <t>Mettre les bacs sur l’échelle de four et réserver au froid en attente de cuisson</t>
  </si>
  <si>
    <t>Rack pans on the oven trolley and hold chilled until cooking</t>
  </si>
  <si>
    <t>Colocar cubetas en el carro de horno y reservar en frío en espera de cocción</t>
  </si>
  <si>
    <t>Porter à ébullition la crème et la maintenir au chaud et la maintenir au chaud en attente d’utilisation</t>
  </si>
  <si>
    <t>Bring cream to a boil and keep it hot until use</t>
  </si>
  <si>
    <t>Llevar la nata a ebullición y mantenerla caliente en espera de uso</t>
  </si>
  <si>
    <t>Préparer la purée déshydratée en suivant les indications du fabricant</t>
  </si>
  <si>
    <t>Prepare the instant mash following the manufacturer’s directions</t>
  </si>
  <si>
    <t>Preparar el puré deshidratado según las indicaciones del fabricante</t>
  </si>
  <si>
    <t>Ou marquer la cuisson des pommes de terre pour la réalisation de la purée fraîche</t>
  </si>
  <si>
    <t>Or start cooking the potatoes for fresh mash</t>
  </si>
  <si>
    <t>O marcar la cocción de las patatas para elaborar puré fresco</t>
  </si>
  <si>
    <t>Make the salt cod brandade</t>
  </si>
  <si>
    <t>Elaborar la brandada de bacalao</t>
  </si>
  <si>
    <t>Prepare the mash/purée</t>
  </si>
  <si>
    <t>Preparar el puré</t>
  </si>
  <si>
    <t>Preliminary preparations</t>
  </si>
  <si>
    <t>Preparaciones preliminares</t>
  </si>
  <si>
    <t>Workstation setup</t>
  </si>
  <si>
    <t>Puesta a punto del puesto de trabajo</t>
  </si>
  <si>
    <t>Ne pas trop cuire au risque de retirer les propriétés gluantes de la morue  (conserver le liant)</t>
  </si>
  <si>
    <t>Do not overcook or you’ll lose cod’s binding/gelatinous properties  (preserve binding)</t>
  </si>
  <si>
    <t>No sobrecocer para no perder las propiedades ligantes/gelatinosas del bacalao  (conservar ligazón)</t>
  </si>
  <si>
    <t>Travailler à la spatule</t>
  </si>
  <si>
    <t>Work with spatula</t>
  </si>
  <si>
    <t>Trabajar con espátula</t>
  </si>
  <si>
    <t>(ou travailler directement la morue effeuillée dans la cuve du batteur)</t>
  </si>
  <si>
    <t>(or work the flaked cod directly in the mixer bowl)</t>
  </si>
  <si>
    <t>(o trabajar directamente el bacalao desmigado en la cuba del batidor)</t>
  </si>
  <si>
    <t>Éventuellement, mettre au point la consistance en ajoutant du lait, de l’huile d’olive ou de la crème</t>
  </si>
  <si>
    <t>If needed, adjust the consistency by adding milk, olive oil, or cream</t>
  </si>
  <si>
    <t>Si es necesario, ajustar la consistencia añadiendo leche, aceite de oliva o nata</t>
  </si>
  <si>
    <t>Travailler.</t>
  </si>
  <si>
    <t xml:space="preserve">Work. </t>
  </si>
  <si>
    <t>Adjust consistency</t>
  </si>
  <si>
    <t xml:space="preserve">Trabajar. </t>
  </si>
  <si>
    <t>Rectificar consistencia</t>
  </si>
  <si>
    <t>Decant/transfer the mixture</t>
  </si>
  <si>
    <t>Decantar/traspasar la preparación</t>
  </si>
  <si>
    <t>Gratinate / brown</t>
  </si>
  <si>
    <t>Gratinar</t>
  </si>
  <si>
    <t>Stocker en armoire chaude et maintenir à ≥ 63 °C en attente de consommation</t>
  </si>
  <si>
    <t>Hold in hot cabinet at ≥ 63 °C until service</t>
  </si>
  <si>
    <t>Mantener en armario caliente a ≥ 63 °C hasta el servicio</t>
  </si>
  <si>
    <t>Plate and serve</t>
  </si>
  <si>
    <t>Emplatar y servir</t>
  </si>
  <si>
    <t>Cut each GN pan into 12 portions</t>
  </si>
  <si>
    <t>Cortar cada cubeta GN en 12 raciones</t>
  </si>
  <si>
    <t>Comments</t>
  </si>
  <si>
    <t>Comentarios</t>
  </si>
  <si>
    <t>Hygiène &amp; organisation</t>
  </si>
  <si>
    <t>Food safety &amp; organization</t>
  </si>
  <si>
    <t>Seguridad alimentaria y organización</t>
  </si>
  <si>
    <t>Techniques de coupe</t>
  </si>
  <si>
    <t>Assaisonner &amp; finir</t>
  </si>
  <si>
    <t>Techniques de sauce &amp; de cuisson</t>
  </si>
  <si>
    <t>Modes &amp; paramètres</t>
  </si>
  <si>
    <t>Modes &amp; parameters</t>
  </si>
  <si>
    <t>Modos y parámetros</t>
  </si>
  <si>
    <t>Dressage &amp; textures</t>
  </si>
  <si>
    <t>Plating &amp; textures</t>
  </si>
  <si>
    <t>Emplatado y texturas</t>
  </si>
  <si>
    <t>Some expressions</t>
  </si>
  <si>
    <t>Algunas expresiones</t>
  </si>
  <si>
    <t>service</t>
  </si>
  <si>
    <t>servicio</t>
  </si>
  <si>
    <t xml:space="preserve">Cooling </t>
  </si>
  <si>
    <t xml:space="preserve">Enfriado </t>
  </si>
  <si>
    <t>Le vocabulaire professionnel en pâtisserie - Professional pastry vocabulary - El vocabulario profesional de pastelería</t>
  </si>
  <si>
    <r>
      <t>Beurrer</t>
    </r>
    <r>
      <rPr>
        <sz val="11"/>
        <color theme="1"/>
        <rFont val="Calibri"/>
        <family val="2"/>
        <scheme val="minor"/>
      </rPr>
      <t xml:space="preserve"> : 1) ajouter du beurre à une sauce;</t>
    </r>
  </si>
  <si>
    <t xml:space="preserve"> 2) graisser un moule;</t>
  </si>
  <si>
    <t xml:space="preserve"> 3) incorporer le beurre pour le tourage.</t>
  </si>
  <si>
    <r>
      <t>Butter</t>
    </r>
    <r>
      <rPr>
        <sz val="11"/>
        <color theme="1"/>
        <rFont val="Calibri"/>
        <family val="2"/>
        <scheme val="minor"/>
      </rPr>
      <t xml:space="preserve">: 1) enrich with butter; </t>
    </r>
  </si>
  <si>
    <t xml:space="preserve">2) grease a mold; </t>
  </si>
  <si>
    <t>3) laminate by adding butter for turns.</t>
  </si>
  <si>
    <r>
      <t>Mantequillar</t>
    </r>
    <r>
      <rPr>
        <sz val="11"/>
        <color theme="1"/>
        <rFont val="Calibri"/>
        <family val="2"/>
        <scheme val="minor"/>
      </rPr>
      <t xml:space="preserve">: 1) enriquecer con mantequilla; </t>
    </r>
  </si>
  <si>
    <t xml:space="preserve">2) engrasar un molde; </t>
  </si>
  <si>
    <t>3) laminar añadiendo mantequilla para los pliegues.</t>
  </si>
  <si>
    <t>Apricot-glaze: brush apricot jam onto an entremets, tart, or preparation to add shine and protect the surface (limit drying and enzymatic browning).</t>
  </si>
  <si>
    <t>Abrillantar con albaricoque: pincelar mermelada de albaricoque sobre un postre, tarta o preparación para darle brillo y proteger la superficie (reducir el secado y el pardeamiento enzimático).</t>
  </si>
  <si>
    <t>Sugar bloom (chocolate): destabilization with whitish film caused by sugar crystals migrating (humid storage and/or improper temperatures).</t>
  </si>
  <si>
    <t>Floración azucarada (chocolate): desestabilización con velo blanquecino por migración de cristales de azúcar (almacenaje húmedo y/o temperaturas inadecuadas).</t>
  </si>
  <si>
    <t>Candy (to sugar-coat): immerse confections/decors in syrup to form a surface sugar crystallization.</t>
  </si>
  <si>
    <t>Candar/azucarar: sumergir confites/decoraciones en un almíbar para cristalizar azúcar en la superficie.</t>
  </si>
  <si>
    <t>Caraméliser : enduire un moule ou une pâtisserie de sucre cuit au caramel.</t>
  </si>
  <si>
    <t>Caramelize: coat a mold or pastry with cooked caramel.</t>
  </si>
  <si>
    <t>Caramelizar: recubrir un molde o una pastelería con caramelo cocido.</t>
  </si>
  <si>
    <t>Caramelization: non-enzymatic browning of sugar by heat.</t>
  </si>
  <si>
    <t>Caramelización: pardeamiento no enzimático del azúcar por calor.</t>
  </si>
  <si>
    <t>Chablon (to chablonner): apply a thin coat of couverture/glaze to the bottom of entremets, petits gâteaux or ganaches to ease handling before assembling/cutting.</t>
  </si>
  <si>
    <t>Chablonar: aplicar una capa fina de cobertura/glaseado en la base de entremeses, pastelitos o ganaches para facilitar la manipulación antes del montaje/corte.</t>
  </si>
  <si>
    <t>Line the inside of a mold/cup with a layer (pastry, sponge, jelly, chocolate, ice cream, flour, etc.).</t>
  </si>
  <si>
    <t>Forrar el interior de un molde/capsulín con una capa (masa, bizcocho, gelatina, chocolate, helado, harina, etc.).</t>
  </si>
  <si>
    <t>Skim off scum/impurities (jams, jellies, sugar).</t>
  </si>
  <si>
    <t>Desespumar impurezas/espuma en la superficie (mermeladas, gelatinas, azúcar).</t>
  </si>
  <si>
    <t>Skin/peel (after blanching) tomatoes, almonds, etc.</t>
  </si>
  <si>
    <t>Mondar (tras escaldar) tomates, almendras, etc.</t>
  </si>
  <si>
    <t>Emulsify: disperse one immiscible liquid into another (e.g., ganache).</t>
  </si>
  <si>
    <t>Emulsionar: dispersar un líquido en otro no miscible (p. ej., ganache).</t>
  </si>
  <si>
    <t>Hollow out / core (citrus, fruits).</t>
  </si>
  <si>
    <t>Ahuecar / vaciar (cítricos, frutas).</t>
  </si>
  <si>
    <t>Soak/soak with syrup to moisten or flavor a preparation.</t>
  </si>
  <si>
    <t>Calar/emborrachar con almíbar/licor para humedecer o perfumar una preparación.</t>
  </si>
  <si>
    <t>Infuse: steep an aromatic in preheated liquid, covered, for a set time to extract flavor.</t>
  </si>
  <si>
    <t>Infusionar: dejar en reposo un aromático en líquido caliente, tapado, durante un tiempo definido para extraer el aroma.</t>
  </si>
  <si>
    <t>Macerate: cold-soak to extract/flavor/preserve.</t>
  </si>
  <si>
    <t>Macerar: macerar en frío para extraer/aromatizar/conservar.</t>
  </si>
  <si>
    <t>Marble: draw marbled patterns on iced cakes (fondant, glaze) to enhance presentation.</t>
  </si>
  <si>
    <t>Marmolear: trazar vetas/motivos marmolados en pasteles glaseados (fondant, napado) para mejorar la presentación.</t>
  </si>
  <si>
    <t>Mask/coat with a thin layer (cream/sauce/jelly).</t>
  </si>
  <si>
    <t>Enmascarar/napar con una capa fina (crema/salsa/gelatina).</t>
  </si>
  <si>
    <t>Pasteurize: heat to &lt; 100 °C for a set time to destroy pathogens.</t>
  </si>
  <si>
    <t>Pasteurizar: tratar a &lt; 100 °C durante un tiempo definido para eliminar patógenos.</t>
  </si>
  <si>
    <t>Strain/drain through a chinois, colander or sieve.</t>
  </si>
  <si>
    <t>Colar/escurrir con chino, colador o tamiz.</t>
  </si>
  <si>
    <t>Dock pastry (prick to prevent puffing).</t>
  </si>
  <si>
    <t>Pinchar la masa (para evitar abombamientos).</t>
  </si>
  <si>
    <t>Score/mark (a.k.a. punch): lightly score parallel lines on the egg-washed surface of certain cakes to finish the look.</t>
  </si>
  <si>
    <t>Marcar/rajar (también “punch”): trazar líneas paralelas con la punta del cuchillo sobre la superficie barnizada para mejorar el acabado.</t>
  </si>
  <si>
    <t>Deflate/collapse (mixture losing volume).</t>
  </si>
  <si>
    <t>Bajarse/colapsar (mezcla que pierde volumen).</t>
  </si>
  <si>
    <t>Trimmings (cut-off scraps from doughs, entremets).</t>
  </si>
  <si>
    <t>Recortes (sobras de corte de masas, postres).</t>
  </si>
  <si>
    <t>Knock back / degas after bulk fermentation.</t>
  </si>
  <si>
    <t>Desgasificar / abatir tras el primer levado.</t>
  </si>
  <si>
    <t>Ribbon stage: batter falls in a continuous ribbon (genoise).</t>
  </si>
  <si>
    <t>Punto de cinta: la mezcla cae en forma de cinta (genoise).</t>
  </si>
  <si>
    <t>Sabler : brasser farine et matière grasse jusqu’à une texture sableuse.</t>
  </si>
  <si>
    <t>Rub in flour and fat to a sandy texture.</t>
  </si>
  <si>
    <t>Arenar: mezclar harina y grasa hasta textura de arena.</t>
  </si>
  <si>
    <t>Tabler (chocolat) : pré-cristalliser sur marbre.</t>
  </si>
  <si>
    <t>Table/temper chocolate on marble.</t>
  </si>
  <si>
    <t>Atemperar chocolate en mármol.</t>
  </si>
  <si>
    <t>Laminate/turn puff dough with single/double turns.</t>
  </si>
  <si>
    <t>Dar vueltas/laminar una masa de hojaldre con pliegues simples/dobles.</t>
  </si>
  <si>
    <t>Zest: the colored outer peel of a citrus fruit.</t>
  </si>
  <si>
    <t>Ralladura/zeste: parte coloreada de la piel del cítrico.</t>
  </si>
  <si>
    <t>Zest: remove the outer citrus peel with a zester or grater.</t>
  </si>
  <si>
    <t>Rallar la piel (zeste): retirar la parte exterior del cítrico con un zester o rallador.</t>
  </si>
  <si>
    <t>Rolled-out sheet of dough to a set thickness.</t>
  </si>
  <si>
    <r>
      <t>Abricoter :</t>
    </r>
    <r>
      <rPr>
        <sz val="11"/>
        <color theme="1"/>
        <rFont val="Calibri"/>
        <family val="2"/>
        <scheme val="minor"/>
      </rPr>
      <t xml:space="preserve"> étendre une confiture d’abricot au pinceau sur un entremets, une tarte ou une préparation pour la rendre brillante et la protéger en surface (limiter dessèchement et brunissement enzymatique).</t>
    </r>
  </si>
  <si>
    <r>
      <t>Blanchiment</t>
    </r>
    <r>
      <rPr>
        <sz val="11"/>
        <color theme="1"/>
        <rFont val="Calibri"/>
        <family val="2"/>
        <scheme val="minor"/>
      </rPr>
      <t xml:space="preserve"> (chocolat) : déstabilisation avec voile blanchâtre due à la migration de cristaux de sucre (stockage humide et/ou températures inadaptées).</t>
    </r>
  </si>
  <si>
    <r>
      <t>Candir :</t>
    </r>
    <r>
      <rPr>
        <sz val="11"/>
        <color theme="1"/>
        <rFont val="Calibri"/>
        <family val="2"/>
        <scheme val="minor"/>
      </rPr>
      <t xml:space="preserve"> immerger confiseries/décors dans un sirop pour cristalliser le sucre en surface.</t>
    </r>
  </si>
  <si>
    <r>
      <t>Chablonner :</t>
    </r>
    <r>
      <rPr>
        <sz val="11"/>
        <color theme="1"/>
        <rFont val="Calibri"/>
        <family val="2"/>
        <scheme val="minor"/>
      </rPr>
      <t xml:space="preserve"> appliquer une fine couche de couverture/pâte à glacer sous les entremets, petits gâteaux ou ganaches pour faciliter la manipulation avant montage/découpe.</t>
    </r>
  </si>
  <si>
    <r>
      <t xml:space="preserve">Chemiser : </t>
    </r>
    <r>
      <rPr>
        <sz val="11"/>
        <color theme="1"/>
        <rFont val="Calibri"/>
        <family val="2"/>
        <scheme val="minor"/>
      </rPr>
      <t>appliquer, contre la paroi intérieure d’un moule/caissette, une couche (pâte, biscuit, gelée, chocolat, glace, farine, etc.).</t>
    </r>
  </si>
  <si>
    <r>
      <t>Écumer :</t>
    </r>
    <r>
      <rPr>
        <sz val="11"/>
        <color theme="1"/>
        <rFont val="Calibri"/>
        <family val="2"/>
        <scheme val="minor"/>
      </rPr>
      <t xml:space="preserve"> retirer impuretés/écume en surface (confitures, gelées, sucre).</t>
    </r>
  </si>
  <si>
    <r>
      <t xml:space="preserve">Émonder : </t>
    </r>
    <r>
      <rPr>
        <sz val="11"/>
        <color theme="1"/>
        <rFont val="Calibri"/>
        <family val="2"/>
        <scheme val="minor"/>
      </rPr>
      <t>retirer pellicule/peau (tomates, amandes…).</t>
    </r>
  </si>
  <si>
    <r>
      <t>Émulsionner :</t>
    </r>
    <r>
      <rPr>
        <sz val="11"/>
        <color theme="1"/>
        <rFont val="Calibri"/>
        <family val="2"/>
        <scheme val="minor"/>
      </rPr>
      <t xml:space="preserve"> disperser un liquide dans un autre non miscible (ex. ganache)</t>
    </r>
  </si>
  <si>
    <r>
      <t>Évider :</t>
    </r>
    <r>
      <rPr>
        <sz val="11"/>
        <color theme="1"/>
        <rFont val="Calibri"/>
        <family val="2"/>
        <scheme val="minor"/>
      </rPr>
      <t xml:space="preserve"> creuser/ôter l’intérieur (agrumes, fruits).</t>
    </r>
  </si>
  <si>
    <r>
      <t>Imbiber :</t>
    </r>
    <r>
      <rPr>
        <sz val="11"/>
        <color theme="1"/>
        <rFont val="Calibri"/>
        <family val="2"/>
        <scheme val="minor"/>
      </rPr>
      <t xml:space="preserve"> faire pénétrer un sirop/alcool dans une préparation pour l’humecter ou la parfumer.</t>
    </r>
  </si>
  <si>
    <r>
      <t>Infuser :</t>
    </r>
    <r>
      <rPr>
        <sz val="11"/>
        <color theme="1"/>
        <rFont val="Calibri"/>
        <family val="2"/>
        <scheme val="minor"/>
      </rPr>
      <t xml:space="preserve"> placer une substance aromatique dans un liquide chaud, à couvert et pendant un temps déterminé, pour en extraire l’arôme.</t>
    </r>
  </si>
  <si>
    <r>
      <t>Macérer :</t>
    </r>
    <r>
      <rPr>
        <sz val="11"/>
        <color theme="1"/>
        <rFont val="Calibri"/>
        <family val="2"/>
        <scheme val="minor"/>
      </rPr>
      <t xml:space="preserve"> tremper à froid pour extraire/parfumer/conserver.</t>
    </r>
  </si>
  <si>
    <r>
      <t>Marbrer :</t>
    </r>
    <r>
      <rPr>
        <sz val="11"/>
        <color theme="1"/>
        <rFont val="Calibri"/>
        <family val="2"/>
        <scheme val="minor"/>
      </rPr>
      <t xml:space="preserve"> réaliser des motifs marbrés sur des gâteaux glacés (fondant, nappage) pour améliorer la présentation.</t>
    </r>
  </si>
  <si>
    <r>
      <t xml:space="preserve">Puncher </t>
    </r>
    <r>
      <rPr>
        <sz val="11"/>
        <color theme="1"/>
        <rFont val="Calibri"/>
        <family val="2"/>
        <scheme val="minor"/>
      </rPr>
      <t>(synonyme d’imbiber) : rayer avec la pointe d’un couteau la surface dorée de certains gâteaux (lignes parallèles) pour parfaire la présentation</t>
    </r>
  </si>
  <si>
    <r>
      <t>Zester :</t>
    </r>
    <r>
      <rPr>
        <sz val="11"/>
        <color theme="1"/>
        <rFont val="Calibri"/>
        <family val="2"/>
        <scheme val="minor"/>
      </rPr>
      <t xml:space="preserve"> retirer la partie extérieure de l’écorce d’agrumes à l’aide d’un zesteur ou d’une râpe.</t>
    </r>
  </si>
  <si>
    <t>légumes appertisés</t>
  </si>
  <si>
    <t>légumes frais à cuire</t>
  </si>
  <si>
    <t>légumes secs</t>
  </si>
  <si>
    <t>légumes sous vide à cuire</t>
  </si>
  <si>
    <t>légumes sous vide cuits</t>
  </si>
  <si>
    <t>légumes surgelés à cuire</t>
  </si>
  <si>
    <t>légumes surgelés cuits</t>
  </si>
  <si>
    <t>viande fraîche cuite sous vide</t>
  </si>
  <si>
    <t>viande fraîche sous vide crue — à couper</t>
  </si>
  <si>
    <t>viande fraîche sous vide crue — à cuire, à couper + appertisée</t>
  </si>
  <si>
    <t>viande fraîche sous vide cuite — à couper</t>
  </si>
  <si>
    <t>(doublon) viande fraîche sous vide cuite — à couper</t>
  </si>
  <si>
    <t>viandes fraîches à piécer avant cuisson courte</t>
  </si>
  <si>
    <t>viandes fraîches à piécer avant cuisson longue</t>
  </si>
  <si>
    <t>viandes fraîches découpées — cuisson longue</t>
  </si>
  <si>
    <t>viandes fraîches piécées — cuisson courte</t>
  </si>
  <si>
    <t>viandes fraîches piécées — cuisson longue</t>
  </si>
  <si>
    <t>viandes surgelées — cuisson courte</t>
  </si>
  <si>
    <t>viandes surgelées crues — à trancher avant cuisson</t>
  </si>
  <si>
    <t>viandes surgelées cuites — à trancher</t>
  </si>
  <si>
    <t>viandes surgelées cuites — tranchées</t>
  </si>
  <si>
    <t>viandes / sous vide — à piécer avant cuisson courte</t>
  </si>
  <si>
    <t>viandes / sous vide — à piécer avant cuisson longue</t>
  </si>
  <si>
    <t>viandes / sous vide — à trancher sans cuisson</t>
  </si>
  <si>
    <t>viandes / sous vide découpées — cuisson longue</t>
  </si>
  <si>
    <t>viandes / sous vide piécées — cuisson courte</t>
  </si>
  <si>
    <t>viandes / sous vide piécées — cuisson longue</t>
  </si>
  <si>
    <t>grocery (dry goods)</t>
  </si>
  <si>
    <t>canned vegetables</t>
  </si>
  <si>
    <t>fresh vegetables to cook</t>
  </si>
  <si>
    <t>dried pulses/legumes</t>
  </si>
  <si>
    <t>vacuum-packed vegetables to cook</t>
  </si>
  <si>
    <t>vacuum-packed cooked vegetables</t>
  </si>
  <si>
    <t>frozen vegetables to cook</t>
  </si>
  <si>
    <t>frozen cooked vegetables</t>
  </si>
  <si>
    <t>dairy products</t>
  </si>
  <si>
    <t>fresh meat, cooked, vacuum-packed</t>
  </si>
  <si>
    <t>fresh meat, vacuum-packed, raw — to cut</t>
  </si>
  <si>
    <t>fresh meat, vacuum-packed, raw — to cook, to cut + canned</t>
  </si>
  <si>
    <t>fresh meat, vacuum-packed, cooked — to slice/cut</t>
  </si>
  <si>
    <t>fresh meats — portion before short cook</t>
  </si>
  <si>
    <t>fresh meats — portion before long cook</t>
  </si>
  <si>
    <t>fresh meats, cut — for long cook</t>
  </si>
  <si>
    <t>fresh meats, portioned — for short cook</t>
  </si>
  <si>
    <t>fresh meats, portioned — for long cook</t>
  </si>
  <si>
    <t>frozen meats — for short cook</t>
  </si>
  <si>
    <t>frozen meats, raw — slice before cooking</t>
  </si>
  <si>
    <t>frozen cooked meats</t>
  </si>
  <si>
    <t>frozen cooked meats — to slice</t>
  </si>
  <si>
    <t>frozen cooked meats — sliced</t>
  </si>
  <si>
    <t>vacuum-packed meats — portion before short cook</t>
  </si>
  <si>
    <t>vacuum-packed meats — portion before long cook</t>
  </si>
  <si>
    <t>vacuum-packed meats — to slice, no cook</t>
  </si>
  <si>
    <t>vacuum-packed meats, cut — for long cook</t>
  </si>
  <si>
    <t>vacuum-packed meats, portioned — for short cook</t>
  </si>
  <si>
    <t>vacuum-packed meats, portioned — for long cook</t>
  </si>
  <si>
    <t>abarrotes / despensa (seco)</t>
  </si>
  <si>
    <t>verduras en conserva</t>
  </si>
  <si>
    <t>verduras frescas para cocinar</t>
  </si>
  <si>
    <t>legumbres secas</t>
  </si>
  <si>
    <t>verduras envasadas al vacío para cocinar</t>
  </si>
  <si>
    <t>verduras cocidas envasadas al vacío</t>
  </si>
  <si>
    <t>verduras congeladas para cocinar</t>
  </si>
  <si>
    <t>verduras congeladas cocidas</t>
  </si>
  <si>
    <t>productos lácteos</t>
  </si>
  <si>
    <t>carne fresca cocida al vacío</t>
  </si>
  <si>
    <t>carne fresca envasada al vacío, cruda — para cortar</t>
  </si>
  <si>
    <t>carne fresca envasada al vacío, cruda — para cocinar, para cortar + en conserva</t>
  </si>
  <si>
    <t>carne fresca envasada al vacío, cocida — para cortar</t>
  </si>
  <si>
    <t>carnes frescas — porcionar antes de cocción corta</t>
  </si>
  <si>
    <t>carnes frescas — porcionar antes de cocción larga</t>
  </si>
  <si>
    <t>carnes frescas, cortadas — para cocción larga</t>
  </si>
  <si>
    <t>carnes frescas, porcionadas — para cocción corta</t>
  </si>
  <si>
    <t>carnes frescas, porcionadas — para cocción larga</t>
  </si>
  <si>
    <t>carnes congeladas — para cocción corta</t>
  </si>
  <si>
    <t>carnes congeladas, crudas — rebanar antes de la cocción</t>
  </si>
  <si>
    <t>carnes cocidas congeladas</t>
  </si>
  <si>
    <t>carnes cocidas congeladas — para rebanar</t>
  </si>
  <si>
    <t>carnes cocidas congeladas — rebanadas</t>
  </si>
  <si>
    <t>carnes al vacío — porcionar antes de cocción corta</t>
  </si>
  <si>
    <t>carnes al vacío — porcionar antes de cocción larga</t>
  </si>
  <si>
    <t>carnes al vacío — para rebanar, sin cocción</t>
  </si>
  <si>
    <t>carnes al vacío, cortadas — para cocción larga</t>
  </si>
  <si>
    <t>carnes al vacío, porcionadas — para cocción corta</t>
  </si>
  <si>
    <t>carnes al vacío, porcionadas — para cocción larga</t>
  </si>
  <si>
    <t>GROCERY (DRY GOODS)</t>
  </si>
  <si>
    <t>CANNED VEGETABLES</t>
  </si>
  <si>
    <t>FRESH VEGETABLES TO COOK</t>
  </si>
  <si>
    <t>DRIED PULSES/LEGUMES</t>
  </si>
  <si>
    <t>VACUUM-PACKED VEGETABLES TO COOK</t>
  </si>
  <si>
    <t>VACUUM-PACKED COOKED VEGETABLES</t>
  </si>
  <si>
    <t>FROZEN VEGETABLES TO COOK</t>
  </si>
  <si>
    <t>FROZEN COOKED VEGETABLES</t>
  </si>
  <si>
    <t>DAIRY PRODUCTS</t>
  </si>
  <si>
    <t>FRESH MEAT, COOKED, VACUUM-PACKED</t>
  </si>
  <si>
    <t>FRESH MEAT, VACUUM-PACKED, RAW — TO CUT</t>
  </si>
  <si>
    <t>FRESH MEAT, VACUUM-PACKED, RAW — TO COOK, TO CUT + CANNED</t>
  </si>
  <si>
    <t>FRESH MEAT, VACUUM-PACKED, COOKED — TO SLICE/CUT</t>
  </si>
  <si>
    <t>FRESH MEATS TO PORTION BEFORE SHORT COOK</t>
  </si>
  <si>
    <t>FRESH MEATS TO PORTION BEFORE LONG COOK</t>
  </si>
  <si>
    <t>FRESH MEATS, CUT — FOR LONG COOK</t>
  </si>
  <si>
    <t>FRESH MEATS, PORTIONED — FOR SHORT COOK</t>
  </si>
  <si>
    <t>FRESH MEATS, PORTIONED — FOR LONG COOK</t>
  </si>
  <si>
    <t>FROZEN MEATS — FOR SHORT COOK</t>
  </si>
  <si>
    <t>FROZEN MEATS, RAW — TO SLICE BEFORE COOKING</t>
  </si>
  <si>
    <t>FROZEN COOKED MEATS</t>
  </si>
  <si>
    <t>FROZEN COOKED MEATS — TO SLICE</t>
  </si>
  <si>
    <t>FROZEN COOKED MEATS — SLICED</t>
  </si>
  <si>
    <t>VACUUM-PACKED MEATS — TO PORTION BEFORE SHORT COOK</t>
  </si>
  <si>
    <t>VACUUM-PACKED MEATS — TO PORTION BEFORE LONG COOK</t>
  </si>
  <si>
    <t>VACUUM-PACKED MEATS — TO SLICE, NO COOK</t>
  </si>
  <si>
    <t>VACUUM-PACKED MEATS, CUT — FOR LONG COOK</t>
  </si>
  <si>
    <t>VACUUM-PACKED MEATS, PORTIONED — FOR SHORT COOK</t>
  </si>
  <si>
    <t>VACUUM-PACKED MEATS, PORTIONED — FOR LONG COOK</t>
  </si>
  <si>
    <t>ABARROTES / DESPENSA (SECO)</t>
  </si>
  <si>
    <t>VERDURAS EN CONSERVA</t>
  </si>
  <si>
    <t>VERDURAS FRESCAS PARA COCINAR</t>
  </si>
  <si>
    <t>LEGUMBRES SECAS</t>
  </si>
  <si>
    <t>VERDURAS ENVASADAS AL VACÍO PARA COCINAR</t>
  </si>
  <si>
    <t>VERDURAS COCIDAS ENVASADAS AL VACÍO</t>
  </si>
  <si>
    <t>VERDURAS CONGELADAS PARA COCINAR</t>
  </si>
  <si>
    <t>VERDURAS CONGELADAS COCIDAS</t>
  </si>
  <si>
    <t>PRODUCTOS LÁCTEOS</t>
  </si>
  <si>
    <t>CARNE FRESCA COCIDA AL VACÍO</t>
  </si>
  <si>
    <t>CARNE FRESCA ENVASADA AL VACÍO, CRUDA — PARA CORTAR</t>
  </si>
  <si>
    <t>CARNE FRESCA ENVASADA AL VACÍO, CRUDA — PARA COCINAR, PARA CORTAR + EN CONSERVA</t>
  </si>
  <si>
    <t>CARNE FRESCA ENVASADA AL VACÍO, COCIDA — PARA CORTAR</t>
  </si>
  <si>
    <t>CARNES FRESCAS PARA PORCIONAR ANTES DE COCCIÓN CORTA</t>
  </si>
  <si>
    <t>CARNES FRESCAS PARA PORCIONAR ANTES DE COCCIÓN LARGA</t>
  </si>
  <si>
    <t>CARNES FRESCAS, CORTADAS — PARA COCCIÓN LARGA</t>
  </si>
  <si>
    <t>CARNES FRESCAS, PORCIONADAS — PARA COCCIÓN CORTA</t>
  </si>
  <si>
    <t>CARNES FRESCAS, PORCIONADAS — PARA COCCIÓN LARGA</t>
  </si>
  <si>
    <t>CARNES CONGELADAS — PARA COCCIÓN CORTA</t>
  </si>
  <si>
    <t>CARNES CONGELADAS, CRUDAS — PARA REBANAR ANTES DE LA COCCIÓN</t>
  </si>
  <si>
    <t>CARNES COCIDAS CONGELADAS</t>
  </si>
  <si>
    <t>CARNES COCIDAS CONGELADAS — PARA REBANAR</t>
  </si>
  <si>
    <t>CARNES COCIDAS CONGELADAS — REBANADAS</t>
  </si>
  <si>
    <t>CARNES AL VACÍO — PARA PORCIONAR ANTES DE COCCIÓN CORTA</t>
  </si>
  <si>
    <t>CARNES AL VACÍO — PARA PORCIONAR ANTES DE COCCIÓN LARGA</t>
  </si>
  <si>
    <t>CARNES AL VACÍO — PARA REBANAR, SIN COCCIÓN</t>
  </si>
  <si>
    <t>CARNES AL VACÍO, CORTADAS — PARA COCCIÓN LARGA</t>
  </si>
  <si>
    <t>CARNES AL VACÍO, PORCIONADAS — PARA COCCIÓN CORTA</t>
  </si>
  <si>
    <t>CARNES AL VACÍO, PORCIONADAS — PARA COCCIÓN LARGA</t>
  </si>
  <si>
    <t xml:space="preserve"> MATÉRIELS     Tools &amp; equipment    Utillaje y equipos</t>
  </si>
  <si>
    <t>bowl cutter (meat)</t>
  </si>
  <si>
    <t xml:space="preserve"> picadora-cutter)</t>
  </si>
  <si>
    <t>Variantes utiles : assiette creuse = soup plate / bowl</t>
  </si>
  <si>
    <t>Useful variants: assiette creuse = soup plate / bowl</t>
  </si>
  <si>
    <t>Variantes útiles: assiette creuse = plato hondo / cuenco</t>
  </si>
  <si>
    <t>Stainless GN 1/1, 1/2, 1/3… with lids/perforated; storage, cooking, blast-chill.</t>
  </si>
  <si>
    <t>Acero GN 1/1, 1/2, 1/3… con tapas/perforados; almacenamiento, cocción, abatidor.</t>
  </si>
  <si>
    <t>Gentle holding/heating or cooling; double-boiler possible; HACCP: hot ≥63 °C.</t>
  </si>
  <si>
    <t>Mantenimiento/calor suave o frío; posible baño maría; APPCC: caliente ≥63 °C.</t>
  </si>
  <si>
    <t>Calibration, tare, accuracy (g/kg); weighing ingredients/portions.</t>
  </si>
  <si>
    <t>Calibración, tara, precisión (g/kg); pesado de ingredientes/porciones.</t>
  </si>
  <si>
    <t>Sealable, microwave-safe; state volume, material (PP, PET, alu).</t>
  </si>
  <si>
    <t>Termosellables, aptas microondas; indicar volumen y material (PP, PET, alu).</t>
  </si>
  <si>
    <t>Pallets/carts/tonnage; ramp access, ticket printer, traceability.</t>
  </si>
  <si>
    <t>Palés/carros/tonelaje; rampa, impresora de tickets, trazabilidad.</t>
  </si>
  <si>
    <t>Transport amont/aval; préciser type (frigo, hayon, caisse sèche).</t>
  </si>
  <si>
    <t>Upstream/downstream transport; specify type (reefer, tail-lift, dry van).</t>
  </si>
  <si>
    <t>Transporte de entrada/salida; tipo (frigorífico, con plataforma, caja seca).</t>
  </si>
  <si>
    <t>Cibles HACCP (≤ +9 °C au cœur/temps; ≤ −18 °C au cœur en surgélation).</t>
  </si>
  <si>
    <t>HACCP targets (core ≤ +9 °C/time; core ≤ −18 °C for freezing).</t>
  </si>
  <si>
    <t>Objetivos APPCC (centro ≤ +9 °C/tiempo; centro ≤ −18 °C en congelación).</t>
  </si>
  <si>
    <t>Pour plaques GN/600×400, paniers, bacs; freins, butées, numérotation.</t>
  </si>
  <si>
    <t>For GN/600×400 trays, baskets, pans; brakes, stops, numbering.</t>
  </si>
  <si>
    <t>Para bandejas GN/600×400, cestas, cubetas; frenos, topes, numeración.</t>
  </si>
  <si>
    <t>Hot/cold logistics (self, catering); indicate temp ranges &amp; autonomy.</t>
  </si>
  <si>
    <t>Logística caliente/fría (self, catering); indicar rangos de T° y autonomía.</t>
  </si>
  <si>
    <t>À distinguer du film d’operculage (lidding film / film termosellado).</t>
  </si>
  <si>
    <t>Not to be confused with lidding film.</t>
  </si>
  <si>
    <t>No confundir con film termosellado.</t>
  </si>
  <si>
    <t>Solid/perforated/with handle; GN 1/1, 1/2, 1/3, etc.</t>
  </si>
  <si>
    <t>Entera/perforada/con asa; GN 1/1, 1/2, 1/3, etc.</t>
  </si>
  <si>
    <t>Transparent, cold/blast-chill safe; check temp/dishwasher.</t>
  </si>
  <si>
    <t>Transparente, apta para frío/abatidor; comprobar T°/lavavajillas.</t>
  </si>
  <si>
    <t>Peut être combi-steamer (four mixte). Préciser capacité/programmation.</t>
  </si>
  <si>
    <t>May be a combi-steamer. Specify capacity/programs.</t>
  </si>
  <si>
    <t>Puede ser horno mixto. Indicar capacidad/programación.</t>
  </si>
  <si>
    <t>Stainless, rounded bottom for whisking/emulsions; also polycarbonate.</t>
  </si>
  <si>
    <t>Inox, fondo redondeado para batir/emulsionar; también policarbonato.</t>
  </si>
  <si>
    <t>Deux sens : couteau cartons OU « cutter » de charcuterie (cutter-mixer).</t>
  </si>
  <si>
    <t>Two meanings: box cutter OR meat bowl cutter (cutter-mixer).</t>
  </si>
  <si>
    <t>Dos sentidos: cúter de cajas O cutter de charcutería (cutter-mixer).</t>
  </si>
  <si>
    <t>Douchette évier : rinçage/nettoyage; eau potable, anti-retour, pression/débit, jet réglable.</t>
  </si>
  <si>
    <t>Pre-rinse spray: rinsing/cleaning; potable water, backflow preventer, pressure/flow, adjustable spray.</t>
  </si>
  <si>
    <t>Ducha de fregadero: enjuague/limpieza; agua potable, antirretorno, presión/caudal, chorro regulable.</t>
  </si>
  <si>
    <t>Chariot plaques 600×400/GN; nb niveaux, butées, freins, compat. four/cellule.</t>
  </si>
  <si>
    <t>Rack trolley 600×400/GN; levels, stops, brakes, oven/blast-chill compat.</t>
  </si>
  <si>
    <t>Carro estantería 600×400/GN; niveles, topes, frenos, compat. horno/abatidor.</t>
  </si>
  <si>
    <t>Écumoire : écumer/récupérer fritures; matière/Ø/longueur.</t>
  </si>
  <si>
    <t>Skimmer: skimming/frying pickup; material/diameter/length.</t>
  </si>
  <si>
    <t>Espumadera: desespumar/recoger fritos; material/Ø/longitud.</t>
  </si>
  <si>
    <t>Emballage carton : grammage, simple/doble onda, marquage (lot, flèches, FRAGILE).</t>
  </si>
  <si>
    <t>Cardboard: weight, single/double wall, markings (lot, arrows, FRAGILE).</t>
  </si>
  <si>
    <t>Cartón: gramaje, simple/doble onda, marcado (lote, flechas, FRÁGIL).</t>
  </si>
  <si>
    <t>Emballage originel : garder pour traçabilité/SAV; ne pas rompre scellé.</t>
  </si>
  <si>
    <t>Original packaging: keep for traceability/returns; do not break seal.</t>
  </si>
  <si>
    <t>Embalaje original: conservar para trazabilidad/garantía; no romper sello.</t>
  </si>
  <si>
    <t>Étagères : inox/plastique; charge/niveau, pieds réglables, usage humide/froid.</t>
  </si>
  <si>
    <t>Shelving: stainless/plastic; load per level, adjustable feet, wet/cold use.</t>
  </si>
  <si>
    <t>Estanterías: inox/plástico; carga/nivel, patas regulables, uso húmedo/frío.</t>
  </si>
  <si>
    <t>Étiqueteuse : manuel/semi/auto; DLC, lot, code-barres; liaison balance/ERP.</t>
  </si>
  <si>
    <t>Labeler: manual/semi/auto; use-by, lot, barcode; scale/ERP link.</t>
  </si>
  <si>
    <t>Etiquetadora: manual/semi/auto; caducidad, lote, código de barras; enlace báscula/ERP.</t>
  </si>
  <si>
    <t>Film étirable alimentaire : contact alim., largeur, épaisseur, froid/chaud.</t>
  </si>
  <si>
    <t>Cling film: food-contact, width, thickness, cold/hot compat.</t>
  </si>
  <si>
    <t>Film transparente: contacto alimentario, ancho, grosor, frío/calor.</t>
  </si>
  <si>
    <t>Fouet : type (ballon/plat), longueur, inox/silicone, usage.</t>
  </si>
  <si>
    <t>Whisk: type (balloon/flat), length, stainless/silicone, use.</t>
  </si>
  <si>
    <t>Batidor: tipo (globo/plano), longitud, inox/silicona, uso.</t>
  </si>
  <si>
    <t>Four mixte : convection/vapeur/mixte; sonde, % vapeur, temps; logs HACCP; capacité.</t>
  </si>
  <si>
    <t>Combi oven: convection/steam/mixed; probe, steam %, time; HACCP logs; capacity.</t>
  </si>
  <si>
    <t>Horno mixto: convección/vapor/mixto; sonda, % vapor, tiempo; registros APPCC; capacidad.</t>
  </si>
  <si>
    <t>Bacs GN (gastro) : formats, profondeurs, plein/perforé, inox/PC, couvercle.</t>
  </si>
  <si>
    <t>GN pans: sizes, depths, solid/perforated, s/s or PC, lids.</t>
  </si>
  <si>
    <t>Cubetas GN: tamaños, profundidades, lisas/perforadas, inox/PC, tapas.</t>
  </si>
  <si>
    <t>Grille : four/refroidissement/gril; préciser matière/dimensions.</t>
  </si>
  <si>
    <t>Rack: oven/cooling/grill; specify material/dimensions.</t>
  </si>
  <si>
    <t>Rejilla: horno/enfriado/parrilla; indicar material/dimensiones.</t>
  </si>
  <si>
    <t>Hachoir (robot) : capacité bol, lames, pulsado.</t>
  </si>
  <si>
    <t>Food chopper/processor: bowl capacity, blades, pulse.</t>
  </si>
  <si>
    <t>Picadora/procesador: capacidad vaso, cuchillas, pulso.</t>
  </si>
  <si>
    <t>Housse de protection : poussière/froid/extérieur; mesures; zip/velcro.</t>
  </si>
  <si>
    <t>Protective cover: dust/cold/outdoor; dimensions; zip/velcro.</t>
  </si>
  <si>
    <t>Funda de protección: polvo/frío/exterior; medidas; cremallera/velcro.</t>
  </si>
  <si>
    <t>Louche : capacité (cl/ml), manche (long), matière; louche à sauce = bec.</t>
  </si>
  <si>
    <t>Ladle: capacity, long handle, material; sauce ladle = spout.</t>
  </si>
  <si>
    <t>Cucharón: capacidad, mango largo, material; para salsa = pico.</t>
  </si>
  <si>
    <t>Machine à râper : disques (râper/émincer/julienne), débit, sécurité.</t>
  </si>
  <si>
    <t>Grating machine: disks (grate/slice/julienne), throughput, safety.</t>
  </si>
  <si>
    <t>Ralladora: discos (rallar/laminar/juliana), caudal, seguridad.</t>
  </si>
  <si>
    <t>Marmite : gaz/élec./vapeur; basculante; capacité, vidange, sonde.</t>
  </si>
  <si>
    <t>Kettle/stock pot: gas/elec/steam; tilting; capacity, drain, probe.</t>
  </si>
  <si>
    <t>Marmita/olla: gas/eléctrica/vapor; basculante; capacidad, vaciado, sonda.</t>
  </si>
  <si>
    <t>Mixer plongeant : puissance, longueur de pied, antiproyecciones, accessoires.</t>
  </si>
  <si>
    <t>Immersion blender: power, shaft length, splash-guard, accessories.</t>
  </si>
  <si>
    <t>Batidora de inmersión: potencia, longitud pie, campana anti-salpicaduras, accesorios.</t>
  </si>
  <si>
    <t>Ouvre-boîte : manuel/électrique/de mesa; hygiène, boîtes 5/10, sans bavures.</t>
  </si>
  <si>
    <t>Can opener: manual/electric/bench; hygiene, size 5/10 cans, no burrs.</t>
  </si>
  <si>
    <t>Abre-latas: manual/eléctrico/de mesa; higiene, latas 5/10, sin rebabas.</t>
  </si>
  <si>
    <t>Palette (logistique) : EUR 120×80 / ISO 120×100; bois/plastique; filmage/cerclage.</t>
  </si>
  <si>
    <t>Pallet: EUR 120×80 / ISO 120×100; wood/plastic; wrap/strap.</t>
  </si>
  <si>
    <t>Palé: EUR 120×80 / ISO 120×100; madera/plástico; flejado/filmado.</t>
  </si>
  <si>
    <t>Passoire : égouttage/tamisage; métal/nylon; Ø/profondeur, poignées.</t>
  </si>
  <si>
    <t>Colander/strainer: draining/sieving; metal/nylon; dia/depth, handles.</t>
  </si>
  <si>
    <t>Colador/escurridor: escurrir/tamizar; metal/nylon; Ø/profundidad, asas.</t>
  </si>
  <si>
    <t>Pelle à pizza : manche long; tête alu/inox/bois; perforée; tailles.</t>
  </si>
  <si>
    <t>Pizza peel: long handle; alu/s/s/wood head; perforated; sizes.</t>
  </si>
  <si>
    <t>Pala para pizza: mango largo; cabeza alu/inox/madera; perforada; tamaños.</t>
  </si>
  <si>
    <t>Pinces : longueur, embouts silicone/inox, verrou; séparer cru/cuit.</t>
  </si>
  <si>
    <t>Tongs: length, silicone/s/s tips, lock; separate raw/cooked.</t>
  </si>
  <si>
    <t>Pinzas: longitud, puntas silicona/inox, cierre; separar crudo/cocido.</t>
  </si>
  <si>
    <t>Plaque eutectique : T° de consigne, temps de charge, contact alimentaire.</t>
  </si>
  <si>
    <t>Eutectic plate: set-point temp, charging time, food contact.</t>
  </si>
  <si>
    <t>Placa eutéctica: T° objetivo, tiempo de carga, contacto alimentario.</t>
  </si>
  <si>
    <t>Planche à découper : codes couleur, PEHD/bois, antidérapant, lavable.</t>
  </si>
  <si>
    <t>Cutting board: color codes, HDPE/wood, anti-slip, dishwasher-safe.</t>
  </si>
  <si>
    <t>Tabla de cortar: códigos color, PEAD/madera, antideslizante, lavable.</t>
  </si>
  <si>
    <t>Plat GN peu profond : service/cuisson/pré-sentation; couvercle possible.</t>
  </si>
  <si>
    <t>Shallow GN tray: service/cooking/presentation; lid optional.</t>
  </si>
  <si>
    <t>Bandeja GN baja: servicio/cocción/presentación; tapa opcional.</t>
  </si>
  <si>
    <t>Plateaux : format (600×400, GN), matière (PP/inox/fibra), antidérapant.</t>
  </si>
  <si>
    <t>Trays: size (600×400, GN), material (PP/s/s/fiber), non-slip.</t>
  </si>
  <si>
    <t>Bandejas: tamaño (600×400, GN), material (PP/inox/fibra), antideslizantes.</t>
  </si>
  <si>
    <t>Râpeuse : idem machine à râper; tambours, débit, sécurité.</t>
  </si>
  <si>
    <t>Grater (machine): as above; drums, throughput, safety.</t>
  </si>
  <si>
    <t>Ralladora: igual; tambores, caudal, seguridad.</t>
  </si>
  <si>
    <t>Rayonnages : inox/plast./alu; carga/nivel, anclajes, uso frío/húmedo.</t>
  </si>
  <si>
    <t>Racking: s/s/plastic/alu; load/level, anchors, cold/wet use.</t>
  </si>
  <si>
    <t>Estanterías: inox/plástico/aluminio; carga/nivel, anclajes, uso frío/húmedo.</t>
  </si>
  <si>
    <t>Rolls (log.) : carro jaula; formato 600×800 / 800×1200; capacidad, freno.</t>
  </si>
  <si>
    <t>Roll cage (logistics): 600×800 / 800×1200; capacity, brake.</t>
  </si>
  <si>
    <t>Carro jaula (logística): 600×800 / 800×1200; capacidad, freno.</t>
  </si>
  <si>
    <t>Rondeau : cacerola baja ancha; fondo grueso, tapa; compatible horno/inducción.</t>
  </si>
  <si>
    <t>Rondeau: wide shallow pan; thick base, lid; oven/induction safe.</t>
  </si>
  <si>
    <t>Rondeau: cazo bajo ancho; fondo grueso, tapa; horno/inducción.</t>
  </si>
  <si>
    <t>Rouleau (pâtisserie) : bois/inox/PC; lisse/grad./bagues; long./Ø.</t>
  </si>
  <si>
    <t>Rolling pin: wood/s/s/PC; smooth/marked/rings; length/Ø.</t>
  </si>
  <si>
    <t>Rodillo: madera/inox/PC; liso/graduado/anillos; largo/Ø.</t>
  </si>
  <si>
    <t>Sauteuse : parois droites/arrondies; Ø, épaisseur; four/inductions.</t>
  </si>
  <si>
    <t>Sauté pan/saucier: straight/rounded sides; dia/thickness; oven/induction.</t>
  </si>
  <si>
    <t>Salteadora/cazo salteador: bordes rectos/redondeados; Ø/espesor; horno/inducción.</t>
  </si>
  <si>
    <t>Seau plastique : grado alimentario; tapa/asa; volumen, códigos color.</t>
  </si>
  <si>
    <t>Plastic pail: food-grade; lid/handle; volume, color coding.</t>
  </si>
  <si>
    <t>Cubo plástico: grado alimentario; tapa/asa; volumen, códigos color.</t>
  </si>
  <si>
    <t>Socles rouleurs : dolly/base rodante; carga (kg), ruedas, frenos.</t>
  </si>
  <si>
    <t>Dollies: rolling bases; load (kg), wheels, brakes.</t>
  </si>
  <si>
    <t>Bases rodantes: carga (kg), ruedas, frenos.</t>
  </si>
  <si>
    <t>Sonde : T° −50/+300 °C; núcleo/aceite/aire; IR sin contacto; registros.</t>
  </si>
  <si>
    <t>Probe: −50/+300 °C; core/oil/air; IR non-contact; logging.</t>
  </si>
  <si>
    <t>Sonda: −50/+300 °C; corazón/aceite/aire; IR sin contacto; registros.</t>
  </si>
  <si>
    <t>Table chaude : maintien ≥63 °C; bacs GN; eau/résistances; couvercles.</t>
  </si>
  <si>
    <t>Hot holding table: ≥63 °C; GN pans; water/elements; lids.</t>
  </si>
  <si>
    <t>Mesa caliente: ≥63 °C; cubetas GN; agua/resistencias; tapas.</t>
  </si>
  <si>
    <t>Table de travail : inox; rebord/estante; ruedas opc.; dimensiones/carga.</t>
  </si>
  <si>
    <t>Work/prep table: stainless; backsplash/undershelf; casters opt.; size/load.</t>
  </si>
  <si>
    <t>Mesa de trabajo: inox; peto/estante; ruedas opc.; tamaño/carga.</t>
  </si>
  <si>
    <t>Thermoscelleuse : film PP/PET/alu; moldes; vacío/ATM; T°/tiempo/presión; lot/DLC.</t>
  </si>
  <si>
    <t>Tray sealer: PP/PET/alu film; dies; vacuum/MAP; T°/time/pressure; lot/UBD.</t>
  </si>
  <si>
    <t>Termoselladora: film PP/PET/alu; moldes; vacío/ATM; T°/tiempo/presión; lote/caducidad.</t>
  </si>
  <si>
    <t>Trancheur : Ø cuchilla, espesor, afilador, seguridad; fácil limpieza.</t>
  </si>
  <si>
    <t>Slicer: blade Ø, thickness, sharpener, safety; easy cleaning.</t>
  </si>
  <si>
    <t>Cortadora: Ø de hoja, grosor, afilador, seguridad; limpieza fácil.</t>
  </si>
  <si>
    <t>étager/empiler les bacs GN sur l’échelle de four</t>
  </si>
  <si>
    <t>éplucher–laver–désinfecter</t>
  </si>
  <si>
    <t>laver à grande eau / rincer abondamment</t>
  </si>
  <si>
    <t>peser les denrées/ingrédients</t>
  </si>
  <si>
    <t>couper en deux</t>
  </si>
  <si>
    <t>adjoindre/ajouter de la crème</t>
  </si>
  <si>
    <t>arroser/napper d’une liqueur</t>
  </si>
  <si>
    <t>blanchir–rafraîchir–couper</t>
  </si>
  <si>
    <t>crémer puis réduire</t>
  </si>
  <si>
    <t>dégraisser en partie (écumer la graisse)</t>
  </si>
  <si>
    <t>faire suer (sans coloration)</t>
  </si>
  <si>
    <t>lier le fond/la sauce</t>
  </si>
  <si>
    <t>lustrer/pinceler à l’huile</t>
  </si>
  <si>
    <t>monter/terminer au beurre</t>
  </si>
  <si>
    <t>rafraîchir en eau glacée et égoutter</t>
  </si>
  <si>
    <t>cuire au four moyen</t>
  </si>
  <si>
    <t>cuire légèrement croquant / al dente</t>
  </si>
  <si>
    <t>sonder/sonde à cœur</t>
  </si>
  <si>
    <t>rendre l’appareil onctueux</t>
  </si>
  <si>
    <t>maintenir au froid</t>
  </si>
  <si>
    <t>maintenir au chaud à ≥ 63 °C</t>
  </si>
  <si>
    <t>maintenir au bain-marie à ≥ 65 °C</t>
  </si>
  <si>
    <t>maintenir au froid à ≤ +3 °C</t>
  </si>
  <si>
    <t>añadir nata</t>
  </si>
  <si>
    <t>cocer al dente</t>
  </si>
  <si>
    <r>
      <t xml:space="preserve">Réf. conseillée : Grossmann &amp; Le Franc, </t>
    </r>
    <r>
      <rPr>
        <b/>
        <i/>
        <sz val="12"/>
        <color theme="1"/>
        <rFont val="Calibri"/>
        <family val="2"/>
        <scheme val="minor"/>
      </rPr>
      <t>La cuisine de collectivité</t>
    </r>
    <r>
      <rPr>
        <b/>
        <sz val="12"/>
        <color theme="1"/>
        <rFont val="Calibri"/>
        <family val="2"/>
        <scheme val="minor"/>
      </rPr>
      <t>, BPI, 2006</t>
    </r>
  </si>
  <si>
    <r>
      <t xml:space="preserve">Suggested ref.: Grossmann &amp; Le Franc, </t>
    </r>
    <r>
      <rPr>
        <i/>
        <sz val="11"/>
        <color theme="1"/>
        <rFont val="Calibri"/>
        <family val="2"/>
        <scheme val="minor"/>
      </rPr>
      <t>La cuisine de collectivité</t>
    </r>
    <r>
      <rPr>
        <sz val="11"/>
        <color theme="1"/>
        <rFont val="Calibri"/>
        <family val="2"/>
        <scheme val="minor"/>
      </rPr>
      <t>, BPI, 2006</t>
    </r>
  </si>
  <si>
    <r>
      <t xml:space="preserve">Referencia sugerida: Grossmann &amp; Le Franc, </t>
    </r>
    <r>
      <rPr>
        <i/>
        <sz val="11"/>
        <color theme="1"/>
        <rFont val="Calibri"/>
        <family val="2"/>
        <scheme val="minor"/>
      </rPr>
      <t>La cuisine de colectividades</t>
    </r>
    <r>
      <rPr>
        <sz val="11"/>
        <color theme="1"/>
        <rFont val="Calibri"/>
        <family val="2"/>
        <scheme val="minor"/>
      </rPr>
      <t>, BPI, 2006</t>
    </r>
  </si>
  <si>
    <t xml:space="preserve">PROFESSIONAL GENERAL VOCABULARY  one verb… one action  paste verbs and actions into the PROGRESSION PHASES ⓬     </t>
  </si>
  <si>
    <t>Ajouter la crème hors du feu pour éviter de trancher.</t>
  </si>
  <si>
    <t>Add cream off heat to prevent splitting.</t>
  </si>
  <si>
    <t>Añadir la nata fuera del fuego para evitar corte.</t>
  </si>
  <si>
    <t>Pendant la cuisson, pour brillance et moelleux.</t>
  </si>
  <si>
    <t>Baste during cooking for shine/moisture.</t>
  </si>
  <si>
    <t>Rociar durante la cocción para brillo/jugosidad.</t>
  </si>
  <si>
    <t>Graisser généreusement moules/plats pour anti-adhérence.</t>
  </si>
  <si>
    <t>Generously butter molds/pans to prevent sticking.</t>
  </si>
  <si>
    <t>Enmantequillar moldes/bandejas para antiadherencia.</t>
  </si>
  <si>
    <t>Gros bouillons, surveiller évaporation et débordement.</t>
  </si>
  <si>
    <t>Full boil; watch evaporation/boil-over.</t>
  </si>
  <si>
    <t>Hervor fuerte; vigilar evaporación/derrame.</t>
  </si>
  <si>
    <t>Très fin pour échalotes/herbes, couteau bien affûté.</t>
  </si>
  <si>
    <t>Very fine mince for shallots/herbs; sharp knife.</t>
  </si>
  <si>
    <t>Picar finísimo chalotas/hierbas; cuchillo afilado.</t>
  </si>
  <si>
    <t>Couper grossier, taille régulière (tomates, fruits secs).</t>
  </si>
  <si>
    <t>Rough chop, even size (tomatoes, nuts).</t>
  </si>
  <si>
    <t>Picar grueso, tamaño parejo (tomate, frutos).</t>
  </si>
  <si>
    <t>Transférer proprement en récipient identifié.</t>
  </si>
  <si>
    <t>Transfer neatly to a labeled container.</t>
  </si>
  <si>
    <t>Pasar limpiamente a recipiente etiquetado.</t>
  </si>
  <si>
    <t>Dissoudre sucs avec vin/fond; réduire avant lier.</t>
  </si>
  <si>
    <t>Deglaze with wine/stock; reduce before thickening.</t>
  </si>
  <si>
    <t>Desglasar con vino/fondo; reducir antes de ligar.</t>
  </si>
  <si>
    <t>Écumer gras en surface pour sauce plus nette.</t>
  </si>
  <si>
    <t>Skim surface fat for cleaner sauce.</t>
  </si>
  <si>
    <t>Desgrasar la superficie para salsa limpia.</t>
  </si>
  <si>
    <t>Retirer peau/peaux (poisson/sauce) pour fini net.</t>
  </si>
  <si>
    <t>Remove skin/scum for clean finish.</t>
  </si>
  <si>
    <t>Desollar/retirar natas para acabado limpio.</t>
  </si>
  <si>
    <t>Mélanger poudres/liquide sans grumeaux.</t>
  </si>
  <si>
    <t>Disperse powders in liquid lump-free.</t>
  </si>
  <si>
    <t>Dispersar polvos en líquido sin grumos.</t>
  </si>
  <si>
    <t>Pocher régulier; même poids/espacement.</t>
  </si>
  <si>
    <t>Pipe evenly; consistent weight/spacing.</t>
  </si>
  <si>
    <t>Escudillar parejo; peso/espaciado constantes.</t>
  </si>
  <si>
    <t>Laisser s’écouler sans presser pour garder texture.</t>
  </si>
  <si>
    <t>Drain without pressing to keep texture.</t>
  </si>
  <si>
    <t>Escurrir sin presionar para conservar textura.</t>
  </si>
  <si>
    <t>Four préchauffé; charger vite pour stabilité T°.</t>
  </si>
  <si>
    <t>Preheated oven; load quickly to keep temp.</t>
  </si>
  <si>
    <t>Horno precalentado; cargar rápido para mantener T°.</t>
  </si>
  <si>
    <t>Cuisson douce, couvercle; sans coloration.</t>
  </si>
  <si>
    <t>Gentle, covered; no browning.</t>
  </si>
  <si>
    <t>Cocción suave, tapado; sin dorar.</t>
  </si>
  <si>
    <t>Ajouter progressivement sans faire retomber.</t>
  </si>
  <si>
    <t>Add gradually without deflating.</t>
  </si>
  <si>
    <t>Incorporar poco a poco sin bajar la mezcla.</t>
  </si>
  <si>
    <t>Hors du feu, beurre froid en dés; ne pas bouillir.</t>
  </si>
  <si>
    <t>Off heat, cold diced butter; do not boil.</t>
  </si>
  <si>
    <t>Fuera del fuego, mantequilla fría en dados; no hervir.</t>
  </si>
  <si>
    <t>Chinois/tamis; presser sans forcer les fibres.</t>
  </si>
  <si>
    <t>Strain through chinois/sieve; press gently.</t>
  </si>
  <si>
    <t>Colar por chino/tamiz; presionar suavemente.</t>
  </si>
  <si>
    <t>Balance étalonnée; tare avant pesée.</t>
  </si>
  <si>
    <t>Calibrated scale; tare before weighing.</t>
  </si>
  <si>
    <t>Balanza calibrada; tara antes de pesar.</t>
  </si>
  <si>
    <t>70–85 °C; liquide aromatisé; sans ébullition.</t>
  </si>
  <si>
    <t>70–85 °C; flavored liquid; no boil.</t>
  </si>
  <si>
    <t>70–85 °C; líquido aromatizado; sin hervir.</t>
  </si>
  <si>
    <t>Atteindre T° cible avant d’enfourner.</t>
  </si>
  <si>
    <t>Reach target temp before loading.</t>
  </si>
  <si>
    <t>Alcanzar T° objetivo antes de hornear.</t>
  </si>
  <si>
    <t>Cellule; barquette peu profonde; étiqueter.</t>
  </si>
  <si>
    <t>Blast-chill; shallow pan; label.</t>
  </si>
  <si>
    <t>Abatidor; cubeta baja; etiquetar.</t>
  </si>
  <si>
    <t>Mettre en attente (chaud/froid) selon protocole.</t>
  </si>
  <si>
    <t>Hold (hot/cold) per SOP.</t>
  </si>
  <si>
    <t>Reservar (caliente/frío) según POE.</t>
  </si>
  <si>
    <t>Salage progressif; tenir compte des réductions.</t>
  </si>
  <si>
    <t>Season with salt progressively; consider reductions.</t>
  </si>
  <si>
    <t>Salar gradualmente; considerar reducciones.</t>
  </si>
  <si>
    <t>Couches fines et régulières; tamis si poudre fine.</t>
  </si>
  <si>
    <t>Light, even dusting; sieve for fine powders.</t>
  </si>
  <si>
    <t>Espolvoreo fino y uniforme; tamiz si es polvo fino.</t>
  </si>
  <si>
    <t>Feu vif; petite quantité; mouvement constant.</t>
  </si>
  <si>
    <t>High heat; small quantity; constant movement.</t>
  </si>
  <si>
    <t>Fuego fuerte; poca carga; mover continuo.</t>
  </si>
  <si>
    <t>Choisir l’outil adapté (taille/matière/usage).</t>
  </si>
  <si>
    <t>Choose the right tool (size/material/use).</t>
  </si>
  <si>
    <t>Elegir la herramienta adecuada (tamaño/material/uso).</t>
  </si>
  <si>
    <t>Température et dressage conformes; envoi rapide.</t>
  </si>
  <si>
    <t>Correct temp &amp; plating; send promptly.</t>
  </si>
  <si>
    <t>Temperatura y emplatado correctos; salida rápida.</t>
  </si>
  <si>
    <t>Pointe au centre; nettoyer/ désinfecter la sonde.</t>
  </si>
  <si>
    <t>Probe at core; clean/sanitize probe.</t>
  </si>
  <si>
    <t>Sonda al corazón; limpiar/desinfectar la sonda.</t>
  </si>
  <si>
    <t>Zone dédiée, FIFO/FEFO, couvercle/film.</t>
  </si>
  <si>
    <t>Dedicated zone, FIFO/FEFO, covered.</t>
  </si>
  <si>
    <t>Zona dedicada, FIFO/FEFO, tapado.</t>
  </si>
  <si>
    <t>Respect strict des procédures/temps/T°.</t>
  </si>
  <si>
    <t>Strictly follow procedures/times/temps.</t>
  </si>
  <si>
    <t>Seguir estrictamente procedimientos/tiempos/T°.</t>
  </si>
  <si>
    <t>Contrôler dates et températures, noter écarts.</t>
  </si>
  <si>
    <t>Check dates and temps; log deviations.</t>
  </si>
  <si>
    <t>Verificar fechas y temperaturas; registrar desvíos.</t>
  </si>
  <si>
    <r>
      <t>generar</t>
    </r>
    <r>
      <rPr>
        <i/>
        <sz val="11"/>
        <color theme="5" tint="-0.499984740745262"/>
        <rFont val="Calibri"/>
        <family val="2"/>
        <scheme val="minor"/>
      </rPr>
      <t>; producir</t>
    </r>
  </si>
  <si>
    <r>
      <t>gestionar</t>
    </r>
    <r>
      <rPr>
        <sz val="11"/>
        <color theme="5" tint="-0.499984740745262"/>
        <rFont val="Calibri"/>
        <family val="2"/>
        <scheme val="minor"/>
      </rPr>
      <t>; manejar; administrar</t>
    </r>
  </si>
  <si>
    <r>
      <t>liquidar</t>
    </r>
    <r>
      <rPr>
        <sz val="11"/>
        <color theme="5" tint="-0.499984740745262"/>
        <rFont val="Calibri"/>
        <family val="2"/>
        <scheme val="minor"/>
      </rPr>
      <t xml:space="preserve">; </t>
    </r>
    <r>
      <rPr>
        <b/>
        <sz val="11"/>
        <color theme="5" tint="-0.499984740745262"/>
        <rFont val="Calibri"/>
        <family val="2"/>
        <scheme val="minor"/>
      </rPr>
      <t>dar salida</t>
    </r>
    <r>
      <rPr>
        <sz val="11"/>
        <color theme="5" tint="-0.499984740745262"/>
        <rFont val="Calibri"/>
        <family val="2"/>
        <scheme val="minor"/>
      </rPr>
      <t>; drenar</t>
    </r>
  </si>
  <si>
    <r>
      <t>escribir</t>
    </r>
    <r>
      <rPr>
        <sz val="11"/>
        <color theme="5" tint="-0.499984740745262"/>
        <rFont val="Calibri"/>
        <family val="2"/>
        <scheme val="minor"/>
      </rPr>
      <t>; redactar</t>
    </r>
  </si>
  <si>
    <r>
      <t>edificar</t>
    </r>
    <r>
      <rPr>
        <sz val="11"/>
        <color theme="5" tint="-0.499984740745262"/>
        <rFont val="Calibri"/>
        <family val="2"/>
        <scheme val="minor"/>
      </rPr>
      <t>; construir</t>
    </r>
  </si>
  <si>
    <r>
      <t>usar</t>
    </r>
    <r>
      <rPr>
        <sz val="11"/>
        <color theme="5" tint="-0.499984740745262"/>
        <rFont val="Calibri"/>
        <family val="2"/>
        <scheme val="minor"/>
      </rPr>
      <t>; emplear</t>
    </r>
  </si>
  <si>
    <r>
      <t>registrar</t>
    </r>
    <r>
      <rPr>
        <sz val="11"/>
        <color theme="5" tint="-0.499984740745262"/>
        <rFont val="Calibri"/>
        <family val="2"/>
        <scheme val="minor"/>
      </rPr>
      <t xml:space="preserve">; </t>
    </r>
    <r>
      <rPr>
        <b/>
        <sz val="11"/>
        <color theme="5" tint="-0.499984740745262"/>
        <rFont val="Calibri"/>
        <family val="2"/>
        <scheme val="minor"/>
      </rPr>
      <t>guardar</t>
    </r>
    <r>
      <rPr>
        <sz val="11"/>
        <color theme="5" tint="-0.499984740745262"/>
        <rFont val="Calibri"/>
        <family val="2"/>
        <scheme val="minor"/>
      </rPr>
      <t xml:space="preserve"> (archivo)</t>
    </r>
  </si>
  <si>
    <r>
      <t>mantener</t>
    </r>
    <r>
      <rPr>
        <sz val="11"/>
        <color theme="5" tint="-0.499984740745262"/>
        <rFont val="Calibri"/>
        <family val="2"/>
        <scheme val="minor"/>
      </rPr>
      <t>; dar mantenimiento</t>
    </r>
  </si>
  <si>
    <r>
      <t>enviar</t>
    </r>
    <r>
      <rPr>
        <sz val="11"/>
        <color theme="5" tint="-0.499984740745262"/>
        <rFont val="Calibri"/>
        <family val="2"/>
        <scheme val="minor"/>
      </rPr>
      <t>; despachar</t>
    </r>
  </si>
  <si>
    <r>
      <t>erigir</t>
    </r>
    <r>
      <rPr>
        <sz val="11"/>
        <color theme="5" tint="-0.499984740745262"/>
        <rFont val="Calibri"/>
        <family val="2"/>
        <scheme val="minor"/>
      </rPr>
      <t>; levantar</t>
    </r>
  </si>
  <si>
    <r>
      <t>establecer</t>
    </r>
    <r>
      <rPr>
        <sz val="11"/>
        <color theme="5" tint="-0.499984740745262"/>
        <rFont val="Calibri"/>
        <family val="2"/>
        <scheme val="minor"/>
      </rPr>
      <t xml:space="preserve">; </t>
    </r>
    <r>
      <rPr>
        <b/>
        <sz val="11"/>
        <color theme="5" tint="-0.499984740745262"/>
        <rFont val="Calibri"/>
        <family val="2"/>
        <scheme val="minor"/>
      </rPr>
      <t>redactar</t>
    </r>
  </si>
  <si>
    <r>
      <t>extender</t>
    </r>
    <r>
      <rPr>
        <sz val="11"/>
        <color theme="5" tint="-0.499984740745262"/>
        <rFont val="Calibri"/>
        <family val="2"/>
        <scheme val="minor"/>
      </rPr>
      <t>; desplegar</t>
    </r>
  </si>
  <si>
    <r>
      <t>examinar</t>
    </r>
    <r>
      <rPr>
        <sz val="11"/>
        <color theme="5" tint="-0.499984740745262"/>
        <rFont val="Calibri"/>
        <family val="2"/>
        <scheme val="minor"/>
      </rPr>
      <t>; inspeccionar</t>
    </r>
  </si>
  <si>
    <r>
      <t>ejecutar</t>
    </r>
    <r>
      <rPr>
        <sz val="11"/>
        <color theme="5" tint="-0.499984740745262"/>
        <rFont val="Calibri"/>
        <family val="2"/>
        <scheme val="minor"/>
      </rPr>
      <t>; correr (proceso)</t>
    </r>
  </si>
  <si>
    <r>
      <t>operar</t>
    </r>
    <r>
      <rPr>
        <sz val="11"/>
        <color theme="5" tint="-0.499984740745262"/>
        <rFont val="Calibri"/>
        <family val="2"/>
        <scheme val="minor"/>
      </rPr>
      <t xml:space="preserve">; </t>
    </r>
    <r>
      <rPr>
        <b/>
        <sz val="11"/>
        <color theme="5" tint="-0.499984740745262"/>
        <rFont val="Calibri"/>
        <family val="2"/>
        <scheme val="minor"/>
      </rPr>
      <t>aprovechar</t>
    </r>
  </si>
  <si>
    <r>
      <t>efectuar</t>
    </r>
    <r>
      <rPr>
        <sz val="11"/>
        <color theme="5" tint="-0.499984740745262"/>
        <rFont val="Calibri"/>
        <family val="2"/>
        <scheme val="minor"/>
      </rPr>
      <t>; realizar</t>
    </r>
  </si>
  <si>
    <r>
      <t>descentralizar</t>
    </r>
    <r>
      <rPr>
        <sz val="11"/>
        <color theme="5" tint="-0.499984740745262"/>
        <rFont val="Calibri"/>
        <family val="2"/>
        <scheme val="minor"/>
      </rPr>
      <t>; delegar competencias</t>
    </r>
  </si>
  <si>
    <r>
      <t>documentar</t>
    </r>
    <r>
      <rPr>
        <sz val="11"/>
        <color theme="5" tint="-0.499984740745262"/>
        <rFont val="Calibri"/>
        <family val="2"/>
        <scheme val="minor"/>
      </rPr>
      <t>; registrar</t>
    </r>
  </si>
  <si>
    <r>
      <t>calcular</t>
    </r>
    <r>
      <rPr>
        <sz val="11"/>
        <color theme="5" tint="-0.499984740745262"/>
        <rFont val="Calibri"/>
        <family val="2"/>
        <scheme val="minor"/>
      </rPr>
      <t>; computar</t>
    </r>
  </si>
  <si>
    <r>
      <t>catalogar</t>
    </r>
    <r>
      <rPr>
        <sz val="11"/>
        <color theme="5" tint="-0.499984740745262"/>
        <rFont val="Calibri"/>
        <family val="2"/>
        <scheme val="minor"/>
      </rPr>
      <t>; clasificar</t>
    </r>
  </si>
  <si>
    <r>
      <t>centralizar</t>
    </r>
    <r>
      <rPr>
        <sz val="11"/>
        <color theme="5" tint="-0.499984740745262"/>
        <rFont val="Calibri"/>
        <family val="2"/>
        <scheme val="minor"/>
      </rPr>
      <t>; consolidar</t>
    </r>
  </si>
  <si>
    <r>
      <t>buscar</t>
    </r>
    <r>
      <rPr>
        <sz val="11"/>
        <color theme="5" tint="-0.499984740745262"/>
        <rFont val="Calibri"/>
        <family val="2"/>
        <scheme val="minor"/>
      </rPr>
      <t>; investigar</t>
    </r>
  </si>
  <si>
    <r>
      <t>clasificar</t>
    </r>
    <r>
      <rPr>
        <sz val="11"/>
        <color theme="5" tint="-0.499984740745262"/>
        <rFont val="Calibri"/>
        <family val="2"/>
        <scheme val="minor"/>
      </rPr>
      <t>; categorizar</t>
    </r>
  </si>
  <si>
    <r>
      <t>pedir</t>
    </r>
    <r>
      <rPr>
        <sz val="11"/>
        <color theme="5" tint="-0.499984740745262"/>
        <rFont val="Calibri"/>
        <family val="2"/>
        <scheme val="minor"/>
      </rPr>
      <t>; hacer un pedido</t>
    </r>
  </si>
  <si>
    <r>
      <t>compilar</t>
    </r>
    <r>
      <rPr>
        <sz val="11"/>
        <color theme="5" tint="-0.499984740745262"/>
        <rFont val="Calibri"/>
        <family val="2"/>
        <scheme val="minor"/>
      </rPr>
      <t>; recopilar</t>
    </r>
  </si>
  <si>
    <r>
      <t>contar</t>
    </r>
    <r>
      <rPr>
        <sz val="11"/>
        <color theme="5" tint="-0.499984740745262"/>
        <rFont val="Calibri"/>
        <family val="2"/>
        <scheme val="minor"/>
      </rPr>
      <t>; contabilizar</t>
    </r>
  </si>
  <si>
    <r>
      <t>cultivar</t>
    </r>
    <r>
      <rPr>
        <sz val="11"/>
        <color theme="5" tint="-0.499984740745262"/>
        <rFont val="Calibri"/>
        <family val="2"/>
        <scheme val="minor"/>
      </rPr>
      <t>; criar</t>
    </r>
  </si>
  <si>
    <r>
      <t xml:space="preserve">Cultivar hierbas/masas madre; desarrollar </t>
    </r>
    <r>
      <rPr>
        <i/>
        <sz val="11"/>
        <color theme="5" tint="-0.499984740745262"/>
        <rFont val="Calibri"/>
        <family val="2"/>
        <scheme val="minor"/>
      </rPr>
      <t>know-how</t>
    </r>
    <r>
      <rPr>
        <sz val="11"/>
        <color theme="5" tint="-0.499984740745262"/>
        <rFont val="Calibri"/>
        <family val="2"/>
        <scheme val="minor"/>
      </rPr>
      <t>/equipo.</t>
    </r>
  </si>
  <si>
    <r>
      <t>barrer</t>
    </r>
    <r>
      <rPr>
        <sz val="11"/>
        <color theme="5" tint="-0.499984740745262"/>
        <rFont val="Calibri"/>
        <family val="2"/>
        <scheme val="minor"/>
      </rPr>
      <t xml:space="preserve">; </t>
    </r>
    <r>
      <rPr>
        <b/>
        <sz val="11"/>
        <color theme="5" tint="-0.499984740745262"/>
        <rFont val="Calibri"/>
        <family val="2"/>
        <scheme val="minor"/>
      </rPr>
      <t>barrer el suelo</t>
    </r>
    <r>
      <rPr>
        <sz val="11"/>
        <color theme="5" tint="-0.499984740745262"/>
        <rFont val="Calibri"/>
        <family val="2"/>
        <scheme val="minor"/>
      </rPr>
      <t xml:space="preserve"> / </t>
    </r>
    <r>
      <rPr>
        <b/>
        <sz val="11"/>
        <color theme="5" tint="-0.499984740745262"/>
        <rFont val="Calibri"/>
        <family val="2"/>
        <scheme val="minor"/>
      </rPr>
      <t>barrer</t>
    </r>
  </si>
  <si>
    <r>
      <t>señalizar</t>
    </r>
    <r>
      <rPr>
        <sz val="11"/>
        <color theme="5" tint="-0.499984740745262"/>
        <rFont val="Calibri"/>
        <family val="2"/>
        <scheme val="minor"/>
      </rPr>
      <t>; balizar</t>
    </r>
  </si>
  <si>
    <r>
      <t>tachar</t>
    </r>
    <r>
      <rPr>
        <sz val="11"/>
        <color theme="5" tint="-0.499984740745262"/>
        <rFont val="Calibri"/>
        <family val="2"/>
        <scheme val="minor"/>
      </rPr>
      <t xml:space="preserve">; </t>
    </r>
    <r>
      <rPr>
        <b/>
        <sz val="11"/>
        <color theme="5" tint="-0.499984740745262"/>
        <rFont val="Calibri"/>
        <family val="2"/>
        <scheme val="minor"/>
      </rPr>
      <t>rayar</t>
    </r>
  </si>
  <si>
    <r>
      <t>cambiar</t>
    </r>
    <r>
      <rPr>
        <sz val="11"/>
        <color theme="5" tint="-0.499984740745262"/>
        <rFont val="Calibri"/>
        <family val="2"/>
        <scheme val="minor"/>
      </rPr>
      <t>; conmutar</t>
    </r>
  </si>
  <si>
    <r>
      <t>construir</t>
    </r>
    <r>
      <rPr>
        <sz val="11"/>
        <color theme="5" tint="-0.499984740745262"/>
        <rFont val="Calibri"/>
        <family val="2"/>
        <scheme val="minor"/>
      </rPr>
      <t>; edificar</t>
    </r>
  </si>
  <si>
    <r>
      <t>atornillar con perno</t>
    </r>
    <r>
      <rPr>
        <sz val="11"/>
        <color theme="5" tint="-0.499984740745262"/>
        <rFont val="Calibri"/>
        <family val="2"/>
        <scheme val="minor"/>
      </rPr>
      <t>; pernar/atornillar</t>
    </r>
  </si>
  <si>
    <r>
      <t>enchufar</t>
    </r>
    <r>
      <rPr>
        <sz val="11"/>
        <color theme="5" tint="-0.499984740745262"/>
        <rFont val="Calibri"/>
        <family val="2"/>
        <scheme val="minor"/>
      </rPr>
      <t>; conectar</t>
    </r>
  </si>
  <si>
    <r>
      <t>briefe ar</t>
    </r>
    <r>
      <rPr>
        <sz val="11"/>
        <color theme="5" tint="-0.499984740745262"/>
        <rFont val="Calibri"/>
        <family val="2"/>
        <scheme val="minor"/>
      </rPr>
      <t xml:space="preserve"> / </t>
    </r>
    <r>
      <rPr>
        <b/>
        <sz val="11"/>
        <color theme="5" tint="-0.499984740745262"/>
        <rFont val="Calibri"/>
        <family val="2"/>
        <scheme val="minor"/>
      </rPr>
      <t>dar un briefing</t>
    </r>
    <r>
      <rPr>
        <sz val="11"/>
        <color theme="5" tint="-0.499984740745262"/>
        <rFont val="Calibri"/>
        <family val="2"/>
        <scheme val="minor"/>
      </rPr>
      <t>; informar</t>
    </r>
  </si>
  <si>
    <r>
      <t>pulir</t>
    </r>
    <r>
      <rPr>
        <sz val="11"/>
        <color theme="5" tint="-0.499984740745262"/>
        <rFont val="Calibri"/>
        <family val="2"/>
        <scheme val="minor"/>
      </rPr>
      <t>; abrillantar</t>
    </r>
  </si>
  <si>
    <r>
      <t>presupuestar</t>
    </r>
    <r>
      <rPr>
        <sz val="11"/>
        <color theme="5" tint="-0.499984740745262"/>
        <rFont val="Calibri"/>
        <family val="2"/>
        <scheme val="minor"/>
      </rPr>
      <t>; costear</t>
    </r>
  </si>
  <si>
    <r>
      <t>realizar</t>
    </r>
    <r>
      <rPr>
        <sz val="11"/>
        <color theme="5" tint="-0.499984740745262"/>
        <rFont val="Calibri"/>
        <family val="2"/>
        <scheme val="minor"/>
      </rPr>
      <t xml:space="preserve">; </t>
    </r>
    <r>
      <rPr>
        <b/>
        <sz val="11"/>
        <color theme="5" tint="-0.499984740745262"/>
        <rFont val="Calibri"/>
        <family val="2"/>
        <scheme val="minor"/>
      </rPr>
      <t>llevar a cabo</t>
    </r>
    <r>
      <rPr>
        <sz val="11"/>
        <color theme="5" tint="-0.499984740745262"/>
        <rFont val="Calibri"/>
        <family val="2"/>
        <scheme val="minor"/>
      </rPr>
      <t>; cumplir</t>
    </r>
  </si>
  <si>
    <r>
      <t>comprar</t>
    </r>
    <r>
      <rPr>
        <sz val="11"/>
        <color theme="5" tint="-0.499984740745262"/>
        <rFont val="Calibri"/>
        <family val="2"/>
        <scheme val="minor"/>
      </rPr>
      <t>; adquirir</t>
    </r>
  </si>
  <si>
    <r>
      <t>completar</t>
    </r>
    <r>
      <rPr>
        <sz val="11"/>
        <color theme="5" tint="-0.499984740745262"/>
        <rFont val="Calibri"/>
        <family val="2"/>
        <scheme val="minor"/>
      </rPr>
      <t>; terminar</t>
    </r>
  </si>
  <si>
    <r>
      <t>activar</t>
    </r>
    <r>
      <rPr>
        <sz val="11"/>
        <color theme="5" tint="-0.499984740745262"/>
        <rFont val="Calibri"/>
        <family val="2"/>
        <scheme val="minor"/>
      </rPr>
      <t>; agilizar; acelerar</t>
    </r>
  </si>
  <si>
    <r>
      <t>mostrar</t>
    </r>
    <r>
      <rPr>
        <sz val="11"/>
        <color theme="5" tint="-0.499984740745262"/>
        <rFont val="Calibri"/>
        <family val="2"/>
        <scheme val="minor"/>
      </rPr>
      <t>; exhibir</t>
    </r>
  </si>
  <si>
    <r>
      <t>ampliar</t>
    </r>
    <r>
      <rPr>
        <sz val="11"/>
        <color theme="5" tint="-0.499984740745262"/>
        <rFont val="Calibri"/>
        <family val="2"/>
        <scheme val="minor"/>
      </rPr>
      <t>; agrandar</t>
    </r>
  </si>
  <si>
    <r>
      <t>ajustar</t>
    </r>
    <r>
      <rPr>
        <sz val="11"/>
        <color theme="5" tint="-0.499984740745262"/>
        <rFont val="Calibri"/>
        <family val="2"/>
        <scheme val="minor"/>
      </rPr>
      <t>; afinar</t>
    </r>
  </si>
  <si>
    <r>
      <t>asignar</t>
    </r>
    <r>
      <rPr>
        <sz val="11"/>
        <color theme="5" tint="-0.499984740745262"/>
        <rFont val="Calibri"/>
        <family val="2"/>
        <scheme val="minor"/>
      </rPr>
      <t xml:space="preserve">; </t>
    </r>
    <r>
      <rPr>
        <b/>
        <sz val="11"/>
        <color theme="5" tint="-0.499984740745262"/>
        <rFont val="Calibri"/>
        <family val="2"/>
        <scheme val="minor"/>
      </rPr>
      <t>destinar</t>
    </r>
  </si>
  <si>
    <r>
      <t>encender</t>
    </r>
    <r>
      <rPr>
        <sz val="11"/>
        <color theme="5" tint="-0.499984740745262"/>
        <rFont val="Calibri"/>
        <family val="2"/>
        <scheme val="minor"/>
      </rPr>
      <t>; prender</t>
    </r>
  </si>
  <si>
    <r>
      <t>acondicionar</t>
    </r>
    <r>
      <rPr>
        <sz val="11"/>
        <color theme="5" tint="-0.499984740745262"/>
        <rFont val="Calibri"/>
        <family val="2"/>
        <scheme val="minor"/>
      </rPr>
      <t>; organizar; habilitar</t>
    </r>
  </si>
  <si>
    <r>
      <t>analizar</t>
    </r>
    <r>
      <rPr>
        <sz val="11"/>
        <color theme="5" tint="-0.499984740745262"/>
        <rFont val="Calibri"/>
        <family val="2"/>
        <scheme val="minor"/>
      </rPr>
      <t>; evaluar</t>
    </r>
  </si>
  <si>
    <r>
      <t>cancelar</t>
    </r>
    <r>
      <rPr>
        <sz val="11"/>
        <color theme="5" tint="-0.499984740745262"/>
        <rFont val="Calibri"/>
        <family val="2"/>
        <scheme val="minor"/>
      </rPr>
      <t>; anular</t>
    </r>
  </si>
  <si>
    <r>
      <t>anticipar</t>
    </r>
    <r>
      <rPr>
        <sz val="11"/>
        <color theme="5" tint="-0.499984740745262"/>
        <rFont val="Calibri"/>
        <family val="2"/>
        <scheme val="minor"/>
      </rPr>
      <t>; prever</t>
    </r>
  </si>
  <si>
    <r>
      <t>aplicar</t>
    </r>
    <r>
      <rPr>
        <sz val="11"/>
        <color theme="5" tint="-0.499984740745262"/>
        <rFont val="Calibri"/>
        <family val="2"/>
        <scheme val="minor"/>
      </rPr>
      <t>; implementar</t>
    </r>
  </si>
  <si>
    <r>
      <t>aprobar</t>
    </r>
    <r>
      <rPr>
        <sz val="11"/>
        <color theme="5" tint="-0.499984740745262"/>
        <rFont val="Calibri"/>
        <family val="2"/>
        <scheme val="minor"/>
      </rPr>
      <t>; validar</t>
    </r>
  </si>
  <si>
    <r>
      <t>aprovisionar</t>
    </r>
    <r>
      <rPr>
        <sz val="11"/>
        <color theme="5" tint="-0.499984740745262"/>
        <rFont val="Calibri"/>
        <family val="2"/>
        <scheme val="minor"/>
      </rPr>
      <t>; abastecer</t>
    </r>
  </si>
  <si>
    <r>
      <t>parar</t>
    </r>
    <r>
      <rPr>
        <sz val="11"/>
        <color theme="5" tint="-0.499984740745262"/>
        <rFont val="Calibri"/>
        <family val="2"/>
        <scheme val="minor"/>
      </rPr>
      <t xml:space="preserve">; </t>
    </r>
    <r>
      <rPr>
        <b/>
        <sz val="11"/>
        <color theme="5" tint="-0.499984740745262"/>
        <rFont val="Calibri"/>
        <family val="2"/>
        <scheme val="minor"/>
      </rPr>
      <t>detener</t>
    </r>
  </si>
  <si>
    <r>
      <t>amarrar</t>
    </r>
    <r>
      <rPr>
        <sz val="11"/>
        <color theme="5" tint="-0.499984740745262"/>
        <rFont val="Calibri"/>
        <family val="2"/>
        <scheme val="minor"/>
      </rPr>
      <t>; asegurar</t>
    </r>
  </si>
  <si>
    <r>
      <t>articular</t>
    </r>
    <r>
      <rPr>
        <sz val="11"/>
        <color theme="5" tint="-0.499984740745262"/>
        <rFont val="Calibri"/>
        <family val="2"/>
        <scheme val="minor"/>
      </rPr>
      <t>; estructurar</t>
    </r>
  </si>
  <si>
    <r>
      <t>sanear</t>
    </r>
    <r>
      <rPr>
        <sz val="11"/>
        <color theme="5" tint="-0.499984740745262"/>
        <rFont val="Calibri"/>
        <family val="2"/>
        <scheme val="minor"/>
      </rPr>
      <t>; desinfectar</t>
    </r>
  </si>
  <si>
    <r>
      <t>asistir</t>
    </r>
    <r>
      <rPr>
        <sz val="11"/>
        <color theme="5" tint="-0.499984740745262"/>
        <rFont val="Calibri"/>
        <family val="2"/>
        <scheme val="minor"/>
      </rPr>
      <t>; ayudar</t>
    </r>
  </si>
  <si>
    <r>
      <t>asegurar</t>
    </r>
    <r>
      <rPr>
        <sz val="11"/>
        <color theme="5" tint="-0.499984740745262"/>
        <rFont val="Calibri"/>
        <family val="2"/>
        <scheme val="minor"/>
      </rPr>
      <t>; garantizar</t>
    </r>
  </si>
  <si>
    <r>
      <t>adjuntar</t>
    </r>
    <r>
      <rPr>
        <sz val="11"/>
        <color theme="5" tint="-0.499984740745262"/>
        <rFont val="Calibri"/>
        <family val="2"/>
        <scheme val="minor"/>
      </rPr>
      <t xml:space="preserve"> (fichier); sujetar/atar</t>
    </r>
  </si>
  <si>
    <r>
      <t>mitigar</t>
    </r>
    <r>
      <rPr>
        <sz val="11"/>
        <color theme="5" tint="-0.499984740745262"/>
        <rFont val="Calibri"/>
        <family val="2"/>
        <scheme val="minor"/>
      </rPr>
      <t>; atenuar</t>
    </r>
  </si>
  <si>
    <r>
      <t>certificar</t>
    </r>
    <r>
      <rPr>
        <sz val="11"/>
        <color theme="5" tint="-0.499984740745262"/>
        <rFont val="Calibri"/>
        <family val="2"/>
        <scheme val="minor"/>
      </rPr>
      <t xml:space="preserve">; </t>
    </r>
    <r>
      <rPr>
        <b/>
        <sz val="11"/>
        <color theme="5" tint="-0.499984740745262"/>
        <rFont val="Calibri"/>
        <family val="2"/>
        <scheme val="minor"/>
      </rPr>
      <t>atestiguar</t>
    </r>
  </si>
  <si>
    <r>
      <t>asignar</t>
    </r>
    <r>
      <rPr>
        <sz val="11"/>
        <color theme="5" tint="-0.499984740745262"/>
        <rFont val="Calibri"/>
        <family val="2"/>
        <scheme val="minor"/>
      </rPr>
      <t>; adjudicar/atribuir</t>
    </r>
  </si>
  <si>
    <r>
      <t>auditar</t>
    </r>
    <r>
      <rPr>
        <sz val="11"/>
        <color theme="5" tint="-0.499984740745262"/>
        <rFont val="Calibri"/>
        <family val="2"/>
        <scheme val="minor"/>
      </rPr>
      <t>; revisar</t>
    </r>
  </si>
  <si>
    <r>
      <t>aumentar</t>
    </r>
    <r>
      <rPr>
        <sz val="11"/>
        <color theme="5" tint="-0.499984740745262"/>
        <rFont val="Calibri"/>
        <family val="2"/>
        <scheme val="minor"/>
      </rPr>
      <t>; incrementar</t>
    </r>
  </si>
  <si>
    <r>
      <t>autenticar</t>
    </r>
    <r>
      <rPr>
        <sz val="11"/>
        <color theme="5" tint="-0.499984740745262"/>
        <rFont val="Calibri"/>
        <family val="2"/>
        <scheme val="minor"/>
      </rPr>
      <t>; verificar</t>
    </r>
  </si>
  <si>
    <r>
      <t>autorizar</t>
    </r>
    <r>
      <rPr>
        <sz val="11"/>
        <color theme="5" tint="-0.499984740745262"/>
        <rFont val="Calibri"/>
        <family val="2"/>
        <scheme val="minor"/>
      </rPr>
      <t>; permitir</t>
    </r>
  </si>
  <si>
    <r>
      <t>avisar</t>
    </r>
    <r>
      <rPr>
        <sz val="11"/>
        <color theme="5" tint="-0.499984740745262"/>
        <rFont val="Calibri"/>
        <family val="2"/>
        <scheme val="minor"/>
      </rPr>
      <t>; advertir</t>
    </r>
  </si>
  <si>
    <r>
      <t>notificar</t>
    </r>
    <r>
      <rPr>
        <sz val="11"/>
        <color theme="5" tint="-0.499984740745262"/>
        <rFont val="Calibri"/>
        <family val="2"/>
        <scheme val="minor"/>
      </rPr>
      <t>; informar</t>
    </r>
  </si>
  <si>
    <r>
      <t>maniobrar</t>
    </r>
    <r>
      <rPr>
        <sz val="11"/>
        <color theme="5" tint="-0.499984740745262"/>
        <rFont val="Calibri"/>
        <family val="2"/>
        <scheme val="minor"/>
      </rPr>
      <t>; operar; conducir</t>
    </r>
  </si>
  <si>
    <r>
      <t>poner</t>
    </r>
    <r>
      <rPr>
        <sz val="11"/>
        <color theme="5" tint="-0.499984740745262"/>
        <rFont val="Calibri"/>
        <family val="2"/>
        <scheme val="minor"/>
      </rPr>
      <t>; colocar</t>
    </r>
  </si>
  <si>
    <r>
      <t xml:space="preserve">Verbe générique → préférer précis : </t>
    </r>
    <r>
      <rPr>
        <i/>
        <sz val="11"/>
        <color theme="5" tint="-0.499984740745262"/>
        <rFont val="Calibri"/>
        <family val="2"/>
        <scheme val="minor"/>
      </rPr>
      <t>mettre en marche</t>
    </r>
    <r>
      <rPr>
        <sz val="11"/>
        <color theme="5" tint="-0.499984740745262"/>
        <rFont val="Calibri"/>
        <family val="2"/>
        <scheme val="minor"/>
      </rPr>
      <t xml:space="preserve"> = </t>
    </r>
    <r>
      <rPr>
        <b/>
        <sz val="11"/>
        <color theme="5" tint="-0.499984740745262"/>
        <rFont val="Calibri"/>
        <family val="2"/>
        <scheme val="minor"/>
      </rPr>
      <t>start/turn on</t>
    </r>
    <r>
      <rPr>
        <sz val="11"/>
        <color theme="5" tint="-0.499984740745262"/>
        <rFont val="Calibri"/>
        <family val="2"/>
        <scheme val="minor"/>
      </rPr>
      <t xml:space="preserve"> (ES: </t>
    </r>
    <r>
      <rPr>
        <b/>
        <sz val="11"/>
        <color theme="5" tint="-0.499984740745262"/>
        <rFont val="Calibri"/>
        <family val="2"/>
        <scheme val="minor"/>
      </rPr>
      <t>encender</t>
    </r>
    <r>
      <rPr>
        <sz val="11"/>
        <color theme="5" tint="-0.499984740745262"/>
        <rFont val="Calibri"/>
        <family val="2"/>
        <scheme val="minor"/>
      </rPr>
      <t xml:space="preserve">), </t>
    </r>
    <r>
      <rPr>
        <i/>
        <sz val="11"/>
        <color theme="5" tint="-0.499984740745262"/>
        <rFont val="Calibri"/>
        <family val="2"/>
        <scheme val="minor"/>
      </rPr>
      <t>mettre en bac</t>
    </r>
    <r>
      <rPr>
        <sz val="11"/>
        <color theme="5" tint="-0.499984740745262"/>
        <rFont val="Calibri"/>
        <family val="2"/>
        <scheme val="minor"/>
      </rPr>
      <t xml:space="preserve"> = </t>
    </r>
    <r>
      <rPr>
        <b/>
        <sz val="11"/>
        <color theme="5" tint="-0.499984740745262"/>
        <rFont val="Calibri"/>
        <family val="2"/>
        <scheme val="minor"/>
      </rPr>
      <t>tray up</t>
    </r>
    <r>
      <rPr>
        <sz val="11"/>
        <color theme="5" tint="-0.499984740745262"/>
        <rFont val="Calibri"/>
        <family val="2"/>
        <scheme val="minor"/>
      </rPr>
      <t xml:space="preserve"> (ES: </t>
    </r>
    <r>
      <rPr>
        <b/>
        <sz val="11"/>
        <color theme="5" tint="-0.499984740745262"/>
        <rFont val="Calibri"/>
        <family val="2"/>
        <scheme val="minor"/>
      </rPr>
      <t>poner en cubeta</t>
    </r>
    <r>
      <rPr>
        <sz val="11"/>
        <color theme="5" tint="-0.499984740745262"/>
        <rFont val="Calibri"/>
        <family val="2"/>
        <scheme val="minor"/>
      </rPr>
      <t xml:space="preserve">), </t>
    </r>
    <r>
      <rPr>
        <i/>
        <sz val="11"/>
        <color theme="5" tint="-0.499984740745262"/>
        <rFont val="Calibri"/>
        <family val="2"/>
        <scheme val="minor"/>
      </rPr>
      <t>mettre à jour</t>
    </r>
    <r>
      <rPr>
        <sz val="11"/>
        <color theme="5" tint="-0.499984740745262"/>
        <rFont val="Calibri"/>
        <family val="2"/>
        <scheme val="minor"/>
      </rPr>
      <t xml:space="preserve"> = </t>
    </r>
    <r>
      <rPr>
        <b/>
        <sz val="11"/>
        <color theme="5" tint="-0.499984740745262"/>
        <rFont val="Calibri"/>
        <family val="2"/>
        <scheme val="minor"/>
      </rPr>
      <t>update</t>
    </r>
    <r>
      <rPr>
        <sz val="11"/>
        <color theme="5" tint="-0.499984740745262"/>
        <rFont val="Calibri"/>
        <family val="2"/>
        <scheme val="minor"/>
      </rPr>
      <t xml:space="preserve"> (ES: </t>
    </r>
    <r>
      <rPr>
        <b/>
        <sz val="11"/>
        <color theme="5" tint="-0.499984740745262"/>
        <rFont val="Calibri"/>
        <family val="2"/>
        <scheme val="minor"/>
      </rPr>
      <t>actualizar</t>
    </r>
    <r>
      <rPr>
        <sz val="11"/>
        <color theme="5" tint="-0.499984740745262"/>
        <rFont val="Calibri"/>
        <family val="2"/>
        <scheme val="minor"/>
      </rPr>
      <t>).</t>
    </r>
  </si>
  <si>
    <r>
      <t xml:space="preserve">Generic verb → prefer precise terms: </t>
    </r>
    <r>
      <rPr>
        <b/>
        <sz val="11"/>
        <color theme="5" tint="-0.499984740745262"/>
        <rFont val="Calibri"/>
        <family val="2"/>
        <scheme val="minor"/>
      </rPr>
      <t>mettre en marche</t>
    </r>
    <r>
      <rPr>
        <sz val="11"/>
        <color theme="5" tint="-0.499984740745262"/>
        <rFont val="Calibri"/>
        <family val="2"/>
        <scheme val="minor"/>
      </rPr>
      <t xml:space="preserve"> = </t>
    </r>
    <r>
      <rPr>
        <b/>
        <sz val="11"/>
        <color theme="5" tint="-0.499984740745262"/>
        <rFont val="Calibri"/>
        <family val="2"/>
        <scheme val="minor"/>
      </rPr>
      <t>start/turn on</t>
    </r>
    <r>
      <rPr>
        <sz val="11"/>
        <color theme="5" tint="-0.499984740745262"/>
        <rFont val="Calibri"/>
        <family val="2"/>
        <scheme val="minor"/>
      </rPr>
      <t xml:space="preserve">; </t>
    </r>
    <r>
      <rPr>
        <b/>
        <sz val="11"/>
        <color theme="5" tint="-0.499984740745262"/>
        <rFont val="Calibri"/>
        <family val="2"/>
        <scheme val="minor"/>
      </rPr>
      <t>mettre en bac</t>
    </r>
    <r>
      <rPr>
        <sz val="11"/>
        <color theme="5" tint="-0.499984740745262"/>
        <rFont val="Calibri"/>
        <family val="2"/>
        <scheme val="minor"/>
      </rPr>
      <t xml:space="preserve"> = </t>
    </r>
    <r>
      <rPr>
        <b/>
        <sz val="11"/>
        <color theme="5" tint="-0.499984740745262"/>
        <rFont val="Calibri"/>
        <family val="2"/>
        <scheme val="minor"/>
      </rPr>
      <t>tray up</t>
    </r>
    <r>
      <rPr>
        <sz val="11"/>
        <color theme="5" tint="-0.499984740745262"/>
        <rFont val="Calibri"/>
        <family val="2"/>
        <scheme val="minor"/>
      </rPr>
      <t xml:space="preserve">; </t>
    </r>
    <r>
      <rPr>
        <b/>
        <sz val="11"/>
        <color theme="5" tint="-0.499984740745262"/>
        <rFont val="Calibri"/>
        <family val="2"/>
        <scheme val="minor"/>
      </rPr>
      <t>mettre à jour</t>
    </r>
    <r>
      <rPr>
        <sz val="11"/>
        <color theme="5" tint="-0.499984740745262"/>
        <rFont val="Calibri"/>
        <family val="2"/>
        <scheme val="minor"/>
      </rPr>
      <t xml:space="preserve"> = </t>
    </r>
    <r>
      <rPr>
        <b/>
        <sz val="11"/>
        <color theme="5" tint="-0.499984740745262"/>
        <rFont val="Calibri"/>
        <family val="2"/>
        <scheme val="minor"/>
      </rPr>
      <t>update</t>
    </r>
    <r>
      <rPr>
        <sz val="11"/>
        <color theme="5" tint="-0.499984740745262"/>
        <rFont val="Calibri"/>
        <family val="2"/>
        <scheme val="minor"/>
      </rPr>
      <t>.</t>
    </r>
  </si>
  <si>
    <r>
      <t xml:space="preserve">Verbo genérico → mejor precisos: </t>
    </r>
    <r>
      <rPr>
        <b/>
        <sz val="11"/>
        <color theme="5" tint="-0.499984740745262"/>
        <rFont val="Calibri"/>
        <family val="2"/>
        <scheme val="minor"/>
      </rPr>
      <t>poner en marcha</t>
    </r>
    <r>
      <rPr>
        <sz val="11"/>
        <color theme="5" tint="-0.499984740745262"/>
        <rFont val="Calibri"/>
        <family val="2"/>
        <scheme val="minor"/>
      </rPr>
      <t xml:space="preserve"> = </t>
    </r>
    <r>
      <rPr>
        <b/>
        <sz val="11"/>
        <color theme="5" tint="-0.499984740745262"/>
        <rFont val="Calibri"/>
        <family val="2"/>
        <scheme val="minor"/>
      </rPr>
      <t>encender</t>
    </r>
    <r>
      <rPr>
        <sz val="11"/>
        <color theme="5" tint="-0.499984740745262"/>
        <rFont val="Calibri"/>
        <family val="2"/>
        <scheme val="minor"/>
      </rPr>
      <t xml:space="preserve">; </t>
    </r>
    <r>
      <rPr>
        <b/>
        <sz val="11"/>
        <color theme="5" tint="-0.499984740745262"/>
        <rFont val="Calibri"/>
        <family val="2"/>
        <scheme val="minor"/>
      </rPr>
      <t>poner en cubeta</t>
    </r>
    <r>
      <rPr>
        <sz val="11"/>
        <color theme="5" tint="-0.499984740745262"/>
        <rFont val="Calibri"/>
        <family val="2"/>
        <scheme val="minor"/>
      </rPr>
      <t xml:space="preserve"> = </t>
    </r>
    <r>
      <rPr>
        <b/>
        <sz val="11"/>
        <color theme="5" tint="-0.499984740745262"/>
        <rFont val="Calibri"/>
        <family val="2"/>
        <scheme val="minor"/>
      </rPr>
      <t>tray up / poner en cubeta</t>
    </r>
    <r>
      <rPr>
        <sz val="11"/>
        <color theme="5" tint="-0.499984740745262"/>
        <rFont val="Calibri"/>
        <family val="2"/>
        <scheme val="minor"/>
      </rPr>
      <t xml:space="preserve">; </t>
    </r>
    <r>
      <rPr>
        <b/>
        <sz val="11"/>
        <color theme="5" tint="-0.499984740745262"/>
        <rFont val="Calibri"/>
        <family val="2"/>
        <scheme val="minor"/>
      </rPr>
      <t>poner al día</t>
    </r>
    <r>
      <rPr>
        <sz val="11"/>
        <color theme="5" tint="-0.499984740745262"/>
        <rFont val="Calibri"/>
        <family val="2"/>
        <scheme val="minor"/>
      </rPr>
      <t xml:space="preserve"> = </t>
    </r>
    <r>
      <rPr>
        <b/>
        <sz val="11"/>
        <color theme="5" tint="-0.499984740745262"/>
        <rFont val="Calibri"/>
        <family val="2"/>
        <scheme val="minor"/>
      </rPr>
      <t>actualizar</t>
    </r>
    <r>
      <rPr>
        <sz val="11"/>
        <color theme="5" tint="-0.499984740745262"/>
        <rFont val="Calibri"/>
        <family val="2"/>
        <scheme val="minor"/>
      </rPr>
      <t>.</t>
    </r>
  </si>
  <si>
    <r>
      <t>modernizar</t>
    </r>
    <r>
      <rPr>
        <sz val="11"/>
        <color theme="5" tint="-0.499984740745262"/>
        <rFont val="Calibri"/>
        <family val="2"/>
        <scheme val="minor"/>
      </rPr>
      <t>; actualizar</t>
    </r>
  </si>
  <si>
    <r>
      <t>navegar</t>
    </r>
    <r>
      <rPr>
        <sz val="11"/>
        <color theme="5" tint="-0.499984740745262"/>
        <rFont val="Calibri"/>
        <family val="2"/>
        <scheme val="minor"/>
      </rPr>
      <t>; desplazarse</t>
    </r>
  </si>
  <si>
    <r>
      <t xml:space="preserve">Se déplacer dans un logiciel/ERP, un plan (atelier), ou sur le web/menus machines : </t>
    </r>
    <r>
      <rPr>
        <i/>
        <sz val="11"/>
        <color theme="5" tint="-0.499984740745262"/>
        <rFont val="Calibri"/>
        <family val="2"/>
        <scheme val="minor"/>
      </rPr>
      <t>navigate the menu / navegar por el menú</t>
    </r>
    <r>
      <rPr>
        <sz val="11"/>
        <color theme="5" tint="-0.499984740745262"/>
        <rFont val="Calibri"/>
        <family val="2"/>
        <scheme val="minor"/>
      </rPr>
      <t>.</t>
    </r>
  </si>
  <si>
    <r>
      <t xml:space="preserve">Move through software/ERP, a plant layout, websites, or machine menus: </t>
    </r>
    <r>
      <rPr>
        <b/>
        <sz val="11"/>
        <color theme="5" tint="-0.499984740745262"/>
        <rFont val="Calibri"/>
        <family val="2"/>
        <scheme val="minor"/>
      </rPr>
      <t>navigate the menu</t>
    </r>
    <r>
      <rPr>
        <sz val="11"/>
        <color theme="5" tint="-0.499984740745262"/>
        <rFont val="Calibri"/>
        <family val="2"/>
        <scheme val="minor"/>
      </rPr>
      <t>.</t>
    </r>
  </si>
  <si>
    <r>
      <t xml:space="preserve">Desplazarse por software/ERP, un plano del taller, la web o menús de máquina: </t>
    </r>
    <r>
      <rPr>
        <b/>
        <sz val="11"/>
        <color theme="5" tint="-0.499984740745262"/>
        <rFont val="Calibri"/>
        <family val="2"/>
        <scheme val="minor"/>
      </rPr>
      <t>navegar por el menú</t>
    </r>
    <r>
      <rPr>
        <sz val="11"/>
        <color theme="5" tint="-0.499984740745262"/>
        <rFont val="Calibri"/>
        <family val="2"/>
        <scheme val="minor"/>
      </rPr>
      <t>.</t>
    </r>
  </si>
  <si>
    <r>
      <t>optimizar</t>
    </r>
    <r>
      <rPr>
        <sz val="11"/>
        <color theme="5" tint="-0.499984740745262"/>
        <rFont val="Calibri"/>
        <family val="2"/>
        <scheme val="minor"/>
      </rPr>
      <t>; agilizar</t>
    </r>
  </si>
  <si>
    <r>
      <t xml:space="preserve">Mejorar costos, tiempos, flujos y ajustes (OEE, rendimiento, mermas). Precisar las palancas: 5S, SMED, </t>
    </r>
    <r>
      <rPr>
        <i/>
        <sz val="11"/>
        <color theme="5" tint="-0.499984740745262"/>
        <rFont val="Calibri"/>
        <family val="2"/>
        <scheme val="minor"/>
      </rPr>
      <t>standard work</t>
    </r>
    <r>
      <rPr>
        <sz val="11"/>
        <color theme="5" tint="-0.499984740745262"/>
        <rFont val="Calibri"/>
        <family val="2"/>
        <scheme val="minor"/>
      </rPr>
      <t>.</t>
    </r>
  </si>
  <si>
    <r>
      <t>programar</t>
    </r>
    <r>
      <rPr>
        <sz val="11"/>
        <color theme="5" tint="-0.499984740745262"/>
        <rFont val="Calibri"/>
        <family val="2"/>
        <scheme val="minor"/>
      </rPr>
      <t>; secuenciar; despachar</t>
    </r>
  </si>
  <si>
    <r>
      <t>organizar</t>
    </r>
    <r>
      <rPr>
        <sz val="11"/>
        <color theme="5" tint="-0.499984740745262"/>
        <rFont val="Calibri"/>
        <family val="2"/>
        <scheme val="minor"/>
      </rPr>
      <t>; disponer; montar</t>
    </r>
  </si>
  <si>
    <r>
      <t>planificar</t>
    </r>
    <r>
      <rPr>
        <sz val="11"/>
        <color theme="5" tint="-0.499984740745262"/>
        <rFont val="Calibri"/>
        <family val="2"/>
        <scheme val="minor"/>
      </rPr>
      <t>; programar</t>
    </r>
  </si>
  <si>
    <r>
      <t>preparar</t>
    </r>
    <r>
      <rPr>
        <sz val="11"/>
        <color theme="5" tint="-0.499984740745262"/>
        <rFont val="Calibri"/>
        <family val="2"/>
        <scheme val="minor"/>
      </rPr>
      <t>; alistar</t>
    </r>
  </si>
  <si>
    <r>
      <t>Mise en place</t>
    </r>
    <r>
      <rPr>
        <sz val="11"/>
        <color theme="5" tint="-0.499984740745262"/>
        <rFont val="Calibri"/>
        <family val="2"/>
        <scheme val="minor"/>
      </rPr>
      <t>, pesadas, equipos, documentos; especificar checklist/tiempos.</t>
    </r>
  </si>
  <si>
    <r>
      <t>presentar</t>
    </r>
    <r>
      <rPr>
        <sz val="11"/>
        <color theme="5" tint="-0.499984740745262"/>
        <rFont val="Calibri"/>
        <family val="2"/>
        <scheme val="minor"/>
      </rPr>
      <t>; exhibir</t>
    </r>
  </si>
  <si>
    <r>
      <t>prever</t>
    </r>
    <r>
      <rPr>
        <sz val="11"/>
        <color theme="5" tint="-0.499984740745262"/>
        <rFont val="Calibri"/>
        <family val="2"/>
        <scheme val="minor"/>
      </rPr>
      <t>; pronosticar; anticipar</t>
    </r>
  </si>
  <si>
    <r>
      <t>producir</t>
    </r>
    <r>
      <rPr>
        <sz val="11"/>
        <color theme="5" tint="-0.499984740745262"/>
        <rFont val="Calibri"/>
        <family val="2"/>
        <scheme val="minor"/>
      </rPr>
      <t>; fabricar; elaborar</t>
    </r>
  </si>
  <si>
    <r>
      <t>programar</t>
    </r>
    <r>
      <rPr>
        <sz val="11"/>
        <color theme="5" tint="-0.499984740745262"/>
        <rFont val="Calibri"/>
        <family val="2"/>
        <scheme val="minor"/>
      </rPr>
      <t>; configurar; calendarizar</t>
    </r>
  </si>
  <si>
    <r>
      <t>reconstruir</t>
    </r>
    <r>
      <rPr>
        <sz val="11"/>
        <color theme="5" tint="-0.499984740745262"/>
        <rFont val="Calibri"/>
        <family val="2"/>
        <scheme val="minor"/>
      </rPr>
      <t>; reedificar</t>
    </r>
  </si>
  <si>
    <r>
      <t>remodelar</t>
    </r>
    <r>
      <rPr>
        <sz val="11"/>
        <color theme="5" tint="-0.499984740745262"/>
        <rFont val="Calibri"/>
        <family val="2"/>
        <scheme val="minor"/>
      </rPr>
      <t>; rediseñar</t>
    </r>
  </si>
  <si>
    <r>
      <t>reemplazar</t>
    </r>
    <r>
      <rPr>
        <sz val="11"/>
        <color theme="5" tint="-0.499984740745262"/>
        <rFont val="Calibri"/>
        <family val="2"/>
        <scheme val="minor"/>
      </rPr>
      <t>; sustituir</t>
    </r>
  </si>
  <si>
    <r>
      <t>renovar</t>
    </r>
    <r>
      <rPr>
        <sz val="11"/>
        <color theme="5" tint="-0.499984740745262"/>
        <rFont val="Calibri"/>
        <family val="2"/>
        <scheme val="minor"/>
      </rPr>
      <t>; rehabilitar; modernizar</t>
    </r>
  </si>
  <si>
    <r>
      <t>reorganizar</t>
    </r>
    <r>
      <rPr>
        <sz val="11"/>
        <color theme="5" tint="-0.499984740745262"/>
        <rFont val="Calibri"/>
        <family val="2"/>
        <scheme val="minor"/>
      </rPr>
      <t>; reestructurar</t>
    </r>
  </si>
  <si>
    <r>
      <t>reparar</t>
    </r>
    <r>
      <rPr>
        <sz val="11"/>
        <color theme="5" tint="-0.499984740745262"/>
        <rFont val="Calibri"/>
        <family val="2"/>
        <scheme val="minor"/>
      </rPr>
      <t>; arreglar</t>
    </r>
  </si>
  <si>
    <r>
      <t>resolver</t>
    </r>
    <r>
      <rPr>
        <sz val="11"/>
        <color theme="5" tint="-0.499984740745262"/>
        <rFont val="Calibri"/>
        <family val="2"/>
        <scheme val="minor"/>
      </rPr>
      <t>; solucionar</t>
    </r>
  </si>
  <si>
    <r>
      <t>revisar</t>
    </r>
    <r>
      <rPr>
        <sz val="11"/>
        <color theme="5" tint="-0.499984740745262"/>
        <rFont val="Calibri"/>
        <family val="2"/>
        <scheme val="minor"/>
      </rPr>
      <t>; hacer una revisión</t>
    </r>
  </si>
  <si>
    <r>
      <t>revisar</t>
    </r>
    <r>
      <rPr>
        <sz val="11"/>
        <color theme="5" tint="-0.499984740745262"/>
        <rFont val="Calibri"/>
        <family val="2"/>
        <scheme val="minor"/>
      </rPr>
      <t>; reconsiderar</t>
    </r>
  </si>
  <si>
    <r>
      <t>sensibilizar</t>
    </r>
    <r>
      <rPr>
        <sz val="11"/>
        <color theme="5" tint="-0.499984740745262"/>
        <rFont val="Calibri"/>
        <family val="2"/>
        <scheme val="minor"/>
      </rPr>
      <t>; concienciar</t>
    </r>
  </si>
  <si>
    <r>
      <t>simplificar</t>
    </r>
    <r>
      <rPr>
        <sz val="11"/>
        <color theme="5" tint="-0.499984740745262"/>
        <rFont val="Calibri"/>
        <family val="2"/>
        <scheme val="minor"/>
      </rPr>
      <t>; agilizar</t>
    </r>
  </si>
  <si>
    <r>
      <t>levantar</t>
    </r>
    <r>
      <rPr>
        <sz val="11"/>
        <color theme="5" tint="-0.499984740745262"/>
        <rFont val="Calibri"/>
        <family val="2"/>
        <scheme val="minor"/>
      </rPr>
      <t>; alzar</t>
    </r>
  </si>
  <si>
    <r>
      <t>estandarizar</t>
    </r>
    <r>
      <rPr>
        <sz val="11"/>
        <color theme="5" tint="-0.499984740745262"/>
        <rFont val="Calibri"/>
        <family val="2"/>
        <scheme val="minor"/>
      </rPr>
      <t>; homologar</t>
    </r>
  </si>
  <si>
    <r>
      <t>Definir estándares (receta, ajustes, formato de etiqueta), 5S/</t>
    </r>
    <r>
      <rPr>
        <i/>
        <sz val="11"/>
        <color theme="5" tint="-0.499984740745262"/>
        <rFont val="Calibri"/>
        <family val="2"/>
        <scheme val="minor"/>
      </rPr>
      <t>standard work</t>
    </r>
    <r>
      <rPr>
        <sz val="11"/>
        <color theme="5" tint="-0.499984740745262"/>
        <rFont val="Calibri"/>
        <family val="2"/>
        <scheme val="minor"/>
      </rPr>
      <t>.</t>
    </r>
  </si>
  <si>
    <r>
      <t>supervisar</t>
    </r>
    <r>
      <rPr>
        <sz val="11"/>
        <color theme="5" tint="-0.499984740745262"/>
        <rFont val="Calibri"/>
        <family val="2"/>
        <scheme val="minor"/>
      </rPr>
      <t>; coordinar</t>
    </r>
  </si>
  <si>
    <r>
      <t>vigilar</t>
    </r>
    <r>
      <rPr>
        <sz val="11"/>
        <color theme="5" tint="-0.499984740745262"/>
        <rFont val="Calibri"/>
        <family val="2"/>
        <scheme val="minor"/>
      </rPr>
      <t>; monitorizar</t>
    </r>
  </si>
  <si>
    <r>
      <t>transformar</t>
    </r>
    <r>
      <rPr>
        <sz val="11"/>
        <color theme="5" tint="-0.499984740745262"/>
        <rFont val="Calibri"/>
        <family val="2"/>
        <scheme val="minor"/>
      </rPr>
      <t>; procesar; convertir</t>
    </r>
  </si>
  <si>
    <r>
      <t>usar</t>
    </r>
    <r>
      <rPr>
        <sz val="11"/>
        <color theme="5" tint="-0.499984740745262"/>
        <rFont val="Calibri"/>
        <family val="2"/>
        <scheme val="minor"/>
      </rPr>
      <t>; emplear; utilizar</t>
    </r>
  </si>
  <si>
    <r>
      <t xml:space="preserve">Verbe générique. Dans les fiches, préciser l’action : </t>
    </r>
    <r>
      <rPr>
        <i/>
        <sz val="11"/>
        <color theme="5" tint="-0.499984740745262"/>
        <rFont val="Calibri"/>
        <family val="2"/>
        <scheme val="minor"/>
      </rPr>
      <t>utiliser des gants</t>
    </r>
    <r>
      <rPr>
        <sz val="11"/>
        <color theme="5" tint="-0.499984740745262"/>
        <rFont val="Calibri"/>
        <family val="2"/>
        <scheme val="minor"/>
      </rPr>
      <t xml:space="preserve"> → </t>
    </r>
    <r>
      <rPr>
        <b/>
        <sz val="11"/>
        <color theme="5" tint="-0.499984740745262"/>
        <rFont val="Calibri"/>
        <family val="2"/>
        <scheme val="minor"/>
      </rPr>
      <t>put on/use gloves</t>
    </r>
    <r>
      <rPr>
        <sz val="11"/>
        <color theme="5" tint="-0.499984740745262"/>
        <rFont val="Calibri"/>
        <family val="2"/>
        <scheme val="minor"/>
      </rPr>
      <t xml:space="preserve"> (ES: </t>
    </r>
    <r>
      <rPr>
        <b/>
        <sz val="11"/>
        <color theme="5" tint="-0.499984740745262"/>
        <rFont val="Calibri"/>
        <family val="2"/>
        <scheme val="minor"/>
      </rPr>
      <t>ponerse/usar guantes</t>
    </r>
    <r>
      <rPr>
        <sz val="11"/>
        <color theme="5" tint="-0.499984740745262"/>
        <rFont val="Calibri"/>
        <family val="2"/>
        <scheme val="minor"/>
      </rPr>
      <t xml:space="preserve">), </t>
    </r>
    <r>
      <rPr>
        <i/>
        <sz val="11"/>
        <color theme="5" tint="-0.499984740745262"/>
        <rFont val="Calibri"/>
        <family val="2"/>
        <scheme val="minor"/>
      </rPr>
      <t>utiliser la sonde</t>
    </r>
    <r>
      <rPr>
        <sz val="11"/>
        <color theme="5" tint="-0.499984740745262"/>
        <rFont val="Calibri"/>
        <family val="2"/>
        <scheme val="minor"/>
      </rPr>
      <t xml:space="preserve"> → </t>
    </r>
    <r>
      <rPr>
        <b/>
        <sz val="11"/>
        <color theme="5" tint="-0.499984740745262"/>
        <rFont val="Calibri"/>
        <family val="2"/>
        <scheme val="minor"/>
      </rPr>
      <t>use the probe</t>
    </r>
    <r>
      <rPr>
        <sz val="11"/>
        <color theme="5" tint="-0.499984740745262"/>
        <rFont val="Calibri"/>
        <family val="2"/>
        <scheme val="minor"/>
      </rPr>
      <t xml:space="preserve"> (ES: </t>
    </r>
    <r>
      <rPr>
        <b/>
        <sz val="11"/>
        <color theme="5" tint="-0.499984740745262"/>
        <rFont val="Calibri"/>
        <family val="2"/>
        <scheme val="minor"/>
      </rPr>
      <t>usar la sonda</t>
    </r>
    <r>
      <rPr>
        <sz val="11"/>
        <color theme="5" tint="-0.499984740745262"/>
        <rFont val="Calibri"/>
        <family val="2"/>
        <scheme val="minor"/>
      </rPr>
      <t xml:space="preserve">), </t>
    </r>
    <r>
      <rPr>
        <i/>
        <sz val="11"/>
        <color theme="5" tint="-0.499984740745262"/>
        <rFont val="Calibri"/>
        <family val="2"/>
        <scheme val="minor"/>
      </rPr>
      <t>utiliser la cellule</t>
    </r>
    <r>
      <rPr>
        <sz val="11"/>
        <color theme="5" tint="-0.499984740745262"/>
        <rFont val="Calibri"/>
        <family val="2"/>
        <scheme val="minor"/>
      </rPr>
      <t xml:space="preserve"> → </t>
    </r>
    <r>
      <rPr>
        <b/>
        <sz val="11"/>
        <color theme="5" tint="-0.499984740745262"/>
        <rFont val="Calibri"/>
        <family val="2"/>
        <scheme val="minor"/>
      </rPr>
      <t>use the blast chiller</t>
    </r>
    <r>
      <rPr>
        <sz val="11"/>
        <color theme="5" tint="-0.499984740745262"/>
        <rFont val="Calibri"/>
        <family val="2"/>
        <scheme val="minor"/>
      </rPr>
      <t xml:space="preserve"> (ES: </t>
    </r>
    <r>
      <rPr>
        <b/>
        <sz val="11"/>
        <color theme="5" tint="-0.499984740745262"/>
        <rFont val="Calibri"/>
        <family val="2"/>
        <scheme val="minor"/>
      </rPr>
      <t>usar el abatidor</t>
    </r>
    <r>
      <rPr>
        <sz val="11"/>
        <color theme="5" tint="-0.499984740745262"/>
        <rFont val="Calibri"/>
        <family val="2"/>
        <scheme val="minor"/>
      </rPr>
      <t>).</t>
    </r>
  </si>
  <si>
    <r>
      <t xml:space="preserve">Verbe générique. Dans les fiches, préciser l’action : utiliser des gants → </t>
    </r>
    <r>
      <rPr>
        <i/>
        <sz val="11"/>
        <color theme="5" tint="-0.499984740745262"/>
        <rFont val="Calibri"/>
        <family val="2"/>
        <scheme val="minor"/>
      </rPr>
      <t>put on/use gloves</t>
    </r>
    <r>
      <rPr>
        <sz val="11"/>
        <color theme="5" tint="-0.499984740745262"/>
        <rFont val="Calibri"/>
        <family val="2"/>
        <scheme val="minor"/>
      </rPr>
      <t xml:space="preserve">, utiliser la sonde → </t>
    </r>
    <r>
      <rPr>
        <i/>
        <sz val="11"/>
        <color theme="5" tint="-0.499984740745262"/>
        <rFont val="Calibri"/>
        <family val="2"/>
        <scheme val="minor"/>
      </rPr>
      <t>use the probe</t>
    </r>
    <r>
      <rPr>
        <sz val="11"/>
        <color theme="5" tint="-0.499984740745262"/>
        <rFont val="Calibri"/>
        <family val="2"/>
        <scheme val="minor"/>
      </rPr>
      <t xml:space="preserve">, utiliser la cellule → </t>
    </r>
    <r>
      <rPr>
        <i/>
        <sz val="11"/>
        <color theme="5" tint="-0.499984740745262"/>
        <rFont val="Calibri"/>
        <family val="2"/>
        <scheme val="minor"/>
      </rPr>
      <t>use the blast chiller</t>
    </r>
    <r>
      <rPr>
        <sz val="11"/>
        <color theme="5" tint="-0.499984740745262"/>
        <rFont val="Calibri"/>
        <family val="2"/>
        <scheme val="minor"/>
      </rPr>
      <t>.</t>
    </r>
  </si>
  <si>
    <r>
      <t xml:space="preserve">Generic verb. In pro sheets, specify the action: </t>
    </r>
    <r>
      <rPr>
        <b/>
        <sz val="11"/>
        <color theme="5" tint="-0.499984740745262"/>
        <rFont val="Calibri"/>
        <family val="2"/>
        <scheme val="minor"/>
      </rPr>
      <t>put on/use gloves</t>
    </r>
    <r>
      <rPr>
        <sz val="11"/>
        <color theme="5" tint="-0.499984740745262"/>
        <rFont val="Calibri"/>
        <family val="2"/>
        <scheme val="minor"/>
      </rPr>
      <t xml:space="preserve">; </t>
    </r>
    <r>
      <rPr>
        <b/>
        <sz val="11"/>
        <color theme="5" tint="-0.499984740745262"/>
        <rFont val="Calibri"/>
        <family val="2"/>
        <scheme val="minor"/>
      </rPr>
      <t>use the probe</t>
    </r>
    <r>
      <rPr>
        <sz val="11"/>
        <color theme="5" tint="-0.499984740745262"/>
        <rFont val="Calibri"/>
        <family val="2"/>
        <scheme val="minor"/>
      </rPr>
      <t xml:space="preserve">; </t>
    </r>
    <r>
      <rPr>
        <b/>
        <sz val="11"/>
        <color theme="5" tint="-0.499984740745262"/>
        <rFont val="Calibri"/>
        <family val="2"/>
        <scheme val="minor"/>
      </rPr>
      <t>use the blast chiller</t>
    </r>
    <r>
      <rPr>
        <sz val="11"/>
        <color theme="5" tint="-0.499984740745262"/>
        <rFont val="Calibri"/>
        <family val="2"/>
        <scheme val="minor"/>
      </rPr>
      <t>.</t>
    </r>
  </si>
  <si>
    <r>
      <t xml:space="preserve">Verbo genérico. En fichas, precisa la acción: </t>
    </r>
    <r>
      <rPr>
        <b/>
        <sz val="11"/>
        <color theme="5" tint="-0.499984740745262"/>
        <rFont val="Calibri"/>
        <family val="2"/>
        <scheme val="minor"/>
      </rPr>
      <t>ponerse/usar guantes</t>
    </r>
    <r>
      <rPr>
        <sz val="11"/>
        <color theme="5" tint="-0.499984740745262"/>
        <rFont val="Calibri"/>
        <family val="2"/>
        <scheme val="minor"/>
      </rPr>
      <t xml:space="preserve">; </t>
    </r>
    <r>
      <rPr>
        <b/>
        <sz val="11"/>
        <color theme="5" tint="-0.499984740745262"/>
        <rFont val="Calibri"/>
        <family val="2"/>
        <scheme val="minor"/>
      </rPr>
      <t>usar la sonda</t>
    </r>
    <r>
      <rPr>
        <sz val="11"/>
        <color theme="5" tint="-0.499984740745262"/>
        <rFont val="Calibri"/>
        <family val="2"/>
        <scheme val="minor"/>
      </rPr>
      <t xml:space="preserve">; </t>
    </r>
    <r>
      <rPr>
        <b/>
        <sz val="11"/>
        <color theme="5" tint="-0.499984740745262"/>
        <rFont val="Calibri"/>
        <family val="2"/>
        <scheme val="minor"/>
      </rPr>
      <t>usar el abatidor</t>
    </r>
    <r>
      <rPr>
        <sz val="11"/>
        <color theme="5" tint="-0.499984740745262"/>
        <rFont val="Calibri"/>
        <family val="2"/>
        <scheme val="minor"/>
      </rPr>
      <t>.</t>
    </r>
  </si>
  <si>
    <t>Manié</t>
  </si>
  <si>
    <t>racler les parois si nécessaire.</t>
  </si>
  <si>
    <t xml:space="preserve"> scrape sides as needed.</t>
  </si>
  <si>
    <t>raspar paredes si hace falta.</t>
  </si>
  <si>
    <t>imbiber</t>
  </si>
  <si>
    <t>Concombres/salage; abats/poissons à l’eau salée.Eau froide salée ou lait; changer l’eau si besoin.</t>
  </si>
  <si>
    <t>Purge with salt/purge in salted water (to degorge).Soak in cold salted water or milk; refresh as needed.</t>
  </si>
  <si>
    <t>Desangrar/purgar con sal o en agua salada.Desangrar en agua salada fría o leche; renovar.</t>
  </si>
  <si>
    <t>Verbes au sens large selon mode.Suivre mode/temps/T° indiqués; sonder si besoin.</t>
  </si>
  <si>
    <t>Generic “to cook”: specify the method.Follow mode/time/temp; probe if needed.</t>
  </si>
  <si>
    <t>Verbo genérico “cocer/cocinar”: especificar el método.Seguir modo/tiempo/T°; sondear si procede.</t>
  </si>
  <si>
    <t>Attention défaut de cuisson (« brûlé ») ; en crème brûlée : caraméliser au chalumeau.brûler du duvet volaille, flambage raté.</t>
  </si>
  <si>
    <t>Beware overcooking/burning; for crème brûlée: torch to caramelize the top. singe poultry down; failed flambé.</t>
  </si>
  <si>
    <r>
      <t xml:space="preserve">Cuidado con el </t>
    </r>
    <r>
      <rPr>
        <b/>
        <sz val="11"/>
        <color theme="1"/>
        <rFont val="Calibri"/>
        <family val="2"/>
        <scheme val="minor"/>
      </rPr>
      <t>quemado</t>
    </r>
    <r>
      <rPr>
        <sz val="11"/>
        <color theme="1"/>
        <rFont val="Calibri"/>
        <family val="2"/>
        <scheme val="minor"/>
      </rPr>
      <t>; en crème brûlée: caramelizar la superficie con soplete.chamuscar plumón de ave; flambé fallido.</t>
    </r>
  </si>
  <si>
    <t>Action culinaire générique.Respecter l’ordre d’incorporation de la fiche.</t>
  </si>
  <si>
    <t>Generic culinary action.Add in the specified order.</t>
  </si>
  <si>
    <t>Acción culinaria genérica.Añadir en el orden indicado.</t>
  </si>
  <si>
    <r>
      <t>identificar</t>
    </r>
    <r>
      <rPr>
        <sz val="11"/>
        <color theme="5" tint="-0.499984740745262"/>
        <rFont val="Calibri"/>
        <family val="2"/>
        <scheme val="minor"/>
      </rPr>
      <t>; localizar</t>
    </r>
  </si>
  <si>
    <r>
      <t>imaginar</t>
    </r>
    <r>
      <rPr>
        <sz val="11"/>
        <color theme="5" tint="-0.499984740745262"/>
        <rFont val="Calibri"/>
        <family val="2"/>
        <scheme val="minor"/>
      </rPr>
      <t>; concebir</t>
    </r>
  </si>
  <si>
    <r>
      <t>inscribir</t>
    </r>
    <r>
      <rPr>
        <sz val="11"/>
        <color theme="5" tint="-0.499984740745262"/>
        <rFont val="Calibri"/>
        <family val="2"/>
        <scheme val="minor"/>
      </rPr>
      <t>; registrar; apuntar</t>
    </r>
  </si>
  <si>
    <r>
      <t>insertar</t>
    </r>
    <r>
      <rPr>
        <sz val="11"/>
        <color theme="5" tint="-0.499984740745262"/>
        <rFont val="Calibri"/>
        <family val="2"/>
        <scheme val="minor"/>
      </rPr>
      <t>; introducir</t>
    </r>
  </si>
  <si>
    <r>
      <t>instalar</t>
    </r>
    <r>
      <rPr>
        <sz val="11"/>
        <color theme="5" tint="-0.499984740745262"/>
        <rFont val="Calibri"/>
        <family val="2"/>
        <scheme val="minor"/>
      </rPr>
      <t>; montar</t>
    </r>
  </si>
  <si>
    <r>
      <t>inventar</t>
    </r>
    <r>
      <rPr>
        <sz val="11"/>
        <color theme="5" tint="-0.499984740745262"/>
        <rFont val="Calibri"/>
        <family val="2"/>
        <scheme val="minor"/>
      </rPr>
      <t>; idear</t>
    </r>
  </si>
  <si>
    <r>
      <t>inventariar</t>
    </r>
    <r>
      <rPr>
        <sz val="11"/>
        <color theme="5" tint="-0.499984740745262"/>
        <rFont val="Calibri"/>
        <family val="2"/>
        <scheme val="minor"/>
      </rPr>
      <t>; hacer inventario</t>
    </r>
  </si>
  <si>
    <r>
      <t>elaborar</t>
    </r>
    <r>
      <rPr>
        <sz val="11"/>
        <color theme="5" tint="-0.499984740745262"/>
        <rFont val="Calibri"/>
        <family val="2"/>
        <scheme val="minor"/>
      </rPr>
      <t>; formular</t>
    </r>
  </si>
  <si>
    <r>
      <t>diseñar</t>
    </r>
    <r>
      <rPr>
        <sz val="11"/>
        <color theme="5" tint="-0.499984740745262"/>
        <rFont val="Calibri"/>
        <family val="2"/>
        <scheme val="minor"/>
      </rPr>
      <t>; concebir</t>
    </r>
  </si>
  <si>
    <r>
      <t>conducir</t>
    </r>
    <r>
      <rPr>
        <sz val="11"/>
        <color theme="5" tint="-0.499984740745262"/>
        <rFont val="Calibri"/>
        <family val="2"/>
        <scheme val="minor"/>
      </rPr>
      <t>; operar; dirigir</t>
    </r>
  </si>
  <si>
    <r>
      <t>consignar</t>
    </r>
    <r>
      <rPr>
        <sz val="11"/>
        <color theme="5" tint="-0.499984740745262"/>
        <rFont val="Calibri"/>
        <family val="2"/>
        <scheme val="minor"/>
      </rPr>
      <t>; registrar</t>
    </r>
  </si>
  <si>
    <r>
      <t>constituir</t>
    </r>
    <r>
      <rPr>
        <sz val="11"/>
        <color theme="5" tint="-0.499984740745262"/>
        <rFont val="Calibri"/>
        <family val="2"/>
        <scheme val="minor"/>
      </rPr>
      <t>; conformar</t>
    </r>
  </si>
  <si>
    <r>
      <t>construir</t>
    </r>
    <r>
      <rPr>
        <sz val="11"/>
        <color theme="5" tint="-0.499984740745262"/>
        <rFont val="Calibri"/>
        <family val="2"/>
        <scheme val="minor"/>
      </rPr>
      <t>; montar</t>
    </r>
  </si>
  <si>
    <r>
      <t>controlar</t>
    </r>
    <r>
      <rPr>
        <sz val="11"/>
        <color theme="5" tint="-0.499984740745262"/>
        <rFont val="Calibri"/>
        <family val="2"/>
        <scheme val="minor"/>
      </rPr>
      <t>; verificar</t>
    </r>
  </si>
  <si>
    <r>
      <t>crear</t>
    </r>
    <r>
      <rPr>
        <sz val="11"/>
        <color theme="5" tint="-0.499984740745262"/>
        <rFont val="Calibri"/>
        <family val="2"/>
        <scheme val="minor"/>
      </rPr>
      <t>; desarrollar</t>
    </r>
  </si>
  <si>
    <r>
      <t>localizar</t>
    </r>
    <r>
      <rPr>
        <sz val="11"/>
        <color theme="5" tint="-0.499984740745262"/>
        <rFont val="Calibri"/>
        <family val="2"/>
        <scheme val="minor"/>
      </rPr>
      <t>; ubicar; geolocalizar</t>
    </r>
  </si>
  <si>
    <t>Quelques verbes d'actions complémentaires       Some additional action verbs       Algunos verbos de acción adicionales</t>
  </si>
  <si>
    <t>trasvasar a un recipiente</t>
  </si>
  <si>
    <t>desinfectar el equipo/material</t>
  </si>
  <si>
    <t>rack the trays on the cooking trolley</t>
  </si>
  <si>
    <t>colocar las cubetas en el carro de cocción</t>
  </si>
  <si>
    <t>stack GN pans on the oven trolley</t>
  </si>
  <si>
    <t>apilar cubetas GN en el carro del horno</t>
  </si>
  <si>
    <t>store in trays/pans</t>
  </si>
  <si>
    <t>seleccionar el material</t>
  </si>
  <si>
    <t>verificar las fechas de caducidad</t>
  </si>
  <si>
    <t>blanch – refresh – cut</t>
  </si>
  <si>
    <t>blanquear – refrescar – cortar</t>
  </si>
  <si>
    <t>escurrir y trasvasar</t>
  </si>
  <si>
    <t>peel – wash – sanitize</t>
  </si>
  <si>
    <t>pelar – lavar – desinfectar</t>
  </si>
  <si>
    <t>dress/prepare the soles (fish)</t>
  </si>
  <si>
    <t>limpiar y preparar los lenguados</t>
  </si>
  <si>
    <t>rinse under plenty of water</t>
  </si>
  <si>
    <t>wash / rinse thoroughly</t>
  </si>
  <si>
    <t>lavar / enjuagar abundantemente</t>
  </si>
  <si>
    <t>weigh the food/ingredients</t>
  </si>
  <si>
    <t>pesar los alimentos/ingredientes</t>
  </si>
  <si>
    <t>clasificar y poner en remojo</t>
  </si>
  <si>
    <t>cortar por la mitad</t>
  </si>
  <si>
    <t>finely mince</t>
  </si>
  <si>
    <t>cocinar tapado</t>
  </si>
  <si>
    <t>cocinar a fuego fuerte</t>
  </si>
  <si>
    <t>hornear a horno medio</t>
  </si>
  <si>
    <t>cocinar al vapor</t>
  </si>
  <si>
    <t>cook until crisp-tender / al dente</t>
  </si>
  <si>
    <t>cocinar sin dorar</t>
  </si>
  <si>
    <t>hold at +63 °C</t>
  </si>
  <si>
    <t>mantener a +63 °C</t>
  </si>
  <si>
    <t>hold in a bain-marie at ≥ 65 °C</t>
  </si>
  <si>
    <t>mantener al baño maría a ≥ 65 °C</t>
  </si>
  <si>
    <t>hold hot at ≥ 63 °C</t>
  </si>
  <si>
    <t>mantener en caliente a ≥ 63 °C</t>
  </si>
  <si>
    <t>keep refrigerated</t>
  </si>
  <si>
    <t>keep cold at ≤ +3 °C</t>
  </si>
  <si>
    <t>mantener en frío a ≤ +3 °C</t>
  </si>
  <si>
    <t>dar un golpe de horno muy caliente</t>
  </si>
  <si>
    <t>insert the probe to the core</t>
  </si>
  <si>
    <t>introducir la sonda al corazón</t>
  </si>
  <si>
    <t>check core temperature with a probe</t>
  </si>
  <si>
    <t>medir la temperatura al corazón con sonda</t>
  </si>
  <si>
    <t>add the remaining ingredients in order</t>
  </si>
  <si>
    <t>añadir el resto de elementos en orden</t>
  </si>
  <si>
    <t>add cream then reduce</t>
  </si>
  <si>
    <t>añadir nata y luego reducir</t>
  </si>
  <si>
    <t>partially skim off the fat</t>
  </si>
  <si>
    <t>desgrasar parcialmente</t>
  </si>
  <si>
    <t>partially skim off the fat (skim)</t>
  </si>
  <si>
    <t>desgrasar parcialmente (espumar la grasa)</t>
  </si>
  <si>
    <t>disperse/whisk to combine</t>
  </si>
  <si>
    <t>dispersar con el batidor</t>
  </si>
  <si>
    <t>meter al horno y hornear</t>
  </si>
  <si>
    <t>sweat/steam in butter</t>
  </si>
  <si>
    <t>rehogar/estofar en mantequilla</t>
  </si>
  <si>
    <t>sauté quickly</t>
  </si>
  <si>
    <t>saltear rápidamente</t>
  </si>
  <si>
    <t>rehogar/sudar (sin dorar)</t>
  </si>
  <si>
    <t>sear/grill then finish in the oven</t>
  </si>
  <si>
    <t>marcar a la plancha y terminar al horno</t>
  </si>
  <si>
    <t>incorporate into the sauce</t>
  </si>
  <si>
    <t>thicken the cooking juices</t>
  </si>
  <si>
    <t>ligar el jugo de cocción</t>
  </si>
  <si>
    <t>thicken the stock/sauce</t>
  </si>
  <si>
    <t>ligar el fondo/la salsa</t>
  </si>
  <si>
    <t>colar/pasar la salsa</t>
  </si>
  <si>
    <t>rociar con mantequilla dorada (noisette)</t>
  </si>
  <si>
    <t>drizzle/coat with a liqueur</t>
  </si>
  <si>
    <t>rociar/napar con un licor</t>
  </si>
  <si>
    <t>butter generously</t>
  </si>
  <si>
    <t>untar generosamente con mantequilla</t>
  </si>
  <si>
    <t>gloss with oil</t>
  </si>
  <si>
    <t>lustrar con aceite</t>
  </si>
  <si>
    <t>pincelar/lustrar con aceite</t>
  </si>
  <si>
    <t>mount with butter</t>
  </si>
  <si>
    <t>montar con mantequilla</t>
  </si>
  <si>
    <t>finish/mount with butter</t>
  </si>
  <si>
    <t>terminar/montar con mantequilla</t>
  </si>
  <si>
    <t>adjust the seasoning</t>
  </si>
  <si>
    <t>rectificar el sazonamiento</t>
  </si>
  <si>
    <t>hacer la mezcla más untuosa</t>
  </si>
  <si>
    <t>recheck the seasoning</t>
  </si>
  <si>
    <t>revisar el sazonamiento</t>
  </si>
  <si>
    <t>lightly sprinkle</t>
  </si>
  <si>
    <t>escudillar con manga pastelera</t>
  </si>
  <si>
    <t>plate on the dish</t>
  </si>
  <si>
    <t>emplatar en el plato</t>
  </si>
  <si>
    <t>triturar y pasar por un chino</t>
  </si>
  <si>
    <t>repartir el jugo de cocción</t>
  </si>
  <si>
    <t>comprobar la consistencia</t>
  </si>
  <si>
    <t>filmar y guardar en cámara frigorífica</t>
  </si>
  <si>
    <t>chill in ice water and drain</t>
  </si>
  <si>
    <t>refrescar en agua helada y escurrir</t>
  </si>
  <si>
    <t>refresh/chill and drain</t>
  </si>
  <si>
    <t>refrescar y escurrir</t>
  </si>
  <si>
    <t>abatir en abatidor</t>
  </si>
  <si>
    <t>serve lukewarm</t>
  </si>
  <si>
    <t>servir templado</t>
  </si>
  <si>
    <r>
      <t xml:space="preserve">faire une pesée → </t>
    </r>
    <r>
      <rPr>
        <b/>
        <sz val="12"/>
        <color theme="1"/>
        <rFont val="Calibri"/>
        <family val="2"/>
        <scheme val="minor"/>
      </rPr>
      <t>peser</t>
    </r>
    <r>
      <rPr>
        <sz val="12"/>
        <color theme="1"/>
        <rFont val="Calibri"/>
        <family val="2"/>
        <scheme val="minor"/>
      </rPr>
      <t xml:space="preserve"> → weigh → </t>
    </r>
    <r>
      <rPr>
        <b/>
        <sz val="12"/>
        <color theme="1"/>
        <rFont val="Calibri"/>
        <family val="2"/>
        <scheme val="minor"/>
      </rPr>
      <t>pesar</t>
    </r>
  </si>
  <si>
    <r>
      <t xml:space="preserve">faire un mélange → </t>
    </r>
    <r>
      <rPr>
        <b/>
        <sz val="12"/>
        <color theme="1"/>
        <rFont val="Calibri"/>
        <family val="2"/>
        <scheme val="minor"/>
      </rPr>
      <t xml:space="preserve">mélanger / incorporer / </t>
    </r>
    <r>
      <rPr>
        <b/>
        <i/>
        <sz val="12"/>
        <color theme="1"/>
        <rFont val="Calibri"/>
        <family val="2"/>
        <scheme val="minor"/>
      </rPr>
      <t>envelopper</t>
    </r>
    <r>
      <rPr>
        <sz val="12"/>
        <color theme="1"/>
        <rFont val="Calibri"/>
        <family val="2"/>
        <scheme val="minor"/>
      </rPr>
      <t xml:space="preserve"> → mix / fold in → </t>
    </r>
    <r>
      <rPr>
        <b/>
        <sz val="12"/>
        <color theme="1"/>
        <rFont val="Calibri"/>
        <family val="2"/>
        <scheme val="minor"/>
      </rPr>
      <t>mezclar / envolver</t>
    </r>
  </si>
  <si>
    <r>
      <t xml:space="preserve">faire une pâte → </t>
    </r>
    <r>
      <rPr>
        <b/>
        <sz val="12"/>
        <color theme="1"/>
        <rFont val="Calibri"/>
        <family val="2"/>
        <scheme val="minor"/>
      </rPr>
      <t>pétrir / préparer la pâte</t>
    </r>
    <r>
      <rPr>
        <sz val="12"/>
        <color theme="1"/>
        <rFont val="Calibri"/>
        <family val="2"/>
        <scheme val="minor"/>
      </rPr>
      <t xml:space="preserve"> → knead / make the dough → </t>
    </r>
    <r>
      <rPr>
        <b/>
        <sz val="12"/>
        <color theme="1"/>
        <rFont val="Calibri"/>
        <family val="2"/>
        <scheme val="minor"/>
      </rPr>
      <t>amasar / preparar la masa</t>
    </r>
  </si>
  <si>
    <r>
      <t xml:space="preserve">faire une farce → </t>
    </r>
    <r>
      <rPr>
        <b/>
        <sz val="12"/>
        <color theme="1"/>
        <rFont val="Calibri"/>
        <family val="2"/>
        <scheme val="minor"/>
      </rPr>
      <t>farcir / préparer la farce</t>
    </r>
    <r>
      <rPr>
        <sz val="12"/>
        <color theme="1"/>
        <rFont val="Calibri"/>
        <family val="2"/>
        <scheme val="minor"/>
      </rPr>
      <t xml:space="preserve"> → make filling / stuff → </t>
    </r>
    <r>
      <rPr>
        <b/>
        <sz val="12"/>
        <color theme="1"/>
        <rFont val="Calibri"/>
        <family val="2"/>
        <scheme val="minor"/>
      </rPr>
      <t>preparar el relleno / rellenar</t>
    </r>
  </si>
  <si>
    <r>
      <t xml:space="preserve">faire une marinade → </t>
    </r>
    <r>
      <rPr>
        <b/>
        <sz val="12"/>
        <color theme="1"/>
        <rFont val="Calibri"/>
        <family val="2"/>
        <scheme val="minor"/>
      </rPr>
      <t>mariner / préparer la marinade</t>
    </r>
    <r>
      <rPr>
        <sz val="12"/>
        <color theme="1"/>
        <rFont val="Calibri"/>
        <family val="2"/>
        <scheme val="minor"/>
      </rPr>
      <t xml:space="preserve"> → marinate / make a marinade → </t>
    </r>
    <r>
      <rPr>
        <b/>
        <sz val="12"/>
        <color theme="1"/>
        <rFont val="Calibri"/>
        <family val="2"/>
        <scheme val="minor"/>
      </rPr>
      <t>marinar / preparar la marinada</t>
    </r>
  </si>
  <si>
    <r>
      <t xml:space="preserve">faire une émulsion → </t>
    </r>
    <r>
      <rPr>
        <b/>
        <sz val="12"/>
        <color theme="1"/>
        <rFont val="Calibri"/>
        <family val="2"/>
        <scheme val="minor"/>
      </rPr>
      <t>émulsionner</t>
    </r>
    <r>
      <rPr>
        <sz val="12"/>
        <color theme="1"/>
        <rFont val="Calibri"/>
        <family val="2"/>
        <scheme val="minor"/>
      </rPr>
      <t xml:space="preserve"> → emulsify → </t>
    </r>
    <r>
      <rPr>
        <b/>
        <sz val="12"/>
        <color theme="1"/>
        <rFont val="Calibri"/>
        <family val="2"/>
        <scheme val="minor"/>
      </rPr>
      <t>emulsionar</t>
    </r>
  </si>
  <si>
    <r>
      <t xml:space="preserve">faire une meringue → </t>
    </r>
    <r>
      <rPr>
        <b/>
        <sz val="12"/>
        <color theme="1"/>
        <rFont val="Calibri"/>
        <family val="2"/>
        <scheme val="minor"/>
      </rPr>
      <t>meringuer / monter les blancs</t>
    </r>
    <r>
      <rPr>
        <sz val="12"/>
        <color theme="1"/>
        <rFont val="Calibri"/>
        <family val="2"/>
        <scheme val="minor"/>
      </rPr>
      <t xml:space="preserve"> → make meringue / whip whites → </t>
    </r>
    <r>
      <rPr>
        <b/>
        <sz val="12"/>
        <color theme="1"/>
        <rFont val="Calibri"/>
        <family val="2"/>
        <scheme val="minor"/>
      </rPr>
      <t>merengar / montar claras</t>
    </r>
  </si>
  <si>
    <r>
      <t xml:space="preserve">faire bouillir → </t>
    </r>
    <r>
      <rPr>
        <b/>
        <sz val="12"/>
        <color theme="1"/>
        <rFont val="Calibri"/>
        <family val="2"/>
        <scheme val="minor"/>
      </rPr>
      <t>porter à ébullition / bouillir</t>
    </r>
    <r>
      <rPr>
        <sz val="12"/>
        <color theme="1"/>
        <rFont val="Calibri"/>
        <family val="2"/>
        <scheme val="minor"/>
      </rPr>
      <t xml:space="preserve"> → bring to a boil / boil → </t>
    </r>
    <r>
      <rPr>
        <b/>
        <sz val="12"/>
        <color theme="1"/>
        <rFont val="Calibri"/>
        <family val="2"/>
        <scheme val="minor"/>
      </rPr>
      <t>llevar a ebullición / hervir</t>
    </r>
  </si>
  <si>
    <r>
      <t xml:space="preserve">faire mijoter → </t>
    </r>
    <r>
      <rPr>
        <b/>
        <sz val="12"/>
        <color theme="1"/>
        <rFont val="Calibri"/>
        <family val="2"/>
        <scheme val="minor"/>
      </rPr>
      <t>mijoter</t>
    </r>
    <r>
      <rPr>
        <sz val="12"/>
        <color theme="1"/>
        <rFont val="Calibri"/>
        <family val="2"/>
        <scheme val="minor"/>
      </rPr>
      <t xml:space="preserve"> → simmer slowly → </t>
    </r>
    <r>
      <rPr>
        <b/>
        <sz val="12"/>
        <color theme="1"/>
        <rFont val="Calibri"/>
        <family val="2"/>
        <scheme val="minor"/>
      </rPr>
      <t>cocinar a fuego lento</t>
    </r>
  </si>
  <si>
    <r>
      <t xml:space="preserve">faire revenir → </t>
    </r>
    <r>
      <rPr>
        <b/>
        <sz val="12"/>
        <color theme="1"/>
        <rFont val="Calibri"/>
        <family val="2"/>
        <scheme val="minor"/>
      </rPr>
      <t>sauter / faire revenir</t>
    </r>
    <r>
      <rPr>
        <sz val="12"/>
        <color theme="1"/>
        <rFont val="Calibri"/>
        <family val="2"/>
        <scheme val="minor"/>
      </rPr>
      <t xml:space="preserve"> → sauté → </t>
    </r>
    <r>
      <rPr>
        <b/>
        <sz val="12"/>
        <color theme="1"/>
        <rFont val="Calibri"/>
        <family val="2"/>
        <scheme val="minor"/>
      </rPr>
      <t>saltear / rehogar</t>
    </r>
  </si>
  <si>
    <r>
      <t xml:space="preserve">faire rissoler → </t>
    </r>
    <r>
      <rPr>
        <b/>
        <sz val="12"/>
        <color theme="1"/>
        <rFont val="Calibri"/>
        <family val="2"/>
        <scheme val="minor"/>
      </rPr>
      <t>rissoler / dorer</t>
    </r>
    <r>
      <rPr>
        <sz val="12"/>
        <color theme="1"/>
        <rFont val="Calibri"/>
        <family val="2"/>
        <scheme val="minor"/>
      </rPr>
      <t xml:space="preserve"> → brown until crisp → </t>
    </r>
    <r>
      <rPr>
        <b/>
        <sz val="12"/>
        <color theme="1"/>
        <rFont val="Calibri"/>
        <family val="2"/>
        <scheme val="minor"/>
      </rPr>
      <t>dorar hasta crujiente</t>
    </r>
  </si>
  <si>
    <r>
      <t xml:space="preserve">faire frire → </t>
    </r>
    <r>
      <rPr>
        <b/>
        <sz val="12"/>
        <color theme="1"/>
        <rFont val="Calibri"/>
        <family val="2"/>
        <scheme val="minor"/>
      </rPr>
      <t>frire</t>
    </r>
    <r>
      <rPr>
        <sz val="12"/>
        <color theme="1"/>
        <rFont val="Calibri"/>
        <family val="2"/>
        <scheme val="minor"/>
      </rPr>
      <t xml:space="preserve"> → fry / deep-fry → </t>
    </r>
    <r>
      <rPr>
        <b/>
        <sz val="12"/>
        <color theme="1"/>
        <rFont val="Calibri"/>
        <family val="2"/>
        <scheme val="minor"/>
      </rPr>
      <t>freír</t>
    </r>
  </si>
  <si>
    <r>
      <t xml:space="preserve">faire fondre → </t>
    </r>
    <r>
      <rPr>
        <b/>
        <sz val="12"/>
        <color theme="1"/>
        <rFont val="Calibri"/>
        <family val="2"/>
        <scheme val="minor"/>
      </rPr>
      <t>fondre</t>
    </r>
    <r>
      <rPr>
        <sz val="12"/>
        <color theme="1"/>
        <rFont val="Calibri"/>
        <family val="2"/>
        <scheme val="minor"/>
      </rPr>
      <t xml:space="preserve"> → melt → </t>
    </r>
    <r>
      <rPr>
        <b/>
        <sz val="12"/>
        <color theme="1"/>
        <rFont val="Calibri"/>
        <family val="2"/>
        <scheme val="minor"/>
      </rPr>
      <t>fundir / derretir</t>
    </r>
  </si>
  <si>
    <r>
      <t xml:space="preserve">faire réduire → </t>
    </r>
    <r>
      <rPr>
        <b/>
        <sz val="12"/>
        <color theme="1"/>
        <rFont val="Calibri"/>
        <family val="2"/>
        <scheme val="minor"/>
      </rPr>
      <t>réduire</t>
    </r>
    <r>
      <rPr>
        <sz val="12"/>
        <color theme="1"/>
        <rFont val="Calibri"/>
        <family val="2"/>
        <scheme val="minor"/>
      </rPr>
      <t xml:space="preserve"> → reduce → </t>
    </r>
    <r>
      <rPr>
        <b/>
        <sz val="12"/>
        <color theme="1"/>
        <rFont val="Calibri"/>
        <family val="2"/>
        <scheme val="minor"/>
      </rPr>
      <t>reducir</t>
    </r>
  </si>
  <si>
    <r>
      <t xml:space="preserve">faire gratiner → </t>
    </r>
    <r>
      <rPr>
        <b/>
        <sz val="12"/>
        <color theme="1"/>
        <rFont val="Calibri"/>
        <family val="2"/>
        <scheme val="minor"/>
      </rPr>
      <t>gratiner</t>
    </r>
    <r>
      <rPr>
        <sz val="12"/>
        <color theme="1"/>
        <rFont val="Calibri"/>
        <family val="2"/>
        <scheme val="minor"/>
      </rPr>
      <t xml:space="preserve"> → gratinate / brown → </t>
    </r>
    <r>
      <rPr>
        <b/>
        <sz val="12"/>
        <color theme="1"/>
        <rFont val="Calibri"/>
        <family val="2"/>
        <scheme val="minor"/>
      </rPr>
      <t>gratinar</t>
    </r>
  </si>
  <si>
    <r>
      <t xml:space="preserve">faire pocher → </t>
    </r>
    <r>
      <rPr>
        <b/>
        <sz val="12"/>
        <color theme="1"/>
        <rFont val="Calibri"/>
        <family val="2"/>
        <scheme val="minor"/>
      </rPr>
      <t>pocher</t>
    </r>
    <r>
      <rPr>
        <sz val="12"/>
        <color theme="1"/>
        <rFont val="Calibri"/>
        <family val="2"/>
        <scheme val="minor"/>
      </rPr>
      <t xml:space="preserve"> → poach → </t>
    </r>
    <r>
      <rPr>
        <b/>
        <sz val="12"/>
        <color theme="1"/>
        <rFont val="Calibri"/>
        <family val="2"/>
        <scheme val="minor"/>
      </rPr>
      <t>escalfar/pochar</t>
    </r>
  </si>
  <si>
    <r>
      <t xml:space="preserve">faire une pré-cuisson → </t>
    </r>
    <r>
      <rPr>
        <b/>
        <sz val="12"/>
        <color theme="1"/>
        <rFont val="Calibri"/>
        <family val="2"/>
        <scheme val="minor"/>
      </rPr>
      <t>précuire</t>
    </r>
    <r>
      <rPr>
        <sz val="12"/>
        <color theme="1"/>
        <rFont val="Calibri"/>
        <family val="2"/>
        <scheme val="minor"/>
      </rPr>
      <t xml:space="preserve"> → par-cook → </t>
    </r>
    <r>
      <rPr>
        <b/>
        <sz val="12"/>
        <color theme="1"/>
        <rFont val="Calibri"/>
        <family val="2"/>
        <scheme val="minor"/>
      </rPr>
      <t>precocer</t>
    </r>
  </si>
  <si>
    <r>
      <t xml:space="preserve">faire refroidir → </t>
    </r>
    <r>
      <rPr>
        <b/>
        <sz val="12"/>
        <color theme="1"/>
        <rFont val="Calibri"/>
        <family val="2"/>
        <scheme val="minor"/>
      </rPr>
      <t>refroidir / abattre</t>
    </r>
    <r>
      <rPr>
        <sz val="12"/>
        <color theme="1"/>
        <rFont val="Calibri"/>
        <family val="2"/>
        <scheme val="minor"/>
      </rPr>
      <t xml:space="preserve"> → cool / blast-chill → </t>
    </r>
    <r>
      <rPr>
        <b/>
        <sz val="12"/>
        <color theme="1"/>
        <rFont val="Calibri"/>
        <family val="2"/>
        <scheme val="minor"/>
      </rPr>
      <t>enfriar / abatir</t>
    </r>
  </si>
  <si>
    <r>
      <t xml:space="preserve">faire réchauffer → </t>
    </r>
    <r>
      <rPr>
        <b/>
        <sz val="12"/>
        <color theme="1"/>
        <rFont val="Calibri"/>
        <family val="2"/>
        <scheme val="minor"/>
      </rPr>
      <t>réchauffer / régénérer</t>
    </r>
    <r>
      <rPr>
        <sz val="12"/>
        <color theme="1"/>
        <rFont val="Calibri"/>
        <family val="2"/>
        <scheme val="minor"/>
      </rPr>
      <t xml:space="preserve"> → reheat / retherm → </t>
    </r>
    <r>
      <rPr>
        <b/>
        <sz val="12"/>
        <color theme="1"/>
        <rFont val="Calibri"/>
        <family val="2"/>
        <scheme val="minor"/>
      </rPr>
      <t>recalentar / regenerar</t>
    </r>
  </si>
  <si>
    <r>
      <t xml:space="preserve">faire un glaçage → </t>
    </r>
    <r>
      <rPr>
        <b/>
        <sz val="12"/>
        <color theme="1"/>
        <rFont val="Calibri"/>
        <family val="2"/>
        <scheme val="minor"/>
      </rPr>
      <t>glacer / préparer un glaçage</t>
    </r>
    <r>
      <rPr>
        <sz val="12"/>
        <color theme="1"/>
        <rFont val="Calibri"/>
        <family val="2"/>
        <scheme val="minor"/>
      </rPr>
      <t xml:space="preserve"> → glaze / make a glaze → </t>
    </r>
    <r>
      <rPr>
        <b/>
        <sz val="12"/>
        <color theme="1"/>
        <rFont val="Calibri"/>
        <family val="2"/>
        <scheme val="minor"/>
      </rPr>
      <t>glasear / preparar un glaseado</t>
    </r>
  </si>
  <si>
    <r>
      <t xml:space="preserve">faire un praliné → </t>
    </r>
    <r>
      <rPr>
        <b/>
        <sz val="12"/>
        <color theme="1"/>
        <rFont val="Calibri"/>
        <family val="2"/>
        <scheme val="minor"/>
      </rPr>
      <t>praliner / préparer du praliné</t>
    </r>
    <r>
      <rPr>
        <sz val="12"/>
        <color theme="1"/>
        <rFont val="Calibri"/>
        <family val="2"/>
        <scheme val="minor"/>
      </rPr>
      <t xml:space="preserve"> → make praliné → </t>
    </r>
    <r>
      <rPr>
        <b/>
        <sz val="12"/>
        <color theme="1"/>
        <rFont val="Calibri"/>
        <family val="2"/>
        <scheme val="minor"/>
      </rPr>
      <t>hacer praliné</t>
    </r>
  </si>
  <si>
    <r>
      <t xml:space="preserve">faire une ganache → </t>
    </r>
    <r>
      <rPr>
        <b/>
        <sz val="12"/>
        <color theme="1"/>
        <rFont val="Calibri"/>
        <family val="2"/>
        <scheme val="minor"/>
      </rPr>
      <t>préparer une ganache</t>
    </r>
    <r>
      <rPr>
        <sz val="12"/>
        <color theme="1"/>
        <rFont val="Calibri"/>
        <family val="2"/>
        <scheme val="minor"/>
      </rPr>
      <t xml:space="preserve"> → make ganache → </t>
    </r>
    <r>
      <rPr>
        <b/>
        <sz val="12"/>
        <color theme="1"/>
        <rFont val="Calibri"/>
        <family val="2"/>
        <scheme val="minor"/>
      </rPr>
      <t>preparar una ganache</t>
    </r>
  </si>
  <si>
    <r>
      <t xml:space="preserve">faire une crème montée → </t>
    </r>
    <r>
      <rPr>
        <b/>
        <sz val="12"/>
        <color theme="1"/>
        <rFont val="Calibri"/>
        <family val="2"/>
        <scheme val="minor"/>
      </rPr>
      <t>monter la crème</t>
    </r>
    <r>
      <rPr>
        <sz val="12"/>
        <color theme="1"/>
        <rFont val="Calibri"/>
        <family val="2"/>
        <scheme val="minor"/>
      </rPr>
      <t xml:space="preserve"> → whip the cream → </t>
    </r>
    <r>
      <rPr>
        <b/>
        <sz val="12"/>
        <color theme="1"/>
        <rFont val="Calibri"/>
        <family val="2"/>
        <scheme val="minor"/>
      </rPr>
      <t>montar la nata</t>
    </r>
  </si>
  <si>
    <r>
      <t xml:space="preserve">faire prendre au froid → </t>
    </r>
    <r>
      <rPr>
        <b/>
        <sz val="12"/>
        <color theme="1"/>
        <rFont val="Calibri"/>
        <family val="2"/>
        <scheme val="minor"/>
      </rPr>
      <t>faire gélifier / laisser prendre</t>
    </r>
    <r>
      <rPr>
        <sz val="12"/>
        <color theme="1"/>
        <rFont val="Calibri"/>
        <family val="2"/>
        <scheme val="minor"/>
      </rPr>
      <t xml:space="preserve"> → set / gel → </t>
    </r>
    <r>
      <rPr>
        <b/>
        <sz val="12"/>
        <color theme="1"/>
        <rFont val="Calibri"/>
        <family val="2"/>
        <scheme val="minor"/>
      </rPr>
      <t>cuajar / gelificar</t>
    </r>
  </si>
  <si>
    <r>
      <t xml:space="preserve">faire le tempérage → </t>
    </r>
    <r>
      <rPr>
        <b/>
        <sz val="12"/>
        <color theme="1"/>
        <rFont val="Calibri"/>
        <family val="2"/>
        <scheme val="minor"/>
      </rPr>
      <t>tempérer (le chocolat)</t>
    </r>
    <r>
      <rPr>
        <sz val="12"/>
        <color theme="1"/>
        <rFont val="Calibri"/>
        <family val="2"/>
        <scheme val="minor"/>
      </rPr>
      <t xml:space="preserve"> → temper chocolate → </t>
    </r>
    <r>
      <rPr>
        <b/>
        <sz val="12"/>
        <color theme="1"/>
        <rFont val="Calibri"/>
        <family val="2"/>
        <scheme val="minor"/>
      </rPr>
      <t>atemperar el chocolate</t>
    </r>
  </si>
  <si>
    <r>
      <t xml:space="preserve">faire l’assaisonnement → </t>
    </r>
    <r>
      <rPr>
        <b/>
        <sz val="12"/>
        <color theme="1"/>
        <rFont val="Calibri"/>
        <family val="2"/>
        <scheme val="minor"/>
      </rPr>
      <t>assaisonner / rectifier</t>
    </r>
    <r>
      <rPr>
        <sz val="12"/>
        <color theme="1"/>
        <rFont val="Calibri"/>
        <family val="2"/>
        <scheme val="minor"/>
      </rPr>
      <t xml:space="preserve"> → season / adjust → </t>
    </r>
    <r>
      <rPr>
        <b/>
        <sz val="12"/>
        <color theme="1"/>
        <rFont val="Calibri"/>
        <family val="2"/>
        <scheme val="minor"/>
      </rPr>
      <t>sazonar / rectificar</t>
    </r>
  </si>
  <si>
    <r>
      <t xml:space="preserve">faire un nappage → </t>
    </r>
    <r>
      <rPr>
        <b/>
        <sz val="12"/>
        <color theme="1"/>
        <rFont val="Calibri"/>
        <family val="2"/>
        <scheme val="minor"/>
      </rPr>
      <t>napper</t>
    </r>
    <r>
      <rPr>
        <sz val="12"/>
        <color theme="1"/>
        <rFont val="Calibri"/>
        <family val="2"/>
        <scheme val="minor"/>
      </rPr>
      <t xml:space="preserve"> → coat / nap → </t>
    </r>
    <r>
      <rPr>
        <b/>
        <sz val="12"/>
        <color theme="1"/>
        <rFont val="Calibri"/>
        <family val="2"/>
        <scheme val="minor"/>
      </rPr>
      <t>napar / cubrir</t>
    </r>
  </si>
  <si>
    <r>
      <t xml:space="preserve">faire briller → </t>
    </r>
    <r>
      <rPr>
        <b/>
        <sz val="12"/>
        <color theme="1"/>
        <rFont val="Calibri"/>
        <family val="2"/>
        <scheme val="minor"/>
      </rPr>
      <t>lustrer / abrillanter</t>
    </r>
    <r>
      <rPr>
        <sz val="12"/>
        <color theme="1"/>
        <rFont val="Calibri"/>
        <family val="2"/>
        <scheme val="minor"/>
      </rPr>
      <t xml:space="preserve"> → glaze for shine → </t>
    </r>
    <r>
      <rPr>
        <b/>
        <sz val="12"/>
        <color theme="1"/>
        <rFont val="Calibri"/>
        <family val="2"/>
        <scheme val="minor"/>
      </rPr>
      <t>abrillantar</t>
    </r>
  </si>
  <si>
    <r>
      <t xml:space="preserve">faire un décor → </t>
    </r>
    <r>
      <rPr>
        <b/>
        <sz val="12"/>
        <color theme="1"/>
        <rFont val="Calibri"/>
        <family val="2"/>
        <scheme val="minor"/>
      </rPr>
      <t>décorer / chiqueter / rayer / quadriller</t>
    </r>
    <r>
      <rPr>
        <sz val="12"/>
        <color theme="1"/>
        <rFont val="Calibri"/>
        <family val="2"/>
        <scheme val="minor"/>
      </rPr>
      <t xml:space="preserve"> → decorate / crimp / score → </t>
    </r>
    <r>
      <rPr>
        <b/>
        <sz val="12"/>
        <color theme="1"/>
        <rFont val="Calibri"/>
        <family val="2"/>
        <scheme val="minor"/>
      </rPr>
      <t>decorar / festonear / rayar</t>
    </r>
  </si>
  <si>
    <r>
      <t xml:space="preserve">Quand tu hésites, remplace “faire” par le </t>
    </r>
    <r>
      <rPr>
        <b/>
        <sz val="12"/>
        <color theme="1"/>
        <rFont val="Calibri"/>
        <family val="2"/>
        <scheme val="minor"/>
      </rPr>
      <t>verbe technique</t>
    </r>
    <r>
      <rPr>
        <sz val="12"/>
        <color theme="1"/>
        <rFont val="Calibri"/>
        <family val="2"/>
        <scheme val="minor"/>
      </rPr>
      <t xml:space="preserve"> de l’action réelle :</t>
    </r>
  </si>
  <si>
    <r>
      <t>faire une pesée</t>
    </r>
    <r>
      <rPr>
        <sz val="12"/>
        <color theme="1"/>
        <rFont val="Calibri"/>
        <family val="2"/>
        <scheme val="minor"/>
      </rPr>
      <t xml:space="preserve"> → </t>
    </r>
    <r>
      <rPr>
        <b/>
        <sz val="12"/>
        <color theme="1"/>
        <rFont val="Calibri"/>
        <family val="2"/>
        <scheme val="minor"/>
      </rPr>
      <t>peser</t>
    </r>
    <r>
      <rPr>
        <sz val="12"/>
        <color theme="1"/>
        <rFont val="Calibri"/>
        <family val="2"/>
        <scheme val="minor"/>
      </rPr>
      <t xml:space="preserve">, </t>
    </r>
    <r>
      <rPr>
        <i/>
        <sz val="12"/>
        <color theme="1"/>
        <rFont val="Calibri"/>
        <family val="2"/>
        <scheme val="minor"/>
      </rPr>
      <t>faire un refroidissement</t>
    </r>
    <r>
      <rPr>
        <sz val="12"/>
        <color theme="1"/>
        <rFont val="Calibri"/>
        <family val="2"/>
        <scheme val="minor"/>
      </rPr>
      <t xml:space="preserve"> → </t>
    </r>
    <r>
      <rPr>
        <b/>
        <sz val="12"/>
        <color theme="1"/>
        <rFont val="Calibri"/>
        <family val="2"/>
        <scheme val="minor"/>
      </rPr>
      <t>refroidir</t>
    </r>
    <r>
      <rPr>
        <sz val="12"/>
        <color theme="1"/>
        <rFont val="Calibri"/>
        <family val="2"/>
        <scheme val="minor"/>
      </rPr>
      <t xml:space="preserve">, </t>
    </r>
    <r>
      <rPr>
        <i/>
        <sz val="12"/>
        <color theme="1"/>
        <rFont val="Calibri"/>
        <family val="2"/>
        <scheme val="minor"/>
      </rPr>
      <t>faire un contrôle</t>
    </r>
    <r>
      <rPr>
        <sz val="12"/>
        <color theme="1"/>
        <rFont val="Calibri"/>
        <family val="2"/>
        <scheme val="minor"/>
      </rPr>
      <t xml:space="preserve"> → </t>
    </r>
    <r>
      <rPr>
        <b/>
        <sz val="12"/>
        <color theme="1"/>
        <rFont val="Calibri"/>
        <family val="2"/>
        <scheme val="minor"/>
      </rPr>
      <t>contrôler</t>
    </r>
    <r>
      <rPr>
        <sz val="12"/>
        <color theme="1"/>
        <rFont val="Calibri"/>
        <family val="2"/>
        <scheme val="minor"/>
      </rPr>
      <t xml:space="preserve">, </t>
    </r>
    <r>
      <rPr>
        <i/>
        <sz val="12"/>
        <color theme="1"/>
        <rFont val="Calibri"/>
        <family val="2"/>
        <scheme val="minor"/>
      </rPr>
      <t>faire une mise en bac</t>
    </r>
    <r>
      <rPr>
        <sz val="12"/>
        <color theme="1"/>
        <rFont val="Calibri"/>
        <family val="2"/>
        <scheme val="minor"/>
      </rPr>
      <t xml:space="preserve"> → </t>
    </r>
    <r>
      <rPr>
        <b/>
        <sz val="12"/>
        <color theme="1"/>
        <rFont val="Calibri"/>
        <family val="2"/>
        <scheme val="minor"/>
      </rPr>
      <t>mettre en bac</t>
    </r>
    <r>
      <rPr>
        <sz val="12"/>
        <color theme="1"/>
        <rFont val="Calibri"/>
        <family val="2"/>
        <scheme val="minor"/>
      </rPr>
      <t>, etc.</t>
    </r>
  </si>
  <si>
    <t>faire le ménage → nettoyer → clean → limpiar — ES(ES/MX/AR): limpiar</t>
  </si>
  <si>
    <t>faire la désinfection → désinfecter / assainir → disinfect / sanitize → desinfectar / sanear — ES(ES): desinfectar / sanear · ES(MX): desinfectar / sanitizar · ES(AR): desinfectar / sanitizar</t>
  </si>
  <si>
    <t>faire un contrôle → contrôler / vérifier → check / inspect → controlar / verificar — ES(ES): controlar / comprobar · ES(MX): controlar / verificar · ES(AR): controlar / verificar (chequear)</t>
  </si>
  <si>
    <t>faire une prise de température → sonder / relever la température → probe / take temperature → sondear / medir la temperatura — ES(ES): sondear / medir la temperatura · ES(MX): medir la temperatura (con sonda) · ES(AR): medir la temperatura (con sonda)</t>
  </si>
  <si>
    <t>faire l’enregistrement → enregistrer / consigner → record / log → registrar / consignar — ES(ES): registrar / anotar · ES(MX): registrar / asentar (en bitácora) · ES(AR): registrar / asentar</t>
  </si>
  <si>
    <t>faire un audit → auditer → audit → auditar — ES(ES/MX/AR): auditar</t>
  </si>
  <si>
    <r>
      <t xml:space="preserve">faire l’étiquetage → étiqueter → label → etiquetar — </t>
    </r>
    <r>
      <rPr>
        <b/>
        <sz val="12"/>
        <color theme="1"/>
        <rFont val="Calibri"/>
        <family val="2"/>
        <scheme val="minor"/>
      </rPr>
      <t>ES(ES):</t>
    </r>
    <r>
      <rPr>
        <sz val="12"/>
        <color theme="1"/>
        <rFont val="Calibri"/>
        <family val="2"/>
        <scheme val="minor"/>
      </rPr>
      <t xml:space="preserve"> etiquetar / </t>
    </r>
    <r>
      <rPr>
        <b/>
        <sz val="12"/>
        <color theme="1"/>
        <rFont val="Calibri"/>
        <family val="2"/>
        <scheme val="minor"/>
      </rPr>
      <t>rotular</t>
    </r>
    <r>
      <rPr>
        <sz val="12"/>
        <color theme="1"/>
        <rFont val="Calibri"/>
        <family val="2"/>
        <scheme val="minor"/>
      </rPr>
      <t xml:space="preserve"> · </t>
    </r>
    <r>
      <rPr>
        <b/>
        <sz val="12"/>
        <color theme="1"/>
        <rFont val="Calibri"/>
        <family val="2"/>
        <scheme val="minor"/>
      </rPr>
      <t>ES(MX):</t>
    </r>
    <r>
      <rPr>
        <sz val="12"/>
        <color theme="1"/>
        <rFont val="Calibri"/>
        <family val="2"/>
        <scheme val="minor"/>
      </rPr>
      <t xml:space="preserve"> etiquetar · </t>
    </r>
    <r>
      <rPr>
        <b/>
        <sz val="12"/>
        <color theme="1"/>
        <rFont val="Calibri"/>
        <family val="2"/>
        <scheme val="minor"/>
      </rPr>
      <t>ES(AR):</t>
    </r>
    <r>
      <rPr>
        <sz val="12"/>
        <color theme="1"/>
        <rFont val="Calibri"/>
        <family val="2"/>
        <scheme val="minor"/>
      </rPr>
      <t xml:space="preserve"> etiquetar</t>
    </r>
  </si>
  <si>
    <r>
      <t xml:space="preserve">faire l’operculage → operculer / sceller → seal / lid → termosellar / sellar — </t>
    </r>
    <r>
      <rPr>
        <b/>
        <sz val="12"/>
        <color theme="1"/>
        <rFont val="Calibri"/>
        <family val="2"/>
        <scheme val="minor"/>
      </rPr>
      <t>ES(ES):</t>
    </r>
    <r>
      <rPr>
        <sz val="12"/>
        <color theme="1"/>
        <rFont val="Calibri"/>
        <family val="2"/>
        <scheme val="minor"/>
      </rPr>
      <t xml:space="preserve"> </t>
    </r>
    <r>
      <rPr>
        <b/>
        <sz val="12"/>
        <color theme="1"/>
        <rFont val="Calibri"/>
        <family val="2"/>
        <scheme val="minor"/>
      </rPr>
      <t>termosellar</t>
    </r>
    <r>
      <rPr>
        <sz val="12"/>
        <color theme="1"/>
        <rFont val="Calibri"/>
        <family val="2"/>
        <scheme val="minor"/>
      </rPr>
      <t xml:space="preserve"> / sellar con </t>
    </r>
    <r>
      <rPr>
        <b/>
        <sz val="12"/>
        <color theme="1"/>
        <rFont val="Calibri"/>
        <family val="2"/>
        <scheme val="minor"/>
      </rPr>
      <t>opérculo</t>
    </r>
    <r>
      <rPr>
        <sz val="12"/>
        <color theme="1"/>
        <rFont val="Calibri"/>
        <family val="2"/>
        <scheme val="minor"/>
      </rPr>
      <t xml:space="preserve"> · </t>
    </r>
    <r>
      <rPr>
        <b/>
        <sz val="12"/>
        <color theme="1"/>
        <rFont val="Calibri"/>
        <family val="2"/>
        <scheme val="minor"/>
      </rPr>
      <t>ES(MX):</t>
    </r>
    <r>
      <rPr>
        <sz val="12"/>
        <color theme="1"/>
        <rFont val="Calibri"/>
        <family val="2"/>
        <scheme val="minor"/>
      </rPr>
      <t xml:space="preserve"> </t>
    </r>
    <r>
      <rPr>
        <b/>
        <sz val="12"/>
        <color theme="1"/>
        <rFont val="Calibri"/>
        <family val="2"/>
        <scheme val="minor"/>
      </rPr>
      <t>termosellar</t>
    </r>
    <r>
      <rPr>
        <sz val="12"/>
        <color theme="1"/>
        <rFont val="Calibri"/>
        <family val="2"/>
        <scheme val="minor"/>
      </rPr>
      <t xml:space="preserve"> / sellar con </t>
    </r>
    <r>
      <rPr>
        <b/>
        <sz val="12"/>
        <color theme="1"/>
        <rFont val="Calibri"/>
        <family val="2"/>
        <scheme val="minor"/>
      </rPr>
      <t>tapa</t>
    </r>
    <r>
      <rPr>
        <sz val="12"/>
        <color theme="1"/>
        <rFont val="Calibri"/>
        <family val="2"/>
        <scheme val="minor"/>
      </rPr>
      <t xml:space="preserve"> · </t>
    </r>
    <r>
      <rPr>
        <b/>
        <sz val="12"/>
        <color theme="1"/>
        <rFont val="Calibri"/>
        <family val="2"/>
        <scheme val="minor"/>
      </rPr>
      <t>ES(AR):</t>
    </r>
    <r>
      <rPr>
        <sz val="12"/>
        <color theme="1"/>
        <rFont val="Calibri"/>
        <family val="2"/>
        <scheme val="minor"/>
      </rPr>
      <t xml:space="preserve"> </t>
    </r>
    <r>
      <rPr>
        <b/>
        <sz val="12"/>
        <color theme="1"/>
        <rFont val="Calibri"/>
        <family val="2"/>
        <scheme val="minor"/>
      </rPr>
      <t>termosellar</t>
    </r>
    <r>
      <rPr>
        <sz val="12"/>
        <color theme="1"/>
        <rFont val="Calibri"/>
        <family val="2"/>
        <scheme val="minor"/>
      </rPr>
      <t xml:space="preserve"> / sellar con </t>
    </r>
    <r>
      <rPr>
        <b/>
        <sz val="12"/>
        <color theme="1"/>
        <rFont val="Calibri"/>
        <family val="2"/>
        <scheme val="minor"/>
      </rPr>
      <t>opérculo</t>
    </r>
  </si>
  <si>
    <r>
      <t xml:space="preserve">faire le filmage → filmer → wrap → envolver con film — </t>
    </r>
    <r>
      <rPr>
        <b/>
        <sz val="12"/>
        <color theme="1"/>
        <rFont val="Calibri"/>
        <family val="2"/>
        <scheme val="minor"/>
      </rPr>
      <t>ES(ES):</t>
    </r>
    <r>
      <rPr>
        <sz val="12"/>
        <color theme="1"/>
        <rFont val="Calibri"/>
        <family val="2"/>
        <scheme val="minor"/>
      </rPr>
      <t xml:space="preserve"> envolver con film (</t>
    </r>
    <r>
      <rPr>
        <b/>
        <sz val="12"/>
        <color theme="1"/>
        <rFont val="Calibri"/>
        <family val="2"/>
        <scheme val="minor"/>
      </rPr>
      <t>film transparente</t>
    </r>
    <r>
      <rPr>
        <sz val="12"/>
        <color theme="1"/>
        <rFont val="Calibri"/>
        <family val="2"/>
        <scheme val="minor"/>
      </rPr>
      <t xml:space="preserve">) · </t>
    </r>
    <r>
      <rPr>
        <b/>
        <sz val="12"/>
        <color theme="1"/>
        <rFont val="Calibri"/>
        <family val="2"/>
        <scheme val="minor"/>
      </rPr>
      <t>ES(MX):</t>
    </r>
    <r>
      <rPr>
        <sz val="12"/>
        <color theme="1"/>
        <rFont val="Calibri"/>
        <family val="2"/>
        <scheme val="minor"/>
      </rPr>
      <t xml:space="preserve"> envolver con </t>
    </r>
    <r>
      <rPr>
        <b/>
        <sz val="12"/>
        <color theme="1"/>
        <rFont val="Calibri"/>
        <family val="2"/>
        <scheme val="minor"/>
      </rPr>
      <t>plástico adherente</t>
    </r>
    <r>
      <rPr>
        <sz val="12"/>
        <color theme="1"/>
        <rFont val="Calibri"/>
        <family val="2"/>
        <scheme val="minor"/>
      </rPr>
      <t xml:space="preserve"> · </t>
    </r>
    <r>
      <rPr>
        <b/>
        <sz val="12"/>
        <color theme="1"/>
        <rFont val="Calibri"/>
        <family val="2"/>
        <scheme val="minor"/>
      </rPr>
      <t>ES(AR):</t>
    </r>
    <r>
      <rPr>
        <sz val="12"/>
        <color theme="1"/>
        <rFont val="Calibri"/>
        <family val="2"/>
        <scheme val="minor"/>
      </rPr>
      <t xml:space="preserve"> envolver con </t>
    </r>
    <r>
      <rPr>
        <b/>
        <sz val="12"/>
        <color theme="1"/>
        <rFont val="Calibri"/>
        <family val="2"/>
        <scheme val="minor"/>
      </rPr>
      <t>film</t>
    </r>
  </si>
  <si>
    <r>
      <t xml:space="preserve">faire le conditionnement → conditionner / emballer → package → envasar / empaquetar — </t>
    </r>
    <r>
      <rPr>
        <b/>
        <sz val="12"/>
        <color theme="1"/>
        <rFont val="Calibri"/>
        <family val="2"/>
        <scheme val="minor"/>
      </rPr>
      <t>ES(ES):</t>
    </r>
    <r>
      <rPr>
        <sz val="12"/>
        <color theme="1"/>
        <rFont val="Calibri"/>
        <family val="2"/>
        <scheme val="minor"/>
      </rPr>
      <t xml:space="preserve"> </t>
    </r>
    <r>
      <rPr>
        <b/>
        <sz val="12"/>
        <color theme="1"/>
        <rFont val="Calibri"/>
        <family val="2"/>
        <scheme val="minor"/>
      </rPr>
      <t>envasar / acondicionar / empaquetar</t>
    </r>
    <r>
      <rPr>
        <sz val="12"/>
        <color theme="1"/>
        <rFont val="Calibri"/>
        <family val="2"/>
        <scheme val="minor"/>
      </rPr>
      <t xml:space="preserve"> · </t>
    </r>
    <r>
      <rPr>
        <b/>
        <sz val="12"/>
        <color theme="1"/>
        <rFont val="Calibri"/>
        <family val="2"/>
        <scheme val="minor"/>
      </rPr>
      <t>ES(MX):</t>
    </r>
    <r>
      <rPr>
        <sz val="12"/>
        <color theme="1"/>
        <rFont val="Calibri"/>
        <family val="2"/>
        <scheme val="minor"/>
      </rPr>
      <t xml:space="preserve"> </t>
    </r>
    <r>
      <rPr>
        <b/>
        <sz val="12"/>
        <color theme="1"/>
        <rFont val="Calibri"/>
        <family val="2"/>
        <scheme val="minor"/>
      </rPr>
      <t>envasar / empacar</t>
    </r>
    <r>
      <rPr>
        <sz val="12"/>
        <color theme="1"/>
        <rFont val="Calibri"/>
        <family val="2"/>
        <scheme val="minor"/>
      </rPr>
      <t xml:space="preserve"> · </t>
    </r>
    <r>
      <rPr>
        <b/>
        <sz val="12"/>
        <color theme="1"/>
        <rFont val="Calibri"/>
        <family val="2"/>
        <scheme val="minor"/>
      </rPr>
      <t>ES(AR):</t>
    </r>
    <r>
      <rPr>
        <sz val="12"/>
        <color theme="1"/>
        <rFont val="Calibri"/>
        <family val="2"/>
        <scheme val="minor"/>
      </rPr>
      <t xml:space="preserve"> </t>
    </r>
    <r>
      <rPr>
        <b/>
        <sz val="12"/>
        <color theme="1"/>
        <rFont val="Calibri"/>
        <family val="2"/>
        <scheme val="minor"/>
      </rPr>
      <t>envasar / embalar</t>
    </r>
  </si>
  <si>
    <r>
      <t xml:space="preserve">faire le chargement → charger → load → cargar — </t>
    </r>
    <r>
      <rPr>
        <b/>
        <sz val="12"/>
        <color theme="1"/>
        <rFont val="Calibri"/>
        <family val="2"/>
        <scheme val="minor"/>
      </rPr>
      <t>ES(ES/MX/AR):</t>
    </r>
    <r>
      <rPr>
        <sz val="12"/>
        <color theme="1"/>
        <rFont val="Calibri"/>
        <family val="2"/>
        <scheme val="minor"/>
      </rPr>
      <t xml:space="preserve"> </t>
    </r>
    <r>
      <rPr>
        <b/>
        <sz val="12"/>
        <color theme="1"/>
        <rFont val="Calibri"/>
        <family val="2"/>
        <scheme val="minor"/>
      </rPr>
      <t>cargar</t>
    </r>
  </si>
  <si>
    <r>
      <t xml:space="preserve">faire le déchargement → décharger → unload → descargar — </t>
    </r>
    <r>
      <rPr>
        <b/>
        <sz val="12"/>
        <color theme="1"/>
        <rFont val="Calibri"/>
        <family val="2"/>
        <scheme val="minor"/>
      </rPr>
      <t>ES(ES/MX/AR):</t>
    </r>
    <r>
      <rPr>
        <sz val="12"/>
        <color theme="1"/>
        <rFont val="Calibri"/>
        <family val="2"/>
        <scheme val="minor"/>
      </rPr>
      <t xml:space="preserve"> </t>
    </r>
    <r>
      <rPr>
        <b/>
        <sz val="12"/>
        <color theme="1"/>
        <rFont val="Calibri"/>
        <family val="2"/>
        <scheme val="minor"/>
      </rPr>
      <t>descargar</t>
    </r>
  </si>
  <si>
    <r>
      <t xml:space="preserve">faire un rapport → rédiger un rapport → write a report → redactar un informe — </t>
    </r>
    <r>
      <rPr>
        <b/>
        <sz val="12"/>
        <color theme="1"/>
        <rFont val="Calibri"/>
        <family val="2"/>
        <scheme val="minor"/>
      </rPr>
      <t>ES(ES):</t>
    </r>
    <r>
      <rPr>
        <sz val="12"/>
        <color theme="1"/>
        <rFont val="Calibri"/>
        <family val="2"/>
        <scheme val="minor"/>
      </rPr>
      <t xml:space="preserve"> redactar/elaborar un informe · </t>
    </r>
    <r>
      <rPr>
        <b/>
        <sz val="12"/>
        <color theme="1"/>
        <rFont val="Calibri"/>
        <family val="2"/>
        <scheme val="minor"/>
      </rPr>
      <t>ES(MX):</t>
    </r>
    <r>
      <rPr>
        <sz val="12"/>
        <color theme="1"/>
        <rFont val="Calibri"/>
        <family val="2"/>
        <scheme val="minor"/>
      </rPr>
      <t xml:space="preserve"> elaborar/redactar un informe · </t>
    </r>
    <r>
      <rPr>
        <b/>
        <sz val="12"/>
        <color theme="1"/>
        <rFont val="Calibri"/>
        <family val="2"/>
        <scheme val="minor"/>
      </rPr>
      <t>ES(AR):</t>
    </r>
    <r>
      <rPr>
        <sz val="12"/>
        <color theme="1"/>
        <rFont val="Calibri"/>
        <family val="2"/>
        <scheme val="minor"/>
      </rPr>
      <t xml:space="preserve"> redactar/hacer un informe</t>
    </r>
  </si>
  <si>
    <r>
      <t xml:space="preserve">faire une commande → commander → place an order → hacer un pedido — </t>
    </r>
    <r>
      <rPr>
        <b/>
        <sz val="12"/>
        <color theme="1"/>
        <rFont val="Calibri"/>
        <family val="2"/>
        <scheme val="minor"/>
      </rPr>
      <t>ES(ES):</t>
    </r>
    <r>
      <rPr>
        <sz val="12"/>
        <color theme="1"/>
        <rFont val="Calibri"/>
        <family val="2"/>
        <scheme val="minor"/>
      </rPr>
      <t xml:space="preserve"> hacer/realizar un pedido · </t>
    </r>
    <r>
      <rPr>
        <b/>
        <sz val="12"/>
        <color theme="1"/>
        <rFont val="Calibri"/>
        <family val="2"/>
        <scheme val="minor"/>
      </rPr>
      <t>ES(MX):</t>
    </r>
    <r>
      <rPr>
        <sz val="12"/>
        <color theme="1"/>
        <rFont val="Calibri"/>
        <family val="2"/>
        <scheme val="minor"/>
      </rPr>
      <t xml:space="preserve"> realizar/hacer un pedido · </t>
    </r>
    <r>
      <rPr>
        <b/>
        <sz val="12"/>
        <color theme="1"/>
        <rFont val="Calibri"/>
        <family val="2"/>
        <scheme val="minor"/>
      </rPr>
      <t>ES(AR):</t>
    </r>
    <r>
      <rPr>
        <sz val="12"/>
        <color theme="1"/>
        <rFont val="Calibri"/>
        <family val="2"/>
        <scheme val="minor"/>
      </rPr>
      <t xml:space="preserve"> hacer/realizar un pedido</t>
    </r>
  </si>
  <si>
    <r>
      <t xml:space="preserve">faire un planning → planifier / établir un planning → plan / schedule → planificar / elaborar un planning — </t>
    </r>
    <r>
      <rPr>
        <b/>
        <sz val="12"/>
        <color theme="1"/>
        <rFont val="Calibri"/>
        <family val="2"/>
        <scheme val="minor"/>
      </rPr>
      <t>ES(ES):</t>
    </r>
    <r>
      <rPr>
        <sz val="12"/>
        <color theme="1"/>
        <rFont val="Calibri"/>
        <family val="2"/>
        <scheme val="minor"/>
      </rPr>
      <t xml:space="preserve"> planificar / elaborar un plan (</t>
    </r>
    <r>
      <rPr>
        <b/>
        <sz val="12"/>
        <color theme="1"/>
        <rFont val="Calibri"/>
        <family val="2"/>
        <scheme val="minor"/>
      </rPr>
      <t>calendario</t>
    </r>
    <r>
      <rPr>
        <sz val="12"/>
        <color theme="1"/>
        <rFont val="Calibri"/>
        <family val="2"/>
        <scheme val="minor"/>
      </rPr>
      <t xml:space="preserve">) · </t>
    </r>
    <r>
      <rPr>
        <b/>
        <sz val="12"/>
        <color theme="1"/>
        <rFont val="Calibri"/>
        <family val="2"/>
        <scheme val="minor"/>
      </rPr>
      <t>ES(MX):</t>
    </r>
    <r>
      <rPr>
        <sz val="12"/>
        <color theme="1"/>
        <rFont val="Calibri"/>
        <family val="2"/>
        <scheme val="minor"/>
      </rPr>
      <t xml:space="preserve"> programar / planear un </t>
    </r>
    <r>
      <rPr>
        <b/>
        <sz val="12"/>
        <color theme="1"/>
        <rFont val="Calibri"/>
        <family val="2"/>
        <scheme val="minor"/>
      </rPr>
      <t>calendario</t>
    </r>
    <r>
      <rPr>
        <sz val="12"/>
        <color theme="1"/>
        <rFont val="Calibri"/>
        <family val="2"/>
        <scheme val="minor"/>
      </rPr>
      <t xml:space="preserve"> · </t>
    </r>
    <r>
      <rPr>
        <b/>
        <sz val="12"/>
        <color theme="1"/>
        <rFont val="Calibri"/>
        <family val="2"/>
        <scheme val="minor"/>
      </rPr>
      <t>ES(AR):</t>
    </r>
    <r>
      <rPr>
        <sz val="12"/>
        <color theme="1"/>
        <rFont val="Calibri"/>
        <family val="2"/>
        <scheme val="minor"/>
      </rPr>
      <t xml:space="preserve"> planificar / armar un </t>
    </r>
    <r>
      <rPr>
        <b/>
        <sz val="12"/>
        <color theme="1"/>
        <rFont val="Calibri"/>
        <family val="2"/>
        <scheme val="minor"/>
      </rPr>
      <t>cronograma</t>
    </r>
  </si>
  <si>
    <r>
      <t xml:space="preserve">faire une analyse → analyser → analyze → analizar — </t>
    </r>
    <r>
      <rPr>
        <b/>
        <sz val="12"/>
        <color theme="1"/>
        <rFont val="Calibri"/>
        <family val="2"/>
        <scheme val="minor"/>
      </rPr>
      <t>ES(ES/MX/AR):</t>
    </r>
    <r>
      <rPr>
        <sz val="12"/>
        <color theme="1"/>
        <rFont val="Calibri"/>
        <family val="2"/>
        <scheme val="minor"/>
      </rPr>
      <t xml:space="preserve"> analizar</t>
    </r>
  </si>
  <si>
    <r>
      <t xml:space="preserve">faire une archive → archiver → archive → archivar — </t>
    </r>
    <r>
      <rPr>
        <b/>
        <sz val="12"/>
        <color theme="1"/>
        <rFont val="Calibri"/>
        <family val="2"/>
        <scheme val="minor"/>
      </rPr>
      <t>ES(ES/MX/AR):</t>
    </r>
    <r>
      <rPr>
        <sz val="12"/>
        <color theme="1"/>
        <rFont val="Calibri"/>
        <family val="2"/>
        <scheme val="minor"/>
      </rPr>
      <t xml:space="preserve"> archivar</t>
    </r>
  </si>
  <si>
    <r>
      <t xml:space="preserve">faire une mise à jour → mettre à jour → update → actualizar — </t>
    </r>
    <r>
      <rPr>
        <b/>
        <sz val="12"/>
        <color theme="1"/>
        <rFont val="Calibri"/>
        <family val="2"/>
        <scheme val="minor"/>
      </rPr>
      <t>ES(ES/MX/AR):</t>
    </r>
    <r>
      <rPr>
        <sz val="12"/>
        <color theme="1"/>
        <rFont val="Calibri"/>
        <family val="2"/>
        <scheme val="minor"/>
      </rPr>
      <t xml:space="preserve"> actualizar</t>
    </r>
  </si>
  <si>
    <r>
      <t xml:space="preserve">faire un paramétrage → paramétrer / configurer → set up / configure → configurar — </t>
    </r>
    <r>
      <rPr>
        <b/>
        <sz val="12"/>
        <color theme="1"/>
        <rFont val="Calibri"/>
        <family val="2"/>
        <scheme val="minor"/>
      </rPr>
      <t>ES(ES):</t>
    </r>
    <r>
      <rPr>
        <sz val="12"/>
        <color theme="1"/>
        <rFont val="Calibri"/>
        <family val="2"/>
        <scheme val="minor"/>
      </rPr>
      <t xml:space="preserve"> configurar/</t>
    </r>
    <r>
      <rPr>
        <b/>
        <sz val="12"/>
        <color theme="1"/>
        <rFont val="Calibri"/>
        <family val="2"/>
        <scheme val="minor"/>
      </rPr>
      <t>parametrizar</t>
    </r>
    <r>
      <rPr>
        <sz val="12"/>
        <color theme="1"/>
        <rFont val="Calibri"/>
        <family val="2"/>
        <scheme val="minor"/>
      </rPr>
      <t xml:space="preserve"> · </t>
    </r>
    <r>
      <rPr>
        <b/>
        <sz val="12"/>
        <color theme="1"/>
        <rFont val="Calibri"/>
        <family val="2"/>
        <scheme val="minor"/>
      </rPr>
      <t>ES(MX):</t>
    </r>
    <r>
      <rPr>
        <sz val="12"/>
        <color theme="1"/>
        <rFont val="Calibri"/>
        <family val="2"/>
        <scheme val="minor"/>
      </rPr>
      <t xml:space="preserve"> configurar/</t>
    </r>
    <r>
      <rPr>
        <b/>
        <sz val="12"/>
        <color theme="1"/>
        <rFont val="Calibri"/>
        <family val="2"/>
        <scheme val="minor"/>
      </rPr>
      <t>parametrizar</t>
    </r>
    <r>
      <rPr>
        <sz val="12"/>
        <color theme="1"/>
        <rFont val="Calibri"/>
        <family val="2"/>
        <scheme val="minor"/>
      </rPr>
      <t xml:space="preserve"> (ajustes) · </t>
    </r>
    <r>
      <rPr>
        <b/>
        <sz val="12"/>
        <color theme="1"/>
        <rFont val="Calibri"/>
        <family val="2"/>
        <scheme val="minor"/>
      </rPr>
      <t>ES(AR):</t>
    </r>
    <r>
      <rPr>
        <sz val="12"/>
        <color theme="1"/>
        <rFont val="Calibri"/>
        <family val="2"/>
        <scheme val="minor"/>
      </rPr>
      <t xml:space="preserve"> configurar/</t>
    </r>
    <r>
      <rPr>
        <b/>
        <sz val="12"/>
        <color theme="1"/>
        <rFont val="Calibri"/>
        <family val="2"/>
        <scheme val="minor"/>
      </rPr>
      <t>parametrizar</t>
    </r>
  </si>
  <si>
    <r>
      <t xml:space="preserve">faire la maintenance → maintenir / assurer la maintenance → maintain / service → mantener / realizar el mantenimiento — </t>
    </r>
    <r>
      <rPr>
        <b/>
        <sz val="12"/>
        <color theme="1"/>
        <rFont val="Calibri"/>
        <family val="2"/>
        <scheme val="minor"/>
      </rPr>
      <t>ES(ES):</t>
    </r>
    <r>
      <rPr>
        <sz val="12"/>
        <color theme="1"/>
        <rFont val="Calibri"/>
        <family val="2"/>
        <scheme val="minor"/>
      </rPr>
      <t xml:space="preserve"> mantener / </t>
    </r>
    <r>
      <rPr>
        <b/>
        <sz val="12"/>
        <color theme="1"/>
        <rFont val="Calibri"/>
        <family val="2"/>
        <scheme val="minor"/>
      </rPr>
      <t>realizar</t>
    </r>
    <r>
      <rPr>
        <sz val="12"/>
        <color theme="1"/>
        <rFont val="Calibri"/>
        <family val="2"/>
        <scheme val="minor"/>
      </rPr>
      <t>/</t>
    </r>
    <r>
      <rPr>
        <b/>
        <sz val="12"/>
        <color theme="1"/>
        <rFont val="Calibri"/>
        <family val="2"/>
        <scheme val="minor"/>
      </rPr>
      <t>efectuar</t>
    </r>
    <r>
      <rPr>
        <sz val="12"/>
        <color theme="1"/>
        <rFont val="Calibri"/>
        <family val="2"/>
        <scheme val="minor"/>
      </rPr>
      <t xml:space="preserve"> el mantenimiento · </t>
    </r>
    <r>
      <rPr>
        <b/>
        <sz val="12"/>
        <color theme="1"/>
        <rFont val="Calibri"/>
        <family val="2"/>
        <scheme val="minor"/>
      </rPr>
      <t>ES(MX):</t>
    </r>
    <r>
      <rPr>
        <sz val="12"/>
        <color theme="1"/>
        <rFont val="Calibri"/>
        <family val="2"/>
        <scheme val="minor"/>
      </rPr>
      <t xml:space="preserve"> mantener / </t>
    </r>
    <r>
      <rPr>
        <b/>
        <sz val="12"/>
        <color theme="1"/>
        <rFont val="Calibri"/>
        <family val="2"/>
        <scheme val="minor"/>
      </rPr>
      <t>dar mantenimiento</t>
    </r>
    <r>
      <rPr>
        <sz val="12"/>
        <color theme="1"/>
        <rFont val="Calibri"/>
        <family val="2"/>
        <scheme val="minor"/>
      </rPr>
      <t xml:space="preserve"> · </t>
    </r>
    <r>
      <rPr>
        <b/>
        <sz val="12"/>
        <color theme="1"/>
        <rFont val="Calibri"/>
        <family val="2"/>
        <scheme val="minor"/>
      </rPr>
      <t>ES(AR):</t>
    </r>
    <r>
      <rPr>
        <sz val="12"/>
        <color theme="1"/>
        <rFont val="Calibri"/>
        <family val="2"/>
        <scheme val="minor"/>
      </rPr>
      <t xml:space="preserve"> mantener / </t>
    </r>
    <r>
      <rPr>
        <b/>
        <sz val="12"/>
        <color theme="1"/>
        <rFont val="Calibri"/>
        <family val="2"/>
        <scheme val="minor"/>
      </rPr>
      <t>hacer mantenimiento</t>
    </r>
  </si>
  <si>
    <r>
      <t xml:space="preserve">faire une réparation → réparer → repair → reparar — </t>
    </r>
    <r>
      <rPr>
        <b/>
        <sz val="12"/>
        <color theme="1"/>
        <rFont val="Calibri"/>
        <family val="2"/>
        <scheme val="minor"/>
      </rPr>
      <t>ES(ES):</t>
    </r>
    <r>
      <rPr>
        <sz val="12"/>
        <color theme="1"/>
        <rFont val="Calibri"/>
        <family val="2"/>
        <scheme val="minor"/>
      </rPr>
      <t xml:space="preserve"> reparar / hacer una reparación · </t>
    </r>
    <r>
      <rPr>
        <b/>
        <sz val="12"/>
        <color theme="1"/>
        <rFont val="Calibri"/>
        <family val="2"/>
        <scheme val="minor"/>
      </rPr>
      <t>ES(MX):</t>
    </r>
    <r>
      <rPr>
        <sz val="12"/>
        <color theme="1"/>
        <rFont val="Calibri"/>
        <family val="2"/>
        <scheme val="minor"/>
      </rPr>
      <t xml:space="preserve"> reparar · </t>
    </r>
    <r>
      <rPr>
        <b/>
        <sz val="12"/>
        <color theme="1"/>
        <rFont val="Calibri"/>
        <family val="2"/>
        <scheme val="minor"/>
      </rPr>
      <t>ES(AR):</t>
    </r>
    <r>
      <rPr>
        <sz val="12"/>
        <color theme="1"/>
        <rFont val="Calibri"/>
        <family val="2"/>
        <scheme val="minor"/>
      </rPr>
      <t xml:space="preserve"> reparar</t>
    </r>
  </si>
  <si>
    <r>
      <t xml:space="preserve">faire un arrêt d’urgence → arrêter d’urgence → emergency stop → </t>
    </r>
    <r>
      <rPr>
        <b/>
        <sz val="12"/>
        <color theme="1"/>
        <rFont val="Calibri"/>
        <family val="2"/>
        <scheme val="minor"/>
      </rPr>
      <t>activar la parada de emergencia</t>
    </r>
    <r>
      <rPr>
        <sz val="12"/>
        <color theme="1"/>
        <rFont val="Calibri"/>
        <family val="2"/>
        <scheme val="minor"/>
      </rPr>
      <t xml:space="preserve"> — </t>
    </r>
    <r>
      <rPr>
        <b/>
        <sz val="12"/>
        <color theme="1"/>
        <rFont val="Calibri"/>
        <family val="2"/>
        <scheme val="minor"/>
      </rPr>
      <t>ES(ES):</t>
    </r>
    <r>
      <rPr>
        <sz val="12"/>
        <color theme="1"/>
        <rFont val="Calibri"/>
        <family val="2"/>
        <scheme val="minor"/>
      </rPr>
      <t xml:space="preserve"> activar </t>
    </r>
    <r>
      <rPr>
        <b/>
        <sz val="12"/>
        <color theme="1"/>
        <rFont val="Calibri"/>
        <family val="2"/>
        <scheme val="minor"/>
      </rPr>
      <t>la parada de emergencia</t>
    </r>
    <r>
      <rPr>
        <sz val="12"/>
        <color theme="1"/>
        <rFont val="Calibri"/>
        <family val="2"/>
        <scheme val="minor"/>
      </rPr>
      <t xml:space="preserve"> · </t>
    </r>
    <r>
      <rPr>
        <b/>
        <sz val="12"/>
        <color theme="1"/>
        <rFont val="Calibri"/>
        <family val="2"/>
        <scheme val="minor"/>
      </rPr>
      <t>ES(MX):</t>
    </r>
    <r>
      <rPr>
        <sz val="12"/>
        <color theme="1"/>
        <rFont val="Calibri"/>
        <family val="2"/>
        <scheme val="minor"/>
      </rPr>
      <t xml:space="preserve"> activar </t>
    </r>
    <r>
      <rPr>
        <b/>
        <sz val="12"/>
        <color theme="1"/>
        <rFont val="Calibri"/>
        <family val="2"/>
        <scheme val="minor"/>
      </rPr>
      <t>el paro de emergencia</t>
    </r>
    <r>
      <rPr>
        <sz val="12"/>
        <color theme="1"/>
        <rFont val="Calibri"/>
        <family val="2"/>
        <scheme val="minor"/>
      </rPr>
      <t xml:space="preserve"> · </t>
    </r>
    <r>
      <rPr>
        <b/>
        <sz val="12"/>
        <color theme="1"/>
        <rFont val="Calibri"/>
        <family val="2"/>
        <scheme val="minor"/>
      </rPr>
      <t>ES(AR):</t>
    </r>
    <r>
      <rPr>
        <sz val="12"/>
        <color theme="1"/>
        <rFont val="Calibri"/>
        <family val="2"/>
        <scheme val="minor"/>
      </rPr>
      <t xml:space="preserve"> activar </t>
    </r>
    <r>
      <rPr>
        <b/>
        <sz val="12"/>
        <color theme="1"/>
        <rFont val="Calibri"/>
        <family val="2"/>
        <scheme val="minor"/>
      </rPr>
      <t>la parada de emergencia</t>
    </r>
  </si>
  <si>
    <r>
      <t xml:space="preserve">faire une mise sous tension → mettre sous tension / allumer → power on → </t>
    </r>
    <r>
      <rPr>
        <b/>
        <sz val="12"/>
        <color theme="1"/>
        <rFont val="Calibri"/>
        <family val="2"/>
        <scheme val="minor"/>
      </rPr>
      <t>energizar / encender</t>
    </r>
    <r>
      <rPr>
        <sz val="12"/>
        <color theme="1"/>
        <rFont val="Calibri"/>
        <family val="2"/>
        <scheme val="minor"/>
      </rPr>
      <t xml:space="preserve"> — </t>
    </r>
    <r>
      <rPr>
        <b/>
        <sz val="12"/>
        <color theme="1"/>
        <rFont val="Calibri"/>
        <family val="2"/>
        <scheme val="minor"/>
      </rPr>
      <t>ES(ES):</t>
    </r>
    <r>
      <rPr>
        <sz val="12"/>
        <color theme="1"/>
        <rFont val="Calibri"/>
        <family val="2"/>
        <scheme val="minor"/>
      </rPr>
      <t xml:space="preserve"> </t>
    </r>
    <r>
      <rPr>
        <b/>
        <sz val="12"/>
        <color theme="1"/>
        <rFont val="Calibri"/>
        <family val="2"/>
        <scheme val="minor"/>
      </rPr>
      <t>energizar / poner en tensión / encender</t>
    </r>
    <r>
      <rPr>
        <sz val="12"/>
        <color theme="1"/>
        <rFont val="Calibri"/>
        <family val="2"/>
        <scheme val="minor"/>
      </rPr>
      <t xml:space="preserve"> · </t>
    </r>
    <r>
      <rPr>
        <b/>
        <sz val="12"/>
        <color theme="1"/>
        <rFont val="Calibri"/>
        <family val="2"/>
        <scheme val="minor"/>
      </rPr>
      <t>ES(MX):</t>
    </r>
    <r>
      <rPr>
        <sz val="12"/>
        <color theme="1"/>
        <rFont val="Calibri"/>
        <family val="2"/>
        <scheme val="minor"/>
      </rPr>
      <t xml:space="preserve"> </t>
    </r>
    <r>
      <rPr>
        <b/>
        <sz val="12"/>
        <color theme="1"/>
        <rFont val="Calibri"/>
        <family val="2"/>
        <scheme val="minor"/>
      </rPr>
      <t>energizar / encender / prender</t>
    </r>
    <r>
      <rPr>
        <sz val="12"/>
        <color theme="1"/>
        <rFont val="Calibri"/>
        <family val="2"/>
        <scheme val="minor"/>
      </rPr>
      <t xml:space="preserve"> · </t>
    </r>
    <r>
      <rPr>
        <b/>
        <sz val="12"/>
        <color theme="1"/>
        <rFont val="Calibri"/>
        <family val="2"/>
        <scheme val="minor"/>
      </rPr>
      <t>ES(AR):</t>
    </r>
    <r>
      <rPr>
        <sz val="12"/>
        <color theme="1"/>
        <rFont val="Calibri"/>
        <family val="2"/>
        <scheme val="minor"/>
      </rPr>
      <t xml:space="preserve"> </t>
    </r>
    <r>
      <rPr>
        <b/>
        <sz val="12"/>
        <color theme="1"/>
        <rFont val="Calibri"/>
        <family val="2"/>
        <scheme val="minor"/>
      </rPr>
      <t>energizar / encender</t>
    </r>
  </si>
  <si>
    <r>
      <t xml:space="preserve">faire un essai → tester / essayer → test / try → </t>
    </r>
    <r>
      <rPr>
        <b/>
        <sz val="12"/>
        <color theme="1"/>
        <rFont val="Calibri"/>
        <family val="2"/>
        <scheme val="minor"/>
      </rPr>
      <t>probar / ensayar</t>
    </r>
    <r>
      <rPr>
        <sz val="12"/>
        <color theme="1"/>
        <rFont val="Calibri"/>
        <family val="2"/>
        <scheme val="minor"/>
      </rPr>
      <t xml:space="preserve"> — </t>
    </r>
    <r>
      <rPr>
        <b/>
        <sz val="12"/>
        <color theme="1"/>
        <rFont val="Calibri"/>
        <family val="2"/>
        <scheme val="minor"/>
      </rPr>
      <t>ES(ES):</t>
    </r>
    <r>
      <rPr>
        <sz val="12"/>
        <color theme="1"/>
        <rFont val="Calibri"/>
        <family val="2"/>
        <scheme val="minor"/>
      </rPr>
      <t xml:space="preserve"> </t>
    </r>
    <r>
      <rPr>
        <b/>
        <sz val="12"/>
        <color theme="1"/>
        <rFont val="Calibri"/>
        <family val="2"/>
        <scheme val="minor"/>
      </rPr>
      <t>hacer una prueba / probar / ensayar</t>
    </r>
    <r>
      <rPr>
        <sz val="12"/>
        <color theme="1"/>
        <rFont val="Calibri"/>
        <family val="2"/>
        <scheme val="minor"/>
      </rPr>
      <t xml:space="preserve"> · </t>
    </r>
    <r>
      <rPr>
        <b/>
        <sz val="12"/>
        <color theme="1"/>
        <rFont val="Calibri"/>
        <family val="2"/>
        <scheme val="minor"/>
      </rPr>
      <t>ES(MX):</t>
    </r>
    <r>
      <rPr>
        <sz val="12"/>
        <color theme="1"/>
        <rFont val="Calibri"/>
        <family val="2"/>
        <scheme val="minor"/>
      </rPr>
      <t xml:space="preserve"> </t>
    </r>
    <r>
      <rPr>
        <b/>
        <sz val="12"/>
        <color theme="1"/>
        <rFont val="Calibri"/>
        <family val="2"/>
        <scheme val="minor"/>
      </rPr>
      <t>hacer una prueba / probar / ensayar</t>
    </r>
    <r>
      <rPr>
        <sz val="12"/>
        <color theme="1"/>
        <rFont val="Calibri"/>
        <family val="2"/>
        <scheme val="minor"/>
      </rPr>
      <t xml:space="preserve"> · </t>
    </r>
    <r>
      <rPr>
        <b/>
        <sz val="12"/>
        <color theme="1"/>
        <rFont val="Calibri"/>
        <family val="2"/>
        <scheme val="minor"/>
      </rPr>
      <t>ES(AR):</t>
    </r>
    <r>
      <rPr>
        <sz val="12"/>
        <color theme="1"/>
        <rFont val="Calibri"/>
        <family val="2"/>
        <scheme val="minor"/>
      </rPr>
      <t xml:space="preserve"> </t>
    </r>
    <r>
      <rPr>
        <b/>
        <sz val="12"/>
        <color theme="1"/>
        <rFont val="Calibri"/>
        <family val="2"/>
        <scheme val="minor"/>
      </rPr>
      <t>hacer una prueba / probar / ensayar</t>
    </r>
  </si>
  <si>
    <r>
      <t xml:space="preserve">faire une assiette → dresser / garnir → plate / garnish → emplatar / guarnecer — </t>
    </r>
    <r>
      <rPr>
        <b/>
        <sz val="12"/>
        <color theme="1"/>
        <rFont val="Calibri"/>
        <family val="2"/>
        <scheme val="minor"/>
      </rPr>
      <t>ES(ES):</t>
    </r>
    <r>
      <rPr>
        <sz val="12"/>
        <color theme="1"/>
        <rFont val="Calibri"/>
        <family val="2"/>
        <scheme val="minor"/>
      </rPr>
      <t xml:space="preserve"> emplatar / guarnecer · </t>
    </r>
    <r>
      <rPr>
        <b/>
        <sz val="12"/>
        <color theme="1"/>
        <rFont val="Calibri"/>
        <family val="2"/>
        <scheme val="minor"/>
      </rPr>
      <t>ES(MX):</t>
    </r>
    <r>
      <rPr>
        <sz val="12"/>
        <color theme="1"/>
        <rFont val="Calibri"/>
        <family val="2"/>
        <scheme val="minor"/>
      </rPr>
      <t xml:space="preserve"> emplatar / </t>
    </r>
    <r>
      <rPr>
        <b/>
        <sz val="12"/>
        <color theme="1"/>
        <rFont val="Calibri"/>
        <family val="2"/>
        <scheme val="minor"/>
      </rPr>
      <t>montar el plato</t>
    </r>
    <r>
      <rPr>
        <sz val="12"/>
        <color theme="1"/>
        <rFont val="Calibri"/>
        <family val="2"/>
        <scheme val="minor"/>
      </rPr>
      <t xml:space="preserve"> / guarnecer · </t>
    </r>
    <r>
      <rPr>
        <b/>
        <sz val="12"/>
        <color theme="1"/>
        <rFont val="Calibri"/>
        <family val="2"/>
        <scheme val="minor"/>
      </rPr>
      <t>ES(AR):</t>
    </r>
    <r>
      <rPr>
        <sz val="12"/>
        <color theme="1"/>
        <rFont val="Calibri"/>
        <family val="2"/>
        <scheme val="minor"/>
      </rPr>
      <t xml:space="preserve"> emplatar / guarnecer</t>
    </r>
  </si>
  <si>
    <r>
      <t xml:space="preserve">faire un envoi → envoyer / passer → send to pass → enviar a pase — </t>
    </r>
    <r>
      <rPr>
        <b/>
        <sz val="12"/>
        <color theme="1"/>
        <rFont val="Calibri"/>
        <family val="2"/>
        <scheme val="minor"/>
      </rPr>
      <t>ES(ES):</t>
    </r>
    <r>
      <rPr>
        <sz val="12"/>
        <color theme="1"/>
        <rFont val="Calibri"/>
        <family val="2"/>
        <scheme val="minor"/>
      </rPr>
      <t xml:space="preserve"> enviar </t>
    </r>
    <r>
      <rPr>
        <b/>
        <sz val="12"/>
        <color theme="1"/>
        <rFont val="Calibri"/>
        <family val="2"/>
        <scheme val="minor"/>
      </rPr>
      <t>al pase</t>
    </r>
    <r>
      <rPr>
        <sz val="12"/>
        <color theme="1"/>
        <rFont val="Calibri"/>
        <family val="2"/>
        <scheme val="minor"/>
      </rPr>
      <t xml:space="preserve"> · </t>
    </r>
    <r>
      <rPr>
        <b/>
        <sz val="12"/>
        <color theme="1"/>
        <rFont val="Calibri"/>
        <family val="2"/>
        <scheme val="minor"/>
      </rPr>
      <t>ES(MX):</t>
    </r>
    <r>
      <rPr>
        <sz val="12"/>
        <color theme="1"/>
        <rFont val="Calibri"/>
        <family val="2"/>
        <scheme val="minor"/>
      </rPr>
      <t xml:space="preserve"> enviar </t>
    </r>
    <r>
      <rPr>
        <b/>
        <sz val="12"/>
        <color theme="1"/>
        <rFont val="Calibri"/>
        <family val="2"/>
        <scheme val="minor"/>
      </rPr>
      <t>a la barra de pase / al pase</t>
    </r>
    <r>
      <rPr>
        <sz val="12"/>
        <color theme="1"/>
        <rFont val="Calibri"/>
        <family val="2"/>
        <scheme val="minor"/>
      </rPr>
      <t xml:space="preserve"> · </t>
    </r>
    <r>
      <rPr>
        <b/>
        <sz val="12"/>
        <color theme="1"/>
        <rFont val="Calibri"/>
        <family val="2"/>
        <scheme val="minor"/>
      </rPr>
      <t>ES(AR):</t>
    </r>
    <r>
      <rPr>
        <sz val="12"/>
        <color theme="1"/>
        <rFont val="Calibri"/>
        <family val="2"/>
        <scheme val="minor"/>
      </rPr>
      <t xml:space="preserve"> enviar </t>
    </r>
    <r>
      <rPr>
        <b/>
        <sz val="12"/>
        <color theme="1"/>
        <rFont val="Calibri"/>
        <family val="2"/>
        <scheme val="minor"/>
      </rPr>
      <t>al pase</t>
    </r>
  </si>
  <si>
    <r>
      <t xml:space="preserve">faire un assortiment → panacher / assortir → mix / assort → mezclar / combinar surtidos — </t>
    </r>
    <r>
      <rPr>
        <b/>
        <sz val="12"/>
        <color theme="1"/>
        <rFont val="Calibri"/>
        <family val="2"/>
        <scheme val="minor"/>
      </rPr>
      <t>ES(ES):</t>
    </r>
    <r>
      <rPr>
        <sz val="12"/>
        <color theme="1"/>
        <rFont val="Calibri"/>
        <family val="2"/>
        <scheme val="minor"/>
      </rPr>
      <t xml:space="preserve"> </t>
    </r>
    <r>
      <rPr>
        <b/>
        <sz val="12"/>
        <color theme="1"/>
        <rFont val="Calibri"/>
        <family val="2"/>
        <scheme val="minor"/>
      </rPr>
      <t>hacer un surtido</t>
    </r>
    <r>
      <rPr>
        <sz val="12"/>
        <color theme="1"/>
        <rFont val="Calibri"/>
        <family val="2"/>
        <scheme val="minor"/>
      </rPr>
      <t xml:space="preserve"> / combinar surtidos · </t>
    </r>
    <r>
      <rPr>
        <b/>
        <sz val="12"/>
        <color theme="1"/>
        <rFont val="Calibri"/>
        <family val="2"/>
        <scheme val="minor"/>
      </rPr>
      <t>ES(MX):</t>
    </r>
    <r>
      <rPr>
        <sz val="12"/>
        <color theme="1"/>
        <rFont val="Calibri"/>
        <family val="2"/>
        <scheme val="minor"/>
      </rPr>
      <t xml:space="preserve"> </t>
    </r>
    <r>
      <rPr>
        <b/>
        <sz val="12"/>
        <color theme="1"/>
        <rFont val="Calibri"/>
        <family val="2"/>
        <scheme val="minor"/>
      </rPr>
      <t>armar un surtido</t>
    </r>
    <r>
      <rPr>
        <sz val="12"/>
        <color theme="1"/>
        <rFont val="Calibri"/>
        <family val="2"/>
        <scheme val="minor"/>
      </rPr>
      <t xml:space="preserve"> / combinar · </t>
    </r>
    <r>
      <rPr>
        <b/>
        <sz val="12"/>
        <color theme="1"/>
        <rFont val="Calibri"/>
        <family val="2"/>
        <scheme val="minor"/>
      </rPr>
      <t>ES(AR):</t>
    </r>
    <r>
      <rPr>
        <sz val="12"/>
        <color theme="1"/>
        <rFont val="Calibri"/>
        <family val="2"/>
        <scheme val="minor"/>
      </rPr>
      <t xml:space="preserve"> </t>
    </r>
    <r>
      <rPr>
        <b/>
        <sz val="12"/>
        <color theme="1"/>
        <rFont val="Calibri"/>
        <family val="2"/>
        <scheme val="minor"/>
      </rPr>
      <t>armar un surtido</t>
    </r>
    <r>
      <rPr>
        <sz val="12"/>
        <color theme="1"/>
        <rFont val="Calibri"/>
        <family val="2"/>
        <scheme val="minor"/>
      </rPr>
      <t xml:space="preserve"> / combinar</t>
    </r>
  </si>
  <si>
    <t>Preparation &amp; mixing</t>
  </si>
  <si>
    <t>Cooking &amp; texture</t>
  </si>
  <si>
    <t>Pastry &amp; chocolate</t>
  </si>
  <si>
    <t>Seasoning &amp; finishing</t>
  </si>
  <si>
    <t>Hygiene, HACCP &amp; quality</t>
  </si>
  <si>
    <t>Logistics, packaging, labeling</t>
  </si>
  <si>
    <t>Documentation, management &amp; tools</t>
  </si>
  <si>
    <t>Maintenance &amp; safety</t>
  </si>
  <si>
    <t>Service &amp; presentation</t>
  </si>
  <si>
    <t>Quick tip</t>
  </si>
  <si>
    <t>Preparación y mezcla</t>
  </si>
  <si>
    <t>Cocción y textura</t>
  </si>
  <si>
    <t>Pastelería y chocolate</t>
  </si>
  <si>
    <t>Sazonado y terminación</t>
  </si>
  <si>
    <t>Higiene, APPCC (HACCP) y calidad</t>
  </si>
  <si>
    <t>Logística, envasado, etiquetado</t>
  </si>
  <si>
    <t>Documentación, gestión y herramientas</t>
  </si>
  <si>
    <t>Mantenimiento y seguridad</t>
  </si>
  <si>
    <t>Servicio y presentación</t>
  </si>
  <si>
    <t>Truco exprés</t>
  </si>
  <si>
    <t>When you’re unsure, replace “faire” with the technical verb for the actual action:</t>
  </si>
  <si>
    <t>Cuando dudes, sustituye «faire» por el verbo técnico de la acción real:</t>
  </si>
  <si>
    <r>
      <t xml:space="preserve">hacer una pesada → </t>
    </r>
    <r>
      <rPr>
        <b/>
        <sz val="11"/>
        <color theme="1"/>
        <rFont val="Calibri"/>
        <family val="2"/>
        <scheme val="minor"/>
      </rPr>
      <t>pesar</t>
    </r>
    <r>
      <rPr>
        <sz val="11"/>
        <color theme="1"/>
        <rFont val="Calibri"/>
        <family val="2"/>
        <scheme val="minor"/>
      </rPr>
      <t xml:space="preserve">, hacer un enfriamiento → </t>
    </r>
    <r>
      <rPr>
        <b/>
        <sz val="11"/>
        <color theme="1"/>
        <rFont val="Calibri"/>
        <family val="2"/>
        <scheme val="minor"/>
      </rPr>
      <t>enfriar</t>
    </r>
    <r>
      <rPr>
        <sz val="11"/>
        <color theme="1"/>
        <rFont val="Calibri"/>
        <family val="2"/>
        <scheme val="minor"/>
      </rPr>
      <t xml:space="preserve">, hacer un control → </t>
    </r>
    <r>
      <rPr>
        <b/>
        <sz val="11"/>
        <color theme="1"/>
        <rFont val="Calibri"/>
        <family val="2"/>
        <scheme val="minor"/>
      </rPr>
      <t>controlar</t>
    </r>
    <r>
      <rPr>
        <sz val="11"/>
        <color theme="1"/>
        <rFont val="Calibri"/>
        <family val="2"/>
        <scheme val="minor"/>
      </rPr>
      <t xml:space="preserve">, hacer una “mise en bac” → </t>
    </r>
    <r>
      <rPr>
        <b/>
        <sz val="11"/>
        <color theme="1"/>
        <rFont val="Calibri"/>
        <family val="2"/>
        <scheme val="minor"/>
      </rPr>
      <t>poner en cubeta/bandeja</t>
    </r>
    <r>
      <rPr>
        <sz val="11"/>
        <color theme="1"/>
        <rFont val="Calibri"/>
        <family val="2"/>
        <scheme val="minor"/>
      </rPr>
      <t>, etc.</t>
    </r>
  </si>
  <si>
    <r>
      <t xml:space="preserve">do a weighing → </t>
    </r>
    <r>
      <rPr>
        <b/>
        <sz val="12"/>
        <color theme="1"/>
        <rFont val="Calibri"/>
        <family val="2"/>
        <scheme val="minor"/>
      </rPr>
      <t>weigh</t>
    </r>
    <r>
      <rPr>
        <sz val="12"/>
        <color theme="1"/>
        <rFont val="Calibri"/>
        <family val="2"/>
        <scheme val="minor"/>
      </rPr>
      <t xml:space="preserve">, do a chilling → </t>
    </r>
    <r>
      <rPr>
        <b/>
        <sz val="12"/>
        <color theme="1"/>
        <rFont val="Calibri"/>
        <family val="2"/>
        <scheme val="minor"/>
      </rPr>
      <t>chill</t>
    </r>
    <r>
      <rPr>
        <sz val="12"/>
        <color theme="1"/>
        <rFont val="Calibri"/>
        <family val="2"/>
        <scheme val="minor"/>
      </rPr>
      <t xml:space="preserve">, do a check → </t>
    </r>
    <r>
      <rPr>
        <b/>
        <sz val="12"/>
        <color theme="1"/>
        <rFont val="Calibri"/>
        <family val="2"/>
        <scheme val="minor"/>
      </rPr>
      <t>check</t>
    </r>
    <r>
      <rPr>
        <sz val="12"/>
        <color theme="1"/>
        <rFont val="Calibri"/>
        <family val="2"/>
        <scheme val="minor"/>
      </rPr>
      <t xml:space="preserve">, do a “mise en bac” → </t>
    </r>
    <r>
      <rPr>
        <b/>
        <sz val="12"/>
        <color theme="1"/>
        <rFont val="Calibri"/>
        <family val="2"/>
        <scheme val="minor"/>
      </rPr>
      <t>put into a tray/pan</t>
    </r>
    <r>
      <rPr>
        <sz val="12"/>
        <color theme="1"/>
        <rFont val="Calibri"/>
        <family val="2"/>
        <scheme val="minor"/>
      </rPr>
      <t>, etc.</t>
    </r>
  </si>
  <si>
    <t>Adresse &gt;</t>
  </si>
  <si>
    <t>juliemyrtille</t>
  </si>
  <si>
    <t>Fin du document cellule &gt;End of the “cell” document &gt;Fin del documento “celda” &gt;</t>
  </si>
  <si>
    <t xml:space="preserve"> Ces traductions ont été produites par une IA. Quelques imprécisions de vocabulaire professionnel peuvent apparaître. Merci de votre indulgence ; en cas de doute, référez-vous à la version originale.Merci</t>
  </si>
  <si>
    <t>These translations were generated by an AI. Some inaccuracies in professional terminology may occur. Thank you for your understanding; in case of doubt, please refer to the original version. Thank you.</t>
  </si>
  <si>
    <t>Estas traducciones fueron generadas por una IA. Pueden presentarse algunas imprecisiones en la terminología profesional. Gracias por su comprensión; en caso de duda, por favor remítase a la versión original. Gracias.</t>
  </si>
  <si>
    <t>Dear Madam or Sir,</t>
  </si>
  <si>
    <t xml:space="preserve">Here is a sample of the tools available on the UPRT website. </t>
  </si>
  <si>
    <t>The primary aim of these documents is to encourage their use—when they meet your needs—</t>
  </si>
  <si>
    <t>but also to maintain and develop the ability to think by offering practical examples.</t>
  </si>
  <si>
    <t xml:space="preserve">A spreadsheet—just like using computers to manage oven cooking—is a remarkable tool. However, </t>
  </si>
  <si>
    <t>relying exclusively on predefined functions can undermine one’s capacity to think and to truly master the tools.</t>
  </si>
  <si>
    <t xml:space="preserve">A young person in training (in a CFA—apprenticeship training center—or elsewhere), or an active professional, </t>
  </si>
  <si>
    <t xml:space="preserve">may not have the time to master the basics of a spreadsheet if they have not received an introduction. </t>
  </si>
  <si>
    <t>Nevertheless, by offering templates, they may take the time to cut and paste, and to use formats, formulas, and functions.</t>
  </si>
  <si>
    <t xml:space="preserve">That is why I strongly encourage users to download all the documents available on this site to build </t>
  </si>
  <si>
    <t>their own web library (“Webthèque” / “Nethèque”), which they can consult and use according to their needs.</t>
  </si>
  <si>
    <t xml:space="preserve">Although modest in its presentation, this site brings together rich content based on experience </t>
  </si>
  <si>
    <t>and know-how in institutional catering, which can easily be adapted to commercial foodservice.</t>
  </si>
  <si>
    <t xml:space="preserve">I dedicate these documents to my two daughters, Amandine and Marine, who bring me great happiness, </t>
  </si>
  <si>
    <t>and also to you, internet users.</t>
  </si>
  <si>
    <t xml:space="preserve"> I entrust you with the mission of passing these resources on to younger people,</t>
  </si>
  <si>
    <t xml:space="preserve"> especially to those who face difficulties in their educational journey for various reasons.</t>
  </si>
  <si>
    <t>One may not succeed at school and yet fully flourish in a trade by finding satisfaction in a job well done.</t>
  </si>
  <si>
    <t>With my sincere regards,</t>
  </si>
  <si>
    <t>Aquí tiene una muestra de las herramientas disponibles en el sitio web de UPRT.</t>
  </si>
  <si>
    <t>Señora, Señor:</t>
  </si>
  <si>
    <t>Una hoja de cálculo—al igual que el uso de la informática para gestionar las cocciones en horno—es una herramienta formidable.</t>
  </si>
  <si>
    <t xml:space="preserve"> Sin embargo, el uso exclusivo de funciones predefinidas puede perjudicar la capacidad de pensar y de dominar realmente las herramientas.</t>
  </si>
  <si>
    <t>El objetivo principal de estos documentos es fomentar su uso—cuando respondan a sus necesidades—</t>
  </si>
  <si>
    <t>y también mantener y desarrollar la capacidad de reflexión ofreciendo ejemplos prácticos.</t>
  </si>
  <si>
    <t>Por ello, animo encarecidamente a los usuarios a descargar todos los documentos disponibles en este sitio para constituir su propia</t>
  </si>
  <si>
    <t xml:space="preserve"> biblioteca web (“Webthèque” / “Nethèque”), que podrán consultar y utilizar según sus necesidades.</t>
  </si>
  <si>
    <t>No obstante, al proponerles plantillas, quizá se tomen el tiempo de recortar, pegar y utilizar formatos, fórmulas y funciones.</t>
  </si>
  <si>
    <t xml:space="preserve">Aunque sobria en su presentación, esta página reúne un contenido rico, </t>
  </si>
  <si>
    <t>basado en experiencias y saber hacer en restauración colectiva, fácilmente adaptable a la restauración comercial.</t>
  </si>
  <si>
    <t>Dedico estos documentos a mis dos hijas, Amandine y Marine, que me aportan mucha felicidad,</t>
  </si>
  <si>
    <t xml:space="preserve"> y también a ustedes, internautas. </t>
  </si>
  <si>
    <t>Les confío la misión de transmitir estos recursos a los más jóvenes,</t>
  </si>
  <si>
    <t xml:space="preserve"> en particular a quienes encuentran dificultades en su trayectoria educativa por diversas razones.</t>
  </si>
  <si>
    <t>sin embargo, desarrollarse plenamente en un oficio encontrando la satisfacción del trabajo bien hecho.</t>
  </si>
  <si>
    <t>Con mis más cordiales saludos,</t>
  </si>
  <si>
    <r>
      <t xml:space="preserve">💡 </t>
    </r>
    <r>
      <rPr>
        <b/>
        <sz val="14"/>
        <color theme="1"/>
        <rFont val="Segoe Print"/>
      </rPr>
      <t>Recordatorio esencial:</t>
    </r>
    <r>
      <rPr>
        <sz val="14"/>
        <color theme="1"/>
        <rFont val="Segoe Print"/>
      </rPr>
      <t xml:space="preserve"> el fracaso escolar no determina una vida. Se puede no triunfar en la escuela y, </t>
    </r>
  </si>
  <si>
    <r>
      <t xml:space="preserve">💡 </t>
    </r>
    <r>
      <rPr>
        <b/>
        <sz val="14"/>
        <color theme="1"/>
        <rFont val="Segoe Print"/>
      </rPr>
      <t>Essential reminder:</t>
    </r>
    <r>
      <rPr>
        <sz val="14"/>
        <color theme="1"/>
        <rFont val="Segoe Print"/>
      </rPr>
      <t xml:space="preserve"> school failure does not determine a life. </t>
    </r>
  </si>
  <si>
    <r>
      <t xml:space="preserve">Una persona en formación (en un </t>
    </r>
    <r>
      <rPr>
        <b/>
        <sz val="14"/>
        <color theme="1"/>
        <rFont val="Segoe Print"/>
      </rPr>
      <t>CFA</t>
    </r>
    <r>
      <rPr>
        <sz val="14"/>
        <color theme="1"/>
        <rFont val="Segoe Print"/>
      </rPr>
      <t xml:space="preserve">—centro de formación de aprendices—o en otro lugar), </t>
    </r>
  </si>
  <si>
    <t xml:space="preserve">o un profesional en activo, puede que no disponga del tiempo para dominar las bases de una hoja de cálculo si no ha recibido una iniciación. </t>
  </si>
  <si>
    <t>Ce site est certes peu engageant mais son contenu est le fruit d'expériences et de savoirs faire de la restauration collective</t>
  </si>
  <si>
    <t>Utilitaires à copier dans vos documents puis ajustez la largeur des colonnes comme indiqué dans les cellules de couleur en bas de chaque tableau</t>
  </si>
  <si>
    <t>les cellules grises vous indiquent la largeur des colonnes sur votre document et les corrections à apporter</t>
  </si>
  <si>
    <t>la première colonne de chaque tableau n'a pas de cellule grise volontairement. Cette colonne est fusionnée pour vous faciliter la sélection du tableau - Largeur par défaut 3</t>
  </si>
  <si>
    <t>Cliquez sur les ◀</t>
  </si>
  <si>
    <t>cellules</t>
  </si>
  <si>
    <t>Féculent</t>
  </si>
  <si>
    <t>Semoule (poids cru)</t>
  </si>
  <si>
    <t xml:space="preserve"> GN 1/ 1 = 35 morceaux</t>
  </si>
  <si>
    <t>❹ Cru</t>
  </si>
  <si>
    <t>Poids Unitaire</t>
  </si>
  <si>
    <t>❺ Cuit</t>
  </si>
  <si>
    <t>Recipe organization (Cuisine, Pâtisserie, Charcuterie)</t>
  </si>
  <si>
    <t>PESER SANS BALANCE (poids approximatifs) et généralement diffusés sur le net</t>
  </si>
  <si>
    <t>1 blanc d'œuf :</t>
  </si>
  <si>
    <t>environ 30 g.</t>
  </si>
  <si>
    <t xml:space="preserve">cuil.= cuillère </t>
  </si>
  <si>
    <t xml:space="preserve"> fécule</t>
  </si>
  <si>
    <t>sucre et sel fin</t>
  </si>
  <si>
    <t>beurre </t>
  </si>
  <si>
    <t xml:space="preserve">riz </t>
  </si>
  <si>
    <t xml:space="preserve">semoule </t>
  </si>
  <si>
    <t xml:space="preserve">lait et autres liquides </t>
  </si>
  <si>
    <t>cacao</t>
  </si>
  <si>
    <t>Miel liquide</t>
  </si>
  <si>
    <t>poudre d’amande et de coco</t>
  </si>
  <si>
    <t>1 jaune d'œuf :</t>
  </si>
  <si>
    <t>environ 18 g.</t>
  </si>
  <si>
    <t>cuil.Café.</t>
  </si>
  <si>
    <t>cuil.Café.  = à Café</t>
  </si>
  <si>
    <t>bol</t>
  </si>
  <si>
    <t>cuillère Café</t>
  </si>
  <si>
    <t>cuillère Soupe</t>
  </si>
  <si>
    <t>pot à yaourt</t>
  </si>
  <si>
    <t>1 œuf entier :</t>
  </si>
  <si>
    <t>environ 50 g.</t>
  </si>
  <si>
    <t>cuil.C.ras.</t>
  </si>
  <si>
    <t>cuil.C.ras = cuilère à Café rase</t>
  </si>
  <si>
    <t>bol.moy.ras.de farine 210 g</t>
  </si>
  <si>
    <t>bol.moy.ras.de sucre 300 g</t>
  </si>
  <si>
    <t>cuil.C.ras.beurre.5.g</t>
  </si>
  <si>
    <t>cuil.S.bom.riz=20.g</t>
  </si>
  <si>
    <t>cuil.C.ras.semoule.5.g</t>
  </si>
  <si>
    <t>cuil.C.ras.liquide.5.g</t>
  </si>
  <si>
    <t>cuil.C.ras.huile.4.g</t>
  </si>
  <si>
    <t>cuil.C.ras.cacao.5.g</t>
  </si>
  <si>
    <t>cuil.C.ras.miel.10.g</t>
  </si>
  <si>
    <t>pot.ya.ras.amande.poudre.50g</t>
  </si>
  <si>
    <t>cuil.C.bom.</t>
  </si>
  <si>
    <t>cuil.C.bom. = cuilère à Café bombée</t>
  </si>
  <si>
    <t>cuil.C.bom.beurre.9.g</t>
  </si>
  <si>
    <t>cuil.S.ras.riz =18.g</t>
  </si>
  <si>
    <t>pot.ya.ras.coco.rapée.50g</t>
  </si>
  <si>
    <t>1 cuillère à soupe (tbsp ou c. à soupe)</t>
  </si>
  <si>
    <t>15 ml (liquide)</t>
  </si>
  <si>
    <t>14 g de sucre ou 15 g d'huile.</t>
  </si>
  <si>
    <t>1 cuillère à thé (tsp ou c. à thé)</t>
  </si>
  <si>
    <r>
      <t>5 ml</t>
    </r>
    <r>
      <rPr>
        <sz val="11"/>
        <color theme="1"/>
        <rFont val="Calibri"/>
        <family val="2"/>
        <scheme val="minor"/>
      </rPr>
      <t xml:space="preserve"> (liquide)</t>
    </r>
  </si>
  <si>
    <t>Équivaut à 4 g de sel ou 5 g de sucre.</t>
  </si>
  <si>
    <t>cuil.Soup.</t>
  </si>
  <si>
    <t>cuil.Soup. = à Soupe</t>
  </si>
  <si>
    <t>cuil.C.bom..farine.8.g</t>
  </si>
  <si>
    <t>cuil.C.bom.sel.9.g</t>
  </si>
  <si>
    <t>mug</t>
  </si>
  <si>
    <t>cuil.S.bom.semoule=15.g</t>
  </si>
  <si>
    <t>cuil.S.ras.liquide=10.g</t>
  </si>
  <si>
    <t>cuil.S.ras.huile =14.g</t>
  </si>
  <si>
    <t>cuil.S.ras.cacao =10.g</t>
  </si>
  <si>
    <t>cuil.S.ras.miel=18.g</t>
  </si>
  <si>
    <t>cuil.S.ras.</t>
  </si>
  <si>
    <t>cuil.S.ras = cuilère à Soupe.rase</t>
  </si>
  <si>
    <t>cuil.C.ras.farine=3.g</t>
  </si>
  <si>
    <t>cuil.C.bom.sucre.5.g</t>
  </si>
  <si>
    <t>cuil.S.bom.beurre=22.g</t>
  </si>
  <si>
    <t>mug...ras.riz.210.g</t>
  </si>
  <si>
    <t>1 litre (L)</t>
  </si>
  <si>
    <t>1000 ml ou environ 4 1/4 tasses.</t>
  </si>
  <si>
    <t>cuil.S.bom.</t>
  </si>
  <si>
    <t>cuil.S.bom = cuilère à Soupe.bombée</t>
  </si>
  <si>
    <t>cuil.C.bom.sucre.glace.3.g</t>
  </si>
  <si>
    <t>cuil.S.ras.beurre =15.g</t>
  </si>
  <si>
    <t>bol.moyen.</t>
  </si>
  <si>
    <t xml:space="preserve">v e r r e. </t>
  </si>
  <si>
    <t>verre.Moutarde</t>
  </si>
  <si>
    <t>1 once liquide (fl oz)</t>
  </si>
  <si>
    <t>30 ml.</t>
  </si>
  <si>
    <t>cuil.C.ras.sel=6.g</t>
  </si>
  <si>
    <t>cuil.S.ras.beurre fondu=12.g</t>
  </si>
  <si>
    <t>pot.ya.ras.semoule.90g</t>
  </si>
  <si>
    <t>bol.moy.ras.liquide.350g</t>
  </si>
  <si>
    <t>verreM.ras.huile=160g</t>
  </si>
  <si>
    <t>verreM.ras.cacao.90g</t>
  </si>
  <si>
    <t>pot.ya.ras.miel.150g</t>
  </si>
  <si>
    <t>1 pinte (pint) canadienne</t>
  </si>
  <si>
    <t>568 ml (différent de la pinte américaine de 473 ml).</t>
  </si>
  <si>
    <t>cuil.Mout.</t>
  </si>
  <si>
    <t>cuil.Mout.= à Moutarde</t>
  </si>
  <si>
    <t>cuil.S.bom.farine=20.g</t>
  </si>
  <si>
    <t>cuil.C.ras.sucre=4.g</t>
  </si>
  <si>
    <t>pot.ya.ras.riz.100g</t>
  </si>
  <si>
    <t>cuil.M.ras.</t>
  </si>
  <si>
    <t>cuil.M.ras.= cuillère à Moutarde rase</t>
  </si>
  <si>
    <t>cuil.S.ras.farine=10.g</t>
  </si>
  <si>
    <t>1 tasse (cup)</t>
  </si>
  <si>
    <r>
      <t>240 ml</t>
    </r>
    <r>
      <rPr>
        <sz val="11"/>
        <color theme="1"/>
        <rFont val="Calibri"/>
        <family val="2"/>
        <scheme val="minor"/>
      </rPr>
      <t xml:space="preserve"> </t>
    </r>
  </si>
  <si>
    <t>Sucre : 100 g</t>
  </si>
  <si>
    <t>cuil.M..bom.</t>
  </si>
  <si>
    <t>cuil.M.bom.= cuillère à Moutarde bombée</t>
  </si>
  <si>
    <t>mug...ras.beurre fondu.225.g</t>
  </si>
  <si>
    <t>verreM.ras.semoule=150g</t>
  </si>
  <si>
    <t>mug...ras.liquide.150.g</t>
  </si>
  <si>
    <t>pot.ya.ras.huile.120g</t>
  </si>
  <si>
    <t>Farine : 60 g</t>
  </si>
  <si>
    <t>cuil.S.bom.sucre=15.g</t>
  </si>
  <si>
    <t>verreM.ras.riz.160g</t>
  </si>
  <si>
    <t>Beurre : 113 g.</t>
  </si>
  <si>
    <t>cuil.Pota.</t>
  </si>
  <si>
    <t>cuil.Pota. = à Potage</t>
  </si>
  <si>
    <t>louch.ras.farine.50.g</t>
  </si>
  <si>
    <t>cuil.S.ras.sucre =10.g</t>
  </si>
  <si>
    <t>noix - noisette</t>
  </si>
  <si>
    <t>cuil.P.ras.</t>
  </si>
  <si>
    <t>cuil.P.ras = cuilère à Potage rase</t>
  </si>
  <si>
    <t>cuil.S.ras.sucre =15.g</t>
  </si>
  <si>
    <t>noi..sette de beurre 4g</t>
  </si>
  <si>
    <t>pot.ya.ras.liquide.150g</t>
  </si>
  <si>
    <t>1/4 tasse</t>
  </si>
  <si>
    <t>Sucre : 50 g</t>
  </si>
  <si>
    <t>cuil.P.bom.</t>
  </si>
  <si>
    <t>cuil.P.bom = cuilère à Potage bombée</t>
  </si>
  <si>
    <t>cuil.S.ras.sucre.glace =10.g</t>
  </si>
  <si>
    <t>n..o..i..x de beurre 15 g</t>
  </si>
  <si>
    <t>Farine : 30 g</t>
  </si>
  <si>
    <t>mug...bom.farine.150.g</t>
  </si>
  <si>
    <t>tasse.Café</t>
  </si>
  <si>
    <t>Beurre : 57 g.</t>
  </si>
  <si>
    <t>Teaspoon</t>
  </si>
  <si>
    <t>Teaspoon = tasse à thé</t>
  </si>
  <si>
    <t>mug...ras.farine.115.g</t>
  </si>
  <si>
    <t>tasse.Café.liquide.100g</t>
  </si>
  <si>
    <t>teasp.ras.</t>
  </si>
  <si>
    <t>teasp.ras.= Teaspoon rase</t>
  </si>
  <si>
    <t>louch.ras.sucre.70.g</t>
  </si>
  <si>
    <t>à quoi correspondent</t>
  </si>
  <si>
    <t>2 lbs</t>
  </si>
  <si>
    <t>1 Kg</t>
  </si>
  <si>
    <t>teasp.bom.</t>
  </si>
  <si>
    <t>teasp.bom= Teaspoon bombée</t>
  </si>
  <si>
    <t>verre.Liqueur</t>
  </si>
  <si>
    <t>pot.ya.bom.farine.150.g</t>
  </si>
  <si>
    <t>verreL.ras.liquide.30g</t>
  </si>
  <si>
    <t>ail en poudre</t>
  </si>
  <si>
    <t>¼ c. t.</t>
  </si>
  <si>
    <t>1 ml</t>
  </si>
  <si>
    <t xml:space="preserve">t a s s e. </t>
  </si>
  <si>
    <t>t a s s e. 10 lettres avec les espaces</t>
  </si>
  <si>
    <t>pot.ya.ras.farine.85.g</t>
  </si>
  <si>
    <t>mug...bom.sucre.220.g</t>
  </si>
  <si>
    <t>1 c.t.</t>
  </si>
  <si>
    <t>5 ml</t>
  </si>
  <si>
    <t>tasse.ras.</t>
  </si>
  <si>
    <t>tasse.ras.= tasse rase</t>
  </si>
  <si>
    <t>mug...ras.sucre.200.g</t>
  </si>
  <si>
    <t>tasse.bom.</t>
  </si>
  <si>
    <t>tasse.bom. = tasse bombée</t>
  </si>
  <si>
    <t>tasse</t>
  </si>
  <si>
    <t>verreM.ras.liquide.200g</t>
  </si>
  <si>
    <t>assaisonnement (mayonnaise légère,</t>
  </si>
  <si>
    <t>2 c. s.</t>
  </si>
  <si>
    <t>30 ml</t>
  </si>
  <si>
    <t xml:space="preserve">tasse.Mug. </t>
  </si>
  <si>
    <t>tasse.Mug. = tasse Mug</t>
  </si>
  <si>
    <t>tasse.bom.farine.60g</t>
  </si>
  <si>
    <t>assaisonnement (mayonnaise légère,Miracle Whip)</t>
  </si>
  <si>
    <t>1 c. s.</t>
  </si>
  <si>
    <t>15 ml</t>
  </si>
  <si>
    <t>tasse.ras.farine.40g</t>
  </si>
  <si>
    <t>pot.ya.ras.sucre.125.g</t>
  </si>
  <si>
    <t>v e r r e.  10 lettres avec les espaces</t>
  </si>
  <si>
    <t>bananes moyennes, écrasées vanille</t>
  </si>
  <si>
    <t>¾ tasse 2</t>
  </si>
  <si>
    <t>175 ml</t>
  </si>
  <si>
    <t>ve r r e.M</t>
  </si>
  <si>
    <t>ve r r e.M = verre à Moutarde</t>
  </si>
  <si>
    <t>verre</t>
  </si>
  <si>
    <t>verreM.ras.</t>
  </si>
  <si>
    <t>verreM.ras =  verre à Moutarde ras 10 lettres avec les espaces</t>
  </si>
  <si>
    <t>verre.M.bom.farine.120.g</t>
  </si>
  <si>
    <t>tasse.bom.sucre.150g</t>
  </si>
  <si>
    <t>basilic séché</t>
  </si>
  <si>
    <t>verreM.bom.</t>
  </si>
  <si>
    <t>verreM.bom =  verre à Moutarde bombé 10 lettres avec les espaces</t>
  </si>
  <si>
    <t>verre.M.ras.farine.100.g</t>
  </si>
  <si>
    <t>tasse.ras.sucre.90g</t>
  </si>
  <si>
    <t>L.ou.ches.</t>
  </si>
  <si>
    <t>Louches 10 lettres avec les points</t>
  </si>
  <si>
    <t>Beurre</t>
  </si>
  <si>
    <t>4 plaques standards de 227 g (au Canada et aux États-Unis).</t>
  </si>
  <si>
    <t>louch.ras.</t>
  </si>
  <si>
    <t>louch.ras. = louche rase</t>
  </si>
  <si>
    <t>verreM.bom.sucre.150g</t>
  </si>
  <si>
    <t>louch.bom.</t>
  </si>
  <si>
    <t>louch.bom. = louche bombée</t>
  </si>
  <si>
    <t>verreM.ras.sucre.110g</t>
  </si>
  <si>
    <t>bicarbonate de sodium</t>
  </si>
  <si>
    <t>1 c. t.</t>
  </si>
  <si>
    <t>½ c. t.</t>
  </si>
  <si>
    <t>2 ml</t>
  </si>
  <si>
    <t>pot.yaourt</t>
  </si>
  <si>
    <t>pot.ya.ras.</t>
  </si>
  <si>
    <t>pot à yaourt ras</t>
  </si>
  <si>
    <t>bœuf haché</t>
  </si>
  <si>
    <t>½ lb</t>
  </si>
  <si>
    <t>200 g</t>
  </si>
  <si>
    <t>pot.ya.bom.</t>
  </si>
  <si>
    <t>pot à yaourt bombé</t>
  </si>
  <si>
    <t>bouillon de poule à teneur réduite en sodium</t>
  </si>
  <si>
    <t>4 tasses</t>
  </si>
  <si>
    <t>1 l</t>
  </si>
  <si>
    <t>bol moyen</t>
  </si>
  <si>
    <t>bouillon de poulet à teneur réduite en sodium*</t>
  </si>
  <si>
    <t>3 tasses</t>
  </si>
  <si>
    <t>750 ml</t>
  </si>
  <si>
    <t>bol.moy.ras.</t>
  </si>
  <si>
    <t>bol moyen ras</t>
  </si>
  <si>
    <t>bol.moy.bom.</t>
  </si>
  <si>
    <t>bol moyen bombé</t>
  </si>
  <si>
    <t>branche de céleri (optionnel)</t>
  </si>
  <si>
    <t>m ..u. .g.</t>
  </si>
  <si>
    <t>Mug 10 lettres avec les points</t>
  </si>
  <si>
    <t>brocolis, hachés</t>
  </si>
  <si>
    <t>1 petit bouquet</t>
  </si>
  <si>
    <t>mug...ras.</t>
  </si>
  <si>
    <t>Mug.ras.10 lettres avec les points</t>
  </si>
  <si>
    <t>cannelle</t>
  </si>
  <si>
    <t>mug...bom.</t>
  </si>
  <si>
    <t>Mug.bombé.10 lettres avec les points</t>
  </si>
  <si>
    <t>carotte, coupée en dés jambon, haché</t>
  </si>
  <si>
    <t>céleri, tranché finement</t>
  </si>
  <si>
    <t>1 branche</t>
  </si>
  <si>
    <t>Pourquoi 10 lettres , si vous voulez utiliser ces valeurs avec des fonctions de recherche gauche - droite</t>
  </si>
  <si>
    <t>champignons</t>
  </si>
  <si>
    <t>2 1/2 tasses</t>
  </si>
  <si>
    <t>625 ml</t>
  </si>
  <si>
    <t xml:space="preserve">si vous vouler concatener  ou extraite du texte il faut que ce texte ait le même nombre de lettre ou d'espace </t>
  </si>
  <si>
    <t>(un espace ou un point sont comptés comme une lettre)</t>
  </si>
  <si>
    <t>chapelure</t>
  </si>
  <si>
    <t>50 ml</t>
  </si>
  <si>
    <t>t. tasse</t>
  </si>
  <si>
    <t>chapelure ou 1 tranche de pain de blé entier,</t>
  </si>
  <si>
    <t>¼ tasse</t>
  </si>
  <si>
    <t>60 ml</t>
  </si>
  <si>
    <t>c. s. cuillère à soupe</t>
  </si>
  <si>
    <t>(1 portion = 1 tasse ou 250 ml)</t>
  </si>
  <si>
    <t>cheddar, en lanières</t>
  </si>
  <si>
    <t xml:space="preserve"> (1 portion = ½ tasse ou 125 ml</t>
  </si>
  <si>
    <t>chili en poudre</t>
  </si>
  <si>
    <t xml:space="preserve"> 400°F (205°C). </t>
  </si>
  <si>
    <t>chili en poudre (optionnel)</t>
  </si>
  <si>
    <t>d’un demi-pouce (1,5 cm).</t>
  </si>
  <si>
    <t xml:space="preserve"> 350°F (180°C)</t>
  </si>
  <si>
    <t>chou, haché</t>
  </si>
  <si>
    <t>2 tasses</t>
  </si>
  <si>
    <t>500 ml</t>
  </si>
  <si>
    <t>Conversion de base :</t>
  </si>
  <si>
    <t xml:space="preserve">1 lb (livre) </t>
  </si>
  <si>
    <t>453,6 g.</t>
  </si>
  <si>
    <t xml:space="preserve">Guide alimentaire Canadien </t>
  </si>
  <si>
    <t>https://guide-alimentaire.canada.ca/fr/</t>
  </si>
  <si>
    <t xml:space="preserve">2 lbs </t>
  </si>
  <si>
    <t>453,6 g × 2 = 907,2 g.ou 0,907 kilogramme.</t>
  </si>
  <si>
    <t>la bonne cuisine raisonnée</t>
  </si>
  <si>
    <t>https://books.google.fr/books?id=ldcKa0614jAC&amp;newbks=1&amp;newbks_redir=0&amp;printsec=frontcover</t>
  </si>
  <si>
    <t>Publication de DK-Coaching</t>
  </si>
  <si>
    <t>https://www.facebook.com/DKcoaching.prepa/posts/conna%C3%AEtre-les-%C3%A9quivalences-poids-crucuit-voil%C3%A0-un-post-qui-jesp%C3%A8re-te-sembleras-/1103043807120035/</t>
  </si>
  <si>
    <t>crème 10% mg</t>
  </si>
  <si>
    <t>125 ml</t>
  </si>
  <si>
    <t>EQUIVALENCES CRU//CUIT</t>
  </si>
  <si>
    <t>https://fr.pinterest.com/brigittek80/equivalences-crucuit/</t>
  </si>
  <si>
    <t>crème sure légère</t>
  </si>
  <si>
    <t>Equivalence poids cru et cuit?</t>
  </si>
  <si>
    <t>https://faq.croq-kilos.com/hc/fr/articles/360018894799-Equivalence-poids-cru-et-cuit</t>
  </si>
  <si>
    <t>eau</t>
  </si>
  <si>
    <t>Publication de EcoloSophie</t>
  </si>
  <si>
    <t>https://www.facebook.com/ecolosophie/posts/toujours-int%C3%A9ressant-de-savoir-l%C3%A9quivalence-entre-cuit-et-cru/2819013355067283/</t>
  </si>
  <si>
    <t>eau froide</t>
  </si>
  <si>
    <t>1½ c. s.</t>
  </si>
  <si>
    <t>25 ml</t>
  </si>
  <si>
    <t>Équivalences Cru/Cuit</t>
  </si>
  <si>
    <t>https://fatsecretfrance.fr/astuces-et-conseils/equivalences-cru-cuit/</t>
  </si>
  <si>
    <t>eau tiède</t>
  </si>
  <si>
    <t>1/3 tasse</t>
  </si>
  <si>
    <t>75 ml</t>
  </si>
  <si>
    <t>% pertes viande</t>
  </si>
  <si>
    <t>http://dieteticienne.over-blog.com/article-pourcentage-de-dechets-des-viandes-97921565.html?utm_source=chatgpt.com</t>
  </si>
  <si>
    <t>L'alimentation durable à Bruxelles</t>
  </si>
  <si>
    <t>https://environnement.brussels/citoyen/outils-et-donnees/sites-web-et-outils/lalimentation-durable-bruxelles</t>
  </si>
  <si>
    <t>extrait de vanille</t>
  </si>
  <si>
    <t>Modification du critère  (grammages de viande)</t>
  </si>
  <si>
    <t>https://goodfood.brussels/fr/news/modification-du-critere-de-lassiette-equilibree-grammages-de-viande-du-label-cantine-good-food?domain=cit</t>
  </si>
  <si>
    <t xml:space="preserve">un Vade-mecum Cantine Good Food </t>
  </si>
  <si>
    <t>https://goodfood.brussels/sites/default/files/inline-files/Vademecum%20cantines%20FR%20-%2020240828.pdf</t>
  </si>
  <si>
    <t>farine de blé entier</t>
  </si>
  <si>
    <t>1 tasse</t>
  </si>
  <si>
    <t>250 ml</t>
  </si>
  <si>
    <t>½ tasse</t>
  </si>
  <si>
    <t>Vos portions dans le creux de la main</t>
  </si>
  <si>
    <t xml:space="preserve">Le Guide alimentaire canadien recommande que nous mangions chaque jour un certain nombre </t>
  </si>
  <si>
    <t>farine tous usages</t>
  </si>
  <si>
    <t xml:space="preserve">½ tasse </t>
  </si>
  <si>
    <t>de portions d’aliments appartenant aux quatre groupes alimentaires. Mais qu’est-ce qu’une portion?</t>
  </si>
  <si>
    <t>Les portions recommandées par Le Guide alimentaire canadien sont appelées « portions du Guide alimentaire ».</t>
  </si>
  <si>
    <t xml:space="preserve"> Elles sont de taille différente des portions que nous mangeons en réalité. </t>
  </si>
  <si>
    <t>fécule de maïs</t>
  </si>
  <si>
    <t>Une portion réelle d’un aliment peut être égale à une portion du Guide alimentaire ou plus.</t>
  </si>
  <si>
    <t>flocons d’avoine</t>
  </si>
  <si>
    <t>Votre main est très utile pour comprendre ce que représente une portion du Guide alimentaire.</t>
  </si>
  <si>
    <t>fromage cottage</t>
  </si>
  <si>
    <t>fromage rapé</t>
  </si>
  <si>
    <t>Fruits ou légumes</t>
  </si>
  <si>
    <t>environ 6 à 8 pommes moyennes ou 10 à 12 petites tomates.</t>
  </si>
  <si>
    <t>gingembre (optionnel), haché fin</t>
  </si>
  <si>
    <t>haricots communs rincés</t>
  </si>
  <si>
    <t>28 oz</t>
  </si>
  <si>
    <t>796 ml</t>
  </si>
  <si>
    <t>haricots communs, rincés</t>
  </si>
  <si>
    <t>19 oz (conserve)</t>
  </si>
  <si>
    <t>540 ml</t>
  </si>
  <si>
    <t>14 oz</t>
  </si>
  <si>
    <t>398 ml</t>
  </si>
  <si>
    <t>haricots jaunes, rincés</t>
  </si>
  <si>
    <t>¾ tasse</t>
  </si>
  <si>
    <t>200 ml</t>
  </si>
  <si>
    <t>haricots verts congelés</t>
  </si>
  <si>
    <t>huile de canola</t>
  </si>
  <si>
    <t>1½ c. t.</t>
  </si>
  <si>
    <t>7 ml</t>
  </si>
  <si>
    <t>2c.s.</t>
  </si>
  <si>
    <t>1/8 tasse</t>
  </si>
  <si>
    <t>40 ml</t>
  </si>
  <si>
    <t>ketchup</t>
  </si>
  <si>
    <t>lait</t>
  </si>
  <si>
    <t>3 c. s.</t>
  </si>
  <si>
    <t>45 ml</t>
  </si>
  <si>
    <t>lait ou eau</t>
  </si>
  <si>
    <t>liquide (choisir parmi l’eau, le jus de tomate, le bouillon de légumes ou le lait)</t>
  </si>
  <si>
    <t>margarine molle non-hydrogénée</t>
  </si>
  <si>
    <t>2 c. t.</t>
  </si>
  <si>
    <t>10 m</t>
  </si>
  <si>
    <t>mélasse</t>
  </si>
  <si>
    <t>mozarella en lanières</t>
  </si>
  <si>
    <t>125 ml 65g</t>
  </si>
  <si>
    <t>noix de muscade</t>
  </si>
  <si>
    <t>nouilles de blé entier non cuites (n’importe quelle sorte)</t>
  </si>
  <si>
    <t>1 L</t>
  </si>
  <si>
    <t>nouilles de blé entier, non cuites petits pois congelés</t>
  </si>
  <si>
    <t>oignon</t>
  </si>
  <si>
    <t>oignon, haché</t>
  </si>
  <si>
    <t>origan séché</t>
  </si>
  <si>
    <t>persil séché</t>
  </si>
  <si>
    <t>1 c.s.</t>
  </si>
  <si>
    <t>pois cassés secs</t>
  </si>
  <si>
    <t>pois chiches, rincés</t>
  </si>
  <si>
    <t>poivre moulu</t>
  </si>
  <si>
    <t>1 /4 c.t.</t>
  </si>
  <si>
    <t>poudre à pâte</t>
  </si>
  <si>
    <t>10 ml</t>
  </si>
  <si>
    <t>poulet cuit</t>
  </si>
  <si>
    <t>75 g</t>
  </si>
  <si>
    <t>purée de tomate</t>
  </si>
  <si>
    <t>raisins secs</t>
  </si>
  <si>
    <t>salsa</t>
  </si>
  <si>
    <t>sauce au soja</t>
  </si>
  <si>
    <t>sauce tomate</t>
  </si>
  <si>
    <t>sauce Worcestershire</t>
  </si>
  <si>
    <t>saumon en conserve</t>
  </si>
  <si>
    <t>sel</t>
  </si>
  <si>
    <t>1/2 c.t.</t>
  </si>
  <si>
    <t>son de blé</t>
  </si>
  <si>
    <t>soupe à la crème de champignon</t>
  </si>
  <si>
    <t>½ boîte de 10,5 oz</t>
  </si>
  <si>
    <t>142 ml</t>
  </si>
  <si>
    <t>sucre</t>
  </si>
  <si>
    <t>sucre blanc</t>
  </si>
  <si>
    <t>3/4 tasse</t>
  </si>
  <si>
    <t>sucre brun</t>
  </si>
  <si>
    <t>thon</t>
  </si>
  <si>
    <t>1-6 oz</t>
  </si>
  <si>
    <t>170 g</t>
  </si>
  <si>
    <t>thon en conserve</t>
  </si>
  <si>
    <t>thym</t>
  </si>
  <si>
    <t>thym séché</t>
  </si>
  <si>
    <t>tomate en conserve</t>
  </si>
  <si>
    <t>1 1/2 tasses</t>
  </si>
  <si>
    <t>375 ml</t>
  </si>
  <si>
    <t>tomates en conserve</t>
  </si>
  <si>
    <t>Viande ou poisson</t>
  </si>
  <si>
    <t>environ 907 g</t>
  </si>
  <si>
    <t>vinaigre</t>
  </si>
  <si>
    <t>Table de correspondance courante :</t>
  </si>
  <si>
    <t xml:space="preserve">Mesure canadienne </t>
  </si>
  <si>
    <t xml:space="preserve">Beurre (g) </t>
  </si>
  <si>
    <t>227 g</t>
  </si>
  <si>
    <t>Beurre (g)</t>
  </si>
  <si>
    <t xml:space="preserve"> 1/2 tasse</t>
  </si>
  <si>
    <t>113 g</t>
  </si>
  <si>
    <t>57 g</t>
  </si>
  <si>
    <t>Farine (g)</t>
  </si>
  <si>
    <t>120 g</t>
  </si>
  <si>
    <t>60 g</t>
  </si>
  <si>
    <t>30 g</t>
  </si>
  <si>
    <t xml:space="preserve">Farine (g)) </t>
  </si>
  <si>
    <t>1 c. à soupe</t>
  </si>
  <si>
    <t>9 g</t>
  </si>
  <si>
    <t xml:space="preserve">Farine (g) </t>
  </si>
  <si>
    <t>1 c. à thé</t>
  </si>
  <si>
    <t>3 g</t>
  </si>
  <si>
    <t xml:space="preserve">Liquides (ml) </t>
  </si>
  <si>
    <t>240 ml</t>
  </si>
  <si>
    <t>120 ml</t>
  </si>
  <si>
    <t>Sucre (g)</t>
  </si>
  <si>
    <t>100 g</t>
  </si>
  <si>
    <t>50 g</t>
  </si>
  <si>
    <t>14 g</t>
  </si>
  <si>
    <t>4 g</t>
  </si>
  <si>
    <t>AIDES CUISINE</t>
  </si>
  <si>
    <t>LIAISON AU TAPIOCA</t>
  </si>
  <si>
    <t>Gastro Norm</t>
  </si>
  <si>
    <t>SERVICE DES SAUCES</t>
  </si>
  <si>
    <t>CONDITIONNEMENT AU POIDS</t>
  </si>
  <si>
    <t>Gastronormes tableau N° 1</t>
  </si>
  <si>
    <t>CONDITIONNEMENT A LA PIÈCE</t>
  </si>
  <si>
    <t>Contenance 1 Gastro</t>
  </si>
  <si>
    <t>Gastronormes tableau N° 2</t>
  </si>
  <si>
    <t>une fonction intéressante : MODULO &gt; MOD</t>
  </si>
  <si>
    <t>Service au choix : au poids ou à la portion</t>
  </si>
  <si>
    <t>Nombre de contenants a la pièce avec la fonction MODULO</t>
  </si>
  <si>
    <t>Tableaux pour service ou cuisson</t>
  </si>
  <si>
    <t>Nombre de contenants au poids avec la fonction MODULO</t>
  </si>
  <si>
    <t>Gélatine alimentaire</t>
  </si>
  <si>
    <t>PURÉE DÉSHYDRATÉE</t>
  </si>
  <si>
    <t>ŒUFS poids et %</t>
  </si>
  <si>
    <t>Composition d'une garniture "COUSCOUS"</t>
  </si>
  <si>
    <t>Poids de sauce à servir</t>
  </si>
  <si>
    <t>COMPOSITION ET SERVICE D'UN PLAT COMPLET</t>
  </si>
  <si>
    <t>Total Mx dans 1 contenant</t>
  </si>
  <si>
    <t>Comment respecter un grammage à servir Exemple N° 1</t>
  </si>
  <si>
    <t>QUANTITÉS A SERVIR OU A COMMANDER</t>
  </si>
  <si>
    <t>Combien faut-il commander pour des effectifs et des grammages différents</t>
  </si>
  <si>
    <t>COMBIEN POURRIEZ VOUS SERVIR AVEC</t>
  </si>
  <si>
    <t xml:space="preserve">Quantités nettes à prévoir : Mater Prim Adul Adul +  </t>
  </si>
  <si>
    <t>ICI &gt; pourquoi ? quelle utilité &gt; en cliquant sur cette cellule en tête de tableau et en vous déportant sur la droite puis vers le bas cela sélectionne le tableau pour le copier et le coller dans un de vos documents</t>
  </si>
  <si>
    <t>lien &gt;</t>
  </si>
  <si>
    <t>https://fr.wikipedia.org/wiki/Gastro_Norm</t>
  </si>
  <si>
    <t>POUR 1 LITRE DE SAUCE TERMINÉE</t>
  </si>
  <si>
    <t>Le format de base est le GN 1/1, qui fait 530 x 325 mm. Les autres sont des multiples ou des sous-multiples de ce module de base. Les formats généralement rencontrés chez les professionnels sont1 :</t>
  </si>
  <si>
    <t>30 gr</t>
  </si>
  <si>
    <t xml:space="preserve">pour lier 1L de soupe à l'oignon </t>
  </si>
  <si>
    <t xml:space="preserve">pour lier 200g de chair à saucisse pour tomates farcies </t>
  </si>
  <si>
    <t xml:space="preserve">pour lier 1Kg de tomates concassées avec jus </t>
  </si>
  <si>
    <t>40 gr</t>
  </si>
  <si>
    <t>pour quiche avec 2 œufs</t>
  </si>
  <si>
    <t>50 gr</t>
  </si>
  <si>
    <t>sauce bien liée épaisse</t>
  </si>
  <si>
    <t>60 gr</t>
  </si>
  <si>
    <t>plus 8 œufs pour crème patissière</t>
  </si>
  <si>
    <t>un velouté ou une sauce veloutée</t>
  </si>
  <si>
    <t>70/80 gr</t>
  </si>
  <si>
    <t>béchamelle gluante, solidification à froid, donc épaississement important lors de la chute en température</t>
  </si>
  <si>
    <t>90 gr</t>
  </si>
  <si>
    <t>pour lier 1L de lait pour gratin d'épinards avec 4 œufs et 120g de gruyère</t>
  </si>
  <si>
    <t>Plat mode de cuisson</t>
  </si>
  <si>
    <t>Grammages sauce p.p.</t>
  </si>
  <si>
    <t>1 Kg pour :</t>
  </si>
  <si>
    <t>Sans sauce</t>
  </si>
  <si>
    <t>grillé,frit,nature</t>
  </si>
  <si>
    <t>Les profondeurs les plus courantes sont 20, 40, 65, 100, 150 et 200 mm.</t>
  </si>
  <si>
    <t>Déglaçage</t>
  </si>
  <si>
    <t>roti,poélé</t>
  </si>
  <si>
    <t>20/30 g</t>
  </si>
  <si>
    <t>33 à 50 p.</t>
  </si>
  <si>
    <t>Sauce courte</t>
  </si>
  <si>
    <t>pièces sautées</t>
  </si>
  <si>
    <t>40/50 g</t>
  </si>
  <si>
    <t>20 à 25 p.</t>
  </si>
  <si>
    <t>Sauce longue</t>
  </si>
  <si>
    <t>ragoûts,braisés</t>
  </si>
  <si>
    <t>60/80 g</t>
  </si>
  <si>
    <t>12 à 16 p.</t>
  </si>
  <si>
    <t>Bouillon</t>
  </si>
  <si>
    <t>pochés,plats complets</t>
  </si>
  <si>
    <t>90/150 g</t>
  </si>
  <si>
    <t>6 à 11 p.</t>
  </si>
  <si>
    <t>Poids des aliments sur internet</t>
  </si>
  <si>
    <t xml:space="preserve">les valeurs #DIV/0!  indiquent seulement que les recettes sont "vierges" sur la feuille de saisie </t>
  </si>
  <si>
    <t>http://www.aliments.org/poids.htm</t>
  </si>
  <si>
    <t>https://www.dieteticien-nutritionniste-sante.com/conseils-alimentaires/a-telecharger/6545-2_POIDSETMESURES_FR_2005_2_4400388_fr.pdf</t>
  </si>
  <si>
    <t>si vous n'utilisez pas toutes les lignes vous pouvez masquer cette valeur par une couleur de police BLANC</t>
  </si>
  <si>
    <t>Tableau des calibres Fruits Frais</t>
  </si>
  <si>
    <t>http://www.crenoexpert.fr/flipbooks/expproduit/TABLEAUX-CALIBRES-FRUITS-2.pdf</t>
  </si>
  <si>
    <t>Banque d'images pour agrémenter vos documents</t>
  </si>
  <si>
    <t>POUR LES FICHES RECETTES A LA PORTION</t>
  </si>
  <si>
    <t xml:space="preserve"> Nb de portions Si vous estimez que les grammages sont trop ou pas assez copieux pour vos convives : modifiez les sur ces tableaux les modifications se feront sur le tableau à imprimer</t>
  </si>
  <si>
    <t>banque d'image cuisine patisserie charcuterie fromage</t>
  </si>
  <si>
    <t>Quelle quantité dans mon assiette ?</t>
  </si>
  <si>
    <t>Pas assez copieux : diminuez le nombre de portions cela augmentera les grammages à la portion sur le tableau à imprimer</t>
  </si>
  <si>
    <t>Trop copieux : augmentez le nombre de portions cela diminuera les grammages à la portion sur le tableau à imprimer</t>
  </si>
  <si>
    <t>Estimation des contenants</t>
  </si>
  <si>
    <t>Partie du document réservée à la saisie</t>
  </si>
  <si>
    <t>En fonction des informations saisies : nombre de gasto à utiliser</t>
  </si>
  <si>
    <t>PRODUITS</t>
  </si>
  <si>
    <t>Quoi?</t>
  </si>
  <si>
    <t>EFFECTIFS</t>
  </si>
  <si>
    <t>A conditionner</t>
  </si>
  <si>
    <t>Total gastronormes au choix</t>
  </si>
  <si>
    <t>Mater</t>
  </si>
  <si>
    <t>Prim</t>
  </si>
  <si>
    <t>Adultes</t>
  </si>
  <si>
    <t>Adultes +</t>
  </si>
  <si>
    <t>Ainés</t>
  </si>
  <si>
    <t>Total Effectifs</t>
  </si>
  <si>
    <t>Quantité - Grammage ou Nb de Mx ou tranche par convive</t>
  </si>
  <si>
    <t>Service à la portion</t>
  </si>
  <si>
    <t xml:space="preserve">Paupiettes de dindes 120g </t>
  </si>
  <si>
    <t>paupiettes</t>
  </si>
  <si>
    <t>Cuisses de canard cuites 200g  GN 1/1 H65</t>
  </si>
  <si>
    <t>Cuisses</t>
  </si>
  <si>
    <t>Viande tranchée</t>
  </si>
  <si>
    <t>Tomates farcies</t>
  </si>
  <si>
    <t>tomates</t>
  </si>
  <si>
    <t>Service au poids</t>
  </si>
  <si>
    <t>Sautés en morceaux</t>
  </si>
  <si>
    <t>Tartiflette  GN 1/1 H65</t>
  </si>
  <si>
    <t>Brandade de morue</t>
  </si>
  <si>
    <t>les formats nombre ne sont pas des pourcentages mais des nombres standards personnalisés &gt; 0" %"</t>
  </si>
  <si>
    <t>et 0.000"Kg" pour les poids - j'ai remplacé les volumes par des poids sur la base de 1L d'eau = 1Kg</t>
  </si>
  <si>
    <t>Poulet 4/4 Cuisses CRUES</t>
  </si>
  <si>
    <t>Poulet 4/4 Cuisses petites CUITES</t>
  </si>
  <si>
    <t>Poulet 4/4 Cuisses Grosses CUITES</t>
  </si>
  <si>
    <t>escalopes de volailles cuites 120g</t>
  </si>
  <si>
    <t>escalopes</t>
  </si>
  <si>
    <t>Liens</t>
  </si>
  <si>
    <t>patrice67tube</t>
  </si>
  <si>
    <t>Learnaccess</t>
  </si>
  <si>
    <t>Frédéric LE GUEN</t>
  </si>
  <si>
    <t>saisissez vos quantités dans les cellules fond jaunes</t>
  </si>
  <si>
    <t>capacité du contenant*</t>
  </si>
  <si>
    <t>Nb de contenants</t>
  </si>
  <si>
    <t>reliquat</t>
  </si>
  <si>
    <t>formule</t>
  </si>
  <si>
    <t>les données précédentes peuvent se présenter comme suit</t>
  </si>
  <si>
    <t>contenant(s) a conditionner</t>
  </si>
  <si>
    <t>un contenant* peut être une plaque gastro - une louche - une barquette etc..</t>
  </si>
  <si>
    <t>format &gt;"de" # ##0.000" Kg"</t>
  </si>
  <si>
    <t>Explication :</t>
  </si>
  <si>
    <t>formules</t>
  </si>
  <si>
    <t>chouquettes</t>
  </si>
  <si>
    <t>Adaptation : Joël Leboucher..UPRT "Union des Personnels de la Restauration Territoriale"  membre du réseau RESTAU'CO</t>
  </si>
  <si>
    <t>Total contenants</t>
  </si>
  <si>
    <t xml:space="preserve">Effectifs </t>
  </si>
  <si>
    <t>1 contenant pour combien</t>
  </si>
  <si>
    <t>Grammage Unitaire</t>
  </si>
  <si>
    <t>poids total</t>
  </si>
  <si>
    <t>Pour</t>
  </si>
  <si>
    <t>+ Nb de contenants</t>
  </si>
  <si>
    <t>contenant(s)</t>
  </si>
  <si>
    <t>QUOI &gt;</t>
  </si>
  <si>
    <t>Tranches</t>
  </si>
  <si>
    <t>Nb par personne</t>
  </si>
  <si>
    <t>tranches - Morceaux - Pièces</t>
  </si>
  <si>
    <t>Nb de tranches - morceaux etc.par personne</t>
  </si>
  <si>
    <t>1 contenant pour combien de convives ou portions</t>
  </si>
  <si>
    <t>Conditionnement pour service ou cuisson</t>
  </si>
  <si>
    <t xml:space="preserve">Conditionnement pour service ou cuisson </t>
  </si>
  <si>
    <t>AU POIDS</t>
  </si>
  <si>
    <t>A LA PORTION</t>
  </si>
  <si>
    <t>Combien de portions dans un gastro</t>
  </si>
  <si>
    <t>Effectif</t>
  </si>
  <si>
    <t>Quantité ou Grammage p.p.</t>
  </si>
  <si>
    <t xml:space="preserve">Poulet 4/4 Cuisses </t>
  </si>
  <si>
    <t>1 Gastro pour :</t>
  </si>
  <si>
    <t>Hachis Parmentier</t>
  </si>
  <si>
    <t xml:space="preserve">Poids standard d'une Portion </t>
  </si>
  <si>
    <t>Seniors</t>
  </si>
  <si>
    <t>Nb de portions standard dans un GN 1/1 H65</t>
  </si>
  <si>
    <t>Au choix</t>
  </si>
  <si>
    <t>Poids d'une portion</t>
  </si>
  <si>
    <t>Equivalence en nombre de portions standards</t>
  </si>
  <si>
    <t>SAUCE</t>
  </si>
  <si>
    <t>Poids de sauce dans une louche</t>
  </si>
  <si>
    <t>Poids NET p.p.</t>
  </si>
  <si>
    <t xml:space="preserve">% Perte </t>
  </si>
  <si>
    <t>Poids BRUT  1 portion</t>
  </si>
  <si>
    <t>1 louche pour</t>
  </si>
  <si>
    <t>Poids NET Total à servir / conditionner</t>
  </si>
  <si>
    <t>Total Brut à commander/conditionner</t>
  </si>
  <si>
    <t>Portion Nb de Mx par portion</t>
  </si>
  <si>
    <t>Nb portions</t>
  </si>
  <si>
    <t>Police de couleur pour saisir vos valeurs    Noir = formules</t>
  </si>
  <si>
    <t xml:space="preserve"> Poids dans 1 contenant</t>
  </si>
  <si>
    <t>Poids d' une Portion</t>
  </si>
  <si>
    <t xml:space="preserve">1 louche ou 1 contenant pour </t>
  </si>
  <si>
    <t>QUOI ?</t>
  </si>
  <si>
    <t>EXEMPLES</t>
  </si>
  <si>
    <t>32 tranches par plaque ( 1 plaque pour 26 maternelles)</t>
  </si>
  <si>
    <t>❶ saisissez le poids dans un contenant (une louche une barquette etc</t>
  </si>
  <si>
    <t>table de 12</t>
  </si>
  <si>
    <t>❷ saisissez le poids de la portion à servir par convive</t>
  </si>
  <si>
    <t>32 tranches par plaque ( 1 plaque pour 16 adultes)</t>
  </si>
  <si>
    <t>Nb de Portions à servir</t>
  </si>
  <si>
    <t>Poids de la portion</t>
  </si>
  <si>
    <t>1 plaque pour 25 ( 1 tranche par maternelle plus RAB )</t>
  </si>
  <si>
    <t>33 tranches par plaque ( 1.5 tranches par primaire)</t>
  </si>
  <si>
    <t>1 plaque pour 25 ( 1 morceau par maternelle plus RAB )</t>
  </si>
  <si>
    <t>1 plaque pour 20 ( 1 morceau par primaire plus RAB )</t>
  </si>
  <si>
    <t>1 plaque pour 16 ( 1 morceau par adulte plus RAB )</t>
  </si>
  <si>
    <t>1 plaque pour 8 ( 6 morceau par adulte + )</t>
  </si>
  <si>
    <t>1 CITRON POUR 4</t>
  </si>
  <si>
    <t>❷ saisissez le nombre de portions à servir</t>
  </si>
  <si>
    <t>1 Boite de compote pour 25</t>
  </si>
  <si>
    <t>Le contenant peut être une louche pour le service un gastro pour la cuisson  etc…</t>
  </si>
  <si>
    <t xml:space="preserve">1 melon de </t>
  </si>
  <si>
    <t>Les Mx cela peut s'appliquer à des morceaux de bourguignon mais aussi des tomates farcies ou des oreillons de pêches au sirop pour le dessert etc..</t>
  </si>
  <si>
    <t xml:space="preserve">1 plaque hachis parmentier </t>
  </si>
  <si>
    <t>DESCRIPTIF</t>
  </si>
  <si>
    <t xml:space="preserve"> Saisissez vos effectifs Saisissez vos quantités pour vos familles de convives et vous obtiendrez le net à servir. Avez-vous un pourcentage de perte (à l'épluchage -au parage en cuisson ou autre)…saisissez le et vous obtiendrez les quantités brutes à commander</t>
  </si>
  <si>
    <t>Que traitez vous : des Kg des litres des pièces des portions …des poires etc…</t>
  </si>
  <si>
    <t>Famille de convives</t>
  </si>
  <si>
    <t xml:space="preserve">Saisissez vos effectifs </t>
  </si>
  <si>
    <t>Saisissez vos quantités nets à servir</t>
  </si>
  <si>
    <t>de moyenne</t>
  </si>
  <si>
    <t>Net à préparer :</t>
  </si>
  <si>
    <t>% de perte</t>
  </si>
  <si>
    <t>Brut à Commander</t>
  </si>
  <si>
    <t>Collez une des unités suivante ou saisissez un nom de produit</t>
  </si>
  <si>
    <t>Portions</t>
  </si>
  <si>
    <t>Pièce(s)</t>
  </si>
  <si>
    <t>si vous n'avez pas de perte ne saisissez rien</t>
  </si>
  <si>
    <t>Familles de convives :Mater = enfants Maternelles Prim = enfants de l'enseignement Primaire Adulte = sédentaire Adulte + = travailleur de force Seniors = nos Ainés je classe les Adolescennts en Adultes +</t>
  </si>
  <si>
    <t>Mise à jour</t>
  </si>
  <si>
    <t>du 03-01-2017 Annule et remplace les versions précédentes</t>
  </si>
  <si>
    <t>Vous avez préparé ou il vous reste un poids X d'une préparation. Avec ce poids combien de convives ou combien de portions pourrez vous servir</t>
  </si>
  <si>
    <t xml:space="preserve">Poids de votre préparation </t>
  </si>
  <si>
    <t>Saisissez vos grammages nets à servir</t>
  </si>
  <si>
    <t>Vous pourrIez servir</t>
  </si>
  <si>
    <t>Portions / pièces / parts</t>
  </si>
  <si>
    <t>A vous de saisir un poids</t>
  </si>
  <si>
    <t>BONUS</t>
  </si>
  <si>
    <t>Vous devriez préparer :</t>
  </si>
  <si>
    <t>Grammages nets</t>
  </si>
  <si>
    <t xml:space="preserve">Quantité Totale </t>
  </si>
  <si>
    <t>Purée déshydratée</t>
  </si>
  <si>
    <t>Lait déshydraté</t>
  </si>
  <si>
    <t>Lait frais</t>
  </si>
  <si>
    <t>Crème fraiche</t>
  </si>
  <si>
    <t>Poids reconstitué</t>
  </si>
  <si>
    <t>Maternelles</t>
  </si>
  <si>
    <t>Primaires</t>
  </si>
  <si>
    <t xml:space="preserve">Adultes </t>
  </si>
  <si>
    <t>Poids à l'arrondi supérieur</t>
  </si>
  <si>
    <t xml:space="preserve"> Effectifs</t>
  </si>
  <si>
    <t>Parts Adultes</t>
  </si>
  <si>
    <t>Saisissez vos valeurs dans les cellules fond ivoire ou jaune</t>
  </si>
  <si>
    <t>Mickaël Rabeau Formateur AFPA Rochefort sur mer 2016</t>
  </si>
  <si>
    <t>n'hésitez pas a cliquer sur les liens internet</t>
  </si>
  <si>
    <t>Obtenue par hydrolyse du collagène contenu dans les peaux et os des animaux. Se vend en feuilles ou en poudre.</t>
  </si>
  <si>
    <t>Gélatine feuille</t>
  </si>
  <si>
    <t>La gélatine gonfle dans l'eau froide, se dissout dans l'eau chaude et se prend en gelée en refroidissant.</t>
  </si>
  <si>
    <t>Emplois  : Sert à la préparation de certains entremets, pour la confection de gelées et la stabilisation des glaces. Pastillage.</t>
  </si>
  <si>
    <t>Une feuille pèse environ 2 g ou 2,5 g</t>
  </si>
  <si>
    <t>Attention pour les pulpes de Kiwi, ananas, papaye : cuire les pulpes à 60°C pour détruire l'enzyme qu'elles contiennent.</t>
  </si>
  <si>
    <t>La gélatine prend 5-6 fois son poids en eau (10 g de gélatine et 50- 60 g d'eau)</t>
  </si>
  <si>
    <t>GELATINE en feuille</t>
  </si>
  <si>
    <t>Feuille entière (1 =</t>
  </si>
  <si>
    <t xml:space="preserve">feuilles de gélatine </t>
  </si>
  <si>
    <t>feuilles</t>
  </si>
  <si>
    <t>Gélatine et agar-agar : principes et utilisations</t>
  </si>
  <si>
    <t>Glaçage brillant au chocolat - Fiche recette ... - Meilleur du Chef</t>
  </si>
  <si>
    <t>si vous n'êtes pas d'accord avec le poids d'une feuille - saisissez ce qui vous convient</t>
  </si>
  <si>
    <t>Combien de feuilles - à vous de saisir un nombre</t>
  </si>
  <si>
    <t>Adaptation : Joël Leboucher..UPRT "Union des Professionnels de la Restauration Territoriale"  membre du réseau RESTAU'CO</t>
  </si>
  <si>
    <t>Œuf entier  ( 1 =</t>
  </si>
  <si>
    <t>Jaunes d'œufs ( 1 =</t>
  </si>
  <si>
    <t>Blancs d'œufs  ( 1 =</t>
  </si>
  <si>
    <t>œufs =</t>
  </si>
  <si>
    <t>gr</t>
  </si>
  <si>
    <t>jaunes =</t>
  </si>
  <si>
    <t>blancs =</t>
  </si>
  <si>
    <t>Protéines</t>
  </si>
  <si>
    <t>M.Grasse</t>
  </si>
  <si>
    <t>si vous n'êtes pas d'accord avec les grammages saisis - saisissez ce qui vous convient</t>
  </si>
  <si>
    <t>Combien d'œufs - de jaunes ou de blancs - à vous de saisir un nombre</t>
  </si>
  <si>
    <t>Lien internet :</t>
  </si>
  <si>
    <t>Œufs 101 - Introduction aux œufs » Lesoeufs.ca</t>
  </si>
  <si>
    <t>POIDS NET A FABRIQUER</t>
  </si>
  <si>
    <t>Net cuit</t>
  </si>
  <si>
    <t>perte en cuisson</t>
  </si>
  <si>
    <t>Poids brut à mettre en œuvre</t>
  </si>
  <si>
    <t>carottes coupées</t>
  </si>
  <si>
    <t>courgettescoupées</t>
  </si>
  <si>
    <t>navets coupé</t>
  </si>
  <si>
    <t>pois chiches pré-cuits</t>
  </si>
  <si>
    <t>garniture de céléri branche</t>
  </si>
  <si>
    <t>poivrons rouges coupés</t>
  </si>
  <si>
    <t>poivrons verts coupés</t>
  </si>
  <si>
    <t>j'ai volontairement ajouté cette colonne..si vous supprimez une ligne le tableau fonctionnera quand même</t>
  </si>
  <si>
    <t xml:space="preserve">Veullez saisir les informations dans les cellules fond de couleur ivoire. </t>
  </si>
  <si>
    <t>SERVICE EN FONCTION DES EFFECTIFS</t>
  </si>
  <si>
    <t>COUSCOUS</t>
  </si>
  <si>
    <t>Document édité le :</t>
  </si>
  <si>
    <t>grammages ou nombre de Morceaux ou tranches à saisir</t>
  </si>
  <si>
    <t>haut de cuisse de poulet</t>
  </si>
  <si>
    <t>pilon de poulet</t>
  </si>
  <si>
    <t>merguez</t>
  </si>
  <si>
    <t>Agneau en morceaux</t>
  </si>
  <si>
    <t>Agneau boulettes</t>
  </si>
  <si>
    <t>&lt; Total Mx par convive</t>
  </si>
  <si>
    <t>légumes couscous cuits</t>
  </si>
  <si>
    <t>Semoule cuite</t>
  </si>
  <si>
    <t>POISSON PANÉ</t>
  </si>
  <si>
    <t xml:space="preserve">Poids unitaire du produit </t>
  </si>
  <si>
    <t>Grammages à servir</t>
  </si>
  <si>
    <t>Prévoir :</t>
  </si>
  <si>
    <t>parts</t>
  </si>
  <si>
    <t>enfants</t>
  </si>
  <si>
    <t>Comment servir ce produit</t>
  </si>
  <si>
    <t>1 Part =</t>
  </si>
  <si>
    <t>Poids  produit à servir</t>
  </si>
  <si>
    <t>Poids  produit envoyé</t>
  </si>
  <si>
    <t>Écart de poids</t>
  </si>
  <si>
    <t>Meilleur rapport</t>
  </si>
  <si>
    <t>produits entiers</t>
  </si>
  <si>
    <t>Les quantités consommées par les enfants dépendent :de l'âge, de la saison, du goût, de l'influence des camarades,de l'activité phisique et/ou du grignotage en récréation sans parler du verre de lait (long à digérer) servi parfois trop près de l'heure du repas</t>
  </si>
  <si>
    <t>Au repas si l'enfant mange beaucoup de pain avec ou en remplacement du plat proposé; les quantités ingérées seront d'autant diminuées. Pour limiter le "gaspillage" et satisfaire les "gourmants"; vous pouvez avoir recours à cet exemple de service.</t>
  </si>
  <si>
    <t>Petit utilitaire d'Aide à la décision</t>
  </si>
  <si>
    <t xml:space="preserve"> et vos grammages nets à servir</t>
  </si>
  <si>
    <t>Familles de convives</t>
  </si>
  <si>
    <t>Quantités à Prévoir</t>
  </si>
  <si>
    <t>Net à servir :</t>
  </si>
  <si>
    <t>Net</t>
  </si>
  <si>
    <t>Brut</t>
  </si>
  <si>
    <t>poids de perte</t>
  </si>
  <si>
    <t>en moyenne par convive</t>
  </si>
  <si>
    <t>Facultatif Mais si vous saisissez un % la question à vous poser c'est : le produit brut ou cru perd comblien au parage ou en cuisson</t>
  </si>
  <si>
    <t>Vous obtiendrez le poids brut à commander</t>
  </si>
  <si>
    <t>POURCENTAGES  1</t>
  </si>
  <si>
    <t>Aide à la décision en Gr</t>
  </si>
  <si>
    <t>Pour prendre, par exemple, le 5 % de 87 Kg</t>
  </si>
  <si>
    <t>Pour déduire, par exemple, le 5 % de 87 Kg</t>
  </si>
  <si>
    <t>Pour prendre 20% de 140</t>
  </si>
  <si>
    <t xml:space="preserve">Voici la formule pour calculer un pourcentage, </t>
  </si>
  <si>
    <t>largeur de colonnes</t>
  </si>
  <si>
    <t>Valeur d'un pourcentage, calcul simplifié</t>
  </si>
  <si>
    <t>Au lieu de multiplier par 5, puis de diviser par 100,</t>
  </si>
  <si>
    <t>Commencer par un calcul oral: quand on déduit le</t>
  </si>
  <si>
    <t xml:space="preserve"> il est plus simple de multiplier par </t>
  </si>
  <si>
    <t xml:space="preserve"> 5 %, il reste le 95 %     ( 100 - 5 )</t>
  </si>
  <si>
    <t xml:space="preserve">5 / 100 = 0.05, </t>
  </si>
  <si>
    <t xml:space="preserve">On peut alors calculer directement le résultat, à savoir: </t>
  </si>
  <si>
    <t>opération qu'on peut réaliser mentalement.</t>
  </si>
  <si>
    <t>(87 Kg) × 0.95 = 82.65 kg</t>
  </si>
  <si>
    <t>coefficient</t>
  </si>
  <si>
    <t>Le calcul se réduit maintenant à une seule opération arithmétique, a savoir</t>
  </si>
  <si>
    <t xml:space="preserve">Avec cette manière de faire, la calculatrice n'a été utilisée que pour une seule opération arithmétique : </t>
  </si>
  <si>
    <t>(87 Kg) x 0.05 = 4.35 Kg</t>
  </si>
  <si>
    <t>il suffit de multiplier 140 par 20 %</t>
  </si>
  <si>
    <t>par exemple 8% de 500 :</t>
  </si>
  <si>
    <t>c'est-à-dire faire : (140 * 20) / 100</t>
  </si>
  <si>
    <t>500 x (8/100) = 40</t>
  </si>
  <si>
    <t xml:space="preserve">ou plus simplement : </t>
  </si>
  <si>
    <t>ou alors</t>
  </si>
  <si>
    <t>140 * 0.2(On obtient : 28)</t>
  </si>
  <si>
    <t>500 x 0.08 = 40</t>
  </si>
  <si>
    <t xml:space="preserve">Si on avait à trouver 40% de 140, </t>
  </si>
  <si>
    <t>0.08 = (8/100)</t>
  </si>
  <si>
    <t>on aurait multiplié 140 par 0.4</t>
  </si>
  <si>
    <t>90% ? On multiplie 140 par 0.9</t>
  </si>
  <si>
    <t>POURCENTAGES  2  - à vous de choisir le lien qui vous intéresse</t>
  </si>
  <si>
    <t>Formule avec DONT</t>
  </si>
  <si>
    <t>https://www.maths-et-tiques.fr/telech/Pourcent.pdf</t>
  </si>
  <si>
    <t>http://www.maths-et-tiques.fr/index.php/cours-en-videos</t>
  </si>
  <si>
    <t>Poids brut ou poids net ? Ne payez pas l'emballage !</t>
  </si>
  <si>
    <t>https://www.google.com/search?client=firefox-b-d&amp;sca_esv=564255901&amp;sxsrf=AB5stBihJ69cL1ng1vQDYXKmUFWjQYd6jQ:1694407722726&amp;q=dgccrf+Poids+brut+ou+poids+net+?+Ne+payer+pas+l%27emballage+!&amp;spell=1&amp;sa=X&amp;ved=2ahUKEwjRtKvT4KGBAxVJWqQEHb3mCrcQBSgAegQICBAB&amp;biw=1564&amp;bih=722&amp;dpr=1.2</t>
  </si>
  <si>
    <t>A chacun d'utiliser le lien qui lui convient le mieux</t>
  </si>
  <si>
    <t>lien vidéo Youtube</t>
  </si>
  <si>
    <t>Calculer un pourcentage - exemple</t>
  </si>
  <si>
    <t>https://www.youtube.com/watch?v=mGDjvAcvigc</t>
  </si>
  <si>
    <t>https://www.youtube.com/c/YMONKA</t>
  </si>
  <si>
    <t>https://www.youtube.com/watch?v=tSp2xkS-tKs</t>
  </si>
  <si>
    <t>https://www.youtube.com/watch?v=dWC54hCv0pc</t>
  </si>
  <si>
    <t>https://www.youtube.com/watch?v=psIZ0y_8VVc</t>
  </si>
  <si>
    <t>https://www.youtube.com/watch?v=_PTjJ7UD4eo</t>
  </si>
  <si>
    <t>Quiche</t>
  </si>
  <si>
    <t>garniture œufs + lait+ jambon de dinde</t>
  </si>
  <si>
    <t>dont jambon de dinde</t>
  </si>
  <si>
    <t>Produits complémentaires</t>
  </si>
  <si>
    <t xml:space="preserve">❶ </t>
  </si>
  <si>
    <t>Moins ❷</t>
  </si>
  <si>
    <t xml:space="preserve"> =  ❷</t>
  </si>
  <si>
    <t>garniture avec le produit à extraire</t>
  </si>
  <si>
    <t>DONT produit à extraire</t>
  </si>
  <si>
    <t>vous obtenez le % du/des produiits(s) complémentaire(s)</t>
  </si>
  <si>
    <t>POURCENTAGES  et autre  - je vous invite à naviguer sur les différentes pages de ces sites</t>
  </si>
  <si>
    <t>Pourcentages : Calculer un pourcentage</t>
  </si>
  <si>
    <t>https://www.mathematiquesfaciles.com/pourcentages-calculer-un-pourcentage_2_19885.htm</t>
  </si>
  <si>
    <t>wikipedia.org</t>
  </si>
  <si>
    <t>https://fr.wikipedia.org/wiki/Pourcentage</t>
  </si>
  <si>
    <t>Révisez, et entrainez vous.</t>
  </si>
  <si>
    <t>sans calculatrice...</t>
  </si>
  <si>
    <t>Comprendre les maths!</t>
  </si>
  <si>
    <t>D.CATROU 2010</t>
  </si>
  <si>
    <t>Florent Gouachon</t>
  </si>
  <si>
    <t>Lycée Jean Monnet…Juvisy - académie de Versailles</t>
  </si>
  <si>
    <t>Liam Dauchat</t>
  </si>
  <si>
    <t>http://www.lyc-monnet-juvisy.ac-versailles.fr/Diapomath.pdf</t>
  </si>
  <si>
    <t>Besançon</t>
  </si>
  <si>
    <t>https://www.cmath.fr/cesite/presentation.php</t>
  </si>
  <si>
    <t>une multiplication, ce qui augmente la vitesse et réduit les occasions de se tromper.</t>
  </si>
  <si>
    <t>https://www.cmath.fr/6eme/pourcentages/cours.php</t>
  </si>
  <si>
    <t>https://www.deleze.name/marcel/culture/taux_composes/taux_simple.html</t>
  </si>
  <si>
    <t>Comment convertir en pourcentage</t>
  </si>
  <si>
    <t>https://fr.wikihow.com/convertir-en-pourcentage</t>
  </si>
  <si>
    <t>Comment compter le pourcentage de tête vite et facilement</t>
  </si>
  <si>
    <t>http://calc.name/blog/comment-compter-le-pourcentage-de-tete-vite-et-facilement/</t>
  </si>
  <si>
    <t>fabie.info.pagesperso-orange</t>
  </si>
  <si>
    <t>http://www.un-calcul.fr/calcul-comptabilite/comment-calculer-un-pourcentage-338</t>
  </si>
  <si>
    <t>Arrêt du service Pages perso</t>
  </si>
  <si>
    <t>Comment retrouver la valeur de départ ?</t>
  </si>
  <si>
    <t>Comment appliquer une augmentation en pourcentage ?</t>
  </si>
  <si>
    <t>Les Maths ? Je capte pas ! Les chiffres ? J'y comprends rien ! Vous vous reconnaissez ?</t>
  </si>
  <si>
    <t>http://www.capte-les-maths.com/pourcentage/les_pourcentages_p6.php</t>
  </si>
  <si>
    <t>Vous qui désespérez... Vous que les Maths n'intéressent pas... Et pourtant il faudrait...</t>
  </si>
  <si>
    <t>Alors capte-les-maths.com est fait pour vous !</t>
  </si>
  <si>
    <t>Calculer un pourcentage avec Excel</t>
  </si>
  <si>
    <t>http://www.capte-les-maths.com/pourcentage/les_pourcentages_p10.php</t>
  </si>
  <si>
    <t>http://fortimelp.fr/content/44-calculer-un-pourcentage</t>
  </si>
  <si>
    <t>https://www.youtube.com/watch?v=dQafvb2O01U</t>
  </si>
  <si>
    <t>https://www.youtube.com/watch?v=QTGvjmAhEHo</t>
  </si>
  <si>
    <t>Comment calculer combien on va payer pendant les soldes?</t>
  </si>
  <si>
    <t>http://www.slate.fr/story/82029/soldes-calculer-rabais</t>
  </si>
  <si>
    <t>mode d'emploi simple pour appliquer un pourcentage d'augmentation avec la Calculatrice de Windows.</t>
  </si>
  <si>
    <t>http://www.astuceshebdo.com/2012/03/comment-calculer-un-pourcentage-cas-n-1.html</t>
  </si>
  <si>
    <t>Grille d’analyse des contrastes d’une charte</t>
  </si>
  <si>
    <t>https://blog.atalan.fr/grille-contrastes-accessibilite-charte-graphique/</t>
  </si>
  <si>
    <t>Contrastes de couleurs de texte</t>
  </si>
  <si>
    <t>https://www.tanaguru.com/contrastes-couleurs-choisir-combinaisons-accessibles/</t>
  </si>
  <si>
    <t>Les 10 meilleures polices d’écriture</t>
  </si>
  <si>
    <t>Palette de couleurs, Excel</t>
  </si>
  <si>
    <t>Utiliser la pipette pour faire correspondre les couleurs de votre diapositive</t>
  </si>
  <si>
    <t>https://www.redacteur.com/blog/polices-ecriture-a-utiliser/</t>
  </si>
  <si>
    <t>https://support.microsoft.com/fr-fr/office/utiliser-la-pipette-pour-faire-correspondre-les-couleurs-de-votre-diapositive-d5e7a32a-da6c-4bed-9f1e-8797f07174e9</t>
  </si>
  <si>
    <t>Codes de couleur HTML sécurisés pour le Web / Tableau de référence</t>
  </si>
  <si>
    <t>https://encycolorpedia.com/websafe</t>
  </si>
  <si>
    <t>Comment utiliser un code couleur dans Excel ?</t>
  </si>
  <si>
    <t>Codes de couleurs HTML / Tableau de référence</t>
  </si>
  <si>
    <t>https://clickup.com/fr-FR/blog/202591/comment-faire-un-code-couleur-dans-excel</t>
  </si>
  <si>
    <t>https://encycolorpedia.com/html</t>
  </si>
  <si>
    <t>https://excel-downloads.com/forums/forum-excel.7/</t>
  </si>
  <si>
    <t>Codes de couleurs nommés / Tableau de référence</t>
  </si>
  <si>
    <t>https://encycolorpedia.com/named</t>
  </si>
  <si>
    <t>L'association de couleurs expliquée en 20 exemples tendance</t>
  </si>
  <si>
    <t>Correspondance des couleurs de peinture et convertisseur</t>
  </si>
  <si>
    <t>https://www.canva.com/fr_fr/decouvrir/association-de-couleur-tendance-exemple/</t>
  </si>
  <si>
    <t>https://encycolorpedia.com/paints</t>
  </si>
  <si>
    <t>http://translate.google.fr/translate?hl=fr&amp;langpair=en|fr&amp;u=http://dmcritchie.mvps.org/excel/colors.htm</t>
  </si>
  <si>
    <t>Votre éditeur de photo en ligne est là et restera toujours gratuit !</t>
  </si>
  <si>
    <t>https://www.iloveimg.com/fr</t>
  </si>
  <si>
    <t>Coul</t>
  </si>
  <si>
    <t>Hex</t>
  </si>
  <si>
    <t>R.rouge</t>
  </si>
  <si>
    <t>V.vert</t>
  </si>
  <si>
    <t>B.bleu</t>
  </si>
  <si>
    <t>Name</t>
  </si>
  <si>
    <t>Désignation</t>
  </si>
  <si>
    <t>[Couleur 1]</t>
  </si>
  <si>
    <t>#000000</t>
  </si>
  <si>
    <t>[Couleur 29]</t>
  </si>
  <si>
    <t># 800080</t>
  </si>
  <si>
    <t>Profond ciel Bleu</t>
  </si>
  <si>
    <t>Azur</t>
  </si>
  <si>
    <t>gris 29</t>
  </si>
  <si>
    <t>Gris foncé.856</t>
  </si>
  <si>
    <t>bisque2</t>
  </si>
  <si>
    <t>Orange clair.341 délavé.429</t>
  </si>
  <si>
    <t>[Couleur 2]</t>
  </si>
  <si>
    <t>#FFFFFF</t>
  </si>
  <si>
    <t>[Couleur 30]</t>
  </si>
  <si>
    <t># 800000</t>
  </si>
  <si>
    <t>Azur clair.023 délavé.795</t>
  </si>
  <si>
    <t>gris 28</t>
  </si>
  <si>
    <t>Gris foncé.868</t>
  </si>
  <si>
    <t>Jaune orangé pâle</t>
  </si>
  <si>
    <t>Orange clair.342 délavé.130</t>
  </si>
  <si>
    <t>[Couleur 3]</t>
  </si>
  <si>
    <t>#FF0000</t>
  </si>
  <si>
    <t>[Couleur 31]</t>
  </si>
  <si>
    <t># 008080</t>
  </si>
  <si>
    <t>ciel Bleu2</t>
  </si>
  <si>
    <t>Azur clair.075 délavé.306</t>
  </si>
  <si>
    <t>gris 27</t>
  </si>
  <si>
    <t>Gris foncé.875</t>
  </si>
  <si>
    <t xml:space="preserve">NavajoBlanc </t>
  </si>
  <si>
    <t>Orange clair.427</t>
  </si>
  <si>
    <t>[Couleur 4]</t>
  </si>
  <si>
    <t>#00FF00</t>
  </si>
  <si>
    <t>[Couleur 32]</t>
  </si>
  <si>
    <t># 0000FF</t>
  </si>
  <si>
    <t>léger ciel Bleu</t>
  </si>
  <si>
    <t>Azur clair.207 délavé.108</t>
  </si>
  <si>
    <t>gris 26</t>
  </si>
  <si>
    <t>Gris foncé.885</t>
  </si>
  <si>
    <t>AntiqueBlanc 2</t>
  </si>
  <si>
    <t>Orange clair.470 délavé.534</t>
  </si>
  <si>
    <t>[Couleur 5]</t>
  </si>
  <si>
    <t>#0000FF</t>
  </si>
  <si>
    <t>[Couleur 33]</t>
  </si>
  <si>
    <t># 00CCFF</t>
  </si>
  <si>
    <t>Bleu très clair</t>
  </si>
  <si>
    <t>Azur clair.248 délavé.312</t>
  </si>
  <si>
    <t>gris 25</t>
  </si>
  <si>
    <t>Gris foncé.892</t>
  </si>
  <si>
    <t>Bisque</t>
  </si>
  <si>
    <t>Orange clair.560</t>
  </si>
  <si>
    <t>[Couleur 6]</t>
  </si>
  <si>
    <t>#FFFF00</t>
  </si>
  <si>
    <t>[Couleur 34]</t>
  </si>
  <si>
    <t># CCFFFF</t>
  </si>
  <si>
    <t>ciel Bleu1</t>
  </si>
  <si>
    <t>Azur clair.250</t>
  </si>
  <si>
    <t>gris 24</t>
  </si>
  <si>
    <t>Gris foncé.902</t>
  </si>
  <si>
    <t xml:space="preserve">AntiqueBlanc </t>
  </si>
  <si>
    <t>Orange clair.643 délavé.241</t>
  </si>
  <si>
    <t>[Couleur 7]</t>
  </si>
  <si>
    <t>#FF00FF</t>
  </si>
  <si>
    <t>[Couleur 35]</t>
  </si>
  <si>
    <t># CCFFCC</t>
  </si>
  <si>
    <t>Bleu très pâle</t>
  </si>
  <si>
    <t>Azur clair.308 délavé.589</t>
  </si>
  <si>
    <t>gris 23</t>
  </si>
  <si>
    <t>Gris foncé.908</t>
  </si>
  <si>
    <t>AntiqueBlanc 1</t>
  </si>
  <si>
    <t>Orange clair.715</t>
  </si>
  <si>
    <t>[Couleur 8]</t>
  </si>
  <si>
    <t>#00FFFF</t>
  </si>
  <si>
    <t>[Couleur 36]</t>
  </si>
  <si>
    <t># FFFF99</t>
  </si>
  <si>
    <t>Ardoise gris 2</t>
  </si>
  <si>
    <t>Azur clair.352 délavé.437</t>
  </si>
  <si>
    <t>gris 22</t>
  </si>
  <si>
    <t>Gris foncé.917</t>
  </si>
  <si>
    <t>Lin</t>
  </si>
  <si>
    <t>Orange clair.753 délavé.348</t>
  </si>
  <si>
    <t>[Couleur 9]</t>
  </si>
  <si>
    <t>#800000</t>
  </si>
  <si>
    <t>[Couleur 37]</t>
  </si>
  <si>
    <t># 99CCFF</t>
  </si>
  <si>
    <t>Ardoise gris 1</t>
  </si>
  <si>
    <t>Azur clair.573</t>
  </si>
  <si>
    <t>gris 21</t>
  </si>
  <si>
    <t>Gris foncé.922</t>
  </si>
  <si>
    <t>burlywood</t>
  </si>
  <si>
    <t>Orange foncé.013 délavé.507</t>
  </si>
  <si>
    <t>[Couleur 10]</t>
  </si>
  <si>
    <t>#008000</t>
  </si>
  <si>
    <t>[Couleur 38]</t>
  </si>
  <si>
    <t># FF99CC</t>
  </si>
  <si>
    <t>Blanc</t>
  </si>
  <si>
    <t>Azur clair.798 délavé.919</t>
  </si>
  <si>
    <t>gris 20</t>
  </si>
  <si>
    <t>Gris foncé.930</t>
  </si>
  <si>
    <t>bisque3</t>
  </si>
  <si>
    <t>Orange foncé.031 délavé.724</t>
  </si>
  <si>
    <t>[Couleur 11]</t>
  </si>
  <si>
    <t># 000080</t>
  </si>
  <si>
    <t>[Couleur 39]</t>
  </si>
  <si>
    <t># CC99FF</t>
  </si>
  <si>
    <t>AliceBleu</t>
  </si>
  <si>
    <t>Azur clair.875</t>
  </si>
  <si>
    <t>Gris anthracite</t>
  </si>
  <si>
    <t>Gris foncé.938</t>
  </si>
  <si>
    <t>tan</t>
  </si>
  <si>
    <t>Orange foncé.078 délavé.587</t>
  </si>
  <si>
    <t>[Couleur 12]</t>
  </si>
  <si>
    <t># 808000</t>
  </si>
  <si>
    <t>[Couleur 40]</t>
  </si>
  <si>
    <t># FFCC99</t>
  </si>
  <si>
    <t>Ardoise gris 3</t>
  </si>
  <si>
    <t>Azur foncé.026 délavé.730</t>
  </si>
  <si>
    <t>gris 18</t>
  </si>
  <si>
    <t>Gris foncé.943</t>
  </si>
  <si>
    <t>NavajoBlanc 3</t>
  </si>
  <si>
    <t>Orange foncé.115 délavé.602</t>
  </si>
  <si>
    <t>[Couleur 13]</t>
  </si>
  <si>
    <t>[Couleur 41]</t>
  </si>
  <si>
    <t># 3366FF</t>
  </si>
  <si>
    <t>Profond ciel Bleu2</t>
  </si>
  <si>
    <t>Azur foncé.142</t>
  </si>
  <si>
    <t>gris 17</t>
  </si>
  <si>
    <t>Gris foncé.949</t>
  </si>
  <si>
    <t>Dorérod2</t>
  </si>
  <si>
    <t>Orange foncé.125 délavé.038</t>
  </si>
  <si>
    <t>[Couleur 14]</t>
  </si>
  <si>
    <t>[Couleur 42]</t>
  </si>
  <si>
    <t># 33CCCC</t>
  </si>
  <si>
    <t>Bleu clair</t>
  </si>
  <si>
    <t>Azur foncé.220 délavé.432</t>
  </si>
  <si>
    <t>gris 16</t>
  </si>
  <si>
    <t>Gris foncé.954</t>
  </si>
  <si>
    <t>Jaune orangé moyen</t>
  </si>
  <si>
    <t>Orange foncé.127 délavé.229</t>
  </si>
  <si>
    <t>[Couleur 15]</t>
  </si>
  <si>
    <t># C0C0C0</t>
  </si>
  <si>
    <t>[Couleur 43]</t>
  </si>
  <si>
    <t># 99CC00</t>
  </si>
  <si>
    <t>ciel Bleu3</t>
  </si>
  <si>
    <t>Azur foncé.226 délavé.403</t>
  </si>
  <si>
    <t>gris 15</t>
  </si>
  <si>
    <t>Gris foncé.959</t>
  </si>
  <si>
    <t>SombRouge orérod2</t>
  </si>
  <si>
    <t>Orange foncé.137 délavé.010</t>
  </si>
  <si>
    <t>[Couleur 16]</t>
  </si>
  <si>
    <t># 808080</t>
  </si>
  <si>
    <t>[Couleur 44]</t>
  </si>
  <si>
    <t># FFCC00</t>
  </si>
  <si>
    <t>Bleu pâle</t>
  </si>
  <si>
    <t>Azur foncé.265 délavé.794</t>
  </si>
  <si>
    <t>gris 14</t>
  </si>
  <si>
    <t>Gris foncé.963</t>
  </si>
  <si>
    <t>burlywood3</t>
  </si>
  <si>
    <t>Orange foncé.169 délavé.512</t>
  </si>
  <si>
    <t>[Couleur 17]</t>
  </si>
  <si>
    <t># 9999FF</t>
  </si>
  <si>
    <t>[Couleur 45]</t>
  </si>
  <si>
    <t># FF9900</t>
  </si>
  <si>
    <t>Azur foncé.354 délavé.108</t>
  </si>
  <si>
    <t>gris 13</t>
  </si>
  <si>
    <t>Gris foncé.968</t>
  </si>
  <si>
    <t>Dorérod</t>
  </si>
  <si>
    <t>Orange foncé.277 délavé.042</t>
  </si>
  <si>
    <t>[Couleur 18]</t>
  </si>
  <si>
    <t># 993366</t>
  </si>
  <si>
    <t>[Couleur 46]</t>
  </si>
  <si>
    <t># FF6600</t>
  </si>
  <si>
    <t>ciel Bleu</t>
  </si>
  <si>
    <t>Azur foncé.355 délavé.104</t>
  </si>
  <si>
    <t>gris 12</t>
  </si>
  <si>
    <t>Gris foncé.972</t>
  </si>
  <si>
    <t>Brun jaunâtre clair</t>
  </si>
  <si>
    <t>Orange foncé.305 délavé.441</t>
  </si>
  <si>
    <t>[Couleur 19]</t>
  </si>
  <si>
    <t>#FFFFCC</t>
  </si>
  <si>
    <t>[Couleur 47]</t>
  </si>
  <si>
    <t># 666699</t>
  </si>
  <si>
    <t>Profond ciel Bleu3</t>
  </si>
  <si>
    <t>Azur foncé.382</t>
  </si>
  <si>
    <t>gris 11</t>
  </si>
  <si>
    <t>Gris foncé.976</t>
  </si>
  <si>
    <t>Brun jaunâtre clair grisâtre</t>
  </si>
  <si>
    <t>Orange foncé.337 délavé.696</t>
  </si>
  <si>
    <t>[Couleur 20]</t>
  </si>
  <si>
    <t>[Couleur 48]</t>
  </si>
  <si>
    <t># 969696</t>
  </si>
  <si>
    <t>Bleu acier</t>
  </si>
  <si>
    <t>Azur foncé.456 délavé.163</t>
  </si>
  <si>
    <t>gris 10</t>
  </si>
  <si>
    <t>Gris foncé.979</t>
  </si>
  <si>
    <t>Dorérod3</t>
  </si>
  <si>
    <t>Orange foncé.369 délavé.040</t>
  </si>
  <si>
    <t>[Couleur 21]</t>
  </si>
  <si>
    <t># 660066</t>
  </si>
  <si>
    <t>[Couleur 49]</t>
  </si>
  <si>
    <t># 003366</t>
  </si>
  <si>
    <t xml:space="preserve">léger Ardoise gris </t>
  </si>
  <si>
    <t>Azur foncé.481 délavé.738</t>
  </si>
  <si>
    <t>gris 9</t>
  </si>
  <si>
    <t>Gris foncé.982</t>
  </si>
  <si>
    <t>SombRouge orérod3</t>
  </si>
  <si>
    <t>Orange foncé.378 délavé.012</t>
  </si>
  <si>
    <t>[Couleur 22]</t>
  </si>
  <si>
    <t># FF8080</t>
  </si>
  <si>
    <t>[Couleur 50]</t>
  </si>
  <si>
    <t>#339966</t>
  </si>
  <si>
    <t xml:space="preserve">Ardoise gris </t>
  </si>
  <si>
    <t>Azur foncé.544 délavé.739</t>
  </si>
  <si>
    <t>gris 8</t>
  </si>
  <si>
    <t>Gris foncé.986</t>
  </si>
  <si>
    <t>CSS Or</t>
  </si>
  <si>
    <t>Orange foncé.388</t>
  </si>
  <si>
    <t>[Couleur 23]</t>
  </si>
  <si>
    <t># 0066CC</t>
  </si>
  <si>
    <t>[Couleur 52]</t>
  </si>
  <si>
    <t># 333300</t>
  </si>
  <si>
    <t>Ardoise gris 4</t>
  </si>
  <si>
    <t>Azur foncé.577 délavé.739</t>
  </si>
  <si>
    <t>gris 7</t>
  </si>
  <si>
    <t>Gris foncé.988</t>
  </si>
  <si>
    <t>Jaune orangé foncé</t>
  </si>
  <si>
    <t>Orange foncé.427 délavé.171</t>
  </si>
  <si>
    <t>[Couleur 24]</t>
  </si>
  <si>
    <t># CCCCFF</t>
  </si>
  <si>
    <t>[Couleur 53]</t>
  </si>
  <si>
    <t># 993300</t>
  </si>
  <si>
    <t>Gris de Payne</t>
  </si>
  <si>
    <t>Azur foncé.660 délavé.833</t>
  </si>
  <si>
    <t>gris 6</t>
  </si>
  <si>
    <t>Gris foncé.991</t>
  </si>
  <si>
    <t>SombRouge orérod</t>
  </si>
  <si>
    <t>Orange foncé.509 délavé.013</t>
  </si>
  <si>
    <t>[Couleur 25]</t>
  </si>
  <si>
    <t>[Couleur 54]</t>
  </si>
  <si>
    <t>ciel Bleu4</t>
  </si>
  <si>
    <t>Azur foncé.662 délavé.425</t>
  </si>
  <si>
    <t>gris 5</t>
  </si>
  <si>
    <t>Gris foncé.992</t>
  </si>
  <si>
    <t>bronze II</t>
  </si>
  <si>
    <t>Orange foncé.561 délavé.223</t>
  </si>
  <si>
    <t>[Couleur 26]</t>
  </si>
  <si>
    <t># FF00FF</t>
  </si>
  <si>
    <t>[Couleur 55]</t>
  </si>
  <si>
    <t># 333399</t>
  </si>
  <si>
    <t>Acier Bleu</t>
  </si>
  <si>
    <t>Azur foncé.704 délavé.118</t>
  </si>
  <si>
    <t>gris 4</t>
  </si>
  <si>
    <t>Gris foncé.994</t>
  </si>
  <si>
    <t>Havane</t>
  </si>
  <si>
    <t>Orange foncé.573 délavé.572</t>
  </si>
  <si>
    <t>[Couleur 27]</t>
  </si>
  <si>
    <t># FFFF00</t>
  </si>
  <si>
    <t>[Couleur 56]</t>
  </si>
  <si>
    <t># 333333</t>
  </si>
  <si>
    <t>Bleu grisâtre</t>
  </si>
  <si>
    <t>Azur foncé.714 délavé.635</t>
  </si>
  <si>
    <t>gris 3</t>
  </si>
  <si>
    <t>Gris foncé.995</t>
  </si>
  <si>
    <t>Terre de Sienne brûlée</t>
  </si>
  <si>
    <t>Orange foncé.574 délavé.526</t>
  </si>
  <si>
    <t>[Couleur 28]</t>
  </si>
  <si>
    <t># 00FFFF</t>
  </si>
  <si>
    <t>Profond ciel Bleu4</t>
  </si>
  <si>
    <t>Azur foncé.734</t>
  </si>
  <si>
    <t>gris 2</t>
  </si>
  <si>
    <t>Gris foncé.997</t>
  </si>
  <si>
    <t>bisque4</t>
  </si>
  <si>
    <t>Orange foncé.580 délavé.730</t>
  </si>
  <si>
    <t>Gris foncé bleuté</t>
  </si>
  <si>
    <t>Azur foncé.797 délavé.849</t>
  </si>
  <si>
    <t>gris 1</t>
  </si>
  <si>
    <t>Gris foncé.998</t>
  </si>
  <si>
    <t>NavajoBlanc 4</t>
  </si>
  <si>
    <t>Orange foncé.617 délavé.610</t>
  </si>
  <si>
    <t>Liste de 729 couleurs RGB</t>
  </si>
  <si>
    <t>Bleu de Prusse (pigment)</t>
  </si>
  <si>
    <t>Azur foncé.870 délavé.282</t>
  </si>
  <si>
    <t>Jaune secondaire</t>
  </si>
  <si>
    <t>Jaune</t>
  </si>
  <si>
    <t>burlywood4</t>
  </si>
  <si>
    <t>Orange foncé.638 délavé.526</t>
  </si>
  <si>
    <t>https://excel-pratique.com/fr/vba/liste-couleurs-rgb.php</t>
  </si>
  <si>
    <t>Bleu foncé grisâtre</t>
  </si>
  <si>
    <t>Azur foncé.879 délavé.642</t>
  </si>
  <si>
    <t>Jaune verdâtre clair</t>
  </si>
  <si>
    <t>Jaune clair.025 délavé.355</t>
  </si>
  <si>
    <t>Châtaigne</t>
  </si>
  <si>
    <t>Orange foncé.670 délavé.648</t>
  </si>
  <si>
    <t>Bleu noirâtre</t>
  </si>
  <si>
    <t>Azur foncé.954 délavé.652</t>
  </si>
  <si>
    <t>Jaune citron</t>
  </si>
  <si>
    <t>Jaune clair.048</t>
  </si>
  <si>
    <t>Châtain</t>
  </si>
  <si>
    <t>Orange foncé.676 délavé.354</t>
  </si>
  <si>
    <t>0, 0, 0</t>
  </si>
  <si>
    <t>0, 0, 32</t>
  </si>
  <si>
    <t>0, 0, 64</t>
  </si>
  <si>
    <t>0, 0, 96</t>
  </si>
  <si>
    <t>0, 0, 128</t>
  </si>
  <si>
    <t>0, 0, 160</t>
  </si>
  <si>
    <t>0, 0, 192</t>
  </si>
  <si>
    <t>0, 0, 224</t>
  </si>
  <si>
    <t>0, 0, 255</t>
  </si>
  <si>
    <t>Noir bleuté</t>
  </si>
  <si>
    <t>Azur foncé.963 délavé.807</t>
  </si>
  <si>
    <t>léger Jaune3</t>
  </si>
  <si>
    <t>Jaune clair.084 délavé.833</t>
  </si>
  <si>
    <t>Brun jaunâtre grisâtre</t>
  </si>
  <si>
    <t>Orange foncé.677 délavé.662</t>
  </si>
  <si>
    <t>0, 32, 0</t>
  </si>
  <si>
    <t>0, 32, 32</t>
  </si>
  <si>
    <t>0, 32, 64</t>
  </si>
  <si>
    <t>0, 32, 96</t>
  </si>
  <si>
    <t>0, 32, 128</t>
  </si>
  <si>
    <t>0, 32, 160</t>
  </si>
  <si>
    <t>0, 32, 192</t>
  </si>
  <si>
    <t>0, 32, 224</t>
  </si>
  <si>
    <t>0, 32, 255</t>
  </si>
  <si>
    <t>Acier Bleu1</t>
  </si>
  <si>
    <t>Azur lég. bleu clair.130</t>
  </si>
  <si>
    <t>Flave</t>
  </si>
  <si>
    <t>Jaune clair.114 délavé.460</t>
  </si>
  <si>
    <t>Brun Olive clair</t>
  </si>
  <si>
    <t>Orange foncé.678 délavé.054</t>
  </si>
  <si>
    <t>0, 64, 0</t>
  </si>
  <si>
    <t>0, 64, 32</t>
  </si>
  <si>
    <t>0, 64, 64</t>
  </si>
  <si>
    <t>0, 64, 96</t>
  </si>
  <si>
    <t>0, 64, 128</t>
  </si>
  <si>
    <t>0, 64, 160</t>
  </si>
  <si>
    <t>0, 64, 192</t>
  </si>
  <si>
    <t>0, 64, 224</t>
  </si>
  <si>
    <t>0, 64, 255</t>
  </si>
  <si>
    <t>léger Acier Bleu</t>
  </si>
  <si>
    <t>Azur lég. bleu clair.180 délavé.643</t>
  </si>
  <si>
    <t>Jaune mimosa</t>
  </si>
  <si>
    <t>Jaune clair.147 délavé.020</t>
  </si>
  <si>
    <t>Bistre</t>
  </si>
  <si>
    <t>Orange foncé.680 délavé.486</t>
  </si>
  <si>
    <t>0, 96, 0</t>
  </si>
  <si>
    <t>0, 96, 32</t>
  </si>
  <si>
    <t>0, 96, 64</t>
  </si>
  <si>
    <t>0, 96, 96</t>
  </si>
  <si>
    <t>0, 96, 128</t>
  </si>
  <si>
    <t>0, 96, 160</t>
  </si>
  <si>
    <t>0, 96, 192</t>
  </si>
  <si>
    <t>0, 96, 224</t>
  </si>
  <si>
    <t>0, 96, 255</t>
  </si>
  <si>
    <t>Bleu ciel</t>
  </si>
  <si>
    <t>Azur lég. bleu clair.183 délavé.021</t>
  </si>
  <si>
    <t>Jaune fleur de soufre</t>
  </si>
  <si>
    <t>Jaune clair.153</t>
  </si>
  <si>
    <t>Terre d'ombre</t>
  </si>
  <si>
    <t>Orange foncé.683 délavé.134</t>
  </si>
  <si>
    <t>0, 128, 0</t>
  </si>
  <si>
    <t>0, 128, 32</t>
  </si>
  <si>
    <t>0, 128, 64</t>
  </si>
  <si>
    <t>0, 128, 96</t>
  </si>
  <si>
    <t>0, 128, 128</t>
  </si>
  <si>
    <t>0, 128, 160</t>
  </si>
  <si>
    <t>0, 128, 192</t>
  </si>
  <si>
    <t>0, 128, 224</t>
  </si>
  <si>
    <t>0, 128, 255</t>
  </si>
  <si>
    <t>Azur lég. bleu clair.327</t>
  </si>
  <si>
    <t>Ivoire3</t>
  </si>
  <si>
    <t>Jaune clair.160 délavé.909</t>
  </si>
  <si>
    <t xml:space="preserve">Sienne </t>
  </si>
  <si>
    <t>Orange foncé.704 délavé.118</t>
  </si>
  <si>
    <t>0, 160, 0</t>
  </si>
  <si>
    <t>0, 160, 32</t>
  </si>
  <si>
    <t>0, 160, 64</t>
  </si>
  <si>
    <t>0, 160, 96</t>
  </si>
  <si>
    <t>0, 160, 128</t>
  </si>
  <si>
    <t>0, 160, 160</t>
  </si>
  <si>
    <t>0, 160, 192</t>
  </si>
  <si>
    <t>0, 160, 224</t>
  </si>
  <si>
    <t>0, 160, 255</t>
  </si>
  <si>
    <t>léger Acier Bleu2</t>
  </si>
  <si>
    <t>Azur lég. bleu clair.370 délavé.449</t>
  </si>
  <si>
    <t>Jaune verdâtre pâle</t>
  </si>
  <si>
    <t>Jaune clair.215 délavé.421</t>
  </si>
  <si>
    <t>Brun jaunâtre moyen</t>
  </si>
  <si>
    <t>Orange foncé.708 délavé.417</t>
  </si>
  <si>
    <t>0, 192, 0</t>
  </si>
  <si>
    <t>0, 192, 32</t>
  </si>
  <si>
    <t>0, 192, 64</t>
  </si>
  <si>
    <t>0, 192, 96</t>
  </si>
  <si>
    <t>0, 192, 128</t>
  </si>
  <si>
    <t>0, 192, 160</t>
  </si>
  <si>
    <t>0, 192, 192</t>
  </si>
  <si>
    <t>0, 192, 224</t>
  </si>
  <si>
    <t>0, 192, 255</t>
  </si>
  <si>
    <t>léger Acier Bleu1</t>
  </si>
  <si>
    <t>Azur lég. bleu clair.599</t>
  </si>
  <si>
    <t>Wheat</t>
  </si>
  <si>
    <t>Jaune clair.223 délavé.789</t>
  </si>
  <si>
    <t>Dorérod4</t>
  </si>
  <si>
    <t>Orange foncé.727 délavé.052</t>
  </si>
  <si>
    <t>0, 224, 0</t>
  </si>
  <si>
    <t>0, 224, 32</t>
  </si>
  <si>
    <t>0, 224, 64</t>
  </si>
  <si>
    <t>0, 224, 96</t>
  </si>
  <si>
    <t>0, 224, 128</t>
  </si>
  <si>
    <t>0, 224, 160</t>
  </si>
  <si>
    <t>0, 224, 192</t>
  </si>
  <si>
    <t>0, 224, 224</t>
  </si>
  <si>
    <t>0, 224, 255</t>
  </si>
  <si>
    <t>léger Acier Bleu3</t>
  </si>
  <si>
    <t>Azur lég. bleu foncé.012 délavé.749</t>
  </si>
  <si>
    <t>Moyen Dorérod</t>
  </si>
  <si>
    <t>Jaune clair.259 délavé.467</t>
  </si>
  <si>
    <t>SombRouge orérod4</t>
  </si>
  <si>
    <t>Orange foncé.731 délavé.017</t>
  </si>
  <si>
    <t>0, 255, 0</t>
  </si>
  <si>
    <t>0, 255, 32</t>
  </si>
  <si>
    <t>0, 255, 64</t>
  </si>
  <si>
    <t>0, 255, 96</t>
  </si>
  <si>
    <t>0, 255, 128</t>
  </si>
  <si>
    <t>0, 255, 160</t>
  </si>
  <si>
    <t>0, 255, 192</t>
  </si>
  <si>
    <t>0, 255, 224</t>
  </si>
  <si>
    <t>0, 255, 255</t>
  </si>
  <si>
    <t>Acier Bleu2</t>
  </si>
  <si>
    <t>Azur lég. bleu foncé.030 délavé.231</t>
  </si>
  <si>
    <t>léger Jaune2</t>
  </si>
  <si>
    <t>Jaune clair.503 délavé.570</t>
  </si>
  <si>
    <t>Café au lait</t>
  </si>
  <si>
    <t>Orange foncé.775 délavé.266</t>
  </si>
  <si>
    <t>32, 0, 0</t>
  </si>
  <si>
    <t>32, 0, 32</t>
  </si>
  <si>
    <t>32, 0, 64</t>
  </si>
  <si>
    <t>32, 0, 96</t>
  </si>
  <si>
    <t>32, 0, 128</t>
  </si>
  <si>
    <t>32, 0, 160</t>
  </si>
  <si>
    <t>32, 0, 192</t>
  </si>
  <si>
    <t>32, 0, 224</t>
  </si>
  <si>
    <t>32, 0, 255</t>
  </si>
  <si>
    <t>Azur lég. bleu foncé.250 délavé.369</t>
  </si>
  <si>
    <t>léger DorérodJaune</t>
  </si>
  <si>
    <t>Jaune clair.609 délavé.219</t>
  </si>
  <si>
    <t>Isabelle (chevaux)</t>
  </si>
  <si>
    <t>32, 32, 0</t>
  </si>
  <si>
    <t>32, 32, 32</t>
  </si>
  <si>
    <t>32, 32, 64</t>
  </si>
  <si>
    <t>32, 32, 96</t>
  </si>
  <si>
    <t>32, 32, 128</t>
  </si>
  <si>
    <t>32, 32, 160</t>
  </si>
  <si>
    <t>32, 32, 192</t>
  </si>
  <si>
    <t>32, 32, 224</t>
  </si>
  <si>
    <t>32, 32, 255</t>
  </si>
  <si>
    <t>Bleu brillant</t>
  </si>
  <si>
    <t>Azur lég. bleu foncé.292 délavé.198</t>
  </si>
  <si>
    <t>Ivoire2</t>
  </si>
  <si>
    <t>Jaune clair.610 délavé.725</t>
  </si>
  <si>
    <t>Brun Olive moyen</t>
  </si>
  <si>
    <t>Orange foncé.830 délavé.159</t>
  </si>
  <si>
    <t>32, 64, 0</t>
  </si>
  <si>
    <t>32, 64, 32</t>
  </si>
  <si>
    <t>32, 64, 64</t>
  </si>
  <si>
    <t>32, 64, 96</t>
  </si>
  <si>
    <t>32, 64, 128</t>
  </si>
  <si>
    <t>32, 64, 160</t>
  </si>
  <si>
    <t>32, 64, 192</t>
  </si>
  <si>
    <t>32, 64, 224</t>
  </si>
  <si>
    <t>32, 64, 255</t>
  </si>
  <si>
    <t>Acier Bleu3</t>
  </si>
  <si>
    <t>Azur lég. bleu foncé.300 délavé.234</t>
  </si>
  <si>
    <t>beige</t>
  </si>
  <si>
    <t>Jaune clair.637 délavé.467</t>
  </si>
  <si>
    <t>Bitume</t>
  </si>
  <si>
    <t>Orange foncé.898 délavé.435</t>
  </si>
  <si>
    <t>32, 96, 0</t>
  </si>
  <si>
    <t>32, 96, 32</t>
  </si>
  <si>
    <t>32, 96, 64</t>
  </si>
  <si>
    <t>32, 96, 96</t>
  </si>
  <si>
    <t>32, 96, 128</t>
  </si>
  <si>
    <t>32, 96, 160</t>
  </si>
  <si>
    <t>32, 96, 192</t>
  </si>
  <si>
    <t>32, 96, 224</t>
  </si>
  <si>
    <t>32, 96, 255</t>
  </si>
  <si>
    <t>Bleu azur (héraldique)</t>
  </si>
  <si>
    <t>Azur lég. bleu foncé.381 délavé.044</t>
  </si>
  <si>
    <t>Ivoire</t>
  </si>
  <si>
    <t>Jaune clair.665</t>
  </si>
  <si>
    <t>Brun Olive foncé</t>
  </si>
  <si>
    <t>Orange foncé.938 délavé.512</t>
  </si>
  <si>
    <t>32, 128, 0</t>
  </si>
  <si>
    <t>32, 128, 32</t>
  </si>
  <si>
    <t>32, 128, 64</t>
  </si>
  <si>
    <t>32, 128, 96</t>
  </si>
  <si>
    <t>32, 128, 128</t>
  </si>
  <si>
    <t>32, 128, 160</t>
  </si>
  <si>
    <t>32, 128, 192</t>
  </si>
  <si>
    <t>32, 128, 224</t>
  </si>
  <si>
    <t>32, 128, 255</t>
  </si>
  <si>
    <t>Azur lég. bleu foncé.470 délavé.243</t>
  </si>
  <si>
    <t>Écru</t>
  </si>
  <si>
    <t>Jaune clair.742 délavé.067</t>
  </si>
  <si>
    <t>Maduro (cigare)</t>
  </si>
  <si>
    <t>Orange foncé.941 délavé.650</t>
  </si>
  <si>
    <t>32, 160, 0</t>
  </si>
  <si>
    <t>32, 160, 32</t>
  </si>
  <si>
    <t>32, 160, 64</t>
  </si>
  <si>
    <t>32, 160, 96</t>
  </si>
  <si>
    <t>32, 160, 128</t>
  </si>
  <si>
    <t>32, 160, 160</t>
  </si>
  <si>
    <t>32, 160, 192</t>
  </si>
  <si>
    <t>32, 160, 224</t>
  </si>
  <si>
    <t>32, 160, 255</t>
  </si>
  <si>
    <t>Bleu céruléen</t>
  </si>
  <si>
    <t>Azur lég. bleu foncé.480 délavé.144</t>
  </si>
  <si>
    <t>léger Jaune</t>
  </si>
  <si>
    <t>Jaune clair.751</t>
  </si>
  <si>
    <t>Papier bulle</t>
  </si>
  <si>
    <t>Orange lég. jaune clair.121 délavé.340</t>
  </si>
  <si>
    <t>32, 192, 0</t>
  </si>
  <si>
    <t>32, 192, 32</t>
  </si>
  <si>
    <t>32, 192, 64</t>
  </si>
  <si>
    <t>32, 192, 96</t>
  </si>
  <si>
    <t>32, 192, 128</t>
  </si>
  <si>
    <t>32, 192, 160</t>
  </si>
  <si>
    <t>32, 192, 192</t>
  </si>
  <si>
    <t>32, 192, 224</t>
  </si>
  <si>
    <t>32, 192, 255</t>
  </si>
  <si>
    <t>Bleu guède</t>
  </si>
  <si>
    <t>Azur lég. bleu foncé.571 délavé.454</t>
  </si>
  <si>
    <t>Blanc cassé</t>
  </si>
  <si>
    <t>Jaune clair.757 délavé.071</t>
  </si>
  <si>
    <t>Sable</t>
  </si>
  <si>
    <t>Orange lég. jaune clair.157 délavé.590</t>
  </si>
  <si>
    <t>32, 224, 0</t>
  </si>
  <si>
    <t>32, 224, 32</t>
  </si>
  <si>
    <t>32, 224, 64</t>
  </si>
  <si>
    <t>32, 224, 96</t>
  </si>
  <si>
    <t>32, 224, 128</t>
  </si>
  <si>
    <t>32, 224, 160</t>
  </si>
  <si>
    <t>32, 224, 192</t>
  </si>
  <si>
    <t>32, 224, 224</t>
  </si>
  <si>
    <t>32, 224, 255</t>
  </si>
  <si>
    <t>léger Acier Bleu4</t>
  </si>
  <si>
    <t>Azur lég. bleu foncé.571 délavé.757</t>
  </si>
  <si>
    <t>Jaune clair.875</t>
  </si>
  <si>
    <t>wheat2</t>
  </si>
  <si>
    <t>Orange lég. jaune clair.291 délavé.399</t>
  </si>
  <si>
    <t>32, 255, 0</t>
  </si>
  <si>
    <t>32, 255, 32</t>
  </si>
  <si>
    <t>32, 255, 64</t>
  </si>
  <si>
    <t>32, 255, 96</t>
  </si>
  <si>
    <t>32, 255, 128</t>
  </si>
  <si>
    <t>32, 255, 160</t>
  </si>
  <si>
    <t>32, 255, 192</t>
  </si>
  <si>
    <t>32, 255, 224</t>
  </si>
  <si>
    <t>32, 255, 255</t>
  </si>
  <si>
    <t>Bleu franc</t>
  </si>
  <si>
    <t>Azur lég. bleu foncé.615</t>
  </si>
  <si>
    <t>Jaune verdâtre brillant</t>
  </si>
  <si>
    <t>Jaune foncé.097 délavé.186</t>
  </si>
  <si>
    <t>wheat</t>
  </si>
  <si>
    <t>Orange lég. jaune clair.375 délavé.271</t>
  </si>
  <si>
    <t>64, 0, 0</t>
  </si>
  <si>
    <t>64, 0, 32</t>
  </si>
  <si>
    <t>64, 0, 64</t>
  </si>
  <si>
    <t>64, 0, 96</t>
  </si>
  <si>
    <t>64, 0, 128</t>
  </si>
  <si>
    <t>64, 0, 160</t>
  </si>
  <si>
    <t>64, 0, 192</t>
  </si>
  <si>
    <t>64, 0, 224</t>
  </si>
  <si>
    <t>64, 0, 255</t>
  </si>
  <si>
    <t>Bleu moyen</t>
  </si>
  <si>
    <t>Azur lég. bleu foncé.632 délavé.320</t>
  </si>
  <si>
    <t>Jaune foncé.117 délavé.382</t>
  </si>
  <si>
    <t>moccasin</t>
  </si>
  <si>
    <t>Orange lég. jaune clair.471</t>
  </si>
  <si>
    <t>64, 32, 0</t>
  </si>
  <si>
    <t>64, 32, 32</t>
  </si>
  <si>
    <t>64, 32, 64</t>
  </si>
  <si>
    <t>64, 32, 96</t>
  </si>
  <si>
    <t>64, 32, 128</t>
  </si>
  <si>
    <t>64, 32, 160</t>
  </si>
  <si>
    <t>64, 32, 192</t>
  </si>
  <si>
    <t>64, 32, 224</t>
  </si>
  <si>
    <t>64, 32, 255</t>
  </si>
  <si>
    <t>Azur lég. bleu foncé.638 délavé.192</t>
  </si>
  <si>
    <t>Jaune2</t>
  </si>
  <si>
    <t>Jaune foncé.142</t>
  </si>
  <si>
    <t>wheat1</t>
  </si>
  <si>
    <t>Orange lég. jaune clair.500</t>
  </si>
  <si>
    <t>64, 64, 0</t>
  </si>
  <si>
    <t>64, 64, 32</t>
  </si>
  <si>
    <t>64, 64, 64</t>
  </si>
  <si>
    <t>64, 64, 96</t>
  </si>
  <si>
    <t>64, 64, 128</t>
  </si>
  <si>
    <t>64, 64, 160</t>
  </si>
  <si>
    <t>64, 64, 192</t>
  </si>
  <si>
    <t>64, 64, 224</t>
  </si>
  <si>
    <t>64, 64, 255</t>
  </si>
  <si>
    <t>Acier Bleu4</t>
  </si>
  <si>
    <t>Azur lég. bleu foncé.695 délavé.254</t>
  </si>
  <si>
    <t>Mastic</t>
  </si>
  <si>
    <t>Jaune foncé.249 délavé.776</t>
  </si>
  <si>
    <t>BlanchedAlmond</t>
  </si>
  <si>
    <t>Orange lég. jaune clair.618</t>
  </si>
  <si>
    <t>64, 96, 0</t>
  </si>
  <si>
    <t>64, 96, 32</t>
  </si>
  <si>
    <t>64, 96, 64</t>
  </si>
  <si>
    <t>64, 96, 96</t>
  </si>
  <si>
    <t>64, 96, 128</t>
  </si>
  <si>
    <t>64, 96, 160</t>
  </si>
  <si>
    <t>64, 96, 192</t>
  </si>
  <si>
    <t>64, 96, 224</t>
  </si>
  <si>
    <t>64, 96, 255</t>
  </si>
  <si>
    <t>Bleu profond</t>
  </si>
  <si>
    <t>Azur lég. bleu foncé.850</t>
  </si>
  <si>
    <t>Brillant Or</t>
  </si>
  <si>
    <t>Jaune foncé.290 délavé.028</t>
  </si>
  <si>
    <t>Papaye</t>
  </si>
  <si>
    <t>Orange lég. jaune clair.672</t>
  </si>
  <si>
    <t>64, 128, 0</t>
  </si>
  <si>
    <t>64, 128, 32</t>
  </si>
  <si>
    <t>64, 128, 64</t>
  </si>
  <si>
    <t>64, 128, 96</t>
  </si>
  <si>
    <t>64, 128, 128</t>
  </si>
  <si>
    <t>64, 128, 160</t>
  </si>
  <si>
    <t>64, 128, 192</t>
  </si>
  <si>
    <t>64, 128, 224</t>
  </si>
  <si>
    <t>64, 128, 255</t>
  </si>
  <si>
    <t>Bleu foncé</t>
  </si>
  <si>
    <t>Azur lég. bleu foncé.920</t>
  </si>
  <si>
    <t>Caca d'oie</t>
  </si>
  <si>
    <t>Jaune foncé.378 délavé.013</t>
  </si>
  <si>
    <t>OldLace</t>
  </si>
  <si>
    <t>Orange lég. jaune clair.779 délavé.156</t>
  </si>
  <si>
    <t>64, 160, 0</t>
  </si>
  <si>
    <t>64, 160, 32</t>
  </si>
  <si>
    <t>64, 160, 64</t>
  </si>
  <si>
    <t>64, 160, 96</t>
  </si>
  <si>
    <t>64, 160, 128</t>
  </si>
  <si>
    <t>64, 160, 160</t>
  </si>
  <si>
    <t>64, 160, 192</t>
  </si>
  <si>
    <t>64, 160, 224</t>
  </si>
  <si>
    <t>64, 160, 255</t>
  </si>
  <si>
    <t>Gris clair bleuté</t>
  </si>
  <si>
    <t>Azur lég. cyan clair.001 délavé.930</t>
  </si>
  <si>
    <t>Jaune3</t>
  </si>
  <si>
    <t>Jaune foncé.382</t>
  </si>
  <si>
    <t xml:space="preserve">FloralBlanc </t>
  </si>
  <si>
    <t>Orange lég. jaune clair.875</t>
  </si>
  <si>
    <t>64, 192, 0</t>
  </si>
  <si>
    <t>64, 192, 32</t>
  </si>
  <si>
    <t>64, 192, 64</t>
  </si>
  <si>
    <t>64, 192, 96</t>
  </si>
  <si>
    <t>64, 192, 128</t>
  </si>
  <si>
    <t>64, 192, 160</t>
  </si>
  <si>
    <t>64, 192, 192</t>
  </si>
  <si>
    <t>64, 192, 224</t>
  </si>
  <si>
    <t>64, 192, 255</t>
  </si>
  <si>
    <t>Azur lég. cyan clair.064 délavé.251</t>
  </si>
  <si>
    <t>Ivoire4</t>
  </si>
  <si>
    <t>Jaune foncé.499 délavé.937</t>
  </si>
  <si>
    <t>Orpin de Perse</t>
  </si>
  <si>
    <t>Orange lég. jaune foncé.014 délavé.024</t>
  </si>
  <si>
    <t>64, 224, 0</t>
  </si>
  <si>
    <t>64, 224, 32</t>
  </si>
  <si>
    <t>64, 224, 64</t>
  </si>
  <si>
    <t>64, 224, 96</t>
  </si>
  <si>
    <t>64, 224, 128</t>
  </si>
  <si>
    <t>64, 224, 160</t>
  </si>
  <si>
    <t>64, 224, 192</t>
  </si>
  <si>
    <t>64, 224, 224</t>
  </si>
  <si>
    <t>64, 224, 255</t>
  </si>
  <si>
    <t>Azur lég. cyan clair.085 délavé.361</t>
  </si>
  <si>
    <t>Gris moyen</t>
  </si>
  <si>
    <t>Jaune foncé.530 délavé.984</t>
  </si>
  <si>
    <t>Blondeur (cheveux)</t>
  </si>
  <si>
    <t>Orange lég. jaune foncé.053 délavé.383</t>
  </si>
  <si>
    <t>64, 255, 0</t>
  </si>
  <si>
    <t>64, 255, 32</t>
  </si>
  <si>
    <t>64, 255, 64</t>
  </si>
  <si>
    <t>64, 255, 96</t>
  </si>
  <si>
    <t>64, 255, 128</t>
  </si>
  <si>
    <t>64, 255, 160</t>
  </si>
  <si>
    <t>64, 255, 192</t>
  </si>
  <si>
    <t>64, 255, 224</t>
  </si>
  <si>
    <t>64, 255, 255</t>
  </si>
  <si>
    <t>léger ciel Bleu2</t>
  </si>
  <si>
    <t>Azur lég. cyan clair.239 délavé.372</t>
  </si>
  <si>
    <t>léger Jaune4</t>
  </si>
  <si>
    <t>Jaune foncé.532 délavé.862</t>
  </si>
  <si>
    <t>wheat3</t>
  </si>
  <si>
    <t>Orange lég. jaune foncé.068 délavé.673</t>
  </si>
  <si>
    <t>96, 0, 0</t>
  </si>
  <si>
    <t>96, 0, 32</t>
  </si>
  <si>
    <t>96, 0, 64</t>
  </si>
  <si>
    <t>96, 0, 96</t>
  </si>
  <si>
    <t>96, 0, 128</t>
  </si>
  <si>
    <t>96, 0, 160</t>
  </si>
  <si>
    <t>96, 0, 192</t>
  </si>
  <si>
    <t>96, 0, 224</t>
  </si>
  <si>
    <t>96, 0, 255</t>
  </si>
  <si>
    <t>Bleu fumée</t>
  </si>
  <si>
    <t>Azur lég. cyan clair.264 délavé.656</t>
  </si>
  <si>
    <t>Jaune verdâtre foncé</t>
  </si>
  <si>
    <t>Jaune foncé.627 délavé.271</t>
  </si>
  <si>
    <t>Jaune vif</t>
  </si>
  <si>
    <t>Orange lég. jaune foncé.101</t>
  </si>
  <si>
    <t>96, 32, 0</t>
  </si>
  <si>
    <t>96, 32, 32</t>
  </si>
  <si>
    <t>96, 32, 64</t>
  </si>
  <si>
    <t>96, 32, 96</t>
  </si>
  <si>
    <t>96, 32, 128</t>
  </si>
  <si>
    <t>96, 32, 160</t>
  </si>
  <si>
    <t>96, 32, 192</t>
  </si>
  <si>
    <t>96, 32, 224</t>
  </si>
  <si>
    <t>96, 32, 255</t>
  </si>
  <si>
    <t>léger ciel Bleu1</t>
  </si>
  <si>
    <t>Azur lég. cyan clair.443</t>
  </si>
  <si>
    <t>Jaune4</t>
  </si>
  <si>
    <t>Jaune foncé.734</t>
  </si>
  <si>
    <t>Ambre jaune</t>
  </si>
  <si>
    <t>Orange lég. jaune foncé.125</t>
  </si>
  <si>
    <t>96, 64, 0</t>
  </si>
  <si>
    <t>96, 64, 32</t>
  </si>
  <si>
    <t>96, 64, 64</t>
  </si>
  <si>
    <t>96, 64, 96</t>
  </si>
  <si>
    <t>96, 64, 128</t>
  </si>
  <si>
    <t>96, 64, 160</t>
  </si>
  <si>
    <t>96, 64, 192</t>
  </si>
  <si>
    <t>96, 64, 224</t>
  </si>
  <si>
    <t>96, 64, 255</t>
  </si>
  <si>
    <t>Bleu dragée</t>
  </si>
  <si>
    <t>Azur lég. cyan clair.744</t>
  </si>
  <si>
    <t>olive</t>
  </si>
  <si>
    <t>Jaune foncé.777</t>
  </si>
  <si>
    <t>Grège</t>
  </si>
  <si>
    <t>Orange lég. jaune foncé.172 délavé.779</t>
  </si>
  <si>
    <t>96, 96, 0</t>
  </si>
  <si>
    <t>96, 96, 32</t>
  </si>
  <si>
    <t>96, 96, 64</t>
  </si>
  <si>
    <t>96, 96, 96</t>
  </si>
  <si>
    <t>96, 96, 128</t>
  </si>
  <si>
    <t>96, 96, 160</t>
  </si>
  <si>
    <t>96, 96, 192</t>
  </si>
  <si>
    <t>96, 96, 224</t>
  </si>
  <si>
    <t>96, 96, 255</t>
  </si>
  <si>
    <t>léger ciel Bleu3</t>
  </si>
  <si>
    <t>Azur lég. cyan foncé.107 délavé.615</t>
  </si>
  <si>
    <t>Sombre Olive vert</t>
  </si>
  <si>
    <t>Jaune foncé.888 délavé.533</t>
  </si>
  <si>
    <t>Beige</t>
  </si>
  <si>
    <t>Orange lég. jaune foncé.195 délavé.546</t>
  </si>
  <si>
    <t>96, 128, 0</t>
  </si>
  <si>
    <t>96, 128, 32</t>
  </si>
  <si>
    <t>96, 128, 64</t>
  </si>
  <si>
    <t>96, 128, 96</t>
  </si>
  <si>
    <t>96, 128, 128</t>
  </si>
  <si>
    <t>96, 128, 160</t>
  </si>
  <si>
    <t>96, 128, 192</t>
  </si>
  <si>
    <t>96, 128, 224</t>
  </si>
  <si>
    <t>96, 128, 255</t>
  </si>
  <si>
    <t>Bleu céleste</t>
  </si>
  <si>
    <t>Azur lég. cyan foncé.137 délavé.047</t>
  </si>
  <si>
    <t>Jaune de chrome (pigment)</t>
  </si>
  <si>
    <t>Jaune lég. chartreuse clair.004</t>
  </si>
  <si>
    <t>Ocre jaune</t>
  </si>
  <si>
    <t>Orange lég. jaune foncé.230 délavé.069</t>
  </si>
  <si>
    <t>96, 160, 0</t>
  </si>
  <si>
    <t>96, 160, 32</t>
  </si>
  <si>
    <t>96, 160, 64</t>
  </si>
  <si>
    <t>96, 160, 96</t>
  </si>
  <si>
    <t>96, 160, 128</t>
  </si>
  <si>
    <t>96, 160, 160</t>
  </si>
  <si>
    <t>96, 160, 192</t>
  </si>
  <si>
    <t>96, 160, 224</t>
  </si>
  <si>
    <t>96, 160, 255</t>
  </si>
  <si>
    <t xml:space="preserve">Summer ciel </t>
  </si>
  <si>
    <t>Azur lég. cyan foncé.222 délavé.107</t>
  </si>
  <si>
    <t>Vert jaune pâle</t>
  </si>
  <si>
    <t>Jaune lég. chartreuse clair.226 délavé.662</t>
  </si>
  <si>
    <t>Miel</t>
  </si>
  <si>
    <t>Orange lég. jaune foncé.290 délavé.008</t>
  </si>
  <si>
    <t>96, 192, 0</t>
  </si>
  <si>
    <t>96, 192, 32</t>
  </si>
  <si>
    <t>96, 192, 64</t>
  </si>
  <si>
    <t>96, 192, 96</t>
  </si>
  <si>
    <t>96, 192, 128</t>
  </si>
  <si>
    <t>96, 192, 160</t>
  </si>
  <si>
    <t>96, 192, 192</t>
  </si>
  <si>
    <t>96, 192, 224</t>
  </si>
  <si>
    <t>96, 192, 255</t>
  </si>
  <si>
    <t>Bleu vif</t>
  </si>
  <si>
    <t>Azur lég. cyan foncé.452</t>
  </si>
  <si>
    <t>Jaune canari</t>
  </si>
  <si>
    <t>Jaune lég. chartreuse foncé.122 délavé.009</t>
  </si>
  <si>
    <t>Jaune moyen</t>
  </si>
  <si>
    <t>Orange lég. jaune foncé.293 délavé.324</t>
  </si>
  <si>
    <t>96, 224, 0</t>
  </si>
  <si>
    <t>96, 224, 32</t>
  </si>
  <si>
    <t>96, 224, 64</t>
  </si>
  <si>
    <t>96, 224, 96</t>
  </si>
  <si>
    <t>96, 224, 128</t>
  </si>
  <si>
    <t>96, 224, 160</t>
  </si>
  <si>
    <t>96, 224, 192</t>
  </si>
  <si>
    <t>96, 224, 224</t>
  </si>
  <si>
    <t>96, 224, 255</t>
  </si>
  <si>
    <t>Gris bleuté</t>
  </si>
  <si>
    <t>Azur lég. cyan foncé.506 délavé.921</t>
  </si>
  <si>
    <t>Jaune moutarde</t>
  </si>
  <si>
    <t>Jaune lég. chartreuse foncé.369</t>
  </si>
  <si>
    <t>Jaune franc</t>
  </si>
  <si>
    <t>Orange lég. jaune foncé.294 délavé.114</t>
  </si>
  <si>
    <t>96, 255, 0</t>
  </si>
  <si>
    <t>96, 255, 32</t>
  </si>
  <si>
    <t>96, 255, 64</t>
  </si>
  <si>
    <t>96, 255, 96</t>
  </si>
  <si>
    <t>96, 255, 128</t>
  </si>
  <si>
    <t>96, 255, 160</t>
  </si>
  <si>
    <t>96, 255, 192</t>
  </si>
  <si>
    <t>96, 255, 224</t>
  </si>
  <si>
    <t>96, 255, 255</t>
  </si>
  <si>
    <t>léger ciel Bleu4</t>
  </si>
  <si>
    <t>Azur lég. cyan foncé.611 délavé.629</t>
  </si>
  <si>
    <t>LemonChiffon3</t>
  </si>
  <si>
    <t>Jaune lég. orange clair.003 délavé.766</t>
  </si>
  <si>
    <t>Claro claro (cigare)</t>
  </si>
  <si>
    <t>Orange lég. jaune foncé.375 délavé.400</t>
  </si>
  <si>
    <t>128, 0, 0</t>
  </si>
  <si>
    <t>128, 0, 32</t>
  </si>
  <si>
    <t>128, 0, 64</t>
  </si>
  <si>
    <t>128, 0, 96</t>
  </si>
  <si>
    <t>128, 0, 128</t>
  </si>
  <si>
    <t>128, 0, 160</t>
  </si>
  <si>
    <t>128, 0, 192</t>
  </si>
  <si>
    <t>128, 0, 224</t>
  </si>
  <si>
    <t>128, 0, 255</t>
  </si>
  <si>
    <t>Bleu verdâtre vif</t>
  </si>
  <si>
    <t>Azur lég. cyan foncé.635</t>
  </si>
  <si>
    <t>Jaune lég. orange clair.028 délavé.258</t>
  </si>
  <si>
    <t>Queue-de-vache foncé</t>
  </si>
  <si>
    <t>Orange lég. jaune foncé.418 délavé.623</t>
  </si>
  <si>
    <t>128, 32, 0</t>
  </si>
  <si>
    <t>128, 32, 32</t>
  </si>
  <si>
    <t>128, 32, 64</t>
  </si>
  <si>
    <t>128, 32, 96</t>
  </si>
  <si>
    <t>128, 32, 128</t>
  </si>
  <si>
    <t>128, 32, 160</t>
  </si>
  <si>
    <t>128, 32, 192</t>
  </si>
  <si>
    <t>128, 32, 224</t>
  </si>
  <si>
    <t>128, 32, 255</t>
  </si>
  <si>
    <t>Bleu verdâtre franc</t>
  </si>
  <si>
    <t>Azur lég. cyan foncé.708</t>
  </si>
  <si>
    <t>Jaune poussin</t>
  </si>
  <si>
    <t>Jaune lég. orange clair.051 délavé.144</t>
  </si>
  <si>
    <t>Jaune foncé grisâtre</t>
  </si>
  <si>
    <t>Orange lég. jaune foncé.512 délavé.501</t>
  </si>
  <si>
    <t>128, 64, 0</t>
  </si>
  <si>
    <t>128, 64, 32</t>
  </si>
  <si>
    <t>128, 64, 64</t>
  </si>
  <si>
    <t>128, 64, 96</t>
  </si>
  <si>
    <t>128, 64, 128</t>
  </si>
  <si>
    <t>128, 64, 160</t>
  </si>
  <si>
    <t>128, 64, 192</t>
  </si>
  <si>
    <t>128, 64, 224</t>
  </si>
  <si>
    <t>128, 64, 255</t>
  </si>
  <si>
    <t>Bleu paon</t>
  </si>
  <si>
    <t>Azur lég. cyan foncé.711 délavé.012</t>
  </si>
  <si>
    <t>cornsilk3</t>
  </si>
  <si>
    <t>Jaune lég. orange clair.067 délavé.818</t>
  </si>
  <si>
    <t>Jaune foncé</t>
  </si>
  <si>
    <t>Orange lég. jaune foncé.523 délavé.255</t>
  </si>
  <si>
    <t>128, 96, 0</t>
  </si>
  <si>
    <t>128, 96, 32</t>
  </si>
  <si>
    <t>128, 96, 64</t>
  </si>
  <si>
    <t>128, 96, 96</t>
  </si>
  <si>
    <t>128, 96, 128</t>
  </si>
  <si>
    <t>128, 96, 160</t>
  </si>
  <si>
    <t>128, 96, 192</t>
  </si>
  <si>
    <t>128, 96, 224</t>
  </si>
  <si>
    <t>128, 96, 255</t>
  </si>
  <si>
    <t>Bleu verdâtre très foncé</t>
  </si>
  <si>
    <t>Azur lég. cyan foncé.954</t>
  </si>
  <si>
    <t>khaki2</t>
  </si>
  <si>
    <t>Jaune lég. orange clair.101 délavé.315</t>
  </si>
  <si>
    <t>AntiqueBlanc 4</t>
  </si>
  <si>
    <t>Orange lég. jaune foncé.539 délavé.845</t>
  </si>
  <si>
    <t>128, 128, 0</t>
  </si>
  <si>
    <t>128, 128, 32</t>
  </si>
  <si>
    <t>128, 128, 64</t>
  </si>
  <si>
    <t>128, 128, 96</t>
  </si>
  <si>
    <t>128, 128, 128</t>
  </si>
  <si>
    <t>128, 128, 160</t>
  </si>
  <si>
    <t>128, 128, 192</t>
  </si>
  <si>
    <t>128, 128, 224</t>
  </si>
  <si>
    <t>128, 128, 255</t>
  </si>
  <si>
    <t>Topaze</t>
  </si>
  <si>
    <t>Jaune lég. orange clair.135 délavé.099</t>
  </si>
  <si>
    <t>Jaune profond</t>
  </si>
  <si>
    <t>Orange lég. jaune foncé.556 délavé.030</t>
  </si>
  <si>
    <t>128, 160, 0</t>
  </si>
  <si>
    <t>128, 160, 32</t>
  </si>
  <si>
    <t>128, 160, 64</t>
  </si>
  <si>
    <t>128, 160, 96</t>
  </si>
  <si>
    <t>128, 160, 128</t>
  </si>
  <si>
    <t>128, 160, 160</t>
  </si>
  <si>
    <t>128, 160, 192</t>
  </si>
  <si>
    <t>128, 160, 224</t>
  </si>
  <si>
    <t>128, 160, 255</t>
  </si>
  <si>
    <t>Bleu primaire</t>
  </si>
  <si>
    <t>Bleu</t>
  </si>
  <si>
    <t>khaki</t>
  </si>
  <si>
    <t>Jaune lég. orange clair.145 délavé.294</t>
  </si>
  <si>
    <t>wheat4</t>
  </si>
  <si>
    <t>Orange lég. jaune foncé.595 délavé.684</t>
  </si>
  <si>
    <t>128, 192, 0</t>
  </si>
  <si>
    <t>128, 192, 32</t>
  </si>
  <si>
    <t>128, 192, 64</t>
  </si>
  <si>
    <t>128, 192, 96</t>
  </si>
  <si>
    <t>128, 192, 128</t>
  </si>
  <si>
    <t>128, 192, 160</t>
  </si>
  <si>
    <t>128, 192, 192</t>
  </si>
  <si>
    <t>128, 192, 224</t>
  </si>
  <si>
    <t>128, 192, 255</t>
  </si>
  <si>
    <t>Neon Bleu</t>
  </si>
  <si>
    <t>Bleu clair.078</t>
  </si>
  <si>
    <t>PaleDorérod</t>
  </si>
  <si>
    <t>Jaune lég. orange clair.269 délavé.387</t>
  </si>
  <si>
    <t>bronze</t>
  </si>
  <si>
    <t>Orange lég. jaune foncé.639 délavé.502</t>
  </si>
  <si>
    <t>128, 224, 0</t>
  </si>
  <si>
    <t>128, 224, 32</t>
  </si>
  <si>
    <t>128, 224, 64</t>
  </si>
  <si>
    <t>128, 224, 96</t>
  </si>
  <si>
    <t>128, 224, 128</t>
  </si>
  <si>
    <t>128, 224, 160</t>
  </si>
  <si>
    <t>128, 224, 192</t>
  </si>
  <si>
    <t>128, 224, 224</t>
  </si>
  <si>
    <t>128, 224, 255</t>
  </si>
  <si>
    <t>Bleu-violet très pâle</t>
  </si>
  <si>
    <t>Bleu clair.283 délavé.756</t>
  </si>
  <si>
    <t>Beurre frais</t>
  </si>
  <si>
    <t>Jaune lég. orange clair.275</t>
  </si>
  <si>
    <t>Bis</t>
  </si>
  <si>
    <t>Orange lég. jaune foncé.679 délavé.828</t>
  </si>
  <si>
    <t>128, 255, 0</t>
  </si>
  <si>
    <t>128, 255, 32</t>
  </si>
  <si>
    <t>128, 255, 64</t>
  </si>
  <si>
    <t>128, 255, 96</t>
  </si>
  <si>
    <t>128, 255, 128</t>
  </si>
  <si>
    <t>128, 255, 160</t>
  </si>
  <si>
    <t>128, 255, 192</t>
  </si>
  <si>
    <t>128, 255, 224</t>
  </si>
  <si>
    <t>128, 255, 255</t>
  </si>
  <si>
    <t>Quartz</t>
  </si>
  <si>
    <t>Bleu clair.599 délavé.505</t>
  </si>
  <si>
    <t>khaki1</t>
  </si>
  <si>
    <t>Jaune lég. orange clair.283</t>
  </si>
  <si>
    <t>Bureau</t>
  </si>
  <si>
    <t>Orange lég. jaune foncé.815 délavé.348</t>
  </si>
  <si>
    <t>160, 0, 0</t>
  </si>
  <si>
    <t>160, 0, 32</t>
  </si>
  <si>
    <t>160, 0, 64</t>
  </si>
  <si>
    <t>160, 0, 96</t>
  </si>
  <si>
    <t>160, 0, 128</t>
  </si>
  <si>
    <t>160, 0, 160</t>
  </si>
  <si>
    <t>160, 0, 192</t>
  </si>
  <si>
    <t>160, 0, 224</t>
  </si>
  <si>
    <t>160, 0, 255</t>
  </si>
  <si>
    <t>Pervenche</t>
  </si>
  <si>
    <t>Bleu clair.612</t>
  </si>
  <si>
    <t>LemonChiffon2</t>
  </si>
  <si>
    <t>Jaune lég. orange clair.388 délavé.462</t>
  </si>
  <si>
    <t>Bronze</t>
  </si>
  <si>
    <t>Orange lég. jaune foncé.865 délavé.157</t>
  </si>
  <si>
    <t>160, 32, 0</t>
  </si>
  <si>
    <t>160, 32, 32</t>
  </si>
  <si>
    <t>160, 32, 64</t>
  </si>
  <si>
    <t>160, 32, 96</t>
  </si>
  <si>
    <t>160, 32, 128</t>
  </si>
  <si>
    <t>160, 32, 160</t>
  </si>
  <si>
    <t>160, 32, 192</t>
  </si>
  <si>
    <t>160, 32, 224</t>
  </si>
  <si>
    <t>160, 32, 255</t>
  </si>
  <si>
    <t>Blanc bleuté</t>
  </si>
  <si>
    <t>Bleu clair.670 délavé.905</t>
  </si>
  <si>
    <t>Champagne</t>
  </si>
  <si>
    <t>Jaune lég. orange clair.448 délavé.125</t>
  </si>
  <si>
    <t>Gris taupe</t>
  </si>
  <si>
    <t>Orange lég. jaune foncé.902 délavé.685</t>
  </si>
  <si>
    <t>160, 64, 0</t>
  </si>
  <si>
    <t>160, 64, 32</t>
  </si>
  <si>
    <t>160, 64, 64</t>
  </si>
  <si>
    <t>160, 64, 96</t>
  </si>
  <si>
    <t>160, 64, 128</t>
  </si>
  <si>
    <t>160, 64, 160</t>
  </si>
  <si>
    <t>160, 64, 192</t>
  </si>
  <si>
    <t>160, 64, 224</t>
  </si>
  <si>
    <t>160, 64, 255</t>
  </si>
  <si>
    <t>lavender</t>
  </si>
  <si>
    <t>Bleu clair.753 délavé.348</t>
  </si>
  <si>
    <t>Blanc crème</t>
  </si>
  <si>
    <t>Jaune lég. orange clair.471 délavé.065</t>
  </si>
  <si>
    <t>Oscuro (cigare)</t>
  </si>
  <si>
    <t>Orange lég. jaune foncé.975 délavé.161</t>
  </si>
  <si>
    <t>160, 96, 0</t>
  </si>
  <si>
    <t>160, 96, 32</t>
  </si>
  <si>
    <t>160, 96, 64</t>
  </si>
  <si>
    <t>160, 96, 96</t>
  </si>
  <si>
    <t>160, 96, 128</t>
  </si>
  <si>
    <t>160, 96, 160</t>
  </si>
  <si>
    <t>160, 96, 192</t>
  </si>
  <si>
    <t>160, 96, 224</t>
  </si>
  <si>
    <t>160, 96, 255</t>
  </si>
  <si>
    <t xml:space="preserve">GhostBlanc </t>
  </si>
  <si>
    <t>Bleu clair.940</t>
  </si>
  <si>
    <t>cornsilk2</t>
  </si>
  <si>
    <t>Jaune lég. orange clair.477 délavé.541</t>
  </si>
  <si>
    <t>orange1</t>
  </si>
  <si>
    <t>Orange lég. rouge</t>
  </si>
  <si>
    <t>160, 128, 0</t>
  </si>
  <si>
    <t>160, 128, 32</t>
  </si>
  <si>
    <t>160, 128, 64</t>
  </si>
  <si>
    <t>160, 128, 96</t>
  </si>
  <si>
    <t>160, 128, 128</t>
  </si>
  <si>
    <t>160, 128, 160</t>
  </si>
  <si>
    <t>160, 128, 192</t>
  </si>
  <si>
    <t>160, 128, 224</t>
  </si>
  <si>
    <t>160, 128, 255</t>
  </si>
  <si>
    <t>Bleu2</t>
  </si>
  <si>
    <t>Bleu foncé.142</t>
  </si>
  <si>
    <t>LemonChiffon</t>
  </si>
  <si>
    <t>Jaune lég. orange clair.618</t>
  </si>
  <si>
    <t xml:space="preserve">SandyBrun </t>
  </si>
  <si>
    <t>Orange lég. rouge clair.029 délavé.192</t>
  </si>
  <si>
    <t>160, 160, 0</t>
  </si>
  <si>
    <t>160, 160, 32</t>
  </si>
  <si>
    <t>160, 160, 64</t>
  </si>
  <si>
    <t>160, 160, 96</t>
  </si>
  <si>
    <t>160, 160, 128</t>
  </si>
  <si>
    <t>160, 160, 160</t>
  </si>
  <si>
    <t>160, 160, 192</t>
  </si>
  <si>
    <t>160, 160, 224</t>
  </si>
  <si>
    <t>160, 160, 255</t>
  </si>
  <si>
    <t>Bleu Majorelle</t>
  </si>
  <si>
    <t>Bleu foncé.194 délavé.209</t>
  </si>
  <si>
    <t>Blanc d'Espagne (pigment)</t>
  </si>
  <si>
    <t>Jaune lég. orange clair.866 délavé.129</t>
  </si>
  <si>
    <t>Mandarine</t>
  </si>
  <si>
    <t>Orange lég. rouge clair.058 délavé.018</t>
  </si>
  <si>
    <t>160, 192, 0</t>
  </si>
  <si>
    <t>160, 192, 32</t>
  </si>
  <si>
    <t>160, 192, 64</t>
  </si>
  <si>
    <t>160, 192, 96</t>
  </si>
  <si>
    <t>160, 192, 128</t>
  </si>
  <si>
    <t>160, 192, 160</t>
  </si>
  <si>
    <t>160, 192, 192</t>
  </si>
  <si>
    <t>160, 192, 224</t>
  </si>
  <si>
    <t>160, 192, 255</t>
  </si>
  <si>
    <t>MoyenBleu</t>
  </si>
  <si>
    <t>Bleu foncé.382</t>
  </si>
  <si>
    <t>Gris tourdille (chevaux)</t>
  </si>
  <si>
    <t>Jaune lég. orange foncé.010 délavé.906</t>
  </si>
  <si>
    <t>tan1</t>
  </si>
  <si>
    <t>Orange lég. rouge clair.082</t>
  </si>
  <si>
    <t>160, 224, 0</t>
  </si>
  <si>
    <t>160, 224, 32</t>
  </si>
  <si>
    <t>160, 224, 64</t>
  </si>
  <si>
    <t>160, 224, 96</t>
  </si>
  <si>
    <t>160, 224, 128</t>
  </si>
  <si>
    <t>160, 224, 160</t>
  </si>
  <si>
    <t>160, 224, 192</t>
  </si>
  <si>
    <t>160, 224, 224</t>
  </si>
  <si>
    <t>160, 224, 255</t>
  </si>
  <si>
    <t>Rich Bleu</t>
  </si>
  <si>
    <t>Bleu foncé.479 délavé.402</t>
  </si>
  <si>
    <t>Jaune d'or</t>
  </si>
  <si>
    <t>Jaune lég. orange foncé.131 délavé.005</t>
  </si>
  <si>
    <t>marin Coquillage 3</t>
  </si>
  <si>
    <t>Orange lég. rouge clair.148 délavé.896</t>
  </si>
  <si>
    <t>160, 255, 0</t>
  </si>
  <si>
    <t>160, 255, 32</t>
  </si>
  <si>
    <t>160, 255, 64</t>
  </si>
  <si>
    <t>160, 255, 96</t>
  </si>
  <si>
    <t>160, 255, 128</t>
  </si>
  <si>
    <t>160, 255, 160</t>
  </si>
  <si>
    <t>160, 255, 192</t>
  </si>
  <si>
    <t>160, 255, 224</t>
  </si>
  <si>
    <t>160, 255, 255</t>
  </si>
  <si>
    <t>Bleu violacé franc</t>
  </si>
  <si>
    <t>Bleu foncé.512 délavé.380</t>
  </si>
  <si>
    <t>Blé</t>
  </si>
  <si>
    <t>Jaune lég. orange foncé.158 délavé.074</t>
  </si>
  <si>
    <t>Orange clair</t>
  </si>
  <si>
    <t>Orange lég. rouge clair.177 délavé.104</t>
  </si>
  <si>
    <t>192, 0, 0</t>
  </si>
  <si>
    <t>192, 0, 32</t>
  </si>
  <si>
    <t>192, 0, 64</t>
  </si>
  <si>
    <t>192, 0, 96</t>
  </si>
  <si>
    <t>192, 0, 128</t>
  </si>
  <si>
    <t>192, 0, 160</t>
  </si>
  <si>
    <t>192, 0, 192</t>
  </si>
  <si>
    <t>192, 0, 224</t>
  </si>
  <si>
    <t>192, 0, 255</t>
  </si>
  <si>
    <t>Bleu saphir</t>
  </si>
  <si>
    <t>Bleu foncé.534 délavé.001</t>
  </si>
  <si>
    <t>khaki3</t>
  </si>
  <si>
    <t>Jaune lég. orange foncé.204 délavé.447</t>
  </si>
  <si>
    <t>Ventre de biche</t>
  </si>
  <si>
    <t>Orange lég. rouge clair.268 délavé.494</t>
  </si>
  <si>
    <t>192, 32, 0</t>
  </si>
  <si>
    <t>192, 32, 32</t>
  </si>
  <si>
    <t>192, 32, 64</t>
  </si>
  <si>
    <t>192, 32, 96</t>
  </si>
  <si>
    <t>192, 32, 128</t>
  </si>
  <si>
    <t>192, 32, 160</t>
  </si>
  <si>
    <t>192, 32, 192</t>
  </si>
  <si>
    <t>192, 32, 224</t>
  </si>
  <si>
    <t>192, 32, 255</t>
  </si>
  <si>
    <t>New Midnight Bleu</t>
  </si>
  <si>
    <t>Bleu foncé.659</t>
  </si>
  <si>
    <t>Jaune verdâtre vif</t>
  </si>
  <si>
    <t>Jaune lég. orange foncé.278</t>
  </si>
  <si>
    <t>PeachPuff2</t>
  </si>
  <si>
    <t>Orange lég. rouge clair.285 délavé.396</t>
  </si>
  <si>
    <t>192, 64, 0</t>
  </si>
  <si>
    <t>192, 64, 32</t>
  </si>
  <si>
    <t>192, 64, 64</t>
  </si>
  <si>
    <t>192, 64, 96</t>
  </si>
  <si>
    <t>192, 64, 128</t>
  </si>
  <si>
    <t>192, 64, 160</t>
  </si>
  <si>
    <t>192, 64, 192</t>
  </si>
  <si>
    <t>192, 64, 224</t>
  </si>
  <si>
    <t>192, 64, 255</t>
  </si>
  <si>
    <t>Bleu outremer</t>
  </si>
  <si>
    <t>Bleu foncé.663 délavé.002</t>
  </si>
  <si>
    <t>Jaune verdâtre grisâtre</t>
  </si>
  <si>
    <t>Jaune lég. orange foncé.294 délavé.602</t>
  </si>
  <si>
    <t xml:space="preserve">Indian Rouge </t>
  </si>
  <si>
    <t>Orange lég. rouge clair.358 délavé.264</t>
  </si>
  <si>
    <t>192, 96, 0</t>
  </si>
  <si>
    <t>192, 96, 32</t>
  </si>
  <si>
    <t>192, 96, 64</t>
  </si>
  <si>
    <t>192, 96, 96</t>
  </si>
  <si>
    <t>192, 96, 128</t>
  </si>
  <si>
    <t>192, 96, 160</t>
  </si>
  <si>
    <t>192, 96, 192</t>
  </si>
  <si>
    <t>192, 96, 224</t>
  </si>
  <si>
    <t>192, 96, 255</t>
  </si>
  <si>
    <t>Bleu violacé moyen</t>
  </si>
  <si>
    <t>Bleu foncé.697 délavé.527</t>
  </si>
  <si>
    <t>Clarissimo (cigare)</t>
  </si>
  <si>
    <t>Jaune lég. orange foncé.318 délavé.552</t>
  </si>
  <si>
    <t>Rose jaunâtre pâle</t>
  </si>
  <si>
    <t>Orange lég. rouge clair.409 délavé.533</t>
  </si>
  <si>
    <t>192, 128, 0</t>
  </si>
  <si>
    <t>192, 128, 32</t>
  </si>
  <si>
    <t>192, 128, 64</t>
  </si>
  <si>
    <t>192, 128, 96</t>
  </si>
  <si>
    <t>192, 128, 128</t>
  </si>
  <si>
    <t>192, 128, 160</t>
  </si>
  <si>
    <t>192, 128, 192</t>
  </si>
  <si>
    <t>192, 128, 224</t>
  </si>
  <si>
    <t>192, 128, 255</t>
  </si>
  <si>
    <t>Navy Bleu</t>
  </si>
  <si>
    <t>Bleu foncé.704 délavé.118</t>
  </si>
  <si>
    <t>SombreKhaki</t>
  </si>
  <si>
    <t>Jaune lég. orange foncé.329 délavé.457</t>
  </si>
  <si>
    <t>PeachPuff</t>
  </si>
  <si>
    <t>Orange lég. rouge clair.494</t>
  </si>
  <si>
    <t>192, 160, 0</t>
  </si>
  <si>
    <t>192, 160, 32</t>
  </si>
  <si>
    <t>192, 160, 64</t>
  </si>
  <si>
    <t>192, 160, 96</t>
  </si>
  <si>
    <t>192, 160, 128</t>
  </si>
  <si>
    <t>192, 160, 160</t>
  </si>
  <si>
    <t>192, 160, 192</t>
  </si>
  <si>
    <t>192, 160, 224</t>
  </si>
  <si>
    <t>192, 160, 255</t>
  </si>
  <si>
    <t>Bleu4</t>
  </si>
  <si>
    <t>Bleu foncé.734</t>
  </si>
  <si>
    <t>Beigeasse (péjoratif)</t>
  </si>
  <si>
    <t>Jaune lég. orange foncé.357 délavé.639</t>
  </si>
  <si>
    <t>marin Coquillage 2</t>
  </si>
  <si>
    <t>Orange lég. rouge clair.595 délavé.699</t>
  </si>
  <si>
    <t>192, 192, 0</t>
  </si>
  <si>
    <t>192, 192, 32</t>
  </si>
  <si>
    <t>192, 192, 64</t>
  </si>
  <si>
    <t>192, 192, 96</t>
  </si>
  <si>
    <t>192, 192, 128</t>
  </si>
  <si>
    <t>192, 192, 160</t>
  </si>
  <si>
    <t>192, 192, 192</t>
  </si>
  <si>
    <t>192, 192, 224</t>
  </si>
  <si>
    <t>192, 192, 255</t>
  </si>
  <si>
    <t>Sombre Ardoise Bleu</t>
  </si>
  <si>
    <t>Bleu foncé.760 délavé.078</t>
  </si>
  <si>
    <t>Jaune verdâtre moyen</t>
  </si>
  <si>
    <t>Jaune lég. orange foncé.402 délavé.349</t>
  </si>
  <si>
    <t xml:space="preserve">marin Coquillage </t>
  </si>
  <si>
    <t>Orange lég. rouge clair.858</t>
  </si>
  <si>
    <t>192, 224, 0</t>
  </si>
  <si>
    <t>192, 224, 32</t>
  </si>
  <si>
    <t>192, 224, 64</t>
  </si>
  <si>
    <t>192, 224, 96</t>
  </si>
  <si>
    <t>192, 224, 128</t>
  </si>
  <si>
    <t>192, 224, 160</t>
  </si>
  <si>
    <t>192, 224, 192</t>
  </si>
  <si>
    <t>192, 224, 224</t>
  </si>
  <si>
    <t>192, 224, 255</t>
  </si>
  <si>
    <t>NavyBleu</t>
  </si>
  <si>
    <t>Bleu foncé.777</t>
  </si>
  <si>
    <t>Jaune verdâtre franc</t>
  </si>
  <si>
    <t>Jaune lég. orange foncé.448 délavé.104</t>
  </si>
  <si>
    <t>tan2</t>
  </si>
  <si>
    <t>Orange lég. rouge foncé.072 délavé.151</t>
  </si>
  <si>
    <t>192, 255, 0</t>
  </si>
  <si>
    <t>192, 255, 32</t>
  </si>
  <si>
    <t>192, 255, 64</t>
  </si>
  <si>
    <t>192, 255, 96</t>
  </si>
  <si>
    <t>192, 255, 128</t>
  </si>
  <si>
    <t>192, 255, 160</t>
  </si>
  <si>
    <t>192, 255, 192</t>
  </si>
  <si>
    <t>192, 255, 224</t>
  </si>
  <si>
    <t>192, 255, 255</t>
  </si>
  <si>
    <t>Corn Flower Bleu</t>
  </si>
  <si>
    <t>Bleu foncé.777 délavé.514</t>
  </si>
  <si>
    <t>brass</t>
  </si>
  <si>
    <t>Jaune lég. orange foncé.472 délavé.217</t>
  </si>
  <si>
    <t>PeachPuff3</t>
  </si>
  <si>
    <t>Orange lég. rouge foncé.073 délavé.667</t>
  </si>
  <si>
    <t>224, 0, 0</t>
  </si>
  <si>
    <t>224, 0, 32</t>
  </si>
  <si>
    <t>224, 0, 64</t>
  </si>
  <si>
    <t>224, 0, 96</t>
  </si>
  <si>
    <t>224, 0, 128</t>
  </si>
  <si>
    <t>224, 0, 160</t>
  </si>
  <si>
    <t>224, 0, 192</t>
  </si>
  <si>
    <t>224, 0, 224</t>
  </si>
  <si>
    <t>224, 0, 255</t>
  </si>
  <si>
    <t>Bleu violacé vif</t>
  </si>
  <si>
    <t>Bleu foncé.778 délavé.182</t>
  </si>
  <si>
    <t>cornsilk4</t>
  </si>
  <si>
    <t>Jaune lég. orange foncé.539 délavé.845</t>
  </si>
  <si>
    <t>Jaune orangé vif</t>
  </si>
  <si>
    <t>Orange lég. rouge foncé.076</t>
  </si>
  <si>
    <t>224, 32, 0</t>
  </si>
  <si>
    <t>224, 32, 32</t>
  </si>
  <si>
    <t>224, 32, 64</t>
  </si>
  <si>
    <t>224, 32, 96</t>
  </si>
  <si>
    <t>224, 32, 128</t>
  </si>
  <si>
    <t>224, 32, 160</t>
  </si>
  <si>
    <t>224, 32, 192</t>
  </si>
  <si>
    <t>224, 32, 224</t>
  </si>
  <si>
    <t>224, 32, 255</t>
  </si>
  <si>
    <t>Bleu Klein</t>
  </si>
  <si>
    <t>Bleu foncé.779 délavé.079</t>
  </si>
  <si>
    <t>Gris clair olivâtre</t>
  </si>
  <si>
    <t>Jaune lég. orange foncé.550 délavé.835</t>
  </si>
  <si>
    <t>Blond vénitien (cheveux)</t>
  </si>
  <si>
    <t>Orange lég. rouge foncé.103 délavé.207</t>
  </si>
  <si>
    <t>224, 64, 0</t>
  </si>
  <si>
    <t>224, 64, 32</t>
  </si>
  <si>
    <t>224, 64, 64</t>
  </si>
  <si>
    <t>224, 64, 96</t>
  </si>
  <si>
    <t>224, 64, 128</t>
  </si>
  <si>
    <t>224, 64, 160</t>
  </si>
  <si>
    <t>224, 64, 192</t>
  </si>
  <si>
    <t>224, 64, 224</t>
  </si>
  <si>
    <t>224, 64, 255</t>
  </si>
  <si>
    <t>MidnightBleu</t>
  </si>
  <si>
    <t>Bleu foncé.821 délavé.112</t>
  </si>
  <si>
    <t>LemonChiffon4</t>
  </si>
  <si>
    <t>Jaune lég. orange foncé.565 délavé.775</t>
  </si>
  <si>
    <t>Rose brunâtre</t>
  </si>
  <si>
    <t>Orange lég. rouge foncé.125 délavé.748</t>
  </si>
  <si>
    <t>224, 96, 0</t>
  </si>
  <si>
    <t>224, 96, 32</t>
  </si>
  <si>
    <t>224, 96, 64</t>
  </si>
  <si>
    <t>224, 96, 96</t>
  </si>
  <si>
    <t>224, 96, 128</t>
  </si>
  <si>
    <t>224, 96, 160</t>
  </si>
  <si>
    <t>224, 96, 192</t>
  </si>
  <si>
    <t>224, 96, 224</t>
  </si>
  <si>
    <t>224, 96, 255</t>
  </si>
  <si>
    <t>Bleu nuit</t>
  </si>
  <si>
    <t>Bleu foncé.845 délavé.019</t>
  </si>
  <si>
    <t>Olive clair grisâtre</t>
  </si>
  <si>
    <t>Jaune lég. orange foncé.588 délavé.687</t>
  </si>
  <si>
    <t>orange2</t>
  </si>
  <si>
    <t>Orange lég. rouge foncé.142</t>
  </si>
  <si>
    <t>224, 128, 0</t>
  </si>
  <si>
    <t>224, 128, 32</t>
  </si>
  <si>
    <t>224, 128, 64</t>
  </si>
  <si>
    <t>224, 128, 96</t>
  </si>
  <si>
    <t>224, 128, 128</t>
  </si>
  <si>
    <t>224, 128, 160</t>
  </si>
  <si>
    <t>224, 128, 192</t>
  </si>
  <si>
    <t>224, 128, 224</t>
  </si>
  <si>
    <t>224, 128, 255</t>
  </si>
  <si>
    <t>Bleu violacé profond</t>
  </si>
  <si>
    <t>Bleu foncé.879 délavé.305</t>
  </si>
  <si>
    <t>khaki4</t>
  </si>
  <si>
    <t>Jaune lég. orange foncé.654 délavé.462</t>
  </si>
  <si>
    <t>Jaune orangé franc</t>
  </si>
  <si>
    <t>Orange lég. rouge foncé.157 délavé.038</t>
  </si>
  <si>
    <t>224, 160, 0</t>
  </si>
  <si>
    <t>224, 160, 32</t>
  </si>
  <si>
    <t>224, 160, 64</t>
  </si>
  <si>
    <t>224, 160, 96</t>
  </si>
  <si>
    <t>224, 160, 128</t>
  </si>
  <si>
    <t>224, 160, 160</t>
  </si>
  <si>
    <t>224, 160, 192</t>
  </si>
  <si>
    <t>224, 160, 224</t>
  </si>
  <si>
    <t>224, 160, 255</t>
  </si>
  <si>
    <t>Midnight Bleu</t>
  </si>
  <si>
    <t>Bleu foncé.888 délavé.533</t>
  </si>
  <si>
    <t>léger Dorérod4</t>
  </si>
  <si>
    <t>Jaune lég. orange foncé.658 délavé.443</t>
  </si>
  <si>
    <t>Ocre rouge</t>
  </si>
  <si>
    <t>Orange lég. rouge foncé.159 délavé.266</t>
  </si>
  <si>
    <t>224, 192, 0</t>
  </si>
  <si>
    <t>224, 192, 32</t>
  </si>
  <si>
    <t>224, 192, 64</t>
  </si>
  <si>
    <t>224, 192, 96</t>
  </si>
  <si>
    <t>224, 192, 128</t>
  </si>
  <si>
    <t>224, 192, 160</t>
  </si>
  <si>
    <t>224, 192, 192</t>
  </si>
  <si>
    <t>224, 192, 224</t>
  </si>
  <si>
    <t>224, 192, 255</t>
  </si>
  <si>
    <t>Bleu violacé foncé</t>
  </si>
  <si>
    <t>Bleu foncé.928 délavé.509</t>
  </si>
  <si>
    <t>Jaune verdâtre profond</t>
  </si>
  <si>
    <t>Jaune lég. orange foncé.663</t>
  </si>
  <si>
    <t>Melon</t>
  </si>
  <si>
    <t>Orange lég. rouge foncé.255 délavé.022</t>
  </si>
  <si>
    <t>224, 224, 0</t>
  </si>
  <si>
    <t>224, 224, 32</t>
  </si>
  <si>
    <t>224, 224, 64</t>
  </si>
  <si>
    <t>224, 224, 96</t>
  </si>
  <si>
    <t>224, 224, 128</t>
  </si>
  <si>
    <t>224, 224, 160</t>
  </si>
  <si>
    <t>224, 224, 192</t>
  </si>
  <si>
    <t>224, 224, 224</t>
  </si>
  <si>
    <t>224, 224, 255</t>
  </si>
  <si>
    <t>Charbonneux</t>
  </si>
  <si>
    <t>Bleu foncé.995</t>
  </si>
  <si>
    <t>Olive clair</t>
  </si>
  <si>
    <t>Jaune lég. orange foncé.715 délavé.272</t>
  </si>
  <si>
    <t>cool copper</t>
  </si>
  <si>
    <t>Orange lég. rouge foncé.290 délavé.028</t>
  </si>
  <si>
    <t>224, 255, 0</t>
  </si>
  <si>
    <t>224, 255, 32</t>
  </si>
  <si>
    <t>224, 255, 64</t>
  </si>
  <si>
    <t>224, 255, 96</t>
  </si>
  <si>
    <t>224, 255, 128</t>
  </si>
  <si>
    <t>224, 255, 160</t>
  </si>
  <si>
    <t>224, 255, 192</t>
  </si>
  <si>
    <t>224, 255, 224</t>
  </si>
  <si>
    <t>224, 255, 255</t>
  </si>
  <si>
    <t>Bleu électrique</t>
  </si>
  <si>
    <t>Bleu lég. azur clair.026</t>
  </si>
  <si>
    <t>Gris olivâtre</t>
  </si>
  <si>
    <t>Jaune lég. orange foncé.824 délavé.864</t>
  </si>
  <si>
    <t>Brun clair</t>
  </si>
  <si>
    <t>Orange lég. rouge foncé.330 délavé.156</t>
  </si>
  <si>
    <t>255, 0, 0</t>
  </si>
  <si>
    <t>255, 0, 32</t>
  </si>
  <si>
    <t>255, 0, 64</t>
  </si>
  <si>
    <t>255, 0, 96</t>
  </si>
  <si>
    <t>255, 0, 128</t>
  </si>
  <si>
    <t>255, 0, 160</t>
  </si>
  <si>
    <t>255, 0, 192</t>
  </si>
  <si>
    <t>255, 0, 224</t>
  </si>
  <si>
    <t>255, 0, 255</t>
  </si>
  <si>
    <t>RoyalBleu1</t>
  </si>
  <si>
    <t>Bleu lég. azur clair.068</t>
  </si>
  <si>
    <t>Olive grisâtre</t>
  </si>
  <si>
    <t>Jaune lég. orange foncé.833 délavé.687</t>
  </si>
  <si>
    <t>orange3</t>
  </si>
  <si>
    <t>Orange lég. rouge foncé.382</t>
  </si>
  <si>
    <t>255, 32, 0</t>
  </si>
  <si>
    <t>255, 32, 32</t>
  </si>
  <si>
    <t>255, 32, 64</t>
  </si>
  <si>
    <t>255, 32, 96</t>
  </si>
  <si>
    <t>255, 32, 128</t>
  </si>
  <si>
    <t>255, 32, 160</t>
  </si>
  <si>
    <t>255, 32, 192</t>
  </si>
  <si>
    <t>255, 32, 224</t>
  </si>
  <si>
    <t>255, 32, 255</t>
  </si>
  <si>
    <t>Bleu violacé très clair</t>
  </si>
  <si>
    <t>Bleu lég. azur clair.226 délavé.605</t>
  </si>
  <si>
    <t>Olive moyen</t>
  </si>
  <si>
    <t>Jaune lég. orange foncé.848 délavé.177</t>
  </si>
  <si>
    <t>Jaune orangé profond</t>
  </si>
  <si>
    <t>Orange lég. rouge foncé.408</t>
  </si>
  <si>
    <t>255, 64, 0</t>
  </si>
  <si>
    <t>255, 64, 32</t>
  </si>
  <si>
    <t>255, 64, 64</t>
  </si>
  <si>
    <t>255, 64, 96</t>
  </si>
  <si>
    <t>255, 64, 128</t>
  </si>
  <si>
    <t>255, 64, 160</t>
  </si>
  <si>
    <t>255, 64, 192</t>
  </si>
  <si>
    <t>255, 64, 224</t>
  </si>
  <si>
    <t>255, 64, 255</t>
  </si>
  <si>
    <t>silver</t>
  </si>
  <si>
    <t>Bleu lég. azur clair.753 délavé.348</t>
  </si>
  <si>
    <t>Olive foncé</t>
  </si>
  <si>
    <t>Jaune lég. orange foncé.930 délavé.454</t>
  </si>
  <si>
    <t>Sépia</t>
  </si>
  <si>
    <t>Orange lég. rouge foncé.435 délavé.471</t>
  </si>
  <si>
    <t>255, 96, 0</t>
  </si>
  <si>
    <t>255, 96, 32</t>
  </si>
  <si>
    <t>255, 96, 64</t>
  </si>
  <si>
    <t>255, 96, 96</t>
  </si>
  <si>
    <t>255, 96, 128</t>
  </si>
  <si>
    <t>255, 96, 160</t>
  </si>
  <si>
    <t>255, 96, 192</t>
  </si>
  <si>
    <t>255, 96, 224</t>
  </si>
  <si>
    <t>255, 96, 255</t>
  </si>
  <si>
    <t>RoyalBleu2</t>
  </si>
  <si>
    <t>Bleu lég. azur foncé.083 délavé.129</t>
  </si>
  <si>
    <t>Olive foncé grisâtre</t>
  </si>
  <si>
    <t>Jaune lég. orange foncé.940 délavé.707</t>
  </si>
  <si>
    <t>Moyen Wood</t>
  </si>
  <si>
    <t>Orange lég. rouge foncé.477 délavé.508</t>
  </si>
  <si>
    <t>255, 128, 0</t>
  </si>
  <si>
    <t>255, 128, 32</t>
  </si>
  <si>
    <t>255, 128, 64</t>
  </si>
  <si>
    <t>255, 128, 96</t>
  </si>
  <si>
    <t>255, 128, 128</t>
  </si>
  <si>
    <t>255, 128, 160</t>
  </si>
  <si>
    <t>255, 128, 192</t>
  </si>
  <si>
    <t>255, 128, 224</t>
  </si>
  <si>
    <t>255, 128, 255</t>
  </si>
  <si>
    <t>RoyalBleu</t>
  </si>
  <si>
    <t>Bleu lég. azur foncé.186 délavé.137</t>
  </si>
  <si>
    <t>Noir olivâtre</t>
  </si>
  <si>
    <t>Jaune lég. orange foncé.968 délavé.794</t>
  </si>
  <si>
    <t>Orange lég. rouge foncé.500 délavé.438</t>
  </si>
  <si>
    <t>255, 160, 0</t>
  </si>
  <si>
    <t>255, 160, 32</t>
  </si>
  <si>
    <t>255, 160, 64</t>
  </si>
  <si>
    <t>255, 160, 96</t>
  </si>
  <si>
    <t>255, 160, 128</t>
  </si>
  <si>
    <t>255, 160, 160</t>
  </si>
  <si>
    <t>255, 160, 192</t>
  </si>
  <si>
    <t>255, 160, 224</t>
  </si>
  <si>
    <t>255, 160, 255</t>
  </si>
  <si>
    <t>Bleu violacé clair</t>
  </si>
  <si>
    <t>Bleu lég. azur foncé.220 délavé.642</t>
  </si>
  <si>
    <t>Magenta secondaire</t>
  </si>
  <si>
    <t>Magenta</t>
  </si>
  <si>
    <t>marin Coquillage 4</t>
  </si>
  <si>
    <t>Orange lég. rouge foncé.503 délavé.929</t>
  </si>
  <si>
    <t>255, 192, 0</t>
  </si>
  <si>
    <t>255, 192, 32</t>
  </si>
  <si>
    <t>255, 192, 64</t>
  </si>
  <si>
    <t>255, 192, 96</t>
  </si>
  <si>
    <t>255, 192, 128</t>
  </si>
  <si>
    <t>255, 192, 160</t>
  </si>
  <si>
    <t>255, 192, 192</t>
  </si>
  <si>
    <t>255, 192, 224</t>
  </si>
  <si>
    <t>255, 192, 255</t>
  </si>
  <si>
    <t>Bleu violacé pâle</t>
  </si>
  <si>
    <t>Bleu lég. azur foncé.308 délavé.782</t>
  </si>
  <si>
    <t>orchid2</t>
  </si>
  <si>
    <t>Magenta clair.060 délavé.301</t>
  </si>
  <si>
    <t>Poil de chameau</t>
  </si>
  <si>
    <t>Orange lég. rouge foncé.506 délavé.071</t>
  </si>
  <si>
    <t>255, 224, 0</t>
  </si>
  <si>
    <t>255, 224, 32</t>
  </si>
  <si>
    <t>255, 224, 64</t>
  </si>
  <si>
    <t>255, 224, 96</t>
  </si>
  <si>
    <t>255, 224, 128</t>
  </si>
  <si>
    <t>255, 224, 160</t>
  </si>
  <si>
    <t>255, 224, 192</t>
  </si>
  <si>
    <t>255, 224, 224</t>
  </si>
  <si>
    <t>255, 224, 255</t>
  </si>
  <si>
    <t>RoyalBleu3</t>
  </si>
  <si>
    <t>Bleu lég. azur foncé.337 délavé.134</t>
  </si>
  <si>
    <t>violet</t>
  </si>
  <si>
    <t>Magenta clair.089 délavé.311</t>
  </si>
  <si>
    <t>Brun clair grisâtre</t>
  </si>
  <si>
    <t>Orange lég. rouge foncé.522 délavé.706</t>
  </si>
  <si>
    <t>255, 255, 0</t>
  </si>
  <si>
    <t>255, 255, 32</t>
  </si>
  <si>
    <t>255, 255, 64</t>
  </si>
  <si>
    <t>255, 255, 96</t>
  </si>
  <si>
    <t>255, 255, 128</t>
  </si>
  <si>
    <t>255, 255, 160</t>
  </si>
  <si>
    <t>255, 255, 192</t>
  </si>
  <si>
    <t>255, 255, 224</t>
  </si>
  <si>
    <t>255, 255, 255</t>
  </si>
  <si>
    <t>Bleu violacé brillant</t>
  </si>
  <si>
    <t>Bleu lég. azur foncé.356 délavé.485</t>
  </si>
  <si>
    <t>thistle3</t>
  </si>
  <si>
    <t>Magenta clair.089 délavé.838</t>
  </si>
  <si>
    <t>Gris clair brunâtre</t>
  </si>
  <si>
    <t>Orange lég. rouge foncé.523 délavé.831</t>
  </si>
  <si>
    <t>Free Speech Bleu</t>
  </si>
  <si>
    <t>Bleu lég. azur foncé.378 délavé.179</t>
  </si>
  <si>
    <t>plum</t>
  </si>
  <si>
    <t>Magenta clair.090 délavé.595</t>
  </si>
  <si>
    <t>PeachPuff4</t>
  </si>
  <si>
    <t>Orange lég. rouge foncé.598 délavé.675</t>
  </si>
  <si>
    <t>Bleu ardoise</t>
  </si>
  <si>
    <t>Bleu lég. azur foncé.585 délavé.696</t>
  </si>
  <si>
    <t>Thistle</t>
  </si>
  <si>
    <t>Magenta clair.223 délavé.789</t>
  </si>
  <si>
    <t>Brun jaunâtre franc</t>
  </si>
  <si>
    <t>Orange lég. rouge foncé.665 délavé.046</t>
  </si>
  <si>
    <t>Smalt</t>
  </si>
  <si>
    <t>Bleu lég. azur foncé.673</t>
  </si>
  <si>
    <t>orchid1</t>
  </si>
  <si>
    <t>Magenta clair.235</t>
  </si>
  <si>
    <t>Lavallière (reliure)</t>
  </si>
  <si>
    <t>Orange lég. rouge foncé.700 délavé.111</t>
  </si>
  <si>
    <t>RoyalBleu4</t>
  </si>
  <si>
    <t>Bleu lég. azur foncé.712 délavé.148</t>
  </si>
  <si>
    <t>Plum</t>
  </si>
  <si>
    <t>Magenta clair.254 délavé.464</t>
  </si>
  <si>
    <t>tan4</t>
  </si>
  <si>
    <t>Orange lég. rouge foncé.708 délavé.174</t>
  </si>
  <si>
    <t>Bleu violacé grisâtre</t>
  </si>
  <si>
    <t>Bleu lég. azur foncé.765 délavé.645</t>
  </si>
  <si>
    <t>plum2</t>
  </si>
  <si>
    <t>Magenta clair.291 délavé.399</t>
  </si>
  <si>
    <t>orange4</t>
  </si>
  <si>
    <t>Orange lég. rouge foncé.734</t>
  </si>
  <si>
    <t>RoyalBleu5</t>
  </si>
  <si>
    <t>Bleu lég. azur foncé.861</t>
  </si>
  <si>
    <t>plum1</t>
  </si>
  <si>
    <t>Magenta clair.506</t>
  </si>
  <si>
    <t>Mordoré</t>
  </si>
  <si>
    <t>Orange lég. rouge foncé.739 délavé.082</t>
  </si>
  <si>
    <t>Bleu persan</t>
  </si>
  <si>
    <t>Bleu lég. violet</t>
  </si>
  <si>
    <t>thistle2</t>
  </si>
  <si>
    <t>Magenta clair.510 délavé.578</t>
  </si>
  <si>
    <t>Cannelle</t>
  </si>
  <si>
    <t>Orange lég. rouge foncé.746 délavé.295</t>
  </si>
  <si>
    <t>MoyenArdoise Bleu</t>
  </si>
  <si>
    <t>Bleu lég. violet clair.003 délavé.284</t>
  </si>
  <si>
    <t>thistle1</t>
  </si>
  <si>
    <t>Magenta clair.758</t>
  </si>
  <si>
    <t>Chaudron</t>
  </si>
  <si>
    <t>Orange lég. rouge foncé.753 délavé.038</t>
  </si>
  <si>
    <t>Lavande</t>
  </si>
  <si>
    <t>Bleu lég. violet clair.077 délavé.341</t>
  </si>
  <si>
    <t>plum3</t>
  </si>
  <si>
    <t>Magenta foncé.068 délavé.673</t>
  </si>
  <si>
    <t>Cacao</t>
  </si>
  <si>
    <t>Orange lég. rouge foncé.831 délavé.525</t>
  </si>
  <si>
    <t>Ardoise Bleu1</t>
  </si>
  <si>
    <t>Bleu lég. violet clair.165</t>
  </si>
  <si>
    <t>Orchid</t>
  </si>
  <si>
    <t>Magenta foncé.117 délavé.382</t>
  </si>
  <si>
    <t>Colorado claro (cigare)</t>
  </si>
  <si>
    <t>Orange lég. rouge foncé.834 délavé.191</t>
  </si>
  <si>
    <t>léger Ardoise Bleu</t>
  </si>
  <si>
    <t>Bleu lég. violet clair.169</t>
  </si>
  <si>
    <t>Orchidée</t>
  </si>
  <si>
    <t>Magenta foncé.124 délavé.385</t>
  </si>
  <si>
    <t>Brun jaunâtre profond</t>
  </si>
  <si>
    <t>Orange lég. rouge foncé.848 délavé.219</t>
  </si>
  <si>
    <t>Ardoise Bleu2</t>
  </si>
  <si>
    <t>Bleu lég. violet délavé.283</t>
  </si>
  <si>
    <t>magenta2</t>
  </si>
  <si>
    <t>Magenta foncé.142</t>
  </si>
  <si>
    <t>Blet</t>
  </si>
  <si>
    <t>Orange lég. rouge foncé.885 délavé.098</t>
  </si>
  <si>
    <t>Indigo</t>
  </si>
  <si>
    <t>Bleu lég. violet foncé.048 délavé.025</t>
  </si>
  <si>
    <t>Mauve</t>
  </si>
  <si>
    <t>Magenta foncé.156 délavé.422</t>
  </si>
  <si>
    <t>Brun jaunâtre foncé grisâtre</t>
  </si>
  <si>
    <t>Orange lég. rouge foncé.898 délavé.660</t>
  </si>
  <si>
    <t>Ardoise Bleu</t>
  </si>
  <si>
    <t>Bleu lég. violet foncé.275 délavé.295</t>
  </si>
  <si>
    <t>orchid3</t>
  </si>
  <si>
    <t>Magenta foncé.235 délavé.385</t>
  </si>
  <si>
    <t>Brun jaunâtre foncé</t>
  </si>
  <si>
    <t>Orange lég. rouge foncé.910 délavé.353</t>
  </si>
  <si>
    <t>Ardoise Bleu3</t>
  </si>
  <si>
    <t>Bleu lég. violet foncé.277 délavé.289</t>
  </si>
  <si>
    <t>Violet pâle</t>
  </si>
  <si>
    <t>Magenta foncé.266 délavé.880</t>
  </si>
  <si>
    <t>Café</t>
  </si>
  <si>
    <t>Orange lég. rouge foncé.935 délavé.009</t>
  </si>
  <si>
    <t>Bleu-violet clair</t>
  </si>
  <si>
    <t>Bleu lég. violet foncé.292 délavé.653</t>
  </si>
  <si>
    <t>magenta3</t>
  </si>
  <si>
    <t>Magenta foncé.382</t>
  </si>
  <si>
    <t>Réglisse</t>
  </si>
  <si>
    <t>Orange lég. rouge foncé.959 délavé.657</t>
  </si>
  <si>
    <t>Bleu-violet pâle</t>
  </si>
  <si>
    <t>Bleu lég. violet foncé.296 délavé.817</t>
  </si>
  <si>
    <t>violet Bleu</t>
  </si>
  <si>
    <t>Magenta foncé.525 délavé.503</t>
  </si>
  <si>
    <t>Noiraud (teint , cheveux)</t>
  </si>
  <si>
    <t>Orange lég. rouge foncé.966 délavé.254</t>
  </si>
  <si>
    <t>Bleu-violet brillant</t>
  </si>
  <si>
    <t>Bleu lég. violet foncé.334 délavé.535</t>
  </si>
  <si>
    <t>thistle4</t>
  </si>
  <si>
    <t>Magenta foncé.528 délavé.871</t>
  </si>
  <si>
    <t>Noir de fumée (pigment)</t>
  </si>
  <si>
    <t>Orange lég. rouge foncé.991 délavé.614</t>
  </si>
  <si>
    <t>Bleu-violet franc</t>
  </si>
  <si>
    <t>Bleu lég. violet foncé.602 délavé.402</t>
  </si>
  <si>
    <t>plum4</t>
  </si>
  <si>
    <t>Magenta foncé.595 délavé.684</t>
  </si>
  <si>
    <t>Rouge primaire</t>
  </si>
  <si>
    <t>Rouge</t>
  </si>
  <si>
    <t>SombreArdoise Bleu</t>
  </si>
  <si>
    <t>Bleu lég. violet foncé.685 délavé.311</t>
  </si>
  <si>
    <t>Violet grisâtre</t>
  </si>
  <si>
    <t>Magenta foncé.657 délavé.842</t>
  </si>
  <si>
    <t xml:space="preserve">Orange Rouge </t>
  </si>
  <si>
    <t>Ardoise Bleu4</t>
  </si>
  <si>
    <t>Bleu lég. violet foncé.686 délavé.303</t>
  </si>
  <si>
    <t>orchid4</t>
  </si>
  <si>
    <t>Magenta foncé.667 délavé.398</t>
  </si>
  <si>
    <t xml:space="preserve">OrangeRouge </t>
  </si>
  <si>
    <t>Indigo (teinture)</t>
  </si>
  <si>
    <t>Bleu lég. violet foncé.844</t>
  </si>
  <si>
    <t>magenta4</t>
  </si>
  <si>
    <t>Magenta foncé.734</t>
  </si>
  <si>
    <t>Feu vif</t>
  </si>
  <si>
    <t>SombreOlivevert2</t>
  </si>
  <si>
    <t>Chartreuse clair.003 délavé.284</t>
  </si>
  <si>
    <t>Magenta foncé</t>
  </si>
  <si>
    <t>Magenta foncé.777</t>
  </si>
  <si>
    <t>Vermeil</t>
  </si>
  <si>
    <t>Rouge clair.003</t>
  </si>
  <si>
    <t>OliveDrab1</t>
  </si>
  <si>
    <t>Chartreuse clair.051</t>
  </si>
  <si>
    <t>Violet</t>
  </si>
  <si>
    <t>Magenta foncé.888 délavé.533</t>
  </si>
  <si>
    <t>pierre à feu 1</t>
  </si>
  <si>
    <t>Rouge clair.031</t>
  </si>
  <si>
    <t>Vert pistache</t>
  </si>
  <si>
    <t>Chartreuse clair.097 délavé.188</t>
  </si>
  <si>
    <t>Violet noirâtre</t>
  </si>
  <si>
    <t>Magenta foncé.963 délavé.734</t>
  </si>
  <si>
    <t>Brun 1</t>
  </si>
  <si>
    <t>Rouge clair.054</t>
  </si>
  <si>
    <t>SombreOlivevert1</t>
  </si>
  <si>
    <t>Chartreuse clair.169</t>
  </si>
  <si>
    <t>Noir violacé</t>
  </si>
  <si>
    <t>Magenta foncé.966 délavé.924</t>
  </si>
  <si>
    <t xml:space="preserve">Tomate </t>
  </si>
  <si>
    <t>Rouge clair.066</t>
  </si>
  <si>
    <t>Blanc de lait</t>
  </si>
  <si>
    <t>Chartreuse clair.931 délavé.752</t>
  </si>
  <si>
    <t>Free Speech Magenta</t>
  </si>
  <si>
    <t>Magenta lég. fuchsia foncé.117 délavé.248</t>
  </si>
  <si>
    <t>Rouge capucine</t>
  </si>
  <si>
    <t>Rouge clair.078</t>
  </si>
  <si>
    <t>OliveDrab2</t>
  </si>
  <si>
    <t>Chartreuse foncé.097 délavé.099</t>
  </si>
  <si>
    <t>Violet rougeâtre très profond</t>
  </si>
  <si>
    <t>Magenta lég. fuchsia foncé.897 délavé.194</t>
  </si>
  <si>
    <t>Nacarat</t>
  </si>
  <si>
    <t>Rouge clair.089 délavé.057</t>
  </si>
  <si>
    <t>Vert tilleul</t>
  </si>
  <si>
    <t>Chartreuse foncé.267 délavé.241</t>
  </si>
  <si>
    <t>Violet rougeâtre très foncé</t>
  </si>
  <si>
    <t>Magenta lég. fuchsia foncé.955 délavé.391</t>
  </si>
  <si>
    <t>Rose jaunâtre moyen</t>
  </si>
  <si>
    <t>Rouge clair.091 délavé.659</t>
  </si>
  <si>
    <t>SombreOlivevert3</t>
  </si>
  <si>
    <t>Chartreuse foncé.275 délavé.295</t>
  </si>
  <si>
    <t>Violet très clair</t>
  </si>
  <si>
    <t>Magenta lég. violet clair.214 délavé.726</t>
  </si>
  <si>
    <t xml:space="preserve">léger Corail </t>
  </si>
  <si>
    <t>Rouge clair.098 délavé.278</t>
  </si>
  <si>
    <t>OliveDrab3</t>
  </si>
  <si>
    <t>Chartreuse foncé.348 délavé.103</t>
  </si>
  <si>
    <t>Zinzolin</t>
  </si>
  <si>
    <t>Magenta lég. violet foncé.808 délavé.006</t>
  </si>
  <si>
    <t>Rose moyen</t>
  </si>
  <si>
    <t>Rouge clair.117 délavé.597</t>
  </si>
  <si>
    <t>Jaune vert</t>
  </si>
  <si>
    <t>Chartreuse foncé.355 délavé.104</t>
  </si>
  <si>
    <t>Violet très foncé</t>
  </si>
  <si>
    <t>Magenta lég. violet foncé.954 délavé.434</t>
  </si>
  <si>
    <t>Rose franc</t>
  </si>
  <si>
    <t>Rouge clair.127 délavé.397</t>
  </si>
  <si>
    <t>SombreOlivevert4</t>
  </si>
  <si>
    <t>Chartreuse foncé.685 délavé.311</t>
  </si>
  <si>
    <t>Mi-bleu mi-azur</t>
  </si>
  <si>
    <t xml:space="preserve">Saumon </t>
  </si>
  <si>
    <t>Rouge clair.132 délavé.099</t>
  </si>
  <si>
    <t>OliveDrab</t>
  </si>
  <si>
    <t>Chartreuse foncé.704 délavé.118</t>
  </si>
  <si>
    <t>DodgerBleu</t>
  </si>
  <si>
    <t>Mi-bleu mi-azur clair.013</t>
  </si>
  <si>
    <t>Rose jaunâtre franc</t>
  </si>
  <si>
    <t>Rouge clair.139 délavé.139</t>
  </si>
  <si>
    <t>OliveDrab4</t>
  </si>
  <si>
    <t>Chartreuse foncé.717 délavé.118</t>
  </si>
  <si>
    <t>Bleu violacé très pâle</t>
  </si>
  <si>
    <t>Mi-bleu mi-azur clair.294 délavé.684</t>
  </si>
  <si>
    <t>IndianRouge 1</t>
  </si>
  <si>
    <t>Rouge clair.150</t>
  </si>
  <si>
    <t>SombreOlivevert</t>
  </si>
  <si>
    <t>Chartreuse foncé.817 délavé.326</t>
  </si>
  <si>
    <t>CornflowerBleu</t>
  </si>
  <si>
    <t>Mi-bleu mi-azur foncé.016 délavé.270</t>
  </si>
  <si>
    <t>Incarnat</t>
  </si>
  <si>
    <t>Rouge clair.165</t>
  </si>
  <si>
    <t>Vert olive foncé grisâtre</t>
  </si>
  <si>
    <t>Chartreuse foncé.936 délavé.790</t>
  </si>
  <si>
    <t>Sombre Turquoise</t>
  </si>
  <si>
    <t>Mi-bleu mi-azur foncé.117 délavé.382</t>
  </si>
  <si>
    <t>Neige 3</t>
  </si>
  <si>
    <t>Rouge clair.210 délavé.967</t>
  </si>
  <si>
    <t>Vert chartreuse</t>
  </si>
  <si>
    <t>Chartreuse lég. jaune foncé.035 délavé.069</t>
  </si>
  <si>
    <t>DodgerBleu2</t>
  </si>
  <si>
    <t>Mi-bleu mi-azur foncé.130 délavé.028</t>
  </si>
  <si>
    <t>Incarnadin</t>
  </si>
  <si>
    <t>Rouge clair.305 délavé.025</t>
  </si>
  <si>
    <t>Vert jaune vif</t>
  </si>
  <si>
    <t>Chartreuse lég. jaune foncé.523</t>
  </si>
  <si>
    <t>Bleu charron</t>
  </si>
  <si>
    <t>Mi-bleu mi-azur foncé.148 délavé.655</t>
  </si>
  <si>
    <t>RosyBrun 2</t>
  </si>
  <si>
    <t>Rouge clair.324 délavé.419</t>
  </si>
  <si>
    <t>Vert jaune franc</t>
  </si>
  <si>
    <t>Chartreuse lég. jaune foncé.616 délavé.149</t>
  </si>
  <si>
    <t>Bleu roi</t>
  </si>
  <si>
    <t>Mi-bleu mi-azur foncé.164 délavé.077</t>
  </si>
  <si>
    <t>Rose jaunâtre clair</t>
  </si>
  <si>
    <t>Rouge clair.455 délavé.341</t>
  </si>
  <si>
    <t>Vert olive</t>
  </si>
  <si>
    <t>Chartreuse lég. jaune foncé.708 délavé.120</t>
  </si>
  <si>
    <t>DodgerBleu3</t>
  </si>
  <si>
    <t>Mi-bleu mi-azur foncé.372 délavé.030</t>
  </si>
  <si>
    <t>Rose vif</t>
  </si>
  <si>
    <t>Rouge clair.471</t>
  </si>
  <si>
    <t>Vert militaire</t>
  </si>
  <si>
    <t>Chartreuse lég. jaune foncé.802 délavé.597</t>
  </si>
  <si>
    <t>Denim</t>
  </si>
  <si>
    <t>Mi-bleu mi-azur foncé.475 délavé.029</t>
  </si>
  <si>
    <t>Rose pâle</t>
  </si>
  <si>
    <t>Rouge clair.513 délavé.711</t>
  </si>
  <si>
    <t>Vert olive grisâtre</t>
  </si>
  <si>
    <t>Chartreuse lég. jaune foncé.839 délavé.757</t>
  </si>
  <si>
    <t>Bleu bleuet</t>
  </si>
  <si>
    <t>Mi-bleu mi-azur foncé.475 délavé.354</t>
  </si>
  <si>
    <t>RosyBrun 1</t>
  </si>
  <si>
    <t>Rouge clair.542</t>
  </si>
  <si>
    <t>Vert olive moyen</t>
  </si>
  <si>
    <t>Chartreuse lég. jaune foncé.868 délavé.265</t>
  </si>
  <si>
    <t>Lapis-lazuli</t>
  </si>
  <si>
    <t>Mi-bleu mi-azur foncé.638 délavé.112</t>
  </si>
  <si>
    <t>Rose clair</t>
  </si>
  <si>
    <t>Rouge clair.547 délavé.227</t>
  </si>
  <si>
    <t>Vert olive franc</t>
  </si>
  <si>
    <t>Chartreuse lég. jaune foncé.918</t>
  </si>
  <si>
    <t>Bleu turquin</t>
  </si>
  <si>
    <t>Mi-bleu mi-azur foncé.680 délavé.358</t>
  </si>
  <si>
    <t>Neige 2</t>
  </si>
  <si>
    <t>Rouge clair.678 délavé.878</t>
  </si>
  <si>
    <t>Vert olive profond</t>
  </si>
  <si>
    <t>Chartreuse lég. jaune foncé.970</t>
  </si>
  <si>
    <t>DodgerBleu4</t>
  </si>
  <si>
    <t>Mi-bleu mi-azur foncé.728 délavé.038</t>
  </si>
  <si>
    <t xml:space="preserve">Neige </t>
  </si>
  <si>
    <t>Rouge clair.957</t>
  </si>
  <si>
    <t>Vert lime</t>
  </si>
  <si>
    <t>Chartreuse lég. vert clair.024 délavé.035</t>
  </si>
  <si>
    <t>Ardoise</t>
  </si>
  <si>
    <t>Mi-bleu mi-azur foncé.740 délavé.823</t>
  </si>
  <si>
    <t>Rouge feu</t>
  </si>
  <si>
    <t>Rouge foncé.009</t>
  </si>
  <si>
    <t>vertJaune</t>
  </si>
  <si>
    <t>Chartreuse lég. vert clair.030</t>
  </si>
  <si>
    <t>Bleu de cobalt (pigment)</t>
  </si>
  <si>
    <t>Mi-bleu mi-azur foncé.774 délavé.148</t>
  </si>
  <si>
    <t>IndianRouge 2</t>
  </si>
  <si>
    <t>Rouge foncé.011 délavé.263</t>
  </si>
  <si>
    <t>Vert anis</t>
  </si>
  <si>
    <t>Chartreuse lég. vert foncé.093 délavé.210</t>
  </si>
  <si>
    <t>Bleu de minuit</t>
  </si>
  <si>
    <t>Mi-bleu mi-azur foncé.861</t>
  </si>
  <si>
    <t>Rose grisâtre</t>
  </si>
  <si>
    <t>Rouge foncé.013 délavé.865</t>
  </si>
  <si>
    <t>Asperge</t>
  </si>
  <si>
    <t>Chartreuse lég. vert foncé.530 délavé.466</t>
  </si>
  <si>
    <t>Bleu marine</t>
  </si>
  <si>
    <t>Mi-bleu mi-azur foncé.923 délavé.023</t>
  </si>
  <si>
    <t>RosyBrun 3</t>
  </si>
  <si>
    <t>Rouge foncé.045 délavé.705</t>
  </si>
  <si>
    <t>Vert avocat</t>
  </si>
  <si>
    <t>Chartreuse lég. vert foncé.768 délavé.008</t>
  </si>
  <si>
    <t>Moyen Ardoise Bleu</t>
  </si>
  <si>
    <t>Mi-bleu mi-violet</t>
  </si>
  <si>
    <t>Rose profond</t>
  </si>
  <si>
    <t>Rouge foncé.047 délavé.360</t>
  </si>
  <si>
    <t>Cyan secondaire</t>
  </si>
  <si>
    <t>Cyan</t>
  </si>
  <si>
    <t>Pourpre 1</t>
  </si>
  <si>
    <t>Mi-bleu mi-violet clair.031</t>
  </si>
  <si>
    <t>Rouge de Mars (pigment)</t>
  </si>
  <si>
    <t>Rouge foncé.065 délavé.008</t>
  </si>
  <si>
    <t>léger Cyan3</t>
  </si>
  <si>
    <t>Cyan clair.084 délavé.833</t>
  </si>
  <si>
    <t>MoyenPourpre 2</t>
  </si>
  <si>
    <t>Mi-bleu mi-violet clair.057 délavé.300</t>
  </si>
  <si>
    <t>Gris tourterelle</t>
  </si>
  <si>
    <t>Rouge foncé.073 délavé.909</t>
  </si>
  <si>
    <t>SombreArdoise gris 2</t>
  </si>
  <si>
    <t>Cyan clair.133 délavé.326</t>
  </si>
  <si>
    <t>MoyenPourpre 1</t>
  </si>
  <si>
    <t>Mi-bleu mi-violet clair.231</t>
  </si>
  <si>
    <t>Rose jaunâtre profond</t>
  </si>
  <si>
    <t>Rouge foncé.079 délavé.271</t>
  </si>
  <si>
    <t>Aigue-marine</t>
  </si>
  <si>
    <t>Cyan clair.139 délavé.139</t>
  </si>
  <si>
    <t>Gris de lin</t>
  </si>
  <si>
    <t>Mi-bleu mi-violet clair.441 délavé.563</t>
  </si>
  <si>
    <t>Tomate 2</t>
  </si>
  <si>
    <t>Rouge foncé.084 délavé.125</t>
  </si>
  <si>
    <t>azure3</t>
  </si>
  <si>
    <t>Cyan clair.160 délavé.909</t>
  </si>
  <si>
    <t>Bleu-violet très clair</t>
  </si>
  <si>
    <t>Mi-bleu mi-violet clair.638</t>
  </si>
  <si>
    <t>Brun 2</t>
  </si>
  <si>
    <t>Rouge foncé.096 délavé.102</t>
  </si>
  <si>
    <t>Turquoise</t>
  </si>
  <si>
    <t>Cyan clair.254 délavé.464</t>
  </si>
  <si>
    <t>Pourpre 2</t>
  </si>
  <si>
    <t>Mi-bleu mi-violet foncé.115 délavé.060</t>
  </si>
  <si>
    <t>pierre à feu 2</t>
  </si>
  <si>
    <t>Rouge foncé.115 délavé.060</t>
  </si>
  <si>
    <t>PaleTurquoise2</t>
  </si>
  <si>
    <t>Cyan clair.291 délavé.399</t>
  </si>
  <si>
    <t>Moyen Orchid</t>
  </si>
  <si>
    <t>Mi-bleu mi-violet foncé.117 délavé.382</t>
  </si>
  <si>
    <t>Garance</t>
  </si>
  <si>
    <t>Rouge foncé.136 délavé.012</t>
  </si>
  <si>
    <t>PaleTurquoise</t>
  </si>
  <si>
    <t>Cyan clair.296 délavé.402</t>
  </si>
  <si>
    <t>BleuViolet</t>
  </si>
  <si>
    <t>Mi-bleu mi-violet foncé.209 délavé.064</t>
  </si>
  <si>
    <t>Rouge grenadine</t>
  </si>
  <si>
    <t>Rouge foncé.139 délavé.097</t>
  </si>
  <si>
    <t>SombreArdoise gris 1</t>
  </si>
  <si>
    <t>Cyan clair.318</t>
  </si>
  <si>
    <t>MoyenPourpre 3</t>
  </si>
  <si>
    <t>Mi-bleu mi-violet foncé.238 délavé.379</t>
  </si>
  <si>
    <t>Rouge 2</t>
  </si>
  <si>
    <t>Rouge foncé.142</t>
  </si>
  <si>
    <t>léger Cyan2</t>
  </si>
  <si>
    <t>Cyan clair.503 délavé.570</t>
  </si>
  <si>
    <t>Bleu-violet vif</t>
  </si>
  <si>
    <t>Mi-bleu mi-violet foncé.266 délavé.370</t>
  </si>
  <si>
    <t>OrangeRouge 2</t>
  </si>
  <si>
    <t>PaleTurquoise1</t>
  </si>
  <si>
    <t>Cyan clair.506</t>
  </si>
  <si>
    <t>Pourpre 3</t>
  </si>
  <si>
    <t>Mi-bleu mi-violet foncé.362 délavé.063</t>
  </si>
  <si>
    <t>Rouge d'aniline</t>
  </si>
  <si>
    <t>Rouge foncé.149</t>
  </si>
  <si>
    <t>azure2</t>
  </si>
  <si>
    <t>Cyan clair.610 délavé.725</t>
  </si>
  <si>
    <t xml:space="preserve">Free Speech gris </t>
  </si>
  <si>
    <t>Mi-bleu mi-violet foncé.648 délavé.554</t>
  </si>
  <si>
    <t>Corail</t>
  </si>
  <si>
    <t>Rouge foncé.196 délavé.001</t>
  </si>
  <si>
    <t>léger Cyan</t>
  </si>
  <si>
    <t>Cyan clair.751</t>
  </si>
  <si>
    <t>MoyenPourpre 4</t>
  </si>
  <si>
    <t>Mi-bleu mi-violet foncé.667 délavé.398</t>
  </si>
  <si>
    <t xml:space="preserve">RosyBrun </t>
  </si>
  <si>
    <t>Rouge foncé.205 délavé.712</t>
  </si>
  <si>
    <t>azure</t>
  </si>
  <si>
    <t>Cyan clair.875</t>
  </si>
  <si>
    <t>Bleu-violet moyen</t>
  </si>
  <si>
    <t>Mi-bleu mi-violet foncé.693 délavé.521</t>
  </si>
  <si>
    <t>Gueules (héraldique)</t>
  </si>
  <si>
    <t>Rouge foncé.227 délavé.017</t>
  </si>
  <si>
    <t>Opalin</t>
  </si>
  <si>
    <t>Cyan clair.891</t>
  </si>
  <si>
    <t>Bleu-violet grisâtre</t>
  </si>
  <si>
    <t>Mi-bleu mi-violet foncé.777 délavé.680</t>
  </si>
  <si>
    <t>Rose foncé</t>
  </si>
  <si>
    <t>Rouge foncé.241 délavé.589</t>
  </si>
  <si>
    <t>Blanc lunaire</t>
  </si>
  <si>
    <t>Cyan clair.898 délavé.171</t>
  </si>
  <si>
    <t>léger Bleu</t>
  </si>
  <si>
    <t>Mi-cyan mi-azur clair.223 délavé.525</t>
  </si>
  <si>
    <t>Rouge tomate</t>
  </si>
  <si>
    <t>Rouge foncé.255 délavé.022</t>
  </si>
  <si>
    <t>Blanc de zinc (pigment)</t>
  </si>
  <si>
    <t>Cyan clair.915 délavé.204</t>
  </si>
  <si>
    <t>léger Bleu2</t>
  </si>
  <si>
    <t>Mi-cyan mi-azur clair.313 délavé.412</t>
  </si>
  <si>
    <t xml:space="preserve">IndianRouge </t>
  </si>
  <si>
    <t>Rouge foncé.270 délavé.307</t>
  </si>
  <si>
    <t>Cyan clair</t>
  </si>
  <si>
    <t>Cyan foncé.018 délavé.052</t>
  </si>
  <si>
    <t>Azurin</t>
  </si>
  <si>
    <t>Mi-cyan mi-azur clair.397 délavé.029</t>
  </si>
  <si>
    <t>Rouge vermillon</t>
  </si>
  <si>
    <t>Rouge foncé.285 délavé.002</t>
  </si>
  <si>
    <t>PaleTurquoise3</t>
  </si>
  <si>
    <t>Cyan foncé.068 délavé.673</t>
  </si>
  <si>
    <t>léger Bleu1</t>
  </si>
  <si>
    <t>Mi-cyan mi-azur clair.530</t>
  </si>
  <si>
    <t>IndianRouge 3</t>
  </si>
  <si>
    <t>Rouge foncé.287 délavé.267</t>
  </si>
  <si>
    <t>Moyen Turquoise</t>
  </si>
  <si>
    <t>Cyan foncé.117 délavé.382</t>
  </si>
  <si>
    <t>léger Bleu3</t>
  </si>
  <si>
    <t>Mi-cyan mi-azur foncé.050 délavé.699</t>
  </si>
  <si>
    <t>Rouge d'alizarine (pigment)</t>
  </si>
  <si>
    <t>Rouge foncé.299 délavé.001</t>
  </si>
  <si>
    <t>Bleu givré</t>
  </si>
  <si>
    <t>Cyan foncé.138 délavé.519</t>
  </si>
  <si>
    <t>Bleu verdâtre clair</t>
  </si>
  <si>
    <t>Mi-cyan mi-azur foncé.350 délavé.426</t>
  </si>
  <si>
    <t>Tomate 3</t>
  </si>
  <si>
    <t>Rouge foncé.339 délavé.130</t>
  </si>
  <si>
    <t>cyan2</t>
  </si>
  <si>
    <t>Cyan foncé.142</t>
  </si>
  <si>
    <t>Bleu verdâtre brillant</t>
  </si>
  <si>
    <t>Mi-cyan mi-azur foncé.483 délavé.068</t>
  </si>
  <si>
    <t>Brun 3</t>
  </si>
  <si>
    <t>Rouge foncé.347 délavé.107</t>
  </si>
  <si>
    <t>SombreArdoise gris 3</t>
  </si>
  <si>
    <t>Cyan foncé.183 délavé.486</t>
  </si>
  <si>
    <t>léger Bleu4</t>
  </si>
  <si>
    <t>Mi-cyan mi-azur foncé.589 délavé.703</t>
  </si>
  <si>
    <t>Rouge foncé.354 délavé.108</t>
  </si>
  <si>
    <t>MoyenTurquoise</t>
  </si>
  <si>
    <t>Cyan foncé.287 délavé.191</t>
  </si>
  <si>
    <t>Bleu verdâtre profond</t>
  </si>
  <si>
    <t>Mi-cyan mi-azur foncé.662 délavé.170</t>
  </si>
  <si>
    <t>pierre à feu 3</t>
  </si>
  <si>
    <t>Rouge foncé.362 délavé.063</t>
  </si>
  <si>
    <t>SombreTurquoise</t>
  </si>
  <si>
    <t>Cyan foncé.355</t>
  </si>
  <si>
    <t>Bleu verdâtre moyen</t>
  </si>
  <si>
    <t>Mi-cyan mi-azur foncé.707 délavé.265</t>
  </si>
  <si>
    <t>Rouge groseille</t>
  </si>
  <si>
    <t>Rouge foncé.366 délavé.009</t>
  </si>
  <si>
    <t>cyan3</t>
  </si>
  <si>
    <t>Cyan foncé.382</t>
  </si>
  <si>
    <t>Bleu verdâtre foncé</t>
  </si>
  <si>
    <t>Mi-cyan mi-azur foncé.898</t>
  </si>
  <si>
    <t>Rouge 3</t>
  </si>
  <si>
    <t>Rouge foncé.382</t>
  </si>
  <si>
    <t>Bleu des mers du sud</t>
  </si>
  <si>
    <t>Cyan foncé.388</t>
  </si>
  <si>
    <t>Bleu pétrole</t>
  </si>
  <si>
    <t>Mi-cyan mi-azur foncé.901 délavé.257</t>
  </si>
  <si>
    <t>OrangeRouge 3</t>
  </si>
  <si>
    <t>azure4</t>
  </si>
  <si>
    <t>Cyan foncé.499 délavé.937</t>
  </si>
  <si>
    <t>Vert turquoise</t>
  </si>
  <si>
    <t>Mi-cyan mi-émeraude clair.006 délavé.017</t>
  </si>
  <si>
    <t>Rouge coquelicot</t>
  </si>
  <si>
    <t>Rouge foncé.427</t>
  </si>
  <si>
    <t>CadetBleu0</t>
  </si>
  <si>
    <t>Cyan foncé.520 délavé.498</t>
  </si>
  <si>
    <t>Vert bleuâtre très clair</t>
  </si>
  <si>
    <t>Mi-cyan mi-émeraude clair.050 délavé.555</t>
  </si>
  <si>
    <t>Rouge franc</t>
  </si>
  <si>
    <t>Rouge foncé.436 délavé.185</t>
  </si>
  <si>
    <t>Cadet Bleu</t>
  </si>
  <si>
    <t>Cyan foncé.525 délavé.503</t>
  </si>
  <si>
    <t>Vert bleuâtre brillant</t>
  </si>
  <si>
    <t>Mi-cyan mi-émeraude foncé.610</t>
  </si>
  <si>
    <t>Rouge fraise</t>
  </si>
  <si>
    <t>Rouge foncé.439 délavé.111</t>
  </si>
  <si>
    <t>léger Cyan4</t>
  </si>
  <si>
    <t>Cyan foncé.532 délavé.862</t>
  </si>
  <si>
    <t>Sombre vert copper</t>
  </si>
  <si>
    <t>Mi-cyan mi-émeraude foncé.740 délavé.553</t>
  </si>
  <si>
    <t xml:space="preserve">Free Speech Rouge </t>
  </si>
  <si>
    <t>Rouge foncé.464</t>
  </si>
  <si>
    <t>PaleTurquoise4</t>
  </si>
  <si>
    <t>Cyan foncé.595 délavé.684</t>
  </si>
  <si>
    <t>Gris verdâtre foncé</t>
  </si>
  <si>
    <t>Mi-cyan mi-émeraude foncé.820 délavé.889</t>
  </si>
  <si>
    <t>Neige 4</t>
  </si>
  <si>
    <t>Rouge foncé.475 délavé.985</t>
  </si>
  <si>
    <t>SombreArdoise gris 4</t>
  </si>
  <si>
    <t>Cyan foncé.645 délavé.499</t>
  </si>
  <si>
    <t>Vert foncé grisâtre</t>
  </si>
  <si>
    <t>Mi-cyan mi-émeraude foncé.882 délavé.752</t>
  </si>
  <si>
    <t>Rouge vif</t>
  </si>
  <si>
    <t>Rouge foncé.476</t>
  </si>
  <si>
    <t>Bleu sarcelle</t>
  </si>
  <si>
    <t>Cyan foncé.721</t>
  </si>
  <si>
    <t>Vert jaune clair</t>
  </si>
  <si>
    <t>Mi-jaune mi-chartreuse foncé.020 délavé.527</t>
  </si>
  <si>
    <t>Rouge écrevisse</t>
  </si>
  <si>
    <t>Rouge foncé.488 délavé.001</t>
  </si>
  <si>
    <t>cyan4</t>
  </si>
  <si>
    <t>Cyan foncé.734</t>
  </si>
  <si>
    <t>Vert jaune brillant</t>
  </si>
  <si>
    <t>Mi-jaune mi-chartreuse foncé.193 délavé.247</t>
  </si>
  <si>
    <t>Rouge cerise</t>
  </si>
  <si>
    <t>Rouge foncé.491 délavé.013</t>
  </si>
  <si>
    <t>Sarcelle</t>
  </si>
  <si>
    <t>Cyan foncé.777</t>
  </si>
  <si>
    <t>Vert jaune grisâtre</t>
  </si>
  <si>
    <t>Mi-jaune mi-chartreuse foncé.484 délavé.768</t>
  </si>
  <si>
    <t>Rouge moyen</t>
  </si>
  <si>
    <t>Rouge foncé.504 délavé.322</t>
  </si>
  <si>
    <t xml:space="preserve">Sombre Ardoise gris </t>
  </si>
  <si>
    <t>Cyan foncé.888 délavé.533</t>
  </si>
  <si>
    <t>Vert jaune moyen</t>
  </si>
  <si>
    <t>Mi-jaune mi-chartreuse foncé.559 délavé.496</t>
  </si>
  <si>
    <t>Rouge cardinal</t>
  </si>
  <si>
    <t>Rouge foncé.507 délavé.021</t>
  </si>
  <si>
    <t>Vert bleuâtre foncé</t>
  </si>
  <si>
    <t>Cyan foncé.926</t>
  </si>
  <si>
    <t>Vert kaki</t>
  </si>
  <si>
    <t>Mi-jaune mi-chartreuse foncé.707 délavé.237</t>
  </si>
  <si>
    <t xml:space="preserve">pierre à feu </t>
  </si>
  <si>
    <t>Rouge foncé.529 délavé.071</t>
  </si>
  <si>
    <t>Vert bleuâtre très foncé</t>
  </si>
  <si>
    <t>Cyan foncé.976</t>
  </si>
  <si>
    <t>Vert Véronèse (pigment)</t>
  </si>
  <si>
    <t>Mi-jaune mi-chartreuse foncé.848 délavé.209</t>
  </si>
  <si>
    <t>Orange rougeâtre profond</t>
  </si>
  <si>
    <t>Rouge foncé.576 délavé.063</t>
  </si>
  <si>
    <t>Dorian (IPJ)</t>
  </si>
  <si>
    <t>Cyan foncé.989 délavé.568</t>
  </si>
  <si>
    <t>Or</t>
  </si>
  <si>
    <t>Mi-jaune mi-orange</t>
  </si>
  <si>
    <t xml:space="preserve">Brun </t>
  </si>
  <si>
    <t>Rouge foncé.585 délavé.117</t>
  </si>
  <si>
    <t>turquoise1</t>
  </si>
  <si>
    <t>Cyan lég. azur</t>
  </si>
  <si>
    <t>Jaune impérial</t>
  </si>
  <si>
    <t>Mi-jaune mi-orange clair.039</t>
  </si>
  <si>
    <t>RosyBrun 4</t>
  </si>
  <si>
    <t>Rouge foncé.586 délavé.712</t>
  </si>
  <si>
    <t>Bleu verdâtre très clair</t>
  </si>
  <si>
    <t>Cyan lég. azur clair.063 délavé.594</t>
  </si>
  <si>
    <t>Jaune paille</t>
  </si>
  <si>
    <t>Mi-jaune mi-orange clair.058 délavé.018</t>
  </si>
  <si>
    <t>Brun 0</t>
  </si>
  <si>
    <t>Rouge foncé.590 délavé.118</t>
  </si>
  <si>
    <t>CadetBleu2</t>
  </si>
  <si>
    <t>Cyan lég. azur clair.137 délavé.328</t>
  </si>
  <si>
    <t>Jaune brillant</t>
  </si>
  <si>
    <t>Mi-jaune mi-orange clair.074 délavé.093</t>
  </si>
  <si>
    <t>Rouge d'Andrinople</t>
  </si>
  <si>
    <t>Rouge foncé.594 délavé.001</t>
  </si>
  <si>
    <t>PowderBleu</t>
  </si>
  <si>
    <t>Cyan lég. azur clair.239 délavé.536</t>
  </si>
  <si>
    <t>Jaune nankin</t>
  </si>
  <si>
    <t>Mi-jaune mi-orange clair.079 délavé.148</t>
  </si>
  <si>
    <t>Rouge grisâtre</t>
  </si>
  <si>
    <t>Rouge foncé.598 délavé.570</t>
  </si>
  <si>
    <t>CadetBleu1</t>
  </si>
  <si>
    <t>Cyan lég. azur clair.323</t>
  </si>
  <si>
    <t>léger Dorérod2</t>
  </si>
  <si>
    <t>Mi-jaune mi-orange clair.089 délavé.311</t>
  </si>
  <si>
    <t>Fraise écrasée</t>
  </si>
  <si>
    <t>Rouge foncé.601 délavé.092</t>
  </si>
  <si>
    <t>turquoise2</t>
  </si>
  <si>
    <t>Cyan lég. azur foncé.142</t>
  </si>
  <si>
    <t>léger Dorérod</t>
  </si>
  <si>
    <t>Rouge Bismarck</t>
  </si>
  <si>
    <t>Rouge foncé.612 délavé.015</t>
  </si>
  <si>
    <t>CadetBleu3</t>
  </si>
  <si>
    <t>Cyan lég. azur foncé.180 délavé.492</t>
  </si>
  <si>
    <t>Vanille</t>
  </si>
  <si>
    <t>Mi-jaune mi-orange clair.090 délavé.531</t>
  </si>
  <si>
    <t>Dusty Rose</t>
  </si>
  <si>
    <t>Rouge foncé.627 délavé.699</t>
  </si>
  <si>
    <t>turquoise3</t>
  </si>
  <si>
    <t>Cyan lég. azur foncé.382</t>
  </si>
  <si>
    <t>Jaune clair</t>
  </si>
  <si>
    <t>Mi-jaune mi-orange clair.156 délavé.142</t>
  </si>
  <si>
    <t>Rouge carmin</t>
  </si>
  <si>
    <t>Rouge foncé.686</t>
  </si>
  <si>
    <t>Iris Bleu</t>
  </si>
  <si>
    <t>Cyan lég. azur foncé.413 délavé.003</t>
  </si>
  <si>
    <t>Jaune maïs</t>
  </si>
  <si>
    <t>Mi-jaune mi-orange clair.185</t>
  </si>
  <si>
    <t>IndianRouge 4</t>
  </si>
  <si>
    <t>Rouge foncé.689 délavé.286</t>
  </si>
  <si>
    <t>Gris plomb</t>
  </si>
  <si>
    <t>Cyan lég. azur foncé.574 délavé.932</t>
  </si>
  <si>
    <t>léger Dorérod1</t>
  </si>
  <si>
    <t>Mi-jaune mi-orange clair.266</t>
  </si>
  <si>
    <t>Mandarian Orange</t>
  </si>
  <si>
    <t>Rouge foncé.704 délavé.118</t>
  </si>
  <si>
    <t>CadetBleu4</t>
  </si>
  <si>
    <t>Cyan lég. azur foncé.643 délavé.508</t>
  </si>
  <si>
    <t>Jaune pâle</t>
  </si>
  <si>
    <t>Mi-jaune mi-orange clair.315 délavé.295</t>
  </si>
  <si>
    <t>Brun 4</t>
  </si>
  <si>
    <t>Rouge foncé.716 délavé.123</t>
  </si>
  <si>
    <t>Bleu canard</t>
  </si>
  <si>
    <t>Cyan lég. azur foncé.667 délavé.007</t>
  </si>
  <si>
    <t>Bis (héraldique)</t>
  </si>
  <si>
    <t>Mi-jaune mi-orange clair.406 délavé.395</t>
  </si>
  <si>
    <t>Scarlet</t>
  </si>
  <si>
    <t>Rouge foncé.721 délavé.063</t>
  </si>
  <si>
    <t>turquoise4</t>
  </si>
  <si>
    <t>Cyan lég. azur foncé.734</t>
  </si>
  <si>
    <t>Jaune de Naples (pigment)</t>
  </si>
  <si>
    <t>Mi-jaune mi-orange clair.512</t>
  </si>
  <si>
    <t>pierre à feu 4</t>
  </si>
  <si>
    <t>Rouge foncé.723 délavé.077</t>
  </si>
  <si>
    <t>Bleu turquoise</t>
  </si>
  <si>
    <t>Cyan lég. émeraude clair.002 délavé.035</t>
  </si>
  <si>
    <t>Platine</t>
  </si>
  <si>
    <t>Mi-jaune mi-orange clair.524 délavé.180</t>
  </si>
  <si>
    <t>Rouge 4</t>
  </si>
  <si>
    <t>Rouge foncé.734</t>
  </si>
  <si>
    <t>turquoise</t>
  </si>
  <si>
    <t>Cyan lég. émeraude foncé.195 délavé.134</t>
  </si>
  <si>
    <t>Blanc jaunâtre</t>
  </si>
  <si>
    <t>Mi-jaune mi-orange clair.554 délavé.563</t>
  </si>
  <si>
    <t>OrangeRouge 4</t>
  </si>
  <si>
    <t>Vert bleuâtre clair</t>
  </si>
  <si>
    <t>Cyan lég. émeraude foncé.435 délavé.490</t>
  </si>
  <si>
    <t>cornsilk</t>
  </si>
  <si>
    <t>Mi-jaune mi-orange clair.722</t>
  </si>
  <si>
    <t>Rouge profond</t>
  </si>
  <si>
    <t>Rouge foncé.750 délavé.090</t>
  </si>
  <si>
    <t>léger marin vert</t>
  </si>
  <si>
    <t>Cyan lég. émeraude foncé.531 délavé.064</t>
  </si>
  <si>
    <t>Bouton d'or</t>
  </si>
  <si>
    <t>Mi-jaune mi-orange foncé.020 délavé.012</t>
  </si>
  <si>
    <t>Rouge sang</t>
  </si>
  <si>
    <t>Rouge foncé.756 délavé.014</t>
  </si>
  <si>
    <t>Vert bleuâtre vif</t>
  </si>
  <si>
    <t>Cyan lég. émeraude foncé.746</t>
  </si>
  <si>
    <t>Gris clair</t>
  </si>
  <si>
    <t>Mi-jaune mi-orange foncé.035 délavé.976</t>
  </si>
  <si>
    <t xml:space="preserve">Marron </t>
  </si>
  <si>
    <t>Rouge foncé.777</t>
  </si>
  <si>
    <t>Vert bleuâtre moyen</t>
  </si>
  <si>
    <t>Cyan lég. émeraude foncé.773 délavé.284</t>
  </si>
  <si>
    <t>Jaune de Mars</t>
  </si>
  <si>
    <t>Mi-jaune mi-orange foncé.051 délavé.191</t>
  </si>
  <si>
    <t>Rouge foncé.777 délavé.514</t>
  </si>
  <si>
    <t>Vert bleuâtre franc</t>
  </si>
  <si>
    <t>Cyan lég. émeraude foncé.798</t>
  </si>
  <si>
    <t>Jaune bouton d’or</t>
  </si>
  <si>
    <t>Mi-jaune mi-orange foncé.070 délavé.013</t>
  </si>
  <si>
    <t>Rouge foncé</t>
  </si>
  <si>
    <t>Rouge foncé.795 délavé.291</t>
  </si>
  <si>
    <t>Vert pin</t>
  </si>
  <si>
    <t>Cyan lég. émeraude foncé.801 délavé.003</t>
  </si>
  <si>
    <t>Jaune auréolin</t>
  </si>
  <si>
    <t>Mi-jaune mi-orange foncé.076 délavé.124</t>
  </si>
  <si>
    <t>Gris foncé rougeâtre</t>
  </si>
  <si>
    <t>Rouge foncé.806 délavé.846</t>
  </si>
  <si>
    <t>Vert bleuâtre profond</t>
  </si>
  <si>
    <t>Cyan lég. émeraude foncé.939</t>
  </si>
  <si>
    <t>Gris jaunâtre</t>
  </si>
  <si>
    <t>Mi-jaune mi-orange foncé.085 délavé.842</t>
  </si>
  <si>
    <t>Sang de bœuf</t>
  </si>
  <si>
    <t>Rouge foncé.822</t>
  </si>
  <si>
    <t>Vert très pâle</t>
  </si>
  <si>
    <t>Émeraude clair.375 délavé.653</t>
  </si>
  <si>
    <t>Safran</t>
  </si>
  <si>
    <t>Mi-jaune mi-orange foncé.092 délavé.019</t>
  </si>
  <si>
    <t>Grenat</t>
  </si>
  <si>
    <t>Rouge foncé.834 délavé.039</t>
  </si>
  <si>
    <t>MintCream</t>
  </si>
  <si>
    <t>Émeraude clair.915</t>
  </si>
  <si>
    <t>Or2</t>
  </si>
  <si>
    <t>Mi-jaune mi-orange foncé.142</t>
  </si>
  <si>
    <t>Bordeaux</t>
  </si>
  <si>
    <t>Rouge foncé.839 délavé.025</t>
  </si>
  <si>
    <t>Vert très clair</t>
  </si>
  <si>
    <t>Émeraude foncé.076 délavé.604</t>
  </si>
  <si>
    <t>Chamois</t>
  </si>
  <si>
    <t>Mi-jaune mi-orange foncé.160 délavé.481</t>
  </si>
  <si>
    <t>Bourgogne</t>
  </si>
  <si>
    <t>Rouge foncé.843 délavé.050</t>
  </si>
  <si>
    <t>Vert pâle</t>
  </si>
  <si>
    <t>Émeraude foncé.350 délavé.845</t>
  </si>
  <si>
    <t>léger Dorérod3</t>
  </si>
  <si>
    <t>Mi-jaune mi-orange foncé.213 délavé.428</t>
  </si>
  <si>
    <t>Rouge foncé grisâtre</t>
  </si>
  <si>
    <t>Rouge foncé.858 délavé.691</t>
  </si>
  <si>
    <t>Vert céladon</t>
  </si>
  <si>
    <t>Émeraude foncé.375 délavé.751</t>
  </si>
  <si>
    <t>Jaune grisâtre</t>
  </si>
  <si>
    <t>Mi-jaune mi-orange foncé.229 délavé.579</t>
  </si>
  <si>
    <t>Brun rougeâtre profond</t>
  </si>
  <si>
    <t>Rouge foncé.901 délavé.041</t>
  </si>
  <si>
    <t>Vert clair</t>
  </si>
  <si>
    <t>Émeraude foncé.434 délavé.530</t>
  </si>
  <si>
    <t>Queue-de-vache clair</t>
  </si>
  <si>
    <t>Mi-jaune mi-orange foncé.277 délavé.466</t>
  </si>
  <si>
    <t>Puce</t>
  </si>
  <si>
    <t>Rouge foncé.917 délavé.063</t>
  </si>
  <si>
    <t>Vert brillant</t>
  </si>
  <si>
    <t>Émeraude foncé.484 délavé.196</t>
  </si>
  <si>
    <t>Old Or</t>
  </si>
  <si>
    <t>Mi-jaune mi-orange foncé.323 délavé.136</t>
  </si>
  <si>
    <t>Brun rougeâtre foncé</t>
  </si>
  <si>
    <t>Rouge foncé.937 délavé.401</t>
  </si>
  <si>
    <t>Free Speech Aquamarine</t>
  </si>
  <si>
    <t>Émeraude foncé.653 délavé.003</t>
  </si>
  <si>
    <t>Jaune banane</t>
  </si>
  <si>
    <t>Mi-jaune mi-orange foncé.353 délavé.005</t>
  </si>
  <si>
    <t>léger Rose 2</t>
  </si>
  <si>
    <t>Rouge lég. fuchsia clair.229 délavé.367</t>
  </si>
  <si>
    <t>marin vert</t>
  </si>
  <si>
    <t>Émeraude foncé.704 délavé.118</t>
  </si>
  <si>
    <t>Or3</t>
  </si>
  <si>
    <t>Mi-jaune mi-orange foncé.382</t>
  </si>
  <si>
    <t>Rose 2</t>
  </si>
  <si>
    <t>Rouge lég. fuchsia clair.264 délavé.385</t>
  </si>
  <si>
    <t>Vert moyen</t>
  </si>
  <si>
    <t>Émeraude foncé.759 délavé.382</t>
  </si>
  <si>
    <t>Or4</t>
  </si>
  <si>
    <t>Mi-jaune mi-orange foncé.734</t>
  </si>
  <si>
    <t>léger Rose 1</t>
  </si>
  <si>
    <t>Rouge lég. fuchsia clair.432</t>
  </si>
  <si>
    <t>Vert franc</t>
  </si>
  <si>
    <t>Émeraude foncé.802</t>
  </si>
  <si>
    <t>Gris de maure</t>
  </si>
  <si>
    <t>Mi-jaune mi-orange foncé.797 délavé.580</t>
  </si>
  <si>
    <t>Rose 1</t>
  </si>
  <si>
    <t>Rouge lég. fuchsia clair.471</t>
  </si>
  <si>
    <t>Vert profond</t>
  </si>
  <si>
    <t>Émeraude foncé.907</t>
  </si>
  <si>
    <t>Violet rougeâtre moyen</t>
  </si>
  <si>
    <t>Mi-magenta mi-fuchsia foncé.596 délavé.555</t>
  </si>
  <si>
    <t xml:space="preserve">léger Rose </t>
  </si>
  <si>
    <t>Rouge lég. fuchsia clair.477</t>
  </si>
  <si>
    <t>aquamarine2</t>
  </si>
  <si>
    <t>Émeraude lég. cyan clair.047 délavé.297</t>
  </si>
  <si>
    <t xml:space="preserve">Sombre Pourpre </t>
  </si>
  <si>
    <t>Mi-magenta mi-fuchsia foncé.736 délavé.108</t>
  </si>
  <si>
    <t xml:space="preserve">Rose </t>
  </si>
  <si>
    <t>Rouge lég. fuchsia clair.536</t>
  </si>
  <si>
    <t>Vert opaline</t>
  </si>
  <si>
    <t>Émeraude lég. cyan clair.062 délavé.546</t>
  </si>
  <si>
    <t>Violet rougeâtre vif</t>
  </si>
  <si>
    <t>Mi-magenta mi-fuchsia foncé.750</t>
  </si>
  <si>
    <t>Pelure d'oignon (œnologie)</t>
  </si>
  <si>
    <t>Rouge lég. fuchsia foncé.089 délavé.524</t>
  </si>
  <si>
    <t>aquamarine</t>
  </si>
  <si>
    <t>Émeraude lég. cyan clair.220</t>
  </si>
  <si>
    <t>Gris foncé violacé</t>
  </si>
  <si>
    <t>Mi-magenta mi-fuchsia foncé.790 délavé.908</t>
  </si>
  <si>
    <t>Rose 3</t>
  </si>
  <si>
    <t>Rouge lég. fuchsia foncé.090 délavé.641</t>
  </si>
  <si>
    <t>Blanc verdâtre</t>
  </si>
  <si>
    <t>Émeraude lég. cyan clair.594 délavé.737</t>
  </si>
  <si>
    <t>Violet rougeâtre profond</t>
  </si>
  <si>
    <t>Mi-magenta mi-fuchsia foncé.808 délavé.242</t>
  </si>
  <si>
    <t>léger Rose 3</t>
  </si>
  <si>
    <t>Rouge lég. fuchsia foncé.111 délavé.609</t>
  </si>
  <si>
    <t>MoyenAquamarine</t>
  </si>
  <si>
    <t>Émeraude lég. cyan foncé.243 délavé.366</t>
  </si>
  <si>
    <t>Violet rougeâtre foncé</t>
  </si>
  <si>
    <t>Mi-magenta mi-fuchsia foncé.843 délavé.546</t>
  </si>
  <si>
    <t>Rouge violacé clair grisâtre</t>
  </si>
  <si>
    <t>Rouge lég. fuchsia foncé.316 délavé.720</t>
  </si>
  <si>
    <t>Gris verdâtre</t>
  </si>
  <si>
    <t>Émeraude lég. cyan foncé.529 délavé.903</t>
  </si>
  <si>
    <t>Violet foncé grisâtre</t>
  </si>
  <si>
    <t>Mi-magenta mi-fuchsia foncé.862 délavé.781</t>
  </si>
  <si>
    <t>Rouge framboise</t>
  </si>
  <si>
    <t>Rouge lég. fuchsia foncé.394 délavé.087</t>
  </si>
  <si>
    <t>Glauque</t>
  </si>
  <si>
    <t>Émeraude lég. cyan foncé.530 délavé.566</t>
  </si>
  <si>
    <t>Violet brillant</t>
  </si>
  <si>
    <t>Mi-magenta mi-violet clair.123 délavé.465</t>
  </si>
  <si>
    <t>Lie de vin</t>
  </si>
  <si>
    <t>Rouge lég. fuchsia foncé.565 délavé.062</t>
  </si>
  <si>
    <t>aquamarine4</t>
  </si>
  <si>
    <t>Émeraude lég. cyan foncé.671 délavé.380</t>
  </si>
  <si>
    <t>MoyenOrchid1</t>
  </si>
  <si>
    <t>Mi-magenta mi-violet clair.139</t>
  </si>
  <si>
    <t>Rose 4</t>
  </si>
  <si>
    <t>Rouge lég. fuchsia foncé.603 délavé.657</t>
  </si>
  <si>
    <t>Vert grisâtre</t>
  </si>
  <si>
    <t>Émeraude lég. cyan foncé.711 délavé.811</t>
  </si>
  <si>
    <t>Héliotrope</t>
  </si>
  <si>
    <t>Mi-magenta mi-violet clair.178</t>
  </si>
  <si>
    <t>léger Rose 4</t>
  </si>
  <si>
    <t>Rouge lég. fuchsia foncé.614 délavé.620</t>
  </si>
  <si>
    <t>Viride</t>
  </si>
  <si>
    <t>Émeraude lég. cyan foncé.715 délavé.378</t>
  </si>
  <si>
    <t>MoyenOrchid2</t>
  </si>
  <si>
    <t>Mi-magenta mi-violet foncé.022 délavé.245</t>
  </si>
  <si>
    <t>Pourpre</t>
  </si>
  <si>
    <t>Rouge lég. fuchsia foncé.645 délavé.024</t>
  </si>
  <si>
    <t>Vert foncé</t>
  </si>
  <si>
    <t>Émeraude lég. cyan foncé.911 délavé.253</t>
  </si>
  <si>
    <t>Violet clair</t>
  </si>
  <si>
    <t>Mi-magenta mi-violet foncé.155 délavé.732</t>
  </si>
  <si>
    <t>Passe-velours</t>
  </si>
  <si>
    <t>Rouge lég. fuchsia foncé.686 délavé.141</t>
  </si>
  <si>
    <t>Vert très foncé</t>
  </si>
  <si>
    <t>Émeraude lég. cyan foncé.951 délavé.486</t>
  </si>
  <si>
    <t>MoyenOrchid</t>
  </si>
  <si>
    <t>Mi-magenta mi-violet foncé.246 délavé.253</t>
  </si>
  <si>
    <t>Amarante</t>
  </si>
  <si>
    <t>Rouge lég. fuchsia foncé.690 délavé.143</t>
  </si>
  <si>
    <t>Noir verdâtre</t>
  </si>
  <si>
    <t>Émeraude lég. cyan foncé.969 délavé.869</t>
  </si>
  <si>
    <t>MoyenOrchid3</t>
  </si>
  <si>
    <t>Mi-magenta mi-violet foncé.293 délavé.250</t>
  </si>
  <si>
    <t>Rouge très profond</t>
  </si>
  <si>
    <t>Rouge lég. fuchsia foncé.885 délavé.046</t>
  </si>
  <si>
    <t>Vert noirâtre</t>
  </si>
  <si>
    <t>Émeraude lég. cyan foncé.971 délavé.732</t>
  </si>
  <si>
    <t>Violet vif</t>
  </si>
  <si>
    <t>Mi-magenta mi-violet foncé.488 délavé.312</t>
  </si>
  <si>
    <t>Cassis</t>
  </si>
  <si>
    <t>Rouge lég. fuchsia foncé.955 délavé.026</t>
  </si>
  <si>
    <t>MoyenPrintempsvert</t>
  </si>
  <si>
    <t>Émeraude lég. vert foncé.043</t>
  </si>
  <si>
    <t>Violet moyen</t>
  </si>
  <si>
    <t>Mi-magenta mi-violet foncé.599 délavé.609</t>
  </si>
  <si>
    <t>Rouge noirâtre</t>
  </si>
  <si>
    <t>Rouge lég. fuchsia foncé.959 délavé.614</t>
  </si>
  <si>
    <t>Vert vif</t>
  </si>
  <si>
    <t>Émeraude lég. vert foncé.746</t>
  </si>
  <si>
    <t>Violet franc</t>
  </si>
  <si>
    <t>Mi-magenta mi-violet foncé.607 délavé.495</t>
  </si>
  <si>
    <t>chocolate1</t>
  </si>
  <si>
    <t>Rouge lég. orange clair.018</t>
  </si>
  <si>
    <t xml:space="preserve">Neon Rose </t>
  </si>
  <si>
    <t>Fuchsia clair.162</t>
  </si>
  <si>
    <t>MoyenOrchid4</t>
  </si>
  <si>
    <t>Mi-magenta mi-violet foncé.693 délavé.262</t>
  </si>
  <si>
    <t xml:space="preserve">SombreSaumon </t>
  </si>
  <si>
    <t>Rouge lég. orange clair.021 délavé.369</t>
  </si>
  <si>
    <t xml:space="preserve">Violet Rouge </t>
  </si>
  <si>
    <t>Fuchsia foncé.355 délavé.104</t>
  </si>
  <si>
    <t>Violet profond</t>
  </si>
  <si>
    <t>Mi-magenta mi-violet foncé.817 délavé.326</t>
  </si>
  <si>
    <t>léger Saumon 2</t>
  </si>
  <si>
    <t>Rouge lég. orange clair.033 délavé.293</t>
  </si>
  <si>
    <t>Marron 3</t>
  </si>
  <si>
    <t>Fuchsia foncé.359 délavé.072</t>
  </si>
  <si>
    <t>Violet foncé</t>
  </si>
  <si>
    <t>Mi-magenta mi-violet foncé.841 délavé.596</t>
  </si>
  <si>
    <t>Sienne 1</t>
  </si>
  <si>
    <t>Rouge lég. orange clair.066</t>
  </si>
  <si>
    <t>Mauve (héraldique)</t>
  </si>
  <si>
    <t>Fuchsia foncé.591 délavé.466</t>
  </si>
  <si>
    <t xml:space="preserve">Profond Rose </t>
  </si>
  <si>
    <t>Mi-rouge mi-fuchsia clair.007</t>
  </si>
  <si>
    <t xml:space="preserve">Corail </t>
  </si>
  <si>
    <t>Rouge lég. orange clair.084</t>
  </si>
  <si>
    <t>Marron 4</t>
  </si>
  <si>
    <t>Fuchsia foncé.722 délavé.086</t>
  </si>
  <si>
    <t>Rose fuchsia</t>
  </si>
  <si>
    <t>Mi-rouge mi-fuchsia clair.035 délavé.036</t>
  </si>
  <si>
    <t>MistyRose3</t>
  </si>
  <si>
    <t>Rouge lég. orange clair.089 délavé.838</t>
  </si>
  <si>
    <t>Rouge violacé très profond</t>
  </si>
  <si>
    <t>Fuchsia foncé.901 délavé.132</t>
  </si>
  <si>
    <t>VioletRouge 1</t>
  </si>
  <si>
    <t>Mi-rouge mi-fuchsia clair.051</t>
  </si>
  <si>
    <t>Corail 1</t>
  </si>
  <si>
    <t>Rouge lég. orange clair.097</t>
  </si>
  <si>
    <t>Rouge violacé très foncé</t>
  </si>
  <si>
    <t>Fuchsia foncé.951 délavé.310</t>
  </si>
  <si>
    <t>PaleVioletRouge 2</t>
  </si>
  <si>
    <t>Mi-rouge mi-fuchsia clair.057 délavé.300</t>
  </si>
  <si>
    <t>Saumon 1</t>
  </si>
  <si>
    <t>Rouge lég. orange clair.147</t>
  </si>
  <si>
    <t>Aubergine</t>
  </si>
  <si>
    <t>Fuchsia foncé.960</t>
  </si>
  <si>
    <t>Rose violacé franc</t>
  </si>
  <si>
    <t>Mi-rouge mi-fuchsia clair.079 délavé.443</t>
  </si>
  <si>
    <t>Rose thé</t>
  </si>
  <si>
    <t>Rouge lég. orange clair.150</t>
  </si>
  <si>
    <t>Gris clair violacé</t>
  </si>
  <si>
    <t>Fuchsia lég. magenta clair.023 délavé.964</t>
  </si>
  <si>
    <t>Rose</t>
  </si>
  <si>
    <t>Mi-rouge mi-fuchsia clair.139 délavé.040</t>
  </si>
  <si>
    <t xml:space="preserve">léger Saumon </t>
  </si>
  <si>
    <t>Rouge lég. orange clair.202</t>
  </si>
  <si>
    <t>Violet rougeâtre clair</t>
  </si>
  <si>
    <t>Fuchsia lég. magenta foncé.279 délavé.662</t>
  </si>
  <si>
    <t>LavenderBlush3</t>
  </si>
  <si>
    <t>Mi-rouge mi-fuchsia clair.160 délavé.909</t>
  </si>
  <si>
    <t>Rose jaunâtre vif</t>
  </si>
  <si>
    <t>Rouge lég. orange clair.385</t>
  </si>
  <si>
    <t>Violet rougeâtre pâle</t>
  </si>
  <si>
    <t>Fuchsia lég. magenta foncé.327 délavé.779</t>
  </si>
  <si>
    <t>PaleVioletRouge 1</t>
  </si>
  <si>
    <t>Mi-rouge mi-fuchsia clair.231</t>
  </si>
  <si>
    <t>Pêche</t>
  </si>
  <si>
    <t>Rouge lég. orange clair.465 délavé.065</t>
  </si>
  <si>
    <t>Rose Mountbatten</t>
  </si>
  <si>
    <t>Fuchsia lég. magenta foncé.471 délavé.763</t>
  </si>
  <si>
    <t>Rose violacé clair</t>
  </si>
  <si>
    <t>Mi-rouge mi-fuchsia clair.372 délavé.425</t>
  </si>
  <si>
    <t>MistyRose2</t>
  </si>
  <si>
    <t>Rouge lég. orange clair.510 délavé.578</t>
  </si>
  <si>
    <t>Gris violacé</t>
  </si>
  <si>
    <t>Fuchsia lég. magenta foncé.491 délavé.953</t>
  </si>
  <si>
    <t>Rose dragée</t>
  </si>
  <si>
    <t>Mi-rouge mi-fuchsia clair.521 délavé.036</t>
  </si>
  <si>
    <t>MistyRose</t>
  </si>
  <si>
    <t>Rouge lég. orange clair.758</t>
  </si>
  <si>
    <t>Violet rougeâtre franc</t>
  </si>
  <si>
    <t>Fuchsia lég. magenta foncé.567 délavé.379</t>
  </si>
  <si>
    <t>Rose violacé brillant</t>
  </si>
  <si>
    <t>Mi-rouge mi-fuchsia clair.586</t>
  </si>
  <si>
    <t>Saumon 2</t>
  </si>
  <si>
    <t>Rouge lég. orange foncé.014 délavé.259</t>
  </si>
  <si>
    <t>Violet rougeâtre grisâtre</t>
  </si>
  <si>
    <t>Fuchsia lég. magenta foncé.632 délavé.723</t>
  </si>
  <si>
    <t>LavenderBlush</t>
  </si>
  <si>
    <t>Mi-rouge mi-fuchsia clair.875</t>
  </si>
  <si>
    <t>Corail 2</t>
  </si>
  <si>
    <t>Rouge lég. orange foncé.057 délavé.179</t>
  </si>
  <si>
    <t>Violine</t>
  </si>
  <si>
    <t>Fuchsia lég. magenta foncé.633 délavé.009</t>
  </si>
  <si>
    <t>Rose violacé moyen</t>
  </si>
  <si>
    <t>Mi-rouge mi-fuchsia foncé.009 délavé.642</t>
  </si>
  <si>
    <t>Carotte</t>
  </si>
  <si>
    <t>Rouge lég. orange foncé.082 délavé.025</t>
  </si>
  <si>
    <t>Violet d'évêque</t>
  </si>
  <si>
    <t>Fuchsia lég. magenta foncé.774 délavé.449</t>
  </si>
  <si>
    <t>VioletRouge 2</t>
  </si>
  <si>
    <t>Mi-rouge mi-fuchsia foncé.097 délavé.099</t>
  </si>
  <si>
    <t>Sienne 2</t>
  </si>
  <si>
    <t>Rouge lég. orange foncé.084 délavé.125</t>
  </si>
  <si>
    <t>Colombin (vieilli)</t>
  </si>
  <si>
    <t>Fuchsia lég. magenta foncé.787 délavé.588</t>
  </si>
  <si>
    <t xml:space="preserve">PaleVioletRouge </t>
  </si>
  <si>
    <t>Mi-rouge mi-fuchsia foncé.117 délavé.382</t>
  </si>
  <si>
    <t>chocolate2</t>
  </si>
  <si>
    <t>Rouge lég. orange foncé.126 délavé.036</t>
  </si>
  <si>
    <t>Rose bonbon</t>
  </si>
  <si>
    <t>Fuchsia lég. rouge clair.006 délavé.103</t>
  </si>
  <si>
    <t>Profond Rose 2</t>
  </si>
  <si>
    <t>Mi-rouge mi-fuchsia foncé.135 délavé.014</t>
  </si>
  <si>
    <t>Orange rougeâtre vif</t>
  </si>
  <si>
    <t>Rouge lég. orange foncé.217 délavé.043</t>
  </si>
  <si>
    <t>HotRose 2</t>
  </si>
  <si>
    <t>Fuchsia lég. rouge clair.009 délavé.285</t>
  </si>
  <si>
    <t>PaleVioletRouge 3</t>
  </si>
  <si>
    <t>Mi-rouge mi-fuchsia foncé.238 délavé.379</t>
  </si>
  <si>
    <t>Rose jaunâtre foncé</t>
  </si>
  <si>
    <t>Rouge lég. orange foncé.241 délavé.523</t>
  </si>
  <si>
    <t xml:space="preserve">Spicy Rose </t>
  </si>
  <si>
    <t>Fuchsia lég. rouge clair.012</t>
  </si>
  <si>
    <t>Rose violacé foncé</t>
  </si>
  <si>
    <t>Mi-rouge mi-fuchsia foncé.242 délavé.570</t>
  </si>
  <si>
    <t>Orange rougeâtre franc</t>
  </si>
  <si>
    <t>Rouge lég. orange foncé.254 délavé.123</t>
  </si>
  <si>
    <t>Marron 1</t>
  </si>
  <si>
    <t>Fuchsia lég. rouge clair.036</t>
  </si>
  <si>
    <t>Magenta fushia (encre)</t>
  </si>
  <si>
    <t>Mi-rouge mi-fuchsia foncé.285</t>
  </si>
  <si>
    <t>léger Saumon 3</t>
  </si>
  <si>
    <t>Rouge lég. orange foncé.254 délavé.342</t>
  </si>
  <si>
    <t>Cuisse de nymphe émue</t>
  </si>
  <si>
    <t>Fuchsia lég. rouge clair.147</t>
  </si>
  <si>
    <t>Rouge violacé vif</t>
  </si>
  <si>
    <t>Mi-rouge mi-fuchsia foncé.311 délavé.187</t>
  </si>
  <si>
    <t>Saumon 3</t>
  </si>
  <si>
    <t>Rouge lég. orange foncé.289 délavé.261</t>
  </si>
  <si>
    <t>HotRose 1</t>
  </si>
  <si>
    <t>Fuchsia lég. rouge clair.162</t>
  </si>
  <si>
    <t>VioletRouge 3</t>
  </si>
  <si>
    <t>Mi-rouge mi-fuchsia foncé.348 délavé.103</t>
  </si>
  <si>
    <t>Orange rougeâtre moyen</t>
  </si>
  <si>
    <t>Rouge lég. orange foncé.309 délavé.250</t>
  </si>
  <si>
    <t>Rose violacé pâle</t>
  </si>
  <si>
    <t>Fuchsia lég. rouge clair.423 délavé.654</t>
  </si>
  <si>
    <t>Profond Rose 3</t>
  </si>
  <si>
    <t>Mi-rouge mi-fuchsia foncé.377 délavé.017</t>
  </si>
  <si>
    <t>Corail 3</t>
  </si>
  <si>
    <t>Rouge lég. orange foncé.319 délavé.184</t>
  </si>
  <si>
    <t>Blanc violacé</t>
  </si>
  <si>
    <t>Fuchsia lég. rouge clair.585 délavé.908</t>
  </si>
  <si>
    <t>Rouge violacé franc</t>
  </si>
  <si>
    <t>Mi-rouge mi-fuchsia foncé.480 délavé.233</t>
  </si>
  <si>
    <t>Rouge clair grisâtre</t>
  </si>
  <si>
    <t>Rouge lég. orange foncé.335 délavé.717</t>
  </si>
  <si>
    <t>LavenderBlush2</t>
  </si>
  <si>
    <t>Fuchsia lég. rouge clair.610 délavé.725</t>
  </si>
  <si>
    <t>Rouge violacé moyen</t>
  </si>
  <si>
    <t>Mi-rouge mi-fuchsia foncé.513 délavé.354</t>
  </si>
  <si>
    <t>Sienne 3</t>
  </si>
  <si>
    <t>Rouge lég. orange foncé.339 délavé.130</t>
  </si>
  <si>
    <t>Cuisse de nymphe</t>
  </si>
  <si>
    <t>Fuchsia lég. rouge clair.795 délavé.085</t>
  </si>
  <si>
    <t>Mi-rouge mi-fuchsia foncé.526 délavé.131</t>
  </si>
  <si>
    <t>Orange brûlée</t>
  </si>
  <si>
    <t>Rouge lég. orange foncé.388</t>
  </si>
  <si>
    <t>Rose violacé grisâtre</t>
  </si>
  <si>
    <t>Fuchsia lég. rouge foncé.056 délavé.827</t>
  </si>
  <si>
    <t>Rouge violacé grisâtre</t>
  </si>
  <si>
    <t>Mi-rouge mi-fuchsia foncé.589 délavé.582</t>
  </si>
  <si>
    <t>Orange rougeâtre grisâtre</t>
  </si>
  <si>
    <t>Rouge lég. orange foncé.418 délavé.402</t>
  </si>
  <si>
    <t>Rose violacé profond</t>
  </si>
  <si>
    <t>Fuchsia lég. rouge foncé.098 délavé.367</t>
  </si>
  <si>
    <t>PaleVioletRouge 4</t>
  </si>
  <si>
    <t>Mi-rouge mi-fuchsia foncé.667 délavé.398</t>
  </si>
  <si>
    <t>Brun rougeâtre clair</t>
  </si>
  <si>
    <t>Rouge lég. orange foncé.440 délavé.569</t>
  </si>
  <si>
    <t>Marron 2</t>
  </si>
  <si>
    <t>Fuchsia lég. rouge foncé.110 délavé.070</t>
  </si>
  <si>
    <t>VioletRouge 4</t>
  </si>
  <si>
    <t>Mi-rouge mi-fuchsia foncé.717 délavé.118</t>
  </si>
  <si>
    <t>Gris rougeâtre</t>
  </si>
  <si>
    <t>Rouge lég. orange foncé.497 délavé.874</t>
  </si>
  <si>
    <t>HotRose 3</t>
  </si>
  <si>
    <t>Fuchsia lég. rouge foncé.260 délavé.330</t>
  </si>
  <si>
    <t>Profond Rose 4</t>
  </si>
  <si>
    <t>Mi-rouge mi-fuchsia foncé.731 délavé.022</t>
  </si>
  <si>
    <t>MistyRose4</t>
  </si>
  <si>
    <t>Rouge lég. orange foncé.528 délavé.871</t>
  </si>
  <si>
    <t>Rose balais (minéraux)</t>
  </si>
  <si>
    <t>Fuchsia lég. rouge foncé.292 délavé.416</t>
  </si>
  <si>
    <t>Rouge violacé foncé</t>
  </si>
  <si>
    <t>Mi-rouge mi-fuchsia foncé.826 délavé.371</t>
  </si>
  <si>
    <t>Rouge tomette</t>
  </si>
  <si>
    <t>Rouge lég. orange foncé.532 délavé.154</t>
  </si>
  <si>
    <t xml:space="preserve">VioletRouge </t>
  </si>
  <si>
    <t>Fuchsia lég. rouge foncé.347 délavé.046</t>
  </si>
  <si>
    <t>Rouge très foncé</t>
  </si>
  <si>
    <t>Mi-rouge mi-fuchsia foncé.939 délavé.287</t>
  </si>
  <si>
    <t>Ambre rouge</t>
  </si>
  <si>
    <t>Rouge lég. orange foncé.569 délavé.020</t>
  </si>
  <si>
    <t>Rouge magenta ou rouge primaire</t>
  </si>
  <si>
    <t>Fuchsia lég. rouge foncé.413 délavé.026</t>
  </si>
  <si>
    <t>Noir rougeâtre</t>
  </si>
  <si>
    <t>Mi-rouge mi-fuchsia foncé.963 délavé.807</t>
  </si>
  <si>
    <t>Aquilain (chevaux)</t>
  </si>
  <si>
    <t>Rouge lég. orange foncé.570 délavé.012</t>
  </si>
  <si>
    <t>LavenderBlush4</t>
  </si>
  <si>
    <t>Fuchsia lég. rouge foncé.499 délavé.937</t>
  </si>
  <si>
    <t>Mi-rouge mi-orange</t>
  </si>
  <si>
    <t>Rouge lég. orange foncé.612 délavé.142</t>
  </si>
  <si>
    <t>HotRose 4</t>
  </si>
  <si>
    <t>Fuchsia lég. rouge foncé.689 délavé.286</t>
  </si>
  <si>
    <t>SombreOrange</t>
  </si>
  <si>
    <t>Orange rougeâtre foncé</t>
  </si>
  <si>
    <t>Rouge lég. orange foncé.616 délavé.174</t>
  </si>
  <si>
    <t>Prune</t>
  </si>
  <si>
    <t>Fuchsia lég. rouge foncé.766 délavé.061</t>
  </si>
  <si>
    <t>Gris rosé</t>
  </si>
  <si>
    <t>Mi-rouge mi-orange clair.001 délavé.918</t>
  </si>
  <si>
    <t>Feuille-morte</t>
  </si>
  <si>
    <t>Rouge lég. orange foncé.647 délavé.144</t>
  </si>
  <si>
    <t>Rouge violacé profond</t>
  </si>
  <si>
    <t>Fuchsia lég. rouge foncé.796 délavé.092</t>
  </si>
  <si>
    <t>Orange brillant</t>
  </si>
  <si>
    <t>Mi-rouge mi-orange clair.035 délavé.036</t>
  </si>
  <si>
    <t>Auburn (cheveux)</t>
  </si>
  <si>
    <t>Rouge lég. orange foncé.650 délavé.021</t>
  </si>
  <si>
    <t>Étain oxydé</t>
  </si>
  <si>
    <t>Gris</t>
  </si>
  <si>
    <t>Saumon</t>
  </si>
  <si>
    <t>Mi-rouge mi-orange clair.035 délavé.124</t>
  </si>
  <si>
    <t>léger Saumon 4</t>
  </si>
  <si>
    <t>Rouge lég. orange foncé.676 délavé.354</t>
  </si>
  <si>
    <t>gris 73</t>
  </si>
  <si>
    <t>Gris clair.011</t>
  </si>
  <si>
    <t>Carnation (héraldique)</t>
  </si>
  <si>
    <t>Mi-rouge mi-orange clair.413 délavé.030</t>
  </si>
  <si>
    <t>Saumon 4</t>
  </si>
  <si>
    <t>Rouge lég. orange foncé.691 délavé.278</t>
  </si>
  <si>
    <t>gris 74</t>
  </si>
  <si>
    <t>Gris clair.035</t>
  </si>
  <si>
    <t>Blanc rosé</t>
  </si>
  <si>
    <t>Mi-rouge mi-orange clair.585 délavé.835</t>
  </si>
  <si>
    <t>Corail 4</t>
  </si>
  <si>
    <t>Rouge lég. orange foncé.704 délavé.201</t>
  </si>
  <si>
    <t xml:space="preserve">gris </t>
  </si>
  <si>
    <t>Gris clair.047</t>
  </si>
  <si>
    <t>Coquille d'œuf</t>
  </si>
  <si>
    <t>Mi-rouge mi-orange clair.734 délavé.130</t>
  </si>
  <si>
    <t>Senois (héraldique)</t>
  </si>
  <si>
    <t>Rouge lég. orange foncé.707 délavé.126</t>
  </si>
  <si>
    <t>gris 75</t>
  </si>
  <si>
    <t>Gris clair.059</t>
  </si>
  <si>
    <t>Rose jaunâtre grisâtre</t>
  </si>
  <si>
    <t>Mi-rouge mi-orange foncé.046 délavé.786</t>
  </si>
  <si>
    <t>Tomate 4</t>
  </si>
  <si>
    <t>Rouge lég. orange foncé.713 délavé.141</t>
  </si>
  <si>
    <t>gris , Silver</t>
  </si>
  <si>
    <t>Gris clair.071</t>
  </si>
  <si>
    <t>Orange vif</t>
  </si>
  <si>
    <t>Mi-rouge mi-orange foncé.101</t>
  </si>
  <si>
    <t>Sienne 4</t>
  </si>
  <si>
    <t>gris 76</t>
  </si>
  <si>
    <t>Gris clair.096</t>
  </si>
  <si>
    <t>Tan</t>
  </si>
  <si>
    <t>Mi-rouge mi-orange foncé.117 délavé.382</t>
  </si>
  <si>
    <t>Acajou</t>
  </si>
  <si>
    <t>Rouge lég. orange foncé.733 délavé.095</t>
  </si>
  <si>
    <t>gris 77</t>
  </si>
  <si>
    <t>Gris clair.121</t>
  </si>
  <si>
    <t>Orange franc</t>
  </si>
  <si>
    <t>Mi-rouge mi-orange foncé.122 délavé.063</t>
  </si>
  <si>
    <t>Brun rougeâtre franc</t>
  </si>
  <si>
    <t>Rouge lég. orange foncé.737 délavé.067</t>
  </si>
  <si>
    <t>gris 78</t>
  </si>
  <si>
    <t>Gris clair.158</t>
  </si>
  <si>
    <t>SombreOrange2</t>
  </si>
  <si>
    <t>Mi-rouge mi-orange foncé.142</t>
  </si>
  <si>
    <t>Brique</t>
  </si>
  <si>
    <t>Rouge lég. orange foncé.750 délavé.090</t>
  </si>
  <si>
    <t>gris 79</t>
  </si>
  <si>
    <t>Gris clair.184</t>
  </si>
  <si>
    <t>Orange</t>
  </si>
  <si>
    <t>Mi-rouge mi-orange foncé.144 délavé.012</t>
  </si>
  <si>
    <t>Brun rougeâtre moyen</t>
  </si>
  <si>
    <t>Rouge lég. orange foncé.756 délavé.376</t>
  </si>
  <si>
    <t>Pinchard (chevaux vieilli)</t>
  </si>
  <si>
    <t>Gris clair.223</t>
  </si>
  <si>
    <t>Feldspath</t>
  </si>
  <si>
    <t>Mi-rouge mi-orange foncé.170 délavé.445</t>
  </si>
  <si>
    <t>Caramel</t>
  </si>
  <si>
    <t>Rouge lég. orange foncé.784</t>
  </si>
  <si>
    <t xml:space="preserve">Very léger gris </t>
  </si>
  <si>
    <t>Gris clair.236</t>
  </si>
  <si>
    <t>Abricot</t>
  </si>
  <si>
    <t>Mi-rouge mi-orange foncé.173 délavé.075</t>
  </si>
  <si>
    <t>Brun rougeâtre grisâtre</t>
  </si>
  <si>
    <t>Rouge lég. orange foncé.792 délavé.638</t>
  </si>
  <si>
    <t>Gris perle</t>
  </si>
  <si>
    <t>Gris clair.250</t>
  </si>
  <si>
    <t>Orange moyen</t>
  </si>
  <si>
    <t>Mi-rouge mi-orange foncé.197 délavé.255</t>
  </si>
  <si>
    <t>Gris brunâtre</t>
  </si>
  <si>
    <t>Rouge lég. orange foncé.809 délavé.857</t>
  </si>
  <si>
    <t>gris 81</t>
  </si>
  <si>
    <t>Gris clair.263</t>
  </si>
  <si>
    <t>Citrouille</t>
  </si>
  <si>
    <t>Mi-rouge mi-orange foncé.249 délavé.019</t>
  </si>
  <si>
    <t>Colorado (cigare)</t>
  </si>
  <si>
    <t>Rouge lég. orange foncé.823 délavé.093</t>
  </si>
  <si>
    <t>gris 82</t>
  </si>
  <si>
    <t>Gris clair.290</t>
  </si>
  <si>
    <t>chocolate</t>
  </si>
  <si>
    <t>Mi-rouge mi-orange foncé.335 délavé.040</t>
  </si>
  <si>
    <t>Brun rougeâtre foncé grisâtre</t>
  </si>
  <si>
    <t>Rouge lég. orange foncé.912 délavé.654</t>
  </si>
  <si>
    <t xml:space="preserve">léger gris </t>
  </si>
  <si>
    <t>Gris clair.317</t>
  </si>
  <si>
    <t>Mi-rouge mi-orange foncé.348 délavé.103</t>
  </si>
  <si>
    <t>Vert primaire</t>
  </si>
  <si>
    <t>Vert</t>
  </si>
  <si>
    <t>gris 83</t>
  </si>
  <si>
    <t>Gris clair.331</t>
  </si>
  <si>
    <t>chocolate3</t>
  </si>
  <si>
    <t>Mi-rouge mi-orange foncé.369 délavé.040</t>
  </si>
  <si>
    <t>Vert jade</t>
  </si>
  <si>
    <t>Vert clair.069 délavé.389</t>
  </si>
  <si>
    <t>gris 84</t>
  </si>
  <si>
    <t>Gris clair.359</t>
  </si>
  <si>
    <t>SombreOrange3</t>
  </si>
  <si>
    <t>Mi-rouge mi-orange foncé.382</t>
  </si>
  <si>
    <t>Palevert2</t>
  </si>
  <si>
    <t>Vert clair.146 délavé.331</t>
  </si>
  <si>
    <t>gris 85</t>
  </si>
  <si>
    <t>Gris clair.401</t>
  </si>
  <si>
    <t>Orange profond</t>
  </si>
  <si>
    <t>Mi-rouge mi-orange foncé.468 délavé.031</t>
  </si>
  <si>
    <t>honeydew3</t>
  </si>
  <si>
    <t>Vert clair.160 délavé.909</t>
  </si>
  <si>
    <t>gris 86</t>
  </si>
  <si>
    <t>Gris clair.429</t>
  </si>
  <si>
    <t>copper</t>
  </si>
  <si>
    <t>Mi-rouge mi-orange foncé.477 délavé.133</t>
  </si>
  <si>
    <t>Palevert</t>
  </si>
  <si>
    <t>Vert clair.288 délavé.097</t>
  </si>
  <si>
    <t>gainsboro</t>
  </si>
  <si>
    <t>Gris clair.444</t>
  </si>
  <si>
    <t>Brun rougeâtre clair grisâtre</t>
  </si>
  <si>
    <t>Mi-rouge mi-orange foncé.504 délavé.718</t>
  </si>
  <si>
    <t>Sombre marin vert2</t>
  </si>
  <si>
    <t>Vert clair.324 délavé.419</t>
  </si>
  <si>
    <t>gris 86/87</t>
  </si>
  <si>
    <t>Gris clair.458</t>
  </si>
  <si>
    <t>Orange brunâtre</t>
  </si>
  <si>
    <t>Mi-rouge mi-orange foncé.526 délavé.175</t>
  </si>
  <si>
    <t>Palevert1</t>
  </si>
  <si>
    <t>Vert clair.332</t>
  </si>
  <si>
    <t>gris 87</t>
  </si>
  <si>
    <t>Gris clair.473</t>
  </si>
  <si>
    <t>Cuivre</t>
  </si>
  <si>
    <t>Mi-rouge mi-orange foncé.540</t>
  </si>
  <si>
    <t>Sombre marin vert1</t>
  </si>
  <si>
    <t>Vert clair.542</t>
  </si>
  <si>
    <t>gris 88</t>
  </si>
  <si>
    <t>Gris clair.502</t>
  </si>
  <si>
    <t>Baillet (chevaux vieilli)</t>
  </si>
  <si>
    <t>Mi-rouge mi-orange foncé.540 délavé.120</t>
  </si>
  <si>
    <t>honeydew2</t>
  </si>
  <si>
    <t>Vert clair.610 délavé.725</t>
  </si>
  <si>
    <t>gris 89</t>
  </si>
  <si>
    <t>Gris clair.547</t>
  </si>
  <si>
    <t>Alezan (chevaux)</t>
  </si>
  <si>
    <t>Mi-rouge mi-orange foncé.584 délavé.097</t>
  </si>
  <si>
    <t>honeydew</t>
  </si>
  <si>
    <t>Vert clair.875</t>
  </si>
  <si>
    <t>gris 90</t>
  </si>
  <si>
    <t>Gris clair.577</t>
  </si>
  <si>
    <t>Sombre Tan</t>
  </si>
  <si>
    <t>Mi-rouge mi-orange foncé.600 délavé.410</t>
  </si>
  <si>
    <t>Sombre marin vert3</t>
  </si>
  <si>
    <t>Vert foncé.045 délavé.705</t>
  </si>
  <si>
    <t>gris 91</t>
  </si>
  <si>
    <t>Gris clair.623</t>
  </si>
  <si>
    <t>Tanné (héraldique)</t>
  </si>
  <si>
    <t>Mi-rouge mi-orange foncé.604 délavé.003</t>
  </si>
  <si>
    <t>Free Speech vert</t>
  </si>
  <si>
    <t>Vert foncé.049 délavé.005</t>
  </si>
  <si>
    <t>gris 92</t>
  </si>
  <si>
    <t>Gris clair.670</t>
  </si>
  <si>
    <t>Tabac</t>
  </si>
  <si>
    <t>Mi-rouge mi-orange foncé.631 délavé.073</t>
  </si>
  <si>
    <t>Vert perroquet</t>
  </si>
  <si>
    <t>Vert foncé.065 délavé.095</t>
  </si>
  <si>
    <t>Étain pur</t>
  </si>
  <si>
    <t>Gris clair.701</t>
  </si>
  <si>
    <t>Rouille</t>
  </si>
  <si>
    <t>Mi-rouge mi-orange foncé.669 délavé.053</t>
  </si>
  <si>
    <t>Vert jaunâtre brillant</t>
  </si>
  <si>
    <t>Vert foncé.129 délavé.488</t>
  </si>
  <si>
    <t>gris 93</t>
  </si>
  <si>
    <t>Gris clair.717</t>
  </si>
  <si>
    <t>Noisette</t>
  </si>
  <si>
    <t>Mi-rouge mi-orange foncé.669 délavé.134</t>
  </si>
  <si>
    <t>Vert jaunâtre clair</t>
  </si>
  <si>
    <t>Vert foncé.137 délavé.686</t>
  </si>
  <si>
    <t>Argile kaolin</t>
  </si>
  <si>
    <t>Gris clair.733</t>
  </si>
  <si>
    <t>Terre de Sienne</t>
  </si>
  <si>
    <t>Mi-rouge mi-orange foncé.685 délavé.229</t>
  </si>
  <si>
    <t>vert2</t>
  </si>
  <si>
    <t>Vert foncé.142</t>
  </si>
  <si>
    <t>gris 94</t>
  </si>
  <si>
    <t>Gris clair.749</t>
  </si>
  <si>
    <t>Sombre Wood</t>
  </si>
  <si>
    <t>Mi-rouge mi-orange foncé.700 délavé.382</t>
  </si>
  <si>
    <t>Palevert3</t>
  </si>
  <si>
    <t>Vert foncé.173 délavé.505</t>
  </si>
  <si>
    <t>gris 95</t>
  </si>
  <si>
    <t>Gris clair.781</t>
  </si>
  <si>
    <t>Claro (cigare)</t>
  </si>
  <si>
    <t>Mi-rouge mi-orange foncé.715 délavé.323</t>
  </si>
  <si>
    <t>Pale vert</t>
  </si>
  <si>
    <t>Vert foncé.205 délavé.712</t>
  </si>
  <si>
    <t>Fumée blanche</t>
  </si>
  <si>
    <t>Gris clair.831</t>
  </si>
  <si>
    <t xml:space="preserve">SaddleBrun </t>
  </si>
  <si>
    <t>Mi-rouge mi-orange foncé.727 délavé.048</t>
  </si>
  <si>
    <t>Vert de gris</t>
  </si>
  <si>
    <t>Vert foncé.306 délavé.890</t>
  </si>
  <si>
    <t>gris 97</t>
  </si>
  <si>
    <t>Gris clair.864</t>
  </si>
  <si>
    <t>SombreOrange4</t>
  </si>
  <si>
    <t>Mi-rouge mi-orange foncé.734</t>
  </si>
  <si>
    <t>Limevert</t>
  </si>
  <si>
    <t>Vert foncé.348 délavé.103</t>
  </si>
  <si>
    <t>gris 98</t>
  </si>
  <si>
    <t>Gris clair.914</t>
  </si>
  <si>
    <t>Brun franc</t>
  </si>
  <si>
    <t>Mi-rouge mi-orange foncé.765 délavé.096</t>
  </si>
  <si>
    <t>vert3</t>
  </si>
  <si>
    <t>Vert foncé.382</t>
  </si>
  <si>
    <t>gris 99</t>
  </si>
  <si>
    <t>Gris clair.948</t>
  </si>
  <si>
    <t>Brun moyen</t>
  </si>
  <si>
    <t>Mi-rouge mi-orange foncé.794 délavé.391</t>
  </si>
  <si>
    <t>Vert pomme</t>
  </si>
  <si>
    <t>Vert foncé.390 délavé.060</t>
  </si>
  <si>
    <t>Albâtre</t>
  </si>
  <si>
    <t>Gris clair.983</t>
  </si>
  <si>
    <t>Brun grisâtre</t>
  </si>
  <si>
    <t>Mi-rouge mi-orange foncé.804 délavé.674</t>
  </si>
  <si>
    <t>honeydew4</t>
  </si>
  <si>
    <t>Vert foncé.499 délavé.937</t>
  </si>
  <si>
    <t>gris 72</t>
  </si>
  <si>
    <t>Gris foncé.024</t>
  </si>
  <si>
    <t>Semi-Sweet Chocolate</t>
  </si>
  <si>
    <t>Mi-rouge mi-orange foncé.827 délavé.234</t>
  </si>
  <si>
    <t>Vert jaunâtre moyen</t>
  </si>
  <si>
    <t>Vert foncé.563 délavé.647</t>
  </si>
  <si>
    <t>gris 71</t>
  </si>
  <si>
    <t>Gris foncé.058</t>
  </si>
  <si>
    <t xml:space="preserve">Very Sombre Brun </t>
  </si>
  <si>
    <t>Mi-rouge mi-orange foncé.853 délavé.474</t>
  </si>
  <si>
    <t>Sombre marin vert4</t>
  </si>
  <si>
    <t>Vert foncé.586 délavé.712</t>
  </si>
  <si>
    <t>gris 70</t>
  </si>
  <si>
    <t>Gris foncé.081</t>
  </si>
  <si>
    <t>Chocolat</t>
  </si>
  <si>
    <t>Mi-rouge mi-orange foncé.876 délavé.269</t>
  </si>
  <si>
    <t>Vert jaunâtre franc</t>
  </si>
  <si>
    <t>Vert foncé.635 délavé.332</t>
  </si>
  <si>
    <t>gris 69</t>
  </si>
  <si>
    <t>Gris foncé.114</t>
  </si>
  <si>
    <t>baker's chocolate</t>
  </si>
  <si>
    <t>Mi-rouge mi-orange foncé.879 délavé.145</t>
  </si>
  <si>
    <t>Palevert4</t>
  </si>
  <si>
    <t>Vert foncé.641 délavé.517</t>
  </si>
  <si>
    <t>Gris acier</t>
  </si>
  <si>
    <t>Gris foncé.125</t>
  </si>
  <si>
    <t>Brun profond</t>
  </si>
  <si>
    <t>Mi-rouge mi-orange foncé.885 délavé.174</t>
  </si>
  <si>
    <t>Sinople (héraldique)</t>
  </si>
  <si>
    <t>Vert foncé.688 délavé.045</t>
  </si>
  <si>
    <t>gris 68</t>
  </si>
  <si>
    <t>Gris foncé.146</t>
  </si>
  <si>
    <t>Marron</t>
  </si>
  <si>
    <t>Mi-rouge mi-orange foncé.898</t>
  </si>
  <si>
    <t>Forest vert, Khaki, Moyen Aquamarine</t>
  </si>
  <si>
    <t>Vert foncé.704 délavé.118</t>
  </si>
  <si>
    <t>gris 67</t>
  </si>
  <si>
    <t>Gris foncé.167</t>
  </si>
  <si>
    <t>Brun sombre grisâtre</t>
  </si>
  <si>
    <t>Mi-rouge mi-orange foncé.923 délavé.685</t>
  </si>
  <si>
    <t>Forestvert</t>
  </si>
  <si>
    <t>Vert foncé.717 délavé.118</t>
  </si>
  <si>
    <t>gris 66</t>
  </si>
  <si>
    <t>Gris foncé.199</t>
  </si>
  <si>
    <t>Brun foncé</t>
  </si>
  <si>
    <t>Mi-rouge mi-orange foncé.933 délavé.281</t>
  </si>
  <si>
    <t>vert4</t>
  </si>
  <si>
    <t>Vert foncé.734</t>
  </si>
  <si>
    <t>gris 65</t>
  </si>
  <si>
    <t>Gris foncé.219</t>
  </si>
  <si>
    <t>Brou de noix</t>
  </si>
  <si>
    <t>Mi-rouge mi-orange foncé.947 délavé.043</t>
  </si>
  <si>
    <t>vert</t>
  </si>
  <si>
    <t>Vert foncé.777</t>
  </si>
  <si>
    <t>gris 64</t>
  </si>
  <si>
    <t>Gris foncé.250</t>
  </si>
  <si>
    <t>Noir brunâtre</t>
  </si>
  <si>
    <t>Mi-rouge mi-orange foncé.966 délavé.702</t>
  </si>
  <si>
    <t>Moyen marin vert</t>
  </si>
  <si>
    <t>Vert foncé.777 délavé.514</t>
  </si>
  <si>
    <t>gris 63</t>
  </si>
  <si>
    <t>Gris foncé.269</t>
  </si>
  <si>
    <t>Cachou</t>
  </si>
  <si>
    <t>Mi-rouge mi-orange foncé.967 délavé.215</t>
  </si>
  <si>
    <t>Vert de vessie</t>
  </si>
  <si>
    <t>Vert foncé.800 délavé.048</t>
  </si>
  <si>
    <t>Gris souris</t>
  </si>
  <si>
    <t>Gris foncé.298</t>
  </si>
  <si>
    <t>chartreuse</t>
  </si>
  <si>
    <t>Mi-vert mi-chartreuse</t>
  </si>
  <si>
    <t>Vert bouteille</t>
  </si>
  <si>
    <t>Vert foncé.847 délavé.034</t>
  </si>
  <si>
    <t>gris 61</t>
  </si>
  <si>
    <t>Gris foncé.317</t>
  </si>
  <si>
    <t>Lawnvert</t>
  </si>
  <si>
    <t>Mi-vert mi-chartreuse foncé.026</t>
  </si>
  <si>
    <t>Sombre vert</t>
  </si>
  <si>
    <t>Vert foncé.867</t>
  </si>
  <si>
    <t>gris 60</t>
  </si>
  <si>
    <t>Gris foncé.345</t>
  </si>
  <si>
    <t>chartreuse2</t>
  </si>
  <si>
    <t>Mi-vert mi-chartreuse foncé.142</t>
  </si>
  <si>
    <t>Vert foncé.888 délavé.533</t>
  </si>
  <si>
    <t>gris 59</t>
  </si>
  <si>
    <t>Gris foncé.373</t>
  </si>
  <si>
    <t>Vert absinthe</t>
  </si>
  <si>
    <t>Mi-vert mi-chartreuse foncé.195 délavé.188</t>
  </si>
  <si>
    <t>Vert jaunâtre très clair</t>
  </si>
  <si>
    <t>Vert lég. chartreuse clair.226 délavé.547</t>
  </si>
  <si>
    <t>gris 58</t>
  </si>
  <si>
    <t>Gris foncé.391</t>
  </si>
  <si>
    <t>chartreuse3</t>
  </si>
  <si>
    <t>Mi-vert mi-chartreuse foncé.382</t>
  </si>
  <si>
    <t>Vert lichen</t>
  </si>
  <si>
    <t>Vert lég. chartreuse foncé.242 délavé.570</t>
  </si>
  <si>
    <t>gris 57</t>
  </si>
  <si>
    <t>Gris foncé.417</t>
  </si>
  <si>
    <t>chartreuse4</t>
  </si>
  <si>
    <t>Mi-vert mi-chartreuse foncé.734</t>
  </si>
  <si>
    <t>Vert prairie</t>
  </si>
  <si>
    <t>Vert lég. chartreuse foncé.282 délavé.128</t>
  </si>
  <si>
    <t>gris 56</t>
  </si>
  <si>
    <t>Gris foncé.434</t>
  </si>
  <si>
    <t>Vert jaune profond</t>
  </si>
  <si>
    <t>Mi-vert mi-chartreuse foncé.805 délavé.238</t>
  </si>
  <si>
    <t>Vert amande</t>
  </si>
  <si>
    <t>Vert lég. chartreuse foncé.284 délavé.436</t>
  </si>
  <si>
    <t>gris 55</t>
  </si>
  <si>
    <t>Gris foncé.459</t>
  </si>
  <si>
    <t>Vert printemps</t>
  </si>
  <si>
    <t>Mi-vert mi-émeraude</t>
  </si>
  <si>
    <t>Vert mousse</t>
  </si>
  <si>
    <t>Vert lég. chartreuse foncé.537 délavé.463</t>
  </si>
  <si>
    <t>gris 54</t>
  </si>
  <si>
    <t>Gris foncé.475</t>
  </si>
  <si>
    <t>Vert menthe à l'eau</t>
  </si>
  <si>
    <t>Mi-vert mi-émeraude clair.042 délavé.107</t>
  </si>
  <si>
    <t>Vert gazon ou herbe</t>
  </si>
  <si>
    <t>Vert lég. chartreuse foncé.636 délavé.096</t>
  </si>
  <si>
    <t>Gris foncé.492</t>
  </si>
  <si>
    <t>marin vert1</t>
  </si>
  <si>
    <t>Mi-vert mi-émeraude clair.093</t>
  </si>
  <si>
    <t>Vert de Hooker</t>
  </si>
  <si>
    <t>Vert lég. chartreuse foncé.916 délavé.055</t>
  </si>
  <si>
    <t>gris 53</t>
  </si>
  <si>
    <t>Gris foncé.499</t>
  </si>
  <si>
    <t>Mi-vert mi-émeraude foncé.009</t>
  </si>
  <si>
    <t>Vert olive foncé</t>
  </si>
  <si>
    <t>Vert lég. chartreuse foncé.931 délavé.584</t>
  </si>
  <si>
    <t>gris 52</t>
  </si>
  <si>
    <t>Gris foncé.515</t>
  </si>
  <si>
    <t>Gris verdâtre clair</t>
  </si>
  <si>
    <t>Mi-vert mi-émeraude foncé.022 délavé.929</t>
  </si>
  <si>
    <t>Vert d'eau</t>
  </si>
  <si>
    <t>Vert lég. émeraude clair.334 délavé.328</t>
  </si>
  <si>
    <t>Fer (héraldique)</t>
  </si>
  <si>
    <t>Gris foncé.523</t>
  </si>
  <si>
    <t>marin vert2</t>
  </si>
  <si>
    <t>Mi-vert mi-émeraude foncé.062 délavé.170</t>
  </si>
  <si>
    <t>Vert émeraude ou Smaragdin</t>
  </si>
  <si>
    <t>Vert lég. émeraude foncé.313 délavé.001</t>
  </si>
  <si>
    <t>gris 51</t>
  </si>
  <si>
    <t>Gris foncé.538</t>
  </si>
  <si>
    <t>Aquamarine</t>
  </si>
  <si>
    <t>Mi-vert mi-émeraude foncé.117 délavé.382</t>
  </si>
  <si>
    <t>Vert menthe</t>
  </si>
  <si>
    <t>Vert lég. émeraude foncé.504 délavé.033</t>
  </si>
  <si>
    <t>Gris fer</t>
  </si>
  <si>
    <t>Gris foncé.560</t>
  </si>
  <si>
    <t>Printempsvert2</t>
  </si>
  <si>
    <t>Mi-vert mi-émeraude foncé.142</t>
  </si>
  <si>
    <t>Vert sauge</t>
  </si>
  <si>
    <t>Vert lég. émeraude foncé.510 délavé.589</t>
  </si>
  <si>
    <t>gris 49</t>
  </si>
  <si>
    <t>Gris foncé.575</t>
  </si>
  <si>
    <t>marin vert3</t>
  </si>
  <si>
    <t>Mi-vert mi-émeraude foncé.323 délavé.174</t>
  </si>
  <si>
    <t>Vert jaunâtre vif</t>
  </si>
  <si>
    <t>Vert lég. émeraude foncé.588 délavé.103</t>
  </si>
  <si>
    <t>gris 48</t>
  </si>
  <si>
    <t>Gris foncé.596</t>
  </si>
  <si>
    <t>Printempsvert3</t>
  </si>
  <si>
    <t>Mi-vert mi-émeraude foncé.382</t>
  </si>
  <si>
    <t>Vert jaunâtre foncé</t>
  </si>
  <si>
    <t>Vert lég. émeraude foncé.846 délavé.485</t>
  </si>
  <si>
    <t>gris 47</t>
  </si>
  <si>
    <t>Gris foncé.610</t>
  </si>
  <si>
    <t>Mi-vert mi-émeraude foncé.493 délavé.187</t>
  </si>
  <si>
    <t>Vert impérial</t>
  </si>
  <si>
    <t>Vert lég. émeraude foncé.903</t>
  </si>
  <si>
    <t>Gris foncé.617</t>
  </si>
  <si>
    <t>Vert poireau ou prasin</t>
  </si>
  <si>
    <t>Mi-vert mi-émeraude foncé.534 délavé.325</t>
  </si>
  <si>
    <t>Vert de chrome ou anglais (pigment)</t>
  </si>
  <si>
    <t>Vert lég. émeraude foncé.948 délavé.358</t>
  </si>
  <si>
    <t>gris 46</t>
  </si>
  <si>
    <t>Gris foncé.631</t>
  </si>
  <si>
    <t>Vert malachite</t>
  </si>
  <si>
    <t>Mi-vert mi-émeraude foncé.625 délavé.076</t>
  </si>
  <si>
    <t>SombreOrchid1</t>
  </si>
  <si>
    <t>Violet clair.051</t>
  </si>
  <si>
    <t>gris 45</t>
  </si>
  <si>
    <t>Gris foncé.644</t>
  </si>
  <si>
    <t>marin vert, marin vert4</t>
  </si>
  <si>
    <t>Mi-vert mi-émeraude foncé.705 délavé.194</t>
  </si>
  <si>
    <t>SombreOrchid2</t>
  </si>
  <si>
    <t>Violet foncé.097 délavé.099</t>
  </si>
  <si>
    <t>gris 44</t>
  </si>
  <si>
    <t>Gris foncé.663</t>
  </si>
  <si>
    <t>Printempsvert4</t>
  </si>
  <si>
    <t>Mi-vert mi-émeraude foncé.734</t>
  </si>
  <si>
    <t>SombreViolet</t>
  </si>
  <si>
    <t>Violet foncé.341</t>
  </si>
  <si>
    <t>gris 43</t>
  </si>
  <si>
    <t>Gris foncé.675</t>
  </si>
  <si>
    <t>Vert mélèze</t>
  </si>
  <si>
    <t>Mi-vert mi-émeraude foncé.793 délavé.402</t>
  </si>
  <si>
    <t>Sombre Orchid</t>
  </si>
  <si>
    <t>Violet foncé.348 délavé.103</t>
  </si>
  <si>
    <t>gris 42</t>
  </si>
  <si>
    <t>Gris foncé.694</t>
  </si>
  <si>
    <t>Vert jaunâtre profond</t>
  </si>
  <si>
    <t>Mi-vert mi-émeraude foncé.872</t>
  </si>
  <si>
    <t>SombreOrchid3</t>
  </si>
  <si>
    <t xml:space="preserve">gris 41, Dimgris </t>
  </si>
  <si>
    <t>Gris foncé.706</t>
  </si>
  <si>
    <t>Vert épinard</t>
  </si>
  <si>
    <t>Mi-vert mi-émeraude foncé.891 délavé.161</t>
  </si>
  <si>
    <t>SombreOrchid</t>
  </si>
  <si>
    <t>Violet foncé.355 délavé.104</t>
  </si>
  <si>
    <t>gris 40</t>
  </si>
  <si>
    <t>Gris foncé.723</t>
  </si>
  <si>
    <t>Vert sapin</t>
  </si>
  <si>
    <t>Mi-vert mi-émeraude foncé.909 délavé.057</t>
  </si>
  <si>
    <t>Améthyste</t>
  </si>
  <si>
    <t>Violet foncé.527 délavé.329</t>
  </si>
  <si>
    <t>gris 39</t>
  </si>
  <si>
    <t>Gris foncé.739</t>
  </si>
  <si>
    <t>Vert jaunâtre très foncé</t>
  </si>
  <si>
    <t>Mi-vert mi-émeraude foncé.952 délavé.369</t>
  </si>
  <si>
    <t>SombreOrchid4</t>
  </si>
  <si>
    <t>Violet foncé.717 délavé.118</t>
  </si>
  <si>
    <t>gris 38</t>
  </si>
  <si>
    <t>Gris foncé.750</t>
  </si>
  <si>
    <t>Vert jaunâtre très profond</t>
  </si>
  <si>
    <t>Mi-vert mi-émeraude foncé.968</t>
  </si>
  <si>
    <t>Noir d'aniline</t>
  </si>
  <si>
    <t>Violet foncé.988 délavé.652</t>
  </si>
  <si>
    <t>Gris foncé.756</t>
  </si>
  <si>
    <t>Noir</t>
  </si>
  <si>
    <t xml:space="preserve">Pourpre </t>
  </si>
  <si>
    <t>Violet lég. bleu foncé.110 délavé.034</t>
  </si>
  <si>
    <t>gris 37</t>
  </si>
  <si>
    <t>Gris foncé.766</t>
  </si>
  <si>
    <t>SombRouge orérod1</t>
  </si>
  <si>
    <t>Orange clair.005</t>
  </si>
  <si>
    <t>Violet lég. bleu foncé.250 délavé.369</t>
  </si>
  <si>
    <t>gris 36</t>
  </si>
  <si>
    <t>Gris foncé.776</t>
  </si>
  <si>
    <t>Dorérod1</t>
  </si>
  <si>
    <t>Orange clair.019</t>
  </si>
  <si>
    <t>Violet lég. bleu foncé.373 délavé.006</t>
  </si>
  <si>
    <t>gris 35</t>
  </si>
  <si>
    <t>Gris foncé.791</t>
  </si>
  <si>
    <t>AntiqueBlanc 3</t>
  </si>
  <si>
    <t>Orange clair.061 délavé.814</t>
  </si>
  <si>
    <t>Pourpre 4</t>
  </si>
  <si>
    <t>Violet lég. bleu foncé.723 délavé.077</t>
  </si>
  <si>
    <t>gris 34</t>
  </si>
  <si>
    <t>Gris foncé.800</t>
  </si>
  <si>
    <t>Jaune orangé brillant</t>
  </si>
  <si>
    <t>Orange clair.082</t>
  </si>
  <si>
    <t>Bleu-violet profond</t>
  </si>
  <si>
    <t>Violet lég. bleu foncé.913 délavé.202</t>
  </si>
  <si>
    <t>Gris foncé</t>
  </si>
  <si>
    <t>Gris foncé.810</t>
  </si>
  <si>
    <t>Aurore</t>
  </si>
  <si>
    <t>Orange clair.122</t>
  </si>
  <si>
    <t>Bleu-violet foncé</t>
  </si>
  <si>
    <t>Violet lég. bleu foncé.930 délavé.454</t>
  </si>
  <si>
    <t>Gris foncé.814</t>
  </si>
  <si>
    <t>burlywood2</t>
  </si>
  <si>
    <t>Orange clair.150 délavé.333</t>
  </si>
  <si>
    <t>Glycine</t>
  </si>
  <si>
    <t>Violet lég. magenta clair.082 délavé.606</t>
  </si>
  <si>
    <t>gris 32</t>
  </si>
  <si>
    <t>Gris foncé.823</t>
  </si>
  <si>
    <t>Jaune orangé clair</t>
  </si>
  <si>
    <t>Orange clair.185 délavé.084</t>
  </si>
  <si>
    <t>Parme</t>
  </si>
  <si>
    <t>Violet lég. magenta clair.180 délavé.441</t>
  </si>
  <si>
    <t>gris 31</t>
  </si>
  <si>
    <t>Gris foncé.836</t>
  </si>
  <si>
    <t>New Tan</t>
  </si>
  <si>
    <t>Orange clair.186 délavé.406</t>
  </si>
  <si>
    <t>Violet très pâle</t>
  </si>
  <si>
    <t>Violet lég. magenta clair.328 délavé.806</t>
  </si>
  <si>
    <t>gris 30</t>
  </si>
  <si>
    <t>Gris foncé.844</t>
  </si>
  <si>
    <t>NavajoBlanc 2</t>
  </si>
  <si>
    <t>Orange clair.224 délavé.365</t>
  </si>
  <si>
    <t>Lilas</t>
  </si>
  <si>
    <t>Violet lég. magenta foncé.210 délavé.351</t>
  </si>
  <si>
    <t>burlywood1</t>
  </si>
  <si>
    <t>Orange clair.337</t>
  </si>
  <si>
    <t>Violet très profond</t>
  </si>
  <si>
    <t>Violet lég. magenta foncé.914 délavé.246</t>
  </si>
  <si>
    <t>Notice utilisateur – Fiches recettes modulaires</t>
  </si>
  <si>
    <t>1) À quoi sert ce système ?</t>
  </si>
  <si>
    <t>Composer rapidement des recettes sur mesure grâce à :</t>
  </si>
  <si>
    <r>
      <t xml:space="preserve">une </t>
    </r>
    <r>
      <rPr>
        <b/>
        <sz val="11"/>
        <color theme="1"/>
        <rFont val="Calibri"/>
        <family val="2"/>
        <scheme val="minor"/>
      </rPr>
      <t>Fiche fixe (préformatée)</t>
    </r>
    <r>
      <rPr>
        <sz val="11"/>
        <color theme="1"/>
        <rFont val="Calibri"/>
        <family val="2"/>
        <scheme val="minor"/>
      </rPr>
      <t xml:space="preserve"> : support principal qui reste en place ;</t>
    </r>
  </si>
  <si>
    <t>2) Les deux éléments</t>
  </si>
  <si>
    <t>A. Fiche fixe (préformatée)</t>
  </si>
  <si>
    <r>
      <t xml:space="preserve">Rôle : </t>
    </r>
    <r>
      <rPr>
        <b/>
        <sz val="11"/>
        <color theme="1"/>
        <rFont val="Calibri"/>
        <family val="2"/>
        <scheme val="minor"/>
      </rPr>
      <t>page d’assemblage</t>
    </r>
    <r>
      <rPr>
        <sz val="11"/>
        <color theme="1"/>
        <rFont val="Calibri"/>
        <family val="2"/>
        <scheme val="minor"/>
      </rPr>
      <t xml:space="preserve"> de la recette.</t>
    </r>
  </si>
  <si>
    <t>Contenu :</t>
  </si>
  <si>
    <t>Liste de denrées (ingrédients)</t>
  </si>
  <si>
    <r>
      <t>Quantités précises</t>
    </r>
    <r>
      <rPr>
        <sz val="11"/>
        <color theme="1"/>
        <rFont val="Calibri"/>
        <family val="2"/>
        <scheme val="minor"/>
      </rPr>
      <t xml:space="preserve"> définies par l’auteur</t>
    </r>
  </si>
  <si>
    <r>
      <t xml:space="preserve">Actions : </t>
    </r>
    <r>
      <rPr>
        <b/>
        <sz val="11"/>
        <color theme="1"/>
        <rFont val="Calibri"/>
        <family val="2"/>
        <scheme val="minor"/>
      </rPr>
      <t>ajouter, déplacer, remplacer</t>
    </r>
    <r>
      <rPr>
        <sz val="11"/>
        <color theme="1"/>
        <rFont val="Calibri"/>
        <family val="2"/>
        <scheme val="minor"/>
      </rPr>
      <t xml:space="preserve"> pour personnaliser la recette.</t>
    </r>
  </si>
  <si>
    <t>3) Créer une recette (pas à pas)</t>
  </si>
  <si>
    <t>1. Choisir la base</t>
  </si>
  <si>
    <t>2. Ajouter les garnitures</t>
  </si>
  <si>
    <t>Collez-les sous la base.</t>
  </si>
  <si>
    <t>3. Terminer par les finitions</t>
  </si>
  <si>
    <t>4. Ajuster</t>
  </si>
  <si>
    <r>
      <t xml:space="preserve">Modifiez les </t>
    </r>
    <r>
      <rPr>
        <b/>
        <sz val="11"/>
        <color theme="1"/>
        <rFont val="Calibri"/>
        <family val="2"/>
        <scheme val="minor"/>
      </rPr>
      <t>quantités</t>
    </r>
    <r>
      <rPr>
        <sz val="11"/>
        <color theme="1"/>
        <rFont val="Calibri"/>
        <family val="2"/>
        <scheme val="minor"/>
      </rPr>
      <t xml:space="preserve"> si nécessaire (selon le gabarit de production).</t>
    </r>
  </si>
  <si>
    <t>4) Exemple express : un gâteau</t>
  </si>
  <si>
    <t>Résultat : la fiche finale rassemble tous les modules nécessaires au même endroit.</t>
  </si>
  <si>
    <t>5) Bonnes pratiques</t>
  </si>
  <si>
    <r>
      <t>Standardiser les unités</t>
    </r>
    <r>
      <rPr>
        <sz val="11"/>
        <color theme="1"/>
        <rFont val="Calibri"/>
        <family val="2"/>
        <scheme val="minor"/>
      </rPr>
      <t xml:space="preserve"> (g, kg, L) et les formats de quantités.</t>
    </r>
  </si>
  <si>
    <r>
      <t>Vérifier les totaux</t>
    </r>
    <r>
      <rPr>
        <sz val="11"/>
        <color theme="1"/>
        <rFont val="Calibri"/>
        <family val="2"/>
        <scheme val="minor"/>
      </rPr>
      <t xml:space="preserve"> si votre modèle calcule les quantités ou le coût.</t>
    </r>
  </si>
  <si>
    <t>6) Astuces Excel (pratique)</t>
  </si>
  <si>
    <r>
      <t>Conserver la mise en forme</t>
    </r>
    <r>
      <rPr>
        <sz val="11"/>
        <color theme="1"/>
        <rFont val="Calibri"/>
        <family val="2"/>
        <scheme val="minor"/>
      </rPr>
      <t xml:space="preserve"> : privilégier </t>
    </r>
    <r>
      <rPr>
        <i/>
        <sz val="11"/>
        <color theme="1"/>
        <rFont val="Calibri"/>
        <family val="2"/>
        <scheme val="minor"/>
      </rPr>
      <t>Collage spécial → Conserver la source</t>
    </r>
    <r>
      <rPr>
        <sz val="11"/>
        <color theme="1"/>
        <rFont val="Calibri"/>
        <family val="2"/>
        <scheme val="minor"/>
      </rPr>
      <t>.</t>
    </r>
  </si>
  <si>
    <r>
      <t>Impression propre</t>
    </r>
    <r>
      <rPr>
        <sz val="11"/>
        <color theme="1"/>
        <rFont val="Calibri"/>
        <family val="2"/>
        <scheme val="minor"/>
      </rPr>
      <t xml:space="preserve"> : définir une </t>
    </r>
    <r>
      <rPr>
        <b/>
        <sz val="11"/>
        <color theme="1"/>
        <rFont val="Calibri"/>
        <family val="2"/>
        <scheme val="minor"/>
      </rPr>
      <t>zone d’impression</t>
    </r>
    <r>
      <rPr>
        <sz val="11"/>
        <color theme="1"/>
        <rFont val="Calibri"/>
        <family val="2"/>
        <scheme val="minor"/>
      </rPr>
      <t xml:space="preserve"> autour de la fiche fixe.</t>
    </r>
  </si>
  <si>
    <r>
      <t>Verrouiller la fiche fixe</t>
    </r>
    <r>
      <rPr>
        <sz val="11"/>
        <color theme="1"/>
        <rFont val="Calibri"/>
        <family val="2"/>
        <scheme val="minor"/>
      </rPr>
      <t xml:space="preserve"> (si prévu) pour éviter de modifier le gabarit par erreur.</t>
    </r>
  </si>
  <si>
    <t>7) FAQ rapide</t>
  </si>
  <si>
    <r>
      <t>R :</t>
    </r>
    <r>
      <rPr>
        <sz val="11"/>
        <color theme="1"/>
        <rFont val="Calibri"/>
        <family val="2"/>
        <scheme val="minor"/>
      </rPr>
      <t xml:space="preserve"> Directement </t>
    </r>
    <r>
      <rPr>
        <b/>
        <sz val="11"/>
        <color theme="1"/>
        <rFont val="Calibri"/>
        <family val="2"/>
        <scheme val="minor"/>
      </rPr>
      <t>dans la fiche recette fixe</t>
    </r>
    <r>
      <rPr>
        <sz val="11"/>
        <color theme="1"/>
        <rFont val="Calibri"/>
        <family val="2"/>
        <scheme val="minor"/>
      </rPr>
      <t>, dans les zones prévues (base, garnitures, finitions).</t>
    </r>
  </si>
  <si>
    <t>Q : Comment créer une nouvelle recette ?</t>
  </si>
  <si>
    <t>8) Résumé en une phrase</t>
  </si>
  <si>
    <t>Elle ne bouge pas : on y colle les "Postit"s.</t>
  </si>
  <si>
    <t>B. "Postit"s (parties détachables)</t>
  </si>
  <si>
    <t>Un "Postit" = un module (ex. : biscuit, crème, sirop, décoration).</t>
  </si>
  <si>
    <t>Dans le répertoire, copiez le "Postit" Biscuit souhaité (génoise, brownie, dacquoise…).</t>
  </si>
  <si>
    <t>Sélectionnez un ou deux "Postit"s Crème/Ganache/Compotée.</t>
  </si>
  <si>
    <t>Ajoutez le "Postit" Décoration (glaçage, fruits, toppings).</t>
  </si>
  <si>
    <t>Remplacez un "Postit" pour créer une variante (p. ex. ganache → chantilly).</t>
  </si>
  <si>
    <t>Base : "Postit" Biscuit génoise</t>
  </si>
  <si>
    <t>Garniture : "Postit" Crème mousseline + (optionnel) Compotée de fruits</t>
  </si>
  <si>
    <t>Finition : "Postit" Décoration – glaçage miroir + fruits frais</t>
  </si>
  <si>
    <t>Un module = un "Postit" (clair et réutilisable).</t>
  </si>
  <si>
    <t>Centraliser un répertoire de "Postit"s “validés” pour éviter les doublons.</t>
  </si>
  <si>
    <t>Créer des variantes en dupliquant un "Postit" (ex. “Crème pistache – version allégée”).</t>
  </si>
  <si>
    <t>Dupliquer un "Postit" : clic droit → Copier → Coller (ou Ctrl+C / Ctrl+V).</t>
  </si>
  <si>
    <t>Déplacer un "Postit" : couper/coller (Ctrl+X / Ctrl+V) pour garder la mise en forme.</t>
  </si>
  <si>
    <t>Q : Les "Postit"s se collent où ?</t>
  </si>
  <si>
    <t>Q : Puis-je changer les quantités d’un "Postit" ?</t>
  </si>
  <si>
    <t>R : Oui. Modifiez les quantités dans le "Postit" collé (ou créez une variante).</t>
  </si>
  <si>
    <t>R : Dupliquez une fiche fixe vierge → assemblez les "Postit"s voulus → ajustez → enregistrez.</t>
  </si>
  <si>
    <t>9) Copier / coller un Post-it</t>
  </si>
  <si>
    <t>Étapes (méthode simple)</t>
  </si>
  <si>
    <t>1. Pointer le coin haut gauche</t>
  </si>
  <si>
    <r>
      <t>À la souris</t>
    </r>
    <r>
      <rPr>
        <sz val="11"/>
        <color theme="1"/>
        <rFont val="Calibri"/>
        <family val="2"/>
        <scheme val="minor"/>
      </rPr>
      <t xml:space="preserve"> : cliquez, puis </t>
    </r>
    <r>
      <rPr>
        <b/>
        <sz val="11"/>
        <color theme="1"/>
        <rFont val="Calibri"/>
        <family val="2"/>
        <scheme val="minor"/>
      </rPr>
      <t>glissez</t>
    </r>
    <r>
      <rPr>
        <sz val="11"/>
        <color theme="1"/>
        <rFont val="Calibri"/>
        <family val="2"/>
        <scheme val="minor"/>
      </rPr>
      <t xml:space="preserve"> jusqu’au </t>
    </r>
    <r>
      <rPr>
        <b/>
        <sz val="11"/>
        <color theme="1"/>
        <rFont val="Calibri"/>
        <family val="2"/>
        <scheme val="minor"/>
      </rPr>
      <t>coin bas droit</t>
    </r>
    <r>
      <rPr>
        <sz val="11"/>
        <color theme="1"/>
        <rFont val="Calibri"/>
        <family val="2"/>
        <scheme val="minor"/>
      </rPr>
      <t xml:space="preserve"> du bloc.</t>
    </r>
  </si>
  <si>
    <r>
      <t>Astuce clavier</t>
    </r>
    <r>
      <rPr>
        <sz val="11"/>
        <color theme="1"/>
        <rFont val="Calibri"/>
        <family val="2"/>
        <scheme val="minor"/>
      </rPr>
      <t xml:space="preserve"> : si le Post-it est un bloc compact (sans lignes/colonnes vides), </t>
    </r>
    <r>
      <rPr>
        <b/>
        <sz val="11"/>
        <color theme="1"/>
        <rFont val="Calibri"/>
        <family val="2"/>
        <scheme val="minor"/>
      </rPr>
      <t>Ctrl + A</t>
    </r>
    <r>
      <rPr>
        <sz val="11"/>
        <color theme="1"/>
        <rFont val="Calibri"/>
        <family val="2"/>
        <scheme val="minor"/>
      </rPr>
      <t xml:space="preserve"> sélectionne la “région” entière.</t>
    </r>
  </si>
  <si>
    <t>3. Copier</t>
  </si>
  <si>
    <r>
      <t xml:space="preserve">Appuyez sur </t>
    </r>
    <r>
      <rPr>
        <b/>
        <sz val="11"/>
        <color theme="1"/>
        <rFont val="Calibri"/>
        <family val="2"/>
        <scheme val="minor"/>
      </rPr>
      <t>Ctrl + C</t>
    </r>
    <r>
      <rPr>
        <sz val="11"/>
        <color theme="1"/>
        <rFont val="Calibri"/>
        <family val="2"/>
        <scheme val="minor"/>
      </rPr>
      <t xml:space="preserve"> (ou clic droit → </t>
    </r>
    <r>
      <rPr>
        <i/>
        <sz val="11"/>
        <color theme="1"/>
        <rFont val="Calibri"/>
        <family val="2"/>
        <scheme val="minor"/>
      </rPr>
      <t>Copier</t>
    </r>
    <r>
      <rPr>
        <sz val="11"/>
        <color theme="1"/>
        <rFont val="Calibri"/>
        <family val="2"/>
        <scheme val="minor"/>
      </rPr>
      <t>).</t>
    </r>
  </si>
  <si>
    <t>4. Coller dans le répertoire</t>
  </si>
  <si>
    <r>
      <t xml:space="preserve">Pour </t>
    </r>
    <r>
      <rPr>
        <b/>
        <sz val="11"/>
        <color theme="1"/>
        <rFont val="Calibri"/>
        <family val="2"/>
        <scheme val="minor"/>
      </rPr>
      <t>garder la mise en forme</t>
    </r>
    <r>
      <rPr>
        <sz val="11"/>
        <color theme="1"/>
        <rFont val="Calibri"/>
        <family val="2"/>
        <scheme val="minor"/>
      </rPr>
      <t xml:space="preserve">, utilisez </t>
    </r>
    <r>
      <rPr>
        <i/>
        <sz val="11"/>
        <color theme="1"/>
        <rFont val="Calibri"/>
        <family val="2"/>
        <scheme val="minor"/>
      </rPr>
      <t>Collage spécial → Conserver la source</t>
    </r>
    <r>
      <rPr>
        <sz val="11"/>
        <color theme="1"/>
        <rFont val="Calibri"/>
        <family val="2"/>
        <scheme val="minor"/>
      </rPr>
      <t>.</t>
    </r>
  </si>
  <si>
    <r>
      <t xml:space="preserve">Pour ne </t>
    </r>
    <r>
      <rPr>
        <b/>
        <sz val="11"/>
        <color theme="1"/>
        <rFont val="Calibri"/>
        <family val="2"/>
        <scheme val="minor"/>
      </rPr>
      <t>coller que les valeurs</t>
    </r>
    <r>
      <rPr>
        <sz val="11"/>
        <color theme="1"/>
        <rFont val="Calibri"/>
        <family val="2"/>
        <scheme val="minor"/>
      </rPr>
      <t xml:space="preserve">, choisissez </t>
    </r>
    <r>
      <rPr>
        <i/>
        <sz val="11"/>
        <color theme="1"/>
        <rFont val="Calibri"/>
        <family val="2"/>
        <scheme val="minor"/>
      </rPr>
      <t>Collage spécial → Valeurs</t>
    </r>
    <r>
      <rPr>
        <sz val="11"/>
        <color theme="1"/>
        <rFont val="Calibri"/>
        <family val="2"/>
        <scheme val="minor"/>
      </rPr>
      <t>.</t>
    </r>
  </si>
  <si>
    <r>
      <t>Conseil</t>
    </r>
    <r>
      <rPr>
        <sz val="11"/>
        <color theme="1"/>
        <rFont val="Calibri"/>
        <family val="2"/>
        <scheme val="minor"/>
      </rPr>
      <t xml:space="preserve"> : pour </t>
    </r>
    <r>
      <rPr>
        <b/>
        <sz val="11"/>
        <color theme="1"/>
        <rFont val="Calibri"/>
        <family val="2"/>
        <scheme val="minor"/>
      </rPr>
      <t>déplacer</t>
    </r>
    <r>
      <rPr>
        <sz val="11"/>
        <color theme="1"/>
        <rFont val="Calibri"/>
        <family val="2"/>
        <scheme val="minor"/>
      </rPr>
      <t xml:space="preserve"> un Post-it (au lieu de le dupliquer), utilisez </t>
    </r>
    <r>
      <rPr>
        <b/>
        <sz val="11"/>
        <color theme="1"/>
        <rFont val="Calibri"/>
        <family val="2"/>
        <scheme val="minor"/>
      </rPr>
      <t>Ctrl + X</t>
    </r>
    <r>
      <rPr>
        <sz val="11"/>
        <color theme="1"/>
        <rFont val="Calibri"/>
        <family val="2"/>
        <scheme val="minor"/>
      </rPr>
      <t xml:space="preserve"> (Couper) puis </t>
    </r>
    <r>
      <rPr>
        <b/>
        <sz val="11"/>
        <color theme="1"/>
        <rFont val="Calibri"/>
        <family val="2"/>
        <scheme val="minor"/>
      </rPr>
      <t>Ctrl + V</t>
    </r>
    <r>
      <rPr>
        <sz val="11"/>
        <color theme="1"/>
        <rFont val="Calibri"/>
        <family val="2"/>
        <scheme val="minor"/>
      </rPr>
      <t>.</t>
    </r>
  </si>
  <si>
    <t>Archivage &amp; classement (répertoire)</t>
  </si>
  <si>
    <r>
      <t>A — Alpha</t>
    </r>
    <r>
      <rPr>
        <sz val="11"/>
        <color theme="1"/>
        <rFont val="Calibri"/>
        <family val="2"/>
        <scheme val="minor"/>
      </rPr>
      <t xml:space="preserve"> : première lettre du nom, en majuscule (tri rapide).</t>
    </r>
  </si>
  <si>
    <r>
      <t>Formule suggérée</t>
    </r>
    <r>
      <rPr>
        <sz val="11"/>
        <color theme="1"/>
        <rFont val="Calibri"/>
        <family val="2"/>
        <scheme val="minor"/>
      </rPr>
      <t xml:space="preserve"> : </t>
    </r>
    <r>
      <rPr>
        <sz val="10"/>
        <color theme="1"/>
        <rFont val="Arial Unicode MS"/>
      </rPr>
      <t>=MAJUSCULE(GAUCHE(D2;1))</t>
    </r>
  </si>
  <si>
    <r>
      <t>B — Famille</t>
    </r>
    <r>
      <rPr>
        <sz val="11"/>
        <color theme="1"/>
        <rFont val="Calibri"/>
        <family val="2"/>
        <scheme val="minor"/>
      </rPr>
      <t xml:space="preserve"> : grande catégorie (ex. </t>
    </r>
    <r>
      <rPr>
        <i/>
        <sz val="11"/>
        <color theme="1"/>
        <rFont val="Calibri"/>
        <family val="2"/>
        <scheme val="minor"/>
      </rPr>
      <t>cuisine</t>
    </r>
    <r>
      <rPr>
        <sz val="11"/>
        <color theme="1"/>
        <rFont val="Calibri"/>
        <family val="2"/>
        <scheme val="minor"/>
      </rPr>
      <t xml:space="preserve">, </t>
    </r>
    <r>
      <rPr>
        <i/>
        <sz val="11"/>
        <color theme="1"/>
        <rFont val="Calibri"/>
        <family val="2"/>
        <scheme val="minor"/>
      </rPr>
      <t>pâtisserie</t>
    </r>
    <r>
      <rPr>
        <sz val="11"/>
        <color theme="1"/>
        <rFont val="Calibri"/>
        <family val="2"/>
        <scheme val="minor"/>
      </rPr>
      <t xml:space="preserve">, </t>
    </r>
    <r>
      <rPr>
        <i/>
        <sz val="11"/>
        <color theme="1"/>
        <rFont val="Calibri"/>
        <family val="2"/>
        <scheme val="minor"/>
      </rPr>
      <t>boulangerie</t>
    </r>
    <r>
      <rPr>
        <sz val="11"/>
        <color theme="1"/>
        <rFont val="Calibri"/>
        <family val="2"/>
        <scheme val="minor"/>
      </rPr>
      <t>).</t>
    </r>
  </si>
  <si>
    <r>
      <t>C — Type d’Élément</t>
    </r>
    <r>
      <rPr>
        <sz val="11"/>
        <color theme="1"/>
        <rFont val="Calibri"/>
        <family val="2"/>
        <scheme val="minor"/>
      </rPr>
      <t xml:space="preserve"> : fonction ou nature du module (ex. </t>
    </r>
    <r>
      <rPr>
        <i/>
        <sz val="11"/>
        <color theme="1"/>
        <rFont val="Calibri"/>
        <family val="2"/>
        <scheme val="minor"/>
      </rPr>
      <t>cuisson</t>
    </r>
    <r>
      <rPr>
        <sz val="11"/>
        <color theme="1"/>
        <rFont val="Calibri"/>
        <family val="2"/>
        <scheme val="minor"/>
      </rPr>
      <t xml:space="preserve">, </t>
    </r>
    <r>
      <rPr>
        <i/>
        <sz val="11"/>
        <color theme="1"/>
        <rFont val="Calibri"/>
        <family val="2"/>
        <scheme val="minor"/>
      </rPr>
      <t>biscuit</t>
    </r>
    <r>
      <rPr>
        <sz val="11"/>
        <color theme="1"/>
        <rFont val="Calibri"/>
        <family val="2"/>
        <scheme val="minor"/>
      </rPr>
      <t xml:space="preserve">, </t>
    </r>
    <r>
      <rPr>
        <i/>
        <sz val="11"/>
        <color theme="1"/>
        <rFont val="Calibri"/>
        <family val="2"/>
        <scheme val="minor"/>
      </rPr>
      <t>crème</t>
    </r>
    <r>
      <rPr>
        <sz val="11"/>
        <color theme="1"/>
        <rFont val="Calibri"/>
        <family val="2"/>
        <scheme val="minor"/>
      </rPr>
      <t xml:space="preserve">, </t>
    </r>
    <r>
      <rPr>
        <i/>
        <sz val="11"/>
        <color theme="1"/>
        <rFont val="Calibri"/>
        <family val="2"/>
        <scheme val="minor"/>
      </rPr>
      <t>sirop</t>
    </r>
    <r>
      <rPr>
        <sz val="11"/>
        <color theme="1"/>
        <rFont val="Calibri"/>
        <family val="2"/>
        <scheme val="minor"/>
      </rPr>
      <t xml:space="preserve">, </t>
    </r>
    <r>
      <rPr>
        <i/>
        <sz val="11"/>
        <color theme="1"/>
        <rFont val="Calibri"/>
        <family val="2"/>
        <scheme val="minor"/>
      </rPr>
      <t>décoration</t>
    </r>
    <r>
      <rPr>
        <sz val="11"/>
        <color theme="1"/>
        <rFont val="Calibri"/>
        <family val="2"/>
        <scheme val="minor"/>
      </rPr>
      <t>).</t>
    </r>
  </si>
  <si>
    <r>
      <t>D — Nom de l’Élément</t>
    </r>
    <r>
      <rPr>
        <sz val="11"/>
        <color theme="1"/>
        <rFont val="Calibri"/>
        <family val="2"/>
        <scheme val="minor"/>
      </rPr>
      <t xml:space="preserve"> : intitulé précis et unique (ex. </t>
    </r>
    <r>
      <rPr>
        <i/>
        <sz val="11"/>
        <color theme="1"/>
        <rFont val="Calibri"/>
        <family val="2"/>
        <scheme val="minor"/>
      </rPr>
      <t>Garniture bourguignonne</t>
    </r>
    <r>
      <rPr>
        <sz val="11"/>
        <color theme="1"/>
        <rFont val="Calibri"/>
        <family val="2"/>
        <scheme val="minor"/>
      </rPr>
      <t>).</t>
    </r>
  </si>
  <si>
    <r>
      <t>E — Préparation pour</t>
    </r>
    <r>
      <rPr>
        <sz val="11"/>
        <color theme="1"/>
        <rFont val="Calibri"/>
        <family val="2"/>
        <scheme val="minor"/>
      </rPr>
      <t xml:space="preserve"> : usage prévu (ex. </t>
    </r>
    <r>
      <rPr>
        <i/>
        <sz val="11"/>
        <color theme="1"/>
        <rFont val="Calibri"/>
        <family val="2"/>
        <scheme val="minor"/>
      </rPr>
      <t>plat principal</t>
    </r>
    <r>
      <rPr>
        <sz val="11"/>
        <color theme="1"/>
        <rFont val="Calibri"/>
        <family val="2"/>
        <scheme val="minor"/>
      </rPr>
      <t xml:space="preserve">, </t>
    </r>
    <r>
      <rPr>
        <i/>
        <sz val="11"/>
        <color theme="1"/>
        <rFont val="Calibri"/>
        <family val="2"/>
        <scheme val="minor"/>
      </rPr>
      <t>entremets</t>
    </r>
    <r>
      <rPr>
        <sz val="11"/>
        <color theme="1"/>
        <rFont val="Calibri"/>
        <family val="2"/>
        <scheme val="minor"/>
      </rPr>
      <t xml:space="preserve">, </t>
    </r>
    <r>
      <rPr>
        <i/>
        <sz val="11"/>
        <color theme="1"/>
        <rFont val="Calibri"/>
        <family val="2"/>
        <scheme val="minor"/>
      </rPr>
      <t>tarte</t>
    </r>
    <r>
      <rPr>
        <sz val="11"/>
        <color theme="1"/>
        <rFont val="Calibri"/>
        <family val="2"/>
        <scheme val="minor"/>
      </rPr>
      <t>).</t>
    </r>
  </si>
  <si>
    <r>
      <t>F — Recette mère</t>
    </r>
    <r>
      <rPr>
        <sz val="11"/>
        <color theme="1"/>
        <rFont val="Calibri"/>
        <family val="2"/>
        <scheme val="minor"/>
      </rPr>
      <t xml:space="preserve"> : fichier source (nom + date).</t>
    </r>
  </si>
  <si>
    <r>
      <t>Convention recommandée</t>
    </r>
    <r>
      <rPr>
        <sz val="11"/>
        <color theme="1"/>
        <rFont val="Calibri"/>
        <family val="2"/>
        <scheme val="minor"/>
      </rPr>
      <t xml:space="preserve"> : </t>
    </r>
    <r>
      <rPr>
        <sz val="10"/>
        <color theme="1"/>
        <rFont val="Arial Unicode MS"/>
      </rPr>
      <t>NomRecette_YYYY-MM-DD.xlsx</t>
    </r>
  </si>
  <si>
    <r>
      <t>Exemple</t>
    </r>
    <r>
      <rPr>
        <sz val="11"/>
        <color theme="1"/>
        <rFont val="Calibri"/>
        <family val="2"/>
        <scheme val="minor"/>
      </rPr>
      <t xml:space="preserve"> : </t>
    </r>
    <r>
      <rPr>
        <sz val="10"/>
        <color theme="1"/>
        <rFont val="Arial Unicode MS"/>
      </rPr>
      <t>BoeufBourguignon_2023-09-20.xlsx</t>
    </r>
  </si>
  <si>
    <r>
      <t xml:space="preserve">A: </t>
    </r>
    <r>
      <rPr>
        <b/>
        <sz val="11"/>
        <color theme="1"/>
        <rFont val="Calibri"/>
        <family val="2"/>
        <scheme val="minor"/>
      </rPr>
      <t>G</t>
    </r>
  </si>
  <si>
    <r>
      <t xml:space="preserve">B: </t>
    </r>
    <r>
      <rPr>
        <b/>
        <sz val="11"/>
        <color theme="1"/>
        <rFont val="Calibri"/>
        <family val="2"/>
        <scheme val="minor"/>
      </rPr>
      <t>cuisine</t>
    </r>
  </si>
  <si>
    <r>
      <t xml:space="preserve">C: </t>
    </r>
    <r>
      <rPr>
        <b/>
        <sz val="11"/>
        <color theme="1"/>
        <rFont val="Calibri"/>
        <family val="2"/>
        <scheme val="minor"/>
      </rPr>
      <t>cuisson</t>
    </r>
  </si>
  <si>
    <r>
      <t xml:space="preserve">D: </t>
    </r>
    <r>
      <rPr>
        <b/>
        <sz val="11"/>
        <color theme="1"/>
        <rFont val="Calibri"/>
        <family val="2"/>
        <scheme val="minor"/>
      </rPr>
      <t>Garniture bourguignonne</t>
    </r>
  </si>
  <si>
    <r>
      <t xml:space="preserve">E: </t>
    </r>
    <r>
      <rPr>
        <b/>
        <sz val="11"/>
        <color theme="1"/>
        <rFont val="Calibri"/>
        <family val="2"/>
        <scheme val="minor"/>
      </rPr>
      <t>plat principal</t>
    </r>
  </si>
  <si>
    <r>
      <t xml:space="preserve">F: </t>
    </r>
    <r>
      <rPr>
        <b/>
        <sz val="11"/>
        <color theme="1"/>
        <rFont val="Calibri"/>
        <family val="2"/>
        <scheme val="minor"/>
      </rPr>
      <t>BoeufBourguignon_2023-09-20.xlsx</t>
    </r>
  </si>
  <si>
    <r>
      <t xml:space="preserve">Placez le curseur sur </t>
    </r>
    <r>
      <rPr>
        <b/>
        <sz val="11"/>
        <color theme="1"/>
        <rFont val="Calibri"/>
        <family val="2"/>
        <scheme val="minor"/>
      </rPr>
      <t>la première cellule</t>
    </r>
    <r>
      <rPr>
        <sz val="11"/>
        <color theme="1"/>
        <rFont val="Calibri"/>
        <family val="2"/>
        <scheme val="minor"/>
      </rPr>
      <t xml:space="preserve"> du Postit ( le coin en haut à gauche cellule A).</t>
    </r>
  </si>
  <si>
    <t>2. Sélectionner tout le Postit</t>
  </si>
  <si>
    <r>
      <t>Ou, plus rapide</t>
    </r>
    <r>
      <rPr>
        <sz val="11"/>
        <color theme="1"/>
        <rFont val="Calibri"/>
        <family val="2"/>
        <scheme val="minor"/>
      </rPr>
      <t xml:space="preserve"> : cliquez sur la première cellule A , puis </t>
    </r>
    <r>
      <rPr>
        <b/>
        <sz val="11"/>
        <color theme="1"/>
        <rFont val="Calibri"/>
        <family val="2"/>
        <scheme val="minor"/>
      </rPr>
      <t>Maj (Shift) + clic</t>
    </r>
    <r>
      <rPr>
        <sz val="11"/>
        <color theme="1"/>
        <rFont val="Calibri"/>
        <family val="2"/>
        <scheme val="minor"/>
      </rPr>
      <t xml:space="preserve"> sur la cellule du </t>
    </r>
    <r>
      <rPr>
        <b/>
        <sz val="11"/>
        <color theme="1"/>
        <rFont val="Calibri"/>
        <family val="2"/>
        <scheme val="minor"/>
      </rPr>
      <t>coin bas droit</t>
    </r>
    <r>
      <rPr>
        <sz val="11"/>
        <color theme="1"/>
        <rFont val="Calibri"/>
        <family val="2"/>
        <scheme val="minor"/>
      </rPr>
      <t>.</t>
    </r>
  </si>
  <si>
    <t>English</t>
  </si>
  <si>
    <t>User Guide – Modular Recipe Sheets</t>
  </si>
  <si>
    <t>1) What is this system for?</t>
  </si>
  <si>
    <t>Quickly build made-to-measure recipes thanks to:</t>
  </si>
  <si>
    <r>
      <t xml:space="preserve">a </t>
    </r>
    <r>
      <rPr>
        <b/>
        <sz val="11"/>
        <color theme="1"/>
        <rFont val="Calibri"/>
        <family val="2"/>
        <scheme val="minor"/>
      </rPr>
      <t>fixed (preformatted) Sheet</t>
    </r>
    <r>
      <rPr>
        <sz val="11"/>
        <color theme="1"/>
        <rFont val="Calibri"/>
        <family val="2"/>
        <scheme val="minor"/>
      </rPr>
      <t>: the main support that stays in place;</t>
    </r>
  </si>
  <si>
    <t>2) The two elements</t>
  </si>
  <si>
    <t>A. Fixed (preformatted) Sheet</t>
  </si>
  <si>
    <r>
      <t>Role:</t>
    </r>
    <r>
      <rPr>
        <sz val="11"/>
        <color theme="1"/>
        <rFont val="Calibri"/>
        <family val="2"/>
        <scheme val="minor"/>
      </rPr>
      <t xml:space="preserve"> assembly page for the recipe.</t>
    </r>
  </si>
  <si>
    <t>Contents:</t>
  </si>
  <si>
    <t>List of food items (ingredients)</t>
  </si>
  <si>
    <t>Precise quantities defined by the author</t>
  </si>
  <si>
    <r>
      <t>Actions:</t>
    </r>
    <r>
      <rPr>
        <sz val="11"/>
        <color theme="1"/>
        <rFont val="Calibri"/>
        <family val="2"/>
        <scheme val="minor"/>
      </rPr>
      <t xml:space="preserve"> add, move, replace to customize the recipe.</t>
    </r>
  </si>
  <si>
    <t>3) Create a recipe (step by step)</t>
  </si>
  <si>
    <t>1. Choose the base</t>
  </si>
  <si>
    <t>2. Add the fillings</t>
  </si>
  <si>
    <t>Paste them under the base.</t>
  </si>
  <si>
    <t>3. Finish with the decorations</t>
  </si>
  <si>
    <t>4. Adjust</t>
  </si>
  <si>
    <t>Edit quantities if needed (according to your production scale).</t>
  </si>
  <si>
    <t>4) Quick example: a cake</t>
  </si>
  <si>
    <r>
      <t>Result:</t>
    </r>
    <r>
      <rPr>
        <sz val="11"/>
        <color theme="1"/>
        <rFont val="Calibri"/>
        <family val="2"/>
        <scheme val="minor"/>
      </rPr>
      <t xml:space="preserve"> the final sheet gathers all the required modules in one place.</t>
    </r>
  </si>
  <si>
    <t>Same idea for kitchen or charcuterie recipes—use the directories.</t>
  </si>
  <si>
    <t>5) Best practices</t>
  </si>
  <si>
    <t>Standardize units (g, kg, L) and quantity formats.</t>
  </si>
  <si>
    <t>Check totals if your template calculates quantities or cost.</t>
  </si>
  <si>
    <t>6) Handy Excel tips</t>
  </si>
  <si>
    <r>
      <t>Preserve formatting:</t>
    </r>
    <r>
      <rPr>
        <sz val="11"/>
        <color theme="1"/>
        <rFont val="Calibri"/>
        <family val="2"/>
        <scheme val="minor"/>
      </rPr>
      <t xml:space="preserve"> use Paste Special → Keep Source Formatting.</t>
    </r>
  </si>
  <si>
    <r>
      <t>Clean printout:</t>
    </r>
    <r>
      <rPr>
        <sz val="11"/>
        <color theme="1"/>
        <rFont val="Calibri"/>
        <family val="2"/>
        <scheme val="minor"/>
      </rPr>
      <t xml:space="preserve"> set a print area around the fixed sheet.</t>
    </r>
  </si>
  <si>
    <r>
      <t>Lock the fixed sheet</t>
    </r>
    <r>
      <rPr>
        <sz val="11"/>
        <color theme="1"/>
        <rFont val="Calibri"/>
        <family val="2"/>
        <scheme val="minor"/>
      </rPr>
      <t xml:space="preserve"> (if available) to prevent accidental template edits.</t>
    </r>
  </si>
  <si>
    <t>7) Quick FAQ</t>
  </si>
  <si>
    <r>
      <t>A:</t>
    </r>
    <r>
      <rPr>
        <sz val="11"/>
        <color theme="1"/>
        <rFont val="Calibri"/>
        <family val="2"/>
        <scheme val="minor"/>
      </rPr>
      <t xml:space="preserve"> Directly on the fixed recipe sheet, in the dedicated areas (base, fillings, finishes).</t>
    </r>
  </si>
  <si>
    <r>
      <t>Q:</t>
    </r>
    <r>
      <rPr>
        <sz val="11"/>
        <color theme="1"/>
        <rFont val="Calibri"/>
        <family val="2"/>
        <scheme val="minor"/>
      </rPr>
      <t xml:space="preserve"> How do I create a new recipe?</t>
    </r>
  </si>
  <si>
    <t>8) One-sentence summary</t>
  </si>
  <si>
    <t>9) Copy / paste a Post-it</t>
  </si>
  <si>
    <t>Steps (simple method)</t>
  </si>
  <si>
    <t>1. Point to the top-left corner</t>
  </si>
  <si>
    <t>Place the cursor on the first cell of the Post-it (top-left, cell A).</t>
  </si>
  <si>
    <t>2. Select the entire Post-it</t>
  </si>
  <si>
    <t>With the mouse: click, then drag to the block’s bottom-right corner.</t>
  </si>
  <si>
    <t>Or faster: click the first cell A, then Shift + click the bottom-right cell.</t>
  </si>
  <si>
    <r>
      <t>Keyboard tip:</t>
    </r>
    <r>
      <rPr>
        <sz val="11"/>
        <color theme="1"/>
        <rFont val="Calibri"/>
        <family val="2"/>
        <scheme val="minor"/>
      </rPr>
      <t xml:space="preserve"> if the Post-it is a compact block (no empty rows/columns), </t>
    </r>
    <r>
      <rPr>
        <b/>
        <sz val="11"/>
        <color theme="1"/>
        <rFont val="Calibri"/>
        <family val="2"/>
        <scheme val="minor"/>
      </rPr>
      <t>Ctrl + A</t>
    </r>
    <r>
      <rPr>
        <sz val="11"/>
        <color theme="1"/>
        <rFont val="Calibri"/>
        <family val="2"/>
        <scheme val="minor"/>
      </rPr>
      <t xml:space="preserve"> selects the whole “region”.</t>
    </r>
  </si>
  <si>
    <t>3. Copy</t>
  </si>
  <si>
    <r>
      <t xml:space="preserve">Press </t>
    </r>
    <r>
      <rPr>
        <b/>
        <sz val="11"/>
        <color theme="1"/>
        <rFont val="Calibri"/>
        <family val="2"/>
        <scheme val="minor"/>
      </rPr>
      <t>Ctrl + C</t>
    </r>
    <r>
      <rPr>
        <sz val="11"/>
        <color theme="1"/>
        <rFont val="Calibri"/>
        <family val="2"/>
        <scheme val="minor"/>
      </rPr>
      <t xml:space="preserve"> (or right-click → Copy).</t>
    </r>
  </si>
  <si>
    <t>4. Paste into the directory</t>
  </si>
  <si>
    <r>
      <t xml:space="preserve">To keep formatting, use </t>
    </r>
    <r>
      <rPr>
        <b/>
        <sz val="11"/>
        <color theme="1"/>
        <rFont val="Calibri"/>
        <family val="2"/>
        <scheme val="minor"/>
      </rPr>
      <t>Paste Special → Keep Source</t>
    </r>
    <r>
      <rPr>
        <sz val="11"/>
        <color theme="1"/>
        <rFont val="Calibri"/>
        <family val="2"/>
        <scheme val="minor"/>
      </rPr>
      <t>.</t>
    </r>
  </si>
  <si>
    <r>
      <t xml:space="preserve">To paste values only, choose </t>
    </r>
    <r>
      <rPr>
        <b/>
        <sz val="11"/>
        <color theme="1"/>
        <rFont val="Calibri"/>
        <family val="2"/>
        <scheme val="minor"/>
      </rPr>
      <t>Paste Special → Values</t>
    </r>
    <r>
      <rPr>
        <sz val="11"/>
        <color theme="1"/>
        <rFont val="Calibri"/>
        <family val="2"/>
        <scheme val="minor"/>
      </rPr>
      <t>.</t>
    </r>
  </si>
  <si>
    <r>
      <t>Tip:</t>
    </r>
    <r>
      <rPr>
        <sz val="11"/>
        <color theme="1"/>
        <rFont val="Calibri"/>
        <family val="2"/>
        <scheme val="minor"/>
      </rPr>
      <t xml:space="preserve"> to </t>
    </r>
    <r>
      <rPr>
        <b/>
        <sz val="11"/>
        <color theme="1"/>
        <rFont val="Calibri"/>
        <family val="2"/>
        <scheme val="minor"/>
      </rPr>
      <t>move</t>
    </r>
    <r>
      <rPr>
        <sz val="11"/>
        <color theme="1"/>
        <rFont val="Calibri"/>
        <family val="2"/>
        <scheme val="minor"/>
      </rPr>
      <t xml:space="preserve"> a Post-it (instead of duplicating it), use </t>
    </r>
    <r>
      <rPr>
        <b/>
        <sz val="11"/>
        <color theme="1"/>
        <rFont val="Calibri"/>
        <family val="2"/>
        <scheme val="minor"/>
      </rPr>
      <t>Ctrl + X</t>
    </r>
    <r>
      <rPr>
        <sz val="11"/>
        <color theme="1"/>
        <rFont val="Calibri"/>
        <family val="2"/>
        <scheme val="minor"/>
      </rPr>
      <t xml:space="preserve"> (Cut) then </t>
    </r>
    <r>
      <rPr>
        <b/>
        <sz val="11"/>
        <color theme="1"/>
        <rFont val="Calibri"/>
        <family val="2"/>
        <scheme val="minor"/>
      </rPr>
      <t>Ctrl + V</t>
    </r>
    <r>
      <rPr>
        <sz val="11"/>
        <color theme="1"/>
        <rFont val="Calibri"/>
        <family val="2"/>
        <scheme val="minor"/>
      </rPr>
      <t>.</t>
    </r>
  </si>
  <si>
    <t>Archiving &amp; filing (directory)</t>
  </si>
  <si>
    <r>
      <t>A — Alpha:</t>
    </r>
    <r>
      <rPr>
        <sz val="11"/>
        <color theme="1"/>
        <rFont val="Calibri"/>
        <family val="2"/>
        <scheme val="minor"/>
      </rPr>
      <t xml:space="preserve"> first letter of the name, uppercase (quick sort).</t>
    </r>
  </si>
  <si>
    <r>
      <t>Suggested formula:</t>
    </r>
    <r>
      <rPr>
        <sz val="11"/>
        <color theme="1"/>
        <rFont val="Calibri"/>
        <family val="2"/>
        <scheme val="minor"/>
      </rPr>
      <t xml:space="preserve"> </t>
    </r>
    <r>
      <rPr>
        <sz val="10"/>
        <color theme="1"/>
        <rFont val="Arial Unicode MS"/>
      </rPr>
      <t>=UPPER(LEFT(D2,1))</t>
    </r>
  </si>
  <si>
    <r>
      <t>B — Family:</t>
    </r>
    <r>
      <rPr>
        <sz val="11"/>
        <color theme="1"/>
        <rFont val="Calibri"/>
        <family val="2"/>
        <scheme val="minor"/>
      </rPr>
      <t xml:space="preserve"> broad category (e.g., kitchen, pastry, bakery).</t>
    </r>
  </si>
  <si>
    <r>
      <t>C — Item Type:</t>
    </r>
    <r>
      <rPr>
        <sz val="11"/>
        <color theme="1"/>
        <rFont val="Calibri"/>
        <family val="2"/>
        <scheme val="minor"/>
      </rPr>
      <t xml:space="preserve"> function or nature of the module (e.g., cooking, biscuit, cream, syrup, decoration).</t>
    </r>
  </si>
  <si>
    <r>
      <t>D — Item Name:</t>
    </r>
    <r>
      <rPr>
        <sz val="11"/>
        <color theme="1"/>
        <rFont val="Calibri"/>
        <family val="2"/>
        <scheme val="minor"/>
      </rPr>
      <t xml:space="preserve"> precise and unique title (e.g., </t>
    </r>
    <r>
      <rPr>
        <i/>
        <sz val="11"/>
        <color theme="1"/>
        <rFont val="Calibri"/>
        <family val="2"/>
        <scheme val="minor"/>
      </rPr>
      <t>Bourguignonne garnish</t>
    </r>
    <r>
      <rPr>
        <sz val="11"/>
        <color theme="1"/>
        <rFont val="Calibri"/>
        <family val="2"/>
        <scheme val="minor"/>
      </rPr>
      <t>).</t>
    </r>
  </si>
  <si>
    <r>
      <t>E — Intended for:</t>
    </r>
    <r>
      <rPr>
        <sz val="11"/>
        <color theme="1"/>
        <rFont val="Calibri"/>
        <family val="2"/>
        <scheme val="minor"/>
      </rPr>
      <t xml:space="preserve"> intended use (e.g., main course, entremets, tart).</t>
    </r>
  </si>
  <si>
    <r>
      <t>F — Parent recipe:</t>
    </r>
    <r>
      <rPr>
        <sz val="11"/>
        <color theme="1"/>
        <rFont val="Calibri"/>
        <family val="2"/>
        <scheme val="minor"/>
      </rPr>
      <t xml:space="preserve"> source file (name + date).</t>
    </r>
  </si>
  <si>
    <r>
      <t>Recommended convention:</t>
    </r>
    <r>
      <rPr>
        <sz val="11"/>
        <color theme="1"/>
        <rFont val="Calibri"/>
        <family val="2"/>
        <scheme val="minor"/>
      </rPr>
      <t xml:space="preserve"> </t>
    </r>
    <r>
      <rPr>
        <sz val="10"/>
        <color theme="1"/>
        <rFont val="Arial Unicode MS"/>
      </rPr>
      <t>RecipeName_YYYY-MM-DD.xlsx</t>
    </r>
  </si>
  <si>
    <r>
      <t>Example:</t>
    </r>
    <r>
      <rPr>
        <sz val="11"/>
        <color theme="1"/>
        <rFont val="Calibri"/>
        <family val="2"/>
        <scheme val="minor"/>
      </rPr>
      <t xml:space="preserve"> </t>
    </r>
    <r>
      <rPr>
        <sz val="10"/>
        <color theme="1"/>
        <rFont val="Arial Unicode MS"/>
      </rPr>
      <t>BoeufBourguignon_2023-09-20.xlsx</t>
    </r>
  </si>
  <si>
    <t>Example</t>
  </si>
  <si>
    <t>A: G</t>
  </si>
  <si>
    <t>B: kitchen</t>
  </si>
  <si>
    <t>C: cooking</t>
  </si>
  <si>
    <t>D: Bourguignonne garnish</t>
  </si>
  <si>
    <t>E: main course</t>
  </si>
  <si>
    <t>F: BoeufBourguignon_2023-09-20.xlsx</t>
  </si>
  <si>
    <t>Guía de usuario – Fichas de recetas modulares</t>
  </si>
  <si>
    <t>Para componer rápidamente recetas a medida gracias a:</t>
  </si>
  <si>
    <r>
      <t xml:space="preserve">una </t>
    </r>
    <r>
      <rPr>
        <b/>
        <sz val="11"/>
        <color theme="1"/>
        <rFont val="Calibri"/>
        <family val="2"/>
        <scheme val="minor"/>
      </rPr>
      <t>Ficha fija (preformateada)</t>
    </r>
    <r>
      <rPr>
        <sz val="11"/>
        <color theme="1"/>
        <rFont val="Calibri"/>
        <family val="2"/>
        <scheme val="minor"/>
      </rPr>
      <t>: soporte principal que permanece en su sitio;</t>
    </r>
  </si>
  <si>
    <t>2) Los dos elementos</t>
  </si>
  <si>
    <t>A. Ficha fija (preformateada)</t>
  </si>
  <si>
    <r>
      <t>Función:</t>
    </r>
    <r>
      <rPr>
        <sz val="11"/>
        <color theme="1"/>
        <rFont val="Calibri"/>
        <family val="2"/>
        <scheme val="minor"/>
      </rPr>
      <t xml:space="preserve"> página de montaje de la receta.</t>
    </r>
  </si>
  <si>
    <t>Contenido:</t>
  </si>
  <si>
    <t>Lista de géneros/alimentos (ingredientes)</t>
  </si>
  <si>
    <t>Cantidades precisas definidas por el autor</t>
  </si>
  <si>
    <r>
      <t>Acciones:</t>
    </r>
    <r>
      <rPr>
        <sz val="11"/>
        <color theme="1"/>
        <rFont val="Calibri"/>
        <family val="2"/>
        <scheme val="minor"/>
      </rPr>
      <t xml:space="preserve"> añadir, desplazar, sustituir para personalizar la receta.</t>
    </r>
  </si>
  <si>
    <t>3) Crear una receta (paso a paso)</t>
  </si>
  <si>
    <t>1. Elegir la base</t>
  </si>
  <si>
    <t>2. Añadir los rellenos</t>
  </si>
  <si>
    <t>Péguelos debajo de la base.</t>
  </si>
  <si>
    <t>3. Terminar con las terminaciones</t>
  </si>
  <si>
    <t>4. Ajustar</t>
  </si>
  <si>
    <t>Modifique las cantidades si es necesario (según el formato de producción).</t>
  </si>
  <si>
    <t>4) Ejemplo exprés: un pastel</t>
  </si>
  <si>
    <r>
      <t>Resultado:</t>
    </r>
    <r>
      <rPr>
        <sz val="11"/>
        <color theme="1"/>
        <rFont val="Calibri"/>
        <family val="2"/>
        <scheme val="minor"/>
      </rPr>
      <t xml:space="preserve"> la ficha final reúne todos los módulos necesarios en un mismo lugar.</t>
    </r>
  </si>
  <si>
    <t>Lo mismo para recetas de cocina o charcutería: use los directorios.</t>
  </si>
  <si>
    <t>5) Buenas prácticas</t>
  </si>
  <si>
    <t>Estandarizar unidades (g, kg, L) y formatos de cantidad.</t>
  </si>
  <si>
    <t>Verificar los totales si su plantilla calcula cantidades o coste.</t>
  </si>
  <si>
    <t>6) Trucos útiles de Excel</t>
  </si>
  <si>
    <r>
      <t>Conservar el formato:</t>
    </r>
    <r>
      <rPr>
        <sz val="11"/>
        <color theme="1"/>
        <rFont val="Calibri"/>
        <family val="2"/>
        <scheme val="minor"/>
      </rPr>
      <t xml:space="preserve"> usar Pegado especial → Mantener formato de origen.</t>
    </r>
  </si>
  <si>
    <r>
      <t>Impresión limpia:</t>
    </r>
    <r>
      <rPr>
        <sz val="11"/>
        <color theme="1"/>
        <rFont val="Calibri"/>
        <family val="2"/>
        <scheme val="minor"/>
      </rPr>
      <t xml:space="preserve"> definir un área de impresión alrededor de la ficha fija.</t>
    </r>
  </si>
  <si>
    <r>
      <t>Bloquear la ficha fija</t>
    </r>
    <r>
      <rPr>
        <sz val="11"/>
        <color theme="1"/>
        <rFont val="Calibri"/>
        <family val="2"/>
        <scheme val="minor"/>
      </rPr>
      <t xml:space="preserve"> (si procede) para evitar modificar la plantilla por error.</t>
    </r>
  </si>
  <si>
    <t>7) FAQ rápida</t>
  </si>
  <si>
    <r>
      <t>R:</t>
    </r>
    <r>
      <rPr>
        <sz val="11"/>
        <color theme="1"/>
        <rFont val="Calibri"/>
        <family val="2"/>
        <scheme val="minor"/>
      </rPr>
      <t xml:space="preserve"> Directamente en la ficha de receta fija, en las zonas previstas (base, rellenos, terminaciones).</t>
    </r>
  </si>
  <si>
    <t>8) Resumen en una frase</t>
  </si>
  <si>
    <t>9) Copiar / pegar un Post-it</t>
  </si>
  <si>
    <t>Pasos (método sencillo)</t>
  </si>
  <si>
    <t>1. Apuntar a la esquina superior izquierda</t>
  </si>
  <si>
    <t>Coloque el cursor en la primera celda del Post-it (esquina superior izquierda, celda A).</t>
  </si>
  <si>
    <t>2. Seleccionar todo el Post-it</t>
  </si>
  <si>
    <t>Con el ratón: clic y arrastre hasta la esquina inferior derecha del bloque.</t>
  </si>
  <si>
    <t>O más rápido: clic en la primera celda A y luego Mayús (Shift) + clic en la celda de la esquina inferior derecha.</t>
  </si>
  <si>
    <r>
      <t>Truco de teclado:</t>
    </r>
    <r>
      <rPr>
        <sz val="11"/>
        <color theme="1"/>
        <rFont val="Calibri"/>
        <family val="2"/>
        <scheme val="minor"/>
      </rPr>
      <t xml:space="preserve"> si el Post-it es un bloque compacto (sin filas/columnas vacías), </t>
    </r>
    <r>
      <rPr>
        <b/>
        <sz val="11"/>
        <color theme="1"/>
        <rFont val="Calibri"/>
        <family val="2"/>
        <scheme val="minor"/>
      </rPr>
      <t>Ctrl + A</t>
    </r>
    <r>
      <rPr>
        <sz val="11"/>
        <color theme="1"/>
        <rFont val="Calibri"/>
        <family val="2"/>
        <scheme val="minor"/>
      </rPr>
      <t xml:space="preserve"> selecciona toda la “región”.</t>
    </r>
  </si>
  <si>
    <t>3. Copiar</t>
  </si>
  <si>
    <r>
      <t xml:space="preserve">Pulse </t>
    </r>
    <r>
      <rPr>
        <b/>
        <sz val="11"/>
        <color theme="1"/>
        <rFont val="Calibri"/>
        <family val="2"/>
        <scheme val="minor"/>
      </rPr>
      <t>Ctrl + C</t>
    </r>
    <r>
      <rPr>
        <sz val="11"/>
        <color theme="1"/>
        <rFont val="Calibri"/>
        <family val="2"/>
        <scheme val="minor"/>
      </rPr>
      <t xml:space="preserve"> (o clic derecho → Copiar).</t>
    </r>
  </si>
  <si>
    <t>4. Pegar en el directorio</t>
  </si>
  <si>
    <r>
      <t xml:space="preserve">Para conservar el formato, use </t>
    </r>
    <r>
      <rPr>
        <b/>
        <sz val="11"/>
        <color theme="1"/>
        <rFont val="Calibri"/>
        <family val="2"/>
        <scheme val="minor"/>
      </rPr>
      <t>Pegado especial → Mantener origen</t>
    </r>
    <r>
      <rPr>
        <sz val="11"/>
        <color theme="1"/>
        <rFont val="Calibri"/>
        <family val="2"/>
        <scheme val="minor"/>
      </rPr>
      <t>.</t>
    </r>
  </si>
  <si>
    <r>
      <t xml:space="preserve">Para pegar solo valores, elija </t>
    </r>
    <r>
      <rPr>
        <b/>
        <sz val="11"/>
        <color theme="1"/>
        <rFont val="Calibri"/>
        <family val="2"/>
        <scheme val="minor"/>
      </rPr>
      <t>Pegado especial → Valores</t>
    </r>
    <r>
      <rPr>
        <sz val="11"/>
        <color theme="1"/>
        <rFont val="Calibri"/>
        <family val="2"/>
        <scheme val="minor"/>
      </rPr>
      <t>.</t>
    </r>
  </si>
  <si>
    <r>
      <t>Consejo:</t>
    </r>
    <r>
      <rPr>
        <sz val="11"/>
        <color theme="1"/>
        <rFont val="Calibri"/>
        <family val="2"/>
        <scheme val="minor"/>
      </rPr>
      <t xml:space="preserve"> para </t>
    </r>
    <r>
      <rPr>
        <b/>
        <sz val="11"/>
        <color theme="1"/>
        <rFont val="Calibri"/>
        <family val="2"/>
        <scheme val="minor"/>
      </rPr>
      <t>mover</t>
    </r>
    <r>
      <rPr>
        <sz val="11"/>
        <color theme="1"/>
        <rFont val="Calibri"/>
        <family val="2"/>
        <scheme val="minor"/>
      </rPr>
      <t xml:space="preserve"> un Post-it (en lugar de duplicarlo), use </t>
    </r>
    <r>
      <rPr>
        <b/>
        <sz val="11"/>
        <color theme="1"/>
        <rFont val="Calibri"/>
        <family val="2"/>
        <scheme val="minor"/>
      </rPr>
      <t>Ctrl + X</t>
    </r>
    <r>
      <rPr>
        <sz val="11"/>
        <color theme="1"/>
        <rFont val="Calibri"/>
        <family val="2"/>
        <scheme val="minor"/>
      </rPr>
      <t xml:space="preserve"> (Cortar) y luego </t>
    </r>
    <r>
      <rPr>
        <b/>
        <sz val="11"/>
        <color theme="1"/>
        <rFont val="Calibri"/>
        <family val="2"/>
        <scheme val="minor"/>
      </rPr>
      <t>Ctrl + V</t>
    </r>
    <r>
      <rPr>
        <sz val="11"/>
        <color theme="1"/>
        <rFont val="Calibri"/>
        <family val="2"/>
        <scheme val="minor"/>
      </rPr>
      <t>.</t>
    </r>
  </si>
  <si>
    <t>Archivo y clasificación (directorio)</t>
  </si>
  <si>
    <r>
      <t>A — Alfa:</t>
    </r>
    <r>
      <rPr>
        <sz val="11"/>
        <color theme="1"/>
        <rFont val="Calibri"/>
        <family val="2"/>
        <scheme val="minor"/>
      </rPr>
      <t xml:space="preserve"> primera letra del nombre, en mayúscula (orden rápido).</t>
    </r>
  </si>
  <si>
    <r>
      <t>Fórmula sugerida:</t>
    </r>
    <r>
      <rPr>
        <sz val="11"/>
        <color theme="1"/>
        <rFont val="Calibri"/>
        <family val="2"/>
        <scheme val="minor"/>
      </rPr>
      <t xml:space="preserve"> </t>
    </r>
    <r>
      <rPr>
        <sz val="10"/>
        <color theme="1"/>
        <rFont val="Arial Unicode MS"/>
      </rPr>
      <t>=MAYUSC(IZQUIERDA(D2;1))</t>
    </r>
  </si>
  <si>
    <r>
      <t>B — Familia:</t>
    </r>
    <r>
      <rPr>
        <sz val="11"/>
        <color theme="1"/>
        <rFont val="Calibri"/>
        <family val="2"/>
        <scheme val="minor"/>
      </rPr>
      <t xml:space="preserve"> categoría amplia (p. ej., cocina, pastelería, panadería).</t>
    </r>
  </si>
  <si>
    <r>
      <t>C — Tipo de elemento:</t>
    </r>
    <r>
      <rPr>
        <sz val="11"/>
        <color theme="1"/>
        <rFont val="Calibri"/>
        <family val="2"/>
        <scheme val="minor"/>
      </rPr>
      <t xml:space="preserve"> función o naturaleza del módulo (p. ej., cocción, bizcocho, crema, almíbar, decoración).</t>
    </r>
  </si>
  <si>
    <r>
      <t>D — Nombre del elemento:</t>
    </r>
    <r>
      <rPr>
        <sz val="11"/>
        <color theme="1"/>
        <rFont val="Calibri"/>
        <family val="2"/>
        <scheme val="minor"/>
      </rPr>
      <t xml:space="preserve"> título preciso y único (p. ej., </t>
    </r>
    <r>
      <rPr>
        <i/>
        <sz val="11"/>
        <color theme="1"/>
        <rFont val="Calibri"/>
        <family val="2"/>
        <scheme val="minor"/>
      </rPr>
      <t>Guarnición bourguignonne</t>
    </r>
    <r>
      <rPr>
        <sz val="11"/>
        <color theme="1"/>
        <rFont val="Calibri"/>
        <family val="2"/>
        <scheme val="minor"/>
      </rPr>
      <t>).</t>
    </r>
  </si>
  <si>
    <r>
      <t>E — Preparación para:</t>
    </r>
    <r>
      <rPr>
        <sz val="11"/>
        <color theme="1"/>
        <rFont val="Calibri"/>
        <family val="2"/>
        <scheme val="minor"/>
      </rPr>
      <t xml:space="preserve"> uso previsto (p. ej., plato principal, entremeses, tarta).</t>
    </r>
  </si>
  <si>
    <r>
      <t>F — Receta madre:</t>
    </r>
    <r>
      <rPr>
        <sz val="11"/>
        <color theme="1"/>
        <rFont val="Calibri"/>
        <family val="2"/>
        <scheme val="minor"/>
      </rPr>
      <t xml:space="preserve"> archivo fuente (nombre + fecha).</t>
    </r>
  </si>
  <si>
    <r>
      <t>Convención recomendada:</t>
    </r>
    <r>
      <rPr>
        <sz val="11"/>
        <color theme="1"/>
        <rFont val="Calibri"/>
        <family val="2"/>
        <scheme val="minor"/>
      </rPr>
      <t xml:space="preserve"> </t>
    </r>
    <r>
      <rPr>
        <sz val="10"/>
        <color theme="1"/>
        <rFont val="Arial Unicode MS"/>
      </rPr>
      <t>NombreReceta_AAAA-MM-DD.xlsx</t>
    </r>
  </si>
  <si>
    <r>
      <t>Ejemplo:</t>
    </r>
    <r>
      <rPr>
        <sz val="11"/>
        <color theme="1"/>
        <rFont val="Calibri"/>
        <family val="2"/>
        <scheme val="minor"/>
      </rPr>
      <t xml:space="preserve"> </t>
    </r>
    <r>
      <rPr>
        <sz val="10"/>
        <color theme="1"/>
        <rFont val="Arial Unicode MS"/>
      </rPr>
      <t>BoeufBourguignon_2023-09-20.xlsx</t>
    </r>
  </si>
  <si>
    <t>Ejemplo</t>
  </si>
  <si>
    <t>B: cocina</t>
  </si>
  <si>
    <t>C: cocción</t>
  </si>
  <si>
    <t>D: Guarnición bourguignonne</t>
  </si>
  <si>
    <t>E: plato principal</t>
  </si>
  <si>
    <t>1) Para qué sirve este sistema?</t>
  </si>
  <si>
    <t>It does not move: you stick the "Postit" blocks onto it.</t>
  </si>
  <si>
    <t>No se mueve: ahí se pegan los "Postit".</t>
  </si>
  <si>
    <t>B. "Postit" blocks (detachable parts)</t>
  </si>
  <si>
    <t>B. "Postit" (partes desmontables)</t>
  </si>
  <si>
    <t>One "Postit" = one module (e.g., sponge, cream, syrup, decoration).</t>
  </si>
  <si>
    <t>Un "Postit" = un módulo (p. ej., bizcocho, crema, almíbar, decoración).</t>
  </si>
  <si>
    <t>Select one or two Cream/Ganache/Compote "Postit" blocks.</t>
  </si>
  <si>
    <t>Seleccione uno o dos "Postit" Crema/Ganache/Compota.</t>
  </si>
  <si>
    <t>Add the Decoration "Postit" (glaze, fruit, toppings).</t>
  </si>
  <si>
    <t>Añada el "Postit" Decoración (glaseado, fruta, toppings).</t>
  </si>
  <si>
    <t>Replace a "Postit" to create a variant (e.g., ganache → chantilly).</t>
  </si>
  <si>
    <t>Sustituya un "Postit" para crear una variante (p. ej., ganache → chantilly).</t>
  </si>
  <si>
    <t>Base: "Postit" Sponge (génoise)</t>
  </si>
  <si>
    <t>Base: "Postit" Bizcocho (génoise)</t>
  </si>
  <si>
    <t>Filling: "Postit" Mousseline cream + (optional) fruit compote</t>
  </si>
  <si>
    <t>Relleno: "Postit" Crema muselina + (opcional) compota de fruta</t>
  </si>
  <si>
    <t>Finish: "Postit" Decoration – mirror glaze + fresh fruit</t>
  </si>
  <si>
    <t>Terminación: "Postit" Decoración – glaseado espejo + fruta fresca</t>
  </si>
  <si>
    <t>One module = one "Postit" (clear and reusable).</t>
  </si>
  <si>
    <t>Un módulo = un "Postit" (claro y reutilizable).</t>
  </si>
  <si>
    <t>Centralize a directory of validated "Postit" blocks to avoid duplicates.</t>
  </si>
  <si>
    <t>Centralizar un directorio de "Postit" validados para evitar duplicados.</t>
  </si>
  <si>
    <t>Create variants by duplicating a "Postit" (e.g., “Pistachio cream – light version”).</t>
  </si>
  <si>
    <t>Crear variantes duplicando un "Postit" (p. ej., “Crema de pistacho – versión ligera”).</t>
  </si>
  <si>
    <t>Duplicate a "Postit": right-click → Copy → Paste (or Ctrl+C / Ctrl+V).</t>
  </si>
  <si>
    <t>Duplicar un "Postit": clic derecho → Copiar → Pegar (o Ctrl+C / Ctrl+V).</t>
  </si>
  <si>
    <t>Move a "Postit": Cut/Paste (Ctrl+X / Ctrl+V) to keep formatting.</t>
  </si>
  <si>
    <t>Mover un "Postit": Cortar/Pegar (Ctrl+X / Ctrl+V) para conservar el formato.</t>
  </si>
  <si>
    <t>Q: Where do the "Postit" blocks go?</t>
  </si>
  <si>
    <t>Q: Can I change a "Postit"’s quantities?</t>
  </si>
  <si>
    <t>A: Yes. Edit the quantities in the pasted "Postit" (or create a variant).</t>
  </si>
  <si>
    <t>R: Sí. Modifique las cantidades en el "Postit" pegado (o cree una variante).</t>
  </si>
  <si>
    <t>A: Duplicate a blank fixed sheet → assemble the desired "Postit" blocks → adjust → save.</t>
  </si>
  <si>
    <t>R: Duplique una ficha fija en blanco → monte los "Postit" deseados → ajuste → guarde.</t>
  </si>
  <si>
    <t>P: Dónde se pegan los "Postit"?</t>
  </si>
  <si>
    <t>P: Puedo cambiar las cantidades de un "Postit"?</t>
  </si>
  <si>
    <r>
      <t>P:</t>
    </r>
    <r>
      <rPr>
        <sz val="11"/>
        <color theme="1"/>
        <rFont val="Calibri"/>
        <family val="2"/>
        <scheme val="minor"/>
      </rPr>
      <t xml:space="preserve"> Cómo crear una receta nueva?</t>
    </r>
  </si>
  <si>
    <t>des "Postit"s (parties détachables) : petits blocs Ingrédients</t>
  </si>
  <si>
    <t xml:space="preserve"> '+ Quantités que l’on ajoute/retire pour construire la recette.</t>
  </si>
  <si>
    <t xml:space="preserve">"Postit" blocks (detachable parts): small Ingredients </t>
  </si>
  <si>
    <t>'+ Quantities chunks you add/remove to build the recipe.</t>
  </si>
  <si>
    <t xml:space="preserve">bloques "Postit" (partes desmontables): pequeños bloques Ingredientes </t>
  </si>
  <si>
    <t>'+ Cantidades que se añaden o retiran para construir la receta.</t>
  </si>
  <si>
    <t>Contenu : titres, zones pour "Postit"s (base, garnitures, finitions),</t>
  </si>
  <si>
    <t xml:space="preserve"> info de calcul/production (si prévu par votre modèle).</t>
  </si>
  <si>
    <t xml:space="preserve">Contents: headings, areas for "Postit" blocks (base, fillings, finishes), </t>
  </si>
  <si>
    <t>calculation/production info (if provided by your template).</t>
  </si>
  <si>
    <t>Contenido: títulos, zonas para "Postit" (base, rellenos, terminaciones),</t>
  </si>
  <si>
    <t xml:space="preserve"> información de cálculo/producción (si su plantilla lo prevé).</t>
  </si>
  <si>
    <t>Vous pouvez regrouper plusieurs "Postit"s sur la même fiche</t>
  </si>
  <si>
    <t xml:space="preserve"> pour obtenir une recette complète et lisible.</t>
  </si>
  <si>
    <t>You can group multiple "Postit" blocks on the same sheet</t>
  </si>
  <si>
    <t xml:space="preserve"> to produce a complete, readable recipe.</t>
  </si>
  <si>
    <t xml:space="preserve">Puede agrupar varios "Postit" en la misma ficha </t>
  </si>
  <si>
    <t>para obtener una receta completa y legible.</t>
  </si>
  <si>
    <t xml:space="preserve">Nommer clairement les "Postit"s : Biscuit – Dacquoise amande, </t>
  </si>
  <si>
    <t>Crème – Ganache 70%, Décor – Nappage neutre.</t>
  </si>
  <si>
    <t xml:space="preserve">Name "Postit" blocks clearly: Biscuit – Almond dacquoise, </t>
  </si>
  <si>
    <t>Cream – 70% ganache, Decor – Neutral glaze.</t>
  </si>
  <si>
    <t>Nombrar claramente los "Postit": Bizcocho – Dacquoise de almendra,</t>
  </si>
  <si>
    <t xml:space="preserve"> Crema – Ganache 70%, Decoración – Glaseado neutro.</t>
  </si>
  <si>
    <t xml:space="preserve">La fiche fixe est votre support ; les "Postit"s sont vos blocs “Ingrédients </t>
  </si>
  <si>
    <t>'+ Quantités”. Assemblez-les, ajustez, imprimez : recette prête.</t>
  </si>
  <si>
    <t>The fixed sheet is your support; the "Postit" blocks are your Ingredients</t>
  </si>
  <si>
    <t xml:space="preserve"> '+ Quantities modules. Assemble, adjust, print: recipe ready.</t>
  </si>
  <si>
    <t>La ficha fija es su soporte; los "Postit" son sus módulos Ingredientes</t>
  </si>
  <si>
    <t xml:space="preserve"> '+ Cantidades. Monte, ajuste, imprima: receta lista.</t>
  </si>
  <si>
    <t>Escribo intencionadamente “Postit” porque la otra versión es una marca registrada.</t>
  </si>
  <si>
    <t xml:space="preserve">je saisis volontairement "Postit" parce que l'autre version est une marque </t>
  </si>
  <si>
    <t>I intentionally use “Postit” because the other version is a trademark.</t>
  </si>
  <si>
    <t xml:space="preserve">Allez dans la feuille/zone “Répertoire”, cliquez sur la cellule de destination (coin haut gauche) </t>
  </si>
  <si>
    <t>puis Ctrl + V (ou clic droit → Coller).</t>
  </si>
  <si>
    <r>
      <t xml:space="preserve">Go to the </t>
    </r>
    <r>
      <rPr>
        <b/>
        <sz val="11"/>
        <color theme="1"/>
        <rFont val="Calibri"/>
        <family val="2"/>
        <scheme val="minor"/>
      </rPr>
      <t>“Directory”</t>
    </r>
    <r>
      <rPr>
        <sz val="11"/>
        <color theme="1"/>
        <rFont val="Calibri"/>
        <family val="2"/>
        <scheme val="minor"/>
      </rPr>
      <t xml:space="preserve"> sheet/area, click the destination cell (top-left corner),</t>
    </r>
  </si>
  <si>
    <t xml:space="preserve"> then Ctrl + V (or right-click → Paste).</t>
  </si>
  <si>
    <r>
      <t xml:space="preserve">Vaya a la hoja/zona </t>
    </r>
    <r>
      <rPr>
        <b/>
        <sz val="11"/>
        <color theme="1"/>
        <rFont val="Calibri"/>
        <family val="2"/>
        <scheme val="minor"/>
      </rPr>
      <t>“Directorio”</t>
    </r>
    <r>
      <rPr>
        <sz val="11"/>
        <color theme="1"/>
        <rFont val="Calibri"/>
        <family val="2"/>
        <scheme val="minor"/>
      </rPr>
      <t>, haga clic en la celda de destino (esquina superior izquierda)</t>
    </r>
  </si>
  <si>
    <t xml:space="preserve"> y luego Ctrl + V (o clic derecho → Pegar).</t>
  </si>
  <si>
    <t>Français</t>
  </si>
  <si>
    <t>Organización de Recetas (Cocina, Pastelería, Charcutería)</t>
  </si>
  <si>
    <t>Click the first cell, then in the formula bar select the number you’re interested in. Choose the font and color you prefer.</t>
  </si>
  <si>
    <t>Haga clic en la primera celda y, en la barra de fórmulas, seleccione el número que le interese. Elija la fuente y el color que prefiera.</t>
  </si>
  <si>
    <r>
      <t>Note:</t>
    </r>
    <r>
      <rPr>
        <sz val="11"/>
        <color theme="1"/>
        <rFont val="Calibri"/>
        <family val="2"/>
        <scheme val="minor"/>
      </rPr>
      <t xml:space="preserve"> Depending on your Excel version, the decimal separator may be either a comma or a dot. I used a </t>
    </r>
    <r>
      <rPr>
        <b/>
        <sz val="11"/>
        <color theme="1"/>
        <rFont val="Calibri"/>
        <family val="2"/>
        <scheme val="minor"/>
      </rPr>
      <t>dot</t>
    </r>
    <r>
      <rPr>
        <sz val="11"/>
        <color theme="1"/>
        <rFont val="Calibri"/>
        <family val="2"/>
        <scheme val="minor"/>
      </rPr>
      <t>.</t>
    </r>
  </si>
  <si>
    <t>So if a formula doesn’t display the expected value, double-check these separators:</t>
  </si>
  <si>
    <t>File &gt; Options &gt; Advanced &gt; Editing options</t>
  </si>
  <si>
    <r>
      <t xml:space="preserve">System separators are set in </t>
    </r>
    <r>
      <rPr>
        <b/>
        <sz val="11"/>
        <color theme="1"/>
        <rFont val="Calibri"/>
        <family val="2"/>
        <scheme val="minor"/>
      </rPr>
      <t>Control Panel &gt; Region settings</t>
    </r>
    <r>
      <rPr>
        <sz val="11"/>
        <color theme="1"/>
        <rFont val="Calibri"/>
        <family val="2"/>
        <scheme val="minor"/>
      </rPr>
      <t>.</t>
    </r>
  </si>
  <si>
    <r>
      <t xml:space="preserve">In </t>
    </r>
    <r>
      <rPr>
        <b/>
        <sz val="11"/>
        <color theme="1"/>
        <rFont val="Calibri"/>
        <family val="2"/>
        <scheme val="minor"/>
      </rPr>
      <t>Excel (French UI)</t>
    </r>
    <r>
      <rPr>
        <sz val="11"/>
        <color theme="1"/>
        <rFont val="Calibri"/>
        <family val="2"/>
        <scheme val="minor"/>
      </rPr>
      <t xml:space="preserve">, tick </t>
    </r>
    <r>
      <rPr>
        <b/>
        <sz val="11"/>
        <color theme="1"/>
        <rFont val="Calibri"/>
        <family val="2"/>
        <scheme val="minor"/>
      </rPr>
      <t>Use system separators</t>
    </r>
  </si>
  <si>
    <r>
      <t>Atención:</t>
    </r>
    <r>
      <rPr>
        <sz val="11"/>
        <color theme="1"/>
        <rFont val="Calibri"/>
        <family val="2"/>
        <scheme val="minor"/>
      </rPr>
      <t xml:space="preserve"> según la versión de Excel, el separador decimal puede ser </t>
    </r>
    <r>
      <rPr>
        <b/>
        <sz val="11"/>
        <color theme="1"/>
        <rFont val="Calibri"/>
        <family val="2"/>
        <scheme val="minor"/>
      </rPr>
      <t>coma</t>
    </r>
    <r>
      <rPr>
        <sz val="11"/>
        <color theme="1"/>
        <rFont val="Calibri"/>
        <family val="2"/>
        <scheme val="minor"/>
      </rPr>
      <t xml:space="preserve"> o </t>
    </r>
    <r>
      <rPr>
        <b/>
        <sz val="11"/>
        <color theme="1"/>
        <rFont val="Calibri"/>
        <family val="2"/>
        <scheme val="minor"/>
      </rPr>
      <t>punto</t>
    </r>
    <r>
      <rPr>
        <sz val="11"/>
        <color theme="1"/>
        <rFont val="Calibri"/>
        <family val="2"/>
        <scheme val="minor"/>
      </rPr>
      <t xml:space="preserve">. Yo utilicé </t>
    </r>
    <r>
      <rPr>
        <b/>
        <sz val="11"/>
        <color theme="1"/>
        <rFont val="Calibri"/>
        <family val="2"/>
        <scheme val="minor"/>
      </rPr>
      <t>punto</t>
    </r>
    <r>
      <rPr>
        <sz val="11"/>
        <color theme="1"/>
        <rFont val="Calibri"/>
        <family val="2"/>
        <scheme val="minor"/>
      </rPr>
      <t>.</t>
    </r>
  </si>
  <si>
    <t>Si una fórmula no muestra el valor esperado, verifique estos separadores:</t>
  </si>
  <si>
    <t>Archivo &gt; Opciones &gt; Avanzadas &gt; Opciones de edición</t>
  </si>
  <si>
    <r>
      <t xml:space="preserve">Los separadores del sistema se definen en </t>
    </r>
    <r>
      <rPr>
        <b/>
        <sz val="11"/>
        <color theme="1"/>
        <rFont val="Calibri"/>
        <family val="2"/>
        <scheme val="minor"/>
      </rPr>
      <t>Panel de control &gt; Configuración regional</t>
    </r>
    <r>
      <rPr>
        <sz val="11"/>
        <color theme="1"/>
        <rFont val="Calibri"/>
        <family val="2"/>
        <scheme val="minor"/>
      </rPr>
      <t>.</t>
    </r>
  </si>
  <si>
    <r>
      <t xml:space="preserve">En </t>
    </r>
    <r>
      <rPr>
        <b/>
        <sz val="11"/>
        <color theme="1"/>
        <rFont val="Calibri"/>
        <family val="2"/>
        <scheme val="minor"/>
      </rPr>
      <t>Excel (interfaz en francés)</t>
    </r>
    <r>
      <rPr>
        <sz val="11"/>
        <color theme="1"/>
        <rFont val="Calibri"/>
        <family val="2"/>
        <scheme val="minor"/>
      </rPr>
      <t xml:space="preserve">, marque </t>
    </r>
    <r>
      <rPr>
        <b/>
        <sz val="11"/>
        <color theme="1"/>
        <rFont val="Calibri"/>
        <family val="2"/>
        <scheme val="minor"/>
      </rPr>
      <t>Usar separadores del sistema</t>
    </r>
    <r>
      <rPr>
        <sz val="11"/>
        <color theme="1"/>
        <rFont val="Calibri"/>
        <family val="2"/>
        <scheme val="minor"/>
      </rPr>
      <t>.</t>
    </r>
  </si>
  <si>
    <r>
      <t xml:space="preserve">To hide zero values, go to </t>
    </r>
    <r>
      <rPr>
        <b/>
        <sz val="11"/>
        <color theme="1"/>
        <rFont val="Calibri"/>
        <family val="2"/>
        <scheme val="minor"/>
      </rPr>
      <t>File &gt; Options &gt; Advanced</t>
    </r>
    <r>
      <rPr>
        <sz val="11"/>
        <color theme="1"/>
        <rFont val="Calibri"/>
        <family val="2"/>
        <scheme val="minor"/>
      </rPr>
      <t xml:space="preserve">, then uncheck </t>
    </r>
    <r>
      <rPr>
        <b/>
        <sz val="11"/>
        <color theme="1"/>
        <rFont val="Calibri"/>
        <family val="2"/>
        <scheme val="minor"/>
      </rPr>
      <t>Show a zero in cells that have zero value</t>
    </r>
  </si>
  <si>
    <r>
      <t xml:space="preserve">Para ocultar los valores cero, vaya a </t>
    </r>
    <r>
      <rPr>
        <b/>
        <sz val="11"/>
        <color theme="1"/>
        <rFont val="Calibri"/>
        <family val="2"/>
        <scheme val="minor"/>
      </rPr>
      <t>Archivo &gt; Opciones &gt; Avanzadas</t>
    </r>
    <r>
      <rPr>
        <sz val="11"/>
        <color theme="1"/>
        <rFont val="Calibri"/>
        <family val="2"/>
        <scheme val="minor"/>
      </rPr>
      <t xml:space="preserve"> y desmarque </t>
    </r>
    <r>
      <rPr>
        <b/>
        <sz val="11"/>
        <color theme="1"/>
        <rFont val="Calibri"/>
        <family val="2"/>
        <scheme val="minor"/>
      </rPr>
      <t>Mostrar un cero en las celdas que tienen valor cero</t>
    </r>
    <r>
      <rPr>
        <sz val="11"/>
        <color theme="1"/>
        <rFont val="Calibri"/>
        <family val="2"/>
        <scheme val="minor"/>
      </rPr>
      <t>.</t>
    </r>
  </si>
  <si>
    <t>Dernière mise à jour : 21 Octobre 2025</t>
  </si>
  <si>
    <t>Fin du document cellule &gt;End of document — cell - Fin del documento — celda &gt;</t>
  </si>
  <si>
    <t>graisse d'oie</t>
  </si>
  <si>
    <t>compote de pomme</t>
  </si>
  <si>
    <t>crème liquide</t>
  </si>
  <si>
    <t>vinaigre de xéres</t>
  </si>
  <si>
    <t>blanc d'œuf</t>
  </si>
  <si>
    <t>sang</t>
  </si>
  <si>
    <t>poivre et épices en mélange</t>
  </si>
  <si>
    <t>foie gras cuit QS</t>
  </si>
  <si>
    <t>oignons cuits/crus= 700g</t>
  </si>
  <si>
    <t>coquetiers de 25 g</t>
  </si>
  <si>
    <t>porto rouge</t>
  </si>
  <si>
    <t xml:space="preserve">jus de veau </t>
  </si>
  <si>
    <t>fécule QS</t>
  </si>
  <si>
    <t>Coquetiers de l'Antoine</t>
  </si>
  <si>
    <t>Guy KRENZE - Eric GODDYN - Arnaud NICOLAS - CEPROC 2002</t>
  </si>
  <si>
    <t>le Boudin en 4 déclinaisons</t>
  </si>
  <si>
    <t>cuire les oignons dans la graisse</t>
  </si>
  <si>
    <t>les égoutter et les refroidir légèrement</t>
  </si>
  <si>
    <t>mélanger les autres ingrédients aux oignons</t>
  </si>
  <si>
    <t>rectifier l'assaisonnement si nécessaire</t>
  </si>
  <si>
    <t>sépareer l'appareil en deux</t>
  </si>
  <si>
    <t>mouler en coquetiers en intercalant une tranche de foie grasv (1 cm maxi)</t>
  </si>
  <si>
    <t>entre deux couches d'appareil à boudin (facultatif)</t>
  </si>
  <si>
    <t>cuire au four à 75°C pendant 1H30 jusqu’à 65°C à cœur</t>
  </si>
  <si>
    <t>ajouter 10 % d'humidité dans le four</t>
  </si>
  <si>
    <t>Refroidir et glacer</t>
  </si>
  <si>
    <t>servir chaud</t>
  </si>
  <si>
    <t>graisse de foie gras</t>
  </si>
  <si>
    <t>echalotes ciselées fines</t>
  </si>
  <si>
    <t>cèpes frais (cubes)</t>
  </si>
  <si>
    <t>pieds de porc cuits</t>
  </si>
  <si>
    <t>ail en purée</t>
  </si>
  <si>
    <t>noisettes torréfiées</t>
  </si>
  <si>
    <t>APPAREIL BOUDIN NOIR</t>
  </si>
  <si>
    <t>GLACAGE</t>
  </si>
  <si>
    <t>APPAREIL PIEDS DE PORC</t>
  </si>
  <si>
    <t>faire revenir les échalotes dans la graisse sans coloration</t>
  </si>
  <si>
    <t>tomber les cèpes</t>
  </si>
  <si>
    <t>délayer au porto</t>
  </si>
  <si>
    <t>laisser réduire</t>
  </si>
  <si>
    <t>chemiser</t>
  </si>
  <si>
    <t>mouler à froid</t>
  </si>
  <si>
    <t>ajouter les noisettes concassées</t>
  </si>
  <si>
    <t>à déguster froid</t>
  </si>
  <si>
    <t>Les Auteurs indiquent qu'ils font 20 coquetiers</t>
  </si>
  <si>
    <t>de 25 gr</t>
  </si>
  <si>
    <t>Sincères salutations     Joël leboucher      21/10/2025</t>
  </si>
  <si>
    <t>goose fat</t>
  </si>
  <si>
    <t>grasa de oca</t>
  </si>
  <si>
    <t>onions cooked/raw = 700 g</t>
  </si>
  <si>
    <t>cebollas cocidas/crudas = 700 g</t>
  </si>
  <si>
    <t>apple compote/purée</t>
  </si>
  <si>
    <t>compota/puré de manzana</t>
  </si>
  <si>
    <t>heavy/whipping cream</t>
  </si>
  <si>
    <t>nata líquida/crema líquida</t>
  </si>
  <si>
    <t>sherry vinegar</t>
  </si>
  <si>
    <t>vinagre de Jerez</t>
  </si>
  <si>
    <t>egg white</t>
  </si>
  <si>
    <t>clara de huevo</t>
  </si>
  <si>
    <t>blood</t>
  </si>
  <si>
    <t>sangre</t>
  </si>
  <si>
    <t>mixed pepper &amp; spices</t>
  </si>
  <si>
    <t>mezcla de pimienta y especias</t>
  </si>
  <si>
    <t>salt</t>
  </si>
  <si>
    <t>sal</t>
  </si>
  <si>
    <t>cooked foie gras, QS (to taste)</t>
  </si>
  <si>
    <t>foie gras cocido, c.s. (al gusto)</t>
  </si>
  <si>
    <t>GLAÇAGE</t>
  </si>
  <si>
    <t>GLAZE</t>
  </si>
  <si>
    <t>GLASEADO</t>
  </si>
  <si>
    <t>ruby port</t>
  </si>
  <si>
    <t>oporto tinto</t>
  </si>
  <si>
    <t>veal jus/stock</t>
  </si>
  <si>
    <t>jugo/caldo de ternera</t>
  </si>
  <si>
    <t>starch, QS (as needed)</t>
  </si>
  <si>
    <t>fécula, c.s. (según necesidad)</t>
  </si>
  <si>
    <t>cook the onions in the fat</t>
  </si>
  <si>
    <t>cocer las cebollas en la grasa</t>
  </si>
  <si>
    <t>drain them and cool slightly</t>
  </si>
  <si>
    <t>escurrirlas y enfriar ligeramente</t>
  </si>
  <si>
    <t>mix the other ingredients into the onions</t>
  </si>
  <si>
    <t>mezclar los demás ingredientes con las cebollas</t>
  </si>
  <si>
    <t>rectifier l’assaisonnement si nécessaire</t>
  </si>
  <si>
    <t>adjust seasoning if needed</t>
  </si>
  <si>
    <t>rectificar el sazonado si es necesario</t>
  </si>
  <si>
    <t>séparer l’appareil en deux</t>
  </si>
  <si>
    <t>divide the mixture in two</t>
  </si>
  <si>
    <t>separar el aparato en dos</t>
  </si>
  <si>
    <t>mold in egg cups, layering a 1-cm slice of foie gras between two layers of boudin mixture (optional)</t>
  </si>
  <si>
    <t>moldear en hueveras/coquetiers, intercalando una loncha de foie gras de 1 cm entre dos capas del aparato de morcilla (opcional)</t>
  </si>
  <si>
    <t>cuire au four à 75 °C pendant 1 h 30 jusqu’à 65 °C à cœur</t>
  </si>
  <si>
    <t>bake at 75 °C for 1h30 until 65 °C core temp</t>
  </si>
  <si>
    <t>hornear a 75 °C durante 1h30 hasta 65 °C en el centro</t>
  </si>
  <si>
    <t>ajouter 10 % d’humidité dans le four</t>
  </si>
  <si>
    <t>add 10% humidity in the oven</t>
  </si>
  <si>
    <t>añadir 10 % de humedad en el horno</t>
  </si>
  <si>
    <t>cool and glaze</t>
  </si>
  <si>
    <t>enfriar y glasear</t>
  </si>
  <si>
    <t>serve hot</t>
  </si>
  <si>
    <t>servir caliente</t>
  </si>
  <si>
    <t>egg cups of 25 g</t>
  </si>
  <si>
    <t>The Authors note it yields 20 egg cups</t>
  </si>
  <si>
    <t>of 25 gr</t>
  </si>
  <si>
    <t>Black pudding in 4 variations</t>
  </si>
  <si>
    <t>Morcilla en 4 versiones</t>
  </si>
  <si>
    <t>hueveras de 25 g</t>
  </si>
  <si>
    <t>Los Autores indican que salen 20 coquetiers</t>
  </si>
  <si>
    <t>Hueveras “Antoine” — servido en porciones tipo pastel</t>
  </si>
  <si>
    <t>20 lignes</t>
  </si>
  <si>
    <t>20 lines</t>
  </si>
  <si>
    <t>20 líneas</t>
  </si>
  <si>
    <t>15 lignes</t>
  </si>
  <si>
    <t>15 lines</t>
  </si>
  <si>
    <t>15 líneas</t>
  </si>
  <si>
    <t>Pour supprimer la mise en forme conditionnelle de la col. 11 : collez gomme, puis supprimez gomme et entrez un nombre.</t>
  </si>
  <si>
    <t>Pour supprimer la mise en forme conditionnelle de la col. 11 :</t>
  </si>
  <si>
    <t xml:space="preserve"> collez gomme, puis supprimez gomme et entrez un nombre. ►</t>
  </si>
  <si>
    <t xml:space="preserve">To remove conditional formatting from col. 11: </t>
  </si>
  <si>
    <t>paste gomme, then delete gomme and enter a number.. ►</t>
  </si>
  <si>
    <t>Para quitar el formato condicional de la col. 11:</t>
  </si>
  <si>
    <t xml:space="preserve"> pegue gomme, luego borre gomme y escriba un número. ►</t>
  </si>
  <si>
    <t xml:space="preserve">◄ Pour supprimer la mise en forme conditionnelle de la col. 11 : </t>
  </si>
  <si>
    <t xml:space="preserve"> collez gomme, puis supprimez gomme et entrez un nombre. </t>
  </si>
  <si>
    <t>◄  To remove conditional formatting from col. 11:</t>
  </si>
  <si>
    <t xml:space="preserve"> paste gomme, then delete gomme and enter a number</t>
  </si>
  <si>
    <t xml:space="preserve">◄  Para quitar el formato condicional de la col. 11: </t>
  </si>
  <si>
    <t xml:space="preserve"> pegue gomme, luego borre gomme y escriba un número</t>
  </si>
  <si>
    <t>RODAJA DE MANITAS DE CERDO para terrinas</t>
  </si>
  <si>
    <t>SLICE OF PIG’S TROTTERS  for terrines</t>
  </si>
  <si>
    <t>Pig’s trotters mixture (filling)</t>
  </si>
  <si>
    <t>Aparato/mezcla de manitas de cerdo</t>
  </si>
  <si>
    <t>foie gras fat</t>
  </si>
  <si>
    <t>grasa de foie gras</t>
  </si>
  <si>
    <t>échalotes ciselées fines</t>
  </si>
  <si>
    <t>finely minced shallots</t>
  </si>
  <si>
    <t>chalotas finamente picadas</t>
  </si>
  <si>
    <t>fresh porcini, diced</t>
  </si>
  <si>
    <t>boletus/porcini frescos en cubos</t>
  </si>
  <si>
    <t>cooked pig’s trotters</t>
  </si>
  <si>
    <t>manitas de cerdo cocidas</t>
  </si>
  <si>
    <t>garlic purée</t>
  </si>
  <si>
    <t>puré de ajo</t>
  </si>
  <si>
    <t>toasted hazelnuts</t>
  </si>
  <si>
    <t>avellanas tostadas</t>
  </si>
  <si>
    <t xml:space="preserve">moule L 30 cm X l 9 cm X H 6 cm </t>
  </si>
  <si>
    <t>mold L 30 cm × W 9 cm × H 6 cm</t>
  </si>
  <si>
    <t>molde L 30 cm × A 9 cm × H 6 cm</t>
  </si>
  <si>
    <t>Pig’s trotters mixture</t>
  </si>
  <si>
    <t>Mezcla de manitas de cerdo</t>
  </si>
  <si>
    <t>sweat the shallots in fat without browning</t>
  </si>
  <si>
    <t>pochar las chalotas en grasa sin dorar</t>
  </si>
  <si>
    <t>cook down the porcini (sweat)</t>
  </si>
  <si>
    <t>rehogar los boletus</t>
  </si>
  <si>
    <t>deglaze/thin with port</t>
  </si>
  <si>
    <t>desglasar/diluir con oporto</t>
  </si>
  <si>
    <t>let reduce</t>
  </si>
  <si>
    <t>dejar reducir</t>
  </si>
  <si>
    <t>ajouter l’ail en purée et les pieds émincés</t>
  </si>
  <si>
    <t>add garlic purée and sliced trotters</t>
  </si>
  <si>
    <t>añadir puré de ajo y manitas laminadas</t>
  </si>
  <si>
    <t>line the mold</t>
  </si>
  <si>
    <t>forrar el molde</t>
  </si>
  <si>
    <t>mold cold</t>
  </si>
  <si>
    <t>moldear en frío</t>
  </si>
  <si>
    <t>l’appareil à pieds de porc au fond de la terrine</t>
  </si>
  <si>
    <t>spread the trotters mixture in the bottom of the terrine</t>
  </si>
  <si>
    <t>extender la mezcla de manitas en el fondo de la terrina</t>
  </si>
  <si>
    <t>add crushed hazelnuts</t>
  </si>
  <si>
    <t>añadir avellanas picadas</t>
  </si>
  <si>
    <t>glacer. Refroidir puis filmer</t>
  </si>
  <si>
    <t>glaze. Cool, then wrap</t>
  </si>
  <si>
    <t>glasear. Enfriar y filmar</t>
  </si>
  <si>
    <t>serve cold</t>
  </si>
  <si>
    <t>degustar frío</t>
  </si>
  <si>
    <t>MEZCLA DE MANITAS DE CERDO</t>
  </si>
  <si>
    <t>PIG’S TROTTERS MIXTURE</t>
  </si>
  <si>
    <t>APARATO/MEZCLA DE MANITAS DE CERDO</t>
  </si>
  <si>
    <t>PIG’S TROTTERS MIXTURE (FILLING)</t>
  </si>
  <si>
    <t>BLACK PUDDING MIXTURE (FILLING)</t>
  </si>
  <si>
    <t>APARATO/MEZCLA DE MORCILLA</t>
  </si>
  <si>
    <t>pressés de boudin</t>
  </si>
  <si>
    <t>résultat correct =128.1g;comparer les 2 formules,quelle est la meilleure et peut-on simplifier la formule = formule 1 =SI(OU(N(CN248)&lt;=0;CO249="");"";LET(kg;SI(ESTNUM(CO249);CO249;VALEUR(SUBSTITUE(SUBSTITUE(SUBSTITUE(MINUSCULE(CO249);"kg";"");",";".");" ";""))); ARRONDI(kg*1000/N(CN248);2)&amp;" g")); formule 2 =SI(OU(N(CN248)&lt;=0;CO249="");"";LET(kg;SI(ESTNUM(CO249);CO249;VALEUR(SUBSTITUE(SUBSTITUE(SUBSTITUE(MINUSCULE(CO249);"kg";"");",";".");" ";""))); TEXTE(ARRONDI(kg*1000/N(CN248);2);"0.##")&amp;" g"))</t>
  </si>
  <si>
    <t>))</t>
  </si>
  <si>
    <t xml:space="preserve">  </t>
  </si>
  <si>
    <t>SI(OU(CN248&lt;=0;CO249="");"";LET(kg;SI(ESTNUM(CO249);CO249;VALEUR(SUBSTITUE(SUBSTITUE(SUBSTITUE(MINUSCULE(CO249);"kg";"");",";".");" ";"")));ARRONDI(kg*1000/CN248;2)&amp;" g"))</t>
  </si>
  <si>
    <t>PRESSÉ DE BOUDIN NOIR</t>
  </si>
  <si>
    <t>BOUDIN NOIR</t>
  </si>
  <si>
    <t>APPAREIL A BOUDIN NOIR</t>
  </si>
  <si>
    <t>glacer</t>
  </si>
  <si>
    <t>refroidir puis filmer</t>
  </si>
  <si>
    <t>mouler en coquetiers en intercalant une tranche de foie gras (1 cm maxi)</t>
  </si>
  <si>
    <t>PRESSED BLACK PUDDING TERRINE</t>
  </si>
  <si>
    <t>PRENSADO DE MORCILLA (TERRINA)</t>
  </si>
  <si>
    <t>cook down the porcini</t>
  </si>
  <si>
    <t>thin/deglaze with port</t>
  </si>
  <si>
    <t>diluir/desglasar con oporto</t>
  </si>
  <si>
    <t>line the mold/terrine</t>
  </si>
  <si>
    <t>forrar el molde/la terrina</t>
  </si>
  <si>
    <t>spread the trotters mixture in the bottom</t>
  </si>
  <si>
    <t>extender la mezcla de manitas en el fondo</t>
  </si>
  <si>
    <t>Ajouter l’appareil à boudin cuit en intercalant une tranche de foie gras (1 cm maxi)</t>
  </si>
  <si>
    <t>Add the cooked black pudding mixture, layering a 1-cm slice of foie gras</t>
  </si>
  <si>
    <t>Añadir el aparato de morcilla cocida, intercalando una loncha de foie gras de 1 cm</t>
  </si>
  <si>
    <t>glaze</t>
  </si>
  <si>
    <t>glasear</t>
  </si>
  <si>
    <t>cool, then wrap</t>
  </si>
  <si>
    <t>enfriar y filmar</t>
  </si>
  <si>
    <t>cook the onions in fat</t>
  </si>
  <si>
    <t>cocer las cebollas en grasa</t>
  </si>
  <si>
    <t>drain and cool slightly</t>
  </si>
  <si>
    <t>escurrir y enfriar ligeramente</t>
  </si>
  <si>
    <t>mold in egg cups, layering a 1-cm slice of foie gras</t>
  </si>
  <si>
    <t>moldear en hueveras, intercalando una loncha de foie gras de 1 cm</t>
  </si>
  <si>
    <t>entre deux couches d’appareil à boudin (facultatif)</t>
  </si>
  <si>
    <t>between two layers of boudin mixture (optional)</t>
  </si>
  <si>
    <t>entre dos capas del aparato de morcilla (opcional)</t>
  </si>
  <si>
    <t>bake at 75 °C for 1 h 30 until 65 °C core temp</t>
  </si>
  <si>
    <t>hornear a 75 °C durante 1 h 30 hasta 65 °C en el centro</t>
  </si>
  <si>
    <t>Note pro : en fiches techniques, appareil = préparation/mélange prêt à être utilisé (EN: mixture/filling ; ES: mezcla/aparato).</t>
  </si>
  <si>
    <t>MEZCLA DE MANITAS DE CERDO (RELLENO)</t>
  </si>
  <si>
    <t>MEZCLA DE MORCILLA (RELLENO)</t>
  </si>
  <si>
    <t xml:space="preserve">TERRINAS DE MANITAS DE CERDO para rodaja </t>
  </si>
  <si>
    <t>TERRINE OF PIG’S TROTTERS  for slices</t>
  </si>
  <si>
    <t>TERRINE DE PIEDS DE PORC pour tranches</t>
  </si>
  <si>
    <t>NOTRE BOUDIN NOIR</t>
  </si>
  <si>
    <t>sang non salé</t>
  </si>
  <si>
    <t>gras dur cuit</t>
  </si>
  <si>
    <t>gorge cuite</t>
  </si>
  <si>
    <t>creme épaisse</t>
  </si>
  <si>
    <t>persil plat ciselé</t>
  </si>
  <si>
    <t>cerfeuil ciselé</t>
  </si>
  <si>
    <t>ail rode de Lautrec</t>
  </si>
  <si>
    <t>graisse d'oie ou canard</t>
  </si>
  <si>
    <t>œufs frais (facultatif)</t>
  </si>
  <si>
    <t>menus de porc 34/36 ou 36+</t>
  </si>
  <si>
    <t>poive et épices en mélange</t>
  </si>
  <si>
    <t>poivre noir</t>
  </si>
  <si>
    <t>poivre de séchouan</t>
  </si>
  <si>
    <t>poivre long</t>
  </si>
  <si>
    <t>cardamones</t>
  </si>
  <si>
    <t>anis étoilé</t>
  </si>
  <si>
    <t>5 épices</t>
  </si>
  <si>
    <t>macis</t>
  </si>
  <si>
    <t>coriandre en poudre</t>
  </si>
  <si>
    <t>poivre et épices en mélange 3g/kg</t>
  </si>
  <si>
    <t>pièces</t>
  </si>
  <si>
    <t>10 lignes</t>
  </si>
  <si>
    <t>10 lines</t>
  </si>
  <si>
    <t>10 líneas</t>
  </si>
  <si>
    <t>ÉPICES POUR BOUDIN</t>
  </si>
  <si>
    <t>En pratique, une étoile d’anis pèse très peu et la taille varie.</t>
  </si>
  <si>
    <t>Compte en moyenne ≈ 0,5 g par étoile (fourchette 0,3–0,7 g).</t>
  </si>
  <si>
    <t>➡️ Donc 5 étoiles ≈ 2 à 3,5 g.</t>
  </si>
  <si>
    <t>1 étoile ≈ ¼ c. à café d’anis étoilé moulu (≈0,5 g).</t>
  </si>
  <si>
    <t>5 étoiles ≈ 1 à 1½ c. à café (≈2,5 g).</t>
  </si>
  <si>
    <t>Si vous utilisez du moulu :</t>
  </si>
  <si>
    <t xml:space="preserve">Astuce charcuterie : pour une diffusion régulière, écrasez légèrement les étoiles ou faites-les infuser puis filtre ; </t>
  </si>
  <si>
    <t>commencez plutôt bas (≈2 g pour 5 kg de mêlée) et ajustez au prochain lot selon l’intensité souhaitée.</t>
  </si>
  <si>
    <t>OIGNONS</t>
  </si>
  <si>
    <t xml:space="preserve">oignons crus </t>
  </si>
  <si>
    <t>PERTE</t>
  </si>
  <si>
    <t>Brut = Net × Coefficient :</t>
  </si>
  <si>
    <t>Net = Brut  × Coefficient :</t>
  </si>
  <si>
    <t>fleur de sel de guérande 18 g/Kg</t>
  </si>
  <si>
    <t>hacher l'oignon</t>
  </si>
  <si>
    <t xml:space="preserve">le cuire dans la graisse d'oie ou de canard </t>
  </si>
  <si>
    <t>(suivant saison,pour enlever l'amertume ajouter 1g de succre au Kg)</t>
  </si>
  <si>
    <t>couper en morceaux (1 cm) la gorge et le gras</t>
  </si>
  <si>
    <t>les ajouter aux oignons</t>
  </si>
  <si>
    <t>recuire puis assaisonner</t>
  </si>
  <si>
    <t>ajouter la crème</t>
  </si>
  <si>
    <t>et les œufs si une coagulation plus importante est nécessaire</t>
  </si>
  <si>
    <t>ajouter le sang frais et embosser</t>
  </si>
  <si>
    <t>cuire dans un bouillon d'aromates à 85°C pendant 20 mn</t>
  </si>
  <si>
    <t>les pocher puis les passer au broyeur / hachoir (plaque de 6 mn)</t>
  </si>
  <si>
    <t>&lt; ❾ référence Auteur</t>
  </si>
  <si>
    <t>Poids à copier dans ❾ &gt;</t>
  </si>
  <si>
    <t>copier en ❾ si souhaité &gt;</t>
  </si>
  <si>
    <t>&lt; Poids à copier en ❾</t>
  </si>
  <si>
    <t>copy to ❾ if desired &gt;</t>
  </si>
  <si>
    <t>copiar en ❾ si se desea &gt;</t>
  </si>
  <si>
    <t>langue écarlate</t>
  </si>
  <si>
    <t>langue de porc</t>
  </si>
  <si>
    <t>gras de jambon cuit</t>
  </si>
  <si>
    <t>gras dur</t>
  </si>
  <si>
    <t>tête cuite désossée</t>
  </si>
  <si>
    <t>cerfeuil</t>
  </si>
  <si>
    <t>estragon</t>
  </si>
  <si>
    <t>persil plat</t>
  </si>
  <si>
    <t>noix fraiches</t>
  </si>
  <si>
    <t>huile de noix</t>
  </si>
  <si>
    <t>saindoux ou graisse de canard</t>
  </si>
  <si>
    <t>baudruche ou moule</t>
  </si>
  <si>
    <t>PM</t>
  </si>
  <si>
    <t>poivre et épices en mélange 1g/Kg</t>
  </si>
  <si>
    <t>Assaisonnement  au Kg sans les têtes</t>
  </si>
  <si>
    <t>BAUDRUCHE DE COPAIN</t>
  </si>
  <si>
    <t>hacher les oignons</t>
  </si>
  <si>
    <t>les cuire dans le saindoux ou la graisse de canard</t>
  </si>
  <si>
    <t>ajouter le gras de jambon cuit coupé en dés de 4 mm en fin de cuisson des oignons</t>
  </si>
  <si>
    <t>après 1h30 de cuisson ajouter le gras dur et la tête en cubes (5 à 8 mm)</t>
  </si>
  <si>
    <t xml:space="preserve">laisser cuire 1/2 heure </t>
  </si>
  <si>
    <t>ajouter les herbes hachées, l'assaisonnement, au besoin</t>
  </si>
  <si>
    <t>mouler et cuire au four à 90°C environ,pendant 1h30 à 2h jusqu’à 68°C à cœur ou :</t>
  </si>
  <si>
    <t>embosser dans la baudruche</t>
  </si>
  <si>
    <t>marquer la cuisson à 90°C en marmite avec des aromates puis régler à 80°C</t>
  </si>
  <si>
    <t>retourner tous les 1/4 d'heure</t>
  </si>
  <si>
    <t>durée de cuisson 1h30 environ pour obtenir 68°C à cœur</t>
  </si>
  <si>
    <t>pensez à récupérer les formules du poids sans tête - du sel et des épices pour vos fiches</t>
  </si>
  <si>
    <t>et ces formules SI(NB.SI(R264:V264;"&lt;&gt;")&gt;0;"A";"►") différentes de celles-ci SI(W233&lt;&gt;"";"A";"►")</t>
  </si>
  <si>
    <t>et puis toutes les autres</t>
  </si>
  <si>
    <t>pensez à récupérer les formules des oignons x par 1.33 - du sel et des épices pour vos fiches</t>
  </si>
  <si>
    <t>▼ FORMULETEXTE</t>
  </si>
  <si>
    <t>charcuterie-BLACK-PUDDING</t>
  </si>
  <si>
    <t>charcutería--MORCILLA</t>
  </si>
  <si>
    <t>Constituant of &gt;</t>
  </si>
  <si>
    <t>NUESTRA MORCILLA</t>
  </si>
  <si>
    <t>OUR BLACK PUDDING</t>
  </si>
  <si>
    <t>unsalted blood</t>
  </si>
  <si>
    <t>raw onions</t>
  </si>
  <si>
    <t>× by 1.33 = fresh onions &gt; 3.66 kg</t>
  </si>
  <si>
    <t>cooked hard fat (back fat)</t>
  </si>
  <si>
    <t>cooked pork jowl</t>
  </si>
  <si>
    <t>thick cream (crème épaisse)</t>
  </si>
  <si>
    <t>chopped flat-leaf parsley</t>
  </si>
  <si>
    <t>chopped chervil</t>
  </si>
  <si>
    <t>pink garlic from Lautrec</t>
  </si>
  <si>
    <t>goose or duck fat</t>
  </si>
  <si>
    <t>fresh eggs (optional)</t>
  </si>
  <si>
    <t>Guérande fleur de sel 18 g/kg</t>
  </si>
  <si>
    <t>Total 4.90 kg × 18 g/kg = 88 g salt</t>
  </si>
  <si>
    <t>mixed pepper and spices 3 g/kg</t>
  </si>
  <si>
    <t>Total 4.90 kg × 3 g/kg = 15 g spices</t>
  </si>
  <si>
    <t>pork casings 34/36 or 36+</t>
  </si>
  <si>
    <t>sangre sin sal</t>
  </si>
  <si>
    <t>cebollas crudas</t>
  </si>
  <si>
    <t>× por 1,33 = cebollas frescas &gt; 3,66 kg</t>
  </si>
  <si>
    <t>grasa dura cocida (grasa dorsal)</t>
  </si>
  <si>
    <t>papada de cerdo cocida</t>
  </si>
  <si>
    <t>crema espesa (crème épaisse)</t>
  </si>
  <si>
    <t>perejil de hoja plana picado</t>
  </si>
  <si>
    <t>perifollo picado</t>
  </si>
  <si>
    <t>ajo rosado de Lautrec</t>
  </si>
  <si>
    <t>grasa de oca o de pato</t>
  </si>
  <si>
    <t>huevos frescos (opcional)</t>
  </si>
  <si>
    <t>flor de sal de Guérande 18 g/kg</t>
  </si>
  <si>
    <t>Total 4,90 kg × 18 g/kg = 88 g de sal</t>
  </si>
  <si>
    <t>mezcla de pimienta y especias 3 g/kg</t>
  </si>
  <si>
    <t>Total 4,90 kg × 3 g/kg = 15 g de especias</t>
  </si>
  <si>
    <t>tripas de cerdo 34/36 o 36+</t>
  </si>
  <si>
    <t>ail rose de Lautrec</t>
  </si>
  <si>
    <t>Guérande fleur de sel  18 g/Kg</t>
  </si>
  <si>
    <t>SPICES FOR BLOOD SAUSAGE</t>
  </si>
  <si>
    <t>pepper and mixed spices</t>
  </si>
  <si>
    <t>black pepper</t>
  </si>
  <si>
    <t>Sichuan pepper</t>
  </si>
  <si>
    <t>long pepper</t>
  </si>
  <si>
    <t>cardamoms</t>
  </si>
  <si>
    <t>star anise</t>
  </si>
  <si>
    <t>five-spice</t>
  </si>
  <si>
    <t>mace</t>
  </si>
  <si>
    <t>ground coriander</t>
  </si>
  <si>
    <t>ESPECIAS PARA MORCILLA</t>
  </si>
  <si>
    <t>pimienta y mezcla de especias</t>
  </si>
  <si>
    <t>pimienta negra</t>
  </si>
  <si>
    <t>pimienta de Sichuan</t>
  </si>
  <si>
    <t>pimienta larga</t>
  </si>
  <si>
    <t>cardamomos</t>
  </si>
  <si>
    <t>anís estrellado</t>
  </si>
  <si>
    <t>cinco especias</t>
  </si>
  <si>
    <t>cilantro molido</t>
  </si>
  <si>
    <t>&lt; copy to ❾</t>
  </si>
  <si>
    <t>weight</t>
  </si>
  <si>
    <t>▲ Lookup table: Col.6 and 7 are reserved for weights (kg)</t>
  </si>
  <si>
    <t>Cost: 1* economical – 4**** luxury</t>
  </si>
  <si>
    <t>Difficulty: 1* Easy – 4**** Difficult</t>
  </si>
  <si>
    <t>⓫ ▼ PROGRESSION PHASES</t>
  </si>
  <si>
    <t>chop the onion</t>
  </si>
  <si>
    <t>cook it in goose or duck fat</t>
  </si>
  <si>
    <t>(depending on the season, to remove bitterness add 1 g of sugar per kg)</t>
  </si>
  <si>
    <t>cut the jowl and the fat into pieces (1 cm)</t>
  </si>
  <si>
    <t>poach them, then run them through the grinder/mincer (6 mm plate)</t>
  </si>
  <si>
    <t>add them to the onions</t>
  </si>
  <si>
    <t>cook again, then season</t>
  </si>
  <si>
    <t>add the cream</t>
  </si>
  <si>
    <t>and the eggs if stronger coagulation is needed</t>
  </si>
  <si>
    <t>add the fresh blood and stuff (into casings)</t>
  </si>
  <si>
    <t>cook in an aromatic broth at 85 °C for 20 minutes</t>
  </si>
  <si>
    <t>remember to retrieve the formulas for onions × by 1.33 – for salt and spices for your sheets</t>
  </si>
  <si>
    <t>and these formulas IF(COUNTIF(R264:V264,"&lt;&gt;")&gt;0,"A","►") different from this one IF(W233&lt;&gt;"","A","►")</t>
  </si>
  <si>
    <t>and then all the others</t>
  </si>
  <si>
    <t>▲ Tabla de búsqueda: las Col.6 y 7 están reservadas para los pesos (kg)</t>
  </si>
  <si>
    <t>Dificultad: 1* Fácil – 4**** Difícil</t>
  </si>
  <si>
    <t>picar la cebolla</t>
  </si>
  <si>
    <t>cocerla en grasa de oca o de pato</t>
  </si>
  <si>
    <t>(según la temporada, para quitar el amargor añada 1 g de azúcar por kg)</t>
  </si>
  <si>
    <t>cortar en trozos (1 cm) la papada y la grasa</t>
  </si>
  <si>
    <t>escaldar/pochar y luego pasar por la picadora/molino (placa de 6 mm)</t>
  </si>
  <si>
    <t>añadirlos a las cebollas</t>
  </si>
  <si>
    <t>cocer de nuevo y sazonar</t>
  </si>
  <si>
    <t>añadir la crema</t>
  </si>
  <si>
    <t>y los huevos si se necesita una coagulación más fuerte</t>
  </si>
  <si>
    <t>añadir la sangre fresca y embutir</t>
  </si>
  <si>
    <t>cocer en un caldo aromático a 85 °C durante 20 min</t>
  </si>
  <si>
    <t>no olvide recuperar las fórmulas de cebollas × por 1,33 – de sal y de especias para sus fichas</t>
  </si>
  <si>
    <t>y estas fórmulas SI(CONTAR.SI(R264:V264,"&lt;&gt;")&gt;0,"A","►") diferentes de esta SI(W233&lt;&gt;"","A","►")</t>
  </si>
  <si>
    <t>y luego todas las demás</t>
  </si>
  <si>
    <t>LOSS</t>
  </si>
  <si>
    <t>Gross = Net × Coefficient:</t>
  </si>
  <si>
    <t>Net = Gross × Coefficient:</t>
  </si>
  <si>
    <t>% DE PÉRDIDA</t>
  </si>
  <si>
    <t>PÉRDIDA</t>
  </si>
  <si>
    <t>Bruto = Neto × Coeficiente:</t>
  </si>
  <si>
    <t>Neto = Bruto × Coeficiente:</t>
  </si>
  <si>
    <t>ONIONS</t>
  </si>
  <si>
    <t>Enter your values in the ivory- or yellow-filled cells.</t>
  </si>
  <si>
    <t>CEBOLLAS</t>
  </si>
  <si>
    <t>Introduzca sus valores en las celdas con fondo marfil o amarillo.</t>
  </si>
  <si>
    <t>&lt; ❾ Referencia del autor</t>
  </si>
  <si>
    <t>&lt; copiar en ❾</t>
  </si>
  <si>
    <t>The Excel 2021 formulas are in French; everyone should adapt them for their own country.</t>
  </si>
  <si>
    <t>Las fórmulas de Excel 2021 están en francés; cada quien debe adaptarlas a su país.</t>
  </si>
  <si>
    <t>les formules excel 2021 sont en français,à chacun de les adapter pour son pays</t>
  </si>
  <si>
    <t>&lt; Weight to copy into ❾</t>
  </si>
  <si>
    <t>En la práctica, una estrella de anís pesa muy poco y el tamaño varía.</t>
  </si>
  <si>
    <t>Calcule ≈ 0,5 g por estrella de media (rango 0,3–0,7 g).</t>
  </si>
  <si>
    <t>➡️ Entonces 5 estrellas ≈ 2 a 3,5 g.</t>
  </si>
  <si>
    <t>Si utiliza anís estrellado molido:</t>
  </si>
  <si>
    <t>1 estrella ≈ ¼ cdta de anís estrellado molido (≈ 0,5 g).</t>
  </si>
  <si>
    <t>5 estrellas ≈ 1 a 1½ cdta (≈ 2,5 g).</t>
  </si>
  <si>
    <t xml:space="preserve">Consejo de charcutería: para una difusión uniforme, machaque ligeramente las estrellas o hágales una infusión y luego cuele; </t>
  </si>
  <si>
    <t>empiece más bien bajo (≈ 2 g por 5 kg de mezcla cárnica) y ajuste en el siguiente lote según la intensidad deseada.</t>
  </si>
  <si>
    <t>In practice, a star anise weighs very little and sizes vary.</t>
  </si>
  <si>
    <t>Count on ≈ 0.5 g per star on average (range 0.3–0.7 g).</t>
  </si>
  <si>
    <t>➡️ So 5 stars ≈ 2 to 3.5 g.</t>
  </si>
  <si>
    <t>If using ground spice:</t>
  </si>
  <si>
    <t>1 star ≈ ¼ tsp ground star anise (≈ 0.5 g).</t>
  </si>
  <si>
    <t>5 stars ≈ 1 to 1½ tsp (≈ 2.5 g).</t>
  </si>
  <si>
    <t>Charcuterie tip: for even diffusion, lightly crush the stars or infuse them and strain; start low (≈ 2 g for 5 kg of mix) and adjust on the next batch to the desired intensity.</t>
  </si>
  <si>
    <t xml:space="preserve">Charcuterie tip: for even diffusion, lightly crush the stars or infuse them and strain; </t>
  </si>
  <si>
    <t>start low (≈ 2 g for 5 kg of mix) and adjust on the next batch to the desired intensity.</t>
  </si>
  <si>
    <t>scarlet tongue</t>
  </si>
  <si>
    <t>pork tongue</t>
  </si>
  <si>
    <t>cooked ham fat</t>
  </si>
  <si>
    <t>hard fat</t>
  </si>
  <si>
    <t>cooked, deboned head</t>
  </si>
  <si>
    <t>chervil</t>
  </si>
  <si>
    <t>tarragon</t>
  </si>
  <si>
    <t>flat-leaf parsley</t>
  </si>
  <si>
    <t>fresh walnuts</t>
  </si>
  <si>
    <t>walnut oil</t>
  </si>
  <si>
    <t>lard or duck fat</t>
  </si>
  <si>
    <t>Seasoning per kg without the heads</t>
  </si>
  <si>
    <t>fine salt 30 g/kg = 0.201 kg = ,201 g</t>
  </si>
  <si>
    <t>pepper and mixed spices 1 g/kg</t>
  </si>
  <si>
    <t>spices 1 g/kg = 0.067 kg = ,67 g</t>
  </si>
  <si>
    <t>beef bung casing or mold</t>
  </si>
  <si>
    <t>lengua escarlata</t>
  </si>
  <si>
    <t>lengua de cerdo</t>
  </si>
  <si>
    <t>grasa de jamón cocido</t>
  </si>
  <si>
    <t>grasa dura</t>
  </si>
  <si>
    <t>cabeza cocida deshuesada</t>
  </si>
  <si>
    <t>perifollo</t>
  </si>
  <si>
    <t>estragón</t>
  </si>
  <si>
    <t>perejil de hoja plana</t>
  </si>
  <si>
    <t>nueces frescas</t>
  </si>
  <si>
    <t>aceite de nuez</t>
  </si>
  <si>
    <t>manteca de cerdo o grasa de pato</t>
  </si>
  <si>
    <t>Sazonado por kg sin las cabezas</t>
  </si>
  <si>
    <t>sal fina 30 g/kg = 0,201 kg = ,201 g</t>
  </si>
  <si>
    <t>pimienta y mezcla de especias 1 g/kg</t>
  </si>
  <si>
    <t>especias 1 g/kg = 0,067 kg = ,67 g</t>
  </si>
  <si>
    <t>baudruche (tripón de vacuno) o molde</t>
  </si>
  <si>
    <t>Weight without the heads: 6.69 kg</t>
  </si>
  <si>
    <t>chop the onions</t>
  </si>
  <si>
    <t>cook them in lard or duck fat</t>
  </si>
  <si>
    <t>add the cooked ham fat cut into 4 mm dice at the end of the onion cooking</t>
  </si>
  <si>
    <t>after 1 h 30 of cooking, add the hard fat and the head in cubes (5–8 mm)</t>
  </si>
  <si>
    <t>let cook for 1/2 hour</t>
  </si>
  <si>
    <t>add the chopped herbs and the seasoning, as needed</t>
  </si>
  <si>
    <t>mold and bake at about 90 °C for 1 h 30 to 2 h until 68 °C at the core, or:</t>
  </si>
  <si>
    <t>stuff into beef bung (baudruche)</t>
  </si>
  <si>
    <t>start cooking at 90 °C in a pot with aromatics, then set to 80 °C</t>
  </si>
  <si>
    <t>turn every 1/4 hour</t>
  </si>
  <si>
    <t>cooking time about 1 h 30 to reach 68 °C at the core</t>
  </si>
  <si>
    <t>remember to retrieve the formulas for headless weight — salt — and spices for your sheets</t>
  </si>
  <si>
    <t>Peso sin las cabezas: 6,69 kg</t>
  </si>
  <si>
    <t>picar las cebollas</t>
  </si>
  <si>
    <t>cocerlas en manteca de cerdo o grasa de pato</t>
  </si>
  <si>
    <t>al final de la cocción de la cebolla, añadir la grasa de jamón cocido cortada en dados de 4 mm</t>
  </si>
  <si>
    <t>tras 1 h 30 de cocción, añadir la grasa dura y la cabeza en cubos (5–8 mm)</t>
  </si>
  <si>
    <t>dejar cocer 1/2 hora</t>
  </si>
  <si>
    <t>añadir las hierbas picadas y el sazonado, según necesidad</t>
  </si>
  <si>
    <t>moldar y hornear a unos 90 °C durante 1 h 30 a 2 h hasta 68 °C en el centro, o:</t>
  </si>
  <si>
    <t>embutir en tripón (baudruche)</t>
  </si>
  <si>
    <t>iniciar la cocción a 90 °C en marmita con aromáticos y luego ajustar a 80 °C</t>
  </si>
  <si>
    <t>dar la vuelta cada 1/4 de hora</t>
  </si>
  <si>
    <t>tiempo de cocción aprox. 1 h 30 para alcanzar 68 °C en el centro</t>
  </si>
  <si>
    <t>no olvide recuperar las fórmulas de peso sin cabeza — sal — y especias para sus fichas</t>
  </si>
  <si>
    <t>▼  Collez vos postits dans ces colonnes  -  Paste your post-its in these columns  -  Pegue sus post-its en estas columnas</t>
  </si>
  <si>
    <t>if the sheets “bore” you, you have</t>
  </si>
  <si>
    <t>guesstimation</t>
  </si>
  <si>
    <t>by eyeballing</t>
  </si>
  <si>
    <t>at a glance</t>
  </si>
  <si>
    <t>by feel</t>
  </si>
  <si>
    <t>wet-finger estimate</t>
  </si>
  <si>
    <t>si las fichas le “aburren”, le queda</t>
  </si>
  <si>
    <t>la pifometría</t>
  </si>
  <si>
    <t>a ojo</t>
  </si>
  <si>
    <t>a simple vista</t>
  </si>
  <si>
    <t>al tanteo</t>
  </si>
  <si>
    <t>al dedo mojado</t>
  </si>
  <si>
    <t>📌 Instructions de copie des postits 🇫🇷 Sélectionnez un postit 🟦, copiez-le (Ctrl + C 📋), puis collez-le (Ctrl + V 📥) à l'endroit souhaité dans une autre feuille, puis ajustez la largeur des colonnes si nécessaire.</t>
  </si>
  <si>
    <t>PAGE LAYOUT</t>
  </si>
  <si>
    <t>FORMULAS</t>
  </si>
  <si>
    <t>DATA</t>
  </si>
  <si>
    <t>DISEÑO DE PÁGINA</t>
  </si>
  <si>
    <t>FÓRMULAS</t>
  </si>
  <si>
    <t>DATOS</t>
  </si>
  <si>
    <t>recette suivante</t>
  </si>
  <si>
    <t>next recipe</t>
  </si>
  <si>
    <t>receta siguiente</t>
  </si>
  <si>
    <r>
      <t xml:space="preserve">rows </t>
    </r>
    <r>
      <rPr>
        <i/>
        <sz val="11"/>
        <color theme="1"/>
        <rFont val="Calibri"/>
        <family val="2"/>
        <scheme val="minor"/>
      </rPr>
      <t>(Excel context)</t>
    </r>
  </si>
  <si>
    <r>
      <t xml:space="preserve">lines </t>
    </r>
    <r>
      <rPr>
        <i/>
        <sz val="11"/>
        <color theme="1"/>
        <rFont val="Calibri"/>
        <family val="2"/>
        <scheme val="minor"/>
      </rPr>
      <t>(general text)</t>
    </r>
  </si>
  <si>
    <t>filas (Excel)</t>
  </si>
  <si>
    <t>líneas (texto)</t>
  </si>
  <si>
    <t>charcuterie-BOUDIN-NOIR</t>
  </si>
  <si>
    <r>
      <t xml:space="preserve">charcuterie-BLACK-PUDDING </t>
    </r>
    <r>
      <rPr>
        <i/>
        <sz val="11"/>
        <color theme="1"/>
        <rFont val="Calibri"/>
        <family val="2"/>
        <scheme val="minor"/>
      </rPr>
      <t>(UK)</t>
    </r>
    <r>
      <rPr>
        <sz val="11"/>
        <color theme="1"/>
        <rFont val="Calibri"/>
        <family val="2"/>
        <scheme val="minor"/>
      </rPr>
      <t xml:space="preserve"> / charcuterie-BLOOD-SAUSAGE </t>
    </r>
    <r>
      <rPr>
        <i/>
        <sz val="11"/>
        <color theme="1"/>
        <rFont val="Calibri"/>
        <family val="2"/>
        <scheme val="minor"/>
      </rPr>
      <t>(US)</t>
    </r>
  </si>
  <si>
    <t>charcutería-MORCILLA</t>
  </si>
  <si>
    <r>
      <t xml:space="preserve">OUR BLACK PUDDING </t>
    </r>
    <r>
      <rPr>
        <i/>
        <sz val="11"/>
        <color theme="1"/>
        <rFont val="Calibri"/>
        <family val="2"/>
        <scheme val="minor"/>
      </rPr>
      <t>(UK)</t>
    </r>
    <r>
      <rPr>
        <sz val="11"/>
        <color theme="1"/>
        <rFont val="Calibri"/>
        <family val="2"/>
        <scheme val="minor"/>
      </rPr>
      <t xml:space="preserve"> / OUR BLOOD SAUSAGE </t>
    </r>
    <r>
      <rPr>
        <i/>
        <sz val="11"/>
        <color theme="1"/>
        <rFont val="Calibri"/>
        <family val="2"/>
        <scheme val="minor"/>
      </rPr>
      <t>(US)</t>
    </r>
  </si>
  <si>
    <t>ground coriande</t>
  </si>
  <si>
    <t>&lt; Peso a copiar en ❾</t>
  </si>
  <si>
    <t>➡️ Así, 5 estrellas ≈ 2 a 3,5 g.</t>
  </si>
  <si>
    <t>Si usa molido:</t>
  </si>
  <si>
    <t>1 estrella ≈ ¼ cdta. de anís estrellado molido (≈ 0,5 g).</t>
  </si>
  <si>
    <t>5 estrellas ≈ 1 a 1½ cdta. (≈ 2,5 g).</t>
  </si>
  <si>
    <t>Truco de charcutería: para una difusión uniforme, machaque ligeramente las estrellas o infusione y cuele; empiece bajo (≈ 2 g por 5 kg de mezcla) y ajuste en el siguiente lote según la intensidad deseada.</t>
  </si>
  <si>
    <t>famille</t>
  </si>
  <si>
    <r>
      <t xml:space="preserve">family </t>
    </r>
    <r>
      <rPr>
        <i/>
        <sz val="11"/>
        <color theme="1"/>
        <rFont val="Calibri"/>
        <family val="2"/>
        <scheme val="minor"/>
      </rPr>
      <t>(generic)</t>
    </r>
  </si>
  <si>
    <r>
      <t xml:space="preserve">familia </t>
    </r>
    <r>
      <rPr>
        <i/>
        <sz val="11"/>
        <color theme="1"/>
        <rFont val="Calibri"/>
        <family val="2"/>
        <scheme val="minor"/>
      </rPr>
      <t>(genérico)</t>
    </r>
  </si>
  <si>
    <t>▼ Collez vos postits dans ces colonnes</t>
  </si>
  <si>
    <t>Constituez-vous des répertoires par lettres alphabétiques</t>
  </si>
  <si>
    <t>Pour l’identification de vos fiches, vous avez le choix</t>
  </si>
  <si>
    <t>entre la numérotation et l’identification Alpha</t>
  </si>
  <si>
    <t>Alpha vous permet de vous constituer des répertoires</t>
  </si>
  <si>
    <t>et de regrouper des préparations pour</t>
  </si>
  <si>
    <t>faire des assemblages</t>
  </si>
  <si>
    <t>si les fiches vous « barbent », vous avez</t>
  </si>
  <si>
    <t>la pifométrie</t>
  </si>
  <si>
    <t>au doigt mouillé</t>
  </si>
  <si>
    <t>Classeur Excel 2021 de modèles de fiches conçu pour les travaux pratiques en métiers de bouche (CFA/lycée hôtelier/centre professionnel).</t>
  </si>
  <si>
    <t>« Vos fiches Excel prêtes rapidement — multilingue, conversions automatiques, zéro prise de tête. »</t>
  </si>
  <si>
    <t>Gain de temps &gt; Copier/Coller = FR : g, kg, L, dL, cL, mL, ¼ kg, c. s., etc. / EN : oz, fl oz, cup, etc. / ES : tercio/L, taza líquida, cucharadita, etc.</t>
  </si>
  <si>
    <t>Facile à adapter à vos recettes, vos processus et vos barèmes maison.</t>
  </si>
  <si>
    <t>oignons crus</t>
  </si>
  <si>
    <t>× par 1,33 = oignons frais &gt; 3,66 kg</t>
  </si>
  <si>
    <t>gras dur cuit (gras de dos)</t>
  </si>
  <si>
    <t>gorge de porc cuite</t>
  </si>
  <si>
    <t>crème épaisse (crème épaisse)</t>
  </si>
  <si>
    <t>graisse d’oie ou de canard</t>
  </si>
  <si>
    <t>fleur de sel de Guérande 18 g/kg</t>
  </si>
  <si>
    <t>Total 4,90 kg × 18 g/kg = 88 g de sel</t>
  </si>
  <si>
    <t>poivre et épices en mélange 3 g/kg</t>
  </si>
  <si>
    <t>Total 4,90 kg × 3 g/kg = 15 g d’épices</t>
  </si>
  <si>
    <t>boyaux de porc 34/36 ou 36+</t>
  </si>
  <si>
    <t>poivre de Sichuan</t>
  </si>
  <si>
    <t>cardamomes</t>
  </si>
  <si>
    <t>cinq épices</t>
  </si>
  <si>
    <t>coriandre moulue</t>
  </si>
  <si>
    <t>▲ Table de recherche : les Col.6 et 7 sont réservées aux poids (kg)</t>
  </si>
  <si>
    <t>Coût : 1* économique – 4**** luxe</t>
  </si>
  <si>
    <t>Difficulté : 1* Facile – 4**** Difficile</t>
  </si>
  <si>
    <t>⓫ ▼ PHASES DE PROGRESSION</t>
  </si>
  <si>
    <t>hacher l’oignon</t>
  </si>
  <si>
    <t>le cuire dans la graisse d’oie ou de canard</t>
  </si>
  <si>
    <t>(selon la saison, pour enlever l’amertume ajouter 1 g de sucre par kg)</t>
  </si>
  <si>
    <t>couper la gorge et le gras en morceaux (1 cm)</t>
  </si>
  <si>
    <t>les pocher puis les passer au broyeur/hachoir (plaque de 6 mm)</t>
  </si>
  <si>
    <t>ajouter le sang frais et embosser (dans les boyaux)</t>
  </si>
  <si>
    <t>cuire dans un bouillon aromatique à 85 °C pendant 20 minutes</t>
  </si>
  <si>
    <t>pensez à récupérer les formules des oignons × par 1,33 — du sel et des épices pour vos fiches</t>
  </si>
  <si>
    <r>
      <t xml:space="preserve">et ces formules : </t>
    </r>
    <r>
      <rPr>
        <b/>
        <sz val="11"/>
        <color theme="1"/>
        <rFont val="Calibri"/>
        <family val="2"/>
        <scheme val="minor"/>
      </rPr>
      <t>SI(NB.SI(R264:V264;"&lt;&gt;")&gt;0;"A";"►")</t>
    </r>
    <r>
      <rPr>
        <sz val="11"/>
        <color theme="1"/>
        <rFont val="Calibri"/>
        <family val="2"/>
        <scheme val="minor"/>
      </rPr>
      <t xml:space="preserve"> différentes de celle-ci : </t>
    </r>
    <r>
      <rPr>
        <b/>
        <sz val="11"/>
        <color theme="1"/>
        <rFont val="Calibri"/>
        <family val="2"/>
        <scheme val="minor"/>
      </rPr>
      <t>SI(W233&lt;&gt;"";"A";"►")</t>
    </r>
  </si>
  <si>
    <t>% PERTE</t>
  </si>
  <si>
    <t>Net = Brut × Coefficient :</t>
  </si>
  <si>
    <t>Saisissez vos valeurs dans les cellules au fond ivoire ou jaune.</t>
  </si>
  <si>
    <t>Comptez ≈ 0,5 g par étoile en moyenne (fourchette 0,3–0,7 g).</t>
  </si>
  <si>
    <t>1 étoile ≈ ¼ c. à café d’anis étoilé moulu (≈ 0,5 g).</t>
  </si>
  <si>
    <t>5 étoiles ≈ 1 à 1½ c. à café (≈ 2,5 g).</t>
  </si>
  <si>
    <t>Astuce charcuterie : pour une diffusion régulière, écrasez légèrement les étoiles ou faites-les infuser puis filtrez ; commencez plutôt bas (≈ 2 g pour 5 kg de mêlée) et ajustez au lot suivant selon l’intensité souhaitée.</t>
  </si>
  <si>
    <t>noix fraîches</t>
  </si>
  <si>
    <t>Assaisonnement au kg sans les têtes</t>
  </si>
  <si>
    <t>sel fin 30 g/kg = 0,201 kg = ,201 g</t>
  </si>
  <si>
    <t>poivre et épices en mélange 1 g/kg</t>
  </si>
  <si>
    <t>épices 1 g/kg = 0,067 kg = ,67 g</t>
  </si>
  <si>
    <t>baudruche (boyau de bœuf) ou moule</t>
  </si>
  <si>
    <t>Poids sans les têtes : 6,69 kg</t>
  </si>
  <si>
    <t>après 1 h 30 de cuisson, ajouter le gras dur et la tête en cubes (5–8 mm)</t>
  </si>
  <si>
    <t>laisser cuire 1/2 heure</t>
  </si>
  <si>
    <t>ajouter les herbes hachées et l’assaisonnement, au besoin</t>
  </si>
  <si>
    <t>mouler et cuire au four à environ 90 °C pendant 1 h 30 à 2 h jusqu’à 68 °C à cœur, ou :</t>
  </si>
  <si>
    <t>marquer la cuisson à 90 °C en marmite avec des aromates puis régler à 80 °C</t>
  </si>
  <si>
    <t>retourner tous les 1/4 d’heure</t>
  </si>
  <si>
    <t>durée de cuisson : environ 1 h 30 pour atteindre 68 °C à cœur</t>
  </si>
  <si>
    <t>📌 Instructions for copying postits Select a 🟦 postit, copy it (Ctrl + C 📋), then paste it (Ctrl + V 📥) where you want on another sheet, and adjust the column widths if needed.</t>
  </si>
  <si>
    <t>📌 Instrucciones para copiar postits Seleccione un postit 🟦, cópielo (Ctrl + C 📋) y luego péguelo (Ctrl + V 📥) en el lugar deseado en otra hoja; después, ajuste el ancho de las columnas si es necesario.</t>
  </si>
  <si>
    <t>▼ Paste your postits in these columns</t>
  </si>
  <si>
    <t>▼ Pegue sus postits en estas columnas</t>
  </si>
  <si>
    <t>MISE EN PAGE</t>
  </si>
  <si>
    <t>FORMULES</t>
  </si>
  <si>
    <t>DONNÉES</t>
  </si>
  <si>
    <t>Repérer les antécédents</t>
  </si>
  <si>
    <t>Repérer les dépendants</t>
  </si>
  <si>
    <t>Supprimer les flèches</t>
  </si>
  <si>
    <r>
      <t xml:space="preserve"> </t>
    </r>
    <r>
      <rPr>
        <b/>
        <sz val="11"/>
        <color theme="1"/>
        <rFont val="Calibri"/>
        <family val="2"/>
        <scheme val="minor"/>
      </rPr>
      <t>lignes (Excel)</t>
    </r>
  </si>
  <si>
    <r>
      <t xml:space="preserve"> </t>
    </r>
    <r>
      <rPr>
        <b/>
        <sz val="11"/>
        <color theme="1"/>
        <rFont val="Calibri"/>
        <family val="2"/>
        <scheme val="minor"/>
      </rPr>
      <t>lignes (texte)</t>
    </r>
  </si>
  <si>
    <t xml:space="preserve"> Vous pouvez Masquez ces 18 colonnes  </t>
  </si>
  <si>
    <t>You can hide these 18 columns. _ Puedes ocultar estas 18 columnas.</t>
  </si>
  <si>
    <t>Col.41</t>
  </si>
  <si>
    <t>Col.42</t>
  </si>
  <si>
    <t>Col.43</t>
  </si>
  <si>
    <t>Col.44</t>
  </si>
  <si>
    <t xml:space="preserve"> masquer les colonnes   &lt; vous avez 18 + 6 colonnes masquables</t>
  </si>
  <si>
    <t>Hide columns &lt; you have 18 + 6 hideable columns.</t>
  </si>
  <si>
    <t>Oculta columnas &lt; tienes 18 + 6 columnas ocultables.</t>
  </si>
  <si>
    <t>Fiche fixe (préformatée) - Fixed (preformatted) sheet - Hoja fija (preformateada)</t>
  </si>
  <si>
    <t>Collez vos Postits dans ces colonnes - Paste your postits into these columns</t>
  </si>
  <si>
    <t>Pegue sus postits en estas columnas</t>
  </si>
  <si>
    <t>Les colonnes à afficher pour le répertoire s’étendent de AE à BC</t>
  </si>
  <si>
    <t>The columns to display for the directory span from AE to BC, while columns L to AC show the various pasted recipes (postits).</t>
  </si>
  <si>
    <t>Las columnas que se deben mostrar para el directorio abarcan de AE a BC, mientras que las de L a AC muestran las distintas recetas pegadas (postits).</t>
  </si>
  <si>
    <t>unité(s)</t>
  </si>
  <si>
    <t>unit(s)</t>
  </si>
  <si>
    <t>unidad(es)</t>
  </si>
  <si>
    <t>In the directory, copy the desired “Postit” Biscuit (génoise, brownie, dacquoise…).</t>
  </si>
  <si>
    <t>Paste it into columns L to AC of the Preformatted sheet.</t>
  </si>
  <si>
    <t>En el directorio, copie el “Postit” Bizcocho que desee (genovesa, brownie, dacquoise…).</t>
  </si>
  <si>
    <t>Péguelo en las columnas L a AC de la ficha Preformateada.</t>
  </si>
  <si>
    <t>Collez-le dans les colonnes de L à AC de la fiche Préformatée</t>
  </si>
  <si>
    <t>Dernière mise à jour : 26 Octobre 2025</t>
  </si>
  <si>
    <t>Last updated: 26 October 2025</t>
  </si>
  <si>
    <t>Última actualización: 26 de octubre de 2025</t>
  </si>
  <si>
    <t xml:space="preserve">▼ </t>
  </si>
  <si>
    <t xml:space="preserve">Vous pouvez Masquez ces 10 colonnes  </t>
  </si>
  <si>
    <t>You can hide these 10 columns._▼ Puedes ocultar estas 10 columnas.</t>
  </si>
  <si>
    <t>▼ ⓰ Your quantities and units</t>
  </si>
  <si>
    <t>collez en remplacement - paste as a replacement - pegue en sustitución</t>
  </si>
  <si>
    <t>▼ ⓰ Sus cantidades y unidades</t>
  </si>
  <si>
    <t>Col.45</t>
  </si>
  <si>
    <t>▼  ⓰ vos</t>
  </si>
  <si>
    <t>Quantités</t>
  </si>
  <si>
    <t xml:space="preserve"> et unités</t>
  </si>
  <si>
    <t>👉 La cellule AR9 pilote l’ensemble des recettes de la fiche</t>
  </si>
  <si>
    <t>👉 Cell AR9 controls all recipes on the sheet.</t>
  </si>
  <si>
    <t>👉 La celda AR9 controla todas las recetas de la ficha.</t>
  </si>
  <si>
    <t>👉 ⓰ Optionnel — Vos quantités : vous pouvez ajuster les quantités en Col.33 lorsque les unités diffèrent (kg ou autre) ou si vous jugez les portions trop généreuses ou insuffisantes pour vos convives/clients.</t>
  </si>
  <si>
    <t>👉 ⓰ Optional — Your quantities: you can adjust the recipe quantities in Col.33 when units differ (kg or other), or if you find the portions too large or too small for your guests/customers.</t>
  </si>
  <si>
    <t>👉 ⓰ Opcional — Sus cantidades: puede ajustar las cantidades de la receta en la Col.33 cuando las unidades difieran (kg u otras) o si considera que las raciones son demasiado grandes o demasiado pequeñas para sus comensales/clientes.</t>
  </si>
  <si>
    <t xml:space="preserve">Vos quantités — Si les quantités de la Col.29 ne conviennent pas </t>
  </si>
  <si>
    <t xml:space="preserve">Your quantities — If the amounts in Col.29 are not suitable </t>
  </si>
  <si>
    <t>Sus cantidades — Si las cantidades de la Col.29 no son adecuadas</t>
  </si>
  <si>
    <t xml:space="preserve">(trop élevées ou trop faibles pour vos convives), </t>
  </si>
  <si>
    <t xml:space="preserve"> (demasiado altas o demasiado bajas para sus comensales), </t>
  </si>
  <si>
    <t xml:space="preserve">Saisissez vos propres quantités ligne par ligne en Col.33. selon vos besoins, </t>
  </si>
  <si>
    <t xml:space="preserve"> enter your own quantities line by line in Col.33.</t>
  </si>
  <si>
    <t>introduzca sus propias cantidades línea por línea en la Col.33.</t>
  </si>
  <si>
    <t>augmentez ou diminuez les quantités. ❾ référence Auteur &gt;</t>
  </si>
  <si>
    <t>Increase or decrease the quantities as needed.❾ Author reference &gt;</t>
  </si>
  <si>
    <t>Aumente o disminuya las cantidades según sea necesario.❾ Referencia Autor &gt;</t>
  </si>
  <si>
    <t>Pour que ce document puisse fonctionner il faut qu'il y ait une formule avec la fonction RECHERCHEX colonne &gt; Col.15 et Adresse PC Col.6</t>
  </si>
  <si>
    <t>For this document to work, there must be a formula using the XLOOKUP function (RECHERCHEX in French) in &gt; Col.15 et Adresse PC Col.6</t>
  </si>
  <si>
    <t>Para que este documento funcione, debe haber una fórmula que use la función BUSCARX (en francés, RECHERCHEX) en la columna 15 o posteriores. et Adresse PC Col.6</t>
  </si>
  <si>
    <t>moules</t>
  </si>
  <si>
    <t>LE BOUDIN EN 4 DÉCLINAISONS</t>
  </si>
  <si>
    <t>RÉPERTOIRE    15 col. collez vos "postits"  ci-dessous et récupérez les pour crèer de nouvelles recettes</t>
  </si>
  <si>
    <t>DIRECTORY 15.col.— paste your “postits” below and retrieve them to create new recipes</t>
  </si>
  <si>
    <t>REPERTORIO 15.col. — pegue sus “postits” abajo y recupérelos para crear nuevas recetas</t>
  </si>
  <si>
    <t xml:space="preserve"> Guy KRENZE - Eric GODDYN - Arnaud NICOLAS - CEPROC 2002</t>
  </si>
  <si>
    <t>NOM DE LA RECETTE</t>
  </si>
  <si>
    <t>Comprendre les termes culinaires employés dans les recettes de Mercotte</t>
  </si>
  <si>
    <t>et sélectionnez dans la barre de formule le numéro ou la lettre qui vous intéresse choisissez la police de caractères et la couleur qui vous conviennent</t>
  </si>
  <si>
    <t>cliquez sur la colonne O</t>
  </si>
  <si>
    <t>click column O</t>
  </si>
  <si>
    <t>and, in the formula bar, select the number or letter you’re interested in; choose the font and the color you prefer</t>
  </si>
  <si>
    <t>haga clic en la columna O</t>
  </si>
  <si>
    <t xml:space="preserve"> y, en la barra de fórmulas, seleccione el número o la letra que le interese; elija la tipografía y el color que prefiera</t>
  </si>
  <si>
    <t>TRAITEMENT</t>
  </si>
  <si>
    <t>Verbe</t>
  </si>
  <si>
    <t xml:space="preserve">Traitement </t>
  </si>
  <si>
    <t>Abaisser la temp. à coeur</t>
  </si>
  <si>
    <t>acheminement vers cuisson</t>
  </si>
  <si>
    <t>Assembler</t>
  </si>
  <si>
    <t>assemblage ind.</t>
  </si>
  <si>
    <t xml:space="preserve">assemblage plateaux </t>
  </si>
  <si>
    <t>Charger</t>
  </si>
  <si>
    <t>changement d echelle</t>
  </si>
  <si>
    <t>changement. chariots  isothermes</t>
  </si>
  <si>
    <t>deboitage</t>
  </si>
  <si>
    <t>Déboiter</t>
  </si>
  <si>
    <t>decartonage</t>
  </si>
  <si>
    <t>decoupe</t>
  </si>
  <si>
    <t>deconditionnement</t>
  </si>
  <si>
    <t>egouttage</t>
  </si>
  <si>
    <t>Egoutter</t>
  </si>
  <si>
    <t>epluchage</t>
  </si>
  <si>
    <t>Eplucher</t>
  </si>
  <si>
    <t>etiquettage collec.</t>
  </si>
  <si>
    <t>Etiqueter</t>
  </si>
  <si>
    <t>etiquettage ind</t>
  </si>
  <si>
    <t>filmage</t>
  </si>
  <si>
    <t>goutage</t>
  </si>
  <si>
    <t>melange</t>
  </si>
  <si>
    <t>Mettre En Bac</t>
  </si>
  <si>
    <t>Mettre En Chariot</t>
  </si>
  <si>
    <t>ouverture boite</t>
  </si>
  <si>
    <t>Passer En Cellule</t>
  </si>
  <si>
    <t>reception / controles</t>
  </si>
  <si>
    <t>Réceptionner/Contrôler</t>
  </si>
  <si>
    <t>Réchauffer en moins d'1 H</t>
  </si>
  <si>
    <t>reconditionnement</t>
  </si>
  <si>
    <t>refroidissement</t>
  </si>
  <si>
    <t>remise en t°</t>
  </si>
  <si>
    <t>Remettre En T°</t>
  </si>
  <si>
    <t>Retourner Vers Conditionnement</t>
  </si>
  <si>
    <t>sondage cuisson</t>
  </si>
  <si>
    <t>sondage de temperature</t>
  </si>
  <si>
    <t>Stocker</t>
  </si>
  <si>
    <t>stockage . d'attente</t>
  </si>
  <si>
    <t>Transporter En Bacs Inox</t>
  </si>
  <si>
    <t>Ce tableau découpe votre texte et l'ajuste à la largeur de votre colonne</t>
  </si>
  <si>
    <t>❷ Ajustez la largeur de cette colonne sur la largeur des phases de progressions</t>
  </si>
  <si>
    <t>Copiez le texte découpé et collez le dans votre fiche - Collage spécial 1.2.3 valeurs pour ne pas coller les formules</t>
  </si>
  <si>
    <t>largeur des PHASES DE PROGRESSION =</t>
  </si>
  <si>
    <t>❸ saisissez un nombre de caractères pour que le texte ne déborde pas de la colonne</t>
  </si>
  <si>
    <t>❹ récupérez le texte découpé et collez le dans votre document collage spécial valeur 1.2.3</t>
  </si>
  <si>
    <t>Lorsque vous masquez des lignes ou colonnes ou que vous saisssez une nouvelle valeur appuyez sur la touche F9 pour forcer Excel à recalculer</t>
  </si>
  <si>
    <t xml:space="preserve">❸ saisissez un nombre de caractères pour que le texte ne déborde pas de la colonne </t>
  </si>
  <si>
    <t>Combien de caractères souhaitez-vous afficher sur chaque ligne ?  Attention il faut que la police et la taille de police soit identique sur les deux documents</t>
  </si>
  <si>
    <t xml:space="preserve">   (collage spécial VALEURS 1.2.3 )</t>
  </si>
  <si>
    <t>J'INSISTE LES COLLAGES SE FONT TOUJOURS EN COLLAGE SPÉCIAL VALEURS 123 POUR RESPECTER LA POLICE ET LA TAILLE</t>
  </si>
  <si>
    <t>J'INSISTE LES COLLAGES SE FONT TOUJOURS EN COLLAGE SPÉCIAL VALEURS 123 POUR NE PAS COLLER LES FORMULES</t>
  </si>
  <si>
    <t xml:space="preserve">avec une police Calibri taille 12 vous aurez davantage de caractères par lignes à vous de choisir votre police </t>
  </si>
  <si>
    <t xml:space="preserve"> TABLEAU A</t>
  </si>
  <si>
    <t xml:space="preserve"> TABLEAU B </t>
  </si>
  <si>
    <t>❹  RÉCUPÉREZ VOTRE TEXTE découpé et collez le dans votre document collage spécial valeur 1.2.3</t>
  </si>
  <si>
    <t>Élargissez cette colonne au maximum pour la lecture du texte.</t>
  </si>
  <si>
    <t>❹ Copiez le texte de cette colonne pour le coller ensuite sur vos fiches  collage spécial valeur 1.2.3</t>
  </si>
  <si>
    <t>Texte collé</t>
  </si>
  <si>
    <t>"Nettoyage" et découpage du texte dans ces 4 colonnes</t>
  </si>
  <si>
    <t>Nb.car.</t>
  </si>
  <si>
    <t>bœuf bourguignon de grand-mère</t>
  </si>
  <si>
    <t>Portez à ébullition, puis baissez le feu et</t>
  </si>
  <si>
    <t>1. Coupez la viande en cubes d’environ 4 cm et mettez-la dans un grand saladier. Ajoutez-y les oignons coupés en rondelles, les carottes coupées en rondelles, les lardons, l’ail émincé et le bouquet garni. Versez le vin rouge sur le tout et laissez mariner au frais pendant 24 heures.</t>
  </si>
  <si>
    <t>2. Le lendemain, sortez la viande et les légumes de la marinade et égouttez-les. Réservez la marinade.</t>
  </si>
  <si>
    <t>3. Dans une cocotte en fonte, faites chauffer l’huile d’olive à feu moyen. Ajoutez la viande et faites-la dorer de tous les côtés. Retirez-la de la cocotte et réservez-la.</t>
  </si>
  <si>
    <t>4. Dans la même cocotte, faites revenir les légumes et les lardons pendant environ 5 minutes. Saupoudrez de farine et mélangez bien.</t>
  </si>
  <si>
    <t>5. Remettez la viande dans la cocotte et versez la marinade filtrée par-dessus. Ajoutez de l’eau si nécessaire pour recouvrir la viande. Salez et poivrez.</t>
  </si>
  <si>
    <t>6. Portez à ébullition, puis baissez le feu et laissez mijoter à feu doux pendant environ 3 heures, en remuant de temps en temps. La viande doit être tendre et la sauce onctueuse.</t>
  </si>
  <si>
    <t>7. Pendant ce temps, faites revenir les champignons dans une poêle avec un peu d’huile d’olive pendant environ 5 minutes.</t>
  </si>
  <si>
    <t>8. Ajoutez les champignons dans la cocotte environ 30 minutes avant la fin de la cuisson.</t>
  </si>
  <si>
    <t>9. Servez le bœuf bourguignon bien chaud accompagné de pommes de terre, de pâtes ou de riz.</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</si>
</sst>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7">
    <numFmt numFmtId="164" formatCode="dddd\ dd\ mmmm\ yyyy\ hh:mm"/>
    <numFmt numFmtId="165" formatCode="#,##0.00&quot; kg&quot;"/>
    <numFmt numFmtId="166" formatCode="0&quot; Kg&quot;"/>
    <numFmt numFmtId="167" formatCode="0.0"/>
    <numFmt numFmtId="168" formatCode="0&quot; g&quot;"/>
    <numFmt numFmtId="169" formatCode="0.000&quot; Kg&quot;"/>
    <numFmt numFmtId="170" formatCode="#,##0.0"/>
    <numFmt numFmtId="171" formatCode="0.000&quot;Kg&quot;"/>
    <numFmt numFmtId="172" formatCode="0.000&quot; L&quot;"/>
    <numFmt numFmtId="173" formatCode="[h]&quot;H&quot;mm"/>
    <numFmt numFmtId="174" formatCode="0.00&quot; Kg&quot;"/>
    <numFmt numFmtId="175" formatCode="0&quot;%&quot;"/>
    <numFmt numFmtId="176" formatCode="&quot;/ &quot;0"/>
    <numFmt numFmtId="177" formatCode="h&quot;h&quot;mm"/>
    <numFmt numFmtId="178" formatCode="0&quot;°C&quot;"/>
    <numFmt numFmtId="179" formatCode="0.000"/>
    <numFmt numFmtId="180" formatCode="0&quot; %&quot;"/>
    <numFmt numFmtId="181" formatCode="#,##0.00\ &quot;€&quot;"/>
    <numFmt numFmtId="182" formatCode="0&quot; Kg pour&quot;"/>
    <numFmt numFmtId="183" formatCode="0.0&quot; Kg&quot;"/>
    <numFmt numFmtId="184" formatCode="0.00&quot;Kg&quot;"/>
    <numFmt numFmtId="185" formatCode="0.0%"/>
    <numFmt numFmtId="186" formatCode="0.0&quot; %&quot;"/>
    <numFmt numFmtId="187" formatCode="0&quot; ml&quot;"/>
    <numFmt numFmtId="188" formatCode="0.00\ &quot; cm³&quot;"/>
    <numFmt numFmtId="189" formatCode="0&quot; car.&quot;"/>
    <numFmt numFmtId="190" formatCode="0.00&quot; ml&quot;"/>
    <numFmt numFmtId="191" formatCode="0.00&quot; g&quot;"/>
    <numFmt numFmtId="192" formatCode="0.0&quot; ml&quot;"/>
    <numFmt numFmtId="193" formatCode="[$-40C]d\-mmm\-yy;@"/>
    <numFmt numFmtId="194" formatCode="[$-F800]dddd\,\ mmmm\ dd\,\ yyyy"/>
    <numFmt numFmtId="195" formatCode="&quot;=UNICAR(128269)&quot;"/>
    <numFmt numFmtId="196" formatCode="#,##0&quot; gr&quot;"/>
    <numFmt numFmtId="197" formatCode="#,##0.000&quot; kg&quot;"/>
    <numFmt numFmtId="198" formatCode="&quot;de &quot;#,##0.000&quot; kg&quot;"/>
    <numFmt numFmtId="199" formatCode="&quot;de &quot;0.00&quot; Kg&quot;"/>
    <numFmt numFmtId="200" formatCode="0.000\K\g"/>
    <numFmt numFmtId="201" formatCode="&quot;Poids portion&quot;\ 0.000&quot; Kg&quot;"/>
    <numFmt numFmtId="202" formatCode="#,##0&quot; cl&quot;"/>
    <numFmt numFmtId="203" formatCode="0.000\ &quot; dm³&quot;"/>
    <numFmt numFmtId="204" formatCode="0&quot; lignes&quot;"/>
    <numFmt numFmtId="205" formatCode="0&quot; jours&quot;"/>
    <numFmt numFmtId="206" formatCode="0&quot; H&quot;"/>
    <numFmt numFmtId="207" formatCode="&quot;N° &quot;0"/>
    <numFmt numFmtId="208" formatCode="&quot;Col.&quot;0"/>
    <numFmt numFmtId="209" formatCode="0.0&quot; mm&quot;"/>
    <numFmt numFmtId="210" formatCode="0.00&quot; cm&quot;"/>
    <numFmt numFmtId="211" formatCode="0.00\ &quot; cm²&quot;"/>
    <numFmt numFmtId="212" formatCode="&quot;Actif&quot;;&quot;Actif&quot;;&quot;Inactif&quot;"/>
    <numFmt numFmtId="213" formatCode="&quot;Vrai&quot;;&quot;Vrai&quot;;&quot;Faux&quot;"/>
    <numFmt numFmtId="214" formatCode="&quot;de &quot;0"/>
    <numFmt numFmtId="215" formatCode="0.0000"/>
    <numFmt numFmtId="216" formatCode="0&quot; Gastro&quot;"/>
    <numFmt numFmtId="217" formatCode="\+\ 0.0;\-\ 0.0"/>
    <numFmt numFmtId="218" formatCode="\+\ 0.000;\-\ 0.000"/>
    <numFmt numFmtId="219" formatCode="\+\ 0.00;\-\ 0.00"/>
    <numFmt numFmtId="220" formatCode="0&quot; Mx&quot;"/>
    <numFmt numFmtId="221" formatCode="0.00&quot; Mx&quot;"/>
    <numFmt numFmtId="222" formatCode="0&quot; gr&quot;"/>
    <numFmt numFmtId="223" formatCode="0.0&quot; gr&quot;"/>
    <numFmt numFmtId="224" formatCode="dddd\ dd\ mmmm\ yyyy"/>
    <numFmt numFmtId="225" formatCode="hh&quot;H&quot;:mm&quot; mn&quot;"/>
    <numFmt numFmtId="226" formatCode="0.0&quot;Kg&quot;"/>
    <numFmt numFmtId="227" formatCode="0.0&quot; g&quot;"/>
    <numFmt numFmtId="228" formatCode="0&quot;Kg&quot;"/>
    <numFmt numFmtId="229" formatCode="0.0&quot;%&quot;"/>
    <numFmt numFmtId="230" formatCode="#,##0&quot; g&quot;"/>
  </numFmts>
  <fonts count="556">
    <font>
      <sz val="11"/>
      <color theme="1"/>
      <name val="Calibri"/>
      <family val="2"/>
      <scheme val="minor"/>
    </font>
    <font>
      <sz val="11"/>
      <color theme="1"/>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sz val="10"/>
      <name val="Arial"/>
      <family val="2"/>
    </font>
    <font>
      <b/>
      <sz val="8"/>
      <color theme="0"/>
      <name val="Calibri"/>
      <family val="2"/>
      <scheme val="minor"/>
    </font>
    <font>
      <sz val="8"/>
      <color theme="0"/>
      <name val="Calibri"/>
      <family val="2"/>
      <scheme val="minor"/>
    </font>
    <font>
      <b/>
      <sz val="11"/>
      <color indexed="9"/>
      <name val="Calibri"/>
      <family val="2"/>
      <scheme val="minor"/>
    </font>
    <font>
      <b/>
      <sz val="10"/>
      <name val="Calibri"/>
      <family val="2"/>
      <scheme val="minor"/>
    </font>
    <font>
      <b/>
      <sz val="11"/>
      <color rgb="FFFFC000"/>
      <name val="Calibri"/>
      <family val="2"/>
      <scheme val="minor"/>
    </font>
    <font>
      <b/>
      <sz val="11"/>
      <color rgb="FFFFFF00"/>
      <name val="Calibri"/>
      <family val="2"/>
      <scheme val="minor"/>
    </font>
    <font>
      <b/>
      <sz val="12"/>
      <name val="Calibri"/>
      <family val="2"/>
      <scheme val="minor"/>
    </font>
    <font>
      <b/>
      <sz val="12"/>
      <color rgb="FFFFFF00"/>
      <name val="Calibri"/>
      <family val="2"/>
      <scheme val="minor"/>
    </font>
    <font>
      <b/>
      <sz val="12"/>
      <color rgb="FFFFC000"/>
      <name val="Calibri"/>
      <family val="2"/>
      <scheme val="minor"/>
    </font>
    <font>
      <b/>
      <sz val="10"/>
      <color theme="9" tint="-0.499984740745262"/>
      <name val="Calibri"/>
      <family val="2"/>
      <scheme val="minor"/>
    </font>
    <font>
      <sz val="10"/>
      <name val="MS Sans Serif"/>
      <family val="2"/>
    </font>
    <font>
      <i/>
      <sz val="11"/>
      <name val="Calibri"/>
      <family val="2"/>
      <scheme val="minor"/>
    </font>
    <font>
      <b/>
      <sz val="18"/>
      <color theme="0"/>
      <name val="Calibri"/>
      <family val="2"/>
      <scheme val="minor"/>
    </font>
    <font>
      <b/>
      <sz val="12"/>
      <color rgb="FFFFFFFF"/>
      <name val="Calibri"/>
      <family val="2"/>
      <scheme val="minor"/>
    </font>
    <font>
      <sz val="11"/>
      <name val="Calibri"/>
      <family val="2"/>
      <scheme val="minor"/>
    </font>
    <font>
      <b/>
      <sz val="12"/>
      <color theme="0"/>
      <name val="Calibri"/>
      <family val="2"/>
      <scheme val="minor"/>
    </font>
    <font>
      <sz val="8"/>
      <color theme="9" tint="0.39997558519241921"/>
      <name val="Calibri"/>
      <family val="2"/>
      <scheme val="minor"/>
    </font>
    <font>
      <sz val="10"/>
      <name val="Calibri"/>
      <family val="2"/>
      <scheme val="minor"/>
    </font>
    <font>
      <b/>
      <sz val="20"/>
      <color theme="0"/>
      <name val="Calibri"/>
      <family val="2"/>
      <scheme val="minor"/>
    </font>
    <font>
      <b/>
      <sz val="14"/>
      <name val="Calibri"/>
      <family val="2"/>
      <scheme val="minor"/>
    </font>
    <font>
      <b/>
      <sz val="26"/>
      <color rgb="FFFFFFFF"/>
      <name val="Calibri"/>
      <family val="2"/>
      <scheme val="minor"/>
    </font>
    <font>
      <b/>
      <sz val="20"/>
      <name val="Calibri"/>
      <family val="2"/>
      <scheme val="minor"/>
    </font>
    <font>
      <sz val="12"/>
      <color theme="0"/>
      <name val="Calibri"/>
      <family val="2"/>
      <scheme val="minor"/>
    </font>
    <font>
      <sz val="9"/>
      <name val="Calibri"/>
      <family val="2"/>
      <scheme val="minor"/>
    </font>
    <font>
      <b/>
      <sz val="14"/>
      <color theme="0"/>
      <name val="Calibri"/>
      <family val="2"/>
      <scheme val="minor"/>
    </font>
    <font>
      <b/>
      <sz val="12"/>
      <color theme="5" tint="-0.499984740745262"/>
      <name val="Calibri"/>
      <family val="2"/>
      <scheme val="minor"/>
    </font>
    <font>
      <sz val="11"/>
      <color theme="1"/>
      <name val="Calibri"/>
      <family val="2"/>
    </font>
    <font>
      <sz val="12"/>
      <color theme="9" tint="-0.249977111117893"/>
      <name val="Calibri"/>
      <family val="2"/>
      <scheme val="minor"/>
    </font>
    <font>
      <b/>
      <sz val="12"/>
      <color rgb="FF0000FF"/>
      <name val="Calibri"/>
      <family val="2"/>
      <scheme val="minor"/>
    </font>
    <font>
      <sz val="10"/>
      <color theme="1"/>
      <name val="Calibri"/>
      <family val="2"/>
      <scheme val="minor"/>
    </font>
    <font>
      <sz val="14"/>
      <color rgb="FFC00000"/>
      <name val="Calibri"/>
      <family val="2"/>
      <scheme val="minor"/>
    </font>
    <font>
      <b/>
      <sz val="16"/>
      <color rgb="FFC00000"/>
      <name val="Calibri"/>
      <family val="2"/>
      <scheme val="minor"/>
    </font>
    <font>
      <b/>
      <sz val="14"/>
      <color theme="9" tint="-0.249977111117893"/>
      <name val="Calibri"/>
      <family val="2"/>
      <scheme val="minor"/>
    </font>
    <font>
      <sz val="14"/>
      <color theme="9" tint="-0.249977111117893"/>
      <name val="Calibri"/>
      <family val="2"/>
      <scheme val="minor"/>
    </font>
    <font>
      <b/>
      <sz val="16"/>
      <color theme="0"/>
      <name val="Calibri"/>
      <family val="2"/>
      <scheme val="minor"/>
    </font>
    <font>
      <sz val="11"/>
      <color theme="1" tint="0.249977111117893"/>
      <name val="Calibri"/>
      <family val="2"/>
      <scheme val="minor"/>
    </font>
    <font>
      <sz val="14"/>
      <color rgb="FF0000FF"/>
      <name val="Calibri"/>
      <family val="2"/>
      <scheme val="minor"/>
    </font>
    <font>
      <b/>
      <sz val="16"/>
      <color rgb="FF0000FF"/>
      <name val="Calibri"/>
      <family val="2"/>
      <scheme val="minor"/>
    </font>
    <font>
      <b/>
      <sz val="11"/>
      <color rgb="FF0000FF"/>
      <name val="Calibri"/>
      <family val="2"/>
      <scheme val="minor"/>
    </font>
    <font>
      <sz val="8"/>
      <color theme="0" tint="-0.249977111117893"/>
      <name val="Calibri"/>
      <family val="2"/>
      <scheme val="minor"/>
    </font>
    <font>
      <sz val="8"/>
      <color theme="3"/>
      <name val="Calibri"/>
      <family val="2"/>
      <scheme val="minor"/>
    </font>
    <font>
      <b/>
      <sz val="11"/>
      <name val="Calibri"/>
      <family val="2"/>
      <scheme val="minor"/>
    </font>
    <font>
      <b/>
      <sz val="9"/>
      <name val="Calibri"/>
      <family val="2"/>
      <scheme val="minor"/>
    </font>
    <font>
      <sz val="10"/>
      <color rgb="FF0000FF"/>
      <name val="Calibri"/>
      <family val="2"/>
      <scheme val="minor"/>
    </font>
    <font>
      <sz val="9"/>
      <color theme="1"/>
      <name val="Calibri"/>
      <family val="2"/>
      <scheme val="minor"/>
    </font>
    <font>
      <sz val="8"/>
      <color rgb="FF00B050"/>
      <name val="Calibri"/>
      <family val="2"/>
      <scheme val="minor"/>
    </font>
    <font>
      <b/>
      <sz val="11"/>
      <color rgb="FFC00000"/>
      <name val="Calibri"/>
      <family val="2"/>
      <scheme val="minor"/>
    </font>
    <font>
      <b/>
      <sz val="8"/>
      <name val="Calibri"/>
      <family val="2"/>
      <scheme val="minor"/>
    </font>
    <font>
      <sz val="9"/>
      <color theme="7" tint="-0.499984740745262"/>
      <name val="Calibri"/>
      <family val="2"/>
      <scheme val="minor"/>
    </font>
    <font>
      <sz val="10"/>
      <color theme="3"/>
      <name val="Calibri"/>
      <family val="2"/>
      <scheme val="minor"/>
    </font>
    <font>
      <sz val="12"/>
      <name val="Calibri"/>
      <family val="2"/>
      <scheme val="minor"/>
    </font>
    <font>
      <b/>
      <sz val="12"/>
      <color rgb="FFFF0000"/>
      <name val="Calibri"/>
      <family val="2"/>
      <scheme val="minor"/>
    </font>
    <font>
      <sz val="11"/>
      <color theme="9" tint="-0.499984740745262"/>
      <name val="Calibri"/>
      <family val="2"/>
      <scheme val="minor"/>
    </font>
    <font>
      <b/>
      <sz val="11"/>
      <color theme="9" tint="-0.499984740745262"/>
      <name val="Calibri"/>
      <family val="2"/>
      <scheme val="minor"/>
    </font>
    <font>
      <sz val="12"/>
      <color theme="9" tint="-0.499984740745262"/>
      <name val="Calibri"/>
      <family val="2"/>
      <scheme val="minor"/>
    </font>
    <font>
      <b/>
      <sz val="11"/>
      <color theme="9" tint="-0.249977111117893"/>
      <name val="Calibri"/>
      <family val="2"/>
      <scheme val="minor"/>
    </font>
    <font>
      <sz val="9"/>
      <color theme="0" tint="-0.499984740745262"/>
      <name val="Calibri"/>
      <family val="2"/>
      <scheme val="minor"/>
    </font>
    <font>
      <b/>
      <sz val="12"/>
      <color theme="9" tint="-0.499984740745262"/>
      <name val="Calibri"/>
      <family val="2"/>
      <scheme val="minor"/>
    </font>
    <font>
      <sz val="12"/>
      <color rgb="FFFF0000"/>
      <name val="Calibri"/>
      <family val="2"/>
      <scheme val="minor"/>
    </font>
    <font>
      <sz val="16"/>
      <name val="Calibri"/>
      <family val="2"/>
      <scheme val="minor"/>
    </font>
    <font>
      <sz val="8"/>
      <color rgb="FFBFBFBF"/>
      <name val="Calibri"/>
      <family val="2"/>
      <scheme val="minor"/>
    </font>
    <font>
      <sz val="11"/>
      <color rgb="FF0000FF"/>
      <name val="Calibri"/>
      <family val="2"/>
      <scheme val="minor"/>
    </font>
    <font>
      <sz val="14"/>
      <name val="Calibri"/>
      <family val="2"/>
      <scheme val="minor"/>
    </font>
    <font>
      <b/>
      <sz val="11"/>
      <color theme="7" tint="-0.499984740745262"/>
      <name val="Calibri"/>
      <family val="2"/>
      <scheme val="minor"/>
    </font>
    <font>
      <sz val="12"/>
      <color theme="1"/>
      <name val="Calibri"/>
      <family val="2"/>
      <scheme val="minor"/>
    </font>
    <font>
      <b/>
      <sz val="12"/>
      <color theme="1"/>
      <name val="Calibri"/>
      <family val="2"/>
      <scheme val="minor"/>
    </font>
    <font>
      <sz val="12"/>
      <color rgb="FFC00000"/>
      <name val="Calibri"/>
      <family val="2"/>
      <scheme val="minor"/>
    </font>
    <font>
      <b/>
      <sz val="14"/>
      <color rgb="FFC00000"/>
      <name val="Calibri"/>
      <family val="2"/>
      <scheme val="minor"/>
    </font>
    <font>
      <sz val="8"/>
      <color theme="9" tint="-0.499984740745262"/>
      <name val="Calibri"/>
      <family val="2"/>
      <scheme val="minor"/>
    </font>
    <font>
      <b/>
      <sz val="12"/>
      <color theme="9" tint="-0.249977111117893"/>
      <name val="Calibri"/>
      <family val="2"/>
      <scheme val="minor"/>
    </font>
    <font>
      <sz val="12"/>
      <color rgb="FF0000FF"/>
      <name val="Calibri"/>
      <family val="2"/>
      <scheme val="minor"/>
    </font>
    <font>
      <b/>
      <sz val="14"/>
      <color rgb="FF0000FF"/>
      <name val="Calibri"/>
      <family val="2"/>
      <scheme val="minor"/>
    </font>
    <font>
      <sz val="11"/>
      <color rgb="FF7030A0"/>
      <name val="Calibri"/>
      <family val="2"/>
      <scheme val="minor"/>
    </font>
    <font>
      <b/>
      <sz val="18"/>
      <name val="Calibri"/>
      <family val="2"/>
      <scheme val="minor"/>
    </font>
    <font>
      <i/>
      <sz val="11"/>
      <color theme="9" tint="-0.249977111117893"/>
      <name val="Calibri"/>
      <family val="2"/>
      <scheme val="minor"/>
    </font>
    <font>
      <b/>
      <sz val="14"/>
      <color theme="4"/>
      <name val="Calibri"/>
      <family val="2"/>
      <scheme val="minor"/>
    </font>
    <font>
      <sz val="12"/>
      <color rgb="FF0033CC"/>
      <name val="Calibri"/>
      <family val="2"/>
      <scheme val="minor"/>
    </font>
    <font>
      <b/>
      <sz val="12"/>
      <color indexed="12"/>
      <name val="Calibri"/>
      <family val="2"/>
      <scheme val="minor"/>
    </font>
    <font>
      <b/>
      <sz val="14"/>
      <color rgb="FF4472C4"/>
      <name val="Calibri"/>
      <family val="2"/>
      <scheme val="minor"/>
    </font>
    <font>
      <sz val="8"/>
      <name val="Arial"/>
      <family val="2"/>
    </font>
    <font>
      <u/>
      <sz val="11"/>
      <color theme="10"/>
      <name val="Calibri"/>
      <family val="2"/>
      <scheme val="minor"/>
    </font>
    <font>
      <b/>
      <sz val="14"/>
      <color theme="1"/>
      <name val="Calibri"/>
      <family val="2"/>
      <scheme val="minor"/>
    </font>
    <font>
      <b/>
      <sz val="14"/>
      <color theme="9" tint="-0.499984740745262"/>
      <name val="Calibri"/>
      <family val="2"/>
      <scheme val="minor"/>
    </font>
    <font>
      <sz val="9"/>
      <color theme="1" tint="0.34998626667073579"/>
      <name val="Calibri"/>
      <family val="2"/>
      <scheme val="minor"/>
    </font>
    <font>
      <sz val="9"/>
      <color theme="0"/>
      <name val="Calibri"/>
      <family val="2"/>
      <scheme val="minor"/>
    </font>
    <font>
      <b/>
      <sz val="10"/>
      <color rgb="FF0066FF"/>
      <name val="Calibri"/>
      <family val="2"/>
      <scheme val="minor"/>
    </font>
    <font>
      <sz val="12"/>
      <color rgb="FF0066FF"/>
      <name val="Calibri"/>
      <family val="2"/>
      <scheme val="minor"/>
    </font>
    <font>
      <sz val="10"/>
      <color rgb="FF000000"/>
      <name val="Calibri"/>
      <family val="2"/>
      <scheme val="minor"/>
    </font>
    <font>
      <sz val="11"/>
      <color theme="1" tint="0.34998626667073579"/>
      <name val="Calibri"/>
      <family val="2"/>
      <scheme val="minor"/>
    </font>
    <font>
      <b/>
      <sz val="10"/>
      <color rgb="FFC00000"/>
      <name val="Calibri"/>
      <family val="2"/>
      <scheme val="minor"/>
    </font>
    <font>
      <sz val="10"/>
      <color theme="1" tint="0.34998626667073579"/>
      <name val="Calibri"/>
      <family val="2"/>
      <scheme val="minor"/>
    </font>
    <font>
      <sz val="11"/>
      <color indexed="12"/>
      <name val="Calibri"/>
      <family val="2"/>
      <scheme val="minor"/>
    </font>
    <font>
      <b/>
      <sz val="10"/>
      <color rgb="FFFF0000"/>
      <name val="Calibri"/>
      <family val="2"/>
      <scheme val="minor"/>
    </font>
    <font>
      <b/>
      <sz val="11"/>
      <color indexed="12"/>
      <name val="Calibri"/>
      <family val="2"/>
      <scheme val="minor"/>
    </font>
    <font>
      <b/>
      <sz val="14"/>
      <color indexed="14"/>
      <name val="Calibri"/>
      <family val="2"/>
      <scheme val="minor"/>
    </font>
    <font>
      <sz val="12"/>
      <color rgb="FF00BC55"/>
      <name val="Calibri"/>
      <family val="2"/>
      <scheme val="minor"/>
    </font>
    <font>
      <i/>
      <sz val="11"/>
      <color rgb="FF0000FF"/>
      <name val="Calibri"/>
      <family val="2"/>
      <scheme val="minor"/>
    </font>
    <font>
      <sz val="11"/>
      <color rgb="FF0033CC"/>
      <name val="Calibri"/>
      <family val="2"/>
      <scheme val="minor"/>
    </font>
    <font>
      <sz val="10"/>
      <color theme="5" tint="-0.499984740745262"/>
      <name val="Calibri"/>
      <family val="2"/>
      <scheme val="minor"/>
    </font>
    <font>
      <b/>
      <sz val="11"/>
      <color rgb="FFFF0000"/>
      <name val="Calibri"/>
      <family val="2"/>
      <scheme val="minor"/>
    </font>
    <font>
      <b/>
      <sz val="11"/>
      <color theme="5" tint="-0.499984740745262"/>
      <name val="Calibri"/>
      <family val="2"/>
      <scheme val="minor"/>
    </font>
    <font>
      <i/>
      <sz val="14"/>
      <color rgb="FF0033CC"/>
      <name val="Calibri"/>
      <family val="2"/>
      <scheme val="minor"/>
    </font>
    <font>
      <i/>
      <sz val="12"/>
      <color theme="1"/>
      <name val="Calibri"/>
      <family val="2"/>
      <scheme val="minor"/>
    </font>
    <font>
      <sz val="14"/>
      <color theme="1"/>
      <name val="Calibri"/>
      <family val="2"/>
      <scheme val="minor"/>
    </font>
    <font>
      <sz val="10"/>
      <color rgb="FF0033CC"/>
      <name val="Calibri"/>
      <family val="2"/>
      <scheme val="minor"/>
    </font>
    <font>
      <b/>
      <sz val="12"/>
      <color rgb="FF0033CC"/>
      <name val="Calibri"/>
      <family val="2"/>
      <scheme val="minor"/>
    </font>
    <font>
      <b/>
      <sz val="12"/>
      <color rgb="FFC00000"/>
      <name val="Calibri"/>
      <family val="2"/>
      <scheme val="minor"/>
    </font>
    <font>
      <sz val="12"/>
      <color indexed="12"/>
      <name val="Calibri"/>
      <family val="2"/>
      <scheme val="minor"/>
    </font>
    <font>
      <b/>
      <sz val="11"/>
      <color rgb="FF548235"/>
      <name val="Calibri"/>
      <family val="2"/>
      <scheme val="minor"/>
    </font>
    <font>
      <sz val="11"/>
      <color theme="7" tint="-0.499984740745262"/>
      <name val="Calibri"/>
      <family val="2"/>
      <scheme val="minor"/>
    </font>
    <font>
      <b/>
      <sz val="12"/>
      <color rgb="FF548235"/>
      <name val="Calibri"/>
      <family val="2"/>
      <scheme val="minor"/>
    </font>
    <font>
      <b/>
      <sz val="14"/>
      <color rgb="FF375623"/>
      <name val="Calibri"/>
      <family val="2"/>
      <scheme val="minor"/>
    </font>
    <font>
      <i/>
      <sz val="12"/>
      <name val="Calibri"/>
      <family val="2"/>
      <scheme val="minor"/>
    </font>
    <font>
      <sz val="12"/>
      <color rgb="FF0070C0"/>
      <name val="Calibri"/>
      <family val="2"/>
      <scheme val="minor"/>
    </font>
    <font>
      <sz val="8"/>
      <color theme="0" tint="-0.34998626667073579"/>
      <name val="Calibri"/>
      <family val="2"/>
      <scheme val="minor"/>
    </font>
    <font>
      <i/>
      <sz val="10"/>
      <name val="Calibri"/>
      <family val="2"/>
      <scheme val="minor"/>
    </font>
    <font>
      <b/>
      <sz val="18"/>
      <color theme="1"/>
      <name val="Calibri"/>
      <family val="2"/>
      <scheme val="minor"/>
    </font>
    <font>
      <sz val="10"/>
      <color theme="1"/>
      <name val="Arial Unicode MS"/>
    </font>
    <font>
      <b/>
      <sz val="12"/>
      <color indexed="10"/>
      <name val="Calibri"/>
      <family val="2"/>
      <scheme val="minor"/>
    </font>
    <font>
      <sz val="10"/>
      <color rgb="FFC00000"/>
      <name val="Calibri"/>
      <family val="2"/>
      <scheme val="minor"/>
    </font>
    <font>
      <sz val="9"/>
      <color theme="3"/>
      <name val="Calibri"/>
      <family val="2"/>
      <scheme val="minor"/>
    </font>
    <font>
      <b/>
      <sz val="10"/>
      <color theme="1" tint="0.34998626667073579"/>
      <name val="Calibri"/>
      <family val="2"/>
      <scheme val="minor"/>
    </font>
    <font>
      <b/>
      <sz val="10"/>
      <color theme="1" tint="0.499984740745262"/>
      <name val="Calibri"/>
      <family val="2"/>
      <scheme val="minor"/>
    </font>
    <font>
      <sz val="8"/>
      <color theme="1" tint="0.499984740745262"/>
      <name val="Calibri"/>
      <family val="2"/>
      <scheme val="minor"/>
    </font>
    <font>
      <b/>
      <i/>
      <sz val="11"/>
      <color theme="5" tint="-0.249977111117893"/>
      <name val="Calibri"/>
      <family val="2"/>
      <scheme val="minor"/>
    </font>
    <font>
      <sz val="16"/>
      <color rgb="FFC00000"/>
      <name val="Calibri"/>
      <family val="2"/>
      <scheme val="minor"/>
    </font>
    <font>
      <b/>
      <sz val="12"/>
      <color theme="1" tint="0.34998626667073579"/>
      <name val="Calibri"/>
      <family val="2"/>
      <scheme val="minor"/>
    </font>
    <font>
      <b/>
      <sz val="12"/>
      <color theme="1" tint="0.499984740745262"/>
      <name val="Calibri"/>
      <family val="2"/>
      <scheme val="minor"/>
    </font>
    <font>
      <sz val="8"/>
      <color theme="1"/>
      <name val="Calibri"/>
      <family val="2"/>
      <scheme val="minor"/>
    </font>
    <font>
      <sz val="9"/>
      <color rgb="FF0000FF"/>
      <name val="Calibri"/>
      <family val="2"/>
      <scheme val="minor"/>
    </font>
    <font>
      <b/>
      <sz val="16"/>
      <color rgb="FF0033CC"/>
      <name val="Calibri"/>
      <family val="2"/>
      <scheme val="minor"/>
    </font>
    <font>
      <b/>
      <sz val="10"/>
      <color indexed="10"/>
      <name val="Calibri"/>
      <family val="2"/>
      <scheme val="minor"/>
    </font>
    <font>
      <b/>
      <sz val="11"/>
      <color indexed="10"/>
      <name val="Calibri"/>
      <family val="2"/>
      <scheme val="minor"/>
    </font>
    <font>
      <b/>
      <sz val="10"/>
      <color indexed="12"/>
      <name val="Calibri"/>
      <family val="2"/>
      <scheme val="minor"/>
    </font>
    <font>
      <b/>
      <sz val="14"/>
      <color theme="5" tint="-0.499984740745262"/>
      <name val="Calibri"/>
      <family val="2"/>
      <scheme val="minor"/>
    </font>
    <font>
      <sz val="11"/>
      <color rgb="FF806000"/>
      <name val="Calibri"/>
      <family val="2"/>
      <scheme val="minor"/>
    </font>
    <font>
      <b/>
      <sz val="11"/>
      <color rgb="FF4472C4"/>
      <name val="Calibri"/>
      <family val="2"/>
      <scheme val="minor"/>
    </font>
    <font>
      <b/>
      <sz val="12"/>
      <color rgb="FF000000"/>
      <name val="Calibri"/>
      <family val="2"/>
      <scheme val="minor"/>
    </font>
    <font>
      <i/>
      <sz val="12"/>
      <color rgb="FF0033CC"/>
      <name val="Calibri"/>
      <family val="2"/>
      <scheme val="minor"/>
    </font>
    <font>
      <b/>
      <sz val="11"/>
      <color rgb="FF375623"/>
      <name val="Calibri"/>
      <family val="2"/>
      <scheme val="minor"/>
    </font>
    <font>
      <b/>
      <sz val="11"/>
      <color rgb="FF0033CC"/>
      <name val="Calibri"/>
      <family val="2"/>
      <scheme val="minor"/>
    </font>
    <font>
      <sz val="11"/>
      <color rgb="FF0563C1"/>
      <name val="Calibri"/>
      <family val="2"/>
      <scheme val="minor"/>
    </font>
    <font>
      <sz val="11"/>
      <color rgb="FF0066FF"/>
      <name val="Calibri"/>
      <family val="2"/>
      <scheme val="minor"/>
    </font>
    <font>
      <sz val="11"/>
      <color rgb="FFC00000"/>
      <name val="Calibri"/>
      <family val="2"/>
      <scheme val="minor"/>
    </font>
    <font>
      <sz val="11"/>
      <color theme="5" tint="-0.499984740745262"/>
      <name val="Calibri"/>
      <family val="2"/>
      <scheme val="minor"/>
    </font>
    <font>
      <sz val="14"/>
      <color theme="0" tint="-0.14999847407452621"/>
      <name val="Calibri"/>
      <family val="2"/>
      <scheme val="minor"/>
    </font>
    <font>
      <sz val="14"/>
      <color theme="0" tint="-0.249977111117893"/>
      <name val="Calibri"/>
      <family val="2"/>
      <scheme val="minor"/>
    </font>
    <font>
      <b/>
      <sz val="16"/>
      <name val="Calibri"/>
      <family val="2"/>
      <scheme val="minor"/>
    </font>
    <font>
      <b/>
      <sz val="16"/>
      <color theme="1"/>
      <name val="Calibri"/>
      <family val="2"/>
      <scheme val="minor"/>
    </font>
    <font>
      <b/>
      <sz val="10"/>
      <color theme="1"/>
      <name val="Calibri"/>
      <family val="2"/>
      <scheme val="minor"/>
    </font>
    <font>
      <i/>
      <sz val="14"/>
      <name val="Calibri"/>
      <family val="2"/>
      <scheme val="minor"/>
    </font>
    <font>
      <b/>
      <sz val="16"/>
      <color rgb="FFFF0000"/>
      <name val="Calibri"/>
      <family val="2"/>
      <scheme val="minor"/>
    </font>
    <font>
      <b/>
      <i/>
      <sz val="14"/>
      <name val="Calibri"/>
      <family val="2"/>
      <scheme val="minor"/>
    </font>
    <font>
      <sz val="12"/>
      <color theme="0" tint="-0.249977111117893"/>
      <name val="Calibri"/>
      <family val="2"/>
      <scheme val="minor"/>
    </font>
    <font>
      <b/>
      <sz val="12"/>
      <color rgb="FF7030A0"/>
      <name val="Calibri"/>
      <family val="2"/>
      <scheme val="minor"/>
    </font>
    <font>
      <u/>
      <sz val="14"/>
      <color theme="10"/>
      <name val="Calibri"/>
      <family val="2"/>
      <scheme val="minor"/>
    </font>
    <font>
      <sz val="16"/>
      <color theme="1"/>
      <name val="Calibri"/>
      <family val="2"/>
      <scheme val="minor"/>
    </font>
    <font>
      <b/>
      <sz val="10"/>
      <color rgb="FF0000FF"/>
      <name val="Calibri"/>
      <family val="2"/>
      <scheme val="minor"/>
    </font>
    <font>
      <b/>
      <sz val="12"/>
      <color rgb="FF0070C0"/>
      <name val="Calibri"/>
      <family val="2"/>
      <scheme val="minor"/>
    </font>
    <font>
      <sz val="12"/>
      <name val="Calibri"/>
      <family val="2"/>
    </font>
    <font>
      <sz val="11"/>
      <name val="Calibri"/>
      <family val="2"/>
    </font>
    <font>
      <b/>
      <sz val="11"/>
      <color rgb="FF000000"/>
      <name val="Calibri"/>
      <family val="2"/>
      <scheme val="minor"/>
    </font>
    <font>
      <b/>
      <sz val="18"/>
      <color rgb="FF0000FF"/>
      <name val="Calibri"/>
      <family val="2"/>
      <scheme val="minor"/>
    </font>
    <font>
      <b/>
      <sz val="14"/>
      <color indexed="12"/>
      <name val="Calibri"/>
      <family val="2"/>
      <scheme val="minor"/>
    </font>
    <font>
      <b/>
      <sz val="10"/>
      <color theme="9" tint="-0.249977111117893"/>
      <name val="Calibri"/>
      <family val="2"/>
      <scheme val="minor"/>
    </font>
    <font>
      <sz val="16"/>
      <color theme="0"/>
      <name val="Calibri"/>
      <family val="2"/>
      <scheme val="minor"/>
    </font>
    <font>
      <sz val="14"/>
      <color theme="0"/>
      <name val="Calibri"/>
      <family val="2"/>
      <scheme val="minor"/>
    </font>
    <font>
      <b/>
      <sz val="14"/>
      <color rgb="FFFFFF00"/>
      <name val="Calibri"/>
      <family val="2"/>
      <scheme val="minor"/>
    </font>
    <font>
      <b/>
      <sz val="22"/>
      <color theme="1"/>
      <name val="Calibri"/>
      <family val="2"/>
      <scheme val="minor"/>
    </font>
    <font>
      <b/>
      <sz val="18"/>
      <color rgb="FFC00000"/>
      <name val="Calibri"/>
      <family val="2"/>
      <scheme val="minor"/>
    </font>
    <font>
      <sz val="12"/>
      <color theme="0" tint="-4.9989318521683403E-2"/>
      <name val="Calibri"/>
      <family val="2"/>
      <scheme val="minor"/>
    </font>
    <font>
      <b/>
      <sz val="14"/>
      <color theme="0" tint="-4.9989318521683403E-2"/>
      <name val="Calibri"/>
      <family val="2"/>
      <scheme val="minor"/>
    </font>
    <font>
      <b/>
      <sz val="22"/>
      <color theme="0"/>
      <name val="Calibri"/>
      <family val="2"/>
      <scheme val="minor"/>
    </font>
    <font>
      <b/>
      <sz val="48"/>
      <color rgb="FFC00000"/>
      <name val="Calibri"/>
      <family val="2"/>
      <scheme val="minor"/>
    </font>
    <font>
      <b/>
      <sz val="12"/>
      <name val="Calibri"/>
      <family val="2"/>
    </font>
    <font>
      <b/>
      <sz val="20"/>
      <color rgb="FFFF0000"/>
      <name val="Calibri"/>
      <family val="2"/>
      <scheme val="minor"/>
    </font>
    <font>
      <b/>
      <sz val="16"/>
      <color theme="9" tint="-0.499984740745262"/>
      <name val="Calibri"/>
      <family val="2"/>
      <scheme val="minor"/>
    </font>
    <font>
      <sz val="8"/>
      <name val="Calibri"/>
      <family val="2"/>
      <scheme val="minor"/>
    </font>
    <font>
      <b/>
      <sz val="10"/>
      <color rgb="FFA20000"/>
      <name val="Calibri"/>
      <family val="2"/>
      <scheme val="minor"/>
    </font>
    <font>
      <b/>
      <sz val="12"/>
      <color rgb="FFA20000"/>
      <name val="Calibri"/>
      <family val="2"/>
      <scheme val="minor"/>
    </font>
    <font>
      <i/>
      <sz val="16"/>
      <name val="Calibri"/>
      <family val="2"/>
      <scheme val="minor"/>
    </font>
    <font>
      <b/>
      <i/>
      <sz val="16"/>
      <name val="Calibri"/>
      <family val="2"/>
      <scheme val="minor"/>
    </font>
    <font>
      <b/>
      <sz val="20"/>
      <color rgb="FFC00000"/>
      <name val="Calibri"/>
      <family val="2"/>
      <scheme val="minor"/>
    </font>
    <font>
      <sz val="14"/>
      <color theme="7" tint="0.39997558519241921"/>
      <name val="Calibri"/>
      <family val="2"/>
      <scheme val="minor"/>
    </font>
    <font>
      <sz val="10"/>
      <color theme="9" tint="-0.499984740745262"/>
      <name val="Calibri"/>
      <family val="2"/>
      <scheme val="minor"/>
    </font>
    <font>
      <sz val="10"/>
      <color rgb="FF7030A0"/>
      <name val="Calibri"/>
      <family val="2"/>
      <scheme val="minor"/>
    </font>
    <font>
      <u/>
      <sz val="12"/>
      <color theme="10"/>
      <name val="Calibri"/>
      <family val="2"/>
      <scheme val="minor"/>
    </font>
    <font>
      <b/>
      <sz val="14"/>
      <color rgb="FFFF0000"/>
      <name val="Calibri"/>
      <family val="2"/>
      <scheme val="minor"/>
    </font>
    <font>
      <b/>
      <u/>
      <sz val="11"/>
      <color rgb="FFC00000"/>
      <name val="Calibri"/>
      <family val="2"/>
      <scheme val="minor"/>
    </font>
    <font>
      <b/>
      <sz val="16"/>
      <color theme="5" tint="-0.249977111117893"/>
      <name val="Calibri"/>
      <family val="2"/>
      <scheme val="minor"/>
    </font>
    <font>
      <b/>
      <sz val="13.5"/>
      <color theme="1"/>
      <name val="Calibri"/>
      <family val="2"/>
      <scheme val="minor"/>
    </font>
    <font>
      <u/>
      <sz val="14"/>
      <color rgb="FF0000FF"/>
      <name val="Calibri"/>
      <family val="2"/>
      <scheme val="minor"/>
    </font>
    <font>
      <b/>
      <sz val="11"/>
      <color rgb="FF0070C0"/>
      <name val="Calibri"/>
      <family val="2"/>
      <scheme val="minor"/>
    </font>
    <font>
      <b/>
      <sz val="10"/>
      <color theme="0"/>
      <name val="Calibri"/>
      <family val="2"/>
      <scheme val="minor"/>
    </font>
    <font>
      <sz val="12"/>
      <color theme="0" tint="-0.499984740745262"/>
      <name val="Calibri"/>
      <family val="2"/>
      <scheme val="minor"/>
    </font>
    <font>
      <b/>
      <sz val="20"/>
      <color theme="9" tint="-0.249977111117893"/>
      <name val="Calibri"/>
      <family val="2"/>
      <scheme val="minor"/>
    </font>
    <font>
      <b/>
      <sz val="48"/>
      <name val="Calibri"/>
      <family val="2"/>
      <scheme val="minor"/>
    </font>
    <font>
      <i/>
      <sz val="9"/>
      <name val="Calibri"/>
      <family val="2"/>
    </font>
    <font>
      <i/>
      <sz val="11"/>
      <name val="Calibri"/>
      <family val="2"/>
    </font>
    <font>
      <sz val="9"/>
      <name val="Calibri"/>
      <family val="2"/>
    </font>
    <font>
      <sz val="10"/>
      <color theme="0"/>
      <name val="Arial"/>
      <family val="2"/>
    </font>
    <font>
      <sz val="22"/>
      <color rgb="FF92D050"/>
      <name val="Verdana"/>
      <family val="2"/>
    </font>
    <font>
      <b/>
      <sz val="28"/>
      <color rgb="FFFFFF00"/>
      <name val="Calibri"/>
      <family val="2"/>
      <scheme val="minor"/>
    </font>
    <font>
      <b/>
      <sz val="18"/>
      <color rgb="FFFFFF00"/>
      <name val="Calibri"/>
      <family val="2"/>
      <scheme val="minor"/>
    </font>
    <font>
      <sz val="22"/>
      <color theme="0"/>
      <name val="Verdana"/>
      <family val="2"/>
    </font>
    <font>
      <sz val="18"/>
      <color rgb="FF7030A0"/>
      <name val="Arial"/>
      <family val="2"/>
    </font>
    <font>
      <sz val="18"/>
      <color theme="0"/>
      <name val="Arial"/>
      <family val="2"/>
    </font>
    <font>
      <b/>
      <sz val="20"/>
      <color rgb="FFFFFF00"/>
      <name val="Arial"/>
      <family val="2"/>
    </font>
    <font>
      <b/>
      <sz val="22"/>
      <color rgb="FFFFFF00"/>
      <name val="Arial"/>
      <family val="2"/>
    </font>
    <font>
      <b/>
      <i/>
      <sz val="20"/>
      <color theme="0"/>
      <name val="Arial"/>
      <family val="2"/>
    </font>
    <font>
      <i/>
      <sz val="22"/>
      <color theme="0"/>
      <name val="Verdana"/>
      <family val="2"/>
    </font>
    <font>
      <i/>
      <sz val="18"/>
      <color theme="0"/>
      <name val="Verdana"/>
      <family val="2"/>
    </font>
    <font>
      <sz val="22"/>
      <color rgb="FF7030A0"/>
      <name val="Arial"/>
      <family val="2"/>
    </font>
    <font>
      <sz val="22"/>
      <name val="Arial"/>
      <family val="2"/>
    </font>
    <font>
      <u/>
      <sz val="22"/>
      <color theme="10"/>
      <name val="Calibri"/>
      <family val="2"/>
      <scheme val="minor"/>
    </font>
    <font>
      <sz val="22"/>
      <color theme="1"/>
      <name val="Calibri"/>
      <family val="2"/>
      <scheme val="minor"/>
    </font>
    <font>
      <sz val="24"/>
      <name val="Arial"/>
      <family val="2"/>
    </font>
    <font>
      <sz val="24"/>
      <color theme="1"/>
      <name val="Calibri"/>
      <family val="2"/>
      <scheme val="minor"/>
    </font>
    <font>
      <sz val="22"/>
      <color rgb="FFFFFF00"/>
      <name val="Verdana"/>
      <family val="2"/>
    </font>
    <font>
      <sz val="16"/>
      <color theme="0"/>
      <name val="Verdana"/>
      <family val="2"/>
    </font>
    <font>
      <sz val="20"/>
      <color theme="0"/>
      <name val="Verdana"/>
      <family val="2"/>
    </font>
    <font>
      <b/>
      <sz val="20"/>
      <color rgb="FF92D050"/>
      <name val="Verdana"/>
      <family val="2"/>
    </font>
    <font>
      <sz val="20"/>
      <color rgb="FF7030A0"/>
      <name val="Arial"/>
      <family val="2"/>
    </font>
    <font>
      <sz val="20"/>
      <name val="Arial"/>
      <family val="2"/>
    </font>
    <font>
      <sz val="22"/>
      <color theme="0"/>
      <name val="Arial"/>
      <family val="2"/>
    </font>
    <font>
      <sz val="22"/>
      <color theme="0"/>
      <name val="Calibri"/>
      <family val="2"/>
    </font>
    <font>
      <sz val="18"/>
      <color rgb="FFFFFF00"/>
      <name val="Verdana"/>
      <family val="2"/>
    </font>
    <font>
      <sz val="14"/>
      <color rgb="FF92D050"/>
      <name val="Calibri"/>
      <family val="2"/>
    </font>
    <font>
      <i/>
      <sz val="22"/>
      <color rgb="FF92D050"/>
      <name val="Verdana"/>
      <family val="2"/>
    </font>
    <font>
      <b/>
      <sz val="16"/>
      <name val="Calibri"/>
      <family val="2"/>
    </font>
    <font>
      <b/>
      <sz val="20"/>
      <color rgb="FF92D050"/>
      <name val="Arial"/>
      <family val="2"/>
    </font>
    <font>
      <sz val="18"/>
      <color theme="0"/>
      <name val="Verdana"/>
      <family val="2"/>
    </font>
    <font>
      <sz val="16"/>
      <name val="Arial"/>
      <family val="2"/>
    </font>
    <font>
      <sz val="22"/>
      <color rgb="FFFFFF00"/>
      <name val="Arial"/>
      <family val="2"/>
    </font>
    <font>
      <sz val="14"/>
      <color theme="0"/>
      <name val="Arial"/>
      <family val="2"/>
    </font>
    <font>
      <i/>
      <sz val="14"/>
      <name val="Verdana"/>
      <family val="2"/>
    </font>
    <font>
      <sz val="22"/>
      <name val="Verdana"/>
      <family val="2"/>
    </font>
    <font>
      <b/>
      <sz val="18"/>
      <color rgb="FFC00000"/>
      <name val="Verdana"/>
      <family val="2"/>
    </font>
    <font>
      <b/>
      <u/>
      <sz val="18"/>
      <color theme="10"/>
      <name val="Calibri"/>
      <family val="2"/>
      <scheme val="minor"/>
    </font>
    <font>
      <sz val="20"/>
      <name val="Verdana"/>
      <family val="2"/>
    </font>
    <font>
      <u/>
      <sz val="10"/>
      <color indexed="12"/>
      <name val="Arial"/>
      <family val="2"/>
    </font>
    <font>
      <u/>
      <sz val="22"/>
      <color theme="0"/>
      <name val="Arial"/>
      <family val="2"/>
    </font>
    <font>
      <sz val="20"/>
      <color theme="0"/>
      <name val="Arial"/>
      <family val="2"/>
    </font>
    <font>
      <b/>
      <sz val="16"/>
      <color theme="9" tint="-0.249977111117893"/>
      <name val="Calibri"/>
      <family val="2"/>
      <scheme val="minor"/>
    </font>
    <font>
      <sz val="16"/>
      <color rgb="FF0000FF"/>
      <name val="Calibri"/>
      <family val="2"/>
      <scheme val="minor"/>
    </font>
    <font>
      <sz val="16"/>
      <color rgb="FFBFBFBF"/>
      <name val="Calibri"/>
      <family val="2"/>
      <scheme val="minor"/>
    </font>
    <font>
      <sz val="16"/>
      <color theme="9" tint="-0.249977111117893"/>
      <name val="Calibri"/>
      <family val="2"/>
      <scheme val="minor"/>
    </font>
    <font>
      <sz val="22"/>
      <color theme="1"/>
      <name val="Verdana"/>
      <family val="2"/>
    </font>
    <font>
      <u/>
      <sz val="18"/>
      <color theme="10"/>
      <name val="Calibri"/>
      <family val="2"/>
      <scheme val="minor"/>
    </font>
    <font>
      <sz val="20"/>
      <color theme="0"/>
      <name val="Calibri"/>
      <family val="2"/>
      <scheme val="minor"/>
    </font>
    <font>
      <sz val="20"/>
      <color theme="1" tint="0.249977111117893"/>
      <name val="Arial"/>
      <family val="2"/>
    </font>
    <font>
      <sz val="8"/>
      <color theme="1" tint="0.249977111117893"/>
      <name val="Arial"/>
      <family val="2"/>
    </font>
    <font>
      <u/>
      <sz val="20"/>
      <color theme="10"/>
      <name val="Calibri"/>
      <family val="2"/>
      <scheme val="minor"/>
    </font>
    <font>
      <sz val="20"/>
      <color theme="0" tint="-0.14999847407452621"/>
      <name val="Calibri"/>
      <family val="2"/>
      <scheme val="minor"/>
    </font>
    <font>
      <sz val="20"/>
      <color theme="1"/>
      <name val="Calibri"/>
      <family val="2"/>
      <scheme val="minor"/>
    </font>
    <font>
      <sz val="20"/>
      <name val="Calibri"/>
      <family val="2"/>
      <scheme val="minor"/>
    </font>
    <font>
      <b/>
      <sz val="20"/>
      <color theme="0"/>
      <name val="Calibri"/>
      <family val="2"/>
    </font>
    <font>
      <sz val="8"/>
      <color indexed="53"/>
      <name val="Arial"/>
      <family val="2"/>
    </font>
    <font>
      <b/>
      <sz val="22"/>
      <color rgb="FF99CC00"/>
      <name val="Arial"/>
      <family val="2"/>
    </font>
    <font>
      <sz val="22"/>
      <color theme="0"/>
      <name val="Calibri"/>
      <family val="2"/>
      <scheme val="minor"/>
    </font>
    <font>
      <sz val="22"/>
      <color theme="0"/>
      <name val="Rockwell"/>
      <family val="1"/>
    </font>
    <font>
      <b/>
      <sz val="18"/>
      <color theme="0"/>
      <name val="Calibri"/>
      <family val="2"/>
    </font>
    <font>
      <b/>
      <sz val="18"/>
      <color theme="0"/>
      <name val="Arial"/>
      <family val="2"/>
    </font>
    <font>
      <sz val="22"/>
      <color theme="0"/>
      <name val="Arial Narrow"/>
      <family val="2"/>
    </font>
    <font>
      <sz val="22"/>
      <color theme="0"/>
      <name val="Comic Sans MS"/>
      <family val="4"/>
    </font>
    <font>
      <sz val="22"/>
      <color theme="0"/>
      <name val="Gill Sans MT"/>
      <family val="2"/>
    </font>
    <font>
      <sz val="22"/>
      <color theme="0"/>
      <name val="Palatino Linotype"/>
      <family val="1"/>
    </font>
    <font>
      <sz val="22"/>
      <color theme="0"/>
      <name val="Tahoma"/>
      <family val="2"/>
    </font>
    <font>
      <sz val="22"/>
      <color theme="0"/>
      <name val="Times New Roman"/>
      <family val="1"/>
    </font>
    <font>
      <sz val="22"/>
      <color theme="0"/>
      <name val="Trebuchet MS"/>
      <family val="2"/>
    </font>
    <font>
      <sz val="22"/>
      <color theme="0"/>
      <name val="Tw Cen MT"/>
      <family val="2"/>
    </font>
    <font>
      <sz val="22"/>
      <color theme="0"/>
      <name val="Vrinda"/>
      <family val="2"/>
    </font>
    <font>
      <sz val="14"/>
      <color theme="1"/>
      <name val="Arial"/>
      <family val="2"/>
    </font>
    <font>
      <b/>
      <sz val="14"/>
      <color theme="1"/>
      <name val="Arial"/>
      <family val="2"/>
    </font>
    <font>
      <u/>
      <sz val="14"/>
      <color theme="10"/>
      <name val="Arial"/>
      <family val="2"/>
    </font>
    <font>
      <b/>
      <sz val="16"/>
      <color theme="1"/>
      <name val="Arial"/>
      <family val="2"/>
    </font>
    <font>
      <sz val="8"/>
      <color theme="0"/>
      <name val="Arial"/>
      <family val="2"/>
    </font>
    <font>
      <u/>
      <sz val="16"/>
      <color theme="10"/>
      <name val="Calibri"/>
      <family val="2"/>
      <scheme val="minor"/>
    </font>
    <font>
      <b/>
      <sz val="16"/>
      <color theme="1"/>
      <name val="Garamond"/>
      <family val="1"/>
    </font>
    <font>
      <sz val="16"/>
      <color theme="1"/>
      <name val="Garamond"/>
      <family val="1"/>
    </font>
    <font>
      <u/>
      <sz val="16"/>
      <color theme="10"/>
      <name val="Garamond"/>
      <family val="1"/>
    </font>
    <font>
      <sz val="16"/>
      <color theme="1"/>
      <name val="Cambria"/>
      <family val="1"/>
    </font>
    <font>
      <b/>
      <sz val="16"/>
      <color theme="1"/>
      <name val="Cambria"/>
      <family val="1"/>
    </font>
    <font>
      <i/>
      <sz val="14"/>
      <name val="Calibri"/>
      <family val="2"/>
    </font>
    <font>
      <i/>
      <sz val="16"/>
      <name val="Calibri"/>
      <family val="2"/>
    </font>
    <font>
      <sz val="12"/>
      <name val="Arial"/>
      <family val="2"/>
    </font>
    <font>
      <sz val="24"/>
      <color theme="0"/>
      <name val="Calibri"/>
      <family val="2"/>
      <scheme val="minor"/>
    </font>
    <font>
      <sz val="22"/>
      <color rgb="FF0000FF"/>
      <name val="Calibri"/>
      <family val="2"/>
      <scheme val="minor"/>
    </font>
    <font>
      <sz val="24"/>
      <color rgb="FF0000FF"/>
      <name val="Calibri"/>
      <family val="2"/>
      <scheme val="minor"/>
    </font>
    <font>
      <sz val="20"/>
      <color rgb="FF0000FF"/>
      <name val="Calibri"/>
      <family val="2"/>
      <scheme val="minor"/>
    </font>
    <font>
      <sz val="20"/>
      <color theme="0"/>
      <name val="Calibri"/>
      <family val="2"/>
    </font>
    <font>
      <u/>
      <sz val="24"/>
      <color theme="10"/>
      <name val="Calibri"/>
      <family val="2"/>
      <scheme val="minor"/>
    </font>
    <font>
      <b/>
      <sz val="26"/>
      <color theme="0"/>
      <name val="Arial"/>
      <family val="2"/>
    </font>
    <font>
      <b/>
      <sz val="14"/>
      <color theme="0"/>
      <name val="Segoe UI Emoji"/>
      <family val="2"/>
    </font>
    <font>
      <sz val="22"/>
      <color theme="0"/>
      <name val="Segoe UI Emoji"/>
      <family val="2"/>
    </font>
    <font>
      <sz val="22"/>
      <color rgb="FFFFC000"/>
      <name val="Calibri"/>
      <family val="2"/>
    </font>
    <font>
      <sz val="22"/>
      <color rgb="FFFF0000"/>
      <name val="Calibri"/>
      <family val="2"/>
    </font>
    <font>
      <sz val="22"/>
      <color indexed="50"/>
      <name val="Calibri"/>
      <family val="2"/>
    </font>
    <font>
      <sz val="22"/>
      <color rgb="FF00B050"/>
      <name val="Calibri"/>
      <family val="2"/>
    </font>
    <font>
      <sz val="22"/>
      <color rgb="FF7030A0"/>
      <name val="Calibri"/>
      <family val="2"/>
    </font>
    <font>
      <sz val="22"/>
      <color theme="9"/>
      <name val="Calibri"/>
      <family val="2"/>
    </font>
    <font>
      <sz val="22"/>
      <color theme="1"/>
      <name val="Calibri"/>
      <family val="2"/>
    </font>
    <font>
      <sz val="22"/>
      <color theme="3" tint="0.59999389629810485"/>
      <name val="Calibri"/>
      <family val="2"/>
    </font>
    <font>
      <sz val="22"/>
      <color theme="5" tint="0.59999389629810485"/>
      <name val="Calibri"/>
      <family val="2"/>
    </font>
    <font>
      <sz val="22"/>
      <color theme="9" tint="-0.249977111117893"/>
      <name val="Calibri"/>
      <family val="2"/>
    </font>
    <font>
      <sz val="22"/>
      <color rgb="FF0000FF"/>
      <name val="Calibri"/>
      <family val="2"/>
    </font>
    <font>
      <sz val="22"/>
      <color rgb="FF008000"/>
      <name val="Calibri"/>
      <family val="2"/>
    </font>
    <font>
      <sz val="22"/>
      <color theme="9" tint="-0.499984740745262"/>
      <name val="Calibri"/>
      <family val="2"/>
    </font>
    <font>
      <sz val="22"/>
      <color rgb="FF00B0F0"/>
      <name val="Calibri"/>
      <family val="2"/>
    </font>
    <font>
      <sz val="22"/>
      <color theme="5"/>
      <name val="Calibri"/>
      <family val="2"/>
    </font>
    <font>
      <sz val="22"/>
      <color theme="8" tint="-0.249977111117893"/>
      <name val="Calibri"/>
      <family val="2"/>
    </font>
    <font>
      <sz val="22"/>
      <color theme="3" tint="0.39997558519241921"/>
      <name val="Calibri"/>
      <family val="2"/>
    </font>
    <font>
      <sz val="22"/>
      <color theme="5" tint="-0.249977111117893"/>
      <name val="Calibri"/>
      <family val="2"/>
    </font>
    <font>
      <sz val="10"/>
      <name val="MS Sans Serif"/>
    </font>
    <font>
      <sz val="22"/>
      <color indexed="12"/>
      <name val="Arial"/>
      <family val="2"/>
    </font>
    <font>
      <b/>
      <sz val="22"/>
      <color theme="0"/>
      <name val="Calibri"/>
      <family val="2"/>
    </font>
    <font>
      <b/>
      <sz val="22"/>
      <name val="Calibri"/>
      <family val="2"/>
    </font>
    <font>
      <sz val="22"/>
      <color rgb="FF0070C0"/>
      <name val="Arial"/>
      <family val="2"/>
    </font>
    <font>
      <sz val="22"/>
      <color rgb="FF222222"/>
      <name val="Arial"/>
      <family val="2"/>
    </font>
    <font>
      <sz val="18"/>
      <color rgb="FF0070C0"/>
      <name val="Arial"/>
      <family val="2"/>
    </font>
    <font>
      <b/>
      <sz val="22"/>
      <color rgb="FFC00000"/>
      <name val="Wingdings 3"/>
      <family val="1"/>
      <charset val="2"/>
    </font>
    <font>
      <b/>
      <sz val="22"/>
      <color rgb="FFFF0000"/>
      <name val="Wingdings 3"/>
      <family val="1"/>
      <charset val="2"/>
    </font>
    <font>
      <b/>
      <sz val="22"/>
      <name val="Calibri"/>
      <family val="2"/>
      <scheme val="minor"/>
    </font>
    <font>
      <sz val="16"/>
      <color theme="1"/>
      <name val="Arial"/>
      <family val="2"/>
    </font>
    <font>
      <b/>
      <u/>
      <sz val="11"/>
      <color theme="10"/>
      <name val="Calibri"/>
      <family val="2"/>
      <scheme val="minor"/>
    </font>
    <font>
      <sz val="11"/>
      <color theme="10"/>
      <name val="Calibri"/>
      <family val="2"/>
      <scheme val="minor"/>
    </font>
    <font>
      <sz val="18"/>
      <color theme="0" tint="-0.14999847407452621"/>
      <name val="Calibri"/>
      <family val="2"/>
      <scheme val="minor"/>
    </font>
    <font>
      <sz val="18"/>
      <color theme="0" tint="-0.249977111117893"/>
      <name val="Calibri"/>
      <family val="2"/>
      <scheme val="minor"/>
    </font>
    <font>
      <sz val="18"/>
      <name val="Calibri"/>
      <family val="2"/>
      <scheme val="minor"/>
    </font>
    <font>
      <sz val="18"/>
      <color theme="1"/>
      <name val="Calibri"/>
      <family val="2"/>
      <scheme val="minor"/>
    </font>
    <font>
      <i/>
      <sz val="18"/>
      <name val="Calibri"/>
      <family val="2"/>
      <scheme val="minor"/>
    </font>
    <font>
      <b/>
      <i/>
      <sz val="18"/>
      <name val="Calibri"/>
      <family val="2"/>
      <scheme val="minor"/>
    </font>
    <font>
      <sz val="18"/>
      <color theme="7" tint="0.39997558519241921"/>
      <name val="Calibri"/>
      <family val="2"/>
      <scheme val="minor"/>
    </font>
    <font>
      <sz val="9"/>
      <color theme="9" tint="-0.499984740745262"/>
      <name val="Calibri"/>
      <family val="2"/>
      <scheme val="minor"/>
    </font>
    <font>
      <sz val="8"/>
      <color theme="0" tint="-0.499984740745262"/>
      <name val="Calibri"/>
      <family val="2"/>
      <scheme val="minor"/>
    </font>
    <font>
      <sz val="8"/>
      <color theme="0" tint="-0.14999847407452621"/>
      <name val="Calibri"/>
      <family val="2"/>
      <scheme val="minor"/>
    </font>
    <font>
      <sz val="14"/>
      <color rgb="FFFF0000"/>
      <name val="Calibri"/>
      <family val="2"/>
      <scheme val="minor"/>
    </font>
    <font>
      <sz val="18"/>
      <color theme="0"/>
      <name val="Calibri"/>
      <family val="2"/>
      <scheme val="minor"/>
    </font>
    <font>
      <sz val="10"/>
      <color theme="0"/>
      <name val="Calibri"/>
      <family val="2"/>
      <scheme val="minor"/>
    </font>
    <font>
      <b/>
      <u/>
      <sz val="14"/>
      <color theme="10"/>
      <name val="Calibri"/>
      <family val="2"/>
      <scheme val="minor"/>
    </font>
    <font>
      <sz val="14"/>
      <name val="Segoe Print"/>
    </font>
    <font>
      <b/>
      <sz val="14"/>
      <color theme="1"/>
      <name val="Segoe Print"/>
    </font>
    <font>
      <sz val="14"/>
      <color theme="1"/>
      <name val="Segoe Print"/>
    </font>
    <font>
      <b/>
      <sz val="14"/>
      <name val="Segoe Print"/>
    </font>
    <font>
      <sz val="11"/>
      <color theme="4" tint="0.39997558519241921"/>
      <name val="Calibri"/>
      <family val="2"/>
      <scheme val="minor"/>
    </font>
    <font>
      <sz val="11"/>
      <color theme="9" tint="-0.249977111117893"/>
      <name val="Calibri"/>
      <family val="2"/>
      <scheme val="minor"/>
    </font>
    <font>
      <b/>
      <sz val="11"/>
      <color rgb="FF7030A0"/>
      <name val="Calibri"/>
      <family val="2"/>
      <scheme val="minor"/>
    </font>
    <font>
      <b/>
      <sz val="14"/>
      <color rgb="FF7030A0"/>
      <name val="Calibri"/>
      <family val="2"/>
      <scheme val="minor"/>
    </font>
    <font>
      <sz val="11"/>
      <color theme="1"/>
      <name val="Segoe Print"/>
    </font>
    <font>
      <sz val="26"/>
      <color theme="7" tint="-0.249977111117893"/>
      <name val="Calibri"/>
      <family val="2"/>
      <scheme val="minor"/>
    </font>
    <font>
      <b/>
      <sz val="22"/>
      <color theme="9" tint="-0.249977111117893"/>
      <name val="Calibri"/>
      <family val="2"/>
      <scheme val="minor"/>
    </font>
    <font>
      <b/>
      <sz val="10"/>
      <color theme="5" tint="-0.249977111117893"/>
      <name val="Calibri"/>
      <family val="2"/>
      <scheme val="minor"/>
    </font>
    <font>
      <sz val="18"/>
      <color rgb="FF0070C0"/>
      <name val="Calibri"/>
      <family val="2"/>
      <scheme val="minor"/>
    </font>
    <font>
      <sz val="11"/>
      <color rgb="FF0070C0"/>
      <name val="Calibri"/>
      <family val="2"/>
      <scheme val="minor"/>
    </font>
    <font>
      <sz val="10"/>
      <color rgb="FF800000"/>
      <name val="Calibri"/>
      <family val="2"/>
      <scheme val="minor"/>
    </font>
    <font>
      <b/>
      <sz val="11"/>
      <color rgb="FF800000"/>
      <name val="Calibri"/>
      <family val="2"/>
      <scheme val="minor"/>
    </font>
    <font>
      <sz val="10"/>
      <color theme="1" tint="0.499984740745262"/>
      <name val="Calibri"/>
      <family val="2"/>
      <scheme val="minor"/>
    </font>
    <font>
      <sz val="10"/>
      <color theme="9" tint="-0.249977111117893"/>
      <name val="Calibri"/>
      <family val="2"/>
      <scheme val="minor"/>
    </font>
    <font>
      <sz val="11"/>
      <color theme="1" tint="0.499984740745262"/>
      <name val="Calibri"/>
      <family val="2"/>
      <scheme val="minor"/>
    </font>
    <font>
      <b/>
      <sz val="10"/>
      <color rgb="FF7030A0"/>
      <name val="Calibri"/>
      <family val="2"/>
      <scheme val="minor"/>
    </font>
    <font>
      <sz val="11"/>
      <color rgb="FF800000"/>
      <name val="Calibri"/>
      <family val="2"/>
      <scheme val="minor"/>
    </font>
    <font>
      <b/>
      <sz val="12"/>
      <color rgb="FF800000"/>
      <name val="Calibri"/>
      <family val="2"/>
      <scheme val="minor"/>
    </font>
    <font>
      <sz val="8"/>
      <color rgb="FF808080"/>
      <name val="Calibri"/>
      <family val="2"/>
      <scheme val="minor"/>
    </font>
    <font>
      <sz val="11"/>
      <color indexed="10"/>
      <name val="Calibri"/>
      <family val="2"/>
      <scheme val="minor"/>
    </font>
    <font>
      <b/>
      <sz val="10"/>
      <color rgb="FF0070C0"/>
      <name val="Calibri"/>
      <family val="2"/>
      <scheme val="minor"/>
    </font>
    <font>
      <b/>
      <sz val="16"/>
      <color rgb="FF0070C0"/>
      <name val="Calibri"/>
      <family val="2"/>
      <scheme val="minor"/>
    </font>
    <font>
      <b/>
      <sz val="14"/>
      <color indexed="61"/>
      <name val="Calibri"/>
      <family val="2"/>
      <scheme val="minor"/>
    </font>
    <font>
      <b/>
      <sz val="18"/>
      <color theme="9" tint="-0.249977111117893"/>
      <name val="Calibri"/>
      <family val="2"/>
      <scheme val="minor"/>
    </font>
    <font>
      <sz val="12"/>
      <color rgb="FF993366"/>
      <name val="Calibri"/>
      <family val="2"/>
      <scheme val="minor"/>
    </font>
    <font>
      <b/>
      <sz val="14"/>
      <color theme="0"/>
      <name val="Calibri"/>
      <family val="2"/>
    </font>
    <font>
      <b/>
      <sz val="14"/>
      <color theme="1" tint="0.499984740745262"/>
      <name val="Calibri"/>
      <family val="2"/>
      <scheme val="minor"/>
    </font>
    <font>
      <b/>
      <sz val="24.2"/>
      <color rgb="FFEC3468"/>
      <name val="Times New Roman"/>
      <family val="1"/>
    </font>
    <font>
      <b/>
      <sz val="18"/>
      <color rgb="FF339933"/>
      <name val="Calibri"/>
      <family val="2"/>
      <scheme val="minor"/>
    </font>
    <font>
      <b/>
      <sz val="10"/>
      <color theme="1"/>
      <name val="Arial Unicode MS"/>
    </font>
    <font>
      <i/>
      <sz val="11"/>
      <color theme="1"/>
      <name val="Calibri"/>
      <family val="2"/>
      <scheme val="minor"/>
    </font>
    <font>
      <i/>
      <sz val="10"/>
      <color theme="1"/>
      <name val="Arial Unicode MS"/>
    </font>
    <font>
      <b/>
      <u/>
      <sz val="12"/>
      <color theme="10"/>
      <name val="Calibri"/>
      <family val="2"/>
      <scheme val="minor"/>
    </font>
    <font>
      <b/>
      <i/>
      <sz val="12"/>
      <color theme="1"/>
      <name val="Calibri"/>
      <family val="2"/>
      <scheme val="minor"/>
    </font>
    <font>
      <i/>
      <sz val="11"/>
      <color theme="5" tint="-0.499984740745262"/>
      <name val="Calibri"/>
      <family val="2"/>
      <scheme val="minor"/>
    </font>
    <font>
      <b/>
      <i/>
      <sz val="11"/>
      <color theme="5" tint="-0.499984740745262"/>
      <name val="Calibri"/>
      <family val="2"/>
      <scheme val="minor"/>
    </font>
    <font>
      <sz val="12"/>
      <color theme="5" tint="-0.499984740745262"/>
      <name val="Calibri"/>
      <family val="2"/>
      <scheme val="minor"/>
    </font>
    <font>
      <sz val="10"/>
      <color rgb="FF808080"/>
      <name val="Calibri"/>
      <family val="2"/>
      <scheme val="minor"/>
    </font>
    <font>
      <sz val="26"/>
      <name val="Calibri"/>
      <family val="2"/>
      <scheme val="minor"/>
    </font>
    <font>
      <sz val="26"/>
      <name val="Arial"/>
      <family val="2"/>
    </font>
    <font>
      <b/>
      <sz val="10"/>
      <name val="Arial"/>
      <family val="2"/>
    </font>
    <font>
      <sz val="18"/>
      <color rgb="FF000000"/>
      <name val="Georgia"/>
      <family val="1"/>
    </font>
    <font>
      <b/>
      <sz val="11"/>
      <name val="Arial"/>
      <family val="2"/>
    </font>
    <font>
      <b/>
      <sz val="8"/>
      <name val="Arial"/>
      <family val="2"/>
    </font>
    <font>
      <sz val="24"/>
      <color theme="0"/>
      <name val="Arial"/>
      <family val="2"/>
    </font>
    <font>
      <b/>
      <sz val="16"/>
      <name val="Arial"/>
      <family val="2"/>
    </font>
    <font>
      <b/>
      <sz val="16"/>
      <color theme="0"/>
      <name val="Arial"/>
      <family val="2"/>
    </font>
    <font>
      <b/>
      <sz val="10"/>
      <color theme="0"/>
      <name val="Arial"/>
      <family val="2"/>
    </font>
    <font>
      <sz val="11"/>
      <color rgb="FF252525"/>
      <name val="Arial"/>
      <family val="2"/>
    </font>
    <font>
      <b/>
      <u/>
      <sz val="16"/>
      <color theme="10"/>
      <name val="Calibri"/>
      <family val="2"/>
      <scheme val="minor"/>
    </font>
    <font>
      <sz val="11"/>
      <name val="Arial"/>
      <family val="2"/>
    </font>
    <font>
      <b/>
      <u/>
      <sz val="14"/>
      <color indexed="12"/>
      <name val="Calibri"/>
      <family val="2"/>
      <scheme val="minor"/>
    </font>
    <font>
      <b/>
      <sz val="16"/>
      <color indexed="12"/>
      <name val="Arial"/>
      <family val="2"/>
    </font>
    <font>
      <b/>
      <sz val="14"/>
      <name val="Arial"/>
      <family val="2"/>
    </font>
    <font>
      <b/>
      <i/>
      <sz val="14"/>
      <name val="Arial"/>
      <family val="2"/>
    </font>
    <font>
      <b/>
      <sz val="12"/>
      <color indexed="57"/>
      <name val="Arial"/>
      <family val="2"/>
    </font>
    <font>
      <b/>
      <sz val="12"/>
      <name val="Arial"/>
      <family val="2"/>
    </font>
    <font>
      <b/>
      <i/>
      <sz val="16"/>
      <name val="Arial"/>
      <family val="2"/>
    </font>
    <font>
      <b/>
      <sz val="10"/>
      <color indexed="60"/>
      <name val="Arial"/>
      <family val="2"/>
    </font>
    <font>
      <b/>
      <sz val="12"/>
      <color indexed="10"/>
      <name val="Arial"/>
      <family val="2"/>
    </font>
    <font>
      <b/>
      <sz val="11"/>
      <color indexed="57"/>
      <name val="Arial"/>
      <family val="2"/>
    </font>
    <font>
      <sz val="18"/>
      <name val="Arial"/>
      <family val="2"/>
    </font>
    <font>
      <b/>
      <sz val="14"/>
      <color indexed="12"/>
      <name val="Calibri"/>
      <family val="2"/>
    </font>
    <font>
      <b/>
      <sz val="12"/>
      <color indexed="12"/>
      <name val="Arial"/>
      <family val="2"/>
    </font>
    <font>
      <b/>
      <sz val="12"/>
      <color indexed="60"/>
      <name val="Arial"/>
      <family val="2"/>
    </font>
    <font>
      <b/>
      <sz val="14"/>
      <name val="Calibri"/>
      <family val="2"/>
    </font>
    <font>
      <sz val="14"/>
      <name val="Arial"/>
      <family val="2"/>
    </font>
    <font>
      <b/>
      <sz val="12"/>
      <color theme="5"/>
      <name val="Arial"/>
      <family val="2"/>
    </font>
    <font>
      <sz val="14"/>
      <color rgb="FF222222"/>
      <name val="Arial"/>
      <family val="2"/>
    </font>
    <font>
      <b/>
      <sz val="14"/>
      <color theme="5"/>
      <name val="Calibri"/>
      <family val="2"/>
      <scheme val="minor"/>
    </font>
    <font>
      <b/>
      <sz val="12"/>
      <color theme="5"/>
      <name val="Calibri"/>
      <family val="2"/>
      <scheme val="minor"/>
    </font>
    <font>
      <b/>
      <sz val="12"/>
      <color theme="7" tint="-0.499984740745262"/>
      <name val="Calibri"/>
      <family val="2"/>
      <scheme val="minor"/>
    </font>
    <font>
      <b/>
      <sz val="18"/>
      <color theme="1"/>
      <name val="Arial"/>
      <family val="2"/>
    </font>
    <font>
      <sz val="9"/>
      <name val="Arial"/>
      <family val="2"/>
    </font>
    <font>
      <sz val="12"/>
      <color theme="1"/>
      <name val="Arial"/>
      <family val="2"/>
    </font>
    <font>
      <b/>
      <sz val="14"/>
      <color rgb="FFC00000"/>
      <name val="Arial"/>
      <family val="2"/>
    </font>
    <font>
      <b/>
      <sz val="12"/>
      <color rgb="FFC00000"/>
      <name val="Arial"/>
      <family val="2"/>
    </font>
    <font>
      <b/>
      <sz val="12"/>
      <color theme="7" tint="-0.499984740745262"/>
      <name val="Arial"/>
      <family val="2"/>
    </font>
    <font>
      <b/>
      <i/>
      <sz val="12"/>
      <name val="Calibri"/>
      <family val="2"/>
      <scheme val="minor"/>
    </font>
    <font>
      <sz val="12"/>
      <color rgb="FFA20000"/>
      <name val="Calibri"/>
      <family val="2"/>
      <scheme val="minor"/>
    </font>
    <font>
      <sz val="12"/>
      <color rgb="FF800000"/>
      <name val="Calibri"/>
      <family val="2"/>
      <scheme val="minor"/>
    </font>
    <font>
      <b/>
      <sz val="25"/>
      <name val="Calibri"/>
      <family val="2"/>
      <scheme val="minor"/>
    </font>
    <font>
      <b/>
      <sz val="2"/>
      <name val="Calibri"/>
      <family val="2"/>
      <scheme val="minor"/>
    </font>
    <font>
      <b/>
      <sz val="16"/>
      <color indexed="12"/>
      <name val="Calibri"/>
      <family val="2"/>
      <scheme val="minor"/>
    </font>
    <font>
      <b/>
      <sz val="14"/>
      <color indexed="10"/>
      <name val="Calibri"/>
      <family val="2"/>
      <scheme val="minor"/>
    </font>
    <font>
      <sz val="24"/>
      <name val="Calibri"/>
      <family val="2"/>
      <scheme val="minor"/>
    </font>
    <font>
      <i/>
      <sz val="11"/>
      <color theme="9" tint="-0.499984740745262"/>
      <name val="Calibri"/>
      <family val="2"/>
      <scheme val="minor"/>
    </font>
    <font>
      <b/>
      <sz val="14"/>
      <color theme="0"/>
      <name val="Arial"/>
      <family val="2"/>
    </font>
    <font>
      <b/>
      <sz val="12"/>
      <color rgb="FF0000FF"/>
      <name val="Arial"/>
      <family val="2"/>
    </font>
    <font>
      <b/>
      <sz val="11"/>
      <color rgb="FF0000FF"/>
      <name val="Arial"/>
      <family val="2"/>
    </font>
    <font>
      <b/>
      <sz val="11"/>
      <color theme="0" tint="-0.499984740745262"/>
      <name val="Arial"/>
      <family val="2"/>
    </font>
    <font>
      <b/>
      <sz val="11"/>
      <color indexed="12"/>
      <name val="Arial"/>
      <family val="2"/>
    </font>
    <font>
      <sz val="11"/>
      <name val="MS Sans Serif"/>
      <family val="2"/>
    </font>
    <font>
      <b/>
      <sz val="12"/>
      <color theme="0" tint="-0.499984740745262"/>
      <name val="Arial"/>
      <family val="2"/>
    </font>
    <font>
      <sz val="10"/>
      <color theme="0" tint="-0.499984740745262"/>
      <name val="Arial"/>
      <family val="2"/>
    </font>
    <font>
      <b/>
      <sz val="12"/>
      <color theme="0"/>
      <name val="Arial"/>
      <family val="2"/>
    </font>
    <font>
      <b/>
      <sz val="11"/>
      <color rgb="FFC00000"/>
      <name val="Arial"/>
      <family val="2"/>
    </font>
    <font>
      <b/>
      <sz val="10"/>
      <color indexed="9"/>
      <name val="Arial"/>
      <family val="2"/>
    </font>
    <font>
      <b/>
      <sz val="20"/>
      <name val="Arial"/>
      <family val="2"/>
    </font>
    <font>
      <sz val="14"/>
      <name val="Rockwell"/>
      <family val="1"/>
    </font>
    <font>
      <sz val="11"/>
      <color rgb="FFA20000"/>
      <name val="Calibri"/>
      <family val="2"/>
    </font>
    <font>
      <b/>
      <sz val="11"/>
      <color indexed="8"/>
      <name val="Calibri"/>
      <family val="2"/>
    </font>
    <font>
      <sz val="14"/>
      <color indexed="8"/>
      <name val="Rockwell"/>
      <family val="1"/>
    </font>
    <font>
      <sz val="14"/>
      <color rgb="FFA20000"/>
      <name val="Rockwell"/>
      <family val="1"/>
    </font>
    <font>
      <b/>
      <sz val="14"/>
      <color indexed="10"/>
      <name val="Calibri"/>
      <family val="2"/>
    </font>
    <font>
      <sz val="14"/>
      <color indexed="12"/>
      <name val="Rockwell"/>
      <family val="1"/>
    </font>
    <font>
      <sz val="12"/>
      <color indexed="62"/>
      <name val="Calibri"/>
      <family val="2"/>
    </font>
    <font>
      <sz val="11"/>
      <color indexed="30"/>
      <name val="Calibri"/>
      <family val="2"/>
    </font>
    <font>
      <b/>
      <sz val="14"/>
      <color rgb="FFFF0000"/>
      <name val="Calibri"/>
      <family val="2"/>
    </font>
    <font>
      <b/>
      <sz val="14"/>
      <color indexed="49"/>
      <name val="Calibri"/>
      <family val="2"/>
    </font>
    <font>
      <sz val="11"/>
      <color indexed="8"/>
      <name val="Rockwell"/>
      <family val="1"/>
    </font>
    <font>
      <sz val="11"/>
      <color indexed="10"/>
      <name val="Calibri"/>
      <family val="2"/>
    </font>
    <font>
      <b/>
      <sz val="12"/>
      <color indexed="30"/>
      <name val="Calibri"/>
      <family val="2"/>
    </font>
    <font>
      <b/>
      <sz val="14"/>
      <color indexed="62"/>
      <name val="Calibri"/>
      <family val="2"/>
    </font>
    <font>
      <sz val="12"/>
      <color rgb="FFA20000"/>
      <name val="Calibri"/>
      <family val="2"/>
    </font>
    <font>
      <b/>
      <i/>
      <sz val="12"/>
      <color rgb="FFA20000"/>
      <name val="Calibri"/>
      <family val="2"/>
    </font>
    <font>
      <sz val="11"/>
      <color indexed="17"/>
      <name val="Calibri"/>
      <family val="2"/>
    </font>
    <font>
      <b/>
      <sz val="14"/>
      <color indexed="17"/>
      <name val="Calibri"/>
      <family val="2"/>
    </font>
    <font>
      <i/>
      <sz val="12"/>
      <color indexed="12"/>
      <name val="Arial"/>
      <family val="2"/>
    </font>
    <font>
      <sz val="10"/>
      <color rgb="FF000000"/>
      <name val="Arial"/>
      <family val="2"/>
    </font>
    <font>
      <b/>
      <sz val="11"/>
      <color theme="0"/>
      <name val="Arial"/>
      <family val="2"/>
    </font>
    <font>
      <b/>
      <sz val="11"/>
      <color indexed="10"/>
      <name val="Arial"/>
      <family val="2"/>
    </font>
    <font>
      <i/>
      <sz val="12"/>
      <color rgb="FF000000"/>
      <name val="Arial"/>
      <family val="2"/>
    </font>
    <font>
      <b/>
      <sz val="12"/>
      <color rgb="FF000000"/>
      <name val="Arial"/>
      <family val="2"/>
    </font>
    <font>
      <sz val="12"/>
      <color rgb="FF000000"/>
      <name val="Arial"/>
      <family val="2"/>
    </font>
    <font>
      <b/>
      <sz val="12"/>
      <color indexed="9"/>
      <name val="Arial"/>
      <family val="2"/>
    </font>
    <font>
      <b/>
      <sz val="18"/>
      <color rgb="FF008000"/>
      <name val="Calibri"/>
      <family val="2"/>
      <scheme val="minor"/>
    </font>
    <font>
      <b/>
      <i/>
      <sz val="12"/>
      <color rgb="FF0070C0"/>
      <name val="Calibri"/>
      <family val="2"/>
      <scheme val="minor"/>
    </font>
    <font>
      <sz val="9"/>
      <color theme="8" tint="-0.249977111117893"/>
      <name val="Calibri"/>
      <family val="2"/>
      <scheme val="minor"/>
    </font>
    <font>
      <sz val="9"/>
      <color rgb="FFC00000"/>
      <name val="Calibri"/>
      <family val="2"/>
      <scheme val="minor"/>
    </font>
    <font>
      <b/>
      <sz val="12"/>
      <color theme="8" tint="-0.249977111117893"/>
      <name val="Calibri"/>
      <family val="2"/>
      <scheme val="minor"/>
    </font>
    <font>
      <b/>
      <i/>
      <sz val="10"/>
      <color theme="4" tint="-0.499984740745262"/>
      <name val="Calibri"/>
      <family val="2"/>
      <scheme val="minor"/>
    </font>
    <font>
      <b/>
      <i/>
      <sz val="10"/>
      <color rgb="FFC00000"/>
      <name val="Calibri"/>
      <family val="2"/>
      <scheme val="minor"/>
    </font>
    <font>
      <b/>
      <i/>
      <sz val="11"/>
      <color theme="4" tint="-0.499984740745262"/>
      <name val="Calibri"/>
      <family val="2"/>
      <scheme val="minor"/>
    </font>
    <font>
      <b/>
      <i/>
      <sz val="11"/>
      <color rgb="FFC00000"/>
      <name val="Calibri"/>
      <family val="2"/>
      <scheme val="minor"/>
    </font>
    <font>
      <sz val="11"/>
      <color rgb="FF303030"/>
      <name val="Calibri"/>
      <family val="2"/>
      <scheme val="minor"/>
    </font>
    <font>
      <b/>
      <sz val="11"/>
      <color theme="8" tint="-0.249977111117893"/>
      <name val="Calibri"/>
      <family val="2"/>
      <scheme val="minor"/>
    </font>
    <font>
      <b/>
      <sz val="9"/>
      <color theme="1"/>
      <name val="Calibri"/>
      <family val="2"/>
      <scheme val="minor"/>
    </font>
    <font>
      <b/>
      <sz val="10"/>
      <color indexed="10"/>
      <name val="Arial"/>
      <family val="2"/>
    </font>
    <font>
      <sz val="8"/>
      <color indexed="22"/>
      <name val="Arial"/>
      <family val="2"/>
    </font>
    <font>
      <b/>
      <sz val="10"/>
      <color indexed="17"/>
      <name val="Arial"/>
      <family val="2"/>
    </font>
    <font>
      <b/>
      <sz val="10"/>
      <color indexed="12"/>
      <name val="Arial"/>
      <family val="2"/>
    </font>
    <font>
      <sz val="10"/>
      <color indexed="22"/>
      <name val="Arial"/>
      <family val="2"/>
    </font>
    <font>
      <b/>
      <sz val="11"/>
      <color rgb="FFA20000"/>
      <name val="Calibri"/>
      <family val="2"/>
      <scheme val="minor"/>
    </font>
    <font>
      <sz val="8"/>
      <name val="MS Sans Serif"/>
      <family val="2"/>
    </font>
    <font>
      <b/>
      <sz val="20"/>
      <color indexed="12"/>
      <name val="Arial"/>
      <family val="2"/>
    </font>
    <font>
      <b/>
      <sz val="9"/>
      <name val="Arial"/>
      <family val="2"/>
    </font>
    <font>
      <sz val="12"/>
      <color rgb="FF0000FF"/>
      <name val="Calibri"/>
      <family val="2"/>
    </font>
    <font>
      <b/>
      <sz val="12"/>
      <color theme="9" tint="-0.249977111117893"/>
      <name val="Arial"/>
      <family val="2"/>
    </font>
    <font>
      <b/>
      <sz val="10"/>
      <color rgb="FF0000FF"/>
      <name val="Arial"/>
      <family val="2"/>
    </font>
    <font>
      <b/>
      <sz val="11"/>
      <color theme="8"/>
      <name val="Arial"/>
      <family val="2"/>
    </font>
    <font>
      <b/>
      <sz val="10"/>
      <color theme="8"/>
      <name val="Arial"/>
      <family val="2"/>
    </font>
    <font>
      <sz val="11"/>
      <color theme="8"/>
      <name val="Calibri"/>
      <family val="2"/>
      <scheme val="minor"/>
    </font>
    <font>
      <sz val="10"/>
      <color theme="8"/>
      <name val="Arial"/>
      <family val="2"/>
    </font>
    <font>
      <b/>
      <sz val="14"/>
      <color indexed="10"/>
      <name val="Arial"/>
      <family val="2"/>
    </font>
    <font>
      <b/>
      <sz val="11"/>
      <color rgb="FFA20000"/>
      <name val="Arial"/>
      <family val="2"/>
    </font>
    <font>
      <b/>
      <sz val="12"/>
      <color rgb="FFFF0000"/>
      <name val="Arial"/>
      <family val="2"/>
    </font>
    <font>
      <sz val="8"/>
      <color theme="0" tint="-0.34998626667073579"/>
      <name val="Arial"/>
      <family val="2"/>
    </font>
    <font>
      <sz val="16"/>
      <color theme="0"/>
      <name val="Arial"/>
      <family val="2"/>
    </font>
    <font>
      <b/>
      <sz val="12"/>
      <color rgb="FFA20000"/>
      <name val="Arial"/>
      <family val="2"/>
    </font>
    <font>
      <b/>
      <sz val="11"/>
      <color rgb="FF0000FF"/>
      <name val="ZDingbats"/>
    </font>
    <font>
      <i/>
      <sz val="11"/>
      <name val="Arial"/>
      <family val="2"/>
    </font>
    <font>
      <i/>
      <sz val="11"/>
      <color rgb="FF303030"/>
      <name val="Calibri"/>
      <family val="2"/>
      <scheme val="minor"/>
    </font>
    <font>
      <i/>
      <sz val="10"/>
      <color theme="5"/>
      <name val="Calibri"/>
      <family val="2"/>
      <scheme val="minor"/>
    </font>
    <font>
      <sz val="11"/>
      <color rgb="FFA20000"/>
      <name val="Calibri"/>
      <family val="2"/>
      <scheme val="minor"/>
    </font>
    <font>
      <sz val="12"/>
      <color rgb="FF008000"/>
      <name val="Calibri"/>
      <family val="2"/>
      <scheme val="minor"/>
    </font>
    <font>
      <b/>
      <sz val="12"/>
      <color rgb="FF008000"/>
      <name val="Calibri"/>
      <family val="2"/>
      <scheme val="minor"/>
    </font>
    <font>
      <sz val="11"/>
      <color rgb="FF008000"/>
      <name val="Calibri"/>
      <family val="2"/>
      <scheme val="minor"/>
    </font>
    <font>
      <sz val="10"/>
      <color rgb="FFFF0000"/>
      <name val="Calibri"/>
      <family val="2"/>
      <scheme val="minor"/>
    </font>
    <font>
      <sz val="11"/>
      <color theme="7" tint="-0.249977111117893"/>
      <name val="Calibri"/>
      <family val="2"/>
      <scheme val="minor"/>
    </font>
    <font>
      <sz val="11"/>
      <color indexed="8"/>
      <name val="Calibri"/>
      <family val="2"/>
    </font>
    <font>
      <sz val="11"/>
      <color indexed="8"/>
      <name val="Calibri"/>
      <family val="2"/>
      <scheme val="minor"/>
    </font>
    <font>
      <u/>
      <sz val="11"/>
      <color indexed="12"/>
      <name val="Calibri"/>
      <family val="2"/>
      <scheme val="minor"/>
    </font>
    <font>
      <b/>
      <sz val="12"/>
      <color indexed="8"/>
      <name val="Calibri"/>
      <family val="2"/>
      <scheme val="minor"/>
    </font>
    <font>
      <b/>
      <sz val="10"/>
      <color theme="1"/>
      <name val="Calibri"/>
      <family val="2"/>
    </font>
    <font>
      <sz val="8"/>
      <name val="Courier New"/>
      <family val="3"/>
    </font>
    <font>
      <sz val="10"/>
      <color indexed="8"/>
      <name val="Calibri"/>
      <family val="2"/>
      <scheme val="minor"/>
    </font>
    <font>
      <sz val="10"/>
      <color theme="1"/>
      <name val="Calibri"/>
      <family val="2"/>
    </font>
    <font>
      <sz val="10"/>
      <name val="Calibri"/>
      <family val="2"/>
    </font>
    <font>
      <sz val="11"/>
      <color rgb="FFFFFFFF"/>
      <name val="Calibri"/>
      <family val="2"/>
      <scheme val="minor"/>
    </font>
    <font>
      <sz val="11"/>
      <color rgb="FF000000"/>
      <name val="Calibri"/>
      <family val="2"/>
      <scheme val="minor"/>
    </font>
    <font>
      <sz val="10"/>
      <color theme="0" tint="-0.249977111117893"/>
      <name val="Calibri"/>
      <family val="2"/>
      <scheme val="minor"/>
    </font>
    <font>
      <b/>
      <sz val="8"/>
      <color theme="0" tint="-0.249977111117893"/>
      <name val="Calibri"/>
      <family val="2"/>
      <scheme val="minor"/>
    </font>
    <font>
      <sz val="8"/>
      <color theme="0" tint="-4.9989318521683403E-2"/>
      <name val="Calibri"/>
      <family val="2"/>
      <scheme val="minor"/>
    </font>
    <font>
      <b/>
      <sz val="14"/>
      <color theme="7" tint="-0.249977111117893"/>
      <name val="Calibri"/>
      <family val="2"/>
      <scheme val="minor"/>
    </font>
    <font>
      <b/>
      <sz val="12"/>
      <color theme="7" tint="-0.249977111117893"/>
      <name val="Calibri"/>
      <family val="2"/>
      <scheme val="minor"/>
    </font>
    <font>
      <sz val="14"/>
      <color rgb="FF0033CC"/>
      <name val="Calibri"/>
      <family val="2"/>
      <scheme val="minor"/>
    </font>
    <font>
      <sz val="9"/>
      <color rgb="FF0033CC"/>
      <name val="Calibri"/>
      <family val="2"/>
      <scheme val="minor"/>
    </font>
    <font>
      <b/>
      <sz val="10"/>
      <color theme="7" tint="-0.499984740745262"/>
      <name val="Calibri"/>
      <family val="2"/>
      <scheme val="minor"/>
    </font>
    <font>
      <sz val="12"/>
      <color theme="7" tint="-0.499984740745262"/>
      <name val="Calibri"/>
      <family val="2"/>
      <scheme val="minor"/>
    </font>
    <font>
      <b/>
      <sz val="18"/>
      <color theme="7" tint="-0.499984740745262"/>
      <name val="Calibri"/>
      <family val="2"/>
      <scheme val="minor"/>
    </font>
    <font>
      <sz val="8"/>
      <color theme="1" tint="0.34998626667073579"/>
      <name val="Calibri"/>
      <family val="2"/>
      <scheme val="minor"/>
    </font>
    <font>
      <sz val="10"/>
      <color rgb="FFB40000"/>
      <name val="Calibri"/>
      <family val="2"/>
      <scheme val="minor"/>
    </font>
    <font>
      <i/>
      <sz val="16"/>
      <color rgb="FFFF0000"/>
      <name val="Calibri"/>
      <family val="2"/>
      <scheme val="minor"/>
    </font>
    <font>
      <b/>
      <sz val="16"/>
      <color theme="1" tint="0.499984740745262"/>
      <name val="Calibri"/>
      <family val="2"/>
      <scheme val="minor"/>
    </font>
    <font>
      <b/>
      <u/>
      <sz val="14"/>
      <name val="Calibri"/>
      <family val="2"/>
      <scheme val="minor"/>
    </font>
    <font>
      <b/>
      <sz val="18"/>
      <color rgb="FFFF0000"/>
      <name val="Calibri"/>
      <family val="2"/>
      <scheme val="minor"/>
    </font>
    <font>
      <sz val="8"/>
      <color rgb="FFC00000"/>
      <name val="Calibri"/>
      <family val="2"/>
      <scheme val="minor"/>
    </font>
    <font>
      <i/>
      <sz val="8"/>
      <name val="Calibri"/>
      <family val="2"/>
      <scheme val="minor"/>
    </font>
    <font>
      <b/>
      <i/>
      <sz val="11"/>
      <color rgb="FF0000FF"/>
      <name val="Calibri"/>
      <family val="2"/>
      <scheme val="minor"/>
    </font>
    <font>
      <sz val="12"/>
      <color rgb="FF800000"/>
      <name val="Calibri"/>
      <family val="2"/>
    </font>
    <font>
      <b/>
      <sz val="16"/>
      <color theme="0"/>
      <name val="Calibri"/>
      <family val="2"/>
    </font>
    <font>
      <b/>
      <sz val="14"/>
      <color rgb="FF800000"/>
      <name val="Calibri"/>
      <family val="2"/>
    </font>
    <font>
      <b/>
      <sz val="8"/>
      <color theme="1" tint="0.499984740745262"/>
      <name val="Calibri"/>
      <family val="2"/>
      <scheme val="minor"/>
    </font>
    <font>
      <sz val="11"/>
      <color theme="0" tint="-0.34998626667073579"/>
      <name val="Calibri"/>
      <family val="2"/>
      <scheme val="minor"/>
    </font>
  </fonts>
  <fills count="2040">
    <fill>
      <patternFill patternType="none"/>
    </fill>
    <fill>
      <patternFill patternType="gray125"/>
    </fill>
    <fill>
      <patternFill patternType="solid">
        <fgColor rgb="FFCC00FF"/>
        <bgColor indexed="64"/>
      </patternFill>
    </fill>
    <fill>
      <patternFill patternType="solid">
        <fgColor rgb="FFED7D31"/>
        <bgColor indexed="64"/>
      </patternFill>
    </fill>
    <fill>
      <patternFill patternType="solid">
        <fgColor rgb="FF92D050"/>
        <bgColor indexed="64"/>
      </patternFill>
    </fill>
    <fill>
      <patternFill patternType="solid">
        <fgColor indexed="23"/>
        <bgColor indexed="64"/>
      </patternFill>
    </fill>
    <fill>
      <patternFill patternType="solid">
        <fgColor rgb="FF808080"/>
        <bgColor indexed="64"/>
      </patternFill>
    </fill>
    <fill>
      <patternFill patternType="solid">
        <fgColor theme="0" tint="-0.14999847407452621"/>
        <bgColor indexed="64"/>
      </patternFill>
    </fill>
    <fill>
      <patternFill patternType="solid">
        <fgColor theme="0"/>
        <bgColor indexed="64"/>
      </patternFill>
    </fill>
    <fill>
      <patternFill patternType="solid">
        <fgColor rgb="FF99CC00"/>
        <bgColor theme="9"/>
      </patternFill>
    </fill>
    <fill>
      <patternFill patternType="solid">
        <fgColor rgb="FFED7D31"/>
        <bgColor indexed="50"/>
      </patternFill>
    </fill>
    <fill>
      <patternFill patternType="solid">
        <fgColor theme="0"/>
        <bgColor indexed="50"/>
      </patternFill>
    </fill>
    <fill>
      <patternFill patternType="solid">
        <fgColor rgb="FF0000FF"/>
        <bgColor indexed="50"/>
      </patternFill>
    </fill>
    <fill>
      <patternFill patternType="solid">
        <fgColor theme="7" tint="0.79998168889431442"/>
        <bgColor indexed="64"/>
      </patternFill>
    </fill>
    <fill>
      <patternFill patternType="solid">
        <fgColor rgb="FFFF0000"/>
        <bgColor indexed="64"/>
      </patternFill>
    </fill>
    <fill>
      <patternFill patternType="solid">
        <fgColor rgb="FF99CC00"/>
        <bgColor indexed="64"/>
      </patternFill>
    </fill>
    <fill>
      <patternFill patternType="solid">
        <fgColor rgb="FFFFF2CC"/>
        <bgColor indexed="64"/>
      </patternFill>
    </fill>
    <fill>
      <patternFill patternType="solid">
        <fgColor rgb="FFFFC000"/>
        <bgColor indexed="64"/>
      </patternFill>
    </fill>
    <fill>
      <patternFill patternType="solid">
        <fgColor rgb="FFDEFFBD"/>
        <bgColor indexed="64"/>
      </patternFill>
    </fill>
    <fill>
      <patternFill patternType="solid">
        <fgColor rgb="FF548235"/>
        <bgColor indexed="64"/>
      </patternFill>
    </fill>
    <fill>
      <patternFill patternType="solid">
        <fgColor rgb="FFFFFF99"/>
        <bgColor indexed="64"/>
      </patternFill>
    </fill>
    <fill>
      <patternFill patternType="solid">
        <fgColor rgb="FFFFFFCC"/>
        <bgColor indexed="64"/>
      </patternFill>
    </fill>
    <fill>
      <patternFill patternType="solid">
        <fgColor rgb="FFFFFF00"/>
        <bgColor indexed="64"/>
      </patternFill>
    </fill>
    <fill>
      <patternFill patternType="solid">
        <fgColor theme="9" tint="0.59999389629810485"/>
        <bgColor theme="9"/>
      </patternFill>
    </fill>
    <fill>
      <patternFill patternType="solid">
        <fgColor theme="0"/>
        <bgColor theme="9"/>
      </patternFill>
    </fill>
    <fill>
      <patternFill patternType="solid">
        <fgColor rgb="FFDCF5BD"/>
        <bgColor theme="9" tint="0.79995117038483843"/>
      </patternFill>
    </fill>
    <fill>
      <patternFill patternType="solid">
        <fgColor theme="9" tint="0.79998168889431442"/>
        <bgColor indexed="64"/>
      </patternFill>
    </fill>
    <fill>
      <patternFill patternType="solid">
        <fgColor rgb="FFFFFFD5"/>
        <bgColor indexed="64"/>
      </patternFill>
    </fill>
    <fill>
      <patternFill patternType="solid">
        <fgColor theme="4" tint="0.79998168889431442"/>
        <bgColor indexed="64"/>
      </patternFill>
    </fill>
    <fill>
      <patternFill patternType="solid">
        <fgColor rgb="FFECECEC"/>
        <bgColor theme="9" tint="0.79995117038483843"/>
      </patternFill>
    </fill>
    <fill>
      <patternFill patternType="solid">
        <fgColor rgb="FFECECEC"/>
        <bgColor indexed="64"/>
      </patternFill>
    </fill>
    <fill>
      <patternFill patternType="solid">
        <fgColor rgb="FFF4F9F1"/>
        <bgColor theme="9" tint="0.79998168889431442"/>
      </patternFill>
    </fill>
    <fill>
      <patternFill patternType="solid">
        <fgColor rgb="FFF4F9F1"/>
        <bgColor theme="9" tint="0.79995117038483843"/>
      </patternFill>
    </fill>
    <fill>
      <patternFill patternType="solid">
        <fgColor rgb="FFFFFF9F"/>
        <bgColor indexed="64"/>
      </patternFill>
    </fill>
    <fill>
      <patternFill patternType="solid">
        <fgColor theme="0"/>
        <bgColor theme="9" tint="0.79995117038483843"/>
      </patternFill>
    </fill>
    <fill>
      <patternFill patternType="solid">
        <fgColor rgb="FFFFFFD9"/>
        <bgColor indexed="64"/>
      </patternFill>
    </fill>
    <fill>
      <patternFill patternType="solid">
        <fgColor theme="9" tint="0.39997558519241921"/>
        <bgColor indexed="64"/>
      </patternFill>
    </fill>
    <fill>
      <patternFill patternType="solid">
        <fgColor theme="8" tint="0.79998168889431442"/>
        <bgColor indexed="64"/>
      </patternFill>
    </fill>
    <fill>
      <patternFill patternType="solid">
        <fgColor theme="0" tint="-0.249977111117893"/>
        <bgColor indexed="64"/>
      </patternFill>
    </fill>
    <fill>
      <patternFill patternType="solid">
        <fgColor rgb="FFA9D08E"/>
        <bgColor indexed="64"/>
      </patternFill>
    </fill>
    <fill>
      <patternFill patternType="solid">
        <fgColor rgb="FFEFE5F7"/>
        <bgColor indexed="64"/>
      </patternFill>
    </fill>
    <fill>
      <patternFill patternType="solid">
        <fgColor rgb="FFCCCCFF"/>
        <bgColor indexed="64"/>
      </patternFill>
    </fill>
    <fill>
      <patternFill patternType="solid">
        <fgColor rgb="FFDDDDFF"/>
        <bgColor indexed="64"/>
      </patternFill>
    </fill>
    <fill>
      <patternFill patternType="solid">
        <fgColor rgb="FFC00000"/>
        <bgColor indexed="64"/>
      </patternFill>
    </fill>
    <fill>
      <patternFill patternType="solid">
        <fgColor theme="0" tint="-4.9989318521683403E-2"/>
        <bgColor indexed="64"/>
      </patternFill>
    </fill>
    <fill>
      <patternFill patternType="solid">
        <fgColor theme="0"/>
        <bgColor indexed="9"/>
      </patternFill>
    </fill>
    <fill>
      <patternFill patternType="solid">
        <fgColor rgb="FFFFFFCC"/>
        <bgColor indexed="9"/>
      </patternFill>
    </fill>
    <fill>
      <patternFill patternType="solid">
        <fgColor rgb="FFFFFFD9"/>
        <bgColor indexed="9"/>
      </patternFill>
    </fill>
    <fill>
      <patternFill patternType="gray0625">
        <fgColor theme="9" tint="0.79998168889431442"/>
        <bgColor theme="0"/>
      </patternFill>
    </fill>
    <fill>
      <patternFill patternType="solid">
        <fgColor theme="5" tint="0.59999389629810485"/>
        <bgColor indexed="64"/>
      </patternFill>
    </fill>
    <fill>
      <patternFill patternType="solid">
        <fgColor rgb="FFF2A068"/>
        <bgColor indexed="64"/>
      </patternFill>
    </fill>
    <fill>
      <patternFill patternType="solid">
        <fgColor rgb="FFDDDDFF"/>
        <bgColor theme="9"/>
      </patternFill>
    </fill>
    <fill>
      <patternFill patternType="solid">
        <fgColor rgb="FFFFF2CC"/>
        <bgColor theme="9" tint="0.79995117038483843"/>
      </patternFill>
    </fill>
    <fill>
      <patternFill patternType="solid">
        <fgColor theme="0" tint="-0.14999847407452621"/>
        <bgColor theme="9" tint="0.79995117038483843"/>
      </patternFill>
    </fill>
    <fill>
      <patternFill patternType="solid">
        <fgColor rgb="FFF4F9F1"/>
        <bgColor indexed="64"/>
      </patternFill>
    </fill>
    <fill>
      <patternFill patternType="solid">
        <fgColor indexed="9"/>
        <bgColor indexed="9"/>
      </patternFill>
    </fill>
    <fill>
      <patternFill patternType="solid">
        <fgColor rgb="FFEAF4E4"/>
        <bgColor indexed="64"/>
      </patternFill>
    </fill>
    <fill>
      <patternFill patternType="solid">
        <fgColor rgb="FFEAF4E4"/>
        <bgColor theme="9" tint="0.79995117038483843"/>
      </patternFill>
    </fill>
    <fill>
      <patternFill patternType="gray0625">
        <fgColor theme="7" tint="-0.24994659260841701"/>
        <bgColor rgb="FFFFFFCC"/>
      </patternFill>
    </fill>
    <fill>
      <patternFill patternType="solid">
        <fgColor rgb="FFB8D9A3"/>
        <bgColor indexed="64"/>
      </patternFill>
    </fill>
    <fill>
      <patternFill patternType="solid">
        <fgColor theme="0" tint="-4.9989318521683403E-2"/>
        <bgColor indexed="9"/>
      </patternFill>
    </fill>
    <fill>
      <patternFill patternType="solid">
        <fgColor theme="9" tint="0.59999389629810485"/>
        <bgColor indexed="64"/>
      </patternFill>
    </fill>
    <fill>
      <patternFill patternType="solid">
        <fgColor theme="9" tint="-0.249977111117893"/>
        <bgColor indexed="64"/>
      </patternFill>
    </fill>
    <fill>
      <patternFill patternType="solid">
        <fgColor theme="9" tint="0.79998168889431442"/>
        <bgColor theme="9"/>
      </patternFill>
    </fill>
    <fill>
      <patternFill patternType="solid">
        <fgColor rgb="FFCCCCFF"/>
        <bgColor theme="9"/>
      </patternFill>
    </fill>
    <fill>
      <patternFill patternType="solid">
        <fgColor indexed="9"/>
        <bgColor indexed="64"/>
      </patternFill>
    </fill>
    <fill>
      <patternFill patternType="solid">
        <fgColor indexed="26"/>
        <bgColor indexed="64"/>
      </patternFill>
    </fill>
    <fill>
      <patternFill patternType="solid">
        <fgColor rgb="FFF2F2F2"/>
        <bgColor indexed="64"/>
      </patternFill>
    </fill>
    <fill>
      <patternFill patternType="solid">
        <fgColor rgb="FF0000FF"/>
        <bgColor indexed="64"/>
      </patternFill>
    </fill>
    <fill>
      <patternFill patternType="solid">
        <fgColor rgb="FFFF00FF"/>
        <bgColor indexed="64"/>
      </patternFill>
    </fill>
    <fill>
      <patternFill patternType="solid">
        <fgColor theme="4" tint="0.59999389629810485"/>
        <bgColor indexed="64"/>
      </patternFill>
    </fill>
    <fill>
      <patternFill patternType="solid">
        <fgColor rgb="FF00B050"/>
        <bgColor indexed="64"/>
      </patternFill>
    </fill>
    <fill>
      <patternFill patternType="solid">
        <fgColor rgb="FFD9D9D9"/>
        <bgColor indexed="64"/>
      </patternFill>
    </fill>
    <fill>
      <patternFill patternType="solid">
        <fgColor rgb="FF008000"/>
        <bgColor indexed="64"/>
      </patternFill>
    </fill>
    <fill>
      <patternFill patternType="solid">
        <fgColor rgb="FFFFCCFF"/>
        <bgColor indexed="64"/>
      </patternFill>
    </fill>
    <fill>
      <patternFill patternType="solid">
        <fgColor rgb="FF800000"/>
        <bgColor indexed="64"/>
      </patternFill>
    </fill>
    <fill>
      <patternFill patternType="solid">
        <fgColor theme="4" tint="-0.249977111117893"/>
        <bgColor indexed="64"/>
      </patternFill>
    </fill>
    <fill>
      <patternFill patternType="solid">
        <fgColor rgb="FFD5D5FF"/>
        <bgColor indexed="64"/>
      </patternFill>
    </fill>
    <fill>
      <patternFill patternType="solid">
        <fgColor rgb="FF339966"/>
        <bgColor indexed="64"/>
      </patternFill>
    </fill>
    <fill>
      <patternFill patternType="solid">
        <fgColor rgb="FF00FF00"/>
        <bgColor indexed="64"/>
      </patternFill>
    </fill>
    <fill>
      <patternFill patternType="solid">
        <fgColor rgb="FFFF99CC"/>
        <bgColor indexed="64"/>
      </patternFill>
    </fill>
    <fill>
      <patternFill patternType="solid">
        <fgColor rgb="FFFF6600"/>
        <bgColor indexed="64"/>
      </patternFill>
    </fill>
    <fill>
      <patternFill patternType="solid">
        <fgColor rgb="FF00CCFF"/>
        <bgColor indexed="64"/>
      </patternFill>
    </fill>
    <fill>
      <patternFill patternType="solid">
        <fgColor rgb="FFFFCC00"/>
        <bgColor indexed="64"/>
      </patternFill>
    </fill>
    <fill>
      <patternFill patternType="solid">
        <fgColor rgb="FF0066CC"/>
        <bgColor indexed="64"/>
      </patternFill>
    </fill>
    <fill>
      <patternFill patternType="solid">
        <fgColor rgb="FFFFCC99"/>
        <bgColor indexed="64"/>
      </patternFill>
    </fill>
    <fill>
      <patternFill patternType="solid">
        <fgColor rgb="FF99CCFF"/>
        <bgColor indexed="64"/>
      </patternFill>
    </fill>
    <fill>
      <patternFill patternType="solid">
        <fgColor rgb="FFCC99FF"/>
        <bgColor indexed="64"/>
      </patternFill>
    </fill>
    <fill>
      <patternFill patternType="solid">
        <fgColor rgb="FF993300"/>
        <bgColor indexed="64"/>
      </patternFill>
    </fill>
    <fill>
      <patternFill patternType="solid">
        <fgColor theme="1" tint="0.34998626667073579"/>
        <bgColor indexed="64"/>
      </patternFill>
    </fill>
    <fill>
      <patternFill patternType="solid">
        <fgColor rgb="FFF1995D"/>
        <bgColor indexed="64"/>
      </patternFill>
    </fill>
    <fill>
      <patternFill patternType="gray0625">
        <bgColor theme="0" tint="-0.14999847407452621"/>
      </patternFill>
    </fill>
    <fill>
      <patternFill patternType="solid">
        <fgColor theme="2"/>
        <bgColor indexed="64"/>
      </patternFill>
    </fill>
    <fill>
      <patternFill patternType="solid">
        <fgColor theme="0" tint="-4.9989318521683403E-2"/>
        <bgColor theme="0"/>
      </patternFill>
    </fill>
    <fill>
      <patternFill patternType="solid">
        <fgColor rgb="FFFFFFA7"/>
        <bgColor indexed="64"/>
      </patternFill>
    </fill>
    <fill>
      <patternFill patternType="solid">
        <fgColor theme="5" tint="0.59999389629810485"/>
        <bgColor indexed="9"/>
      </patternFill>
    </fill>
    <fill>
      <patternFill patternType="solid">
        <fgColor theme="5" tint="0.59999389629810485"/>
        <bgColor theme="9" tint="0.79998168889431442"/>
      </patternFill>
    </fill>
    <fill>
      <patternFill patternType="solid">
        <fgColor rgb="FFFFFFA7"/>
        <bgColor indexed="9"/>
      </patternFill>
    </fill>
    <fill>
      <patternFill patternType="solid">
        <fgColor theme="7" tint="0.79998168889431442"/>
        <bgColor indexed="9"/>
      </patternFill>
    </fill>
    <fill>
      <patternFill patternType="solid">
        <fgColor theme="0" tint="-4.9989318521683403E-2"/>
        <bgColor theme="9" tint="0.79998168889431442"/>
      </patternFill>
    </fill>
    <fill>
      <patternFill patternType="solid">
        <fgColor theme="4" tint="0.79995117038483843"/>
        <bgColor indexed="64"/>
      </patternFill>
    </fill>
    <fill>
      <patternFill patternType="solid">
        <fgColor theme="0"/>
        <bgColor rgb="FFF2F2F2"/>
      </patternFill>
    </fill>
    <fill>
      <patternFill patternType="solid">
        <fgColor rgb="FFEF8943"/>
        <bgColor indexed="64"/>
      </patternFill>
    </fill>
    <fill>
      <patternFill patternType="solid">
        <fgColor theme="0" tint="-0.14999847407452621"/>
        <bgColor indexed="9"/>
      </patternFill>
    </fill>
    <fill>
      <patternFill patternType="gray0625">
        <fgColor theme="9" tint="0.79998168889431442"/>
        <bgColor theme="0" tint="-0.14999847407452621"/>
      </patternFill>
    </fill>
    <fill>
      <patternFill patternType="solid">
        <fgColor theme="1" tint="0.34998626667073579"/>
        <bgColor indexed="9"/>
      </patternFill>
    </fill>
    <fill>
      <patternFill patternType="gray0625">
        <fgColor theme="9" tint="0.79998168889431442"/>
        <bgColor theme="1" tint="0.34998626667073579"/>
      </patternFill>
    </fill>
    <fill>
      <patternFill patternType="gray0625">
        <fgColor theme="9" tint="0.79998168889431442"/>
        <bgColor rgb="FFEAFFD5"/>
      </patternFill>
    </fill>
    <fill>
      <patternFill patternType="solid">
        <fgColor rgb="FFFDF1E7"/>
        <bgColor indexed="9"/>
      </patternFill>
    </fill>
    <fill>
      <patternFill patternType="solid">
        <fgColor theme="7" tint="0.39997558519241921"/>
        <bgColor indexed="64"/>
      </patternFill>
    </fill>
    <fill>
      <patternFill patternType="gray0625">
        <bgColor theme="0"/>
      </patternFill>
    </fill>
    <fill>
      <patternFill patternType="solid">
        <fgColor theme="5"/>
        <bgColor indexed="64"/>
      </patternFill>
    </fill>
    <fill>
      <patternFill patternType="solid">
        <fgColor theme="7" tint="0.59999389629810485"/>
        <bgColor indexed="64"/>
      </patternFill>
    </fill>
    <fill>
      <patternFill patternType="solid">
        <fgColor rgb="FF7030A0"/>
        <bgColor indexed="64"/>
      </patternFill>
    </fill>
    <fill>
      <patternFill patternType="solid">
        <fgColor theme="8" tint="0.59999389629810485"/>
        <bgColor indexed="64"/>
      </patternFill>
    </fill>
    <fill>
      <patternFill patternType="solid">
        <fgColor rgb="FFA4DE00"/>
        <bgColor indexed="64"/>
      </patternFill>
    </fill>
    <fill>
      <patternFill patternType="solid">
        <fgColor rgb="FFF1E8F8"/>
        <bgColor indexed="64"/>
      </patternFill>
    </fill>
    <fill>
      <patternFill patternType="solid">
        <fgColor rgb="FFFFFFAF"/>
        <bgColor indexed="9"/>
      </patternFill>
    </fill>
    <fill>
      <patternFill patternType="solid">
        <fgColor rgb="FFFFFFAF"/>
        <bgColor indexed="64"/>
      </patternFill>
    </fill>
    <fill>
      <patternFill patternType="solid">
        <fgColor rgb="FFFFFFAF"/>
        <bgColor theme="0"/>
      </patternFill>
    </fill>
    <fill>
      <patternFill patternType="solid">
        <fgColor theme="0"/>
        <bgColor theme="0"/>
      </patternFill>
    </fill>
    <fill>
      <patternFill patternType="solid">
        <fgColor rgb="FFFFFFCC"/>
        <bgColor theme="0"/>
      </patternFill>
    </fill>
    <fill>
      <patternFill patternType="solid">
        <fgColor rgb="FFBF95DF"/>
        <bgColor indexed="64"/>
      </patternFill>
    </fill>
    <fill>
      <patternFill patternType="solid">
        <fgColor rgb="FFF1E8F8"/>
        <bgColor indexed="9"/>
      </patternFill>
    </fill>
    <fill>
      <patternFill patternType="solid">
        <fgColor rgb="FFE8D9F3"/>
        <bgColor indexed="64"/>
      </patternFill>
    </fill>
    <fill>
      <patternFill patternType="solid">
        <fgColor indexed="42"/>
        <bgColor indexed="64"/>
      </patternFill>
    </fill>
    <fill>
      <patternFill patternType="solid">
        <fgColor rgb="FFCCFFCC"/>
        <bgColor indexed="64"/>
      </patternFill>
    </fill>
    <fill>
      <patternFill patternType="solid">
        <fgColor theme="0" tint="-0.14999847407452621"/>
        <bgColor theme="0"/>
      </patternFill>
    </fill>
    <fill>
      <patternFill patternType="solid">
        <fgColor theme="0" tint="-0.14996795556505021"/>
        <bgColor indexed="64"/>
      </patternFill>
    </fill>
    <fill>
      <patternFill patternType="solid">
        <fgColor theme="0" tint="-0.14993743705557422"/>
        <bgColor indexed="64"/>
      </patternFill>
    </fill>
    <fill>
      <patternFill patternType="solid">
        <fgColor rgb="FFC65911"/>
        <bgColor indexed="64"/>
      </patternFill>
    </fill>
    <fill>
      <patternFill patternType="solid">
        <fgColor theme="5" tint="-0.249977111117893"/>
        <bgColor indexed="64"/>
      </patternFill>
    </fill>
    <fill>
      <patternFill patternType="solid">
        <fgColor indexed="46"/>
        <bgColor indexed="64"/>
      </patternFill>
    </fill>
    <fill>
      <patternFill patternType="solid">
        <fgColor indexed="26"/>
        <bgColor indexed="9"/>
      </patternFill>
    </fill>
    <fill>
      <patternFill patternType="solid">
        <fgColor indexed="22"/>
        <bgColor indexed="64"/>
      </patternFill>
    </fill>
    <fill>
      <patternFill patternType="solid">
        <fgColor rgb="FFFFD966"/>
        <bgColor indexed="64"/>
      </patternFill>
    </fill>
    <fill>
      <patternFill patternType="solid">
        <fgColor theme="7" tint="-0.249977111117893"/>
        <bgColor indexed="64"/>
      </patternFill>
    </fill>
    <fill>
      <patternFill patternType="solid">
        <fgColor theme="5" tint="0.39997558519241921"/>
        <bgColor indexed="64"/>
      </patternFill>
    </fill>
    <fill>
      <patternFill patternType="solid">
        <fgColor indexed="36"/>
        <bgColor indexed="50"/>
      </patternFill>
    </fill>
    <fill>
      <patternFill patternType="solid">
        <fgColor indexed="50"/>
        <bgColor indexed="64"/>
      </patternFill>
    </fill>
    <fill>
      <patternFill patternType="lightUp">
        <fgColor indexed="9"/>
        <bgColor rgb="FF92D050"/>
      </patternFill>
    </fill>
    <fill>
      <patternFill patternType="lightUp">
        <fgColor indexed="9"/>
        <bgColor indexed="50"/>
      </patternFill>
    </fill>
    <fill>
      <patternFill patternType="solid">
        <fgColor theme="1" tint="0.499984740745262"/>
        <bgColor indexed="64"/>
      </patternFill>
    </fill>
    <fill>
      <patternFill patternType="solid">
        <fgColor indexed="43"/>
        <bgColor indexed="64"/>
      </patternFill>
    </fill>
    <fill>
      <patternFill patternType="solid">
        <fgColor rgb="FFFFFF66"/>
        <bgColor indexed="64"/>
      </patternFill>
    </fill>
    <fill>
      <patternFill patternType="solid">
        <fgColor indexed="53"/>
        <bgColor indexed="64"/>
      </patternFill>
    </fill>
    <fill>
      <patternFill patternType="solid">
        <fgColor rgb="FF4472C4"/>
        <bgColor indexed="64"/>
      </patternFill>
    </fill>
    <fill>
      <patternFill patternType="solid">
        <fgColor indexed="8"/>
        <bgColor indexed="64"/>
      </patternFill>
    </fill>
    <fill>
      <patternFill patternType="solid">
        <fgColor indexed="10"/>
        <bgColor indexed="64"/>
      </patternFill>
    </fill>
    <fill>
      <patternFill patternType="solid">
        <fgColor indexed="11"/>
        <bgColor indexed="64"/>
      </patternFill>
    </fill>
    <fill>
      <patternFill patternType="solid">
        <fgColor indexed="12"/>
        <bgColor indexed="64"/>
      </patternFill>
    </fill>
    <fill>
      <patternFill patternType="solid">
        <fgColor indexed="13"/>
        <bgColor indexed="64"/>
      </patternFill>
    </fill>
    <fill>
      <patternFill patternType="solid">
        <fgColor indexed="14"/>
        <bgColor indexed="64"/>
      </patternFill>
    </fill>
    <fill>
      <patternFill patternType="solid">
        <fgColor indexed="15"/>
        <bgColor indexed="64"/>
      </patternFill>
    </fill>
    <fill>
      <patternFill patternType="solid">
        <fgColor indexed="16"/>
        <bgColor indexed="64"/>
      </patternFill>
    </fill>
    <fill>
      <patternFill patternType="solid">
        <fgColor indexed="17"/>
        <bgColor indexed="64"/>
      </patternFill>
    </fill>
    <fill>
      <patternFill patternType="solid">
        <fgColor indexed="18"/>
        <bgColor indexed="64"/>
      </patternFill>
    </fill>
    <fill>
      <patternFill patternType="solid">
        <fgColor indexed="19"/>
        <bgColor indexed="64"/>
      </patternFill>
    </fill>
    <fill>
      <patternFill patternType="solid">
        <fgColor indexed="20"/>
        <bgColor indexed="64"/>
      </patternFill>
    </fill>
    <fill>
      <patternFill patternType="solid">
        <fgColor indexed="21"/>
        <bgColor indexed="64"/>
      </patternFill>
    </fill>
    <fill>
      <patternFill patternType="solid">
        <fgColor indexed="24"/>
        <bgColor indexed="64"/>
      </patternFill>
    </fill>
    <fill>
      <patternFill patternType="solid">
        <fgColor indexed="25"/>
        <bgColor indexed="64"/>
      </patternFill>
    </fill>
    <fill>
      <patternFill patternType="solid">
        <fgColor indexed="27"/>
        <bgColor indexed="64"/>
      </patternFill>
    </fill>
    <fill>
      <patternFill patternType="solid">
        <fgColor indexed="28"/>
        <bgColor indexed="64"/>
      </patternFill>
    </fill>
    <fill>
      <patternFill patternType="solid">
        <fgColor indexed="29"/>
        <bgColor indexed="64"/>
      </patternFill>
    </fill>
    <fill>
      <patternFill patternType="solid">
        <fgColor indexed="30"/>
        <bgColor indexed="64"/>
      </patternFill>
    </fill>
    <fill>
      <patternFill patternType="solid">
        <fgColor indexed="31"/>
        <bgColor indexed="64"/>
      </patternFill>
    </fill>
    <fill>
      <patternFill patternType="solid">
        <fgColor indexed="32"/>
        <bgColor indexed="64"/>
      </patternFill>
    </fill>
    <fill>
      <patternFill patternType="solid">
        <fgColor indexed="33"/>
        <bgColor indexed="64"/>
      </patternFill>
    </fill>
    <fill>
      <patternFill patternType="solid">
        <fgColor indexed="34"/>
        <bgColor indexed="64"/>
      </patternFill>
    </fill>
    <fill>
      <patternFill patternType="solid">
        <fgColor indexed="35"/>
        <bgColor indexed="64"/>
      </patternFill>
    </fill>
    <fill>
      <patternFill patternType="solid">
        <fgColor indexed="36"/>
        <bgColor indexed="64"/>
      </patternFill>
    </fill>
    <fill>
      <patternFill patternType="solid">
        <fgColor indexed="37"/>
        <bgColor indexed="64"/>
      </patternFill>
    </fill>
    <fill>
      <patternFill patternType="solid">
        <fgColor indexed="38"/>
        <bgColor indexed="64"/>
      </patternFill>
    </fill>
    <fill>
      <patternFill patternType="solid">
        <fgColor indexed="39"/>
        <bgColor indexed="64"/>
      </patternFill>
    </fill>
    <fill>
      <patternFill patternType="solid">
        <fgColor indexed="40"/>
        <bgColor indexed="64"/>
      </patternFill>
    </fill>
    <fill>
      <patternFill patternType="solid">
        <fgColor indexed="41"/>
        <bgColor indexed="64"/>
      </patternFill>
    </fill>
    <fill>
      <patternFill patternType="solid">
        <fgColor indexed="44"/>
        <bgColor indexed="64"/>
      </patternFill>
    </fill>
    <fill>
      <patternFill patternType="solid">
        <fgColor indexed="45"/>
        <bgColor indexed="64"/>
      </patternFill>
    </fill>
    <fill>
      <patternFill patternType="solid">
        <fgColor indexed="47"/>
        <bgColor indexed="64"/>
      </patternFill>
    </fill>
    <fill>
      <patternFill patternType="solid">
        <fgColor indexed="48"/>
        <bgColor indexed="64"/>
      </patternFill>
    </fill>
    <fill>
      <patternFill patternType="solid">
        <fgColor indexed="49"/>
        <bgColor indexed="64"/>
      </patternFill>
    </fill>
    <fill>
      <patternFill patternType="solid">
        <fgColor indexed="51"/>
        <bgColor indexed="64"/>
      </patternFill>
    </fill>
    <fill>
      <patternFill patternType="solid">
        <fgColor indexed="52"/>
        <bgColor indexed="64"/>
      </patternFill>
    </fill>
    <fill>
      <patternFill patternType="solid">
        <fgColor indexed="54"/>
        <bgColor indexed="64"/>
      </patternFill>
    </fill>
    <fill>
      <patternFill patternType="solid">
        <fgColor indexed="55"/>
        <bgColor indexed="64"/>
      </patternFill>
    </fill>
    <fill>
      <patternFill patternType="solid">
        <fgColor indexed="56"/>
        <bgColor indexed="64"/>
      </patternFill>
    </fill>
    <fill>
      <patternFill patternType="solid">
        <fgColor indexed="57"/>
        <bgColor indexed="64"/>
      </patternFill>
    </fill>
    <fill>
      <patternFill patternType="solid">
        <fgColor indexed="58"/>
        <bgColor indexed="64"/>
      </patternFill>
    </fill>
    <fill>
      <patternFill patternType="solid">
        <fgColor indexed="59"/>
        <bgColor indexed="64"/>
      </patternFill>
    </fill>
    <fill>
      <patternFill patternType="solid">
        <fgColor indexed="60"/>
        <bgColor indexed="64"/>
      </patternFill>
    </fill>
    <fill>
      <patternFill patternType="solid">
        <fgColor indexed="61"/>
        <bgColor indexed="64"/>
      </patternFill>
    </fill>
    <fill>
      <patternFill patternType="solid">
        <fgColor indexed="62"/>
        <bgColor indexed="64"/>
      </patternFill>
    </fill>
    <fill>
      <patternFill patternType="solid">
        <fgColor indexed="63"/>
        <bgColor indexed="64"/>
      </patternFill>
    </fill>
    <fill>
      <patternFill patternType="solid">
        <fgColor rgb="FF000000"/>
        <bgColor indexed="64"/>
      </patternFill>
    </fill>
    <fill>
      <patternFill patternType="solid">
        <fgColor rgb="FF00BFFF"/>
        <bgColor indexed="64"/>
      </patternFill>
    </fill>
    <fill>
      <patternFill patternType="solid">
        <fgColor rgb="FF4A4A4A"/>
        <bgColor indexed="64"/>
      </patternFill>
    </fill>
    <fill>
      <patternFill patternType="solid">
        <fgColor rgb="FFEED5B7"/>
        <bgColor indexed="64"/>
      </patternFill>
    </fill>
    <fill>
      <patternFill patternType="solid">
        <fgColor rgb="FFFFFFFF"/>
        <bgColor indexed="64"/>
      </patternFill>
    </fill>
    <fill>
      <patternFill patternType="solid">
        <fgColor rgb="FFAABBCC"/>
        <bgColor indexed="64"/>
      </patternFill>
    </fill>
    <fill>
      <patternFill patternType="solid">
        <fgColor rgb="FF474747"/>
        <bgColor indexed="64"/>
      </patternFill>
    </fill>
    <fill>
      <patternFill patternType="solid">
        <fgColor rgb="FFFAD6A5"/>
        <bgColor indexed="64"/>
      </patternFill>
    </fill>
    <fill>
      <patternFill patternType="solid">
        <fgColor rgb="FF7EC0EE"/>
        <bgColor indexed="64"/>
      </patternFill>
    </fill>
    <fill>
      <patternFill patternType="solid">
        <fgColor rgb="FF454545"/>
        <bgColor indexed="64"/>
      </patternFill>
    </fill>
    <fill>
      <patternFill patternType="solid">
        <fgColor rgb="FFFFDEAD"/>
        <bgColor indexed="64"/>
      </patternFill>
    </fill>
    <fill>
      <patternFill patternType="solid">
        <fgColor rgb="FF87CEFA"/>
        <bgColor indexed="64"/>
      </patternFill>
    </fill>
    <fill>
      <patternFill patternType="solid">
        <fgColor rgb="FF424242"/>
        <bgColor indexed="64"/>
      </patternFill>
    </fill>
    <fill>
      <patternFill patternType="solid">
        <fgColor rgb="FFEEDFCC"/>
        <bgColor indexed="64"/>
      </patternFill>
    </fill>
    <fill>
      <patternFill patternType="solid">
        <fgColor rgb="FFA1CAF1"/>
        <bgColor indexed="64"/>
      </patternFill>
    </fill>
    <fill>
      <patternFill patternType="solid">
        <fgColor rgb="FF404040"/>
        <bgColor indexed="64"/>
      </patternFill>
    </fill>
    <fill>
      <patternFill patternType="solid">
        <fgColor rgb="FFFFE4C4"/>
        <bgColor indexed="64"/>
      </patternFill>
    </fill>
    <fill>
      <patternFill patternType="solid">
        <fgColor rgb="FF87CEFF"/>
        <bgColor indexed="64"/>
      </patternFill>
    </fill>
    <fill>
      <patternFill patternType="solid">
        <fgColor rgb="FF3D3D3D"/>
        <bgColor indexed="64"/>
      </patternFill>
    </fill>
    <fill>
      <patternFill patternType="solid">
        <fgColor rgb="FFFAEBD7"/>
        <bgColor indexed="64"/>
      </patternFill>
    </fill>
    <fill>
      <patternFill patternType="solid">
        <fgColor rgb="FFBCD4E6"/>
        <bgColor indexed="64"/>
      </patternFill>
    </fill>
    <fill>
      <patternFill patternType="solid">
        <fgColor rgb="FF3B3B3B"/>
        <bgColor indexed="64"/>
      </patternFill>
    </fill>
    <fill>
      <patternFill patternType="solid">
        <fgColor rgb="FFFFEFDB"/>
        <bgColor indexed="64"/>
      </patternFill>
    </fill>
    <fill>
      <patternFill patternType="solid">
        <fgColor rgb="FF00FFFF"/>
        <bgColor indexed="64"/>
      </patternFill>
    </fill>
    <fill>
      <patternFill patternType="solid">
        <fgColor rgb="FFB9D3EE"/>
        <bgColor indexed="64"/>
      </patternFill>
    </fill>
    <fill>
      <patternFill patternType="solid">
        <fgColor rgb="FF383838"/>
        <bgColor indexed="64"/>
      </patternFill>
    </fill>
    <fill>
      <patternFill patternType="solid">
        <fgColor rgb="FFFAF0E6"/>
        <bgColor indexed="64"/>
      </patternFill>
    </fill>
    <fill>
      <patternFill patternType="solid">
        <fgColor rgb="FFC6E2FF"/>
        <bgColor indexed="64"/>
      </patternFill>
    </fill>
    <fill>
      <patternFill patternType="solid">
        <fgColor rgb="FF363636"/>
        <bgColor indexed="64"/>
      </patternFill>
    </fill>
    <fill>
      <patternFill patternType="solid">
        <fgColor rgb="FFDEB887"/>
        <bgColor indexed="64"/>
      </patternFill>
    </fill>
    <fill>
      <patternFill patternType="solid">
        <fgColor rgb="FFF2F3F4"/>
        <bgColor indexed="64"/>
      </patternFill>
    </fill>
    <fill>
      <patternFill patternType="solid">
        <fgColor rgb="FF333333"/>
        <bgColor indexed="64"/>
      </patternFill>
    </fill>
    <fill>
      <patternFill patternType="solid">
        <fgColor rgb="FFCDB79E"/>
        <bgColor indexed="64"/>
      </patternFill>
    </fill>
    <fill>
      <patternFill patternType="solid">
        <fgColor rgb="FFF0F8FF"/>
        <bgColor indexed="64"/>
      </patternFill>
    </fill>
    <fill>
      <patternFill patternType="solid">
        <fgColor rgb="FF303030"/>
        <bgColor indexed="64"/>
      </patternFill>
    </fill>
    <fill>
      <patternFill patternType="solid">
        <fgColor rgb="FFD2B48C"/>
        <bgColor indexed="64"/>
      </patternFill>
    </fill>
    <fill>
      <patternFill patternType="solid">
        <fgColor rgb="FF9FB6CD"/>
        <bgColor indexed="64"/>
      </patternFill>
    </fill>
    <fill>
      <patternFill patternType="solid">
        <fgColor rgb="FF2E2E2E"/>
        <bgColor indexed="64"/>
      </patternFill>
    </fill>
    <fill>
      <patternFill patternType="solid">
        <fgColor rgb="FFCDB38B"/>
        <bgColor indexed="64"/>
      </patternFill>
    </fill>
    <fill>
      <patternFill patternType="solid">
        <fgColor rgb="FF00B2EE"/>
        <bgColor indexed="64"/>
      </patternFill>
    </fill>
    <fill>
      <patternFill patternType="solid">
        <fgColor rgb="FF2B2B2B"/>
        <bgColor indexed="64"/>
      </patternFill>
    </fill>
    <fill>
      <patternFill patternType="solid">
        <fgColor rgb="FFEEB422"/>
        <bgColor indexed="64"/>
      </patternFill>
    </fill>
    <fill>
      <patternFill patternType="solid">
        <fgColor rgb="FF70A3CC"/>
        <bgColor indexed="64"/>
      </patternFill>
    </fill>
    <fill>
      <patternFill patternType="solid">
        <fgColor rgb="FF292929"/>
        <bgColor indexed="64"/>
      </patternFill>
    </fill>
    <fill>
      <patternFill patternType="solid">
        <fgColor rgb="FFE3A857"/>
        <bgColor indexed="64"/>
      </patternFill>
    </fill>
    <fill>
      <patternFill patternType="solid">
        <fgColor rgb="FF6CA6CD"/>
        <bgColor indexed="64"/>
      </patternFill>
    </fill>
    <fill>
      <patternFill patternType="solid">
        <fgColor rgb="FF262626"/>
        <bgColor indexed="64"/>
      </patternFill>
    </fill>
    <fill>
      <patternFill patternType="solid">
        <fgColor rgb="FFEEAD0E"/>
        <bgColor indexed="64"/>
      </patternFill>
    </fill>
    <fill>
      <patternFill patternType="solid">
        <fgColor rgb="FF91A3B0"/>
        <bgColor indexed="64"/>
      </patternFill>
    </fill>
    <fill>
      <patternFill patternType="solid">
        <fgColor rgb="FF242424"/>
        <bgColor indexed="64"/>
      </patternFill>
    </fill>
    <fill>
      <patternFill patternType="solid">
        <fgColor rgb="FFCDAA7D"/>
        <bgColor indexed="64"/>
      </patternFill>
    </fill>
    <fill>
      <patternFill patternType="solid">
        <fgColor rgb="FF3399CC"/>
        <bgColor indexed="64"/>
      </patternFill>
    </fill>
    <fill>
      <patternFill patternType="solid">
        <fgColor rgb="FF212121"/>
        <bgColor indexed="64"/>
      </patternFill>
    </fill>
    <fill>
      <patternFill patternType="solid">
        <fgColor rgb="FFDAA520"/>
        <bgColor indexed="64"/>
      </patternFill>
    </fill>
    <fill>
      <patternFill patternType="solid">
        <fgColor rgb="FF3299CC"/>
        <bgColor indexed="64"/>
      </patternFill>
    </fill>
    <fill>
      <patternFill patternType="solid">
        <fgColor rgb="FF1F1F1F"/>
        <bgColor indexed="64"/>
      </patternFill>
    </fill>
    <fill>
      <patternFill patternType="solid">
        <fgColor rgb="FFC19A6B"/>
        <bgColor indexed="64"/>
      </patternFill>
    </fill>
    <fill>
      <patternFill patternType="solid">
        <fgColor rgb="FF009ACD"/>
        <bgColor indexed="64"/>
      </patternFill>
    </fill>
    <fill>
      <patternFill patternType="solid">
        <fgColor rgb="FF1C1C1C"/>
        <bgColor indexed="64"/>
      </patternFill>
    </fill>
    <fill>
      <patternFill patternType="solid">
        <fgColor rgb="FFAE9B82"/>
        <bgColor indexed="64"/>
      </patternFill>
    </fill>
    <fill>
      <patternFill patternType="solid">
        <fgColor rgb="FF3A8EBA"/>
        <bgColor indexed="64"/>
      </patternFill>
    </fill>
    <fill>
      <patternFill patternType="solid">
        <fgColor rgb="FF1A1A1A"/>
        <bgColor indexed="64"/>
      </patternFill>
    </fill>
    <fill>
      <patternFill patternType="solid">
        <fgColor rgb="FFCD9B1D"/>
        <bgColor indexed="64"/>
      </patternFill>
    </fill>
    <fill>
      <patternFill patternType="solid">
        <fgColor rgb="FF778899"/>
        <bgColor indexed="64"/>
      </patternFill>
    </fill>
    <fill>
      <patternFill patternType="solid">
        <fgColor rgb="FF171717"/>
        <bgColor indexed="64"/>
      </patternFill>
    </fill>
    <fill>
      <patternFill patternType="solid">
        <fgColor rgb="FFCD950C"/>
        <bgColor indexed="64"/>
      </patternFill>
    </fill>
    <fill>
      <patternFill patternType="solid">
        <fgColor rgb="FF708090"/>
        <bgColor indexed="64"/>
      </patternFill>
    </fill>
    <fill>
      <patternFill patternType="solid">
        <fgColor rgb="FF141414"/>
        <bgColor indexed="64"/>
      </patternFill>
    </fill>
    <fill>
      <patternFill patternType="solid">
        <fgColor rgb="FFCC9900"/>
        <bgColor indexed="64"/>
      </patternFill>
    </fill>
    <fill>
      <patternFill patternType="solid">
        <fgColor rgb="FF6C7B8B"/>
        <bgColor indexed="64"/>
      </patternFill>
    </fill>
    <fill>
      <patternFill patternType="solid">
        <fgColor rgb="FF121212"/>
        <bgColor indexed="64"/>
      </patternFill>
    </fill>
    <fill>
      <patternFill patternType="solid">
        <fgColor rgb="FFBE8A3D"/>
        <bgColor indexed="64"/>
      </patternFill>
    </fill>
    <fill>
      <patternFill patternType="solid">
        <fgColor rgb="FF677179"/>
        <bgColor indexed="64"/>
      </patternFill>
    </fill>
    <fill>
      <patternFill patternType="solid">
        <fgColor rgb="FF0F0F0F"/>
        <bgColor indexed="64"/>
      </patternFill>
    </fill>
    <fill>
      <patternFill patternType="solid">
        <fgColor rgb="FFB8860B"/>
        <bgColor indexed="64"/>
      </patternFill>
    </fill>
    <fill>
      <patternFill patternType="solid">
        <fgColor rgb="FF4A708B"/>
        <bgColor indexed="64"/>
      </patternFill>
    </fill>
    <fill>
      <patternFill patternType="solid">
        <fgColor rgb="FF0D0D0D"/>
        <bgColor indexed="64"/>
      </patternFill>
    </fill>
    <fill>
      <patternFill patternType="solid">
        <fgColor rgb="FFA67D3D"/>
        <bgColor indexed="64"/>
      </patternFill>
    </fill>
    <fill>
      <patternFill patternType="solid">
        <fgColor rgb="FF236B8E"/>
        <bgColor indexed="64"/>
      </patternFill>
    </fill>
    <fill>
      <patternFill patternType="solid">
        <fgColor rgb="FF0A0A0A"/>
        <bgColor indexed="64"/>
      </patternFill>
    </fill>
    <fill>
      <patternFill patternType="solid">
        <fgColor rgb="FF947F60"/>
        <bgColor indexed="64"/>
      </patternFill>
    </fill>
    <fill>
      <patternFill patternType="solid">
        <fgColor rgb="FF536878"/>
        <bgColor indexed="64"/>
      </patternFill>
    </fill>
    <fill>
      <patternFill patternType="solid">
        <fgColor rgb="FF080808"/>
        <bgColor indexed="64"/>
      </patternFill>
    </fill>
    <fill>
      <patternFill patternType="solid">
        <fgColor rgb="FF967C5C"/>
        <bgColor indexed="64"/>
      </patternFill>
    </fill>
    <fill>
      <patternFill patternType="solid">
        <fgColor rgb="FF00688B"/>
        <bgColor indexed="64"/>
      </patternFill>
    </fill>
    <fill>
      <patternFill patternType="solid">
        <fgColor rgb="FF050505"/>
        <bgColor indexed="64"/>
      </patternFill>
    </fill>
    <fill>
      <patternFill patternType="solid">
        <fgColor rgb="FF8B7D6B"/>
        <bgColor indexed="64"/>
      </patternFill>
    </fill>
    <fill>
      <patternFill patternType="solid">
        <fgColor rgb="FF51585E"/>
        <bgColor indexed="64"/>
      </patternFill>
    </fill>
    <fill>
      <patternFill patternType="solid">
        <fgColor rgb="FF030303"/>
        <bgColor indexed="64"/>
      </patternFill>
    </fill>
    <fill>
      <patternFill patternType="solid">
        <fgColor rgb="FF8B795E"/>
        <bgColor indexed="64"/>
      </patternFill>
    </fill>
    <fill>
      <patternFill patternType="solid">
        <fgColor rgb="FF24445C"/>
        <bgColor indexed="64"/>
      </patternFill>
    </fill>
    <fill>
      <patternFill patternType="solid">
        <fgColor rgb="FF8B7355"/>
        <bgColor indexed="64"/>
      </patternFill>
    </fill>
    <fill>
      <patternFill patternType="solid">
        <fgColor rgb="FF36454F"/>
        <bgColor indexed="64"/>
      </patternFill>
    </fill>
    <fill>
      <patternFill patternType="solid">
        <fgColor rgb="FFEAE679"/>
        <bgColor indexed="64"/>
      </patternFill>
    </fill>
    <fill>
      <patternFill patternType="solid">
        <fgColor rgb="FF806D5A"/>
        <bgColor indexed="64"/>
      </patternFill>
    </fill>
    <fill>
      <patternFill patternType="solid">
        <fgColor rgb="FF202830"/>
        <bgColor indexed="64"/>
      </patternFill>
    </fill>
    <fill>
      <patternFill patternType="solid">
        <fgColor rgb="FFF7FF3C"/>
        <bgColor indexed="64"/>
      </patternFill>
    </fill>
    <fill>
      <patternFill patternType="solid">
        <fgColor rgb="FF8B6C42"/>
        <bgColor indexed="64"/>
      </patternFill>
    </fill>
    <fill>
      <patternFill patternType="solid">
        <fgColor rgb="FF000020"/>
        <bgColor indexed="64"/>
      </patternFill>
    </fill>
    <fill>
      <patternFill patternType="solid">
        <fgColor rgb="FF000040"/>
        <bgColor indexed="64"/>
      </patternFill>
    </fill>
    <fill>
      <patternFill patternType="solid">
        <fgColor rgb="FF000060"/>
        <bgColor indexed="64"/>
      </patternFill>
    </fill>
    <fill>
      <patternFill patternType="solid">
        <fgColor rgb="FF000080"/>
        <bgColor indexed="64"/>
      </patternFill>
    </fill>
    <fill>
      <patternFill patternType="solid">
        <fgColor rgb="FF0000A0"/>
        <bgColor indexed="64"/>
      </patternFill>
    </fill>
    <fill>
      <patternFill patternType="solid">
        <fgColor rgb="FF0000C0"/>
        <bgColor indexed="64"/>
      </patternFill>
    </fill>
    <fill>
      <patternFill patternType="solid">
        <fgColor rgb="FF0000E0"/>
        <bgColor indexed="64"/>
      </patternFill>
    </fill>
    <fill>
      <patternFill patternType="solid">
        <fgColor rgb="FF202428"/>
        <bgColor indexed="64"/>
      </patternFill>
    </fill>
    <fill>
      <patternFill patternType="solid">
        <fgColor rgb="FFCDCDB4"/>
        <bgColor indexed="64"/>
      </patternFill>
    </fill>
    <fill>
      <patternFill patternType="solid">
        <fgColor rgb="FF7E6D5A"/>
        <bgColor indexed="64"/>
      </patternFill>
    </fill>
    <fill>
      <patternFill patternType="solid">
        <fgColor rgb="FF002000"/>
        <bgColor indexed="64"/>
      </patternFill>
    </fill>
    <fill>
      <patternFill patternType="solid">
        <fgColor rgb="FF002020"/>
        <bgColor indexed="64"/>
      </patternFill>
    </fill>
    <fill>
      <patternFill patternType="solid">
        <fgColor rgb="FF002040"/>
        <bgColor indexed="64"/>
      </patternFill>
    </fill>
    <fill>
      <patternFill patternType="solid">
        <fgColor rgb="FF002060"/>
        <bgColor indexed="64"/>
      </patternFill>
    </fill>
    <fill>
      <patternFill patternType="solid">
        <fgColor rgb="FF002080"/>
        <bgColor indexed="64"/>
      </patternFill>
    </fill>
    <fill>
      <patternFill patternType="solid">
        <fgColor rgb="FF0020A0"/>
        <bgColor indexed="64"/>
      </patternFill>
    </fill>
    <fill>
      <patternFill patternType="solid">
        <fgColor rgb="FF0020C0"/>
        <bgColor indexed="64"/>
      </patternFill>
    </fill>
    <fill>
      <patternFill patternType="solid">
        <fgColor rgb="FF0020E0"/>
        <bgColor indexed="64"/>
      </patternFill>
    </fill>
    <fill>
      <patternFill patternType="solid">
        <fgColor rgb="FF0020FF"/>
        <bgColor indexed="64"/>
      </patternFill>
    </fill>
    <fill>
      <patternFill patternType="solid">
        <fgColor rgb="FF63B8FF"/>
        <bgColor indexed="64"/>
      </patternFill>
    </fill>
    <fill>
      <patternFill patternType="solid">
        <fgColor rgb="FFE6E697"/>
        <bgColor indexed="64"/>
      </patternFill>
    </fill>
    <fill>
      <patternFill patternType="solid">
        <fgColor rgb="FF967117"/>
        <bgColor indexed="64"/>
      </patternFill>
    </fill>
    <fill>
      <patternFill patternType="solid">
        <fgColor rgb="FF004000"/>
        <bgColor indexed="64"/>
      </patternFill>
    </fill>
    <fill>
      <patternFill patternType="solid">
        <fgColor rgb="FF004020"/>
        <bgColor indexed="64"/>
      </patternFill>
    </fill>
    <fill>
      <patternFill patternType="solid">
        <fgColor rgb="FF004040"/>
        <bgColor indexed="64"/>
      </patternFill>
    </fill>
    <fill>
      <patternFill patternType="solid">
        <fgColor rgb="FF004060"/>
        <bgColor indexed="64"/>
      </patternFill>
    </fill>
    <fill>
      <patternFill patternType="solid">
        <fgColor rgb="FF004080"/>
        <bgColor indexed="64"/>
      </patternFill>
    </fill>
    <fill>
      <patternFill patternType="solid">
        <fgColor rgb="FF0040A0"/>
        <bgColor indexed="64"/>
      </patternFill>
    </fill>
    <fill>
      <patternFill patternType="solid">
        <fgColor rgb="FF0040C0"/>
        <bgColor indexed="64"/>
      </patternFill>
    </fill>
    <fill>
      <patternFill patternType="solid">
        <fgColor rgb="FF0040E0"/>
        <bgColor indexed="64"/>
      </patternFill>
    </fill>
    <fill>
      <patternFill patternType="solid">
        <fgColor rgb="FF0040FF"/>
        <bgColor indexed="64"/>
      </patternFill>
    </fill>
    <fill>
      <patternFill patternType="solid">
        <fgColor rgb="FFB0C4DE"/>
        <bgColor indexed="64"/>
      </patternFill>
    </fill>
    <fill>
      <patternFill patternType="solid">
        <fgColor rgb="FFFEF86C"/>
        <bgColor indexed="64"/>
      </patternFill>
    </fill>
    <fill>
      <patternFill patternType="solid">
        <fgColor rgb="FF856D4D"/>
        <bgColor indexed="64"/>
      </patternFill>
    </fill>
    <fill>
      <patternFill patternType="solid">
        <fgColor rgb="FF006000"/>
        <bgColor indexed="64"/>
      </patternFill>
    </fill>
    <fill>
      <patternFill patternType="solid">
        <fgColor rgb="FF006020"/>
        <bgColor indexed="64"/>
      </patternFill>
    </fill>
    <fill>
      <patternFill patternType="solid">
        <fgColor rgb="FF006040"/>
        <bgColor indexed="64"/>
      </patternFill>
    </fill>
    <fill>
      <patternFill patternType="solid">
        <fgColor rgb="FF006060"/>
        <bgColor indexed="64"/>
      </patternFill>
    </fill>
    <fill>
      <patternFill patternType="solid">
        <fgColor rgb="FF006080"/>
        <bgColor indexed="64"/>
      </patternFill>
    </fill>
    <fill>
      <patternFill patternType="solid">
        <fgColor rgb="FF0060A0"/>
        <bgColor indexed="64"/>
      </patternFill>
    </fill>
    <fill>
      <patternFill patternType="solid">
        <fgColor rgb="FF0060C0"/>
        <bgColor indexed="64"/>
      </patternFill>
    </fill>
    <fill>
      <patternFill patternType="solid">
        <fgColor rgb="FF0060E0"/>
        <bgColor indexed="64"/>
      </patternFill>
    </fill>
    <fill>
      <patternFill patternType="solid">
        <fgColor rgb="FF0060FF"/>
        <bgColor indexed="64"/>
      </patternFill>
    </fill>
    <fill>
      <patternFill patternType="solid">
        <fgColor rgb="FF77B5FE"/>
        <bgColor indexed="64"/>
      </patternFill>
    </fill>
    <fill>
      <patternFill patternType="solid">
        <fgColor rgb="FFFFFF6B"/>
        <bgColor indexed="64"/>
      </patternFill>
    </fill>
    <fill>
      <patternFill patternType="solid">
        <fgColor rgb="FF926D27"/>
        <bgColor indexed="64"/>
      </patternFill>
    </fill>
    <fill>
      <patternFill patternType="solid">
        <fgColor rgb="FF008020"/>
        <bgColor indexed="64"/>
      </patternFill>
    </fill>
    <fill>
      <patternFill patternType="solid">
        <fgColor rgb="FF008040"/>
        <bgColor indexed="64"/>
      </patternFill>
    </fill>
    <fill>
      <patternFill patternType="solid">
        <fgColor rgb="FF008060"/>
        <bgColor indexed="64"/>
      </patternFill>
    </fill>
    <fill>
      <patternFill patternType="solid">
        <fgColor rgb="FF008080"/>
        <bgColor indexed="64"/>
      </patternFill>
    </fill>
    <fill>
      <patternFill patternType="solid">
        <fgColor rgb="FF0080A0"/>
        <bgColor indexed="64"/>
      </patternFill>
    </fill>
    <fill>
      <patternFill patternType="solid">
        <fgColor rgb="FF0080C0"/>
        <bgColor indexed="64"/>
      </patternFill>
    </fill>
    <fill>
      <patternFill patternType="solid">
        <fgColor rgb="FF0080E0"/>
        <bgColor indexed="64"/>
      </patternFill>
    </fill>
    <fill>
      <patternFill patternType="solid">
        <fgColor rgb="FF0080FF"/>
        <bgColor indexed="64"/>
      </patternFill>
    </fill>
    <fill>
      <patternFill patternType="solid">
        <fgColor rgb="FFCDCDC1"/>
        <bgColor indexed="64"/>
      </patternFill>
    </fill>
    <fill>
      <patternFill patternType="solid">
        <fgColor rgb="FF8E6B23"/>
        <bgColor indexed="64"/>
      </patternFill>
    </fill>
    <fill>
      <patternFill patternType="solid">
        <fgColor rgb="FF00A000"/>
        <bgColor indexed="64"/>
      </patternFill>
    </fill>
    <fill>
      <patternFill patternType="solid">
        <fgColor rgb="FF00A020"/>
        <bgColor indexed="64"/>
      </patternFill>
    </fill>
    <fill>
      <patternFill patternType="solid">
        <fgColor rgb="FF00A040"/>
        <bgColor indexed="64"/>
      </patternFill>
    </fill>
    <fill>
      <patternFill patternType="solid">
        <fgColor rgb="FF00A060"/>
        <bgColor indexed="64"/>
      </patternFill>
    </fill>
    <fill>
      <patternFill patternType="solid">
        <fgColor rgb="FF00A080"/>
        <bgColor indexed="64"/>
      </patternFill>
    </fill>
    <fill>
      <patternFill patternType="solid">
        <fgColor rgb="FF00A0A0"/>
        <bgColor indexed="64"/>
      </patternFill>
    </fill>
    <fill>
      <patternFill patternType="solid">
        <fgColor rgb="FF00A0C0"/>
        <bgColor indexed="64"/>
      </patternFill>
    </fill>
    <fill>
      <patternFill patternType="solid">
        <fgColor rgb="FF00A0E0"/>
        <bgColor indexed="64"/>
      </patternFill>
    </fill>
    <fill>
      <patternFill patternType="solid">
        <fgColor rgb="FF00A0FF"/>
        <bgColor indexed="64"/>
      </patternFill>
    </fill>
    <fill>
      <patternFill patternType="solid">
        <fgColor rgb="FFBCD2EE"/>
        <bgColor indexed="64"/>
      </patternFill>
    </fill>
    <fill>
      <patternFill patternType="solid">
        <fgColor rgb="FFEBE8A4"/>
        <bgColor indexed="64"/>
      </patternFill>
    </fill>
    <fill>
      <patternFill patternType="solid">
        <fgColor rgb="FF826644"/>
        <bgColor indexed="64"/>
      </patternFill>
    </fill>
    <fill>
      <patternFill patternType="solid">
        <fgColor rgb="FF00C000"/>
        <bgColor indexed="64"/>
      </patternFill>
    </fill>
    <fill>
      <patternFill patternType="solid">
        <fgColor rgb="FF00C020"/>
        <bgColor indexed="64"/>
      </patternFill>
    </fill>
    <fill>
      <patternFill patternType="solid">
        <fgColor rgb="FF00C040"/>
        <bgColor indexed="64"/>
      </patternFill>
    </fill>
    <fill>
      <patternFill patternType="solid">
        <fgColor rgb="FF00C060"/>
        <bgColor indexed="64"/>
      </patternFill>
    </fill>
    <fill>
      <patternFill patternType="solid">
        <fgColor rgb="FF00C080"/>
        <bgColor indexed="64"/>
      </patternFill>
    </fill>
    <fill>
      <patternFill patternType="solid">
        <fgColor rgb="FF00C0A0"/>
        <bgColor indexed="64"/>
      </patternFill>
    </fill>
    <fill>
      <patternFill patternType="solid">
        <fgColor rgb="FF00C0C0"/>
        <bgColor indexed="64"/>
      </patternFill>
    </fill>
    <fill>
      <patternFill patternType="solid">
        <fgColor rgb="FF00C0E0"/>
        <bgColor indexed="64"/>
      </patternFill>
    </fill>
    <fill>
      <patternFill patternType="solid">
        <fgColor rgb="FF00C0FF"/>
        <bgColor indexed="64"/>
      </patternFill>
    </fill>
    <fill>
      <patternFill patternType="solid">
        <fgColor rgb="FFCAE1FF"/>
        <bgColor indexed="64"/>
      </patternFill>
    </fill>
    <fill>
      <patternFill patternType="solid">
        <fgColor rgb="FFD8D8BF"/>
        <bgColor indexed="64"/>
      </patternFill>
    </fill>
    <fill>
      <patternFill patternType="solid">
        <fgColor rgb="FF8B6914"/>
        <bgColor indexed="64"/>
      </patternFill>
    </fill>
    <fill>
      <patternFill patternType="solid">
        <fgColor rgb="FF00E000"/>
        <bgColor indexed="64"/>
      </patternFill>
    </fill>
    <fill>
      <patternFill patternType="solid">
        <fgColor rgb="FF00E020"/>
        <bgColor indexed="64"/>
      </patternFill>
    </fill>
    <fill>
      <patternFill patternType="solid">
        <fgColor rgb="FF00E040"/>
        <bgColor indexed="64"/>
      </patternFill>
    </fill>
    <fill>
      <patternFill patternType="solid">
        <fgColor rgb="FF00E060"/>
        <bgColor indexed="64"/>
      </patternFill>
    </fill>
    <fill>
      <patternFill patternType="solid">
        <fgColor rgb="FF00E080"/>
        <bgColor indexed="64"/>
      </patternFill>
    </fill>
    <fill>
      <patternFill patternType="solid">
        <fgColor rgb="FF00E0A0"/>
        <bgColor indexed="64"/>
      </patternFill>
    </fill>
    <fill>
      <patternFill patternType="solid">
        <fgColor rgb="FF00E0C0"/>
        <bgColor indexed="64"/>
      </patternFill>
    </fill>
    <fill>
      <patternFill patternType="solid">
        <fgColor rgb="FF00E0E0"/>
        <bgColor indexed="64"/>
      </patternFill>
    </fill>
    <fill>
      <patternFill patternType="solid">
        <fgColor rgb="FF00E0FF"/>
        <bgColor indexed="64"/>
      </patternFill>
    </fill>
    <fill>
      <patternFill patternType="solid">
        <fgColor rgb="FFA2B5CD"/>
        <bgColor indexed="64"/>
      </patternFill>
    </fill>
    <fill>
      <patternFill patternType="solid">
        <fgColor rgb="FFEAEAAE"/>
        <bgColor indexed="64"/>
      </patternFill>
    </fill>
    <fill>
      <patternFill patternType="solid">
        <fgColor rgb="FF8B6508"/>
        <bgColor indexed="64"/>
      </patternFill>
    </fill>
    <fill>
      <patternFill patternType="solid">
        <fgColor rgb="FF00FF20"/>
        <bgColor indexed="64"/>
      </patternFill>
    </fill>
    <fill>
      <patternFill patternType="solid">
        <fgColor rgb="FF00FF40"/>
        <bgColor indexed="64"/>
      </patternFill>
    </fill>
    <fill>
      <patternFill patternType="solid">
        <fgColor rgb="FF00FF60"/>
        <bgColor indexed="64"/>
      </patternFill>
    </fill>
    <fill>
      <patternFill patternType="solid">
        <fgColor rgb="FF00FF80"/>
        <bgColor indexed="64"/>
      </patternFill>
    </fill>
    <fill>
      <patternFill patternType="solid">
        <fgColor rgb="FF00FFA0"/>
        <bgColor indexed="64"/>
      </patternFill>
    </fill>
    <fill>
      <patternFill patternType="solid">
        <fgColor rgb="FF00FFC0"/>
        <bgColor indexed="64"/>
      </patternFill>
    </fill>
    <fill>
      <patternFill patternType="solid">
        <fgColor rgb="FF00FFE0"/>
        <bgColor indexed="64"/>
      </patternFill>
    </fill>
    <fill>
      <patternFill patternType="solid">
        <fgColor rgb="FF5CACEE"/>
        <bgColor indexed="64"/>
      </patternFill>
    </fill>
    <fill>
      <patternFill patternType="solid">
        <fgColor rgb="FFEEEED1"/>
        <bgColor indexed="64"/>
      </patternFill>
    </fill>
    <fill>
      <patternFill patternType="solid">
        <fgColor rgb="FF785E2F"/>
        <bgColor indexed="64"/>
      </patternFill>
    </fill>
    <fill>
      <patternFill patternType="solid">
        <fgColor rgb="FF200000"/>
        <bgColor indexed="64"/>
      </patternFill>
    </fill>
    <fill>
      <patternFill patternType="solid">
        <fgColor rgb="FF200020"/>
        <bgColor indexed="64"/>
      </patternFill>
    </fill>
    <fill>
      <patternFill patternType="solid">
        <fgColor rgb="FF200040"/>
        <bgColor indexed="64"/>
      </patternFill>
    </fill>
    <fill>
      <patternFill patternType="solid">
        <fgColor rgb="FF200060"/>
        <bgColor indexed="64"/>
      </patternFill>
    </fill>
    <fill>
      <patternFill patternType="solid">
        <fgColor rgb="FF200080"/>
        <bgColor indexed="64"/>
      </patternFill>
    </fill>
    <fill>
      <patternFill patternType="solid">
        <fgColor rgb="FF2000A0"/>
        <bgColor indexed="64"/>
      </patternFill>
    </fill>
    <fill>
      <patternFill patternType="solid">
        <fgColor rgb="FF2000C0"/>
        <bgColor indexed="64"/>
      </patternFill>
    </fill>
    <fill>
      <patternFill patternType="solid">
        <fgColor rgb="FF2000E0"/>
        <bgColor indexed="64"/>
      </patternFill>
    </fill>
    <fill>
      <patternFill patternType="solid">
        <fgColor rgb="FF2000FF"/>
        <bgColor indexed="64"/>
      </patternFill>
    </fill>
    <fill>
      <patternFill patternType="solid">
        <fgColor rgb="FF6699CC"/>
        <bgColor indexed="64"/>
      </patternFill>
    </fill>
    <fill>
      <patternFill patternType="solid">
        <fgColor rgb="FFFAFAD2"/>
        <bgColor indexed="64"/>
      </patternFill>
    </fill>
    <fill>
      <patternFill patternType="solid">
        <fgColor rgb="FF202000"/>
        <bgColor indexed="64"/>
      </patternFill>
    </fill>
    <fill>
      <patternFill patternType="solid">
        <fgColor rgb="FF202020"/>
        <bgColor indexed="64"/>
      </patternFill>
    </fill>
    <fill>
      <patternFill patternType="solid">
        <fgColor rgb="FF202040"/>
        <bgColor indexed="64"/>
      </patternFill>
    </fill>
    <fill>
      <patternFill patternType="solid">
        <fgColor rgb="FF202060"/>
        <bgColor indexed="64"/>
      </patternFill>
    </fill>
    <fill>
      <patternFill patternType="solid">
        <fgColor rgb="FF202080"/>
        <bgColor indexed="64"/>
      </patternFill>
    </fill>
    <fill>
      <patternFill patternType="solid">
        <fgColor rgb="FF2020A0"/>
        <bgColor indexed="64"/>
      </patternFill>
    </fill>
    <fill>
      <patternFill patternType="solid">
        <fgColor rgb="FF2020C0"/>
        <bgColor indexed="64"/>
      </patternFill>
    </fill>
    <fill>
      <patternFill patternType="solid">
        <fgColor rgb="FF2020E0"/>
        <bgColor indexed="64"/>
      </patternFill>
    </fill>
    <fill>
      <patternFill patternType="solid">
        <fgColor rgb="FF2020FF"/>
        <bgColor indexed="64"/>
      </patternFill>
    </fill>
    <fill>
      <patternFill patternType="solid">
        <fgColor rgb="FF4997D0"/>
        <bgColor indexed="64"/>
      </patternFill>
    </fill>
    <fill>
      <patternFill patternType="solid">
        <fgColor rgb="FFEEEEE0"/>
        <bgColor indexed="64"/>
      </patternFill>
    </fill>
    <fill>
      <patternFill patternType="solid">
        <fgColor rgb="FF6C541E"/>
        <bgColor indexed="64"/>
      </patternFill>
    </fill>
    <fill>
      <patternFill patternType="solid">
        <fgColor rgb="FF204000"/>
        <bgColor indexed="64"/>
      </patternFill>
    </fill>
    <fill>
      <patternFill patternType="solid">
        <fgColor rgb="FF204020"/>
        <bgColor indexed="64"/>
      </patternFill>
    </fill>
    <fill>
      <patternFill patternType="solid">
        <fgColor rgb="FF204040"/>
        <bgColor indexed="64"/>
      </patternFill>
    </fill>
    <fill>
      <patternFill patternType="solid">
        <fgColor rgb="FF204060"/>
        <bgColor indexed="64"/>
      </patternFill>
    </fill>
    <fill>
      <patternFill patternType="solid">
        <fgColor rgb="FF204080"/>
        <bgColor indexed="64"/>
      </patternFill>
    </fill>
    <fill>
      <patternFill patternType="solid">
        <fgColor rgb="FF2040A0"/>
        <bgColor indexed="64"/>
      </patternFill>
    </fill>
    <fill>
      <patternFill patternType="solid">
        <fgColor rgb="FF2040C0"/>
        <bgColor indexed="64"/>
      </patternFill>
    </fill>
    <fill>
      <patternFill patternType="solid">
        <fgColor rgb="FF2040E0"/>
        <bgColor indexed="64"/>
      </patternFill>
    </fill>
    <fill>
      <patternFill patternType="solid">
        <fgColor rgb="FF2040FF"/>
        <bgColor indexed="64"/>
      </patternFill>
    </fill>
    <fill>
      <patternFill patternType="solid">
        <fgColor rgb="FF4F94CD"/>
        <bgColor indexed="64"/>
      </patternFill>
    </fill>
    <fill>
      <patternFill patternType="solid">
        <fgColor rgb="FFF5F5DC"/>
        <bgColor indexed="64"/>
      </patternFill>
    </fill>
    <fill>
      <patternFill patternType="solid">
        <fgColor rgb="FF4E3D28"/>
        <bgColor indexed="64"/>
      </patternFill>
    </fill>
    <fill>
      <patternFill patternType="solid">
        <fgColor rgb="FF206000"/>
        <bgColor indexed="64"/>
      </patternFill>
    </fill>
    <fill>
      <patternFill patternType="solid">
        <fgColor rgb="FF206020"/>
        <bgColor indexed="64"/>
      </patternFill>
    </fill>
    <fill>
      <patternFill patternType="solid">
        <fgColor rgb="FF206040"/>
        <bgColor indexed="64"/>
      </patternFill>
    </fill>
    <fill>
      <patternFill patternType="solid">
        <fgColor rgb="FF206060"/>
        <bgColor indexed="64"/>
      </patternFill>
    </fill>
    <fill>
      <patternFill patternType="solid">
        <fgColor rgb="FF206080"/>
        <bgColor indexed="64"/>
      </patternFill>
    </fill>
    <fill>
      <patternFill patternType="solid">
        <fgColor rgb="FF2060A0"/>
        <bgColor indexed="64"/>
      </patternFill>
    </fill>
    <fill>
      <patternFill patternType="solid">
        <fgColor rgb="FF2060C0"/>
        <bgColor indexed="64"/>
      </patternFill>
    </fill>
    <fill>
      <patternFill patternType="solid">
        <fgColor rgb="FF2060E0"/>
        <bgColor indexed="64"/>
      </patternFill>
    </fill>
    <fill>
      <patternFill patternType="solid">
        <fgColor rgb="FF2060FF"/>
        <bgColor indexed="64"/>
      </patternFill>
    </fill>
    <fill>
      <patternFill patternType="solid">
        <fgColor rgb="FF1E7FCB"/>
        <bgColor indexed="64"/>
      </patternFill>
    </fill>
    <fill>
      <patternFill patternType="solid">
        <fgColor rgb="FFFFFFD4"/>
        <bgColor indexed="64"/>
      </patternFill>
    </fill>
    <fill>
      <patternFill patternType="solid">
        <fgColor rgb="FF3B3121"/>
        <bgColor indexed="64"/>
      </patternFill>
    </fill>
    <fill>
      <patternFill patternType="solid">
        <fgColor rgb="FF208000"/>
        <bgColor indexed="64"/>
      </patternFill>
    </fill>
    <fill>
      <patternFill patternType="solid">
        <fgColor rgb="FF208020"/>
        <bgColor indexed="64"/>
      </patternFill>
    </fill>
    <fill>
      <patternFill patternType="solid">
        <fgColor rgb="FF208040"/>
        <bgColor indexed="64"/>
      </patternFill>
    </fill>
    <fill>
      <patternFill patternType="solid">
        <fgColor rgb="FF208060"/>
        <bgColor indexed="64"/>
      </patternFill>
    </fill>
    <fill>
      <patternFill patternType="solid">
        <fgColor rgb="FF208080"/>
        <bgColor indexed="64"/>
      </patternFill>
    </fill>
    <fill>
      <patternFill patternType="solid">
        <fgColor rgb="FF2080A0"/>
        <bgColor indexed="64"/>
      </patternFill>
    </fill>
    <fill>
      <patternFill patternType="solid">
        <fgColor rgb="FF2080C0"/>
        <bgColor indexed="64"/>
      </patternFill>
    </fill>
    <fill>
      <patternFill patternType="solid">
        <fgColor rgb="FF2080E0"/>
        <bgColor indexed="64"/>
      </patternFill>
    </fill>
    <fill>
      <patternFill patternType="solid">
        <fgColor rgb="FF2080FF"/>
        <bgColor indexed="64"/>
      </patternFill>
    </fill>
    <fill>
      <patternFill patternType="solid">
        <fgColor rgb="FF4682B4"/>
        <bgColor indexed="64"/>
      </patternFill>
    </fill>
    <fill>
      <patternFill patternType="solid">
        <fgColor rgb="FFFEFEE0"/>
        <bgColor indexed="64"/>
      </patternFill>
    </fill>
    <fill>
      <patternFill patternType="solid">
        <fgColor rgb="FF372F25"/>
        <bgColor indexed="64"/>
      </patternFill>
    </fill>
    <fill>
      <patternFill patternType="solid">
        <fgColor rgb="FF20A000"/>
        <bgColor indexed="64"/>
      </patternFill>
    </fill>
    <fill>
      <patternFill patternType="solid">
        <fgColor rgb="FF20A020"/>
        <bgColor indexed="64"/>
      </patternFill>
    </fill>
    <fill>
      <patternFill patternType="solid">
        <fgColor rgb="FF20A040"/>
        <bgColor indexed="64"/>
      </patternFill>
    </fill>
    <fill>
      <patternFill patternType="solid">
        <fgColor rgb="FF20A060"/>
        <bgColor indexed="64"/>
      </patternFill>
    </fill>
    <fill>
      <patternFill patternType="solid">
        <fgColor rgb="FF20A080"/>
        <bgColor indexed="64"/>
      </patternFill>
    </fill>
    <fill>
      <patternFill patternType="solid">
        <fgColor rgb="FF20A0A0"/>
        <bgColor indexed="64"/>
      </patternFill>
    </fill>
    <fill>
      <patternFill patternType="solid">
        <fgColor rgb="FF20A0C0"/>
        <bgColor indexed="64"/>
      </patternFill>
    </fill>
    <fill>
      <patternFill patternType="solid">
        <fgColor rgb="FF20A0E0"/>
        <bgColor indexed="64"/>
      </patternFill>
    </fill>
    <fill>
      <patternFill patternType="solid">
        <fgColor rgb="FF20A0FF"/>
        <bgColor indexed="64"/>
      </patternFill>
    </fill>
    <fill>
      <patternFill patternType="solid">
        <fgColor rgb="FF357AB7"/>
        <bgColor indexed="64"/>
      </patternFill>
    </fill>
    <fill>
      <patternFill patternType="solid">
        <fgColor rgb="FFFFFFE0"/>
        <bgColor indexed="64"/>
      </patternFill>
    </fill>
    <fill>
      <patternFill patternType="solid">
        <fgColor rgb="FFEDD38C"/>
        <bgColor indexed="64"/>
      </patternFill>
    </fill>
    <fill>
      <patternFill patternType="solid">
        <fgColor rgb="FF20C000"/>
        <bgColor indexed="64"/>
      </patternFill>
    </fill>
    <fill>
      <patternFill patternType="solid">
        <fgColor rgb="FF20C020"/>
        <bgColor indexed="64"/>
      </patternFill>
    </fill>
    <fill>
      <patternFill patternType="solid">
        <fgColor rgb="FF20C040"/>
        <bgColor indexed="64"/>
      </patternFill>
    </fill>
    <fill>
      <patternFill patternType="solid">
        <fgColor rgb="FF20C060"/>
        <bgColor indexed="64"/>
      </patternFill>
    </fill>
    <fill>
      <patternFill patternType="solid">
        <fgColor rgb="FF20C080"/>
        <bgColor indexed="64"/>
      </patternFill>
    </fill>
    <fill>
      <patternFill patternType="solid">
        <fgColor rgb="FF20C0A0"/>
        <bgColor indexed="64"/>
      </patternFill>
    </fill>
    <fill>
      <patternFill patternType="solid">
        <fgColor rgb="FF20C0C0"/>
        <bgColor indexed="64"/>
      </patternFill>
    </fill>
    <fill>
      <patternFill patternType="solid">
        <fgColor rgb="FF20C0E0"/>
        <bgColor indexed="64"/>
      </patternFill>
    </fill>
    <fill>
      <patternFill patternType="solid">
        <fgColor rgb="FF20C0FF"/>
        <bgColor indexed="64"/>
      </patternFill>
    </fill>
    <fill>
      <patternFill patternType="solid">
        <fgColor rgb="FF56739A"/>
        <bgColor indexed="64"/>
      </patternFill>
    </fill>
    <fill>
      <patternFill patternType="solid">
        <fgColor rgb="FFFEFEE2"/>
        <bgColor indexed="64"/>
      </patternFill>
    </fill>
    <fill>
      <patternFill patternType="solid">
        <fgColor rgb="FFE0CDA9"/>
        <bgColor indexed="64"/>
      </patternFill>
    </fill>
    <fill>
      <patternFill patternType="solid">
        <fgColor rgb="FF20E000"/>
        <bgColor indexed="64"/>
      </patternFill>
    </fill>
    <fill>
      <patternFill patternType="solid">
        <fgColor rgb="FF20E020"/>
        <bgColor indexed="64"/>
      </patternFill>
    </fill>
    <fill>
      <patternFill patternType="solid">
        <fgColor rgb="FF20E040"/>
        <bgColor indexed="64"/>
      </patternFill>
    </fill>
    <fill>
      <patternFill patternType="solid">
        <fgColor rgb="FF20E060"/>
        <bgColor indexed="64"/>
      </patternFill>
    </fill>
    <fill>
      <patternFill patternType="solid">
        <fgColor rgb="FF20E080"/>
        <bgColor indexed="64"/>
      </patternFill>
    </fill>
    <fill>
      <patternFill patternType="solid">
        <fgColor rgb="FF20E0A0"/>
        <bgColor indexed="64"/>
      </patternFill>
    </fill>
    <fill>
      <patternFill patternType="solid">
        <fgColor rgb="FF20E0C0"/>
        <bgColor indexed="64"/>
      </patternFill>
    </fill>
    <fill>
      <patternFill patternType="solid">
        <fgColor rgb="FF20E0E0"/>
        <bgColor indexed="64"/>
      </patternFill>
    </fill>
    <fill>
      <patternFill patternType="solid">
        <fgColor rgb="FF20E0FF"/>
        <bgColor indexed="64"/>
      </patternFill>
    </fill>
    <fill>
      <patternFill patternType="solid">
        <fgColor rgb="FF6E7B8B"/>
        <bgColor indexed="64"/>
      </patternFill>
    </fill>
    <fill>
      <patternFill patternType="solid">
        <fgColor rgb="FFFFFFF0"/>
        <bgColor indexed="64"/>
      </patternFill>
    </fill>
    <fill>
      <patternFill patternType="solid">
        <fgColor rgb="FFEED8AE"/>
        <bgColor indexed="64"/>
      </patternFill>
    </fill>
    <fill>
      <patternFill patternType="solid">
        <fgColor rgb="FF20FF00"/>
        <bgColor indexed="64"/>
      </patternFill>
    </fill>
    <fill>
      <patternFill patternType="solid">
        <fgColor rgb="FF20FF20"/>
        <bgColor indexed="64"/>
      </patternFill>
    </fill>
    <fill>
      <patternFill patternType="solid">
        <fgColor rgb="FF20FF40"/>
        <bgColor indexed="64"/>
      </patternFill>
    </fill>
    <fill>
      <patternFill patternType="solid">
        <fgColor rgb="FF20FF60"/>
        <bgColor indexed="64"/>
      </patternFill>
    </fill>
    <fill>
      <patternFill patternType="solid">
        <fgColor rgb="FF20FF80"/>
        <bgColor indexed="64"/>
      </patternFill>
    </fill>
    <fill>
      <patternFill patternType="solid">
        <fgColor rgb="FF20FFA0"/>
        <bgColor indexed="64"/>
      </patternFill>
    </fill>
    <fill>
      <patternFill patternType="solid">
        <fgColor rgb="FF20FFC0"/>
        <bgColor indexed="64"/>
      </patternFill>
    </fill>
    <fill>
      <patternFill patternType="solid">
        <fgColor rgb="FF20FFE0"/>
        <bgColor indexed="64"/>
      </patternFill>
    </fill>
    <fill>
      <patternFill patternType="solid">
        <fgColor rgb="FF20FFFF"/>
        <bgColor indexed="64"/>
      </patternFill>
    </fill>
    <fill>
      <patternFill patternType="solid">
        <fgColor rgb="FF0067A5"/>
        <bgColor indexed="64"/>
      </patternFill>
    </fill>
    <fill>
      <patternFill patternType="solid">
        <fgColor rgb="FFE9E450"/>
        <bgColor indexed="64"/>
      </patternFill>
    </fill>
    <fill>
      <patternFill patternType="solid">
        <fgColor rgb="FFF5DEB3"/>
        <bgColor indexed="64"/>
      </patternFill>
    </fill>
    <fill>
      <patternFill patternType="solid">
        <fgColor rgb="FF400000"/>
        <bgColor indexed="64"/>
      </patternFill>
    </fill>
    <fill>
      <patternFill patternType="solid">
        <fgColor rgb="FF400020"/>
        <bgColor indexed="64"/>
      </patternFill>
    </fill>
    <fill>
      <patternFill patternType="solid">
        <fgColor rgb="FF400040"/>
        <bgColor indexed="64"/>
      </patternFill>
    </fill>
    <fill>
      <patternFill patternType="solid">
        <fgColor rgb="FF400060"/>
        <bgColor indexed="64"/>
      </patternFill>
    </fill>
    <fill>
      <patternFill patternType="solid">
        <fgColor rgb="FF400080"/>
        <bgColor indexed="64"/>
      </patternFill>
    </fill>
    <fill>
      <patternFill patternType="solid">
        <fgColor rgb="FF4000A0"/>
        <bgColor indexed="64"/>
      </patternFill>
    </fill>
    <fill>
      <patternFill patternType="solid">
        <fgColor rgb="FF4000C0"/>
        <bgColor indexed="64"/>
      </patternFill>
    </fill>
    <fill>
      <patternFill patternType="solid">
        <fgColor rgb="FF4000E0"/>
        <bgColor indexed="64"/>
      </patternFill>
    </fill>
    <fill>
      <patternFill patternType="solid">
        <fgColor rgb="FF4000FF"/>
        <bgColor indexed="64"/>
      </patternFill>
    </fill>
    <fill>
      <patternFill patternType="solid">
        <fgColor rgb="FF436B95"/>
        <bgColor indexed="64"/>
      </patternFill>
    </fill>
    <fill>
      <patternFill patternType="solid">
        <fgColor rgb="FFDBDB70"/>
        <bgColor indexed="64"/>
      </patternFill>
    </fill>
    <fill>
      <patternFill patternType="solid">
        <fgColor rgb="FFFFE4B5"/>
        <bgColor indexed="64"/>
      </patternFill>
    </fill>
    <fill>
      <patternFill patternType="solid">
        <fgColor rgb="FF402000"/>
        <bgColor indexed="64"/>
      </patternFill>
    </fill>
    <fill>
      <patternFill patternType="solid">
        <fgColor rgb="FF402020"/>
        <bgColor indexed="64"/>
      </patternFill>
    </fill>
    <fill>
      <patternFill patternType="solid">
        <fgColor rgb="FF402040"/>
        <bgColor indexed="64"/>
      </patternFill>
    </fill>
    <fill>
      <patternFill patternType="solid">
        <fgColor rgb="FF402060"/>
        <bgColor indexed="64"/>
      </patternFill>
    </fill>
    <fill>
      <patternFill patternType="solid">
        <fgColor rgb="FF402080"/>
        <bgColor indexed="64"/>
      </patternFill>
    </fill>
    <fill>
      <patternFill patternType="solid">
        <fgColor rgb="FF4020A0"/>
        <bgColor indexed="64"/>
      </patternFill>
    </fill>
    <fill>
      <patternFill patternType="solid">
        <fgColor rgb="FF4020C0"/>
        <bgColor indexed="64"/>
      </patternFill>
    </fill>
    <fill>
      <patternFill patternType="solid">
        <fgColor rgb="FF4020E0"/>
        <bgColor indexed="64"/>
      </patternFill>
    </fill>
    <fill>
      <patternFill patternType="solid">
        <fgColor rgb="FF4020FF"/>
        <bgColor indexed="64"/>
      </patternFill>
    </fill>
    <fill>
      <patternFill patternType="solid">
        <fgColor rgb="FF336699"/>
        <bgColor indexed="64"/>
      </patternFill>
    </fill>
    <fill>
      <patternFill patternType="solid">
        <fgColor rgb="FFEEEE00"/>
        <bgColor indexed="64"/>
      </patternFill>
    </fill>
    <fill>
      <patternFill patternType="solid">
        <fgColor rgb="FFFFE7BA"/>
        <bgColor indexed="64"/>
      </patternFill>
    </fill>
    <fill>
      <patternFill patternType="solid">
        <fgColor rgb="FF404000"/>
        <bgColor indexed="64"/>
      </patternFill>
    </fill>
    <fill>
      <patternFill patternType="solid">
        <fgColor rgb="FF404020"/>
        <bgColor indexed="64"/>
      </patternFill>
    </fill>
    <fill>
      <patternFill patternType="solid">
        <fgColor rgb="FF404060"/>
        <bgColor indexed="64"/>
      </patternFill>
    </fill>
    <fill>
      <patternFill patternType="solid">
        <fgColor rgb="FF404080"/>
        <bgColor indexed="64"/>
      </patternFill>
    </fill>
    <fill>
      <patternFill patternType="solid">
        <fgColor rgb="FF4040A0"/>
        <bgColor indexed="64"/>
      </patternFill>
    </fill>
    <fill>
      <patternFill patternType="solid">
        <fgColor rgb="FF4040C0"/>
        <bgColor indexed="64"/>
      </patternFill>
    </fill>
    <fill>
      <patternFill patternType="solid">
        <fgColor rgb="FF4040E0"/>
        <bgColor indexed="64"/>
      </patternFill>
    </fill>
    <fill>
      <patternFill patternType="solid">
        <fgColor rgb="FF4040FF"/>
        <bgColor indexed="64"/>
      </patternFill>
    </fill>
    <fill>
      <patternFill patternType="solid">
        <fgColor rgb="FF36648B"/>
        <bgColor indexed="64"/>
      </patternFill>
    </fill>
    <fill>
      <patternFill patternType="solid">
        <fgColor rgb="FFB3B191"/>
        <bgColor indexed="64"/>
      </patternFill>
    </fill>
    <fill>
      <patternFill patternType="solid">
        <fgColor rgb="FFFFEBCD"/>
        <bgColor indexed="64"/>
      </patternFill>
    </fill>
    <fill>
      <patternFill patternType="solid">
        <fgColor rgb="FF406000"/>
        <bgColor indexed="64"/>
      </patternFill>
    </fill>
    <fill>
      <patternFill patternType="solid">
        <fgColor rgb="FF406020"/>
        <bgColor indexed="64"/>
      </patternFill>
    </fill>
    <fill>
      <patternFill patternType="solid">
        <fgColor rgb="FF406040"/>
        <bgColor indexed="64"/>
      </patternFill>
    </fill>
    <fill>
      <patternFill patternType="solid">
        <fgColor rgb="FF406060"/>
        <bgColor indexed="64"/>
      </patternFill>
    </fill>
    <fill>
      <patternFill patternType="solid">
        <fgColor rgb="FF406080"/>
        <bgColor indexed="64"/>
      </patternFill>
    </fill>
    <fill>
      <patternFill patternType="solid">
        <fgColor rgb="FF4060A0"/>
        <bgColor indexed="64"/>
      </patternFill>
    </fill>
    <fill>
      <patternFill patternType="solid">
        <fgColor rgb="FF4060C0"/>
        <bgColor indexed="64"/>
      </patternFill>
    </fill>
    <fill>
      <patternFill patternType="solid">
        <fgColor rgb="FF4060E0"/>
        <bgColor indexed="64"/>
      </patternFill>
    </fill>
    <fill>
      <patternFill patternType="solid">
        <fgColor rgb="FF4060FF"/>
        <bgColor indexed="64"/>
      </patternFill>
    </fill>
    <fill>
      <patternFill patternType="solid">
        <fgColor rgb="FF00416A"/>
        <bgColor indexed="64"/>
      </patternFill>
    </fill>
    <fill>
      <patternFill patternType="solid">
        <fgColor rgb="FFD9D919"/>
        <bgColor indexed="64"/>
      </patternFill>
    </fill>
    <fill>
      <patternFill patternType="solid">
        <fgColor rgb="FFFFEFD5"/>
        <bgColor indexed="64"/>
      </patternFill>
    </fill>
    <fill>
      <patternFill patternType="solid">
        <fgColor rgb="FF408000"/>
        <bgColor indexed="64"/>
      </patternFill>
    </fill>
    <fill>
      <patternFill patternType="solid">
        <fgColor rgb="FF408020"/>
        <bgColor indexed="64"/>
      </patternFill>
    </fill>
    <fill>
      <patternFill patternType="solid">
        <fgColor rgb="FF408040"/>
        <bgColor indexed="64"/>
      </patternFill>
    </fill>
    <fill>
      <patternFill patternType="solid">
        <fgColor rgb="FF408060"/>
        <bgColor indexed="64"/>
      </patternFill>
    </fill>
    <fill>
      <patternFill patternType="solid">
        <fgColor rgb="FF408080"/>
        <bgColor indexed="64"/>
      </patternFill>
    </fill>
    <fill>
      <patternFill patternType="solid">
        <fgColor rgb="FF4080A0"/>
        <bgColor indexed="64"/>
      </patternFill>
    </fill>
    <fill>
      <patternFill patternType="solid">
        <fgColor rgb="FF4080C0"/>
        <bgColor indexed="64"/>
      </patternFill>
    </fill>
    <fill>
      <patternFill patternType="solid">
        <fgColor rgb="FF4080E0"/>
        <bgColor indexed="64"/>
      </patternFill>
    </fill>
    <fill>
      <patternFill patternType="solid">
        <fgColor rgb="FF4080FF"/>
        <bgColor indexed="64"/>
      </patternFill>
    </fill>
    <fill>
      <patternFill patternType="solid">
        <fgColor rgb="FF00304E"/>
        <bgColor indexed="64"/>
      </patternFill>
    </fill>
    <fill>
      <patternFill patternType="solid">
        <fgColor rgb="FFCDCD0D"/>
        <bgColor indexed="64"/>
      </patternFill>
    </fill>
    <fill>
      <patternFill patternType="solid">
        <fgColor rgb="FFFDF5E6"/>
        <bgColor indexed="64"/>
      </patternFill>
    </fill>
    <fill>
      <patternFill patternType="solid">
        <fgColor rgb="FF40A000"/>
        <bgColor indexed="64"/>
      </patternFill>
    </fill>
    <fill>
      <patternFill patternType="solid">
        <fgColor rgb="FF40A020"/>
        <bgColor indexed="64"/>
      </patternFill>
    </fill>
    <fill>
      <patternFill patternType="solid">
        <fgColor rgb="FF40A040"/>
        <bgColor indexed="64"/>
      </patternFill>
    </fill>
    <fill>
      <patternFill patternType="solid">
        <fgColor rgb="FF40A060"/>
        <bgColor indexed="64"/>
      </patternFill>
    </fill>
    <fill>
      <patternFill patternType="solid">
        <fgColor rgb="FF40A080"/>
        <bgColor indexed="64"/>
      </patternFill>
    </fill>
    <fill>
      <patternFill patternType="solid">
        <fgColor rgb="FF40A0A0"/>
        <bgColor indexed="64"/>
      </patternFill>
    </fill>
    <fill>
      <patternFill patternType="solid">
        <fgColor rgb="FF40A0C0"/>
        <bgColor indexed="64"/>
      </patternFill>
    </fill>
    <fill>
      <patternFill patternType="solid">
        <fgColor rgb="FF40A0E0"/>
        <bgColor indexed="64"/>
      </patternFill>
    </fill>
    <fill>
      <patternFill patternType="solid">
        <fgColor rgb="FF40A0FF"/>
        <bgColor indexed="64"/>
      </patternFill>
    </fill>
    <fill>
      <patternFill patternType="solid">
        <fgColor rgb="FFB4BCC0"/>
        <bgColor indexed="64"/>
      </patternFill>
    </fill>
    <fill>
      <patternFill patternType="solid">
        <fgColor rgb="FFCDCD00"/>
        <bgColor indexed="64"/>
      </patternFill>
    </fill>
    <fill>
      <patternFill patternType="solid">
        <fgColor rgb="FFFFFAF0"/>
        <bgColor indexed="64"/>
      </patternFill>
    </fill>
    <fill>
      <patternFill patternType="solid">
        <fgColor rgb="FF40C000"/>
        <bgColor indexed="64"/>
      </patternFill>
    </fill>
    <fill>
      <patternFill patternType="solid">
        <fgColor rgb="FF40C020"/>
        <bgColor indexed="64"/>
      </patternFill>
    </fill>
    <fill>
      <patternFill patternType="solid">
        <fgColor rgb="FF40C040"/>
        <bgColor indexed="64"/>
      </patternFill>
    </fill>
    <fill>
      <patternFill patternType="solid">
        <fgColor rgb="FF40C060"/>
        <bgColor indexed="64"/>
      </patternFill>
    </fill>
    <fill>
      <patternFill patternType="solid">
        <fgColor rgb="FF40C080"/>
        <bgColor indexed="64"/>
      </patternFill>
    </fill>
    <fill>
      <patternFill patternType="solid">
        <fgColor rgb="FF40C0A0"/>
        <bgColor indexed="64"/>
      </patternFill>
    </fill>
    <fill>
      <patternFill patternType="solid">
        <fgColor rgb="FF40C0C0"/>
        <bgColor indexed="64"/>
      </patternFill>
    </fill>
    <fill>
      <patternFill patternType="solid">
        <fgColor rgb="FF40C0E0"/>
        <bgColor indexed="64"/>
      </patternFill>
    </fill>
    <fill>
      <patternFill patternType="solid">
        <fgColor rgb="FF40C0FF"/>
        <bgColor indexed="64"/>
      </patternFill>
    </fill>
    <fill>
      <patternFill patternType="solid">
        <fgColor rgb="FF74D0F1"/>
        <bgColor indexed="64"/>
      </patternFill>
    </fill>
    <fill>
      <patternFill patternType="solid">
        <fgColor rgb="FF8B8B83"/>
        <bgColor indexed="64"/>
      </patternFill>
    </fill>
    <fill>
      <patternFill patternType="solid">
        <fgColor rgb="FFFCD21C"/>
        <bgColor indexed="64"/>
      </patternFill>
    </fill>
    <fill>
      <patternFill patternType="solid">
        <fgColor rgb="FF40E000"/>
        <bgColor indexed="64"/>
      </patternFill>
    </fill>
    <fill>
      <patternFill patternType="solid">
        <fgColor rgb="FF40E020"/>
        <bgColor indexed="64"/>
      </patternFill>
    </fill>
    <fill>
      <patternFill patternType="solid">
        <fgColor rgb="FF40E040"/>
        <bgColor indexed="64"/>
      </patternFill>
    </fill>
    <fill>
      <patternFill patternType="solid">
        <fgColor rgb="FF40E060"/>
        <bgColor indexed="64"/>
      </patternFill>
    </fill>
    <fill>
      <patternFill patternType="solid">
        <fgColor rgb="FF40E080"/>
        <bgColor indexed="64"/>
      </patternFill>
    </fill>
    <fill>
      <patternFill patternType="solid">
        <fgColor rgb="FF40E0A0"/>
        <bgColor indexed="64"/>
      </patternFill>
    </fill>
    <fill>
      <patternFill patternType="solid">
        <fgColor rgb="FF40E0C0"/>
        <bgColor indexed="64"/>
      </patternFill>
    </fill>
    <fill>
      <patternFill patternType="solid">
        <fgColor rgb="FF40E0E0"/>
        <bgColor indexed="64"/>
      </patternFill>
    </fill>
    <fill>
      <patternFill patternType="solid">
        <fgColor rgb="FF40E0FF"/>
        <bgColor indexed="64"/>
      </patternFill>
    </fill>
    <fill>
      <patternFill patternType="solid">
        <fgColor rgb="FF87CEEB"/>
        <bgColor indexed="64"/>
      </patternFill>
    </fill>
    <fill>
      <patternFill patternType="solid">
        <fgColor rgb="FF848482"/>
        <bgColor indexed="64"/>
      </patternFill>
    </fill>
    <fill>
      <patternFill patternType="solid">
        <fgColor rgb="FFE2BC74"/>
        <bgColor indexed="64"/>
      </patternFill>
    </fill>
    <fill>
      <patternFill patternType="solid">
        <fgColor rgb="FF40FF00"/>
        <bgColor indexed="64"/>
      </patternFill>
    </fill>
    <fill>
      <patternFill patternType="solid">
        <fgColor rgb="FF40FF20"/>
        <bgColor indexed="64"/>
      </patternFill>
    </fill>
    <fill>
      <patternFill patternType="solid">
        <fgColor rgb="FF40FF40"/>
        <bgColor indexed="64"/>
      </patternFill>
    </fill>
    <fill>
      <patternFill patternType="solid">
        <fgColor rgb="FF40FF60"/>
        <bgColor indexed="64"/>
      </patternFill>
    </fill>
    <fill>
      <patternFill patternType="solid">
        <fgColor rgb="FF40FF80"/>
        <bgColor indexed="64"/>
      </patternFill>
    </fill>
    <fill>
      <patternFill patternType="solid">
        <fgColor rgb="FF40FFA0"/>
        <bgColor indexed="64"/>
      </patternFill>
    </fill>
    <fill>
      <patternFill patternType="solid">
        <fgColor rgb="FF40FFC0"/>
        <bgColor indexed="64"/>
      </patternFill>
    </fill>
    <fill>
      <patternFill patternType="solid">
        <fgColor rgb="FF40FFE0"/>
        <bgColor indexed="64"/>
      </patternFill>
    </fill>
    <fill>
      <patternFill patternType="solid">
        <fgColor rgb="FF40FFFF"/>
        <bgColor indexed="64"/>
      </patternFill>
    </fill>
    <fill>
      <patternFill patternType="solid">
        <fgColor rgb="FFA4D3EE"/>
        <bgColor indexed="64"/>
      </patternFill>
    </fill>
    <fill>
      <patternFill patternType="solid">
        <fgColor rgb="FF8B8B7A"/>
        <bgColor indexed="64"/>
      </patternFill>
    </fill>
    <fill>
      <patternFill patternType="solid">
        <fgColor rgb="FFCDBA96"/>
        <bgColor indexed="64"/>
      </patternFill>
    </fill>
    <fill>
      <patternFill patternType="solid">
        <fgColor rgb="FF600000"/>
        <bgColor indexed="64"/>
      </patternFill>
    </fill>
    <fill>
      <patternFill patternType="solid">
        <fgColor rgb="FF600020"/>
        <bgColor indexed="64"/>
      </patternFill>
    </fill>
    <fill>
      <patternFill patternType="solid">
        <fgColor rgb="FF600040"/>
        <bgColor indexed="64"/>
      </patternFill>
    </fill>
    <fill>
      <patternFill patternType="solid">
        <fgColor rgb="FF600060"/>
        <bgColor indexed="64"/>
      </patternFill>
    </fill>
    <fill>
      <patternFill patternType="solid">
        <fgColor rgb="FF600080"/>
        <bgColor indexed="64"/>
      </patternFill>
    </fill>
    <fill>
      <patternFill patternType="solid">
        <fgColor rgb="FF6000A0"/>
        <bgColor indexed="64"/>
      </patternFill>
    </fill>
    <fill>
      <patternFill patternType="solid">
        <fgColor rgb="FF6000C0"/>
        <bgColor indexed="64"/>
      </patternFill>
    </fill>
    <fill>
      <patternFill patternType="solid">
        <fgColor rgb="FF6000E0"/>
        <bgColor indexed="64"/>
      </patternFill>
    </fill>
    <fill>
      <patternFill patternType="solid">
        <fgColor rgb="FF6000FF"/>
        <bgColor indexed="64"/>
      </patternFill>
    </fill>
    <fill>
      <patternFill patternType="solid">
        <fgColor rgb="FFBBD2E1"/>
        <bgColor indexed="64"/>
      </patternFill>
    </fill>
    <fill>
      <patternFill patternType="solid">
        <fgColor rgb="FF98943E"/>
        <bgColor indexed="64"/>
      </patternFill>
    </fill>
    <fill>
      <patternFill patternType="solid">
        <fgColor rgb="FFF3C300"/>
        <bgColor indexed="64"/>
      </patternFill>
    </fill>
    <fill>
      <patternFill patternType="solid">
        <fgColor rgb="FF602000"/>
        <bgColor indexed="64"/>
      </patternFill>
    </fill>
    <fill>
      <patternFill patternType="solid">
        <fgColor rgb="FF602020"/>
        <bgColor indexed="64"/>
      </patternFill>
    </fill>
    <fill>
      <patternFill patternType="solid">
        <fgColor rgb="FF602040"/>
        <bgColor indexed="64"/>
      </patternFill>
    </fill>
    <fill>
      <patternFill patternType="solid">
        <fgColor rgb="FF602060"/>
        <bgColor indexed="64"/>
      </patternFill>
    </fill>
    <fill>
      <patternFill patternType="solid">
        <fgColor rgb="FF602080"/>
        <bgColor indexed="64"/>
      </patternFill>
    </fill>
    <fill>
      <patternFill patternType="solid">
        <fgColor rgb="FF6020A0"/>
        <bgColor indexed="64"/>
      </patternFill>
    </fill>
    <fill>
      <patternFill patternType="solid">
        <fgColor rgb="FF6020C0"/>
        <bgColor indexed="64"/>
      </patternFill>
    </fill>
    <fill>
      <patternFill patternType="solid">
        <fgColor rgb="FF6020E0"/>
        <bgColor indexed="64"/>
      </patternFill>
    </fill>
    <fill>
      <patternFill patternType="solid">
        <fgColor rgb="FF6020FF"/>
        <bgColor indexed="64"/>
      </patternFill>
    </fill>
    <fill>
      <patternFill patternType="solid">
        <fgColor rgb="FFB0E2FF"/>
        <bgColor indexed="64"/>
      </patternFill>
    </fill>
    <fill>
      <patternFill patternType="solid">
        <fgColor rgb="FF8B8B00"/>
        <bgColor indexed="64"/>
      </patternFill>
    </fill>
    <fill>
      <patternFill patternType="solid">
        <fgColor rgb="FFF0C300"/>
        <bgColor indexed="64"/>
      </patternFill>
    </fill>
    <fill>
      <patternFill patternType="solid">
        <fgColor rgb="FF604000"/>
        <bgColor indexed="64"/>
      </patternFill>
    </fill>
    <fill>
      <patternFill patternType="solid">
        <fgColor rgb="FF604020"/>
        <bgColor indexed="64"/>
      </patternFill>
    </fill>
    <fill>
      <patternFill patternType="solid">
        <fgColor rgb="FF604040"/>
        <bgColor indexed="64"/>
      </patternFill>
    </fill>
    <fill>
      <patternFill patternType="solid">
        <fgColor rgb="FF604060"/>
        <bgColor indexed="64"/>
      </patternFill>
    </fill>
    <fill>
      <patternFill patternType="solid">
        <fgColor rgb="FF604080"/>
        <bgColor indexed="64"/>
      </patternFill>
    </fill>
    <fill>
      <patternFill patternType="solid">
        <fgColor rgb="FF6040A0"/>
        <bgColor indexed="64"/>
      </patternFill>
    </fill>
    <fill>
      <patternFill patternType="solid">
        <fgColor rgb="FF6040C0"/>
        <bgColor indexed="64"/>
      </patternFill>
    </fill>
    <fill>
      <patternFill patternType="solid">
        <fgColor rgb="FF6040E0"/>
        <bgColor indexed="64"/>
      </patternFill>
    </fill>
    <fill>
      <patternFill patternType="solid">
        <fgColor rgb="FF6040FF"/>
        <bgColor indexed="64"/>
      </patternFill>
    </fill>
    <fill>
      <patternFill patternType="solid">
        <fgColor rgb="FFDFF2FF"/>
        <bgColor indexed="64"/>
      </patternFill>
    </fill>
    <fill>
      <patternFill patternType="solid">
        <fgColor rgb="FF808000"/>
        <bgColor indexed="64"/>
      </patternFill>
    </fill>
    <fill>
      <patternFill patternType="solid">
        <fgColor rgb="FFBBAE98"/>
        <bgColor indexed="64"/>
      </patternFill>
    </fill>
    <fill>
      <patternFill patternType="solid">
        <fgColor rgb="FF606000"/>
        <bgColor indexed="64"/>
      </patternFill>
    </fill>
    <fill>
      <patternFill patternType="solid">
        <fgColor rgb="FF606020"/>
        <bgColor indexed="64"/>
      </patternFill>
    </fill>
    <fill>
      <patternFill patternType="solid">
        <fgColor rgb="FF606040"/>
        <bgColor indexed="64"/>
      </patternFill>
    </fill>
    <fill>
      <patternFill patternType="solid">
        <fgColor rgb="FF606060"/>
        <bgColor indexed="64"/>
      </patternFill>
    </fill>
    <fill>
      <patternFill patternType="solid">
        <fgColor rgb="FF606080"/>
        <bgColor indexed="64"/>
      </patternFill>
    </fill>
    <fill>
      <patternFill patternType="solid">
        <fgColor rgb="FF6060A0"/>
        <bgColor indexed="64"/>
      </patternFill>
    </fill>
    <fill>
      <patternFill patternType="solid">
        <fgColor rgb="FF6060C0"/>
        <bgColor indexed="64"/>
      </patternFill>
    </fill>
    <fill>
      <patternFill patternType="solid">
        <fgColor rgb="FF6060E0"/>
        <bgColor indexed="64"/>
      </patternFill>
    </fill>
    <fill>
      <patternFill patternType="solid">
        <fgColor rgb="FF6060FF"/>
        <bgColor indexed="64"/>
      </patternFill>
    </fill>
    <fill>
      <patternFill patternType="solid">
        <fgColor rgb="FF8DB6CD"/>
        <bgColor indexed="64"/>
      </patternFill>
    </fill>
    <fill>
      <patternFill patternType="solid">
        <fgColor rgb="FF4F4F2F"/>
        <bgColor indexed="64"/>
      </patternFill>
    </fill>
    <fill>
      <patternFill patternType="solid">
        <fgColor rgb="FFC8AD7F"/>
        <bgColor indexed="64"/>
      </patternFill>
    </fill>
    <fill>
      <patternFill patternType="solid">
        <fgColor rgb="FF608000"/>
        <bgColor indexed="64"/>
      </patternFill>
    </fill>
    <fill>
      <patternFill patternType="solid">
        <fgColor rgb="FF608020"/>
        <bgColor indexed="64"/>
      </patternFill>
    </fill>
    <fill>
      <patternFill patternType="solid">
        <fgColor rgb="FF608040"/>
        <bgColor indexed="64"/>
      </patternFill>
    </fill>
    <fill>
      <patternFill patternType="solid">
        <fgColor rgb="FF608060"/>
        <bgColor indexed="64"/>
      </patternFill>
    </fill>
    <fill>
      <patternFill patternType="solid">
        <fgColor rgb="FF608080"/>
        <bgColor indexed="64"/>
      </patternFill>
    </fill>
    <fill>
      <patternFill patternType="solid">
        <fgColor rgb="FF6080A0"/>
        <bgColor indexed="64"/>
      </patternFill>
    </fill>
    <fill>
      <patternFill patternType="solid">
        <fgColor rgb="FF6080C0"/>
        <bgColor indexed="64"/>
      </patternFill>
    </fill>
    <fill>
      <patternFill patternType="solid">
        <fgColor rgb="FF6080E0"/>
        <bgColor indexed="64"/>
      </patternFill>
    </fill>
    <fill>
      <patternFill patternType="solid">
        <fgColor rgb="FF6080FF"/>
        <bgColor indexed="64"/>
      </patternFill>
    </fill>
    <fill>
      <patternFill patternType="solid">
        <fgColor rgb="FF26C4EC"/>
        <bgColor indexed="64"/>
      </patternFill>
    </fill>
    <fill>
      <patternFill patternType="solid">
        <fgColor rgb="FFEDFF0C"/>
        <bgColor indexed="64"/>
      </patternFill>
    </fill>
    <fill>
      <patternFill patternType="solid">
        <fgColor rgb="FFDFAF2C"/>
        <bgColor indexed="64"/>
      </patternFill>
    </fill>
    <fill>
      <patternFill patternType="solid">
        <fgColor rgb="FF60A000"/>
        <bgColor indexed="64"/>
      </patternFill>
    </fill>
    <fill>
      <patternFill patternType="solid">
        <fgColor rgb="FF60A020"/>
        <bgColor indexed="64"/>
      </patternFill>
    </fill>
    <fill>
      <patternFill patternType="solid">
        <fgColor rgb="FF60A040"/>
        <bgColor indexed="64"/>
      </patternFill>
    </fill>
    <fill>
      <patternFill patternType="solid">
        <fgColor rgb="FF60A060"/>
        <bgColor indexed="64"/>
      </patternFill>
    </fill>
    <fill>
      <patternFill patternType="solid">
        <fgColor rgb="FF60A080"/>
        <bgColor indexed="64"/>
      </patternFill>
    </fill>
    <fill>
      <patternFill patternType="solid">
        <fgColor rgb="FF60A0A0"/>
        <bgColor indexed="64"/>
      </patternFill>
    </fill>
    <fill>
      <patternFill patternType="solid">
        <fgColor rgb="FF60A0C0"/>
        <bgColor indexed="64"/>
      </patternFill>
    </fill>
    <fill>
      <patternFill patternType="solid">
        <fgColor rgb="FF60A0E0"/>
        <bgColor indexed="64"/>
      </patternFill>
    </fill>
    <fill>
      <patternFill patternType="solid">
        <fgColor rgb="FF60A0FF"/>
        <bgColor indexed="64"/>
      </patternFill>
    </fill>
    <fill>
      <patternFill patternType="solid">
        <fgColor rgb="FF38B0DE"/>
        <bgColor indexed="64"/>
      </patternFill>
    </fill>
    <fill>
      <patternFill patternType="solid">
        <fgColor rgb="FFDADFB7"/>
        <bgColor indexed="64"/>
      </patternFill>
    </fill>
    <fill>
      <patternFill patternType="solid">
        <fgColor rgb="FFDAB30A"/>
        <bgColor indexed="64"/>
      </patternFill>
    </fill>
    <fill>
      <patternFill patternType="solid">
        <fgColor rgb="FF60C000"/>
        <bgColor indexed="64"/>
      </patternFill>
    </fill>
    <fill>
      <patternFill patternType="solid">
        <fgColor rgb="FF60C020"/>
        <bgColor indexed="64"/>
      </patternFill>
    </fill>
    <fill>
      <patternFill patternType="solid">
        <fgColor rgb="FF60C040"/>
        <bgColor indexed="64"/>
      </patternFill>
    </fill>
    <fill>
      <patternFill patternType="solid">
        <fgColor rgb="FF60C060"/>
        <bgColor indexed="64"/>
      </patternFill>
    </fill>
    <fill>
      <patternFill patternType="solid">
        <fgColor rgb="FF60C080"/>
        <bgColor indexed="64"/>
      </patternFill>
    </fill>
    <fill>
      <patternFill patternType="solid">
        <fgColor rgb="FF60C0A0"/>
        <bgColor indexed="64"/>
      </patternFill>
    </fill>
    <fill>
      <patternFill patternType="solid">
        <fgColor rgb="FF60C0C0"/>
        <bgColor indexed="64"/>
      </patternFill>
    </fill>
    <fill>
      <patternFill patternType="solid">
        <fgColor rgb="FF60C0E0"/>
        <bgColor indexed="64"/>
      </patternFill>
    </fill>
    <fill>
      <patternFill patternType="solid">
        <fgColor rgb="FF60C0FF"/>
        <bgColor indexed="64"/>
      </patternFill>
    </fill>
    <fill>
      <patternFill patternType="solid">
        <fgColor rgb="FF00A1C2"/>
        <bgColor indexed="64"/>
      </patternFill>
    </fill>
    <fill>
      <patternFill patternType="solid">
        <fgColor rgb="FFE7F00D"/>
        <bgColor indexed="64"/>
      </patternFill>
    </fill>
    <fill>
      <patternFill patternType="solid">
        <fgColor rgb="FFC9AE5D"/>
        <bgColor indexed="64"/>
      </patternFill>
    </fill>
    <fill>
      <patternFill patternType="solid">
        <fgColor rgb="FF60E000"/>
        <bgColor indexed="64"/>
      </patternFill>
    </fill>
    <fill>
      <patternFill patternType="solid">
        <fgColor rgb="FF60E020"/>
        <bgColor indexed="64"/>
      </patternFill>
    </fill>
    <fill>
      <patternFill patternType="solid">
        <fgColor rgb="FF60E040"/>
        <bgColor indexed="64"/>
      </patternFill>
    </fill>
    <fill>
      <patternFill patternType="solid">
        <fgColor rgb="FF60E060"/>
        <bgColor indexed="64"/>
      </patternFill>
    </fill>
    <fill>
      <patternFill patternType="solid">
        <fgColor rgb="FF60E080"/>
        <bgColor indexed="64"/>
      </patternFill>
    </fill>
    <fill>
      <patternFill patternType="solid">
        <fgColor rgb="FF60E0A0"/>
        <bgColor indexed="64"/>
      </patternFill>
    </fill>
    <fill>
      <patternFill patternType="solid">
        <fgColor rgb="FF60E0C0"/>
        <bgColor indexed="64"/>
      </patternFill>
    </fill>
    <fill>
      <patternFill patternType="solid">
        <fgColor rgb="FF60E0E0"/>
        <bgColor indexed="64"/>
      </patternFill>
    </fill>
    <fill>
      <patternFill patternType="solid">
        <fgColor rgb="FF60E0FF"/>
        <bgColor indexed="64"/>
      </patternFill>
    </fill>
    <fill>
      <patternFill patternType="solid">
        <fgColor rgb="FF81878B"/>
        <bgColor indexed="64"/>
      </patternFill>
    </fill>
    <fill>
      <patternFill patternType="solid">
        <fgColor rgb="FFC7CF00"/>
        <bgColor indexed="64"/>
      </patternFill>
    </fill>
    <fill>
      <patternFill patternType="solid">
        <fgColor rgb="FFD4AF37"/>
        <bgColor indexed="64"/>
      </patternFill>
    </fill>
    <fill>
      <patternFill patternType="solid">
        <fgColor rgb="FF60FF00"/>
        <bgColor indexed="64"/>
      </patternFill>
    </fill>
    <fill>
      <patternFill patternType="solid">
        <fgColor rgb="FF60FF20"/>
        <bgColor indexed="64"/>
      </patternFill>
    </fill>
    <fill>
      <patternFill patternType="solid">
        <fgColor rgb="FF60FF40"/>
        <bgColor indexed="64"/>
      </patternFill>
    </fill>
    <fill>
      <patternFill patternType="solid">
        <fgColor rgb="FF60FF60"/>
        <bgColor indexed="64"/>
      </patternFill>
    </fill>
    <fill>
      <patternFill patternType="solid">
        <fgColor rgb="FF60FF80"/>
        <bgColor indexed="64"/>
      </patternFill>
    </fill>
    <fill>
      <patternFill patternType="solid">
        <fgColor rgb="FF60FFA0"/>
        <bgColor indexed="64"/>
      </patternFill>
    </fill>
    <fill>
      <patternFill patternType="solid">
        <fgColor rgb="FF60FFC0"/>
        <bgColor indexed="64"/>
      </patternFill>
    </fill>
    <fill>
      <patternFill patternType="solid">
        <fgColor rgb="FF60FFE0"/>
        <bgColor indexed="64"/>
      </patternFill>
    </fill>
    <fill>
      <patternFill patternType="solid">
        <fgColor rgb="FF60FFFF"/>
        <bgColor indexed="64"/>
      </patternFill>
    </fill>
    <fill>
      <patternFill patternType="solid">
        <fgColor rgb="FF607B8B"/>
        <bgColor indexed="64"/>
      </patternFill>
    </fill>
    <fill>
      <patternFill patternType="solid">
        <fgColor rgb="FFCDC9A5"/>
        <bgColor indexed="64"/>
      </patternFill>
    </fill>
    <fill>
      <patternFill patternType="solid">
        <fgColor rgb="FFBA9B61"/>
        <bgColor indexed="64"/>
      </patternFill>
    </fill>
    <fill>
      <patternFill patternType="solid">
        <fgColor rgb="FF800020"/>
        <bgColor indexed="64"/>
      </patternFill>
    </fill>
    <fill>
      <patternFill patternType="solid">
        <fgColor rgb="FF800040"/>
        <bgColor indexed="64"/>
      </patternFill>
    </fill>
    <fill>
      <patternFill patternType="solid">
        <fgColor rgb="FF800060"/>
        <bgColor indexed="64"/>
      </patternFill>
    </fill>
    <fill>
      <patternFill patternType="solid">
        <fgColor rgb="FF800080"/>
        <bgColor indexed="64"/>
      </patternFill>
    </fill>
    <fill>
      <patternFill patternType="solid">
        <fgColor rgb="FF8000A0"/>
        <bgColor indexed="64"/>
      </patternFill>
    </fill>
    <fill>
      <patternFill patternType="solid">
        <fgColor rgb="FF8000C0"/>
        <bgColor indexed="64"/>
      </patternFill>
    </fill>
    <fill>
      <patternFill patternType="solid">
        <fgColor rgb="FF8000E0"/>
        <bgColor indexed="64"/>
      </patternFill>
    </fill>
    <fill>
      <patternFill patternType="solid">
        <fgColor rgb="FF8000FF"/>
        <bgColor indexed="64"/>
      </patternFill>
    </fill>
    <fill>
      <patternFill patternType="solid">
        <fgColor rgb="FF0085A1"/>
        <bgColor indexed="64"/>
      </patternFill>
    </fill>
    <fill>
      <patternFill patternType="solid">
        <fgColor rgb="FFF0E36B"/>
        <bgColor indexed="64"/>
      </patternFill>
    </fill>
    <fill>
      <patternFill patternType="solid">
        <fgColor rgb="FFA89874"/>
        <bgColor indexed="64"/>
      </patternFill>
    </fill>
    <fill>
      <patternFill patternType="solid">
        <fgColor rgb="FF802000"/>
        <bgColor indexed="64"/>
      </patternFill>
    </fill>
    <fill>
      <patternFill patternType="solid">
        <fgColor rgb="FF802020"/>
        <bgColor indexed="64"/>
      </patternFill>
    </fill>
    <fill>
      <patternFill patternType="solid">
        <fgColor rgb="FF802040"/>
        <bgColor indexed="64"/>
      </patternFill>
    </fill>
    <fill>
      <patternFill patternType="solid">
        <fgColor rgb="FF802060"/>
        <bgColor indexed="64"/>
      </patternFill>
    </fill>
    <fill>
      <patternFill patternType="solid">
        <fgColor rgb="FF802080"/>
        <bgColor indexed="64"/>
      </patternFill>
    </fill>
    <fill>
      <patternFill patternType="solid">
        <fgColor rgb="FF8020A0"/>
        <bgColor indexed="64"/>
      </patternFill>
    </fill>
    <fill>
      <patternFill patternType="solid">
        <fgColor rgb="FF8020C0"/>
        <bgColor indexed="64"/>
      </patternFill>
    </fill>
    <fill>
      <patternFill patternType="solid">
        <fgColor rgb="FF8020E0"/>
        <bgColor indexed="64"/>
      </patternFill>
    </fill>
    <fill>
      <patternFill patternType="solid">
        <fgColor rgb="FF8020FF"/>
        <bgColor indexed="64"/>
      </patternFill>
    </fill>
    <fill>
      <patternFill patternType="solid">
        <fgColor rgb="FF007791"/>
        <bgColor indexed="64"/>
      </patternFill>
    </fill>
    <fill>
      <patternFill patternType="solid">
        <fgColor rgb="FFF7E35F"/>
        <bgColor indexed="64"/>
      </patternFill>
    </fill>
    <fill>
      <patternFill patternType="solid">
        <fgColor rgb="FFA18F60"/>
        <bgColor indexed="64"/>
      </patternFill>
    </fill>
    <fill>
      <patternFill patternType="solid">
        <fgColor rgb="FF804000"/>
        <bgColor indexed="64"/>
      </patternFill>
    </fill>
    <fill>
      <patternFill patternType="solid">
        <fgColor rgb="FF804020"/>
        <bgColor indexed="64"/>
      </patternFill>
    </fill>
    <fill>
      <patternFill patternType="solid">
        <fgColor rgb="FF804040"/>
        <bgColor indexed="64"/>
      </patternFill>
    </fill>
    <fill>
      <patternFill patternType="solid">
        <fgColor rgb="FF804060"/>
        <bgColor indexed="64"/>
      </patternFill>
    </fill>
    <fill>
      <patternFill patternType="solid">
        <fgColor rgb="FF804080"/>
        <bgColor indexed="64"/>
      </patternFill>
    </fill>
    <fill>
      <patternFill patternType="solid">
        <fgColor rgb="FF8040A0"/>
        <bgColor indexed="64"/>
      </patternFill>
    </fill>
    <fill>
      <patternFill patternType="solid">
        <fgColor rgb="FF8040C0"/>
        <bgColor indexed="64"/>
      </patternFill>
    </fill>
    <fill>
      <patternFill patternType="solid">
        <fgColor rgb="FF8040E0"/>
        <bgColor indexed="64"/>
      </patternFill>
    </fill>
    <fill>
      <patternFill patternType="solid">
        <fgColor rgb="FF8040FF"/>
        <bgColor indexed="64"/>
      </patternFill>
    </fill>
    <fill>
      <patternFill patternType="solid">
        <fgColor rgb="FF067790"/>
        <bgColor indexed="64"/>
      </patternFill>
    </fill>
    <fill>
      <patternFill patternType="solid">
        <fgColor rgb="FFCDC8B1"/>
        <bgColor indexed="64"/>
      </patternFill>
    </fill>
    <fill>
      <patternFill patternType="solid">
        <fgColor rgb="FFAB9144"/>
        <bgColor indexed="64"/>
      </patternFill>
    </fill>
    <fill>
      <patternFill patternType="solid">
        <fgColor rgb="FF806000"/>
        <bgColor indexed="64"/>
      </patternFill>
    </fill>
    <fill>
      <patternFill patternType="solid">
        <fgColor rgb="FF806020"/>
        <bgColor indexed="64"/>
      </patternFill>
    </fill>
    <fill>
      <patternFill patternType="solid">
        <fgColor rgb="FF806040"/>
        <bgColor indexed="64"/>
      </patternFill>
    </fill>
    <fill>
      <patternFill patternType="solid">
        <fgColor rgb="FF806060"/>
        <bgColor indexed="64"/>
      </patternFill>
    </fill>
    <fill>
      <patternFill patternType="solid">
        <fgColor rgb="FF806080"/>
        <bgColor indexed="64"/>
      </patternFill>
    </fill>
    <fill>
      <patternFill patternType="solid">
        <fgColor rgb="FF8060A0"/>
        <bgColor indexed="64"/>
      </patternFill>
    </fill>
    <fill>
      <patternFill patternType="solid">
        <fgColor rgb="FF8060C0"/>
        <bgColor indexed="64"/>
      </patternFill>
    </fill>
    <fill>
      <patternFill patternType="solid">
        <fgColor rgb="FF8060E0"/>
        <bgColor indexed="64"/>
      </patternFill>
    </fill>
    <fill>
      <patternFill patternType="solid">
        <fgColor rgb="FF8060FF"/>
        <bgColor indexed="64"/>
      </patternFill>
    </fill>
    <fill>
      <patternFill patternType="solid">
        <fgColor rgb="FF002E3B"/>
        <bgColor indexed="64"/>
      </patternFill>
    </fill>
    <fill>
      <patternFill patternType="solid">
        <fgColor rgb="FFEEE685"/>
        <bgColor indexed="64"/>
      </patternFill>
    </fill>
    <fill>
      <patternFill patternType="solid">
        <fgColor rgb="FF8B8378"/>
        <bgColor indexed="64"/>
      </patternFill>
    </fill>
    <fill>
      <patternFill patternType="solid">
        <fgColor rgb="FF808020"/>
        <bgColor indexed="64"/>
      </patternFill>
    </fill>
    <fill>
      <patternFill patternType="solid">
        <fgColor rgb="FF808040"/>
        <bgColor indexed="64"/>
      </patternFill>
    </fill>
    <fill>
      <patternFill patternType="solid">
        <fgColor rgb="FF808060"/>
        <bgColor indexed="64"/>
      </patternFill>
    </fill>
    <fill>
      <patternFill patternType="solid">
        <fgColor rgb="FF8080A0"/>
        <bgColor indexed="64"/>
      </patternFill>
    </fill>
    <fill>
      <patternFill patternType="solid">
        <fgColor rgb="FF8080C0"/>
        <bgColor indexed="64"/>
      </patternFill>
    </fill>
    <fill>
      <patternFill patternType="solid">
        <fgColor rgb="FF8080E0"/>
        <bgColor indexed="64"/>
      </patternFill>
    </fill>
    <fill>
      <patternFill patternType="solid">
        <fgColor rgb="FF8080FF"/>
        <bgColor indexed="64"/>
      </patternFill>
    </fill>
    <fill>
      <patternFill patternType="solid">
        <fgColor rgb="FFFAEA73"/>
        <bgColor indexed="64"/>
      </patternFill>
    </fill>
    <fill>
      <patternFill patternType="solid">
        <fgColor rgb="FFAF8D13"/>
        <bgColor indexed="64"/>
      </patternFill>
    </fill>
    <fill>
      <patternFill patternType="solid">
        <fgColor rgb="FF80A000"/>
        <bgColor indexed="64"/>
      </patternFill>
    </fill>
    <fill>
      <patternFill patternType="solid">
        <fgColor rgb="FF80A020"/>
        <bgColor indexed="64"/>
      </patternFill>
    </fill>
    <fill>
      <patternFill patternType="solid">
        <fgColor rgb="FF80A040"/>
        <bgColor indexed="64"/>
      </patternFill>
    </fill>
    <fill>
      <patternFill patternType="solid">
        <fgColor rgb="FF80A060"/>
        <bgColor indexed="64"/>
      </patternFill>
    </fill>
    <fill>
      <patternFill patternType="solid">
        <fgColor rgb="FF80A080"/>
        <bgColor indexed="64"/>
      </patternFill>
    </fill>
    <fill>
      <patternFill patternType="solid">
        <fgColor rgb="FF80A0A0"/>
        <bgColor indexed="64"/>
      </patternFill>
    </fill>
    <fill>
      <patternFill patternType="solid">
        <fgColor rgb="FF80A0C0"/>
        <bgColor indexed="64"/>
      </patternFill>
    </fill>
    <fill>
      <patternFill patternType="solid">
        <fgColor rgb="FF80A0E0"/>
        <bgColor indexed="64"/>
      </patternFill>
    </fill>
    <fill>
      <patternFill patternType="solid">
        <fgColor rgb="FF80A0FF"/>
        <bgColor indexed="64"/>
      </patternFill>
    </fill>
    <fill>
      <patternFill patternType="solid">
        <fgColor rgb="FFF0E68C"/>
        <bgColor indexed="64"/>
      </patternFill>
    </fill>
    <fill>
      <patternFill patternType="solid">
        <fgColor rgb="FF8B7E66"/>
        <bgColor indexed="64"/>
      </patternFill>
    </fill>
    <fill>
      <patternFill patternType="solid">
        <fgColor rgb="FF80C000"/>
        <bgColor indexed="64"/>
      </patternFill>
    </fill>
    <fill>
      <patternFill patternType="solid">
        <fgColor rgb="FF80C020"/>
        <bgColor indexed="64"/>
      </patternFill>
    </fill>
    <fill>
      <patternFill patternType="solid">
        <fgColor rgb="FF80C040"/>
        <bgColor indexed="64"/>
      </patternFill>
    </fill>
    <fill>
      <patternFill patternType="solid">
        <fgColor rgb="FF80C060"/>
        <bgColor indexed="64"/>
      </patternFill>
    </fill>
    <fill>
      <patternFill patternType="solid">
        <fgColor rgb="FF80C080"/>
        <bgColor indexed="64"/>
      </patternFill>
    </fill>
    <fill>
      <patternFill patternType="solid">
        <fgColor rgb="FF80C0A0"/>
        <bgColor indexed="64"/>
      </patternFill>
    </fill>
    <fill>
      <patternFill patternType="solid">
        <fgColor rgb="FF80C0C0"/>
        <bgColor indexed="64"/>
      </patternFill>
    </fill>
    <fill>
      <patternFill patternType="solid">
        <fgColor rgb="FF80C0E0"/>
        <bgColor indexed="64"/>
      </patternFill>
    </fill>
    <fill>
      <patternFill patternType="solid">
        <fgColor rgb="FF80C0FF"/>
        <bgColor indexed="64"/>
      </patternFill>
    </fill>
    <fill>
      <patternFill patternType="solid">
        <fgColor rgb="FF4D4DFF"/>
        <bgColor indexed="64"/>
      </patternFill>
    </fill>
    <fill>
      <patternFill patternType="solid">
        <fgColor rgb="FFEEE8AA"/>
        <bgColor indexed="64"/>
      </patternFill>
    </fill>
    <fill>
      <patternFill patternType="solid">
        <fgColor rgb="FF8C7853"/>
        <bgColor indexed="64"/>
      </patternFill>
    </fill>
    <fill>
      <patternFill patternType="solid">
        <fgColor rgb="FF80E000"/>
        <bgColor indexed="64"/>
      </patternFill>
    </fill>
    <fill>
      <patternFill patternType="solid">
        <fgColor rgb="FF80E020"/>
        <bgColor indexed="64"/>
      </patternFill>
    </fill>
    <fill>
      <patternFill patternType="solid">
        <fgColor rgb="FF80E040"/>
        <bgColor indexed="64"/>
      </patternFill>
    </fill>
    <fill>
      <patternFill patternType="solid">
        <fgColor rgb="FF80E060"/>
        <bgColor indexed="64"/>
      </patternFill>
    </fill>
    <fill>
      <patternFill patternType="solid">
        <fgColor rgb="FF80E080"/>
        <bgColor indexed="64"/>
      </patternFill>
    </fill>
    <fill>
      <patternFill patternType="solid">
        <fgColor rgb="FF80E0A0"/>
        <bgColor indexed="64"/>
      </patternFill>
    </fill>
    <fill>
      <patternFill patternType="solid">
        <fgColor rgb="FF80E0C0"/>
        <bgColor indexed="64"/>
      </patternFill>
    </fill>
    <fill>
      <patternFill patternType="solid">
        <fgColor rgb="FF80E0E0"/>
        <bgColor indexed="64"/>
      </patternFill>
    </fill>
    <fill>
      <patternFill patternType="solid">
        <fgColor rgb="FF80E0FF"/>
        <bgColor indexed="64"/>
      </patternFill>
    </fill>
    <fill>
      <patternFill patternType="solid">
        <fgColor rgb="FFC4C3DD"/>
        <bgColor indexed="64"/>
      </patternFill>
    </fill>
    <fill>
      <patternFill patternType="solid">
        <fgColor rgb="FFFFF48D"/>
        <bgColor indexed="64"/>
      </patternFill>
    </fill>
    <fill>
      <patternFill patternType="solid">
        <fgColor rgb="FF766F64"/>
        <bgColor indexed="64"/>
      </patternFill>
    </fill>
    <fill>
      <patternFill patternType="solid">
        <fgColor rgb="FF80FF00"/>
        <bgColor indexed="64"/>
      </patternFill>
    </fill>
    <fill>
      <patternFill patternType="solid">
        <fgColor rgb="FF80FF20"/>
        <bgColor indexed="64"/>
      </patternFill>
    </fill>
    <fill>
      <patternFill patternType="solid">
        <fgColor rgb="FF80FF40"/>
        <bgColor indexed="64"/>
      </patternFill>
    </fill>
    <fill>
      <patternFill patternType="solid">
        <fgColor rgb="FF80FF60"/>
        <bgColor indexed="64"/>
      </patternFill>
    </fill>
    <fill>
      <patternFill patternType="solid">
        <fgColor rgb="FF80FF80"/>
        <bgColor indexed="64"/>
      </patternFill>
    </fill>
    <fill>
      <patternFill patternType="solid">
        <fgColor rgb="FF80FFA0"/>
        <bgColor indexed="64"/>
      </patternFill>
    </fill>
    <fill>
      <patternFill patternType="solid">
        <fgColor rgb="FF80FFC0"/>
        <bgColor indexed="64"/>
      </patternFill>
    </fill>
    <fill>
      <patternFill patternType="solid">
        <fgColor rgb="FF80FFE0"/>
        <bgColor indexed="64"/>
      </patternFill>
    </fill>
    <fill>
      <patternFill patternType="solid">
        <fgColor rgb="FF80FFFF"/>
        <bgColor indexed="64"/>
      </patternFill>
    </fill>
    <fill>
      <patternFill patternType="solid">
        <fgColor rgb="FFD9D9F3"/>
        <bgColor indexed="64"/>
      </patternFill>
    </fill>
    <fill>
      <patternFill patternType="solid">
        <fgColor rgb="FFFFF68F"/>
        <bgColor indexed="64"/>
      </patternFill>
    </fill>
    <fill>
      <patternFill patternType="solid">
        <fgColor rgb="FF6B5731"/>
        <bgColor indexed="64"/>
      </patternFill>
    </fill>
    <fill>
      <patternFill patternType="solid">
        <fgColor rgb="FFA00000"/>
        <bgColor indexed="64"/>
      </patternFill>
    </fill>
    <fill>
      <patternFill patternType="solid">
        <fgColor rgb="FFA00020"/>
        <bgColor indexed="64"/>
      </patternFill>
    </fill>
    <fill>
      <patternFill patternType="solid">
        <fgColor rgb="FFA00040"/>
        <bgColor indexed="64"/>
      </patternFill>
    </fill>
    <fill>
      <patternFill patternType="solid">
        <fgColor rgb="FFA00060"/>
        <bgColor indexed="64"/>
      </patternFill>
    </fill>
    <fill>
      <patternFill patternType="solid">
        <fgColor rgb="FFA00080"/>
        <bgColor indexed="64"/>
      </patternFill>
    </fill>
    <fill>
      <patternFill patternType="solid">
        <fgColor rgb="FFA000A0"/>
        <bgColor indexed="64"/>
      </patternFill>
    </fill>
    <fill>
      <patternFill patternType="solid">
        <fgColor rgb="FFA000C0"/>
        <bgColor indexed="64"/>
      </patternFill>
    </fill>
    <fill>
      <patternFill patternType="solid">
        <fgColor rgb="FFA000E0"/>
        <bgColor indexed="64"/>
      </patternFill>
    </fill>
    <fill>
      <patternFill patternType="solid">
        <fgColor rgb="FFA000FF"/>
        <bgColor indexed="64"/>
      </patternFill>
    </fill>
    <fill>
      <patternFill patternType="solid">
        <fgColor rgb="FFEEE9BF"/>
        <bgColor indexed="64"/>
      </patternFill>
    </fill>
    <fill>
      <patternFill patternType="solid">
        <fgColor rgb="FF614E1A"/>
        <bgColor indexed="64"/>
      </patternFill>
    </fill>
    <fill>
      <patternFill patternType="solid">
        <fgColor rgb="FFA02000"/>
        <bgColor indexed="64"/>
      </patternFill>
    </fill>
    <fill>
      <patternFill patternType="solid">
        <fgColor rgb="FFA02020"/>
        <bgColor indexed="64"/>
      </patternFill>
    </fill>
    <fill>
      <patternFill patternType="solid">
        <fgColor rgb="FFA02040"/>
        <bgColor indexed="64"/>
      </patternFill>
    </fill>
    <fill>
      <patternFill patternType="solid">
        <fgColor rgb="FFA02060"/>
        <bgColor indexed="64"/>
      </patternFill>
    </fill>
    <fill>
      <patternFill patternType="solid">
        <fgColor rgb="FFA02080"/>
        <bgColor indexed="64"/>
      </patternFill>
    </fill>
    <fill>
      <patternFill patternType="solid">
        <fgColor rgb="FFA020A0"/>
        <bgColor indexed="64"/>
      </patternFill>
    </fill>
    <fill>
      <patternFill patternType="solid">
        <fgColor rgb="FFA020C0"/>
        <bgColor indexed="64"/>
      </patternFill>
    </fill>
    <fill>
      <patternFill patternType="solid">
        <fgColor rgb="FFA020E0"/>
        <bgColor indexed="64"/>
      </patternFill>
    </fill>
    <fill>
      <patternFill patternType="solid">
        <fgColor rgb="FFA020FF"/>
        <bgColor indexed="64"/>
      </patternFill>
    </fill>
    <fill>
      <patternFill patternType="solid">
        <fgColor rgb="FFE9E9ED"/>
        <bgColor indexed="64"/>
      </patternFill>
    </fill>
    <fill>
      <patternFill patternType="solid">
        <fgColor rgb="FFFBF2B7"/>
        <bgColor indexed="64"/>
      </patternFill>
    </fill>
    <fill>
      <patternFill patternType="solid">
        <fgColor rgb="FF463F32"/>
        <bgColor indexed="64"/>
      </patternFill>
    </fill>
    <fill>
      <patternFill patternType="solid">
        <fgColor rgb="FFA04000"/>
        <bgColor indexed="64"/>
      </patternFill>
    </fill>
    <fill>
      <patternFill patternType="solid">
        <fgColor rgb="FFA04020"/>
        <bgColor indexed="64"/>
      </patternFill>
    </fill>
    <fill>
      <patternFill patternType="solid">
        <fgColor rgb="FFA04040"/>
        <bgColor indexed="64"/>
      </patternFill>
    </fill>
    <fill>
      <patternFill patternType="solid">
        <fgColor rgb="FFA04060"/>
        <bgColor indexed="64"/>
      </patternFill>
    </fill>
    <fill>
      <patternFill patternType="solid">
        <fgColor rgb="FFA04080"/>
        <bgColor indexed="64"/>
      </patternFill>
    </fill>
    <fill>
      <patternFill patternType="solid">
        <fgColor rgb="FFA040A0"/>
        <bgColor indexed="64"/>
      </patternFill>
    </fill>
    <fill>
      <patternFill patternType="solid">
        <fgColor rgb="FFA040C0"/>
        <bgColor indexed="64"/>
      </patternFill>
    </fill>
    <fill>
      <patternFill patternType="solid">
        <fgColor rgb="FFA040E0"/>
        <bgColor indexed="64"/>
      </patternFill>
    </fill>
    <fill>
      <patternFill patternType="solid">
        <fgColor rgb="FFA040FF"/>
        <bgColor indexed="64"/>
      </patternFill>
    </fill>
    <fill>
      <patternFill patternType="solid">
        <fgColor rgb="FFE6E6FA"/>
        <bgColor indexed="64"/>
      </patternFill>
    </fill>
    <fill>
      <patternFill patternType="solid">
        <fgColor rgb="FFFDF1B8"/>
        <bgColor indexed="64"/>
      </patternFill>
    </fill>
    <fill>
      <patternFill patternType="solid">
        <fgColor rgb="FF292107"/>
        <bgColor indexed="64"/>
      </patternFill>
    </fill>
    <fill>
      <patternFill patternType="solid">
        <fgColor rgb="FFA06000"/>
        <bgColor indexed="64"/>
      </patternFill>
    </fill>
    <fill>
      <patternFill patternType="solid">
        <fgColor rgb="FFA06020"/>
        <bgColor indexed="64"/>
      </patternFill>
    </fill>
    <fill>
      <patternFill patternType="solid">
        <fgColor rgb="FFA06040"/>
        <bgColor indexed="64"/>
      </patternFill>
    </fill>
    <fill>
      <patternFill patternType="solid">
        <fgColor rgb="FFA06060"/>
        <bgColor indexed="64"/>
      </patternFill>
    </fill>
    <fill>
      <patternFill patternType="solid">
        <fgColor rgb="FFA06080"/>
        <bgColor indexed="64"/>
      </patternFill>
    </fill>
    <fill>
      <patternFill patternType="solid">
        <fgColor rgb="FFA060A0"/>
        <bgColor indexed="64"/>
      </patternFill>
    </fill>
    <fill>
      <patternFill patternType="solid">
        <fgColor rgb="FFA060C0"/>
        <bgColor indexed="64"/>
      </patternFill>
    </fill>
    <fill>
      <patternFill patternType="solid">
        <fgColor rgb="FFA060E0"/>
        <bgColor indexed="64"/>
      </patternFill>
    </fill>
    <fill>
      <patternFill patternType="solid">
        <fgColor rgb="FFA060FF"/>
        <bgColor indexed="64"/>
      </patternFill>
    </fill>
    <fill>
      <patternFill patternType="solid">
        <fgColor rgb="FFF8F8FF"/>
        <bgColor indexed="64"/>
      </patternFill>
    </fill>
    <fill>
      <patternFill patternType="solid">
        <fgColor rgb="FFEEE8CD"/>
        <bgColor indexed="64"/>
      </patternFill>
    </fill>
    <fill>
      <patternFill patternType="solid">
        <fgColor rgb="FFFFA500"/>
        <bgColor indexed="64"/>
      </patternFill>
    </fill>
    <fill>
      <patternFill patternType="solid">
        <fgColor rgb="FFA08000"/>
        <bgColor indexed="64"/>
      </patternFill>
    </fill>
    <fill>
      <patternFill patternType="solid">
        <fgColor rgb="FFA08020"/>
        <bgColor indexed="64"/>
      </patternFill>
    </fill>
    <fill>
      <patternFill patternType="solid">
        <fgColor rgb="FFA08040"/>
        <bgColor indexed="64"/>
      </patternFill>
    </fill>
    <fill>
      <patternFill patternType="solid">
        <fgColor rgb="FFA08060"/>
        <bgColor indexed="64"/>
      </patternFill>
    </fill>
    <fill>
      <patternFill patternType="solid">
        <fgColor rgb="FFA08080"/>
        <bgColor indexed="64"/>
      </patternFill>
    </fill>
    <fill>
      <patternFill patternType="solid">
        <fgColor rgb="FFA080A0"/>
        <bgColor indexed="64"/>
      </patternFill>
    </fill>
    <fill>
      <patternFill patternType="solid">
        <fgColor rgb="FFA080C0"/>
        <bgColor indexed="64"/>
      </patternFill>
    </fill>
    <fill>
      <patternFill patternType="solid">
        <fgColor rgb="FFA080E0"/>
        <bgColor indexed="64"/>
      </patternFill>
    </fill>
    <fill>
      <patternFill patternType="solid">
        <fgColor rgb="FFA080FF"/>
        <bgColor indexed="64"/>
      </patternFill>
    </fill>
    <fill>
      <patternFill patternType="solid">
        <fgColor rgb="FF0000EE"/>
        <bgColor indexed="64"/>
      </patternFill>
    </fill>
    <fill>
      <patternFill patternType="solid">
        <fgColor rgb="FFFFFACD"/>
        <bgColor indexed="64"/>
      </patternFill>
    </fill>
    <fill>
      <patternFill patternType="solid">
        <fgColor rgb="FFF4A460"/>
        <bgColor indexed="64"/>
      </patternFill>
    </fill>
    <fill>
      <patternFill patternType="solid">
        <fgColor rgb="FFA0A000"/>
        <bgColor indexed="64"/>
      </patternFill>
    </fill>
    <fill>
      <patternFill patternType="solid">
        <fgColor rgb="FFA0A020"/>
        <bgColor indexed="64"/>
      </patternFill>
    </fill>
    <fill>
      <patternFill patternType="solid">
        <fgColor rgb="FFA0A040"/>
        <bgColor indexed="64"/>
      </patternFill>
    </fill>
    <fill>
      <patternFill patternType="solid">
        <fgColor rgb="FFA0A060"/>
        <bgColor indexed="64"/>
      </patternFill>
    </fill>
    <fill>
      <patternFill patternType="solid">
        <fgColor rgb="FFA0A080"/>
        <bgColor indexed="64"/>
      </patternFill>
    </fill>
    <fill>
      <patternFill patternType="solid">
        <fgColor rgb="FFA0A0A0"/>
        <bgColor indexed="64"/>
      </patternFill>
    </fill>
    <fill>
      <patternFill patternType="solid">
        <fgColor rgb="FFA0A0C0"/>
        <bgColor indexed="64"/>
      </patternFill>
    </fill>
    <fill>
      <patternFill patternType="solid">
        <fgColor rgb="FFA0A0E0"/>
        <bgColor indexed="64"/>
      </patternFill>
    </fill>
    <fill>
      <patternFill patternType="solid">
        <fgColor rgb="FFA0A0FF"/>
        <bgColor indexed="64"/>
      </patternFill>
    </fill>
    <fill>
      <patternFill patternType="solid">
        <fgColor rgb="FF6050DC"/>
        <bgColor indexed="64"/>
      </patternFill>
    </fill>
    <fill>
      <patternFill patternType="solid">
        <fgColor rgb="FFFEFDF0"/>
        <bgColor indexed="64"/>
      </patternFill>
    </fill>
    <fill>
      <patternFill patternType="solid">
        <fgColor rgb="FFFEA347"/>
        <bgColor indexed="64"/>
      </patternFill>
    </fill>
    <fill>
      <patternFill patternType="solid">
        <fgColor rgb="FFA0C000"/>
        <bgColor indexed="64"/>
      </patternFill>
    </fill>
    <fill>
      <patternFill patternType="solid">
        <fgColor rgb="FFA0C020"/>
        <bgColor indexed="64"/>
      </patternFill>
    </fill>
    <fill>
      <patternFill patternType="solid">
        <fgColor rgb="FFA0C040"/>
        <bgColor indexed="64"/>
      </patternFill>
    </fill>
    <fill>
      <patternFill patternType="solid">
        <fgColor rgb="FFA0C060"/>
        <bgColor indexed="64"/>
      </patternFill>
    </fill>
    <fill>
      <patternFill patternType="solid">
        <fgColor rgb="FFA0C080"/>
        <bgColor indexed="64"/>
      </patternFill>
    </fill>
    <fill>
      <patternFill patternType="solid">
        <fgColor rgb="FFA0C0A0"/>
        <bgColor indexed="64"/>
      </patternFill>
    </fill>
    <fill>
      <patternFill patternType="solid">
        <fgColor rgb="FFA0C0C0"/>
        <bgColor indexed="64"/>
      </patternFill>
    </fill>
    <fill>
      <patternFill patternType="solid">
        <fgColor rgb="FFA0C0E0"/>
        <bgColor indexed="64"/>
      </patternFill>
    </fill>
    <fill>
      <patternFill patternType="solid">
        <fgColor rgb="FFA0C0FF"/>
        <bgColor indexed="64"/>
      </patternFill>
    </fill>
    <fill>
      <patternFill patternType="solid">
        <fgColor rgb="FF0000CD"/>
        <bgColor indexed="64"/>
      </patternFill>
    </fill>
    <fill>
      <patternFill patternType="solid">
        <fgColor rgb="FFC1BFB1"/>
        <bgColor indexed="64"/>
      </patternFill>
    </fill>
    <fill>
      <patternFill patternType="solid">
        <fgColor rgb="FFFFA54F"/>
        <bgColor indexed="64"/>
      </patternFill>
    </fill>
    <fill>
      <patternFill patternType="solid">
        <fgColor rgb="FFA0E000"/>
        <bgColor indexed="64"/>
      </patternFill>
    </fill>
    <fill>
      <patternFill patternType="solid">
        <fgColor rgb="FFA0E020"/>
        <bgColor indexed="64"/>
      </patternFill>
    </fill>
    <fill>
      <patternFill patternType="solid">
        <fgColor rgb="FFA0E040"/>
        <bgColor indexed="64"/>
      </patternFill>
    </fill>
    <fill>
      <patternFill patternType="solid">
        <fgColor rgb="FFA0E060"/>
        <bgColor indexed="64"/>
      </patternFill>
    </fill>
    <fill>
      <patternFill patternType="solid">
        <fgColor rgb="FFA0E080"/>
        <bgColor indexed="64"/>
      </patternFill>
    </fill>
    <fill>
      <patternFill patternType="solid">
        <fgColor rgb="FFA0E0A0"/>
        <bgColor indexed="64"/>
      </patternFill>
    </fill>
    <fill>
      <patternFill patternType="solid">
        <fgColor rgb="FFA0E0C0"/>
        <bgColor indexed="64"/>
      </patternFill>
    </fill>
    <fill>
      <patternFill patternType="solid">
        <fgColor rgb="FFA0E0E0"/>
        <bgColor indexed="64"/>
      </patternFill>
    </fill>
    <fill>
      <patternFill patternType="solid">
        <fgColor rgb="FFA0E0FF"/>
        <bgColor indexed="64"/>
      </patternFill>
    </fill>
    <fill>
      <patternFill patternType="solid">
        <fgColor rgb="FF5959AB"/>
        <bgColor indexed="64"/>
      </patternFill>
    </fill>
    <fill>
      <patternFill patternType="solid">
        <fgColor rgb="FFEFD807"/>
        <bgColor indexed="64"/>
      </patternFill>
    </fill>
    <fill>
      <patternFill patternType="solid">
        <fgColor rgb="FFCDC5BF"/>
        <bgColor indexed="64"/>
      </patternFill>
    </fill>
    <fill>
      <patternFill patternType="solid">
        <fgColor rgb="FFA0FF00"/>
        <bgColor indexed="64"/>
      </patternFill>
    </fill>
    <fill>
      <patternFill patternType="solid">
        <fgColor rgb="FFA0FF20"/>
        <bgColor indexed="64"/>
      </patternFill>
    </fill>
    <fill>
      <patternFill patternType="solid">
        <fgColor rgb="FFA0FF40"/>
        <bgColor indexed="64"/>
      </patternFill>
    </fill>
    <fill>
      <patternFill patternType="solid">
        <fgColor rgb="FFA0FF60"/>
        <bgColor indexed="64"/>
      </patternFill>
    </fill>
    <fill>
      <patternFill patternType="solid">
        <fgColor rgb="FFA0FF80"/>
        <bgColor indexed="64"/>
      </patternFill>
    </fill>
    <fill>
      <patternFill patternType="solid">
        <fgColor rgb="FFA0FFA0"/>
        <bgColor indexed="64"/>
      </patternFill>
    </fill>
    <fill>
      <patternFill patternType="solid">
        <fgColor rgb="FFA0FFC0"/>
        <bgColor indexed="64"/>
      </patternFill>
    </fill>
    <fill>
      <patternFill patternType="solid">
        <fgColor rgb="FFA0FFE0"/>
        <bgColor indexed="64"/>
      </patternFill>
    </fill>
    <fill>
      <patternFill patternType="solid">
        <fgColor rgb="FFA0FFFF"/>
        <bgColor indexed="64"/>
      </patternFill>
    </fill>
    <fill>
      <patternFill patternType="solid">
        <fgColor rgb="FF545AA7"/>
        <bgColor indexed="64"/>
      </patternFill>
    </fill>
    <fill>
      <patternFill patternType="solid">
        <fgColor rgb="FFE8D630"/>
        <bgColor indexed="64"/>
      </patternFill>
    </fill>
    <fill>
      <patternFill patternType="solid">
        <fgColor rgb="FFFAB57F"/>
        <bgColor indexed="64"/>
      </patternFill>
    </fill>
    <fill>
      <patternFill patternType="solid">
        <fgColor rgb="FFC00020"/>
        <bgColor indexed="64"/>
      </patternFill>
    </fill>
    <fill>
      <patternFill patternType="solid">
        <fgColor rgb="FFC00040"/>
        <bgColor indexed="64"/>
      </patternFill>
    </fill>
    <fill>
      <patternFill patternType="solid">
        <fgColor rgb="FFC00060"/>
        <bgColor indexed="64"/>
      </patternFill>
    </fill>
    <fill>
      <patternFill patternType="solid">
        <fgColor rgb="FFC00080"/>
        <bgColor indexed="64"/>
      </patternFill>
    </fill>
    <fill>
      <patternFill patternType="solid">
        <fgColor rgb="FFC000A0"/>
        <bgColor indexed="64"/>
      </patternFill>
    </fill>
    <fill>
      <patternFill patternType="solid">
        <fgColor rgb="FFC000C0"/>
        <bgColor indexed="64"/>
      </patternFill>
    </fill>
    <fill>
      <patternFill patternType="solid">
        <fgColor rgb="FFC000E0"/>
        <bgColor indexed="64"/>
      </patternFill>
    </fill>
    <fill>
      <patternFill patternType="solid">
        <fgColor rgb="FFC000FF"/>
        <bgColor indexed="64"/>
      </patternFill>
    </fill>
    <fill>
      <patternFill patternType="solid">
        <fgColor rgb="FF0131B4"/>
        <bgColor indexed="64"/>
      </patternFill>
    </fill>
    <fill>
      <patternFill patternType="solid">
        <fgColor rgb="FFCDC673"/>
        <bgColor indexed="64"/>
      </patternFill>
    </fill>
    <fill>
      <patternFill patternType="solid">
        <fgColor rgb="FFE9C9B1"/>
        <bgColor indexed="64"/>
      </patternFill>
    </fill>
    <fill>
      <patternFill patternType="solid">
        <fgColor rgb="FFC02000"/>
        <bgColor indexed="64"/>
      </patternFill>
    </fill>
    <fill>
      <patternFill patternType="solid">
        <fgColor rgb="FFC02020"/>
        <bgColor indexed="64"/>
      </patternFill>
    </fill>
    <fill>
      <patternFill patternType="solid">
        <fgColor rgb="FFC02040"/>
        <bgColor indexed="64"/>
      </patternFill>
    </fill>
    <fill>
      <patternFill patternType="solid">
        <fgColor rgb="FFC02060"/>
        <bgColor indexed="64"/>
      </patternFill>
    </fill>
    <fill>
      <patternFill patternType="solid">
        <fgColor rgb="FFC02080"/>
        <bgColor indexed="64"/>
      </patternFill>
    </fill>
    <fill>
      <patternFill patternType="solid">
        <fgColor rgb="FFC020A0"/>
        <bgColor indexed="64"/>
      </patternFill>
    </fill>
    <fill>
      <patternFill patternType="solid">
        <fgColor rgb="FFC020C0"/>
        <bgColor indexed="64"/>
      </patternFill>
    </fill>
    <fill>
      <patternFill patternType="solid">
        <fgColor rgb="FFC020E0"/>
        <bgColor indexed="64"/>
      </patternFill>
    </fill>
    <fill>
      <patternFill patternType="solid">
        <fgColor rgb="FFC020FF"/>
        <bgColor indexed="64"/>
      </patternFill>
    </fill>
    <fill>
      <patternFill patternType="solid">
        <fgColor rgb="FF00009C"/>
        <bgColor indexed="64"/>
      </patternFill>
    </fill>
    <fill>
      <patternFill patternType="solid">
        <fgColor rgb="FFDCD300"/>
        <bgColor indexed="64"/>
      </patternFill>
    </fill>
    <fill>
      <patternFill patternType="solid">
        <fgColor rgb="FFEECBAD"/>
        <bgColor indexed="64"/>
      </patternFill>
    </fill>
    <fill>
      <patternFill patternType="solid">
        <fgColor rgb="FFC04000"/>
        <bgColor indexed="64"/>
      </patternFill>
    </fill>
    <fill>
      <patternFill patternType="solid">
        <fgColor rgb="FFC04020"/>
        <bgColor indexed="64"/>
      </patternFill>
    </fill>
    <fill>
      <patternFill patternType="solid">
        <fgColor rgb="FFC04040"/>
        <bgColor indexed="64"/>
      </patternFill>
    </fill>
    <fill>
      <patternFill patternType="solid">
        <fgColor rgb="FFC04060"/>
        <bgColor indexed="64"/>
      </patternFill>
    </fill>
    <fill>
      <patternFill patternType="solid">
        <fgColor rgb="FFC04080"/>
        <bgColor indexed="64"/>
      </patternFill>
    </fill>
    <fill>
      <patternFill patternType="solid">
        <fgColor rgb="FFC040A0"/>
        <bgColor indexed="64"/>
      </patternFill>
    </fill>
    <fill>
      <patternFill patternType="solid">
        <fgColor rgb="FFC040C0"/>
        <bgColor indexed="64"/>
      </patternFill>
    </fill>
    <fill>
      <patternFill patternType="solid">
        <fgColor rgb="FFC040E0"/>
        <bgColor indexed="64"/>
      </patternFill>
    </fill>
    <fill>
      <patternFill patternType="solid">
        <fgColor rgb="FFC040FF"/>
        <bgColor indexed="64"/>
      </patternFill>
    </fill>
    <fill>
      <patternFill patternType="solid">
        <fgColor rgb="FF1B019B"/>
        <bgColor indexed="64"/>
      </patternFill>
    </fill>
    <fill>
      <patternFill patternType="solid">
        <fgColor rgb="FFB9B57D"/>
        <bgColor indexed="64"/>
      </patternFill>
    </fill>
    <fill>
      <patternFill patternType="solid">
        <fgColor rgb="FFF5CCB0"/>
        <bgColor indexed="64"/>
      </patternFill>
    </fill>
    <fill>
      <patternFill patternType="solid">
        <fgColor rgb="FFC06000"/>
        <bgColor indexed="64"/>
      </patternFill>
    </fill>
    <fill>
      <patternFill patternType="solid">
        <fgColor rgb="FFC06020"/>
        <bgColor indexed="64"/>
      </patternFill>
    </fill>
    <fill>
      <patternFill patternType="solid">
        <fgColor rgb="FFC06040"/>
        <bgColor indexed="64"/>
      </patternFill>
    </fill>
    <fill>
      <patternFill patternType="solid">
        <fgColor rgb="FFC06060"/>
        <bgColor indexed="64"/>
      </patternFill>
    </fill>
    <fill>
      <patternFill patternType="solid">
        <fgColor rgb="FFC06080"/>
        <bgColor indexed="64"/>
      </patternFill>
    </fill>
    <fill>
      <patternFill patternType="solid">
        <fgColor rgb="FFC060A0"/>
        <bgColor indexed="64"/>
      </patternFill>
    </fill>
    <fill>
      <patternFill patternType="solid">
        <fgColor rgb="FFC060C0"/>
        <bgColor indexed="64"/>
      </patternFill>
    </fill>
    <fill>
      <patternFill patternType="solid">
        <fgColor rgb="FFC060E0"/>
        <bgColor indexed="64"/>
      </patternFill>
    </fill>
    <fill>
      <patternFill patternType="solid">
        <fgColor rgb="FFC060FF"/>
        <bgColor indexed="64"/>
      </patternFill>
    </fill>
    <fill>
      <patternFill patternType="solid">
        <fgColor rgb="FF4E5180"/>
        <bgColor indexed="64"/>
      </patternFill>
    </fill>
    <fill>
      <patternFill patternType="solid">
        <fgColor rgb="FFB9B276"/>
        <bgColor indexed="64"/>
      </patternFill>
    </fill>
    <fill>
      <patternFill patternType="solid">
        <fgColor rgb="FFECD5C5"/>
        <bgColor indexed="64"/>
      </patternFill>
    </fill>
    <fill>
      <patternFill patternType="solid">
        <fgColor rgb="FFC08000"/>
        <bgColor indexed="64"/>
      </patternFill>
    </fill>
    <fill>
      <patternFill patternType="solid">
        <fgColor rgb="FFC08020"/>
        <bgColor indexed="64"/>
      </patternFill>
    </fill>
    <fill>
      <patternFill patternType="solid">
        <fgColor rgb="FFC08040"/>
        <bgColor indexed="64"/>
      </patternFill>
    </fill>
    <fill>
      <patternFill patternType="solid">
        <fgColor rgb="FFC08060"/>
        <bgColor indexed="64"/>
      </patternFill>
    </fill>
    <fill>
      <patternFill patternType="solid">
        <fgColor rgb="FFC08080"/>
        <bgColor indexed="64"/>
      </patternFill>
    </fill>
    <fill>
      <patternFill patternType="solid">
        <fgColor rgb="FFC080A0"/>
        <bgColor indexed="64"/>
      </patternFill>
    </fill>
    <fill>
      <patternFill patternType="solid">
        <fgColor rgb="FFC080C0"/>
        <bgColor indexed="64"/>
      </patternFill>
    </fill>
    <fill>
      <patternFill patternType="solid">
        <fgColor rgb="FFC080E0"/>
        <bgColor indexed="64"/>
      </patternFill>
    </fill>
    <fill>
      <patternFill patternType="solid">
        <fgColor rgb="FFC080FF"/>
        <bgColor indexed="64"/>
      </patternFill>
    </fill>
    <fill>
      <patternFill patternType="solid">
        <fgColor rgb="FF23238E"/>
        <bgColor indexed="64"/>
      </patternFill>
    </fill>
    <fill>
      <patternFill patternType="solid">
        <fgColor rgb="FFBDB76B"/>
        <bgColor indexed="64"/>
      </patternFill>
    </fill>
    <fill>
      <patternFill patternType="solid">
        <fgColor rgb="FFFFDAB9"/>
        <bgColor indexed="64"/>
      </patternFill>
    </fill>
    <fill>
      <patternFill patternType="solid">
        <fgColor rgb="FFC0A000"/>
        <bgColor indexed="64"/>
      </patternFill>
    </fill>
    <fill>
      <patternFill patternType="solid">
        <fgColor rgb="FFC0A020"/>
        <bgColor indexed="64"/>
      </patternFill>
    </fill>
    <fill>
      <patternFill patternType="solid">
        <fgColor rgb="FFC0A040"/>
        <bgColor indexed="64"/>
      </patternFill>
    </fill>
    <fill>
      <patternFill patternType="solid">
        <fgColor rgb="FFC0A060"/>
        <bgColor indexed="64"/>
      </patternFill>
    </fill>
    <fill>
      <patternFill patternType="solid">
        <fgColor rgb="FFC0A080"/>
        <bgColor indexed="64"/>
      </patternFill>
    </fill>
    <fill>
      <patternFill patternType="solid">
        <fgColor rgb="FFC0A0A0"/>
        <bgColor indexed="64"/>
      </patternFill>
    </fill>
    <fill>
      <patternFill patternType="solid">
        <fgColor rgb="FFC0A0C0"/>
        <bgColor indexed="64"/>
      </patternFill>
    </fill>
    <fill>
      <patternFill patternType="solid">
        <fgColor rgb="FFC0A0E0"/>
        <bgColor indexed="64"/>
      </patternFill>
    </fill>
    <fill>
      <patternFill patternType="solid">
        <fgColor rgb="FFC0A0FF"/>
        <bgColor indexed="64"/>
      </patternFill>
    </fill>
    <fill>
      <patternFill patternType="solid">
        <fgColor rgb="FF00008B"/>
        <bgColor indexed="64"/>
      </patternFill>
    </fill>
    <fill>
      <patternFill patternType="solid">
        <fgColor rgb="FFAFA77B"/>
        <bgColor indexed="64"/>
      </patternFill>
    </fill>
    <fill>
      <patternFill patternType="solid">
        <fgColor rgb="FFEEE5DE"/>
        <bgColor indexed="64"/>
      </patternFill>
    </fill>
    <fill>
      <patternFill patternType="solid">
        <fgColor rgb="FFC0C000"/>
        <bgColor indexed="64"/>
      </patternFill>
    </fill>
    <fill>
      <patternFill patternType="solid">
        <fgColor rgb="FFC0C020"/>
        <bgColor indexed="64"/>
      </patternFill>
    </fill>
    <fill>
      <patternFill patternType="solid">
        <fgColor rgb="FFC0C040"/>
        <bgColor indexed="64"/>
      </patternFill>
    </fill>
    <fill>
      <patternFill patternType="solid">
        <fgColor rgb="FFC0C060"/>
        <bgColor indexed="64"/>
      </patternFill>
    </fill>
    <fill>
      <patternFill patternType="solid">
        <fgColor rgb="FFC0C080"/>
        <bgColor indexed="64"/>
      </patternFill>
    </fill>
    <fill>
      <patternFill patternType="solid">
        <fgColor rgb="FFC0C0A0"/>
        <bgColor indexed="64"/>
      </patternFill>
    </fill>
    <fill>
      <patternFill patternType="solid">
        <fgColor rgb="FFC0C0C0"/>
        <bgColor indexed="64"/>
      </patternFill>
    </fill>
    <fill>
      <patternFill patternType="solid">
        <fgColor rgb="FFC0C0E0"/>
        <bgColor indexed="64"/>
      </patternFill>
    </fill>
    <fill>
      <patternFill patternType="solid">
        <fgColor rgb="FFC0C0FF"/>
        <bgColor indexed="64"/>
      </patternFill>
    </fill>
    <fill>
      <patternFill patternType="solid">
        <fgColor rgb="FF241882"/>
        <bgColor indexed="64"/>
      </patternFill>
    </fill>
    <fill>
      <patternFill patternType="solid">
        <fgColor rgb="FFB9B459"/>
        <bgColor indexed="64"/>
      </patternFill>
    </fill>
    <fill>
      <patternFill patternType="solid">
        <fgColor rgb="FFFFF5EE"/>
        <bgColor indexed="64"/>
      </patternFill>
    </fill>
    <fill>
      <patternFill patternType="solid">
        <fgColor rgb="FFC0E000"/>
        <bgColor indexed="64"/>
      </patternFill>
    </fill>
    <fill>
      <patternFill patternType="solid">
        <fgColor rgb="FFC0E020"/>
        <bgColor indexed="64"/>
      </patternFill>
    </fill>
    <fill>
      <patternFill patternType="solid">
        <fgColor rgb="FFC0E040"/>
        <bgColor indexed="64"/>
      </patternFill>
    </fill>
    <fill>
      <patternFill patternType="solid">
        <fgColor rgb="FFC0E060"/>
        <bgColor indexed="64"/>
      </patternFill>
    </fill>
    <fill>
      <patternFill patternType="solid">
        <fgColor rgb="FFC0E080"/>
        <bgColor indexed="64"/>
      </patternFill>
    </fill>
    <fill>
      <patternFill patternType="solid">
        <fgColor rgb="FFC0E0A0"/>
        <bgColor indexed="64"/>
      </patternFill>
    </fill>
    <fill>
      <patternFill patternType="solid">
        <fgColor rgb="FFC0E0C0"/>
        <bgColor indexed="64"/>
      </patternFill>
    </fill>
    <fill>
      <patternFill patternType="solid">
        <fgColor rgb="FFC0E0E0"/>
        <bgColor indexed="64"/>
      </patternFill>
    </fill>
    <fill>
      <patternFill patternType="solid">
        <fgColor rgb="FFC0E0FF"/>
        <bgColor indexed="64"/>
      </patternFill>
    </fill>
    <fill>
      <patternFill patternType="solid">
        <fgColor rgb="FFBEB72E"/>
        <bgColor indexed="64"/>
      </patternFill>
    </fill>
    <fill>
      <patternFill patternType="solid">
        <fgColor rgb="FFEE9A49"/>
        <bgColor indexed="64"/>
      </patternFill>
    </fill>
    <fill>
      <patternFill patternType="solid">
        <fgColor rgb="FFC0FF00"/>
        <bgColor indexed="64"/>
      </patternFill>
    </fill>
    <fill>
      <patternFill patternType="solid">
        <fgColor rgb="FFC0FF20"/>
        <bgColor indexed="64"/>
      </patternFill>
    </fill>
    <fill>
      <patternFill patternType="solid">
        <fgColor rgb="FFC0FF40"/>
        <bgColor indexed="64"/>
      </patternFill>
    </fill>
    <fill>
      <patternFill patternType="solid">
        <fgColor rgb="FFC0FF60"/>
        <bgColor indexed="64"/>
      </patternFill>
    </fill>
    <fill>
      <patternFill patternType="solid">
        <fgColor rgb="FFC0FF80"/>
        <bgColor indexed="64"/>
      </patternFill>
    </fill>
    <fill>
      <patternFill patternType="solid">
        <fgColor rgb="FFC0FFA0"/>
        <bgColor indexed="64"/>
      </patternFill>
    </fill>
    <fill>
      <patternFill patternType="solid">
        <fgColor rgb="FFC0FFC0"/>
        <bgColor indexed="64"/>
      </patternFill>
    </fill>
    <fill>
      <patternFill patternType="solid">
        <fgColor rgb="FFC0FFE0"/>
        <bgColor indexed="64"/>
      </patternFill>
    </fill>
    <fill>
      <patternFill patternType="solid">
        <fgColor rgb="FFC0FFFF"/>
        <bgColor indexed="64"/>
      </patternFill>
    </fill>
    <fill>
      <patternFill patternType="solid">
        <fgColor rgb="FF42426F"/>
        <bgColor indexed="64"/>
      </patternFill>
    </fill>
    <fill>
      <patternFill patternType="solid">
        <fgColor rgb="FFB5A642"/>
        <bgColor indexed="64"/>
      </patternFill>
    </fill>
    <fill>
      <patternFill patternType="solid">
        <fgColor rgb="FFCDAF95"/>
        <bgColor indexed="64"/>
      </patternFill>
    </fill>
    <fill>
      <patternFill patternType="solid">
        <fgColor rgb="FFE00000"/>
        <bgColor indexed="64"/>
      </patternFill>
    </fill>
    <fill>
      <patternFill patternType="solid">
        <fgColor rgb="FFE00020"/>
        <bgColor indexed="64"/>
      </patternFill>
    </fill>
    <fill>
      <patternFill patternType="solid">
        <fgColor rgb="FFE00040"/>
        <bgColor indexed="64"/>
      </patternFill>
    </fill>
    <fill>
      <patternFill patternType="solid">
        <fgColor rgb="FFE00060"/>
        <bgColor indexed="64"/>
      </patternFill>
    </fill>
    <fill>
      <patternFill patternType="solid">
        <fgColor rgb="FFE00080"/>
        <bgColor indexed="64"/>
      </patternFill>
    </fill>
    <fill>
      <patternFill patternType="solid">
        <fgColor rgb="FFE000A0"/>
        <bgColor indexed="64"/>
      </patternFill>
    </fill>
    <fill>
      <patternFill patternType="solid">
        <fgColor rgb="FFE000C0"/>
        <bgColor indexed="64"/>
      </patternFill>
    </fill>
    <fill>
      <patternFill patternType="solid">
        <fgColor rgb="FFE000E0"/>
        <bgColor indexed="64"/>
      </patternFill>
    </fill>
    <fill>
      <patternFill patternType="solid">
        <fgColor rgb="FFE000FF"/>
        <bgColor indexed="64"/>
      </patternFill>
    </fill>
    <fill>
      <patternFill patternType="solid">
        <fgColor rgb="FF30267A"/>
        <bgColor indexed="64"/>
      </patternFill>
    </fill>
    <fill>
      <patternFill patternType="solid">
        <fgColor rgb="FF8B8878"/>
        <bgColor indexed="64"/>
      </patternFill>
    </fill>
    <fill>
      <patternFill patternType="solid">
        <fgColor rgb="FFF6A600"/>
        <bgColor indexed="64"/>
      </patternFill>
    </fill>
    <fill>
      <patternFill patternType="solid">
        <fgColor rgb="FFE02000"/>
        <bgColor indexed="64"/>
      </patternFill>
    </fill>
    <fill>
      <patternFill patternType="solid">
        <fgColor rgb="FFE02020"/>
        <bgColor indexed="64"/>
      </patternFill>
    </fill>
    <fill>
      <patternFill patternType="solid">
        <fgColor rgb="FFE02040"/>
        <bgColor indexed="64"/>
      </patternFill>
    </fill>
    <fill>
      <patternFill patternType="solid">
        <fgColor rgb="FFE02060"/>
        <bgColor indexed="64"/>
      </patternFill>
    </fill>
    <fill>
      <patternFill patternType="solid">
        <fgColor rgb="FFE02080"/>
        <bgColor indexed="64"/>
      </patternFill>
    </fill>
    <fill>
      <patternFill patternType="solid">
        <fgColor rgb="FFE020A0"/>
        <bgColor indexed="64"/>
      </patternFill>
    </fill>
    <fill>
      <patternFill patternType="solid">
        <fgColor rgb="FFE020C0"/>
        <bgColor indexed="64"/>
      </patternFill>
    </fill>
    <fill>
      <patternFill patternType="solid">
        <fgColor rgb="FFE020E0"/>
        <bgColor indexed="64"/>
      </patternFill>
    </fill>
    <fill>
      <patternFill patternType="solid">
        <fgColor rgb="FFE020FF"/>
        <bgColor indexed="64"/>
      </patternFill>
    </fill>
    <fill>
      <patternFill patternType="solid">
        <fgColor rgb="FF21177D"/>
        <bgColor indexed="64"/>
      </patternFill>
    </fill>
    <fill>
      <patternFill patternType="solid">
        <fgColor rgb="FF8A8776"/>
        <bgColor indexed="64"/>
      </patternFill>
    </fill>
    <fill>
      <patternFill patternType="solid">
        <fgColor rgb="FFE7A854"/>
        <bgColor indexed="64"/>
      </patternFill>
    </fill>
    <fill>
      <patternFill patternType="solid">
        <fgColor rgb="FFE04000"/>
        <bgColor indexed="64"/>
      </patternFill>
    </fill>
    <fill>
      <patternFill patternType="solid">
        <fgColor rgb="FFE04020"/>
        <bgColor indexed="64"/>
      </patternFill>
    </fill>
    <fill>
      <patternFill patternType="solid">
        <fgColor rgb="FFE04040"/>
        <bgColor indexed="64"/>
      </patternFill>
    </fill>
    <fill>
      <patternFill patternType="solid">
        <fgColor rgb="FFE04060"/>
        <bgColor indexed="64"/>
      </patternFill>
    </fill>
    <fill>
      <patternFill patternType="solid">
        <fgColor rgb="FFE04080"/>
        <bgColor indexed="64"/>
      </patternFill>
    </fill>
    <fill>
      <patternFill patternType="solid">
        <fgColor rgb="FFE040A0"/>
        <bgColor indexed="64"/>
      </patternFill>
    </fill>
    <fill>
      <patternFill patternType="solid">
        <fgColor rgb="FFE040C0"/>
        <bgColor indexed="64"/>
      </patternFill>
    </fill>
    <fill>
      <patternFill patternType="solid">
        <fgColor rgb="FFE040E0"/>
        <bgColor indexed="64"/>
      </patternFill>
    </fill>
    <fill>
      <patternFill patternType="solid">
        <fgColor rgb="FFE040FF"/>
        <bgColor indexed="64"/>
      </patternFill>
    </fill>
    <fill>
      <patternFill patternType="solid">
        <fgColor rgb="FF191970"/>
        <bgColor indexed="64"/>
      </patternFill>
    </fill>
    <fill>
      <patternFill patternType="solid">
        <fgColor rgb="FF8B8970"/>
        <bgColor indexed="64"/>
      </patternFill>
    </fill>
    <fill>
      <patternFill patternType="solid">
        <fgColor rgb="FFC2AC99"/>
        <bgColor indexed="64"/>
      </patternFill>
    </fill>
    <fill>
      <patternFill patternType="solid">
        <fgColor rgb="FFE06000"/>
        <bgColor indexed="64"/>
      </patternFill>
    </fill>
    <fill>
      <patternFill patternType="solid">
        <fgColor rgb="FFE06020"/>
        <bgColor indexed="64"/>
      </patternFill>
    </fill>
    <fill>
      <patternFill patternType="solid">
        <fgColor rgb="FFE06040"/>
        <bgColor indexed="64"/>
      </patternFill>
    </fill>
    <fill>
      <patternFill patternType="solid">
        <fgColor rgb="FFE06060"/>
        <bgColor indexed="64"/>
      </patternFill>
    </fill>
    <fill>
      <patternFill patternType="solid">
        <fgColor rgb="FFE06080"/>
        <bgColor indexed="64"/>
      </patternFill>
    </fill>
    <fill>
      <patternFill patternType="solid">
        <fgColor rgb="FFE060A0"/>
        <bgColor indexed="64"/>
      </patternFill>
    </fill>
    <fill>
      <patternFill patternType="solid">
        <fgColor rgb="FFE060C0"/>
        <bgColor indexed="64"/>
      </patternFill>
    </fill>
    <fill>
      <patternFill patternType="solid">
        <fgColor rgb="FFE060E0"/>
        <bgColor indexed="64"/>
      </patternFill>
    </fill>
    <fill>
      <patternFill patternType="solid">
        <fgColor rgb="FFE060FF"/>
        <bgColor indexed="64"/>
      </patternFill>
    </fill>
    <fill>
      <patternFill patternType="solid">
        <fgColor rgb="FF0F056B"/>
        <bgColor indexed="64"/>
      </patternFill>
    </fill>
    <fill>
      <patternFill patternType="solid">
        <fgColor rgb="FF8C8767"/>
        <bgColor indexed="64"/>
      </patternFill>
    </fill>
    <fill>
      <patternFill patternType="solid">
        <fgColor rgb="FFEE9A00"/>
        <bgColor indexed="64"/>
      </patternFill>
    </fill>
    <fill>
      <patternFill patternType="solid">
        <fgColor rgb="FFE08000"/>
        <bgColor indexed="64"/>
      </patternFill>
    </fill>
    <fill>
      <patternFill patternType="solid">
        <fgColor rgb="FFE08020"/>
        <bgColor indexed="64"/>
      </patternFill>
    </fill>
    <fill>
      <patternFill patternType="solid">
        <fgColor rgb="FFE08040"/>
        <bgColor indexed="64"/>
      </patternFill>
    </fill>
    <fill>
      <patternFill patternType="solid">
        <fgColor rgb="FFE08060"/>
        <bgColor indexed="64"/>
      </patternFill>
    </fill>
    <fill>
      <patternFill patternType="solid">
        <fgColor rgb="FFE08080"/>
        <bgColor indexed="64"/>
      </patternFill>
    </fill>
    <fill>
      <patternFill patternType="solid">
        <fgColor rgb="FFE080A0"/>
        <bgColor indexed="64"/>
      </patternFill>
    </fill>
    <fill>
      <patternFill patternType="solid">
        <fgColor rgb="FFE080C0"/>
        <bgColor indexed="64"/>
      </patternFill>
    </fill>
    <fill>
      <patternFill patternType="solid">
        <fgColor rgb="FFE080E0"/>
        <bgColor indexed="64"/>
      </patternFill>
    </fill>
    <fill>
      <patternFill patternType="solid">
        <fgColor rgb="FFE080FF"/>
        <bgColor indexed="64"/>
      </patternFill>
    </fill>
    <fill>
      <patternFill patternType="solid">
        <fgColor rgb="FF272458"/>
        <bgColor indexed="64"/>
      </patternFill>
    </fill>
    <fill>
      <patternFill patternType="solid">
        <fgColor rgb="FF8B864E"/>
        <bgColor indexed="64"/>
      </patternFill>
    </fill>
    <fill>
      <patternFill patternType="solid">
        <fgColor rgb="FFEAA221"/>
        <bgColor indexed="64"/>
      </patternFill>
    </fill>
    <fill>
      <patternFill patternType="solid">
        <fgColor rgb="FFE0A000"/>
        <bgColor indexed="64"/>
      </patternFill>
    </fill>
    <fill>
      <patternFill patternType="solid">
        <fgColor rgb="FFE0A020"/>
        <bgColor indexed="64"/>
      </patternFill>
    </fill>
    <fill>
      <patternFill patternType="solid">
        <fgColor rgb="FFE0A040"/>
        <bgColor indexed="64"/>
      </patternFill>
    </fill>
    <fill>
      <patternFill patternType="solid">
        <fgColor rgb="FFE0A060"/>
        <bgColor indexed="64"/>
      </patternFill>
    </fill>
    <fill>
      <patternFill patternType="solid">
        <fgColor rgb="FFE0A080"/>
        <bgColor indexed="64"/>
      </patternFill>
    </fill>
    <fill>
      <patternFill patternType="solid">
        <fgColor rgb="FFE0A0A0"/>
        <bgColor indexed="64"/>
      </patternFill>
    </fill>
    <fill>
      <patternFill patternType="solid">
        <fgColor rgb="FFE0A0C0"/>
        <bgColor indexed="64"/>
      </patternFill>
    </fill>
    <fill>
      <patternFill patternType="solid">
        <fgColor rgb="FFE0A0E0"/>
        <bgColor indexed="64"/>
      </patternFill>
    </fill>
    <fill>
      <patternFill patternType="solid">
        <fgColor rgb="FFE0A0FF"/>
        <bgColor indexed="64"/>
      </patternFill>
    </fill>
    <fill>
      <patternFill patternType="solid">
        <fgColor rgb="FF2F2F4F"/>
        <bgColor indexed="64"/>
      </patternFill>
    </fill>
    <fill>
      <patternFill patternType="solid">
        <fgColor rgb="FF8B814C"/>
        <bgColor indexed="64"/>
      </patternFill>
    </fill>
    <fill>
      <patternFill patternType="solid">
        <fgColor rgb="FFDD985C"/>
        <bgColor indexed="64"/>
      </patternFill>
    </fill>
    <fill>
      <patternFill patternType="solid">
        <fgColor rgb="FFE0C000"/>
        <bgColor indexed="64"/>
      </patternFill>
    </fill>
    <fill>
      <patternFill patternType="solid">
        <fgColor rgb="FFE0C020"/>
        <bgColor indexed="64"/>
      </patternFill>
    </fill>
    <fill>
      <patternFill patternType="solid">
        <fgColor rgb="FFE0C040"/>
        <bgColor indexed="64"/>
      </patternFill>
    </fill>
    <fill>
      <patternFill patternType="solid">
        <fgColor rgb="FFE0C060"/>
        <bgColor indexed="64"/>
      </patternFill>
    </fill>
    <fill>
      <patternFill patternType="solid">
        <fgColor rgb="FFE0C080"/>
        <bgColor indexed="64"/>
      </patternFill>
    </fill>
    <fill>
      <patternFill patternType="solid">
        <fgColor rgb="FFE0C0A0"/>
        <bgColor indexed="64"/>
      </patternFill>
    </fill>
    <fill>
      <patternFill patternType="solid">
        <fgColor rgb="FFE0C0C0"/>
        <bgColor indexed="64"/>
      </patternFill>
    </fill>
    <fill>
      <patternFill patternType="solid">
        <fgColor rgb="FFE0C0E0"/>
        <bgColor indexed="64"/>
      </patternFill>
    </fill>
    <fill>
      <patternFill patternType="solid">
        <fgColor rgb="FFE0C0FF"/>
        <bgColor indexed="64"/>
      </patternFill>
    </fill>
    <fill>
      <patternFill patternType="solid">
        <fgColor rgb="FF252440"/>
        <bgColor indexed="64"/>
      </patternFill>
    </fill>
    <fill>
      <patternFill patternType="solid">
        <fgColor rgb="FF9B9400"/>
        <bgColor indexed="64"/>
      </patternFill>
    </fill>
    <fill>
      <patternFill patternType="solid">
        <fgColor rgb="FFDE9816"/>
        <bgColor indexed="64"/>
      </patternFill>
    </fill>
    <fill>
      <patternFill patternType="solid">
        <fgColor rgb="FFE0E000"/>
        <bgColor indexed="64"/>
      </patternFill>
    </fill>
    <fill>
      <patternFill patternType="solid">
        <fgColor rgb="FFE0E020"/>
        <bgColor indexed="64"/>
      </patternFill>
    </fill>
    <fill>
      <patternFill patternType="solid">
        <fgColor rgb="FFE0E040"/>
        <bgColor indexed="64"/>
      </patternFill>
    </fill>
    <fill>
      <patternFill patternType="solid">
        <fgColor rgb="FFE0E060"/>
        <bgColor indexed="64"/>
      </patternFill>
    </fill>
    <fill>
      <patternFill patternType="solid">
        <fgColor rgb="FFE0E080"/>
        <bgColor indexed="64"/>
      </patternFill>
    </fill>
    <fill>
      <patternFill patternType="solid">
        <fgColor rgb="FFE0E0A0"/>
        <bgColor indexed="64"/>
      </patternFill>
    </fill>
    <fill>
      <patternFill patternType="solid">
        <fgColor rgb="FFE0E0C0"/>
        <bgColor indexed="64"/>
      </patternFill>
    </fill>
    <fill>
      <patternFill patternType="solid">
        <fgColor rgb="FFE0E0E0"/>
        <bgColor indexed="64"/>
      </patternFill>
    </fill>
    <fill>
      <patternFill patternType="solid">
        <fgColor rgb="FFE0E0FF"/>
        <bgColor indexed="64"/>
      </patternFill>
    </fill>
    <fill>
      <patternFill patternType="solid">
        <fgColor rgb="FF000010"/>
        <bgColor indexed="64"/>
      </patternFill>
    </fill>
    <fill>
      <patternFill patternType="solid">
        <fgColor rgb="FF867E36"/>
        <bgColor indexed="64"/>
      </patternFill>
    </fill>
    <fill>
      <patternFill patternType="solid">
        <fgColor rgb="FFD98719"/>
        <bgColor indexed="64"/>
      </patternFill>
    </fill>
    <fill>
      <patternFill patternType="solid">
        <fgColor rgb="FFE0FF00"/>
        <bgColor indexed="64"/>
      </patternFill>
    </fill>
    <fill>
      <patternFill patternType="solid">
        <fgColor rgb="FFE0FF20"/>
        <bgColor indexed="64"/>
      </patternFill>
    </fill>
    <fill>
      <patternFill patternType="solid">
        <fgColor rgb="FFE0FF40"/>
        <bgColor indexed="64"/>
      </patternFill>
    </fill>
    <fill>
      <patternFill patternType="solid">
        <fgColor rgb="FFE0FF60"/>
        <bgColor indexed="64"/>
      </patternFill>
    </fill>
    <fill>
      <patternFill patternType="solid">
        <fgColor rgb="FFE0FF80"/>
        <bgColor indexed="64"/>
      </patternFill>
    </fill>
    <fill>
      <patternFill patternType="solid">
        <fgColor rgb="FFE0FFA0"/>
        <bgColor indexed="64"/>
      </patternFill>
    </fill>
    <fill>
      <patternFill patternType="solid">
        <fgColor rgb="FFE0FFC0"/>
        <bgColor indexed="64"/>
      </patternFill>
    </fill>
    <fill>
      <patternFill patternType="solid">
        <fgColor rgb="FFE0FFE0"/>
        <bgColor indexed="64"/>
      </patternFill>
    </fill>
    <fill>
      <patternFill patternType="solid">
        <fgColor rgb="FFE0FFFF"/>
        <bgColor indexed="64"/>
      </patternFill>
    </fill>
    <fill>
      <patternFill patternType="solid">
        <fgColor rgb="FF2C75FF"/>
        <bgColor indexed="64"/>
      </patternFill>
    </fill>
    <fill>
      <patternFill patternType="solid">
        <fgColor rgb="FF57554C"/>
        <bgColor indexed="64"/>
      </patternFill>
    </fill>
    <fill>
      <patternFill patternType="solid">
        <fgColor rgb="FFCD853F"/>
        <bgColor indexed="64"/>
      </patternFill>
    </fill>
    <fill>
      <patternFill patternType="solid">
        <fgColor rgb="FFFF0020"/>
        <bgColor indexed="64"/>
      </patternFill>
    </fill>
    <fill>
      <patternFill patternType="solid">
        <fgColor rgb="FFFF0040"/>
        <bgColor indexed="64"/>
      </patternFill>
    </fill>
    <fill>
      <patternFill patternType="solid">
        <fgColor rgb="FFFF0060"/>
        <bgColor indexed="64"/>
      </patternFill>
    </fill>
    <fill>
      <patternFill patternType="solid">
        <fgColor rgb="FFFF0080"/>
        <bgColor indexed="64"/>
      </patternFill>
    </fill>
    <fill>
      <patternFill patternType="solid">
        <fgColor rgb="FFFF00A0"/>
        <bgColor indexed="64"/>
      </patternFill>
    </fill>
    <fill>
      <patternFill patternType="solid">
        <fgColor rgb="FFFF00C0"/>
        <bgColor indexed="64"/>
      </patternFill>
    </fill>
    <fill>
      <patternFill patternType="solid">
        <fgColor rgb="FFFF00E0"/>
        <bgColor indexed="64"/>
      </patternFill>
    </fill>
    <fill>
      <patternFill patternType="solid">
        <fgColor rgb="FF4876FF"/>
        <bgColor indexed="64"/>
      </patternFill>
    </fill>
    <fill>
      <patternFill patternType="solid">
        <fgColor rgb="FF5B5842"/>
        <bgColor indexed="64"/>
      </patternFill>
    </fill>
    <fill>
      <patternFill patternType="solid">
        <fgColor rgb="FFCD8500"/>
        <bgColor indexed="64"/>
      </patternFill>
    </fill>
    <fill>
      <patternFill patternType="solid">
        <fgColor rgb="FFFF2000"/>
        <bgColor indexed="64"/>
      </patternFill>
    </fill>
    <fill>
      <patternFill patternType="solid">
        <fgColor rgb="FFFF2020"/>
        <bgColor indexed="64"/>
      </patternFill>
    </fill>
    <fill>
      <patternFill patternType="solid">
        <fgColor rgb="FFFF2040"/>
        <bgColor indexed="64"/>
      </patternFill>
    </fill>
    <fill>
      <patternFill patternType="solid">
        <fgColor rgb="FFFF2060"/>
        <bgColor indexed="64"/>
      </patternFill>
    </fill>
    <fill>
      <patternFill patternType="solid">
        <fgColor rgb="FFFF2080"/>
        <bgColor indexed="64"/>
      </patternFill>
    </fill>
    <fill>
      <patternFill patternType="solid">
        <fgColor rgb="FFFF20A0"/>
        <bgColor indexed="64"/>
      </patternFill>
    </fill>
    <fill>
      <patternFill patternType="solid">
        <fgColor rgb="FFFF20C0"/>
        <bgColor indexed="64"/>
      </patternFill>
    </fill>
    <fill>
      <patternFill patternType="solid">
        <fgColor rgb="FFFF20E0"/>
        <bgColor indexed="64"/>
      </patternFill>
    </fill>
    <fill>
      <patternFill patternType="solid">
        <fgColor rgb="FFFF20FF"/>
        <bgColor indexed="64"/>
      </patternFill>
    </fill>
    <fill>
      <patternFill patternType="solid">
        <fgColor rgb="FFB3BCE2"/>
        <bgColor indexed="64"/>
      </patternFill>
    </fill>
    <fill>
      <patternFill patternType="solid">
        <fgColor rgb="FF665D1E"/>
        <bgColor indexed="64"/>
      </patternFill>
    </fill>
    <fill>
      <patternFill patternType="solid">
        <fgColor rgb="FFC98500"/>
        <bgColor indexed="64"/>
      </patternFill>
    </fill>
    <fill>
      <patternFill patternType="solid">
        <fgColor rgb="FFFF4000"/>
        <bgColor indexed="64"/>
      </patternFill>
    </fill>
    <fill>
      <patternFill patternType="solid">
        <fgColor rgb="FFFF4020"/>
        <bgColor indexed="64"/>
      </patternFill>
    </fill>
    <fill>
      <patternFill patternType="solid">
        <fgColor rgb="FFFF4040"/>
        <bgColor indexed="64"/>
      </patternFill>
    </fill>
    <fill>
      <patternFill patternType="solid">
        <fgColor rgb="FFFF4060"/>
        <bgColor indexed="64"/>
      </patternFill>
    </fill>
    <fill>
      <patternFill patternType="solid">
        <fgColor rgb="FFFF4080"/>
        <bgColor indexed="64"/>
      </patternFill>
    </fill>
    <fill>
      <patternFill patternType="solid">
        <fgColor rgb="FFFF40A0"/>
        <bgColor indexed="64"/>
      </patternFill>
    </fill>
    <fill>
      <patternFill patternType="solid">
        <fgColor rgb="FFFF40C0"/>
        <bgColor indexed="64"/>
      </patternFill>
    </fill>
    <fill>
      <patternFill patternType="solid">
        <fgColor rgb="FFFF40E0"/>
        <bgColor indexed="64"/>
      </patternFill>
    </fill>
    <fill>
      <patternFill patternType="solid">
        <fgColor rgb="FFFF40FF"/>
        <bgColor indexed="64"/>
      </patternFill>
    </fill>
    <fill>
      <patternFill patternType="solid">
        <fgColor rgb="FFE6E8FA"/>
        <bgColor indexed="64"/>
      </patternFill>
    </fill>
    <fill>
      <patternFill patternType="solid">
        <fgColor rgb="FF403D21"/>
        <bgColor indexed="64"/>
      </patternFill>
    </fill>
    <fill>
      <patternFill patternType="solid">
        <fgColor rgb="FFAE8964"/>
        <bgColor indexed="64"/>
      </patternFill>
    </fill>
    <fill>
      <patternFill patternType="solid">
        <fgColor rgb="FFFF6000"/>
        <bgColor indexed="64"/>
      </patternFill>
    </fill>
    <fill>
      <patternFill patternType="solid">
        <fgColor rgb="FFFF6020"/>
        <bgColor indexed="64"/>
      </patternFill>
    </fill>
    <fill>
      <patternFill patternType="solid">
        <fgColor rgb="FFFF6040"/>
        <bgColor indexed="64"/>
      </patternFill>
    </fill>
    <fill>
      <patternFill patternType="solid">
        <fgColor rgb="FFFF6060"/>
        <bgColor indexed="64"/>
      </patternFill>
    </fill>
    <fill>
      <patternFill patternType="solid">
        <fgColor rgb="FFFF6080"/>
        <bgColor indexed="64"/>
      </patternFill>
    </fill>
    <fill>
      <patternFill patternType="solid">
        <fgColor rgb="FFFF60A0"/>
        <bgColor indexed="64"/>
      </patternFill>
    </fill>
    <fill>
      <patternFill patternType="solid">
        <fgColor rgb="FFFF60C0"/>
        <bgColor indexed="64"/>
      </patternFill>
    </fill>
    <fill>
      <patternFill patternType="solid">
        <fgColor rgb="FFFF60E0"/>
        <bgColor indexed="64"/>
      </patternFill>
    </fill>
    <fill>
      <patternFill patternType="solid">
        <fgColor rgb="FFFF60FF"/>
        <bgColor indexed="64"/>
      </patternFill>
    </fill>
    <fill>
      <patternFill patternType="solid">
        <fgColor rgb="FF436EEE"/>
        <bgColor indexed="64"/>
      </patternFill>
    </fill>
    <fill>
      <patternFill patternType="solid">
        <fgColor rgb="FF363527"/>
        <bgColor indexed="64"/>
      </patternFill>
    </fill>
    <fill>
      <patternFill patternType="solid">
        <fgColor rgb="FFA68064"/>
        <bgColor indexed="64"/>
      </patternFill>
    </fill>
    <fill>
      <patternFill patternType="solid">
        <fgColor rgb="FFFF8000"/>
        <bgColor indexed="64"/>
      </patternFill>
    </fill>
    <fill>
      <patternFill patternType="solid">
        <fgColor rgb="FFFF8020"/>
        <bgColor indexed="64"/>
      </patternFill>
    </fill>
    <fill>
      <patternFill patternType="solid">
        <fgColor rgb="FFFF8040"/>
        <bgColor indexed="64"/>
      </patternFill>
    </fill>
    <fill>
      <patternFill patternType="solid">
        <fgColor rgb="FFFF8060"/>
        <bgColor indexed="64"/>
      </patternFill>
    </fill>
    <fill>
      <patternFill patternType="solid">
        <fgColor rgb="FFFF8080"/>
        <bgColor indexed="64"/>
      </patternFill>
    </fill>
    <fill>
      <patternFill patternType="solid">
        <fgColor rgb="FFFF80A0"/>
        <bgColor indexed="64"/>
      </patternFill>
    </fill>
    <fill>
      <patternFill patternType="solid">
        <fgColor rgb="FFFF80C0"/>
        <bgColor indexed="64"/>
      </patternFill>
    </fill>
    <fill>
      <patternFill patternType="solid">
        <fgColor rgb="FFFF80E0"/>
        <bgColor indexed="64"/>
      </patternFill>
    </fill>
    <fill>
      <patternFill patternType="solid">
        <fgColor rgb="FFFF80FF"/>
        <bgColor indexed="64"/>
      </patternFill>
    </fill>
    <fill>
      <patternFill patternType="solid">
        <fgColor rgb="FF4169E1"/>
        <bgColor indexed="64"/>
      </patternFill>
    </fill>
    <fill>
      <patternFill patternType="solid">
        <fgColor rgb="FF25241D"/>
        <bgColor indexed="64"/>
      </patternFill>
    </fill>
    <fill>
      <patternFill patternType="solid">
        <fgColor rgb="FFA67B5B"/>
        <bgColor indexed="64"/>
      </patternFill>
    </fill>
    <fill>
      <patternFill patternType="solid">
        <fgColor rgb="FFFFA000"/>
        <bgColor indexed="64"/>
      </patternFill>
    </fill>
    <fill>
      <patternFill patternType="solid">
        <fgColor rgb="FFFFA020"/>
        <bgColor indexed="64"/>
      </patternFill>
    </fill>
    <fill>
      <patternFill patternType="solid">
        <fgColor rgb="FFFFA040"/>
        <bgColor indexed="64"/>
      </patternFill>
    </fill>
    <fill>
      <patternFill patternType="solid">
        <fgColor rgb="FFFFA060"/>
        <bgColor indexed="64"/>
      </patternFill>
    </fill>
    <fill>
      <patternFill patternType="solid">
        <fgColor rgb="FFFFA080"/>
        <bgColor indexed="64"/>
      </patternFill>
    </fill>
    <fill>
      <patternFill patternType="solid">
        <fgColor rgb="FFFFA0A0"/>
        <bgColor indexed="64"/>
      </patternFill>
    </fill>
    <fill>
      <patternFill patternType="solid">
        <fgColor rgb="FFFFA0C0"/>
        <bgColor indexed="64"/>
      </patternFill>
    </fill>
    <fill>
      <patternFill patternType="solid">
        <fgColor rgb="FFFFA0E0"/>
        <bgColor indexed="64"/>
      </patternFill>
    </fill>
    <fill>
      <patternFill patternType="solid">
        <fgColor rgb="FFFFA0FF"/>
        <bgColor indexed="64"/>
      </patternFill>
    </fill>
    <fill>
      <patternFill patternType="solid">
        <fgColor rgb="FF8791BF"/>
        <bgColor indexed="64"/>
      </patternFill>
    </fill>
    <fill>
      <patternFill patternType="solid">
        <fgColor rgb="FF8B8682"/>
        <bgColor indexed="64"/>
      </patternFill>
    </fill>
    <fill>
      <patternFill patternType="solid">
        <fgColor rgb="FFFFC020"/>
        <bgColor indexed="64"/>
      </patternFill>
    </fill>
    <fill>
      <patternFill patternType="solid">
        <fgColor rgb="FFFFC040"/>
        <bgColor indexed="64"/>
      </patternFill>
    </fill>
    <fill>
      <patternFill patternType="solid">
        <fgColor rgb="FFFFC060"/>
        <bgColor indexed="64"/>
      </patternFill>
    </fill>
    <fill>
      <patternFill patternType="solid">
        <fgColor rgb="FFFFC080"/>
        <bgColor indexed="64"/>
      </patternFill>
    </fill>
    <fill>
      <patternFill patternType="solid">
        <fgColor rgb="FFFFC0A0"/>
        <bgColor indexed="64"/>
      </patternFill>
    </fill>
    <fill>
      <patternFill patternType="solid">
        <fgColor rgb="FFFFC0C0"/>
        <bgColor indexed="64"/>
      </patternFill>
    </fill>
    <fill>
      <patternFill patternType="solid">
        <fgColor rgb="FFFFC0E0"/>
        <bgColor indexed="64"/>
      </patternFill>
    </fill>
    <fill>
      <patternFill patternType="solid">
        <fgColor rgb="FFFFC0FF"/>
        <bgColor indexed="64"/>
      </patternFill>
    </fill>
    <fill>
      <patternFill patternType="solid">
        <fgColor rgb="FF8C92AC"/>
        <bgColor indexed="64"/>
      </patternFill>
    </fill>
    <fill>
      <patternFill patternType="solid">
        <fgColor rgb="FFEE7AE9"/>
        <bgColor indexed="64"/>
      </patternFill>
    </fill>
    <fill>
      <patternFill patternType="solid">
        <fgColor rgb="FFB67823"/>
        <bgColor indexed="64"/>
      </patternFill>
    </fill>
    <fill>
      <patternFill patternType="solid">
        <fgColor rgb="FFFFE000"/>
        <bgColor indexed="64"/>
      </patternFill>
    </fill>
    <fill>
      <patternFill patternType="solid">
        <fgColor rgb="FFFFE020"/>
        <bgColor indexed="64"/>
      </patternFill>
    </fill>
    <fill>
      <patternFill patternType="solid">
        <fgColor rgb="FFFFE040"/>
        <bgColor indexed="64"/>
      </patternFill>
    </fill>
    <fill>
      <patternFill patternType="solid">
        <fgColor rgb="FFFFE060"/>
        <bgColor indexed="64"/>
      </patternFill>
    </fill>
    <fill>
      <patternFill patternType="solid">
        <fgColor rgb="FFFFE080"/>
        <bgColor indexed="64"/>
      </patternFill>
    </fill>
    <fill>
      <patternFill patternType="solid">
        <fgColor rgb="FFFFE0A0"/>
        <bgColor indexed="64"/>
      </patternFill>
    </fill>
    <fill>
      <patternFill patternType="solid">
        <fgColor rgb="FFFFE0C0"/>
        <bgColor indexed="64"/>
      </patternFill>
    </fill>
    <fill>
      <patternFill patternType="solid">
        <fgColor rgb="FFFFE0E0"/>
        <bgColor indexed="64"/>
      </patternFill>
    </fill>
    <fill>
      <patternFill patternType="solid">
        <fgColor rgb="FFFFE0FF"/>
        <bgColor indexed="64"/>
      </patternFill>
    </fill>
    <fill>
      <patternFill patternType="solid">
        <fgColor rgb="FF3A5FCD"/>
        <bgColor indexed="64"/>
      </patternFill>
    </fill>
    <fill>
      <patternFill patternType="solid">
        <fgColor rgb="FFEE82EE"/>
        <bgColor indexed="64"/>
      </patternFill>
    </fill>
    <fill>
      <patternFill patternType="solid">
        <fgColor rgb="FF958070"/>
        <bgColor indexed="64"/>
      </patternFill>
    </fill>
    <fill>
      <patternFill patternType="solid">
        <fgColor rgb="FFFFFF20"/>
        <bgColor indexed="64"/>
      </patternFill>
    </fill>
    <fill>
      <patternFill patternType="solid">
        <fgColor rgb="FFFFFF40"/>
        <bgColor indexed="64"/>
      </patternFill>
    </fill>
    <fill>
      <patternFill patternType="solid">
        <fgColor rgb="FFFFFF60"/>
        <bgColor indexed="64"/>
      </patternFill>
    </fill>
    <fill>
      <patternFill patternType="solid">
        <fgColor rgb="FFFFFF80"/>
        <bgColor indexed="64"/>
      </patternFill>
    </fill>
    <fill>
      <patternFill patternType="solid">
        <fgColor rgb="FFFFFFA0"/>
        <bgColor indexed="64"/>
      </patternFill>
    </fill>
    <fill>
      <patternFill patternType="solid">
        <fgColor rgb="FFFFFFC0"/>
        <bgColor indexed="64"/>
      </patternFill>
    </fill>
    <fill>
      <patternFill patternType="solid">
        <fgColor rgb="FF6C79B8"/>
        <bgColor indexed="64"/>
      </patternFill>
    </fill>
    <fill>
      <patternFill patternType="solid">
        <fgColor rgb="FFCDB5CD"/>
        <bgColor indexed="64"/>
      </patternFill>
    </fill>
    <fill>
      <patternFill patternType="solid">
        <fgColor rgb="FF8E8279"/>
        <bgColor indexed="64"/>
      </patternFill>
    </fill>
    <fill>
      <patternFill patternType="solid">
        <fgColor rgb="FF4156C5"/>
        <bgColor indexed="64"/>
      </patternFill>
    </fill>
    <fill>
      <patternFill patternType="solid">
        <fgColor rgb="FFDDA0DD"/>
        <bgColor indexed="64"/>
      </patternFill>
    </fill>
    <fill>
      <patternFill patternType="solid">
        <fgColor rgb="FF8B7765"/>
        <bgColor indexed="64"/>
      </patternFill>
    </fill>
    <fill>
      <patternFill patternType="solid">
        <fgColor rgb="FF686F8C"/>
        <bgColor indexed="64"/>
      </patternFill>
    </fill>
    <fill>
      <patternFill patternType="solid">
        <fgColor rgb="FFD8BFD8"/>
        <bgColor indexed="64"/>
      </patternFill>
    </fill>
    <fill>
      <patternFill patternType="solid">
        <fgColor rgb="FF996515"/>
        <bgColor indexed="64"/>
      </patternFill>
    </fill>
    <fill>
      <patternFill patternType="solid">
        <fgColor rgb="FF003399"/>
        <bgColor indexed="64"/>
      </patternFill>
    </fill>
    <fill>
      <patternFill patternType="solid">
        <fgColor rgb="FFFF83FA"/>
        <bgColor indexed="64"/>
      </patternFill>
    </fill>
    <fill>
      <patternFill patternType="solid">
        <fgColor rgb="FF8F5922"/>
        <bgColor indexed="64"/>
      </patternFill>
    </fill>
    <fill>
      <patternFill patternType="solid">
        <fgColor rgb="FF27408B"/>
        <bgColor indexed="64"/>
      </patternFill>
    </fill>
    <fill>
      <patternFill patternType="solid">
        <fgColor rgb="FFEAADEA"/>
        <bgColor indexed="64"/>
      </patternFill>
    </fill>
    <fill>
      <patternFill patternType="solid">
        <fgColor rgb="FF8B5A2B"/>
        <bgColor indexed="64"/>
      </patternFill>
    </fill>
    <fill>
      <patternFill patternType="solid">
        <fgColor rgb="FF4C516D"/>
        <bgColor indexed="64"/>
      </patternFill>
    </fill>
    <fill>
      <patternFill patternType="solid">
        <fgColor rgb="FFEEAEEE"/>
        <bgColor indexed="64"/>
      </patternFill>
    </fill>
    <fill>
      <patternFill patternType="solid">
        <fgColor rgb="FF8B5A00"/>
        <bgColor indexed="64"/>
      </patternFill>
    </fill>
    <fill>
      <patternFill patternType="solid">
        <fgColor rgb="FF002266"/>
        <bgColor indexed="64"/>
      </patternFill>
    </fill>
    <fill>
      <patternFill patternType="solid">
        <fgColor rgb="FFFFBBFF"/>
        <bgColor indexed="64"/>
      </patternFill>
    </fill>
    <fill>
      <patternFill patternType="solid">
        <fgColor rgb="FF87591A"/>
        <bgColor indexed="64"/>
      </patternFill>
    </fill>
    <fill>
      <patternFill patternType="solid">
        <fgColor rgb="FF6600FF"/>
        <bgColor indexed="64"/>
      </patternFill>
    </fill>
    <fill>
      <patternFill patternType="solid">
        <fgColor rgb="FFEED2EE"/>
        <bgColor indexed="64"/>
      </patternFill>
    </fill>
    <fill>
      <patternFill patternType="solid">
        <fgColor rgb="FF7E5835"/>
        <bgColor indexed="64"/>
      </patternFill>
    </fill>
    <fill>
      <patternFill patternType="solid">
        <fgColor rgb="FF7B68EE"/>
        <bgColor indexed="64"/>
      </patternFill>
    </fill>
    <fill>
      <patternFill patternType="solid">
        <fgColor rgb="FFFFE1FF"/>
        <bgColor indexed="64"/>
      </patternFill>
    </fill>
    <fill>
      <patternFill patternType="solid">
        <fgColor rgb="FF85530F"/>
        <bgColor indexed="64"/>
      </patternFill>
    </fill>
    <fill>
      <patternFill patternType="solid">
        <fgColor rgb="FF9683EC"/>
        <bgColor indexed="64"/>
      </patternFill>
    </fill>
    <fill>
      <patternFill patternType="solid">
        <fgColor rgb="FFCD96CD"/>
        <bgColor indexed="64"/>
      </patternFill>
    </fill>
    <fill>
      <patternFill patternType="solid">
        <fgColor rgb="FF614B3A"/>
        <bgColor indexed="64"/>
      </patternFill>
    </fill>
    <fill>
      <patternFill patternType="solid">
        <fgColor rgb="FF836FFF"/>
        <bgColor indexed="64"/>
      </patternFill>
    </fill>
    <fill>
      <patternFill patternType="solid">
        <fgColor rgb="FFDB70DB"/>
        <bgColor indexed="64"/>
      </patternFill>
    </fill>
    <fill>
      <patternFill patternType="solid">
        <fgColor rgb="FF6A4B21"/>
        <bgColor indexed="64"/>
      </patternFill>
    </fill>
    <fill>
      <patternFill patternType="solid">
        <fgColor rgb="FF8470FF"/>
        <bgColor indexed="64"/>
      </patternFill>
    </fill>
    <fill>
      <patternFill patternType="solid">
        <fgColor rgb="FFDA70D6"/>
        <bgColor indexed="64"/>
      </patternFill>
    </fill>
    <fill>
      <patternFill patternType="solid">
        <fgColor rgb="FF654522"/>
        <bgColor indexed="64"/>
      </patternFill>
    </fill>
    <fill>
      <patternFill patternType="solid">
        <fgColor rgb="FF7A67EE"/>
        <bgColor indexed="64"/>
      </patternFill>
    </fill>
    <fill>
      <patternFill patternType="solid">
        <fgColor rgb="FFEE00EE"/>
        <bgColor indexed="64"/>
      </patternFill>
    </fill>
    <fill>
      <patternFill patternType="solid">
        <fgColor rgb="FF5B3C11"/>
        <bgColor indexed="64"/>
      </patternFill>
    </fill>
    <fill>
      <patternFill patternType="solid">
        <fgColor rgb="FF791CF8"/>
        <bgColor indexed="64"/>
      </patternFill>
    </fill>
    <fill>
      <patternFill patternType="solid">
        <fgColor rgb="FFD473D4"/>
        <bgColor indexed="64"/>
      </patternFill>
    </fill>
    <fill>
      <patternFill patternType="solid">
        <fgColor rgb="FF483C32"/>
        <bgColor indexed="64"/>
      </patternFill>
    </fill>
    <fill>
      <patternFill patternType="solid">
        <fgColor rgb="FF6A5ACD"/>
        <bgColor indexed="64"/>
      </patternFill>
    </fill>
    <fill>
      <patternFill patternType="solid">
        <fgColor rgb="FFCD69C9"/>
        <bgColor indexed="64"/>
      </patternFill>
    </fill>
    <fill>
      <patternFill patternType="solid">
        <fgColor rgb="FF4B3621"/>
        <bgColor indexed="64"/>
      </patternFill>
    </fill>
    <fill>
      <patternFill patternType="solid">
        <fgColor rgb="FF6959CD"/>
        <bgColor indexed="64"/>
      </patternFill>
    </fill>
    <fill>
      <patternFill patternType="solid">
        <fgColor rgb="FFAA98A9"/>
        <bgColor indexed="64"/>
      </patternFill>
    </fill>
    <fill>
      <patternFill patternType="solid">
        <fgColor rgb="FF462E01"/>
        <bgColor indexed="64"/>
      </patternFill>
    </fill>
    <fill>
      <patternFill patternType="solid">
        <fgColor rgb="FF8C82B6"/>
        <bgColor indexed="64"/>
      </patternFill>
    </fill>
    <fill>
      <patternFill patternType="solid">
        <fgColor rgb="FFCD00CD"/>
        <bgColor indexed="64"/>
      </patternFill>
    </fill>
    <fill>
      <patternFill patternType="solid">
        <fgColor rgb="FF2D241E"/>
        <bgColor indexed="64"/>
      </patternFill>
    </fill>
    <fill>
      <patternFill patternType="solid">
        <fgColor rgb="FF9690AB"/>
        <bgColor indexed="64"/>
      </patternFill>
    </fill>
    <fill>
      <patternFill patternType="solid">
        <fgColor rgb="FF9F5F9F"/>
        <bgColor indexed="64"/>
      </patternFill>
    </fill>
    <fill>
      <patternFill patternType="solid">
        <fgColor rgb="FF2F1E0E"/>
        <bgColor indexed="64"/>
      </patternFill>
    </fill>
    <fill>
      <patternFill patternType="solid">
        <fgColor rgb="FF7E73B8"/>
        <bgColor indexed="64"/>
      </patternFill>
    </fill>
    <fill>
      <patternFill patternType="solid">
        <fgColor rgb="FF8B7B8B"/>
        <bgColor indexed="64"/>
      </patternFill>
    </fill>
    <fill>
      <patternFill patternType="solid">
        <fgColor rgb="FF130E0A"/>
        <bgColor indexed="64"/>
      </patternFill>
    </fill>
    <fill>
      <patternFill patternType="solid">
        <fgColor rgb="FF604E97"/>
        <bgColor indexed="64"/>
      </patternFill>
    </fill>
    <fill>
      <patternFill patternType="solid">
        <fgColor rgb="FF8B668B"/>
        <bgColor indexed="64"/>
      </patternFill>
    </fill>
    <fill>
      <patternFill patternType="solid">
        <fgColor rgb="FF483D8B"/>
        <bgColor indexed="64"/>
      </patternFill>
    </fill>
    <fill>
      <patternFill patternType="solid">
        <fgColor rgb="FF796878"/>
        <bgColor indexed="64"/>
      </patternFill>
    </fill>
    <fill>
      <patternFill patternType="solid">
        <fgColor rgb="FFFF2400"/>
        <bgColor indexed="64"/>
      </patternFill>
    </fill>
    <fill>
      <patternFill patternType="solid">
        <fgColor rgb="FF473C8B"/>
        <bgColor indexed="64"/>
      </patternFill>
    </fill>
    <fill>
      <patternFill patternType="solid">
        <fgColor rgb="FF8B4789"/>
        <bgColor indexed="64"/>
      </patternFill>
    </fill>
    <fill>
      <patternFill patternType="solid">
        <fgColor rgb="FFFF4500"/>
        <bgColor indexed="64"/>
      </patternFill>
    </fill>
    <fill>
      <patternFill patternType="solid">
        <fgColor rgb="FF2E006C"/>
        <bgColor indexed="64"/>
      </patternFill>
    </fill>
    <fill>
      <patternFill patternType="solid">
        <fgColor rgb="FF8B008B"/>
        <bgColor indexed="64"/>
      </patternFill>
    </fill>
    <fill>
      <patternFill patternType="solid">
        <fgColor rgb="FFFF4901"/>
        <bgColor indexed="64"/>
      </patternFill>
    </fill>
    <fill>
      <patternFill patternType="solid">
        <fgColor rgb="FFBCEE68"/>
        <bgColor indexed="64"/>
      </patternFill>
    </fill>
    <fill>
      <patternFill patternType="solid">
        <fgColor rgb="FFFF0921"/>
        <bgColor indexed="64"/>
      </patternFill>
    </fill>
    <fill>
      <patternFill patternType="solid">
        <fgColor rgb="FFC0FF3E"/>
        <bgColor indexed="64"/>
      </patternFill>
    </fill>
    <fill>
      <patternFill patternType="solid">
        <fgColor rgb="FF4F2F4F"/>
        <bgColor indexed="64"/>
      </patternFill>
    </fill>
    <fill>
      <patternFill patternType="solid">
        <fgColor rgb="FFFF3030"/>
        <bgColor indexed="64"/>
      </patternFill>
    </fill>
    <fill>
      <patternFill patternType="solid">
        <fgColor rgb="FFBEF574"/>
        <bgColor indexed="64"/>
      </patternFill>
    </fill>
    <fill>
      <patternFill patternType="solid">
        <fgColor rgb="FF291E29"/>
        <bgColor indexed="64"/>
      </patternFill>
    </fill>
    <fill>
      <patternFill patternType="solid">
        <fgColor rgb="FFCAFF70"/>
        <bgColor indexed="64"/>
      </patternFill>
    </fill>
    <fill>
      <patternFill patternType="solid">
        <fgColor rgb="FF242124"/>
        <bgColor indexed="64"/>
      </patternFill>
    </fill>
    <fill>
      <patternFill patternType="solid">
        <fgColor rgb="FFFF6347"/>
        <bgColor indexed="64"/>
      </patternFill>
    </fill>
    <fill>
      <patternFill patternType="solid">
        <fgColor rgb="FFFBFCFA"/>
        <bgColor indexed="64"/>
      </patternFill>
    </fill>
    <fill>
      <patternFill patternType="solid">
        <fgColor rgb="FFE35BD8"/>
        <bgColor indexed="64"/>
      </patternFill>
    </fill>
    <fill>
      <patternFill patternType="solid">
        <fgColor rgb="FFFF5E4D"/>
        <bgColor indexed="64"/>
      </patternFill>
    </fill>
    <fill>
      <patternFill patternType="solid">
        <fgColor rgb="FFB3EE3A"/>
        <bgColor indexed="64"/>
      </patternFill>
    </fill>
    <fill>
      <patternFill patternType="solid">
        <fgColor rgb="FF54194E"/>
        <bgColor indexed="64"/>
      </patternFill>
    </fill>
    <fill>
      <patternFill patternType="solid">
        <fgColor rgb="FFFC5D5D"/>
        <bgColor indexed="64"/>
      </patternFill>
    </fill>
    <fill>
      <patternFill patternType="solid">
        <fgColor rgb="FFA5D152"/>
        <bgColor indexed="64"/>
      </patternFill>
    </fill>
    <fill>
      <patternFill patternType="solid">
        <fgColor rgb="FF341731"/>
        <bgColor indexed="64"/>
      </patternFill>
    </fill>
    <fill>
      <patternFill patternType="solid">
        <fgColor rgb="FFD9A6A9"/>
        <bgColor indexed="64"/>
      </patternFill>
    </fill>
    <fill>
      <patternFill patternType="solid">
        <fgColor rgb="FFA2CD5A"/>
        <bgColor indexed="64"/>
      </patternFill>
    </fill>
    <fill>
      <patternFill patternType="solid">
        <fgColor rgb="FFD5BADB"/>
        <bgColor indexed="64"/>
      </patternFill>
    </fill>
    <fill>
      <patternFill patternType="solid">
        <fgColor rgb="FFF08080"/>
        <bgColor indexed="64"/>
      </patternFill>
    </fill>
    <fill>
      <patternFill patternType="solid">
        <fgColor rgb="FF9ACD32"/>
        <bgColor indexed="64"/>
      </patternFill>
    </fill>
    <fill>
      <patternFill patternType="solid">
        <fgColor rgb="FF6C0277"/>
        <bgColor indexed="64"/>
      </patternFill>
    </fill>
    <fill>
      <patternFill patternType="solid">
        <fgColor rgb="FFDEA5A4"/>
        <bgColor indexed="64"/>
      </patternFill>
    </fill>
    <fill>
      <patternFill patternType="solid">
        <fgColor rgb="FF99CC32"/>
        <bgColor indexed="64"/>
      </patternFill>
    </fill>
    <fill>
      <patternFill patternType="solid">
        <fgColor rgb="FF301934"/>
        <bgColor indexed="64"/>
      </patternFill>
    </fill>
    <fill>
      <patternFill patternType="solid">
        <fgColor rgb="FFEA9399"/>
        <bgColor indexed="64"/>
      </patternFill>
    </fill>
    <fill>
      <patternFill patternType="solid">
        <fgColor rgb="FF6E8B3D"/>
        <bgColor indexed="64"/>
      </patternFill>
    </fill>
    <fill>
      <patternFill patternType="solid">
        <fgColor rgb="FF007FFF"/>
        <bgColor indexed="64"/>
      </patternFill>
    </fill>
    <fill>
      <patternFill patternType="solid">
        <fgColor rgb="FFFA8072"/>
        <bgColor indexed="64"/>
      </patternFill>
    </fill>
    <fill>
      <patternFill patternType="solid">
        <fgColor rgb="FF6B8E23"/>
        <bgColor indexed="64"/>
      </patternFill>
    </fill>
    <fill>
      <patternFill patternType="solid">
        <fgColor rgb="FF1E90FF"/>
        <bgColor indexed="64"/>
      </patternFill>
    </fill>
    <fill>
      <patternFill patternType="solid">
        <fgColor rgb="FFF88379"/>
        <bgColor indexed="64"/>
      </patternFill>
    </fill>
    <fill>
      <patternFill patternType="solid">
        <fgColor rgb="FF698B22"/>
        <bgColor indexed="64"/>
      </patternFill>
    </fill>
    <fill>
      <patternFill patternType="solid">
        <fgColor rgb="FFC0C8E1"/>
        <bgColor indexed="64"/>
      </patternFill>
    </fill>
    <fill>
      <patternFill patternType="solid">
        <fgColor rgb="FFFF6A6A"/>
        <bgColor indexed="64"/>
      </patternFill>
    </fill>
    <fill>
      <patternFill patternType="solid">
        <fgColor rgb="FF556B2F"/>
        <bgColor indexed="64"/>
      </patternFill>
    </fill>
    <fill>
      <patternFill patternType="solid">
        <fgColor rgb="FF6495ED"/>
        <bgColor indexed="64"/>
      </patternFill>
    </fill>
    <fill>
      <patternFill patternType="solid">
        <fgColor rgb="FFFF6F7D"/>
        <bgColor indexed="64"/>
      </patternFill>
    </fill>
    <fill>
      <patternFill patternType="solid">
        <fgColor rgb="FF31362B"/>
        <bgColor indexed="64"/>
      </patternFill>
    </fill>
    <fill>
      <patternFill patternType="solid">
        <fgColor rgb="FF7093DB"/>
        <bgColor indexed="64"/>
      </patternFill>
    </fill>
    <fill>
      <patternFill patternType="solid">
        <fgColor rgb="FFCDC9C9"/>
        <bgColor indexed="64"/>
      </patternFill>
    </fill>
    <fill>
      <patternFill patternType="solid">
        <fgColor rgb="FFC2F732"/>
        <bgColor indexed="64"/>
      </patternFill>
    </fill>
    <fill>
      <patternFill patternType="solid">
        <fgColor rgb="FF1C86EE"/>
        <bgColor indexed="64"/>
      </patternFill>
    </fill>
    <fill>
      <patternFill patternType="solid">
        <fgColor rgb="FFFE96A0"/>
        <bgColor indexed="64"/>
      </patternFill>
    </fill>
    <fill>
      <patternFill patternType="solid">
        <fgColor rgb="FF8DB600"/>
        <bgColor indexed="64"/>
      </patternFill>
    </fill>
    <fill>
      <patternFill patternType="solid">
        <fgColor rgb="FF8EA2C6"/>
        <bgColor indexed="64"/>
      </patternFill>
    </fill>
    <fill>
      <patternFill patternType="solid">
        <fgColor rgb="FFEEB4B4"/>
        <bgColor indexed="64"/>
      </patternFill>
    </fill>
    <fill>
      <patternFill patternType="solid">
        <fgColor rgb="FF7E9F2E"/>
        <bgColor indexed="64"/>
      </patternFill>
    </fill>
    <fill>
      <patternFill patternType="solid">
        <fgColor rgb="FF318CE7"/>
        <bgColor indexed="64"/>
      </patternFill>
    </fill>
    <fill>
      <patternFill patternType="solid">
        <fgColor rgb="FFF4C2C2"/>
        <bgColor indexed="64"/>
      </patternFill>
    </fill>
    <fill>
      <patternFill patternType="solid">
        <fgColor rgb="FF708D23"/>
        <bgColor indexed="64"/>
      </patternFill>
    </fill>
    <fill>
      <patternFill patternType="solid">
        <fgColor rgb="FF1874CD"/>
        <bgColor indexed="64"/>
      </patternFill>
    </fill>
    <fill>
      <patternFill patternType="solid">
        <fgColor rgb="FFFFB5BA"/>
        <bgColor indexed="64"/>
      </patternFill>
    </fill>
    <fill>
      <patternFill patternType="solid">
        <fgColor rgb="FF596643"/>
        <bgColor indexed="64"/>
      </patternFill>
    </fill>
    <fill>
      <patternFill patternType="solid">
        <fgColor rgb="FF1560BD"/>
        <bgColor indexed="64"/>
      </patternFill>
    </fill>
    <fill>
      <patternFill patternType="solid">
        <fgColor rgb="FFEAD8D7"/>
        <bgColor indexed="64"/>
      </patternFill>
    </fill>
    <fill>
      <patternFill patternType="solid">
        <fgColor rgb="FF515744"/>
        <bgColor indexed="64"/>
      </patternFill>
    </fill>
    <fill>
      <patternFill patternType="solid">
        <fgColor rgb="FF5472AE"/>
        <bgColor indexed="64"/>
      </patternFill>
    </fill>
    <fill>
      <patternFill patternType="solid">
        <fgColor rgb="FFFFC1C1"/>
        <bgColor indexed="64"/>
      </patternFill>
    </fill>
    <fill>
      <patternFill patternType="solid">
        <fgColor rgb="FF4A5D23"/>
        <bgColor indexed="64"/>
      </patternFill>
    </fill>
    <fill>
      <patternFill patternType="solid">
        <fgColor rgb="FF26619C"/>
        <bgColor indexed="64"/>
      </patternFill>
    </fill>
    <fill>
      <patternFill patternType="solid">
        <fgColor rgb="FFF9CCCA"/>
        <bgColor indexed="64"/>
      </patternFill>
    </fill>
    <fill>
      <patternFill patternType="solid">
        <fgColor rgb="FF404F00"/>
        <bgColor indexed="64"/>
      </patternFill>
    </fill>
    <fill>
      <patternFill patternType="solid">
        <fgColor rgb="FF425B8A"/>
        <bgColor indexed="64"/>
      </patternFill>
    </fill>
    <fill>
      <patternFill patternType="solid">
        <fgColor rgb="FFEEE9E9"/>
        <bgColor indexed="64"/>
      </patternFill>
    </fill>
    <fill>
      <patternFill patternType="solid">
        <fgColor rgb="FF232F00"/>
        <bgColor indexed="64"/>
      </patternFill>
    </fill>
    <fill>
      <patternFill patternType="solid">
        <fgColor rgb="FF104E8B"/>
        <bgColor indexed="64"/>
      </patternFill>
    </fill>
    <fill>
      <patternFill patternType="solid">
        <fgColor rgb="FFFFFAFA"/>
        <bgColor indexed="64"/>
      </patternFill>
    </fill>
    <fill>
      <patternFill patternType="solid">
        <fgColor rgb="FF9EFD38"/>
        <bgColor indexed="64"/>
      </patternFill>
    </fill>
    <fill>
      <patternFill patternType="solid">
        <fgColor rgb="FF5A5E6B"/>
        <bgColor indexed="64"/>
      </patternFill>
    </fill>
    <fill>
      <patternFill patternType="solid">
        <fgColor rgb="FFFE1B00"/>
        <bgColor indexed="64"/>
      </patternFill>
    </fill>
    <fill>
      <patternFill patternType="solid">
        <fgColor rgb="FFADFF2F"/>
        <bgColor indexed="64"/>
      </patternFill>
    </fill>
    <fill>
      <patternFill patternType="solid">
        <fgColor rgb="FF22427C"/>
        <bgColor indexed="64"/>
      </patternFill>
    </fill>
    <fill>
      <patternFill patternType="solid">
        <fgColor rgb="FFEE6363"/>
        <bgColor indexed="64"/>
      </patternFill>
    </fill>
    <fill>
      <patternFill patternType="solid">
        <fgColor rgb="FF9FE855"/>
        <bgColor indexed="64"/>
      </patternFill>
    </fill>
    <fill>
      <patternFill patternType="solid">
        <fgColor rgb="FF003366"/>
        <bgColor indexed="64"/>
      </patternFill>
    </fill>
    <fill>
      <patternFill patternType="solid">
        <fgColor rgb="FFC4AEAD"/>
        <bgColor indexed="64"/>
      </patternFill>
    </fill>
    <fill>
      <patternFill patternType="solid">
        <fgColor rgb="FF7BA05B"/>
        <bgColor indexed="64"/>
      </patternFill>
    </fill>
    <fill>
      <patternFill patternType="solid">
        <fgColor rgb="FF03224C"/>
        <bgColor indexed="64"/>
      </patternFill>
    </fill>
    <fill>
      <patternFill patternType="solid">
        <fgColor rgb="FFCD9B9B"/>
        <bgColor indexed="64"/>
      </patternFill>
    </fill>
    <fill>
      <patternFill patternType="solid">
        <fgColor rgb="FF568203"/>
        <bgColor indexed="64"/>
      </patternFill>
    </fill>
    <fill>
      <patternFill patternType="solid">
        <fgColor rgb="FF7F00FF"/>
        <bgColor indexed="64"/>
      </patternFill>
    </fill>
    <fill>
      <patternFill patternType="solid">
        <fgColor rgb="FFE4717A"/>
        <bgColor indexed="64"/>
      </patternFill>
    </fill>
    <fill>
      <patternFill patternType="solid">
        <fgColor rgb="FF9B30FF"/>
        <bgColor indexed="64"/>
      </patternFill>
    </fill>
    <fill>
      <patternFill patternType="solid">
        <fgColor rgb="FFF7230C"/>
        <bgColor indexed="64"/>
      </patternFill>
    </fill>
    <fill>
      <patternFill patternType="solid">
        <fgColor rgb="FFB4CDCD"/>
        <bgColor indexed="64"/>
      </patternFill>
    </fill>
    <fill>
      <patternFill patternType="solid">
        <fgColor rgb="FF9F79EE"/>
        <bgColor indexed="64"/>
      </patternFill>
    </fill>
    <fill>
      <patternFill patternType="solid">
        <fgColor rgb="FFBBACAC"/>
        <bgColor indexed="64"/>
      </patternFill>
    </fill>
    <fill>
      <patternFill patternType="solid">
        <fgColor rgb="FF8DEEEE"/>
        <bgColor indexed="64"/>
      </patternFill>
    </fill>
    <fill>
      <patternFill patternType="solid">
        <fgColor rgb="FFAB82FF"/>
        <bgColor indexed="64"/>
      </patternFill>
    </fill>
    <fill>
      <patternFill patternType="solid">
        <fgColor rgb="FFE66761"/>
        <bgColor indexed="64"/>
      </patternFill>
    </fill>
    <fill>
      <patternFill patternType="solid">
        <fgColor rgb="FF79F8F8"/>
        <bgColor indexed="64"/>
      </patternFill>
    </fill>
    <fill>
      <patternFill patternType="solid">
        <fgColor rgb="FFD2CAEC"/>
        <bgColor indexed="64"/>
      </patternFill>
    </fill>
    <fill>
      <patternFill patternType="solid">
        <fgColor rgb="FFEE5C42"/>
        <bgColor indexed="64"/>
      </patternFill>
    </fill>
    <fill>
      <patternFill patternType="solid">
        <fgColor rgb="FFC1CDCD"/>
        <bgColor indexed="64"/>
      </patternFill>
    </fill>
    <fill>
      <patternFill patternType="solid">
        <fgColor rgb="FFDCD0FF"/>
        <bgColor indexed="64"/>
      </patternFill>
    </fill>
    <fill>
      <patternFill patternType="solid">
        <fgColor rgb="FFEE3B3B"/>
        <bgColor indexed="64"/>
      </patternFill>
    </fill>
    <fill>
      <patternFill patternType="solid">
        <fgColor rgb="FFADEAEA"/>
        <bgColor indexed="64"/>
      </patternFill>
    </fill>
    <fill>
      <patternFill patternType="solid">
        <fgColor rgb="FF912CEE"/>
        <bgColor indexed="64"/>
      </patternFill>
    </fill>
    <fill>
      <patternFill patternType="solid">
        <fgColor rgb="FFEE2C2C"/>
        <bgColor indexed="64"/>
      </patternFill>
    </fill>
    <fill>
      <patternFill patternType="solid">
        <fgColor rgb="FFAEEEEE"/>
        <bgColor indexed="64"/>
      </patternFill>
    </fill>
    <fill>
      <patternFill patternType="solid">
        <fgColor rgb="FF9370DB"/>
        <bgColor indexed="64"/>
      </patternFill>
    </fill>
    <fill>
      <patternFill patternType="solid">
        <fgColor rgb="FFEE1010"/>
        <bgColor indexed="64"/>
      </patternFill>
    </fill>
    <fill>
      <patternFill patternType="solid">
        <fgColor rgb="FFAFEEEE"/>
        <bgColor indexed="64"/>
      </patternFill>
    </fill>
    <fill>
      <patternFill patternType="solid">
        <fgColor rgb="FF8A2BE2"/>
        <bgColor indexed="64"/>
      </patternFill>
    </fill>
    <fill>
      <patternFill patternType="solid">
        <fgColor rgb="FFE9383F"/>
        <bgColor indexed="64"/>
      </patternFill>
    </fill>
    <fill>
      <patternFill patternType="solid">
        <fgColor rgb="FF97FFFF"/>
        <bgColor indexed="64"/>
      </patternFill>
    </fill>
    <fill>
      <patternFill patternType="solid">
        <fgColor rgb="FF8968CD"/>
        <bgColor indexed="64"/>
      </patternFill>
    </fill>
    <fill>
      <patternFill patternType="solid">
        <fgColor rgb="FFEE0000"/>
        <bgColor indexed="64"/>
      </patternFill>
    </fill>
    <fill>
      <patternFill patternType="solid">
        <fgColor rgb="FFD1EEEE"/>
        <bgColor indexed="64"/>
      </patternFill>
    </fill>
    <fill>
      <patternFill patternType="solid">
        <fgColor rgb="FF9065CA"/>
        <bgColor indexed="64"/>
      </patternFill>
    </fill>
    <fill>
      <patternFill patternType="solid">
        <fgColor rgb="FFEE4000"/>
        <bgColor indexed="64"/>
      </patternFill>
    </fill>
    <fill>
      <patternFill patternType="solid">
        <fgColor rgb="FFBBFFFF"/>
        <bgColor indexed="64"/>
      </patternFill>
    </fill>
    <fill>
      <patternFill patternType="solid">
        <fgColor rgb="FF7D26CD"/>
        <bgColor indexed="64"/>
      </patternFill>
    </fill>
    <fill>
      <patternFill patternType="solid">
        <fgColor rgb="FFED0000"/>
        <bgColor indexed="64"/>
      </patternFill>
    </fill>
    <fill>
      <patternFill patternType="solid">
        <fgColor rgb="FFE0EEEE"/>
        <bgColor indexed="64"/>
      </patternFill>
    </fill>
    <fill>
      <patternFill patternType="solid">
        <fgColor rgb="FF635688"/>
        <bgColor indexed="64"/>
      </patternFill>
    </fill>
    <fill>
      <patternFill patternType="solid">
        <fgColor rgb="FFE73E01"/>
        <bgColor indexed="64"/>
      </patternFill>
    </fill>
    <fill>
      <patternFill patternType="solid">
        <fgColor rgb="FF5D478B"/>
        <bgColor indexed="64"/>
      </patternFill>
    </fill>
    <fill>
      <patternFill patternType="solid">
        <fgColor rgb="FFBC8F8F"/>
        <bgColor indexed="64"/>
      </patternFill>
    </fill>
    <fill>
      <patternFill patternType="solid">
        <fgColor rgb="FFF0FFFF"/>
        <bgColor indexed="64"/>
      </patternFill>
    </fill>
    <fill>
      <patternFill patternType="solid">
        <fgColor rgb="FF604E81"/>
        <bgColor indexed="64"/>
      </patternFill>
    </fill>
    <fill>
      <patternFill patternType="solid">
        <fgColor rgb="FFE21313"/>
        <bgColor indexed="64"/>
      </patternFill>
    </fill>
    <fill>
      <patternFill patternType="solid">
        <fgColor rgb="FFF2FFFF"/>
        <bgColor indexed="64"/>
      </patternFill>
    </fill>
    <fill>
      <patternFill patternType="solid">
        <fgColor rgb="FF554C69"/>
        <bgColor indexed="64"/>
      </patternFill>
    </fill>
    <fill>
      <patternFill patternType="solid">
        <fgColor rgb="FFC08081"/>
        <bgColor indexed="64"/>
      </patternFill>
    </fill>
    <fill>
      <patternFill patternType="solid">
        <fgColor rgb="FFF4FEFE"/>
        <bgColor indexed="64"/>
      </patternFill>
    </fill>
    <fill>
      <patternFill patternType="solid">
        <fgColor rgb="FFADD8E6"/>
        <bgColor indexed="64"/>
      </patternFill>
    </fill>
    <fill>
      <patternFill patternType="solid">
        <fgColor rgb="FFDE2916"/>
        <bgColor indexed="64"/>
      </patternFill>
    </fill>
    <fill>
      <patternFill patternType="solid">
        <fgColor rgb="FFF6FEFE"/>
        <bgColor indexed="64"/>
      </patternFill>
    </fill>
    <fill>
      <patternFill patternType="solid">
        <fgColor rgb="FFB2DFEE"/>
        <bgColor indexed="64"/>
      </patternFill>
    </fill>
    <fill>
      <patternFill patternType="solid">
        <fgColor rgb="FFCD5C5C"/>
        <bgColor indexed="64"/>
      </patternFill>
    </fill>
    <fill>
      <patternFill patternType="solid">
        <fgColor rgb="FF2BFAFA"/>
        <bgColor indexed="64"/>
      </patternFill>
    </fill>
    <fill>
      <patternFill patternType="solid">
        <fgColor rgb="FFA9EAFE"/>
        <bgColor indexed="64"/>
      </patternFill>
    </fill>
    <fill>
      <patternFill patternType="solid">
        <fgColor rgb="FFDB1702"/>
        <bgColor indexed="64"/>
      </patternFill>
    </fill>
    <fill>
      <patternFill patternType="solid">
        <fgColor rgb="FF96CDCD"/>
        <bgColor indexed="64"/>
      </patternFill>
    </fill>
    <fill>
      <patternFill patternType="solid">
        <fgColor rgb="FFBFEFFF"/>
        <bgColor indexed="64"/>
      </patternFill>
    </fill>
    <fill>
      <patternFill patternType="solid">
        <fgColor rgb="FFCD5555"/>
        <bgColor indexed="64"/>
      </patternFill>
    </fill>
    <fill>
      <patternFill patternType="solid">
        <fgColor rgb="FF70DBDB"/>
        <bgColor indexed="64"/>
      </patternFill>
    </fill>
    <fill>
      <patternFill patternType="solid">
        <fgColor rgb="FF9AC0CD"/>
        <bgColor indexed="64"/>
      </patternFill>
    </fill>
    <fill>
      <patternFill patternType="solid">
        <fgColor rgb="FFD90115"/>
        <bgColor indexed="64"/>
      </patternFill>
    </fill>
    <fill>
      <patternFill patternType="solid">
        <fgColor rgb="FF80D0D0"/>
        <bgColor indexed="64"/>
      </patternFill>
    </fill>
    <fill>
      <patternFill patternType="solid">
        <fgColor rgb="FF66AABC"/>
        <bgColor indexed="64"/>
      </patternFill>
    </fill>
    <fill>
      <patternFill patternType="solid">
        <fgColor rgb="FFCD4F39"/>
        <bgColor indexed="64"/>
      </patternFill>
    </fill>
    <fill>
      <patternFill patternType="solid">
        <fgColor rgb="FF00EEEE"/>
        <bgColor indexed="64"/>
      </patternFill>
    </fill>
    <fill>
      <patternFill patternType="solid">
        <fgColor rgb="FF239EBA"/>
        <bgColor indexed="64"/>
      </patternFill>
    </fill>
    <fill>
      <patternFill patternType="solid">
        <fgColor rgb="FFCD3333"/>
        <bgColor indexed="64"/>
      </patternFill>
    </fill>
    <fill>
      <patternFill patternType="solid">
        <fgColor rgb="FF79CDCD"/>
        <bgColor indexed="64"/>
      </patternFill>
    </fill>
    <fill>
      <patternFill patternType="solid">
        <fgColor rgb="FF68838B"/>
        <bgColor indexed="64"/>
      </patternFill>
    </fill>
    <fill>
      <patternFill patternType="solid">
        <fgColor rgb="FFCC3333"/>
        <bgColor indexed="64"/>
      </patternFill>
    </fill>
    <fill>
      <patternFill patternType="solid">
        <fgColor rgb="FF48D1CC"/>
        <bgColor indexed="64"/>
      </patternFill>
    </fill>
    <fill>
      <patternFill patternType="solid">
        <fgColor rgb="FF2E8495"/>
        <bgColor indexed="64"/>
      </patternFill>
    </fill>
    <fill>
      <patternFill patternType="solid">
        <fgColor rgb="FFCD2626"/>
        <bgColor indexed="64"/>
      </patternFill>
    </fill>
    <fill>
      <patternFill patternType="solid">
        <fgColor rgb="FF00CED1"/>
        <bgColor indexed="64"/>
      </patternFill>
    </fill>
    <fill>
      <patternFill patternType="solid">
        <fgColor rgb="FF367588"/>
        <bgColor indexed="64"/>
      </patternFill>
    </fill>
    <fill>
      <patternFill patternType="solid">
        <fgColor rgb="FFCF0A1D"/>
        <bgColor indexed="64"/>
      </patternFill>
    </fill>
    <fill>
      <patternFill patternType="solid">
        <fgColor rgb="FF00CDCD"/>
        <bgColor indexed="64"/>
      </patternFill>
    </fill>
    <fill>
      <patternFill patternType="solid">
        <fgColor rgb="FF004958"/>
        <bgColor indexed="64"/>
      </patternFill>
    </fill>
    <fill>
      <patternFill patternType="solid">
        <fgColor rgb="FFCD0000"/>
        <bgColor indexed="64"/>
      </patternFill>
    </fill>
    <fill>
      <patternFill patternType="solid">
        <fgColor rgb="FF00CCCB"/>
        <bgColor indexed="64"/>
      </patternFill>
    </fill>
    <fill>
      <patternFill patternType="solid">
        <fgColor rgb="FF1D4851"/>
        <bgColor indexed="64"/>
      </patternFill>
    </fill>
    <fill>
      <patternFill patternType="solid">
        <fgColor rgb="FFCD3700"/>
        <bgColor indexed="64"/>
      </patternFill>
    </fill>
    <fill>
      <patternFill patternType="solid">
        <fgColor rgb="FF838B8B"/>
        <bgColor indexed="64"/>
      </patternFill>
    </fill>
    <fill>
      <patternFill patternType="solid">
        <fgColor rgb="FF1FFED8"/>
        <bgColor indexed="64"/>
      </patternFill>
    </fill>
    <fill>
      <patternFill patternType="solid">
        <fgColor rgb="FFC60800"/>
        <bgColor indexed="64"/>
      </patternFill>
    </fill>
    <fill>
      <patternFill patternType="solid">
        <fgColor rgb="FF5F9EA0"/>
        <bgColor indexed="64"/>
      </patternFill>
    </fill>
    <fill>
      <patternFill patternType="solid">
        <fgColor rgb="FF96DED1"/>
        <bgColor indexed="64"/>
      </patternFill>
    </fill>
    <fill>
      <patternFill patternType="solid">
        <fgColor rgb="FFBC3F4A"/>
        <bgColor indexed="64"/>
      </patternFill>
    </fill>
    <fill>
      <patternFill patternType="solid">
        <fgColor rgb="FF5F9F9F"/>
        <bgColor indexed="64"/>
      </patternFill>
    </fill>
    <fill>
      <patternFill patternType="solid">
        <fgColor rgb="FF00A693"/>
        <bgColor indexed="64"/>
      </patternFill>
    </fill>
    <fill>
      <patternFill patternType="solid">
        <fgColor rgb="FFBF3030"/>
        <bgColor indexed="64"/>
      </patternFill>
    </fill>
    <fill>
      <patternFill patternType="solid">
        <fgColor rgb="FF7A8B8B"/>
        <bgColor indexed="64"/>
      </patternFill>
    </fill>
    <fill>
      <patternFill patternType="solid">
        <fgColor rgb="FF4A766E"/>
        <bgColor indexed="64"/>
      </patternFill>
    </fill>
    <fill>
      <patternFill patternType="solid">
        <fgColor rgb="FF668B8B"/>
        <bgColor indexed="64"/>
      </patternFill>
    </fill>
    <fill>
      <patternFill patternType="solid">
        <fgColor rgb="FF4E5755"/>
        <bgColor indexed="64"/>
      </patternFill>
    </fill>
    <fill>
      <patternFill patternType="solid">
        <fgColor rgb="FF8B8989"/>
        <bgColor indexed="64"/>
      </patternFill>
    </fill>
    <fill>
      <patternFill patternType="solid">
        <fgColor rgb="FF528B8B"/>
        <bgColor indexed="64"/>
      </patternFill>
    </fill>
    <fill>
      <patternFill patternType="solid">
        <fgColor rgb="FF3A4B47"/>
        <bgColor indexed="64"/>
      </patternFill>
    </fill>
    <fill>
      <patternFill patternType="solid">
        <fgColor rgb="FFBE0032"/>
        <bgColor indexed="64"/>
      </patternFill>
    </fill>
    <fill>
      <patternFill patternType="solid">
        <fgColor rgb="FF008E8E"/>
        <bgColor indexed="64"/>
      </patternFill>
    </fill>
    <fill>
      <patternFill patternType="solid">
        <fgColor rgb="FFC9DC89"/>
        <bgColor indexed="64"/>
      </patternFill>
    </fill>
    <fill>
      <patternFill patternType="solid">
        <fgColor rgb="FFBC2001"/>
        <bgColor indexed="64"/>
      </patternFill>
    </fill>
    <fill>
      <patternFill patternType="solid">
        <fgColor rgb="FF008B8B"/>
        <bgColor indexed="64"/>
      </patternFill>
    </fill>
    <fill>
      <patternFill patternType="solid">
        <fgColor rgb="FFBDDA57"/>
        <bgColor indexed="64"/>
      </patternFill>
    </fill>
    <fill>
      <patternFill patternType="solid">
        <fgColor rgb="FFBB0B0B"/>
        <bgColor indexed="64"/>
      </patternFill>
    </fill>
    <fill>
      <patternFill patternType="solid">
        <fgColor rgb="FF8F9779"/>
        <bgColor indexed="64"/>
      </patternFill>
    </fill>
    <fill>
      <patternFill patternType="solid">
        <fgColor rgb="FFAB4E52"/>
        <bgColor indexed="64"/>
      </patternFill>
    </fill>
    <fill>
      <patternFill patternType="solid">
        <fgColor rgb="FF2F4F4F"/>
        <bgColor indexed="64"/>
      </patternFill>
    </fill>
    <fill>
      <patternFill patternType="solid">
        <fgColor rgb="FF8A9A5B"/>
        <bgColor indexed="64"/>
      </patternFill>
    </fill>
    <fill>
      <patternFill patternType="solid">
        <fgColor rgb="FFB82010"/>
        <bgColor indexed="64"/>
      </patternFill>
    </fill>
    <fill>
      <patternFill patternType="solid">
        <fgColor rgb="FF004B49"/>
        <bgColor indexed="64"/>
      </patternFill>
    </fill>
    <fill>
      <patternFill patternType="solid">
        <fgColor rgb="FF798933"/>
        <bgColor indexed="64"/>
      </patternFill>
    </fill>
    <fill>
      <patternFill patternType="solid">
        <fgColor rgb="FFB22222"/>
        <bgColor indexed="64"/>
      </patternFill>
    </fill>
    <fill>
      <patternFill patternType="solid">
        <fgColor rgb="FF002A29"/>
        <bgColor indexed="64"/>
      </patternFill>
    </fill>
    <fill>
      <patternFill patternType="solid">
        <fgColor rgb="FF5A6521"/>
        <bgColor indexed="64"/>
      </patternFill>
    </fill>
    <fill>
      <patternFill patternType="solid">
        <fgColor rgb="FFAA381E"/>
        <bgColor indexed="64"/>
      </patternFill>
    </fill>
    <fill>
      <patternFill patternType="solid">
        <fgColor rgb="FF0B1616"/>
        <bgColor indexed="64"/>
      </patternFill>
    </fill>
    <fill>
      <patternFill patternType="solid">
        <fgColor rgb="FFFFD700"/>
        <bgColor indexed="64"/>
      </patternFill>
    </fill>
    <fill>
      <patternFill patternType="solid">
        <fgColor rgb="FFA62A2A"/>
        <bgColor indexed="64"/>
      </patternFill>
    </fill>
    <fill>
      <patternFill patternType="solid">
        <fgColor rgb="FF00F5FF"/>
        <bgColor indexed="64"/>
      </patternFill>
    </fill>
    <fill>
      <patternFill patternType="solid">
        <fgColor rgb="FFFFE436"/>
        <bgColor indexed="64"/>
      </patternFill>
    </fill>
    <fill>
      <patternFill patternType="solid">
        <fgColor rgb="FF8B6969"/>
        <bgColor indexed="64"/>
      </patternFill>
    </fill>
    <fill>
      <patternFill patternType="solid">
        <fgColor rgb="FF9CD1DC"/>
        <bgColor indexed="64"/>
      </patternFill>
    </fill>
    <fill>
      <patternFill patternType="solid">
        <fgColor rgb="FFFEE347"/>
        <bgColor indexed="64"/>
      </patternFill>
    </fill>
    <fill>
      <patternFill patternType="solid">
        <fgColor rgb="FFA52A2A"/>
        <bgColor indexed="64"/>
      </patternFill>
    </fill>
    <fill>
      <patternFill patternType="solid">
        <fgColor rgb="FF8EE5EE"/>
        <bgColor indexed="64"/>
      </patternFill>
    </fill>
    <fill>
      <patternFill patternType="solid">
        <fgColor rgb="FFFADA5E"/>
        <bgColor indexed="64"/>
      </patternFill>
    </fill>
    <fill>
      <patternFill patternType="solid">
        <fgColor rgb="FFA91101"/>
        <bgColor indexed="64"/>
      </patternFill>
    </fill>
    <fill>
      <patternFill patternType="solid">
        <fgColor rgb="FFB0E0E6"/>
        <bgColor indexed="64"/>
      </patternFill>
    </fill>
    <fill>
      <patternFill patternType="solid">
        <fgColor rgb="FFF7E269"/>
        <bgColor indexed="64"/>
      </patternFill>
    </fill>
    <fill>
      <patternFill patternType="solid">
        <fgColor rgb="FF905D5D"/>
        <bgColor indexed="64"/>
      </patternFill>
    </fill>
    <fill>
      <patternFill patternType="solid">
        <fgColor rgb="FF98F5FF"/>
        <bgColor indexed="64"/>
      </patternFill>
    </fill>
    <fill>
      <patternFill patternType="solid">
        <fgColor rgb="FFEEDC82"/>
        <bgColor indexed="64"/>
      </patternFill>
    </fill>
    <fill>
      <patternFill patternType="solid">
        <fgColor rgb="FFA42424"/>
        <bgColor indexed="64"/>
      </patternFill>
    </fill>
    <fill>
      <patternFill patternType="solid">
        <fgColor rgb="FF00E5EE"/>
        <bgColor indexed="64"/>
      </patternFill>
    </fill>
    <fill>
      <patternFill patternType="solid">
        <fgColor rgb="FFEEDD82"/>
        <bgColor indexed="64"/>
      </patternFill>
    </fill>
    <fill>
      <patternFill patternType="solid">
        <fgColor rgb="FFA5260A"/>
        <bgColor indexed="64"/>
      </patternFill>
    </fill>
    <fill>
      <patternFill patternType="solid">
        <fgColor rgb="FF7AC5CD"/>
        <bgColor indexed="64"/>
      </patternFill>
    </fill>
    <fill>
      <patternFill patternType="solid">
        <fgColor rgb="FFE1CE9A"/>
        <bgColor indexed="64"/>
      </patternFill>
    </fill>
    <fill>
      <patternFill patternType="solid">
        <fgColor rgb="FF856363"/>
        <bgColor indexed="64"/>
      </patternFill>
    </fill>
    <fill>
      <patternFill patternType="solid">
        <fgColor rgb="FF00C5CD"/>
        <bgColor indexed="64"/>
      </patternFill>
    </fill>
    <fill>
      <patternFill patternType="solid">
        <fgColor rgb="FFF8DE7E"/>
        <bgColor indexed="64"/>
      </patternFill>
    </fill>
    <fill>
      <patternFill patternType="solid">
        <fgColor rgb="FF960018"/>
        <bgColor indexed="64"/>
      </patternFill>
    </fill>
    <fill>
      <patternFill patternType="solid">
        <fgColor rgb="FF03B4C8"/>
        <bgColor indexed="64"/>
      </patternFill>
    </fill>
    <fill>
      <patternFill patternType="solid">
        <fgColor rgb="FFFFDE75"/>
        <bgColor indexed="64"/>
      </patternFill>
    </fill>
    <fill>
      <patternFill patternType="solid">
        <fgColor rgb="FF8B3A3A"/>
        <bgColor indexed="64"/>
      </patternFill>
    </fill>
    <fill>
      <patternFill patternType="solid">
        <fgColor rgb="FF798081"/>
        <bgColor indexed="64"/>
      </patternFill>
    </fill>
    <fill>
      <patternFill patternType="solid">
        <fgColor rgb="FFFFEC8B"/>
        <bgColor indexed="64"/>
      </patternFill>
    </fill>
    <fill>
      <patternFill patternType="solid">
        <fgColor rgb="FF8E2323"/>
        <bgColor indexed="64"/>
      </patternFill>
    </fill>
    <fill>
      <patternFill patternType="solid">
        <fgColor rgb="FF53868B"/>
        <bgColor indexed="64"/>
      </patternFill>
    </fill>
    <fill>
      <patternFill patternType="solid">
        <fgColor rgb="FFF3E5AB"/>
        <bgColor indexed="64"/>
      </patternFill>
    </fill>
    <fill>
      <patternFill patternType="solid">
        <fgColor rgb="FF8B2323"/>
        <bgColor indexed="64"/>
      </patternFill>
    </fill>
    <fill>
      <patternFill patternType="solid">
        <fgColor rgb="FF048B9A"/>
        <bgColor indexed="64"/>
      </patternFill>
    </fill>
    <fill>
      <patternFill patternType="solid">
        <fgColor rgb="FFF1E2BE"/>
        <bgColor indexed="64"/>
      </patternFill>
    </fill>
    <fill>
      <patternFill patternType="solid">
        <fgColor rgb="FF8C1717"/>
        <bgColor indexed="64"/>
      </patternFill>
    </fill>
    <fill>
      <patternFill patternType="solid">
        <fgColor rgb="FF00868B"/>
        <bgColor indexed="64"/>
      </patternFill>
    </fill>
    <fill>
      <patternFill patternType="solid">
        <fgColor rgb="FFFFF0BC"/>
        <bgColor indexed="64"/>
      </patternFill>
    </fill>
    <fill>
      <patternFill patternType="solid">
        <fgColor rgb="FF8B1A1A"/>
        <bgColor indexed="64"/>
      </patternFill>
    </fill>
    <fill>
      <patternFill patternType="solid">
        <fgColor rgb="FF25FDE9"/>
        <bgColor indexed="64"/>
      </patternFill>
    </fill>
    <fill>
      <patternFill patternType="solid">
        <fgColor rgb="FFFAF0C5"/>
        <bgColor indexed="64"/>
      </patternFill>
    </fill>
    <fill>
      <patternFill patternType="solid">
        <fgColor rgb="FF8B0000"/>
        <bgColor indexed="64"/>
      </patternFill>
    </fill>
    <fill>
      <patternFill patternType="solid">
        <fgColor rgb="FF40E0D0"/>
        <bgColor indexed="64"/>
      </patternFill>
    </fill>
    <fill>
      <patternFill patternType="solid">
        <fgColor rgb="FFF0EAD6"/>
        <bgColor indexed="64"/>
      </patternFill>
    </fill>
    <fill>
      <patternFill patternType="solid">
        <fgColor rgb="FF8B2500"/>
        <bgColor indexed="64"/>
      </patternFill>
    </fill>
    <fill>
      <patternFill patternType="solid">
        <fgColor rgb="FF66ADA4"/>
        <bgColor indexed="64"/>
      </patternFill>
    </fill>
    <fill>
      <patternFill patternType="solid">
        <fgColor rgb="FFFFF8DC"/>
        <bgColor indexed="64"/>
      </patternFill>
    </fill>
    <fill>
      <patternFill patternType="solid">
        <fgColor rgb="FF841B2D"/>
        <bgColor indexed="64"/>
      </patternFill>
    </fill>
    <fill>
      <patternFill patternType="solid">
        <fgColor rgb="FF20B2AA"/>
        <bgColor indexed="64"/>
      </patternFill>
    </fill>
    <fill>
      <patternFill patternType="solid">
        <fgColor rgb="FFFCDC12"/>
        <bgColor indexed="64"/>
      </patternFill>
    </fill>
    <fill>
      <patternFill patternType="solid">
        <fgColor rgb="FF850606"/>
        <bgColor indexed="64"/>
      </patternFill>
    </fill>
    <fill>
      <patternFill patternType="solid">
        <fgColor rgb="FF008882"/>
        <bgColor indexed="64"/>
      </patternFill>
    </fill>
    <fill>
      <patternFill patternType="solid">
        <fgColor rgb="FFB9B8B5"/>
        <bgColor indexed="64"/>
      </patternFill>
    </fill>
    <fill>
      <patternFill patternType="solid">
        <fgColor rgb="FF317873"/>
        <bgColor indexed="64"/>
      </patternFill>
    </fill>
    <fill>
      <patternFill patternType="solid">
        <fgColor rgb="FFEED153"/>
        <bgColor indexed="64"/>
      </patternFill>
    </fill>
    <fill>
      <patternFill patternType="solid">
        <fgColor rgb="FF6F4242"/>
        <bgColor indexed="64"/>
      </patternFill>
    </fill>
    <fill>
      <patternFill patternType="solid">
        <fgColor rgb="FF007A74"/>
        <bgColor indexed="64"/>
      </patternFill>
    </fill>
    <fill>
      <patternFill patternType="solid">
        <fgColor rgb="FFF6DC12"/>
        <bgColor indexed="64"/>
      </patternFill>
    </fill>
    <fill>
      <patternFill patternType="solid">
        <fgColor rgb="FF722F37"/>
        <bgColor indexed="64"/>
      </patternFill>
    </fill>
    <fill>
      <patternFill patternType="solid">
        <fgColor rgb="FF01796F"/>
        <bgColor indexed="64"/>
      </patternFill>
    </fill>
    <fill>
      <patternFill patternType="solid">
        <fgColor rgb="FFEFD242"/>
        <bgColor indexed="64"/>
      </patternFill>
    </fill>
    <fill>
      <patternFill patternType="solid">
        <fgColor rgb="FF5C504F"/>
        <bgColor indexed="64"/>
      </patternFill>
    </fill>
    <fill>
      <patternFill patternType="solid">
        <fgColor rgb="FF00443F"/>
        <bgColor indexed="64"/>
      </patternFill>
    </fill>
    <fill>
      <patternFill patternType="solid">
        <fgColor rgb="FFBFB8A5"/>
        <bgColor indexed="64"/>
      </patternFill>
    </fill>
    <fill>
      <patternFill patternType="solid">
        <fgColor rgb="FF730800"/>
        <bgColor indexed="64"/>
      </patternFill>
    </fill>
    <fill>
      <patternFill patternType="solid">
        <fgColor rgb="FFC7E6D7"/>
        <bgColor indexed="64"/>
      </patternFill>
    </fill>
    <fill>
      <patternFill patternType="solid">
        <fgColor rgb="FFF3D617"/>
        <bgColor indexed="64"/>
      </patternFill>
    </fill>
    <fill>
      <patternFill patternType="solid">
        <fgColor rgb="FF6E0B14"/>
        <bgColor indexed="64"/>
      </patternFill>
    </fill>
    <fill>
      <patternFill patternType="solid">
        <fgColor rgb="FFF5FFFA"/>
        <bgColor indexed="64"/>
      </patternFill>
    </fill>
    <fill>
      <patternFill patternType="solid">
        <fgColor rgb="FFEEC900"/>
        <bgColor indexed="64"/>
      </patternFill>
    </fill>
    <fill>
      <patternFill patternType="solid">
        <fgColor rgb="FF6D071A"/>
        <bgColor indexed="64"/>
      </patternFill>
    </fill>
    <fill>
      <patternFill patternType="solid">
        <fgColor rgb="FF8ED1B2"/>
        <bgColor indexed="64"/>
      </patternFill>
    </fill>
    <fill>
      <patternFill patternType="solid">
        <fgColor rgb="FFD0C07A"/>
        <bgColor indexed="64"/>
      </patternFill>
    </fill>
    <fill>
      <patternFill patternType="solid">
        <fgColor rgb="FF6B0D0D"/>
        <bgColor indexed="64"/>
      </patternFill>
    </fill>
    <fill>
      <patternFill patternType="solid">
        <fgColor rgb="FF8DA399"/>
        <bgColor indexed="64"/>
      </patternFill>
    </fill>
    <fill>
      <patternFill patternType="solid">
        <fgColor rgb="FFCDBE70"/>
        <bgColor indexed="64"/>
      </patternFill>
    </fill>
    <fill>
      <patternFill patternType="solid">
        <fgColor rgb="FF543D3F"/>
        <bgColor indexed="64"/>
      </patternFill>
    </fill>
    <fill>
      <patternFill patternType="solid">
        <fgColor rgb="FF83A697"/>
        <bgColor indexed="64"/>
      </patternFill>
    </fill>
    <fill>
      <patternFill patternType="solid">
        <fgColor rgb="FFC2B280"/>
        <bgColor indexed="64"/>
      </patternFill>
    </fill>
    <fill>
      <patternFill patternType="solid">
        <fgColor rgb="FF56070C"/>
        <bgColor indexed="64"/>
      </patternFill>
    </fill>
    <fill>
      <patternFill patternType="solid">
        <fgColor rgb="FF6AAB8E"/>
        <bgColor indexed="64"/>
      </patternFill>
    </fill>
    <fill>
      <patternFill patternType="solid">
        <fgColor rgb="FFC3B470"/>
        <bgColor indexed="64"/>
      </patternFill>
    </fill>
    <fill>
      <patternFill patternType="solid">
        <fgColor rgb="FF4E1609"/>
        <bgColor indexed="64"/>
      </patternFill>
    </fill>
    <fill>
      <patternFill patternType="solid">
        <fgColor rgb="FF3EB489"/>
        <bgColor indexed="64"/>
      </patternFill>
    </fill>
    <fill>
      <patternFill patternType="solid">
        <fgColor rgb="FFCFB53B"/>
        <bgColor indexed="64"/>
      </patternFill>
    </fill>
    <fill>
      <patternFill patternType="solid">
        <fgColor rgb="FF3E1D1E"/>
        <bgColor indexed="64"/>
      </patternFill>
    </fill>
    <fill>
      <patternFill patternType="solid">
        <fgColor rgb="FF029D74"/>
        <bgColor indexed="64"/>
      </patternFill>
    </fill>
    <fill>
      <patternFill patternType="solid">
        <fgColor rgb="FFD1B606"/>
        <bgColor indexed="64"/>
      </patternFill>
    </fill>
    <fill>
      <patternFill patternType="solid">
        <fgColor rgb="FFEEA2AD"/>
        <bgColor indexed="64"/>
      </patternFill>
    </fill>
    <fill>
      <patternFill patternType="solid">
        <fgColor rgb="FF238E68"/>
        <bgColor indexed="64"/>
      </patternFill>
    </fill>
    <fill>
      <patternFill patternType="solid">
        <fgColor rgb="FFCDAD00"/>
        <bgColor indexed="64"/>
      </patternFill>
    </fill>
    <fill>
      <patternFill patternType="solid">
        <fgColor rgb="FFEEA9B8"/>
        <bgColor indexed="64"/>
      </patternFill>
    </fill>
    <fill>
      <patternFill patternType="solid">
        <fgColor rgb="FF3B7861"/>
        <bgColor indexed="64"/>
      </patternFill>
    </fill>
    <fill>
      <patternFill patternType="solid">
        <fgColor rgb="FF8B7500"/>
        <bgColor indexed="64"/>
      </patternFill>
    </fill>
    <fill>
      <patternFill patternType="solid">
        <fgColor rgb="FFFFAEB9"/>
        <bgColor indexed="64"/>
      </patternFill>
    </fill>
    <fill>
      <patternFill patternType="solid">
        <fgColor rgb="FF007959"/>
        <bgColor indexed="64"/>
      </patternFill>
    </fill>
    <fill>
      <patternFill patternType="solid">
        <fgColor rgb="FF685E43"/>
        <bgColor indexed="64"/>
      </patternFill>
    </fill>
    <fill>
      <patternFill patternType="solid">
        <fgColor rgb="FFFFB5C5"/>
        <bgColor indexed="64"/>
      </patternFill>
    </fill>
    <fill>
      <patternFill patternType="solid">
        <fgColor rgb="FF00543D"/>
        <bgColor indexed="64"/>
      </patternFill>
    </fill>
    <fill>
      <patternFill patternType="solid">
        <fgColor rgb="FF915C83"/>
        <bgColor indexed="64"/>
      </patternFill>
    </fill>
    <fill>
      <patternFill patternType="solid">
        <fgColor rgb="FFFFB6C1"/>
        <bgColor indexed="64"/>
      </patternFill>
    </fill>
    <fill>
      <patternFill patternType="solid">
        <fgColor rgb="FF76EEC6"/>
        <bgColor indexed="64"/>
      </patternFill>
    </fill>
    <fill>
      <patternFill patternType="solid">
        <fgColor rgb="FF871F78"/>
        <bgColor indexed="64"/>
      </patternFill>
    </fill>
    <fill>
      <patternFill patternType="solid">
        <fgColor rgb="FFFFC0CB"/>
        <bgColor indexed="64"/>
      </patternFill>
    </fill>
    <fill>
      <patternFill patternType="solid">
        <fgColor rgb="FF97DFC6"/>
        <bgColor indexed="64"/>
      </patternFill>
    </fill>
    <fill>
      <patternFill patternType="solid">
        <fgColor rgb="FF870074"/>
        <bgColor indexed="64"/>
      </patternFill>
    </fill>
    <fill>
      <patternFill patternType="solid">
        <fgColor rgb="FFD58490"/>
        <bgColor indexed="64"/>
      </patternFill>
    </fill>
    <fill>
      <patternFill patternType="solid">
        <fgColor rgb="FF7FFFD4"/>
        <bgColor indexed="64"/>
      </patternFill>
    </fill>
    <fill>
      <patternFill patternType="solid">
        <fgColor rgb="FF5D555B"/>
        <bgColor indexed="64"/>
      </patternFill>
    </fill>
    <fill>
      <patternFill patternType="solid">
        <fgColor rgb="FFCD919E"/>
        <bgColor indexed="64"/>
      </patternFill>
    </fill>
    <fill>
      <patternFill patternType="solid">
        <fgColor rgb="FFDFEDE8"/>
        <bgColor indexed="64"/>
      </patternFill>
    </fill>
    <fill>
      <patternFill patternType="solid">
        <fgColor rgb="FF702963"/>
        <bgColor indexed="64"/>
      </patternFill>
    </fill>
    <fill>
      <patternFill patternType="solid">
        <fgColor rgb="FFCD8C95"/>
        <bgColor indexed="64"/>
      </patternFill>
    </fill>
    <fill>
      <patternFill patternType="solid">
        <fgColor rgb="FF66CDAA"/>
        <bgColor indexed="64"/>
      </patternFill>
    </fill>
    <fill>
      <patternFill patternType="solid">
        <fgColor rgb="FF5D3954"/>
        <bgColor indexed="64"/>
      </patternFill>
    </fill>
    <fill>
      <patternFill patternType="solid">
        <fgColor rgb="FFAF868E"/>
        <bgColor indexed="64"/>
      </patternFill>
    </fill>
    <fill>
      <patternFill patternType="solid">
        <fgColor rgb="FF7D8984"/>
        <bgColor indexed="64"/>
      </patternFill>
    </fill>
    <fill>
      <patternFill patternType="solid">
        <fgColor rgb="FF50404D"/>
        <bgColor indexed="64"/>
      </patternFill>
    </fill>
    <fill>
      <patternFill patternType="solid">
        <fgColor rgb="FFC72C48"/>
        <bgColor indexed="64"/>
      </patternFill>
    </fill>
    <fill>
      <patternFill patternType="solid">
        <fgColor rgb="FF649B88"/>
        <bgColor indexed="64"/>
      </patternFill>
    </fill>
    <fill>
      <patternFill patternType="solid">
        <fgColor rgb="FFD399E6"/>
        <bgColor indexed="64"/>
      </patternFill>
    </fill>
    <fill>
      <patternFill patternType="solid">
        <fgColor rgb="FFAC1E44"/>
        <bgColor indexed="64"/>
      </patternFill>
    </fill>
    <fill>
      <patternFill patternType="solid">
        <fgColor rgb="FF458B74"/>
        <bgColor indexed="64"/>
      </patternFill>
    </fill>
    <fill>
      <patternFill patternType="solid">
        <fgColor rgb="FFE066FF"/>
        <bgColor indexed="64"/>
      </patternFill>
    </fill>
    <fill>
      <patternFill patternType="solid">
        <fgColor rgb="FF8B636C"/>
        <bgColor indexed="64"/>
      </patternFill>
    </fill>
    <fill>
      <patternFill patternType="solid">
        <fgColor rgb="FF5E716A"/>
        <bgColor indexed="64"/>
      </patternFill>
    </fill>
    <fill>
      <patternFill patternType="solid">
        <fgColor rgb="FFDF73FF"/>
        <bgColor indexed="64"/>
      </patternFill>
    </fill>
    <fill>
      <patternFill patternType="solid">
        <fgColor rgb="FF8B5F65"/>
        <bgColor indexed="64"/>
      </patternFill>
    </fill>
    <fill>
      <patternFill patternType="solid">
        <fgColor rgb="FF40826D"/>
        <bgColor indexed="64"/>
      </patternFill>
    </fill>
    <fill>
      <patternFill patternType="solid">
        <fgColor rgb="FFD15FEE"/>
        <bgColor indexed="64"/>
      </patternFill>
    </fill>
    <fill>
      <patternFill patternType="solid">
        <fgColor rgb="FF9E0E40"/>
        <bgColor indexed="64"/>
      </patternFill>
    </fill>
    <fill>
      <patternFill patternType="solid">
        <fgColor rgb="FF1B4D3E"/>
        <bgColor indexed="64"/>
      </patternFill>
    </fill>
    <fill>
      <patternFill patternType="solid">
        <fgColor rgb="FFB695C0"/>
        <bgColor indexed="64"/>
      </patternFill>
    </fill>
    <fill>
      <patternFill patternType="solid">
        <fgColor rgb="FF91283B"/>
        <bgColor indexed="64"/>
      </patternFill>
    </fill>
    <fill>
      <patternFill patternType="solid">
        <fgColor rgb="FF1C352D"/>
        <bgColor indexed="64"/>
      </patternFill>
    </fill>
    <fill>
      <patternFill patternType="solid">
        <fgColor rgb="FFBA55D3"/>
        <bgColor indexed="64"/>
      </patternFill>
    </fill>
    <fill>
      <patternFill patternType="solid">
        <fgColor rgb="FF90283B"/>
        <bgColor indexed="64"/>
      </patternFill>
    </fill>
    <fill>
      <patternFill patternType="solid">
        <fgColor rgb="FF1E2321"/>
        <bgColor indexed="64"/>
      </patternFill>
    </fill>
    <fill>
      <patternFill patternType="solid">
        <fgColor rgb="FFB452CD"/>
        <bgColor indexed="64"/>
      </patternFill>
    </fill>
    <fill>
      <patternFill patternType="solid">
        <fgColor rgb="FF5C0923"/>
        <bgColor indexed="64"/>
      </patternFill>
    </fill>
    <fill>
      <patternFill patternType="solid">
        <fgColor rgb="FF1A2421"/>
        <bgColor indexed="64"/>
      </patternFill>
    </fill>
    <fill>
      <patternFill patternType="solid">
        <fgColor rgb="FF9A4EAE"/>
        <bgColor indexed="64"/>
      </patternFill>
    </fill>
    <fill>
      <patternFill patternType="solid">
        <fgColor rgb="FF3A020D"/>
        <bgColor indexed="64"/>
      </patternFill>
    </fill>
    <fill>
      <patternFill patternType="solid">
        <fgColor rgb="FF00FA9A"/>
        <bgColor indexed="64"/>
      </patternFill>
    </fill>
    <fill>
      <patternFill patternType="solid">
        <fgColor rgb="FF86608E"/>
        <bgColor indexed="64"/>
      </patternFill>
    </fill>
    <fill>
      <patternFill patternType="solid">
        <fgColor rgb="FF2E1D21"/>
        <bgColor indexed="64"/>
      </patternFill>
    </fill>
    <fill>
      <patternFill patternType="solid">
        <fgColor rgb="FF008856"/>
        <bgColor indexed="64"/>
      </patternFill>
    </fill>
    <fill>
      <patternFill patternType="solid">
        <fgColor rgb="FF875692"/>
        <bgColor indexed="64"/>
      </patternFill>
    </fill>
    <fill>
      <patternFill patternType="solid">
        <fgColor rgb="FFFF7F24"/>
        <bgColor indexed="64"/>
      </patternFill>
    </fill>
    <fill>
      <patternFill patternType="solid">
        <fgColor rgb="FFFF6EC7"/>
        <bgColor indexed="64"/>
      </patternFill>
    </fill>
    <fill>
      <patternFill patternType="solid">
        <fgColor rgb="FF7A378B"/>
        <bgColor indexed="64"/>
      </patternFill>
    </fill>
    <fill>
      <patternFill patternType="solid">
        <fgColor rgb="FFE9967A"/>
        <bgColor indexed="64"/>
      </patternFill>
    </fill>
    <fill>
      <patternFill patternType="solid">
        <fgColor rgb="FFCC3299"/>
        <bgColor indexed="64"/>
      </patternFill>
    </fill>
    <fill>
      <patternFill patternType="solid">
        <fgColor rgb="FF602F6B"/>
        <bgColor indexed="64"/>
      </patternFill>
    </fill>
    <fill>
      <patternFill patternType="solid">
        <fgColor rgb="FFEE9572"/>
        <bgColor indexed="64"/>
      </patternFill>
    </fill>
    <fill>
      <patternFill patternType="solid">
        <fgColor rgb="FFCD2990"/>
        <bgColor indexed="64"/>
      </patternFill>
    </fill>
    <fill>
      <patternFill patternType="solid">
        <fgColor rgb="FF563C5C"/>
        <bgColor indexed="64"/>
      </patternFill>
    </fill>
    <fill>
      <patternFill patternType="solid">
        <fgColor rgb="FFFF8247"/>
        <bgColor indexed="64"/>
      </patternFill>
    </fill>
    <fill>
      <patternFill patternType="solid">
        <fgColor rgb="FF965578"/>
        <bgColor indexed="64"/>
      </patternFill>
    </fill>
    <fill>
      <patternFill patternType="solid">
        <fgColor rgb="FFFF1493"/>
        <bgColor indexed="64"/>
      </patternFill>
    </fill>
    <fill>
      <patternFill patternType="solid">
        <fgColor rgb="FFFF7F50"/>
        <bgColor indexed="64"/>
      </patternFill>
    </fill>
    <fill>
      <patternFill patternType="solid">
        <fgColor rgb="FF8B1C62"/>
        <bgColor indexed="64"/>
      </patternFill>
    </fill>
    <fill>
      <patternFill patternType="solid">
        <fgColor rgb="FFFD3F92"/>
        <bgColor indexed="64"/>
      </patternFill>
    </fill>
    <fill>
      <patternFill patternType="solid">
        <fgColor rgb="FFCDB7B5"/>
        <bgColor indexed="64"/>
      </patternFill>
    </fill>
    <fill>
      <patternFill patternType="solid">
        <fgColor rgb="FF54133B"/>
        <bgColor indexed="64"/>
      </patternFill>
    </fill>
    <fill>
      <patternFill patternType="solid">
        <fgColor rgb="FFFF3E96"/>
        <bgColor indexed="64"/>
      </patternFill>
    </fill>
    <fill>
      <patternFill patternType="solid">
        <fgColor rgb="FFFF7256"/>
        <bgColor indexed="64"/>
      </patternFill>
    </fill>
    <fill>
      <patternFill patternType="solid">
        <fgColor rgb="FF38152C"/>
        <bgColor indexed="64"/>
      </patternFill>
    </fill>
    <fill>
      <patternFill patternType="solid">
        <fgColor rgb="FFEE799F"/>
        <bgColor indexed="64"/>
      </patternFill>
    </fill>
    <fill>
      <patternFill patternType="solid">
        <fgColor rgb="FFFF8C69"/>
        <bgColor indexed="64"/>
      </patternFill>
    </fill>
    <fill>
      <patternFill patternType="solid">
        <fgColor rgb="FF370028"/>
        <bgColor indexed="64"/>
      </patternFill>
    </fill>
    <fill>
      <patternFill patternType="solid">
        <fgColor rgb="FFE68FAC"/>
        <bgColor indexed="64"/>
      </patternFill>
    </fill>
    <fill>
      <patternFill patternType="solid">
        <fgColor rgb="FFFF866A"/>
        <bgColor indexed="64"/>
      </patternFill>
    </fill>
    <fill>
      <patternFill patternType="solid">
        <fgColor rgb="FFBFB9BD"/>
        <bgColor indexed="64"/>
      </patternFill>
    </fill>
    <fill>
      <patternFill patternType="solid">
        <fgColor rgb="FFFD6C9E"/>
        <bgColor indexed="64"/>
      </patternFill>
    </fill>
    <fill>
      <patternFill patternType="solid">
        <fgColor rgb="FFFFA07A"/>
        <bgColor indexed="64"/>
      </patternFill>
    </fill>
    <fill>
      <patternFill patternType="solid">
        <fgColor rgb="FFB784A7"/>
        <bgColor indexed="64"/>
      </patternFill>
    </fill>
    <fill>
      <patternFill patternType="solid">
        <fgColor rgb="FFCDC1C5"/>
        <bgColor indexed="64"/>
      </patternFill>
    </fill>
    <fill>
      <patternFill patternType="solid">
        <fgColor rgb="FFFFB7A5"/>
        <bgColor indexed="64"/>
      </patternFill>
    </fill>
    <fill>
      <patternFill patternType="solid">
        <fgColor rgb="FFAA8A9E"/>
        <bgColor indexed="64"/>
      </patternFill>
    </fill>
    <fill>
      <patternFill patternType="solid">
        <fgColor rgb="FFFF82AB"/>
        <bgColor indexed="64"/>
      </patternFill>
    </fill>
    <fill>
      <patternFill patternType="solid">
        <fgColor rgb="FFFDBFB7"/>
        <bgColor indexed="64"/>
      </patternFill>
    </fill>
    <fill>
      <patternFill patternType="solid">
        <fgColor rgb="FF997A8D"/>
        <bgColor indexed="64"/>
      </patternFill>
    </fill>
    <fill>
      <patternFill patternType="solid">
        <fgColor rgb="FFEFBBCC"/>
        <bgColor indexed="64"/>
      </patternFill>
    </fill>
    <fill>
      <patternFill patternType="solid">
        <fgColor rgb="FFEED5D2"/>
        <bgColor indexed="64"/>
      </patternFill>
    </fill>
    <fill>
      <patternFill patternType="solid">
        <fgColor rgb="FF8B8589"/>
        <bgColor indexed="64"/>
      </patternFill>
    </fill>
    <fill>
      <patternFill patternType="solid">
        <fgColor rgb="FFFEBFD2"/>
        <bgColor indexed="64"/>
      </patternFill>
    </fill>
    <fill>
      <patternFill patternType="solid">
        <fgColor rgb="FFFFE4E1"/>
        <bgColor indexed="64"/>
      </patternFill>
    </fill>
    <fill>
      <patternFill patternType="solid">
        <fgColor rgb="FF9E4F88"/>
        <bgColor indexed="64"/>
      </patternFill>
    </fill>
    <fill>
      <patternFill patternType="solid">
        <fgColor rgb="FFFFC8D6"/>
        <bgColor indexed="64"/>
      </patternFill>
    </fill>
    <fill>
      <patternFill patternType="solid">
        <fgColor rgb="FFEE8262"/>
        <bgColor indexed="64"/>
      </patternFill>
    </fill>
    <fill>
      <patternFill patternType="solid">
        <fgColor rgb="FF836479"/>
        <bgColor indexed="64"/>
      </patternFill>
    </fill>
    <fill>
      <patternFill patternType="solid">
        <fgColor rgb="FFFFF0F5"/>
        <bgColor indexed="64"/>
      </patternFill>
    </fill>
    <fill>
      <patternFill patternType="solid">
        <fgColor rgb="FFEE6A50"/>
        <bgColor indexed="64"/>
      </patternFill>
    </fill>
    <fill>
      <patternFill patternType="solid">
        <fgColor rgb="FFA10684"/>
        <bgColor indexed="64"/>
      </patternFill>
    </fill>
    <fill>
      <patternFill patternType="solid">
        <fgColor rgb="FFD597AE"/>
        <bgColor indexed="64"/>
      </patternFill>
    </fill>
    <fill>
      <patternFill patternType="solid">
        <fgColor rgb="FFF4661B"/>
        <bgColor indexed="64"/>
      </patternFill>
    </fill>
    <fill>
      <patternFill patternType="solid">
        <fgColor rgb="FF723E64"/>
        <bgColor indexed="64"/>
      </patternFill>
    </fill>
    <fill>
      <patternFill patternType="solid">
        <fgColor rgb="FFEE3A8C"/>
        <bgColor indexed="64"/>
      </patternFill>
    </fill>
    <fill>
      <patternFill patternType="solid">
        <fgColor rgb="FFEE7942"/>
        <bgColor indexed="64"/>
      </patternFill>
    </fill>
    <fill>
      <patternFill patternType="solid">
        <fgColor rgb="FF6A455D"/>
        <bgColor indexed="64"/>
      </patternFill>
    </fill>
    <fill>
      <patternFill patternType="solid">
        <fgColor rgb="FFDB7093"/>
        <bgColor indexed="64"/>
      </patternFill>
    </fill>
    <fill>
      <patternFill patternType="solid">
        <fgColor rgb="FFEE7621"/>
        <bgColor indexed="64"/>
      </patternFill>
    </fill>
    <fill>
      <patternFill patternType="solid">
        <fgColor rgb="FFF9429E"/>
        <bgColor indexed="64"/>
      </patternFill>
    </fill>
    <fill>
      <patternFill patternType="solid">
        <fgColor rgb="FFEE1289"/>
        <bgColor indexed="64"/>
      </patternFill>
    </fill>
    <fill>
      <patternFill patternType="solid">
        <fgColor rgb="FFE25822"/>
        <bgColor indexed="64"/>
      </patternFill>
    </fill>
    <fill>
      <patternFill patternType="solid">
        <fgColor rgb="FFEE6AA7"/>
        <bgColor indexed="64"/>
      </patternFill>
    </fill>
    <fill>
      <patternFill patternType="solid">
        <fgColor rgb="FFCD6889"/>
        <bgColor indexed="64"/>
      </patternFill>
    </fill>
    <fill>
      <patternFill patternType="solid">
        <fgColor rgb="FFC48379"/>
        <bgColor indexed="64"/>
      </patternFill>
    </fill>
    <fill>
      <patternFill patternType="solid">
        <fgColor rgb="FFFF1CAE"/>
        <bgColor indexed="64"/>
      </patternFill>
    </fill>
    <fill>
      <patternFill patternType="solid">
        <fgColor rgb="FFC17E91"/>
        <bgColor indexed="64"/>
      </patternFill>
    </fill>
    <fill>
      <patternFill patternType="solid">
        <fgColor rgb="FFD9603B"/>
        <bgColor indexed="64"/>
      </patternFill>
    </fill>
    <fill>
      <patternFill patternType="solid">
        <fgColor rgb="FFFF34B3"/>
        <bgColor indexed="64"/>
      </patternFill>
    </fill>
    <fill>
      <patternFill patternType="solid">
        <fgColor rgb="FFDB0073"/>
        <bgColor indexed="64"/>
      </patternFill>
    </fill>
    <fill>
      <patternFill patternType="solid">
        <fgColor rgb="FFCD8162"/>
        <bgColor indexed="64"/>
      </patternFill>
    </fill>
    <fill>
      <patternFill patternType="solid">
        <fgColor rgb="FFFF69B4"/>
        <bgColor indexed="64"/>
      </patternFill>
    </fill>
    <fill>
      <patternFill patternType="solid">
        <fgColor rgb="FFCE4676"/>
        <bgColor indexed="64"/>
      </patternFill>
    </fill>
    <fill>
      <patternFill patternType="solid">
        <fgColor rgb="FFCD7054"/>
        <bgColor indexed="64"/>
      </patternFill>
    </fill>
    <fill>
      <patternFill patternType="solid">
        <fgColor rgb="FFFF6EB4"/>
        <bgColor indexed="64"/>
      </patternFill>
    </fill>
    <fill>
      <patternFill patternType="solid">
        <fgColor rgb="FFCD3278"/>
        <bgColor indexed="64"/>
      </patternFill>
    </fill>
    <fill>
      <patternFill patternType="solid">
        <fgColor rgb="FFCB6D51"/>
        <bgColor indexed="64"/>
      </patternFill>
    </fill>
    <fill>
      <patternFill patternType="solid">
        <fgColor rgb="FFE8CCD7"/>
        <bgColor indexed="64"/>
      </patternFill>
    </fill>
    <fill>
      <patternFill patternType="solid">
        <fgColor rgb="FFCD1076"/>
        <bgColor indexed="64"/>
      </patternFill>
    </fill>
    <fill>
      <patternFill patternType="solid">
        <fgColor rgb="FFCD5B45"/>
        <bgColor indexed="64"/>
      </patternFill>
    </fill>
    <fill>
      <patternFill patternType="solid">
        <fgColor rgb="FFE8E3E5"/>
        <bgColor indexed="64"/>
      </patternFill>
    </fill>
    <fill>
      <patternFill patternType="solid">
        <fgColor rgb="FFB3446C"/>
        <bgColor indexed="64"/>
      </patternFill>
    </fill>
    <fill>
      <patternFill patternType="solid">
        <fgColor rgb="FFAD8884"/>
        <bgColor indexed="64"/>
      </patternFill>
    </fill>
    <fill>
      <patternFill patternType="solid">
        <fgColor rgb="FFEEE0E5"/>
        <bgColor indexed="64"/>
      </patternFill>
    </fill>
    <fill>
      <patternFill patternType="solid">
        <fgColor rgb="FFA8516E"/>
        <bgColor indexed="64"/>
      </patternFill>
    </fill>
    <fill>
      <patternFill patternType="solid">
        <fgColor rgb="FFCD6839"/>
        <bgColor indexed="64"/>
      </patternFill>
    </fill>
    <fill>
      <patternFill patternType="solid">
        <fgColor rgb="FFFEE7F0"/>
        <bgColor indexed="64"/>
      </patternFill>
    </fill>
    <fill>
      <patternFill patternType="solid">
        <fgColor rgb="FFB03060"/>
        <bgColor indexed="64"/>
      </patternFill>
    </fill>
    <fill>
      <patternFill patternType="solid">
        <fgColor rgb="FFCC5500"/>
        <bgColor indexed="64"/>
      </patternFill>
    </fill>
    <fill>
      <patternFill patternType="solid">
        <fgColor rgb="FFC3A6B1"/>
        <bgColor indexed="64"/>
      </patternFill>
    </fill>
    <fill>
      <patternFill patternType="solid">
        <fgColor rgb="FF915F6D"/>
        <bgColor indexed="64"/>
      </patternFill>
    </fill>
    <fill>
      <patternFill patternType="solid">
        <fgColor rgb="FFB4745E"/>
        <bgColor indexed="64"/>
      </patternFill>
    </fill>
    <fill>
      <patternFill patternType="solid">
        <fgColor rgb="FFDE6FA1"/>
        <bgColor indexed="64"/>
      </patternFill>
    </fill>
    <fill>
      <patternFill patternType="solid">
        <fgColor rgb="FF8B475D"/>
        <bgColor indexed="64"/>
      </patternFill>
    </fill>
    <fill>
      <patternFill patternType="solid">
        <fgColor rgb="FFA87C6D"/>
        <bgColor indexed="64"/>
      </patternFill>
    </fill>
    <fill>
      <patternFill patternType="solid">
        <fgColor rgb="FFEE30A7"/>
        <bgColor indexed="64"/>
      </patternFill>
    </fill>
    <fill>
      <patternFill patternType="solid">
        <fgColor rgb="FF8B2252"/>
        <bgColor indexed="64"/>
      </patternFill>
    </fill>
    <fill>
      <patternFill patternType="solid">
        <fgColor rgb="FF8F817F"/>
        <bgColor indexed="64"/>
      </patternFill>
    </fill>
    <fill>
      <patternFill patternType="solid">
        <fgColor rgb="FFCD6090"/>
        <bgColor indexed="64"/>
      </patternFill>
    </fill>
    <fill>
      <patternFill patternType="solid">
        <fgColor rgb="FF8B0A50"/>
        <bgColor indexed="64"/>
      </patternFill>
    </fill>
    <fill>
      <patternFill patternType="solid">
        <fgColor rgb="FF8B7D7B"/>
        <bgColor indexed="64"/>
      </patternFill>
    </fill>
    <fill>
      <patternFill patternType="solid">
        <fgColor rgb="FFC4698F"/>
        <bgColor indexed="64"/>
      </patternFill>
    </fill>
    <fill>
      <patternFill patternType="solid">
        <fgColor rgb="FF673147"/>
        <bgColor indexed="64"/>
      </patternFill>
    </fill>
    <fill>
      <patternFill patternType="solid">
        <fgColor rgb="FFAE4A34"/>
        <bgColor indexed="64"/>
      </patternFill>
    </fill>
    <fill>
      <patternFill patternType="solid">
        <fgColor rgb="FFD02090"/>
        <bgColor indexed="64"/>
      </patternFill>
    </fill>
    <fill>
      <patternFill patternType="solid">
        <fgColor rgb="FF3F1728"/>
        <bgColor indexed="64"/>
      </patternFill>
    </fill>
    <fill>
      <patternFill patternType="solid">
        <fgColor rgb="FFAD390E"/>
        <bgColor indexed="64"/>
      </patternFill>
    </fill>
    <fill>
      <patternFill patternType="solid">
        <fgColor rgb="FFC71585"/>
        <bgColor indexed="64"/>
      </patternFill>
    </fill>
    <fill>
      <patternFill patternType="solid">
        <fgColor rgb="FF282022"/>
        <bgColor indexed="64"/>
      </patternFill>
    </fill>
    <fill>
      <patternFill patternType="solid">
        <fgColor rgb="FFAD4F09"/>
        <bgColor indexed="64"/>
      </patternFill>
    </fill>
    <fill>
      <patternFill patternType="solid">
        <fgColor rgb="FF8B8386"/>
        <bgColor indexed="64"/>
      </patternFill>
    </fill>
    <fill>
      <patternFill patternType="solid">
        <fgColor rgb="FFFF7F00"/>
        <bgColor indexed="64"/>
      </patternFill>
    </fill>
    <fill>
      <patternFill patternType="solid">
        <fgColor rgb="FFA0522D"/>
        <bgColor indexed="64"/>
      </patternFill>
    </fill>
    <fill>
      <patternFill patternType="solid">
        <fgColor rgb="FF8B3A62"/>
        <bgColor indexed="64"/>
      </patternFill>
    </fill>
    <fill>
      <patternFill patternType="solid">
        <fgColor rgb="FFFF8C00"/>
        <bgColor indexed="64"/>
      </patternFill>
    </fill>
    <fill>
      <patternFill patternType="solid">
        <fgColor rgb="FF9E4732"/>
        <bgColor indexed="64"/>
      </patternFill>
    </fill>
    <fill>
      <patternFill patternType="solid">
        <fgColor rgb="FF811453"/>
        <bgColor indexed="64"/>
      </patternFill>
    </fill>
    <fill>
      <patternFill patternType="solid">
        <fgColor rgb="FFC1B6B3"/>
        <bgColor indexed="64"/>
      </patternFill>
    </fill>
    <fill>
      <patternFill patternType="solid">
        <fgColor rgb="FF99512B"/>
        <bgColor indexed="64"/>
      </patternFill>
    </fill>
    <fill>
      <patternFill patternType="solid">
        <fgColor rgb="FF78184A"/>
        <bgColor indexed="64"/>
      </patternFill>
    </fill>
    <fill>
      <patternFill patternType="solid">
        <fgColor rgb="FFFD943F"/>
        <bgColor indexed="64"/>
      </patternFill>
    </fill>
    <fill>
      <patternFill patternType="solid">
        <fgColor rgb="FF9D3E0C"/>
        <bgColor indexed="64"/>
      </patternFill>
    </fill>
    <fill>
      <patternFill patternType="solid">
        <fgColor rgb="FFBABABA"/>
        <bgColor indexed="64"/>
      </patternFill>
    </fill>
    <fill>
      <patternFill patternType="solid">
        <fgColor rgb="FFF88E55"/>
        <bgColor indexed="64"/>
      </patternFill>
    </fill>
    <fill>
      <patternFill patternType="solid">
        <fgColor rgb="FF8B5742"/>
        <bgColor indexed="64"/>
      </patternFill>
    </fill>
    <fill>
      <patternFill patternType="solid">
        <fgColor rgb="FFBBBBBB"/>
        <bgColor indexed="64"/>
      </patternFill>
    </fill>
    <fill>
      <patternFill patternType="solid">
        <fgColor rgb="FFFEC3AC"/>
        <bgColor indexed="64"/>
      </patternFill>
    </fill>
    <fill>
      <patternFill patternType="solid">
        <fgColor rgb="FF8B4C39"/>
        <bgColor indexed="64"/>
      </patternFill>
    </fill>
    <fill>
      <patternFill patternType="solid">
        <fgColor rgb="FFBDBDBD"/>
        <bgColor indexed="64"/>
      </patternFill>
    </fill>
    <fill>
      <patternFill patternType="solid">
        <fgColor rgb="FFEAE3E1"/>
        <bgColor indexed="64"/>
      </patternFill>
    </fill>
    <fill>
      <patternFill patternType="solid">
        <fgColor rgb="FF8B3E2F"/>
        <bgColor indexed="64"/>
      </patternFill>
    </fill>
    <fill>
      <patternFill patternType="solid">
        <fgColor rgb="FFBEBEBE"/>
        <bgColor indexed="64"/>
      </patternFill>
    </fill>
    <fill>
      <patternFill patternType="solid">
        <fgColor rgb="FFFDE9E0"/>
        <bgColor indexed="64"/>
      </patternFill>
    </fill>
    <fill>
      <patternFill patternType="solid">
        <fgColor rgb="FF8D4024"/>
        <bgColor indexed="64"/>
      </patternFill>
    </fill>
    <fill>
      <patternFill patternType="solid">
        <fgColor rgb="FFBFBFBF"/>
        <bgColor indexed="64"/>
      </patternFill>
    </fill>
    <fill>
      <patternFill patternType="solid">
        <fgColor rgb="FFC7ADA3"/>
        <bgColor indexed="64"/>
      </patternFill>
    </fill>
    <fill>
      <patternFill patternType="solid">
        <fgColor rgb="FF8B3626"/>
        <bgColor indexed="64"/>
      </patternFill>
    </fill>
    <fill>
      <patternFill patternType="solid">
        <fgColor rgb="FFF38400"/>
        <bgColor indexed="64"/>
      </patternFill>
    </fill>
    <fill>
      <patternFill patternType="solid">
        <fgColor rgb="FF8B4726"/>
        <bgColor indexed="64"/>
      </patternFill>
    </fill>
    <fill>
      <patternFill patternType="solid">
        <fgColor rgb="FFC2C2C2"/>
        <bgColor indexed="64"/>
      </patternFill>
    </fill>
    <fill>
      <patternFill patternType="solid">
        <fgColor rgb="FFDB9370"/>
        <bgColor indexed="64"/>
      </patternFill>
    </fill>
    <fill>
      <patternFill patternType="solid">
        <fgColor rgb="FF88421D"/>
        <bgColor indexed="64"/>
      </patternFill>
    </fill>
    <fill>
      <patternFill patternType="solid">
        <fgColor rgb="FFC4C4C4"/>
        <bgColor indexed="64"/>
      </patternFill>
    </fill>
    <fill>
      <patternFill patternType="solid">
        <fgColor rgb="FFED872D"/>
        <bgColor indexed="64"/>
      </patternFill>
    </fill>
    <fill>
      <patternFill patternType="solid">
        <fgColor rgb="FF882D17"/>
        <bgColor indexed="64"/>
      </patternFill>
    </fill>
    <fill>
      <patternFill patternType="solid">
        <fgColor rgb="FFC7C7C7"/>
        <bgColor indexed="64"/>
      </patternFill>
    </fill>
    <fill>
      <patternFill patternType="solid">
        <fgColor rgb="FFEE7600"/>
        <bgColor indexed="64"/>
      </patternFill>
    </fill>
    <fill>
      <patternFill patternType="solid">
        <fgColor rgb="FF842E1B"/>
        <bgColor indexed="64"/>
      </patternFill>
    </fill>
    <fill>
      <patternFill patternType="solid">
        <fgColor rgb="FFC9C9C9"/>
        <bgColor indexed="64"/>
      </patternFill>
    </fill>
    <fill>
      <patternFill patternType="solid">
        <fgColor rgb="FFED7F10"/>
        <bgColor indexed="64"/>
      </patternFill>
    </fill>
    <fill>
      <patternFill patternType="solid">
        <fgColor rgb="FF79443B"/>
        <bgColor indexed="64"/>
      </patternFill>
    </fill>
    <fill>
      <patternFill patternType="solid">
        <fgColor rgb="FFCCCCCC"/>
        <bgColor indexed="64"/>
      </patternFill>
    </fill>
    <fill>
      <patternFill patternType="solid">
        <fgColor rgb="FFD19275"/>
        <bgColor indexed="64"/>
      </patternFill>
    </fill>
    <fill>
      <patternFill patternType="solid">
        <fgColor rgb="FF7E3300"/>
        <bgColor indexed="64"/>
      </patternFill>
    </fill>
    <fill>
      <patternFill patternType="solid">
        <fgColor rgb="FFCDCDCD"/>
        <bgColor indexed="64"/>
      </patternFill>
    </fill>
    <fill>
      <patternFill patternType="solid">
        <fgColor rgb="FFE67E30"/>
        <bgColor indexed="64"/>
      </patternFill>
    </fill>
    <fill>
      <patternFill patternType="solid">
        <fgColor rgb="FF674C47"/>
        <bgColor indexed="64"/>
      </patternFill>
    </fill>
    <fill>
      <patternFill patternType="solid">
        <fgColor rgb="FFCECECE"/>
        <bgColor indexed="64"/>
      </patternFill>
    </fill>
    <fill>
      <patternFill patternType="solid">
        <fgColor rgb="FFD99058"/>
        <bgColor indexed="64"/>
      </patternFill>
    </fill>
    <fill>
      <patternFill patternType="solid">
        <fgColor rgb="FF5B504F"/>
        <bgColor indexed="64"/>
      </patternFill>
    </fill>
    <fill>
      <patternFill patternType="solid">
        <fgColor rgb="FFCFCFCF"/>
        <bgColor indexed="64"/>
      </patternFill>
    </fill>
    <fill>
      <patternFill patternType="solid">
        <fgColor rgb="FFDF6D14"/>
        <bgColor indexed="64"/>
      </patternFill>
    </fill>
    <fill>
      <patternFill patternType="solid">
        <fgColor rgb="FF703516"/>
        <bgColor indexed="64"/>
      </patternFill>
    </fill>
    <fill>
      <patternFill patternType="solid">
        <fgColor rgb="FFD1D1D1"/>
        <bgColor indexed="64"/>
      </patternFill>
    </fill>
    <fill>
      <patternFill patternType="solid">
        <fgColor rgb="FFD2691E"/>
        <bgColor indexed="64"/>
      </patternFill>
    </fill>
    <fill>
      <patternFill patternType="solid">
        <fgColor rgb="FF43302E"/>
        <bgColor indexed="64"/>
      </patternFill>
    </fill>
    <fill>
      <patternFill patternType="solid">
        <fgColor rgb="FFD3D3D3"/>
        <bgColor indexed="64"/>
      </patternFill>
    </fill>
    <fill>
      <patternFill patternType="solid">
        <fgColor rgb="FFCD7F32"/>
        <bgColor indexed="64"/>
      </patternFill>
    </fill>
    <fill>
      <patternFill patternType="solid">
        <fgColor rgb="FFD4D4D4"/>
        <bgColor indexed="64"/>
      </patternFill>
    </fill>
    <fill>
      <patternFill patternType="solid">
        <fgColor rgb="FFCD661D"/>
        <bgColor indexed="64"/>
      </patternFill>
    </fill>
    <fill>
      <patternFill patternType="solid">
        <fgColor rgb="FF87E990"/>
        <bgColor indexed="64"/>
      </patternFill>
    </fill>
    <fill>
      <patternFill patternType="solid">
        <fgColor rgb="FFD6D6D6"/>
        <bgColor indexed="64"/>
      </patternFill>
    </fill>
    <fill>
      <patternFill patternType="solid">
        <fgColor rgb="FFCD6600"/>
        <bgColor indexed="64"/>
      </patternFill>
    </fill>
    <fill>
      <patternFill patternType="solid">
        <fgColor rgb="FF90EE90"/>
        <bgColor indexed="64"/>
      </patternFill>
    </fill>
    <fill>
      <patternFill patternType="solid">
        <fgColor rgb="FFBE6516"/>
        <bgColor indexed="64"/>
      </patternFill>
    </fill>
    <fill>
      <patternFill patternType="solid">
        <fgColor rgb="FFC1CDC1"/>
        <bgColor indexed="64"/>
      </patternFill>
    </fill>
    <fill>
      <patternFill patternType="solid">
        <fgColor rgb="FFDBDBDB"/>
        <bgColor indexed="64"/>
      </patternFill>
    </fill>
    <fill>
      <patternFill patternType="solid">
        <fgColor rgb="FFB87333"/>
        <bgColor indexed="64"/>
      </patternFill>
    </fill>
    <fill>
      <patternFill patternType="solid">
        <fgColor rgb="FF98FB98"/>
        <bgColor indexed="64"/>
      </patternFill>
    </fill>
    <fill>
      <patternFill patternType="solid">
        <fgColor rgb="FFDCDCDC"/>
        <bgColor indexed="64"/>
      </patternFill>
    </fill>
    <fill>
      <patternFill patternType="solid">
        <fgColor rgb="FF977F73"/>
        <bgColor indexed="64"/>
      </patternFill>
    </fill>
    <fill>
      <patternFill patternType="solid">
        <fgColor rgb="FFB4EEB4"/>
        <bgColor indexed="64"/>
      </patternFill>
    </fill>
    <fill>
      <patternFill patternType="solid">
        <fgColor rgb="FFDDDDDD"/>
        <bgColor indexed="64"/>
      </patternFill>
    </fill>
    <fill>
      <patternFill patternType="solid">
        <fgColor rgb="FFAE6938"/>
        <bgColor indexed="64"/>
      </patternFill>
    </fill>
    <fill>
      <patternFill patternType="solid">
        <fgColor rgb="FF9AFF9A"/>
        <bgColor indexed="64"/>
      </patternFill>
    </fill>
    <fill>
      <patternFill patternType="solid">
        <fgColor rgb="FFDEDEDE"/>
        <bgColor indexed="64"/>
      </patternFill>
    </fill>
    <fill>
      <patternFill patternType="solid">
        <fgColor rgb="FFB36700"/>
        <bgColor indexed="64"/>
      </patternFill>
    </fill>
    <fill>
      <patternFill patternType="solid">
        <fgColor rgb="FFC1FFC1"/>
        <bgColor indexed="64"/>
      </patternFill>
    </fill>
    <fill>
      <patternFill patternType="solid">
        <fgColor rgb="FFAE642D"/>
        <bgColor indexed="64"/>
      </patternFill>
    </fill>
    <fill>
      <patternFill patternType="solid">
        <fgColor rgb="FFE0EEE0"/>
        <bgColor indexed="64"/>
      </patternFill>
    </fill>
    <fill>
      <patternFill patternType="solid">
        <fgColor rgb="FFE3E3E3"/>
        <bgColor indexed="64"/>
      </patternFill>
    </fill>
    <fill>
      <patternFill patternType="solid">
        <fgColor rgb="FFA76726"/>
        <bgColor indexed="64"/>
      </patternFill>
    </fill>
    <fill>
      <patternFill patternType="solid">
        <fgColor rgb="FFF0FFF0"/>
        <bgColor indexed="64"/>
      </patternFill>
    </fill>
    <fill>
      <patternFill patternType="solid">
        <fgColor rgb="FFE5E5E5"/>
        <bgColor indexed="64"/>
      </patternFill>
    </fill>
    <fill>
      <patternFill patternType="solid">
        <fgColor rgb="FF97694F"/>
        <bgColor indexed="64"/>
      </patternFill>
    </fill>
    <fill>
      <patternFill patternType="solid">
        <fgColor rgb="FF9BCD9B"/>
        <bgColor indexed="64"/>
      </patternFill>
    </fill>
    <fill>
      <patternFill patternType="solid">
        <fgColor rgb="FFE8E8E8"/>
        <bgColor indexed="64"/>
      </patternFill>
    </fill>
    <fill>
      <patternFill patternType="solid">
        <fgColor rgb="FFA75502"/>
        <bgColor indexed="64"/>
      </patternFill>
    </fill>
    <fill>
      <patternFill patternType="solid">
        <fgColor rgb="FF09F911"/>
        <bgColor indexed="64"/>
      </patternFill>
    </fill>
    <fill>
      <patternFill patternType="solid">
        <fgColor rgb="FFEBEBEB"/>
        <bgColor indexed="64"/>
      </patternFill>
    </fill>
    <fill>
      <patternFill patternType="solid">
        <fgColor rgb="FF9F551E"/>
        <bgColor indexed="64"/>
      </patternFill>
    </fill>
    <fill>
      <patternFill patternType="solid">
        <fgColor rgb="FF3AF24B"/>
        <bgColor indexed="64"/>
      </patternFill>
    </fill>
    <fill>
      <patternFill patternType="solid">
        <fgColor rgb="FFEDEDED"/>
        <bgColor indexed="64"/>
      </patternFill>
    </fill>
    <fill>
      <patternFill patternType="solid">
        <fgColor rgb="FF985717"/>
        <bgColor indexed="64"/>
      </patternFill>
    </fill>
    <fill>
      <patternFill patternType="solid">
        <fgColor rgb="FF83D37D"/>
        <bgColor indexed="64"/>
      </patternFill>
    </fill>
    <fill>
      <patternFill patternType="solid">
        <fgColor rgb="FFEEEEEE"/>
        <bgColor indexed="64"/>
      </patternFill>
    </fill>
    <fill>
      <patternFill patternType="solid">
        <fgColor rgb="FF955628"/>
        <bgColor indexed="64"/>
      </patternFill>
    </fill>
    <fill>
      <patternFill patternType="solid">
        <fgColor rgb="FF93C592"/>
        <bgColor indexed="64"/>
      </patternFill>
    </fill>
    <fill>
      <patternFill patternType="solid">
        <fgColor rgb="FFEFEFEF"/>
        <bgColor indexed="64"/>
      </patternFill>
    </fill>
    <fill>
      <patternFill patternType="solid">
        <fgColor rgb="FF8E5434"/>
        <bgColor indexed="64"/>
      </patternFill>
    </fill>
    <fill>
      <patternFill patternType="solid">
        <fgColor rgb="FF00EE00"/>
        <bgColor indexed="64"/>
      </patternFill>
    </fill>
    <fill>
      <patternFill patternType="solid">
        <fgColor rgb="FFF0F0F0"/>
        <bgColor indexed="64"/>
      </patternFill>
    </fill>
    <fill>
      <patternFill patternType="solid">
        <fgColor rgb="FF855E42"/>
        <bgColor indexed="64"/>
      </patternFill>
    </fill>
    <fill>
      <patternFill patternType="solid">
        <fgColor rgb="FF7CCD7C"/>
        <bgColor indexed="64"/>
      </patternFill>
    </fill>
    <fill>
      <patternFill patternType="solid">
        <fgColor rgb="FF845A3B"/>
        <bgColor indexed="64"/>
      </patternFill>
    </fill>
    <fill>
      <patternFill patternType="solid">
        <fgColor rgb="FF8FBC8F"/>
        <bgColor indexed="64"/>
      </patternFill>
    </fill>
    <fill>
      <patternFill patternType="solid">
        <fgColor rgb="FFF5F5F5"/>
        <bgColor indexed="64"/>
      </patternFill>
    </fill>
    <fill>
      <patternFill patternType="solid">
        <fgColor rgb="FF8B4513"/>
        <bgColor indexed="64"/>
      </patternFill>
    </fill>
    <fill>
      <patternFill patternType="solid">
        <fgColor rgb="FF95A595"/>
        <bgColor indexed="64"/>
      </patternFill>
    </fill>
    <fill>
      <patternFill patternType="solid">
        <fgColor rgb="FFF7F7F7"/>
        <bgColor indexed="64"/>
      </patternFill>
    </fill>
    <fill>
      <patternFill patternType="solid">
        <fgColor rgb="FF8B4500"/>
        <bgColor indexed="64"/>
      </patternFill>
    </fill>
    <fill>
      <patternFill patternType="solid">
        <fgColor rgb="FF32CD32"/>
        <bgColor indexed="64"/>
      </patternFill>
    </fill>
    <fill>
      <patternFill patternType="solid">
        <fgColor rgb="FFFAFAFA"/>
        <bgColor indexed="64"/>
      </patternFill>
    </fill>
    <fill>
      <patternFill patternType="solid">
        <fgColor rgb="FF80461B"/>
        <bgColor indexed="64"/>
      </patternFill>
    </fill>
    <fill>
      <patternFill patternType="solid">
        <fgColor rgb="FF00CD00"/>
        <bgColor indexed="64"/>
      </patternFill>
    </fill>
    <fill>
      <patternFill patternType="solid">
        <fgColor rgb="FFFCFCFC"/>
        <bgColor indexed="64"/>
      </patternFill>
    </fill>
    <fill>
      <patternFill patternType="solid">
        <fgColor rgb="FF6F4E37"/>
        <bgColor indexed="64"/>
      </patternFill>
    </fill>
    <fill>
      <patternFill patternType="solid">
        <fgColor rgb="FF34C924"/>
        <bgColor indexed="64"/>
      </patternFill>
    </fill>
    <fill>
      <patternFill patternType="solid">
        <fgColor rgb="FFFEFEFE"/>
        <bgColor indexed="64"/>
      </patternFill>
    </fill>
    <fill>
      <patternFill patternType="solid">
        <fgColor rgb="FF635147"/>
        <bgColor indexed="64"/>
      </patternFill>
    </fill>
    <fill>
      <patternFill patternType="solid">
        <fgColor rgb="FF838B83"/>
        <bgColor indexed="64"/>
      </patternFill>
    </fill>
    <fill>
      <patternFill patternType="solid">
        <fgColor rgb="FFB8B8B8"/>
        <bgColor indexed="64"/>
      </patternFill>
    </fill>
    <fill>
      <patternFill patternType="solid">
        <fgColor rgb="FF6B4226"/>
        <bgColor indexed="64"/>
      </patternFill>
    </fill>
    <fill>
      <patternFill patternType="solid">
        <fgColor rgb="FF679267"/>
        <bgColor indexed="64"/>
      </patternFill>
    </fill>
    <fill>
      <patternFill patternType="solid">
        <fgColor rgb="FFB5B5B5"/>
        <bgColor indexed="64"/>
      </patternFill>
    </fill>
    <fill>
      <patternFill patternType="solid">
        <fgColor rgb="FF5C4033"/>
        <bgColor indexed="64"/>
      </patternFill>
    </fill>
    <fill>
      <patternFill patternType="solid">
        <fgColor rgb="FF698B69"/>
        <bgColor indexed="64"/>
      </patternFill>
    </fill>
    <fill>
      <patternFill patternType="solid">
        <fgColor rgb="FFB3B3B3"/>
        <bgColor indexed="64"/>
      </patternFill>
    </fill>
    <fill>
      <patternFill patternType="solid">
        <fgColor rgb="FF5A3A22"/>
        <bgColor indexed="64"/>
      </patternFill>
    </fill>
    <fill>
      <patternFill patternType="solid">
        <fgColor rgb="FF44944A"/>
        <bgColor indexed="64"/>
      </patternFill>
    </fill>
    <fill>
      <patternFill patternType="solid">
        <fgColor rgb="FFB0B0B0"/>
        <bgColor indexed="64"/>
      </patternFill>
    </fill>
    <fill>
      <patternFill patternType="solid">
        <fgColor rgb="FF5C3317"/>
        <bgColor indexed="64"/>
      </patternFill>
    </fill>
    <fill>
      <patternFill patternType="solid">
        <fgColor rgb="FF548B54"/>
        <bgColor indexed="64"/>
      </patternFill>
    </fill>
    <fill>
      <patternFill patternType="solid">
        <fgColor rgb="FFAFAFAF"/>
        <bgColor indexed="64"/>
      </patternFill>
    </fill>
    <fill>
      <patternFill patternType="solid">
        <fgColor rgb="FF593319"/>
        <bgColor indexed="64"/>
      </patternFill>
    </fill>
    <fill>
      <patternFill patternType="solid">
        <fgColor rgb="FF149414"/>
        <bgColor indexed="64"/>
      </patternFill>
    </fill>
    <fill>
      <patternFill patternType="solid">
        <fgColor rgb="FFADADAD"/>
        <bgColor indexed="64"/>
      </patternFill>
    </fill>
    <fill>
      <patternFill patternType="solid">
        <fgColor rgb="FF582900"/>
        <bgColor indexed="64"/>
      </patternFill>
    </fill>
    <fill>
      <patternFill patternType="solid">
        <fgColor rgb="FF238E23"/>
        <bgColor indexed="64"/>
      </patternFill>
    </fill>
    <fill>
      <patternFill patternType="solid">
        <fgColor rgb="FFABABAB"/>
        <bgColor indexed="64"/>
      </patternFill>
    </fill>
    <fill>
      <patternFill patternType="solid">
        <fgColor rgb="FF3E322C"/>
        <bgColor indexed="64"/>
      </patternFill>
    </fill>
    <fill>
      <patternFill patternType="solid">
        <fgColor rgb="FF228B22"/>
        <bgColor indexed="64"/>
      </patternFill>
    </fill>
    <fill>
      <patternFill patternType="solid">
        <fgColor rgb="FFA8A8A8"/>
        <bgColor indexed="64"/>
      </patternFill>
    </fill>
    <fill>
      <patternFill patternType="solid">
        <fgColor rgb="FF422518"/>
        <bgColor indexed="64"/>
      </patternFill>
    </fill>
    <fill>
      <patternFill patternType="solid">
        <fgColor rgb="FF008B00"/>
        <bgColor indexed="64"/>
      </patternFill>
    </fill>
    <fill>
      <patternFill patternType="solid">
        <fgColor rgb="FFA6A6A6"/>
        <bgColor indexed="64"/>
      </patternFill>
    </fill>
    <fill>
      <patternFill patternType="solid">
        <fgColor rgb="FF3F2204"/>
        <bgColor indexed="64"/>
      </patternFill>
    </fill>
    <fill>
      <patternFill patternType="solid">
        <fgColor rgb="FFA3A3A3"/>
        <bgColor indexed="64"/>
      </patternFill>
    </fill>
    <fill>
      <patternFill patternType="solid">
        <fgColor rgb="FF28201C"/>
        <bgColor indexed="64"/>
      </patternFill>
    </fill>
    <fill>
      <patternFill patternType="solid">
        <fgColor rgb="FF426F42"/>
        <bgColor indexed="64"/>
      </patternFill>
    </fill>
    <fill>
      <patternFill patternType="solid">
        <fgColor rgb="FFA1A1A1"/>
        <bgColor indexed="64"/>
      </patternFill>
    </fill>
    <fill>
      <patternFill patternType="solid">
        <fgColor rgb="FF2F1B0C"/>
        <bgColor indexed="64"/>
      </patternFill>
    </fill>
    <fill>
      <patternFill patternType="solid">
        <fgColor rgb="FF22780F"/>
        <bgColor indexed="64"/>
      </patternFill>
    </fill>
    <fill>
      <patternFill patternType="solid">
        <fgColor rgb="FF9E9E9E"/>
        <bgColor indexed="64"/>
      </patternFill>
    </fill>
    <fill>
      <patternFill patternType="solid">
        <fgColor rgb="FF7FFF00"/>
        <bgColor indexed="64"/>
      </patternFill>
    </fill>
    <fill>
      <patternFill patternType="solid">
        <fgColor rgb="FF096A09"/>
        <bgColor indexed="64"/>
      </patternFill>
    </fill>
    <fill>
      <patternFill patternType="solid">
        <fgColor rgb="FF9C9C9C"/>
        <bgColor indexed="64"/>
      </patternFill>
    </fill>
    <fill>
      <patternFill patternType="solid">
        <fgColor rgb="FF7CFC00"/>
        <bgColor indexed="64"/>
      </patternFill>
    </fill>
    <fill>
      <patternFill patternType="solid">
        <fgColor rgb="FF006400"/>
        <bgColor indexed="64"/>
      </patternFill>
    </fill>
    <fill>
      <patternFill patternType="solid">
        <fgColor rgb="FF999999"/>
        <bgColor indexed="64"/>
      </patternFill>
    </fill>
    <fill>
      <patternFill patternType="solid">
        <fgColor rgb="FF76EE00"/>
        <bgColor indexed="64"/>
      </patternFill>
    </fill>
    <fill>
      <patternFill patternType="solid">
        <fgColor rgb="FF2F4F2F"/>
        <bgColor indexed="64"/>
      </patternFill>
    </fill>
    <fill>
      <patternFill patternType="solid">
        <fgColor rgb="FF969696"/>
        <bgColor indexed="64"/>
      </patternFill>
    </fill>
    <fill>
      <patternFill patternType="solid">
        <fgColor rgb="FF7FDD4C"/>
        <bgColor indexed="64"/>
      </patternFill>
    </fill>
    <fill>
      <patternFill patternType="solid">
        <fgColor rgb="FFB6E5AF"/>
        <bgColor indexed="64"/>
      </patternFill>
    </fill>
    <fill>
      <patternFill patternType="solid">
        <fgColor rgb="FF949494"/>
        <bgColor indexed="64"/>
      </patternFill>
    </fill>
    <fill>
      <patternFill patternType="solid">
        <fgColor rgb="FF66CD00"/>
        <bgColor indexed="64"/>
      </patternFill>
    </fill>
    <fill>
      <patternFill patternType="solid">
        <fgColor rgb="FF85C17E"/>
        <bgColor indexed="64"/>
      </patternFill>
    </fill>
    <fill>
      <patternFill patternType="solid">
        <fgColor rgb="FF919191"/>
        <bgColor indexed="64"/>
      </patternFill>
    </fill>
    <fill>
      <patternFill patternType="solid">
        <fgColor rgb="FF458B00"/>
        <bgColor indexed="64"/>
      </patternFill>
    </fill>
    <fill>
      <patternFill patternType="solid">
        <fgColor rgb="FF57D53B"/>
        <bgColor indexed="64"/>
      </patternFill>
    </fill>
    <fill>
      <patternFill patternType="solid">
        <fgColor rgb="FF8F8F8F"/>
        <bgColor indexed="64"/>
      </patternFill>
    </fill>
    <fill>
      <patternFill patternType="solid">
        <fgColor rgb="FF467129"/>
        <bgColor indexed="64"/>
      </patternFill>
    </fill>
    <fill>
      <patternFill patternType="solid">
        <fgColor rgb="FF82C46C"/>
        <bgColor indexed="64"/>
      </patternFill>
    </fill>
    <fill>
      <patternFill patternType="solid">
        <fgColor rgb="FF8C8C8C"/>
        <bgColor indexed="64"/>
      </patternFill>
    </fill>
    <fill>
      <patternFill patternType="solid">
        <fgColor rgb="FF00FF7F"/>
        <bgColor indexed="64"/>
      </patternFill>
    </fill>
    <fill>
      <patternFill patternType="solid">
        <fgColor rgb="FF679F5A"/>
        <bgColor indexed="64"/>
      </patternFill>
    </fill>
    <fill>
      <patternFill patternType="solid">
        <fgColor rgb="FF8A8A8A"/>
        <bgColor indexed="64"/>
      </patternFill>
    </fill>
    <fill>
      <patternFill patternType="solid">
        <fgColor rgb="FF54F98D"/>
        <bgColor indexed="64"/>
      </patternFill>
    </fill>
    <fill>
      <patternFill patternType="solid">
        <fgColor rgb="FF3A9D23"/>
        <bgColor indexed="64"/>
      </patternFill>
    </fill>
    <fill>
      <patternFill patternType="solid">
        <fgColor rgb="FF888888"/>
        <bgColor indexed="64"/>
      </patternFill>
    </fill>
    <fill>
      <patternFill patternType="solid">
        <fgColor rgb="FF54FF9F"/>
        <bgColor indexed="64"/>
      </patternFill>
    </fill>
    <fill>
      <patternFill patternType="solid">
        <fgColor rgb="FF1B4F08"/>
        <bgColor indexed="64"/>
      </patternFill>
    </fill>
    <fill>
      <patternFill patternType="solid">
        <fgColor rgb="FF878787"/>
        <bgColor indexed="64"/>
      </patternFill>
    </fill>
    <fill>
      <patternFill patternType="solid">
        <fgColor rgb="FF00FE7E"/>
        <bgColor indexed="64"/>
      </patternFill>
    </fill>
    <fill>
      <patternFill patternType="solid">
        <fgColor rgb="FF2B3D26"/>
        <bgColor indexed="64"/>
      </patternFill>
    </fill>
    <fill>
      <patternFill patternType="solid">
        <fgColor rgb="FF858585"/>
        <bgColor indexed="64"/>
      </patternFill>
    </fill>
    <fill>
      <patternFill patternType="solid">
        <fgColor rgb="FFB2BEB5"/>
        <bgColor indexed="64"/>
      </patternFill>
    </fill>
    <fill>
      <patternFill patternType="solid">
        <fgColor rgb="FFB0F2B6"/>
        <bgColor indexed="64"/>
      </patternFill>
    </fill>
    <fill>
      <patternFill patternType="solid">
        <fgColor rgb="FF848484"/>
        <bgColor indexed="64"/>
      </patternFill>
    </fill>
    <fill>
      <patternFill patternType="solid">
        <fgColor rgb="FF4EEE94"/>
        <bgColor indexed="64"/>
      </patternFill>
    </fill>
    <fill>
      <patternFill patternType="solid">
        <fgColor rgb="FF01D758"/>
        <bgColor indexed="64"/>
      </patternFill>
    </fill>
    <fill>
      <patternFill patternType="solid">
        <fgColor rgb="FF828282"/>
        <bgColor indexed="64"/>
      </patternFill>
    </fill>
    <fill>
      <patternFill patternType="solid">
        <fgColor rgb="FF70DB93"/>
        <bgColor indexed="64"/>
      </patternFill>
    </fill>
    <fill>
      <patternFill patternType="solid">
        <fgColor rgb="FF16B84E"/>
        <bgColor indexed="64"/>
      </patternFill>
    </fill>
    <fill>
      <patternFill patternType="solid">
        <fgColor rgb="FF7F7F7F"/>
        <bgColor indexed="64"/>
      </patternFill>
    </fill>
    <fill>
      <patternFill patternType="solid">
        <fgColor rgb="FF00EE76"/>
        <bgColor indexed="64"/>
      </patternFill>
    </fill>
    <fill>
      <patternFill patternType="solid">
        <fgColor rgb="FF689D71"/>
        <bgColor indexed="64"/>
      </patternFill>
    </fill>
    <fill>
      <patternFill patternType="solid">
        <fgColor rgb="FF7D7D7D"/>
        <bgColor indexed="64"/>
      </patternFill>
    </fill>
    <fill>
      <patternFill patternType="solid">
        <fgColor rgb="FF43CD80"/>
        <bgColor indexed="64"/>
      </patternFill>
    </fill>
    <fill>
      <patternFill patternType="solid">
        <fgColor rgb="FF27A64C"/>
        <bgColor indexed="64"/>
      </patternFill>
    </fill>
    <fill>
      <patternFill patternType="solid">
        <fgColor rgb="FF7A7A7A"/>
        <bgColor indexed="64"/>
      </patternFill>
    </fill>
    <fill>
      <patternFill patternType="solid">
        <fgColor rgb="FF00CD66"/>
        <bgColor indexed="64"/>
      </patternFill>
    </fill>
    <fill>
      <patternFill patternType="solid">
        <fgColor rgb="FF355E3B"/>
        <bgColor indexed="64"/>
      </patternFill>
    </fill>
    <fill>
      <patternFill patternType="solid">
        <fgColor rgb="FF787878"/>
        <bgColor indexed="64"/>
      </patternFill>
    </fill>
    <fill>
      <patternFill patternType="solid">
        <fgColor rgb="FF3CB371"/>
        <bgColor indexed="64"/>
      </patternFill>
    </fill>
    <fill>
      <patternFill patternType="solid">
        <fgColor rgb="FF00561B"/>
        <bgColor indexed="64"/>
      </patternFill>
    </fill>
    <fill>
      <patternFill patternType="solid">
        <fgColor rgb="FF777777"/>
        <bgColor indexed="64"/>
      </patternFill>
    </fill>
    <fill>
      <patternFill patternType="solid">
        <fgColor rgb="FF4CA66B"/>
        <bgColor indexed="64"/>
      </patternFill>
    </fill>
    <fill>
      <patternFill patternType="solid">
        <fgColor rgb="FF18391E"/>
        <bgColor indexed="64"/>
      </patternFill>
    </fill>
    <fill>
      <patternFill patternType="solid">
        <fgColor rgb="FF757575"/>
        <bgColor indexed="64"/>
      </patternFill>
    </fill>
    <fill>
      <patternFill patternType="solid">
        <fgColor rgb="FF1FA055"/>
        <bgColor indexed="64"/>
      </patternFill>
    </fill>
    <fill>
      <patternFill patternType="solid">
        <fgColor rgb="FFBF3EFF"/>
        <bgColor indexed="64"/>
      </patternFill>
    </fill>
    <fill>
      <patternFill patternType="solid">
        <fgColor rgb="FF737373"/>
        <bgColor indexed="64"/>
      </patternFill>
    </fill>
    <fill>
      <patternFill patternType="solid">
        <fgColor rgb="FF2E8B57"/>
        <bgColor indexed="64"/>
      </patternFill>
    </fill>
    <fill>
      <patternFill patternType="solid">
        <fgColor rgb="FFB23AEE"/>
        <bgColor indexed="64"/>
      </patternFill>
    </fill>
    <fill>
      <patternFill patternType="solid">
        <fgColor rgb="FF707070"/>
        <bgColor indexed="64"/>
      </patternFill>
    </fill>
    <fill>
      <patternFill patternType="solid">
        <fgColor rgb="FF008B45"/>
        <bgColor indexed="64"/>
      </patternFill>
    </fill>
    <fill>
      <patternFill patternType="solid">
        <fgColor rgb="FF9400D3"/>
        <bgColor indexed="64"/>
      </patternFill>
    </fill>
    <fill>
      <patternFill patternType="solid">
        <fgColor rgb="FF6E6E6E"/>
        <bgColor indexed="64"/>
      </patternFill>
    </fill>
    <fill>
      <patternFill patternType="solid">
        <fgColor rgb="FF386F48"/>
        <bgColor indexed="64"/>
      </patternFill>
    </fill>
    <fill>
      <patternFill patternType="solid">
        <fgColor rgb="FF9932CD"/>
        <bgColor indexed="64"/>
      </patternFill>
    </fill>
    <fill>
      <patternFill patternType="solid">
        <fgColor rgb="FF6B6B6B"/>
        <bgColor indexed="64"/>
      </patternFill>
    </fill>
    <fill>
      <patternFill patternType="solid">
        <fgColor rgb="FF00622D"/>
        <bgColor indexed="64"/>
      </patternFill>
    </fill>
    <fill>
      <patternFill patternType="solid">
        <fgColor rgb="FF9A32CD"/>
        <bgColor indexed="64"/>
      </patternFill>
    </fill>
    <fill>
      <patternFill patternType="solid">
        <fgColor rgb="FF696969"/>
        <bgColor indexed="64"/>
      </patternFill>
    </fill>
    <fill>
      <patternFill patternType="solid">
        <fgColor rgb="FF175732"/>
        <bgColor indexed="64"/>
      </patternFill>
    </fill>
    <fill>
      <patternFill patternType="solid">
        <fgColor rgb="FF9932CC"/>
        <bgColor indexed="64"/>
      </patternFill>
    </fill>
    <fill>
      <patternFill patternType="solid">
        <fgColor rgb="FF666666"/>
        <bgColor indexed="64"/>
      </patternFill>
    </fill>
    <fill>
      <patternFill patternType="solid">
        <fgColor rgb="FF095228"/>
        <bgColor indexed="64"/>
      </patternFill>
    </fill>
    <fill>
      <patternFill patternType="solid">
        <fgColor rgb="FF884DA7"/>
        <bgColor indexed="64"/>
      </patternFill>
    </fill>
    <fill>
      <patternFill patternType="solid">
        <fgColor rgb="FF636363"/>
        <bgColor indexed="64"/>
      </patternFill>
    </fill>
    <fill>
      <patternFill patternType="solid">
        <fgColor rgb="FF173620"/>
        <bgColor indexed="64"/>
      </patternFill>
    </fill>
    <fill>
      <patternFill patternType="solid">
        <fgColor rgb="FF68228B"/>
        <bgColor indexed="64"/>
      </patternFill>
    </fill>
    <fill>
      <patternFill patternType="solid">
        <fgColor rgb="FF616161"/>
        <bgColor indexed="64"/>
      </patternFill>
    </fill>
    <fill>
      <patternFill patternType="solid">
        <fgColor rgb="FF003118"/>
        <bgColor indexed="64"/>
      </patternFill>
    </fill>
    <fill>
      <patternFill patternType="solid">
        <fgColor rgb="FF120D16"/>
        <bgColor indexed="64"/>
      </patternFill>
    </fill>
    <fill>
      <patternFill patternType="solid">
        <fgColor rgb="FFA020F0"/>
        <bgColor indexed="64"/>
      </patternFill>
    </fill>
    <fill>
      <patternFill patternType="solid">
        <fgColor rgb="FF5E5E5E"/>
        <bgColor indexed="64"/>
      </patternFill>
    </fill>
    <fill>
      <patternFill patternType="solid">
        <fgColor rgb="FFFFB90F"/>
        <bgColor indexed="64"/>
      </patternFill>
    </fill>
    <fill>
      <patternFill patternType="solid">
        <fgColor rgb="FF9966CC"/>
        <bgColor indexed="64"/>
      </patternFill>
    </fill>
    <fill>
      <patternFill patternType="solid">
        <fgColor rgb="FF5C5C5C"/>
        <bgColor indexed="64"/>
      </patternFill>
    </fill>
    <fill>
      <patternFill patternType="solid">
        <fgColor rgb="FFFFC125"/>
        <bgColor indexed="64"/>
      </patternFill>
    </fill>
    <fill>
      <patternFill patternType="solid">
        <fgColor rgb="FF8806CE"/>
        <bgColor indexed="64"/>
      </patternFill>
    </fill>
    <fill>
      <patternFill patternType="solid">
        <fgColor rgb="FF595959"/>
        <bgColor indexed="64"/>
      </patternFill>
    </fill>
    <fill>
      <patternFill patternType="solid">
        <fgColor rgb="FFCDC0B0"/>
        <bgColor indexed="64"/>
      </patternFill>
    </fill>
    <fill>
      <patternFill patternType="solid">
        <fgColor rgb="FF551A8B"/>
        <bgColor indexed="64"/>
      </patternFill>
    </fill>
    <fill>
      <patternFill patternType="solid">
        <fgColor rgb="FF575757"/>
        <bgColor indexed="64"/>
      </patternFill>
    </fill>
    <fill>
      <patternFill patternType="solid">
        <fgColor rgb="FFFFC14F"/>
        <bgColor indexed="64"/>
      </patternFill>
    </fill>
    <fill>
      <patternFill patternType="solid">
        <fgColor rgb="FF32174D"/>
        <bgColor indexed="64"/>
      </patternFill>
    </fill>
    <fill>
      <patternFill patternType="solid">
        <fgColor rgb="FF555555"/>
        <bgColor indexed="64"/>
      </patternFill>
    </fill>
    <fill>
      <patternFill patternType="solid">
        <fgColor rgb="FFFFCB60"/>
        <bgColor indexed="64"/>
      </patternFill>
    </fill>
    <fill>
      <patternFill patternType="solid">
        <fgColor rgb="FF2F2140"/>
        <bgColor indexed="64"/>
      </patternFill>
    </fill>
    <fill>
      <patternFill patternType="solid">
        <fgColor rgb="FF545454"/>
        <bgColor indexed="64"/>
      </patternFill>
    </fill>
    <fill>
      <patternFill patternType="solid">
        <fgColor rgb="FFEEC591"/>
        <bgColor indexed="64"/>
      </patternFill>
    </fill>
    <fill>
      <patternFill patternType="solid">
        <fgColor rgb="FFC9A0DC"/>
        <bgColor indexed="64"/>
      </patternFill>
    </fill>
    <fill>
      <patternFill patternType="solid">
        <fgColor rgb="FF525252"/>
        <bgColor indexed="64"/>
      </patternFill>
    </fill>
    <fill>
      <patternFill patternType="solid">
        <fgColor rgb="FFFBC97F"/>
        <bgColor indexed="64"/>
      </patternFill>
    </fill>
    <fill>
      <patternFill patternType="solid">
        <fgColor rgb="FFCFA0E9"/>
        <bgColor indexed="64"/>
      </patternFill>
    </fill>
    <fill>
      <patternFill patternType="solid">
        <fgColor rgb="FF4F4F4F"/>
        <bgColor indexed="64"/>
      </patternFill>
    </fill>
    <fill>
      <patternFill patternType="solid">
        <fgColor rgb="FFEBC79E"/>
        <bgColor indexed="64"/>
      </patternFill>
    </fill>
    <fill>
      <patternFill patternType="solid">
        <fgColor rgb="FFD6CADD"/>
        <bgColor indexed="64"/>
      </patternFill>
    </fill>
    <fill>
      <patternFill patternType="solid">
        <fgColor rgb="FF4D4D4D"/>
        <bgColor indexed="64"/>
      </patternFill>
    </fill>
    <fill>
      <patternFill patternType="solid">
        <fgColor rgb="FFEECFA1"/>
        <bgColor indexed="64"/>
      </patternFill>
    </fill>
    <fill>
      <patternFill patternType="solid">
        <fgColor rgb="FFB666D2"/>
        <bgColor indexed="64"/>
      </patternFill>
    </fill>
    <fill>
      <patternFill patternType="solid">
        <fgColor rgb="FFFFD39B"/>
        <bgColor indexed="64"/>
      </patternFill>
    </fill>
    <fill>
      <patternFill patternType="solid">
        <fgColor rgb="FF401A4C"/>
        <bgColor indexed="64"/>
      </patternFill>
    </fill>
    <fill>
      <patternFill patternType="solid">
        <fgColor rgb="FFFFE389"/>
        <bgColor indexed="64"/>
      </patternFill>
    </fill>
    <fill>
      <patternFill patternType="solid">
        <fgColor theme="0"/>
        <bgColor theme="9" tint="0.79998168889431442"/>
      </patternFill>
    </fill>
    <fill>
      <patternFill patternType="solid">
        <fgColor theme="8" tint="-0.249977111117893"/>
        <bgColor indexed="64"/>
      </patternFill>
    </fill>
    <fill>
      <patternFill patternType="gray125">
        <fgColor theme="7" tint="0.39994506668294322"/>
        <bgColor theme="0"/>
      </patternFill>
    </fill>
    <fill>
      <patternFill patternType="solid">
        <fgColor rgb="FFFF3B3B"/>
        <bgColor indexed="64"/>
      </patternFill>
    </fill>
    <fill>
      <patternFill patternType="solid">
        <fgColor rgb="FFDEC8EE"/>
        <bgColor indexed="64"/>
      </patternFill>
    </fill>
    <fill>
      <patternFill patternType="solid">
        <fgColor rgb="FFDEC8EE"/>
        <bgColor theme="9"/>
      </patternFill>
    </fill>
    <fill>
      <patternFill patternType="solid">
        <fgColor rgb="FF0000FF"/>
        <bgColor theme="9"/>
      </patternFill>
    </fill>
    <fill>
      <patternFill patternType="solid">
        <fgColor rgb="FFFFFFB7"/>
        <bgColor indexed="64"/>
      </patternFill>
    </fill>
    <fill>
      <patternFill patternType="gray125">
        <bgColor theme="0" tint="-0.14996795556505021"/>
      </patternFill>
    </fill>
    <fill>
      <patternFill patternType="solid">
        <fgColor theme="0" tint="-0.14999847407452621"/>
        <bgColor theme="9"/>
      </patternFill>
    </fill>
    <fill>
      <patternFill patternType="solid">
        <fgColor theme="5" tint="0.59999389629810485"/>
        <bgColor theme="9"/>
      </patternFill>
    </fill>
  </fills>
  <borders count="376">
    <border>
      <left/>
      <right/>
      <top/>
      <bottom/>
      <diagonal/>
    </border>
    <border>
      <left/>
      <right/>
      <top style="double">
        <color theme="9" tint="0.39994506668294322"/>
      </top>
      <bottom/>
      <diagonal/>
    </border>
    <border>
      <left/>
      <right/>
      <top style="medium">
        <color auto="1"/>
      </top>
      <bottom/>
      <diagonal/>
    </border>
    <border>
      <left/>
      <right/>
      <top/>
      <bottom style="medium">
        <color auto="1"/>
      </bottom>
      <diagonal/>
    </border>
    <border>
      <left/>
      <right/>
      <top style="thin">
        <color indexed="64"/>
      </top>
      <bottom style="hair">
        <color indexed="64"/>
      </bottom>
      <diagonal/>
    </border>
    <border>
      <left/>
      <right/>
      <top style="thin">
        <color auto="1"/>
      </top>
      <bottom/>
      <diagonal/>
    </border>
    <border>
      <left style="medium">
        <color indexed="64"/>
      </left>
      <right/>
      <top/>
      <bottom/>
      <diagonal/>
    </border>
    <border>
      <left style="medium">
        <color indexed="64"/>
      </left>
      <right/>
      <top style="medium">
        <color indexed="64"/>
      </top>
      <bottom/>
      <diagonal/>
    </border>
    <border>
      <left/>
      <right style="medium">
        <color indexed="64"/>
      </right>
      <top style="medium">
        <color auto="1"/>
      </top>
      <bottom/>
      <diagonal/>
    </border>
    <border>
      <left/>
      <right style="medium">
        <color indexed="64"/>
      </right>
      <top/>
      <bottom/>
      <diagonal/>
    </border>
    <border>
      <left style="medium">
        <color indexed="64"/>
      </left>
      <right/>
      <top style="hair">
        <color auto="1"/>
      </top>
      <bottom style="thin">
        <color auto="1"/>
      </bottom>
      <diagonal/>
    </border>
    <border>
      <left/>
      <right/>
      <top style="hair">
        <color auto="1"/>
      </top>
      <bottom style="thin">
        <color indexed="64"/>
      </bottom>
      <diagonal/>
    </border>
    <border>
      <left/>
      <right style="medium">
        <color indexed="64"/>
      </right>
      <top style="hair">
        <color indexed="64"/>
      </top>
      <bottom style="thin">
        <color indexed="64"/>
      </bottom>
      <diagonal/>
    </border>
    <border>
      <left style="medium">
        <color indexed="64"/>
      </left>
      <right/>
      <top style="thin">
        <color indexed="64"/>
      </top>
      <bottom style="hair">
        <color indexed="64"/>
      </bottom>
      <diagonal/>
    </border>
    <border>
      <left/>
      <right/>
      <top/>
      <bottom style="hair">
        <color auto="1"/>
      </bottom>
      <diagonal/>
    </border>
    <border>
      <left/>
      <right style="hair">
        <color auto="1"/>
      </right>
      <top/>
      <bottom style="hair">
        <color auto="1"/>
      </bottom>
      <diagonal/>
    </border>
    <border>
      <left style="hair">
        <color auto="1"/>
      </left>
      <right/>
      <top/>
      <bottom/>
      <diagonal/>
    </border>
    <border>
      <left/>
      <right style="hair">
        <color auto="1"/>
      </right>
      <top/>
      <bottom/>
      <diagonal/>
    </border>
    <border>
      <left style="hair">
        <color indexed="64"/>
      </left>
      <right style="hair">
        <color indexed="64"/>
      </right>
      <top/>
      <bottom/>
      <diagonal/>
    </border>
    <border>
      <left style="hair">
        <color auto="1"/>
      </left>
      <right/>
      <top/>
      <bottom style="hair">
        <color auto="1"/>
      </bottom>
      <diagonal/>
    </border>
    <border>
      <left style="hair">
        <color auto="1"/>
      </left>
      <right style="hair">
        <color indexed="64"/>
      </right>
      <top/>
      <bottom style="hair">
        <color auto="1"/>
      </bottom>
      <diagonal/>
    </border>
    <border>
      <left/>
      <right style="medium">
        <color indexed="64"/>
      </right>
      <top/>
      <bottom style="hair">
        <color auto="1"/>
      </bottom>
      <diagonal/>
    </border>
    <border>
      <left style="hair">
        <color auto="1"/>
      </left>
      <right/>
      <top/>
      <bottom style="thin">
        <color theme="9" tint="0.39997558519241921"/>
      </bottom>
      <diagonal/>
    </border>
    <border>
      <left/>
      <right/>
      <top/>
      <bottom style="thin">
        <color theme="9" tint="0.39997558519241921"/>
      </bottom>
      <diagonal/>
    </border>
    <border>
      <left style="hair">
        <color auto="1"/>
      </left>
      <right style="hair">
        <color auto="1"/>
      </right>
      <top style="hair">
        <color auto="1"/>
      </top>
      <bottom style="hair">
        <color auto="1"/>
      </bottom>
      <diagonal/>
    </border>
    <border>
      <left/>
      <right style="hair">
        <color indexed="64"/>
      </right>
      <top/>
      <bottom style="thin">
        <color theme="9" tint="0.39997558519241921"/>
      </bottom>
      <diagonal/>
    </border>
    <border>
      <left/>
      <right style="hair">
        <color indexed="64"/>
      </right>
      <top style="hair">
        <color indexed="64"/>
      </top>
      <bottom/>
      <diagonal/>
    </border>
    <border>
      <left style="hair">
        <color theme="9" tint="0.39988402966399123"/>
      </left>
      <right/>
      <top style="hair">
        <color auto="1"/>
      </top>
      <bottom style="hair">
        <color theme="9" tint="0.39988402966399123"/>
      </bottom>
      <diagonal/>
    </border>
    <border>
      <left style="hair">
        <color theme="9" tint="0.39988402966399123"/>
      </left>
      <right/>
      <top style="hair">
        <color theme="9" tint="0.39988402966399123"/>
      </top>
      <bottom style="hair">
        <color theme="9" tint="0.39988402966399123"/>
      </bottom>
      <diagonal/>
    </border>
    <border>
      <left/>
      <right/>
      <top style="thin">
        <color theme="9" tint="0.39997558519241921"/>
      </top>
      <bottom style="thin">
        <color theme="9" tint="0.39997558519241921"/>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auto="1"/>
      </left>
      <right/>
      <top/>
      <bottom/>
      <diagonal/>
    </border>
    <border>
      <left/>
      <right style="thin">
        <color indexed="64"/>
      </right>
      <top/>
      <bottom/>
      <diagonal/>
    </border>
    <border>
      <left/>
      <right style="medium">
        <color indexed="64"/>
      </right>
      <top style="hair">
        <color theme="9" tint="0.39994506668294322"/>
      </top>
      <bottom style="hair">
        <color theme="9" tint="0.39994506668294322"/>
      </bottom>
      <diagonal/>
    </border>
    <border>
      <left style="thin">
        <color auto="1"/>
      </left>
      <right/>
      <top/>
      <bottom style="thin">
        <color auto="1"/>
      </bottom>
      <diagonal/>
    </border>
    <border>
      <left style="hair">
        <color indexed="64"/>
      </left>
      <right/>
      <top/>
      <bottom style="thin">
        <color indexed="64"/>
      </bottom>
      <diagonal/>
    </border>
    <border>
      <left/>
      <right style="thin">
        <color indexed="64"/>
      </right>
      <top/>
      <bottom style="thin">
        <color indexed="64"/>
      </bottom>
      <diagonal/>
    </border>
    <border>
      <left/>
      <right/>
      <top style="thin">
        <color theme="9" tint="0.39997558519241921"/>
      </top>
      <bottom/>
      <diagonal/>
    </border>
    <border>
      <left style="hair">
        <color indexed="64"/>
      </left>
      <right style="thin">
        <color indexed="64"/>
      </right>
      <top style="hair">
        <color indexed="64"/>
      </top>
      <bottom style="hair">
        <color indexed="64"/>
      </bottom>
      <diagonal/>
    </border>
    <border>
      <left style="hair">
        <color indexed="64"/>
      </left>
      <right/>
      <top style="hair">
        <color indexed="64"/>
      </top>
      <bottom style="hair">
        <color indexed="64"/>
      </bottom>
      <diagonal/>
    </border>
    <border>
      <left/>
      <right/>
      <top style="hair">
        <color auto="1"/>
      </top>
      <bottom style="hair">
        <color auto="1"/>
      </bottom>
      <diagonal/>
    </border>
    <border>
      <left/>
      <right style="medium">
        <color indexed="64"/>
      </right>
      <top style="hair">
        <color auto="1"/>
      </top>
      <bottom style="hair">
        <color auto="1"/>
      </bottom>
      <diagonal/>
    </border>
    <border>
      <left style="hair">
        <color auto="1"/>
      </left>
      <right style="medium">
        <color auto="1"/>
      </right>
      <top style="hair">
        <color auto="1"/>
      </top>
      <bottom style="hair">
        <color auto="1"/>
      </bottom>
      <diagonal/>
    </border>
    <border>
      <left style="hair">
        <color indexed="64"/>
      </left>
      <right/>
      <top style="hair">
        <color indexed="64"/>
      </top>
      <bottom/>
      <diagonal/>
    </border>
    <border>
      <left/>
      <right/>
      <top style="hair">
        <color auto="1"/>
      </top>
      <bottom/>
      <diagonal/>
    </border>
    <border>
      <left/>
      <right/>
      <top style="hair">
        <color auto="1"/>
      </top>
      <bottom style="dashed">
        <color indexed="64"/>
      </bottom>
      <diagonal/>
    </border>
    <border>
      <left/>
      <right style="medium">
        <color auto="1"/>
      </right>
      <top style="hair">
        <color auto="1"/>
      </top>
      <bottom/>
      <diagonal/>
    </border>
    <border>
      <left style="hair">
        <color indexed="64"/>
      </left>
      <right/>
      <top style="thin">
        <color indexed="64"/>
      </top>
      <bottom/>
      <diagonal/>
    </border>
    <border>
      <left/>
      <right/>
      <top style="dashed">
        <color indexed="64"/>
      </top>
      <bottom/>
      <diagonal/>
    </border>
    <border>
      <left/>
      <right style="mediumDashed">
        <color auto="1"/>
      </right>
      <top style="dashed">
        <color auto="1"/>
      </top>
      <bottom/>
      <diagonal/>
    </border>
    <border>
      <left/>
      <right style="mediumDashed">
        <color indexed="64"/>
      </right>
      <top/>
      <bottom/>
      <diagonal/>
    </border>
    <border>
      <left style="thin">
        <color auto="1"/>
      </left>
      <right/>
      <top style="thin">
        <color indexed="64"/>
      </top>
      <bottom/>
      <diagonal/>
    </border>
    <border>
      <left/>
      <right style="medium">
        <color auto="1"/>
      </right>
      <top style="thin">
        <color auto="1"/>
      </top>
      <bottom/>
      <diagonal/>
    </border>
    <border>
      <left style="thin">
        <color indexed="64"/>
      </left>
      <right/>
      <top style="hair">
        <color indexed="64"/>
      </top>
      <bottom/>
      <diagonal/>
    </border>
    <border>
      <left style="thin">
        <color auto="1"/>
      </left>
      <right/>
      <top/>
      <bottom style="hair">
        <color indexed="64"/>
      </bottom>
      <diagonal/>
    </border>
    <border>
      <left/>
      <right/>
      <top/>
      <bottom style="thin">
        <color indexed="64"/>
      </bottom>
      <diagonal/>
    </border>
    <border>
      <left/>
      <right style="medium">
        <color auto="1"/>
      </right>
      <top/>
      <bottom style="thin">
        <color indexed="64"/>
      </bottom>
      <diagonal/>
    </border>
    <border>
      <left style="medium">
        <color auto="1"/>
      </left>
      <right/>
      <top/>
      <bottom style="medium">
        <color auto="1"/>
      </bottom>
      <diagonal/>
    </border>
    <border>
      <left/>
      <right style="medium">
        <color auto="1"/>
      </right>
      <top/>
      <bottom style="medium">
        <color auto="1"/>
      </bottom>
      <diagonal/>
    </border>
    <border>
      <left style="hair">
        <color indexed="64"/>
      </left>
      <right/>
      <top style="thin">
        <color indexed="64"/>
      </top>
      <bottom style="dashed">
        <color auto="1"/>
      </bottom>
      <diagonal/>
    </border>
    <border>
      <left style="dashed">
        <color auto="1"/>
      </left>
      <right style="dashed">
        <color auto="1"/>
      </right>
      <top style="dashed">
        <color auto="1"/>
      </top>
      <bottom style="dashed">
        <color auto="1"/>
      </bottom>
      <diagonal/>
    </border>
    <border>
      <left style="medium">
        <color auto="1"/>
      </left>
      <right/>
      <top style="thin">
        <color indexed="64"/>
      </top>
      <bottom/>
      <diagonal/>
    </border>
    <border>
      <left/>
      <right style="hair">
        <color indexed="64"/>
      </right>
      <top style="thin">
        <color indexed="64"/>
      </top>
      <bottom/>
      <diagonal/>
    </border>
    <border>
      <left style="hair">
        <color indexed="64"/>
      </left>
      <right style="hair">
        <color indexed="64"/>
      </right>
      <top style="thin">
        <color indexed="64"/>
      </top>
      <bottom/>
      <diagonal/>
    </border>
    <border>
      <left style="medium">
        <color indexed="64"/>
      </left>
      <right/>
      <top/>
      <bottom style="hair">
        <color indexed="64"/>
      </bottom>
      <diagonal/>
    </border>
    <border>
      <left style="medium">
        <color indexed="64"/>
      </left>
      <right/>
      <top/>
      <bottom style="thin">
        <color theme="9" tint="0.39997558519241921"/>
      </bottom>
      <diagonal/>
    </border>
    <border>
      <left style="hair">
        <color theme="1" tint="0.499984740745262"/>
      </left>
      <right/>
      <top/>
      <bottom/>
      <diagonal/>
    </border>
    <border>
      <left/>
      <right style="hair">
        <color indexed="64"/>
      </right>
      <top/>
      <bottom style="hair">
        <color theme="9" tint="0.59996337778862885"/>
      </bottom>
      <diagonal/>
    </border>
    <border>
      <left/>
      <right/>
      <top/>
      <bottom style="mediumDashed">
        <color indexed="64"/>
      </bottom>
      <diagonal/>
    </border>
    <border>
      <left/>
      <right style="hair">
        <color theme="9" tint="0.39994506668294322"/>
      </right>
      <top/>
      <bottom style="hair">
        <color theme="9" tint="0.39991454817346722"/>
      </bottom>
      <diagonal/>
    </border>
    <border>
      <left style="medium">
        <color indexed="64"/>
      </left>
      <right style="hair">
        <color indexed="64"/>
      </right>
      <top style="double">
        <color theme="9" tint="0.39994506668294322"/>
      </top>
      <bottom/>
      <diagonal/>
    </border>
    <border>
      <left style="hair">
        <color indexed="64"/>
      </left>
      <right/>
      <top style="double">
        <color theme="9" tint="0.39994506668294322"/>
      </top>
      <bottom/>
      <diagonal/>
    </border>
    <border>
      <left/>
      <right/>
      <top style="double">
        <color theme="9" tint="0.39994506668294322"/>
      </top>
      <bottom style="hair">
        <color auto="1"/>
      </bottom>
      <diagonal/>
    </border>
    <border>
      <left/>
      <right style="medium">
        <color indexed="64"/>
      </right>
      <top style="double">
        <color theme="9" tint="0.39994506668294322"/>
      </top>
      <bottom/>
      <diagonal/>
    </border>
    <border>
      <left style="medium">
        <color indexed="64"/>
      </left>
      <right style="hair">
        <color auto="1"/>
      </right>
      <top/>
      <bottom style="hair">
        <color auto="1"/>
      </bottom>
      <diagonal/>
    </border>
    <border>
      <left style="medium">
        <color indexed="64"/>
      </left>
      <right style="hair">
        <color indexed="64"/>
      </right>
      <top style="hair">
        <color theme="9" tint="0.39991454817346722"/>
      </top>
      <bottom style="hair">
        <color theme="9" tint="0.39991454817346722"/>
      </bottom>
      <diagonal/>
    </border>
    <border>
      <left style="hair">
        <color indexed="64"/>
      </left>
      <right/>
      <top style="hair">
        <color theme="9" tint="0.39994506668294322"/>
      </top>
      <bottom style="hair">
        <color theme="9" tint="0.39994506668294322"/>
      </bottom>
      <diagonal/>
    </border>
    <border>
      <left/>
      <right/>
      <top style="hair">
        <color theme="9" tint="0.39994506668294322"/>
      </top>
      <bottom style="hair">
        <color theme="9" tint="0.39994506668294322"/>
      </bottom>
      <diagonal/>
    </border>
    <border>
      <left/>
      <right/>
      <top style="hair">
        <color theme="9" tint="0.39991454817346722"/>
      </top>
      <bottom style="hair">
        <color theme="9" tint="0.39991454817346722"/>
      </bottom>
      <diagonal/>
    </border>
    <border>
      <left/>
      <right/>
      <top style="hair">
        <color theme="9" tint="0.39994506668294322"/>
      </top>
      <bottom/>
      <diagonal/>
    </border>
    <border>
      <left/>
      <right style="medium">
        <color indexed="64"/>
      </right>
      <top style="hair">
        <color theme="9" tint="0.39994506668294322"/>
      </top>
      <bottom/>
      <diagonal/>
    </border>
    <border>
      <left style="hair">
        <color indexed="64"/>
      </left>
      <right/>
      <top/>
      <bottom style="dashed">
        <color indexed="64"/>
      </bottom>
      <diagonal/>
    </border>
    <border>
      <left/>
      <right/>
      <top/>
      <bottom style="dashed">
        <color indexed="64"/>
      </bottom>
      <diagonal/>
    </border>
    <border>
      <left style="medium">
        <color auto="1"/>
      </left>
      <right/>
      <top style="double">
        <color theme="9" tint="0.39994506668294322"/>
      </top>
      <bottom/>
      <diagonal/>
    </border>
    <border>
      <left style="hair">
        <color indexed="64"/>
      </left>
      <right style="hair">
        <color indexed="64"/>
      </right>
      <top style="double">
        <color theme="9" tint="0.39994506668294322"/>
      </top>
      <bottom/>
      <diagonal/>
    </border>
    <border>
      <left style="medium">
        <color indexed="64"/>
      </left>
      <right/>
      <top style="hair">
        <color theme="9" tint="0.39994506668294322"/>
      </top>
      <bottom style="hair">
        <color theme="9" tint="0.39994506668294322"/>
      </bottom>
      <diagonal/>
    </border>
    <border>
      <left style="hair">
        <color theme="9" tint="0.39991454817346722"/>
      </left>
      <right style="hair">
        <color theme="9" tint="0.39994506668294322"/>
      </right>
      <top style="hair">
        <color theme="9" tint="0.39994506668294322"/>
      </top>
      <bottom style="hair">
        <color theme="9" tint="0.39994506668294322"/>
      </bottom>
      <diagonal/>
    </border>
    <border>
      <left style="hair">
        <color theme="9" tint="0.39994506668294322"/>
      </left>
      <right/>
      <top style="hair">
        <color theme="9" tint="0.39994506668294322"/>
      </top>
      <bottom style="hair">
        <color theme="9" tint="0.39994506668294322"/>
      </bottom>
      <diagonal/>
    </border>
    <border>
      <left style="hair">
        <color indexed="64"/>
      </left>
      <right style="hair">
        <color indexed="64"/>
      </right>
      <top style="hair">
        <color theme="9" tint="0.39994506668294322"/>
      </top>
      <bottom style="hair">
        <color theme="9" tint="0.39994506668294322"/>
      </bottom>
      <diagonal/>
    </border>
    <border>
      <left/>
      <right style="hair">
        <color indexed="64"/>
      </right>
      <top style="hair">
        <color theme="9" tint="0.39994506668294322"/>
      </top>
      <bottom style="hair">
        <color theme="9" tint="0.39994506668294322"/>
      </bottom>
      <diagonal/>
    </border>
    <border>
      <left style="hair">
        <color theme="9" tint="0.39991454817346722"/>
      </left>
      <right style="hair">
        <color theme="9" tint="0.39994506668294322"/>
      </right>
      <top/>
      <bottom style="thin">
        <color theme="9" tint="0.39997558519241921"/>
      </bottom>
      <diagonal/>
    </border>
    <border>
      <left style="hair">
        <color indexed="64"/>
      </left>
      <right style="hair">
        <color indexed="64"/>
      </right>
      <top style="hair">
        <color auto="1"/>
      </top>
      <bottom/>
      <diagonal/>
    </border>
    <border>
      <left style="medium">
        <color auto="1"/>
      </left>
      <right/>
      <top style="thin">
        <color theme="9" tint="0.39997558519241921"/>
      </top>
      <bottom style="thin">
        <color theme="9" tint="0.39997558519241921"/>
      </bottom>
      <diagonal/>
    </border>
    <border>
      <left style="double">
        <color indexed="64"/>
      </left>
      <right style="double">
        <color indexed="64"/>
      </right>
      <top style="double">
        <color indexed="64"/>
      </top>
      <bottom/>
      <diagonal/>
    </border>
    <border>
      <left style="double">
        <color indexed="64"/>
      </left>
      <right style="double">
        <color indexed="64"/>
      </right>
      <top/>
      <bottom style="hair">
        <color auto="1"/>
      </bottom>
      <diagonal/>
    </border>
    <border>
      <left style="double">
        <color indexed="64"/>
      </left>
      <right style="double">
        <color indexed="64"/>
      </right>
      <top/>
      <bottom style="double">
        <color indexed="64"/>
      </bottom>
      <diagonal/>
    </border>
    <border>
      <left/>
      <right/>
      <top style="hair">
        <color auto="1"/>
      </top>
      <bottom style="hair">
        <color theme="9" tint="0.39994506668294322"/>
      </bottom>
      <diagonal/>
    </border>
    <border>
      <left/>
      <right/>
      <top style="hair">
        <color theme="9" tint="0.39985351115451523"/>
      </top>
      <bottom style="hair">
        <color theme="9" tint="0.39985351115451523"/>
      </bottom>
      <diagonal/>
    </border>
    <border>
      <left style="thin">
        <color theme="0" tint="-0.34998626667073579"/>
      </left>
      <right/>
      <top/>
      <bottom/>
      <diagonal/>
    </border>
    <border>
      <left/>
      <right/>
      <top/>
      <bottom style="hair">
        <color theme="9" tint="0.59996337778862885"/>
      </bottom>
      <diagonal/>
    </border>
    <border>
      <left/>
      <right/>
      <top style="hair">
        <color indexed="64"/>
      </top>
      <bottom style="hair">
        <color theme="9" tint="0.39985351115451523"/>
      </bottom>
      <diagonal/>
    </border>
    <border>
      <left style="hair">
        <color theme="9" tint="0.39991454817346722"/>
      </left>
      <right style="hair">
        <color theme="9" tint="0.39991454817346722"/>
      </right>
      <top/>
      <bottom style="thin">
        <color theme="9" tint="0.39997558519241921"/>
      </bottom>
      <diagonal/>
    </border>
    <border>
      <left/>
      <right style="thin">
        <color indexed="64"/>
      </right>
      <top style="thin">
        <color indexed="64"/>
      </top>
      <bottom/>
      <diagonal/>
    </border>
    <border>
      <left/>
      <right style="thin">
        <color indexed="64"/>
      </right>
      <top/>
      <bottom style="hair">
        <color indexed="64"/>
      </bottom>
      <diagonal/>
    </border>
    <border>
      <left style="hair">
        <color auto="1"/>
      </left>
      <right/>
      <top style="dashed">
        <color auto="1"/>
      </top>
      <bottom style="hair">
        <color auto="1"/>
      </bottom>
      <diagonal/>
    </border>
    <border>
      <left style="hair">
        <color auto="1"/>
      </left>
      <right/>
      <top style="dashed">
        <color indexed="64"/>
      </top>
      <bottom/>
      <diagonal/>
    </border>
    <border>
      <left style="hair">
        <color theme="9" tint="0.39985351115451523"/>
      </left>
      <right style="hair">
        <color theme="9" tint="0.39985351115451523"/>
      </right>
      <top style="hair">
        <color theme="9" tint="0.39985351115451523"/>
      </top>
      <bottom style="hair">
        <color theme="9" tint="0.39985351115451523"/>
      </bottom>
      <diagonal/>
    </border>
    <border>
      <left style="hair">
        <color theme="9" tint="0.39994506668294322"/>
      </left>
      <right style="hair">
        <color theme="9" tint="0.39994506668294322"/>
      </right>
      <top/>
      <bottom style="hair">
        <color theme="9" tint="0.59996337778862885"/>
      </bottom>
      <diagonal/>
    </border>
    <border>
      <left style="hair">
        <color auto="1"/>
      </left>
      <right/>
      <top style="thin">
        <color theme="9" tint="0.39997558519241921"/>
      </top>
      <bottom style="thin">
        <color theme="9" tint="0.39997558519241921"/>
      </bottom>
      <diagonal/>
    </border>
    <border>
      <left style="hair">
        <color theme="9" tint="0.39994506668294322"/>
      </left>
      <right style="hair">
        <color theme="9" tint="0.39994506668294322"/>
      </right>
      <top style="hair">
        <color theme="9" tint="0.59996337778862885"/>
      </top>
      <bottom style="hair">
        <color theme="9" tint="0.59996337778862885"/>
      </bottom>
      <diagonal/>
    </border>
    <border>
      <left style="hair">
        <color auto="1"/>
      </left>
      <right/>
      <top style="thin">
        <color theme="9" tint="0.39997558519241921"/>
      </top>
      <bottom style="hair">
        <color auto="1"/>
      </bottom>
      <diagonal/>
    </border>
    <border>
      <left style="medium">
        <color indexed="64"/>
      </left>
      <right style="hair">
        <color indexed="64"/>
      </right>
      <top style="hair">
        <color indexed="64"/>
      </top>
      <bottom style="hair">
        <color indexed="64"/>
      </bottom>
      <diagonal/>
    </border>
    <border>
      <left/>
      <right style="medium">
        <color indexed="64"/>
      </right>
      <top style="thin">
        <color indexed="64"/>
      </top>
      <bottom style="hair">
        <color indexed="64"/>
      </bottom>
      <diagonal/>
    </border>
    <border>
      <left/>
      <right style="medium">
        <color auto="1"/>
      </right>
      <top style="thin">
        <color indexed="64"/>
      </top>
      <bottom style="dashed">
        <color auto="1"/>
      </bottom>
      <diagonal/>
    </border>
    <border>
      <left/>
      <right style="medium">
        <color indexed="64"/>
      </right>
      <top style="dashed">
        <color indexed="64"/>
      </top>
      <bottom/>
      <diagonal/>
    </border>
    <border>
      <left style="medium">
        <color indexed="64"/>
      </left>
      <right/>
      <top style="hair">
        <color auto="1"/>
      </top>
      <bottom/>
      <diagonal/>
    </border>
    <border>
      <left/>
      <right style="thin">
        <color auto="1"/>
      </right>
      <top style="hair">
        <color auto="1"/>
      </top>
      <bottom/>
      <diagonal/>
    </border>
    <border>
      <left style="medium">
        <color auto="1"/>
      </left>
      <right/>
      <top style="thin">
        <color indexed="64"/>
      </top>
      <bottom style="dashed">
        <color auto="1"/>
      </bottom>
      <diagonal/>
    </border>
    <border>
      <left style="medium">
        <color auto="1"/>
      </left>
      <right style="dashed">
        <color auto="1"/>
      </right>
      <top style="dashed">
        <color auto="1"/>
      </top>
      <bottom style="dashed">
        <color auto="1"/>
      </bottom>
      <diagonal/>
    </border>
    <border>
      <left style="medium">
        <color indexed="64"/>
      </left>
      <right/>
      <top/>
      <bottom style="mediumDashed">
        <color indexed="64"/>
      </bottom>
      <diagonal/>
    </border>
    <border>
      <left/>
      <right style="medium">
        <color auto="1"/>
      </right>
      <top/>
      <bottom style="mediumDashed">
        <color indexed="64"/>
      </bottom>
      <diagonal/>
    </border>
    <border>
      <left style="medium">
        <color auto="1"/>
      </left>
      <right/>
      <top/>
      <bottom style="dashed">
        <color indexed="64"/>
      </bottom>
      <diagonal/>
    </border>
    <border>
      <left/>
      <right style="medium">
        <color indexed="64"/>
      </right>
      <top/>
      <bottom style="dashed">
        <color indexed="64"/>
      </bottom>
      <diagonal/>
    </border>
    <border>
      <left style="medium">
        <color auto="1"/>
      </left>
      <right style="double">
        <color indexed="64"/>
      </right>
      <top style="double">
        <color indexed="64"/>
      </top>
      <bottom/>
      <diagonal/>
    </border>
    <border>
      <left style="medium">
        <color auto="1"/>
      </left>
      <right style="double">
        <color indexed="64"/>
      </right>
      <top/>
      <bottom style="hair">
        <color auto="1"/>
      </bottom>
      <diagonal/>
    </border>
    <border>
      <left style="medium">
        <color auto="1"/>
      </left>
      <right style="double">
        <color indexed="64"/>
      </right>
      <top/>
      <bottom style="double">
        <color indexed="64"/>
      </bottom>
      <diagonal/>
    </border>
    <border>
      <left style="medium">
        <color indexed="64"/>
      </left>
      <right/>
      <top/>
      <bottom style="thin">
        <color indexed="64"/>
      </bottom>
      <diagonal/>
    </border>
    <border>
      <left style="dashed">
        <color auto="1"/>
      </left>
      <right style="dashed">
        <color auto="1"/>
      </right>
      <top style="dashed">
        <color auto="1"/>
      </top>
      <bottom style="thin">
        <color indexed="64"/>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indexed="64"/>
      </left>
      <right style="thin">
        <color auto="1"/>
      </right>
      <top style="medium">
        <color indexed="64"/>
      </top>
      <bottom/>
      <diagonal/>
    </border>
    <border>
      <left style="thin">
        <color auto="1"/>
      </left>
      <right style="thin">
        <color auto="1"/>
      </right>
      <top/>
      <bottom style="hair">
        <color auto="1"/>
      </bottom>
      <diagonal/>
    </border>
    <border>
      <left style="thin">
        <color auto="1"/>
      </left>
      <right style="thin">
        <color auto="1"/>
      </right>
      <top style="hair">
        <color auto="1"/>
      </top>
      <bottom style="hair">
        <color auto="1"/>
      </bottom>
      <diagonal/>
    </border>
    <border>
      <left style="thin">
        <color auto="1"/>
      </left>
      <right style="thin">
        <color auto="1"/>
      </right>
      <top style="hair">
        <color auto="1"/>
      </top>
      <bottom/>
      <diagonal/>
    </border>
    <border>
      <left style="thin">
        <color auto="1"/>
      </left>
      <right style="thin">
        <color auto="1"/>
      </right>
      <top style="thin">
        <color auto="1"/>
      </top>
      <bottom style="hair">
        <color auto="1"/>
      </bottom>
      <diagonal/>
    </border>
    <border>
      <left style="thin">
        <color auto="1"/>
      </left>
      <right style="thin">
        <color auto="1"/>
      </right>
      <top style="hair">
        <color theme="9" tint="0.39994506668294322"/>
      </top>
      <bottom style="hair">
        <color theme="9" tint="0.39994506668294322"/>
      </bottom>
      <diagonal/>
    </border>
    <border>
      <left style="thin">
        <color auto="1"/>
      </left>
      <right style="thin">
        <color auto="1"/>
      </right>
      <top/>
      <bottom style="thin">
        <color theme="9" tint="0.39997558519241921"/>
      </bottom>
      <diagonal/>
    </border>
    <border>
      <left style="thin">
        <color auto="1"/>
      </left>
      <right style="thin">
        <color auto="1"/>
      </right>
      <top style="thin">
        <color theme="9" tint="0.39997558519241921"/>
      </top>
      <bottom style="thin">
        <color theme="9" tint="0.39997558519241921"/>
      </bottom>
      <diagonal/>
    </border>
    <border>
      <left style="thin">
        <color auto="1"/>
      </left>
      <right style="thin">
        <color auto="1"/>
      </right>
      <top style="thin">
        <color theme="9" tint="0.39997558519241921"/>
      </top>
      <bottom/>
      <diagonal/>
    </border>
    <border>
      <left style="thin">
        <color auto="1"/>
      </left>
      <right style="thin">
        <color auto="1"/>
      </right>
      <top style="hair">
        <color theme="9" tint="0.39991454817346722"/>
      </top>
      <bottom style="hair">
        <color theme="9" tint="0.39991454817346722"/>
      </bottom>
      <diagonal/>
    </border>
    <border>
      <left style="thin">
        <color auto="1"/>
      </left>
      <right style="thin">
        <color auto="1"/>
      </right>
      <top style="hair">
        <color theme="9" tint="0.39985351115451523"/>
      </top>
      <bottom style="hair">
        <color theme="9" tint="0.39985351115451523"/>
      </bottom>
      <diagonal/>
    </border>
    <border>
      <left style="thin">
        <color auto="1"/>
      </left>
      <right style="thin">
        <color auto="1"/>
      </right>
      <top style="double">
        <color theme="9" tint="0.39994506668294322"/>
      </top>
      <bottom/>
      <diagonal/>
    </border>
    <border>
      <left style="thin">
        <color auto="1"/>
      </left>
      <right style="thin">
        <color auto="1"/>
      </right>
      <top/>
      <bottom style="thin">
        <color indexed="64"/>
      </bottom>
      <diagonal/>
    </border>
    <border>
      <left style="thin">
        <color auto="1"/>
      </left>
      <right style="thin">
        <color auto="1"/>
      </right>
      <top/>
      <bottom style="mediumDashed">
        <color indexed="64"/>
      </bottom>
      <diagonal/>
    </border>
    <border>
      <left style="thin">
        <color auto="1"/>
      </left>
      <right style="thin">
        <color auto="1"/>
      </right>
      <top style="hair">
        <color auto="1"/>
      </top>
      <bottom style="thin">
        <color auto="1"/>
      </bottom>
      <diagonal/>
    </border>
    <border>
      <left/>
      <right/>
      <top style="mediumDashed">
        <color indexed="64"/>
      </top>
      <bottom/>
      <diagonal/>
    </border>
    <border>
      <left style="mediumDashed">
        <color auto="1"/>
      </left>
      <right/>
      <top/>
      <bottom/>
      <diagonal/>
    </border>
    <border>
      <left/>
      <right/>
      <top style="double">
        <color auto="1"/>
      </top>
      <bottom/>
      <diagonal/>
    </border>
    <border>
      <left/>
      <right/>
      <top/>
      <bottom style="double">
        <color theme="9" tint="0.39994506668294322"/>
      </bottom>
      <diagonal/>
    </border>
    <border>
      <left/>
      <right/>
      <top style="medium">
        <color auto="1"/>
      </top>
      <bottom style="medium">
        <color auto="1"/>
      </bottom>
      <diagonal/>
    </border>
    <border>
      <left style="medium">
        <color auto="1"/>
      </left>
      <right style="hair">
        <color indexed="64"/>
      </right>
      <top/>
      <bottom/>
      <diagonal/>
    </border>
    <border>
      <left style="mediumDashed">
        <color indexed="64"/>
      </left>
      <right/>
      <top/>
      <bottom style="thin">
        <color auto="1"/>
      </bottom>
      <diagonal/>
    </border>
    <border>
      <left/>
      <right/>
      <top style="thin">
        <color auto="1"/>
      </top>
      <bottom style="thin">
        <color auto="1"/>
      </bottom>
      <diagonal/>
    </border>
    <border>
      <left style="thin">
        <color auto="1"/>
      </left>
      <right/>
      <top style="thin">
        <color auto="1"/>
      </top>
      <bottom style="medium">
        <color auto="1"/>
      </bottom>
      <diagonal/>
    </border>
    <border>
      <left/>
      <right style="thin">
        <color auto="1"/>
      </right>
      <top style="thin">
        <color auto="1"/>
      </top>
      <bottom style="medium">
        <color indexed="64"/>
      </bottom>
      <diagonal/>
    </border>
    <border>
      <left style="mediumDashed">
        <color indexed="64"/>
      </left>
      <right style="thin">
        <color indexed="64"/>
      </right>
      <top/>
      <bottom/>
      <diagonal/>
    </border>
    <border>
      <left style="thin">
        <color auto="1"/>
      </left>
      <right/>
      <top style="medium">
        <color auto="1"/>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medium">
        <color auto="1"/>
      </left>
      <right/>
      <top style="double">
        <color auto="1"/>
      </top>
      <bottom/>
      <diagonal/>
    </border>
    <border>
      <left/>
      <right style="medium">
        <color auto="1"/>
      </right>
      <top style="double">
        <color auto="1"/>
      </top>
      <bottom/>
      <diagonal/>
    </border>
    <border>
      <left style="medium">
        <color auto="1"/>
      </left>
      <right/>
      <top style="dotted">
        <color indexed="64"/>
      </top>
      <bottom/>
      <diagonal/>
    </border>
    <border>
      <left/>
      <right/>
      <top style="dotted">
        <color indexed="64"/>
      </top>
      <bottom/>
      <diagonal/>
    </border>
    <border>
      <left/>
      <right style="medium">
        <color indexed="64"/>
      </right>
      <top style="dotted">
        <color indexed="64"/>
      </top>
      <bottom/>
      <diagonal/>
    </border>
    <border>
      <left style="thin">
        <color indexed="64"/>
      </left>
      <right/>
      <top/>
      <bottom style="medium">
        <color indexed="64"/>
      </bottom>
      <diagonal/>
    </border>
    <border>
      <left style="thin">
        <color indexed="64"/>
      </left>
      <right style="hair">
        <color auto="1"/>
      </right>
      <top style="dashed">
        <color indexed="64"/>
      </top>
      <bottom/>
      <diagonal/>
    </border>
    <border>
      <left style="thin">
        <color indexed="64"/>
      </left>
      <right style="hair">
        <color auto="1"/>
      </right>
      <top/>
      <bottom/>
      <diagonal/>
    </border>
    <border>
      <left style="double">
        <color theme="9" tint="0.39991454817346722"/>
      </left>
      <right/>
      <top style="double">
        <color theme="9" tint="0.39994506668294322"/>
      </top>
      <bottom/>
      <diagonal/>
    </border>
    <border>
      <left/>
      <right style="double">
        <color theme="9" tint="0.39991454817346722"/>
      </right>
      <top style="double">
        <color theme="9" tint="0.39994506668294322"/>
      </top>
      <bottom/>
      <diagonal/>
    </border>
    <border>
      <left style="hair">
        <color theme="9" tint="0.39991454817346722"/>
      </left>
      <right style="hair">
        <color theme="9" tint="0.39988402966399123"/>
      </right>
      <top style="double">
        <color theme="9" tint="0.39994506668294322"/>
      </top>
      <bottom/>
      <diagonal/>
    </border>
    <border>
      <left style="hair">
        <color theme="9" tint="0.39988402966399123"/>
      </left>
      <right/>
      <top style="double">
        <color theme="9" tint="0.39994506668294322"/>
      </top>
      <bottom/>
      <diagonal/>
    </border>
    <border>
      <left style="double">
        <color theme="9" tint="0.39991454817346722"/>
      </left>
      <right/>
      <top/>
      <bottom style="double">
        <color theme="9" tint="0.39994506668294322"/>
      </bottom>
      <diagonal/>
    </border>
    <border>
      <left/>
      <right style="double">
        <color theme="9" tint="0.39991454817346722"/>
      </right>
      <top/>
      <bottom style="double">
        <color theme="9" tint="0.39994506668294322"/>
      </bottom>
      <diagonal/>
    </border>
    <border>
      <left style="hair">
        <color theme="9" tint="0.39991454817346722"/>
      </left>
      <right style="hair">
        <color theme="9" tint="0.39988402966399123"/>
      </right>
      <top/>
      <bottom style="double">
        <color theme="9" tint="0.39994506668294322"/>
      </bottom>
      <diagonal/>
    </border>
    <border>
      <left style="hair">
        <color theme="9" tint="0.39988402966399123"/>
      </left>
      <right/>
      <top/>
      <bottom style="double">
        <color theme="9" tint="0.39994506668294322"/>
      </bottom>
      <diagonal/>
    </border>
    <border>
      <left style="hair">
        <color auto="1"/>
      </left>
      <right/>
      <top/>
      <bottom style="double">
        <color theme="9" tint="0.39994506668294322"/>
      </bottom>
      <diagonal/>
    </border>
    <border>
      <left/>
      <right style="medium">
        <color indexed="64"/>
      </right>
      <top/>
      <bottom style="double">
        <color theme="9" tint="0.39994506668294322"/>
      </bottom>
      <diagonal/>
    </border>
    <border>
      <left style="hair">
        <color auto="1"/>
      </left>
      <right/>
      <top style="medium">
        <color indexed="64"/>
      </top>
      <bottom/>
      <diagonal/>
    </border>
    <border>
      <left style="double">
        <color theme="9" tint="0.39991454817346722"/>
      </left>
      <right/>
      <top/>
      <bottom style="double">
        <color theme="9" tint="0.39991454817346722"/>
      </bottom>
      <diagonal/>
    </border>
    <border>
      <left/>
      <right style="double">
        <color theme="9" tint="0.39991454817346722"/>
      </right>
      <top/>
      <bottom/>
      <diagonal/>
    </border>
    <border>
      <left style="double">
        <color theme="9" tint="0.39991454817346722"/>
      </left>
      <right/>
      <top style="double">
        <color theme="9" tint="0.39991454817346722"/>
      </top>
      <bottom style="double">
        <color theme="9" tint="0.39994506668294322"/>
      </bottom>
      <diagonal/>
    </border>
    <border>
      <left/>
      <right style="double">
        <color theme="9" tint="0.39991454817346722"/>
      </right>
      <top style="double">
        <color theme="9" tint="0.39991454817346722"/>
      </top>
      <bottom style="double">
        <color theme="9" tint="0.39994506668294322"/>
      </bottom>
      <diagonal/>
    </border>
    <border>
      <left style="double">
        <color theme="9" tint="0.39991454817346722"/>
      </left>
      <right style="medium">
        <color auto="1"/>
      </right>
      <top style="double">
        <color theme="9" tint="0.39991454817346722"/>
      </top>
      <bottom style="double">
        <color theme="9" tint="0.39994506668294322"/>
      </bottom>
      <diagonal/>
    </border>
    <border>
      <left/>
      <right style="thin">
        <color theme="9" tint="0.39985351115451523"/>
      </right>
      <top style="double">
        <color theme="9" tint="0.39994506668294322"/>
      </top>
      <bottom/>
      <diagonal/>
    </border>
    <border>
      <left style="thin">
        <color theme="9" tint="0.39985351115451523"/>
      </left>
      <right/>
      <top style="double">
        <color theme="9" tint="0.39994506668294322"/>
      </top>
      <bottom/>
      <diagonal/>
    </border>
    <border>
      <left style="double">
        <color theme="9" tint="0.39991454817346722"/>
      </left>
      <right/>
      <top/>
      <bottom style="double">
        <color theme="9" tint="0.39988402966399123"/>
      </bottom>
      <diagonal/>
    </border>
    <border>
      <left/>
      <right style="double">
        <color theme="9" tint="0.39991454817346722"/>
      </right>
      <top/>
      <bottom style="double">
        <color theme="9" tint="0.39988402966399123"/>
      </bottom>
      <diagonal/>
    </border>
    <border>
      <left/>
      <right style="thin">
        <color theme="9" tint="0.39985351115451523"/>
      </right>
      <top/>
      <bottom style="double">
        <color theme="9" tint="0.39994506668294322"/>
      </bottom>
      <diagonal/>
    </border>
    <border>
      <left style="thin">
        <color theme="9" tint="0.39985351115451523"/>
      </left>
      <right/>
      <top/>
      <bottom style="double">
        <color theme="9" tint="0.39994506668294322"/>
      </bottom>
      <diagonal/>
    </border>
    <border>
      <left style="mediumDashed">
        <color auto="1"/>
      </left>
      <right/>
      <top/>
      <bottom style="dashDot">
        <color auto="1"/>
      </bottom>
      <diagonal/>
    </border>
    <border>
      <left/>
      <right/>
      <top/>
      <bottom style="dashDot">
        <color auto="1"/>
      </bottom>
      <diagonal/>
    </border>
    <border>
      <left/>
      <right style="medium">
        <color indexed="64"/>
      </right>
      <top/>
      <bottom style="dashDot">
        <color indexed="64"/>
      </bottom>
      <diagonal/>
    </border>
    <border>
      <left style="hair">
        <color indexed="64"/>
      </left>
      <right/>
      <top/>
      <bottom style="medium">
        <color indexed="64"/>
      </bottom>
      <diagonal/>
    </border>
    <border>
      <left/>
      <right style="medium">
        <color auto="1"/>
      </right>
      <top style="hair">
        <color auto="1"/>
      </top>
      <bottom style="dashed">
        <color auto="1"/>
      </bottom>
      <diagonal/>
    </border>
    <border>
      <left style="thin">
        <color auto="1"/>
      </left>
      <right/>
      <top style="thin">
        <color auto="1"/>
      </top>
      <bottom style="thin">
        <color auto="1"/>
      </bottom>
      <diagonal/>
    </border>
    <border>
      <left/>
      <right style="thin">
        <color auto="1"/>
      </right>
      <top style="thin">
        <color auto="1"/>
      </top>
      <bottom style="thin">
        <color indexed="64"/>
      </bottom>
      <diagonal/>
    </border>
    <border>
      <left/>
      <right/>
      <top style="hair">
        <color theme="9"/>
      </top>
      <bottom style="hair">
        <color theme="9"/>
      </bottom>
      <diagonal/>
    </border>
    <border>
      <left/>
      <right/>
      <top style="thin">
        <color theme="9" tint="0.39991454817346722"/>
      </top>
      <bottom style="thin">
        <color theme="9" tint="0.39991454817346722"/>
      </bottom>
      <diagonal/>
    </border>
    <border>
      <left style="hair">
        <color theme="9" tint="0.39988402966399123"/>
      </left>
      <right style="medium">
        <color auto="1"/>
      </right>
      <top style="hair">
        <color theme="9" tint="0.39988402966399123"/>
      </top>
      <bottom style="hair">
        <color theme="9" tint="0.39988402966399123"/>
      </bottom>
      <diagonal/>
    </border>
    <border>
      <left style="hair">
        <color auto="1"/>
      </left>
      <right style="medium">
        <color auto="1"/>
      </right>
      <top/>
      <bottom/>
      <diagonal/>
    </border>
    <border>
      <left style="hair">
        <color auto="1"/>
      </left>
      <right style="medium">
        <color auto="1"/>
      </right>
      <top/>
      <bottom style="hair">
        <color auto="1"/>
      </bottom>
      <diagonal/>
    </border>
    <border>
      <left style="hair">
        <color auto="1"/>
      </left>
      <right/>
      <top style="thin">
        <color indexed="64"/>
      </top>
      <bottom style="hair">
        <color auto="1"/>
      </bottom>
      <diagonal/>
    </border>
    <border>
      <left style="hair">
        <color indexed="64"/>
      </left>
      <right/>
      <top/>
      <bottom style="hair">
        <color theme="9" tint="0.39988402966399123"/>
      </bottom>
      <diagonal/>
    </border>
    <border>
      <left style="hair">
        <color indexed="64"/>
      </left>
      <right/>
      <top/>
      <bottom style="dashDot">
        <color auto="1"/>
      </bottom>
      <diagonal/>
    </border>
    <border>
      <left/>
      <right style="hair">
        <color indexed="64"/>
      </right>
      <top/>
      <bottom style="hair">
        <color theme="9" tint="0.39991454817346722"/>
      </bottom>
      <diagonal/>
    </border>
    <border>
      <left/>
      <right style="hair">
        <color indexed="64"/>
      </right>
      <top style="hair">
        <color theme="9" tint="0.39991454817346722"/>
      </top>
      <bottom style="hair">
        <color theme="9" tint="0.39991454817346722"/>
      </bottom>
      <diagonal/>
    </border>
    <border>
      <left style="medium">
        <color auto="1"/>
      </left>
      <right/>
      <top style="hair">
        <color auto="1"/>
      </top>
      <bottom style="hair">
        <color auto="1"/>
      </bottom>
      <diagonal/>
    </border>
    <border>
      <left style="thin">
        <color rgb="FF7030A0"/>
      </left>
      <right style="thin">
        <color rgb="FF7030A0"/>
      </right>
      <top style="thin">
        <color rgb="FF7030A0"/>
      </top>
      <bottom style="thin">
        <color rgb="FF7030A0"/>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thin">
        <color indexed="64"/>
      </left>
      <right/>
      <top style="medium">
        <color auto="1"/>
      </top>
      <bottom style="thin">
        <color indexed="64"/>
      </bottom>
      <diagonal/>
    </border>
    <border>
      <left/>
      <right/>
      <top style="medium">
        <color indexed="64"/>
      </top>
      <bottom style="thin">
        <color indexed="64"/>
      </bottom>
      <diagonal/>
    </border>
    <border>
      <left/>
      <right style="medium">
        <color auto="1"/>
      </right>
      <top style="medium">
        <color auto="1"/>
      </top>
      <bottom style="thin">
        <color auto="1"/>
      </bottom>
      <diagonal/>
    </border>
    <border>
      <left style="hair">
        <color indexed="60"/>
      </left>
      <right style="hair">
        <color indexed="64"/>
      </right>
      <top/>
      <bottom style="hair">
        <color indexed="64"/>
      </bottom>
      <diagonal/>
    </border>
    <border>
      <left/>
      <right style="hair">
        <color auto="1"/>
      </right>
      <top/>
      <bottom style="thin">
        <color indexed="64"/>
      </bottom>
      <diagonal/>
    </border>
    <border>
      <left/>
      <right style="thin">
        <color indexed="64"/>
      </right>
      <top/>
      <bottom style="medium">
        <color auto="1"/>
      </bottom>
      <diagonal/>
    </border>
    <border>
      <left style="thin">
        <color auto="1"/>
      </left>
      <right style="thin">
        <color auto="1"/>
      </right>
      <top style="thin">
        <color auto="1"/>
      </top>
      <bottom style="thin">
        <color auto="1"/>
      </bottom>
      <diagonal/>
    </border>
    <border>
      <left style="dashed">
        <color rgb="FF0033CC"/>
      </left>
      <right/>
      <top style="dashed">
        <color rgb="FF0033CC"/>
      </top>
      <bottom style="dashed">
        <color rgb="FF0033CC"/>
      </bottom>
      <diagonal/>
    </border>
    <border>
      <left/>
      <right/>
      <top style="dashed">
        <color rgb="FF0033CC"/>
      </top>
      <bottom style="dashed">
        <color rgb="FF0033CC"/>
      </bottom>
      <diagonal/>
    </border>
    <border>
      <left style="dashed">
        <color rgb="FF0033CC"/>
      </left>
      <right style="dashed">
        <color rgb="FF0033CC"/>
      </right>
      <top style="dashed">
        <color rgb="FF0033CC"/>
      </top>
      <bottom style="dashed">
        <color rgb="FF0033CC"/>
      </bottom>
      <diagonal/>
    </border>
    <border>
      <left/>
      <right style="medium">
        <color indexed="64"/>
      </right>
      <top style="thin">
        <color indexed="64"/>
      </top>
      <bottom style="thin">
        <color indexed="64"/>
      </bottom>
      <diagonal/>
    </border>
    <border>
      <left style="hair">
        <color indexed="64"/>
      </left>
      <right style="hair">
        <color indexed="64"/>
      </right>
      <top/>
      <bottom style="hair">
        <color indexed="64"/>
      </bottom>
      <diagonal/>
    </border>
    <border>
      <left style="thin">
        <color indexed="10"/>
      </left>
      <right style="thin">
        <color indexed="10"/>
      </right>
      <top style="thin">
        <color indexed="10"/>
      </top>
      <bottom style="thin">
        <color indexed="10"/>
      </bottom>
      <diagonal/>
    </border>
    <border>
      <left/>
      <right/>
      <top style="thin">
        <color indexed="10"/>
      </top>
      <bottom/>
      <diagonal/>
    </border>
    <border>
      <left/>
      <right/>
      <top style="thin">
        <color indexed="64"/>
      </top>
      <bottom/>
      <diagonal/>
    </border>
    <border>
      <left/>
      <right style="medium">
        <color indexed="64"/>
      </right>
      <top style="thin">
        <color indexed="64"/>
      </top>
      <bottom/>
      <diagonal/>
    </border>
    <border>
      <left/>
      <right style="thin">
        <color indexed="64"/>
      </right>
      <top style="thin">
        <color indexed="64"/>
      </top>
      <bottom/>
      <diagonal/>
    </border>
    <border>
      <left style="thin">
        <color indexed="37"/>
      </left>
      <right/>
      <top style="thin">
        <color indexed="37"/>
      </top>
      <bottom style="thin">
        <color indexed="37"/>
      </bottom>
      <diagonal/>
    </border>
    <border>
      <left/>
      <right/>
      <top style="thin">
        <color indexed="37"/>
      </top>
      <bottom style="thin">
        <color indexed="37"/>
      </bottom>
      <diagonal/>
    </border>
    <border>
      <left/>
      <right style="thin">
        <color indexed="37"/>
      </right>
      <top style="thin">
        <color indexed="37"/>
      </top>
      <bottom style="thin">
        <color indexed="37"/>
      </bottom>
      <diagonal/>
    </border>
    <border>
      <left style="thin">
        <color indexed="37"/>
      </left>
      <right/>
      <top style="thin">
        <color indexed="37"/>
      </top>
      <bottom/>
      <diagonal/>
    </border>
    <border>
      <left/>
      <right/>
      <top style="thin">
        <color indexed="37"/>
      </top>
      <bottom/>
      <diagonal/>
    </border>
    <border>
      <left/>
      <right style="hair">
        <color indexed="37"/>
      </right>
      <top style="thin">
        <color indexed="37"/>
      </top>
      <bottom/>
      <diagonal/>
    </border>
    <border>
      <left style="hair">
        <color indexed="37"/>
      </left>
      <right/>
      <top style="hair">
        <color indexed="37"/>
      </top>
      <bottom/>
      <diagonal/>
    </border>
    <border>
      <left/>
      <right/>
      <top style="hair">
        <color indexed="37"/>
      </top>
      <bottom/>
      <diagonal/>
    </border>
    <border>
      <left/>
      <right style="hair">
        <color indexed="37"/>
      </right>
      <top style="hair">
        <color indexed="37"/>
      </top>
      <bottom/>
      <diagonal/>
    </border>
    <border>
      <left style="hair">
        <color indexed="37"/>
      </left>
      <right/>
      <top style="thin">
        <color indexed="37"/>
      </top>
      <bottom/>
      <diagonal/>
    </border>
    <border>
      <left/>
      <right style="thin">
        <color indexed="37"/>
      </right>
      <top style="thin">
        <color indexed="37"/>
      </top>
      <bottom/>
      <diagonal/>
    </border>
    <border>
      <left style="thin">
        <color indexed="37"/>
      </left>
      <right/>
      <top/>
      <bottom/>
      <diagonal/>
    </border>
    <border>
      <left/>
      <right style="hair">
        <color indexed="37"/>
      </right>
      <top/>
      <bottom/>
      <diagonal/>
    </border>
    <border>
      <left style="hair">
        <color indexed="37"/>
      </left>
      <right style="hair">
        <color indexed="37"/>
      </right>
      <top/>
      <bottom/>
      <diagonal/>
    </border>
    <border>
      <left style="hair">
        <color indexed="37"/>
      </left>
      <right/>
      <top/>
      <bottom/>
      <diagonal/>
    </border>
    <border>
      <left/>
      <right style="thin">
        <color indexed="37"/>
      </right>
      <top/>
      <bottom/>
      <diagonal/>
    </border>
    <border>
      <left style="thin">
        <color indexed="37"/>
      </left>
      <right/>
      <top/>
      <bottom style="thin">
        <color indexed="37"/>
      </bottom>
      <diagonal/>
    </border>
    <border>
      <left/>
      <right/>
      <top/>
      <bottom style="thin">
        <color indexed="37"/>
      </bottom>
      <diagonal/>
    </border>
    <border>
      <left/>
      <right style="hair">
        <color indexed="37"/>
      </right>
      <top/>
      <bottom style="thin">
        <color indexed="37"/>
      </bottom>
      <diagonal/>
    </border>
    <border>
      <left style="hair">
        <color indexed="37"/>
      </left>
      <right style="hair">
        <color indexed="37"/>
      </right>
      <top style="hair">
        <color indexed="64"/>
      </top>
      <bottom style="hair">
        <color indexed="37"/>
      </bottom>
      <diagonal/>
    </border>
    <border>
      <left style="hair">
        <color indexed="37"/>
      </left>
      <right/>
      <top/>
      <bottom style="thin">
        <color indexed="37"/>
      </bottom>
      <diagonal/>
    </border>
    <border>
      <left/>
      <right style="thin">
        <color indexed="37"/>
      </right>
      <top/>
      <bottom style="thin">
        <color indexed="37"/>
      </bottom>
      <diagonal/>
    </border>
    <border>
      <left style="thin">
        <color indexed="16"/>
      </left>
      <right/>
      <top style="thin">
        <color indexed="16"/>
      </top>
      <bottom style="hair">
        <color indexed="64"/>
      </bottom>
      <diagonal/>
    </border>
    <border>
      <left/>
      <right/>
      <top style="thin">
        <color indexed="37"/>
      </top>
      <bottom style="hair">
        <color indexed="64"/>
      </bottom>
      <diagonal/>
    </border>
    <border>
      <left/>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right style="thin">
        <color indexed="37"/>
      </right>
      <top style="hair">
        <color indexed="64"/>
      </top>
      <bottom style="hair">
        <color indexed="64"/>
      </bottom>
      <diagonal/>
    </border>
    <border>
      <left style="hair">
        <color indexed="64"/>
      </left>
      <right/>
      <top style="hair">
        <color indexed="64"/>
      </top>
      <bottom style="medium">
        <color indexed="64"/>
      </bottom>
      <diagonal/>
    </border>
    <border>
      <left/>
      <right/>
      <top style="hair">
        <color indexed="64"/>
      </top>
      <bottom style="medium">
        <color indexed="64"/>
      </bottom>
      <diagonal/>
    </border>
    <border>
      <left/>
      <right style="hair">
        <color indexed="64"/>
      </right>
      <top style="hair">
        <color indexed="64"/>
      </top>
      <bottom style="medium">
        <color auto="1"/>
      </bottom>
      <diagonal/>
    </border>
    <border>
      <left/>
      <right style="thin">
        <color indexed="37"/>
      </right>
      <top style="hair">
        <color indexed="64"/>
      </top>
      <bottom style="medium">
        <color indexed="64"/>
      </bottom>
      <diagonal/>
    </border>
    <border>
      <left style="medium">
        <color indexed="64"/>
      </left>
      <right/>
      <top style="thin">
        <color indexed="37"/>
      </top>
      <bottom style="hair">
        <color indexed="64"/>
      </bottom>
      <diagonal/>
    </border>
    <border>
      <left/>
      <right style="medium">
        <color auto="1"/>
      </right>
      <top style="hair">
        <color auto="1"/>
      </top>
      <bottom style="hair">
        <color auto="1"/>
      </bottom>
      <diagonal/>
    </border>
    <border>
      <left style="medium">
        <color indexed="64"/>
      </left>
      <right/>
      <top style="thin">
        <color indexed="37"/>
      </top>
      <bottom/>
      <diagonal/>
    </border>
    <border>
      <left style="thin">
        <color indexed="64"/>
      </left>
      <right/>
      <top/>
      <bottom/>
      <diagonal/>
    </border>
    <border>
      <left/>
      <right style="thin">
        <color auto="1"/>
      </right>
      <top/>
      <bottom/>
      <diagonal/>
    </border>
    <border>
      <left style="thin">
        <color indexed="64"/>
      </left>
      <right style="medium">
        <color indexed="64"/>
      </right>
      <top style="thin">
        <color indexed="64"/>
      </top>
      <bottom/>
      <diagonal/>
    </border>
    <border>
      <left style="medium">
        <color indexed="64"/>
      </left>
      <right style="hair">
        <color indexed="64"/>
      </right>
      <top style="thin">
        <color auto="1"/>
      </top>
      <bottom/>
      <diagonal/>
    </border>
    <border>
      <left style="hair">
        <color indexed="64"/>
      </left>
      <right style="thin">
        <color indexed="64"/>
      </right>
      <top style="thin">
        <color auto="1"/>
      </top>
      <bottom/>
      <diagonal/>
    </border>
    <border>
      <left style="hair">
        <color auto="1"/>
      </left>
      <right style="hair">
        <color auto="1"/>
      </right>
      <top/>
      <bottom/>
      <diagonal/>
    </border>
    <border>
      <left style="hair">
        <color auto="1"/>
      </left>
      <right style="thin">
        <color indexed="64"/>
      </right>
      <top/>
      <bottom/>
      <diagonal/>
    </border>
    <border>
      <left style="hair">
        <color indexed="64"/>
      </left>
      <right style="thin">
        <color indexed="64"/>
      </right>
      <top/>
      <bottom style="hair">
        <color indexed="64"/>
      </bottom>
      <diagonal/>
    </border>
    <border>
      <left style="medium">
        <color indexed="64"/>
      </left>
      <right/>
      <top style="hair">
        <color indexed="64"/>
      </top>
      <bottom style="medium">
        <color indexed="64"/>
      </bottom>
      <diagonal/>
    </border>
    <border>
      <left/>
      <right style="thin">
        <color indexed="64"/>
      </right>
      <top style="hair">
        <color indexed="64"/>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medium">
        <color indexed="64"/>
      </left>
      <right style="hair">
        <color indexed="64"/>
      </right>
      <top style="hair">
        <color indexed="64"/>
      </top>
      <bottom/>
      <diagonal/>
    </border>
    <border>
      <left style="hair">
        <color indexed="64"/>
      </left>
      <right style="hair">
        <color indexed="64"/>
      </right>
      <top/>
      <bottom style="thin">
        <color indexed="64"/>
      </bottom>
      <diagonal/>
    </border>
    <border>
      <left style="medium">
        <color indexed="64"/>
      </left>
      <right style="hair">
        <color indexed="64"/>
      </right>
      <top/>
      <bottom style="thin">
        <color indexed="64"/>
      </bottom>
      <diagonal/>
    </border>
    <border>
      <left/>
      <right style="hair">
        <color indexed="64"/>
      </right>
      <top style="thin">
        <color indexed="64"/>
      </top>
      <bottom/>
      <diagonal/>
    </border>
    <border>
      <left/>
      <right style="hair">
        <color auto="1"/>
      </right>
      <top/>
      <bottom style="medium">
        <color auto="1"/>
      </bottom>
      <diagonal/>
    </border>
    <border>
      <left/>
      <right style="medium">
        <color indexed="64"/>
      </right>
      <top style="hair">
        <color indexed="64"/>
      </top>
      <bottom style="medium">
        <color indexed="64"/>
      </bottom>
      <diagonal/>
    </border>
    <border>
      <left style="thin">
        <color auto="1"/>
      </left>
      <right/>
      <top style="thin">
        <color auto="1"/>
      </top>
      <bottom style="thin">
        <color auto="1"/>
      </bottom>
      <diagonal/>
    </border>
    <border>
      <left/>
      <right/>
      <top style="hair">
        <color indexed="12"/>
      </top>
      <bottom/>
      <diagonal/>
    </border>
    <border>
      <left style="hair">
        <color indexed="12"/>
      </left>
      <right style="hair">
        <color indexed="12"/>
      </right>
      <top/>
      <bottom/>
      <diagonal/>
    </border>
    <border>
      <left style="medium">
        <color indexed="64"/>
      </left>
      <right/>
      <top style="hair">
        <color indexed="64"/>
      </top>
      <bottom/>
      <diagonal/>
    </border>
    <border>
      <left/>
      <right style="medium">
        <color auto="1"/>
      </right>
      <top style="hair">
        <color indexed="64"/>
      </top>
      <bottom/>
      <diagonal/>
    </border>
    <border>
      <left style="medium">
        <color indexed="64"/>
      </left>
      <right/>
      <top style="dashed">
        <color indexed="64"/>
      </top>
      <bottom/>
      <diagonal/>
    </border>
    <border>
      <left style="hair">
        <color indexed="64"/>
      </left>
      <right style="hair">
        <color indexed="64"/>
      </right>
      <top style="hair">
        <color auto="1"/>
      </top>
      <bottom/>
      <diagonal/>
    </border>
    <border>
      <left style="medium">
        <color indexed="64"/>
      </left>
      <right/>
      <top/>
      <bottom style="hair">
        <color indexed="12"/>
      </bottom>
      <diagonal/>
    </border>
    <border>
      <left/>
      <right/>
      <top/>
      <bottom style="hair">
        <color indexed="12"/>
      </bottom>
      <diagonal/>
    </border>
    <border>
      <left/>
      <right style="medium">
        <color indexed="64"/>
      </right>
      <top/>
      <bottom style="hair">
        <color indexed="12"/>
      </bottom>
      <diagonal/>
    </border>
    <border>
      <left style="medium">
        <color indexed="64"/>
      </left>
      <right style="hair">
        <color indexed="64"/>
      </right>
      <top style="hair">
        <color indexed="12"/>
      </top>
      <bottom/>
      <diagonal/>
    </border>
    <border>
      <left style="hair">
        <color indexed="64"/>
      </left>
      <right style="hair">
        <color indexed="64"/>
      </right>
      <top style="hair">
        <color indexed="12"/>
      </top>
      <bottom/>
      <diagonal/>
    </border>
    <border>
      <left style="hair">
        <color indexed="64"/>
      </left>
      <right style="medium">
        <color indexed="64"/>
      </right>
      <top style="hair">
        <color indexed="12"/>
      </top>
      <bottom/>
      <diagonal/>
    </border>
    <border>
      <left style="hair">
        <color indexed="64"/>
      </left>
      <right style="medium">
        <color indexed="64"/>
      </right>
      <top/>
      <bottom/>
      <diagonal/>
    </border>
    <border>
      <left style="medium">
        <color indexed="64"/>
      </left>
      <right style="hair">
        <color indexed="64"/>
      </right>
      <top/>
      <bottom style="hair">
        <color indexed="10"/>
      </bottom>
      <diagonal/>
    </border>
    <border>
      <left style="hair">
        <color indexed="64"/>
      </left>
      <right style="hair">
        <color indexed="64"/>
      </right>
      <top/>
      <bottom style="hair">
        <color indexed="10"/>
      </bottom>
      <diagonal/>
    </border>
    <border>
      <left style="hair">
        <color indexed="64"/>
      </left>
      <right style="medium">
        <color indexed="64"/>
      </right>
      <top/>
      <bottom style="hair">
        <color indexed="10"/>
      </bottom>
      <diagonal/>
    </border>
    <border>
      <left style="medium">
        <color indexed="64"/>
      </left>
      <right/>
      <top style="hair">
        <color indexed="10"/>
      </top>
      <bottom/>
      <diagonal/>
    </border>
    <border>
      <left/>
      <right/>
      <top style="hair">
        <color indexed="10"/>
      </top>
      <bottom/>
      <diagonal/>
    </border>
    <border>
      <left/>
      <right style="medium">
        <color indexed="64"/>
      </right>
      <top style="hair">
        <color indexed="10"/>
      </top>
      <bottom/>
      <diagonal/>
    </border>
    <border>
      <left style="thin">
        <color indexed="64"/>
      </left>
      <right/>
      <top style="dashDot">
        <color indexed="64"/>
      </top>
      <bottom/>
      <diagonal/>
    </border>
    <border>
      <left/>
      <right/>
      <top style="dashDot">
        <color indexed="64"/>
      </top>
      <bottom/>
      <diagonal/>
    </border>
    <border>
      <left/>
      <right style="thin">
        <color indexed="64"/>
      </right>
      <top style="dashDot">
        <color indexed="64"/>
      </top>
      <bottom/>
      <diagonal/>
    </border>
    <border>
      <left style="medium">
        <color indexed="64"/>
      </left>
      <right/>
      <top style="medium">
        <color indexed="64"/>
      </top>
      <bottom style="thin">
        <color indexed="64"/>
      </bottom>
      <diagonal/>
    </border>
    <border>
      <left style="hair">
        <color rgb="FFFF0000"/>
      </left>
      <right style="hair">
        <color rgb="FFFF0000"/>
      </right>
      <top style="hair">
        <color rgb="FFFF0000"/>
      </top>
      <bottom style="hair">
        <color rgb="FFFF0000"/>
      </bottom>
      <diagonal/>
    </border>
    <border>
      <left style="hair">
        <color indexed="12"/>
      </left>
      <right style="hair">
        <color indexed="12"/>
      </right>
      <top style="hair">
        <color indexed="12"/>
      </top>
      <bottom style="hair">
        <color indexed="12"/>
      </bottom>
      <diagonal/>
    </border>
    <border>
      <left/>
      <right/>
      <top/>
      <bottom style="hair">
        <color rgb="FF0000FF"/>
      </bottom>
      <diagonal/>
    </border>
    <border>
      <left style="hair">
        <color rgb="FF0000FF"/>
      </left>
      <right style="hair">
        <color rgb="FF0000FF"/>
      </right>
      <top style="hair">
        <color rgb="FF0000FF"/>
      </top>
      <bottom style="hair">
        <color rgb="FF0000FF"/>
      </bottom>
      <diagonal/>
    </border>
    <border>
      <left/>
      <right/>
      <top style="hair">
        <color indexed="12"/>
      </top>
      <bottom/>
      <diagonal/>
    </border>
    <border>
      <left/>
      <right style="hair">
        <color indexed="12"/>
      </right>
      <top/>
      <bottom/>
      <diagonal/>
    </border>
    <border>
      <left style="medium">
        <color auto="1"/>
      </left>
      <right/>
      <top style="hair">
        <color auto="1"/>
      </top>
      <bottom style="hair">
        <color auto="1"/>
      </bottom>
      <diagonal/>
    </border>
    <border>
      <left style="medium">
        <color indexed="64"/>
      </left>
      <right/>
      <top style="dashDot">
        <color indexed="64"/>
      </top>
      <bottom/>
      <diagonal/>
    </border>
    <border>
      <left/>
      <right style="medium">
        <color indexed="64"/>
      </right>
      <top style="dashDot">
        <color indexed="64"/>
      </top>
      <bottom/>
      <diagonal/>
    </border>
    <border>
      <left style="medium">
        <color indexed="64"/>
      </left>
      <right/>
      <top/>
      <bottom style="dashDot">
        <color indexed="64"/>
      </bottom>
      <diagonal/>
    </border>
    <border>
      <left style="hair">
        <color indexed="64"/>
      </left>
      <right style="medium">
        <color auto="1"/>
      </right>
      <top style="hair">
        <color indexed="64"/>
      </top>
      <bottom style="hair">
        <color indexed="64"/>
      </bottom>
      <diagonal/>
    </border>
    <border>
      <left style="medium">
        <color indexed="64"/>
      </left>
      <right/>
      <top style="mediumDashed">
        <color indexed="64"/>
      </top>
      <bottom style="hair">
        <color indexed="64"/>
      </bottom>
      <diagonal/>
    </border>
    <border>
      <left/>
      <right/>
      <top style="mediumDashed">
        <color indexed="64"/>
      </top>
      <bottom style="hair">
        <color indexed="64"/>
      </bottom>
      <diagonal/>
    </border>
    <border>
      <left/>
      <right style="medium">
        <color indexed="64"/>
      </right>
      <top style="mediumDashed">
        <color indexed="64"/>
      </top>
      <bottom style="hair">
        <color indexed="64"/>
      </bottom>
      <diagonal/>
    </border>
    <border>
      <left style="medium">
        <color indexed="64"/>
      </left>
      <right/>
      <top style="mediumDashed">
        <color indexed="64"/>
      </top>
      <bottom/>
      <diagonal/>
    </border>
    <border>
      <left/>
      <right style="medium">
        <color auto="1"/>
      </right>
      <top style="mediumDashed">
        <color auto="1"/>
      </top>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auto="1"/>
      </left>
      <right style="thin">
        <color auto="1"/>
      </right>
      <top/>
      <bottom style="medium">
        <color auto="1"/>
      </bottom>
      <diagonal/>
    </border>
    <border>
      <left style="hair">
        <color indexed="8"/>
      </left>
      <right style="hair">
        <color indexed="8"/>
      </right>
      <top style="hair">
        <color indexed="8"/>
      </top>
      <bottom style="hair">
        <color indexed="8"/>
      </bottom>
      <diagonal/>
    </border>
    <border>
      <left style="thin">
        <color indexed="8"/>
      </left>
      <right style="thin">
        <color indexed="8"/>
      </right>
      <top style="thin">
        <color indexed="8"/>
      </top>
      <bottom style="thin">
        <color indexed="8"/>
      </bottom>
      <diagonal/>
    </border>
    <border>
      <left style="thin">
        <color indexed="8"/>
      </left>
      <right style="thin">
        <color auto="1"/>
      </right>
      <top style="medium">
        <color auto="1"/>
      </top>
      <bottom style="thin">
        <color theme="0" tint="-0.24994659260841701"/>
      </bottom>
      <diagonal/>
    </border>
    <border>
      <left style="thin">
        <color auto="1"/>
      </left>
      <right style="thin">
        <color auto="1"/>
      </right>
      <top style="medium">
        <color auto="1"/>
      </top>
      <bottom style="thin">
        <color theme="0" tint="-0.24994659260841701"/>
      </bottom>
      <diagonal/>
    </border>
    <border>
      <left style="thin">
        <color auto="1"/>
      </left>
      <right/>
      <top style="medium">
        <color auto="1"/>
      </top>
      <bottom style="thin">
        <color theme="0" tint="-0.24994659260841701"/>
      </bottom>
      <diagonal/>
    </border>
    <border>
      <left/>
      <right/>
      <top style="medium">
        <color auto="1"/>
      </top>
      <bottom style="thin">
        <color theme="0" tint="-0.24994659260841701"/>
      </bottom>
      <diagonal/>
    </border>
    <border>
      <left/>
      <right style="thin">
        <color auto="1"/>
      </right>
      <top style="medium">
        <color auto="1"/>
      </top>
      <bottom style="thin">
        <color theme="0" tint="-0.24994659260841701"/>
      </bottom>
      <diagonal/>
    </border>
    <border>
      <left style="thin">
        <color indexed="8"/>
      </left>
      <right style="thin">
        <color auto="1"/>
      </right>
      <top style="thin">
        <color theme="0" tint="-0.24994659260841701"/>
      </top>
      <bottom style="thin">
        <color theme="0" tint="-0.24994659260841701"/>
      </bottom>
      <diagonal/>
    </border>
    <border>
      <left style="thin">
        <color auto="1"/>
      </left>
      <right style="thin">
        <color auto="1"/>
      </right>
      <top style="thin">
        <color theme="0" tint="-0.24994659260841701"/>
      </top>
      <bottom style="thin">
        <color theme="0" tint="-0.24994659260841701"/>
      </bottom>
      <diagonal/>
    </border>
    <border>
      <left style="thin">
        <color auto="1"/>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style="thin">
        <color auto="1"/>
      </right>
      <top style="thin">
        <color theme="0" tint="-0.24994659260841701"/>
      </top>
      <bottom style="thin">
        <color theme="0" tint="-0.24994659260841701"/>
      </bottom>
      <diagonal/>
    </border>
    <border>
      <left style="thin">
        <color auto="1"/>
      </left>
      <right/>
      <top style="thin">
        <color auto="1"/>
      </top>
      <bottom style="medium">
        <color auto="1"/>
      </bottom>
      <diagonal/>
    </border>
    <border>
      <left/>
      <right style="thin">
        <color auto="1"/>
      </right>
      <top style="thin">
        <color auto="1"/>
      </top>
      <bottom style="medium">
        <color indexed="64"/>
      </bottom>
      <diagonal/>
    </border>
    <border>
      <left/>
      <right style="thin">
        <color auto="1"/>
      </right>
      <top style="thin">
        <color theme="0" tint="-0.24994659260841701"/>
      </top>
      <bottom style="thin">
        <color theme="1"/>
      </bottom>
      <diagonal/>
    </border>
    <border>
      <left style="thin">
        <color auto="1"/>
      </left>
      <right style="thin">
        <color auto="1"/>
      </right>
      <top style="thin">
        <color theme="0" tint="-0.24994659260841701"/>
      </top>
      <bottom style="thin">
        <color theme="1"/>
      </bottom>
      <diagonal/>
    </border>
    <border>
      <left style="thin">
        <color auto="1"/>
      </left>
      <right/>
      <top style="thin">
        <color theme="0" tint="-0.24994659260841701"/>
      </top>
      <bottom style="thin">
        <color theme="1"/>
      </bottom>
      <diagonal/>
    </border>
    <border>
      <left/>
      <right/>
      <top style="thin">
        <color theme="0" tint="-0.24994659260841701"/>
      </top>
      <bottom style="thin">
        <color theme="1"/>
      </bottom>
      <diagonal/>
    </border>
    <border>
      <left/>
      <right style="medium">
        <color indexed="64"/>
      </right>
      <top/>
      <bottom style="hair">
        <color indexed="64"/>
      </bottom>
      <diagonal/>
    </border>
    <border>
      <left/>
      <right/>
      <top/>
      <bottom style="hair">
        <color indexed="64"/>
      </bottom>
      <diagonal/>
    </border>
    <border>
      <left style="hair">
        <color theme="9" tint="0.39982299264503923"/>
      </left>
      <right style="hair">
        <color theme="9" tint="0.39982299264503923"/>
      </right>
      <top style="hair">
        <color theme="9" tint="0.39985351115451523"/>
      </top>
      <bottom style="hair">
        <color theme="9" tint="0.39985351115451523"/>
      </bottom>
      <diagonal/>
    </border>
    <border>
      <left style="hair">
        <color theme="9" tint="0.39982299264503923"/>
      </left>
      <right style="hair">
        <color theme="9" tint="0.39982299264503923"/>
      </right>
      <top/>
      <bottom style="thin">
        <color theme="9" tint="0.39997558519241921"/>
      </bottom>
      <diagonal/>
    </border>
    <border>
      <left style="thin">
        <color auto="1"/>
      </left>
      <right/>
      <top style="thin">
        <color indexed="64"/>
      </top>
      <bottom/>
      <diagonal/>
    </border>
    <border>
      <left/>
      <right style="hair">
        <color indexed="64"/>
      </right>
      <top/>
      <bottom/>
      <diagonal/>
    </border>
    <border>
      <left style="hair">
        <color auto="1"/>
      </left>
      <right/>
      <top/>
      <bottom style="hair">
        <color auto="1"/>
      </bottom>
      <diagonal/>
    </border>
    <border>
      <left/>
      <right style="hair">
        <color auto="1"/>
      </right>
      <top/>
      <bottom style="hair">
        <color auto="1"/>
      </bottom>
      <diagonal/>
    </border>
    <border>
      <left style="hair">
        <color auto="1"/>
      </left>
      <right style="hair">
        <color indexed="64"/>
      </right>
      <top/>
      <bottom style="hair">
        <color auto="1"/>
      </bottom>
      <diagonal/>
    </border>
    <border>
      <left style="hair">
        <color indexed="64"/>
      </left>
      <right/>
      <top style="hair">
        <color indexed="64"/>
      </top>
      <bottom/>
      <diagonal/>
    </border>
    <border>
      <left/>
      <right style="hair">
        <color auto="1"/>
      </right>
      <top style="hair">
        <color indexed="64"/>
      </top>
      <bottom/>
      <diagonal/>
    </border>
    <border>
      <left style="hair">
        <color auto="1"/>
      </left>
      <right style="hair">
        <color auto="1"/>
      </right>
      <top style="hair">
        <color auto="1"/>
      </top>
      <bottom style="hair">
        <color auto="1"/>
      </bottom>
      <diagonal/>
    </border>
    <border>
      <left style="hair">
        <color indexed="64"/>
      </left>
      <right style="thin">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auto="1"/>
      </left>
      <right style="medium">
        <color auto="1"/>
      </right>
      <top style="hair">
        <color auto="1"/>
      </top>
      <bottom style="hair">
        <color auto="1"/>
      </bottom>
      <diagonal/>
    </border>
    <border>
      <left/>
      <right/>
      <top/>
      <bottom style="double">
        <color theme="9" tint="0.39988402966399123"/>
      </bottom>
      <diagonal/>
    </border>
    <border>
      <left/>
      <right/>
      <top style="hair">
        <color auto="1"/>
      </top>
      <bottom style="hair">
        <color auto="1"/>
      </bottom>
      <diagonal/>
    </border>
    <border>
      <left style="hair">
        <color indexed="64"/>
      </left>
      <right/>
      <top style="thin">
        <color indexed="64"/>
      </top>
      <bottom/>
      <diagonal/>
    </border>
    <border>
      <left style="hair">
        <color theme="9" tint="0.39988402966399123"/>
      </left>
      <right/>
      <top/>
      <bottom/>
      <diagonal/>
    </border>
    <border>
      <left style="hair">
        <color auto="1"/>
      </left>
      <right/>
      <top style="medium">
        <color indexed="64"/>
      </top>
      <bottom style="thin">
        <color theme="9" tint="0.39997558519241921"/>
      </bottom>
      <diagonal/>
    </border>
    <border>
      <left/>
      <right/>
      <top style="medium">
        <color indexed="64"/>
      </top>
      <bottom style="thin">
        <color theme="9" tint="0.39997558519241921"/>
      </bottom>
      <diagonal/>
    </border>
    <border>
      <left style="hair">
        <color auto="1"/>
      </left>
      <right style="hair">
        <color auto="1"/>
      </right>
      <top style="medium">
        <color indexed="64"/>
      </top>
      <bottom style="hair">
        <color auto="1"/>
      </bottom>
      <diagonal/>
    </border>
    <border>
      <left style="hair">
        <color indexed="64"/>
      </left>
      <right style="hair">
        <color indexed="64"/>
      </right>
      <top style="medium">
        <color indexed="64"/>
      </top>
      <bottom/>
      <diagonal/>
    </border>
    <border>
      <left style="hair">
        <color theme="9" tint="0.39988402966399123"/>
      </left>
      <right style="medium">
        <color auto="1"/>
      </right>
      <top style="medium">
        <color indexed="64"/>
      </top>
      <bottom style="hair">
        <color theme="9" tint="0.39988402966399123"/>
      </bottom>
      <diagonal/>
    </border>
    <border>
      <left style="medium">
        <color indexed="64"/>
      </left>
      <right/>
      <top/>
      <bottom style="hair">
        <color indexed="64"/>
      </bottom>
      <diagonal/>
    </border>
    <border>
      <left/>
      <right/>
      <top/>
      <bottom style="hair">
        <color theme="9" tint="0.39994506668294322"/>
      </bottom>
      <diagonal/>
    </border>
    <border>
      <left style="medium">
        <color theme="0"/>
      </left>
      <right style="medium">
        <color theme="0"/>
      </right>
      <top style="hair">
        <color auto="1"/>
      </top>
      <bottom/>
      <diagonal/>
    </border>
  </borders>
  <cellStyleXfs count="46">
    <xf numFmtId="0" fontId="0" fillId="0" borderId="0"/>
    <xf numFmtId="0" fontId="6" fillId="0" borderId="0"/>
    <xf numFmtId="0" fontId="1" fillId="0" borderId="0"/>
    <xf numFmtId="0" fontId="1" fillId="0" borderId="0"/>
    <xf numFmtId="0" fontId="1" fillId="0" borderId="0"/>
    <xf numFmtId="0" fontId="17" fillId="0" borderId="0"/>
    <xf numFmtId="0" fontId="6" fillId="0" borderId="0"/>
    <xf numFmtId="0" fontId="1" fillId="0" borderId="0"/>
    <xf numFmtId="0" fontId="6" fillId="0" borderId="0"/>
    <xf numFmtId="0" fontId="33" fillId="0" borderId="0"/>
    <xf numFmtId="0" fontId="1" fillId="0" borderId="0"/>
    <xf numFmtId="0" fontId="1" fillId="0" borderId="0"/>
    <xf numFmtId="0" fontId="1" fillId="0" borderId="0"/>
    <xf numFmtId="0" fontId="1" fillId="0" borderId="0"/>
    <xf numFmtId="0" fontId="6" fillId="0" borderId="0"/>
    <xf numFmtId="0" fontId="6" fillId="0" borderId="0"/>
    <xf numFmtId="0" fontId="86" fillId="0" borderId="0"/>
    <xf numFmtId="0" fontId="87" fillId="0" borderId="0" applyNumberFormat="0" applyFill="0" applyBorder="0" applyAlignment="0" applyProtection="0"/>
    <xf numFmtId="0" fontId="71" fillId="0" borderId="0"/>
    <xf numFmtId="0" fontId="86" fillId="0" borderId="0"/>
    <xf numFmtId="0" fontId="6" fillId="0" borderId="0"/>
    <xf numFmtId="0" fontId="6" fillId="0" borderId="0"/>
    <xf numFmtId="0" fontId="33" fillId="0" borderId="0"/>
    <xf numFmtId="0" fontId="1" fillId="0" borderId="0"/>
    <xf numFmtId="0" fontId="1" fillId="0" borderId="0"/>
    <xf numFmtId="0" fontId="1" fillId="0" borderId="0"/>
    <xf numFmtId="0" fontId="1" fillId="0" borderId="0"/>
    <xf numFmtId="0" fontId="71" fillId="0" borderId="0"/>
    <xf numFmtId="0" fontId="6" fillId="0" borderId="0"/>
    <xf numFmtId="0" fontId="6" fillId="0" borderId="0"/>
    <xf numFmtId="0" fontId="71" fillId="0" borderId="0"/>
    <xf numFmtId="0" fontId="247" fillId="0" borderId="0" applyNumberFormat="0" applyFill="0" applyBorder="0" applyAlignment="0" applyProtection="0">
      <alignment vertical="top"/>
      <protection locked="0"/>
    </xf>
    <xf numFmtId="0" fontId="264" fillId="0" borderId="0"/>
    <xf numFmtId="0" fontId="320" fillId="0" borderId="0"/>
    <xf numFmtId="0" fontId="87" fillId="0" borderId="0" applyNumberFormat="0" applyFill="0" applyBorder="0" applyAlignment="0" applyProtection="0"/>
    <xf numFmtId="0" fontId="193" fillId="0" borderId="0" applyNumberFormat="0" applyFill="0" applyBorder="0" applyAlignment="0" applyProtection="0"/>
    <xf numFmtId="0" fontId="193" fillId="0" borderId="0" applyNumberFormat="0" applyFill="0" applyBorder="0" applyAlignment="0" applyProtection="0"/>
    <xf numFmtId="0" fontId="87" fillId="0" borderId="0" applyNumberFormat="0" applyFill="0" applyBorder="0" applyAlignment="0" applyProtection="0"/>
    <xf numFmtId="0" fontId="247" fillId="0" borderId="0" applyNumberFormat="0" applyFill="0" applyBorder="0" applyAlignment="0" applyProtection="0">
      <alignment vertical="top"/>
      <protection locked="0"/>
    </xf>
    <xf numFmtId="0" fontId="17" fillId="0" borderId="0"/>
    <xf numFmtId="0" fontId="320" fillId="0" borderId="0"/>
    <xf numFmtId="0" fontId="6" fillId="0" borderId="0"/>
    <xf numFmtId="0" fontId="320" fillId="0" borderId="0"/>
    <xf numFmtId="0" fontId="521" fillId="0" borderId="0"/>
    <xf numFmtId="0" fontId="247" fillId="0" borderId="0" applyNumberFormat="0" applyFill="0" applyBorder="0" applyAlignment="0" applyProtection="0">
      <alignment vertical="top"/>
      <protection locked="0"/>
    </xf>
    <xf numFmtId="0" fontId="526" fillId="0" borderId="0"/>
  </cellStyleXfs>
  <cellXfs count="6704">
    <xf numFmtId="0" fontId="0" fillId="0" borderId="0" xfId="0"/>
    <xf numFmtId="0" fontId="2" fillId="2" borderId="0" xfId="1" applyFont="1" applyFill="1" applyAlignment="1">
      <alignment horizontal="center" vertical="center"/>
    </xf>
    <xf numFmtId="0" fontId="7" fillId="3" borderId="1" xfId="2" applyFont="1" applyFill="1" applyBorder="1" applyAlignment="1">
      <alignment horizontal="center" vertical="center"/>
    </xf>
    <xf numFmtId="0" fontId="8" fillId="4" borderId="0" xfId="3" applyFont="1" applyFill="1" applyAlignment="1">
      <alignment horizontal="center" vertical="center"/>
    </xf>
    <xf numFmtId="0" fontId="9" fillId="5" borderId="2" xfId="2" applyFont="1" applyFill="1" applyBorder="1" applyAlignment="1">
      <alignment horizontal="center" vertical="center"/>
    </xf>
    <xf numFmtId="0" fontId="9" fillId="6" borderId="2" xfId="2" applyFont="1" applyFill="1" applyBorder="1" applyAlignment="1">
      <alignment horizontal="center" vertical="center"/>
    </xf>
    <xf numFmtId="0" fontId="10" fillId="7" borderId="3" xfId="1" quotePrefix="1" applyFont="1" applyFill="1" applyBorder="1" applyAlignment="1">
      <alignment horizontal="center" vertical="center"/>
    </xf>
    <xf numFmtId="0" fontId="11" fillId="6" borderId="0" xfId="1" applyFont="1" applyFill="1" applyAlignment="1">
      <alignment horizontal="left" vertical="center"/>
    </xf>
    <xf numFmtId="0" fontId="12" fillId="6" borderId="0" xfId="1" applyFont="1" applyFill="1" applyAlignment="1">
      <alignment horizontal="left" vertical="center"/>
    </xf>
    <xf numFmtId="0" fontId="0" fillId="8" borderId="0" xfId="0" applyFill="1"/>
    <xf numFmtId="164" fontId="13" fillId="8" borderId="2" xfId="1" applyNumberFormat="1" applyFont="1" applyFill="1" applyBorder="1" applyAlignment="1" applyProtection="1">
      <alignment horizontal="right" vertical="center"/>
      <protection hidden="1"/>
    </xf>
    <xf numFmtId="0" fontId="14" fillId="6" borderId="0" xfId="1" applyFont="1" applyFill="1" applyAlignment="1">
      <alignment horizontal="right" vertical="center"/>
    </xf>
    <xf numFmtId="0" fontId="15" fillId="6" borderId="0" xfId="1" applyFont="1" applyFill="1" applyAlignment="1">
      <alignment horizontal="left" vertical="center"/>
    </xf>
    <xf numFmtId="0" fontId="16" fillId="9" borderId="4" xfId="3" applyFont="1" applyFill="1" applyBorder="1" applyAlignment="1">
      <alignment horizontal="center" vertical="center"/>
    </xf>
    <xf numFmtId="0" fontId="16" fillId="9" borderId="5" xfId="3" applyFont="1" applyFill="1" applyBorder="1" applyAlignment="1">
      <alignment horizontal="center" vertical="center"/>
    </xf>
    <xf numFmtId="0" fontId="1" fillId="8" borderId="0" xfId="4" applyFill="1"/>
    <xf numFmtId="0" fontId="2" fillId="10" borderId="6" xfId="5" applyFont="1" applyFill="1" applyBorder="1" applyAlignment="1">
      <alignment horizontal="center" vertical="center"/>
    </xf>
    <xf numFmtId="0" fontId="18" fillId="11" borderId="0" xfId="5" applyFont="1" applyFill="1" applyAlignment="1">
      <alignment horizontal="left" vertical="center"/>
    </xf>
    <xf numFmtId="0" fontId="2" fillId="11" borderId="0" xfId="5" applyFont="1" applyFill="1" applyAlignment="1">
      <alignment horizontal="center" vertical="center"/>
    </xf>
    <xf numFmtId="0" fontId="19" fillId="8" borderId="0" xfId="1" applyFont="1" applyFill="1" applyAlignment="1">
      <alignment horizontal="center" vertical="center" wrapText="1"/>
    </xf>
    <xf numFmtId="0" fontId="20" fillId="12" borderId="0" xfId="5" applyFont="1" applyFill="1" applyAlignment="1">
      <alignment horizontal="center" vertical="center"/>
    </xf>
    <xf numFmtId="0" fontId="21" fillId="13" borderId="0" xfId="4" applyFont="1" applyFill="1" applyAlignment="1">
      <alignment horizontal="center" vertical="center"/>
    </xf>
    <xf numFmtId="0" fontId="22" fillId="14" borderId="7" xfId="1" applyFont="1" applyFill="1" applyBorder="1" applyAlignment="1" applyProtection="1">
      <alignment horizontal="center" vertical="center" textRotation="90"/>
      <protection locked="0"/>
    </xf>
    <xf numFmtId="0" fontId="23" fillId="15" borderId="2" xfId="6" applyFont="1" applyFill="1" applyBorder="1" applyAlignment="1">
      <alignment horizontal="left" vertical="center"/>
    </xf>
    <xf numFmtId="0" fontId="23" fillId="15" borderId="2" xfId="6" applyFont="1" applyFill="1" applyBorder="1" applyAlignment="1">
      <alignment horizontal="center" vertical="center"/>
    </xf>
    <xf numFmtId="1" fontId="23" fillId="15" borderId="2" xfId="6" applyNumberFormat="1" applyFont="1" applyFill="1" applyBorder="1" applyAlignment="1">
      <alignment horizontal="center" vertical="center"/>
    </xf>
    <xf numFmtId="0" fontId="24" fillId="15" borderId="2" xfId="1" applyFont="1" applyFill="1" applyBorder="1" applyAlignment="1">
      <alignment horizontal="center" vertical="center" wrapText="1"/>
    </xf>
    <xf numFmtId="0" fontId="29" fillId="15" borderId="6" xfId="7" applyFont="1" applyFill="1" applyBorder="1" applyAlignment="1">
      <alignment horizontal="center" vertical="center"/>
    </xf>
    <xf numFmtId="0" fontId="23" fillId="15" borderId="0" xfId="6" applyFont="1" applyFill="1" applyAlignment="1">
      <alignment horizontal="right" vertical="center"/>
    </xf>
    <xf numFmtId="0" fontId="23" fillId="15" borderId="0" xfId="6" applyFont="1" applyFill="1" applyAlignment="1">
      <alignment horizontal="center" vertical="center"/>
    </xf>
    <xf numFmtId="1" fontId="23" fillId="15" borderId="0" xfId="6" applyNumberFormat="1" applyFont="1" applyFill="1" applyAlignment="1">
      <alignment horizontal="center" vertical="center"/>
    </xf>
    <xf numFmtId="0" fontId="30" fillId="15" borderId="0" xfId="1" applyFont="1" applyFill="1" applyAlignment="1">
      <alignment horizontal="center" vertical="center" wrapText="1"/>
    </xf>
    <xf numFmtId="0" fontId="23" fillId="18" borderId="0" xfId="7" applyFont="1" applyFill="1" applyAlignment="1">
      <alignment horizontal="left" vertical="center"/>
    </xf>
    <xf numFmtId="0" fontId="23" fillId="18" borderId="0" xfId="7" applyFont="1" applyFill="1" applyAlignment="1">
      <alignment horizontal="right" vertical="center"/>
    </xf>
    <xf numFmtId="1" fontId="23" fillId="18" borderId="0" xfId="7" applyNumberFormat="1" applyFont="1" applyFill="1" applyAlignment="1">
      <alignment horizontal="right" vertical="center"/>
    </xf>
    <xf numFmtId="0" fontId="22" fillId="19" borderId="0" xfId="1" applyFont="1" applyFill="1" applyAlignment="1">
      <alignment horizontal="left" vertical="center"/>
    </xf>
    <xf numFmtId="0" fontId="2" fillId="19" borderId="0" xfId="1" applyFont="1" applyFill="1" applyAlignment="1">
      <alignment horizontal="right" vertical="center"/>
    </xf>
    <xf numFmtId="0" fontId="31" fillId="8" borderId="0" xfId="1" applyFont="1" applyFill="1" applyAlignment="1">
      <alignment vertical="center"/>
    </xf>
    <xf numFmtId="0" fontId="21" fillId="8" borderId="0" xfId="5" applyFont="1" applyFill="1" applyAlignment="1">
      <alignment horizontal="right" vertical="center"/>
    </xf>
    <xf numFmtId="0" fontId="32" fillId="8" borderId="0" xfId="5" applyFont="1" applyFill="1" applyAlignment="1">
      <alignment vertical="center"/>
    </xf>
    <xf numFmtId="0" fontId="30" fillId="8" borderId="0" xfId="8" applyFont="1" applyFill="1" applyAlignment="1">
      <alignment horizontal="left" vertical="center"/>
    </xf>
    <xf numFmtId="0" fontId="0" fillId="8" borderId="9" xfId="0" applyFill="1" applyBorder="1"/>
    <xf numFmtId="0" fontId="34" fillId="8" borderId="0" xfId="9" applyFont="1" applyFill="1" applyAlignment="1">
      <alignment horizontal="left" vertical="center"/>
    </xf>
    <xf numFmtId="0" fontId="35" fillId="8" borderId="0" xfId="5" applyFont="1" applyFill="1" applyAlignment="1">
      <alignment vertical="center"/>
    </xf>
    <xf numFmtId="0" fontId="30" fillId="8" borderId="0" xfId="4" applyFont="1" applyFill="1" applyAlignment="1">
      <alignment horizontal="right" vertical="top"/>
    </xf>
    <xf numFmtId="0" fontId="37" fillId="8" borderId="0" xfId="9" applyFont="1" applyFill="1" applyAlignment="1">
      <alignment horizontal="right" vertical="center"/>
    </xf>
    <xf numFmtId="1" fontId="38" fillId="20" borderId="0" xfId="1" applyNumberFormat="1" applyFont="1" applyFill="1" applyAlignment="1" applyProtection="1">
      <alignment horizontal="center" vertical="center"/>
      <protection hidden="1"/>
    </xf>
    <xf numFmtId="0" fontId="0" fillId="16" borderId="6" xfId="0" applyFill="1" applyBorder="1"/>
    <xf numFmtId="0" fontId="0" fillId="16" borderId="0" xfId="0" applyFill="1"/>
    <xf numFmtId="0" fontId="0" fillId="16" borderId="9" xfId="0" applyFill="1" applyBorder="1"/>
    <xf numFmtId="0" fontId="39" fillId="21" borderId="0" xfId="1" applyFont="1" applyFill="1" applyAlignment="1">
      <alignment horizontal="center" vertical="center"/>
    </xf>
    <xf numFmtId="0" fontId="40" fillId="21" borderId="0" xfId="1" applyFont="1" applyFill="1" applyAlignment="1">
      <alignment horizontal="left" vertical="center"/>
    </xf>
    <xf numFmtId="0" fontId="24" fillId="15" borderId="7" xfId="1" applyFont="1" applyFill="1" applyBorder="1" applyAlignment="1">
      <alignment horizontal="center" vertical="center" wrapText="1"/>
    </xf>
    <xf numFmtId="0" fontId="41" fillId="15" borderId="2" xfId="1" applyFont="1" applyFill="1" applyBorder="1" applyAlignment="1">
      <alignment vertical="center"/>
    </xf>
    <xf numFmtId="0" fontId="25" fillId="15" borderId="2" xfId="1" applyFont="1" applyFill="1" applyBorder="1" applyAlignment="1">
      <alignment vertical="center"/>
    </xf>
    <xf numFmtId="1" fontId="26" fillId="16" borderId="8" xfId="1" applyNumberFormat="1" applyFont="1" applyFill="1" applyBorder="1" applyAlignment="1" applyProtection="1">
      <alignment vertical="center"/>
      <protection hidden="1"/>
    </xf>
    <xf numFmtId="165" fontId="42" fillId="8" borderId="0" xfId="0" applyNumberFormat="1" applyFont="1" applyFill="1" applyAlignment="1">
      <alignment horizontal="right" vertical="center"/>
    </xf>
    <xf numFmtId="165" fontId="0" fillId="8" borderId="0" xfId="0" applyNumberFormat="1" applyFill="1" applyAlignment="1">
      <alignment horizontal="left" vertical="center"/>
    </xf>
    <xf numFmtId="0" fontId="0" fillId="8" borderId="0" xfId="0" applyFill="1" applyAlignment="1">
      <alignment horizontal="left" vertical="center"/>
    </xf>
    <xf numFmtId="0" fontId="1" fillId="8" borderId="0" xfId="4" applyFill="1" applyAlignment="1">
      <alignment vertical="top" wrapText="1"/>
    </xf>
    <xf numFmtId="0" fontId="24" fillId="16" borderId="6" xfId="1" applyFont="1" applyFill="1" applyBorder="1" applyAlignment="1">
      <alignment horizontal="center" vertical="center" wrapText="1"/>
    </xf>
    <xf numFmtId="0" fontId="41" fillId="16" borderId="0" xfId="1" applyFont="1" applyFill="1" applyAlignment="1">
      <alignment vertical="center"/>
    </xf>
    <xf numFmtId="0" fontId="25" fillId="16" borderId="0" xfId="1" applyFont="1" applyFill="1" applyAlignment="1">
      <alignment vertical="center"/>
    </xf>
    <xf numFmtId="1" fontId="26" fillId="16" borderId="9" xfId="1" applyNumberFormat="1" applyFont="1" applyFill="1" applyBorder="1" applyAlignment="1" applyProtection="1">
      <alignment vertical="center"/>
      <protection hidden="1"/>
    </xf>
    <xf numFmtId="0" fontId="29" fillId="15" borderId="10" xfId="7" applyFont="1" applyFill="1" applyBorder="1" applyAlignment="1">
      <alignment horizontal="center" vertical="center"/>
    </xf>
    <xf numFmtId="0" fontId="46" fillId="22" borderId="11" xfId="7" applyFont="1" applyFill="1" applyBorder="1" applyAlignment="1">
      <alignment horizontal="left" vertical="center"/>
    </xf>
    <xf numFmtId="0" fontId="46" fillId="22" borderId="11" xfId="7" applyFont="1" applyFill="1" applyBorder="1" applyAlignment="1">
      <alignment horizontal="right" vertical="center"/>
    </xf>
    <xf numFmtId="1" fontId="46" fillId="22" borderId="11" xfId="7" applyNumberFormat="1" applyFont="1" applyFill="1" applyBorder="1" applyAlignment="1">
      <alignment horizontal="right" vertical="center"/>
    </xf>
    <xf numFmtId="0" fontId="47" fillId="7" borderId="11" xfId="0" applyFont="1" applyFill="1" applyBorder="1" applyAlignment="1">
      <alignment horizontal="left" vertical="center"/>
    </xf>
    <xf numFmtId="0" fontId="47" fillId="7" borderId="11" xfId="3" applyFont="1" applyFill="1" applyBorder="1" applyAlignment="1">
      <alignment horizontal="right" vertical="center"/>
    </xf>
    <xf numFmtId="0" fontId="49" fillId="7" borderId="11" xfId="0" applyFont="1" applyFill="1" applyBorder="1" applyAlignment="1">
      <alignment horizontal="right" vertical="center"/>
    </xf>
    <xf numFmtId="0" fontId="50" fillId="21" borderId="11" xfId="0" applyFont="1" applyFill="1" applyBorder="1" applyAlignment="1">
      <alignment horizontal="left" vertical="center"/>
    </xf>
    <xf numFmtId="0" fontId="0" fillId="8" borderId="11" xfId="0" applyFill="1" applyBorder="1"/>
    <xf numFmtId="0" fontId="21" fillId="16" borderId="6" xfId="5" applyFont="1" applyFill="1" applyBorder="1" applyAlignment="1">
      <alignment horizontal="right" vertical="center"/>
    </xf>
    <xf numFmtId="0" fontId="29" fillId="15" borderId="13" xfId="7" applyFont="1" applyFill="1" applyBorder="1" applyAlignment="1">
      <alignment horizontal="center" vertical="center"/>
    </xf>
    <xf numFmtId="0" fontId="52" fillId="15" borderId="4" xfId="7" applyFont="1" applyFill="1" applyBorder="1" applyAlignment="1">
      <alignment horizontal="left" vertical="center"/>
    </xf>
    <xf numFmtId="1" fontId="52" fillId="15" borderId="4" xfId="7" applyNumberFormat="1" applyFont="1" applyFill="1" applyBorder="1" applyAlignment="1">
      <alignment horizontal="left" vertical="center"/>
    </xf>
    <xf numFmtId="0" fontId="48" fillId="23" borderId="4" xfId="3" applyFont="1" applyFill="1" applyBorder="1" applyAlignment="1">
      <alignment horizontal="center" vertical="center"/>
    </xf>
    <xf numFmtId="0" fontId="53" fillId="24" borderId="14" xfId="3" applyFont="1" applyFill="1" applyBorder="1" applyAlignment="1">
      <alignment horizontal="center" vertical="center"/>
    </xf>
    <xf numFmtId="0" fontId="16" fillId="9" borderId="15" xfId="3" applyFont="1" applyFill="1" applyBorder="1" applyAlignment="1">
      <alignment horizontal="center" vertical="center"/>
    </xf>
    <xf numFmtId="0" fontId="32" fillId="16" borderId="0" xfId="5" applyFont="1" applyFill="1" applyAlignment="1">
      <alignment vertical="center"/>
    </xf>
    <xf numFmtId="0" fontId="24" fillId="18" borderId="16" xfId="1" applyFont="1" applyFill="1" applyBorder="1" applyAlignment="1" applyProtection="1">
      <alignment horizontal="center"/>
      <protection locked="0"/>
    </xf>
    <xf numFmtId="0" fontId="50" fillId="18" borderId="0" xfId="1" applyFont="1" applyFill="1" applyAlignment="1" applyProtection="1">
      <alignment horizontal="center"/>
      <protection locked="0"/>
    </xf>
    <xf numFmtId="0" fontId="54" fillId="7" borderId="0" xfId="1" applyFont="1" applyFill="1" applyAlignment="1" applyProtection="1">
      <alignment horizontal="center" vertical="center"/>
      <protection hidden="1"/>
    </xf>
    <xf numFmtId="0" fontId="48" fillId="8" borderId="17" xfId="1" applyFont="1" applyFill="1" applyBorder="1" applyAlignment="1">
      <alignment horizontal="center"/>
    </xf>
    <xf numFmtId="0" fontId="24" fillId="25" borderId="17" xfId="1" applyFont="1" applyFill="1" applyBorder="1" applyAlignment="1">
      <alignment horizontal="center" vertical="center"/>
    </xf>
    <xf numFmtId="0" fontId="30" fillId="16" borderId="6" xfId="4" applyFont="1" applyFill="1" applyBorder="1" applyAlignment="1">
      <alignment horizontal="right" vertical="top"/>
    </xf>
    <xf numFmtId="0" fontId="24" fillId="18" borderId="19" xfId="1" applyFont="1" applyFill="1" applyBorder="1" applyAlignment="1" applyProtection="1">
      <alignment horizontal="center" vertical="center"/>
      <protection hidden="1"/>
    </xf>
    <xf numFmtId="0" fontId="24" fillId="18" borderId="14" xfId="8" applyFont="1" applyFill="1" applyBorder="1" applyAlignment="1">
      <alignment horizontal="center" vertical="center"/>
    </xf>
    <xf numFmtId="0" fontId="30" fillId="7" borderId="14" xfId="10" applyFont="1" applyFill="1" applyBorder="1" applyAlignment="1">
      <alignment horizontal="center" vertical="center"/>
    </xf>
    <xf numFmtId="0" fontId="48" fillId="8" borderId="15" xfId="9" applyFont="1" applyFill="1" applyBorder="1" applyAlignment="1">
      <alignment horizontal="center" vertical="center"/>
    </xf>
    <xf numFmtId="166" fontId="58" fillId="8" borderId="15" xfId="1" applyNumberFormat="1" applyFont="1" applyFill="1" applyBorder="1" applyAlignment="1">
      <alignment horizontal="left" vertical="center"/>
    </xf>
    <xf numFmtId="167" fontId="59" fillId="27" borderId="22" xfId="1" applyNumberFormat="1" applyFont="1" applyFill="1" applyBorder="1" applyAlignment="1">
      <alignment horizontal="center" vertical="center"/>
    </xf>
    <xf numFmtId="1" fontId="59" fillId="21" borderId="23" xfId="1" applyNumberFormat="1" applyFont="1" applyFill="1" applyBorder="1" applyAlignment="1">
      <alignment horizontal="center" vertical="center"/>
    </xf>
    <xf numFmtId="0" fontId="30" fillId="7" borderId="0" xfId="10" applyFont="1" applyFill="1" applyAlignment="1">
      <alignment horizontal="center" vertical="center"/>
    </xf>
    <xf numFmtId="1" fontId="60" fillId="21" borderId="23" xfId="1" applyNumberFormat="1" applyFont="1" applyFill="1" applyBorder="1" applyAlignment="1">
      <alignment horizontal="center" vertical="center"/>
    </xf>
    <xf numFmtId="0" fontId="61" fillId="28" borderId="24" xfId="1" applyFont="1" applyFill="1" applyBorder="1" applyAlignment="1" applyProtection="1">
      <alignment horizontal="center" vertical="center"/>
      <protection hidden="1"/>
    </xf>
    <xf numFmtId="167" fontId="62" fillId="21" borderId="25" xfId="1" applyNumberFormat="1" applyFont="1" applyFill="1" applyBorder="1" applyAlignment="1">
      <alignment horizontal="center" vertical="center"/>
    </xf>
    <xf numFmtId="2" fontId="1" fillId="30" borderId="26" xfId="12" applyNumberFormat="1" applyFill="1" applyBorder="1" applyAlignment="1" applyProtection="1">
      <alignment horizontal="center" vertical="center"/>
      <protection locked="0"/>
    </xf>
    <xf numFmtId="169" fontId="63" fillId="7" borderId="0" xfId="1" applyNumberFormat="1" applyFont="1" applyFill="1" applyAlignment="1">
      <alignment horizontal="center" vertical="center"/>
    </xf>
    <xf numFmtId="170" fontId="21" fillId="31" borderId="27" xfId="1" applyNumberFormat="1" applyFont="1" applyFill="1" applyBorder="1" applyAlignment="1">
      <alignment horizontal="center" vertical="center"/>
    </xf>
    <xf numFmtId="169" fontId="21" fillId="26" borderId="0" xfId="1" applyNumberFormat="1" applyFont="1" applyFill="1" applyAlignment="1">
      <alignment horizontal="center" vertical="center"/>
    </xf>
    <xf numFmtId="0" fontId="36" fillId="16" borderId="0" xfId="4" applyFont="1" applyFill="1" applyAlignment="1">
      <alignment horizontal="left" vertical="top"/>
    </xf>
    <xf numFmtId="0" fontId="36" fillId="16" borderId="0" xfId="4" applyFont="1" applyFill="1" applyAlignment="1">
      <alignment horizontal="center" vertical="top" wrapText="1"/>
    </xf>
    <xf numFmtId="0" fontId="64" fillId="33" borderId="6" xfId="13" applyFont="1" applyFill="1" applyBorder="1" applyAlignment="1">
      <alignment horizontal="center" vertical="center"/>
    </xf>
    <xf numFmtId="0" fontId="61" fillId="26" borderId="24" xfId="1" applyFont="1" applyFill="1" applyBorder="1" applyAlignment="1" applyProtection="1">
      <alignment horizontal="center" vertical="center"/>
      <protection hidden="1"/>
    </xf>
    <xf numFmtId="2" fontId="1" fillId="30" borderId="17" xfId="12" applyNumberFormat="1" applyFill="1" applyBorder="1" applyAlignment="1" applyProtection="1">
      <alignment horizontal="center" vertical="center"/>
      <protection locked="0"/>
    </xf>
    <xf numFmtId="170" fontId="21" fillId="8" borderId="28" xfId="1" applyNumberFormat="1" applyFont="1" applyFill="1" applyBorder="1" applyAlignment="1">
      <alignment horizontal="center" vertical="center"/>
    </xf>
    <xf numFmtId="1" fontId="59" fillId="21" borderId="29" xfId="1" applyNumberFormat="1" applyFont="1" applyFill="1" applyBorder="1" applyAlignment="1">
      <alignment horizontal="center" vertical="center"/>
    </xf>
    <xf numFmtId="0" fontId="65" fillId="35" borderId="24" xfId="1" applyFont="1" applyFill="1" applyBorder="1" applyAlignment="1" applyProtection="1">
      <alignment horizontal="center" vertical="center"/>
      <protection hidden="1"/>
    </xf>
    <xf numFmtId="170" fontId="21" fillId="31" borderId="28" xfId="1" applyNumberFormat="1" applyFont="1" applyFill="1" applyBorder="1" applyAlignment="1">
      <alignment horizontal="center" vertical="center"/>
    </xf>
    <xf numFmtId="0" fontId="49" fillId="16" borderId="6" xfId="0" applyFont="1" applyFill="1" applyBorder="1" applyAlignment="1">
      <alignment horizontal="right" vertical="center"/>
    </xf>
    <xf numFmtId="0" fontId="50" fillId="16" borderId="0" xfId="0" applyFont="1" applyFill="1" applyAlignment="1">
      <alignment horizontal="left" vertical="center"/>
    </xf>
    <xf numFmtId="0" fontId="32" fillId="16" borderId="6" xfId="1" applyFont="1" applyFill="1" applyBorder="1" applyAlignment="1">
      <alignment horizontal="left" vertical="center"/>
    </xf>
    <xf numFmtId="0" fontId="66" fillId="16" borderId="0" xfId="1" applyFont="1" applyFill="1" applyAlignment="1">
      <alignment horizontal="left" vertical="center"/>
    </xf>
    <xf numFmtId="0" fontId="67" fillId="16" borderId="0" xfId="1" applyFont="1" applyFill="1" applyAlignment="1">
      <alignment horizontal="center" vertical="center"/>
    </xf>
    <xf numFmtId="0" fontId="21" fillId="16" borderId="0" xfId="1" applyFont="1" applyFill="1" applyAlignment="1">
      <alignment horizontal="center" vertical="center"/>
    </xf>
    <xf numFmtId="0" fontId="57" fillId="36" borderId="24" xfId="1" applyFont="1" applyFill="1" applyBorder="1" applyAlignment="1" applyProtection="1">
      <alignment horizontal="center" vertical="center"/>
      <protection hidden="1"/>
    </xf>
    <xf numFmtId="0" fontId="49" fillId="7" borderId="0" xfId="0" applyFont="1" applyFill="1" applyAlignment="1">
      <alignment horizontal="right" vertical="center"/>
    </xf>
    <xf numFmtId="0" fontId="50" fillId="21" borderId="0" xfId="0" applyFont="1" applyFill="1" applyAlignment="1">
      <alignment horizontal="left" vertical="center"/>
    </xf>
    <xf numFmtId="0" fontId="57" fillId="15" borderId="30" xfId="14" applyFont="1" applyFill="1" applyBorder="1" applyAlignment="1">
      <alignment horizontal="left" vertical="center"/>
    </xf>
    <xf numFmtId="0" fontId="57" fillId="15" borderId="4" xfId="14" applyFont="1" applyFill="1" applyBorder="1" applyAlignment="1">
      <alignment horizontal="left" vertical="center"/>
    </xf>
    <xf numFmtId="0" fontId="57" fillId="15" borderId="31" xfId="14" applyFont="1" applyFill="1" applyBorder="1" applyAlignment="1">
      <alignment horizontal="left" vertical="center"/>
    </xf>
    <xf numFmtId="1" fontId="68" fillId="37" borderId="24" xfId="1" applyNumberFormat="1" applyFont="1" applyFill="1" applyBorder="1" applyAlignment="1" applyProtection="1">
      <alignment horizontal="center" vertical="center"/>
      <protection hidden="1"/>
    </xf>
    <xf numFmtId="0" fontId="57" fillId="8" borderId="16" xfId="14" applyFont="1" applyFill="1" applyBorder="1" applyAlignment="1">
      <alignment vertical="center"/>
    </xf>
    <xf numFmtId="0" fontId="69" fillId="8" borderId="33" xfId="14" applyFont="1" applyFill="1" applyBorder="1" applyAlignment="1">
      <alignment vertical="center"/>
    </xf>
    <xf numFmtId="0" fontId="61" fillId="8" borderId="24" xfId="1" applyFont="1" applyFill="1" applyBorder="1" applyAlignment="1" applyProtection="1">
      <alignment horizontal="center" vertical="center"/>
      <protection hidden="1"/>
    </xf>
    <xf numFmtId="167" fontId="70" fillId="21" borderId="25" xfId="1" applyNumberFormat="1" applyFont="1" applyFill="1" applyBorder="1" applyAlignment="1">
      <alignment horizontal="center" vertical="center"/>
    </xf>
    <xf numFmtId="0" fontId="57" fillId="8" borderId="36" xfId="14" applyFont="1" applyFill="1" applyBorder="1" applyAlignment="1">
      <alignment vertical="center"/>
    </xf>
    <xf numFmtId="0" fontId="69" fillId="8" borderId="37" xfId="14" applyFont="1" applyFill="1" applyBorder="1" applyAlignment="1">
      <alignment vertical="center"/>
    </xf>
    <xf numFmtId="0" fontId="57" fillId="16" borderId="6" xfId="14" applyFont="1" applyFill="1" applyBorder="1" applyAlignment="1">
      <alignment horizontal="center" vertical="center" wrapText="1"/>
    </xf>
    <xf numFmtId="0" fontId="57" fillId="16" borderId="0" xfId="14" applyFont="1" applyFill="1" applyAlignment="1">
      <alignment vertical="center"/>
    </xf>
    <xf numFmtId="0" fontId="69" fillId="16" borderId="0" xfId="14" applyFont="1" applyFill="1" applyAlignment="1">
      <alignment vertical="center"/>
    </xf>
    <xf numFmtId="0" fontId="0" fillId="38" borderId="0" xfId="0" applyFill="1"/>
    <xf numFmtId="0" fontId="34" fillId="16" borderId="6" xfId="9" applyFont="1" applyFill="1" applyBorder="1" applyAlignment="1">
      <alignment horizontal="left" vertical="center"/>
    </xf>
    <xf numFmtId="0" fontId="30" fillId="16" borderId="0" xfId="4" applyFont="1" applyFill="1" applyAlignment="1">
      <alignment horizontal="right" vertical="top"/>
    </xf>
    <xf numFmtId="0" fontId="36" fillId="16" borderId="0" xfId="4" applyFont="1" applyFill="1" applyAlignment="1">
      <alignment vertical="top"/>
    </xf>
    <xf numFmtId="0" fontId="73" fillId="16" borderId="0" xfId="9" applyFont="1" applyFill="1" applyAlignment="1">
      <alignment horizontal="right" vertical="center"/>
    </xf>
    <xf numFmtId="1" fontId="74" fillId="20" borderId="0" xfId="1" applyNumberFormat="1" applyFont="1" applyFill="1" applyAlignment="1" applyProtection="1">
      <alignment horizontal="center" vertical="center"/>
      <protection hidden="1"/>
    </xf>
    <xf numFmtId="0" fontId="21" fillId="16" borderId="9" xfId="9" applyFont="1" applyFill="1" applyBorder="1" applyAlignment="1">
      <alignment vertical="center" wrapText="1"/>
    </xf>
    <xf numFmtId="0" fontId="61" fillId="36" borderId="24" xfId="1" applyFont="1" applyFill="1" applyBorder="1" applyAlignment="1" applyProtection="1">
      <alignment horizontal="center" vertical="center"/>
      <protection hidden="1"/>
    </xf>
    <xf numFmtId="0" fontId="75" fillId="7" borderId="24" xfId="1" applyFont="1" applyFill="1" applyBorder="1" applyAlignment="1" applyProtection="1">
      <alignment horizontal="center" vertical="center"/>
      <protection hidden="1"/>
    </xf>
    <xf numFmtId="0" fontId="57" fillId="39" borderId="24" xfId="1" applyFont="1" applyFill="1" applyBorder="1" applyAlignment="1" applyProtection="1">
      <alignment horizontal="center" vertical="center"/>
      <protection hidden="1"/>
    </xf>
    <xf numFmtId="0" fontId="65" fillId="35" borderId="39" xfId="1" applyFont="1" applyFill="1" applyBorder="1" applyAlignment="1" applyProtection="1">
      <alignment horizontal="center" vertical="center"/>
      <protection hidden="1"/>
    </xf>
    <xf numFmtId="0" fontId="76" fillId="21" borderId="6" xfId="1" applyFont="1" applyFill="1" applyBorder="1" applyAlignment="1">
      <alignment horizontal="center" vertical="center"/>
    </xf>
    <xf numFmtId="0" fontId="34" fillId="16" borderId="0" xfId="1" applyFont="1" applyFill="1" applyAlignment="1">
      <alignment horizontal="left" vertical="center"/>
    </xf>
    <xf numFmtId="0" fontId="71" fillId="16" borderId="0" xfId="0" applyFont="1" applyFill="1"/>
    <xf numFmtId="165" fontId="42" fillId="16" borderId="6" xfId="0" applyNumberFormat="1" applyFont="1" applyFill="1" applyBorder="1" applyAlignment="1">
      <alignment horizontal="right" vertical="center"/>
    </xf>
    <xf numFmtId="165" fontId="0" fillId="16" borderId="0" xfId="0" applyNumberFormat="1" applyFill="1" applyAlignment="1">
      <alignment horizontal="left" vertical="center"/>
    </xf>
    <xf numFmtId="1" fontId="68" fillId="37" borderId="24" xfId="1" applyNumberFormat="1" applyFont="1" applyFill="1" applyBorder="1" applyAlignment="1" applyProtection="1">
      <alignment horizontal="left" vertical="center"/>
      <protection hidden="1"/>
    </xf>
    <xf numFmtId="0" fontId="13" fillId="17" borderId="6" xfId="6" applyFont="1" applyFill="1" applyBorder="1" applyAlignment="1">
      <alignment vertical="center"/>
    </xf>
    <xf numFmtId="0" fontId="13" fillId="17" borderId="0" xfId="6" applyFont="1" applyFill="1" applyAlignment="1">
      <alignment vertical="center"/>
    </xf>
    <xf numFmtId="0" fontId="13" fillId="17" borderId="0" xfId="6" applyFont="1" applyFill="1" applyAlignment="1">
      <alignment horizontal="center" vertical="center"/>
    </xf>
    <xf numFmtId="0" fontId="13" fillId="17" borderId="9" xfId="6" applyFont="1" applyFill="1" applyBorder="1" applyAlignment="1">
      <alignment vertical="center"/>
    </xf>
    <xf numFmtId="0" fontId="16" fillId="9" borderId="41" xfId="3" applyFont="1" applyFill="1" applyBorder="1" applyAlignment="1">
      <alignment horizontal="center" vertical="center"/>
    </xf>
    <xf numFmtId="0" fontId="10" fillId="24" borderId="46" xfId="3" applyFont="1" applyFill="1" applyBorder="1" applyAlignment="1">
      <alignment horizontal="left" vertical="center"/>
    </xf>
    <xf numFmtId="0" fontId="57" fillId="8" borderId="45" xfId="6" applyFont="1" applyFill="1" applyBorder="1" applyAlignment="1">
      <alignment horizontal="right" vertical="center"/>
    </xf>
    <xf numFmtId="0" fontId="46" fillId="42" borderId="0" xfId="7" applyFont="1" applyFill="1" applyAlignment="1">
      <alignment horizontal="right" vertical="center"/>
    </xf>
    <xf numFmtId="0" fontId="46" fillId="42" borderId="0" xfId="7" applyFont="1" applyFill="1" applyAlignment="1">
      <alignment horizontal="left" vertical="center"/>
    </xf>
    <xf numFmtId="1" fontId="46" fillId="42" borderId="0" xfId="7" applyNumberFormat="1" applyFont="1" applyFill="1" applyAlignment="1">
      <alignment horizontal="right" vertical="center"/>
    </xf>
    <xf numFmtId="0" fontId="2" fillId="43" borderId="48" xfId="9" applyFont="1" applyFill="1" applyBorder="1" applyAlignment="1">
      <alignment horizontal="center" vertical="center"/>
    </xf>
    <xf numFmtId="0" fontId="13" fillId="8" borderId="16" xfId="1" applyFont="1" applyFill="1" applyBorder="1" applyAlignment="1" applyProtection="1">
      <alignment vertical="center"/>
      <protection hidden="1"/>
    </xf>
    <xf numFmtId="0" fontId="81" fillId="8" borderId="49" xfId="5" applyFont="1" applyFill="1" applyBorder="1" applyAlignment="1">
      <alignment horizontal="left" vertical="center"/>
    </xf>
    <xf numFmtId="0" fontId="81" fillId="8" borderId="50" xfId="5" applyFont="1" applyFill="1" applyBorder="1" applyAlignment="1">
      <alignment horizontal="left" vertical="center"/>
    </xf>
    <xf numFmtId="0" fontId="0" fillId="8" borderId="14" xfId="0" applyFill="1" applyBorder="1"/>
    <xf numFmtId="0" fontId="21" fillId="8" borderId="14" xfId="6" applyFont="1" applyFill="1" applyBorder="1" applyAlignment="1">
      <alignment horizontal="right" vertical="center"/>
    </xf>
    <xf numFmtId="0" fontId="82" fillId="16" borderId="6" xfId="1" applyFont="1" applyFill="1" applyBorder="1" applyAlignment="1">
      <alignment horizontal="left" vertical="center"/>
    </xf>
    <xf numFmtId="0" fontId="83" fillId="8" borderId="16" xfId="1" applyFont="1" applyFill="1" applyBorder="1" applyAlignment="1" applyProtection="1">
      <alignment horizontal="left" vertical="center"/>
      <protection locked="0"/>
    </xf>
    <xf numFmtId="0" fontId="81" fillId="8" borderId="0" xfId="5" applyFont="1" applyFill="1" applyAlignment="1">
      <alignment horizontal="left" vertical="center"/>
    </xf>
    <xf numFmtId="0" fontId="81" fillId="8" borderId="51" xfId="5" applyFont="1" applyFill="1" applyBorder="1" applyAlignment="1">
      <alignment horizontal="right" vertical="center"/>
    </xf>
    <xf numFmtId="0" fontId="57" fillId="8" borderId="0" xfId="5" applyFont="1" applyFill="1" applyAlignment="1">
      <alignment horizontal="right" vertical="center"/>
    </xf>
    <xf numFmtId="173" fontId="84" fillId="22" borderId="9" xfId="1" applyNumberFormat="1" applyFont="1" applyFill="1" applyBorder="1" applyAlignment="1">
      <alignment horizontal="center" vertical="center"/>
    </xf>
    <xf numFmtId="0" fontId="83" fillId="8" borderId="0" xfId="1" applyFont="1" applyFill="1" applyAlignment="1" applyProtection="1">
      <alignment horizontal="left" vertical="center"/>
      <protection locked="0"/>
    </xf>
    <xf numFmtId="0" fontId="83" fillId="8" borderId="51" xfId="1" applyFont="1" applyFill="1" applyBorder="1" applyAlignment="1" applyProtection="1">
      <alignment horizontal="left" vertical="center"/>
      <protection locked="0"/>
    </xf>
    <xf numFmtId="173" fontId="58" fillId="22" borderId="9" xfId="1" applyNumberFormat="1" applyFont="1" applyFill="1" applyBorder="1" applyAlignment="1">
      <alignment horizontal="center" vertical="center"/>
    </xf>
    <xf numFmtId="173" fontId="35" fillId="37" borderId="9" xfId="1" applyNumberFormat="1" applyFont="1" applyFill="1" applyBorder="1" applyAlignment="1">
      <alignment horizontal="center" vertical="center"/>
    </xf>
    <xf numFmtId="0" fontId="13" fillId="8" borderId="0" xfId="5" applyFont="1" applyFill="1" applyAlignment="1">
      <alignment horizontal="right" vertical="center"/>
    </xf>
    <xf numFmtId="173" fontId="13" fillId="44" borderId="9" xfId="1" applyNumberFormat="1" applyFont="1" applyFill="1" applyBorder="1" applyAlignment="1">
      <alignment horizontal="center" vertical="center"/>
    </xf>
    <xf numFmtId="0" fontId="71" fillId="16" borderId="0" xfId="3" applyFont="1" applyFill="1" applyAlignment="1">
      <alignment horizontal="left" vertical="center"/>
    </xf>
    <xf numFmtId="0" fontId="0" fillId="16" borderId="0" xfId="0" applyFill="1" applyAlignment="1">
      <alignment horizontal="left"/>
    </xf>
    <xf numFmtId="0" fontId="0" fillId="16" borderId="9" xfId="0" applyFill="1" applyBorder="1" applyAlignment="1">
      <alignment horizontal="left" vertical="center"/>
    </xf>
    <xf numFmtId="0" fontId="71" fillId="16" borderId="0" xfId="3" applyFont="1" applyFill="1" applyAlignment="1">
      <alignment horizontal="left"/>
    </xf>
    <xf numFmtId="0" fontId="73" fillId="45" borderId="32" xfId="16" applyFont="1" applyFill="1" applyBorder="1" applyAlignment="1" applyProtection="1">
      <alignment horizontal="center" vertical="center"/>
      <protection locked="0"/>
    </xf>
    <xf numFmtId="0" fontId="0" fillId="8" borderId="0" xfId="0" applyFill="1" applyAlignment="1">
      <alignment vertical="center"/>
    </xf>
    <xf numFmtId="1" fontId="74" fillId="21" borderId="32" xfId="5" applyNumberFormat="1" applyFont="1" applyFill="1" applyBorder="1" applyAlignment="1">
      <alignment horizontal="center" vertical="center"/>
    </xf>
    <xf numFmtId="0" fontId="72" fillId="8" borderId="0" xfId="0" applyFont="1" applyFill="1" applyAlignment="1">
      <alignment vertical="center"/>
    </xf>
    <xf numFmtId="0" fontId="35" fillId="46" borderId="0" xfId="16" applyFont="1" applyFill="1" applyAlignment="1" applyProtection="1">
      <alignment horizontal="center" vertical="center"/>
      <protection locked="0"/>
    </xf>
    <xf numFmtId="0" fontId="39" fillId="16" borderId="6" xfId="1" applyFont="1" applyFill="1" applyBorder="1" applyAlignment="1">
      <alignment horizontal="left" vertical="center"/>
    </xf>
    <xf numFmtId="0" fontId="26" fillId="8" borderId="0" xfId="16" applyFont="1" applyFill="1" applyAlignment="1">
      <alignment horizontal="left" vertical="center"/>
    </xf>
    <xf numFmtId="0" fontId="0" fillId="8" borderId="9" xfId="0" applyFill="1" applyBorder="1" applyAlignment="1">
      <alignment vertical="center"/>
    </xf>
    <xf numFmtId="0" fontId="35" fillId="47" borderId="32" xfId="1" applyFont="1" applyFill="1" applyBorder="1" applyAlignment="1">
      <alignment horizontal="center" vertical="center"/>
    </xf>
    <xf numFmtId="0" fontId="57" fillId="8" borderId="0" xfId="1" applyFont="1" applyFill="1" applyAlignment="1">
      <alignment horizontal="left" vertical="center"/>
    </xf>
    <xf numFmtId="0" fontId="21" fillId="8" borderId="0" xfId="16" applyFont="1" applyFill="1" applyAlignment="1">
      <alignment horizontal="left" vertical="center"/>
    </xf>
    <xf numFmtId="0" fontId="36" fillId="8" borderId="9" xfId="0" applyFont="1" applyFill="1" applyBorder="1" applyAlignment="1">
      <alignment horizontal="center" vertical="center"/>
    </xf>
    <xf numFmtId="167" fontId="84" fillId="46" borderId="32" xfId="16" applyNumberFormat="1" applyFont="1" applyFill="1" applyBorder="1" applyAlignment="1" applyProtection="1">
      <alignment horizontal="center" vertical="center"/>
      <protection locked="0"/>
    </xf>
    <xf numFmtId="0" fontId="21" fillId="8" borderId="0" xfId="1" applyFont="1" applyFill="1" applyAlignment="1">
      <alignment horizontal="left" vertical="center"/>
    </xf>
    <xf numFmtId="0" fontId="57" fillId="41" borderId="6" xfId="7" applyFont="1" applyFill="1" applyBorder="1" applyAlignment="1">
      <alignment horizontal="center" vertical="center"/>
    </xf>
    <xf numFmtId="0" fontId="57" fillId="8" borderId="0" xfId="1" applyFont="1" applyFill="1" applyAlignment="1" applyProtection="1">
      <alignment horizontal="left" vertical="center"/>
      <protection locked="0"/>
    </xf>
    <xf numFmtId="168" fontId="35" fillId="46" borderId="32" xfId="1" applyNumberFormat="1" applyFont="1" applyFill="1" applyBorder="1" applyAlignment="1">
      <alignment horizontal="center" vertical="center"/>
    </xf>
    <xf numFmtId="0" fontId="57" fillId="8" borderId="0" xfId="0" applyFont="1" applyFill="1" applyAlignment="1">
      <alignment vertical="center"/>
    </xf>
    <xf numFmtId="174" fontId="24" fillId="48" borderId="9" xfId="1" applyNumberFormat="1" applyFont="1" applyFill="1" applyBorder="1" applyAlignment="1">
      <alignment horizontal="center" vertical="center"/>
    </xf>
    <xf numFmtId="0" fontId="83" fillId="8" borderId="14" xfId="1" applyFont="1" applyFill="1" applyBorder="1" applyAlignment="1" applyProtection="1">
      <alignment horizontal="left" vertical="center"/>
      <protection locked="0"/>
    </xf>
    <xf numFmtId="174" fontId="84" fillId="46" borderId="32" xfId="16" applyNumberFormat="1" applyFont="1" applyFill="1" applyBorder="1" applyAlignment="1" applyProtection="1">
      <alignment horizontal="center" vertical="center"/>
      <protection locked="0"/>
    </xf>
    <xf numFmtId="0" fontId="71" fillId="8" borderId="0" xfId="0" applyFont="1" applyFill="1" applyAlignment="1">
      <alignment horizontal="left" vertical="center"/>
    </xf>
    <xf numFmtId="0" fontId="57" fillId="26" borderId="45" xfId="8" applyFont="1" applyFill="1" applyBorder="1" applyAlignment="1">
      <alignment horizontal="right" vertical="center"/>
    </xf>
    <xf numFmtId="0" fontId="87" fillId="8" borderId="45" xfId="17" applyFill="1" applyBorder="1" applyAlignment="1">
      <alignment vertical="center"/>
    </xf>
    <xf numFmtId="0" fontId="1" fillId="8" borderId="45" xfId="3" applyFill="1" applyBorder="1"/>
    <xf numFmtId="0" fontId="89" fillId="16" borderId="6" xfId="1" applyFont="1" applyFill="1" applyBorder="1" applyAlignment="1" applyProtection="1">
      <alignment horizontal="left" vertical="center"/>
      <protection locked="0"/>
    </xf>
    <xf numFmtId="0" fontId="89" fillId="16" borderId="0" xfId="1" applyFont="1" applyFill="1" applyAlignment="1" applyProtection="1">
      <alignment horizontal="left" vertical="center"/>
      <protection locked="0"/>
    </xf>
    <xf numFmtId="0" fontId="8" fillId="41" borderId="0" xfId="7" applyFont="1" applyFill="1" applyAlignment="1">
      <alignment horizontal="right" vertical="center"/>
    </xf>
    <xf numFmtId="0" fontId="8" fillId="41" borderId="0" xfId="7" applyFont="1" applyFill="1" applyAlignment="1">
      <alignment horizontal="left" vertical="center"/>
    </xf>
    <xf numFmtId="1" fontId="8" fillId="41" borderId="0" xfId="7" applyNumberFormat="1" applyFont="1" applyFill="1" applyAlignment="1">
      <alignment horizontal="right" vertical="center"/>
    </xf>
    <xf numFmtId="0" fontId="90" fillId="41" borderId="0" xfId="1" applyFont="1" applyFill="1" applyAlignment="1" applyProtection="1">
      <alignment vertical="center"/>
      <protection hidden="1"/>
    </xf>
    <xf numFmtId="0" fontId="22" fillId="41" borderId="0" xfId="1" applyFont="1" applyFill="1" applyAlignment="1" applyProtection="1">
      <alignment vertical="center"/>
      <protection hidden="1"/>
    </xf>
    <xf numFmtId="0" fontId="13" fillId="41" borderId="0" xfId="1" applyFont="1" applyFill="1" applyAlignment="1" applyProtection="1">
      <alignment vertical="center"/>
      <protection hidden="1"/>
    </xf>
    <xf numFmtId="0" fontId="57" fillId="41" borderId="0" xfId="1" applyFont="1" applyFill="1" applyAlignment="1" applyProtection="1">
      <alignment vertical="center"/>
      <protection hidden="1"/>
    </xf>
    <xf numFmtId="0" fontId="29" fillId="50" borderId="58" xfId="7" applyFont="1" applyFill="1" applyBorder="1" applyAlignment="1">
      <alignment horizontal="center" vertical="center"/>
    </xf>
    <xf numFmtId="0" fontId="8" fillId="50" borderId="3" xfId="7" applyFont="1" applyFill="1" applyBorder="1" applyAlignment="1">
      <alignment vertical="center"/>
    </xf>
    <xf numFmtId="1" fontId="8" fillId="50" borderId="3" xfId="7" applyNumberFormat="1" applyFont="1" applyFill="1" applyBorder="1" applyAlignment="1">
      <alignment horizontal="left" vertical="center"/>
    </xf>
    <xf numFmtId="0" fontId="91" fillId="50" borderId="3" xfId="1" applyFont="1" applyFill="1" applyBorder="1" applyAlignment="1" applyProtection="1">
      <alignment vertical="center"/>
      <protection hidden="1"/>
    </xf>
    <xf numFmtId="0" fontId="13" fillId="50" borderId="3" xfId="1" applyFont="1" applyFill="1" applyBorder="1" applyAlignment="1" applyProtection="1">
      <alignment vertical="center"/>
      <protection hidden="1"/>
    </xf>
    <xf numFmtId="0" fontId="13" fillId="50" borderId="59" xfId="1" applyFont="1" applyFill="1" applyBorder="1" applyAlignment="1" applyProtection="1">
      <alignment vertical="center"/>
      <protection hidden="1"/>
    </xf>
    <xf numFmtId="0" fontId="71" fillId="16" borderId="6" xfId="0" applyFont="1" applyFill="1" applyBorder="1" applyAlignment="1">
      <alignment vertical="center"/>
    </xf>
    <xf numFmtId="0" fontId="71" fillId="16" borderId="0" xfId="0" applyFont="1" applyFill="1" applyAlignment="1">
      <alignment vertical="center"/>
    </xf>
    <xf numFmtId="0" fontId="57" fillId="38" borderId="0" xfId="4" applyFont="1" applyFill="1" applyAlignment="1">
      <alignment horizontal="center" vertical="center"/>
    </xf>
    <xf numFmtId="0" fontId="1" fillId="38" borderId="0" xfId="4" applyFill="1"/>
    <xf numFmtId="0" fontId="71" fillId="16" borderId="6" xfId="3" applyFont="1" applyFill="1" applyBorder="1" applyAlignment="1">
      <alignment horizontal="left" vertical="center"/>
    </xf>
    <xf numFmtId="0" fontId="1" fillId="0" borderId="0" xfId="4"/>
    <xf numFmtId="0" fontId="2" fillId="43" borderId="0" xfId="9" applyFont="1" applyFill="1" applyAlignment="1">
      <alignment horizontal="centerContinuous" vertical="center"/>
    </xf>
    <xf numFmtId="0" fontId="2" fillId="43" borderId="0" xfId="9" applyFont="1" applyFill="1" applyAlignment="1">
      <alignment horizontal="right" vertical="center"/>
    </xf>
    <xf numFmtId="0" fontId="72" fillId="0" borderId="0" xfId="9" applyFont="1" applyAlignment="1">
      <alignment vertical="center"/>
    </xf>
    <xf numFmtId="0" fontId="1" fillId="8" borderId="0" xfId="3" applyFill="1" applyAlignment="1">
      <alignment vertical="center"/>
    </xf>
    <xf numFmtId="0" fontId="2" fillId="43" borderId="60" xfId="9" applyFont="1" applyFill="1" applyBorder="1" applyAlignment="1">
      <alignment horizontal="center" vertical="center"/>
    </xf>
    <xf numFmtId="0" fontId="13" fillId="51" borderId="4" xfId="3" applyFont="1" applyFill="1" applyBorder="1" applyAlignment="1">
      <alignment horizontal="left" vertical="center"/>
    </xf>
    <xf numFmtId="0" fontId="13" fillId="51" borderId="4" xfId="3" applyFont="1" applyFill="1" applyBorder="1" applyAlignment="1">
      <alignment horizontal="right" vertical="center"/>
    </xf>
    <xf numFmtId="0" fontId="13" fillId="42" borderId="4" xfId="1" applyFont="1" applyFill="1" applyBorder="1" applyAlignment="1" applyProtection="1">
      <alignment horizontal="right" vertical="center"/>
      <protection hidden="1"/>
    </xf>
    <xf numFmtId="0" fontId="92" fillId="8" borderId="61" xfId="0" applyFont="1" applyFill="1" applyBorder="1" applyAlignment="1">
      <alignment horizontal="center" vertical="center"/>
    </xf>
    <xf numFmtId="0" fontId="93" fillId="8" borderId="16" xfId="18" applyFont="1" applyFill="1" applyBorder="1" applyAlignment="1">
      <alignment horizontal="left" vertical="center"/>
    </xf>
    <xf numFmtId="0" fontId="35" fillId="16" borderId="6" xfId="0" applyFont="1" applyFill="1" applyBorder="1"/>
    <xf numFmtId="0" fontId="35" fillId="16" borderId="0" xfId="0" applyFont="1" applyFill="1"/>
    <xf numFmtId="0" fontId="35" fillId="16" borderId="0" xfId="0" applyFont="1" applyFill="1" applyAlignment="1">
      <alignment vertical="center"/>
    </xf>
    <xf numFmtId="0" fontId="21" fillId="8" borderId="0" xfId="0" applyFont="1" applyFill="1" applyAlignment="1">
      <alignment vertical="center"/>
    </xf>
    <xf numFmtId="0" fontId="24" fillId="18" borderId="62" xfId="1" applyFont="1" applyFill="1" applyBorder="1" applyAlignment="1" applyProtection="1">
      <alignment horizontal="center"/>
      <protection locked="0"/>
    </xf>
    <xf numFmtId="0" fontId="50" fillId="18" borderId="5" xfId="1" applyFont="1" applyFill="1" applyBorder="1" applyAlignment="1" applyProtection="1">
      <alignment horizontal="center"/>
      <protection locked="0"/>
    </xf>
    <xf numFmtId="0" fontId="54" fillId="7" borderId="5" xfId="1" applyFont="1" applyFill="1" applyBorder="1" applyAlignment="1" applyProtection="1">
      <alignment horizontal="center" vertical="center"/>
      <protection hidden="1"/>
    </xf>
    <xf numFmtId="0" fontId="48" fillId="16" borderId="53" xfId="1" applyFont="1" applyFill="1" applyBorder="1" applyAlignment="1">
      <alignment horizontal="center"/>
    </xf>
    <xf numFmtId="0" fontId="24" fillId="18" borderId="65" xfId="1" applyFont="1" applyFill="1" applyBorder="1" applyAlignment="1" applyProtection="1">
      <alignment horizontal="center" vertical="center"/>
      <protection hidden="1"/>
    </xf>
    <xf numFmtId="0" fontId="48" fillId="16" borderId="21" xfId="9" applyFont="1" applyFill="1" applyBorder="1" applyAlignment="1">
      <alignment horizontal="center" vertical="center"/>
    </xf>
    <xf numFmtId="0" fontId="94" fillId="18" borderId="6" xfId="1" applyFont="1" applyFill="1" applyBorder="1" applyAlignment="1" applyProtection="1">
      <alignment horizontal="center" vertical="center"/>
      <protection hidden="1"/>
    </xf>
    <xf numFmtId="0" fontId="24" fillId="18" borderId="0" xfId="8" applyFont="1" applyFill="1" applyAlignment="1">
      <alignment horizontal="center" vertical="center"/>
    </xf>
    <xf numFmtId="167" fontId="59" fillId="27" borderId="66" xfId="1" applyNumberFormat="1" applyFont="1" applyFill="1" applyBorder="1" applyAlignment="1">
      <alignment horizontal="center" vertical="center"/>
    </xf>
    <xf numFmtId="0" fontId="39" fillId="0" borderId="9" xfId="1" applyFont="1" applyBorder="1" applyAlignment="1">
      <alignment horizontal="left" vertical="center"/>
    </xf>
    <xf numFmtId="0" fontId="93" fillId="8" borderId="67" xfId="18" applyFont="1" applyFill="1" applyBorder="1" applyAlignment="1">
      <alignment horizontal="left" vertical="center"/>
    </xf>
    <xf numFmtId="0" fontId="24" fillId="25" borderId="6" xfId="1" applyFont="1" applyFill="1" applyBorder="1" applyAlignment="1">
      <alignment horizontal="center" vertical="center"/>
    </xf>
    <xf numFmtId="1" fontId="48" fillId="52" borderId="9" xfId="1" applyNumberFormat="1" applyFont="1" applyFill="1" applyBorder="1" applyAlignment="1">
      <alignment horizontal="right" vertical="center"/>
    </xf>
    <xf numFmtId="0" fontId="57" fillId="8" borderId="65" xfId="11" applyFont="1" applyFill="1" applyBorder="1" applyAlignment="1">
      <alignment horizontal="right" vertical="center"/>
    </xf>
    <xf numFmtId="168" fontId="21" fillId="29" borderId="6" xfId="1" applyNumberFormat="1" applyFont="1" applyFill="1" applyBorder="1" applyAlignment="1">
      <alignment horizontal="center" vertical="center"/>
    </xf>
    <xf numFmtId="1" fontId="57" fillId="31" borderId="68" xfId="1" applyNumberFormat="1" applyFont="1" applyFill="1" applyBorder="1" applyAlignment="1">
      <alignment horizontal="center" vertical="center" wrapText="1"/>
    </xf>
    <xf numFmtId="1" fontId="57" fillId="34" borderId="17" xfId="1" applyNumberFormat="1" applyFont="1" applyFill="1" applyBorder="1" applyAlignment="1">
      <alignment horizontal="center" vertical="center"/>
    </xf>
    <xf numFmtId="0" fontId="43" fillId="16" borderId="6" xfId="9" applyFont="1" applyFill="1" applyBorder="1" applyAlignment="1">
      <alignment horizontal="left" vertical="center"/>
    </xf>
    <xf numFmtId="169" fontId="95" fillId="16" borderId="0" xfId="1" applyNumberFormat="1" applyFont="1" applyFill="1" applyAlignment="1">
      <alignment horizontal="center" vertical="center"/>
    </xf>
    <xf numFmtId="1" fontId="48" fillId="53" borderId="0" xfId="1" applyNumberFormat="1" applyFont="1" applyFill="1" applyAlignment="1">
      <alignment horizontal="left" vertical="center"/>
    </xf>
    <xf numFmtId="1" fontId="21" fillId="52" borderId="0" xfId="1" applyNumberFormat="1" applyFont="1" applyFill="1" applyAlignment="1">
      <alignment horizontal="right" vertical="center"/>
    </xf>
    <xf numFmtId="175" fontId="96" fillId="16" borderId="0" xfId="1" applyNumberFormat="1" applyFont="1" applyFill="1" applyAlignment="1">
      <alignment horizontal="center" vertical="center"/>
    </xf>
    <xf numFmtId="169" fontId="30" fillId="7" borderId="0" xfId="1" applyNumberFormat="1" applyFont="1" applyFill="1" applyAlignment="1">
      <alignment horizontal="left" vertical="center"/>
    </xf>
    <xf numFmtId="0" fontId="57" fillId="8" borderId="16" xfId="1" applyFont="1" applyFill="1" applyBorder="1" applyAlignment="1" applyProtection="1">
      <alignment horizontal="left" vertical="center"/>
      <protection locked="0"/>
    </xf>
    <xf numFmtId="0" fontId="21" fillId="8" borderId="0" xfId="1" applyFont="1" applyFill="1" applyAlignment="1" applyProtection="1">
      <alignment horizontal="right" vertical="center"/>
      <protection locked="0"/>
    </xf>
    <xf numFmtId="1" fontId="48" fillId="52" borderId="0" xfId="1" applyNumberFormat="1" applyFont="1" applyFill="1" applyAlignment="1">
      <alignment horizontal="center" vertical="center"/>
    </xf>
    <xf numFmtId="169" fontId="21" fillId="54" borderId="0" xfId="1" applyNumberFormat="1" applyFont="1" applyFill="1" applyAlignment="1">
      <alignment horizontal="center" vertical="center"/>
    </xf>
    <xf numFmtId="0" fontId="22" fillId="41" borderId="69" xfId="1" applyFont="1" applyFill="1" applyBorder="1" applyAlignment="1" applyProtection="1">
      <alignment vertical="center"/>
      <protection hidden="1"/>
    </xf>
    <xf numFmtId="0" fontId="13" fillId="41" borderId="69" xfId="1" applyFont="1" applyFill="1" applyBorder="1" applyAlignment="1" applyProtection="1">
      <alignment vertical="center"/>
      <protection hidden="1"/>
    </xf>
    <xf numFmtId="0" fontId="57" fillId="41" borderId="69" xfId="1" applyFont="1" applyFill="1" applyBorder="1" applyAlignment="1" applyProtection="1">
      <alignment vertical="center"/>
      <protection hidden="1"/>
    </xf>
    <xf numFmtId="0" fontId="13" fillId="16" borderId="6" xfId="6" applyFont="1" applyFill="1" applyBorder="1" applyAlignment="1">
      <alignment vertical="center"/>
    </xf>
    <xf numFmtId="0" fontId="30" fillId="7" borderId="70" xfId="10" applyFont="1" applyFill="1" applyBorder="1" applyAlignment="1">
      <alignment horizontal="center" vertical="center"/>
    </xf>
    <xf numFmtId="0" fontId="71" fillId="16" borderId="0" xfId="0" applyFont="1" applyFill="1" applyAlignment="1">
      <alignment vertical="top"/>
    </xf>
    <xf numFmtId="0" fontId="0" fillId="16" borderId="0" xfId="0" applyFill="1" applyAlignment="1">
      <alignment vertical="top"/>
    </xf>
    <xf numFmtId="0" fontId="0" fillId="16" borderId="0" xfId="0" applyFill="1" applyAlignment="1">
      <alignment vertical="center"/>
    </xf>
    <xf numFmtId="0" fontId="13" fillId="8" borderId="16" xfId="5" applyFont="1" applyFill="1" applyBorder="1" applyAlignment="1" applyProtection="1">
      <alignment vertical="center"/>
      <protection locked="0"/>
    </xf>
    <xf numFmtId="0" fontId="48" fillId="8" borderId="0" xfId="5" applyFont="1" applyFill="1" applyAlignment="1">
      <alignment vertical="center"/>
    </xf>
    <xf numFmtId="169" fontId="90" fillId="16" borderId="0" xfId="1" applyNumberFormat="1" applyFont="1" applyFill="1" applyAlignment="1">
      <alignment horizontal="center" vertical="top" wrapText="1"/>
    </xf>
    <xf numFmtId="169" fontId="90" fillId="16" borderId="9" xfId="1" applyNumberFormat="1" applyFont="1" applyFill="1" applyBorder="1" applyAlignment="1">
      <alignment horizontal="center" vertical="top" wrapText="1"/>
    </xf>
    <xf numFmtId="169" fontId="97" fillId="16" borderId="0" xfId="1" applyNumberFormat="1" applyFont="1" applyFill="1" applyAlignment="1">
      <alignment horizontal="center" vertical="top" wrapText="1"/>
    </xf>
    <xf numFmtId="169" fontId="97" fillId="16" borderId="9" xfId="1" applyNumberFormat="1" applyFont="1" applyFill="1" applyBorder="1" applyAlignment="1">
      <alignment horizontal="center" vertical="top" wrapText="1"/>
    </xf>
    <xf numFmtId="0" fontId="48" fillId="8" borderId="71" xfId="1" applyFont="1" applyFill="1" applyBorder="1" applyAlignment="1">
      <alignment horizontal="center"/>
    </xf>
    <xf numFmtId="0" fontId="76" fillId="8" borderId="16" xfId="5" applyFont="1" applyFill="1" applyBorder="1" applyAlignment="1" applyProtection="1">
      <alignment vertical="center"/>
      <protection locked="0"/>
    </xf>
    <xf numFmtId="0" fontId="48" fillId="8" borderId="75" xfId="9" applyFont="1" applyFill="1" applyBorder="1" applyAlignment="1">
      <alignment horizontal="center" vertical="center"/>
    </xf>
    <xf numFmtId="0" fontId="43" fillId="8" borderId="76" xfId="9" applyFont="1" applyFill="1" applyBorder="1" applyAlignment="1">
      <alignment horizontal="left" vertical="center"/>
    </xf>
    <xf numFmtId="169" fontId="95" fillId="8" borderId="77" xfId="1" applyNumberFormat="1" applyFont="1" applyFill="1" applyBorder="1" applyAlignment="1">
      <alignment horizontal="center" vertical="center"/>
    </xf>
    <xf numFmtId="1" fontId="48" fillId="57" borderId="78" xfId="1" applyNumberFormat="1" applyFont="1" applyFill="1" applyBorder="1" applyAlignment="1">
      <alignment horizontal="center" vertical="center"/>
    </xf>
    <xf numFmtId="1" fontId="21" fillId="29" borderId="0" xfId="1" applyNumberFormat="1" applyFont="1" applyFill="1" applyAlignment="1">
      <alignment horizontal="right" vertical="center"/>
    </xf>
    <xf numFmtId="175" fontId="96" fillId="21" borderId="79" xfId="1" applyNumberFormat="1" applyFont="1" applyFill="1" applyBorder="1" applyAlignment="1">
      <alignment horizontal="center" vertical="center"/>
    </xf>
    <xf numFmtId="169" fontId="95" fillId="8" borderId="80" xfId="1" applyNumberFormat="1" applyFont="1" applyFill="1" applyBorder="1" applyAlignment="1">
      <alignment horizontal="center" vertical="center"/>
    </xf>
    <xf numFmtId="1" fontId="48" fillId="34" borderId="81" xfId="1" applyNumberFormat="1" applyFont="1" applyFill="1" applyBorder="1" applyAlignment="1">
      <alignment horizontal="center" vertical="center"/>
    </xf>
    <xf numFmtId="169" fontId="95" fillId="56" borderId="77" xfId="1" applyNumberFormat="1" applyFont="1" applyFill="1" applyBorder="1" applyAlignment="1">
      <alignment horizontal="center" vertical="center"/>
    </xf>
    <xf numFmtId="169" fontId="95" fillId="54" borderId="78" xfId="1" applyNumberFormat="1" applyFont="1" applyFill="1" applyBorder="1" applyAlignment="1">
      <alignment horizontal="center" vertical="center"/>
    </xf>
    <xf numFmtId="1" fontId="48" fillId="32" borderId="34" xfId="1" applyNumberFormat="1" applyFont="1" applyFill="1" applyBorder="1" applyAlignment="1">
      <alignment horizontal="center" vertical="center"/>
    </xf>
    <xf numFmtId="0" fontId="43" fillId="8" borderId="6" xfId="9" applyFont="1" applyFill="1" applyBorder="1" applyAlignment="1">
      <alignment horizontal="left" vertical="center"/>
    </xf>
    <xf numFmtId="169" fontId="95" fillId="56" borderId="0" xfId="1" applyNumberFormat="1" applyFont="1" applyFill="1" applyAlignment="1">
      <alignment horizontal="center" vertical="center"/>
    </xf>
    <xf numFmtId="1" fontId="48" fillId="57" borderId="0" xfId="1" applyNumberFormat="1" applyFont="1" applyFill="1" applyAlignment="1">
      <alignment horizontal="center" vertical="center"/>
    </xf>
    <xf numFmtId="175" fontId="96" fillId="21" borderId="0" xfId="1" applyNumberFormat="1" applyFont="1" applyFill="1" applyAlignment="1">
      <alignment horizontal="center" vertical="center"/>
    </xf>
    <xf numFmtId="169" fontId="95" fillId="54" borderId="0" xfId="1" applyNumberFormat="1" applyFont="1" applyFill="1" applyAlignment="1">
      <alignment horizontal="center" vertical="center"/>
    </xf>
    <xf numFmtId="1" fontId="48" fillId="32" borderId="9" xfId="1" applyNumberFormat="1" applyFont="1" applyFill="1" applyBorder="1" applyAlignment="1">
      <alignment horizontal="right" vertical="center"/>
    </xf>
    <xf numFmtId="0" fontId="13" fillId="16" borderId="0" xfId="6" applyFont="1" applyFill="1" applyAlignment="1">
      <alignment vertical="center"/>
    </xf>
    <xf numFmtId="0" fontId="13" fillId="16" borderId="0" xfId="6" applyFont="1" applyFill="1" applyAlignment="1">
      <alignment horizontal="center" vertical="center"/>
    </xf>
    <xf numFmtId="0" fontId="13" fillId="16" borderId="9" xfId="6" applyFont="1" applyFill="1" applyBorder="1" applyAlignment="1">
      <alignment vertical="center"/>
    </xf>
    <xf numFmtId="0" fontId="26" fillId="17" borderId="0" xfId="6" applyFont="1" applyFill="1" applyAlignment="1">
      <alignment vertical="center"/>
    </xf>
    <xf numFmtId="0" fontId="71" fillId="16" borderId="0" xfId="3" applyFont="1" applyFill="1"/>
    <xf numFmtId="0" fontId="57" fillId="8" borderId="19" xfId="1" applyFont="1" applyFill="1" applyBorder="1" applyAlignment="1" applyProtection="1">
      <alignment horizontal="left" vertical="center"/>
      <protection locked="0"/>
    </xf>
    <xf numFmtId="0" fontId="24" fillId="18" borderId="84" xfId="1" applyFont="1" applyFill="1" applyBorder="1" applyAlignment="1" applyProtection="1">
      <alignment horizontal="center"/>
      <protection locked="0"/>
    </xf>
    <xf numFmtId="0" fontId="50" fillId="18" borderId="1" xfId="1" applyFont="1" applyFill="1" applyBorder="1" applyAlignment="1" applyProtection="1">
      <alignment horizontal="center"/>
      <protection locked="0"/>
    </xf>
    <xf numFmtId="0" fontId="54" fillId="7" borderId="45" xfId="1" applyFont="1" applyFill="1" applyBorder="1" applyAlignment="1" applyProtection="1">
      <alignment horizontal="center" vertical="center"/>
      <protection hidden="1"/>
    </xf>
    <xf numFmtId="0" fontId="48" fillId="8" borderId="85" xfId="1" applyFont="1" applyFill="1" applyBorder="1" applyAlignment="1">
      <alignment horizontal="center"/>
    </xf>
    <xf numFmtId="0" fontId="24" fillId="18" borderId="6" xfId="1" applyFont="1" applyFill="1" applyBorder="1" applyAlignment="1" applyProtection="1">
      <alignment horizontal="center" vertical="center"/>
      <protection hidden="1"/>
    </xf>
    <xf numFmtId="0" fontId="48" fillId="8" borderId="18" xfId="9" applyFont="1" applyFill="1" applyBorder="1" applyAlignment="1">
      <alignment horizontal="center" vertical="center"/>
    </xf>
    <xf numFmtId="2" fontId="59" fillId="27" borderId="86" xfId="1" applyNumberFormat="1" applyFont="1" applyFill="1" applyBorder="1" applyAlignment="1">
      <alignment horizontal="center" vertical="center"/>
    </xf>
    <xf numFmtId="1" fontId="59" fillId="21" borderId="87" xfId="1" applyNumberFormat="1" applyFont="1" applyFill="1" applyBorder="1" applyAlignment="1">
      <alignment horizontal="center" vertical="center"/>
    </xf>
    <xf numFmtId="0" fontId="30" fillId="7" borderId="88" xfId="10" applyFont="1" applyFill="1" applyBorder="1" applyAlignment="1">
      <alignment horizontal="center" vertical="center"/>
    </xf>
    <xf numFmtId="1" fontId="60" fillId="21" borderId="78" xfId="1" applyNumberFormat="1" applyFont="1" applyFill="1" applyBorder="1" applyAlignment="1">
      <alignment horizontal="center" vertical="center"/>
    </xf>
    <xf numFmtId="0" fontId="99" fillId="8" borderId="89" xfId="1" applyFont="1" applyFill="1" applyBorder="1" applyAlignment="1" applyProtection="1">
      <alignment vertical="center"/>
      <protection hidden="1"/>
    </xf>
    <xf numFmtId="0" fontId="43" fillId="8" borderId="90" xfId="9" applyFont="1" applyFill="1" applyBorder="1" applyAlignment="1">
      <alignment horizontal="left" vertical="center"/>
    </xf>
    <xf numFmtId="0" fontId="72" fillId="42" borderId="4" xfId="4" applyFont="1" applyFill="1" applyBorder="1" applyAlignment="1">
      <alignment vertical="center"/>
    </xf>
    <xf numFmtId="0" fontId="100" fillId="0" borderId="24" xfId="20" applyFont="1" applyBorder="1" applyAlignment="1">
      <alignment horizontal="center" vertical="center"/>
    </xf>
    <xf numFmtId="0" fontId="36" fillId="8" borderId="0" xfId="3" applyFont="1" applyFill="1" applyAlignment="1">
      <alignment horizontal="left" vertical="center"/>
    </xf>
    <xf numFmtId="0" fontId="13" fillId="8" borderId="14" xfId="21" applyFont="1" applyFill="1" applyBorder="1" applyAlignment="1">
      <alignment horizontal="left" vertical="center"/>
    </xf>
    <xf numFmtId="0" fontId="13" fillId="8" borderId="0" xfId="21" applyFont="1" applyFill="1" applyAlignment="1">
      <alignment horizontal="left" vertical="center"/>
    </xf>
    <xf numFmtId="1" fontId="59" fillId="27" borderId="66" xfId="1" applyNumberFormat="1" applyFont="1" applyFill="1" applyBorder="1" applyAlignment="1">
      <alignment horizontal="center" vertical="center"/>
    </xf>
    <xf numFmtId="1" fontId="59" fillId="21" borderId="91" xfId="1" applyNumberFormat="1" applyFont="1" applyFill="1" applyBorder="1" applyAlignment="1">
      <alignment horizontal="center" vertical="center"/>
    </xf>
    <xf numFmtId="0" fontId="24" fillId="8" borderId="0" xfId="1" applyFont="1" applyFill="1" applyAlignment="1" applyProtection="1">
      <alignment horizontal="left" vertical="center"/>
      <protection hidden="1"/>
    </xf>
    <xf numFmtId="0" fontId="57" fillId="8" borderId="0" xfId="21" applyFont="1" applyFill="1" applyAlignment="1">
      <alignment vertical="center"/>
    </xf>
    <xf numFmtId="1" fontId="59" fillId="16" borderId="6" xfId="1" applyNumberFormat="1" applyFont="1" applyFill="1" applyBorder="1" applyAlignment="1">
      <alignment horizontal="center" vertical="center"/>
    </xf>
    <xf numFmtId="1" fontId="59" fillId="16" borderId="0" xfId="1" applyNumberFormat="1" applyFont="1" applyFill="1" applyAlignment="1">
      <alignment horizontal="center" vertical="center"/>
    </xf>
    <xf numFmtId="0" fontId="30" fillId="16" borderId="0" xfId="10" applyFont="1" applyFill="1" applyAlignment="1">
      <alignment horizontal="center" vertical="center"/>
    </xf>
    <xf numFmtId="1" fontId="60" fillId="16" borderId="0" xfId="1" applyNumberFormat="1" applyFont="1" applyFill="1" applyAlignment="1">
      <alignment horizontal="center" vertical="center"/>
    </xf>
    <xf numFmtId="0" fontId="99" fillId="16" borderId="0" xfId="1" applyFont="1" applyFill="1" applyAlignment="1" applyProtection="1">
      <alignment vertical="center"/>
      <protection hidden="1"/>
    </xf>
    <xf numFmtId="0" fontId="43" fillId="16" borderId="0" xfId="9" applyFont="1" applyFill="1" applyAlignment="1">
      <alignment horizontal="left" vertical="center"/>
    </xf>
    <xf numFmtId="0" fontId="101" fillId="8" borderId="61" xfId="21" applyFont="1" applyFill="1" applyBorder="1" applyAlignment="1">
      <alignment horizontal="center" vertical="center"/>
    </xf>
    <xf numFmtId="0" fontId="35" fillId="16" borderId="6" xfId="0" applyFont="1" applyFill="1" applyBorder="1" applyAlignment="1">
      <alignment vertical="center"/>
    </xf>
    <xf numFmtId="0" fontId="13" fillId="8" borderId="0" xfId="21" applyFont="1" applyFill="1" applyAlignment="1">
      <alignment horizontal="centerContinuous" vertical="center"/>
    </xf>
    <xf numFmtId="0" fontId="84" fillId="8" borderId="0" xfId="21" applyFont="1" applyFill="1" applyAlignment="1">
      <alignment horizontal="left"/>
    </xf>
    <xf numFmtId="0" fontId="71" fillId="16" borderId="6" xfId="0" applyFont="1" applyFill="1" applyBorder="1"/>
    <xf numFmtId="0" fontId="64" fillId="16" borderId="0" xfId="1" applyFont="1" applyFill="1" applyAlignment="1" applyProtection="1">
      <alignment horizontal="left" vertical="center"/>
      <protection locked="0"/>
    </xf>
    <xf numFmtId="0" fontId="13" fillId="16" borderId="6" xfId="1" quotePrefix="1" applyFont="1" applyFill="1" applyBorder="1" applyAlignment="1" applyProtection="1">
      <alignment vertical="center"/>
      <protection hidden="1"/>
    </xf>
    <xf numFmtId="0" fontId="65" fillId="8" borderId="61" xfId="0" applyFont="1" applyFill="1" applyBorder="1" applyAlignment="1">
      <alignment horizontal="center" vertical="center"/>
    </xf>
    <xf numFmtId="0" fontId="76" fillId="16" borderId="0" xfId="1" applyFont="1" applyFill="1" applyAlignment="1">
      <alignment horizontal="left" vertical="center"/>
    </xf>
    <xf numFmtId="0" fontId="100" fillId="0" borderId="92" xfId="20" applyFont="1" applyBorder="1" applyAlignment="1">
      <alignment horizontal="center" vertical="center"/>
    </xf>
    <xf numFmtId="0" fontId="84" fillId="8" borderId="0" xfId="21" applyFont="1" applyFill="1" applyAlignment="1">
      <alignment horizontal="left" vertical="center"/>
    </xf>
    <xf numFmtId="1" fontId="59" fillId="58" borderId="93" xfId="1" applyNumberFormat="1" applyFont="1" applyFill="1" applyBorder="1" applyAlignment="1">
      <alignment horizontal="left" vertical="center"/>
    </xf>
    <xf numFmtId="0" fontId="48" fillId="44" borderId="94" xfId="20" applyFont="1" applyFill="1" applyBorder="1" applyAlignment="1">
      <alignment horizontal="center"/>
    </xf>
    <xf numFmtId="0" fontId="102" fillId="8" borderId="61" xfId="0" applyFont="1" applyFill="1" applyBorder="1" applyAlignment="1">
      <alignment horizontal="center" vertical="center"/>
    </xf>
    <xf numFmtId="176" fontId="21" fillId="44" borderId="95" xfId="20" applyNumberFormat="1" applyFont="1" applyFill="1" applyBorder="1" applyAlignment="1">
      <alignment horizontal="center" vertical="top"/>
    </xf>
    <xf numFmtId="0" fontId="57" fillId="8" borderId="0" xfId="1" applyFont="1" applyFill="1" applyAlignment="1" applyProtection="1">
      <alignment horizontal="left" vertical="center"/>
      <protection hidden="1"/>
    </xf>
    <xf numFmtId="0" fontId="103" fillId="21" borderId="96" xfId="20" applyFont="1" applyFill="1" applyBorder="1" applyAlignment="1">
      <alignment horizontal="center" vertical="center"/>
    </xf>
    <xf numFmtId="0" fontId="77" fillId="8" borderId="0" xfId="1" applyFont="1" applyFill="1" applyAlignment="1" applyProtection="1">
      <alignment horizontal="left" vertical="center"/>
      <protection hidden="1"/>
    </xf>
    <xf numFmtId="0" fontId="26" fillId="8" borderId="0" xfId="21" applyFont="1" applyFill="1" applyAlignment="1">
      <alignment horizontal="centerContinuous" vertical="center"/>
    </xf>
    <xf numFmtId="0" fontId="65" fillId="35" borderId="40" xfId="1" applyFont="1" applyFill="1" applyBorder="1" applyAlignment="1" applyProtection="1">
      <alignment horizontal="center" vertical="center"/>
      <protection hidden="1"/>
    </xf>
    <xf numFmtId="0" fontId="65" fillId="35" borderId="41" xfId="1" applyFont="1" applyFill="1" applyBorder="1" applyAlignment="1" applyProtection="1">
      <alignment horizontal="center" vertical="center"/>
      <protection hidden="1"/>
    </xf>
    <xf numFmtId="1" fontId="21" fillId="32" borderId="97" xfId="1" applyNumberFormat="1" applyFont="1" applyFill="1" applyBorder="1" applyAlignment="1">
      <alignment horizontal="center" vertical="center"/>
    </xf>
    <xf numFmtId="1" fontId="30" fillId="32" borderId="98" xfId="1" applyNumberFormat="1" applyFont="1" applyFill="1" applyBorder="1" applyAlignment="1">
      <alignment horizontal="left" vertical="center"/>
    </xf>
    <xf numFmtId="0" fontId="57" fillId="8" borderId="99" xfId="1" applyFont="1" applyFill="1" applyBorder="1" applyAlignment="1" applyProtection="1">
      <alignment horizontal="left" vertical="center"/>
      <protection locked="0"/>
    </xf>
    <xf numFmtId="0" fontId="1" fillId="7" borderId="16" xfId="3" applyFill="1" applyBorder="1" applyAlignment="1">
      <alignment horizontal="center" vertical="center"/>
    </xf>
    <xf numFmtId="0" fontId="1" fillId="7" borderId="0" xfId="3" applyFill="1" applyAlignment="1">
      <alignment horizontal="center" vertical="center"/>
    </xf>
    <xf numFmtId="1" fontId="21" fillId="34" borderId="78" xfId="1" applyNumberFormat="1" applyFont="1" applyFill="1" applyBorder="1" applyAlignment="1">
      <alignment horizontal="left" vertical="center"/>
    </xf>
    <xf numFmtId="1" fontId="30" fillId="34" borderId="100" xfId="1" applyNumberFormat="1" applyFont="1" applyFill="1" applyBorder="1" applyAlignment="1">
      <alignment horizontal="left" vertical="center"/>
    </xf>
    <xf numFmtId="0" fontId="73" fillId="8" borderId="0" xfId="21" applyFont="1" applyFill="1" applyAlignment="1">
      <alignment vertical="center"/>
    </xf>
    <xf numFmtId="0" fontId="57" fillId="36" borderId="40" xfId="1" applyFont="1" applyFill="1" applyBorder="1" applyAlignment="1" applyProtection="1">
      <alignment horizontal="center" vertical="center"/>
      <protection hidden="1"/>
    </xf>
    <xf numFmtId="0" fontId="57" fillId="59" borderId="41" xfId="1" applyFont="1" applyFill="1" applyBorder="1" applyAlignment="1" applyProtection="1">
      <alignment horizontal="center" vertical="center"/>
      <protection hidden="1"/>
    </xf>
    <xf numFmtId="1" fontId="30" fillId="32" borderId="101" xfId="1" applyNumberFormat="1" applyFont="1" applyFill="1" applyBorder="1" applyAlignment="1">
      <alignment horizontal="left" vertical="center"/>
    </xf>
    <xf numFmtId="0" fontId="24" fillId="8" borderId="19" xfId="1" applyFont="1" applyFill="1" applyBorder="1" applyAlignment="1" applyProtection="1">
      <alignment horizontal="left" vertical="center"/>
      <protection locked="0"/>
    </xf>
    <xf numFmtId="0" fontId="104" fillId="8" borderId="14" xfId="1" applyFont="1" applyFill="1" applyBorder="1" applyAlignment="1" applyProtection="1">
      <alignment horizontal="left" vertical="center"/>
      <protection locked="0"/>
    </xf>
    <xf numFmtId="0" fontId="24" fillId="8" borderId="14" xfId="1" applyFont="1" applyFill="1" applyBorder="1" applyAlignment="1" applyProtection="1">
      <alignment horizontal="right" vertical="center"/>
      <protection locked="0"/>
    </xf>
    <xf numFmtId="0" fontId="24" fillId="8" borderId="0" xfId="1" applyFont="1" applyFill="1" applyAlignment="1" applyProtection="1">
      <alignment horizontal="right" vertical="center"/>
      <protection locked="0"/>
    </xf>
    <xf numFmtId="0" fontId="1" fillId="16" borderId="16" xfId="3" applyFill="1" applyBorder="1" applyAlignment="1">
      <alignment vertical="center"/>
    </xf>
    <xf numFmtId="0" fontId="1" fillId="16" borderId="0" xfId="3" applyFill="1" applyAlignment="1">
      <alignment vertical="center"/>
    </xf>
    <xf numFmtId="0" fontId="57" fillId="16" borderId="16" xfId="1" quotePrefix="1" applyFont="1" applyFill="1" applyBorder="1" applyAlignment="1" applyProtection="1">
      <alignment vertical="center"/>
      <protection hidden="1"/>
    </xf>
    <xf numFmtId="0" fontId="72" fillId="16" borderId="0" xfId="3" applyFont="1" applyFill="1" applyAlignment="1">
      <alignment vertical="center"/>
    </xf>
    <xf numFmtId="0" fontId="24" fillId="16" borderId="0" xfId="1" applyFont="1" applyFill="1" applyAlignment="1">
      <alignment vertical="center" wrapText="1"/>
    </xf>
    <xf numFmtId="0" fontId="72" fillId="42" borderId="5" xfId="4" applyFont="1" applyFill="1" applyBorder="1" applyAlignment="1">
      <alignment vertical="center"/>
    </xf>
    <xf numFmtId="0" fontId="13" fillId="42" borderId="5" xfId="1" applyFont="1" applyFill="1" applyBorder="1" applyAlignment="1" applyProtection="1">
      <alignment horizontal="right" vertical="center"/>
      <protection hidden="1"/>
    </xf>
    <xf numFmtId="0" fontId="48" fillId="51" borderId="14" xfId="3" applyFont="1" applyFill="1" applyBorder="1" applyAlignment="1">
      <alignment horizontal="left" vertical="center"/>
    </xf>
    <xf numFmtId="0" fontId="48" fillId="51" borderId="14" xfId="3" applyFont="1" applyFill="1" applyBorder="1" applyAlignment="1">
      <alignment horizontal="right" vertical="center"/>
    </xf>
    <xf numFmtId="0" fontId="48" fillId="23" borderId="6" xfId="3" applyFont="1" applyFill="1" applyBorder="1" applyAlignment="1">
      <alignment horizontal="center" vertical="center"/>
    </xf>
    <xf numFmtId="0" fontId="88" fillId="16" borderId="0" xfId="3" applyFont="1" applyFill="1" applyAlignment="1">
      <alignment vertical="center"/>
    </xf>
    <xf numFmtId="0" fontId="105" fillId="0" borderId="24" xfId="20" applyFont="1" applyBorder="1" applyAlignment="1">
      <alignment horizontal="center" vertical="center" wrapText="1"/>
    </xf>
    <xf numFmtId="0" fontId="106" fillId="0" borderId="24" xfId="20" applyFont="1" applyBorder="1" applyAlignment="1">
      <alignment horizontal="center" vertical="center" wrapText="1"/>
    </xf>
    <xf numFmtId="0" fontId="62" fillId="0" borderId="24" xfId="20" applyFont="1" applyBorder="1" applyAlignment="1">
      <alignment horizontal="center" vertical="center" wrapText="1"/>
    </xf>
    <xf numFmtId="0" fontId="45" fillId="0" borderId="24" xfId="20" applyFont="1" applyBorder="1" applyAlignment="1">
      <alignment horizontal="center" vertical="center" wrapText="1"/>
    </xf>
    <xf numFmtId="0" fontId="107" fillId="0" borderId="24" xfId="20" applyFont="1" applyBorder="1" applyAlignment="1">
      <alignment horizontal="center" vertical="center"/>
    </xf>
    <xf numFmtId="0" fontId="106" fillId="0" borderId="24" xfId="20" applyFont="1" applyBorder="1" applyAlignment="1">
      <alignment horizontal="center" vertical="center"/>
    </xf>
    <xf numFmtId="0" fontId="62" fillId="0" borderId="24" xfId="20" applyFont="1" applyBorder="1" applyAlignment="1">
      <alignment horizontal="center" vertical="center"/>
    </xf>
    <xf numFmtId="0" fontId="45" fillId="0" borderId="24" xfId="20" applyFont="1" applyBorder="1" applyAlignment="1">
      <alignment horizontal="center" vertical="center"/>
    </xf>
    <xf numFmtId="0" fontId="21" fillId="8" borderId="0" xfId="1" applyFont="1" applyFill="1" applyAlignment="1" applyProtection="1">
      <alignment horizontal="left" vertical="center"/>
      <protection locked="0"/>
    </xf>
    <xf numFmtId="167" fontId="62" fillId="21" borderId="102" xfId="1" applyNumberFormat="1" applyFont="1" applyFill="1" applyBorder="1" applyAlignment="1">
      <alignment horizontal="center" vertical="center"/>
    </xf>
    <xf numFmtId="0" fontId="108" fillId="16" borderId="0" xfId="1" applyFont="1" applyFill="1" applyAlignment="1">
      <alignment horizontal="left" vertical="center"/>
    </xf>
    <xf numFmtId="0" fontId="107" fillId="0" borderId="92" xfId="20" applyFont="1" applyBorder="1" applyAlignment="1">
      <alignment horizontal="center" vertical="center"/>
    </xf>
    <xf numFmtId="0" fontId="106" fillId="0" borderId="92" xfId="20" applyFont="1" applyBorder="1" applyAlignment="1">
      <alignment horizontal="center" vertical="center"/>
    </xf>
    <xf numFmtId="0" fontId="62" fillId="0" borderId="92" xfId="20" applyFont="1" applyBorder="1" applyAlignment="1">
      <alignment horizontal="center" vertical="center"/>
    </xf>
    <xf numFmtId="0" fontId="45" fillId="0" borderId="92" xfId="20" applyFont="1" applyBorder="1" applyAlignment="1">
      <alignment horizontal="center" vertical="center"/>
    </xf>
    <xf numFmtId="0" fontId="48" fillId="44" borderId="52" xfId="20" applyFont="1" applyFill="1" applyBorder="1" applyAlignment="1">
      <alignment horizontal="center"/>
    </xf>
    <xf numFmtId="0" fontId="48" fillId="44" borderId="103" xfId="20" applyFont="1" applyFill="1" applyBorder="1" applyAlignment="1">
      <alignment horizontal="center"/>
    </xf>
    <xf numFmtId="0" fontId="109" fillId="16" borderId="0" xfId="3" applyFont="1" applyFill="1" applyAlignment="1">
      <alignment vertical="center"/>
    </xf>
    <xf numFmtId="0" fontId="110" fillId="16" borderId="0" xfId="7" applyFont="1" applyFill="1" applyAlignment="1">
      <alignment vertical="center"/>
    </xf>
    <xf numFmtId="176" fontId="21" fillId="44" borderId="55" xfId="20" applyNumberFormat="1" applyFont="1" applyFill="1" applyBorder="1" applyAlignment="1">
      <alignment horizontal="center" vertical="top"/>
    </xf>
    <xf numFmtId="176" fontId="21" fillId="44" borderId="104" xfId="20" applyNumberFormat="1" applyFont="1" applyFill="1" applyBorder="1" applyAlignment="1">
      <alignment horizontal="center" vertical="top"/>
    </xf>
    <xf numFmtId="0" fontId="109" fillId="16" borderId="0" xfId="3" applyFont="1" applyFill="1" applyAlignment="1">
      <alignment horizontal="left" vertical="center"/>
    </xf>
    <xf numFmtId="0" fontId="110" fillId="16" borderId="0" xfId="3" applyFont="1" applyFill="1" applyAlignment="1">
      <alignment horizontal="left" vertical="center"/>
    </xf>
    <xf numFmtId="0" fontId="103" fillId="21" borderId="35" xfId="20" applyFont="1" applyFill="1" applyBorder="1" applyAlignment="1">
      <alignment horizontal="center" vertical="center"/>
    </xf>
    <xf numFmtId="0" fontId="103" fillId="21" borderId="37" xfId="20" applyFont="1" applyFill="1" applyBorder="1" applyAlignment="1">
      <alignment horizontal="center" vertical="center"/>
    </xf>
    <xf numFmtId="0" fontId="21" fillId="8" borderId="48" xfId="4" applyFont="1" applyFill="1" applyBorder="1"/>
    <xf numFmtId="0" fontId="57" fillId="8" borderId="0" xfId="1" applyFont="1" applyFill="1" applyAlignment="1" applyProtection="1">
      <alignment vertical="center" wrapText="1"/>
      <protection locked="0"/>
    </xf>
    <xf numFmtId="0" fontId="21" fillId="8" borderId="16" xfId="4" applyFont="1" applyFill="1" applyBorder="1"/>
    <xf numFmtId="0" fontId="109" fillId="16" borderId="0" xfId="0" applyFont="1" applyFill="1" applyAlignment="1">
      <alignment vertical="center"/>
    </xf>
    <xf numFmtId="0" fontId="69" fillId="16" borderId="0" xfId="1" applyFont="1" applyFill="1" applyAlignment="1" applyProtection="1">
      <alignment vertical="center"/>
      <protection hidden="1"/>
    </xf>
    <xf numFmtId="0" fontId="1" fillId="0" borderId="14" xfId="0" applyFont="1" applyBorder="1" applyAlignment="1">
      <alignment horizontal="center" vertical="center"/>
    </xf>
    <xf numFmtId="0" fontId="111" fillId="0" borderId="16" xfId="0" applyFont="1" applyBorder="1" applyAlignment="1">
      <alignment vertical="center"/>
    </xf>
    <xf numFmtId="173" fontId="112" fillId="8" borderId="0" xfId="1" applyNumberFormat="1" applyFont="1" applyFill="1" applyAlignment="1">
      <alignment horizontal="center" vertical="center"/>
    </xf>
    <xf numFmtId="178" fontId="113" fillId="21" borderId="0" xfId="1" applyNumberFormat="1" applyFont="1" applyFill="1" applyAlignment="1">
      <alignment horizontal="center" vertical="center"/>
    </xf>
    <xf numFmtId="9" fontId="59" fillId="0" borderId="0" xfId="0" applyNumberFormat="1" applyFont="1" applyAlignment="1">
      <alignment horizontal="center" vertical="center"/>
    </xf>
    <xf numFmtId="0" fontId="57" fillId="8" borderId="16" xfId="5" applyFont="1" applyFill="1" applyBorder="1" applyAlignment="1">
      <alignment horizontal="left" vertical="center"/>
    </xf>
    <xf numFmtId="173" fontId="13" fillId="41" borderId="14" xfId="1" applyNumberFormat="1" applyFont="1" applyFill="1" applyBorder="1" applyAlignment="1" applyProtection="1">
      <alignment horizontal="center" vertical="center"/>
      <protection hidden="1"/>
    </xf>
    <xf numFmtId="0" fontId="57" fillId="8" borderId="0" xfId="5" applyFont="1" applyFill="1" applyAlignment="1">
      <alignment horizontal="left" vertical="center"/>
    </xf>
    <xf numFmtId="0" fontId="81" fillId="8" borderId="49" xfId="5" applyFont="1" applyFill="1" applyBorder="1" applyAlignment="1">
      <alignment horizontal="right" vertical="center"/>
    </xf>
    <xf numFmtId="0" fontId="113" fillId="24" borderId="0" xfId="3" applyFont="1" applyFill="1" applyAlignment="1">
      <alignment horizontal="center" vertical="center"/>
    </xf>
    <xf numFmtId="0" fontId="113" fillId="16" borderId="0" xfId="0" applyFont="1" applyFill="1" applyAlignment="1">
      <alignment horizontal="left" vertical="center"/>
    </xf>
    <xf numFmtId="0" fontId="116" fillId="21" borderId="0" xfId="0" applyFont="1" applyFill="1" applyAlignment="1">
      <alignment horizontal="center" vertical="center"/>
    </xf>
    <xf numFmtId="0" fontId="13" fillId="8" borderId="6" xfId="6" applyFont="1" applyFill="1" applyBorder="1" applyAlignment="1">
      <alignment vertical="center"/>
    </xf>
    <xf numFmtId="0" fontId="13" fillId="8" borderId="0" xfId="6" applyFont="1" applyFill="1" applyAlignment="1">
      <alignment vertical="center"/>
    </xf>
    <xf numFmtId="0" fontId="13" fillId="8" borderId="0" xfId="6" applyFont="1" applyFill="1" applyAlignment="1">
      <alignment horizontal="center" vertical="center"/>
    </xf>
    <xf numFmtId="0" fontId="13" fillId="8" borderId="9" xfId="6" applyFont="1" applyFill="1" applyBorder="1" applyAlignment="1">
      <alignment vertical="center"/>
    </xf>
    <xf numFmtId="0" fontId="0" fillId="8" borderId="6" xfId="0" applyFill="1" applyBorder="1" applyAlignment="1">
      <alignment vertical="center"/>
    </xf>
    <xf numFmtId="0" fontId="88" fillId="8" borderId="0" xfId="3" applyFont="1" applyFill="1" applyAlignment="1">
      <alignment vertical="center"/>
    </xf>
    <xf numFmtId="173" fontId="84" fillId="22" borderId="16" xfId="1" applyNumberFormat="1" applyFont="1" applyFill="1" applyBorder="1" applyAlignment="1">
      <alignment horizontal="center" vertical="center"/>
    </xf>
    <xf numFmtId="178" fontId="112" fillId="21" borderId="0" xfId="1" applyNumberFormat="1" applyFont="1" applyFill="1" applyAlignment="1">
      <alignment horizontal="center" vertical="center"/>
    </xf>
    <xf numFmtId="0" fontId="84" fillId="8" borderId="0" xfId="1" applyFont="1" applyFill="1" applyAlignment="1">
      <alignment horizontal="left" vertical="center"/>
    </xf>
    <xf numFmtId="173" fontId="58" fillId="22" borderId="16" xfId="1" applyNumberFormat="1" applyFont="1" applyFill="1" applyBorder="1" applyAlignment="1">
      <alignment horizontal="center" vertical="center"/>
    </xf>
    <xf numFmtId="0" fontId="113" fillId="8" borderId="0" xfId="1" applyFont="1" applyFill="1" applyAlignment="1">
      <alignment horizontal="left" vertical="center"/>
    </xf>
    <xf numFmtId="173" fontId="35" fillId="37" borderId="16" xfId="1" applyNumberFormat="1" applyFont="1" applyFill="1" applyBorder="1" applyAlignment="1">
      <alignment horizontal="center" vertical="center"/>
    </xf>
    <xf numFmtId="0" fontId="57" fillId="8" borderId="0" xfId="6" applyFont="1" applyFill="1" applyAlignment="1">
      <alignment horizontal="left" vertical="center"/>
    </xf>
    <xf numFmtId="173" fontId="13" fillId="44" borderId="16" xfId="1" applyNumberFormat="1" applyFont="1" applyFill="1" applyBorder="1" applyAlignment="1">
      <alignment horizontal="center" vertical="center"/>
    </xf>
    <xf numFmtId="0" fontId="13" fillId="8" borderId="0" xfId="5" applyFont="1" applyFill="1" applyAlignment="1">
      <alignment horizontal="left" vertical="center"/>
    </xf>
    <xf numFmtId="0" fontId="117" fillId="8" borderId="6" xfId="1" applyFont="1" applyFill="1" applyBorder="1" applyAlignment="1">
      <alignment horizontal="center" vertical="center"/>
    </xf>
    <xf numFmtId="0" fontId="110" fillId="8" borderId="0" xfId="22" applyFont="1" applyFill="1" applyAlignment="1">
      <alignment vertical="center"/>
    </xf>
    <xf numFmtId="0" fontId="71" fillId="8" borderId="0" xfId="22" applyFont="1" applyFill="1" applyAlignment="1">
      <alignment vertical="center"/>
    </xf>
    <xf numFmtId="0" fontId="67" fillId="8" borderId="0" xfId="1" applyFont="1" applyFill="1" applyAlignment="1">
      <alignment horizontal="center" vertical="center"/>
    </xf>
    <xf numFmtId="0" fontId="89" fillId="44" borderId="0" xfId="1" applyFont="1" applyFill="1" applyAlignment="1">
      <alignment horizontal="left" vertical="center"/>
    </xf>
    <xf numFmtId="0" fontId="118" fillId="44" borderId="0" xfId="1" applyFont="1" applyFill="1" applyAlignment="1">
      <alignment horizontal="left" vertical="center"/>
    </xf>
    <xf numFmtId="0" fontId="64" fillId="26" borderId="0" xfId="1" applyFont="1" applyFill="1" applyAlignment="1">
      <alignment horizontal="center" vertical="center"/>
    </xf>
    <xf numFmtId="0" fontId="76" fillId="26" borderId="0" xfId="1" applyFont="1" applyFill="1" applyAlignment="1">
      <alignment horizontal="left" vertical="center"/>
    </xf>
    <xf numFmtId="0" fontId="110" fillId="8" borderId="0" xfId="0" applyFont="1" applyFill="1"/>
    <xf numFmtId="0" fontId="110" fillId="8" borderId="0" xfId="3" applyFont="1" applyFill="1"/>
    <xf numFmtId="0" fontId="21" fillId="8" borderId="14" xfId="1" applyFont="1" applyFill="1" applyBorder="1" applyAlignment="1" applyProtection="1">
      <alignment horizontal="right" vertical="center"/>
      <protection locked="0"/>
    </xf>
    <xf numFmtId="0" fontId="35" fillId="8" borderId="0" xfId="1" applyFont="1" applyFill="1" applyAlignment="1">
      <alignment horizontal="left" vertical="center"/>
    </xf>
    <xf numFmtId="0" fontId="110" fillId="8" borderId="9" xfId="0" applyFont="1" applyFill="1" applyBorder="1" applyAlignment="1">
      <alignment vertical="center"/>
    </xf>
    <xf numFmtId="0" fontId="26" fillId="8" borderId="0" xfId="1" applyFont="1" applyFill="1" applyAlignment="1" applyProtection="1">
      <alignment vertical="center"/>
      <protection locked="0"/>
    </xf>
    <xf numFmtId="0" fontId="26" fillId="8" borderId="9" xfId="1" applyFont="1" applyFill="1" applyBorder="1" applyAlignment="1" applyProtection="1">
      <alignment vertical="center"/>
      <protection locked="0"/>
    </xf>
    <xf numFmtId="0" fontId="13" fillId="51" borderId="5" xfId="3" applyFont="1" applyFill="1" applyBorder="1" applyAlignment="1">
      <alignment horizontal="left" vertical="center"/>
    </xf>
    <xf numFmtId="0" fontId="13" fillId="51" borderId="5" xfId="3" applyFont="1" applyFill="1" applyBorder="1" applyAlignment="1">
      <alignment horizontal="right" vertical="center"/>
    </xf>
    <xf numFmtId="1" fontId="59" fillId="21" borderId="22" xfId="1" applyNumberFormat="1" applyFont="1" applyFill="1" applyBorder="1" applyAlignment="1">
      <alignment horizontal="center" vertical="center"/>
    </xf>
    <xf numFmtId="169" fontId="46" fillId="7" borderId="16" xfId="1" applyNumberFormat="1" applyFont="1" applyFill="1" applyBorder="1" applyAlignment="1">
      <alignment horizontal="center" vertical="center"/>
    </xf>
    <xf numFmtId="180" fontId="53" fillId="21" borderId="108" xfId="1" applyNumberFormat="1" applyFont="1" applyFill="1" applyBorder="1" applyAlignment="1">
      <alignment horizontal="center" vertical="center"/>
    </xf>
    <xf numFmtId="169" fontId="21" fillId="60" borderId="0" xfId="1" applyNumberFormat="1" applyFont="1" applyFill="1" applyAlignment="1">
      <alignment horizontal="center" vertical="center"/>
    </xf>
    <xf numFmtId="1" fontId="59" fillId="21" borderId="109" xfId="1" applyNumberFormat="1" applyFont="1" applyFill="1" applyBorder="1" applyAlignment="1">
      <alignment horizontal="center" vertical="center"/>
    </xf>
    <xf numFmtId="179" fontId="60" fillId="21" borderId="23" xfId="1" applyNumberFormat="1" applyFont="1" applyFill="1" applyBorder="1" applyAlignment="1">
      <alignment horizontal="center" vertical="center"/>
    </xf>
    <xf numFmtId="0" fontId="57" fillId="59" borderId="24" xfId="1" applyFont="1" applyFill="1" applyBorder="1" applyAlignment="1" applyProtection="1">
      <alignment horizontal="center" vertical="center"/>
      <protection hidden="1"/>
    </xf>
    <xf numFmtId="180" fontId="53" fillId="21" borderId="110" xfId="1" applyNumberFormat="1" applyFont="1" applyFill="1" applyBorder="1" applyAlignment="1">
      <alignment horizontal="center" vertical="center"/>
    </xf>
    <xf numFmtId="0" fontId="64" fillId="8" borderId="111" xfId="1" applyFont="1" applyFill="1" applyBorder="1" applyAlignment="1" applyProtection="1">
      <alignment horizontal="left" vertical="center"/>
      <protection locked="0"/>
    </xf>
    <xf numFmtId="0" fontId="57" fillId="42" borderId="0" xfId="1" applyFont="1" applyFill="1" applyAlignment="1" applyProtection="1">
      <alignment horizontal="left" vertical="center"/>
      <protection locked="0"/>
    </xf>
    <xf numFmtId="0" fontId="121" fillId="42" borderId="18" xfId="1" applyFont="1" applyFill="1" applyBorder="1" applyAlignment="1">
      <alignment horizontal="center" vertical="center"/>
    </xf>
    <xf numFmtId="179" fontId="121" fillId="42" borderId="18" xfId="1" applyNumberFormat="1" applyFont="1" applyFill="1" applyBorder="1" applyAlignment="1">
      <alignment horizontal="center" vertical="center"/>
    </xf>
    <xf numFmtId="0" fontId="121" fillId="42" borderId="26" xfId="1" applyFont="1" applyFill="1" applyBorder="1" applyAlignment="1">
      <alignment horizontal="center" vertical="center"/>
    </xf>
    <xf numFmtId="0" fontId="73" fillId="8" borderId="6" xfId="3" applyFont="1" applyFill="1" applyBorder="1" applyAlignment="1">
      <alignment horizontal="center" vertical="center"/>
    </xf>
    <xf numFmtId="0" fontId="74" fillId="8" borderId="0" xfId="1" applyFont="1" applyFill="1" applyAlignment="1">
      <alignment vertical="center"/>
    </xf>
    <xf numFmtId="0" fontId="113" fillId="8" borderId="0" xfId="1" applyFont="1" applyFill="1" applyAlignment="1">
      <alignment vertical="center"/>
    </xf>
    <xf numFmtId="0" fontId="113" fillId="8" borderId="0" xfId="1" applyFont="1" applyFill="1" applyAlignment="1">
      <alignment vertical="center" wrapText="1"/>
    </xf>
    <xf numFmtId="0" fontId="74" fillId="8" borderId="0" xfId="1" applyFont="1" applyFill="1" applyAlignment="1" applyProtection="1">
      <alignment horizontal="left" vertical="center"/>
      <protection locked="0"/>
    </xf>
    <xf numFmtId="0" fontId="57" fillId="8" borderId="0" xfId="1" applyFont="1" applyFill="1" applyProtection="1">
      <protection locked="0"/>
    </xf>
    <xf numFmtId="0" fontId="71" fillId="8" borderId="0" xfId="3" applyFont="1" applyFill="1"/>
    <xf numFmtId="1" fontId="113" fillId="20" borderId="0" xfId="1" applyNumberFormat="1" applyFont="1" applyFill="1" applyAlignment="1" applyProtection="1">
      <alignment horizontal="center" vertical="center"/>
      <protection hidden="1"/>
    </xf>
    <xf numFmtId="1" fontId="57" fillId="8" borderId="0" xfId="1" applyNumberFormat="1" applyFont="1" applyFill="1" applyAlignment="1" applyProtection="1">
      <alignment vertical="center" wrapText="1"/>
      <protection hidden="1"/>
    </xf>
    <xf numFmtId="0" fontId="104" fillId="8" borderId="0" xfId="1" applyFont="1" applyFill="1" applyAlignment="1" applyProtection="1">
      <alignment horizontal="left" vertical="center"/>
      <protection locked="0"/>
    </xf>
    <xf numFmtId="0" fontId="71" fillId="8" borderId="0" xfId="3" applyFont="1" applyFill="1" applyAlignment="1">
      <alignment vertical="center"/>
    </xf>
    <xf numFmtId="0" fontId="74" fillId="8" borderId="0" xfId="22" applyFont="1" applyFill="1" applyAlignment="1">
      <alignment vertical="center"/>
    </xf>
    <xf numFmtId="0" fontId="13" fillId="8" borderId="16" xfId="1" applyFont="1" applyFill="1" applyBorder="1" applyAlignment="1">
      <alignment horizontal="right" vertical="center"/>
    </xf>
    <xf numFmtId="0" fontId="13" fillId="8" borderId="0" xfId="1" applyFont="1" applyFill="1" applyAlignment="1">
      <alignment horizontal="right" vertical="center"/>
    </xf>
    <xf numFmtId="0" fontId="13" fillId="8" borderId="0" xfId="1" applyFont="1" applyFill="1" applyAlignment="1">
      <alignment horizontal="center" vertical="center"/>
    </xf>
    <xf numFmtId="173" fontId="113" fillId="8" borderId="0" xfId="1" applyNumberFormat="1" applyFont="1" applyFill="1" applyAlignment="1">
      <alignment horizontal="center" vertical="center"/>
    </xf>
    <xf numFmtId="178" fontId="113" fillId="8" borderId="0" xfId="1" applyNumberFormat="1" applyFont="1" applyFill="1" applyAlignment="1">
      <alignment horizontal="center" vertical="center"/>
    </xf>
    <xf numFmtId="0" fontId="77" fillId="8" borderId="0" xfId="1" applyFont="1" applyFill="1" applyAlignment="1">
      <alignment horizontal="left" vertical="center"/>
    </xf>
    <xf numFmtId="0" fontId="111" fillId="8" borderId="0" xfId="1" applyFont="1" applyFill="1" applyAlignment="1" applyProtection="1">
      <alignment horizontal="right" vertical="center"/>
      <protection locked="0"/>
    </xf>
    <xf numFmtId="0" fontId="13" fillId="8" borderId="49" xfId="1" applyFont="1" applyFill="1" applyBorder="1" applyAlignment="1">
      <alignment horizontal="right" vertical="center"/>
    </xf>
    <xf numFmtId="0" fontId="35" fillId="8" borderId="49" xfId="1" applyFont="1" applyFill="1" applyBorder="1" applyAlignment="1">
      <alignment horizontal="left" vertical="center"/>
    </xf>
    <xf numFmtId="0" fontId="35" fillId="8" borderId="82" xfId="1" applyFont="1" applyFill="1" applyBorder="1" applyAlignment="1">
      <alignment horizontal="right" vertical="center"/>
    </xf>
    <xf numFmtId="173" fontId="113" fillId="8" borderId="83" xfId="1" applyNumberFormat="1" applyFont="1" applyFill="1" applyBorder="1" applyAlignment="1">
      <alignment horizontal="center" vertical="center"/>
    </xf>
    <xf numFmtId="178" fontId="113" fillId="8" borderId="83" xfId="1" applyNumberFormat="1" applyFont="1" applyFill="1" applyBorder="1" applyAlignment="1">
      <alignment horizontal="center" vertical="center"/>
    </xf>
    <xf numFmtId="0" fontId="77" fillId="8" borderId="83" xfId="1" applyFont="1" applyFill="1" applyBorder="1" applyAlignment="1">
      <alignment horizontal="left" vertical="center"/>
    </xf>
    <xf numFmtId="0" fontId="0" fillId="0" borderId="6" xfId="0" applyBorder="1"/>
    <xf numFmtId="0" fontId="0" fillId="8" borderId="6" xfId="0" applyFill="1" applyBorder="1"/>
    <xf numFmtId="0" fontId="57" fillId="8" borderId="106" xfId="1" applyFont="1" applyFill="1" applyBorder="1" applyAlignment="1" applyProtection="1">
      <alignment horizontal="left" vertical="center"/>
      <protection locked="0"/>
    </xf>
    <xf numFmtId="0" fontId="57" fillId="8" borderId="49" xfId="1" applyFont="1" applyFill="1" applyBorder="1" applyAlignment="1" applyProtection="1">
      <alignment horizontal="left" vertical="center"/>
      <protection locked="0"/>
    </xf>
    <xf numFmtId="0" fontId="1" fillId="8" borderId="0" xfId="3" applyFill="1"/>
    <xf numFmtId="0" fontId="72" fillId="7" borderId="6" xfId="0" applyFont="1" applyFill="1" applyBorder="1" applyAlignment="1">
      <alignment horizontal="left" vertical="center"/>
    </xf>
    <xf numFmtId="0" fontId="0" fillId="7" borderId="0" xfId="0" applyFill="1"/>
    <xf numFmtId="0" fontId="88" fillId="16" borderId="6" xfId="3" applyFont="1" applyFill="1" applyBorder="1" applyAlignment="1">
      <alignment vertical="center"/>
    </xf>
    <xf numFmtId="173" fontId="84" fillId="8" borderId="0" xfId="1" applyNumberFormat="1" applyFont="1" applyFill="1" applyAlignment="1">
      <alignment horizontal="center" vertical="center"/>
    </xf>
    <xf numFmtId="178" fontId="84" fillId="8" borderId="0" xfId="1" applyNumberFormat="1" applyFont="1" applyFill="1" applyAlignment="1">
      <alignment horizontal="center" vertical="center"/>
    </xf>
    <xf numFmtId="0" fontId="13" fillId="44" borderId="0" xfId="1" applyFont="1" applyFill="1" applyAlignment="1">
      <alignment horizontal="left" vertical="center"/>
    </xf>
    <xf numFmtId="0" fontId="13" fillId="44" borderId="0" xfId="1" applyFont="1" applyFill="1" applyAlignment="1" applyProtection="1">
      <alignment vertical="center"/>
      <protection hidden="1"/>
    </xf>
    <xf numFmtId="0" fontId="16" fillId="9" borderId="13" xfId="3" applyFont="1" applyFill="1" applyBorder="1" applyAlignment="1">
      <alignment horizontal="center" vertical="center"/>
    </xf>
    <xf numFmtId="0" fontId="13" fillId="8" borderId="0" xfId="1" applyFont="1" applyFill="1" applyAlignment="1">
      <alignment horizontal="left" vertical="center"/>
    </xf>
    <xf numFmtId="0" fontId="61" fillId="36" borderId="112" xfId="1" applyFont="1" applyFill="1" applyBorder="1" applyAlignment="1" applyProtection="1">
      <alignment horizontal="center" vertical="center"/>
      <protection hidden="1"/>
    </xf>
    <xf numFmtId="0" fontId="124" fillId="16" borderId="6" xfId="0" applyFont="1" applyFill="1" applyBorder="1" applyAlignment="1">
      <alignment horizontal="left" vertical="center"/>
    </xf>
    <xf numFmtId="0" fontId="124" fillId="16" borderId="0" xfId="0" applyFont="1" applyFill="1" applyAlignment="1">
      <alignment horizontal="left" vertical="center"/>
    </xf>
    <xf numFmtId="0" fontId="0" fillId="7" borderId="9" xfId="0" applyFill="1" applyBorder="1"/>
    <xf numFmtId="178" fontId="113" fillId="8" borderId="0" xfId="1" quotePrefix="1" applyNumberFormat="1" applyFont="1" applyFill="1" applyAlignment="1">
      <alignment horizontal="center" vertical="center"/>
    </xf>
    <xf numFmtId="0" fontId="125" fillId="8" borderId="0" xfId="1" applyFont="1" applyFill="1" applyAlignment="1">
      <alignment horizontal="right" vertical="center"/>
    </xf>
    <xf numFmtId="0" fontId="113" fillId="44" borderId="0" xfId="1" applyFont="1" applyFill="1" applyAlignment="1">
      <alignment horizontal="left" vertical="center"/>
    </xf>
    <xf numFmtId="0" fontId="84" fillId="8" borderId="0" xfId="1" applyFont="1" applyFill="1" applyAlignment="1">
      <alignment horizontal="right" vertical="center"/>
    </xf>
    <xf numFmtId="0" fontId="112" fillId="44" borderId="0" xfId="1" applyFont="1" applyFill="1" applyAlignment="1">
      <alignment horizontal="left" vertical="center"/>
    </xf>
    <xf numFmtId="0" fontId="57" fillId="41" borderId="14" xfId="1" applyFont="1" applyFill="1" applyBorder="1" applyAlignment="1" applyProtection="1">
      <alignment horizontal="right" vertical="center"/>
      <protection hidden="1"/>
    </xf>
    <xf numFmtId="0" fontId="16" fillId="9" borderId="113" xfId="3" applyFont="1" applyFill="1" applyBorder="1" applyAlignment="1">
      <alignment horizontal="center" vertical="center"/>
    </xf>
    <xf numFmtId="0" fontId="65" fillId="35" borderId="43" xfId="1" applyFont="1" applyFill="1" applyBorder="1" applyAlignment="1" applyProtection="1">
      <alignment horizontal="center" vertical="center"/>
      <protection hidden="1"/>
    </xf>
    <xf numFmtId="0" fontId="36" fillId="8" borderId="0" xfId="0" applyFont="1" applyFill="1" applyAlignment="1">
      <alignment horizontal="right" vertical="center"/>
    </xf>
    <xf numFmtId="0" fontId="0" fillId="8" borderId="0" xfId="0" applyFill="1" applyAlignment="1">
      <alignment horizontal="right" vertical="center"/>
    </xf>
    <xf numFmtId="0" fontId="21" fillId="8" borderId="16" xfId="1" applyFont="1" applyFill="1" applyBorder="1" applyAlignment="1">
      <alignment horizontal="left" vertical="center"/>
    </xf>
    <xf numFmtId="0" fontId="45" fillId="28" borderId="0" xfId="1" applyFont="1" applyFill="1" applyAlignment="1">
      <alignment horizontal="center" vertical="center"/>
    </xf>
    <xf numFmtId="1" fontId="45" fillId="28" borderId="0" xfId="1" applyNumberFormat="1" applyFont="1" applyFill="1" applyAlignment="1" applyProtection="1">
      <alignment horizontal="left" vertical="center"/>
      <protection hidden="1"/>
    </xf>
    <xf numFmtId="0" fontId="53" fillId="16" borderId="6" xfId="0" applyFont="1" applyFill="1" applyBorder="1" applyAlignment="1">
      <alignment horizontal="left" vertical="center"/>
    </xf>
    <xf numFmtId="0" fontId="21" fillId="8" borderId="16" xfId="1" applyFont="1" applyFill="1" applyBorder="1" applyAlignment="1">
      <alignment horizontal="left"/>
    </xf>
    <xf numFmtId="0" fontId="53" fillId="8" borderId="0" xfId="1" applyFont="1" applyFill="1" applyAlignment="1">
      <alignment horizontal="right" vertical="center"/>
    </xf>
    <xf numFmtId="0" fontId="113" fillId="20" borderId="0" xfId="1" applyFont="1" applyFill="1" applyAlignment="1" applyProtection="1">
      <alignment horizontal="center" vertical="center"/>
      <protection locked="0"/>
    </xf>
    <xf numFmtId="1" fontId="21" fillId="8" borderId="0" xfId="1" applyNumberFormat="1" applyFont="1" applyFill="1" applyAlignment="1">
      <alignment horizontal="left" vertical="center"/>
    </xf>
    <xf numFmtId="0" fontId="126" fillId="16" borderId="6" xfId="0" applyFont="1" applyFill="1" applyBorder="1" applyAlignment="1">
      <alignment horizontal="center" vertical="center"/>
    </xf>
    <xf numFmtId="0" fontId="127" fillId="7" borderId="11" xfId="0" applyFont="1" applyFill="1" applyBorder="1" applyAlignment="1">
      <alignment horizontal="left" vertical="center"/>
    </xf>
    <xf numFmtId="0" fontId="21" fillId="8" borderId="16" xfId="0" applyFont="1" applyFill="1" applyBorder="1"/>
    <xf numFmtId="0" fontId="45" fillId="21" borderId="0" xfId="1" applyFont="1" applyFill="1" applyAlignment="1">
      <alignment horizontal="center" vertical="center"/>
    </xf>
    <xf numFmtId="0" fontId="21" fillId="0" borderId="0" xfId="3" applyFont="1" applyAlignment="1">
      <alignment horizontal="center" vertical="center"/>
    </xf>
    <xf numFmtId="0" fontId="13" fillId="8" borderId="0" xfId="1" applyFont="1" applyFill="1" applyAlignment="1">
      <alignment vertical="center"/>
    </xf>
    <xf numFmtId="0" fontId="48" fillId="16" borderId="6" xfId="0" applyFont="1" applyFill="1" applyBorder="1" applyAlignment="1">
      <alignment horizontal="left" vertical="center"/>
    </xf>
    <xf numFmtId="0" fontId="48" fillId="16" borderId="45" xfId="0" applyFont="1" applyFill="1" applyBorder="1" applyAlignment="1">
      <alignment horizontal="left" vertical="center"/>
    </xf>
    <xf numFmtId="0" fontId="53" fillId="16" borderId="0" xfId="0" applyFont="1" applyFill="1"/>
    <xf numFmtId="0" fontId="13" fillId="44" borderId="0" xfId="1" applyFont="1" applyFill="1" applyAlignment="1">
      <alignment horizontal="center" vertical="center"/>
    </xf>
    <xf numFmtId="0" fontId="68" fillId="8" borderId="0" xfId="1" applyFont="1" applyFill="1" applyAlignment="1">
      <alignment horizontal="left" vertical="center"/>
    </xf>
    <xf numFmtId="0" fontId="113" fillId="8" borderId="61" xfId="0" applyFont="1" applyFill="1" applyBorder="1" applyAlignment="1">
      <alignment horizontal="center" vertical="center"/>
    </xf>
    <xf numFmtId="0" fontId="0" fillId="18" borderId="0" xfId="0" applyFill="1"/>
    <xf numFmtId="0" fontId="0" fillId="16" borderId="0" xfId="0" applyFill="1" applyAlignment="1">
      <alignment horizontal="right"/>
    </xf>
    <xf numFmtId="0" fontId="10" fillId="63" borderId="13" xfId="3" applyFont="1" applyFill="1" applyBorder="1" applyAlignment="1">
      <alignment horizontal="center" vertical="center"/>
    </xf>
    <xf numFmtId="0" fontId="10" fillId="63" borderId="4" xfId="3" applyFont="1" applyFill="1" applyBorder="1" applyAlignment="1">
      <alignment horizontal="center" vertical="center"/>
    </xf>
    <xf numFmtId="0" fontId="128" fillId="63" borderId="4" xfId="3" applyFont="1" applyFill="1" applyBorder="1" applyAlignment="1">
      <alignment horizontal="left" vertical="center"/>
    </xf>
    <xf numFmtId="0" fontId="129" fillId="63" borderId="4" xfId="3" applyFont="1" applyFill="1" applyBorder="1" applyAlignment="1">
      <alignment horizontal="center" vertical="center"/>
    </xf>
    <xf numFmtId="0" fontId="130" fillId="63" borderId="4" xfId="3" applyFont="1" applyFill="1" applyBorder="1" applyAlignment="1">
      <alignment vertical="center"/>
    </xf>
    <xf numFmtId="0" fontId="13" fillId="26" borderId="114" xfId="1" applyFont="1" applyFill="1" applyBorder="1" applyAlignment="1" applyProtection="1">
      <alignment vertical="center"/>
      <protection hidden="1"/>
    </xf>
    <xf numFmtId="0" fontId="2" fillId="43" borderId="62" xfId="9" applyFont="1" applyFill="1" applyBorder="1" applyAlignment="1">
      <alignment horizontal="center" vertical="center"/>
    </xf>
    <xf numFmtId="0" fontId="81" fillId="8" borderId="115" xfId="5" applyFont="1" applyFill="1" applyBorder="1" applyAlignment="1">
      <alignment horizontal="left" vertical="center"/>
    </xf>
    <xf numFmtId="0" fontId="13" fillId="8" borderId="6" xfId="1" applyFont="1" applyFill="1" applyBorder="1" applyAlignment="1" applyProtection="1">
      <alignment vertical="center"/>
      <protection hidden="1"/>
    </xf>
    <xf numFmtId="0" fontId="81" fillId="8" borderId="9" xfId="5" applyFont="1" applyFill="1" applyBorder="1" applyAlignment="1">
      <alignment horizontal="right" vertical="center"/>
    </xf>
    <xf numFmtId="0" fontId="83" fillId="8" borderId="6" xfId="1" applyFont="1" applyFill="1" applyBorder="1" applyAlignment="1" applyProtection="1">
      <alignment horizontal="left" vertical="center"/>
      <protection locked="0"/>
    </xf>
    <xf numFmtId="0" fontId="83" fillId="8" borderId="9" xfId="1" applyFont="1" applyFill="1" applyBorder="1" applyAlignment="1" applyProtection="1">
      <alignment horizontal="left" vertical="center"/>
      <protection locked="0"/>
    </xf>
    <xf numFmtId="0" fontId="21" fillId="8" borderId="6" xfId="1" applyFont="1" applyFill="1" applyBorder="1" applyAlignment="1" applyProtection="1">
      <alignment horizontal="left" vertical="center"/>
      <protection locked="0"/>
    </xf>
    <xf numFmtId="0" fontId="21" fillId="8" borderId="9" xfId="1" applyFont="1" applyFill="1" applyBorder="1" applyAlignment="1" applyProtection="1">
      <alignment horizontal="right" vertical="center"/>
      <protection locked="0"/>
    </xf>
    <xf numFmtId="0" fontId="48" fillId="42" borderId="16" xfId="24" applyFont="1" applyFill="1" applyBorder="1" applyAlignment="1">
      <alignment horizontal="center" vertical="center"/>
    </xf>
    <xf numFmtId="0" fontId="48" fillId="42" borderId="0" xfId="24" applyFont="1" applyFill="1" applyAlignment="1">
      <alignment horizontal="center" vertical="center"/>
    </xf>
    <xf numFmtId="0" fontId="13" fillId="42" borderId="0" xfId="11" applyFont="1" applyFill="1" applyAlignment="1">
      <alignment horizontal="center" vertical="center"/>
    </xf>
    <xf numFmtId="0" fontId="48" fillId="42" borderId="0" xfId="3" applyFont="1" applyFill="1" applyAlignment="1">
      <alignment horizontal="center" vertical="center"/>
    </xf>
    <xf numFmtId="0" fontId="53" fillId="8" borderId="16" xfId="17" applyFont="1" applyFill="1" applyBorder="1" applyAlignment="1">
      <alignment horizontal="left" vertical="center"/>
    </xf>
    <xf numFmtId="0" fontId="1" fillId="8" borderId="0" xfId="24" applyFill="1" applyAlignment="1">
      <alignment horizontal="left" vertical="center"/>
    </xf>
    <xf numFmtId="168" fontId="62" fillId="8" borderId="0" xfId="1" applyNumberFormat="1" applyFont="1" applyFill="1" applyAlignment="1">
      <alignment horizontal="center" vertical="center"/>
    </xf>
    <xf numFmtId="182" fontId="113" fillId="8" borderId="0" xfId="1" applyNumberFormat="1" applyFont="1" applyFill="1" applyAlignment="1">
      <alignment horizontal="left" vertical="center"/>
    </xf>
    <xf numFmtId="0" fontId="57" fillId="26" borderId="116" xfId="8" applyFont="1" applyFill="1" applyBorder="1" applyAlignment="1">
      <alignment horizontal="right" vertical="center"/>
    </xf>
    <xf numFmtId="0" fontId="1" fillId="8" borderId="47" xfId="3" applyFill="1" applyBorder="1"/>
    <xf numFmtId="168" fontId="62" fillId="21" borderId="16" xfId="1" applyNumberFormat="1" applyFont="1" applyFill="1" applyBorder="1" applyAlignment="1">
      <alignment horizontal="center" vertical="center"/>
    </xf>
    <xf numFmtId="168" fontId="62" fillId="21" borderId="0" xfId="1" applyNumberFormat="1" applyFont="1" applyFill="1" applyAlignment="1">
      <alignment horizontal="center" vertical="center"/>
    </xf>
    <xf numFmtId="1" fontId="48" fillId="8" borderId="0" xfId="9" applyNumberFormat="1" applyFont="1" applyFill="1" applyAlignment="1">
      <alignment horizontal="center" vertical="center"/>
    </xf>
    <xf numFmtId="0" fontId="62" fillId="0" borderId="0" xfId="9" applyFont="1" applyAlignment="1">
      <alignment horizontal="left" vertical="center"/>
    </xf>
    <xf numFmtId="0" fontId="57" fillId="8" borderId="6" xfId="8" applyFont="1" applyFill="1" applyBorder="1" applyAlignment="1">
      <alignment horizontal="right" vertical="center"/>
    </xf>
    <xf numFmtId="0" fontId="57" fillId="8" borderId="0" xfId="8" applyFont="1" applyFill="1" applyAlignment="1">
      <alignment horizontal="right" vertical="center"/>
    </xf>
    <xf numFmtId="0" fontId="57" fillId="8" borderId="0" xfId="8" applyFont="1" applyFill="1" applyAlignment="1">
      <alignment horizontal="left" vertical="center"/>
    </xf>
    <xf numFmtId="0" fontId="87" fillId="8" borderId="0" xfId="17" applyFill="1" applyBorder="1" applyAlignment="1">
      <alignment vertical="center"/>
    </xf>
    <xf numFmtId="0" fontId="1" fillId="8" borderId="9" xfId="3" applyFill="1" applyBorder="1"/>
    <xf numFmtId="1" fontId="10" fillId="42" borderId="16" xfId="9" applyNumberFormat="1" applyFont="1" applyFill="1" applyBorder="1" applyAlignment="1">
      <alignment horizontal="center" vertical="center"/>
    </xf>
    <xf numFmtId="1" fontId="10" fillId="42" borderId="0" xfId="9" applyNumberFormat="1" applyFont="1" applyFill="1" applyAlignment="1">
      <alignment horizontal="center" vertical="center"/>
    </xf>
    <xf numFmtId="0" fontId="13" fillId="42" borderId="0" xfId="11" applyFont="1" applyFill="1" applyAlignment="1">
      <alignment vertical="center"/>
    </xf>
    <xf numFmtId="0" fontId="48" fillId="8" borderId="0" xfId="11" applyFont="1" applyFill="1" applyAlignment="1">
      <alignment horizontal="left" vertical="center"/>
    </xf>
    <xf numFmtId="0" fontId="90" fillId="41" borderId="6" xfId="1" applyFont="1" applyFill="1" applyBorder="1" applyAlignment="1" applyProtection="1">
      <alignment vertical="center"/>
      <protection hidden="1"/>
    </xf>
    <xf numFmtId="0" fontId="13" fillId="41" borderId="9" xfId="1" applyFont="1" applyFill="1" applyBorder="1" applyAlignment="1" applyProtection="1">
      <alignment vertical="center"/>
      <protection hidden="1"/>
    </xf>
    <xf numFmtId="0" fontId="62" fillId="8" borderId="0" xfId="1" applyFont="1" applyFill="1" applyAlignment="1">
      <alignment horizontal="center" vertical="center"/>
    </xf>
    <xf numFmtId="183" fontId="113" fillId="8" borderId="0" xfId="1" applyNumberFormat="1" applyFont="1" applyFill="1" applyAlignment="1">
      <alignment horizontal="left" vertical="center"/>
    </xf>
    <xf numFmtId="0" fontId="45" fillId="21" borderId="16" xfId="1" applyFont="1" applyFill="1" applyBorder="1" applyAlignment="1">
      <alignment horizontal="center" vertical="center"/>
    </xf>
    <xf numFmtId="168" fontId="48" fillId="8" borderId="0" xfId="1" applyNumberFormat="1" applyFont="1" applyFill="1" applyAlignment="1">
      <alignment horizontal="center" vertical="center"/>
    </xf>
    <xf numFmtId="0" fontId="68" fillId="0" borderId="0" xfId="9" applyFont="1" applyAlignment="1">
      <alignment horizontal="left" vertical="center"/>
    </xf>
    <xf numFmtId="0" fontId="0" fillId="8" borderId="52" xfId="0" applyFill="1" applyBorder="1"/>
    <xf numFmtId="0" fontId="0" fillId="8" borderId="5" xfId="0" applyFill="1" applyBorder="1"/>
    <xf numFmtId="0" fontId="57" fillId="8" borderId="5" xfId="6" applyFont="1" applyFill="1" applyBorder="1" applyAlignment="1">
      <alignment horizontal="right" vertical="center"/>
    </xf>
    <xf numFmtId="0" fontId="80" fillId="21" borderId="103" xfId="15" applyFont="1" applyFill="1" applyBorder="1" applyAlignment="1">
      <alignment horizontal="center" vertical="center"/>
    </xf>
    <xf numFmtId="168" fontId="10" fillId="42" borderId="16" xfId="1" applyNumberFormat="1" applyFont="1" applyFill="1" applyBorder="1" applyAlignment="1">
      <alignment horizontal="center" vertical="center"/>
    </xf>
    <xf numFmtId="168" fontId="10" fillId="42" borderId="0" xfId="1" applyNumberFormat="1" applyFont="1" applyFill="1" applyAlignment="1">
      <alignment horizontal="center" vertical="center"/>
    </xf>
    <xf numFmtId="0" fontId="0" fillId="42" borderId="0" xfId="0" applyFill="1"/>
    <xf numFmtId="0" fontId="0" fillId="8" borderId="55" xfId="0" applyFill="1" applyBorder="1"/>
    <xf numFmtId="0" fontId="80" fillId="21" borderId="104" xfId="15" applyFont="1" applyFill="1" applyBorder="1" applyAlignment="1">
      <alignment horizontal="center" vertical="center"/>
    </xf>
    <xf numFmtId="0" fontId="59" fillId="8" borderId="16" xfId="24" applyFont="1" applyFill="1" applyBorder="1" applyAlignment="1">
      <alignment horizontal="left" vertical="center"/>
    </xf>
    <xf numFmtId="0" fontId="61" fillId="8" borderId="0" xfId="1" applyFont="1" applyFill="1" applyAlignment="1" applyProtection="1">
      <alignment horizontal="left" vertical="center"/>
      <protection locked="0"/>
    </xf>
    <xf numFmtId="0" fontId="59" fillId="8" borderId="0" xfId="24" applyFont="1" applyFill="1" applyAlignment="1">
      <alignment horizontal="left" vertical="center"/>
    </xf>
    <xf numFmtId="0" fontId="0" fillId="8" borderId="32" xfId="0" applyFill="1" applyBorder="1"/>
    <xf numFmtId="173" fontId="84" fillId="22" borderId="33" xfId="1" applyNumberFormat="1" applyFont="1" applyFill="1" applyBorder="1" applyAlignment="1">
      <alignment horizontal="center" vertical="center"/>
    </xf>
    <xf numFmtId="173" fontId="58" fillId="22" borderId="33" xfId="1" applyNumberFormat="1" applyFont="1" applyFill="1" applyBorder="1" applyAlignment="1">
      <alignment horizontal="center" vertical="center"/>
    </xf>
    <xf numFmtId="173" fontId="35" fillId="37" borderId="33" xfId="1" applyNumberFormat="1" applyFont="1" applyFill="1" applyBorder="1" applyAlignment="1">
      <alignment horizontal="center" vertical="center"/>
    </xf>
    <xf numFmtId="173" fontId="13" fillId="44" borderId="33" xfId="1" applyNumberFormat="1" applyFont="1" applyFill="1" applyBorder="1" applyAlignment="1">
      <alignment horizontal="center" vertical="center"/>
    </xf>
    <xf numFmtId="0" fontId="132" fillId="45" borderId="32" xfId="16" applyFont="1" applyFill="1" applyBorder="1" applyAlignment="1" applyProtection="1">
      <alignment horizontal="center" vertical="center" wrapText="1"/>
      <protection locked="0"/>
    </xf>
    <xf numFmtId="0" fontId="0" fillId="8" borderId="33" xfId="0" applyFill="1" applyBorder="1" applyAlignment="1">
      <alignment vertical="center"/>
    </xf>
    <xf numFmtId="0" fontId="69" fillId="45" borderId="0" xfId="16" applyFont="1" applyFill="1" applyAlignment="1" applyProtection="1">
      <alignment horizontal="left" vertical="center"/>
      <protection locked="0"/>
    </xf>
    <xf numFmtId="0" fontId="36" fillId="8" borderId="33" xfId="0" applyFont="1" applyFill="1" applyBorder="1" applyAlignment="1">
      <alignment horizontal="center" vertical="center"/>
    </xf>
    <xf numFmtId="0" fontId="13" fillId="64" borderId="16" xfId="3" applyFont="1" applyFill="1" applyBorder="1" applyAlignment="1">
      <alignment horizontal="left" vertical="center"/>
    </xf>
    <xf numFmtId="0" fontId="133" fillId="64" borderId="0" xfId="3" applyFont="1" applyFill="1" applyAlignment="1">
      <alignment horizontal="center" vertical="center"/>
    </xf>
    <xf numFmtId="0" fontId="13" fillId="64" borderId="0" xfId="3" applyFont="1" applyFill="1" applyAlignment="1">
      <alignment horizontal="left" vertical="center"/>
    </xf>
    <xf numFmtId="0" fontId="134" fillId="64" borderId="0" xfId="3" applyFont="1" applyFill="1" applyAlignment="1">
      <alignment horizontal="center" vertical="center"/>
    </xf>
    <xf numFmtId="174" fontId="24" fillId="48" borderId="33" xfId="1" applyNumberFormat="1" applyFont="1" applyFill="1" applyBorder="1" applyAlignment="1">
      <alignment horizontal="center" vertical="center"/>
    </xf>
    <xf numFmtId="0" fontId="30" fillId="8" borderId="0" xfId="1" applyFont="1" applyFill="1" applyAlignment="1">
      <alignment horizontal="center" vertical="center"/>
    </xf>
    <xf numFmtId="0" fontId="135" fillId="8" borderId="0" xfId="0" applyFont="1" applyFill="1" applyAlignment="1">
      <alignment horizontal="right" vertical="center"/>
    </xf>
    <xf numFmtId="0" fontId="126" fillId="45" borderId="16" xfId="16" applyFont="1" applyFill="1" applyBorder="1" applyAlignment="1" applyProtection="1">
      <alignment horizontal="center" vertical="center" wrapText="1"/>
      <protection locked="0"/>
    </xf>
    <xf numFmtId="0" fontId="136" fillId="45" borderId="0" xfId="16" applyFont="1" applyFill="1" applyAlignment="1" applyProtection="1">
      <alignment horizontal="center" vertical="center"/>
      <protection locked="0"/>
    </xf>
    <xf numFmtId="0" fontId="24" fillId="45" borderId="0" xfId="16" applyFont="1" applyFill="1" applyAlignment="1" applyProtection="1">
      <alignment horizontal="left" vertical="center"/>
      <protection locked="0"/>
    </xf>
    <xf numFmtId="0" fontId="35" fillId="47" borderId="0" xfId="1" applyFont="1" applyFill="1" applyAlignment="1">
      <alignment horizontal="center" vertical="center"/>
    </xf>
    <xf numFmtId="167" fontId="84" fillId="46" borderId="0" xfId="16" applyNumberFormat="1" applyFont="1" applyFill="1" applyAlignment="1" applyProtection="1">
      <alignment horizontal="center" vertical="center"/>
      <protection locked="0"/>
    </xf>
    <xf numFmtId="168" fontId="76" fillId="46" borderId="0" xfId="1" applyNumberFormat="1" applyFont="1" applyFill="1" applyAlignment="1">
      <alignment horizontal="center" vertical="center"/>
    </xf>
    <xf numFmtId="0" fontId="21" fillId="8" borderId="0" xfId="3" applyFont="1" applyFill="1" applyAlignment="1">
      <alignment vertical="center"/>
    </xf>
    <xf numFmtId="0" fontId="68" fillId="8" borderId="0" xfId="3" applyFont="1" applyFill="1" applyAlignment="1">
      <alignment vertical="center"/>
    </xf>
    <xf numFmtId="174" fontId="76" fillId="46" borderId="0" xfId="16" applyNumberFormat="1" applyFont="1" applyFill="1" applyAlignment="1" applyProtection="1">
      <alignment horizontal="center" vertical="center"/>
      <protection locked="0"/>
    </xf>
    <xf numFmtId="174" fontId="24" fillId="48" borderId="0" xfId="1" applyNumberFormat="1" applyFont="1" applyFill="1" applyAlignment="1">
      <alignment horizontal="left" vertical="center"/>
    </xf>
    <xf numFmtId="0" fontId="21" fillId="8" borderId="16" xfId="16" applyFont="1" applyFill="1" applyBorder="1" applyAlignment="1" applyProtection="1">
      <alignment horizontal="left" vertical="center"/>
      <protection locked="0"/>
    </xf>
    <xf numFmtId="0" fontId="88" fillId="8" borderId="0" xfId="0" applyFont="1" applyFill="1" applyAlignment="1">
      <alignment vertical="center"/>
    </xf>
    <xf numFmtId="0" fontId="1" fillId="8" borderId="16" xfId="3" applyFill="1" applyBorder="1" applyAlignment="1">
      <alignment vertical="center"/>
    </xf>
    <xf numFmtId="0" fontId="58" fillId="8" borderId="0" xfId="0" applyFont="1" applyFill="1" applyAlignment="1">
      <alignment vertical="center"/>
    </xf>
    <xf numFmtId="0" fontId="112" fillId="8" borderId="0" xfId="0" applyFont="1" applyFill="1" applyAlignment="1">
      <alignment vertical="center"/>
    </xf>
    <xf numFmtId="0" fontId="137" fillId="8" borderId="0" xfId="0" applyFont="1" applyFill="1" applyAlignment="1">
      <alignment vertical="center"/>
    </xf>
    <xf numFmtId="0" fontId="57" fillId="8" borderId="6" xfId="1" applyFont="1" applyFill="1" applyBorder="1" applyAlignment="1" applyProtection="1">
      <alignment horizontal="left" vertical="center"/>
      <protection locked="0"/>
    </xf>
    <xf numFmtId="0" fontId="91" fillId="8" borderId="6" xfId="1" applyFont="1" applyFill="1" applyBorder="1" applyAlignment="1" applyProtection="1">
      <alignment vertical="center"/>
      <protection hidden="1"/>
    </xf>
    <xf numFmtId="0" fontId="91" fillId="50" borderId="0" xfId="1" applyFont="1" applyFill="1" applyAlignment="1" applyProtection="1">
      <alignment vertical="center"/>
      <protection hidden="1"/>
    </xf>
    <xf numFmtId="0" fontId="0" fillId="50" borderId="0" xfId="0" applyFill="1"/>
    <xf numFmtId="0" fontId="1" fillId="8" borderId="0" xfId="4" applyFill="1" applyAlignment="1">
      <alignment horizontal="left" vertical="center"/>
    </xf>
    <xf numFmtId="0" fontId="72" fillId="8" borderId="6" xfId="9" applyFont="1" applyFill="1" applyBorder="1" applyAlignment="1">
      <alignment vertical="center"/>
    </xf>
    <xf numFmtId="0" fontId="35" fillId="65" borderId="16" xfId="7" applyFont="1" applyFill="1" applyBorder="1" applyAlignment="1" applyProtection="1">
      <alignment horizontal="right" vertical="center"/>
      <protection locked="0"/>
    </xf>
    <xf numFmtId="0" fontId="45" fillId="65" borderId="0" xfId="7" applyFont="1" applyFill="1" applyAlignment="1" applyProtection="1">
      <alignment horizontal="right" vertical="center"/>
      <protection locked="0"/>
    </xf>
    <xf numFmtId="184" fontId="45" fillId="66" borderId="0" xfId="7" applyNumberFormat="1" applyFont="1" applyFill="1" applyAlignment="1" applyProtection="1">
      <alignment horizontal="center" vertical="center"/>
      <protection locked="0"/>
    </xf>
    <xf numFmtId="0" fontId="138" fillId="8" borderId="0" xfId="7" applyFont="1" applyFill="1" applyAlignment="1" applyProtection="1">
      <alignment horizontal="right" vertical="center"/>
      <protection locked="0"/>
    </xf>
    <xf numFmtId="181" fontId="139" fillId="66" borderId="0" xfId="7" applyNumberFormat="1" applyFont="1" applyFill="1" applyAlignment="1" applyProtection="1">
      <alignment horizontal="center" vertical="center"/>
      <protection locked="0"/>
    </xf>
    <xf numFmtId="0" fontId="139" fillId="8" borderId="0" xfId="7" applyFont="1" applyFill="1" applyAlignment="1" applyProtection="1">
      <alignment horizontal="left" vertical="center"/>
      <protection locked="0"/>
    </xf>
    <xf numFmtId="0" fontId="58" fillId="65" borderId="16" xfId="7" applyFont="1" applyFill="1" applyBorder="1" applyAlignment="1" applyProtection="1">
      <alignment horizontal="right" vertical="center"/>
      <protection locked="0"/>
    </xf>
    <xf numFmtId="0" fontId="106" fillId="65" borderId="0" xfId="7" applyFont="1" applyFill="1" applyAlignment="1" applyProtection="1">
      <alignment horizontal="right" vertical="center"/>
      <protection locked="0"/>
    </xf>
    <xf numFmtId="184" fontId="106" fillId="66" borderId="0" xfId="7" applyNumberFormat="1" applyFont="1" applyFill="1" applyAlignment="1" applyProtection="1">
      <alignment horizontal="center" vertical="center"/>
      <protection locked="0"/>
    </xf>
    <xf numFmtId="0" fontId="140" fillId="8" borderId="0" xfId="7" applyFont="1" applyFill="1" applyAlignment="1" applyProtection="1">
      <alignment horizontal="right" vertical="center"/>
      <protection locked="0"/>
    </xf>
    <xf numFmtId="181" fontId="100" fillId="66" borderId="0" xfId="7" applyNumberFormat="1" applyFont="1" applyFill="1" applyAlignment="1" applyProtection="1">
      <alignment horizontal="center" vertical="center"/>
      <protection locked="0"/>
    </xf>
    <xf numFmtId="0" fontId="100" fillId="8" borderId="0" xfId="7" applyFont="1" applyFill="1" applyAlignment="1" applyProtection="1">
      <alignment horizontal="left" vertical="center"/>
      <protection locked="0"/>
    </xf>
    <xf numFmtId="0" fontId="2" fillId="43" borderId="118" xfId="9" applyFont="1" applyFill="1" applyBorder="1" applyAlignment="1">
      <alignment horizontal="center" vertical="center"/>
    </xf>
    <xf numFmtId="0" fontId="13" fillId="42" borderId="113" xfId="1" applyFont="1" applyFill="1" applyBorder="1" applyAlignment="1" applyProtection="1">
      <alignment horizontal="right" vertical="center"/>
      <protection hidden="1"/>
    </xf>
    <xf numFmtId="0" fontId="57" fillId="65" borderId="16" xfId="7" applyFont="1" applyFill="1" applyBorder="1" applyAlignment="1" applyProtection="1">
      <alignment horizontal="right" vertical="center"/>
      <protection locked="0"/>
    </xf>
    <xf numFmtId="0" fontId="21" fillId="65" borderId="0" xfId="7" applyFont="1" applyFill="1" applyAlignment="1" applyProtection="1">
      <alignment horizontal="right" vertical="center"/>
      <protection locked="0"/>
    </xf>
    <xf numFmtId="184" fontId="21" fillId="65" borderId="0" xfId="7" applyNumberFormat="1" applyFont="1" applyFill="1" applyAlignment="1" applyProtection="1">
      <alignment horizontal="center" vertical="center"/>
      <protection locked="0"/>
    </xf>
    <xf numFmtId="0" fontId="57" fillId="8" borderId="0" xfId="7" applyFont="1" applyFill="1" applyAlignment="1" applyProtection="1">
      <alignment horizontal="right" vertical="center"/>
      <protection locked="0"/>
    </xf>
    <xf numFmtId="181" fontId="21" fillId="8" borderId="0" xfId="7" applyNumberFormat="1" applyFont="1" applyFill="1" applyAlignment="1" applyProtection="1">
      <alignment horizontal="center" vertical="center"/>
      <protection locked="0"/>
    </xf>
    <xf numFmtId="0" fontId="21" fillId="8" borderId="0" xfId="7" applyFont="1" applyFill="1" applyAlignment="1" applyProtection="1">
      <alignment horizontal="left" vertical="center"/>
      <protection locked="0"/>
    </xf>
    <xf numFmtId="0" fontId="92" fillId="8" borderId="119" xfId="0" applyFont="1" applyFill="1" applyBorder="1" applyAlignment="1">
      <alignment horizontal="center" vertical="center"/>
    </xf>
    <xf numFmtId="185" fontId="21" fillId="65" borderId="0" xfId="7" applyNumberFormat="1" applyFont="1" applyFill="1" applyAlignment="1" applyProtection="1">
      <alignment horizontal="center" vertical="center"/>
      <protection locked="0"/>
    </xf>
    <xf numFmtId="0" fontId="21" fillId="8" borderId="0" xfId="7" applyFont="1" applyFill="1" applyAlignment="1" applyProtection="1">
      <alignment horizontal="right" vertical="center"/>
      <protection locked="0"/>
    </xf>
    <xf numFmtId="186" fontId="21" fillId="8" borderId="0" xfId="7" applyNumberFormat="1" applyFont="1" applyFill="1" applyAlignment="1" applyProtection="1">
      <alignment horizontal="center" vertical="center"/>
      <protection locked="0"/>
    </xf>
    <xf numFmtId="0" fontId="57" fillId="8" borderId="9" xfId="1" applyFont="1" applyFill="1" applyBorder="1" applyAlignment="1" applyProtection="1">
      <alignment horizontal="left" vertical="center"/>
      <protection locked="0"/>
    </xf>
    <xf numFmtId="175" fontId="106" fillId="66" borderId="0" xfId="7" applyNumberFormat="1" applyFont="1" applyFill="1" applyAlignment="1" applyProtection="1">
      <alignment horizontal="center" vertical="center"/>
      <protection locked="0"/>
    </xf>
    <xf numFmtId="0" fontId="114" fillId="8" borderId="0" xfId="7" applyFont="1" applyFill="1" applyAlignment="1" applyProtection="1">
      <alignment horizontal="right" vertical="center"/>
      <protection locked="0"/>
    </xf>
    <xf numFmtId="186" fontId="100" fillId="66" borderId="0" xfId="7" applyNumberFormat="1" applyFont="1" applyFill="1" applyAlignment="1" applyProtection="1">
      <alignment horizontal="center" vertical="center"/>
      <protection locked="0"/>
    </xf>
    <xf numFmtId="0" fontId="98" fillId="8" borderId="0" xfId="7" applyFont="1" applyFill="1" applyAlignment="1" applyProtection="1">
      <alignment horizontal="left" vertical="center"/>
      <protection locked="0"/>
    </xf>
    <xf numFmtId="0" fontId="24" fillId="8" borderId="0" xfId="7" applyFont="1" applyFill="1" applyAlignment="1" applyProtection="1">
      <alignment horizontal="right" vertical="center"/>
      <protection locked="0"/>
    </xf>
    <xf numFmtId="0" fontId="90" fillId="41" borderId="120" xfId="1" applyFont="1" applyFill="1" applyBorder="1" applyAlignment="1" applyProtection="1">
      <alignment vertical="center"/>
      <protection hidden="1"/>
    </xf>
    <xf numFmtId="0" fontId="13" fillId="41" borderId="121" xfId="1" applyFont="1" applyFill="1" applyBorder="1" applyAlignment="1" applyProtection="1">
      <alignment vertical="center"/>
      <protection hidden="1"/>
    </xf>
    <xf numFmtId="0" fontId="0" fillId="0" borderId="9" xfId="0" applyBorder="1"/>
    <xf numFmtId="0" fontId="13" fillId="8" borderId="6" xfId="5" applyFont="1" applyFill="1" applyBorder="1" applyAlignment="1" applyProtection="1">
      <alignment vertical="center"/>
      <protection locked="0"/>
    </xf>
    <xf numFmtId="0" fontId="76" fillId="8" borderId="6" xfId="5" applyFont="1" applyFill="1" applyBorder="1" applyAlignment="1" applyProtection="1">
      <alignment vertical="center"/>
      <protection locked="0"/>
    </xf>
    <xf numFmtId="0" fontId="81" fillId="8" borderId="9" xfId="5" applyFont="1" applyFill="1" applyBorder="1" applyAlignment="1">
      <alignment horizontal="left" vertical="center"/>
    </xf>
    <xf numFmtId="0" fontId="100" fillId="0" borderId="112" xfId="20" applyFont="1" applyBorder="1" applyAlignment="1">
      <alignment horizontal="center" vertical="center"/>
    </xf>
    <xf numFmtId="0" fontId="13" fillId="8" borderId="9" xfId="21" applyFont="1" applyFill="1" applyBorder="1" applyAlignment="1">
      <alignment horizontal="left" vertical="center"/>
    </xf>
    <xf numFmtId="0" fontId="57" fillId="8" borderId="9" xfId="21" applyFont="1" applyFill="1" applyBorder="1" applyAlignment="1">
      <alignment vertical="center"/>
    </xf>
    <xf numFmtId="0" fontId="48" fillId="44" borderId="124" xfId="20" applyFont="1" applyFill="1" applyBorder="1" applyAlignment="1">
      <alignment horizontal="center"/>
    </xf>
    <xf numFmtId="176" fontId="21" fillId="44" borderId="125" xfId="20" applyNumberFormat="1" applyFont="1" applyFill="1" applyBorder="1" applyAlignment="1">
      <alignment horizontal="center" vertical="top"/>
    </xf>
    <xf numFmtId="0" fontId="103" fillId="21" borderId="126" xfId="20" applyFont="1" applyFill="1" applyBorder="1" applyAlignment="1">
      <alignment horizontal="center" vertical="center"/>
    </xf>
    <xf numFmtId="0" fontId="84" fillId="8" borderId="9" xfId="21" applyFont="1" applyFill="1" applyBorder="1" applyAlignment="1">
      <alignment horizontal="left" vertical="center"/>
    </xf>
    <xf numFmtId="0" fontId="13" fillId="8" borderId="127" xfId="1" applyFont="1" applyFill="1" applyBorder="1" applyAlignment="1" applyProtection="1">
      <alignment vertical="center"/>
      <protection hidden="1"/>
    </xf>
    <xf numFmtId="0" fontId="81" fillId="8" borderId="56" xfId="5" applyFont="1" applyFill="1" applyBorder="1" applyAlignment="1">
      <alignment horizontal="left" vertical="center"/>
    </xf>
    <xf numFmtId="0" fontId="57" fillId="8" borderId="56" xfId="1" applyFont="1" applyFill="1" applyBorder="1" applyAlignment="1" applyProtection="1">
      <alignment horizontal="left" vertical="center"/>
      <protection locked="0"/>
    </xf>
    <xf numFmtId="0" fontId="101" fillId="8" borderId="128" xfId="21" applyFont="1" applyFill="1" applyBorder="1" applyAlignment="1">
      <alignment horizontal="center" vertical="center"/>
    </xf>
    <xf numFmtId="0" fontId="73" fillId="8" borderId="57" xfId="21" applyFont="1" applyFill="1" applyBorder="1" applyAlignment="1">
      <alignment vertical="center"/>
    </xf>
    <xf numFmtId="0" fontId="13" fillId="42" borderId="53" xfId="1" applyFont="1" applyFill="1" applyBorder="1" applyAlignment="1" applyProtection="1">
      <alignment horizontal="right" vertical="center"/>
      <protection hidden="1"/>
    </xf>
    <xf numFmtId="0" fontId="48" fillId="51" borderId="65" xfId="3" applyFont="1" applyFill="1" applyBorder="1" applyAlignment="1">
      <alignment horizontal="left" vertical="center"/>
    </xf>
    <xf numFmtId="0" fontId="48" fillId="51" borderId="21" xfId="3" applyFont="1" applyFill="1" applyBorder="1" applyAlignment="1">
      <alignment horizontal="right" vertical="center"/>
    </xf>
    <xf numFmtId="0" fontId="105" fillId="0" borderId="112" xfId="20" applyFont="1" applyBorder="1" applyAlignment="1">
      <alignment horizontal="center" vertical="center" wrapText="1"/>
    </xf>
    <xf numFmtId="0" fontId="107" fillId="0" borderId="112" xfId="20" applyFont="1" applyBorder="1" applyAlignment="1">
      <alignment horizontal="center" vertical="center"/>
    </xf>
    <xf numFmtId="0" fontId="107" fillId="21" borderId="112" xfId="20" applyFont="1" applyFill="1" applyBorder="1" applyAlignment="1">
      <alignment horizontal="center" vertical="center"/>
    </xf>
    <xf numFmtId="0" fontId="106" fillId="21" borderId="24" xfId="20" applyFont="1" applyFill="1" applyBorder="1" applyAlignment="1">
      <alignment horizontal="center" vertical="center"/>
    </xf>
    <xf numFmtId="0" fontId="62" fillId="21" borderId="24" xfId="20" applyFont="1" applyFill="1" applyBorder="1" applyAlignment="1">
      <alignment horizontal="center" vertical="center"/>
    </xf>
    <xf numFmtId="0" fontId="45" fillId="21" borderId="24" xfId="20" applyFont="1" applyFill="1" applyBorder="1" applyAlignment="1">
      <alignment horizontal="center" vertical="center"/>
    </xf>
    <xf numFmtId="0" fontId="48" fillId="44" borderId="62" xfId="20" applyFont="1" applyFill="1" applyBorder="1" applyAlignment="1">
      <alignment horizontal="center"/>
    </xf>
    <xf numFmtId="176" fontId="21" fillId="44" borderId="65" xfId="20" applyNumberFormat="1" applyFont="1" applyFill="1" applyBorder="1" applyAlignment="1">
      <alignment horizontal="center" vertical="top"/>
    </xf>
    <xf numFmtId="0" fontId="103" fillId="21" borderId="127" xfId="20" applyFont="1" applyFill="1" applyBorder="1" applyAlignment="1">
      <alignment horizontal="center" vertical="center"/>
    </xf>
    <xf numFmtId="0" fontId="21" fillId="8" borderId="62" xfId="4" applyFont="1" applyFill="1" applyBorder="1"/>
    <xf numFmtId="0" fontId="57" fillId="8" borderId="9" xfId="1" applyFont="1" applyFill="1" applyBorder="1" applyAlignment="1" applyProtection="1">
      <alignment vertical="center" wrapText="1"/>
      <protection locked="0"/>
    </xf>
    <xf numFmtId="0" fontId="21" fillId="8" borderId="6" xfId="4" applyFont="1" applyFill="1" applyBorder="1"/>
    <xf numFmtId="0" fontId="26" fillId="8" borderId="6" xfId="4" applyFont="1" applyFill="1" applyBorder="1"/>
    <xf numFmtId="0" fontId="10" fillId="17" borderId="6" xfId="1" applyFont="1" applyFill="1" applyBorder="1" applyAlignment="1">
      <alignment horizontal="center" vertical="center"/>
    </xf>
    <xf numFmtId="0" fontId="10" fillId="17" borderId="0" xfId="1" applyFont="1" applyFill="1" applyAlignment="1">
      <alignment horizontal="center" vertical="center"/>
    </xf>
    <xf numFmtId="0" fontId="10" fillId="17" borderId="9" xfId="1" applyFont="1" applyFill="1" applyBorder="1" applyAlignment="1">
      <alignment horizontal="center" vertical="center"/>
    </xf>
    <xf numFmtId="0" fontId="10" fillId="7" borderId="58" xfId="1" applyFont="1" applyFill="1" applyBorder="1" applyAlignment="1">
      <alignment horizontal="center" vertical="center"/>
    </xf>
    <xf numFmtId="0" fontId="10" fillId="7" borderId="3" xfId="1" applyFont="1" applyFill="1" applyBorder="1" applyAlignment="1">
      <alignment horizontal="center" vertical="center"/>
    </xf>
    <xf numFmtId="0" fontId="10" fillId="7" borderId="59" xfId="1" applyFont="1" applyFill="1" applyBorder="1" applyAlignment="1">
      <alignment horizontal="center" vertical="center"/>
    </xf>
    <xf numFmtId="0" fontId="10" fillId="7" borderId="0" xfId="3" applyFont="1" applyFill="1" applyAlignment="1">
      <alignment horizontal="center" vertical="center"/>
    </xf>
    <xf numFmtId="0" fontId="1" fillId="0" borderId="0" xfId="3" applyAlignment="1">
      <alignment vertical="center"/>
    </xf>
    <xf numFmtId="0" fontId="0" fillId="6" borderId="0" xfId="0" applyFill="1" applyAlignment="1">
      <alignment vertical="center"/>
    </xf>
    <xf numFmtId="0" fontId="5" fillId="6" borderId="0" xfId="3" applyFont="1" applyFill="1" applyAlignment="1">
      <alignment horizontal="center" vertical="center"/>
    </xf>
    <xf numFmtId="0" fontId="4" fillId="67" borderId="129" xfId="0" applyFont="1" applyFill="1" applyBorder="1" applyAlignment="1">
      <alignment horizontal="center" vertical="center" wrapText="1"/>
    </xf>
    <xf numFmtId="0" fontId="0" fillId="16" borderId="131" xfId="0" applyFill="1" applyBorder="1" applyAlignment="1">
      <alignment vertical="center"/>
    </xf>
    <xf numFmtId="0" fontId="24" fillId="15" borderId="132" xfId="1" applyFont="1" applyFill="1" applyBorder="1" applyAlignment="1">
      <alignment horizontal="left" vertical="center" wrapText="1"/>
    </xf>
    <xf numFmtId="0" fontId="41" fillId="15" borderId="131" xfId="1" applyFont="1" applyFill="1" applyBorder="1" applyAlignment="1">
      <alignment vertical="center"/>
    </xf>
    <xf numFmtId="0" fontId="88" fillId="16" borderId="131" xfId="0" applyFont="1" applyFill="1" applyBorder="1" applyAlignment="1">
      <alignment vertical="center"/>
    </xf>
    <xf numFmtId="0" fontId="21" fillId="16" borderId="131" xfId="5" applyFont="1" applyFill="1" applyBorder="1" applyAlignment="1">
      <alignment horizontal="left" vertical="center"/>
    </xf>
    <xf numFmtId="0" fontId="32" fillId="8" borderId="131" xfId="5" applyFont="1" applyFill="1" applyBorder="1" applyAlignment="1">
      <alignment vertical="center"/>
    </xf>
    <xf numFmtId="0" fontId="30" fillId="16" borderId="131" xfId="4" applyFont="1" applyFill="1" applyBorder="1" applyAlignment="1">
      <alignment horizontal="left" vertical="center"/>
    </xf>
    <xf numFmtId="0" fontId="32" fillId="16" borderId="131" xfId="1" applyFont="1" applyFill="1" applyBorder="1" applyAlignment="1">
      <alignment horizontal="left" vertical="center"/>
    </xf>
    <xf numFmtId="0" fontId="49" fillId="7" borderId="133" xfId="0" applyFont="1" applyFill="1" applyBorder="1" applyAlignment="1">
      <alignment horizontal="left" vertical="center"/>
    </xf>
    <xf numFmtId="0" fontId="0" fillId="15" borderId="134" xfId="0" applyFill="1" applyBorder="1" applyAlignment="1">
      <alignment horizontal="left" vertical="center" wrapText="1"/>
    </xf>
    <xf numFmtId="0" fontId="0" fillId="0" borderId="134" xfId="0" applyBorder="1" applyAlignment="1">
      <alignment horizontal="left" vertical="center" wrapText="1"/>
    </xf>
    <xf numFmtId="0" fontId="0" fillId="0" borderId="135" xfId="0" applyBorder="1" applyAlignment="1">
      <alignment horizontal="left" vertical="center"/>
    </xf>
    <xf numFmtId="0" fontId="0" fillId="0" borderId="131" xfId="0" applyBorder="1" applyAlignment="1">
      <alignment horizontal="left" vertical="center"/>
    </xf>
    <xf numFmtId="0" fontId="0" fillId="0" borderId="133" xfId="0" applyBorder="1" applyAlignment="1">
      <alignment horizontal="left" vertical="center"/>
    </xf>
    <xf numFmtId="0" fontId="0" fillId="17" borderId="131" xfId="0" applyFill="1" applyBorder="1" applyAlignment="1">
      <alignment vertical="center"/>
    </xf>
    <xf numFmtId="0" fontId="141" fillId="16" borderId="135" xfId="9" applyFont="1" applyFill="1" applyBorder="1" applyAlignment="1">
      <alignment horizontal="left" vertical="center"/>
    </xf>
    <xf numFmtId="0" fontId="24" fillId="18" borderId="131" xfId="8" applyFont="1" applyFill="1" applyBorder="1" applyAlignment="1">
      <alignment horizontal="left" vertical="center"/>
    </xf>
    <xf numFmtId="0" fontId="142" fillId="21" borderId="131" xfId="0" applyFont="1" applyFill="1" applyBorder="1" applyAlignment="1">
      <alignment vertical="center" wrapText="1"/>
    </xf>
    <xf numFmtId="0" fontId="143" fillId="18" borderId="131" xfId="8" applyFont="1" applyFill="1" applyBorder="1" applyAlignment="1">
      <alignment horizontal="left" vertical="center"/>
    </xf>
    <xf numFmtId="0" fontId="71" fillId="16" borderId="131" xfId="3" applyFont="1" applyFill="1" applyBorder="1" applyAlignment="1">
      <alignment horizontal="left" vertical="center"/>
    </xf>
    <xf numFmtId="0" fontId="71" fillId="16" borderId="133" xfId="3" applyFont="1" applyFill="1" applyBorder="1" applyAlignment="1">
      <alignment horizontal="left" vertical="center"/>
    </xf>
    <xf numFmtId="0" fontId="0" fillId="8" borderId="131" xfId="0" applyFill="1" applyBorder="1" applyAlignment="1">
      <alignment vertical="center"/>
    </xf>
    <xf numFmtId="0" fontId="39" fillId="16" borderId="131" xfId="1" applyFont="1" applyFill="1" applyBorder="1" applyAlignment="1">
      <alignment horizontal="left" vertical="center"/>
    </xf>
    <xf numFmtId="0" fontId="89" fillId="16" borderId="131" xfId="1" applyFont="1" applyFill="1" applyBorder="1" applyAlignment="1" applyProtection="1">
      <alignment horizontal="left" vertical="center"/>
      <protection locked="0"/>
    </xf>
    <xf numFmtId="0" fontId="71" fillId="16" borderId="131" xfId="0" applyFont="1" applyFill="1" applyBorder="1" applyAlignment="1">
      <alignment vertical="center"/>
    </xf>
    <xf numFmtId="0" fontId="88" fillId="16" borderId="135" xfId="3" applyFont="1" applyFill="1" applyBorder="1" applyAlignment="1">
      <alignment vertical="center"/>
    </xf>
    <xf numFmtId="0" fontId="13" fillId="16" borderId="131" xfId="1" quotePrefix="1" applyFont="1" applyFill="1" applyBorder="1" applyAlignment="1" applyProtection="1">
      <alignment vertical="center"/>
      <protection hidden="1"/>
    </xf>
    <xf numFmtId="0" fontId="0" fillId="7" borderId="131" xfId="0" applyFill="1" applyBorder="1"/>
    <xf numFmtId="0" fontId="88" fillId="16" borderId="131" xfId="3" applyFont="1" applyFill="1" applyBorder="1" applyAlignment="1">
      <alignment vertical="center"/>
    </xf>
    <xf numFmtId="0" fontId="16" fillId="9" borderId="136" xfId="3" applyFont="1" applyFill="1" applyBorder="1" applyAlignment="1">
      <alignment horizontal="center" vertical="center"/>
    </xf>
    <xf numFmtId="0" fontId="57" fillId="36" borderId="134" xfId="1" applyFont="1" applyFill="1" applyBorder="1" applyAlignment="1" applyProtection="1">
      <alignment horizontal="center" vertical="center"/>
      <protection hidden="1"/>
    </xf>
    <xf numFmtId="0" fontId="124" fillId="16" borderId="131" xfId="0" applyFont="1" applyFill="1" applyBorder="1" applyAlignment="1">
      <alignment horizontal="left" vertical="center"/>
    </xf>
    <xf numFmtId="0" fontId="72" fillId="7" borderId="131" xfId="0" applyFont="1" applyFill="1" applyBorder="1" applyAlignment="1">
      <alignment horizontal="left" vertical="center"/>
    </xf>
    <xf numFmtId="0" fontId="53" fillId="16" borderId="131" xfId="0" applyFont="1" applyFill="1" applyBorder="1" applyAlignment="1">
      <alignment horizontal="left" vertical="center"/>
    </xf>
    <xf numFmtId="0" fontId="126" fillId="16" borderId="131" xfId="0" applyFont="1" applyFill="1" applyBorder="1" applyAlignment="1">
      <alignment horizontal="left" vertical="center"/>
    </xf>
    <xf numFmtId="0" fontId="48" fillId="16" borderId="134" xfId="0" applyFont="1" applyFill="1" applyBorder="1" applyAlignment="1">
      <alignment horizontal="left" vertical="center"/>
    </xf>
    <xf numFmtId="0" fontId="0" fillId="16" borderId="135" xfId="0" applyFill="1" applyBorder="1" applyAlignment="1">
      <alignment vertical="center" wrapText="1"/>
    </xf>
    <xf numFmtId="0" fontId="0" fillId="16" borderId="133" xfId="0" applyFill="1" applyBorder="1" applyAlignment="1">
      <alignment vertical="center" wrapText="1"/>
    </xf>
    <xf numFmtId="0" fontId="26" fillId="17" borderId="135" xfId="6" applyFont="1" applyFill="1" applyBorder="1" applyAlignment="1">
      <alignment vertical="center"/>
    </xf>
    <xf numFmtId="1" fontId="59" fillId="21" borderId="137" xfId="1" applyNumberFormat="1" applyFont="1" applyFill="1" applyBorder="1" applyAlignment="1">
      <alignment horizontal="left" vertical="center"/>
    </xf>
    <xf numFmtId="1" fontId="59" fillId="21" borderId="138" xfId="1" applyNumberFormat="1" applyFont="1" applyFill="1" applyBorder="1" applyAlignment="1">
      <alignment horizontal="left" vertical="center"/>
    </xf>
    <xf numFmtId="0" fontId="48" fillId="8" borderId="131" xfId="9" applyFont="1" applyFill="1" applyBorder="1" applyAlignment="1">
      <alignment horizontal="left" vertical="center"/>
    </xf>
    <xf numFmtId="0" fontId="43" fillId="8" borderId="137" xfId="9" applyFont="1" applyFill="1" applyBorder="1" applyAlignment="1">
      <alignment horizontal="left" vertical="center"/>
    </xf>
    <xf numFmtId="0" fontId="35" fillId="16" borderId="131" xfId="0" applyFont="1" applyFill="1" applyBorder="1" applyAlignment="1">
      <alignment vertical="center"/>
    </xf>
    <xf numFmtId="0" fontId="64" fillId="16" borderId="131" xfId="1" applyFont="1" applyFill="1" applyBorder="1" applyAlignment="1" applyProtection="1">
      <alignment horizontal="left" vertical="center"/>
      <protection locked="0"/>
    </xf>
    <xf numFmtId="0" fontId="76" fillId="16" borderId="131" xfId="1" applyFont="1" applyFill="1" applyBorder="1" applyAlignment="1">
      <alignment horizontal="left" vertical="center"/>
    </xf>
    <xf numFmtId="1" fontId="59" fillId="58" borderId="139" xfId="1" applyNumberFormat="1" applyFont="1" applyFill="1" applyBorder="1" applyAlignment="1">
      <alignment horizontal="left" vertical="center" wrapText="1"/>
    </xf>
    <xf numFmtId="0" fontId="144" fillId="0" borderId="140" xfId="0" applyFont="1" applyBorder="1" applyAlignment="1">
      <alignment vertical="center" wrapText="1"/>
    </xf>
    <xf numFmtId="0" fontId="0" fillId="0" borderId="133" xfId="0" applyBorder="1" applyAlignment="1">
      <alignment vertical="center" wrapText="1"/>
    </xf>
    <xf numFmtId="0" fontId="1" fillId="16" borderId="131" xfId="3" applyFill="1" applyBorder="1" applyAlignment="1">
      <alignment vertical="center"/>
    </xf>
    <xf numFmtId="0" fontId="57" fillId="16" borderId="131" xfId="1" quotePrefix="1" applyFont="1" applyFill="1" applyBorder="1" applyAlignment="1" applyProtection="1">
      <alignment vertical="center"/>
      <protection hidden="1"/>
    </xf>
    <xf numFmtId="0" fontId="35" fillId="16" borderId="133" xfId="0" applyFont="1" applyFill="1" applyBorder="1" applyAlignment="1">
      <alignment vertical="center"/>
    </xf>
    <xf numFmtId="0" fontId="34" fillId="16" borderId="135" xfId="9" applyFont="1" applyFill="1" applyBorder="1" applyAlignment="1">
      <alignment horizontal="left" vertical="center"/>
    </xf>
    <xf numFmtId="0" fontId="34" fillId="16" borderId="131" xfId="1" applyFont="1" applyFill="1" applyBorder="1" applyAlignment="1">
      <alignment horizontal="left" vertical="center"/>
    </xf>
    <xf numFmtId="0" fontId="73" fillId="16" borderId="131" xfId="9" applyFont="1" applyFill="1" applyBorder="1" applyAlignment="1">
      <alignment horizontal="left" vertical="center"/>
    </xf>
    <xf numFmtId="0" fontId="77" fillId="16" borderId="133" xfId="1" applyFont="1" applyFill="1" applyBorder="1" applyAlignment="1">
      <alignment horizontal="left" vertical="center"/>
    </xf>
    <xf numFmtId="0" fontId="0" fillId="18" borderId="135" xfId="0" applyFill="1" applyBorder="1" applyAlignment="1">
      <alignment vertical="center" wrapText="1"/>
    </xf>
    <xf numFmtId="0" fontId="0" fillId="18" borderId="131" xfId="0" applyFill="1" applyBorder="1" applyAlignment="1">
      <alignment vertical="center" wrapText="1"/>
    </xf>
    <xf numFmtId="0" fontId="39" fillId="0" borderId="131" xfId="1" applyFont="1" applyBorder="1" applyAlignment="1">
      <alignment horizontal="left" vertical="center"/>
    </xf>
    <xf numFmtId="0" fontId="0" fillId="7" borderId="131" xfId="0" applyFill="1" applyBorder="1" applyAlignment="1">
      <alignment vertical="center" wrapText="1"/>
    </xf>
    <xf numFmtId="0" fontId="0" fillId="0" borderId="131" xfId="0" applyBorder="1" applyAlignment="1">
      <alignment vertical="center" wrapText="1"/>
    </xf>
    <xf numFmtId="0" fontId="0" fillId="8" borderId="133" xfId="0" applyFill="1" applyBorder="1" applyAlignment="1">
      <alignment vertical="center"/>
    </xf>
    <xf numFmtId="0" fontId="48" fillId="8" borderId="134" xfId="9" applyFont="1" applyFill="1" applyBorder="1" applyAlignment="1">
      <alignment horizontal="center" vertical="center"/>
    </xf>
    <xf numFmtId="0" fontId="43" fillId="8" borderId="141" xfId="9" applyFont="1" applyFill="1" applyBorder="1" applyAlignment="1">
      <alignment horizontal="left" vertical="center"/>
    </xf>
    <xf numFmtId="0" fontId="0" fillId="26" borderId="135" xfId="0" applyFill="1" applyBorder="1" applyAlignment="1">
      <alignment vertical="center"/>
    </xf>
    <xf numFmtId="0" fontId="53" fillId="21" borderId="131" xfId="0" applyFont="1" applyFill="1" applyBorder="1" applyAlignment="1">
      <alignment vertical="center"/>
    </xf>
    <xf numFmtId="0" fontId="0" fillId="26" borderId="133" xfId="0" applyFill="1" applyBorder="1" applyAlignment="1">
      <alignment vertical="center"/>
    </xf>
    <xf numFmtId="0" fontId="62" fillId="21" borderId="134" xfId="0" applyFont="1" applyFill="1" applyBorder="1" applyAlignment="1">
      <alignment vertical="center" wrapText="1"/>
    </xf>
    <xf numFmtId="0" fontId="145" fillId="16" borderId="131" xfId="3" applyFont="1" applyFill="1" applyBorder="1" applyAlignment="1">
      <alignment vertical="center"/>
    </xf>
    <xf numFmtId="0" fontId="109" fillId="16" borderId="131" xfId="3" applyFont="1" applyFill="1" applyBorder="1" applyAlignment="1">
      <alignment vertical="center"/>
    </xf>
    <xf numFmtId="0" fontId="115" fillId="21" borderId="142" xfId="0" applyFont="1" applyFill="1" applyBorder="1" applyAlignment="1">
      <alignment horizontal="center" vertical="center"/>
    </xf>
    <xf numFmtId="0" fontId="113" fillId="16" borderId="131" xfId="0" applyFont="1" applyFill="1" applyBorder="1" applyAlignment="1">
      <alignment horizontal="left" vertical="center"/>
    </xf>
    <xf numFmtId="0" fontId="24" fillId="25" borderId="143" xfId="1" applyFont="1" applyFill="1" applyBorder="1" applyAlignment="1">
      <alignment horizontal="center" vertical="center"/>
    </xf>
    <xf numFmtId="0" fontId="24" fillId="25" borderId="131" xfId="1" applyFont="1" applyFill="1" applyBorder="1" applyAlignment="1">
      <alignment horizontal="center" vertical="center"/>
    </xf>
    <xf numFmtId="0" fontId="57" fillId="8" borderId="133" xfId="11" applyFont="1" applyFill="1" applyBorder="1" applyAlignment="1">
      <alignment horizontal="center" vertical="center"/>
    </xf>
    <xf numFmtId="0" fontId="72" fillId="8" borderId="135" xfId="3" applyFont="1" applyFill="1" applyBorder="1" applyAlignment="1">
      <alignment vertical="center"/>
    </xf>
    <xf numFmtId="0" fontId="72" fillId="8" borderId="131" xfId="3" applyFont="1" applyFill="1" applyBorder="1" applyAlignment="1">
      <alignment vertical="center"/>
    </xf>
    <xf numFmtId="0" fontId="72" fillId="0" borderId="133" xfId="0" applyFont="1" applyBorder="1" applyAlignment="1">
      <alignment vertical="center"/>
    </xf>
    <xf numFmtId="0" fontId="60" fillId="0" borderId="134" xfId="0" applyFont="1" applyBorder="1" applyAlignment="1">
      <alignment vertical="center"/>
    </xf>
    <xf numFmtId="0" fontId="0" fillId="0" borderId="135" xfId="0" applyBorder="1" applyAlignment="1">
      <alignment vertical="center"/>
    </xf>
    <xf numFmtId="0" fontId="146" fillId="0" borderId="131" xfId="0" applyFont="1" applyBorder="1" applyAlignment="1">
      <alignment vertical="center"/>
    </xf>
    <xf numFmtId="0" fontId="62" fillId="26" borderId="131" xfId="0" applyFont="1" applyFill="1" applyBorder="1" applyAlignment="1">
      <alignment vertical="center"/>
    </xf>
    <xf numFmtId="0" fontId="62" fillId="26" borderId="133" xfId="0" applyFont="1" applyFill="1" applyBorder="1" applyAlignment="1">
      <alignment vertical="center"/>
    </xf>
    <xf numFmtId="0" fontId="147" fillId="0" borderId="135" xfId="0" applyFont="1" applyBorder="1" applyAlignment="1">
      <alignment vertical="center"/>
    </xf>
    <xf numFmtId="0" fontId="110" fillId="8" borderId="131" xfId="22" applyFont="1" applyFill="1" applyBorder="1" applyAlignment="1">
      <alignment vertical="center"/>
    </xf>
    <xf numFmtId="0" fontId="88" fillId="8" borderId="131" xfId="3" applyFont="1" applyFill="1" applyBorder="1" applyAlignment="1">
      <alignment vertical="center"/>
    </xf>
    <xf numFmtId="0" fontId="35" fillId="8" borderId="131" xfId="1" applyFont="1" applyFill="1" applyBorder="1" applyAlignment="1">
      <alignment horizontal="left" vertical="center"/>
    </xf>
    <xf numFmtId="0" fontId="35" fillId="8" borderId="131" xfId="22" applyFont="1" applyFill="1" applyBorder="1" applyAlignment="1">
      <alignment vertical="center"/>
    </xf>
    <xf numFmtId="0" fontId="119" fillId="8" borderId="131" xfId="5" applyFont="1" applyFill="1" applyBorder="1" applyAlignment="1">
      <alignment horizontal="left" vertical="center"/>
    </xf>
    <xf numFmtId="0" fontId="120" fillId="28" borderId="131" xfId="1" applyFont="1" applyFill="1" applyBorder="1" applyAlignment="1" applyProtection="1">
      <alignment vertical="center"/>
      <protection hidden="1"/>
    </xf>
    <xf numFmtId="0" fontId="74" fillId="8" borderId="131" xfId="1" applyFont="1" applyFill="1" applyBorder="1" applyAlignment="1">
      <alignment vertical="center"/>
    </xf>
    <xf numFmtId="0" fontId="74" fillId="8" borderId="131" xfId="1" applyFont="1" applyFill="1" applyBorder="1" applyAlignment="1" applyProtection="1">
      <alignment horizontal="left" vertical="center"/>
      <protection locked="0"/>
    </xf>
    <xf numFmtId="1" fontId="57" fillId="8" borderId="131" xfId="1" applyNumberFormat="1" applyFont="1" applyFill="1" applyBorder="1" applyAlignment="1" applyProtection="1">
      <alignment vertical="center" wrapText="1"/>
      <protection hidden="1"/>
    </xf>
    <xf numFmtId="0" fontId="71" fillId="8" borderId="131" xfId="3" applyFont="1" applyFill="1" applyBorder="1" applyAlignment="1">
      <alignment vertical="center"/>
    </xf>
    <xf numFmtId="0" fontId="74" fillId="8" borderId="131" xfId="22" applyFont="1" applyFill="1" applyBorder="1" applyAlignment="1">
      <alignment vertical="center"/>
    </xf>
    <xf numFmtId="0" fontId="64" fillId="61" borderId="131" xfId="1" applyFont="1" applyFill="1" applyBorder="1" applyAlignment="1" applyProtection="1">
      <alignment horizontal="left" vertical="center"/>
      <protection hidden="1"/>
    </xf>
    <xf numFmtId="0" fontId="22" fillId="19" borderId="131" xfId="1" applyFont="1" applyFill="1" applyBorder="1" applyAlignment="1" applyProtection="1">
      <alignment horizontal="left" vertical="center"/>
      <protection hidden="1"/>
    </xf>
    <xf numFmtId="0" fontId="113" fillId="8" borderId="131" xfId="1" applyFont="1" applyFill="1" applyBorder="1" applyAlignment="1" applyProtection="1">
      <alignment horizontal="left" vertical="center"/>
      <protection locked="0"/>
    </xf>
    <xf numFmtId="0" fontId="13" fillId="8" borderId="131" xfId="1" applyFont="1" applyFill="1" applyBorder="1" applyAlignment="1" applyProtection="1">
      <alignment horizontal="left" vertical="center"/>
      <protection locked="0"/>
    </xf>
    <xf numFmtId="0" fontId="113" fillId="21" borderId="131" xfId="1" applyFont="1" applyFill="1" applyBorder="1" applyAlignment="1">
      <alignment horizontal="left" vertical="center" wrapText="1"/>
    </xf>
    <xf numFmtId="0" fontId="21" fillId="8" borderId="131" xfId="1" applyFont="1" applyFill="1" applyBorder="1" applyAlignment="1">
      <alignment horizontal="left" vertical="center"/>
    </xf>
    <xf numFmtId="0" fontId="0" fillId="8" borderId="144" xfId="0" applyFill="1" applyBorder="1" applyAlignment="1">
      <alignment vertical="center"/>
    </xf>
    <xf numFmtId="0" fontId="130" fillId="63" borderId="136" xfId="3" applyFont="1" applyFill="1" applyBorder="1" applyAlignment="1">
      <alignment vertical="center"/>
    </xf>
    <xf numFmtId="0" fontId="13" fillId="8" borderId="135" xfId="1" applyFont="1" applyFill="1" applyBorder="1" applyAlignment="1" applyProtection="1">
      <alignment vertical="center"/>
      <protection hidden="1"/>
    </xf>
    <xf numFmtId="0" fontId="104" fillId="8" borderId="131" xfId="0" applyFont="1" applyFill="1" applyBorder="1" applyAlignment="1">
      <alignment vertical="center"/>
    </xf>
    <xf numFmtId="0" fontId="0" fillId="26" borderId="131" xfId="0" applyFill="1" applyBorder="1" applyAlignment="1">
      <alignment vertical="center"/>
    </xf>
    <xf numFmtId="0" fontId="148" fillId="0" borderId="133" xfId="0" applyFont="1" applyBorder="1" applyAlignment="1">
      <alignment vertical="center"/>
    </xf>
    <xf numFmtId="0" fontId="13" fillId="41" borderId="131" xfId="1" applyFont="1" applyFill="1" applyBorder="1" applyAlignment="1" applyProtection="1">
      <alignment vertical="center"/>
      <protection hidden="1"/>
    </xf>
    <xf numFmtId="0" fontId="0" fillId="8" borderId="135" xfId="0" applyFill="1" applyBorder="1" applyAlignment="1">
      <alignment vertical="center"/>
    </xf>
    <xf numFmtId="0" fontId="4" fillId="8" borderId="133" xfId="0" applyFont="1" applyFill="1" applyBorder="1" applyAlignment="1">
      <alignment vertical="center"/>
    </xf>
    <xf numFmtId="0" fontId="4" fillId="7" borderId="134" xfId="0" applyFont="1" applyFill="1" applyBorder="1" applyAlignment="1">
      <alignment vertical="center"/>
    </xf>
    <xf numFmtId="0" fontId="3" fillId="8" borderId="135" xfId="0" applyFont="1" applyFill="1" applyBorder="1" applyAlignment="1">
      <alignment vertical="center"/>
    </xf>
    <xf numFmtId="0" fontId="147" fillId="21" borderId="131" xfId="0" applyFont="1" applyFill="1" applyBorder="1" applyAlignment="1">
      <alignment vertical="center"/>
    </xf>
    <xf numFmtId="0" fontId="4" fillId="8" borderId="131" xfId="0" applyFont="1" applyFill="1" applyBorder="1" applyAlignment="1">
      <alignment vertical="center"/>
    </xf>
    <xf numFmtId="0" fontId="88" fillId="8" borderId="135" xfId="0" applyFont="1" applyFill="1" applyBorder="1" applyAlignment="1">
      <alignment vertical="center"/>
    </xf>
    <xf numFmtId="0" fontId="58" fillId="8" borderId="131" xfId="0" applyFont="1" applyFill="1" applyBorder="1" applyAlignment="1">
      <alignment vertical="center"/>
    </xf>
    <xf numFmtId="0" fontId="137" fillId="8" borderId="131" xfId="0" applyFont="1" applyFill="1" applyBorder="1" applyAlignment="1">
      <alignment vertical="center"/>
    </xf>
    <xf numFmtId="0" fontId="72" fillId="8" borderId="131" xfId="0" applyFont="1" applyFill="1" applyBorder="1" applyAlignment="1">
      <alignment vertical="center"/>
    </xf>
    <xf numFmtId="0" fontId="112" fillId="8" borderId="131" xfId="0" applyFont="1" applyFill="1" applyBorder="1" applyAlignment="1">
      <alignment vertical="center"/>
    </xf>
    <xf numFmtId="0" fontId="91" fillId="50" borderId="131" xfId="1" applyFont="1" applyFill="1" applyBorder="1" applyAlignment="1" applyProtection="1">
      <alignment vertical="center"/>
      <protection hidden="1"/>
    </xf>
    <xf numFmtId="0" fontId="57" fillId="8" borderId="131" xfId="8" applyFont="1" applyFill="1" applyBorder="1" applyAlignment="1">
      <alignment horizontal="left" vertical="center"/>
    </xf>
    <xf numFmtId="0" fontId="1" fillId="8" borderId="133" xfId="4" applyFill="1" applyBorder="1" applyAlignment="1">
      <alignment horizontal="left" vertical="center"/>
    </xf>
    <xf numFmtId="0" fontId="13" fillId="17" borderId="135" xfId="6" applyFont="1" applyFill="1" applyBorder="1" applyAlignment="1">
      <alignment vertical="center"/>
    </xf>
    <xf numFmtId="0" fontId="5" fillId="43" borderId="135" xfId="0" applyFont="1" applyFill="1" applyBorder="1" applyAlignment="1">
      <alignment vertical="center"/>
    </xf>
    <xf numFmtId="0" fontId="0" fillId="0" borderId="131" xfId="0" applyBorder="1" applyAlignment="1">
      <alignment vertical="center"/>
    </xf>
    <xf numFmtId="0" fontId="72" fillId="42" borderId="135" xfId="0" applyFont="1" applyFill="1" applyBorder="1" applyAlignment="1">
      <alignment vertical="center"/>
    </xf>
    <xf numFmtId="0" fontId="149" fillId="8" borderId="131" xfId="0" applyFont="1" applyFill="1" applyBorder="1" applyAlignment="1">
      <alignment vertical="center"/>
    </xf>
    <xf numFmtId="0" fontId="13" fillId="41" borderId="145" xfId="1" applyFont="1" applyFill="1" applyBorder="1" applyAlignment="1" applyProtection="1">
      <alignment vertical="center"/>
      <protection hidden="1"/>
    </xf>
    <xf numFmtId="0" fontId="5" fillId="43" borderId="134" xfId="0" applyFont="1" applyFill="1" applyBorder="1" applyAlignment="1">
      <alignment vertical="center"/>
    </xf>
    <xf numFmtId="0" fontId="68" fillId="8" borderId="131" xfId="0" applyFont="1" applyFill="1" applyBorder="1" applyAlignment="1">
      <alignment vertical="center"/>
    </xf>
    <xf numFmtId="0" fontId="76" fillId="8" borderId="131" xfId="5" applyFont="1" applyFill="1" applyBorder="1" applyAlignment="1" applyProtection="1">
      <alignment vertical="center"/>
      <protection locked="0"/>
    </xf>
    <xf numFmtId="0" fontId="13" fillId="8" borderId="131" xfId="1" applyFont="1" applyFill="1" applyBorder="1" applyAlignment="1" applyProtection="1">
      <alignment vertical="center"/>
      <protection hidden="1"/>
    </xf>
    <xf numFmtId="0" fontId="72" fillId="42" borderId="134" xfId="0" applyFont="1" applyFill="1" applyBorder="1" applyAlignment="1">
      <alignment vertical="center"/>
    </xf>
    <xf numFmtId="0" fontId="45" fillId="8" borderId="131" xfId="0" applyFont="1" applyFill="1" applyBorder="1" applyAlignment="1">
      <alignment vertical="center"/>
    </xf>
    <xf numFmtId="0" fontId="150" fillId="8" borderId="133" xfId="0" applyFont="1" applyFill="1" applyBorder="1" applyAlignment="1">
      <alignment vertical="center"/>
    </xf>
    <xf numFmtId="0" fontId="151" fillId="8" borderId="131" xfId="0" applyFont="1" applyFill="1" applyBorder="1" applyAlignment="1">
      <alignment vertical="center"/>
    </xf>
    <xf numFmtId="0" fontId="106" fillId="8" borderId="131" xfId="0" applyFont="1" applyFill="1" applyBorder="1" applyAlignment="1">
      <alignment vertical="center"/>
    </xf>
    <xf numFmtId="0" fontId="62" fillId="8" borderId="131" xfId="0" applyFont="1" applyFill="1" applyBorder="1" applyAlignment="1">
      <alignment vertical="center"/>
    </xf>
    <xf numFmtId="0" fontId="72" fillId="0" borderId="146" xfId="0" applyFont="1" applyBorder="1" applyAlignment="1">
      <alignment vertical="center"/>
    </xf>
    <xf numFmtId="0" fontId="0" fillId="0" borderId="0" xfId="0" applyAlignment="1">
      <alignment vertical="center"/>
    </xf>
    <xf numFmtId="0" fontId="24" fillId="8" borderId="0" xfId="1" applyFont="1" applyFill="1" applyAlignment="1">
      <alignment vertical="center"/>
    </xf>
    <xf numFmtId="0" fontId="10" fillId="7" borderId="0" xfId="1" applyFont="1" applyFill="1" applyAlignment="1">
      <alignment horizontal="center" vertical="center"/>
    </xf>
    <xf numFmtId="0" fontId="5" fillId="68" borderId="0" xfId="0" applyFont="1" applyFill="1" applyAlignment="1">
      <alignment horizontal="centerContinuous" vertical="center"/>
    </xf>
    <xf numFmtId="0" fontId="1" fillId="0" borderId="0" xfId="3"/>
    <xf numFmtId="0" fontId="152" fillId="16" borderId="0" xfId="6" applyFont="1" applyFill="1" applyAlignment="1">
      <alignment horizontal="center" vertical="center"/>
    </xf>
    <xf numFmtId="0" fontId="153" fillId="16" borderId="0" xfId="1" applyFont="1" applyFill="1" applyAlignment="1">
      <alignment horizontal="center" vertical="center"/>
    </xf>
    <xf numFmtId="0" fontId="26" fillId="16" borderId="0" xfId="26" applyFont="1" applyFill="1" applyAlignment="1">
      <alignment vertical="center"/>
    </xf>
    <xf numFmtId="0" fontId="26" fillId="16" borderId="0" xfId="3" applyFont="1" applyFill="1" applyAlignment="1">
      <alignment horizontal="left" vertical="center"/>
    </xf>
    <xf numFmtId="0" fontId="1" fillId="16" borderId="0" xfId="3" applyFill="1"/>
    <xf numFmtId="0" fontId="154" fillId="16" borderId="6" xfId="1" applyFont="1" applyFill="1" applyBorder="1" applyAlignment="1">
      <alignment vertical="center"/>
    </xf>
    <xf numFmtId="0" fontId="36" fillId="7" borderId="2" xfId="0" applyFont="1" applyFill="1" applyBorder="1" applyAlignment="1">
      <alignment horizontal="center" vertical="center"/>
    </xf>
    <xf numFmtId="0" fontId="36" fillId="7" borderId="0" xfId="0" applyFont="1" applyFill="1" applyAlignment="1">
      <alignment horizontal="center" vertical="center"/>
    </xf>
    <xf numFmtId="171" fontId="36" fillId="7" borderId="0" xfId="0" applyNumberFormat="1" applyFont="1" applyFill="1" applyAlignment="1">
      <alignment horizontal="center" vertical="center"/>
    </xf>
    <xf numFmtId="0" fontId="21" fillId="16" borderId="9" xfId="1" applyFont="1" applyFill="1" applyBorder="1" applyAlignment="1">
      <alignment horizontal="center" vertical="center"/>
    </xf>
    <xf numFmtId="0" fontId="21" fillId="16" borderId="6" xfId="1" applyFont="1" applyFill="1" applyBorder="1" applyAlignment="1">
      <alignment horizontal="center" vertical="center"/>
    </xf>
    <xf numFmtId="0" fontId="26" fillId="16" borderId="0" xfId="26" applyFont="1" applyFill="1" applyAlignment="1">
      <alignment horizontal="left" vertical="center"/>
    </xf>
    <xf numFmtId="0" fontId="162" fillId="16" borderId="0" xfId="17" applyFont="1" applyFill="1" applyBorder="1" applyAlignment="1">
      <alignment horizontal="left" vertical="center"/>
    </xf>
    <xf numFmtId="0" fontId="67" fillId="0" borderId="0" xfId="1" applyFont="1" applyAlignment="1">
      <alignment horizontal="center" vertical="center"/>
    </xf>
    <xf numFmtId="0" fontId="46" fillId="0" borderId="0" xfId="1" applyFont="1" applyAlignment="1">
      <alignment horizontal="center" vertical="center"/>
    </xf>
    <xf numFmtId="0" fontId="14" fillId="6" borderId="0" xfId="1" applyFont="1" applyFill="1" applyAlignment="1">
      <alignment horizontal="left" vertical="center"/>
    </xf>
    <xf numFmtId="0" fontId="4" fillId="8" borderId="0" xfId="3" applyFont="1" applyFill="1" applyAlignment="1">
      <alignment vertical="center"/>
    </xf>
    <xf numFmtId="0" fontId="88" fillId="17" borderId="0" xfId="0" applyFont="1" applyFill="1" applyAlignment="1">
      <alignment vertical="center"/>
    </xf>
    <xf numFmtId="0" fontId="166" fillId="8" borderId="0" xfId="0" applyFont="1" applyFill="1" applyAlignment="1">
      <alignment vertical="center" wrapText="1"/>
    </xf>
    <xf numFmtId="0" fontId="167" fillId="8" borderId="0" xfId="0" applyFont="1" applyFill="1" applyAlignment="1">
      <alignment vertical="center"/>
    </xf>
    <xf numFmtId="0" fontId="87" fillId="8" borderId="0" xfId="17" applyFill="1" applyAlignment="1">
      <alignment vertical="center" wrapText="1"/>
    </xf>
    <xf numFmtId="0" fontId="87" fillId="8" borderId="0" xfId="17" applyFill="1" applyAlignment="1">
      <alignment vertical="center"/>
    </xf>
    <xf numFmtId="0" fontId="168" fillId="5" borderId="2" xfId="2" applyFont="1" applyFill="1" applyBorder="1" applyAlignment="1">
      <alignment horizontal="center" vertical="center"/>
    </xf>
    <xf numFmtId="0" fontId="168" fillId="6" borderId="2" xfId="2" applyFont="1" applyFill="1" applyBorder="1" applyAlignment="1">
      <alignment horizontal="center" vertical="center"/>
    </xf>
    <xf numFmtId="0" fontId="30" fillId="8" borderId="0" xfId="6" applyFont="1" applyFill="1" applyAlignment="1">
      <alignment horizontal="center" vertical="center"/>
    </xf>
    <xf numFmtId="0" fontId="26" fillId="65" borderId="0" xfId="14" applyFont="1" applyFill="1" applyAlignment="1">
      <alignment horizontal="center" vertical="center"/>
    </xf>
    <xf numFmtId="0" fontId="150" fillId="8" borderId="0" xfId="0" applyFont="1" applyFill="1" applyAlignment="1">
      <alignment vertical="center"/>
    </xf>
    <xf numFmtId="0" fontId="4" fillId="8" borderId="0" xfId="3" applyFont="1" applyFill="1" applyAlignment="1">
      <alignment horizontal="right"/>
    </xf>
    <xf numFmtId="0" fontId="26" fillId="15" borderId="8" xfId="3" applyFont="1" applyFill="1" applyBorder="1" applyAlignment="1">
      <alignment horizontal="center" vertical="center" wrapText="1"/>
    </xf>
    <xf numFmtId="0" fontId="57" fillId="8" borderId="0" xfId="29" applyFont="1" applyFill="1" applyAlignment="1" applyProtection="1">
      <alignment vertical="center"/>
      <protection locked="0"/>
    </xf>
    <xf numFmtId="0" fontId="49" fillId="15" borderId="9" xfId="3" applyFont="1" applyFill="1" applyBorder="1" applyAlignment="1">
      <alignment horizontal="right" vertical="center" wrapText="1"/>
    </xf>
    <xf numFmtId="0" fontId="72" fillId="8" borderId="0" xfId="0" applyFont="1" applyFill="1" applyAlignment="1">
      <alignment horizontal="right" vertical="center"/>
    </xf>
    <xf numFmtId="0" fontId="35" fillId="22" borderId="0" xfId="1" applyFont="1" applyFill="1" applyAlignment="1">
      <alignment vertical="center"/>
    </xf>
    <xf numFmtId="0" fontId="0" fillId="22" borderId="0" xfId="0" applyFill="1"/>
    <xf numFmtId="0" fontId="26" fillId="72" borderId="8" xfId="3" applyFont="1" applyFill="1" applyBorder="1" applyAlignment="1">
      <alignment horizontal="center" vertical="center" wrapText="1"/>
    </xf>
    <xf numFmtId="0" fontId="165" fillId="8" borderId="0" xfId="1" applyFont="1" applyFill="1" applyAlignment="1">
      <alignment vertical="center" wrapText="1"/>
    </xf>
    <xf numFmtId="0" fontId="49" fillId="72" borderId="9" xfId="3" applyFont="1" applyFill="1" applyBorder="1" applyAlignment="1">
      <alignment horizontal="right" vertical="center" wrapText="1"/>
    </xf>
    <xf numFmtId="0" fontId="57" fillId="8" borderId="0" xfId="1" applyFont="1" applyFill="1" applyAlignment="1">
      <alignment horizontal="left"/>
    </xf>
    <xf numFmtId="0" fontId="57" fillId="8" borderId="0" xfId="1" applyFont="1" applyFill="1" applyAlignment="1">
      <alignment horizontal="center"/>
    </xf>
    <xf numFmtId="0" fontId="5" fillId="0" borderId="0" xfId="3" applyFont="1"/>
    <xf numFmtId="0" fontId="13" fillId="8" borderId="0" xfId="6" applyFont="1" applyFill="1"/>
    <xf numFmtId="0" fontId="35" fillId="8" borderId="154" xfId="3" applyFont="1" applyFill="1" applyBorder="1"/>
    <xf numFmtId="0" fontId="48" fillId="8" borderId="32" xfId="6" applyFont="1" applyFill="1" applyBorder="1" applyAlignment="1">
      <alignment vertical="center"/>
    </xf>
    <xf numFmtId="0" fontId="48" fillId="8" borderId="33" xfId="6" applyFont="1" applyFill="1" applyBorder="1" applyAlignment="1">
      <alignment vertical="center"/>
    </xf>
    <xf numFmtId="0" fontId="91" fillId="81" borderId="155" xfId="6" applyFont="1" applyFill="1" applyBorder="1" applyAlignment="1">
      <alignment horizontal="center" vertical="center"/>
    </xf>
    <xf numFmtId="0" fontId="91" fillId="81" borderId="156" xfId="6" applyFont="1" applyFill="1" applyBorder="1" applyAlignment="1">
      <alignment horizontal="center" vertical="center"/>
    </xf>
    <xf numFmtId="0" fontId="4" fillId="8" borderId="0" xfId="0" applyFont="1" applyFill="1" applyAlignment="1">
      <alignment horizontal="left" vertical="center"/>
    </xf>
    <xf numFmtId="0" fontId="4" fillId="0" borderId="0" xfId="0" applyFont="1" applyAlignment="1">
      <alignment horizontal="left" vertical="center"/>
    </xf>
    <xf numFmtId="0" fontId="57" fillId="8" borderId="0" xfId="6" applyFont="1" applyFill="1" applyAlignment="1">
      <alignment horizontal="right" vertical="center"/>
    </xf>
    <xf numFmtId="0" fontId="88" fillId="8" borderId="0" xfId="3" applyFont="1" applyFill="1" applyAlignment="1">
      <alignment horizontal="right" vertical="center"/>
    </xf>
    <xf numFmtId="0" fontId="36" fillId="7" borderId="0" xfId="0" applyFont="1" applyFill="1" applyAlignment="1">
      <alignment vertical="center"/>
    </xf>
    <xf numFmtId="0" fontId="0" fillId="7" borderId="0" xfId="0" applyFill="1" applyAlignment="1">
      <alignment vertical="center"/>
    </xf>
    <xf numFmtId="0" fontId="71" fillId="7" borderId="0" xfId="0" applyFont="1" applyFill="1" applyAlignment="1">
      <alignment horizontal="center" vertical="center"/>
    </xf>
    <xf numFmtId="165" fontId="48" fillId="7" borderId="38" xfId="1" applyNumberFormat="1" applyFont="1" applyFill="1" applyBorder="1" applyAlignment="1">
      <alignment horizontal="center" vertical="center"/>
    </xf>
    <xf numFmtId="171" fontId="121" fillId="44" borderId="40" xfId="0" applyNumberFormat="1" applyFont="1" applyFill="1" applyBorder="1" applyAlignment="1">
      <alignment horizontal="center" vertical="center"/>
    </xf>
    <xf numFmtId="171" fontId="121" fillId="44" borderId="41" xfId="0" applyNumberFormat="1" applyFont="1" applyFill="1" applyBorder="1" applyAlignment="1">
      <alignment horizontal="center" vertical="center"/>
    </xf>
    <xf numFmtId="0" fontId="121" fillId="44" borderId="41" xfId="0" applyFont="1" applyFill="1" applyBorder="1" applyAlignment="1">
      <alignment horizontal="center" vertical="center"/>
    </xf>
    <xf numFmtId="172" fontId="121" fillId="44" borderId="41" xfId="0" applyNumberFormat="1" applyFont="1" applyFill="1" applyBorder="1" applyAlignment="1">
      <alignment horizontal="center" vertical="center"/>
    </xf>
    <xf numFmtId="172" fontId="121" fillId="44" borderId="42" xfId="0" applyNumberFormat="1" applyFont="1" applyFill="1" applyBorder="1" applyAlignment="1">
      <alignment horizontal="center" vertical="center"/>
    </xf>
    <xf numFmtId="171" fontId="121" fillId="44" borderId="44" xfId="0" applyNumberFormat="1" applyFont="1" applyFill="1" applyBorder="1" applyAlignment="1">
      <alignment horizontal="center" vertical="center"/>
    </xf>
    <xf numFmtId="171" fontId="121" fillId="44" borderId="45" xfId="0" applyNumberFormat="1" applyFont="1" applyFill="1" applyBorder="1" applyAlignment="1">
      <alignment horizontal="center" vertical="center"/>
    </xf>
    <xf numFmtId="0" fontId="121" fillId="44" borderId="45" xfId="0" applyFont="1" applyFill="1" applyBorder="1" applyAlignment="1">
      <alignment horizontal="center" vertical="center"/>
    </xf>
    <xf numFmtId="0" fontId="39" fillId="0" borderId="92" xfId="1" applyFont="1" applyBorder="1" applyAlignment="1">
      <alignment horizontal="left" vertical="center"/>
    </xf>
    <xf numFmtId="0" fontId="39" fillId="0" borderId="18" xfId="1" applyFont="1" applyBorder="1" applyAlignment="1">
      <alignment horizontal="left" vertical="center"/>
    </xf>
    <xf numFmtId="1" fontId="22" fillId="73" borderId="0" xfId="1" applyNumberFormat="1" applyFont="1" applyFill="1" applyAlignment="1" applyProtection="1">
      <alignment horizontal="center" vertical="center" wrapText="1"/>
      <protection hidden="1"/>
    </xf>
    <xf numFmtId="0" fontId="10" fillId="7" borderId="0" xfId="1" quotePrefix="1" applyFont="1" applyFill="1" applyAlignment="1">
      <alignment horizontal="center" vertical="center"/>
    </xf>
    <xf numFmtId="0" fontId="10" fillId="15" borderId="3" xfId="1" quotePrefix="1" applyFont="1" applyFill="1" applyBorder="1" applyAlignment="1">
      <alignment horizontal="center" vertical="center"/>
    </xf>
    <xf numFmtId="0" fontId="113" fillId="8" borderId="0" xfId="4" applyFont="1" applyFill="1"/>
    <xf numFmtId="177" fontId="21" fillId="0" borderId="105" xfId="1" applyNumberFormat="1" applyFont="1" applyBorder="1" applyAlignment="1">
      <alignment horizontal="left" vertical="center" wrapText="1"/>
    </xf>
    <xf numFmtId="177" fontId="21" fillId="0" borderId="14" xfId="1" applyNumberFormat="1" applyFont="1" applyBorder="1" applyAlignment="1">
      <alignment horizontal="left" vertical="center" wrapText="1"/>
    </xf>
    <xf numFmtId="0" fontId="1" fillId="0" borderId="14" xfId="0" applyFont="1" applyBorder="1" applyAlignment="1">
      <alignment horizontal="right" vertical="center"/>
    </xf>
    <xf numFmtId="0" fontId="1" fillId="0" borderId="14" xfId="0" applyFont="1" applyBorder="1" applyAlignment="1">
      <alignment horizontal="left" vertical="center"/>
    </xf>
    <xf numFmtId="0" fontId="114" fillId="0" borderId="0" xfId="1" applyFont="1" applyAlignment="1">
      <alignment horizontal="left" vertical="center"/>
    </xf>
    <xf numFmtId="0" fontId="111" fillId="0" borderId="16" xfId="0" applyFont="1" applyBorder="1" applyAlignment="1">
      <alignment horizontal="left" vertical="center"/>
    </xf>
    <xf numFmtId="0" fontId="35" fillId="8" borderId="16" xfId="1" applyFont="1" applyFill="1" applyBorder="1" applyAlignment="1">
      <alignment horizontal="left" vertical="center"/>
    </xf>
    <xf numFmtId="0" fontId="59" fillId="8" borderId="0" xfId="3" applyFont="1" applyFill="1" applyAlignment="1">
      <alignment horizontal="left" vertical="center"/>
    </xf>
    <xf numFmtId="0" fontId="131" fillId="8" borderId="0" xfId="1" applyFont="1" applyFill="1" applyAlignment="1" applyProtection="1">
      <alignment horizontal="left" vertical="center"/>
      <protection locked="0"/>
    </xf>
    <xf numFmtId="0" fontId="13" fillId="8" borderId="106" xfId="1" applyFont="1" applyFill="1" applyBorder="1" applyAlignment="1" applyProtection="1">
      <alignment horizontal="left" vertical="center"/>
      <protection hidden="1"/>
    </xf>
    <xf numFmtId="0" fontId="24" fillId="0" borderId="0" xfId="1" applyFont="1" applyAlignment="1">
      <alignment vertical="center"/>
    </xf>
    <xf numFmtId="0" fontId="130" fillId="0" borderId="0" xfId="4" applyFont="1" applyAlignment="1">
      <alignment horizontal="right" vertical="center"/>
    </xf>
    <xf numFmtId="0" fontId="21" fillId="8" borderId="2" xfId="25" applyFont="1" applyFill="1" applyBorder="1" applyAlignment="1">
      <alignment vertical="center"/>
    </xf>
    <xf numFmtId="0" fontId="172" fillId="68" borderId="0" xfId="0" applyFont="1" applyFill="1" applyAlignment="1">
      <alignment horizontal="centerContinuous" vertical="center"/>
    </xf>
    <xf numFmtId="0" fontId="173" fillId="68" borderId="0" xfId="0" applyFont="1" applyFill="1" applyAlignment="1">
      <alignment horizontal="centerContinuous" vertical="center"/>
    </xf>
    <xf numFmtId="0" fontId="150" fillId="8" borderId="0" xfId="1" applyFont="1" applyFill="1" applyAlignment="1">
      <alignment vertical="center"/>
    </xf>
    <xf numFmtId="0" fontId="26" fillId="8" borderId="0" xfId="1" applyFont="1" applyFill="1" applyAlignment="1">
      <alignment horizontal="right" vertical="center"/>
    </xf>
    <xf numFmtId="0" fontId="31" fillId="69" borderId="0" xfId="1" applyFont="1" applyFill="1" applyAlignment="1">
      <alignment horizontal="center" vertical="center"/>
    </xf>
    <xf numFmtId="0" fontId="174" fillId="89" borderId="0" xfId="1" applyFont="1" applyFill="1" applyAlignment="1">
      <alignment horizontal="center" vertical="center"/>
    </xf>
    <xf numFmtId="0" fontId="26" fillId="8" borderId="3" xfId="2" applyFont="1" applyFill="1" applyBorder="1" applyAlignment="1">
      <alignment horizontal="center" vertical="center"/>
    </xf>
    <xf numFmtId="0" fontId="1" fillId="8" borderId="3" xfId="4" applyFill="1" applyBorder="1" applyAlignment="1">
      <alignment vertical="center"/>
    </xf>
    <xf numFmtId="0" fontId="1" fillId="8" borderId="3" xfId="4" applyFill="1" applyBorder="1"/>
    <xf numFmtId="0" fontId="175" fillId="8" borderId="0" xfId="4" applyFont="1" applyFill="1" applyAlignment="1">
      <alignment vertical="center"/>
    </xf>
    <xf numFmtId="0" fontId="176" fillId="8" borderId="0" xfId="0" applyFont="1" applyFill="1" applyAlignment="1">
      <alignment vertical="center"/>
    </xf>
    <xf numFmtId="0" fontId="24" fillId="0" borderId="0" xfId="1" applyFont="1" applyAlignment="1">
      <alignment horizontal="right" vertical="center"/>
    </xf>
    <xf numFmtId="0" fontId="4" fillId="0" borderId="0" xfId="4" applyFont="1" applyAlignment="1">
      <alignment vertical="center"/>
    </xf>
    <xf numFmtId="0" fontId="0" fillId="0" borderId="0" xfId="0" applyAlignment="1">
      <alignment horizontal="right" vertical="center"/>
    </xf>
    <xf numFmtId="0" fontId="57" fillId="7" borderId="157" xfId="7" applyFont="1" applyFill="1" applyBorder="1" applyAlignment="1">
      <alignment horizontal="center" vertical="center"/>
    </xf>
    <xf numFmtId="0" fontId="177" fillId="14" borderId="0" xfId="4" applyFont="1" applyFill="1" applyAlignment="1">
      <alignment horizontal="center" vertical="center"/>
    </xf>
    <xf numFmtId="0" fontId="178" fillId="3" borderId="2" xfId="4" applyFont="1" applyFill="1" applyBorder="1" applyAlignment="1">
      <alignment horizontal="left" vertical="center"/>
    </xf>
    <xf numFmtId="0" fontId="31" fillId="3" borderId="147" xfId="6" applyFont="1" applyFill="1" applyBorder="1" applyAlignment="1">
      <alignment horizontal="left" vertical="center"/>
    </xf>
    <xf numFmtId="0" fontId="31" fillId="3" borderId="147" xfId="1" applyFont="1" applyFill="1" applyBorder="1" applyAlignment="1">
      <alignment horizontal="left" vertical="center"/>
    </xf>
    <xf numFmtId="0" fontId="46" fillId="0" borderId="0" xfId="26" applyFont="1" applyAlignment="1">
      <alignment horizontal="center" vertical="center"/>
    </xf>
    <xf numFmtId="0" fontId="71" fillId="3" borderId="0" xfId="4" applyFont="1" applyFill="1" applyAlignment="1">
      <alignment horizontal="center" vertical="center"/>
    </xf>
    <xf numFmtId="0" fontId="22" fillId="62" borderId="148" xfId="13" applyFont="1" applyFill="1" applyBorder="1" applyAlignment="1">
      <alignment horizontal="center" vertical="center"/>
    </xf>
    <xf numFmtId="0" fontId="24" fillId="7" borderId="0" xfId="1" applyFont="1" applyFill="1" applyAlignment="1">
      <alignment vertical="center"/>
    </xf>
    <xf numFmtId="0" fontId="24" fillId="7" borderId="0" xfId="1" applyFont="1" applyFill="1"/>
    <xf numFmtId="0" fontId="5" fillId="3" borderId="32" xfId="0" applyFont="1" applyFill="1" applyBorder="1"/>
    <xf numFmtId="0" fontId="74" fillId="16" borderId="0" xfId="3" applyFont="1" applyFill="1" applyAlignment="1">
      <alignment horizontal="left" vertical="center"/>
    </xf>
    <xf numFmtId="0" fontId="181" fillId="13" borderId="0" xfId="1" applyFont="1" applyFill="1" applyAlignment="1" applyProtection="1">
      <alignment horizontal="left" vertical="center"/>
      <protection locked="0"/>
    </xf>
    <xf numFmtId="0" fontId="21" fillId="13" borderId="0" xfId="4" applyFont="1" applyFill="1"/>
    <xf numFmtId="0" fontId="57" fillId="13" borderId="0" xfId="4" applyFont="1" applyFill="1" applyAlignment="1">
      <alignment horizontal="left" vertical="center"/>
    </xf>
    <xf numFmtId="0" fontId="21" fillId="13" borderId="0" xfId="4" applyFont="1" applyFill="1" applyAlignment="1">
      <alignment horizontal="left" vertical="center"/>
    </xf>
    <xf numFmtId="0" fontId="74" fillId="13" borderId="0" xfId="5" applyFont="1" applyFill="1" applyAlignment="1">
      <alignment vertical="center"/>
    </xf>
    <xf numFmtId="0" fontId="21" fillId="13" borderId="53" xfId="4" applyFont="1" applyFill="1" applyBorder="1" applyAlignment="1">
      <alignment horizontal="left" vertical="center"/>
    </xf>
    <xf numFmtId="0" fontId="10" fillId="7" borderId="166" xfId="1" quotePrefix="1" applyFont="1" applyFill="1" applyBorder="1" applyAlignment="1">
      <alignment horizontal="center" vertical="center"/>
    </xf>
    <xf numFmtId="0" fontId="21" fillId="13" borderId="9" xfId="4" applyFont="1" applyFill="1" applyBorder="1" applyAlignment="1">
      <alignment horizontal="left" vertical="center"/>
    </xf>
    <xf numFmtId="0" fontId="72" fillId="7" borderId="0" xfId="0" applyFont="1" applyFill="1" applyAlignment="1">
      <alignment horizontal="left" vertical="center"/>
    </xf>
    <xf numFmtId="0" fontId="67" fillId="8" borderId="2" xfId="1" applyFont="1" applyFill="1" applyBorder="1" applyAlignment="1">
      <alignment horizontal="center" vertical="center"/>
    </xf>
    <xf numFmtId="0" fontId="150" fillId="13" borderId="0" xfId="4" applyFont="1" applyFill="1" applyAlignment="1">
      <alignment horizontal="right" vertical="center"/>
    </xf>
    <xf numFmtId="0" fontId="59" fillId="13" borderId="9" xfId="3" applyFont="1" applyFill="1" applyBorder="1" applyAlignment="1">
      <alignment vertical="center"/>
    </xf>
    <xf numFmtId="0" fontId="13" fillId="8" borderId="49" xfId="1" applyFont="1" applyFill="1" applyBorder="1" applyAlignment="1" applyProtection="1">
      <alignment vertical="center"/>
      <protection hidden="1"/>
    </xf>
    <xf numFmtId="0" fontId="71" fillId="7" borderId="0" xfId="4" applyFont="1" applyFill="1" applyAlignment="1">
      <alignment horizontal="center" vertical="center"/>
    </xf>
    <xf numFmtId="0" fontId="1" fillId="7" borderId="0" xfId="3" applyFill="1" applyAlignment="1">
      <alignment vertical="center"/>
    </xf>
    <xf numFmtId="0" fontId="150" fillId="7" borderId="0" xfId="3" applyFont="1" applyFill="1" applyAlignment="1">
      <alignment horizontal="right" vertical="center"/>
    </xf>
    <xf numFmtId="0" fontId="26" fillId="7" borderId="9" xfId="3" applyFont="1" applyFill="1" applyBorder="1" applyAlignment="1">
      <alignment horizontal="right" vertical="center"/>
    </xf>
    <xf numFmtId="0" fontId="1" fillId="7" borderId="0" xfId="4" applyFill="1" applyAlignment="1">
      <alignment vertical="center"/>
    </xf>
    <xf numFmtId="0" fontId="1" fillId="7" borderId="0" xfId="4" applyFill="1"/>
    <xf numFmtId="0" fontId="88" fillId="17" borderId="6" xfId="3" applyFont="1" applyFill="1" applyBorder="1" applyAlignment="1">
      <alignment vertical="center"/>
    </xf>
    <xf numFmtId="0" fontId="155" fillId="17" borderId="0" xfId="3" applyFont="1" applyFill="1" applyAlignment="1">
      <alignment vertical="center"/>
    </xf>
    <xf numFmtId="0" fontId="155" fillId="17" borderId="9" xfId="3" applyFont="1" applyFill="1" applyBorder="1" applyAlignment="1">
      <alignment vertical="center"/>
    </xf>
    <xf numFmtId="0" fontId="1" fillId="7" borderId="150" xfId="3" applyFill="1" applyBorder="1" applyAlignment="1">
      <alignment vertical="center"/>
    </xf>
    <xf numFmtId="0" fontId="184" fillId="91" borderId="0" xfId="0" applyFont="1" applyFill="1" applyAlignment="1">
      <alignment horizontal="left" vertical="center"/>
    </xf>
    <xf numFmtId="0" fontId="4" fillId="0" borderId="0" xfId="0" applyFont="1" applyAlignment="1">
      <alignment horizontal="center" vertical="center"/>
    </xf>
    <xf numFmtId="0" fontId="156" fillId="0" borderId="0" xfId="0" applyFont="1" applyAlignment="1">
      <alignment horizontal="center" vertical="center"/>
    </xf>
    <xf numFmtId="0" fontId="88" fillId="17" borderId="6" xfId="3" applyFont="1" applyFill="1" applyBorder="1"/>
    <xf numFmtId="0" fontId="155" fillId="17" borderId="0" xfId="3" applyFont="1" applyFill="1"/>
    <xf numFmtId="0" fontId="155" fillId="17" borderId="9" xfId="3" applyFont="1" applyFill="1" applyBorder="1"/>
    <xf numFmtId="189" fontId="48" fillId="92" borderId="0" xfId="0" applyNumberFormat="1" applyFont="1" applyFill="1" applyAlignment="1">
      <alignment horizontal="center" vertical="center"/>
    </xf>
    <xf numFmtId="0" fontId="71" fillId="7" borderId="170" xfId="4" applyFont="1" applyFill="1" applyBorder="1" applyAlignment="1">
      <alignment horizontal="center" vertical="center"/>
    </xf>
    <xf numFmtId="0" fontId="1" fillId="16" borderId="9" xfId="3" applyFill="1" applyBorder="1"/>
    <xf numFmtId="0" fontId="71" fillId="7" borderId="174" xfId="4" applyFont="1" applyFill="1" applyBorder="1" applyAlignment="1">
      <alignment horizontal="center" vertical="center"/>
    </xf>
    <xf numFmtId="0" fontId="36" fillId="7" borderId="179" xfId="0" applyFont="1" applyFill="1" applyBorder="1" applyAlignment="1">
      <alignment horizontal="right" vertical="center"/>
    </xf>
    <xf numFmtId="1" fontId="156" fillId="7" borderId="2" xfId="0" applyNumberFormat="1" applyFont="1" applyFill="1" applyBorder="1" applyAlignment="1">
      <alignment horizontal="center" vertical="center"/>
    </xf>
    <xf numFmtId="1" fontId="30" fillId="93" borderId="8" xfId="1" applyNumberFormat="1" applyFont="1" applyFill="1" applyBorder="1" applyAlignment="1">
      <alignment horizontal="left" vertical="center"/>
    </xf>
    <xf numFmtId="0" fontId="66" fillId="16" borderId="0" xfId="3" applyFont="1" applyFill="1"/>
    <xf numFmtId="0" fontId="66" fillId="16" borderId="9" xfId="3" applyFont="1" applyFill="1" applyBorder="1"/>
    <xf numFmtId="0" fontId="36" fillId="7" borderId="16" xfId="0" applyFont="1" applyFill="1" applyBorder="1" applyAlignment="1">
      <alignment horizontal="right" vertical="center"/>
    </xf>
    <xf numFmtId="1" fontId="156" fillId="7" borderId="0" xfId="0" applyNumberFormat="1" applyFont="1" applyFill="1" applyAlignment="1">
      <alignment horizontal="center" vertical="center"/>
    </xf>
    <xf numFmtId="1" fontId="30" fillId="93" borderId="9" xfId="1" applyNumberFormat="1" applyFont="1" applyFill="1" applyBorder="1" applyAlignment="1">
      <alignment horizontal="left" vertical="center"/>
    </xf>
    <xf numFmtId="0" fontId="26" fillId="16" borderId="0" xfId="3" applyFont="1" applyFill="1" applyAlignment="1">
      <alignment vertical="center"/>
    </xf>
    <xf numFmtId="0" fontId="71" fillId="7" borderId="181" xfId="4" applyFont="1" applyFill="1" applyBorder="1" applyAlignment="1">
      <alignment horizontal="center" vertical="center"/>
    </xf>
    <xf numFmtId="0" fontId="157" fillId="16" borderId="16" xfId="26" applyFont="1" applyFill="1" applyBorder="1" applyAlignment="1">
      <alignment vertical="center"/>
    </xf>
    <xf numFmtId="0" fontId="154" fillId="16" borderId="6" xfId="3" applyFont="1" applyFill="1" applyBorder="1"/>
    <xf numFmtId="0" fontId="154" fillId="16" borderId="0" xfId="3" applyFont="1" applyFill="1"/>
    <xf numFmtId="0" fontId="31" fillId="3" borderId="169" xfId="2" applyFont="1" applyFill="1" applyBorder="1" applyAlignment="1">
      <alignment horizontal="center" vertical="center"/>
    </xf>
    <xf numFmtId="0" fontId="31" fillId="3" borderId="1" xfId="2" applyFont="1" applyFill="1" applyBorder="1" applyAlignment="1">
      <alignment horizontal="center" vertical="center"/>
    </xf>
    <xf numFmtId="0" fontId="31" fillId="3" borderId="0" xfId="2" applyFont="1" applyFill="1" applyAlignment="1">
      <alignment horizontal="center" vertical="center"/>
    </xf>
    <xf numFmtId="179" fontId="36" fillId="7" borderId="16" xfId="0" applyNumberFormat="1" applyFont="1" applyFill="1" applyBorder="1" applyAlignment="1">
      <alignment horizontal="right" vertical="center"/>
    </xf>
    <xf numFmtId="168" fontId="113" fillId="35" borderId="9" xfId="1" applyNumberFormat="1" applyFont="1" applyFill="1" applyBorder="1" applyAlignment="1" applyProtection="1">
      <alignment horizontal="center" vertical="center"/>
      <protection hidden="1"/>
    </xf>
    <xf numFmtId="0" fontId="10" fillId="9" borderId="182" xfId="3" applyFont="1" applyFill="1" applyBorder="1" applyAlignment="1">
      <alignment horizontal="center" vertical="center"/>
    </xf>
    <xf numFmtId="0" fontId="10" fillId="63" borderId="183" xfId="3" applyFont="1" applyFill="1" applyBorder="1" applyAlignment="1">
      <alignment horizontal="center" vertical="center"/>
    </xf>
    <xf numFmtId="0" fontId="10" fillId="9" borderId="183" xfId="3" applyFont="1" applyFill="1" applyBorder="1" applyAlignment="1">
      <alignment horizontal="center" vertical="center"/>
    </xf>
    <xf numFmtId="0" fontId="10" fillId="63" borderId="184" xfId="3" applyFont="1" applyFill="1" applyBorder="1" applyAlignment="1">
      <alignment horizontal="center" vertical="center"/>
    </xf>
    <xf numFmtId="0" fontId="24" fillId="7" borderId="6" xfId="0" applyFont="1" applyFill="1" applyBorder="1" applyAlignment="1">
      <alignment horizontal="center" vertical="center"/>
    </xf>
    <xf numFmtId="167" fontId="24" fillId="7" borderId="9" xfId="0" applyNumberFormat="1" applyFont="1" applyFill="1" applyBorder="1" applyAlignment="1">
      <alignment horizontal="center" vertical="center"/>
    </xf>
    <xf numFmtId="0" fontId="44" fillId="16" borderId="6" xfId="3" applyFont="1" applyFill="1" applyBorder="1"/>
    <xf numFmtId="168" fontId="113" fillId="44" borderId="9" xfId="1" applyNumberFormat="1" applyFont="1" applyFill="1" applyBorder="1" applyAlignment="1" applyProtection="1">
      <alignment horizontal="center" vertical="center"/>
      <protection hidden="1"/>
    </xf>
    <xf numFmtId="0" fontId="38" fillId="16" borderId="6" xfId="3" applyFont="1" applyFill="1" applyBorder="1"/>
    <xf numFmtId="0" fontId="158" fillId="22" borderId="0" xfId="1" applyFont="1" applyFill="1" applyAlignment="1" applyProtection="1">
      <alignment horizontal="center" vertical="center"/>
      <protection hidden="1"/>
    </xf>
    <xf numFmtId="0" fontId="183" fillId="26" borderId="0" xfId="4" applyFont="1" applyFill="1" applyAlignment="1">
      <alignment vertical="center"/>
    </xf>
    <xf numFmtId="0" fontId="1" fillId="16" borderId="9" xfId="3" applyFill="1" applyBorder="1" applyAlignment="1">
      <alignment vertical="center"/>
    </xf>
    <xf numFmtId="0" fontId="64" fillId="16" borderId="0" xfId="13" applyFont="1" applyFill="1" applyAlignment="1">
      <alignment horizontal="center" vertical="center"/>
    </xf>
    <xf numFmtId="0" fontId="51" fillId="7" borderId="0" xfId="4" applyFont="1" applyFill="1" applyAlignment="1">
      <alignment horizontal="left" vertical="center"/>
    </xf>
    <xf numFmtId="0" fontId="51" fillId="7" borderId="0" xfId="4" applyFont="1" applyFill="1" applyAlignment="1">
      <alignment horizontal="center" vertical="center"/>
    </xf>
    <xf numFmtId="0" fontId="21" fillId="7" borderId="0" xfId="1" applyFont="1" applyFill="1" applyAlignment="1">
      <alignment horizontal="left" vertical="center"/>
    </xf>
    <xf numFmtId="0" fontId="21" fillId="7" borderId="0" xfId="0" applyFont="1" applyFill="1" applyAlignment="1">
      <alignment vertical="center"/>
    </xf>
    <xf numFmtId="0" fontId="57" fillId="49" borderId="78" xfId="1" applyFont="1" applyFill="1" applyBorder="1" applyAlignment="1">
      <alignment horizontal="center" vertical="center"/>
    </xf>
    <xf numFmtId="167" fontId="113" fillId="94" borderId="78" xfId="1" applyNumberFormat="1" applyFont="1" applyFill="1" applyBorder="1" applyAlignment="1" applyProtection="1">
      <alignment horizontal="center" vertical="center"/>
      <protection hidden="1"/>
    </xf>
    <xf numFmtId="179" fontId="57" fillId="95" borderId="78" xfId="1" applyNumberFormat="1" applyFont="1" applyFill="1" applyBorder="1" applyAlignment="1">
      <alignment horizontal="right" vertical="center"/>
    </xf>
    <xf numFmtId="169" fontId="57" fillId="95" borderId="78" xfId="1" applyNumberFormat="1" applyFont="1" applyFill="1" applyBorder="1" applyAlignment="1">
      <alignment horizontal="left" vertical="center"/>
    </xf>
    <xf numFmtId="170" fontId="13" fillId="49" borderId="78" xfId="1" applyNumberFormat="1" applyFont="1" applyFill="1" applyBorder="1" applyAlignment="1">
      <alignment horizontal="center" vertical="center"/>
    </xf>
    <xf numFmtId="0" fontId="57" fillId="96" borderId="78" xfId="1" applyFont="1" applyFill="1" applyBorder="1" applyAlignment="1">
      <alignment horizontal="left" vertical="center"/>
    </xf>
    <xf numFmtId="181" fontId="125" fillId="97" borderId="78" xfId="14" applyNumberFormat="1" applyFont="1" applyFill="1" applyBorder="1" applyAlignment="1">
      <alignment horizontal="center" vertical="center"/>
    </xf>
    <xf numFmtId="181" fontId="13" fillId="49" borderId="78" xfId="1" applyNumberFormat="1" applyFont="1" applyFill="1" applyBorder="1" applyAlignment="1" applyProtection="1">
      <alignment horizontal="center" vertical="center"/>
      <protection hidden="1"/>
    </xf>
    <xf numFmtId="185" fontId="57" fillId="13" borderId="34" xfId="1" applyNumberFormat="1" applyFont="1" applyFill="1" applyBorder="1" applyAlignment="1" applyProtection="1">
      <alignment horizontal="left" vertical="center"/>
      <protection hidden="1"/>
    </xf>
    <xf numFmtId="0" fontId="1" fillId="16" borderId="6" xfId="3" applyFill="1" applyBorder="1" applyAlignment="1">
      <alignment vertical="center"/>
    </xf>
    <xf numFmtId="0" fontId="59" fillId="13" borderId="0" xfId="3" applyFont="1" applyFill="1" applyAlignment="1">
      <alignment vertical="center"/>
    </xf>
    <xf numFmtId="179" fontId="21" fillId="7" borderId="16" xfId="1" applyNumberFormat="1" applyFont="1" applyFill="1" applyBorder="1" applyAlignment="1">
      <alignment horizontal="center" vertical="center"/>
    </xf>
    <xf numFmtId="0" fontId="57" fillId="13" borderId="78" xfId="1" applyFont="1" applyFill="1" applyBorder="1" applyAlignment="1">
      <alignment horizontal="center" vertical="center"/>
    </xf>
    <xf numFmtId="179" fontId="57" fillId="98" borderId="78" xfId="1" applyNumberFormat="1" applyFont="1" applyFill="1" applyBorder="1" applyAlignment="1">
      <alignment horizontal="right" vertical="center"/>
    </xf>
    <xf numFmtId="169" fontId="57" fillId="98" borderId="78" xfId="1" applyNumberFormat="1" applyFont="1" applyFill="1" applyBorder="1" applyAlignment="1">
      <alignment horizontal="left" vertical="center"/>
    </xf>
    <xf numFmtId="180" fontId="113" fillId="94" borderId="78" xfId="1" applyNumberFormat="1" applyFont="1" applyFill="1" applyBorder="1" applyAlignment="1">
      <alignment horizontal="center" vertical="center"/>
    </xf>
    <xf numFmtId="170" fontId="13" fillId="13" borderId="78" xfId="1" applyNumberFormat="1" applyFont="1" applyFill="1" applyBorder="1" applyAlignment="1">
      <alignment horizontal="center" vertical="center"/>
    </xf>
    <xf numFmtId="1" fontId="57" fillId="13" borderId="78" xfId="1" applyNumberFormat="1" applyFont="1" applyFill="1" applyBorder="1" applyAlignment="1">
      <alignment horizontal="left" vertical="center"/>
    </xf>
    <xf numFmtId="181" fontId="13" fillId="13" borderId="78" xfId="1" applyNumberFormat="1" applyFont="1" applyFill="1" applyBorder="1" applyAlignment="1" applyProtection="1">
      <alignment horizontal="center" vertical="center"/>
      <protection hidden="1"/>
    </xf>
    <xf numFmtId="172" fontId="36" fillId="70" borderId="0" xfId="0" applyNumberFormat="1" applyFont="1" applyFill="1" applyAlignment="1">
      <alignment horizontal="center" vertical="center"/>
    </xf>
    <xf numFmtId="187" fontId="113" fillId="35" borderId="9" xfId="1" applyNumberFormat="1" applyFont="1" applyFill="1" applyBorder="1" applyAlignment="1" applyProtection="1">
      <alignment horizontal="center" vertical="center"/>
      <protection hidden="1"/>
    </xf>
    <xf numFmtId="0" fontId="59" fillId="16" borderId="0" xfId="3" applyFont="1" applyFill="1" applyAlignment="1">
      <alignment vertical="center"/>
    </xf>
    <xf numFmtId="0" fontId="187" fillId="16" borderId="0" xfId="3" applyFont="1" applyFill="1" applyAlignment="1">
      <alignment vertical="center"/>
    </xf>
    <xf numFmtId="0" fontId="188" fillId="16" borderId="0" xfId="1" applyFont="1" applyFill="1" applyAlignment="1">
      <alignment horizontal="left" vertical="center"/>
    </xf>
    <xf numFmtId="1" fontId="113" fillId="94" borderId="78" xfId="1" applyNumberFormat="1" applyFont="1" applyFill="1" applyBorder="1" applyAlignment="1" applyProtection="1">
      <alignment horizontal="center" vertical="center"/>
      <protection hidden="1"/>
    </xf>
    <xf numFmtId="169" fontId="13" fillId="49" borderId="78" xfId="1" applyNumberFormat="1" applyFont="1" applyFill="1" applyBorder="1" applyAlignment="1">
      <alignment horizontal="center" vertical="center"/>
    </xf>
    <xf numFmtId="190" fontId="113" fillId="35" borderId="9" xfId="1" applyNumberFormat="1" applyFont="1" applyFill="1" applyBorder="1" applyAlignment="1" applyProtection="1">
      <alignment horizontal="center" vertical="center"/>
      <protection hidden="1"/>
    </xf>
    <xf numFmtId="169" fontId="13" fillId="13" borderId="78" xfId="1" applyNumberFormat="1" applyFont="1" applyFill="1" applyBorder="1" applyAlignment="1">
      <alignment horizontal="center" vertical="center"/>
    </xf>
    <xf numFmtId="0" fontId="189" fillId="16" borderId="0" xfId="26" applyFont="1" applyFill="1" applyAlignment="1">
      <alignment vertical="center"/>
    </xf>
    <xf numFmtId="1" fontId="50" fillId="37" borderId="24" xfId="1" applyNumberFormat="1" applyFont="1" applyFill="1" applyBorder="1" applyAlignment="1" applyProtection="1">
      <alignment horizontal="left" vertical="center"/>
      <protection hidden="1"/>
    </xf>
    <xf numFmtId="0" fontId="26" fillId="16" borderId="6" xfId="1" applyFont="1" applyFill="1" applyBorder="1" applyAlignment="1">
      <alignment vertical="center"/>
    </xf>
    <xf numFmtId="0" fontId="80" fillId="16" borderId="0" xfId="1" applyFont="1" applyFill="1" applyAlignment="1">
      <alignment vertical="center"/>
    </xf>
    <xf numFmtId="0" fontId="190" fillId="16" borderId="0" xfId="26" applyFont="1" applyFill="1" applyAlignment="1">
      <alignment vertical="center"/>
    </xf>
    <xf numFmtId="0" fontId="77" fillId="45" borderId="0" xfId="16" applyFont="1" applyFill="1" applyAlignment="1" applyProtection="1">
      <alignment horizontal="right" vertical="center"/>
      <protection locked="0"/>
    </xf>
    <xf numFmtId="191" fontId="113" fillId="35" borderId="9" xfId="1" applyNumberFormat="1" applyFont="1" applyFill="1" applyBorder="1" applyAlignment="1" applyProtection="1">
      <alignment horizontal="center" vertical="center"/>
      <protection hidden="1"/>
    </xf>
    <xf numFmtId="0" fontId="13" fillId="8" borderId="0" xfId="16" applyFont="1" applyFill="1" applyAlignment="1">
      <alignment horizontal="left" vertical="center"/>
    </xf>
    <xf numFmtId="0" fontId="44" fillId="8" borderId="6" xfId="3" applyFont="1" applyFill="1" applyBorder="1" applyAlignment="1">
      <alignment vertical="center"/>
    </xf>
    <xf numFmtId="0" fontId="38" fillId="8" borderId="6" xfId="0" applyFont="1" applyFill="1" applyBorder="1" applyAlignment="1">
      <alignment vertical="center"/>
    </xf>
    <xf numFmtId="0" fontId="88" fillId="8" borderId="6" xfId="0" applyFont="1" applyFill="1" applyBorder="1" applyAlignment="1">
      <alignment vertical="center"/>
    </xf>
    <xf numFmtId="0" fontId="88" fillId="8" borderId="6" xfId="0" applyFont="1" applyFill="1" applyBorder="1" applyAlignment="1">
      <alignment horizontal="left" vertical="center" indent="1"/>
    </xf>
    <xf numFmtId="169" fontId="84" fillId="46" borderId="32" xfId="16" applyNumberFormat="1" applyFont="1" applyFill="1" applyBorder="1" applyAlignment="1" applyProtection="1">
      <alignment horizontal="center" vertical="center"/>
      <protection locked="0"/>
    </xf>
    <xf numFmtId="0" fontId="110" fillId="8" borderId="6" xfId="0" applyFont="1" applyFill="1" applyBorder="1" applyAlignment="1">
      <alignment horizontal="left" vertical="center" indent="1"/>
    </xf>
    <xf numFmtId="0" fontId="71" fillId="8" borderId="6" xfId="0" applyFont="1" applyFill="1" applyBorder="1" applyAlignment="1">
      <alignment horizontal="left" vertical="center" indent="1"/>
    </xf>
    <xf numFmtId="192" fontId="113" fillId="35" borderId="9" xfId="1" applyNumberFormat="1" applyFont="1" applyFill="1" applyBorder="1" applyAlignment="1" applyProtection="1">
      <alignment horizontal="center" vertical="center"/>
      <protection hidden="1"/>
    </xf>
    <xf numFmtId="0" fontId="71" fillId="17" borderId="6" xfId="0" applyFont="1" applyFill="1" applyBorder="1" applyAlignment="1">
      <alignment horizontal="right" vertical="center"/>
    </xf>
    <xf numFmtId="0" fontId="193" fillId="0" borderId="0" xfId="17" applyFont="1" applyBorder="1" applyAlignment="1">
      <alignment vertical="center"/>
    </xf>
    <xf numFmtId="0" fontId="71" fillId="0" borderId="0" xfId="0" applyFont="1" applyAlignment="1">
      <alignment vertical="center"/>
    </xf>
    <xf numFmtId="0" fontId="57" fillId="44" borderId="6" xfId="3" applyFont="1" applyFill="1" applyBorder="1" applyAlignment="1">
      <alignment horizontal="left" vertical="center"/>
    </xf>
    <xf numFmtId="0" fontId="71" fillId="44" borderId="0" xfId="0" applyFont="1" applyFill="1"/>
    <xf numFmtId="0" fontId="160" fillId="44" borderId="9" xfId="3" applyFont="1" applyFill="1" applyBorder="1" applyAlignment="1">
      <alignment horizontal="center" vertical="center"/>
    </xf>
    <xf numFmtId="0" fontId="71" fillId="44" borderId="6" xfId="3" applyFont="1" applyFill="1" applyBorder="1" applyAlignment="1">
      <alignment horizontal="left" vertical="center"/>
    </xf>
    <xf numFmtId="0" fontId="71" fillId="44" borderId="9" xfId="3" applyFont="1" applyFill="1" applyBorder="1" applyAlignment="1">
      <alignment horizontal="right" vertical="center"/>
    </xf>
    <xf numFmtId="0" fontId="21" fillId="16" borderId="9" xfId="1" applyFont="1" applyFill="1" applyBorder="1" applyAlignment="1">
      <alignment horizontal="right" vertical="center"/>
    </xf>
    <xf numFmtId="0" fontId="173" fillId="89" borderId="6" xfId="1" applyFont="1" applyFill="1" applyBorder="1" applyAlignment="1" applyProtection="1">
      <alignment horizontal="left" vertical="center"/>
      <protection hidden="1"/>
    </xf>
    <xf numFmtId="0" fontId="173" fillId="89" borderId="0" xfId="1" applyFont="1" applyFill="1" applyAlignment="1" applyProtection="1">
      <alignment horizontal="left" vertical="center"/>
      <protection hidden="1"/>
    </xf>
    <xf numFmtId="0" fontId="173" fillId="89" borderId="9" xfId="1" applyFont="1" applyFill="1" applyBorder="1" applyAlignment="1" applyProtection="1">
      <alignment horizontal="left" vertical="center"/>
      <protection hidden="1"/>
    </xf>
    <xf numFmtId="0" fontId="173" fillId="89" borderId="6" xfId="27" applyFont="1" applyFill="1" applyBorder="1" applyAlignment="1">
      <alignment horizontal="left" vertical="center"/>
    </xf>
    <xf numFmtId="0" fontId="173" fillId="89" borderId="0" xfId="27" applyFont="1" applyFill="1" applyAlignment="1">
      <alignment horizontal="left" vertical="center"/>
    </xf>
    <xf numFmtId="0" fontId="173" fillId="89" borderId="9" xfId="27" applyFont="1" applyFill="1" applyBorder="1" applyAlignment="1">
      <alignment horizontal="left" vertical="center"/>
    </xf>
    <xf numFmtId="179" fontId="36" fillId="7" borderId="194" xfId="0" applyNumberFormat="1" applyFont="1" applyFill="1" applyBorder="1" applyAlignment="1">
      <alignment horizontal="right" vertical="center"/>
    </xf>
    <xf numFmtId="172" fontId="36" fillId="70" borderId="3" xfId="0" applyNumberFormat="1" applyFont="1" applyFill="1" applyBorder="1" applyAlignment="1">
      <alignment horizontal="center" vertical="center"/>
    </xf>
    <xf numFmtId="1" fontId="156" fillId="7" borderId="3" xfId="0" applyNumberFormat="1" applyFont="1" applyFill="1" applyBorder="1" applyAlignment="1">
      <alignment horizontal="center" vertical="center"/>
    </xf>
    <xf numFmtId="187" fontId="113" fillId="35" borderId="59" xfId="1" applyNumberFormat="1" applyFont="1" applyFill="1" applyBorder="1" applyAlignment="1" applyProtection="1">
      <alignment horizontal="center" vertical="center"/>
      <protection hidden="1"/>
    </xf>
    <xf numFmtId="0" fontId="31" fillId="89" borderId="6" xfId="28" applyFont="1" applyFill="1" applyBorder="1" applyAlignment="1">
      <alignment horizontal="center" vertical="center"/>
    </xf>
    <xf numFmtId="0" fontId="31" fillId="89" borderId="0" xfId="28" applyFont="1" applyFill="1" applyAlignment="1">
      <alignment horizontal="center" vertical="center"/>
    </xf>
    <xf numFmtId="0" fontId="31" fillId="89" borderId="0" xfId="28" quotePrefix="1" applyFont="1" applyFill="1" applyAlignment="1">
      <alignment horizontal="center" vertical="center"/>
    </xf>
    <xf numFmtId="0" fontId="31" fillId="89" borderId="9" xfId="28" applyFont="1" applyFill="1" applyBorder="1" applyAlignment="1">
      <alignment horizontal="center" vertical="center"/>
    </xf>
    <xf numFmtId="0" fontId="195" fillId="8" borderId="0" xfId="5" applyFont="1" applyFill="1" applyAlignment="1">
      <alignment horizontal="left" vertical="center"/>
    </xf>
    <xf numFmtId="1" fontId="161" fillId="40" borderId="0" xfId="1" applyNumberFormat="1" applyFont="1" applyFill="1" applyAlignment="1" applyProtection="1">
      <alignment horizontal="left" vertical="center"/>
      <protection hidden="1"/>
    </xf>
    <xf numFmtId="0" fontId="191" fillId="40" borderId="0" xfId="1" applyFont="1" applyFill="1" applyAlignment="1">
      <alignment horizontal="left" vertical="center"/>
    </xf>
    <xf numFmtId="0" fontId="1" fillId="21" borderId="0" xfId="3" applyFill="1" applyAlignment="1">
      <alignment vertical="center"/>
    </xf>
    <xf numFmtId="1" fontId="1" fillId="4" borderId="6" xfId="3" applyNumberFormat="1" applyFill="1" applyBorder="1" applyAlignment="1">
      <alignment horizontal="center"/>
    </xf>
    <xf numFmtId="1" fontId="1" fillId="4" borderId="0" xfId="3" applyNumberFormat="1" applyFill="1" applyAlignment="1">
      <alignment horizontal="center"/>
    </xf>
    <xf numFmtId="1" fontId="1" fillId="4" borderId="9" xfId="3" applyNumberFormat="1" applyFill="1" applyBorder="1" applyAlignment="1">
      <alignment horizontal="center"/>
    </xf>
    <xf numFmtId="0" fontId="54" fillId="7" borderId="58" xfId="1" applyFont="1" applyFill="1" applyBorder="1" applyAlignment="1">
      <alignment horizontal="center" vertical="center"/>
    </xf>
    <xf numFmtId="0" fontId="54" fillId="7" borderId="3" xfId="1" applyFont="1" applyFill="1" applyBorder="1" applyAlignment="1">
      <alignment horizontal="center" vertical="center"/>
    </xf>
    <xf numFmtId="0" fontId="54" fillId="7" borderId="59" xfId="1" applyFont="1" applyFill="1" applyBorder="1" applyAlignment="1">
      <alignment horizontal="center" vertical="center"/>
    </xf>
    <xf numFmtId="0" fontId="162" fillId="16" borderId="0" xfId="17" applyFont="1" applyFill="1" applyAlignment="1">
      <alignment horizontal="left" vertical="center"/>
    </xf>
    <xf numFmtId="0" fontId="190" fillId="16" borderId="0" xfId="26" applyFont="1" applyFill="1" applyAlignment="1">
      <alignment horizontal="left" vertical="center"/>
    </xf>
    <xf numFmtId="0" fontId="197" fillId="16" borderId="0" xfId="0" applyFont="1" applyFill="1" applyAlignment="1">
      <alignment vertical="center"/>
    </xf>
    <xf numFmtId="0" fontId="110" fillId="16" borderId="0" xfId="0" applyFont="1" applyFill="1" applyAlignment="1">
      <alignment vertical="center"/>
    </xf>
    <xf numFmtId="0" fontId="110" fillId="16" borderId="0" xfId="3" applyFont="1" applyFill="1" applyAlignment="1">
      <alignment vertical="center"/>
    </xf>
    <xf numFmtId="0" fontId="43" fillId="16" borderId="0" xfId="0" applyFont="1" applyFill="1"/>
    <xf numFmtId="0" fontId="162" fillId="16" borderId="0" xfId="17" applyFont="1" applyFill="1" applyAlignment="1">
      <alignment vertical="center"/>
    </xf>
    <xf numFmtId="0" fontId="110" fillId="16" borderId="0" xfId="0" applyFont="1" applyFill="1"/>
    <xf numFmtId="0" fontId="198" fillId="16" borderId="0" xfId="17" applyFont="1" applyFill="1" applyAlignment="1">
      <alignment vertical="center"/>
    </xf>
    <xf numFmtId="0" fontId="141" fillId="8" borderId="0" xfId="3" applyFont="1" applyFill="1"/>
    <xf numFmtId="0" fontId="71" fillId="16" borderId="0" xfId="13" applyFont="1" applyFill="1" applyAlignment="1">
      <alignment vertical="center"/>
    </xf>
    <xf numFmtId="0" fontId="22" fillId="16" borderId="0" xfId="13" applyFont="1" applyFill="1" applyAlignment="1">
      <alignment vertical="center"/>
    </xf>
    <xf numFmtId="0" fontId="141" fillId="8" borderId="0" xfId="0" applyFont="1" applyFill="1"/>
    <xf numFmtId="0" fontId="4" fillId="8" borderId="0" xfId="0" applyFont="1" applyFill="1"/>
    <xf numFmtId="0" fontId="141" fillId="8" borderId="0" xfId="3" applyFont="1" applyFill="1" applyAlignment="1">
      <alignment vertical="center"/>
    </xf>
    <xf numFmtId="1" fontId="1" fillId="4" borderId="0" xfId="4" applyNumberFormat="1" applyFill="1" applyAlignment="1">
      <alignment horizontal="center" vertical="center"/>
    </xf>
    <xf numFmtId="0" fontId="1" fillId="38" borderId="0" xfId="3" applyFill="1"/>
    <xf numFmtId="0" fontId="24" fillId="0" borderId="0" xfId="1" applyFont="1"/>
    <xf numFmtId="0" fontId="36" fillId="0" borderId="0" xfId="0" applyFont="1" applyAlignment="1">
      <alignment horizontal="left" vertical="center"/>
    </xf>
    <xf numFmtId="0" fontId="32" fillId="16" borderId="6" xfId="3" applyFont="1" applyFill="1" applyBorder="1"/>
    <xf numFmtId="0" fontId="32" fillId="16" borderId="6" xfId="0" applyFont="1" applyFill="1" applyBorder="1"/>
    <xf numFmtId="0" fontId="199" fillId="0" borderId="0" xfId="3" applyFont="1" applyAlignment="1">
      <alignment vertical="center"/>
    </xf>
    <xf numFmtId="1" fontId="22" fillId="78" borderId="0" xfId="1" applyNumberFormat="1" applyFont="1" applyFill="1" applyAlignment="1" applyProtection="1">
      <alignment vertical="center"/>
      <protection hidden="1"/>
    </xf>
    <xf numFmtId="1" fontId="13" fillId="15" borderId="0" xfId="1" applyNumberFormat="1" applyFont="1" applyFill="1" applyAlignment="1" applyProtection="1">
      <alignment vertical="center"/>
      <protection hidden="1"/>
    </xf>
    <xf numFmtId="1" fontId="22" fillId="75" borderId="0" xfId="1" applyNumberFormat="1" applyFont="1" applyFill="1" applyAlignment="1" applyProtection="1">
      <alignment vertical="center"/>
      <protection hidden="1"/>
    </xf>
    <xf numFmtId="1" fontId="22" fillId="69" borderId="0" xfId="1" applyNumberFormat="1" applyFont="1" applyFill="1" applyAlignment="1" applyProtection="1">
      <alignment vertical="center"/>
      <protection hidden="1"/>
    </xf>
    <xf numFmtId="1" fontId="13" fillId="81" borderId="0" xfId="1" applyNumberFormat="1" applyFont="1" applyFill="1" applyAlignment="1" applyProtection="1">
      <alignment vertical="center"/>
      <protection hidden="1"/>
    </xf>
    <xf numFmtId="1" fontId="72" fillId="14" borderId="0" xfId="1" applyNumberFormat="1" applyFont="1" applyFill="1" applyAlignment="1" applyProtection="1">
      <alignment vertical="center"/>
      <protection hidden="1"/>
    </xf>
    <xf numFmtId="1" fontId="22" fillId="68" borderId="0" xfId="1" applyNumberFormat="1" applyFont="1" applyFill="1" applyAlignment="1" applyProtection="1">
      <alignment vertical="center"/>
      <protection hidden="1"/>
    </xf>
    <xf numFmtId="1" fontId="13" fillId="85" borderId="0" xfId="1" applyNumberFormat="1" applyFont="1" applyFill="1" applyAlignment="1" applyProtection="1">
      <alignment vertical="center"/>
      <protection hidden="1"/>
    </xf>
    <xf numFmtId="1" fontId="13" fillId="87" borderId="0" xfId="1" applyNumberFormat="1" applyFont="1" applyFill="1" applyAlignment="1" applyProtection="1">
      <alignment vertical="center"/>
      <protection hidden="1"/>
    </xf>
    <xf numFmtId="0" fontId="61" fillId="44" borderId="151" xfId="1" applyFont="1" applyFill="1" applyBorder="1" applyAlignment="1">
      <alignment vertical="center"/>
    </xf>
    <xf numFmtId="0" fontId="57" fillId="44" borderId="151" xfId="10" applyFont="1" applyFill="1" applyBorder="1" applyAlignment="1">
      <alignment vertical="center"/>
    </xf>
    <xf numFmtId="0" fontId="64" fillId="44" borderId="151" xfId="1" applyFont="1" applyFill="1" applyBorder="1" applyAlignment="1">
      <alignment vertical="center"/>
    </xf>
    <xf numFmtId="0" fontId="61" fillId="44" borderId="151" xfId="1" applyFont="1" applyFill="1" applyBorder="1" applyAlignment="1" applyProtection="1">
      <alignment vertical="center"/>
      <protection hidden="1"/>
    </xf>
    <xf numFmtId="0" fontId="71" fillId="44" borderId="151" xfId="4" applyFont="1" applyFill="1" applyBorder="1" applyAlignment="1">
      <alignment vertical="center"/>
    </xf>
    <xf numFmtId="0" fontId="76" fillId="44" borderId="151" xfId="1" applyFont="1" applyFill="1" applyBorder="1" applyAlignment="1">
      <alignment vertical="center"/>
    </xf>
    <xf numFmtId="0" fontId="201" fillId="44" borderId="151" xfId="1" applyFont="1" applyFill="1" applyBorder="1" applyAlignment="1">
      <alignment vertical="center"/>
    </xf>
    <xf numFmtId="0" fontId="57" fillId="99" borderId="151" xfId="1" applyFont="1" applyFill="1" applyBorder="1" applyAlignment="1">
      <alignment vertical="center"/>
    </xf>
    <xf numFmtId="0" fontId="29" fillId="89" borderId="9" xfId="27" applyFont="1" applyFill="1" applyBorder="1" applyAlignment="1">
      <alignment horizontal="right" vertical="center"/>
    </xf>
    <xf numFmtId="0" fontId="10" fillId="44" borderId="3" xfId="1" applyFont="1" applyFill="1" applyBorder="1" applyAlignment="1">
      <alignment horizontal="center" vertical="center"/>
    </xf>
    <xf numFmtId="0" fontId="24" fillId="0" borderId="0" xfId="6" applyFont="1"/>
    <xf numFmtId="0" fontId="202" fillId="8" borderId="2" xfId="1" applyFont="1" applyFill="1" applyBorder="1" applyAlignment="1" applyProtection="1">
      <alignment horizontal="center" vertical="center"/>
      <protection hidden="1"/>
    </xf>
    <xf numFmtId="0" fontId="202" fillId="8" borderId="0" xfId="1" applyFont="1" applyFill="1" applyAlignment="1" applyProtection="1">
      <alignment horizontal="center" vertical="center"/>
      <protection hidden="1"/>
    </xf>
    <xf numFmtId="0" fontId="76" fillId="8" borderId="6" xfId="1" applyFont="1" applyFill="1" applyBorder="1" applyAlignment="1" applyProtection="1">
      <alignment horizontal="left" vertical="center"/>
      <protection hidden="1"/>
    </xf>
    <xf numFmtId="0" fontId="76" fillId="8" borderId="0" xfId="1" applyFont="1" applyFill="1" applyAlignment="1" applyProtection="1">
      <alignment horizontal="left" vertical="center"/>
      <protection hidden="1"/>
    </xf>
    <xf numFmtId="0" fontId="57" fillId="8" borderId="0" xfId="6" applyFont="1" applyFill="1" applyAlignment="1">
      <alignment horizontal="left"/>
    </xf>
    <xf numFmtId="0" fontId="76" fillId="8" borderId="3" xfId="1" applyFont="1" applyFill="1" applyBorder="1" applyAlignment="1" applyProtection="1">
      <alignment horizontal="left" vertical="center"/>
      <protection hidden="1"/>
    </xf>
    <xf numFmtId="0" fontId="57" fillId="8" borderId="3" xfId="6" applyFont="1" applyFill="1" applyBorder="1" applyAlignment="1">
      <alignment horizontal="left"/>
    </xf>
    <xf numFmtId="0" fontId="76" fillId="8" borderId="3" xfId="1" applyFont="1" applyFill="1" applyBorder="1" applyAlignment="1" applyProtection="1">
      <alignment vertical="center"/>
      <protection hidden="1"/>
    </xf>
    <xf numFmtId="169" fontId="204" fillId="100" borderId="2" xfId="29" applyNumberFormat="1" applyFont="1" applyFill="1" applyBorder="1" applyAlignment="1">
      <alignment vertical="center"/>
    </xf>
    <xf numFmtId="169" fontId="205" fillId="8" borderId="2" xfId="29" applyNumberFormat="1" applyFont="1" applyFill="1" applyBorder="1" applyAlignment="1">
      <alignment horizontal="left" vertical="center"/>
    </xf>
    <xf numFmtId="0" fontId="24" fillId="8" borderId="2" xfId="6" applyFont="1" applyFill="1" applyBorder="1"/>
    <xf numFmtId="0" fontId="206" fillId="8" borderId="0" xfId="29" applyFont="1" applyFill="1" applyAlignment="1">
      <alignment horizontal="center" vertical="center"/>
    </xf>
    <xf numFmtId="0" fontId="167" fillId="8" borderId="0" xfId="29" applyFont="1" applyFill="1" applyAlignment="1">
      <alignment horizontal="left" vertical="center"/>
    </xf>
    <xf numFmtId="0" fontId="167" fillId="8" borderId="0" xfId="29" applyFont="1" applyFill="1" applyAlignment="1">
      <alignment horizontal="center" vertical="center"/>
    </xf>
    <xf numFmtId="0" fontId="22" fillId="14" borderId="7" xfId="1" applyFont="1" applyFill="1" applyBorder="1" applyAlignment="1" applyProtection="1">
      <alignment vertical="center" textRotation="90"/>
      <protection locked="0"/>
    </xf>
    <xf numFmtId="0" fontId="23" fillId="15" borderId="2" xfId="6" applyFont="1" applyFill="1" applyBorder="1" applyAlignment="1">
      <alignment vertical="center"/>
    </xf>
    <xf numFmtId="1" fontId="23" fillId="15" borderId="2" xfId="6" applyNumberFormat="1" applyFont="1" applyFill="1" applyBorder="1" applyAlignment="1">
      <alignment vertical="center"/>
    </xf>
    <xf numFmtId="0" fontId="24" fillId="15" borderId="2" xfId="1" applyFont="1" applyFill="1" applyBorder="1" applyAlignment="1">
      <alignment vertical="center"/>
    </xf>
    <xf numFmtId="1" fontId="26" fillId="16" borderId="2" xfId="1" applyNumberFormat="1" applyFont="1" applyFill="1" applyBorder="1" applyAlignment="1" applyProtection="1">
      <alignment vertical="center"/>
      <protection hidden="1"/>
    </xf>
    <xf numFmtId="0" fontId="27" fillId="15" borderId="8" xfId="3" applyFont="1" applyFill="1" applyBorder="1" applyAlignment="1">
      <alignment vertical="center"/>
    </xf>
    <xf numFmtId="0" fontId="184" fillId="0" borderId="0" xfId="1" applyFont="1" applyAlignment="1" applyProtection="1">
      <alignment horizontal="center" vertical="center"/>
      <protection locked="0"/>
    </xf>
    <xf numFmtId="0" fontId="23" fillId="18" borderId="0" xfId="7" applyFont="1" applyFill="1" applyAlignment="1">
      <alignment vertical="center"/>
    </xf>
    <xf numFmtId="1" fontId="23" fillId="18" borderId="0" xfId="7" applyNumberFormat="1" applyFont="1" applyFill="1" applyAlignment="1">
      <alignment vertical="center"/>
    </xf>
    <xf numFmtId="167" fontId="59" fillId="27" borderId="16" xfId="1" applyNumberFormat="1" applyFont="1" applyFill="1" applyBorder="1" applyAlignment="1">
      <alignment vertical="center"/>
    </xf>
    <xf numFmtId="1" fontId="59" fillId="21" borderId="0" xfId="1" applyNumberFormat="1" applyFont="1" applyFill="1" applyAlignment="1">
      <alignment vertical="center"/>
    </xf>
    <xf numFmtId="0" fontId="30" fillId="7" borderId="0" xfId="10" applyFont="1" applyFill="1" applyAlignment="1">
      <alignment vertical="center"/>
    </xf>
    <xf numFmtId="1" fontId="60" fillId="21" borderId="0" xfId="1" applyNumberFormat="1" applyFont="1" applyFill="1" applyAlignment="1">
      <alignment vertical="center"/>
    </xf>
    <xf numFmtId="169" fontId="21" fillId="26" borderId="0" xfId="1" applyNumberFormat="1" applyFont="1" applyFill="1" applyAlignment="1">
      <alignment vertical="center"/>
    </xf>
    <xf numFmtId="1" fontId="57" fillId="32" borderId="9" xfId="1" applyNumberFormat="1" applyFont="1" applyFill="1" applyBorder="1" applyAlignment="1">
      <alignment vertical="center"/>
    </xf>
    <xf numFmtId="0" fontId="184" fillId="0" borderId="6" xfId="1" applyFont="1" applyBorder="1" applyAlignment="1" applyProtection="1">
      <alignment horizontal="center" vertical="center"/>
      <protection locked="0"/>
    </xf>
    <xf numFmtId="0" fontId="6" fillId="89" borderId="0" xfId="1" applyFill="1" applyProtection="1">
      <protection hidden="1"/>
    </xf>
    <xf numFmtId="0" fontId="1" fillId="89" borderId="0" xfId="10" applyFill="1"/>
    <xf numFmtId="0" fontId="6" fillId="89" borderId="0" xfId="1" applyFill="1" applyAlignment="1">
      <alignment vertical="center"/>
    </xf>
    <xf numFmtId="0" fontId="207" fillId="89" borderId="0" xfId="1" applyFont="1" applyFill="1"/>
    <xf numFmtId="0" fontId="8" fillId="4" borderId="0" xfId="0" applyFont="1" applyFill="1" applyAlignment="1">
      <alignment horizontal="center" vertical="center"/>
    </xf>
    <xf numFmtId="0" fontId="6" fillId="0" borderId="0" xfId="1"/>
    <xf numFmtId="0" fontId="208" fillId="89" borderId="0" xfId="1" applyFont="1" applyFill="1" applyAlignment="1">
      <alignment vertical="center"/>
    </xf>
    <xf numFmtId="0" fontId="210" fillId="6" borderId="0" xfId="1" applyFont="1" applyFill="1" applyAlignment="1">
      <alignment horizontal="left" vertical="center"/>
    </xf>
    <xf numFmtId="0" fontId="211" fillId="89" borderId="0" xfId="1" applyFont="1" applyFill="1" applyAlignment="1">
      <alignment vertical="center"/>
    </xf>
    <xf numFmtId="0" fontId="212" fillId="89" borderId="0" xfId="1" applyFont="1" applyFill="1" applyAlignment="1">
      <alignment vertical="center"/>
    </xf>
    <xf numFmtId="0" fontId="213" fillId="89" borderId="0" xfId="1" applyFont="1" applyFill="1" applyAlignment="1">
      <alignment vertical="center"/>
    </xf>
    <xf numFmtId="0" fontId="210" fillId="6" borderId="0" xfId="1" applyFont="1" applyFill="1" applyAlignment="1">
      <alignment horizontal="right" vertical="center"/>
    </xf>
    <xf numFmtId="0" fontId="214" fillId="89" borderId="0" xfId="1" applyFont="1" applyFill="1" applyAlignment="1">
      <alignment horizontal="left" vertical="center"/>
    </xf>
    <xf numFmtId="0" fontId="215" fillId="89" borderId="0" xfId="1" applyFont="1" applyFill="1" applyAlignment="1">
      <alignment horizontal="left" vertical="center"/>
    </xf>
    <xf numFmtId="0" fontId="216" fillId="89" borderId="0" xfId="1" applyFont="1" applyFill="1" applyAlignment="1">
      <alignment horizontal="left" vertical="center"/>
    </xf>
    <xf numFmtId="0" fontId="217" fillId="89" borderId="0" xfId="1" applyFont="1" applyFill="1" applyAlignment="1">
      <alignment vertical="center"/>
    </xf>
    <xf numFmtId="0" fontId="218" fillId="89" borderId="0" xfId="1" applyFont="1" applyFill="1" applyAlignment="1">
      <alignment vertical="center"/>
    </xf>
    <xf numFmtId="0" fontId="211" fillId="89" borderId="0" xfId="1" applyFont="1" applyFill="1" applyAlignment="1">
      <alignment horizontal="left" vertical="center"/>
    </xf>
    <xf numFmtId="0" fontId="219" fillId="89" borderId="0" xfId="1" applyFont="1" applyFill="1" applyAlignment="1">
      <alignment horizontal="left" vertical="center"/>
    </xf>
    <xf numFmtId="0" fontId="220" fillId="89" borderId="0" xfId="1" applyFont="1" applyFill="1" applyAlignment="1" applyProtection="1">
      <alignment horizontal="left" vertical="center"/>
      <protection hidden="1"/>
    </xf>
    <xf numFmtId="0" fontId="221" fillId="44" borderId="0" xfId="17" applyFont="1" applyFill="1" applyAlignment="1" applyProtection="1">
      <alignment horizontal="left" vertical="center"/>
      <protection hidden="1"/>
    </xf>
    <xf numFmtId="0" fontId="220" fillId="44" borderId="0" xfId="1" applyFont="1" applyFill="1" applyAlignment="1" applyProtection="1">
      <alignment horizontal="left" vertical="center"/>
      <protection hidden="1"/>
    </xf>
    <xf numFmtId="0" fontId="222" fillId="44" borderId="0" xfId="10" applyFont="1" applyFill="1" applyAlignment="1">
      <alignment horizontal="left" vertical="center"/>
    </xf>
    <xf numFmtId="0" fontId="1" fillId="44" borderId="0" xfId="10" applyFill="1"/>
    <xf numFmtId="0" fontId="223" fillId="89" borderId="0" xfId="1" applyFont="1" applyFill="1" applyProtection="1">
      <protection hidden="1"/>
    </xf>
    <xf numFmtId="0" fontId="224" fillId="89" borderId="0" xfId="13" applyFont="1" applyFill="1"/>
    <xf numFmtId="0" fontId="223" fillId="89" borderId="0" xfId="1" applyFont="1" applyFill="1" applyAlignment="1">
      <alignment vertical="center"/>
    </xf>
    <xf numFmtId="0" fontId="1" fillId="89" borderId="0" xfId="13" applyFill="1"/>
    <xf numFmtId="0" fontId="225" fillId="89" borderId="0" xfId="1" applyFont="1" applyFill="1" applyAlignment="1">
      <alignment vertical="center"/>
    </xf>
    <xf numFmtId="0" fontId="219" fillId="89" borderId="0" xfId="1" applyFont="1" applyFill="1" applyAlignment="1">
      <alignment vertical="center"/>
    </xf>
    <xf numFmtId="0" fontId="220" fillId="89" borderId="0" xfId="1" applyFont="1" applyFill="1" applyProtection="1">
      <protection hidden="1"/>
    </xf>
    <xf numFmtId="0" fontId="226" fillId="89" borderId="0" xfId="1" applyFont="1" applyFill="1" applyAlignment="1">
      <alignment vertical="center"/>
    </xf>
    <xf numFmtId="0" fontId="227" fillId="89" borderId="0" xfId="1" applyFont="1" applyFill="1" applyAlignment="1">
      <alignment vertical="center"/>
    </xf>
    <xf numFmtId="0" fontId="228" fillId="89" borderId="0" xfId="1" applyFont="1" applyFill="1" applyAlignment="1">
      <alignment vertical="center"/>
    </xf>
    <xf numFmtId="0" fontId="229" fillId="89" borderId="0" xfId="1" applyFont="1" applyFill="1" applyAlignment="1">
      <alignment vertical="center"/>
    </xf>
    <xf numFmtId="0" fontId="231" fillId="89" borderId="0" xfId="1" applyFont="1" applyFill="1" applyProtection="1">
      <protection hidden="1"/>
    </xf>
    <xf numFmtId="0" fontId="232" fillId="89" borderId="0" xfId="1" applyFont="1" applyFill="1" applyAlignment="1">
      <alignment vertical="center"/>
    </xf>
    <xf numFmtId="0" fontId="233" fillId="89" borderId="0" xfId="1" applyFont="1" applyFill="1" applyAlignment="1">
      <alignment horizontal="center" vertical="center"/>
    </xf>
    <xf numFmtId="193" fontId="234" fillId="89" borderId="0" xfId="1" applyNumberFormat="1" applyFont="1" applyFill="1" applyAlignment="1">
      <alignment horizontal="center" vertical="center"/>
    </xf>
    <xf numFmtId="0" fontId="235" fillId="89" borderId="0" xfId="1" applyFont="1" applyFill="1" applyAlignment="1">
      <alignment vertical="center"/>
    </xf>
    <xf numFmtId="0" fontId="236" fillId="8" borderId="52" xfId="0" applyFont="1" applyFill="1" applyBorder="1" applyAlignment="1">
      <alignment horizontal="left" vertical="center"/>
    </xf>
    <xf numFmtId="0" fontId="236" fillId="8" borderId="5" xfId="0" applyFont="1" applyFill="1" applyBorder="1" applyAlignment="1">
      <alignment horizontal="left" vertical="center"/>
    </xf>
    <xf numFmtId="0" fontId="181" fillId="8" borderId="5" xfId="0" applyFont="1" applyFill="1" applyBorder="1" applyAlignment="1">
      <alignment horizontal="left" vertical="center"/>
    </xf>
    <xf numFmtId="0" fontId="181" fillId="8" borderId="103" xfId="0" applyFont="1" applyFill="1" applyBorder="1" applyAlignment="1">
      <alignment horizontal="left" vertical="center"/>
    </xf>
    <xf numFmtId="0" fontId="220" fillId="8" borderId="196" xfId="1" applyFont="1" applyFill="1" applyBorder="1" applyProtection="1">
      <protection hidden="1"/>
    </xf>
    <xf numFmtId="0" fontId="163" fillId="101" borderId="197" xfId="0" applyFont="1" applyFill="1" applyBorder="1" applyAlignment="1">
      <alignment vertical="top"/>
    </xf>
    <xf numFmtId="0" fontId="0" fillId="101" borderId="196" xfId="0" applyFill="1" applyBorder="1" applyAlignment="1">
      <alignment vertical="top"/>
    </xf>
    <xf numFmtId="0" fontId="0" fillId="101" borderId="154" xfId="0" applyFill="1" applyBorder="1" applyAlignment="1">
      <alignment vertical="top"/>
    </xf>
    <xf numFmtId="0" fontId="0" fillId="101" borderId="197" xfId="0" applyFill="1" applyBorder="1" applyAlignment="1">
      <alignment vertical="top"/>
    </xf>
    <xf numFmtId="0" fontId="237" fillId="89" borderId="0" xfId="1" applyFont="1" applyFill="1" applyAlignment="1">
      <alignment horizontal="left" vertical="center"/>
    </xf>
    <xf numFmtId="0" fontId="231" fillId="89" borderId="0" xfId="1" applyFont="1" applyFill="1" applyAlignment="1">
      <alignment vertical="center"/>
    </xf>
    <xf numFmtId="0" fontId="238" fillId="89" borderId="0" xfId="1" applyFont="1" applyFill="1" applyAlignment="1">
      <alignment vertical="center"/>
    </xf>
    <xf numFmtId="0" fontId="239" fillId="17" borderId="0" xfId="1" applyFont="1" applyFill="1" applyAlignment="1">
      <alignment horizontal="right" vertical="center"/>
    </xf>
    <xf numFmtId="0" fontId="80" fillId="4" borderId="0" xfId="0" applyFont="1" applyFill="1" applyAlignment="1">
      <alignment horizontal="center" vertical="center"/>
    </xf>
    <xf numFmtId="0" fontId="240" fillId="89" borderId="0" xfId="1" applyFont="1" applyFill="1" applyAlignment="1">
      <alignment horizontal="left" vertical="center"/>
    </xf>
    <xf numFmtId="0" fontId="241" fillId="89" borderId="0" xfId="1" applyFont="1" applyFill="1" applyAlignment="1">
      <alignment horizontal="left" vertical="center"/>
    </xf>
    <xf numFmtId="0" fontId="242" fillId="7" borderId="0" xfId="1" applyFont="1" applyFill="1" applyAlignment="1">
      <alignment horizontal="left" vertical="center"/>
    </xf>
    <xf numFmtId="0" fontId="154" fillId="102" borderId="32" xfId="0" applyFont="1" applyFill="1" applyBorder="1" applyAlignment="1">
      <alignment vertical="center"/>
    </xf>
    <xf numFmtId="0" fontId="243" fillId="7" borderId="0" xfId="1" applyFont="1" applyFill="1" applyAlignment="1">
      <alignment horizontal="left" vertical="center"/>
    </xf>
    <xf numFmtId="0" fontId="244" fillId="7" borderId="0" xfId="1" applyFont="1" applyFill="1" applyAlignment="1">
      <alignment horizontal="left" vertical="center"/>
    </xf>
    <xf numFmtId="0" fontId="245" fillId="7" borderId="0" xfId="17" applyFont="1" applyFill="1" applyAlignment="1">
      <alignment horizontal="left" vertical="center"/>
    </xf>
    <xf numFmtId="0" fontId="246" fillId="7" borderId="0" xfId="1" applyFont="1" applyFill="1" applyAlignment="1">
      <alignment horizontal="left" vertical="center"/>
    </xf>
    <xf numFmtId="0" fontId="245" fillId="7" borderId="0" xfId="17" applyFont="1" applyFill="1" applyAlignment="1">
      <alignment vertical="center"/>
    </xf>
    <xf numFmtId="0" fontId="6" fillId="0" borderId="0" xfId="1" applyAlignment="1">
      <alignment vertical="center"/>
    </xf>
    <xf numFmtId="0" fontId="248" fillId="89" borderId="0" xfId="31" applyFont="1" applyFill="1" applyAlignment="1" applyProtection="1">
      <alignment vertical="center"/>
    </xf>
    <xf numFmtId="0" fontId="1" fillId="89" borderId="0" xfId="2" applyFill="1"/>
    <xf numFmtId="0" fontId="249" fillId="89" borderId="0" xfId="1" applyFont="1" applyFill="1" applyAlignment="1" applyProtection="1">
      <alignment horizontal="center" vertical="center"/>
      <protection hidden="1"/>
    </xf>
    <xf numFmtId="0" fontId="249" fillId="89" borderId="0" xfId="1" applyFont="1" applyFill="1" applyAlignment="1">
      <alignment vertical="center"/>
    </xf>
    <xf numFmtId="0" fontId="230" fillId="89" borderId="0" xfId="1" applyFont="1" applyFill="1" applyAlignment="1">
      <alignment vertical="center"/>
    </xf>
    <xf numFmtId="0" fontId="163" fillId="8" borderId="0" xfId="0" applyFont="1" applyFill="1" applyAlignment="1">
      <alignment horizontal="center" vertical="center"/>
    </xf>
    <xf numFmtId="0" fontId="163" fillId="8" borderId="0" xfId="0" applyFont="1" applyFill="1" applyAlignment="1">
      <alignment vertical="center"/>
    </xf>
    <xf numFmtId="0" fontId="154" fillId="8" borderId="0" xfId="16" applyFont="1" applyFill="1" applyAlignment="1" applyProtection="1">
      <alignment horizontal="center" vertical="center"/>
      <protection locked="0"/>
    </xf>
    <xf numFmtId="0" fontId="251" fillId="8" borderId="0" xfId="0" applyFont="1" applyFill="1" applyAlignment="1">
      <alignment vertical="center"/>
    </xf>
    <xf numFmtId="0" fontId="163" fillId="0" borderId="0" xfId="0" applyFont="1"/>
    <xf numFmtId="0" fontId="252" fillId="8" borderId="0" xfId="1" applyFont="1" applyFill="1" applyAlignment="1">
      <alignment horizontal="center" vertical="center"/>
    </xf>
    <xf numFmtId="0" fontId="254" fillId="89" borderId="0" xfId="1" applyFont="1" applyFill="1" applyAlignment="1">
      <alignment vertical="center"/>
    </xf>
    <xf numFmtId="0" fontId="176" fillId="44" borderId="0" xfId="3" applyFont="1" applyFill="1" applyAlignment="1">
      <alignment vertical="center"/>
    </xf>
    <xf numFmtId="0" fontId="6" fillId="44" borderId="0" xfId="1" applyFill="1" applyAlignment="1">
      <alignment vertical="center"/>
    </xf>
    <xf numFmtId="0" fontId="123" fillId="44" borderId="0" xfId="3" applyFont="1" applyFill="1" applyAlignment="1">
      <alignment vertical="center"/>
    </xf>
    <xf numFmtId="0" fontId="255" fillId="44" borderId="0" xfId="17" applyFont="1" applyFill="1" applyAlignment="1">
      <alignment vertical="center"/>
    </xf>
    <xf numFmtId="0" fontId="176" fillId="44" borderId="0" xfId="0" applyFont="1" applyFill="1" applyAlignment="1">
      <alignment vertical="center"/>
    </xf>
    <xf numFmtId="0" fontId="25" fillId="89" borderId="0" xfId="0" applyFont="1" applyFill="1" applyAlignment="1">
      <alignment vertical="center"/>
    </xf>
    <xf numFmtId="0" fontId="256" fillId="89" borderId="0" xfId="3" applyFont="1" applyFill="1" applyAlignment="1">
      <alignment horizontal="center" vertical="center"/>
    </xf>
    <xf numFmtId="0" fontId="256" fillId="89" borderId="0" xfId="0" applyFont="1" applyFill="1"/>
    <xf numFmtId="0" fontId="257" fillId="89" borderId="0" xfId="1" applyFont="1" applyFill="1" applyAlignment="1" applyProtection="1">
      <alignment horizontal="center" vertical="center"/>
      <protection hidden="1"/>
    </xf>
    <xf numFmtId="0" fontId="258" fillId="89" borderId="0" xfId="1" applyFont="1" applyFill="1" applyAlignment="1" applyProtection="1">
      <alignment horizontal="center" vertical="center"/>
      <protection hidden="1"/>
    </xf>
    <xf numFmtId="0" fontId="259" fillId="7" borderId="0" xfId="17" applyFont="1" applyFill="1" applyAlignment="1">
      <alignment horizontal="left" vertical="center"/>
    </xf>
    <xf numFmtId="0" fontId="260" fillId="7" borderId="0" xfId="3" applyFont="1" applyFill="1" applyAlignment="1">
      <alignment horizontal="center" vertical="center"/>
    </xf>
    <xf numFmtId="0" fontId="261" fillId="7" borderId="0" xfId="0" applyFont="1" applyFill="1"/>
    <xf numFmtId="0" fontId="257" fillId="7" borderId="0" xfId="1" applyFont="1" applyFill="1" applyAlignment="1" applyProtection="1">
      <alignment horizontal="center" vertical="center"/>
      <protection hidden="1"/>
    </xf>
    <xf numFmtId="0" fontId="262" fillId="7" borderId="0" xfId="3" applyFont="1" applyFill="1" applyAlignment="1">
      <alignment horizontal="left" vertical="center"/>
    </xf>
    <xf numFmtId="0" fontId="25" fillId="89" borderId="0" xfId="3" applyFont="1" applyFill="1" applyAlignment="1">
      <alignment horizontal="left" vertical="center"/>
    </xf>
    <xf numFmtId="0" fontId="256" fillId="89" borderId="0" xfId="3" applyFont="1" applyFill="1"/>
    <xf numFmtId="0" fontId="263" fillId="89" borderId="0" xfId="0" applyFont="1" applyFill="1" applyAlignment="1">
      <alignment horizontal="left" vertical="center"/>
    </xf>
    <xf numFmtId="0" fontId="25" fillId="89" borderId="0" xfId="26" applyFont="1" applyFill="1" applyAlignment="1">
      <alignment horizontal="center" vertical="center"/>
    </xf>
    <xf numFmtId="0" fontId="25" fillId="89" borderId="0" xfId="1" applyFont="1" applyFill="1" applyAlignment="1">
      <alignment horizontal="left" vertical="center"/>
    </xf>
    <xf numFmtId="0" fontId="263" fillId="89" borderId="0" xfId="0" applyFont="1" applyFill="1" applyAlignment="1">
      <alignment horizontal="center" vertical="center"/>
    </xf>
    <xf numFmtId="0" fontId="256" fillId="89" borderId="0" xfId="3" applyFont="1" applyFill="1" applyAlignment="1">
      <alignment horizontal="left" vertical="center"/>
    </xf>
    <xf numFmtId="0" fontId="256" fillId="89" borderId="0" xfId="0" applyFont="1" applyFill="1" applyAlignment="1">
      <alignment horizontal="center" vertical="center"/>
    </xf>
    <xf numFmtId="0" fontId="261" fillId="22" borderId="0" xfId="0" applyFont="1" applyFill="1" applyAlignment="1">
      <alignment horizontal="center" vertical="center"/>
    </xf>
    <xf numFmtId="0" fontId="265" fillId="89" borderId="0" xfId="32" applyFont="1" applyFill="1" applyAlignment="1">
      <alignment vertical="center"/>
    </xf>
    <xf numFmtId="0" fontId="6" fillId="89" borderId="0" xfId="28" applyFill="1" applyAlignment="1">
      <alignment vertical="center"/>
    </xf>
    <xf numFmtId="0" fontId="207" fillId="89" borderId="0" xfId="28" applyFont="1" applyFill="1"/>
    <xf numFmtId="0" fontId="266" fillId="89" borderId="0" xfId="1" applyFont="1" applyFill="1" applyAlignment="1">
      <alignment vertical="center"/>
    </xf>
    <xf numFmtId="0" fontId="267" fillId="89" borderId="0" xfId="30" applyFont="1" applyFill="1" applyAlignment="1">
      <alignment horizontal="left" vertical="center"/>
    </xf>
    <xf numFmtId="0" fontId="266" fillId="89" borderId="0" xfId="1" applyFont="1" applyFill="1" applyAlignment="1">
      <alignment horizontal="center" vertical="center"/>
    </xf>
    <xf numFmtId="0" fontId="207" fillId="89" borderId="0" xfId="1" applyFont="1" applyFill="1" applyAlignment="1">
      <alignment vertical="center"/>
    </xf>
    <xf numFmtId="169" fontId="268" fillId="89" borderId="41" xfId="29" applyNumberFormat="1" applyFont="1" applyFill="1" applyBorder="1" applyAlignment="1">
      <alignment horizontal="center" vertical="center"/>
    </xf>
    <xf numFmtId="186" fontId="269" fillId="105" borderId="198" xfId="27" applyNumberFormat="1" applyFont="1" applyFill="1" applyBorder="1" applyAlignment="1" applyProtection="1">
      <alignment horizontal="center" vertical="center"/>
      <protection locked="0"/>
    </xf>
    <xf numFmtId="0" fontId="238" fillId="89" borderId="0" xfId="1" applyFont="1" applyFill="1" applyAlignment="1">
      <alignment horizontal="right" vertical="center"/>
    </xf>
    <xf numFmtId="0" fontId="231" fillId="89" borderId="0" xfId="1" applyFont="1" applyFill="1" applyAlignment="1">
      <alignment horizontal="center" vertical="center"/>
    </xf>
    <xf numFmtId="0" fontId="270" fillId="89" borderId="0" xfId="27" applyFont="1" applyFill="1" applyAlignment="1">
      <alignment horizontal="left" vertical="center"/>
    </xf>
    <xf numFmtId="0" fontId="271" fillId="89" borderId="0" xfId="27" applyFont="1" applyFill="1" applyAlignment="1">
      <alignment horizontal="left" vertical="center"/>
    </xf>
    <xf numFmtId="0" fontId="272" fillId="89" borderId="0" xfId="27" applyFont="1" applyFill="1" applyAlignment="1">
      <alignment horizontal="left" vertical="center"/>
    </xf>
    <xf numFmtId="0" fontId="273" fillId="89" borderId="0" xfId="27" applyFont="1" applyFill="1" applyAlignment="1">
      <alignment horizontal="left" vertical="center"/>
    </xf>
    <xf numFmtId="0" fontId="274" fillId="89" borderId="0" xfId="27" applyFont="1" applyFill="1" applyAlignment="1">
      <alignment horizontal="left" vertical="center"/>
    </xf>
    <xf numFmtId="0" fontId="275" fillId="89" borderId="0" xfId="27" applyFont="1" applyFill="1" applyAlignment="1">
      <alignment horizontal="left" vertical="center"/>
    </xf>
    <xf numFmtId="0" fontId="276" fillId="89" borderId="0" xfId="27" applyFont="1" applyFill="1" applyAlignment="1">
      <alignment horizontal="left" vertical="center"/>
    </xf>
    <xf numFmtId="0" fontId="277" fillId="89" borderId="0" xfId="27" applyFont="1" applyFill="1" applyAlignment="1">
      <alignment horizontal="left" vertical="center"/>
    </xf>
    <xf numFmtId="0" fontId="278" fillId="89" borderId="0" xfId="27" applyFont="1" applyFill="1" applyAlignment="1">
      <alignment horizontal="left" vertical="center"/>
    </xf>
    <xf numFmtId="0" fontId="279" fillId="8" borderId="0" xfId="0" applyFont="1" applyFill="1"/>
    <xf numFmtId="0" fontId="281" fillId="8" borderId="0" xfId="17" applyFont="1" applyFill="1" applyAlignment="1">
      <alignment vertical="center"/>
    </xf>
    <xf numFmtId="0" fontId="280" fillId="8" borderId="0" xfId="0" applyFont="1" applyFill="1" applyAlignment="1">
      <alignment vertical="center"/>
    </xf>
    <xf numFmtId="0" fontId="163" fillId="8" borderId="0" xfId="0" applyFont="1" applyFill="1"/>
    <xf numFmtId="0" fontId="282" fillId="8" borderId="0" xfId="0" applyFont="1" applyFill="1" applyAlignment="1">
      <alignment vertical="center"/>
    </xf>
    <xf numFmtId="0" fontId="283" fillId="89" borderId="0" xfId="1" applyFont="1" applyFill="1" applyAlignment="1" applyProtection="1">
      <alignment horizontal="center" vertical="center"/>
      <protection hidden="1"/>
    </xf>
    <xf numFmtId="0" fontId="155" fillId="8" borderId="0" xfId="0" applyFont="1" applyFill="1"/>
    <xf numFmtId="0" fontId="284" fillId="8" borderId="0" xfId="17" applyFont="1" applyFill="1"/>
    <xf numFmtId="0" fontId="284" fillId="8" borderId="0" xfId="17" applyFont="1" applyFill="1" applyAlignment="1">
      <alignment vertical="center"/>
    </xf>
    <xf numFmtId="0" fontId="285" fillId="8" borderId="0" xfId="0" applyFont="1" applyFill="1" applyAlignment="1">
      <alignment vertical="center"/>
    </xf>
    <xf numFmtId="0" fontId="286" fillId="8" borderId="0" xfId="0" applyFont="1" applyFill="1"/>
    <xf numFmtId="0" fontId="286" fillId="8" borderId="0" xfId="0" applyFont="1" applyFill="1" applyAlignment="1">
      <alignment vertical="center"/>
    </xf>
    <xf numFmtId="0" fontId="287" fillId="8" borderId="0" xfId="17" applyFont="1" applyFill="1" applyAlignment="1">
      <alignment vertical="center"/>
    </xf>
    <xf numFmtId="0" fontId="287" fillId="8" borderId="0" xfId="17" applyFont="1" applyFill="1"/>
    <xf numFmtId="0" fontId="288" fillId="8" borderId="0" xfId="0" applyFont="1" applyFill="1"/>
    <xf numFmtId="0" fontId="6" fillId="89" borderId="0" xfId="28" applyFill="1" applyProtection="1">
      <protection hidden="1"/>
    </xf>
    <xf numFmtId="0" fontId="0" fillId="8" borderId="8" xfId="0" applyFill="1" applyBorder="1"/>
    <xf numFmtId="0" fontId="113" fillId="8" borderId="7" xfId="28" applyFont="1" applyFill="1" applyBorder="1" applyAlignment="1">
      <alignment vertical="center"/>
    </xf>
    <xf numFmtId="0" fontId="113" fillId="8" borderId="2" xfId="28" applyFont="1" applyFill="1" applyBorder="1" applyAlignment="1">
      <alignment vertical="center"/>
    </xf>
    <xf numFmtId="0" fontId="113" fillId="8" borderId="8" xfId="28" applyFont="1" applyFill="1" applyBorder="1" applyAlignment="1">
      <alignment vertical="center"/>
    </xf>
    <xf numFmtId="0" fontId="6" fillId="0" borderId="0" xfId="28"/>
    <xf numFmtId="0" fontId="88" fillId="8" borderId="6" xfId="2" applyFont="1" applyFill="1" applyBorder="1" applyAlignment="1">
      <alignment vertical="center"/>
    </xf>
    <xf numFmtId="0" fontId="26" fillId="8" borderId="0" xfId="2" applyFont="1" applyFill="1" applyAlignment="1">
      <alignment horizontal="center"/>
    </xf>
    <xf numFmtId="0" fontId="113" fillId="8" borderId="6" xfId="28" applyFont="1" applyFill="1" applyBorder="1" applyAlignment="1">
      <alignment vertical="center"/>
    </xf>
    <xf numFmtId="0" fontId="113" fillId="8" borderId="0" xfId="28" applyFont="1" applyFill="1" applyAlignment="1">
      <alignment vertical="center"/>
    </xf>
    <xf numFmtId="0" fontId="113" fillId="8" borderId="9" xfId="28" applyFont="1" applyFill="1" applyBorder="1" applyAlignment="1">
      <alignment vertical="center"/>
    </xf>
    <xf numFmtId="0" fontId="88" fillId="8" borderId="0" xfId="2" applyFont="1" applyFill="1" applyAlignment="1">
      <alignment vertical="center" wrapText="1"/>
    </xf>
    <xf numFmtId="0" fontId="88" fillId="8" borderId="9" xfId="2" applyFont="1" applyFill="1" applyBorder="1" applyAlignment="1">
      <alignment vertical="center" wrapText="1"/>
    </xf>
    <xf numFmtId="0" fontId="6" fillId="8" borderId="6" xfId="28" applyFill="1" applyBorder="1"/>
    <xf numFmtId="0" fontId="6" fillId="8" borderId="0" xfId="28" applyFill="1"/>
    <xf numFmtId="0" fontId="6" fillId="8" borderId="9" xfId="28" applyFill="1" applyBorder="1"/>
    <xf numFmtId="0" fontId="88" fillId="8" borderId="0" xfId="2" applyFont="1" applyFill="1" applyAlignment="1">
      <alignment vertical="center"/>
    </xf>
    <xf numFmtId="0" fontId="1" fillId="8" borderId="0" xfId="2" applyFill="1"/>
    <xf numFmtId="0" fontId="0" fillId="8" borderId="58" xfId="0" applyFill="1" applyBorder="1"/>
    <xf numFmtId="0" fontId="0" fillId="8" borderId="3" xfId="0" applyFill="1" applyBorder="1"/>
    <xf numFmtId="0" fontId="0" fillId="8" borderId="59" xfId="0" applyFill="1" applyBorder="1"/>
    <xf numFmtId="169" fontId="291" fillId="44" borderId="0" xfId="29" applyNumberFormat="1" applyFont="1" applyFill="1" applyAlignment="1">
      <alignment horizontal="left" vertical="center"/>
    </xf>
    <xf numFmtId="0" fontId="6" fillId="44" borderId="0" xfId="1" applyFill="1" applyAlignment="1" applyProtection="1">
      <alignment horizontal="left"/>
      <protection hidden="1"/>
    </xf>
    <xf numFmtId="0" fontId="1" fillId="44" borderId="0" xfId="10" applyFill="1" applyAlignment="1">
      <alignment horizontal="left"/>
    </xf>
    <xf numFmtId="0" fontId="256" fillId="89" borderId="0" xfId="1" applyFont="1" applyFill="1" applyAlignment="1" applyProtection="1">
      <alignment horizontal="left" vertical="center"/>
      <protection hidden="1"/>
    </xf>
    <xf numFmtId="0" fontId="292" fillId="89" borderId="0" xfId="1" applyFont="1" applyFill="1" applyProtection="1">
      <protection hidden="1"/>
    </xf>
    <xf numFmtId="0" fontId="266" fillId="89" borderId="0" xfId="2" applyFont="1" applyFill="1" applyAlignment="1">
      <alignment vertical="center"/>
    </xf>
    <xf numFmtId="0" fontId="29" fillId="89" borderId="0" xfId="2" applyFont="1" applyFill="1" applyAlignment="1">
      <alignment vertical="center"/>
    </xf>
    <xf numFmtId="0" fontId="25" fillId="89" borderId="0" xfId="1" applyFont="1" applyFill="1" applyAlignment="1" applyProtection="1">
      <alignment vertical="center"/>
      <protection hidden="1"/>
    </xf>
    <xf numFmtId="0" fontId="71" fillId="89" borderId="0" xfId="2" applyFont="1" applyFill="1"/>
    <xf numFmtId="0" fontId="256" fillId="89" borderId="0" xfId="27" applyFont="1" applyFill="1" applyAlignment="1">
      <alignment horizontal="left" vertical="center"/>
    </xf>
    <xf numFmtId="0" fontId="256" fillId="89" borderId="0" xfId="8" applyFont="1" applyFill="1" applyAlignment="1">
      <alignment horizontal="left" vertical="center"/>
    </xf>
    <xf numFmtId="0" fontId="259" fillId="44" borderId="0" xfId="17" applyFont="1" applyFill="1" applyBorder="1" applyAlignment="1">
      <alignment vertical="center"/>
    </xf>
    <xf numFmtId="0" fontId="293" fillId="89" borderId="0" xfId="27" applyFont="1" applyFill="1" applyAlignment="1">
      <alignment horizontal="left" vertical="center"/>
    </xf>
    <xf numFmtId="0" fontId="294" fillId="7" borderId="0" xfId="0" applyFont="1" applyFill="1" applyAlignment="1">
      <alignment horizontal="center" vertical="center"/>
    </xf>
    <xf numFmtId="0" fontId="266" fillId="89" borderId="0" xfId="0" applyFont="1" applyFill="1" applyAlignment="1">
      <alignment horizontal="center" vertical="center"/>
    </xf>
    <xf numFmtId="0" fontId="295" fillId="7" borderId="0" xfId="8" applyFont="1" applyFill="1" applyAlignment="1">
      <alignment horizontal="center" vertical="center"/>
    </xf>
    <xf numFmtId="0" fontId="296" fillId="7" borderId="0" xfId="27" applyFont="1" applyFill="1" applyAlignment="1">
      <alignment horizontal="center" vertical="center"/>
    </xf>
    <xf numFmtId="0" fontId="297" fillId="89" borderId="0" xfId="1" applyFont="1" applyFill="1" applyAlignment="1">
      <alignment horizontal="center" vertical="center"/>
    </xf>
    <xf numFmtId="0" fontId="261" fillId="89" borderId="0" xfId="2" applyFont="1" applyFill="1"/>
    <xf numFmtId="0" fontId="297" fillId="89" borderId="0" xfId="1" applyFont="1" applyFill="1" applyAlignment="1">
      <alignment vertical="center"/>
    </xf>
    <xf numFmtId="0" fontId="215" fillId="89" borderId="0" xfId="32" applyFont="1" applyFill="1" applyAlignment="1">
      <alignment vertical="center"/>
    </xf>
    <xf numFmtId="0" fontId="298" fillId="7" borderId="0" xfId="17" applyFont="1" applyFill="1" applyAlignment="1">
      <alignment vertical="center"/>
    </xf>
    <xf numFmtId="0" fontId="6" fillId="7" borderId="0" xfId="28" applyFill="1" applyAlignment="1">
      <alignment vertical="center"/>
    </xf>
    <xf numFmtId="0" fontId="6" fillId="7" borderId="0" xfId="1" applyFill="1" applyAlignment="1">
      <alignment vertical="center"/>
    </xf>
    <xf numFmtId="0" fontId="6" fillId="0" borderId="0" xfId="28" applyAlignment="1">
      <alignment vertical="center"/>
    </xf>
    <xf numFmtId="0" fontId="299" fillId="89" borderId="0" xfId="28" applyFont="1" applyFill="1" applyAlignment="1">
      <alignment horizontal="center" vertical="center"/>
    </xf>
    <xf numFmtId="0" fontId="299" fillId="89" borderId="0" xfId="28" quotePrefix="1" applyFont="1" applyFill="1" applyAlignment="1">
      <alignment horizontal="center" vertical="center"/>
    </xf>
    <xf numFmtId="0" fontId="300" fillId="89" borderId="0" xfId="0" applyFont="1" applyFill="1" applyAlignment="1">
      <alignment horizontal="right" vertical="center"/>
    </xf>
    <xf numFmtId="0" fontId="301" fillId="89" borderId="0" xfId="0" applyFont="1" applyFill="1" applyAlignment="1">
      <alignment vertical="center"/>
    </xf>
    <xf numFmtId="0" fontId="31" fillId="89" borderId="0" xfId="0" applyFont="1" applyFill="1" applyAlignment="1">
      <alignment horizontal="center" vertical="center"/>
    </xf>
    <xf numFmtId="0" fontId="256" fillId="89" borderId="0" xfId="28" applyFont="1" applyFill="1" applyAlignment="1" applyProtection="1">
      <alignment vertical="center"/>
      <protection hidden="1"/>
    </xf>
    <xf numFmtId="0" fontId="41" fillId="89" borderId="0" xfId="0" applyFont="1" applyFill="1" applyAlignment="1">
      <alignment horizontal="left" vertical="top"/>
    </xf>
    <xf numFmtId="0" fontId="302" fillId="65" borderId="0" xfId="1" applyFont="1" applyFill="1" applyAlignment="1">
      <alignment horizontal="center" vertical="center"/>
    </xf>
    <xf numFmtId="0" fontId="303" fillId="65" borderId="0" xfId="1" applyFont="1" applyFill="1" applyAlignment="1">
      <alignment horizontal="center" vertical="center"/>
    </xf>
    <xf numFmtId="0" fontId="304" fillId="65" borderId="0" xfId="1" applyFont="1" applyFill="1" applyAlignment="1">
      <alignment horizontal="center" vertical="center"/>
    </xf>
    <xf numFmtId="0" fontId="305" fillId="65" borderId="0" xfId="1" applyFont="1" applyFill="1" applyAlignment="1">
      <alignment horizontal="center" vertical="center"/>
    </xf>
    <xf numFmtId="0" fontId="306" fillId="65" borderId="0" xfId="1" applyFont="1" applyFill="1" applyAlignment="1">
      <alignment horizontal="center" vertical="center"/>
    </xf>
    <xf numFmtId="0" fontId="307" fillId="65" borderId="0" xfId="1" applyFont="1" applyFill="1" applyAlignment="1">
      <alignment horizontal="center" vertical="center"/>
    </xf>
    <xf numFmtId="0" fontId="308" fillId="65" borderId="0" xfId="1" applyFont="1" applyFill="1" applyAlignment="1">
      <alignment horizontal="center" vertical="center"/>
    </xf>
    <xf numFmtId="0" fontId="309" fillId="65" borderId="0" xfId="1" applyFont="1" applyFill="1" applyAlignment="1">
      <alignment horizontal="center" vertical="center"/>
    </xf>
    <xf numFmtId="0" fontId="310" fillId="65" borderId="0" xfId="1" applyFont="1" applyFill="1" applyAlignment="1">
      <alignment horizontal="center" vertical="center"/>
    </xf>
    <xf numFmtId="0" fontId="311" fillId="65" borderId="0" xfId="1" applyFont="1" applyFill="1" applyAlignment="1">
      <alignment horizontal="center" vertical="center"/>
    </xf>
    <xf numFmtId="0" fontId="312" fillId="65" borderId="0" xfId="1" applyFont="1" applyFill="1" applyAlignment="1">
      <alignment horizontal="center" vertical="center"/>
    </xf>
    <xf numFmtId="0" fontId="313" fillId="65" borderId="0" xfId="1" applyFont="1" applyFill="1" applyAlignment="1">
      <alignment horizontal="center" vertical="center"/>
    </xf>
    <xf numFmtId="0" fontId="314" fillId="65" borderId="0" xfId="1" applyFont="1" applyFill="1" applyAlignment="1">
      <alignment horizontal="center" vertical="center"/>
    </xf>
    <xf numFmtId="0" fontId="315" fillId="65" borderId="0" xfId="1" applyFont="1" applyFill="1" applyAlignment="1">
      <alignment horizontal="center" vertical="center"/>
    </xf>
    <xf numFmtId="0" fontId="316" fillId="65" borderId="0" xfId="1" applyFont="1" applyFill="1" applyAlignment="1">
      <alignment horizontal="center" vertical="center"/>
    </xf>
    <xf numFmtId="0" fontId="317" fillId="65" borderId="0" xfId="1" applyFont="1" applyFill="1" applyAlignment="1">
      <alignment horizontal="center" vertical="center"/>
    </xf>
    <xf numFmtId="0" fontId="318" fillId="65" borderId="0" xfId="1" applyFont="1" applyFill="1" applyAlignment="1">
      <alignment horizontal="center" vertical="center"/>
    </xf>
    <xf numFmtId="0" fontId="319" fillId="65" borderId="0" xfId="1" applyFont="1" applyFill="1" applyAlignment="1">
      <alignment horizontal="center" vertical="center"/>
    </xf>
    <xf numFmtId="0" fontId="294" fillId="8" borderId="6" xfId="1" applyFont="1" applyFill="1" applyBorder="1" applyAlignment="1">
      <alignment horizontal="center" vertical="center"/>
    </xf>
    <xf numFmtId="0" fontId="321" fillId="0" borderId="152" xfId="33" applyFont="1" applyBorder="1" applyAlignment="1">
      <alignment horizontal="center" vertical="center"/>
    </xf>
    <xf numFmtId="181" fontId="322" fillId="106" borderId="199" xfId="1" applyNumberFormat="1" applyFont="1" applyFill="1" applyBorder="1" applyAlignment="1">
      <alignment horizontal="center" vertical="center"/>
    </xf>
    <xf numFmtId="0" fontId="323" fillId="107" borderId="6" xfId="1" applyFont="1" applyFill="1" applyBorder="1" applyAlignment="1">
      <alignment horizontal="center" vertical="center"/>
    </xf>
    <xf numFmtId="0" fontId="323" fillId="108" borderId="6" xfId="1" applyFont="1" applyFill="1" applyBorder="1" applyAlignment="1">
      <alignment horizontal="center" vertical="center"/>
    </xf>
    <xf numFmtId="0" fontId="254" fillId="89" borderId="0" xfId="28" applyFont="1" applyFill="1" applyAlignment="1">
      <alignment vertical="center"/>
    </xf>
    <xf numFmtId="0" fontId="324" fillId="8" borderId="0" xfId="28" applyFont="1" applyFill="1" applyAlignment="1">
      <alignment vertical="center"/>
    </xf>
    <xf numFmtId="0" fontId="6" fillId="8" borderId="0" xfId="28" applyFill="1" applyProtection="1">
      <protection hidden="1"/>
    </xf>
    <xf numFmtId="0" fontId="325" fillId="8" borderId="6" xfId="28" applyFont="1" applyFill="1" applyBorder="1" applyAlignment="1">
      <alignment vertical="center"/>
    </xf>
    <xf numFmtId="0" fontId="6" fillId="8" borderId="0" xfId="28" applyFill="1" applyAlignment="1">
      <alignment vertical="center"/>
    </xf>
    <xf numFmtId="0" fontId="266" fillId="71" borderId="0" xfId="0" applyFont="1" applyFill="1" applyAlignment="1">
      <alignment horizontal="center" vertical="center"/>
    </xf>
    <xf numFmtId="188" fontId="326" fillId="8" borderId="0" xfId="28" applyNumberFormat="1" applyFont="1" applyFill="1" applyAlignment="1">
      <alignment vertical="center"/>
    </xf>
    <xf numFmtId="0" fontId="325" fillId="8" borderId="0" xfId="28" applyFont="1" applyFill="1" applyAlignment="1">
      <alignment horizontal="left" vertical="center"/>
    </xf>
    <xf numFmtId="0" fontId="6" fillId="0" borderId="0" xfId="28" applyProtection="1">
      <protection hidden="1"/>
    </xf>
    <xf numFmtId="0" fontId="327" fillId="109" borderId="0" xfId="28" applyFont="1" applyFill="1" applyAlignment="1">
      <alignment horizontal="center" vertical="center"/>
    </xf>
    <xf numFmtId="0" fontId="328" fillId="4" borderId="9" xfId="28" applyFont="1" applyFill="1" applyBorder="1" applyAlignment="1">
      <alignment horizontal="center" vertical="center"/>
    </xf>
    <xf numFmtId="0" fontId="328" fillId="4" borderId="0" xfId="28" applyFont="1" applyFill="1" applyAlignment="1">
      <alignment horizontal="center" vertical="center"/>
    </xf>
    <xf numFmtId="0" fontId="231" fillId="89" borderId="0" xfId="28" applyFont="1" applyFill="1" applyAlignment="1">
      <alignment vertical="center"/>
    </xf>
    <xf numFmtId="0" fontId="231" fillId="89" borderId="6" xfId="28" applyFont="1" applyFill="1" applyBorder="1" applyAlignment="1">
      <alignment vertical="center"/>
    </xf>
    <xf numFmtId="0" fontId="329" fillId="8" borderId="0" xfId="28" applyFont="1" applyFill="1" applyAlignment="1">
      <alignment horizontal="center" vertical="center"/>
    </xf>
    <xf numFmtId="0" fontId="231" fillId="89" borderId="0" xfId="28" applyFont="1" applyFill="1" applyAlignment="1">
      <alignment horizontal="right" vertical="center"/>
    </xf>
    <xf numFmtId="0" fontId="10" fillId="44" borderId="0" xfId="1" applyFont="1" applyFill="1" applyAlignment="1">
      <alignment horizontal="center" vertical="center"/>
    </xf>
    <xf numFmtId="0" fontId="110" fillId="8" borderId="0" xfId="0" applyFont="1" applyFill="1" applyAlignment="1">
      <alignment horizontal="left" vertical="center"/>
    </xf>
    <xf numFmtId="0" fontId="78" fillId="46" borderId="0" xfId="16" applyFont="1" applyFill="1" applyAlignment="1" applyProtection="1">
      <alignment horizontal="right" vertical="center"/>
      <protection locked="0"/>
    </xf>
    <xf numFmtId="0" fontId="223" fillId="8" borderId="0" xfId="1" applyFont="1" applyFill="1" applyAlignment="1" applyProtection="1">
      <alignment vertical="center"/>
      <protection hidden="1"/>
    </xf>
    <xf numFmtId="0" fontId="298" fillId="8" borderId="0" xfId="17" applyFont="1" applyFill="1" applyAlignment="1">
      <alignment vertical="center"/>
    </xf>
    <xf numFmtId="0" fontId="224" fillId="8" borderId="0" xfId="13" applyFont="1" applyFill="1" applyAlignment="1">
      <alignment vertical="center"/>
    </xf>
    <xf numFmtId="0" fontId="330" fillId="8" borderId="0" xfId="0" applyFont="1" applyFill="1"/>
    <xf numFmtId="0" fontId="282" fillId="8" borderId="0" xfId="0" applyFont="1" applyFill="1"/>
    <xf numFmtId="0" fontId="280" fillId="8" borderId="0" xfId="0" applyFont="1" applyFill="1"/>
    <xf numFmtId="169" fontId="290" fillId="28" borderId="0" xfId="29" applyNumberFormat="1" applyFont="1" applyFill="1" applyAlignment="1">
      <alignment vertical="center"/>
    </xf>
    <xf numFmtId="0" fontId="215" fillId="89" borderId="0" xfId="32" applyFont="1" applyFill="1" applyAlignment="1">
      <alignment horizontal="right" vertical="center"/>
    </xf>
    <xf numFmtId="0" fontId="251" fillId="45" borderId="0" xfId="16" applyFont="1" applyFill="1" applyAlignment="1" applyProtection="1">
      <alignment vertical="center"/>
      <protection locked="0"/>
    </xf>
    <xf numFmtId="0" fontId="26" fillId="26" borderId="0" xfId="16" applyFont="1" applyFill="1" applyAlignment="1" applyProtection="1">
      <alignment vertical="center"/>
      <protection locked="0"/>
    </xf>
    <xf numFmtId="0" fontId="88" fillId="49" borderId="0" xfId="0" applyFont="1" applyFill="1" applyAlignment="1">
      <alignment vertical="center"/>
    </xf>
    <xf numFmtId="0" fontId="253" fillId="8" borderId="0" xfId="0" applyFont="1" applyFill="1" applyAlignment="1">
      <alignment vertical="center"/>
    </xf>
    <xf numFmtId="0" fontId="44" fillId="45" borderId="0" xfId="16" applyFont="1" applyFill="1" applyAlignment="1" applyProtection="1">
      <alignment vertical="center"/>
      <protection locked="0"/>
    </xf>
    <xf numFmtId="0" fontId="36" fillId="8" borderId="0" xfId="0" applyFont="1" applyFill="1" applyAlignment="1">
      <alignment horizontal="center" vertical="center"/>
    </xf>
    <xf numFmtId="174" fontId="24" fillId="48" borderId="0" xfId="1" applyNumberFormat="1" applyFont="1" applyFill="1" applyAlignment="1">
      <alignment horizontal="center" vertical="center"/>
    </xf>
    <xf numFmtId="169" fontId="84" fillId="46" borderId="0" xfId="16" applyNumberFormat="1" applyFont="1" applyFill="1" applyAlignment="1" applyProtection="1">
      <alignment horizontal="center" vertical="center"/>
      <protection locked="0"/>
    </xf>
    <xf numFmtId="168" fontId="35" fillId="46" borderId="0" xfId="1" applyNumberFormat="1" applyFont="1" applyFill="1" applyAlignment="1">
      <alignment horizontal="center" vertical="center"/>
    </xf>
    <xf numFmtId="0" fontId="69" fillId="45" borderId="0" xfId="16" applyFont="1" applyFill="1" applyAlignment="1" applyProtection="1">
      <alignment vertical="center"/>
      <protection locked="0"/>
    </xf>
    <xf numFmtId="0" fontId="69" fillId="8" borderId="0" xfId="1" applyFont="1" applyFill="1" applyAlignment="1">
      <alignment horizontal="left" vertical="center"/>
    </xf>
    <xf numFmtId="0" fontId="154" fillId="26" borderId="0" xfId="16" applyFont="1" applyFill="1" applyAlignment="1" applyProtection="1">
      <alignment vertical="center"/>
      <protection locked="0"/>
    </xf>
    <xf numFmtId="0" fontId="155" fillId="49" borderId="0" xfId="0" applyFont="1" applyFill="1" applyAlignment="1">
      <alignment vertical="center"/>
    </xf>
    <xf numFmtId="0" fontId="250" fillId="8" borderId="33" xfId="1" applyFont="1" applyFill="1" applyBorder="1" applyAlignment="1" applyProtection="1">
      <alignment horizontal="left" vertical="center"/>
      <protection locked="0"/>
    </xf>
    <xf numFmtId="0" fontId="26" fillId="26" borderId="33" xfId="16" applyFont="1" applyFill="1" applyBorder="1" applyAlignment="1" applyProtection="1">
      <alignment vertical="center"/>
      <protection locked="0"/>
    </xf>
    <xf numFmtId="0" fontId="88" fillId="49" borderId="33" xfId="0" applyFont="1" applyFill="1" applyBorder="1" applyAlignment="1">
      <alignment vertical="center"/>
    </xf>
    <xf numFmtId="1" fontId="44" fillId="8" borderId="32" xfId="5" applyNumberFormat="1" applyFont="1" applyFill="1" applyBorder="1" applyAlignment="1">
      <alignment vertical="center"/>
    </xf>
    <xf numFmtId="0" fontId="253" fillId="8" borderId="33" xfId="0" applyFont="1" applyFill="1" applyBorder="1" applyAlignment="1">
      <alignment vertical="center"/>
    </xf>
    <xf numFmtId="1" fontId="38" fillId="7" borderId="35" xfId="5" applyNumberFormat="1" applyFont="1" applyFill="1" applyBorder="1" applyAlignment="1">
      <alignment vertical="center"/>
    </xf>
    <xf numFmtId="168" fontId="44" fillId="103" borderId="56" xfId="1" applyNumberFormat="1" applyFont="1" applyFill="1" applyBorder="1" applyAlignment="1">
      <alignment vertical="center"/>
    </xf>
    <xf numFmtId="0" fontId="251" fillId="7" borderId="56" xfId="0" applyFont="1" applyFill="1" applyBorder="1" applyAlignment="1">
      <alignment vertical="center"/>
    </xf>
    <xf numFmtId="174" fontId="66" fillId="104" borderId="56" xfId="1" applyNumberFormat="1" applyFont="1" applyFill="1" applyBorder="1" applyAlignment="1">
      <alignment vertical="center"/>
    </xf>
    <xf numFmtId="0" fontId="155" fillId="7" borderId="56" xfId="0" applyFont="1" applyFill="1" applyBorder="1" applyAlignment="1">
      <alignment vertical="center"/>
    </xf>
    <xf numFmtId="0" fontId="154" fillId="104" borderId="56" xfId="1" applyFont="1" applyFill="1" applyBorder="1" applyAlignment="1">
      <alignment vertical="center"/>
    </xf>
    <xf numFmtId="0" fontId="163" fillId="7" borderId="56" xfId="0" applyFont="1" applyFill="1" applyBorder="1" applyAlignment="1">
      <alignment vertical="center"/>
    </xf>
    <xf numFmtId="0" fontId="163" fillId="7" borderId="56" xfId="0" applyFont="1" applyFill="1" applyBorder="1" applyAlignment="1">
      <alignment horizontal="center" vertical="center"/>
    </xf>
    <xf numFmtId="0" fontId="252" fillId="7" borderId="56" xfId="1" applyFont="1" applyFill="1" applyBorder="1" applyAlignment="1">
      <alignment horizontal="center" vertical="center"/>
    </xf>
    <xf numFmtId="0" fontId="253" fillId="7" borderId="56" xfId="0" applyFont="1" applyFill="1" applyBorder="1" applyAlignment="1">
      <alignment vertical="center" wrapText="1"/>
    </xf>
    <xf numFmtId="0" fontId="253" fillId="7" borderId="37" xfId="0" applyFont="1" applyFill="1" applyBorder="1" applyAlignment="1">
      <alignment vertical="center" wrapText="1"/>
    </xf>
    <xf numFmtId="0" fontId="69" fillId="8" borderId="0" xfId="0" applyFont="1" applyFill="1" applyAlignment="1">
      <alignment vertical="center"/>
    </xf>
    <xf numFmtId="0" fontId="69" fillId="45" borderId="0" xfId="16" applyFont="1" applyFill="1" applyAlignment="1" applyProtection="1">
      <alignment horizontal="center" vertical="center" wrapText="1"/>
      <protection locked="0"/>
    </xf>
    <xf numFmtId="0" fontId="24" fillId="45" borderId="0" xfId="16" applyFont="1" applyFill="1" applyAlignment="1" applyProtection="1">
      <alignment horizontal="center" vertical="center" wrapText="1"/>
      <protection locked="0"/>
    </xf>
    <xf numFmtId="0" fontId="0" fillId="8" borderId="2" xfId="0" applyFill="1" applyBorder="1"/>
    <xf numFmtId="0" fontId="110" fillId="8" borderId="0" xfId="2" applyFont="1" applyFill="1" applyAlignment="1">
      <alignment vertical="center"/>
    </xf>
    <xf numFmtId="0" fontId="71" fillId="8" borderId="0" xfId="2" applyFont="1" applyFill="1" applyAlignment="1">
      <alignment vertical="top"/>
    </xf>
    <xf numFmtId="0" fontId="220" fillId="89" borderId="0" xfId="28" applyFont="1" applyFill="1" applyProtection="1">
      <protection hidden="1"/>
    </xf>
    <xf numFmtId="0" fontId="221" fillId="8" borderId="0" xfId="17" applyFont="1" applyFill="1" applyAlignment="1" applyProtection="1">
      <alignment vertical="center"/>
      <protection hidden="1"/>
    </xf>
    <xf numFmtId="0" fontId="220" fillId="8" borderId="0" xfId="28" applyFont="1" applyFill="1" applyProtection="1">
      <protection hidden="1"/>
    </xf>
    <xf numFmtId="0" fontId="4" fillId="16" borderId="0" xfId="0" applyFont="1" applyFill="1" applyAlignment="1">
      <alignment vertical="center"/>
    </xf>
    <xf numFmtId="0" fontId="331" fillId="16" borderId="0" xfId="17" applyFont="1" applyFill="1" applyAlignment="1">
      <alignment vertical="center"/>
    </xf>
    <xf numFmtId="0" fontId="107" fillId="16" borderId="0" xfId="0" applyFont="1" applyFill="1" applyAlignment="1">
      <alignment vertical="center"/>
    </xf>
    <xf numFmtId="0" fontId="332" fillId="8" borderId="45" xfId="17" applyFont="1" applyFill="1" applyBorder="1" applyAlignment="1">
      <alignment vertical="center"/>
    </xf>
    <xf numFmtId="0" fontId="148" fillId="8" borderId="45" xfId="17" applyFont="1" applyFill="1" applyBorder="1" applyAlignment="1">
      <alignment vertical="center"/>
    </xf>
    <xf numFmtId="0" fontId="176" fillId="16" borderId="0" xfId="3" applyFont="1" applyFill="1" applyAlignment="1">
      <alignment horizontal="left" vertical="center"/>
    </xf>
    <xf numFmtId="0" fontId="333" fillId="16" borderId="0" xfId="6" applyFont="1" applyFill="1" applyAlignment="1">
      <alignment horizontal="center" vertical="center"/>
    </xf>
    <xf numFmtId="0" fontId="334" fillId="16" borderId="0" xfId="1" applyFont="1" applyFill="1" applyAlignment="1">
      <alignment horizontal="center" vertical="center"/>
    </xf>
    <xf numFmtId="0" fontId="335" fillId="16" borderId="0" xfId="1" applyFont="1" applyFill="1" applyAlignment="1">
      <alignment horizontal="center" vertical="center"/>
    </xf>
    <xf numFmtId="0" fontId="80" fillId="16" borderId="0" xfId="26" applyFont="1" applyFill="1" applyAlignment="1">
      <alignment vertical="center"/>
    </xf>
    <xf numFmtId="0" fontId="80" fillId="16" borderId="0" xfId="3" applyFont="1" applyFill="1" applyAlignment="1">
      <alignment horizontal="left" vertical="center"/>
    </xf>
    <xf numFmtId="0" fontId="336" fillId="16" borderId="0" xfId="3" applyFont="1" applyFill="1"/>
    <xf numFmtId="0" fontId="337" fillId="16" borderId="16" xfId="26" applyFont="1" applyFill="1" applyBorder="1" applyAlignment="1">
      <alignment vertical="center"/>
    </xf>
    <xf numFmtId="0" fontId="337" fillId="16" borderId="0" xfId="26" applyFont="1" applyFill="1" applyAlignment="1">
      <alignment horizontal="left" vertical="center" wrapText="1"/>
    </xf>
    <xf numFmtId="0" fontId="339" fillId="16" borderId="0" xfId="26" applyFont="1" applyFill="1" applyAlignment="1">
      <alignment vertical="center"/>
    </xf>
    <xf numFmtId="0" fontId="37" fillId="8" borderId="9" xfId="9" applyFont="1" applyFill="1" applyBorder="1" applyAlignment="1">
      <alignment horizontal="right" vertical="center"/>
    </xf>
    <xf numFmtId="0" fontId="0" fillId="8" borderId="12" xfId="0" applyFill="1" applyBorder="1"/>
    <xf numFmtId="0" fontId="21" fillId="8" borderId="0" xfId="6" applyFont="1" applyFill="1" applyAlignment="1">
      <alignment horizontal="right" vertical="center"/>
    </xf>
    <xf numFmtId="170" fontId="57" fillId="8" borderId="200" xfId="1" applyNumberFormat="1" applyFont="1" applyFill="1" applyBorder="1" applyAlignment="1">
      <alignment horizontal="center" vertical="center"/>
    </xf>
    <xf numFmtId="170" fontId="57" fillId="31" borderId="200" xfId="1" applyNumberFormat="1" applyFont="1" applyFill="1" applyBorder="1" applyAlignment="1">
      <alignment horizontal="center" vertical="center"/>
    </xf>
    <xf numFmtId="0" fontId="10" fillId="24" borderId="195" xfId="3" applyFont="1" applyFill="1" applyBorder="1" applyAlignment="1">
      <alignment horizontal="left" vertical="center"/>
    </xf>
    <xf numFmtId="0" fontId="64" fillId="44" borderId="151" xfId="13" applyFont="1" applyFill="1" applyBorder="1" applyAlignment="1">
      <alignment horizontal="center" vertical="center"/>
    </xf>
    <xf numFmtId="0" fontId="340" fillId="44" borderId="151" xfId="13" applyFont="1" applyFill="1" applyBorder="1" applyAlignment="1">
      <alignment horizontal="center" vertical="center"/>
    </xf>
    <xf numFmtId="0" fontId="171" fillId="44" borderId="151" xfId="1" applyFont="1" applyFill="1" applyBorder="1" applyAlignment="1">
      <alignment vertical="center"/>
    </xf>
    <xf numFmtId="0" fontId="200" fillId="50" borderId="3" xfId="1" applyFont="1" applyFill="1" applyBorder="1" applyAlignment="1" applyProtection="1">
      <alignment vertical="center"/>
      <protection hidden="1"/>
    </xf>
    <xf numFmtId="0" fontId="80" fillId="21" borderId="9" xfId="15" applyFont="1" applyFill="1" applyBorder="1" applyAlignment="1">
      <alignment horizontal="center" vertical="center"/>
    </xf>
    <xf numFmtId="0" fontId="13" fillId="8" borderId="45" xfId="1" applyFont="1" applyFill="1" applyBorder="1" applyAlignment="1" applyProtection="1">
      <alignment vertical="center"/>
      <protection hidden="1"/>
    </xf>
    <xf numFmtId="0" fontId="80" fillId="21" borderId="115" xfId="15" applyFont="1" applyFill="1" applyBorder="1" applyAlignment="1">
      <alignment horizontal="center" vertical="center"/>
    </xf>
    <xf numFmtId="0" fontId="21" fillId="8" borderId="201" xfId="1" applyFont="1" applyFill="1" applyBorder="1" applyAlignment="1" applyProtection="1">
      <alignment horizontal="right" vertical="center"/>
      <protection locked="0"/>
    </xf>
    <xf numFmtId="0" fontId="21" fillId="8" borderId="202" xfId="1" applyFont="1" applyFill="1" applyBorder="1" applyAlignment="1" applyProtection="1">
      <alignment horizontal="right" vertical="center"/>
      <protection locked="0"/>
    </xf>
    <xf numFmtId="0" fontId="122" fillId="11" borderId="0" xfId="5" applyFont="1" applyFill="1" applyAlignment="1">
      <alignment horizontal="left" vertical="center"/>
    </xf>
    <xf numFmtId="0" fontId="21" fillId="8" borderId="0" xfId="4" applyFont="1" applyFill="1" applyAlignment="1">
      <alignment horizontal="center" vertical="center"/>
    </xf>
    <xf numFmtId="0" fontId="48" fillId="7" borderId="9" xfId="9" applyFont="1" applyFill="1" applyBorder="1" applyAlignment="1">
      <alignment horizontal="right" vertical="center"/>
    </xf>
    <xf numFmtId="167" fontId="341" fillId="110" borderId="0" xfId="9" applyNumberFormat="1" applyFont="1" applyFill="1" applyAlignment="1">
      <alignment horizontal="center" vertical="center"/>
    </xf>
    <xf numFmtId="0" fontId="48" fillId="8" borderId="0" xfId="1" applyFont="1" applyFill="1" applyAlignment="1">
      <alignment horizontal="center"/>
    </xf>
    <xf numFmtId="0" fontId="48" fillId="8" borderId="14" xfId="9" applyFont="1" applyFill="1" applyBorder="1" applyAlignment="1">
      <alignment horizontal="center" vertical="center"/>
    </xf>
    <xf numFmtId="170" fontId="62" fillId="0" borderId="0" xfId="1" applyNumberFormat="1" applyFont="1" applyAlignment="1">
      <alignment horizontal="center" vertical="center"/>
    </xf>
    <xf numFmtId="170" fontId="21" fillId="0" borderId="0" xfId="1" applyNumberFormat="1" applyFont="1" applyAlignment="1">
      <alignment horizontal="center" vertical="center"/>
    </xf>
    <xf numFmtId="167" fontId="21" fillId="0" borderId="0" xfId="1" applyNumberFormat="1" applyFont="1" applyAlignment="1">
      <alignment horizontal="center" vertical="center"/>
    </xf>
    <xf numFmtId="0" fontId="16" fillId="9" borderId="203" xfId="3" applyFont="1" applyFill="1" applyBorder="1" applyAlignment="1">
      <alignment horizontal="center" vertical="center"/>
    </xf>
    <xf numFmtId="170" fontId="21" fillId="31" borderId="44" xfId="1" applyNumberFormat="1" applyFont="1" applyFill="1" applyBorder="1" applyAlignment="1">
      <alignment horizontal="center" vertical="center"/>
    </xf>
    <xf numFmtId="170" fontId="21" fillId="31" borderId="16" xfId="1" applyNumberFormat="1" applyFont="1" applyFill="1" applyBorder="1" applyAlignment="1">
      <alignment horizontal="center" vertical="center"/>
    </xf>
    <xf numFmtId="170" fontId="21" fillId="31" borderId="204" xfId="1" applyNumberFormat="1" applyFont="1" applyFill="1" applyBorder="1" applyAlignment="1">
      <alignment horizontal="center" vertical="center"/>
    </xf>
    <xf numFmtId="0" fontId="21" fillId="8" borderId="0" xfId="6" applyFont="1" applyFill="1" applyAlignment="1">
      <alignment horizontal="left" vertical="center"/>
    </xf>
    <xf numFmtId="0" fontId="80" fillId="21" borderId="16" xfId="15" applyFont="1" applyFill="1" applyBorder="1" applyAlignment="1">
      <alignment horizontal="center" vertical="center"/>
    </xf>
    <xf numFmtId="0" fontId="1" fillId="0" borderId="16" xfId="4" applyBorder="1"/>
    <xf numFmtId="178" fontId="112" fillId="21" borderId="16" xfId="1" applyNumberFormat="1" applyFont="1" applyFill="1" applyBorder="1" applyAlignment="1">
      <alignment horizontal="center" vertical="center"/>
    </xf>
    <xf numFmtId="178" fontId="113" fillId="21" borderId="16" xfId="1" applyNumberFormat="1" applyFont="1" applyFill="1" applyBorder="1" applyAlignment="1">
      <alignment horizontal="center" vertical="center"/>
    </xf>
    <xf numFmtId="0" fontId="73" fillId="45" borderId="16" xfId="16" applyFont="1" applyFill="1" applyBorder="1" applyAlignment="1" applyProtection="1">
      <alignment horizontal="left" vertical="center"/>
      <protection locked="0"/>
    </xf>
    <xf numFmtId="1" fontId="74" fillId="21" borderId="16" xfId="5" applyNumberFormat="1" applyFont="1" applyFill="1" applyBorder="1" applyAlignment="1">
      <alignment horizontal="center" vertical="center"/>
    </xf>
    <xf numFmtId="0" fontId="35" fillId="47" borderId="16" xfId="1" applyFont="1" applyFill="1" applyBorder="1" applyAlignment="1">
      <alignment horizontal="center" vertical="center"/>
    </xf>
    <xf numFmtId="167" fontId="84" fillId="46" borderId="16" xfId="16" applyNumberFormat="1" applyFont="1" applyFill="1" applyBorder="1" applyAlignment="1" applyProtection="1">
      <alignment horizontal="center" vertical="center"/>
      <protection locked="0"/>
    </xf>
    <xf numFmtId="168" fontId="35" fillId="46" borderId="16" xfId="1" applyNumberFormat="1" applyFont="1" applyFill="1" applyBorder="1" applyAlignment="1">
      <alignment horizontal="center" vertical="center"/>
    </xf>
    <xf numFmtId="169" fontId="84" fillId="46" borderId="16" xfId="16" applyNumberFormat="1" applyFont="1" applyFill="1" applyBorder="1" applyAlignment="1" applyProtection="1">
      <alignment horizontal="center" vertical="center"/>
      <protection locked="0"/>
    </xf>
    <xf numFmtId="0" fontId="78" fillId="46" borderId="16" xfId="16" applyFont="1" applyFill="1" applyBorder="1" applyAlignment="1" applyProtection="1">
      <alignment horizontal="center" vertical="center"/>
      <protection locked="0"/>
    </xf>
    <xf numFmtId="0" fontId="24" fillId="18" borderId="44" xfId="1" applyFont="1" applyFill="1" applyBorder="1" applyAlignment="1" applyProtection="1">
      <alignment horizontal="center"/>
      <protection locked="0"/>
    </xf>
    <xf numFmtId="0" fontId="64" fillId="54" borderId="206" xfId="10" applyFont="1" applyFill="1" applyBorder="1" applyAlignment="1">
      <alignment horizontal="left" vertical="center"/>
    </xf>
    <xf numFmtId="0" fontId="64" fillId="8" borderId="207" xfId="10" applyFont="1" applyFill="1" applyBorder="1" applyAlignment="1">
      <alignment horizontal="left" vertical="center"/>
    </xf>
    <xf numFmtId="0" fontId="64" fillId="54" borderId="207" xfId="10" applyFont="1" applyFill="1" applyBorder="1" applyAlignment="1">
      <alignment horizontal="left" vertical="center"/>
    </xf>
    <xf numFmtId="0" fontId="64" fillId="8" borderId="17" xfId="1" applyFont="1" applyFill="1" applyBorder="1" applyAlignment="1" applyProtection="1">
      <alignment horizontal="left" vertical="center"/>
      <protection locked="0"/>
    </xf>
    <xf numFmtId="0" fontId="21" fillId="8" borderId="21" xfId="1" applyFont="1" applyFill="1" applyBorder="1" applyAlignment="1" applyProtection="1">
      <alignment horizontal="right" vertical="center"/>
      <protection locked="0"/>
    </xf>
    <xf numFmtId="0" fontId="24" fillId="8" borderId="21" xfId="1" applyFont="1" applyFill="1" applyBorder="1" applyAlignment="1" applyProtection="1">
      <alignment horizontal="right" vertical="center"/>
      <protection locked="0"/>
    </xf>
    <xf numFmtId="0" fontId="81" fillId="8" borderId="115" xfId="5" applyFont="1" applyFill="1" applyBorder="1" applyAlignment="1">
      <alignment horizontal="right" vertical="center"/>
    </xf>
    <xf numFmtId="0" fontId="57" fillId="8" borderId="115" xfId="1" applyFont="1" applyFill="1" applyBorder="1" applyAlignment="1" applyProtection="1">
      <alignment horizontal="left" vertical="center"/>
      <protection locked="0"/>
    </xf>
    <xf numFmtId="0" fontId="13" fillId="44" borderId="9" xfId="1" applyFont="1" applyFill="1" applyBorder="1" applyAlignment="1" applyProtection="1">
      <alignment vertical="center"/>
      <protection hidden="1"/>
    </xf>
    <xf numFmtId="0" fontId="134" fillId="64" borderId="9" xfId="3" applyFont="1" applyFill="1" applyBorder="1" applyAlignment="1">
      <alignment horizontal="center" vertical="center"/>
    </xf>
    <xf numFmtId="0" fontId="104" fillId="8" borderId="16" xfId="5" applyFont="1" applyFill="1" applyBorder="1" applyAlignment="1">
      <alignment horizontal="left" vertical="center"/>
    </xf>
    <xf numFmtId="0" fontId="104" fillId="8" borderId="0" xfId="5" applyFont="1" applyFill="1" applyAlignment="1">
      <alignment horizontal="left" vertical="center"/>
    </xf>
    <xf numFmtId="0" fontId="104" fillId="8" borderId="9" xfId="5" applyFont="1" applyFill="1" applyBorder="1" applyAlignment="1">
      <alignment horizontal="left" vertical="center"/>
    </xf>
    <xf numFmtId="0" fontId="104" fillId="0" borderId="0" xfId="4" applyFont="1" applyAlignment="1">
      <alignment horizontal="left"/>
    </xf>
    <xf numFmtId="0" fontId="104" fillId="8" borderId="49" xfId="5" applyFont="1" applyFill="1" applyBorder="1" applyAlignment="1">
      <alignment horizontal="left" vertical="center"/>
    </xf>
    <xf numFmtId="0" fontId="104" fillId="8" borderId="115" xfId="5" applyFont="1" applyFill="1" applyBorder="1" applyAlignment="1">
      <alignment horizontal="left" vertical="center"/>
    </xf>
    <xf numFmtId="0" fontId="131" fillId="8" borderId="83" xfId="1" applyFont="1" applyFill="1" applyBorder="1" applyAlignment="1" applyProtection="1">
      <alignment horizontal="left" vertical="center"/>
      <protection locked="0"/>
    </xf>
    <xf numFmtId="0" fontId="104" fillId="8" borderId="83" xfId="5" applyFont="1" applyFill="1" applyBorder="1" applyAlignment="1">
      <alignment horizontal="left" vertical="center"/>
    </xf>
    <xf numFmtId="0" fontId="104" fillId="8" borderId="123" xfId="5" applyFont="1" applyFill="1" applyBorder="1" applyAlignment="1">
      <alignment horizontal="left" vertical="center"/>
    </xf>
    <xf numFmtId="0" fontId="104" fillId="8" borderId="82" xfId="5" applyFont="1" applyFill="1" applyBorder="1" applyAlignment="1">
      <alignment horizontal="left" vertical="center"/>
    </xf>
    <xf numFmtId="0" fontId="1" fillId="0" borderId="41" xfId="0" applyFont="1" applyBorder="1" applyAlignment="1">
      <alignment horizontal="left" vertical="center"/>
    </xf>
    <xf numFmtId="0" fontId="13" fillId="44" borderId="41" xfId="1" applyFont="1" applyFill="1" applyBorder="1" applyAlignment="1" applyProtection="1">
      <alignment vertical="center"/>
      <protection hidden="1"/>
    </xf>
    <xf numFmtId="0" fontId="13" fillId="44" borderId="42" xfId="1" applyFont="1" applyFill="1" applyBorder="1" applyAlignment="1" applyProtection="1">
      <alignment vertical="center"/>
      <protection hidden="1"/>
    </xf>
    <xf numFmtId="0" fontId="83" fillId="44" borderId="0" xfId="1" applyFont="1" applyFill="1" applyAlignment="1" applyProtection="1">
      <alignment horizontal="left" vertical="center"/>
      <protection locked="0"/>
    </xf>
    <xf numFmtId="0" fontId="83" fillId="44" borderId="9" xfId="1" applyFont="1" applyFill="1" applyBorder="1" applyAlignment="1" applyProtection="1">
      <alignment horizontal="left" vertical="center"/>
      <protection locked="0"/>
    </xf>
    <xf numFmtId="0" fontId="117" fillId="8" borderId="6" xfId="1" applyFont="1" applyFill="1" applyBorder="1" applyAlignment="1">
      <alignment vertical="center"/>
    </xf>
    <xf numFmtId="0" fontId="123" fillId="7" borderId="6" xfId="3" applyFont="1" applyFill="1" applyBorder="1" applyAlignment="1">
      <alignment vertical="center"/>
    </xf>
    <xf numFmtId="0" fontId="123" fillId="7" borderId="9" xfId="3" applyFont="1" applyFill="1" applyBorder="1" applyAlignment="1">
      <alignment vertical="center"/>
    </xf>
    <xf numFmtId="0" fontId="123" fillId="7" borderId="0" xfId="3" applyFont="1" applyFill="1" applyAlignment="1">
      <alignment vertical="center"/>
    </xf>
    <xf numFmtId="0" fontId="16" fillId="9" borderId="208" xfId="3" applyFont="1" applyFill="1" applyBorder="1" applyAlignment="1">
      <alignment horizontal="center" vertical="center"/>
    </xf>
    <xf numFmtId="0" fontId="61" fillId="28" borderId="43" xfId="1" applyFont="1" applyFill="1" applyBorder="1" applyAlignment="1" applyProtection="1">
      <alignment horizontal="center" vertical="center"/>
      <protection hidden="1"/>
    </xf>
    <xf numFmtId="171" fontId="121" fillId="44" borderId="208" xfId="0" applyNumberFormat="1" applyFont="1" applyFill="1" applyBorder="1" applyAlignment="1">
      <alignment horizontal="center" vertical="center"/>
    </xf>
    <xf numFmtId="0" fontId="57" fillId="39" borderId="112" xfId="1" applyFont="1" applyFill="1" applyBorder="1" applyAlignment="1" applyProtection="1">
      <alignment horizontal="center" vertical="center"/>
      <protection hidden="1"/>
    </xf>
    <xf numFmtId="1" fontId="50" fillId="37" borderId="43" xfId="1" applyNumberFormat="1" applyFont="1" applyFill="1" applyBorder="1" applyAlignment="1" applyProtection="1">
      <alignment horizontal="center" vertical="center"/>
      <protection hidden="1"/>
    </xf>
    <xf numFmtId="0" fontId="61" fillId="0" borderId="18" xfId="1" applyFont="1" applyBorder="1" applyAlignment="1" applyProtection="1">
      <alignment horizontal="center" vertical="center"/>
      <protection hidden="1"/>
    </xf>
    <xf numFmtId="0" fontId="39" fillId="0" borderId="16" xfId="1" applyFont="1" applyBorder="1" applyAlignment="1">
      <alignment vertical="center"/>
    </xf>
    <xf numFmtId="0" fontId="39" fillId="0" borderId="0" xfId="1" applyFont="1" applyAlignment="1">
      <alignment vertical="center"/>
    </xf>
    <xf numFmtId="0" fontId="202" fillId="8" borderId="7" xfId="1" applyFont="1" applyFill="1" applyBorder="1" applyAlignment="1" applyProtection="1">
      <alignment vertical="center"/>
      <protection hidden="1"/>
    </xf>
    <xf numFmtId="0" fontId="202" fillId="8" borderId="2" xfId="1" applyFont="1" applyFill="1" applyBorder="1" applyAlignment="1" applyProtection="1">
      <alignment vertical="center"/>
      <protection hidden="1"/>
    </xf>
    <xf numFmtId="0" fontId="202" fillId="8" borderId="6" xfId="1" applyFont="1" applyFill="1" applyBorder="1" applyAlignment="1" applyProtection="1">
      <alignment vertical="center"/>
      <protection hidden="1"/>
    </xf>
    <xf numFmtId="0" fontId="202" fillId="8" borderId="0" xfId="1" applyFont="1" applyFill="1" applyAlignment="1" applyProtection="1">
      <alignment vertical="center"/>
      <protection hidden="1"/>
    </xf>
    <xf numFmtId="0" fontId="24" fillId="8" borderId="0" xfId="1" applyFont="1" applyFill="1"/>
    <xf numFmtId="0" fontId="78" fillId="8" borderId="0" xfId="3" applyFont="1" applyFill="1" applyAlignment="1">
      <alignment vertical="center"/>
    </xf>
    <xf numFmtId="0" fontId="69" fillId="8" borderId="0" xfId="1" applyFont="1" applyFill="1" applyAlignment="1">
      <alignment horizontal="center" vertical="center"/>
    </xf>
    <xf numFmtId="0" fontId="13" fillId="8" borderId="0" xfId="3" applyFont="1" applyFill="1" applyAlignment="1">
      <alignment horizontal="left" vertical="center"/>
    </xf>
    <xf numFmtId="0" fontId="5" fillId="89" borderId="0" xfId="1" applyFont="1" applyFill="1" applyAlignment="1" applyProtection="1">
      <alignment horizontal="left" vertical="center"/>
      <protection hidden="1"/>
    </xf>
    <xf numFmtId="0" fontId="5" fillId="89" borderId="0" xfId="1" applyFont="1" applyFill="1" applyAlignment="1" applyProtection="1">
      <alignment vertical="center"/>
      <protection hidden="1"/>
    </xf>
    <xf numFmtId="0" fontId="5" fillId="89" borderId="0" xfId="27" applyFont="1" applyFill="1" applyAlignment="1">
      <alignment horizontal="left" vertical="center"/>
    </xf>
    <xf numFmtId="0" fontId="2" fillId="89" borderId="0" xfId="28" applyFont="1" applyFill="1" applyAlignment="1">
      <alignment horizontal="left" vertical="center"/>
    </xf>
    <xf numFmtId="0" fontId="194" fillId="8" borderId="0" xfId="3" applyFont="1" applyFill="1" applyAlignment="1">
      <alignment horizontal="right" vertical="center"/>
    </xf>
    <xf numFmtId="0" fontId="342" fillId="8" borderId="0" xfId="3" applyFont="1" applyFill="1" applyAlignment="1">
      <alignment horizontal="center" vertical="center"/>
    </xf>
    <xf numFmtId="0" fontId="1" fillId="0" borderId="0" xfId="0" applyFont="1"/>
    <xf numFmtId="0" fontId="347" fillId="8" borderId="0" xfId="3" applyFont="1" applyFill="1" applyAlignment="1">
      <alignment horizontal="left" vertical="center"/>
    </xf>
    <xf numFmtId="0" fontId="46" fillId="8" borderId="0" xfId="3" applyFont="1" applyFill="1" applyAlignment="1">
      <alignment horizontal="center" vertical="center"/>
    </xf>
    <xf numFmtId="0" fontId="57" fillId="8" borderId="0" xfId="3" applyFont="1" applyFill="1" applyAlignment="1">
      <alignment horizontal="left" vertical="center"/>
    </xf>
    <xf numFmtId="0" fontId="69" fillId="8" borderId="0" xfId="3" applyFont="1" applyFill="1" applyAlignment="1">
      <alignment horizontal="left" vertical="center"/>
    </xf>
    <xf numFmtId="0" fontId="350" fillId="8" borderId="0" xfId="3" applyFont="1" applyFill="1" applyAlignment="1">
      <alignment horizontal="left" vertical="center"/>
    </xf>
    <xf numFmtId="0" fontId="18" fillId="41" borderId="0" xfId="29" applyFont="1" applyFill="1" applyAlignment="1">
      <alignment horizontal="right" vertical="center"/>
    </xf>
    <xf numFmtId="169" fontId="18" fillId="8" borderId="0" xfId="29" applyNumberFormat="1" applyFont="1" applyFill="1" applyAlignment="1">
      <alignment vertical="center"/>
    </xf>
    <xf numFmtId="169" fontId="159" fillId="8" borderId="0" xfId="29" applyNumberFormat="1" applyFont="1" applyFill="1" applyAlignment="1">
      <alignment horizontal="left" vertical="center"/>
    </xf>
    <xf numFmtId="169" fontId="159" fillId="8" borderId="0" xfId="29" applyNumberFormat="1" applyFont="1" applyFill="1" applyAlignment="1">
      <alignment horizontal="right" vertical="center"/>
    </xf>
    <xf numFmtId="0" fontId="1" fillId="8" borderId="0" xfId="0" applyFont="1" applyFill="1"/>
    <xf numFmtId="0" fontId="26" fillId="8" borderId="0" xfId="3" applyFont="1" applyFill="1" applyAlignment="1">
      <alignment horizontal="right" vertical="center"/>
    </xf>
    <xf numFmtId="0" fontId="26" fillId="8" borderId="0" xfId="3" applyFont="1" applyFill="1" applyAlignment="1">
      <alignment horizontal="left" vertical="center"/>
    </xf>
    <xf numFmtId="0" fontId="0" fillId="8" borderId="0" xfId="0" applyFill="1" applyAlignment="1">
      <alignment horizontal="center" vertical="center"/>
    </xf>
    <xf numFmtId="0" fontId="71" fillId="0" borderId="0" xfId="27"/>
    <xf numFmtId="0" fontId="200" fillId="113" borderId="52" xfId="1" applyFont="1" applyFill="1" applyBorder="1" applyAlignment="1">
      <alignment horizontal="center" vertical="center"/>
    </xf>
    <xf numFmtId="0" fontId="22" fillId="2" borderId="0" xfId="1" applyFont="1" applyFill="1" applyAlignment="1">
      <alignment horizontal="center" vertical="center"/>
    </xf>
    <xf numFmtId="0" fontId="351" fillId="8" borderId="0" xfId="27" applyFont="1" applyFill="1" applyAlignment="1">
      <alignment horizontal="center" vertical="center"/>
    </xf>
    <xf numFmtId="0" fontId="71" fillId="8" borderId="0" xfId="27" applyFill="1"/>
    <xf numFmtId="0" fontId="71" fillId="8" borderId="9" xfId="27" applyFill="1" applyBorder="1"/>
    <xf numFmtId="0" fontId="21" fillId="8" borderId="0" xfId="3" applyFont="1" applyFill="1" applyAlignment="1">
      <alignment horizontal="left" vertical="center"/>
    </xf>
    <xf numFmtId="0" fontId="21" fillId="8" borderId="0" xfId="3" applyFont="1" applyFill="1" applyAlignment="1">
      <alignment horizontal="center" vertical="center"/>
    </xf>
    <xf numFmtId="0" fontId="1" fillId="8" borderId="0" xfId="27" applyFont="1" applyFill="1"/>
    <xf numFmtId="0" fontId="35" fillId="8" borderId="0" xfId="27" applyFont="1" applyFill="1" applyAlignment="1">
      <alignment vertical="center"/>
    </xf>
    <xf numFmtId="0" fontId="71" fillId="8" borderId="0" xfId="27" applyFill="1" applyAlignment="1">
      <alignment vertical="center"/>
    </xf>
    <xf numFmtId="0" fontId="76" fillId="8" borderId="0" xfId="27" applyFont="1" applyFill="1" applyAlignment="1">
      <alignment vertical="center"/>
    </xf>
    <xf numFmtId="0" fontId="71" fillId="0" borderId="0" xfId="27" applyAlignment="1">
      <alignment horizontal="center"/>
    </xf>
    <xf numFmtId="0" fontId="72" fillId="8" borderId="0" xfId="27" applyFont="1" applyFill="1" applyAlignment="1">
      <alignment vertical="center"/>
    </xf>
    <xf numFmtId="0" fontId="87" fillId="37" borderId="0" xfId="17" applyNumberFormat="1" applyFill="1" applyBorder="1" applyAlignment="1">
      <alignment horizontal="center" vertical="center"/>
    </xf>
    <xf numFmtId="0" fontId="1" fillId="8" borderId="0" xfId="27" applyFont="1" applyFill="1" applyAlignment="1">
      <alignment vertical="top"/>
    </xf>
    <xf numFmtId="0" fontId="1" fillId="8" borderId="9" xfId="27" applyFont="1" applyFill="1" applyBorder="1" applyAlignment="1">
      <alignment vertical="top"/>
    </xf>
    <xf numFmtId="0" fontId="71" fillId="7" borderId="0" xfId="27" applyFill="1" applyAlignment="1">
      <alignment vertical="center"/>
    </xf>
    <xf numFmtId="0" fontId="1" fillId="8" borderId="0" xfId="27" applyFont="1" applyFill="1" applyAlignment="1">
      <alignment horizontal="left" vertical="center"/>
    </xf>
    <xf numFmtId="0" fontId="71" fillId="8" borderId="0" xfId="27" applyFill="1" applyAlignment="1">
      <alignment horizontal="center"/>
    </xf>
    <xf numFmtId="0" fontId="87" fillId="37" borderId="0" xfId="34" applyNumberFormat="1" applyFill="1" applyBorder="1" applyAlignment="1">
      <alignment horizontal="center" vertical="center"/>
    </xf>
    <xf numFmtId="0" fontId="71" fillId="0" borderId="0" xfId="27" applyAlignment="1">
      <alignment vertical="center"/>
    </xf>
    <xf numFmtId="0" fontId="71" fillId="7" borderId="0" xfId="27" applyFill="1" applyAlignment="1">
      <alignment horizontal="center" vertical="center"/>
    </xf>
    <xf numFmtId="0" fontId="71" fillId="8" borderId="0" xfId="27" applyFill="1" applyAlignment="1">
      <alignment horizontal="center" vertical="center" wrapText="1"/>
    </xf>
    <xf numFmtId="0" fontId="71" fillId="8" borderId="9" xfId="27" applyFill="1" applyBorder="1" applyAlignment="1">
      <alignment horizontal="center" vertical="center" wrapText="1"/>
    </xf>
    <xf numFmtId="0" fontId="58" fillId="8" borderId="0" xfId="27" applyFont="1" applyFill="1" applyAlignment="1">
      <alignment vertical="center"/>
    </xf>
    <xf numFmtId="0" fontId="71" fillId="44" borderId="0" xfId="27" applyFill="1" applyAlignment="1">
      <alignment horizontal="center" vertical="center"/>
    </xf>
    <xf numFmtId="0" fontId="1" fillId="8" borderId="9" xfId="27" applyFont="1" applyFill="1" applyBorder="1" applyAlignment="1">
      <alignment horizontal="left" vertical="center"/>
    </xf>
    <xf numFmtId="0" fontId="87" fillId="61" borderId="0" xfId="34" applyNumberFormat="1" applyFill="1" applyBorder="1" applyAlignment="1">
      <alignment horizontal="center"/>
    </xf>
    <xf numFmtId="0" fontId="72" fillId="0" borderId="0" xfId="27" applyFont="1" applyAlignment="1">
      <alignment vertical="center"/>
    </xf>
    <xf numFmtId="0" fontId="35" fillId="0" borderId="0" xfId="27" applyFont="1" applyAlignment="1">
      <alignment horizontal="right" vertical="center"/>
    </xf>
    <xf numFmtId="0" fontId="34" fillId="8" borderId="7" xfId="23" applyFont="1" applyFill="1" applyBorder="1" applyAlignment="1">
      <alignment vertical="center"/>
    </xf>
    <xf numFmtId="0" fontId="34" fillId="8" borderId="2" xfId="27" applyFont="1" applyFill="1" applyBorder="1"/>
    <xf numFmtId="0" fontId="352" fillId="8" borderId="8" xfId="27" applyFont="1" applyFill="1" applyBorder="1"/>
    <xf numFmtId="0" fontId="34" fillId="8" borderId="6" xfId="23" applyFont="1" applyFill="1" applyBorder="1" applyAlignment="1">
      <alignment vertical="center"/>
    </xf>
    <xf numFmtId="0" fontId="34" fillId="8" borderId="0" xfId="27" applyFont="1" applyFill="1"/>
    <xf numFmtId="0" fontId="352" fillId="8" borderId="9" xfId="27" applyFont="1" applyFill="1" applyBorder="1"/>
    <xf numFmtId="0" fontId="1" fillId="8" borderId="0" xfId="27" applyFont="1" applyFill="1" applyAlignment="1">
      <alignment horizontal="center" vertical="top" wrapText="1"/>
    </xf>
    <xf numFmtId="0" fontId="1" fillId="8" borderId="9" xfId="27" applyFont="1" applyFill="1" applyBorder="1" applyAlignment="1">
      <alignment horizontal="center" vertical="top" wrapText="1"/>
    </xf>
    <xf numFmtId="0" fontId="24" fillId="8" borderId="9" xfId="1" applyFont="1" applyFill="1" applyBorder="1"/>
    <xf numFmtId="0" fontId="54" fillId="4" borderId="6" xfId="1" applyFont="1" applyFill="1" applyBorder="1" applyAlignment="1">
      <alignment horizontal="center" vertical="center"/>
    </xf>
    <xf numFmtId="0" fontId="54" fillId="4" borderId="0" xfId="1" applyFont="1" applyFill="1" applyAlignment="1">
      <alignment horizontal="center" vertical="center"/>
    </xf>
    <xf numFmtId="0" fontId="54" fillId="4" borderId="9" xfId="1" applyFont="1" applyFill="1" applyBorder="1" applyAlignment="1">
      <alignment horizontal="center" vertical="center"/>
    </xf>
    <xf numFmtId="0" fontId="135" fillId="0" borderId="0" xfId="23" applyFont="1" applyAlignment="1">
      <alignment vertical="center"/>
    </xf>
    <xf numFmtId="0" fontId="1" fillId="8" borderId="0" xfId="27" applyFont="1" applyFill="1" applyAlignment="1">
      <alignment horizontal="center" vertical="center" wrapText="1"/>
    </xf>
    <xf numFmtId="0" fontId="1" fillId="8" borderId="9" xfId="27" applyFont="1" applyFill="1" applyBorder="1" applyAlignment="1">
      <alignment horizontal="center" vertical="center" wrapText="1"/>
    </xf>
    <xf numFmtId="195" fontId="1" fillId="0" borderId="0" xfId="27" applyNumberFormat="1" applyFont="1"/>
    <xf numFmtId="0" fontId="4" fillId="0" borderId="0" xfId="27" applyFont="1" applyAlignment="1">
      <alignment vertical="center"/>
    </xf>
    <xf numFmtId="0" fontId="72" fillId="8" borderId="0" xfId="27" applyFont="1" applyFill="1" applyAlignment="1">
      <alignment horizontal="left"/>
    </xf>
    <xf numFmtId="196" fontId="1" fillId="0" borderId="0" xfId="27" applyNumberFormat="1" applyFont="1"/>
    <xf numFmtId="197" fontId="1" fillId="0" borderId="0" xfId="27" applyNumberFormat="1" applyFont="1"/>
    <xf numFmtId="0" fontId="5" fillId="113" borderId="7" xfId="0" applyFont="1" applyFill="1" applyBorder="1" applyAlignment="1">
      <alignment horizontal="center" vertical="center"/>
    </xf>
    <xf numFmtId="198" fontId="6" fillId="0" borderId="0" xfId="1" applyNumberFormat="1"/>
    <xf numFmtId="0" fontId="0" fillId="0" borderId="0" xfId="0" applyAlignment="1">
      <alignment horizontal="right"/>
    </xf>
    <xf numFmtId="0" fontId="104" fillId="20" borderId="0" xfId="0" applyFont="1" applyFill="1" applyAlignment="1">
      <alignment horizontal="left"/>
    </xf>
    <xf numFmtId="0" fontId="104" fillId="8" borderId="0" xfId="0" applyFont="1" applyFill="1"/>
    <xf numFmtId="0" fontId="104" fillId="8" borderId="9" xfId="0" applyFont="1" applyFill="1" applyBorder="1"/>
    <xf numFmtId="199" fontId="1" fillId="0" borderId="0" xfId="27" applyNumberFormat="1" applyFont="1"/>
    <xf numFmtId="0" fontId="71" fillId="8" borderId="0" xfId="27" applyFill="1" applyAlignment="1">
      <alignment horizontal="left"/>
    </xf>
    <xf numFmtId="169" fontId="1" fillId="0" borderId="0" xfId="27" applyNumberFormat="1" applyFont="1"/>
    <xf numFmtId="0" fontId="353" fillId="20" borderId="209" xfId="0" applyFont="1" applyFill="1" applyBorder="1" applyAlignment="1">
      <alignment horizontal="center" vertical="center"/>
    </xf>
    <xf numFmtId="0" fontId="87" fillId="114" borderId="0" xfId="34" applyFill="1" applyBorder="1" applyAlignment="1">
      <alignment horizontal="center" vertical="center"/>
    </xf>
    <xf numFmtId="0" fontId="1" fillId="8" borderId="0" xfId="27" applyFont="1" applyFill="1" applyAlignment="1">
      <alignment vertical="center"/>
    </xf>
    <xf numFmtId="200" fontId="1" fillId="0" borderId="0" xfId="27" applyNumberFormat="1" applyFont="1"/>
    <xf numFmtId="0" fontId="87" fillId="8" borderId="0" xfId="34" applyFill="1" applyBorder="1" applyAlignment="1">
      <alignment horizontal="center" vertical="center"/>
    </xf>
    <xf numFmtId="201" fontId="6" fillId="0" borderId="0" xfId="1" applyNumberFormat="1"/>
    <xf numFmtId="202" fontId="1" fillId="0" borderId="0" xfId="27" applyNumberFormat="1" applyFont="1"/>
    <xf numFmtId="188" fontId="1" fillId="0" borderId="0" xfId="27" applyNumberFormat="1" applyFont="1"/>
    <xf numFmtId="0" fontId="193" fillId="114" borderId="0" xfId="35" applyFill="1" applyBorder="1" applyAlignment="1">
      <alignment horizontal="center" vertical="center"/>
    </xf>
    <xf numFmtId="203" fontId="6" fillId="0" borderId="0" xfId="1" applyNumberFormat="1"/>
    <xf numFmtId="172" fontId="1" fillId="0" borderId="0" xfId="27" applyNumberFormat="1" applyFont="1"/>
    <xf numFmtId="0" fontId="135" fillId="4" borderId="0" xfId="0" applyFont="1" applyFill="1" applyAlignment="1">
      <alignment horizontal="center" vertical="center"/>
    </xf>
    <xf numFmtId="0" fontId="135" fillId="4" borderId="9" xfId="0" applyFont="1" applyFill="1" applyBorder="1" applyAlignment="1">
      <alignment horizontal="center" vertical="center"/>
    </xf>
    <xf numFmtId="204" fontId="1" fillId="0" borderId="0" xfId="27" applyNumberFormat="1" applyFont="1"/>
    <xf numFmtId="0" fontId="88" fillId="8" borderId="0" xfId="27" applyFont="1" applyFill="1"/>
    <xf numFmtId="205" fontId="6" fillId="0" borderId="0" xfId="1" applyNumberFormat="1"/>
    <xf numFmtId="0" fontId="36" fillId="8" borderId="0" xfId="27" applyFont="1" applyFill="1"/>
    <xf numFmtId="206" fontId="6" fillId="0" borderId="0" xfId="1" applyNumberFormat="1"/>
    <xf numFmtId="0" fontId="21" fillId="8" borderId="0" xfId="6" applyFont="1" applyFill="1"/>
    <xf numFmtId="186" fontId="1" fillId="0" borderId="0" xfId="27" applyNumberFormat="1" applyFont="1"/>
    <xf numFmtId="207" fontId="6" fillId="0" borderId="0" xfId="1" applyNumberFormat="1"/>
    <xf numFmtId="208" fontId="6" fillId="0" borderId="0" xfId="1" applyNumberFormat="1"/>
    <xf numFmtId="209" fontId="6" fillId="0" borderId="0" xfId="1" applyNumberFormat="1"/>
    <xf numFmtId="210" fontId="6" fillId="0" borderId="0" xfId="1" applyNumberFormat="1"/>
    <xf numFmtId="211" fontId="6" fillId="0" borderId="0" xfId="1" applyNumberFormat="1"/>
    <xf numFmtId="212" fontId="1" fillId="0" borderId="0" xfId="27" applyNumberFormat="1" applyFont="1"/>
    <xf numFmtId="213" fontId="1" fillId="0" borderId="0" xfId="27" applyNumberFormat="1" applyFont="1"/>
    <xf numFmtId="0" fontId="71" fillId="8" borderId="0" xfId="27" applyFill="1" applyAlignment="1">
      <alignment horizontal="right" vertical="center"/>
    </xf>
    <xf numFmtId="0" fontId="71" fillId="8" borderId="3" xfId="27" applyFill="1" applyBorder="1"/>
    <xf numFmtId="0" fontId="71" fillId="8" borderId="59" xfId="27" applyFill="1" applyBorder="1"/>
    <xf numFmtId="0" fontId="57" fillId="0" borderId="0" xfId="3" applyFont="1" applyAlignment="1">
      <alignment horizontal="left" vertical="center"/>
    </xf>
    <xf numFmtId="0" fontId="355" fillId="0" borderId="0" xfId="27" applyFont="1"/>
    <xf numFmtId="0" fontId="1" fillId="0" borderId="0" xfId="27" applyFont="1"/>
    <xf numFmtId="0" fontId="16" fillId="45" borderId="0" xfId="16" applyFont="1" applyFill="1" applyAlignment="1" applyProtection="1">
      <alignment horizontal="left" vertical="center"/>
      <protection locked="0"/>
    </xf>
    <xf numFmtId="169" fontId="191" fillId="45" borderId="0" xfId="16" applyNumberFormat="1" applyFont="1" applyFill="1" applyAlignment="1" applyProtection="1">
      <alignment horizontal="center" vertical="center"/>
      <protection locked="0"/>
    </xf>
    <xf numFmtId="0" fontId="358" fillId="45" borderId="0" xfId="16" applyFont="1" applyFill="1" applyAlignment="1" applyProtection="1">
      <alignment horizontal="left" vertical="center"/>
      <protection locked="0"/>
    </xf>
    <xf numFmtId="0" fontId="1" fillId="8" borderId="0" xfId="27" applyFont="1" applyFill="1" applyAlignment="1">
      <alignment horizontal="center"/>
    </xf>
    <xf numFmtId="0" fontId="123" fillId="115" borderId="2" xfId="2" applyFont="1" applyFill="1" applyBorder="1" applyAlignment="1">
      <alignment vertical="center"/>
    </xf>
    <xf numFmtId="0" fontId="156" fillId="115" borderId="8" xfId="2" applyFont="1" applyFill="1" applyBorder="1" applyAlignment="1">
      <alignment horizontal="right" vertical="center"/>
    </xf>
    <xf numFmtId="0" fontId="360" fillId="8" borderId="0" xfId="27" applyFont="1" applyFill="1" applyAlignment="1">
      <alignment horizontal="left" vertical="center"/>
    </xf>
    <xf numFmtId="0" fontId="1" fillId="115" borderId="0" xfId="27" applyFont="1" applyFill="1"/>
    <xf numFmtId="0" fontId="1" fillId="115" borderId="0" xfId="27" applyFont="1" applyFill="1" applyAlignment="1">
      <alignment horizontal="right" vertical="center"/>
    </xf>
    <xf numFmtId="0" fontId="72" fillId="115" borderId="0" xfId="27" applyFont="1" applyFill="1" applyAlignment="1">
      <alignment horizontal="right" vertical="center"/>
    </xf>
    <xf numFmtId="0" fontId="72" fillId="115" borderId="0" xfId="27" applyFont="1" applyFill="1" applyAlignment="1">
      <alignment horizontal="left" vertical="center"/>
    </xf>
    <xf numFmtId="0" fontId="72" fillId="115" borderId="9" xfId="27" applyFont="1" applyFill="1" applyBorder="1"/>
    <xf numFmtId="0" fontId="4" fillId="115" borderId="0" xfId="27" applyFont="1" applyFill="1" applyAlignment="1">
      <alignment horizontal="center" vertical="center"/>
    </xf>
    <xf numFmtId="1" fontId="57" fillId="116" borderId="0" xfId="5" applyNumberFormat="1" applyFont="1" applyFill="1" applyAlignment="1">
      <alignment horizontal="center" vertical="center"/>
    </xf>
    <xf numFmtId="0" fontId="57" fillId="116" borderId="14" xfId="29" applyFont="1" applyFill="1" applyBorder="1" applyAlignment="1">
      <alignment horizontal="left" vertical="center"/>
    </xf>
    <xf numFmtId="0" fontId="57" fillId="116" borderId="14" xfId="29" applyFont="1" applyFill="1" applyBorder="1" applyAlignment="1">
      <alignment horizontal="right" vertical="center"/>
    </xf>
    <xf numFmtId="1" fontId="57" fillId="116" borderId="14" xfId="5" applyNumberFormat="1" applyFont="1" applyFill="1" applyBorder="1" applyAlignment="1">
      <alignment horizontal="right" vertical="center"/>
    </xf>
    <xf numFmtId="199" fontId="71" fillId="116" borderId="14" xfId="27" applyNumberFormat="1" applyFill="1" applyBorder="1" applyAlignment="1">
      <alignment horizontal="center" vertical="center"/>
    </xf>
    <xf numFmtId="0" fontId="71" fillId="116" borderId="14" xfId="27" applyFill="1" applyBorder="1" applyAlignment="1">
      <alignment horizontal="right" vertical="center"/>
    </xf>
    <xf numFmtId="169" fontId="71" fillId="116" borderId="21" xfId="27" applyNumberFormat="1" applyFill="1" applyBorder="1" applyAlignment="1">
      <alignment horizontal="left" vertical="center"/>
    </xf>
    <xf numFmtId="199" fontId="71" fillId="116" borderId="0" xfId="27" applyNumberFormat="1" applyFill="1" applyAlignment="1">
      <alignment horizontal="center" vertical="center"/>
    </xf>
    <xf numFmtId="2" fontId="2" fillId="14" borderId="0" xfId="1" applyNumberFormat="1" applyFont="1" applyFill="1" applyAlignment="1" applyProtection="1">
      <alignment horizontal="center" vertical="center"/>
      <protection locked="0"/>
    </xf>
    <xf numFmtId="0" fontId="35" fillId="45" borderId="0" xfId="16" applyFont="1" applyFill="1" applyAlignment="1" applyProtection="1">
      <alignment vertical="center"/>
      <protection locked="0"/>
    </xf>
    <xf numFmtId="0" fontId="78" fillId="45" borderId="0" xfId="16" applyFont="1" applyFill="1" applyAlignment="1" applyProtection="1">
      <alignment vertical="center"/>
      <protection locked="0"/>
    </xf>
    <xf numFmtId="0" fontId="1" fillId="8" borderId="9" xfId="27" applyFont="1" applyFill="1" applyBorder="1"/>
    <xf numFmtId="0" fontId="71" fillId="116" borderId="0" xfId="27" applyFill="1" applyAlignment="1">
      <alignment horizontal="center" vertical="center"/>
    </xf>
    <xf numFmtId="0" fontId="361" fillId="45" borderId="0" xfId="16" applyFont="1" applyFill="1" applyAlignment="1" applyProtection="1">
      <alignment horizontal="right" vertical="center"/>
      <protection locked="0"/>
    </xf>
    <xf numFmtId="169" fontId="71" fillId="116" borderId="0" xfId="27" applyNumberFormat="1" applyFill="1" applyAlignment="1">
      <alignment horizontal="center" vertical="center"/>
    </xf>
    <xf numFmtId="0" fontId="24" fillId="8" borderId="0" xfId="27" applyFont="1" applyFill="1"/>
    <xf numFmtId="0" fontId="10" fillId="8" borderId="0" xfId="29" applyFont="1" applyFill="1" applyAlignment="1">
      <alignment horizontal="left" vertical="center"/>
    </xf>
    <xf numFmtId="0" fontId="341" fillId="8" borderId="0" xfId="27" applyFont="1" applyFill="1" applyAlignment="1">
      <alignment vertical="center"/>
    </xf>
    <xf numFmtId="0" fontId="360" fillId="8" borderId="0" xfId="34" applyFont="1" applyFill="1" applyBorder="1" applyAlignment="1">
      <alignment horizontal="center" vertical="center"/>
    </xf>
    <xf numFmtId="174" fontId="46" fillId="8" borderId="0" xfId="2" applyNumberFormat="1" applyFont="1" applyFill="1" applyAlignment="1" applyProtection="1">
      <alignment horizontal="center" vertical="center"/>
      <protection locked="0"/>
    </xf>
    <xf numFmtId="0" fontId="126" fillId="8" borderId="0" xfId="29" applyFont="1" applyFill="1" applyAlignment="1">
      <alignment horizontal="right" vertical="center"/>
    </xf>
    <xf numFmtId="169" fontId="53" fillId="117" borderId="0" xfId="16" applyNumberFormat="1" applyFont="1" applyFill="1" applyAlignment="1" applyProtection="1">
      <alignment horizontal="center" vertical="center"/>
      <protection locked="0"/>
    </xf>
    <xf numFmtId="169" fontId="191" fillId="45" borderId="0" xfId="16" applyNumberFormat="1" applyFont="1" applyFill="1" applyAlignment="1" applyProtection="1">
      <alignment horizontal="right" vertical="center"/>
      <protection locked="0"/>
    </xf>
    <xf numFmtId="0" fontId="363" fillId="8" borderId="9" xfId="27" applyFont="1" applyFill="1" applyBorder="1" applyAlignment="1">
      <alignment horizontal="left" vertical="center"/>
    </xf>
    <xf numFmtId="0" fontId="16" fillId="45" borderId="0" xfId="16" applyFont="1" applyFill="1" applyAlignment="1" applyProtection="1">
      <alignment horizontal="right" vertical="center"/>
      <protection locked="0"/>
    </xf>
    <xf numFmtId="175" fontId="60" fillId="118" borderId="0" xfId="2" applyNumberFormat="1" applyFont="1" applyFill="1" applyAlignment="1" applyProtection="1">
      <alignment horizontal="center" vertical="center"/>
      <protection locked="0"/>
    </xf>
    <xf numFmtId="0" fontId="16" fillId="45" borderId="0" xfId="16" applyFont="1" applyFill="1" applyAlignment="1" applyProtection="1">
      <alignment horizontal="center" vertical="center"/>
      <protection locked="0"/>
    </xf>
    <xf numFmtId="0" fontId="364" fillId="8" borderId="0" xfId="16" applyFont="1" applyFill="1" applyAlignment="1" applyProtection="1">
      <alignment horizontal="right" vertical="center"/>
      <protection locked="0"/>
    </xf>
    <xf numFmtId="169" fontId="60" fillId="46" borderId="0" xfId="16" applyNumberFormat="1" applyFont="1" applyFill="1" applyAlignment="1" applyProtection="1">
      <alignment horizontal="center" vertical="center"/>
      <protection locked="0"/>
    </xf>
    <xf numFmtId="0" fontId="97" fillId="0" borderId="0" xfId="27" applyFont="1" applyAlignment="1">
      <alignment vertical="center"/>
    </xf>
    <xf numFmtId="0" fontId="363" fillId="8" borderId="9" xfId="1" applyFont="1" applyFill="1" applyBorder="1" applyAlignment="1">
      <alignment horizontal="left" vertical="center"/>
    </xf>
    <xf numFmtId="0" fontId="126" fillId="8" borderId="0" xfId="16" applyFont="1" applyFill="1" applyAlignment="1" applyProtection="1">
      <alignment horizontal="right" vertical="center"/>
      <protection locked="0"/>
    </xf>
    <xf numFmtId="1" fontId="53" fillId="119" borderId="0" xfId="1" applyNumberFormat="1" applyFont="1" applyFill="1" applyAlignment="1">
      <alignment horizontal="center" vertical="center"/>
    </xf>
    <xf numFmtId="197" fontId="13" fillId="120" borderId="0" xfId="1" applyNumberFormat="1" applyFont="1" applyFill="1" applyAlignment="1">
      <alignment vertical="center"/>
    </xf>
    <xf numFmtId="0" fontId="1" fillId="0" borderId="9" xfId="27" applyFont="1" applyBorder="1"/>
    <xf numFmtId="0" fontId="21" fillId="8" borderId="0" xfId="29" applyFont="1" applyFill="1" applyAlignment="1">
      <alignment horizontal="right" vertical="center"/>
    </xf>
    <xf numFmtId="183" fontId="21" fillId="45" borderId="0" xfId="16" applyNumberFormat="1" applyFont="1" applyFill="1" applyAlignment="1" applyProtection="1">
      <alignment horizontal="center" vertical="center"/>
      <protection locked="0"/>
    </xf>
    <xf numFmtId="0" fontId="95" fillId="8" borderId="0" xfId="27" applyFont="1" applyFill="1" applyAlignment="1">
      <alignment vertical="center"/>
    </xf>
    <xf numFmtId="183" fontId="59" fillId="45" borderId="0" xfId="16" applyNumberFormat="1" applyFont="1" applyFill="1" applyAlignment="1" applyProtection="1">
      <alignment horizontal="right" vertical="center"/>
      <protection locked="0"/>
    </xf>
    <xf numFmtId="0" fontId="365" fillId="8" borderId="9" xfId="1" applyFont="1" applyFill="1" applyBorder="1" applyAlignment="1">
      <alignment horizontal="left" vertical="center"/>
    </xf>
    <xf numFmtId="0" fontId="24" fillId="8" borderId="0" xfId="29" applyFont="1" applyFill="1" applyAlignment="1">
      <alignment horizontal="right" vertical="center"/>
    </xf>
    <xf numFmtId="0" fontId="48" fillId="8" borderId="0" xfId="5" applyFont="1" applyFill="1" applyAlignment="1">
      <alignment horizontal="center" vertical="center"/>
    </xf>
    <xf numFmtId="0" fontId="24" fillId="44" borderId="0" xfId="1" applyFont="1" applyFill="1" applyAlignment="1">
      <alignment horizontal="right" vertical="center"/>
    </xf>
    <xf numFmtId="167" fontId="24" fillId="45" borderId="0" xfId="16" applyNumberFormat="1" applyFont="1" applyFill="1" applyAlignment="1" applyProtection="1">
      <alignment horizontal="center" vertical="center"/>
      <protection locked="0"/>
    </xf>
    <xf numFmtId="0" fontId="24" fillId="8" borderId="0" xfId="1" applyFont="1" applyFill="1" applyAlignment="1">
      <alignment horizontal="right" vertical="center"/>
    </xf>
    <xf numFmtId="0" fontId="21" fillId="118" borderId="0" xfId="1" applyFont="1" applyFill="1" applyAlignment="1">
      <alignment vertical="center"/>
    </xf>
    <xf numFmtId="0" fontId="53" fillId="118" borderId="0" xfId="1" applyFont="1" applyFill="1" applyAlignment="1">
      <alignment vertical="center"/>
    </xf>
    <xf numFmtId="0" fontId="53" fillId="118" borderId="9" xfId="1" applyFont="1" applyFill="1" applyBorder="1" applyAlignment="1">
      <alignment vertical="center"/>
    </xf>
    <xf numFmtId="0" fontId="50" fillId="8" borderId="0" xfId="23" applyFont="1" applyFill="1" applyAlignment="1">
      <alignment horizontal="left" vertical="center"/>
    </xf>
    <xf numFmtId="0" fontId="361" fillId="45" borderId="0" xfId="16" applyFont="1" applyFill="1" applyAlignment="1" applyProtection="1">
      <alignment horizontal="left" vertical="center"/>
      <protection locked="0"/>
    </xf>
    <xf numFmtId="0" fontId="366" fillId="45" borderId="0" xfId="16" applyFont="1" applyFill="1" applyAlignment="1" applyProtection="1">
      <alignment horizontal="left" vertical="center"/>
      <protection locked="0"/>
    </xf>
    <xf numFmtId="0" fontId="96" fillId="8" borderId="0" xfId="29" applyFont="1" applyFill="1" applyAlignment="1">
      <alignment horizontal="left" vertical="center"/>
    </xf>
    <xf numFmtId="0" fontId="96" fillId="45" borderId="0" xfId="16" applyFont="1" applyFill="1" applyAlignment="1" applyProtection="1">
      <alignment horizontal="left" vertical="center"/>
      <protection locked="0"/>
    </xf>
    <xf numFmtId="0" fontId="171" fillId="8" borderId="0" xfId="16" applyFont="1" applyFill="1" applyAlignment="1" applyProtection="1">
      <alignment horizontal="left" vertical="center"/>
      <protection locked="0"/>
    </xf>
    <xf numFmtId="0" fontId="126" fillId="8" borderId="0" xfId="16" applyFont="1" applyFill="1" applyAlignment="1" applyProtection="1">
      <alignment horizontal="left" vertical="center"/>
      <protection locked="0"/>
    </xf>
    <xf numFmtId="0" fontId="10" fillId="45" borderId="0" xfId="16" applyFont="1" applyFill="1" applyAlignment="1" applyProtection="1">
      <alignment horizontal="right" vertical="center"/>
      <protection locked="0"/>
    </xf>
    <xf numFmtId="0" fontId="36" fillId="8" borderId="0" xfId="27" applyFont="1" applyFill="1" applyAlignment="1">
      <alignment horizontal="left" vertical="center"/>
    </xf>
    <xf numFmtId="0" fontId="60" fillId="8" borderId="9" xfId="1" applyFont="1" applyFill="1" applyBorder="1" applyAlignment="1">
      <alignment horizontal="center" vertical="center"/>
    </xf>
    <xf numFmtId="0" fontId="48" fillId="8" borderId="0" xfId="1" applyFont="1" applyFill="1" applyAlignment="1">
      <alignment horizontal="center" vertical="center"/>
    </xf>
    <xf numFmtId="0" fontId="362" fillId="21" borderId="0" xfId="16" applyFont="1" applyFill="1" applyAlignment="1" applyProtection="1">
      <alignment vertical="center"/>
      <protection locked="0"/>
    </xf>
    <xf numFmtId="0" fontId="362" fillId="8" borderId="9" xfId="16" applyFont="1" applyFill="1" applyBorder="1" applyAlignment="1" applyProtection="1">
      <alignment vertical="center"/>
      <protection locked="0"/>
    </xf>
    <xf numFmtId="169" fontId="53" fillId="46" borderId="0" xfId="16" applyNumberFormat="1" applyFont="1" applyFill="1" applyAlignment="1" applyProtection="1">
      <alignment horizontal="center" vertical="center"/>
      <protection locked="0"/>
    </xf>
    <xf numFmtId="0" fontId="113" fillId="46" borderId="0" xfId="16" applyFont="1" applyFill="1" applyAlignment="1" applyProtection="1">
      <alignment horizontal="center" vertical="center"/>
      <protection locked="0"/>
    </xf>
    <xf numFmtId="0" fontId="365" fillId="8" borderId="0" xfId="27" applyFont="1" applyFill="1" applyAlignment="1">
      <alignment horizontal="right" vertical="top"/>
    </xf>
    <xf numFmtId="1" fontId="53" fillId="121" borderId="0" xfId="1" applyNumberFormat="1" applyFont="1" applyFill="1" applyAlignment="1">
      <alignment horizontal="center" vertical="center"/>
    </xf>
    <xf numFmtId="197" fontId="365" fillId="120" borderId="0" xfId="1" applyNumberFormat="1" applyFont="1" applyFill="1" applyAlignment="1">
      <alignment vertical="center"/>
    </xf>
    <xf numFmtId="0" fontId="164" fillId="45" borderId="0" xfId="16" applyFont="1" applyFill="1" applyAlignment="1" applyProtection="1">
      <alignment horizontal="right" vertical="center"/>
      <protection locked="0"/>
    </xf>
    <xf numFmtId="0" fontId="57" fillId="116" borderId="0" xfId="29" applyFont="1" applyFill="1" applyAlignment="1">
      <alignment horizontal="left" vertical="center"/>
    </xf>
    <xf numFmtId="0" fontId="57" fillId="116" borderId="0" xfId="29" applyFont="1" applyFill="1" applyAlignment="1">
      <alignment horizontal="right" vertical="center"/>
    </xf>
    <xf numFmtId="0" fontId="48" fillId="116" borderId="0" xfId="5" applyFont="1" applyFill="1" applyAlignment="1">
      <alignment horizontal="center" vertical="center"/>
    </xf>
    <xf numFmtId="0" fontId="48" fillId="116" borderId="0" xfId="16" applyFont="1" applyFill="1" applyAlignment="1" applyProtection="1">
      <alignment horizontal="left" vertical="center"/>
      <protection locked="0"/>
    </xf>
    <xf numFmtId="0" fontId="48" fillId="116" borderId="0" xfId="1" applyFont="1" applyFill="1" applyAlignment="1">
      <alignment horizontal="right" vertical="center"/>
    </xf>
    <xf numFmtId="214" fontId="48" fillId="116" borderId="0" xfId="5" applyNumberFormat="1" applyFont="1" applyFill="1" applyAlignment="1">
      <alignment horizontal="center" vertical="center"/>
    </xf>
    <xf numFmtId="0" fontId="4" fillId="116" borderId="0" xfId="0" applyFont="1" applyFill="1" applyAlignment="1">
      <alignment vertical="center"/>
    </xf>
    <xf numFmtId="0" fontId="4" fillId="116" borderId="9" xfId="0" applyFont="1" applyFill="1" applyBorder="1" applyAlignment="1">
      <alignment vertical="center"/>
    </xf>
    <xf numFmtId="0" fontId="0" fillId="116" borderId="14" xfId="0" applyFill="1" applyBorder="1" applyAlignment="1">
      <alignment horizontal="right" vertical="center"/>
    </xf>
    <xf numFmtId="0" fontId="367" fillId="8" borderId="0" xfId="0" applyFont="1" applyFill="1" applyAlignment="1">
      <alignment horizontal="right" vertical="center"/>
    </xf>
    <xf numFmtId="0" fontId="368" fillId="46" borderId="0" xfId="16" applyFont="1" applyFill="1" applyAlignment="1" applyProtection="1">
      <alignment horizontal="center" vertical="center" wrapText="1"/>
      <protection locked="0"/>
    </xf>
    <xf numFmtId="0" fontId="369" fillId="8" borderId="0" xfId="16" applyFont="1" applyFill="1" applyAlignment="1" applyProtection="1">
      <alignment horizontal="left" vertical="center"/>
      <protection locked="0"/>
    </xf>
    <xf numFmtId="0" fontId="362" fillId="8" borderId="9" xfId="16" applyFont="1" applyFill="1" applyBorder="1" applyAlignment="1" applyProtection="1">
      <alignment horizontal="center" vertical="center"/>
      <protection locked="0"/>
    </xf>
    <xf numFmtId="1" fontId="53" fillId="46" borderId="0" xfId="16" applyNumberFormat="1" applyFont="1" applyFill="1" applyAlignment="1" applyProtection="1">
      <alignment horizontal="center" vertical="center"/>
      <protection locked="0"/>
    </xf>
    <xf numFmtId="169" fontId="24" fillId="45" borderId="0" xfId="16" applyNumberFormat="1" applyFont="1" applyFill="1" applyAlignment="1" applyProtection="1">
      <alignment horizontal="center" vertical="center"/>
      <protection locked="0"/>
    </xf>
    <xf numFmtId="0" fontId="353" fillId="124" borderId="0" xfId="5" applyFont="1" applyFill="1" applyAlignment="1">
      <alignment horizontal="center" vertical="center"/>
    </xf>
    <xf numFmtId="197" fontId="161" fillId="120" borderId="0" xfId="1" applyNumberFormat="1" applyFont="1" applyFill="1" applyAlignment="1">
      <alignment vertical="center"/>
    </xf>
    <xf numFmtId="167" fontId="53" fillId="46" borderId="0" xfId="16" applyNumberFormat="1" applyFont="1" applyFill="1" applyAlignment="1" applyProtection="1">
      <alignment horizontal="center" vertical="center"/>
      <protection locked="0"/>
    </xf>
    <xf numFmtId="0" fontId="192" fillId="8" borderId="0" xfId="16" applyFont="1" applyFill="1" applyAlignment="1" applyProtection="1">
      <alignment horizontal="left" vertical="center"/>
      <protection locked="0"/>
    </xf>
    <xf numFmtId="0" fontId="36" fillId="8" borderId="0" xfId="27" applyFont="1" applyFill="1" applyAlignment="1">
      <alignment horizontal="right" vertical="center"/>
    </xf>
    <xf numFmtId="0" fontId="60" fillId="8" borderId="0" xfId="1" applyFont="1" applyFill="1" applyAlignment="1">
      <alignment horizontal="left" vertical="center"/>
    </xf>
    <xf numFmtId="0" fontId="13" fillId="125" borderId="210" xfId="5" applyFont="1" applyFill="1" applyBorder="1" applyAlignment="1" applyProtection="1">
      <alignment horizontal="centerContinuous" vertical="center"/>
      <protection locked="0"/>
    </xf>
    <xf numFmtId="0" fontId="13" fillId="125" borderId="211" xfId="5" applyFont="1" applyFill="1" applyBorder="1" applyAlignment="1" applyProtection="1">
      <alignment horizontal="centerContinuous" vertical="center"/>
      <protection locked="0"/>
    </xf>
    <xf numFmtId="0" fontId="13" fillId="126" borderId="211" xfId="5" applyFont="1" applyFill="1" applyBorder="1" applyAlignment="1" applyProtection="1">
      <alignment horizontal="centerContinuous" vertical="center"/>
      <protection locked="0"/>
    </xf>
    <xf numFmtId="0" fontId="13" fillId="125" borderId="212" xfId="5" applyFont="1" applyFill="1" applyBorder="1" applyAlignment="1" applyProtection="1">
      <alignment horizontal="right" vertical="center"/>
      <protection locked="0"/>
    </xf>
    <xf numFmtId="0" fontId="24" fillId="8" borderId="0" xfId="3" applyFont="1" applyFill="1" applyAlignment="1">
      <alignment vertical="center"/>
    </xf>
    <xf numFmtId="0" fontId="1" fillId="7" borderId="4" xfId="13" applyFill="1" applyBorder="1" applyAlignment="1">
      <alignment horizontal="center" vertical="center"/>
    </xf>
    <xf numFmtId="0" fontId="30" fillId="8" borderId="14" xfId="1" applyFont="1" applyFill="1" applyBorder="1" applyAlignment="1">
      <alignment horizontal="left" vertical="center"/>
    </xf>
    <xf numFmtId="0" fontId="87" fillId="8" borderId="41" xfId="17" applyFill="1" applyBorder="1" applyAlignment="1">
      <alignment vertical="center"/>
    </xf>
    <xf numFmtId="0" fontId="87" fillId="8" borderId="42" xfId="17" applyFill="1" applyBorder="1" applyAlignment="1">
      <alignment vertical="center"/>
    </xf>
    <xf numFmtId="0" fontId="138" fillId="8" borderId="0" xfId="13" applyFont="1" applyFill="1" applyAlignment="1" applyProtection="1">
      <alignment horizontal="left" vertical="center"/>
      <protection locked="0"/>
    </xf>
    <xf numFmtId="0" fontId="138" fillId="8" borderId="45" xfId="13" applyFont="1" applyFill="1" applyBorder="1" applyAlignment="1" applyProtection="1">
      <alignment horizontal="right" vertical="center"/>
      <protection locked="0"/>
    </xf>
    <xf numFmtId="181" fontId="370" fillId="66" borderId="33" xfId="13" applyNumberFormat="1" applyFont="1" applyFill="1" applyBorder="1" applyAlignment="1" applyProtection="1">
      <alignment horizontal="center" vertical="center"/>
      <protection locked="0"/>
    </xf>
    <xf numFmtId="0" fontId="24" fillId="8" borderId="0" xfId="1" applyFont="1" applyFill="1" applyProtection="1">
      <protection hidden="1"/>
    </xf>
    <xf numFmtId="0" fontId="138" fillId="8" borderId="0" xfId="13" applyFont="1" applyFill="1" applyAlignment="1" applyProtection="1">
      <alignment horizontal="right" vertical="center"/>
      <protection locked="0"/>
    </xf>
    <xf numFmtId="0" fontId="140" fillId="8" borderId="0" xfId="13" applyFont="1" applyFill="1" applyAlignment="1" applyProtection="1">
      <alignment horizontal="right" vertical="center"/>
      <protection locked="0"/>
    </xf>
    <xf numFmtId="181" fontId="98" fillId="66" borderId="9" xfId="13" applyNumberFormat="1" applyFont="1" applyFill="1" applyBorder="1" applyAlignment="1" applyProtection="1">
      <alignment horizontal="center" vertical="center"/>
      <protection locked="0"/>
    </xf>
    <xf numFmtId="0" fontId="114" fillId="8" borderId="0" xfId="13" applyFont="1" applyFill="1" applyAlignment="1" applyProtection="1">
      <alignment horizontal="left" vertical="center"/>
      <protection locked="0"/>
    </xf>
    <xf numFmtId="0" fontId="114" fillId="8" borderId="0" xfId="13" applyFont="1" applyFill="1" applyAlignment="1" applyProtection="1">
      <alignment horizontal="right" vertical="center"/>
      <protection locked="0"/>
    </xf>
    <xf numFmtId="186" fontId="98" fillId="66" borderId="33" xfId="13" applyNumberFormat="1" applyFont="1" applyFill="1" applyBorder="1" applyAlignment="1" applyProtection="1">
      <alignment horizontal="center" vertical="center"/>
      <protection locked="0"/>
    </xf>
    <xf numFmtId="181" fontId="98" fillId="66" borderId="33" xfId="13" applyNumberFormat="1" applyFont="1" applyFill="1" applyBorder="1" applyAlignment="1" applyProtection="1">
      <alignment horizontal="center" vertical="center"/>
      <protection locked="0"/>
    </xf>
    <xf numFmtId="181" fontId="370" fillId="21" borderId="9" xfId="13" applyNumberFormat="1" applyFont="1" applyFill="1" applyBorder="1" applyAlignment="1" applyProtection="1">
      <alignment horizontal="center" vertical="center"/>
      <protection locked="0"/>
    </xf>
    <xf numFmtId="0" fontId="57" fillId="8" borderId="0" xfId="13" applyFont="1" applyFill="1" applyAlignment="1" applyProtection="1">
      <alignment horizontal="left" vertical="center"/>
      <protection locked="0"/>
    </xf>
    <xf numFmtId="0" fontId="57" fillId="8" borderId="0" xfId="13" applyFont="1" applyFill="1" applyAlignment="1" applyProtection="1">
      <alignment horizontal="right" vertical="center"/>
      <protection locked="0"/>
    </xf>
    <xf numFmtId="181" fontId="21" fillId="8" borderId="33" xfId="13" applyNumberFormat="1" applyFont="1" applyFill="1" applyBorder="1" applyAlignment="1" applyProtection="1">
      <alignment horizontal="center" vertical="center"/>
      <protection locked="0"/>
    </xf>
    <xf numFmtId="0" fontId="24" fillId="8" borderId="0" xfId="13" applyFont="1" applyFill="1" applyAlignment="1" applyProtection="1">
      <alignment horizontal="right" vertical="center"/>
      <protection locked="0"/>
    </xf>
    <xf numFmtId="181" fontId="21" fillId="8" borderId="9" xfId="13" applyNumberFormat="1" applyFont="1" applyFill="1" applyBorder="1" applyAlignment="1" applyProtection="1">
      <alignment horizontal="center" vertical="center"/>
      <protection locked="0"/>
    </xf>
    <xf numFmtId="0" fontId="24" fillId="8" borderId="14" xfId="13" applyFont="1" applyFill="1" applyBorder="1" applyAlignment="1" applyProtection="1">
      <alignment horizontal="left" vertical="center"/>
      <protection locked="0"/>
    </xf>
    <xf numFmtId="0" fontId="21" fillId="8" borderId="0" xfId="13" applyFont="1" applyFill="1" applyAlignment="1" applyProtection="1">
      <alignment horizontal="right" vertical="center"/>
      <protection locked="0"/>
    </xf>
    <xf numFmtId="186" fontId="21" fillId="8" borderId="33" xfId="13" applyNumberFormat="1" applyFont="1" applyFill="1" applyBorder="1" applyAlignment="1" applyProtection="1">
      <alignment horizontal="center" vertical="center"/>
      <protection locked="0"/>
    </xf>
    <xf numFmtId="186" fontId="21" fillId="8" borderId="9" xfId="13" applyNumberFormat="1" applyFont="1" applyFill="1" applyBorder="1" applyAlignment="1" applyProtection="1">
      <alignment horizontal="center" vertical="center"/>
      <protection locked="0"/>
    </xf>
    <xf numFmtId="0" fontId="24" fillId="7" borderId="41" xfId="13" applyFont="1" applyFill="1" applyBorder="1" applyAlignment="1" applyProtection="1">
      <alignment horizontal="left" vertical="center"/>
      <protection locked="0"/>
    </xf>
    <xf numFmtId="0" fontId="24" fillId="7" borderId="41" xfId="13" applyFont="1" applyFill="1" applyBorder="1" applyAlignment="1" applyProtection="1">
      <alignment horizontal="right" vertical="center"/>
      <protection locked="0"/>
    </xf>
    <xf numFmtId="181" fontId="21" fillId="7" borderId="41" xfId="13" applyNumberFormat="1" applyFont="1" applyFill="1" applyBorder="1" applyAlignment="1" applyProtection="1">
      <alignment horizontal="center" vertical="center"/>
      <protection locked="0"/>
    </xf>
    <xf numFmtId="0" fontId="24" fillId="7" borderId="41" xfId="1" applyFont="1" applyFill="1" applyBorder="1" applyProtection="1">
      <protection hidden="1"/>
    </xf>
    <xf numFmtId="0" fontId="21" fillId="7" borderId="41" xfId="13" applyFont="1" applyFill="1" applyBorder="1" applyAlignment="1" applyProtection="1">
      <alignment horizontal="right" vertical="center"/>
      <protection locked="0"/>
    </xf>
    <xf numFmtId="186" fontId="21" fillId="7" borderId="41" xfId="13" applyNumberFormat="1" applyFont="1" applyFill="1" applyBorder="1" applyAlignment="1" applyProtection="1">
      <alignment horizontal="center" vertical="center"/>
      <protection locked="0"/>
    </xf>
    <xf numFmtId="186" fontId="21" fillId="7" borderId="42" xfId="13" applyNumberFormat="1" applyFont="1" applyFill="1" applyBorder="1" applyAlignment="1" applyProtection="1">
      <alignment horizontal="center" vertical="center"/>
      <protection locked="0"/>
    </xf>
    <xf numFmtId="0" fontId="140" fillId="8" borderId="0" xfId="13" applyFont="1" applyFill="1" applyAlignment="1" applyProtection="1">
      <alignment horizontal="left" vertical="center"/>
      <protection locked="0"/>
    </xf>
    <xf numFmtId="175" fontId="100" fillId="66" borderId="33" xfId="13" applyNumberFormat="1" applyFont="1" applyFill="1" applyBorder="1" applyAlignment="1" applyProtection="1">
      <alignment horizontal="center" vertical="center"/>
      <protection locked="0"/>
    </xf>
    <xf numFmtId="0" fontId="21" fillId="8" borderId="56" xfId="13" applyFont="1" applyFill="1" applyBorder="1" applyAlignment="1" applyProtection="1">
      <alignment horizontal="left" vertical="center"/>
      <protection locked="0"/>
    </xf>
    <xf numFmtId="0" fontId="21" fillId="8" borderId="56" xfId="13" applyFont="1" applyFill="1" applyBorder="1" applyAlignment="1" applyProtection="1">
      <alignment horizontal="right" vertical="center"/>
      <protection locked="0"/>
    </xf>
    <xf numFmtId="186" fontId="21" fillId="8" borderId="37" xfId="13" applyNumberFormat="1" applyFont="1" applyFill="1" applyBorder="1" applyAlignment="1" applyProtection="1">
      <alignment horizontal="center" vertical="center"/>
      <protection locked="0"/>
    </xf>
    <xf numFmtId="0" fontId="24" fillId="8" borderId="56" xfId="13" applyFont="1" applyFill="1" applyBorder="1" applyAlignment="1" applyProtection="1">
      <alignment horizontal="right" vertical="center"/>
      <protection locked="0"/>
    </xf>
    <xf numFmtId="181" fontId="21" fillId="8" borderId="37" xfId="13" applyNumberFormat="1" applyFont="1" applyFill="1" applyBorder="1" applyAlignment="1" applyProtection="1">
      <alignment horizontal="center" vertical="center"/>
      <protection locked="0"/>
    </xf>
    <xf numFmtId="186" fontId="21" fillId="8" borderId="57" xfId="13" applyNumberFormat="1" applyFont="1" applyFill="1" applyBorder="1" applyAlignment="1" applyProtection="1">
      <alignment horizontal="center" vertical="center"/>
      <protection locked="0"/>
    </xf>
    <xf numFmtId="0" fontId="13" fillId="4" borderId="213" xfId="5" applyFont="1" applyFill="1" applyBorder="1" applyAlignment="1" applyProtection="1">
      <alignment horizontal="left" vertical="center"/>
      <protection locked="0"/>
    </xf>
    <xf numFmtId="0" fontId="13" fillId="4" borderId="214" xfId="5" applyFont="1" applyFill="1" applyBorder="1" applyAlignment="1" applyProtection="1">
      <alignment horizontal="centerContinuous" vertical="center"/>
      <protection locked="0"/>
    </xf>
    <xf numFmtId="0" fontId="13" fillId="4" borderId="215" xfId="5" applyFont="1" applyFill="1" applyBorder="1" applyAlignment="1" applyProtection="1">
      <alignment horizontal="right" vertical="center"/>
      <protection locked="0"/>
    </xf>
    <xf numFmtId="0" fontId="200" fillId="113" borderId="7" xfId="1" applyFont="1" applyFill="1" applyBorder="1" applyAlignment="1">
      <alignment horizontal="center" vertical="center"/>
    </xf>
    <xf numFmtId="0" fontId="1" fillId="7" borderId="5" xfId="13" applyFill="1" applyBorder="1" applyAlignment="1">
      <alignment horizontal="center" vertical="center"/>
    </xf>
    <xf numFmtId="0" fontId="1" fillId="0" borderId="5" xfId="0" applyFont="1" applyBorder="1"/>
    <xf numFmtId="0" fontId="1" fillId="8" borderId="5" xfId="0" applyFont="1" applyFill="1" applyBorder="1"/>
    <xf numFmtId="0" fontId="54" fillId="8" borderId="5" xfId="1" applyFont="1" applyFill="1" applyBorder="1" applyAlignment="1">
      <alignment horizontal="center" vertical="center"/>
    </xf>
    <xf numFmtId="0" fontId="54" fillId="8" borderId="53" xfId="1" applyFont="1" applyFill="1" applyBorder="1" applyAlignment="1">
      <alignment horizontal="center" vertical="center"/>
    </xf>
    <xf numFmtId="0" fontId="1" fillId="7" borderId="14" xfId="13" applyFill="1" applyBorder="1" applyAlignment="1">
      <alignment horizontal="center" vertical="center"/>
    </xf>
    <xf numFmtId="0" fontId="125" fillId="65" borderId="5" xfId="13" applyFont="1" applyFill="1" applyBorder="1" applyAlignment="1" applyProtection="1">
      <alignment horizontal="right" vertical="center"/>
      <protection locked="0"/>
    </xf>
    <xf numFmtId="184" fontId="125" fillId="66" borderId="103" xfId="13" applyNumberFormat="1" applyFont="1" applyFill="1" applyBorder="1" applyAlignment="1" applyProtection="1">
      <alignment horizontal="center" vertical="center"/>
      <protection locked="0"/>
    </xf>
    <xf numFmtId="0" fontId="1" fillId="8" borderId="52" xfId="0" applyFont="1" applyFill="1" applyBorder="1"/>
    <xf numFmtId="0" fontId="125" fillId="8" borderId="5" xfId="13" applyFont="1" applyFill="1" applyBorder="1" applyAlignment="1" applyProtection="1">
      <alignment horizontal="right" vertical="center"/>
      <protection locked="0"/>
    </xf>
    <xf numFmtId="0" fontId="54" fillId="8" borderId="52" xfId="1" applyFont="1" applyFill="1" applyBorder="1" applyAlignment="1">
      <alignment horizontal="center" vertical="center"/>
    </xf>
    <xf numFmtId="184" fontId="125" fillId="66" borderId="53" xfId="13" applyNumberFormat="1" applyFont="1" applyFill="1" applyBorder="1" applyAlignment="1" applyProtection="1">
      <alignment horizontal="center" vertical="center"/>
      <protection locked="0"/>
    </xf>
    <xf numFmtId="0" fontId="84" fillId="65" borderId="0" xfId="13" applyFont="1" applyFill="1" applyAlignment="1" applyProtection="1">
      <alignment horizontal="right" vertical="center"/>
      <protection locked="0"/>
    </xf>
    <xf numFmtId="184" fontId="84" fillId="66" borderId="33" xfId="13" applyNumberFormat="1" applyFont="1" applyFill="1" applyBorder="1" applyAlignment="1" applyProtection="1">
      <alignment horizontal="center" vertical="center"/>
      <protection locked="0"/>
    </xf>
    <xf numFmtId="0" fontId="1" fillId="8" borderId="32" xfId="0" applyFont="1" applyFill="1" applyBorder="1"/>
    <xf numFmtId="0" fontId="84" fillId="8" borderId="0" xfId="13" applyFont="1" applyFill="1" applyAlignment="1" applyProtection="1">
      <alignment horizontal="right" vertical="center"/>
      <protection locked="0"/>
    </xf>
    <xf numFmtId="0" fontId="54" fillId="8" borderId="32" xfId="1" applyFont="1" applyFill="1" applyBorder="1" applyAlignment="1">
      <alignment horizontal="center" vertical="center"/>
    </xf>
    <xf numFmtId="175" fontId="84" fillId="66" borderId="9" xfId="13" applyNumberFormat="1" applyFont="1" applyFill="1" applyBorder="1" applyAlignment="1" applyProtection="1">
      <alignment horizontal="center" vertical="center"/>
      <protection locked="0"/>
    </xf>
    <xf numFmtId="0" fontId="57" fillId="65" borderId="0" xfId="13" applyFont="1" applyFill="1" applyAlignment="1" applyProtection="1">
      <alignment horizontal="right" vertical="center"/>
      <protection locked="0"/>
    </xf>
    <xf numFmtId="184" fontId="57" fillId="65" borderId="33" xfId="13" applyNumberFormat="1" applyFont="1" applyFill="1" applyBorder="1" applyAlignment="1" applyProtection="1">
      <alignment horizontal="center" vertical="center"/>
      <protection locked="0"/>
    </xf>
    <xf numFmtId="184" fontId="57" fillId="65" borderId="9" xfId="13" applyNumberFormat="1" applyFont="1" applyFill="1" applyBorder="1" applyAlignment="1" applyProtection="1">
      <alignment horizontal="center" vertical="center"/>
      <protection locked="0"/>
    </xf>
    <xf numFmtId="0" fontId="1" fillId="8" borderId="56" xfId="0" applyFont="1" applyFill="1" applyBorder="1"/>
    <xf numFmtId="0" fontId="57" fillId="65" borderId="56" xfId="13" applyFont="1" applyFill="1" applyBorder="1" applyAlignment="1" applyProtection="1">
      <alignment horizontal="right" vertical="center"/>
      <protection locked="0"/>
    </xf>
    <xf numFmtId="185" fontId="57" fillId="65" borderId="37" xfId="13" applyNumberFormat="1" applyFont="1" applyFill="1" applyBorder="1" applyAlignment="1" applyProtection="1">
      <alignment horizontal="center" vertical="center"/>
      <protection locked="0"/>
    </xf>
    <xf numFmtId="0" fontId="1" fillId="8" borderId="35" xfId="0" applyFont="1" applyFill="1" applyBorder="1"/>
    <xf numFmtId="0" fontId="54" fillId="8" borderId="35" xfId="1" applyFont="1" applyFill="1" applyBorder="1" applyAlignment="1">
      <alignment horizontal="center" vertical="center"/>
    </xf>
    <xf numFmtId="171" fontId="57" fillId="65" borderId="57" xfId="13" applyNumberFormat="1" applyFont="1" applyFill="1" applyBorder="1" applyAlignment="1" applyProtection="1">
      <alignment horizontal="center" vertical="center"/>
      <protection locked="0"/>
    </xf>
    <xf numFmtId="0" fontId="35" fillId="65" borderId="5" xfId="13" applyFont="1" applyFill="1" applyBorder="1" applyAlignment="1" applyProtection="1">
      <alignment horizontal="right" vertical="center"/>
      <protection locked="0"/>
    </xf>
    <xf numFmtId="184" fontId="35" fillId="66" borderId="103" xfId="13" applyNumberFormat="1" applyFont="1" applyFill="1" applyBorder="1" applyAlignment="1" applyProtection="1">
      <alignment horizontal="center" vertical="center"/>
      <protection locked="0"/>
    </xf>
    <xf numFmtId="184" fontId="35" fillId="66" borderId="53" xfId="13" applyNumberFormat="1" applyFont="1" applyFill="1" applyBorder="1" applyAlignment="1" applyProtection="1">
      <alignment horizontal="center" vertical="center"/>
      <protection locked="0"/>
    </xf>
    <xf numFmtId="2" fontId="21" fillId="127" borderId="26" xfId="13" applyNumberFormat="1" applyFont="1" applyFill="1" applyBorder="1" applyAlignment="1" applyProtection="1">
      <alignment horizontal="center" vertical="center" wrapText="1"/>
      <protection locked="0"/>
    </xf>
    <xf numFmtId="0" fontId="1" fillId="7" borderId="0" xfId="13" applyFill="1"/>
    <xf numFmtId="179" fontId="10" fillId="7" borderId="216" xfId="13" applyNumberFormat="1" applyFont="1" applyFill="1" applyBorder="1" applyAlignment="1">
      <alignment horizontal="center" vertical="center"/>
    </xf>
    <xf numFmtId="2" fontId="10" fillId="7" borderId="43" xfId="13" applyNumberFormat="1" applyFont="1" applyFill="1" applyBorder="1" applyAlignment="1">
      <alignment horizontal="center" vertical="center"/>
    </xf>
    <xf numFmtId="0" fontId="58" fillId="65" borderId="0" xfId="13" applyFont="1" applyFill="1" applyAlignment="1" applyProtection="1">
      <alignment horizontal="right" vertical="center"/>
      <protection locked="0"/>
    </xf>
    <xf numFmtId="184" fontId="58" fillId="66" borderId="33" xfId="13" applyNumberFormat="1" applyFont="1" applyFill="1" applyBorder="1" applyAlignment="1" applyProtection="1">
      <alignment horizontal="center" vertical="center"/>
      <protection locked="0"/>
    </xf>
    <xf numFmtId="175" fontId="58" fillId="66" borderId="9" xfId="13" applyNumberFormat="1" applyFont="1" applyFill="1" applyBorder="1" applyAlignment="1" applyProtection="1">
      <alignment horizontal="center" vertical="center"/>
      <protection locked="0"/>
    </xf>
    <xf numFmtId="9" fontId="10" fillId="128" borderId="17" xfId="13" applyNumberFormat="1" applyFont="1" applyFill="1" applyBorder="1" applyAlignment="1">
      <alignment horizontal="center" vertical="center"/>
    </xf>
    <xf numFmtId="0" fontId="13" fillId="7" borderId="0" xfId="5" applyFont="1" applyFill="1" applyAlignment="1">
      <alignment horizontal="centerContinuous" vertical="center"/>
    </xf>
    <xf numFmtId="0" fontId="1" fillId="128" borderId="0" xfId="13" applyFill="1" applyAlignment="1">
      <alignment horizontal="centerContinuous" vertical="center" wrapText="1"/>
    </xf>
    <xf numFmtId="0" fontId="10" fillId="128" borderId="0" xfId="5" applyFont="1" applyFill="1" applyAlignment="1">
      <alignment horizontal="right" vertical="center"/>
    </xf>
    <xf numFmtId="9" fontId="184" fillId="128" borderId="17" xfId="13" applyNumberFormat="1" applyFont="1" applyFill="1" applyBorder="1" applyAlignment="1">
      <alignment horizontal="center" vertical="center"/>
    </xf>
    <xf numFmtId="200" fontId="24" fillId="129" borderId="9" xfId="13" applyNumberFormat="1" applyFont="1" applyFill="1" applyBorder="1" applyAlignment="1">
      <alignment horizontal="centerContinuous" vertical="center" wrapText="1"/>
    </xf>
    <xf numFmtId="185" fontId="140" fillId="66" borderId="17" xfId="13" applyNumberFormat="1" applyFont="1" applyFill="1" applyBorder="1" applyAlignment="1">
      <alignment horizontal="center" vertical="center"/>
    </xf>
    <xf numFmtId="0" fontId="84" fillId="66" borderId="0" xfId="5" applyFont="1" applyFill="1" applyAlignment="1">
      <alignment horizontal="left" vertical="center"/>
    </xf>
    <xf numFmtId="175" fontId="164" fillId="21" borderId="0" xfId="13" applyNumberFormat="1" applyFont="1" applyFill="1" applyAlignment="1" applyProtection="1">
      <alignment horizontal="center" vertical="center"/>
      <protection locked="0"/>
    </xf>
    <xf numFmtId="174" fontId="13" fillId="7" borderId="9" xfId="13" applyNumberFormat="1" applyFont="1" applyFill="1" applyBorder="1" applyAlignment="1" applyProtection="1">
      <alignment horizontal="center" vertical="center"/>
      <protection locked="0"/>
    </xf>
    <xf numFmtId="184" fontId="57" fillId="65" borderId="57" xfId="13" applyNumberFormat="1" applyFont="1" applyFill="1" applyBorder="1" applyAlignment="1" applyProtection="1">
      <alignment horizontal="center" vertical="center"/>
      <protection locked="0"/>
    </xf>
    <xf numFmtId="174" fontId="13" fillId="7" borderId="0" xfId="13" applyNumberFormat="1" applyFont="1" applyFill="1" applyAlignment="1" applyProtection="1">
      <alignment horizontal="center" vertical="center"/>
      <protection locked="0"/>
    </xf>
    <xf numFmtId="175" fontId="164" fillId="66" borderId="0" xfId="13" applyNumberFormat="1" applyFont="1" applyFill="1" applyAlignment="1" applyProtection="1">
      <alignment horizontal="center" vertical="center"/>
      <protection locked="0"/>
    </xf>
    <xf numFmtId="0" fontId="87" fillId="8" borderId="14" xfId="17" applyFill="1" applyBorder="1" applyAlignment="1">
      <alignment vertical="center"/>
    </xf>
    <xf numFmtId="0" fontId="31" fillId="8" borderId="14" xfId="29" applyFont="1" applyFill="1" applyBorder="1" applyAlignment="1">
      <alignment horizontal="center" vertical="center"/>
    </xf>
    <xf numFmtId="0" fontId="1" fillId="0" borderId="14" xfId="0" applyFont="1" applyBorder="1"/>
    <xf numFmtId="0" fontId="1" fillId="0" borderId="21" xfId="0" applyFont="1" applyBorder="1"/>
    <xf numFmtId="0" fontId="21" fillId="8" borderId="14" xfId="1" applyFont="1" applyFill="1" applyBorder="1" applyAlignment="1" applyProtection="1">
      <alignment horizontal="center" vertical="center"/>
      <protection hidden="1"/>
    </xf>
    <xf numFmtId="0" fontId="4" fillId="8" borderId="14" xfId="13" applyFont="1" applyFill="1" applyBorder="1" applyAlignment="1">
      <alignment horizontal="center"/>
    </xf>
    <xf numFmtId="0" fontId="4" fillId="8" borderId="0" xfId="13" applyFont="1" applyFill="1" applyAlignment="1">
      <alignment horizontal="left"/>
    </xf>
    <xf numFmtId="215" fontId="30" fillId="8" borderId="0" xfId="1" applyNumberFormat="1" applyFont="1" applyFill="1" applyAlignment="1" applyProtection="1">
      <alignment horizontal="center" vertical="center"/>
      <protection hidden="1"/>
    </xf>
    <xf numFmtId="196" fontId="48" fillId="8" borderId="0" xfId="1" applyNumberFormat="1" applyFont="1" applyFill="1" applyAlignment="1" applyProtection="1">
      <alignment horizontal="center" vertical="center"/>
      <protection hidden="1"/>
    </xf>
    <xf numFmtId="169" fontId="21" fillId="44" borderId="9" xfId="29" applyNumberFormat="1" applyFont="1" applyFill="1" applyBorder="1" applyAlignment="1">
      <alignment horizontal="center" vertical="center"/>
    </xf>
    <xf numFmtId="185" fontId="140" fillId="66" borderId="217" xfId="13" applyNumberFormat="1" applyFont="1" applyFill="1" applyBorder="1" applyAlignment="1">
      <alignment horizontal="center" vertical="center"/>
    </xf>
    <xf numFmtId="0" fontId="84" fillId="66" borderId="56" xfId="5" applyFont="1" applyFill="1" applyBorder="1" applyAlignment="1">
      <alignment horizontal="left" vertical="center"/>
    </xf>
    <xf numFmtId="174" fontId="13" fillId="7" borderId="56" xfId="13" applyNumberFormat="1" applyFont="1" applyFill="1" applyBorder="1" applyAlignment="1" applyProtection="1">
      <alignment horizontal="center" vertical="center"/>
      <protection locked="0"/>
    </xf>
    <xf numFmtId="175" fontId="164" fillId="66" borderId="56" xfId="13" applyNumberFormat="1" applyFont="1" applyFill="1" applyBorder="1" applyAlignment="1" applyProtection="1">
      <alignment horizontal="center" vertical="center"/>
      <protection locked="0"/>
    </xf>
    <xf numFmtId="174" fontId="13" fillId="7" borderId="57" xfId="13" applyNumberFormat="1" applyFont="1" applyFill="1" applyBorder="1" applyAlignment="1" applyProtection="1">
      <alignment horizontal="center" vertical="center"/>
      <protection locked="0"/>
    </xf>
    <xf numFmtId="0" fontId="1" fillId="8" borderId="0" xfId="13" applyFill="1"/>
    <xf numFmtId="0" fontId="3" fillId="8" borderId="0" xfId="13" applyFont="1" applyFill="1"/>
    <xf numFmtId="0" fontId="165" fillId="8" borderId="0" xfId="1" applyFont="1" applyFill="1" applyAlignment="1">
      <alignment horizontal="center" vertical="center" wrapText="1"/>
    </xf>
    <xf numFmtId="0" fontId="165" fillId="8" borderId="9" xfId="1" applyFont="1" applyFill="1" applyBorder="1" applyAlignment="1">
      <alignment horizontal="center" vertical="center" wrapText="1"/>
    </xf>
    <xf numFmtId="0" fontId="54" fillId="4" borderId="33" xfId="1" applyFont="1" applyFill="1" applyBorder="1" applyAlignment="1">
      <alignment horizontal="center" vertical="center"/>
    </xf>
    <xf numFmtId="0" fontId="54" fillId="7" borderId="218" xfId="1" applyFont="1" applyFill="1" applyBorder="1" applyAlignment="1">
      <alignment horizontal="center" vertical="center"/>
    </xf>
    <xf numFmtId="0" fontId="13" fillId="38" borderId="33" xfId="1" applyFont="1" applyFill="1" applyBorder="1" applyAlignment="1" applyProtection="1">
      <alignment horizontal="center" vertical="center"/>
      <protection locked="0"/>
    </xf>
    <xf numFmtId="0" fontId="2" fillId="2" borderId="37" xfId="1" applyFont="1" applyFill="1" applyBorder="1" applyAlignment="1">
      <alignment horizontal="center" vertical="center"/>
    </xf>
    <xf numFmtId="0" fontId="1" fillId="8" borderId="0" xfId="2" applyFill="1" applyAlignment="1">
      <alignment wrapText="1"/>
    </xf>
    <xf numFmtId="0" fontId="169" fillId="8" borderId="219" xfId="5" applyFont="1" applyFill="1" applyBorder="1" applyAlignment="1">
      <alignment horizontal="center" vertical="center"/>
    </xf>
    <xf numFmtId="0" fontId="77" fillId="0" borderId="0" xfId="1" applyFont="1" applyAlignment="1" applyProtection="1">
      <alignment horizontal="left" vertical="center"/>
      <protection locked="0"/>
    </xf>
    <xf numFmtId="0" fontId="83" fillId="0" borderId="0" xfId="1" applyFont="1" applyAlignment="1" applyProtection="1">
      <alignment horizontal="left" vertical="center"/>
      <protection locked="0"/>
    </xf>
    <xf numFmtId="0" fontId="376" fillId="3" borderId="0" xfId="2" applyFont="1" applyFill="1" applyAlignment="1">
      <alignment horizontal="right" vertical="center"/>
    </xf>
    <xf numFmtId="0" fontId="377" fillId="8" borderId="0" xfId="1" applyFont="1" applyFill="1" applyAlignment="1" applyProtection="1">
      <alignment horizontal="center" vertical="center"/>
      <protection hidden="1"/>
    </xf>
    <xf numFmtId="0" fontId="378" fillId="8" borderId="0" xfId="2" applyFont="1" applyFill="1" applyAlignment="1">
      <alignment horizontal="justify" vertical="center"/>
    </xf>
    <xf numFmtId="0" fontId="78" fillId="8" borderId="0" xfId="1" applyFont="1" applyFill="1" applyAlignment="1" applyProtection="1">
      <alignment horizontal="center" vertical="center"/>
      <protection hidden="1"/>
    </xf>
    <xf numFmtId="0" fontId="78" fillId="8" borderId="0" xfId="1" applyFont="1" applyFill="1" applyAlignment="1" applyProtection="1">
      <alignment horizontal="center" vertical="center" wrapText="1"/>
      <protection hidden="1"/>
    </xf>
    <xf numFmtId="0" fontId="78" fillId="8" borderId="0" xfId="1" applyFont="1" applyFill="1" applyAlignment="1" applyProtection="1">
      <alignment horizontal="left" vertical="center"/>
      <protection hidden="1"/>
    </xf>
    <xf numFmtId="0" fontId="13" fillId="8" borderId="0" xfId="1" applyFont="1" applyFill="1" applyAlignment="1" applyProtection="1">
      <alignment horizontal="left" vertical="center"/>
      <protection hidden="1"/>
    </xf>
    <xf numFmtId="0" fontId="13" fillId="8" borderId="0" xfId="1" applyFont="1" applyFill="1" applyAlignment="1" applyProtection="1">
      <alignment horizontal="center" vertical="center" wrapText="1"/>
      <protection hidden="1"/>
    </xf>
    <xf numFmtId="0" fontId="1" fillId="0" borderId="0" xfId="2"/>
    <xf numFmtId="0" fontId="379" fillId="8" borderId="0" xfId="5" applyFont="1" applyFill="1" applyAlignment="1">
      <alignment horizontal="center" vertical="center"/>
    </xf>
    <xf numFmtId="0" fontId="162" fillId="8" borderId="0" xfId="34" applyFont="1" applyFill="1" applyAlignment="1">
      <alignment horizontal="left" vertical="center"/>
    </xf>
    <xf numFmtId="0" fontId="1" fillId="0" borderId="0" xfId="2" applyAlignment="1">
      <alignment wrapText="1"/>
    </xf>
    <xf numFmtId="0" fontId="35" fillId="8" borderId="0" xfId="3" applyFont="1" applyFill="1" applyAlignment="1">
      <alignment vertical="center"/>
    </xf>
    <xf numFmtId="0" fontId="113" fillId="8" borderId="0" xfId="0" applyFont="1" applyFill="1" applyAlignment="1">
      <alignment vertical="center"/>
    </xf>
    <xf numFmtId="0" fontId="4" fillId="8" borderId="0" xfId="0" applyFont="1" applyFill="1" applyAlignment="1">
      <alignment vertical="center"/>
    </xf>
    <xf numFmtId="0" fontId="197" fillId="8" borderId="0" xfId="0" applyFont="1" applyFill="1" applyAlignment="1">
      <alignment vertical="center"/>
    </xf>
    <xf numFmtId="0" fontId="124" fillId="8" borderId="0" xfId="0" applyFont="1" applyFill="1" applyAlignment="1">
      <alignment horizontal="left" vertical="center"/>
    </xf>
    <xf numFmtId="0" fontId="74" fillId="8" borderId="0" xfId="29" applyFont="1" applyFill="1" applyAlignment="1" applyProtection="1">
      <alignment vertical="center"/>
      <protection locked="0"/>
    </xf>
    <xf numFmtId="0" fontId="21" fillId="8" borderId="0" xfId="29" applyFont="1" applyFill="1" applyAlignment="1" applyProtection="1">
      <alignment vertical="center"/>
      <protection locked="0"/>
    </xf>
    <xf numFmtId="0" fontId="113" fillId="8" borderId="0" xfId="29" applyFont="1" applyFill="1" applyAlignment="1" applyProtection="1">
      <alignment vertical="center"/>
      <protection locked="0"/>
    </xf>
    <xf numFmtId="0" fontId="13" fillId="8" borderId="0" xfId="29" applyFont="1" applyFill="1" applyAlignment="1" applyProtection="1">
      <alignment vertical="center"/>
      <protection locked="0"/>
    </xf>
    <xf numFmtId="0" fontId="72" fillId="8" borderId="0" xfId="0" applyFont="1" applyFill="1" applyAlignment="1">
      <alignment horizontal="center" vertical="center"/>
    </xf>
    <xf numFmtId="0" fontId="113" fillId="8" borderId="0" xfId="0" applyFont="1" applyFill="1" applyAlignment="1">
      <alignment horizontal="right" vertical="center"/>
    </xf>
    <xf numFmtId="0" fontId="45" fillId="8" borderId="0" xfId="0" applyFont="1" applyFill="1" applyAlignment="1">
      <alignment vertical="center"/>
    </xf>
    <xf numFmtId="0" fontId="113" fillId="8" borderId="0" xfId="0" applyFont="1" applyFill="1" applyAlignment="1">
      <alignment horizontal="left" vertical="center"/>
    </xf>
    <xf numFmtId="0" fontId="381" fillId="8" borderId="0" xfId="0" applyFont="1" applyFill="1" applyAlignment="1">
      <alignment horizontal="left" vertical="center"/>
    </xf>
    <xf numFmtId="0" fontId="4" fillId="8" borderId="0" xfId="0" applyFont="1" applyFill="1" applyAlignment="1">
      <alignment horizontal="right" vertical="center"/>
    </xf>
    <xf numFmtId="0" fontId="87" fillId="0" borderId="0" xfId="17" applyAlignment="1">
      <alignment vertical="center"/>
    </xf>
    <xf numFmtId="0" fontId="74" fillId="8" borderId="0" xfId="0" applyFont="1" applyFill="1"/>
    <xf numFmtId="0" fontId="123" fillId="8" borderId="0" xfId="0" applyFont="1" applyFill="1" applyAlignment="1">
      <alignment vertical="center"/>
    </xf>
    <xf numFmtId="0" fontId="0" fillId="8" borderId="0" xfId="0" applyFill="1" applyAlignment="1">
      <alignment horizontal="left" vertical="center" indent="1"/>
    </xf>
    <xf numFmtId="0" fontId="4" fillId="8" borderId="0" xfId="0" applyFont="1" applyFill="1" applyAlignment="1">
      <alignment horizontal="left" vertical="center" indent="1"/>
    </xf>
    <xf numFmtId="0" fontId="4" fillId="8" borderId="0" xfId="0" applyFont="1" applyFill="1" applyAlignment="1">
      <alignment horizontal="center" vertical="center" wrapText="1"/>
    </xf>
    <xf numFmtId="0" fontId="0" fillId="8" borderId="0" xfId="0" applyFill="1" applyAlignment="1">
      <alignment vertical="center" wrapText="1"/>
    </xf>
    <xf numFmtId="0" fontId="169" fillId="8" borderId="0" xfId="5" applyFont="1" applyFill="1" applyAlignment="1">
      <alignment horizontal="center" vertical="center"/>
    </xf>
    <xf numFmtId="0" fontId="176" fillId="8" borderId="0" xfId="5" applyFont="1" applyFill="1" applyAlignment="1">
      <alignment horizontal="center" vertical="center"/>
    </xf>
    <xf numFmtId="0" fontId="374" fillId="8" borderId="0" xfId="5" applyFont="1" applyFill="1" applyAlignment="1">
      <alignment horizontal="center" vertical="center"/>
    </xf>
    <xf numFmtId="0" fontId="0" fillId="0" borderId="0" xfId="0" applyAlignment="1">
      <alignment vertical="center" wrapText="1"/>
    </xf>
    <xf numFmtId="0" fontId="4" fillId="0" borderId="0" xfId="0" applyFont="1" applyAlignment="1">
      <alignment vertical="center" wrapText="1"/>
    </xf>
    <xf numFmtId="0" fontId="381" fillId="0" borderId="0" xfId="0" applyFont="1" applyAlignment="1">
      <alignment vertical="center" wrapText="1"/>
    </xf>
    <xf numFmtId="0" fontId="4" fillId="0" borderId="0" xfId="0" applyFont="1" applyAlignment="1">
      <alignment horizontal="center" vertical="center" wrapText="1"/>
    </xf>
    <xf numFmtId="0" fontId="377" fillId="8" borderId="0" xfId="1" applyFont="1" applyFill="1" applyAlignment="1" applyProtection="1">
      <alignment horizontal="left" vertical="center"/>
      <protection hidden="1"/>
    </xf>
    <xf numFmtId="0" fontId="169" fillId="0" borderId="219" xfId="5" applyFont="1" applyBorder="1" applyAlignment="1">
      <alignment horizontal="center" vertical="center"/>
    </xf>
    <xf numFmtId="0" fontId="169" fillId="0" borderId="0" xfId="5" applyFont="1" applyAlignment="1">
      <alignment horizontal="center" vertical="center"/>
    </xf>
    <xf numFmtId="0" fontId="176" fillId="0" borderId="219" xfId="5" applyFont="1" applyBorder="1" applyAlignment="1">
      <alignment horizontal="center" vertical="center"/>
    </xf>
    <xf numFmtId="0" fontId="374" fillId="0" borderId="0" xfId="5" applyFont="1" applyAlignment="1">
      <alignment horizontal="center" vertical="center"/>
    </xf>
    <xf numFmtId="0" fontId="4" fillId="8" borderId="0" xfId="0" applyFont="1" applyFill="1" applyAlignment="1">
      <alignment vertical="center" wrapText="1"/>
    </xf>
    <xf numFmtId="0" fontId="4" fillId="0" borderId="0" xfId="0" applyFont="1" applyAlignment="1">
      <alignment horizontal="left" vertical="center" wrapText="1"/>
    </xf>
    <xf numFmtId="0" fontId="375" fillId="8" borderId="0" xfId="1" applyFont="1" applyFill="1" applyAlignment="1" applyProtection="1">
      <alignment horizontal="left" vertical="center"/>
      <protection locked="0"/>
    </xf>
    <xf numFmtId="0" fontId="375" fillId="8" borderId="0" xfId="1" applyFont="1" applyFill="1" applyAlignment="1" applyProtection="1">
      <alignment horizontal="left" vertical="center" wrapText="1"/>
      <protection locked="0"/>
    </xf>
    <xf numFmtId="0" fontId="0" fillId="8" borderId="0" xfId="0" applyFill="1" applyAlignment="1">
      <alignment horizontal="left" vertical="center" wrapText="1"/>
    </xf>
    <xf numFmtId="0" fontId="68" fillId="0" borderId="0" xfId="0" applyFont="1" applyAlignment="1">
      <alignment vertical="center" wrapText="1"/>
    </xf>
    <xf numFmtId="0" fontId="68" fillId="0" borderId="0" xfId="0" applyFont="1"/>
    <xf numFmtId="0" fontId="169" fillId="8" borderId="0" xfId="5" applyFont="1" applyFill="1" applyAlignment="1">
      <alignment vertical="center"/>
    </xf>
    <xf numFmtId="0" fontId="21" fillId="8" borderId="0" xfId="1" applyFont="1" applyFill="1" applyAlignment="1" applyProtection="1">
      <alignment horizontal="left" vertical="center" wrapText="1"/>
      <protection locked="0"/>
    </xf>
    <xf numFmtId="0" fontId="134" fillId="8" borderId="0" xfId="1" applyFont="1" applyFill="1" applyAlignment="1" applyProtection="1">
      <alignment horizontal="center" vertical="center"/>
      <protection hidden="1"/>
    </xf>
    <xf numFmtId="0" fontId="383" fillId="8" borderId="0" xfId="34" applyFont="1" applyFill="1" applyBorder="1" applyAlignment="1">
      <alignment horizontal="center" vertical="center" wrapText="1"/>
    </xf>
    <xf numFmtId="0" fontId="71" fillId="8" borderId="0" xfId="2" applyFont="1" applyFill="1" applyAlignment="1">
      <alignment wrapText="1"/>
    </xf>
    <xf numFmtId="0" fontId="48" fillId="8" borderId="0" xfId="1" applyFont="1" applyFill="1" applyAlignment="1" applyProtection="1">
      <alignment horizontal="left" vertical="center"/>
      <protection hidden="1"/>
    </xf>
    <xf numFmtId="0" fontId="331" fillId="8" borderId="0" xfId="34" applyFont="1" applyFill="1" applyBorder="1" applyAlignment="1">
      <alignment horizontal="left" vertical="center"/>
    </xf>
    <xf numFmtId="0" fontId="331" fillId="8" borderId="0" xfId="34" applyFont="1" applyFill="1" applyBorder="1" applyAlignment="1">
      <alignment horizontal="center" vertical="center" wrapText="1"/>
    </xf>
    <xf numFmtId="0" fontId="48" fillId="8" borderId="0" xfId="1" applyFont="1" applyFill="1" applyAlignment="1" applyProtection="1">
      <alignment horizontal="center" vertical="center" wrapText="1"/>
      <protection hidden="1"/>
    </xf>
    <xf numFmtId="0" fontId="13" fillId="8" borderId="0" xfId="1" applyFont="1" applyFill="1" applyAlignment="1" applyProtection="1">
      <alignment horizontal="left" vertical="center" wrapText="1"/>
      <protection hidden="1"/>
    </xf>
    <xf numFmtId="0" fontId="71" fillId="8" borderId="0" xfId="0" applyFont="1" applyFill="1"/>
    <xf numFmtId="0" fontId="13" fillId="8" borderId="0" xfId="0" applyFont="1" applyFill="1" applyAlignment="1">
      <alignment vertical="center" wrapText="1"/>
    </xf>
    <xf numFmtId="0" fontId="76" fillId="8" borderId="0" xfId="1" applyFont="1" applyFill="1" applyAlignment="1" applyProtection="1">
      <alignment horizontal="center" vertical="center" wrapText="1"/>
      <protection hidden="1"/>
    </xf>
    <xf numFmtId="0" fontId="76" fillId="8" borderId="0" xfId="1" applyFont="1" applyFill="1" applyAlignment="1" applyProtection="1">
      <alignment horizontal="center" vertical="center"/>
      <protection hidden="1"/>
    </xf>
    <xf numFmtId="0" fontId="1" fillId="8" borderId="0" xfId="0" applyFont="1" applyFill="1" applyAlignment="1">
      <alignment vertical="center" wrapText="1"/>
    </xf>
    <xf numFmtId="0" fontId="21" fillId="8" borderId="0" xfId="1" applyFont="1" applyFill="1" applyAlignment="1" applyProtection="1">
      <alignment horizontal="left" vertical="center" wrapText="1"/>
      <protection hidden="1"/>
    </xf>
    <xf numFmtId="0" fontId="385" fillId="8" borderId="0" xfId="1" applyFont="1" applyFill="1" applyAlignment="1" applyProtection="1">
      <alignment horizontal="left" vertical="center"/>
      <protection hidden="1"/>
    </xf>
    <xf numFmtId="0" fontId="385" fillId="0" borderId="0" xfId="0" applyFont="1" applyAlignment="1">
      <alignment vertical="center" wrapText="1"/>
    </xf>
    <xf numFmtId="0" fontId="151" fillId="0" borderId="0" xfId="0" applyFont="1" applyAlignment="1">
      <alignment vertical="center" wrapText="1"/>
    </xf>
    <xf numFmtId="0" fontId="107" fillId="0" borderId="0" xfId="0" applyFont="1" applyAlignment="1">
      <alignment vertical="center" wrapText="1"/>
    </xf>
    <xf numFmtId="0" fontId="385" fillId="8" borderId="0" xfId="0" applyFont="1" applyFill="1" applyAlignment="1">
      <alignment vertical="center" wrapText="1"/>
    </xf>
    <xf numFmtId="0" fontId="386" fillId="8" borderId="0" xfId="0" applyFont="1" applyFill="1" applyAlignment="1">
      <alignment vertical="center" wrapText="1"/>
    </xf>
    <xf numFmtId="0" fontId="151" fillId="8" borderId="0" xfId="0" applyFont="1" applyFill="1" applyAlignment="1">
      <alignment vertical="center" wrapText="1"/>
    </xf>
    <xf numFmtId="0" fontId="107" fillId="8" borderId="0" xfId="0" applyFont="1" applyFill="1" applyAlignment="1">
      <alignment vertical="center" wrapText="1"/>
    </xf>
    <xf numFmtId="0" fontId="0" fillId="8" borderId="45" xfId="0" applyFill="1" applyBorder="1" applyAlignment="1">
      <alignment vertical="center" wrapText="1"/>
    </xf>
    <xf numFmtId="0" fontId="4" fillId="8" borderId="45" xfId="0" applyFont="1" applyFill="1" applyBorder="1" applyAlignment="1">
      <alignment vertical="center" wrapText="1"/>
    </xf>
    <xf numFmtId="0" fontId="378" fillId="8" borderId="0" xfId="2" applyFont="1" applyFill="1" applyAlignment="1">
      <alignment horizontal="center" vertical="center"/>
    </xf>
    <xf numFmtId="0" fontId="66" fillId="0" borderId="0" xfId="3" applyFont="1" applyAlignment="1">
      <alignment horizontal="right" vertical="center"/>
    </xf>
    <xf numFmtId="0" fontId="31" fillId="2" borderId="0" xfId="1" applyFont="1" applyFill="1" applyAlignment="1">
      <alignment horizontal="center" vertical="center"/>
    </xf>
    <xf numFmtId="0" fontId="78" fillId="8" borderId="0" xfId="1" applyFont="1" applyFill="1" applyAlignment="1" applyProtection="1">
      <alignment vertical="center" wrapText="1"/>
      <protection hidden="1"/>
    </xf>
    <xf numFmtId="0" fontId="24" fillId="8" borderId="0" xfId="1" applyFont="1" applyFill="1" applyAlignment="1">
      <alignment horizontal="center" vertical="center" wrapText="1"/>
    </xf>
    <xf numFmtId="0" fontId="373" fillId="22" borderId="0" xfId="1" applyFont="1" applyFill="1" applyAlignment="1">
      <alignment vertical="center"/>
    </xf>
    <xf numFmtId="0" fontId="72" fillId="8" borderId="0" xfId="0" applyFont="1" applyFill="1" applyAlignment="1">
      <alignment vertical="center" wrapText="1"/>
    </xf>
    <xf numFmtId="0" fontId="80" fillId="0" borderId="219" xfId="5" applyFont="1" applyBorder="1" applyAlignment="1">
      <alignment horizontal="center" vertical="center"/>
    </xf>
    <xf numFmtId="0" fontId="169" fillId="0" borderId="56" xfId="5" applyFont="1" applyBorder="1" applyAlignment="1">
      <alignment horizontal="center" vertical="center"/>
    </xf>
    <xf numFmtId="0" fontId="169" fillId="0" borderId="222" xfId="5" applyFont="1" applyBorder="1" applyAlignment="1">
      <alignment horizontal="center" vertical="center"/>
    </xf>
    <xf numFmtId="0" fontId="155" fillId="8" borderId="0" xfId="0" applyFont="1" applyFill="1" applyAlignment="1">
      <alignment vertical="center"/>
    </xf>
    <xf numFmtId="0" fontId="1" fillId="8" borderId="0" xfId="2" applyFill="1" applyAlignment="1">
      <alignment horizontal="left" vertical="center" wrapText="1"/>
    </xf>
    <xf numFmtId="0" fontId="43" fillId="8" borderId="0" xfId="1" applyFont="1" applyFill="1" applyAlignment="1" applyProtection="1">
      <alignment horizontal="left" vertical="center"/>
      <protection hidden="1"/>
    </xf>
    <xf numFmtId="0" fontId="110" fillId="8" borderId="0" xfId="0" applyFont="1" applyFill="1" applyAlignment="1">
      <alignment vertical="center" wrapText="1"/>
    </xf>
    <xf numFmtId="0" fontId="26" fillId="8" borderId="0" xfId="1" applyFont="1" applyFill="1" applyAlignment="1" applyProtection="1">
      <alignment horizontal="left" vertical="center"/>
      <protection hidden="1"/>
    </xf>
    <xf numFmtId="0" fontId="39" fillId="8" borderId="0" xfId="1" applyFont="1" applyFill="1" applyAlignment="1" applyProtection="1">
      <alignment horizontal="center" vertical="center"/>
      <protection hidden="1"/>
    </xf>
    <xf numFmtId="0" fontId="39" fillId="8" borderId="0" xfId="1" applyFont="1" applyFill="1" applyAlignment="1" applyProtection="1">
      <alignment horizontal="left" vertical="center"/>
      <protection hidden="1"/>
    </xf>
    <xf numFmtId="0" fontId="60" fillId="8" borderId="0" xfId="1" applyFont="1" applyFill="1" applyAlignment="1" applyProtection="1">
      <alignment horizontal="left" vertical="center"/>
      <protection hidden="1"/>
    </xf>
    <xf numFmtId="0" fontId="71" fillId="8" borderId="6" xfId="27" applyFill="1" applyBorder="1"/>
    <xf numFmtId="0" fontId="46" fillId="0" borderId="0" xfId="3" applyFont="1" applyAlignment="1">
      <alignment horizontal="center" vertical="center"/>
    </xf>
    <xf numFmtId="0" fontId="21" fillId="0" borderId="0" xfId="3" applyFont="1" applyAlignment="1">
      <alignment horizontal="right" vertical="center"/>
    </xf>
    <xf numFmtId="0" fontId="162" fillId="8" borderId="0" xfId="17" applyFont="1" applyFill="1" applyAlignment="1">
      <alignment horizontal="left" vertical="center"/>
    </xf>
    <xf numFmtId="0" fontId="87" fillId="8" borderId="0" xfId="17" applyFill="1" applyAlignment="1">
      <alignment horizontal="left" vertical="center"/>
    </xf>
    <xf numFmtId="0" fontId="296" fillId="0" borderId="0" xfId="0" applyFont="1"/>
    <xf numFmtId="0" fontId="193" fillId="0" borderId="0" xfId="35" applyAlignment="1">
      <alignment vertical="center"/>
    </xf>
    <xf numFmtId="0" fontId="71" fillId="8" borderId="0" xfId="27" applyFill="1" applyAlignment="1">
      <alignment horizontal="left" vertical="center"/>
    </xf>
    <xf numFmtId="0" fontId="1" fillId="8" borderId="0" xfId="27" applyFont="1" applyFill="1" applyAlignment="1">
      <alignment horizontal="left" vertical="top"/>
    </xf>
    <xf numFmtId="0" fontId="4" fillId="0" borderId="0" xfId="27" applyFont="1" applyAlignment="1">
      <alignment horizontal="right" vertical="center"/>
    </xf>
    <xf numFmtId="0" fontId="354" fillId="8" borderId="0" xfId="1" applyFont="1" applyFill="1" applyAlignment="1" applyProtection="1">
      <alignment horizontal="right" vertical="center"/>
      <protection hidden="1"/>
    </xf>
    <xf numFmtId="0" fontId="193" fillId="8" borderId="0" xfId="35" applyFill="1"/>
    <xf numFmtId="0" fontId="360" fillId="8" borderId="0" xfId="3" applyFont="1" applyFill="1" applyAlignment="1">
      <alignment horizontal="left" vertical="center"/>
    </xf>
    <xf numFmtId="0" fontId="4" fillId="8" borderId="0" xfId="27" applyFont="1" applyFill="1"/>
    <xf numFmtId="0" fontId="332" fillId="8" borderId="0" xfId="34" applyFont="1" applyFill="1" applyAlignment="1">
      <alignment horizontal="left" vertical="center"/>
    </xf>
    <xf numFmtId="0" fontId="16" fillId="46" borderId="0" xfId="16" applyFont="1" applyFill="1" applyAlignment="1" applyProtection="1">
      <alignment horizontal="left" vertical="center"/>
      <protection locked="0"/>
    </xf>
    <xf numFmtId="0" fontId="358" fillId="46" borderId="0" xfId="16" applyFont="1" applyFill="1" applyAlignment="1" applyProtection="1">
      <alignment horizontal="left" vertical="center"/>
      <protection locked="0"/>
    </xf>
    <xf numFmtId="0" fontId="352" fillId="8" borderId="0" xfId="3" applyFont="1" applyFill="1" applyAlignment="1">
      <alignment horizontal="left" vertical="center"/>
    </xf>
    <xf numFmtId="0" fontId="34" fillId="8" borderId="0" xfId="27" applyFont="1" applyFill="1" applyAlignment="1">
      <alignment horizontal="left" vertical="center"/>
    </xf>
    <xf numFmtId="0" fontId="19" fillId="130" borderId="2" xfId="2" applyFont="1" applyFill="1" applyBorder="1" applyAlignment="1">
      <alignment vertical="center"/>
    </xf>
    <xf numFmtId="0" fontId="2" fillId="130" borderId="8" xfId="2" applyFont="1" applyFill="1" applyBorder="1" applyAlignment="1">
      <alignment horizontal="right" vertical="center"/>
    </xf>
    <xf numFmtId="0" fontId="34" fillId="8" borderId="0" xfId="27" applyFont="1" applyFill="1" applyAlignment="1">
      <alignment horizontal="center"/>
    </xf>
    <xf numFmtId="0" fontId="5" fillId="130" borderId="0" xfId="27" applyFont="1" applyFill="1"/>
    <xf numFmtId="0" fontId="5" fillId="130" borderId="0" xfId="27" applyFont="1" applyFill="1" applyAlignment="1">
      <alignment horizontal="right" vertical="center"/>
    </xf>
    <xf numFmtId="0" fontId="22" fillId="130" borderId="0" xfId="27" applyFont="1" applyFill="1" applyAlignment="1">
      <alignment horizontal="right" vertical="center"/>
    </xf>
    <xf numFmtId="0" fontId="22" fillId="130" borderId="0" xfId="27" applyFont="1" applyFill="1" applyAlignment="1">
      <alignment horizontal="left" vertical="center"/>
    </xf>
    <xf numFmtId="0" fontId="5" fillId="130" borderId="9" xfId="27" applyFont="1" applyFill="1" applyBorder="1"/>
    <xf numFmtId="0" fontId="61" fillId="8" borderId="0" xfId="1" applyFont="1" applyFill="1" applyAlignment="1">
      <alignment horizontal="center" vertical="center"/>
    </xf>
    <xf numFmtId="0" fontId="2" fillId="130" borderId="0" xfId="27" applyFont="1" applyFill="1" applyAlignment="1">
      <alignment horizontal="center" vertical="center"/>
    </xf>
    <xf numFmtId="1" fontId="2" fillId="75" borderId="0" xfId="5" applyNumberFormat="1" applyFont="1" applyFill="1" applyAlignment="1">
      <alignment horizontal="center" vertical="center"/>
    </xf>
    <xf numFmtId="0" fontId="29" fillId="75" borderId="14" xfId="29" applyFont="1" applyFill="1" applyBorder="1" applyAlignment="1">
      <alignment horizontal="left" vertical="center"/>
    </xf>
    <xf numFmtId="0" fontId="22" fillId="75" borderId="14" xfId="29" applyFont="1" applyFill="1" applyBorder="1" applyAlignment="1">
      <alignment horizontal="right" vertical="center"/>
    </xf>
    <xf numFmtId="1" fontId="22" fillId="75" borderId="14" xfId="5" applyNumberFormat="1" applyFont="1" applyFill="1" applyBorder="1" applyAlignment="1">
      <alignment horizontal="right" vertical="center"/>
    </xf>
    <xf numFmtId="199" fontId="22" fillId="75" borderId="14" xfId="27" applyNumberFormat="1" applyFont="1" applyFill="1" applyBorder="1" applyAlignment="1">
      <alignment horizontal="center" vertical="center"/>
    </xf>
    <xf numFmtId="0" fontId="29" fillId="75" borderId="14" xfId="27" applyFont="1" applyFill="1" applyBorder="1" applyAlignment="1">
      <alignment horizontal="right" vertical="center"/>
    </xf>
    <xf numFmtId="169" fontId="29" fillId="75" borderId="21" xfId="27" applyNumberFormat="1" applyFont="1" applyFill="1" applyBorder="1" applyAlignment="1">
      <alignment horizontal="left" vertical="center"/>
    </xf>
    <xf numFmtId="199" fontId="2" fillId="75" borderId="0" xfId="27" applyNumberFormat="1" applyFont="1" applyFill="1" applyAlignment="1">
      <alignment horizontal="center" vertical="center"/>
    </xf>
    <xf numFmtId="0" fontId="22" fillId="75" borderId="41" xfId="1" applyFont="1" applyFill="1" applyBorder="1" applyAlignment="1">
      <alignment horizontal="center" vertical="center" wrapText="1"/>
    </xf>
    <xf numFmtId="0" fontId="32" fillId="45" borderId="0" xfId="16" applyFont="1" applyFill="1" applyAlignment="1" applyProtection="1">
      <alignment vertical="center"/>
      <protection locked="0"/>
    </xf>
    <xf numFmtId="0" fontId="5" fillId="75" borderId="0" xfId="27" applyFont="1" applyFill="1" applyAlignment="1">
      <alignment horizontal="center" vertical="center"/>
    </xf>
    <xf numFmtId="169" fontId="5" fillId="75" borderId="0" xfId="27" applyNumberFormat="1" applyFont="1" applyFill="1" applyAlignment="1">
      <alignment horizontal="center" vertical="center"/>
    </xf>
    <xf numFmtId="0" fontId="1" fillId="0" borderId="0" xfId="27" applyFont="1" applyAlignment="1">
      <alignment horizontal="center"/>
    </xf>
    <xf numFmtId="0" fontId="87" fillId="8" borderId="0" xfId="17" applyFill="1" applyAlignment="1">
      <alignment horizontal="center" vertical="center"/>
    </xf>
    <xf numFmtId="0" fontId="96" fillId="45" borderId="0" xfId="16" applyFont="1" applyFill="1" applyAlignment="1" applyProtection="1">
      <alignment horizontal="right" vertical="center"/>
      <protection locked="0"/>
    </xf>
    <xf numFmtId="0" fontId="365" fillId="8" borderId="9" xfId="27" applyFont="1" applyFill="1" applyBorder="1" applyAlignment="1">
      <alignment horizontal="left" vertical="top"/>
    </xf>
    <xf numFmtId="0" fontId="365" fillId="8" borderId="0" xfId="27" applyFont="1" applyFill="1" applyAlignment="1">
      <alignment horizontal="center" vertical="top"/>
    </xf>
    <xf numFmtId="169" fontId="62" fillId="46" borderId="0" xfId="16" applyNumberFormat="1" applyFont="1" applyFill="1" applyAlignment="1" applyProtection="1">
      <alignment horizontal="center" vertical="center"/>
      <protection locked="0"/>
    </xf>
    <xf numFmtId="0" fontId="1" fillId="8" borderId="0" xfId="27" quotePrefix="1" applyFont="1" applyFill="1" applyAlignment="1">
      <alignment vertical="center"/>
    </xf>
    <xf numFmtId="0" fontId="363" fillId="8" borderId="0" xfId="1" applyFont="1" applyFill="1" applyAlignment="1">
      <alignment horizontal="center" vertical="center"/>
    </xf>
    <xf numFmtId="0" fontId="60" fillId="8" borderId="0" xfId="1" applyFont="1" applyFill="1" applyAlignment="1">
      <alignment horizontal="right" vertical="center"/>
    </xf>
    <xf numFmtId="0" fontId="123" fillId="122" borderId="2" xfId="2" applyFont="1" applyFill="1" applyBorder="1" applyAlignment="1">
      <alignment vertical="center"/>
    </xf>
    <xf numFmtId="0" fontId="88" fillId="122" borderId="8" xfId="2" applyFont="1" applyFill="1" applyBorder="1" applyAlignment="1">
      <alignment horizontal="right" vertical="center"/>
    </xf>
    <xf numFmtId="0" fontId="1" fillId="122" borderId="0" xfId="27" applyFont="1" applyFill="1"/>
    <xf numFmtId="0" fontId="1" fillId="122" borderId="0" xfId="27" applyFont="1" applyFill="1" applyAlignment="1">
      <alignment horizontal="right" vertical="center"/>
    </xf>
    <xf numFmtId="0" fontId="72" fillId="122" borderId="0" xfId="27" applyFont="1" applyFill="1" applyAlignment="1">
      <alignment horizontal="right" vertical="center"/>
    </xf>
    <xf numFmtId="0" fontId="72" fillId="122" borderId="0" xfId="27" applyFont="1" applyFill="1" applyAlignment="1">
      <alignment horizontal="left" vertical="center"/>
    </xf>
    <xf numFmtId="0" fontId="72" fillId="122" borderId="9" xfId="27" applyFont="1" applyFill="1" applyBorder="1"/>
    <xf numFmtId="0" fontId="0" fillId="116" borderId="0" xfId="0" applyFill="1"/>
    <xf numFmtId="0" fontId="0" fillId="116" borderId="9" xfId="0" applyFill="1" applyBorder="1"/>
    <xf numFmtId="0" fontId="0" fillId="116" borderId="14" xfId="0" applyFill="1" applyBorder="1" applyAlignment="1">
      <alignment horizontal="center" vertical="center"/>
    </xf>
    <xf numFmtId="0" fontId="388" fillId="116" borderId="14" xfId="0" applyFont="1" applyFill="1" applyBorder="1" applyAlignment="1">
      <alignment horizontal="right" vertical="center"/>
    </xf>
    <xf numFmtId="174" fontId="24" fillId="123" borderId="14" xfId="16" applyNumberFormat="1" applyFont="1" applyFill="1" applyBorder="1" applyAlignment="1" applyProtection="1">
      <alignment horizontal="center" vertical="center"/>
      <protection locked="0"/>
    </xf>
    <xf numFmtId="174" fontId="24" fillId="123" borderId="21" xfId="16" applyNumberFormat="1" applyFont="1" applyFill="1" applyBorder="1" applyAlignment="1" applyProtection="1">
      <alignment horizontal="center" vertical="center"/>
      <protection locked="0"/>
    </xf>
    <xf numFmtId="0" fontId="51" fillId="8" borderId="0" xfId="0" applyFont="1" applyFill="1" applyAlignment="1">
      <alignment horizontal="right" vertical="center"/>
    </xf>
    <xf numFmtId="0" fontId="363" fillId="8" borderId="0" xfId="1" applyFont="1" applyFill="1" applyAlignment="1">
      <alignment horizontal="left" vertical="center"/>
    </xf>
    <xf numFmtId="0" fontId="192" fillId="8" borderId="0" xfId="16" applyFont="1" applyFill="1" applyAlignment="1" applyProtection="1">
      <alignment horizontal="right" vertical="center"/>
      <protection locked="0"/>
    </xf>
    <xf numFmtId="167" fontId="53" fillId="45" borderId="0" xfId="16" applyNumberFormat="1" applyFont="1" applyFill="1" applyAlignment="1" applyProtection="1">
      <alignment horizontal="center" vertical="center"/>
      <protection locked="0"/>
    </xf>
    <xf numFmtId="0" fontId="36" fillId="8" borderId="0" xfId="0" applyFont="1" applyFill="1" applyAlignment="1">
      <alignment horizontal="left" vertical="center"/>
    </xf>
    <xf numFmtId="174" fontId="24" fillId="45" borderId="0" xfId="16" applyNumberFormat="1" applyFont="1" applyFill="1" applyAlignment="1" applyProtection="1">
      <alignment horizontal="center" vertical="center"/>
      <protection locked="0"/>
    </xf>
    <xf numFmtId="0" fontId="388" fillId="8" borderId="0" xfId="1" applyFont="1" applyFill="1" applyAlignment="1">
      <alignment horizontal="left" vertical="center"/>
    </xf>
    <xf numFmtId="0" fontId="1" fillId="8" borderId="0" xfId="0" applyFont="1" applyFill="1" applyAlignment="1">
      <alignment vertical="center"/>
    </xf>
    <xf numFmtId="0" fontId="24" fillId="7" borderId="224" xfId="13" applyFont="1" applyFill="1" applyBorder="1" applyAlignment="1">
      <alignment horizontal="center" vertical="center"/>
    </xf>
    <xf numFmtId="169" fontId="138" fillId="21" borderId="225" xfId="5" applyNumberFormat="1" applyFont="1" applyFill="1" applyBorder="1" applyAlignment="1">
      <alignment horizontal="center" vertical="center"/>
    </xf>
    <xf numFmtId="174" fontId="13" fillId="7" borderId="226" xfId="13" applyNumberFormat="1" applyFont="1" applyFill="1" applyBorder="1" applyAlignment="1" applyProtection="1">
      <alignment horizontal="center" vertical="center"/>
      <protection locked="0"/>
    </xf>
    <xf numFmtId="0" fontId="0" fillId="0" borderId="0" xfId="0" applyAlignment="1">
      <alignment horizontal="center"/>
    </xf>
    <xf numFmtId="0" fontId="5" fillId="43" borderId="0" xfId="7" applyFont="1" applyFill="1" applyAlignment="1">
      <alignment vertical="center"/>
    </xf>
    <xf numFmtId="0" fontId="389" fillId="38" borderId="0" xfId="1" applyFont="1" applyFill="1" applyProtection="1">
      <protection hidden="1"/>
    </xf>
    <xf numFmtId="0" fontId="1" fillId="0" borderId="0" xfId="7"/>
    <xf numFmtId="0" fontId="77" fillId="44" borderId="24" xfId="1" applyFont="1" applyFill="1" applyBorder="1" applyAlignment="1" applyProtection="1">
      <alignment horizontal="left" vertical="center"/>
      <protection hidden="1"/>
    </xf>
    <xf numFmtId="0" fontId="77" fillId="44" borderId="24" xfId="1" applyFont="1" applyFill="1" applyBorder="1" applyAlignment="1" applyProtection="1">
      <alignment horizontal="center" vertical="center"/>
      <protection hidden="1"/>
    </xf>
    <xf numFmtId="0" fontId="35" fillId="8" borderId="24" xfId="1" applyFont="1" applyFill="1" applyBorder="1" applyAlignment="1" applyProtection="1">
      <alignment horizontal="center" vertical="center"/>
      <protection hidden="1"/>
    </xf>
    <xf numFmtId="0" fontId="39" fillId="56" borderId="24" xfId="1" applyFont="1" applyFill="1" applyBorder="1" applyAlignment="1" applyProtection="1">
      <alignment horizontal="center" vertical="center"/>
      <protection hidden="1"/>
    </xf>
    <xf numFmtId="0" fontId="35" fillId="56" borderId="24" xfId="1" applyFont="1" applyFill="1" applyBorder="1" applyAlignment="1" applyProtection="1">
      <alignment horizontal="left" vertical="center"/>
      <protection hidden="1"/>
    </xf>
    <xf numFmtId="0" fontId="0" fillId="56" borderId="0" xfId="0" applyFill="1"/>
    <xf numFmtId="0" fontId="35" fillId="8" borderId="24" xfId="1" applyFont="1" applyFill="1" applyBorder="1" applyAlignment="1" applyProtection="1">
      <alignment horizontal="left" vertical="center"/>
      <protection hidden="1"/>
    </xf>
    <xf numFmtId="0" fontId="77" fillId="8" borderId="24" xfId="1" applyFont="1" applyFill="1" applyBorder="1" applyAlignment="1" applyProtection="1">
      <alignment horizontal="left" vertical="center"/>
      <protection hidden="1"/>
    </xf>
    <xf numFmtId="0" fontId="76" fillId="8" borderId="24" xfId="1" applyFont="1" applyFill="1" applyBorder="1" applyAlignment="1" applyProtection="1">
      <alignment horizontal="center" vertical="center"/>
      <protection hidden="1"/>
    </xf>
    <xf numFmtId="0" fontId="352" fillId="8" borderId="24" xfId="1" applyFont="1" applyFill="1" applyBorder="1" applyAlignment="1" applyProtection="1">
      <alignment horizontal="center" vertical="center"/>
      <protection hidden="1"/>
    </xf>
    <xf numFmtId="0" fontId="68" fillId="8" borderId="24" xfId="1" applyFont="1" applyFill="1" applyBorder="1" applyAlignment="1" applyProtection="1">
      <alignment horizontal="left" vertical="center"/>
      <protection hidden="1"/>
    </xf>
    <xf numFmtId="0" fontId="73" fillId="44" borderId="0" xfId="1" applyFont="1" applyFill="1" applyAlignment="1" applyProtection="1">
      <alignment horizontal="left" vertical="center"/>
      <protection hidden="1"/>
    </xf>
    <xf numFmtId="0" fontId="150" fillId="0" borderId="0" xfId="0" applyFont="1"/>
    <xf numFmtId="0" fontId="87" fillId="0" borderId="0" xfId="17"/>
    <xf numFmtId="0" fontId="197" fillId="0" borderId="0" xfId="0" applyFont="1" applyAlignment="1">
      <alignment vertical="center"/>
    </xf>
    <xf numFmtId="0" fontId="197" fillId="0" borderId="0" xfId="0" applyFont="1" applyAlignment="1">
      <alignment horizontal="center" vertical="center"/>
    </xf>
    <xf numFmtId="0" fontId="69" fillId="0" borderId="0" xfId="1" applyFont="1" applyAlignment="1">
      <alignment horizontal="center" vertical="center"/>
    </xf>
    <xf numFmtId="0" fontId="1" fillId="8" borderId="0" xfId="7" applyFill="1"/>
    <xf numFmtId="0" fontId="6" fillId="8" borderId="0" xfId="1" applyFill="1" applyProtection="1">
      <protection hidden="1"/>
    </xf>
    <xf numFmtId="0" fontId="154" fillId="8" borderId="0" xfId="27" applyFont="1" applyFill="1" applyAlignment="1">
      <alignment vertical="center"/>
    </xf>
    <xf numFmtId="0" fontId="391" fillId="8" borderId="0" xfId="1" applyFont="1" applyFill="1" applyAlignment="1">
      <alignment vertical="center"/>
    </xf>
    <xf numFmtId="0" fontId="154" fillId="8" borderId="0" xfId="27" applyFont="1" applyFill="1" applyAlignment="1">
      <alignment horizontal="left" vertical="center"/>
    </xf>
    <xf numFmtId="0" fontId="392" fillId="8" borderId="0" xfId="1" applyFont="1" applyFill="1" applyAlignment="1">
      <alignment vertical="center"/>
    </xf>
    <xf numFmtId="0" fontId="48" fillId="65" borderId="0" xfId="14" applyFont="1" applyFill="1" applyAlignment="1">
      <alignment horizontal="center" vertical="center"/>
    </xf>
    <xf numFmtId="0" fontId="154" fillId="7" borderId="0" xfId="7" applyFont="1" applyFill="1" applyAlignment="1">
      <alignment horizontal="center" vertical="center"/>
    </xf>
    <xf numFmtId="0" fontId="393" fillId="8" borderId="0" xfId="1" applyFont="1" applyFill="1" applyAlignment="1" applyProtection="1">
      <alignment vertical="center"/>
      <protection hidden="1"/>
    </xf>
    <xf numFmtId="0" fontId="193" fillId="8" borderId="0" xfId="36" applyFill="1" applyBorder="1" applyAlignment="1">
      <alignment vertical="center"/>
    </xf>
    <xf numFmtId="0" fontId="31" fillId="8" borderId="0" xfId="29" applyFont="1" applyFill="1" applyAlignment="1">
      <alignment horizontal="center" vertical="center"/>
    </xf>
    <xf numFmtId="0" fontId="391" fillId="8" borderId="0" xfId="1" applyFont="1" applyFill="1" applyAlignment="1">
      <alignment horizontal="center" vertical="center"/>
    </xf>
    <xf numFmtId="0" fontId="394" fillId="8" borderId="0" xfId="1" applyFont="1" applyFill="1" applyAlignment="1">
      <alignment vertical="center"/>
    </xf>
    <xf numFmtId="0" fontId="72" fillId="8" borderId="0" xfId="27" applyFont="1" applyFill="1"/>
    <xf numFmtId="0" fontId="30" fillId="8" borderId="0" xfId="1" applyFont="1" applyFill="1" applyAlignment="1">
      <alignment horizontal="left" vertical="center"/>
    </xf>
    <xf numFmtId="0" fontId="395" fillId="8" borderId="0" xfId="16" applyFont="1" applyFill="1" applyAlignment="1">
      <alignment vertical="center"/>
    </xf>
    <xf numFmtId="0" fontId="6" fillId="8" borderId="0" xfId="16" applyFont="1" applyFill="1"/>
    <xf numFmtId="0" fontId="292" fillId="8" borderId="0" xfId="16" applyFont="1" applyFill="1"/>
    <xf numFmtId="0" fontId="88" fillId="8" borderId="0" xfId="7" applyFont="1" applyFill="1" applyAlignment="1">
      <alignment vertical="center"/>
    </xf>
    <xf numFmtId="0" fontId="88" fillId="8" borderId="0" xfId="7" applyFont="1" applyFill="1" applyAlignment="1">
      <alignment horizontal="center" vertical="center"/>
    </xf>
    <xf numFmtId="0" fontId="396" fillId="8" borderId="0" xfId="1" applyFont="1" applyFill="1"/>
    <xf numFmtId="0" fontId="72" fillId="8" borderId="0" xfId="27" applyFont="1" applyFill="1" applyAlignment="1">
      <alignment horizontal="center"/>
    </xf>
    <xf numFmtId="0" fontId="397" fillId="113" borderId="62" xfId="1" applyFont="1" applyFill="1" applyBorder="1" applyAlignment="1">
      <alignment horizontal="center" vertical="center"/>
    </xf>
    <xf numFmtId="0" fontId="5" fillId="8" borderId="0" xfId="7" applyFont="1" applyFill="1" applyAlignment="1">
      <alignment vertical="center"/>
    </xf>
    <xf numFmtId="0" fontId="391" fillId="4" borderId="52" xfId="1" applyFont="1" applyFill="1" applyBorder="1" applyAlignment="1">
      <alignment horizontal="center" vertical="center"/>
    </xf>
    <xf numFmtId="0" fontId="398" fillId="113" borderId="52" xfId="1" applyFont="1" applyFill="1" applyBorder="1" applyAlignment="1">
      <alignment horizontal="center" vertical="center"/>
    </xf>
    <xf numFmtId="0" fontId="22" fillId="8" borderId="6" xfId="1" applyFont="1" applyFill="1" applyBorder="1" applyAlignment="1" applyProtection="1">
      <alignment horizontal="center" vertical="center"/>
      <protection hidden="1"/>
    </xf>
    <xf numFmtId="0" fontId="1" fillId="7" borderId="55" xfId="7" applyFill="1" applyBorder="1" applyAlignment="1">
      <alignment horizontal="center" vertical="center"/>
    </xf>
    <xf numFmtId="0" fontId="193" fillId="8" borderId="14" xfId="36" applyFill="1" applyBorder="1" applyAlignment="1">
      <alignment vertical="center"/>
    </xf>
    <xf numFmtId="0" fontId="391" fillId="8" borderId="14" xfId="1" applyFont="1" applyFill="1" applyBorder="1" applyAlignment="1">
      <alignment horizontal="center" vertical="center"/>
    </xf>
    <xf numFmtId="0" fontId="391" fillId="8" borderId="104" xfId="1" applyFont="1" applyFill="1" applyBorder="1" applyAlignment="1">
      <alignment horizontal="center" vertical="center"/>
    </xf>
    <xf numFmtId="0" fontId="1" fillId="8" borderId="65" xfId="7" applyFill="1" applyBorder="1" applyAlignment="1">
      <alignment horizontal="center" vertical="center"/>
    </xf>
    <xf numFmtId="0" fontId="193" fillId="8" borderId="21" xfId="36" applyFill="1" applyBorder="1" applyAlignment="1">
      <alignment vertical="center"/>
    </xf>
    <xf numFmtId="0" fontId="6" fillId="8" borderId="32" xfId="1" applyFill="1" applyBorder="1" applyAlignment="1">
      <alignment horizontal="center" vertical="center" wrapText="1"/>
    </xf>
    <xf numFmtId="0" fontId="6" fillId="8" borderId="0" xfId="1" applyFill="1" applyAlignment="1">
      <alignment horizontal="center" vertical="center" wrapText="1"/>
    </xf>
    <xf numFmtId="0" fontId="87" fillId="8" borderId="6" xfId="37" applyFill="1" applyBorder="1" applyAlignment="1">
      <alignment vertical="center" wrapText="1"/>
    </xf>
    <xf numFmtId="0" fontId="87" fillId="8" borderId="0" xfId="37" applyFill="1" applyBorder="1" applyAlignment="1">
      <alignment vertical="center" wrapText="1"/>
    </xf>
    <xf numFmtId="0" fontId="1" fillId="8" borderId="9" xfId="7" applyFill="1" applyBorder="1"/>
    <xf numFmtId="0" fontId="1" fillId="8" borderId="6" xfId="7" applyFill="1" applyBorder="1"/>
    <xf numFmtId="0" fontId="1" fillId="7" borderId="65" xfId="7" applyFill="1" applyBorder="1" applyAlignment="1">
      <alignment horizontal="center" vertical="center"/>
    </xf>
    <xf numFmtId="0" fontId="31" fillId="8" borderId="21" xfId="29" applyFont="1" applyFill="1" applyBorder="1" applyAlignment="1">
      <alignment horizontal="center" vertical="center"/>
    </xf>
    <xf numFmtId="0" fontId="391" fillId="8" borderId="0" xfId="1" applyFont="1" applyFill="1" applyAlignment="1">
      <alignment horizontal="centerContinuous" vertical="center"/>
    </xf>
    <xf numFmtId="0" fontId="6" fillId="1" borderId="0" xfId="1" applyFill="1" applyAlignment="1">
      <alignment vertical="center"/>
    </xf>
    <xf numFmtId="0" fontId="6" fillId="1" borderId="9" xfId="1" applyFill="1" applyBorder="1" applyAlignment="1">
      <alignment vertical="center"/>
    </xf>
    <xf numFmtId="0" fontId="6" fillId="8" borderId="0" xfId="1" applyFill="1" applyAlignment="1">
      <alignment horizontal="center" vertical="center"/>
    </xf>
    <xf numFmtId="0" fontId="6" fillId="8" borderId="0" xfId="1" applyFill="1" applyAlignment="1">
      <alignment horizontal="centerContinuous" vertical="center"/>
    </xf>
    <xf numFmtId="0" fontId="6" fillId="8" borderId="9" xfId="1" applyFill="1" applyBorder="1" applyAlignment="1">
      <alignment horizontal="center" vertical="center"/>
    </xf>
    <xf numFmtId="0" fontId="1" fillId="8" borderId="59" xfId="7" applyFill="1" applyBorder="1"/>
    <xf numFmtId="0" fontId="6" fillId="8" borderId="3" xfId="1" applyFill="1" applyBorder="1" applyAlignment="1">
      <alignment horizontal="center" vertical="center"/>
    </xf>
    <xf numFmtId="0" fontId="6" fillId="8" borderId="3" xfId="1" applyFill="1" applyBorder="1" applyAlignment="1">
      <alignment horizontal="centerContinuous" vertical="center"/>
    </xf>
    <xf numFmtId="0" fontId="6" fillId="8" borderId="59" xfId="1" applyFill="1" applyBorder="1" applyAlignment="1">
      <alignment horizontal="center" vertical="center"/>
    </xf>
    <xf numFmtId="0" fontId="66" fillId="8" borderId="0" xfId="1" applyFont="1" applyFill="1" applyAlignment="1" applyProtection="1">
      <alignment vertical="center"/>
      <protection hidden="1"/>
    </xf>
    <xf numFmtId="0" fontId="154" fillId="8" borderId="0" xfId="1" applyFont="1" applyFill="1" applyAlignment="1" applyProtection="1">
      <alignment vertical="center"/>
      <protection hidden="1"/>
    </xf>
    <xf numFmtId="0" fontId="22" fillId="111" borderId="0" xfId="1" applyFont="1" applyFill="1" applyAlignment="1" applyProtection="1">
      <alignment horizontal="center" vertical="center"/>
      <protection hidden="1"/>
    </xf>
    <xf numFmtId="0" fontId="400" fillId="8" borderId="0" xfId="37" applyFont="1" applyFill="1" applyAlignment="1" applyProtection="1">
      <alignment vertical="center"/>
      <protection hidden="1"/>
    </xf>
    <xf numFmtId="0" fontId="401" fillId="8" borderId="0" xfId="1" applyFont="1" applyFill="1" applyAlignment="1" applyProtection="1">
      <alignment vertical="center"/>
      <protection hidden="1"/>
    </xf>
    <xf numFmtId="0" fontId="284" fillId="8" borderId="0" xfId="37" applyFont="1" applyFill="1" applyAlignment="1" applyProtection="1">
      <alignment vertical="center"/>
      <protection hidden="1"/>
    </xf>
    <xf numFmtId="0" fontId="331" fillId="8" borderId="0" xfId="37" applyFont="1" applyFill="1" applyAlignment="1" applyProtection="1">
      <alignment vertical="center"/>
      <protection hidden="1"/>
    </xf>
    <xf numFmtId="0" fontId="346" fillId="8" borderId="0" xfId="17" applyFont="1" applyFill="1" applyAlignment="1" applyProtection="1">
      <alignment horizontal="left" vertical="center"/>
      <protection hidden="1"/>
    </xf>
    <xf numFmtId="0" fontId="155" fillId="0" borderId="0" xfId="7" applyFont="1"/>
    <xf numFmtId="0" fontId="346" fillId="0" borderId="0" xfId="17" applyFont="1" applyAlignment="1">
      <alignment horizontal="left" vertical="center"/>
    </xf>
    <xf numFmtId="0" fontId="1" fillId="7" borderId="127" xfId="7" applyFill="1" applyBorder="1" applyAlignment="1">
      <alignment horizontal="center" vertical="center"/>
    </xf>
    <xf numFmtId="0" fontId="30" fillId="8" borderId="56" xfId="1" applyFont="1" applyFill="1" applyBorder="1" applyAlignment="1">
      <alignment horizontal="left" vertical="center"/>
    </xf>
    <xf numFmtId="0" fontId="223" fillId="8" borderId="0" xfId="16" applyFont="1" applyFill="1" applyAlignment="1">
      <alignment horizontal="right" vertical="center"/>
    </xf>
    <xf numFmtId="2" fontId="409" fillId="65" borderId="243" xfId="5" applyNumberFormat="1" applyFont="1" applyFill="1" applyBorder="1" applyAlignment="1">
      <alignment horizontal="center" vertical="center"/>
    </xf>
    <xf numFmtId="171" fontId="409" fillId="65" borderId="243" xfId="5" applyNumberFormat="1" applyFont="1" applyFill="1" applyBorder="1" applyAlignment="1">
      <alignment horizontal="center" vertical="center"/>
    </xf>
    <xf numFmtId="180" fontId="409" fillId="65" borderId="243" xfId="39" applyNumberFormat="1" applyFont="1" applyFill="1" applyBorder="1" applyAlignment="1" applyProtection="1">
      <alignment horizontal="center" vertical="center"/>
      <protection locked="0"/>
    </xf>
    <xf numFmtId="0" fontId="410" fillId="66" borderId="243" xfId="5" applyFont="1" applyFill="1" applyBorder="1" applyAlignment="1">
      <alignment horizontal="center" vertical="center"/>
    </xf>
    <xf numFmtId="0" fontId="412" fillId="132" borderId="7" xfId="16" applyFont="1" applyFill="1" applyBorder="1" applyAlignment="1">
      <alignment vertical="center"/>
    </xf>
    <xf numFmtId="0" fontId="412" fillId="132" borderId="2" xfId="16" applyFont="1" applyFill="1" applyBorder="1" applyAlignment="1">
      <alignment vertical="center"/>
    </xf>
    <xf numFmtId="0" fontId="412" fillId="132" borderId="8" xfId="16" applyFont="1" applyFill="1" applyBorder="1" applyAlignment="1">
      <alignment horizontal="right" vertical="center"/>
    </xf>
    <xf numFmtId="0" fontId="414" fillId="55" borderId="254" xfId="16" applyFont="1" applyFill="1" applyBorder="1" applyAlignment="1" applyProtection="1">
      <alignment horizontal="center" vertical="center"/>
      <protection locked="0"/>
    </xf>
    <xf numFmtId="0" fontId="414" fillId="55" borderId="254" xfId="16" applyFont="1" applyFill="1" applyBorder="1" applyAlignment="1" applyProtection="1">
      <alignment horizontal="left" vertical="center"/>
      <protection locked="0"/>
    </xf>
    <xf numFmtId="0" fontId="415" fillId="133" borderId="255" xfId="16" applyFont="1" applyFill="1" applyBorder="1" applyAlignment="1" applyProtection="1">
      <alignment horizontal="center" vertical="center"/>
      <protection locked="0"/>
    </xf>
    <xf numFmtId="1" fontId="416" fillId="55" borderId="256" xfId="16" applyNumberFormat="1" applyFont="1" applyFill="1" applyBorder="1" applyAlignment="1" applyProtection="1">
      <alignment horizontal="center" vertical="center"/>
      <protection locked="0"/>
    </xf>
    <xf numFmtId="216" fontId="407" fillId="65" borderId="254" xfId="16" applyNumberFormat="1" applyFont="1" applyFill="1" applyBorder="1" applyAlignment="1" applyProtection="1">
      <alignment horizontal="right" vertical="center"/>
      <protection locked="0"/>
    </xf>
    <xf numFmtId="217" fontId="407" fillId="65" borderId="254" xfId="27" applyNumberFormat="1" applyFont="1" applyFill="1" applyBorder="1" applyAlignment="1">
      <alignment horizontal="center" vertical="center"/>
    </xf>
    <xf numFmtId="1" fontId="6" fillId="65" borderId="257" xfId="16" applyNumberFormat="1" applyFont="1" applyFill="1" applyBorder="1" applyAlignment="1" applyProtection="1">
      <alignment horizontal="left" vertical="center"/>
      <protection locked="0"/>
    </xf>
    <xf numFmtId="216" fontId="407" fillId="65" borderId="256" xfId="16" applyNumberFormat="1" applyFont="1" applyFill="1" applyBorder="1" applyAlignment="1" applyProtection="1">
      <alignment horizontal="right" vertical="center"/>
      <protection locked="0"/>
    </xf>
    <xf numFmtId="1" fontId="6" fillId="65" borderId="258" xfId="16" applyNumberFormat="1" applyFont="1" applyFill="1" applyBorder="1" applyAlignment="1" applyProtection="1">
      <alignment horizontal="left" vertical="center"/>
      <protection locked="0"/>
    </xf>
    <xf numFmtId="0" fontId="415" fillId="46" borderId="255" xfId="16" applyFont="1" applyFill="1" applyBorder="1" applyAlignment="1" applyProtection="1">
      <alignment horizontal="center" vertical="center"/>
      <protection locked="0"/>
    </xf>
    <xf numFmtId="1" fontId="416" fillId="55" borderId="259" xfId="16" applyNumberFormat="1" applyFont="1" applyFill="1" applyBorder="1" applyAlignment="1" applyProtection="1">
      <alignment horizontal="center" vertical="center"/>
      <protection locked="0"/>
    </xf>
    <xf numFmtId="216" fontId="407" fillId="65" borderId="260" xfId="16" applyNumberFormat="1" applyFont="1" applyFill="1" applyBorder="1" applyAlignment="1" applyProtection="1">
      <alignment horizontal="right" vertical="center"/>
      <protection locked="0"/>
    </xf>
    <xf numFmtId="217" fontId="407" fillId="65" borderId="260" xfId="27" applyNumberFormat="1" applyFont="1" applyFill="1" applyBorder="1" applyAlignment="1">
      <alignment horizontal="center" vertical="center"/>
    </xf>
    <xf numFmtId="1" fontId="6" fillId="65" borderId="261" xfId="16" applyNumberFormat="1" applyFont="1" applyFill="1" applyBorder="1" applyAlignment="1" applyProtection="1">
      <alignment horizontal="left" vertical="center"/>
      <protection locked="0"/>
    </xf>
    <xf numFmtId="216" fontId="407" fillId="65" borderId="259" xfId="16" applyNumberFormat="1" applyFont="1" applyFill="1" applyBorder="1" applyAlignment="1" applyProtection="1">
      <alignment horizontal="right" vertical="center"/>
      <protection locked="0"/>
    </xf>
    <xf numFmtId="1" fontId="6" fillId="65" borderId="262" xfId="16" applyNumberFormat="1" applyFont="1" applyFill="1" applyBorder="1" applyAlignment="1" applyProtection="1">
      <alignment horizontal="left" vertical="center"/>
      <protection locked="0"/>
    </xf>
    <xf numFmtId="0" fontId="213" fillId="111" borderId="7" xfId="16" applyFont="1" applyFill="1" applyBorder="1" applyAlignment="1">
      <alignment vertical="center"/>
    </xf>
    <xf numFmtId="0" fontId="213" fillId="111" borderId="2" xfId="16" applyFont="1" applyFill="1" applyBorder="1" applyAlignment="1">
      <alignment vertical="center"/>
    </xf>
    <xf numFmtId="0" fontId="213" fillId="111" borderId="8" xfId="16" applyFont="1" applyFill="1" applyBorder="1" applyAlignment="1">
      <alignment horizontal="right" vertical="center"/>
    </xf>
    <xf numFmtId="179" fontId="415" fillId="133" borderId="255" xfId="16" applyNumberFormat="1" applyFont="1" applyFill="1" applyBorder="1" applyAlignment="1" applyProtection="1">
      <alignment horizontal="center" vertical="center"/>
      <protection locked="0"/>
    </xf>
    <xf numFmtId="179" fontId="416" fillId="55" borderId="256" xfId="16" applyNumberFormat="1" applyFont="1" applyFill="1" applyBorder="1" applyAlignment="1" applyProtection="1">
      <alignment horizontal="center" vertical="center"/>
      <protection locked="0"/>
    </xf>
    <xf numFmtId="218" fontId="407" fillId="65" borderId="254" xfId="27" applyNumberFormat="1" applyFont="1" applyFill="1" applyBorder="1" applyAlignment="1">
      <alignment horizontal="center" vertical="center"/>
    </xf>
    <xf numFmtId="1" fontId="6" fillId="65" borderId="264" xfId="16" applyNumberFormat="1" applyFont="1" applyFill="1" applyBorder="1" applyAlignment="1" applyProtection="1">
      <alignment horizontal="left" vertical="center"/>
      <protection locked="0"/>
    </xf>
    <xf numFmtId="0" fontId="414" fillId="55" borderId="257" xfId="16" applyFont="1" applyFill="1" applyBorder="1" applyAlignment="1" applyProtection="1">
      <alignment horizontal="left" vertical="center"/>
      <protection locked="0"/>
    </xf>
    <xf numFmtId="0" fontId="414" fillId="55" borderId="45" xfId="16" applyFont="1" applyFill="1" applyBorder="1" applyAlignment="1" applyProtection="1">
      <alignment horizontal="center" vertical="center"/>
      <protection locked="0"/>
    </xf>
    <xf numFmtId="0" fontId="414" fillId="55" borderId="45" xfId="16" applyFont="1" applyFill="1" applyBorder="1" applyAlignment="1" applyProtection="1">
      <alignment horizontal="left" vertical="center"/>
      <protection locked="0"/>
    </xf>
    <xf numFmtId="179" fontId="415" fillId="133" borderId="92" xfId="16" applyNumberFormat="1" applyFont="1" applyFill="1" applyBorder="1" applyAlignment="1" applyProtection="1">
      <alignment horizontal="center" vertical="center"/>
      <protection locked="0"/>
    </xf>
    <xf numFmtId="179" fontId="416" fillId="55" borderId="44" xfId="16" applyNumberFormat="1" applyFont="1" applyFill="1" applyBorder="1" applyAlignment="1" applyProtection="1">
      <alignment horizontal="center" vertical="center"/>
      <protection locked="0"/>
    </xf>
    <xf numFmtId="216" fontId="407" fillId="65" borderId="45" xfId="16" applyNumberFormat="1" applyFont="1" applyFill="1" applyBorder="1" applyAlignment="1" applyProtection="1">
      <alignment horizontal="right" vertical="center"/>
      <protection locked="0"/>
    </xf>
    <xf numFmtId="218" fontId="407" fillId="65" borderId="45" xfId="27" applyNumberFormat="1" applyFont="1" applyFill="1" applyBorder="1" applyAlignment="1">
      <alignment horizontal="center" vertical="center"/>
    </xf>
    <xf numFmtId="1" fontId="6" fillId="65" borderId="26" xfId="16" applyNumberFormat="1" applyFont="1" applyFill="1" applyBorder="1" applyAlignment="1" applyProtection="1">
      <alignment horizontal="left" vertical="center"/>
      <protection locked="0"/>
    </xf>
    <xf numFmtId="216" fontId="407" fillId="65" borderId="44" xfId="16" applyNumberFormat="1" applyFont="1" applyFill="1" applyBorder="1" applyAlignment="1" applyProtection="1">
      <alignment horizontal="right" vertical="center"/>
      <protection locked="0"/>
    </xf>
    <xf numFmtId="217" fontId="407" fillId="65" borderId="45" xfId="27" applyNumberFormat="1" applyFont="1" applyFill="1" applyBorder="1" applyAlignment="1">
      <alignment horizontal="center" vertical="center"/>
    </xf>
    <xf numFmtId="1" fontId="6" fillId="65" borderId="47" xfId="16" applyNumberFormat="1" applyFont="1" applyFill="1" applyBorder="1" applyAlignment="1" applyProtection="1">
      <alignment horizontal="left" vertical="center"/>
      <protection locked="0"/>
    </xf>
    <xf numFmtId="0" fontId="71" fillId="8" borderId="62" xfId="27" applyFill="1" applyBorder="1"/>
    <xf numFmtId="0" fontId="413" fillId="45" borderId="227" xfId="16" applyFont="1" applyFill="1" applyBorder="1" applyAlignment="1" applyProtection="1">
      <alignment horizontal="right" vertical="center" wrapText="1"/>
      <protection locked="0"/>
    </xf>
    <xf numFmtId="0" fontId="414" fillId="45" borderId="227" xfId="16" applyFont="1" applyFill="1" applyBorder="1" applyAlignment="1" applyProtection="1">
      <alignment horizontal="center" vertical="center"/>
      <protection locked="0"/>
    </xf>
    <xf numFmtId="0" fontId="414" fillId="45" borderId="227" xfId="16" applyFont="1" applyFill="1" applyBorder="1" applyAlignment="1" applyProtection="1">
      <alignment horizontal="left" vertical="center"/>
      <protection locked="0"/>
    </xf>
    <xf numFmtId="179" fontId="415" fillId="45" borderId="227" xfId="16" applyNumberFormat="1" applyFont="1" applyFill="1" applyBorder="1" applyAlignment="1" applyProtection="1">
      <alignment horizontal="center" vertical="center"/>
      <protection locked="0"/>
    </xf>
    <xf numFmtId="179" fontId="416" fillId="45" borderId="227" xfId="16" applyNumberFormat="1" applyFont="1" applyFill="1" applyBorder="1" applyAlignment="1" applyProtection="1">
      <alignment horizontal="center" vertical="center"/>
      <protection locked="0"/>
    </xf>
    <xf numFmtId="0" fontId="416" fillId="8" borderId="227" xfId="16" applyFont="1" applyFill="1" applyBorder="1" applyAlignment="1" applyProtection="1">
      <alignment horizontal="left" vertical="center"/>
      <protection locked="0"/>
    </xf>
    <xf numFmtId="216" fontId="407" fillId="8" borderId="227" xfId="16" applyNumberFormat="1" applyFont="1" applyFill="1" applyBorder="1" applyAlignment="1" applyProtection="1">
      <alignment horizontal="right" vertical="center"/>
      <protection locked="0"/>
    </xf>
    <xf numFmtId="218" fontId="407" fillId="8" borderId="227" xfId="27" applyNumberFormat="1" applyFont="1" applyFill="1" applyBorder="1" applyAlignment="1">
      <alignment horizontal="center" vertical="center"/>
    </xf>
    <xf numFmtId="1" fontId="6" fillId="8" borderId="227" xfId="16" applyNumberFormat="1" applyFont="1" applyFill="1" applyBorder="1" applyAlignment="1" applyProtection="1">
      <alignment horizontal="left" vertical="center"/>
      <protection locked="0"/>
    </xf>
    <xf numFmtId="217" fontId="407" fillId="8" borderId="227" xfId="27" applyNumberFormat="1" applyFont="1" applyFill="1" applyBorder="1" applyAlignment="1">
      <alignment horizontal="center" vertical="center"/>
    </xf>
    <xf numFmtId="1" fontId="6" fillId="8" borderId="228" xfId="16" applyNumberFormat="1" applyFont="1" applyFill="1" applyBorder="1" applyAlignment="1" applyProtection="1">
      <alignment horizontal="left" vertical="center"/>
      <protection locked="0"/>
    </xf>
    <xf numFmtId="0" fontId="71" fillId="8" borderId="65" xfId="27" applyFill="1" applyBorder="1" applyAlignment="1">
      <alignment vertical="center"/>
    </xf>
    <xf numFmtId="0" fontId="413" fillId="45" borderId="14" xfId="16" applyFont="1" applyFill="1" applyBorder="1" applyAlignment="1" applyProtection="1">
      <alignment horizontal="right" vertical="center" wrapText="1"/>
      <protection locked="0"/>
    </xf>
    <xf numFmtId="0" fontId="414" fillId="45" borderId="14" xfId="16" applyFont="1" applyFill="1" applyBorder="1" applyAlignment="1" applyProtection="1">
      <alignment horizontal="center" vertical="center"/>
      <protection locked="0"/>
    </xf>
    <xf numFmtId="0" fontId="414" fillId="45" borderId="14" xfId="16" applyFont="1" applyFill="1" applyBorder="1" applyAlignment="1" applyProtection="1">
      <alignment horizontal="left" vertical="center"/>
      <protection locked="0"/>
    </xf>
    <xf numFmtId="179" fontId="415" fillId="45" borderId="14" xfId="16" applyNumberFormat="1" applyFont="1" applyFill="1" applyBorder="1" applyAlignment="1" applyProtection="1">
      <alignment horizontal="center" vertical="center"/>
      <protection locked="0"/>
    </xf>
    <xf numFmtId="179" fontId="416" fillId="45" borderId="14" xfId="16" applyNumberFormat="1" applyFont="1" applyFill="1" applyBorder="1" applyAlignment="1" applyProtection="1">
      <alignment horizontal="center" vertical="center"/>
      <protection locked="0"/>
    </xf>
    <xf numFmtId="0" fontId="416" fillId="8" borderId="14" xfId="16" applyFont="1" applyFill="1" applyBorder="1" applyAlignment="1" applyProtection="1">
      <alignment horizontal="left" vertical="center"/>
      <protection locked="0"/>
    </xf>
    <xf numFmtId="216" fontId="407" fillId="8" borderId="14" xfId="16" applyNumberFormat="1" applyFont="1" applyFill="1" applyBorder="1" applyAlignment="1" applyProtection="1">
      <alignment horizontal="right" vertical="center"/>
      <protection locked="0"/>
    </xf>
    <xf numFmtId="218" fontId="407" fillId="8" borderId="14" xfId="27" applyNumberFormat="1" applyFont="1" applyFill="1" applyBorder="1" applyAlignment="1">
      <alignment horizontal="center" vertical="center"/>
    </xf>
    <xf numFmtId="1" fontId="6" fillId="8" borderId="14" xfId="16" applyNumberFormat="1" applyFont="1" applyFill="1" applyBorder="1" applyAlignment="1" applyProtection="1">
      <alignment horizontal="left" vertical="center"/>
      <protection locked="0"/>
    </xf>
    <xf numFmtId="217" fontId="407" fillId="8" borderId="14" xfId="27" applyNumberFormat="1" applyFont="1" applyFill="1" applyBorder="1" applyAlignment="1">
      <alignment horizontal="center" vertical="center"/>
    </xf>
    <xf numFmtId="1" fontId="6" fillId="8" borderId="21" xfId="16" applyNumberFormat="1" applyFont="1" applyFill="1" applyBorder="1" applyAlignment="1" applyProtection="1">
      <alignment horizontal="left" vertical="center"/>
      <protection locked="0"/>
    </xf>
    <xf numFmtId="216" fontId="407" fillId="134" borderId="0" xfId="16" applyNumberFormat="1" applyFont="1" applyFill="1" applyAlignment="1" applyProtection="1">
      <alignment horizontal="right" vertical="center"/>
      <protection locked="0"/>
    </xf>
    <xf numFmtId="217" fontId="407" fillId="134" borderId="0" xfId="27" applyNumberFormat="1" applyFont="1" applyFill="1" applyAlignment="1">
      <alignment horizontal="center" vertical="center"/>
    </xf>
    <xf numFmtId="1" fontId="6" fillId="134" borderId="0" xfId="16" applyNumberFormat="1" applyFont="1" applyFill="1" applyAlignment="1" applyProtection="1">
      <alignment horizontal="left" vertical="center"/>
      <protection locked="0"/>
    </xf>
    <xf numFmtId="0" fontId="88" fillId="8" borderId="14" xfId="7" applyFont="1" applyFill="1" applyBorder="1" applyAlignment="1">
      <alignment horizontal="center" vertical="center"/>
    </xf>
    <xf numFmtId="0" fontId="88" fillId="8" borderId="21" xfId="7" applyFont="1" applyFill="1" applyBorder="1" applyAlignment="1">
      <alignment horizontal="center" vertical="center"/>
    </xf>
    <xf numFmtId="0" fontId="414" fillId="45" borderId="0" xfId="16" applyFont="1" applyFill="1" applyAlignment="1" applyProtection="1">
      <alignment horizontal="center" vertical="center"/>
      <protection locked="0"/>
    </xf>
    <xf numFmtId="0" fontId="414" fillId="45" borderId="9" xfId="16" applyFont="1" applyFill="1" applyBorder="1" applyAlignment="1" applyProtection="1">
      <alignment horizontal="left" vertical="center"/>
      <protection locked="0"/>
    </xf>
    <xf numFmtId="0" fontId="292" fillId="132" borderId="6" xfId="16" applyFont="1" applyFill="1" applyBorder="1" applyAlignment="1">
      <alignment vertical="center"/>
    </xf>
    <xf numFmtId="0" fontId="292" fillId="132" borderId="0" xfId="16" applyFont="1" applyFill="1" applyAlignment="1">
      <alignment vertical="center"/>
    </xf>
    <xf numFmtId="0" fontId="292" fillId="132" borderId="9" xfId="16" applyFont="1" applyFill="1" applyBorder="1" applyAlignment="1">
      <alignment vertical="center"/>
    </xf>
    <xf numFmtId="0" fontId="414" fillId="45" borderId="3" xfId="16" applyFont="1" applyFill="1" applyBorder="1" applyAlignment="1" applyProtection="1">
      <alignment horizontal="center" vertical="center"/>
      <protection locked="0"/>
    </xf>
    <xf numFmtId="0" fontId="414" fillId="45" borderId="59" xfId="16" applyFont="1" applyFill="1" applyBorder="1" applyAlignment="1" applyProtection="1">
      <alignment horizontal="left" vertical="center"/>
      <protection locked="0"/>
    </xf>
    <xf numFmtId="0" fontId="391" fillId="126" borderId="52" xfId="1" applyFont="1" applyFill="1" applyBorder="1" applyAlignment="1">
      <alignment horizontal="center" vertical="center"/>
    </xf>
    <xf numFmtId="0" fontId="193" fillId="8" borderId="56" xfId="36" applyFill="1" applyBorder="1" applyAlignment="1">
      <alignment vertical="center"/>
    </xf>
    <xf numFmtId="0" fontId="193" fillId="8" borderId="57" xfId="36" applyFill="1" applyBorder="1" applyAlignment="1">
      <alignment vertical="center"/>
    </xf>
    <xf numFmtId="208" fontId="31" fillId="136" borderId="6" xfId="29" applyNumberFormat="1" applyFont="1" applyFill="1" applyBorder="1" applyAlignment="1">
      <alignment horizontal="center" vertical="center"/>
    </xf>
    <xf numFmtId="0" fontId="346" fillId="8" borderId="0" xfId="34" applyFont="1" applyFill="1" applyAlignment="1">
      <alignment horizontal="center" vertical="center"/>
    </xf>
    <xf numFmtId="0" fontId="400" fillId="8" borderId="0" xfId="34" applyFont="1" applyFill="1" applyAlignment="1">
      <alignment horizontal="left" vertical="center"/>
    </xf>
    <xf numFmtId="0" fontId="417" fillId="8" borderId="0" xfId="29" applyFont="1" applyFill="1" applyAlignment="1">
      <alignment horizontal="right" vertical="center"/>
    </xf>
    <xf numFmtId="0" fontId="400" fillId="8" borderId="0" xfId="34" applyFont="1" applyFill="1" applyAlignment="1">
      <alignment horizontal="center" vertical="center"/>
    </xf>
    <xf numFmtId="0" fontId="346" fillId="8" borderId="0" xfId="34" applyFont="1" applyFill="1" applyAlignment="1">
      <alignment vertical="center"/>
    </xf>
    <xf numFmtId="0" fontId="346" fillId="8" borderId="0" xfId="34" applyFont="1" applyFill="1" applyAlignment="1">
      <alignment horizontal="center"/>
    </xf>
    <xf numFmtId="0" fontId="417" fillId="8" borderId="9" xfId="1" applyFont="1" applyFill="1" applyBorder="1"/>
    <xf numFmtId="0" fontId="418" fillId="8" borderId="6" xfId="1" applyFont="1" applyFill="1" applyBorder="1"/>
    <xf numFmtId="0" fontId="6" fillId="8" borderId="6" xfId="1" applyFill="1" applyBorder="1"/>
    <xf numFmtId="0" fontId="57" fillId="8" borderId="0" xfId="29" applyFont="1" applyFill="1" applyAlignment="1">
      <alignment vertical="center" wrapText="1"/>
    </xf>
    <xf numFmtId="0" fontId="69" fillId="8" borderId="0" xfId="29" applyFont="1" applyFill="1" applyAlignment="1">
      <alignment horizontal="right" vertical="center"/>
    </xf>
    <xf numFmtId="0" fontId="419" fillId="8" borderId="0" xfId="1" applyFont="1" applyFill="1" applyAlignment="1">
      <alignment vertical="center"/>
    </xf>
    <xf numFmtId="0" fontId="417" fillId="8" borderId="0" xfId="1" applyFont="1" applyFill="1"/>
    <xf numFmtId="0" fontId="78" fillId="8" borderId="0" xfId="27" applyFont="1" applyFill="1" applyAlignment="1">
      <alignment horizontal="center"/>
    </xf>
    <xf numFmtId="197" fontId="420" fillId="120" borderId="0" xfId="1" applyNumberFormat="1" applyFont="1" applyFill="1" applyAlignment="1">
      <alignment horizontal="center" vertical="center"/>
    </xf>
    <xf numFmtId="197" fontId="74" fillId="121" borderId="0" xfId="1" applyNumberFormat="1" applyFont="1" applyFill="1" applyAlignment="1">
      <alignment horizontal="center" vertical="center"/>
    </xf>
    <xf numFmtId="197" fontId="39" fillId="121" borderId="0" xfId="1" applyNumberFormat="1" applyFont="1" applyFill="1" applyAlignment="1">
      <alignment horizontal="center" vertical="center"/>
    </xf>
    <xf numFmtId="0" fontId="26" fillId="8" borderId="0" xfId="27" applyFont="1" applyFill="1" applyAlignment="1">
      <alignment horizontal="center"/>
    </xf>
    <xf numFmtId="197" fontId="26" fillId="120" borderId="0" xfId="1" applyNumberFormat="1" applyFont="1" applyFill="1" applyAlignment="1">
      <alignment horizontal="center" vertical="center"/>
    </xf>
    <xf numFmtId="0" fontId="35" fillId="8" borderId="0" xfId="27" applyFont="1" applyFill="1" applyAlignment="1">
      <alignment horizontal="right" vertical="center"/>
    </xf>
    <xf numFmtId="0" fontId="77" fillId="8" borderId="0" xfId="27" applyFont="1" applyFill="1" applyAlignment="1">
      <alignment horizontal="right" vertical="center"/>
    </xf>
    <xf numFmtId="197" fontId="421" fillId="120" borderId="0" xfId="1" applyNumberFormat="1" applyFont="1" applyFill="1" applyAlignment="1">
      <alignment horizontal="right" vertical="center"/>
    </xf>
    <xf numFmtId="197" fontId="421" fillId="120" borderId="0" xfId="1" applyNumberFormat="1" applyFont="1" applyFill="1" applyAlignment="1">
      <alignment horizontal="left" vertical="center"/>
    </xf>
    <xf numFmtId="0" fontId="72" fillId="8" borderId="0" xfId="27" applyFont="1" applyFill="1" applyAlignment="1">
      <alignment horizontal="center" vertical="center"/>
    </xf>
    <xf numFmtId="0" fontId="1" fillId="8" borderId="52" xfId="7" applyFill="1" applyBorder="1"/>
    <xf numFmtId="0" fontId="13" fillId="8" borderId="227" xfId="16" applyFont="1" applyFill="1" applyBorder="1" applyAlignment="1" applyProtection="1">
      <alignment horizontal="right" vertical="center"/>
      <protection locked="0"/>
    </xf>
    <xf numFmtId="197" fontId="113" fillId="121" borderId="227" xfId="1" applyNumberFormat="1" applyFont="1" applyFill="1" applyBorder="1" applyAlignment="1">
      <alignment horizontal="center" vertical="center"/>
    </xf>
    <xf numFmtId="0" fontId="13" fillId="8" borderId="52" xfId="27" applyFont="1" applyFill="1" applyBorder="1" applyAlignment="1">
      <alignment horizontal="right" vertical="center"/>
    </xf>
    <xf numFmtId="0" fontId="13" fillId="8" borderId="227" xfId="27" applyFont="1" applyFill="1" applyBorder="1" applyAlignment="1">
      <alignment horizontal="left" vertical="center"/>
    </xf>
    <xf numFmtId="0" fontId="13" fillId="8" borderId="227" xfId="27" applyFont="1" applyFill="1" applyBorder="1" applyAlignment="1">
      <alignment vertical="center"/>
    </xf>
    <xf numFmtId="0" fontId="13" fillId="8" borderId="229" xfId="27" applyFont="1" applyFill="1" applyBorder="1" applyAlignment="1">
      <alignment vertical="center"/>
    </xf>
    <xf numFmtId="0" fontId="1" fillId="8" borderId="266" xfId="7" applyFill="1" applyBorder="1"/>
    <xf numFmtId="0" fontId="13" fillId="8" borderId="0" xfId="29" applyFont="1" applyFill="1" applyAlignment="1">
      <alignment horizontal="right" vertical="center"/>
    </xf>
    <xf numFmtId="197" fontId="422" fillId="121" borderId="0" xfId="1" applyNumberFormat="1" applyFont="1" applyFill="1" applyAlignment="1">
      <alignment horizontal="center" vertical="center"/>
    </xf>
    <xf numFmtId="0" fontId="13" fillId="8" borderId="266" xfId="27" applyFont="1" applyFill="1" applyBorder="1" applyAlignment="1">
      <alignment horizontal="right" vertical="center"/>
    </xf>
    <xf numFmtId="198" fontId="13" fillId="120" borderId="0" xfId="1" applyNumberFormat="1" applyFont="1" applyFill="1" applyAlignment="1">
      <alignment horizontal="center" vertical="center"/>
    </xf>
    <xf numFmtId="0" fontId="13" fillId="8" borderId="0" xfId="27" applyFont="1" applyFill="1" applyAlignment="1">
      <alignment horizontal="center" vertical="center"/>
    </xf>
    <xf numFmtId="197" fontId="13" fillId="120" borderId="267" xfId="1" applyNumberFormat="1" applyFont="1" applyFill="1" applyBorder="1" applyAlignment="1">
      <alignment horizontal="left" vertical="center"/>
    </xf>
    <xf numFmtId="0" fontId="24" fillId="8" borderId="35" xfId="1" applyFont="1" applyFill="1" applyBorder="1"/>
    <xf numFmtId="197" fontId="13" fillId="120" borderId="56" xfId="1" applyNumberFormat="1" applyFont="1" applyFill="1" applyBorder="1" applyAlignment="1">
      <alignment horizontal="center" vertical="center"/>
    </xf>
    <xf numFmtId="197" fontId="13" fillId="120" borderId="56" xfId="1" applyNumberFormat="1" applyFont="1" applyFill="1" applyBorder="1" applyAlignment="1">
      <alignment horizontal="left" vertical="center"/>
    </xf>
    <xf numFmtId="0" fontId="71" fillId="8" borderId="37" xfId="27" applyFill="1" applyBorder="1"/>
    <xf numFmtId="0" fontId="57" fillId="8" borderId="0" xfId="1" applyFont="1" applyFill="1" applyAlignment="1">
      <alignment horizontal="right" vertical="center"/>
    </xf>
    <xf numFmtId="0" fontId="53" fillId="8" borderId="0" xfId="27" applyFont="1" applyFill="1" applyAlignment="1">
      <alignment horizontal="center"/>
    </xf>
    <xf numFmtId="0" fontId="4" fillId="8" borderId="0" xfId="27" applyFont="1" applyFill="1" applyAlignment="1">
      <alignment horizontal="center"/>
    </xf>
    <xf numFmtId="0" fontId="57" fillId="8" borderId="0" xfId="27" applyFont="1" applyFill="1" applyAlignment="1">
      <alignment horizontal="left" vertical="center"/>
    </xf>
    <xf numFmtId="197" fontId="13" fillId="120" borderId="0" xfId="1" applyNumberFormat="1" applyFont="1" applyFill="1" applyAlignment="1">
      <alignment horizontal="center" vertical="center"/>
    </xf>
    <xf numFmtId="197" fontId="13" fillId="120" borderId="0" xfId="1" applyNumberFormat="1" applyFont="1" applyFill="1" applyAlignment="1">
      <alignment horizontal="left" vertical="center"/>
    </xf>
    <xf numFmtId="0" fontId="69" fillId="8" borderId="227" xfId="29" applyFont="1" applyFill="1" applyBorder="1" applyAlignment="1">
      <alignment horizontal="right" vertical="center"/>
    </xf>
    <xf numFmtId="197" fontId="13" fillId="120" borderId="227" xfId="1" applyNumberFormat="1" applyFont="1" applyFill="1" applyBorder="1" applyAlignment="1">
      <alignment horizontal="center" vertical="center"/>
    </xf>
    <xf numFmtId="197" fontId="13" fillId="120" borderId="227" xfId="1" applyNumberFormat="1" applyFont="1" applyFill="1" applyBorder="1" applyAlignment="1">
      <alignment horizontal="left" vertical="center"/>
    </xf>
    <xf numFmtId="0" fontId="71" fillId="8" borderId="227" xfId="27" applyFill="1" applyBorder="1"/>
    <xf numFmtId="0" fontId="417" fillId="8" borderId="228" xfId="1" applyFont="1" applyFill="1" applyBorder="1"/>
    <xf numFmtId="0" fontId="71" fillId="8" borderId="58" xfId="27" applyFill="1" applyBorder="1" applyAlignment="1">
      <alignment vertical="center"/>
    </xf>
    <xf numFmtId="0" fontId="69" fillId="8" borderId="3" xfId="29" applyFont="1" applyFill="1" applyBorder="1" applyAlignment="1">
      <alignment horizontal="right" vertical="center"/>
    </xf>
    <xf numFmtId="197" fontId="13" fillId="120" borderId="3" xfId="1" applyNumberFormat="1" applyFont="1" applyFill="1" applyBorder="1" applyAlignment="1">
      <alignment horizontal="center" vertical="center"/>
    </xf>
    <xf numFmtId="197" fontId="13" fillId="120" borderId="3" xfId="1" applyNumberFormat="1" applyFont="1" applyFill="1" applyBorder="1" applyAlignment="1">
      <alignment horizontal="left" vertical="center"/>
    </xf>
    <xf numFmtId="0" fontId="417" fillId="8" borderId="59" xfId="1" applyFont="1" applyFill="1" applyBorder="1"/>
    <xf numFmtId="0" fontId="391" fillId="4" borderId="268" xfId="1" applyFont="1" applyFill="1" applyBorder="1" applyAlignment="1">
      <alignment horizontal="center" vertical="center"/>
    </xf>
    <xf numFmtId="0" fontId="425" fillId="7" borderId="65" xfId="7" applyFont="1" applyFill="1" applyBorder="1" applyAlignment="1">
      <alignment horizontal="center" vertical="center"/>
    </xf>
    <xf numFmtId="0" fontId="401" fillId="8" borderId="14" xfId="1" applyFont="1" applyFill="1" applyBorder="1" applyAlignment="1">
      <alignment horizontal="left" vertical="center"/>
    </xf>
    <xf numFmtId="0" fontId="6" fillId="8" borderId="14" xfId="27" applyFont="1" applyFill="1" applyBorder="1"/>
    <xf numFmtId="0" fontId="86" fillId="0" borderId="14" xfId="16" applyBorder="1"/>
    <xf numFmtId="0" fontId="401" fillId="8" borderId="14" xfId="27" applyFont="1" applyFill="1" applyBorder="1" applyAlignment="1">
      <alignment horizontal="right" vertical="center"/>
    </xf>
    <xf numFmtId="0" fontId="269" fillId="113" borderId="21" xfId="27" applyFont="1" applyFill="1" applyBorder="1" applyAlignment="1">
      <alignment horizontal="center" vertical="center"/>
    </xf>
    <xf numFmtId="0" fontId="6" fillId="8" borderId="6" xfId="27" applyFont="1" applyFill="1" applyBorder="1"/>
    <xf numFmtId="0" fontId="6" fillId="8" borderId="0" xfId="27" applyFont="1" applyFill="1"/>
    <xf numFmtId="0" fontId="86" fillId="8" borderId="9" xfId="16" applyFill="1" applyBorder="1"/>
    <xf numFmtId="0" fontId="86" fillId="8" borderId="6" xfId="16" applyFill="1" applyBorder="1"/>
    <xf numFmtId="0" fontId="404" fillId="8" borderId="0" xfId="16" applyFont="1" applyFill="1" applyAlignment="1" applyProtection="1">
      <alignment vertical="center"/>
      <protection locked="0"/>
    </xf>
    <xf numFmtId="0" fontId="404" fillId="8" borderId="0" xfId="16" applyFont="1" applyFill="1" applyAlignment="1" applyProtection="1">
      <alignment horizontal="right" vertical="center"/>
      <protection locked="0"/>
    </xf>
    <xf numFmtId="0" fontId="426" fillId="121" borderId="0" xfId="1" applyFont="1" applyFill="1" applyAlignment="1">
      <alignment horizontal="center" vertical="center"/>
    </xf>
    <xf numFmtId="197" fontId="113" fillId="121" borderId="0" xfId="1" applyNumberFormat="1" applyFont="1" applyFill="1" applyAlignment="1">
      <alignment vertical="center"/>
    </xf>
    <xf numFmtId="0" fontId="404" fillId="8" borderId="0" xfId="27" applyFont="1" applyFill="1" applyAlignment="1">
      <alignment vertical="center"/>
    </xf>
    <xf numFmtId="0" fontId="417" fillId="8" borderId="0" xfId="27" applyFont="1" applyFill="1"/>
    <xf numFmtId="0" fontId="417" fillId="8" borderId="0" xfId="27" applyFont="1" applyFill="1" applyAlignment="1">
      <alignment horizontal="right"/>
    </xf>
    <xf numFmtId="0" fontId="404" fillId="8" borderId="0" xfId="29" applyFont="1" applyFill="1" applyAlignment="1">
      <alignment vertical="center"/>
    </xf>
    <xf numFmtId="0" fontId="404" fillId="8" borderId="0" xfId="29" applyFont="1" applyFill="1" applyAlignment="1">
      <alignment horizontal="right" vertical="center"/>
    </xf>
    <xf numFmtId="0" fontId="404" fillId="8" borderId="0" xfId="27" applyFont="1" applyFill="1" applyAlignment="1">
      <alignment horizontal="center" vertical="center"/>
    </xf>
    <xf numFmtId="0" fontId="404" fillId="120" borderId="0" xfId="1" applyFont="1" applyFill="1" applyAlignment="1">
      <alignment horizontal="center" vertical="center"/>
    </xf>
    <xf numFmtId="0" fontId="86" fillId="8" borderId="9" xfId="16" applyFill="1" applyBorder="1" applyAlignment="1">
      <alignment horizontal="center"/>
    </xf>
    <xf numFmtId="0" fontId="417" fillId="8" borderId="6" xfId="27" applyFont="1" applyFill="1" applyBorder="1"/>
    <xf numFmtId="0" fontId="404" fillId="8" borderId="0" xfId="27" applyFont="1" applyFill="1" applyAlignment="1">
      <alignment horizontal="right" vertical="center"/>
    </xf>
    <xf numFmtId="0" fontId="404" fillId="120" borderId="0" xfId="1" applyFont="1" applyFill="1" applyAlignment="1">
      <alignment horizontal="left" vertical="center"/>
    </xf>
    <xf numFmtId="197" fontId="404" fillId="120" borderId="0" xfId="1" applyNumberFormat="1" applyFont="1" applyFill="1" applyAlignment="1">
      <alignment vertical="center"/>
    </xf>
    <xf numFmtId="197" fontId="404" fillId="8" borderId="0" xfId="27" applyNumberFormat="1" applyFont="1" applyFill="1" applyAlignment="1">
      <alignment horizontal="center" vertical="center"/>
    </xf>
    <xf numFmtId="169" fontId="18" fillId="4" borderId="6" xfId="29" applyNumberFormat="1" applyFont="1" applyFill="1" applyBorder="1" applyAlignment="1">
      <alignment vertical="center"/>
    </xf>
    <xf numFmtId="169" fontId="18" fillId="134" borderId="0" xfId="29" applyNumberFormat="1" applyFont="1" applyFill="1" applyAlignment="1">
      <alignment vertical="center"/>
    </xf>
    <xf numFmtId="169" fontId="18" fillId="134" borderId="9" xfId="29" applyNumberFormat="1" applyFont="1" applyFill="1" applyBorder="1" applyAlignment="1">
      <alignment vertical="center"/>
    </xf>
    <xf numFmtId="0" fontId="57" fillId="65" borderId="58" xfId="5" applyFont="1" applyFill="1" applyBorder="1" applyAlignment="1">
      <alignment vertical="center"/>
    </xf>
    <xf numFmtId="0" fontId="57" fillId="65" borderId="3" xfId="5" applyFont="1" applyFill="1" applyBorder="1" applyAlignment="1">
      <alignment vertical="center"/>
    </xf>
    <xf numFmtId="0" fontId="86" fillId="8" borderId="59" xfId="16" applyFill="1" applyBorder="1"/>
    <xf numFmtId="197" fontId="427" fillId="121" borderId="0" xfId="1" applyNumberFormat="1" applyFont="1" applyFill="1" applyAlignment="1">
      <alignment vertical="center"/>
    </xf>
    <xf numFmtId="197" fontId="428" fillId="121" borderId="0" xfId="1" applyNumberFormat="1" applyFont="1" applyFill="1" applyAlignment="1">
      <alignment vertical="center"/>
    </xf>
    <xf numFmtId="197" fontId="407" fillId="120" borderId="0" xfId="1" applyNumberFormat="1" applyFont="1" applyFill="1" applyAlignment="1">
      <alignment horizontal="center" vertical="center"/>
    </xf>
    <xf numFmtId="0" fontId="417" fillId="0" borderId="0" xfId="27" applyFont="1"/>
    <xf numFmtId="197" fontId="404" fillId="120" borderId="0" xfId="1" applyNumberFormat="1" applyFont="1" applyFill="1" applyAlignment="1">
      <alignment horizontal="left" vertical="center"/>
    </xf>
    <xf numFmtId="0" fontId="427" fillId="8" borderId="0" xfId="27" applyFont="1" applyFill="1" applyAlignment="1">
      <alignment horizontal="center" vertical="center"/>
    </xf>
    <xf numFmtId="0" fontId="427" fillId="8" borderId="14" xfId="27" applyFont="1" applyFill="1" applyBorder="1" applyAlignment="1">
      <alignment horizontal="center" vertical="center"/>
    </xf>
    <xf numFmtId="0" fontId="86" fillId="8" borderId="21" xfId="16" applyFill="1" applyBorder="1"/>
    <xf numFmtId="0" fontId="72" fillId="8" borderId="57" xfId="27" applyFont="1" applyFill="1" applyBorder="1" applyAlignment="1">
      <alignment horizontal="center"/>
    </xf>
    <xf numFmtId="0" fontId="1" fillId="7" borderId="6" xfId="7" applyFill="1" applyBorder="1" applyAlignment="1">
      <alignment horizontal="center" vertical="center"/>
    </xf>
    <xf numFmtId="0" fontId="119" fillId="8" borderId="266" xfId="40" quotePrefix="1" applyFont="1" applyFill="1" applyBorder="1" applyAlignment="1">
      <alignment vertical="center"/>
    </xf>
    <xf numFmtId="0" fontId="429" fillId="8" borderId="0" xfId="40" quotePrefix="1" applyFont="1" applyFill="1" applyAlignment="1">
      <alignment horizontal="right" vertical="center"/>
    </xf>
    <xf numFmtId="1" fontId="429" fillId="8" borderId="0" xfId="40" applyNumberFormat="1" applyFont="1" applyFill="1" applyAlignment="1">
      <alignment horizontal="center" vertical="center"/>
    </xf>
    <xf numFmtId="0" fontId="109" fillId="0" borderId="9" xfId="27" applyFont="1" applyBorder="1"/>
    <xf numFmtId="0" fontId="57" fillId="8" borderId="227" xfId="40" applyFont="1" applyFill="1" applyBorder="1" applyAlignment="1">
      <alignment horizontal="center"/>
    </xf>
    <xf numFmtId="0" fontId="57" fillId="8" borderId="229" xfId="40" applyFont="1" applyFill="1" applyBorder="1" applyAlignment="1">
      <alignment horizontal="center"/>
    </xf>
    <xf numFmtId="0" fontId="57" fillId="8" borderId="228" xfId="40" applyFont="1" applyFill="1" applyBorder="1" applyAlignment="1">
      <alignment horizontal="center"/>
    </xf>
    <xf numFmtId="169" fontId="57" fillId="8" borderId="0" xfId="27" applyNumberFormat="1" applyFont="1" applyFill="1" applyAlignment="1">
      <alignment horizontal="center" vertical="center"/>
    </xf>
    <xf numFmtId="0" fontId="13" fillId="8" borderId="9" xfId="19" applyFont="1" applyFill="1" applyBorder="1" applyAlignment="1">
      <alignment horizontal="center" vertical="center" wrapText="1"/>
    </xf>
    <xf numFmtId="0" fontId="113" fillId="21" borderId="75" xfId="40" applyFont="1" applyFill="1" applyBorder="1" applyAlignment="1" applyProtection="1">
      <alignment horizontal="center" vertical="center"/>
      <protection locked="0"/>
    </xf>
    <xf numFmtId="0" fontId="368" fillId="21" borderId="20" xfId="19" applyFont="1" applyFill="1" applyBorder="1" applyAlignment="1">
      <alignment horizontal="center" vertical="center" wrapText="1"/>
    </xf>
    <xf numFmtId="179" fontId="35" fillId="21" borderId="20" xfId="40" applyNumberFormat="1" applyFont="1" applyFill="1" applyBorder="1" applyAlignment="1" applyProtection="1">
      <alignment horizontal="center" vertical="center"/>
      <protection locked="0"/>
    </xf>
    <xf numFmtId="169" fontId="13" fillId="44" borderId="21" xfId="27" applyNumberFormat="1" applyFont="1" applyFill="1" applyBorder="1" applyAlignment="1">
      <alignment horizontal="center" vertical="center"/>
    </xf>
    <xf numFmtId="169" fontId="13" fillId="44" borderId="273" xfId="27" applyNumberFormat="1" applyFont="1" applyFill="1" applyBorder="1" applyAlignment="1">
      <alignment horizontal="center" vertical="center"/>
    </xf>
    <xf numFmtId="1" fontId="57" fillId="8" borderId="14" xfId="40" applyNumberFormat="1" applyFont="1" applyFill="1" applyBorder="1" applyAlignment="1">
      <alignment horizontal="center" vertical="center"/>
    </xf>
    <xf numFmtId="169" fontId="57" fillId="8" borderId="14" xfId="27" applyNumberFormat="1" applyFont="1" applyFill="1" applyBorder="1" applyAlignment="1">
      <alignment horizontal="center" vertical="center"/>
    </xf>
    <xf numFmtId="1" fontId="13" fillId="8" borderId="45" xfId="40" applyNumberFormat="1" applyFont="1" applyFill="1" applyBorder="1" applyAlignment="1">
      <alignment horizontal="center" vertical="center"/>
    </xf>
    <xf numFmtId="0" fontId="57" fillId="8" borderId="45" xfId="40" applyFont="1" applyFill="1" applyBorder="1" applyAlignment="1">
      <alignment horizontal="center"/>
    </xf>
    <xf numFmtId="0" fontId="57" fillId="8" borderId="47" xfId="40" applyFont="1" applyFill="1" applyBorder="1" applyAlignment="1">
      <alignment horizontal="center"/>
    </xf>
    <xf numFmtId="0" fontId="71" fillId="8" borderId="166" xfId="27" applyFill="1" applyBorder="1"/>
    <xf numFmtId="0" fontId="13" fillId="8" borderId="21" xfId="27" applyFont="1" applyFill="1" applyBorder="1" applyAlignment="1">
      <alignment horizontal="center" vertical="center"/>
    </xf>
    <xf numFmtId="0" fontId="13" fillId="8" borderId="6" xfId="40" applyFont="1" applyFill="1" applyBorder="1" applyAlignment="1">
      <alignment horizontal="right" vertical="center" wrapText="1"/>
    </xf>
    <xf numFmtId="0" fontId="119" fillId="8" borderId="276" xfId="40" quotePrefix="1" applyFont="1" applyFill="1" applyBorder="1" applyAlignment="1">
      <alignment vertical="center"/>
    </xf>
    <xf numFmtId="0" fontId="429" fillId="8" borderId="277" xfId="40" quotePrefix="1" applyFont="1" applyFill="1" applyBorder="1" applyAlignment="1">
      <alignment horizontal="right" vertical="center"/>
    </xf>
    <xf numFmtId="1" fontId="429" fillId="8" borderId="277" xfId="40" applyNumberFormat="1" applyFont="1" applyFill="1" applyBorder="1" applyAlignment="1">
      <alignment horizontal="center" vertical="center"/>
    </xf>
    <xf numFmtId="0" fontId="109" fillId="0" borderId="278" xfId="27" applyFont="1" applyBorder="1"/>
    <xf numFmtId="0" fontId="72" fillId="8" borderId="21" xfId="27" applyFont="1" applyFill="1" applyBorder="1" applyAlignment="1">
      <alignment horizontal="center"/>
    </xf>
    <xf numFmtId="0" fontId="72" fillId="8" borderId="104" xfId="27" applyFont="1" applyFill="1" applyBorder="1" applyAlignment="1">
      <alignment horizontal="center"/>
    </xf>
    <xf numFmtId="0" fontId="72" fillId="8" borderId="279" xfId="27" applyFont="1" applyFill="1" applyBorder="1" applyAlignment="1">
      <alignment horizontal="center" vertical="center"/>
    </xf>
    <xf numFmtId="0" fontId="119" fillId="8" borderId="254" xfId="40" quotePrefix="1" applyFont="1" applyFill="1" applyBorder="1" applyAlignment="1">
      <alignment vertical="center"/>
    </xf>
    <xf numFmtId="0" fontId="429" fillId="8" borderId="254" xfId="40" quotePrefix="1" applyFont="1" applyFill="1" applyBorder="1" applyAlignment="1">
      <alignment horizontal="right" vertical="center"/>
    </xf>
    <xf numFmtId="1" fontId="429" fillId="8" borderId="254" xfId="40" applyNumberFormat="1" applyFont="1" applyFill="1" applyBorder="1" applyAlignment="1">
      <alignment horizontal="center" vertical="center"/>
    </xf>
    <xf numFmtId="0" fontId="109" fillId="0" borderId="264" xfId="27" applyFont="1" applyBorder="1"/>
    <xf numFmtId="0" fontId="72" fillId="8" borderId="65" xfId="27" applyFont="1" applyFill="1" applyBorder="1" applyAlignment="1">
      <alignment horizontal="center"/>
    </xf>
    <xf numFmtId="0" fontId="57" fillId="8" borderId="0" xfId="40" applyFont="1" applyFill="1" applyAlignment="1">
      <alignment horizontal="center"/>
    </xf>
    <xf numFmtId="0" fontId="57" fillId="8" borderId="267" xfId="40" applyFont="1" applyFill="1" applyBorder="1" applyAlignment="1">
      <alignment horizontal="center"/>
    </xf>
    <xf numFmtId="0" fontId="57" fillId="8" borderId="9" xfId="40" applyFont="1" applyFill="1" applyBorder="1" applyAlignment="1">
      <alignment horizontal="center"/>
    </xf>
    <xf numFmtId="0" fontId="57" fillId="8" borderId="0" xfId="27" applyFont="1" applyFill="1" applyAlignment="1">
      <alignment horizontal="center" vertical="center"/>
    </xf>
    <xf numFmtId="0" fontId="13" fillId="8" borderId="9" xfId="19" applyFont="1" applyFill="1" applyBorder="1" applyAlignment="1">
      <alignment horizontal="center" vertical="center"/>
    </xf>
    <xf numFmtId="0" fontId="368" fillId="21" borderId="282" xfId="19" applyFont="1" applyFill="1" applyBorder="1" applyAlignment="1">
      <alignment horizontal="center" vertical="center" wrapText="1"/>
    </xf>
    <xf numFmtId="167" fontId="35" fillId="21" borderId="282" xfId="40" applyNumberFormat="1" applyFont="1" applyFill="1" applyBorder="1" applyAlignment="1" applyProtection="1">
      <alignment horizontal="center" vertical="center"/>
      <protection locked="0"/>
    </xf>
    <xf numFmtId="0" fontId="13" fillId="44" borderId="14" xfId="27" applyFont="1" applyFill="1" applyBorder="1" applyAlignment="1">
      <alignment horizontal="center" vertical="center"/>
    </xf>
    <xf numFmtId="1" fontId="57" fillId="8" borderId="56" xfId="40" applyNumberFormat="1" applyFont="1" applyFill="1" applyBorder="1" applyAlignment="1">
      <alignment horizontal="center" vertical="center"/>
    </xf>
    <xf numFmtId="0" fontId="57" fillId="8" borderId="56" xfId="27" applyFont="1" applyFill="1" applyBorder="1" applyAlignment="1">
      <alignment horizontal="center" vertical="center"/>
    </xf>
    <xf numFmtId="0" fontId="13" fillId="8" borderId="56" xfId="40" applyFont="1" applyFill="1" applyBorder="1" applyAlignment="1">
      <alignment horizontal="right" vertical="center" wrapText="1"/>
    </xf>
    <xf numFmtId="0" fontId="13" fillId="8" borderId="57" xfId="19" applyFont="1" applyFill="1" applyBorder="1" applyAlignment="1">
      <alignment horizontal="center" vertical="center"/>
    </xf>
    <xf numFmtId="167" fontId="35" fillId="21" borderId="20" xfId="40" applyNumberFormat="1" applyFont="1" applyFill="1" applyBorder="1" applyAlignment="1" applyProtection="1">
      <alignment horizontal="center" vertical="center"/>
      <protection locked="0"/>
    </xf>
    <xf numFmtId="0" fontId="13" fillId="44" borderId="21" xfId="27" applyFont="1" applyFill="1" applyBorder="1" applyAlignment="1">
      <alignment horizontal="center" vertical="center"/>
    </xf>
    <xf numFmtId="0" fontId="35" fillId="8" borderId="266" xfId="27" applyFont="1" applyFill="1" applyBorder="1" applyAlignment="1">
      <alignment horizontal="center"/>
    </xf>
    <xf numFmtId="0" fontId="77" fillId="8" borderId="0" xfId="27" applyFont="1" applyFill="1"/>
    <xf numFmtId="0" fontId="71" fillId="8" borderId="267" xfId="27" applyFill="1" applyBorder="1"/>
    <xf numFmtId="0" fontId="57" fillId="8" borderId="0" xfId="40" applyFont="1" applyFill="1" applyAlignment="1">
      <alignment vertical="center"/>
    </xf>
    <xf numFmtId="0" fontId="57" fillId="8" borderId="0" xfId="27" applyFont="1" applyFill="1"/>
    <xf numFmtId="0" fontId="57" fillId="8" borderId="9" xfId="27" applyFont="1" applyFill="1" applyBorder="1"/>
    <xf numFmtId="0" fontId="77" fillId="8" borderId="58" xfId="19" applyFont="1" applyFill="1" applyBorder="1" applyAlignment="1">
      <alignment vertical="center"/>
    </xf>
    <xf numFmtId="0" fontId="431" fillId="0" borderId="166" xfId="27" applyFont="1" applyBorder="1"/>
    <xf numFmtId="0" fontId="71" fillId="0" borderId="3" xfId="27" applyBorder="1"/>
    <xf numFmtId="0" fontId="71" fillId="0" borderId="218" xfId="27" applyBorder="1"/>
    <xf numFmtId="0" fontId="57" fillId="8" borderId="3" xfId="27" applyFont="1" applyFill="1" applyBorder="1"/>
    <xf numFmtId="0" fontId="57" fillId="8" borderId="59" xfId="27" applyFont="1" applyFill="1" applyBorder="1"/>
    <xf numFmtId="0" fontId="57" fillId="8" borderId="14" xfId="27" applyFont="1" applyFill="1" applyBorder="1" applyAlignment="1">
      <alignment horizontal="center" vertical="center"/>
    </xf>
    <xf numFmtId="0" fontId="119" fillId="8" borderId="62" xfId="40" quotePrefix="1" applyFont="1" applyFill="1" applyBorder="1" applyAlignment="1">
      <alignment vertical="center"/>
    </xf>
    <xf numFmtId="0" fontId="429" fillId="8" borderId="227" xfId="40" quotePrefix="1" applyFont="1" applyFill="1" applyBorder="1" applyAlignment="1">
      <alignment horizontal="right" vertical="center"/>
    </xf>
    <xf numFmtId="1" fontId="429" fillId="8" borderId="227" xfId="40" applyNumberFormat="1" applyFont="1" applyFill="1" applyBorder="1" applyAlignment="1">
      <alignment horizontal="center" vertical="center"/>
    </xf>
    <xf numFmtId="0" fontId="109" fillId="0" borderId="228" xfId="27" applyFont="1" applyBorder="1"/>
    <xf numFmtId="0" fontId="72" fillId="8" borderId="6" xfId="27" applyFont="1" applyFill="1" applyBorder="1" applyAlignment="1">
      <alignment horizontal="center"/>
    </xf>
    <xf numFmtId="0" fontId="431" fillId="8" borderId="6" xfId="40" applyFont="1" applyFill="1" applyBorder="1" applyAlignment="1">
      <alignment vertical="center"/>
    </xf>
    <xf numFmtId="0" fontId="28" fillId="17" borderId="0" xfId="16" applyFont="1" applyFill="1" applyAlignment="1">
      <alignment horizontal="left" vertical="center"/>
    </xf>
    <xf numFmtId="0" fontId="28" fillId="17" borderId="0" xfId="16" applyFont="1" applyFill="1" applyAlignment="1">
      <alignment horizontal="centerContinuous" vertical="center"/>
    </xf>
    <xf numFmtId="0" fontId="262" fillId="17" borderId="9" xfId="16" applyFont="1" applyFill="1" applyBorder="1" applyAlignment="1">
      <alignment horizontal="right" vertical="center"/>
    </xf>
    <xf numFmtId="0" fontId="432" fillId="137" borderId="0" xfId="16" applyFont="1" applyFill="1" applyAlignment="1">
      <alignment horizontal="left" vertical="center"/>
    </xf>
    <xf numFmtId="0" fontId="433" fillId="137" borderId="0" xfId="16" applyFont="1" applyFill="1" applyAlignment="1">
      <alignment horizontal="centerContinuous" vertical="center"/>
    </xf>
    <xf numFmtId="0" fontId="262" fillId="137" borderId="9" xfId="16" applyFont="1" applyFill="1" applyBorder="1" applyAlignment="1">
      <alignment horizontal="right" vertical="center"/>
    </xf>
    <xf numFmtId="0" fontId="28" fillId="17" borderId="56" xfId="16" applyFont="1" applyFill="1" applyBorder="1" applyAlignment="1">
      <alignment horizontal="left" vertical="center"/>
    </xf>
    <xf numFmtId="0" fontId="28" fillId="17" borderId="56" xfId="16" applyFont="1" applyFill="1" applyBorder="1" applyAlignment="1">
      <alignment horizontal="centerContinuous" vertical="center"/>
    </xf>
    <xf numFmtId="0" fontId="28" fillId="17" borderId="57" xfId="16" applyFont="1" applyFill="1" applyBorder="1" applyAlignment="1">
      <alignment horizontal="right" vertical="center"/>
    </xf>
    <xf numFmtId="0" fontId="28" fillId="137" borderId="9" xfId="16" applyFont="1" applyFill="1" applyBorder="1" applyAlignment="1">
      <alignment horizontal="right" vertical="center"/>
    </xf>
    <xf numFmtId="0" fontId="24" fillId="0" borderId="0" xfId="16" applyFont="1" applyAlignment="1" applyProtection="1">
      <alignment horizontal="center" vertical="center" wrapText="1"/>
      <protection locked="0"/>
    </xf>
    <xf numFmtId="0" fontId="10" fillId="0" borderId="0" xfId="16" applyFont="1" applyAlignment="1" applyProtection="1">
      <alignment horizontal="center" vertical="center" wrapText="1"/>
      <protection locked="0"/>
    </xf>
    <xf numFmtId="0" fontId="16" fillId="0" borderId="0" xfId="16" applyFont="1" applyAlignment="1" applyProtection="1">
      <alignment horizontal="center" vertical="center" wrapText="1"/>
      <protection locked="0"/>
    </xf>
    <xf numFmtId="0" fontId="170" fillId="133" borderId="14" xfId="16" applyFont="1" applyFill="1" applyBorder="1" applyAlignment="1" applyProtection="1">
      <alignment horizontal="center" vertical="center"/>
      <protection locked="0"/>
    </xf>
    <xf numFmtId="0" fontId="74" fillId="133" borderId="14" xfId="16" applyFont="1" applyFill="1" applyBorder="1" applyAlignment="1" applyProtection="1">
      <alignment horizontal="center" vertical="center"/>
      <protection locked="0"/>
    </xf>
    <xf numFmtId="1" fontId="435" fillId="133" borderId="14" xfId="16" applyNumberFormat="1" applyFont="1" applyFill="1" applyBorder="1" applyAlignment="1" applyProtection="1">
      <alignment horizontal="center" vertical="center"/>
      <protection locked="0"/>
    </xf>
    <xf numFmtId="0" fontId="1" fillId="21" borderId="21" xfId="27" applyFont="1" applyFill="1" applyBorder="1"/>
    <xf numFmtId="0" fontId="13" fillId="8" borderId="152" xfId="16" applyFont="1" applyFill="1" applyBorder="1" applyAlignment="1" applyProtection="1">
      <alignment horizontal="center" vertical="center" wrapText="1"/>
      <protection locked="0"/>
    </xf>
    <xf numFmtId="167" fontId="26" fillId="8" borderId="283" xfId="16" applyNumberFormat="1" applyFont="1" applyFill="1" applyBorder="1" applyAlignment="1" applyProtection="1">
      <alignment horizontal="center" vertical="center"/>
      <protection locked="0"/>
    </xf>
    <xf numFmtId="0" fontId="26" fillId="8" borderId="36" xfId="16" applyFont="1" applyFill="1" applyBorder="1" applyAlignment="1" applyProtection="1">
      <alignment horizontal="right" vertical="center"/>
      <protection locked="0"/>
    </xf>
    <xf numFmtId="216" fontId="26" fillId="8" borderId="282" xfId="16" applyNumberFormat="1" applyFont="1" applyFill="1" applyBorder="1" applyAlignment="1" applyProtection="1">
      <alignment horizontal="center" vertical="center"/>
      <protection locked="0"/>
    </xf>
    <xf numFmtId="217" fontId="26" fillId="8" borderId="56" xfId="7" applyNumberFormat="1" applyFont="1" applyFill="1" applyBorder="1" applyAlignment="1">
      <alignment horizontal="center" vertical="center"/>
    </xf>
    <xf numFmtId="1" fontId="26" fillId="8" borderId="56" xfId="16" applyNumberFormat="1" applyFont="1" applyFill="1" applyBorder="1" applyAlignment="1" applyProtection="1">
      <alignment horizontal="left" vertical="center"/>
      <protection locked="0"/>
    </xf>
    <xf numFmtId="216" fontId="26" fillId="8" borderId="35" xfId="16" applyNumberFormat="1" applyFont="1" applyFill="1" applyBorder="1" applyAlignment="1" applyProtection="1">
      <alignment horizontal="right" vertical="center"/>
      <protection locked="0"/>
    </xf>
    <xf numFmtId="1" fontId="26" fillId="8" borderId="57" xfId="16" applyNumberFormat="1" applyFont="1" applyFill="1" applyBorder="1" applyAlignment="1" applyProtection="1">
      <alignment horizontal="left" vertical="center"/>
      <protection locked="0"/>
    </xf>
    <xf numFmtId="0" fontId="88" fillId="8" borderId="9" xfId="7" applyFont="1" applyFill="1" applyBorder="1" applyAlignment="1">
      <alignment horizontal="center" vertical="center"/>
    </xf>
    <xf numFmtId="0" fontId="436" fillId="17" borderId="45" xfId="16" applyFont="1" applyFill="1" applyBorder="1" applyAlignment="1">
      <alignment vertical="center"/>
    </xf>
    <xf numFmtId="0" fontId="28" fillId="17" borderId="45" xfId="16" applyFont="1" applyFill="1" applyBorder="1" applyAlignment="1">
      <alignment vertical="center"/>
    </xf>
    <xf numFmtId="0" fontId="28" fillId="17" borderId="47" xfId="16" applyFont="1" applyFill="1" applyBorder="1" applyAlignment="1">
      <alignment vertical="center"/>
    </xf>
    <xf numFmtId="2" fontId="21" fillId="8" borderId="0" xfId="16" applyNumberFormat="1" applyFont="1" applyFill="1" applyAlignment="1" applyProtection="1">
      <alignment horizontal="right" vertical="center"/>
      <protection locked="0"/>
    </xf>
    <xf numFmtId="0" fontId="21" fillId="8" borderId="0" xfId="16" applyFont="1" applyFill="1" applyAlignment="1" applyProtection="1">
      <alignment horizontal="left" vertical="center"/>
      <protection locked="0"/>
    </xf>
    <xf numFmtId="216" fontId="21" fillId="8" borderId="0" xfId="16" applyNumberFormat="1" applyFont="1" applyFill="1" applyAlignment="1" applyProtection="1">
      <alignment horizontal="center" vertical="center"/>
      <protection locked="0"/>
    </xf>
    <xf numFmtId="217" fontId="21" fillId="8" borderId="0" xfId="7" applyNumberFormat="1" applyFont="1" applyFill="1" applyAlignment="1">
      <alignment horizontal="center" vertical="center"/>
    </xf>
    <xf numFmtId="1" fontId="21" fillId="8" borderId="0" xfId="16" applyNumberFormat="1" applyFont="1" applyFill="1" applyAlignment="1" applyProtection="1">
      <alignment horizontal="left" vertical="center"/>
      <protection locked="0"/>
    </xf>
    <xf numFmtId="216" fontId="21" fillId="8" borderId="0" xfId="16" applyNumberFormat="1" applyFont="1" applyFill="1" applyAlignment="1" applyProtection="1">
      <alignment horizontal="right" vertical="center"/>
      <protection locked="0"/>
    </xf>
    <xf numFmtId="1" fontId="21" fillId="8" borderId="9" xfId="16" applyNumberFormat="1" applyFont="1" applyFill="1" applyBorder="1" applyAlignment="1" applyProtection="1">
      <alignment horizontal="left" vertical="center"/>
      <protection locked="0"/>
    </xf>
    <xf numFmtId="0" fontId="28" fillId="44" borderId="6" xfId="16" applyFont="1" applyFill="1" applyBorder="1" applyAlignment="1">
      <alignment horizontal="left" vertical="center"/>
    </xf>
    <xf numFmtId="167" fontId="78" fillId="44" borderId="0" xfId="16" applyNumberFormat="1" applyFont="1" applyFill="1" applyAlignment="1" applyProtection="1">
      <alignment horizontal="right" vertical="center"/>
      <protection locked="0"/>
    </xf>
    <xf numFmtId="0" fontId="184" fillId="44" borderId="0" xfId="16" applyFont="1" applyFill="1"/>
    <xf numFmtId="0" fontId="433" fillId="44" borderId="0" xfId="16" applyFont="1" applyFill="1" applyAlignment="1">
      <alignment horizontal="center" vertical="center"/>
    </xf>
    <xf numFmtId="0" fontId="432" fillId="44" borderId="0" xfId="16" applyFont="1" applyFill="1" applyAlignment="1">
      <alignment horizontal="center" vertical="center"/>
    </xf>
    <xf numFmtId="0" fontId="432" fillId="44" borderId="9" xfId="16" applyFont="1" applyFill="1" applyBorder="1" applyAlignment="1">
      <alignment horizontal="center" vertical="center"/>
    </xf>
    <xf numFmtId="0" fontId="420" fillId="8" borderId="6" xfId="1" applyFont="1" applyFill="1" applyBorder="1" applyAlignment="1" applyProtection="1">
      <alignment horizontal="center"/>
      <protection hidden="1"/>
    </xf>
    <xf numFmtId="217" fontId="21" fillId="8" borderId="0" xfId="7" applyNumberFormat="1" applyFont="1" applyFill="1" applyAlignment="1">
      <alignment horizontal="right" vertical="center"/>
    </xf>
    <xf numFmtId="180" fontId="113" fillId="44" borderId="0" xfId="39" applyNumberFormat="1" applyFont="1" applyFill="1" applyAlignment="1" applyProtection="1">
      <alignment horizontal="center" vertical="center"/>
      <protection locked="0"/>
    </xf>
    <xf numFmtId="0" fontId="26" fillId="44" borderId="6" xfId="16" applyFont="1" applyFill="1" applyBorder="1" applyAlignment="1">
      <alignment horizontal="left" vertical="center"/>
    </xf>
    <xf numFmtId="179" fontId="170" fillId="133" borderId="0" xfId="16" applyNumberFormat="1" applyFont="1" applyFill="1" applyAlignment="1" applyProtection="1">
      <alignment vertical="center"/>
      <protection locked="0"/>
    </xf>
    <xf numFmtId="0" fontId="170" fillId="133" borderId="0" xfId="16" applyFont="1" applyFill="1" applyAlignment="1" applyProtection="1">
      <alignment vertical="center"/>
      <protection locked="0"/>
    </xf>
    <xf numFmtId="0" fontId="194" fillId="66" borderId="0" xfId="5" applyFont="1" applyFill="1" applyAlignment="1">
      <alignment horizontal="center" vertical="center"/>
    </xf>
    <xf numFmtId="180" fontId="113" fillId="44" borderId="0" xfId="39" applyNumberFormat="1" applyFont="1" applyFill="1" applyAlignment="1" applyProtection="1">
      <alignment horizontal="center"/>
      <protection locked="0"/>
    </xf>
    <xf numFmtId="0" fontId="343" fillId="60" borderId="6" xfId="16" applyFont="1" applyFill="1" applyBorder="1" applyAlignment="1" applyProtection="1">
      <alignment vertical="center"/>
      <protection locked="0"/>
    </xf>
    <xf numFmtId="0" fontId="194" fillId="60" borderId="0" xfId="16" applyFont="1" applyFill="1" applyAlignment="1" applyProtection="1">
      <alignment vertical="center"/>
      <protection locked="0"/>
    </xf>
    <xf numFmtId="169" fontId="194" fillId="46" borderId="0" xfId="16" applyNumberFormat="1" applyFont="1" applyFill="1" applyAlignment="1" applyProtection="1">
      <alignment vertical="center"/>
      <protection locked="0"/>
    </xf>
    <xf numFmtId="167" fontId="26" fillId="60" borderId="0" xfId="16" applyNumberFormat="1" applyFont="1" applyFill="1" applyAlignment="1" applyProtection="1">
      <alignment vertical="center"/>
      <protection locked="0"/>
    </xf>
    <xf numFmtId="0" fontId="26" fillId="44" borderId="0" xfId="16" applyFont="1" applyFill="1" applyAlignment="1" applyProtection="1">
      <alignment vertical="center"/>
      <protection locked="0"/>
    </xf>
    <xf numFmtId="216" fontId="26" fillId="44" borderId="0" xfId="16" applyNumberFormat="1" applyFont="1" applyFill="1" applyAlignment="1" applyProtection="1">
      <alignment vertical="center"/>
      <protection locked="0"/>
    </xf>
    <xf numFmtId="219" fontId="26" fillId="44" borderId="0" xfId="7" applyNumberFormat="1" applyFont="1" applyFill="1" applyAlignment="1">
      <alignment vertical="center"/>
    </xf>
    <xf numFmtId="1" fontId="69" fillId="44" borderId="0" xfId="16" applyNumberFormat="1" applyFont="1" applyFill="1" applyAlignment="1" applyProtection="1">
      <alignment vertical="center"/>
      <protection locked="0"/>
    </xf>
    <xf numFmtId="1" fontId="69" fillId="44" borderId="9" xfId="16" applyNumberFormat="1" applyFont="1" applyFill="1" applyBorder="1" applyAlignment="1" applyProtection="1">
      <alignment vertical="center"/>
      <protection locked="0"/>
    </xf>
    <xf numFmtId="1" fontId="194" fillId="21" borderId="283" xfId="7" applyNumberFormat="1" applyFont="1" applyFill="1" applyBorder="1" applyAlignment="1">
      <alignment horizontal="center" vertical="center"/>
    </xf>
    <xf numFmtId="171" fontId="170" fillId="66" borderId="282" xfId="7" applyNumberFormat="1" applyFont="1" applyFill="1" applyBorder="1" applyAlignment="1">
      <alignment horizontal="center" vertical="center"/>
    </xf>
    <xf numFmtId="175" fontId="435" fillId="66" borderId="282" xfId="7" applyNumberFormat="1" applyFont="1" applyFill="1" applyBorder="1" applyAlignment="1" applyProtection="1">
      <alignment horizontal="center" vertical="center"/>
      <protection locked="0"/>
    </xf>
    <xf numFmtId="179" fontId="69" fillId="65" borderId="36" xfId="7" applyNumberFormat="1" applyFont="1" applyFill="1" applyBorder="1" applyAlignment="1">
      <alignment vertical="center"/>
    </xf>
    <xf numFmtId="179" fontId="69" fillId="8" borderId="217" xfId="7" applyNumberFormat="1" applyFont="1" applyFill="1" applyBorder="1" applyAlignment="1">
      <alignment vertical="center"/>
    </xf>
    <xf numFmtId="167" fontId="69" fillId="0" borderId="282" xfId="16" applyNumberFormat="1" applyFont="1" applyBorder="1" applyAlignment="1" applyProtection="1">
      <alignment horizontal="center" vertical="center"/>
      <protection locked="0"/>
    </xf>
    <xf numFmtId="179" fontId="26" fillId="0" borderId="36" xfId="7" applyNumberFormat="1" applyFont="1" applyBorder="1" applyAlignment="1">
      <alignment vertical="center"/>
    </xf>
    <xf numFmtId="179" fontId="69" fillId="0" borderId="36" xfId="7" applyNumberFormat="1" applyFont="1" applyBorder="1" applyAlignment="1">
      <alignment horizontal="center" vertical="center"/>
    </xf>
    <xf numFmtId="179" fontId="69" fillId="8" borderId="57" xfId="7" applyNumberFormat="1" applyFont="1" applyFill="1" applyBorder="1" applyAlignment="1">
      <alignment vertical="center"/>
    </xf>
    <xf numFmtId="0" fontId="398" fillId="62" borderId="0" xfId="39" applyFont="1" applyFill="1" applyAlignment="1">
      <alignment vertical="center"/>
    </xf>
    <xf numFmtId="0" fontId="398" fillId="62" borderId="9" xfId="39" applyFont="1" applyFill="1" applyBorder="1" applyAlignment="1">
      <alignment vertical="center"/>
    </xf>
    <xf numFmtId="0" fontId="76" fillId="8" borderId="6" xfId="39" applyFont="1" applyFill="1" applyBorder="1" applyAlignment="1">
      <alignment horizontal="center" vertical="center" wrapText="1"/>
    </xf>
    <xf numFmtId="0" fontId="76" fillId="8" borderId="0" xfId="39" applyFont="1" applyFill="1" applyAlignment="1">
      <alignment vertical="center" wrapText="1"/>
    </xf>
    <xf numFmtId="0" fontId="76" fillId="8" borderId="0" xfId="16" applyFont="1" applyFill="1" applyAlignment="1">
      <alignment horizontal="center" vertical="center" wrapText="1"/>
    </xf>
    <xf numFmtId="0" fontId="76" fillId="8" borderId="0" xfId="16" applyFont="1" applyFill="1" applyAlignment="1">
      <alignment vertical="center" wrapText="1"/>
    </xf>
    <xf numFmtId="0" fontId="398" fillId="8" borderId="0" xfId="39" applyFont="1" applyFill="1" applyAlignment="1">
      <alignment vertical="center"/>
    </xf>
    <xf numFmtId="0" fontId="398" fillId="8" borderId="9" xfId="39" applyFont="1" applyFill="1" applyBorder="1" applyAlignment="1">
      <alignment vertical="center"/>
    </xf>
    <xf numFmtId="0" fontId="398" fillId="8" borderId="0" xfId="39" applyFont="1" applyFill="1" applyAlignment="1">
      <alignment horizontal="center" vertical="center"/>
    </xf>
    <xf numFmtId="0" fontId="398" fillId="8" borderId="9" xfId="39" applyFont="1" applyFill="1" applyBorder="1" applyAlignment="1">
      <alignment horizontal="center" vertical="center"/>
    </xf>
    <xf numFmtId="220" fontId="410" fillId="20" borderId="6" xfId="16" applyNumberFormat="1" applyFont="1" applyFill="1" applyBorder="1" applyAlignment="1">
      <alignment horizontal="center" vertical="center"/>
    </xf>
    <xf numFmtId="221" fontId="439" fillId="21" borderId="0" xfId="16" applyNumberFormat="1" applyFont="1" applyFill="1" applyAlignment="1">
      <alignment horizontal="center" vertical="center"/>
    </xf>
    <xf numFmtId="2" fontId="407" fillId="8" borderId="0" xfId="16" applyNumberFormat="1" applyFont="1" applyFill="1" applyAlignment="1">
      <alignment horizontal="center" vertical="center"/>
    </xf>
    <xf numFmtId="0" fontId="440" fillId="8" borderId="0" xfId="16" applyFont="1" applyFill="1" applyAlignment="1">
      <alignment vertical="center"/>
    </xf>
    <xf numFmtId="0" fontId="441" fillId="8" borderId="0" xfId="16" applyFont="1" applyFill="1" applyAlignment="1">
      <alignment vertical="center"/>
    </xf>
    <xf numFmtId="0" fontId="441" fillId="8" borderId="9" xfId="16" applyFont="1" applyFill="1" applyBorder="1" applyAlignment="1">
      <alignment vertical="center"/>
    </xf>
    <xf numFmtId="169" fontId="442" fillId="8" borderId="6" xfId="16" applyNumberFormat="1" applyFont="1" applyFill="1" applyBorder="1" applyAlignment="1">
      <alignment vertical="center"/>
    </xf>
    <xf numFmtId="169" fontId="442" fillId="8" borderId="0" xfId="16" applyNumberFormat="1" applyFont="1" applyFill="1" applyAlignment="1">
      <alignment vertical="center"/>
    </xf>
    <xf numFmtId="167" fontId="393" fillId="8" borderId="9" xfId="16" applyNumberFormat="1" applyFont="1" applyFill="1" applyBorder="1" applyAlignment="1">
      <alignment horizontal="center" vertical="center"/>
    </xf>
    <xf numFmtId="220" fontId="410" fillId="20" borderId="6" xfId="16" applyNumberFormat="1" applyFont="1" applyFill="1" applyBorder="1" applyAlignment="1">
      <alignment vertical="center"/>
    </xf>
    <xf numFmtId="221" fontId="439" fillId="21" borderId="0" xfId="16" applyNumberFormat="1" applyFont="1" applyFill="1" applyAlignment="1">
      <alignment vertical="center"/>
    </xf>
    <xf numFmtId="2" fontId="407" fillId="8" borderId="0" xfId="16" applyNumberFormat="1" applyFont="1" applyFill="1" applyAlignment="1">
      <alignment vertical="center"/>
    </xf>
    <xf numFmtId="220" fontId="407" fillId="38" borderId="6" xfId="16" applyNumberFormat="1" applyFont="1" applyFill="1" applyBorder="1" applyAlignment="1">
      <alignment vertical="center"/>
    </xf>
    <xf numFmtId="220" fontId="407" fillId="38" borderId="0" xfId="16" applyNumberFormat="1" applyFont="1" applyFill="1" applyAlignment="1">
      <alignment vertical="center"/>
    </xf>
    <xf numFmtId="220" fontId="407" fillId="38" borderId="9" xfId="16" applyNumberFormat="1" applyFont="1" applyFill="1" applyBorder="1" applyAlignment="1">
      <alignment vertical="center"/>
    </xf>
    <xf numFmtId="0" fontId="443" fillId="8" borderId="6" xfId="39" applyFont="1" applyFill="1" applyBorder="1"/>
    <xf numFmtId="0" fontId="6" fillId="0" borderId="0" xfId="1" applyProtection="1">
      <protection hidden="1"/>
    </xf>
    <xf numFmtId="0" fontId="443" fillId="8" borderId="0" xfId="39" applyFont="1" applyFill="1"/>
    <xf numFmtId="220" fontId="444" fillId="8" borderId="6" xfId="16" applyNumberFormat="1" applyFont="1" applyFill="1" applyBorder="1" applyAlignment="1">
      <alignment vertical="center"/>
    </xf>
    <xf numFmtId="221" fontId="444" fillId="8" borderId="0" xfId="16" applyNumberFormat="1" applyFont="1" applyFill="1" applyAlignment="1">
      <alignment vertical="center"/>
    </xf>
    <xf numFmtId="0" fontId="440" fillId="8" borderId="0" xfId="16" applyFont="1" applyFill="1" applyAlignment="1">
      <alignment horizontal="left" vertical="center"/>
    </xf>
    <xf numFmtId="0" fontId="445" fillId="8" borderId="0" xfId="7" applyFont="1" applyFill="1"/>
    <xf numFmtId="0" fontId="6" fillId="8" borderId="0" xfId="7" applyFont="1" applyFill="1"/>
    <xf numFmtId="0" fontId="6" fillId="8" borderId="9" xfId="7" applyFont="1" applyFill="1" applyBorder="1"/>
    <xf numFmtId="0" fontId="68" fillId="8" borderId="6" xfId="1" applyFont="1" applyFill="1" applyBorder="1" applyAlignment="1">
      <alignment horizontal="left" vertical="center"/>
    </xf>
    <xf numFmtId="0" fontId="68" fillId="8" borderId="0" xfId="1" applyFont="1" applyFill="1" applyProtection="1">
      <protection hidden="1"/>
    </xf>
    <xf numFmtId="0" fontId="68" fillId="8" borderId="6" xfId="39" applyFont="1" applyFill="1" applyBorder="1" applyAlignment="1">
      <alignment horizontal="left"/>
    </xf>
    <xf numFmtId="0" fontId="446" fillId="131" borderId="6" xfId="39" applyFont="1" applyFill="1" applyBorder="1" applyAlignment="1">
      <alignment vertical="center"/>
    </xf>
    <xf numFmtId="0" fontId="446" fillId="131" borderId="0" xfId="39" applyFont="1" applyFill="1" applyAlignment="1">
      <alignment vertical="center"/>
    </xf>
    <xf numFmtId="0" fontId="446" fillId="131" borderId="9" xfId="39" applyFont="1" applyFill="1" applyBorder="1" applyAlignment="1">
      <alignment vertical="center"/>
    </xf>
    <xf numFmtId="0" fontId="76" fillId="8" borderId="0" xfId="39" applyFont="1" applyFill="1" applyAlignment="1">
      <alignment horizontal="center" vertical="center" wrapText="1"/>
    </xf>
    <xf numFmtId="0" fontId="393" fillId="8" borderId="9" xfId="16" applyFont="1" applyFill="1" applyBorder="1" applyAlignment="1">
      <alignment horizontal="center" wrapText="1"/>
    </xf>
    <xf numFmtId="169" fontId="447" fillId="8" borderId="6" xfId="16" applyNumberFormat="1" applyFont="1" applyFill="1" applyBorder="1" applyAlignment="1">
      <alignment vertical="center"/>
    </xf>
    <xf numFmtId="169" fontId="447" fillId="8" borderId="0" xfId="16" applyNumberFormat="1" applyFont="1" applyFill="1" applyAlignment="1">
      <alignment vertical="center"/>
    </xf>
    <xf numFmtId="0" fontId="447" fillId="8" borderId="0" xfId="16" applyFont="1" applyFill="1" applyAlignment="1">
      <alignment horizontal="center" vertical="center"/>
    </xf>
    <xf numFmtId="0" fontId="442" fillId="8" borderId="0" xfId="16" applyFont="1" applyFill="1" applyAlignment="1">
      <alignment vertical="center"/>
    </xf>
    <xf numFmtId="179" fontId="393" fillId="8" borderId="9" xfId="16" applyNumberFormat="1" applyFont="1" applyFill="1" applyBorder="1" applyAlignment="1">
      <alignment horizontal="center" vertical="center"/>
    </xf>
    <xf numFmtId="169" fontId="442" fillId="8" borderId="6" xfId="16" applyNumberFormat="1" applyFont="1" applyFill="1" applyBorder="1" applyAlignment="1">
      <alignment horizontal="center" vertical="center"/>
    </xf>
    <xf numFmtId="169" fontId="442" fillId="8" borderId="0" xfId="16" applyNumberFormat="1" applyFont="1" applyFill="1" applyAlignment="1">
      <alignment horizontal="center" vertical="center"/>
    </xf>
    <xf numFmtId="0" fontId="442" fillId="8" borderId="0" xfId="16" applyFont="1" applyFill="1" applyAlignment="1">
      <alignment horizontal="center" vertical="center"/>
    </xf>
    <xf numFmtId="0" fontId="393" fillId="8" borderId="9" xfId="16" applyFont="1" applyFill="1" applyBorder="1" applyAlignment="1">
      <alignment horizontal="right" vertical="center"/>
    </xf>
    <xf numFmtId="0" fontId="150" fillId="8" borderId="6" xfId="1" applyFont="1" applyFill="1" applyBorder="1" applyAlignment="1">
      <alignment horizontal="left" vertical="center"/>
    </xf>
    <xf numFmtId="0" fontId="150" fillId="8" borderId="0" xfId="1" applyFont="1" applyFill="1" applyProtection="1">
      <protection hidden="1"/>
    </xf>
    <xf numFmtId="169" fontId="48" fillId="8" borderId="0" xfId="16" applyNumberFormat="1" applyFont="1" applyFill="1" applyAlignment="1">
      <alignment horizontal="center" vertical="center"/>
    </xf>
    <xf numFmtId="0" fontId="48" fillId="8" borderId="0" xfId="16" applyFont="1" applyFill="1" applyAlignment="1">
      <alignment horizontal="center" vertical="center"/>
    </xf>
    <xf numFmtId="179" fontId="48" fillId="8" borderId="9" xfId="16" applyNumberFormat="1" applyFont="1" applyFill="1" applyBorder="1" applyAlignment="1">
      <alignment horizontal="center" vertical="center"/>
    </xf>
    <xf numFmtId="0" fontId="150" fillId="8" borderId="6" xfId="39" applyFont="1" applyFill="1" applyBorder="1" applyAlignment="1">
      <alignment horizontal="left"/>
    </xf>
    <xf numFmtId="0" fontId="48" fillId="8" borderId="227" xfId="16" applyFont="1" applyFill="1" applyBorder="1" applyAlignment="1">
      <alignment vertical="center"/>
    </xf>
    <xf numFmtId="220" fontId="444" fillId="8" borderId="6" xfId="16" applyNumberFormat="1" applyFont="1" applyFill="1" applyBorder="1" applyAlignment="1">
      <alignment horizontal="center" vertical="center"/>
    </xf>
    <xf numFmtId="221" fontId="444" fillId="8" borderId="0" xfId="16" applyNumberFormat="1" applyFont="1" applyFill="1" applyAlignment="1">
      <alignment horizontal="center" vertical="center"/>
    </xf>
    <xf numFmtId="0" fontId="441" fillId="8" borderId="0" xfId="16" applyFont="1" applyFill="1" applyAlignment="1">
      <alignment horizontal="left" vertical="center"/>
    </xf>
    <xf numFmtId="0" fontId="48" fillId="8" borderId="0" xfId="7" applyFont="1" applyFill="1" applyAlignment="1">
      <alignment horizontal="center" vertical="center"/>
    </xf>
    <xf numFmtId="220" fontId="444" fillId="8" borderId="6" xfId="16" applyNumberFormat="1" applyFont="1" applyFill="1" applyBorder="1" applyAlignment="1">
      <alignment horizontal="left" vertical="center"/>
    </xf>
    <xf numFmtId="0" fontId="48" fillId="8" borderId="6" xfId="16" applyFont="1" applyFill="1" applyBorder="1" applyAlignment="1">
      <alignment vertical="center"/>
    </xf>
    <xf numFmtId="0" fontId="48" fillId="8" borderId="0" xfId="16" applyFont="1" applyFill="1" applyAlignment="1">
      <alignment vertical="center"/>
    </xf>
    <xf numFmtId="0" fontId="393" fillId="22" borderId="6" xfId="39" applyFont="1" applyFill="1" applyBorder="1" applyAlignment="1">
      <alignment vertical="center"/>
    </xf>
    <xf numFmtId="0" fontId="393" fillId="22" borderId="0" xfId="39" applyFont="1" applyFill="1" applyAlignment="1">
      <alignment vertical="center"/>
    </xf>
    <xf numFmtId="0" fontId="393" fillId="22" borderId="9" xfId="39" applyFont="1" applyFill="1" applyBorder="1" applyAlignment="1">
      <alignment vertical="center"/>
    </xf>
    <xf numFmtId="0" fontId="1" fillId="8" borderId="58" xfId="7" applyFill="1" applyBorder="1"/>
    <xf numFmtId="0" fontId="6" fillId="0" borderId="3" xfId="1" applyBorder="1" applyProtection="1">
      <protection hidden="1"/>
    </xf>
    <xf numFmtId="0" fontId="1" fillId="8" borderId="3" xfId="7" applyFill="1" applyBorder="1"/>
    <xf numFmtId="0" fontId="1" fillId="7" borderId="30" xfId="7" applyFill="1" applyBorder="1" applyAlignment="1">
      <alignment horizontal="center" vertical="center"/>
    </xf>
    <xf numFmtId="0" fontId="30" fillId="8" borderId="4" xfId="1" applyFont="1" applyFill="1" applyBorder="1" applyAlignment="1">
      <alignment horizontal="left" vertical="center"/>
    </xf>
    <xf numFmtId="0" fontId="193" fillId="8" borderId="4" xfId="36" applyFill="1" applyBorder="1" applyAlignment="1">
      <alignment vertical="center"/>
    </xf>
    <xf numFmtId="0" fontId="193" fillId="8" borderId="113" xfId="36" applyFill="1" applyBorder="1" applyAlignment="1">
      <alignment vertical="center"/>
    </xf>
    <xf numFmtId="0" fontId="1" fillId="65" borderId="6" xfId="7" applyFill="1" applyBorder="1" applyAlignment="1">
      <alignment vertical="center"/>
    </xf>
    <xf numFmtId="0" fontId="1" fillId="65" borderId="0" xfId="7" applyFill="1" applyAlignment="1">
      <alignment vertical="center"/>
    </xf>
    <xf numFmtId="0" fontId="1" fillId="65" borderId="9" xfId="7" applyFill="1" applyBorder="1" applyAlignment="1">
      <alignment vertical="center"/>
    </xf>
    <xf numFmtId="0" fontId="452" fillId="0" borderId="0" xfId="7" applyFont="1" applyAlignment="1">
      <alignment horizontal="right" vertical="center"/>
    </xf>
    <xf numFmtId="0" fontId="1" fillId="65" borderId="0" xfId="7" applyFill="1" applyAlignment="1">
      <alignment horizontal="left" vertical="center"/>
    </xf>
    <xf numFmtId="0" fontId="453" fillId="65" borderId="0" xfId="7" applyFont="1" applyFill="1" applyAlignment="1">
      <alignment horizontal="right" vertical="center"/>
    </xf>
    <xf numFmtId="0" fontId="292" fillId="65" borderId="0" xfId="5" applyFont="1" applyFill="1" applyAlignment="1">
      <alignment horizontal="center" vertical="center"/>
    </xf>
    <xf numFmtId="0" fontId="292" fillId="65" borderId="288" xfId="5" applyFont="1" applyFill="1" applyBorder="1" applyAlignment="1">
      <alignment horizontal="center" vertical="center"/>
    </xf>
    <xf numFmtId="0" fontId="292" fillId="65" borderId="288" xfId="7" applyFont="1" applyFill="1" applyBorder="1" applyAlignment="1" applyProtection="1">
      <alignment horizontal="center" vertical="center"/>
      <protection locked="0"/>
    </xf>
    <xf numFmtId="0" fontId="454" fillId="65" borderId="0" xfId="7" applyFont="1" applyFill="1" applyAlignment="1">
      <alignment horizontal="right" vertical="center"/>
    </xf>
    <xf numFmtId="0" fontId="455" fillId="66" borderId="255" xfId="5" applyFont="1" applyFill="1" applyBorder="1" applyAlignment="1">
      <alignment horizontal="center" vertical="center"/>
    </xf>
    <xf numFmtId="0" fontId="407" fillId="8" borderId="0" xfId="7" applyFont="1" applyFill="1" applyAlignment="1">
      <alignment horizontal="center" vertical="center"/>
    </xf>
    <xf numFmtId="0" fontId="450" fillId="65" borderId="0" xfId="7" applyFont="1" applyFill="1" applyAlignment="1">
      <alignment horizontal="left" vertical="center"/>
    </xf>
    <xf numFmtId="0" fontId="456" fillId="65" borderId="0" xfId="7" applyFont="1" applyFill="1" applyAlignment="1">
      <alignment horizontal="right" vertical="center"/>
    </xf>
    <xf numFmtId="179" fontId="413" fillId="66" borderId="255" xfId="29" applyNumberFormat="1" applyFont="1" applyFill="1" applyBorder="1" applyAlignment="1">
      <alignment horizontal="center" vertical="center"/>
    </xf>
    <xf numFmtId="179" fontId="1" fillId="65" borderId="0" xfId="7" applyNumberFormat="1" applyFill="1" applyAlignment="1">
      <alignment horizontal="center" vertical="center"/>
    </xf>
    <xf numFmtId="0" fontId="450" fillId="65" borderId="0" xfId="7" applyFont="1" applyFill="1" applyAlignment="1">
      <alignment horizontal="right" vertical="center"/>
    </xf>
    <xf numFmtId="2" fontId="457" fillId="65" borderId="271" xfId="29" applyNumberFormat="1" applyFont="1" applyFill="1" applyBorder="1" applyAlignment="1">
      <alignment horizontal="center" vertical="center"/>
    </xf>
    <xf numFmtId="2" fontId="166" fillId="65" borderId="289" xfId="5" applyNumberFormat="1" applyFont="1" applyFill="1" applyBorder="1" applyAlignment="1">
      <alignment horizontal="center" vertical="center"/>
    </xf>
    <xf numFmtId="0" fontId="1" fillId="65" borderId="271" xfId="7" applyFill="1" applyBorder="1" applyAlignment="1">
      <alignment horizontal="center" vertical="center"/>
    </xf>
    <xf numFmtId="0" fontId="1" fillId="0" borderId="6" xfId="7" applyBorder="1" applyAlignment="1">
      <alignment vertical="center"/>
    </xf>
    <xf numFmtId="0" fontId="450" fillId="0" borderId="0" xfId="7" applyFont="1" applyAlignment="1">
      <alignment horizontal="right" vertical="center"/>
    </xf>
    <xf numFmtId="180" fontId="414" fillId="66" borderId="0" xfId="7" applyNumberFormat="1" applyFont="1" applyFill="1" applyAlignment="1" applyProtection="1">
      <alignment horizontal="center" vertical="center"/>
      <protection locked="0"/>
    </xf>
    <xf numFmtId="0" fontId="458" fillId="65" borderId="0" xfId="1" applyFont="1" applyFill="1" applyAlignment="1">
      <alignment horizontal="left" vertical="center"/>
    </xf>
    <xf numFmtId="0" fontId="1" fillId="0" borderId="0" xfId="7" applyAlignment="1">
      <alignment vertical="center"/>
    </xf>
    <xf numFmtId="167" fontId="407" fillId="65" borderId="289" xfId="5" applyNumberFormat="1" applyFont="1" applyFill="1" applyBorder="1" applyAlignment="1">
      <alignment horizontal="center" vertical="center"/>
    </xf>
    <xf numFmtId="167" fontId="407" fillId="65" borderId="0" xfId="7" applyNumberFormat="1" applyFont="1" applyFill="1" applyAlignment="1">
      <alignment horizontal="center" vertical="center"/>
    </xf>
    <xf numFmtId="0" fontId="452" fillId="65" borderId="18" xfId="7" applyFont="1" applyFill="1" applyBorder="1" applyAlignment="1">
      <alignment horizontal="center" vertical="center"/>
    </xf>
    <xf numFmtId="0" fontId="1" fillId="65" borderId="127" xfId="7" applyFill="1" applyBorder="1" applyAlignment="1">
      <alignment vertical="center"/>
    </xf>
    <xf numFmtId="0" fontId="1" fillId="65" borderId="56" xfId="7" applyFill="1" applyBorder="1" applyAlignment="1">
      <alignment vertical="center"/>
    </xf>
    <xf numFmtId="0" fontId="1" fillId="65" borderId="57" xfId="7" applyFill="1" applyBorder="1" applyAlignment="1">
      <alignment vertical="center"/>
    </xf>
    <xf numFmtId="0" fontId="451" fillId="65" borderId="6" xfId="1" applyFont="1" applyFill="1" applyBorder="1" applyAlignment="1">
      <alignment horizontal="center" vertical="center"/>
    </xf>
    <xf numFmtId="0" fontId="459" fillId="65" borderId="154" xfId="1" applyFont="1" applyFill="1" applyBorder="1" applyAlignment="1">
      <alignment vertical="center"/>
    </xf>
    <xf numFmtId="0" fontId="460" fillId="65" borderId="0" xfId="1" applyFont="1" applyFill="1" applyAlignment="1">
      <alignment vertical="center"/>
    </xf>
    <xf numFmtId="0" fontId="460" fillId="65" borderId="9" xfId="1" applyFont="1" applyFill="1" applyBorder="1" applyAlignment="1">
      <alignment vertical="center"/>
    </xf>
    <xf numFmtId="0" fontId="417" fillId="8" borderId="6" xfId="5" applyFont="1" applyFill="1" applyBorder="1" applyAlignment="1">
      <alignment horizontal="right" vertical="center"/>
    </xf>
    <xf numFmtId="172" fontId="166" fillId="65" borderId="0" xfId="29" applyNumberFormat="1" applyFont="1" applyFill="1" applyAlignment="1">
      <alignment horizontal="center" vertical="center"/>
    </xf>
    <xf numFmtId="172" fontId="416" fillId="65" borderId="9" xfId="29" applyNumberFormat="1" applyFont="1" applyFill="1" applyBorder="1" applyAlignment="1">
      <alignment vertical="center"/>
    </xf>
    <xf numFmtId="0" fontId="458" fillId="65" borderId="6" xfId="1" applyFont="1" applyFill="1" applyBorder="1" applyAlignment="1">
      <alignment horizontal="center" vertical="center"/>
    </xf>
    <xf numFmtId="172" fontId="166" fillId="65" borderId="0" xfId="29" applyNumberFormat="1" applyFont="1" applyFill="1" applyAlignment="1">
      <alignment horizontal="left" vertical="center"/>
    </xf>
    <xf numFmtId="169" fontId="205" fillId="4" borderId="292" xfId="29" applyNumberFormat="1" applyFont="1" applyFill="1" applyBorder="1" applyAlignment="1">
      <alignment vertical="center"/>
    </xf>
    <xf numFmtId="169" fontId="205" fillId="4" borderId="6" xfId="29" applyNumberFormat="1" applyFont="1" applyFill="1" applyBorder="1" applyAlignment="1">
      <alignment horizontal="left" vertical="center"/>
    </xf>
    <xf numFmtId="0" fontId="1" fillId="65" borderId="6" xfId="7" applyFill="1" applyBorder="1"/>
    <xf numFmtId="0" fontId="1" fillId="65" borderId="0" xfId="7" applyFill="1"/>
    <xf numFmtId="0" fontId="1" fillId="65" borderId="9" xfId="7" applyFill="1" applyBorder="1"/>
    <xf numFmtId="0" fontId="452" fillId="65" borderId="6" xfId="7" applyFont="1" applyFill="1" applyBorder="1" applyAlignment="1">
      <alignment vertical="center" wrapText="1"/>
    </xf>
    <xf numFmtId="0" fontId="452" fillId="65" borderId="0" xfId="7" applyFont="1" applyFill="1" applyAlignment="1">
      <alignment vertical="center" wrapText="1"/>
    </xf>
    <xf numFmtId="0" fontId="452" fillId="0" borderId="0" xfId="7" applyFont="1" applyAlignment="1">
      <alignment horizontal="right"/>
    </xf>
    <xf numFmtId="0" fontId="453" fillId="65" borderId="0" xfId="7" applyFont="1" applyFill="1" applyAlignment="1">
      <alignment horizontal="right"/>
    </xf>
    <xf numFmtId="0" fontId="292" fillId="65" borderId="293" xfId="5" applyFont="1" applyFill="1" applyBorder="1" applyAlignment="1">
      <alignment horizontal="center" vertical="center"/>
    </xf>
    <xf numFmtId="0" fontId="292" fillId="65" borderId="293" xfId="7" applyFont="1" applyFill="1" applyBorder="1" applyAlignment="1" applyProtection="1">
      <alignment horizontal="center" vertical="center"/>
      <protection locked="0"/>
    </xf>
    <xf numFmtId="169" fontId="463" fillId="66" borderId="20" xfId="29" applyNumberFormat="1" applyFont="1" applyFill="1" applyBorder="1" applyAlignment="1">
      <alignment horizontal="center" vertical="center"/>
    </xf>
    <xf numFmtId="1" fontId="464" fillId="65" borderId="18" xfId="29" applyNumberFormat="1" applyFont="1" applyFill="1" applyBorder="1" applyAlignment="1">
      <alignment horizontal="center" vertical="center"/>
    </xf>
    <xf numFmtId="0" fontId="407" fillId="8" borderId="0" xfId="7" applyFont="1" applyFill="1" applyAlignment="1">
      <alignment horizontal="left" vertical="center"/>
    </xf>
    <xf numFmtId="0" fontId="465" fillId="65" borderId="6" xfId="1" applyFont="1" applyFill="1" applyBorder="1" applyAlignment="1">
      <alignment horizontal="center" vertical="center"/>
    </xf>
    <xf numFmtId="0" fontId="466" fillId="65" borderId="0" xfId="1" applyFont="1" applyFill="1" applyAlignment="1" applyProtection="1">
      <alignment horizontal="left" vertical="center"/>
      <protection hidden="1"/>
    </xf>
    <xf numFmtId="1" fontId="464" fillId="65" borderId="0" xfId="29" applyNumberFormat="1" applyFont="1" applyFill="1" applyAlignment="1">
      <alignment horizontal="center" vertical="center"/>
    </xf>
    <xf numFmtId="0" fontId="452" fillId="65" borderId="6" xfId="7" applyFont="1" applyFill="1" applyBorder="1" applyAlignment="1">
      <alignment vertical="center"/>
    </xf>
    <xf numFmtId="0" fontId="452" fillId="65" borderId="0" xfId="7" applyFont="1" applyFill="1" applyAlignment="1">
      <alignment vertical="center"/>
    </xf>
    <xf numFmtId="0" fontId="452" fillId="65" borderId="0" xfId="7" applyFont="1" applyFill="1" applyAlignment="1">
      <alignment horizontal="right" vertical="center"/>
    </xf>
    <xf numFmtId="2" fontId="416" fillId="65" borderId="293" xfId="29" applyNumberFormat="1" applyFont="1" applyFill="1" applyBorder="1" applyAlignment="1">
      <alignment horizontal="center" vertical="center"/>
    </xf>
    <xf numFmtId="0" fontId="1" fillId="65" borderId="18" xfId="7" applyFill="1" applyBorder="1" applyAlignment="1">
      <alignment horizontal="center" vertical="center"/>
    </xf>
    <xf numFmtId="0" fontId="1" fillId="65" borderId="0" xfId="7" applyFill="1" applyAlignment="1">
      <alignment horizontal="left"/>
    </xf>
    <xf numFmtId="0" fontId="1" fillId="0" borderId="6" xfId="7" applyBorder="1"/>
    <xf numFmtId="0" fontId="458" fillId="65" borderId="127" xfId="1" applyFont="1" applyFill="1" applyBorder="1" applyAlignment="1">
      <alignment horizontal="center" vertical="center"/>
    </xf>
    <xf numFmtId="0" fontId="1" fillId="65" borderId="56" xfId="7" applyFill="1" applyBorder="1"/>
    <xf numFmtId="0" fontId="1" fillId="65" borderId="57" xfId="7" applyFill="1" applyBorder="1"/>
    <xf numFmtId="0" fontId="467" fillId="65" borderId="6" xfId="1" applyFont="1" applyFill="1" applyBorder="1" applyAlignment="1">
      <alignment horizontal="center" vertical="center"/>
    </xf>
    <xf numFmtId="0" fontId="468" fillId="65" borderId="154" xfId="1" applyFont="1" applyFill="1" applyBorder="1" applyAlignment="1">
      <alignment vertical="center"/>
    </xf>
    <xf numFmtId="1" fontId="407" fillId="125" borderId="7" xfId="7" applyNumberFormat="1" applyFont="1" applyFill="1" applyBorder="1" applyAlignment="1">
      <alignment horizontal="centerContinuous" vertical="center" wrapText="1"/>
    </xf>
    <xf numFmtId="0" fontId="6" fillId="126" borderId="2" xfId="7" applyFont="1" applyFill="1" applyBorder="1" applyAlignment="1">
      <alignment horizontal="centerContinuous" vertical="center" wrapText="1"/>
    </xf>
    <xf numFmtId="0" fontId="6" fillId="125" borderId="2" xfId="7" applyFont="1" applyFill="1" applyBorder="1" applyAlignment="1">
      <alignment horizontal="centerContinuous" vertical="center" wrapText="1"/>
    </xf>
    <xf numFmtId="0" fontId="6" fillId="125" borderId="8" xfId="7" applyFont="1" applyFill="1" applyBorder="1" applyAlignment="1">
      <alignment horizontal="centerContinuous" vertical="center" wrapText="1"/>
    </xf>
    <xf numFmtId="0" fontId="407" fillId="125" borderId="7" xfId="7" applyFont="1" applyFill="1" applyBorder="1" applyAlignment="1">
      <alignment horizontal="centerContinuous" vertical="center"/>
    </xf>
    <xf numFmtId="0" fontId="407" fillId="125" borderId="2" xfId="7" applyFont="1" applyFill="1" applyBorder="1" applyAlignment="1">
      <alignment horizontal="centerContinuous" vertical="center"/>
    </xf>
    <xf numFmtId="0" fontId="1" fillId="125" borderId="2" xfId="7" applyFill="1" applyBorder="1" applyAlignment="1">
      <alignment horizontal="centerContinuous" vertical="center"/>
    </xf>
    <xf numFmtId="0" fontId="1" fillId="125" borderId="8" xfId="7" applyFill="1" applyBorder="1" applyAlignment="1">
      <alignment horizontal="centerContinuous" vertical="center"/>
    </xf>
    <xf numFmtId="171" fontId="6" fillId="0" borderId="6" xfId="7" applyNumberFormat="1" applyFont="1" applyBorder="1" applyAlignment="1" applyProtection="1">
      <alignment horizontal="center" vertical="center" wrapText="1"/>
      <protection locked="0"/>
    </xf>
    <xf numFmtId="171" fontId="6" fillId="0" borderId="0" xfId="7" applyNumberFormat="1" applyFont="1" applyAlignment="1" applyProtection="1">
      <alignment horizontal="center" vertical="center" wrapText="1"/>
      <protection locked="0"/>
    </xf>
    <xf numFmtId="171" fontId="6" fillId="0" borderId="9" xfId="7" applyNumberFormat="1" applyFont="1" applyBorder="1" applyAlignment="1" applyProtection="1">
      <alignment horizontal="center" vertical="center" wrapText="1"/>
      <protection locked="0"/>
    </xf>
    <xf numFmtId="201" fontId="6" fillId="0" borderId="152" xfId="5" applyNumberFormat="1" applyFont="1" applyBorder="1" applyAlignment="1">
      <alignment horizontal="center" vertical="center"/>
    </xf>
    <xf numFmtId="201" fontId="6" fillId="0" borderId="18" xfId="5" applyNumberFormat="1" applyFont="1" applyBorder="1" applyAlignment="1">
      <alignment horizontal="center" vertical="center"/>
    </xf>
    <xf numFmtId="201" fontId="6" fillId="0" borderId="300" xfId="5" applyNumberFormat="1" applyFont="1" applyBorder="1" applyAlignment="1">
      <alignment horizontal="center" vertical="center"/>
    </xf>
    <xf numFmtId="0" fontId="36" fillId="8" borderId="6" xfId="7" applyFont="1" applyFill="1" applyBorder="1" applyAlignment="1" applyProtection="1">
      <alignment horizontal="left" vertical="center"/>
      <protection locked="0"/>
    </xf>
    <xf numFmtId="0" fontId="36" fillId="8" borderId="0" xfId="7" applyFont="1" applyFill="1" applyAlignment="1" applyProtection="1">
      <alignment horizontal="left" vertical="center"/>
      <protection locked="0"/>
    </xf>
    <xf numFmtId="0" fontId="478" fillId="8" borderId="228" xfId="1" applyFont="1" applyFill="1" applyBorder="1" applyAlignment="1" applyProtection="1">
      <alignment horizontal="right" vertical="center"/>
      <protection hidden="1"/>
    </xf>
    <xf numFmtId="0" fontId="71" fillId="8" borderId="0" xfId="7" applyFont="1" applyFill="1" applyAlignment="1" applyProtection="1">
      <alignment horizontal="left" vertical="center"/>
      <protection locked="0"/>
    </xf>
    <xf numFmtId="0" fontId="36" fillId="8" borderId="9" xfId="7" applyFont="1" applyFill="1" applyBorder="1" applyAlignment="1" applyProtection="1">
      <alignment horizontal="left" vertical="center"/>
      <protection locked="0"/>
    </xf>
    <xf numFmtId="0" fontId="393" fillId="8" borderId="266" xfId="7" applyFont="1" applyFill="1" applyBorder="1" applyAlignment="1">
      <alignment horizontal="centerContinuous" vertical="center"/>
    </xf>
    <xf numFmtId="0" fontId="393" fillId="8" borderId="0" xfId="7" applyFont="1" applyFill="1" applyAlignment="1">
      <alignment horizontal="centerContinuous" vertical="center"/>
    </xf>
    <xf numFmtId="0" fontId="479" fillId="8" borderId="0" xfId="1" applyFont="1" applyFill="1" applyAlignment="1">
      <alignment horizontal="center" vertical="center"/>
    </xf>
    <xf numFmtId="0" fontId="480" fillId="8" borderId="266" xfId="1" applyFont="1" applyFill="1" applyBorder="1" applyAlignment="1">
      <alignment horizontal="center" vertical="center"/>
    </xf>
    <xf numFmtId="168" fontId="481" fillId="144" borderId="0" xfId="7" applyNumberFormat="1" applyFont="1" applyFill="1" applyAlignment="1">
      <alignment horizontal="center" vertical="center"/>
    </xf>
    <xf numFmtId="0" fontId="1" fillId="8" borderId="0" xfId="7" applyFill="1" applyAlignment="1">
      <alignment vertical="center"/>
    </xf>
    <xf numFmtId="0" fontId="58" fillId="8" borderId="0" xfId="7" applyFont="1" applyFill="1" applyAlignment="1">
      <alignment horizontal="center" vertical="center" wrapText="1"/>
    </xf>
    <xf numFmtId="0" fontId="58" fillId="8" borderId="267" xfId="7" applyFont="1" applyFill="1" applyBorder="1" applyAlignment="1">
      <alignment horizontal="center" vertical="center" wrapText="1"/>
    </xf>
    <xf numFmtId="0" fontId="58" fillId="22" borderId="266" xfId="7" applyFont="1" applyFill="1" applyBorder="1" applyAlignment="1">
      <alignment horizontal="center" vertical="center"/>
    </xf>
    <xf numFmtId="0" fontId="72" fillId="8" borderId="0" xfId="7" applyFont="1" applyFill="1" applyAlignment="1">
      <alignment horizontal="left" vertical="center"/>
    </xf>
    <xf numFmtId="168" fontId="13" fillId="8" borderId="0" xfId="7" applyNumberFormat="1" applyFont="1" applyFill="1" applyAlignment="1">
      <alignment horizontal="center" vertical="center"/>
    </xf>
    <xf numFmtId="0" fontId="1" fillId="8" borderId="0" xfId="7" applyFill="1" applyAlignment="1">
      <alignment horizontal="center" vertical="center"/>
    </xf>
    <xf numFmtId="0" fontId="479" fillId="8" borderId="266" xfId="1" applyFont="1" applyFill="1" applyBorder="1" applyAlignment="1">
      <alignment horizontal="center" vertical="center"/>
    </xf>
    <xf numFmtId="0" fontId="482" fillId="8" borderId="0" xfId="1" applyFont="1" applyFill="1" applyAlignment="1" applyProtection="1">
      <alignment horizontal="left"/>
      <protection hidden="1"/>
    </xf>
    <xf numFmtId="0" fontId="1" fillId="8" borderId="0" xfId="7" applyFill="1" applyAlignment="1">
      <alignment horizontal="left" vertical="center"/>
    </xf>
    <xf numFmtId="0" fontId="483" fillId="8" borderId="0" xfId="1" applyFont="1" applyFill="1" applyAlignment="1" applyProtection="1">
      <alignment horizontal="left"/>
      <protection hidden="1"/>
    </xf>
    <xf numFmtId="0" fontId="479" fillId="8" borderId="307" xfId="1" applyFont="1" applyFill="1" applyBorder="1" applyAlignment="1">
      <alignment horizontal="center" vertical="center"/>
    </xf>
    <xf numFmtId="0" fontId="484" fillId="8" borderId="308" xfId="1" applyFont="1" applyFill="1" applyBorder="1" applyAlignment="1" applyProtection="1">
      <alignment horizontal="left"/>
      <protection hidden="1"/>
    </xf>
    <xf numFmtId="0" fontId="58" fillId="8" borderId="308" xfId="7" applyFont="1" applyFill="1" applyBorder="1" applyAlignment="1">
      <alignment horizontal="center" vertical="center" wrapText="1"/>
    </xf>
    <xf numFmtId="0" fontId="58" fillId="8" borderId="309" xfId="7" applyFont="1" applyFill="1" applyBorder="1" applyAlignment="1">
      <alignment horizontal="center" vertical="center" wrapText="1"/>
    </xf>
    <xf numFmtId="0" fontId="480" fillId="22" borderId="35" xfId="1" applyFont="1" applyFill="1" applyBorder="1" applyAlignment="1">
      <alignment horizontal="center" vertical="center"/>
    </xf>
    <xf numFmtId="0" fontId="485" fillId="8" borderId="56" xfId="1" applyFont="1" applyFill="1" applyBorder="1" applyAlignment="1" applyProtection="1">
      <alignment horizontal="left"/>
      <protection hidden="1"/>
    </xf>
    <xf numFmtId="0" fontId="58" fillId="8" borderId="56" xfId="7" applyFont="1" applyFill="1" applyBorder="1" applyAlignment="1">
      <alignment horizontal="center" vertical="center" wrapText="1"/>
    </xf>
    <xf numFmtId="0" fontId="58" fillId="8" borderId="37" xfId="7" applyFont="1" applyFill="1" applyBorder="1" applyAlignment="1">
      <alignment horizontal="center" vertical="center" wrapText="1"/>
    </xf>
    <xf numFmtId="0" fontId="486" fillId="0" borderId="0" xfId="7" applyFont="1" applyAlignment="1">
      <alignment vertical="top"/>
    </xf>
    <xf numFmtId="0" fontId="480" fillId="8" borderId="127" xfId="1" applyFont="1" applyFill="1" applyBorder="1" applyAlignment="1">
      <alignment horizontal="center" vertical="center"/>
    </xf>
    <xf numFmtId="0" fontId="393" fillId="8" borderId="56" xfId="7" applyFont="1" applyFill="1" applyBorder="1" applyAlignment="1">
      <alignment horizontal="center" vertical="center"/>
    </xf>
    <xf numFmtId="0" fontId="479" fillId="8" borderId="56" xfId="1" applyFont="1" applyFill="1" applyBorder="1" applyAlignment="1">
      <alignment horizontal="center" vertical="center"/>
    </xf>
    <xf numFmtId="0" fontId="480" fillId="8" borderId="56" xfId="1" applyFont="1" applyFill="1" applyBorder="1" applyAlignment="1">
      <alignment horizontal="center" vertical="center"/>
    </xf>
    <xf numFmtId="0" fontId="393" fillId="8" borderId="57" xfId="7" applyFont="1" applyFill="1" applyBorder="1" applyAlignment="1">
      <alignment horizontal="center" vertical="center"/>
    </xf>
    <xf numFmtId="168" fontId="487" fillId="144" borderId="227" xfId="7" applyNumberFormat="1" applyFont="1" applyFill="1" applyBorder="1" applyAlignment="1">
      <alignment horizontal="center" vertical="center"/>
    </xf>
    <xf numFmtId="9" fontId="1" fillId="8" borderId="227" xfId="7" applyNumberFormat="1" applyFill="1" applyBorder="1" applyAlignment="1">
      <alignment horizontal="center" vertical="center"/>
    </xf>
    <xf numFmtId="0" fontId="1" fillId="8" borderId="227" xfId="7" applyFill="1" applyBorder="1"/>
    <xf numFmtId="185" fontId="1" fillId="0" borderId="227" xfId="7" applyNumberFormat="1" applyBorder="1" applyAlignment="1">
      <alignment horizontal="center"/>
    </xf>
    <xf numFmtId="185" fontId="1" fillId="0" borderId="228" xfId="7" applyNumberFormat="1" applyBorder="1" applyAlignment="1">
      <alignment horizontal="center"/>
    </xf>
    <xf numFmtId="0" fontId="58" fillId="22" borderId="6" xfId="7" applyFont="1" applyFill="1" applyBorder="1" applyAlignment="1">
      <alignment horizontal="center" vertical="center"/>
    </xf>
    <xf numFmtId="0" fontId="72" fillId="8" borderId="0" xfId="7" applyFont="1" applyFill="1" applyAlignment="1">
      <alignment horizontal="center" vertical="center"/>
    </xf>
    <xf numFmtId="0" fontId="72" fillId="8" borderId="9" xfId="7" applyFont="1" applyFill="1" applyBorder="1" applyAlignment="1">
      <alignment horizontal="left" vertical="center"/>
    </xf>
    <xf numFmtId="0" fontId="156" fillId="8" borderId="6" xfId="7" applyFont="1" applyFill="1" applyBorder="1" applyAlignment="1">
      <alignment horizontal="center" vertical="center"/>
    </xf>
    <xf numFmtId="0" fontId="156" fillId="8" borderId="0" xfId="7" applyFont="1" applyFill="1" applyAlignment="1">
      <alignment horizontal="center" vertical="center"/>
    </xf>
    <xf numFmtId="0" fontId="156" fillId="8" borderId="9" xfId="7" applyFont="1" applyFill="1" applyBorder="1" applyAlignment="1">
      <alignment horizontal="center" vertical="center"/>
    </xf>
    <xf numFmtId="222" fontId="4" fillId="8" borderId="6" xfId="7" applyNumberFormat="1" applyFont="1" applyFill="1" applyBorder="1" applyAlignment="1">
      <alignment horizontal="center" vertical="center"/>
    </xf>
    <xf numFmtId="223" fontId="488" fillId="8" borderId="0" xfId="7" applyNumberFormat="1" applyFont="1" applyFill="1" applyAlignment="1">
      <alignment horizontal="center" vertical="center"/>
    </xf>
    <xf numFmtId="223" fontId="4" fillId="8" borderId="0" xfId="7" applyNumberFormat="1" applyFont="1" applyFill="1" applyAlignment="1">
      <alignment horizontal="center" vertical="center"/>
    </xf>
    <xf numFmtId="223" fontId="488" fillId="8" borderId="9" xfId="7" applyNumberFormat="1" applyFont="1" applyFill="1" applyBorder="1" applyAlignment="1">
      <alignment horizontal="center" vertical="center"/>
    </xf>
    <xf numFmtId="185" fontId="479" fillId="37" borderId="6" xfId="7" applyNumberFormat="1" applyFont="1" applyFill="1" applyBorder="1" applyAlignment="1">
      <alignment horizontal="center" vertical="center"/>
    </xf>
    <xf numFmtId="185" fontId="479" fillId="37" borderId="0" xfId="7" applyNumberFormat="1" applyFont="1" applyFill="1" applyAlignment="1">
      <alignment horizontal="center" vertical="center"/>
    </xf>
    <xf numFmtId="185" fontId="479" fillId="8" borderId="0" xfId="7" applyNumberFormat="1" applyFont="1" applyFill="1" applyAlignment="1">
      <alignment horizontal="center" vertical="center"/>
    </xf>
    <xf numFmtId="185" fontId="479" fillId="37" borderId="9" xfId="7" applyNumberFormat="1" applyFont="1" applyFill="1" applyBorder="1" applyAlignment="1">
      <alignment horizontal="center" vertical="center"/>
    </xf>
    <xf numFmtId="185" fontId="479" fillId="8" borderId="127" xfId="7" applyNumberFormat="1" applyFont="1" applyFill="1" applyBorder="1" applyAlignment="1">
      <alignment horizontal="center" vertical="center"/>
    </xf>
    <xf numFmtId="0" fontId="1" fillId="8" borderId="56" xfId="7" applyFill="1" applyBorder="1"/>
    <xf numFmtId="185" fontId="479" fillId="8" borderId="56" xfId="7" applyNumberFormat="1" applyFont="1" applyFill="1" applyBorder="1" applyAlignment="1">
      <alignment horizontal="center" vertical="center"/>
    </xf>
    <xf numFmtId="0" fontId="479" fillId="8" borderId="57" xfId="1" applyFont="1" applyFill="1" applyBorder="1" applyAlignment="1">
      <alignment horizontal="center" vertical="center"/>
    </xf>
    <xf numFmtId="0" fontId="479" fillId="8" borderId="6" xfId="1" applyFont="1" applyFill="1" applyBorder="1" applyAlignment="1">
      <alignment horizontal="center" vertical="center"/>
    </xf>
    <xf numFmtId="0" fontId="484" fillId="8" borderId="0" xfId="1" applyFont="1" applyFill="1" applyAlignment="1" applyProtection="1">
      <alignment horizontal="left"/>
      <protection hidden="1"/>
    </xf>
    <xf numFmtId="0" fontId="30" fillId="8" borderId="0" xfId="1" applyFont="1" applyFill="1" applyAlignment="1">
      <alignment vertical="center"/>
    </xf>
    <xf numFmtId="0" fontId="30" fillId="8" borderId="9" xfId="1" applyFont="1" applyFill="1" applyBorder="1" applyAlignment="1">
      <alignment vertical="center"/>
    </xf>
    <xf numFmtId="0" fontId="480" fillId="22" borderId="6" xfId="1" applyFont="1" applyFill="1" applyBorder="1" applyAlignment="1">
      <alignment horizontal="center" vertical="center"/>
    </xf>
    <xf numFmtId="0" fontId="485" fillId="8" borderId="0" xfId="1" applyFont="1" applyFill="1" applyAlignment="1" applyProtection="1">
      <alignment horizontal="left"/>
      <protection hidden="1"/>
    </xf>
    <xf numFmtId="0" fontId="478" fillId="8" borderId="9" xfId="1" applyFont="1" applyFill="1" applyBorder="1" applyAlignment="1" applyProtection="1">
      <alignment horizontal="right" vertical="center"/>
      <protection hidden="1"/>
    </xf>
    <xf numFmtId="185" fontId="479" fillId="8" borderId="6" xfId="7" applyNumberFormat="1" applyFont="1" applyFill="1" applyBorder="1" applyAlignment="1">
      <alignment horizontal="center" vertical="center"/>
    </xf>
    <xf numFmtId="0" fontId="1" fillId="0" borderId="0" xfId="7" applyAlignment="1">
      <alignment horizontal="right"/>
    </xf>
    <xf numFmtId="0" fontId="193" fillId="8" borderId="254" xfId="36" applyFill="1" applyBorder="1" applyAlignment="1">
      <alignment vertical="center"/>
    </xf>
    <xf numFmtId="0" fontId="193" fillId="8" borderId="264" xfId="36" applyFill="1" applyBorder="1" applyAlignment="1">
      <alignment vertical="center"/>
    </xf>
    <xf numFmtId="171" fontId="489" fillId="143" borderId="0" xfId="7" applyNumberFormat="1" applyFont="1" applyFill="1" applyAlignment="1" applyProtection="1">
      <alignment horizontal="center" vertical="center"/>
      <protection locked="0"/>
    </xf>
    <xf numFmtId="171" fontId="490" fillId="8" borderId="0" xfId="7" applyNumberFormat="1" applyFont="1" applyFill="1" applyAlignment="1">
      <alignment vertical="center"/>
    </xf>
    <xf numFmtId="171" fontId="394" fillId="0" borderId="0" xfId="7" applyNumberFormat="1" applyFont="1" applyAlignment="1" applyProtection="1">
      <alignment horizontal="center" vertical="center" wrapText="1"/>
      <protection locked="0"/>
    </xf>
    <xf numFmtId="175" fontId="491" fillId="66" borderId="0" xfId="7" applyNumberFormat="1" applyFont="1" applyFill="1" applyAlignment="1" applyProtection="1">
      <alignment horizontal="center" vertical="center"/>
      <protection locked="0"/>
    </xf>
    <xf numFmtId="175" fontId="492" fillId="66" borderId="0" xfId="7" applyNumberFormat="1" applyFont="1" applyFill="1" applyAlignment="1" applyProtection="1">
      <alignment horizontal="center" vertical="center"/>
      <protection locked="0"/>
    </xf>
    <xf numFmtId="175" fontId="493" fillId="8" borderId="0" xfId="7" applyNumberFormat="1" applyFont="1" applyFill="1" applyAlignment="1" applyProtection="1">
      <alignment horizontal="center" vertical="center"/>
      <protection locked="0"/>
    </xf>
    <xf numFmtId="0" fontId="86" fillId="8" borderId="0" xfId="7" applyFont="1" applyFill="1" applyAlignment="1">
      <alignment vertical="center"/>
    </xf>
    <xf numFmtId="0" fontId="6" fillId="8" borderId="9" xfId="1" applyFill="1" applyBorder="1" applyProtection="1">
      <protection hidden="1"/>
    </xf>
    <xf numFmtId="0" fontId="1" fillId="8" borderId="127" xfId="7" applyFill="1" applyBorder="1" applyAlignment="1">
      <alignment vertical="center"/>
    </xf>
    <xf numFmtId="9" fontId="1" fillId="8" borderId="56" xfId="7" applyNumberFormat="1" applyFill="1" applyBorder="1" applyAlignment="1">
      <alignment vertical="center"/>
    </xf>
    <xf numFmtId="0" fontId="476" fillId="145" borderId="56" xfId="1" applyFont="1" applyFill="1" applyBorder="1" applyAlignment="1" applyProtection="1">
      <alignment horizontal="center" vertical="center" wrapText="1"/>
      <protection hidden="1"/>
    </xf>
    <xf numFmtId="0" fontId="6" fillId="8" borderId="56" xfId="1" applyFill="1" applyBorder="1" applyProtection="1">
      <protection hidden="1"/>
    </xf>
    <xf numFmtId="0" fontId="1" fillId="8" borderId="56" xfId="7" applyFill="1" applyBorder="1" applyAlignment="1">
      <alignment vertical="center"/>
    </xf>
    <xf numFmtId="0" fontId="6" fillId="8" borderId="57" xfId="1" applyFill="1" applyBorder="1" applyProtection="1">
      <protection hidden="1"/>
    </xf>
    <xf numFmtId="0" fontId="391" fillId="8" borderId="0" xfId="41" applyFont="1" applyFill="1" applyAlignment="1">
      <alignment horizontal="right" vertical="center"/>
    </xf>
    <xf numFmtId="224" fontId="391" fillId="8" borderId="0" xfId="41" applyNumberFormat="1" applyFont="1" applyFill="1" applyAlignment="1">
      <alignment horizontal="centerContinuous" vertical="center"/>
    </xf>
    <xf numFmtId="224" fontId="497" fillId="8" borderId="0" xfId="41" applyNumberFormat="1" applyFont="1" applyFill="1" applyAlignment="1">
      <alignment horizontal="centerContinuous" vertical="center"/>
    </xf>
    <xf numFmtId="0" fontId="17" fillId="8" borderId="0" xfId="39" applyFill="1" applyAlignment="1">
      <alignment horizontal="centerContinuous" vertical="center"/>
    </xf>
    <xf numFmtId="225" fontId="391" fillId="8" borderId="0" xfId="41" applyNumberFormat="1" applyFont="1" applyFill="1" applyAlignment="1">
      <alignment horizontal="center" vertical="center"/>
    </xf>
    <xf numFmtId="0" fontId="496" fillId="8" borderId="9" xfId="39" applyFont="1" applyFill="1" applyBorder="1" applyAlignment="1">
      <alignment horizontal="center" vertical="center"/>
    </xf>
    <xf numFmtId="0" fontId="498" fillId="65" borderId="6" xfId="1" applyFont="1" applyFill="1" applyBorder="1" applyAlignment="1">
      <alignment horizontal="center" vertical="center"/>
    </xf>
    <xf numFmtId="201" fontId="440" fillId="8" borderId="0" xfId="5" applyNumberFormat="1" applyFont="1" applyFill="1" applyAlignment="1">
      <alignment vertical="center"/>
    </xf>
    <xf numFmtId="201" fontId="407" fillId="8" borderId="0" xfId="5" applyNumberFormat="1" applyFont="1" applyFill="1" applyAlignment="1">
      <alignment vertical="center"/>
    </xf>
    <xf numFmtId="201" fontId="407" fillId="8" borderId="9" xfId="5" applyNumberFormat="1" applyFont="1" applyFill="1" applyBorder="1" applyAlignment="1">
      <alignment vertical="center"/>
    </xf>
    <xf numFmtId="2" fontId="391" fillId="8" borderId="0" xfId="5" applyNumberFormat="1" applyFont="1" applyFill="1" applyAlignment="1">
      <alignment horizontal="center" vertical="center"/>
    </xf>
    <xf numFmtId="171" fontId="391" fillId="8" borderId="0" xfId="5" applyNumberFormat="1" applyFont="1" applyFill="1" applyAlignment="1">
      <alignment horizontal="center" vertical="center"/>
    </xf>
    <xf numFmtId="180" fontId="391" fillId="8" borderId="0" xfId="39" applyNumberFormat="1" applyFont="1" applyFill="1" applyAlignment="1" applyProtection="1">
      <alignment horizontal="center" vertical="center"/>
      <protection locked="0"/>
    </xf>
    <xf numFmtId="0" fontId="71" fillId="0" borderId="9" xfId="27" applyBorder="1"/>
    <xf numFmtId="0" fontId="489" fillId="66" borderId="311" xfId="5" applyFont="1" applyFill="1" applyBorder="1" applyAlignment="1">
      <alignment horizontal="center" vertical="center"/>
    </xf>
    <xf numFmtId="201" fontId="391" fillId="8" borderId="0" xfId="5" applyNumberFormat="1" applyFont="1" applyFill="1" applyAlignment="1">
      <alignment horizontal="right" vertical="center" wrapText="1"/>
    </xf>
    <xf numFmtId="0" fontId="407" fillId="8" borderId="9" xfId="39" applyFont="1" applyFill="1" applyBorder="1" applyAlignment="1">
      <alignment horizontal="center" vertical="center"/>
    </xf>
    <xf numFmtId="0" fontId="446" fillId="8" borderId="6" xfId="7" applyFont="1" applyFill="1" applyBorder="1" applyAlignment="1">
      <alignment horizontal="center" vertical="center"/>
    </xf>
    <xf numFmtId="0" fontId="489" fillId="8" borderId="0" xfId="5" applyFont="1" applyFill="1" applyAlignment="1">
      <alignment horizontal="center" vertical="center"/>
    </xf>
    <xf numFmtId="201" fontId="391" fillId="8" borderId="9" xfId="5" applyNumberFormat="1" applyFont="1" applyFill="1" applyBorder="1" applyAlignment="1">
      <alignment horizontal="right" vertical="center" wrapText="1"/>
    </xf>
    <xf numFmtId="201" fontId="499" fillId="8" borderId="0" xfId="5" applyNumberFormat="1" applyFont="1" applyFill="1" applyAlignment="1">
      <alignment vertical="center"/>
    </xf>
    <xf numFmtId="1" fontId="500" fillId="66" borderId="0" xfId="5" applyNumberFormat="1" applyFont="1" applyFill="1" applyAlignment="1">
      <alignment horizontal="center" vertical="center"/>
    </xf>
    <xf numFmtId="0" fontId="393" fillId="8" borderId="9" xfId="7" applyFont="1" applyFill="1" applyBorder="1" applyAlignment="1">
      <alignment horizontal="center" vertical="center"/>
    </xf>
    <xf numFmtId="167" fontId="500" fillId="66" borderId="0" xfId="5" applyNumberFormat="1" applyFont="1" applyFill="1" applyAlignment="1">
      <alignment horizontal="center" vertical="center"/>
    </xf>
    <xf numFmtId="0" fontId="391" fillId="8" borderId="0" xfId="7" applyFont="1" applyFill="1" applyAlignment="1">
      <alignment horizontal="right" vertical="center"/>
    </xf>
    <xf numFmtId="167" fontId="393" fillId="8" borderId="0" xfId="5" applyNumberFormat="1" applyFont="1" applyFill="1" applyAlignment="1">
      <alignment horizontal="center" vertical="center"/>
    </xf>
    <xf numFmtId="0" fontId="391" fillId="8" borderId="0" xfId="7" applyFont="1" applyFill="1" applyAlignment="1">
      <alignment horizontal="left" vertical="center"/>
    </xf>
    <xf numFmtId="0" fontId="407" fillId="8" borderId="9" xfId="7" applyFont="1" applyFill="1" applyBorder="1" applyAlignment="1">
      <alignment horizontal="right" vertical="center"/>
    </xf>
    <xf numFmtId="171" fontId="490" fillId="8" borderId="6" xfId="7" applyNumberFormat="1" applyFont="1" applyFill="1" applyBorder="1" applyAlignment="1">
      <alignment vertical="center"/>
    </xf>
    <xf numFmtId="167" fontId="500" fillId="8" borderId="0" xfId="5" applyNumberFormat="1" applyFont="1" applyFill="1" applyAlignment="1">
      <alignment horizontal="center" vertical="center"/>
    </xf>
    <xf numFmtId="0" fontId="391" fillId="8" borderId="9" xfId="7" applyFont="1" applyFill="1" applyBorder="1" applyAlignment="1">
      <alignment horizontal="center" vertical="center"/>
    </xf>
    <xf numFmtId="171" fontId="500" fillId="66" borderId="0" xfId="5" applyNumberFormat="1" applyFont="1" applyFill="1" applyAlignment="1">
      <alignment horizontal="center" vertical="center"/>
    </xf>
    <xf numFmtId="226" fontId="393" fillId="8" borderId="9" xfId="5" applyNumberFormat="1" applyFont="1" applyFill="1" applyBorder="1" applyAlignment="1">
      <alignment horizontal="center" vertical="center"/>
    </xf>
    <xf numFmtId="0" fontId="502" fillId="8" borderId="0" xfId="7" applyFont="1" applyFill="1" applyAlignment="1">
      <alignment horizontal="center" vertical="center"/>
    </xf>
    <xf numFmtId="0" fontId="503" fillId="8" borderId="0" xfId="7" applyFont="1" applyFill="1" applyAlignment="1">
      <alignment horizontal="center"/>
    </xf>
    <xf numFmtId="0" fontId="504" fillId="8" borderId="0" xfId="1" applyFont="1" applyFill="1" applyAlignment="1" applyProtection="1">
      <alignment horizontal="center"/>
      <protection hidden="1"/>
    </xf>
    <xf numFmtId="171" fontId="490" fillId="8" borderId="58" xfId="7" applyNumberFormat="1" applyFont="1" applyFill="1" applyBorder="1" applyAlignment="1">
      <alignment vertical="center"/>
    </xf>
    <xf numFmtId="171" fontId="490" fillId="8" borderId="3" xfId="7" applyNumberFormat="1" applyFont="1" applyFill="1" applyBorder="1" applyAlignment="1">
      <alignment vertical="center"/>
    </xf>
    <xf numFmtId="0" fontId="6" fillId="8" borderId="3" xfId="1" applyFill="1" applyBorder="1" applyProtection="1">
      <protection hidden="1"/>
    </xf>
    <xf numFmtId="0" fontId="391" fillId="8" borderId="3" xfId="7" applyFont="1" applyFill="1" applyBorder="1" applyAlignment="1">
      <alignment horizontal="center" vertical="center"/>
    </xf>
    <xf numFmtId="171" fontId="86" fillId="8" borderId="3" xfId="7" applyNumberFormat="1" applyFont="1" applyFill="1" applyBorder="1" applyAlignment="1" applyProtection="1">
      <alignment horizontal="center" vertical="center" wrapText="1"/>
      <protection locked="0"/>
    </xf>
    <xf numFmtId="0" fontId="1" fillId="38" borderId="0" xfId="7" applyFill="1"/>
    <xf numFmtId="0" fontId="6" fillId="38" borderId="0" xfId="1" applyFill="1" applyProtection="1">
      <protection hidden="1"/>
    </xf>
    <xf numFmtId="0" fontId="401" fillId="38" borderId="0" xfId="1" applyFont="1" applyFill="1" applyAlignment="1" applyProtection="1">
      <alignment vertical="center"/>
      <protection hidden="1"/>
    </xf>
    <xf numFmtId="171" fontId="410" fillId="8" borderId="0" xfId="5" applyNumberFormat="1" applyFont="1" applyFill="1" applyAlignment="1">
      <alignment vertical="center"/>
    </xf>
    <xf numFmtId="0" fontId="407" fillId="8" borderId="116" xfId="7" applyFont="1" applyFill="1" applyBorder="1" applyAlignment="1">
      <alignment vertical="center"/>
    </xf>
    <xf numFmtId="0" fontId="71" fillId="8" borderId="45" xfId="27" applyFill="1" applyBorder="1"/>
    <xf numFmtId="0" fontId="193" fillId="8" borderId="45" xfId="36" applyFill="1" applyBorder="1" applyAlignment="1">
      <alignment vertical="center"/>
    </xf>
    <xf numFmtId="0" fontId="193" fillId="8" borderId="47" xfId="36" applyFill="1" applyBorder="1" applyAlignment="1">
      <alignment vertical="center"/>
    </xf>
    <xf numFmtId="0" fontId="407" fillId="8" borderId="65" xfId="7" applyFont="1" applyFill="1" applyBorder="1" applyAlignment="1">
      <alignment vertical="center"/>
    </xf>
    <xf numFmtId="0" fontId="71" fillId="8" borderId="14" xfId="27" applyFill="1" applyBorder="1"/>
    <xf numFmtId="0" fontId="407" fillId="8" borderId="6" xfId="7" applyFont="1" applyFill="1" applyBorder="1" applyAlignment="1">
      <alignment horizontal="right" vertical="center"/>
    </xf>
    <xf numFmtId="0" fontId="292" fillId="8" borderId="0" xfId="7" applyFont="1" applyFill="1" applyAlignment="1">
      <alignment horizontal="center" vertical="center"/>
    </xf>
    <xf numFmtId="171" fontId="292" fillId="8" borderId="0" xfId="5" applyNumberFormat="1" applyFont="1" applyFill="1" applyAlignment="1">
      <alignment horizontal="left" vertical="center"/>
    </xf>
    <xf numFmtId="171" fontId="292" fillId="8" borderId="9" xfId="5" applyNumberFormat="1" applyFont="1" applyFill="1" applyBorder="1" applyAlignment="1">
      <alignment vertical="center"/>
    </xf>
    <xf numFmtId="171" fontId="407" fillId="8" borderId="9" xfId="5" applyNumberFormat="1" applyFont="1" applyFill="1" applyBorder="1" applyAlignment="1">
      <alignment horizontal="center" vertical="center"/>
    </xf>
    <xf numFmtId="1" fontId="407" fillId="8" borderId="0" xfId="7" applyNumberFormat="1" applyFont="1" applyFill="1" applyAlignment="1">
      <alignment horizontal="right" vertical="center"/>
    </xf>
    <xf numFmtId="1" fontId="407" fillId="8" borderId="0" xfId="7" applyNumberFormat="1" applyFont="1" applyFill="1" applyAlignment="1">
      <alignment horizontal="center" vertical="center"/>
    </xf>
    <xf numFmtId="0" fontId="86" fillId="8" borderId="0" xfId="7" applyFont="1" applyFill="1" applyAlignment="1">
      <alignment horizontal="centerContinuous" vertical="center"/>
    </xf>
    <xf numFmtId="0" fontId="401" fillId="8" borderId="0" xfId="7" applyFont="1" applyFill="1" applyAlignment="1">
      <alignment horizontal="center" vertical="center"/>
    </xf>
    <xf numFmtId="201" fontId="508" fillId="44" borderId="6" xfId="5" applyNumberFormat="1" applyFont="1" applyFill="1" applyBorder="1" applyAlignment="1">
      <alignment horizontal="center" vertical="center" wrapText="1"/>
    </xf>
    <xf numFmtId="201" fontId="508" fillId="44" borderId="0" xfId="5" applyNumberFormat="1" applyFont="1" applyFill="1" applyAlignment="1">
      <alignment horizontal="center" vertical="center" wrapText="1"/>
    </xf>
    <xf numFmtId="1" fontId="508" fillId="44" borderId="0" xfId="5" applyNumberFormat="1" applyFont="1" applyFill="1" applyAlignment="1">
      <alignment horizontal="centerContinuous" vertical="center"/>
    </xf>
    <xf numFmtId="0" fontId="508" fillId="44" borderId="0" xfId="7" applyFont="1" applyFill="1" applyAlignment="1">
      <alignment horizontal="center" vertical="center" wrapText="1"/>
    </xf>
    <xf numFmtId="0" fontId="508" fillId="44" borderId="0" xfId="7" applyFont="1" applyFill="1" applyAlignment="1">
      <alignment horizontal="centerContinuous" vertical="center"/>
    </xf>
    <xf numFmtId="0" fontId="508" fillId="44" borderId="0" xfId="7" applyFont="1" applyFill="1" applyAlignment="1">
      <alignment horizontal="center" vertical="center"/>
    </xf>
    <xf numFmtId="171" fontId="508" fillId="44" borderId="9" xfId="5" applyNumberFormat="1" applyFont="1" applyFill="1" applyBorder="1" applyAlignment="1">
      <alignment horizontal="center" vertical="center"/>
    </xf>
    <xf numFmtId="171" fontId="508" fillId="44" borderId="6" xfId="5" applyNumberFormat="1" applyFont="1" applyFill="1" applyBorder="1" applyAlignment="1">
      <alignment horizontal="center" vertical="center"/>
    </xf>
    <xf numFmtId="171" fontId="508" fillId="44" borderId="0" xfId="5" applyNumberFormat="1" applyFont="1" applyFill="1" applyAlignment="1">
      <alignment horizontal="center" vertical="center"/>
    </xf>
    <xf numFmtId="1" fontId="508" fillId="44" borderId="0" xfId="5" applyNumberFormat="1" applyFont="1" applyFill="1" applyAlignment="1">
      <alignment horizontal="center" vertical="center"/>
    </xf>
    <xf numFmtId="2" fontId="508" fillId="44" borderId="0" xfId="5" applyNumberFormat="1" applyFont="1" applyFill="1" applyAlignment="1">
      <alignment horizontal="center" vertical="center"/>
    </xf>
    <xf numFmtId="0" fontId="508" fillId="44" borderId="9" xfId="7" applyFont="1" applyFill="1" applyBorder="1" applyAlignment="1">
      <alignment horizontal="center" vertical="center"/>
    </xf>
    <xf numFmtId="171" fontId="508" fillId="44" borderId="127" xfId="5" applyNumberFormat="1" applyFont="1" applyFill="1" applyBorder="1" applyAlignment="1">
      <alignment horizontal="center" vertical="center"/>
    </xf>
    <xf numFmtId="171" fontId="508" fillId="44" borderId="56" xfId="5" applyNumberFormat="1" applyFont="1" applyFill="1" applyBorder="1" applyAlignment="1">
      <alignment horizontal="center" vertical="center"/>
    </xf>
    <xf numFmtId="1" fontId="508" fillId="44" borderId="56" xfId="5" applyNumberFormat="1" applyFont="1" applyFill="1" applyBorder="1" applyAlignment="1">
      <alignment horizontal="center" vertical="center"/>
    </xf>
    <xf numFmtId="0" fontId="508" fillId="44" borderId="56" xfId="7" applyFont="1" applyFill="1" applyBorder="1" applyAlignment="1">
      <alignment horizontal="center" vertical="center"/>
    </xf>
    <xf numFmtId="2" fontId="508" fillId="44" borderId="56" xfId="5" applyNumberFormat="1" applyFont="1" applyFill="1" applyBorder="1" applyAlignment="1">
      <alignment horizontal="center" vertical="center"/>
    </xf>
    <xf numFmtId="0" fontId="508" fillId="44" borderId="57" xfId="7" applyFont="1" applyFill="1" applyBorder="1" applyAlignment="1">
      <alignment horizontal="center" vertical="center"/>
    </xf>
    <xf numFmtId="0" fontId="57" fillId="8" borderId="58" xfId="7" applyFont="1" applyFill="1" applyBorder="1" applyAlignment="1">
      <alignment vertical="center" wrapText="1"/>
    </xf>
    <xf numFmtId="0" fontId="57" fillId="8" borderId="3" xfId="7" applyFont="1" applyFill="1" applyBorder="1" applyAlignment="1">
      <alignment vertical="center" wrapText="1"/>
    </xf>
    <xf numFmtId="0" fontId="57" fillId="8" borderId="59" xfId="7" applyFont="1" applyFill="1" applyBorder="1" applyAlignment="1">
      <alignment vertical="center" wrapText="1"/>
    </xf>
    <xf numFmtId="0" fontId="193" fillId="8" borderId="31" xfId="36" applyFill="1" applyBorder="1" applyAlignment="1">
      <alignment vertical="center"/>
    </xf>
    <xf numFmtId="0" fontId="6" fillId="8" borderId="266" xfId="1" applyFill="1" applyBorder="1" applyProtection="1">
      <protection hidden="1"/>
    </xf>
    <xf numFmtId="0" fontId="6" fillId="8" borderId="267" xfId="1" applyFill="1" applyBorder="1" applyProtection="1">
      <protection hidden="1"/>
    </xf>
    <xf numFmtId="0" fontId="417" fillId="8" borderId="266" xfId="5" applyFont="1" applyFill="1" applyBorder="1" applyAlignment="1" applyProtection="1">
      <alignment horizontal="center" vertical="center"/>
      <protection locked="0"/>
    </xf>
    <xf numFmtId="0" fontId="417" fillId="8" borderId="0" xfId="5" applyFont="1" applyFill="1" applyAlignment="1" applyProtection="1">
      <alignment horizontal="center" vertical="center"/>
      <protection locked="0"/>
    </xf>
    <xf numFmtId="0" fontId="417" fillId="8" borderId="267" xfId="5" applyFont="1" applyFill="1" applyBorder="1" applyAlignment="1" applyProtection="1">
      <alignment horizontal="center" vertical="center"/>
      <protection locked="0"/>
    </xf>
    <xf numFmtId="0" fontId="486" fillId="8" borderId="266" xfId="7" applyFont="1" applyFill="1" applyBorder="1" applyAlignment="1">
      <alignment horizontal="left" vertical="center"/>
    </xf>
    <xf numFmtId="0" fontId="486" fillId="8" borderId="0" xfId="7" applyFont="1" applyFill="1" applyAlignment="1">
      <alignment horizontal="left" vertical="center"/>
    </xf>
    <xf numFmtId="0" fontId="510" fillId="8" borderId="0" xfId="7" applyFont="1" applyFill="1" applyAlignment="1">
      <alignment horizontal="right" vertical="center"/>
    </xf>
    <xf numFmtId="0" fontId="410" fillId="66" borderId="312" xfId="5" applyFont="1" applyFill="1" applyBorder="1" applyAlignment="1">
      <alignment horizontal="center" vertical="center"/>
    </xf>
    <xf numFmtId="2" fontId="292" fillId="8" borderId="0" xfId="7" applyNumberFormat="1" applyFont="1" applyFill="1" applyAlignment="1">
      <alignment horizontal="left" vertical="center"/>
    </xf>
    <xf numFmtId="0" fontId="1" fillId="0" borderId="313" xfId="7" applyBorder="1"/>
    <xf numFmtId="0" fontId="486" fillId="8" borderId="267" xfId="7" applyFont="1" applyFill="1" applyBorder="1" applyAlignment="1">
      <alignment horizontal="left" vertical="center"/>
    </xf>
    <xf numFmtId="0" fontId="414" fillId="8" borderId="0" xfId="7" applyFont="1" applyFill="1" applyAlignment="1">
      <alignment horizontal="right" vertical="center"/>
    </xf>
    <xf numFmtId="179" fontId="414" fillId="66" borderId="312" xfId="5" applyNumberFormat="1" applyFont="1" applyFill="1" applyBorder="1" applyAlignment="1">
      <alignment horizontal="center" vertical="center"/>
    </xf>
    <xf numFmtId="179" fontId="439" fillId="66" borderId="312" xfId="5" applyNumberFormat="1" applyFont="1" applyFill="1" applyBorder="1" applyAlignment="1">
      <alignment horizontal="center" vertical="center"/>
    </xf>
    <xf numFmtId="0" fontId="500" fillId="8" borderId="0" xfId="7" applyFont="1" applyFill="1" applyAlignment="1">
      <alignment horizontal="center" vertical="center"/>
    </xf>
    <xf numFmtId="180" fontId="414" fillId="66" borderId="314" xfId="7" applyNumberFormat="1" applyFont="1" applyFill="1" applyBorder="1" applyAlignment="1" applyProtection="1">
      <alignment horizontal="center" vertical="center"/>
      <protection locked="0"/>
    </xf>
    <xf numFmtId="0" fontId="511" fillId="8" borderId="0" xfId="1" applyFont="1" applyFill="1" applyAlignment="1">
      <alignment horizontal="left" vertical="center"/>
    </xf>
    <xf numFmtId="0" fontId="407" fillId="8" borderId="0" xfId="5" applyFont="1" applyFill="1" applyAlignment="1">
      <alignment horizontal="right" vertical="center"/>
    </xf>
    <xf numFmtId="0" fontId="407" fillId="8" borderId="0" xfId="5" applyFont="1" applyFill="1" applyAlignment="1">
      <alignment horizontal="center" vertical="center"/>
    </xf>
    <xf numFmtId="0" fontId="407" fillId="8" borderId="315" xfId="5" applyFont="1" applyFill="1" applyBorder="1" applyAlignment="1">
      <alignment horizontal="center" vertical="center"/>
    </xf>
    <xf numFmtId="0" fontId="407" fillId="8" borderId="315" xfId="7" applyFont="1" applyFill="1" applyBorder="1" applyAlignment="1" applyProtection="1">
      <alignment horizontal="center" vertical="center"/>
      <protection locked="0"/>
    </xf>
    <xf numFmtId="0" fontId="292" fillId="8" borderId="0" xfId="7" applyFont="1" applyFill="1" applyAlignment="1">
      <alignment horizontal="right" vertical="center"/>
    </xf>
    <xf numFmtId="179" fontId="292" fillId="8" borderId="289" xfId="5" applyNumberFormat="1" applyFont="1" applyFill="1" applyBorder="1" applyAlignment="1">
      <alignment horizontal="center" vertical="center"/>
    </xf>
    <xf numFmtId="179" fontId="292" fillId="8" borderId="316" xfId="5" applyNumberFormat="1" applyFont="1" applyFill="1" applyBorder="1" applyAlignment="1">
      <alignment horizontal="center" vertical="center"/>
    </xf>
    <xf numFmtId="184" fontId="292" fillId="8" borderId="0" xfId="5" applyNumberFormat="1" applyFont="1" applyFill="1" applyAlignment="1">
      <alignment horizontal="centerContinuous" vertical="center"/>
    </xf>
    <xf numFmtId="0" fontId="292" fillId="8" borderId="0" xfId="7" applyFont="1" applyFill="1" applyAlignment="1">
      <alignment horizontal="left" vertical="center"/>
    </xf>
    <xf numFmtId="0" fontId="1" fillId="8" borderId="267" xfId="7" applyFill="1" applyBorder="1"/>
    <xf numFmtId="0" fontId="407" fillId="8" borderId="0" xfId="7" applyFont="1" applyFill="1" applyAlignment="1">
      <alignment horizontal="right" vertical="center"/>
    </xf>
    <xf numFmtId="179" fontId="407" fillId="8" borderId="289" xfId="5" applyNumberFormat="1" applyFont="1" applyFill="1" applyBorder="1" applyAlignment="1">
      <alignment horizontal="center" vertical="center"/>
    </xf>
    <xf numFmtId="179" fontId="407" fillId="8" borderId="316" xfId="5" applyNumberFormat="1" applyFont="1" applyFill="1" applyBorder="1" applyAlignment="1">
      <alignment horizontal="center" vertical="center"/>
    </xf>
    <xf numFmtId="184" fontId="404" fillId="8" borderId="0" xfId="5" applyNumberFormat="1" applyFont="1" applyFill="1" applyAlignment="1">
      <alignment horizontal="centerContinuous" vertical="center"/>
    </xf>
    <xf numFmtId="184" fontId="407" fillId="8" borderId="0" xfId="5" applyNumberFormat="1" applyFont="1" applyFill="1" applyAlignment="1">
      <alignment horizontal="centerContinuous" vertical="center"/>
    </xf>
    <xf numFmtId="184" fontId="512" fillId="8" borderId="0" xfId="5" applyNumberFormat="1" applyFont="1" applyFill="1" applyAlignment="1">
      <alignment horizontal="centerContinuous" vertical="center"/>
    </xf>
    <xf numFmtId="0" fontId="512" fillId="8" borderId="0" xfId="7" applyFont="1" applyFill="1" applyAlignment="1">
      <alignment horizontal="left" vertical="center"/>
    </xf>
    <xf numFmtId="0" fontId="513" fillId="8" borderId="0" xfId="7" applyFont="1" applyFill="1" applyAlignment="1">
      <alignment horizontal="left" vertical="center"/>
    </xf>
    <xf numFmtId="227" fontId="512" fillId="8" borderId="0" xfId="5" applyNumberFormat="1" applyFont="1" applyFill="1" applyAlignment="1">
      <alignment horizontal="centerContinuous" vertical="center"/>
    </xf>
    <xf numFmtId="0" fontId="511" fillId="8" borderId="0" xfId="1" applyFont="1" applyFill="1" applyAlignment="1">
      <alignment horizontal="center" vertical="center"/>
    </xf>
    <xf numFmtId="0" fontId="45" fillId="8" borderId="0" xfId="7" applyFont="1" applyFill="1" applyAlignment="1">
      <alignment horizontal="left" vertical="center"/>
    </xf>
    <xf numFmtId="0" fontId="68" fillId="8" borderId="0" xfId="7" applyFont="1" applyFill="1" applyAlignment="1">
      <alignment horizontal="left" vertical="center"/>
    </xf>
    <xf numFmtId="0" fontId="6" fillId="8" borderId="35" xfId="1" applyFill="1" applyBorder="1" applyProtection="1">
      <protection hidden="1"/>
    </xf>
    <xf numFmtId="0" fontId="6" fillId="8" borderId="37" xfId="1" applyFill="1" applyBorder="1" applyProtection="1">
      <protection hidden="1"/>
    </xf>
    <xf numFmtId="0" fontId="24" fillId="38" borderId="0" xfId="1" applyFont="1" applyFill="1" applyAlignment="1" applyProtection="1">
      <alignment horizontal="center" vertical="center"/>
      <protection locked="0"/>
    </xf>
    <xf numFmtId="0" fontId="13" fillId="8" borderId="0" xfId="7" applyFont="1" applyFill="1"/>
    <xf numFmtId="0" fontId="24" fillId="8" borderId="0" xfId="5" applyFont="1" applyFill="1" applyAlignment="1">
      <alignment vertical="center"/>
    </xf>
    <xf numFmtId="0" fontId="41" fillId="113" borderId="62" xfId="1" applyFont="1" applyFill="1" applyBorder="1" applyAlignment="1">
      <alignment horizontal="center" vertical="center"/>
    </xf>
    <xf numFmtId="0" fontId="48" fillId="8" borderId="0" xfId="1" applyFont="1" applyFill="1" applyAlignment="1" applyProtection="1">
      <alignment vertical="center"/>
      <protection hidden="1"/>
    </xf>
    <xf numFmtId="0" fontId="13" fillId="8" borderId="0" xfId="27" applyFont="1" applyFill="1" applyAlignment="1">
      <alignment vertical="center"/>
    </xf>
    <xf numFmtId="0" fontId="13" fillId="8" borderId="0" xfId="27" applyFont="1" applyFill="1" applyAlignment="1">
      <alignment horizontal="right" vertical="center"/>
    </xf>
    <xf numFmtId="0" fontId="138" fillId="8" borderId="6" xfId="7" applyFont="1" applyFill="1" applyBorder="1" applyAlignment="1" applyProtection="1">
      <alignment horizontal="left" vertical="center"/>
      <protection locked="0"/>
    </xf>
    <xf numFmtId="0" fontId="185" fillId="8" borderId="45" xfId="7" applyFont="1" applyFill="1" applyBorder="1" applyAlignment="1" applyProtection="1">
      <alignment horizontal="right" vertical="center"/>
      <protection locked="0"/>
    </xf>
    <xf numFmtId="181" fontId="370" fillId="66" borderId="267" xfId="7" applyNumberFormat="1" applyFont="1" applyFill="1" applyBorder="1" applyAlignment="1" applyProtection="1">
      <alignment horizontal="center" vertical="center"/>
      <protection locked="0"/>
    </xf>
    <xf numFmtId="0" fontId="185" fillId="8" borderId="0" xfId="7" applyFont="1" applyFill="1" applyAlignment="1" applyProtection="1">
      <alignment horizontal="right" vertical="center"/>
      <protection locked="0"/>
    </xf>
    <xf numFmtId="181" fontId="98" fillId="66" borderId="9" xfId="7" applyNumberFormat="1" applyFont="1" applyFill="1" applyBorder="1" applyAlignment="1" applyProtection="1">
      <alignment horizontal="center" vertical="center"/>
      <protection locked="0"/>
    </xf>
    <xf numFmtId="0" fontId="114" fillId="8" borderId="6" xfId="7" applyFont="1" applyFill="1" applyBorder="1" applyAlignment="1" applyProtection="1">
      <alignment horizontal="left" vertical="center"/>
      <protection locked="0"/>
    </xf>
    <xf numFmtId="186" fontId="98" fillId="66" borderId="267" xfId="7" applyNumberFormat="1" applyFont="1" applyFill="1" applyBorder="1" applyAlignment="1" applyProtection="1">
      <alignment horizontal="center" vertical="center"/>
      <protection locked="0"/>
    </xf>
    <xf numFmtId="181" fontId="98" fillId="66" borderId="267" xfId="7" applyNumberFormat="1" applyFont="1" applyFill="1" applyBorder="1" applyAlignment="1" applyProtection="1">
      <alignment horizontal="center" vertical="center"/>
      <protection locked="0"/>
    </xf>
    <xf numFmtId="181" fontId="370" fillId="66" borderId="9" xfId="7" applyNumberFormat="1" applyFont="1" applyFill="1" applyBorder="1" applyAlignment="1" applyProtection="1">
      <alignment horizontal="center" vertical="center"/>
      <protection locked="0"/>
    </xf>
    <xf numFmtId="0" fontId="57" fillId="8" borderId="6" xfId="7" applyFont="1" applyFill="1" applyBorder="1" applyAlignment="1" applyProtection="1">
      <alignment horizontal="left" vertical="center"/>
      <protection locked="0"/>
    </xf>
    <xf numFmtId="181" fontId="21" fillId="8" borderId="267" xfId="7" applyNumberFormat="1" applyFont="1" applyFill="1" applyBorder="1" applyAlignment="1" applyProtection="1">
      <alignment horizontal="center" vertical="center"/>
      <protection locked="0"/>
    </xf>
    <xf numFmtId="181" fontId="21" fillId="8" borderId="9" xfId="7" applyNumberFormat="1" applyFont="1" applyFill="1" applyBorder="1" applyAlignment="1" applyProtection="1">
      <alignment horizontal="center" vertical="center"/>
      <protection locked="0"/>
    </xf>
    <xf numFmtId="0" fontId="24" fillId="8" borderId="65" xfId="7" applyFont="1" applyFill="1" applyBorder="1" applyAlignment="1" applyProtection="1">
      <alignment horizontal="left" vertical="center"/>
      <protection locked="0"/>
    </xf>
    <xf numFmtId="186" fontId="21" fillId="8" borderId="267" xfId="7" applyNumberFormat="1" applyFont="1" applyFill="1" applyBorder="1" applyAlignment="1" applyProtection="1">
      <alignment horizontal="center" vertical="center"/>
      <protection locked="0"/>
    </xf>
    <xf numFmtId="186" fontId="21" fillId="8" borderId="9" xfId="7" applyNumberFormat="1" applyFont="1" applyFill="1" applyBorder="1" applyAlignment="1" applyProtection="1">
      <alignment horizontal="center" vertical="center"/>
      <protection locked="0"/>
    </xf>
    <xf numFmtId="0" fontId="24" fillId="7" borderId="317" xfId="7" applyFont="1" applyFill="1" applyBorder="1" applyAlignment="1" applyProtection="1">
      <alignment horizontal="left" vertical="center"/>
      <protection locked="0"/>
    </xf>
    <xf numFmtId="0" fontId="24" fillId="7" borderId="254" xfId="7" applyFont="1" applyFill="1" applyBorder="1" applyAlignment="1" applyProtection="1">
      <alignment horizontal="right" vertical="center"/>
      <protection locked="0"/>
    </xf>
    <xf numFmtId="181" fontId="21" fillId="7" borderId="254" xfId="7" applyNumberFormat="1" applyFont="1" applyFill="1" applyBorder="1" applyAlignment="1" applyProtection="1">
      <alignment horizontal="center" vertical="center"/>
      <protection locked="0"/>
    </xf>
    <xf numFmtId="0" fontId="24" fillId="7" borderId="254" xfId="1" applyFont="1" applyFill="1" applyBorder="1" applyProtection="1">
      <protection hidden="1"/>
    </xf>
    <xf numFmtId="0" fontId="21" fillId="7" borderId="254" xfId="7" applyFont="1" applyFill="1" applyBorder="1" applyAlignment="1" applyProtection="1">
      <alignment horizontal="right" vertical="center"/>
      <protection locked="0"/>
    </xf>
    <xf numFmtId="186" fontId="21" fillId="7" borderId="254" xfId="7" applyNumberFormat="1" applyFont="1" applyFill="1" applyBorder="1" applyAlignment="1" applyProtection="1">
      <alignment horizontal="center" vertical="center"/>
      <protection locked="0"/>
    </xf>
    <xf numFmtId="186" fontId="21" fillId="7" borderId="264" xfId="7" applyNumberFormat="1" applyFont="1" applyFill="1" applyBorder="1" applyAlignment="1" applyProtection="1">
      <alignment horizontal="center" vertical="center"/>
      <protection locked="0"/>
    </xf>
    <xf numFmtId="0" fontId="140" fillId="8" borderId="6" xfId="7" applyFont="1" applyFill="1" applyBorder="1" applyAlignment="1" applyProtection="1">
      <alignment horizontal="left" vertical="center"/>
      <protection locked="0"/>
    </xf>
    <xf numFmtId="0" fontId="98" fillId="8" borderId="0" xfId="7" applyFont="1" applyFill="1" applyAlignment="1" applyProtection="1">
      <alignment horizontal="right" vertical="center" wrapText="1"/>
      <protection locked="0"/>
    </xf>
    <xf numFmtId="175" fontId="100" fillId="66" borderId="267" xfId="7" applyNumberFormat="1" applyFont="1" applyFill="1" applyBorder="1" applyAlignment="1" applyProtection="1">
      <alignment horizontal="center" vertical="center"/>
      <protection locked="0"/>
    </xf>
    <xf numFmtId="0" fontId="114" fillId="8" borderId="0" xfId="7" applyFont="1" applyFill="1" applyAlignment="1" applyProtection="1">
      <alignment horizontal="right" vertical="center" wrapText="1"/>
      <protection locked="0"/>
    </xf>
    <xf numFmtId="0" fontId="21" fillId="8" borderId="127" xfId="7" applyFont="1" applyFill="1" applyBorder="1" applyAlignment="1" applyProtection="1">
      <alignment horizontal="left" vertical="center"/>
      <protection locked="0"/>
    </xf>
    <xf numFmtId="0" fontId="21" fillId="8" borderId="56" xfId="7" applyFont="1" applyFill="1" applyBorder="1" applyAlignment="1" applyProtection="1">
      <alignment horizontal="right" vertical="center"/>
      <protection locked="0"/>
    </xf>
    <xf numFmtId="186" fontId="21" fillId="8" borderId="37" xfId="7" applyNumberFormat="1" applyFont="1" applyFill="1" applyBorder="1" applyAlignment="1" applyProtection="1">
      <alignment horizontal="center" vertical="center"/>
      <protection locked="0"/>
    </xf>
    <xf numFmtId="0" fontId="24" fillId="8" borderId="56" xfId="7" applyFont="1" applyFill="1" applyBorder="1" applyAlignment="1" applyProtection="1">
      <alignment horizontal="right" vertical="center"/>
      <protection locked="0"/>
    </xf>
    <xf numFmtId="181" fontId="21" fillId="8" borderId="37" xfId="7" applyNumberFormat="1" applyFont="1" applyFill="1" applyBorder="1" applyAlignment="1" applyProtection="1">
      <alignment horizontal="center" vertical="center"/>
      <protection locked="0"/>
    </xf>
    <xf numFmtId="186" fontId="21" fillId="8" borderId="57" xfId="7" applyNumberFormat="1" applyFont="1" applyFill="1" applyBorder="1" applyAlignment="1" applyProtection="1">
      <alignment horizontal="center" vertical="center"/>
      <protection locked="0"/>
    </xf>
    <xf numFmtId="0" fontId="24" fillId="8" borderId="0" xfId="1" applyFont="1" applyFill="1" applyAlignment="1">
      <alignment horizontal="center" vertical="center"/>
    </xf>
    <xf numFmtId="0" fontId="24" fillId="8" borderId="0" xfId="1" applyFont="1" applyFill="1" applyAlignment="1">
      <alignment horizontal="centerContinuous" vertical="center"/>
    </xf>
    <xf numFmtId="0" fontId="514" fillId="0" borderId="0" xfId="7" applyFont="1" applyAlignment="1">
      <alignment horizontal="center" vertical="center"/>
    </xf>
    <xf numFmtId="0" fontId="514" fillId="8" borderId="0" xfId="7" applyFont="1" applyFill="1" applyAlignment="1">
      <alignment vertical="center"/>
    </xf>
    <xf numFmtId="0" fontId="514" fillId="0" borderId="0" xfId="7" applyFont="1" applyAlignment="1">
      <alignment vertical="center"/>
    </xf>
    <xf numFmtId="0" fontId="26" fillId="4" borderId="287" xfId="5" applyFont="1" applyFill="1" applyBorder="1" applyAlignment="1" applyProtection="1">
      <alignment horizontal="left" vertical="center"/>
      <protection locked="0"/>
    </xf>
    <xf numFmtId="0" fontId="13" fillId="4" borderId="154" xfId="5" applyFont="1" applyFill="1" applyBorder="1" applyAlignment="1" applyProtection="1">
      <alignment horizontal="centerContinuous" vertical="center"/>
      <protection locked="0"/>
    </xf>
    <xf numFmtId="0" fontId="13" fillId="4" borderId="197" xfId="5" applyFont="1" applyFill="1" applyBorder="1" applyAlignment="1" applyProtection="1">
      <alignment horizontal="right" vertical="center"/>
      <protection locked="0"/>
    </xf>
    <xf numFmtId="0" fontId="13" fillId="4" borderId="287" xfId="5" applyFont="1" applyFill="1" applyBorder="1" applyAlignment="1" applyProtection="1">
      <alignment horizontal="left" vertical="center"/>
      <protection locked="0"/>
    </xf>
    <xf numFmtId="0" fontId="186" fillId="65" borderId="266" xfId="7" applyFont="1" applyFill="1" applyBorder="1" applyAlignment="1" applyProtection="1">
      <alignment horizontal="right" vertical="center"/>
      <protection locked="0"/>
    </xf>
    <xf numFmtId="168" fontId="125" fillId="21" borderId="267" xfId="7" applyNumberFormat="1" applyFont="1" applyFill="1" applyBorder="1" applyAlignment="1" applyProtection="1">
      <alignment horizontal="center" vertical="center"/>
      <protection locked="0"/>
    </xf>
    <xf numFmtId="0" fontId="186" fillId="8" borderId="0" xfId="7" applyFont="1" applyFill="1" applyAlignment="1" applyProtection="1">
      <alignment horizontal="right" vertical="center"/>
      <protection locked="0"/>
    </xf>
    <xf numFmtId="184" fontId="125" fillId="66" borderId="267" xfId="7" applyNumberFormat="1" applyFont="1" applyFill="1" applyBorder="1" applyAlignment="1" applyProtection="1">
      <alignment horizontal="center" vertical="center"/>
      <protection locked="0"/>
    </xf>
    <xf numFmtId="0" fontId="84" fillId="65" borderId="266" xfId="7" applyFont="1" applyFill="1" applyBorder="1" applyAlignment="1" applyProtection="1">
      <alignment horizontal="right" vertical="center"/>
      <protection locked="0"/>
    </xf>
    <xf numFmtId="168" fontId="84" fillId="66" borderId="267" xfId="7" applyNumberFormat="1" applyFont="1" applyFill="1" applyBorder="1" applyAlignment="1" applyProtection="1">
      <alignment horizontal="center" vertical="center"/>
      <protection locked="0"/>
    </xf>
    <xf numFmtId="0" fontId="84" fillId="8" borderId="0" xfId="7" applyFont="1" applyFill="1" applyAlignment="1" applyProtection="1">
      <alignment horizontal="right" vertical="center"/>
      <protection locked="0"/>
    </xf>
    <xf numFmtId="175" fontId="84" fillId="66" borderId="267" xfId="7" applyNumberFormat="1" applyFont="1" applyFill="1" applyBorder="1" applyAlignment="1" applyProtection="1">
      <alignment horizontal="center" vertical="center"/>
      <protection locked="0"/>
    </xf>
    <xf numFmtId="184" fontId="84" fillId="66" borderId="267" xfId="7" applyNumberFormat="1" applyFont="1" applyFill="1" applyBorder="1" applyAlignment="1" applyProtection="1">
      <alignment horizontal="center" vertical="center"/>
      <protection locked="0"/>
    </xf>
    <xf numFmtId="0" fontId="57" fillId="65" borderId="266" xfId="7" applyFont="1" applyFill="1" applyBorder="1" applyAlignment="1" applyProtection="1">
      <alignment horizontal="right" vertical="center"/>
      <protection locked="0"/>
    </xf>
    <xf numFmtId="168" fontId="57" fillId="65" borderId="267" xfId="7" applyNumberFormat="1" applyFont="1" applyFill="1" applyBorder="1" applyAlignment="1" applyProtection="1">
      <alignment horizontal="center" vertical="center"/>
      <protection locked="0"/>
    </xf>
    <xf numFmtId="227" fontId="57" fillId="65" borderId="267" xfId="7" applyNumberFormat="1" applyFont="1" applyFill="1" applyBorder="1" applyAlignment="1" applyProtection="1">
      <alignment horizontal="center" vertical="center"/>
      <protection locked="0"/>
    </xf>
    <xf numFmtId="184" fontId="57" fillId="65" borderId="267" xfId="7" applyNumberFormat="1" applyFont="1" applyFill="1" applyBorder="1" applyAlignment="1" applyProtection="1">
      <alignment horizontal="center" vertical="center"/>
      <protection locked="0"/>
    </xf>
    <xf numFmtId="0" fontId="57" fillId="65" borderId="35" xfId="7" applyFont="1" applyFill="1" applyBorder="1" applyAlignment="1" applyProtection="1">
      <alignment horizontal="right" vertical="center"/>
      <protection locked="0"/>
    </xf>
    <xf numFmtId="185" fontId="57" fillId="65" borderId="37" xfId="7" applyNumberFormat="1" applyFont="1" applyFill="1" applyBorder="1" applyAlignment="1" applyProtection="1">
      <alignment horizontal="center" vertical="center"/>
      <protection locked="0"/>
    </xf>
    <xf numFmtId="171" fontId="57" fillId="65" borderId="37" xfId="7" applyNumberFormat="1" applyFont="1" applyFill="1" applyBorder="1" applyAlignment="1" applyProtection="1">
      <alignment horizontal="center" vertical="center"/>
      <protection locked="0"/>
    </xf>
    <xf numFmtId="0" fontId="35" fillId="65" borderId="266" xfId="7" applyFont="1" applyFill="1" applyBorder="1" applyAlignment="1" applyProtection="1">
      <alignment horizontal="right" vertical="center"/>
      <protection locked="0"/>
    </xf>
    <xf numFmtId="0" fontId="35" fillId="65" borderId="227" xfId="7" applyFont="1" applyFill="1" applyBorder="1" applyAlignment="1" applyProtection="1">
      <alignment horizontal="right" vertical="center"/>
      <protection locked="0"/>
    </xf>
    <xf numFmtId="0" fontId="35" fillId="65" borderId="52" xfId="7" applyFont="1" applyFill="1" applyBorder="1" applyAlignment="1" applyProtection="1">
      <alignment horizontal="right" vertical="center"/>
      <protection locked="0"/>
    </xf>
    <xf numFmtId="168" fontId="84" fillId="66" borderId="229" xfId="7" applyNumberFormat="1" applyFont="1" applyFill="1" applyBorder="1" applyAlignment="1" applyProtection="1">
      <alignment horizontal="center" vertical="center"/>
      <protection locked="0"/>
    </xf>
    <xf numFmtId="184" fontId="35" fillId="66" borderId="267" xfId="7" applyNumberFormat="1" applyFont="1" applyFill="1" applyBorder="1" applyAlignment="1" applyProtection="1">
      <alignment horizontal="center" vertical="center"/>
      <protection locked="0"/>
    </xf>
    <xf numFmtId="184" fontId="35" fillId="66" borderId="229" xfId="7" applyNumberFormat="1" applyFont="1" applyFill="1" applyBorder="1" applyAlignment="1" applyProtection="1">
      <alignment horizontal="center" vertical="center"/>
      <protection locked="0"/>
    </xf>
    <xf numFmtId="0" fontId="186" fillId="65" borderId="0" xfId="7" applyFont="1" applyFill="1" applyAlignment="1" applyProtection="1">
      <alignment horizontal="right" vertical="center"/>
      <protection locked="0"/>
    </xf>
    <xf numFmtId="175" fontId="58" fillId="66" borderId="267" xfId="7" applyNumberFormat="1" applyFont="1" applyFill="1" applyBorder="1" applyAlignment="1" applyProtection="1">
      <alignment horizontal="center" vertical="center"/>
      <protection locked="0"/>
    </xf>
    <xf numFmtId="184" fontId="58" fillId="66" borderId="267" xfId="7" applyNumberFormat="1" applyFont="1" applyFill="1" applyBorder="1" applyAlignment="1" applyProtection="1">
      <alignment horizontal="center" vertical="center"/>
      <protection locked="0"/>
    </xf>
    <xf numFmtId="227" fontId="57" fillId="65" borderId="37" xfId="7" applyNumberFormat="1" applyFont="1" applyFill="1" applyBorder="1" applyAlignment="1" applyProtection="1">
      <alignment horizontal="center" vertical="center"/>
      <protection locked="0"/>
    </xf>
    <xf numFmtId="184" fontId="57" fillId="65" borderId="37" xfId="7" applyNumberFormat="1" applyFont="1" applyFill="1" applyBorder="1" applyAlignment="1" applyProtection="1">
      <alignment horizontal="center" vertical="center"/>
      <protection locked="0"/>
    </xf>
    <xf numFmtId="0" fontId="72" fillId="8" borderId="0" xfId="7" applyFont="1" applyFill="1" applyAlignment="1">
      <alignment vertical="center"/>
    </xf>
    <xf numFmtId="0" fontId="72" fillId="8" borderId="0" xfId="7" applyFont="1" applyFill="1"/>
    <xf numFmtId="0" fontId="0" fillId="8" borderId="0" xfId="7" applyFont="1" applyFill="1"/>
    <xf numFmtId="0" fontId="58" fillId="8" borderId="0" xfId="7" applyFont="1" applyFill="1"/>
    <xf numFmtId="0" fontId="186" fillId="8" borderId="0" xfId="7" applyFont="1" applyFill="1"/>
    <xf numFmtId="0" fontId="1" fillId="7" borderId="317" xfId="7" applyFill="1" applyBorder="1" applyAlignment="1">
      <alignment horizontal="center" vertical="center"/>
    </xf>
    <xf numFmtId="0" fontId="30" fillId="8" borderId="264" xfId="1" applyFont="1" applyFill="1" applyBorder="1" applyAlignment="1">
      <alignment horizontal="left" vertical="center"/>
    </xf>
    <xf numFmtId="0" fontId="140" fillId="65" borderId="6" xfId="7" applyFont="1" applyFill="1" applyBorder="1" applyAlignment="1" applyProtection="1">
      <alignment horizontal="right" vertical="center"/>
      <protection locked="0"/>
    </xf>
    <xf numFmtId="228" fontId="140" fillId="66" borderId="9" xfId="7" applyNumberFormat="1" applyFont="1" applyFill="1" applyBorder="1" applyAlignment="1" applyProtection="1">
      <alignment horizontal="center" vertical="center"/>
      <protection locked="0"/>
    </xf>
    <xf numFmtId="228" fontId="164" fillId="66" borderId="9" xfId="7" applyNumberFormat="1" applyFont="1" applyFill="1" applyBorder="1" applyAlignment="1" applyProtection="1">
      <alignment horizontal="center" vertical="center"/>
      <protection locked="0"/>
    </xf>
    <xf numFmtId="0" fontId="185" fillId="65" borderId="6" xfId="7" applyFont="1" applyFill="1" applyBorder="1" applyAlignment="1" applyProtection="1">
      <alignment horizontal="right" vertical="center"/>
      <protection locked="0"/>
    </xf>
    <xf numFmtId="175" fontId="99" fillId="66" borderId="9" xfId="7" applyNumberFormat="1" applyFont="1" applyFill="1" applyBorder="1" applyAlignment="1" applyProtection="1">
      <alignment horizontal="center" vertical="center"/>
      <protection locked="0"/>
    </xf>
    <xf numFmtId="0" fontId="13" fillId="65" borderId="6" xfId="7" applyFont="1" applyFill="1" applyBorder="1" applyAlignment="1" applyProtection="1">
      <alignment horizontal="right" vertical="center"/>
      <protection locked="0"/>
    </xf>
    <xf numFmtId="2" fontId="13" fillId="65" borderId="9" xfId="7" applyNumberFormat="1" applyFont="1" applyFill="1" applyBorder="1" applyAlignment="1" applyProtection="1">
      <alignment horizontal="center" vertical="center"/>
      <protection locked="0"/>
    </xf>
    <xf numFmtId="0" fontId="13" fillId="65" borderId="58" xfId="7" applyFont="1" applyFill="1" applyBorder="1" applyAlignment="1" applyProtection="1">
      <alignment horizontal="right" vertical="center"/>
      <protection locked="0"/>
    </xf>
    <xf numFmtId="174" fontId="13" fillId="8" borderId="59" xfId="7" applyNumberFormat="1" applyFont="1" applyFill="1" applyBorder="1" applyAlignment="1" applyProtection="1">
      <alignment horizontal="center" vertical="center"/>
      <protection locked="0"/>
    </xf>
    <xf numFmtId="0" fontId="84" fillId="65" borderId="6" xfId="7" applyFont="1" applyFill="1" applyBorder="1" applyAlignment="1" applyProtection="1">
      <alignment horizontal="right" vertical="center"/>
      <protection locked="0"/>
    </xf>
    <xf numFmtId="228" fontId="84" fillId="66" borderId="9" xfId="7" applyNumberFormat="1" applyFont="1" applyFill="1" applyBorder="1" applyAlignment="1" applyProtection="1">
      <alignment horizontal="center" vertical="center"/>
      <protection locked="0"/>
    </xf>
    <xf numFmtId="0" fontId="186" fillId="65" borderId="6" xfId="7" applyFont="1" applyFill="1" applyBorder="1" applyAlignment="1" applyProtection="1">
      <alignment horizontal="right" vertical="center"/>
      <protection locked="0"/>
    </xf>
    <xf numFmtId="175" fontId="58" fillId="66" borderId="9" xfId="7" applyNumberFormat="1" applyFont="1" applyFill="1" applyBorder="1" applyAlignment="1" applyProtection="1">
      <alignment horizontal="center" vertical="center"/>
      <protection locked="0"/>
    </xf>
    <xf numFmtId="0" fontId="57" fillId="65" borderId="6" xfId="7" applyFont="1" applyFill="1" applyBorder="1" applyAlignment="1" applyProtection="1">
      <alignment horizontal="right" vertical="center"/>
      <protection locked="0"/>
    </xf>
    <xf numFmtId="166" fontId="57" fillId="8" borderId="9" xfId="7" applyNumberFormat="1" applyFont="1" applyFill="1" applyBorder="1" applyAlignment="1" applyProtection="1">
      <alignment horizontal="center" vertical="center"/>
      <protection locked="0"/>
    </xf>
    <xf numFmtId="0" fontId="98" fillId="65" borderId="6" xfId="7" applyFont="1" applyFill="1" applyBorder="1" applyAlignment="1" applyProtection="1">
      <alignment horizontal="right" vertical="center"/>
      <protection locked="0"/>
    </xf>
    <xf numFmtId="228" fontId="98" fillId="66" borderId="9" xfId="7" applyNumberFormat="1" applyFont="1" applyFill="1" applyBorder="1" applyAlignment="1" applyProtection="1">
      <alignment horizontal="center" vertical="center"/>
      <protection locked="0"/>
    </xf>
    <xf numFmtId="167" fontId="57" fillId="65" borderId="9" xfId="7" applyNumberFormat="1" applyFont="1" applyFill="1" applyBorder="1" applyAlignment="1" applyProtection="1">
      <alignment horizontal="center" vertical="center"/>
      <protection locked="0"/>
    </xf>
    <xf numFmtId="0" fontId="515" fillId="65" borderId="6" xfId="7" applyFont="1" applyFill="1" applyBorder="1" applyAlignment="1" applyProtection="1">
      <alignment horizontal="right" vertical="center"/>
      <protection locked="0"/>
    </xf>
    <xf numFmtId="175" fontId="3" fillId="66" borderId="9" xfId="7" applyNumberFormat="1" applyFont="1" applyFill="1" applyBorder="1" applyAlignment="1" applyProtection="1">
      <alignment horizontal="center" vertical="center"/>
      <protection locked="0"/>
    </xf>
    <xf numFmtId="166" fontId="13" fillId="8" borderId="9" xfId="7" applyNumberFormat="1" applyFont="1" applyFill="1" applyBorder="1" applyAlignment="1" applyProtection="1">
      <alignment horizontal="center" vertical="center"/>
      <protection locked="0"/>
    </xf>
    <xf numFmtId="167" fontId="13" fillId="65" borderId="320" xfId="7" applyNumberFormat="1" applyFont="1" applyFill="1" applyBorder="1" applyAlignment="1" applyProtection="1">
      <alignment horizontal="center" vertical="center"/>
      <protection locked="0"/>
    </xf>
    <xf numFmtId="166" fontId="13" fillId="8" borderId="193" xfId="7" applyNumberFormat="1" applyFont="1" applyFill="1" applyBorder="1" applyAlignment="1" applyProtection="1">
      <alignment horizontal="center" vertical="center"/>
      <protection locked="0"/>
    </xf>
    <xf numFmtId="2" fontId="13" fillId="65" borderId="58" xfId="7" applyNumberFormat="1" applyFont="1" applyFill="1" applyBorder="1" applyAlignment="1" applyProtection="1">
      <alignment horizontal="center" vertical="center"/>
      <protection locked="0"/>
    </xf>
    <xf numFmtId="166" fontId="13" fillId="8" borderId="59" xfId="7" applyNumberFormat="1" applyFont="1" applyFill="1" applyBorder="1" applyAlignment="1" applyProtection="1">
      <alignment horizontal="center" vertical="center"/>
      <protection locked="0"/>
    </xf>
    <xf numFmtId="167" fontId="57" fillId="65" borderId="58" xfId="7" applyNumberFormat="1" applyFont="1" applyFill="1" applyBorder="1" applyAlignment="1" applyProtection="1">
      <alignment horizontal="center" vertical="center"/>
      <protection locked="0"/>
    </xf>
    <xf numFmtId="0" fontId="193" fillId="8" borderId="0" xfId="34" applyFont="1" applyFill="1"/>
    <xf numFmtId="0" fontId="26" fillId="8" borderId="0" xfId="1" applyFont="1" applyFill="1" applyAlignment="1">
      <alignment horizontal="left" vertical="center"/>
    </xf>
    <xf numFmtId="0" fontId="31" fillId="111" borderId="0" xfId="1" applyFont="1" applyFill="1" applyAlignment="1" applyProtection="1">
      <alignment horizontal="center" vertical="center"/>
      <protection hidden="1"/>
    </xf>
    <xf numFmtId="0" fontId="72" fillId="14" borderId="0" xfId="1" applyFont="1" applyFill="1" applyAlignment="1">
      <alignment horizontal="left" vertical="center"/>
    </xf>
    <xf numFmtId="0" fontId="345" fillId="14" borderId="0" xfId="1" applyFont="1" applyFill="1" applyAlignment="1">
      <alignment horizontal="centerContinuous" vertical="center"/>
    </xf>
    <xf numFmtId="0" fontId="345" fillId="14" borderId="0" xfId="1" applyFont="1" applyFill="1" applyAlignment="1">
      <alignment horizontal="center" vertical="center"/>
    </xf>
    <xf numFmtId="0" fontId="87" fillId="8" borderId="0" xfId="34" applyFill="1" applyAlignment="1">
      <alignment horizontal="left" vertical="center"/>
    </xf>
    <xf numFmtId="0" fontId="158" fillId="8" borderId="0" xfId="1" applyFont="1" applyFill="1" applyProtection="1">
      <protection hidden="1"/>
    </xf>
    <xf numFmtId="0" fontId="155" fillId="8" borderId="0" xfId="7" applyFont="1" applyFill="1"/>
    <xf numFmtId="0" fontId="110" fillId="8" borderId="0" xfId="7" applyFont="1" applyFill="1"/>
    <xf numFmtId="2" fontId="21" fillId="127" borderId="281" xfId="7" applyNumberFormat="1" applyFont="1" applyFill="1" applyBorder="1" applyAlignment="1" applyProtection="1">
      <alignment horizontal="center" vertical="center" wrapText="1"/>
      <protection locked="0"/>
    </xf>
    <xf numFmtId="0" fontId="1" fillId="7" borderId="0" xfId="7" applyFill="1"/>
    <xf numFmtId="179" fontId="10" fillId="7" borderId="216" xfId="7" applyNumberFormat="1" applyFont="1" applyFill="1" applyBorder="1" applyAlignment="1">
      <alignment horizontal="center" vertical="center"/>
    </xf>
    <xf numFmtId="0" fontId="24" fillId="7" borderId="20" xfId="7" applyFont="1" applyFill="1" applyBorder="1" applyAlignment="1">
      <alignment horizontal="center" vertical="center"/>
    </xf>
    <xf numFmtId="2" fontId="10" fillId="7" borderId="321" xfId="7" applyNumberFormat="1" applyFont="1" applyFill="1" applyBorder="1" applyAlignment="1">
      <alignment horizontal="center" vertical="center"/>
    </xf>
    <xf numFmtId="9" fontId="10" fillId="128" borderId="152" xfId="7" applyNumberFormat="1" applyFont="1" applyFill="1" applyBorder="1" applyAlignment="1">
      <alignment horizontal="center" vertical="center"/>
    </xf>
    <xf numFmtId="0" fontId="1" fillId="128" borderId="0" xfId="7" applyFill="1" applyAlignment="1">
      <alignment horizontal="centerContinuous" vertical="center" wrapText="1"/>
    </xf>
    <xf numFmtId="9" fontId="184" fillId="128" borderId="17" xfId="7" applyNumberFormat="1" applyFont="1" applyFill="1" applyBorder="1" applyAlignment="1">
      <alignment horizontal="center" vertical="center"/>
    </xf>
    <xf numFmtId="200" fontId="24" fillId="129" borderId="9" xfId="7" applyNumberFormat="1" applyFont="1" applyFill="1" applyBorder="1" applyAlignment="1">
      <alignment horizontal="centerContinuous" vertical="center" wrapText="1"/>
    </xf>
    <xf numFmtId="185" fontId="140" fillId="66" borderId="152" xfId="7" applyNumberFormat="1" applyFont="1" applyFill="1" applyBorder="1" applyAlignment="1">
      <alignment horizontal="center" vertical="center"/>
    </xf>
    <xf numFmtId="174" fontId="13" fillId="7" borderId="226" xfId="7" applyNumberFormat="1" applyFont="1" applyFill="1" applyBorder="1" applyAlignment="1" applyProtection="1">
      <alignment horizontal="center" vertical="center"/>
      <protection locked="0"/>
    </xf>
    <xf numFmtId="175" fontId="164" fillId="21" borderId="0" xfId="7" applyNumberFormat="1" applyFont="1" applyFill="1" applyAlignment="1" applyProtection="1">
      <alignment horizontal="center" vertical="center"/>
      <protection locked="0"/>
    </xf>
    <xf numFmtId="174" fontId="13" fillId="7" borderId="9" xfId="7" applyNumberFormat="1" applyFont="1" applyFill="1" applyBorder="1" applyAlignment="1" applyProtection="1">
      <alignment horizontal="center" vertical="center"/>
      <protection locked="0"/>
    </xf>
    <xf numFmtId="174" fontId="13" fillId="7" borderId="0" xfId="7" applyNumberFormat="1" applyFont="1" applyFill="1" applyAlignment="1" applyProtection="1">
      <alignment horizontal="center" vertical="center"/>
      <protection locked="0"/>
    </xf>
    <xf numFmtId="175" fontId="164" fillId="66" borderId="0" xfId="7" applyNumberFormat="1" applyFont="1" applyFill="1" applyAlignment="1" applyProtection="1">
      <alignment horizontal="center" vertical="center"/>
      <protection locked="0"/>
    </xf>
    <xf numFmtId="185" fontId="140" fillId="66" borderId="283" xfId="7" applyNumberFormat="1" applyFont="1" applyFill="1" applyBorder="1" applyAlignment="1">
      <alignment horizontal="center" vertical="center"/>
    </xf>
    <xf numFmtId="174" fontId="13" fillId="7" borderId="56" xfId="7" applyNumberFormat="1" applyFont="1" applyFill="1" applyBorder="1" applyAlignment="1" applyProtection="1">
      <alignment horizontal="center" vertical="center"/>
      <protection locked="0"/>
    </xf>
    <xf numFmtId="175" fontId="164" fillId="66" borderId="56" xfId="7" applyNumberFormat="1" applyFont="1" applyFill="1" applyBorder="1" applyAlignment="1" applyProtection="1">
      <alignment horizontal="center" vertical="center"/>
      <protection locked="0"/>
    </xf>
    <xf numFmtId="174" fontId="13" fillId="7" borderId="57" xfId="7" applyNumberFormat="1" applyFont="1" applyFill="1" applyBorder="1" applyAlignment="1" applyProtection="1">
      <alignment horizontal="center" vertical="center"/>
      <protection locked="0"/>
    </xf>
    <xf numFmtId="0" fontId="57" fillId="8" borderId="62" xfId="1" applyFont="1" applyFill="1" applyBorder="1" applyAlignment="1">
      <alignment horizontal="center" vertical="center"/>
    </xf>
    <xf numFmtId="0" fontId="519" fillId="8" borderId="227" xfId="1" quotePrefix="1" applyFont="1" applyFill="1" applyBorder="1" applyAlignment="1">
      <alignment horizontal="center" vertical="center"/>
    </xf>
    <xf numFmtId="175" fontId="48" fillId="7" borderId="227" xfId="42" applyNumberFormat="1" applyFont="1" applyFill="1" applyBorder="1" applyAlignment="1" applyProtection="1">
      <alignment horizontal="center" vertical="center" wrapText="1"/>
      <protection locked="0"/>
    </xf>
    <xf numFmtId="222" fontId="48" fillId="7" borderId="228" xfId="42" applyNumberFormat="1" applyFont="1" applyFill="1" applyBorder="1" applyAlignment="1" applyProtection="1">
      <alignment horizontal="center" vertical="center" wrapText="1"/>
      <protection locked="0"/>
    </xf>
    <xf numFmtId="0" fontId="57" fillId="8" borderId="6" xfId="1" applyFont="1" applyFill="1" applyBorder="1" applyAlignment="1">
      <alignment horizontal="left" vertical="center"/>
    </xf>
    <xf numFmtId="0" fontId="515" fillId="8" borderId="0" xfId="7" applyFont="1" applyFill="1"/>
    <xf numFmtId="0" fontId="520" fillId="8" borderId="6" xfId="1" applyFont="1" applyFill="1" applyBorder="1" applyAlignment="1">
      <alignment horizontal="right" vertical="center"/>
    </xf>
    <xf numFmtId="0" fontId="165" fillId="8" borderId="3" xfId="1" applyFont="1" applyFill="1" applyBorder="1" applyAlignment="1">
      <alignment horizontal="center" vertical="center" wrapText="1"/>
    </xf>
    <xf numFmtId="0" fontId="165" fillId="8" borderId="59" xfId="1" applyFont="1" applyFill="1" applyBorder="1" applyAlignment="1">
      <alignment horizontal="center" vertical="center" wrapText="1"/>
    </xf>
    <xf numFmtId="0" fontId="520" fillId="8" borderId="120" xfId="1" applyFont="1" applyFill="1" applyBorder="1" applyAlignment="1">
      <alignment horizontal="right" vertical="center"/>
    </xf>
    <xf numFmtId="0" fontId="1" fillId="8" borderId="69" xfId="7" applyFill="1" applyBorder="1"/>
    <xf numFmtId="0" fontId="1" fillId="0" borderId="69" xfId="7" applyBorder="1"/>
    <xf numFmtId="0" fontId="1" fillId="0" borderId="121" xfId="7" applyBorder="1"/>
    <xf numFmtId="0" fontId="57" fillId="8" borderId="325" xfId="1" applyFont="1" applyFill="1" applyBorder="1" applyAlignment="1">
      <alignment horizontal="left" vertical="center"/>
    </xf>
    <xf numFmtId="0" fontId="57" fillId="8" borderId="147" xfId="1" applyFont="1" applyFill="1" applyBorder="1" applyAlignment="1">
      <alignment horizontal="left" vertical="center"/>
    </xf>
    <xf numFmtId="0" fontId="21" fillId="8" borderId="147" xfId="7" applyFont="1" applyFill="1" applyBorder="1"/>
    <xf numFmtId="0" fontId="165" fillId="8" borderId="326" xfId="1" applyFont="1" applyFill="1" applyBorder="1" applyAlignment="1">
      <alignment horizontal="center" vertical="center" wrapText="1"/>
    </xf>
    <xf numFmtId="0" fontId="515" fillId="8" borderId="3" xfId="7" applyFont="1" applyFill="1" applyBorder="1"/>
    <xf numFmtId="0" fontId="3" fillId="8" borderId="3" xfId="7" applyFont="1" applyFill="1" applyBorder="1"/>
    <xf numFmtId="0" fontId="29" fillId="43" borderId="0" xfId="1" applyFont="1" applyFill="1" applyAlignment="1">
      <alignment horizontal="center" vertical="center"/>
    </xf>
    <xf numFmtId="0" fontId="69" fillId="8" borderId="0" xfId="1" applyFont="1" applyFill="1" applyAlignment="1">
      <alignment horizontal="center" vertical="center" wrapText="1"/>
    </xf>
    <xf numFmtId="0" fontId="69" fillId="8" borderId="0" xfId="1" applyFont="1" applyFill="1" applyProtection="1">
      <protection hidden="1"/>
    </xf>
    <xf numFmtId="0" fontId="69" fillId="8" borderId="0" xfId="1" applyFont="1" applyFill="1" applyAlignment="1">
      <alignment horizontal="centerContinuous" vertical="center"/>
    </xf>
    <xf numFmtId="2" fontId="26" fillId="65" borderId="0" xfId="7" applyNumberFormat="1" applyFont="1" applyFill="1" applyAlignment="1" applyProtection="1">
      <alignment horizontal="center" vertical="center"/>
      <protection locked="0"/>
    </xf>
    <xf numFmtId="166" fontId="13" fillId="8" borderId="0" xfId="7" applyNumberFormat="1" applyFont="1" applyFill="1" applyAlignment="1" applyProtection="1">
      <alignment horizontal="center" vertical="center"/>
      <protection locked="0"/>
    </xf>
    <xf numFmtId="0" fontId="73" fillId="8" borderId="0" xfId="1" applyFont="1" applyFill="1" applyAlignment="1">
      <alignment horizontal="center" vertical="center"/>
    </xf>
    <xf numFmtId="0" fontId="88" fillId="8" borderId="0" xfId="7" applyFont="1" applyFill="1"/>
    <xf numFmtId="0" fontId="162" fillId="8" borderId="0" xfId="34" applyFont="1" applyFill="1"/>
    <xf numFmtId="0" fontId="194" fillId="8" borderId="0" xfId="7" applyFont="1" applyFill="1"/>
    <xf numFmtId="0" fontId="87" fillId="8" borderId="0" xfId="17" applyFill="1"/>
    <xf numFmtId="0" fontId="2" fillId="71" borderId="0" xfId="3" applyFont="1" applyFill="1" applyAlignment="1">
      <alignment horizontal="right" vertical="center"/>
    </xf>
    <xf numFmtId="0" fontId="72" fillId="8" borderId="0" xfId="0" applyFont="1" applyFill="1"/>
    <xf numFmtId="0" fontId="69" fillId="0" borderId="0" xfId="3" applyFont="1" applyAlignment="1">
      <alignment horizontal="center" vertical="center"/>
    </xf>
    <xf numFmtId="0" fontId="178" fillId="89" borderId="0" xfId="3" applyFont="1" applyFill="1" applyAlignment="1">
      <alignment vertical="center"/>
    </xf>
    <xf numFmtId="0" fontId="5" fillId="147" borderId="0" xfId="43" applyFont="1" applyFill="1" applyAlignment="1">
      <alignment horizontal="center" vertical="center"/>
    </xf>
    <xf numFmtId="0" fontId="522" fillId="65" borderId="0" xfId="43" applyFont="1" applyFill="1" applyAlignment="1">
      <alignment horizontal="center" vertical="center"/>
    </xf>
    <xf numFmtId="0" fontId="1" fillId="148" borderId="0" xfId="43" applyFont="1" applyFill="1" applyAlignment="1">
      <alignment horizontal="center" vertical="center"/>
    </xf>
    <xf numFmtId="0" fontId="522" fillId="149" borderId="0" xfId="43" applyFont="1" applyFill="1" applyAlignment="1">
      <alignment horizontal="center" vertical="center"/>
    </xf>
    <xf numFmtId="0" fontId="5" fillId="150" borderId="0" xfId="43" applyFont="1" applyFill="1" applyAlignment="1">
      <alignment horizontal="center" vertical="center"/>
    </xf>
    <xf numFmtId="0" fontId="522" fillId="151" borderId="0" xfId="43" applyFont="1" applyFill="1" applyAlignment="1">
      <alignment horizontal="center" vertical="center"/>
    </xf>
    <xf numFmtId="0" fontId="522" fillId="152" borderId="0" xfId="43" applyFont="1" applyFill="1" applyAlignment="1">
      <alignment horizontal="center" vertical="center"/>
    </xf>
    <xf numFmtId="0" fontId="522" fillId="153" borderId="0" xfId="43" applyFont="1" applyFill="1" applyAlignment="1">
      <alignment horizontal="center" vertical="center"/>
    </xf>
    <xf numFmtId="0" fontId="5" fillId="154" borderId="0" xfId="43" applyFont="1" applyFill="1" applyAlignment="1">
      <alignment horizontal="center" vertical="center"/>
    </xf>
    <xf numFmtId="0" fontId="5" fillId="155" borderId="0" xfId="43" applyFont="1" applyFill="1" applyAlignment="1">
      <alignment horizontal="center" vertical="center"/>
    </xf>
    <xf numFmtId="0" fontId="5" fillId="156" borderId="0" xfId="43" applyFont="1" applyFill="1" applyAlignment="1">
      <alignment horizontal="center" vertical="center"/>
    </xf>
    <xf numFmtId="0" fontId="522" fillId="157" borderId="0" xfId="43" applyFont="1" applyFill="1" applyAlignment="1">
      <alignment horizontal="center" vertical="center"/>
    </xf>
    <xf numFmtId="0" fontId="5" fillId="158" borderId="0" xfId="43" applyFont="1" applyFill="1" applyAlignment="1">
      <alignment horizontal="center" vertical="center"/>
    </xf>
    <xf numFmtId="0" fontId="522" fillId="159" borderId="0" xfId="43" applyFont="1" applyFill="1" applyAlignment="1">
      <alignment horizontal="center" vertical="center"/>
    </xf>
    <xf numFmtId="0" fontId="522" fillId="134" borderId="0" xfId="43" applyFont="1" applyFill="1" applyAlignment="1">
      <alignment horizontal="center" vertical="center"/>
    </xf>
    <xf numFmtId="0" fontId="522" fillId="5" borderId="0" xfId="43" applyFont="1" applyFill="1" applyAlignment="1">
      <alignment horizontal="center" vertical="center"/>
    </xf>
    <xf numFmtId="0" fontId="522" fillId="160" borderId="0" xfId="43" applyFont="1" applyFill="1" applyAlignment="1">
      <alignment horizontal="center" vertical="center"/>
    </xf>
    <xf numFmtId="0" fontId="5" fillId="161" borderId="0" xfId="43" applyFont="1" applyFill="1" applyAlignment="1">
      <alignment horizontal="center" vertical="center"/>
    </xf>
    <xf numFmtId="0" fontId="522" fillId="66" borderId="0" xfId="43" applyFont="1" applyFill="1" applyAlignment="1">
      <alignment horizontal="center" vertical="center"/>
    </xf>
    <xf numFmtId="0" fontId="522" fillId="162" borderId="0" xfId="43" applyFont="1" applyFill="1" applyAlignment="1">
      <alignment horizontal="center" vertical="center"/>
    </xf>
    <xf numFmtId="0" fontId="5" fillId="163" borderId="0" xfId="43" applyFont="1" applyFill="1" applyAlignment="1">
      <alignment horizontal="center" vertical="center"/>
    </xf>
    <xf numFmtId="0" fontId="522" fillId="164" borderId="0" xfId="43" applyFont="1" applyFill="1" applyAlignment="1">
      <alignment horizontal="center" vertical="center"/>
    </xf>
    <xf numFmtId="0" fontId="522" fillId="165" borderId="0" xfId="43" applyFont="1" applyFill="1" applyAlignment="1">
      <alignment horizontal="center" vertical="center"/>
    </xf>
    <xf numFmtId="0" fontId="522" fillId="166" borderId="0" xfId="43" applyFont="1" applyFill="1" applyAlignment="1">
      <alignment horizontal="center" vertical="center"/>
    </xf>
    <xf numFmtId="0" fontId="5" fillId="167" borderId="0" xfId="43" applyFont="1" applyFill="1" applyAlignment="1">
      <alignment horizontal="center" vertical="center"/>
    </xf>
    <xf numFmtId="0" fontId="5" fillId="168" borderId="0" xfId="43" applyFont="1" applyFill="1" applyAlignment="1">
      <alignment horizontal="center" vertical="center"/>
    </xf>
    <xf numFmtId="0" fontId="522" fillId="169" borderId="0" xfId="43" applyFont="1" applyFill="1" applyAlignment="1">
      <alignment horizontal="center" vertical="center"/>
    </xf>
    <xf numFmtId="0" fontId="522" fillId="170" borderId="0" xfId="43" applyFont="1" applyFill="1" applyAlignment="1">
      <alignment horizontal="center" vertical="center"/>
    </xf>
    <xf numFmtId="0" fontId="5" fillId="171" borderId="0" xfId="43" applyFont="1" applyFill="1" applyAlignment="1">
      <alignment horizontal="center" vertical="center"/>
    </xf>
    <xf numFmtId="0" fontId="5" fillId="172" borderId="0" xfId="43" applyFont="1" applyFill="1" applyAlignment="1">
      <alignment horizontal="center" vertical="center"/>
    </xf>
    <xf numFmtId="0" fontId="5" fillId="173" borderId="0" xfId="43" applyFont="1" applyFill="1" applyAlignment="1">
      <alignment horizontal="center" vertical="center"/>
    </xf>
    <xf numFmtId="0" fontId="5" fillId="174" borderId="0" xfId="43" applyFont="1" applyFill="1" applyAlignment="1">
      <alignment horizontal="center" vertical="center"/>
    </xf>
    <xf numFmtId="0" fontId="522" fillId="175" borderId="0" xfId="43" applyFont="1" applyFill="1" applyAlignment="1">
      <alignment horizontal="center" vertical="center"/>
    </xf>
    <xf numFmtId="0" fontId="522" fillId="176" borderId="0" xfId="43" applyFont="1" applyFill="1" applyAlignment="1">
      <alignment horizontal="center" vertical="center"/>
    </xf>
    <xf numFmtId="0" fontId="522" fillId="125" borderId="0" xfId="43" applyFont="1" applyFill="1" applyAlignment="1">
      <alignment horizontal="center" vertical="center"/>
    </xf>
    <xf numFmtId="0" fontId="522" fillId="143" borderId="0" xfId="43" applyFont="1" applyFill="1" applyAlignment="1">
      <alignment horizontal="center" vertical="center"/>
    </xf>
    <xf numFmtId="0" fontId="522" fillId="177" borderId="0" xfId="43" applyFont="1" applyFill="1" applyAlignment="1">
      <alignment horizontal="center" vertical="center"/>
    </xf>
    <xf numFmtId="0" fontId="522" fillId="178" borderId="0" xfId="43" applyFont="1" applyFill="1" applyAlignment="1">
      <alignment horizontal="center" vertical="center"/>
    </xf>
    <xf numFmtId="0" fontId="522" fillId="132" borderId="0" xfId="43" applyFont="1" applyFill="1" applyAlignment="1">
      <alignment horizontal="center" vertical="center"/>
    </xf>
    <xf numFmtId="0" fontId="522" fillId="179" borderId="0" xfId="43" applyFont="1" applyFill="1" applyAlignment="1">
      <alignment horizontal="center" vertical="center"/>
    </xf>
    <xf numFmtId="0" fontId="5" fillId="180" borderId="0" xfId="43" applyFont="1" applyFill="1" applyAlignment="1">
      <alignment horizontal="center" vertical="center"/>
    </xf>
    <xf numFmtId="0" fontId="522" fillId="181" borderId="0" xfId="43" applyFont="1" applyFill="1" applyAlignment="1">
      <alignment horizontal="center" vertical="center"/>
    </xf>
    <xf numFmtId="0" fontId="522" fillId="139" borderId="0" xfId="43" applyFont="1" applyFill="1" applyAlignment="1">
      <alignment horizontal="center" vertical="center"/>
    </xf>
    <xf numFmtId="0" fontId="522" fillId="182" borderId="0" xfId="43" applyFont="1" applyFill="1" applyAlignment="1">
      <alignment horizontal="center" vertical="center"/>
    </xf>
    <xf numFmtId="0" fontId="522" fillId="183" borderId="0" xfId="43" applyFont="1" applyFill="1" applyAlignment="1">
      <alignment horizontal="center" vertical="center"/>
    </xf>
    <xf numFmtId="0" fontId="5" fillId="145" borderId="0" xfId="43" applyFont="1" applyFill="1" applyAlignment="1">
      <alignment horizontal="center" vertical="center"/>
    </xf>
    <xf numFmtId="0" fontId="5" fillId="184" borderId="0" xfId="43" applyFont="1" applyFill="1" applyAlignment="1">
      <alignment horizontal="center" vertical="center"/>
    </xf>
    <xf numFmtId="0" fontId="5" fillId="185" borderId="0" xfId="43" applyFont="1" applyFill="1" applyAlignment="1">
      <alignment horizontal="center" vertical="center"/>
    </xf>
    <xf numFmtId="0" fontId="5" fillId="186" borderId="0" xfId="43" applyFont="1" applyFill="1" applyAlignment="1">
      <alignment horizontal="center" vertical="center"/>
    </xf>
    <xf numFmtId="0" fontId="5" fillId="187" borderId="0" xfId="43" applyFont="1" applyFill="1" applyAlignment="1">
      <alignment horizontal="center" vertical="center"/>
    </xf>
    <xf numFmtId="0" fontId="5" fillId="188" borderId="0" xfId="43" applyFont="1" applyFill="1" applyAlignment="1">
      <alignment horizontal="center" vertical="center"/>
    </xf>
    <xf numFmtId="0" fontId="5" fillId="189" borderId="0" xfId="43" applyFont="1" applyFill="1" applyAlignment="1">
      <alignment horizontal="center" vertical="center"/>
    </xf>
    <xf numFmtId="0" fontId="5" fillId="190" borderId="0" xfId="43" applyFont="1" applyFill="1" applyAlignment="1">
      <alignment horizontal="center" vertical="center"/>
    </xf>
    <xf numFmtId="0" fontId="5" fillId="191" borderId="0" xfId="43" applyFont="1" applyFill="1" applyAlignment="1">
      <alignment horizontal="center" vertical="center"/>
    </xf>
    <xf numFmtId="0" fontId="5" fillId="192" borderId="0" xfId="43" applyFont="1" applyFill="1" applyAlignment="1">
      <alignment horizontal="center" vertical="center"/>
    </xf>
    <xf numFmtId="0" fontId="5" fillId="193" borderId="0" xfId="43" applyFont="1" applyFill="1" applyAlignment="1">
      <alignment horizontal="center" vertical="center"/>
    </xf>
    <xf numFmtId="0" fontId="48" fillId="8" borderId="266" xfId="6" applyFont="1" applyFill="1" applyBorder="1" applyAlignment="1">
      <alignment vertical="center"/>
    </xf>
    <xf numFmtId="0" fontId="48" fillId="8" borderId="267" xfId="6" applyFont="1" applyFill="1" applyBorder="1" applyAlignment="1">
      <alignment vertical="center"/>
    </xf>
    <xf numFmtId="0" fontId="525" fillId="8" borderId="3" xfId="0" applyFont="1" applyFill="1" applyBorder="1" applyAlignment="1">
      <alignment horizontal="center"/>
    </xf>
    <xf numFmtId="0" fontId="525" fillId="8" borderId="3" xfId="45" applyFont="1" applyFill="1" applyBorder="1" applyAlignment="1">
      <alignment horizontal="center"/>
    </xf>
    <xf numFmtId="0" fontId="525" fillId="8" borderId="330" xfId="45" applyFont="1" applyFill="1" applyBorder="1" applyAlignment="1">
      <alignment horizontal="center"/>
    </xf>
    <xf numFmtId="0" fontId="525" fillId="8" borderId="59" xfId="0" applyFont="1" applyFill="1" applyBorder="1" applyAlignment="1">
      <alignment horizontal="center"/>
    </xf>
    <xf numFmtId="0" fontId="525" fillId="8" borderId="166" xfId="45" applyFont="1" applyFill="1" applyBorder="1" applyAlignment="1">
      <alignment horizontal="center"/>
    </xf>
    <xf numFmtId="0" fontId="525" fillId="8" borderId="218" xfId="0" applyFont="1" applyFill="1" applyBorder="1" applyAlignment="1">
      <alignment horizontal="center"/>
    </xf>
    <xf numFmtId="0" fontId="345" fillId="194" borderId="327" xfId="43" applyFont="1" applyFill="1" applyBorder="1" applyAlignment="1">
      <alignment horizontal="center" vertical="center" wrapText="1"/>
    </xf>
    <xf numFmtId="0" fontId="0" fillId="0" borderId="331" xfId="0" applyBorder="1" applyAlignment="1">
      <alignment horizontal="center" vertical="center"/>
    </xf>
    <xf numFmtId="0" fontId="527" fillId="65" borderId="331" xfId="43" applyFont="1" applyFill="1" applyBorder="1" applyAlignment="1">
      <alignment horizontal="center" vertical="center" wrapText="1"/>
    </xf>
    <xf numFmtId="0" fontId="345" fillId="158" borderId="332" xfId="43" applyFont="1" applyFill="1" applyBorder="1" applyAlignment="1">
      <alignment horizontal="center" vertical="center" wrapText="1"/>
    </xf>
    <xf numFmtId="0" fontId="528" fillId="195" borderId="0" xfId="0" applyFont="1" applyFill="1"/>
    <xf numFmtId="0" fontId="529" fillId="0" borderId="333" xfId="45" applyFont="1" applyBorder="1" applyAlignment="1">
      <alignment horizontal="left" vertical="center" wrapText="1"/>
    </xf>
    <xf numFmtId="0" fontId="529" fillId="0" borderId="334" xfId="45" applyFont="1" applyBorder="1" applyAlignment="1">
      <alignment horizontal="left" vertical="center"/>
    </xf>
    <xf numFmtId="0" fontId="529" fillId="0" borderId="335" xfId="45" applyFont="1" applyBorder="1" applyAlignment="1">
      <alignment horizontal="center" vertical="center"/>
    </xf>
    <xf numFmtId="0" fontId="528" fillId="0" borderId="336" xfId="0" applyFont="1" applyBorder="1" applyAlignment="1">
      <alignment horizontal="center" vertical="center"/>
    </xf>
    <xf numFmtId="0" fontId="528" fillId="0" borderId="337" xfId="0" applyFont="1" applyBorder="1" applyAlignment="1">
      <alignment horizontal="center" vertical="center"/>
    </xf>
    <xf numFmtId="0" fontId="528" fillId="196" borderId="0" xfId="0" applyFont="1" applyFill="1"/>
    <xf numFmtId="0" fontId="529" fillId="0" borderId="338" xfId="45" applyFont="1" applyBorder="1" applyAlignment="1">
      <alignment horizontal="left" wrapText="1" indent="1"/>
    </xf>
    <xf numFmtId="0" fontId="529" fillId="0" borderId="339" xfId="45" applyFont="1" applyBorder="1" applyAlignment="1">
      <alignment horizontal="left" indent="1"/>
    </xf>
    <xf numFmtId="0" fontId="529" fillId="0" borderId="340" xfId="45" applyFont="1" applyBorder="1" applyAlignment="1">
      <alignment horizontal="right" indent="1"/>
    </xf>
    <xf numFmtId="0" fontId="528" fillId="0" borderId="341" xfId="0" applyFont="1" applyBorder="1" applyAlignment="1">
      <alignment horizontal="right" indent="1"/>
    </xf>
    <xf numFmtId="0" fontId="528" fillId="0" borderId="342" xfId="0" applyFont="1" applyBorder="1" applyAlignment="1">
      <alignment horizontal="right" indent="1"/>
    </xf>
    <xf numFmtId="0" fontId="528" fillId="197" borderId="0" xfId="0" applyFont="1" applyFill="1"/>
    <xf numFmtId="0" fontId="529" fillId="0" borderId="342" xfId="45" applyFont="1" applyBorder="1" applyAlignment="1">
      <alignment horizontal="left" wrapText="1" indent="1"/>
    </xf>
    <xf numFmtId="0" fontId="527" fillId="198" borderId="327" xfId="43" applyFont="1" applyFill="1" applyBorder="1" applyAlignment="1">
      <alignment horizontal="center" vertical="center" wrapText="1"/>
    </xf>
    <xf numFmtId="0" fontId="345" fillId="154" borderId="332" xfId="43" applyFont="1" applyFill="1" applyBorder="1" applyAlignment="1">
      <alignment horizontal="center" vertical="center" wrapText="1"/>
    </xf>
    <xf numFmtId="0" fontId="528" fillId="199" borderId="0" xfId="0" applyFont="1" applyFill="1"/>
    <xf numFmtId="0" fontId="529" fillId="0" borderId="338" xfId="45" applyFont="1" applyBorder="1" applyAlignment="1">
      <alignment horizontal="left" vertical="center" wrapText="1"/>
    </xf>
    <xf numFmtId="0" fontId="529" fillId="0" borderId="339" xfId="45" applyFont="1" applyBorder="1" applyAlignment="1">
      <alignment horizontal="left" vertical="center"/>
    </xf>
    <xf numFmtId="0" fontId="529" fillId="0" borderId="340" xfId="45" applyFont="1" applyBorder="1" applyAlignment="1">
      <alignment horizontal="center" vertical="center"/>
    </xf>
    <xf numFmtId="0" fontId="528" fillId="0" borderId="341" xfId="0" applyFont="1" applyBorder="1" applyAlignment="1">
      <alignment horizontal="center" vertical="center"/>
    </xf>
    <xf numFmtId="0" fontId="528" fillId="0" borderId="342" xfId="0" applyFont="1" applyBorder="1" applyAlignment="1">
      <alignment horizontal="center" vertical="center"/>
    </xf>
    <xf numFmtId="0" fontId="528" fillId="200" borderId="0" xfId="0" applyFont="1" applyFill="1"/>
    <xf numFmtId="0" fontId="528" fillId="201" borderId="0" xfId="0" applyFont="1" applyFill="1"/>
    <xf numFmtId="0" fontId="529" fillId="0" borderId="342" xfId="45" applyFont="1" applyBorder="1" applyAlignment="1">
      <alignment horizontal="left" indent="1"/>
    </xf>
    <xf numFmtId="0" fontId="527" fillId="14" borderId="327" xfId="43" applyFont="1" applyFill="1" applyBorder="1" applyAlignment="1">
      <alignment horizontal="center" vertical="center" wrapText="1"/>
    </xf>
    <xf numFmtId="0" fontId="345" fillId="159" borderId="332" xfId="43" applyFont="1" applyFill="1" applyBorder="1" applyAlignment="1">
      <alignment horizontal="center" vertical="center" wrapText="1"/>
    </xf>
    <xf numFmtId="0" fontId="528" fillId="202" borderId="0" xfId="0" applyFont="1" applyFill="1"/>
    <xf numFmtId="0" fontId="528" fillId="203" borderId="0" xfId="0" applyFont="1" applyFill="1"/>
    <xf numFmtId="0" fontId="528" fillId="204" borderId="0" xfId="0" applyFont="1" applyFill="1"/>
    <xf numFmtId="0" fontId="527" fillId="79" borderId="327" xfId="43" applyFont="1" applyFill="1" applyBorder="1" applyAlignment="1">
      <alignment horizontal="center" vertical="center" wrapText="1"/>
    </xf>
    <xf numFmtId="0" fontId="345" fillId="150" borderId="332" xfId="43" applyFont="1" applyFill="1" applyBorder="1" applyAlignment="1">
      <alignment horizontal="center" vertical="center" wrapText="1"/>
    </xf>
    <xf numFmtId="0" fontId="528" fillId="205" borderId="0" xfId="0" applyFont="1" applyFill="1"/>
    <xf numFmtId="0" fontId="528" fillId="206" borderId="0" xfId="0" applyFont="1" applyFill="1"/>
    <xf numFmtId="0" fontId="528" fillId="207" borderId="0" xfId="0" applyFont="1" applyFill="1"/>
    <xf numFmtId="0" fontId="527" fillId="68" borderId="332" xfId="43" applyFont="1" applyFill="1" applyBorder="1" applyAlignment="1">
      <alignment horizontal="center" vertical="center" wrapText="1"/>
    </xf>
    <xf numFmtId="0" fontId="527" fillId="175" borderId="332" xfId="43" applyFont="1" applyFill="1" applyBorder="1" applyAlignment="1">
      <alignment horizontal="center" vertical="center" wrapText="1"/>
    </xf>
    <xf numFmtId="0" fontId="528" fillId="208" borderId="0" xfId="0" applyFont="1" applyFill="1"/>
    <xf numFmtId="0" fontId="529" fillId="0" borderId="338" xfId="45" applyFont="1" applyBorder="1" applyAlignment="1">
      <alignment horizontal="left" vertical="center"/>
    </xf>
    <xf numFmtId="0" fontId="528" fillId="209" borderId="0" xfId="0" applyFont="1" applyFill="1"/>
    <xf numFmtId="0" fontId="528" fillId="210" borderId="0" xfId="0" applyFont="1" applyFill="1"/>
    <xf numFmtId="0" fontId="527" fillId="22" borderId="332" xfId="43" applyFont="1" applyFill="1" applyBorder="1" applyAlignment="1">
      <alignment horizontal="center" vertical="center" wrapText="1"/>
    </xf>
    <xf numFmtId="0" fontId="527" fillId="162" borderId="332" xfId="43" applyFont="1" applyFill="1" applyBorder="1" applyAlignment="1">
      <alignment horizontal="center" vertical="center" wrapText="1"/>
    </xf>
    <xf numFmtId="0" fontId="528" fillId="211" borderId="0" xfId="0" applyFont="1" applyFill="1"/>
    <xf numFmtId="0" fontId="528" fillId="212" borderId="0" xfId="0" applyFont="1" applyFill="1"/>
    <xf numFmtId="0" fontId="528" fillId="213" borderId="0" xfId="0" applyFont="1" applyFill="1"/>
    <xf numFmtId="0" fontId="527" fillId="69" borderId="332" xfId="43" applyFont="1" applyFill="1" applyBorder="1" applyAlignment="1">
      <alignment horizontal="center" vertical="center" wrapText="1"/>
    </xf>
    <xf numFmtId="0" fontId="527" fillId="125" borderId="332" xfId="43" applyFont="1" applyFill="1" applyBorder="1" applyAlignment="1">
      <alignment horizontal="center" vertical="center" wrapText="1"/>
    </xf>
    <xf numFmtId="0" fontId="528" fillId="214" borderId="0" xfId="0" applyFont="1" applyFill="1"/>
    <xf numFmtId="0" fontId="528" fillId="215" borderId="0" xfId="0" applyFont="1" applyFill="1"/>
    <xf numFmtId="0" fontId="528" fillId="216" borderId="0" xfId="0" applyFont="1" applyFill="1"/>
    <xf numFmtId="0" fontId="527" fillId="217" borderId="332" xfId="43" applyFont="1" applyFill="1" applyBorder="1" applyAlignment="1">
      <alignment horizontal="center" vertical="center" wrapText="1"/>
    </xf>
    <xf numFmtId="0" fontId="527" fillId="143" borderId="332" xfId="43" applyFont="1" applyFill="1" applyBorder="1" applyAlignment="1">
      <alignment horizontal="center" vertical="center" wrapText="1"/>
    </xf>
    <xf numFmtId="0" fontId="528" fillId="218" borderId="0" xfId="0" applyFont="1" applyFill="1"/>
    <xf numFmtId="0" fontId="528" fillId="219" borderId="0" xfId="0" applyFont="1" applyFill="1"/>
    <xf numFmtId="0" fontId="528" fillId="220" borderId="0" xfId="0" applyFont="1" applyFill="1"/>
    <xf numFmtId="0" fontId="345" fillId="75" borderId="332" xfId="43" applyFont="1" applyFill="1" applyBorder="1" applyAlignment="1">
      <alignment horizontal="center" vertical="center" wrapText="1"/>
    </xf>
    <xf numFmtId="0" fontId="527" fillId="177" borderId="332" xfId="43" applyFont="1" applyFill="1" applyBorder="1" applyAlignment="1">
      <alignment horizontal="center" vertical="center" wrapText="1"/>
    </xf>
    <xf numFmtId="0" fontId="528" fillId="221" borderId="0" xfId="0" applyFont="1" applyFill="1"/>
    <xf numFmtId="0" fontId="528" fillId="222" borderId="0" xfId="0" applyFont="1" applyFill="1"/>
    <xf numFmtId="0" fontId="528" fillId="223" borderId="0" xfId="0" applyFont="1" applyFill="1"/>
    <xf numFmtId="0" fontId="91" fillId="81" borderId="343" xfId="6" applyFont="1" applyFill="1" applyBorder="1" applyAlignment="1">
      <alignment horizontal="center" vertical="center"/>
    </xf>
    <xf numFmtId="0" fontId="91" fillId="81" borderId="344" xfId="6" applyFont="1" applyFill="1" applyBorder="1" applyAlignment="1">
      <alignment horizontal="center" vertical="center"/>
    </xf>
    <xf numFmtId="0" fontId="345" fillId="73" borderId="332" xfId="43" applyFont="1" applyFill="1" applyBorder="1" applyAlignment="1">
      <alignment horizontal="center" vertical="center" wrapText="1"/>
    </xf>
    <xf numFmtId="0" fontId="527" fillId="178" borderId="332" xfId="43" applyFont="1" applyFill="1" applyBorder="1" applyAlignment="1">
      <alignment horizontal="center" vertical="center" wrapText="1"/>
    </xf>
    <xf numFmtId="0" fontId="528" fillId="224" borderId="0" xfId="0" applyFont="1" applyFill="1"/>
    <xf numFmtId="0" fontId="528" fillId="225" borderId="0" xfId="0" applyFont="1" applyFill="1"/>
    <xf numFmtId="0" fontId="528" fillId="226" borderId="0" xfId="0" applyFont="1" applyFill="1"/>
    <xf numFmtId="0" fontId="345" fillId="156" borderId="332" xfId="43" applyFont="1" applyFill="1" applyBorder="1" applyAlignment="1">
      <alignment horizontal="center" vertical="center" wrapText="1"/>
    </xf>
    <xf numFmtId="0" fontId="527" fillId="132" borderId="332" xfId="43" applyFont="1" applyFill="1" applyBorder="1" applyAlignment="1">
      <alignment horizontal="center" vertical="center" wrapText="1"/>
    </xf>
    <xf numFmtId="0" fontId="528" fillId="227" borderId="0" xfId="0" applyFont="1" applyFill="1"/>
    <xf numFmtId="0" fontId="528" fillId="228" borderId="0" xfId="0" applyFont="1" applyFill="1"/>
    <xf numFmtId="0" fontId="529" fillId="0" borderId="338" xfId="45" applyFont="1" applyBorder="1" applyAlignment="1">
      <alignment horizontal="left" indent="1"/>
    </xf>
    <xf numFmtId="0" fontId="528" fillId="229" borderId="0" xfId="0" applyFont="1" applyFill="1"/>
    <xf numFmtId="0" fontId="345" fillId="157" borderId="332" xfId="43" applyFont="1" applyFill="1" applyBorder="1" applyAlignment="1">
      <alignment horizontal="center" vertical="center" wrapText="1"/>
    </xf>
    <xf numFmtId="0" fontId="527" fillId="179" borderId="332" xfId="43" applyFont="1" applyFill="1" applyBorder="1" applyAlignment="1">
      <alignment horizontal="center" vertical="center" wrapText="1"/>
    </xf>
    <xf numFmtId="0" fontId="528" fillId="230" borderId="0" xfId="0" applyFont="1" applyFill="1"/>
    <xf numFmtId="0" fontId="528" fillId="231" borderId="0" xfId="0" applyFont="1" applyFill="1"/>
    <xf numFmtId="0" fontId="528" fillId="232" borderId="0" xfId="0" applyFont="1" applyFill="1"/>
    <xf numFmtId="0" fontId="527" fillId="180" borderId="332" xfId="43" applyFont="1" applyFill="1" applyBorder="1" applyAlignment="1">
      <alignment horizontal="center" vertical="center" wrapText="1"/>
    </xf>
    <xf numFmtId="0" fontId="528" fillId="233" borderId="0" xfId="0" applyFont="1" applyFill="1"/>
    <xf numFmtId="0" fontId="528" fillId="234" borderId="0" xfId="0" applyFont="1" applyFill="1"/>
    <xf numFmtId="0" fontId="528" fillId="235" borderId="0" xfId="0" applyFont="1" applyFill="1"/>
    <xf numFmtId="0" fontId="527" fillId="181" borderId="332" xfId="43" applyFont="1" applyFill="1" applyBorder="1" applyAlignment="1">
      <alignment horizontal="center" vertical="center" wrapText="1"/>
    </xf>
    <xf numFmtId="0" fontId="528" fillId="236" borderId="0" xfId="0" applyFont="1" applyFill="1"/>
    <xf numFmtId="0" fontId="528" fillId="237" borderId="0" xfId="0" applyFont="1" applyFill="1"/>
    <xf numFmtId="0" fontId="528" fillId="238" borderId="0" xfId="0" applyFont="1" applyFill="1"/>
    <xf numFmtId="0" fontId="527" fillId="134" borderId="332" xfId="43" applyFont="1" applyFill="1" applyBorder="1" applyAlignment="1">
      <alignment horizontal="center" vertical="center" wrapText="1"/>
    </xf>
    <xf numFmtId="0" fontId="527" fillId="139" borderId="332" xfId="43" applyFont="1" applyFill="1" applyBorder="1" applyAlignment="1">
      <alignment horizontal="center" vertical="center" wrapText="1"/>
    </xf>
    <xf numFmtId="0" fontId="528" fillId="239" borderId="0" xfId="0" applyFont="1" applyFill="1"/>
    <xf numFmtId="0" fontId="528" fillId="240" borderId="0" xfId="0" applyFont="1" applyFill="1"/>
    <xf numFmtId="0" fontId="528" fillId="241" borderId="0" xfId="0" applyFont="1" applyFill="1"/>
    <xf numFmtId="0" fontId="527" fillId="5" borderId="332" xfId="43" applyFont="1" applyFill="1" applyBorder="1" applyAlignment="1">
      <alignment horizontal="center" vertical="center" wrapText="1"/>
    </xf>
    <xf numFmtId="0" fontId="527" fillId="182" borderId="332" xfId="43" applyFont="1" applyFill="1" applyBorder="1" applyAlignment="1">
      <alignment horizontal="center" vertical="center" wrapText="1"/>
    </xf>
    <xf numFmtId="0" fontId="528" fillId="242" borderId="0" xfId="0" applyFont="1" applyFill="1"/>
    <xf numFmtId="0" fontId="528" fillId="243" borderId="0" xfId="0" applyFont="1" applyFill="1"/>
    <xf numFmtId="0" fontId="528" fillId="244" borderId="0" xfId="0" applyFont="1" applyFill="1"/>
    <xf numFmtId="0" fontId="345" fillId="160" borderId="332" xfId="43" applyFont="1" applyFill="1" applyBorder="1" applyAlignment="1">
      <alignment horizontal="center" vertical="center" wrapText="1"/>
    </xf>
    <xf numFmtId="0" fontId="527" fillId="183" borderId="332" xfId="43" applyFont="1" applyFill="1" applyBorder="1" applyAlignment="1">
      <alignment horizontal="center" vertical="center" wrapText="1"/>
    </xf>
    <xf numFmtId="0" fontId="528" fillId="245" borderId="0" xfId="0" applyFont="1" applyFill="1"/>
    <xf numFmtId="0" fontId="528" fillId="246" borderId="0" xfId="0" applyFont="1" applyFill="1"/>
    <xf numFmtId="0" fontId="528" fillId="247" borderId="0" xfId="0" applyFont="1" applyFill="1"/>
    <xf numFmtId="0" fontId="345" fillId="161" borderId="332" xfId="43" applyFont="1" applyFill="1" applyBorder="1" applyAlignment="1">
      <alignment horizontal="center" vertical="center" wrapText="1"/>
    </xf>
    <xf numFmtId="0" fontId="527" fillId="145" borderId="332" xfId="43" applyFont="1" applyFill="1" applyBorder="1" applyAlignment="1">
      <alignment horizontal="center" vertical="center" wrapText="1"/>
    </xf>
    <xf numFmtId="0" fontId="528" fillId="248" borderId="0" xfId="0" applyFont="1" applyFill="1"/>
    <xf numFmtId="0" fontId="528" fillId="249" borderId="0" xfId="0" applyFont="1" applyFill="1"/>
    <xf numFmtId="0" fontId="528" fillId="250" borderId="0" xfId="0" applyFont="1" applyFill="1"/>
    <xf numFmtId="0" fontId="527" fillId="21" borderId="332" xfId="43" applyFont="1" applyFill="1" applyBorder="1" applyAlignment="1">
      <alignment horizontal="center" vertical="center" wrapText="1"/>
    </xf>
    <xf numFmtId="0" fontId="345" fillId="184" borderId="332" xfId="43" applyFont="1" applyFill="1" applyBorder="1" applyAlignment="1">
      <alignment horizontal="center" vertical="center" wrapText="1"/>
    </xf>
    <xf numFmtId="0" fontId="528" fillId="251" borderId="0" xfId="0" applyFont="1" applyFill="1"/>
    <xf numFmtId="0" fontId="528" fillId="252" borderId="0" xfId="0" applyFont="1" applyFill="1"/>
    <xf numFmtId="0" fontId="528" fillId="253" borderId="0" xfId="0" applyFont="1" applyFill="1"/>
    <xf numFmtId="0" fontId="527" fillId="185" borderId="332" xfId="43" applyFont="1" applyFill="1" applyBorder="1" applyAlignment="1">
      <alignment horizontal="center" vertical="center" wrapText="1"/>
    </xf>
    <xf numFmtId="0" fontId="528" fillId="254" borderId="0" xfId="0" applyFont="1" applyFill="1"/>
    <xf numFmtId="0" fontId="528" fillId="255" borderId="0" xfId="0" applyFont="1" applyFill="1"/>
    <xf numFmtId="0" fontId="528" fillId="256" borderId="0" xfId="0" applyFont="1" applyFill="1"/>
    <xf numFmtId="0" fontId="345" fillId="163" borderId="332" xfId="43" applyFont="1" applyFill="1" applyBorder="1" applyAlignment="1">
      <alignment horizontal="center" vertical="center" wrapText="1"/>
    </xf>
    <xf numFmtId="0" fontId="345" fillId="186" borderId="332" xfId="43" applyFont="1" applyFill="1" applyBorder="1" applyAlignment="1">
      <alignment horizontal="center" vertical="center" wrapText="1"/>
    </xf>
    <xf numFmtId="0" fontId="528" fillId="257" borderId="0" xfId="0" applyFont="1" applyFill="1"/>
    <xf numFmtId="0" fontId="528" fillId="258" borderId="0" xfId="0" applyFont="1" applyFill="1"/>
    <xf numFmtId="0" fontId="528" fillId="259" borderId="0" xfId="0" applyFont="1" applyFill="1"/>
    <xf numFmtId="0" fontId="527" fillId="164" borderId="332" xfId="43" applyFont="1" applyFill="1" applyBorder="1" applyAlignment="1">
      <alignment horizontal="center" vertical="center" wrapText="1"/>
    </xf>
    <xf numFmtId="0" fontId="527" fillId="78" borderId="332" xfId="43" applyFont="1" applyFill="1" applyBorder="1" applyAlignment="1">
      <alignment horizontal="center" vertical="center" wrapText="1"/>
    </xf>
    <xf numFmtId="0" fontId="528" fillId="260" borderId="0" xfId="0" applyFont="1" applyFill="1"/>
    <xf numFmtId="0" fontId="528" fillId="261" borderId="0" xfId="0" applyFont="1" applyFill="1"/>
    <xf numFmtId="0" fontId="528" fillId="262" borderId="0" xfId="0" applyFont="1" applyFill="1"/>
    <xf numFmtId="0" fontId="345" fillId="165" borderId="332" xfId="43" applyFont="1" applyFill="1" applyBorder="1" applyAlignment="1">
      <alignment horizontal="center" vertical="center" wrapText="1"/>
    </xf>
    <xf numFmtId="0" fontId="345" fillId="189" borderId="332" xfId="43" applyFont="1" applyFill="1" applyBorder="1" applyAlignment="1">
      <alignment horizontal="center" vertical="center" wrapText="1"/>
    </xf>
    <xf numFmtId="0" fontId="528" fillId="263" borderId="0" xfId="0" applyFont="1" applyFill="1"/>
    <xf numFmtId="0" fontId="528" fillId="264" borderId="0" xfId="0" applyFont="1" applyFill="1"/>
    <xf numFmtId="0" fontId="528" fillId="265" borderId="0" xfId="0" applyFont="1" applyFill="1"/>
    <xf numFmtId="0" fontId="527" fillId="166" borderId="332" xfId="43" applyFont="1" applyFill="1" applyBorder="1" applyAlignment="1">
      <alignment horizontal="center" vertical="center" wrapText="1"/>
    </xf>
    <xf numFmtId="0" fontId="345" fillId="190" borderId="332" xfId="43" applyFont="1" applyFill="1" applyBorder="1" applyAlignment="1">
      <alignment horizontal="center" vertical="center" wrapText="1"/>
    </xf>
    <xf numFmtId="0" fontId="528" fillId="266" borderId="0" xfId="0" applyFont="1" applyFill="1"/>
    <xf numFmtId="0" fontId="528" fillId="267" borderId="0" xfId="0" applyFont="1" applyFill="1"/>
    <xf numFmtId="0" fontId="528" fillId="268" borderId="0" xfId="0" applyFont="1" applyFill="1"/>
    <xf numFmtId="0" fontId="528" fillId="269" borderId="0" xfId="0" applyFont="1" applyFill="1"/>
    <xf numFmtId="0" fontId="528" fillId="270" borderId="0" xfId="0" applyFont="1" applyFill="1"/>
    <xf numFmtId="0" fontId="528" fillId="271" borderId="0" xfId="0" applyFont="1" applyFill="1"/>
    <xf numFmtId="0" fontId="527" fillId="152" borderId="332" xfId="43" applyFont="1" applyFill="1" applyBorder="1" applyAlignment="1">
      <alignment horizontal="center" vertical="center" wrapText="1"/>
    </xf>
    <xf numFmtId="0" fontId="345" fillId="192" borderId="332" xfId="43" applyFont="1" applyFill="1" applyBorder="1" applyAlignment="1">
      <alignment horizontal="center" vertical="center" wrapText="1"/>
    </xf>
    <xf numFmtId="0" fontId="528" fillId="272" borderId="0" xfId="0" applyFont="1" applyFill="1"/>
    <xf numFmtId="0" fontId="528" fillId="273" borderId="0" xfId="0" applyFont="1" applyFill="1"/>
    <xf numFmtId="0" fontId="528" fillId="274" borderId="0" xfId="0" applyFont="1" applyFill="1"/>
    <xf numFmtId="0" fontId="527" fillId="151" borderId="332" xfId="43" applyFont="1" applyFill="1" applyBorder="1" applyAlignment="1">
      <alignment horizontal="center" vertical="center" wrapText="1"/>
    </xf>
    <xf numFmtId="0" fontId="345" fillId="193" borderId="332" xfId="43" applyFont="1" applyFill="1" applyBorder="1" applyAlignment="1">
      <alignment horizontal="center" vertical="center" wrapText="1"/>
    </xf>
    <xf numFmtId="0" fontId="528" fillId="275" borderId="0" xfId="0" applyFont="1" applyFill="1"/>
    <xf numFmtId="0" fontId="528" fillId="276" borderId="0" xfId="0" applyFont="1" applyFill="1"/>
    <xf numFmtId="0" fontId="528" fillId="277" borderId="0" xfId="0" applyFont="1" applyFill="1"/>
    <xf numFmtId="0" fontId="527" fillId="153" borderId="332" xfId="43" applyFont="1" applyFill="1" applyBorder="1" applyAlignment="1">
      <alignment horizontal="center" vertical="center" wrapText="1"/>
    </xf>
    <xf numFmtId="0" fontId="528" fillId="278" borderId="0" xfId="0" applyFont="1" applyFill="1"/>
    <xf numFmtId="0" fontId="528" fillId="279" borderId="0" xfId="0" applyFont="1" applyFill="1"/>
    <xf numFmtId="0" fontId="528" fillId="280" borderId="0" xfId="0" applyFont="1" applyFill="1"/>
    <xf numFmtId="0" fontId="528" fillId="281" borderId="0" xfId="0" applyFont="1" applyFill="1"/>
    <xf numFmtId="0" fontId="528" fillId="282" borderId="0" xfId="0" applyFont="1" applyFill="1"/>
    <xf numFmtId="0" fontId="528" fillId="283" borderId="0" xfId="0" applyFont="1" applyFill="1"/>
    <xf numFmtId="0" fontId="88" fillId="0" borderId="0" xfId="0" applyFont="1"/>
    <xf numFmtId="0" fontId="528" fillId="284" borderId="0" xfId="0" applyFont="1" applyFill="1"/>
    <xf numFmtId="0" fontId="528" fillId="22" borderId="0" xfId="0" applyFont="1" applyFill="1"/>
    <xf numFmtId="0" fontId="528" fillId="285" borderId="0" xfId="0" applyFont="1" applyFill="1"/>
    <xf numFmtId="0" fontId="400" fillId="0" borderId="0" xfId="17" applyFont="1"/>
    <xf numFmtId="0" fontId="528" fillId="286" borderId="0" xfId="0" applyFont="1" applyFill="1"/>
    <xf numFmtId="0" fontId="528" fillId="287" borderId="0" xfId="0" applyFont="1" applyFill="1"/>
    <xf numFmtId="0" fontId="528" fillId="288" borderId="0" xfId="0" applyFont="1" applyFill="1"/>
    <xf numFmtId="0" fontId="528" fillId="289" borderId="0" xfId="0" applyFont="1" applyFill="1"/>
    <xf numFmtId="0" fontId="528" fillId="290" borderId="0" xfId="0" applyFont="1" applyFill="1"/>
    <xf numFmtId="0" fontId="528" fillId="291" borderId="0" xfId="0" applyFont="1" applyFill="1"/>
    <xf numFmtId="0" fontId="530" fillId="194" borderId="0" xfId="0" applyFont="1" applyFill="1" applyAlignment="1">
      <alignment horizontal="center" vertical="center" wrapText="1"/>
    </xf>
    <xf numFmtId="0" fontId="530" fillId="292" borderId="0" xfId="0" applyFont="1" applyFill="1" applyAlignment="1">
      <alignment horizontal="center" vertical="center" wrapText="1"/>
    </xf>
    <xf numFmtId="0" fontId="530" fillId="293" borderId="0" xfId="0" applyFont="1" applyFill="1" applyAlignment="1">
      <alignment horizontal="center" vertical="center" wrapText="1"/>
    </xf>
    <xf numFmtId="0" fontId="530" fillId="294" borderId="0" xfId="0" applyFont="1" applyFill="1" applyAlignment="1">
      <alignment horizontal="center" vertical="center" wrapText="1"/>
    </xf>
    <xf numFmtId="0" fontId="530" fillId="295" borderId="0" xfId="0" applyFont="1" applyFill="1" applyAlignment="1">
      <alignment horizontal="center" vertical="center" wrapText="1"/>
    </xf>
    <xf numFmtId="0" fontId="530" fillId="296" borderId="0" xfId="0" applyFont="1" applyFill="1" applyAlignment="1">
      <alignment horizontal="center" vertical="center" wrapText="1"/>
    </xf>
    <xf numFmtId="0" fontId="530" fillId="297" borderId="0" xfId="0" applyFont="1" applyFill="1" applyAlignment="1">
      <alignment horizontal="center" vertical="center" wrapText="1"/>
    </xf>
    <xf numFmtId="0" fontId="530" fillId="298" borderId="0" xfId="0" applyFont="1" applyFill="1" applyAlignment="1">
      <alignment horizontal="center" vertical="center" wrapText="1"/>
    </xf>
    <xf numFmtId="0" fontId="530" fillId="68" borderId="0" xfId="0" applyFont="1" applyFill="1" applyAlignment="1">
      <alignment horizontal="center" vertical="center" wrapText="1"/>
    </xf>
    <xf numFmtId="0" fontId="528" fillId="299" borderId="0" xfId="0" applyFont="1" applyFill="1"/>
    <xf numFmtId="0" fontId="528" fillId="300" borderId="0" xfId="0" applyFont="1" applyFill="1"/>
    <xf numFmtId="0" fontId="528" fillId="301" borderId="0" xfId="0" applyFont="1" applyFill="1"/>
    <xf numFmtId="0" fontId="530" fillId="302" borderId="0" xfId="0" applyFont="1" applyFill="1" applyAlignment="1">
      <alignment horizontal="center" vertical="center" wrapText="1"/>
    </xf>
    <xf numFmtId="0" fontId="530" fillId="303" borderId="0" xfId="0" applyFont="1" applyFill="1" applyAlignment="1">
      <alignment horizontal="center" vertical="center" wrapText="1"/>
    </xf>
    <xf numFmtId="0" fontId="530" fillId="304" borderId="0" xfId="0" applyFont="1" applyFill="1" applyAlignment="1">
      <alignment horizontal="center" vertical="center" wrapText="1"/>
    </xf>
    <xf numFmtId="0" fontId="530" fillId="305" borderId="0" xfId="0" applyFont="1" applyFill="1" applyAlignment="1">
      <alignment horizontal="center" vertical="center" wrapText="1"/>
    </xf>
    <xf numFmtId="0" fontId="530" fillId="306" borderId="0" xfId="0" applyFont="1" applyFill="1" applyAlignment="1">
      <alignment horizontal="center" vertical="center" wrapText="1"/>
    </xf>
    <xf numFmtId="0" fontId="530" fillId="307" borderId="0" xfId="0" applyFont="1" applyFill="1" applyAlignment="1">
      <alignment horizontal="center" vertical="center" wrapText="1"/>
    </xf>
    <xf numFmtId="0" fontId="530" fillId="308" borderId="0" xfId="0" applyFont="1" applyFill="1" applyAlignment="1">
      <alignment horizontal="center" vertical="center" wrapText="1"/>
    </xf>
    <xf numFmtId="0" fontId="530" fillId="309" borderId="0" xfId="0" applyFont="1" applyFill="1" applyAlignment="1">
      <alignment horizontal="center" vertical="center" wrapText="1"/>
    </xf>
    <xf numFmtId="0" fontId="530" fillId="310" borderId="0" xfId="0" applyFont="1" applyFill="1" applyAlignment="1">
      <alignment horizontal="center" vertical="center" wrapText="1"/>
    </xf>
    <xf numFmtId="0" fontId="528" fillId="311" borderId="0" xfId="0" applyFont="1" applyFill="1"/>
    <xf numFmtId="0" fontId="528" fillId="312" borderId="0" xfId="0" applyFont="1" applyFill="1"/>
    <xf numFmtId="0" fontId="528" fillId="313" borderId="0" xfId="0" applyFont="1" applyFill="1"/>
    <xf numFmtId="0" fontId="530" fillId="314" borderId="0" xfId="0" applyFont="1" applyFill="1" applyAlignment="1">
      <alignment horizontal="center" vertical="center" wrapText="1"/>
    </xf>
    <xf numFmtId="0" fontId="530" fillId="315" borderId="0" xfId="0" applyFont="1" applyFill="1" applyAlignment="1">
      <alignment horizontal="center" vertical="center" wrapText="1"/>
    </xf>
    <xf numFmtId="0" fontId="530" fillId="316" borderId="0" xfId="0" applyFont="1" applyFill="1" applyAlignment="1">
      <alignment horizontal="center" vertical="center" wrapText="1"/>
    </xf>
    <xf numFmtId="0" fontId="530" fillId="317" borderId="0" xfId="0" applyFont="1" applyFill="1" applyAlignment="1">
      <alignment horizontal="center" vertical="center" wrapText="1"/>
    </xf>
    <xf numFmtId="0" fontId="530" fillId="318" borderId="0" xfId="0" applyFont="1" applyFill="1" applyAlignment="1">
      <alignment horizontal="center" vertical="center" wrapText="1"/>
    </xf>
    <xf numFmtId="0" fontId="530" fillId="319" borderId="0" xfId="0" applyFont="1" applyFill="1" applyAlignment="1">
      <alignment horizontal="center" vertical="center" wrapText="1"/>
    </xf>
    <xf numFmtId="0" fontId="530" fillId="320" borderId="0" xfId="0" applyFont="1" applyFill="1" applyAlignment="1">
      <alignment horizontal="center" vertical="center" wrapText="1"/>
    </xf>
    <xf numFmtId="0" fontId="530" fillId="321" borderId="0" xfId="0" applyFont="1" applyFill="1" applyAlignment="1">
      <alignment horizontal="center" vertical="center" wrapText="1"/>
    </xf>
    <xf numFmtId="0" fontId="530" fillId="322" borderId="0" xfId="0" applyFont="1" applyFill="1" applyAlignment="1">
      <alignment horizontal="center" vertical="center" wrapText="1"/>
    </xf>
    <xf numFmtId="0" fontId="528" fillId="323" borderId="0" xfId="0" applyFont="1" applyFill="1"/>
    <xf numFmtId="0" fontId="528" fillId="324" borderId="0" xfId="0" applyFont="1" applyFill="1"/>
    <xf numFmtId="0" fontId="528" fillId="325" borderId="0" xfId="0" applyFont="1" applyFill="1"/>
    <xf numFmtId="0" fontId="530" fillId="326" borderId="0" xfId="0" applyFont="1" applyFill="1" applyAlignment="1">
      <alignment horizontal="center" vertical="center" wrapText="1"/>
    </xf>
    <xf numFmtId="0" fontId="530" fillId="327" borderId="0" xfId="0" applyFont="1" applyFill="1" applyAlignment="1">
      <alignment horizontal="center" vertical="center" wrapText="1"/>
    </xf>
    <xf numFmtId="0" fontId="530" fillId="328" borderId="0" xfId="0" applyFont="1" applyFill="1" applyAlignment="1">
      <alignment horizontal="center" vertical="center" wrapText="1"/>
    </xf>
    <xf numFmtId="0" fontId="530" fillId="329" borderId="0" xfId="0" applyFont="1" applyFill="1" applyAlignment="1">
      <alignment horizontal="center" vertical="center" wrapText="1"/>
    </xf>
    <xf numFmtId="0" fontId="530" fillId="330" borderId="0" xfId="0" applyFont="1" applyFill="1" applyAlignment="1">
      <alignment horizontal="center" vertical="center" wrapText="1"/>
    </xf>
    <xf numFmtId="0" fontId="530" fillId="331" borderId="0" xfId="0" applyFont="1" applyFill="1" applyAlignment="1">
      <alignment horizontal="center" vertical="center" wrapText="1"/>
    </xf>
    <xf numFmtId="0" fontId="530" fillId="332" borderId="0" xfId="0" applyFont="1" applyFill="1" applyAlignment="1">
      <alignment horizontal="center" vertical="center" wrapText="1"/>
    </xf>
    <xf numFmtId="0" fontId="530" fillId="333" borderId="0" xfId="0" applyFont="1" applyFill="1" applyAlignment="1">
      <alignment horizontal="center" vertical="center" wrapText="1"/>
    </xf>
    <xf numFmtId="0" fontId="530" fillId="334" borderId="0" xfId="0" applyFont="1" applyFill="1" applyAlignment="1">
      <alignment horizontal="center" vertical="center" wrapText="1"/>
    </xf>
    <xf numFmtId="0" fontId="528" fillId="335" borderId="0" xfId="0" applyFont="1" applyFill="1"/>
    <xf numFmtId="0" fontId="528" fillId="336" borderId="0" xfId="0" applyFont="1" applyFill="1"/>
    <xf numFmtId="0" fontId="528" fillId="337" borderId="0" xfId="0" applyFont="1" applyFill="1"/>
    <xf numFmtId="0" fontId="530" fillId="73" borderId="0" xfId="0" applyFont="1" applyFill="1" applyAlignment="1">
      <alignment horizontal="center" vertical="center" wrapText="1"/>
    </xf>
    <xf numFmtId="0" fontId="530" fillId="338" borderId="0" xfId="0" applyFont="1" applyFill="1" applyAlignment="1">
      <alignment horizontal="center" vertical="center" wrapText="1"/>
    </xf>
    <xf numFmtId="0" fontId="530" fillId="339" borderId="0" xfId="0" applyFont="1" applyFill="1" applyAlignment="1">
      <alignment horizontal="center" vertical="center" wrapText="1"/>
    </xf>
    <xf numFmtId="0" fontId="530" fillId="340" borderId="0" xfId="0" applyFont="1" applyFill="1" applyAlignment="1">
      <alignment horizontal="center" vertical="center" wrapText="1"/>
    </xf>
    <xf numFmtId="0" fontId="530" fillId="341" borderId="0" xfId="0" applyFont="1" applyFill="1" applyAlignment="1">
      <alignment horizontal="center" vertical="center" wrapText="1"/>
    </xf>
    <xf numFmtId="0" fontId="530" fillId="342" borderId="0" xfId="0" applyFont="1" applyFill="1" applyAlignment="1">
      <alignment horizontal="center" vertical="center" wrapText="1"/>
    </xf>
    <xf numFmtId="0" fontId="530" fillId="343" borderId="0" xfId="0" applyFont="1" applyFill="1" applyAlignment="1">
      <alignment horizontal="center" vertical="center" wrapText="1"/>
    </xf>
    <xf numFmtId="0" fontId="530" fillId="344" borderId="0" xfId="0" applyFont="1" applyFill="1" applyAlignment="1">
      <alignment horizontal="center" vertical="center" wrapText="1"/>
    </xf>
    <xf numFmtId="0" fontId="530" fillId="345" borderId="0" xfId="0" applyFont="1" applyFill="1" applyAlignment="1">
      <alignment horizontal="center" vertical="center" wrapText="1"/>
    </xf>
    <xf numFmtId="0" fontId="528" fillId="86" borderId="0" xfId="0" applyFont="1" applyFill="1"/>
    <xf numFmtId="0" fontId="528" fillId="346" borderId="0" xfId="0" applyFont="1" applyFill="1"/>
    <xf numFmtId="0" fontId="528" fillId="347" borderId="0" xfId="0" applyFont="1" applyFill="1"/>
    <xf numFmtId="0" fontId="530" fillId="348" borderId="0" xfId="0" applyFont="1" applyFill="1" applyAlignment="1">
      <alignment horizontal="center" vertical="center" wrapText="1"/>
    </xf>
    <xf numFmtId="0" fontId="530" fillId="349" borderId="0" xfId="0" applyFont="1" applyFill="1" applyAlignment="1">
      <alignment horizontal="center" vertical="center" wrapText="1"/>
    </xf>
    <xf numFmtId="0" fontId="530" fillId="350" borderId="0" xfId="0" applyFont="1" applyFill="1" applyAlignment="1">
      <alignment horizontal="center" vertical="center" wrapText="1"/>
    </xf>
    <xf numFmtId="0" fontId="530" fillId="351" borderId="0" xfId="0" applyFont="1" applyFill="1" applyAlignment="1">
      <alignment horizontal="center" vertical="center" wrapText="1"/>
    </xf>
    <xf numFmtId="0" fontId="530" fillId="352" borderId="0" xfId="0" applyFont="1" applyFill="1" applyAlignment="1">
      <alignment horizontal="center" vertical="center" wrapText="1"/>
    </xf>
    <xf numFmtId="0" fontId="530" fillId="353" borderId="0" xfId="0" applyFont="1" applyFill="1" applyAlignment="1">
      <alignment horizontal="center" vertical="center" wrapText="1"/>
    </xf>
    <xf numFmtId="0" fontId="530" fillId="354" borderId="0" xfId="0" applyFont="1" applyFill="1" applyAlignment="1">
      <alignment horizontal="center" vertical="center" wrapText="1"/>
    </xf>
    <xf numFmtId="0" fontId="530" fillId="355" borderId="0" xfId="0" applyFont="1" applyFill="1" applyAlignment="1">
      <alignment horizontal="center" vertical="center" wrapText="1"/>
    </xf>
    <xf numFmtId="0" fontId="530" fillId="356" borderId="0" xfId="0" applyFont="1" applyFill="1" applyAlignment="1">
      <alignment horizontal="center" vertical="center" wrapText="1"/>
    </xf>
    <xf numFmtId="0" fontId="528" fillId="357" borderId="0" xfId="0" applyFont="1" applyFill="1"/>
    <xf numFmtId="0" fontId="528" fillId="358" borderId="0" xfId="0" applyFont="1" applyFill="1"/>
    <xf numFmtId="0" fontId="528" fillId="359" borderId="0" xfId="0" applyFont="1" applyFill="1"/>
    <xf numFmtId="0" fontId="530" fillId="360" borderId="0" xfId="0" applyFont="1" applyFill="1" applyAlignment="1">
      <alignment horizontal="center" vertical="center" wrapText="1"/>
    </xf>
    <xf numFmtId="0" fontId="530" fillId="361" borderId="0" xfId="0" applyFont="1" applyFill="1" applyAlignment="1">
      <alignment horizontal="center" vertical="center" wrapText="1"/>
    </xf>
    <xf numFmtId="0" fontId="530" fillId="362" borderId="0" xfId="0" applyFont="1" applyFill="1" applyAlignment="1">
      <alignment horizontal="center" vertical="center" wrapText="1"/>
    </xf>
    <xf numFmtId="0" fontId="530" fillId="363" borderId="0" xfId="0" applyFont="1" applyFill="1" applyAlignment="1">
      <alignment horizontal="center" vertical="center" wrapText="1"/>
    </xf>
    <xf numFmtId="0" fontId="530" fillId="364" borderId="0" xfId="0" applyFont="1" applyFill="1" applyAlignment="1">
      <alignment horizontal="center" vertical="center" wrapText="1"/>
    </xf>
    <xf numFmtId="0" fontId="530" fillId="365" borderId="0" xfId="0" applyFont="1" applyFill="1" applyAlignment="1">
      <alignment horizontal="center" vertical="center" wrapText="1"/>
    </xf>
    <xf numFmtId="0" fontId="530" fillId="366" borderId="0" xfId="0" applyFont="1" applyFill="1" applyAlignment="1">
      <alignment horizontal="center" vertical="center" wrapText="1"/>
    </xf>
    <xf numFmtId="0" fontId="530" fillId="367" borderId="0" xfId="0" applyFont="1" applyFill="1" applyAlignment="1">
      <alignment horizontal="center" vertical="center" wrapText="1"/>
    </xf>
    <xf numFmtId="0" fontId="530" fillId="368" borderId="0" xfId="0" applyFont="1" applyFill="1" applyAlignment="1">
      <alignment horizontal="center" vertical="center" wrapText="1"/>
    </xf>
    <xf numFmtId="0" fontId="528" fillId="369" borderId="0" xfId="0" applyFont="1" applyFill="1"/>
    <xf numFmtId="0" fontId="528" fillId="370" borderId="0" xfId="0" applyFont="1" applyFill="1"/>
    <xf numFmtId="0" fontId="528" fillId="371" borderId="0" xfId="0" applyFont="1" applyFill="1"/>
    <xf numFmtId="0" fontId="530" fillId="372" borderId="0" xfId="0" applyFont="1" applyFill="1" applyAlignment="1">
      <alignment horizontal="center" vertical="center" wrapText="1"/>
    </xf>
    <xf numFmtId="0" fontId="530" fillId="373" borderId="0" xfId="0" applyFont="1" applyFill="1" applyAlignment="1">
      <alignment horizontal="center" vertical="center" wrapText="1"/>
    </xf>
    <xf numFmtId="0" fontId="530" fillId="374" borderId="0" xfId="0" applyFont="1" applyFill="1" applyAlignment="1">
      <alignment horizontal="center" vertical="center" wrapText="1"/>
    </xf>
    <xf numFmtId="0" fontId="530" fillId="375" borderId="0" xfId="0" applyFont="1" applyFill="1" applyAlignment="1">
      <alignment horizontal="center" vertical="center" wrapText="1"/>
    </xf>
    <xf numFmtId="0" fontId="530" fillId="376" borderId="0" xfId="0" applyFont="1" applyFill="1" applyAlignment="1">
      <alignment horizontal="center" vertical="center" wrapText="1"/>
    </xf>
    <xf numFmtId="0" fontId="530" fillId="377" borderId="0" xfId="0" applyFont="1" applyFill="1" applyAlignment="1">
      <alignment horizontal="center" vertical="center" wrapText="1"/>
    </xf>
    <xf numFmtId="0" fontId="530" fillId="378" borderId="0" xfId="0" applyFont="1" applyFill="1" applyAlignment="1">
      <alignment horizontal="center" vertical="center" wrapText="1"/>
    </xf>
    <xf numFmtId="0" fontId="530" fillId="379" borderId="0" xfId="0" applyFont="1" applyFill="1" applyAlignment="1">
      <alignment horizontal="center" vertical="center" wrapText="1"/>
    </xf>
    <xf numFmtId="0" fontId="0" fillId="380" borderId="0" xfId="0" applyFill="1" applyAlignment="1">
      <alignment horizontal="center" vertical="center" wrapText="1"/>
    </xf>
    <xf numFmtId="0" fontId="528" fillId="381" borderId="0" xfId="0" applyFont="1" applyFill="1"/>
    <xf numFmtId="0" fontId="528" fillId="382" borderId="0" xfId="0" applyFont="1" applyFill="1"/>
    <xf numFmtId="0" fontId="528" fillId="383" borderId="0" xfId="0" applyFont="1" applyFill="1"/>
    <xf numFmtId="0" fontId="530" fillId="79" borderId="0" xfId="0" applyFont="1" applyFill="1" applyAlignment="1">
      <alignment horizontal="center" vertical="center" wrapText="1"/>
    </xf>
    <xf numFmtId="0" fontId="530" fillId="384" borderId="0" xfId="0" applyFont="1" applyFill="1" applyAlignment="1">
      <alignment horizontal="center" vertical="center" wrapText="1"/>
    </xf>
    <xf numFmtId="0" fontId="530" fillId="385" borderId="0" xfId="0" applyFont="1" applyFill="1" applyAlignment="1">
      <alignment horizontal="center" vertical="center" wrapText="1"/>
    </xf>
    <xf numFmtId="0" fontId="530" fillId="386" borderId="0" xfId="0" applyFont="1" applyFill="1" applyAlignment="1">
      <alignment horizontal="center" vertical="center" wrapText="1"/>
    </xf>
    <xf numFmtId="0" fontId="530" fillId="387" borderId="0" xfId="0" applyFont="1" applyFill="1" applyAlignment="1">
      <alignment horizontal="center" vertical="center" wrapText="1"/>
    </xf>
    <xf numFmtId="0" fontId="530" fillId="388" borderId="0" xfId="0" applyFont="1" applyFill="1" applyAlignment="1">
      <alignment horizontal="center" vertical="center" wrapText="1"/>
    </xf>
    <xf numFmtId="0" fontId="530" fillId="389" borderId="0" xfId="0" applyFont="1" applyFill="1" applyAlignment="1">
      <alignment horizontal="center" vertical="center" wrapText="1"/>
    </xf>
    <xf numFmtId="0" fontId="0" fillId="390" borderId="0" xfId="0" applyFill="1" applyAlignment="1">
      <alignment horizontal="center" vertical="center" wrapText="1"/>
    </xf>
    <xf numFmtId="0" fontId="0" fillId="217" borderId="0" xfId="0" applyFill="1" applyAlignment="1">
      <alignment horizontal="center" vertical="center" wrapText="1"/>
    </xf>
    <xf numFmtId="0" fontId="528" fillId="391" borderId="0" xfId="0" applyFont="1" applyFill="1"/>
    <xf numFmtId="0" fontId="528" fillId="392" borderId="0" xfId="0" applyFont="1" applyFill="1"/>
    <xf numFmtId="0" fontId="528" fillId="393" borderId="0" xfId="0" applyFont="1" applyFill="1"/>
    <xf numFmtId="0" fontId="530" fillId="394" borderId="0" xfId="0" applyFont="1" applyFill="1" applyAlignment="1">
      <alignment horizontal="center" vertical="center" wrapText="1"/>
    </xf>
    <xf numFmtId="0" fontId="530" fillId="395" borderId="0" xfId="0" applyFont="1" applyFill="1" applyAlignment="1">
      <alignment horizontal="center" vertical="center" wrapText="1"/>
    </xf>
    <xf numFmtId="0" fontId="530" fillId="396" borderId="0" xfId="0" applyFont="1" applyFill="1" applyAlignment="1">
      <alignment horizontal="center" vertical="center" wrapText="1"/>
    </xf>
    <xf numFmtId="0" fontId="530" fillId="397" borderId="0" xfId="0" applyFont="1" applyFill="1" applyAlignment="1">
      <alignment horizontal="center" vertical="center" wrapText="1"/>
    </xf>
    <xf numFmtId="0" fontId="530" fillId="398" borderId="0" xfId="0" applyFont="1" applyFill="1" applyAlignment="1">
      <alignment horizontal="center" vertical="center" wrapText="1"/>
    </xf>
    <xf numFmtId="0" fontId="530" fillId="399" borderId="0" xfId="0" applyFont="1" applyFill="1" applyAlignment="1">
      <alignment horizontal="center" vertical="center" wrapText="1"/>
    </xf>
    <xf numFmtId="0" fontId="530" fillId="400" borderId="0" xfId="0" applyFont="1" applyFill="1" applyAlignment="1">
      <alignment horizontal="center" vertical="center" wrapText="1"/>
    </xf>
    <xf numFmtId="0" fontId="530" fillId="401" borderId="0" xfId="0" applyFont="1" applyFill="1" applyAlignment="1">
      <alignment horizontal="center" vertical="center" wrapText="1"/>
    </xf>
    <xf numFmtId="0" fontId="530" fillId="402" borderId="0" xfId="0" applyFont="1" applyFill="1" applyAlignment="1">
      <alignment horizontal="center" vertical="center" wrapText="1"/>
    </xf>
    <xf numFmtId="0" fontId="528" fillId="403" borderId="0" xfId="0" applyFont="1" applyFill="1"/>
    <xf numFmtId="0" fontId="528" fillId="404" borderId="0" xfId="0" applyFont="1" applyFill="1"/>
    <xf numFmtId="0" fontId="530" fillId="405" borderId="0" xfId="0" applyFont="1" applyFill="1" applyAlignment="1">
      <alignment horizontal="center" vertical="center" wrapText="1"/>
    </xf>
    <xf numFmtId="0" fontId="530" fillId="406" borderId="0" xfId="0" applyFont="1" applyFill="1" applyAlignment="1">
      <alignment horizontal="center" vertical="center" wrapText="1"/>
    </xf>
    <xf numFmtId="0" fontId="530" fillId="407" borderId="0" xfId="0" applyFont="1" applyFill="1" applyAlignment="1">
      <alignment horizontal="center" vertical="center" wrapText="1"/>
    </xf>
    <xf numFmtId="0" fontId="530" fillId="408" borderId="0" xfId="0" applyFont="1" applyFill="1" applyAlignment="1">
      <alignment horizontal="center" vertical="center" wrapText="1"/>
    </xf>
    <xf numFmtId="0" fontId="530" fillId="409" borderId="0" xfId="0" applyFont="1" applyFill="1" applyAlignment="1">
      <alignment horizontal="center" vertical="center" wrapText="1"/>
    </xf>
    <xf numFmtId="0" fontId="530" fillId="410" borderId="0" xfId="0" applyFont="1" applyFill="1" applyAlignment="1">
      <alignment horizontal="center" vertical="center" wrapText="1"/>
    </xf>
    <xf numFmtId="0" fontId="530" fillId="411" borderId="0" xfId="0" applyFont="1" applyFill="1" applyAlignment="1">
      <alignment horizontal="center" vertical="center" wrapText="1"/>
    </xf>
    <xf numFmtId="0" fontId="530" fillId="412" borderId="0" xfId="0" applyFont="1" applyFill="1" applyAlignment="1">
      <alignment horizontal="center" vertical="center" wrapText="1"/>
    </xf>
    <xf numFmtId="0" fontId="530" fillId="413" borderId="0" xfId="0" applyFont="1" applyFill="1" applyAlignment="1">
      <alignment horizontal="center" vertical="center" wrapText="1"/>
    </xf>
    <xf numFmtId="0" fontId="528" fillId="414" borderId="0" xfId="0" applyFont="1" applyFill="1"/>
    <xf numFmtId="0" fontId="528" fillId="415" borderId="0" xfId="0" applyFont="1" applyFill="1"/>
    <xf numFmtId="0" fontId="528" fillId="416" borderId="0" xfId="0" applyFont="1" applyFill="1"/>
    <xf numFmtId="0" fontId="530" fillId="417" borderId="0" xfId="0" applyFont="1" applyFill="1" applyAlignment="1">
      <alignment horizontal="center" vertical="center" wrapText="1"/>
    </xf>
    <xf numFmtId="0" fontId="530" fillId="418" borderId="0" xfId="0" applyFont="1" applyFill="1" applyAlignment="1">
      <alignment horizontal="center" vertical="center" wrapText="1"/>
    </xf>
    <xf numFmtId="0" fontId="530" fillId="419" borderId="0" xfId="0" applyFont="1" applyFill="1" applyAlignment="1">
      <alignment horizontal="center" vertical="center" wrapText="1"/>
    </xf>
    <xf numFmtId="0" fontId="530" fillId="420" borderId="0" xfId="0" applyFont="1" applyFill="1" applyAlignment="1">
      <alignment horizontal="center" vertical="center" wrapText="1"/>
    </xf>
    <xf numFmtId="0" fontId="530" fillId="421" borderId="0" xfId="0" applyFont="1" applyFill="1" applyAlignment="1">
      <alignment horizontal="center" vertical="center" wrapText="1"/>
    </xf>
    <xf numFmtId="0" fontId="530" fillId="422" borderId="0" xfId="0" applyFont="1" applyFill="1" applyAlignment="1">
      <alignment horizontal="center" vertical="center" wrapText="1"/>
    </xf>
    <xf numFmtId="0" fontId="530" fillId="423" borderId="0" xfId="0" applyFont="1" applyFill="1" applyAlignment="1">
      <alignment horizontal="center" vertical="center" wrapText="1"/>
    </xf>
    <xf numFmtId="0" fontId="530" fillId="424" borderId="0" xfId="0" applyFont="1" applyFill="1" applyAlignment="1">
      <alignment horizontal="center" vertical="center" wrapText="1"/>
    </xf>
    <xf numFmtId="0" fontId="530" fillId="425" borderId="0" xfId="0" applyFont="1" applyFill="1" applyAlignment="1">
      <alignment horizontal="center" vertical="center" wrapText="1"/>
    </xf>
    <xf numFmtId="0" fontId="528" fillId="426" borderId="0" xfId="0" applyFont="1" applyFill="1"/>
    <xf numFmtId="0" fontId="528" fillId="427" borderId="0" xfId="0" applyFont="1" applyFill="1"/>
    <xf numFmtId="0" fontId="528" fillId="428" borderId="0" xfId="0" applyFont="1" applyFill="1"/>
    <xf numFmtId="0" fontId="530" fillId="429" borderId="0" xfId="0" applyFont="1" applyFill="1" applyAlignment="1">
      <alignment horizontal="center" vertical="center" wrapText="1"/>
    </xf>
    <xf numFmtId="0" fontId="530" fillId="430" borderId="0" xfId="0" applyFont="1" applyFill="1" applyAlignment="1">
      <alignment horizontal="center" vertical="center" wrapText="1"/>
    </xf>
    <xf numFmtId="0" fontId="530" fillId="431" borderId="0" xfId="0" applyFont="1" applyFill="1" applyAlignment="1">
      <alignment horizontal="center" vertical="center" wrapText="1"/>
    </xf>
    <xf numFmtId="0" fontId="530" fillId="432" borderId="0" xfId="0" applyFont="1" applyFill="1" applyAlignment="1">
      <alignment horizontal="center" vertical="center" wrapText="1"/>
    </xf>
    <xf numFmtId="0" fontId="530" fillId="433" borderId="0" xfId="0" applyFont="1" applyFill="1" applyAlignment="1">
      <alignment horizontal="center" vertical="center" wrapText="1"/>
    </xf>
    <xf numFmtId="0" fontId="530" fillId="434" borderId="0" xfId="0" applyFont="1" applyFill="1" applyAlignment="1">
      <alignment horizontal="center" vertical="center" wrapText="1"/>
    </xf>
    <xf numFmtId="0" fontId="530" fillId="435" borderId="0" xfId="0" applyFont="1" applyFill="1" applyAlignment="1">
      <alignment horizontal="center" vertical="center" wrapText="1"/>
    </xf>
    <xf numFmtId="0" fontId="530" fillId="436" borderId="0" xfId="0" applyFont="1" applyFill="1" applyAlignment="1">
      <alignment horizontal="center" vertical="center" wrapText="1"/>
    </xf>
    <xf numFmtId="0" fontId="530" fillId="437" borderId="0" xfId="0" applyFont="1" applyFill="1" applyAlignment="1">
      <alignment horizontal="center" vertical="center" wrapText="1"/>
    </xf>
    <xf numFmtId="0" fontId="528" fillId="438" borderId="0" xfId="0" applyFont="1" applyFill="1"/>
    <xf numFmtId="0" fontId="528" fillId="439" borderId="0" xfId="0" applyFont="1" applyFill="1"/>
    <xf numFmtId="0" fontId="528" fillId="440" borderId="0" xfId="0" applyFont="1" applyFill="1"/>
    <xf numFmtId="0" fontId="530" fillId="441" borderId="0" xfId="0" applyFont="1" applyFill="1" applyAlignment="1">
      <alignment horizontal="center" vertical="center" wrapText="1"/>
    </xf>
    <xf numFmtId="0" fontId="530" fillId="442" borderId="0" xfId="0" applyFont="1" applyFill="1" applyAlignment="1">
      <alignment horizontal="center" vertical="center" wrapText="1"/>
    </xf>
    <xf numFmtId="0" fontId="530" fillId="443" borderId="0" xfId="0" applyFont="1" applyFill="1" applyAlignment="1">
      <alignment horizontal="center" vertical="center" wrapText="1"/>
    </xf>
    <xf numFmtId="0" fontId="530" fillId="444" borderId="0" xfId="0" applyFont="1" applyFill="1" applyAlignment="1">
      <alignment horizontal="center" vertical="center" wrapText="1"/>
    </xf>
    <xf numFmtId="0" fontId="530" fillId="445" borderId="0" xfId="0" applyFont="1" applyFill="1" applyAlignment="1">
      <alignment horizontal="center" vertical="center" wrapText="1"/>
    </xf>
    <xf numFmtId="0" fontId="530" fillId="446" borderId="0" xfId="0" applyFont="1" applyFill="1" applyAlignment="1">
      <alignment horizontal="center" vertical="center" wrapText="1"/>
    </xf>
    <xf numFmtId="0" fontId="530" fillId="447" borderId="0" xfId="0" applyFont="1" applyFill="1" applyAlignment="1">
      <alignment horizontal="center" vertical="center" wrapText="1"/>
    </xf>
    <xf numFmtId="0" fontId="530" fillId="448" borderId="0" xfId="0" applyFont="1" applyFill="1" applyAlignment="1">
      <alignment horizontal="center" vertical="center" wrapText="1"/>
    </xf>
    <xf numFmtId="0" fontId="530" fillId="449" borderId="0" xfId="0" applyFont="1" applyFill="1" applyAlignment="1">
      <alignment horizontal="center" vertical="center" wrapText="1"/>
    </xf>
    <xf numFmtId="0" fontId="528" fillId="450" borderId="0" xfId="0" applyFont="1" applyFill="1"/>
    <xf numFmtId="0" fontId="528" fillId="451" borderId="0" xfId="0" applyFont="1" applyFill="1"/>
    <xf numFmtId="0" fontId="528" fillId="452" borderId="0" xfId="0" applyFont="1" applyFill="1"/>
    <xf numFmtId="0" fontId="530" fillId="453" borderId="0" xfId="0" applyFont="1" applyFill="1" applyAlignment="1">
      <alignment horizontal="center" vertical="center" wrapText="1"/>
    </xf>
    <xf numFmtId="0" fontId="530" fillId="454" borderId="0" xfId="0" applyFont="1" applyFill="1" applyAlignment="1">
      <alignment horizontal="center" vertical="center" wrapText="1"/>
    </xf>
    <xf numFmtId="0" fontId="530" fillId="455" borderId="0" xfId="0" applyFont="1" applyFill="1" applyAlignment="1">
      <alignment horizontal="center" vertical="center" wrapText="1"/>
    </xf>
    <xf numFmtId="0" fontId="530" fillId="456" borderId="0" xfId="0" applyFont="1" applyFill="1" applyAlignment="1">
      <alignment horizontal="center" vertical="center" wrapText="1"/>
    </xf>
    <xf numFmtId="0" fontId="530" fillId="457" borderId="0" xfId="0" applyFont="1" applyFill="1" applyAlignment="1">
      <alignment horizontal="center" vertical="center" wrapText="1"/>
    </xf>
    <xf numFmtId="0" fontId="530" fillId="458" borderId="0" xfId="0" applyFont="1" applyFill="1" applyAlignment="1">
      <alignment horizontal="center" vertical="center" wrapText="1"/>
    </xf>
    <xf numFmtId="0" fontId="530" fillId="459" borderId="0" xfId="0" applyFont="1" applyFill="1" applyAlignment="1">
      <alignment horizontal="center" vertical="center" wrapText="1"/>
    </xf>
    <xf numFmtId="0" fontId="530" fillId="460" borderId="0" xfId="0" applyFont="1" applyFill="1" applyAlignment="1">
      <alignment horizontal="center" vertical="center" wrapText="1"/>
    </xf>
    <xf numFmtId="0" fontId="530" fillId="461" borderId="0" xfId="0" applyFont="1" applyFill="1" applyAlignment="1">
      <alignment horizontal="center" vertical="center" wrapText="1"/>
    </xf>
    <xf numFmtId="0" fontId="528" fillId="462" borderId="0" xfId="0" applyFont="1" applyFill="1"/>
    <xf numFmtId="0" fontId="528" fillId="463" borderId="0" xfId="0" applyFont="1" applyFill="1"/>
    <xf numFmtId="0" fontId="528" fillId="464" borderId="0" xfId="0" applyFont="1" applyFill="1"/>
    <xf numFmtId="0" fontId="530" fillId="465" borderId="0" xfId="0" applyFont="1" applyFill="1" applyAlignment="1">
      <alignment horizontal="center" vertical="center" wrapText="1"/>
    </xf>
    <xf numFmtId="0" fontId="530" fillId="466" borderId="0" xfId="0" applyFont="1" applyFill="1" applyAlignment="1">
      <alignment horizontal="center" vertical="center" wrapText="1"/>
    </xf>
    <xf numFmtId="0" fontId="530" fillId="467" borderId="0" xfId="0" applyFont="1" applyFill="1" applyAlignment="1">
      <alignment horizontal="center" vertical="center" wrapText="1"/>
    </xf>
    <xf numFmtId="0" fontId="530" fillId="468" borderId="0" xfId="0" applyFont="1" applyFill="1" applyAlignment="1">
      <alignment horizontal="center" vertical="center" wrapText="1"/>
    </xf>
    <xf numFmtId="0" fontId="530" fillId="469" borderId="0" xfId="0" applyFont="1" applyFill="1" applyAlignment="1">
      <alignment horizontal="center" vertical="center" wrapText="1"/>
    </xf>
    <xf numFmtId="0" fontId="530" fillId="470" borderId="0" xfId="0" applyFont="1" applyFill="1" applyAlignment="1">
      <alignment horizontal="center" vertical="center" wrapText="1"/>
    </xf>
    <xf numFmtId="0" fontId="530" fillId="471" borderId="0" xfId="0" applyFont="1" applyFill="1" applyAlignment="1">
      <alignment horizontal="center" vertical="center" wrapText="1"/>
    </xf>
    <xf numFmtId="0" fontId="530" fillId="472" borderId="0" xfId="0" applyFont="1" applyFill="1" applyAlignment="1">
      <alignment horizontal="center" vertical="center" wrapText="1"/>
    </xf>
    <xf numFmtId="0" fontId="0" fillId="473" borderId="0" xfId="0" applyFill="1" applyAlignment="1">
      <alignment horizontal="center" vertical="center" wrapText="1"/>
    </xf>
    <xf numFmtId="0" fontId="528" fillId="474" borderId="0" xfId="0" applyFont="1" applyFill="1"/>
    <xf numFmtId="0" fontId="528" fillId="475" borderId="0" xfId="0" applyFont="1" applyFill="1"/>
    <xf numFmtId="0" fontId="528" fillId="476" borderId="0" xfId="0" applyFont="1" applyFill="1"/>
    <xf numFmtId="0" fontId="530" fillId="477" borderId="0" xfId="0" applyFont="1" applyFill="1" applyAlignment="1">
      <alignment horizontal="center" vertical="center" wrapText="1"/>
    </xf>
    <xf numFmtId="0" fontId="530" fillId="478" borderId="0" xfId="0" applyFont="1" applyFill="1" applyAlignment="1">
      <alignment horizontal="center" vertical="center" wrapText="1"/>
    </xf>
    <xf numFmtId="0" fontId="530" fillId="479" borderId="0" xfId="0" applyFont="1" applyFill="1" applyAlignment="1">
      <alignment horizontal="center" vertical="center" wrapText="1"/>
    </xf>
    <xf numFmtId="0" fontId="530" fillId="480" borderId="0" xfId="0" applyFont="1" applyFill="1" applyAlignment="1">
      <alignment horizontal="center" vertical="center" wrapText="1"/>
    </xf>
    <xf numFmtId="0" fontId="530" fillId="481" borderId="0" xfId="0" applyFont="1" applyFill="1" applyAlignment="1">
      <alignment horizontal="center" vertical="center" wrapText="1"/>
    </xf>
    <xf numFmtId="0" fontId="530" fillId="482" borderId="0" xfId="0" applyFont="1" applyFill="1" applyAlignment="1">
      <alignment horizontal="center" vertical="center" wrapText="1"/>
    </xf>
    <xf numFmtId="0" fontId="530" fillId="483" borderId="0" xfId="0" applyFont="1" applyFill="1" applyAlignment="1">
      <alignment horizontal="center" vertical="center" wrapText="1"/>
    </xf>
    <xf numFmtId="0" fontId="0" fillId="484" borderId="0" xfId="0" applyFill="1" applyAlignment="1">
      <alignment horizontal="center" vertical="center" wrapText="1"/>
    </xf>
    <xf numFmtId="0" fontId="0" fillId="485" borderId="0" xfId="0" applyFill="1" applyAlignment="1">
      <alignment horizontal="center" vertical="center" wrapText="1"/>
    </xf>
    <xf numFmtId="0" fontId="528" fillId="486" borderId="0" xfId="0" applyFont="1" applyFill="1"/>
    <xf numFmtId="0" fontId="528" fillId="487" borderId="0" xfId="0" applyFont="1" applyFill="1"/>
    <xf numFmtId="0" fontId="528" fillId="488" borderId="0" xfId="0" applyFont="1" applyFill="1"/>
    <xf numFmtId="0" fontId="530" fillId="489" borderId="0" xfId="0" applyFont="1" applyFill="1" applyAlignment="1">
      <alignment horizontal="center" vertical="center" wrapText="1"/>
    </xf>
    <xf numFmtId="0" fontId="530" fillId="490" borderId="0" xfId="0" applyFont="1" applyFill="1" applyAlignment="1">
      <alignment horizontal="center" vertical="center" wrapText="1"/>
    </xf>
    <xf numFmtId="0" fontId="530" fillId="491" borderId="0" xfId="0" applyFont="1" applyFill="1" applyAlignment="1">
      <alignment horizontal="center" vertical="center" wrapText="1"/>
    </xf>
    <xf numFmtId="0" fontId="530" fillId="492" borderId="0" xfId="0" applyFont="1" applyFill="1" applyAlignment="1">
      <alignment horizontal="center" vertical="center" wrapText="1"/>
    </xf>
    <xf numFmtId="0" fontId="530" fillId="493" borderId="0" xfId="0" applyFont="1" applyFill="1" applyAlignment="1">
      <alignment horizontal="center" vertical="center" wrapText="1"/>
    </xf>
    <xf numFmtId="0" fontId="530" fillId="494" borderId="0" xfId="0" applyFont="1" applyFill="1" applyAlignment="1">
      <alignment horizontal="center" vertical="center" wrapText="1"/>
    </xf>
    <xf numFmtId="0" fontId="0" fillId="495" borderId="0" xfId="0" applyFill="1" applyAlignment="1">
      <alignment horizontal="center" vertical="center" wrapText="1"/>
    </xf>
    <xf numFmtId="0" fontId="0" fillId="496" borderId="0" xfId="0" applyFill="1" applyAlignment="1">
      <alignment horizontal="center" vertical="center" wrapText="1"/>
    </xf>
    <xf numFmtId="0" fontId="0" fillId="497" borderId="0" xfId="0" applyFill="1" applyAlignment="1">
      <alignment horizontal="center" vertical="center" wrapText="1"/>
    </xf>
    <xf numFmtId="0" fontId="528" fillId="498" borderId="0" xfId="0" applyFont="1" applyFill="1"/>
    <xf numFmtId="0" fontId="528" fillId="499" borderId="0" xfId="0" applyFont="1" applyFill="1"/>
    <xf numFmtId="0" fontId="528" fillId="500" borderId="0" xfId="0" applyFont="1" applyFill="1"/>
    <xf numFmtId="0" fontId="530" fillId="501" borderId="0" xfId="0" applyFont="1" applyFill="1" applyAlignment="1">
      <alignment horizontal="center" vertical="center" wrapText="1"/>
    </xf>
    <xf numFmtId="0" fontId="530" fillId="502" borderId="0" xfId="0" applyFont="1" applyFill="1" applyAlignment="1">
      <alignment horizontal="center" vertical="center" wrapText="1"/>
    </xf>
    <xf numFmtId="0" fontId="530" fillId="503" borderId="0" xfId="0" applyFont="1" applyFill="1" applyAlignment="1">
      <alignment horizontal="center" vertical="center" wrapText="1"/>
    </xf>
    <xf numFmtId="0" fontId="530" fillId="504" borderId="0" xfId="0" applyFont="1" applyFill="1" applyAlignment="1">
      <alignment horizontal="center" vertical="center" wrapText="1"/>
    </xf>
    <xf numFmtId="0" fontId="530" fillId="505" borderId="0" xfId="0" applyFont="1" applyFill="1" applyAlignment="1">
      <alignment horizontal="center" vertical="center" wrapText="1"/>
    </xf>
    <xf numFmtId="0" fontId="530" fillId="506" borderId="0" xfId="0" applyFont="1" applyFill="1" applyAlignment="1">
      <alignment horizontal="center" vertical="center" wrapText="1"/>
    </xf>
    <xf numFmtId="0" fontId="530" fillId="507" borderId="0" xfId="0" applyFont="1" applyFill="1" applyAlignment="1">
      <alignment horizontal="center" vertical="center" wrapText="1"/>
    </xf>
    <xf numFmtId="0" fontId="530" fillId="508" borderId="0" xfId="0" applyFont="1" applyFill="1" applyAlignment="1">
      <alignment horizontal="center" vertical="center" wrapText="1"/>
    </xf>
    <xf numFmtId="0" fontId="530" fillId="509" borderId="0" xfId="0" applyFont="1" applyFill="1" applyAlignment="1">
      <alignment horizontal="center" vertical="center" wrapText="1"/>
    </xf>
    <xf numFmtId="0" fontId="528" fillId="510" borderId="0" xfId="0" applyFont="1" applyFill="1"/>
    <xf numFmtId="0" fontId="528" fillId="511" borderId="0" xfId="0" applyFont="1" applyFill="1"/>
    <xf numFmtId="0" fontId="528" fillId="512" borderId="0" xfId="0" applyFont="1" applyFill="1"/>
    <xf numFmtId="0" fontId="530" fillId="513" borderId="0" xfId="0" applyFont="1" applyFill="1" applyAlignment="1">
      <alignment horizontal="center" vertical="center" wrapText="1"/>
    </xf>
    <xf numFmtId="0" fontId="530" fillId="514" borderId="0" xfId="0" applyFont="1" applyFill="1" applyAlignment="1">
      <alignment horizontal="center" vertical="center" wrapText="1"/>
    </xf>
    <xf numFmtId="0" fontId="530" fillId="515" borderId="0" xfId="0" applyFont="1" applyFill="1" applyAlignment="1">
      <alignment horizontal="center" vertical="center" wrapText="1"/>
    </xf>
    <xf numFmtId="0" fontId="530" fillId="516" borderId="0" xfId="0" applyFont="1" applyFill="1" applyAlignment="1">
      <alignment horizontal="center" vertical="center" wrapText="1"/>
    </xf>
    <xf numFmtId="0" fontId="530" fillId="517" borderId="0" xfId="0" applyFont="1" applyFill="1" applyAlignment="1">
      <alignment horizontal="center" vertical="center" wrapText="1"/>
    </xf>
    <xf numFmtId="0" fontId="530" fillId="518" borderId="0" xfId="0" applyFont="1" applyFill="1" applyAlignment="1">
      <alignment horizontal="center" vertical="center" wrapText="1"/>
    </xf>
    <xf numFmtId="0" fontId="530" fillId="519" borderId="0" xfId="0" applyFont="1" applyFill="1" applyAlignment="1">
      <alignment horizontal="center" vertical="center" wrapText="1"/>
    </xf>
    <xf numFmtId="0" fontId="530" fillId="520" borderId="0" xfId="0" applyFont="1" applyFill="1" applyAlignment="1">
      <alignment horizontal="center" vertical="center" wrapText="1"/>
    </xf>
    <xf numFmtId="0" fontId="530" fillId="521" borderId="0" xfId="0" applyFont="1" applyFill="1" applyAlignment="1">
      <alignment horizontal="center" vertical="center" wrapText="1"/>
    </xf>
    <xf numFmtId="0" fontId="528" fillId="522" borderId="0" xfId="0" applyFont="1" applyFill="1"/>
    <xf numFmtId="0" fontId="528" fillId="523" borderId="0" xfId="0" applyFont="1" applyFill="1"/>
    <xf numFmtId="0" fontId="528" fillId="524" borderId="0" xfId="0" applyFont="1" applyFill="1"/>
    <xf numFmtId="0" fontId="530" fillId="525" borderId="0" xfId="0" applyFont="1" applyFill="1" applyAlignment="1">
      <alignment horizontal="center" vertical="center" wrapText="1"/>
    </xf>
    <xf numFmtId="0" fontId="530" fillId="526" borderId="0" xfId="0" applyFont="1" applyFill="1" applyAlignment="1">
      <alignment horizontal="center" vertical="center" wrapText="1"/>
    </xf>
    <xf numFmtId="0" fontId="530" fillId="209" borderId="0" xfId="0" applyFont="1" applyFill="1" applyAlignment="1">
      <alignment horizontal="center" vertical="center" wrapText="1"/>
    </xf>
    <xf numFmtId="0" fontId="530" fillId="527" borderId="0" xfId="0" applyFont="1" applyFill="1" applyAlignment="1">
      <alignment horizontal="center" vertical="center" wrapText="1"/>
    </xf>
    <xf numFmtId="0" fontId="530" fillId="528" borderId="0" xfId="0" applyFont="1" applyFill="1" applyAlignment="1">
      <alignment horizontal="center" vertical="center" wrapText="1"/>
    </xf>
    <xf numFmtId="0" fontId="530" fillId="529" borderId="0" xfId="0" applyFont="1" applyFill="1" applyAlignment="1">
      <alignment horizontal="center" vertical="center" wrapText="1"/>
    </xf>
    <xf numFmtId="0" fontId="530" fillId="530" borderId="0" xfId="0" applyFont="1" applyFill="1" applyAlignment="1">
      <alignment horizontal="center" vertical="center" wrapText="1"/>
    </xf>
    <xf numFmtId="0" fontId="530" fillId="531" borderId="0" xfId="0" applyFont="1" applyFill="1" applyAlignment="1">
      <alignment horizontal="center" vertical="center" wrapText="1"/>
    </xf>
    <xf numFmtId="0" fontId="530" fillId="532" borderId="0" xfId="0" applyFont="1" applyFill="1" applyAlignment="1">
      <alignment horizontal="center" vertical="center" wrapText="1"/>
    </xf>
    <xf numFmtId="0" fontId="528" fillId="533" borderId="0" xfId="0" applyFont="1" applyFill="1"/>
    <xf numFmtId="0" fontId="528" fillId="534" borderId="0" xfId="0" applyFont="1" applyFill="1"/>
    <xf numFmtId="0" fontId="528" fillId="535" borderId="0" xfId="0" applyFont="1" applyFill="1"/>
    <xf numFmtId="0" fontId="530" fillId="536" borderId="0" xfId="0" applyFont="1" applyFill="1" applyAlignment="1">
      <alignment horizontal="center" vertical="center" wrapText="1"/>
    </xf>
    <xf numFmtId="0" fontId="530" fillId="537" borderId="0" xfId="0" applyFont="1" applyFill="1" applyAlignment="1">
      <alignment horizontal="center" vertical="center" wrapText="1"/>
    </xf>
    <xf numFmtId="0" fontId="530" fillId="538" borderId="0" xfId="0" applyFont="1" applyFill="1" applyAlignment="1">
      <alignment horizontal="center" vertical="center" wrapText="1"/>
    </xf>
    <xf numFmtId="0" fontId="530" fillId="539" borderId="0" xfId="0" applyFont="1" applyFill="1" applyAlignment="1">
      <alignment horizontal="center" vertical="center" wrapText="1"/>
    </xf>
    <xf numFmtId="0" fontId="530" fillId="540" borderId="0" xfId="0" applyFont="1" applyFill="1" applyAlignment="1">
      <alignment horizontal="center" vertical="center" wrapText="1"/>
    </xf>
    <xf numFmtId="0" fontId="530" fillId="541" borderId="0" xfId="0" applyFont="1" applyFill="1" applyAlignment="1">
      <alignment horizontal="center" vertical="center" wrapText="1"/>
    </xf>
    <xf numFmtId="0" fontId="530" fillId="542" borderId="0" xfId="0" applyFont="1" applyFill="1" applyAlignment="1">
      <alignment horizontal="center" vertical="center" wrapText="1"/>
    </xf>
    <xf numFmtId="0" fontId="530" fillId="543" borderId="0" xfId="0" applyFont="1" applyFill="1" applyAlignment="1">
      <alignment horizontal="center" vertical="center" wrapText="1"/>
    </xf>
    <xf numFmtId="0" fontId="530" fillId="544" borderId="0" xfId="0" applyFont="1" applyFill="1" applyAlignment="1">
      <alignment horizontal="center" vertical="center" wrapText="1"/>
    </xf>
    <xf numFmtId="0" fontId="528" fillId="545" borderId="0" xfId="0" applyFont="1" applyFill="1"/>
    <xf numFmtId="0" fontId="528" fillId="546" borderId="0" xfId="0" applyFont="1" applyFill="1"/>
    <xf numFmtId="0" fontId="528" fillId="547" borderId="0" xfId="0" applyFont="1" applyFill="1"/>
    <xf numFmtId="0" fontId="530" fillId="548" borderId="0" xfId="0" applyFont="1" applyFill="1" applyAlignment="1">
      <alignment horizontal="center" vertical="center" wrapText="1"/>
    </xf>
    <xf numFmtId="0" fontId="530" fillId="549" borderId="0" xfId="0" applyFont="1" applyFill="1" applyAlignment="1">
      <alignment horizontal="center" vertical="center" wrapText="1"/>
    </xf>
    <xf numFmtId="0" fontId="530" fillId="550" borderId="0" xfId="0" applyFont="1" applyFill="1" applyAlignment="1">
      <alignment horizontal="center" vertical="center" wrapText="1"/>
    </xf>
    <xf numFmtId="0" fontId="530" fillId="551" borderId="0" xfId="0" applyFont="1" applyFill="1" applyAlignment="1">
      <alignment horizontal="center" vertical="center" wrapText="1"/>
    </xf>
    <xf numFmtId="0" fontId="530" fillId="552" borderId="0" xfId="0" applyFont="1" applyFill="1" applyAlignment="1">
      <alignment horizontal="center" vertical="center" wrapText="1"/>
    </xf>
    <xf numFmtId="0" fontId="530" fillId="553" borderId="0" xfId="0" applyFont="1" applyFill="1" applyAlignment="1">
      <alignment horizontal="center" vertical="center" wrapText="1"/>
    </xf>
    <xf numFmtId="0" fontId="530" fillId="554" borderId="0" xfId="0" applyFont="1" applyFill="1" applyAlignment="1">
      <alignment horizontal="center" vertical="center" wrapText="1"/>
    </xf>
    <xf numFmtId="0" fontId="530" fillId="555" borderId="0" xfId="0" applyFont="1" applyFill="1" applyAlignment="1">
      <alignment horizontal="center" vertical="center" wrapText="1"/>
    </xf>
    <xf numFmtId="0" fontId="530" fillId="556" borderId="0" xfId="0" applyFont="1" applyFill="1" applyAlignment="1">
      <alignment horizontal="center" vertical="center" wrapText="1"/>
    </xf>
    <xf numFmtId="0" fontId="528" fillId="557" borderId="0" xfId="0" applyFont="1" applyFill="1"/>
    <xf numFmtId="0" fontId="528" fillId="558" borderId="0" xfId="0" applyFont="1" applyFill="1"/>
    <xf numFmtId="0" fontId="528" fillId="559" borderId="0" xfId="0" applyFont="1" applyFill="1"/>
    <xf numFmtId="0" fontId="530" fillId="560" borderId="0" xfId="0" applyFont="1" applyFill="1" applyAlignment="1">
      <alignment horizontal="center" vertical="center" wrapText="1"/>
    </xf>
    <xf numFmtId="0" fontId="530" fillId="561" borderId="0" xfId="0" applyFont="1" applyFill="1" applyAlignment="1">
      <alignment horizontal="center" vertical="center" wrapText="1"/>
    </xf>
    <xf numFmtId="0" fontId="530" fillId="562" borderId="0" xfId="0" applyFont="1" applyFill="1" applyAlignment="1">
      <alignment horizontal="center" vertical="center" wrapText="1"/>
    </xf>
    <xf numFmtId="0" fontId="530" fillId="563" borderId="0" xfId="0" applyFont="1" applyFill="1" applyAlignment="1">
      <alignment horizontal="center" vertical="center" wrapText="1"/>
    </xf>
    <xf numFmtId="0" fontId="530" fillId="564" borderId="0" xfId="0" applyFont="1" applyFill="1" applyAlignment="1">
      <alignment horizontal="center" vertical="center" wrapText="1"/>
    </xf>
    <xf numFmtId="0" fontId="530" fillId="565" borderId="0" xfId="0" applyFont="1" applyFill="1" applyAlignment="1">
      <alignment horizontal="center" vertical="center" wrapText="1"/>
    </xf>
    <xf numFmtId="0" fontId="530" fillId="566" borderId="0" xfId="0" applyFont="1" applyFill="1" applyAlignment="1">
      <alignment horizontal="center" vertical="center" wrapText="1"/>
    </xf>
    <xf numFmtId="0" fontId="530" fillId="567" borderId="0" xfId="0" applyFont="1" applyFill="1" applyAlignment="1">
      <alignment horizontal="center" vertical="center" wrapText="1"/>
    </xf>
    <xf numFmtId="0" fontId="0" fillId="568" borderId="0" xfId="0" applyFill="1" applyAlignment="1">
      <alignment horizontal="center" vertical="center" wrapText="1"/>
    </xf>
    <xf numFmtId="0" fontId="528" fillId="569" borderId="0" xfId="0" applyFont="1" applyFill="1"/>
    <xf numFmtId="0" fontId="528" fillId="570" borderId="0" xfId="0" applyFont="1" applyFill="1"/>
    <xf numFmtId="0" fontId="528" fillId="571" borderId="0" xfId="0" applyFont="1" applyFill="1"/>
    <xf numFmtId="0" fontId="530" fillId="572" borderId="0" xfId="0" applyFont="1" applyFill="1" applyAlignment="1">
      <alignment horizontal="center" vertical="center" wrapText="1"/>
    </xf>
    <xf numFmtId="0" fontId="530" fillId="573" borderId="0" xfId="0" applyFont="1" applyFill="1" applyAlignment="1">
      <alignment horizontal="center" vertical="center" wrapText="1"/>
    </xf>
    <xf numFmtId="0" fontId="530" fillId="574" borderId="0" xfId="0" applyFont="1" applyFill="1" applyAlignment="1">
      <alignment horizontal="center" vertical="center" wrapText="1"/>
    </xf>
    <xf numFmtId="0" fontId="530" fillId="575" borderId="0" xfId="0" applyFont="1" applyFill="1" applyAlignment="1">
      <alignment horizontal="center" vertical="center" wrapText="1"/>
    </xf>
    <xf numFmtId="0" fontId="530" fillId="576" borderId="0" xfId="0" applyFont="1" applyFill="1" applyAlignment="1">
      <alignment horizontal="center" vertical="center" wrapText="1"/>
    </xf>
    <xf numFmtId="0" fontId="530" fillId="577" borderId="0" xfId="0" applyFont="1" applyFill="1" applyAlignment="1">
      <alignment horizontal="center" vertical="center" wrapText="1"/>
    </xf>
    <xf numFmtId="0" fontId="530" fillId="578" borderId="0" xfId="0" applyFont="1" applyFill="1" applyAlignment="1">
      <alignment horizontal="center" vertical="center" wrapText="1"/>
    </xf>
    <xf numFmtId="0" fontId="0" fillId="579" borderId="0" xfId="0" applyFill="1" applyAlignment="1">
      <alignment horizontal="center" vertical="center" wrapText="1"/>
    </xf>
    <xf numFmtId="0" fontId="0" fillId="580" borderId="0" xfId="0" applyFill="1" applyAlignment="1">
      <alignment horizontal="center" vertical="center" wrapText="1"/>
    </xf>
    <xf numFmtId="0" fontId="528" fillId="581" borderId="0" xfId="0" applyFont="1" applyFill="1"/>
    <xf numFmtId="0" fontId="528" fillId="582" borderId="0" xfId="0" applyFont="1" applyFill="1"/>
    <xf numFmtId="0" fontId="528" fillId="583" borderId="0" xfId="0" applyFont="1" applyFill="1"/>
    <xf numFmtId="0" fontId="530" fillId="584" borderId="0" xfId="0" applyFont="1" applyFill="1" applyAlignment="1">
      <alignment horizontal="center" vertical="center" wrapText="1"/>
    </xf>
    <xf numFmtId="0" fontId="530" fillId="585" borderId="0" xfId="0" applyFont="1" applyFill="1" applyAlignment="1">
      <alignment horizontal="center" vertical="center" wrapText="1"/>
    </xf>
    <xf numFmtId="0" fontId="530" fillId="586" borderId="0" xfId="0" applyFont="1" applyFill="1" applyAlignment="1">
      <alignment horizontal="center" vertical="center" wrapText="1"/>
    </xf>
    <xf numFmtId="0" fontId="530" fillId="587" borderId="0" xfId="0" applyFont="1" applyFill="1" applyAlignment="1">
      <alignment horizontal="center" vertical="center" wrapText="1"/>
    </xf>
    <xf numFmtId="0" fontId="530" fillId="588" borderId="0" xfId="0" applyFont="1" applyFill="1" applyAlignment="1">
      <alignment horizontal="center" vertical="center" wrapText="1"/>
    </xf>
    <xf numFmtId="0" fontId="530" fillId="589" borderId="0" xfId="0" applyFont="1" applyFill="1" applyAlignment="1">
      <alignment horizontal="center" vertical="center" wrapText="1"/>
    </xf>
    <xf numFmtId="0" fontId="0" fillId="590" borderId="0" xfId="0" applyFill="1" applyAlignment="1">
      <alignment horizontal="center" vertical="center" wrapText="1"/>
    </xf>
    <xf numFmtId="0" fontId="0" fillId="591" borderId="0" xfId="0" applyFill="1" applyAlignment="1">
      <alignment horizontal="center" vertical="center" wrapText="1"/>
    </xf>
    <xf numFmtId="0" fontId="0" fillId="592" borderId="0" xfId="0" applyFill="1" applyAlignment="1">
      <alignment horizontal="center" vertical="center" wrapText="1"/>
    </xf>
    <xf numFmtId="0" fontId="528" fillId="593" borderId="0" xfId="0" applyFont="1" applyFill="1"/>
    <xf numFmtId="0" fontId="528" fillId="594" borderId="0" xfId="0" applyFont="1" applyFill="1"/>
    <xf numFmtId="0" fontId="528" fillId="595" borderId="0" xfId="0" applyFont="1" applyFill="1"/>
    <xf numFmtId="0" fontId="530" fillId="596" borderId="0" xfId="0" applyFont="1" applyFill="1" applyAlignment="1">
      <alignment horizontal="center" vertical="center" wrapText="1"/>
    </xf>
    <xf numFmtId="0" fontId="530" fillId="597" borderId="0" xfId="0" applyFont="1" applyFill="1" applyAlignment="1">
      <alignment horizontal="center" vertical="center" wrapText="1"/>
    </xf>
    <xf numFmtId="0" fontId="530" fillId="598" borderId="0" xfId="0" applyFont="1" applyFill="1" applyAlignment="1">
      <alignment horizontal="center" vertical="center" wrapText="1"/>
    </xf>
    <xf numFmtId="0" fontId="530" fillId="599" borderId="0" xfId="0" applyFont="1" applyFill="1" applyAlignment="1">
      <alignment horizontal="center" vertical="center" wrapText="1"/>
    </xf>
    <xf numFmtId="0" fontId="530" fillId="600" borderId="0" xfId="0" applyFont="1" applyFill="1" applyAlignment="1">
      <alignment horizontal="center" vertical="center" wrapText="1"/>
    </xf>
    <xf numFmtId="0" fontId="0" fillId="601" borderId="0" xfId="0" applyFill="1" applyAlignment="1">
      <alignment horizontal="center" vertical="center" wrapText="1"/>
    </xf>
    <xf numFmtId="0" fontId="0" fillId="602" borderId="0" xfId="0" applyFill="1" applyAlignment="1">
      <alignment horizontal="center" vertical="center" wrapText="1"/>
    </xf>
    <xf numFmtId="0" fontId="0" fillId="603" borderId="0" xfId="0" applyFill="1" applyAlignment="1">
      <alignment horizontal="center" vertical="center" wrapText="1"/>
    </xf>
    <xf numFmtId="0" fontId="0" fillId="604" borderId="0" xfId="0" applyFill="1" applyAlignment="1">
      <alignment horizontal="center" vertical="center" wrapText="1"/>
    </xf>
    <xf numFmtId="0" fontId="528" fillId="605" borderId="0" xfId="0" applyFont="1" applyFill="1"/>
    <xf numFmtId="0" fontId="528" fillId="606" borderId="0" xfId="0" applyFont="1" applyFill="1"/>
    <xf numFmtId="0" fontId="528" fillId="607" borderId="0" xfId="0" applyFont="1" applyFill="1"/>
    <xf numFmtId="0" fontId="530" fillId="608" borderId="0" xfId="0" applyFont="1" applyFill="1" applyAlignment="1">
      <alignment horizontal="center" vertical="center" wrapText="1"/>
    </xf>
    <xf numFmtId="0" fontId="530" fillId="609" borderId="0" xfId="0" applyFont="1" applyFill="1" applyAlignment="1">
      <alignment horizontal="center" vertical="center" wrapText="1"/>
    </xf>
    <xf numFmtId="0" fontId="530" fillId="610" borderId="0" xfId="0" applyFont="1" applyFill="1" applyAlignment="1">
      <alignment horizontal="center" vertical="center" wrapText="1"/>
    </xf>
    <xf numFmtId="0" fontId="530" fillId="611" borderId="0" xfId="0" applyFont="1" applyFill="1" applyAlignment="1">
      <alignment horizontal="center" vertical="center" wrapText="1"/>
    </xf>
    <xf numFmtId="0" fontId="530" fillId="612" borderId="0" xfId="0" applyFont="1" applyFill="1" applyAlignment="1">
      <alignment horizontal="center" vertical="center" wrapText="1"/>
    </xf>
    <xf numFmtId="0" fontId="530" fillId="613" borderId="0" xfId="0" applyFont="1" applyFill="1" applyAlignment="1">
      <alignment horizontal="center" vertical="center" wrapText="1"/>
    </xf>
    <xf numFmtId="0" fontId="530" fillId="614" borderId="0" xfId="0" applyFont="1" applyFill="1" applyAlignment="1">
      <alignment horizontal="center" vertical="center" wrapText="1"/>
    </xf>
    <xf numFmtId="0" fontId="530" fillId="615" borderId="0" xfId="0" applyFont="1" applyFill="1" applyAlignment="1">
      <alignment horizontal="center" vertical="center" wrapText="1"/>
    </xf>
    <xf numFmtId="0" fontId="530" fillId="616" borderId="0" xfId="0" applyFont="1" applyFill="1" applyAlignment="1">
      <alignment horizontal="center" vertical="center" wrapText="1"/>
    </xf>
    <xf numFmtId="0" fontId="528" fillId="617" borderId="0" xfId="0" applyFont="1" applyFill="1"/>
    <xf numFmtId="0" fontId="528" fillId="618" borderId="0" xfId="0" applyFont="1" applyFill="1"/>
    <xf numFmtId="0" fontId="528" fillId="619" borderId="0" xfId="0" applyFont="1" applyFill="1"/>
    <xf numFmtId="0" fontId="530" fillId="620" borderId="0" xfId="0" applyFont="1" applyFill="1" applyAlignment="1">
      <alignment horizontal="center" vertical="center" wrapText="1"/>
    </xf>
    <xf numFmtId="0" fontId="530" fillId="621" borderId="0" xfId="0" applyFont="1" applyFill="1" applyAlignment="1">
      <alignment horizontal="center" vertical="center" wrapText="1"/>
    </xf>
    <xf numFmtId="0" fontId="530" fillId="622" borderId="0" xfId="0" applyFont="1" applyFill="1" applyAlignment="1">
      <alignment horizontal="center" vertical="center" wrapText="1"/>
    </xf>
    <xf numFmtId="0" fontId="530" fillId="623" borderId="0" xfId="0" applyFont="1" applyFill="1" applyAlignment="1">
      <alignment horizontal="center" vertical="center" wrapText="1"/>
    </xf>
    <xf numFmtId="0" fontId="530" fillId="624" borderId="0" xfId="0" applyFont="1" applyFill="1" applyAlignment="1">
      <alignment horizontal="center" vertical="center" wrapText="1"/>
    </xf>
    <xf numFmtId="0" fontId="530" fillId="625" borderId="0" xfId="0" applyFont="1" applyFill="1" applyAlignment="1">
      <alignment horizontal="center" vertical="center" wrapText="1"/>
    </xf>
    <xf numFmtId="0" fontId="530" fillId="626" borderId="0" xfId="0" applyFont="1" applyFill="1" applyAlignment="1">
      <alignment horizontal="center" vertical="center" wrapText="1"/>
    </xf>
    <xf numFmtId="0" fontId="530" fillId="627" borderId="0" xfId="0" applyFont="1" applyFill="1" applyAlignment="1">
      <alignment horizontal="center" vertical="center" wrapText="1"/>
    </xf>
    <xf numFmtId="0" fontId="530" fillId="628" borderId="0" xfId="0" applyFont="1" applyFill="1" applyAlignment="1">
      <alignment horizontal="center" vertical="center" wrapText="1"/>
    </xf>
    <xf numFmtId="0" fontId="528" fillId="629" borderId="0" xfId="0" applyFont="1" applyFill="1"/>
    <xf numFmtId="0" fontId="528" fillId="630" borderId="0" xfId="0" applyFont="1" applyFill="1"/>
    <xf numFmtId="0" fontId="528" fillId="631" borderId="0" xfId="0" applyFont="1" applyFill="1"/>
    <xf numFmtId="0" fontId="530" fillId="632" borderId="0" xfId="0" applyFont="1" applyFill="1" applyAlignment="1">
      <alignment horizontal="center" vertical="center" wrapText="1"/>
    </xf>
    <xf numFmtId="0" fontId="530" fillId="633" borderId="0" xfId="0" applyFont="1" applyFill="1" applyAlignment="1">
      <alignment horizontal="center" vertical="center" wrapText="1"/>
    </xf>
    <xf numFmtId="0" fontId="530" fillId="634" borderId="0" xfId="0" applyFont="1" applyFill="1" applyAlignment="1">
      <alignment horizontal="center" vertical="center" wrapText="1"/>
    </xf>
    <xf numFmtId="0" fontId="530" fillId="635" borderId="0" xfId="0" applyFont="1" applyFill="1" applyAlignment="1">
      <alignment horizontal="center" vertical="center" wrapText="1"/>
    </xf>
    <xf numFmtId="0" fontId="530" fillId="636" borderId="0" xfId="0" applyFont="1" applyFill="1" applyAlignment="1">
      <alignment horizontal="center" vertical="center" wrapText="1"/>
    </xf>
    <xf numFmtId="0" fontId="530" fillId="637" borderId="0" xfId="0" applyFont="1" applyFill="1" applyAlignment="1">
      <alignment horizontal="center" vertical="center" wrapText="1"/>
    </xf>
    <xf numFmtId="0" fontId="530" fillId="638" borderId="0" xfId="0" applyFont="1" applyFill="1" applyAlignment="1">
      <alignment horizontal="center" vertical="center" wrapText="1"/>
    </xf>
    <xf numFmtId="0" fontId="530" fillId="639" borderId="0" xfId="0" applyFont="1" applyFill="1" applyAlignment="1">
      <alignment horizontal="center" vertical="center" wrapText="1"/>
    </xf>
    <xf numFmtId="0" fontId="530" fillId="640" borderId="0" xfId="0" applyFont="1" applyFill="1" applyAlignment="1">
      <alignment horizontal="center" vertical="center" wrapText="1"/>
    </xf>
    <xf numFmtId="0" fontId="528" fillId="641" borderId="0" xfId="0" applyFont="1" applyFill="1"/>
    <xf numFmtId="0" fontId="528" fillId="642" borderId="0" xfId="0" applyFont="1" applyFill="1"/>
    <xf numFmtId="0" fontId="528" fillId="643" borderId="0" xfId="0" applyFont="1" applyFill="1"/>
    <xf numFmtId="0" fontId="530" fillId="644" borderId="0" xfId="0" applyFont="1" applyFill="1" applyAlignment="1">
      <alignment horizontal="center" vertical="center" wrapText="1"/>
    </xf>
    <xf numFmtId="0" fontId="530" fillId="645" borderId="0" xfId="0" applyFont="1" applyFill="1" applyAlignment="1">
      <alignment horizontal="center" vertical="center" wrapText="1"/>
    </xf>
    <xf numFmtId="0" fontId="530" fillId="646" borderId="0" xfId="0" applyFont="1" applyFill="1" applyAlignment="1">
      <alignment horizontal="center" vertical="center" wrapText="1"/>
    </xf>
    <xf numFmtId="0" fontId="530" fillId="647" borderId="0" xfId="0" applyFont="1" applyFill="1" applyAlignment="1">
      <alignment horizontal="center" vertical="center" wrapText="1"/>
    </xf>
    <xf numFmtId="0" fontId="530" fillId="648" borderId="0" xfId="0" applyFont="1" applyFill="1" applyAlignment="1">
      <alignment horizontal="center" vertical="center" wrapText="1"/>
    </xf>
    <xf numFmtId="0" fontId="530" fillId="649" borderId="0" xfId="0" applyFont="1" applyFill="1" applyAlignment="1">
      <alignment horizontal="center" vertical="center" wrapText="1"/>
    </xf>
    <xf numFmtId="0" fontId="530" fillId="650" borderId="0" xfId="0" applyFont="1" applyFill="1" applyAlignment="1">
      <alignment horizontal="center" vertical="center" wrapText="1"/>
    </xf>
    <xf numFmtId="0" fontId="530" fillId="651" borderId="0" xfId="0" applyFont="1" applyFill="1" applyAlignment="1">
      <alignment horizontal="center" vertical="center" wrapText="1"/>
    </xf>
    <xf numFmtId="0" fontId="530" fillId="652" borderId="0" xfId="0" applyFont="1" applyFill="1" applyAlignment="1">
      <alignment horizontal="center" vertical="center" wrapText="1"/>
    </xf>
    <xf numFmtId="0" fontId="528" fillId="653" borderId="0" xfId="0" applyFont="1" applyFill="1"/>
    <xf numFmtId="0" fontId="528" fillId="654" borderId="0" xfId="0" applyFont="1" applyFill="1"/>
    <xf numFmtId="0" fontId="528" fillId="655" borderId="0" xfId="0" applyFont="1" applyFill="1"/>
    <xf numFmtId="0" fontId="530" fillId="656" borderId="0" xfId="0" applyFont="1" applyFill="1" applyAlignment="1">
      <alignment horizontal="center" vertical="center" wrapText="1"/>
    </xf>
    <xf numFmtId="0" fontId="530" fillId="657" borderId="0" xfId="0" applyFont="1" applyFill="1" applyAlignment="1">
      <alignment horizontal="center" vertical="center" wrapText="1"/>
    </xf>
    <xf numFmtId="0" fontId="530" fillId="658" borderId="0" xfId="0" applyFont="1" applyFill="1" applyAlignment="1">
      <alignment horizontal="center" vertical="center" wrapText="1"/>
    </xf>
    <xf numFmtId="0" fontId="530" fillId="659" borderId="0" xfId="0" applyFont="1" applyFill="1" applyAlignment="1">
      <alignment horizontal="center" vertical="center" wrapText="1"/>
    </xf>
    <xf numFmtId="0" fontId="530" fillId="660" borderId="0" xfId="0" applyFont="1" applyFill="1" applyAlignment="1">
      <alignment horizontal="center" vertical="center" wrapText="1"/>
    </xf>
    <xf numFmtId="0" fontId="530" fillId="661" borderId="0" xfId="0" applyFont="1" applyFill="1" applyAlignment="1">
      <alignment horizontal="center" vertical="center" wrapText="1"/>
    </xf>
    <xf numFmtId="0" fontId="530" fillId="662" borderId="0" xfId="0" applyFont="1" applyFill="1" applyAlignment="1">
      <alignment horizontal="center" vertical="center" wrapText="1"/>
    </xf>
    <xf numFmtId="0" fontId="530" fillId="663" borderId="0" xfId="0" applyFont="1" applyFill="1" applyAlignment="1">
      <alignment horizontal="center" vertical="center" wrapText="1"/>
    </xf>
    <xf numFmtId="0" fontId="0" fillId="664" borderId="0" xfId="0" applyFill="1" applyAlignment="1">
      <alignment horizontal="center" vertical="center" wrapText="1"/>
    </xf>
    <xf numFmtId="0" fontId="528" fillId="665" borderId="0" xfId="0" applyFont="1" applyFill="1"/>
    <xf numFmtId="0" fontId="528" fillId="666" borderId="0" xfId="0" applyFont="1" applyFill="1"/>
    <xf numFmtId="0" fontId="528" fillId="667" borderId="0" xfId="0" applyFont="1" applyFill="1"/>
    <xf numFmtId="0" fontId="530" fillId="668" borderId="0" xfId="0" applyFont="1" applyFill="1" applyAlignment="1">
      <alignment horizontal="center" vertical="center" wrapText="1"/>
    </xf>
    <xf numFmtId="0" fontId="530" fillId="669" borderId="0" xfId="0" applyFont="1" applyFill="1" applyAlignment="1">
      <alignment horizontal="center" vertical="center" wrapText="1"/>
    </xf>
    <xf numFmtId="0" fontId="530" fillId="670" borderId="0" xfId="0" applyFont="1" applyFill="1" applyAlignment="1">
      <alignment horizontal="center" vertical="center" wrapText="1"/>
    </xf>
    <xf numFmtId="0" fontId="530" fillId="671" borderId="0" xfId="0" applyFont="1" applyFill="1" applyAlignment="1">
      <alignment horizontal="center" vertical="center" wrapText="1"/>
    </xf>
    <xf numFmtId="0" fontId="530" fillId="672" borderId="0" xfId="0" applyFont="1" applyFill="1" applyAlignment="1">
      <alignment horizontal="center" vertical="center" wrapText="1"/>
    </xf>
    <xf numFmtId="0" fontId="530" fillId="673" borderId="0" xfId="0" applyFont="1" applyFill="1" applyAlignment="1">
      <alignment horizontal="center" vertical="center" wrapText="1"/>
    </xf>
    <xf numFmtId="0" fontId="530" fillId="674" borderId="0" xfId="0" applyFont="1" applyFill="1" applyAlignment="1">
      <alignment horizontal="center" vertical="center" wrapText="1"/>
    </xf>
    <xf numFmtId="0" fontId="0" fillId="675" borderId="0" xfId="0" applyFill="1" applyAlignment="1">
      <alignment horizontal="center" vertical="center" wrapText="1"/>
    </xf>
    <xf numFmtId="0" fontId="0" fillId="676" borderId="0" xfId="0" applyFill="1" applyAlignment="1">
      <alignment horizontal="center" vertical="center" wrapText="1"/>
    </xf>
    <xf numFmtId="0" fontId="528" fillId="677" borderId="0" xfId="0" applyFont="1" applyFill="1"/>
    <xf numFmtId="0" fontId="528" fillId="678" borderId="0" xfId="0" applyFont="1" applyFill="1"/>
    <xf numFmtId="0" fontId="528" fillId="679" borderId="0" xfId="0" applyFont="1" applyFill="1"/>
    <xf numFmtId="0" fontId="530" fillId="680" borderId="0" xfId="0" applyFont="1" applyFill="1" applyAlignment="1">
      <alignment horizontal="center" vertical="center" wrapText="1"/>
    </xf>
    <xf numFmtId="0" fontId="530" fillId="681" borderId="0" xfId="0" applyFont="1" applyFill="1" applyAlignment="1">
      <alignment horizontal="center" vertical="center" wrapText="1"/>
    </xf>
    <xf numFmtId="0" fontId="530" fillId="682" borderId="0" xfId="0" applyFont="1" applyFill="1" applyAlignment="1">
      <alignment horizontal="center" vertical="center" wrapText="1"/>
    </xf>
    <xf numFmtId="0" fontId="530" fillId="683" borderId="0" xfId="0" applyFont="1" applyFill="1" applyAlignment="1">
      <alignment horizontal="center" vertical="center" wrapText="1"/>
    </xf>
    <xf numFmtId="0" fontId="530" fillId="684" borderId="0" xfId="0" applyFont="1" applyFill="1" applyAlignment="1">
      <alignment horizontal="center" vertical="center" wrapText="1"/>
    </xf>
    <xf numFmtId="0" fontId="530" fillId="685" borderId="0" xfId="0" applyFont="1" applyFill="1" applyAlignment="1">
      <alignment horizontal="center" vertical="center" wrapText="1"/>
    </xf>
    <xf numFmtId="0" fontId="0" fillId="686" borderId="0" xfId="0" applyFill="1" applyAlignment="1">
      <alignment horizontal="center" vertical="center" wrapText="1"/>
    </xf>
    <xf numFmtId="0" fontId="0" fillId="687" borderId="0" xfId="0" applyFill="1" applyAlignment="1">
      <alignment horizontal="center" vertical="center" wrapText="1"/>
    </xf>
    <xf numFmtId="0" fontId="0" fillId="688" borderId="0" xfId="0" applyFill="1" applyAlignment="1">
      <alignment horizontal="center" vertical="center" wrapText="1"/>
    </xf>
    <xf numFmtId="0" fontId="528" fillId="689" borderId="0" xfId="0" applyFont="1" applyFill="1"/>
    <xf numFmtId="0" fontId="528" fillId="690" borderId="0" xfId="0" applyFont="1" applyFill="1"/>
    <xf numFmtId="0" fontId="528" fillId="691" borderId="0" xfId="0" applyFont="1" applyFill="1"/>
    <xf numFmtId="0" fontId="530" fillId="692" borderId="0" xfId="0" applyFont="1" applyFill="1" applyAlignment="1">
      <alignment horizontal="center" vertical="center" wrapText="1"/>
    </xf>
    <xf numFmtId="0" fontId="530" fillId="693" borderId="0" xfId="0" applyFont="1" applyFill="1" applyAlignment="1">
      <alignment horizontal="center" vertical="center" wrapText="1"/>
    </xf>
    <xf numFmtId="0" fontId="530" fillId="694" borderId="0" xfId="0" applyFont="1" applyFill="1" applyAlignment="1">
      <alignment horizontal="center" vertical="center" wrapText="1"/>
    </xf>
    <xf numFmtId="0" fontId="530" fillId="695" borderId="0" xfId="0" applyFont="1" applyFill="1" applyAlignment="1">
      <alignment horizontal="center" vertical="center" wrapText="1"/>
    </xf>
    <xf numFmtId="0" fontId="530" fillId="696" borderId="0" xfId="0" applyFont="1" applyFill="1" applyAlignment="1">
      <alignment horizontal="center" vertical="center" wrapText="1"/>
    </xf>
    <xf numFmtId="0" fontId="0" fillId="697" borderId="0" xfId="0" applyFill="1" applyAlignment="1">
      <alignment horizontal="center" vertical="center" wrapText="1"/>
    </xf>
    <xf numFmtId="0" fontId="0" fillId="698" borderId="0" xfId="0" applyFill="1" applyAlignment="1">
      <alignment horizontal="center" vertical="center" wrapText="1"/>
    </xf>
    <xf numFmtId="0" fontId="0" fillId="699" borderId="0" xfId="0" applyFill="1" applyAlignment="1">
      <alignment horizontal="center" vertical="center" wrapText="1"/>
    </xf>
    <xf numFmtId="0" fontId="0" fillId="700" borderId="0" xfId="0" applyFill="1" applyAlignment="1">
      <alignment horizontal="center" vertical="center" wrapText="1"/>
    </xf>
    <xf numFmtId="0" fontId="528" fillId="701" borderId="0" xfId="0" applyFont="1" applyFill="1"/>
    <xf numFmtId="0" fontId="528" fillId="702" borderId="0" xfId="0" applyFont="1" applyFill="1"/>
    <xf numFmtId="0" fontId="528" fillId="703" borderId="0" xfId="0" applyFont="1" applyFill="1"/>
    <xf numFmtId="0" fontId="530" fillId="704" borderId="0" xfId="0" applyFont="1" applyFill="1" applyAlignment="1">
      <alignment horizontal="center" vertical="center" wrapText="1"/>
    </xf>
    <xf numFmtId="0" fontId="530" fillId="705" borderId="0" xfId="0" applyFont="1" applyFill="1" applyAlignment="1">
      <alignment horizontal="center" vertical="center" wrapText="1"/>
    </xf>
    <xf numFmtId="0" fontId="530" fillId="706" borderId="0" xfId="0" applyFont="1" applyFill="1" applyAlignment="1">
      <alignment horizontal="center" vertical="center" wrapText="1"/>
    </xf>
    <xf numFmtId="0" fontId="530" fillId="707" borderId="0" xfId="0" applyFont="1" applyFill="1" applyAlignment="1">
      <alignment horizontal="center" vertical="center" wrapText="1"/>
    </xf>
    <xf numFmtId="0" fontId="0" fillId="708" borderId="0" xfId="0" applyFill="1" applyAlignment="1">
      <alignment horizontal="center" vertical="center" wrapText="1"/>
    </xf>
    <xf numFmtId="0" fontId="0" fillId="709" borderId="0" xfId="0" applyFill="1" applyAlignment="1">
      <alignment horizontal="center" vertical="center" wrapText="1"/>
    </xf>
    <xf numFmtId="0" fontId="0" fillId="710" borderId="0" xfId="0" applyFill="1" applyAlignment="1">
      <alignment horizontal="center" vertical="center" wrapText="1"/>
    </xf>
    <xf numFmtId="0" fontId="0" fillId="711" borderId="0" xfId="0" applyFill="1" applyAlignment="1">
      <alignment horizontal="center" vertical="center" wrapText="1"/>
    </xf>
    <xf numFmtId="0" fontId="0" fillId="712" borderId="0" xfId="0" applyFill="1" applyAlignment="1">
      <alignment horizontal="center" vertical="center" wrapText="1"/>
    </xf>
    <xf numFmtId="0" fontId="528" fillId="713" borderId="0" xfId="0" applyFont="1" applyFill="1"/>
    <xf numFmtId="0" fontId="528" fillId="714" borderId="0" xfId="0" applyFont="1" applyFill="1"/>
    <xf numFmtId="0" fontId="528" fillId="715" borderId="0" xfId="0" applyFont="1" applyFill="1"/>
    <xf numFmtId="0" fontId="530" fillId="75" borderId="0" xfId="0" applyFont="1" applyFill="1" applyAlignment="1">
      <alignment horizontal="center" vertical="center" wrapText="1"/>
    </xf>
    <xf numFmtId="0" fontId="530" fillId="716" borderId="0" xfId="0" applyFont="1" applyFill="1" applyAlignment="1">
      <alignment horizontal="center" vertical="center" wrapText="1"/>
    </xf>
    <xf numFmtId="0" fontId="530" fillId="717" borderId="0" xfId="0" applyFont="1" applyFill="1" applyAlignment="1">
      <alignment horizontal="center" vertical="center" wrapText="1"/>
    </xf>
    <xf numFmtId="0" fontId="530" fillId="718" borderId="0" xfId="0" applyFont="1" applyFill="1" applyAlignment="1">
      <alignment horizontal="center" vertical="center" wrapText="1"/>
    </xf>
    <xf numFmtId="0" fontId="530" fillId="719" borderId="0" xfId="0" applyFont="1" applyFill="1" applyAlignment="1">
      <alignment horizontal="center" vertical="center" wrapText="1"/>
    </xf>
    <xf numFmtId="0" fontId="530" fillId="720" borderId="0" xfId="0" applyFont="1" applyFill="1" applyAlignment="1">
      <alignment horizontal="center" vertical="center" wrapText="1"/>
    </xf>
    <xf numFmtId="0" fontId="530" fillId="721" borderId="0" xfId="0" applyFont="1" applyFill="1" applyAlignment="1">
      <alignment horizontal="center" vertical="center" wrapText="1"/>
    </xf>
    <xf numFmtId="0" fontId="530" fillId="722" borderId="0" xfId="0" applyFont="1" applyFill="1" applyAlignment="1">
      <alignment horizontal="center" vertical="center" wrapText="1"/>
    </xf>
    <xf numFmtId="0" fontId="530" fillId="723" borderId="0" xfId="0" applyFont="1" applyFill="1" applyAlignment="1">
      <alignment horizontal="center" vertical="center" wrapText="1"/>
    </xf>
    <xf numFmtId="0" fontId="528" fillId="724" borderId="0" xfId="0" applyFont="1" applyFill="1"/>
    <xf numFmtId="0" fontId="528" fillId="725" borderId="0" xfId="0" applyFont="1" applyFill="1"/>
    <xf numFmtId="0" fontId="528" fillId="726" borderId="0" xfId="0" applyFont="1" applyFill="1"/>
    <xf numFmtId="0" fontId="530" fillId="727" borderId="0" xfId="0" applyFont="1" applyFill="1" applyAlignment="1">
      <alignment horizontal="center" vertical="center" wrapText="1"/>
    </xf>
    <xf numFmtId="0" fontId="530" fillId="728" borderId="0" xfId="0" applyFont="1" applyFill="1" applyAlignment="1">
      <alignment horizontal="center" vertical="center" wrapText="1"/>
    </xf>
    <xf numFmtId="0" fontId="530" fillId="729" borderId="0" xfId="0" applyFont="1" applyFill="1" applyAlignment="1">
      <alignment horizontal="center" vertical="center" wrapText="1"/>
    </xf>
    <xf numFmtId="0" fontId="530" fillId="730" borderId="0" xfId="0" applyFont="1" applyFill="1" applyAlignment="1">
      <alignment horizontal="center" vertical="center" wrapText="1"/>
    </xf>
    <xf numFmtId="0" fontId="530" fillId="731" borderId="0" xfId="0" applyFont="1" applyFill="1" applyAlignment="1">
      <alignment horizontal="center" vertical="center" wrapText="1"/>
    </xf>
    <xf numFmtId="0" fontId="530" fillId="732" borderId="0" xfId="0" applyFont="1" applyFill="1" applyAlignment="1">
      <alignment horizontal="center" vertical="center" wrapText="1"/>
    </xf>
    <xf numFmtId="0" fontId="530" fillId="733" borderId="0" xfId="0" applyFont="1" applyFill="1" applyAlignment="1">
      <alignment horizontal="center" vertical="center" wrapText="1"/>
    </xf>
    <xf numFmtId="0" fontId="530" fillId="734" borderId="0" xfId="0" applyFont="1" applyFill="1" applyAlignment="1">
      <alignment horizontal="center" vertical="center" wrapText="1"/>
    </xf>
    <xf numFmtId="0" fontId="530" fillId="735" borderId="0" xfId="0" applyFont="1" applyFill="1" applyAlignment="1">
      <alignment horizontal="center" vertical="center" wrapText="1"/>
    </xf>
    <xf numFmtId="0" fontId="528" fillId="736" borderId="0" xfId="0" applyFont="1" applyFill="1"/>
    <xf numFmtId="0" fontId="528" fillId="737" borderId="0" xfId="0" applyFont="1" applyFill="1"/>
    <xf numFmtId="0" fontId="528" fillId="738" borderId="0" xfId="0" applyFont="1" applyFill="1"/>
    <xf numFmtId="0" fontId="530" fillId="739" borderId="0" xfId="0" applyFont="1" applyFill="1" applyAlignment="1">
      <alignment horizontal="center" vertical="center" wrapText="1"/>
    </xf>
    <xf numFmtId="0" fontId="530" fillId="740" borderId="0" xfId="0" applyFont="1" applyFill="1" applyAlignment="1">
      <alignment horizontal="center" vertical="center" wrapText="1"/>
    </xf>
    <xf numFmtId="0" fontId="530" fillId="741" borderId="0" xfId="0" applyFont="1" applyFill="1" applyAlignment="1">
      <alignment horizontal="center" vertical="center" wrapText="1"/>
    </xf>
    <xf numFmtId="0" fontId="530" fillId="742" borderId="0" xfId="0" applyFont="1" applyFill="1" applyAlignment="1">
      <alignment horizontal="center" vertical="center" wrapText="1"/>
    </xf>
    <xf numFmtId="0" fontId="530" fillId="743" borderId="0" xfId="0" applyFont="1" applyFill="1" applyAlignment="1">
      <alignment horizontal="center" vertical="center" wrapText="1"/>
    </xf>
    <xf numFmtId="0" fontId="530" fillId="744" borderId="0" xfId="0" applyFont="1" applyFill="1" applyAlignment="1">
      <alignment horizontal="center" vertical="center" wrapText="1"/>
    </xf>
    <xf numFmtId="0" fontId="530" fillId="745" borderId="0" xfId="0" applyFont="1" applyFill="1" applyAlignment="1">
      <alignment horizontal="center" vertical="center" wrapText="1"/>
    </xf>
    <xf numFmtId="0" fontId="530" fillId="746" borderId="0" xfId="0" applyFont="1" applyFill="1" applyAlignment="1">
      <alignment horizontal="center" vertical="center" wrapText="1"/>
    </xf>
    <xf numFmtId="0" fontId="530" fillId="747" borderId="0" xfId="0" applyFont="1" applyFill="1" applyAlignment="1">
      <alignment horizontal="center" vertical="center" wrapText="1"/>
    </xf>
    <xf numFmtId="0" fontId="528" fillId="748" borderId="0" xfId="0" applyFont="1" applyFill="1"/>
    <xf numFmtId="0" fontId="528" fillId="749" borderId="0" xfId="0" applyFont="1" applyFill="1"/>
    <xf numFmtId="0" fontId="528" fillId="750" borderId="0" xfId="0" applyFont="1" applyFill="1"/>
    <xf numFmtId="0" fontId="530" fillId="751" borderId="0" xfId="0" applyFont="1" applyFill="1" applyAlignment="1">
      <alignment horizontal="center" vertical="center" wrapText="1"/>
    </xf>
    <xf numFmtId="0" fontId="530" fillId="752" borderId="0" xfId="0" applyFont="1" applyFill="1" applyAlignment="1">
      <alignment horizontal="center" vertical="center" wrapText="1"/>
    </xf>
    <xf numFmtId="0" fontId="530" fillId="753" borderId="0" xfId="0" applyFont="1" applyFill="1" applyAlignment="1">
      <alignment horizontal="center" vertical="center" wrapText="1"/>
    </xf>
    <xf numFmtId="0" fontId="530" fillId="754" borderId="0" xfId="0" applyFont="1" applyFill="1" applyAlignment="1">
      <alignment horizontal="center" vertical="center" wrapText="1"/>
    </xf>
    <xf numFmtId="0" fontId="530" fillId="755" borderId="0" xfId="0" applyFont="1" applyFill="1" applyAlignment="1">
      <alignment horizontal="center" vertical="center" wrapText="1"/>
    </xf>
    <xf numFmtId="0" fontId="530" fillId="756" borderId="0" xfId="0" applyFont="1" applyFill="1" applyAlignment="1">
      <alignment horizontal="center" vertical="center" wrapText="1"/>
    </xf>
    <xf numFmtId="0" fontId="530" fillId="757" borderId="0" xfId="0" applyFont="1" applyFill="1" applyAlignment="1">
      <alignment horizontal="center" vertical="center" wrapText="1"/>
    </xf>
    <xf numFmtId="0" fontId="530" fillId="758" borderId="0" xfId="0" applyFont="1" applyFill="1" applyAlignment="1">
      <alignment horizontal="center" vertical="center" wrapText="1"/>
    </xf>
    <xf numFmtId="0" fontId="0" fillId="759" borderId="0" xfId="0" applyFill="1" applyAlignment="1">
      <alignment horizontal="center" vertical="center" wrapText="1"/>
    </xf>
    <xf numFmtId="0" fontId="528" fillId="760" borderId="0" xfId="0" applyFont="1" applyFill="1"/>
    <xf numFmtId="0" fontId="528" fillId="761" borderId="0" xfId="0" applyFont="1" applyFill="1"/>
    <xf numFmtId="0" fontId="528" fillId="762" borderId="0" xfId="0" applyFont="1" applyFill="1"/>
    <xf numFmtId="0" fontId="530" fillId="642" borderId="0" xfId="0" applyFont="1" applyFill="1" applyAlignment="1">
      <alignment horizontal="center" vertical="center" wrapText="1"/>
    </xf>
    <xf numFmtId="0" fontId="530" fillId="763" borderId="0" xfId="0" applyFont="1" applyFill="1" applyAlignment="1">
      <alignment horizontal="center" vertical="center" wrapText="1"/>
    </xf>
    <xf numFmtId="0" fontId="530" fillId="764" borderId="0" xfId="0" applyFont="1" applyFill="1" applyAlignment="1">
      <alignment horizontal="center" vertical="center" wrapText="1"/>
    </xf>
    <xf numFmtId="0" fontId="530" fillId="765" borderId="0" xfId="0" applyFont="1" applyFill="1" applyAlignment="1">
      <alignment horizontal="center" vertical="center" wrapText="1"/>
    </xf>
    <xf numFmtId="0" fontId="531" fillId="6" borderId="0" xfId="0" applyFont="1" applyFill="1" applyAlignment="1">
      <alignment horizontal="center" vertical="center" wrapText="1"/>
    </xf>
    <xf numFmtId="0" fontId="530" fillId="766" borderId="0" xfId="0" applyFont="1" applyFill="1" applyAlignment="1">
      <alignment horizontal="center" vertical="center" wrapText="1"/>
    </xf>
    <xf numFmtId="0" fontId="530" fillId="767" borderId="0" xfId="0" applyFont="1" applyFill="1" applyAlignment="1">
      <alignment horizontal="center" vertical="center" wrapText="1"/>
    </xf>
    <xf numFmtId="0" fontId="0" fillId="768" borderId="0" xfId="0" applyFill="1" applyAlignment="1">
      <alignment horizontal="center" vertical="center" wrapText="1"/>
    </xf>
    <xf numFmtId="0" fontId="0" fillId="769" borderId="0" xfId="0" applyFill="1" applyAlignment="1">
      <alignment horizontal="center" vertical="center" wrapText="1"/>
    </xf>
    <xf numFmtId="0" fontId="528" fillId="198" borderId="0" xfId="0" applyFont="1" applyFill="1"/>
    <xf numFmtId="0" fontId="528" fillId="770" borderId="0" xfId="0" applyFont="1" applyFill="1"/>
    <xf numFmtId="0" fontId="528" fillId="771" borderId="0" xfId="0" applyFont="1" applyFill="1"/>
    <xf numFmtId="0" fontId="530" fillId="772" borderId="0" xfId="0" applyFont="1" applyFill="1" applyAlignment="1">
      <alignment horizontal="center" vertical="center" wrapText="1"/>
    </xf>
    <xf numFmtId="0" fontId="530" fillId="773" borderId="0" xfId="0" applyFont="1" applyFill="1" applyAlignment="1">
      <alignment horizontal="center" vertical="center" wrapText="1"/>
    </xf>
    <xf numFmtId="0" fontId="530" fillId="774" borderId="0" xfId="0" applyFont="1" applyFill="1" applyAlignment="1">
      <alignment horizontal="center" vertical="center" wrapText="1"/>
    </xf>
    <xf numFmtId="0" fontId="530" fillId="775" borderId="0" xfId="0" applyFont="1" applyFill="1" applyAlignment="1">
      <alignment horizontal="center" vertical="center" wrapText="1"/>
    </xf>
    <xf numFmtId="0" fontId="530" fillId="776" borderId="0" xfId="0" applyFont="1" applyFill="1" applyAlignment="1">
      <alignment horizontal="center" vertical="center" wrapText="1"/>
    </xf>
    <xf numFmtId="0" fontId="530" fillId="777" borderId="0" xfId="0" applyFont="1" applyFill="1" applyAlignment="1">
      <alignment horizontal="center" vertical="center" wrapText="1"/>
    </xf>
    <xf numFmtId="0" fontId="0" fillId="778" borderId="0" xfId="0" applyFill="1" applyAlignment="1">
      <alignment horizontal="center" vertical="center" wrapText="1"/>
    </xf>
    <xf numFmtId="0" fontId="0" fillId="779" borderId="0" xfId="0" applyFill="1" applyAlignment="1">
      <alignment horizontal="center" vertical="center" wrapText="1"/>
    </xf>
    <xf numFmtId="0" fontId="0" fillId="780" borderId="0" xfId="0" applyFill="1" applyAlignment="1">
      <alignment horizontal="center" vertical="center" wrapText="1"/>
    </xf>
    <xf numFmtId="0" fontId="528" fillId="68" borderId="0" xfId="0" applyFont="1" applyFill="1"/>
    <xf numFmtId="0" fontId="528" fillId="781" borderId="0" xfId="0" applyFont="1" applyFill="1"/>
    <xf numFmtId="0" fontId="528" fillId="782" borderId="0" xfId="0" applyFont="1" applyFill="1"/>
    <xf numFmtId="0" fontId="530" fillId="783" borderId="0" xfId="0" applyFont="1" applyFill="1" applyAlignment="1">
      <alignment horizontal="center" vertical="center" wrapText="1"/>
    </xf>
    <xf numFmtId="0" fontId="530" fillId="784" borderId="0" xfId="0" applyFont="1" applyFill="1" applyAlignment="1">
      <alignment horizontal="center" vertical="center" wrapText="1"/>
    </xf>
    <xf numFmtId="0" fontId="530" fillId="785" borderId="0" xfId="0" applyFont="1" applyFill="1" applyAlignment="1">
      <alignment horizontal="center" vertical="center" wrapText="1"/>
    </xf>
    <xf numFmtId="0" fontId="530" fillId="786" borderId="0" xfId="0" applyFont="1" applyFill="1" applyAlignment="1">
      <alignment horizontal="center" vertical="center" wrapText="1"/>
    </xf>
    <xf numFmtId="0" fontId="530" fillId="787" borderId="0" xfId="0" applyFont="1" applyFill="1" applyAlignment="1">
      <alignment horizontal="center" vertical="center" wrapText="1"/>
    </xf>
    <xf numFmtId="0" fontId="0" fillId="788" borderId="0" xfId="0" applyFill="1" applyAlignment="1">
      <alignment horizontal="center" vertical="center" wrapText="1"/>
    </xf>
    <xf numFmtId="0" fontId="0" fillId="789" borderId="0" xfId="0" applyFill="1" applyAlignment="1">
      <alignment horizontal="center" vertical="center" wrapText="1"/>
    </xf>
    <xf numFmtId="0" fontId="0" fillId="790" borderId="0" xfId="0" applyFill="1" applyAlignment="1">
      <alignment horizontal="center" vertical="center" wrapText="1"/>
    </xf>
    <xf numFmtId="0" fontId="0" fillId="791" borderId="0" xfId="0" applyFill="1" applyAlignment="1">
      <alignment horizontal="center" vertical="center" wrapText="1"/>
    </xf>
    <xf numFmtId="0" fontId="528" fillId="792" borderId="0" xfId="0" applyFont="1" applyFill="1"/>
    <xf numFmtId="0" fontId="528" fillId="793" borderId="0" xfId="0" applyFont="1" applyFill="1"/>
    <xf numFmtId="0" fontId="528" fillId="794" borderId="0" xfId="0" applyFont="1" applyFill="1"/>
    <xf numFmtId="0" fontId="530" fillId="795" borderId="0" xfId="0" applyFont="1" applyFill="1" applyAlignment="1">
      <alignment horizontal="center" vertical="center" wrapText="1"/>
    </xf>
    <xf numFmtId="0" fontId="530" fillId="796" borderId="0" xfId="0" applyFont="1" applyFill="1" applyAlignment="1">
      <alignment horizontal="center" vertical="center" wrapText="1"/>
    </xf>
    <xf numFmtId="0" fontId="530" fillId="797" borderId="0" xfId="0" applyFont="1" applyFill="1" applyAlignment="1">
      <alignment horizontal="center" vertical="center" wrapText="1"/>
    </xf>
    <xf numFmtId="0" fontId="530" fillId="798" borderId="0" xfId="0" applyFont="1" applyFill="1" applyAlignment="1">
      <alignment horizontal="center" vertical="center" wrapText="1"/>
    </xf>
    <xf numFmtId="0" fontId="0" fillId="799" borderId="0" xfId="0" applyFill="1" applyAlignment="1">
      <alignment horizontal="center" vertical="center" wrapText="1"/>
    </xf>
    <xf numFmtId="0" fontId="0" fillId="800" borderId="0" xfId="0" applyFill="1" applyAlignment="1">
      <alignment horizontal="center" vertical="center" wrapText="1"/>
    </xf>
    <xf numFmtId="0" fontId="0" fillId="801" borderId="0" xfId="0" applyFill="1" applyAlignment="1">
      <alignment horizontal="center" vertical="center" wrapText="1"/>
    </xf>
    <xf numFmtId="0" fontId="0" fillId="802" borderId="0" xfId="0" applyFill="1" applyAlignment="1">
      <alignment horizontal="center" vertical="center" wrapText="1"/>
    </xf>
    <xf numFmtId="0" fontId="0" fillId="803" borderId="0" xfId="0" applyFill="1" applyAlignment="1">
      <alignment horizontal="center" vertical="center" wrapText="1"/>
    </xf>
    <xf numFmtId="0" fontId="528" fillId="804" borderId="0" xfId="0" applyFont="1" applyFill="1"/>
    <xf numFmtId="0" fontId="528" fillId="805" borderId="0" xfId="0" applyFont="1" applyFill="1"/>
    <xf numFmtId="0" fontId="528" fillId="806" borderId="0" xfId="0" applyFont="1" applyFill="1"/>
    <xf numFmtId="0" fontId="530" fillId="807" borderId="0" xfId="0" applyFont="1" applyFill="1" applyAlignment="1">
      <alignment horizontal="center" vertical="center" wrapText="1"/>
    </xf>
    <xf numFmtId="0" fontId="530" fillId="808" borderId="0" xfId="0" applyFont="1" applyFill="1" applyAlignment="1">
      <alignment horizontal="center" vertical="center" wrapText="1"/>
    </xf>
    <xf numFmtId="0" fontId="530" fillId="809" borderId="0" xfId="0" applyFont="1" applyFill="1" applyAlignment="1">
      <alignment horizontal="center" vertical="center" wrapText="1"/>
    </xf>
    <xf numFmtId="0" fontId="0" fillId="810" borderId="0" xfId="0" applyFill="1" applyAlignment="1">
      <alignment horizontal="center" vertical="center" wrapText="1"/>
    </xf>
    <xf numFmtId="0" fontId="0" fillId="811" borderId="0" xfId="0" applyFill="1" applyAlignment="1">
      <alignment horizontal="center" vertical="center" wrapText="1"/>
    </xf>
    <xf numFmtId="0" fontId="0" fillId="812" borderId="0" xfId="0" applyFill="1" applyAlignment="1">
      <alignment horizontal="center" vertical="center" wrapText="1"/>
    </xf>
    <xf numFmtId="0" fontId="0" fillId="813" borderId="0" xfId="0" applyFill="1" applyAlignment="1">
      <alignment horizontal="center" vertical="center" wrapText="1"/>
    </xf>
    <xf numFmtId="0" fontId="0" fillId="814" borderId="0" xfId="0" applyFill="1" applyAlignment="1">
      <alignment horizontal="center" vertical="center" wrapText="1"/>
    </xf>
    <xf numFmtId="0" fontId="0" fillId="815" borderId="0" xfId="0" applyFill="1" applyAlignment="1">
      <alignment horizontal="center" vertical="center" wrapText="1"/>
    </xf>
    <xf numFmtId="0" fontId="528" fillId="816" borderId="0" xfId="0" applyFont="1" applyFill="1"/>
    <xf numFmtId="0" fontId="528" fillId="817" borderId="0" xfId="0" applyFont="1" applyFill="1"/>
    <xf numFmtId="0" fontId="528" fillId="818" borderId="0" xfId="0" applyFont="1" applyFill="1"/>
    <xf numFmtId="0" fontId="530" fillId="819" borderId="0" xfId="0" applyFont="1" applyFill="1" applyAlignment="1">
      <alignment horizontal="center" vertical="center" wrapText="1"/>
    </xf>
    <xf numFmtId="0" fontId="530" fillId="820" borderId="0" xfId="0" applyFont="1" applyFill="1" applyAlignment="1">
      <alignment horizontal="center" vertical="center" wrapText="1"/>
    </xf>
    <xf numFmtId="0" fontId="530" fillId="821" borderId="0" xfId="0" applyFont="1" applyFill="1" applyAlignment="1">
      <alignment horizontal="center" vertical="center" wrapText="1"/>
    </xf>
    <xf numFmtId="0" fontId="530" fillId="822" borderId="0" xfId="0" applyFont="1" applyFill="1" applyAlignment="1">
      <alignment horizontal="center" vertical="center" wrapText="1"/>
    </xf>
    <xf numFmtId="0" fontId="530" fillId="823" borderId="0" xfId="0" applyFont="1" applyFill="1" applyAlignment="1">
      <alignment horizontal="center" vertical="center" wrapText="1"/>
    </xf>
    <xf numFmtId="0" fontId="530" fillId="824" borderId="0" xfId="0" applyFont="1" applyFill="1" applyAlignment="1">
      <alignment horizontal="center" vertical="center" wrapText="1"/>
    </xf>
    <xf numFmtId="0" fontId="530" fillId="825" borderId="0" xfId="0" applyFont="1" applyFill="1" applyAlignment="1">
      <alignment horizontal="center" vertical="center" wrapText="1"/>
    </xf>
    <xf numFmtId="0" fontId="530" fillId="826" borderId="0" xfId="0" applyFont="1" applyFill="1" applyAlignment="1">
      <alignment horizontal="center" vertical="center" wrapText="1"/>
    </xf>
    <xf numFmtId="0" fontId="530" fillId="827" borderId="0" xfId="0" applyFont="1" applyFill="1" applyAlignment="1">
      <alignment horizontal="center" vertical="center" wrapText="1"/>
    </xf>
    <xf numFmtId="0" fontId="528" fillId="41" borderId="0" xfId="0" applyFont="1" applyFill="1"/>
    <xf numFmtId="0" fontId="528" fillId="828" borderId="0" xfId="0" applyFont="1" applyFill="1"/>
    <xf numFmtId="0" fontId="528" fillId="829" borderId="0" xfId="0" applyFont="1" applyFill="1"/>
    <xf numFmtId="0" fontId="530" fillId="830" borderId="0" xfId="0" applyFont="1" applyFill="1" applyAlignment="1">
      <alignment horizontal="center" vertical="center" wrapText="1"/>
    </xf>
    <xf numFmtId="0" fontId="530" fillId="831" borderId="0" xfId="0" applyFont="1" applyFill="1" applyAlignment="1">
      <alignment horizontal="center" vertical="center" wrapText="1"/>
    </xf>
    <xf numFmtId="0" fontId="530" fillId="832" borderId="0" xfId="0" applyFont="1" applyFill="1" applyAlignment="1">
      <alignment horizontal="center" vertical="center" wrapText="1"/>
    </xf>
    <xf numFmtId="0" fontId="530" fillId="833" borderId="0" xfId="0" applyFont="1" applyFill="1" applyAlignment="1">
      <alignment horizontal="center" vertical="center" wrapText="1"/>
    </xf>
    <xf numFmtId="0" fontId="530" fillId="834" borderId="0" xfId="0" applyFont="1" applyFill="1" applyAlignment="1">
      <alignment horizontal="center" vertical="center" wrapText="1"/>
    </xf>
    <xf numFmtId="0" fontId="530" fillId="835" borderId="0" xfId="0" applyFont="1" applyFill="1" applyAlignment="1">
      <alignment horizontal="center" vertical="center" wrapText="1"/>
    </xf>
    <xf numFmtId="0" fontId="530" fillId="836" borderId="0" xfId="0" applyFont="1" applyFill="1" applyAlignment="1">
      <alignment horizontal="center" vertical="center" wrapText="1"/>
    </xf>
    <xf numFmtId="0" fontId="530" fillId="837" borderId="0" xfId="0" applyFont="1" applyFill="1" applyAlignment="1">
      <alignment horizontal="center" vertical="center" wrapText="1"/>
    </xf>
    <xf numFmtId="0" fontId="530" fillId="838" borderId="0" xfId="0" applyFont="1" applyFill="1" applyAlignment="1">
      <alignment horizontal="center" vertical="center" wrapText="1"/>
    </xf>
    <xf numFmtId="0" fontId="528" fillId="839" borderId="0" xfId="0" applyFont="1" applyFill="1"/>
    <xf numFmtId="0" fontId="528" fillId="840" borderId="0" xfId="0" applyFont="1" applyFill="1"/>
    <xf numFmtId="0" fontId="528" fillId="841" borderId="0" xfId="0" applyFont="1" applyFill="1"/>
    <xf numFmtId="0" fontId="530" fillId="842" borderId="0" xfId="0" applyFont="1" applyFill="1" applyAlignment="1">
      <alignment horizontal="center" vertical="center" wrapText="1"/>
    </xf>
    <xf numFmtId="0" fontId="530" fillId="843" borderId="0" xfId="0" applyFont="1" applyFill="1" applyAlignment="1">
      <alignment horizontal="center" vertical="center" wrapText="1"/>
    </xf>
    <xf numFmtId="0" fontId="530" fillId="844" borderId="0" xfId="0" applyFont="1" applyFill="1" applyAlignment="1">
      <alignment horizontal="center" vertical="center" wrapText="1"/>
    </xf>
    <xf numFmtId="0" fontId="530" fillId="845" borderId="0" xfId="0" applyFont="1" applyFill="1" applyAlignment="1">
      <alignment horizontal="center" vertical="center" wrapText="1"/>
    </xf>
    <xf numFmtId="0" fontId="530" fillId="846" borderId="0" xfId="0" applyFont="1" applyFill="1" applyAlignment="1">
      <alignment horizontal="center" vertical="center" wrapText="1"/>
    </xf>
    <xf numFmtId="0" fontId="530" fillId="847" borderId="0" xfId="0" applyFont="1" applyFill="1" applyAlignment="1">
      <alignment horizontal="center" vertical="center" wrapText="1"/>
    </xf>
    <xf numFmtId="0" fontId="530" fillId="848" borderId="0" xfId="0" applyFont="1" applyFill="1" applyAlignment="1">
      <alignment horizontal="center" vertical="center" wrapText="1"/>
    </xf>
    <xf numFmtId="0" fontId="530" fillId="849" borderId="0" xfId="0" applyFont="1" applyFill="1" applyAlignment="1">
      <alignment horizontal="center" vertical="center" wrapText="1"/>
    </xf>
    <xf numFmtId="0" fontId="0" fillId="850" borderId="0" xfId="0" applyFill="1" applyAlignment="1">
      <alignment horizontal="center" vertical="center" wrapText="1"/>
    </xf>
    <xf numFmtId="0" fontId="528" fillId="851" borderId="0" xfId="0" applyFont="1" applyFill="1"/>
    <xf numFmtId="0" fontId="528" fillId="852" borderId="0" xfId="0" applyFont="1" applyFill="1"/>
    <xf numFmtId="0" fontId="528" fillId="853" borderId="0" xfId="0" applyFont="1" applyFill="1"/>
    <xf numFmtId="0" fontId="530" fillId="854" borderId="0" xfId="0" applyFont="1" applyFill="1" applyAlignment="1">
      <alignment horizontal="center" vertical="center" wrapText="1"/>
    </xf>
    <xf numFmtId="0" fontId="530" fillId="855" borderId="0" xfId="0" applyFont="1" applyFill="1" applyAlignment="1">
      <alignment horizontal="center" vertical="center" wrapText="1"/>
    </xf>
    <xf numFmtId="0" fontId="530" fillId="856" borderId="0" xfId="0" applyFont="1" applyFill="1" applyAlignment="1">
      <alignment horizontal="center" vertical="center" wrapText="1"/>
    </xf>
    <xf numFmtId="0" fontId="530" fillId="857" borderId="0" xfId="0" applyFont="1" applyFill="1" applyAlignment="1">
      <alignment horizontal="center" vertical="center" wrapText="1"/>
    </xf>
    <xf numFmtId="0" fontId="530" fillId="858" borderId="0" xfId="0" applyFont="1" applyFill="1" applyAlignment="1">
      <alignment horizontal="center" vertical="center" wrapText="1"/>
    </xf>
    <xf numFmtId="0" fontId="530" fillId="859" borderId="0" xfId="0" applyFont="1" applyFill="1" applyAlignment="1">
      <alignment horizontal="center" vertical="center" wrapText="1"/>
    </xf>
    <xf numFmtId="0" fontId="530" fillId="860" borderId="0" xfId="0" applyFont="1" applyFill="1" applyAlignment="1">
      <alignment horizontal="center" vertical="center" wrapText="1"/>
    </xf>
    <xf numFmtId="0" fontId="0" fillId="861" borderId="0" xfId="0" applyFill="1" applyAlignment="1">
      <alignment horizontal="center" vertical="center" wrapText="1"/>
    </xf>
    <xf numFmtId="0" fontId="0" fillId="862" borderId="0" xfId="0" applyFill="1" applyAlignment="1">
      <alignment horizontal="center" vertical="center" wrapText="1"/>
    </xf>
    <xf numFmtId="0" fontId="528" fillId="863" borderId="0" xfId="0" applyFont="1" applyFill="1"/>
    <xf numFmtId="0" fontId="528" fillId="864" borderId="0" xfId="0" applyFont="1" applyFill="1"/>
    <xf numFmtId="0" fontId="528" fillId="865" borderId="0" xfId="0" applyFont="1" applyFill="1"/>
    <xf numFmtId="0" fontId="530" fillId="866" borderId="0" xfId="0" applyFont="1" applyFill="1" applyAlignment="1">
      <alignment horizontal="center" vertical="center" wrapText="1"/>
    </xf>
    <xf numFmtId="0" fontId="530" fillId="867" borderId="0" xfId="0" applyFont="1" applyFill="1" applyAlignment="1">
      <alignment horizontal="center" vertical="center" wrapText="1"/>
    </xf>
    <xf numFmtId="0" fontId="530" fillId="868" borderId="0" xfId="0" applyFont="1" applyFill="1" applyAlignment="1">
      <alignment horizontal="center" vertical="center" wrapText="1"/>
    </xf>
    <xf numFmtId="0" fontId="530" fillId="869" borderId="0" xfId="0" applyFont="1" applyFill="1" applyAlignment="1">
      <alignment horizontal="center" vertical="center" wrapText="1"/>
    </xf>
    <xf numFmtId="0" fontId="530" fillId="870" borderId="0" xfId="0" applyFont="1" applyFill="1" applyAlignment="1">
      <alignment horizontal="center" vertical="center" wrapText="1"/>
    </xf>
    <xf numFmtId="0" fontId="530" fillId="871" borderId="0" xfId="0" applyFont="1" applyFill="1" applyAlignment="1">
      <alignment horizontal="center" vertical="center" wrapText="1"/>
    </xf>
    <xf numFmtId="0" fontId="0" fillId="872" borderId="0" xfId="0" applyFill="1" applyAlignment="1">
      <alignment horizontal="center" vertical="center" wrapText="1"/>
    </xf>
    <xf numFmtId="0" fontId="0" fillId="873" borderId="0" xfId="0" applyFill="1" applyAlignment="1">
      <alignment horizontal="center" vertical="center" wrapText="1"/>
    </xf>
    <xf numFmtId="0" fontId="0" fillId="874" borderId="0" xfId="0" applyFill="1" applyAlignment="1">
      <alignment horizontal="center" vertical="center" wrapText="1"/>
    </xf>
    <xf numFmtId="0" fontId="528" fillId="875" borderId="0" xfId="0" applyFont="1" applyFill="1"/>
    <xf numFmtId="0" fontId="528" fillId="876" borderId="0" xfId="0" applyFont="1" applyFill="1"/>
    <xf numFmtId="0" fontId="528" fillId="877" borderId="0" xfId="0" applyFont="1" applyFill="1"/>
    <xf numFmtId="0" fontId="530" fillId="878" borderId="0" xfId="0" applyFont="1" applyFill="1" applyAlignment="1">
      <alignment horizontal="center" vertical="center" wrapText="1"/>
    </xf>
    <xf numFmtId="0" fontId="530" fillId="879" borderId="0" xfId="0" applyFont="1" applyFill="1" applyAlignment="1">
      <alignment horizontal="center" vertical="center" wrapText="1"/>
    </xf>
    <xf numFmtId="0" fontId="530" fillId="880" borderId="0" xfId="0" applyFont="1" applyFill="1" applyAlignment="1">
      <alignment horizontal="center" vertical="center" wrapText="1"/>
    </xf>
    <xf numFmtId="0" fontId="530" fillId="881" borderId="0" xfId="0" applyFont="1" applyFill="1" applyAlignment="1">
      <alignment horizontal="center" vertical="center" wrapText="1"/>
    </xf>
    <xf numFmtId="0" fontId="530" fillId="882" borderId="0" xfId="0" applyFont="1" applyFill="1" applyAlignment="1">
      <alignment horizontal="center" vertical="center" wrapText="1"/>
    </xf>
    <xf numFmtId="0" fontId="0" fillId="883" borderId="0" xfId="0" applyFill="1" applyAlignment="1">
      <alignment horizontal="center" vertical="center" wrapText="1"/>
    </xf>
    <xf numFmtId="0" fontId="0" fillId="884" borderId="0" xfId="0" applyFill="1" applyAlignment="1">
      <alignment horizontal="center" vertical="center" wrapText="1"/>
    </xf>
    <xf numFmtId="0" fontId="0" fillId="885" borderId="0" xfId="0" applyFill="1" applyAlignment="1">
      <alignment horizontal="center" vertical="center" wrapText="1"/>
    </xf>
    <xf numFmtId="0" fontId="0" fillId="886" borderId="0" xfId="0" applyFill="1" applyAlignment="1">
      <alignment horizontal="center" vertical="center" wrapText="1"/>
    </xf>
    <xf numFmtId="0" fontId="528" fillId="887" borderId="0" xfId="0" applyFont="1" applyFill="1"/>
    <xf numFmtId="0" fontId="528" fillId="888" borderId="0" xfId="0" applyFont="1" applyFill="1"/>
    <xf numFmtId="0" fontId="528" fillId="889" borderId="0" xfId="0" applyFont="1" applyFill="1"/>
    <xf numFmtId="0" fontId="530" fillId="890" borderId="0" xfId="0" applyFont="1" applyFill="1" applyAlignment="1">
      <alignment horizontal="center" vertical="center" wrapText="1"/>
    </xf>
    <xf numFmtId="0" fontId="530" fillId="891" borderId="0" xfId="0" applyFont="1" applyFill="1" applyAlignment="1">
      <alignment horizontal="center" vertical="center" wrapText="1"/>
    </xf>
    <xf numFmtId="0" fontId="530" fillId="892" borderId="0" xfId="0" applyFont="1" applyFill="1" applyAlignment="1">
      <alignment horizontal="center" vertical="center" wrapText="1"/>
    </xf>
    <xf numFmtId="0" fontId="530" fillId="893" borderId="0" xfId="0" applyFont="1" applyFill="1" applyAlignment="1">
      <alignment horizontal="center" vertical="center" wrapText="1"/>
    </xf>
    <xf numFmtId="0" fontId="0" fillId="894" borderId="0" xfId="0" applyFill="1" applyAlignment="1">
      <alignment horizontal="center" vertical="center" wrapText="1"/>
    </xf>
    <xf numFmtId="0" fontId="0" fillId="895" borderId="0" xfId="0" applyFill="1" applyAlignment="1">
      <alignment horizontal="center" vertical="center" wrapText="1"/>
    </xf>
    <xf numFmtId="0" fontId="0" fillId="896" borderId="0" xfId="0" applyFill="1" applyAlignment="1">
      <alignment horizontal="center" vertical="center" wrapText="1"/>
    </xf>
    <xf numFmtId="0" fontId="0" fillId="897" borderId="0" xfId="0" applyFill="1" applyAlignment="1">
      <alignment horizontal="center" vertical="center" wrapText="1"/>
    </xf>
    <xf numFmtId="0" fontId="0" fillId="898" borderId="0" xfId="0" applyFill="1" applyAlignment="1">
      <alignment horizontal="center" vertical="center" wrapText="1"/>
    </xf>
    <xf numFmtId="0" fontId="528" fillId="899" borderId="0" xfId="0" applyFont="1" applyFill="1"/>
    <xf numFmtId="0" fontId="528" fillId="900" borderId="0" xfId="0" applyFont="1" applyFill="1"/>
    <xf numFmtId="0" fontId="528" fillId="901" borderId="0" xfId="0" applyFont="1" applyFill="1"/>
    <xf numFmtId="0" fontId="530" fillId="902" borderId="0" xfId="0" applyFont="1" applyFill="1" applyAlignment="1">
      <alignment horizontal="center" vertical="center" wrapText="1"/>
    </xf>
    <xf numFmtId="0" fontId="530" fillId="903" borderId="0" xfId="0" applyFont="1" applyFill="1" applyAlignment="1">
      <alignment horizontal="center" vertical="center" wrapText="1"/>
    </xf>
    <xf numFmtId="0" fontId="530" fillId="904" borderId="0" xfId="0" applyFont="1" applyFill="1" applyAlignment="1">
      <alignment horizontal="center" vertical="center" wrapText="1"/>
    </xf>
    <xf numFmtId="0" fontId="0" fillId="905" borderId="0" xfId="0" applyFill="1" applyAlignment="1">
      <alignment horizontal="center" vertical="center" wrapText="1"/>
    </xf>
    <xf numFmtId="0" fontId="0" fillId="906" borderId="0" xfId="0" applyFill="1" applyAlignment="1">
      <alignment horizontal="center" vertical="center" wrapText="1"/>
    </xf>
    <xf numFmtId="0" fontId="0" fillId="907" borderId="0" xfId="0" applyFill="1" applyAlignment="1">
      <alignment horizontal="center" vertical="center" wrapText="1"/>
    </xf>
    <xf numFmtId="0" fontId="0" fillId="908" borderId="0" xfId="0" applyFill="1" applyAlignment="1">
      <alignment horizontal="center" vertical="center" wrapText="1"/>
    </xf>
    <xf numFmtId="0" fontId="0" fillId="909" borderId="0" xfId="0" applyFill="1" applyAlignment="1">
      <alignment horizontal="center" vertical="center" wrapText="1"/>
    </xf>
    <xf numFmtId="0" fontId="0" fillId="910" borderId="0" xfId="0" applyFill="1" applyAlignment="1">
      <alignment horizontal="center" vertical="center" wrapText="1"/>
    </xf>
    <xf numFmtId="0" fontId="528" fillId="911" borderId="0" xfId="0" applyFont="1" applyFill="1"/>
    <xf numFmtId="0" fontId="528" fillId="912" borderId="0" xfId="0" applyFont="1" applyFill="1"/>
    <xf numFmtId="0" fontId="528" fillId="913" borderId="0" xfId="0" applyFont="1" applyFill="1"/>
    <xf numFmtId="0" fontId="530" fillId="914" borderId="0" xfId="0" applyFont="1" applyFill="1" applyAlignment="1">
      <alignment horizontal="center" vertical="center" wrapText="1"/>
    </xf>
    <xf numFmtId="0" fontId="530" fillId="915" borderId="0" xfId="0" applyFont="1" applyFill="1" applyAlignment="1">
      <alignment horizontal="center" vertical="center" wrapText="1"/>
    </xf>
    <xf numFmtId="0" fontId="0" fillId="916" borderId="0" xfId="0" applyFill="1" applyAlignment="1">
      <alignment horizontal="center" vertical="center" wrapText="1"/>
    </xf>
    <xf numFmtId="0" fontId="0" fillId="917" borderId="0" xfId="0" applyFill="1" applyAlignment="1">
      <alignment horizontal="center" vertical="center" wrapText="1"/>
    </xf>
    <xf numFmtId="0" fontId="0" fillId="918" borderId="0" xfId="0" applyFill="1" applyAlignment="1">
      <alignment horizontal="center" vertical="center" wrapText="1"/>
    </xf>
    <xf numFmtId="0" fontId="0" fillId="919" borderId="0" xfId="0" applyFill="1" applyAlignment="1">
      <alignment horizontal="center" vertical="center" wrapText="1"/>
    </xf>
    <xf numFmtId="0" fontId="0" fillId="920" borderId="0" xfId="0" applyFill="1" applyAlignment="1">
      <alignment horizontal="center" vertical="center" wrapText="1"/>
    </xf>
    <xf numFmtId="0" fontId="0" fillId="921" borderId="0" xfId="0" applyFill="1" applyAlignment="1">
      <alignment horizontal="center" vertical="center" wrapText="1"/>
    </xf>
    <xf numFmtId="0" fontId="0" fillId="922" borderId="0" xfId="0" applyFill="1" applyAlignment="1">
      <alignment horizontal="center" vertical="center" wrapText="1"/>
    </xf>
    <xf numFmtId="0" fontId="528" fillId="923" borderId="0" xfId="0" applyFont="1" applyFill="1"/>
    <xf numFmtId="0" fontId="528" fillId="924" borderId="0" xfId="0" applyFont="1" applyFill="1"/>
    <xf numFmtId="0" fontId="528" fillId="925" borderId="0" xfId="0" applyFont="1" applyFill="1"/>
    <xf numFmtId="0" fontId="530" fillId="43" borderId="0" xfId="0" applyFont="1" applyFill="1" applyAlignment="1">
      <alignment horizontal="center" vertical="center" wrapText="1"/>
    </xf>
    <xf numFmtId="0" fontId="530" fillId="926" borderId="0" xfId="0" applyFont="1" applyFill="1" applyAlignment="1">
      <alignment horizontal="center" vertical="center" wrapText="1"/>
    </xf>
    <xf numFmtId="0" fontId="530" fillId="927" borderId="0" xfId="0" applyFont="1" applyFill="1" applyAlignment="1">
      <alignment horizontal="center" vertical="center" wrapText="1"/>
    </xf>
    <xf numFmtId="0" fontId="530" fillId="928" borderId="0" xfId="0" applyFont="1" applyFill="1" applyAlignment="1">
      <alignment horizontal="center" vertical="center" wrapText="1"/>
    </xf>
    <xf numFmtId="0" fontId="530" fillId="929" borderId="0" xfId="0" applyFont="1" applyFill="1" applyAlignment="1">
      <alignment horizontal="center" vertical="center" wrapText="1"/>
    </xf>
    <xf numFmtId="0" fontId="530" fillId="930" borderId="0" xfId="0" applyFont="1" applyFill="1" applyAlignment="1">
      <alignment horizontal="center" vertical="center" wrapText="1"/>
    </xf>
    <xf numFmtId="0" fontId="530" fillId="931" borderId="0" xfId="0" applyFont="1" applyFill="1" applyAlignment="1">
      <alignment horizontal="center" vertical="center" wrapText="1"/>
    </xf>
    <xf numFmtId="0" fontId="530" fillId="932" borderId="0" xfId="0" applyFont="1" applyFill="1" applyAlignment="1">
      <alignment horizontal="center" vertical="center" wrapText="1"/>
    </xf>
    <xf numFmtId="0" fontId="530" fillId="933" borderId="0" xfId="0" applyFont="1" applyFill="1" applyAlignment="1">
      <alignment horizontal="center" vertical="center" wrapText="1"/>
    </xf>
    <xf numFmtId="0" fontId="528" fillId="934" borderId="0" xfId="0" applyFont="1" applyFill="1"/>
    <xf numFmtId="0" fontId="528" fillId="935" borderId="0" xfId="0" applyFont="1" applyFill="1"/>
    <xf numFmtId="0" fontId="528" fillId="936" borderId="0" xfId="0" applyFont="1" applyFill="1"/>
    <xf numFmtId="0" fontId="530" fillId="937" borderId="0" xfId="0" applyFont="1" applyFill="1" applyAlignment="1">
      <alignment horizontal="center" vertical="center" wrapText="1"/>
    </xf>
    <xf numFmtId="0" fontId="530" fillId="938" borderId="0" xfId="0" applyFont="1" applyFill="1" applyAlignment="1">
      <alignment horizontal="center" vertical="center" wrapText="1"/>
    </xf>
    <xf numFmtId="0" fontId="530" fillId="939" borderId="0" xfId="0" applyFont="1" applyFill="1" applyAlignment="1">
      <alignment horizontal="center" vertical="center" wrapText="1"/>
    </xf>
    <xf numFmtId="0" fontId="530" fillId="940" borderId="0" xfId="0" applyFont="1" applyFill="1" applyAlignment="1">
      <alignment horizontal="center" vertical="center" wrapText="1"/>
    </xf>
    <xf numFmtId="0" fontId="530" fillId="941" borderId="0" xfId="0" applyFont="1" applyFill="1" applyAlignment="1">
      <alignment horizontal="center" vertical="center" wrapText="1"/>
    </xf>
    <xf numFmtId="0" fontId="530" fillId="942" borderId="0" xfId="0" applyFont="1" applyFill="1" applyAlignment="1">
      <alignment horizontal="center" vertical="center" wrapText="1"/>
    </xf>
    <xf numFmtId="0" fontId="530" fillId="943" borderId="0" xfId="0" applyFont="1" applyFill="1" applyAlignment="1">
      <alignment horizontal="center" vertical="center" wrapText="1"/>
    </xf>
    <xf numFmtId="0" fontId="530" fillId="944" borderId="0" xfId="0" applyFont="1" applyFill="1" applyAlignment="1">
      <alignment horizontal="center" vertical="center" wrapText="1"/>
    </xf>
    <xf numFmtId="0" fontId="0" fillId="945" borderId="0" xfId="0" applyFill="1" applyAlignment="1">
      <alignment horizontal="center" vertical="center" wrapText="1"/>
    </xf>
    <xf numFmtId="0" fontId="528" fillId="946" borderId="0" xfId="0" applyFont="1" applyFill="1"/>
    <xf numFmtId="0" fontId="528" fillId="947" borderId="0" xfId="0" applyFont="1" applyFill="1"/>
    <xf numFmtId="0" fontId="528" fillId="948" borderId="0" xfId="0" applyFont="1" applyFill="1"/>
    <xf numFmtId="0" fontId="530" fillId="949" borderId="0" xfId="0" applyFont="1" applyFill="1" applyAlignment="1">
      <alignment horizontal="center" vertical="center" wrapText="1"/>
    </xf>
    <xf numFmtId="0" fontId="530" fillId="950" borderId="0" xfId="0" applyFont="1" applyFill="1" applyAlignment="1">
      <alignment horizontal="center" vertical="center" wrapText="1"/>
    </xf>
    <xf numFmtId="0" fontId="530" fillId="951" borderId="0" xfId="0" applyFont="1" applyFill="1" applyAlignment="1">
      <alignment horizontal="center" vertical="center" wrapText="1"/>
    </xf>
    <xf numFmtId="0" fontId="530" fillId="952" borderId="0" xfId="0" applyFont="1" applyFill="1" applyAlignment="1">
      <alignment horizontal="center" vertical="center" wrapText="1"/>
    </xf>
    <xf numFmtId="0" fontId="530" fillId="953" borderId="0" xfId="0" applyFont="1" applyFill="1" applyAlignment="1">
      <alignment horizontal="center" vertical="center" wrapText="1"/>
    </xf>
    <xf numFmtId="0" fontId="530" fillId="954" borderId="0" xfId="0" applyFont="1" applyFill="1" applyAlignment="1">
      <alignment horizontal="center" vertical="center" wrapText="1"/>
    </xf>
    <xf numFmtId="0" fontId="530" fillId="955" borderId="0" xfId="0" applyFont="1" applyFill="1" applyAlignment="1">
      <alignment horizontal="center" vertical="center" wrapText="1"/>
    </xf>
    <xf numFmtId="0" fontId="0" fillId="956" borderId="0" xfId="0" applyFill="1" applyAlignment="1">
      <alignment horizontal="center" vertical="center" wrapText="1"/>
    </xf>
    <xf numFmtId="0" fontId="0" fillId="957" borderId="0" xfId="0" applyFill="1" applyAlignment="1">
      <alignment horizontal="center" vertical="center" wrapText="1"/>
    </xf>
    <xf numFmtId="0" fontId="528" fillId="958" borderId="0" xfId="0" applyFont="1" applyFill="1"/>
    <xf numFmtId="0" fontId="528" fillId="959" borderId="0" xfId="0" applyFont="1" applyFill="1"/>
    <xf numFmtId="0" fontId="528" fillId="960" borderId="0" xfId="0" applyFont="1" applyFill="1"/>
    <xf numFmtId="0" fontId="530" fillId="961" borderId="0" xfId="0" applyFont="1" applyFill="1" applyAlignment="1">
      <alignment horizontal="center" vertical="center" wrapText="1"/>
    </xf>
    <xf numFmtId="0" fontId="530" fillId="962" borderId="0" xfId="0" applyFont="1" applyFill="1" applyAlignment="1">
      <alignment horizontal="center" vertical="center" wrapText="1"/>
    </xf>
    <xf numFmtId="0" fontId="530" fillId="963" borderId="0" xfId="0" applyFont="1" applyFill="1" applyAlignment="1">
      <alignment horizontal="center" vertical="center" wrapText="1"/>
    </xf>
    <xf numFmtId="0" fontId="530" fillId="964" borderId="0" xfId="0" applyFont="1" applyFill="1" applyAlignment="1">
      <alignment horizontal="center" vertical="center" wrapText="1"/>
    </xf>
    <xf numFmtId="0" fontId="530" fillId="965" borderId="0" xfId="0" applyFont="1" applyFill="1" applyAlignment="1">
      <alignment horizontal="center" vertical="center" wrapText="1"/>
    </xf>
    <xf numFmtId="0" fontId="530" fillId="966" borderId="0" xfId="0" applyFont="1" applyFill="1" applyAlignment="1">
      <alignment horizontal="center" vertical="center" wrapText="1"/>
    </xf>
    <xf numFmtId="0" fontId="0" fillId="967" borderId="0" xfId="0" applyFill="1" applyAlignment="1">
      <alignment horizontal="center" vertical="center" wrapText="1"/>
    </xf>
    <xf numFmtId="0" fontId="0" fillId="968" borderId="0" xfId="0" applyFill="1" applyAlignment="1">
      <alignment horizontal="center" vertical="center" wrapText="1"/>
    </xf>
    <xf numFmtId="0" fontId="0" fillId="969" borderId="0" xfId="0" applyFill="1" applyAlignment="1">
      <alignment horizontal="center" vertical="center" wrapText="1"/>
    </xf>
    <xf numFmtId="0" fontId="528" fillId="970" borderId="0" xfId="0" applyFont="1" applyFill="1"/>
    <xf numFmtId="0" fontId="528" fillId="971" borderId="0" xfId="0" applyFont="1" applyFill="1"/>
    <xf numFmtId="0" fontId="528" fillId="972" borderId="0" xfId="0" applyFont="1" applyFill="1"/>
    <xf numFmtId="0" fontId="530" fillId="973" borderId="0" xfId="0" applyFont="1" applyFill="1" applyAlignment="1">
      <alignment horizontal="center" vertical="center" wrapText="1"/>
    </xf>
    <xf numFmtId="0" fontId="530" fillId="974" borderId="0" xfId="0" applyFont="1" applyFill="1" applyAlignment="1">
      <alignment horizontal="center" vertical="center" wrapText="1"/>
    </xf>
    <xf numFmtId="0" fontId="530" fillId="975" borderId="0" xfId="0" applyFont="1" applyFill="1" applyAlignment="1">
      <alignment horizontal="center" vertical="center" wrapText="1"/>
    </xf>
    <xf numFmtId="0" fontId="530" fillId="976" borderId="0" xfId="0" applyFont="1" applyFill="1" applyAlignment="1">
      <alignment horizontal="center" vertical="center" wrapText="1"/>
    </xf>
    <xf numFmtId="0" fontId="530" fillId="977" borderId="0" xfId="0" applyFont="1" applyFill="1" applyAlignment="1">
      <alignment horizontal="center" vertical="center" wrapText="1"/>
    </xf>
    <xf numFmtId="0" fontId="0" fillId="978" borderId="0" xfId="0" applyFill="1" applyAlignment="1">
      <alignment horizontal="center" vertical="center" wrapText="1"/>
    </xf>
    <xf numFmtId="0" fontId="0" fillId="979" borderId="0" xfId="0" applyFill="1" applyAlignment="1">
      <alignment horizontal="center" vertical="center" wrapText="1"/>
    </xf>
    <xf numFmtId="0" fontId="0" fillId="980" borderId="0" xfId="0" applyFill="1" applyAlignment="1">
      <alignment horizontal="center" vertical="center" wrapText="1"/>
    </xf>
    <xf numFmtId="0" fontId="0" fillId="981" borderId="0" xfId="0" applyFill="1" applyAlignment="1">
      <alignment horizontal="center" vertical="center" wrapText="1"/>
    </xf>
    <xf numFmtId="0" fontId="528" fillId="982" borderId="0" xfId="0" applyFont="1" applyFill="1"/>
    <xf numFmtId="0" fontId="528" fillId="983" borderId="0" xfId="0" applyFont="1" applyFill="1"/>
    <xf numFmtId="0" fontId="528" fillId="984" borderId="0" xfId="0" applyFont="1" applyFill="1"/>
    <xf numFmtId="0" fontId="530" fillId="985" borderId="0" xfId="0" applyFont="1" applyFill="1" applyAlignment="1">
      <alignment horizontal="center" vertical="center" wrapText="1"/>
    </xf>
    <xf numFmtId="0" fontId="530" fillId="986" borderId="0" xfId="0" applyFont="1" applyFill="1" applyAlignment="1">
      <alignment horizontal="center" vertical="center" wrapText="1"/>
    </xf>
    <xf numFmtId="0" fontId="530" fillId="987" borderId="0" xfId="0" applyFont="1" applyFill="1" applyAlignment="1">
      <alignment horizontal="center" vertical="center" wrapText="1"/>
    </xf>
    <xf numFmtId="0" fontId="530" fillId="988" borderId="0" xfId="0" applyFont="1" applyFill="1" applyAlignment="1">
      <alignment horizontal="center" vertical="center" wrapText="1"/>
    </xf>
    <xf numFmtId="0" fontId="0" fillId="989" borderId="0" xfId="0" applyFill="1" applyAlignment="1">
      <alignment horizontal="center" vertical="center" wrapText="1"/>
    </xf>
    <xf numFmtId="0" fontId="0" fillId="990" borderId="0" xfId="0" applyFill="1" applyAlignment="1">
      <alignment horizontal="center" vertical="center" wrapText="1"/>
    </xf>
    <xf numFmtId="0" fontId="0" fillId="991" borderId="0" xfId="0" applyFill="1" applyAlignment="1">
      <alignment horizontal="center" vertical="center" wrapText="1"/>
    </xf>
    <xf numFmtId="0" fontId="0" fillId="992" borderId="0" xfId="0" applyFill="1" applyAlignment="1">
      <alignment horizontal="center" vertical="center" wrapText="1"/>
    </xf>
    <xf numFmtId="0" fontId="0" fillId="993" borderId="0" xfId="0" applyFill="1" applyAlignment="1">
      <alignment horizontal="center" vertical="center" wrapText="1"/>
    </xf>
    <xf numFmtId="0" fontId="528" fillId="994" borderId="0" xfId="0" applyFont="1" applyFill="1"/>
    <xf numFmtId="0" fontId="528" fillId="995" borderId="0" xfId="0" applyFont="1" applyFill="1"/>
    <xf numFmtId="0" fontId="528" fillId="996" borderId="0" xfId="0" applyFont="1" applyFill="1"/>
    <xf numFmtId="0" fontId="530" fillId="997" borderId="0" xfId="0" applyFont="1" applyFill="1" applyAlignment="1">
      <alignment horizontal="center" vertical="center" wrapText="1"/>
    </xf>
    <xf numFmtId="0" fontId="530" fillId="998" borderId="0" xfId="0" applyFont="1" applyFill="1" applyAlignment="1">
      <alignment horizontal="center" vertical="center" wrapText="1"/>
    </xf>
    <xf numFmtId="0" fontId="530" fillId="999" borderId="0" xfId="0" applyFont="1" applyFill="1" applyAlignment="1">
      <alignment horizontal="center" vertical="center" wrapText="1"/>
    </xf>
    <xf numFmtId="0" fontId="0" fillId="1000" borderId="0" xfId="0" applyFill="1" applyAlignment="1">
      <alignment horizontal="center" vertical="center" wrapText="1"/>
    </xf>
    <xf numFmtId="0" fontId="0" fillId="1001" borderId="0" xfId="0" applyFill="1" applyAlignment="1">
      <alignment horizontal="center" vertical="center" wrapText="1"/>
    </xf>
    <xf numFmtId="0" fontId="0" fillId="1002" borderId="0" xfId="0" applyFill="1" applyAlignment="1">
      <alignment horizontal="center" vertical="center" wrapText="1"/>
    </xf>
    <xf numFmtId="0" fontId="0" fillId="1003" borderId="0" xfId="0" applyFill="1" applyAlignment="1">
      <alignment horizontal="center" vertical="center" wrapText="1"/>
    </xf>
    <xf numFmtId="0" fontId="0" fillId="1004" borderId="0" xfId="0" applyFill="1" applyAlignment="1">
      <alignment horizontal="center" vertical="center" wrapText="1"/>
    </xf>
    <xf numFmtId="0" fontId="0" fillId="1005" borderId="0" xfId="0" applyFill="1" applyAlignment="1">
      <alignment horizontal="center" vertical="center" wrapText="1"/>
    </xf>
    <xf numFmtId="0" fontId="528" fillId="1006" borderId="0" xfId="0" applyFont="1" applyFill="1"/>
    <xf numFmtId="0" fontId="528" fillId="1007" borderId="0" xfId="0" applyFont="1" applyFill="1"/>
    <xf numFmtId="0" fontId="528" fillId="1008" borderId="0" xfId="0" applyFont="1" applyFill="1"/>
    <xf numFmtId="0" fontId="530" fillId="1009" borderId="0" xfId="0" applyFont="1" applyFill="1" applyAlignment="1">
      <alignment horizontal="center" vertical="center" wrapText="1"/>
    </xf>
    <xf numFmtId="0" fontId="530" fillId="1010" borderId="0" xfId="0" applyFont="1" applyFill="1" applyAlignment="1">
      <alignment horizontal="center" vertical="center" wrapText="1"/>
    </xf>
    <xf numFmtId="0" fontId="0" fillId="1011" borderId="0" xfId="0" applyFill="1" applyAlignment="1">
      <alignment horizontal="center" vertical="center" wrapText="1"/>
    </xf>
    <xf numFmtId="0" fontId="0" fillId="1012" borderId="0" xfId="0" applyFill="1" applyAlignment="1">
      <alignment horizontal="center" vertical="center" wrapText="1"/>
    </xf>
    <xf numFmtId="0" fontId="0" fillId="1013" borderId="0" xfId="0" applyFill="1" applyAlignment="1">
      <alignment horizontal="center" vertical="center" wrapText="1"/>
    </xf>
    <xf numFmtId="0" fontId="0" fillId="1014" borderId="0" xfId="0" applyFill="1" applyAlignment="1">
      <alignment horizontal="center" vertical="center" wrapText="1"/>
    </xf>
    <xf numFmtId="0" fontId="0" fillId="1015" borderId="0" xfId="0" applyFill="1" applyAlignment="1">
      <alignment horizontal="center" vertical="center" wrapText="1"/>
    </xf>
    <xf numFmtId="0" fontId="0" fillId="1016" borderId="0" xfId="0" applyFill="1" applyAlignment="1">
      <alignment horizontal="center" vertical="center" wrapText="1"/>
    </xf>
    <xf numFmtId="0" fontId="0" fillId="1017" borderId="0" xfId="0" applyFill="1" applyAlignment="1">
      <alignment horizontal="center" vertical="center" wrapText="1"/>
    </xf>
    <xf numFmtId="0" fontId="528" fillId="295" borderId="0" xfId="0" applyFont="1" applyFill="1"/>
    <xf numFmtId="0" fontId="528" fillId="1018" borderId="0" xfId="0" applyFont="1" applyFill="1"/>
    <xf numFmtId="0" fontId="528" fillId="1019" borderId="0" xfId="0" applyFont="1" applyFill="1"/>
    <xf numFmtId="0" fontId="530" fillId="1020" borderId="0" xfId="0" applyFont="1" applyFill="1" applyAlignment="1">
      <alignment horizontal="center" vertical="center" wrapText="1"/>
    </xf>
    <xf numFmtId="0" fontId="0" fillId="1021" borderId="0" xfId="0" applyFill="1" applyAlignment="1">
      <alignment horizontal="center" vertical="center" wrapText="1"/>
    </xf>
    <xf numFmtId="0" fontId="0" fillId="1022" borderId="0" xfId="0" applyFill="1" applyAlignment="1">
      <alignment horizontal="center" vertical="center" wrapText="1"/>
    </xf>
    <xf numFmtId="0" fontId="0" fillId="1023" borderId="0" xfId="0" applyFill="1" applyAlignment="1">
      <alignment horizontal="center" vertical="center" wrapText="1"/>
    </xf>
    <xf numFmtId="0" fontId="0" fillId="1024" borderId="0" xfId="0" applyFill="1" applyAlignment="1">
      <alignment horizontal="center" vertical="center" wrapText="1"/>
    </xf>
    <xf numFmtId="0" fontId="0" fillId="1025" borderId="0" xfId="0" applyFill="1" applyAlignment="1">
      <alignment horizontal="center" vertical="center" wrapText="1"/>
    </xf>
    <xf numFmtId="0" fontId="0" fillId="1026" borderId="0" xfId="0" applyFill="1" applyAlignment="1">
      <alignment horizontal="center" vertical="center" wrapText="1"/>
    </xf>
    <xf numFmtId="0" fontId="0" fillId="1027" borderId="0" xfId="0" applyFill="1" applyAlignment="1">
      <alignment horizontal="center" vertical="center" wrapText="1"/>
    </xf>
    <xf numFmtId="0" fontId="0" fillId="1028" borderId="0" xfId="0" applyFill="1" applyAlignment="1">
      <alignment horizontal="center" vertical="center" wrapText="1"/>
    </xf>
    <xf numFmtId="0" fontId="528" fillId="1029" borderId="0" xfId="0" applyFont="1" applyFill="1"/>
    <xf numFmtId="0" fontId="528" fillId="1030" borderId="0" xfId="0" applyFont="1" applyFill="1"/>
    <xf numFmtId="0" fontId="528" fillId="1031" borderId="0" xfId="0" applyFont="1" applyFill="1"/>
    <xf numFmtId="0" fontId="530" fillId="1032" borderId="0" xfId="0" applyFont="1" applyFill="1" applyAlignment="1">
      <alignment horizontal="center" vertical="center" wrapText="1"/>
    </xf>
    <xf numFmtId="0" fontId="530" fillId="1033" borderId="0" xfId="0" applyFont="1" applyFill="1" applyAlignment="1">
      <alignment horizontal="center" vertical="center" wrapText="1"/>
    </xf>
    <xf numFmtId="0" fontId="530" fillId="1034" borderId="0" xfId="0" applyFont="1" applyFill="1" applyAlignment="1">
      <alignment horizontal="center" vertical="center" wrapText="1"/>
    </xf>
    <xf numFmtId="0" fontId="530" fillId="1035" borderId="0" xfId="0" applyFont="1" applyFill="1" applyAlignment="1">
      <alignment horizontal="center" vertical="center" wrapText="1"/>
    </xf>
    <xf numFmtId="0" fontId="530" fillId="1036" borderId="0" xfId="0" applyFont="1" applyFill="1" applyAlignment="1">
      <alignment horizontal="center" vertical="center" wrapText="1"/>
    </xf>
    <xf numFmtId="0" fontId="530" fillId="1037" borderId="0" xfId="0" applyFont="1" applyFill="1" applyAlignment="1">
      <alignment horizontal="center" vertical="center" wrapText="1"/>
    </xf>
    <xf numFmtId="0" fontId="530" fillId="1038" borderId="0" xfId="0" applyFont="1" applyFill="1" applyAlignment="1">
      <alignment horizontal="center" vertical="center" wrapText="1"/>
    </xf>
    <xf numFmtId="0" fontId="530" fillId="1039" borderId="0" xfId="0" applyFont="1" applyFill="1" applyAlignment="1">
      <alignment horizontal="center" vertical="center" wrapText="1"/>
    </xf>
    <xf numFmtId="0" fontId="0" fillId="1040" borderId="0" xfId="0" applyFill="1" applyAlignment="1">
      <alignment horizontal="center" vertical="center" wrapText="1"/>
    </xf>
    <xf numFmtId="0" fontId="528" fillId="1041" borderId="0" xfId="0" applyFont="1" applyFill="1"/>
    <xf numFmtId="0" fontId="528" fillId="1042" borderId="0" xfId="0" applyFont="1" applyFill="1"/>
    <xf numFmtId="0" fontId="528" fillId="1043" borderId="0" xfId="0" applyFont="1" applyFill="1"/>
    <xf numFmtId="0" fontId="530" fillId="1044" borderId="0" xfId="0" applyFont="1" applyFill="1" applyAlignment="1">
      <alignment horizontal="center" vertical="center" wrapText="1"/>
    </xf>
    <xf numFmtId="0" fontId="530" fillId="1045" borderId="0" xfId="0" applyFont="1" applyFill="1" applyAlignment="1">
      <alignment horizontal="center" vertical="center" wrapText="1"/>
    </xf>
    <xf numFmtId="0" fontId="530" fillId="1046" borderId="0" xfId="0" applyFont="1" applyFill="1" applyAlignment="1">
      <alignment horizontal="center" vertical="center" wrapText="1"/>
    </xf>
    <xf numFmtId="0" fontId="530" fillId="1047" borderId="0" xfId="0" applyFont="1" applyFill="1" applyAlignment="1">
      <alignment horizontal="center" vertical="center" wrapText="1"/>
    </xf>
    <xf numFmtId="0" fontId="530" fillId="1048" borderId="0" xfId="0" applyFont="1" applyFill="1" applyAlignment="1">
      <alignment horizontal="center" vertical="center" wrapText="1"/>
    </xf>
    <xf numFmtId="0" fontId="530" fillId="1049" borderId="0" xfId="0" applyFont="1" applyFill="1" applyAlignment="1">
      <alignment horizontal="center" vertical="center" wrapText="1"/>
    </xf>
    <xf numFmtId="0" fontId="530" fillId="1050" borderId="0" xfId="0" applyFont="1" applyFill="1" applyAlignment="1">
      <alignment horizontal="center" vertical="center" wrapText="1"/>
    </xf>
    <xf numFmtId="0" fontId="0" fillId="1051" borderId="0" xfId="0" applyFill="1" applyAlignment="1">
      <alignment horizontal="center" vertical="center" wrapText="1"/>
    </xf>
    <xf numFmtId="0" fontId="0" fillId="1052" borderId="0" xfId="0" applyFill="1" applyAlignment="1">
      <alignment horizontal="center" vertical="center" wrapText="1"/>
    </xf>
    <xf numFmtId="0" fontId="528" fillId="1053" borderId="0" xfId="0" applyFont="1" applyFill="1"/>
    <xf numFmtId="0" fontId="528" fillId="1054" borderId="0" xfId="0" applyFont="1" applyFill="1"/>
    <xf numFmtId="0" fontId="528" fillId="1055" borderId="0" xfId="0" applyFont="1" applyFill="1"/>
    <xf numFmtId="0" fontId="530" fillId="1056" borderId="0" xfId="0" applyFont="1" applyFill="1" applyAlignment="1">
      <alignment horizontal="center" vertical="center" wrapText="1"/>
    </xf>
    <xf numFmtId="0" fontId="530" fillId="1057" borderId="0" xfId="0" applyFont="1" applyFill="1" applyAlignment="1">
      <alignment horizontal="center" vertical="center" wrapText="1"/>
    </xf>
    <xf numFmtId="0" fontId="530" fillId="1058" borderId="0" xfId="0" applyFont="1" applyFill="1" applyAlignment="1">
      <alignment horizontal="center" vertical="center" wrapText="1"/>
    </xf>
    <xf numFmtId="0" fontId="530" fillId="1059" borderId="0" xfId="0" applyFont="1" applyFill="1" applyAlignment="1">
      <alignment horizontal="center" vertical="center" wrapText="1"/>
    </xf>
    <xf numFmtId="0" fontId="530" fillId="1060" borderId="0" xfId="0" applyFont="1" applyFill="1" applyAlignment="1">
      <alignment horizontal="center" vertical="center" wrapText="1"/>
    </xf>
    <xf numFmtId="0" fontId="530" fillId="1061" borderId="0" xfId="0" applyFont="1" applyFill="1" applyAlignment="1">
      <alignment horizontal="center" vertical="center" wrapText="1"/>
    </xf>
    <xf numFmtId="0" fontId="0" fillId="1062" borderId="0" xfId="0" applyFill="1" applyAlignment="1">
      <alignment horizontal="center" vertical="center" wrapText="1"/>
    </xf>
    <xf numFmtId="0" fontId="0" fillId="1063" borderId="0" xfId="0" applyFill="1" applyAlignment="1">
      <alignment horizontal="center" vertical="center" wrapText="1"/>
    </xf>
    <xf numFmtId="0" fontId="0" fillId="1064" borderId="0" xfId="0" applyFill="1" applyAlignment="1">
      <alignment horizontal="center" vertical="center" wrapText="1"/>
    </xf>
    <xf numFmtId="0" fontId="528" fillId="1065" borderId="0" xfId="0" applyFont="1" applyFill="1"/>
    <xf numFmtId="0" fontId="528" fillId="1066" borderId="0" xfId="0" applyFont="1" applyFill="1"/>
    <xf numFmtId="0" fontId="528" fillId="1067" borderId="0" xfId="0" applyFont="1" applyFill="1"/>
    <xf numFmtId="0" fontId="530" fillId="1068" borderId="0" xfId="0" applyFont="1" applyFill="1" applyAlignment="1">
      <alignment horizontal="center" vertical="center" wrapText="1"/>
    </xf>
    <xf numFmtId="0" fontId="530" fillId="1069" borderId="0" xfId="0" applyFont="1" applyFill="1" applyAlignment="1">
      <alignment horizontal="center" vertical="center" wrapText="1"/>
    </xf>
    <xf numFmtId="0" fontId="530" fillId="1070" borderId="0" xfId="0" applyFont="1" applyFill="1" applyAlignment="1">
      <alignment horizontal="center" vertical="center" wrapText="1"/>
    </xf>
    <xf numFmtId="0" fontId="530" fillId="1071" borderId="0" xfId="0" applyFont="1" applyFill="1" applyAlignment="1">
      <alignment horizontal="center" vertical="center" wrapText="1"/>
    </xf>
    <xf numFmtId="0" fontId="530" fillId="1072" borderId="0" xfId="0" applyFont="1" applyFill="1" applyAlignment="1">
      <alignment horizontal="center" vertical="center" wrapText="1"/>
    </xf>
    <xf numFmtId="0" fontId="0" fillId="1073" borderId="0" xfId="0" applyFill="1" applyAlignment="1">
      <alignment horizontal="center" vertical="center" wrapText="1"/>
    </xf>
    <xf numFmtId="0" fontId="0" fillId="1074" borderId="0" xfId="0" applyFill="1" applyAlignment="1">
      <alignment horizontal="center" vertical="center" wrapText="1"/>
    </xf>
    <xf numFmtId="0" fontId="0" fillId="1075" borderId="0" xfId="0" applyFill="1" applyAlignment="1">
      <alignment horizontal="center" vertical="center" wrapText="1"/>
    </xf>
    <xf numFmtId="0" fontId="0" fillId="1076" borderId="0" xfId="0" applyFill="1" applyAlignment="1">
      <alignment horizontal="center" vertical="center" wrapText="1"/>
    </xf>
    <xf numFmtId="0" fontId="528" fillId="1077" borderId="0" xfId="0" applyFont="1" applyFill="1"/>
    <xf numFmtId="0" fontId="528" fillId="1078" borderId="0" xfId="0" applyFont="1" applyFill="1"/>
    <xf numFmtId="0" fontId="528" fillId="1079" borderId="0" xfId="0" applyFont="1" applyFill="1"/>
    <xf numFmtId="0" fontId="530" fillId="1080" borderId="0" xfId="0" applyFont="1" applyFill="1" applyAlignment="1">
      <alignment horizontal="center" vertical="center" wrapText="1"/>
    </xf>
    <xf numFmtId="0" fontId="530" fillId="1081" borderId="0" xfId="0" applyFont="1" applyFill="1" applyAlignment="1">
      <alignment horizontal="center" vertical="center" wrapText="1"/>
    </xf>
    <xf numFmtId="0" fontId="530" fillId="1082" borderId="0" xfId="0" applyFont="1" applyFill="1" applyAlignment="1">
      <alignment horizontal="center" vertical="center" wrapText="1"/>
    </xf>
    <xf numFmtId="0" fontId="530" fillId="1083" borderId="0" xfId="0" applyFont="1" applyFill="1" applyAlignment="1">
      <alignment horizontal="center" vertical="center" wrapText="1"/>
    </xf>
    <xf numFmtId="0" fontId="0" fillId="1084" borderId="0" xfId="0" applyFill="1" applyAlignment="1">
      <alignment horizontal="center" vertical="center" wrapText="1"/>
    </xf>
    <xf numFmtId="0" fontId="0" fillId="1085" borderId="0" xfId="0" applyFill="1" applyAlignment="1">
      <alignment horizontal="center" vertical="center" wrapText="1"/>
    </xf>
    <xf numFmtId="0" fontId="0" fillId="1086" borderId="0" xfId="0" applyFill="1" applyAlignment="1">
      <alignment horizontal="center" vertical="center" wrapText="1"/>
    </xf>
    <xf numFmtId="0" fontId="0" fillId="1087" borderId="0" xfId="0" applyFill="1" applyAlignment="1">
      <alignment horizontal="center" vertical="center" wrapText="1"/>
    </xf>
    <xf numFmtId="0" fontId="0" fillId="1088" borderId="0" xfId="0" applyFill="1" applyAlignment="1">
      <alignment horizontal="center" vertical="center" wrapText="1"/>
    </xf>
    <xf numFmtId="0" fontId="528" fillId="1089" borderId="0" xfId="0" applyFont="1" applyFill="1"/>
    <xf numFmtId="0" fontId="528" fillId="1090" borderId="0" xfId="0" applyFont="1" applyFill="1"/>
    <xf numFmtId="0" fontId="528" fillId="1091" borderId="0" xfId="0" applyFont="1" applyFill="1"/>
    <xf numFmtId="0" fontId="530" fillId="1092" borderId="0" xfId="0" applyFont="1" applyFill="1" applyAlignment="1">
      <alignment horizontal="center" vertical="center" wrapText="1"/>
    </xf>
    <xf numFmtId="0" fontId="530" fillId="1093" borderId="0" xfId="0" applyFont="1" applyFill="1" applyAlignment="1">
      <alignment horizontal="center" vertical="center" wrapText="1"/>
    </xf>
    <xf numFmtId="0" fontId="530" fillId="1094" borderId="0" xfId="0" applyFont="1" applyFill="1" applyAlignment="1">
      <alignment horizontal="center" vertical="center" wrapText="1"/>
    </xf>
    <xf numFmtId="0" fontId="0" fillId="1095" borderId="0" xfId="0" applyFill="1" applyAlignment="1">
      <alignment horizontal="center" vertical="center" wrapText="1"/>
    </xf>
    <xf numFmtId="0" fontId="0" fillId="1096" borderId="0" xfId="0" applyFill="1" applyAlignment="1">
      <alignment horizontal="center" vertical="center" wrapText="1"/>
    </xf>
    <xf numFmtId="0" fontId="0" fillId="1097" borderId="0" xfId="0" applyFill="1" applyAlignment="1">
      <alignment horizontal="center" vertical="center" wrapText="1"/>
    </xf>
    <xf numFmtId="0" fontId="0" fillId="1098" borderId="0" xfId="0" applyFill="1" applyAlignment="1">
      <alignment horizontal="center" vertical="center" wrapText="1"/>
    </xf>
    <xf numFmtId="0" fontId="0" fillId="1099" borderId="0" xfId="0" applyFill="1" applyAlignment="1">
      <alignment horizontal="center" vertical="center" wrapText="1"/>
    </xf>
    <xf numFmtId="0" fontId="0" fillId="1100" borderId="0" xfId="0" applyFill="1" applyAlignment="1">
      <alignment horizontal="center" vertical="center" wrapText="1"/>
    </xf>
    <xf numFmtId="0" fontId="528" fillId="1101" borderId="0" xfId="0" applyFont="1" applyFill="1"/>
    <xf numFmtId="0" fontId="528" fillId="1102" borderId="0" xfId="0" applyFont="1" applyFill="1"/>
    <xf numFmtId="0" fontId="528" fillId="1103" borderId="0" xfId="0" applyFont="1" applyFill="1"/>
    <xf numFmtId="0" fontId="530" fillId="1104" borderId="0" xfId="0" applyFont="1" applyFill="1" applyAlignment="1">
      <alignment horizontal="center" vertical="center" wrapText="1"/>
    </xf>
    <xf numFmtId="0" fontId="530" fillId="1105" borderId="0" xfId="0" applyFont="1" applyFill="1" applyAlignment="1">
      <alignment horizontal="center" vertical="center" wrapText="1"/>
    </xf>
    <xf numFmtId="0" fontId="0" fillId="1106" borderId="0" xfId="0" applyFill="1" applyAlignment="1">
      <alignment horizontal="center" vertical="center" wrapText="1"/>
    </xf>
    <xf numFmtId="0" fontId="0" fillId="1107" borderId="0" xfId="0" applyFill="1" applyAlignment="1">
      <alignment horizontal="center" vertical="center" wrapText="1"/>
    </xf>
    <xf numFmtId="0" fontId="0" fillId="1108" borderId="0" xfId="0" applyFill="1" applyAlignment="1">
      <alignment horizontal="center" vertical="center" wrapText="1"/>
    </xf>
    <xf numFmtId="0" fontId="0" fillId="1109" borderId="0" xfId="0" applyFill="1" applyAlignment="1">
      <alignment horizontal="center" vertical="center" wrapText="1"/>
    </xf>
    <xf numFmtId="0" fontId="0" fillId="1110" borderId="0" xfId="0" applyFill="1" applyAlignment="1">
      <alignment horizontal="center" vertical="center" wrapText="1"/>
    </xf>
    <xf numFmtId="0" fontId="0" fillId="1111" borderId="0" xfId="0" applyFill="1" applyAlignment="1">
      <alignment horizontal="center" vertical="center" wrapText="1"/>
    </xf>
    <xf numFmtId="0" fontId="0" fillId="1112" borderId="0" xfId="0" applyFill="1" applyAlignment="1">
      <alignment horizontal="center" vertical="center" wrapText="1"/>
    </xf>
    <xf numFmtId="0" fontId="528" fillId="1113" borderId="0" xfId="0" applyFont="1" applyFill="1"/>
    <xf numFmtId="0" fontId="528" fillId="1114" borderId="0" xfId="0" applyFont="1" applyFill="1"/>
    <xf numFmtId="0" fontId="528" fillId="1115" borderId="0" xfId="0" applyFont="1" applyFill="1"/>
    <xf numFmtId="0" fontId="530" fillId="1116" borderId="0" xfId="0" applyFont="1" applyFill="1" applyAlignment="1">
      <alignment horizontal="center" vertical="center" wrapText="1"/>
    </xf>
    <xf numFmtId="0" fontId="0" fillId="1117" borderId="0" xfId="0" applyFill="1" applyAlignment="1">
      <alignment horizontal="center" vertical="center" wrapText="1"/>
    </xf>
    <xf numFmtId="0" fontId="0" fillId="1118" borderId="0" xfId="0" applyFill="1" applyAlignment="1">
      <alignment horizontal="center" vertical="center" wrapText="1"/>
    </xf>
    <xf numFmtId="0" fontId="0" fillId="1119" borderId="0" xfId="0" applyFill="1" applyAlignment="1">
      <alignment horizontal="center" vertical="center" wrapText="1"/>
    </xf>
    <xf numFmtId="0" fontId="0" fillId="1120" borderId="0" xfId="0" applyFill="1" applyAlignment="1">
      <alignment horizontal="center" vertical="center" wrapText="1"/>
    </xf>
    <xf numFmtId="0" fontId="0" fillId="1121" borderId="0" xfId="0" applyFill="1" applyAlignment="1">
      <alignment horizontal="center" vertical="center" wrapText="1"/>
    </xf>
    <xf numFmtId="0" fontId="0" fillId="1122" borderId="0" xfId="0" applyFill="1" applyAlignment="1">
      <alignment horizontal="center" vertical="center" wrapText="1"/>
    </xf>
    <xf numFmtId="0" fontId="0" fillId="1123" borderId="0" xfId="0" applyFill="1" applyAlignment="1">
      <alignment horizontal="center" vertical="center" wrapText="1"/>
    </xf>
    <xf numFmtId="0" fontId="0" fillId="1124" borderId="0" xfId="0" applyFill="1" applyAlignment="1">
      <alignment horizontal="center" vertical="center" wrapText="1"/>
    </xf>
    <xf numFmtId="0" fontId="528" fillId="1125" borderId="0" xfId="0" applyFont="1" applyFill="1"/>
    <xf numFmtId="0" fontId="528" fillId="1126" borderId="0" xfId="0" applyFont="1" applyFill="1"/>
    <xf numFmtId="0" fontId="528" fillId="1127" borderId="0" xfId="0" applyFont="1" applyFill="1"/>
    <xf numFmtId="0" fontId="0" fillId="1128" borderId="0" xfId="0" applyFill="1" applyAlignment="1">
      <alignment horizontal="center" vertical="center" wrapText="1"/>
    </xf>
    <xf numFmtId="0" fontId="0" fillId="1129" borderId="0" xfId="0" applyFill="1" applyAlignment="1">
      <alignment horizontal="center" vertical="center" wrapText="1"/>
    </xf>
    <xf numFmtId="0" fontId="0" fillId="1130" borderId="0" xfId="0" applyFill="1" applyAlignment="1">
      <alignment horizontal="center" vertical="center" wrapText="1"/>
    </xf>
    <xf numFmtId="0" fontId="0" fillId="1131" borderId="0" xfId="0" applyFill="1" applyAlignment="1">
      <alignment horizontal="center" vertical="center" wrapText="1"/>
    </xf>
    <xf numFmtId="0" fontId="0" fillId="1132" borderId="0" xfId="0" applyFill="1" applyAlignment="1">
      <alignment horizontal="center" vertical="center" wrapText="1"/>
    </xf>
    <xf numFmtId="0" fontId="0" fillId="1133" borderId="0" xfId="0" applyFill="1" applyAlignment="1">
      <alignment horizontal="center" vertical="center" wrapText="1"/>
    </xf>
    <xf numFmtId="0" fontId="0" fillId="1134" borderId="0" xfId="0" applyFill="1" applyAlignment="1">
      <alignment horizontal="center" vertical="center" wrapText="1"/>
    </xf>
    <xf numFmtId="0" fontId="0" fillId="1135" borderId="0" xfId="0" applyFill="1" applyAlignment="1">
      <alignment horizontal="center" vertical="center" wrapText="1"/>
    </xf>
    <xf numFmtId="0" fontId="0" fillId="1136" borderId="0" xfId="0" applyFill="1" applyAlignment="1">
      <alignment horizontal="center" vertical="center" wrapText="1"/>
    </xf>
    <xf numFmtId="0" fontId="528" fillId="1137" borderId="0" xfId="0" applyFont="1" applyFill="1"/>
    <xf numFmtId="0" fontId="528" fillId="1138" borderId="0" xfId="0" applyFont="1" applyFill="1"/>
    <xf numFmtId="0" fontId="528" fillId="1139" borderId="0" xfId="0" applyFont="1" applyFill="1"/>
    <xf numFmtId="0" fontId="530" fillId="14" borderId="0" xfId="0" applyFont="1" applyFill="1" applyAlignment="1">
      <alignment horizontal="center" vertical="center" wrapText="1"/>
    </xf>
    <xf numFmtId="0" fontId="530" fillId="1140" borderId="0" xfId="0" applyFont="1" applyFill="1" applyAlignment="1">
      <alignment horizontal="center" vertical="center" wrapText="1"/>
    </xf>
    <xf numFmtId="0" fontId="530" fillId="1141" borderId="0" xfId="0" applyFont="1" applyFill="1" applyAlignment="1">
      <alignment horizontal="center" vertical="center" wrapText="1"/>
    </xf>
    <xf numFmtId="0" fontId="530" fillId="1142" borderId="0" xfId="0" applyFont="1" applyFill="1" applyAlignment="1">
      <alignment horizontal="center" vertical="center" wrapText="1"/>
    </xf>
    <xf numFmtId="0" fontId="530" fillId="1143" borderId="0" xfId="0" applyFont="1" applyFill="1" applyAlignment="1">
      <alignment horizontal="center" vertical="center" wrapText="1"/>
    </xf>
    <xf numFmtId="0" fontId="530" fillId="1144" borderId="0" xfId="0" applyFont="1" applyFill="1" applyAlignment="1">
      <alignment horizontal="center" vertical="center" wrapText="1"/>
    </xf>
    <xf numFmtId="0" fontId="530" fillId="1145" borderId="0" xfId="0" applyFont="1" applyFill="1" applyAlignment="1">
      <alignment horizontal="center" vertical="center" wrapText="1"/>
    </xf>
    <xf numFmtId="0" fontId="0" fillId="1146" borderId="0" xfId="0" applyFill="1" applyAlignment="1">
      <alignment horizontal="center" vertical="center" wrapText="1"/>
    </xf>
    <xf numFmtId="0" fontId="0" fillId="69" borderId="0" xfId="0" applyFill="1" applyAlignment="1">
      <alignment horizontal="center" vertical="center" wrapText="1"/>
    </xf>
    <xf numFmtId="0" fontId="528" fillId="1147" borderId="0" xfId="0" applyFont="1" applyFill="1"/>
    <xf numFmtId="0" fontId="528" fillId="1148" borderId="0" xfId="0" applyFont="1" applyFill="1"/>
    <xf numFmtId="0" fontId="528" fillId="1149" borderId="0" xfId="0" applyFont="1" applyFill="1"/>
    <xf numFmtId="0" fontId="530" fillId="1150" borderId="0" xfId="0" applyFont="1" applyFill="1" applyAlignment="1">
      <alignment horizontal="center" vertical="center" wrapText="1"/>
    </xf>
    <xf numFmtId="0" fontId="530" fillId="1151" borderId="0" xfId="0" applyFont="1" applyFill="1" applyAlignment="1">
      <alignment horizontal="center" vertical="center" wrapText="1"/>
    </xf>
    <xf numFmtId="0" fontId="530" fillId="1152" borderId="0" xfId="0" applyFont="1" applyFill="1" applyAlignment="1">
      <alignment horizontal="center" vertical="center" wrapText="1"/>
    </xf>
    <xf numFmtId="0" fontId="530" fillId="1153" borderId="0" xfId="0" applyFont="1" applyFill="1" applyAlignment="1">
      <alignment horizontal="center" vertical="center" wrapText="1"/>
    </xf>
    <xf numFmtId="0" fontId="530" fillId="1154" borderId="0" xfId="0" applyFont="1" applyFill="1" applyAlignment="1">
      <alignment horizontal="center" vertical="center" wrapText="1"/>
    </xf>
    <xf numFmtId="0" fontId="530" fillId="1155" borderId="0" xfId="0" applyFont="1" applyFill="1" applyAlignment="1">
      <alignment horizontal="center" vertical="center" wrapText="1"/>
    </xf>
    <xf numFmtId="0" fontId="0" fillId="1156" borderId="0" xfId="0" applyFill="1" applyAlignment="1">
      <alignment horizontal="center" vertical="center" wrapText="1"/>
    </xf>
    <xf numFmtId="0" fontId="0" fillId="1157" borderId="0" xfId="0" applyFill="1" applyAlignment="1">
      <alignment horizontal="center" vertical="center" wrapText="1"/>
    </xf>
    <xf numFmtId="0" fontId="0" fillId="1158" borderId="0" xfId="0" applyFill="1" applyAlignment="1">
      <alignment horizontal="center" vertical="center" wrapText="1"/>
    </xf>
    <xf numFmtId="0" fontId="528" fillId="1159" borderId="0" xfId="0" applyFont="1" applyFill="1"/>
    <xf numFmtId="0" fontId="528" fillId="1160" borderId="0" xfId="0" applyFont="1" applyFill="1"/>
    <xf numFmtId="0" fontId="528" fillId="1161" borderId="0" xfId="0" applyFont="1" applyFill="1"/>
    <xf numFmtId="0" fontId="530" fillId="1162" borderId="0" xfId="0" applyFont="1" applyFill="1" applyAlignment="1">
      <alignment horizontal="center" vertical="center" wrapText="1"/>
    </xf>
    <xf numFmtId="0" fontId="530" fillId="1163" borderId="0" xfId="0" applyFont="1" applyFill="1" applyAlignment="1">
      <alignment horizontal="center" vertical="center" wrapText="1"/>
    </xf>
    <xf numFmtId="0" fontId="530" fillId="1164" borderId="0" xfId="0" applyFont="1" applyFill="1" applyAlignment="1">
      <alignment horizontal="center" vertical="center" wrapText="1"/>
    </xf>
    <xf numFmtId="0" fontId="530" fillId="1165" borderId="0" xfId="0" applyFont="1" applyFill="1" applyAlignment="1">
      <alignment horizontal="center" vertical="center" wrapText="1"/>
    </xf>
    <xf numFmtId="0" fontId="530" fillId="1166" borderId="0" xfId="0" applyFont="1" applyFill="1" applyAlignment="1">
      <alignment horizontal="center" vertical="center" wrapText="1"/>
    </xf>
    <xf numFmtId="0" fontId="0" fillId="1167" borderId="0" xfId="0" applyFill="1" applyAlignment="1">
      <alignment horizontal="center" vertical="center" wrapText="1"/>
    </xf>
    <xf numFmtId="0" fontId="0" fillId="1168" borderId="0" xfId="0" applyFill="1" applyAlignment="1">
      <alignment horizontal="center" vertical="center" wrapText="1"/>
    </xf>
    <xf numFmtId="0" fontId="0" fillId="1169" borderId="0" xfId="0" applyFill="1" applyAlignment="1">
      <alignment horizontal="center" vertical="center" wrapText="1"/>
    </xf>
    <xf numFmtId="0" fontId="0" fillId="1170" borderId="0" xfId="0" applyFill="1" applyAlignment="1">
      <alignment horizontal="center" vertical="center" wrapText="1"/>
    </xf>
    <xf numFmtId="0" fontId="528" fillId="1171" borderId="0" xfId="0" applyFont="1" applyFill="1"/>
    <xf numFmtId="0" fontId="528" fillId="1172" borderId="0" xfId="0" applyFont="1" applyFill="1"/>
    <xf numFmtId="0" fontId="528" fillId="1173" borderId="0" xfId="0" applyFont="1" applyFill="1"/>
    <xf numFmtId="0" fontId="530" fillId="1174" borderId="0" xfId="0" applyFont="1" applyFill="1" applyAlignment="1">
      <alignment horizontal="center" vertical="center" wrapText="1"/>
    </xf>
    <xf numFmtId="0" fontId="530" fillId="1175" borderId="0" xfId="0" applyFont="1" applyFill="1" applyAlignment="1">
      <alignment horizontal="center" vertical="center" wrapText="1"/>
    </xf>
    <xf numFmtId="0" fontId="530" fillId="1176" borderId="0" xfId="0" applyFont="1" applyFill="1" applyAlignment="1">
      <alignment horizontal="center" vertical="center" wrapText="1"/>
    </xf>
    <xf numFmtId="0" fontId="530" fillId="1177" borderId="0" xfId="0" applyFont="1" applyFill="1" applyAlignment="1">
      <alignment horizontal="center" vertical="center" wrapText="1"/>
    </xf>
    <xf numFmtId="0" fontId="0" fillId="1178" borderId="0" xfId="0" applyFill="1" applyAlignment="1">
      <alignment horizontal="center" vertical="center" wrapText="1"/>
    </xf>
    <xf numFmtId="0" fontId="0" fillId="1179" borderId="0" xfId="0" applyFill="1" applyAlignment="1">
      <alignment horizontal="center" vertical="center" wrapText="1"/>
    </xf>
    <xf numFmtId="0" fontId="0" fillId="1180" borderId="0" xfId="0" applyFill="1" applyAlignment="1">
      <alignment horizontal="center" vertical="center" wrapText="1"/>
    </xf>
    <xf numFmtId="0" fontId="0" fillId="1181" borderId="0" xfId="0" applyFill="1" applyAlignment="1">
      <alignment horizontal="center" vertical="center" wrapText="1"/>
    </xf>
    <xf numFmtId="0" fontId="0" fillId="1182" borderId="0" xfId="0" applyFill="1" applyAlignment="1">
      <alignment horizontal="center" vertical="center" wrapText="1"/>
    </xf>
    <xf numFmtId="0" fontId="528" fillId="1183" borderId="0" xfId="0" applyFont="1" applyFill="1"/>
    <xf numFmtId="0" fontId="528" fillId="1184" borderId="0" xfId="0" applyFont="1" applyFill="1"/>
    <xf numFmtId="0" fontId="528" fillId="1185" borderId="0" xfId="0" applyFont="1" applyFill="1"/>
    <xf numFmtId="0" fontId="530" fillId="1186" borderId="0" xfId="0" applyFont="1" applyFill="1" applyAlignment="1">
      <alignment horizontal="center" vertical="center" wrapText="1"/>
    </xf>
    <xf numFmtId="0" fontId="530" fillId="1187" borderId="0" xfId="0" applyFont="1" applyFill="1" applyAlignment="1">
      <alignment horizontal="center" vertical="center" wrapText="1"/>
    </xf>
    <xf numFmtId="0" fontId="530" fillId="1188" borderId="0" xfId="0" applyFont="1" applyFill="1" applyAlignment="1">
      <alignment horizontal="center" vertical="center" wrapText="1"/>
    </xf>
    <xf numFmtId="0" fontId="0" fillId="1189" borderId="0" xfId="0" applyFill="1" applyAlignment="1">
      <alignment horizontal="center" vertical="center" wrapText="1"/>
    </xf>
    <xf numFmtId="0" fontId="0" fillId="1190" borderId="0" xfId="0" applyFill="1" applyAlignment="1">
      <alignment horizontal="center" vertical="center" wrapText="1"/>
    </xf>
    <xf numFmtId="0" fontId="0" fillId="1191" borderId="0" xfId="0" applyFill="1" applyAlignment="1">
      <alignment horizontal="center" vertical="center" wrapText="1"/>
    </xf>
    <xf numFmtId="0" fontId="0" fillId="1192" borderId="0" xfId="0" applyFill="1" applyAlignment="1">
      <alignment horizontal="center" vertical="center" wrapText="1"/>
    </xf>
    <xf numFmtId="0" fontId="0" fillId="1193" borderId="0" xfId="0" applyFill="1" applyAlignment="1">
      <alignment horizontal="center" vertical="center" wrapText="1"/>
    </xf>
    <xf numFmtId="0" fontId="0" fillId="1194" borderId="0" xfId="0" applyFill="1" applyAlignment="1">
      <alignment horizontal="center" vertical="center" wrapText="1"/>
    </xf>
    <xf numFmtId="0" fontId="528" fillId="1195" borderId="0" xfId="0" applyFont="1" applyFill="1"/>
    <xf numFmtId="0" fontId="528" fillId="1196" borderId="0" xfId="0" applyFont="1" applyFill="1"/>
    <xf numFmtId="0" fontId="528" fillId="1197" borderId="0" xfId="0" applyFont="1" applyFill="1"/>
    <xf numFmtId="0" fontId="530" fillId="1198" borderId="0" xfId="0" applyFont="1" applyFill="1" applyAlignment="1">
      <alignment horizontal="center" vertical="center" wrapText="1"/>
    </xf>
    <xf numFmtId="0" fontId="530" fillId="1199" borderId="0" xfId="0" applyFont="1" applyFill="1" applyAlignment="1">
      <alignment horizontal="center" vertical="center" wrapText="1"/>
    </xf>
    <xf numFmtId="0" fontId="0" fillId="1200" borderId="0" xfId="0" applyFill="1" applyAlignment="1">
      <alignment horizontal="center" vertical="center" wrapText="1"/>
    </xf>
    <xf numFmtId="0" fontId="0" fillId="1201" borderId="0" xfId="0" applyFill="1" applyAlignment="1">
      <alignment horizontal="center" vertical="center" wrapText="1"/>
    </xf>
    <xf numFmtId="0" fontId="0" fillId="1202" borderId="0" xfId="0" applyFill="1" applyAlignment="1">
      <alignment horizontal="center" vertical="center" wrapText="1"/>
    </xf>
    <xf numFmtId="0" fontId="0" fillId="1203" borderId="0" xfId="0" applyFill="1" applyAlignment="1">
      <alignment horizontal="center" vertical="center" wrapText="1"/>
    </xf>
    <xf numFmtId="0" fontId="0" fillId="1204" borderId="0" xfId="0" applyFill="1" applyAlignment="1">
      <alignment horizontal="center" vertical="center" wrapText="1"/>
    </xf>
    <xf numFmtId="0" fontId="0" fillId="1205" borderId="0" xfId="0" applyFill="1" applyAlignment="1">
      <alignment horizontal="center" vertical="center" wrapText="1"/>
    </xf>
    <xf numFmtId="0" fontId="0" fillId="1206" borderId="0" xfId="0" applyFill="1" applyAlignment="1">
      <alignment horizontal="center" vertical="center" wrapText="1"/>
    </xf>
    <xf numFmtId="0" fontId="528" fillId="1207" borderId="0" xfId="0" applyFont="1" applyFill="1"/>
    <xf numFmtId="0" fontId="528" fillId="69" borderId="0" xfId="0" applyFont="1" applyFill="1"/>
    <xf numFmtId="0" fontId="528" fillId="1208" borderId="0" xfId="0" applyFont="1" applyFill="1"/>
    <xf numFmtId="0" fontId="530" fillId="17" borderId="0" xfId="0" applyFont="1" applyFill="1" applyAlignment="1">
      <alignment horizontal="center" vertical="center" wrapText="1"/>
    </xf>
    <xf numFmtId="0" fontId="0" fillId="1209" borderId="0" xfId="0" applyFill="1" applyAlignment="1">
      <alignment horizontal="center" vertical="center" wrapText="1"/>
    </xf>
    <xf numFmtId="0" fontId="0" fillId="1210" borderId="0" xfId="0" applyFill="1" applyAlignment="1">
      <alignment horizontal="center" vertical="center" wrapText="1"/>
    </xf>
    <xf numFmtId="0" fontId="0" fillId="1211" borderId="0" xfId="0" applyFill="1" applyAlignment="1">
      <alignment horizontal="center" vertical="center" wrapText="1"/>
    </xf>
    <xf numFmtId="0" fontId="0" fillId="1212" borderId="0" xfId="0" applyFill="1" applyAlignment="1">
      <alignment horizontal="center" vertical="center" wrapText="1"/>
    </xf>
    <xf numFmtId="0" fontId="0" fillId="1213" borderId="0" xfId="0" applyFill="1" applyAlignment="1">
      <alignment horizontal="center" vertical="center" wrapText="1"/>
    </xf>
    <xf numFmtId="0" fontId="0" fillId="1214" borderId="0" xfId="0" applyFill="1" applyAlignment="1">
      <alignment horizontal="center" vertical="center" wrapText="1"/>
    </xf>
    <xf numFmtId="0" fontId="0" fillId="1215" borderId="0" xfId="0" applyFill="1" applyAlignment="1">
      <alignment horizontal="center" vertical="center" wrapText="1"/>
    </xf>
    <xf numFmtId="0" fontId="0" fillId="1216" borderId="0" xfId="0" applyFill="1" applyAlignment="1">
      <alignment horizontal="center" vertical="center" wrapText="1"/>
    </xf>
    <xf numFmtId="0" fontId="528" fillId="1217" borderId="0" xfId="0" applyFont="1" applyFill="1"/>
    <xf numFmtId="0" fontId="528" fillId="1218" borderId="0" xfId="0" applyFont="1" applyFill="1"/>
    <xf numFmtId="0" fontId="528" fillId="1219" borderId="0" xfId="0" applyFont="1" applyFill="1"/>
    <xf numFmtId="0" fontId="0" fillId="1220" borderId="0" xfId="0" applyFill="1" applyAlignment="1">
      <alignment horizontal="center" vertical="center" wrapText="1"/>
    </xf>
    <xf numFmtId="0" fontId="0" fillId="1221" borderId="0" xfId="0" applyFill="1" applyAlignment="1">
      <alignment horizontal="center" vertical="center" wrapText="1"/>
    </xf>
    <xf numFmtId="0" fontId="0" fillId="1222" borderId="0" xfId="0" applyFill="1" applyAlignment="1">
      <alignment horizontal="center" vertical="center" wrapText="1"/>
    </xf>
    <xf numFmtId="0" fontId="0" fillId="1223" borderId="0" xfId="0" applyFill="1" applyAlignment="1">
      <alignment horizontal="center" vertical="center" wrapText="1"/>
    </xf>
    <xf numFmtId="0" fontId="0" fillId="1224" borderId="0" xfId="0" applyFill="1" applyAlignment="1">
      <alignment horizontal="center" vertical="center" wrapText="1"/>
    </xf>
    <xf numFmtId="0" fontId="0" fillId="1225" borderId="0" xfId="0" applyFill="1" applyAlignment="1">
      <alignment horizontal="center" vertical="center" wrapText="1"/>
    </xf>
    <xf numFmtId="0" fontId="0" fillId="1226" borderId="0" xfId="0" applyFill="1" applyAlignment="1">
      <alignment horizontal="center" vertical="center" wrapText="1"/>
    </xf>
    <xf numFmtId="0" fontId="0" fillId="1227" borderId="0" xfId="0" applyFill="1" applyAlignment="1">
      <alignment horizontal="center" vertical="center" wrapText="1"/>
    </xf>
    <xf numFmtId="0" fontId="0" fillId="1228" borderId="0" xfId="0" applyFill="1" applyAlignment="1">
      <alignment horizontal="center" vertical="center" wrapText="1"/>
    </xf>
    <xf numFmtId="0" fontId="528" fillId="1229" borderId="0" xfId="0" applyFont="1" applyFill="1"/>
    <xf numFmtId="0" fontId="528" fillId="1230" borderId="0" xfId="0" applyFont="1" applyFill="1"/>
    <xf numFmtId="0" fontId="528" fillId="1231" borderId="0" xfId="0" applyFont="1" applyFill="1"/>
    <xf numFmtId="0" fontId="0" fillId="22" borderId="0" xfId="0" applyFill="1" applyAlignment="1">
      <alignment horizontal="center" vertical="center" wrapText="1"/>
    </xf>
    <xf numFmtId="0" fontId="0" fillId="1232" borderId="0" xfId="0" applyFill="1" applyAlignment="1">
      <alignment horizontal="center" vertical="center" wrapText="1"/>
    </xf>
    <xf numFmtId="0" fontId="0" fillId="1233" borderId="0" xfId="0" applyFill="1" applyAlignment="1">
      <alignment horizontal="center" vertical="center" wrapText="1"/>
    </xf>
    <xf numFmtId="0" fontId="0" fillId="1234" borderId="0" xfId="0" applyFill="1" applyAlignment="1">
      <alignment horizontal="center" vertical="center" wrapText="1"/>
    </xf>
    <xf numFmtId="0" fontId="0" fillId="1235" borderId="0" xfId="0" applyFill="1" applyAlignment="1">
      <alignment horizontal="center" vertical="center" wrapText="1"/>
    </xf>
    <xf numFmtId="0" fontId="0" fillId="1236" borderId="0" xfId="0" applyFill="1" applyAlignment="1">
      <alignment horizontal="center" vertical="center" wrapText="1"/>
    </xf>
    <xf numFmtId="0" fontId="0" fillId="1237" borderId="0" xfId="0" applyFill="1" applyAlignment="1">
      <alignment horizontal="center" vertical="center" wrapText="1"/>
    </xf>
    <xf numFmtId="0" fontId="0" fillId="463" borderId="0" xfId="0" applyFill="1" applyAlignment="1">
      <alignment horizontal="center" vertical="center" wrapText="1"/>
    </xf>
    <xf numFmtId="0" fontId="0" fillId="198" borderId="0" xfId="0" applyFill="1" applyAlignment="1">
      <alignment horizontal="center" vertical="center" wrapText="1"/>
    </xf>
    <xf numFmtId="0" fontId="528" fillId="1238" borderId="0" xfId="0" applyFont="1" applyFill="1"/>
    <xf numFmtId="0" fontId="528" fillId="1239" borderId="0" xfId="0" applyFont="1" applyFill="1"/>
    <xf numFmtId="0" fontId="528" fillId="1240" borderId="0" xfId="0" applyFont="1" applyFill="1"/>
    <xf numFmtId="0" fontId="528" fillId="1241" borderId="0" xfId="0" applyFont="1" applyFill="1"/>
    <xf numFmtId="0" fontId="528" fillId="1242" borderId="0" xfId="0" applyFont="1" applyFill="1"/>
    <xf numFmtId="0" fontId="528" fillId="1243" borderId="0" xfId="0" applyFont="1" applyFill="1"/>
    <xf numFmtId="0" fontId="528" fillId="1244" borderId="0" xfId="0" applyFont="1" applyFill="1"/>
    <xf numFmtId="0" fontId="528" fillId="1245" borderId="0" xfId="0" applyFont="1" applyFill="1"/>
    <xf numFmtId="0" fontId="528" fillId="1246" borderId="0" xfId="0" applyFont="1" applyFill="1"/>
    <xf numFmtId="0" fontId="528" fillId="1247" borderId="0" xfId="0" applyFont="1" applyFill="1"/>
    <xf numFmtId="0" fontId="528" fillId="1248" borderId="0" xfId="0" applyFont="1" applyFill="1"/>
    <xf numFmtId="0" fontId="528" fillId="1249" borderId="0" xfId="0" applyFont="1" applyFill="1"/>
    <xf numFmtId="0" fontId="528" fillId="1250" borderId="0" xfId="0" applyFont="1" applyFill="1"/>
    <xf numFmtId="0" fontId="528" fillId="1251" borderId="0" xfId="0" applyFont="1" applyFill="1"/>
    <xf numFmtId="0" fontId="528" fillId="1252" borderId="0" xfId="0" applyFont="1" applyFill="1"/>
    <xf numFmtId="0" fontId="528" fillId="1253" borderId="0" xfId="0" applyFont="1" applyFill="1"/>
    <xf numFmtId="0" fontId="528" fillId="1254" borderId="0" xfId="0" applyFont="1" applyFill="1"/>
    <xf numFmtId="0" fontId="528" fillId="1255" borderId="0" xfId="0" applyFont="1" applyFill="1"/>
    <xf numFmtId="0" fontId="528" fillId="1256" borderId="0" xfId="0" applyFont="1" applyFill="1"/>
    <xf numFmtId="0" fontId="528" fillId="1257" borderId="0" xfId="0" applyFont="1" applyFill="1"/>
    <xf numFmtId="0" fontId="528" fillId="1258" borderId="0" xfId="0" applyFont="1" applyFill="1"/>
    <xf numFmtId="0" fontId="528" fillId="1259" borderId="0" xfId="0" applyFont="1" applyFill="1"/>
    <xf numFmtId="0" fontId="528" fillId="1260" borderId="0" xfId="0" applyFont="1" applyFill="1"/>
    <xf numFmtId="0" fontId="528" fillId="1261" borderId="0" xfId="0" applyFont="1" applyFill="1"/>
    <xf numFmtId="0" fontId="528" fillId="1262" borderId="0" xfId="0" applyFont="1" applyFill="1"/>
    <xf numFmtId="0" fontId="528" fillId="1263" borderId="0" xfId="0" applyFont="1" applyFill="1"/>
    <xf numFmtId="0" fontId="528" fillId="1264" borderId="0" xfId="0" applyFont="1" applyFill="1"/>
    <xf numFmtId="0" fontId="528" fillId="1265" borderId="0" xfId="0" applyFont="1" applyFill="1"/>
    <xf numFmtId="0" fontId="528" fillId="1266" borderId="0" xfId="0" applyFont="1" applyFill="1"/>
    <xf numFmtId="0" fontId="528" fillId="1267" borderId="0" xfId="0" applyFont="1" applyFill="1"/>
    <xf numFmtId="0" fontId="528" fillId="1268" borderId="0" xfId="0" applyFont="1" applyFill="1"/>
    <xf numFmtId="0" fontId="528" fillId="1269" borderId="0" xfId="0" applyFont="1" applyFill="1"/>
    <xf numFmtId="0" fontId="528" fillId="1270" borderId="0" xfId="0" applyFont="1" applyFill="1"/>
    <xf numFmtId="0" fontId="528" fillId="1271" borderId="0" xfId="0" applyFont="1" applyFill="1"/>
    <xf numFmtId="0" fontId="528" fillId="1272" borderId="0" xfId="0" applyFont="1" applyFill="1"/>
    <xf numFmtId="0" fontId="528" fillId="1273" borderId="0" xfId="0" applyFont="1" applyFill="1"/>
    <xf numFmtId="0" fontId="528" fillId="1274" borderId="0" xfId="0" applyFont="1" applyFill="1"/>
    <xf numFmtId="0" fontId="528" fillId="1275" borderId="0" xfId="0" applyFont="1" applyFill="1"/>
    <xf numFmtId="0" fontId="528" fillId="1276" borderId="0" xfId="0" applyFont="1" applyFill="1"/>
    <xf numFmtId="0" fontId="528" fillId="1277" borderId="0" xfId="0" applyFont="1" applyFill="1"/>
    <xf numFmtId="0" fontId="528" fillId="1278" borderId="0" xfId="0" applyFont="1" applyFill="1"/>
    <xf numFmtId="0" fontId="528" fillId="1279" borderId="0" xfId="0" applyFont="1" applyFill="1"/>
    <xf numFmtId="0" fontId="528" fillId="1280" borderId="0" xfId="0" applyFont="1" applyFill="1"/>
    <xf numFmtId="0" fontId="528" fillId="1281" borderId="0" xfId="0" applyFont="1" applyFill="1"/>
    <xf numFmtId="0" fontId="528" fillId="1282" borderId="0" xfId="0" applyFont="1" applyFill="1"/>
    <xf numFmtId="0" fontId="528" fillId="1283" borderId="0" xfId="0" applyFont="1" applyFill="1"/>
    <xf numFmtId="0" fontId="528" fillId="1284" borderId="0" xfId="0" applyFont="1" applyFill="1"/>
    <xf numFmtId="0" fontId="528" fillId="1285" borderId="0" xfId="0" applyFont="1" applyFill="1"/>
    <xf numFmtId="0" fontId="528" fillId="1286" borderId="0" xfId="0" applyFont="1" applyFill="1"/>
    <xf numFmtId="0" fontId="528" fillId="1287" borderId="0" xfId="0" applyFont="1" applyFill="1"/>
    <xf numFmtId="0" fontId="528" fillId="1288" borderId="0" xfId="0" applyFont="1" applyFill="1"/>
    <xf numFmtId="0" fontId="528" fillId="1289" borderId="0" xfId="0" applyFont="1" applyFill="1"/>
    <xf numFmtId="0" fontId="528" fillId="1290" borderId="0" xfId="0" applyFont="1" applyFill="1"/>
    <xf numFmtId="0" fontId="528" fillId="1291" borderId="0" xfId="0" applyFont="1" applyFill="1"/>
    <xf numFmtId="0" fontId="528" fillId="1292" borderId="0" xfId="0" applyFont="1" applyFill="1"/>
    <xf numFmtId="0" fontId="528" fillId="1293" borderId="0" xfId="0" applyFont="1" applyFill="1"/>
    <xf numFmtId="0" fontId="528" fillId="1294" borderId="0" xfId="0" applyFont="1" applyFill="1"/>
    <xf numFmtId="0" fontId="528" fillId="1295" borderId="0" xfId="0" applyFont="1" applyFill="1"/>
    <xf numFmtId="0" fontId="528" fillId="1296" borderId="0" xfId="0" applyFont="1" applyFill="1"/>
    <xf numFmtId="0" fontId="528" fillId="14" borderId="0" xfId="0" applyFont="1" applyFill="1"/>
    <xf numFmtId="0" fontId="528" fillId="1297" borderId="0" xfId="0" applyFont="1" applyFill="1"/>
    <xf numFmtId="0" fontId="528" fillId="1298" borderId="0" xfId="0" applyFont="1" applyFill="1"/>
    <xf numFmtId="0" fontId="528" fillId="1299" borderId="0" xfId="0" applyFont="1" applyFill="1"/>
    <xf numFmtId="0" fontId="528" fillId="1300" borderId="0" xfId="0" applyFont="1" applyFill="1"/>
    <xf numFmtId="0" fontId="528" fillId="1301" borderId="0" xfId="0" applyFont="1" applyFill="1"/>
    <xf numFmtId="0" fontId="528" fillId="1302" borderId="0" xfId="0" applyFont="1" applyFill="1"/>
    <xf numFmtId="0" fontId="528" fillId="1303" borderId="0" xfId="0" applyFont="1" applyFill="1"/>
    <xf numFmtId="0" fontId="528" fillId="1304" borderId="0" xfId="0" applyFont="1" applyFill="1"/>
    <xf numFmtId="0" fontId="528" fillId="1305" borderId="0" xfId="0" applyFont="1" applyFill="1"/>
    <xf numFmtId="0" fontId="528" fillId="1306" borderId="0" xfId="0" applyFont="1" applyFill="1"/>
    <xf numFmtId="0" fontId="528" fillId="719" borderId="0" xfId="0" applyFont="1" applyFill="1"/>
    <xf numFmtId="0" fontId="528" fillId="1307" borderId="0" xfId="0" applyFont="1" applyFill="1"/>
    <xf numFmtId="0" fontId="528" fillId="1308" borderId="0" xfId="0" applyFont="1" applyFill="1"/>
    <xf numFmtId="0" fontId="528" fillId="1309" borderId="0" xfId="0" applyFont="1" applyFill="1"/>
    <xf numFmtId="0" fontId="528" fillId="1310" borderId="0" xfId="0" applyFont="1" applyFill="1"/>
    <xf numFmtId="0" fontId="528" fillId="1311" borderId="0" xfId="0" applyFont="1" applyFill="1"/>
    <xf numFmtId="0" fontId="528" fillId="1312" borderId="0" xfId="0" applyFont="1" applyFill="1"/>
    <xf numFmtId="0" fontId="528" fillId="1164" borderId="0" xfId="0" applyFont="1" applyFill="1"/>
    <xf numFmtId="0" fontId="528" fillId="1313" borderId="0" xfId="0" applyFont="1" applyFill="1"/>
    <xf numFmtId="0" fontId="528" fillId="1314" borderId="0" xfId="0" applyFont="1" applyFill="1"/>
    <xf numFmtId="0" fontId="528" fillId="1315" borderId="0" xfId="0" applyFont="1" applyFill="1"/>
    <xf numFmtId="0" fontId="528" fillId="1316" borderId="0" xfId="0" applyFont="1" applyFill="1"/>
    <xf numFmtId="0" fontId="528" fillId="1317" borderId="0" xfId="0" applyFont="1" applyFill="1"/>
    <xf numFmtId="0" fontId="528" fillId="1318" borderId="0" xfId="0" applyFont="1" applyFill="1"/>
    <xf numFmtId="0" fontId="528" fillId="1319" borderId="0" xfId="0" applyFont="1" applyFill="1"/>
    <xf numFmtId="0" fontId="528" fillId="1320" borderId="0" xfId="0" applyFont="1" applyFill="1"/>
    <xf numFmtId="0" fontId="528" fillId="1321" borderId="0" xfId="0" applyFont="1" applyFill="1"/>
    <xf numFmtId="0" fontId="528" fillId="1322" borderId="0" xfId="0" applyFont="1" applyFill="1"/>
    <xf numFmtId="0" fontId="528" fillId="1323" borderId="0" xfId="0" applyFont="1" applyFill="1"/>
    <xf numFmtId="0" fontId="528" fillId="1324" borderId="0" xfId="0" applyFont="1" applyFill="1"/>
    <xf numFmtId="0" fontId="528" fillId="1325" borderId="0" xfId="0" applyFont="1" applyFill="1"/>
    <xf numFmtId="0" fontId="528" fillId="1326" borderId="0" xfId="0" applyFont="1" applyFill="1"/>
    <xf numFmtId="0" fontId="528" fillId="1327" borderId="0" xfId="0" applyFont="1" applyFill="1"/>
    <xf numFmtId="0" fontId="528" fillId="1328" borderId="0" xfId="0" applyFont="1" applyFill="1"/>
    <xf numFmtId="0" fontId="528" fillId="1329" borderId="0" xfId="0" applyFont="1" applyFill="1"/>
    <xf numFmtId="0" fontId="528" fillId="1330" borderId="0" xfId="0" applyFont="1" applyFill="1"/>
    <xf numFmtId="0" fontId="528" fillId="1331" borderId="0" xfId="0" applyFont="1" applyFill="1"/>
    <xf numFmtId="0" fontId="528" fillId="1332" borderId="0" xfId="0" applyFont="1" applyFill="1"/>
    <xf numFmtId="0" fontId="528" fillId="1333" borderId="0" xfId="0" applyFont="1" applyFill="1"/>
    <xf numFmtId="0" fontId="528" fillId="1334" borderId="0" xfId="0" applyFont="1" applyFill="1"/>
    <xf numFmtId="0" fontId="528" fillId="1335" borderId="0" xfId="0" applyFont="1" applyFill="1"/>
    <xf numFmtId="0" fontId="528" fillId="1336" borderId="0" xfId="0" applyFont="1" applyFill="1"/>
    <xf numFmtId="0" fontId="528" fillId="1337" borderId="0" xfId="0" applyFont="1" applyFill="1"/>
    <xf numFmtId="0" fontId="528" fillId="1338" borderId="0" xfId="0" applyFont="1" applyFill="1"/>
    <xf numFmtId="0" fontId="528" fillId="1339" borderId="0" xfId="0" applyFont="1" applyFill="1"/>
    <xf numFmtId="0" fontId="528" fillId="1340" borderId="0" xfId="0" applyFont="1" applyFill="1"/>
    <xf numFmtId="0" fontId="528" fillId="1341" borderId="0" xfId="0" applyFont="1" applyFill="1"/>
    <xf numFmtId="0" fontId="528" fillId="1342" borderId="0" xfId="0" applyFont="1" applyFill="1"/>
    <xf numFmtId="0" fontId="528" fillId="1343" borderId="0" xfId="0" applyFont="1" applyFill="1"/>
    <xf numFmtId="0" fontId="528" fillId="1344" borderId="0" xfId="0" applyFont="1" applyFill="1"/>
    <xf numFmtId="0" fontId="528" fillId="1345" borderId="0" xfId="0" applyFont="1" applyFill="1"/>
    <xf numFmtId="0" fontId="528" fillId="1346" borderId="0" xfId="0" applyFont="1" applyFill="1"/>
    <xf numFmtId="0" fontId="528" fillId="1347" borderId="0" xfId="0" applyFont="1" applyFill="1"/>
    <xf numFmtId="0" fontId="528" fillId="1348" borderId="0" xfId="0" applyFont="1" applyFill="1"/>
    <xf numFmtId="0" fontId="528" fillId="1349" borderId="0" xfId="0" applyFont="1" applyFill="1"/>
    <xf numFmtId="0" fontId="528" fillId="1350" borderId="0" xfId="0" applyFont="1" applyFill="1"/>
    <xf numFmtId="0" fontId="528" fillId="1351" borderId="0" xfId="0" applyFont="1" applyFill="1"/>
    <xf numFmtId="0" fontId="528" fillId="1352" borderId="0" xfId="0" applyFont="1" applyFill="1"/>
    <xf numFmtId="0" fontId="528" fillId="1353" borderId="0" xfId="0" applyFont="1" applyFill="1"/>
    <xf numFmtId="0" fontId="528" fillId="1354" borderId="0" xfId="0" applyFont="1" applyFill="1"/>
    <xf numFmtId="0" fontId="528" fillId="1355" borderId="0" xfId="0" applyFont="1" applyFill="1"/>
    <xf numFmtId="0" fontId="528" fillId="1356" borderId="0" xfId="0" applyFont="1" applyFill="1"/>
    <xf numFmtId="0" fontId="528" fillId="1357" borderId="0" xfId="0" applyFont="1" applyFill="1"/>
    <xf numFmtId="0" fontId="528" fillId="1358" borderId="0" xfId="0" applyFont="1" applyFill="1"/>
    <xf numFmtId="0" fontId="528" fillId="1359" borderId="0" xfId="0" applyFont="1" applyFill="1"/>
    <xf numFmtId="0" fontId="528" fillId="1360" borderId="0" xfId="0" applyFont="1" applyFill="1"/>
    <xf numFmtId="0" fontId="528" fillId="1361" borderId="0" xfId="0" applyFont="1" applyFill="1"/>
    <xf numFmtId="0" fontId="528" fillId="1362" borderId="0" xfId="0" applyFont="1" applyFill="1"/>
    <xf numFmtId="0" fontId="528" fillId="1363" borderId="0" xfId="0" applyFont="1" applyFill="1"/>
    <xf numFmtId="0" fontId="528" fillId="1364" borderId="0" xfId="0" applyFont="1" applyFill="1"/>
    <xf numFmtId="0" fontId="528" fillId="1365" borderId="0" xfId="0" applyFont="1" applyFill="1"/>
    <xf numFmtId="0" fontId="528" fillId="1366" borderId="0" xfId="0" applyFont="1" applyFill="1"/>
    <xf numFmtId="0" fontId="528" fillId="1367" borderId="0" xfId="0" applyFont="1" applyFill="1"/>
    <xf numFmtId="0" fontId="528" fillId="1368" borderId="0" xfId="0" applyFont="1" applyFill="1"/>
    <xf numFmtId="0" fontId="528" fillId="1369" borderId="0" xfId="0" applyFont="1" applyFill="1"/>
    <xf numFmtId="0" fontId="528" fillId="1370" borderId="0" xfId="0" applyFont="1" applyFill="1"/>
    <xf numFmtId="0" fontId="528" fillId="1371" borderId="0" xfId="0" applyFont="1" applyFill="1"/>
    <xf numFmtId="0" fontId="528" fillId="1372" borderId="0" xfId="0" applyFont="1" applyFill="1"/>
    <xf numFmtId="0" fontId="528" fillId="1373" borderId="0" xfId="0" applyFont="1" applyFill="1"/>
    <xf numFmtId="0" fontId="528" fillId="1374" borderId="0" xfId="0" applyFont="1" applyFill="1"/>
    <xf numFmtId="0" fontId="528" fillId="1375" borderId="0" xfId="0" applyFont="1" applyFill="1"/>
    <xf numFmtId="0" fontId="528" fillId="1376" borderId="0" xfId="0" applyFont="1" applyFill="1"/>
    <xf numFmtId="0" fontId="528" fillId="1377" borderId="0" xfId="0" applyFont="1" applyFill="1"/>
    <xf numFmtId="0" fontId="528" fillId="1378" borderId="0" xfId="0" applyFont="1" applyFill="1"/>
    <xf numFmtId="0" fontId="528" fillId="1379" borderId="0" xfId="0" applyFont="1" applyFill="1"/>
    <xf numFmtId="0" fontId="528" fillId="1380" borderId="0" xfId="0" applyFont="1" applyFill="1"/>
    <xf numFmtId="0" fontId="528" fillId="1381" borderId="0" xfId="0" applyFont="1" applyFill="1"/>
    <xf numFmtId="0" fontId="528" fillId="1382" borderId="0" xfId="0" applyFont="1" applyFill="1"/>
    <xf numFmtId="0" fontId="528" fillId="1383" borderId="0" xfId="0" applyFont="1" applyFill="1"/>
    <xf numFmtId="0" fontId="528" fillId="1384" borderId="0" xfId="0" applyFont="1" applyFill="1"/>
    <xf numFmtId="0" fontId="528" fillId="1385" borderId="0" xfId="0" applyFont="1" applyFill="1"/>
    <xf numFmtId="0" fontId="528" fillId="1386" borderId="0" xfId="0" applyFont="1" applyFill="1"/>
    <xf numFmtId="0" fontId="528" fillId="1387" borderId="0" xfId="0" applyFont="1" applyFill="1"/>
    <xf numFmtId="0" fontId="528" fillId="1388" borderId="0" xfId="0" applyFont="1" applyFill="1"/>
    <xf numFmtId="0" fontId="528" fillId="1389" borderId="0" xfId="0" applyFont="1" applyFill="1"/>
    <xf numFmtId="0" fontId="528" fillId="1390" borderId="0" xfId="0" applyFont="1" applyFill="1"/>
    <xf numFmtId="0" fontId="528" fillId="217" borderId="0" xfId="0" applyFont="1" applyFill="1"/>
    <xf numFmtId="0" fontId="528" fillId="1391" borderId="0" xfId="0" applyFont="1" applyFill="1"/>
    <xf numFmtId="0" fontId="528" fillId="1392" borderId="0" xfId="0" applyFont="1" applyFill="1"/>
    <xf numFmtId="0" fontId="528" fillId="1393" borderId="0" xfId="0" applyFont="1" applyFill="1"/>
    <xf numFmtId="0" fontId="528" fillId="1394" borderId="0" xfId="0" applyFont="1" applyFill="1"/>
    <xf numFmtId="0" fontId="528" fillId="1395" borderId="0" xfId="0" applyFont="1" applyFill="1"/>
    <xf numFmtId="0" fontId="528" fillId="1396" borderId="0" xfId="0" applyFont="1" applyFill="1"/>
    <xf numFmtId="0" fontId="528" fillId="1397" borderId="0" xfId="0" applyFont="1" applyFill="1"/>
    <xf numFmtId="0" fontId="528" fillId="1398" borderId="0" xfId="0" applyFont="1" applyFill="1"/>
    <xf numFmtId="0" fontId="528" fillId="1399" borderId="0" xfId="0" applyFont="1" applyFill="1"/>
    <xf numFmtId="0" fontId="528" fillId="1400" borderId="0" xfId="0" applyFont="1" applyFill="1"/>
    <xf numFmtId="0" fontId="528" fillId="1401" borderId="0" xfId="0" applyFont="1" applyFill="1"/>
    <xf numFmtId="0" fontId="528" fillId="1402" borderId="0" xfId="0" applyFont="1" applyFill="1"/>
    <xf numFmtId="0" fontId="528" fillId="1403" borderId="0" xfId="0" applyFont="1" applyFill="1"/>
    <xf numFmtId="0" fontId="528" fillId="1404" borderId="0" xfId="0" applyFont="1" applyFill="1"/>
    <xf numFmtId="0" fontId="528" fillId="1405" borderId="0" xfId="0" applyFont="1" applyFill="1"/>
    <xf numFmtId="0" fontId="528" fillId="1406" borderId="0" xfId="0" applyFont="1" applyFill="1"/>
    <xf numFmtId="0" fontId="528" fillId="1407" borderId="0" xfId="0" applyFont="1" applyFill="1"/>
    <xf numFmtId="0" fontId="528" fillId="1408" borderId="0" xfId="0" applyFont="1" applyFill="1"/>
    <xf numFmtId="0" fontId="528" fillId="1409" borderId="0" xfId="0" applyFont="1" applyFill="1"/>
    <xf numFmtId="0" fontId="528" fillId="1410" borderId="0" xfId="0" applyFont="1" applyFill="1"/>
    <xf numFmtId="0" fontId="528" fillId="1411" borderId="0" xfId="0" applyFont="1" applyFill="1"/>
    <xf numFmtId="0" fontId="528" fillId="1412" borderId="0" xfId="0" applyFont="1" applyFill="1"/>
    <xf numFmtId="0" fontId="528" fillId="1413" borderId="0" xfId="0" applyFont="1" applyFill="1"/>
    <xf numFmtId="0" fontId="528" fillId="1414" borderId="0" xfId="0" applyFont="1" applyFill="1"/>
    <xf numFmtId="0" fontId="528" fillId="1415" borderId="0" xfId="0" applyFont="1" applyFill="1"/>
    <xf numFmtId="0" fontId="528" fillId="1416" borderId="0" xfId="0" applyFont="1" applyFill="1"/>
    <xf numFmtId="0" fontId="528" fillId="1417" borderId="0" xfId="0" applyFont="1" applyFill="1"/>
    <xf numFmtId="0" fontId="528" fillId="1418" borderId="0" xfId="0" applyFont="1" applyFill="1"/>
    <xf numFmtId="0" fontId="528" fillId="1419" borderId="0" xfId="0" applyFont="1" applyFill="1"/>
    <xf numFmtId="0" fontId="528" fillId="1420" borderId="0" xfId="0" applyFont="1" applyFill="1"/>
    <xf numFmtId="0" fontId="528" fillId="1421" borderId="0" xfId="0" applyFont="1" applyFill="1"/>
    <xf numFmtId="0" fontId="528" fillId="1422" borderId="0" xfId="0" applyFont="1" applyFill="1"/>
    <xf numFmtId="0" fontId="528" fillId="1423" borderId="0" xfId="0" applyFont="1" applyFill="1"/>
    <xf numFmtId="0" fontId="528" fillId="1424" borderId="0" xfId="0" applyFont="1" applyFill="1"/>
    <xf numFmtId="0" fontId="528" fillId="1425" borderId="0" xfId="0" applyFont="1" applyFill="1"/>
    <xf numFmtId="0" fontId="528" fillId="1136" borderId="0" xfId="0" applyFont="1" applyFill="1"/>
    <xf numFmtId="0" fontId="528" fillId="1426" borderId="0" xfId="0" applyFont="1" applyFill="1"/>
    <xf numFmtId="0" fontId="528" fillId="1427" borderId="0" xfId="0" applyFont="1" applyFill="1"/>
    <xf numFmtId="0" fontId="528" fillId="1428" borderId="0" xfId="0" applyFont="1" applyFill="1"/>
    <xf numFmtId="0" fontId="528" fillId="1429" borderId="0" xfId="0" applyFont="1" applyFill="1"/>
    <xf numFmtId="0" fontId="528" fillId="1430" borderId="0" xfId="0" applyFont="1" applyFill="1"/>
    <xf numFmtId="0" fontId="528" fillId="1431" borderId="0" xfId="0" applyFont="1" applyFill="1"/>
    <xf numFmtId="0" fontId="528" fillId="1432" borderId="0" xfId="0" applyFont="1" applyFill="1"/>
    <xf numFmtId="0" fontId="528" fillId="1433" borderId="0" xfId="0" applyFont="1" applyFill="1"/>
    <xf numFmtId="0" fontId="528" fillId="1434" borderId="0" xfId="0" applyFont="1" applyFill="1"/>
    <xf numFmtId="0" fontId="528" fillId="1435" borderId="0" xfId="0" applyFont="1" applyFill="1"/>
    <xf numFmtId="0" fontId="528" fillId="1436" borderId="0" xfId="0" applyFont="1" applyFill="1"/>
    <xf numFmtId="0" fontId="528" fillId="1437" borderId="0" xfId="0" applyFont="1" applyFill="1"/>
    <xf numFmtId="0" fontId="528" fillId="1438" borderId="0" xfId="0" applyFont="1" applyFill="1"/>
    <xf numFmtId="0" fontId="528" fillId="1439" borderId="0" xfId="0" applyFont="1" applyFill="1"/>
    <xf numFmtId="0" fontId="528" fillId="1440" borderId="0" xfId="0" applyFont="1" applyFill="1"/>
    <xf numFmtId="0" fontId="528" fillId="1441" borderId="0" xfId="0" applyFont="1" applyFill="1"/>
    <xf numFmtId="0" fontId="528" fillId="1442" borderId="0" xfId="0" applyFont="1" applyFill="1"/>
    <xf numFmtId="0" fontId="528" fillId="1443" borderId="0" xfId="0" applyFont="1" applyFill="1"/>
    <xf numFmtId="0" fontId="528" fillId="1444" borderId="0" xfId="0" applyFont="1" applyFill="1"/>
    <xf numFmtId="0" fontId="528" fillId="1445" borderId="0" xfId="0" applyFont="1" applyFill="1"/>
    <xf numFmtId="0" fontId="528" fillId="1446" borderId="0" xfId="0" applyFont="1" applyFill="1"/>
    <xf numFmtId="0" fontId="528" fillId="1447" borderId="0" xfId="0" applyFont="1" applyFill="1"/>
    <xf numFmtId="0" fontId="528" fillId="1448" borderId="0" xfId="0" applyFont="1" applyFill="1"/>
    <xf numFmtId="0" fontId="528" fillId="1449" borderId="0" xfId="0" applyFont="1" applyFill="1"/>
    <xf numFmtId="0" fontId="528" fillId="1450" borderId="0" xfId="0" applyFont="1" applyFill="1"/>
    <xf numFmtId="0" fontId="528" fillId="1451" borderId="0" xfId="0" applyFont="1" applyFill="1"/>
    <xf numFmtId="0" fontId="528" fillId="1452" borderId="0" xfId="0" applyFont="1" applyFill="1"/>
    <xf numFmtId="0" fontId="528" fillId="1453" borderId="0" xfId="0" applyFont="1" applyFill="1"/>
    <xf numFmtId="0" fontId="528" fillId="1454" borderId="0" xfId="0" applyFont="1" applyFill="1"/>
    <xf numFmtId="0" fontId="528" fillId="1455" borderId="0" xfId="0" applyFont="1" applyFill="1"/>
    <xf numFmtId="0" fontId="528" fillId="1456" borderId="0" xfId="0" applyFont="1" applyFill="1"/>
    <xf numFmtId="0" fontId="528" fillId="1457" borderId="0" xfId="0" applyFont="1" applyFill="1"/>
    <xf numFmtId="0" fontId="528" fillId="1458" borderId="0" xfId="0" applyFont="1" applyFill="1"/>
    <xf numFmtId="0" fontId="528" fillId="1459" borderId="0" xfId="0" applyFont="1" applyFill="1"/>
    <xf numFmtId="0" fontId="528" fillId="1460" borderId="0" xfId="0" applyFont="1" applyFill="1"/>
    <xf numFmtId="0" fontId="528" fillId="1461" borderId="0" xfId="0" applyFont="1" applyFill="1"/>
    <xf numFmtId="0" fontId="528" fillId="1462" borderId="0" xfId="0" applyFont="1" applyFill="1"/>
    <xf numFmtId="0" fontId="528" fillId="1463" borderId="0" xfId="0" applyFont="1" applyFill="1"/>
    <xf numFmtId="0" fontId="528" fillId="1464" borderId="0" xfId="0" applyFont="1" applyFill="1"/>
    <xf numFmtId="0" fontId="528" fillId="1465" borderId="0" xfId="0" applyFont="1" applyFill="1"/>
    <xf numFmtId="0" fontId="528" fillId="1466" borderId="0" xfId="0" applyFont="1" applyFill="1"/>
    <xf numFmtId="0" fontId="528" fillId="1467" borderId="0" xfId="0" applyFont="1" applyFill="1"/>
    <xf numFmtId="0" fontId="528" fillId="1468" borderId="0" xfId="0" applyFont="1" applyFill="1"/>
    <xf numFmtId="0" fontId="528" fillId="1469" borderId="0" xfId="0" applyFont="1" applyFill="1"/>
    <xf numFmtId="0" fontId="528" fillId="1470" borderId="0" xfId="0" applyFont="1" applyFill="1"/>
    <xf numFmtId="0" fontId="528" fillId="1471" borderId="0" xfId="0" applyFont="1" applyFill="1"/>
    <xf numFmtId="0" fontId="528" fillId="1472" borderId="0" xfId="0" applyFont="1" applyFill="1"/>
    <xf numFmtId="0" fontId="528" fillId="1473" borderId="0" xfId="0" applyFont="1" applyFill="1"/>
    <xf numFmtId="0" fontId="528" fillId="1474" borderId="0" xfId="0" applyFont="1" applyFill="1"/>
    <xf numFmtId="0" fontId="528" fillId="1475" borderId="0" xfId="0" applyFont="1" applyFill="1"/>
    <xf numFmtId="0" fontId="528" fillId="1476" borderId="0" xfId="0" applyFont="1" applyFill="1"/>
    <xf numFmtId="0" fontId="528" fillId="1477" borderId="0" xfId="0" applyFont="1" applyFill="1"/>
    <xf numFmtId="0" fontId="528" fillId="1478" borderId="0" xfId="0" applyFont="1" applyFill="1"/>
    <xf numFmtId="0" fontId="528" fillId="1479" borderId="0" xfId="0" applyFont="1" applyFill="1"/>
    <xf numFmtId="0" fontId="528" fillId="1480" borderId="0" xfId="0" applyFont="1" applyFill="1"/>
    <xf numFmtId="0" fontId="528" fillId="43" borderId="0" xfId="0" applyFont="1" applyFill="1"/>
    <xf numFmtId="0" fontId="528" fillId="1481" borderId="0" xfId="0" applyFont="1" applyFill="1"/>
    <xf numFmtId="0" fontId="528" fillId="1482" borderId="0" xfId="0" applyFont="1" applyFill="1"/>
    <xf numFmtId="0" fontId="528" fillId="1483" borderId="0" xfId="0" applyFont="1" applyFill="1"/>
    <xf numFmtId="0" fontId="528" fillId="1484" borderId="0" xfId="0" applyFont="1" applyFill="1"/>
    <xf numFmtId="0" fontId="528" fillId="1485" borderId="0" xfId="0" applyFont="1" applyFill="1"/>
    <xf numFmtId="0" fontId="528" fillId="1486" borderId="0" xfId="0" applyFont="1" applyFill="1"/>
    <xf numFmtId="0" fontId="528" fillId="1487" borderId="0" xfId="0" applyFont="1" applyFill="1"/>
    <xf numFmtId="0" fontId="528" fillId="1488" borderId="0" xfId="0" applyFont="1" applyFill="1"/>
    <xf numFmtId="0" fontId="528" fillId="1489" borderId="0" xfId="0" applyFont="1" applyFill="1"/>
    <xf numFmtId="0" fontId="528" fillId="1490" borderId="0" xfId="0" applyFont="1" applyFill="1"/>
    <xf numFmtId="0" fontId="528" fillId="1491" borderId="0" xfId="0" applyFont="1" applyFill="1"/>
    <xf numFmtId="0" fontId="528" fillId="1492" borderId="0" xfId="0" applyFont="1" applyFill="1"/>
    <xf numFmtId="0" fontId="528" fillId="341" borderId="0" xfId="0" applyFont="1" applyFill="1"/>
    <xf numFmtId="0" fontId="528" fillId="1493" borderId="0" xfId="0" applyFont="1" applyFill="1"/>
    <xf numFmtId="0" fontId="528" fillId="1494" borderId="0" xfId="0" applyFont="1" applyFill="1"/>
    <xf numFmtId="0" fontId="528" fillId="1495" borderId="0" xfId="0" applyFont="1" applyFill="1"/>
    <xf numFmtId="0" fontId="528" fillId="1496" borderId="0" xfId="0" applyFont="1" applyFill="1"/>
    <xf numFmtId="0" fontId="528" fillId="1497" borderId="0" xfId="0" applyFont="1" applyFill="1"/>
    <xf numFmtId="0" fontId="528" fillId="1498" borderId="0" xfId="0" applyFont="1" applyFill="1"/>
    <xf numFmtId="0" fontId="528" fillId="1499" borderId="0" xfId="0" applyFont="1" applyFill="1"/>
    <xf numFmtId="0" fontId="528" fillId="1500" borderId="0" xfId="0" applyFont="1" applyFill="1"/>
    <xf numFmtId="0" fontId="528" fillId="1501" borderId="0" xfId="0" applyFont="1" applyFill="1"/>
    <xf numFmtId="0" fontId="528" fillId="1502" borderId="0" xfId="0" applyFont="1" applyFill="1"/>
    <xf numFmtId="0" fontId="528" fillId="1503" borderId="0" xfId="0" applyFont="1" applyFill="1"/>
    <xf numFmtId="0" fontId="528" fillId="1504" borderId="0" xfId="0" applyFont="1" applyFill="1"/>
    <xf numFmtId="0" fontId="528" fillId="1505" borderId="0" xfId="0" applyFont="1" applyFill="1"/>
    <xf numFmtId="0" fontId="528" fillId="1506" borderId="0" xfId="0" applyFont="1" applyFill="1"/>
    <xf numFmtId="0" fontId="528" fillId="1507" borderId="0" xfId="0" applyFont="1" applyFill="1"/>
    <xf numFmtId="0" fontId="528" fillId="1508" borderId="0" xfId="0" applyFont="1" applyFill="1"/>
    <xf numFmtId="0" fontId="528" fillId="1509" borderId="0" xfId="0" applyFont="1" applyFill="1"/>
    <xf numFmtId="0" fontId="528" fillId="1510" borderId="0" xfId="0" applyFont="1" applyFill="1"/>
    <xf numFmtId="0" fontId="528" fillId="1511" borderId="0" xfId="0" applyFont="1" applyFill="1"/>
    <xf numFmtId="0" fontId="528" fillId="1512" borderId="0" xfId="0" applyFont="1" applyFill="1"/>
    <xf numFmtId="0" fontId="528" fillId="1513" borderId="0" xfId="0" applyFont="1" applyFill="1"/>
    <xf numFmtId="0" fontId="528" fillId="1514" borderId="0" xfId="0" applyFont="1" applyFill="1"/>
    <xf numFmtId="0" fontId="528" fillId="1515" borderId="0" xfId="0" applyFont="1" applyFill="1"/>
    <xf numFmtId="0" fontId="528" fillId="1516" borderId="0" xfId="0" applyFont="1" applyFill="1"/>
    <xf numFmtId="0" fontId="528" fillId="1517" borderId="0" xfId="0" applyFont="1" applyFill="1"/>
    <xf numFmtId="0" fontId="528" fillId="1518" borderId="0" xfId="0" applyFont="1" applyFill="1"/>
    <xf numFmtId="0" fontId="528" fillId="1519" borderId="0" xfId="0" applyFont="1" applyFill="1"/>
    <xf numFmtId="0" fontId="528" fillId="1520" borderId="0" xfId="0" applyFont="1" applyFill="1"/>
    <xf numFmtId="0" fontId="528" fillId="1521" borderId="0" xfId="0" applyFont="1" applyFill="1"/>
    <xf numFmtId="0" fontId="528" fillId="1522" borderId="0" xfId="0" applyFont="1" applyFill="1"/>
    <xf numFmtId="0" fontId="528" fillId="1523" borderId="0" xfId="0" applyFont="1" applyFill="1"/>
    <xf numFmtId="0" fontId="528" fillId="1524" borderId="0" xfId="0" applyFont="1" applyFill="1"/>
    <xf numFmtId="0" fontId="528" fillId="1525" borderId="0" xfId="0" applyFont="1" applyFill="1"/>
    <xf numFmtId="0" fontId="528" fillId="1526" borderId="0" xfId="0" applyFont="1" applyFill="1"/>
    <xf numFmtId="0" fontId="528" fillId="1527" borderId="0" xfId="0" applyFont="1" applyFill="1"/>
    <xf numFmtId="0" fontId="528" fillId="1528" borderId="0" xfId="0" applyFont="1" applyFill="1"/>
    <xf numFmtId="0" fontId="528" fillId="1529" borderId="0" xfId="0" applyFont="1" applyFill="1"/>
    <xf numFmtId="0" fontId="528" fillId="1530" borderId="0" xfId="0" applyFont="1" applyFill="1"/>
    <xf numFmtId="0" fontId="528" fillId="1531" borderId="0" xfId="0" applyFont="1" applyFill="1"/>
    <xf numFmtId="0" fontId="528" fillId="1532" borderId="0" xfId="0" applyFont="1" applyFill="1"/>
    <xf numFmtId="0" fontId="528" fillId="1533" borderId="0" xfId="0" applyFont="1" applyFill="1"/>
    <xf numFmtId="0" fontId="528" fillId="1534" borderId="0" xfId="0" applyFont="1" applyFill="1"/>
    <xf numFmtId="0" fontId="528" fillId="1535" borderId="0" xfId="0" applyFont="1" applyFill="1"/>
    <xf numFmtId="0" fontId="528" fillId="1536" borderId="0" xfId="0" applyFont="1" applyFill="1"/>
    <xf numFmtId="0" fontId="528" fillId="1537" borderId="0" xfId="0" applyFont="1" applyFill="1"/>
    <xf numFmtId="0" fontId="528" fillId="1538" borderId="0" xfId="0" applyFont="1" applyFill="1"/>
    <xf numFmtId="0" fontId="528" fillId="1539" borderId="0" xfId="0" applyFont="1" applyFill="1"/>
    <xf numFmtId="0" fontId="528" fillId="1540" borderId="0" xfId="0" applyFont="1" applyFill="1"/>
    <xf numFmtId="0" fontId="528" fillId="1541" borderId="0" xfId="0" applyFont="1" applyFill="1"/>
    <xf numFmtId="0" fontId="528" fillId="1542" borderId="0" xfId="0" applyFont="1" applyFill="1"/>
    <xf numFmtId="0" fontId="528" fillId="1543" borderId="0" xfId="0" applyFont="1" applyFill="1"/>
    <xf numFmtId="0" fontId="528" fillId="1544" borderId="0" xfId="0" applyFont="1" applyFill="1"/>
    <xf numFmtId="0" fontId="528" fillId="1545" borderId="0" xfId="0" applyFont="1" applyFill="1"/>
    <xf numFmtId="0" fontId="528" fillId="1546" borderId="0" xfId="0" applyFont="1" applyFill="1"/>
    <xf numFmtId="0" fontId="528" fillId="1547" borderId="0" xfId="0" applyFont="1" applyFill="1"/>
    <xf numFmtId="0" fontId="528" fillId="1548" borderId="0" xfId="0" applyFont="1" applyFill="1"/>
    <xf numFmtId="0" fontId="528" fillId="1549" borderId="0" xfId="0" applyFont="1" applyFill="1"/>
    <xf numFmtId="0" fontId="528" fillId="1550" borderId="0" xfId="0" applyFont="1" applyFill="1"/>
    <xf numFmtId="0" fontId="528" fillId="1551" borderId="0" xfId="0" applyFont="1" applyFill="1"/>
    <xf numFmtId="0" fontId="528" fillId="1552" borderId="0" xfId="0" applyFont="1" applyFill="1"/>
    <xf numFmtId="0" fontId="528" fillId="1553" borderId="0" xfId="0" applyFont="1" applyFill="1"/>
    <xf numFmtId="0" fontId="528" fillId="1554" borderId="0" xfId="0" applyFont="1" applyFill="1"/>
    <xf numFmtId="0" fontId="528" fillId="1555" borderId="0" xfId="0" applyFont="1" applyFill="1"/>
    <xf numFmtId="0" fontId="528" fillId="1556" borderId="0" xfId="0" applyFont="1" applyFill="1"/>
    <xf numFmtId="0" fontId="528" fillId="1557" borderId="0" xfId="0" applyFont="1" applyFill="1"/>
    <xf numFmtId="0" fontId="528" fillId="1558" borderId="0" xfId="0" applyFont="1" applyFill="1"/>
    <xf numFmtId="0" fontId="528" fillId="1559" borderId="0" xfId="0" applyFont="1" applyFill="1"/>
    <xf numFmtId="0" fontId="528" fillId="75" borderId="0" xfId="0" applyFont="1" applyFill="1"/>
    <xf numFmtId="0" fontId="528" fillId="1560" borderId="0" xfId="0" applyFont="1" applyFill="1"/>
    <xf numFmtId="0" fontId="528" fillId="1561" borderId="0" xfId="0" applyFont="1" applyFill="1"/>
    <xf numFmtId="0" fontId="528" fillId="1562" borderId="0" xfId="0" applyFont="1" applyFill="1"/>
    <xf numFmtId="0" fontId="528" fillId="1563" borderId="0" xfId="0" applyFont="1" applyFill="1"/>
    <xf numFmtId="0" fontId="528" fillId="1564" borderId="0" xfId="0" applyFont="1" applyFill="1"/>
    <xf numFmtId="0" fontId="528" fillId="1565" borderId="0" xfId="0" applyFont="1" applyFill="1"/>
    <xf numFmtId="0" fontId="528" fillId="1566" borderId="0" xfId="0" applyFont="1" applyFill="1"/>
    <xf numFmtId="0" fontId="528" fillId="1567" borderId="0" xfId="0" applyFont="1" applyFill="1"/>
    <xf numFmtId="0" fontId="528" fillId="1568" borderId="0" xfId="0" applyFont="1" applyFill="1"/>
    <xf numFmtId="0" fontId="528" fillId="1569" borderId="0" xfId="0" applyFont="1" applyFill="1"/>
    <xf numFmtId="0" fontId="528" fillId="1570" borderId="0" xfId="0" applyFont="1" applyFill="1"/>
    <xf numFmtId="0" fontId="528" fillId="1571" borderId="0" xfId="0" applyFont="1" applyFill="1"/>
    <xf numFmtId="0" fontId="528" fillId="1572" borderId="0" xfId="0" applyFont="1" applyFill="1"/>
    <xf numFmtId="0" fontId="528" fillId="1573" borderId="0" xfId="0" applyFont="1" applyFill="1"/>
    <xf numFmtId="0" fontId="528" fillId="1574" borderId="0" xfId="0" applyFont="1" applyFill="1"/>
    <xf numFmtId="0" fontId="528" fillId="1575" borderId="0" xfId="0" applyFont="1" applyFill="1"/>
    <xf numFmtId="0" fontId="528" fillId="1576" borderId="0" xfId="0" applyFont="1" applyFill="1"/>
    <xf numFmtId="0" fontId="528" fillId="1577" borderId="0" xfId="0" applyFont="1" applyFill="1"/>
    <xf numFmtId="0" fontId="528" fillId="1578" borderId="0" xfId="0" applyFont="1" applyFill="1"/>
    <xf numFmtId="0" fontId="528" fillId="1579" borderId="0" xfId="0" applyFont="1" applyFill="1"/>
    <xf numFmtId="0" fontId="528" fillId="1580" borderId="0" xfId="0" applyFont="1" applyFill="1"/>
    <xf numFmtId="0" fontId="528" fillId="1581" borderId="0" xfId="0" applyFont="1" applyFill="1"/>
    <xf numFmtId="0" fontId="528" fillId="1582" borderId="0" xfId="0" applyFont="1" applyFill="1"/>
    <xf numFmtId="0" fontId="528" fillId="1583" borderId="0" xfId="0" applyFont="1" applyFill="1"/>
    <xf numFmtId="0" fontId="528" fillId="1584" borderId="0" xfId="0" applyFont="1" applyFill="1"/>
    <xf numFmtId="0" fontId="528" fillId="1585" borderId="0" xfId="0" applyFont="1" applyFill="1"/>
    <xf numFmtId="0" fontId="528" fillId="1586" borderId="0" xfId="0" applyFont="1" applyFill="1"/>
    <xf numFmtId="0" fontId="528" fillId="1587" borderId="0" xfId="0" applyFont="1" applyFill="1"/>
    <xf numFmtId="0" fontId="528" fillId="1588" borderId="0" xfId="0" applyFont="1" applyFill="1"/>
    <xf numFmtId="0" fontId="528" fillId="1589" borderId="0" xfId="0" applyFont="1" applyFill="1"/>
    <xf numFmtId="0" fontId="528" fillId="1590" borderId="0" xfId="0" applyFont="1" applyFill="1"/>
    <xf numFmtId="0" fontId="528" fillId="1591" borderId="0" xfId="0" applyFont="1" applyFill="1"/>
    <xf numFmtId="0" fontId="528" fillId="1592" borderId="0" xfId="0" applyFont="1" applyFill="1"/>
    <xf numFmtId="0" fontId="528" fillId="1593" borderId="0" xfId="0" applyFont="1" applyFill="1"/>
    <xf numFmtId="0" fontId="528" fillId="1594" borderId="0" xfId="0" applyFont="1" applyFill="1"/>
    <xf numFmtId="0" fontId="528" fillId="1595" borderId="0" xfId="0" applyFont="1" applyFill="1"/>
    <xf numFmtId="0" fontId="528" fillId="1596" borderId="0" xfId="0" applyFont="1" applyFill="1"/>
    <xf numFmtId="0" fontId="528" fillId="1597" borderId="0" xfId="0" applyFont="1" applyFill="1"/>
    <xf numFmtId="0" fontId="528" fillId="1598" borderId="0" xfId="0" applyFont="1" applyFill="1"/>
    <xf numFmtId="0" fontId="528" fillId="1599" borderId="0" xfId="0" applyFont="1" applyFill="1"/>
    <xf numFmtId="0" fontId="528" fillId="1600" borderId="0" xfId="0" applyFont="1" applyFill="1"/>
    <xf numFmtId="0" fontId="528" fillId="1601" borderId="0" xfId="0" applyFont="1" applyFill="1"/>
    <xf numFmtId="0" fontId="528" fillId="1602" borderId="0" xfId="0" applyFont="1" applyFill="1"/>
    <xf numFmtId="0" fontId="528" fillId="1603" borderId="0" xfId="0" applyFont="1" applyFill="1"/>
    <xf numFmtId="0" fontId="528" fillId="1604" borderId="0" xfId="0" applyFont="1" applyFill="1"/>
    <xf numFmtId="0" fontId="528" fillId="1605" borderId="0" xfId="0" applyFont="1" applyFill="1"/>
    <xf numFmtId="0" fontId="528" fillId="1606" borderId="0" xfId="0" applyFont="1" applyFill="1"/>
    <xf numFmtId="0" fontId="528" fillId="1607" borderId="0" xfId="0" applyFont="1" applyFill="1"/>
    <xf numFmtId="0" fontId="528" fillId="1608" borderId="0" xfId="0" applyFont="1" applyFill="1"/>
    <xf numFmtId="0" fontId="528" fillId="1609" borderId="0" xfId="0" applyFont="1" applyFill="1"/>
    <xf numFmtId="0" fontId="528" fillId="1610" borderId="0" xfId="0" applyFont="1" applyFill="1"/>
    <xf numFmtId="0" fontId="528" fillId="1611" borderId="0" xfId="0" applyFont="1" applyFill="1"/>
    <xf numFmtId="0" fontId="528" fillId="1612" borderId="0" xfId="0" applyFont="1" applyFill="1"/>
    <xf numFmtId="0" fontId="528" fillId="1613" borderId="0" xfId="0" applyFont="1" applyFill="1"/>
    <xf numFmtId="0" fontId="528" fillId="1614" borderId="0" xfId="0" applyFont="1" applyFill="1"/>
    <xf numFmtId="0" fontId="528" fillId="1615" borderId="0" xfId="0" applyFont="1" applyFill="1"/>
    <xf numFmtId="0" fontId="528" fillId="1616" borderId="0" xfId="0" applyFont="1" applyFill="1"/>
    <xf numFmtId="0" fontId="528" fillId="1617" borderId="0" xfId="0" applyFont="1" applyFill="1"/>
    <xf numFmtId="0" fontId="528" fillId="1618" borderId="0" xfId="0" applyFont="1" applyFill="1"/>
    <xf numFmtId="0" fontId="528" fillId="1619" borderId="0" xfId="0" applyFont="1" applyFill="1"/>
    <xf numFmtId="0" fontId="528" fillId="1620" borderId="0" xfId="0" applyFont="1" applyFill="1"/>
    <xf numFmtId="0" fontId="528" fillId="1621" borderId="0" xfId="0" applyFont="1" applyFill="1"/>
    <xf numFmtId="0" fontId="528" fillId="1622" borderId="0" xfId="0" applyFont="1" applyFill="1"/>
    <xf numFmtId="0" fontId="528" fillId="1623" borderId="0" xfId="0" applyFont="1" applyFill="1"/>
    <xf numFmtId="0" fontId="528" fillId="1624" borderId="0" xfId="0" applyFont="1" applyFill="1"/>
    <xf numFmtId="0" fontId="528" fillId="1625" borderId="0" xfId="0" applyFont="1" applyFill="1"/>
    <xf numFmtId="0" fontId="528" fillId="1626" borderId="0" xfId="0" applyFont="1" applyFill="1"/>
    <xf numFmtId="0" fontId="528" fillId="1627" borderId="0" xfId="0" applyFont="1" applyFill="1"/>
    <xf numFmtId="0" fontId="528" fillId="1628" borderId="0" xfId="0" applyFont="1" applyFill="1"/>
    <xf numFmtId="0" fontId="528" fillId="1629" borderId="0" xfId="0" applyFont="1" applyFill="1"/>
    <xf numFmtId="0" fontId="528" fillId="1630" borderId="0" xfId="0" applyFont="1" applyFill="1"/>
    <xf numFmtId="0" fontId="528" fillId="1631" borderId="0" xfId="0" applyFont="1" applyFill="1"/>
    <xf numFmtId="0" fontId="528" fillId="1632" borderId="0" xfId="0" applyFont="1" applyFill="1"/>
    <xf numFmtId="0" fontId="528" fillId="1633" borderId="0" xfId="0" applyFont="1" applyFill="1"/>
    <xf numFmtId="0" fontId="528" fillId="1634" borderId="0" xfId="0" applyFont="1" applyFill="1"/>
    <xf numFmtId="0" fontId="528" fillId="1635" borderId="0" xfId="0" applyFont="1" applyFill="1"/>
    <xf numFmtId="0" fontId="528" fillId="1636" borderId="0" xfId="0" applyFont="1" applyFill="1"/>
    <xf numFmtId="0" fontId="528" fillId="1637" borderId="0" xfId="0" applyFont="1" applyFill="1"/>
    <xf numFmtId="0" fontId="528" fillId="1638" borderId="0" xfId="0" applyFont="1" applyFill="1"/>
    <xf numFmtId="0" fontId="528" fillId="1639" borderId="0" xfId="0" applyFont="1" applyFill="1"/>
    <xf numFmtId="0" fontId="528" fillId="1640" borderId="0" xfId="0" applyFont="1" applyFill="1"/>
    <xf numFmtId="0" fontId="528" fillId="1641" borderId="0" xfId="0" applyFont="1" applyFill="1"/>
    <xf numFmtId="0" fontId="528" fillId="1642" borderId="0" xfId="0" applyFont="1" applyFill="1"/>
    <xf numFmtId="0" fontId="528" fillId="1643" borderId="0" xfId="0" applyFont="1" applyFill="1"/>
    <xf numFmtId="0" fontId="528" fillId="1644" borderId="0" xfId="0" applyFont="1" applyFill="1"/>
    <xf numFmtId="0" fontId="528" fillId="1645" borderId="0" xfId="0" applyFont="1" applyFill="1"/>
    <xf numFmtId="0" fontId="528" fillId="1646" borderId="0" xfId="0" applyFont="1" applyFill="1"/>
    <xf numFmtId="0" fontId="528" fillId="1647" borderId="0" xfId="0" applyFont="1" applyFill="1"/>
    <xf numFmtId="0" fontId="528" fillId="1648" borderId="0" xfId="0" applyFont="1" applyFill="1"/>
    <xf numFmtId="0" fontId="528" fillId="1649" borderId="0" xfId="0" applyFont="1" applyFill="1"/>
    <xf numFmtId="0" fontId="528" fillId="1650" borderId="0" xfId="0" applyFont="1" applyFill="1"/>
    <xf numFmtId="0" fontId="528" fillId="1651" borderId="0" xfId="0" applyFont="1" applyFill="1"/>
    <xf numFmtId="0" fontId="528" fillId="1652" borderId="0" xfId="0" applyFont="1" applyFill="1"/>
    <xf numFmtId="0" fontId="528" fillId="1653" borderId="0" xfId="0" applyFont="1" applyFill="1"/>
    <xf numFmtId="0" fontId="528" fillId="1654" borderId="0" xfId="0" applyFont="1" applyFill="1"/>
    <xf numFmtId="0" fontId="528" fillId="1655" borderId="0" xfId="0" applyFont="1" applyFill="1"/>
    <xf numFmtId="0" fontId="528" fillId="1656" borderId="0" xfId="0" applyFont="1" applyFill="1"/>
    <xf numFmtId="0" fontId="528" fillId="1657" borderId="0" xfId="0" applyFont="1" applyFill="1"/>
    <xf numFmtId="0" fontId="528" fillId="1658" borderId="0" xfId="0" applyFont="1" applyFill="1"/>
    <xf numFmtId="0" fontId="528" fillId="1659" borderId="0" xfId="0" applyFont="1" applyFill="1"/>
    <xf numFmtId="0" fontId="528" fillId="1660" borderId="0" xfId="0" applyFont="1" applyFill="1"/>
    <xf numFmtId="0" fontId="528" fillId="1661" borderId="0" xfId="0" applyFont="1" applyFill="1"/>
    <xf numFmtId="0" fontId="528" fillId="1662" borderId="0" xfId="0" applyFont="1" applyFill="1"/>
    <xf numFmtId="0" fontId="528" fillId="1663" borderId="0" xfId="0" applyFont="1" applyFill="1"/>
    <xf numFmtId="0" fontId="528" fillId="1664" borderId="0" xfId="0" applyFont="1" applyFill="1"/>
    <xf numFmtId="0" fontId="528" fillId="1665" borderId="0" xfId="0" applyFont="1" applyFill="1"/>
    <xf numFmtId="0" fontId="528" fillId="1666" borderId="0" xfId="0" applyFont="1" applyFill="1"/>
    <xf numFmtId="0" fontId="528" fillId="1667" borderId="0" xfId="0" applyFont="1" applyFill="1"/>
    <xf numFmtId="0" fontId="528" fillId="1668" borderId="0" xfId="0" applyFont="1" applyFill="1"/>
    <xf numFmtId="0" fontId="528" fillId="1669" borderId="0" xfId="0" applyFont="1" applyFill="1"/>
    <xf numFmtId="0" fontId="528" fillId="1670" borderId="0" xfId="0" applyFont="1" applyFill="1"/>
    <xf numFmtId="0" fontId="528" fillId="1671" borderId="0" xfId="0" applyFont="1" applyFill="1"/>
    <xf numFmtId="0" fontId="528" fillId="1672" borderId="0" xfId="0" applyFont="1" applyFill="1"/>
    <xf numFmtId="0" fontId="528" fillId="1673" borderId="0" xfId="0" applyFont="1" applyFill="1"/>
    <xf numFmtId="0" fontId="528" fillId="1674" borderId="0" xfId="0" applyFont="1" applyFill="1"/>
    <xf numFmtId="0" fontId="528" fillId="1675" borderId="0" xfId="0" applyFont="1" applyFill="1"/>
    <xf numFmtId="0" fontId="528" fillId="1676" borderId="0" xfId="0" applyFont="1" applyFill="1"/>
    <xf numFmtId="0" fontId="528" fillId="1677" borderId="0" xfId="0" applyFont="1" applyFill="1"/>
    <xf numFmtId="0" fontId="528" fillId="1678" borderId="0" xfId="0" applyFont="1" applyFill="1"/>
    <xf numFmtId="0" fontId="528" fillId="1679" borderId="0" xfId="0" applyFont="1" applyFill="1"/>
    <xf numFmtId="0" fontId="528" fillId="1680" borderId="0" xfId="0" applyFont="1" applyFill="1"/>
    <xf numFmtId="0" fontId="528" fillId="1681" borderId="0" xfId="0" applyFont="1" applyFill="1"/>
    <xf numFmtId="0" fontId="528" fillId="1682" borderId="0" xfId="0" applyFont="1" applyFill="1"/>
    <xf numFmtId="0" fontId="528" fillId="1683" borderId="0" xfId="0" applyFont="1" applyFill="1"/>
    <xf numFmtId="0" fontId="528" fillId="1684" borderId="0" xfId="0" applyFont="1" applyFill="1"/>
    <xf numFmtId="0" fontId="528" fillId="1685" borderId="0" xfId="0" applyFont="1" applyFill="1"/>
    <xf numFmtId="0" fontId="528" fillId="1686" borderId="0" xfId="0" applyFont="1" applyFill="1"/>
    <xf numFmtId="0" fontId="528" fillId="1687" borderId="0" xfId="0" applyFont="1" applyFill="1"/>
    <xf numFmtId="0" fontId="528" fillId="1688" borderId="0" xfId="0" applyFont="1" applyFill="1"/>
    <xf numFmtId="0" fontId="528" fillId="1689" borderId="0" xfId="0" applyFont="1" applyFill="1"/>
    <xf numFmtId="0" fontId="528" fillId="1690" borderId="0" xfId="0" applyFont="1" applyFill="1"/>
    <xf numFmtId="0" fontId="528" fillId="1691" borderId="0" xfId="0" applyFont="1" applyFill="1"/>
    <xf numFmtId="0" fontId="528" fillId="1692" borderId="0" xfId="0" applyFont="1" applyFill="1"/>
    <xf numFmtId="0" fontId="528" fillId="1693" borderId="0" xfId="0" applyFont="1" applyFill="1"/>
    <xf numFmtId="0" fontId="528" fillId="1694" borderId="0" xfId="0" applyFont="1" applyFill="1"/>
    <xf numFmtId="0" fontId="528" fillId="1695" borderId="0" xfId="0" applyFont="1" applyFill="1"/>
    <xf numFmtId="0" fontId="528" fillId="1696" borderId="0" xfId="0" applyFont="1" applyFill="1"/>
    <xf numFmtId="0" fontId="528" fillId="1697" borderId="0" xfId="0" applyFont="1" applyFill="1"/>
    <xf numFmtId="0" fontId="528" fillId="1698" borderId="0" xfId="0" applyFont="1" applyFill="1"/>
    <xf numFmtId="0" fontId="528" fillId="1699" borderId="0" xfId="0" applyFont="1" applyFill="1"/>
    <xf numFmtId="0" fontId="528" fillId="1700" borderId="0" xfId="0" applyFont="1" applyFill="1"/>
    <xf numFmtId="0" fontId="528" fillId="1701" borderId="0" xfId="0" applyFont="1" applyFill="1"/>
    <xf numFmtId="0" fontId="528" fillId="1702" borderId="0" xfId="0" applyFont="1" applyFill="1"/>
    <xf numFmtId="0" fontId="528" fillId="1703" borderId="0" xfId="0" applyFont="1" applyFill="1"/>
    <xf numFmtId="0" fontId="528" fillId="1704" borderId="0" xfId="0" applyFont="1" applyFill="1"/>
    <xf numFmtId="0" fontId="528" fillId="1705" borderId="0" xfId="0" applyFont="1" applyFill="1"/>
    <xf numFmtId="0" fontId="528" fillId="1706" borderId="0" xfId="0" applyFont="1" applyFill="1"/>
    <xf numFmtId="0" fontId="528" fillId="1707" borderId="0" xfId="0" applyFont="1" applyFill="1"/>
    <xf numFmtId="0" fontId="528" fillId="1708" borderId="0" xfId="0" applyFont="1" applyFill="1"/>
    <xf numFmtId="0" fontId="528" fillId="1709" borderId="0" xfId="0" applyFont="1" applyFill="1"/>
    <xf numFmtId="0" fontId="528" fillId="1710" borderId="0" xfId="0" applyFont="1" applyFill="1"/>
    <xf numFmtId="0" fontId="528" fillId="1711" borderId="0" xfId="0" applyFont="1" applyFill="1"/>
    <xf numFmtId="0" fontId="528" fillId="1712" borderId="0" xfId="0" applyFont="1" applyFill="1"/>
    <xf numFmtId="0" fontId="528" fillId="1713" borderId="0" xfId="0" applyFont="1" applyFill="1"/>
    <xf numFmtId="0" fontId="528" fillId="1714" borderId="0" xfId="0" applyFont="1" applyFill="1"/>
    <xf numFmtId="0" fontId="528" fillId="1715" borderId="0" xfId="0" applyFont="1" applyFill="1"/>
    <xf numFmtId="0" fontId="528" fillId="1716" borderId="0" xfId="0" applyFont="1" applyFill="1"/>
    <xf numFmtId="0" fontId="528" fillId="1717" borderId="0" xfId="0" applyFont="1" applyFill="1"/>
    <xf numFmtId="0" fontId="528" fillId="1718" borderId="0" xfId="0" applyFont="1" applyFill="1"/>
    <xf numFmtId="0" fontId="528" fillId="1719" borderId="0" xfId="0" applyFont="1" applyFill="1"/>
    <xf numFmtId="0" fontId="528" fillId="1720" borderId="0" xfId="0" applyFont="1" applyFill="1"/>
    <xf numFmtId="0" fontId="528" fillId="1721" borderId="0" xfId="0" applyFont="1" applyFill="1"/>
    <xf numFmtId="0" fontId="528" fillId="1722" borderId="0" xfId="0" applyFont="1" applyFill="1"/>
    <xf numFmtId="0" fontId="528" fillId="1723" borderId="0" xfId="0" applyFont="1" applyFill="1"/>
    <xf numFmtId="0" fontId="528" fillId="1724" borderId="0" xfId="0" applyFont="1" applyFill="1"/>
    <xf numFmtId="0" fontId="528" fillId="1725" borderId="0" xfId="0" applyFont="1" applyFill="1"/>
    <xf numFmtId="0" fontId="528" fillId="1726" borderId="0" xfId="0" applyFont="1" applyFill="1"/>
    <xf numFmtId="0" fontId="528" fillId="1727" borderId="0" xfId="0" applyFont="1" applyFill="1"/>
    <xf numFmtId="0" fontId="528" fillId="1728" borderId="0" xfId="0" applyFont="1" applyFill="1"/>
    <xf numFmtId="0" fontId="528" fillId="1729" borderId="0" xfId="0" applyFont="1" applyFill="1"/>
    <xf numFmtId="0" fontId="528" fillId="1730" borderId="0" xfId="0" applyFont="1" applyFill="1"/>
    <xf numFmtId="0" fontId="528" fillId="1731" borderId="0" xfId="0" applyFont="1" applyFill="1"/>
    <xf numFmtId="0" fontId="528" fillId="1732" borderId="0" xfId="0" applyFont="1" applyFill="1"/>
    <xf numFmtId="0" fontId="528" fillId="1733" borderId="0" xfId="0" applyFont="1" applyFill="1"/>
    <xf numFmtId="0" fontId="528" fillId="1734" borderId="0" xfId="0" applyFont="1" applyFill="1"/>
    <xf numFmtId="0" fontId="528" fillId="1735" borderId="0" xfId="0" applyFont="1" applyFill="1"/>
    <xf numFmtId="0" fontId="528" fillId="1736" borderId="0" xfId="0" applyFont="1" applyFill="1"/>
    <xf numFmtId="0" fontId="528" fillId="1737" borderId="0" xfId="0" applyFont="1" applyFill="1"/>
    <xf numFmtId="0" fontId="528" fillId="1738" borderId="0" xfId="0" applyFont="1" applyFill="1"/>
    <xf numFmtId="0" fontId="528" fillId="1739" borderId="0" xfId="0" applyFont="1" applyFill="1"/>
    <xf numFmtId="0" fontId="528" fillId="1740" borderId="0" xfId="0" applyFont="1" applyFill="1"/>
    <xf numFmtId="0" fontId="528" fillId="1741" borderId="0" xfId="0" applyFont="1" applyFill="1"/>
    <xf numFmtId="0" fontId="528" fillId="1742" borderId="0" xfId="0" applyFont="1" applyFill="1"/>
    <xf numFmtId="0" fontId="528" fillId="1743" borderId="0" xfId="0" applyFont="1" applyFill="1"/>
    <xf numFmtId="0" fontId="528" fillId="1744" borderId="0" xfId="0" applyFont="1" applyFill="1"/>
    <xf numFmtId="0" fontId="528" fillId="1745" borderId="0" xfId="0" applyFont="1" applyFill="1"/>
    <xf numFmtId="0" fontId="528" fillId="1746" borderId="0" xfId="0" applyFont="1" applyFill="1"/>
    <xf numFmtId="0" fontId="528" fillId="1747" borderId="0" xfId="0" applyFont="1" applyFill="1"/>
    <xf numFmtId="0" fontId="528" fillId="1748" borderId="0" xfId="0" applyFont="1" applyFill="1"/>
    <xf numFmtId="0" fontId="528" fillId="1749" borderId="0" xfId="0" applyFont="1" applyFill="1"/>
    <xf numFmtId="0" fontId="528" fillId="1750" borderId="0" xfId="0" applyFont="1" applyFill="1"/>
    <xf numFmtId="0" fontId="528" fillId="1751" borderId="0" xfId="0" applyFont="1" applyFill="1"/>
    <xf numFmtId="0" fontId="528" fillId="1752" borderId="0" xfId="0" applyFont="1" applyFill="1"/>
    <xf numFmtId="0" fontId="528" fillId="1753" borderId="0" xfId="0" applyFont="1" applyFill="1"/>
    <xf numFmtId="0" fontId="528" fillId="1754" borderId="0" xfId="0" applyFont="1" applyFill="1"/>
    <xf numFmtId="0" fontId="528" fillId="1755" borderId="0" xfId="0" applyFont="1" applyFill="1"/>
    <xf numFmtId="0" fontId="528" fillId="1756" borderId="0" xfId="0" applyFont="1" applyFill="1"/>
    <xf numFmtId="0" fontId="528" fillId="1757" borderId="0" xfId="0" applyFont="1" applyFill="1"/>
    <xf numFmtId="0" fontId="528" fillId="1758" borderId="0" xfId="0" applyFont="1" applyFill="1"/>
    <xf numFmtId="0" fontId="528" fillId="1759" borderId="0" xfId="0" applyFont="1" applyFill="1"/>
    <xf numFmtId="0" fontId="528" fillId="1760" borderId="0" xfId="0" applyFont="1" applyFill="1"/>
    <xf numFmtId="0" fontId="528" fillId="1761" borderId="0" xfId="0" applyFont="1" applyFill="1"/>
    <xf numFmtId="0" fontId="528" fillId="1762" borderId="0" xfId="0" applyFont="1" applyFill="1"/>
    <xf numFmtId="0" fontId="528" fillId="1763" borderId="0" xfId="0" applyFont="1" applyFill="1"/>
    <xf numFmtId="0" fontId="528" fillId="1764" borderId="0" xfId="0" applyFont="1" applyFill="1"/>
    <xf numFmtId="0" fontId="528" fillId="1765" borderId="0" xfId="0" applyFont="1" applyFill="1"/>
    <xf numFmtId="0" fontId="528" fillId="1766" borderId="0" xfId="0" applyFont="1" applyFill="1"/>
    <xf numFmtId="0" fontId="528" fillId="1767" borderId="0" xfId="0" applyFont="1" applyFill="1"/>
    <xf numFmtId="0" fontId="528" fillId="1768" borderId="0" xfId="0" applyFont="1" applyFill="1"/>
    <xf numFmtId="0" fontId="528" fillId="1769" borderId="0" xfId="0" applyFont="1" applyFill="1"/>
    <xf numFmtId="0" fontId="528" fillId="1770" borderId="0" xfId="0" applyFont="1" applyFill="1"/>
    <xf numFmtId="0" fontId="528" fillId="1771" borderId="0" xfId="0" applyFont="1" applyFill="1"/>
    <xf numFmtId="0" fontId="528" fillId="1772" borderId="0" xfId="0" applyFont="1" applyFill="1"/>
    <xf numFmtId="0" fontId="528" fillId="1773" borderId="0" xfId="0" applyFont="1" applyFill="1"/>
    <xf numFmtId="0" fontId="528" fillId="1774" borderId="0" xfId="0" applyFont="1" applyFill="1"/>
    <xf numFmtId="0" fontId="528" fillId="1775" borderId="0" xfId="0" applyFont="1" applyFill="1"/>
    <xf numFmtId="0" fontId="528" fillId="1776" borderId="0" xfId="0" applyFont="1" applyFill="1"/>
    <xf numFmtId="0" fontId="528" fillId="1777" borderId="0" xfId="0" applyFont="1" applyFill="1"/>
    <xf numFmtId="0" fontId="528" fillId="1778" borderId="0" xfId="0" applyFont="1" applyFill="1"/>
    <xf numFmtId="0" fontId="528" fillId="1779" borderId="0" xfId="0" applyFont="1" applyFill="1"/>
    <xf numFmtId="0" fontId="528" fillId="1780" borderId="0" xfId="0" applyFont="1" applyFill="1"/>
    <xf numFmtId="0" fontId="528" fillId="1781" borderId="0" xfId="0" applyFont="1" applyFill="1"/>
    <xf numFmtId="0" fontId="528" fillId="1782" borderId="0" xfId="0" applyFont="1" applyFill="1"/>
    <xf numFmtId="0" fontId="528" fillId="1783" borderId="0" xfId="0" applyFont="1" applyFill="1"/>
    <xf numFmtId="0" fontId="528" fillId="1784" borderId="0" xfId="0" applyFont="1" applyFill="1"/>
    <xf numFmtId="0" fontId="528" fillId="1785" borderId="0" xfId="0" applyFont="1" applyFill="1"/>
    <xf numFmtId="0" fontId="528" fillId="1786" borderId="0" xfId="0" applyFont="1" applyFill="1"/>
    <xf numFmtId="0" fontId="528" fillId="1787" borderId="0" xfId="0" applyFont="1" applyFill="1"/>
    <xf numFmtId="0" fontId="528" fillId="1003" borderId="0" xfId="0" applyFont="1" applyFill="1"/>
    <xf numFmtId="0" fontId="528" fillId="1788" borderId="0" xfId="0" applyFont="1" applyFill="1"/>
    <xf numFmtId="0" fontId="528" fillId="1789" borderId="0" xfId="0" applyFont="1" applyFill="1"/>
    <xf numFmtId="0" fontId="528" fillId="1790" borderId="0" xfId="0" applyFont="1" applyFill="1"/>
    <xf numFmtId="0" fontId="528" fillId="1791" borderId="0" xfId="0" applyFont="1" applyFill="1"/>
    <xf numFmtId="0" fontId="528" fillId="1792" borderId="0" xfId="0" applyFont="1" applyFill="1"/>
    <xf numFmtId="0" fontId="528" fillId="1793" borderId="0" xfId="0" applyFont="1" applyFill="1"/>
    <xf numFmtId="0" fontId="528" fillId="1794" borderId="0" xfId="0" applyFont="1" applyFill="1"/>
    <xf numFmtId="0" fontId="528" fillId="1795" borderId="0" xfId="0" applyFont="1" applyFill="1"/>
    <xf numFmtId="0" fontId="528" fillId="1796" borderId="0" xfId="0" applyFont="1" applyFill="1"/>
    <xf numFmtId="0" fontId="528" fillId="1797" borderId="0" xfId="0" applyFont="1" applyFill="1"/>
    <xf numFmtId="0" fontId="528" fillId="1798" borderId="0" xfId="0" applyFont="1" applyFill="1"/>
    <xf numFmtId="0" fontId="528" fillId="1799" borderId="0" xfId="0" applyFont="1" applyFill="1"/>
    <xf numFmtId="0" fontId="528" fillId="1800" borderId="0" xfId="0" applyFont="1" applyFill="1"/>
    <xf numFmtId="0" fontId="528" fillId="1801" borderId="0" xfId="0" applyFont="1" applyFill="1"/>
    <xf numFmtId="0" fontId="528" fillId="1802" borderId="0" xfId="0" applyFont="1" applyFill="1"/>
    <xf numFmtId="0" fontId="528" fillId="1803" borderId="0" xfId="0" applyFont="1" applyFill="1"/>
    <xf numFmtId="0" fontId="528" fillId="1804" borderId="0" xfId="0" applyFont="1" applyFill="1"/>
    <xf numFmtId="0" fontId="528" fillId="1805" borderId="0" xfId="0" applyFont="1" applyFill="1"/>
    <xf numFmtId="0" fontId="528" fillId="1806" borderId="0" xfId="0" applyFont="1" applyFill="1"/>
    <xf numFmtId="0" fontId="528" fillId="1807" borderId="0" xfId="0" applyFont="1" applyFill="1"/>
    <xf numFmtId="0" fontId="528" fillId="1808" borderId="0" xfId="0" applyFont="1" applyFill="1"/>
    <xf numFmtId="0" fontId="528" fillId="1809" borderId="0" xfId="0" applyFont="1" applyFill="1"/>
    <xf numFmtId="0" fontId="528" fillId="1810" borderId="0" xfId="0" applyFont="1" applyFill="1"/>
    <xf numFmtId="0" fontId="528" fillId="1811" borderId="0" xfId="0" applyFont="1" applyFill="1"/>
    <xf numFmtId="0" fontId="528" fillId="1812" borderId="0" xfId="0" applyFont="1" applyFill="1"/>
    <xf numFmtId="0" fontId="528" fillId="1813" borderId="0" xfId="0" applyFont="1" applyFill="1"/>
    <xf numFmtId="0" fontId="528" fillId="1814" borderId="0" xfId="0" applyFont="1" applyFill="1"/>
    <xf numFmtId="0" fontId="528" fillId="1815" borderId="0" xfId="0" applyFont="1" applyFill="1"/>
    <xf numFmtId="0" fontId="528" fillId="1816" borderId="0" xfId="0" applyFont="1" applyFill="1"/>
    <xf numFmtId="0" fontId="528" fillId="1817" borderId="0" xfId="0" applyFont="1" applyFill="1"/>
    <xf numFmtId="0" fontId="528" fillId="1818" borderId="0" xfId="0" applyFont="1" applyFill="1"/>
    <xf numFmtId="0" fontId="528" fillId="79" borderId="0" xfId="0" applyFont="1" applyFill="1"/>
    <xf numFmtId="0" fontId="528" fillId="1819" borderId="0" xfId="0" applyFont="1" applyFill="1"/>
    <xf numFmtId="0" fontId="528" fillId="1820" borderId="0" xfId="0" applyFont="1" applyFill="1"/>
    <xf numFmtId="0" fontId="528" fillId="1821" borderId="0" xfId="0" applyFont="1" applyFill="1"/>
    <xf numFmtId="0" fontId="528" fillId="1822" borderId="0" xfId="0" applyFont="1" applyFill="1"/>
    <xf numFmtId="0" fontId="528" fillId="1823" borderId="0" xfId="0" applyFont="1" applyFill="1"/>
    <xf numFmtId="0" fontId="528" fillId="1824" borderId="0" xfId="0" applyFont="1" applyFill="1"/>
    <xf numFmtId="0" fontId="528" fillId="72" borderId="0" xfId="0" applyFont="1" applyFill="1"/>
    <xf numFmtId="0" fontId="528" fillId="1825" borderId="0" xfId="0" applyFont="1" applyFill="1"/>
    <xf numFmtId="0" fontId="528" fillId="1826" borderId="0" xfId="0" applyFont="1" applyFill="1"/>
    <xf numFmtId="0" fontId="528" fillId="1827" borderId="0" xfId="0" applyFont="1" applyFill="1"/>
    <xf numFmtId="0" fontId="528" fillId="1828" borderId="0" xfId="0" applyFont="1" applyFill="1"/>
    <xf numFmtId="0" fontId="528" fillId="1829" borderId="0" xfId="0" applyFont="1" applyFill="1"/>
    <xf numFmtId="0" fontId="528" fillId="1830" borderId="0" xfId="0" applyFont="1" applyFill="1"/>
    <xf numFmtId="0" fontId="528" fillId="1831" borderId="0" xfId="0" applyFont="1" applyFill="1"/>
    <xf numFmtId="0" fontId="528" fillId="1832" borderId="0" xfId="0" applyFont="1" applyFill="1"/>
    <xf numFmtId="0" fontId="528" fillId="1833" borderId="0" xfId="0" applyFont="1" applyFill="1"/>
    <xf numFmtId="0" fontId="528" fillId="1834" borderId="0" xfId="0" applyFont="1" applyFill="1"/>
    <xf numFmtId="0" fontId="528" fillId="1835" borderId="0" xfId="0" applyFont="1" applyFill="1"/>
    <xf numFmtId="0" fontId="528" fillId="1836" borderId="0" xfId="0" applyFont="1" applyFill="1"/>
    <xf numFmtId="0" fontId="528" fillId="1837" borderId="0" xfId="0" applyFont="1" applyFill="1"/>
    <xf numFmtId="0" fontId="528" fillId="1838" borderId="0" xfId="0" applyFont="1" applyFill="1"/>
    <xf numFmtId="0" fontId="528" fillId="1123" borderId="0" xfId="0" applyFont="1" applyFill="1"/>
    <xf numFmtId="0" fontId="528" fillId="1839" borderId="0" xfId="0" applyFont="1" applyFill="1"/>
    <xf numFmtId="0" fontId="528" fillId="1840" borderId="0" xfId="0" applyFont="1" applyFill="1"/>
    <xf numFmtId="0" fontId="528" fillId="1841" borderId="0" xfId="0" applyFont="1" applyFill="1"/>
    <xf numFmtId="0" fontId="528" fillId="1842" borderId="0" xfId="0" applyFont="1" applyFill="1"/>
    <xf numFmtId="0" fontId="528" fillId="1843" borderId="0" xfId="0" applyFont="1" applyFill="1"/>
    <xf numFmtId="0" fontId="528" fillId="1844" borderId="0" xfId="0" applyFont="1" applyFill="1"/>
    <xf numFmtId="0" fontId="528" fillId="1845" borderId="0" xfId="0" applyFont="1" applyFill="1"/>
    <xf numFmtId="0" fontId="528" fillId="1846" borderId="0" xfId="0" applyFont="1" applyFill="1"/>
    <xf numFmtId="0" fontId="528" fillId="1847" borderId="0" xfId="0" applyFont="1" applyFill="1"/>
    <xf numFmtId="0" fontId="528" fillId="1848" borderId="0" xfId="0" applyFont="1" applyFill="1"/>
    <xf numFmtId="0" fontId="528" fillId="1849" borderId="0" xfId="0" applyFont="1" applyFill="1"/>
    <xf numFmtId="0" fontId="528" fillId="1850" borderId="0" xfId="0" applyFont="1" applyFill="1"/>
    <xf numFmtId="0" fontId="528" fillId="1851" borderId="0" xfId="0" applyFont="1" applyFill="1"/>
    <xf numFmtId="0" fontId="528" fillId="1852" borderId="0" xfId="0" applyFont="1" applyFill="1"/>
    <xf numFmtId="0" fontId="528" fillId="1853" borderId="0" xfId="0" applyFont="1" applyFill="1"/>
    <xf numFmtId="0" fontId="528" fillId="1854" borderId="0" xfId="0" applyFont="1" applyFill="1"/>
    <xf numFmtId="0" fontId="528" fillId="1855" borderId="0" xfId="0" applyFont="1" applyFill="1"/>
    <xf numFmtId="0" fontId="528" fillId="1856" borderId="0" xfId="0" applyFont="1" applyFill="1"/>
    <xf numFmtId="0" fontId="528" fillId="1857" borderId="0" xfId="0" applyFont="1" applyFill="1"/>
    <xf numFmtId="0" fontId="528" fillId="1858" borderId="0" xfId="0" applyFont="1" applyFill="1"/>
    <xf numFmtId="0" fontId="528" fillId="1859" borderId="0" xfId="0" applyFont="1" applyFill="1"/>
    <xf numFmtId="0" fontId="528" fillId="1860" borderId="0" xfId="0" applyFont="1" applyFill="1"/>
    <xf numFmtId="0" fontId="528" fillId="1861" borderId="0" xfId="0" applyFont="1" applyFill="1"/>
    <xf numFmtId="0" fontId="528" fillId="1862" borderId="0" xfId="0" applyFont="1" applyFill="1"/>
    <xf numFmtId="0" fontId="528" fillId="1863" borderId="0" xfId="0" applyFont="1" applyFill="1"/>
    <xf numFmtId="0" fontId="528" fillId="1864" borderId="0" xfId="0" applyFont="1" applyFill="1"/>
    <xf numFmtId="0" fontId="528" fillId="67" borderId="0" xfId="0" applyFont="1" applyFill="1"/>
    <xf numFmtId="0" fontId="528" fillId="1865" borderId="0" xfId="0" applyFont="1" applyFill="1"/>
    <xf numFmtId="0" fontId="528" fillId="1866" borderId="0" xfId="0" applyFont="1" applyFill="1"/>
    <xf numFmtId="0" fontId="528" fillId="1867" borderId="0" xfId="0" applyFont="1" applyFill="1"/>
    <xf numFmtId="0" fontId="528" fillId="1868" borderId="0" xfId="0" applyFont="1" applyFill="1"/>
    <xf numFmtId="0" fontId="528" fillId="1869" borderId="0" xfId="0" applyFont="1" applyFill="1"/>
    <xf numFmtId="0" fontId="528" fillId="1870" borderId="0" xfId="0" applyFont="1" applyFill="1"/>
    <xf numFmtId="0" fontId="528" fillId="1871" borderId="0" xfId="0" applyFont="1" applyFill="1"/>
    <xf numFmtId="0" fontId="528" fillId="1872" borderId="0" xfId="0" applyFont="1" applyFill="1"/>
    <xf numFmtId="0" fontId="528" fillId="1873" borderId="0" xfId="0" applyFont="1" applyFill="1"/>
    <xf numFmtId="0" fontId="528" fillId="1874" borderId="0" xfId="0" applyFont="1" applyFill="1"/>
    <xf numFmtId="0" fontId="528" fillId="1875" borderId="0" xfId="0" applyFont="1" applyFill="1"/>
    <xf numFmtId="0" fontId="528" fillId="1876" borderId="0" xfId="0" applyFont="1" applyFill="1"/>
    <xf numFmtId="0" fontId="528" fillId="1877" borderId="0" xfId="0" applyFont="1" applyFill="1"/>
    <xf numFmtId="0" fontId="528" fillId="1878" borderId="0" xfId="0" applyFont="1" applyFill="1"/>
    <xf numFmtId="0" fontId="528" fillId="1879" borderId="0" xfId="0" applyFont="1" applyFill="1"/>
    <xf numFmtId="0" fontId="528" fillId="1880" borderId="0" xfId="0" applyFont="1" applyFill="1"/>
    <xf numFmtId="0" fontId="528" fillId="1881" borderId="0" xfId="0" applyFont="1" applyFill="1"/>
    <xf numFmtId="0" fontId="528" fillId="1882" borderId="0" xfId="0" applyFont="1" applyFill="1"/>
    <xf numFmtId="0" fontId="528" fillId="1883" borderId="0" xfId="0" applyFont="1" applyFill="1"/>
    <xf numFmtId="0" fontId="528" fillId="1884" borderId="0" xfId="0" applyFont="1" applyFill="1"/>
    <xf numFmtId="0" fontId="528" fillId="1885" borderId="0" xfId="0" applyFont="1" applyFill="1"/>
    <xf numFmtId="0" fontId="528" fillId="1886" borderId="0" xfId="0" applyFont="1" applyFill="1"/>
    <xf numFmtId="0" fontId="528" fillId="1887" borderId="0" xfId="0" applyFont="1" applyFill="1"/>
    <xf numFmtId="0" fontId="528" fillId="1888" borderId="0" xfId="0" applyFont="1" applyFill="1"/>
    <xf numFmtId="0" fontId="528" fillId="1889" borderId="0" xfId="0" applyFont="1" applyFill="1"/>
    <xf numFmtId="0" fontId="528" fillId="1890" borderId="0" xfId="0" applyFont="1" applyFill="1"/>
    <xf numFmtId="0" fontId="528" fillId="1891" borderId="0" xfId="0" applyFont="1" applyFill="1"/>
    <xf numFmtId="0" fontId="528" fillId="1892" borderId="0" xfId="0" applyFont="1" applyFill="1"/>
    <xf numFmtId="0" fontId="528" fillId="1893" borderId="0" xfId="0" applyFont="1" applyFill="1"/>
    <xf numFmtId="0" fontId="528" fillId="1894" borderId="0" xfId="0" applyFont="1" applyFill="1"/>
    <xf numFmtId="0" fontId="528" fillId="1895" borderId="0" xfId="0" applyFont="1" applyFill="1"/>
    <xf numFmtId="0" fontId="528" fillId="1896" borderId="0" xfId="0" applyFont="1" applyFill="1"/>
    <xf numFmtId="0" fontId="528" fillId="1897" borderId="0" xfId="0" applyFont="1" applyFill="1"/>
    <xf numFmtId="0" fontId="528" fillId="1898" borderId="0" xfId="0" applyFont="1" applyFill="1"/>
    <xf numFmtId="0" fontId="528" fillId="1899" borderId="0" xfId="0" applyFont="1" applyFill="1"/>
    <xf numFmtId="0" fontId="528" fillId="1900" borderId="0" xfId="0" applyFont="1" applyFill="1"/>
    <xf numFmtId="0" fontId="528" fillId="1901" borderId="0" xfId="0" applyFont="1" applyFill="1"/>
    <xf numFmtId="0" fontId="528" fillId="1902" borderId="0" xfId="0" applyFont="1" applyFill="1"/>
    <xf numFmtId="0" fontId="528" fillId="1903" borderId="0" xfId="0" applyFont="1" applyFill="1"/>
    <xf numFmtId="0" fontId="528" fillId="1904" borderId="0" xfId="0" applyFont="1" applyFill="1"/>
    <xf numFmtId="0" fontId="528" fillId="1905" borderId="0" xfId="0" applyFont="1" applyFill="1"/>
    <xf numFmtId="0" fontId="528" fillId="1906" borderId="0" xfId="0" applyFont="1" applyFill="1"/>
    <xf numFmtId="0" fontId="528" fillId="1907" borderId="0" xfId="0" applyFont="1" applyFill="1"/>
    <xf numFmtId="0" fontId="528" fillId="73" borderId="0" xfId="0" applyFont="1" applyFill="1"/>
    <xf numFmtId="0" fontId="528" fillId="1908" borderId="0" xfId="0" applyFont="1" applyFill="1"/>
    <xf numFmtId="0" fontId="528" fillId="1909" borderId="0" xfId="0" applyFont="1" applyFill="1"/>
    <xf numFmtId="0" fontId="528" fillId="1910" borderId="0" xfId="0" applyFont="1" applyFill="1"/>
    <xf numFmtId="0" fontId="528" fillId="1911" borderId="0" xfId="0" applyFont="1" applyFill="1"/>
    <xf numFmtId="0" fontId="528" fillId="1912" borderId="0" xfId="0" applyFont="1" applyFill="1"/>
    <xf numFmtId="0" fontId="528" fillId="1913" borderId="0" xfId="0" applyFont="1" applyFill="1"/>
    <xf numFmtId="0" fontId="528" fillId="1914" borderId="0" xfId="0" applyFont="1" applyFill="1"/>
    <xf numFmtId="0" fontId="528" fillId="1915" borderId="0" xfId="0" applyFont="1" applyFill="1"/>
    <xf numFmtId="0" fontId="528" fillId="1916" borderId="0" xfId="0" applyFont="1" applyFill="1"/>
    <xf numFmtId="0" fontId="528" fillId="1917" borderId="0" xfId="0" applyFont="1" applyFill="1"/>
    <xf numFmtId="0" fontId="528" fillId="1918" borderId="0" xfId="0" applyFont="1" applyFill="1"/>
    <xf numFmtId="0" fontId="528" fillId="1919" borderId="0" xfId="0" applyFont="1" applyFill="1"/>
    <xf numFmtId="0" fontId="528" fillId="1920" borderId="0" xfId="0" applyFont="1" applyFill="1"/>
    <xf numFmtId="0" fontId="528" fillId="1921" borderId="0" xfId="0" applyFont="1" applyFill="1"/>
    <xf numFmtId="0" fontId="528" fillId="1922" borderId="0" xfId="0" applyFont="1" applyFill="1"/>
    <xf numFmtId="0" fontId="528" fillId="1923" borderId="0" xfId="0" applyFont="1" applyFill="1"/>
    <xf numFmtId="0" fontId="528" fillId="1924" borderId="0" xfId="0" applyFont="1" applyFill="1"/>
    <xf numFmtId="0" fontId="528" fillId="1925" borderId="0" xfId="0" applyFont="1" applyFill="1"/>
    <xf numFmtId="0" fontId="528" fillId="1926" borderId="0" xfId="0" applyFont="1" applyFill="1"/>
    <xf numFmtId="0" fontId="528" fillId="1927" borderId="0" xfId="0" applyFont="1" applyFill="1"/>
    <xf numFmtId="0" fontId="528" fillId="1928" borderId="0" xfId="0" applyFont="1" applyFill="1"/>
    <xf numFmtId="0" fontId="528" fillId="1929" borderId="0" xfId="0" applyFont="1" applyFill="1"/>
    <xf numFmtId="0" fontId="528" fillId="1930" borderId="0" xfId="0" applyFont="1" applyFill="1"/>
    <xf numFmtId="0" fontId="528" fillId="1931" borderId="0" xfId="0" applyFont="1" applyFill="1"/>
    <xf numFmtId="0" fontId="528" fillId="1932" borderId="0" xfId="0" applyFont="1" applyFill="1"/>
    <xf numFmtId="0" fontId="528" fillId="1933" borderId="0" xfId="0" applyFont="1" applyFill="1"/>
    <xf numFmtId="0" fontId="528" fillId="1934" borderId="0" xfId="0" applyFont="1" applyFill="1"/>
    <xf numFmtId="0" fontId="528" fillId="1935" borderId="0" xfId="0" applyFont="1" applyFill="1"/>
    <xf numFmtId="0" fontId="528" fillId="1936" borderId="0" xfId="0" applyFont="1" applyFill="1"/>
    <xf numFmtId="0" fontId="528" fillId="1937" borderId="0" xfId="0" applyFont="1" applyFill="1"/>
    <xf numFmtId="0" fontId="528" fillId="1938" borderId="0" xfId="0" applyFont="1" applyFill="1"/>
    <xf numFmtId="0" fontId="528" fillId="1939" borderId="0" xfId="0" applyFont="1" applyFill="1"/>
    <xf numFmtId="0" fontId="528" fillId="1940" borderId="0" xfId="0" applyFont="1" applyFill="1"/>
    <xf numFmtId="0" fontId="528" fillId="1941" borderId="0" xfId="0" applyFont="1" applyFill="1"/>
    <xf numFmtId="0" fontId="528" fillId="1942" borderId="0" xfId="0" applyFont="1" applyFill="1"/>
    <xf numFmtId="0" fontId="528" fillId="1943" borderId="0" xfId="0" applyFont="1" applyFill="1"/>
    <xf numFmtId="0" fontId="528" fillId="1944" borderId="0" xfId="0" applyFont="1" applyFill="1"/>
    <xf numFmtId="0" fontId="528" fillId="1945" borderId="0" xfId="0" applyFont="1" applyFill="1"/>
    <xf numFmtId="0" fontId="528" fillId="1946" borderId="0" xfId="0" applyFont="1" applyFill="1"/>
    <xf numFmtId="0" fontId="528" fillId="1947" borderId="0" xfId="0" applyFont="1" applyFill="1"/>
    <xf numFmtId="0" fontId="528" fillId="1948" borderId="0" xfId="0" applyFont="1" applyFill="1"/>
    <xf numFmtId="0" fontId="528" fillId="1949" borderId="0" xfId="0" applyFont="1" applyFill="1"/>
    <xf numFmtId="0" fontId="528" fillId="1950" borderId="0" xfId="0" applyFont="1" applyFill="1"/>
    <xf numFmtId="0" fontId="528" fillId="1951" borderId="0" xfId="0" applyFont="1" applyFill="1"/>
    <xf numFmtId="0" fontId="528" fillId="1952" borderId="0" xfId="0" applyFont="1" applyFill="1"/>
    <xf numFmtId="0" fontId="528" fillId="1953" borderId="0" xfId="0" applyFont="1" applyFill="1"/>
    <xf numFmtId="0" fontId="528" fillId="1954" borderId="0" xfId="0" applyFont="1" applyFill="1"/>
    <xf numFmtId="0" fontId="528" fillId="1955" borderId="0" xfId="0" applyFont="1" applyFill="1"/>
    <xf numFmtId="0" fontId="528" fillId="1956" borderId="0" xfId="0" applyFont="1" applyFill="1"/>
    <xf numFmtId="0" fontId="528" fillId="1957" borderId="0" xfId="0" applyFont="1" applyFill="1"/>
    <xf numFmtId="0" fontId="528" fillId="1958" borderId="0" xfId="0" applyFont="1" applyFill="1"/>
    <xf numFmtId="0" fontId="528" fillId="1959" borderId="0" xfId="0" applyFont="1" applyFill="1"/>
    <xf numFmtId="0" fontId="528" fillId="1960" borderId="0" xfId="0" applyFont="1" applyFill="1"/>
    <xf numFmtId="0" fontId="528" fillId="1961" borderId="0" xfId="0" applyFont="1" applyFill="1"/>
    <xf numFmtId="0" fontId="528" fillId="1962" borderId="0" xfId="0" applyFont="1" applyFill="1"/>
    <xf numFmtId="0" fontId="528" fillId="1963" borderId="0" xfId="0" applyFont="1" applyFill="1"/>
    <xf numFmtId="0" fontId="528" fillId="1964" borderId="0" xfId="0" applyFont="1" applyFill="1"/>
    <xf numFmtId="0" fontId="528" fillId="1965" borderId="0" xfId="0" applyFont="1" applyFill="1"/>
    <xf numFmtId="0" fontId="528" fillId="1966" borderId="0" xfId="0" applyFont="1" applyFill="1"/>
    <xf numFmtId="0" fontId="528" fillId="1967" borderId="0" xfId="0" applyFont="1" applyFill="1"/>
    <xf numFmtId="0" fontId="528" fillId="1968" borderId="0" xfId="0" applyFont="1" applyFill="1"/>
    <xf numFmtId="0" fontId="528" fillId="1969" borderId="0" xfId="0" applyFont="1" applyFill="1"/>
    <xf numFmtId="0" fontId="528" fillId="1970" borderId="0" xfId="0" applyFont="1" applyFill="1"/>
    <xf numFmtId="0" fontId="528" fillId="1971" borderId="0" xfId="0" applyFont="1" applyFill="1"/>
    <xf numFmtId="0" fontId="528" fillId="1972" borderId="0" xfId="0" applyFont="1" applyFill="1"/>
    <xf numFmtId="0" fontId="528" fillId="1973" borderId="0" xfId="0" applyFont="1" applyFill="1"/>
    <xf numFmtId="0" fontId="528" fillId="1974" borderId="0" xfId="0" applyFont="1" applyFill="1"/>
    <xf numFmtId="0" fontId="528" fillId="1975" borderId="0" xfId="0" applyFont="1" applyFill="1"/>
    <xf numFmtId="0" fontId="528" fillId="1976" borderId="0" xfId="0" applyFont="1" applyFill="1"/>
    <xf numFmtId="0" fontId="528" fillId="1977" borderId="0" xfId="0" applyFont="1" applyFill="1"/>
    <xf numFmtId="0" fontId="528" fillId="1978" borderId="0" xfId="0" applyFont="1" applyFill="1"/>
    <xf numFmtId="0" fontId="528" fillId="1979" borderId="0" xfId="0" applyFont="1" applyFill="1"/>
    <xf numFmtId="0" fontId="528" fillId="1980" borderId="0" xfId="0" applyFont="1" applyFill="1"/>
    <xf numFmtId="0" fontId="528" fillId="1981" borderId="0" xfId="0" applyFont="1" applyFill="1"/>
    <xf numFmtId="0" fontId="528" fillId="1982" borderId="0" xfId="0" applyFont="1" applyFill="1"/>
    <xf numFmtId="0" fontId="528" fillId="1983" borderId="0" xfId="0" applyFont="1" applyFill="1"/>
    <xf numFmtId="0" fontId="528" fillId="1984" borderId="0" xfId="0" applyFont="1" applyFill="1"/>
    <xf numFmtId="0" fontId="528" fillId="1985" borderId="0" xfId="0" applyFont="1" applyFill="1"/>
    <xf numFmtId="0" fontId="528" fillId="1986" borderId="0" xfId="0" applyFont="1" applyFill="1"/>
    <xf numFmtId="0" fontId="528" fillId="1987" borderId="0" xfId="0" applyFont="1" applyFill="1"/>
    <xf numFmtId="0" fontId="528" fillId="1988" borderId="0" xfId="0" applyFont="1" applyFill="1"/>
    <xf numFmtId="0" fontId="528" fillId="1989" borderId="0" xfId="0" applyFont="1" applyFill="1"/>
    <xf numFmtId="0" fontId="528" fillId="1990" borderId="0" xfId="0" applyFont="1" applyFill="1"/>
    <xf numFmtId="0" fontId="528" fillId="1991" borderId="0" xfId="0" applyFont="1" applyFill="1"/>
    <xf numFmtId="0" fontId="528" fillId="1992" borderId="0" xfId="0" applyFont="1" applyFill="1"/>
    <xf numFmtId="0" fontId="528" fillId="1993" borderId="0" xfId="0" applyFont="1" applyFill="1"/>
    <xf numFmtId="0" fontId="528" fillId="1994" borderId="0" xfId="0" applyFont="1" applyFill="1"/>
    <xf numFmtId="0" fontId="528" fillId="1995" borderId="0" xfId="0" applyFont="1" applyFill="1"/>
    <xf numFmtId="0" fontId="528" fillId="1996" borderId="0" xfId="0" applyFont="1" applyFill="1"/>
    <xf numFmtId="0" fontId="528" fillId="1997" borderId="0" xfId="0" applyFont="1" applyFill="1"/>
    <xf numFmtId="0" fontId="528" fillId="647" borderId="0" xfId="0" applyFont="1" applyFill="1"/>
    <xf numFmtId="0" fontId="528" fillId="194" borderId="0" xfId="0" applyFont="1" applyFill="1"/>
    <xf numFmtId="0" fontId="528" fillId="1998" borderId="0" xfId="0" applyFont="1" applyFill="1"/>
    <xf numFmtId="0" fontId="528" fillId="1999" borderId="0" xfId="0" applyFont="1" applyFill="1"/>
    <xf numFmtId="0" fontId="528" fillId="2000" borderId="0" xfId="0" applyFont="1" applyFill="1"/>
    <xf numFmtId="0" fontId="528" fillId="2001" borderId="0" xfId="0" applyFont="1" applyFill="1"/>
    <xf numFmtId="0" fontId="528" fillId="2002" borderId="0" xfId="0" applyFont="1" applyFill="1"/>
    <xf numFmtId="0" fontId="528" fillId="2003" borderId="0" xfId="0" applyFont="1" applyFill="1"/>
    <xf numFmtId="0" fontId="528" fillId="2004" borderId="0" xfId="0" applyFont="1" applyFill="1"/>
    <xf numFmtId="0" fontId="528" fillId="2005" borderId="0" xfId="0" applyFont="1" applyFill="1"/>
    <xf numFmtId="0" fontId="528" fillId="2006" borderId="0" xfId="0" applyFont="1" applyFill="1"/>
    <xf numFmtId="0" fontId="528" fillId="2007" borderId="0" xfId="0" applyFont="1" applyFill="1"/>
    <xf numFmtId="0" fontId="528" fillId="2008" borderId="0" xfId="0" applyFont="1" applyFill="1"/>
    <xf numFmtId="0" fontId="528" fillId="2009" borderId="0" xfId="0" applyFont="1" applyFill="1"/>
    <xf numFmtId="0" fontId="528" fillId="2010" borderId="0" xfId="0" applyFont="1" applyFill="1"/>
    <xf numFmtId="0" fontId="528" fillId="2011" borderId="0" xfId="0" applyFont="1" applyFill="1"/>
    <xf numFmtId="0" fontId="528" fillId="2012" borderId="0" xfId="0" applyFont="1" applyFill="1"/>
    <xf numFmtId="0" fontId="528" fillId="2013" borderId="0" xfId="0" applyFont="1" applyFill="1"/>
    <xf numFmtId="0" fontId="528" fillId="2014" borderId="0" xfId="0" applyFont="1" applyFill="1"/>
    <xf numFmtId="0" fontId="528" fillId="2015" borderId="0" xfId="0" applyFont="1" applyFill="1"/>
    <xf numFmtId="0" fontId="528" fillId="2016" borderId="0" xfId="0" applyFont="1" applyFill="1"/>
    <xf numFmtId="0" fontId="528" fillId="2017" borderId="0" xfId="0" applyFont="1" applyFill="1"/>
    <xf numFmtId="0" fontId="528" fillId="2018" borderId="0" xfId="0" applyFont="1" applyFill="1"/>
    <xf numFmtId="0" fontId="528" fillId="2019" borderId="0" xfId="0" applyFont="1" applyFill="1"/>
    <xf numFmtId="0" fontId="528" fillId="2020" borderId="0" xfId="0" applyFont="1" applyFill="1"/>
    <xf numFmtId="0" fontId="528" fillId="2021" borderId="0" xfId="0" applyFont="1" applyFill="1"/>
    <xf numFmtId="0" fontId="528" fillId="2022" borderId="0" xfId="0" applyFont="1" applyFill="1"/>
    <xf numFmtId="0" fontId="528" fillId="2023" borderId="0" xfId="0" applyFont="1" applyFill="1"/>
    <xf numFmtId="0" fontId="528" fillId="2024" borderId="0" xfId="0" applyFont="1" applyFill="1"/>
    <xf numFmtId="0" fontId="528" fillId="2025" borderId="0" xfId="0" applyFont="1" applyFill="1"/>
    <xf numFmtId="0" fontId="528" fillId="0" borderId="0" xfId="0" applyFont="1"/>
    <xf numFmtId="0" fontId="529" fillId="0" borderId="0" xfId="45" applyFont="1" applyAlignment="1">
      <alignment horizontal="left" indent="1"/>
    </xf>
    <xf numFmtId="0" fontId="529" fillId="0" borderId="0" xfId="45" applyFont="1" applyAlignment="1">
      <alignment horizontal="right" indent="1"/>
    </xf>
    <xf numFmtId="0" fontId="528" fillId="0" borderId="0" xfId="0" applyFont="1" applyAlignment="1">
      <alignment horizontal="right" indent="1"/>
    </xf>
    <xf numFmtId="0" fontId="528" fillId="2026" borderId="0" xfId="0" applyFont="1" applyFill="1"/>
    <xf numFmtId="0" fontId="528" fillId="2027" borderId="0" xfId="0" applyFont="1" applyFill="1"/>
    <xf numFmtId="0" fontId="529" fillId="0" borderId="345" xfId="45" applyFont="1" applyBorder="1" applyAlignment="1">
      <alignment horizontal="left" indent="1"/>
    </xf>
    <xf numFmtId="0" fontId="529" fillId="0" borderId="346" xfId="45" applyFont="1" applyBorder="1" applyAlignment="1">
      <alignment horizontal="left" indent="1"/>
    </xf>
    <xf numFmtId="0" fontId="529" fillId="0" borderId="347" xfId="45" applyFont="1" applyBorder="1" applyAlignment="1">
      <alignment horizontal="right" indent="1"/>
    </xf>
    <xf numFmtId="0" fontId="528" fillId="0" borderId="348" xfId="0" applyFont="1" applyBorder="1" applyAlignment="1">
      <alignment horizontal="right" indent="1"/>
    </xf>
    <xf numFmtId="0" fontId="528" fillId="0" borderId="345" xfId="0" applyFont="1" applyBorder="1" applyAlignment="1">
      <alignment horizontal="right" indent="1"/>
    </xf>
    <xf numFmtId="0" fontId="10" fillId="44" borderId="0" xfId="2" applyFont="1" applyFill="1" applyAlignment="1">
      <alignment horizontal="center" vertical="center"/>
    </xf>
    <xf numFmtId="0" fontId="10" fillId="41" borderId="0" xfId="1" applyFont="1" applyFill="1" applyAlignment="1">
      <alignment horizontal="center" vertical="center"/>
    </xf>
    <xf numFmtId="0" fontId="169" fillId="8" borderId="0" xfId="3" applyFont="1" applyFill="1" applyAlignment="1">
      <alignment vertical="center"/>
    </xf>
    <xf numFmtId="0" fontId="10" fillId="4" borderId="3" xfId="1" quotePrefix="1" applyFont="1" applyFill="1" applyBorder="1" applyAlignment="1">
      <alignment horizontal="center" vertical="center"/>
    </xf>
    <xf numFmtId="0" fontId="13" fillId="8" borderId="0" xfId="3" applyFont="1" applyFill="1" applyAlignment="1">
      <alignment horizontal="left"/>
    </xf>
    <xf numFmtId="0" fontId="113" fillId="8" borderId="0" xfId="0" applyFont="1" applyFill="1"/>
    <xf numFmtId="0" fontId="4" fillId="8" borderId="0" xfId="0" applyFont="1" applyFill="1" applyAlignment="1">
      <alignment horizontal="left" vertical="center" indent="2"/>
    </xf>
    <xf numFmtId="0" fontId="0" fillId="8" borderId="0" xfId="0" applyFill="1" applyAlignment="1">
      <alignment horizontal="left" vertical="center" indent="2"/>
    </xf>
    <xf numFmtId="0" fontId="21" fillId="8" borderId="0" xfId="4" applyFont="1" applyFill="1" applyAlignment="1">
      <alignment horizontal="left" vertical="center"/>
    </xf>
    <xf numFmtId="0" fontId="381" fillId="8" borderId="0" xfId="0" applyFont="1" applyFill="1" applyAlignment="1">
      <alignment horizontal="left" vertical="center" indent="1"/>
    </xf>
    <xf numFmtId="0" fontId="1" fillId="8" borderId="0" xfId="3" applyFill="1" applyAlignment="1">
      <alignment horizontal="left" vertical="center"/>
    </xf>
    <xf numFmtId="0" fontId="39" fillId="0" borderId="293" xfId="1" applyFont="1" applyBorder="1" applyAlignment="1">
      <alignment horizontal="left" vertical="center"/>
    </xf>
    <xf numFmtId="0" fontId="34" fillId="21" borderId="0" xfId="1" applyFont="1" applyFill="1" applyAlignment="1">
      <alignment horizontal="left" vertical="center"/>
    </xf>
    <xf numFmtId="0" fontId="37" fillId="8" borderId="0" xfId="9" applyFont="1" applyFill="1" applyAlignment="1">
      <alignment horizontal="left" vertical="center"/>
    </xf>
    <xf numFmtId="0" fontId="112" fillId="8" borderId="0" xfId="1" applyFont="1" applyFill="1" applyAlignment="1" applyProtection="1">
      <alignment horizontal="left" vertical="center"/>
      <protection locked="0"/>
    </xf>
    <xf numFmtId="165" fontId="42" fillId="8" borderId="350" xfId="0" applyNumberFormat="1" applyFont="1" applyFill="1" applyBorder="1" applyAlignment="1">
      <alignment horizontal="right" vertical="center"/>
    </xf>
    <xf numFmtId="165" fontId="0" fillId="8" borderId="350" xfId="0" applyNumberFormat="1" applyFill="1" applyBorder="1" applyAlignment="1">
      <alignment horizontal="left" vertical="center"/>
    </xf>
    <xf numFmtId="0" fontId="0" fillId="0" borderId="349" xfId="0" applyBorder="1"/>
    <xf numFmtId="4" fontId="0" fillId="8" borderId="0" xfId="0" applyNumberFormat="1" applyFill="1" applyAlignment="1">
      <alignment horizontal="left" vertical="center"/>
    </xf>
    <xf numFmtId="0" fontId="1" fillId="0" borderId="349" xfId="4" applyBorder="1"/>
    <xf numFmtId="0" fontId="4" fillId="0" borderId="0" xfId="0" applyFont="1" applyAlignment="1">
      <alignment vertical="center"/>
    </xf>
    <xf numFmtId="0" fontId="113" fillId="8" borderId="0" xfId="0" applyFont="1" applyFill="1" applyAlignment="1">
      <alignment horizontal="center" vertical="center"/>
    </xf>
    <xf numFmtId="0" fontId="70" fillId="21" borderId="107" xfId="0" applyFont="1" applyFill="1" applyBorder="1" applyAlignment="1">
      <alignment horizontal="center" vertical="center"/>
    </xf>
    <xf numFmtId="0" fontId="70" fillId="21" borderId="351" xfId="0" applyFont="1" applyFill="1" applyBorder="1" applyAlignment="1">
      <alignment horizontal="center" vertical="center"/>
    </xf>
    <xf numFmtId="167" fontId="70" fillId="21" borderId="352" xfId="1" applyNumberFormat="1" applyFont="1" applyFill="1" applyBorder="1" applyAlignment="1">
      <alignment horizontal="center" vertical="center"/>
    </xf>
    <xf numFmtId="0" fontId="48" fillId="8" borderId="0" xfId="1" applyFont="1" applyFill="1" applyAlignment="1">
      <alignment vertical="center" wrapText="1"/>
    </xf>
    <xf numFmtId="0" fontId="48" fillId="8" borderId="0" xfId="1" applyFont="1" applyFill="1" applyAlignment="1">
      <alignment vertical="center"/>
    </xf>
    <xf numFmtId="0" fontId="352" fillId="21" borderId="0" xfId="1" applyFont="1" applyFill="1" applyAlignment="1">
      <alignment horizontal="left" vertical="center"/>
    </xf>
    <xf numFmtId="4" fontId="0" fillId="44" borderId="0" xfId="0" applyNumberFormat="1" applyFill="1" applyAlignment="1">
      <alignment horizontal="left" vertical="center"/>
    </xf>
    <xf numFmtId="0" fontId="24" fillId="8" borderId="44" xfId="1" applyFont="1" applyFill="1" applyBorder="1" applyAlignment="1">
      <alignment vertical="center" wrapText="1"/>
    </xf>
    <xf numFmtId="0" fontId="24" fillId="8" borderId="19" xfId="1" applyFont="1" applyFill="1" applyBorder="1" applyAlignment="1">
      <alignment vertical="center" wrapText="1"/>
    </xf>
    <xf numFmtId="0" fontId="56" fillId="26" borderId="45" xfId="1" applyFont="1" applyFill="1" applyBorder="1" applyAlignment="1">
      <alignment vertical="center" wrapText="1"/>
    </xf>
    <xf numFmtId="0" fontId="56" fillId="26" borderId="14" xfId="1" applyFont="1" applyFill="1" applyBorder="1" applyAlignment="1">
      <alignment vertical="center" wrapText="1"/>
    </xf>
    <xf numFmtId="0" fontId="24" fillId="8" borderId="47" xfId="1" applyFont="1" applyFill="1" applyBorder="1" applyAlignment="1">
      <alignment vertical="center" wrapText="1"/>
    </xf>
    <xf numFmtId="0" fontId="24" fillId="8" borderId="21" xfId="1" applyFont="1" applyFill="1" applyBorder="1" applyAlignment="1">
      <alignment vertical="center" wrapText="1"/>
    </xf>
    <xf numFmtId="0" fontId="55" fillId="21" borderId="18" xfId="1" applyFont="1" applyFill="1" applyBorder="1" applyAlignment="1" applyProtection="1">
      <alignment vertical="center" wrapText="1"/>
      <protection hidden="1"/>
    </xf>
    <xf numFmtId="0" fontId="55" fillId="21" borderId="20" xfId="1" applyFont="1" applyFill="1" applyBorder="1" applyAlignment="1" applyProtection="1">
      <alignment vertical="center" wrapText="1"/>
      <protection hidden="1"/>
    </xf>
    <xf numFmtId="0" fontId="83" fillId="8" borderId="0" xfId="1" applyFont="1" applyFill="1" applyAlignment="1" applyProtection="1">
      <alignment horizontal="center" vertical="center"/>
      <protection locked="0"/>
    </xf>
    <xf numFmtId="0" fontId="48" fillId="0" borderId="0" xfId="1" applyFont="1" applyAlignment="1">
      <alignment horizontal="center" vertical="center"/>
    </xf>
    <xf numFmtId="0" fontId="21" fillId="0" borderId="0" xfId="1" applyFont="1" applyAlignment="1">
      <alignment horizontal="center" vertical="center"/>
    </xf>
    <xf numFmtId="0" fontId="2" fillId="0" borderId="0" xfId="1" applyFont="1" applyAlignment="1">
      <alignment vertical="center"/>
    </xf>
    <xf numFmtId="0" fontId="48" fillId="0" borderId="0" xfId="1" applyFont="1" applyAlignment="1" applyProtection="1">
      <alignment vertical="center"/>
      <protection hidden="1"/>
    </xf>
    <xf numFmtId="0" fontId="21" fillId="0" borderId="0" xfId="9" applyFont="1" applyAlignment="1">
      <alignment vertical="center"/>
    </xf>
    <xf numFmtId="0" fontId="48" fillId="0" borderId="0" xfId="6" applyFont="1" applyAlignment="1">
      <alignment vertical="center"/>
    </xf>
    <xf numFmtId="0" fontId="48" fillId="0" borderId="0" xfId="1" applyFont="1" applyAlignment="1">
      <alignment horizontal="center"/>
    </xf>
    <xf numFmtId="0" fontId="21" fillId="0" borderId="0" xfId="1" applyFont="1" applyAlignment="1" applyProtection="1">
      <alignment horizontal="center" vertical="center"/>
      <protection hidden="1"/>
    </xf>
    <xf numFmtId="0" fontId="48" fillId="0" borderId="0" xfId="9" applyFont="1" applyAlignment="1">
      <alignment horizontal="center" vertical="center"/>
    </xf>
    <xf numFmtId="0" fontId="48" fillId="0" borderId="0" xfId="1" applyFont="1" applyAlignment="1">
      <alignment horizontal="right" vertical="center"/>
    </xf>
    <xf numFmtId="0" fontId="48" fillId="0" borderId="0" xfId="1" applyFont="1" applyAlignment="1">
      <alignment horizontal="left" vertical="center"/>
    </xf>
    <xf numFmtId="0" fontId="48" fillId="0" borderId="0" xfId="1" applyFont="1" applyAlignment="1" applyProtection="1">
      <alignment vertical="center"/>
      <protection locked="0"/>
    </xf>
    <xf numFmtId="0" fontId="48" fillId="0" borderId="0" xfId="0" applyFont="1" applyAlignment="1">
      <alignment horizontal="left" vertical="center"/>
    </xf>
    <xf numFmtId="0" fontId="21" fillId="0" borderId="0" xfId="1" applyFont="1" applyAlignment="1" applyProtection="1">
      <alignment horizontal="left" vertical="center"/>
      <protection locked="0"/>
    </xf>
    <xf numFmtId="0" fontId="21" fillId="0" borderId="0" xfId="1" applyFont="1" applyAlignment="1" applyProtection="1">
      <alignment horizontal="right" vertical="center"/>
      <protection locked="0"/>
    </xf>
    <xf numFmtId="0" fontId="21" fillId="0" borderId="0" xfId="0" applyFont="1" applyAlignment="1">
      <alignment vertical="center"/>
    </xf>
    <xf numFmtId="0" fontId="48" fillId="0" borderId="0" xfId="3" applyFont="1" applyAlignment="1">
      <alignment horizontal="right" vertical="center"/>
    </xf>
    <xf numFmtId="0" fontId="48" fillId="0" borderId="0" xfId="1" applyFont="1" applyAlignment="1" applyProtection="1">
      <alignment horizontal="right" vertical="center"/>
      <protection hidden="1"/>
    </xf>
    <xf numFmtId="0" fontId="21" fillId="0" borderId="0" xfId="5" applyFont="1" applyAlignment="1">
      <alignment horizontal="center" vertical="top"/>
    </xf>
    <xf numFmtId="0" fontId="48" fillId="0" borderId="0" xfId="21" applyFont="1" applyAlignment="1">
      <alignment horizontal="left" vertical="center"/>
    </xf>
    <xf numFmtId="0" fontId="21" fillId="0" borderId="0" xfId="21" applyFont="1" applyAlignment="1">
      <alignment vertical="center"/>
    </xf>
    <xf numFmtId="0" fontId="21" fillId="0" borderId="0" xfId="1" applyFont="1" applyAlignment="1" applyProtection="1">
      <alignment vertical="center"/>
      <protection locked="0"/>
    </xf>
    <xf numFmtId="0" fontId="21" fillId="0" borderId="0" xfId="0" applyFont="1"/>
    <xf numFmtId="0" fontId="48" fillId="0" borderId="0" xfId="1" applyFont="1" applyAlignment="1">
      <alignment vertical="center"/>
    </xf>
    <xf numFmtId="0" fontId="21" fillId="0" borderId="0" xfId="0" applyFont="1" applyAlignment="1">
      <alignment horizontal="center"/>
    </xf>
    <xf numFmtId="0" fontId="21" fillId="0" borderId="0" xfId="0" applyFont="1" applyAlignment="1">
      <alignment horizontal="left" vertical="center"/>
    </xf>
    <xf numFmtId="0" fontId="21" fillId="0" borderId="0" xfId="3" applyFont="1" applyAlignment="1">
      <alignment horizontal="left" vertical="center"/>
    </xf>
    <xf numFmtId="0" fontId="21" fillId="0" borderId="0" xfId="1" applyFont="1" applyAlignment="1">
      <alignment horizontal="center" vertical="top"/>
    </xf>
    <xf numFmtId="0" fontId="21" fillId="0" borderId="0" xfId="3" applyFont="1"/>
    <xf numFmtId="0" fontId="48" fillId="0" borderId="0" xfId="3" applyFont="1" applyAlignment="1">
      <alignment vertical="center"/>
    </xf>
    <xf numFmtId="0" fontId="21" fillId="0" borderId="0" xfId="0" applyFont="1" applyAlignment="1">
      <alignment horizontal="center" vertical="center"/>
    </xf>
    <xf numFmtId="0" fontId="18" fillId="0" borderId="0" xfId="5" applyFont="1" applyAlignment="1">
      <alignment horizontal="left" vertical="center"/>
    </xf>
    <xf numFmtId="0" fontId="18" fillId="0" borderId="0" xfId="5" applyFont="1" applyAlignment="1">
      <alignment horizontal="right" vertical="center"/>
    </xf>
    <xf numFmtId="0" fontId="21" fillId="0" borderId="0" xfId="19" applyFont="1" applyAlignment="1">
      <alignment horizontal="left" vertical="top"/>
    </xf>
    <xf numFmtId="0" fontId="2" fillId="0" borderId="0" xfId="5" applyFont="1" applyAlignment="1">
      <alignment vertical="center"/>
    </xf>
    <xf numFmtId="0" fontId="18" fillId="0" borderId="0" xfId="5" applyFont="1" applyAlignment="1">
      <alignment vertical="center"/>
    </xf>
    <xf numFmtId="0" fontId="21" fillId="0" borderId="0" xfId="4" applyFont="1" applyAlignment="1">
      <alignment vertical="center"/>
    </xf>
    <xf numFmtId="0" fontId="70" fillId="0" borderId="0" xfId="1" applyFont="1" applyAlignment="1">
      <alignment vertical="center"/>
    </xf>
    <xf numFmtId="0" fontId="2" fillId="3" borderId="1" xfId="2" applyFont="1" applyFill="1" applyBorder="1" applyAlignment="1">
      <alignment horizontal="center" vertical="center"/>
    </xf>
    <xf numFmtId="0" fontId="48" fillId="7" borderId="0" xfId="1" quotePrefix="1" applyFont="1" applyFill="1" applyAlignment="1">
      <alignment horizontal="center" vertical="center"/>
    </xf>
    <xf numFmtId="0" fontId="48" fillId="15" borderId="0" xfId="1" quotePrefix="1" applyFont="1" applyFill="1" applyAlignment="1">
      <alignment horizontal="center" vertical="center"/>
    </xf>
    <xf numFmtId="0" fontId="60" fillId="0" borderId="0" xfId="3" applyFont="1" applyAlignment="1">
      <alignment vertical="center"/>
    </xf>
    <xf numFmtId="0" fontId="1" fillId="0" borderId="0" xfId="4" applyAlignment="1">
      <alignment vertical="center"/>
    </xf>
    <xf numFmtId="0" fontId="53" fillId="0" borderId="0" xfId="4" applyFont="1" applyAlignment="1">
      <alignment vertical="center"/>
    </xf>
    <xf numFmtId="0" fontId="5" fillId="4" borderId="0" xfId="3" applyFont="1" applyFill="1" applyAlignment="1">
      <alignment horizontal="center" vertical="center"/>
    </xf>
    <xf numFmtId="170" fontId="57" fillId="8" borderId="0" xfId="1" applyNumberFormat="1" applyFont="1" applyFill="1" applyAlignment="1">
      <alignment horizontal="center" vertical="center"/>
    </xf>
    <xf numFmtId="167" fontId="60" fillId="21" borderId="23" xfId="1" applyNumberFormat="1" applyFont="1" applyFill="1" applyBorder="1" applyAlignment="1">
      <alignment horizontal="center" vertical="center"/>
    </xf>
    <xf numFmtId="169" fontId="61" fillId="8" borderId="24" xfId="1" applyNumberFormat="1" applyFont="1" applyFill="1" applyBorder="1" applyAlignment="1" applyProtection="1">
      <alignment horizontal="center" vertical="center"/>
      <protection hidden="1"/>
    </xf>
    <xf numFmtId="0" fontId="186" fillId="65" borderId="32" xfId="7" applyFont="1" applyFill="1" applyBorder="1" applyAlignment="1" applyProtection="1">
      <alignment horizontal="right" vertical="center"/>
      <protection locked="0"/>
    </xf>
    <xf numFmtId="0" fontId="84" fillId="65" borderId="32" xfId="7" applyFont="1" applyFill="1" applyBorder="1" applyAlignment="1" applyProtection="1">
      <alignment horizontal="right" vertical="center"/>
      <protection locked="0"/>
    </xf>
    <xf numFmtId="0" fontId="35" fillId="65" borderId="32" xfId="7" applyFont="1" applyFill="1" applyBorder="1" applyAlignment="1" applyProtection="1">
      <alignment horizontal="right" vertical="center"/>
      <protection locked="0"/>
    </xf>
    <xf numFmtId="184" fontId="13" fillId="8" borderId="267" xfId="7" applyNumberFormat="1" applyFont="1" applyFill="1" applyBorder="1" applyAlignment="1" applyProtection="1">
      <alignment horizontal="center" vertical="center"/>
      <protection locked="0"/>
    </xf>
    <xf numFmtId="0" fontId="13" fillId="8" borderId="0" xfId="7" applyFont="1" applyFill="1" applyAlignment="1" applyProtection="1">
      <alignment horizontal="right" vertical="center"/>
      <protection locked="0"/>
    </xf>
    <xf numFmtId="184" fontId="125" fillId="66" borderId="0" xfId="7" applyNumberFormat="1" applyFont="1" applyFill="1" applyAlignment="1" applyProtection="1">
      <alignment horizontal="center" vertical="center"/>
      <protection locked="0"/>
    </xf>
    <xf numFmtId="9" fontId="84" fillId="66" borderId="0" xfId="7" applyNumberFormat="1" applyFont="1" applyFill="1" applyAlignment="1" applyProtection="1">
      <alignment horizontal="center" vertical="center"/>
      <protection locked="0"/>
    </xf>
    <xf numFmtId="0" fontId="83" fillId="8" borderId="32" xfId="1" applyFont="1" applyFill="1" applyBorder="1" applyAlignment="1" applyProtection="1">
      <alignment horizontal="left" vertical="center"/>
      <protection locked="0"/>
    </xf>
    <xf numFmtId="0" fontId="57" fillId="8" borderId="0" xfId="1" applyFont="1" applyFill="1" applyAlignment="1" applyProtection="1">
      <alignment horizontal="right" vertical="center"/>
      <protection locked="0"/>
    </xf>
    <xf numFmtId="2" fontId="13" fillId="8" borderId="267" xfId="1" applyNumberFormat="1" applyFont="1" applyFill="1" applyBorder="1" applyAlignment="1" applyProtection="1">
      <alignment horizontal="center" vertical="center"/>
      <protection locked="0"/>
    </xf>
    <xf numFmtId="184" fontId="35" fillId="66" borderId="0" xfId="7" applyNumberFormat="1" applyFont="1" applyFill="1" applyAlignment="1" applyProtection="1">
      <alignment horizontal="center" vertical="center"/>
      <protection locked="0"/>
    </xf>
    <xf numFmtId="0" fontId="13" fillId="8" borderId="267" xfId="1" applyFont="1" applyFill="1" applyBorder="1" applyAlignment="1" applyProtection="1">
      <alignment horizontal="center" vertical="center"/>
      <protection locked="0"/>
    </xf>
    <xf numFmtId="0" fontId="200" fillId="113" borderId="35" xfId="7" applyFont="1" applyFill="1" applyBorder="1" applyAlignment="1">
      <alignment vertical="center"/>
    </xf>
    <xf numFmtId="0" fontId="200" fillId="113" borderId="56" xfId="7" applyFont="1" applyFill="1" applyBorder="1" applyAlignment="1">
      <alignment vertical="center"/>
    </xf>
    <xf numFmtId="0" fontId="200" fillId="113" borderId="37" xfId="7" applyFont="1" applyFill="1" applyBorder="1" applyAlignment="1">
      <alignment vertical="center"/>
    </xf>
    <xf numFmtId="169" fontId="13" fillId="7" borderId="0" xfId="1" applyNumberFormat="1" applyFont="1" applyFill="1" applyAlignment="1">
      <alignment horizontal="center" vertical="center"/>
    </xf>
    <xf numFmtId="0" fontId="13" fillId="61" borderId="0" xfId="1" applyFont="1" applyFill="1" applyAlignment="1" applyProtection="1">
      <alignment horizontal="center" vertical="center"/>
      <protection hidden="1"/>
    </xf>
    <xf numFmtId="0" fontId="36" fillId="8" borderId="0" xfId="4" applyFont="1" applyFill="1" applyAlignment="1">
      <alignment vertical="top"/>
    </xf>
    <xf numFmtId="179" fontId="39" fillId="21" borderId="0" xfId="1" applyNumberFormat="1" applyFont="1" applyFill="1" applyAlignment="1">
      <alignment horizontal="center" vertical="center"/>
    </xf>
    <xf numFmtId="0" fontId="352" fillId="8" borderId="0" xfId="9" applyFont="1" applyFill="1" applyAlignment="1">
      <alignment horizontal="left" vertical="center"/>
    </xf>
    <xf numFmtId="0" fontId="532" fillId="8" borderId="0" xfId="9" applyFont="1" applyFill="1" applyAlignment="1">
      <alignment horizontal="right" vertical="center"/>
    </xf>
    <xf numFmtId="165" fontId="532" fillId="8" borderId="0" xfId="0" applyNumberFormat="1" applyFont="1" applyFill="1" applyAlignment="1">
      <alignment horizontal="right" vertical="center"/>
    </xf>
    <xf numFmtId="197" fontId="532" fillId="8" borderId="0" xfId="0" applyNumberFormat="1" applyFont="1" applyFill="1" applyAlignment="1">
      <alignment horizontal="left" vertical="center"/>
    </xf>
    <xf numFmtId="0" fontId="16" fillId="9" borderId="45" xfId="3" applyFont="1" applyFill="1" applyBorder="1" applyAlignment="1">
      <alignment horizontal="center" vertical="center"/>
    </xf>
    <xf numFmtId="0" fontId="10" fillId="24" borderId="45" xfId="3" applyFont="1" applyFill="1" applyBorder="1" applyAlignment="1">
      <alignment horizontal="left" vertical="center"/>
    </xf>
    <xf numFmtId="0" fontId="10" fillId="24" borderId="291" xfId="3" applyFont="1" applyFill="1" applyBorder="1" applyAlignment="1">
      <alignment horizontal="left" vertical="center"/>
    </xf>
    <xf numFmtId="0" fontId="48" fillId="8" borderId="354" xfId="1" applyFont="1" applyFill="1" applyBorder="1" applyAlignment="1">
      <alignment horizontal="center"/>
    </xf>
    <xf numFmtId="0" fontId="24" fillId="18" borderId="355" xfId="1" applyFont="1" applyFill="1" applyBorder="1" applyAlignment="1" applyProtection="1">
      <alignment horizontal="center" vertical="center"/>
      <protection hidden="1"/>
    </xf>
    <xf numFmtId="0" fontId="48" fillId="8" borderId="356" xfId="9" applyFont="1" applyFill="1" applyBorder="1" applyAlignment="1">
      <alignment horizontal="center" vertical="center"/>
    </xf>
    <xf numFmtId="0" fontId="532" fillId="8" borderId="9" xfId="0" applyFont="1" applyFill="1" applyBorder="1"/>
    <xf numFmtId="0" fontId="21" fillId="8" borderId="45" xfId="1" applyFont="1" applyFill="1" applyBorder="1" applyAlignment="1">
      <alignment horizontal="center" vertical="center" wrapText="1"/>
    </xf>
    <xf numFmtId="197" fontId="150" fillId="8" borderId="0" xfId="0" applyNumberFormat="1" applyFont="1" applyFill="1" applyAlignment="1">
      <alignment horizontal="left" vertical="center"/>
    </xf>
    <xf numFmtId="0" fontId="150" fillId="8" borderId="0" xfId="4" applyFont="1" applyFill="1" applyAlignment="1">
      <alignment horizontal="left" vertical="center"/>
    </xf>
    <xf numFmtId="165" fontId="150" fillId="8" borderId="0" xfId="0" applyNumberFormat="1" applyFont="1" applyFill="1" applyAlignment="1">
      <alignment horizontal="right" vertical="center"/>
    </xf>
    <xf numFmtId="0" fontId="533" fillId="42" borderId="0" xfId="7" applyFont="1" applyFill="1" applyAlignment="1">
      <alignment horizontal="right" vertical="center"/>
    </xf>
    <xf numFmtId="0" fontId="533" fillId="42" borderId="0" xfId="7" applyFont="1" applyFill="1" applyAlignment="1">
      <alignment horizontal="left" vertical="center"/>
    </xf>
    <xf numFmtId="1" fontId="533" fillId="42" borderId="0" xfId="7" applyNumberFormat="1" applyFont="1" applyFill="1" applyAlignment="1">
      <alignment horizontal="right" vertical="center"/>
    </xf>
    <xf numFmtId="0" fontId="46" fillId="2028" borderId="49" xfId="1" applyFont="1" applyFill="1" applyBorder="1" applyAlignment="1" applyProtection="1">
      <alignment horizontal="center" vertical="center"/>
      <protection hidden="1"/>
    </xf>
    <xf numFmtId="0" fontId="83" fillId="8" borderId="49" xfId="1" applyFont="1" applyFill="1" applyBorder="1" applyAlignment="1" applyProtection="1">
      <alignment horizontal="left" vertical="center"/>
      <protection locked="0"/>
    </xf>
    <xf numFmtId="0" fontId="57" fillId="8" borderId="49" xfId="6" applyFont="1" applyFill="1" applyBorder="1" applyAlignment="1">
      <alignment horizontal="right" vertical="center"/>
    </xf>
    <xf numFmtId="0" fontId="13" fillId="44" borderId="18" xfId="1" applyFont="1" applyFill="1" applyBorder="1" applyAlignment="1">
      <alignment horizontal="left" vertical="center"/>
    </xf>
    <xf numFmtId="167" fontId="21" fillId="44" borderId="0" xfId="1" applyNumberFormat="1" applyFont="1" applyFill="1" applyAlignment="1">
      <alignment horizontal="center" vertical="center"/>
    </xf>
    <xf numFmtId="230" fontId="57" fillId="44" borderId="200" xfId="1" applyNumberFormat="1" applyFont="1" applyFill="1" applyBorder="1" applyAlignment="1">
      <alignment horizontal="center" vertical="center"/>
    </xf>
    <xf numFmtId="169" fontId="13" fillId="44" borderId="18" xfId="1" applyNumberFormat="1" applyFont="1" applyFill="1" applyBorder="1" applyAlignment="1">
      <alignment horizontal="left" vertical="center"/>
    </xf>
    <xf numFmtId="169" fontId="21" fillId="44" borderId="0" xfId="1" applyNumberFormat="1" applyFont="1" applyFill="1" applyAlignment="1">
      <alignment horizontal="center" vertical="center"/>
    </xf>
    <xf numFmtId="170" fontId="57" fillId="99" borderId="200" xfId="1" applyNumberFormat="1" applyFont="1" applyFill="1" applyBorder="1" applyAlignment="1">
      <alignment horizontal="center" vertical="center"/>
    </xf>
    <xf numFmtId="0" fontId="39" fillId="44" borderId="18" xfId="1" applyFont="1" applyFill="1" applyBorder="1" applyAlignment="1">
      <alignment horizontal="left" vertical="center"/>
    </xf>
    <xf numFmtId="167" fontId="534" fillId="8" borderId="0" xfId="1" applyNumberFormat="1" applyFont="1" applyFill="1" applyAlignment="1">
      <alignment horizontal="center" vertical="center"/>
    </xf>
    <xf numFmtId="169" fontId="534" fillId="8" borderId="0" xfId="1" applyNumberFormat="1" applyFont="1" applyFill="1" applyAlignment="1">
      <alignment horizontal="center" vertical="center"/>
    </xf>
    <xf numFmtId="170" fontId="534" fillId="2029" borderId="200" xfId="1" applyNumberFormat="1" applyFont="1" applyFill="1" applyBorder="1" applyAlignment="1">
      <alignment horizontal="center" vertical="center"/>
    </xf>
    <xf numFmtId="0" fontId="35" fillId="8" borderId="0" xfId="9" applyFont="1" applyFill="1" applyAlignment="1">
      <alignment horizontal="right" vertical="center"/>
    </xf>
    <xf numFmtId="179" fontId="35" fillId="8" borderId="0" xfId="1" applyNumberFormat="1" applyFont="1" applyFill="1" applyAlignment="1" applyProtection="1">
      <alignment horizontal="center" vertical="center"/>
      <protection hidden="1"/>
    </xf>
    <xf numFmtId="197" fontId="48" fillId="7" borderId="38" xfId="1" applyNumberFormat="1" applyFont="1" applyFill="1" applyBorder="1" applyAlignment="1">
      <alignment horizontal="center" vertical="center"/>
    </xf>
    <xf numFmtId="165" fontId="3" fillId="8" borderId="0" xfId="0" applyNumberFormat="1" applyFont="1" applyFill="1" applyAlignment="1">
      <alignment horizontal="right" vertical="center"/>
    </xf>
    <xf numFmtId="0" fontId="536" fillId="8" borderId="18" xfId="1" applyFont="1" applyFill="1" applyBorder="1" applyAlignment="1">
      <alignment horizontal="left" vertical="center"/>
    </xf>
    <xf numFmtId="167" fontId="342" fillId="0" borderId="0" xfId="1" applyNumberFormat="1" applyFont="1" applyAlignment="1">
      <alignment horizontal="center" vertical="center"/>
    </xf>
    <xf numFmtId="0" fontId="74" fillId="0" borderId="18" xfId="1" applyFont="1" applyBorder="1" applyAlignment="1">
      <alignment horizontal="left" vertical="center"/>
    </xf>
    <xf numFmtId="0" fontId="481" fillId="8" borderId="18" xfId="1" applyFont="1" applyFill="1" applyBorder="1" applyAlignment="1">
      <alignment vertical="center" wrapText="1"/>
    </xf>
    <xf numFmtId="0" fontId="481" fillId="8" borderId="16" xfId="1" applyFont="1" applyFill="1" applyBorder="1" applyAlignment="1">
      <alignment horizontal="left" vertical="center"/>
    </xf>
    <xf numFmtId="0" fontId="535" fillId="8" borderId="16" xfId="1" applyFont="1" applyFill="1" applyBorder="1" applyAlignment="1">
      <alignment horizontal="left" vertical="center"/>
    </xf>
    <xf numFmtId="167" fontId="342" fillId="0" borderId="16" xfId="1" applyNumberFormat="1" applyFont="1" applyBorder="1" applyAlignment="1">
      <alignment horizontal="center" vertical="center"/>
    </xf>
    <xf numFmtId="0" fontId="537" fillId="8" borderId="0" xfId="1" applyFont="1" applyFill="1" applyAlignment="1" applyProtection="1">
      <alignment horizontal="left" vertical="center"/>
      <protection locked="0"/>
    </xf>
    <xf numFmtId="0" fontId="73" fillId="8" borderId="0" xfId="1" applyFont="1" applyFill="1" applyAlignment="1" applyProtection="1">
      <alignment horizontal="left" vertical="center"/>
      <protection locked="0"/>
    </xf>
    <xf numFmtId="0" fontId="184" fillId="8" borderId="32" xfId="1" applyFont="1" applyFill="1" applyBorder="1" applyAlignment="1" applyProtection="1">
      <alignment horizontal="left" vertical="top"/>
      <protection locked="0"/>
    </xf>
    <xf numFmtId="0" fontId="184" fillId="8" borderId="32" xfId="1" applyFont="1" applyFill="1" applyBorder="1" applyAlignment="1" applyProtection="1">
      <alignment horizontal="left"/>
      <protection locked="0"/>
    </xf>
    <xf numFmtId="9" fontId="13" fillId="8" borderId="267" xfId="7" applyNumberFormat="1" applyFont="1" applyFill="1" applyBorder="1" applyAlignment="1" applyProtection="1">
      <alignment horizontal="center" vertical="center"/>
      <protection locked="0"/>
    </xf>
    <xf numFmtId="0" fontId="538" fillId="8" borderId="0" xfId="1" applyFont="1" applyFill="1" applyAlignment="1" applyProtection="1">
      <alignment horizontal="left" vertical="center"/>
      <protection locked="0"/>
    </xf>
    <xf numFmtId="0" fontId="124" fillId="0" borderId="0" xfId="0" applyFont="1"/>
    <xf numFmtId="0" fontId="24" fillId="18" borderId="358" xfId="1" applyFont="1" applyFill="1" applyBorder="1" applyAlignment="1" applyProtection="1">
      <alignment horizontal="center"/>
      <protection locked="0"/>
    </xf>
    <xf numFmtId="0" fontId="50" fillId="18" borderId="45" xfId="1" applyFont="1" applyFill="1" applyBorder="1" applyAlignment="1" applyProtection="1">
      <alignment horizontal="center"/>
      <protection locked="0"/>
    </xf>
    <xf numFmtId="0" fontId="48" fillId="8" borderId="359" xfId="1" applyFont="1" applyFill="1" applyBorder="1" applyAlignment="1">
      <alignment horizontal="center"/>
    </xf>
    <xf numFmtId="0" fontId="164" fillId="65" borderId="32" xfId="7" applyFont="1" applyFill="1" applyBorder="1" applyAlignment="1" applyProtection="1">
      <alignment horizontal="right" vertical="center"/>
      <protection locked="0"/>
    </xf>
    <xf numFmtId="0" fontId="26" fillId="0" borderId="0" xfId="5" applyFont="1" applyAlignment="1">
      <alignment vertical="center"/>
    </xf>
    <xf numFmtId="0" fontId="157" fillId="0" borderId="0" xfId="5" applyFont="1" applyAlignment="1">
      <alignment vertical="center"/>
    </xf>
    <xf numFmtId="0" fontId="26" fillId="0" borderId="0" xfId="1" applyFont="1" applyAlignment="1">
      <alignment vertical="center"/>
    </xf>
    <xf numFmtId="0" fontId="4" fillId="0" borderId="0" xfId="0" applyFont="1"/>
    <xf numFmtId="0" fontId="72" fillId="114" borderId="0" xfId="0" applyFont="1" applyFill="1" applyAlignment="1">
      <alignment horizontal="center" vertical="center"/>
    </xf>
    <xf numFmtId="0" fontId="22" fillId="2030" borderId="0" xfId="0" applyFont="1" applyFill="1" applyAlignment="1">
      <alignment horizontal="center" vertical="center"/>
    </xf>
    <xf numFmtId="0" fontId="22" fillId="43" borderId="0" xfId="0" applyFont="1" applyFill="1" applyAlignment="1">
      <alignment horizontal="center" vertical="center"/>
    </xf>
    <xf numFmtId="0" fontId="61" fillId="26" borderId="360" xfId="1" applyFont="1" applyFill="1" applyBorder="1" applyAlignment="1" applyProtection="1">
      <alignment horizontal="center" vertical="center"/>
      <protection hidden="1"/>
    </xf>
    <xf numFmtId="0" fontId="57" fillId="36" borderId="360" xfId="1" applyFont="1" applyFill="1" applyBorder="1" applyAlignment="1" applyProtection="1">
      <alignment horizontal="center" vertical="center"/>
      <protection hidden="1"/>
    </xf>
    <xf numFmtId="0" fontId="61" fillId="28" borderId="360" xfId="1" applyFont="1" applyFill="1" applyBorder="1" applyAlignment="1" applyProtection="1">
      <alignment horizontal="center" vertical="center"/>
      <protection hidden="1"/>
    </xf>
    <xf numFmtId="0" fontId="65" fillId="35" borderId="360" xfId="1" applyFont="1" applyFill="1" applyBorder="1" applyAlignment="1" applyProtection="1">
      <alignment horizontal="center" vertical="center"/>
      <protection hidden="1"/>
    </xf>
    <xf numFmtId="0" fontId="61" fillId="36" borderId="360" xfId="1" applyFont="1" applyFill="1" applyBorder="1" applyAlignment="1" applyProtection="1">
      <alignment horizontal="center" vertical="center"/>
      <protection hidden="1"/>
    </xf>
    <xf numFmtId="0" fontId="75" fillId="7" borderId="360" xfId="1" applyFont="1" applyFill="1" applyBorder="1" applyAlignment="1" applyProtection="1">
      <alignment horizontal="center" vertical="center"/>
      <protection hidden="1"/>
    </xf>
    <xf numFmtId="0" fontId="57" fillId="39" borderId="360" xfId="1" applyFont="1" applyFill="1" applyBorder="1" applyAlignment="1" applyProtection="1">
      <alignment horizontal="center" vertical="center"/>
      <protection hidden="1"/>
    </xf>
    <xf numFmtId="0" fontId="65" fillId="35" borderId="361" xfId="1" applyFont="1" applyFill="1" applyBorder="1" applyAlignment="1" applyProtection="1">
      <alignment horizontal="center" vertical="center"/>
      <protection hidden="1"/>
    </xf>
    <xf numFmtId="171" fontId="121" fillId="44" borderId="362" xfId="0" applyNumberFormat="1" applyFont="1" applyFill="1" applyBorder="1" applyAlignment="1">
      <alignment horizontal="center" vertical="center"/>
    </xf>
    <xf numFmtId="0" fontId="59" fillId="21" borderId="360" xfId="1" applyFont="1" applyFill="1" applyBorder="1" applyAlignment="1">
      <alignment horizontal="left" vertical="center"/>
    </xf>
    <xf numFmtId="1" fontId="68" fillId="37" borderId="360" xfId="1" applyNumberFormat="1" applyFont="1" applyFill="1" applyBorder="1" applyAlignment="1" applyProtection="1">
      <alignment horizontal="center" vertical="center"/>
      <protection hidden="1"/>
    </xf>
    <xf numFmtId="1" fontId="68" fillId="37" borderId="360" xfId="1" applyNumberFormat="1" applyFont="1" applyFill="1" applyBorder="1" applyAlignment="1" applyProtection="1">
      <alignment horizontal="left" vertical="center"/>
      <protection hidden="1"/>
    </xf>
    <xf numFmtId="1" fontId="79" fillId="40" borderId="363" xfId="1" applyNumberFormat="1" applyFont="1" applyFill="1" applyBorder="1" applyAlignment="1" applyProtection="1">
      <alignment horizontal="left" vertical="center"/>
      <protection hidden="1"/>
    </xf>
    <xf numFmtId="0" fontId="71" fillId="7" borderId="1" xfId="4" applyFont="1" applyFill="1" applyBorder="1" applyAlignment="1">
      <alignment horizontal="center" vertical="center"/>
    </xf>
    <xf numFmtId="0" fontId="71" fillId="7" borderId="150" xfId="4" applyFont="1" applyFill="1" applyBorder="1" applyAlignment="1">
      <alignment horizontal="center" vertical="center"/>
    </xf>
    <xf numFmtId="172" fontId="121" fillId="44" borderId="264" xfId="0" applyNumberFormat="1" applyFont="1" applyFill="1" applyBorder="1" applyAlignment="1">
      <alignment horizontal="center" vertical="center"/>
    </xf>
    <xf numFmtId="0" fontId="2" fillId="43" borderId="366" xfId="9" applyFont="1" applyFill="1" applyBorder="1" applyAlignment="1">
      <alignment horizontal="center" vertical="center"/>
    </xf>
    <xf numFmtId="168" fontId="21" fillId="29" borderId="0" xfId="1" applyNumberFormat="1" applyFont="1" applyFill="1" applyAlignment="1">
      <alignment vertical="center"/>
    </xf>
    <xf numFmtId="2" fontId="1" fillId="30" borderId="354" xfId="12" applyNumberFormat="1" applyFill="1" applyBorder="1" applyAlignment="1" applyProtection="1">
      <alignment vertical="center"/>
      <protection locked="0"/>
    </xf>
    <xf numFmtId="169" fontId="63" fillId="7" borderId="0" xfId="1" applyNumberFormat="1" applyFont="1" applyFill="1" applyAlignment="1">
      <alignment vertical="center"/>
    </xf>
    <xf numFmtId="170" fontId="21" fillId="31" borderId="367" xfId="1" applyNumberFormat="1" applyFont="1" applyFill="1" applyBorder="1" applyAlignment="1">
      <alignment vertical="center"/>
    </xf>
    <xf numFmtId="0" fontId="24" fillId="7" borderId="9" xfId="1" applyFont="1" applyFill="1" applyBorder="1"/>
    <xf numFmtId="0" fontId="21" fillId="13" borderId="9" xfId="4" applyFont="1" applyFill="1" applyBorder="1"/>
    <xf numFmtId="0" fontId="21" fillId="13" borderId="9" xfId="4" applyFont="1" applyFill="1" applyBorder="1" applyAlignment="1">
      <alignment horizontal="center" vertical="center"/>
    </xf>
    <xf numFmtId="0" fontId="422" fillId="2031" borderId="151" xfId="13" applyFont="1" applyFill="1" applyBorder="1" applyAlignment="1">
      <alignment horizontal="center" vertical="center"/>
    </xf>
    <xf numFmtId="0" fontId="55" fillId="2031" borderId="151" xfId="13" applyFont="1" applyFill="1" applyBorder="1" applyAlignment="1">
      <alignment horizontal="center" vertical="center"/>
    </xf>
    <xf numFmtId="0" fontId="539" fillId="2031" borderId="151" xfId="1" applyFont="1" applyFill="1" applyBorder="1" applyAlignment="1">
      <alignment vertical="center"/>
    </xf>
    <xf numFmtId="0" fontId="540" fillId="2031" borderId="151" xfId="1" applyFont="1" applyFill="1" applyBorder="1" applyAlignment="1">
      <alignment vertical="center"/>
    </xf>
    <xf numFmtId="0" fontId="540" fillId="2031" borderId="151" xfId="10" applyFont="1" applyFill="1" applyBorder="1" applyAlignment="1">
      <alignment vertical="center"/>
    </xf>
    <xf numFmtId="0" fontId="422" fillId="2031" borderId="151" xfId="1" applyFont="1" applyFill="1" applyBorder="1" applyAlignment="1">
      <alignment vertical="center"/>
    </xf>
    <xf numFmtId="0" fontId="540" fillId="2031" borderId="151" xfId="1" applyFont="1" applyFill="1" applyBorder="1" applyAlignment="1" applyProtection="1">
      <alignment vertical="center"/>
      <protection hidden="1"/>
    </xf>
    <xf numFmtId="0" fontId="540" fillId="2031" borderId="151" xfId="4" applyFont="1" applyFill="1" applyBorder="1" applyAlignment="1">
      <alignment vertical="center"/>
    </xf>
    <xf numFmtId="0" fontId="540" fillId="2031" borderId="151" xfId="1" applyFont="1" applyFill="1" applyBorder="1" applyAlignment="1">
      <alignment horizontal="right" vertical="center"/>
    </xf>
    <xf numFmtId="0" fontId="541" fillId="8" borderId="0" xfId="1" applyFont="1" applyFill="1" applyAlignment="1">
      <alignment horizontal="right" vertical="center"/>
    </xf>
    <xf numFmtId="0" fontId="541" fillId="8" borderId="8" xfId="1" applyFont="1" applyFill="1" applyBorder="1" applyAlignment="1">
      <alignment horizontal="right" vertical="center"/>
    </xf>
    <xf numFmtId="0" fontId="541" fillId="8" borderId="9" xfId="1" applyFont="1" applyFill="1" applyBorder="1" applyAlignment="1">
      <alignment horizontal="right" vertical="center"/>
    </xf>
    <xf numFmtId="171" fontId="121" fillId="44" borderId="365" xfId="0" applyNumberFormat="1" applyFont="1" applyFill="1" applyBorder="1" applyAlignment="1">
      <alignment horizontal="center" vertical="center"/>
    </xf>
    <xf numFmtId="0" fontId="121" fillId="44" borderId="365" xfId="0" applyFont="1" applyFill="1" applyBorder="1" applyAlignment="1">
      <alignment horizontal="center" vertical="center"/>
    </xf>
    <xf numFmtId="172" fontId="121" fillId="44" borderId="365" xfId="0" applyNumberFormat="1" applyFont="1" applyFill="1" applyBorder="1" applyAlignment="1">
      <alignment horizontal="center" vertical="center"/>
    </xf>
    <xf numFmtId="1" fontId="45" fillId="58" borderId="360" xfId="1" applyNumberFormat="1" applyFont="1" applyFill="1" applyBorder="1" applyAlignment="1">
      <alignment horizontal="center" vertical="center"/>
    </xf>
    <xf numFmtId="0" fontId="36" fillId="7" borderId="16" xfId="0" applyFont="1" applyFill="1" applyBorder="1" applyAlignment="1">
      <alignment horizontal="center" vertical="center"/>
    </xf>
    <xf numFmtId="0" fontId="64" fillId="14" borderId="7" xfId="13" applyFont="1" applyFill="1" applyBorder="1" applyAlignment="1">
      <alignment horizontal="center" vertical="center"/>
    </xf>
    <xf numFmtId="0" fontId="23" fillId="18" borderId="2" xfId="7" applyFont="1" applyFill="1" applyBorder="1" applyAlignment="1">
      <alignment horizontal="left" vertical="center"/>
    </xf>
    <xf numFmtId="0" fontId="23" fillId="18" borderId="2" xfId="7" applyFont="1" applyFill="1" applyBorder="1" applyAlignment="1">
      <alignment horizontal="right" vertical="center"/>
    </xf>
    <xf numFmtId="1" fontId="23" fillId="18" borderId="2" xfId="7" applyNumberFormat="1" applyFont="1" applyFill="1" applyBorder="1" applyAlignment="1">
      <alignment horizontal="right" vertical="center"/>
    </xf>
    <xf numFmtId="167" fontId="59" fillId="27" borderId="368" xfId="1" applyNumberFormat="1" applyFont="1" applyFill="1" applyBorder="1" applyAlignment="1">
      <alignment horizontal="center" vertical="center"/>
    </xf>
    <xf numFmtId="1" fontId="59" fillId="21" borderId="369" xfId="1" applyNumberFormat="1" applyFont="1" applyFill="1" applyBorder="1" applyAlignment="1">
      <alignment horizontal="center" vertical="center"/>
    </xf>
    <xf numFmtId="0" fontId="30" fillId="7" borderId="2" xfId="10" applyFont="1" applyFill="1" applyBorder="1" applyAlignment="1">
      <alignment horizontal="center" vertical="center"/>
    </xf>
    <xf numFmtId="1" fontId="60" fillId="21" borderId="369" xfId="1" applyNumberFormat="1" applyFont="1" applyFill="1" applyBorder="1" applyAlignment="1">
      <alignment horizontal="center" vertical="center"/>
    </xf>
    <xf numFmtId="0" fontId="61" fillId="26" borderId="370" xfId="1" applyFont="1" applyFill="1" applyBorder="1" applyAlignment="1" applyProtection="1">
      <alignment horizontal="center" vertical="center"/>
      <protection hidden="1"/>
    </xf>
    <xf numFmtId="0" fontId="70" fillId="0" borderId="2" xfId="1" applyFont="1" applyBorder="1" applyAlignment="1">
      <alignment vertical="center"/>
    </xf>
    <xf numFmtId="0" fontId="39" fillId="0" borderId="371" xfId="1" applyFont="1" applyBorder="1" applyAlignment="1">
      <alignment horizontal="left" vertical="center"/>
    </xf>
    <xf numFmtId="167" fontId="21" fillId="0" borderId="2" xfId="1" applyNumberFormat="1" applyFont="1" applyBorder="1" applyAlignment="1">
      <alignment horizontal="center" vertical="center"/>
    </xf>
    <xf numFmtId="169" fontId="21" fillId="26" borderId="2" xfId="1" applyNumberFormat="1" applyFont="1" applyFill="1" applyBorder="1" applyAlignment="1">
      <alignment horizontal="center" vertical="center"/>
    </xf>
    <xf numFmtId="170" fontId="57" fillId="8" borderId="372" xfId="1" applyNumberFormat="1" applyFont="1" applyFill="1" applyBorder="1" applyAlignment="1">
      <alignment horizontal="center" vertical="center"/>
    </xf>
    <xf numFmtId="0" fontId="173" fillId="68" borderId="0" xfId="0" applyFont="1" applyFill="1" applyAlignment="1">
      <alignment horizontal="center" vertical="center"/>
    </xf>
    <xf numFmtId="0" fontId="5" fillId="3" borderId="266" xfId="0" applyFont="1" applyFill="1" applyBorder="1"/>
    <xf numFmtId="0" fontId="61" fillId="8" borderId="271" xfId="1" applyFont="1" applyFill="1" applyBorder="1" applyAlignment="1" applyProtection="1">
      <alignment vertical="center"/>
      <protection hidden="1"/>
    </xf>
    <xf numFmtId="0" fontId="39" fillId="0" borderId="271" xfId="1" applyFont="1" applyBorder="1" applyAlignment="1">
      <alignment vertical="center"/>
    </xf>
    <xf numFmtId="0" fontId="2" fillId="3" borderId="350" xfId="2" applyFont="1" applyFill="1" applyBorder="1" applyAlignment="1">
      <alignment horizontal="center" vertical="center"/>
    </xf>
    <xf numFmtId="0" fontId="57" fillId="59" borderId="360" xfId="1" applyFont="1" applyFill="1" applyBorder="1" applyAlignment="1" applyProtection="1">
      <alignment horizontal="center" vertical="center"/>
      <protection hidden="1"/>
    </xf>
    <xf numFmtId="0" fontId="3" fillId="44" borderId="150" xfId="9" applyFont="1" applyFill="1" applyBorder="1" applyAlignment="1">
      <alignment vertical="center" wrapText="1"/>
    </xf>
    <xf numFmtId="0" fontId="3" fillId="44" borderId="150" xfId="9" applyFont="1" applyFill="1" applyBorder="1" applyAlignment="1">
      <alignment vertical="center"/>
    </xf>
    <xf numFmtId="0" fontId="542" fillId="7" borderId="0" xfId="1" applyFont="1" applyFill="1" applyAlignment="1">
      <alignment horizontal="right" vertical="center"/>
    </xf>
    <xf numFmtId="0" fontId="543" fillId="49" borderId="78" xfId="1" applyFont="1" applyFill="1" applyBorder="1" applyAlignment="1">
      <alignment horizontal="right" vertical="center"/>
    </xf>
    <xf numFmtId="167" fontId="113" fillId="94" borderId="374" xfId="1" applyNumberFormat="1" applyFont="1" applyFill="1" applyBorder="1" applyAlignment="1" applyProtection="1">
      <alignment horizontal="center" vertical="center"/>
      <protection hidden="1"/>
    </xf>
    <xf numFmtId="0" fontId="543" fillId="13" borderId="78" xfId="1" applyFont="1" applyFill="1" applyBorder="1" applyAlignment="1">
      <alignment horizontal="right" vertical="center"/>
    </xf>
    <xf numFmtId="0" fontId="61" fillId="70" borderId="360" xfId="1" applyFont="1" applyFill="1" applyBorder="1" applyAlignment="1" applyProtection="1">
      <alignment horizontal="center" vertical="center"/>
      <protection hidden="1"/>
    </xf>
    <xf numFmtId="1" fontId="50" fillId="37" borderId="360" xfId="1" applyNumberFormat="1" applyFont="1" applyFill="1" applyBorder="1" applyAlignment="1" applyProtection="1">
      <alignment horizontal="left" vertical="center"/>
      <protection hidden="1"/>
    </xf>
    <xf numFmtId="0" fontId="191" fillId="21" borderId="360" xfId="1" applyFont="1" applyFill="1" applyBorder="1" applyAlignment="1">
      <alignment horizontal="left" vertical="center"/>
    </xf>
    <xf numFmtId="1" fontId="192" fillId="40" borderId="360" xfId="1" applyNumberFormat="1" applyFont="1" applyFill="1" applyBorder="1" applyAlignment="1" applyProtection="1">
      <alignment horizontal="left" vertical="center"/>
      <protection hidden="1"/>
    </xf>
    <xf numFmtId="1" fontId="79" fillId="40" borderId="360" xfId="1" applyNumberFormat="1" applyFont="1" applyFill="1" applyBorder="1" applyAlignment="1" applyProtection="1">
      <alignment horizontal="left" vertical="center"/>
      <protection hidden="1"/>
    </xf>
    <xf numFmtId="179" fontId="21" fillId="7" borderId="0" xfId="1" applyNumberFormat="1" applyFont="1" applyFill="1" applyAlignment="1">
      <alignment horizontal="center" vertical="center"/>
    </xf>
    <xf numFmtId="2" fontId="113" fillId="94" borderId="78" xfId="1" applyNumberFormat="1" applyFont="1" applyFill="1" applyBorder="1" applyAlignment="1" applyProtection="1">
      <alignment horizontal="center" vertical="center"/>
      <protection hidden="1"/>
    </xf>
    <xf numFmtId="167" fontId="24" fillId="22" borderId="9" xfId="0" applyNumberFormat="1" applyFont="1" applyFill="1" applyBorder="1" applyAlignment="1">
      <alignment horizontal="center" vertical="center"/>
    </xf>
    <xf numFmtId="0" fontId="178" fillId="15" borderId="2" xfId="4" applyFont="1" applyFill="1" applyBorder="1" applyAlignment="1">
      <alignment horizontal="left" vertical="center"/>
    </xf>
    <xf numFmtId="0" fontId="1" fillId="15" borderId="0" xfId="4" applyFill="1" applyAlignment="1">
      <alignment horizontal="left" vertical="center"/>
    </xf>
    <xf numFmtId="179" fontId="341" fillId="110" borderId="0" xfId="9" applyNumberFormat="1" applyFont="1" applyFill="1" applyAlignment="1">
      <alignment horizontal="center" vertical="center"/>
    </xf>
    <xf numFmtId="0" fontId="545" fillId="8" borderId="0" xfId="1" applyFont="1" applyFill="1" applyAlignment="1" applyProtection="1">
      <alignment horizontal="center" vertical="center"/>
      <protection hidden="1"/>
    </xf>
    <xf numFmtId="0" fontId="400" fillId="8" borderId="0" xfId="17" applyFont="1" applyFill="1" applyAlignment="1" applyProtection="1">
      <alignment horizontal="left" vertical="center"/>
      <protection hidden="1"/>
    </xf>
    <xf numFmtId="0" fontId="22" fillId="89" borderId="0" xfId="1" applyFont="1" applyFill="1" applyAlignment="1" applyProtection="1">
      <alignment vertical="center"/>
      <protection hidden="1"/>
    </xf>
    <xf numFmtId="0" fontId="0" fillId="8" borderId="266" xfId="0" applyFill="1" applyBorder="1"/>
    <xf numFmtId="0" fontId="0" fillId="22" borderId="0" xfId="0" applyFill="1" applyAlignment="1">
      <alignment horizontal="center" vertical="center"/>
    </xf>
    <xf numFmtId="0" fontId="0" fillId="0" borderId="0" xfId="0" applyAlignment="1">
      <alignment horizontal="center" vertical="center"/>
    </xf>
    <xf numFmtId="0" fontId="83" fillId="0" borderId="266" xfId="1" applyFont="1" applyBorder="1" applyAlignment="1" applyProtection="1">
      <alignment horizontal="center" vertical="center"/>
      <protection hidden="1"/>
    </xf>
    <xf numFmtId="0" fontId="374" fillId="8" borderId="0" xfId="5" applyFont="1" applyFill="1" applyAlignment="1">
      <alignment horizontal="left" vertical="center"/>
    </xf>
    <xf numFmtId="0" fontId="0" fillId="0" borderId="353" xfId="0" applyBorder="1" applyAlignment="1">
      <alignment horizontal="center" vertical="center"/>
    </xf>
    <xf numFmtId="0" fontId="546" fillId="0" borderId="366" xfId="8" applyFont="1" applyBorder="1" applyAlignment="1">
      <alignment horizontal="center" vertical="center"/>
    </xf>
    <xf numFmtId="0" fontId="546" fillId="0" borderId="229" xfId="8" applyFont="1" applyBorder="1" applyAlignment="1">
      <alignment horizontal="center" vertical="center"/>
    </xf>
    <xf numFmtId="0" fontId="176" fillId="0" borderId="0" xfId="5" applyFont="1" applyAlignment="1">
      <alignment vertical="center"/>
    </xf>
    <xf numFmtId="0" fontId="134" fillId="8" borderId="266" xfId="1" applyFont="1" applyFill="1" applyBorder="1" applyAlignment="1" applyProtection="1">
      <alignment horizontal="center" vertical="center"/>
      <protection hidden="1"/>
    </xf>
    <xf numFmtId="0" fontId="547" fillId="0" borderId="266" xfId="5" applyFont="1" applyBorder="1" applyAlignment="1">
      <alignment horizontal="center" vertical="center"/>
    </xf>
    <xf numFmtId="0" fontId="387" fillId="8" borderId="266" xfId="1" applyFont="1" applyFill="1" applyBorder="1" applyAlignment="1" applyProtection="1">
      <alignment horizontal="center" vertical="center"/>
      <protection hidden="1"/>
    </xf>
    <xf numFmtId="0" fontId="113" fillId="8" borderId="0" xfId="5" applyFont="1" applyFill="1" applyAlignment="1">
      <alignment vertical="center"/>
    </xf>
    <xf numFmtId="0" fontId="375" fillId="8" borderId="266" xfId="1" applyFont="1" applyFill="1" applyBorder="1" applyAlignment="1" applyProtection="1">
      <alignment horizontal="center" vertical="center"/>
      <protection hidden="1"/>
    </xf>
    <xf numFmtId="0" fontId="537" fillId="8" borderId="16" xfId="1" applyFont="1" applyFill="1" applyBorder="1" applyAlignment="1" applyProtection="1">
      <alignment horizontal="right" vertical="center"/>
      <protection locked="0"/>
    </xf>
    <xf numFmtId="0" fontId="110" fillId="0" borderId="267" xfId="0" applyFont="1" applyBorder="1"/>
    <xf numFmtId="0" fontId="0" fillId="8" borderId="350" xfId="0" applyFill="1" applyBorder="1" applyAlignment="1">
      <alignment vertical="center" wrapText="1"/>
    </xf>
    <xf numFmtId="0" fontId="4" fillId="8" borderId="350" xfId="0" applyFont="1" applyFill="1" applyBorder="1" applyAlignment="1">
      <alignment vertical="center" wrapText="1"/>
    </xf>
    <xf numFmtId="0" fontId="0" fillId="0" borderId="266" xfId="0" applyBorder="1" applyAlignment="1">
      <alignment horizontal="center" vertical="center"/>
    </xf>
    <xf numFmtId="0" fontId="537" fillId="8" borderId="267" xfId="1" applyFont="1" applyFill="1" applyBorder="1" applyAlignment="1" applyProtection="1">
      <alignment horizontal="left" vertical="center"/>
      <protection locked="0"/>
    </xf>
    <xf numFmtId="0" fontId="0" fillId="8" borderId="365" xfId="0" applyFill="1" applyBorder="1" applyAlignment="1">
      <alignment vertical="center" wrapText="1"/>
    </xf>
    <xf numFmtId="0" fontId="4" fillId="8" borderId="365" xfId="0" applyFont="1" applyFill="1" applyBorder="1" applyAlignment="1">
      <alignment vertical="center" wrapText="1"/>
    </xf>
    <xf numFmtId="0" fontId="83" fillId="44" borderId="266" xfId="1" applyFont="1" applyFill="1" applyBorder="1" applyAlignment="1" applyProtection="1">
      <alignment horizontal="center" vertical="center"/>
      <protection hidden="1"/>
    </xf>
    <xf numFmtId="0" fontId="65" fillId="8" borderId="266" xfId="1" applyFont="1" applyFill="1" applyBorder="1" applyAlignment="1" applyProtection="1">
      <alignment horizontal="center" vertical="center"/>
      <protection hidden="1"/>
    </xf>
    <xf numFmtId="0" fontId="547" fillId="44" borderId="266" xfId="5" applyFont="1" applyFill="1" applyBorder="1" applyAlignment="1">
      <alignment horizontal="center" vertical="center"/>
    </xf>
    <xf numFmtId="0" fontId="546" fillId="8" borderId="267" xfId="8" applyFont="1" applyFill="1" applyBorder="1" applyAlignment="1">
      <alignment vertical="center"/>
    </xf>
    <xf numFmtId="0" fontId="110" fillId="8" borderId="267" xfId="0" applyFont="1" applyFill="1" applyBorder="1"/>
    <xf numFmtId="0" fontId="110" fillId="0" borderId="16" xfId="0" applyFont="1" applyBorder="1"/>
    <xf numFmtId="0" fontId="110" fillId="8" borderId="16" xfId="0" applyFont="1" applyFill="1" applyBorder="1" applyAlignment="1">
      <alignment horizontal="right"/>
    </xf>
    <xf numFmtId="0" fontId="0" fillId="0" borderId="35" xfId="0" applyBorder="1" applyAlignment="1">
      <alignment horizontal="center" vertical="center"/>
    </xf>
    <xf numFmtId="0" fontId="110" fillId="8" borderId="36" xfId="0" applyFont="1" applyFill="1" applyBorder="1" applyAlignment="1">
      <alignment horizontal="right"/>
    </xf>
    <xf numFmtId="0" fontId="110" fillId="8" borderId="37" xfId="0" applyFont="1" applyFill="1" applyBorder="1"/>
    <xf numFmtId="0" fontId="83" fillId="8" borderId="266" xfId="1" applyFont="1" applyFill="1" applyBorder="1" applyAlignment="1" applyProtection="1">
      <alignment horizontal="center" vertical="center"/>
      <protection hidden="1"/>
    </xf>
    <xf numFmtId="0" fontId="78" fillId="8" borderId="0" xfId="1" applyFont="1" applyFill="1" applyAlignment="1" applyProtection="1">
      <alignment vertical="center"/>
      <protection hidden="1"/>
    </xf>
    <xf numFmtId="0" fontId="35" fillId="8" borderId="0" xfId="1" applyFont="1" applyFill="1" applyAlignment="1" applyProtection="1">
      <alignment vertical="center"/>
      <protection hidden="1"/>
    </xf>
    <xf numFmtId="0" fontId="35" fillId="8" borderId="0" xfId="1" applyFont="1" applyFill="1" applyAlignment="1" applyProtection="1">
      <alignment horizontal="left" vertical="center"/>
      <protection hidden="1"/>
    </xf>
    <xf numFmtId="0" fontId="45" fillId="8" borderId="0" xfId="1" applyFont="1" applyFill="1" applyAlignment="1" applyProtection="1">
      <alignment horizontal="right" vertical="center"/>
      <protection hidden="1"/>
    </xf>
    <xf numFmtId="0" fontId="45" fillId="8" borderId="0" xfId="1" applyFont="1" applyFill="1" applyAlignment="1" applyProtection="1">
      <alignment vertical="center"/>
      <protection hidden="1"/>
    </xf>
    <xf numFmtId="0" fontId="548" fillId="2032" borderId="375" xfId="7" applyFont="1" applyFill="1" applyBorder="1" applyAlignment="1">
      <alignment horizontal="right" vertical="center"/>
    </xf>
    <xf numFmtId="0" fontId="548" fillId="2032" borderId="375" xfId="7" applyFont="1" applyFill="1" applyBorder="1" applyAlignment="1">
      <alignment horizontal="left" vertical="center"/>
    </xf>
    <xf numFmtId="1" fontId="548" fillId="2032" borderId="375" xfId="7" applyNumberFormat="1" applyFont="1" applyFill="1" applyBorder="1" applyAlignment="1">
      <alignment horizontal="right" vertical="center"/>
    </xf>
    <xf numFmtId="0" fontId="22" fillId="43" borderId="0" xfId="1" applyFont="1" applyFill="1" applyAlignment="1">
      <alignment horizontal="left" vertical="center"/>
    </xf>
    <xf numFmtId="0" fontId="2" fillId="43" borderId="0" xfId="1" applyFont="1" applyFill="1" applyAlignment="1">
      <alignment horizontal="right" vertical="center"/>
    </xf>
    <xf numFmtId="0" fontId="57" fillId="8" borderId="0" xfId="4" applyFont="1" applyFill="1" applyAlignment="1">
      <alignment horizontal="left" vertical="center"/>
    </xf>
    <xf numFmtId="0" fontId="57" fillId="8" borderId="0" xfId="4" applyFont="1" applyFill="1" applyAlignment="1">
      <alignment horizontal="right" vertical="center"/>
    </xf>
    <xf numFmtId="0" fontId="549" fillId="11" borderId="0" xfId="5" applyFont="1" applyFill="1" applyAlignment="1">
      <alignment horizontal="left" vertical="center"/>
    </xf>
    <xf numFmtId="0" fontId="103" fillId="11" borderId="0" xfId="5" applyFont="1" applyFill="1" applyAlignment="1">
      <alignment horizontal="left" vertical="center"/>
    </xf>
    <xf numFmtId="0" fontId="550" fillId="11" borderId="0" xfId="5" applyFont="1" applyFill="1" applyAlignment="1">
      <alignment horizontal="left" vertical="center"/>
    </xf>
    <xf numFmtId="0" fontId="54" fillId="2033" borderId="1" xfId="2" applyFont="1" applyFill="1" applyBorder="1" applyAlignment="1">
      <alignment horizontal="center" vertical="center"/>
    </xf>
    <xf numFmtId="0" fontId="0" fillId="2033" borderId="2" xfId="0" applyFill="1" applyBorder="1"/>
    <xf numFmtId="0" fontId="80" fillId="2033" borderId="2" xfId="29" applyFont="1" applyFill="1" applyBorder="1" applyAlignment="1" applyProtection="1">
      <alignment vertical="center"/>
      <protection locked="0"/>
    </xf>
    <xf numFmtId="0" fontId="80" fillId="2033" borderId="8" xfId="29" applyFont="1" applyFill="1" applyBorder="1" applyAlignment="1" applyProtection="1">
      <alignment vertical="center"/>
      <protection locked="0"/>
    </xf>
    <xf numFmtId="0" fontId="0" fillId="2033" borderId="0" xfId="0" applyFill="1"/>
    <xf numFmtId="0" fontId="338" fillId="2033" borderId="0" xfId="29" applyFont="1" applyFill="1" applyAlignment="1" applyProtection="1">
      <alignment vertical="center"/>
      <protection locked="0"/>
    </xf>
    <xf numFmtId="0" fontId="338" fillId="2033" borderId="9" xfId="29" applyFont="1" applyFill="1" applyBorder="1" applyAlignment="1" applyProtection="1">
      <alignment vertical="center"/>
      <protection locked="0"/>
    </xf>
    <xf numFmtId="0" fontId="551" fillId="2033" borderId="0" xfId="1" applyFont="1" applyFill="1" applyAlignment="1" applyProtection="1">
      <alignment horizontal="left" vertical="center"/>
      <protection locked="0"/>
    </xf>
    <xf numFmtId="0" fontId="21" fillId="2033" borderId="0" xfId="30" applyFont="1" applyFill="1" applyAlignment="1">
      <alignment horizontal="center" vertical="center"/>
    </xf>
    <xf numFmtId="0" fontId="21" fillId="2034" borderId="9" xfId="3" applyFont="1" applyFill="1" applyBorder="1" applyAlignment="1">
      <alignment vertical="center"/>
    </xf>
    <xf numFmtId="0" fontId="188" fillId="2033" borderId="0" xfId="29" applyFont="1" applyFill="1" applyAlignment="1" applyProtection="1">
      <alignment vertical="center"/>
      <protection locked="0"/>
    </xf>
    <xf numFmtId="0" fontId="338" fillId="2033" borderId="0" xfId="29" applyFont="1" applyFill="1" applyAlignment="1" applyProtection="1">
      <alignment vertical="center" wrapText="1"/>
      <protection locked="0"/>
    </xf>
    <xf numFmtId="0" fontId="338" fillId="8" borderId="0" xfId="29" applyFont="1" applyFill="1" applyAlignment="1" applyProtection="1">
      <alignment vertical="center" wrapText="1"/>
      <protection locked="0"/>
    </xf>
    <xf numFmtId="0" fontId="551" fillId="8" borderId="0" xfId="1" applyFont="1" applyFill="1" applyAlignment="1" applyProtection="1">
      <alignment horizontal="left" vertical="center"/>
      <protection locked="0"/>
    </xf>
    <xf numFmtId="0" fontId="35" fillId="8" borderId="0" xfId="1" applyFont="1" applyFill="1" applyAlignment="1">
      <alignment horizontal="right" vertical="center"/>
    </xf>
    <xf numFmtId="0" fontId="58" fillId="8" borderId="0" xfId="1" applyFont="1" applyFill="1" applyAlignment="1">
      <alignment horizontal="center" vertical="center"/>
    </xf>
    <xf numFmtId="0" fontId="113" fillId="8" borderId="0" xfId="1" applyFont="1" applyFill="1" applyAlignment="1">
      <alignment horizontal="right" vertical="center"/>
    </xf>
    <xf numFmtId="0" fontId="2" fillId="2" borderId="9" xfId="1" applyFont="1" applyFill="1" applyBorder="1" applyAlignment="1">
      <alignment horizontal="center" vertical="center"/>
    </xf>
    <xf numFmtId="0" fontId="21" fillId="8" borderId="0" xfId="30" applyFont="1" applyFill="1" applyAlignment="1">
      <alignment horizontal="center" vertical="center"/>
    </xf>
    <xf numFmtId="0" fontId="21" fillId="24" borderId="9" xfId="3" applyFont="1" applyFill="1" applyBorder="1" applyAlignment="1">
      <alignment vertical="center"/>
    </xf>
    <xf numFmtId="0" fontId="553" fillId="8" borderId="0" xfId="1" applyFont="1" applyFill="1" applyAlignment="1" applyProtection="1">
      <alignment horizontal="left" vertical="center"/>
      <protection locked="0"/>
    </xf>
    <xf numFmtId="0" fontId="1" fillId="8" borderId="0" xfId="9" applyFont="1" applyFill="1"/>
    <xf numFmtId="0" fontId="154" fillId="8" borderId="0" xfId="29" applyFont="1" applyFill="1" applyAlignment="1" applyProtection="1">
      <alignment horizontal="center" vertical="center"/>
      <protection locked="0"/>
    </xf>
    <xf numFmtId="0" fontId="31" fillId="68" borderId="0" xfId="1" applyFont="1" applyFill="1" applyAlignment="1" applyProtection="1">
      <alignment horizontal="center" vertical="center"/>
      <protection hidden="1"/>
    </xf>
    <xf numFmtId="0" fontId="554" fillId="8" borderId="0" xfId="29" applyFont="1" applyFill="1" applyAlignment="1" applyProtection="1">
      <alignment horizontal="center" vertical="center"/>
      <protection locked="0"/>
    </xf>
    <xf numFmtId="0" fontId="26" fillId="8" borderId="0" xfId="1" applyFont="1" applyFill="1" applyAlignment="1" applyProtection="1">
      <alignment horizontal="center" vertical="center"/>
      <protection hidden="1"/>
    </xf>
    <xf numFmtId="0" fontId="21" fillId="24" borderId="0" xfId="3" applyFont="1" applyFill="1" applyAlignment="1">
      <alignment vertical="center"/>
    </xf>
    <xf numFmtId="0" fontId="0" fillId="44" borderId="0" xfId="0" applyFill="1" applyAlignment="1">
      <alignment vertical="center"/>
    </xf>
    <xf numFmtId="0" fontId="26" fillId="7" borderId="0" xfId="0" applyFont="1" applyFill="1" applyAlignment="1">
      <alignment horizontal="center" vertical="center"/>
    </xf>
    <xf numFmtId="0" fontId="21" fillId="24" borderId="0" xfId="3" applyFont="1" applyFill="1" applyAlignment="1">
      <alignment horizontal="center" vertical="center"/>
    </xf>
    <xf numFmtId="0" fontId="21" fillId="8" borderId="0" xfId="1" applyFont="1" applyFill="1" applyAlignment="1" applyProtection="1">
      <alignment vertical="center"/>
      <protection hidden="1"/>
    </xf>
    <xf numFmtId="0" fontId="38" fillId="8" borderId="0" xfId="1" applyFont="1" applyFill="1" applyAlignment="1">
      <alignment horizontal="center" vertical="center" wrapText="1"/>
    </xf>
    <xf numFmtId="0" fontId="74" fillId="24" borderId="0" xfId="3" applyFont="1" applyFill="1" applyAlignment="1">
      <alignment horizontal="center" vertical="center" wrapText="1"/>
    </xf>
    <xf numFmtId="0" fontId="72" fillId="0" borderId="0" xfId="0" applyFont="1" applyAlignment="1">
      <alignment horizontal="center" vertical="center"/>
    </xf>
    <xf numFmtId="0" fontId="555" fillId="8" borderId="0" xfId="0" applyFont="1" applyFill="1" applyAlignment="1">
      <alignment vertical="center"/>
    </xf>
    <xf numFmtId="0" fontId="21" fillId="7" borderId="0" xfId="3" applyFont="1" applyFill="1" applyAlignment="1">
      <alignment horizontal="center"/>
    </xf>
    <xf numFmtId="0" fontId="26" fillId="2033" borderId="9" xfId="1" applyFont="1" applyFill="1" applyBorder="1" applyAlignment="1" applyProtection="1">
      <alignment horizontal="center" vertical="center"/>
      <protection hidden="1"/>
    </xf>
    <xf numFmtId="0" fontId="21" fillId="7" borderId="0" xfId="3" applyFont="1" applyFill="1"/>
    <xf numFmtId="0" fontId="13" fillId="2033" borderId="9" xfId="1" applyFont="1" applyFill="1" applyBorder="1" applyAlignment="1" applyProtection="1">
      <alignment horizontal="center" vertical="center"/>
      <protection hidden="1"/>
    </xf>
    <xf numFmtId="0" fontId="555" fillId="7" borderId="0" xfId="0" applyFont="1" applyFill="1" applyAlignment="1">
      <alignment vertical="center"/>
    </xf>
    <xf numFmtId="0" fontId="13" fillId="2037" borderId="0" xfId="30" applyFont="1" applyFill="1" applyAlignment="1">
      <alignment horizontal="center" vertical="center"/>
    </xf>
    <xf numFmtId="0" fontId="555" fillId="8" borderId="6" xfId="0" applyFont="1" applyFill="1" applyBorder="1" applyAlignment="1">
      <alignment vertical="center"/>
    </xf>
    <xf numFmtId="0" fontId="97" fillId="127" borderId="0" xfId="1" applyFont="1" applyFill="1" applyAlignment="1" applyProtection="1">
      <alignment horizontal="right" vertical="center"/>
      <protection locked="0"/>
    </xf>
    <xf numFmtId="0" fontId="24" fillId="7" borderId="0" xfId="3" applyFont="1" applyFill="1" applyAlignment="1">
      <alignment horizontal="right" vertical="center"/>
    </xf>
    <xf numFmtId="0" fontId="24" fillId="7" borderId="0" xfId="0" applyFont="1" applyFill="1" applyAlignment="1">
      <alignment horizontal="center" vertical="center"/>
    </xf>
    <xf numFmtId="0" fontId="147" fillId="8" borderId="9" xfId="1" applyFont="1" applyFill="1" applyBorder="1" applyAlignment="1" applyProtection="1">
      <alignment horizontal="left" vertical="center"/>
      <protection locked="0"/>
    </xf>
    <xf numFmtId="0" fontId="97" fillId="61" borderId="0" xfId="0" applyFont="1" applyFill="1" applyAlignment="1">
      <alignment horizontal="left" vertical="center"/>
    </xf>
    <xf numFmtId="0" fontId="24" fillId="7" borderId="0" xfId="0" applyFont="1" applyFill="1" applyAlignment="1">
      <alignment horizontal="right" vertical="center"/>
    </xf>
    <xf numFmtId="0" fontId="341" fillId="7" borderId="0" xfId="0" applyFont="1" applyFill="1" applyAlignment="1">
      <alignment vertical="center"/>
    </xf>
    <xf numFmtId="0" fontId="2" fillId="2" borderId="0" xfId="1" applyFont="1" applyFill="1" applyAlignment="1">
      <alignment horizontal="left" vertical="center"/>
    </xf>
    <xf numFmtId="0" fontId="184" fillId="61" borderId="0" xfId="0" applyFont="1" applyFill="1" applyAlignment="1">
      <alignment horizontal="left" vertical="center"/>
    </xf>
    <xf numFmtId="0" fontId="184" fillId="61" borderId="0" xfId="0" applyFont="1" applyFill="1" applyAlignment="1">
      <alignment horizontal="right" vertical="center"/>
    </xf>
    <xf numFmtId="0" fontId="2" fillId="2" borderId="0" xfId="0" applyFont="1" applyFill="1" applyAlignment="1">
      <alignment horizontal="left" vertical="center"/>
    </xf>
    <xf numFmtId="1" fontId="24" fillId="127" borderId="9" xfId="1" applyNumberFormat="1" applyFont="1" applyFill="1" applyBorder="1" applyAlignment="1" applyProtection="1">
      <alignment horizontal="center" vertical="center"/>
      <protection locked="0"/>
    </xf>
    <xf numFmtId="0" fontId="97" fillId="49" borderId="0" xfId="0" applyFont="1" applyFill="1" applyAlignment="1">
      <alignment horizontal="left" vertical="center"/>
    </xf>
    <xf numFmtId="0" fontId="95" fillId="61" borderId="0" xfId="0" applyFont="1" applyFill="1" applyAlignment="1">
      <alignment horizontal="right" vertical="center"/>
    </xf>
    <xf numFmtId="189" fontId="13" fillId="2036" borderId="0" xfId="30" applyNumberFormat="1" applyFont="1" applyFill="1" applyAlignment="1">
      <alignment horizontal="center" vertical="center"/>
    </xf>
    <xf numFmtId="0" fontId="54" fillId="23" borderId="0" xfId="3" applyFont="1" applyFill="1" applyAlignment="1">
      <alignment horizontal="left"/>
    </xf>
    <xf numFmtId="0" fontId="184" fillId="61" borderId="0" xfId="0" applyFont="1" applyFill="1" applyAlignment="1">
      <alignment vertical="center"/>
    </xf>
    <xf numFmtId="0" fontId="184" fillId="49" borderId="0" xfId="0" applyFont="1" applyFill="1" applyAlignment="1">
      <alignment horizontal="left" vertical="center"/>
    </xf>
    <xf numFmtId="0" fontId="184" fillId="49" borderId="0" xfId="0" applyFont="1" applyFill="1" applyAlignment="1">
      <alignment horizontal="right" vertical="center"/>
    </xf>
    <xf numFmtId="0" fontId="95" fillId="49" borderId="0" xfId="0" applyFont="1" applyFill="1" applyAlignment="1">
      <alignment horizontal="right" vertical="center"/>
    </xf>
    <xf numFmtId="0" fontId="54" fillId="2039" borderId="0" xfId="3" applyFont="1" applyFill="1" applyAlignment="1">
      <alignment horizontal="left"/>
    </xf>
    <xf numFmtId="0" fontId="184" fillId="49" borderId="0" xfId="0" applyFont="1" applyFill="1" applyAlignment="1">
      <alignment vertical="center"/>
    </xf>
    <xf numFmtId="0" fontId="91" fillId="3" borderId="6" xfId="6" applyFont="1" applyFill="1" applyBorder="1" applyAlignment="1">
      <alignment horizontal="center" vertical="center"/>
    </xf>
    <xf numFmtId="0" fontId="91" fillId="3" borderId="0" xfId="6" applyFont="1" applyFill="1" applyAlignment="1">
      <alignment horizontal="center" vertical="center"/>
    </xf>
    <xf numFmtId="0" fontId="91" fillId="3" borderId="9" xfId="6" applyFont="1" applyFill="1" applyBorder="1" applyAlignment="1">
      <alignment horizontal="center" vertical="center"/>
    </xf>
    <xf numFmtId="0" fontId="97" fillId="0" borderId="0" xfId="1" applyFont="1" applyAlignment="1" applyProtection="1">
      <alignment horizontal="right" vertical="center"/>
      <protection locked="0"/>
    </xf>
    <xf numFmtId="0" fontId="0" fillId="0" borderId="6" xfId="0" applyBorder="1" applyAlignment="1">
      <alignment vertical="center"/>
    </xf>
    <xf numFmtId="0" fontId="95" fillId="61" borderId="0" xfId="0" applyFont="1" applyFill="1" applyAlignment="1">
      <alignment horizontal="left" vertical="center"/>
    </xf>
    <xf numFmtId="0" fontId="95" fillId="49" borderId="0" xfId="0" applyFont="1" applyFill="1" applyAlignment="1">
      <alignment horizontal="left" vertical="center"/>
    </xf>
    <xf numFmtId="0" fontId="154" fillId="16" borderId="0" xfId="3" applyFont="1" applyFill="1" applyAlignment="1">
      <alignment horizontal="center" vertical="center" wrapText="1"/>
    </xf>
    <xf numFmtId="0" fontId="209" fillId="89" borderId="0" xfId="1" applyFont="1" applyFill="1" applyAlignment="1">
      <alignment horizontal="center" vertical="center"/>
    </xf>
    <xf numFmtId="0" fontId="28" fillId="7" borderId="52" xfId="1" applyFont="1" applyFill="1" applyBorder="1" applyAlignment="1">
      <alignment horizontal="center" vertical="center"/>
    </xf>
    <xf numFmtId="0" fontId="28" fillId="7" borderId="5" xfId="1" applyFont="1" applyFill="1" applyBorder="1" applyAlignment="1">
      <alignment horizontal="center" vertical="center"/>
    </xf>
    <xf numFmtId="0" fontId="28" fillId="7" borderId="103" xfId="1" applyFont="1" applyFill="1" applyBorder="1" applyAlignment="1">
      <alignment horizontal="center" vertical="center"/>
    </xf>
    <xf numFmtId="0" fontId="57" fillId="8" borderId="32" xfId="14" applyFont="1" applyFill="1" applyBorder="1" applyAlignment="1">
      <alignment horizontal="center" vertical="center" wrapText="1"/>
    </xf>
    <xf numFmtId="0" fontId="57" fillId="8" borderId="35" xfId="14" applyFont="1" applyFill="1" applyBorder="1" applyAlignment="1">
      <alignment horizontal="center" vertical="center" wrapText="1"/>
    </xf>
    <xf numFmtId="1" fontId="38" fillId="21" borderId="32" xfId="5" applyNumberFormat="1" applyFont="1" applyFill="1" applyBorder="1" applyAlignment="1">
      <alignment horizontal="center" vertical="center"/>
    </xf>
    <xf numFmtId="0" fontId="26" fillId="8" borderId="7" xfId="2" applyFont="1" applyFill="1" applyBorder="1" applyAlignment="1">
      <alignment horizontal="center"/>
    </xf>
    <xf numFmtId="0" fontId="26" fillId="8" borderId="2" xfId="2" applyFont="1" applyFill="1" applyBorder="1" applyAlignment="1">
      <alignment horizontal="center"/>
    </xf>
    <xf numFmtId="0" fontId="88" fillId="8" borderId="6" xfId="2" applyFont="1" applyFill="1" applyBorder="1" applyAlignment="1">
      <alignment horizontal="left" vertical="center" wrapText="1"/>
    </xf>
    <xf numFmtId="0" fontId="88" fillId="8" borderId="0" xfId="2" applyFont="1" applyFill="1" applyAlignment="1">
      <alignment horizontal="left" vertical="center" wrapText="1"/>
    </xf>
    <xf numFmtId="0" fontId="88" fillId="8" borderId="9" xfId="2" applyFont="1" applyFill="1" applyBorder="1" applyAlignment="1">
      <alignment horizontal="left" vertical="center" wrapText="1"/>
    </xf>
    <xf numFmtId="0" fontId="88" fillId="8" borderId="58" xfId="2" applyFont="1" applyFill="1" applyBorder="1" applyAlignment="1">
      <alignment horizontal="left" vertical="center" wrapText="1"/>
    </xf>
    <xf numFmtId="0" fontId="88" fillId="8" borderId="3" xfId="2" applyFont="1" applyFill="1" applyBorder="1" applyAlignment="1">
      <alignment horizontal="left" vertical="center" wrapText="1"/>
    </xf>
    <xf numFmtId="0" fontId="88" fillId="8" borderId="59" xfId="2" applyFont="1" applyFill="1" applyBorder="1" applyAlignment="1">
      <alignment horizontal="left" vertical="center" wrapText="1"/>
    </xf>
    <xf numFmtId="169" fontId="290" fillId="28" borderId="0" xfId="29" applyNumberFormat="1" applyFont="1" applyFill="1" applyAlignment="1">
      <alignment horizontal="center" vertical="center"/>
    </xf>
    <xf numFmtId="0" fontId="44" fillId="46" borderId="0" xfId="16" applyFont="1" applyFill="1" applyAlignment="1" applyProtection="1">
      <alignment horizontal="center" vertical="center"/>
      <protection locked="0"/>
    </xf>
    <xf numFmtId="0" fontId="337" fillId="16" borderId="0" xfId="26" applyFont="1" applyFill="1" applyAlignment="1">
      <alignment horizontal="left" vertical="center" wrapText="1"/>
    </xf>
    <xf numFmtId="0" fontId="80" fillId="16" borderId="0" xfId="26" applyFont="1" applyFill="1" applyAlignment="1">
      <alignment horizontal="left" vertical="center" wrapText="1"/>
    </xf>
    <xf numFmtId="0" fontId="338" fillId="16" borderId="0" xfId="26" applyFont="1" applyFill="1" applyAlignment="1">
      <alignment horizontal="left" vertical="center" wrapText="1"/>
    </xf>
    <xf numFmtId="0" fontId="176" fillId="0" borderId="287" xfId="5" applyFont="1" applyBorder="1" applyAlignment="1">
      <alignment horizontal="center" vertical="center"/>
    </xf>
    <xf numFmtId="0" fontId="176" fillId="0" borderId="154" xfId="5" applyFont="1" applyBorder="1" applyAlignment="1">
      <alignment horizontal="center" vertical="center"/>
    </xf>
    <xf numFmtId="0" fontId="176" fillId="0" borderId="197" xfId="5" applyFont="1" applyBorder="1" applyAlignment="1">
      <alignment horizontal="center" vertical="center"/>
    </xf>
    <xf numFmtId="0" fontId="194" fillId="22" borderId="0" xfId="1" applyFont="1" applyFill="1" applyAlignment="1" applyProtection="1">
      <alignment horizontal="center" vertical="center"/>
      <protection hidden="1"/>
    </xf>
    <xf numFmtId="0" fontId="174" fillId="89" borderId="9" xfId="1" applyFont="1" applyFill="1" applyBorder="1" applyAlignment="1">
      <alignment horizontal="center" vertical="center"/>
    </xf>
    <xf numFmtId="0" fontId="41" fillId="68" borderId="7" xfId="3" applyFont="1" applyFill="1" applyBorder="1" applyAlignment="1">
      <alignment horizontal="center" vertical="center"/>
    </xf>
    <xf numFmtId="0" fontId="41" fillId="68" borderId="2" xfId="3" applyFont="1" applyFill="1" applyBorder="1" applyAlignment="1">
      <alignment horizontal="center" vertical="center"/>
    </xf>
    <xf numFmtId="0" fontId="41" fillId="68" borderId="8" xfId="3" applyFont="1" applyFill="1" applyBorder="1" applyAlignment="1">
      <alignment horizontal="center" vertical="center"/>
    </xf>
    <xf numFmtId="0" fontId="41" fillId="68" borderId="6" xfId="3" applyFont="1" applyFill="1" applyBorder="1" applyAlignment="1">
      <alignment horizontal="center" vertical="center"/>
    </xf>
    <xf numFmtId="0" fontId="41" fillId="68" borderId="0" xfId="3" applyFont="1" applyFill="1" applyAlignment="1">
      <alignment horizontal="center" vertical="center"/>
    </xf>
    <xf numFmtId="0" fontId="41" fillId="68" borderId="9" xfId="3" applyFont="1" applyFill="1" applyBorder="1" applyAlignment="1">
      <alignment horizontal="center" vertical="center"/>
    </xf>
    <xf numFmtId="0" fontId="21" fillId="7" borderId="0" xfId="3" applyFont="1" applyFill="1" applyAlignment="1">
      <alignment horizontal="center"/>
    </xf>
    <xf numFmtId="0" fontId="21" fillId="7" borderId="0" xfId="0" applyFont="1" applyFill="1" applyAlignment="1">
      <alignment horizontal="center" vertical="center" wrapText="1"/>
    </xf>
    <xf numFmtId="0" fontId="329" fillId="2033" borderId="2" xfId="29" applyFont="1" applyFill="1" applyBorder="1" applyAlignment="1" applyProtection="1">
      <alignment horizontal="center" vertical="center"/>
      <protection locked="0"/>
    </xf>
    <xf numFmtId="0" fontId="329" fillId="2033" borderId="0" xfId="29" applyFont="1" applyFill="1" applyAlignment="1" applyProtection="1">
      <alignment horizontal="center" vertical="center"/>
      <protection locked="0"/>
    </xf>
    <xf numFmtId="0" fontId="552" fillId="68" borderId="0" xfId="1" applyFont="1" applyFill="1" applyAlignment="1" applyProtection="1">
      <alignment horizontal="center" vertical="center" wrapText="1"/>
      <protection locked="0"/>
    </xf>
    <xf numFmtId="0" fontId="38" fillId="24" borderId="0" xfId="3" applyFont="1" applyFill="1" applyAlignment="1">
      <alignment horizontal="center" vertical="center"/>
    </xf>
    <xf numFmtId="0" fontId="35" fillId="8" borderId="0" xfId="1" applyFont="1" applyFill="1" applyAlignment="1">
      <alignment horizontal="center" vertical="center" wrapText="1"/>
    </xf>
    <xf numFmtId="0" fontId="31" fillId="68" borderId="0" xfId="1" applyFont="1" applyFill="1" applyAlignment="1" applyProtection="1">
      <alignment horizontal="center" vertical="center" wrapText="1"/>
      <protection hidden="1"/>
    </xf>
    <xf numFmtId="0" fontId="74" fillId="8" borderId="0" xfId="1" applyFont="1" applyFill="1" applyAlignment="1" applyProtection="1">
      <alignment horizontal="left" wrapText="1"/>
      <protection hidden="1"/>
    </xf>
    <xf numFmtId="0" fontId="31" fillId="2035" borderId="0" xfId="3" applyFont="1" applyFill="1" applyAlignment="1">
      <alignment horizontal="center" vertical="center"/>
    </xf>
    <xf numFmtId="189" fontId="176" fillId="2036" borderId="0" xfId="30" applyNumberFormat="1" applyFont="1" applyFill="1" applyAlignment="1">
      <alignment horizontal="center" vertical="center"/>
    </xf>
    <xf numFmtId="0" fontId="48" fillId="2038" borderId="0" xfId="3" applyFont="1" applyFill="1" applyAlignment="1">
      <alignment horizontal="center" vertical="center" wrapText="1"/>
    </xf>
    <xf numFmtId="0" fontId="48" fillId="2038" borderId="9" xfId="3" applyFont="1" applyFill="1" applyBorder="1" applyAlignment="1">
      <alignment horizontal="center" vertical="center" wrapText="1"/>
    </xf>
    <xf numFmtId="0" fontId="74" fillId="8" borderId="0" xfId="30" applyFont="1" applyFill="1" applyAlignment="1">
      <alignment horizontal="center" vertical="center" wrapText="1"/>
    </xf>
    <xf numFmtId="0" fontId="113" fillId="8" borderId="0" xfId="30" applyFont="1" applyFill="1" applyAlignment="1">
      <alignment horizontal="center" vertical="center" wrapText="1"/>
    </xf>
    <xf numFmtId="0" fontId="5" fillId="3" borderId="0" xfId="3" applyFont="1" applyFill="1" applyAlignment="1">
      <alignment horizontal="center" vertical="center" wrapText="1"/>
    </xf>
    <xf numFmtId="0" fontId="41" fillId="68" borderId="0" xfId="30" applyFont="1" applyFill="1" applyAlignment="1">
      <alignment horizontal="center" vertical="center" wrapText="1"/>
    </xf>
    <xf numFmtId="0" fontId="553" fillId="8" borderId="0" xfId="1" applyFont="1" applyFill="1" applyAlignment="1" applyProtection="1">
      <alignment horizontal="center" vertical="center" wrapText="1"/>
      <protection locked="0"/>
    </xf>
    <xf numFmtId="0" fontId="13" fillId="4" borderId="353" xfId="5" applyFont="1" applyFill="1" applyBorder="1" applyAlignment="1" applyProtection="1">
      <alignment horizontal="center" vertical="center"/>
      <protection locked="0"/>
    </xf>
    <xf numFmtId="0" fontId="13" fillId="4" borderId="227" xfId="5" applyFont="1" applyFill="1" applyBorder="1" applyAlignment="1" applyProtection="1">
      <alignment horizontal="center" vertical="center"/>
      <protection locked="0"/>
    </xf>
    <xf numFmtId="0" fontId="13" fillId="4" borderId="229" xfId="5" applyFont="1" applyFill="1" applyBorder="1" applyAlignment="1" applyProtection="1">
      <alignment horizontal="center" vertical="center"/>
      <protection locked="0"/>
    </xf>
    <xf numFmtId="0" fontId="24" fillId="8" borderId="44" xfId="1" applyFont="1" applyFill="1" applyBorder="1" applyAlignment="1">
      <alignment horizontal="center" vertical="center" wrapText="1"/>
    </xf>
    <xf numFmtId="0" fontId="24" fillId="8" borderId="19" xfId="1" applyFont="1" applyFill="1" applyBorder="1" applyAlignment="1">
      <alignment horizontal="center" vertical="center" wrapText="1"/>
    </xf>
    <xf numFmtId="0" fontId="56" fillId="26" borderId="45" xfId="1" applyFont="1" applyFill="1" applyBorder="1" applyAlignment="1">
      <alignment horizontal="center" vertical="center" wrapText="1"/>
    </xf>
    <xf numFmtId="0" fontId="56" fillId="26" borderId="14" xfId="1" applyFont="1" applyFill="1" applyBorder="1" applyAlignment="1">
      <alignment horizontal="center" vertical="center" wrapText="1"/>
    </xf>
    <xf numFmtId="0" fontId="24" fillId="8" borderId="47" xfId="1" applyFont="1" applyFill="1" applyBorder="1" applyAlignment="1">
      <alignment horizontal="center" vertical="center" wrapText="1"/>
    </xf>
    <xf numFmtId="0" fontId="24" fillId="8" borderId="21" xfId="1" applyFont="1" applyFill="1" applyBorder="1" applyAlignment="1">
      <alignment horizontal="center" vertical="center" wrapText="1"/>
    </xf>
    <xf numFmtId="0" fontId="44" fillId="8" borderId="45" xfId="1" applyFont="1" applyFill="1" applyBorder="1" applyAlignment="1">
      <alignment horizontal="center" vertical="center" wrapText="1"/>
    </xf>
    <xf numFmtId="0" fontId="44" fillId="8" borderId="291" xfId="1" applyFont="1" applyFill="1" applyBorder="1" applyAlignment="1">
      <alignment horizontal="center" vertical="center" wrapText="1"/>
    </xf>
    <xf numFmtId="0" fontId="77" fillId="8" borderId="0" xfId="9" applyFont="1" applyFill="1" applyAlignment="1">
      <alignment horizontal="left" vertical="center" wrapText="1"/>
    </xf>
    <xf numFmtId="0" fontId="77" fillId="8" borderId="9" xfId="9" applyFont="1" applyFill="1" applyBorder="1" applyAlignment="1">
      <alignment horizontal="left" vertical="center" wrapText="1"/>
    </xf>
    <xf numFmtId="0" fontId="24" fillId="18" borderId="45" xfId="1" applyFont="1" applyFill="1" applyBorder="1" applyAlignment="1" applyProtection="1">
      <alignment horizontal="center" vertical="center" wrapText="1"/>
      <protection locked="0"/>
    </xf>
    <xf numFmtId="0" fontId="24" fillId="18" borderId="14" xfId="1" applyFont="1" applyFill="1" applyBorder="1" applyAlignment="1" applyProtection="1">
      <alignment horizontal="center" vertical="center" wrapText="1"/>
      <protection locked="0"/>
    </xf>
    <xf numFmtId="0" fontId="24" fillId="18" borderId="359" xfId="1" applyFont="1" applyFill="1" applyBorder="1" applyAlignment="1">
      <alignment horizontal="center" vertical="center" wrapText="1"/>
    </xf>
    <xf numFmtId="0" fontId="24" fillId="18" borderId="356" xfId="1" applyFont="1" applyFill="1" applyBorder="1" applyAlignment="1">
      <alignment horizontal="center" vertical="center" wrapText="1"/>
    </xf>
    <xf numFmtId="0" fontId="55" fillId="21" borderId="293" xfId="1" applyFont="1" applyFill="1" applyBorder="1" applyAlignment="1" applyProtection="1">
      <alignment horizontal="center" vertical="center" wrapText="1"/>
      <protection hidden="1"/>
    </xf>
    <xf numFmtId="0" fontId="55" fillId="21" borderId="357" xfId="1" applyFont="1" applyFill="1" applyBorder="1" applyAlignment="1" applyProtection="1">
      <alignment horizontal="center" vertical="center" wrapText="1"/>
      <protection hidden="1"/>
    </xf>
    <xf numFmtId="0" fontId="24" fillId="8" borderId="358" xfId="1" applyFont="1" applyFill="1" applyBorder="1" applyAlignment="1">
      <alignment horizontal="center" vertical="center" wrapText="1"/>
    </xf>
    <xf numFmtId="0" fontId="24" fillId="8" borderId="355" xfId="1" applyFont="1" applyFill="1" applyBorder="1" applyAlignment="1">
      <alignment horizontal="center" vertical="center" wrapText="1"/>
    </xf>
    <xf numFmtId="0" fontId="24" fillId="8" borderId="291" xfId="1" applyFont="1" applyFill="1" applyBorder="1" applyAlignment="1">
      <alignment horizontal="center" vertical="center" wrapText="1"/>
    </xf>
    <xf numFmtId="0" fontId="24" fillId="8" borderId="349" xfId="1" applyFont="1" applyFill="1" applyBorder="1" applyAlignment="1">
      <alignment horizontal="center" vertical="center" wrapText="1"/>
    </xf>
    <xf numFmtId="0" fontId="24" fillId="18" borderId="26" xfId="1" applyFont="1" applyFill="1" applyBorder="1" applyAlignment="1">
      <alignment horizontal="center" vertical="center" wrapText="1"/>
    </xf>
    <xf numFmtId="0" fontId="24" fillId="18" borderId="15" xfId="1" applyFont="1" applyFill="1" applyBorder="1" applyAlignment="1">
      <alignment horizontal="center" vertical="center" wrapText="1"/>
    </xf>
    <xf numFmtId="0" fontId="55" fillId="21" borderId="92" xfId="1" applyFont="1" applyFill="1" applyBorder="1" applyAlignment="1" applyProtection="1">
      <alignment horizontal="center" vertical="center" wrapText="1"/>
      <protection hidden="1"/>
    </xf>
    <xf numFmtId="0" fontId="55" fillId="21" borderId="20" xfId="1" applyFont="1" applyFill="1" applyBorder="1" applyAlignment="1" applyProtection="1">
      <alignment horizontal="center" vertical="center" wrapText="1"/>
      <protection hidden="1"/>
    </xf>
    <xf numFmtId="165" fontId="3" fillId="8" borderId="14" xfId="0" applyNumberFormat="1" applyFont="1" applyFill="1" applyBorder="1" applyAlignment="1">
      <alignment horizontal="left" vertical="center"/>
    </xf>
    <xf numFmtId="0" fontId="48" fillId="7" borderId="11" xfId="0" applyFont="1" applyFill="1" applyBorder="1" applyAlignment="1">
      <alignment horizontal="center" vertical="center"/>
    </xf>
    <xf numFmtId="0" fontId="24" fillId="18" borderId="0" xfId="1" applyFont="1" applyFill="1" applyAlignment="1" applyProtection="1">
      <alignment horizontal="center" vertical="center" wrapText="1"/>
      <protection locked="0"/>
    </xf>
    <xf numFmtId="0" fontId="25" fillId="15" borderId="2" xfId="1" applyFont="1" applyFill="1" applyBorder="1" applyAlignment="1">
      <alignment horizontal="center" vertical="center" wrapText="1"/>
    </xf>
    <xf numFmtId="0" fontId="25" fillId="15" borderId="0" xfId="1" applyFont="1" applyFill="1" applyAlignment="1">
      <alignment horizontal="center" vertical="center" wrapText="1"/>
    </xf>
    <xf numFmtId="1" fontId="26" fillId="74" borderId="2" xfId="1" applyNumberFormat="1" applyFont="1" applyFill="1" applyBorder="1" applyAlignment="1" applyProtection="1">
      <alignment horizontal="center" vertical="center" wrapText="1"/>
      <protection hidden="1"/>
    </xf>
    <xf numFmtId="1" fontId="26" fillId="74" borderId="0" xfId="1" applyNumberFormat="1" applyFont="1" applyFill="1" applyAlignment="1" applyProtection="1">
      <alignment horizontal="center" vertical="center" wrapText="1"/>
      <protection hidden="1"/>
    </xf>
    <xf numFmtId="0" fontId="27" fillId="15" borderId="8" xfId="3" applyFont="1" applyFill="1" applyBorder="1" applyAlignment="1">
      <alignment horizontal="center" vertical="center" wrapText="1"/>
    </xf>
    <xf numFmtId="0" fontId="27" fillId="15" borderId="9" xfId="3" applyFont="1" applyFill="1" applyBorder="1" applyAlignment="1">
      <alignment horizontal="center" vertical="center" wrapText="1"/>
    </xf>
    <xf numFmtId="0" fontId="36" fillId="8" borderId="0" xfId="4" applyFont="1" applyFill="1" applyAlignment="1">
      <alignment horizontal="left" vertical="top" wrapText="1"/>
    </xf>
    <xf numFmtId="0" fontId="24" fillId="8" borderId="0" xfId="9" applyFont="1" applyFill="1" applyAlignment="1">
      <alignment horizontal="left" vertical="center" wrapText="1"/>
    </xf>
    <xf numFmtId="0" fontId="24" fillId="8" borderId="9" xfId="9" applyFont="1" applyFill="1" applyBorder="1" applyAlignment="1">
      <alignment horizontal="left" vertical="center" wrapText="1"/>
    </xf>
    <xf numFmtId="0" fontId="24" fillId="18" borderId="354" xfId="1" applyFont="1" applyFill="1" applyBorder="1" applyAlignment="1">
      <alignment horizontal="center" vertical="center" wrapText="1"/>
    </xf>
    <xf numFmtId="0" fontId="55" fillId="21" borderId="18" xfId="1" applyFont="1" applyFill="1" applyBorder="1" applyAlignment="1" applyProtection="1">
      <alignment horizontal="center" vertical="center" wrapText="1"/>
      <protection hidden="1"/>
    </xf>
    <xf numFmtId="0" fontId="24" fillId="8" borderId="16" xfId="1" applyFont="1" applyFill="1" applyBorder="1" applyAlignment="1">
      <alignment horizontal="center" vertical="center" wrapText="1"/>
    </xf>
    <xf numFmtId="0" fontId="56" fillId="26" borderId="0" xfId="1" applyFont="1" applyFill="1" applyAlignment="1">
      <alignment horizontal="center" vertical="center" wrapText="1"/>
    </xf>
    <xf numFmtId="0" fontId="24" fillId="8" borderId="9" xfId="1" applyFont="1" applyFill="1" applyBorder="1" applyAlignment="1">
      <alignment horizontal="center" vertical="center" wrapText="1"/>
    </xf>
    <xf numFmtId="0" fontId="31" fillId="3" borderId="158" xfId="1" applyFont="1" applyFill="1" applyBorder="1" applyAlignment="1">
      <alignment horizontal="center" vertical="center"/>
    </xf>
    <xf numFmtId="0" fontId="31" fillId="3" borderId="2" xfId="1" applyFont="1" applyFill="1" applyBorder="1" applyAlignment="1">
      <alignment horizontal="center" vertical="center"/>
    </xf>
    <xf numFmtId="0" fontId="31" fillId="3" borderId="32" xfId="1" applyFont="1" applyFill="1" applyBorder="1" applyAlignment="1">
      <alignment horizontal="center" vertical="center"/>
    </xf>
    <xf numFmtId="0" fontId="31" fillId="3" borderId="0" xfId="1" applyFont="1" applyFill="1" applyAlignment="1">
      <alignment horizontal="center" vertical="center"/>
    </xf>
    <xf numFmtId="0" fontId="22" fillId="3" borderId="32" xfId="3" applyFont="1" applyFill="1" applyBorder="1" applyAlignment="1">
      <alignment horizontal="center" vertical="center"/>
    </xf>
    <xf numFmtId="0" fontId="22" fillId="3" borderId="0" xfId="3" applyFont="1" applyFill="1" applyAlignment="1">
      <alignment horizontal="center" vertical="center"/>
    </xf>
    <xf numFmtId="0" fontId="5" fillId="3" borderId="0" xfId="3" applyFont="1" applyFill="1" applyAlignment="1">
      <alignment horizontal="center" vertical="center"/>
    </xf>
    <xf numFmtId="0" fontId="51" fillId="7" borderId="167" xfId="0" applyFont="1" applyFill="1" applyBorder="1" applyAlignment="1">
      <alignment horizontal="center" wrapText="1"/>
    </xf>
    <xf numFmtId="0" fontId="51" fillId="7" borderId="168" xfId="0" applyFont="1" applyFill="1" applyBorder="1" applyAlignment="1">
      <alignment horizontal="center" wrapText="1"/>
    </xf>
    <xf numFmtId="0" fontId="48" fillId="8" borderId="0" xfId="1" applyFont="1" applyFill="1" applyAlignment="1">
      <alignment horizontal="left" vertical="center" wrapText="1"/>
    </xf>
    <xf numFmtId="0" fontId="24" fillId="18" borderId="17" xfId="1" applyFont="1" applyFill="1" applyBorder="1" applyAlignment="1">
      <alignment horizontal="center" vertical="center" wrapText="1"/>
    </xf>
    <xf numFmtId="1" fontId="26" fillId="16" borderId="2" xfId="1" applyNumberFormat="1" applyFont="1" applyFill="1" applyBorder="1" applyAlignment="1" applyProtection="1">
      <alignment horizontal="center" vertical="center"/>
      <protection hidden="1"/>
    </xf>
    <xf numFmtId="1" fontId="26" fillId="16" borderId="0" xfId="1" applyNumberFormat="1" applyFont="1" applyFill="1" applyAlignment="1" applyProtection="1">
      <alignment horizontal="center" vertical="center"/>
      <protection hidden="1"/>
    </xf>
    <xf numFmtId="197" fontId="3" fillId="8" borderId="14" xfId="0" applyNumberFormat="1" applyFont="1" applyFill="1" applyBorder="1" applyAlignment="1">
      <alignment horizontal="left" vertical="center"/>
    </xf>
    <xf numFmtId="0" fontId="141" fillId="8" borderId="0" xfId="0" applyFont="1" applyFill="1" applyAlignment="1">
      <alignment horizontal="left" vertical="center" wrapText="1"/>
    </xf>
    <xf numFmtId="0" fontId="21" fillId="56" borderId="1" xfId="1" applyFont="1" applyFill="1" applyBorder="1" applyAlignment="1">
      <alignment horizontal="center" vertical="center"/>
    </xf>
    <xf numFmtId="0" fontId="21" fillId="56" borderId="150" xfId="1" applyFont="1" applyFill="1" applyBorder="1" applyAlignment="1">
      <alignment horizontal="center" vertical="center"/>
    </xf>
    <xf numFmtId="0" fontId="21" fillId="56" borderId="1" xfId="1" applyFont="1" applyFill="1" applyBorder="1" applyAlignment="1">
      <alignment horizontal="center" vertical="center" wrapText="1"/>
    </xf>
    <xf numFmtId="0" fontId="21" fillId="56" borderId="150" xfId="1" applyFont="1" applyFill="1" applyBorder="1" applyAlignment="1">
      <alignment horizontal="center" vertical="center" wrapText="1"/>
    </xf>
    <xf numFmtId="0" fontId="1" fillId="8" borderId="0" xfId="3" applyFill="1" applyAlignment="1">
      <alignment horizontal="left" vertical="center" wrapText="1"/>
    </xf>
    <xf numFmtId="179" fontId="185" fillId="8" borderId="171" xfId="14" applyNumberFormat="1" applyFont="1" applyFill="1" applyBorder="1" applyAlignment="1">
      <alignment horizontal="center" vertical="center" wrapText="1"/>
    </xf>
    <xf numFmtId="179" fontId="185" fillId="8" borderId="175" xfId="14" applyNumberFormat="1" applyFont="1" applyFill="1" applyBorder="1" applyAlignment="1">
      <alignment horizontal="center" vertical="center" wrapText="1"/>
    </xf>
    <xf numFmtId="0" fontId="48" fillId="8" borderId="172" xfId="1" applyFont="1" applyFill="1" applyBorder="1" applyAlignment="1">
      <alignment horizontal="center" vertical="center"/>
    </xf>
    <xf numFmtId="0" fontId="48" fillId="8" borderId="1" xfId="1" applyFont="1" applyFill="1" applyBorder="1" applyAlignment="1">
      <alignment horizontal="center" vertical="center"/>
    </xf>
    <xf numFmtId="0" fontId="48" fillId="8" borderId="176" xfId="1" applyFont="1" applyFill="1" applyBorder="1" applyAlignment="1">
      <alignment horizontal="center" vertical="center"/>
    </xf>
    <xf numFmtId="0" fontId="48" fillId="8" borderId="150" xfId="1" applyFont="1" applyFill="1" applyBorder="1" applyAlignment="1">
      <alignment horizontal="center" vertical="center"/>
    </xf>
    <xf numFmtId="0" fontId="21" fillId="8" borderId="1" xfId="1" applyFont="1" applyFill="1" applyBorder="1" applyAlignment="1">
      <alignment horizontal="center" vertical="center" wrapText="1"/>
    </xf>
    <xf numFmtId="0" fontId="21" fillId="8" borderId="150" xfId="1" applyFont="1" applyFill="1" applyBorder="1" applyAlignment="1">
      <alignment horizontal="center" vertical="center" wrapText="1"/>
    </xf>
    <xf numFmtId="0" fontId="24" fillId="8" borderId="1" xfId="1" applyFont="1" applyFill="1" applyBorder="1" applyAlignment="1">
      <alignment horizontal="center" vertical="center" wrapText="1"/>
    </xf>
    <xf numFmtId="0" fontId="24" fillId="8" borderId="150" xfId="1" applyFont="1" applyFill="1" applyBorder="1" applyAlignment="1">
      <alignment horizontal="center" vertical="center" wrapText="1"/>
    </xf>
    <xf numFmtId="0" fontId="186" fillId="8" borderId="72" xfId="0" applyFont="1" applyFill="1" applyBorder="1" applyAlignment="1">
      <alignment horizontal="center" vertical="center"/>
    </xf>
    <xf numFmtId="0" fontId="186" fillId="8" borderId="177" xfId="0" applyFont="1" applyFill="1" applyBorder="1" applyAlignment="1">
      <alignment horizontal="center" vertical="center"/>
    </xf>
    <xf numFmtId="0" fontId="71" fillId="8" borderId="1" xfId="0" applyFont="1" applyFill="1" applyBorder="1" applyAlignment="1">
      <alignment horizontal="center" vertical="center"/>
    </xf>
    <xf numFmtId="0" fontId="71" fillId="8" borderId="150" xfId="0" applyFont="1" applyFill="1" applyBorder="1" applyAlignment="1">
      <alignment horizontal="center" vertical="center"/>
    </xf>
    <xf numFmtId="0" fontId="71" fillId="8" borderId="74" xfId="0" applyFont="1" applyFill="1" applyBorder="1" applyAlignment="1">
      <alignment horizontal="center" vertical="center"/>
    </xf>
    <xf numFmtId="0" fontId="71" fillId="8" borderId="178" xfId="0" applyFont="1" applyFill="1" applyBorder="1" applyAlignment="1">
      <alignment horizontal="center" vertical="center"/>
    </xf>
    <xf numFmtId="0" fontId="71" fillId="7" borderId="169" xfId="4" applyFont="1" applyFill="1" applyBorder="1" applyAlignment="1">
      <alignment horizontal="center" vertical="center"/>
    </xf>
    <xf numFmtId="0" fontId="71" fillId="7" borderId="1" xfId="4" applyFont="1" applyFill="1" applyBorder="1" applyAlignment="1">
      <alignment horizontal="center" vertical="center"/>
    </xf>
    <xf numFmtId="0" fontId="71" fillId="7" borderId="170" xfId="4" applyFont="1" applyFill="1" applyBorder="1" applyAlignment="1">
      <alignment horizontal="center" vertical="center"/>
    </xf>
    <xf numFmtId="0" fontId="71" fillId="7" borderId="187" xfId="4" applyFont="1" applyFill="1" applyBorder="1" applyAlignment="1">
      <alignment horizontal="center" vertical="center"/>
    </xf>
    <xf numFmtId="0" fontId="71" fillId="7" borderId="364" xfId="4" applyFont="1" applyFill="1" applyBorder="1" applyAlignment="1">
      <alignment horizontal="center" vertical="center"/>
    </xf>
    <xf numFmtId="0" fontId="71" fillId="7" borderId="188" xfId="4" applyFont="1" applyFill="1" applyBorder="1" applyAlignment="1">
      <alignment horizontal="center" vertical="center"/>
    </xf>
    <xf numFmtId="0" fontId="97" fillId="7" borderId="169" xfId="1" applyFont="1" applyFill="1" applyBorder="1" applyAlignment="1">
      <alignment horizontal="center" vertical="center" wrapText="1"/>
    </xf>
    <xf numFmtId="0" fontId="97" fillId="7" borderId="1" xfId="1" applyFont="1" applyFill="1" applyBorder="1" applyAlignment="1">
      <alignment horizontal="center" vertical="center" wrapText="1"/>
    </xf>
    <xf numFmtId="0" fontId="97" fillId="7" borderId="185" xfId="1" applyFont="1" applyFill="1" applyBorder="1" applyAlignment="1">
      <alignment horizontal="center" vertical="center" wrapText="1"/>
    </xf>
    <xf numFmtId="0" fontId="97" fillId="7" borderId="173" xfId="1" applyFont="1" applyFill="1" applyBorder="1" applyAlignment="1">
      <alignment horizontal="center" vertical="center" wrapText="1"/>
    </xf>
    <xf numFmtId="0" fontId="97" fillId="7" borderId="150" xfId="1" applyFont="1" applyFill="1" applyBorder="1" applyAlignment="1">
      <alignment horizontal="center" vertical="center" wrapText="1"/>
    </xf>
    <xf numFmtId="0" fontId="97" fillId="7" borderId="189" xfId="1" applyFont="1" applyFill="1" applyBorder="1" applyAlignment="1">
      <alignment horizontal="center" vertical="center" wrapText="1"/>
    </xf>
    <xf numFmtId="0" fontId="21" fillId="7" borderId="186" xfId="9" applyFont="1" applyFill="1" applyBorder="1" applyAlignment="1">
      <alignment horizontal="center" vertical="center"/>
    </xf>
    <xf numFmtId="0" fontId="21" fillId="7" borderId="1" xfId="9" applyFont="1" applyFill="1" applyBorder="1" applyAlignment="1">
      <alignment horizontal="center" vertical="center"/>
    </xf>
    <xf numFmtId="0" fontId="21" fillId="7" borderId="190" xfId="9" applyFont="1" applyFill="1" applyBorder="1" applyAlignment="1">
      <alignment horizontal="center" vertical="center"/>
    </xf>
    <xf numFmtId="0" fontId="21" fillId="7" borderId="150" xfId="9" applyFont="1" applyFill="1" applyBorder="1" applyAlignment="1">
      <alignment horizontal="center" vertical="center"/>
    </xf>
    <xf numFmtId="0" fontId="3" fillId="44" borderId="1" xfId="9" applyFont="1" applyFill="1" applyBorder="1" applyAlignment="1">
      <alignment horizontal="center" vertical="center" wrapText="1"/>
    </xf>
    <xf numFmtId="0" fontId="196" fillId="16" borderId="0" xfId="4" applyFont="1" applyFill="1" applyAlignment="1">
      <alignment horizontal="center" vertical="center" wrapText="1"/>
    </xf>
    <xf numFmtId="0" fontId="1" fillId="13" borderId="7" xfId="3" applyFill="1" applyBorder="1" applyAlignment="1">
      <alignment horizontal="center" vertical="center" wrapText="1"/>
    </xf>
    <xf numFmtId="0" fontId="1" fillId="13" borderId="2" xfId="3" applyFill="1" applyBorder="1" applyAlignment="1">
      <alignment horizontal="center" vertical="center" wrapText="1"/>
    </xf>
    <xf numFmtId="0" fontId="1" fillId="13" borderId="8" xfId="3" applyFill="1" applyBorder="1" applyAlignment="1">
      <alignment horizontal="center" vertical="center" wrapText="1"/>
    </xf>
    <xf numFmtId="0" fontId="1" fillId="13" borderId="373" xfId="3" applyFill="1" applyBorder="1" applyAlignment="1">
      <alignment horizontal="center" vertical="center" wrapText="1"/>
    </xf>
    <xf numFmtId="0" fontId="1" fillId="13" borderId="350" xfId="3" applyFill="1" applyBorder="1" applyAlignment="1">
      <alignment horizontal="center" vertical="center" wrapText="1"/>
    </xf>
    <xf numFmtId="0" fontId="1" fillId="13" borderId="349" xfId="3" applyFill="1" applyBorder="1" applyAlignment="1">
      <alignment horizontal="center" vertical="center" wrapText="1"/>
    </xf>
    <xf numFmtId="0" fontId="78" fillId="16" borderId="0" xfId="13" applyFont="1" applyFill="1" applyAlignment="1">
      <alignment horizontal="center" vertical="center" wrapText="1"/>
    </xf>
    <xf numFmtId="0" fontId="173" fillId="89" borderId="6" xfId="1" applyFont="1" applyFill="1" applyBorder="1" applyAlignment="1" applyProtection="1">
      <alignment horizontal="left" vertical="center" wrapText="1"/>
      <protection hidden="1"/>
    </xf>
    <xf numFmtId="0" fontId="173" fillId="89" borderId="0" xfId="1" applyFont="1" applyFill="1" applyAlignment="1" applyProtection="1">
      <alignment horizontal="left" vertical="center" wrapText="1"/>
      <protection hidden="1"/>
    </xf>
    <xf numFmtId="0" fontId="173" fillId="89" borderId="9" xfId="1" applyFont="1" applyFill="1" applyBorder="1" applyAlignment="1" applyProtection="1">
      <alignment horizontal="left" vertical="center" wrapText="1"/>
      <protection hidden="1"/>
    </xf>
    <xf numFmtId="0" fontId="194" fillId="16" borderId="0" xfId="4" applyFont="1" applyFill="1" applyAlignment="1">
      <alignment horizontal="center" vertical="center" wrapText="1"/>
    </xf>
    <xf numFmtId="0" fontId="1" fillId="0" borderId="0" xfId="3" applyAlignment="1">
      <alignment horizontal="center" vertical="center" wrapText="1"/>
    </xf>
    <xf numFmtId="0" fontId="44" fillId="16" borderId="0" xfId="4" applyFont="1" applyFill="1" applyAlignment="1">
      <alignment horizontal="center" vertical="center" wrapText="1"/>
    </xf>
    <xf numFmtId="0" fontId="21" fillId="16" borderId="6" xfId="1" applyFont="1" applyFill="1" applyBorder="1" applyAlignment="1">
      <alignment horizontal="left" vertical="center" wrapText="1"/>
    </xf>
    <xf numFmtId="0" fontId="21" fillId="16" borderId="0" xfId="1" applyFont="1" applyFill="1" applyAlignment="1">
      <alignment horizontal="left" vertical="center" wrapText="1"/>
    </xf>
    <xf numFmtId="0" fontId="21" fillId="16" borderId="9" xfId="1" applyFont="1" applyFill="1" applyBorder="1" applyAlignment="1">
      <alignment horizontal="left" vertical="center" wrapText="1"/>
    </xf>
    <xf numFmtId="0" fontId="159" fillId="16" borderId="0" xfId="26" applyFont="1" applyFill="1" applyAlignment="1">
      <alignment horizontal="left" vertical="center" wrapText="1"/>
    </xf>
    <xf numFmtId="0" fontId="31" fillId="68" borderId="6" xfId="1" applyFont="1" applyFill="1" applyBorder="1" applyAlignment="1">
      <alignment horizontal="center" vertical="center"/>
    </xf>
    <xf numFmtId="0" fontId="31" fillId="68" borderId="0" xfId="1" applyFont="1" applyFill="1" applyAlignment="1">
      <alignment horizontal="center" vertical="center"/>
    </xf>
    <xf numFmtId="0" fontId="31" fillId="68" borderId="9" xfId="1" applyFont="1" applyFill="1" applyBorder="1" applyAlignment="1">
      <alignment horizontal="center" vertical="center"/>
    </xf>
    <xf numFmtId="0" fontId="157" fillId="16" borderId="0" xfId="26" applyFont="1" applyFill="1" applyAlignment="1">
      <alignment horizontal="left" vertical="center" wrapText="1"/>
    </xf>
    <xf numFmtId="0" fontId="544" fillId="16" borderId="6" xfId="3" applyFont="1" applyFill="1" applyBorder="1" applyAlignment="1">
      <alignment horizontal="left" vertical="center" wrapText="1"/>
    </xf>
    <xf numFmtId="0" fontId="544" fillId="16" borderId="0" xfId="3" applyFont="1" applyFill="1" applyAlignment="1">
      <alignment horizontal="left" vertical="center" wrapText="1"/>
    </xf>
    <xf numFmtId="0" fontId="544" fillId="16" borderId="9" xfId="3" applyFont="1" applyFill="1" applyBorder="1" applyAlignment="1">
      <alignment horizontal="left" vertical="center" wrapText="1"/>
    </xf>
    <xf numFmtId="0" fontId="26" fillId="16" borderId="0" xfId="26" applyFont="1" applyFill="1" applyAlignment="1">
      <alignment horizontal="left" vertical="center" wrapText="1"/>
    </xf>
    <xf numFmtId="0" fontId="71" fillId="7" borderId="173" xfId="4" applyFont="1" applyFill="1" applyBorder="1" applyAlignment="1">
      <alignment horizontal="center" vertical="center"/>
    </xf>
    <xf numFmtId="0" fontId="68" fillId="44" borderId="1" xfId="9" applyFont="1" applyFill="1" applyBorder="1" applyAlignment="1">
      <alignment horizontal="center" vertical="center" wrapText="1"/>
    </xf>
    <xf numFmtId="0" fontId="68" fillId="44" borderId="150" xfId="9" applyFont="1" applyFill="1" applyBorder="1" applyAlignment="1">
      <alignment horizontal="center" vertical="center" wrapText="1"/>
    </xf>
    <xf numFmtId="0" fontId="24" fillId="56" borderId="1" xfId="1" applyFont="1" applyFill="1" applyBorder="1" applyAlignment="1">
      <alignment horizontal="center" vertical="center" wrapText="1"/>
    </xf>
    <xf numFmtId="0" fontId="24" fillId="56" borderId="150" xfId="1" applyFont="1" applyFill="1" applyBorder="1" applyAlignment="1">
      <alignment horizontal="center" vertical="center" wrapText="1"/>
    </xf>
    <xf numFmtId="0" fontId="71" fillId="7" borderId="180" xfId="4" applyFont="1" applyFill="1" applyBorder="1" applyAlignment="1">
      <alignment horizontal="center" vertical="center"/>
    </xf>
    <xf numFmtId="0" fontId="74" fillId="13" borderId="0" xfId="5" applyFont="1" applyFill="1" applyAlignment="1">
      <alignment horizontal="right" vertical="center"/>
    </xf>
    <xf numFmtId="0" fontId="182" fillId="22" borderId="0" xfId="1" applyFont="1" applyFill="1" applyAlignment="1" applyProtection="1">
      <alignment horizontal="center" vertical="center"/>
      <protection hidden="1"/>
    </xf>
    <xf numFmtId="0" fontId="183" fillId="26" borderId="0" xfId="4" applyFont="1" applyFill="1" applyAlignment="1">
      <alignment horizontal="left" vertical="center"/>
    </xf>
    <xf numFmtId="0" fontId="173" fillId="3" borderId="163" xfId="1" applyFont="1" applyFill="1" applyBorder="1" applyAlignment="1">
      <alignment horizontal="left" vertical="center"/>
    </xf>
    <xf numFmtId="0" fontId="173" fillId="3" borderId="164" xfId="1" applyFont="1" applyFill="1" applyBorder="1" applyAlignment="1">
      <alignment horizontal="left" vertical="center"/>
    </xf>
    <xf numFmtId="0" fontId="173" fillId="3" borderId="165" xfId="1" applyFont="1" applyFill="1" applyBorder="1" applyAlignment="1">
      <alignment horizontal="left" vertical="center"/>
    </xf>
    <xf numFmtId="0" fontId="173" fillId="3" borderId="6" xfId="1" applyFont="1" applyFill="1" applyBorder="1" applyAlignment="1">
      <alignment horizontal="left" vertical="center"/>
    </xf>
    <xf numFmtId="0" fontId="173" fillId="3" borderId="0" xfId="1" applyFont="1" applyFill="1" applyAlignment="1">
      <alignment horizontal="left" vertical="center"/>
    </xf>
    <xf numFmtId="0" fontId="173" fillId="3" borderId="9" xfId="1" applyFont="1" applyFill="1" applyBorder="1" applyAlignment="1">
      <alignment horizontal="left" vertical="center"/>
    </xf>
    <xf numFmtId="0" fontId="178" fillId="90" borderId="6" xfId="1" applyFont="1" applyFill="1" applyBorder="1" applyAlignment="1">
      <alignment horizontal="left" vertical="center"/>
    </xf>
    <xf numFmtId="0" fontId="178" fillId="90" borderId="0" xfId="1" applyFont="1" applyFill="1" applyAlignment="1">
      <alignment horizontal="left" vertical="center"/>
    </xf>
    <xf numFmtId="0" fontId="178" fillId="90" borderId="9" xfId="1" applyFont="1" applyFill="1" applyBorder="1" applyAlignment="1">
      <alignment horizontal="left" vertical="center"/>
    </xf>
    <xf numFmtId="0" fontId="28" fillId="17" borderId="7" xfId="1" applyFont="1" applyFill="1" applyBorder="1" applyAlignment="1">
      <alignment horizontal="center" vertical="center" wrapText="1"/>
    </xf>
    <xf numFmtId="0" fontId="28" fillId="17" borderId="2" xfId="1" applyFont="1" applyFill="1" applyBorder="1" applyAlignment="1">
      <alignment horizontal="center" vertical="center" wrapText="1"/>
    </xf>
    <xf numFmtId="0" fontId="28" fillId="17" borderId="8" xfId="1" applyFont="1" applyFill="1" applyBorder="1" applyAlignment="1">
      <alignment horizontal="center" vertical="center" wrapText="1"/>
    </xf>
    <xf numFmtId="0" fontId="28" fillId="17" borderId="6" xfId="1" applyFont="1" applyFill="1" applyBorder="1" applyAlignment="1">
      <alignment horizontal="center" vertical="center" wrapText="1"/>
    </xf>
    <xf numFmtId="0" fontId="28" fillId="17" borderId="0" xfId="1" applyFont="1" applyFill="1" applyAlignment="1">
      <alignment horizontal="center" vertical="center" wrapText="1"/>
    </xf>
    <xf numFmtId="0" fontId="28" fillId="17" borderId="9" xfId="1" applyFont="1" applyFill="1" applyBorder="1" applyAlignment="1">
      <alignment horizontal="center" vertical="center" wrapText="1"/>
    </xf>
    <xf numFmtId="0" fontId="28" fillId="17" borderId="373" xfId="1" applyFont="1" applyFill="1" applyBorder="1" applyAlignment="1">
      <alignment horizontal="center" vertical="center" wrapText="1"/>
    </xf>
    <xf numFmtId="0" fontId="28" fillId="17" borderId="350" xfId="1" applyFont="1" applyFill="1" applyBorder="1" applyAlignment="1">
      <alignment horizontal="center" vertical="center" wrapText="1"/>
    </xf>
    <xf numFmtId="0" fontId="28" fillId="17" borderId="349" xfId="1" applyFont="1" applyFill="1" applyBorder="1" applyAlignment="1">
      <alignment horizontal="center" vertical="center" wrapText="1"/>
    </xf>
    <xf numFmtId="0" fontId="26" fillId="16" borderId="0" xfId="3" applyFont="1" applyFill="1" applyAlignment="1">
      <alignment horizontal="center" vertical="center" wrapText="1"/>
    </xf>
    <xf numFmtId="0" fontId="22" fillId="3" borderId="266" xfId="3" applyFont="1" applyFill="1" applyBorder="1" applyAlignment="1">
      <alignment horizontal="center" vertical="center"/>
    </xf>
    <xf numFmtId="0" fontId="80" fillId="94" borderId="0" xfId="1" applyFont="1" applyFill="1" applyAlignment="1">
      <alignment horizontal="center" vertical="center" wrapText="1"/>
    </xf>
    <xf numFmtId="0" fontId="44" fillId="94" borderId="0" xfId="1" applyFont="1" applyFill="1" applyAlignment="1">
      <alignment horizontal="center" vertical="center" wrapText="1"/>
    </xf>
    <xf numFmtId="0" fontId="57" fillId="94" borderId="0" xfId="1" quotePrefix="1" applyFont="1" applyFill="1" applyAlignment="1">
      <alignment horizontal="center" vertical="top" wrapText="1"/>
    </xf>
    <xf numFmtId="0" fontId="57" fillId="94" borderId="267" xfId="1" applyFont="1" applyFill="1" applyBorder="1" applyAlignment="1">
      <alignment horizontal="right" vertical="center"/>
    </xf>
    <xf numFmtId="0" fontId="154" fillId="16" borderId="161" xfId="1" applyFont="1" applyFill="1" applyBorder="1" applyAlignment="1">
      <alignment horizontal="center" vertical="center"/>
    </xf>
    <xf numFmtId="0" fontId="154" fillId="16" borderId="149" xfId="1" applyFont="1" applyFill="1" applyBorder="1" applyAlignment="1">
      <alignment horizontal="center" vertical="center"/>
    </xf>
    <xf numFmtId="0" fontId="154" fillId="16" borderId="162" xfId="1" applyFont="1" applyFill="1" applyBorder="1" applyAlignment="1">
      <alignment horizontal="center" vertical="center"/>
    </xf>
    <xf numFmtId="0" fontId="374" fillId="8" borderId="2" xfId="1" applyFont="1" applyFill="1" applyBorder="1" applyAlignment="1">
      <alignment horizontal="center" vertical="center"/>
    </xf>
    <xf numFmtId="0" fontId="374" fillId="8" borderId="3" xfId="1" applyFont="1" applyFill="1" applyBorder="1" applyAlignment="1">
      <alignment horizontal="center" vertical="center"/>
    </xf>
    <xf numFmtId="0" fontId="31" fillId="3" borderId="266" xfId="1" applyFont="1" applyFill="1" applyBorder="1" applyAlignment="1">
      <alignment horizontal="center" vertical="center"/>
    </xf>
    <xf numFmtId="0" fontId="179" fillId="15" borderId="2" xfId="1" applyFont="1" applyFill="1" applyBorder="1" applyAlignment="1">
      <alignment horizontal="center" vertical="center" wrapText="1"/>
    </xf>
    <xf numFmtId="0" fontId="179" fillId="15" borderId="0" xfId="1" applyFont="1" applyFill="1" applyAlignment="1">
      <alignment horizontal="center" vertical="center" wrapText="1"/>
    </xf>
    <xf numFmtId="0" fontId="179" fillId="15" borderId="267" xfId="4" applyFont="1" applyFill="1" applyBorder="1" applyAlignment="1">
      <alignment horizontal="center" vertical="center"/>
    </xf>
    <xf numFmtId="0" fontId="180" fillId="94" borderId="159" xfId="1" applyFont="1" applyFill="1" applyBorder="1" applyAlignment="1">
      <alignment horizontal="center" vertical="center"/>
    </xf>
    <xf numFmtId="0" fontId="180" fillId="94" borderId="160" xfId="1" applyFont="1" applyFill="1" applyBorder="1" applyAlignment="1">
      <alignment horizontal="center" vertical="center"/>
    </xf>
    <xf numFmtId="0" fontId="26" fillId="94" borderId="0" xfId="4" applyFont="1" applyFill="1" applyAlignment="1">
      <alignment horizontal="right" vertical="center" wrapText="1"/>
    </xf>
    <xf numFmtId="0" fontId="19" fillId="15" borderId="2" xfId="1" applyFont="1" applyFill="1" applyBorder="1" applyAlignment="1">
      <alignment horizontal="right" vertical="center" wrapText="1"/>
    </xf>
    <xf numFmtId="0" fontId="19" fillId="15" borderId="0" xfId="1" applyFont="1" applyFill="1" applyAlignment="1">
      <alignment horizontal="right" vertical="center" wrapText="1"/>
    </xf>
    <xf numFmtId="0" fontId="110" fillId="8" borderId="0" xfId="0" applyFont="1" applyFill="1" applyAlignment="1">
      <alignment horizontal="left" vertical="center"/>
    </xf>
    <xf numFmtId="0" fontId="72" fillId="0" borderId="72" xfId="3" applyFont="1" applyBorder="1" applyAlignment="1">
      <alignment horizontal="center" vertical="center"/>
    </xf>
    <xf numFmtId="0" fontId="72" fillId="0" borderId="1" xfId="3" applyFont="1" applyBorder="1" applyAlignment="1">
      <alignment horizontal="center" vertical="center"/>
    </xf>
    <xf numFmtId="0" fontId="24" fillId="18" borderId="1" xfId="1" applyFont="1" applyFill="1" applyBorder="1" applyAlignment="1" applyProtection="1">
      <alignment horizontal="center" vertical="center" wrapText="1"/>
      <protection locked="0"/>
    </xf>
    <xf numFmtId="0" fontId="24" fillId="18" borderId="1" xfId="1" applyFont="1" applyFill="1" applyBorder="1" applyAlignment="1">
      <alignment horizontal="center" vertical="center" wrapText="1"/>
    </xf>
    <xf numFmtId="0" fontId="24" fillId="18" borderId="0" xfId="1" applyFont="1" applyFill="1" applyAlignment="1">
      <alignment horizontal="center" vertical="center" wrapText="1"/>
    </xf>
    <xf numFmtId="0" fontId="98" fillId="55" borderId="6" xfId="19" applyFont="1" applyFill="1" applyBorder="1" applyAlignment="1">
      <alignment horizontal="left" vertical="top" wrapText="1"/>
    </xf>
    <xf numFmtId="0" fontId="98" fillId="55" borderId="0" xfId="19" applyFont="1" applyFill="1" applyAlignment="1">
      <alignment horizontal="left" vertical="top" wrapText="1"/>
    </xf>
    <xf numFmtId="0" fontId="98" fillId="55" borderId="9" xfId="19" applyFont="1" applyFill="1" applyBorder="1" applyAlignment="1">
      <alignment horizontal="left" vertical="top" wrapText="1"/>
    </xf>
    <xf numFmtId="0" fontId="68" fillId="55" borderId="6" xfId="19" applyFont="1" applyFill="1" applyBorder="1" applyAlignment="1">
      <alignment horizontal="left" vertical="top" wrapText="1"/>
    </xf>
    <xf numFmtId="0" fontId="68" fillId="55" borderId="0" xfId="19" applyFont="1" applyFill="1" applyAlignment="1">
      <alignment horizontal="left" vertical="top" wrapText="1"/>
    </xf>
    <xf numFmtId="0" fontId="68" fillId="55" borderId="9" xfId="19" applyFont="1" applyFill="1" applyBorder="1" applyAlignment="1">
      <alignment horizontal="left" vertical="top" wrapText="1"/>
    </xf>
    <xf numFmtId="0" fontId="39" fillId="21" borderId="6" xfId="1" applyFont="1" applyFill="1" applyBorder="1" applyAlignment="1" applyProtection="1">
      <alignment horizontal="center" vertical="center"/>
      <protection hidden="1"/>
    </xf>
    <xf numFmtId="0" fontId="117" fillId="8" borderId="6" xfId="1" applyFont="1" applyFill="1" applyBorder="1" applyAlignment="1">
      <alignment horizontal="center" vertical="center"/>
    </xf>
    <xf numFmtId="0" fontId="26" fillId="8" borderId="0" xfId="1" applyFont="1" applyFill="1" applyAlignment="1" applyProtection="1">
      <alignment horizontal="left" vertical="center"/>
      <protection locked="0"/>
    </xf>
    <xf numFmtId="0" fontId="26" fillId="8" borderId="9" xfId="1" applyFont="1" applyFill="1" applyBorder="1" applyAlignment="1" applyProtection="1">
      <alignment horizontal="left" vertical="center"/>
      <protection locked="0"/>
    </xf>
    <xf numFmtId="0" fontId="50" fillId="45" borderId="0" xfId="16" applyFont="1" applyFill="1" applyAlignment="1" applyProtection="1">
      <alignment horizontal="center" vertical="center"/>
      <protection locked="0"/>
    </xf>
    <xf numFmtId="0" fontId="73" fillId="8" borderId="6" xfId="3" applyFont="1" applyFill="1" applyBorder="1" applyAlignment="1">
      <alignment horizontal="center" vertical="center"/>
    </xf>
    <xf numFmtId="0" fontId="0" fillId="18" borderId="0" xfId="0" applyFill="1" applyAlignment="1">
      <alignment horizontal="center" vertical="center" wrapText="1"/>
    </xf>
    <xf numFmtId="0" fontId="0" fillId="18" borderId="0" xfId="0" applyFill="1" applyAlignment="1">
      <alignment horizontal="center" vertical="center"/>
    </xf>
    <xf numFmtId="0" fontId="0" fillId="18" borderId="0" xfId="0" applyFill="1" applyAlignment="1">
      <alignment horizontal="left" vertical="center"/>
    </xf>
    <xf numFmtId="0" fontId="32" fillId="16" borderId="6" xfId="0" applyFont="1" applyFill="1" applyBorder="1" applyAlignment="1">
      <alignment horizontal="left" vertical="center" wrapText="1"/>
    </xf>
    <xf numFmtId="0" fontId="32" fillId="16" borderId="0" xfId="0" applyFont="1" applyFill="1" applyAlignment="1">
      <alignment horizontal="left" vertical="center" wrapText="1"/>
    </xf>
    <xf numFmtId="0" fontId="32" fillId="16" borderId="9" xfId="0" applyFont="1" applyFill="1" applyBorder="1" applyAlignment="1">
      <alignment horizontal="left" vertical="center" wrapText="1"/>
    </xf>
    <xf numFmtId="0" fontId="26" fillId="7" borderId="52" xfId="1" applyFont="1" applyFill="1" applyBorder="1" applyAlignment="1">
      <alignment horizontal="center" vertical="center"/>
    </xf>
    <xf numFmtId="0" fontId="26" fillId="7" borderId="5" xfId="1" applyFont="1" applyFill="1" applyBorder="1" applyAlignment="1">
      <alignment horizontal="center" vertical="center"/>
    </xf>
    <xf numFmtId="0" fontId="26" fillId="7" borderId="53" xfId="1" applyFont="1" applyFill="1" applyBorder="1" applyAlignment="1">
      <alignment horizontal="center" vertical="center"/>
    </xf>
    <xf numFmtId="0" fontId="26" fillId="7" borderId="103" xfId="1" applyFont="1" applyFill="1" applyBorder="1" applyAlignment="1">
      <alignment horizontal="center" vertical="center"/>
    </xf>
    <xf numFmtId="0" fontId="77" fillId="45" borderId="0" xfId="16" applyFont="1" applyFill="1" applyAlignment="1" applyProtection="1">
      <alignment horizontal="center" vertical="center"/>
      <protection locked="0"/>
    </xf>
    <xf numFmtId="0" fontId="77" fillId="45" borderId="33" xfId="16" applyFont="1" applyFill="1" applyBorder="1" applyAlignment="1" applyProtection="1">
      <alignment horizontal="center" vertical="center"/>
      <protection locked="0"/>
    </xf>
    <xf numFmtId="0" fontId="35" fillId="46" borderId="0" xfId="16" applyFont="1" applyFill="1" applyAlignment="1" applyProtection="1">
      <alignment horizontal="center" vertical="center"/>
      <protection locked="0"/>
    </xf>
    <xf numFmtId="0" fontId="35" fillId="46" borderId="9" xfId="16" applyFont="1" applyFill="1" applyBorder="1" applyAlignment="1" applyProtection="1">
      <alignment horizontal="center" vertical="center"/>
      <protection locked="0"/>
    </xf>
    <xf numFmtId="0" fontId="57" fillId="8" borderId="6" xfId="5" applyFont="1" applyFill="1" applyBorder="1" applyAlignment="1">
      <alignment horizontal="center" vertical="top" wrapText="1"/>
    </xf>
    <xf numFmtId="0" fontId="57" fillId="8" borderId="0" xfId="5" applyFont="1" applyFill="1" applyAlignment="1">
      <alignment horizontal="center" vertical="top" wrapText="1"/>
    </xf>
    <xf numFmtId="0" fontId="57" fillId="8" borderId="9" xfId="5" applyFont="1" applyFill="1" applyBorder="1" applyAlignment="1">
      <alignment horizontal="center" vertical="top" wrapText="1"/>
    </xf>
    <xf numFmtId="0" fontId="57" fillId="8" borderId="122" xfId="5" applyFont="1" applyFill="1" applyBorder="1" applyAlignment="1">
      <alignment horizontal="center" vertical="top" wrapText="1"/>
    </xf>
    <xf numFmtId="0" fontId="57" fillId="8" borderId="83" xfId="5" applyFont="1" applyFill="1" applyBorder="1" applyAlignment="1">
      <alignment horizontal="center" vertical="top" wrapText="1"/>
    </xf>
    <xf numFmtId="0" fontId="57" fillId="8" borderId="123" xfId="5" applyFont="1" applyFill="1" applyBorder="1" applyAlignment="1">
      <alignment horizontal="center" vertical="top" wrapText="1"/>
    </xf>
    <xf numFmtId="0" fontId="88" fillId="49" borderId="148" xfId="0" applyFont="1" applyFill="1" applyBorder="1" applyAlignment="1">
      <alignment horizontal="center" vertical="center" wrapText="1"/>
    </xf>
    <xf numFmtId="0" fontId="88" fillId="49" borderId="0" xfId="0" applyFont="1" applyFill="1" applyAlignment="1">
      <alignment horizontal="center" vertical="center" wrapText="1"/>
    </xf>
    <xf numFmtId="0" fontId="88" fillId="49" borderId="9" xfId="0" applyFont="1" applyFill="1" applyBorder="1" applyAlignment="1">
      <alignment horizontal="center" vertical="center" wrapText="1"/>
    </xf>
    <xf numFmtId="0" fontId="88" fillId="49" borderId="153" xfId="0" applyFont="1" applyFill="1" applyBorder="1" applyAlignment="1">
      <alignment horizontal="center" vertical="center" wrapText="1"/>
    </xf>
    <xf numFmtId="0" fontId="88" fillId="49" borderId="56" xfId="0" applyFont="1" applyFill="1" applyBorder="1" applyAlignment="1">
      <alignment horizontal="center" vertical="center" wrapText="1"/>
    </xf>
    <xf numFmtId="0" fontId="88" fillId="49" borderId="57" xfId="0" applyFont="1" applyFill="1" applyBorder="1" applyAlignment="1">
      <alignment horizontal="center" vertical="center" wrapText="1"/>
    </xf>
    <xf numFmtId="0" fontId="88" fillId="49" borderId="54" xfId="0" applyFont="1" applyFill="1" applyBorder="1" applyAlignment="1">
      <alignment horizontal="center" vertical="center" wrapText="1"/>
    </xf>
    <xf numFmtId="0" fontId="88" fillId="49" borderId="45" xfId="0" applyFont="1" applyFill="1" applyBorder="1" applyAlignment="1">
      <alignment horizontal="center" vertical="center" wrapText="1"/>
    </xf>
    <xf numFmtId="0" fontId="88" fillId="49" borderId="117" xfId="0" applyFont="1" applyFill="1" applyBorder="1" applyAlignment="1">
      <alignment horizontal="center" vertical="center" wrapText="1"/>
    </xf>
    <xf numFmtId="0" fontId="88" fillId="49" borderId="35" xfId="0" applyFont="1" applyFill="1" applyBorder="1" applyAlignment="1">
      <alignment horizontal="center" vertical="center" wrapText="1"/>
    </xf>
    <xf numFmtId="0" fontId="88" fillId="49" borderId="37" xfId="0" applyFont="1" applyFill="1" applyBorder="1" applyAlignment="1">
      <alignment horizontal="center" vertical="center" wrapText="1"/>
    </xf>
    <xf numFmtId="0" fontId="78" fillId="46" borderId="32" xfId="16" applyFont="1" applyFill="1" applyBorder="1" applyAlignment="1" applyProtection="1">
      <alignment horizontal="right" vertical="center"/>
      <protection locked="0"/>
    </xf>
    <xf numFmtId="0" fontId="78" fillId="46" borderId="0" xfId="16" applyFont="1" applyFill="1" applyAlignment="1" applyProtection="1">
      <alignment horizontal="right" vertical="center"/>
      <protection locked="0"/>
    </xf>
    <xf numFmtId="0" fontId="78" fillId="46" borderId="32" xfId="16" applyFont="1" applyFill="1" applyBorder="1" applyAlignment="1" applyProtection="1">
      <alignment horizontal="center" vertical="center"/>
      <protection locked="0"/>
    </xf>
    <xf numFmtId="0" fontId="78" fillId="46" borderId="0" xfId="16" applyFont="1" applyFill="1" applyAlignment="1" applyProtection="1">
      <alignment horizontal="center" vertical="center"/>
      <protection locked="0"/>
    </xf>
    <xf numFmtId="0" fontId="26" fillId="26" borderId="148" xfId="16" applyFont="1" applyFill="1" applyBorder="1" applyAlignment="1" applyProtection="1">
      <alignment horizontal="center" vertical="center" wrapText="1"/>
      <protection locked="0"/>
    </xf>
    <xf numFmtId="0" fontId="26" fillId="26" borderId="0" xfId="16" applyFont="1" applyFill="1" applyAlignment="1" applyProtection="1">
      <alignment horizontal="center" vertical="center" wrapText="1"/>
      <protection locked="0"/>
    </xf>
    <xf numFmtId="0" fontId="26" fillId="26" borderId="9" xfId="16" applyFont="1" applyFill="1" applyBorder="1" applyAlignment="1" applyProtection="1">
      <alignment horizontal="center" vertical="center" wrapText="1"/>
      <protection locked="0"/>
    </xf>
    <xf numFmtId="0" fontId="26" fillId="26" borderId="191" xfId="16" applyFont="1" applyFill="1" applyBorder="1" applyAlignment="1" applyProtection="1">
      <alignment horizontal="center" vertical="center" wrapText="1"/>
      <protection locked="0"/>
    </xf>
    <xf numFmtId="0" fontId="26" fillId="26" borderId="192" xfId="16" applyFont="1" applyFill="1" applyBorder="1" applyAlignment="1" applyProtection="1">
      <alignment horizontal="center" vertical="center" wrapText="1"/>
      <protection locked="0"/>
    </xf>
    <xf numFmtId="0" fontId="26" fillId="26" borderId="193" xfId="16" applyFont="1" applyFill="1" applyBorder="1" applyAlignment="1" applyProtection="1">
      <alignment horizontal="center" vertical="center" wrapText="1"/>
      <protection locked="0"/>
    </xf>
    <xf numFmtId="0" fontId="26" fillId="26" borderId="54" xfId="16" applyFont="1" applyFill="1" applyBorder="1" applyAlignment="1" applyProtection="1">
      <alignment horizontal="center" vertical="center" wrapText="1"/>
      <protection locked="0"/>
    </xf>
    <xf numFmtId="0" fontId="26" fillId="26" borderId="45" xfId="16" applyFont="1" applyFill="1" applyBorder="1" applyAlignment="1" applyProtection="1">
      <alignment horizontal="center" vertical="center" wrapText="1"/>
      <protection locked="0"/>
    </xf>
    <xf numFmtId="0" fontId="26" fillId="26" borderId="117" xfId="16" applyFont="1" applyFill="1" applyBorder="1" applyAlignment="1" applyProtection="1">
      <alignment horizontal="center" vertical="center" wrapText="1"/>
      <protection locked="0"/>
    </xf>
    <xf numFmtId="0" fontId="26" fillId="26" borderId="55" xfId="16" applyFont="1" applyFill="1" applyBorder="1" applyAlignment="1" applyProtection="1">
      <alignment horizontal="center" vertical="center" wrapText="1"/>
      <protection locked="0"/>
    </xf>
    <xf numFmtId="0" fontId="26" fillId="26" borderId="14" xfId="16" applyFont="1" applyFill="1" applyBorder="1" applyAlignment="1" applyProtection="1">
      <alignment horizontal="center" vertical="center" wrapText="1"/>
      <protection locked="0"/>
    </xf>
    <xf numFmtId="0" fontId="26" fillId="26" borderId="104" xfId="16" applyFont="1" applyFill="1" applyBorder="1" applyAlignment="1" applyProtection="1">
      <alignment horizontal="center" vertical="center" wrapText="1"/>
      <protection locked="0"/>
    </xf>
    <xf numFmtId="0" fontId="35" fillId="46" borderId="33" xfId="16" applyFont="1" applyFill="1" applyBorder="1" applyAlignment="1" applyProtection="1">
      <alignment horizontal="center" vertical="center"/>
      <protection locked="0"/>
    </xf>
    <xf numFmtId="0" fontId="22" fillId="43" borderId="6" xfId="9" applyFont="1" applyFill="1" applyBorder="1" applyAlignment="1">
      <alignment horizontal="center" vertical="center"/>
    </xf>
    <xf numFmtId="0" fontId="22" fillId="43" borderId="0" xfId="9" applyFont="1" applyFill="1" applyAlignment="1">
      <alignment horizontal="center" vertical="center"/>
    </xf>
    <xf numFmtId="169" fontId="97" fillId="26" borderId="0" xfId="1" applyNumberFormat="1" applyFont="1" applyFill="1" applyAlignment="1">
      <alignment horizontal="center" vertical="top" wrapText="1"/>
    </xf>
    <xf numFmtId="169" fontId="97" fillId="26" borderId="9" xfId="1" applyNumberFormat="1" applyFont="1" applyFill="1" applyBorder="1" applyAlignment="1">
      <alignment horizontal="center" vertical="top" wrapText="1"/>
    </xf>
    <xf numFmtId="0" fontId="21" fillId="26" borderId="72" xfId="1" applyFont="1" applyFill="1" applyBorder="1" applyAlignment="1">
      <alignment horizontal="center" vertical="center" wrapText="1"/>
    </xf>
    <xf numFmtId="0" fontId="21" fillId="26" borderId="1" xfId="1" applyFont="1" applyFill="1" applyBorder="1" applyAlignment="1">
      <alignment horizontal="center" vertical="center" wrapText="1"/>
    </xf>
    <xf numFmtId="0" fontId="21" fillId="26" borderId="19" xfId="1" applyFont="1" applyFill="1" applyBorder="1" applyAlignment="1">
      <alignment horizontal="center" vertical="center" wrapText="1"/>
    </xf>
    <xf numFmtId="0" fontId="21" fillId="26" borderId="14" xfId="1" applyFont="1" applyFill="1" applyBorder="1" applyAlignment="1">
      <alignment horizontal="center" vertical="center" wrapText="1"/>
    </xf>
    <xf numFmtId="0" fontId="53" fillId="21" borderId="73" xfId="1" applyFont="1" applyFill="1" applyBorder="1" applyAlignment="1" applyProtection="1">
      <alignment horizontal="center" vertical="center"/>
      <protection locked="0"/>
    </xf>
    <xf numFmtId="0" fontId="53" fillId="21" borderId="14" xfId="1" applyFont="1" applyFill="1" applyBorder="1" applyAlignment="1" applyProtection="1">
      <alignment horizontal="center" vertical="center"/>
      <protection locked="0"/>
    </xf>
    <xf numFmtId="0" fontId="24" fillId="56" borderId="74" xfId="1" applyFont="1" applyFill="1" applyBorder="1" applyAlignment="1">
      <alignment horizontal="center" vertical="center" wrapText="1"/>
    </xf>
    <xf numFmtId="0" fontId="24" fillId="56" borderId="14" xfId="1" applyFont="1" applyFill="1" applyBorder="1" applyAlignment="1">
      <alignment horizontal="center" vertical="center" wrapText="1"/>
    </xf>
    <xf numFmtId="0" fontId="24" fillId="56" borderId="21" xfId="1" applyFont="1" applyFill="1" applyBorder="1" applyAlignment="1">
      <alignment horizontal="center" vertical="center" wrapText="1"/>
    </xf>
    <xf numFmtId="169" fontId="90" fillId="26" borderId="0" xfId="1" applyNumberFormat="1" applyFont="1" applyFill="1" applyAlignment="1">
      <alignment horizontal="center" vertical="top" wrapText="1"/>
    </xf>
    <xf numFmtId="169" fontId="90" fillId="26" borderId="9" xfId="1" applyNumberFormat="1" applyFont="1" applyFill="1" applyBorder="1" applyAlignment="1">
      <alignment horizontal="center" vertical="top" wrapText="1"/>
    </xf>
    <xf numFmtId="0" fontId="24" fillId="26" borderId="0" xfId="1" applyFont="1" applyFill="1" applyAlignment="1">
      <alignment horizontal="center" vertical="center" wrapText="1"/>
    </xf>
    <xf numFmtId="0" fontId="24" fillId="26" borderId="14" xfId="1" applyFont="1" applyFill="1" applyBorder="1" applyAlignment="1">
      <alignment horizontal="center" vertical="center" wrapText="1"/>
    </xf>
    <xf numFmtId="0" fontId="24" fillId="8" borderId="17" xfId="1" applyFont="1" applyFill="1" applyBorder="1" applyAlignment="1">
      <alignment horizontal="center" vertical="center" wrapText="1"/>
    </xf>
    <xf numFmtId="0" fontId="24" fillId="8" borderId="15" xfId="1" applyFont="1" applyFill="1" applyBorder="1" applyAlignment="1">
      <alignment horizontal="center" vertical="center" wrapText="1"/>
    </xf>
    <xf numFmtId="0" fontId="24" fillId="8" borderId="0" xfId="1" applyFont="1" applyFill="1" applyAlignment="1">
      <alignment horizontal="center" vertical="center" wrapText="1"/>
    </xf>
    <xf numFmtId="0" fontId="24" fillId="8" borderId="14" xfId="1" applyFont="1" applyFill="1" applyBorder="1" applyAlignment="1">
      <alignment horizontal="center" vertical="center" wrapText="1"/>
    </xf>
    <xf numFmtId="0" fontId="56" fillId="7" borderId="0" xfId="1" applyFont="1" applyFill="1" applyAlignment="1">
      <alignment horizontal="center" vertical="center" wrapText="1"/>
    </xf>
    <xf numFmtId="0" fontId="56" fillId="7" borderId="14" xfId="1" applyFont="1" applyFill="1" applyBorder="1" applyAlignment="1">
      <alignment horizontal="center" vertical="center" wrapText="1"/>
    </xf>
    <xf numFmtId="0" fontId="24" fillId="18" borderId="5" xfId="1" applyFont="1" applyFill="1" applyBorder="1" applyAlignment="1" applyProtection="1">
      <alignment horizontal="center" vertical="center" wrapText="1"/>
      <protection locked="0"/>
    </xf>
    <xf numFmtId="0" fontId="24" fillId="18" borderId="63" xfId="1" applyFont="1" applyFill="1" applyBorder="1" applyAlignment="1">
      <alignment horizontal="center" vertical="center" wrapText="1"/>
    </xf>
    <xf numFmtId="0" fontId="55" fillId="21" borderId="64" xfId="1" applyFont="1" applyFill="1" applyBorder="1" applyAlignment="1" applyProtection="1">
      <alignment horizontal="center" vertical="center" wrapText="1"/>
      <protection hidden="1"/>
    </xf>
    <xf numFmtId="0" fontId="36" fillId="8" borderId="0" xfId="4" applyFont="1" applyFill="1" applyAlignment="1">
      <alignment horizontal="center" vertical="top" wrapText="1"/>
    </xf>
    <xf numFmtId="0" fontId="82" fillId="18" borderId="6" xfId="1" applyFont="1" applyFill="1" applyBorder="1" applyAlignment="1">
      <alignment horizontal="left" vertical="center"/>
    </xf>
    <xf numFmtId="0" fontId="71" fillId="16" borderId="0" xfId="3" applyFont="1" applyFill="1" applyAlignment="1">
      <alignment horizontal="left" vertical="center" wrapText="1"/>
    </xf>
    <xf numFmtId="0" fontId="71" fillId="16" borderId="9" xfId="3" applyFont="1" applyFill="1" applyBorder="1" applyAlignment="1">
      <alignment horizontal="left" vertical="center" wrapText="1"/>
    </xf>
    <xf numFmtId="0" fontId="85" fillId="18" borderId="6" xfId="1" applyFont="1" applyFill="1" applyBorder="1" applyAlignment="1">
      <alignment horizontal="left" vertical="center"/>
    </xf>
    <xf numFmtId="0" fontId="0" fillId="16" borderId="9" xfId="0" applyFill="1" applyBorder="1" applyAlignment="1">
      <alignment horizontal="center" wrapText="1"/>
    </xf>
    <xf numFmtId="0" fontId="103" fillId="8" borderId="0" xfId="1" applyFont="1" applyFill="1" applyAlignment="1">
      <alignment horizontal="left" vertical="center" wrapText="1"/>
    </xf>
    <xf numFmtId="1" fontId="113" fillId="21" borderId="16" xfId="5" applyNumberFormat="1" applyFont="1" applyFill="1" applyBorder="1" applyAlignment="1">
      <alignment horizontal="center" vertical="center"/>
    </xf>
    <xf numFmtId="0" fontId="35" fillId="46" borderId="0" xfId="16" applyFont="1" applyFill="1" applyAlignment="1" applyProtection="1">
      <alignment horizontal="left" vertical="center"/>
      <protection locked="0"/>
    </xf>
    <xf numFmtId="0" fontId="46" fillId="7" borderId="44" xfId="1" applyFont="1" applyFill="1" applyBorder="1" applyAlignment="1">
      <alignment horizontal="center" vertical="center" wrapText="1"/>
    </xf>
    <xf numFmtId="0" fontId="46" fillId="7" borderId="19" xfId="1" applyFont="1" applyFill="1" applyBorder="1" applyAlignment="1">
      <alignment horizontal="center" vertical="center" wrapText="1"/>
    </xf>
    <xf numFmtId="0" fontId="24" fillId="18" borderId="45" xfId="1" applyFont="1" applyFill="1" applyBorder="1" applyAlignment="1">
      <alignment horizontal="center" vertical="center" wrapText="1"/>
    </xf>
    <xf numFmtId="0" fontId="24" fillId="18" borderId="14" xfId="1" applyFont="1" applyFill="1" applyBorder="1" applyAlignment="1">
      <alignment horizontal="center" vertical="center" wrapText="1"/>
    </xf>
    <xf numFmtId="179" fontId="99" fillId="8" borderId="92" xfId="14" applyNumberFormat="1" applyFont="1" applyFill="1" applyBorder="1" applyAlignment="1">
      <alignment horizontal="center" vertical="center" wrapText="1"/>
    </xf>
    <xf numFmtId="179" fontId="99" fillId="8" borderId="20" xfId="14" applyNumberFormat="1" applyFont="1" applyFill="1" applyBorder="1" applyAlignment="1">
      <alignment horizontal="center" vertical="center" wrapText="1"/>
    </xf>
    <xf numFmtId="0" fontId="21" fillId="44" borderId="92" xfId="1" applyFont="1" applyFill="1" applyBorder="1" applyAlignment="1">
      <alignment horizontal="center" vertical="center"/>
    </xf>
    <xf numFmtId="0" fontId="21" fillId="44" borderId="20" xfId="1" applyFont="1" applyFill="1" applyBorder="1" applyAlignment="1">
      <alignment horizontal="center" vertical="center"/>
    </xf>
    <xf numFmtId="0" fontId="57" fillId="8" borderId="92" xfId="1" applyFont="1" applyFill="1" applyBorder="1" applyAlignment="1">
      <alignment horizontal="center" vertical="center" wrapText="1"/>
    </xf>
    <xf numFmtId="0" fontId="57" fillId="8" borderId="18" xfId="1" applyFont="1" applyFill="1" applyBorder="1" applyAlignment="1">
      <alignment horizontal="center" vertical="center" wrapText="1"/>
    </xf>
    <xf numFmtId="0" fontId="26" fillId="26" borderId="16" xfId="16" applyFont="1" applyFill="1" applyBorder="1" applyAlignment="1" applyProtection="1">
      <alignment horizontal="center" vertical="center" wrapText="1"/>
      <protection locked="0"/>
    </xf>
    <xf numFmtId="0" fontId="26" fillId="26" borderId="205" xfId="16" applyFont="1" applyFill="1" applyBorder="1" applyAlignment="1" applyProtection="1">
      <alignment horizontal="center" vertical="center" wrapText="1"/>
      <protection locked="0"/>
    </xf>
    <xf numFmtId="0" fontId="88" fillId="49" borderId="16" xfId="0" applyFont="1" applyFill="1" applyBorder="1" applyAlignment="1">
      <alignment horizontal="center" vertical="center" wrapText="1"/>
    </xf>
    <xf numFmtId="0" fontId="88" fillId="49" borderId="19" xfId="0" applyFont="1" applyFill="1" applyBorder="1" applyAlignment="1">
      <alignment horizontal="center" vertical="center" wrapText="1"/>
    </xf>
    <xf numFmtId="0" fontId="88" fillId="49" borderId="14" xfId="0" applyFont="1" applyFill="1" applyBorder="1" applyAlignment="1">
      <alignment horizontal="center" vertical="center" wrapText="1"/>
    </xf>
    <xf numFmtId="0" fontId="88" fillId="49" borderId="21" xfId="0" applyFont="1" applyFill="1" applyBorder="1" applyAlignment="1">
      <alignment horizontal="center" vertical="center" wrapText="1"/>
    </xf>
    <xf numFmtId="0" fontId="26" fillId="7" borderId="44" xfId="1" applyFont="1" applyFill="1" applyBorder="1" applyAlignment="1">
      <alignment horizontal="center" vertical="center"/>
    </xf>
    <xf numFmtId="0" fontId="26" fillId="7" borderId="45" xfId="1" applyFont="1" applyFill="1" applyBorder="1" applyAlignment="1">
      <alignment horizontal="center" vertical="center"/>
    </xf>
    <xf numFmtId="0" fontId="26" fillId="7" borderId="47" xfId="1" applyFont="1" applyFill="1" applyBorder="1" applyAlignment="1">
      <alignment horizontal="center" vertical="center"/>
    </xf>
    <xf numFmtId="0" fontId="98" fillId="55" borderId="16" xfId="19" applyFont="1" applyFill="1" applyBorder="1" applyAlignment="1">
      <alignment horizontal="left" vertical="top" wrapText="1"/>
    </xf>
    <xf numFmtId="0" fontId="57" fillId="8" borderId="16" xfId="5" applyFont="1" applyFill="1" applyBorder="1" applyAlignment="1">
      <alignment horizontal="left" vertical="top" wrapText="1"/>
    </xf>
    <xf numFmtId="0" fontId="57" fillId="8" borderId="0" xfId="5" applyFont="1" applyFill="1" applyAlignment="1">
      <alignment horizontal="left" vertical="top" wrapText="1"/>
    </xf>
    <xf numFmtId="0" fontId="57" fillId="8" borderId="9" xfId="5" applyFont="1" applyFill="1" applyBorder="1" applyAlignment="1">
      <alignment horizontal="left" vertical="top" wrapText="1"/>
    </xf>
    <xf numFmtId="0" fontId="57" fillId="8" borderId="82" xfId="5" applyFont="1" applyFill="1" applyBorder="1" applyAlignment="1">
      <alignment horizontal="left" vertical="top" wrapText="1"/>
    </xf>
    <xf numFmtId="0" fontId="57" fillId="8" borderId="83" xfId="5" applyFont="1" applyFill="1" applyBorder="1" applyAlignment="1">
      <alignment horizontal="left" vertical="top" wrapText="1"/>
    </xf>
    <xf numFmtId="0" fontId="57" fillId="8" borderId="123" xfId="5" applyFont="1" applyFill="1" applyBorder="1" applyAlignment="1">
      <alignment horizontal="left" vertical="top" wrapText="1"/>
    </xf>
    <xf numFmtId="0" fontId="48" fillId="8" borderId="0" xfId="1" applyFont="1" applyFill="1" applyAlignment="1">
      <alignment horizontal="center" vertical="center" wrapText="1"/>
    </xf>
    <xf numFmtId="0" fontId="48" fillId="8" borderId="3" xfId="1" applyFont="1" applyFill="1" applyBorder="1" applyAlignment="1">
      <alignment horizontal="center" vertical="center" wrapText="1"/>
    </xf>
    <xf numFmtId="0" fontId="203" fillId="26" borderId="2" xfId="1" applyFont="1" applyFill="1" applyBorder="1" applyAlignment="1" applyProtection="1">
      <alignment horizontal="center" vertical="center"/>
      <protection hidden="1"/>
    </xf>
    <xf numFmtId="0" fontId="203" fillId="26" borderId="8" xfId="1" applyFont="1" applyFill="1" applyBorder="1" applyAlignment="1" applyProtection="1">
      <alignment horizontal="center" vertical="center"/>
      <protection hidden="1"/>
    </xf>
    <xf numFmtId="0" fontId="203" fillId="26" borderId="0" xfId="1" applyFont="1" applyFill="1" applyAlignment="1" applyProtection="1">
      <alignment horizontal="center" vertical="center"/>
      <protection hidden="1"/>
    </xf>
    <xf numFmtId="0" fontId="203" fillId="26" borderId="9" xfId="1" applyFont="1" applyFill="1" applyBorder="1" applyAlignment="1" applyProtection="1">
      <alignment horizontal="center" vertical="center"/>
      <protection hidden="1"/>
    </xf>
    <xf numFmtId="0" fontId="203" fillId="26" borderId="3" xfId="1" applyFont="1" applyFill="1" applyBorder="1" applyAlignment="1" applyProtection="1">
      <alignment horizontal="center" vertical="center"/>
      <protection hidden="1"/>
    </xf>
    <xf numFmtId="0" fontId="203" fillId="26" borderId="59" xfId="1" applyFont="1" applyFill="1" applyBorder="1" applyAlignment="1" applyProtection="1">
      <alignment horizontal="center" vertical="center"/>
      <protection hidden="1"/>
    </xf>
    <xf numFmtId="1" fontId="22" fillId="73" borderId="2" xfId="1" applyNumberFormat="1" applyFont="1" applyFill="1" applyBorder="1" applyAlignment="1" applyProtection="1">
      <alignment horizontal="center" vertical="center" wrapText="1"/>
      <protection hidden="1"/>
    </xf>
    <xf numFmtId="1" fontId="22" fillId="73" borderId="0" xfId="1" applyNumberFormat="1" applyFont="1" applyFill="1" applyAlignment="1" applyProtection="1">
      <alignment horizontal="center" vertical="center" wrapText="1"/>
      <protection hidden="1"/>
    </xf>
    <xf numFmtId="1" fontId="13" fillId="15" borderId="2" xfId="1" applyNumberFormat="1" applyFont="1" applyFill="1" applyBorder="1" applyAlignment="1" applyProtection="1">
      <alignment horizontal="center" vertical="center" wrapText="1"/>
      <protection hidden="1"/>
    </xf>
    <xf numFmtId="1" fontId="13" fillId="15" borderId="0" xfId="1" applyNumberFormat="1" applyFont="1" applyFill="1" applyAlignment="1" applyProtection="1">
      <alignment horizontal="center" vertical="center" wrapText="1"/>
      <protection hidden="1"/>
    </xf>
    <xf numFmtId="1" fontId="26" fillId="16" borderId="2" xfId="1" applyNumberFormat="1" applyFont="1" applyFill="1" applyBorder="1" applyAlignment="1" applyProtection="1">
      <alignment horizontal="center" vertical="center" wrapText="1"/>
      <protection hidden="1"/>
    </xf>
    <xf numFmtId="1" fontId="26" fillId="16" borderId="0" xfId="1" applyNumberFormat="1" applyFont="1" applyFill="1" applyAlignment="1" applyProtection="1">
      <alignment horizontal="center" vertical="center" wrapText="1"/>
      <protection hidden="1"/>
    </xf>
    <xf numFmtId="1" fontId="26" fillId="28" borderId="2" xfId="1" applyNumberFormat="1" applyFont="1" applyFill="1" applyBorder="1" applyAlignment="1" applyProtection="1">
      <alignment horizontal="center" vertical="center" wrapText="1"/>
      <protection hidden="1"/>
    </xf>
    <xf numFmtId="1" fontId="26" fillId="28" borderId="0" xfId="1" applyNumberFormat="1" applyFont="1" applyFill="1" applyAlignment="1" applyProtection="1">
      <alignment horizontal="center" vertical="center" wrapText="1"/>
      <protection hidden="1"/>
    </xf>
    <xf numFmtId="1" fontId="26" fillId="38" borderId="2" xfId="1" applyNumberFormat="1" applyFont="1" applyFill="1" applyBorder="1" applyAlignment="1" applyProtection="1">
      <alignment horizontal="center" vertical="center"/>
      <protection hidden="1"/>
    </xf>
    <xf numFmtId="1" fontId="26" fillId="38" borderId="0" xfId="1" applyNumberFormat="1" applyFont="1" applyFill="1" applyAlignment="1" applyProtection="1">
      <alignment horizontal="center" vertical="center"/>
      <protection hidden="1"/>
    </xf>
    <xf numFmtId="1" fontId="22" fillId="14" borderId="2" xfId="1" applyNumberFormat="1" applyFont="1" applyFill="1" applyBorder="1" applyAlignment="1" applyProtection="1">
      <alignment horizontal="center" vertical="center" wrapText="1"/>
      <protection hidden="1"/>
    </xf>
    <xf numFmtId="1" fontId="22" fillId="14" borderId="0" xfId="1" applyNumberFormat="1" applyFont="1" applyFill="1" applyAlignment="1" applyProtection="1">
      <alignment horizontal="center" vertical="center" wrapText="1"/>
      <protection hidden="1"/>
    </xf>
    <xf numFmtId="1" fontId="22" fillId="75" borderId="2" xfId="1" applyNumberFormat="1" applyFont="1" applyFill="1" applyBorder="1" applyAlignment="1" applyProtection="1">
      <alignment horizontal="center" vertical="center" wrapText="1"/>
      <protection hidden="1"/>
    </xf>
    <xf numFmtId="1" fontId="22" fillId="75" borderId="0" xfId="1" applyNumberFormat="1" applyFont="1" applyFill="1" applyAlignment="1" applyProtection="1">
      <alignment horizontal="center" vertical="center" wrapText="1"/>
      <protection hidden="1"/>
    </xf>
    <xf numFmtId="1" fontId="31" fillId="76" borderId="2" xfId="1" applyNumberFormat="1" applyFont="1" applyFill="1" applyBorder="1" applyAlignment="1" applyProtection="1">
      <alignment horizontal="center" vertical="center" wrapText="1"/>
      <protection hidden="1"/>
    </xf>
    <xf numFmtId="1" fontId="31" fillId="76" borderId="0" xfId="1" applyNumberFormat="1" applyFont="1" applyFill="1" applyAlignment="1" applyProtection="1">
      <alignment horizontal="center" vertical="center" wrapText="1"/>
      <protection hidden="1"/>
    </xf>
    <xf numFmtId="1" fontId="13" fillId="77" borderId="2" xfId="1" applyNumberFormat="1" applyFont="1" applyFill="1" applyBorder="1" applyAlignment="1" applyProtection="1">
      <alignment horizontal="center" vertical="center" wrapText="1"/>
      <protection hidden="1"/>
    </xf>
    <xf numFmtId="1" fontId="13" fillId="77" borderId="0" xfId="1" applyNumberFormat="1" applyFont="1" applyFill="1" applyAlignment="1" applyProtection="1">
      <alignment horizontal="center" vertical="center" wrapText="1"/>
      <protection hidden="1"/>
    </xf>
    <xf numFmtId="1" fontId="26" fillId="83" borderId="2" xfId="1" applyNumberFormat="1" applyFont="1" applyFill="1" applyBorder="1" applyAlignment="1" applyProtection="1">
      <alignment horizontal="center" vertical="center" wrapText="1"/>
      <protection hidden="1"/>
    </xf>
    <xf numFmtId="1" fontId="26" fillId="83" borderId="0" xfId="1" applyNumberFormat="1" applyFont="1" applyFill="1" applyAlignment="1" applyProtection="1">
      <alignment horizontal="center" vertical="center" wrapText="1"/>
      <protection hidden="1"/>
    </xf>
    <xf numFmtId="1" fontId="31" fillId="14" borderId="2" xfId="1" applyNumberFormat="1" applyFont="1" applyFill="1" applyBorder="1" applyAlignment="1" applyProtection="1">
      <alignment horizontal="center" vertical="center" wrapText="1"/>
      <protection hidden="1"/>
    </xf>
    <xf numFmtId="1" fontId="31" fillId="14" borderId="0" xfId="1" applyNumberFormat="1" applyFont="1" applyFill="1" applyAlignment="1" applyProtection="1">
      <alignment horizontal="center" vertical="center" wrapText="1"/>
      <protection hidden="1"/>
    </xf>
    <xf numFmtId="1" fontId="13" fillId="80" borderId="2" xfId="1" applyNumberFormat="1" applyFont="1" applyFill="1" applyBorder="1" applyAlignment="1" applyProtection="1">
      <alignment horizontal="center" vertical="center" wrapText="1"/>
      <protection hidden="1"/>
    </xf>
    <xf numFmtId="1" fontId="13" fillId="80" borderId="0" xfId="1" applyNumberFormat="1" applyFont="1" applyFill="1" applyAlignment="1" applyProtection="1">
      <alignment horizontal="center" vertical="center" wrapText="1"/>
      <protection hidden="1"/>
    </xf>
    <xf numFmtId="2" fontId="170" fillId="46" borderId="2" xfId="1" applyNumberFormat="1" applyFont="1" applyFill="1" applyBorder="1" applyAlignment="1" applyProtection="1">
      <alignment horizontal="center" vertical="center" wrapText="1"/>
      <protection locked="0"/>
    </xf>
    <xf numFmtId="2" fontId="170" fillId="46" borderId="0" xfId="1" applyNumberFormat="1" applyFont="1" applyFill="1" applyAlignment="1" applyProtection="1">
      <alignment horizontal="center" vertical="center" wrapText="1"/>
      <protection locked="0"/>
    </xf>
    <xf numFmtId="1" fontId="26" fillId="82" borderId="2" xfId="1" applyNumberFormat="1" applyFont="1" applyFill="1" applyBorder="1" applyAlignment="1" applyProtection="1">
      <alignment horizontal="center" vertical="center" wrapText="1"/>
      <protection hidden="1"/>
    </xf>
    <xf numFmtId="1" fontId="26" fillId="82" borderId="0" xfId="1" applyNumberFormat="1" applyFont="1" applyFill="1" applyAlignment="1" applyProtection="1">
      <alignment horizontal="center" vertical="center" wrapText="1"/>
      <protection hidden="1"/>
    </xf>
    <xf numFmtId="2" fontId="170" fillId="46" borderId="2" xfId="1" applyNumberFormat="1" applyFont="1" applyFill="1" applyBorder="1" applyAlignment="1" applyProtection="1">
      <alignment horizontal="center" vertical="center"/>
      <protection locked="0"/>
    </xf>
    <xf numFmtId="2" fontId="170" fillId="46" borderId="0" xfId="1" applyNumberFormat="1" applyFont="1" applyFill="1" applyAlignment="1" applyProtection="1">
      <alignment horizontal="center" vertical="center"/>
      <protection locked="0"/>
    </xf>
    <xf numFmtId="1" fontId="26" fillId="81" borderId="2" xfId="1" applyNumberFormat="1" applyFont="1" applyFill="1" applyBorder="1" applyAlignment="1" applyProtection="1">
      <alignment horizontal="center" vertical="center" wrapText="1"/>
      <protection hidden="1"/>
    </xf>
    <xf numFmtId="1" fontId="26" fillId="81" borderId="0" xfId="1" applyNumberFormat="1" applyFont="1" applyFill="1" applyAlignment="1" applyProtection="1">
      <alignment horizontal="center" vertical="center" wrapText="1"/>
      <protection hidden="1"/>
    </xf>
    <xf numFmtId="1" fontId="31" fillId="69" borderId="2" xfId="1" applyNumberFormat="1" applyFont="1" applyFill="1" applyBorder="1" applyAlignment="1" applyProtection="1">
      <alignment horizontal="center" vertical="center" wrapText="1"/>
      <protection hidden="1"/>
    </xf>
    <xf numFmtId="1" fontId="31" fillId="69" borderId="0" xfId="1" applyNumberFormat="1" applyFont="1" applyFill="1" applyAlignment="1" applyProtection="1">
      <alignment horizontal="center" vertical="center" wrapText="1"/>
      <protection hidden="1"/>
    </xf>
    <xf numFmtId="1" fontId="26" fillId="85" borderId="2" xfId="1" applyNumberFormat="1" applyFont="1" applyFill="1" applyBorder="1" applyAlignment="1" applyProtection="1">
      <alignment horizontal="center" vertical="center" wrapText="1"/>
      <protection hidden="1"/>
    </xf>
    <xf numFmtId="1" fontId="26" fillId="85" borderId="0" xfId="1" applyNumberFormat="1" applyFont="1" applyFill="1" applyAlignment="1" applyProtection="1">
      <alignment horizontal="center" vertical="center" wrapText="1"/>
      <protection hidden="1"/>
    </xf>
    <xf numFmtId="1" fontId="22" fillId="68" borderId="2" xfId="1" applyNumberFormat="1" applyFont="1" applyFill="1" applyBorder="1" applyAlignment="1" applyProtection="1">
      <alignment horizontal="center" vertical="center" wrapText="1"/>
      <protection hidden="1"/>
    </xf>
    <xf numFmtId="1" fontId="22" fillId="68" borderId="0" xfId="1" applyNumberFormat="1" applyFont="1" applyFill="1" applyAlignment="1" applyProtection="1">
      <alignment horizontal="center" vertical="center" wrapText="1"/>
      <protection hidden="1"/>
    </xf>
    <xf numFmtId="1" fontId="26" fillId="86" borderId="2" xfId="1" applyNumberFormat="1" applyFont="1" applyFill="1" applyBorder="1" applyAlignment="1" applyProtection="1">
      <alignment horizontal="center" vertical="center" wrapText="1"/>
      <protection hidden="1"/>
    </xf>
    <xf numFmtId="1" fontId="26" fillId="86" borderId="0" xfId="1" applyNumberFormat="1" applyFont="1" applyFill="1" applyAlignment="1" applyProtection="1">
      <alignment horizontal="center" vertical="center" wrapText="1"/>
      <protection hidden="1"/>
    </xf>
    <xf numFmtId="1" fontId="26" fillId="87" borderId="2" xfId="1" applyNumberFormat="1" applyFont="1" applyFill="1" applyBorder="1" applyAlignment="1" applyProtection="1">
      <alignment horizontal="center" vertical="center" wrapText="1"/>
      <protection hidden="1"/>
    </xf>
    <xf numFmtId="1" fontId="26" fillId="87" borderId="0" xfId="1" applyNumberFormat="1" applyFont="1" applyFill="1" applyAlignment="1" applyProtection="1">
      <alignment horizontal="center" vertical="center" wrapText="1"/>
      <protection hidden="1"/>
    </xf>
    <xf numFmtId="1" fontId="31" fillId="88" borderId="2" xfId="1" applyNumberFormat="1" applyFont="1" applyFill="1" applyBorder="1" applyAlignment="1" applyProtection="1">
      <alignment horizontal="center" vertical="center" wrapText="1"/>
      <protection hidden="1"/>
    </xf>
    <xf numFmtId="1" fontId="31" fillId="88" borderId="0" xfId="1" applyNumberFormat="1" applyFont="1" applyFill="1" applyAlignment="1" applyProtection="1">
      <alignment horizontal="center" vertical="center" wrapText="1"/>
      <protection hidden="1"/>
    </xf>
    <xf numFmtId="1" fontId="22" fillId="84" borderId="0" xfId="1" applyNumberFormat="1" applyFont="1" applyFill="1" applyAlignment="1" applyProtection="1">
      <alignment horizontal="center" vertical="center" wrapText="1"/>
      <protection hidden="1"/>
    </xf>
    <xf numFmtId="1" fontId="13" fillId="87" borderId="0" xfId="1" applyNumberFormat="1" applyFont="1" applyFill="1" applyAlignment="1" applyProtection="1">
      <alignment horizontal="center" vertical="center" wrapText="1"/>
      <protection hidden="1"/>
    </xf>
    <xf numFmtId="1" fontId="13" fillId="86" borderId="0" xfId="1" applyNumberFormat="1" applyFont="1" applyFill="1" applyAlignment="1" applyProtection="1">
      <alignment horizontal="center" vertical="center" wrapText="1"/>
      <protection hidden="1"/>
    </xf>
    <xf numFmtId="0" fontId="48" fillId="8" borderId="32" xfId="6" applyFont="1" applyFill="1" applyBorder="1" applyAlignment="1">
      <alignment horizontal="center" vertical="center"/>
    </xf>
    <xf numFmtId="0" fontId="48" fillId="8" borderId="33" xfId="6" applyFont="1" applyFill="1" applyBorder="1" applyAlignment="1">
      <alignment horizontal="center" vertical="center"/>
    </xf>
    <xf numFmtId="1" fontId="31" fillId="78" borderId="2" xfId="1" applyNumberFormat="1" applyFont="1" applyFill="1" applyBorder="1" applyAlignment="1" applyProtection="1">
      <alignment horizontal="center" vertical="center" wrapText="1"/>
      <protection hidden="1"/>
    </xf>
    <xf numFmtId="1" fontId="31" fillId="78" borderId="0" xfId="1" applyNumberFormat="1" applyFont="1" applyFill="1" applyAlignment="1" applyProtection="1">
      <alignment horizontal="center" vertical="center" wrapText="1"/>
      <protection hidden="1"/>
    </xf>
    <xf numFmtId="0" fontId="48" fillId="8" borderId="35" xfId="6" applyFont="1" applyFill="1" applyBorder="1" applyAlignment="1">
      <alignment horizontal="center" vertical="center"/>
    </xf>
    <xf numFmtId="0" fontId="48" fillId="8" borderId="37" xfId="6" applyFont="1" applyFill="1" applyBorder="1" applyAlignment="1">
      <alignment horizontal="center" vertical="center"/>
    </xf>
    <xf numFmtId="1" fontId="13" fillId="85" borderId="0" xfId="1" applyNumberFormat="1" applyFont="1" applyFill="1" applyAlignment="1" applyProtection="1">
      <alignment horizontal="center" vertical="center" wrapText="1"/>
      <protection hidden="1"/>
    </xf>
    <xf numFmtId="1" fontId="31" fillId="84" borderId="2" xfId="1" applyNumberFormat="1" applyFont="1" applyFill="1" applyBorder="1" applyAlignment="1" applyProtection="1">
      <alignment horizontal="center" vertical="center" wrapText="1"/>
      <protection hidden="1"/>
    </xf>
    <xf numFmtId="1" fontId="31" fillId="84" borderId="0" xfId="1" applyNumberFormat="1" applyFont="1" applyFill="1" applyAlignment="1" applyProtection="1">
      <alignment horizontal="center" vertical="center" wrapText="1"/>
      <protection hidden="1"/>
    </xf>
    <xf numFmtId="1" fontId="13" fillId="79" borderId="0" xfId="1" applyNumberFormat="1" applyFont="1" applyFill="1" applyAlignment="1" applyProtection="1">
      <alignment horizontal="center" vertical="center" wrapText="1"/>
      <protection hidden="1"/>
    </xf>
    <xf numFmtId="0" fontId="26" fillId="13" borderId="2" xfId="1" applyFont="1" applyFill="1" applyBorder="1" applyAlignment="1">
      <alignment horizontal="center" vertical="center" wrapText="1"/>
    </xf>
    <xf numFmtId="0" fontId="26" fillId="13" borderId="0" xfId="1" applyFont="1" applyFill="1" applyAlignment="1">
      <alignment horizontal="center" vertical="center" wrapText="1"/>
    </xf>
    <xf numFmtId="1" fontId="26" fillId="15" borderId="2" xfId="1" applyNumberFormat="1" applyFont="1" applyFill="1" applyBorder="1" applyAlignment="1" applyProtection="1">
      <alignment horizontal="center" vertical="center" wrapText="1"/>
      <protection hidden="1"/>
    </xf>
    <xf numFmtId="1" fontId="26" fillId="15" borderId="0" xfId="1" applyNumberFormat="1" applyFont="1" applyFill="1" applyAlignment="1" applyProtection="1">
      <alignment horizontal="center" vertical="center" wrapText="1"/>
      <protection hidden="1"/>
    </xf>
    <xf numFmtId="1" fontId="72" fillId="14" borderId="0" xfId="1" applyNumberFormat="1" applyFont="1" applyFill="1" applyAlignment="1" applyProtection="1">
      <alignment horizontal="center" vertical="center" wrapText="1"/>
      <protection hidden="1"/>
    </xf>
    <xf numFmtId="1" fontId="13" fillId="83" borderId="0" xfId="1" applyNumberFormat="1" applyFont="1" applyFill="1" applyAlignment="1" applyProtection="1">
      <alignment horizontal="center" vertical="center" wrapText="1"/>
      <protection hidden="1"/>
    </xf>
    <xf numFmtId="1" fontId="31" fillId="73" borderId="2" xfId="1" applyNumberFormat="1" applyFont="1" applyFill="1" applyBorder="1" applyAlignment="1" applyProtection="1">
      <alignment horizontal="center" vertical="center" wrapText="1"/>
      <protection hidden="1"/>
    </xf>
    <xf numFmtId="1" fontId="31" fillId="73" borderId="0" xfId="1" applyNumberFormat="1" applyFont="1" applyFill="1" applyAlignment="1" applyProtection="1">
      <alignment horizontal="center" vertical="center" wrapText="1"/>
      <protection hidden="1"/>
    </xf>
    <xf numFmtId="1" fontId="22" fillId="69" borderId="0" xfId="1" applyNumberFormat="1" applyFont="1" applyFill="1" applyAlignment="1" applyProtection="1">
      <alignment horizontal="center" vertical="center" wrapText="1"/>
      <protection hidden="1"/>
    </xf>
    <xf numFmtId="1" fontId="13" fillId="81" borderId="0" xfId="1" applyNumberFormat="1" applyFont="1" applyFill="1" applyAlignment="1" applyProtection="1">
      <alignment horizontal="center" vertical="center" wrapText="1"/>
      <protection hidden="1"/>
    </xf>
    <xf numFmtId="1" fontId="13" fillId="82" borderId="0" xfId="1" applyNumberFormat="1" applyFont="1" applyFill="1" applyAlignment="1" applyProtection="1">
      <alignment horizontal="center" vertical="center" wrapText="1"/>
      <protection hidden="1"/>
    </xf>
    <xf numFmtId="0" fontId="45" fillId="8" borderId="32" xfId="6" applyFont="1" applyFill="1" applyBorder="1" applyAlignment="1">
      <alignment horizontal="center" vertical="center"/>
    </xf>
    <xf numFmtId="0" fontId="45" fillId="8" borderId="33" xfId="6" applyFont="1" applyFill="1" applyBorder="1" applyAlignment="1">
      <alignment horizontal="center" vertical="center"/>
    </xf>
    <xf numFmtId="1" fontId="13" fillId="8" borderId="52" xfId="1" applyNumberFormat="1" applyFont="1" applyFill="1" applyBorder="1" applyAlignment="1" applyProtection="1">
      <alignment horizontal="center" vertical="center" wrapText="1"/>
      <protection hidden="1"/>
    </xf>
    <xf numFmtId="1" fontId="13" fillId="8" borderId="103" xfId="1" applyNumberFormat="1" applyFont="1" applyFill="1" applyBorder="1" applyAlignment="1" applyProtection="1">
      <alignment horizontal="center" vertical="center" wrapText="1"/>
      <protection hidden="1"/>
    </xf>
    <xf numFmtId="1" fontId="13" fillId="8" borderId="35" xfId="1" applyNumberFormat="1" applyFont="1" applyFill="1" applyBorder="1" applyAlignment="1" applyProtection="1">
      <alignment horizontal="center" vertical="center" wrapText="1"/>
      <protection hidden="1"/>
    </xf>
    <xf numFmtId="1" fontId="13" fillId="8" borderId="37" xfId="1" applyNumberFormat="1" applyFont="1" applyFill="1" applyBorder="1" applyAlignment="1" applyProtection="1">
      <alignment horizontal="center" vertical="center" wrapText="1"/>
      <protection hidden="1"/>
    </xf>
    <xf numFmtId="0" fontId="45" fillId="8" borderId="52" xfId="6" applyFont="1" applyFill="1" applyBorder="1" applyAlignment="1">
      <alignment horizontal="center" vertical="center"/>
    </xf>
    <xf numFmtId="0" fontId="45" fillId="8" borderId="103" xfId="6" applyFont="1" applyFill="1" applyBorder="1" applyAlignment="1">
      <alignment horizontal="center" vertical="center"/>
    </xf>
    <xf numFmtId="1" fontId="26" fillId="79" borderId="2" xfId="1" applyNumberFormat="1" applyFont="1" applyFill="1" applyBorder="1" applyAlignment="1" applyProtection="1">
      <alignment horizontal="center" vertical="center" wrapText="1"/>
      <protection hidden="1"/>
    </xf>
    <xf numFmtId="1" fontId="26" fillId="79" borderId="0" xfId="1" applyNumberFormat="1" applyFont="1" applyFill="1" applyAlignment="1" applyProtection="1">
      <alignment horizontal="center" vertical="center" wrapText="1"/>
      <protection hidden="1"/>
    </xf>
    <xf numFmtId="1" fontId="200" fillId="73" borderId="2" xfId="1" applyNumberFormat="1" applyFont="1" applyFill="1" applyBorder="1" applyAlignment="1" applyProtection="1">
      <alignment horizontal="center" vertical="center" wrapText="1"/>
      <protection hidden="1"/>
    </xf>
    <xf numFmtId="1" fontId="200" fillId="73" borderId="0" xfId="1" applyNumberFormat="1" applyFont="1" applyFill="1" applyAlignment="1" applyProtection="1">
      <alignment horizontal="center" vertical="center" wrapText="1"/>
      <protection hidden="1"/>
    </xf>
    <xf numFmtId="1" fontId="13" fillId="79" borderId="2" xfId="1" applyNumberFormat="1" applyFont="1" applyFill="1" applyBorder="1" applyAlignment="1" applyProtection="1">
      <alignment horizontal="center" vertical="center" wrapText="1"/>
      <protection hidden="1"/>
    </xf>
    <xf numFmtId="0" fontId="13" fillId="8" borderId="56" xfId="6" applyFont="1" applyFill="1" applyBorder="1" applyAlignment="1">
      <alignment horizontal="center"/>
    </xf>
    <xf numFmtId="0" fontId="24" fillId="8" borderId="52" xfId="6" applyFont="1" applyFill="1" applyBorder="1" applyAlignment="1">
      <alignment horizontal="center" vertical="center" wrapText="1"/>
    </xf>
    <xf numFmtId="0" fontId="24" fillId="8" borderId="103" xfId="6" applyFont="1" applyFill="1" applyBorder="1" applyAlignment="1">
      <alignment horizontal="center" vertical="center" wrapText="1"/>
    </xf>
    <xf numFmtId="0" fontId="24" fillId="8" borderId="32" xfId="6" applyFont="1" applyFill="1" applyBorder="1" applyAlignment="1">
      <alignment horizontal="center" vertical="center" wrapText="1"/>
    </xf>
    <xf numFmtId="0" fontId="24" fillId="8" borderId="33" xfId="6" applyFont="1" applyFill="1" applyBorder="1" applyAlignment="1">
      <alignment horizontal="center" vertical="center" wrapText="1"/>
    </xf>
    <xf numFmtId="0" fontId="24" fillId="8" borderId="35" xfId="6" applyFont="1" applyFill="1" applyBorder="1" applyAlignment="1">
      <alignment horizontal="center" vertical="center" wrapText="1"/>
    </xf>
    <xf numFmtId="0" fontId="24" fillId="8" borderId="37" xfId="6" applyFont="1" applyFill="1" applyBorder="1" applyAlignment="1">
      <alignment horizontal="center" vertical="center" wrapText="1"/>
    </xf>
    <xf numFmtId="1" fontId="22" fillId="78" borderId="0" xfId="1" applyNumberFormat="1" applyFont="1" applyFill="1" applyAlignment="1" applyProtection="1">
      <alignment horizontal="center" vertical="center" wrapText="1"/>
      <protection hidden="1"/>
    </xf>
    <xf numFmtId="1" fontId="26" fillId="38" borderId="2" xfId="1" applyNumberFormat="1" applyFont="1" applyFill="1" applyBorder="1" applyAlignment="1" applyProtection="1">
      <alignment horizontal="center" vertical="center" wrapText="1"/>
      <protection hidden="1"/>
    </xf>
    <xf numFmtId="1" fontId="26" fillId="38" borderId="0" xfId="1" applyNumberFormat="1" applyFont="1" applyFill="1" applyAlignment="1" applyProtection="1">
      <alignment horizontal="center" vertical="center" wrapText="1"/>
      <protection hidden="1"/>
    </xf>
    <xf numFmtId="0" fontId="169" fillId="22" borderId="0" xfId="3" applyFont="1" applyFill="1" applyAlignment="1">
      <alignment horizontal="left" vertical="center" wrapText="1"/>
    </xf>
    <xf numFmtId="0" fontId="1" fillId="26" borderId="0" xfId="3" applyFill="1" applyAlignment="1">
      <alignment horizontal="left" vertical="center" wrapText="1"/>
    </xf>
    <xf numFmtId="1" fontId="26" fillId="72" borderId="0" xfId="1" applyNumberFormat="1" applyFont="1" applyFill="1" applyAlignment="1" applyProtection="1">
      <alignment horizontal="center" vertical="center" wrapText="1"/>
      <protection hidden="1"/>
    </xf>
    <xf numFmtId="1" fontId="26" fillId="72" borderId="2" xfId="1" applyNumberFormat="1" applyFont="1" applyFill="1" applyBorder="1" applyAlignment="1" applyProtection="1">
      <alignment horizontal="center" vertical="center" wrapText="1"/>
      <protection hidden="1"/>
    </xf>
    <xf numFmtId="0" fontId="165" fillId="44" borderId="0" xfId="1" applyFont="1" applyFill="1" applyAlignment="1">
      <alignment horizontal="center" vertical="center" wrapText="1"/>
    </xf>
    <xf numFmtId="0" fontId="88" fillId="7" borderId="135" xfId="0" applyFont="1" applyFill="1" applyBorder="1" applyAlignment="1">
      <alignment horizontal="left" vertical="center"/>
    </xf>
    <xf numFmtId="0" fontId="88" fillId="7" borderId="131" xfId="0" applyFont="1" applyFill="1" applyBorder="1" applyAlignment="1">
      <alignment horizontal="left" vertical="center"/>
    </xf>
    <xf numFmtId="0" fontId="36" fillId="8" borderId="131" xfId="0" applyFont="1" applyFill="1" applyBorder="1" applyAlignment="1">
      <alignment horizontal="left" vertical="center" wrapText="1"/>
    </xf>
    <xf numFmtId="0" fontId="36" fillId="8" borderId="145" xfId="0" applyFont="1" applyFill="1" applyBorder="1" applyAlignment="1">
      <alignment horizontal="left" vertical="center" wrapText="1"/>
    </xf>
    <xf numFmtId="0" fontId="13" fillId="8" borderId="131" xfId="1" applyFont="1" applyFill="1" applyBorder="1" applyAlignment="1" applyProtection="1">
      <alignment horizontal="left" vertical="center" wrapText="1"/>
      <protection locked="0"/>
    </xf>
    <xf numFmtId="0" fontId="104" fillId="0" borderId="131" xfId="0" applyFont="1" applyBorder="1" applyAlignment="1">
      <alignment horizontal="left" vertical="center" wrapText="1"/>
    </xf>
    <xf numFmtId="0" fontId="104" fillId="0" borderId="133" xfId="0" applyFont="1" applyBorder="1" applyAlignment="1">
      <alignment horizontal="left" vertical="center" wrapText="1"/>
    </xf>
    <xf numFmtId="0" fontId="0" fillId="16" borderId="131" xfId="0" applyFill="1" applyBorder="1" applyAlignment="1">
      <alignment horizontal="left" vertical="center" wrapText="1"/>
    </xf>
    <xf numFmtId="0" fontId="4" fillId="7" borderId="135" xfId="0" applyFont="1" applyFill="1" applyBorder="1" applyAlignment="1">
      <alignment horizontal="left" vertical="center" wrapText="1"/>
    </xf>
    <xf numFmtId="0" fontId="4" fillId="7" borderId="131" xfId="0" applyFont="1" applyFill="1" applyBorder="1" applyAlignment="1">
      <alignment horizontal="left" vertical="center" wrapText="1"/>
    </xf>
    <xf numFmtId="0" fontId="123" fillId="17" borderId="130" xfId="0" applyFont="1" applyFill="1" applyBorder="1" applyAlignment="1">
      <alignment horizontal="center" vertical="center" wrapText="1"/>
    </xf>
    <xf numFmtId="0" fontId="123" fillId="17" borderId="131" xfId="0" applyFont="1" applyFill="1" applyBorder="1" applyAlignment="1">
      <alignment horizontal="center" vertical="center" wrapText="1"/>
    </xf>
    <xf numFmtId="0" fontId="0" fillId="0" borderId="131" xfId="0" applyBorder="1" applyAlignment="1">
      <alignment horizontal="center" vertical="center" wrapText="1"/>
    </xf>
    <xf numFmtId="0" fontId="13" fillId="8" borderId="0" xfId="1" applyFont="1" applyFill="1" applyAlignment="1" applyProtection="1">
      <alignment horizontal="left" vertical="center" wrapText="1"/>
      <protection hidden="1"/>
    </xf>
    <xf numFmtId="0" fontId="546" fillId="44" borderId="16" xfId="8" applyFont="1" applyFill="1" applyBorder="1" applyAlignment="1">
      <alignment horizontal="center" vertical="center"/>
    </xf>
    <xf numFmtId="0" fontId="546" fillId="44" borderId="267" xfId="8" applyFont="1" applyFill="1" applyBorder="1" applyAlignment="1">
      <alignment horizontal="center" vertical="center"/>
    </xf>
    <xf numFmtId="0" fontId="76" fillId="8" borderId="0" xfId="1" applyFont="1" applyFill="1" applyAlignment="1" applyProtection="1">
      <alignment horizontal="center" vertical="center"/>
      <protection hidden="1"/>
    </xf>
    <xf numFmtId="0" fontId="1" fillId="8" borderId="0" xfId="0" applyFont="1" applyFill="1" applyAlignment="1">
      <alignment horizontal="left" vertical="center" wrapText="1"/>
    </xf>
    <xf numFmtId="0" fontId="134" fillId="8" borderId="0" xfId="1" applyFont="1" applyFill="1" applyAlignment="1" applyProtection="1">
      <alignment horizontal="center" vertical="center"/>
      <protection hidden="1"/>
    </xf>
    <xf numFmtId="0" fontId="13" fillId="8" borderId="0" xfId="1" applyFont="1" applyFill="1" applyAlignment="1" applyProtection="1">
      <alignment horizontal="center" vertical="center" wrapText="1"/>
      <protection hidden="1"/>
    </xf>
    <xf numFmtId="0" fontId="21" fillId="8" borderId="0" xfId="1" applyFont="1" applyFill="1" applyAlignment="1" applyProtection="1">
      <alignment horizontal="left" vertical="center" wrapText="1"/>
      <protection hidden="1"/>
    </xf>
    <xf numFmtId="0" fontId="39" fillId="8" borderId="0" xfId="0" applyFont="1" applyFill="1" applyAlignment="1">
      <alignment horizontal="center" vertical="center" wrapText="1"/>
    </xf>
    <xf numFmtId="0" fontId="39" fillId="8" borderId="0" xfId="1" applyFont="1" applyFill="1" applyAlignment="1" applyProtection="1">
      <alignment horizontal="center" vertical="center" wrapText="1"/>
      <protection hidden="1"/>
    </xf>
    <xf numFmtId="0" fontId="40" fillId="8" borderId="0" xfId="1" applyFont="1" applyFill="1" applyAlignment="1" applyProtection="1">
      <alignment horizontal="left" vertical="center" wrapText="1"/>
      <protection hidden="1"/>
    </xf>
    <xf numFmtId="0" fontId="39" fillId="8" borderId="0" xfId="3" applyFont="1" applyFill="1" applyAlignment="1">
      <alignment horizontal="center" vertical="center" wrapText="1"/>
    </xf>
    <xf numFmtId="0" fontId="329" fillId="22" borderId="2" xfId="1" applyFont="1" applyFill="1" applyBorder="1" applyAlignment="1">
      <alignment horizontal="center" vertical="center"/>
    </xf>
    <xf numFmtId="0" fontId="329" fillId="22" borderId="0" xfId="1" applyFont="1" applyFill="1" applyAlignment="1">
      <alignment horizontal="center" vertical="center"/>
    </xf>
    <xf numFmtId="0" fontId="155" fillId="8" borderId="0" xfId="0" applyFont="1" applyFill="1" applyAlignment="1">
      <alignment horizontal="center" vertical="center"/>
    </xf>
    <xf numFmtId="0" fontId="377" fillId="8" borderId="0" xfId="1" applyFont="1" applyFill="1" applyAlignment="1" applyProtection="1">
      <alignment horizontal="center" vertical="center"/>
      <protection hidden="1"/>
    </xf>
    <xf numFmtId="0" fontId="546" fillId="8" borderId="16" xfId="8" applyFont="1" applyFill="1" applyBorder="1" applyAlignment="1">
      <alignment horizontal="center" vertical="center"/>
    </xf>
    <xf numFmtId="0" fontId="546" fillId="8" borderId="267" xfId="8" applyFont="1" applyFill="1" applyBorder="1" applyAlignment="1">
      <alignment horizontal="center" vertical="center"/>
    </xf>
    <xf numFmtId="0" fontId="169" fillId="8" borderId="220" xfId="5" applyFont="1" applyFill="1" applyBorder="1" applyAlignment="1">
      <alignment horizontal="center" vertical="center"/>
    </xf>
    <xf numFmtId="0" fontId="169" fillId="8" borderId="221" xfId="5" applyFont="1" applyFill="1" applyBorder="1" applyAlignment="1">
      <alignment horizontal="center" vertical="center"/>
    </xf>
    <xf numFmtId="0" fontId="176" fillId="22" borderId="2" xfId="5" applyFont="1" applyFill="1" applyBorder="1" applyAlignment="1">
      <alignment horizontal="center" vertical="center"/>
    </xf>
    <xf numFmtId="0" fontId="176" fillId="22" borderId="0" xfId="5" applyFont="1" applyFill="1" applyAlignment="1">
      <alignment horizontal="center" vertical="center"/>
    </xf>
    <xf numFmtId="0" fontId="155" fillId="22" borderId="2" xfId="2" applyFont="1" applyFill="1" applyBorder="1" applyAlignment="1">
      <alignment horizontal="center" vertical="center"/>
    </xf>
    <xf numFmtId="0" fontId="155" fillId="22" borderId="0" xfId="2" applyFont="1" applyFill="1" applyAlignment="1">
      <alignment horizontal="center" vertical="center"/>
    </xf>
    <xf numFmtId="0" fontId="44" fillId="8" borderId="0" xfId="1" applyFont="1" applyFill="1" applyAlignment="1" applyProtection="1">
      <alignment horizontal="left" vertical="center" wrapText="1"/>
      <protection hidden="1"/>
    </xf>
    <xf numFmtId="0" fontId="80" fillId="109" borderId="2" xfId="1" applyFont="1" applyFill="1" applyBorder="1" applyAlignment="1">
      <alignment horizontal="center" vertical="center" wrapText="1"/>
    </xf>
    <xf numFmtId="0" fontId="80" fillId="109" borderId="0" xfId="1" applyFont="1" applyFill="1" applyAlignment="1">
      <alignment horizontal="center" vertical="center" wrapText="1"/>
    </xf>
    <xf numFmtId="0" fontId="80" fillId="22" borderId="2" xfId="8" applyFont="1" applyFill="1" applyBorder="1" applyAlignment="1">
      <alignment horizontal="center" vertical="center"/>
    </xf>
    <xf numFmtId="0" fontId="80" fillId="22" borderId="0" xfId="8" applyFont="1" applyFill="1" applyAlignment="1">
      <alignment horizontal="center" vertical="center"/>
    </xf>
    <xf numFmtId="0" fontId="155" fillId="22" borderId="2" xfId="0" applyFont="1" applyFill="1" applyBorder="1" applyAlignment="1">
      <alignment horizontal="center" vertical="center"/>
    </xf>
    <xf numFmtId="0" fontId="155" fillId="22" borderId="0" xfId="0" applyFont="1" applyFill="1" applyAlignment="1">
      <alignment horizontal="center" vertical="center"/>
    </xf>
    <xf numFmtId="0" fontId="200" fillId="113" borderId="7" xfId="1" applyFont="1" applyFill="1" applyBorder="1" applyAlignment="1">
      <alignment horizontal="center" vertical="center"/>
    </xf>
    <xf numFmtId="0" fontId="200" fillId="113" borderId="6" xfId="1" applyFont="1" applyFill="1" applyBorder="1" applyAlignment="1">
      <alignment horizontal="center" vertical="center"/>
    </xf>
    <xf numFmtId="0" fontId="88" fillId="4" borderId="2" xfId="27" applyFont="1" applyFill="1" applyBorder="1" applyAlignment="1">
      <alignment horizontal="center" vertical="center"/>
    </xf>
    <xf numFmtId="0" fontId="88" fillId="4" borderId="8" xfId="27" applyFont="1" applyFill="1" applyBorder="1" applyAlignment="1">
      <alignment horizontal="center" vertical="center"/>
    </xf>
    <xf numFmtId="0" fontId="91" fillId="4" borderId="6" xfId="1" applyFont="1" applyFill="1" applyBorder="1" applyAlignment="1">
      <alignment horizontal="center" vertical="center" textRotation="90"/>
    </xf>
    <xf numFmtId="0" fontId="91" fillId="4" borderId="58" xfId="1" applyFont="1" applyFill="1" applyBorder="1" applyAlignment="1">
      <alignment horizontal="center" vertical="center" textRotation="90"/>
    </xf>
    <xf numFmtId="0" fontId="1" fillId="8" borderId="0" xfId="27" applyFont="1" applyFill="1" applyAlignment="1">
      <alignment horizontal="left" vertical="center" wrapText="1"/>
    </xf>
    <xf numFmtId="0" fontId="1" fillId="8" borderId="9" xfId="27" applyFont="1" applyFill="1" applyBorder="1" applyAlignment="1">
      <alignment horizontal="left" vertical="center" wrapText="1"/>
    </xf>
    <xf numFmtId="0" fontId="71" fillId="8" borderId="0" xfId="27" applyFill="1" applyAlignment="1">
      <alignment horizontal="left" vertical="top" wrapText="1"/>
    </xf>
    <xf numFmtId="0" fontId="71" fillId="8" borderId="9" xfId="27" applyFill="1" applyBorder="1" applyAlignment="1">
      <alignment horizontal="left" vertical="top" wrapText="1"/>
    </xf>
    <xf numFmtId="0" fontId="1" fillId="8" borderId="0" xfId="27" applyFont="1" applyFill="1" applyAlignment="1">
      <alignment horizontal="left" vertical="top" wrapText="1"/>
    </xf>
    <xf numFmtId="0" fontId="1" fillId="8" borderId="9" xfId="27" applyFont="1" applyFill="1" applyBorder="1" applyAlignment="1">
      <alignment horizontal="left" vertical="top" wrapText="1"/>
    </xf>
    <xf numFmtId="0" fontId="71" fillId="8" borderId="0" xfId="27" applyFill="1" applyAlignment="1">
      <alignment horizontal="center" vertical="top" wrapText="1"/>
    </xf>
    <xf numFmtId="0" fontId="71" fillId="8" borderId="9" xfId="27" applyFill="1" applyBorder="1" applyAlignment="1">
      <alignment horizontal="center" vertical="top" wrapText="1"/>
    </xf>
    <xf numFmtId="0" fontId="1" fillId="8" borderId="0" xfId="27" applyFont="1" applyFill="1" applyAlignment="1">
      <alignment horizontal="center" vertical="top" wrapText="1"/>
    </xf>
    <xf numFmtId="0" fontId="1" fillId="8" borderId="9" xfId="27" applyFont="1" applyFill="1" applyBorder="1" applyAlignment="1">
      <alignment horizontal="center" vertical="top" wrapText="1"/>
    </xf>
    <xf numFmtId="0" fontId="71" fillId="8" borderId="0" xfId="27" applyFill="1" applyAlignment="1">
      <alignment horizontal="left" vertical="center" wrapText="1"/>
    </xf>
    <xf numFmtId="0" fontId="71" fillId="8" borderId="9" xfId="27" applyFill="1" applyBorder="1" applyAlignment="1">
      <alignment horizontal="left" vertical="center" wrapText="1"/>
    </xf>
    <xf numFmtId="0" fontId="71" fillId="8" borderId="0" xfId="27" applyFill="1" applyAlignment="1">
      <alignment horizontal="left" wrapText="1"/>
    </xf>
    <xf numFmtId="0" fontId="71" fillId="8" borderId="9" xfId="27" applyFill="1" applyBorder="1" applyAlignment="1">
      <alignment horizontal="left" wrapText="1"/>
    </xf>
    <xf numFmtId="0" fontId="88" fillId="115" borderId="2" xfId="2" applyFont="1" applyFill="1" applyBorder="1" applyAlignment="1">
      <alignment horizontal="center" vertical="center"/>
    </xf>
    <xf numFmtId="0" fontId="30" fillId="115" borderId="6" xfId="1" applyFont="1" applyFill="1" applyBorder="1" applyAlignment="1">
      <alignment horizontal="center"/>
    </xf>
    <xf numFmtId="0" fontId="30" fillId="115" borderId="58" xfId="1" applyFont="1" applyFill="1" applyBorder="1" applyAlignment="1">
      <alignment horizontal="center"/>
    </xf>
    <xf numFmtId="0" fontId="336" fillId="116" borderId="0" xfId="3" applyFont="1" applyFill="1" applyAlignment="1">
      <alignment horizontal="center" vertical="center"/>
    </xf>
    <xf numFmtId="0" fontId="336" fillId="116" borderId="9" xfId="3" applyFont="1" applyFill="1" applyBorder="1" applyAlignment="1">
      <alignment horizontal="center" vertical="center"/>
    </xf>
    <xf numFmtId="0" fontId="362" fillId="21" borderId="0" xfId="16" applyFont="1" applyFill="1" applyAlignment="1" applyProtection="1">
      <alignment horizontal="center" vertical="center"/>
      <protection locked="0"/>
    </xf>
    <xf numFmtId="0" fontId="362" fillId="21" borderId="9" xfId="16" applyFont="1" applyFill="1" applyBorder="1" applyAlignment="1" applyProtection="1">
      <alignment horizontal="center" vertical="center"/>
      <protection locked="0"/>
    </xf>
    <xf numFmtId="0" fontId="57" fillId="8" borderId="0" xfId="1" applyFont="1" applyFill="1" applyAlignment="1">
      <alignment horizontal="left" vertical="center" wrapText="1"/>
    </xf>
    <xf numFmtId="0" fontId="57" fillId="8" borderId="9" xfId="1" applyFont="1" applyFill="1" applyBorder="1" applyAlignment="1">
      <alignment horizontal="left" vertical="center" wrapText="1"/>
    </xf>
    <xf numFmtId="0" fontId="13" fillId="115" borderId="45" xfId="3" applyFont="1" applyFill="1" applyBorder="1" applyAlignment="1">
      <alignment horizontal="center" vertical="center"/>
    </xf>
    <xf numFmtId="0" fontId="13" fillId="115" borderId="47" xfId="3" applyFont="1" applyFill="1" applyBorder="1" applyAlignment="1">
      <alignment horizontal="center" vertical="center"/>
    </xf>
    <xf numFmtId="0" fontId="31" fillId="130" borderId="2" xfId="2" applyFont="1" applyFill="1" applyBorder="1" applyAlignment="1">
      <alignment horizontal="center" vertical="center"/>
    </xf>
    <xf numFmtId="0" fontId="91" fillId="130" borderId="6" xfId="1" applyFont="1" applyFill="1" applyBorder="1" applyAlignment="1">
      <alignment horizontal="center"/>
    </xf>
    <xf numFmtId="0" fontId="91" fillId="130" borderId="58" xfId="1" applyFont="1" applyFill="1" applyBorder="1" applyAlignment="1">
      <alignment horizontal="center"/>
    </xf>
    <xf numFmtId="0" fontId="344" fillId="75" borderId="0" xfId="3" applyFont="1" applyFill="1" applyAlignment="1">
      <alignment horizontal="center" vertical="center"/>
    </xf>
    <xf numFmtId="0" fontId="344" fillId="75" borderId="9" xfId="3" applyFont="1" applyFill="1" applyBorder="1" applyAlignment="1">
      <alignment horizontal="center" vertical="center"/>
    </xf>
    <xf numFmtId="0" fontId="22" fillId="131" borderId="45" xfId="3" applyFont="1" applyFill="1" applyBorder="1" applyAlignment="1">
      <alignment horizontal="center" vertical="center"/>
    </xf>
    <xf numFmtId="0" fontId="22" fillId="131" borderId="47" xfId="3" applyFont="1" applyFill="1" applyBorder="1" applyAlignment="1">
      <alignment horizontal="center" vertical="center"/>
    </xf>
    <xf numFmtId="0" fontId="88" fillId="122" borderId="2" xfId="2" applyFont="1" applyFill="1" applyBorder="1" applyAlignment="1">
      <alignment horizontal="center" vertical="center"/>
    </xf>
    <xf numFmtId="0" fontId="30" fillId="122" borderId="6" xfId="1" applyFont="1" applyFill="1" applyBorder="1" applyAlignment="1">
      <alignment horizontal="center"/>
    </xf>
    <xf numFmtId="0" fontId="30" fillId="122" borderId="58" xfId="1" applyFont="1" applyFill="1" applyBorder="1" applyAlignment="1">
      <alignment horizontal="center"/>
    </xf>
    <xf numFmtId="0" fontId="13" fillId="122" borderId="45" xfId="3" applyFont="1" applyFill="1" applyBorder="1" applyAlignment="1">
      <alignment horizontal="center" vertical="center"/>
    </xf>
    <xf numFmtId="0" fontId="13" fillId="122" borderId="47" xfId="3" applyFont="1" applyFill="1" applyBorder="1" applyAlignment="1">
      <alignment horizontal="center" vertical="center"/>
    </xf>
    <xf numFmtId="0" fontId="99" fillId="8" borderId="227" xfId="1" applyFont="1" applyFill="1" applyBorder="1" applyAlignment="1">
      <alignment horizontal="center" vertical="center" wrapText="1"/>
    </xf>
    <xf numFmtId="0" fontId="99" fillId="8" borderId="229" xfId="1" applyFont="1" applyFill="1" applyBorder="1" applyAlignment="1">
      <alignment horizontal="center" vertical="center" wrapText="1"/>
    </xf>
    <xf numFmtId="0" fontId="30" fillId="109" borderId="6" xfId="1" applyFont="1" applyFill="1" applyBorder="1" applyAlignment="1">
      <alignment horizontal="center"/>
    </xf>
    <xf numFmtId="0" fontId="30" fillId="109" borderId="58" xfId="1" applyFont="1" applyFill="1" applyBorder="1" applyAlignment="1">
      <alignment horizontal="center"/>
    </xf>
    <xf numFmtId="0" fontId="371" fillId="21" borderId="154" xfId="13" applyFont="1" applyFill="1" applyBorder="1" applyAlignment="1">
      <alignment horizontal="center" vertical="center"/>
    </xf>
    <xf numFmtId="0" fontId="371" fillId="21" borderId="223" xfId="13" applyFont="1" applyFill="1" applyBorder="1" applyAlignment="1">
      <alignment horizontal="center" vertical="center"/>
    </xf>
    <xf numFmtId="0" fontId="154" fillId="4" borderId="2" xfId="5" applyFont="1" applyFill="1" applyBorder="1" applyAlignment="1" applyProtection="1">
      <alignment horizontal="right" vertical="center"/>
      <protection locked="0"/>
    </xf>
    <xf numFmtId="0" fontId="154" fillId="4" borderId="8" xfId="5" applyFont="1" applyFill="1" applyBorder="1" applyAlignment="1" applyProtection="1">
      <alignment horizontal="right" vertical="center"/>
      <protection locked="0"/>
    </xf>
    <xf numFmtId="0" fontId="36" fillId="8" borderId="45" xfId="13" applyFont="1" applyFill="1" applyBorder="1" applyAlignment="1">
      <alignment horizontal="center" vertical="center"/>
    </xf>
    <xf numFmtId="0" fontId="36" fillId="8" borderId="14" xfId="13" applyFont="1" applyFill="1" applyBorder="1" applyAlignment="1">
      <alignment horizontal="center" vertical="center"/>
    </xf>
    <xf numFmtId="0" fontId="372" fillId="21" borderId="45" xfId="13" applyFont="1" applyFill="1" applyBorder="1" applyAlignment="1">
      <alignment horizontal="center" vertical="center"/>
    </xf>
    <xf numFmtId="0" fontId="372" fillId="21" borderId="47" xfId="13" applyFont="1" applyFill="1" applyBorder="1" applyAlignment="1">
      <alignment horizontal="center" vertical="center"/>
    </xf>
    <xf numFmtId="0" fontId="372" fillId="21" borderId="14" xfId="13" applyFont="1" applyFill="1" applyBorder="1" applyAlignment="1">
      <alignment horizontal="center" vertical="center"/>
    </xf>
    <xf numFmtId="0" fontId="372" fillId="21" borderId="21" xfId="13" applyFont="1" applyFill="1" applyBorder="1" applyAlignment="1">
      <alignment horizontal="center" vertical="center"/>
    </xf>
    <xf numFmtId="0" fontId="1" fillId="0" borderId="45" xfId="13" applyBorder="1" applyAlignment="1">
      <alignment horizontal="center" vertical="center"/>
    </xf>
    <xf numFmtId="0" fontId="1" fillId="0" borderId="14" xfId="13" applyBorder="1" applyAlignment="1">
      <alignment horizontal="center" vertical="center"/>
    </xf>
    <xf numFmtId="185" fontId="13" fillId="8" borderId="45" xfId="5" applyNumberFormat="1" applyFont="1" applyFill="1" applyBorder="1" applyAlignment="1">
      <alignment horizontal="left" vertical="center"/>
    </xf>
    <xf numFmtId="185" fontId="13" fillId="8" borderId="0" xfId="5" applyNumberFormat="1" applyFont="1" applyFill="1" applyAlignment="1">
      <alignment horizontal="left" vertical="center"/>
    </xf>
    <xf numFmtId="0" fontId="26" fillId="8" borderId="45" xfId="5" applyFont="1" applyFill="1" applyBorder="1" applyAlignment="1">
      <alignment horizontal="right" vertical="center"/>
    </xf>
    <xf numFmtId="0" fontId="26" fillId="8" borderId="14" xfId="5" applyFont="1" applyFill="1" applyBorder="1" applyAlignment="1">
      <alignment horizontal="right" vertical="center"/>
    </xf>
    <xf numFmtId="0" fontId="30" fillId="109" borderId="6" xfId="1" applyFont="1" applyFill="1" applyBorder="1" applyAlignment="1">
      <alignment horizontal="center" wrapText="1"/>
    </xf>
    <xf numFmtId="0" fontId="30" fillId="109" borderId="58" xfId="1" applyFont="1" applyFill="1" applyBorder="1" applyAlignment="1">
      <alignment horizontal="center" wrapText="1"/>
    </xf>
    <xf numFmtId="0" fontId="21" fillId="8" borderId="14" xfId="1" applyFont="1" applyFill="1" applyBorder="1" applyAlignment="1" applyProtection="1">
      <alignment horizontal="center" vertical="center"/>
      <protection hidden="1"/>
    </xf>
    <xf numFmtId="0" fontId="48" fillId="8" borderId="14" xfId="1" applyFont="1" applyFill="1" applyBorder="1" applyAlignment="1" applyProtection="1">
      <alignment horizontal="center" vertical="center"/>
      <protection hidden="1"/>
    </xf>
    <xf numFmtId="0" fontId="48" fillId="8" borderId="21" xfId="1" applyFont="1" applyFill="1" applyBorder="1" applyAlignment="1" applyProtection="1">
      <alignment horizontal="center" vertical="center"/>
      <protection hidden="1"/>
    </xf>
    <xf numFmtId="202" fontId="58" fillId="21" borderId="0" xfId="1" applyNumberFormat="1" applyFont="1" applyFill="1" applyAlignment="1" applyProtection="1">
      <alignment horizontal="center" vertical="center"/>
      <protection hidden="1"/>
    </xf>
    <xf numFmtId="172" fontId="13" fillId="7" borderId="0" xfId="1" applyNumberFormat="1" applyFont="1" applyFill="1" applyAlignment="1" applyProtection="1">
      <alignment horizontal="center" vertical="center"/>
      <protection hidden="1"/>
    </xf>
    <xf numFmtId="0" fontId="371" fillId="21" borderId="227" xfId="13" applyFont="1" applyFill="1" applyBorder="1" applyAlignment="1">
      <alignment horizontal="center" vertical="center"/>
    </xf>
    <xf numFmtId="0" fontId="371" fillId="21" borderId="228" xfId="13" applyFont="1" applyFill="1" applyBorder="1" applyAlignment="1">
      <alignment horizontal="center" vertical="center"/>
    </xf>
    <xf numFmtId="49" fontId="22" fillId="113" borderId="2" xfId="1" applyNumberFormat="1" applyFont="1" applyFill="1" applyBorder="1" applyAlignment="1">
      <alignment horizontal="center" vertical="center"/>
    </xf>
    <xf numFmtId="49" fontId="22" fillId="113" borderId="8" xfId="1" applyNumberFormat="1" applyFont="1" applyFill="1" applyBorder="1" applyAlignment="1">
      <alignment horizontal="center" vertical="center"/>
    </xf>
    <xf numFmtId="0" fontId="356" fillId="13" borderId="0" xfId="27" applyFont="1" applyFill="1" applyAlignment="1">
      <alignment horizontal="center" vertical="center"/>
    </xf>
    <xf numFmtId="0" fontId="357" fillId="26" borderId="0" xfId="3" applyFont="1" applyFill="1" applyAlignment="1">
      <alignment horizontal="center" vertical="center"/>
    </xf>
    <xf numFmtId="0" fontId="359" fillId="21" borderId="0" xfId="3" applyFont="1" applyFill="1" applyAlignment="1">
      <alignment horizontal="center" vertical="center"/>
    </xf>
    <xf numFmtId="0" fontId="165" fillId="8" borderId="227" xfId="1" applyFont="1" applyFill="1" applyBorder="1" applyAlignment="1">
      <alignment horizontal="center" vertical="center" wrapText="1"/>
    </xf>
    <xf numFmtId="0" fontId="165" fillId="8" borderId="228" xfId="1" applyFont="1" applyFill="1" applyBorder="1" applyAlignment="1">
      <alignment horizontal="center" vertical="center" wrapText="1"/>
    </xf>
    <xf numFmtId="0" fontId="346" fillId="0" borderId="0" xfId="34" applyFont="1" applyBorder="1" applyAlignment="1">
      <alignment horizontal="left" vertical="center"/>
    </xf>
    <xf numFmtId="194" fontId="347" fillId="8" borderId="0" xfId="3" applyNumberFormat="1" applyFont="1" applyFill="1" applyAlignment="1">
      <alignment horizontal="center" vertical="center"/>
    </xf>
    <xf numFmtId="0" fontId="72" fillId="4" borderId="2" xfId="0" applyFont="1" applyFill="1" applyBorder="1" applyAlignment="1">
      <alignment horizontal="center" vertical="center"/>
    </xf>
    <xf numFmtId="0" fontId="72" fillId="4" borderId="8" xfId="0" applyFont="1" applyFill="1" applyBorder="1" applyAlignment="1">
      <alignment horizontal="center" vertical="center"/>
    </xf>
    <xf numFmtId="0" fontId="0" fillId="4" borderId="6" xfId="0" applyFill="1" applyBorder="1" applyAlignment="1">
      <alignment horizontal="center"/>
    </xf>
    <xf numFmtId="0" fontId="0" fillId="4" borderId="58" xfId="0" applyFill="1" applyBorder="1" applyAlignment="1">
      <alignment horizontal="center"/>
    </xf>
    <xf numFmtId="0" fontId="0" fillId="0" borderId="0" xfId="0" applyAlignment="1">
      <alignment horizontal="center" wrapText="1"/>
    </xf>
    <xf numFmtId="0" fontId="0" fillId="0" borderId="9" xfId="0" applyBorder="1" applyAlignment="1">
      <alignment horizontal="center" wrapText="1"/>
    </xf>
    <xf numFmtId="9" fontId="26" fillId="8" borderId="47" xfId="13" applyNumberFormat="1" applyFont="1" applyFill="1" applyBorder="1" applyAlignment="1">
      <alignment horizontal="center" vertical="center"/>
    </xf>
    <xf numFmtId="9" fontId="26" fillId="8" borderId="21" xfId="13" applyNumberFormat="1" applyFont="1" applyFill="1" applyBorder="1" applyAlignment="1">
      <alignment horizontal="center" vertical="center"/>
    </xf>
    <xf numFmtId="0" fontId="58" fillId="67" borderId="0" xfId="0" applyFont="1" applyFill="1" applyAlignment="1">
      <alignment horizontal="center" vertical="center"/>
    </xf>
    <xf numFmtId="0" fontId="390" fillId="38" borderId="0" xfId="1" applyFont="1" applyFill="1" applyAlignment="1" applyProtection="1">
      <alignment horizontal="center"/>
      <protection hidden="1"/>
    </xf>
    <xf numFmtId="0" fontId="335" fillId="8" borderId="0" xfId="1" applyFont="1" applyFill="1" applyAlignment="1">
      <alignment horizontal="center" vertical="center" wrapText="1"/>
    </xf>
    <xf numFmtId="0" fontId="391" fillId="4" borderId="52" xfId="1" applyFont="1" applyFill="1" applyBorder="1" applyAlignment="1">
      <alignment horizontal="center" vertical="center"/>
    </xf>
    <xf numFmtId="0" fontId="391" fillId="4" borderId="227" xfId="1" applyFont="1" applyFill="1" applyBorder="1" applyAlignment="1">
      <alignment horizontal="center" vertical="center"/>
    </xf>
    <xf numFmtId="0" fontId="391" fillId="4" borderId="229" xfId="1" applyFont="1" applyFill="1" applyBorder="1" applyAlignment="1">
      <alignment horizontal="center" vertical="center"/>
    </xf>
    <xf numFmtId="0" fontId="391" fillId="4" borderId="32" xfId="1" applyFont="1" applyFill="1" applyBorder="1" applyAlignment="1">
      <alignment horizontal="center" vertical="center"/>
    </xf>
    <xf numFmtId="0" fontId="391" fillId="4" borderId="0" xfId="1" applyFont="1" applyFill="1" applyAlignment="1">
      <alignment horizontal="center" vertical="center"/>
    </xf>
    <xf numFmtId="0" fontId="391" fillId="4" borderId="33" xfId="1" applyFont="1" applyFill="1" applyBorder="1" applyAlignment="1">
      <alignment horizontal="center" vertical="center"/>
    </xf>
    <xf numFmtId="0" fontId="392" fillId="8" borderId="7" xfId="1" applyFont="1" applyFill="1" applyBorder="1" applyAlignment="1">
      <alignment horizontal="center" vertical="center"/>
    </xf>
    <xf numFmtId="0" fontId="392" fillId="8" borderId="2" xfId="1" applyFont="1" applyFill="1" applyBorder="1" applyAlignment="1">
      <alignment horizontal="center" vertical="center"/>
    </xf>
    <xf numFmtId="0" fontId="392" fillId="8" borderId="8" xfId="1" applyFont="1" applyFill="1" applyBorder="1" applyAlignment="1">
      <alignment horizontal="center" vertical="center"/>
    </xf>
    <xf numFmtId="0" fontId="30" fillId="109" borderId="0" xfId="1" applyFont="1" applyFill="1" applyAlignment="1">
      <alignment horizontal="center" vertical="center" textRotation="90" wrapText="1"/>
    </xf>
    <xf numFmtId="0" fontId="30" fillId="109" borderId="9" xfId="1" applyFont="1" applyFill="1" applyBorder="1" applyAlignment="1">
      <alignment horizontal="center" vertical="center" textRotation="90"/>
    </xf>
    <xf numFmtId="0" fontId="193" fillId="8" borderId="0" xfId="36" applyFill="1" applyBorder="1" applyAlignment="1">
      <alignment horizontal="left" vertical="center"/>
    </xf>
    <xf numFmtId="0" fontId="193" fillId="8" borderId="9" xfId="36" applyFill="1" applyBorder="1" applyAlignment="1">
      <alignment horizontal="left" vertical="center"/>
    </xf>
    <xf numFmtId="0" fontId="6" fillId="8" borderId="32" xfId="1" applyFill="1" applyBorder="1" applyAlignment="1">
      <alignment horizontal="center" vertical="center" wrapText="1"/>
    </xf>
    <xf numFmtId="0" fontId="6" fillId="8" borderId="0" xfId="1" applyFill="1" applyAlignment="1">
      <alignment horizontal="center" vertical="center" wrapText="1"/>
    </xf>
    <xf numFmtId="0" fontId="6" fillId="8" borderId="33" xfId="1" applyFill="1" applyBorder="1" applyAlignment="1">
      <alignment horizontal="center" vertical="center" wrapText="1"/>
    </xf>
    <xf numFmtId="0" fontId="383" fillId="8" borderId="6" xfId="37" applyFont="1" applyFill="1" applyBorder="1" applyAlignment="1">
      <alignment horizontal="center" vertical="center" wrapText="1"/>
    </xf>
    <xf numFmtId="0" fontId="383" fillId="8" borderId="0" xfId="37" applyFont="1" applyFill="1" applyBorder="1" applyAlignment="1">
      <alignment horizontal="center" vertical="center" wrapText="1"/>
    </xf>
    <xf numFmtId="0" fontId="383" fillId="8" borderId="9" xfId="37" applyFont="1" applyFill="1" applyBorder="1" applyAlignment="1">
      <alignment horizontal="center" vertical="center" wrapText="1"/>
    </xf>
    <xf numFmtId="0" fontId="6" fillId="8" borderId="0" xfId="1" applyFill="1" applyAlignment="1">
      <alignment horizontal="left" vertical="center"/>
    </xf>
    <xf numFmtId="0" fontId="6" fillId="8" borderId="33" xfId="1" applyFill="1" applyBorder="1" applyAlignment="1">
      <alignment horizontal="left" vertical="center"/>
    </xf>
    <xf numFmtId="0" fontId="6" fillId="8" borderId="35" xfId="1" applyFill="1" applyBorder="1" applyAlignment="1">
      <alignment horizontal="center" vertical="center" wrapText="1"/>
    </xf>
    <xf numFmtId="0" fontId="6" fillId="8" borderId="56" xfId="1" applyFill="1" applyBorder="1" applyAlignment="1">
      <alignment horizontal="center" vertical="center" wrapText="1"/>
    </xf>
    <xf numFmtId="0" fontId="6" fillId="8" borderId="37" xfId="1" applyFill="1" applyBorder="1" applyAlignment="1">
      <alignment horizontal="center" vertical="center" wrapText="1"/>
    </xf>
    <xf numFmtId="0" fontId="391" fillId="4" borderId="7" xfId="1" applyFont="1" applyFill="1" applyBorder="1" applyAlignment="1">
      <alignment horizontal="center" vertical="center" wrapText="1"/>
    </xf>
    <xf numFmtId="0" fontId="391" fillId="4" borderId="2" xfId="1" applyFont="1" applyFill="1" applyBorder="1" applyAlignment="1">
      <alignment horizontal="center" vertical="center" wrapText="1"/>
    </xf>
    <xf numFmtId="0" fontId="391" fillId="4" borderId="6" xfId="1" applyFont="1" applyFill="1" applyBorder="1" applyAlignment="1">
      <alignment horizontal="center" vertical="center" wrapText="1"/>
    </xf>
    <xf numFmtId="0" fontId="391" fillId="4" borderId="0" xfId="1" applyFont="1" applyFill="1" applyAlignment="1">
      <alignment horizontal="center" vertical="center" wrapText="1"/>
    </xf>
    <xf numFmtId="0" fontId="394" fillId="4" borderId="2" xfId="1" applyFont="1" applyFill="1" applyBorder="1" applyAlignment="1">
      <alignment horizontal="center" vertical="center" wrapText="1"/>
    </xf>
    <xf numFmtId="0" fontId="394" fillId="4" borderId="0" xfId="1" applyFont="1" applyFill="1" applyAlignment="1">
      <alignment horizontal="center" vertical="center" wrapText="1"/>
    </xf>
    <xf numFmtId="0" fontId="86" fillId="4" borderId="2" xfId="1" applyFont="1" applyFill="1" applyBorder="1" applyAlignment="1">
      <alignment horizontal="center" vertical="center" wrapText="1"/>
    </xf>
    <xf numFmtId="0" fontId="86" fillId="4" borderId="0" xfId="1" applyFont="1" applyFill="1" applyAlignment="1">
      <alignment horizontal="center" vertical="center" wrapText="1"/>
    </xf>
    <xf numFmtId="0" fontId="394" fillId="4" borderId="8" xfId="1" applyFont="1" applyFill="1" applyBorder="1" applyAlignment="1">
      <alignment horizontal="center" vertical="center"/>
    </xf>
    <xf numFmtId="0" fontId="394" fillId="4" borderId="9" xfId="1" applyFont="1" applyFill="1" applyBorder="1" applyAlignment="1">
      <alignment horizontal="center" vertical="center"/>
    </xf>
    <xf numFmtId="0" fontId="194" fillId="8" borderId="52" xfId="7" applyFont="1" applyFill="1" applyBorder="1" applyAlignment="1">
      <alignment horizontal="center" vertical="center" wrapText="1"/>
    </xf>
    <xf numFmtId="0" fontId="194" fillId="8" borderId="227" xfId="7" applyFont="1" applyFill="1" applyBorder="1" applyAlignment="1">
      <alignment horizontal="center" vertical="center" wrapText="1"/>
    </xf>
    <xf numFmtId="0" fontId="194" fillId="8" borderId="229" xfId="7" applyFont="1" applyFill="1" applyBorder="1" applyAlignment="1">
      <alignment horizontal="center" vertical="center" wrapText="1"/>
    </xf>
    <xf numFmtId="0" fontId="194" fillId="8" borderId="32" xfId="7" applyFont="1" applyFill="1" applyBorder="1" applyAlignment="1">
      <alignment horizontal="center" vertical="center" wrapText="1"/>
    </xf>
    <xf numFmtId="0" fontId="194" fillId="8" borderId="0" xfId="7" applyFont="1" applyFill="1" applyAlignment="1">
      <alignment horizontal="center" vertical="center" wrapText="1"/>
    </xf>
    <xf numFmtId="0" fontId="194" fillId="8" borderId="33" xfId="7" applyFont="1" applyFill="1" applyBorder="1" applyAlignment="1">
      <alignment horizontal="center" vertical="center" wrapText="1"/>
    </xf>
    <xf numFmtId="0" fontId="346" fillId="8" borderId="0" xfId="17" applyFont="1" applyFill="1" applyAlignment="1" applyProtection="1">
      <alignment horizontal="left" vertical="center"/>
    </xf>
    <xf numFmtId="0" fontId="402" fillId="8" borderId="0" xfId="38" applyFont="1" applyFill="1" applyAlignment="1" applyProtection="1">
      <alignment horizontal="left" vertical="center"/>
    </xf>
    <xf numFmtId="0" fontId="26" fillId="8" borderId="32" xfId="7" applyFont="1" applyFill="1" applyBorder="1" applyAlignment="1">
      <alignment horizontal="center" vertical="center" wrapText="1"/>
    </xf>
    <xf numFmtId="0" fontId="26" fillId="8" borderId="0" xfId="7" applyFont="1" applyFill="1" applyAlignment="1">
      <alignment horizontal="center" vertical="center" wrapText="1"/>
    </xf>
    <xf numFmtId="0" fontId="26" fillId="8" borderId="33" xfId="7" applyFont="1" applyFill="1" applyBorder="1" applyAlignment="1">
      <alignment horizontal="center" vertical="center" wrapText="1"/>
    </xf>
    <xf numFmtId="0" fontId="26" fillId="8" borderId="35" xfId="7" applyFont="1" applyFill="1" applyBorder="1" applyAlignment="1">
      <alignment horizontal="center" vertical="center" wrapText="1"/>
    </xf>
    <xf numFmtId="0" fontId="26" fillId="8" borderId="56" xfId="7" applyFont="1" applyFill="1" applyBorder="1" applyAlignment="1">
      <alignment horizontal="center" vertical="center" wrapText="1"/>
    </xf>
    <xf numFmtId="0" fontId="26" fillId="8" borderId="37" xfId="7" applyFont="1" applyFill="1" applyBorder="1" applyAlignment="1">
      <alignment horizontal="center" vertical="center" wrapText="1"/>
    </xf>
    <xf numFmtId="0" fontId="400" fillId="8" borderId="0" xfId="37" applyFont="1" applyFill="1" applyAlignment="1">
      <alignment horizontal="left" vertical="center"/>
    </xf>
    <xf numFmtId="0" fontId="400" fillId="22" borderId="0" xfId="34" applyFont="1" applyFill="1" applyAlignment="1" applyProtection="1">
      <alignment horizontal="left" vertical="center"/>
      <protection hidden="1"/>
    </xf>
    <xf numFmtId="0" fontId="22" fillId="111" borderId="32" xfId="7" applyFont="1" applyFill="1" applyBorder="1" applyAlignment="1">
      <alignment horizontal="center" vertical="center"/>
    </xf>
    <xf numFmtId="0" fontId="22" fillId="111" borderId="0" xfId="7" applyFont="1" applyFill="1" applyAlignment="1">
      <alignment horizontal="center" vertical="center"/>
    </xf>
    <xf numFmtId="0" fontId="22" fillId="111" borderId="33" xfId="7" applyFont="1" applyFill="1" applyBorder="1" applyAlignment="1">
      <alignment horizontal="center" vertical="center"/>
    </xf>
    <xf numFmtId="0" fontId="391" fillId="8" borderId="6" xfId="1" applyFont="1" applyFill="1" applyBorder="1" applyAlignment="1">
      <alignment horizontal="center" vertical="center"/>
    </xf>
    <xf numFmtId="0" fontId="391" fillId="8" borderId="0" xfId="1" applyFont="1" applyFill="1" applyAlignment="1">
      <alignment horizontal="center" vertical="center"/>
    </xf>
    <xf numFmtId="0" fontId="399" fillId="8" borderId="6" xfId="1" applyFont="1" applyFill="1" applyBorder="1" applyAlignment="1">
      <alignment horizontal="center" vertical="center" wrapText="1"/>
    </xf>
    <xf numFmtId="0" fontId="399" fillId="8" borderId="0" xfId="1" applyFont="1" applyFill="1" applyAlignment="1">
      <alignment horizontal="center" vertical="center" wrapText="1"/>
    </xf>
    <xf numFmtId="0" fontId="399" fillId="8" borderId="58" xfId="1" applyFont="1" applyFill="1" applyBorder="1" applyAlignment="1">
      <alignment horizontal="center" vertical="center" wrapText="1"/>
    </xf>
    <xf numFmtId="0" fontId="399" fillId="8" borderId="3" xfId="1" applyFont="1" applyFill="1" applyBorder="1" applyAlignment="1">
      <alignment horizontal="center" vertical="center" wrapText="1"/>
    </xf>
    <xf numFmtId="0" fontId="6" fillId="8" borderId="6" xfId="1" applyFill="1" applyBorder="1" applyAlignment="1">
      <alignment horizontal="center" vertical="center"/>
    </xf>
    <xf numFmtId="0" fontId="6" fillId="8" borderId="0" xfId="1" applyFill="1" applyAlignment="1">
      <alignment horizontal="center" vertical="center"/>
    </xf>
    <xf numFmtId="0" fontId="6" fillId="8" borderId="58" xfId="1" applyFill="1" applyBorder="1" applyAlignment="1">
      <alignment horizontal="center" vertical="center"/>
    </xf>
    <xf numFmtId="0" fontId="6" fillId="8" borderId="3" xfId="1" applyFill="1" applyBorder="1" applyAlignment="1">
      <alignment horizontal="center" vertical="center"/>
    </xf>
    <xf numFmtId="0" fontId="13" fillId="8" borderId="32" xfId="7" applyFont="1" applyFill="1" applyBorder="1" applyAlignment="1">
      <alignment horizontal="center" vertical="center" wrapText="1"/>
    </xf>
    <xf numFmtId="0" fontId="13" fillId="8" borderId="0" xfId="7" applyFont="1" applyFill="1" applyAlignment="1">
      <alignment horizontal="center" vertical="center" wrapText="1"/>
    </xf>
    <xf numFmtId="0" fontId="13" fillId="8" borderId="33" xfId="7" applyFont="1" applyFill="1" applyBorder="1" applyAlignment="1">
      <alignment horizontal="center" vertical="center" wrapText="1"/>
    </xf>
    <xf numFmtId="0" fontId="58" fillId="112" borderId="32" xfId="7" applyFont="1" applyFill="1" applyBorder="1" applyAlignment="1">
      <alignment horizontal="center" vertical="center" wrapText="1"/>
    </xf>
    <xf numFmtId="0" fontId="58" fillId="112" borderId="0" xfId="7" applyFont="1" applyFill="1" applyAlignment="1">
      <alignment horizontal="center" vertical="center" wrapText="1"/>
    </xf>
    <xf numFmtId="0" fontId="58" fillId="112" borderId="33" xfId="7" applyFont="1" applyFill="1" applyBorder="1" applyAlignment="1">
      <alignment horizontal="center" vertical="center" wrapText="1"/>
    </xf>
    <xf numFmtId="0" fontId="165" fillId="21" borderId="32" xfId="7" applyFont="1" applyFill="1" applyBorder="1" applyAlignment="1">
      <alignment horizontal="center" vertical="center" wrapText="1"/>
    </xf>
    <xf numFmtId="0" fontId="165" fillId="21" borderId="0" xfId="7" applyFont="1" applyFill="1" applyAlignment="1">
      <alignment horizontal="center" vertical="center" wrapText="1"/>
    </xf>
    <xf numFmtId="0" fontId="165" fillId="21" borderId="33" xfId="7" applyFont="1" applyFill="1" applyBorder="1" applyAlignment="1">
      <alignment horizontal="center" vertical="center" wrapText="1"/>
    </xf>
    <xf numFmtId="0" fontId="165" fillId="21" borderId="35" xfId="7" applyFont="1" applyFill="1" applyBorder="1" applyAlignment="1">
      <alignment horizontal="center" vertical="center" wrapText="1"/>
    </xf>
    <xf numFmtId="0" fontId="165" fillId="21" borderId="56" xfId="7" applyFont="1" applyFill="1" applyBorder="1" applyAlignment="1">
      <alignment horizontal="center" vertical="center" wrapText="1"/>
    </xf>
    <xf numFmtId="0" fontId="165" fillId="21" borderId="37" xfId="7" applyFont="1" applyFill="1" applyBorder="1" applyAlignment="1">
      <alignment horizontal="center" vertical="center" wrapText="1"/>
    </xf>
    <xf numFmtId="0" fontId="395" fillId="4" borderId="230" xfId="16" applyFont="1" applyFill="1" applyBorder="1" applyAlignment="1">
      <alignment horizontal="left" vertical="center"/>
    </xf>
    <xf numFmtId="0" fontId="395" fillId="4" borderId="231" xfId="16" applyFont="1" applyFill="1" applyBorder="1" applyAlignment="1">
      <alignment horizontal="left" vertical="center"/>
    </xf>
    <xf numFmtId="0" fontId="395" fillId="4" borderId="232" xfId="16" applyFont="1" applyFill="1" applyBorder="1" applyAlignment="1">
      <alignment horizontal="left" vertical="center"/>
    </xf>
    <xf numFmtId="0" fontId="30" fillId="109" borderId="9" xfId="1" applyFont="1" applyFill="1" applyBorder="1" applyAlignment="1">
      <alignment horizontal="center" vertical="center" textRotation="90" wrapText="1"/>
    </xf>
    <xf numFmtId="0" fontId="403" fillId="66" borderId="230" xfId="16" applyFont="1" applyFill="1" applyBorder="1" applyAlignment="1">
      <alignment horizontal="center" vertical="center"/>
    </xf>
    <xf numFmtId="0" fontId="403" fillId="66" borderId="231" xfId="27" applyFont="1" applyFill="1" applyBorder="1" applyAlignment="1">
      <alignment horizontal="center" vertical="center"/>
    </xf>
    <xf numFmtId="0" fontId="404" fillId="65" borderId="230" xfId="16" applyFont="1" applyFill="1" applyBorder="1" applyAlignment="1">
      <alignment horizontal="center" vertical="center"/>
    </xf>
    <xf numFmtId="0" fontId="404" fillId="65" borderId="231" xfId="27" applyFont="1" applyFill="1" applyBorder="1" applyAlignment="1">
      <alignment horizontal="center" vertical="center"/>
    </xf>
    <xf numFmtId="0" fontId="404" fillId="65" borderId="232" xfId="27" applyFont="1" applyFill="1" applyBorder="1" applyAlignment="1">
      <alignment horizontal="center" vertical="center"/>
    </xf>
    <xf numFmtId="0" fontId="405" fillId="0" borderId="233" xfId="16" applyFont="1" applyBorder="1" applyAlignment="1" applyProtection="1">
      <alignment horizontal="center" vertical="center"/>
      <protection locked="0"/>
    </xf>
    <xf numFmtId="0" fontId="405" fillId="0" borderId="234" xfId="16" applyFont="1" applyBorder="1" applyAlignment="1" applyProtection="1">
      <alignment horizontal="center" vertical="center"/>
      <protection locked="0"/>
    </xf>
    <xf numFmtId="0" fontId="405" fillId="0" borderId="241" xfId="16" applyFont="1" applyBorder="1" applyAlignment="1" applyProtection="1">
      <alignment horizontal="center" vertical="center"/>
      <protection locked="0"/>
    </xf>
    <xf numFmtId="0" fontId="405" fillId="0" borderId="0" xfId="16" applyFont="1" applyAlignment="1" applyProtection="1">
      <alignment horizontal="center" vertical="center"/>
      <protection locked="0"/>
    </xf>
    <xf numFmtId="0" fontId="405" fillId="0" borderId="246" xfId="16" applyFont="1" applyBorder="1" applyAlignment="1" applyProtection="1">
      <alignment horizontal="center" vertical="center"/>
      <protection locked="0"/>
    </xf>
    <xf numFmtId="0" fontId="405" fillId="0" borderId="247" xfId="16" applyFont="1" applyBorder="1" applyAlignment="1" applyProtection="1">
      <alignment horizontal="center" vertical="center"/>
      <protection locked="0"/>
    </xf>
    <xf numFmtId="0" fontId="6" fillId="0" borderId="234" xfId="16" applyFont="1" applyBorder="1" applyAlignment="1" applyProtection="1">
      <alignment horizontal="center" vertical="center" wrapText="1"/>
      <protection locked="0"/>
    </xf>
    <xf numFmtId="0" fontId="6" fillId="0" borderId="0" xfId="16" applyFont="1" applyAlignment="1" applyProtection="1">
      <alignment horizontal="center" vertical="center" wrapText="1"/>
      <protection locked="0"/>
    </xf>
    <xf numFmtId="0" fontId="6" fillId="0" borderId="247" xfId="16" applyFont="1" applyBorder="1" applyAlignment="1" applyProtection="1">
      <alignment horizontal="center" vertical="center" wrapText="1"/>
      <protection locked="0"/>
    </xf>
    <xf numFmtId="0" fontId="391" fillId="0" borderId="235" xfId="16" applyFont="1" applyBorder="1" applyAlignment="1" applyProtection="1">
      <alignment horizontal="center" vertical="center" wrapText="1"/>
      <protection locked="0"/>
    </xf>
    <xf numFmtId="0" fontId="391" fillId="0" borderId="242" xfId="16" applyFont="1" applyBorder="1" applyAlignment="1" applyProtection="1">
      <alignment horizontal="center" vertical="center" wrapText="1"/>
      <protection locked="0"/>
    </xf>
    <xf numFmtId="0" fontId="391" fillId="0" borderId="248" xfId="16" applyFont="1" applyBorder="1" applyAlignment="1" applyProtection="1">
      <alignment horizontal="center" vertical="center" wrapText="1"/>
      <protection locked="0"/>
    </xf>
    <xf numFmtId="0" fontId="413" fillId="55" borderId="252" xfId="16" applyFont="1" applyFill="1" applyBorder="1" applyAlignment="1" applyProtection="1">
      <alignment horizontal="right" vertical="center" wrapText="1"/>
      <protection locked="0"/>
    </xf>
    <xf numFmtId="0" fontId="413" fillId="55" borderId="253" xfId="16" applyFont="1" applyFill="1" applyBorder="1" applyAlignment="1" applyProtection="1">
      <alignment horizontal="right" vertical="center" wrapText="1"/>
      <protection locked="0"/>
    </xf>
    <xf numFmtId="0" fontId="416" fillId="65" borderId="254" xfId="16" applyFont="1" applyFill="1" applyBorder="1" applyAlignment="1" applyProtection="1">
      <alignment horizontal="left" vertical="center"/>
      <protection locked="0"/>
    </xf>
    <xf numFmtId="0" fontId="406" fillId="65" borderId="236" xfId="16" applyFont="1" applyFill="1" applyBorder="1" applyAlignment="1" applyProtection="1">
      <alignment horizontal="center" vertical="center" wrapText="1"/>
      <protection locked="0"/>
    </xf>
    <xf numFmtId="0" fontId="406" fillId="65" borderId="237" xfId="16" applyFont="1" applyFill="1" applyBorder="1" applyAlignment="1" applyProtection="1">
      <alignment horizontal="center" vertical="center" wrapText="1"/>
      <protection locked="0"/>
    </xf>
    <xf numFmtId="0" fontId="406" fillId="65" borderId="238" xfId="16" applyFont="1" applyFill="1" applyBorder="1" applyAlignment="1" applyProtection="1">
      <alignment horizontal="center" vertical="center" wrapText="1"/>
      <protection locked="0"/>
    </xf>
    <xf numFmtId="0" fontId="407" fillId="0" borderId="239" xfId="16" applyFont="1" applyBorder="1" applyAlignment="1" applyProtection="1">
      <alignment horizontal="center" vertical="center"/>
      <protection locked="0"/>
    </xf>
    <xf numFmtId="0" fontId="407" fillId="0" borderId="240" xfId="16" applyFont="1" applyBorder="1" applyAlignment="1" applyProtection="1">
      <alignment horizontal="center" vertical="center"/>
      <protection locked="0"/>
    </xf>
    <xf numFmtId="0" fontId="407" fillId="0" borderId="244" xfId="16" applyFont="1" applyBorder="1" applyAlignment="1" applyProtection="1">
      <alignment horizontal="center" vertical="center"/>
      <protection locked="0"/>
    </xf>
    <xf numFmtId="0" fontId="407" fillId="0" borderId="245" xfId="16" applyFont="1" applyBorder="1" applyAlignment="1" applyProtection="1">
      <alignment horizontal="center" vertical="center"/>
      <protection locked="0"/>
    </xf>
    <xf numFmtId="0" fontId="408" fillId="0" borderId="239" xfId="16" applyFont="1" applyBorder="1" applyAlignment="1" applyProtection="1">
      <alignment horizontal="center" vertical="center"/>
      <protection locked="0"/>
    </xf>
    <xf numFmtId="0" fontId="408" fillId="0" borderId="234" xfId="16" applyFont="1" applyBorder="1" applyAlignment="1" applyProtection="1">
      <alignment horizontal="center" vertical="center"/>
      <protection locked="0"/>
    </xf>
    <xf numFmtId="0" fontId="408" fillId="0" borderId="240" xfId="16" applyFont="1" applyBorder="1" applyAlignment="1" applyProtection="1">
      <alignment horizontal="center" vertical="center"/>
      <protection locked="0"/>
    </xf>
    <xf numFmtId="0" fontId="408" fillId="0" borderId="244" xfId="16" applyFont="1" applyBorder="1" applyAlignment="1" applyProtection="1">
      <alignment horizontal="center" vertical="center"/>
      <protection locked="0"/>
    </xf>
    <xf numFmtId="0" fontId="408" fillId="0" borderId="0" xfId="16" applyFont="1" applyAlignment="1" applyProtection="1">
      <alignment horizontal="center" vertical="center"/>
      <protection locked="0"/>
    </xf>
    <xf numFmtId="0" fontId="408" fillId="0" borderId="245" xfId="16" applyFont="1" applyBorder="1" applyAlignment="1" applyProtection="1">
      <alignment horizontal="center" vertical="center"/>
      <protection locked="0"/>
    </xf>
    <xf numFmtId="0" fontId="408" fillId="0" borderId="250" xfId="16" applyFont="1" applyBorder="1" applyAlignment="1" applyProtection="1">
      <alignment horizontal="center" vertical="center"/>
      <protection locked="0"/>
    </xf>
    <xf numFmtId="0" fontId="408" fillId="0" borderId="247" xfId="16" applyFont="1" applyBorder="1" applyAlignment="1" applyProtection="1">
      <alignment horizontal="center" vertical="center"/>
      <protection locked="0"/>
    </xf>
    <xf numFmtId="0" fontId="408" fillId="0" borderId="251" xfId="16" applyFont="1" applyBorder="1" applyAlignment="1" applyProtection="1">
      <alignment horizontal="center" vertical="center"/>
      <protection locked="0"/>
    </xf>
    <xf numFmtId="2" fontId="391" fillId="65" borderId="244" xfId="5" applyNumberFormat="1" applyFont="1" applyFill="1" applyBorder="1" applyAlignment="1">
      <alignment horizontal="center" vertical="center"/>
    </xf>
    <xf numFmtId="2" fontId="391" fillId="65" borderId="245" xfId="5" applyNumberFormat="1" applyFont="1" applyFill="1" applyBorder="1" applyAlignment="1">
      <alignment horizontal="center" vertical="center"/>
    </xf>
    <xf numFmtId="0" fontId="411" fillId="0" borderId="249" xfId="16" applyFont="1" applyBorder="1" applyAlignment="1" applyProtection="1">
      <alignment horizontal="center" vertical="center" wrapText="1"/>
      <protection locked="0"/>
    </xf>
    <xf numFmtId="0" fontId="404" fillId="65" borderId="250" xfId="5" applyFont="1" applyFill="1" applyBorder="1" applyAlignment="1">
      <alignment horizontal="center" vertical="center"/>
    </xf>
    <xf numFmtId="0" fontId="404" fillId="65" borderId="251" xfId="5" applyFont="1" applyFill="1" applyBorder="1" applyAlignment="1">
      <alignment horizontal="center" vertical="center"/>
    </xf>
    <xf numFmtId="0" fontId="30" fillId="135" borderId="9" xfId="1" applyFont="1" applyFill="1" applyBorder="1" applyAlignment="1">
      <alignment horizontal="center" vertical="center" textRotation="90" wrapText="1"/>
    </xf>
    <xf numFmtId="0" fontId="84" fillId="45" borderId="6" xfId="16" applyFont="1" applyFill="1" applyBorder="1" applyAlignment="1" applyProtection="1">
      <alignment horizontal="right" vertical="center" wrapText="1"/>
      <protection locked="0"/>
    </xf>
    <xf numFmtId="0" fontId="84" fillId="45" borderId="0" xfId="16" applyFont="1" applyFill="1" applyAlignment="1" applyProtection="1">
      <alignment horizontal="right" vertical="center" wrapText="1"/>
      <protection locked="0"/>
    </xf>
    <xf numFmtId="0" fontId="416" fillId="65" borderId="260" xfId="16" applyFont="1" applyFill="1" applyBorder="1" applyAlignment="1" applyProtection="1">
      <alignment horizontal="left" vertical="center"/>
      <protection locked="0"/>
    </xf>
    <xf numFmtId="0" fontId="413" fillId="55" borderId="263" xfId="16" applyFont="1" applyFill="1" applyBorder="1" applyAlignment="1" applyProtection="1">
      <alignment horizontal="right" vertical="center" wrapText="1"/>
      <protection locked="0"/>
    </xf>
    <xf numFmtId="0" fontId="84" fillId="45" borderId="58" xfId="16" applyFont="1" applyFill="1" applyBorder="1" applyAlignment="1" applyProtection="1">
      <alignment horizontal="right" vertical="center" wrapText="1"/>
      <protection locked="0"/>
    </xf>
    <xf numFmtId="0" fontId="84" fillId="45" borderId="3" xfId="16" applyFont="1" applyFill="1" applyBorder="1" applyAlignment="1" applyProtection="1">
      <alignment horizontal="right" vertical="center" wrapText="1"/>
      <protection locked="0"/>
    </xf>
    <xf numFmtId="0" fontId="413" fillId="55" borderId="265" xfId="16" applyFont="1" applyFill="1" applyBorder="1" applyAlignment="1" applyProtection="1">
      <alignment horizontal="right" vertical="center" wrapText="1"/>
      <protection locked="0"/>
    </xf>
    <xf numFmtId="0" fontId="413" fillId="55" borderId="234" xfId="16" applyFont="1" applyFill="1" applyBorder="1" applyAlignment="1" applyProtection="1">
      <alignment horizontal="right" vertical="center" wrapText="1"/>
      <protection locked="0"/>
    </xf>
    <xf numFmtId="0" fontId="416" fillId="65" borderId="45" xfId="16" applyFont="1" applyFill="1" applyBorder="1" applyAlignment="1" applyProtection="1">
      <alignment horizontal="left" vertical="center"/>
      <protection locked="0"/>
    </xf>
    <xf numFmtId="0" fontId="58" fillId="21" borderId="56" xfId="1" applyFont="1" applyFill="1" applyBorder="1" applyAlignment="1">
      <alignment horizontal="center" vertical="center" wrapText="1"/>
    </xf>
    <xf numFmtId="0" fontId="88" fillId="4" borderId="7" xfId="7" applyFont="1" applyFill="1" applyBorder="1" applyAlignment="1">
      <alignment horizontal="center" vertical="center"/>
    </xf>
    <xf numFmtId="0" fontId="88" fillId="4" borderId="2" xfId="7" applyFont="1" applyFill="1" applyBorder="1" applyAlignment="1">
      <alignment horizontal="center" vertical="center"/>
    </xf>
    <xf numFmtId="0" fontId="88" fillId="4" borderId="8" xfId="7" applyFont="1" applyFill="1" applyBorder="1" applyAlignment="1">
      <alignment horizontal="center" vertical="center"/>
    </xf>
    <xf numFmtId="0" fontId="396" fillId="8" borderId="7" xfId="1" applyFont="1" applyFill="1" applyBorder="1" applyAlignment="1">
      <alignment horizontal="left"/>
    </xf>
    <xf numFmtId="0" fontId="396" fillId="8" borderId="2" xfId="1" applyFont="1" applyFill="1" applyBorder="1" applyAlignment="1">
      <alignment horizontal="left"/>
    </xf>
    <xf numFmtId="0" fontId="396" fillId="8" borderId="8" xfId="1" applyFont="1" applyFill="1" applyBorder="1" applyAlignment="1">
      <alignment horizontal="left"/>
    </xf>
    <xf numFmtId="0" fontId="346" fillId="8" borderId="0" xfId="34" applyFont="1" applyFill="1" applyAlignment="1">
      <alignment horizontal="center" vertical="center"/>
    </xf>
    <xf numFmtId="0" fontId="400" fillId="8" borderId="0" xfId="34" applyFont="1" applyFill="1" applyAlignment="1">
      <alignment horizontal="center" vertical="center"/>
    </xf>
    <xf numFmtId="0" fontId="13" fillId="0" borderId="0" xfId="16" applyFont="1" applyAlignment="1" applyProtection="1">
      <alignment horizontal="center" vertical="center"/>
      <protection locked="0"/>
    </xf>
    <xf numFmtId="0" fontId="13" fillId="8" borderId="0" xfId="29" applyFont="1" applyFill="1" applyAlignment="1">
      <alignment horizontal="center" vertical="center" wrapText="1"/>
    </xf>
    <xf numFmtId="0" fontId="57" fillId="8" borderId="0" xfId="29" applyFont="1" applyFill="1" applyAlignment="1">
      <alignment horizontal="center" vertical="center" wrapText="1"/>
    </xf>
    <xf numFmtId="0" fontId="185" fillId="8" borderId="35" xfId="1" applyFont="1" applyFill="1" applyBorder="1" applyAlignment="1">
      <alignment horizontal="center" vertical="center" wrapText="1"/>
    </xf>
    <xf numFmtId="0" fontId="185" fillId="8" borderId="56" xfId="1" applyFont="1" applyFill="1" applyBorder="1" applyAlignment="1">
      <alignment horizontal="center" vertical="center" wrapText="1"/>
    </xf>
    <xf numFmtId="0" fontId="185" fillId="8" borderId="37" xfId="1" applyFont="1" applyFill="1" applyBorder="1" applyAlignment="1">
      <alignment horizontal="center" vertical="center" wrapText="1"/>
    </xf>
    <xf numFmtId="0" fontId="423" fillId="4" borderId="7" xfId="7" applyFont="1" applyFill="1" applyBorder="1" applyAlignment="1">
      <alignment horizontal="center" vertical="center"/>
    </xf>
    <xf numFmtId="0" fontId="423" fillId="4" borderId="2" xfId="7" applyFont="1" applyFill="1" applyBorder="1" applyAlignment="1">
      <alignment horizontal="center" vertical="center"/>
    </xf>
    <xf numFmtId="0" fontId="423" fillId="4" borderId="8" xfId="7" applyFont="1" applyFill="1" applyBorder="1" applyAlignment="1">
      <alignment horizontal="center" vertical="center"/>
    </xf>
    <xf numFmtId="0" fontId="424" fillId="135" borderId="159" xfId="1" applyFont="1" applyFill="1" applyBorder="1" applyAlignment="1">
      <alignment horizontal="center" vertical="center" textRotation="90" wrapText="1"/>
    </xf>
    <xf numFmtId="0" fontId="424" fillId="135" borderId="160" xfId="1" applyFont="1" applyFill="1" applyBorder="1" applyAlignment="1">
      <alignment horizontal="center" vertical="center" textRotation="90" wrapText="1"/>
    </xf>
    <xf numFmtId="0" fontId="292" fillId="8" borderId="6" xfId="1" applyFont="1" applyFill="1" applyBorder="1" applyAlignment="1">
      <alignment horizontal="center" vertical="center"/>
    </xf>
    <xf numFmtId="0" fontId="292" fillId="8" borderId="0" xfId="1" applyFont="1" applyFill="1" applyAlignment="1">
      <alignment horizontal="center" vertical="center"/>
    </xf>
    <xf numFmtId="0" fontId="427" fillId="21" borderId="6" xfId="27" applyFont="1" applyFill="1" applyBorder="1" applyAlignment="1">
      <alignment horizontal="center" vertical="center"/>
    </xf>
    <xf numFmtId="0" fontId="427" fillId="21" borderId="0" xfId="27" applyFont="1" applyFill="1" applyAlignment="1">
      <alignment horizontal="center" vertical="center"/>
    </xf>
    <xf numFmtId="198" fontId="404" fillId="120" borderId="0" xfId="1" applyNumberFormat="1" applyFont="1" applyFill="1" applyAlignment="1">
      <alignment horizontal="left" vertical="center"/>
    </xf>
    <xf numFmtId="0" fontId="427" fillId="21" borderId="127" xfId="27" applyFont="1" applyFill="1" applyBorder="1" applyAlignment="1">
      <alignment horizontal="center" vertical="center"/>
    </xf>
    <xf numFmtId="0" fontId="427" fillId="21" borderId="56" xfId="27" applyFont="1" applyFill="1" applyBorder="1" applyAlignment="1">
      <alignment horizontal="center" vertical="center"/>
    </xf>
    <xf numFmtId="0" fontId="427" fillId="21" borderId="57" xfId="27" applyFont="1" applyFill="1" applyBorder="1" applyAlignment="1">
      <alignment horizontal="center" vertical="center"/>
    </xf>
    <xf numFmtId="0" fontId="72" fillId="4" borderId="7" xfId="27" applyFont="1" applyFill="1" applyBorder="1" applyAlignment="1">
      <alignment horizontal="center"/>
    </xf>
    <xf numFmtId="0" fontId="72" fillId="4" borderId="2" xfId="27" applyFont="1" applyFill="1" applyBorder="1" applyAlignment="1">
      <alignment horizontal="center"/>
    </xf>
    <xf numFmtId="0" fontId="72" fillId="4" borderId="8" xfId="27" applyFont="1" applyFill="1" applyBorder="1" applyAlignment="1">
      <alignment horizontal="center"/>
    </xf>
    <xf numFmtId="0" fontId="72" fillId="4" borderId="210" xfId="27" applyFont="1" applyFill="1" applyBorder="1" applyAlignment="1">
      <alignment horizontal="center"/>
    </xf>
    <xf numFmtId="0" fontId="72" fillId="4" borderId="211" xfId="27" applyFont="1" applyFill="1" applyBorder="1" applyAlignment="1">
      <alignment horizontal="center"/>
    </xf>
    <xf numFmtId="0" fontId="72" fillId="4" borderId="212" xfId="27" applyFont="1" applyFill="1" applyBorder="1" applyAlignment="1">
      <alignment horizontal="center"/>
    </xf>
    <xf numFmtId="0" fontId="430" fillId="8" borderId="269" xfId="40" applyFont="1" applyFill="1" applyBorder="1" applyAlignment="1">
      <alignment horizontal="center" vertical="center" wrapText="1"/>
    </xf>
    <xf numFmtId="0" fontId="430" fillId="8" borderId="152" xfId="40" applyFont="1" applyFill="1" applyBorder="1" applyAlignment="1">
      <alignment horizontal="center" vertical="center" wrapText="1"/>
    </xf>
    <xf numFmtId="0" fontId="431" fillId="8" borderId="64" xfId="40" applyFont="1" applyFill="1" applyBorder="1" applyAlignment="1">
      <alignment horizontal="center" vertical="center" wrapText="1"/>
    </xf>
    <xf numFmtId="0" fontId="431" fillId="8" borderId="271" xfId="40" applyFont="1" applyFill="1" applyBorder="1" applyAlignment="1">
      <alignment horizontal="center" vertical="center" wrapText="1"/>
    </xf>
    <xf numFmtId="0" fontId="77" fillId="8" borderId="64" xfId="19" applyFont="1" applyFill="1" applyBorder="1" applyAlignment="1">
      <alignment horizontal="center" vertical="center" wrapText="1"/>
    </xf>
    <xf numFmtId="0" fontId="77" fillId="8" borderId="271" xfId="19" applyFont="1" applyFill="1" applyBorder="1" applyAlignment="1">
      <alignment horizontal="center" vertical="center" wrapText="1"/>
    </xf>
    <xf numFmtId="0" fontId="13" fillId="44" borderId="9" xfId="19" applyFont="1" applyFill="1" applyBorder="1" applyAlignment="1">
      <alignment horizontal="center" vertical="center" wrapText="1"/>
    </xf>
    <xf numFmtId="0" fontId="65" fillId="8" borderId="152" xfId="40" applyFont="1" applyFill="1" applyBorder="1" applyAlignment="1">
      <alignment horizontal="center" vertical="center" wrapText="1"/>
    </xf>
    <xf numFmtId="169" fontId="57" fillId="8" borderId="0" xfId="27" applyNumberFormat="1" applyFont="1" applyFill="1" applyAlignment="1">
      <alignment horizontal="center" vertical="center"/>
    </xf>
    <xf numFmtId="169" fontId="57" fillId="8" borderId="14" xfId="27" applyNumberFormat="1" applyFont="1" applyFill="1" applyBorder="1" applyAlignment="1">
      <alignment horizontal="center" vertical="center"/>
    </xf>
    <xf numFmtId="0" fontId="13" fillId="8" borderId="9" xfId="19" applyFont="1" applyFill="1" applyBorder="1" applyAlignment="1">
      <alignment horizontal="center" vertical="center" wrapText="1"/>
    </xf>
    <xf numFmtId="0" fontId="13" fillId="8" borderId="21" xfId="19" applyFont="1" applyFill="1" applyBorder="1" applyAlignment="1">
      <alignment horizontal="center" vertical="center" wrapText="1"/>
    </xf>
    <xf numFmtId="0" fontId="13" fillId="8" borderId="116" xfId="40" applyFont="1" applyFill="1" applyBorder="1" applyAlignment="1">
      <alignment horizontal="right" vertical="center" wrapText="1"/>
    </xf>
    <xf numFmtId="0" fontId="13" fillId="8" borderId="65" xfId="40" applyFont="1" applyFill="1" applyBorder="1" applyAlignment="1">
      <alignment horizontal="right" vertical="center" wrapText="1"/>
    </xf>
    <xf numFmtId="0" fontId="185" fillId="8" borderId="274" xfId="1" applyFont="1" applyFill="1" applyBorder="1" applyAlignment="1">
      <alignment horizontal="center" vertical="center" wrapText="1"/>
    </xf>
    <xf numFmtId="0" fontId="99" fillId="8" borderId="260" xfId="1" applyFont="1" applyFill="1" applyBorder="1" applyAlignment="1">
      <alignment horizontal="center" vertical="center" wrapText="1"/>
    </xf>
    <xf numFmtId="0" fontId="99" fillId="8" borderId="275" xfId="1" applyFont="1" applyFill="1" applyBorder="1" applyAlignment="1">
      <alignment horizontal="center" vertical="center" wrapText="1"/>
    </xf>
    <xf numFmtId="0" fontId="13" fillId="8" borderId="6" xfId="40" applyFont="1" applyFill="1" applyBorder="1" applyAlignment="1">
      <alignment horizontal="right" vertical="center" wrapText="1"/>
    </xf>
    <xf numFmtId="0" fontId="71" fillId="8" borderId="7" xfId="27" applyFill="1" applyBorder="1" applyAlignment="1">
      <alignment horizontal="left" wrapText="1"/>
    </xf>
    <xf numFmtId="0" fontId="71" fillId="8" borderId="2" xfId="27" applyFill="1" applyBorder="1" applyAlignment="1">
      <alignment horizontal="left" wrapText="1"/>
    </xf>
    <xf numFmtId="0" fontId="71" fillId="8" borderId="8" xfId="27" applyFill="1" applyBorder="1" applyAlignment="1">
      <alignment horizontal="left" wrapText="1"/>
    </xf>
    <xf numFmtId="0" fontId="71" fillId="8" borderId="6" xfId="27" applyFill="1" applyBorder="1" applyAlignment="1">
      <alignment horizontal="left" wrapText="1"/>
    </xf>
    <xf numFmtId="0" fontId="13" fillId="44" borderId="270" xfId="19" applyFont="1" applyFill="1" applyBorder="1" applyAlignment="1">
      <alignment horizontal="center" vertical="center" wrapText="1"/>
    </xf>
    <xf numFmtId="0" fontId="13" fillId="44" borderId="272" xfId="19" applyFont="1" applyFill="1" applyBorder="1" applyAlignment="1">
      <alignment horizontal="center" vertical="center" wrapText="1"/>
    </xf>
    <xf numFmtId="0" fontId="13" fillId="8" borderId="52" xfId="40" applyFont="1" applyFill="1" applyBorder="1" applyAlignment="1">
      <alignment horizontal="center" vertical="center" wrapText="1"/>
    </xf>
    <xf numFmtId="0" fontId="13" fillId="8" borderId="266" xfId="40" applyFont="1" applyFill="1" applyBorder="1" applyAlignment="1">
      <alignment horizontal="center" vertical="center" wrapText="1"/>
    </xf>
    <xf numFmtId="0" fontId="13" fillId="8" borderId="55" xfId="40" applyFont="1" applyFill="1" applyBorder="1" applyAlignment="1">
      <alignment horizontal="center" vertical="center" wrapText="1"/>
    </xf>
    <xf numFmtId="1" fontId="13" fillId="8" borderId="227" xfId="40" applyNumberFormat="1" applyFont="1" applyFill="1" applyBorder="1" applyAlignment="1">
      <alignment horizontal="center" vertical="center"/>
    </xf>
    <xf numFmtId="1" fontId="13" fillId="8" borderId="0" xfId="40" applyNumberFormat="1" applyFont="1" applyFill="1" applyAlignment="1">
      <alignment horizontal="center" vertical="center"/>
    </xf>
    <xf numFmtId="0" fontId="13" fillId="8" borderId="227" xfId="40" applyFont="1" applyFill="1" applyBorder="1" applyAlignment="1">
      <alignment horizontal="center" vertical="center" wrapText="1"/>
    </xf>
    <xf numFmtId="0" fontId="13" fillId="8" borderId="0" xfId="40" applyFont="1" applyFill="1" applyAlignment="1">
      <alignment horizontal="center" vertical="center" wrapText="1"/>
    </xf>
    <xf numFmtId="0" fontId="13" fillId="8" borderId="14" xfId="40" applyFont="1" applyFill="1" applyBorder="1" applyAlignment="1">
      <alignment horizontal="center" vertical="center" wrapText="1"/>
    </xf>
    <xf numFmtId="0" fontId="13" fillId="8" borderId="267" xfId="27" applyFont="1" applyFill="1" applyBorder="1" applyAlignment="1">
      <alignment horizontal="center" vertical="center"/>
    </xf>
    <xf numFmtId="0" fontId="13" fillId="8" borderId="104" xfId="27" applyFont="1" applyFill="1" applyBorder="1" applyAlignment="1">
      <alignment horizontal="center" vertical="center"/>
    </xf>
    <xf numFmtId="0" fontId="71" fillId="8" borderId="6" xfId="27" applyFill="1" applyBorder="1" applyAlignment="1">
      <alignment horizontal="left" vertical="center" wrapText="1"/>
    </xf>
    <xf numFmtId="0" fontId="71" fillId="8" borderId="58" xfId="27" applyFill="1" applyBorder="1" applyAlignment="1">
      <alignment horizontal="left" vertical="center" wrapText="1"/>
    </xf>
    <xf numFmtId="0" fontId="71" fillId="8" borderId="3" xfId="27" applyFill="1" applyBorder="1" applyAlignment="1">
      <alignment horizontal="left" vertical="center" wrapText="1"/>
    </xf>
    <xf numFmtId="0" fontId="71" fillId="8" borderId="59" xfId="27" applyFill="1" applyBorder="1" applyAlignment="1">
      <alignment horizontal="left" vertical="center" wrapText="1"/>
    </xf>
    <xf numFmtId="0" fontId="35" fillId="21" borderId="254" xfId="27" applyFont="1" applyFill="1" applyBorder="1" applyAlignment="1">
      <alignment horizontal="left" vertical="center"/>
    </xf>
    <xf numFmtId="0" fontId="35" fillId="21" borderId="280" xfId="27" applyFont="1" applyFill="1" applyBorder="1" applyAlignment="1">
      <alignment horizontal="left" vertical="center"/>
    </xf>
    <xf numFmtId="0" fontId="35" fillId="21" borderId="14" xfId="27" applyFont="1" applyFill="1" applyBorder="1" applyAlignment="1">
      <alignment horizontal="left"/>
    </xf>
    <xf numFmtId="0" fontId="35" fillId="21" borderId="21" xfId="27" applyFont="1" applyFill="1" applyBorder="1" applyAlignment="1">
      <alignment horizontal="left"/>
    </xf>
    <xf numFmtId="0" fontId="431" fillId="8" borderId="92" xfId="40" applyFont="1" applyFill="1" applyBorder="1" applyAlignment="1">
      <alignment horizontal="center" vertical="center" wrapText="1"/>
    </xf>
    <xf numFmtId="0" fontId="77" fillId="8" borderId="92" xfId="19" applyFont="1" applyFill="1" applyBorder="1" applyAlignment="1">
      <alignment horizontal="center" vertical="center" wrapText="1"/>
    </xf>
    <xf numFmtId="0" fontId="13" fillId="44" borderId="0" xfId="19" applyFont="1" applyFill="1" applyAlignment="1">
      <alignment horizontal="center" vertical="center" wrapText="1"/>
    </xf>
    <xf numFmtId="0" fontId="48" fillId="8" borderId="266" xfId="40" applyFont="1" applyFill="1" applyBorder="1" applyAlignment="1">
      <alignment horizontal="center" vertical="center" wrapText="1"/>
    </xf>
    <xf numFmtId="0" fontId="48" fillId="8" borderId="35" xfId="40" applyFont="1" applyFill="1" applyBorder="1" applyAlignment="1">
      <alignment horizontal="center" vertical="center" wrapText="1"/>
    </xf>
    <xf numFmtId="0" fontId="48" fillId="8" borderId="0" xfId="40" applyFont="1" applyFill="1" applyAlignment="1">
      <alignment horizontal="right" vertical="center" wrapText="1"/>
    </xf>
    <xf numFmtId="0" fontId="430" fillId="8" borderId="281" xfId="40" applyFont="1" applyFill="1" applyBorder="1" applyAlignment="1">
      <alignment horizontal="center" vertical="center" wrapText="1"/>
    </xf>
    <xf numFmtId="0" fontId="361" fillId="8" borderId="92" xfId="40" applyFont="1" applyFill="1" applyBorder="1" applyAlignment="1">
      <alignment horizontal="center" vertical="center" wrapText="1"/>
    </xf>
    <xf numFmtId="0" fontId="361" fillId="8" borderId="271" xfId="40" applyFont="1" applyFill="1" applyBorder="1" applyAlignment="1">
      <alignment horizontal="center" vertical="center" wrapText="1"/>
    </xf>
    <xf numFmtId="0" fontId="13" fillId="8" borderId="37" xfId="27" applyFont="1" applyFill="1" applyBorder="1" applyAlignment="1">
      <alignment horizontal="center" vertical="center"/>
    </xf>
    <xf numFmtId="0" fontId="30" fillId="17" borderId="9" xfId="1" applyFont="1" applyFill="1" applyBorder="1" applyAlignment="1">
      <alignment horizontal="center" vertical="center" textRotation="90" wrapText="1"/>
    </xf>
    <xf numFmtId="0" fontId="262" fillId="17" borderId="6" xfId="16" applyFont="1" applyFill="1" applyBorder="1" applyAlignment="1">
      <alignment horizontal="center" vertical="center" wrapText="1"/>
    </xf>
    <xf numFmtId="0" fontId="262" fillId="17" borderId="0" xfId="16" applyFont="1" applyFill="1" applyAlignment="1">
      <alignment horizontal="center" vertical="center" wrapText="1"/>
    </xf>
    <xf numFmtId="0" fontId="262" fillId="17" borderId="127" xfId="16" applyFont="1" applyFill="1" applyBorder="1" applyAlignment="1">
      <alignment horizontal="center" vertical="center" wrapText="1"/>
    </xf>
    <xf numFmtId="0" fontId="262" fillId="17" borderId="56" xfId="16" applyFont="1" applyFill="1" applyBorder="1" applyAlignment="1">
      <alignment horizontal="center" vertical="center" wrapText="1"/>
    </xf>
    <xf numFmtId="0" fontId="262" fillId="137" borderId="116" xfId="16" applyFont="1" applyFill="1" applyBorder="1" applyAlignment="1">
      <alignment horizontal="center" vertical="center" wrapText="1"/>
    </xf>
    <xf numFmtId="0" fontId="262" fillId="137" borderId="45" xfId="16" applyFont="1" applyFill="1" applyBorder="1" applyAlignment="1">
      <alignment horizontal="center" vertical="center" wrapText="1"/>
    </xf>
    <xf numFmtId="0" fontId="262" fillId="137" borderId="6" xfId="16" applyFont="1" applyFill="1" applyBorder="1" applyAlignment="1">
      <alignment horizontal="center" vertical="center" wrapText="1"/>
    </xf>
    <xf numFmtId="0" fontId="262" fillId="137" borderId="0" xfId="16" applyFont="1" applyFill="1" applyAlignment="1">
      <alignment horizontal="center" vertical="center" wrapText="1"/>
    </xf>
    <xf numFmtId="0" fontId="434" fillId="66" borderId="6" xfId="16" applyFont="1" applyFill="1" applyBorder="1" applyAlignment="1">
      <alignment horizontal="center" vertical="center"/>
    </xf>
    <xf numFmtId="0" fontId="434" fillId="66" borderId="0" xfId="16" applyFont="1" applyFill="1" applyAlignment="1">
      <alignment horizontal="center" vertical="center"/>
    </xf>
    <xf numFmtId="0" fontId="434" fillId="66" borderId="9" xfId="16" applyFont="1" applyFill="1" applyBorder="1" applyAlignment="1">
      <alignment horizontal="center" vertical="center"/>
    </xf>
    <xf numFmtId="0" fontId="154" fillId="7" borderId="6" xfId="16" applyFont="1" applyFill="1" applyBorder="1" applyAlignment="1">
      <alignment horizontal="center" vertical="center"/>
    </xf>
    <xf numFmtId="0" fontId="154" fillId="7" borderId="0" xfId="16" applyFont="1" applyFill="1" applyAlignment="1">
      <alignment horizontal="center" vertical="center"/>
    </xf>
    <xf numFmtId="0" fontId="154" fillId="7" borderId="9" xfId="16" applyFont="1" applyFill="1" applyBorder="1" applyAlignment="1">
      <alignment horizontal="center" vertical="center"/>
    </xf>
    <xf numFmtId="0" fontId="159" fillId="0" borderId="116" xfId="16" applyFont="1" applyBorder="1" applyAlignment="1" applyProtection="1">
      <alignment horizontal="center" vertical="center"/>
      <protection locked="0"/>
    </xf>
    <xf numFmtId="0" fontId="159" fillId="0" borderId="45" xfId="16" applyFont="1" applyBorder="1" applyAlignment="1" applyProtection="1">
      <alignment horizontal="center" vertical="center"/>
      <protection locked="0"/>
    </xf>
    <xf numFmtId="0" fontId="159" fillId="0" borderId="26" xfId="16" applyFont="1" applyBorder="1" applyAlignment="1" applyProtection="1">
      <alignment horizontal="center" vertical="center"/>
      <protection locked="0"/>
    </xf>
    <xf numFmtId="0" fontId="159" fillId="0" borderId="6" xfId="16" applyFont="1" applyBorder="1" applyAlignment="1" applyProtection="1">
      <alignment horizontal="center" vertical="center"/>
      <protection locked="0"/>
    </xf>
    <xf numFmtId="0" fontId="159" fillId="0" borderId="0" xfId="16" applyFont="1" applyAlignment="1" applyProtection="1">
      <alignment horizontal="center" vertical="center"/>
      <protection locked="0"/>
    </xf>
    <xf numFmtId="0" fontId="159" fillId="0" borderId="17" xfId="16" applyFont="1" applyBorder="1" applyAlignment="1" applyProtection="1">
      <alignment horizontal="center" vertical="center"/>
      <protection locked="0"/>
    </xf>
    <xf numFmtId="0" fontId="185" fillId="8" borderId="62" xfId="1" applyFont="1" applyFill="1" applyBorder="1" applyAlignment="1">
      <alignment horizontal="center" vertical="center" wrapText="1"/>
    </xf>
    <xf numFmtId="0" fontId="13" fillId="8" borderId="116" xfId="40" applyFont="1" applyFill="1" applyBorder="1" applyAlignment="1">
      <alignment horizontal="center" vertical="center" wrapText="1"/>
    </xf>
    <xf numFmtId="0" fontId="13" fillId="8" borderId="6" xfId="40" applyFont="1" applyFill="1" applyBorder="1" applyAlignment="1">
      <alignment horizontal="center" vertical="center" wrapText="1"/>
    </xf>
    <xf numFmtId="0" fontId="13" fillId="8" borderId="65" xfId="40" applyFont="1" applyFill="1" applyBorder="1" applyAlignment="1">
      <alignment horizontal="center" vertical="center" wrapText="1"/>
    </xf>
    <xf numFmtId="1" fontId="13" fillId="8" borderId="45" xfId="40" applyNumberFormat="1" applyFont="1" applyFill="1" applyBorder="1" applyAlignment="1">
      <alignment horizontal="center" vertical="center"/>
    </xf>
    <xf numFmtId="0" fontId="13" fillId="8" borderId="9" xfId="27" applyFont="1" applyFill="1" applyBorder="1" applyAlignment="1">
      <alignment horizontal="center" vertical="center"/>
    </xf>
    <xf numFmtId="0" fontId="13" fillId="8" borderId="21" xfId="27" applyFont="1" applyFill="1" applyBorder="1" applyAlignment="1">
      <alignment horizontal="center" vertical="center"/>
    </xf>
    <xf numFmtId="0" fontId="48" fillId="8" borderId="116" xfId="40" applyFont="1" applyFill="1" applyBorder="1" applyAlignment="1">
      <alignment horizontal="right" vertical="center" wrapText="1"/>
    </xf>
    <xf numFmtId="0" fontId="48" fillId="8" borderId="6" xfId="40" applyFont="1" applyFill="1" applyBorder="1" applyAlignment="1">
      <alignment horizontal="right" vertical="center" wrapText="1"/>
    </xf>
    <xf numFmtId="0" fontId="13" fillId="0" borderId="44" xfId="16" applyFont="1" applyBorder="1" applyAlignment="1" applyProtection="1">
      <alignment horizontal="center" vertical="center" wrapText="1"/>
      <protection locked="0"/>
    </xf>
    <xf numFmtId="0" fontId="13" fillId="0" borderId="16" xfId="16" applyFont="1" applyBorder="1" applyAlignment="1" applyProtection="1">
      <alignment horizontal="center" vertical="center" wrapText="1"/>
      <protection locked="0"/>
    </xf>
    <xf numFmtId="0" fontId="13" fillId="0" borderId="26" xfId="16" applyFont="1" applyBorder="1" applyAlignment="1" applyProtection="1">
      <alignment horizontal="center" vertical="center" wrapText="1"/>
      <protection locked="0"/>
    </xf>
    <xf numFmtId="0" fontId="13" fillId="0" borderId="17" xfId="16" applyFont="1" applyBorder="1" applyAlignment="1" applyProtection="1">
      <alignment horizontal="center" vertical="center" wrapText="1"/>
      <protection locked="0"/>
    </xf>
    <xf numFmtId="0" fontId="58" fillId="0" borderId="44" xfId="16" applyFont="1" applyBorder="1" applyAlignment="1" applyProtection="1">
      <alignment horizontal="center" vertical="center" wrapText="1"/>
      <protection locked="0"/>
    </xf>
    <xf numFmtId="0" fontId="58" fillId="0" borderId="45" xfId="16" applyFont="1" applyBorder="1" applyAlignment="1" applyProtection="1">
      <alignment horizontal="center" vertical="center" wrapText="1"/>
      <protection locked="0"/>
    </xf>
    <xf numFmtId="0" fontId="58" fillId="0" borderId="16" xfId="16" applyFont="1" applyBorder="1" applyAlignment="1" applyProtection="1">
      <alignment horizontal="center" vertical="center" wrapText="1"/>
      <protection locked="0"/>
    </xf>
    <xf numFmtId="0" fontId="58" fillId="0" borderId="0" xfId="16" applyFont="1" applyAlignment="1" applyProtection="1">
      <alignment horizontal="center" vertical="center" wrapText="1"/>
      <protection locked="0"/>
    </xf>
    <xf numFmtId="0" fontId="13" fillId="0" borderId="47" xfId="16" applyFont="1" applyBorder="1" applyAlignment="1" applyProtection="1">
      <alignment horizontal="center" vertical="center" wrapText="1"/>
      <protection locked="0"/>
    </xf>
    <xf numFmtId="0" fontId="13" fillId="0" borderId="9" xfId="16" applyFont="1" applyBorder="1" applyAlignment="1" applyProtection="1">
      <alignment horizontal="center" vertical="center" wrapText="1"/>
      <protection locked="0"/>
    </xf>
    <xf numFmtId="0" fontId="10" fillId="0" borderId="0" xfId="16" applyFont="1" applyAlignment="1" applyProtection="1">
      <alignment horizontal="center" vertical="center" wrapText="1"/>
      <protection locked="0"/>
    </xf>
    <xf numFmtId="0" fontId="170" fillId="133" borderId="65" xfId="16" applyFont="1" applyFill="1" applyBorder="1" applyAlignment="1" applyProtection="1">
      <alignment horizontal="center" vertical="center" wrapText="1"/>
      <protection locked="0"/>
    </xf>
    <xf numFmtId="0" fontId="170" fillId="133" borderId="14" xfId="16" applyFont="1" applyFill="1" applyBorder="1" applyAlignment="1" applyProtection="1">
      <alignment horizontal="center" vertical="center" wrapText="1"/>
      <protection locked="0"/>
    </xf>
    <xf numFmtId="0" fontId="170" fillId="133" borderId="14" xfId="16" applyFont="1" applyFill="1" applyBorder="1" applyAlignment="1" applyProtection="1">
      <alignment horizontal="left" vertical="center"/>
      <protection locked="0"/>
    </xf>
    <xf numFmtId="0" fontId="99" fillId="8" borderId="228" xfId="1" applyFont="1" applyFill="1" applyBorder="1" applyAlignment="1">
      <alignment horizontal="center" vertical="center" wrapText="1"/>
    </xf>
    <xf numFmtId="0" fontId="262" fillId="17" borderId="7" xfId="16" applyFont="1" applyFill="1" applyBorder="1" applyAlignment="1">
      <alignment horizontal="left" vertical="center"/>
    </xf>
    <xf numFmtId="0" fontId="262" fillId="17" borderId="2" xfId="16" applyFont="1" applyFill="1" applyBorder="1" applyAlignment="1">
      <alignment horizontal="left" vertical="center"/>
    </xf>
    <xf numFmtId="0" fontId="262" fillId="17" borderId="8" xfId="16" applyFont="1" applyFill="1" applyBorder="1" applyAlignment="1">
      <alignment horizontal="left" vertical="center"/>
    </xf>
    <xf numFmtId="0" fontId="262" fillId="137" borderId="7" xfId="16" applyFont="1" applyFill="1" applyBorder="1" applyAlignment="1">
      <alignment horizontal="left" vertical="center"/>
    </xf>
    <xf numFmtId="0" fontId="262" fillId="137" borderId="2" xfId="16" applyFont="1" applyFill="1" applyBorder="1" applyAlignment="1">
      <alignment horizontal="left" vertical="center"/>
    </xf>
    <xf numFmtId="0" fontId="262" fillId="137" borderId="8" xfId="16" applyFont="1" applyFill="1" applyBorder="1" applyAlignment="1">
      <alignment horizontal="left" vertical="center"/>
    </xf>
    <xf numFmtId="0" fontId="154" fillId="65" borderId="116" xfId="16" applyFont="1" applyFill="1" applyBorder="1" applyAlignment="1">
      <alignment horizontal="center" vertical="center"/>
    </xf>
    <xf numFmtId="0" fontId="154" fillId="65" borderId="45" xfId="16" applyFont="1" applyFill="1" applyBorder="1" applyAlignment="1">
      <alignment horizontal="center" vertical="center"/>
    </xf>
    <xf numFmtId="0" fontId="154" fillId="65" borderId="47" xfId="16" applyFont="1" applyFill="1" applyBorder="1" applyAlignment="1">
      <alignment horizontal="center" vertical="center"/>
    </xf>
    <xf numFmtId="0" fontId="154" fillId="65" borderId="127" xfId="16" applyFont="1" applyFill="1" applyBorder="1" applyAlignment="1">
      <alignment horizontal="center" vertical="center"/>
    </xf>
    <xf numFmtId="0" fontId="154" fillId="65" borderId="56" xfId="16" applyFont="1" applyFill="1" applyBorder="1" applyAlignment="1">
      <alignment horizontal="center" vertical="center"/>
    </xf>
    <xf numFmtId="0" fontId="154" fillId="65" borderId="57" xfId="16" applyFont="1" applyFill="1" applyBorder="1" applyAlignment="1">
      <alignment horizontal="center" vertical="center"/>
    </xf>
    <xf numFmtId="0" fontId="26" fillId="8" borderId="56" xfId="16" applyFont="1" applyFill="1" applyBorder="1" applyAlignment="1" applyProtection="1">
      <alignment horizontal="left" vertical="center"/>
      <protection locked="0"/>
    </xf>
    <xf numFmtId="0" fontId="58" fillId="21" borderId="276" xfId="1" applyFont="1" applyFill="1" applyBorder="1" applyAlignment="1">
      <alignment horizontal="center" vertical="center"/>
    </xf>
    <xf numFmtId="0" fontId="58" fillId="21" borderId="277" xfId="1" applyFont="1" applyFill="1" applyBorder="1" applyAlignment="1">
      <alignment horizontal="center" vertical="center"/>
    </xf>
    <xf numFmtId="0" fontId="58" fillId="21" borderId="278" xfId="1" applyFont="1" applyFill="1" applyBorder="1" applyAlignment="1">
      <alignment horizontal="center" vertical="center"/>
    </xf>
    <xf numFmtId="0" fontId="13" fillId="0" borderId="62" xfId="16" applyFont="1" applyBorder="1" applyAlignment="1" applyProtection="1">
      <alignment horizontal="center" vertical="center" wrapText="1"/>
      <protection locked="0"/>
    </xf>
    <xf numFmtId="0" fontId="13" fillId="0" borderId="284" xfId="16" applyFont="1" applyBorder="1" applyAlignment="1" applyProtection="1">
      <alignment horizontal="center" vertical="center" wrapText="1"/>
      <protection locked="0"/>
    </xf>
    <xf numFmtId="0" fontId="13" fillId="0" borderId="6" xfId="16" applyFont="1" applyBorder="1" applyAlignment="1" applyProtection="1">
      <alignment horizontal="center" vertical="center" wrapText="1"/>
      <protection locked="0"/>
    </xf>
    <xf numFmtId="0" fontId="13" fillId="0" borderId="48" xfId="16" applyFont="1" applyBorder="1" applyAlignment="1" applyProtection="1">
      <alignment horizontal="center" vertical="center"/>
      <protection locked="0"/>
    </xf>
    <xf numFmtId="0" fontId="13" fillId="0" borderId="229" xfId="16" applyFont="1" applyBorder="1" applyAlignment="1" applyProtection="1">
      <alignment horizontal="center" vertical="center"/>
      <protection locked="0"/>
    </xf>
    <xf numFmtId="0" fontId="13" fillId="0" borderId="16" xfId="16" applyFont="1" applyBorder="1" applyAlignment="1" applyProtection="1">
      <alignment horizontal="center" vertical="center"/>
      <protection locked="0"/>
    </xf>
    <xf numFmtId="0" fontId="13" fillId="0" borderId="267" xfId="16" applyFont="1" applyBorder="1" applyAlignment="1" applyProtection="1">
      <alignment horizontal="center" vertical="center"/>
      <protection locked="0"/>
    </xf>
    <xf numFmtId="0" fontId="188" fillId="8" borderId="227" xfId="16" applyFont="1" applyFill="1" applyBorder="1" applyAlignment="1" applyProtection="1">
      <alignment horizontal="center" vertical="center"/>
      <protection locked="0"/>
    </xf>
    <xf numFmtId="0" fontId="188" fillId="8" borderId="228" xfId="16" applyFont="1" applyFill="1" applyBorder="1" applyAlignment="1" applyProtection="1">
      <alignment horizontal="center" vertical="center"/>
      <protection locked="0"/>
    </xf>
    <xf numFmtId="0" fontId="188" fillId="8" borderId="0" xfId="16" applyFont="1" applyFill="1" applyAlignment="1" applyProtection="1">
      <alignment horizontal="center" vertical="center"/>
      <protection locked="0"/>
    </xf>
    <xf numFmtId="0" fontId="188" fillId="8" borderId="9" xfId="16" applyFont="1" applyFill="1" applyBorder="1" applyAlignment="1" applyProtection="1">
      <alignment horizontal="center" vertical="center"/>
      <protection locked="0"/>
    </xf>
    <xf numFmtId="0" fontId="436" fillId="17" borderId="7" xfId="16" applyFont="1" applyFill="1" applyBorder="1" applyAlignment="1">
      <alignment horizontal="center" vertical="center"/>
    </xf>
    <xf numFmtId="0" fontId="436" fillId="17" borderId="2" xfId="16" applyFont="1" applyFill="1" applyBorder="1" applyAlignment="1">
      <alignment horizontal="center" vertical="center"/>
    </xf>
    <xf numFmtId="0" fontId="436" fillId="17" borderId="8" xfId="16" applyFont="1" applyFill="1" applyBorder="1" applyAlignment="1">
      <alignment horizontal="center" vertical="center"/>
    </xf>
    <xf numFmtId="0" fontId="170" fillId="46" borderId="6" xfId="16" applyFont="1" applyFill="1" applyBorder="1" applyAlignment="1" applyProtection="1">
      <alignment horizontal="center" vertical="center" wrapText="1"/>
      <protection locked="0"/>
    </xf>
    <xf numFmtId="0" fontId="170" fillId="46" borderId="0" xfId="16" applyFont="1" applyFill="1" applyAlignment="1" applyProtection="1">
      <alignment horizontal="center" vertical="center" wrapText="1"/>
      <protection locked="0"/>
    </xf>
    <xf numFmtId="0" fontId="170" fillId="46" borderId="17" xfId="16" applyFont="1" applyFill="1" applyBorder="1" applyAlignment="1" applyProtection="1">
      <alignment horizontal="center" vertical="center" wrapText="1"/>
      <protection locked="0"/>
    </xf>
    <xf numFmtId="0" fontId="170" fillId="46" borderId="127" xfId="16" applyFont="1" applyFill="1" applyBorder="1" applyAlignment="1" applyProtection="1">
      <alignment horizontal="center" vertical="center" wrapText="1"/>
      <protection locked="0"/>
    </xf>
    <xf numFmtId="0" fontId="170" fillId="46" borderId="56" xfId="16" applyFont="1" applyFill="1" applyBorder="1" applyAlignment="1" applyProtection="1">
      <alignment horizontal="center" vertical="center" wrapText="1"/>
      <protection locked="0"/>
    </xf>
    <xf numFmtId="0" fontId="170" fillId="46" borderId="217" xfId="16" applyFont="1" applyFill="1" applyBorder="1" applyAlignment="1" applyProtection="1">
      <alignment horizontal="center" vertical="center" wrapText="1"/>
      <protection locked="0"/>
    </xf>
    <xf numFmtId="0" fontId="170" fillId="133" borderId="271" xfId="16" applyFont="1" applyFill="1" applyBorder="1" applyAlignment="1" applyProtection="1">
      <alignment horizontal="center" vertical="center"/>
      <protection locked="0"/>
    </xf>
    <xf numFmtId="0" fontId="170" fillId="133" borderId="282" xfId="16" applyFont="1" applyFill="1" applyBorder="1" applyAlignment="1" applyProtection="1">
      <alignment horizontal="center" vertical="center"/>
      <protection locked="0"/>
    </xf>
    <xf numFmtId="0" fontId="170" fillId="133" borderId="17" xfId="16" applyFont="1" applyFill="1" applyBorder="1" applyAlignment="1" applyProtection="1">
      <alignment horizontal="center" vertical="center"/>
      <protection locked="0"/>
    </xf>
    <xf numFmtId="0" fontId="170" fillId="133" borderId="217" xfId="16" applyFont="1" applyFill="1" applyBorder="1" applyAlignment="1" applyProtection="1">
      <alignment horizontal="center" vertical="center"/>
      <protection locked="0"/>
    </xf>
    <xf numFmtId="0" fontId="194" fillId="133" borderId="0" xfId="16" applyFont="1" applyFill="1" applyAlignment="1" applyProtection="1">
      <alignment horizontal="center" vertical="center"/>
      <protection locked="0"/>
    </xf>
    <xf numFmtId="0" fontId="194" fillId="133" borderId="56" xfId="16" applyFont="1" applyFill="1" applyBorder="1" applyAlignment="1" applyProtection="1">
      <alignment horizontal="center" vertical="center"/>
      <protection locked="0"/>
    </xf>
    <xf numFmtId="1" fontId="435" fillId="133" borderId="16" xfId="16" applyNumberFormat="1" applyFont="1" applyFill="1" applyBorder="1" applyAlignment="1" applyProtection="1">
      <alignment horizontal="center" vertical="center"/>
      <protection locked="0"/>
    </xf>
    <xf numFmtId="1" fontId="435" fillId="133" borderId="9" xfId="16" applyNumberFormat="1" applyFont="1" applyFill="1" applyBorder="1" applyAlignment="1" applyProtection="1">
      <alignment horizontal="center" vertical="center"/>
      <protection locked="0"/>
    </xf>
    <xf numFmtId="1" fontId="435" fillId="133" borderId="36" xfId="16" applyNumberFormat="1" applyFont="1" applyFill="1" applyBorder="1" applyAlignment="1" applyProtection="1">
      <alignment horizontal="center" vertical="center"/>
      <protection locked="0"/>
    </xf>
    <xf numFmtId="1" fontId="435" fillId="133" borderId="57" xfId="16" applyNumberFormat="1" applyFont="1" applyFill="1" applyBorder="1" applyAlignment="1" applyProtection="1">
      <alignment horizontal="center" vertical="center"/>
      <protection locked="0"/>
    </xf>
    <xf numFmtId="0" fontId="26" fillId="7" borderId="116" xfId="16" applyFont="1" applyFill="1" applyBorder="1" applyAlignment="1">
      <alignment horizontal="center" vertical="center"/>
    </xf>
    <xf numFmtId="0" fontId="26" fillId="7" borderId="45" xfId="16" applyFont="1" applyFill="1" applyBorder="1" applyAlignment="1">
      <alignment horizontal="center" vertical="center"/>
    </xf>
    <xf numFmtId="0" fontId="26" fillId="7" borderId="47" xfId="16" applyFont="1" applyFill="1" applyBorder="1" applyAlignment="1">
      <alignment horizontal="center" vertical="center"/>
    </xf>
    <xf numFmtId="0" fontId="26" fillId="8" borderId="16" xfId="16" applyFont="1" applyFill="1" applyBorder="1" applyAlignment="1" applyProtection="1">
      <alignment horizontal="center" vertical="center"/>
      <protection locked="0"/>
    </xf>
    <xf numFmtId="0" fontId="26" fillId="8" borderId="0" xfId="16" applyFont="1" applyFill="1" applyAlignment="1" applyProtection="1">
      <alignment horizontal="center" vertical="center"/>
      <protection locked="0"/>
    </xf>
    <xf numFmtId="0" fontId="26" fillId="8" borderId="9" xfId="16" applyFont="1" applyFill="1" applyBorder="1" applyAlignment="1" applyProtection="1">
      <alignment horizontal="center" vertical="center"/>
      <protection locked="0"/>
    </xf>
    <xf numFmtId="0" fontId="170" fillId="60" borderId="0" xfId="16" applyFont="1" applyFill="1" applyAlignment="1" applyProtection="1">
      <alignment horizontal="right" vertical="center" wrapText="1"/>
      <protection locked="0"/>
    </xf>
    <xf numFmtId="0" fontId="170" fillId="133" borderId="0" xfId="16" applyFont="1" applyFill="1" applyAlignment="1" applyProtection="1">
      <alignment horizontal="center" vertical="center"/>
      <protection locked="0"/>
    </xf>
    <xf numFmtId="0" fontId="170" fillId="133" borderId="0" xfId="16" applyFont="1" applyFill="1" applyAlignment="1" applyProtection="1">
      <alignment horizontal="left" vertical="center"/>
      <protection locked="0"/>
    </xf>
    <xf numFmtId="184" fontId="13" fillId="60" borderId="9" xfId="16" applyNumberFormat="1" applyFont="1" applyFill="1" applyBorder="1" applyAlignment="1" applyProtection="1">
      <alignment horizontal="center" vertical="center"/>
      <protection locked="0"/>
    </xf>
    <xf numFmtId="0" fontId="26" fillId="44" borderId="0" xfId="16" applyFont="1" applyFill="1" applyAlignment="1">
      <alignment horizontal="center"/>
    </xf>
    <xf numFmtId="216" fontId="26" fillId="8" borderId="0" xfId="16" applyNumberFormat="1" applyFont="1" applyFill="1" applyAlignment="1" applyProtection="1">
      <alignment horizontal="center" vertical="center"/>
      <protection locked="0"/>
    </xf>
    <xf numFmtId="216" fontId="26" fillId="8" borderId="3" xfId="16" applyNumberFormat="1" applyFont="1" applyFill="1" applyBorder="1" applyAlignment="1" applyProtection="1">
      <alignment horizontal="center" vertical="center"/>
      <protection locked="0"/>
    </xf>
    <xf numFmtId="217" fontId="26" fillId="8" borderId="56" xfId="7" applyNumberFormat="1" applyFont="1" applyFill="1" applyBorder="1" applyAlignment="1">
      <alignment horizontal="center" vertical="center"/>
    </xf>
    <xf numFmtId="217" fontId="26" fillId="8" borderId="3" xfId="7" applyNumberFormat="1" applyFont="1" applyFill="1" applyBorder="1" applyAlignment="1">
      <alignment horizontal="center" vertical="center"/>
    </xf>
    <xf numFmtId="1" fontId="69" fillId="8" borderId="9" xfId="16" applyNumberFormat="1" applyFont="1" applyFill="1" applyBorder="1" applyAlignment="1" applyProtection="1">
      <alignment horizontal="center" vertical="center"/>
      <protection locked="0"/>
    </xf>
    <xf numFmtId="1" fontId="69" fillId="8" borderId="59" xfId="16" applyNumberFormat="1" applyFont="1" applyFill="1" applyBorder="1" applyAlignment="1" applyProtection="1">
      <alignment horizontal="center" vertical="center"/>
      <protection locked="0"/>
    </xf>
    <xf numFmtId="0" fontId="28" fillId="17" borderId="116" xfId="16" applyFont="1" applyFill="1" applyBorder="1" applyAlignment="1">
      <alignment horizontal="center" vertical="center"/>
    </xf>
    <xf numFmtId="0" fontId="28" fillId="17" borderId="45" xfId="16" applyFont="1" applyFill="1" applyBorder="1" applyAlignment="1">
      <alignment horizontal="center" vertical="center"/>
    </xf>
    <xf numFmtId="179" fontId="21" fillId="8" borderId="6" xfId="16" applyNumberFormat="1" applyFont="1" applyFill="1" applyBorder="1" applyAlignment="1" applyProtection="1">
      <alignment horizontal="center" vertical="center"/>
      <protection locked="0"/>
    </xf>
    <xf numFmtId="179" fontId="21" fillId="8" borderId="0" xfId="16" applyNumberFormat="1" applyFont="1" applyFill="1" applyAlignment="1" applyProtection="1">
      <alignment horizontal="center" vertical="center"/>
      <protection locked="0"/>
    </xf>
    <xf numFmtId="0" fontId="64" fillId="44" borderId="0" xfId="16" applyFont="1" applyFill="1" applyAlignment="1" applyProtection="1">
      <alignment horizontal="center" vertical="center" wrapText="1"/>
      <protection locked="0"/>
    </xf>
    <xf numFmtId="0" fontId="436" fillId="137" borderId="7" xfId="16" applyFont="1" applyFill="1" applyBorder="1" applyAlignment="1">
      <alignment horizontal="left" vertical="center"/>
    </xf>
    <xf numFmtId="0" fontId="436" fillId="137" borderId="2" xfId="16" applyFont="1" applyFill="1" applyBorder="1" applyAlignment="1">
      <alignment horizontal="left" vertical="center"/>
    </xf>
    <xf numFmtId="0" fontId="436" fillId="137" borderId="8" xfId="16" applyFont="1" applyFill="1" applyBorder="1" applyAlignment="1">
      <alignment horizontal="left" vertical="center"/>
    </xf>
    <xf numFmtId="0" fontId="13" fillId="60" borderId="6" xfId="16" applyFont="1" applyFill="1" applyBorder="1" applyAlignment="1" applyProtection="1">
      <alignment horizontal="right" vertical="center" wrapText="1"/>
      <protection locked="0"/>
    </xf>
    <xf numFmtId="0" fontId="13" fillId="60" borderId="0" xfId="16" applyFont="1" applyFill="1" applyAlignment="1" applyProtection="1">
      <alignment horizontal="right" vertical="center" wrapText="1"/>
      <protection locked="0"/>
    </xf>
    <xf numFmtId="0" fontId="13" fillId="60" borderId="65" xfId="16" applyFont="1" applyFill="1" applyBorder="1" applyAlignment="1" applyProtection="1">
      <alignment horizontal="right" vertical="center" wrapText="1"/>
      <protection locked="0"/>
    </xf>
    <xf numFmtId="0" fontId="13" fillId="60" borderId="14" xfId="16" applyFont="1" applyFill="1" applyBorder="1" applyAlignment="1" applyProtection="1">
      <alignment horizontal="right" vertical="center" wrapText="1"/>
      <protection locked="0"/>
    </xf>
    <xf numFmtId="2" fontId="437" fillId="60" borderId="0" xfId="16" applyNumberFormat="1" applyFont="1" applyFill="1" applyAlignment="1" applyProtection="1">
      <alignment horizontal="center" vertical="center"/>
      <protection locked="0"/>
    </xf>
    <xf numFmtId="2" fontId="437" fillId="60" borderId="14" xfId="16" applyNumberFormat="1" applyFont="1" applyFill="1" applyBorder="1" applyAlignment="1" applyProtection="1">
      <alignment horizontal="center" vertical="center"/>
      <protection locked="0"/>
    </xf>
    <xf numFmtId="171" fontId="26" fillId="8" borderId="6" xfId="16" applyNumberFormat="1" applyFont="1" applyFill="1" applyBorder="1" applyAlignment="1" applyProtection="1">
      <alignment horizontal="center" vertical="center"/>
      <protection locked="0"/>
    </xf>
    <xf numFmtId="171" fontId="26" fillId="8" borderId="17" xfId="16" applyNumberFormat="1" applyFont="1" applyFill="1" applyBorder="1" applyAlignment="1" applyProtection="1">
      <alignment horizontal="center" vertical="center"/>
      <protection locked="0"/>
    </xf>
    <xf numFmtId="171" fontId="26" fillId="8" borderId="58" xfId="16" applyNumberFormat="1" applyFont="1" applyFill="1" applyBorder="1" applyAlignment="1" applyProtection="1">
      <alignment horizontal="center" vertical="center"/>
      <protection locked="0"/>
    </xf>
    <xf numFmtId="171" fontId="26" fillId="8" borderId="285" xfId="16" applyNumberFormat="1" applyFont="1" applyFill="1" applyBorder="1" applyAlignment="1" applyProtection="1">
      <alignment horizontal="center" vertical="center"/>
      <protection locked="0"/>
    </xf>
    <xf numFmtId="2" fontId="26" fillId="8" borderId="16" xfId="16" applyNumberFormat="1" applyFont="1" applyFill="1" applyBorder="1" applyAlignment="1" applyProtection="1">
      <alignment horizontal="right" vertical="center"/>
      <protection locked="0"/>
    </xf>
    <xf numFmtId="2" fontId="26" fillId="8" borderId="194" xfId="16" applyNumberFormat="1" applyFont="1" applyFill="1" applyBorder="1" applyAlignment="1" applyProtection="1">
      <alignment horizontal="right" vertical="center"/>
      <protection locked="0"/>
    </xf>
    <xf numFmtId="0" fontId="26" fillId="8" borderId="267" xfId="16" applyFont="1" applyFill="1" applyBorder="1" applyAlignment="1" applyProtection="1">
      <alignment horizontal="left" vertical="center"/>
      <protection locked="0"/>
    </xf>
    <xf numFmtId="0" fontId="26" fillId="8" borderId="218" xfId="16" applyFont="1" applyFill="1" applyBorder="1" applyAlignment="1" applyProtection="1">
      <alignment horizontal="left" vertical="center"/>
      <protection locked="0"/>
    </xf>
    <xf numFmtId="1" fontId="69" fillId="8" borderId="17" xfId="16" applyNumberFormat="1" applyFont="1" applyFill="1" applyBorder="1" applyAlignment="1" applyProtection="1">
      <alignment horizontal="center" vertical="center"/>
      <protection locked="0"/>
    </xf>
    <xf numFmtId="1" fontId="69" fillId="8" borderId="285" xfId="16" applyNumberFormat="1" applyFont="1" applyFill="1" applyBorder="1" applyAlignment="1" applyProtection="1">
      <alignment horizontal="center" vertical="center"/>
      <protection locked="0"/>
    </xf>
    <xf numFmtId="0" fontId="80" fillId="41" borderId="62" xfId="7" applyFont="1" applyFill="1" applyBorder="1" applyAlignment="1">
      <alignment horizontal="center" vertical="center" wrapText="1"/>
    </xf>
    <xf numFmtId="0" fontId="80" fillId="41" borderId="227" xfId="7" applyFont="1" applyFill="1" applyBorder="1" applyAlignment="1">
      <alignment horizontal="center" vertical="center" wrapText="1"/>
    </xf>
    <xf numFmtId="0" fontId="80" fillId="41" borderId="6" xfId="7" applyFont="1" applyFill="1" applyBorder="1" applyAlignment="1">
      <alignment horizontal="center" vertical="center" wrapText="1"/>
    </xf>
    <xf numFmtId="0" fontId="80" fillId="41" borderId="0" xfId="7" applyFont="1" applyFill="1" applyAlignment="1">
      <alignment horizontal="center" vertical="center" wrapText="1"/>
    </xf>
    <xf numFmtId="0" fontId="435" fillId="65" borderId="227" xfId="7" applyFont="1" applyFill="1" applyBorder="1" applyAlignment="1">
      <alignment horizontal="right" vertical="center" wrapText="1"/>
    </xf>
    <xf numFmtId="0" fontId="435" fillId="65" borderId="0" xfId="7" applyFont="1" applyFill="1" applyAlignment="1">
      <alignment horizontal="right" vertical="center" wrapText="1"/>
    </xf>
    <xf numFmtId="169" fontId="435" fillId="66" borderId="227" xfId="7" applyNumberFormat="1" applyFont="1" applyFill="1" applyBorder="1" applyAlignment="1">
      <alignment horizontal="center" vertical="center" wrapText="1"/>
    </xf>
    <xf numFmtId="169" fontId="435" fillId="66" borderId="228" xfId="7" applyNumberFormat="1" applyFont="1" applyFill="1" applyBorder="1" applyAlignment="1">
      <alignment horizontal="center" vertical="center" wrapText="1"/>
    </xf>
    <xf numFmtId="169" fontId="435" fillId="66" borderId="0" xfId="7" applyNumberFormat="1" applyFont="1" applyFill="1" applyAlignment="1">
      <alignment horizontal="center" vertical="center" wrapText="1"/>
    </xf>
    <xf numFmtId="169" fontId="435" fillId="66" borderId="9" xfId="7" applyNumberFormat="1" applyFont="1" applyFill="1" applyBorder="1" applyAlignment="1">
      <alignment horizontal="center" vertical="center" wrapText="1"/>
    </xf>
    <xf numFmtId="0" fontId="58" fillId="21" borderId="274" xfId="1" applyFont="1" applyFill="1" applyBorder="1" applyAlignment="1">
      <alignment horizontal="center" vertical="center"/>
    </xf>
    <xf numFmtId="0" fontId="58" fillId="21" borderId="260" xfId="1" applyFont="1" applyFill="1" applyBorder="1" applyAlignment="1">
      <alignment horizontal="center" vertical="center"/>
    </xf>
    <xf numFmtId="0" fontId="58" fillId="21" borderId="286" xfId="1" applyFont="1" applyFill="1" applyBorder="1" applyAlignment="1">
      <alignment horizontal="center" vertical="center"/>
    </xf>
    <xf numFmtId="0" fontId="58" fillId="0" borderId="152" xfId="7" applyFont="1" applyBorder="1" applyAlignment="1">
      <alignment horizontal="center" vertical="center"/>
    </xf>
    <xf numFmtId="0" fontId="84" fillId="65" borderId="271" xfId="7" applyFont="1" applyFill="1" applyBorder="1" applyAlignment="1">
      <alignment horizontal="center" vertical="center" wrapText="1"/>
    </xf>
    <xf numFmtId="1" fontId="26" fillId="60" borderId="0" xfId="16" applyNumberFormat="1" applyFont="1" applyFill="1" applyAlignment="1" applyProtection="1">
      <alignment horizontal="center" vertical="center"/>
      <protection locked="0"/>
    </xf>
    <xf numFmtId="1" fontId="26" fillId="60" borderId="14" xfId="16" applyNumberFormat="1" applyFont="1" applyFill="1" applyBorder="1" applyAlignment="1" applyProtection="1">
      <alignment horizontal="center" vertical="center"/>
      <protection locked="0"/>
    </xf>
    <xf numFmtId="0" fontId="26" fillId="44" borderId="0" xfId="16" applyFont="1" applyFill="1" applyAlignment="1" applyProtection="1">
      <alignment horizontal="center" vertical="center"/>
      <protection locked="0"/>
    </xf>
    <xf numFmtId="0" fontId="26" fillId="44" borderId="14" xfId="16" applyFont="1" applyFill="1" applyBorder="1" applyAlignment="1" applyProtection="1">
      <alignment horizontal="center" vertical="center"/>
      <protection locked="0"/>
    </xf>
    <xf numFmtId="216" fontId="26" fillId="44" borderId="0" xfId="16" applyNumberFormat="1" applyFont="1" applyFill="1" applyAlignment="1" applyProtection="1">
      <alignment horizontal="right" vertical="center"/>
      <protection locked="0"/>
    </xf>
    <xf numFmtId="216" fontId="26" fillId="44" borderId="14" xfId="16" applyNumberFormat="1" applyFont="1" applyFill="1" applyBorder="1" applyAlignment="1" applyProtection="1">
      <alignment horizontal="right" vertical="center"/>
      <protection locked="0"/>
    </xf>
    <xf numFmtId="217" fontId="26" fillId="44" borderId="0" xfId="7" applyNumberFormat="1" applyFont="1" applyFill="1" applyAlignment="1">
      <alignment horizontal="center" vertical="center"/>
    </xf>
    <xf numFmtId="217" fontId="26" fillId="44" borderId="14" xfId="7" applyNumberFormat="1" applyFont="1" applyFill="1" applyBorder="1" applyAlignment="1">
      <alignment horizontal="center" vertical="center"/>
    </xf>
    <xf numFmtId="1" fontId="69" fillId="44" borderId="0" xfId="16" applyNumberFormat="1" applyFont="1" applyFill="1" applyAlignment="1" applyProtection="1">
      <alignment horizontal="left" vertical="center"/>
      <protection locked="0"/>
    </xf>
    <xf numFmtId="1" fontId="69" fillId="44" borderId="14" xfId="16" applyNumberFormat="1" applyFont="1" applyFill="1" applyBorder="1" applyAlignment="1" applyProtection="1">
      <alignment horizontal="left" vertical="center"/>
      <protection locked="0"/>
    </xf>
    <xf numFmtId="0" fontId="186" fillId="65" borderId="271" xfId="7" applyFont="1" applyFill="1" applyBorder="1" applyAlignment="1">
      <alignment horizontal="center" vertical="center" wrapText="1"/>
    </xf>
    <xf numFmtId="0" fontId="57" fillId="65" borderId="271" xfId="7" applyFont="1" applyFill="1" applyBorder="1" applyAlignment="1">
      <alignment horizontal="center" vertical="center" wrapText="1"/>
    </xf>
    <xf numFmtId="0" fontId="13" fillId="65" borderId="271" xfId="7" applyFont="1" applyFill="1" applyBorder="1" applyAlignment="1">
      <alignment horizontal="center" vertical="center" wrapText="1"/>
    </xf>
    <xf numFmtId="0" fontId="57" fillId="65" borderId="201" xfId="7" applyFont="1" applyFill="1" applyBorder="1" applyAlignment="1">
      <alignment horizontal="center" vertical="center" wrapText="1"/>
    </xf>
    <xf numFmtId="216" fontId="26" fillId="44" borderId="0" xfId="16" applyNumberFormat="1" applyFont="1" applyFill="1" applyAlignment="1" applyProtection="1">
      <alignment horizontal="center" vertical="center"/>
      <protection locked="0"/>
    </xf>
    <xf numFmtId="216" fontId="26" fillId="44" borderId="14" xfId="16" applyNumberFormat="1" applyFont="1" applyFill="1" applyBorder="1" applyAlignment="1" applyProtection="1">
      <alignment horizontal="center" vertical="center"/>
      <protection locked="0"/>
    </xf>
    <xf numFmtId="217" fontId="26" fillId="44" borderId="0" xfId="7" applyNumberFormat="1" applyFont="1" applyFill="1" applyAlignment="1">
      <alignment horizontal="left" vertical="center"/>
    </xf>
    <xf numFmtId="217" fontId="26" fillId="44" borderId="14" xfId="7" applyNumberFormat="1" applyFont="1" applyFill="1" applyBorder="1" applyAlignment="1">
      <alignment horizontal="left" vertical="center"/>
    </xf>
    <xf numFmtId="1" fontId="69" fillId="44" borderId="9" xfId="16" applyNumberFormat="1" applyFont="1" applyFill="1" applyBorder="1" applyAlignment="1" applyProtection="1">
      <alignment horizontal="center" vertical="center"/>
      <protection locked="0"/>
    </xf>
    <xf numFmtId="1" fontId="69" fillId="44" borderId="21" xfId="16" applyNumberFormat="1" applyFont="1" applyFill="1" applyBorder="1" applyAlignment="1" applyProtection="1">
      <alignment horizontal="center" vertical="center"/>
      <protection locked="0"/>
    </xf>
    <xf numFmtId="0" fontId="76" fillId="8" borderId="6" xfId="39" applyFont="1" applyFill="1" applyBorder="1" applyAlignment="1">
      <alignment horizontal="center" vertical="center" wrapText="1"/>
    </xf>
    <xf numFmtId="0" fontId="76" fillId="8" borderId="0" xfId="39" applyFont="1" applyFill="1" applyAlignment="1">
      <alignment horizontal="center" vertical="center" wrapText="1"/>
    </xf>
    <xf numFmtId="0" fontId="76" fillId="8" borderId="0" xfId="16" applyFont="1" applyFill="1" applyAlignment="1">
      <alignment horizontal="center" vertical="center" wrapText="1"/>
    </xf>
    <xf numFmtId="0" fontId="48" fillId="8" borderId="9" xfId="16" applyFont="1" applyFill="1" applyBorder="1" applyAlignment="1">
      <alignment horizontal="center" wrapText="1"/>
    </xf>
    <xf numFmtId="0" fontId="48" fillId="8" borderId="62" xfId="16" applyFont="1" applyFill="1" applyBorder="1" applyAlignment="1">
      <alignment horizontal="center" vertical="center"/>
    </xf>
    <xf numFmtId="0" fontId="48" fillId="8" borderId="227" xfId="16" applyFont="1" applyFill="1" applyBorder="1" applyAlignment="1">
      <alignment horizontal="center" vertical="center"/>
    </xf>
    <xf numFmtId="0" fontId="48" fillId="8" borderId="6" xfId="16" applyFont="1" applyFill="1" applyBorder="1" applyAlignment="1">
      <alignment horizontal="center" vertical="center"/>
    </xf>
    <xf numFmtId="0" fontId="48" fillId="8" borderId="0" xfId="16" applyFont="1" applyFill="1" applyAlignment="1">
      <alignment horizontal="center" vertical="center"/>
    </xf>
    <xf numFmtId="0" fontId="48" fillId="8" borderId="228" xfId="16" applyFont="1" applyFill="1" applyBorder="1" applyAlignment="1">
      <alignment horizontal="center" wrapText="1"/>
    </xf>
    <xf numFmtId="0" fontId="438" fillId="62" borderId="7" xfId="39" applyFont="1" applyFill="1" applyBorder="1" applyAlignment="1">
      <alignment horizontal="center" vertical="center"/>
    </xf>
    <xf numFmtId="0" fontId="438" fillId="62" borderId="2" xfId="39" applyFont="1" applyFill="1" applyBorder="1" applyAlignment="1">
      <alignment horizontal="center" vertical="center"/>
    </xf>
    <xf numFmtId="0" fontId="438" fillId="62" borderId="8" xfId="39" applyFont="1" applyFill="1" applyBorder="1" applyAlignment="1">
      <alignment horizontal="center" vertical="center"/>
    </xf>
    <xf numFmtId="0" fontId="30" fillId="109" borderId="0" xfId="1" applyFont="1" applyFill="1" applyAlignment="1">
      <alignment horizontal="center" vertical="center" textRotation="90"/>
    </xf>
    <xf numFmtId="0" fontId="138" fillId="20" borderId="116" xfId="39" applyFont="1" applyFill="1" applyBorder="1" applyAlignment="1">
      <alignment horizontal="center" vertical="center" wrapText="1"/>
    </xf>
    <xf numFmtId="0" fontId="138" fillId="20" borderId="6" xfId="39" applyFont="1" applyFill="1" applyBorder="1" applyAlignment="1">
      <alignment horizontal="center" vertical="center" wrapText="1"/>
    </xf>
    <xf numFmtId="0" fontId="164" fillId="21" borderId="45" xfId="16" applyFont="1" applyFill="1" applyBorder="1" applyAlignment="1">
      <alignment horizontal="center" vertical="center" wrapText="1"/>
    </xf>
    <xf numFmtId="0" fontId="164" fillId="21" borderId="0" xfId="16" applyFont="1" applyFill="1" applyAlignment="1">
      <alignment horizontal="center" vertical="center" wrapText="1"/>
    </xf>
    <xf numFmtId="0" fontId="391" fillId="8" borderId="45" xfId="16" applyFont="1" applyFill="1" applyBorder="1" applyAlignment="1">
      <alignment horizontal="center" vertical="center" wrapText="1"/>
    </xf>
    <xf numFmtId="0" fontId="391" fillId="8" borderId="0" xfId="16" applyFont="1" applyFill="1" applyAlignment="1">
      <alignment horizontal="center" vertical="center" wrapText="1"/>
    </xf>
    <xf numFmtId="0" fontId="13" fillId="8" borderId="9" xfId="16" applyFont="1" applyFill="1" applyBorder="1" applyAlignment="1">
      <alignment horizontal="center" vertical="center" wrapText="1"/>
    </xf>
    <xf numFmtId="220" fontId="444" fillId="8" borderId="6" xfId="16" applyNumberFormat="1" applyFont="1" applyFill="1" applyBorder="1" applyAlignment="1">
      <alignment horizontal="left" vertical="center" wrapText="1"/>
    </xf>
    <xf numFmtId="220" fontId="444" fillId="8" borderId="0" xfId="16" applyNumberFormat="1" applyFont="1" applyFill="1" applyAlignment="1">
      <alignment horizontal="left" vertical="center" wrapText="1"/>
    </xf>
    <xf numFmtId="220" fontId="444" fillId="8" borderId="9" xfId="16" applyNumberFormat="1" applyFont="1" applyFill="1" applyBorder="1" applyAlignment="1">
      <alignment horizontal="left" vertical="center" wrapText="1"/>
    </xf>
    <xf numFmtId="220" fontId="444" fillId="8" borderId="58" xfId="16" applyNumberFormat="1" applyFont="1" applyFill="1" applyBorder="1" applyAlignment="1">
      <alignment horizontal="left" vertical="center" wrapText="1"/>
    </xf>
    <xf numFmtId="220" fontId="444" fillId="8" borderId="3" xfId="16" applyNumberFormat="1" applyFont="1" applyFill="1" applyBorder="1" applyAlignment="1">
      <alignment horizontal="left" vertical="center" wrapText="1"/>
    </xf>
    <xf numFmtId="220" fontId="444" fillId="8" borderId="59" xfId="16" applyNumberFormat="1" applyFont="1" applyFill="1" applyBorder="1" applyAlignment="1">
      <alignment horizontal="left" vertical="center" wrapText="1"/>
    </xf>
    <xf numFmtId="0" fontId="448" fillId="138" borderId="2" xfId="5" applyFont="1" applyFill="1" applyBorder="1" applyAlignment="1">
      <alignment horizontal="center" vertical="center"/>
    </xf>
    <xf numFmtId="0" fontId="448" fillId="138" borderId="0" xfId="5" applyFont="1" applyFill="1" applyAlignment="1">
      <alignment horizontal="center" vertical="center"/>
    </xf>
    <xf numFmtId="0" fontId="396" fillId="4" borderId="7" xfId="1" applyFont="1" applyFill="1" applyBorder="1" applyAlignment="1" applyProtection="1">
      <alignment horizontal="center" vertical="center" wrapText="1"/>
      <protection hidden="1"/>
    </xf>
    <xf numFmtId="0" fontId="396" fillId="4" borderId="2" xfId="1" applyFont="1" applyFill="1" applyBorder="1" applyAlignment="1" applyProtection="1">
      <alignment horizontal="center" vertical="center" wrapText="1"/>
      <protection hidden="1"/>
    </xf>
    <xf numFmtId="0" fontId="396" fillId="4" borderId="6" xfId="1" applyFont="1" applyFill="1" applyBorder="1" applyAlignment="1" applyProtection="1">
      <alignment horizontal="center" vertical="center" wrapText="1"/>
      <protection hidden="1"/>
    </xf>
    <xf numFmtId="0" fontId="396" fillId="4" borderId="0" xfId="1" applyFont="1" applyFill="1" applyAlignment="1" applyProtection="1">
      <alignment horizontal="center" vertical="center" wrapText="1"/>
      <protection hidden="1"/>
    </xf>
    <xf numFmtId="0" fontId="449" fillId="4" borderId="8" xfId="5" applyFont="1" applyFill="1" applyBorder="1" applyAlignment="1">
      <alignment horizontal="center" vertical="center"/>
    </xf>
    <xf numFmtId="0" fontId="449" fillId="4" borderId="9" xfId="5" applyFont="1" applyFill="1" applyBorder="1" applyAlignment="1">
      <alignment horizontal="center" vertical="center"/>
    </xf>
    <xf numFmtId="0" fontId="1" fillId="139" borderId="9" xfId="7" applyFill="1" applyBorder="1" applyAlignment="1">
      <alignment horizontal="center" vertical="center" textRotation="90"/>
    </xf>
    <xf numFmtId="0" fontId="396" fillId="8" borderId="6" xfId="29" applyFont="1" applyFill="1" applyBorder="1" applyAlignment="1">
      <alignment horizontal="center" vertical="center" wrapText="1"/>
    </xf>
    <xf numFmtId="0" fontId="396" fillId="8" borderId="0" xfId="29" applyFont="1" applyFill="1" applyAlignment="1">
      <alignment horizontal="center" vertical="center" wrapText="1"/>
    </xf>
    <xf numFmtId="0" fontId="396" fillId="8" borderId="9" xfId="29" applyFont="1" applyFill="1" applyBorder="1" applyAlignment="1">
      <alignment horizontal="center" vertical="center" wrapText="1"/>
    </xf>
    <xf numFmtId="0" fontId="450" fillId="8" borderId="6" xfId="29" applyFont="1" applyFill="1" applyBorder="1" applyAlignment="1">
      <alignment horizontal="center" vertical="center" wrapText="1"/>
    </xf>
    <xf numFmtId="0" fontId="450" fillId="8" borderId="0" xfId="29" applyFont="1" applyFill="1" applyAlignment="1">
      <alignment horizontal="center" vertical="center" wrapText="1"/>
    </xf>
    <xf numFmtId="0" fontId="450" fillId="8" borderId="9" xfId="29" applyFont="1" applyFill="1" applyBorder="1" applyAlignment="1">
      <alignment horizontal="center" vertical="center" wrapText="1"/>
    </xf>
    <xf numFmtId="0" fontId="393" fillId="140" borderId="6" xfId="1" applyFont="1" applyFill="1" applyBorder="1" applyAlignment="1">
      <alignment horizontal="left" vertical="center"/>
    </xf>
    <xf numFmtId="0" fontId="393" fillId="140" borderId="0" xfId="1" applyFont="1" applyFill="1" applyAlignment="1">
      <alignment horizontal="left" vertical="center"/>
    </xf>
    <xf numFmtId="0" fontId="393" fillId="140" borderId="9" xfId="1" applyFont="1" applyFill="1" applyBorder="1" applyAlignment="1">
      <alignment horizontal="left" vertical="center"/>
    </xf>
    <xf numFmtId="0" fontId="451" fillId="65" borderId="56" xfId="1" applyFont="1" applyFill="1" applyBorder="1" applyAlignment="1">
      <alignment horizontal="center" vertical="center"/>
    </xf>
    <xf numFmtId="0" fontId="410" fillId="66" borderId="287" xfId="7" applyFont="1" applyFill="1" applyBorder="1" applyAlignment="1">
      <alignment horizontal="center" vertical="center"/>
    </xf>
    <xf numFmtId="0" fontId="410" fillId="66" borderId="197" xfId="7" applyFont="1" applyFill="1" applyBorder="1" applyAlignment="1">
      <alignment horizontal="center" vertical="center"/>
    </xf>
    <xf numFmtId="0" fontId="167" fillId="65" borderId="58" xfId="5" applyFont="1" applyFill="1" applyBorder="1" applyAlignment="1">
      <alignment horizontal="center" vertical="center"/>
    </xf>
    <xf numFmtId="0" fontId="167" fillId="65" borderId="3" xfId="5" applyFont="1" applyFill="1" applyBorder="1" applyAlignment="1">
      <alignment horizontal="center" vertical="center"/>
    </xf>
    <xf numFmtId="0" fontId="167" fillId="65" borderId="59" xfId="5" applyFont="1" applyFill="1" applyBorder="1" applyAlignment="1">
      <alignment horizontal="center" vertical="center"/>
    </xf>
    <xf numFmtId="0" fontId="451" fillId="65" borderId="0" xfId="1" applyFont="1" applyFill="1" applyAlignment="1">
      <alignment horizontal="center" vertical="center"/>
    </xf>
    <xf numFmtId="0" fontId="462" fillId="65" borderId="0" xfId="1" applyFont="1" applyFill="1" applyAlignment="1">
      <alignment horizontal="center" vertical="center"/>
    </xf>
    <xf numFmtId="0" fontId="461" fillId="65" borderId="290" xfId="7" applyFont="1" applyFill="1" applyBorder="1" applyAlignment="1">
      <alignment horizontal="center" vertical="center" wrapText="1"/>
    </xf>
    <xf numFmtId="0" fontId="461" fillId="65" borderId="45" xfId="7" applyFont="1" applyFill="1" applyBorder="1" applyAlignment="1">
      <alignment horizontal="center" vertical="center" wrapText="1"/>
    </xf>
    <xf numFmtId="0" fontId="461" fillId="65" borderId="291" xfId="7" applyFont="1" applyFill="1" applyBorder="1" applyAlignment="1">
      <alignment horizontal="center" vertical="center" wrapText="1"/>
    </xf>
    <xf numFmtId="0" fontId="461" fillId="65" borderId="122" xfId="7" applyFont="1" applyFill="1" applyBorder="1" applyAlignment="1">
      <alignment horizontal="center" vertical="center" wrapText="1"/>
    </xf>
    <xf numFmtId="0" fontId="461" fillId="65" borderId="83" xfId="7" applyFont="1" applyFill="1" applyBorder="1" applyAlignment="1">
      <alignment horizontal="center" vertical="center" wrapText="1"/>
    </xf>
    <xf numFmtId="0" fontId="461" fillId="65" borderId="123" xfId="7" applyFont="1" applyFill="1" applyBorder="1" applyAlignment="1">
      <alignment horizontal="center" vertical="center" wrapText="1"/>
    </xf>
    <xf numFmtId="169" fontId="205" fillId="134" borderId="49" xfId="29" applyNumberFormat="1" applyFont="1" applyFill="1" applyBorder="1" applyAlignment="1">
      <alignment horizontal="left" vertical="center"/>
    </xf>
    <xf numFmtId="169" fontId="205" fillId="134" borderId="115" xfId="29" applyNumberFormat="1" applyFont="1" applyFill="1" applyBorder="1" applyAlignment="1">
      <alignment horizontal="left" vertical="center"/>
    </xf>
    <xf numFmtId="169" fontId="410" fillId="66" borderId="0" xfId="29" applyNumberFormat="1" applyFont="1" applyFill="1" applyAlignment="1">
      <alignment horizontal="center" vertical="center"/>
    </xf>
    <xf numFmtId="0" fontId="393" fillId="141" borderId="6" xfId="1" applyFont="1" applyFill="1" applyBorder="1" applyAlignment="1">
      <alignment horizontal="center" vertical="center"/>
    </xf>
    <xf numFmtId="0" fontId="393" fillId="141" borderId="0" xfId="1" applyFont="1" applyFill="1" applyAlignment="1">
      <alignment horizontal="center" vertical="center"/>
    </xf>
    <xf numFmtId="0" fontId="393" fillId="141" borderId="9" xfId="1" applyFont="1" applyFill="1" applyBorder="1" applyAlignment="1">
      <alignment horizontal="center" vertical="center"/>
    </xf>
    <xf numFmtId="0" fontId="467" fillId="65" borderId="0" xfId="1" applyFont="1" applyFill="1" applyAlignment="1">
      <alignment horizontal="center" vertical="center"/>
    </xf>
    <xf numFmtId="0" fontId="406" fillId="66" borderId="287" xfId="7" applyFont="1" applyFill="1" applyBorder="1" applyAlignment="1">
      <alignment horizontal="center" vertical="center"/>
    </xf>
    <xf numFmtId="0" fontId="406" fillId="66" borderId="197" xfId="7" applyFont="1" applyFill="1" applyBorder="1" applyAlignment="1">
      <alignment horizontal="center" vertical="center"/>
    </xf>
    <xf numFmtId="169" fontId="205" fillId="134" borderId="0" xfId="29" applyNumberFormat="1" applyFont="1" applyFill="1" applyAlignment="1">
      <alignment horizontal="left" vertical="center"/>
    </xf>
    <xf numFmtId="169" fontId="205" fillId="134" borderId="9" xfId="29" applyNumberFormat="1" applyFont="1" applyFill="1" applyBorder="1" applyAlignment="1">
      <alignment horizontal="left" vertical="center"/>
    </xf>
    <xf numFmtId="0" fontId="461" fillId="65" borderId="116" xfId="7" applyFont="1" applyFill="1" applyBorder="1" applyAlignment="1">
      <alignment horizontal="center" vertical="center" wrapText="1"/>
    </xf>
    <xf numFmtId="0" fontId="461" fillId="65" borderId="47" xfId="7" applyFont="1" applyFill="1" applyBorder="1" applyAlignment="1">
      <alignment horizontal="center" vertical="center" wrapText="1"/>
    </xf>
    <xf numFmtId="201" fontId="469" fillId="0" borderId="6" xfId="5" applyNumberFormat="1" applyFont="1" applyBorder="1" applyAlignment="1">
      <alignment horizontal="center" vertical="center"/>
    </xf>
    <xf numFmtId="201" fontId="469" fillId="0" borderId="0" xfId="5" applyNumberFormat="1" applyFont="1" applyAlignment="1">
      <alignment horizontal="center" vertical="center"/>
    </xf>
    <xf numFmtId="201" fontId="469" fillId="0" borderId="294" xfId="5" applyNumberFormat="1" applyFont="1" applyBorder="1" applyAlignment="1">
      <alignment horizontal="center" vertical="center"/>
    </xf>
    <xf numFmtId="201" fontId="469" fillId="0" borderId="295" xfId="5" applyNumberFormat="1" applyFont="1" applyBorder="1" applyAlignment="1">
      <alignment horizontal="center" vertical="center"/>
    </xf>
    <xf numFmtId="180" fontId="470" fillId="142" borderId="0" xfId="7" applyNumberFormat="1" applyFont="1" applyFill="1" applyAlignment="1" applyProtection="1">
      <alignment horizontal="right" vertical="center" wrapText="1"/>
      <protection locked="0"/>
    </xf>
    <xf numFmtId="180" fontId="470" fillId="142" borderId="295" xfId="7" applyNumberFormat="1" applyFont="1" applyFill="1" applyBorder="1" applyAlignment="1" applyProtection="1">
      <alignment horizontal="right" vertical="center" wrapText="1"/>
      <protection locked="0"/>
    </xf>
    <xf numFmtId="171" fontId="471" fillId="6" borderId="47" xfId="5" applyNumberFormat="1" applyFont="1" applyFill="1" applyBorder="1" applyAlignment="1">
      <alignment horizontal="center" vertical="center"/>
    </xf>
    <xf numFmtId="171" fontId="471" fillId="6" borderId="296" xfId="5" applyNumberFormat="1" applyFont="1" applyFill="1" applyBorder="1" applyAlignment="1">
      <alignment horizontal="center" vertical="center"/>
    </xf>
    <xf numFmtId="171" fontId="472" fillId="143" borderId="6" xfId="7" applyNumberFormat="1" applyFont="1" applyFill="1" applyBorder="1" applyAlignment="1" applyProtection="1">
      <alignment horizontal="center" vertical="center"/>
      <protection locked="0"/>
    </xf>
    <xf numFmtId="171" fontId="401" fillId="0" borderId="0" xfId="7" applyNumberFormat="1" applyFont="1" applyAlignment="1">
      <alignment horizontal="center" vertical="center"/>
    </xf>
    <xf numFmtId="184" fontId="472" fillId="143" borderId="9" xfId="7" applyNumberFormat="1" applyFont="1" applyFill="1" applyBorder="1" applyAlignment="1" applyProtection="1">
      <alignment horizontal="center" vertical="center"/>
      <protection locked="0"/>
    </xf>
    <xf numFmtId="0" fontId="472" fillId="66" borderId="152" xfId="5" applyFont="1" applyFill="1" applyBorder="1" applyAlignment="1">
      <alignment horizontal="center" vertical="center"/>
    </xf>
    <xf numFmtId="0" fontId="472" fillId="66" borderId="301" xfId="5" applyFont="1" applyFill="1" applyBorder="1" applyAlignment="1">
      <alignment horizontal="center" vertical="center"/>
    </xf>
    <xf numFmtId="0" fontId="472" fillId="66" borderId="18" xfId="5" applyFont="1" applyFill="1" applyBorder="1" applyAlignment="1">
      <alignment horizontal="center" vertical="center"/>
    </xf>
    <xf numFmtId="0" fontId="472" fillId="66" borderId="302" xfId="5" applyFont="1" applyFill="1" applyBorder="1" applyAlignment="1">
      <alignment horizontal="center" vertical="center"/>
    </xf>
    <xf numFmtId="0" fontId="472" fillId="66" borderId="300" xfId="5" applyFont="1" applyFill="1" applyBorder="1" applyAlignment="1">
      <alignment horizontal="center" vertical="center"/>
    </xf>
    <xf numFmtId="0" fontId="472" fillId="66" borderId="303" xfId="5" applyFont="1" applyFill="1" applyBorder="1" applyAlignment="1">
      <alignment horizontal="center" vertical="center"/>
    </xf>
    <xf numFmtId="171" fontId="401" fillId="8" borderId="292" xfId="7" applyNumberFormat="1" applyFont="1" applyFill="1" applyBorder="1" applyAlignment="1">
      <alignment horizontal="center" vertical="center"/>
    </xf>
    <xf numFmtId="171" fontId="401" fillId="8" borderId="49" xfId="7" applyNumberFormat="1" applyFont="1" applyFill="1" applyBorder="1" applyAlignment="1">
      <alignment horizontal="center" vertical="center"/>
    </xf>
    <xf numFmtId="171" fontId="401" fillId="8" borderId="115" xfId="7" applyNumberFormat="1" applyFont="1" applyFill="1" applyBorder="1" applyAlignment="1">
      <alignment horizontal="center" vertical="center"/>
    </xf>
    <xf numFmtId="171" fontId="442" fillId="66" borderId="297" xfId="5" applyNumberFormat="1" applyFont="1" applyFill="1" applyBorder="1" applyAlignment="1">
      <alignment horizontal="center" vertical="center"/>
    </xf>
    <xf numFmtId="171" fontId="442" fillId="66" borderId="152" xfId="5" applyNumberFormat="1" applyFont="1" applyFill="1" applyBorder="1" applyAlignment="1">
      <alignment horizontal="center" vertical="center"/>
    </xf>
    <xf numFmtId="171" fontId="442" fillId="66" borderId="298" xfId="5" applyNumberFormat="1" applyFont="1" applyFill="1" applyBorder="1" applyAlignment="1">
      <alignment horizontal="center" vertical="center"/>
    </xf>
    <xf numFmtId="171" fontId="442" fillId="66" borderId="18" xfId="5" applyNumberFormat="1" applyFont="1" applyFill="1" applyBorder="1" applyAlignment="1">
      <alignment horizontal="center" vertical="center"/>
    </xf>
    <xf numFmtId="171" fontId="442" fillId="66" borderId="299" xfId="5" applyNumberFormat="1" applyFont="1" applyFill="1" applyBorder="1" applyAlignment="1">
      <alignment horizontal="center" vertical="center"/>
    </xf>
    <xf numFmtId="171" fontId="442" fillId="66" borderId="300" xfId="5" applyNumberFormat="1" applyFont="1" applyFill="1" applyBorder="1" applyAlignment="1">
      <alignment horizontal="center" vertical="center"/>
    </xf>
    <xf numFmtId="171" fontId="401" fillId="0" borderId="6" xfId="7" applyNumberFormat="1" applyFont="1" applyBorder="1" applyAlignment="1">
      <alignment horizontal="center" vertical="center"/>
    </xf>
    <xf numFmtId="171" fontId="442" fillId="66" borderId="0" xfId="7" applyNumberFormat="1" applyFont="1" applyFill="1" applyAlignment="1" applyProtection="1">
      <alignment horizontal="center" vertical="center"/>
      <protection locked="0"/>
    </xf>
    <xf numFmtId="171" fontId="1" fillId="0" borderId="9" xfId="7" applyNumberFormat="1" applyBorder="1" applyAlignment="1">
      <alignment horizontal="center" vertical="center"/>
    </xf>
    <xf numFmtId="171" fontId="71" fillId="8" borderId="300" xfId="7" applyNumberFormat="1" applyFont="1" applyFill="1" applyBorder="1" applyAlignment="1">
      <alignment horizontal="center" vertical="center"/>
    </xf>
    <xf numFmtId="201" fontId="473" fillId="142" borderId="304" xfId="5" applyNumberFormat="1" applyFont="1" applyFill="1" applyBorder="1" applyAlignment="1">
      <alignment horizontal="right" vertical="center"/>
    </xf>
    <xf numFmtId="201" fontId="473" fillId="142" borderId="127" xfId="5" applyNumberFormat="1" applyFont="1" applyFill="1" applyBorder="1" applyAlignment="1">
      <alignment horizontal="right" vertical="center"/>
    </xf>
    <xf numFmtId="0" fontId="474" fillId="142" borderId="305" xfId="7" applyFont="1" applyFill="1" applyBorder="1" applyAlignment="1">
      <alignment horizontal="center" vertical="center"/>
    </xf>
    <xf numFmtId="0" fontId="474" fillId="142" borderId="56" xfId="7" applyFont="1" applyFill="1" applyBorder="1" applyAlignment="1">
      <alignment horizontal="center" vertical="center"/>
    </xf>
    <xf numFmtId="0" fontId="475" fillId="142" borderId="305" xfId="7" applyFont="1" applyFill="1" applyBorder="1" applyAlignment="1">
      <alignment horizontal="right" vertical="center"/>
    </xf>
    <xf numFmtId="0" fontId="475" fillId="142" borderId="56" xfId="7" applyFont="1" applyFill="1" applyBorder="1" applyAlignment="1">
      <alignment horizontal="right" vertical="center"/>
    </xf>
    <xf numFmtId="167" fontId="474" fillId="142" borderId="306" xfId="7" applyNumberFormat="1" applyFont="1" applyFill="1" applyBorder="1" applyAlignment="1">
      <alignment horizontal="center" vertical="center"/>
    </xf>
    <xf numFmtId="167" fontId="476" fillId="142" borderId="57" xfId="7" applyNumberFormat="1" applyFont="1" applyFill="1" applyBorder="1" applyAlignment="1">
      <alignment horizontal="center" vertical="center"/>
    </xf>
    <xf numFmtId="0" fontId="398" fillId="113" borderId="58" xfId="7" applyFont="1" applyFill="1" applyBorder="1" applyAlignment="1">
      <alignment horizontal="center" vertical="center"/>
    </xf>
    <xf numFmtId="0" fontId="398" fillId="113" borderId="3" xfId="7" applyFont="1" applyFill="1" applyBorder="1" applyAlignment="1">
      <alignment horizontal="center" vertical="center"/>
    </xf>
    <xf numFmtId="0" fontId="398" fillId="113" borderId="59" xfId="7" applyFont="1" applyFill="1" applyBorder="1" applyAlignment="1">
      <alignment horizontal="center" vertical="center"/>
    </xf>
    <xf numFmtId="171" fontId="71" fillId="8" borderId="152" xfId="7" applyNumberFormat="1" applyFont="1" applyFill="1" applyBorder="1" applyAlignment="1">
      <alignment horizontal="center" vertical="center"/>
    </xf>
    <xf numFmtId="171" fontId="71" fillId="8" borderId="18" xfId="7" applyNumberFormat="1" applyFont="1" applyFill="1" applyBorder="1" applyAlignment="1">
      <alignment horizontal="center" vertical="center"/>
    </xf>
    <xf numFmtId="0" fontId="185" fillId="8" borderId="276" xfId="1" applyFont="1" applyFill="1" applyBorder="1" applyAlignment="1">
      <alignment horizontal="center" vertical="center" wrapText="1"/>
    </xf>
    <xf numFmtId="0" fontId="99" fillId="8" borderId="277" xfId="1" applyFont="1" applyFill="1" applyBorder="1" applyAlignment="1">
      <alignment horizontal="center" vertical="center" wrapText="1"/>
    </xf>
    <xf numFmtId="0" fontId="99" fillId="8" borderId="278" xfId="1" applyFont="1" applyFill="1" applyBorder="1" applyAlignment="1">
      <alignment horizontal="center" vertical="center" wrapText="1"/>
    </xf>
    <xf numFmtId="0" fontId="88" fillId="109" borderId="7" xfId="7" applyFont="1" applyFill="1" applyBorder="1" applyAlignment="1">
      <alignment horizontal="center"/>
    </xf>
    <xf numFmtId="0" fontId="88" fillId="109" borderId="2" xfId="7" applyFont="1" applyFill="1" applyBorder="1" applyAlignment="1">
      <alignment horizontal="center"/>
    </xf>
    <xf numFmtId="0" fontId="88" fillId="109" borderId="8" xfId="7" applyFont="1" applyFill="1" applyBorder="1" applyAlignment="1">
      <alignment horizontal="center"/>
    </xf>
    <xf numFmtId="0" fontId="477" fillId="8" borderId="6" xfId="1" applyFont="1" applyFill="1" applyBorder="1" applyAlignment="1" applyProtection="1">
      <alignment horizontal="center" vertical="center"/>
      <protection hidden="1"/>
    </xf>
    <xf numFmtId="0" fontId="477" fillId="8" borderId="0" xfId="1" applyFont="1" applyFill="1" applyAlignment="1" applyProtection="1">
      <alignment horizontal="center" vertical="center"/>
      <protection hidden="1"/>
    </xf>
    <xf numFmtId="0" fontId="477" fillId="8" borderId="9" xfId="1" applyFont="1" applyFill="1" applyBorder="1" applyAlignment="1" applyProtection="1">
      <alignment horizontal="center" vertical="center"/>
      <protection hidden="1"/>
    </xf>
    <xf numFmtId="0" fontId="26" fillId="8" borderId="6" xfId="29" applyFont="1" applyFill="1" applyBorder="1" applyAlignment="1">
      <alignment horizontal="center" vertical="center" wrapText="1"/>
    </xf>
    <xf numFmtId="0" fontId="26" fillId="8" borderId="0" xfId="29" applyFont="1" applyFill="1" applyAlignment="1">
      <alignment horizontal="center" vertical="center" wrapText="1"/>
    </xf>
    <xf numFmtId="0" fontId="26" fillId="8" borderId="9" xfId="29" applyFont="1" applyFill="1" applyBorder="1" applyAlignment="1">
      <alignment horizontal="center" vertical="center" wrapText="1"/>
    </xf>
    <xf numFmtId="0" fontId="26" fillId="8" borderId="127" xfId="29" applyFont="1" applyFill="1" applyBorder="1" applyAlignment="1">
      <alignment horizontal="center" vertical="center" wrapText="1"/>
    </xf>
    <xf numFmtId="0" fontId="26" fillId="8" borderId="56" xfId="29" applyFont="1" applyFill="1" applyBorder="1" applyAlignment="1">
      <alignment horizontal="center" vertical="center" wrapText="1"/>
    </xf>
    <xf numFmtId="0" fontId="26" fillId="8" borderId="57" xfId="29" applyFont="1" applyFill="1" applyBorder="1" applyAlignment="1">
      <alignment horizontal="center" vertical="center" wrapText="1"/>
    </xf>
    <xf numFmtId="0" fontId="393" fillId="125" borderId="52" xfId="7" applyFont="1" applyFill="1" applyBorder="1" applyAlignment="1">
      <alignment horizontal="center" vertical="center"/>
    </xf>
    <xf numFmtId="0" fontId="393" fillId="125" borderId="227" xfId="7" applyFont="1" applyFill="1" applyBorder="1" applyAlignment="1">
      <alignment horizontal="center" vertical="center"/>
    </xf>
    <xf numFmtId="0" fontId="393" fillId="125" borderId="229" xfId="7" applyFont="1" applyFill="1" applyBorder="1" applyAlignment="1">
      <alignment horizontal="center" vertical="center"/>
    </xf>
    <xf numFmtId="0" fontId="393" fillId="37" borderId="0" xfId="7" applyFont="1" applyFill="1" applyAlignment="1">
      <alignment horizontal="center" vertical="center"/>
    </xf>
    <xf numFmtId="0" fontId="393" fillId="37" borderId="267" xfId="7" applyFont="1" applyFill="1" applyBorder="1" applyAlignment="1">
      <alignment horizontal="center" vertical="center"/>
    </xf>
    <xf numFmtId="0" fontId="72" fillId="8" borderId="0" xfId="7" applyFont="1" applyFill="1" applyAlignment="1">
      <alignment horizontal="right" vertical="center"/>
    </xf>
    <xf numFmtId="0" fontId="36" fillId="8" borderId="62" xfId="7" applyFont="1" applyFill="1" applyBorder="1" applyAlignment="1">
      <alignment horizontal="center" vertical="center" wrapText="1"/>
    </xf>
    <xf numFmtId="0" fontId="36" fillId="8" borderId="227" xfId="7" applyFont="1" applyFill="1" applyBorder="1" applyAlignment="1">
      <alignment horizontal="center" vertical="center" wrapText="1"/>
    </xf>
    <xf numFmtId="0" fontId="36" fillId="8" borderId="228" xfId="7" applyFont="1" applyFill="1" applyBorder="1" applyAlignment="1">
      <alignment horizontal="center" vertical="center" wrapText="1"/>
    </xf>
    <xf numFmtId="0" fontId="36" fillId="8" borderId="58" xfId="7" applyFont="1" applyFill="1" applyBorder="1" applyAlignment="1">
      <alignment horizontal="center" vertical="center" wrapText="1"/>
    </xf>
    <xf numFmtId="0" fontId="36" fillId="8" borderId="3" xfId="7" applyFont="1" applyFill="1" applyBorder="1" applyAlignment="1">
      <alignment horizontal="center" vertical="center" wrapText="1"/>
    </xf>
    <xf numFmtId="0" fontId="36" fillId="8" borderId="59" xfId="7" applyFont="1" applyFill="1" applyBorder="1" applyAlignment="1">
      <alignment horizontal="center" vertical="center" wrapText="1"/>
    </xf>
    <xf numFmtId="0" fontId="393" fillId="125" borderId="6" xfId="7" applyFont="1" applyFill="1" applyBorder="1" applyAlignment="1">
      <alignment horizontal="center" vertical="center"/>
    </xf>
    <xf numFmtId="0" fontId="393" fillId="125" borderId="0" xfId="7" applyFont="1" applyFill="1" applyAlignment="1">
      <alignment horizontal="center" vertical="center"/>
    </xf>
    <xf numFmtId="0" fontId="393" fillId="125" borderId="9" xfId="7" applyFont="1" applyFill="1" applyBorder="1" applyAlignment="1">
      <alignment horizontal="center" vertical="center"/>
    </xf>
    <xf numFmtId="0" fontId="88" fillId="8" borderId="62" xfId="7" applyFont="1" applyFill="1" applyBorder="1" applyAlignment="1">
      <alignment horizontal="right" vertical="center"/>
    </xf>
    <xf numFmtId="0" fontId="88" fillId="8" borderId="227" xfId="7" applyFont="1" applyFill="1" applyBorder="1" applyAlignment="1">
      <alignment horizontal="right" vertical="center"/>
    </xf>
    <xf numFmtId="0" fontId="72" fillId="8" borderId="62" xfId="7" applyFont="1" applyFill="1" applyBorder="1" applyAlignment="1">
      <alignment horizontal="right" vertical="center"/>
    </xf>
    <xf numFmtId="0" fontId="72" fillId="8" borderId="227" xfId="7" applyFont="1" applyFill="1" applyBorder="1" applyAlignment="1">
      <alignment horizontal="right" vertical="center"/>
    </xf>
    <xf numFmtId="171" fontId="391" fillId="8" borderId="0" xfId="7" applyNumberFormat="1" applyFont="1" applyFill="1" applyAlignment="1" applyProtection="1">
      <alignment horizontal="center" vertical="center"/>
      <protection locked="0"/>
    </xf>
    <xf numFmtId="171" fontId="391" fillId="8" borderId="9" xfId="7" applyNumberFormat="1" applyFont="1" applyFill="1" applyBorder="1" applyAlignment="1" applyProtection="1">
      <alignment horizontal="center" vertical="center"/>
      <protection locked="0"/>
    </xf>
    <xf numFmtId="0" fontId="4" fillId="8" borderId="6" xfId="7" applyFont="1" applyFill="1" applyBorder="1" applyAlignment="1">
      <alignment horizontal="right" vertical="center"/>
    </xf>
    <xf numFmtId="0" fontId="4" fillId="8" borderId="0" xfId="7" applyFont="1" applyFill="1" applyAlignment="1">
      <alignment horizontal="right" vertical="center"/>
    </xf>
    <xf numFmtId="171" fontId="6" fillId="8" borderId="0" xfId="7" applyNumberFormat="1" applyFont="1" applyFill="1" applyAlignment="1" applyProtection="1">
      <alignment horizontal="center" vertical="center"/>
      <protection locked="0"/>
    </xf>
    <xf numFmtId="0" fontId="407" fillId="4" borderId="7" xfId="7" applyFont="1" applyFill="1" applyBorder="1" applyAlignment="1">
      <alignment horizontal="center" vertical="center"/>
    </xf>
    <xf numFmtId="0" fontId="407" fillId="4" borderId="2" xfId="7" applyFont="1" applyFill="1" applyBorder="1" applyAlignment="1">
      <alignment horizontal="center" vertical="center"/>
    </xf>
    <xf numFmtId="0" fontId="407" fillId="4" borderId="8" xfId="7" applyFont="1" applyFill="1" applyBorder="1" applyAlignment="1">
      <alignment horizontal="center" vertical="center"/>
    </xf>
    <xf numFmtId="0" fontId="391" fillId="8" borderId="116" xfId="7" applyFont="1" applyFill="1" applyBorder="1" applyAlignment="1">
      <alignment horizontal="center" vertical="center" wrapText="1"/>
    </xf>
    <xf numFmtId="0" fontId="391" fillId="8" borderId="45" xfId="7" applyFont="1" applyFill="1" applyBorder="1" applyAlignment="1">
      <alignment horizontal="center" vertical="center" wrapText="1"/>
    </xf>
    <xf numFmtId="0" fontId="391" fillId="8" borderId="45" xfId="7" applyFont="1" applyFill="1" applyBorder="1" applyAlignment="1">
      <alignment horizontal="center" vertical="center"/>
    </xf>
    <xf numFmtId="171" fontId="394" fillId="8" borderId="45" xfId="7" applyNumberFormat="1" applyFont="1" applyFill="1" applyBorder="1" applyAlignment="1" applyProtection="1">
      <alignment horizontal="center" vertical="center" wrapText="1"/>
      <protection locked="0"/>
    </xf>
    <xf numFmtId="171" fontId="394" fillId="8" borderId="47" xfId="7" applyNumberFormat="1" applyFont="1" applyFill="1" applyBorder="1" applyAlignment="1" applyProtection="1">
      <alignment horizontal="center" vertical="center" wrapText="1"/>
      <protection locked="0"/>
    </xf>
    <xf numFmtId="0" fontId="1" fillId="8" borderId="6" xfId="7" applyFill="1" applyBorder="1" applyAlignment="1">
      <alignment horizontal="right" vertical="center"/>
    </xf>
    <xf numFmtId="0" fontId="1" fillId="8" borderId="0" xfId="7" applyFill="1" applyAlignment="1">
      <alignment horizontal="right" vertical="center"/>
    </xf>
    <xf numFmtId="0" fontId="494" fillId="8" borderId="276" xfId="39" applyFont="1" applyFill="1" applyBorder="1" applyAlignment="1">
      <alignment horizontal="center" vertical="center" wrapText="1"/>
    </xf>
    <xf numFmtId="0" fontId="494" fillId="8" borderId="277" xfId="39" applyFont="1" applyFill="1" applyBorder="1" applyAlignment="1">
      <alignment horizontal="center" vertical="center" wrapText="1"/>
    </xf>
    <xf numFmtId="0" fontId="494" fillId="8" borderId="278" xfId="39" applyFont="1" applyFill="1" applyBorder="1" applyAlignment="1">
      <alignment horizontal="center" vertical="center" wrapText="1"/>
    </xf>
    <xf numFmtId="0" fontId="26" fillId="4" borderId="310" xfId="39" applyFont="1" applyFill="1" applyBorder="1" applyAlignment="1">
      <alignment horizontal="center" vertical="center" wrapText="1"/>
    </xf>
    <xf numFmtId="0" fontId="26" fillId="4" borderId="214" xfId="39" applyFont="1" applyFill="1" applyBorder="1" applyAlignment="1">
      <alignment horizontal="center" vertical="center" wrapText="1"/>
    </xf>
    <xf numFmtId="0" fontId="26" fillId="4" borderId="215" xfId="39" applyFont="1" applyFill="1" applyBorder="1" applyAlignment="1">
      <alignment horizontal="center" vertical="center" wrapText="1"/>
    </xf>
    <xf numFmtId="0" fontId="494" fillId="8" borderId="6" xfId="39" applyFont="1" applyFill="1" applyBorder="1" applyAlignment="1">
      <alignment horizontal="center" vertical="center" wrapText="1"/>
    </xf>
    <xf numFmtId="0" fontId="106" fillId="8" borderId="0" xfId="39" applyFont="1" applyFill="1" applyAlignment="1">
      <alignment horizontal="center" vertical="center" wrapText="1"/>
    </xf>
    <xf numFmtId="0" fontId="106" fillId="8" borderId="9" xfId="39" applyFont="1" applyFill="1" applyBorder="1" applyAlignment="1">
      <alignment horizontal="center" vertical="center" wrapText="1"/>
    </xf>
    <xf numFmtId="0" fontId="404" fillId="7" borderId="6" xfId="39" applyFont="1" applyFill="1" applyBorder="1" applyAlignment="1">
      <alignment horizontal="center" vertical="center"/>
    </xf>
    <xf numFmtId="0" fontId="404" fillId="7" borderId="0" xfId="39" applyFont="1" applyFill="1" applyAlignment="1">
      <alignment horizontal="center" vertical="center"/>
    </xf>
    <xf numFmtId="0" fontId="404" fillId="7" borderId="9" xfId="39" applyFont="1" applyFill="1" applyBorder="1" applyAlignment="1">
      <alignment horizontal="center" vertical="center"/>
    </xf>
    <xf numFmtId="0" fontId="495" fillId="8" borderId="6" xfId="16" applyFont="1" applyFill="1" applyBorder="1" applyAlignment="1">
      <alignment horizontal="center" vertical="center" wrapText="1"/>
    </xf>
    <xf numFmtId="0" fontId="495" fillId="8" borderId="0" xfId="16" applyFont="1" applyFill="1" applyAlignment="1">
      <alignment horizontal="center" vertical="center" wrapText="1"/>
    </xf>
    <xf numFmtId="0" fontId="495" fillId="8" borderId="9" xfId="16" applyFont="1" applyFill="1" applyBorder="1" applyAlignment="1">
      <alignment horizontal="center" vertical="center" wrapText="1"/>
    </xf>
    <xf numFmtId="0" fontId="496" fillId="66" borderId="6" xfId="39" applyFont="1" applyFill="1" applyBorder="1" applyAlignment="1">
      <alignment horizontal="center" vertical="center"/>
    </xf>
    <xf numFmtId="0" fontId="496" fillId="66" borderId="0" xfId="39" applyFont="1" applyFill="1" applyAlignment="1">
      <alignment horizontal="center" vertical="center"/>
    </xf>
    <xf numFmtId="0" fontId="496" fillId="66" borderId="9" xfId="39" applyFont="1" applyFill="1" applyBorder="1" applyAlignment="1">
      <alignment horizontal="center" vertical="center"/>
    </xf>
    <xf numFmtId="201" fontId="391" fillId="8" borderId="0" xfId="5" applyNumberFormat="1" applyFont="1" applyFill="1" applyAlignment="1">
      <alignment horizontal="left" vertical="center" wrapText="1"/>
    </xf>
    <xf numFmtId="201" fontId="391" fillId="8" borderId="0" xfId="5" applyNumberFormat="1" applyFont="1" applyFill="1" applyAlignment="1">
      <alignment horizontal="right" vertical="center" wrapText="1"/>
    </xf>
    <xf numFmtId="201" fontId="501" fillId="8" borderId="0" xfId="5" applyNumberFormat="1" applyFont="1" applyFill="1" applyAlignment="1">
      <alignment horizontal="center" vertical="center" wrapText="1"/>
    </xf>
    <xf numFmtId="0" fontId="404" fillId="4" borderId="7" xfId="7" applyFont="1" applyFill="1" applyBorder="1" applyAlignment="1">
      <alignment horizontal="center" vertical="center"/>
    </xf>
    <xf numFmtId="0" fontId="404" fillId="4" borderId="2" xfId="7" applyFont="1" applyFill="1" applyBorder="1" applyAlignment="1">
      <alignment horizontal="center" vertical="center"/>
    </xf>
    <xf numFmtId="0" fontId="404" fillId="4" borderId="8" xfId="7" applyFont="1" applyFill="1" applyBorder="1" applyAlignment="1">
      <alignment horizontal="center" vertical="center"/>
    </xf>
    <xf numFmtId="0" fontId="407" fillId="8" borderId="45" xfId="7" applyFont="1" applyFill="1" applyBorder="1" applyAlignment="1">
      <alignment horizontal="center" vertical="center"/>
    </xf>
    <xf numFmtId="0" fontId="407" fillId="8" borderId="14" xfId="7" applyFont="1" applyFill="1" applyBorder="1" applyAlignment="1">
      <alignment horizontal="center" vertical="center"/>
    </xf>
    <xf numFmtId="0" fontId="407" fillId="8" borderId="45" xfId="7" applyFont="1" applyFill="1" applyBorder="1" applyAlignment="1">
      <alignment horizontal="right" vertical="center"/>
    </xf>
    <xf numFmtId="0" fontId="407" fillId="8" borderId="14" xfId="7" applyFont="1" applyFill="1" applyBorder="1" applyAlignment="1">
      <alignment horizontal="right" vertical="center"/>
    </xf>
    <xf numFmtId="0" fontId="292" fillId="8" borderId="0" xfId="7" applyFont="1" applyFill="1" applyAlignment="1">
      <alignment horizontal="center" vertical="center"/>
    </xf>
    <xf numFmtId="1" fontId="407" fillId="8" borderId="0" xfId="5" applyNumberFormat="1" applyFont="1" applyFill="1" applyAlignment="1">
      <alignment horizontal="center" vertical="center"/>
    </xf>
    <xf numFmtId="0" fontId="407" fillId="8" borderId="0" xfId="7" applyFont="1" applyFill="1" applyAlignment="1">
      <alignment horizontal="center" vertical="center"/>
    </xf>
    <xf numFmtId="196" fontId="407" fillId="8" borderId="9" xfId="5" applyNumberFormat="1" applyFont="1" applyFill="1" applyBorder="1" applyAlignment="1">
      <alignment horizontal="center" vertical="center"/>
    </xf>
    <xf numFmtId="196" fontId="507" fillId="21" borderId="0" xfId="5" applyNumberFormat="1" applyFont="1" applyFill="1" applyAlignment="1">
      <alignment horizontal="center" vertical="center"/>
    </xf>
    <xf numFmtId="196" fontId="507" fillId="21" borderId="14" xfId="5" applyNumberFormat="1" applyFont="1" applyFill="1" applyBorder="1" applyAlignment="1">
      <alignment horizontal="center" vertical="center"/>
    </xf>
    <xf numFmtId="0" fontId="393" fillId="8" borderId="0" xfId="7" applyFont="1" applyFill="1" applyAlignment="1">
      <alignment horizontal="right" vertical="center" wrapText="1"/>
    </xf>
    <xf numFmtId="201" fontId="404" fillId="8" borderId="116" xfId="5" applyNumberFormat="1" applyFont="1" applyFill="1" applyBorder="1" applyAlignment="1">
      <alignment horizontal="center" vertical="center" wrapText="1"/>
    </xf>
    <xf numFmtId="201" fontId="404" fillId="8" borderId="45" xfId="5" applyNumberFormat="1" applyFont="1" applyFill="1" applyBorder="1" applyAlignment="1">
      <alignment horizontal="center" vertical="center" wrapText="1"/>
    </xf>
    <xf numFmtId="201" fontId="404" fillId="8" borderId="47" xfId="5" applyNumberFormat="1" applyFont="1" applyFill="1" applyBorder="1" applyAlignment="1">
      <alignment horizontal="center" vertical="center" wrapText="1"/>
    </xf>
    <xf numFmtId="201" fontId="404" fillId="8" borderId="6" xfId="5" applyNumberFormat="1" applyFont="1" applyFill="1" applyBorder="1" applyAlignment="1">
      <alignment horizontal="center" vertical="center" wrapText="1"/>
    </xf>
    <xf numFmtId="201" fontId="404" fillId="8" borderId="0" xfId="5" applyNumberFormat="1" applyFont="1" applyFill="1" applyAlignment="1">
      <alignment horizontal="center" vertical="center" wrapText="1"/>
    </xf>
    <xf numFmtId="201" fontId="404" fillId="8" borderId="9" xfId="5" applyNumberFormat="1" applyFont="1" applyFill="1" applyBorder="1" applyAlignment="1">
      <alignment horizontal="center" vertical="center" wrapText="1"/>
    </xf>
    <xf numFmtId="0" fontId="407" fillId="8" borderId="6" xfId="7" applyFont="1" applyFill="1" applyBorder="1" applyAlignment="1">
      <alignment horizontal="right" vertical="center"/>
    </xf>
    <xf numFmtId="1" fontId="407" fillId="8" borderId="0" xfId="5" applyNumberFormat="1" applyFont="1" applyFill="1" applyAlignment="1">
      <alignment horizontal="right" vertical="center"/>
    </xf>
    <xf numFmtId="0" fontId="165" fillId="8" borderId="6" xfId="1" applyFont="1" applyFill="1" applyBorder="1" applyAlignment="1">
      <alignment horizontal="center" vertical="center" wrapText="1"/>
    </xf>
    <xf numFmtId="0" fontId="165" fillId="8" borderId="0" xfId="1" applyFont="1" applyFill="1" applyAlignment="1">
      <alignment horizontal="center" vertical="center" wrapText="1"/>
    </xf>
    <xf numFmtId="0" fontId="165" fillId="8" borderId="9" xfId="1" applyFont="1" applyFill="1" applyBorder="1" applyAlignment="1">
      <alignment horizontal="center" vertical="center" wrapText="1"/>
    </xf>
    <xf numFmtId="0" fontId="57" fillId="8" borderId="6" xfId="7" applyFont="1" applyFill="1" applyBorder="1" applyAlignment="1">
      <alignment horizontal="center" vertical="center" wrapText="1"/>
    </xf>
    <xf numFmtId="0" fontId="57" fillId="8" borderId="0" xfId="7" applyFont="1" applyFill="1" applyAlignment="1">
      <alignment horizontal="center" vertical="center" wrapText="1"/>
    </xf>
    <xf numFmtId="0" fontId="57" fillId="8" borderId="9" xfId="7" applyFont="1" applyFill="1" applyBorder="1" applyAlignment="1">
      <alignment horizontal="center" vertical="center" wrapText="1"/>
    </xf>
    <xf numFmtId="2" fontId="407" fillId="8" borderId="9" xfId="7" applyNumberFormat="1" applyFont="1" applyFill="1" applyBorder="1" applyAlignment="1">
      <alignment horizontal="center" vertical="center"/>
    </xf>
    <xf numFmtId="0" fontId="509" fillId="146" borderId="56" xfId="1" applyFont="1" applyFill="1" applyBorder="1" applyAlignment="1" applyProtection="1">
      <alignment horizontal="center" vertical="center"/>
      <protection hidden="1"/>
    </xf>
    <xf numFmtId="0" fontId="30" fillId="109" borderId="267" xfId="1" applyFont="1" applyFill="1" applyBorder="1" applyAlignment="1">
      <alignment horizontal="center" vertical="center" textRotation="90"/>
    </xf>
    <xf numFmtId="0" fontId="417" fillId="0" borderId="266" xfId="5" applyFont="1" applyBorder="1" applyAlignment="1" applyProtection="1">
      <alignment horizontal="center" vertical="center"/>
      <protection locked="0"/>
    </xf>
    <xf numFmtId="0" fontId="417" fillId="0" borderId="0" xfId="5" applyFont="1" applyAlignment="1" applyProtection="1">
      <alignment horizontal="center" vertical="center"/>
      <protection locked="0"/>
    </xf>
    <xf numFmtId="0" fontId="417" fillId="0" borderId="267" xfId="5" applyFont="1" applyBorder="1" applyAlignment="1" applyProtection="1">
      <alignment horizontal="center" vertical="center"/>
      <protection locked="0"/>
    </xf>
    <xf numFmtId="0" fontId="393" fillId="8" borderId="0" xfId="5" applyFont="1" applyFill="1" applyAlignment="1">
      <alignment horizontal="center" vertical="center"/>
    </xf>
    <xf numFmtId="171" fontId="292" fillId="8" borderId="0" xfId="5" applyNumberFormat="1" applyFont="1" applyFill="1" applyAlignment="1">
      <alignment horizontal="left" vertical="center"/>
    </xf>
    <xf numFmtId="1" fontId="407" fillId="8" borderId="0" xfId="7" applyNumberFormat="1" applyFont="1" applyFill="1" applyAlignment="1">
      <alignment horizontal="right" vertical="center"/>
    </xf>
    <xf numFmtId="1" fontId="407" fillId="8" borderId="0" xfId="7" applyNumberFormat="1" applyFont="1" applyFill="1" applyAlignment="1">
      <alignment horizontal="center" vertical="center"/>
    </xf>
    <xf numFmtId="0" fontId="401" fillId="8" borderId="0" xfId="7" applyFont="1" applyFill="1" applyAlignment="1">
      <alignment horizontal="center" vertical="center"/>
    </xf>
    <xf numFmtId="201" fontId="505" fillId="21" borderId="116" xfId="5" applyNumberFormat="1" applyFont="1" applyFill="1" applyBorder="1" applyAlignment="1">
      <alignment horizontal="center" vertical="center" wrapText="1"/>
    </xf>
    <xf numFmtId="201" fontId="505" fillId="21" borderId="45" xfId="5" applyNumberFormat="1" applyFont="1" applyFill="1" applyBorder="1" applyAlignment="1">
      <alignment horizontal="center" vertical="center" wrapText="1"/>
    </xf>
    <xf numFmtId="201" fontId="505" fillId="21" borderId="47" xfId="5" applyNumberFormat="1" applyFont="1" applyFill="1" applyBorder="1" applyAlignment="1">
      <alignment horizontal="center" vertical="center" wrapText="1"/>
    </xf>
    <xf numFmtId="201" fontId="505" fillId="21" borderId="6" xfId="5" applyNumberFormat="1" applyFont="1" applyFill="1" applyBorder="1" applyAlignment="1">
      <alignment horizontal="center" vertical="center" wrapText="1"/>
    </xf>
    <xf numFmtId="201" fontId="505" fillId="21" borderId="0" xfId="5" applyNumberFormat="1" applyFont="1" applyFill="1" applyAlignment="1">
      <alignment horizontal="center" vertical="center" wrapText="1"/>
    </xf>
    <xf numFmtId="201" fontId="505" fillId="21" borderId="9" xfId="5" applyNumberFormat="1" applyFont="1" applyFill="1" applyBorder="1" applyAlignment="1">
      <alignment horizontal="center" vertical="center" wrapText="1"/>
    </xf>
    <xf numFmtId="201" fontId="440" fillId="8" borderId="6" xfId="5" applyNumberFormat="1" applyFont="1" applyFill="1" applyBorder="1" applyAlignment="1">
      <alignment horizontal="right" vertical="center" wrapText="1"/>
    </xf>
    <xf numFmtId="201" fontId="440" fillId="8" borderId="0" xfId="5" applyNumberFormat="1" applyFont="1" applyFill="1" applyAlignment="1">
      <alignment horizontal="right" vertical="center" wrapText="1"/>
    </xf>
    <xf numFmtId="196" fontId="439" fillId="21" borderId="0" xfId="5" applyNumberFormat="1" applyFont="1" applyFill="1" applyAlignment="1">
      <alignment horizontal="center" vertical="center"/>
    </xf>
    <xf numFmtId="196" fontId="439" fillId="21" borderId="14" xfId="5" applyNumberFormat="1" applyFont="1" applyFill="1" applyBorder="1" applyAlignment="1">
      <alignment horizontal="center" vertical="center"/>
    </xf>
    <xf numFmtId="201" fontId="506" fillId="8" borderId="0" xfId="5" applyNumberFormat="1" applyFont="1" applyFill="1" applyAlignment="1">
      <alignment horizontal="right" vertical="center" wrapText="1"/>
    </xf>
    <xf numFmtId="0" fontId="389" fillId="38" borderId="0" xfId="1" applyFont="1" applyFill="1" applyAlignment="1" applyProtection="1">
      <alignment horizontal="center"/>
      <protection hidden="1"/>
    </xf>
    <xf numFmtId="0" fontId="200" fillId="113" borderId="6" xfId="7" applyFont="1" applyFill="1" applyBorder="1" applyAlignment="1">
      <alignment horizontal="center" vertical="center"/>
    </xf>
    <xf numFmtId="0" fontId="200" fillId="113" borderId="0" xfId="7" applyFont="1" applyFill="1" applyAlignment="1">
      <alignment horizontal="center" vertical="center"/>
    </xf>
    <xf numFmtId="0" fontId="200" fillId="113" borderId="62" xfId="7" applyFont="1" applyFill="1" applyBorder="1" applyAlignment="1">
      <alignment horizontal="center" vertical="center"/>
    </xf>
    <xf numFmtId="0" fontId="200" fillId="113" borderId="227" xfId="7" applyFont="1" applyFill="1" applyBorder="1" applyAlignment="1">
      <alignment horizontal="center" vertical="center"/>
    </xf>
    <xf numFmtId="0" fontId="1" fillId="8" borderId="318" xfId="7" applyFill="1" applyBorder="1" applyAlignment="1">
      <alignment horizontal="center"/>
    </xf>
    <xf numFmtId="0" fontId="1" fillId="8" borderId="319" xfId="7" applyFill="1" applyBorder="1" applyAlignment="1">
      <alignment horizontal="center"/>
    </xf>
    <xf numFmtId="0" fontId="48" fillId="8" borderId="7" xfId="7" applyFont="1" applyFill="1" applyBorder="1" applyAlignment="1">
      <alignment horizontal="center" wrapText="1"/>
    </xf>
    <xf numFmtId="0" fontId="48" fillId="8" borderId="8" xfId="7" applyFont="1" applyFill="1" applyBorder="1" applyAlignment="1">
      <alignment horizontal="center" wrapText="1"/>
    </xf>
    <xf numFmtId="0" fontId="48" fillId="8" borderId="6" xfId="7" applyFont="1" applyFill="1" applyBorder="1" applyAlignment="1">
      <alignment horizontal="center" wrapText="1"/>
    </xf>
    <xf numFmtId="0" fontId="48" fillId="8" borderId="9" xfId="7" applyFont="1" applyFill="1" applyBorder="1" applyAlignment="1">
      <alignment horizontal="center" wrapText="1"/>
    </xf>
    <xf numFmtId="0" fontId="184" fillId="109" borderId="9" xfId="1" applyFont="1" applyFill="1" applyBorder="1" applyAlignment="1">
      <alignment horizontal="center" vertical="center" textRotation="90"/>
    </xf>
    <xf numFmtId="0" fontId="184" fillId="109" borderId="9" xfId="1" applyFont="1" applyFill="1" applyBorder="1" applyAlignment="1">
      <alignment horizontal="center" vertical="center" textRotation="90" wrapText="1"/>
    </xf>
    <xf numFmtId="0" fontId="13" fillId="8" borderId="7" xfId="7" applyFont="1" applyFill="1" applyBorder="1" applyAlignment="1">
      <alignment horizontal="center" vertical="center"/>
    </xf>
    <xf numFmtId="0" fontId="13" fillId="8" borderId="8" xfId="7" applyFont="1" applyFill="1" applyBorder="1" applyAlignment="1">
      <alignment horizontal="center" vertical="center"/>
    </xf>
    <xf numFmtId="0" fontId="4" fillId="8" borderId="7" xfId="7" applyFont="1" applyFill="1" applyBorder="1" applyAlignment="1">
      <alignment horizontal="center" vertical="center" wrapText="1"/>
    </xf>
    <xf numFmtId="0" fontId="4" fillId="8" borderId="8" xfId="7" applyFont="1" applyFill="1" applyBorder="1" applyAlignment="1">
      <alignment horizontal="center" vertical="center" wrapText="1"/>
    </xf>
    <xf numFmtId="0" fontId="4" fillId="8" borderId="6" xfId="7" applyFont="1" applyFill="1" applyBorder="1" applyAlignment="1">
      <alignment horizontal="center" vertical="center" wrapText="1"/>
    </xf>
    <xf numFmtId="0" fontId="4" fillId="8" borderId="9" xfId="7" applyFont="1" applyFill="1" applyBorder="1" applyAlignment="1">
      <alignment horizontal="center" vertical="center" wrapText="1"/>
    </xf>
    <xf numFmtId="0" fontId="21" fillId="8" borderId="6" xfId="7" applyFont="1" applyFill="1" applyBorder="1" applyAlignment="1">
      <alignment horizontal="center" vertical="center"/>
    </xf>
    <xf numFmtId="0" fontId="21" fillId="8" borderId="9" xfId="7" applyFont="1" applyFill="1" applyBorder="1" applyAlignment="1">
      <alignment horizontal="center" vertical="center"/>
    </xf>
    <xf numFmtId="0" fontId="4" fillId="8" borderId="292" xfId="7" applyFont="1" applyFill="1" applyBorder="1" applyAlignment="1">
      <alignment horizontal="center" vertical="center"/>
    </xf>
    <xf numFmtId="0" fontId="4" fillId="8" borderId="115" xfId="7" applyFont="1" applyFill="1" applyBorder="1" applyAlignment="1">
      <alignment horizontal="center" vertical="center"/>
    </xf>
    <xf numFmtId="0" fontId="1" fillId="8" borderId="6" xfId="7" applyFill="1" applyBorder="1" applyAlignment="1">
      <alignment horizontal="center"/>
    </xf>
    <xf numFmtId="0" fontId="1" fillId="8" borderId="9" xfId="7" applyFill="1" applyBorder="1" applyAlignment="1">
      <alignment horizontal="center"/>
    </xf>
    <xf numFmtId="0" fontId="72" fillId="0" borderId="318" xfId="7" applyFont="1" applyBorder="1" applyAlignment="1">
      <alignment horizontal="center"/>
    </xf>
    <xf numFmtId="0" fontId="72" fillId="0" borderId="319" xfId="7" applyFont="1" applyBorder="1" applyAlignment="1">
      <alignment horizontal="center"/>
    </xf>
    <xf numFmtId="0" fontId="4" fillId="8" borderId="292" xfId="7" applyFont="1" applyFill="1" applyBorder="1" applyAlignment="1">
      <alignment horizontal="center"/>
    </xf>
    <xf numFmtId="0" fontId="4" fillId="8" borderId="115" xfId="7" applyFont="1" applyFill="1" applyBorder="1" applyAlignment="1">
      <alignment horizontal="center"/>
    </xf>
    <xf numFmtId="0" fontId="0" fillId="8" borderId="6" xfId="7" applyFont="1" applyFill="1" applyBorder="1" applyAlignment="1">
      <alignment horizontal="center"/>
    </xf>
    <xf numFmtId="0" fontId="0" fillId="8" borderId="9" xfId="7" applyFont="1" applyFill="1" applyBorder="1" applyAlignment="1">
      <alignment horizontal="center"/>
    </xf>
    <xf numFmtId="0" fontId="154" fillId="4" borderId="7" xfId="5" applyFont="1" applyFill="1" applyBorder="1" applyAlignment="1" applyProtection="1">
      <alignment horizontal="right" vertical="center"/>
      <protection locked="0"/>
    </xf>
    <xf numFmtId="0" fontId="346" fillId="8" borderId="0" xfId="17" applyFont="1" applyFill="1" applyAlignment="1">
      <alignment horizontal="left" vertical="center"/>
    </xf>
    <xf numFmtId="0" fontId="346" fillId="8" borderId="0" xfId="34" applyFont="1" applyFill="1" applyAlignment="1">
      <alignment horizontal="left" vertical="center"/>
    </xf>
    <xf numFmtId="0" fontId="245" fillId="0" borderId="0" xfId="34" applyFont="1" applyAlignment="1">
      <alignment horizontal="center" vertical="center"/>
    </xf>
    <xf numFmtId="0" fontId="13" fillId="4" borderId="7" xfId="27" applyFont="1" applyFill="1" applyBorder="1" applyAlignment="1">
      <alignment horizontal="center"/>
    </xf>
    <xf numFmtId="0" fontId="13" fillId="4" borderId="2" xfId="27" applyFont="1" applyFill="1" applyBorder="1" applyAlignment="1">
      <alignment horizontal="center"/>
    </xf>
    <xf numFmtId="0" fontId="13" fillId="4" borderId="8" xfId="27" applyFont="1" applyFill="1" applyBorder="1" applyAlignment="1">
      <alignment horizontal="center"/>
    </xf>
    <xf numFmtId="0" fontId="372" fillId="21" borderId="45" xfId="7" applyFont="1" applyFill="1" applyBorder="1" applyAlignment="1">
      <alignment horizontal="center" vertical="center"/>
    </xf>
    <xf numFmtId="0" fontId="372" fillId="21" borderId="47" xfId="7" applyFont="1" applyFill="1" applyBorder="1" applyAlignment="1">
      <alignment horizontal="center" vertical="center"/>
    </xf>
    <xf numFmtId="0" fontId="372" fillId="21" borderId="14" xfId="7" applyFont="1" applyFill="1" applyBorder="1" applyAlignment="1">
      <alignment horizontal="center" vertical="center"/>
    </xf>
    <xf numFmtId="0" fontId="372" fillId="21" borderId="21" xfId="7" applyFont="1" applyFill="1" applyBorder="1" applyAlignment="1">
      <alignment horizontal="center" vertical="center"/>
    </xf>
    <xf numFmtId="0" fontId="10" fillId="128" borderId="116" xfId="5" applyFont="1" applyFill="1" applyBorder="1" applyAlignment="1">
      <alignment horizontal="center" vertical="center"/>
    </xf>
    <xf numFmtId="0" fontId="10" fillId="128" borderId="45" xfId="5" applyFont="1" applyFill="1" applyBorder="1" applyAlignment="1">
      <alignment horizontal="center" vertical="center"/>
    </xf>
    <xf numFmtId="0" fontId="10" fillId="128" borderId="127" xfId="5" applyFont="1" applyFill="1" applyBorder="1" applyAlignment="1">
      <alignment horizontal="center" vertical="center"/>
    </xf>
    <xf numFmtId="0" fontId="10" fillId="128" borderId="56" xfId="5" applyFont="1" applyFill="1" applyBorder="1" applyAlignment="1">
      <alignment horizontal="center" vertical="center"/>
    </xf>
    <xf numFmtId="222" fontId="35" fillId="22" borderId="45" xfId="42" applyNumberFormat="1" applyFont="1" applyFill="1" applyBorder="1" applyAlignment="1" applyProtection="1">
      <alignment horizontal="center" vertical="center" wrapText="1"/>
      <protection locked="0"/>
    </xf>
    <xf numFmtId="222" fontId="35" fillId="22" borderId="56" xfId="42" applyNumberFormat="1" applyFont="1" applyFill="1" applyBorder="1" applyAlignment="1" applyProtection="1">
      <alignment horizontal="center" vertical="center" wrapText="1"/>
      <protection locked="0"/>
    </xf>
    <xf numFmtId="175" fontId="13" fillId="44" borderId="47" xfId="42" applyNumberFormat="1" applyFont="1" applyFill="1" applyBorder="1" applyAlignment="1" applyProtection="1">
      <alignment horizontal="center" vertical="center" wrapText="1"/>
      <protection locked="0"/>
    </xf>
    <xf numFmtId="175" fontId="13" fillId="44" borderId="57" xfId="42" applyNumberFormat="1" applyFont="1" applyFill="1" applyBorder="1" applyAlignment="1" applyProtection="1">
      <alignment horizontal="center" vertical="center" wrapText="1"/>
      <protection locked="0"/>
    </xf>
    <xf numFmtId="0" fontId="1" fillId="0" borderId="116" xfId="7" applyBorder="1" applyAlignment="1">
      <alignment horizontal="center" vertical="center"/>
    </xf>
    <xf numFmtId="0" fontId="1" fillId="0" borderId="65" xfId="7" applyBorder="1" applyAlignment="1">
      <alignment horizontal="center" vertical="center"/>
    </xf>
    <xf numFmtId="9" fontId="26" fillId="8" borderId="47" xfId="7" applyNumberFormat="1" applyFont="1" applyFill="1" applyBorder="1" applyAlignment="1">
      <alignment horizontal="center" vertical="center"/>
    </xf>
    <xf numFmtId="9" fontId="26" fillId="8" borderId="21" xfId="7" applyNumberFormat="1" applyFont="1" applyFill="1" applyBorder="1" applyAlignment="1">
      <alignment horizontal="center" vertical="center"/>
    </xf>
    <xf numFmtId="0" fontId="36" fillId="8" borderId="116" xfId="7" applyFont="1" applyFill="1" applyBorder="1" applyAlignment="1">
      <alignment horizontal="center" vertical="center" wrapText="1"/>
    </xf>
    <xf numFmtId="0" fontId="36" fillId="8" borderId="6" xfId="7" applyFont="1" applyFill="1" applyBorder="1" applyAlignment="1">
      <alignment horizontal="center" vertical="center" wrapText="1"/>
    </xf>
    <xf numFmtId="0" fontId="372" fillId="21" borderId="0" xfId="7" applyFont="1" applyFill="1" applyAlignment="1">
      <alignment horizontal="center" vertical="center"/>
    </xf>
    <xf numFmtId="0" fontId="372" fillId="21" borderId="9" xfId="7" applyFont="1" applyFill="1" applyBorder="1" applyAlignment="1">
      <alignment horizontal="center" vertical="center"/>
    </xf>
    <xf numFmtId="0" fontId="36" fillId="8" borderId="116" xfId="7" applyFont="1" applyFill="1" applyBorder="1" applyAlignment="1">
      <alignment horizontal="center" vertical="center"/>
    </xf>
    <xf numFmtId="0" fontId="36" fillId="8" borderId="65" xfId="7" applyFont="1" applyFill="1" applyBorder="1" applyAlignment="1">
      <alignment horizontal="center" vertical="center"/>
    </xf>
    <xf numFmtId="0" fontId="516" fillId="44" borderId="6" xfId="1" applyFont="1" applyFill="1" applyBorder="1" applyAlignment="1">
      <alignment horizontal="center" vertical="center"/>
    </xf>
    <xf numFmtId="0" fontId="516" fillId="44" borderId="65" xfId="1" applyFont="1" applyFill="1" applyBorder="1" applyAlignment="1">
      <alignment horizontal="center" vertical="center"/>
    </xf>
    <xf numFmtId="185" fontId="517" fillId="21" borderId="0" xfId="42" applyNumberFormat="1" applyFont="1" applyFill="1" applyAlignment="1" applyProtection="1">
      <alignment horizontal="center" vertical="center" wrapText="1"/>
      <protection locked="0"/>
    </xf>
    <xf numFmtId="185" fontId="517" fillId="21" borderId="14" xfId="42" applyNumberFormat="1" applyFont="1" applyFill="1" applyBorder="1" applyAlignment="1" applyProtection="1">
      <alignment horizontal="center" vertical="center" wrapText="1"/>
      <protection locked="0"/>
    </xf>
    <xf numFmtId="229" fontId="76" fillId="22" borderId="0" xfId="42" applyNumberFormat="1" applyFont="1" applyFill="1" applyAlignment="1" applyProtection="1">
      <alignment horizontal="center" vertical="center" wrapText="1"/>
      <protection locked="0"/>
    </xf>
    <xf numFmtId="229" fontId="76" fillId="22" borderId="14" xfId="42" applyNumberFormat="1" applyFont="1" applyFill="1" applyBorder="1" applyAlignment="1" applyProtection="1">
      <alignment horizontal="center" vertical="center" wrapText="1"/>
      <protection locked="0"/>
    </xf>
    <xf numFmtId="223" fontId="21" fillId="44" borderId="9" xfId="42" applyNumberFormat="1" applyFont="1" applyFill="1" applyBorder="1" applyAlignment="1" applyProtection="1">
      <alignment horizontal="center" vertical="center" wrapText="1"/>
      <protection locked="0"/>
    </xf>
    <xf numFmtId="223" fontId="21" fillId="44" borderId="21" xfId="42" applyNumberFormat="1" applyFont="1" applyFill="1" applyBorder="1" applyAlignment="1" applyProtection="1">
      <alignment horizontal="center" vertical="center" wrapText="1"/>
      <protection locked="0"/>
    </xf>
    <xf numFmtId="0" fontId="57" fillId="8" borderId="317" xfId="1" applyFont="1" applyFill="1" applyBorder="1" applyAlignment="1">
      <alignment horizontal="center" vertical="center"/>
    </xf>
    <xf numFmtId="0" fontId="57" fillId="8" borderId="116" xfId="1" applyFont="1" applyFill="1" applyBorder="1" applyAlignment="1">
      <alignment horizontal="center" vertical="center"/>
    </xf>
    <xf numFmtId="0" fontId="515" fillId="8" borderId="254" xfId="1" quotePrefix="1" applyFont="1" applyFill="1" applyBorder="1" applyAlignment="1">
      <alignment horizontal="center" vertical="center"/>
    </xf>
    <xf numFmtId="0" fontId="3" fillId="8" borderId="254" xfId="1" quotePrefix="1" applyFont="1" applyFill="1" applyBorder="1" applyAlignment="1">
      <alignment horizontal="center" vertical="center"/>
    </xf>
    <xf numFmtId="0" fontId="3" fillId="8" borderId="45" xfId="1" quotePrefix="1" applyFont="1" applyFill="1" applyBorder="1" applyAlignment="1">
      <alignment horizontal="center" vertical="center"/>
    </xf>
    <xf numFmtId="229" fontId="48" fillId="8" borderId="254" xfId="42" applyNumberFormat="1" applyFont="1" applyFill="1" applyBorder="1" applyAlignment="1" applyProtection="1">
      <alignment horizontal="center" vertical="center" wrapText="1"/>
      <protection locked="0"/>
    </xf>
    <xf numFmtId="229" fontId="48" fillId="8" borderId="45" xfId="42" applyNumberFormat="1" applyFont="1" applyFill="1" applyBorder="1" applyAlignment="1" applyProtection="1">
      <alignment horizontal="center" vertical="center" wrapText="1"/>
      <protection locked="0"/>
    </xf>
    <xf numFmtId="223" fontId="48" fillId="8" borderId="264" xfId="42" applyNumberFormat="1" applyFont="1" applyFill="1" applyBorder="1" applyAlignment="1" applyProtection="1">
      <alignment horizontal="center" vertical="center" wrapText="1"/>
      <protection locked="0"/>
    </xf>
    <xf numFmtId="223" fontId="48" fillId="8" borderId="47" xfId="42" applyNumberFormat="1" applyFont="1" applyFill="1" applyBorder="1" applyAlignment="1" applyProtection="1">
      <alignment horizontal="center" vertical="center" wrapText="1"/>
      <protection locked="0"/>
    </xf>
    <xf numFmtId="0" fontId="65" fillId="44" borderId="6" xfId="1" applyFont="1" applyFill="1" applyBorder="1" applyAlignment="1">
      <alignment horizontal="center" vertical="center"/>
    </xf>
    <xf numFmtId="185" fontId="58" fillId="21" borderId="0" xfId="42" applyNumberFormat="1" applyFont="1" applyFill="1" applyAlignment="1" applyProtection="1">
      <alignment horizontal="center" vertical="center" wrapText="1"/>
      <protection locked="0"/>
    </xf>
    <xf numFmtId="229" fontId="58" fillId="22" borderId="0" xfId="42" applyNumberFormat="1" applyFont="1" applyFill="1" applyAlignment="1" applyProtection="1">
      <alignment horizontal="center" vertical="center" wrapText="1"/>
      <protection locked="0"/>
    </xf>
    <xf numFmtId="0" fontId="57" fillId="8" borderId="322" xfId="1" applyFont="1" applyFill="1" applyBorder="1" applyAlignment="1">
      <alignment horizontal="center" vertical="center"/>
    </xf>
    <xf numFmtId="0" fontId="26" fillId="8" borderId="323" xfId="7" applyFont="1" applyFill="1" applyBorder="1" applyAlignment="1">
      <alignment horizontal="right" vertical="center"/>
    </xf>
    <xf numFmtId="0" fontId="26" fillId="8" borderId="254" xfId="7" applyFont="1" applyFill="1" applyBorder="1" applyAlignment="1">
      <alignment horizontal="right" vertical="center"/>
    </xf>
    <xf numFmtId="229" fontId="13" fillId="8" borderId="323" xfId="42" applyNumberFormat="1" applyFont="1" applyFill="1" applyBorder="1" applyAlignment="1" applyProtection="1">
      <alignment horizontal="center" vertical="center" wrapText="1"/>
      <protection locked="0"/>
    </xf>
    <xf numFmtId="229" fontId="13" fillId="8" borderId="254" xfId="42" applyNumberFormat="1" applyFont="1" applyFill="1" applyBorder="1" applyAlignment="1" applyProtection="1">
      <alignment horizontal="center" vertical="center" wrapText="1"/>
      <protection locked="0"/>
    </xf>
    <xf numFmtId="223" fontId="13" fillId="8" borderId="324" xfId="42" applyNumberFormat="1" applyFont="1" applyFill="1" applyBorder="1" applyAlignment="1" applyProtection="1">
      <alignment horizontal="center" vertical="center" wrapText="1"/>
      <protection locked="0"/>
    </xf>
    <xf numFmtId="223" fontId="13" fillId="8" borderId="264" xfId="42" applyNumberFormat="1" applyFont="1" applyFill="1" applyBorder="1" applyAlignment="1" applyProtection="1">
      <alignment horizontal="center" vertical="center" wrapText="1"/>
      <protection locked="0"/>
    </xf>
    <xf numFmtId="0" fontId="518" fillId="8" borderId="254" xfId="1" applyFont="1" applyFill="1" applyBorder="1" applyAlignment="1">
      <alignment horizontal="right" vertical="center"/>
    </xf>
    <xf numFmtId="0" fontId="515" fillId="8" borderId="45" xfId="1" applyFont="1" applyFill="1" applyBorder="1" applyAlignment="1">
      <alignment horizontal="center" vertical="center"/>
    </xf>
    <xf numFmtId="0" fontId="515" fillId="8" borderId="14" xfId="1" applyFont="1" applyFill="1" applyBorder="1" applyAlignment="1">
      <alignment horizontal="center" vertical="center"/>
    </xf>
    <xf numFmtId="0" fontId="162" fillId="0" borderId="0" xfId="17" applyFont="1" applyAlignment="1">
      <alignment vertical="center"/>
    </xf>
    <xf numFmtId="0" fontId="162" fillId="8" borderId="0" xfId="34" applyFont="1" applyFill="1" applyAlignment="1">
      <alignment horizontal="left" vertical="center"/>
    </xf>
    <xf numFmtId="0" fontId="165" fillId="8" borderId="62" xfId="1" applyFont="1" applyFill="1" applyBorder="1" applyAlignment="1">
      <alignment horizontal="center" vertical="center" wrapText="1"/>
    </xf>
    <xf numFmtId="0" fontId="87" fillId="8" borderId="0" xfId="17" applyFill="1" applyAlignment="1">
      <alignment horizontal="left" vertical="center"/>
    </xf>
    <xf numFmtId="0" fontId="69" fillId="8" borderId="0" xfId="3" applyFont="1" applyFill="1" applyAlignment="1">
      <alignment horizontal="center" vertical="center"/>
    </xf>
    <xf numFmtId="0" fontId="45" fillId="8" borderId="266" xfId="6" applyFont="1" applyFill="1" applyBorder="1" applyAlignment="1">
      <alignment horizontal="center" vertical="center"/>
    </xf>
    <xf numFmtId="0" fontId="45" fillId="8" borderId="267" xfId="6" applyFont="1" applyFill="1" applyBorder="1" applyAlignment="1">
      <alignment horizontal="center" vertical="center"/>
    </xf>
    <xf numFmtId="0" fontId="524" fillId="65" borderId="327" xfId="43" applyFont="1" applyFill="1" applyBorder="1" applyAlignment="1">
      <alignment horizontal="center" vertical="center"/>
    </xf>
    <xf numFmtId="0" fontId="524" fillId="65" borderId="328" xfId="43" applyFont="1" applyFill="1" applyBorder="1" applyAlignment="1">
      <alignment horizontal="center" vertical="center"/>
    </xf>
    <xf numFmtId="0" fontId="524" fillId="65" borderId="329" xfId="43" applyFont="1" applyFill="1" applyBorder="1" applyAlignment="1">
      <alignment horizontal="center" vertical="center"/>
    </xf>
    <xf numFmtId="0" fontId="24" fillId="8" borderId="229" xfId="6" applyFont="1" applyFill="1" applyBorder="1" applyAlignment="1">
      <alignment horizontal="center" vertical="center" wrapText="1"/>
    </xf>
    <xf numFmtId="0" fontId="24" fillId="8" borderId="266" xfId="6" applyFont="1" applyFill="1" applyBorder="1" applyAlignment="1">
      <alignment horizontal="center" vertical="center" wrapText="1"/>
    </xf>
    <xf numFmtId="0" fontId="24" fillId="8" borderId="267" xfId="6" applyFont="1" applyFill="1" applyBorder="1" applyAlignment="1">
      <alignment horizontal="center" vertical="center" wrapText="1"/>
    </xf>
    <xf numFmtId="1" fontId="13" fillId="8" borderId="229" xfId="1" applyNumberFormat="1" applyFont="1" applyFill="1" applyBorder="1" applyAlignment="1" applyProtection="1">
      <alignment horizontal="center" vertical="center" wrapText="1"/>
      <protection hidden="1"/>
    </xf>
    <xf numFmtId="0" fontId="523" fillId="0" borderId="0" xfId="44" applyFont="1" applyAlignment="1" applyProtection="1">
      <alignment horizontal="center" vertical="center" wrapText="1"/>
    </xf>
    <xf numFmtId="0" fontId="523" fillId="0" borderId="0" xfId="44" applyFont="1" applyBorder="1" applyAlignment="1" applyProtection="1">
      <alignment horizontal="center" vertical="center" wrapText="1"/>
    </xf>
    <xf numFmtId="0" fontId="45" fillId="8" borderId="229" xfId="6" applyFont="1" applyFill="1" applyBorder="1" applyAlignment="1">
      <alignment horizontal="center" vertical="center"/>
    </xf>
    <xf numFmtId="0" fontId="48" fillId="8" borderId="266" xfId="6" applyFont="1" applyFill="1" applyBorder="1" applyAlignment="1">
      <alignment horizontal="center" vertical="center"/>
    </xf>
    <xf numFmtId="0" fontId="48" fillId="8" borderId="267" xfId="6" applyFont="1" applyFill="1" applyBorder="1" applyAlignment="1">
      <alignment horizontal="center" vertical="center"/>
    </xf>
  </cellXfs>
  <cellStyles count="46">
    <cellStyle name="Lien hypertexte" xfId="17" builtinId="8"/>
    <cellStyle name="Lien hypertexte 2 2 2" xfId="36" xr:uid="{A64C549B-4A25-4784-81A4-86251143C1B3}"/>
    <cellStyle name="Lien hypertexte 2 2 3" xfId="35" xr:uid="{8FDAF15C-872A-4939-B584-ADD0C034989B}"/>
    <cellStyle name="Lien hypertexte 3 2 2" xfId="34" xr:uid="{29898FA6-C172-427D-9D50-E31BA8BADBBE}"/>
    <cellStyle name="Lien hypertexte 3 2 3" xfId="38" xr:uid="{F15C2201-E684-4D79-829D-937E7879BDD1}"/>
    <cellStyle name="Lien hypertexte 4 2" xfId="37" xr:uid="{ACCEDCFA-794C-43A4-B794-489217C97E30}"/>
    <cellStyle name="Lien hypertexte_Copie de cc2_festival_menus_gemrcn_2011" xfId="44" xr:uid="{ACCC2D67-0EDB-46E0-83E8-7E0F5ED6F022}"/>
    <cellStyle name="Lien hypertexte_PG Positionnement 2009 2" xfId="31" xr:uid="{C229A44F-6BCB-4D77-A3DB-059E5B40A527}"/>
    <cellStyle name="Normal" xfId="0" builtinId="0"/>
    <cellStyle name="Normal 10 2 2 2 2 3 2 3 2 2 4 2" xfId="3" xr:uid="{4F0482B0-9525-45E8-BA39-1703383B3CC6}"/>
    <cellStyle name="Normal 10 3 2 3 2" xfId="25" xr:uid="{E3EA9C3E-E1E5-4F59-9A09-4DF8239244C8}"/>
    <cellStyle name="Normal 11 2 3 2 3 2 2 4 2" xfId="4" xr:uid="{037A6596-580B-46A4-A804-4E531945EAED}"/>
    <cellStyle name="Normal 12 2" xfId="6" xr:uid="{7BA1AD76-1D9E-411A-A401-29DA3F04AB88}"/>
    <cellStyle name="Normal 2 2 2 2 2" xfId="1" xr:uid="{91DC355E-895E-4584-98F3-77CA86917AEA}"/>
    <cellStyle name="Normal 2 2 2 2 3" xfId="28" xr:uid="{F6D3B9E7-FAEE-42B1-94EF-EEBBF43DFF9B}"/>
    <cellStyle name="Normal 2 2 4" xfId="9" xr:uid="{1C1F6EA4-4BCF-4826-83F3-9FD0435E33D4}"/>
    <cellStyle name="Normal 2 2 5" xfId="27" xr:uid="{7DCECCD4-4F7C-4E05-BAEE-5697C92F1B41}"/>
    <cellStyle name="Normal 2 3" xfId="8" xr:uid="{478D4418-E952-42E3-A10B-B42DAA92EC71}"/>
    <cellStyle name="Normal 3 2" xfId="18" xr:uid="{FF133437-DB1D-4329-AF61-839B54DB9A4E}"/>
    <cellStyle name="Normal 3 3 2" xfId="30" xr:uid="{26C4BBBB-06CA-4FF1-AE14-8A4222E464FC}"/>
    <cellStyle name="Normal 4" xfId="45" xr:uid="{B621933F-E726-4AEE-8FE3-6A1A98C3DB29}"/>
    <cellStyle name="Normal 4 2 2 2 2 2 2 2 3 3 2" xfId="7" xr:uid="{6D06A39C-76DF-4ADC-8A86-1928272DC9EE}"/>
    <cellStyle name="Normal 4 2 2 2 2 2 2 2 4 3 6 2" xfId="11" xr:uid="{98AB1942-6F28-4501-BE54-602BB4D8E09E}"/>
    <cellStyle name="Normal 4 2 2 2 2 2 2 5 4 2 3 2 2 3 2 2 4 2" xfId="12" xr:uid="{AE822A74-2F75-4225-B73F-E50D207E5C89}"/>
    <cellStyle name="Normal 4 2 2 2 2 2 2 6 2 2 3 2 3 3 2 2 4 2" xfId="13" xr:uid="{7B2A2A80-6994-4670-BEC6-DE0D59A02101}"/>
    <cellStyle name="Normal 4 2 2 2 3 2 2 3 2 2" xfId="23" xr:uid="{CFFEB201-6DE7-4369-A0F1-C76462831F66}"/>
    <cellStyle name="Normal 4 2 4 2 2 4 2 2 2 2 3 2" xfId="10" xr:uid="{3A0E1854-5F2D-4CC1-BAFF-768FB97CB744}"/>
    <cellStyle name="Normal 4 2 5" xfId="22" xr:uid="{CBDAD130-9BFC-4CAB-A9A9-F0A5389EEAB4}"/>
    <cellStyle name="Normal 4 3 4 2 2 2" xfId="2" xr:uid="{A7092AC8-AC33-444F-A436-744B041704DF}"/>
    <cellStyle name="Normal 4 3 4 3 2" xfId="24" xr:uid="{D71AA164-697E-4F58-B1F5-7093F0BAD800}"/>
    <cellStyle name="Normal 9 2 2 2 3 3 2 2 2 2 4 2" xfId="26" xr:uid="{97E126EB-92D1-4569-AF30-9993619A07E1}"/>
    <cellStyle name="Normal_Bases Cuisine 2" xfId="15" xr:uid="{36D152CD-160D-402F-9AF3-0AD65B032BFE}"/>
    <cellStyle name="Normal_Bons de commande livraison" xfId="16" xr:uid="{1B683803-05F8-4814-8051-70BD0BE2D95B}"/>
    <cellStyle name="Normal_Comparer recettes 2009 OK 2 2" xfId="29" xr:uid="{BFA613B3-F982-45D2-83E4-0955401D52D9}"/>
    <cellStyle name="Normal_Conditionnement 3 décembre" xfId="39" xr:uid="{82A016D5-30BC-47EB-8BCD-8D522066F893}"/>
    <cellStyle name="Normal_Cuissons Températures portait16-11-2006" xfId="41" xr:uid="{463A5D0A-A87B-45D4-946F-7EE61C8FDD43}"/>
    <cellStyle name="Normal_EFECTIF1 2" xfId="40" xr:uid="{135FE042-0976-4560-AF5E-569764944D15}"/>
    <cellStyle name="Normal_Effectif Conditionnement Goulin" xfId="19" xr:uid="{18A659F5-28B7-4D14-9A36-654D9E24810C}"/>
    <cellStyle name="Normal_Fiche test plat ou produit 2" xfId="20" xr:uid="{8D391CF7-7062-4587-88E6-CFDE8256AD92}"/>
    <cellStyle name="Normal_Forum Marais 15 09 2001 2 2 2" xfId="5" xr:uid="{27B56DAE-4FDA-4D74-8D72-543136FD9812}"/>
    <cellStyle name="Normal_Forum Marais 15 09 2001_Fiche technique C2 Mars 2008 " xfId="33" xr:uid="{96F40FF2-445F-4D53-94DB-726F89CBB054}"/>
    <cellStyle name="Normal_FT Cuisson Evolutive" xfId="14" xr:uid="{3D1C54F4-FCB8-45E6-9431-FF2D476A2259}"/>
    <cellStyle name="Normal_GERMCN UPC brouillon" xfId="43" xr:uid="{34025A1E-69D6-42C3-BB34-A1F3D312031B}"/>
    <cellStyle name="Normal_Marché 2002 filtre automatique" xfId="42" xr:uid="{67F54A39-B9A2-4751-8148-276200B46A54}"/>
    <cellStyle name="Normal_Non conformité 2002 2" xfId="21" xr:uid="{94886064-E374-4520-B7BA-F021BD7AE6DB}"/>
    <cellStyle name="Normal_space" xfId="32" xr:uid="{39EDD626-6D15-43B5-90B2-4BB7DEEFB184}"/>
  </cellStyles>
  <dxfs count="117">
    <dxf>
      <font>
        <b/>
        <i val="0"/>
        <color theme="0"/>
      </font>
      <fill>
        <patternFill>
          <bgColor rgb="FF7030A0"/>
        </patternFill>
      </fill>
    </dxf>
    <dxf>
      <font>
        <b/>
        <i val="0"/>
        <color theme="0"/>
      </font>
      <fill>
        <patternFill>
          <bgColor rgb="FF7030A0"/>
        </patternFill>
      </fill>
    </dxf>
    <dxf>
      <font>
        <b/>
        <i val="0"/>
        <color theme="0"/>
      </font>
      <fill>
        <patternFill>
          <bgColor rgb="FF7030A0"/>
        </patternFill>
      </fill>
    </dxf>
    <dxf>
      <font>
        <b/>
        <i val="0"/>
        <color theme="0"/>
      </font>
      <fill>
        <patternFill>
          <bgColor rgb="FF7030A0"/>
        </patternFill>
      </fill>
    </dxf>
    <dxf>
      <font>
        <b/>
        <i val="0"/>
        <color theme="0"/>
      </font>
      <fill>
        <patternFill>
          <bgColor rgb="FF7030A0"/>
        </patternFill>
      </fill>
    </dxf>
    <dxf>
      <font>
        <b/>
        <i val="0"/>
        <color theme="0"/>
      </font>
      <fill>
        <patternFill>
          <bgColor rgb="FF7030A0"/>
        </patternFill>
      </fill>
    </dxf>
    <dxf>
      <font>
        <b/>
        <i val="0"/>
        <color theme="0"/>
      </font>
      <fill>
        <patternFill>
          <bgColor rgb="FF7030A0"/>
        </patternFill>
      </fill>
    </dxf>
    <dxf>
      <font>
        <b/>
        <i val="0"/>
        <color theme="0"/>
      </font>
      <fill>
        <patternFill>
          <bgColor rgb="FF7030A0"/>
        </patternFill>
      </fill>
    </dxf>
    <dxf>
      <font>
        <b/>
        <i val="0"/>
        <color theme="0"/>
      </font>
      <fill>
        <patternFill>
          <bgColor rgb="FF7030A0"/>
        </patternFill>
      </fill>
    </dxf>
    <dxf>
      <font>
        <b/>
        <i val="0"/>
        <color theme="0"/>
      </font>
      <fill>
        <patternFill>
          <bgColor rgb="FF7030A0"/>
        </patternFill>
      </fill>
    </dxf>
    <dxf>
      <font>
        <b/>
        <i val="0"/>
        <color theme="0"/>
      </font>
      <fill>
        <patternFill>
          <bgColor rgb="FF7030A0"/>
        </patternFill>
      </fill>
    </dxf>
    <dxf>
      <font>
        <b/>
        <i val="0"/>
        <color theme="0"/>
      </font>
      <fill>
        <patternFill>
          <bgColor rgb="FF7030A0"/>
        </patternFill>
      </fill>
    </dxf>
    <dxf>
      <font>
        <b/>
        <i val="0"/>
        <color theme="0"/>
      </font>
      <fill>
        <patternFill>
          <bgColor rgb="FF7030A0"/>
        </patternFill>
      </fill>
    </dxf>
    <dxf>
      <font>
        <b/>
        <i val="0"/>
        <color theme="0"/>
      </font>
      <fill>
        <patternFill>
          <bgColor rgb="FF7030A0"/>
        </patternFill>
      </fill>
    </dxf>
    <dxf>
      <font>
        <b/>
        <i val="0"/>
        <color theme="0"/>
      </font>
      <fill>
        <patternFill>
          <bgColor rgb="FF7030A0"/>
        </patternFill>
      </fill>
    </dxf>
    <dxf>
      <font>
        <b/>
        <i val="0"/>
        <color theme="0"/>
      </font>
      <fill>
        <patternFill>
          <bgColor rgb="FF7030A0"/>
        </patternFill>
      </fill>
    </dxf>
    <dxf>
      <font>
        <b/>
        <i val="0"/>
        <color theme="0"/>
      </font>
      <fill>
        <patternFill>
          <bgColor rgb="FF7030A0"/>
        </patternFill>
      </fill>
    </dxf>
    <dxf>
      <font>
        <b/>
        <i val="0"/>
        <color theme="0"/>
      </font>
      <fill>
        <patternFill>
          <bgColor rgb="FF7030A0"/>
        </patternFill>
      </fill>
    </dxf>
    <dxf>
      <font>
        <b/>
        <i val="0"/>
        <color theme="0"/>
      </font>
      <fill>
        <patternFill>
          <bgColor rgb="FF7030A0"/>
        </patternFill>
      </fill>
    </dxf>
    <dxf>
      <font>
        <b/>
        <i val="0"/>
        <color theme="0"/>
      </font>
      <fill>
        <patternFill>
          <bgColor rgb="FF7030A0"/>
        </patternFill>
      </fill>
    </dxf>
    <dxf>
      <font>
        <b/>
        <i val="0"/>
        <color theme="0"/>
      </font>
      <fill>
        <patternFill>
          <bgColor rgb="FF7030A0"/>
        </patternFill>
      </fill>
    </dxf>
    <dxf>
      <font>
        <color theme="9" tint="-0.499984740745262"/>
      </font>
      <fill>
        <patternFill>
          <bgColor theme="9" tint="0.79998168889431442"/>
        </patternFill>
      </fill>
    </dxf>
    <dxf>
      <font>
        <b/>
        <i val="0"/>
        <color theme="5" tint="-0.24994659260841701"/>
      </font>
      <fill>
        <patternFill>
          <bgColor theme="5" tint="0.79998168889431442"/>
        </patternFill>
      </fill>
    </dxf>
    <dxf>
      <font>
        <color theme="9" tint="-0.499984740745262"/>
      </font>
      <fill>
        <patternFill>
          <bgColor theme="9" tint="0.79998168889431442"/>
        </patternFill>
      </fill>
    </dxf>
    <dxf>
      <font>
        <b/>
        <i val="0"/>
        <color theme="5" tint="-0.24994659260841701"/>
      </font>
      <fill>
        <patternFill>
          <bgColor theme="5" tint="0.79998168889431442"/>
        </patternFill>
      </fill>
    </dxf>
    <dxf>
      <font>
        <color theme="9" tint="-0.499984740745262"/>
      </font>
      <fill>
        <patternFill>
          <bgColor theme="9" tint="0.79998168889431442"/>
        </patternFill>
      </fill>
    </dxf>
    <dxf>
      <font>
        <b/>
        <i val="0"/>
        <color theme="5" tint="-0.24994659260841701"/>
      </font>
      <fill>
        <patternFill>
          <bgColor theme="5" tint="0.79998168889431442"/>
        </patternFill>
      </fill>
    </dxf>
    <dxf>
      <font>
        <color theme="9" tint="-0.499984740745262"/>
      </font>
      <fill>
        <patternFill>
          <bgColor theme="9" tint="0.79998168889431442"/>
        </patternFill>
      </fill>
    </dxf>
    <dxf>
      <font>
        <b/>
        <i val="0"/>
        <color theme="5" tint="-0.24994659260841701"/>
      </font>
      <fill>
        <patternFill>
          <bgColor theme="5" tint="0.79998168889431442"/>
        </patternFill>
      </fill>
    </dxf>
    <dxf>
      <font>
        <color theme="9" tint="-0.499984740745262"/>
      </font>
      <fill>
        <patternFill>
          <bgColor theme="9" tint="0.79998168889431442"/>
        </patternFill>
      </fill>
    </dxf>
    <dxf>
      <font>
        <b/>
        <i val="0"/>
        <color theme="5" tint="-0.24994659260841701"/>
      </font>
      <fill>
        <patternFill>
          <bgColor theme="5" tint="0.79998168889431442"/>
        </patternFill>
      </fill>
    </dxf>
    <dxf>
      <font>
        <color theme="9" tint="-0.499984740745262"/>
      </font>
      <fill>
        <patternFill>
          <bgColor theme="9" tint="0.79998168889431442"/>
        </patternFill>
      </fill>
    </dxf>
    <dxf>
      <font>
        <b/>
        <i val="0"/>
        <color theme="5" tint="-0.24994659260841701"/>
      </font>
      <fill>
        <patternFill>
          <bgColor theme="5" tint="0.79998168889431442"/>
        </patternFill>
      </fill>
    </dxf>
    <dxf>
      <font>
        <color theme="9" tint="-0.499984740745262"/>
      </font>
      <fill>
        <patternFill>
          <bgColor theme="9" tint="0.79998168889431442"/>
        </patternFill>
      </fill>
    </dxf>
    <dxf>
      <font>
        <b/>
        <i val="0"/>
        <color theme="5" tint="-0.24994659260841701"/>
      </font>
      <fill>
        <patternFill>
          <bgColor theme="5" tint="0.79998168889431442"/>
        </patternFill>
      </fill>
    </dxf>
    <dxf>
      <font>
        <color theme="9" tint="-0.499984740745262"/>
      </font>
      <fill>
        <patternFill>
          <bgColor theme="9" tint="0.79998168889431442"/>
        </patternFill>
      </fill>
    </dxf>
    <dxf>
      <font>
        <b/>
        <i val="0"/>
        <color theme="5" tint="-0.24994659260841701"/>
      </font>
      <fill>
        <patternFill>
          <bgColor theme="5" tint="0.79998168889431442"/>
        </patternFill>
      </fill>
    </dxf>
    <dxf>
      <font>
        <color theme="9" tint="-0.499984740745262"/>
      </font>
      <fill>
        <patternFill>
          <bgColor theme="9" tint="0.79998168889431442"/>
        </patternFill>
      </fill>
    </dxf>
    <dxf>
      <font>
        <b/>
        <i val="0"/>
        <color theme="5" tint="-0.24994659260841701"/>
      </font>
      <fill>
        <patternFill>
          <bgColor theme="5" tint="0.79998168889431442"/>
        </patternFill>
      </fill>
    </dxf>
    <dxf>
      <font>
        <color theme="9" tint="-0.499984740745262"/>
      </font>
      <fill>
        <patternFill>
          <bgColor theme="9" tint="0.79998168889431442"/>
        </patternFill>
      </fill>
    </dxf>
    <dxf>
      <font>
        <b/>
        <i val="0"/>
        <color theme="5" tint="-0.24994659260841701"/>
      </font>
      <fill>
        <patternFill>
          <bgColor theme="5" tint="0.79998168889431442"/>
        </patternFill>
      </fill>
    </dxf>
    <dxf>
      <font>
        <b/>
        <i val="0"/>
        <color theme="0"/>
      </font>
      <fill>
        <patternFill>
          <bgColor rgb="FF7030A0"/>
        </patternFill>
      </fill>
    </dxf>
    <dxf>
      <font>
        <b/>
        <i val="0"/>
        <strike val="0"/>
        <color theme="0"/>
      </font>
      <numFmt numFmtId="0" formatCode="General"/>
      <fill>
        <patternFill>
          <bgColor rgb="FFC00000"/>
        </patternFill>
      </fill>
    </dxf>
    <dxf>
      <font>
        <b/>
        <i val="0"/>
        <strike val="0"/>
        <color theme="0"/>
      </font>
      <numFmt numFmtId="0" formatCode="General"/>
      <fill>
        <patternFill>
          <bgColor rgb="FFC00000"/>
        </patternFill>
      </fill>
    </dxf>
    <dxf>
      <font>
        <b/>
        <i val="0"/>
        <strike val="0"/>
        <color theme="0"/>
      </font>
      <numFmt numFmtId="0" formatCode="General"/>
      <fill>
        <patternFill>
          <bgColor rgb="FFC00000"/>
        </patternFill>
      </fill>
    </dxf>
    <dxf>
      <font>
        <b/>
        <i val="0"/>
        <strike val="0"/>
        <color theme="0"/>
      </font>
      <numFmt numFmtId="0" formatCode="General"/>
      <fill>
        <patternFill>
          <bgColor rgb="FFC00000"/>
        </patternFill>
      </fill>
    </dxf>
    <dxf>
      <font>
        <b/>
        <i val="0"/>
        <strike val="0"/>
        <color theme="0"/>
      </font>
      <numFmt numFmtId="0" formatCode="General"/>
      <fill>
        <patternFill>
          <bgColor rgb="FFC00000"/>
        </patternFill>
      </fill>
    </dxf>
    <dxf>
      <font>
        <b/>
        <i val="0"/>
        <strike val="0"/>
        <color theme="0"/>
      </font>
      <numFmt numFmtId="0" formatCode="General"/>
      <fill>
        <patternFill>
          <bgColor rgb="FFC00000"/>
        </patternFill>
      </fill>
    </dxf>
    <dxf>
      <font>
        <b/>
        <i val="0"/>
        <strike val="0"/>
        <color theme="0"/>
      </font>
      <numFmt numFmtId="0" formatCode="General"/>
      <fill>
        <patternFill>
          <bgColor rgb="FFC00000"/>
        </patternFill>
      </fill>
    </dxf>
    <dxf>
      <font>
        <b/>
        <i val="0"/>
        <strike val="0"/>
        <color theme="0"/>
      </font>
      <numFmt numFmtId="0" formatCode="General"/>
      <fill>
        <patternFill>
          <bgColor rgb="FFC00000"/>
        </patternFill>
      </fill>
    </dxf>
    <dxf>
      <font>
        <b/>
        <i val="0"/>
        <strike val="0"/>
        <color theme="0"/>
      </font>
      <numFmt numFmtId="0" formatCode="General"/>
      <fill>
        <patternFill>
          <bgColor rgb="FFC00000"/>
        </patternFill>
      </fill>
    </dxf>
    <dxf>
      <font>
        <b/>
        <i val="0"/>
        <strike val="0"/>
        <color theme="0"/>
      </font>
      <numFmt numFmtId="0" formatCode="General"/>
      <fill>
        <patternFill>
          <bgColor rgb="FFC00000"/>
        </patternFill>
      </fill>
    </dxf>
    <dxf>
      <font>
        <b/>
        <i val="0"/>
        <strike val="0"/>
        <color theme="0"/>
      </font>
      <numFmt numFmtId="0" formatCode="General"/>
      <fill>
        <patternFill>
          <bgColor rgb="FFC00000"/>
        </patternFill>
      </fill>
    </dxf>
    <dxf>
      <font>
        <b/>
        <i val="0"/>
        <strike val="0"/>
        <color theme="0"/>
      </font>
      <numFmt numFmtId="0" formatCode="General"/>
      <fill>
        <patternFill>
          <bgColor rgb="FFC00000"/>
        </patternFill>
      </fill>
    </dxf>
    <dxf>
      <font>
        <b/>
        <i val="0"/>
        <strike val="0"/>
        <color theme="0"/>
      </font>
      <numFmt numFmtId="0" formatCode="General"/>
      <fill>
        <patternFill>
          <bgColor rgb="FFC00000"/>
        </patternFill>
      </fill>
    </dxf>
    <dxf>
      <font>
        <b/>
        <i val="0"/>
        <strike val="0"/>
        <color theme="0"/>
      </font>
      <numFmt numFmtId="0" formatCode="General"/>
      <fill>
        <patternFill>
          <bgColor rgb="FFC00000"/>
        </patternFill>
      </fill>
    </dxf>
    <dxf>
      <font>
        <b/>
        <i val="0"/>
        <strike val="0"/>
        <color theme="0"/>
      </font>
      <numFmt numFmtId="0" formatCode="General"/>
      <fill>
        <patternFill>
          <bgColor rgb="FFC00000"/>
        </patternFill>
      </fill>
    </dxf>
    <dxf>
      <font>
        <b/>
        <i val="0"/>
        <strike val="0"/>
        <color theme="0"/>
      </font>
      <numFmt numFmtId="0" formatCode="General"/>
      <fill>
        <patternFill>
          <bgColor rgb="FFC00000"/>
        </patternFill>
      </fill>
    </dxf>
    <dxf>
      <font>
        <b/>
        <i val="0"/>
        <strike val="0"/>
        <color theme="0"/>
      </font>
      <numFmt numFmtId="0" formatCode="General"/>
      <fill>
        <patternFill>
          <bgColor rgb="FFC00000"/>
        </patternFill>
      </fill>
    </dxf>
    <dxf>
      <font>
        <b/>
        <i val="0"/>
        <strike val="0"/>
        <color theme="0"/>
      </font>
      <numFmt numFmtId="0" formatCode="General"/>
      <fill>
        <patternFill>
          <bgColor rgb="FFC00000"/>
        </patternFill>
      </fill>
    </dxf>
    <dxf>
      <font>
        <b/>
        <i val="0"/>
        <strike val="0"/>
        <color theme="0"/>
      </font>
      <numFmt numFmtId="0" formatCode="General"/>
      <fill>
        <patternFill>
          <bgColor rgb="FFC00000"/>
        </patternFill>
      </fill>
    </dxf>
    <dxf>
      <font>
        <b/>
        <i val="0"/>
        <strike val="0"/>
        <color theme="0"/>
      </font>
      <numFmt numFmtId="0" formatCode="General"/>
      <fill>
        <patternFill>
          <bgColor rgb="FFC00000"/>
        </patternFill>
      </fill>
    </dxf>
    <dxf>
      <font>
        <b/>
        <i val="0"/>
        <strike val="0"/>
        <color theme="0"/>
      </font>
      <numFmt numFmtId="0" formatCode="General"/>
      <fill>
        <patternFill>
          <bgColor rgb="FFC00000"/>
        </patternFill>
      </fill>
    </dxf>
    <dxf>
      <font>
        <b/>
        <i val="0"/>
        <strike val="0"/>
        <color theme="0"/>
      </font>
      <numFmt numFmtId="0" formatCode="General"/>
      <fill>
        <patternFill>
          <bgColor rgb="FFC00000"/>
        </patternFill>
      </fill>
    </dxf>
    <dxf>
      <font>
        <b/>
        <i val="0"/>
        <strike val="0"/>
        <color theme="0"/>
      </font>
      <numFmt numFmtId="0" formatCode="General"/>
      <fill>
        <patternFill>
          <bgColor rgb="FFC00000"/>
        </patternFill>
      </fill>
    </dxf>
    <dxf>
      <font>
        <b/>
        <i val="0"/>
        <strike val="0"/>
        <color theme="0"/>
      </font>
      <numFmt numFmtId="0" formatCode="General"/>
      <fill>
        <patternFill>
          <bgColor rgb="FFC00000"/>
        </patternFill>
      </fill>
    </dxf>
    <dxf>
      <font>
        <b/>
        <i val="0"/>
        <strike val="0"/>
        <color theme="0"/>
      </font>
      <numFmt numFmtId="0" formatCode="General"/>
      <fill>
        <patternFill>
          <bgColor rgb="FFC00000"/>
        </patternFill>
      </fill>
    </dxf>
    <dxf>
      <font>
        <b/>
        <i val="0"/>
        <strike val="0"/>
        <color theme="0"/>
      </font>
      <numFmt numFmtId="0" formatCode="General"/>
      <fill>
        <patternFill>
          <bgColor rgb="FFC00000"/>
        </patternFill>
      </fill>
    </dxf>
    <dxf>
      <font>
        <b/>
        <i val="0"/>
        <strike val="0"/>
        <color theme="0"/>
      </font>
      <numFmt numFmtId="0" formatCode="General"/>
      <fill>
        <patternFill>
          <bgColor rgb="FFC00000"/>
        </patternFill>
      </fill>
    </dxf>
    <dxf>
      <font>
        <b/>
        <i val="0"/>
        <strike val="0"/>
        <color theme="0"/>
      </font>
      <numFmt numFmtId="0" formatCode="General"/>
      <fill>
        <patternFill>
          <bgColor rgb="FFC00000"/>
        </patternFill>
      </fill>
    </dxf>
    <dxf>
      <font>
        <b/>
        <i val="0"/>
        <strike val="0"/>
        <color theme="0"/>
      </font>
      <numFmt numFmtId="0" formatCode="General"/>
      <fill>
        <patternFill>
          <bgColor rgb="FFC00000"/>
        </patternFill>
      </fill>
    </dxf>
    <dxf>
      <font>
        <b/>
        <i val="0"/>
        <strike val="0"/>
        <color theme="0"/>
      </font>
      <numFmt numFmtId="0" formatCode="General"/>
      <fill>
        <patternFill>
          <bgColor rgb="FFC00000"/>
        </patternFill>
      </fill>
    </dxf>
    <dxf>
      <font>
        <b/>
        <i val="0"/>
        <strike val="0"/>
        <color theme="0"/>
      </font>
      <numFmt numFmtId="0" formatCode="General"/>
      <fill>
        <patternFill>
          <bgColor rgb="FFC00000"/>
        </patternFill>
      </fill>
    </dxf>
    <dxf>
      <font>
        <b/>
        <i val="0"/>
        <strike val="0"/>
        <color theme="0"/>
      </font>
      <numFmt numFmtId="0" formatCode="General"/>
      <fill>
        <patternFill>
          <bgColor rgb="FFC00000"/>
        </patternFill>
      </fill>
    </dxf>
    <dxf>
      <font>
        <b/>
        <i val="0"/>
        <strike val="0"/>
        <color theme="0"/>
      </font>
      <numFmt numFmtId="0" formatCode="General"/>
      <fill>
        <patternFill>
          <bgColor rgb="FFC00000"/>
        </patternFill>
      </fill>
    </dxf>
    <dxf>
      <font>
        <b/>
        <i val="0"/>
        <strike val="0"/>
        <color theme="0"/>
      </font>
      <numFmt numFmtId="0" formatCode="General"/>
      <fill>
        <patternFill>
          <bgColor rgb="FFC00000"/>
        </patternFill>
      </fill>
    </dxf>
    <dxf>
      <font>
        <b/>
        <i val="0"/>
        <strike val="0"/>
        <color theme="0"/>
      </font>
      <numFmt numFmtId="0" formatCode="General"/>
      <fill>
        <patternFill>
          <bgColor rgb="FFC00000"/>
        </patternFill>
      </fill>
    </dxf>
    <dxf>
      <font>
        <b/>
        <i val="0"/>
        <strike val="0"/>
        <color theme="0"/>
      </font>
      <numFmt numFmtId="0" formatCode="General"/>
      <fill>
        <patternFill>
          <bgColor rgb="FFC00000"/>
        </patternFill>
      </fill>
    </dxf>
    <dxf>
      <font>
        <b/>
        <i val="0"/>
        <strike val="0"/>
        <color theme="0"/>
      </font>
      <numFmt numFmtId="0" formatCode="General"/>
      <fill>
        <patternFill>
          <bgColor rgb="FFC00000"/>
        </patternFill>
      </fill>
    </dxf>
    <dxf>
      <font>
        <b/>
        <i val="0"/>
        <strike val="0"/>
        <color theme="0"/>
      </font>
      <numFmt numFmtId="0" formatCode="General"/>
      <fill>
        <patternFill>
          <bgColor rgb="FFC00000"/>
        </patternFill>
      </fill>
    </dxf>
    <dxf>
      <font>
        <b/>
        <i val="0"/>
        <strike val="0"/>
        <color theme="0"/>
      </font>
      <numFmt numFmtId="0" formatCode="General"/>
      <fill>
        <patternFill>
          <bgColor rgb="FFC00000"/>
        </patternFill>
      </fill>
    </dxf>
    <dxf>
      <font>
        <b/>
        <i val="0"/>
        <strike val="0"/>
        <color theme="0"/>
      </font>
      <numFmt numFmtId="0" formatCode="General"/>
      <fill>
        <patternFill>
          <bgColor rgb="FFC00000"/>
        </patternFill>
      </fill>
    </dxf>
    <dxf>
      <font>
        <b/>
        <i val="0"/>
        <strike val="0"/>
        <color theme="0"/>
      </font>
      <numFmt numFmtId="0" formatCode="General"/>
      <fill>
        <patternFill>
          <bgColor rgb="FFC00000"/>
        </patternFill>
      </fill>
    </dxf>
    <dxf>
      <font>
        <b/>
        <i val="0"/>
        <strike val="0"/>
        <color theme="0"/>
      </font>
      <numFmt numFmtId="0" formatCode="General"/>
      <fill>
        <patternFill>
          <bgColor rgb="FFC00000"/>
        </patternFill>
      </fill>
    </dxf>
    <dxf>
      <font>
        <b/>
        <i val="0"/>
        <strike val="0"/>
        <color theme="0"/>
      </font>
      <numFmt numFmtId="0" formatCode="General"/>
      <fill>
        <patternFill>
          <bgColor rgb="FFC00000"/>
        </patternFill>
      </fill>
    </dxf>
    <dxf>
      <font>
        <b/>
        <i val="0"/>
        <strike val="0"/>
        <color theme="0"/>
      </font>
      <numFmt numFmtId="0" formatCode="General"/>
      <fill>
        <patternFill>
          <bgColor rgb="FFC00000"/>
        </patternFill>
      </fill>
    </dxf>
    <dxf>
      <font>
        <b/>
        <i val="0"/>
        <strike val="0"/>
        <color theme="0"/>
      </font>
      <numFmt numFmtId="0" formatCode="General"/>
      <fill>
        <patternFill>
          <bgColor rgb="FFC00000"/>
        </patternFill>
      </fill>
    </dxf>
    <dxf>
      <font>
        <b/>
        <i val="0"/>
        <strike val="0"/>
        <color theme="0"/>
      </font>
      <numFmt numFmtId="0" formatCode="General"/>
      <fill>
        <patternFill>
          <bgColor rgb="FFC00000"/>
        </patternFill>
      </fill>
    </dxf>
    <dxf>
      <font>
        <b/>
        <i val="0"/>
        <strike val="0"/>
        <color theme="0"/>
      </font>
      <numFmt numFmtId="0" formatCode="General"/>
      <fill>
        <patternFill>
          <bgColor rgb="FFC00000"/>
        </patternFill>
      </fill>
    </dxf>
    <dxf>
      <font>
        <b/>
        <i val="0"/>
        <strike val="0"/>
        <color theme="0"/>
      </font>
      <numFmt numFmtId="0" formatCode="General"/>
      <fill>
        <patternFill>
          <bgColor rgb="FFC00000"/>
        </patternFill>
      </fill>
    </dxf>
    <dxf>
      <font>
        <b/>
        <i val="0"/>
        <strike val="0"/>
        <color theme="0"/>
      </font>
      <numFmt numFmtId="0" formatCode="General"/>
      <fill>
        <patternFill>
          <bgColor rgb="FFC00000"/>
        </patternFill>
      </fill>
    </dxf>
    <dxf>
      <font>
        <b/>
        <i val="0"/>
        <strike val="0"/>
        <color theme="0"/>
      </font>
      <numFmt numFmtId="0" formatCode="General"/>
      <fill>
        <patternFill>
          <bgColor rgb="FFC00000"/>
        </patternFill>
      </fill>
    </dxf>
    <dxf>
      <font>
        <b/>
        <i val="0"/>
        <strike val="0"/>
        <color theme="0"/>
      </font>
      <numFmt numFmtId="0" formatCode="General"/>
      <fill>
        <patternFill>
          <bgColor rgb="FFC00000"/>
        </patternFill>
      </fill>
    </dxf>
    <dxf>
      <font>
        <b/>
        <i val="0"/>
        <strike val="0"/>
        <color theme="0"/>
      </font>
      <numFmt numFmtId="0" formatCode="General"/>
      <fill>
        <patternFill>
          <bgColor rgb="FFC00000"/>
        </patternFill>
      </fill>
    </dxf>
    <dxf>
      <font>
        <b/>
        <i val="0"/>
        <strike val="0"/>
        <color theme="0"/>
      </font>
      <numFmt numFmtId="0" formatCode="General"/>
      <fill>
        <patternFill>
          <bgColor rgb="FFC00000"/>
        </patternFill>
      </fill>
    </dxf>
    <dxf>
      <font>
        <b/>
        <i val="0"/>
        <strike val="0"/>
        <color theme="0"/>
      </font>
      <numFmt numFmtId="0" formatCode="General"/>
      <fill>
        <patternFill>
          <bgColor rgb="FFC00000"/>
        </patternFill>
      </fill>
    </dxf>
    <dxf>
      <font>
        <b/>
        <i val="0"/>
        <strike val="0"/>
        <color theme="0"/>
      </font>
      <numFmt numFmtId="0" formatCode="General"/>
      <fill>
        <patternFill>
          <bgColor rgb="FFC00000"/>
        </patternFill>
      </fill>
    </dxf>
    <dxf>
      <font>
        <b/>
        <i val="0"/>
        <strike val="0"/>
        <color theme="0"/>
      </font>
      <numFmt numFmtId="0" formatCode="General"/>
      <fill>
        <patternFill>
          <bgColor rgb="FFC00000"/>
        </patternFill>
      </fill>
    </dxf>
    <dxf>
      <font>
        <b/>
        <i val="0"/>
        <strike val="0"/>
        <color theme="0"/>
      </font>
      <numFmt numFmtId="0" formatCode="General"/>
      <fill>
        <patternFill>
          <bgColor rgb="FFC00000"/>
        </patternFill>
      </fill>
    </dxf>
    <dxf>
      <font>
        <b/>
        <i val="0"/>
        <strike val="0"/>
        <color theme="0"/>
      </font>
      <numFmt numFmtId="0" formatCode="General"/>
      <fill>
        <patternFill>
          <bgColor rgb="FFC00000"/>
        </patternFill>
      </fill>
    </dxf>
    <dxf>
      <font>
        <b/>
        <i val="0"/>
        <strike val="0"/>
        <color theme="0"/>
      </font>
      <numFmt numFmtId="0" formatCode="General"/>
      <fill>
        <patternFill>
          <bgColor rgb="FFC00000"/>
        </patternFill>
      </fill>
    </dxf>
    <dxf>
      <font>
        <b/>
        <i val="0"/>
        <strike val="0"/>
        <color theme="0"/>
      </font>
      <numFmt numFmtId="0" formatCode="General"/>
      <fill>
        <patternFill>
          <bgColor rgb="FFC00000"/>
        </patternFill>
      </fill>
    </dxf>
    <dxf>
      <font>
        <b/>
        <i val="0"/>
        <strike val="0"/>
        <color theme="0"/>
      </font>
      <numFmt numFmtId="0" formatCode="General"/>
      <fill>
        <patternFill>
          <bgColor rgb="FFC00000"/>
        </patternFill>
      </fill>
    </dxf>
    <dxf>
      <font>
        <b/>
        <i val="0"/>
        <strike val="0"/>
        <color theme="0"/>
      </font>
      <numFmt numFmtId="0" formatCode="General"/>
      <fill>
        <patternFill>
          <bgColor rgb="FFC00000"/>
        </patternFill>
      </fill>
    </dxf>
    <dxf>
      <font>
        <b/>
        <i val="0"/>
        <strike val="0"/>
        <color theme="0"/>
      </font>
      <numFmt numFmtId="0" formatCode="General"/>
      <fill>
        <patternFill>
          <bgColor rgb="FFC00000"/>
        </patternFill>
      </fill>
    </dxf>
    <dxf>
      <font>
        <b/>
        <i val="0"/>
        <strike val="0"/>
        <color theme="0"/>
      </font>
      <numFmt numFmtId="0" formatCode="General"/>
      <fill>
        <patternFill>
          <bgColor rgb="FFC00000"/>
        </patternFill>
      </fill>
    </dxf>
    <dxf>
      <font>
        <b/>
        <i val="0"/>
        <strike val="0"/>
        <color theme="0"/>
      </font>
      <numFmt numFmtId="0" formatCode="General"/>
      <fill>
        <patternFill>
          <bgColor rgb="FFC00000"/>
        </patternFill>
      </fill>
    </dxf>
    <dxf>
      <font>
        <b/>
        <i val="0"/>
        <strike val="0"/>
        <color theme="0"/>
      </font>
      <numFmt numFmtId="0" formatCode="General"/>
      <fill>
        <patternFill>
          <bgColor rgb="FFC00000"/>
        </patternFill>
      </fill>
    </dxf>
    <dxf>
      <font>
        <b/>
        <i val="0"/>
        <strike val="0"/>
        <color theme="0"/>
      </font>
      <numFmt numFmtId="0" formatCode="General"/>
      <fill>
        <patternFill>
          <bgColor rgb="FFC00000"/>
        </patternFill>
      </fill>
    </dxf>
    <dxf>
      <font>
        <b/>
        <i val="0"/>
        <strike val="0"/>
        <color theme="0"/>
      </font>
      <numFmt numFmtId="0" formatCode="General"/>
      <fill>
        <patternFill>
          <bgColor rgb="FFC00000"/>
        </patternFill>
      </fill>
    </dxf>
    <dxf>
      <font>
        <b/>
        <i val="0"/>
        <strike val="0"/>
        <color theme="0"/>
      </font>
      <numFmt numFmtId="0" formatCode="General"/>
      <fill>
        <patternFill>
          <bgColor rgb="FFC00000"/>
        </patternFill>
      </fill>
    </dxf>
    <dxf>
      <font>
        <b/>
        <i val="0"/>
        <strike val="0"/>
        <color theme="0"/>
      </font>
      <numFmt numFmtId="0" formatCode="General"/>
      <fill>
        <patternFill>
          <bgColor rgb="FFC00000"/>
        </patternFill>
      </fill>
    </dxf>
    <dxf>
      <font>
        <b/>
        <i val="0"/>
        <strike val="0"/>
        <color theme="0"/>
      </font>
      <numFmt numFmtId="0" formatCode="General"/>
      <fill>
        <patternFill>
          <bgColor rgb="FFC00000"/>
        </patternFill>
      </fill>
    </dxf>
    <dxf>
      <font>
        <b/>
        <i val="0"/>
        <strike val="0"/>
        <color theme="0"/>
      </font>
      <numFmt numFmtId="0" formatCode="General"/>
      <fill>
        <patternFill>
          <bgColor rgb="FFC00000"/>
        </patternFill>
      </fill>
    </dxf>
    <dxf>
      <font>
        <b/>
        <i val="0"/>
        <strike val="0"/>
        <color theme="0"/>
      </font>
      <numFmt numFmtId="0" formatCode="General"/>
      <fill>
        <patternFill>
          <bgColor rgb="FFC00000"/>
        </patternFill>
      </fill>
    </dxf>
    <dxf>
      <font>
        <b/>
        <i val="0"/>
        <strike val="0"/>
        <color theme="0"/>
      </font>
      <numFmt numFmtId="0" formatCode="General"/>
      <fill>
        <patternFill>
          <bgColor rgb="FFC00000"/>
        </patternFill>
      </fill>
    </dxf>
    <dxf>
      <font>
        <b/>
        <i val="0"/>
        <strike val="0"/>
        <color theme="0"/>
      </font>
      <numFmt numFmtId="0" formatCode="General"/>
      <fill>
        <patternFill>
          <bgColor rgb="FFC00000"/>
        </patternFill>
      </fill>
    </dxf>
  </dxfs>
  <tableStyles count="0" defaultTableStyle="TableStyleMedium2" defaultPivotStyle="PivotStyleLight16"/>
  <colors>
    <mruColors>
      <color rgb="FF0000FF"/>
      <color rgb="FFFFFFA7"/>
      <color rgb="FF99CC00"/>
      <color rgb="FF0033CC"/>
      <color rgb="FF9933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eetMetadata" Target="metadata.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png"/><Relationship Id="rId16" Type="http://schemas.openxmlformats.org/officeDocument/2006/relationships/image" Target="../media/image16.png"/><Relationship Id="rId1" Type="http://schemas.openxmlformats.org/officeDocument/2006/relationships/image" Target="../media/image1.emf"/><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5" Type="http://schemas.openxmlformats.org/officeDocument/2006/relationships/image" Target="../media/image1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5.png"/><Relationship Id="rId1" Type="http://schemas.openxmlformats.org/officeDocument/2006/relationships/image" Target="../media/image22.png"/></Relationships>
</file>

<file path=xl/drawings/_rels/drawing11.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7.png"/><Relationship Id="rId1" Type="http://schemas.openxmlformats.org/officeDocument/2006/relationships/image" Target="../media/image13.png"/></Relationships>
</file>

<file path=xl/drawings/_rels/drawing13.xml.rels><?xml version="1.0" encoding="UTF-8" standalone="yes"?>
<Relationships xmlns="http://schemas.openxmlformats.org/package/2006/relationships"><Relationship Id="rId8" Type="http://schemas.openxmlformats.org/officeDocument/2006/relationships/image" Target="../media/image18.png"/><Relationship Id="rId3" Type="http://schemas.openxmlformats.org/officeDocument/2006/relationships/image" Target="../media/image36.png"/><Relationship Id="rId7" Type="http://schemas.openxmlformats.org/officeDocument/2006/relationships/image" Target="../media/image17.png"/><Relationship Id="rId2" Type="http://schemas.openxmlformats.org/officeDocument/2006/relationships/image" Target="../media/image35.png"/><Relationship Id="rId1" Type="http://schemas.openxmlformats.org/officeDocument/2006/relationships/image" Target="../media/image34.png"/><Relationship Id="rId6" Type="http://schemas.openxmlformats.org/officeDocument/2006/relationships/image" Target="../media/image13.png"/><Relationship Id="rId5" Type="http://schemas.openxmlformats.org/officeDocument/2006/relationships/image" Target="../media/image38.png"/><Relationship Id="rId4" Type="http://schemas.openxmlformats.org/officeDocument/2006/relationships/image" Target="../media/image37.png"/></Relationships>
</file>

<file path=xl/drawings/_rels/drawing14.xml.rels><?xml version="1.0" encoding="UTF-8" standalone="yes"?>
<Relationships xmlns="http://schemas.openxmlformats.org/package/2006/relationships"><Relationship Id="rId3" Type="http://schemas.openxmlformats.org/officeDocument/2006/relationships/image" Target="../media/image41.png"/><Relationship Id="rId2" Type="http://schemas.openxmlformats.org/officeDocument/2006/relationships/image" Target="../media/image40.png"/><Relationship Id="rId1" Type="http://schemas.openxmlformats.org/officeDocument/2006/relationships/image" Target="../media/image39.png"/><Relationship Id="rId4" Type="http://schemas.openxmlformats.org/officeDocument/2006/relationships/image" Target="../media/image42.png"/></Relationships>
</file>

<file path=xl/drawings/_rels/drawing15.xml.rels><?xml version="1.0" encoding="UTF-8" standalone="yes"?>
<Relationships xmlns="http://schemas.openxmlformats.org/package/2006/relationships"><Relationship Id="rId2" Type="http://schemas.openxmlformats.org/officeDocument/2006/relationships/image" Target="../media/image44.png"/><Relationship Id="rId1" Type="http://schemas.openxmlformats.org/officeDocument/2006/relationships/image" Target="../media/image43.png"/></Relationships>
</file>

<file path=xl/drawings/_rels/drawing16.xml.rels><?xml version="1.0" encoding="UTF-8" standalone="yes"?>
<Relationships xmlns="http://schemas.openxmlformats.org/package/2006/relationships"><Relationship Id="rId2" Type="http://schemas.openxmlformats.org/officeDocument/2006/relationships/image" Target="../media/image46.png"/><Relationship Id="rId1" Type="http://schemas.openxmlformats.org/officeDocument/2006/relationships/image" Target="../media/image45.jpeg"/></Relationships>
</file>

<file path=xl/drawings/_rels/drawing2.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1.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7.png"/><Relationship Id="rId2" Type="http://schemas.openxmlformats.org/officeDocument/2006/relationships/image" Target="../media/image2.png"/><Relationship Id="rId16" Type="http://schemas.openxmlformats.org/officeDocument/2006/relationships/image" Target="../media/image16.png"/><Relationship Id="rId1" Type="http://schemas.openxmlformats.org/officeDocument/2006/relationships/image" Target="../media/image1.emf"/><Relationship Id="rId6" Type="http://schemas.openxmlformats.org/officeDocument/2006/relationships/image" Target="../media/image6.png"/><Relationship Id="rId11" Type="http://schemas.openxmlformats.org/officeDocument/2006/relationships/image" Target="../media/image12.png"/><Relationship Id="rId5" Type="http://schemas.openxmlformats.org/officeDocument/2006/relationships/image" Target="../media/image5.png"/><Relationship Id="rId15" Type="http://schemas.openxmlformats.org/officeDocument/2006/relationships/image" Target="../media/image1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s>
</file>

<file path=xl/drawings/_rels/drawing3.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8.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png"/><Relationship Id="rId16" Type="http://schemas.openxmlformats.org/officeDocument/2006/relationships/image" Target="../media/image16.png"/><Relationship Id="rId1" Type="http://schemas.openxmlformats.org/officeDocument/2006/relationships/image" Target="../media/image1.emf"/><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5" Type="http://schemas.openxmlformats.org/officeDocument/2006/relationships/image" Target="../media/image1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s>
</file>

<file path=xl/drawings/_rels/drawing4.xml.rels><?xml version="1.0" encoding="UTF-8" standalone="yes"?>
<Relationships xmlns="http://schemas.openxmlformats.org/package/2006/relationships"><Relationship Id="rId3" Type="http://schemas.openxmlformats.org/officeDocument/2006/relationships/image" Target="../media/image17.png"/><Relationship Id="rId2" Type="http://schemas.openxmlformats.org/officeDocument/2006/relationships/image" Target="../media/image13.png"/><Relationship Id="rId1" Type="http://schemas.openxmlformats.org/officeDocument/2006/relationships/image" Target="../media/image19.png"/><Relationship Id="rId4" Type="http://schemas.openxmlformats.org/officeDocument/2006/relationships/image" Target="../media/image20.png"/></Relationships>
</file>

<file path=xl/drawings/_rels/drawing5.xml.rels><?xml version="1.0" encoding="UTF-8" standalone="yes"?>
<Relationships xmlns="http://schemas.openxmlformats.org/package/2006/relationships"><Relationship Id="rId8" Type="http://schemas.openxmlformats.org/officeDocument/2006/relationships/image" Target="../media/image25.png"/><Relationship Id="rId3" Type="http://schemas.openxmlformats.org/officeDocument/2006/relationships/image" Target="../media/image17.png"/><Relationship Id="rId7" Type="http://schemas.openxmlformats.org/officeDocument/2006/relationships/image" Target="../media/image24.png"/><Relationship Id="rId12" Type="http://schemas.openxmlformats.org/officeDocument/2006/relationships/image" Target="../media/image29.png"/><Relationship Id="rId2" Type="http://schemas.openxmlformats.org/officeDocument/2006/relationships/image" Target="../media/image18.png"/><Relationship Id="rId1" Type="http://schemas.openxmlformats.org/officeDocument/2006/relationships/image" Target="../media/image13.png"/><Relationship Id="rId6" Type="http://schemas.openxmlformats.org/officeDocument/2006/relationships/image" Target="../media/image23.png"/><Relationship Id="rId11" Type="http://schemas.openxmlformats.org/officeDocument/2006/relationships/image" Target="../media/image28.png"/><Relationship Id="rId5" Type="http://schemas.openxmlformats.org/officeDocument/2006/relationships/image" Target="../media/image22.png"/><Relationship Id="rId10" Type="http://schemas.openxmlformats.org/officeDocument/2006/relationships/image" Target="../media/image27.png"/><Relationship Id="rId4" Type="http://schemas.openxmlformats.org/officeDocument/2006/relationships/image" Target="../media/image21.png"/><Relationship Id="rId9" Type="http://schemas.openxmlformats.org/officeDocument/2006/relationships/image" Target="../media/image26.png"/></Relationships>
</file>

<file path=xl/drawings/_rels/drawing6.xml.rels><?xml version="1.0" encoding="UTF-8" standalone="yes"?>
<Relationships xmlns="http://schemas.openxmlformats.org/package/2006/relationships"><Relationship Id="rId8" Type="http://schemas.openxmlformats.org/officeDocument/2006/relationships/image" Target="../media/image31.png"/><Relationship Id="rId13" Type="http://schemas.openxmlformats.org/officeDocument/2006/relationships/image" Target="../media/image24.png"/><Relationship Id="rId3" Type="http://schemas.openxmlformats.org/officeDocument/2006/relationships/image" Target="../media/image20.png"/><Relationship Id="rId7" Type="http://schemas.openxmlformats.org/officeDocument/2006/relationships/image" Target="../media/image16.png"/><Relationship Id="rId12" Type="http://schemas.openxmlformats.org/officeDocument/2006/relationships/image" Target="../media/image23.png"/><Relationship Id="rId2" Type="http://schemas.openxmlformats.org/officeDocument/2006/relationships/image" Target="../media/image17.png"/><Relationship Id="rId1" Type="http://schemas.openxmlformats.org/officeDocument/2006/relationships/image" Target="../media/image13.png"/><Relationship Id="rId6" Type="http://schemas.openxmlformats.org/officeDocument/2006/relationships/image" Target="../media/image15.png"/><Relationship Id="rId11" Type="http://schemas.openxmlformats.org/officeDocument/2006/relationships/image" Target="../media/image21.png"/><Relationship Id="rId5" Type="http://schemas.openxmlformats.org/officeDocument/2006/relationships/image" Target="../media/image14.png"/><Relationship Id="rId10" Type="http://schemas.openxmlformats.org/officeDocument/2006/relationships/image" Target="../media/image25.png"/><Relationship Id="rId4" Type="http://schemas.openxmlformats.org/officeDocument/2006/relationships/image" Target="../media/image30.png"/><Relationship Id="rId9" Type="http://schemas.openxmlformats.org/officeDocument/2006/relationships/image" Target="../media/image22.png"/><Relationship Id="rId14" Type="http://schemas.openxmlformats.org/officeDocument/2006/relationships/image" Target="../media/image27.png"/></Relationships>
</file>

<file path=xl/drawings/_rels/drawing7.xml.rels><?xml version="1.0" encoding="UTF-8" standalone="yes"?>
<Relationships xmlns="http://schemas.openxmlformats.org/package/2006/relationships"><Relationship Id="rId8" Type="http://schemas.openxmlformats.org/officeDocument/2006/relationships/image" Target="../media/image31.png"/><Relationship Id="rId3" Type="http://schemas.openxmlformats.org/officeDocument/2006/relationships/image" Target="../media/image20.png"/><Relationship Id="rId7" Type="http://schemas.openxmlformats.org/officeDocument/2006/relationships/image" Target="../media/image16.png"/><Relationship Id="rId2" Type="http://schemas.openxmlformats.org/officeDocument/2006/relationships/image" Target="../media/image17.png"/><Relationship Id="rId1" Type="http://schemas.openxmlformats.org/officeDocument/2006/relationships/image" Target="../media/image13.png"/><Relationship Id="rId6" Type="http://schemas.openxmlformats.org/officeDocument/2006/relationships/image" Target="../media/image15.png"/><Relationship Id="rId5" Type="http://schemas.openxmlformats.org/officeDocument/2006/relationships/image" Target="../media/image14.png"/><Relationship Id="rId4" Type="http://schemas.openxmlformats.org/officeDocument/2006/relationships/image" Target="../media/image30.png"/></Relationships>
</file>

<file path=xl/drawings/_rels/drawing8.xml.rels><?xml version="1.0" encoding="UTF-8" standalone="yes"?>
<Relationships xmlns="http://schemas.openxmlformats.org/package/2006/relationships"><Relationship Id="rId3" Type="http://schemas.openxmlformats.org/officeDocument/2006/relationships/image" Target="../media/image17.png"/><Relationship Id="rId7" Type="http://schemas.openxmlformats.org/officeDocument/2006/relationships/image" Target="../media/image33.png"/><Relationship Id="rId2" Type="http://schemas.openxmlformats.org/officeDocument/2006/relationships/image" Target="../media/image18.png"/><Relationship Id="rId1" Type="http://schemas.openxmlformats.org/officeDocument/2006/relationships/image" Target="../media/image13.png"/><Relationship Id="rId6" Type="http://schemas.openxmlformats.org/officeDocument/2006/relationships/image" Target="../media/image32.png"/><Relationship Id="rId5" Type="http://schemas.openxmlformats.org/officeDocument/2006/relationships/image" Target="../media/image30.png"/><Relationship Id="rId4" Type="http://schemas.openxmlformats.org/officeDocument/2006/relationships/image" Target="../media/image20.png"/></Relationships>
</file>

<file path=xl/drawings/_rels/drawing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3.png"/></Relationships>
</file>

<file path=xl/drawings/drawing1.xml><?xml version="1.0" encoding="utf-8"?>
<xdr:wsDr xmlns:xdr="http://schemas.openxmlformats.org/drawingml/2006/spreadsheetDrawing" xmlns:a="http://schemas.openxmlformats.org/drawingml/2006/main">
  <xdr:oneCellAnchor>
    <xdr:from>
      <xdr:col>33</xdr:col>
      <xdr:colOff>355600</xdr:colOff>
      <xdr:row>274</xdr:row>
      <xdr:rowOff>317500</xdr:rowOff>
    </xdr:from>
    <xdr:ext cx="1781299" cy="1686185"/>
    <xdr:pic>
      <xdr:nvPicPr>
        <xdr:cNvPr id="2" name="Picture 1">
          <a:extLst>
            <a:ext uri="{FF2B5EF4-FFF2-40B4-BE49-F238E27FC236}">
              <a16:creationId xmlns:a16="http://schemas.microsoft.com/office/drawing/2014/main" id="{04FD77D8-B58B-435D-986A-5BCD32A1DEE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787975" y="112102900"/>
          <a:ext cx="1781299" cy="16861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xdr:col>
      <xdr:colOff>749301</xdr:colOff>
      <xdr:row>261</xdr:row>
      <xdr:rowOff>469900</xdr:rowOff>
    </xdr:from>
    <xdr:ext cx="558799" cy="562381"/>
    <xdr:pic>
      <xdr:nvPicPr>
        <xdr:cNvPr id="3" name="Image 2">
          <a:extLst>
            <a:ext uri="{FF2B5EF4-FFF2-40B4-BE49-F238E27FC236}">
              <a16:creationId xmlns:a16="http://schemas.microsoft.com/office/drawing/2014/main" id="{AD011651-2533-45E6-8A7D-AEADB26562F5}"/>
            </a:ext>
          </a:extLst>
        </xdr:cNvPr>
        <xdr:cNvPicPr>
          <a:picLocks noChangeAspect="1"/>
        </xdr:cNvPicPr>
      </xdr:nvPicPr>
      <xdr:blipFill>
        <a:blip xmlns:r="http://schemas.openxmlformats.org/officeDocument/2006/relationships" r:embed="rId2"/>
        <a:stretch>
          <a:fillRect/>
        </a:stretch>
      </xdr:blipFill>
      <xdr:spPr>
        <a:xfrm>
          <a:off x="14951076" y="105568750"/>
          <a:ext cx="558799" cy="562381"/>
        </a:xfrm>
        <a:prstGeom prst="rect">
          <a:avLst/>
        </a:prstGeom>
        <a:solidFill>
          <a:srgbClr val="000000"/>
        </a:solidFill>
      </xdr:spPr>
    </xdr:pic>
    <xdr:clientData/>
  </xdr:oneCellAnchor>
  <xdr:oneCellAnchor>
    <xdr:from>
      <xdr:col>17</xdr:col>
      <xdr:colOff>215900</xdr:colOff>
      <xdr:row>261</xdr:row>
      <xdr:rowOff>457200</xdr:rowOff>
    </xdr:from>
    <xdr:ext cx="533400" cy="536755"/>
    <xdr:pic>
      <xdr:nvPicPr>
        <xdr:cNvPr id="4" name="Image 3">
          <a:extLst>
            <a:ext uri="{FF2B5EF4-FFF2-40B4-BE49-F238E27FC236}">
              <a16:creationId xmlns:a16="http://schemas.microsoft.com/office/drawing/2014/main" id="{5A3A1553-25D5-4C22-BACA-F613387F6E9E}"/>
            </a:ext>
          </a:extLst>
        </xdr:cNvPr>
        <xdr:cNvPicPr>
          <a:picLocks noChangeAspect="1"/>
        </xdr:cNvPicPr>
      </xdr:nvPicPr>
      <xdr:blipFill>
        <a:blip xmlns:r="http://schemas.openxmlformats.org/officeDocument/2006/relationships" r:embed="rId3"/>
        <a:stretch>
          <a:fillRect/>
        </a:stretch>
      </xdr:blipFill>
      <xdr:spPr>
        <a:xfrm>
          <a:off x="16122650" y="105556050"/>
          <a:ext cx="533400" cy="536755"/>
        </a:xfrm>
        <a:prstGeom prst="rect">
          <a:avLst/>
        </a:prstGeom>
      </xdr:spPr>
    </xdr:pic>
    <xdr:clientData/>
  </xdr:oneCellAnchor>
  <xdr:oneCellAnchor>
    <xdr:from>
      <xdr:col>18</xdr:col>
      <xdr:colOff>381001</xdr:colOff>
      <xdr:row>261</xdr:row>
      <xdr:rowOff>431801</xdr:rowOff>
    </xdr:from>
    <xdr:ext cx="584200" cy="556214"/>
    <xdr:pic>
      <xdr:nvPicPr>
        <xdr:cNvPr id="5" name="Image 4">
          <a:extLst>
            <a:ext uri="{FF2B5EF4-FFF2-40B4-BE49-F238E27FC236}">
              <a16:creationId xmlns:a16="http://schemas.microsoft.com/office/drawing/2014/main" id="{A420001A-FB18-4956-92DA-5693DC37B2B7}"/>
            </a:ext>
          </a:extLst>
        </xdr:cNvPr>
        <xdr:cNvPicPr>
          <a:picLocks noChangeAspect="1"/>
        </xdr:cNvPicPr>
      </xdr:nvPicPr>
      <xdr:blipFill>
        <a:blip xmlns:r="http://schemas.openxmlformats.org/officeDocument/2006/relationships" r:embed="rId4"/>
        <a:stretch>
          <a:fillRect/>
        </a:stretch>
      </xdr:blipFill>
      <xdr:spPr>
        <a:xfrm>
          <a:off x="17049751" y="105530651"/>
          <a:ext cx="584200" cy="556214"/>
        </a:xfrm>
        <a:prstGeom prst="rect">
          <a:avLst/>
        </a:prstGeom>
      </xdr:spPr>
    </xdr:pic>
    <xdr:clientData/>
  </xdr:oneCellAnchor>
  <xdr:oneCellAnchor>
    <xdr:from>
      <xdr:col>19</xdr:col>
      <xdr:colOff>622301</xdr:colOff>
      <xdr:row>261</xdr:row>
      <xdr:rowOff>457200</xdr:rowOff>
    </xdr:from>
    <xdr:ext cx="647700" cy="505624"/>
    <xdr:pic>
      <xdr:nvPicPr>
        <xdr:cNvPr id="6" name="Image 5">
          <a:extLst>
            <a:ext uri="{FF2B5EF4-FFF2-40B4-BE49-F238E27FC236}">
              <a16:creationId xmlns:a16="http://schemas.microsoft.com/office/drawing/2014/main" id="{B394626D-FFF6-4C76-AD68-4C5ACE7815BF}"/>
            </a:ext>
          </a:extLst>
        </xdr:cNvPr>
        <xdr:cNvPicPr>
          <a:picLocks noChangeAspect="1"/>
        </xdr:cNvPicPr>
      </xdr:nvPicPr>
      <xdr:blipFill>
        <a:blip xmlns:r="http://schemas.openxmlformats.org/officeDocument/2006/relationships" r:embed="rId5"/>
        <a:stretch>
          <a:fillRect/>
        </a:stretch>
      </xdr:blipFill>
      <xdr:spPr>
        <a:xfrm>
          <a:off x="18053051" y="105556050"/>
          <a:ext cx="647700" cy="505624"/>
        </a:xfrm>
        <a:prstGeom prst="rect">
          <a:avLst/>
        </a:prstGeom>
      </xdr:spPr>
    </xdr:pic>
    <xdr:clientData/>
  </xdr:oneCellAnchor>
  <xdr:oneCellAnchor>
    <xdr:from>
      <xdr:col>21</xdr:col>
      <xdr:colOff>127000</xdr:colOff>
      <xdr:row>261</xdr:row>
      <xdr:rowOff>431800</xdr:rowOff>
    </xdr:from>
    <xdr:ext cx="518583" cy="533400"/>
    <xdr:pic>
      <xdr:nvPicPr>
        <xdr:cNvPr id="7" name="Image 6">
          <a:extLst>
            <a:ext uri="{FF2B5EF4-FFF2-40B4-BE49-F238E27FC236}">
              <a16:creationId xmlns:a16="http://schemas.microsoft.com/office/drawing/2014/main" id="{D1DFDE4F-3945-4A01-BBF8-416C3F7525FB}"/>
            </a:ext>
          </a:extLst>
        </xdr:cNvPr>
        <xdr:cNvPicPr>
          <a:picLocks noChangeAspect="1"/>
        </xdr:cNvPicPr>
      </xdr:nvPicPr>
      <xdr:blipFill>
        <a:blip xmlns:r="http://schemas.openxmlformats.org/officeDocument/2006/relationships" r:embed="rId6"/>
        <a:stretch>
          <a:fillRect/>
        </a:stretch>
      </xdr:blipFill>
      <xdr:spPr>
        <a:xfrm>
          <a:off x="19119850" y="105530650"/>
          <a:ext cx="518583" cy="533400"/>
        </a:xfrm>
        <a:prstGeom prst="rect">
          <a:avLst/>
        </a:prstGeom>
      </xdr:spPr>
    </xdr:pic>
    <xdr:clientData/>
  </xdr:oneCellAnchor>
  <xdr:oneCellAnchor>
    <xdr:from>
      <xdr:col>21</xdr:col>
      <xdr:colOff>990600</xdr:colOff>
      <xdr:row>261</xdr:row>
      <xdr:rowOff>444500</xdr:rowOff>
    </xdr:from>
    <xdr:ext cx="508000" cy="508000"/>
    <xdr:pic>
      <xdr:nvPicPr>
        <xdr:cNvPr id="8" name="Image 7">
          <a:extLst>
            <a:ext uri="{FF2B5EF4-FFF2-40B4-BE49-F238E27FC236}">
              <a16:creationId xmlns:a16="http://schemas.microsoft.com/office/drawing/2014/main" id="{0095B397-1918-47B7-83D8-117E9E2EBBFD}"/>
            </a:ext>
          </a:extLst>
        </xdr:cNvPr>
        <xdr:cNvPicPr>
          <a:picLocks noChangeAspect="1"/>
        </xdr:cNvPicPr>
      </xdr:nvPicPr>
      <xdr:blipFill>
        <a:blip xmlns:r="http://schemas.openxmlformats.org/officeDocument/2006/relationships" r:embed="rId7"/>
        <a:stretch>
          <a:fillRect/>
        </a:stretch>
      </xdr:blipFill>
      <xdr:spPr>
        <a:xfrm>
          <a:off x="19983450" y="105543350"/>
          <a:ext cx="508000" cy="508000"/>
        </a:xfrm>
        <a:prstGeom prst="rect">
          <a:avLst/>
        </a:prstGeom>
      </xdr:spPr>
    </xdr:pic>
    <xdr:clientData/>
  </xdr:oneCellAnchor>
  <xdr:oneCellAnchor>
    <xdr:from>
      <xdr:col>23</xdr:col>
      <xdr:colOff>558800</xdr:colOff>
      <xdr:row>261</xdr:row>
      <xdr:rowOff>469900</xdr:rowOff>
    </xdr:from>
    <xdr:ext cx="516579" cy="469900"/>
    <xdr:pic>
      <xdr:nvPicPr>
        <xdr:cNvPr id="9" name="Image 8">
          <a:extLst>
            <a:ext uri="{FF2B5EF4-FFF2-40B4-BE49-F238E27FC236}">
              <a16:creationId xmlns:a16="http://schemas.microsoft.com/office/drawing/2014/main" id="{5871861C-042A-43F0-A4F4-E91B1C7E39BE}"/>
            </a:ext>
          </a:extLst>
        </xdr:cNvPr>
        <xdr:cNvPicPr>
          <a:picLocks noChangeAspect="1"/>
        </xdr:cNvPicPr>
      </xdr:nvPicPr>
      <xdr:blipFill>
        <a:blip xmlns:r="http://schemas.openxmlformats.org/officeDocument/2006/relationships" r:embed="rId8"/>
        <a:stretch>
          <a:fillRect/>
        </a:stretch>
      </xdr:blipFill>
      <xdr:spPr>
        <a:xfrm>
          <a:off x="21828125" y="105568750"/>
          <a:ext cx="516579" cy="469900"/>
        </a:xfrm>
        <a:prstGeom prst="rect">
          <a:avLst/>
        </a:prstGeom>
      </xdr:spPr>
    </xdr:pic>
    <xdr:clientData/>
  </xdr:oneCellAnchor>
  <xdr:oneCellAnchor>
    <xdr:from>
      <xdr:col>22</xdr:col>
      <xdr:colOff>673100</xdr:colOff>
      <xdr:row>261</xdr:row>
      <xdr:rowOff>457200</xdr:rowOff>
    </xdr:from>
    <xdr:ext cx="495299" cy="495299"/>
    <xdr:pic>
      <xdr:nvPicPr>
        <xdr:cNvPr id="10" name="Image 9">
          <a:extLst>
            <a:ext uri="{FF2B5EF4-FFF2-40B4-BE49-F238E27FC236}">
              <a16:creationId xmlns:a16="http://schemas.microsoft.com/office/drawing/2014/main" id="{58ADBFE6-94B0-4AAB-9D88-D5558EE4DD86}"/>
            </a:ext>
          </a:extLst>
        </xdr:cNvPr>
        <xdr:cNvPicPr>
          <a:picLocks noChangeAspect="1"/>
        </xdr:cNvPicPr>
      </xdr:nvPicPr>
      <xdr:blipFill>
        <a:blip xmlns:r="http://schemas.openxmlformats.org/officeDocument/2006/relationships" r:embed="rId9"/>
        <a:stretch>
          <a:fillRect/>
        </a:stretch>
      </xdr:blipFill>
      <xdr:spPr>
        <a:xfrm>
          <a:off x="20875625" y="105556050"/>
          <a:ext cx="495299" cy="495299"/>
        </a:xfrm>
        <a:prstGeom prst="rect">
          <a:avLst/>
        </a:prstGeom>
      </xdr:spPr>
    </xdr:pic>
    <xdr:clientData/>
  </xdr:oneCellAnchor>
  <xdr:oneCellAnchor>
    <xdr:from>
      <xdr:col>4</xdr:col>
      <xdr:colOff>25400</xdr:colOff>
      <xdr:row>216</xdr:row>
      <xdr:rowOff>12700</xdr:rowOff>
    </xdr:from>
    <xdr:ext cx="2562583" cy="276253"/>
    <xdr:pic>
      <xdr:nvPicPr>
        <xdr:cNvPr id="15" name="Image 14">
          <a:extLst>
            <a:ext uri="{FF2B5EF4-FFF2-40B4-BE49-F238E27FC236}">
              <a16:creationId xmlns:a16="http://schemas.microsoft.com/office/drawing/2014/main" id="{F9D4CBEC-90EA-424E-BE50-806B418AD2FE}"/>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4406900" y="84004150"/>
          <a:ext cx="2562583" cy="276253"/>
        </a:xfrm>
        <a:prstGeom prst="rect">
          <a:avLst/>
        </a:prstGeom>
      </xdr:spPr>
    </xdr:pic>
    <xdr:clientData/>
  </xdr:oneCellAnchor>
  <xdr:oneCellAnchor>
    <xdr:from>
      <xdr:col>4</xdr:col>
      <xdr:colOff>596900</xdr:colOff>
      <xdr:row>218</xdr:row>
      <xdr:rowOff>25399</xdr:rowOff>
    </xdr:from>
    <xdr:ext cx="2235200" cy="1197925"/>
    <xdr:pic>
      <xdr:nvPicPr>
        <xdr:cNvPr id="16" name="Image 15">
          <a:extLst>
            <a:ext uri="{FF2B5EF4-FFF2-40B4-BE49-F238E27FC236}">
              <a16:creationId xmlns:a16="http://schemas.microsoft.com/office/drawing/2014/main" id="{81281F8A-0ECC-4CE2-B27D-3BE970EC1B01}"/>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4978400" y="84778849"/>
          <a:ext cx="2235200" cy="1197925"/>
        </a:xfrm>
        <a:prstGeom prst="rect">
          <a:avLst/>
        </a:prstGeom>
      </xdr:spPr>
    </xdr:pic>
    <xdr:clientData/>
  </xdr:oneCellAnchor>
  <xdr:oneCellAnchor>
    <xdr:from>
      <xdr:col>16</xdr:col>
      <xdr:colOff>85725</xdr:colOff>
      <xdr:row>216</xdr:row>
      <xdr:rowOff>238125</xdr:rowOff>
    </xdr:from>
    <xdr:ext cx="5105400" cy="2000250"/>
    <xdr:pic>
      <xdr:nvPicPr>
        <xdr:cNvPr id="17" name="Image 16">
          <a:extLst>
            <a:ext uri="{FF2B5EF4-FFF2-40B4-BE49-F238E27FC236}">
              <a16:creationId xmlns:a16="http://schemas.microsoft.com/office/drawing/2014/main" id="{AD0E039A-7DCE-4A4F-9455-371B49C3E385}"/>
            </a:ext>
          </a:extLst>
        </xdr:cNvPr>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15230475" y="84229575"/>
          <a:ext cx="5105400" cy="2000250"/>
        </a:xfrm>
        <a:prstGeom prst="rect">
          <a:avLst/>
        </a:prstGeom>
      </xdr:spPr>
    </xdr:pic>
    <xdr:clientData/>
  </xdr:oneCellAnchor>
  <xdr:twoCellAnchor editAs="oneCell">
    <xdr:from>
      <xdr:col>22</xdr:col>
      <xdr:colOff>790575</xdr:colOff>
      <xdr:row>7</xdr:row>
      <xdr:rowOff>295275</xdr:rowOff>
    </xdr:from>
    <xdr:to>
      <xdr:col>24</xdr:col>
      <xdr:colOff>193675</xdr:colOff>
      <xdr:row>10</xdr:row>
      <xdr:rowOff>229549</xdr:rowOff>
    </xdr:to>
    <xdr:pic>
      <xdr:nvPicPr>
        <xdr:cNvPr id="18" name="Image 17">
          <a:extLst>
            <a:ext uri="{FF2B5EF4-FFF2-40B4-BE49-F238E27FC236}">
              <a16:creationId xmlns:a16="http://schemas.microsoft.com/office/drawing/2014/main" id="{1FEBBCF7-0A98-4AD6-9C08-A0301B529023}"/>
            </a:ext>
          </a:extLst>
        </xdr:cNvPr>
        <xdr:cNvPicPr>
          <a:picLocks noChangeAspect="1"/>
        </xdr:cNvPicPr>
      </xdr:nvPicPr>
      <xdr:blipFill>
        <a:blip xmlns:r="http://schemas.openxmlformats.org/officeDocument/2006/relationships" r:embed="rId13"/>
        <a:stretch>
          <a:fillRect/>
        </a:stretch>
      </xdr:blipFill>
      <xdr:spPr>
        <a:xfrm>
          <a:off x="22088475" y="2962275"/>
          <a:ext cx="1536700" cy="1077274"/>
        </a:xfrm>
        <a:prstGeom prst="rect">
          <a:avLst/>
        </a:prstGeom>
      </xdr:spPr>
    </xdr:pic>
    <xdr:clientData/>
  </xdr:twoCellAnchor>
  <xdr:oneCellAnchor>
    <xdr:from>
      <xdr:col>5</xdr:col>
      <xdr:colOff>476250</xdr:colOff>
      <xdr:row>82</xdr:row>
      <xdr:rowOff>0</xdr:rowOff>
    </xdr:from>
    <xdr:ext cx="2289175" cy="1058870"/>
    <xdr:pic>
      <xdr:nvPicPr>
        <xdr:cNvPr id="11" name="Image 10">
          <a:extLst>
            <a:ext uri="{FF2B5EF4-FFF2-40B4-BE49-F238E27FC236}">
              <a16:creationId xmlns:a16="http://schemas.microsoft.com/office/drawing/2014/main" id="{426571B6-BB29-412C-8C33-5D07FD4E6B70}"/>
            </a:ext>
          </a:extLst>
        </xdr:cNvPr>
        <xdr:cNvPicPr>
          <a:picLocks noChangeAspect="1"/>
        </xdr:cNvPicPr>
      </xdr:nvPicPr>
      <xdr:blipFill>
        <a:blip xmlns:r="http://schemas.openxmlformats.org/officeDocument/2006/relationships" r:embed="rId14"/>
        <a:stretch>
          <a:fillRect/>
        </a:stretch>
      </xdr:blipFill>
      <xdr:spPr>
        <a:xfrm>
          <a:off x="61188600" y="5895975"/>
          <a:ext cx="2289175" cy="1058870"/>
        </a:xfrm>
        <a:prstGeom prst="rect">
          <a:avLst/>
        </a:prstGeom>
      </xdr:spPr>
    </xdr:pic>
    <xdr:clientData/>
  </xdr:oneCellAnchor>
  <xdr:oneCellAnchor>
    <xdr:from>
      <xdr:col>5</xdr:col>
      <xdr:colOff>622300</xdr:colOff>
      <xdr:row>93</xdr:row>
      <xdr:rowOff>288925</xdr:rowOff>
    </xdr:from>
    <xdr:ext cx="2248026" cy="1098550"/>
    <xdr:pic>
      <xdr:nvPicPr>
        <xdr:cNvPr id="12" name="Image 11">
          <a:extLst>
            <a:ext uri="{FF2B5EF4-FFF2-40B4-BE49-F238E27FC236}">
              <a16:creationId xmlns:a16="http://schemas.microsoft.com/office/drawing/2014/main" id="{D1EAE5BD-A456-4AC1-B646-30033F52242E}"/>
            </a:ext>
          </a:extLst>
        </xdr:cNvPr>
        <xdr:cNvPicPr>
          <a:picLocks noChangeAspect="1"/>
        </xdr:cNvPicPr>
      </xdr:nvPicPr>
      <xdr:blipFill>
        <a:blip xmlns:r="http://schemas.openxmlformats.org/officeDocument/2006/relationships" r:embed="rId15"/>
        <a:stretch>
          <a:fillRect/>
        </a:stretch>
      </xdr:blipFill>
      <xdr:spPr>
        <a:xfrm>
          <a:off x="5765800" y="33435925"/>
          <a:ext cx="2248026" cy="1098550"/>
        </a:xfrm>
        <a:prstGeom prst="rect">
          <a:avLst/>
        </a:prstGeom>
      </xdr:spPr>
    </xdr:pic>
    <xdr:clientData/>
  </xdr:oneCellAnchor>
  <xdr:oneCellAnchor>
    <xdr:from>
      <xdr:col>6</xdr:col>
      <xdr:colOff>63500</xdr:colOff>
      <xdr:row>105</xdr:row>
      <xdr:rowOff>158750</xdr:rowOff>
    </xdr:from>
    <xdr:ext cx="1057275" cy="1120810"/>
    <xdr:pic>
      <xdr:nvPicPr>
        <xdr:cNvPr id="13" name="Image 12">
          <a:extLst>
            <a:ext uri="{FF2B5EF4-FFF2-40B4-BE49-F238E27FC236}">
              <a16:creationId xmlns:a16="http://schemas.microsoft.com/office/drawing/2014/main" id="{A7A0FF1A-B95F-4647-AC53-C6F7E11A3EC7}"/>
            </a:ext>
          </a:extLst>
        </xdr:cNvPr>
        <xdr:cNvPicPr>
          <a:picLocks noChangeAspect="1"/>
        </xdr:cNvPicPr>
      </xdr:nvPicPr>
      <xdr:blipFill>
        <a:blip xmlns:r="http://schemas.openxmlformats.org/officeDocument/2006/relationships" r:embed="rId16"/>
        <a:stretch>
          <a:fillRect/>
        </a:stretch>
      </xdr:blipFill>
      <xdr:spPr>
        <a:xfrm>
          <a:off x="6337300" y="37877750"/>
          <a:ext cx="1057275" cy="1120810"/>
        </a:xfrm>
        <a:prstGeom prst="rect">
          <a:avLst/>
        </a:prstGeom>
      </xdr:spPr>
    </xdr:pic>
    <xdr:clientData/>
  </xdr:oneCellAnchor>
</xdr:wsDr>
</file>

<file path=xl/drawings/drawing10.xml><?xml version="1.0" encoding="utf-8"?>
<xdr:wsDr xmlns:xdr="http://schemas.openxmlformats.org/drawingml/2006/spreadsheetDrawing" xmlns:a="http://schemas.openxmlformats.org/drawingml/2006/main">
  <xdr:oneCellAnchor>
    <xdr:from>
      <xdr:col>12</xdr:col>
      <xdr:colOff>2571750</xdr:colOff>
      <xdr:row>46</xdr:row>
      <xdr:rowOff>200025</xdr:rowOff>
    </xdr:from>
    <xdr:ext cx="2162176" cy="1769052"/>
    <xdr:pic>
      <xdr:nvPicPr>
        <xdr:cNvPr id="2" name="Image 1">
          <a:extLst>
            <a:ext uri="{FF2B5EF4-FFF2-40B4-BE49-F238E27FC236}">
              <a16:creationId xmlns:a16="http://schemas.microsoft.com/office/drawing/2014/main" id="{C8B4FA6D-AB59-4C22-B9CC-CBE7BDCD405D}"/>
            </a:ext>
          </a:extLst>
        </xdr:cNvPr>
        <xdr:cNvPicPr>
          <a:picLocks noChangeAspect="1"/>
        </xdr:cNvPicPr>
      </xdr:nvPicPr>
      <xdr:blipFill>
        <a:blip xmlns:r="http://schemas.openxmlformats.org/officeDocument/2006/relationships" r:embed="rId1"/>
        <a:stretch>
          <a:fillRect/>
        </a:stretch>
      </xdr:blipFill>
      <xdr:spPr>
        <a:xfrm>
          <a:off x="16849725" y="11820525"/>
          <a:ext cx="2162176" cy="1769052"/>
        </a:xfrm>
        <a:prstGeom prst="rect">
          <a:avLst/>
        </a:prstGeom>
      </xdr:spPr>
    </xdr:pic>
    <xdr:clientData/>
  </xdr:oneCellAnchor>
  <xdr:oneCellAnchor>
    <xdr:from>
      <xdr:col>9</xdr:col>
      <xdr:colOff>180976</xdr:colOff>
      <xdr:row>49</xdr:row>
      <xdr:rowOff>161924</xdr:rowOff>
    </xdr:from>
    <xdr:ext cx="3771900" cy="1195141"/>
    <xdr:pic>
      <xdr:nvPicPr>
        <xdr:cNvPr id="3" name="Image 2">
          <a:extLst>
            <a:ext uri="{FF2B5EF4-FFF2-40B4-BE49-F238E27FC236}">
              <a16:creationId xmlns:a16="http://schemas.microsoft.com/office/drawing/2014/main" id="{367F0906-904F-4AEF-9C4C-A070DCC01847}"/>
            </a:ext>
          </a:extLst>
        </xdr:cNvPr>
        <xdr:cNvPicPr>
          <a:picLocks noChangeAspect="1"/>
        </xdr:cNvPicPr>
      </xdr:nvPicPr>
      <xdr:blipFill>
        <a:blip xmlns:r="http://schemas.openxmlformats.org/officeDocument/2006/relationships" r:embed="rId2"/>
        <a:stretch>
          <a:fillRect/>
        </a:stretch>
      </xdr:blipFill>
      <xdr:spPr>
        <a:xfrm>
          <a:off x="12058651" y="12582524"/>
          <a:ext cx="3771900" cy="1195141"/>
        </a:xfrm>
        <a:prstGeom prst="rect">
          <a:avLst/>
        </a:prstGeom>
      </xdr:spPr>
    </xdr:pic>
    <xdr:clientData/>
  </xdr:oneCellAnchor>
</xdr:wsDr>
</file>

<file path=xl/drawings/drawing11.xml><?xml version="1.0" encoding="utf-8"?>
<xdr:wsDr xmlns:xdr="http://schemas.openxmlformats.org/drawingml/2006/spreadsheetDrawing" xmlns:a="http://schemas.openxmlformats.org/drawingml/2006/main">
  <xdr:twoCellAnchor editAs="oneCell">
    <xdr:from>
      <xdr:col>1</xdr:col>
      <xdr:colOff>6467475</xdr:colOff>
      <xdr:row>10</xdr:row>
      <xdr:rowOff>57150</xdr:rowOff>
    </xdr:from>
    <xdr:to>
      <xdr:col>1</xdr:col>
      <xdr:colOff>7282703</xdr:colOff>
      <xdr:row>12</xdr:row>
      <xdr:rowOff>95250</xdr:rowOff>
    </xdr:to>
    <xdr:pic>
      <xdr:nvPicPr>
        <xdr:cNvPr id="2" name="Image 1">
          <a:extLst>
            <a:ext uri="{FF2B5EF4-FFF2-40B4-BE49-F238E27FC236}">
              <a16:creationId xmlns:a16="http://schemas.microsoft.com/office/drawing/2014/main" id="{6EBD831F-C565-4D8E-A4FD-EE32A3DC2381}"/>
            </a:ext>
          </a:extLst>
        </xdr:cNvPr>
        <xdr:cNvPicPr>
          <a:picLocks noChangeAspect="1"/>
        </xdr:cNvPicPr>
      </xdr:nvPicPr>
      <xdr:blipFill>
        <a:blip xmlns:r="http://schemas.openxmlformats.org/officeDocument/2006/relationships" r:embed="rId1"/>
        <a:stretch>
          <a:fillRect/>
        </a:stretch>
      </xdr:blipFill>
      <xdr:spPr>
        <a:xfrm>
          <a:off x="6753225" y="2514600"/>
          <a:ext cx="815228" cy="571500"/>
        </a:xfrm>
        <a:prstGeom prst="rect">
          <a:avLst/>
        </a:prstGeom>
      </xdr:spPr>
    </xdr:pic>
    <xdr:clientData/>
  </xdr:twoCellAnchor>
  <xdr:twoCellAnchor editAs="oneCell">
    <xdr:from>
      <xdr:col>3</xdr:col>
      <xdr:colOff>6296025</xdr:colOff>
      <xdr:row>10</xdr:row>
      <xdr:rowOff>47625</xdr:rowOff>
    </xdr:from>
    <xdr:to>
      <xdr:col>3</xdr:col>
      <xdr:colOff>7316066</xdr:colOff>
      <xdr:row>12</xdr:row>
      <xdr:rowOff>104775</xdr:rowOff>
    </xdr:to>
    <xdr:pic>
      <xdr:nvPicPr>
        <xdr:cNvPr id="3" name="Image 2">
          <a:extLst>
            <a:ext uri="{FF2B5EF4-FFF2-40B4-BE49-F238E27FC236}">
              <a16:creationId xmlns:a16="http://schemas.microsoft.com/office/drawing/2014/main" id="{B481F639-9BF2-4054-A44A-7AB32BA62689}"/>
            </a:ext>
          </a:extLst>
        </xdr:cNvPr>
        <xdr:cNvPicPr>
          <a:picLocks noChangeAspect="1"/>
        </xdr:cNvPicPr>
      </xdr:nvPicPr>
      <xdr:blipFill>
        <a:blip xmlns:r="http://schemas.openxmlformats.org/officeDocument/2006/relationships" r:embed="rId2"/>
        <a:stretch>
          <a:fillRect/>
        </a:stretch>
      </xdr:blipFill>
      <xdr:spPr>
        <a:xfrm>
          <a:off x="14297025" y="2505075"/>
          <a:ext cx="1020041" cy="590550"/>
        </a:xfrm>
        <a:prstGeom prst="rect">
          <a:avLst/>
        </a:prstGeom>
      </xdr:spPr>
    </xdr:pic>
    <xdr:clientData/>
  </xdr:twoCellAnchor>
  <xdr:twoCellAnchor editAs="oneCell">
    <xdr:from>
      <xdr:col>5</xdr:col>
      <xdr:colOff>6010275</xdr:colOff>
      <xdr:row>10</xdr:row>
      <xdr:rowOff>104775</xdr:rowOff>
    </xdr:from>
    <xdr:to>
      <xdr:col>5</xdr:col>
      <xdr:colOff>7073758</xdr:colOff>
      <xdr:row>12</xdr:row>
      <xdr:rowOff>152400</xdr:rowOff>
    </xdr:to>
    <xdr:pic>
      <xdr:nvPicPr>
        <xdr:cNvPr id="4" name="Image 3">
          <a:extLst>
            <a:ext uri="{FF2B5EF4-FFF2-40B4-BE49-F238E27FC236}">
              <a16:creationId xmlns:a16="http://schemas.microsoft.com/office/drawing/2014/main" id="{4448FE39-7A83-426F-AB8A-D23757DC81DF}"/>
            </a:ext>
          </a:extLst>
        </xdr:cNvPr>
        <xdr:cNvPicPr>
          <a:picLocks noChangeAspect="1"/>
        </xdr:cNvPicPr>
      </xdr:nvPicPr>
      <xdr:blipFill>
        <a:blip xmlns:r="http://schemas.openxmlformats.org/officeDocument/2006/relationships" r:embed="rId3"/>
        <a:stretch>
          <a:fillRect/>
        </a:stretch>
      </xdr:blipFill>
      <xdr:spPr>
        <a:xfrm>
          <a:off x="21688425" y="2562225"/>
          <a:ext cx="1063483" cy="58102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24</xdr:col>
      <xdr:colOff>323850</xdr:colOff>
      <xdr:row>145</xdr:row>
      <xdr:rowOff>0</xdr:rowOff>
    </xdr:from>
    <xdr:to>
      <xdr:col>24</xdr:col>
      <xdr:colOff>323850</xdr:colOff>
      <xdr:row>145</xdr:row>
      <xdr:rowOff>0</xdr:rowOff>
    </xdr:to>
    <xdr:sp macro="" textlink="">
      <xdr:nvSpPr>
        <xdr:cNvPr id="2" name="Line 7">
          <a:extLst>
            <a:ext uri="{FF2B5EF4-FFF2-40B4-BE49-F238E27FC236}">
              <a16:creationId xmlns:a16="http://schemas.microsoft.com/office/drawing/2014/main" id="{529DF1A6-1DA6-4338-85CE-D66CC855B255}"/>
            </a:ext>
          </a:extLst>
        </xdr:cNvPr>
        <xdr:cNvSpPr>
          <a:spLocks noChangeShapeType="1"/>
        </xdr:cNvSpPr>
      </xdr:nvSpPr>
      <xdr:spPr bwMode="auto">
        <a:xfrm>
          <a:off x="55130700" y="54206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323850</xdr:colOff>
      <xdr:row>121</xdr:row>
      <xdr:rowOff>0</xdr:rowOff>
    </xdr:from>
    <xdr:to>
      <xdr:col>24</xdr:col>
      <xdr:colOff>323850</xdr:colOff>
      <xdr:row>121</xdr:row>
      <xdr:rowOff>0</xdr:rowOff>
    </xdr:to>
    <xdr:sp macro="" textlink="">
      <xdr:nvSpPr>
        <xdr:cNvPr id="3" name="Line 7">
          <a:extLst>
            <a:ext uri="{FF2B5EF4-FFF2-40B4-BE49-F238E27FC236}">
              <a16:creationId xmlns:a16="http://schemas.microsoft.com/office/drawing/2014/main" id="{BD805925-3636-4B7C-84DB-5D32B04D1770}"/>
            </a:ext>
          </a:extLst>
        </xdr:cNvPr>
        <xdr:cNvSpPr>
          <a:spLocks noChangeShapeType="1"/>
        </xdr:cNvSpPr>
      </xdr:nvSpPr>
      <xdr:spPr bwMode="auto">
        <a:xfrm>
          <a:off x="55130700" y="45062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323850</xdr:colOff>
      <xdr:row>183</xdr:row>
      <xdr:rowOff>0</xdr:rowOff>
    </xdr:from>
    <xdr:to>
      <xdr:col>24</xdr:col>
      <xdr:colOff>323850</xdr:colOff>
      <xdr:row>183</xdr:row>
      <xdr:rowOff>0</xdr:rowOff>
    </xdr:to>
    <xdr:sp macro="" textlink="">
      <xdr:nvSpPr>
        <xdr:cNvPr id="4" name="Line 7">
          <a:extLst>
            <a:ext uri="{FF2B5EF4-FFF2-40B4-BE49-F238E27FC236}">
              <a16:creationId xmlns:a16="http://schemas.microsoft.com/office/drawing/2014/main" id="{4DFC2D44-3361-4EB2-9510-79CFF9DF4F3A}"/>
            </a:ext>
          </a:extLst>
        </xdr:cNvPr>
        <xdr:cNvSpPr>
          <a:spLocks noChangeShapeType="1"/>
        </xdr:cNvSpPr>
      </xdr:nvSpPr>
      <xdr:spPr bwMode="auto">
        <a:xfrm>
          <a:off x="55130700" y="68684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323850</xdr:colOff>
      <xdr:row>142</xdr:row>
      <xdr:rowOff>0</xdr:rowOff>
    </xdr:from>
    <xdr:to>
      <xdr:col>24</xdr:col>
      <xdr:colOff>323850</xdr:colOff>
      <xdr:row>142</xdr:row>
      <xdr:rowOff>0</xdr:rowOff>
    </xdr:to>
    <xdr:sp macro="" textlink="">
      <xdr:nvSpPr>
        <xdr:cNvPr id="5" name="Line 7">
          <a:extLst>
            <a:ext uri="{FF2B5EF4-FFF2-40B4-BE49-F238E27FC236}">
              <a16:creationId xmlns:a16="http://schemas.microsoft.com/office/drawing/2014/main" id="{0DDD39E7-DAE6-4FC1-B58E-4B34663E2C92}"/>
            </a:ext>
          </a:extLst>
        </xdr:cNvPr>
        <xdr:cNvSpPr>
          <a:spLocks noChangeShapeType="1"/>
        </xdr:cNvSpPr>
      </xdr:nvSpPr>
      <xdr:spPr bwMode="auto">
        <a:xfrm>
          <a:off x="55130700" y="53063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323850</xdr:colOff>
      <xdr:row>111</xdr:row>
      <xdr:rowOff>0</xdr:rowOff>
    </xdr:from>
    <xdr:to>
      <xdr:col>24</xdr:col>
      <xdr:colOff>323850</xdr:colOff>
      <xdr:row>111</xdr:row>
      <xdr:rowOff>0</xdr:rowOff>
    </xdr:to>
    <xdr:sp macro="" textlink="">
      <xdr:nvSpPr>
        <xdr:cNvPr id="6" name="Line 7">
          <a:extLst>
            <a:ext uri="{FF2B5EF4-FFF2-40B4-BE49-F238E27FC236}">
              <a16:creationId xmlns:a16="http://schemas.microsoft.com/office/drawing/2014/main" id="{049D23CD-2B7B-45BA-B8C1-66BEB3CAC667}"/>
            </a:ext>
          </a:extLst>
        </xdr:cNvPr>
        <xdr:cNvSpPr>
          <a:spLocks noChangeShapeType="1"/>
        </xdr:cNvSpPr>
      </xdr:nvSpPr>
      <xdr:spPr bwMode="auto">
        <a:xfrm>
          <a:off x="55130700" y="41252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323850</xdr:colOff>
      <xdr:row>144</xdr:row>
      <xdr:rowOff>0</xdr:rowOff>
    </xdr:from>
    <xdr:to>
      <xdr:col>24</xdr:col>
      <xdr:colOff>323850</xdr:colOff>
      <xdr:row>144</xdr:row>
      <xdr:rowOff>0</xdr:rowOff>
    </xdr:to>
    <xdr:sp macro="" textlink="">
      <xdr:nvSpPr>
        <xdr:cNvPr id="7" name="Line 7">
          <a:extLst>
            <a:ext uri="{FF2B5EF4-FFF2-40B4-BE49-F238E27FC236}">
              <a16:creationId xmlns:a16="http://schemas.microsoft.com/office/drawing/2014/main" id="{CCB626B2-3F30-483D-B89D-947846DE8E7C}"/>
            </a:ext>
          </a:extLst>
        </xdr:cNvPr>
        <xdr:cNvSpPr>
          <a:spLocks noChangeShapeType="1"/>
        </xdr:cNvSpPr>
      </xdr:nvSpPr>
      <xdr:spPr bwMode="auto">
        <a:xfrm>
          <a:off x="55130700" y="53825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323850</xdr:colOff>
      <xdr:row>120</xdr:row>
      <xdr:rowOff>0</xdr:rowOff>
    </xdr:from>
    <xdr:to>
      <xdr:col>24</xdr:col>
      <xdr:colOff>323850</xdr:colOff>
      <xdr:row>120</xdr:row>
      <xdr:rowOff>0</xdr:rowOff>
    </xdr:to>
    <xdr:sp macro="" textlink="">
      <xdr:nvSpPr>
        <xdr:cNvPr id="8" name="Line 7">
          <a:extLst>
            <a:ext uri="{FF2B5EF4-FFF2-40B4-BE49-F238E27FC236}">
              <a16:creationId xmlns:a16="http://schemas.microsoft.com/office/drawing/2014/main" id="{34294334-8645-4081-A1C0-AAEB48BFD80E}"/>
            </a:ext>
          </a:extLst>
        </xdr:cNvPr>
        <xdr:cNvSpPr>
          <a:spLocks noChangeShapeType="1"/>
        </xdr:cNvSpPr>
      </xdr:nvSpPr>
      <xdr:spPr bwMode="auto">
        <a:xfrm>
          <a:off x="55130700" y="4468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323850</xdr:colOff>
      <xdr:row>182</xdr:row>
      <xdr:rowOff>0</xdr:rowOff>
    </xdr:from>
    <xdr:to>
      <xdr:col>24</xdr:col>
      <xdr:colOff>323850</xdr:colOff>
      <xdr:row>182</xdr:row>
      <xdr:rowOff>0</xdr:rowOff>
    </xdr:to>
    <xdr:sp macro="" textlink="">
      <xdr:nvSpPr>
        <xdr:cNvPr id="9" name="Line 7">
          <a:extLst>
            <a:ext uri="{FF2B5EF4-FFF2-40B4-BE49-F238E27FC236}">
              <a16:creationId xmlns:a16="http://schemas.microsoft.com/office/drawing/2014/main" id="{F494CA41-18F1-48EF-BBFF-21BEC2073717}"/>
            </a:ext>
          </a:extLst>
        </xdr:cNvPr>
        <xdr:cNvSpPr>
          <a:spLocks noChangeShapeType="1"/>
        </xdr:cNvSpPr>
      </xdr:nvSpPr>
      <xdr:spPr bwMode="auto">
        <a:xfrm>
          <a:off x="55130700" y="68303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323850</xdr:colOff>
      <xdr:row>141</xdr:row>
      <xdr:rowOff>0</xdr:rowOff>
    </xdr:from>
    <xdr:to>
      <xdr:col>24</xdr:col>
      <xdr:colOff>323850</xdr:colOff>
      <xdr:row>141</xdr:row>
      <xdr:rowOff>0</xdr:rowOff>
    </xdr:to>
    <xdr:sp macro="" textlink="">
      <xdr:nvSpPr>
        <xdr:cNvPr id="10" name="Line 7">
          <a:extLst>
            <a:ext uri="{FF2B5EF4-FFF2-40B4-BE49-F238E27FC236}">
              <a16:creationId xmlns:a16="http://schemas.microsoft.com/office/drawing/2014/main" id="{2C0A7009-2267-419F-BC3D-B058A470CE1F}"/>
            </a:ext>
          </a:extLst>
        </xdr:cNvPr>
        <xdr:cNvSpPr>
          <a:spLocks noChangeShapeType="1"/>
        </xdr:cNvSpPr>
      </xdr:nvSpPr>
      <xdr:spPr bwMode="auto">
        <a:xfrm>
          <a:off x="55130700" y="52682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323850</xdr:colOff>
      <xdr:row>111</xdr:row>
      <xdr:rowOff>0</xdr:rowOff>
    </xdr:from>
    <xdr:to>
      <xdr:col>24</xdr:col>
      <xdr:colOff>323850</xdr:colOff>
      <xdr:row>111</xdr:row>
      <xdr:rowOff>0</xdr:rowOff>
    </xdr:to>
    <xdr:sp macro="" textlink="">
      <xdr:nvSpPr>
        <xdr:cNvPr id="11" name="Line 7">
          <a:extLst>
            <a:ext uri="{FF2B5EF4-FFF2-40B4-BE49-F238E27FC236}">
              <a16:creationId xmlns:a16="http://schemas.microsoft.com/office/drawing/2014/main" id="{1BEC186B-1237-4F95-B471-C83502987929}"/>
            </a:ext>
          </a:extLst>
        </xdr:cNvPr>
        <xdr:cNvSpPr>
          <a:spLocks noChangeShapeType="1"/>
        </xdr:cNvSpPr>
      </xdr:nvSpPr>
      <xdr:spPr bwMode="auto">
        <a:xfrm>
          <a:off x="55130700" y="41252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44</xdr:col>
      <xdr:colOff>323850</xdr:colOff>
      <xdr:row>199</xdr:row>
      <xdr:rowOff>0</xdr:rowOff>
    </xdr:from>
    <xdr:to>
      <xdr:col>44</xdr:col>
      <xdr:colOff>323850</xdr:colOff>
      <xdr:row>199</xdr:row>
      <xdr:rowOff>0</xdr:rowOff>
    </xdr:to>
    <xdr:sp macro="" textlink="">
      <xdr:nvSpPr>
        <xdr:cNvPr id="12" name="Line 7">
          <a:extLst>
            <a:ext uri="{FF2B5EF4-FFF2-40B4-BE49-F238E27FC236}">
              <a16:creationId xmlns:a16="http://schemas.microsoft.com/office/drawing/2014/main" id="{72368E0F-EE90-422F-8835-CCEFED711848}"/>
            </a:ext>
          </a:extLst>
        </xdr:cNvPr>
        <xdr:cNvSpPr>
          <a:spLocks noChangeShapeType="1"/>
        </xdr:cNvSpPr>
      </xdr:nvSpPr>
      <xdr:spPr bwMode="auto">
        <a:xfrm>
          <a:off x="115281075" y="7478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44</xdr:col>
      <xdr:colOff>323850</xdr:colOff>
      <xdr:row>188</xdr:row>
      <xdr:rowOff>0</xdr:rowOff>
    </xdr:from>
    <xdr:to>
      <xdr:col>44</xdr:col>
      <xdr:colOff>323850</xdr:colOff>
      <xdr:row>188</xdr:row>
      <xdr:rowOff>0</xdr:rowOff>
    </xdr:to>
    <xdr:sp macro="" textlink="">
      <xdr:nvSpPr>
        <xdr:cNvPr id="13" name="Line 7">
          <a:extLst>
            <a:ext uri="{FF2B5EF4-FFF2-40B4-BE49-F238E27FC236}">
              <a16:creationId xmlns:a16="http://schemas.microsoft.com/office/drawing/2014/main" id="{8261F804-50A3-4575-9D79-8D2886B17C03}"/>
            </a:ext>
          </a:extLst>
        </xdr:cNvPr>
        <xdr:cNvSpPr>
          <a:spLocks noChangeShapeType="1"/>
        </xdr:cNvSpPr>
      </xdr:nvSpPr>
      <xdr:spPr bwMode="auto">
        <a:xfrm>
          <a:off x="115281075" y="70589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44</xdr:col>
      <xdr:colOff>323850</xdr:colOff>
      <xdr:row>196</xdr:row>
      <xdr:rowOff>0</xdr:rowOff>
    </xdr:from>
    <xdr:to>
      <xdr:col>44</xdr:col>
      <xdr:colOff>323850</xdr:colOff>
      <xdr:row>196</xdr:row>
      <xdr:rowOff>0</xdr:rowOff>
    </xdr:to>
    <xdr:sp macro="" textlink="">
      <xdr:nvSpPr>
        <xdr:cNvPr id="14" name="Line 7">
          <a:extLst>
            <a:ext uri="{FF2B5EF4-FFF2-40B4-BE49-F238E27FC236}">
              <a16:creationId xmlns:a16="http://schemas.microsoft.com/office/drawing/2014/main" id="{3294E2F9-2A35-4E02-8BE3-FBCB7789CEE8}"/>
            </a:ext>
          </a:extLst>
        </xdr:cNvPr>
        <xdr:cNvSpPr>
          <a:spLocks noChangeShapeType="1"/>
        </xdr:cNvSpPr>
      </xdr:nvSpPr>
      <xdr:spPr bwMode="auto">
        <a:xfrm>
          <a:off x="115281075" y="73637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50</xdr:col>
      <xdr:colOff>323850</xdr:colOff>
      <xdr:row>199</xdr:row>
      <xdr:rowOff>0</xdr:rowOff>
    </xdr:from>
    <xdr:to>
      <xdr:col>50</xdr:col>
      <xdr:colOff>323850</xdr:colOff>
      <xdr:row>199</xdr:row>
      <xdr:rowOff>0</xdr:rowOff>
    </xdr:to>
    <xdr:sp macro="" textlink="">
      <xdr:nvSpPr>
        <xdr:cNvPr id="15" name="Line 7">
          <a:extLst>
            <a:ext uri="{FF2B5EF4-FFF2-40B4-BE49-F238E27FC236}">
              <a16:creationId xmlns:a16="http://schemas.microsoft.com/office/drawing/2014/main" id="{585D4664-1153-4AFF-8E6A-2A1158B54FE9}"/>
            </a:ext>
          </a:extLst>
        </xdr:cNvPr>
        <xdr:cNvSpPr>
          <a:spLocks noChangeShapeType="1"/>
        </xdr:cNvSpPr>
      </xdr:nvSpPr>
      <xdr:spPr bwMode="auto">
        <a:xfrm>
          <a:off x="131568825" y="7478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50</xdr:col>
      <xdr:colOff>323850</xdr:colOff>
      <xdr:row>188</xdr:row>
      <xdr:rowOff>0</xdr:rowOff>
    </xdr:from>
    <xdr:to>
      <xdr:col>50</xdr:col>
      <xdr:colOff>323850</xdr:colOff>
      <xdr:row>188</xdr:row>
      <xdr:rowOff>0</xdr:rowOff>
    </xdr:to>
    <xdr:sp macro="" textlink="">
      <xdr:nvSpPr>
        <xdr:cNvPr id="16" name="Line 7">
          <a:extLst>
            <a:ext uri="{FF2B5EF4-FFF2-40B4-BE49-F238E27FC236}">
              <a16:creationId xmlns:a16="http://schemas.microsoft.com/office/drawing/2014/main" id="{E0B5D71D-36AA-44F9-BBF6-56D6C588AE65}"/>
            </a:ext>
          </a:extLst>
        </xdr:cNvPr>
        <xdr:cNvSpPr>
          <a:spLocks noChangeShapeType="1"/>
        </xdr:cNvSpPr>
      </xdr:nvSpPr>
      <xdr:spPr bwMode="auto">
        <a:xfrm>
          <a:off x="131568825" y="70589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50</xdr:col>
      <xdr:colOff>323850</xdr:colOff>
      <xdr:row>196</xdr:row>
      <xdr:rowOff>0</xdr:rowOff>
    </xdr:from>
    <xdr:to>
      <xdr:col>50</xdr:col>
      <xdr:colOff>323850</xdr:colOff>
      <xdr:row>196</xdr:row>
      <xdr:rowOff>0</xdr:rowOff>
    </xdr:to>
    <xdr:sp macro="" textlink="">
      <xdr:nvSpPr>
        <xdr:cNvPr id="17" name="Line 7">
          <a:extLst>
            <a:ext uri="{FF2B5EF4-FFF2-40B4-BE49-F238E27FC236}">
              <a16:creationId xmlns:a16="http://schemas.microsoft.com/office/drawing/2014/main" id="{7F929002-DE01-4C4F-B122-E5C857191FCA}"/>
            </a:ext>
          </a:extLst>
        </xdr:cNvPr>
        <xdr:cNvSpPr>
          <a:spLocks noChangeShapeType="1"/>
        </xdr:cNvSpPr>
      </xdr:nvSpPr>
      <xdr:spPr bwMode="auto">
        <a:xfrm>
          <a:off x="131568825" y="73637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44</xdr:col>
      <xdr:colOff>323850</xdr:colOff>
      <xdr:row>202</xdr:row>
      <xdr:rowOff>0</xdr:rowOff>
    </xdr:from>
    <xdr:to>
      <xdr:col>44</xdr:col>
      <xdr:colOff>323850</xdr:colOff>
      <xdr:row>202</xdr:row>
      <xdr:rowOff>0</xdr:rowOff>
    </xdr:to>
    <xdr:sp macro="" textlink="">
      <xdr:nvSpPr>
        <xdr:cNvPr id="18" name="Line 7">
          <a:extLst>
            <a:ext uri="{FF2B5EF4-FFF2-40B4-BE49-F238E27FC236}">
              <a16:creationId xmlns:a16="http://schemas.microsoft.com/office/drawing/2014/main" id="{FCB32A9B-43F5-4C95-9172-DC5D072657B2}"/>
            </a:ext>
          </a:extLst>
        </xdr:cNvPr>
        <xdr:cNvSpPr>
          <a:spLocks noChangeShapeType="1"/>
        </xdr:cNvSpPr>
      </xdr:nvSpPr>
      <xdr:spPr bwMode="auto">
        <a:xfrm>
          <a:off x="115281075" y="75923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44</xdr:col>
      <xdr:colOff>323850</xdr:colOff>
      <xdr:row>191</xdr:row>
      <xdr:rowOff>0</xdr:rowOff>
    </xdr:from>
    <xdr:to>
      <xdr:col>44</xdr:col>
      <xdr:colOff>323850</xdr:colOff>
      <xdr:row>191</xdr:row>
      <xdr:rowOff>0</xdr:rowOff>
    </xdr:to>
    <xdr:sp macro="" textlink="">
      <xdr:nvSpPr>
        <xdr:cNvPr id="19" name="Line 7">
          <a:extLst>
            <a:ext uri="{FF2B5EF4-FFF2-40B4-BE49-F238E27FC236}">
              <a16:creationId xmlns:a16="http://schemas.microsoft.com/office/drawing/2014/main" id="{95126261-37E2-48DA-8817-12B71B859FAF}"/>
            </a:ext>
          </a:extLst>
        </xdr:cNvPr>
        <xdr:cNvSpPr>
          <a:spLocks noChangeShapeType="1"/>
        </xdr:cNvSpPr>
      </xdr:nvSpPr>
      <xdr:spPr bwMode="auto">
        <a:xfrm>
          <a:off x="115281075" y="71732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44</xdr:col>
      <xdr:colOff>323850</xdr:colOff>
      <xdr:row>199</xdr:row>
      <xdr:rowOff>0</xdr:rowOff>
    </xdr:from>
    <xdr:to>
      <xdr:col>44</xdr:col>
      <xdr:colOff>323850</xdr:colOff>
      <xdr:row>199</xdr:row>
      <xdr:rowOff>0</xdr:rowOff>
    </xdr:to>
    <xdr:sp macro="" textlink="">
      <xdr:nvSpPr>
        <xdr:cNvPr id="20" name="Line 7">
          <a:extLst>
            <a:ext uri="{FF2B5EF4-FFF2-40B4-BE49-F238E27FC236}">
              <a16:creationId xmlns:a16="http://schemas.microsoft.com/office/drawing/2014/main" id="{C1153A4E-8593-4EE9-91EB-2E1EDAF886FA}"/>
            </a:ext>
          </a:extLst>
        </xdr:cNvPr>
        <xdr:cNvSpPr>
          <a:spLocks noChangeShapeType="1"/>
        </xdr:cNvSpPr>
      </xdr:nvSpPr>
      <xdr:spPr bwMode="auto">
        <a:xfrm>
          <a:off x="115281075" y="7478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50</xdr:col>
      <xdr:colOff>323850</xdr:colOff>
      <xdr:row>202</xdr:row>
      <xdr:rowOff>0</xdr:rowOff>
    </xdr:from>
    <xdr:to>
      <xdr:col>50</xdr:col>
      <xdr:colOff>323850</xdr:colOff>
      <xdr:row>202</xdr:row>
      <xdr:rowOff>0</xdr:rowOff>
    </xdr:to>
    <xdr:sp macro="" textlink="">
      <xdr:nvSpPr>
        <xdr:cNvPr id="21" name="Line 7">
          <a:extLst>
            <a:ext uri="{FF2B5EF4-FFF2-40B4-BE49-F238E27FC236}">
              <a16:creationId xmlns:a16="http://schemas.microsoft.com/office/drawing/2014/main" id="{0632CB82-E6F6-47DA-9048-A9D134648DCC}"/>
            </a:ext>
          </a:extLst>
        </xdr:cNvPr>
        <xdr:cNvSpPr>
          <a:spLocks noChangeShapeType="1"/>
        </xdr:cNvSpPr>
      </xdr:nvSpPr>
      <xdr:spPr bwMode="auto">
        <a:xfrm>
          <a:off x="131568825" y="75923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50</xdr:col>
      <xdr:colOff>323850</xdr:colOff>
      <xdr:row>191</xdr:row>
      <xdr:rowOff>0</xdr:rowOff>
    </xdr:from>
    <xdr:to>
      <xdr:col>50</xdr:col>
      <xdr:colOff>323850</xdr:colOff>
      <xdr:row>191</xdr:row>
      <xdr:rowOff>0</xdr:rowOff>
    </xdr:to>
    <xdr:sp macro="" textlink="">
      <xdr:nvSpPr>
        <xdr:cNvPr id="22" name="Line 7">
          <a:extLst>
            <a:ext uri="{FF2B5EF4-FFF2-40B4-BE49-F238E27FC236}">
              <a16:creationId xmlns:a16="http://schemas.microsoft.com/office/drawing/2014/main" id="{EC750F2A-56C3-4508-A211-C14F0D48A762}"/>
            </a:ext>
          </a:extLst>
        </xdr:cNvPr>
        <xdr:cNvSpPr>
          <a:spLocks noChangeShapeType="1"/>
        </xdr:cNvSpPr>
      </xdr:nvSpPr>
      <xdr:spPr bwMode="auto">
        <a:xfrm>
          <a:off x="131568825" y="71732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50</xdr:col>
      <xdr:colOff>323850</xdr:colOff>
      <xdr:row>199</xdr:row>
      <xdr:rowOff>0</xdr:rowOff>
    </xdr:from>
    <xdr:to>
      <xdr:col>50</xdr:col>
      <xdr:colOff>323850</xdr:colOff>
      <xdr:row>199</xdr:row>
      <xdr:rowOff>0</xdr:rowOff>
    </xdr:to>
    <xdr:sp macro="" textlink="">
      <xdr:nvSpPr>
        <xdr:cNvPr id="23" name="Line 7">
          <a:extLst>
            <a:ext uri="{FF2B5EF4-FFF2-40B4-BE49-F238E27FC236}">
              <a16:creationId xmlns:a16="http://schemas.microsoft.com/office/drawing/2014/main" id="{3821BDD7-F21F-41F8-AFEC-4E96FAF7D438}"/>
            </a:ext>
          </a:extLst>
        </xdr:cNvPr>
        <xdr:cNvSpPr>
          <a:spLocks noChangeShapeType="1"/>
        </xdr:cNvSpPr>
      </xdr:nvSpPr>
      <xdr:spPr bwMode="auto">
        <a:xfrm>
          <a:off x="131568825" y="7478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44</xdr:col>
      <xdr:colOff>323850</xdr:colOff>
      <xdr:row>201</xdr:row>
      <xdr:rowOff>0</xdr:rowOff>
    </xdr:from>
    <xdr:to>
      <xdr:col>44</xdr:col>
      <xdr:colOff>323850</xdr:colOff>
      <xdr:row>201</xdr:row>
      <xdr:rowOff>0</xdr:rowOff>
    </xdr:to>
    <xdr:sp macro="" textlink="">
      <xdr:nvSpPr>
        <xdr:cNvPr id="24" name="Line 7">
          <a:extLst>
            <a:ext uri="{FF2B5EF4-FFF2-40B4-BE49-F238E27FC236}">
              <a16:creationId xmlns:a16="http://schemas.microsoft.com/office/drawing/2014/main" id="{940992F4-7066-498A-84EB-FC6F37F71FCF}"/>
            </a:ext>
          </a:extLst>
        </xdr:cNvPr>
        <xdr:cNvSpPr>
          <a:spLocks noChangeShapeType="1"/>
        </xdr:cNvSpPr>
      </xdr:nvSpPr>
      <xdr:spPr bwMode="auto">
        <a:xfrm>
          <a:off x="115281075" y="75542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44</xdr:col>
      <xdr:colOff>323850</xdr:colOff>
      <xdr:row>190</xdr:row>
      <xdr:rowOff>0</xdr:rowOff>
    </xdr:from>
    <xdr:to>
      <xdr:col>44</xdr:col>
      <xdr:colOff>323850</xdr:colOff>
      <xdr:row>190</xdr:row>
      <xdr:rowOff>0</xdr:rowOff>
    </xdr:to>
    <xdr:sp macro="" textlink="">
      <xdr:nvSpPr>
        <xdr:cNvPr id="25" name="Line 7">
          <a:extLst>
            <a:ext uri="{FF2B5EF4-FFF2-40B4-BE49-F238E27FC236}">
              <a16:creationId xmlns:a16="http://schemas.microsoft.com/office/drawing/2014/main" id="{29352DD9-4BB8-4E8F-8169-1F79F3E2F7F3}"/>
            </a:ext>
          </a:extLst>
        </xdr:cNvPr>
        <xdr:cNvSpPr>
          <a:spLocks noChangeShapeType="1"/>
        </xdr:cNvSpPr>
      </xdr:nvSpPr>
      <xdr:spPr bwMode="auto">
        <a:xfrm>
          <a:off x="115281075" y="7135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44</xdr:col>
      <xdr:colOff>323850</xdr:colOff>
      <xdr:row>198</xdr:row>
      <xdr:rowOff>0</xdr:rowOff>
    </xdr:from>
    <xdr:to>
      <xdr:col>44</xdr:col>
      <xdr:colOff>323850</xdr:colOff>
      <xdr:row>198</xdr:row>
      <xdr:rowOff>0</xdr:rowOff>
    </xdr:to>
    <xdr:sp macro="" textlink="">
      <xdr:nvSpPr>
        <xdr:cNvPr id="26" name="Line 7">
          <a:extLst>
            <a:ext uri="{FF2B5EF4-FFF2-40B4-BE49-F238E27FC236}">
              <a16:creationId xmlns:a16="http://schemas.microsoft.com/office/drawing/2014/main" id="{CE42B196-9CF9-49EB-B26D-71206FBB78E1}"/>
            </a:ext>
          </a:extLst>
        </xdr:cNvPr>
        <xdr:cNvSpPr>
          <a:spLocks noChangeShapeType="1"/>
        </xdr:cNvSpPr>
      </xdr:nvSpPr>
      <xdr:spPr bwMode="auto">
        <a:xfrm>
          <a:off x="115281075" y="74399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50</xdr:col>
      <xdr:colOff>323850</xdr:colOff>
      <xdr:row>201</xdr:row>
      <xdr:rowOff>0</xdr:rowOff>
    </xdr:from>
    <xdr:to>
      <xdr:col>50</xdr:col>
      <xdr:colOff>323850</xdr:colOff>
      <xdr:row>201</xdr:row>
      <xdr:rowOff>0</xdr:rowOff>
    </xdr:to>
    <xdr:sp macro="" textlink="">
      <xdr:nvSpPr>
        <xdr:cNvPr id="27" name="Line 7">
          <a:extLst>
            <a:ext uri="{FF2B5EF4-FFF2-40B4-BE49-F238E27FC236}">
              <a16:creationId xmlns:a16="http://schemas.microsoft.com/office/drawing/2014/main" id="{A491C491-A582-4507-BA3E-94F4E9AA100F}"/>
            </a:ext>
          </a:extLst>
        </xdr:cNvPr>
        <xdr:cNvSpPr>
          <a:spLocks noChangeShapeType="1"/>
        </xdr:cNvSpPr>
      </xdr:nvSpPr>
      <xdr:spPr bwMode="auto">
        <a:xfrm>
          <a:off x="131568825" y="75542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50</xdr:col>
      <xdr:colOff>323850</xdr:colOff>
      <xdr:row>190</xdr:row>
      <xdr:rowOff>0</xdr:rowOff>
    </xdr:from>
    <xdr:to>
      <xdr:col>50</xdr:col>
      <xdr:colOff>323850</xdr:colOff>
      <xdr:row>190</xdr:row>
      <xdr:rowOff>0</xdr:rowOff>
    </xdr:to>
    <xdr:sp macro="" textlink="">
      <xdr:nvSpPr>
        <xdr:cNvPr id="28" name="Line 7">
          <a:extLst>
            <a:ext uri="{FF2B5EF4-FFF2-40B4-BE49-F238E27FC236}">
              <a16:creationId xmlns:a16="http://schemas.microsoft.com/office/drawing/2014/main" id="{CB7ED831-2B8F-4327-86BF-62AC8A606AE7}"/>
            </a:ext>
          </a:extLst>
        </xdr:cNvPr>
        <xdr:cNvSpPr>
          <a:spLocks noChangeShapeType="1"/>
        </xdr:cNvSpPr>
      </xdr:nvSpPr>
      <xdr:spPr bwMode="auto">
        <a:xfrm>
          <a:off x="131568825" y="7135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50</xdr:col>
      <xdr:colOff>323850</xdr:colOff>
      <xdr:row>198</xdr:row>
      <xdr:rowOff>0</xdr:rowOff>
    </xdr:from>
    <xdr:to>
      <xdr:col>50</xdr:col>
      <xdr:colOff>323850</xdr:colOff>
      <xdr:row>198</xdr:row>
      <xdr:rowOff>0</xdr:rowOff>
    </xdr:to>
    <xdr:sp macro="" textlink="">
      <xdr:nvSpPr>
        <xdr:cNvPr id="29" name="Line 7">
          <a:extLst>
            <a:ext uri="{FF2B5EF4-FFF2-40B4-BE49-F238E27FC236}">
              <a16:creationId xmlns:a16="http://schemas.microsoft.com/office/drawing/2014/main" id="{AB8F42FA-2FF6-48EA-9245-952AD6E893B8}"/>
            </a:ext>
          </a:extLst>
        </xdr:cNvPr>
        <xdr:cNvSpPr>
          <a:spLocks noChangeShapeType="1"/>
        </xdr:cNvSpPr>
      </xdr:nvSpPr>
      <xdr:spPr bwMode="auto">
        <a:xfrm>
          <a:off x="131568825" y="74399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4</xdr:col>
      <xdr:colOff>228599</xdr:colOff>
      <xdr:row>81</xdr:row>
      <xdr:rowOff>9525</xdr:rowOff>
    </xdr:from>
    <xdr:to>
      <xdr:col>4</xdr:col>
      <xdr:colOff>636737</xdr:colOff>
      <xdr:row>83</xdr:row>
      <xdr:rowOff>17613</xdr:rowOff>
    </xdr:to>
    <xdr:pic>
      <xdr:nvPicPr>
        <xdr:cNvPr id="2" name="Image 1" descr="Google (Android 12L)">
          <a:extLst>
            <a:ext uri="{FF2B5EF4-FFF2-40B4-BE49-F238E27FC236}">
              <a16:creationId xmlns:a16="http://schemas.microsoft.com/office/drawing/2014/main" id="{F05B2487-6E25-4DBC-935B-0F97170C402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rot="5936220" flipH="1" flipV="1">
          <a:off x="3009899" y="20059650"/>
          <a:ext cx="408138" cy="4081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142875</xdr:colOff>
      <xdr:row>81</xdr:row>
      <xdr:rowOff>0</xdr:rowOff>
    </xdr:from>
    <xdr:to>
      <xdr:col>5</xdr:col>
      <xdr:colOff>447675</xdr:colOff>
      <xdr:row>82</xdr:row>
      <xdr:rowOff>104775</xdr:rowOff>
    </xdr:to>
    <xdr:pic>
      <xdr:nvPicPr>
        <xdr:cNvPr id="3" name="Image 2" descr="🔗 Lien">
          <a:extLst>
            <a:ext uri="{FF2B5EF4-FFF2-40B4-BE49-F238E27FC236}">
              <a16:creationId xmlns:a16="http://schemas.microsoft.com/office/drawing/2014/main" id="{0CEEBE5D-3CA1-471F-B4AF-84741CC6A18C}"/>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810000" y="20050125"/>
          <a:ext cx="304800" cy="304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81</xdr:row>
      <xdr:rowOff>1</xdr:rowOff>
    </xdr:from>
    <xdr:to>
      <xdr:col>6</xdr:col>
      <xdr:colOff>333375</xdr:colOff>
      <xdr:row>82</xdr:row>
      <xdr:rowOff>171092</xdr:rowOff>
    </xdr:to>
    <xdr:pic>
      <xdr:nvPicPr>
        <xdr:cNvPr id="4" name="Image 3">
          <a:extLst>
            <a:ext uri="{FF2B5EF4-FFF2-40B4-BE49-F238E27FC236}">
              <a16:creationId xmlns:a16="http://schemas.microsoft.com/office/drawing/2014/main" id="{B95185B7-AFD9-4B29-A958-EDCCEA57E701}"/>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4552950" y="20050126"/>
          <a:ext cx="333375" cy="371116"/>
        </a:xfrm>
        <a:prstGeom prst="rect">
          <a:avLst/>
        </a:prstGeom>
      </xdr:spPr>
    </xdr:pic>
    <xdr:clientData/>
  </xdr:twoCellAnchor>
  <xdr:oneCellAnchor>
    <xdr:from>
      <xdr:col>9</xdr:col>
      <xdr:colOff>0</xdr:colOff>
      <xdr:row>35</xdr:row>
      <xdr:rowOff>0</xdr:rowOff>
    </xdr:from>
    <xdr:ext cx="1438476" cy="781159"/>
    <xdr:pic>
      <xdr:nvPicPr>
        <xdr:cNvPr id="5" name="Image 4">
          <a:extLst>
            <a:ext uri="{FF2B5EF4-FFF2-40B4-BE49-F238E27FC236}">
              <a16:creationId xmlns:a16="http://schemas.microsoft.com/office/drawing/2014/main" id="{807DB525-FE6C-4DE1-940F-DBC809471C35}"/>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7467600" y="10696575"/>
          <a:ext cx="1438476" cy="781159"/>
        </a:xfrm>
        <a:prstGeom prst="rect">
          <a:avLst/>
        </a:prstGeom>
      </xdr:spPr>
    </xdr:pic>
    <xdr:clientData/>
  </xdr:oneCellAnchor>
  <xdr:oneCellAnchor>
    <xdr:from>
      <xdr:col>9</xdr:col>
      <xdr:colOff>0</xdr:colOff>
      <xdr:row>40</xdr:row>
      <xdr:rowOff>0</xdr:rowOff>
    </xdr:from>
    <xdr:ext cx="3639058" cy="2133898"/>
    <xdr:pic>
      <xdr:nvPicPr>
        <xdr:cNvPr id="6" name="Image 5">
          <a:extLst>
            <a:ext uri="{FF2B5EF4-FFF2-40B4-BE49-F238E27FC236}">
              <a16:creationId xmlns:a16="http://schemas.microsoft.com/office/drawing/2014/main" id="{A3012DBC-E434-4F06-9965-7887C887029D}"/>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7467600" y="11696700"/>
          <a:ext cx="3639058" cy="2133898"/>
        </a:xfrm>
        <a:prstGeom prst="rect">
          <a:avLst/>
        </a:prstGeom>
      </xdr:spPr>
    </xdr:pic>
    <xdr:clientData/>
  </xdr:oneCellAnchor>
  <xdr:twoCellAnchor editAs="oneCell">
    <xdr:from>
      <xdr:col>9</xdr:col>
      <xdr:colOff>733425</xdr:colOff>
      <xdr:row>1</xdr:row>
      <xdr:rowOff>38100</xdr:rowOff>
    </xdr:from>
    <xdr:to>
      <xdr:col>10</xdr:col>
      <xdr:colOff>281828</xdr:colOff>
      <xdr:row>2</xdr:row>
      <xdr:rowOff>238125</xdr:rowOff>
    </xdr:to>
    <xdr:pic>
      <xdr:nvPicPr>
        <xdr:cNvPr id="7" name="Image 6">
          <a:extLst>
            <a:ext uri="{FF2B5EF4-FFF2-40B4-BE49-F238E27FC236}">
              <a16:creationId xmlns:a16="http://schemas.microsoft.com/office/drawing/2014/main" id="{AC0FF34E-7B17-41CC-98AF-95F33FCD34E0}"/>
            </a:ext>
          </a:extLst>
        </xdr:cNvPr>
        <xdr:cNvPicPr>
          <a:picLocks noChangeAspect="1"/>
        </xdr:cNvPicPr>
      </xdr:nvPicPr>
      <xdr:blipFill>
        <a:blip xmlns:r="http://schemas.openxmlformats.org/officeDocument/2006/relationships" r:embed="rId6"/>
        <a:stretch>
          <a:fillRect/>
        </a:stretch>
      </xdr:blipFill>
      <xdr:spPr>
        <a:xfrm>
          <a:off x="8201025" y="228600"/>
          <a:ext cx="815228" cy="571500"/>
        </a:xfrm>
        <a:prstGeom prst="rect">
          <a:avLst/>
        </a:prstGeom>
      </xdr:spPr>
    </xdr:pic>
    <xdr:clientData/>
  </xdr:twoCellAnchor>
  <xdr:twoCellAnchor editAs="oneCell">
    <xdr:from>
      <xdr:col>33</xdr:col>
      <xdr:colOff>47625</xdr:colOff>
      <xdr:row>0</xdr:row>
      <xdr:rowOff>114300</xdr:rowOff>
    </xdr:from>
    <xdr:to>
      <xdr:col>33</xdr:col>
      <xdr:colOff>895763</xdr:colOff>
      <xdr:row>2</xdr:row>
      <xdr:rowOff>161925</xdr:rowOff>
    </xdr:to>
    <xdr:pic>
      <xdr:nvPicPr>
        <xdr:cNvPr id="8" name="Image 7">
          <a:extLst>
            <a:ext uri="{FF2B5EF4-FFF2-40B4-BE49-F238E27FC236}">
              <a16:creationId xmlns:a16="http://schemas.microsoft.com/office/drawing/2014/main" id="{CA50C592-7AC2-4852-B991-640D337429E7}"/>
            </a:ext>
          </a:extLst>
        </xdr:cNvPr>
        <xdr:cNvPicPr>
          <a:picLocks noChangeAspect="1"/>
        </xdr:cNvPicPr>
      </xdr:nvPicPr>
      <xdr:blipFill>
        <a:blip xmlns:r="http://schemas.openxmlformats.org/officeDocument/2006/relationships" r:embed="rId7"/>
        <a:stretch>
          <a:fillRect/>
        </a:stretch>
      </xdr:blipFill>
      <xdr:spPr>
        <a:xfrm>
          <a:off x="28527375" y="114300"/>
          <a:ext cx="848138" cy="609600"/>
        </a:xfrm>
        <a:prstGeom prst="rect">
          <a:avLst/>
        </a:prstGeom>
      </xdr:spPr>
    </xdr:pic>
    <xdr:clientData/>
  </xdr:twoCellAnchor>
  <xdr:twoCellAnchor editAs="oneCell">
    <xdr:from>
      <xdr:col>48</xdr:col>
      <xdr:colOff>19050</xdr:colOff>
      <xdr:row>1</xdr:row>
      <xdr:rowOff>114300</xdr:rowOff>
    </xdr:from>
    <xdr:to>
      <xdr:col>49</xdr:col>
      <xdr:colOff>123946</xdr:colOff>
      <xdr:row>2</xdr:row>
      <xdr:rowOff>342984</xdr:rowOff>
    </xdr:to>
    <xdr:pic>
      <xdr:nvPicPr>
        <xdr:cNvPr id="9" name="Image 8">
          <a:extLst>
            <a:ext uri="{FF2B5EF4-FFF2-40B4-BE49-F238E27FC236}">
              <a16:creationId xmlns:a16="http://schemas.microsoft.com/office/drawing/2014/main" id="{D405A83D-0885-4903-AB6D-5D44E892BE47}"/>
            </a:ext>
          </a:extLst>
        </xdr:cNvPr>
        <xdr:cNvPicPr>
          <a:picLocks noChangeAspect="1"/>
        </xdr:cNvPicPr>
      </xdr:nvPicPr>
      <xdr:blipFill>
        <a:blip xmlns:r="http://schemas.openxmlformats.org/officeDocument/2006/relationships" r:embed="rId8"/>
        <a:stretch>
          <a:fillRect/>
        </a:stretch>
      </xdr:blipFill>
      <xdr:spPr>
        <a:xfrm>
          <a:off x="41948100" y="304800"/>
          <a:ext cx="866896" cy="600159"/>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oneCellAnchor>
    <xdr:from>
      <xdr:col>5</xdr:col>
      <xdr:colOff>476250</xdr:colOff>
      <xdr:row>82</xdr:row>
      <xdr:rowOff>28575</xdr:rowOff>
    </xdr:from>
    <xdr:ext cx="2791215" cy="3553321"/>
    <xdr:pic>
      <xdr:nvPicPr>
        <xdr:cNvPr id="2" name="Image 1">
          <a:extLst>
            <a:ext uri="{FF2B5EF4-FFF2-40B4-BE49-F238E27FC236}">
              <a16:creationId xmlns:a16="http://schemas.microsoft.com/office/drawing/2014/main" id="{3EA1EAA4-BE88-4CDE-AC38-55E3E68B9950}"/>
            </a:ext>
          </a:extLst>
        </xdr:cNvPr>
        <xdr:cNvPicPr>
          <a:picLocks noChangeAspect="1"/>
        </xdr:cNvPicPr>
      </xdr:nvPicPr>
      <xdr:blipFill>
        <a:blip xmlns:r="http://schemas.openxmlformats.org/officeDocument/2006/relationships" r:embed="rId1"/>
        <a:stretch>
          <a:fillRect/>
        </a:stretch>
      </xdr:blipFill>
      <xdr:spPr>
        <a:xfrm>
          <a:off x="8639175" y="16659225"/>
          <a:ext cx="2791215" cy="3553321"/>
        </a:xfrm>
        <a:prstGeom prst="rect">
          <a:avLst/>
        </a:prstGeom>
      </xdr:spPr>
    </xdr:pic>
    <xdr:clientData/>
  </xdr:oneCellAnchor>
  <xdr:oneCellAnchor>
    <xdr:from>
      <xdr:col>6</xdr:col>
      <xdr:colOff>2990850</xdr:colOff>
      <xdr:row>82</xdr:row>
      <xdr:rowOff>142875</xdr:rowOff>
    </xdr:from>
    <xdr:ext cx="2543530" cy="3057952"/>
    <xdr:pic>
      <xdr:nvPicPr>
        <xdr:cNvPr id="3" name="Image 2">
          <a:extLst>
            <a:ext uri="{FF2B5EF4-FFF2-40B4-BE49-F238E27FC236}">
              <a16:creationId xmlns:a16="http://schemas.microsoft.com/office/drawing/2014/main" id="{C007820A-A14D-4771-A015-7600BB52759C}"/>
            </a:ext>
          </a:extLst>
        </xdr:cNvPr>
        <xdr:cNvPicPr>
          <a:picLocks noChangeAspect="1"/>
        </xdr:cNvPicPr>
      </xdr:nvPicPr>
      <xdr:blipFill>
        <a:blip xmlns:r="http://schemas.openxmlformats.org/officeDocument/2006/relationships" r:embed="rId2"/>
        <a:stretch>
          <a:fillRect/>
        </a:stretch>
      </xdr:blipFill>
      <xdr:spPr>
        <a:xfrm>
          <a:off x="13687425" y="16773525"/>
          <a:ext cx="2543530" cy="3057952"/>
        </a:xfrm>
        <a:prstGeom prst="rect">
          <a:avLst/>
        </a:prstGeom>
      </xdr:spPr>
    </xdr:pic>
    <xdr:clientData/>
  </xdr:oneCellAnchor>
  <xdr:oneCellAnchor>
    <xdr:from>
      <xdr:col>5</xdr:col>
      <xdr:colOff>371475</xdr:colOff>
      <xdr:row>101</xdr:row>
      <xdr:rowOff>171450</xdr:rowOff>
    </xdr:from>
    <xdr:ext cx="2619741" cy="3458058"/>
    <xdr:pic>
      <xdr:nvPicPr>
        <xdr:cNvPr id="4" name="Image 3">
          <a:extLst>
            <a:ext uri="{FF2B5EF4-FFF2-40B4-BE49-F238E27FC236}">
              <a16:creationId xmlns:a16="http://schemas.microsoft.com/office/drawing/2014/main" id="{79205AA0-BC9E-4D12-AAA5-DA764B0CF78A}"/>
            </a:ext>
          </a:extLst>
        </xdr:cNvPr>
        <xdr:cNvPicPr>
          <a:picLocks noChangeAspect="1"/>
        </xdr:cNvPicPr>
      </xdr:nvPicPr>
      <xdr:blipFill>
        <a:blip xmlns:r="http://schemas.openxmlformats.org/officeDocument/2006/relationships" r:embed="rId3"/>
        <a:stretch>
          <a:fillRect/>
        </a:stretch>
      </xdr:blipFill>
      <xdr:spPr>
        <a:xfrm>
          <a:off x="8534400" y="20564475"/>
          <a:ext cx="2619741" cy="3458058"/>
        </a:xfrm>
        <a:prstGeom prst="rect">
          <a:avLst/>
        </a:prstGeom>
      </xdr:spPr>
    </xdr:pic>
    <xdr:clientData/>
  </xdr:oneCellAnchor>
  <xdr:oneCellAnchor>
    <xdr:from>
      <xdr:col>6</xdr:col>
      <xdr:colOff>2009775</xdr:colOff>
      <xdr:row>101</xdr:row>
      <xdr:rowOff>19050</xdr:rowOff>
    </xdr:from>
    <xdr:ext cx="3629532" cy="2953162"/>
    <xdr:pic>
      <xdr:nvPicPr>
        <xdr:cNvPr id="5" name="Image 4">
          <a:extLst>
            <a:ext uri="{FF2B5EF4-FFF2-40B4-BE49-F238E27FC236}">
              <a16:creationId xmlns:a16="http://schemas.microsoft.com/office/drawing/2014/main" id="{4252007A-AF55-417A-B3F4-22FA5E09E937}"/>
            </a:ext>
          </a:extLst>
        </xdr:cNvPr>
        <xdr:cNvPicPr>
          <a:picLocks noChangeAspect="1"/>
        </xdr:cNvPicPr>
      </xdr:nvPicPr>
      <xdr:blipFill>
        <a:blip xmlns:r="http://schemas.openxmlformats.org/officeDocument/2006/relationships" r:embed="rId4"/>
        <a:stretch>
          <a:fillRect/>
        </a:stretch>
      </xdr:blipFill>
      <xdr:spPr>
        <a:xfrm>
          <a:off x="12706350" y="20412075"/>
          <a:ext cx="3629532" cy="2953162"/>
        </a:xfrm>
        <a:prstGeom prst="rect">
          <a:avLst/>
        </a:prstGeom>
      </xdr:spPr>
    </xdr:pic>
    <xdr:clientData/>
  </xdr:oneCellAnchor>
</xdr:wsDr>
</file>

<file path=xl/drawings/drawing15.xml><?xml version="1.0" encoding="utf-8"?>
<xdr:wsDr xmlns:xdr="http://schemas.openxmlformats.org/drawingml/2006/spreadsheetDrawing" xmlns:a="http://schemas.openxmlformats.org/drawingml/2006/main">
  <xdr:oneCellAnchor>
    <xdr:from>
      <xdr:col>9</xdr:col>
      <xdr:colOff>304800</xdr:colOff>
      <xdr:row>57</xdr:row>
      <xdr:rowOff>66675</xdr:rowOff>
    </xdr:from>
    <xdr:ext cx="2448267" cy="2676899"/>
    <xdr:pic>
      <xdr:nvPicPr>
        <xdr:cNvPr id="2" name="Image 1">
          <a:extLst>
            <a:ext uri="{FF2B5EF4-FFF2-40B4-BE49-F238E27FC236}">
              <a16:creationId xmlns:a16="http://schemas.microsoft.com/office/drawing/2014/main" id="{4DE7B690-DC1B-4530-B932-36B55D32210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981950" y="14087475"/>
          <a:ext cx="2448267" cy="2676899"/>
        </a:xfrm>
        <a:prstGeom prst="rect">
          <a:avLst/>
        </a:prstGeom>
      </xdr:spPr>
    </xdr:pic>
    <xdr:clientData/>
  </xdr:oneCellAnchor>
  <xdr:oneCellAnchor>
    <xdr:from>
      <xdr:col>12</xdr:col>
      <xdr:colOff>276225</xdr:colOff>
      <xdr:row>58</xdr:row>
      <xdr:rowOff>104775</xdr:rowOff>
    </xdr:from>
    <xdr:ext cx="2600688" cy="1686160"/>
    <xdr:pic>
      <xdr:nvPicPr>
        <xdr:cNvPr id="3" name="Image 2">
          <a:extLst>
            <a:ext uri="{FF2B5EF4-FFF2-40B4-BE49-F238E27FC236}">
              <a16:creationId xmlns:a16="http://schemas.microsoft.com/office/drawing/2014/main" id="{89A57E02-4A30-4627-AD8C-4318AB92AED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0239375" y="14325600"/>
          <a:ext cx="2600688" cy="1686160"/>
        </a:xfrm>
        <a:prstGeom prst="rect">
          <a:avLst/>
        </a:prstGeom>
      </xdr:spPr>
    </xdr:pic>
    <xdr:clientData/>
  </xdr:oneCellAnchor>
</xdr:wsDr>
</file>

<file path=xl/drawings/drawing16.xml><?xml version="1.0" encoding="utf-8"?>
<xdr:wsDr xmlns:xdr="http://schemas.openxmlformats.org/drawingml/2006/spreadsheetDrawing" xmlns:a="http://schemas.openxmlformats.org/drawingml/2006/main">
  <xdr:oneCellAnchor>
    <xdr:from>
      <xdr:col>13</xdr:col>
      <xdr:colOff>66675</xdr:colOff>
      <xdr:row>143</xdr:row>
      <xdr:rowOff>47625</xdr:rowOff>
    </xdr:from>
    <xdr:ext cx="3362325" cy="1562100"/>
    <xdr:pic>
      <xdr:nvPicPr>
        <xdr:cNvPr id="2" name="Image 1" descr="Résultats de pourcentage dans la colonne D">
          <a:extLst>
            <a:ext uri="{FF2B5EF4-FFF2-40B4-BE49-F238E27FC236}">
              <a16:creationId xmlns:a16="http://schemas.microsoft.com/office/drawing/2014/main" id="{BFB960D3-741A-4496-8E18-22C094DC62D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01400" y="32308800"/>
          <a:ext cx="3362325" cy="15621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81</xdr:row>
      <xdr:rowOff>123825</xdr:rowOff>
    </xdr:from>
    <xdr:ext cx="8316486" cy="1876687"/>
    <xdr:pic>
      <xdr:nvPicPr>
        <xdr:cNvPr id="3" name="Image 2">
          <a:extLst>
            <a:ext uri="{FF2B5EF4-FFF2-40B4-BE49-F238E27FC236}">
              <a16:creationId xmlns:a16="http://schemas.microsoft.com/office/drawing/2014/main" id="{670C2C7D-A498-4233-8933-5F577EADBC5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57200" y="18449925"/>
          <a:ext cx="8316486" cy="1876687"/>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oneCellAnchor>
    <xdr:from>
      <xdr:col>33</xdr:col>
      <xdr:colOff>355600</xdr:colOff>
      <xdr:row>270</xdr:row>
      <xdr:rowOff>317500</xdr:rowOff>
    </xdr:from>
    <xdr:ext cx="1781299" cy="1686185"/>
    <xdr:pic>
      <xdr:nvPicPr>
        <xdr:cNvPr id="2" name="Picture 1">
          <a:extLst>
            <a:ext uri="{FF2B5EF4-FFF2-40B4-BE49-F238E27FC236}">
              <a16:creationId xmlns:a16="http://schemas.microsoft.com/office/drawing/2014/main" id="{3BA4A734-1960-4E89-92EB-E6C067ED60F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787975" y="126580900"/>
          <a:ext cx="1781299" cy="16861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xdr:col>
      <xdr:colOff>749301</xdr:colOff>
      <xdr:row>257</xdr:row>
      <xdr:rowOff>469900</xdr:rowOff>
    </xdr:from>
    <xdr:ext cx="558799" cy="562381"/>
    <xdr:pic>
      <xdr:nvPicPr>
        <xdr:cNvPr id="3" name="Image 2">
          <a:extLst>
            <a:ext uri="{FF2B5EF4-FFF2-40B4-BE49-F238E27FC236}">
              <a16:creationId xmlns:a16="http://schemas.microsoft.com/office/drawing/2014/main" id="{CF6784D7-3600-402A-AB4F-A84CF3642CC5}"/>
            </a:ext>
          </a:extLst>
        </xdr:cNvPr>
        <xdr:cNvPicPr>
          <a:picLocks noChangeAspect="1"/>
        </xdr:cNvPicPr>
      </xdr:nvPicPr>
      <xdr:blipFill>
        <a:blip xmlns:r="http://schemas.openxmlformats.org/officeDocument/2006/relationships" r:embed="rId2"/>
        <a:stretch>
          <a:fillRect/>
        </a:stretch>
      </xdr:blipFill>
      <xdr:spPr>
        <a:xfrm>
          <a:off x="14951076" y="120046750"/>
          <a:ext cx="558799" cy="562381"/>
        </a:xfrm>
        <a:prstGeom prst="rect">
          <a:avLst/>
        </a:prstGeom>
        <a:solidFill>
          <a:srgbClr val="000000"/>
        </a:solidFill>
      </xdr:spPr>
    </xdr:pic>
    <xdr:clientData/>
  </xdr:oneCellAnchor>
  <xdr:oneCellAnchor>
    <xdr:from>
      <xdr:col>17</xdr:col>
      <xdr:colOff>215900</xdr:colOff>
      <xdr:row>257</xdr:row>
      <xdr:rowOff>457200</xdr:rowOff>
    </xdr:from>
    <xdr:ext cx="533400" cy="536755"/>
    <xdr:pic>
      <xdr:nvPicPr>
        <xdr:cNvPr id="4" name="Image 3">
          <a:extLst>
            <a:ext uri="{FF2B5EF4-FFF2-40B4-BE49-F238E27FC236}">
              <a16:creationId xmlns:a16="http://schemas.microsoft.com/office/drawing/2014/main" id="{33FE2060-440A-4666-A3AE-6485B68B960B}"/>
            </a:ext>
          </a:extLst>
        </xdr:cNvPr>
        <xdr:cNvPicPr>
          <a:picLocks noChangeAspect="1"/>
        </xdr:cNvPicPr>
      </xdr:nvPicPr>
      <xdr:blipFill>
        <a:blip xmlns:r="http://schemas.openxmlformats.org/officeDocument/2006/relationships" r:embed="rId3"/>
        <a:stretch>
          <a:fillRect/>
        </a:stretch>
      </xdr:blipFill>
      <xdr:spPr>
        <a:xfrm>
          <a:off x="16122650" y="120034050"/>
          <a:ext cx="533400" cy="536755"/>
        </a:xfrm>
        <a:prstGeom prst="rect">
          <a:avLst/>
        </a:prstGeom>
      </xdr:spPr>
    </xdr:pic>
    <xdr:clientData/>
  </xdr:oneCellAnchor>
  <xdr:oneCellAnchor>
    <xdr:from>
      <xdr:col>18</xdr:col>
      <xdr:colOff>381001</xdr:colOff>
      <xdr:row>257</xdr:row>
      <xdr:rowOff>431801</xdr:rowOff>
    </xdr:from>
    <xdr:ext cx="584200" cy="556214"/>
    <xdr:pic>
      <xdr:nvPicPr>
        <xdr:cNvPr id="5" name="Image 4">
          <a:extLst>
            <a:ext uri="{FF2B5EF4-FFF2-40B4-BE49-F238E27FC236}">
              <a16:creationId xmlns:a16="http://schemas.microsoft.com/office/drawing/2014/main" id="{14D14B34-9C8A-433A-9B93-BB853AE7FB9D}"/>
            </a:ext>
          </a:extLst>
        </xdr:cNvPr>
        <xdr:cNvPicPr>
          <a:picLocks noChangeAspect="1"/>
        </xdr:cNvPicPr>
      </xdr:nvPicPr>
      <xdr:blipFill>
        <a:blip xmlns:r="http://schemas.openxmlformats.org/officeDocument/2006/relationships" r:embed="rId4"/>
        <a:stretch>
          <a:fillRect/>
        </a:stretch>
      </xdr:blipFill>
      <xdr:spPr>
        <a:xfrm>
          <a:off x="17049751" y="120008651"/>
          <a:ext cx="584200" cy="556214"/>
        </a:xfrm>
        <a:prstGeom prst="rect">
          <a:avLst/>
        </a:prstGeom>
      </xdr:spPr>
    </xdr:pic>
    <xdr:clientData/>
  </xdr:oneCellAnchor>
  <xdr:oneCellAnchor>
    <xdr:from>
      <xdr:col>19</xdr:col>
      <xdr:colOff>622301</xdr:colOff>
      <xdr:row>257</xdr:row>
      <xdr:rowOff>457200</xdr:rowOff>
    </xdr:from>
    <xdr:ext cx="647700" cy="505624"/>
    <xdr:pic>
      <xdr:nvPicPr>
        <xdr:cNvPr id="6" name="Image 5">
          <a:extLst>
            <a:ext uri="{FF2B5EF4-FFF2-40B4-BE49-F238E27FC236}">
              <a16:creationId xmlns:a16="http://schemas.microsoft.com/office/drawing/2014/main" id="{CB2B1288-378D-493D-8099-21AEAB789AAB}"/>
            </a:ext>
          </a:extLst>
        </xdr:cNvPr>
        <xdr:cNvPicPr>
          <a:picLocks noChangeAspect="1"/>
        </xdr:cNvPicPr>
      </xdr:nvPicPr>
      <xdr:blipFill>
        <a:blip xmlns:r="http://schemas.openxmlformats.org/officeDocument/2006/relationships" r:embed="rId5"/>
        <a:stretch>
          <a:fillRect/>
        </a:stretch>
      </xdr:blipFill>
      <xdr:spPr>
        <a:xfrm>
          <a:off x="18053051" y="120034050"/>
          <a:ext cx="647700" cy="505624"/>
        </a:xfrm>
        <a:prstGeom prst="rect">
          <a:avLst/>
        </a:prstGeom>
      </xdr:spPr>
    </xdr:pic>
    <xdr:clientData/>
  </xdr:oneCellAnchor>
  <xdr:oneCellAnchor>
    <xdr:from>
      <xdr:col>21</xdr:col>
      <xdr:colOff>127000</xdr:colOff>
      <xdr:row>257</xdr:row>
      <xdr:rowOff>431800</xdr:rowOff>
    </xdr:from>
    <xdr:ext cx="518583" cy="533400"/>
    <xdr:pic>
      <xdr:nvPicPr>
        <xdr:cNvPr id="7" name="Image 6">
          <a:extLst>
            <a:ext uri="{FF2B5EF4-FFF2-40B4-BE49-F238E27FC236}">
              <a16:creationId xmlns:a16="http://schemas.microsoft.com/office/drawing/2014/main" id="{3184AA01-2AA3-4505-993F-8CA8BD80F825}"/>
            </a:ext>
          </a:extLst>
        </xdr:cNvPr>
        <xdr:cNvPicPr>
          <a:picLocks noChangeAspect="1"/>
        </xdr:cNvPicPr>
      </xdr:nvPicPr>
      <xdr:blipFill>
        <a:blip xmlns:r="http://schemas.openxmlformats.org/officeDocument/2006/relationships" r:embed="rId6"/>
        <a:stretch>
          <a:fillRect/>
        </a:stretch>
      </xdr:blipFill>
      <xdr:spPr>
        <a:xfrm>
          <a:off x="19119850" y="120008650"/>
          <a:ext cx="518583" cy="533400"/>
        </a:xfrm>
        <a:prstGeom prst="rect">
          <a:avLst/>
        </a:prstGeom>
      </xdr:spPr>
    </xdr:pic>
    <xdr:clientData/>
  </xdr:oneCellAnchor>
  <xdr:oneCellAnchor>
    <xdr:from>
      <xdr:col>21</xdr:col>
      <xdr:colOff>990600</xdr:colOff>
      <xdr:row>257</xdr:row>
      <xdr:rowOff>444500</xdr:rowOff>
    </xdr:from>
    <xdr:ext cx="508000" cy="508000"/>
    <xdr:pic>
      <xdr:nvPicPr>
        <xdr:cNvPr id="8" name="Image 7">
          <a:extLst>
            <a:ext uri="{FF2B5EF4-FFF2-40B4-BE49-F238E27FC236}">
              <a16:creationId xmlns:a16="http://schemas.microsoft.com/office/drawing/2014/main" id="{7AA1B40F-64B8-4538-9D1D-5EB8BB3BA11F}"/>
            </a:ext>
          </a:extLst>
        </xdr:cNvPr>
        <xdr:cNvPicPr>
          <a:picLocks noChangeAspect="1"/>
        </xdr:cNvPicPr>
      </xdr:nvPicPr>
      <xdr:blipFill>
        <a:blip xmlns:r="http://schemas.openxmlformats.org/officeDocument/2006/relationships" r:embed="rId7"/>
        <a:stretch>
          <a:fillRect/>
        </a:stretch>
      </xdr:blipFill>
      <xdr:spPr>
        <a:xfrm>
          <a:off x="19983450" y="120021350"/>
          <a:ext cx="508000" cy="508000"/>
        </a:xfrm>
        <a:prstGeom prst="rect">
          <a:avLst/>
        </a:prstGeom>
      </xdr:spPr>
    </xdr:pic>
    <xdr:clientData/>
  </xdr:oneCellAnchor>
  <xdr:oneCellAnchor>
    <xdr:from>
      <xdr:col>23</xdr:col>
      <xdr:colOff>558800</xdr:colOff>
      <xdr:row>257</xdr:row>
      <xdr:rowOff>469900</xdr:rowOff>
    </xdr:from>
    <xdr:ext cx="516579" cy="469900"/>
    <xdr:pic>
      <xdr:nvPicPr>
        <xdr:cNvPr id="9" name="Image 8">
          <a:extLst>
            <a:ext uri="{FF2B5EF4-FFF2-40B4-BE49-F238E27FC236}">
              <a16:creationId xmlns:a16="http://schemas.microsoft.com/office/drawing/2014/main" id="{6A430137-F0A6-4996-9328-E91B18A104CC}"/>
            </a:ext>
          </a:extLst>
        </xdr:cNvPr>
        <xdr:cNvPicPr>
          <a:picLocks noChangeAspect="1"/>
        </xdr:cNvPicPr>
      </xdr:nvPicPr>
      <xdr:blipFill>
        <a:blip xmlns:r="http://schemas.openxmlformats.org/officeDocument/2006/relationships" r:embed="rId8"/>
        <a:stretch>
          <a:fillRect/>
        </a:stretch>
      </xdr:blipFill>
      <xdr:spPr>
        <a:xfrm>
          <a:off x="21828125" y="120046750"/>
          <a:ext cx="516579" cy="469900"/>
        </a:xfrm>
        <a:prstGeom prst="rect">
          <a:avLst/>
        </a:prstGeom>
      </xdr:spPr>
    </xdr:pic>
    <xdr:clientData/>
  </xdr:oneCellAnchor>
  <xdr:oneCellAnchor>
    <xdr:from>
      <xdr:col>22</xdr:col>
      <xdr:colOff>673100</xdr:colOff>
      <xdr:row>257</xdr:row>
      <xdr:rowOff>457200</xdr:rowOff>
    </xdr:from>
    <xdr:ext cx="495299" cy="495299"/>
    <xdr:pic>
      <xdr:nvPicPr>
        <xdr:cNvPr id="10" name="Image 9">
          <a:extLst>
            <a:ext uri="{FF2B5EF4-FFF2-40B4-BE49-F238E27FC236}">
              <a16:creationId xmlns:a16="http://schemas.microsoft.com/office/drawing/2014/main" id="{FBE33644-3DF8-4E3F-ADC6-E08FD7DF47D6}"/>
            </a:ext>
          </a:extLst>
        </xdr:cNvPr>
        <xdr:cNvPicPr>
          <a:picLocks noChangeAspect="1"/>
        </xdr:cNvPicPr>
      </xdr:nvPicPr>
      <xdr:blipFill>
        <a:blip xmlns:r="http://schemas.openxmlformats.org/officeDocument/2006/relationships" r:embed="rId9"/>
        <a:stretch>
          <a:fillRect/>
        </a:stretch>
      </xdr:blipFill>
      <xdr:spPr>
        <a:xfrm>
          <a:off x="20875625" y="120034050"/>
          <a:ext cx="495299" cy="495299"/>
        </a:xfrm>
        <a:prstGeom prst="rect">
          <a:avLst/>
        </a:prstGeom>
      </xdr:spPr>
    </xdr:pic>
    <xdr:clientData/>
  </xdr:oneCellAnchor>
  <xdr:oneCellAnchor>
    <xdr:from>
      <xdr:col>4</xdr:col>
      <xdr:colOff>25400</xdr:colOff>
      <xdr:row>210</xdr:row>
      <xdr:rowOff>12700</xdr:rowOff>
    </xdr:from>
    <xdr:ext cx="2562583" cy="276253"/>
    <xdr:pic>
      <xdr:nvPicPr>
        <xdr:cNvPr id="15" name="Image 14">
          <a:extLst>
            <a:ext uri="{FF2B5EF4-FFF2-40B4-BE49-F238E27FC236}">
              <a16:creationId xmlns:a16="http://schemas.microsoft.com/office/drawing/2014/main" id="{8B843487-98A4-42CD-A988-D6D97FC4ED73}"/>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4406900" y="98482150"/>
          <a:ext cx="2562583" cy="276253"/>
        </a:xfrm>
        <a:prstGeom prst="rect">
          <a:avLst/>
        </a:prstGeom>
      </xdr:spPr>
    </xdr:pic>
    <xdr:clientData/>
  </xdr:oneCellAnchor>
  <xdr:oneCellAnchor>
    <xdr:from>
      <xdr:col>16</xdr:col>
      <xdr:colOff>85725</xdr:colOff>
      <xdr:row>210</xdr:row>
      <xdr:rowOff>238125</xdr:rowOff>
    </xdr:from>
    <xdr:ext cx="5105400" cy="2000250"/>
    <xdr:pic>
      <xdr:nvPicPr>
        <xdr:cNvPr id="17" name="Image 16">
          <a:extLst>
            <a:ext uri="{FF2B5EF4-FFF2-40B4-BE49-F238E27FC236}">
              <a16:creationId xmlns:a16="http://schemas.microsoft.com/office/drawing/2014/main" id="{CFC31D0D-B3AF-41EF-AF77-80EED4FA3250}"/>
            </a:ext>
          </a:extLst>
        </xdr:cNvPr>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15230475" y="98707575"/>
          <a:ext cx="5105400" cy="2000250"/>
        </a:xfrm>
        <a:prstGeom prst="rect">
          <a:avLst/>
        </a:prstGeom>
      </xdr:spPr>
    </xdr:pic>
    <xdr:clientData/>
  </xdr:oneCellAnchor>
  <xdr:twoCellAnchor editAs="oneCell">
    <xdr:from>
      <xdr:col>20</xdr:col>
      <xdr:colOff>330200</xdr:colOff>
      <xdr:row>8</xdr:row>
      <xdr:rowOff>12700</xdr:rowOff>
    </xdr:from>
    <xdr:to>
      <xdr:col>22</xdr:col>
      <xdr:colOff>266701</xdr:colOff>
      <xdr:row>10</xdr:row>
      <xdr:rowOff>368300</xdr:rowOff>
    </xdr:to>
    <xdr:pic>
      <xdr:nvPicPr>
        <xdr:cNvPr id="19" name="Image 18">
          <a:extLst>
            <a:ext uri="{FF2B5EF4-FFF2-40B4-BE49-F238E27FC236}">
              <a16:creationId xmlns:a16="http://schemas.microsoft.com/office/drawing/2014/main" id="{660F7C08-0BA1-481B-B4E9-D8C0B5E80F8E}"/>
            </a:ext>
          </a:extLst>
        </xdr:cNvPr>
        <xdr:cNvPicPr>
          <a:picLocks noChangeAspect="1"/>
        </xdr:cNvPicPr>
      </xdr:nvPicPr>
      <xdr:blipFill>
        <a:blip xmlns:r="http://schemas.openxmlformats.org/officeDocument/2006/relationships" r:embed="rId12"/>
        <a:stretch>
          <a:fillRect/>
        </a:stretch>
      </xdr:blipFill>
      <xdr:spPr>
        <a:xfrm>
          <a:off x="18554700" y="774700"/>
          <a:ext cx="1930401" cy="1117600"/>
        </a:xfrm>
        <a:prstGeom prst="rect">
          <a:avLst/>
        </a:prstGeom>
      </xdr:spPr>
    </xdr:pic>
    <xdr:clientData/>
  </xdr:twoCellAnchor>
  <xdr:oneCellAnchor>
    <xdr:from>
      <xdr:col>4</xdr:col>
      <xdr:colOff>596900</xdr:colOff>
      <xdr:row>213</xdr:row>
      <xdr:rowOff>25399</xdr:rowOff>
    </xdr:from>
    <xdr:ext cx="2235200" cy="1197925"/>
    <xdr:pic>
      <xdr:nvPicPr>
        <xdr:cNvPr id="20" name="Image 19">
          <a:extLst>
            <a:ext uri="{FF2B5EF4-FFF2-40B4-BE49-F238E27FC236}">
              <a16:creationId xmlns:a16="http://schemas.microsoft.com/office/drawing/2014/main" id="{436DDCCD-553C-4E76-A7C1-E9A3961FFC36}"/>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4978400" y="81988024"/>
          <a:ext cx="2235200" cy="1197925"/>
        </a:xfrm>
        <a:prstGeom prst="rect">
          <a:avLst/>
        </a:prstGeom>
      </xdr:spPr>
    </xdr:pic>
    <xdr:clientData/>
  </xdr:oneCellAnchor>
  <xdr:oneCellAnchor>
    <xdr:from>
      <xdr:col>5</xdr:col>
      <xdr:colOff>476250</xdr:colOff>
      <xdr:row>79</xdr:row>
      <xdr:rowOff>0</xdr:rowOff>
    </xdr:from>
    <xdr:ext cx="2289175" cy="1058870"/>
    <xdr:pic>
      <xdr:nvPicPr>
        <xdr:cNvPr id="11" name="Image 10">
          <a:extLst>
            <a:ext uri="{FF2B5EF4-FFF2-40B4-BE49-F238E27FC236}">
              <a16:creationId xmlns:a16="http://schemas.microsoft.com/office/drawing/2014/main" id="{B32468AA-318E-44FF-96E3-B581DC410214}"/>
            </a:ext>
          </a:extLst>
        </xdr:cNvPr>
        <xdr:cNvPicPr>
          <a:picLocks noChangeAspect="1"/>
        </xdr:cNvPicPr>
      </xdr:nvPicPr>
      <xdr:blipFill>
        <a:blip xmlns:r="http://schemas.openxmlformats.org/officeDocument/2006/relationships" r:embed="rId14"/>
        <a:stretch>
          <a:fillRect/>
        </a:stretch>
      </xdr:blipFill>
      <xdr:spPr>
        <a:xfrm>
          <a:off x="5619750" y="28956000"/>
          <a:ext cx="2289175" cy="1058870"/>
        </a:xfrm>
        <a:prstGeom prst="rect">
          <a:avLst/>
        </a:prstGeom>
      </xdr:spPr>
    </xdr:pic>
    <xdr:clientData/>
  </xdr:oneCellAnchor>
  <xdr:oneCellAnchor>
    <xdr:from>
      <xdr:col>5</xdr:col>
      <xdr:colOff>622300</xdr:colOff>
      <xdr:row>90</xdr:row>
      <xdr:rowOff>288925</xdr:rowOff>
    </xdr:from>
    <xdr:ext cx="2248026" cy="1098550"/>
    <xdr:pic>
      <xdr:nvPicPr>
        <xdr:cNvPr id="12" name="Image 11">
          <a:extLst>
            <a:ext uri="{FF2B5EF4-FFF2-40B4-BE49-F238E27FC236}">
              <a16:creationId xmlns:a16="http://schemas.microsoft.com/office/drawing/2014/main" id="{0B82753E-956C-46FE-919C-7BCCD5F0786A}"/>
            </a:ext>
          </a:extLst>
        </xdr:cNvPr>
        <xdr:cNvPicPr>
          <a:picLocks noChangeAspect="1"/>
        </xdr:cNvPicPr>
      </xdr:nvPicPr>
      <xdr:blipFill>
        <a:blip xmlns:r="http://schemas.openxmlformats.org/officeDocument/2006/relationships" r:embed="rId15"/>
        <a:stretch>
          <a:fillRect/>
        </a:stretch>
      </xdr:blipFill>
      <xdr:spPr>
        <a:xfrm>
          <a:off x="5765800" y="33435925"/>
          <a:ext cx="2248026" cy="1098550"/>
        </a:xfrm>
        <a:prstGeom prst="rect">
          <a:avLst/>
        </a:prstGeom>
      </xdr:spPr>
    </xdr:pic>
    <xdr:clientData/>
  </xdr:oneCellAnchor>
  <xdr:oneCellAnchor>
    <xdr:from>
      <xdr:col>6</xdr:col>
      <xdr:colOff>63500</xdr:colOff>
      <xdr:row>102</xdr:row>
      <xdr:rowOff>158750</xdr:rowOff>
    </xdr:from>
    <xdr:ext cx="1057275" cy="1120810"/>
    <xdr:pic>
      <xdr:nvPicPr>
        <xdr:cNvPr id="13" name="Image 12">
          <a:extLst>
            <a:ext uri="{FF2B5EF4-FFF2-40B4-BE49-F238E27FC236}">
              <a16:creationId xmlns:a16="http://schemas.microsoft.com/office/drawing/2014/main" id="{48731548-6BAC-419B-88B3-067D524C3A6F}"/>
            </a:ext>
          </a:extLst>
        </xdr:cNvPr>
        <xdr:cNvPicPr>
          <a:picLocks noChangeAspect="1"/>
        </xdr:cNvPicPr>
      </xdr:nvPicPr>
      <xdr:blipFill>
        <a:blip xmlns:r="http://schemas.openxmlformats.org/officeDocument/2006/relationships" r:embed="rId16"/>
        <a:stretch>
          <a:fillRect/>
        </a:stretch>
      </xdr:blipFill>
      <xdr:spPr>
        <a:xfrm>
          <a:off x="6340475" y="37877750"/>
          <a:ext cx="1057275" cy="1120810"/>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oneCellAnchor>
    <xdr:from>
      <xdr:col>33</xdr:col>
      <xdr:colOff>355600</xdr:colOff>
      <xdr:row>275</xdr:row>
      <xdr:rowOff>317500</xdr:rowOff>
    </xdr:from>
    <xdr:ext cx="1781299" cy="1686185"/>
    <xdr:pic>
      <xdr:nvPicPr>
        <xdr:cNvPr id="2" name="Picture 1">
          <a:extLst>
            <a:ext uri="{FF2B5EF4-FFF2-40B4-BE49-F238E27FC236}">
              <a16:creationId xmlns:a16="http://schemas.microsoft.com/office/drawing/2014/main" id="{21E04B9B-F009-47D7-B6A5-78986B4C652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787975" y="125818900"/>
          <a:ext cx="1781299" cy="16861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xdr:col>
      <xdr:colOff>749301</xdr:colOff>
      <xdr:row>262</xdr:row>
      <xdr:rowOff>469900</xdr:rowOff>
    </xdr:from>
    <xdr:ext cx="558799" cy="562381"/>
    <xdr:pic>
      <xdr:nvPicPr>
        <xdr:cNvPr id="3" name="Image 2">
          <a:extLst>
            <a:ext uri="{FF2B5EF4-FFF2-40B4-BE49-F238E27FC236}">
              <a16:creationId xmlns:a16="http://schemas.microsoft.com/office/drawing/2014/main" id="{175AC609-C11C-4C3C-B5DE-22E56A80DC11}"/>
            </a:ext>
          </a:extLst>
        </xdr:cNvPr>
        <xdr:cNvPicPr>
          <a:picLocks noChangeAspect="1"/>
        </xdr:cNvPicPr>
      </xdr:nvPicPr>
      <xdr:blipFill>
        <a:blip xmlns:r="http://schemas.openxmlformats.org/officeDocument/2006/relationships" r:embed="rId2"/>
        <a:stretch>
          <a:fillRect/>
        </a:stretch>
      </xdr:blipFill>
      <xdr:spPr>
        <a:xfrm>
          <a:off x="14951076" y="119284750"/>
          <a:ext cx="558799" cy="562381"/>
        </a:xfrm>
        <a:prstGeom prst="rect">
          <a:avLst/>
        </a:prstGeom>
        <a:solidFill>
          <a:srgbClr val="000000"/>
        </a:solidFill>
      </xdr:spPr>
    </xdr:pic>
    <xdr:clientData/>
  </xdr:oneCellAnchor>
  <xdr:oneCellAnchor>
    <xdr:from>
      <xdr:col>17</xdr:col>
      <xdr:colOff>215900</xdr:colOff>
      <xdr:row>262</xdr:row>
      <xdr:rowOff>457200</xdr:rowOff>
    </xdr:from>
    <xdr:ext cx="533400" cy="536755"/>
    <xdr:pic>
      <xdr:nvPicPr>
        <xdr:cNvPr id="4" name="Image 3">
          <a:extLst>
            <a:ext uri="{FF2B5EF4-FFF2-40B4-BE49-F238E27FC236}">
              <a16:creationId xmlns:a16="http://schemas.microsoft.com/office/drawing/2014/main" id="{80E6D437-501C-4A5C-9C47-5B97A9E94A17}"/>
            </a:ext>
          </a:extLst>
        </xdr:cNvPr>
        <xdr:cNvPicPr>
          <a:picLocks noChangeAspect="1"/>
        </xdr:cNvPicPr>
      </xdr:nvPicPr>
      <xdr:blipFill>
        <a:blip xmlns:r="http://schemas.openxmlformats.org/officeDocument/2006/relationships" r:embed="rId3"/>
        <a:stretch>
          <a:fillRect/>
        </a:stretch>
      </xdr:blipFill>
      <xdr:spPr>
        <a:xfrm>
          <a:off x="16122650" y="119272050"/>
          <a:ext cx="533400" cy="536755"/>
        </a:xfrm>
        <a:prstGeom prst="rect">
          <a:avLst/>
        </a:prstGeom>
      </xdr:spPr>
    </xdr:pic>
    <xdr:clientData/>
  </xdr:oneCellAnchor>
  <xdr:oneCellAnchor>
    <xdr:from>
      <xdr:col>18</xdr:col>
      <xdr:colOff>381001</xdr:colOff>
      <xdr:row>262</xdr:row>
      <xdr:rowOff>431801</xdr:rowOff>
    </xdr:from>
    <xdr:ext cx="584200" cy="556214"/>
    <xdr:pic>
      <xdr:nvPicPr>
        <xdr:cNvPr id="5" name="Image 4">
          <a:extLst>
            <a:ext uri="{FF2B5EF4-FFF2-40B4-BE49-F238E27FC236}">
              <a16:creationId xmlns:a16="http://schemas.microsoft.com/office/drawing/2014/main" id="{09453A6F-0594-4E66-9F64-082D1D7794CA}"/>
            </a:ext>
          </a:extLst>
        </xdr:cNvPr>
        <xdr:cNvPicPr>
          <a:picLocks noChangeAspect="1"/>
        </xdr:cNvPicPr>
      </xdr:nvPicPr>
      <xdr:blipFill>
        <a:blip xmlns:r="http://schemas.openxmlformats.org/officeDocument/2006/relationships" r:embed="rId4"/>
        <a:stretch>
          <a:fillRect/>
        </a:stretch>
      </xdr:blipFill>
      <xdr:spPr>
        <a:xfrm>
          <a:off x="17049751" y="119246651"/>
          <a:ext cx="584200" cy="556214"/>
        </a:xfrm>
        <a:prstGeom prst="rect">
          <a:avLst/>
        </a:prstGeom>
      </xdr:spPr>
    </xdr:pic>
    <xdr:clientData/>
  </xdr:oneCellAnchor>
  <xdr:oneCellAnchor>
    <xdr:from>
      <xdr:col>19</xdr:col>
      <xdr:colOff>622301</xdr:colOff>
      <xdr:row>262</xdr:row>
      <xdr:rowOff>457200</xdr:rowOff>
    </xdr:from>
    <xdr:ext cx="647700" cy="505624"/>
    <xdr:pic>
      <xdr:nvPicPr>
        <xdr:cNvPr id="6" name="Image 5">
          <a:extLst>
            <a:ext uri="{FF2B5EF4-FFF2-40B4-BE49-F238E27FC236}">
              <a16:creationId xmlns:a16="http://schemas.microsoft.com/office/drawing/2014/main" id="{B155D07E-9D7C-4D69-A45C-43B69CE98543}"/>
            </a:ext>
          </a:extLst>
        </xdr:cNvPr>
        <xdr:cNvPicPr>
          <a:picLocks noChangeAspect="1"/>
        </xdr:cNvPicPr>
      </xdr:nvPicPr>
      <xdr:blipFill>
        <a:blip xmlns:r="http://schemas.openxmlformats.org/officeDocument/2006/relationships" r:embed="rId5"/>
        <a:stretch>
          <a:fillRect/>
        </a:stretch>
      </xdr:blipFill>
      <xdr:spPr>
        <a:xfrm>
          <a:off x="18053051" y="119272050"/>
          <a:ext cx="647700" cy="505624"/>
        </a:xfrm>
        <a:prstGeom prst="rect">
          <a:avLst/>
        </a:prstGeom>
      </xdr:spPr>
    </xdr:pic>
    <xdr:clientData/>
  </xdr:oneCellAnchor>
  <xdr:oneCellAnchor>
    <xdr:from>
      <xdr:col>21</xdr:col>
      <xdr:colOff>127000</xdr:colOff>
      <xdr:row>262</xdr:row>
      <xdr:rowOff>431800</xdr:rowOff>
    </xdr:from>
    <xdr:ext cx="518583" cy="533400"/>
    <xdr:pic>
      <xdr:nvPicPr>
        <xdr:cNvPr id="7" name="Image 6">
          <a:extLst>
            <a:ext uri="{FF2B5EF4-FFF2-40B4-BE49-F238E27FC236}">
              <a16:creationId xmlns:a16="http://schemas.microsoft.com/office/drawing/2014/main" id="{23631B4C-DDED-479A-9AEE-40877316FBC0}"/>
            </a:ext>
          </a:extLst>
        </xdr:cNvPr>
        <xdr:cNvPicPr>
          <a:picLocks noChangeAspect="1"/>
        </xdr:cNvPicPr>
      </xdr:nvPicPr>
      <xdr:blipFill>
        <a:blip xmlns:r="http://schemas.openxmlformats.org/officeDocument/2006/relationships" r:embed="rId6"/>
        <a:stretch>
          <a:fillRect/>
        </a:stretch>
      </xdr:blipFill>
      <xdr:spPr>
        <a:xfrm>
          <a:off x="19119850" y="119246650"/>
          <a:ext cx="518583" cy="533400"/>
        </a:xfrm>
        <a:prstGeom prst="rect">
          <a:avLst/>
        </a:prstGeom>
      </xdr:spPr>
    </xdr:pic>
    <xdr:clientData/>
  </xdr:oneCellAnchor>
  <xdr:oneCellAnchor>
    <xdr:from>
      <xdr:col>21</xdr:col>
      <xdr:colOff>990600</xdr:colOff>
      <xdr:row>262</xdr:row>
      <xdr:rowOff>444500</xdr:rowOff>
    </xdr:from>
    <xdr:ext cx="508000" cy="508000"/>
    <xdr:pic>
      <xdr:nvPicPr>
        <xdr:cNvPr id="8" name="Image 7">
          <a:extLst>
            <a:ext uri="{FF2B5EF4-FFF2-40B4-BE49-F238E27FC236}">
              <a16:creationId xmlns:a16="http://schemas.microsoft.com/office/drawing/2014/main" id="{5B70FC1C-E94B-4108-95DD-A9FA3345D35C}"/>
            </a:ext>
          </a:extLst>
        </xdr:cNvPr>
        <xdr:cNvPicPr>
          <a:picLocks noChangeAspect="1"/>
        </xdr:cNvPicPr>
      </xdr:nvPicPr>
      <xdr:blipFill>
        <a:blip xmlns:r="http://schemas.openxmlformats.org/officeDocument/2006/relationships" r:embed="rId7"/>
        <a:stretch>
          <a:fillRect/>
        </a:stretch>
      </xdr:blipFill>
      <xdr:spPr>
        <a:xfrm>
          <a:off x="19983450" y="119259350"/>
          <a:ext cx="508000" cy="508000"/>
        </a:xfrm>
        <a:prstGeom prst="rect">
          <a:avLst/>
        </a:prstGeom>
      </xdr:spPr>
    </xdr:pic>
    <xdr:clientData/>
  </xdr:oneCellAnchor>
  <xdr:oneCellAnchor>
    <xdr:from>
      <xdr:col>23</xdr:col>
      <xdr:colOff>558800</xdr:colOff>
      <xdr:row>262</xdr:row>
      <xdr:rowOff>469900</xdr:rowOff>
    </xdr:from>
    <xdr:ext cx="516579" cy="469900"/>
    <xdr:pic>
      <xdr:nvPicPr>
        <xdr:cNvPr id="9" name="Image 8">
          <a:extLst>
            <a:ext uri="{FF2B5EF4-FFF2-40B4-BE49-F238E27FC236}">
              <a16:creationId xmlns:a16="http://schemas.microsoft.com/office/drawing/2014/main" id="{16B72144-D45F-4ABE-80C8-4D7E3823F5B1}"/>
            </a:ext>
          </a:extLst>
        </xdr:cNvPr>
        <xdr:cNvPicPr>
          <a:picLocks noChangeAspect="1"/>
        </xdr:cNvPicPr>
      </xdr:nvPicPr>
      <xdr:blipFill>
        <a:blip xmlns:r="http://schemas.openxmlformats.org/officeDocument/2006/relationships" r:embed="rId8"/>
        <a:stretch>
          <a:fillRect/>
        </a:stretch>
      </xdr:blipFill>
      <xdr:spPr>
        <a:xfrm>
          <a:off x="21828125" y="119284750"/>
          <a:ext cx="516579" cy="469900"/>
        </a:xfrm>
        <a:prstGeom prst="rect">
          <a:avLst/>
        </a:prstGeom>
      </xdr:spPr>
    </xdr:pic>
    <xdr:clientData/>
  </xdr:oneCellAnchor>
  <xdr:oneCellAnchor>
    <xdr:from>
      <xdr:col>22</xdr:col>
      <xdr:colOff>673100</xdr:colOff>
      <xdr:row>262</xdr:row>
      <xdr:rowOff>457200</xdr:rowOff>
    </xdr:from>
    <xdr:ext cx="495299" cy="495299"/>
    <xdr:pic>
      <xdr:nvPicPr>
        <xdr:cNvPr id="10" name="Image 9">
          <a:extLst>
            <a:ext uri="{FF2B5EF4-FFF2-40B4-BE49-F238E27FC236}">
              <a16:creationId xmlns:a16="http://schemas.microsoft.com/office/drawing/2014/main" id="{40FFA059-A45C-4937-AA31-35DA467B9051}"/>
            </a:ext>
          </a:extLst>
        </xdr:cNvPr>
        <xdr:cNvPicPr>
          <a:picLocks noChangeAspect="1"/>
        </xdr:cNvPicPr>
      </xdr:nvPicPr>
      <xdr:blipFill>
        <a:blip xmlns:r="http://schemas.openxmlformats.org/officeDocument/2006/relationships" r:embed="rId9"/>
        <a:stretch>
          <a:fillRect/>
        </a:stretch>
      </xdr:blipFill>
      <xdr:spPr>
        <a:xfrm>
          <a:off x="20875625" y="119272050"/>
          <a:ext cx="495299" cy="495299"/>
        </a:xfrm>
        <a:prstGeom prst="rect">
          <a:avLst/>
        </a:prstGeom>
      </xdr:spPr>
    </xdr:pic>
    <xdr:clientData/>
  </xdr:oneCellAnchor>
  <xdr:oneCellAnchor>
    <xdr:from>
      <xdr:col>4</xdr:col>
      <xdr:colOff>120650</xdr:colOff>
      <xdr:row>216</xdr:row>
      <xdr:rowOff>79375</xdr:rowOff>
    </xdr:from>
    <xdr:ext cx="2562583" cy="276253"/>
    <xdr:pic>
      <xdr:nvPicPr>
        <xdr:cNvPr id="15" name="Image 14">
          <a:extLst>
            <a:ext uri="{FF2B5EF4-FFF2-40B4-BE49-F238E27FC236}">
              <a16:creationId xmlns:a16="http://schemas.microsoft.com/office/drawing/2014/main" id="{9D3E6B67-D748-4A1C-9616-F37F2456CE0E}"/>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4502150" y="81280000"/>
          <a:ext cx="2562583" cy="276253"/>
        </a:xfrm>
        <a:prstGeom prst="rect">
          <a:avLst/>
        </a:prstGeom>
      </xdr:spPr>
    </xdr:pic>
    <xdr:clientData/>
  </xdr:oneCellAnchor>
  <xdr:oneCellAnchor>
    <xdr:from>
      <xdr:col>4</xdr:col>
      <xdr:colOff>596900</xdr:colOff>
      <xdr:row>219</xdr:row>
      <xdr:rowOff>25399</xdr:rowOff>
    </xdr:from>
    <xdr:ext cx="2235200" cy="1197925"/>
    <xdr:pic>
      <xdr:nvPicPr>
        <xdr:cNvPr id="16" name="Image 15">
          <a:extLst>
            <a:ext uri="{FF2B5EF4-FFF2-40B4-BE49-F238E27FC236}">
              <a16:creationId xmlns:a16="http://schemas.microsoft.com/office/drawing/2014/main" id="{4B634C5A-F7DD-4004-B2CB-A8F03094462B}"/>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4978400" y="98494849"/>
          <a:ext cx="2235200" cy="1197925"/>
        </a:xfrm>
        <a:prstGeom prst="rect">
          <a:avLst/>
        </a:prstGeom>
      </xdr:spPr>
    </xdr:pic>
    <xdr:clientData/>
  </xdr:oneCellAnchor>
  <xdr:oneCellAnchor>
    <xdr:from>
      <xdr:col>16</xdr:col>
      <xdr:colOff>85725</xdr:colOff>
      <xdr:row>216</xdr:row>
      <xdr:rowOff>238125</xdr:rowOff>
    </xdr:from>
    <xdr:ext cx="5105400" cy="2000250"/>
    <xdr:pic>
      <xdr:nvPicPr>
        <xdr:cNvPr id="17" name="Image 16">
          <a:extLst>
            <a:ext uri="{FF2B5EF4-FFF2-40B4-BE49-F238E27FC236}">
              <a16:creationId xmlns:a16="http://schemas.microsoft.com/office/drawing/2014/main" id="{1AEA7886-6876-4AB5-961F-BF86B5B9182B}"/>
            </a:ext>
          </a:extLst>
        </xdr:cNvPr>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15230475" y="97945575"/>
          <a:ext cx="5105400" cy="2000250"/>
        </a:xfrm>
        <a:prstGeom prst="rect">
          <a:avLst/>
        </a:prstGeom>
      </xdr:spPr>
    </xdr:pic>
    <xdr:clientData/>
  </xdr:oneCellAnchor>
  <xdr:twoCellAnchor editAs="oneCell">
    <xdr:from>
      <xdr:col>21</xdr:col>
      <xdr:colOff>266700</xdr:colOff>
      <xdr:row>7</xdr:row>
      <xdr:rowOff>266700</xdr:rowOff>
    </xdr:from>
    <xdr:to>
      <xdr:col>22</xdr:col>
      <xdr:colOff>749300</xdr:colOff>
      <xdr:row>10</xdr:row>
      <xdr:rowOff>293077</xdr:rowOff>
    </xdr:to>
    <xdr:pic>
      <xdr:nvPicPr>
        <xdr:cNvPr id="18" name="Image 17">
          <a:extLst>
            <a:ext uri="{FF2B5EF4-FFF2-40B4-BE49-F238E27FC236}">
              <a16:creationId xmlns:a16="http://schemas.microsoft.com/office/drawing/2014/main" id="{AD9B10C2-5A91-4A1B-9484-5DAA9436F852}"/>
            </a:ext>
          </a:extLst>
        </xdr:cNvPr>
        <xdr:cNvPicPr>
          <a:picLocks noChangeAspect="1"/>
        </xdr:cNvPicPr>
      </xdr:nvPicPr>
      <xdr:blipFill>
        <a:blip xmlns:r="http://schemas.openxmlformats.org/officeDocument/2006/relationships" r:embed="rId13"/>
        <a:stretch>
          <a:fillRect/>
        </a:stretch>
      </xdr:blipFill>
      <xdr:spPr>
        <a:xfrm>
          <a:off x="19278600" y="647700"/>
          <a:ext cx="1689100" cy="1169377"/>
        </a:xfrm>
        <a:prstGeom prst="rect">
          <a:avLst/>
        </a:prstGeom>
      </xdr:spPr>
    </xdr:pic>
    <xdr:clientData/>
  </xdr:twoCellAnchor>
  <xdr:oneCellAnchor>
    <xdr:from>
      <xdr:col>5</xdr:col>
      <xdr:colOff>476250</xdr:colOff>
      <xdr:row>80</xdr:row>
      <xdr:rowOff>0</xdr:rowOff>
    </xdr:from>
    <xdr:ext cx="2289175" cy="1058870"/>
    <xdr:pic>
      <xdr:nvPicPr>
        <xdr:cNvPr id="11" name="Image 10">
          <a:extLst>
            <a:ext uri="{FF2B5EF4-FFF2-40B4-BE49-F238E27FC236}">
              <a16:creationId xmlns:a16="http://schemas.microsoft.com/office/drawing/2014/main" id="{CFAF5C7C-F9EC-4EF0-A35D-BB8995B4FAAD}"/>
            </a:ext>
          </a:extLst>
        </xdr:cNvPr>
        <xdr:cNvPicPr>
          <a:picLocks noChangeAspect="1"/>
        </xdr:cNvPicPr>
      </xdr:nvPicPr>
      <xdr:blipFill>
        <a:blip xmlns:r="http://schemas.openxmlformats.org/officeDocument/2006/relationships" r:embed="rId14"/>
        <a:stretch>
          <a:fillRect/>
        </a:stretch>
      </xdr:blipFill>
      <xdr:spPr>
        <a:xfrm>
          <a:off x="6229350" y="27813000"/>
          <a:ext cx="2289175" cy="1058870"/>
        </a:xfrm>
        <a:prstGeom prst="rect">
          <a:avLst/>
        </a:prstGeom>
      </xdr:spPr>
    </xdr:pic>
    <xdr:clientData/>
  </xdr:oneCellAnchor>
  <xdr:oneCellAnchor>
    <xdr:from>
      <xdr:col>5</xdr:col>
      <xdr:colOff>622300</xdr:colOff>
      <xdr:row>92</xdr:row>
      <xdr:rowOff>288925</xdr:rowOff>
    </xdr:from>
    <xdr:ext cx="2248026" cy="1098550"/>
    <xdr:pic>
      <xdr:nvPicPr>
        <xdr:cNvPr id="12" name="Image 11">
          <a:extLst>
            <a:ext uri="{FF2B5EF4-FFF2-40B4-BE49-F238E27FC236}">
              <a16:creationId xmlns:a16="http://schemas.microsoft.com/office/drawing/2014/main" id="{262045C7-4C2D-47B5-9205-4B5348AC2761}"/>
            </a:ext>
          </a:extLst>
        </xdr:cNvPr>
        <xdr:cNvPicPr>
          <a:picLocks noChangeAspect="1"/>
        </xdr:cNvPicPr>
      </xdr:nvPicPr>
      <xdr:blipFill>
        <a:blip xmlns:r="http://schemas.openxmlformats.org/officeDocument/2006/relationships" r:embed="rId15"/>
        <a:stretch>
          <a:fillRect/>
        </a:stretch>
      </xdr:blipFill>
      <xdr:spPr>
        <a:xfrm>
          <a:off x="6375400" y="32292925"/>
          <a:ext cx="2248026" cy="1098550"/>
        </a:xfrm>
        <a:prstGeom prst="rect">
          <a:avLst/>
        </a:prstGeom>
      </xdr:spPr>
    </xdr:pic>
    <xdr:clientData/>
  </xdr:oneCellAnchor>
  <xdr:oneCellAnchor>
    <xdr:from>
      <xdr:col>6</xdr:col>
      <xdr:colOff>63500</xdr:colOff>
      <xdr:row>104</xdr:row>
      <xdr:rowOff>158750</xdr:rowOff>
    </xdr:from>
    <xdr:ext cx="1057275" cy="1120810"/>
    <xdr:pic>
      <xdr:nvPicPr>
        <xdr:cNvPr id="13" name="Image 12">
          <a:extLst>
            <a:ext uri="{FF2B5EF4-FFF2-40B4-BE49-F238E27FC236}">
              <a16:creationId xmlns:a16="http://schemas.microsoft.com/office/drawing/2014/main" id="{DEE5ECC8-BA59-4343-810B-DAEE0CB60E89}"/>
            </a:ext>
          </a:extLst>
        </xdr:cNvPr>
        <xdr:cNvPicPr>
          <a:picLocks noChangeAspect="1"/>
        </xdr:cNvPicPr>
      </xdr:nvPicPr>
      <xdr:blipFill>
        <a:blip xmlns:r="http://schemas.openxmlformats.org/officeDocument/2006/relationships" r:embed="rId16"/>
        <a:stretch>
          <a:fillRect/>
        </a:stretch>
      </xdr:blipFill>
      <xdr:spPr>
        <a:xfrm>
          <a:off x="6797675" y="36734750"/>
          <a:ext cx="1057275" cy="1120810"/>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oneCellAnchor>
    <xdr:from>
      <xdr:col>13</xdr:col>
      <xdr:colOff>0</xdr:colOff>
      <xdr:row>10</xdr:row>
      <xdr:rowOff>0</xdr:rowOff>
    </xdr:from>
    <xdr:ext cx="3857625" cy="2128665"/>
    <xdr:pic>
      <xdr:nvPicPr>
        <xdr:cNvPr id="5" name="Image 4">
          <a:extLst>
            <a:ext uri="{FF2B5EF4-FFF2-40B4-BE49-F238E27FC236}">
              <a16:creationId xmlns:a16="http://schemas.microsoft.com/office/drawing/2014/main" id="{3E26BAAB-E14E-403A-90D0-635B1F18D8B1}"/>
            </a:ext>
          </a:extLst>
        </xdr:cNvPr>
        <xdr:cNvPicPr>
          <a:picLocks noChangeAspect="1"/>
        </xdr:cNvPicPr>
      </xdr:nvPicPr>
      <xdr:blipFill>
        <a:blip xmlns:r="http://schemas.openxmlformats.org/officeDocument/2006/relationships" r:embed="rId1"/>
        <a:stretch>
          <a:fillRect/>
        </a:stretch>
      </xdr:blipFill>
      <xdr:spPr>
        <a:xfrm>
          <a:off x="20373975" y="21955125"/>
          <a:ext cx="3857625" cy="2128665"/>
        </a:xfrm>
        <a:prstGeom prst="rect">
          <a:avLst/>
        </a:prstGeom>
      </xdr:spPr>
    </xdr:pic>
    <xdr:clientData/>
  </xdr:oneCellAnchor>
  <xdr:twoCellAnchor editAs="oneCell">
    <xdr:from>
      <xdr:col>3</xdr:col>
      <xdr:colOff>800100</xdr:colOff>
      <xdr:row>8</xdr:row>
      <xdr:rowOff>114300</xdr:rowOff>
    </xdr:from>
    <xdr:to>
      <xdr:col>3</xdr:col>
      <xdr:colOff>1506631</xdr:colOff>
      <xdr:row>8</xdr:row>
      <xdr:rowOff>609600</xdr:rowOff>
    </xdr:to>
    <xdr:pic>
      <xdr:nvPicPr>
        <xdr:cNvPr id="6" name="Image 5">
          <a:extLst>
            <a:ext uri="{FF2B5EF4-FFF2-40B4-BE49-F238E27FC236}">
              <a16:creationId xmlns:a16="http://schemas.microsoft.com/office/drawing/2014/main" id="{EA8D22F0-943A-4149-9E80-25D29EB534D8}"/>
            </a:ext>
          </a:extLst>
        </xdr:cNvPr>
        <xdr:cNvPicPr>
          <a:picLocks noChangeAspect="1"/>
        </xdr:cNvPicPr>
      </xdr:nvPicPr>
      <xdr:blipFill>
        <a:blip xmlns:r="http://schemas.openxmlformats.org/officeDocument/2006/relationships" r:embed="rId2"/>
        <a:stretch>
          <a:fillRect/>
        </a:stretch>
      </xdr:blipFill>
      <xdr:spPr>
        <a:xfrm>
          <a:off x="4648200" y="1714500"/>
          <a:ext cx="706531" cy="495300"/>
        </a:xfrm>
        <a:prstGeom prst="rect">
          <a:avLst/>
        </a:prstGeom>
      </xdr:spPr>
    </xdr:pic>
    <xdr:clientData/>
  </xdr:twoCellAnchor>
  <xdr:twoCellAnchor editAs="oneCell">
    <xdr:from>
      <xdr:col>7</xdr:col>
      <xdr:colOff>685800</xdr:colOff>
      <xdr:row>8</xdr:row>
      <xdr:rowOff>76200</xdr:rowOff>
    </xdr:from>
    <xdr:to>
      <xdr:col>7</xdr:col>
      <xdr:colOff>1705841</xdr:colOff>
      <xdr:row>8</xdr:row>
      <xdr:rowOff>666750</xdr:rowOff>
    </xdr:to>
    <xdr:pic>
      <xdr:nvPicPr>
        <xdr:cNvPr id="7" name="Image 6">
          <a:extLst>
            <a:ext uri="{FF2B5EF4-FFF2-40B4-BE49-F238E27FC236}">
              <a16:creationId xmlns:a16="http://schemas.microsoft.com/office/drawing/2014/main" id="{9CDC1DAB-61D0-4B5F-8EBB-8659C7FE6BC7}"/>
            </a:ext>
          </a:extLst>
        </xdr:cNvPr>
        <xdr:cNvPicPr>
          <a:picLocks noChangeAspect="1"/>
        </xdr:cNvPicPr>
      </xdr:nvPicPr>
      <xdr:blipFill>
        <a:blip xmlns:r="http://schemas.openxmlformats.org/officeDocument/2006/relationships" r:embed="rId3"/>
        <a:stretch>
          <a:fillRect/>
        </a:stretch>
      </xdr:blipFill>
      <xdr:spPr>
        <a:xfrm>
          <a:off x="10439400" y="1676400"/>
          <a:ext cx="1020041" cy="590550"/>
        </a:xfrm>
        <a:prstGeom prst="rect">
          <a:avLst/>
        </a:prstGeom>
      </xdr:spPr>
    </xdr:pic>
    <xdr:clientData/>
  </xdr:twoCellAnchor>
  <xdr:twoCellAnchor editAs="oneCell">
    <xdr:from>
      <xdr:col>11</xdr:col>
      <xdr:colOff>904875</xdr:colOff>
      <xdr:row>8</xdr:row>
      <xdr:rowOff>104775</xdr:rowOff>
    </xdr:from>
    <xdr:to>
      <xdr:col>11</xdr:col>
      <xdr:colOff>1968358</xdr:colOff>
      <xdr:row>8</xdr:row>
      <xdr:rowOff>685800</xdr:rowOff>
    </xdr:to>
    <xdr:pic>
      <xdr:nvPicPr>
        <xdr:cNvPr id="9" name="Image 8">
          <a:extLst>
            <a:ext uri="{FF2B5EF4-FFF2-40B4-BE49-F238E27FC236}">
              <a16:creationId xmlns:a16="http://schemas.microsoft.com/office/drawing/2014/main" id="{761124EC-9350-4FA7-B367-8FFE1B47E104}"/>
            </a:ext>
          </a:extLst>
        </xdr:cNvPr>
        <xdr:cNvPicPr>
          <a:picLocks noChangeAspect="1"/>
        </xdr:cNvPicPr>
      </xdr:nvPicPr>
      <xdr:blipFill>
        <a:blip xmlns:r="http://schemas.openxmlformats.org/officeDocument/2006/relationships" r:embed="rId4"/>
        <a:stretch>
          <a:fillRect/>
        </a:stretch>
      </xdr:blipFill>
      <xdr:spPr>
        <a:xfrm>
          <a:off x="17992725" y="1704975"/>
          <a:ext cx="1063483" cy="58102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20</xdr:col>
      <xdr:colOff>514350</xdr:colOff>
      <xdr:row>3</xdr:row>
      <xdr:rowOff>123825</xdr:rowOff>
    </xdr:from>
    <xdr:to>
      <xdr:col>21</xdr:col>
      <xdr:colOff>472328</xdr:colOff>
      <xdr:row>5</xdr:row>
      <xdr:rowOff>161925</xdr:rowOff>
    </xdr:to>
    <xdr:pic>
      <xdr:nvPicPr>
        <xdr:cNvPr id="2" name="Image 1">
          <a:extLst>
            <a:ext uri="{FF2B5EF4-FFF2-40B4-BE49-F238E27FC236}">
              <a16:creationId xmlns:a16="http://schemas.microsoft.com/office/drawing/2014/main" id="{359EEA78-54CD-4DE8-8F46-374242943EFD}"/>
            </a:ext>
          </a:extLst>
        </xdr:cNvPr>
        <xdr:cNvPicPr>
          <a:picLocks noChangeAspect="1"/>
        </xdr:cNvPicPr>
      </xdr:nvPicPr>
      <xdr:blipFill>
        <a:blip xmlns:r="http://schemas.openxmlformats.org/officeDocument/2006/relationships" r:embed="rId1"/>
        <a:stretch>
          <a:fillRect/>
        </a:stretch>
      </xdr:blipFill>
      <xdr:spPr>
        <a:xfrm>
          <a:off x="4838700" y="790575"/>
          <a:ext cx="815228" cy="571500"/>
        </a:xfrm>
        <a:prstGeom prst="rect">
          <a:avLst/>
        </a:prstGeom>
      </xdr:spPr>
    </xdr:pic>
    <xdr:clientData/>
  </xdr:twoCellAnchor>
  <xdr:twoCellAnchor editAs="oneCell">
    <xdr:from>
      <xdr:col>52</xdr:col>
      <xdr:colOff>314325</xdr:colOff>
      <xdr:row>3</xdr:row>
      <xdr:rowOff>19050</xdr:rowOff>
    </xdr:from>
    <xdr:to>
      <xdr:col>53</xdr:col>
      <xdr:colOff>323971</xdr:colOff>
      <xdr:row>5</xdr:row>
      <xdr:rowOff>85809</xdr:rowOff>
    </xdr:to>
    <xdr:pic>
      <xdr:nvPicPr>
        <xdr:cNvPr id="3" name="Image 2">
          <a:extLst>
            <a:ext uri="{FF2B5EF4-FFF2-40B4-BE49-F238E27FC236}">
              <a16:creationId xmlns:a16="http://schemas.microsoft.com/office/drawing/2014/main" id="{8D77A34F-71DC-49D6-BF56-C696FF10C9E1}"/>
            </a:ext>
          </a:extLst>
        </xdr:cNvPr>
        <xdr:cNvPicPr>
          <a:picLocks noChangeAspect="1"/>
        </xdr:cNvPicPr>
      </xdr:nvPicPr>
      <xdr:blipFill>
        <a:blip xmlns:r="http://schemas.openxmlformats.org/officeDocument/2006/relationships" r:embed="rId2"/>
        <a:stretch>
          <a:fillRect/>
        </a:stretch>
      </xdr:blipFill>
      <xdr:spPr>
        <a:xfrm>
          <a:off x="29022675" y="685800"/>
          <a:ext cx="866896" cy="600159"/>
        </a:xfrm>
        <a:prstGeom prst="rect">
          <a:avLst/>
        </a:prstGeom>
      </xdr:spPr>
    </xdr:pic>
    <xdr:clientData/>
  </xdr:twoCellAnchor>
  <xdr:twoCellAnchor editAs="oneCell">
    <xdr:from>
      <xdr:col>36</xdr:col>
      <xdr:colOff>571500</xdr:colOff>
      <xdr:row>3</xdr:row>
      <xdr:rowOff>133350</xdr:rowOff>
    </xdr:from>
    <xdr:to>
      <xdr:col>37</xdr:col>
      <xdr:colOff>562388</xdr:colOff>
      <xdr:row>5</xdr:row>
      <xdr:rowOff>209550</xdr:rowOff>
    </xdr:to>
    <xdr:pic>
      <xdr:nvPicPr>
        <xdr:cNvPr id="16" name="Image 15">
          <a:extLst>
            <a:ext uri="{FF2B5EF4-FFF2-40B4-BE49-F238E27FC236}">
              <a16:creationId xmlns:a16="http://schemas.microsoft.com/office/drawing/2014/main" id="{5FE9B88C-517B-458B-B5EF-8E86258DF582}"/>
            </a:ext>
          </a:extLst>
        </xdr:cNvPr>
        <xdr:cNvPicPr>
          <a:picLocks noChangeAspect="1"/>
        </xdr:cNvPicPr>
      </xdr:nvPicPr>
      <xdr:blipFill>
        <a:blip xmlns:r="http://schemas.openxmlformats.org/officeDocument/2006/relationships" r:embed="rId3"/>
        <a:stretch>
          <a:fillRect/>
        </a:stretch>
      </xdr:blipFill>
      <xdr:spPr>
        <a:xfrm>
          <a:off x="17087850" y="800100"/>
          <a:ext cx="848138" cy="609600"/>
        </a:xfrm>
        <a:prstGeom prst="rect">
          <a:avLst/>
        </a:prstGeom>
      </xdr:spPr>
    </xdr:pic>
    <xdr:clientData/>
  </xdr:twoCellAnchor>
  <xdr:twoCellAnchor editAs="oneCell">
    <xdr:from>
      <xdr:col>3</xdr:col>
      <xdr:colOff>647700</xdr:colOff>
      <xdr:row>13</xdr:row>
      <xdr:rowOff>19050</xdr:rowOff>
    </xdr:from>
    <xdr:to>
      <xdr:col>9</xdr:col>
      <xdr:colOff>1858155</xdr:colOff>
      <xdr:row>42</xdr:row>
      <xdr:rowOff>191603</xdr:rowOff>
    </xdr:to>
    <xdr:pic>
      <xdr:nvPicPr>
        <xdr:cNvPr id="17" name="Image 16">
          <a:extLst>
            <a:ext uri="{FF2B5EF4-FFF2-40B4-BE49-F238E27FC236}">
              <a16:creationId xmlns:a16="http://schemas.microsoft.com/office/drawing/2014/main" id="{F25D1607-A3E1-938F-5992-86426DB04D7C}"/>
            </a:ext>
          </a:extLst>
        </xdr:cNvPr>
        <xdr:cNvPicPr>
          <a:picLocks noChangeAspect="1"/>
        </xdr:cNvPicPr>
      </xdr:nvPicPr>
      <xdr:blipFill>
        <a:blip xmlns:r="http://schemas.openxmlformats.org/officeDocument/2006/relationships" r:embed="rId4"/>
        <a:stretch>
          <a:fillRect/>
        </a:stretch>
      </xdr:blipFill>
      <xdr:spPr>
        <a:xfrm>
          <a:off x="1914525" y="3352800"/>
          <a:ext cx="5591955" cy="7906853"/>
        </a:xfrm>
        <a:prstGeom prst="rect">
          <a:avLst/>
        </a:prstGeom>
      </xdr:spPr>
    </xdr:pic>
    <xdr:clientData/>
  </xdr:twoCellAnchor>
  <xdr:twoCellAnchor editAs="oneCell">
    <xdr:from>
      <xdr:col>5</xdr:col>
      <xdr:colOff>38099</xdr:colOff>
      <xdr:row>94</xdr:row>
      <xdr:rowOff>47625</xdr:rowOff>
    </xdr:from>
    <xdr:to>
      <xdr:col>9</xdr:col>
      <xdr:colOff>509059</xdr:colOff>
      <xdr:row>103</xdr:row>
      <xdr:rowOff>238125</xdr:rowOff>
    </xdr:to>
    <xdr:pic>
      <xdr:nvPicPr>
        <xdr:cNvPr id="19" name="Image 18">
          <a:extLst>
            <a:ext uri="{FF2B5EF4-FFF2-40B4-BE49-F238E27FC236}">
              <a16:creationId xmlns:a16="http://schemas.microsoft.com/office/drawing/2014/main" id="{99C45893-978B-6FF4-E8DF-0C34F2E23A47}"/>
            </a:ext>
          </a:extLst>
        </xdr:cNvPr>
        <xdr:cNvPicPr>
          <a:picLocks noChangeAspect="1"/>
        </xdr:cNvPicPr>
      </xdr:nvPicPr>
      <xdr:blipFill>
        <a:blip xmlns:r="http://schemas.openxmlformats.org/officeDocument/2006/relationships" r:embed="rId5"/>
        <a:stretch>
          <a:fillRect/>
        </a:stretch>
      </xdr:blipFill>
      <xdr:spPr>
        <a:xfrm>
          <a:off x="3028949" y="25003125"/>
          <a:ext cx="3176060" cy="2590800"/>
        </a:xfrm>
        <a:prstGeom prst="rect">
          <a:avLst/>
        </a:prstGeom>
      </xdr:spPr>
    </xdr:pic>
    <xdr:clientData/>
  </xdr:twoCellAnchor>
  <xdr:twoCellAnchor editAs="oneCell">
    <xdr:from>
      <xdr:col>6</xdr:col>
      <xdr:colOff>19050</xdr:colOff>
      <xdr:row>49</xdr:row>
      <xdr:rowOff>152400</xdr:rowOff>
    </xdr:from>
    <xdr:to>
      <xdr:col>9</xdr:col>
      <xdr:colOff>705286</xdr:colOff>
      <xdr:row>58</xdr:row>
      <xdr:rowOff>257525</xdr:rowOff>
    </xdr:to>
    <xdr:pic>
      <xdr:nvPicPr>
        <xdr:cNvPr id="20" name="Image 19">
          <a:extLst>
            <a:ext uri="{FF2B5EF4-FFF2-40B4-BE49-F238E27FC236}">
              <a16:creationId xmlns:a16="http://schemas.microsoft.com/office/drawing/2014/main" id="{2778A71B-3928-25FB-1E63-CF1A0F8E03AC}"/>
            </a:ext>
          </a:extLst>
        </xdr:cNvPr>
        <xdr:cNvPicPr>
          <a:picLocks noChangeAspect="1"/>
        </xdr:cNvPicPr>
      </xdr:nvPicPr>
      <xdr:blipFill>
        <a:blip xmlns:r="http://schemas.openxmlformats.org/officeDocument/2006/relationships" r:embed="rId6"/>
        <a:stretch>
          <a:fillRect/>
        </a:stretch>
      </xdr:blipFill>
      <xdr:spPr>
        <a:xfrm>
          <a:off x="3276600" y="13106400"/>
          <a:ext cx="3124636" cy="2505425"/>
        </a:xfrm>
        <a:prstGeom prst="rect">
          <a:avLst/>
        </a:prstGeom>
      </xdr:spPr>
    </xdr:pic>
    <xdr:clientData/>
  </xdr:twoCellAnchor>
  <xdr:twoCellAnchor editAs="oneCell">
    <xdr:from>
      <xdr:col>114</xdr:col>
      <xdr:colOff>504825</xdr:colOff>
      <xdr:row>324</xdr:row>
      <xdr:rowOff>228600</xdr:rowOff>
    </xdr:from>
    <xdr:to>
      <xdr:col>119</xdr:col>
      <xdr:colOff>600075</xdr:colOff>
      <xdr:row>342</xdr:row>
      <xdr:rowOff>102658</xdr:rowOff>
    </xdr:to>
    <xdr:pic>
      <xdr:nvPicPr>
        <xdr:cNvPr id="27" name="Image 26">
          <a:extLst>
            <a:ext uri="{FF2B5EF4-FFF2-40B4-BE49-F238E27FC236}">
              <a16:creationId xmlns:a16="http://schemas.microsoft.com/office/drawing/2014/main" id="{8A2F9460-A623-4F35-99C7-D9964BFCADF1}"/>
            </a:ext>
          </a:extLst>
        </xdr:cNvPr>
        <xdr:cNvPicPr>
          <a:picLocks noChangeAspect="1"/>
        </xdr:cNvPicPr>
      </xdr:nvPicPr>
      <xdr:blipFill>
        <a:blip xmlns:r="http://schemas.openxmlformats.org/officeDocument/2006/relationships" r:embed="rId7"/>
        <a:stretch>
          <a:fillRect/>
        </a:stretch>
      </xdr:blipFill>
      <xdr:spPr>
        <a:xfrm>
          <a:off x="89154000" y="88001475"/>
          <a:ext cx="3905250" cy="4122208"/>
        </a:xfrm>
        <a:prstGeom prst="rect">
          <a:avLst/>
        </a:prstGeom>
      </xdr:spPr>
    </xdr:pic>
    <xdr:clientData/>
  </xdr:twoCellAnchor>
  <xdr:oneCellAnchor>
    <xdr:from>
      <xdr:col>22</xdr:col>
      <xdr:colOff>2571750</xdr:colOff>
      <xdr:row>44</xdr:row>
      <xdr:rowOff>200025</xdr:rowOff>
    </xdr:from>
    <xdr:ext cx="2162176" cy="1769052"/>
    <xdr:pic>
      <xdr:nvPicPr>
        <xdr:cNvPr id="18" name="Image 17">
          <a:extLst>
            <a:ext uri="{FF2B5EF4-FFF2-40B4-BE49-F238E27FC236}">
              <a16:creationId xmlns:a16="http://schemas.microsoft.com/office/drawing/2014/main" id="{6A8A857C-C04D-4438-955B-CEEA1B4C516C}"/>
            </a:ext>
          </a:extLst>
        </xdr:cNvPr>
        <xdr:cNvPicPr>
          <a:picLocks noChangeAspect="1"/>
        </xdr:cNvPicPr>
      </xdr:nvPicPr>
      <xdr:blipFill>
        <a:blip xmlns:r="http://schemas.openxmlformats.org/officeDocument/2006/relationships" r:embed="rId5"/>
        <a:stretch>
          <a:fillRect/>
        </a:stretch>
      </xdr:blipFill>
      <xdr:spPr>
        <a:xfrm>
          <a:off x="16935450" y="11820525"/>
          <a:ext cx="2162176" cy="1769052"/>
        </a:xfrm>
        <a:prstGeom prst="rect">
          <a:avLst/>
        </a:prstGeom>
      </xdr:spPr>
    </xdr:pic>
    <xdr:clientData/>
  </xdr:oneCellAnchor>
  <xdr:oneCellAnchor>
    <xdr:from>
      <xdr:col>19</xdr:col>
      <xdr:colOff>180976</xdr:colOff>
      <xdr:row>47</xdr:row>
      <xdr:rowOff>161924</xdr:rowOff>
    </xdr:from>
    <xdr:ext cx="3771900" cy="1195141"/>
    <xdr:pic>
      <xdr:nvPicPr>
        <xdr:cNvPr id="21" name="Image 20">
          <a:extLst>
            <a:ext uri="{FF2B5EF4-FFF2-40B4-BE49-F238E27FC236}">
              <a16:creationId xmlns:a16="http://schemas.microsoft.com/office/drawing/2014/main" id="{F4531AD7-087A-4B05-A28C-8B4DBFD06F3F}"/>
            </a:ext>
          </a:extLst>
        </xdr:cNvPr>
        <xdr:cNvPicPr>
          <a:picLocks noChangeAspect="1"/>
        </xdr:cNvPicPr>
      </xdr:nvPicPr>
      <xdr:blipFill>
        <a:blip xmlns:r="http://schemas.openxmlformats.org/officeDocument/2006/relationships" r:embed="rId8"/>
        <a:stretch>
          <a:fillRect/>
        </a:stretch>
      </xdr:blipFill>
      <xdr:spPr>
        <a:xfrm>
          <a:off x="7038976" y="25250774"/>
          <a:ext cx="3771900" cy="1195141"/>
        </a:xfrm>
        <a:prstGeom prst="rect">
          <a:avLst/>
        </a:prstGeom>
      </xdr:spPr>
    </xdr:pic>
    <xdr:clientData/>
  </xdr:oneCellAnchor>
  <xdr:oneCellAnchor>
    <xdr:from>
      <xdr:col>4</xdr:col>
      <xdr:colOff>142875</xdr:colOff>
      <xdr:row>107</xdr:row>
      <xdr:rowOff>19050</xdr:rowOff>
    </xdr:from>
    <xdr:ext cx="3905250" cy="4122208"/>
    <xdr:pic>
      <xdr:nvPicPr>
        <xdr:cNvPr id="22" name="Image 21">
          <a:extLst>
            <a:ext uri="{FF2B5EF4-FFF2-40B4-BE49-F238E27FC236}">
              <a16:creationId xmlns:a16="http://schemas.microsoft.com/office/drawing/2014/main" id="{9CF0A193-B039-4C8F-A027-6F4E98210CDE}"/>
            </a:ext>
          </a:extLst>
        </xdr:cNvPr>
        <xdr:cNvPicPr>
          <a:picLocks noChangeAspect="1"/>
        </xdr:cNvPicPr>
      </xdr:nvPicPr>
      <xdr:blipFill>
        <a:blip xmlns:r="http://schemas.openxmlformats.org/officeDocument/2006/relationships" r:embed="rId7"/>
        <a:stretch>
          <a:fillRect/>
        </a:stretch>
      </xdr:blipFill>
      <xdr:spPr>
        <a:xfrm>
          <a:off x="2276475" y="28441650"/>
          <a:ext cx="3905250" cy="4122208"/>
        </a:xfrm>
        <a:prstGeom prst="rect">
          <a:avLst/>
        </a:prstGeom>
      </xdr:spPr>
    </xdr:pic>
    <xdr:clientData/>
  </xdr:oneCellAnchor>
  <xdr:twoCellAnchor editAs="oneCell">
    <xdr:from>
      <xdr:col>3</xdr:col>
      <xdr:colOff>714375</xdr:colOff>
      <xdr:row>231</xdr:row>
      <xdr:rowOff>117475</xdr:rowOff>
    </xdr:from>
    <xdr:to>
      <xdr:col>9</xdr:col>
      <xdr:colOff>2148513</xdr:colOff>
      <xdr:row>241</xdr:row>
      <xdr:rowOff>219075</xdr:rowOff>
    </xdr:to>
    <xdr:pic>
      <xdr:nvPicPr>
        <xdr:cNvPr id="31" name="Image 30">
          <a:extLst>
            <a:ext uri="{FF2B5EF4-FFF2-40B4-BE49-F238E27FC236}">
              <a16:creationId xmlns:a16="http://schemas.microsoft.com/office/drawing/2014/main" id="{A9BA5804-1D84-7040-011C-079349375B4C}"/>
            </a:ext>
          </a:extLst>
        </xdr:cNvPr>
        <xdr:cNvPicPr>
          <a:picLocks noChangeAspect="1"/>
        </xdr:cNvPicPr>
      </xdr:nvPicPr>
      <xdr:blipFill>
        <a:blip xmlns:r="http://schemas.openxmlformats.org/officeDocument/2006/relationships" r:embed="rId9"/>
        <a:stretch>
          <a:fillRect/>
        </a:stretch>
      </xdr:blipFill>
      <xdr:spPr>
        <a:xfrm>
          <a:off x="1990725" y="61610875"/>
          <a:ext cx="5853738" cy="2768600"/>
        </a:xfrm>
        <a:prstGeom prst="rect">
          <a:avLst/>
        </a:prstGeom>
      </xdr:spPr>
    </xdr:pic>
    <xdr:clientData/>
  </xdr:twoCellAnchor>
  <xdr:twoCellAnchor editAs="oneCell">
    <xdr:from>
      <xdr:col>3</xdr:col>
      <xdr:colOff>742950</xdr:colOff>
      <xdr:row>196</xdr:row>
      <xdr:rowOff>0</xdr:rowOff>
    </xdr:from>
    <xdr:to>
      <xdr:col>9</xdr:col>
      <xdr:colOff>2324938</xdr:colOff>
      <xdr:row>228</xdr:row>
      <xdr:rowOff>220297</xdr:rowOff>
    </xdr:to>
    <xdr:pic>
      <xdr:nvPicPr>
        <xdr:cNvPr id="5" name="Image 4">
          <a:extLst>
            <a:ext uri="{FF2B5EF4-FFF2-40B4-BE49-F238E27FC236}">
              <a16:creationId xmlns:a16="http://schemas.microsoft.com/office/drawing/2014/main" id="{74CA1E47-6FC0-5F34-C5BF-8F6C8AE74C2C}"/>
            </a:ext>
          </a:extLst>
        </xdr:cNvPr>
        <xdr:cNvPicPr>
          <a:picLocks noChangeAspect="1"/>
        </xdr:cNvPicPr>
      </xdr:nvPicPr>
      <xdr:blipFill>
        <a:blip xmlns:r="http://schemas.openxmlformats.org/officeDocument/2006/relationships" r:embed="rId10"/>
        <a:stretch>
          <a:fillRect/>
        </a:stretch>
      </xdr:blipFill>
      <xdr:spPr>
        <a:xfrm>
          <a:off x="2019300" y="52158900"/>
          <a:ext cx="6001588" cy="8754697"/>
        </a:xfrm>
        <a:prstGeom prst="rect">
          <a:avLst/>
        </a:prstGeom>
      </xdr:spPr>
    </xdr:pic>
    <xdr:clientData/>
  </xdr:twoCellAnchor>
  <xdr:twoCellAnchor editAs="oneCell">
    <xdr:from>
      <xdr:col>3</xdr:col>
      <xdr:colOff>647700</xdr:colOff>
      <xdr:row>345</xdr:row>
      <xdr:rowOff>228600</xdr:rowOff>
    </xdr:from>
    <xdr:to>
      <xdr:col>9</xdr:col>
      <xdr:colOff>2004556</xdr:colOff>
      <xdr:row>356</xdr:row>
      <xdr:rowOff>104775</xdr:rowOff>
    </xdr:to>
    <xdr:pic>
      <xdr:nvPicPr>
        <xdr:cNvPr id="7" name="Image 6">
          <a:extLst>
            <a:ext uri="{FF2B5EF4-FFF2-40B4-BE49-F238E27FC236}">
              <a16:creationId xmlns:a16="http://schemas.microsoft.com/office/drawing/2014/main" id="{6626E19A-5CE8-AAAA-0E84-A8B460FE8698}"/>
            </a:ext>
          </a:extLst>
        </xdr:cNvPr>
        <xdr:cNvPicPr>
          <a:picLocks noChangeAspect="1"/>
        </xdr:cNvPicPr>
      </xdr:nvPicPr>
      <xdr:blipFill>
        <a:blip xmlns:r="http://schemas.openxmlformats.org/officeDocument/2006/relationships" r:embed="rId11"/>
        <a:stretch>
          <a:fillRect/>
        </a:stretch>
      </xdr:blipFill>
      <xdr:spPr>
        <a:xfrm>
          <a:off x="1914525" y="90897075"/>
          <a:ext cx="5738356" cy="2419350"/>
        </a:xfrm>
        <a:prstGeom prst="rect">
          <a:avLst/>
        </a:prstGeom>
      </xdr:spPr>
    </xdr:pic>
    <xdr:clientData/>
  </xdr:twoCellAnchor>
  <xdr:twoCellAnchor editAs="oneCell">
    <xdr:from>
      <xdr:col>3</xdr:col>
      <xdr:colOff>762000</xdr:colOff>
      <xdr:row>370</xdr:row>
      <xdr:rowOff>200025</xdr:rowOff>
    </xdr:from>
    <xdr:to>
      <xdr:col>9</xdr:col>
      <xdr:colOff>1153191</xdr:colOff>
      <xdr:row>388</xdr:row>
      <xdr:rowOff>38670</xdr:rowOff>
    </xdr:to>
    <xdr:pic>
      <xdr:nvPicPr>
        <xdr:cNvPr id="9" name="Image 8">
          <a:extLst>
            <a:ext uri="{FF2B5EF4-FFF2-40B4-BE49-F238E27FC236}">
              <a16:creationId xmlns:a16="http://schemas.microsoft.com/office/drawing/2014/main" id="{E377AFF8-87E1-8927-AAB9-0224C1FEC4FA}"/>
            </a:ext>
          </a:extLst>
        </xdr:cNvPr>
        <xdr:cNvPicPr>
          <a:picLocks noChangeAspect="1"/>
        </xdr:cNvPicPr>
      </xdr:nvPicPr>
      <xdr:blipFill>
        <a:blip xmlns:r="http://schemas.openxmlformats.org/officeDocument/2006/relationships" r:embed="rId12"/>
        <a:stretch>
          <a:fillRect/>
        </a:stretch>
      </xdr:blipFill>
      <xdr:spPr>
        <a:xfrm>
          <a:off x="2028825" y="96593025"/>
          <a:ext cx="4772691" cy="408679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87</xdr:col>
      <xdr:colOff>1200150</xdr:colOff>
      <xdr:row>4</xdr:row>
      <xdr:rowOff>161925</xdr:rowOff>
    </xdr:from>
    <xdr:to>
      <xdr:col>87</xdr:col>
      <xdr:colOff>1906681</xdr:colOff>
      <xdr:row>6</xdr:row>
      <xdr:rowOff>123825</xdr:rowOff>
    </xdr:to>
    <xdr:pic>
      <xdr:nvPicPr>
        <xdr:cNvPr id="2" name="Image 1">
          <a:extLst>
            <a:ext uri="{FF2B5EF4-FFF2-40B4-BE49-F238E27FC236}">
              <a16:creationId xmlns:a16="http://schemas.microsoft.com/office/drawing/2014/main" id="{18CBFBFA-8DD3-46C1-A092-A0DB24377A8C}"/>
            </a:ext>
          </a:extLst>
        </xdr:cNvPr>
        <xdr:cNvPicPr>
          <a:picLocks noChangeAspect="1"/>
        </xdr:cNvPicPr>
      </xdr:nvPicPr>
      <xdr:blipFill>
        <a:blip xmlns:r="http://schemas.openxmlformats.org/officeDocument/2006/relationships" r:embed="rId1"/>
        <a:stretch>
          <a:fillRect/>
        </a:stretch>
      </xdr:blipFill>
      <xdr:spPr>
        <a:xfrm>
          <a:off x="77819250" y="1257300"/>
          <a:ext cx="706531" cy="495300"/>
        </a:xfrm>
        <a:prstGeom prst="rect">
          <a:avLst/>
        </a:prstGeom>
      </xdr:spPr>
    </xdr:pic>
    <xdr:clientData/>
  </xdr:twoCellAnchor>
  <xdr:twoCellAnchor editAs="oneCell">
    <xdr:from>
      <xdr:col>95</xdr:col>
      <xdr:colOff>1333500</xdr:colOff>
      <xdr:row>4</xdr:row>
      <xdr:rowOff>133350</xdr:rowOff>
    </xdr:from>
    <xdr:to>
      <xdr:col>95</xdr:col>
      <xdr:colOff>2353541</xdr:colOff>
      <xdr:row>6</xdr:row>
      <xdr:rowOff>190500</xdr:rowOff>
    </xdr:to>
    <xdr:pic>
      <xdr:nvPicPr>
        <xdr:cNvPr id="3" name="Image 2">
          <a:extLst>
            <a:ext uri="{FF2B5EF4-FFF2-40B4-BE49-F238E27FC236}">
              <a16:creationId xmlns:a16="http://schemas.microsoft.com/office/drawing/2014/main" id="{85390AED-867F-4A00-996F-F3A108DE6E3F}"/>
            </a:ext>
          </a:extLst>
        </xdr:cNvPr>
        <xdr:cNvPicPr>
          <a:picLocks noChangeAspect="1"/>
        </xdr:cNvPicPr>
      </xdr:nvPicPr>
      <xdr:blipFill>
        <a:blip xmlns:r="http://schemas.openxmlformats.org/officeDocument/2006/relationships" r:embed="rId2"/>
        <a:stretch>
          <a:fillRect/>
        </a:stretch>
      </xdr:blipFill>
      <xdr:spPr>
        <a:xfrm>
          <a:off x="87315675" y="1228725"/>
          <a:ext cx="1020041" cy="590550"/>
        </a:xfrm>
        <a:prstGeom prst="rect">
          <a:avLst/>
        </a:prstGeom>
      </xdr:spPr>
    </xdr:pic>
    <xdr:clientData/>
  </xdr:twoCellAnchor>
  <xdr:twoCellAnchor editAs="oneCell">
    <xdr:from>
      <xdr:col>103</xdr:col>
      <xdr:colOff>1447800</xdr:colOff>
      <xdr:row>4</xdr:row>
      <xdr:rowOff>161925</xdr:rowOff>
    </xdr:from>
    <xdr:to>
      <xdr:col>103</xdr:col>
      <xdr:colOff>2511283</xdr:colOff>
      <xdr:row>6</xdr:row>
      <xdr:rowOff>209550</xdr:rowOff>
    </xdr:to>
    <xdr:pic>
      <xdr:nvPicPr>
        <xdr:cNvPr id="4" name="Image 3">
          <a:extLst>
            <a:ext uri="{FF2B5EF4-FFF2-40B4-BE49-F238E27FC236}">
              <a16:creationId xmlns:a16="http://schemas.microsoft.com/office/drawing/2014/main" id="{09ADD046-3446-451C-957D-88614AF32782}"/>
            </a:ext>
          </a:extLst>
        </xdr:cNvPr>
        <xdr:cNvPicPr>
          <a:picLocks noChangeAspect="1"/>
        </xdr:cNvPicPr>
      </xdr:nvPicPr>
      <xdr:blipFill>
        <a:blip xmlns:r="http://schemas.openxmlformats.org/officeDocument/2006/relationships" r:embed="rId3"/>
        <a:stretch>
          <a:fillRect/>
        </a:stretch>
      </xdr:blipFill>
      <xdr:spPr>
        <a:xfrm>
          <a:off x="96793050" y="1257300"/>
          <a:ext cx="1063483" cy="581025"/>
        </a:xfrm>
        <a:prstGeom prst="rect">
          <a:avLst/>
        </a:prstGeom>
      </xdr:spPr>
    </xdr:pic>
    <xdr:clientData/>
  </xdr:twoCellAnchor>
  <xdr:oneCellAnchor>
    <xdr:from>
      <xdr:col>87</xdr:col>
      <xdr:colOff>1447800</xdr:colOff>
      <xdr:row>13</xdr:row>
      <xdr:rowOff>171450</xdr:rowOff>
    </xdr:from>
    <xdr:ext cx="571500" cy="571500"/>
    <xdr:pic>
      <xdr:nvPicPr>
        <xdr:cNvPr id="5" name="Image 4">
          <a:extLst>
            <a:ext uri="{FF2B5EF4-FFF2-40B4-BE49-F238E27FC236}">
              <a16:creationId xmlns:a16="http://schemas.microsoft.com/office/drawing/2014/main" id="{5B08F2DA-5D5E-47F5-B64C-FA751D86EF70}"/>
            </a:ext>
          </a:extLst>
        </xdr:cNvPr>
        <xdr:cNvPicPr>
          <a:picLocks noChangeAspect="1"/>
        </xdr:cNvPicPr>
      </xdr:nvPicPr>
      <xdr:blipFill>
        <a:blip xmlns:r="http://schemas.openxmlformats.org/officeDocument/2006/relationships" r:embed="rId4"/>
        <a:stretch>
          <a:fillRect/>
        </a:stretch>
      </xdr:blipFill>
      <xdr:spPr>
        <a:xfrm>
          <a:off x="78066900" y="3667125"/>
          <a:ext cx="571500" cy="571500"/>
        </a:xfrm>
        <a:prstGeom prst="rect">
          <a:avLst/>
        </a:prstGeom>
      </xdr:spPr>
    </xdr:pic>
    <xdr:clientData/>
  </xdr:oneCellAnchor>
  <xdr:oneCellAnchor>
    <xdr:from>
      <xdr:col>95</xdr:col>
      <xdr:colOff>1419225</xdr:colOff>
      <xdr:row>13</xdr:row>
      <xdr:rowOff>133350</xdr:rowOff>
    </xdr:from>
    <xdr:ext cx="571500" cy="571500"/>
    <xdr:pic>
      <xdr:nvPicPr>
        <xdr:cNvPr id="6" name="Image 5">
          <a:extLst>
            <a:ext uri="{FF2B5EF4-FFF2-40B4-BE49-F238E27FC236}">
              <a16:creationId xmlns:a16="http://schemas.microsoft.com/office/drawing/2014/main" id="{8094464B-1F12-44B7-8564-050B720EE5EB}"/>
            </a:ext>
          </a:extLst>
        </xdr:cNvPr>
        <xdr:cNvPicPr>
          <a:picLocks noChangeAspect="1"/>
        </xdr:cNvPicPr>
      </xdr:nvPicPr>
      <xdr:blipFill>
        <a:blip xmlns:r="http://schemas.openxmlformats.org/officeDocument/2006/relationships" r:embed="rId4"/>
        <a:stretch>
          <a:fillRect/>
        </a:stretch>
      </xdr:blipFill>
      <xdr:spPr>
        <a:xfrm>
          <a:off x="87401400" y="3629025"/>
          <a:ext cx="571500" cy="571500"/>
        </a:xfrm>
        <a:prstGeom prst="rect">
          <a:avLst/>
        </a:prstGeom>
      </xdr:spPr>
    </xdr:pic>
    <xdr:clientData/>
  </xdr:oneCellAnchor>
  <xdr:oneCellAnchor>
    <xdr:from>
      <xdr:col>103</xdr:col>
      <xdr:colOff>1600200</xdr:colOff>
      <xdr:row>13</xdr:row>
      <xdr:rowOff>152400</xdr:rowOff>
    </xdr:from>
    <xdr:ext cx="571500" cy="571500"/>
    <xdr:pic>
      <xdr:nvPicPr>
        <xdr:cNvPr id="7" name="Image 6">
          <a:extLst>
            <a:ext uri="{FF2B5EF4-FFF2-40B4-BE49-F238E27FC236}">
              <a16:creationId xmlns:a16="http://schemas.microsoft.com/office/drawing/2014/main" id="{EF29B9DC-29FE-4141-849D-AA8BBC1EF036}"/>
            </a:ext>
          </a:extLst>
        </xdr:cNvPr>
        <xdr:cNvPicPr>
          <a:picLocks noChangeAspect="1"/>
        </xdr:cNvPicPr>
      </xdr:nvPicPr>
      <xdr:blipFill>
        <a:blip xmlns:r="http://schemas.openxmlformats.org/officeDocument/2006/relationships" r:embed="rId4"/>
        <a:stretch>
          <a:fillRect/>
        </a:stretch>
      </xdr:blipFill>
      <xdr:spPr>
        <a:xfrm>
          <a:off x="96945450" y="3648075"/>
          <a:ext cx="571500" cy="571500"/>
        </a:xfrm>
        <a:prstGeom prst="rect">
          <a:avLst/>
        </a:prstGeom>
      </xdr:spPr>
    </xdr:pic>
    <xdr:clientData/>
  </xdr:oneCellAnchor>
  <xdr:oneCellAnchor>
    <xdr:from>
      <xdr:col>76</xdr:col>
      <xdr:colOff>476250</xdr:colOff>
      <xdr:row>22</xdr:row>
      <xdr:rowOff>0</xdr:rowOff>
    </xdr:from>
    <xdr:ext cx="2289175" cy="1058870"/>
    <xdr:pic>
      <xdr:nvPicPr>
        <xdr:cNvPr id="8" name="Image 7">
          <a:extLst>
            <a:ext uri="{FF2B5EF4-FFF2-40B4-BE49-F238E27FC236}">
              <a16:creationId xmlns:a16="http://schemas.microsoft.com/office/drawing/2014/main" id="{473E18D2-9D46-4DA2-BB8B-3F3613F705A4}"/>
            </a:ext>
          </a:extLst>
        </xdr:cNvPr>
        <xdr:cNvPicPr>
          <a:picLocks noChangeAspect="1"/>
        </xdr:cNvPicPr>
      </xdr:nvPicPr>
      <xdr:blipFill>
        <a:blip xmlns:r="http://schemas.openxmlformats.org/officeDocument/2006/relationships" r:embed="rId5"/>
        <a:stretch>
          <a:fillRect/>
        </a:stretch>
      </xdr:blipFill>
      <xdr:spPr>
        <a:xfrm>
          <a:off x="65131950" y="5895975"/>
          <a:ext cx="2289175" cy="1058870"/>
        </a:xfrm>
        <a:prstGeom prst="rect">
          <a:avLst/>
        </a:prstGeom>
      </xdr:spPr>
    </xdr:pic>
    <xdr:clientData/>
  </xdr:oneCellAnchor>
  <xdr:oneCellAnchor>
    <xdr:from>
      <xdr:col>76</xdr:col>
      <xdr:colOff>685800</xdr:colOff>
      <xdr:row>38</xdr:row>
      <xdr:rowOff>85725</xdr:rowOff>
    </xdr:from>
    <xdr:ext cx="2248026" cy="1098550"/>
    <xdr:pic>
      <xdr:nvPicPr>
        <xdr:cNvPr id="9" name="Image 8">
          <a:extLst>
            <a:ext uri="{FF2B5EF4-FFF2-40B4-BE49-F238E27FC236}">
              <a16:creationId xmlns:a16="http://schemas.microsoft.com/office/drawing/2014/main" id="{3773A410-45CF-497C-9D02-B18882A78E91}"/>
            </a:ext>
          </a:extLst>
        </xdr:cNvPr>
        <xdr:cNvPicPr>
          <a:picLocks noChangeAspect="1"/>
        </xdr:cNvPicPr>
      </xdr:nvPicPr>
      <xdr:blipFill>
        <a:blip xmlns:r="http://schemas.openxmlformats.org/officeDocument/2006/relationships" r:embed="rId6"/>
        <a:stretch>
          <a:fillRect/>
        </a:stretch>
      </xdr:blipFill>
      <xdr:spPr>
        <a:xfrm>
          <a:off x="65341500" y="10248900"/>
          <a:ext cx="2248026" cy="1098550"/>
        </a:xfrm>
        <a:prstGeom prst="rect">
          <a:avLst/>
        </a:prstGeom>
      </xdr:spPr>
    </xdr:pic>
    <xdr:clientData/>
  </xdr:oneCellAnchor>
  <xdr:oneCellAnchor>
    <xdr:from>
      <xdr:col>77</xdr:col>
      <xdr:colOff>38100</xdr:colOff>
      <xdr:row>52</xdr:row>
      <xdr:rowOff>19050</xdr:rowOff>
    </xdr:from>
    <xdr:ext cx="1057275" cy="1120810"/>
    <xdr:pic>
      <xdr:nvPicPr>
        <xdr:cNvPr id="10" name="Image 9">
          <a:extLst>
            <a:ext uri="{FF2B5EF4-FFF2-40B4-BE49-F238E27FC236}">
              <a16:creationId xmlns:a16="http://schemas.microsoft.com/office/drawing/2014/main" id="{44E1F569-4D0C-4BB6-8BB1-D725145C5C3E}"/>
            </a:ext>
          </a:extLst>
        </xdr:cNvPr>
        <xdr:cNvPicPr>
          <a:picLocks noChangeAspect="1"/>
        </xdr:cNvPicPr>
      </xdr:nvPicPr>
      <xdr:blipFill>
        <a:blip xmlns:r="http://schemas.openxmlformats.org/officeDocument/2006/relationships" r:embed="rId7"/>
        <a:stretch>
          <a:fillRect/>
        </a:stretch>
      </xdr:blipFill>
      <xdr:spPr>
        <a:xfrm>
          <a:off x="65827275" y="13916025"/>
          <a:ext cx="1057275" cy="1120810"/>
        </a:xfrm>
        <a:prstGeom prst="rect">
          <a:avLst/>
        </a:prstGeom>
      </xdr:spPr>
    </xdr:pic>
    <xdr:clientData/>
  </xdr:oneCellAnchor>
  <xdr:oneCellAnchor>
    <xdr:from>
      <xdr:col>78</xdr:col>
      <xdr:colOff>1343025</xdr:colOff>
      <xdr:row>94</xdr:row>
      <xdr:rowOff>180975</xdr:rowOff>
    </xdr:from>
    <xdr:ext cx="1448868" cy="1238250"/>
    <xdr:pic>
      <xdr:nvPicPr>
        <xdr:cNvPr id="11" name="Image 10" descr="Man Cook: Medium-Light Skin Tone">
          <a:extLst>
            <a:ext uri="{FF2B5EF4-FFF2-40B4-BE49-F238E27FC236}">
              <a16:creationId xmlns:a16="http://schemas.microsoft.com/office/drawing/2014/main" id="{F4A29AAB-7B22-4467-B619-BD8500B79B4D}"/>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67913250" y="25279350"/>
          <a:ext cx="1448868" cy="12382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2571750</xdr:colOff>
      <xdr:row>49</xdr:row>
      <xdr:rowOff>200025</xdr:rowOff>
    </xdr:from>
    <xdr:ext cx="2162176" cy="1769052"/>
    <xdr:pic>
      <xdr:nvPicPr>
        <xdr:cNvPr id="12" name="Image 11">
          <a:extLst>
            <a:ext uri="{FF2B5EF4-FFF2-40B4-BE49-F238E27FC236}">
              <a16:creationId xmlns:a16="http://schemas.microsoft.com/office/drawing/2014/main" id="{5B3706F3-8258-4E93-8484-DBDFEE532F52}"/>
            </a:ext>
          </a:extLst>
        </xdr:cNvPr>
        <xdr:cNvPicPr>
          <a:picLocks noChangeAspect="1"/>
        </xdr:cNvPicPr>
      </xdr:nvPicPr>
      <xdr:blipFill>
        <a:blip xmlns:r="http://schemas.openxmlformats.org/officeDocument/2006/relationships" r:embed="rId9"/>
        <a:stretch>
          <a:fillRect/>
        </a:stretch>
      </xdr:blipFill>
      <xdr:spPr>
        <a:xfrm>
          <a:off x="16849725" y="11820525"/>
          <a:ext cx="2162176" cy="1769052"/>
        </a:xfrm>
        <a:prstGeom prst="rect">
          <a:avLst/>
        </a:prstGeom>
      </xdr:spPr>
    </xdr:pic>
    <xdr:clientData/>
  </xdr:oneCellAnchor>
  <xdr:oneCellAnchor>
    <xdr:from>
      <xdr:col>19</xdr:col>
      <xdr:colOff>180976</xdr:colOff>
      <xdr:row>52</xdr:row>
      <xdr:rowOff>161924</xdr:rowOff>
    </xdr:from>
    <xdr:ext cx="3771900" cy="1195141"/>
    <xdr:pic>
      <xdr:nvPicPr>
        <xdr:cNvPr id="13" name="Image 12">
          <a:extLst>
            <a:ext uri="{FF2B5EF4-FFF2-40B4-BE49-F238E27FC236}">
              <a16:creationId xmlns:a16="http://schemas.microsoft.com/office/drawing/2014/main" id="{8B3313AA-170A-4CD4-B752-F7720E2DBD2F}"/>
            </a:ext>
          </a:extLst>
        </xdr:cNvPr>
        <xdr:cNvPicPr>
          <a:picLocks noChangeAspect="1"/>
        </xdr:cNvPicPr>
      </xdr:nvPicPr>
      <xdr:blipFill>
        <a:blip xmlns:r="http://schemas.openxmlformats.org/officeDocument/2006/relationships" r:embed="rId10"/>
        <a:stretch>
          <a:fillRect/>
        </a:stretch>
      </xdr:blipFill>
      <xdr:spPr>
        <a:xfrm>
          <a:off x="12058651" y="12582524"/>
          <a:ext cx="3771900" cy="1195141"/>
        </a:xfrm>
        <a:prstGeom prst="rect">
          <a:avLst/>
        </a:prstGeom>
      </xdr:spPr>
    </xdr:pic>
    <xdr:clientData/>
  </xdr:oneCellAnchor>
  <xdr:twoCellAnchor editAs="oneCell">
    <xdr:from>
      <xdr:col>4</xdr:col>
      <xdr:colOff>0</xdr:colOff>
      <xdr:row>15</xdr:row>
      <xdr:rowOff>0</xdr:rowOff>
    </xdr:from>
    <xdr:to>
      <xdr:col>9</xdr:col>
      <xdr:colOff>2058180</xdr:colOff>
      <xdr:row>44</xdr:row>
      <xdr:rowOff>172553</xdr:rowOff>
    </xdr:to>
    <xdr:pic>
      <xdr:nvPicPr>
        <xdr:cNvPr id="14" name="Image 13">
          <a:extLst>
            <a:ext uri="{FF2B5EF4-FFF2-40B4-BE49-F238E27FC236}">
              <a16:creationId xmlns:a16="http://schemas.microsoft.com/office/drawing/2014/main" id="{9621E000-0C50-458C-BD42-D5E6B3B45DE2}"/>
            </a:ext>
          </a:extLst>
        </xdr:cNvPr>
        <xdr:cNvPicPr>
          <a:picLocks noChangeAspect="1"/>
        </xdr:cNvPicPr>
      </xdr:nvPicPr>
      <xdr:blipFill>
        <a:blip xmlns:r="http://schemas.openxmlformats.org/officeDocument/2006/relationships" r:embed="rId11"/>
        <a:stretch>
          <a:fillRect/>
        </a:stretch>
      </xdr:blipFill>
      <xdr:spPr>
        <a:xfrm>
          <a:off x="2200275" y="4029075"/>
          <a:ext cx="5591955" cy="7906853"/>
        </a:xfrm>
        <a:prstGeom prst="rect">
          <a:avLst/>
        </a:prstGeom>
      </xdr:spPr>
    </xdr:pic>
    <xdr:clientData/>
  </xdr:twoCellAnchor>
  <xdr:twoCellAnchor editAs="oneCell">
    <xdr:from>
      <xdr:col>5</xdr:col>
      <xdr:colOff>209550</xdr:colOff>
      <xdr:row>46</xdr:row>
      <xdr:rowOff>171450</xdr:rowOff>
    </xdr:from>
    <xdr:to>
      <xdr:col>9</xdr:col>
      <xdr:colOff>629086</xdr:colOff>
      <xdr:row>56</xdr:row>
      <xdr:rowOff>9875</xdr:rowOff>
    </xdr:to>
    <xdr:pic>
      <xdr:nvPicPr>
        <xdr:cNvPr id="15" name="Image 14">
          <a:extLst>
            <a:ext uri="{FF2B5EF4-FFF2-40B4-BE49-F238E27FC236}">
              <a16:creationId xmlns:a16="http://schemas.microsoft.com/office/drawing/2014/main" id="{CC2ABDAD-82D1-476F-B692-E355CEDA80DF}"/>
            </a:ext>
          </a:extLst>
        </xdr:cNvPr>
        <xdr:cNvPicPr>
          <a:picLocks noChangeAspect="1"/>
        </xdr:cNvPicPr>
      </xdr:nvPicPr>
      <xdr:blipFill>
        <a:blip xmlns:r="http://schemas.openxmlformats.org/officeDocument/2006/relationships" r:embed="rId12"/>
        <a:stretch>
          <a:fillRect/>
        </a:stretch>
      </xdr:blipFill>
      <xdr:spPr>
        <a:xfrm>
          <a:off x="3257550" y="12468225"/>
          <a:ext cx="3105586" cy="2505425"/>
        </a:xfrm>
        <a:prstGeom prst="rect">
          <a:avLst/>
        </a:prstGeom>
      </xdr:spPr>
    </xdr:pic>
    <xdr:clientData/>
  </xdr:twoCellAnchor>
  <xdr:twoCellAnchor editAs="oneCell">
    <xdr:from>
      <xdr:col>6</xdr:col>
      <xdr:colOff>0</xdr:colOff>
      <xdr:row>58</xdr:row>
      <xdr:rowOff>0</xdr:rowOff>
    </xdr:from>
    <xdr:to>
      <xdr:col>9</xdr:col>
      <xdr:colOff>737660</xdr:colOff>
      <xdr:row>67</xdr:row>
      <xdr:rowOff>190500</xdr:rowOff>
    </xdr:to>
    <xdr:pic>
      <xdr:nvPicPr>
        <xdr:cNvPr id="16" name="Image 15">
          <a:extLst>
            <a:ext uri="{FF2B5EF4-FFF2-40B4-BE49-F238E27FC236}">
              <a16:creationId xmlns:a16="http://schemas.microsoft.com/office/drawing/2014/main" id="{0E835454-4F6E-41B0-BB93-F4E9A25144A4}"/>
            </a:ext>
          </a:extLst>
        </xdr:cNvPr>
        <xdr:cNvPicPr>
          <a:picLocks noChangeAspect="1"/>
        </xdr:cNvPicPr>
      </xdr:nvPicPr>
      <xdr:blipFill>
        <a:blip xmlns:r="http://schemas.openxmlformats.org/officeDocument/2006/relationships" r:embed="rId9"/>
        <a:stretch>
          <a:fillRect/>
        </a:stretch>
      </xdr:blipFill>
      <xdr:spPr>
        <a:xfrm>
          <a:off x="3314700" y="15497175"/>
          <a:ext cx="3157010" cy="2590800"/>
        </a:xfrm>
        <a:prstGeom prst="rect">
          <a:avLst/>
        </a:prstGeom>
      </xdr:spPr>
    </xdr:pic>
    <xdr:clientData/>
  </xdr:twoCellAnchor>
  <xdr:oneCellAnchor>
    <xdr:from>
      <xdr:col>4</xdr:col>
      <xdr:colOff>752475</xdr:colOff>
      <xdr:row>70</xdr:row>
      <xdr:rowOff>0</xdr:rowOff>
    </xdr:from>
    <xdr:ext cx="3905250" cy="4122208"/>
    <xdr:pic>
      <xdr:nvPicPr>
        <xdr:cNvPr id="17" name="Image 16">
          <a:extLst>
            <a:ext uri="{FF2B5EF4-FFF2-40B4-BE49-F238E27FC236}">
              <a16:creationId xmlns:a16="http://schemas.microsoft.com/office/drawing/2014/main" id="{5C849A77-3675-4B59-B081-C1FFC3428B73}"/>
            </a:ext>
          </a:extLst>
        </xdr:cNvPr>
        <xdr:cNvPicPr>
          <a:picLocks noChangeAspect="1"/>
        </xdr:cNvPicPr>
      </xdr:nvPicPr>
      <xdr:blipFill>
        <a:blip xmlns:r="http://schemas.openxmlformats.org/officeDocument/2006/relationships" r:embed="rId13"/>
        <a:stretch>
          <a:fillRect/>
        </a:stretch>
      </xdr:blipFill>
      <xdr:spPr>
        <a:xfrm>
          <a:off x="2952750" y="18697575"/>
          <a:ext cx="3905250" cy="4122208"/>
        </a:xfrm>
        <a:prstGeom prst="rect">
          <a:avLst/>
        </a:prstGeom>
      </xdr:spPr>
    </xdr:pic>
    <xdr:clientData/>
  </xdr:oneCellAnchor>
  <xdr:twoCellAnchor editAs="oneCell">
    <xdr:from>
      <xdr:col>3</xdr:col>
      <xdr:colOff>752475</xdr:colOff>
      <xdr:row>198</xdr:row>
      <xdr:rowOff>9525</xdr:rowOff>
    </xdr:from>
    <xdr:to>
      <xdr:col>9</xdr:col>
      <xdr:colOff>2334463</xdr:colOff>
      <xdr:row>230</xdr:row>
      <xdr:rowOff>229822</xdr:rowOff>
    </xdr:to>
    <xdr:pic>
      <xdr:nvPicPr>
        <xdr:cNvPr id="19" name="Image 18">
          <a:extLst>
            <a:ext uri="{FF2B5EF4-FFF2-40B4-BE49-F238E27FC236}">
              <a16:creationId xmlns:a16="http://schemas.microsoft.com/office/drawing/2014/main" id="{E6326375-E384-4303-9E87-8CCFFCB7B397}"/>
            </a:ext>
          </a:extLst>
        </xdr:cNvPr>
        <xdr:cNvPicPr>
          <a:picLocks noChangeAspect="1"/>
        </xdr:cNvPicPr>
      </xdr:nvPicPr>
      <xdr:blipFill>
        <a:blip xmlns:r="http://schemas.openxmlformats.org/officeDocument/2006/relationships" r:embed="rId14"/>
        <a:stretch>
          <a:fillRect/>
        </a:stretch>
      </xdr:blipFill>
      <xdr:spPr>
        <a:xfrm>
          <a:off x="2105025" y="52844700"/>
          <a:ext cx="5963488" cy="875469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87</xdr:col>
      <xdr:colOff>1200150</xdr:colOff>
      <xdr:row>4</xdr:row>
      <xdr:rowOff>161925</xdr:rowOff>
    </xdr:from>
    <xdr:to>
      <xdr:col>87</xdr:col>
      <xdr:colOff>1906681</xdr:colOff>
      <xdr:row>6</xdr:row>
      <xdr:rowOff>123825</xdr:rowOff>
    </xdr:to>
    <xdr:pic>
      <xdr:nvPicPr>
        <xdr:cNvPr id="2" name="Image 1">
          <a:extLst>
            <a:ext uri="{FF2B5EF4-FFF2-40B4-BE49-F238E27FC236}">
              <a16:creationId xmlns:a16="http://schemas.microsoft.com/office/drawing/2014/main" id="{CAC87E51-E84B-42EF-A1CB-13CCF388DF5E}"/>
            </a:ext>
          </a:extLst>
        </xdr:cNvPr>
        <xdr:cNvPicPr>
          <a:picLocks noChangeAspect="1"/>
        </xdr:cNvPicPr>
      </xdr:nvPicPr>
      <xdr:blipFill>
        <a:blip xmlns:r="http://schemas.openxmlformats.org/officeDocument/2006/relationships" r:embed="rId1"/>
        <a:stretch>
          <a:fillRect/>
        </a:stretch>
      </xdr:blipFill>
      <xdr:spPr>
        <a:xfrm>
          <a:off x="78524100" y="1257300"/>
          <a:ext cx="706531" cy="495300"/>
        </a:xfrm>
        <a:prstGeom prst="rect">
          <a:avLst/>
        </a:prstGeom>
      </xdr:spPr>
    </xdr:pic>
    <xdr:clientData/>
  </xdr:twoCellAnchor>
  <xdr:twoCellAnchor editAs="oneCell">
    <xdr:from>
      <xdr:col>95</xdr:col>
      <xdr:colOff>1333500</xdr:colOff>
      <xdr:row>4</xdr:row>
      <xdr:rowOff>133350</xdr:rowOff>
    </xdr:from>
    <xdr:to>
      <xdr:col>95</xdr:col>
      <xdr:colOff>2353541</xdr:colOff>
      <xdr:row>6</xdr:row>
      <xdr:rowOff>190500</xdr:rowOff>
    </xdr:to>
    <xdr:pic>
      <xdr:nvPicPr>
        <xdr:cNvPr id="3" name="Image 2">
          <a:extLst>
            <a:ext uri="{FF2B5EF4-FFF2-40B4-BE49-F238E27FC236}">
              <a16:creationId xmlns:a16="http://schemas.microsoft.com/office/drawing/2014/main" id="{62E9E841-110F-48CE-A761-F9DC3356280C}"/>
            </a:ext>
          </a:extLst>
        </xdr:cNvPr>
        <xdr:cNvPicPr>
          <a:picLocks noChangeAspect="1"/>
        </xdr:cNvPicPr>
      </xdr:nvPicPr>
      <xdr:blipFill>
        <a:blip xmlns:r="http://schemas.openxmlformats.org/officeDocument/2006/relationships" r:embed="rId2"/>
        <a:stretch>
          <a:fillRect/>
        </a:stretch>
      </xdr:blipFill>
      <xdr:spPr>
        <a:xfrm>
          <a:off x="88020525" y="1228725"/>
          <a:ext cx="1020041" cy="590550"/>
        </a:xfrm>
        <a:prstGeom prst="rect">
          <a:avLst/>
        </a:prstGeom>
      </xdr:spPr>
    </xdr:pic>
    <xdr:clientData/>
  </xdr:twoCellAnchor>
  <xdr:twoCellAnchor editAs="oneCell">
    <xdr:from>
      <xdr:col>103</xdr:col>
      <xdr:colOff>1447800</xdr:colOff>
      <xdr:row>4</xdr:row>
      <xdr:rowOff>161925</xdr:rowOff>
    </xdr:from>
    <xdr:to>
      <xdr:col>103</xdr:col>
      <xdr:colOff>2511283</xdr:colOff>
      <xdr:row>6</xdr:row>
      <xdr:rowOff>209550</xdr:rowOff>
    </xdr:to>
    <xdr:pic>
      <xdr:nvPicPr>
        <xdr:cNvPr id="4" name="Image 3">
          <a:extLst>
            <a:ext uri="{FF2B5EF4-FFF2-40B4-BE49-F238E27FC236}">
              <a16:creationId xmlns:a16="http://schemas.microsoft.com/office/drawing/2014/main" id="{8C58F24C-A3CD-4570-9DFC-21D12A9B36A8}"/>
            </a:ext>
          </a:extLst>
        </xdr:cNvPr>
        <xdr:cNvPicPr>
          <a:picLocks noChangeAspect="1"/>
        </xdr:cNvPicPr>
      </xdr:nvPicPr>
      <xdr:blipFill>
        <a:blip xmlns:r="http://schemas.openxmlformats.org/officeDocument/2006/relationships" r:embed="rId3"/>
        <a:stretch>
          <a:fillRect/>
        </a:stretch>
      </xdr:blipFill>
      <xdr:spPr>
        <a:xfrm>
          <a:off x="97497900" y="1257300"/>
          <a:ext cx="1063483" cy="581025"/>
        </a:xfrm>
        <a:prstGeom prst="rect">
          <a:avLst/>
        </a:prstGeom>
      </xdr:spPr>
    </xdr:pic>
    <xdr:clientData/>
  </xdr:twoCellAnchor>
  <xdr:oneCellAnchor>
    <xdr:from>
      <xdr:col>87</xdr:col>
      <xdr:colOff>1447800</xdr:colOff>
      <xdr:row>13</xdr:row>
      <xdr:rowOff>171450</xdr:rowOff>
    </xdr:from>
    <xdr:ext cx="571500" cy="571500"/>
    <xdr:pic>
      <xdr:nvPicPr>
        <xdr:cNvPr id="5" name="Image 4">
          <a:extLst>
            <a:ext uri="{FF2B5EF4-FFF2-40B4-BE49-F238E27FC236}">
              <a16:creationId xmlns:a16="http://schemas.microsoft.com/office/drawing/2014/main" id="{F01D292E-A381-4AB4-9540-AC0018E5DBBC}"/>
            </a:ext>
          </a:extLst>
        </xdr:cNvPr>
        <xdr:cNvPicPr>
          <a:picLocks noChangeAspect="1"/>
        </xdr:cNvPicPr>
      </xdr:nvPicPr>
      <xdr:blipFill>
        <a:blip xmlns:r="http://schemas.openxmlformats.org/officeDocument/2006/relationships" r:embed="rId4"/>
        <a:stretch>
          <a:fillRect/>
        </a:stretch>
      </xdr:blipFill>
      <xdr:spPr>
        <a:xfrm>
          <a:off x="78771750" y="3667125"/>
          <a:ext cx="571500" cy="571500"/>
        </a:xfrm>
        <a:prstGeom prst="rect">
          <a:avLst/>
        </a:prstGeom>
      </xdr:spPr>
    </xdr:pic>
    <xdr:clientData/>
  </xdr:oneCellAnchor>
  <xdr:oneCellAnchor>
    <xdr:from>
      <xdr:col>95</xdr:col>
      <xdr:colOff>1419225</xdr:colOff>
      <xdr:row>13</xdr:row>
      <xdr:rowOff>133350</xdr:rowOff>
    </xdr:from>
    <xdr:ext cx="571500" cy="571500"/>
    <xdr:pic>
      <xdr:nvPicPr>
        <xdr:cNvPr id="6" name="Image 5">
          <a:extLst>
            <a:ext uri="{FF2B5EF4-FFF2-40B4-BE49-F238E27FC236}">
              <a16:creationId xmlns:a16="http://schemas.microsoft.com/office/drawing/2014/main" id="{009DC507-4ED3-4CA9-9703-0DD2E9A48A98}"/>
            </a:ext>
          </a:extLst>
        </xdr:cNvPr>
        <xdr:cNvPicPr>
          <a:picLocks noChangeAspect="1"/>
        </xdr:cNvPicPr>
      </xdr:nvPicPr>
      <xdr:blipFill>
        <a:blip xmlns:r="http://schemas.openxmlformats.org/officeDocument/2006/relationships" r:embed="rId4"/>
        <a:stretch>
          <a:fillRect/>
        </a:stretch>
      </xdr:blipFill>
      <xdr:spPr>
        <a:xfrm>
          <a:off x="88106250" y="3629025"/>
          <a:ext cx="571500" cy="571500"/>
        </a:xfrm>
        <a:prstGeom prst="rect">
          <a:avLst/>
        </a:prstGeom>
      </xdr:spPr>
    </xdr:pic>
    <xdr:clientData/>
  </xdr:oneCellAnchor>
  <xdr:oneCellAnchor>
    <xdr:from>
      <xdr:col>103</xdr:col>
      <xdr:colOff>1600200</xdr:colOff>
      <xdr:row>13</xdr:row>
      <xdr:rowOff>152400</xdr:rowOff>
    </xdr:from>
    <xdr:ext cx="571500" cy="571500"/>
    <xdr:pic>
      <xdr:nvPicPr>
        <xdr:cNvPr id="7" name="Image 6">
          <a:extLst>
            <a:ext uri="{FF2B5EF4-FFF2-40B4-BE49-F238E27FC236}">
              <a16:creationId xmlns:a16="http://schemas.microsoft.com/office/drawing/2014/main" id="{6538FCC1-7635-44A1-8B6B-5DB6BE355B52}"/>
            </a:ext>
          </a:extLst>
        </xdr:cNvPr>
        <xdr:cNvPicPr>
          <a:picLocks noChangeAspect="1"/>
        </xdr:cNvPicPr>
      </xdr:nvPicPr>
      <xdr:blipFill>
        <a:blip xmlns:r="http://schemas.openxmlformats.org/officeDocument/2006/relationships" r:embed="rId4"/>
        <a:stretch>
          <a:fillRect/>
        </a:stretch>
      </xdr:blipFill>
      <xdr:spPr>
        <a:xfrm>
          <a:off x="97650300" y="3648075"/>
          <a:ext cx="571500" cy="571500"/>
        </a:xfrm>
        <a:prstGeom prst="rect">
          <a:avLst/>
        </a:prstGeom>
      </xdr:spPr>
    </xdr:pic>
    <xdr:clientData/>
  </xdr:oneCellAnchor>
  <xdr:oneCellAnchor>
    <xdr:from>
      <xdr:col>76</xdr:col>
      <xdr:colOff>476250</xdr:colOff>
      <xdr:row>22</xdr:row>
      <xdr:rowOff>0</xdr:rowOff>
    </xdr:from>
    <xdr:ext cx="2289175" cy="1058870"/>
    <xdr:pic>
      <xdr:nvPicPr>
        <xdr:cNvPr id="8" name="Image 7">
          <a:extLst>
            <a:ext uri="{FF2B5EF4-FFF2-40B4-BE49-F238E27FC236}">
              <a16:creationId xmlns:a16="http://schemas.microsoft.com/office/drawing/2014/main" id="{8D59A9EC-794B-4431-B233-C297B6BC0252}"/>
            </a:ext>
          </a:extLst>
        </xdr:cNvPr>
        <xdr:cNvPicPr>
          <a:picLocks noChangeAspect="1"/>
        </xdr:cNvPicPr>
      </xdr:nvPicPr>
      <xdr:blipFill>
        <a:blip xmlns:r="http://schemas.openxmlformats.org/officeDocument/2006/relationships" r:embed="rId5"/>
        <a:stretch>
          <a:fillRect/>
        </a:stretch>
      </xdr:blipFill>
      <xdr:spPr>
        <a:xfrm>
          <a:off x="65836800" y="5895975"/>
          <a:ext cx="2289175" cy="1058870"/>
        </a:xfrm>
        <a:prstGeom prst="rect">
          <a:avLst/>
        </a:prstGeom>
      </xdr:spPr>
    </xdr:pic>
    <xdr:clientData/>
  </xdr:oneCellAnchor>
  <xdr:oneCellAnchor>
    <xdr:from>
      <xdr:col>76</xdr:col>
      <xdr:colOff>685800</xdr:colOff>
      <xdr:row>38</xdr:row>
      <xdr:rowOff>85725</xdr:rowOff>
    </xdr:from>
    <xdr:ext cx="2248026" cy="1098550"/>
    <xdr:pic>
      <xdr:nvPicPr>
        <xdr:cNvPr id="9" name="Image 8">
          <a:extLst>
            <a:ext uri="{FF2B5EF4-FFF2-40B4-BE49-F238E27FC236}">
              <a16:creationId xmlns:a16="http://schemas.microsoft.com/office/drawing/2014/main" id="{35FD6AEE-46BC-463A-911F-B9729F0C442B}"/>
            </a:ext>
          </a:extLst>
        </xdr:cNvPr>
        <xdr:cNvPicPr>
          <a:picLocks noChangeAspect="1"/>
        </xdr:cNvPicPr>
      </xdr:nvPicPr>
      <xdr:blipFill>
        <a:blip xmlns:r="http://schemas.openxmlformats.org/officeDocument/2006/relationships" r:embed="rId6"/>
        <a:stretch>
          <a:fillRect/>
        </a:stretch>
      </xdr:blipFill>
      <xdr:spPr>
        <a:xfrm>
          <a:off x="66046350" y="10248900"/>
          <a:ext cx="2248026" cy="1098550"/>
        </a:xfrm>
        <a:prstGeom prst="rect">
          <a:avLst/>
        </a:prstGeom>
      </xdr:spPr>
    </xdr:pic>
    <xdr:clientData/>
  </xdr:oneCellAnchor>
  <xdr:oneCellAnchor>
    <xdr:from>
      <xdr:col>77</xdr:col>
      <xdr:colOff>38100</xdr:colOff>
      <xdr:row>52</xdr:row>
      <xdr:rowOff>19050</xdr:rowOff>
    </xdr:from>
    <xdr:ext cx="1057275" cy="1120810"/>
    <xdr:pic>
      <xdr:nvPicPr>
        <xdr:cNvPr id="10" name="Image 9">
          <a:extLst>
            <a:ext uri="{FF2B5EF4-FFF2-40B4-BE49-F238E27FC236}">
              <a16:creationId xmlns:a16="http://schemas.microsoft.com/office/drawing/2014/main" id="{EDCFBA0C-8226-41E1-A3C1-E3921C647F74}"/>
            </a:ext>
          </a:extLst>
        </xdr:cNvPr>
        <xdr:cNvPicPr>
          <a:picLocks noChangeAspect="1"/>
        </xdr:cNvPicPr>
      </xdr:nvPicPr>
      <xdr:blipFill>
        <a:blip xmlns:r="http://schemas.openxmlformats.org/officeDocument/2006/relationships" r:embed="rId7"/>
        <a:stretch>
          <a:fillRect/>
        </a:stretch>
      </xdr:blipFill>
      <xdr:spPr>
        <a:xfrm>
          <a:off x="66532125" y="13916025"/>
          <a:ext cx="1057275" cy="1120810"/>
        </a:xfrm>
        <a:prstGeom prst="rect">
          <a:avLst/>
        </a:prstGeom>
      </xdr:spPr>
    </xdr:pic>
    <xdr:clientData/>
  </xdr:oneCellAnchor>
  <xdr:oneCellAnchor>
    <xdr:from>
      <xdr:col>78</xdr:col>
      <xdr:colOff>1343025</xdr:colOff>
      <xdr:row>94</xdr:row>
      <xdr:rowOff>180975</xdr:rowOff>
    </xdr:from>
    <xdr:ext cx="1448868" cy="1238250"/>
    <xdr:pic>
      <xdr:nvPicPr>
        <xdr:cNvPr id="11" name="Image 10" descr="Man Cook: Medium-Light Skin Tone">
          <a:extLst>
            <a:ext uri="{FF2B5EF4-FFF2-40B4-BE49-F238E27FC236}">
              <a16:creationId xmlns:a16="http://schemas.microsoft.com/office/drawing/2014/main" id="{7FF96546-2606-46B6-A02E-2F0C9B9B0B37}"/>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68618100" y="25279350"/>
          <a:ext cx="1448868" cy="12382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8.xml><?xml version="1.0" encoding="utf-8"?>
<xdr:wsDr xmlns:xdr="http://schemas.openxmlformats.org/drawingml/2006/spreadsheetDrawing" xmlns:a="http://schemas.openxmlformats.org/drawingml/2006/main">
  <xdr:twoCellAnchor editAs="oneCell">
    <xdr:from>
      <xdr:col>14</xdr:col>
      <xdr:colOff>809625</xdr:colOff>
      <xdr:row>3</xdr:row>
      <xdr:rowOff>28575</xdr:rowOff>
    </xdr:from>
    <xdr:to>
      <xdr:col>15</xdr:col>
      <xdr:colOff>577103</xdr:colOff>
      <xdr:row>5</xdr:row>
      <xdr:rowOff>66675</xdr:rowOff>
    </xdr:to>
    <xdr:pic>
      <xdr:nvPicPr>
        <xdr:cNvPr id="2" name="Image 1">
          <a:extLst>
            <a:ext uri="{FF2B5EF4-FFF2-40B4-BE49-F238E27FC236}">
              <a16:creationId xmlns:a16="http://schemas.microsoft.com/office/drawing/2014/main" id="{C0B968E0-E0C3-4638-81E4-1C111CEF015C}"/>
            </a:ext>
          </a:extLst>
        </xdr:cNvPr>
        <xdr:cNvPicPr>
          <a:picLocks noChangeAspect="1"/>
        </xdr:cNvPicPr>
      </xdr:nvPicPr>
      <xdr:blipFill>
        <a:blip xmlns:r="http://schemas.openxmlformats.org/officeDocument/2006/relationships" r:embed="rId1"/>
        <a:stretch>
          <a:fillRect/>
        </a:stretch>
      </xdr:blipFill>
      <xdr:spPr>
        <a:xfrm>
          <a:off x="10515600" y="695325"/>
          <a:ext cx="815228" cy="571500"/>
        </a:xfrm>
        <a:prstGeom prst="rect">
          <a:avLst/>
        </a:prstGeom>
      </xdr:spPr>
    </xdr:pic>
    <xdr:clientData/>
  </xdr:twoCellAnchor>
  <xdr:twoCellAnchor editAs="oneCell">
    <xdr:from>
      <xdr:col>46</xdr:col>
      <xdr:colOff>923925</xdr:colOff>
      <xdr:row>3</xdr:row>
      <xdr:rowOff>19050</xdr:rowOff>
    </xdr:from>
    <xdr:to>
      <xdr:col>47</xdr:col>
      <xdr:colOff>743071</xdr:colOff>
      <xdr:row>5</xdr:row>
      <xdr:rowOff>85809</xdr:rowOff>
    </xdr:to>
    <xdr:pic>
      <xdr:nvPicPr>
        <xdr:cNvPr id="4" name="Image 3">
          <a:extLst>
            <a:ext uri="{FF2B5EF4-FFF2-40B4-BE49-F238E27FC236}">
              <a16:creationId xmlns:a16="http://schemas.microsoft.com/office/drawing/2014/main" id="{1374C65B-9F57-43D2-A3C2-84C07CBA5CBC}"/>
            </a:ext>
          </a:extLst>
        </xdr:cNvPr>
        <xdr:cNvPicPr>
          <a:picLocks noChangeAspect="1"/>
        </xdr:cNvPicPr>
      </xdr:nvPicPr>
      <xdr:blipFill>
        <a:blip xmlns:r="http://schemas.openxmlformats.org/officeDocument/2006/relationships" r:embed="rId2"/>
        <a:stretch>
          <a:fillRect/>
        </a:stretch>
      </xdr:blipFill>
      <xdr:spPr>
        <a:xfrm>
          <a:off x="35013900" y="685800"/>
          <a:ext cx="866896" cy="600159"/>
        </a:xfrm>
        <a:prstGeom prst="rect">
          <a:avLst/>
        </a:prstGeom>
      </xdr:spPr>
    </xdr:pic>
    <xdr:clientData/>
  </xdr:twoCellAnchor>
  <xdr:twoCellAnchor editAs="oneCell">
    <xdr:from>
      <xdr:col>55</xdr:col>
      <xdr:colOff>838200</xdr:colOff>
      <xdr:row>7</xdr:row>
      <xdr:rowOff>142875</xdr:rowOff>
    </xdr:from>
    <xdr:to>
      <xdr:col>55</xdr:col>
      <xdr:colOff>1638300</xdr:colOff>
      <xdr:row>9</xdr:row>
      <xdr:rowOff>104775</xdr:rowOff>
    </xdr:to>
    <xdr:pic>
      <xdr:nvPicPr>
        <xdr:cNvPr id="5" name="Image 4">
          <a:extLst>
            <a:ext uri="{FF2B5EF4-FFF2-40B4-BE49-F238E27FC236}">
              <a16:creationId xmlns:a16="http://schemas.microsoft.com/office/drawing/2014/main" id="{55AEA83C-961A-4B8E-ADCD-4F950A211A7B}"/>
            </a:ext>
          </a:extLst>
        </xdr:cNvPr>
        <xdr:cNvPicPr>
          <a:picLocks noChangeAspect="1"/>
        </xdr:cNvPicPr>
      </xdr:nvPicPr>
      <xdr:blipFill>
        <a:blip xmlns:r="http://schemas.openxmlformats.org/officeDocument/2006/relationships" r:embed="rId1"/>
        <a:stretch>
          <a:fillRect/>
        </a:stretch>
      </xdr:blipFill>
      <xdr:spPr>
        <a:xfrm>
          <a:off x="43767375" y="1876425"/>
          <a:ext cx="800100" cy="495300"/>
        </a:xfrm>
        <a:prstGeom prst="rect">
          <a:avLst/>
        </a:prstGeom>
      </xdr:spPr>
    </xdr:pic>
    <xdr:clientData/>
  </xdr:twoCellAnchor>
  <xdr:twoCellAnchor editAs="oneCell">
    <xdr:from>
      <xdr:col>63</xdr:col>
      <xdr:colOff>1200151</xdr:colOff>
      <xdr:row>7</xdr:row>
      <xdr:rowOff>133350</xdr:rowOff>
    </xdr:from>
    <xdr:to>
      <xdr:col>63</xdr:col>
      <xdr:colOff>2076451</xdr:colOff>
      <xdr:row>9</xdr:row>
      <xdr:rowOff>190500</xdr:rowOff>
    </xdr:to>
    <xdr:pic>
      <xdr:nvPicPr>
        <xdr:cNvPr id="6" name="Image 5">
          <a:extLst>
            <a:ext uri="{FF2B5EF4-FFF2-40B4-BE49-F238E27FC236}">
              <a16:creationId xmlns:a16="http://schemas.microsoft.com/office/drawing/2014/main" id="{640654F9-FEE1-4D06-9B33-E7637F7C15C6}"/>
            </a:ext>
          </a:extLst>
        </xdr:cNvPr>
        <xdr:cNvPicPr>
          <a:picLocks noChangeAspect="1"/>
        </xdr:cNvPicPr>
      </xdr:nvPicPr>
      <xdr:blipFill>
        <a:blip xmlns:r="http://schemas.openxmlformats.org/officeDocument/2006/relationships" r:embed="rId3"/>
        <a:stretch>
          <a:fillRect/>
        </a:stretch>
      </xdr:blipFill>
      <xdr:spPr>
        <a:xfrm>
          <a:off x="55559326" y="1866900"/>
          <a:ext cx="876300" cy="590550"/>
        </a:xfrm>
        <a:prstGeom prst="rect">
          <a:avLst/>
        </a:prstGeom>
      </xdr:spPr>
    </xdr:pic>
    <xdr:clientData/>
  </xdr:twoCellAnchor>
  <xdr:twoCellAnchor editAs="oneCell">
    <xdr:from>
      <xdr:col>71</xdr:col>
      <xdr:colOff>1038225</xdr:colOff>
      <xdr:row>7</xdr:row>
      <xdr:rowOff>142875</xdr:rowOff>
    </xdr:from>
    <xdr:to>
      <xdr:col>71</xdr:col>
      <xdr:colOff>2085975</xdr:colOff>
      <xdr:row>9</xdr:row>
      <xdr:rowOff>190500</xdr:rowOff>
    </xdr:to>
    <xdr:pic>
      <xdr:nvPicPr>
        <xdr:cNvPr id="7" name="Image 6">
          <a:extLst>
            <a:ext uri="{FF2B5EF4-FFF2-40B4-BE49-F238E27FC236}">
              <a16:creationId xmlns:a16="http://schemas.microsoft.com/office/drawing/2014/main" id="{0E428920-7EC9-4E66-8892-BD1344E67E4D}"/>
            </a:ext>
          </a:extLst>
        </xdr:cNvPr>
        <xdr:cNvPicPr>
          <a:picLocks noChangeAspect="1"/>
        </xdr:cNvPicPr>
      </xdr:nvPicPr>
      <xdr:blipFill>
        <a:blip xmlns:r="http://schemas.openxmlformats.org/officeDocument/2006/relationships" r:embed="rId4"/>
        <a:stretch>
          <a:fillRect/>
        </a:stretch>
      </xdr:blipFill>
      <xdr:spPr>
        <a:xfrm>
          <a:off x="67065525" y="1876425"/>
          <a:ext cx="1047750" cy="581025"/>
        </a:xfrm>
        <a:prstGeom prst="rect">
          <a:avLst/>
        </a:prstGeom>
      </xdr:spPr>
    </xdr:pic>
    <xdr:clientData/>
  </xdr:twoCellAnchor>
  <xdr:oneCellAnchor>
    <xdr:from>
      <xdr:col>70</xdr:col>
      <xdr:colOff>1228725</xdr:colOff>
      <xdr:row>12</xdr:row>
      <xdr:rowOff>238125</xdr:rowOff>
    </xdr:from>
    <xdr:ext cx="571500" cy="571500"/>
    <xdr:pic>
      <xdr:nvPicPr>
        <xdr:cNvPr id="8" name="Image 7">
          <a:extLst>
            <a:ext uri="{FF2B5EF4-FFF2-40B4-BE49-F238E27FC236}">
              <a16:creationId xmlns:a16="http://schemas.microsoft.com/office/drawing/2014/main" id="{1CF35AD6-7741-4826-9D0A-A75EA39F7309}"/>
            </a:ext>
          </a:extLst>
        </xdr:cNvPr>
        <xdr:cNvPicPr>
          <a:picLocks noChangeAspect="1"/>
        </xdr:cNvPicPr>
      </xdr:nvPicPr>
      <xdr:blipFill>
        <a:blip xmlns:r="http://schemas.openxmlformats.org/officeDocument/2006/relationships" r:embed="rId5"/>
        <a:stretch>
          <a:fillRect/>
        </a:stretch>
      </xdr:blipFill>
      <xdr:spPr>
        <a:xfrm>
          <a:off x="65141475" y="3305175"/>
          <a:ext cx="571500" cy="571500"/>
        </a:xfrm>
        <a:prstGeom prst="rect">
          <a:avLst/>
        </a:prstGeom>
      </xdr:spPr>
    </xdr:pic>
    <xdr:clientData/>
  </xdr:oneCellAnchor>
  <xdr:oneCellAnchor>
    <xdr:from>
      <xdr:col>62</xdr:col>
      <xdr:colOff>1095375</xdr:colOff>
      <xdr:row>12</xdr:row>
      <xdr:rowOff>200025</xdr:rowOff>
    </xdr:from>
    <xdr:ext cx="571500" cy="571500"/>
    <xdr:pic>
      <xdr:nvPicPr>
        <xdr:cNvPr id="9" name="Image 8">
          <a:extLst>
            <a:ext uri="{FF2B5EF4-FFF2-40B4-BE49-F238E27FC236}">
              <a16:creationId xmlns:a16="http://schemas.microsoft.com/office/drawing/2014/main" id="{27624A5C-DC6D-4D64-89AD-55866B826BB5}"/>
            </a:ext>
          </a:extLst>
        </xdr:cNvPr>
        <xdr:cNvPicPr>
          <a:picLocks noChangeAspect="1"/>
        </xdr:cNvPicPr>
      </xdr:nvPicPr>
      <xdr:blipFill>
        <a:blip xmlns:r="http://schemas.openxmlformats.org/officeDocument/2006/relationships" r:embed="rId5"/>
        <a:stretch>
          <a:fillRect/>
        </a:stretch>
      </xdr:blipFill>
      <xdr:spPr>
        <a:xfrm>
          <a:off x="53340000" y="3267075"/>
          <a:ext cx="571500" cy="571500"/>
        </a:xfrm>
        <a:prstGeom prst="rect">
          <a:avLst/>
        </a:prstGeom>
      </xdr:spPr>
    </xdr:pic>
    <xdr:clientData/>
  </xdr:oneCellAnchor>
  <xdr:oneCellAnchor>
    <xdr:from>
      <xdr:col>54</xdr:col>
      <xdr:colOff>1247775</xdr:colOff>
      <xdr:row>12</xdr:row>
      <xdr:rowOff>209550</xdr:rowOff>
    </xdr:from>
    <xdr:ext cx="571500" cy="571500"/>
    <xdr:pic>
      <xdr:nvPicPr>
        <xdr:cNvPr id="10" name="Image 9">
          <a:extLst>
            <a:ext uri="{FF2B5EF4-FFF2-40B4-BE49-F238E27FC236}">
              <a16:creationId xmlns:a16="http://schemas.microsoft.com/office/drawing/2014/main" id="{D1D4EECE-A542-43DA-96B5-9D74066E94A4}"/>
            </a:ext>
          </a:extLst>
        </xdr:cNvPr>
        <xdr:cNvPicPr>
          <a:picLocks noChangeAspect="1"/>
        </xdr:cNvPicPr>
      </xdr:nvPicPr>
      <xdr:blipFill>
        <a:blip xmlns:r="http://schemas.openxmlformats.org/officeDocument/2006/relationships" r:embed="rId5"/>
        <a:stretch>
          <a:fillRect/>
        </a:stretch>
      </xdr:blipFill>
      <xdr:spPr>
        <a:xfrm>
          <a:off x="42062400" y="3276600"/>
          <a:ext cx="571500" cy="571500"/>
        </a:xfrm>
        <a:prstGeom prst="rect">
          <a:avLst/>
        </a:prstGeom>
      </xdr:spPr>
    </xdr:pic>
    <xdr:clientData/>
  </xdr:oneCellAnchor>
  <xdr:oneCellAnchor>
    <xdr:from>
      <xdr:col>50</xdr:col>
      <xdr:colOff>0</xdr:colOff>
      <xdr:row>46</xdr:row>
      <xdr:rowOff>0</xdr:rowOff>
    </xdr:from>
    <xdr:ext cx="4873625" cy="1121830"/>
    <xdr:pic>
      <xdr:nvPicPr>
        <xdr:cNvPr id="11" name="Image 10">
          <a:extLst>
            <a:ext uri="{FF2B5EF4-FFF2-40B4-BE49-F238E27FC236}">
              <a16:creationId xmlns:a16="http://schemas.microsoft.com/office/drawing/2014/main" id="{6F0DB654-401C-413B-B43D-ACA089E366E5}"/>
            </a:ext>
          </a:extLst>
        </xdr:cNvPr>
        <xdr:cNvPicPr>
          <a:picLocks noChangeAspect="1"/>
        </xdr:cNvPicPr>
      </xdr:nvPicPr>
      <xdr:blipFill>
        <a:blip xmlns:r="http://schemas.openxmlformats.org/officeDocument/2006/relationships" r:embed="rId6"/>
        <a:stretch>
          <a:fillRect/>
        </a:stretch>
      </xdr:blipFill>
      <xdr:spPr>
        <a:xfrm>
          <a:off x="35518725" y="12134850"/>
          <a:ext cx="4873625" cy="1121830"/>
        </a:xfrm>
        <a:prstGeom prst="rect">
          <a:avLst/>
        </a:prstGeom>
      </xdr:spPr>
    </xdr:pic>
    <xdr:clientData/>
  </xdr:oneCellAnchor>
  <xdr:oneCellAnchor>
    <xdr:from>
      <xdr:col>58</xdr:col>
      <xdr:colOff>0</xdr:colOff>
      <xdr:row>46</xdr:row>
      <xdr:rowOff>0</xdr:rowOff>
    </xdr:from>
    <xdr:ext cx="4873625" cy="1121830"/>
    <xdr:pic>
      <xdr:nvPicPr>
        <xdr:cNvPr id="12" name="Image 11">
          <a:extLst>
            <a:ext uri="{FF2B5EF4-FFF2-40B4-BE49-F238E27FC236}">
              <a16:creationId xmlns:a16="http://schemas.microsoft.com/office/drawing/2014/main" id="{2F00A153-3EF6-42DD-9F5C-BAE212D34D23}"/>
            </a:ext>
          </a:extLst>
        </xdr:cNvPr>
        <xdr:cNvPicPr>
          <a:picLocks noChangeAspect="1"/>
        </xdr:cNvPicPr>
      </xdr:nvPicPr>
      <xdr:blipFill>
        <a:blip xmlns:r="http://schemas.openxmlformats.org/officeDocument/2006/relationships" r:embed="rId6"/>
        <a:stretch>
          <a:fillRect/>
        </a:stretch>
      </xdr:blipFill>
      <xdr:spPr>
        <a:xfrm>
          <a:off x="47053500" y="12134850"/>
          <a:ext cx="4873625" cy="1121830"/>
        </a:xfrm>
        <a:prstGeom prst="rect">
          <a:avLst/>
        </a:prstGeom>
      </xdr:spPr>
    </xdr:pic>
    <xdr:clientData/>
  </xdr:oneCellAnchor>
  <xdr:oneCellAnchor>
    <xdr:from>
      <xdr:col>66</xdr:col>
      <xdr:colOff>0</xdr:colOff>
      <xdr:row>46</xdr:row>
      <xdr:rowOff>0</xdr:rowOff>
    </xdr:from>
    <xdr:ext cx="4873625" cy="1121830"/>
    <xdr:pic>
      <xdr:nvPicPr>
        <xdr:cNvPr id="13" name="Image 12">
          <a:extLst>
            <a:ext uri="{FF2B5EF4-FFF2-40B4-BE49-F238E27FC236}">
              <a16:creationId xmlns:a16="http://schemas.microsoft.com/office/drawing/2014/main" id="{4018CD72-4A6D-4047-9837-8E15CA130DA0}"/>
            </a:ext>
          </a:extLst>
        </xdr:cNvPr>
        <xdr:cNvPicPr>
          <a:picLocks noChangeAspect="1"/>
        </xdr:cNvPicPr>
      </xdr:nvPicPr>
      <xdr:blipFill>
        <a:blip xmlns:r="http://schemas.openxmlformats.org/officeDocument/2006/relationships" r:embed="rId6"/>
        <a:stretch>
          <a:fillRect/>
        </a:stretch>
      </xdr:blipFill>
      <xdr:spPr>
        <a:xfrm>
          <a:off x="58445400" y="12134850"/>
          <a:ext cx="4873625" cy="1121830"/>
        </a:xfrm>
        <a:prstGeom prst="rect">
          <a:avLst/>
        </a:prstGeom>
      </xdr:spPr>
    </xdr:pic>
    <xdr:clientData/>
  </xdr:oneCellAnchor>
  <xdr:oneCellAnchor>
    <xdr:from>
      <xdr:col>50</xdr:col>
      <xdr:colOff>0</xdr:colOff>
      <xdr:row>129</xdr:row>
      <xdr:rowOff>0</xdr:rowOff>
    </xdr:from>
    <xdr:ext cx="4366866" cy="2173604"/>
    <xdr:pic>
      <xdr:nvPicPr>
        <xdr:cNvPr id="14" name="Image 13">
          <a:extLst>
            <a:ext uri="{FF2B5EF4-FFF2-40B4-BE49-F238E27FC236}">
              <a16:creationId xmlns:a16="http://schemas.microsoft.com/office/drawing/2014/main" id="{16F7C9B2-EDB5-4744-AC19-AA97FE38C754}"/>
            </a:ext>
          </a:extLst>
        </xdr:cNvPr>
        <xdr:cNvPicPr>
          <a:picLocks noChangeAspect="1"/>
        </xdr:cNvPicPr>
      </xdr:nvPicPr>
      <xdr:blipFill>
        <a:blip xmlns:r="http://schemas.openxmlformats.org/officeDocument/2006/relationships" r:embed="rId7"/>
        <a:stretch>
          <a:fillRect/>
        </a:stretch>
      </xdr:blipFill>
      <xdr:spPr>
        <a:xfrm>
          <a:off x="35518725" y="34270950"/>
          <a:ext cx="4366866" cy="2173604"/>
        </a:xfrm>
        <a:prstGeom prst="rect">
          <a:avLst/>
        </a:prstGeom>
      </xdr:spPr>
    </xdr:pic>
    <xdr:clientData/>
  </xdr:oneCellAnchor>
  <xdr:oneCellAnchor>
    <xdr:from>
      <xdr:col>58</xdr:col>
      <xdr:colOff>66675</xdr:colOff>
      <xdr:row>129</xdr:row>
      <xdr:rowOff>171450</xdr:rowOff>
    </xdr:from>
    <xdr:ext cx="4366866" cy="2173604"/>
    <xdr:pic>
      <xdr:nvPicPr>
        <xdr:cNvPr id="15" name="Image 14">
          <a:extLst>
            <a:ext uri="{FF2B5EF4-FFF2-40B4-BE49-F238E27FC236}">
              <a16:creationId xmlns:a16="http://schemas.microsoft.com/office/drawing/2014/main" id="{21D33AC8-A227-4ED0-99B8-936F7EDB7D8A}"/>
            </a:ext>
          </a:extLst>
        </xdr:cNvPr>
        <xdr:cNvPicPr>
          <a:picLocks noChangeAspect="1"/>
        </xdr:cNvPicPr>
      </xdr:nvPicPr>
      <xdr:blipFill>
        <a:blip xmlns:r="http://schemas.openxmlformats.org/officeDocument/2006/relationships" r:embed="rId7"/>
        <a:stretch>
          <a:fillRect/>
        </a:stretch>
      </xdr:blipFill>
      <xdr:spPr>
        <a:xfrm>
          <a:off x="47120175" y="34442400"/>
          <a:ext cx="4366866" cy="2173604"/>
        </a:xfrm>
        <a:prstGeom prst="rect">
          <a:avLst/>
        </a:prstGeom>
      </xdr:spPr>
    </xdr:pic>
    <xdr:clientData/>
  </xdr:oneCellAnchor>
  <xdr:oneCellAnchor>
    <xdr:from>
      <xdr:col>66</xdr:col>
      <xdr:colOff>0</xdr:colOff>
      <xdr:row>129</xdr:row>
      <xdr:rowOff>0</xdr:rowOff>
    </xdr:from>
    <xdr:ext cx="4366866" cy="2173604"/>
    <xdr:pic>
      <xdr:nvPicPr>
        <xdr:cNvPr id="16" name="Image 15">
          <a:extLst>
            <a:ext uri="{FF2B5EF4-FFF2-40B4-BE49-F238E27FC236}">
              <a16:creationId xmlns:a16="http://schemas.microsoft.com/office/drawing/2014/main" id="{7CAC8A2B-D168-48F3-B561-E98EF046BC94}"/>
            </a:ext>
          </a:extLst>
        </xdr:cNvPr>
        <xdr:cNvPicPr>
          <a:picLocks noChangeAspect="1"/>
        </xdr:cNvPicPr>
      </xdr:nvPicPr>
      <xdr:blipFill>
        <a:blip xmlns:r="http://schemas.openxmlformats.org/officeDocument/2006/relationships" r:embed="rId7"/>
        <a:stretch>
          <a:fillRect/>
        </a:stretch>
      </xdr:blipFill>
      <xdr:spPr>
        <a:xfrm>
          <a:off x="58445400" y="34270950"/>
          <a:ext cx="4366866" cy="2173604"/>
        </a:xfrm>
        <a:prstGeom prst="rect">
          <a:avLst/>
        </a:prstGeom>
      </xdr:spPr>
    </xdr:pic>
    <xdr:clientData/>
  </xdr:oneCellAnchor>
  <xdr:twoCellAnchor editAs="oneCell">
    <xdr:from>
      <xdr:col>30</xdr:col>
      <xdr:colOff>914400</xdr:colOff>
      <xdr:row>2</xdr:row>
      <xdr:rowOff>228600</xdr:rowOff>
    </xdr:from>
    <xdr:to>
      <xdr:col>31</xdr:col>
      <xdr:colOff>714788</xdr:colOff>
      <xdr:row>5</xdr:row>
      <xdr:rowOff>38100</xdr:rowOff>
    </xdr:to>
    <xdr:pic>
      <xdr:nvPicPr>
        <xdr:cNvPr id="20" name="Image 19">
          <a:extLst>
            <a:ext uri="{FF2B5EF4-FFF2-40B4-BE49-F238E27FC236}">
              <a16:creationId xmlns:a16="http://schemas.microsoft.com/office/drawing/2014/main" id="{B9136D62-183F-4AF9-8AA0-AC1B991E91BB}"/>
            </a:ext>
          </a:extLst>
        </xdr:cNvPr>
        <xdr:cNvPicPr>
          <a:picLocks noChangeAspect="1"/>
        </xdr:cNvPicPr>
      </xdr:nvPicPr>
      <xdr:blipFill>
        <a:blip xmlns:r="http://schemas.openxmlformats.org/officeDocument/2006/relationships" r:embed="rId3"/>
        <a:stretch>
          <a:fillRect/>
        </a:stretch>
      </xdr:blipFill>
      <xdr:spPr>
        <a:xfrm>
          <a:off x="22812375" y="628650"/>
          <a:ext cx="848138" cy="6096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22</xdr:col>
      <xdr:colOff>0</xdr:colOff>
      <xdr:row>12</xdr:row>
      <xdr:rowOff>0</xdr:rowOff>
    </xdr:from>
    <xdr:to>
      <xdr:col>22</xdr:col>
      <xdr:colOff>815228</xdr:colOff>
      <xdr:row>14</xdr:row>
      <xdr:rowOff>114300</xdr:rowOff>
    </xdr:to>
    <xdr:pic>
      <xdr:nvPicPr>
        <xdr:cNvPr id="3" name="Image 2">
          <a:extLst>
            <a:ext uri="{FF2B5EF4-FFF2-40B4-BE49-F238E27FC236}">
              <a16:creationId xmlns:a16="http://schemas.microsoft.com/office/drawing/2014/main" id="{FB590C5B-1E1A-4DAA-B1BA-528D629613FA}"/>
            </a:ext>
          </a:extLst>
        </xdr:cNvPr>
        <xdr:cNvPicPr>
          <a:picLocks noChangeAspect="1"/>
        </xdr:cNvPicPr>
      </xdr:nvPicPr>
      <xdr:blipFill>
        <a:blip xmlns:r="http://schemas.openxmlformats.org/officeDocument/2006/relationships" r:embed="rId1"/>
        <a:stretch>
          <a:fillRect/>
        </a:stretch>
      </xdr:blipFill>
      <xdr:spPr>
        <a:xfrm>
          <a:off x="14249400" y="3048000"/>
          <a:ext cx="815228" cy="571500"/>
        </a:xfrm>
        <a:prstGeom prst="rect">
          <a:avLst/>
        </a:prstGeom>
      </xdr:spPr>
    </xdr:pic>
    <xdr:clientData/>
  </xdr:twoCellAnchor>
  <xdr:twoCellAnchor editAs="oneCell">
    <xdr:from>
      <xdr:col>44</xdr:col>
      <xdr:colOff>352425</xdr:colOff>
      <xdr:row>11</xdr:row>
      <xdr:rowOff>123825</xdr:rowOff>
    </xdr:from>
    <xdr:to>
      <xdr:col>45</xdr:col>
      <xdr:colOff>286163</xdr:colOff>
      <xdr:row>13</xdr:row>
      <xdr:rowOff>200025</xdr:rowOff>
    </xdr:to>
    <xdr:pic>
      <xdr:nvPicPr>
        <xdr:cNvPr id="5" name="Image 4">
          <a:extLst>
            <a:ext uri="{FF2B5EF4-FFF2-40B4-BE49-F238E27FC236}">
              <a16:creationId xmlns:a16="http://schemas.microsoft.com/office/drawing/2014/main" id="{081F91F7-2B69-442C-B70A-83A74605415A}"/>
            </a:ext>
          </a:extLst>
        </xdr:cNvPr>
        <xdr:cNvPicPr>
          <a:picLocks noChangeAspect="1"/>
        </xdr:cNvPicPr>
      </xdr:nvPicPr>
      <xdr:blipFill>
        <a:blip xmlns:r="http://schemas.openxmlformats.org/officeDocument/2006/relationships" r:embed="rId2"/>
        <a:stretch>
          <a:fillRect/>
        </a:stretch>
      </xdr:blipFill>
      <xdr:spPr>
        <a:xfrm>
          <a:off x="29537025" y="2867025"/>
          <a:ext cx="848138" cy="609600"/>
        </a:xfrm>
        <a:prstGeom prst="rect">
          <a:avLst/>
        </a:prstGeom>
      </xdr:spPr>
    </xdr:pic>
    <xdr:clientData/>
  </xdr:twoCellAnchor>
  <xdr:twoCellAnchor editAs="oneCell">
    <xdr:from>
      <xdr:col>81</xdr:col>
      <xdr:colOff>333375</xdr:colOff>
      <xdr:row>12</xdr:row>
      <xdr:rowOff>19050</xdr:rowOff>
    </xdr:from>
    <xdr:to>
      <xdr:col>82</xdr:col>
      <xdr:colOff>285871</xdr:colOff>
      <xdr:row>14</xdr:row>
      <xdr:rowOff>162009</xdr:rowOff>
    </xdr:to>
    <xdr:pic>
      <xdr:nvPicPr>
        <xdr:cNvPr id="6" name="Image 5">
          <a:extLst>
            <a:ext uri="{FF2B5EF4-FFF2-40B4-BE49-F238E27FC236}">
              <a16:creationId xmlns:a16="http://schemas.microsoft.com/office/drawing/2014/main" id="{4A5E3FB2-E3FA-4918-86CA-C185BCBFD626}"/>
            </a:ext>
          </a:extLst>
        </xdr:cNvPr>
        <xdr:cNvPicPr>
          <a:picLocks noChangeAspect="1"/>
        </xdr:cNvPicPr>
      </xdr:nvPicPr>
      <xdr:blipFill>
        <a:blip xmlns:r="http://schemas.openxmlformats.org/officeDocument/2006/relationships" r:embed="rId3"/>
        <a:stretch>
          <a:fillRect/>
        </a:stretch>
      </xdr:blipFill>
      <xdr:spPr>
        <a:xfrm>
          <a:off x="58445400" y="3067050"/>
          <a:ext cx="866896" cy="60015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D:\Donn&#233;es\1.UPRT\0-UPRT.fait\1-UPRT.FR-SITE-WEB\ff-fiches-fabrications\ff-fiches-fabrication-maj-08-2020\ff-22-formats-formules-pourcentages.xlsx" TargetMode="External"/><Relationship Id="rId1" Type="http://schemas.openxmlformats.org/officeDocument/2006/relationships/externalLinkPath" Target="/Donn&#233;es/1.UPRT/0-UPRT.fait/1-UPRT.FR-SITE-WEB/ff-fiches-fabrications/ff-fiches-fabrication-maj-08-2020/ff-22-formats-formules-pourcentage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Bureau/joel.uprt/Modele_fiches_metiers_de_bouche_EXEMPL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Nota"/>
      <sheetName val="Formats-formules"/>
      <sheetName val="différence Portion et Poids"/>
      <sheetName val="Epurer un texte"/>
      <sheetName val="Saisie des quantités"/>
      <sheetName val="Comprendre pour Transmettre"/>
      <sheetName val="Informations de base"/>
      <sheetName val="Introduction aux fonctions"/>
      <sheetName val="MOYENNE"/>
      <sheetName val="MIN et MAX"/>
      <sheetName val="Date et heure"/>
      <sheetName val="Combiner texte et nombres"/>
      <sheetName val="Instructions SI"/>
      <sheetName val="RECHERCHEV"/>
      <sheetName val="Fonctions conditionnelles"/>
      <sheetName val="Assistant Fonction"/>
      <sheetName val="Erreurs dans les formules"/>
      <sheetName val="Matou.Matheux"/>
      <sheetName val="aides cuisine"/>
      <sheetName val="aides patisserie"/>
      <sheetName val="pourcentages"/>
      <sheetName val="conversions"/>
      <sheetName val="comparer des offres"/>
      <sheetName val="Plat en sauce en 5 étapes"/>
      <sheetName val="Boulangerie-comment"/>
      <sheetName val="Franck Barbenoire"/>
      <sheetName val="relations formules"/>
      <sheetName val="des.sites.de.référence"/>
      <sheetName val="Vocabulaire"/>
      <sheetName val="CODES COULEURS"/>
      <sheetName val="ff-22-formats-formules-pourcent"/>
      <sheetName val="Transmission des savoirs.faire"/>
      <sheetName val="Formats-formules (2)"/>
      <sheetName val="Nethèqu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_Categories"/>
      <sheetName val="T_SousCategories"/>
      <sheetName val="T_Familles"/>
      <sheetName val="Listes"/>
      <sheetName val="Recettes"/>
      <sheetName val="Ex_Paella"/>
      <sheetName val="Ex_Croissants"/>
      <sheetName val="Ex_Bourguignon"/>
    </sheetNames>
    <sheetDataSet>
      <sheetData sheetId="0" refreshError="1"/>
      <sheetData sheetId="1"/>
      <sheetData sheetId="2" refreshError="1"/>
      <sheetData sheetId="3">
        <row r="2">
          <cell r="A2" t="str">
            <v>CUI</v>
          </cell>
        </row>
        <row r="3">
          <cell r="A3" t="str">
            <v>CHA</v>
          </cell>
        </row>
        <row r="4">
          <cell r="A4" t="str">
            <v>PAT</v>
          </cell>
        </row>
        <row r="5">
          <cell r="A5" t="str">
            <v>TRA</v>
          </cell>
        </row>
        <row r="6">
          <cell r="A6" t="str">
            <v>POI</v>
          </cell>
        </row>
        <row r="7">
          <cell r="A7" t="str">
            <v>BOI</v>
          </cell>
        </row>
      </sheetData>
      <sheetData sheetId="4" refreshError="1"/>
      <sheetData sheetId="5" refreshError="1"/>
      <sheetData sheetId="6" refreshError="1"/>
      <sheetData sheetId="7" refreshError="1"/>
    </sheetDataSet>
  </externalBook>
</externalLink>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hyperlink" Target="https://fr.maisfontes.com/aktiv-grotesk-w01.police" TargetMode="External"/><Relationship Id="rId13" Type="http://schemas.openxmlformats.org/officeDocument/2006/relationships/hyperlink" Target="https://www.youtube.com/watch?app=desktop&amp;v=Yuy1jisXErY" TargetMode="External"/><Relationship Id="rId18" Type="http://schemas.openxmlformats.org/officeDocument/2006/relationships/hyperlink" Target="https://fr.extendoffice.com/documents/excel/4027-excel-increase-letter-by-one.html" TargetMode="External"/><Relationship Id="rId3" Type="http://schemas.openxmlformats.org/officeDocument/2006/relationships/hyperlink" Target="https://kulturegeek.fr/news-224456/microsoft-police-voudriez-remplacer-calibri" TargetMode="External"/><Relationship Id="rId21" Type="http://schemas.openxmlformats.org/officeDocument/2006/relationships/hyperlink" Target="https://savour.eu/portfolio/pifometrie/" TargetMode="External"/><Relationship Id="rId7" Type="http://schemas.openxmlformats.org/officeDocument/2006/relationships/hyperlink" Target="https://www.google.com/search?client=firefox-b-d&amp;cs=1&amp;sxsrf=AJOqlzWtAThXL_uLX0Izw5bcGDDqWJW1UA:1673858052794&amp;q=Quelle+est+la+police+d%27%C3%A9criture+la+plus+classe+%3F&amp;sa=X&amp;ved=2ahUKEwjYj4iV18v8AhXtTaQEHYpNBZ0Qzmd6BAgBEAU" TargetMode="External"/><Relationship Id="rId12" Type="http://schemas.openxmlformats.org/officeDocument/2006/relationships/hyperlink" Target="https://fr.vecteezy.com/video/5480445-appuyer-sur-la-touche-entree-sur-le-clavier-d-un-ordinateur-de-bureau" TargetMode="External"/><Relationship Id="rId17" Type="http://schemas.openxmlformats.org/officeDocument/2006/relationships/hyperlink" Target="https://www.bonbache.fr/syntheses-graphiques-excel-avec-les-emoticones-499.html" TargetMode="External"/><Relationship Id="rId2" Type="http://schemas.openxmlformats.org/officeDocument/2006/relationships/hyperlink" Target="https://fr.wikipedia.org/wiki/Calibri" TargetMode="External"/><Relationship Id="rId16" Type="http://schemas.openxmlformats.org/officeDocument/2006/relationships/hyperlink" Target="https://excel-exercice.com/comment-faire-une-liste-alphabetique-automatique/" TargetMode="External"/><Relationship Id="rId20" Type="http://schemas.openxmlformats.org/officeDocument/2006/relationships/hyperlink" Target="https://www.appvizer.fr/magazine/collaboration/km/gestion-des-connaissances" TargetMode="External"/><Relationship Id="rId1" Type="http://schemas.openxmlformats.org/officeDocument/2006/relationships/hyperlink" Target="https://www.extensis.com/fr-fr/blog/les-10-polices-alternatives-%C3%A0-helvetica" TargetMode="External"/><Relationship Id="rId6" Type="http://schemas.openxmlformats.org/officeDocument/2006/relationships/hyperlink" Target="https://laruche.wizbii.com/17703-meilleure-police-ecriture-cv" TargetMode="External"/><Relationship Id="rId11" Type="http://schemas.openxmlformats.org/officeDocument/2006/relationships/hyperlink" Target="https://savour.eu/portfolio/pifometrie/" TargetMode="External"/><Relationship Id="rId24" Type="http://schemas.openxmlformats.org/officeDocument/2006/relationships/drawing" Target="../drawings/drawing1.xml"/><Relationship Id="rId5" Type="http://schemas.openxmlformats.org/officeDocument/2006/relationships/hyperlink" Target="https://laruche.wizbii.com/17703-meilleure-police-ecriture-cv" TargetMode="External"/><Relationship Id="rId15" Type="http://schemas.openxmlformats.org/officeDocument/2006/relationships/hyperlink" Target="https://cellulexcel.blogspot.com/p/blog-page_16.html" TargetMode="External"/><Relationship Id="rId23" Type="http://schemas.openxmlformats.org/officeDocument/2006/relationships/printerSettings" Target="../printerSettings/printerSettings1.bin"/><Relationship Id="rId10" Type="http://schemas.openxmlformats.org/officeDocument/2006/relationships/hyperlink" Target="https://www.automateexcel.com/fr/how-to/que-signifient-les-symboles-etc-dans-les-formules-excel-et-google-sheets/" TargetMode="External"/><Relationship Id="rId19" Type="http://schemas.openxmlformats.org/officeDocument/2006/relationships/hyperlink" Target="https://www.google.com/search?client=firefox-b-d&amp;q=Mondial+de+la+Pifom%C3%A9trie" TargetMode="External"/><Relationship Id="rId4" Type="http://schemas.openxmlformats.org/officeDocument/2006/relationships/hyperlink" Target="https://fr.wikipedia.org/wiki/Helvetica" TargetMode="External"/><Relationship Id="rId9" Type="http://schemas.openxmlformats.org/officeDocument/2006/relationships/hyperlink" Target="https://dupala.be/upload/files/141_Pages-de-D-un-e-prof-a-l-autre-Numero-71-Octobre-2014-page15-16.pdf" TargetMode="External"/><Relationship Id="rId14" Type="http://schemas.openxmlformats.org/officeDocument/2006/relationships/hyperlink" Target="https://www.youtube.com/watch?v=FZwdUZUwnuI" TargetMode="External"/><Relationship Id="rId22" Type="http://schemas.openxmlformats.org/officeDocument/2006/relationships/hyperlink" Target="https://www.youtube.com/watch?v=8Lz6KCW3Nqo" TargetMode="Externa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2.xml.rels><?xml version="1.0" encoding="UTF-8" standalone="yes"?>
<Relationships xmlns="http://schemas.openxmlformats.org/package/2006/relationships"><Relationship Id="rId8" Type="http://schemas.openxmlformats.org/officeDocument/2006/relationships/hyperlink" Target="https://fr.maisfontes.com/aktiv-grotesk-w01.police" TargetMode="External"/><Relationship Id="rId13" Type="http://schemas.openxmlformats.org/officeDocument/2006/relationships/hyperlink" Target="https://cellulexcel.blogspot.com/p/blog-page_16.html" TargetMode="External"/><Relationship Id="rId18" Type="http://schemas.openxmlformats.org/officeDocument/2006/relationships/printerSettings" Target="../printerSettings/printerSettings2.bin"/><Relationship Id="rId3" Type="http://schemas.openxmlformats.org/officeDocument/2006/relationships/hyperlink" Target="https://kulturegeek.fr/news-224456/microsoft-police-voudriez-remplacer-calibri" TargetMode="External"/><Relationship Id="rId7" Type="http://schemas.openxmlformats.org/officeDocument/2006/relationships/hyperlink" Target="https://www.google.com/search?client=firefox-b-d&amp;cs=1&amp;sxsrf=AJOqlzWtAThXL_uLX0Izw5bcGDDqWJW1UA:1673858052794&amp;q=Quelle+est+la+police+d%27%C3%A9criture+la+plus+classe+%3F&amp;sa=X&amp;ved=2ahUKEwjYj4iV18v8AhXtTaQEHYpNBZ0Qzmd6BAgBEAU" TargetMode="External"/><Relationship Id="rId12" Type="http://schemas.openxmlformats.org/officeDocument/2006/relationships/hyperlink" Target="https://www.youtube.com/watch?v=FZwdUZUwnuI" TargetMode="External"/><Relationship Id="rId17" Type="http://schemas.openxmlformats.org/officeDocument/2006/relationships/hyperlink" Target="https://www.automateexcel.com/fr/how-to/que-signifient-les-symboles-etc-dans-les-formules-excel-et-google-sheets/" TargetMode="External"/><Relationship Id="rId2" Type="http://schemas.openxmlformats.org/officeDocument/2006/relationships/hyperlink" Target="https://fr.wikipedia.org/wiki/Calibri" TargetMode="External"/><Relationship Id="rId16" Type="http://schemas.openxmlformats.org/officeDocument/2006/relationships/hyperlink" Target="https://fr.extendoffice.com/documents/excel/4027-excel-increase-letter-by-one.html" TargetMode="External"/><Relationship Id="rId1" Type="http://schemas.openxmlformats.org/officeDocument/2006/relationships/hyperlink" Target="https://www.extensis.com/fr-fr/blog/les-10-polices-alternatives-%C3%A0-helvetica" TargetMode="External"/><Relationship Id="rId6" Type="http://schemas.openxmlformats.org/officeDocument/2006/relationships/hyperlink" Target="https://laruche.wizbii.com/17703-meilleure-police-ecriture-cv" TargetMode="External"/><Relationship Id="rId11" Type="http://schemas.openxmlformats.org/officeDocument/2006/relationships/hyperlink" Target="https://www.youtube.com/watch?app=desktop&amp;v=Yuy1jisXErY" TargetMode="External"/><Relationship Id="rId5" Type="http://schemas.openxmlformats.org/officeDocument/2006/relationships/hyperlink" Target="https://laruche.wizbii.com/17703-meilleure-police-ecriture-cv" TargetMode="External"/><Relationship Id="rId15" Type="http://schemas.openxmlformats.org/officeDocument/2006/relationships/hyperlink" Target="https://www.bonbache.fr/syntheses-graphiques-excel-avec-les-emoticones-499.html" TargetMode="External"/><Relationship Id="rId10" Type="http://schemas.openxmlformats.org/officeDocument/2006/relationships/hyperlink" Target="https://fr.vecteezy.com/video/5480445-appuyer-sur-la-touche-entree-sur-le-clavier-d-un-ordinateur-de-bureau" TargetMode="External"/><Relationship Id="rId19" Type="http://schemas.openxmlformats.org/officeDocument/2006/relationships/drawing" Target="../drawings/drawing2.xml"/><Relationship Id="rId4" Type="http://schemas.openxmlformats.org/officeDocument/2006/relationships/hyperlink" Target="https://fr.wikipedia.org/wiki/Helvetica" TargetMode="External"/><Relationship Id="rId9" Type="http://schemas.openxmlformats.org/officeDocument/2006/relationships/hyperlink" Target="https://dupala.be/upload/files/141_Pages-de-D-un-e-prof-a-l-autre-Numero-71-Octobre-2014-page15-16.pdf" TargetMode="External"/><Relationship Id="rId14" Type="http://schemas.openxmlformats.org/officeDocument/2006/relationships/hyperlink" Target="https://excel-exercice.com/comment-faire-une-liste-alphabetique-automatique/" TargetMode="External"/></Relationships>
</file>

<file path=xl/worksheets/_rels/sheet21.xml.rels><?xml version="1.0" encoding="UTF-8" standalone="yes"?>
<Relationships xmlns="http://schemas.openxmlformats.org/package/2006/relationships"><Relationship Id="rId3" Type="http://schemas.openxmlformats.org/officeDocument/2006/relationships/hyperlink" Target="https://www.encoreungateau.com/pourquoi-un-blog-de-patisserie/vocabulaire-du-patissier/" TargetMode="External"/><Relationship Id="rId2" Type="http://schemas.openxmlformats.org/officeDocument/2006/relationships/hyperlink" Target="https://devenirpatissier.fr/vocabulaire-professionnel/" TargetMode="External"/><Relationship Id="rId1" Type="http://schemas.openxmlformats.org/officeDocument/2006/relationships/hyperlink" Target="http://devenir.patissier.free.fr/cours-CAP-vocabulaire-professionnel-eleve.pdf" TargetMode="External"/><Relationship Id="rId5" Type="http://schemas.openxmlformats.org/officeDocument/2006/relationships/drawing" Target="../drawings/drawing12.xml"/><Relationship Id="rId4" Type="http://schemas.openxmlformats.org/officeDocument/2006/relationships/hyperlink" Target="https://www.mercotte.fr/lexique/termes-culinaires/" TargetMode="External"/></Relationships>
</file>

<file path=xl/worksheets/_rels/sheet22.xml.rels><?xml version="1.0" encoding="UTF-8" standalone="yes"?>
<Relationships xmlns="http://schemas.openxmlformats.org/package/2006/relationships"><Relationship Id="rId8" Type="http://schemas.openxmlformats.org/officeDocument/2006/relationships/hyperlink" Target="http://www.uprt.fr/detail.php?id=6&amp;titre=plan-du-site" TargetMode="External"/><Relationship Id="rId13" Type="http://schemas.openxmlformats.org/officeDocument/2006/relationships/printerSettings" Target="../printerSettings/printerSettings8.bin"/><Relationship Id="rId3" Type="http://schemas.openxmlformats.org/officeDocument/2006/relationships/hyperlink" Target="https://bepo.fr/wiki/Menu" TargetMode="External"/><Relationship Id="rId7" Type="http://schemas.openxmlformats.org/officeDocument/2006/relationships/hyperlink" Target="https://www.youtube.com/watch?v=BEAwIv4fIw4" TargetMode="External"/><Relationship Id="rId12" Type="http://schemas.openxmlformats.org/officeDocument/2006/relationships/hyperlink" Target="http://www.diet-life.fr/visuellement-100-calories/" TargetMode="External"/><Relationship Id="rId2" Type="http://schemas.openxmlformats.org/officeDocument/2006/relationships/hyperlink" Target="https://bepo.fr/wiki/Manuel" TargetMode="External"/><Relationship Id="rId1" Type="http://schemas.openxmlformats.org/officeDocument/2006/relationships/hyperlink" Target="http://www.symbole-clavier.com/" TargetMode="External"/><Relationship Id="rId6" Type="http://schemas.openxmlformats.org/officeDocument/2006/relationships/hyperlink" Target="https://www.youtube.com/watch?v=2TmdhLLUsOQ" TargetMode="External"/><Relationship Id="rId11" Type="http://schemas.openxmlformats.org/officeDocument/2006/relationships/hyperlink" Target="http://www.uprt.fr/mesimages/fichiers-uprt/hop-alimentation/hop-photos-quantit%C3%A9s.pdf" TargetMode="External"/><Relationship Id="rId5" Type="http://schemas.openxmlformats.org/officeDocument/2006/relationships/hyperlink" Target="https://www.premiers-clics.fr/cours-informatique/windows-convertir-un-cd-en-fichiers-mp3/" TargetMode="External"/><Relationship Id="rId10" Type="http://schemas.openxmlformats.org/officeDocument/2006/relationships/hyperlink" Target="https://everything.fr.softonic.com/" TargetMode="External"/><Relationship Id="rId4" Type="http://schemas.openxmlformats.org/officeDocument/2006/relationships/hyperlink" Target="https://www.premiers-clics.fr/cours-informatique/windows-les-fonctionnalites-du-clavier/" TargetMode="External"/><Relationship Id="rId9" Type="http://schemas.openxmlformats.org/officeDocument/2006/relationships/hyperlink" Target="http://www.uprt.fr/detail.php?id=185&amp;titre=restaurateurs" TargetMode="External"/><Relationship Id="rId14" Type="http://schemas.openxmlformats.org/officeDocument/2006/relationships/drawing" Target="../drawings/drawing13.xml"/></Relationships>
</file>

<file path=xl/worksheets/_rels/sheet23.xml.rels><?xml version="1.0" encoding="UTF-8" standalone="yes"?>
<Relationships xmlns="http://schemas.openxmlformats.org/package/2006/relationships"><Relationship Id="rId8" Type="http://schemas.openxmlformats.org/officeDocument/2006/relationships/hyperlink" Target="http://dieteticienne.over-blog.com/article-pourcentage-de-dechets-des-viandes-97921565.html?utm_source=chatgpt.com" TargetMode="External"/><Relationship Id="rId3" Type="http://schemas.openxmlformats.org/officeDocument/2006/relationships/hyperlink" Target="https://www.facebook.com/DKcoaching.prepa/posts/conna%C3%AEtre-les-%C3%A9quivalences-poids-crucuit-voil%C3%A0-un-post-qui-jesp%C3%A8re-te-sembleras-/1103043807120035/" TargetMode="External"/><Relationship Id="rId7" Type="http://schemas.openxmlformats.org/officeDocument/2006/relationships/hyperlink" Target="https://fatsecretfrance.fr/astuces-et-conseils/equivalences-cru-cuit/" TargetMode="External"/><Relationship Id="rId12" Type="http://schemas.openxmlformats.org/officeDocument/2006/relationships/drawing" Target="../drawings/drawing14.xml"/><Relationship Id="rId2" Type="http://schemas.openxmlformats.org/officeDocument/2006/relationships/hyperlink" Target="https://guide-alimentaire.canada.ca/fr/" TargetMode="External"/><Relationship Id="rId1" Type="http://schemas.openxmlformats.org/officeDocument/2006/relationships/hyperlink" Target="https://books.google.fr/books?id=ldcKa0614jAC&amp;newbks=1&amp;newbks_redir=0&amp;printsec=frontcover" TargetMode="External"/><Relationship Id="rId6" Type="http://schemas.openxmlformats.org/officeDocument/2006/relationships/hyperlink" Target="https://www.facebook.com/ecolosophie/posts/toujours-int%C3%A9ressant-de-savoir-l%C3%A9quivalence-entre-cuit-et-cru/2819013355067283/" TargetMode="External"/><Relationship Id="rId11" Type="http://schemas.openxmlformats.org/officeDocument/2006/relationships/hyperlink" Target="https://goodfood.brussels/sites/default/files/inline-files/Vademecum%20cantines%20FR%20-%2020240828.pdf" TargetMode="External"/><Relationship Id="rId5" Type="http://schemas.openxmlformats.org/officeDocument/2006/relationships/hyperlink" Target="https://faq.croq-kilos.com/hc/fr/articles/360018894799-Equivalence-poids-cru-et-cuit" TargetMode="External"/><Relationship Id="rId10" Type="http://schemas.openxmlformats.org/officeDocument/2006/relationships/hyperlink" Target="https://goodfood.brussels/fr/news/modification-du-critere-de-lassiette-equilibree-grammages-de-viande-du-label-cantine-good-food?domain=cit" TargetMode="External"/><Relationship Id="rId4" Type="http://schemas.openxmlformats.org/officeDocument/2006/relationships/hyperlink" Target="https://fr.pinterest.com/brigittek80/equivalences-crucuit/" TargetMode="External"/><Relationship Id="rId9" Type="http://schemas.openxmlformats.org/officeDocument/2006/relationships/hyperlink" Target="https://environnement.brussels/citoyen/outils-et-donnees/sites-web-et-outils/lalimentation-durable-bruxelles" TargetMode="External"/></Relationships>
</file>

<file path=xl/worksheets/_rels/sheet24.xml.rels><?xml version="1.0" encoding="UTF-8" standalone="yes"?>
<Relationships xmlns="http://schemas.openxmlformats.org/package/2006/relationships"><Relationship Id="rId3" Type="http://schemas.openxmlformats.org/officeDocument/2006/relationships/hyperlink" Target="https://www.youtube.com/shorts/fBWGlwtdljc" TargetMode="External"/><Relationship Id="rId2" Type="http://schemas.openxmlformats.org/officeDocument/2006/relationships/hyperlink" Target="https://www.youtube.com/watch?v=aZ-SY0ORaoA" TargetMode="External"/><Relationship Id="rId1" Type="http://schemas.openxmlformats.org/officeDocument/2006/relationships/hyperlink" Target="https://www.youtube.com/watch?v=Lozx5O243Do" TargetMode="External"/><Relationship Id="rId6" Type="http://schemas.openxmlformats.org/officeDocument/2006/relationships/hyperlink" Target="https://chatgpt.com/share/67b0cbdb-19d8-8007-823f-c64157ad99cf" TargetMode="External"/><Relationship Id="rId5" Type="http://schemas.openxmlformats.org/officeDocument/2006/relationships/hyperlink" Target="https://youtu.be/wn3uinXeO-Y" TargetMode="External"/><Relationship Id="rId4" Type="http://schemas.openxmlformats.org/officeDocument/2006/relationships/hyperlink" Target="https://www.youtube.com/watch?v=Q_NLy_NQ86M&amp;list=PL_YIPTyDwH029le6-8T91wPfpqGH-iIIU" TargetMode="External"/></Relationships>
</file>

<file path=xl/worksheets/_rels/sheet25.xml.rels><?xml version="1.0" encoding="UTF-8" standalone="yes"?>
<Relationships xmlns="http://schemas.openxmlformats.org/package/2006/relationships"><Relationship Id="rId8" Type="http://schemas.openxmlformats.org/officeDocument/2006/relationships/hyperlink" Target="https://www.excel-exercice.com/modulo-mod/" TargetMode="External"/><Relationship Id="rId13" Type="http://schemas.openxmlformats.org/officeDocument/2006/relationships/hyperlink" Target="https://www.google.com/search?client=firefox-b-d&amp;q=banque+d%27image+cuisine+patisserie+charcuterie+fromage" TargetMode="External"/><Relationship Id="rId3" Type="http://schemas.openxmlformats.org/officeDocument/2006/relationships/hyperlink" Target="https://www.dieteticien-nutritionniste-sante.com/conseils-alimentaires/a-telecharger/6545-2_POIDSETMESURES_FR_2005_2_4400388_fr.pdf" TargetMode="External"/><Relationship Id="rId7" Type="http://schemas.openxmlformats.org/officeDocument/2006/relationships/hyperlink" Target="https://www.youtube.com/watch?v=zSpH3J0RKUQ" TargetMode="External"/><Relationship Id="rId12" Type="http://schemas.openxmlformats.org/officeDocument/2006/relationships/hyperlink" Target="https://www.lesoeufs.ca/oeufs101/voir/4/introduction-aux-oeufs" TargetMode="External"/><Relationship Id="rId2" Type="http://schemas.openxmlformats.org/officeDocument/2006/relationships/hyperlink" Target="http://www.aliments.org/poids.htm" TargetMode="External"/><Relationship Id="rId1" Type="http://schemas.openxmlformats.org/officeDocument/2006/relationships/hyperlink" Target="https://fr.wikipedia.org/wiki/Gastro_Norm" TargetMode="External"/><Relationship Id="rId6" Type="http://schemas.openxmlformats.org/officeDocument/2006/relationships/hyperlink" Target="https://www.youtube.com/watch?v=oLiOogBFyqw" TargetMode="External"/><Relationship Id="rId11" Type="http://schemas.openxmlformats.org/officeDocument/2006/relationships/hyperlink" Target="https://www.meilleurduchef.com/fr/recette/glacage-brillant-chocolat.html" TargetMode="External"/><Relationship Id="rId5" Type="http://schemas.openxmlformats.org/officeDocument/2006/relationships/hyperlink" Target="http://miam-images.centerblog.net/rub-vaisselle-ustensiles-de-cuisson--3.html" TargetMode="External"/><Relationship Id="rId15" Type="http://schemas.openxmlformats.org/officeDocument/2006/relationships/drawing" Target="../drawings/drawing15.xml"/><Relationship Id="rId10" Type="http://schemas.openxmlformats.org/officeDocument/2006/relationships/hyperlink" Target="https://www.google.com/search?q=feuilles+de+g%C3%A9latine&amp;client=firefox-b-d&amp;sca_esv=564262174&amp;tbm=vid&amp;sxsrf=AB5stBhVwchfIVK22tzLW58_8S7u2IL_Rg:1694411797681&amp;source=lnms&amp;sa=X&amp;ved=2ahUKEwjp9bbq76GBAxWCTaQEHXZcBtcQ_AUoA3oECAIQBQ&amp;biw=1564&amp;bih=722&amp;dpr=1.2" TargetMode="External"/><Relationship Id="rId4" Type="http://schemas.openxmlformats.org/officeDocument/2006/relationships/hyperlink" Target="http://www.crenoexpert.fr/flipbooks/expproduit/TABLEAUX-CALIBRES-FRUITS-2.pdf" TargetMode="External"/><Relationship Id="rId9" Type="http://schemas.openxmlformats.org/officeDocument/2006/relationships/hyperlink" Target="https://www.google.com/search?q=g%C3%A9latine+et+agar-agar+principes+et+utilisations&amp;client=firefox-b-d&amp;sca_esv=564262174&amp;tbm=vid&amp;sxsrf=AB5stBizTm0AytiaSjIib_2tQMKOnr0Ang:1694411714355&amp;source=lnms&amp;sa=X&amp;ved=2ahUKEwjoidnC76GBAxWIdqQEHRtbAJsQ_AUoA3oECAQQBQ&amp;biw=1564&amp;bih=722&amp;dpr=1.2" TargetMode="External"/><Relationship Id="rId14" Type="http://schemas.openxmlformats.org/officeDocument/2006/relationships/hyperlink" Target="https://www.google.com/search?client=firefox-b-d&amp;q=Quelle+quantit%C3%A9+dans+mon+assiette+%3F" TargetMode="External"/></Relationships>
</file>

<file path=xl/worksheets/_rels/sheet26.xml.rels><?xml version="1.0" encoding="UTF-8" standalone="yes"?>
<Relationships xmlns="http://schemas.openxmlformats.org/package/2006/relationships"><Relationship Id="rId8" Type="http://schemas.openxmlformats.org/officeDocument/2006/relationships/hyperlink" Target="https://www.cmath.fr/6eme/pourcentages/cours.php" TargetMode="External"/><Relationship Id="rId13" Type="http://schemas.openxmlformats.org/officeDocument/2006/relationships/hyperlink" Target="https://www.youtube.com/watch?v=dQafvb2O01U" TargetMode="External"/><Relationship Id="rId18" Type="http://schemas.openxmlformats.org/officeDocument/2006/relationships/hyperlink" Target="https://www.youtube.com/watch?v=dWC54hCv0pc" TargetMode="External"/><Relationship Id="rId26" Type="http://schemas.openxmlformats.org/officeDocument/2006/relationships/hyperlink" Target="https://www.google.com/search?client=firefox-b-d&amp;sca_esv=564255901&amp;sxsrf=AB5stBihJ69cL1ng1vQDYXKmUFWjQYd6jQ:1694407722726&amp;q=dgccrf+Poids+brut+ou+poids+net+?+Ne+payer+pas+l%27emballage+!&amp;spell=1&amp;sa=X&amp;ved=2ahUKEwjRtKvT4KGBAxVJWqQEHb3mCrcQBSgAegQICBAB&amp;biw=1564&amp;bih=722&amp;dpr=1.2" TargetMode="External"/><Relationship Id="rId3" Type="http://schemas.openxmlformats.org/officeDocument/2006/relationships/hyperlink" Target="http://www.un-calcul.fr/calcul-comptabilite/comment-calculer-un-pourcentage-338" TargetMode="External"/><Relationship Id="rId21" Type="http://schemas.openxmlformats.org/officeDocument/2006/relationships/hyperlink" Target="https://www.youtube.com/watch?v=_PTjJ7UD4eo" TargetMode="External"/><Relationship Id="rId7" Type="http://schemas.openxmlformats.org/officeDocument/2006/relationships/hyperlink" Target="https://www.cmath.fr/cesite/presentation.php" TargetMode="External"/><Relationship Id="rId12" Type="http://schemas.openxmlformats.org/officeDocument/2006/relationships/hyperlink" Target="http://www.astuceshebdo.com/2012/03/comment-calculer-un-pourcentage-cas-n-1.html" TargetMode="External"/><Relationship Id="rId17" Type="http://schemas.openxmlformats.org/officeDocument/2006/relationships/hyperlink" Target="https://www.youtube.com/c/YMONKA" TargetMode="External"/><Relationship Id="rId25" Type="http://schemas.openxmlformats.org/officeDocument/2006/relationships/hyperlink" Target="https://www.google.com/search?q=comment-compter-le-pourcentage-de-tete-vite-et-facilement&amp;client=firefox-b-d&amp;sca_esv=564255901&amp;sxsrf=AB5stBht_2JMUoJjcN6G_I3PsSwWLfGaWQ:1694407223966&amp;source=lnms&amp;sa=X&amp;ved=2ahUKEwjSxMHl3qGBAxU6TaQEHfycCw8Q_AUoAHoECAEQAg&amp;biw=1564&amp;bih=722&amp;dpr=1.2" TargetMode="External"/><Relationship Id="rId2" Type="http://schemas.openxmlformats.org/officeDocument/2006/relationships/hyperlink" Target="http://www.lyc-monnet-juvisy.ac-versailles.fr/Diapomath.pdf" TargetMode="External"/><Relationship Id="rId16" Type="http://schemas.openxmlformats.org/officeDocument/2006/relationships/hyperlink" Target="https://www.youtube.com/watch?v=SgFaLduHeAE" TargetMode="External"/><Relationship Id="rId20" Type="http://schemas.openxmlformats.org/officeDocument/2006/relationships/hyperlink" Target="https://www.youtube.com/watch?v=mGDjvAcvigc" TargetMode="External"/><Relationship Id="rId1" Type="http://schemas.openxmlformats.org/officeDocument/2006/relationships/hyperlink" Target="https://www.mathematiquesfaciles.com/pourcentages-calculer-un-pourcentage_2_19885.htm" TargetMode="External"/><Relationship Id="rId6" Type="http://schemas.openxmlformats.org/officeDocument/2006/relationships/hyperlink" Target="https://www.deleze.name/marcel/culture/taux_composes/taux_simple.html" TargetMode="External"/><Relationship Id="rId11" Type="http://schemas.openxmlformats.org/officeDocument/2006/relationships/hyperlink" Target="https://fr.wikihow.com/convertir-en-pourcentage" TargetMode="External"/><Relationship Id="rId24" Type="http://schemas.openxmlformats.org/officeDocument/2006/relationships/hyperlink" Target="http://www.maths-et-tiques.fr/index.php/cours-en-videos" TargetMode="External"/><Relationship Id="rId5" Type="http://schemas.openxmlformats.org/officeDocument/2006/relationships/hyperlink" Target="http://www.slate.fr/story/82029/soldes-calculer-rabais" TargetMode="External"/><Relationship Id="rId15" Type="http://schemas.openxmlformats.org/officeDocument/2006/relationships/hyperlink" Target="http://www.capte-les-maths.com/pourcentage/les_pourcentages_p6.php" TargetMode="External"/><Relationship Id="rId23" Type="http://schemas.openxmlformats.org/officeDocument/2006/relationships/hyperlink" Target="https://www.maths-et-tiques.fr/telech/Pourcent.pdf" TargetMode="External"/><Relationship Id="rId10" Type="http://schemas.openxmlformats.org/officeDocument/2006/relationships/hyperlink" Target="http://fortimelp.fr/content/44-calculer-un-pourcentage" TargetMode="External"/><Relationship Id="rId19" Type="http://schemas.openxmlformats.org/officeDocument/2006/relationships/hyperlink" Target="https://www.youtube.com/watch?v=psIZ0y_8VVc" TargetMode="External"/><Relationship Id="rId4" Type="http://schemas.openxmlformats.org/officeDocument/2006/relationships/hyperlink" Target="http://www.capte-les-maths.com/pourcentage/les_pourcentages_p10.php" TargetMode="External"/><Relationship Id="rId9" Type="http://schemas.openxmlformats.org/officeDocument/2006/relationships/hyperlink" Target="https://fr.wikipedia.org/wiki/Pourcentage" TargetMode="External"/><Relationship Id="rId14" Type="http://schemas.openxmlformats.org/officeDocument/2006/relationships/hyperlink" Target="https://www.youtube.com/watch?v=QTGvjmAhEHo" TargetMode="External"/><Relationship Id="rId22" Type="http://schemas.openxmlformats.org/officeDocument/2006/relationships/hyperlink" Target="https://www.youtube.com/watch?v=tSp2xkS-tKs" TargetMode="External"/><Relationship Id="rId27" Type="http://schemas.openxmlformats.org/officeDocument/2006/relationships/drawing" Target="../drawings/drawing16.xml"/></Relationships>
</file>

<file path=xl/worksheets/_rels/sheet27.xml.rels><?xml version="1.0" encoding="UTF-8" standalone="yes"?>
<Relationships xmlns="http://schemas.openxmlformats.org/package/2006/relationships"><Relationship Id="rId8" Type="http://schemas.openxmlformats.org/officeDocument/2006/relationships/hyperlink" Target="https://www.redacteur.com/blog/polices-ecriture-a-utiliser/" TargetMode="External"/><Relationship Id="rId13" Type="http://schemas.openxmlformats.org/officeDocument/2006/relationships/hyperlink" Target="https://www.canva.com/fr_fr/decouvrir/association-de-couleur-tendance-exemple/" TargetMode="External"/><Relationship Id="rId3" Type="http://schemas.openxmlformats.org/officeDocument/2006/relationships/hyperlink" Target="https://encycolorpedia.com/html" TargetMode="External"/><Relationship Id="rId7" Type="http://schemas.openxmlformats.org/officeDocument/2006/relationships/hyperlink" Target="https://blog.atalan.fr/grille-contrastes-accessibilite-charte-graphique/" TargetMode="External"/><Relationship Id="rId12" Type="http://schemas.openxmlformats.org/officeDocument/2006/relationships/hyperlink" Target="https://clickup.com/fr-FR/blog/202591/comment-faire-un-code-couleur-dans-excel" TargetMode="External"/><Relationship Id="rId2" Type="http://schemas.openxmlformats.org/officeDocument/2006/relationships/hyperlink" Target="https://encycolorpedia.com/websafe" TargetMode="External"/><Relationship Id="rId1" Type="http://schemas.openxmlformats.org/officeDocument/2006/relationships/hyperlink" Target="http://translate.google.fr/translate?hl=fr&amp;langpair=en|fr&amp;u=http://dmcritchie.mvps.org/excel/colors.htm" TargetMode="External"/><Relationship Id="rId6" Type="http://schemas.openxmlformats.org/officeDocument/2006/relationships/hyperlink" Target="https://www.tanaguru.com/contrastes-couleurs-choisir-combinaisons-accessibles/" TargetMode="External"/><Relationship Id="rId11" Type="http://schemas.openxmlformats.org/officeDocument/2006/relationships/hyperlink" Target="https://excel-downloads.com/forums/forum-excel.7/" TargetMode="External"/><Relationship Id="rId5" Type="http://schemas.openxmlformats.org/officeDocument/2006/relationships/hyperlink" Target="https://encycolorpedia.com/paints" TargetMode="External"/><Relationship Id="rId10" Type="http://schemas.openxmlformats.org/officeDocument/2006/relationships/hyperlink" Target="https://excel-pratique.com/fr/vba/liste-couleurs-rgb.php" TargetMode="External"/><Relationship Id="rId4" Type="http://schemas.openxmlformats.org/officeDocument/2006/relationships/hyperlink" Target="https://encycolorpedia.com/named" TargetMode="External"/><Relationship Id="rId9" Type="http://schemas.openxmlformats.org/officeDocument/2006/relationships/hyperlink" Target="https://www.iloveimg.com/fr" TargetMode="External"/><Relationship Id="rId14" Type="http://schemas.openxmlformats.org/officeDocument/2006/relationships/printerSettings" Target="../printerSettings/printerSettings9.bin"/></Relationships>
</file>

<file path=xl/worksheets/_rels/sheet3.xml.rels><?xml version="1.0" encoding="UTF-8" standalone="yes"?>
<Relationships xmlns="http://schemas.openxmlformats.org/package/2006/relationships"><Relationship Id="rId8" Type="http://schemas.openxmlformats.org/officeDocument/2006/relationships/hyperlink" Target="https://fr.maisfontes.com/aktiv-grotesk-w01.police" TargetMode="External"/><Relationship Id="rId13" Type="http://schemas.openxmlformats.org/officeDocument/2006/relationships/hyperlink" Target="https://www.youtube.com/watch?v=FZwdUZUwnuI" TargetMode="External"/><Relationship Id="rId18" Type="http://schemas.openxmlformats.org/officeDocument/2006/relationships/printerSettings" Target="../printerSettings/printerSettings3.bin"/><Relationship Id="rId3" Type="http://schemas.openxmlformats.org/officeDocument/2006/relationships/hyperlink" Target="https://kulturegeek.fr/news-224456/microsoft-police-voudriez-remplacer-calibri" TargetMode="External"/><Relationship Id="rId7" Type="http://schemas.openxmlformats.org/officeDocument/2006/relationships/hyperlink" Target="https://www.google.com/search?client=firefox-b-d&amp;cs=1&amp;sxsrf=AJOqlzWtAThXL_uLX0Izw5bcGDDqWJW1UA:1673858052794&amp;q=Quelle+est+la+police+d%27%C3%A9criture+la+plus+classe+%3F&amp;sa=X&amp;ved=2ahUKEwjYj4iV18v8AhXtTaQEHYpNBZ0Qzmd6BAgBEAU" TargetMode="External"/><Relationship Id="rId12" Type="http://schemas.openxmlformats.org/officeDocument/2006/relationships/hyperlink" Target="https://www.youtube.com/watch?app=desktop&amp;v=Yuy1jisXErY" TargetMode="External"/><Relationship Id="rId17" Type="http://schemas.openxmlformats.org/officeDocument/2006/relationships/hyperlink" Target="https://fr.extendoffice.com/documents/excel/4027-excel-increase-letter-by-one.html" TargetMode="External"/><Relationship Id="rId2" Type="http://schemas.openxmlformats.org/officeDocument/2006/relationships/hyperlink" Target="https://fr.wikipedia.org/wiki/Calibri" TargetMode="External"/><Relationship Id="rId16" Type="http://schemas.openxmlformats.org/officeDocument/2006/relationships/hyperlink" Target="https://www.bonbache.fr/syntheses-graphiques-excel-avec-les-emoticones-499.html" TargetMode="External"/><Relationship Id="rId1" Type="http://schemas.openxmlformats.org/officeDocument/2006/relationships/hyperlink" Target="https://www.extensis.com/fr-fr/blog/les-10-polices-alternatives-%C3%A0-helvetica" TargetMode="External"/><Relationship Id="rId6" Type="http://schemas.openxmlformats.org/officeDocument/2006/relationships/hyperlink" Target="https://laruche.wizbii.com/17703-meilleure-police-ecriture-cv" TargetMode="External"/><Relationship Id="rId11" Type="http://schemas.openxmlformats.org/officeDocument/2006/relationships/hyperlink" Target="https://fr.vecteezy.com/video/5480445-appuyer-sur-la-touche-entree-sur-le-clavier-d-un-ordinateur-de-bureau" TargetMode="External"/><Relationship Id="rId5" Type="http://schemas.openxmlformats.org/officeDocument/2006/relationships/hyperlink" Target="https://laruche.wizbii.com/17703-meilleure-police-ecriture-cv" TargetMode="External"/><Relationship Id="rId15" Type="http://schemas.openxmlformats.org/officeDocument/2006/relationships/hyperlink" Target="https://excel-exercice.com/comment-faire-une-liste-alphabetique-automatique/" TargetMode="External"/><Relationship Id="rId10" Type="http://schemas.openxmlformats.org/officeDocument/2006/relationships/hyperlink" Target="https://www.automateexcel.com/fr/how-to/que-signifient-les-symboles-etc-dans-les-formules-excel-et-google-sheets/" TargetMode="External"/><Relationship Id="rId19" Type="http://schemas.openxmlformats.org/officeDocument/2006/relationships/drawing" Target="../drawings/drawing3.xml"/><Relationship Id="rId4" Type="http://schemas.openxmlformats.org/officeDocument/2006/relationships/hyperlink" Target="https://fr.wikipedia.org/wiki/Helvetica" TargetMode="External"/><Relationship Id="rId9" Type="http://schemas.openxmlformats.org/officeDocument/2006/relationships/hyperlink" Target="https://dupala.be/upload/files/141_Pages-de-D-un-e-prof-a-l-autre-Numero-71-Octobre-2014-page15-16.pdf" TargetMode="External"/><Relationship Id="rId14" Type="http://schemas.openxmlformats.org/officeDocument/2006/relationships/hyperlink" Target="https://cellulexcel.blogspot.com/p/blog-page_16.html"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hyperlink" Target="https://www.youtube.com/watch?v=8Lz6KCW3Nqo"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EA437E-E59A-477D-A71D-1D1A3D9F1AA3}">
  <dimension ref="A1:AS288"/>
  <sheetViews>
    <sheetView zoomScale="75" zoomScaleNormal="75" workbookViewId="0">
      <selection activeCell="A237" sqref="A237"/>
    </sheetView>
  </sheetViews>
  <sheetFormatPr baseColWidth="10" defaultColWidth="11.42578125" defaultRowHeight="15"/>
  <cols>
    <col min="1" max="1" width="11.42578125" style="1186"/>
    <col min="2" max="2" width="18.7109375" style="1186" customWidth="1"/>
    <col min="3" max="3" width="19.5703125" style="1186" customWidth="1"/>
    <col min="4" max="4" width="16" style="1186" customWidth="1"/>
    <col min="5" max="5" width="11.42578125" style="1186"/>
    <col min="6" max="6" width="17" style="1186" customWidth="1"/>
    <col min="7" max="7" width="12" style="1186" bestFit="1" customWidth="1"/>
    <col min="8" max="8" width="21.7109375" style="1186" customWidth="1"/>
    <col min="9" max="9" width="17.42578125" style="1186" customWidth="1"/>
    <col min="10" max="12" width="11.42578125" style="1186"/>
    <col min="13" max="13" width="18.5703125" style="1186" customWidth="1"/>
    <col min="14" max="14" width="11.42578125" style="1186"/>
    <col min="15" max="15" width="19.5703125" style="1186" customWidth="1"/>
    <col min="16" max="16" width="14.140625" style="1186" bestFit="1" customWidth="1"/>
    <col min="17" max="19" width="11.42578125" style="1186"/>
    <col min="20" max="21" width="11.7109375" style="1186" bestFit="1" customWidth="1"/>
    <col min="22" max="22" width="18.140625" style="1186" customWidth="1"/>
    <col min="23" max="25" width="16" style="1186" customWidth="1"/>
    <col min="26" max="26" width="14.28515625" style="1186" customWidth="1"/>
    <col min="27" max="27" width="15.28515625" style="1186" customWidth="1"/>
    <col min="28" max="28" width="16" style="1186" customWidth="1"/>
    <col min="29" max="29" width="14.140625" style="1186" customWidth="1"/>
    <col min="30" max="37" width="11.42578125" style="1186"/>
    <col min="38" max="38" width="7.5703125" style="852" customWidth="1"/>
    <col min="39" max="39" width="11.42578125" style="709"/>
    <col min="40" max="40" width="51.140625" style="709" customWidth="1"/>
    <col min="41" max="16384" width="11.42578125" style="1186"/>
  </cols>
  <sheetData>
    <row r="1" spans="1:40" ht="30" customHeight="1">
      <c r="A1" s="1" t="str">
        <f>ADDRESS(ROW(),COLUMN(),4)</f>
        <v>A1</v>
      </c>
      <c r="B1" s="1181"/>
      <c r="C1" s="1181"/>
      <c r="D1" s="1181"/>
      <c r="E1" s="1181"/>
      <c r="F1" s="1181"/>
      <c r="G1" s="1181"/>
      <c r="H1" s="1181"/>
      <c r="I1" s="1181"/>
      <c r="J1" s="1181"/>
      <c r="K1" s="1181"/>
      <c r="L1" s="1181"/>
      <c r="M1" s="1181"/>
      <c r="N1" s="1181"/>
      <c r="O1" s="1181"/>
      <c r="P1" s="1182"/>
      <c r="Q1" s="1182"/>
      <c r="R1" s="1182"/>
      <c r="S1" s="1182"/>
      <c r="T1" s="1182"/>
      <c r="U1" s="1183"/>
      <c r="V1" s="1183"/>
      <c r="W1" s="1183"/>
      <c r="X1" s="1183"/>
      <c r="Y1" s="1183"/>
      <c r="Z1" s="1183"/>
      <c r="AA1" s="1183"/>
      <c r="AB1" s="1183"/>
      <c r="AC1" s="1183"/>
      <c r="AD1" s="1183"/>
      <c r="AE1" s="1183"/>
      <c r="AF1" s="1183"/>
      <c r="AG1" s="1183"/>
      <c r="AH1" s="1183"/>
      <c r="AI1" s="1183"/>
      <c r="AJ1" s="1184"/>
      <c r="AK1" s="1184"/>
      <c r="AL1" s="1185">
        <v>1</v>
      </c>
      <c r="AM1" s="879" t="str">
        <f>SUBSTITUTE(ADDRESS(1,COLUMN(),4),"1","")</f>
        <v>AM</v>
      </c>
      <c r="AN1" s="880" t="str">
        <f>SUBSTITUTE(ADDRESS(1,COLUMN(),4),"1","")</f>
        <v>AN</v>
      </c>
    </row>
    <row r="2" spans="1:40" ht="30" customHeight="1">
      <c r="A2" s="1181"/>
      <c r="B2" s="1209" t="s">
        <v>3284</v>
      </c>
      <c r="C2" s="1181"/>
      <c r="D2" s="1181"/>
      <c r="E2" s="1181"/>
      <c r="F2" s="1181"/>
      <c r="G2" s="1181"/>
      <c r="H2" s="1181"/>
      <c r="I2" s="1181"/>
      <c r="J2" s="1181"/>
      <c r="K2" s="1181"/>
      <c r="L2" s="1181"/>
      <c r="M2" s="1181"/>
      <c r="N2" s="1181"/>
      <c r="O2" s="1181"/>
      <c r="P2" s="1182"/>
      <c r="Q2" s="1182"/>
      <c r="R2" s="1182"/>
      <c r="S2" s="1182"/>
      <c r="T2" s="1182"/>
      <c r="U2" s="1183"/>
      <c r="V2" s="1183"/>
      <c r="W2" s="1183"/>
      <c r="X2" s="1183"/>
      <c r="Y2" s="1183"/>
      <c r="Z2" s="1183"/>
      <c r="AA2" s="1183"/>
      <c r="AB2" s="1183"/>
      <c r="AC2" s="1183"/>
      <c r="AD2" s="1183"/>
      <c r="AE2" s="1183"/>
      <c r="AF2" s="1183"/>
      <c r="AG2" s="1183"/>
      <c r="AH2" s="1183"/>
      <c r="AI2" s="1183"/>
      <c r="AJ2" s="1184"/>
      <c r="AK2" s="1184"/>
      <c r="AL2" s="1185">
        <v>1</v>
      </c>
      <c r="AM2" s="1188"/>
      <c r="AN2" s="1188" t="s">
        <v>881</v>
      </c>
    </row>
    <row r="3" spans="1:40" ht="30" customHeight="1">
      <c r="A3" s="1181"/>
      <c r="B3" s="1209" t="s">
        <v>3280</v>
      </c>
      <c r="C3" s="1181"/>
      <c r="D3" s="1181"/>
      <c r="E3" s="1181"/>
      <c r="F3" s="1181"/>
      <c r="G3" s="1181"/>
      <c r="H3" s="1181"/>
      <c r="I3" s="1181"/>
      <c r="J3" s="1181"/>
      <c r="K3" s="1181"/>
      <c r="L3" s="1181"/>
      <c r="M3" s="1181"/>
      <c r="N3" s="1181"/>
      <c r="O3" s="1181"/>
      <c r="P3" s="1182"/>
      <c r="Q3" s="1182"/>
      <c r="R3" s="1182"/>
      <c r="S3" s="1182"/>
      <c r="T3" s="1182"/>
      <c r="U3" s="1183"/>
      <c r="V3" s="1183"/>
      <c r="W3" s="1183"/>
      <c r="X3" s="1183"/>
      <c r="Y3" s="1183"/>
      <c r="Z3" s="1183"/>
      <c r="AA3" s="1183"/>
      <c r="AB3" s="1183"/>
      <c r="AC3" s="1183"/>
      <c r="AD3" s="1183"/>
      <c r="AE3" s="1183"/>
      <c r="AF3" s="1183"/>
      <c r="AG3" s="1183"/>
      <c r="AH3" s="1183"/>
      <c r="AI3" s="1183"/>
      <c r="AJ3" s="1184"/>
      <c r="AK3" s="1184"/>
      <c r="AL3" s="1185">
        <v>1</v>
      </c>
      <c r="AM3" s="1192">
        <f ca="1">COUNTA(A1:AL288) + COUNTBLANK(A1:AL288)</f>
        <v>10945</v>
      </c>
      <c r="AN3" s="1188" t="str">
        <f>"cellules entre"&amp;" " &amp;A1&amp;" et  "&amp;AL288</f>
        <v>cellules entre A1 et  AL288</v>
      </c>
    </row>
    <row r="4" spans="1:40" ht="30" customHeight="1">
      <c r="A4" s="1181"/>
      <c r="B4" s="1209" t="s">
        <v>3281</v>
      </c>
      <c r="C4" s="1181"/>
      <c r="D4" s="1181"/>
      <c r="E4" s="1181"/>
      <c r="F4" s="1181"/>
      <c r="G4" s="1181"/>
      <c r="H4" s="1181"/>
      <c r="I4" s="1181"/>
      <c r="J4" s="1181"/>
      <c r="K4" s="1181"/>
      <c r="L4" s="1181"/>
      <c r="M4" s="1181"/>
      <c r="N4" s="1181"/>
      <c r="O4" s="1181"/>
      <c r="P4" s="1182"/>
      <c r="Q4" s="1182"/>
      <c r="R4" s="1182"/>
      <c r="S4" s="1182"/>
      <c r="T4" s="1182"/>
      <c r="U4" s="1183"/>
      <c r="V4" s="1183"/>
      <c r="W4" s="1183"/>
      <c r="X4" s="1183"/>
      <c r="Y4" s="1183"/>
      <c r="Z4" s="1183"/>
      <c r="AA4" s="1183"/>
      <c r="AB4" s="1183"/>
      <c r="AC4" s="1183"/>
      <c r="AD4" s="1183"/>
      <c r="AE4" s="1183"/>
      <c r="AF4" s="1183"/>
      <c r="AG4" s="1183"/>
      <c r="AH4" s="1183"/>
      <c r="AI4" s="1183"/>
      <c r="AJ4" s="1184"/>
      <c r="AK4" s="1184"/>
      <c r="AL4" s="1185">
        <v>1</v>
      </c>
      <c r="AM4" s="1192">
        <f ca="1">COUNTA(A1:AL288)</f>
        <v>984</v>
      </c>
      <c r="AN4" s="1188" t="s">
        <v>882</v>
      </c>
    </row>
    <row r="5" spans="1:40" ht="30" customHeight="1">
      <c r="A5" s="1181"/>
      <c r="B5" s="1209" t="s">
        <v>3282</v>
      </c>
      <c r="C5" s="1181"/>
      <c r="D5" s="1181"/>
      <c r="E5" s="1181"/>
      <c r="F5" s="1181"/>
      <c r="G5" s="1181"/>
      <c r="H5" s="1181"/>
      <c r="I5" s="1181"/>
      <c r="J5" s="1181"/>
      <c r="K5" s="1181"/>
      <c r="L5" s="1181"/>
      <c r="M5" s="1181"/>
      <c r="N5" s="1181"/>
      <c r="O5" s="1181"/>
      <c r="P5" s="1182"/>
      <c r="Q5" s="1182"/>
      <c r="R5" s="1182"/>
      <c r="S5" s="1182"/>
      <c r="T5" s="1182"/>
      <c r="U5" s="1183"/>
      <c r="V5" s="1183"/>
      <c r="W5" s="1183"/>
      <c r="X5" s="1183"/>
      <c r="Y5" s="1183"/>
      <c r="Z5" s="1183"/>
      <c r="AA5" s="1183"/>
      <c r="AB5" s="1183"/>
      <c r="AC5" s="1183"/>
      <c r="AD5" s="1183"/>
      <c r="AE5" s="1183"/>
      <c r="AF5" s="1183"/>
      <c r="AG5" s="1183"/>
      <c r="AH5" s="1183"/>
      <c r="AI5" s="1183"/>
      <c r="AJ5" s="1184"/>
      <c r="AK5" s="1184"/>
      <c r="AL5" s="1185">
        <v>1</v>
      </c>
      <c r="AM5" s="1192">
        <f ca="1">COUNTBLANK(A1:AL288)</f>
        <v>9961</v>
      </c>
      <c r="AN5" s="1188" t="s">
        <v>883</v>
      </c>
    </row>
    <row r="6" spans="1:40" ht="30" customHeight="1">
      <c r="A6" s="1181"/>
      <c r="B6" s="1209" t="s">
        <v>3283</v>
      </c>
      <c r="C6" s="1181"/>
      <c r="D6" s="1181"/>
      <c r="E6" s="1181"/>
      <c r="F6" s="1181"/>
      <c r="G6" s="1181"/>
      <c r="H6" s="1181"/>
      <c r="I6" s="1181"/>
      <c r="J6" s="1181"/>
      <c r="K6" s="1181"/>
      <c r="L6" s="1181"/>
      <c r="M6" s="1181"/>
      <c r="N6" s="1181"/>
      <c r="O6" s="1181"/>
      <c r="P6" s="1182"/>
      <c r="Q6" s="1182"/>
      <c r="R6" s="1182"/>
      <c r="S6" s="1182"/>
      <c r="T6" s="1182"/>
      <c r="U6" s="1183"/>
      <c r="V6" s="1183"/>
      <c r="W6" s="1183"/>
      <c r="X6" s="1183"/>
      <c r="Y6" s="1183"/>
      <c r="Z6" s="1183"/>
      <c r="AA6" s="1183"/>
      <c r="AB6" s="1183"/>
      <c r="AC6" s="1183"/>
      <c r="AD6" s="1183"/>
      <c r="AE6" s="1183"/>
      <c r="AF6" s="1183"/>
      <c r="AG6" s="1183"/>
      <c r="AH6" s="1183"/>
      <c r="AI6" s="1183"/>
      <c r="AJ6" s="1184"/>
      <c r="AK6" s="1184"/>
      <c r="AL6" s="1185">
        <v>1</v>
      </c>
      <c r="AM6" s="1192">
        <f>SUM(AL1:AL286)+2</f>
        <v>288</v>
      </c>
      <c r="AN6" s="1188" t="s">
        <v>884</v>
      </c>
    </row>
    <row r="7" spans="1:40" ht="30" customHeight="1">
      <c r="A7" s="1181"/>
      <c r="B7" s="1189"/>
      <c r="C7" s="1181"/>
      <c r="D7" s="1181"/>
      <c r="E7" s="1181"/>
      <c r="F7" s="1181"/>
      <c r="G7" s="1181"/>
      <c r="H7" s="1181"/>
      <c r="I7" s="1181"/>
      <c r="J7" s="1181"/>
      <c r="K7" s="1181"/>
      <c r="L7" s="1181"/>
      <c r="M7" s="1181"/>
      <c r="N7" s="1181"/>
      <c r="O7" s="1181"/>
      <c r="P7" s="1182"/>
      <c r="Q7" s="1182"/>
      <c r="R7" s="1182"/>
      <c r="S7" s="1182"/>
      <c r="T7" s="1182"/>
      <c r="U7" s="1183"/>
      <c r="V7" s="1183"/>
      <c r="W7" s="1183"/>
      <c r="X7" s="1183"/>
      <c r="Y7" s="1183"/>
      <c r="Z7" s="1183"/>
      <c r="AA7" s="1183"/>
      <c r="AB7" s="1183"/>
      <c r="AC7" s="1183"/>
      <c r="AD7" s="1183"/>
      <c r="AE7" s="1183"/>
      <c r="AF7" s="1183"/>
      <c r="AG7" s="1183"/>
      <c r="AH7" s="1183"/>
      <c r="AI7" s="1183"/>
      <c r="AJ7" s="1184"/>
      <c r="AK7" s="1184"/>
      <c r="AL7" s="1185">
        <v>1</v>
      </c>
      <c r="AM7" s="1192">
        <f>SUM(A288:AK288)+1</f>
        <v>38</v>
      </c>
      <c r="AN7" s="1188" t="s">
        <v>885</v>
      </c>
    </row>
    <row r="8" spans="1:40" ht="30" customHeight="1">
      <c r="A8" s="1181"/>
      <c r="B8" s="1187" t="s">
        <v>2628</v>
      </c>
      <c r="C8" s="1181"/>
      <c r="D8" s="1181"/>
      <c r="E8" s="1181"/>
      <c r="F8" s="1181"/>
      <c r="G8" s="1181"/>
      <c r="H8" s="1181"/>
      <c r="I8" s="1182"/>
      <c r="J8" s="1181"/>
      <c r="K8" s="1181"/>
      <c r="L8" s="1181"/>
      <c r="M8" s="1181"/>
      <c r="N8" s="1181"/>
      <c r="O8" s="1182"/>
      <c r="P8" s="1182"/>
      <c r="Q8" s="1182"/>
      <c r="R8" s="1182"/>
      <c r="S8" s="1182"/>
      <c r="T8" s="1183"/>
      <c r="U8" s="1183"/>
      <c r="V8" s="1183"/>
      <c r="W8" s="1183"/>
      <c r="X8" s="5392" t="s">
        <v>2629</v>
      </c>
      <c r="Y8" s="5392"/>
      <c r="Z8" s="5392"/>
      <c r="AA8" s="5392"/>
      <c r="AB8" s="5392"/>
      <c r="AC8" s="5392"/>
      <c r="AD8" s="1183"/>
      <c r="AE8" s="1183"/>
      <c r="AF8" s="1183"/>
      <c r="AG8" s="1183"/>
      <c r="AH8" s="1183"/>
      <c r="AI8" s="1183"/>
      <c r="AJ8" s="1184"/>
      <c r="AK8" s="1184"/>
      <c r="AL8" s="1185">
        <v>1</v>
      </c>
    </row>
    <row r="9" spans="1:40" ht="30" customHeight="1">
      <c r="A9" s="1181"/>
      <c r="B9" s="1189" t="s">
        <v>2630</v>
      </c>
      <c r="C9" s="1190"/>
      <c r="D9" s="1181"/>
      <c r="E9" s="1181"/>
      <c r="F9" s="1181"/>
      <c r="G9" s="1181"/>
      <c r="H9" s="1181"/>
      <c r="I9" s="1182"/>
      <c r="J9" s="1181"/>
      <c r="K9" s="1181"/>
      <c r="L9" s="1181"/>
      <c r="M9" s="1181"/>
      <c r="N9" s="1181"/>
      <c r="O9" s="1182"/>
      <c r="P9" s="1182"/>
      <c r="Q9" s="1182"/>
      <c r="R9" s="1182"/>
      <c r="S9" s="1182"/>
      <c r="T9" s="1183"/>
      <c r="U9" s="1183"/>
      <c r="V9" s="1191"/>
      <c r="W9" s="1191"/>
      <c r="X9" s="5392"/>
      <c r="Y9" s="5392"/>
      <c r="Z9" s="5392"/>
      <c r="AA9" s="5392"/>
      <c r="AB9" s="5392"/>
      <c r="AC9" s="5392"/>
      <c r="AD9" s="1183"/>
      <c r="AE9" s="1183"/>
      <c r="AF9" s="1183"/>
      <c r="AG9" s="1183"/>
      <c r="AH9" s="1183"/>
      <c r="AI9" s="1183"/>
      <c r="AJ9" s="1184"/>
      <c r="AK9" s="1184"/>
      <c r="AL9" s="1185">
        <v>1</v>
      </c>
    </row>
    <row r="10" spans="1:40" ht="30" customHeight="1">
      <c r="A10" s="1181"/>
      <c r="B10" s="1189"/>
      <c r="C10" s="1190"/>
      <c r="D10" s="1181"/>
      <c r="E10" s="1181"/>
      <c r="F10" s="1181"/>
      <c r="G10" s="1181"/>
      <c r="H10" s="1181"/>
      <c r="I10" s="1182"/>
      <c r="J10" s="1181"/>
      <c r="K10" s="1181"/>
      <c r="L10" s="1181"/>
      <c r="M10" s="1181"/>
      <c r="N10" s="1181"/>
      <c r="O10" s="1182"/>
      <c r="P10" s="1182"/>
      <c r="Q10" s="1182"/>
      <c r="R10" s="1182"/>
      <c r="S10" s="1182"/>
      <c r="T10" s="1183"/>
      <c r="U10" s="1183"/>
      <c r="V10" s="1193"/>
      <c r="W10" s="1193"/>
      <c r="X10" s="1193"/>
      <c r="Y10" s="1194" t="s">
        <v>2631</v>
      </c>
      <c r="Z10" s="1183"/>
      <c r="AA10" s="1183"/>
      <c r="AB10" s="1183"/>
      <c r="AC10" s="1183"/>
      <c r="AD10" s="1183"/>
      <c r="AE10" s="1183"/>
      <c r="AF10" s="1183"/>
      <c r="AG10" s="1183"/>
      <c r="AH10" s="1183"/>
      <c r="AI10" s="1183"/>
      <c r="AJ10" s="1184"/>
      <c r="AK10" s="1184"/>
      <c r="AL10" s="1185">
        <v>1</v>
      </c>
    </row>
    <row r="11" spans="1:40" ht="30" customHeight="1">
      <c r="A11" s="1181"/>
      <c r="B11" s="1189" t="s">
        <v>2976</v>
      </c>
      <c r="C11" s="1190"/>
      <c r="D11" s="1181"/>
      <c r="E11" s="1181"/>
      <c r="F11" s="1181"/>
      <c r="G11" s="1181"/>
      <c r="H11" s="1181"/>
      <c r="I11" s="1182"/>
      <c r="J11" s="1181"/>
      <c r="K11" s="1181"/>
      <c r="L11" s="1181"/>
      <c r="M11" s="1181"/>
      <c r="N11" s="1181"/>
      <c r="O11" s="1182"/>
      <c r="P11" s="1182"/>
      <c r="Q11" s="1182"/>
      <c r="R11" s="1182"/>
      <c r="S11" s="1182"/>
      <c r="T11" s="1183"/>
      <c r="U11" s="1183"/>
      <c r="V11" s="1193"/>
      <c r="W11" s="1193"/>
      <c r="X11" s="1193"/>
      <c r="Y11" s="1183"/>
      <c r="Z11" s="1183"/>
      <c r="AA11" s="1183"/>
      <c r="AB11" s="1183"/>
      <c r="AC11" s="1183"/>
      <c r="AD11" s="1183"/>
      <c r="AE11" s="1183"/>
      <c r="AF11" s="1183"/>
      <c r="AG11" s="1183"/>
      <c r="AH11" s="1183"/>
      <c r="AI11" s="1183"/>
      <c r="AJ11" s="1184"/>
      <c r="AK11" s="1184"/>
      <c r="AL11" s="1185">
        <v>1</v>
      </c>
    </row>
    <row r="12" spans="1:40" ht="30" customHeight="1">
      <c r="A12" s="1181"/>
      <c r="B12" s="1189" t="s">
        <v>2977</v>
      </c>
      <c r="C12" s="1190"/>
      <c r="D12" s="1181"/>
      <c r="E12" s="1181"/>
      <c r="F12" s="1181"/>
      <c r="G12" s="1181"/>
      <c r="H12" s="1181"/>
      <c r="I12" s="1182"/>
      <c r="J12" s="1181"/>
      <c r="K12" s="1181"/>
      <c r="L12" s="1181"/>
      <c r="M12" s="1181"/>
      <c r="N12" s="1181"/>
      <c r="O12" s="1182"/>
      <c r="P12" s="1182"/>
      <c r="Q12" s="1182"/>
      <c r="R12" s="1182"/>
      <c r="S12" s="1182"/>
      <c r="T12" s="1183"/>
      <c r="U12" s="1183"/>
      <c r="V12" s="1193"/>
      <c r="W12" s="1193"/>
      <c r="X12" s="1193"/>
      <c r="Y12" s="1194" t="s">
        <v>13459</v>
      </c>
      <c r="Z12" s="1183"/>
      <c r="AA12" s="1183"/>
      <c r="AB12" s="1183"/>
      <c r="AC12" s="1183"/>
      <c r="AD12" s="1183"/>
      <c r="AE12" s="1183"/>
      <c r="AF12" s="1183"/>
      <c r="AG12" s="1183"/>
      <c r="AH12" s="1183"/>
      <c r="AI12" s="1183"/>
      <c r="AJ12" s="1184"/>
      <c r="AK12" s="1184"/>
      <c r="AL12" s="1185">
        <v>1</v>
      </c>
    </row>
    <row r="13" spans="1:40" ht="30" customHeight="1">
      <c r="A13" s="1181"/>
      <c r="B13" s="1189"/>
      <c r="C13" s="1190"/>
      <c r="D13" s="1181"/>
      <c r="E13" s="1181"/>
      <c r="F13" s="1181"/>
      <c r="G13" s="1181"/>
      <c r="H13" s="1181"/>
      <c r="I13" s="1182"/>
      <c r="J13" s="1181"/>
      <c r="K13" s="1181"/>
      <c r="L13" s="1181"/>
      <c r="M13" s="1181"/>
      <c r="N13" s="1181"/>
      <c r="O13" s="1182"/>
      <c r="P13" s="1182"/>
      <c r="Q13" s="1182"/>
      <c r="R13" s="1182"/>
      <c r="S13" s="1182"/>
      <c r="T13" s="1183"/>
      <c r="U13" s="1183"/>
      <c r="V13" s="1193"/>
      <c r="W13" s="1193"/>
      <c r="X13" s="1193"/>
      <c r="Y13" s="1194"/>
      <c r="Z13" s="1183"/>
      <c r="AA13" s="1183"/>
      <c r="AB13" s="1183"/>
      <c r="AC13" s="1183"/>
      <c r="AD13" s="1183"/>
      <c r="AE13" s="1183"/>
      <c r="AF13" s="1183"/>
      <c r="AG13" s="1183"/>
      <c r="AH13" s="1183"/>
      <c r="AI13" s="1183"/>
      <c r="AJ13" s="1184"/>
      <c r="AK13" s="1184"/>
      <c r="AL13" s="1185">
        <v>1</v>
      </c>
    </row>
    <row r="14" spans="1:40" ht="30" customHeight="1">
      <c r="A14" s="1181"/>
      <c r="B14" s="1189" t="s">
        <v>2978</v>
      </c>
      <c r="C14" s="1190"/>
      <c r="D14" s="1181"/>
      <c r="E14" s="1181"/>
      <c r="F14" s="1181"/>
      <c r="G14" s="1181"/>
      <c r="H14" s="1181"/>
      <c r="I14" s="1182"/>
      <c r="J14" s="1181"/>
      <c r="K14" s="1181"/>
      <c r="L14" s="1181"/>
      <c r="M14" s="1181"/>
      <c r="N14" s="1181"/>
      <c r="O14" s="1182"/>
      <c r="P14" s="1182"/>
      <c r="Q14" s="1182"/>
      <c r="R14" s="1182"/>
      <c r="S14" s="1182"/>
      <c r="T14" s="1183"/>
      <c r="U14" s="1183"/>
      <c r="V14" s="1193"/>
      <c r="W14" s="1193"/>
      <c r="X14" s="1193"/>
      <c r="Y14" s="1193" t="str">
        <f ca="1">"Page "&amp;_xlfn.SHEET()&amp;" sur "&amp;_xlfn.SHEETS()</f>
        <v>Page 1 sur 27</v>
      </c>
      <c r="Z14" s="1183"/>
      <c r="AA14" s="1183"/>
      <c r="AB14" s="1183"/>
      <c r="AC14" s="1183"/>
      <c r="AD14" s="1183"/>
      <c r="AE14" s="1183"/>
      <c r="AF14" s="1183"/>
      <c r="AG14" s="1183"/>
      <c r="AH14" s="1183"/>
      <c r="AI14" s="1183"/>
      <c r="AJ14" s="1184"/>
      <c r="AK14" s="1184"/>
      <c r="AL14" s="1185">
        <v>1</v>
      </c>
    </row>
    <row r="15" spans="1:40" ht="30" customHeight="1">
      <c r="A15" s="1181"/>
      <c r="B15" s="1189" t="s">
        <v>2988</v>
      </c>
      <c r="C15" s="1190"/>
      <c r="D15" s="1181"/>
      <c r="E15" s="1181"/>
      <c r="F15" s="1181"/>
      <c r="G15" s="1181"/>
      <c r="H15" s="1181"/>
      <c r="I15" s="1182"/>
      <c r="J15" s="1181"/>
      <c r="K15" s="1181"/>
      <c r="L15" s="1181"/>
      <c r="M15" s="1181"/>
      <c r="N15" s="1181"/>
      <c r="O15" s="1182"/>
      <c r="P15" s="1182"/>
      <c r="Q15" s="1182"/>
      <c r="R15" s="1182"/>
      <c r="S15" s="1182"/>
      <c r="T15" s="1183"/>
      <c r="U15" s="1183"/>
      <c r="V15" s="1193"/>
      <c r="W15" s="1193"/>
      <c r="X15" s="1193"/>
      <c r="Y15" s="1183"/>
      <c r="Z15" s="1194"/>
      <c r="AA15" s="1183"/>
      <c r="AB15" s="1183"/>
      <c r="AC15" s="1183"/>
      <c r="AD15" s="1183"/>
      <c r="AE15" s="1183"/>
      <c r="AF15" s="1183"/>
      <c r="AG15" s="1183"/>
      <c r="AH15" s="1183"/>
      <c r="AI15" s="1183"/>
      <c r="AJ15" s="1184"/>
      <c r="AK15" s="1184"/>
      <c r="AL15" s="1185">
        <v>1</v>
      </c>
    </row>
    <row r="16" spans="1:40" ht="30" customHeight="1">
      <c r="A16" s="1181"/>
      <c r="B16" s="1189" t="s">
        <v>2989</v>
      </c>
      <c r="C16" s="1190"/>
      <c r="D16" s="1181"/>
      <c r="E16" s="1181"/>
      <c r="F16" s="1181"/>
      <c r="G16" s="1181"/>
      <c r="H16" s="1181"/>
      <c r="I16" s="1182"/>
      <c r="J16" s="1181"/>
      <c r="K16" s="1181"/>
      <c r="L16" s="1181"/>
      <c r="M16" s="1181"/>
      <c r="N16" s="1181"/>
      <c r="O16" s="1182"/>
      <c r="P16" s="1182"/>
      <c r="Q16" s="1182"/>
      <c r="R16" s="1182"/>
      <c r="S16" s="1182"/>
      <c r="T16" s="1183"/>
      <c r="U16" s="1183"/>
      <c r="V16" s="1193"/>
      <c r="W16" s="1193"/>
      <c r="X16" s="1193"/>
      <c r="Y16" s="1195" t="s">
        <v>2632</v>
      </c>
      <c r="Z16" s="1194"/>
      <c r="AA16" s="1183"/>
      <c r="AB16" s="1183"/>
      <c r="AC16" s="1183"/>
      <c r="AD16" s="1183"/>
      <c r="AE16" s="1183"/>
      <c r="AF16" s="1183"/>
      <c r="AG16" s="1183"/>
      <c r="AH16" s="1183"/>
      <c r="AI16" s="1183"/>
      <c r="AJ16" s="1184"/>
      <c r="AK16" s="1184"/>
      <c r="AL16" s="1185">
        <v>1</v>
      </c>
    </row>
    <row r="17" spans="1:38" ht="30" customHeight="1">
      <c r="A17" s="1181"/>
      <c r="B17" s="1189" t="s">
        <v>2990</v>
      </c>
      <c r="C17" s="1190"/>
      <c r="D17" s="1181"/>
      <c r="E17" s="1181"/>
      <c r="F17" s="1181"/>
      <c r="G17" s="1181"/>
      <c r="H17" s="1181"/>
      <c r="I17" s="1182"/>
      <c r="J17" s="1181"/>
      <c r="K17" s="1181"/>
      <c r="L17" s="1181"/>
      <c r="M17" s="1181"/>
      <c r="N17" s="1181"/>
      <c r="O17" s="1182"/>
      <c r="P17" s="1182"/>
      <c r="Q17" s="1182"/>
      <c r="R17" s="1182"/>
      <c r="S17" s="1182"/>
      <c r="T17" s="1183"/>
      <c r="U17" s="1183"/>
      <c r="V17" s="1193"/>
      <c r="W17" s="1193"/>
      <c r="X17" s="1193"/>
      <c r="Y17" s="1183"/>
      <c r="Z17" s="1194"/>
      <c r="AA17" s="1183"/>
      <c r="AB17" s="1183"/>
      <c r="AC17" s="1183"/>
      <c r="AD17" s="1183"/>
      <c r="AE17" s="1183"/>
      <c r="AF17" s="1183"/>
      <c r="AG17" s="1183"/>
      <c r="AH17" s="1183"/>
      <c r="AI17" s="1183"/>
      <c r="AJ17" s="1184"/>
      <c r="AK17" s="1184"/>
      <c r="AL17" s="1185">
        <v>1</v>
      </c>
    </row>
    <row r="18" spans="1:38" ht="30" customHeight="1">
      <c r="A18" s="1181"/>
      <c r="B18" s="1189"/>
      <c r="C18" s="1190"/>
      <c r="D18" s="1181"/>
      <c r="E18" s="1181"/>
      <c r="F18" s="1181"/>
      <c r="G18" s="1181"/>
      <c r="H18" s="1181"/>
      <c r="I18" s="1182"/>
      <c r="J18" s="1181"/>
      <c r="K18" s="1181"/>
      <c r="L18" s="1181"/>
      <c r="M18" s="1181"/>
      <c r="N18" s="1181"/>
      <c r="O18" s="1182"/>
      <c r="P18" s="1189"/>
      <c r="Q18" s="1182"/>
      <c r="R18" s="1182"/>
      <c r="S18" s="1182"/>
      <c r="T18" s="1183"/>
      <c r="U18" s="1183"/>
      <c r="V18" s="1193"/>
      <c r="W18" s="1193"/>
      <c r="X18" s="1193"/>
      <c r="Y18" s="1183"/>
      <c r="Z18" s="1194"/>
      <c r="AA18" s="1183"/>
      <c r="AB18" s="1183"/>
      <c r="AC18" s="1183"/>
      <c r="AD18" s="1183"/>
      <c r="AE18" s="1183"/>
      <c r="AF18" s="1183"/>
      <c r="AG18" s="1183"/>
      <c r="AH18" s="1183"/>
      <c r="AI18" s="1183"/>
      <c r="AJ18" s="1184"/>
      <c r="AK18" s="1184"/>
      <c r="AL18" s="1185">
        <v>1</v>
      </c>
    </row>
    <row r="19" spans="1:38" ht="30" customHeight="1">
      <c r="A19" s="1181"/>
      <c r="B19" s="1189" t="s">
        <v>2979</v>
      </c>
      <c r="C19" s="1190"/>
      <c r="D19" s="1181"/>
      <c r="E19" s="1181"/>
      <c r="F19" s="1181"/>
      <c r="G19" s="1181"/>
      <c r="H19" s="1181"/>
      <c r="I19" s="1182"/>
      <c r="J19" s="1181"/>
      <c r="K19" s="1181"/>
      <c r="L19" s="1181"/>
      <c r="M19" s="1181"/>
      <c r="N19" s="1181"/>
      <c r="O19" s="1182"/>
      <c r="P19" s="1189"/>
      <c r="Q19" s="1182"/>
      <c r="R19" s="1182"/>
      <c r="S19" s="1182"/>
      <c r="T19" s="1183"/>
      <c r="U19" s="1183"/>
      <c r="V19" s="1193"/>
      <c r="W19" s="1193"/>
      <c r="X19" s="1193"/>
      <c r="Y19" s="1183"/>
      <c r="Z19" s="1194"/>
      <c r="AA19" s="1183"/>
      <c r="AB19" s="1183"/>
      <c r="AC19" s="1183"/>
      <c r="AD19" s="1183"/>
      <c r="AE19" s="1183"/>
      <c r="AF19" s="1183"/>
      <c r="AG19" s="1183"/>
      <c r="AH19" s="1183"/>
      <c r="AI19" s="1183"/>
      <c r="AJ19" s="1184"/>
      <c r="AK19" s="1184"/>
      <c r="AL19" s="1185">
        <v>1</v>
      </c>
    </row>
    <row r="20" spans="1:38" ht="30" customHeight="1">
      <c r="A20" s="1181"/>
      <c r="B20" s="1189" t="s">
        <v>2991</v>
      </c>
      <c r="C20" s="1190"/>
      <c r="D20" s="1181"/>
      <c r="E20" s="1181"/>
      <c r="F20" s="1181"/>
      <c r="G20" s="1181"/>
      <c r="H20" s="1181"/>
      <c r="I20" s="1182"/>
      <c r="J20" s="1181"/>
      <c r="K20" s="1181"/>
      <c r="L20" s="1181"/>
      <c r="M20" s="1181"/>
      <c r="N20" s="1181"/>
      <c r="O20" s="1182"/>
      <c r="P20" s="1189"/>
      <c r="Q20" s="1182"/>
      <c r="R20" s="1182"/>
      <c r="S20" s="1182"/>
      <c r="T20" s="1183"/>
      <c r="U20" s="1183"/>
      <c r="V20" s="1193"/>
      <c r="W20" s="1193"/>
      <c r="X20" s="1193"/>
      <c r="Y20" s="1183"/>
      <c r="Z20" s="1194"/>
      <c r="AA20" s="1183"/>
      <c r="AB20" s="1183"/>
      <c r="AC20" s="1183"/>
      <c r="AD20" s="1183"/>
      <c r="AE20" s="1183"/>
      <c r="AF20" s="1183"/>
      <c r="AG20" s="1183"/>
      <c r="AH20" s="1183"/>
      <c r="AI20" s="1183"/>
      <c r="AJ20" s="1184"/>
      <c r="AK20" s="1184"/>
      <c r="AL20" s="1185">
        <v>1</v>
      </c>
    </row>
    <row r="21" spans="1:38" ht="30" customHeight="1">
      <c r="A21" s="1181"/>
      <c r="B21" s="1189" t="s">
        <v>2998</v>
      </c>
      <c r="C21" s="1190"/>
      <c r="D21" s="1181"/>
      <c r="E21" s="1181"/>
      <c r="F21" s="1181"/>
      <c r="G21" s="1181"/>
      <c r="H21" s="1181"/>
      <c r="I21" s="1182"/>
      <c r="J21" s="1181"/>
      <c r="K21" s="1181"/>
      <c r="L21" s="1181"/>
      <c r="M21" s="1181"/>
      <c r="N21" s="1181"/>
      <c r="O21" s="1182"/>
      <c r="P21" s="1189"/>
      <c r="Q21" s="1182"/>
      <c r="R21" s="1182"/>
      <c r="S21" s="1182"/>
      <c r="T21" s="1183"/>
      <c r="U21" s="1183"/>
      <c r="V21" s="1193"/>
      <c r="W21" s="1193"/>
      <c r="X21" s="1193"/>
      <c r="Y21" s="1183"/>
      <c r="Z21" s="1194"/>
      <c r="AA21" s="1183"/>
      <c r="AB21" s="1183"/>
      <c r="AC21" s="1183"/>
      <c r="AD21" s="1183"/>
      <c r="AE21" s="1183"/>
      <c r="AF21" s="1183"/>
      <c r="AG21" s="1183"/>
      <c r="AH21" s="1183"/>
      <c r="AI21" s="1183"/>
      <c r="AJ21" s="1184"/>
      <c r="AK21" s="1184"/>
      <c r="AL21" s="1185">
        <v>1</v>
      </c>
    </row>
    <row r="22" spans="1:38" s="709" customFormat="1" ht="30" customHeight="1">
      <c r="A22" s="1181"/>
      <c r="B22" s="1189"/>
      <c r="C22" s="1190"/>
      <c r="D22" s="1181"/>
      <c r="E22" s="1181"/>
      <c r="F22" s="1181"/>
      <c r="G22" s="1181"/>
      <c r="H22" s="1181"/>
      <c r="I22" s="1182"/>
      <c r="J22" s="1181"/>
      <c r="K22" s="1181"/>
      <c r="L22" s="1181"/>
      <c r="M22" s="1181"/>
      <c r="N22" s="1181"/>
      <c r="O22" s="1182"/>
      <c r="P22" s="1189"/>
      <c r="Q22" s="1182"/>
      <c r="R22" s="1182"/>
      <c r="S22" s="1182"/>
      <c r="T22" s="1183"/>
      <c r="U22" s="1183"/>
      <c r="V22" s="1193"/>
      <c r="W22" s="1193"/>
      <c r="X22" s="1193"/>
      <c r="Y22" s="1183"/>
      <c r="Z22" s="1194"/>
      <c r="AA22" s="1183"/>
      <c r="AB22" s="1183"/>
      <c r="AC22" s="1183"/>
      <c r="AD22" s="1183"/>
      <c r="AE22" s="1183"/>
      <c r="AF22" s="1183"/>
      <c r="AG22" s="1183"/>
      <c r="AH22" s="1183"/>
      <c r="AI22" s="1183"/>
      <c r="AJ22" s="1184"/>
      <c r="AK22" s="1184"/>
      <c r="AL22" s="1185">
        <v>1</v>
      </c>
    </row>
    <row r="23" spans="1:38" s="709" customFormat="1" ht="30" customHeight="1">
      <c r="A23" s="1181"/>
      <c r="B23" s="1189" t="s">
        <v>2980</v>
      </c>
      <c r="C23" s="1190"/>
      <c r="D23" s="1181"/>
      <c r="E23" s="1181"/>
      <c r="F23" s="1181"/>
      <c r="G23" s="1181"/>
      <c r="H23" s="1181"/>
      <c r="I23" s="1182"/>
      <c r="J23" s="1181"/>
      <c r="K23" s="1181"/>
      <c r="L23" s="1181"/>
      <c r="M23" s="1181"/>
      <c r="N23" s="1181"/>
      <c r="O23" s="1182"/>
      <c r="P23" s="1189"/>
      <c r="Q23" s="1182"/>
      <c r="R23" s="1182"/>
      <c r="S23" s="1182"/>
      <c r="T23" s="1183"/>
      <c r="U23" s="1183"/>
      <c r="V23" s="1193"/>
      <c r="W23" s="1193"/>
      <c r="X23" s="1193"/>
      <c r="Y23" s="1183"/>
      <c r="Z23" s="1194"/>
      <c r="AA23" s="1183"/>
      <c r="AB23" s="1183"/>
      <c r="AC23" s="1183"/>
      <c r="AD23" s="1183"/>
      <c r="AE23" s="1183"/>
      <c r="AF23" s="1183"/>
      <c r="AG23" s="1183"/>
      <c r="AH23" s="1183"/>
      <c r="AI23" s="1183"/>
      <c r="AJ23" s="1184"/>
      <c r="AK23" s="1184"/>
      <c r="AL23" s="1185">
        <v>1</v>
      </c>
    </row>
    <row r="24" spans="1:38" s="709" customFormat="1" ht="30" customHeight="1">
      <c r="A24" s="1181"/>
      <c r="B24" s="1189" t="s">
        <v>2992</v>
      </c>
      <c r="C24" s="1190"/>
      <c r="D24" s="1181"/>
      <c r="E24" s="1181"/>
      <c r="F24" s="1181"/>
      <c r="G24" s="1181"/>
      <c r="H24" s="1181"/>
      <c r="I24" s="1182"/>
      <c r="J24" s="1181"/>
      <c r="K24" s="1181"/>
      <c r="L24" s="1181"/>
      <c r="M24" s="1181"/>
      <c r="N24" s="1181"/>
      <c r="O24" s="1182"/>
      <c r="P24" s="1189"/>
      <c r="Q24" s="1182"/>
      <c r="R24" s="1182"/>
      <c r="S24" s="1182"/>
      <c r="T24" s="1183"/>
      <c r="U24" s="1183"/>
      <c r="V24" s="1193"/>
      <c r="W24" s="1193"/>
      <c r="X24" s="1193"/>
      <c r="Y24" s="1183"/>
      <c r="Z24" s="1194"/>
      <c r="AA24" s="1183"/>
      <c r="AB24" s="1183"/>
      <c r="AC24" s="1183"/>
      <c r="AD24" s="1183"/>
      <c r="AE24" s="1183"/>
      <c r="AF24" s="1183"/>
      <c r="AG24" s="1183"/>
      <c r="AH24" s="1183"/>
      <c r="AI24" s="1183"/>
      <c r="AJ24" s="1184"/>
      <c r="AK24" s="1184"/>
      <c r="AL24" s="1185">
        <v>1</v>
      </c>
    </row>
    <row r="25" spans="1:38" s="709" customFormat="1" ht="30" customHeight="1">
      <c r="A25" s="1181"/>
      <c r="B25" s="1189" t="s">
        <v>2995</v>
      </c>
      <c r="C25" s="1190"/>
      <c r="D25" s="1181"/>
      <c r="E25" s="1181"/>
      <c r="F25" s="1181"/>
      <c r="G25" s="1181"/>
      <c r="H25" s="1181"/>
      <c r="I25" s="1182"/>
      <c r="J25" s="1181"/>
      <c r="K25" s="1181"/>
      <c r="L25" s="1181"/>
      <c r="M25" s="1181"/>
      <c r="N25" s="1181"/>
      <c r="O25" s="1182"/>
      <c r="P25" s="1189"/>
      <c r="Q25" s="1182"/>
      <c r="R25" s="1182"/>
      <c r="S25" s="1182"/>
      <c r="T25" s="1183"/>
      <c r="U25" s="1183"/>
      <c r="V25" s="1193"/>
      <c r="W25" s="1193"/>
      <c r="X25" s="1193"/>
      <c r="Y25" s="1183"/>
      <c r="Z25" s="1194"/>
      <c r="AA25" s="1183"/>
      <c r="AB25" s="1183"/>
      <c r="AC25" s="1183"/>
      <c r="AD25" s="1183"/>
      <c r="AE25" s="1183"/>
      <c r="AF25" s="1183"/>
      <c r="AG25" s="1183"/>
      <c r="AH25" s="1183"/>
      <c r="AI25" s="1183"/>
      <c r="AJ25" s="1184"/>
      <c r="AK25" s="1184"/>
      <c r="AL25" s="1185">
        <v>1</v>
      </c>
    </row>
    <row r="26" spans="1:38" s="709" customFormat="1" ht="30" customHeight="1">
      <c r="A26" s="1181"/>
      <c r="B26" s="1189" t="s">
        <v>2999</v>
      </c>
      <c r="C26" s="1190"/>
      <c r="D26" s="1181"/>
      <c r="E26" s="1181"/>
      <c r="F26" s="1181"/>
      <c r="G26" s="1181"/>
      <c r="H26" s="1181"/>
      <c r="I26" s="1182"/>
      <c r="J26" s="1181"/>
      <c r="K26" s="1181"/>
      <c r="L26" s="1181"/>
      <c r="M26" s="1181"/>
      <c r="N26" s="1181"/>
      <c r="O26" s="1182"/>
      <c r="P26" s="1189"/>
      <c r="Q26" s="1182"/>
      <c r="R26" s="1182"/>
      <c r="S26" s="1182"/>
      <c r="T26" s="1183"/>
      <c r="U26" s="1183"/>
      <c r="V26" s="1193"/>
      <c r="W26" s="1193"/>
      <c r="X26" s="1193"/>
      <c r="Y26" s="1183"/>
      <c r="Z26" s="1194"/>
      <c r="AA26" s="1183"/>
      <c r="AB26" s="1183"/>
      <c r="AC26" s="1183"/>
      <c r="AD26" s="1183"/>
      <c r="AE26" s="1183"/>
      <c r="AF26" s="1183"/>
      <c r="AG26" s="1183"/>
      <c r="AH26" s="1183"/>
      <c r="AI26" s="1183"/>
      <c r="AJ26" s="1184"/>
      <c r="AK26" s="1184"/>
      <c r="AL26" s="1185">
        <v>1</v>
      </c>
    </row>
    <row r="27" spans="1:38" s="709" customFormat="1" ht="30" customHeight="1">
      <c r="A27" s="1181"/>
      <c r="B27" s="1189" t="s">
        <v>3000</v>
      </c>
      <c r="C27" s="1190"/>
      <c r="D27" s="1181"/>
      <c r="E27" s="1181"/>
      <c r="F27" s="1181"/>
      <c r="G27" s="1181"/>
      <c r="H27" s="1181"/>
      <c r="I27" s="1182"/>
      <c r="J27" s="1181"/>
      <c r="K27" s="1181"/>
      <c r="L27" s="1181"/>
      <c r="M27" s="1181"/>
      <c r="N27" s="1181"/>
      <c r="O27" s="1182"/>
      <c r="P27" s="1189"/>
      <c r="Q27" s="1182"/>
      <c r="R27" s="1182"/>
      <c r="S27" s="1182"/>
      <c r="T27" s="1183"/>
      <c r="U27" s="1183"/>
      <c r="V27" s="1193"/>
      <c r="W27" s="1193"/>
      <c r="X27" s="1193"/>
      <c r="Y27" s="1183"/>
      <c r="Z27" s="1194"/>
      <c r="AA27" s="1183"/>
      <c r="AB27" s="1183"/>
      <c r="AC27" s="1183"/>
      <c r="AD27" s="1183"/>
      <c r="AE27" s="1183"/>
      <c r="AF27" s="1183"/>
      <c r="AG27" s="1183"/>
      <c r="AH27" s="1183"/>
      <c r="AI27" s="1183"/>
      <c r="AJ27" s="1184"/>
      <c r="AK27" s="1184"/>
      <c r="AL27" s="1185">
        <v>1</v>
      </c>
    </row>
    <row r="28" spans="1:38" s="709" customFormat="1" ht="30" customHeight="1">
      <c r="A28" s="1181"/>
      <c r="B28" s="1189" t="s">
        <v>3001</v>
      </c>
      <c r="C28" s="1190"/>
      <c r="D28" s="1181"/>
      <c r="E28" s="1181"/>
      <c r="F28" s="1181"/>
      <c r="G28" s="1181"/>
      <c r="H28" s="1181"/>
      <c r="I28" s="1182"/>
      <c r="J28" s="1181"/>
      <c r="K28" s="1181"/>
      <c r="L28" s="1181"/>
      <c r="M28" s="1181"/>
      <c r="N28" s="1181"/>
      <c r="O28" s="1182"/>
      <c r="P28" s="1189"/>
      <c r="Q28" s="1182"/>
      <c r="R28" s="1182"/>
      <c r="S28" s="1182"/>
      <c r="T28" s="1183"/>
      <c r="U28" s="1183"/>
      <c r="V28" s="1193"/>
      <c r="W28" s="1193"/>
      <c r="X28" s="1193"/>
      <c r="Y28" s="1183"/>
      <c r="Z28" s="1194"/>
      <c r="AA28" s="1183"/>
      <c r="AB28" s="1183"/>
      <c r="AC28" s="1183"/>
      <c r="AD28" s="1183"/>
      <c r="AE28" s="1183"/>
      <c r="AF28" s="1183"/>
      <c r="AG28" s="1183"/>
      <c r="AH28" s="1183"/>
      <c r="AI28" s="1183"/>
      <c r="AJ28" s="1184"/>
      <c r="AK28" s="1184"/>
      <c r="AL28" s="1185">
        <v>1</v>
      </c>
    </row>
    <row r="29" spans="1:38" s="709" customFormat="1" ht="30" customHeight="1">
      <c r="A29" s="1181"/>
      <c r="B29" s="1189" t="s">
        <v>3002</v>
      </c>
      <c r="C29" s="1190"/>
      <c r="D29" s="1181"/>
      <c r="E29" s="1181"/>
      <c r="F29" s="1181"/>
      <c r="G29" s="1181"/>
      <c r="H29" s="1181"/>
      <c r="I29" s="1182"/>
      <c r="J29" s="1181"/>
      <c r="K29" s="1181"/>
      <c r="L29" s="1181"/>
      <c r="M29" s="1181"/>
      <c r="N29" s="1181"/>
      <c r="O29" s="1182"/>
      <c r="P29" s="1189"/>
      <c r="Q29" s="1182"/>
      <c r="R29" s="1182"/>
      <c r="S29" s="1182"/>
      <c r="T29" s="1183"/>
      <c r="U29" s="1183"/>
      <c r="V29" s="1193"/>
      <c r="W29" s="1193"/>
      <c r="X29" s="1193"/>
      <c r="Y29" s="1183"/>
      <c r="Z29" s="1194"/>
      <c r="AA29" s="1183"/>
      <c r="AB29" s="1183"/>
      <c r="AC29" s="1183"/>
      <c r="AD29" s="1183"/>
      <c r="AE29" s="1183"/>
      <c r="AF29" s="1183"/>
      <c r="AG29" s="1183"/>
      <c r="AH29" s="1183"/>
      <c r="AI29" s="1183"/>
      <c r="AJ29" s="1184"/>
      <c r="AK29" s="1184"/>
      <c r="AL29" s="1185">
        <v>1</v>
      </c>
    </row>
    <row r="30" spans="1:38" s="709" customFormat="1" ht="30" customHeight="1">
      <c r="A30" s="1181"/>
      <c r="B30" s="1189"/>
      <c r="C30" s="1190"/>
      <c r="D30" s="1181"/>
      <c r="E30" s="1181"/>
      <c r="F30" s="1181"/>
      <c r="G30" s="1181"/>
      <c r="H30" s="1181"/>
      <c r="I30" s="1182"/>
      <c r="J30" s="1181"/>
      <c r="K30" s="1181"/>
      <c r="L30" s="1181"/>
      <c r="M30" s="1181"/>
      <c r="N30" s="1181"/>
      <c r="O30" s="1182"/>
      <c r="P30" s="1189"/>
      <c r="Q30" s="1182"/>
      <c r="R30" s="1182"/>
      <c r="S30" s="1182"/>
      <c r="T30" s="1183"/>
      <c r="U30" s="1183"/>
      <c r="V30" s="1193"/>
      <c r="W30" s="1193"/>
      <c r="X30" s="1193"/>
      <c r="Y30" s="1183"/>
      <c r="Z30" s="1194"/>
      <c r="AA30" s="1183"/>
      <c r="AB30" s="1183"/>
      <c r="AC30" s="1183"/>
      <c r="AD30" s="1183"/>
      <c r="AE30" s="1183"/>
      <c r="AF30" s="1183"/>
      <c r="AG30" s="1183"/>
      <c r="AH30" s="1183"/>
      <c r="AI30" s="1183"/>
      <c r="AJ30" s="1184"/>
      <c r="AK30" s="1184"/>
      <c r="AL30" s="1185">
        <v>1</v>
      </c>
    </row>
    <row r="31" spans="1:38" s="709" customFormat="1" ht="30" customHeight="1">
      <c r="A31" s="1181"/>
      <c r="B31" s="1189" t="s">
        <v>2981</v>
      </c>
      <c r="C31" s="1190"/>
      <c r="D31" s="1181"/>
      <c r="E31" s="1181"/>
      <c r="F31" s="1181"/>
      <c r="G31" s="1181"/>
      <c r="H31" s="1181"/>
      <c r="I31" s="1182"/>
      <c r="J31" s="1181"/>
      <c r="K31" s="1181"/>
      <c r="L31" s="1181"/>
      <c r="M31" s="1181"/>
      <c r="N31" s="1181"/>
      <c r="O31" s="1182"/>
      <c r="P31" s="1189"/>
      <c r="Q31" s="1182"/>
      <c r="R31" s="1182"/>
      <c r="S31" s="1182"/>
      <c r="T31" s="1183"/>
      <c r="U31" s="1183"/>
      <c r="V31" s="1193"/>
      <c r="W31" s="1193"/>
      <c r="X31" s="1193"/>
      <c r="Y31" s="1183"/>
      <c r="Z31" s="1194"/>
      <c r="AA31" s="1183"/>
      <c r="AB31" s="1183"/>
      <c r="AC31" s="1183"/>
      <c r="AD31" s="1183"/>
      <c r="AE31" s="1183"/>
      <c r="AF31" s="1183"/>
      <c r="AG31" s="1183"/>
      <c r="AH31" s="1183"/>
      <c r="AI31" s="1183"/>
      <c r="AJ31" s="1184"/>
      <c r="AK31" s="1184"/>
      <c r="AL31" s="1185">
        <v>1</v>
      </c>
    </row>
    <row r="32" spans="1:38" s="709" customFormat="1" ht="30" customHeight="1">
      <c r="A32" s="1181"/>
      <c r="B32" s="1189" t="s">
        <v>2993</v>
      </c>
      <c r="C32" s="1190"/>
      <c r="D32" s="1181"/>
      <c r="E32" s="1181"/>
      <c r="F32" s="1181"/>
      <c r="G32" s="1181"/>
      <c r="H32" s="1181"/>
      <c r="I32" s="1182"/>
      <c r="J32" s="1181"/>
      <c r="K32" s="1181"/>
      <c r="L32" s="1181"/>
      <c r="M32" s="1181"/>
      <c r="N32" s="1181"/>
      <c r="O32" s="1182"/>
      <c r="P32" s="1189"/>
      <c r="Q32" s="1182"/>
      <c r="R32" s="1182"/>
      <c r="S32" s="1182"/>
      <c r="T32" s="1183"/>
      <c r="U32" s="1183"/>
      <c r="V32" s="1193"/>
      <c r="W32" s="1193"/>
      <c r="X32" s="1193"/>
      <c r="Y32" s="1183"/>
      <c r="Z32" s="1194"/>
      <c r="AA32" s="1183"/>
      <c r="AB32" s="1183"/>
      <c r="AC32" s="1183"/>
      <c r="AD32" s="1183"/>
      <c r="AE32" s="1183"/>
      <c r="AF32" s="1183"/>
      <c r="AG32" s="1183"/>
      <c r="AH32" s="1183"/>
      <c r="AI32" s="1183"/>
      <c r="AJ32" s="1184"/>
      <c r="AK32" s="1184"/>
      <c r="AL32" s="1185">
        <v>1</v>
      </c>
    </row>
    <row r="33" spans="1:38" s="709" customFormat="1" ht="30" customHeight="1">
      <c r="A33" s="1181"/>
      <c r="B33" s="1189"/>
      <c r="C33" s="1190"/>
      <c r="D33" s="1181"/>
      <c r="E33" s="1181"/>
      <c r="F33" s="1181"/>
      <c r="G33" s="1181"/>
      <c r="H33" s="1181"/>
      <c r="I33" s="1182"/>
      <c r="J33" s="1181"/>
      <c r="K33" s="1181"/>
      <c r="L33" s="1181"/>
      <c r="M33" s="1181"/>
      <c r="N33" s="1181"/>
      <c r="O33" s="1182"/>
      <c r="P33" s="1189"/>
      <c r="Q33" s="1182"/>
      <c r="R33" s="1182"/>
      <c r="S33" s="1182"/>
      <c r="T33" s="1183"/>
      <c r="U33" s="1183"/>
      <c r="V33" s="1193"/>
      <c r="W33" s="1193"/>
      <c r="X33" s="1193"/>
      <c r="Y33" s="1183"/>
      <c r="Z33" s="1194"/>
      <c r="AA33" s="1183"/>
      <c r="AB33" s="1183"/>
      <c r="AC33" s="1183"/>
      <c r="AD33" s="1183"/>
      <c r="AE33" s="1183"/>
      <c r="AF33" s="1183"/>
      <c r="AG33" s="1183"/>
      <c r="AH33" s="1183"/>
      <c r="AI33" s="1183"/>
      <c r="AJ33" s="1184"/>
      <c r="AK33" s="1184"/>
      <c r="AL33" s="1185">
        <v>1</v>
      </c>
    </row>
    <row r="34" spans="1:38" s="709" customFormat="1" ht="30" customHeight="1">
      <c r="A34" s="1181"/>
      <c r="B34" s="1189" t="s">
        <v>2982</v>
      </c>
      <c r="C34" s="1190"/>
      <c r="D34" s="1181"/>
      <c r="E34" s="1181"/>
      <c r="F34" s="1181"/>
      <c r="G34" s="1181"/>
      <c r="H34" s="1181"/>
      <c r="I34" s="1182"/>
      <c r="J34" s="1181"/>
      <c r="K34" s="1181"/>
      <c r="L34" s="1181"/>
      <c r="M34" s="1181"/>
      <c r="N34" s="1181"/>
      <c r="O34" s="1182"/>
      <c r="P34" s="1189"/>
      <c r="Q34" s="1182"/>
      <c r="R34" s="1182"/>
      <c r="S34" s="1182"/>
      <c r="T34" s="1183"/>
      <c r="U34" s="1183"/>
      <c r="V34" s="1193"/>
      <c r="W34" s="1193"/>
      <c r="X34" s="1193"/>
      <c r="Y34" s="1183"/>
      <c r="Z34" s="1194"/>
      <c r="AA34" s="1183"/>
      <c r="AB34" s="1183"/>
      <c r="AC34" s="1183"/>
      <c r="AD34" s="1183"/>
      <c r="AE34" s="1183"/>
      <c r="AF34" s="1183"/>
      <c r="AG34" s="1183"/>
      <c r="AH34" s="1183"/>
      <c r="AI34" s="1183"/>
      <c r="AJ34" s="1184"/>
      <c r="AK34" s="1184"/>
      <c r="AL34" s="1185">
        <v>1</v>
      </c>
    </row>
    <row r="35" spans="1:38" s="709" customFormat="1" ht="30" customHeight="1">
      <c r="A35" s="1181"/>
      <c r="B35" s="1189" t="s">
        <v>2983</v>
      </c>
      <c r="C35" s="1190"/>
      <c r="D35" s="1181"/>
      <c r="E35" s="1181"/>
      <c r="F35" s="1181"/>
      <c r="G35" s="1181"/>
      <c r="H35" s="1181"/>
      <c r="I35" s="1182"/>
      <c r="J35" s="1181"/>
      <c r="K35" s="1181"/>
      <c r="L35" s="1181"/>
      <c r="M35" s="1181"/>
      <c r="N35" s="1181"/>
      <c r="O35" s="1182"/>
      <c r="P35" s="1189"/>
      <c r="Q35" s="1182"/>
      <c r="R35" s="1182"/>
      <c r="S35" s="1182"/>
      <c r="T35" s="1183"/>
      <c r="U35" s="1183"/>
      <c r="V35" s="1193"/>
      <c r="W35" s="1193"/>
      <c r="X35" s="1193"/>
      <c r="Y35" s="1183"/>
      <c r="Z35" s="1194"/>
      <c r="AA35" s="1183"/>
      <c r="AB35" s="1183"/>
      <c r="AC35" s="1183"/>
      <c r="AD35" s="1183"/>
      <c r="AE35" s="1183"/>
      <c r="AF35" s="1183"/>
      <c r="AG35" s="1183"/>
      <c r="AH35" s="1183"/>
      <c r="AI35" s="1183"/>
      <c r="AJ35" s="1184"/>
      <c r="AK35" s="1184"/>
      <c r="AL35" s="1185">
        <v>1</v>
      </c>
    </row>
    <row r="36" spans="1:38" s="709" customFormat="1" ht="30" customHeight="1">
      <c r="A36" s="1181"/>
      <c r="B36" s="1189" t="s">
        <v>2984</v>
      </c>
      <c r="C36" s="1190"/>
      <c r="D36" s="1181"/>
      <c r="E36" s="1181"/>
      <c r="F36" s="1181"/>
      <c r="G36" s="1181"/>
      <c r="H36" s="1181"/>
      <c r="I36" s="1182"/>
      <c r="J36" s="1181"/>
      <c r="K36" s="1181"/>
      <c r="L36" s="1181"/>
      <c r="M36" s="1181"/>
      <c r="N36" s="1181"/>
      <c r="O36" s="1182"/>
      <c r="P36" s="1189"/>
      <c r="Q36" s="1182"/>
      <c r="R36" s="1182"/>
      <c r="S36" s="1182"/>
      <c r="T36" s="1183"/>
      <c r="U36" s="1183"/>
      <c r="V36" s="1193"/>
      <c r="W36" s="1193"/>
      <c r="X36" s="1193"/>
      <c r="Y36" s="1183"/>
      <c r="Z36" s="1194"/>
      <c r="AA36" s="1183"/>
      <c r="AB36" s="1183"/>
      <c r="AC36" s="1183"/>
      <c r="AD36" s="1183"/>
      <c r="AE36" s="1183"/>
      <c r="AF36" s="1183"/>
      <c r="AG36" s="1183"/>
      <c r="AH36" s="1183"/>
      <c r="AI36" s="1183"/>
      <c r="AJ36" s="1184"/>
      <c r="AK36" s="1184"/>
      <c r="AL36" s="1185">
        <v>1</v>
      </c>
    </row>
    <row r="37" spans="1:38" s="709" customFormat="1" ht="30" customHeight="1">
      <c r="A37" s="1181"/>
      <c r="B37" s="1189" t="s">
        <v>2985</v>
      </c>
      <c r="C37" s="1190"/>
      <c r="D37" s="1181"/>
      <c r="E37" s="1181"/>
      <c r="F37" s="1181"/>
      <c r="G37" s="1181"/>
      <c r="H37" s="1181"/>
      <c r="I37" s="1182"/>
      <c r="J37" s="1181"/>
      <c r="K37" s="1181"/>
      <c r="L37" s="1181"/>
      <c r="M37" s="1181"/>
      <c r="N37" s="1181"/>
      <c r="O37" s="1182"/>
      <c r="P37" s="1189"/>
      <c r="Q37" s="1182"/>
      <c r="R37" s="1182"/>
      <c r="S37" s="1182"/>
      <c r="T37" s="1183"/>
      <c r="U37" s="1183"/>
      <c r="V37" s="1193"/>
      <c r="W37" s="1193"/>
      <c r="X37" s="1193"/>
      <c r="Y37" s="1183"/>
      <c r="Z37" s="1194"/>
      <c r="AA37" s="1183"/>
      <c r="AB37" s="1183"/>
      <c r="AC37" s="1183"/>
      <c r="AD37" s="1183"/>
      <c r="AE37" s="1183"/>
      <c r="AF37" s="1183"/>
      <c r="AG37" s="1183"/>
      <c r="AH37" s="1183"/>
      <c r="AI37" s="1183"/>
      <c r="AJ37" s="1184"/>
      <c r="AK37" s="1184"/>
      <c r="AL37" s="1185">
        <v>1</v>
      </c>
    </row>
    <row r="38" spans="1:38" s="709" customFormat="1" ht="30" customHeight="1">
      <c r="A38" s="1181"/>
      <c r="B38" s="1189"/>
      <c r="C38" s="1190"/>
      <c r="D38" s="1181"/>
      <c r="E38" s="1181"/>
      <c r="F38" s="1181"/>
      <c r="G38" s="1181"/>
      <c r="H38" s="1181"/>
      <c r="I38" s="1182"/>
      <c r="J38" s="1181"/>
      <c r="K38" s="1181"/>
      <c r="L38" s="1181"/>
      <c r="M38" s="1181"/>
      <c r="N38" s="1181"/>
      <c r="O38" s="1182"/>
      <c r="P38" s="1189"/>
      <c r="Q38" s="1182"/>
      <c r="R38" s="1182"/>
      <c r="S38" s="1182"/>
      <c r="T38" s="1183"/>
      <c r="U38" s="1183"/>
      <c r="V38" s="1193"/>
      <c r="W38" s="1193"/>
      <c r="X38" s="1193"/>
      <c r="Y38" s="1183"/>
      <c r="Z38" s="1194"/>
      <c r="AA38" s="1183"/>
      <c r="AB38" s="1183"/>
      <c r="AC38" s="1183"/>
      <c r="AD38" s="1183"/>
      <c r="AE38" s="1183"/>
      <c r="AF38" s="1183"/>
      <c r="AG38" s="1183"/>
      <c r="AH38" s="1183"/>
      <c r="AI38" s="1183"/>
      <c r="AJ38" s="1184"/>
      <c r="AK38" s="1184"/>
      <c r="AL38" s="1185">
        <v>1</v>
      </c>
    </row>
    <row r="39" spans="1:38" s="709" customFormat="1" ht="30" customHeight="1">
      <c r="A39" s="1181"/>
      <c r="B39" s="1189" t="s">
        <v>2986</v>
      </c>
      <c r="C39" s="1190"/>
      <c r="D39" s="1181"/>
      <c r="E39" s="1181"/>
      <c r="F39" s="1181"/>
      <c r="G39" s="1181"/>
      <c r="H39" s="1181"/>
      <c r="I39" s="1182"/>
      <c r="J39" s="1181"/>
      <c r="K39" s="1181"/>
      <c r="L39" s="1181"/>
      <c r="M39" s="1181"/>
      <c r="N39" s="1181"/>
      <c r="O39" s="1182"/>
      <c r="P39" s="1189"/>
      <c r="Q39" s="1182"/>
      <c r="R39" s="1182"/>
      <c r="S39" s="1182"/>
      <c r="T39" s="1183"/>
      <c r="U39" s="1183"/>
      <c r="V39" s="1193"/>
      <c r="W39" s="1193"/>
      <c r="X39" s="1193"/>
      <c r="Y39" s="1183"/>
      <c r="Z39" s="1194"/>
      <c r="AA39" s="1183"/>
      <c r="AB39" s="1183"/>
      <c r="AC39" s="1183"/>
      <c r="AD39" s="1183"/>
      <c r="AE39" s="1183"/>
      <c r="AF39" s="1183"/>
      <c r="AG39" s="1183"/>
      <c r="AH39" s="1183"/>
      <c r="AI39" s="1183"/>
      <c r="AJ39" s="1184"/>
      <c r="AK39" s="1184"/>
      <c r="AL39" s="1185">
        <v>1</v>
      </c>
    </row>
    <row r="40" spans="1:38" s="709" customFormat="1" ht="30" customHeight="1">
      <c r="A40" s="1181"/>
      <c r="B40" s="1189" t="s">
        <v>2996</v>
      </c>
      <c r="C40" s="1190"/>
      <c r="D40" s="1181"/>
      <c r="E40" s="1181"/>
      <c r="F40" s="1181"/>
      <c r="G40" s="1181"/>
      <c r="H40" s="1181"/>
      <c r="I40" s="1182"/>
      <c r="J40" s="1181"/>
      <c r="K40" s="1181"/>
      <c r="L40" s="1181"/>
      <c r="M40" s="1181"/>
      <c r="N40" s="1181"/>
      <c r="O40" s="1182"/>
      <c r="P40" s="1189"/>
      <c r="Q40" s="1182"/>
      <c r="R40" s="1182"/>
      <c r="S40" s="1182"/>
      <c r="T40" s="1183"/>
      <c r="U40" s="1183"/>
      <c r="V40" s="1193"/>
      <c r="W40" s="1193"/>
      <c r="X40" s="1193"/>
      <c r="Y40" s="1183"/>
      <c r="Z40" s="1194"/>
      <c r="AA40" s="1183"/>
      <c r="AB40" s="1183"/>
      <c r="AC40" s="1183"/>
      <c r="AD40" s="1183"/>
      <c r="AE40" s="1183"/>
      <c r="AF40" s="1183"/>
      <c r="AG40" s="1183"/>
      <c r="AH40" s="1183"/>
      <c r="AI40" s="1183"/>
      <c r="AJ40" s="1184"/>
      <c r="AK40" s="1184"/>
      <c r="AL40" s="1185">
        <v>1</v>
      </c>
    </row>
    <row r="41" spans="1:38" s="709" customFormat="1" ht="30" customHeight="1">
      <c r="A41" s="1181"/>
      <c r="B41" s="1189" t="s">
        <v>2997</v>
      </c>
      <c r="C41" s="1190"/>
      <c r="D41" s="1181"/>
      <c r="E41" s="1181"/>
      <c r="F41" s="1181"/>
      <c r="G41" s="1181"/>
      <c r="H41" s="1181"/>
      <c r="I41" s="1182"/>
      <c r="J41" s="1181"/>
      <c r="K41" s="1181"/>
      <c r="L41" s="1181"/>
      <c r="M41" s="1181"/>
      <c r="N41" s="1181"/>
      <c r="O41" s="1182"/>
      <c r="P41" s="1189"/>
      <c r="Q41" s="1182"/>
      <c r="R41" s="1182"/>
      <c r="S41" s="1182"/>
      <c r="T41" s="1183"/>
      <c r="U41" s="1183"/>
      <c r="V41" s="1193"/>
      <c r="W41" s="1193"/>
      <c r="X41" s="1193"/>
      <c r="Y41" s="1183"/>
      <c r="Z41" s="1194"/>
      <c r="AA41" s="1183"/>
      <c r="AB41" s="1183"/>
      <c r="AC41" s="1183"/>
      <c r="AD41" s="1183"/>
      <c r="AE41" s="1183"/>
      <c r="AF41" s="1183"/>
      <c r="AG41" s="1183"/>
      <c r="AH41" s="1183"/>
      <c r="AI41" s="1183"/>
      <c r="AJ41" s="1184"/>
      <c r="AK41" s="1184"/>
      <c r="AL41" s="1185">
        <v>1</v>
      </c>
    </row>
    <row r="42" spans="1:38" s="709" customFormat="1" ht="30" customHeight="1">
      <c r="A42" s="1181"/>
      <c r="B42" s="1189" t="s">
        <v>3003</v>
      </c>
      <c r="C42" s="1190"/>
      <c r="D42" s="1181"/>
      <c r="E42" s="1181"/>
      <c r="F42" s="1181"/>
      <c r="G42" s="1181"/>
      <c r="H42" s="1181"/>
      <c r="I42" s="1182"/>
      <c r="J42" s="1181"/>
      <c r="K42" s="1181"/>
      <c r="L42" s="1181"/>
      <c r="M42" s="1181"/>
      <c r="N42" s="1181"/>
      <c r="O42" s="1182"/>
      <c r="P42" s="1189"/>
      <c r="Q42" s="1182"/>
      <c r="R42" s="1182"/>
      <c r="S42" s="1182"/>
      <c r="T42" s="1183"/>
      <c r="U42" s="1183"/>
      <c r="V42" s="1193"/>
      <c r="W42" s="1193"/>
      <c r="X42" s="1193"/>
      <c r="Y42" s="1183"/>
      <c r="Z42" s="1194"/>
      <c r="AA42" s="1183"/>
      <c r="AB42" s="1183"/>
      <c r="AC42" s="1183"/>
      <c r="AD42" s="1183"/>
      <c r="AE42" s="1183"/>
      <c r="AF42" s="1183"/>
      <c r="AG42" s="1183"/>
      <c r="AH42" s="1183"/>
      <c r="AI42" s="1183"/>
      <c r="AJ42" s="1184"/>
      <c r="AK42" s="1184"/>
      <c r="AL42" s="1185">
        <v>1</v>
      </c>
    </row>
    <row r="43" spans="1:38" s="709" customFormat="1" ht="30" customHeight="1">
      <c r="A43" s="1181"/>
      <c r="B43" s="1189" t="s">
        <v>3004</v>
      </c>
      <c r="C43" s="1190"/>
      <c r="D43" s="1181"/>
      <c r="E43" s="1181"/>
      <c r="F43" s="1181"/>
      <c r="G43" s="1181"/>
      <c r="H43" s="1181"/>
      <c r="I43" s="1182"/>
      <c r="J43" s="1181"/>
      <c r="K43" s="1181"/>
      <c r="L43" s="1181"/>
      <c r="M43" s="1181"/>
      <c r="N43" s="1181"/>
      <c r="O43" s="1182"/>
      <c r="P43" s="1189"/>
      <c r="Q43" s="1182"/>
      <c r="R43" s="1182"/>
      <c r="S43" s="1182"/>
      <c r="T43" s="1183"/>
      <c r="U43" s="1183"/>
      <c r="V43" s="1193"/>
      <c r="W43" s="1193"/>
      <c r="X43" s="1193"/>
      <c r="Y43" s="1183"/>
      <c r="Z43" s="1194"/>
      <c r="AA43" s="1183"/>
      <c r="AB43" s="1183"/>
      <c r="AC43" s="1183"/>
      <c r="AD43" s="1183"/>
      <c r="AE43" s="1183"/>
      <c r="AF43" s="1183"/>
      <c r="AG43" s="1183"/>
      <c r="AH43" s="1183"/>
      <c r="AI43" s="1183"/>
      <c r="AJ43" s="1184"/>
      <c r="AK43" s="1184"/>
      <c r="AL43" s="1185">
        <v>1</v>
      </c>
    </row>
    <row r="44" spans="1:38" s="709" customFormat="1" ht="30" customHeight="1">
      <c r="A44" s="1181"/>
      <c r="B44" s="1189"/>
      <c r="C44" s="1190"/>
      <c r="D44" s="1181"/>
      <c r="E44" s="1181"/>
      <c r="F44" s="1181"/>
      <c r="G44" s="1181"/>
      <c r="H44" s="1181"/>
      <c r="I44" s="1182"/>
      <c r="J44" s="1181"/>
      <c r="K44" s="1181"/>
      <c r="L44" s="1181"/>
      <c r="M44" s="1181"/>
      <c r="N44" s="1181"/>
      <c r="O44" s="1182"/>
      <c r="P44" s="1189"/>
      <c r="Q44" s="1182"/>
      <c r="R44" s="1182"/>
      <c r="S44" s="1182"/>
      <c r="T44" s="1183"/>
      <c r="U44" s="1183"/>
      <c r="V44" s="1193"/>
      <c r="W44" s="1193"/>
      <c r="X44" s="1193"/>
      <c r="Y44" s="1183"/>
      <c r="Z44" s="1194"/>
      <c r="AA44" s="1183"/>
      <c r="AB44" s="1183"/>
      <c r="AC44" s="1183"/>
      <c r="AD44" s="1183"/>
      <c r="AE44" s="1183"/>
      <c r="AF44" s="1183"/>
      <c r="AG44" s="1183"/>
      <c r="AH44" s="1183"/>
      <c r="AI44" s="1183"/>
      <c r="AJ44" s="1184"/>
      <c r="AK44" s="1184"/>
      <c r="AL44" s="1185">
        <v>1</v>
      </c>
    </row>
    <row r="45" spans="1:38" s="709" customFormat="1" ht="30" customHeight="1">
      <c r="A45" s="1181"/>
      <c r="B45" s="1198" t="s">
        <v>2633</v>
      </c>
      <c r="C45" s="1199"/>
      <c r="D45" s="1200"/>
      <c r="E45" s="1200"/>
      <c r="F45" s="1200"/>
      <c r="G45" s="1201" t="s">
        <v>2634</v>
      </c>
      <c r="H45" s="1202"/>
      <c r="I45" s="1203"/>
      <c r="J45" s="1202"/>
      <c r="K45" s="1202"/>
      <c r="L45" s="1202"/>
      <c r="M45" s="1202"/>
      <c r="N45" s="1202"/>
      <c r="O45" s="1204"/>
      <c r="P45" s="1204"/>
      <c r="Q45" s="1204"/>
      <c r="R45" s="1204"/>
      <c r="S45" s="1204"/>
      <c r="T45" s="1183"/>
      <c r="U45" s="1183"/>
      <c r="V45" s="1193"/>
      <c r="W45" s="1197"/>
      <c r="X45" s="1193"/>
      <c r="Y45" s="1183"/>
      <c r="Z45" s="1194"/>
      <c r="AA45" s="1183"/>
      <c r="AB45" s="1183"/>
      <c r="AC45" s="1183"/>
      <c r="AD45" s="1183"/>
      <c r="AE45" s="1183"/>
      <c r="AF45" s="1183"/>
      <c r="AG45" s="1183"/>
      <c r="AH45" s="1183"/>
      <c r="AI45" s="1183"/>
      <c r="AJ45" s="1184"/>
      <c r="AK45" s="1184"/>
      <c r="AL45" s="1185">
        <v>1</v>
      </c>
    </row>
    <row r="46" spans="1:38" s="709" customFormat="1" ht="30" customHeight="1">
      <c r="A46" s="1181"/>
      <c r="B46" s="1189"/>
      <c r="C46" s="1190"/>
      <c r="D46" s="1181"/>
      <c r="E46" s="1181"/>
      <c r="F46" s="1181"/>
      <c r="G46" s="1181"/>
      <c r="H46" s="1181"/>
      <c r="I46" s="1182"/>
      <c r="J46" s="1181"/>
      <c r="K46" s="1181"/>
      <c r="L46" s="1181"/>
      <c r="M46" s="1181"/>
      <c r="N46" s="1181"/>
      <c r="O46" s="1182"/>
      <c r="P46" s="1189"/>
      <c r="Q46" s="1182"/>
      <c r="R46" s="1182"/>
      <c r="S46" s="1182"/>
      <c r="T46" s="1183"/>
      <c r="U46" s="1183"/>
      <c r="V46" s="1193"/>
      <c r="W46" s="1193"/>
      <c r="X46" s="1193"/>
      <c r="Y46" s="1183"/>
      <c r="Z46" s="1194"/>
      <c r="AA46" s="1183"/>
      <c r="AB46" s="1183"/>
      <c r="AC46" s="1183"/>
      <c r="AD46" s="1183"/>
      <c r="AE46" s="1183"/>
      <c r="AF46" s="1183"/>
      <c r="AG46" s="1183"/>
      <c r="AH46" s="1183"/>
      <c r="AI46" s="1183"/>
      <c r="AJ46" s="1184"/>
      <c r="AK46" s="1184"/>
      <c r="AL46" s="1185">
        <v>1</v>
      </c>
    </row>
    <row r="47" spans="1:38" s="709" customFormat="1" ht="30" customHeight="1">
      <c r="A47" s="1181"/>
      <c r="B47" s="1198" t="s">
        <v>3105</v>
      </c>
      <c r="C47" s="1199"/>
      <c r="D47" s="1200"/>
      <c r="E47" s="1200"/>
      <c r="F47" s="1200"/>
      <c r="G47" s="1201" t="s">
        <v>2655</v>
      </c>
      <c r="H47" s="1202"/>
      <c r="I47" s="1203"/>
      <c r="J47" s="1202"/>
      <c r="K47" s="1202"/>
      <c r="L47" s="1202"/>
      <c r="M47" s="1202"/>
      <c r="N47" s="1202"/>
      <c r="O47" s="1204"/>
      <c r="P47" s="1204"/>
      <c r="Q47" s="1204"/>
      <c r="R47" s="1204"/>
      <c r="S47" s="1204"/>
      <c r="T47" s="1183"/>
      <c r="U47" s="1183"/>
      <c r="V47" s="1193"/>
      <c r="W47" s="1197"/>
      <c r="X47" s="1193"/>
      <c r="Y47" s="1183"/>
      <c r="Z47" s="1194"/>
      <c r="AA47" s="1183"/>
      <c r="AB47" s="1183"/>
      <c r="AC47" s="1183"/>
      <c r="AD47" s="1183"/>
      <c r="AE47" s="1183"/>
      <c r="AF47" s="1183"/>
      <c r="AG47" s="1183"/>
      <c r="AH47" s="1183"/>
      <c r="AI47" s="1183"/>
      <c r="AJ47" s="1184"/>
      <c r="AK47" s="1184"/>
      <c r="AL47" s="1185">
        <v>1</v>
      </c>
    </row>
    <row r="48" spans="1:38" s="709" customFormat="1" ht="30" customHeight="1">
      <c r="A48" s="1181"/>
      <c r="B48" s="1189" t="s">
        <v>3106</v>
      </c>
      <c r="C48" s="1190"/>
      <c r="D48" s="1181"/>
      <c r="E48" s="1181"/>
      <c r="F48" s="1181"/>
      <c r="G48" s="1181"/>
      <c r="H48" s="1181"/>
      <c r="I48" s="1182"/>
      <c r="J48" s="1181"/>
      <c r="K48" s="1181"/>
      <c r="L48" s="1181"/>
      <c r="M48" s="1181"/>
      <c r="N48" s="1181"/>
      <c r="O48" s="1182"/>
      <c r="P48" s="1189"/>
      <c r="Q48" s="1182"/>
      <c r="R48" s="1182"/>
      <c r="S48" s="1182"/>
      <c r="T48" s="1183"/>
      <c r="U48" s="1183"/>
      <c r="V48" s="1193"/>
      <c r="W48" s="1193"/>
      <c r="X48" s="1193"/>
      <c r="Y48" s="1183"/>
      <c r="Z48" s="1194"/>
      <c r="AA48" s="1183"/>
      <c r="AB48" s="1183"/>
      <c r="AC48" s="1183"/>
      <c r="AD48" s="1183"/>
      <c r="AE48" s="1183"/>
      <c r="AF48" s="1183"/>
      <c r="AG48" s="1183"/>
      <c r="AH48" s="1183"/>
      <c r="AI48" s="1183"/>
      <c r="AJ48" s="1184"/>
      <c r="AK48" s="1184"/>
      <c r="AL48" s="1185">
        <v>1</v>
      </c>
    </row>
    <row r="49" spans="1:38" s="709" customFormat="1" ht="30" customHeight="1">
      <c r="A49" s="1181"/>
      <c r="B49" s="1189"/>
      <c r="C49" s="1190"/>
      <c r="D49" s="1181"/>
      <c r="E49" s="1181"/>
      <c r="F49" s="1181"/>
      <c r="G49" s="1181"/>
      <c r="H49" s="1181"/>
      <c r="I49" s="1182"/>
      <c r="J49" s="1181"/>
      <c r="K49" s="1181"/>
      <c r="L49" s="1181"/>
      <c r="M49" s="1181"/>
      <c r="N49" s="1181"/>
      <c r="O49" s="1182"/>
      <c r="P49" s="1189"/>
      <c r="Q49" s="1182"/>
      <c r="R49" s="1182"/>
      <c r="S49" s="1182"/>
      <c r="T49" s="1183"/>
      <c r="U49" s="1183"/>
      <c r="V49" s="1193"/>
      <c r="W49" s="1193"/>
      <c r="X49" s="1193"/>
      <c r="Y49" s="1183"/>
      <c r="Z49" s="1194"/>
      <c r="AA49" s="1183"/>
      <c r="AB49" s="1183"/>
      <c r="AC49" s="1183"/>
      <c r="AD49" s="1183"/>
      <c r="AE49" s="1183"/>
      <c r="AF49" s="1183"/>
      <c r="AG49" s="1183"/>
      <c r="AH49" s="1183"/>
      <c r="AI49" s="1183"/>
      <c r="AJ49" s="1184"/>
      <c r="AK49" s="1184"/>
      <c r="AL49" s="1185">
        <v>1</v>
      </c>
    </row>
    <row r="50" spans="1:38" s="709" customFormat="1" ht="30" customHeight="1">
      <c r="A50" s="1181"/>
      <c r="B50" s="1189" t="s">
        <v>2987</v>
      </c>
      <c r="C50" s="1190"/>
      <c r="D50" s="1181"/>
      <c r="E50" s="1181"/>
      <c r="F50" s="1181"/>
      <c r="G50" s="1181"/>
      <c r="H50" s="1181"/>
      <c r="I50" s="1182"/>
      <c r="J50" s="1181"/>
      <c r="K50" s="1181"/>
      <c r="L50" s="1181"/>
      <c r="M50" s="1181"/>
      <c r="N50" s="1181"/>
      <c r="O50" s="1182"/>
      <c r="P50" s="1189"/>
      <c r="Q50" s="1182"/>
      <c r="R50" s="1182"/>
      <c r="S50" s="1182"/>
      <c r="T50" s="1183"/>
      <c r="U50" s="1183"/>
      <c r="V50" s="1193"/>
      <c r="W50" s="1193"/>
      <c r="X50" s="1193"/>
      <c r="Y50" s="1183"/>
      <c r="Z50" s="1194"/>
      <c r="AA50" s="1183"/>
      <c r="AB50" s="1183"/>
      <c r="AC50" s="1183"/>
      <c r="AD50" s="1183"/>
      <c r="AE50" s="1183"/>
      <c r="AF50" s="1183"/>
      <c r="AG50" s="1183"/>
      <c r="AH50" s="1183"/>
      <c r="AI50" s="1183"/>
      <c r="AJ50" s="1184"/>
      <c r="AK50" s="1184"/>
      <c r="AL50" s="1185">
        <v>1</v>
      </c>
    </row>
    <row r="51" spans="1:38" s="709" customFormat="1" ht="30" customHeight="1">
      <c r="A51" s="1181"/>
      <c r="B51" s="1189" t="s">
        <v>2994</v>
      </c>
      <c r="C51" s="1190"/>
      <c r="D51" s="1181"/>
      <c r="E51" s="1181"/>
      <c r="F51" s="1181"/>
      <c r="G51" s="1181"/>
      <c r="H51" s="1181"/>
      <c r="I51" s="1182"/>
      <c r="J51" s="1181"/>
      <c r="K51" s="1181"/>
      <c r="L51" s="1181"/>
      <c r="M51" s="1181"/>
      <c r="N51" s="1181"/>
      <c r="O51" s="1182"/>
      <c r="P51" s="1189"/>
      <c r="Q51" s="1182"/>
      <c r="R51" s="1182"/>
      <c r="S51" s="1182"/>
      <c r="T51" s="1183"/>
      <c r="U51" s="1183"/>
      <c r="V51" s="1193"/>
      <c r="W51" s="1193"/>
      <c r="X51" s="1193"/>
      <c r="Y51" s="1183"/>
      <c r="Z51" s="1194"/>
      <c r="AA51" s="1183"/>
      <c r="AB51" s="1183"/>
      <c r="AC51" s="1183"/>
      <c r="AD51" s="1183"/>
      <c r="AE51" s="1183"/>
      <c r="AF51" s="1183"/>
      <c r="AG51" s="1183"/>
      <c r="AH51" s="1183"/>
      <c r="AI51" s="1183"/>
      <c r="AJ51" s="1184"/>
      <c r="AK51" s="1184"/>
      <c r="AL51" s="1185">
        <v>1</v>
      </c>
    </row>
    <row r="52" spans="1:38" s="709" customFormat="1" ht="30" customHeight="1">
      <c r="A52" s="1181"/>
      <c r="B52" s="1189"/>
      <c r="C52" s="1190"/>
      <c r="D52" s="1181"/>
      <c r="E52" s="1181"/>
      <c r="F52" s="1181"/>
      <c r="G52" s="1181"/>
      <c r="H52" s="1181"/>
      <c r="I52" s="1182"/>
      <c r="J52" s="1181"/>
      <c r="K52" s="1181"/>
      <c r="L52" s="1181"/>
      <c r="M52" s="1181"/>
      <c r="N52" s="1181"/>
      <c r="O52" s="1182"/>
      <c r="P52" s="1189"/>
      <c r="Q52" s="1182"/>
      <c r="R52" s="1182"/>
      <c r="S52" s="1182"/>
      <c r="T52" s="1183"/>
      <c r="U52" s="1183"/>
      <c r="V52" s="1193"/>
      <c r="W52" s="1193"/>
      <c r="X52" s="1193"/>
      <c r="Y52" s="1183"/>
      <c r="Z52" s="1194"/>
      <c r="AA52" s="1183"/>
      <c r="AB52" s="1183"/>
      <c r="AC52" s="1183"/>
      <c r="AD52" s="1183"/>
      <c r="AE52" s="1183"/>
      <c r="AF52" s="1183"/>
      <c r="AG52" s="1183"/>
      <c r="AH52" s="1183"/>
      <c r="AI52" s="1183"/>
      <c r="AJ52" s="1184"/>
      <c r="AK52" s="1184"/>
      <c r="AL52" s="1185">
        <v>1</v>
      </c>
    </row>
    <row r="53" spans="1:38" s="709" customFormat="1" ht="30" customHeight="1">
      <c r="A53" s="1181"/>
      <c r="B53" s="1189" t="s">
        <v>3064</v>
      </c>
      <c r="C53" s="1190"/>
      <c r="D53" s="1181"/>
      <c r="E53" s="1181"/>
      <c r="F53" s="1181"/>
      <c r="G53" s="1181"/>
      <c r="H53" s="1181"/>
      <c r="I53" s="1182"/>
      <c r="J53" s="1181"/>
      <c r="K53" s="1181"/>
      <c r="L53" s="1181"/>
      <c r="M53" s="1181"/>
      <c r="N53" s="1181"/>
      <c r="O53" s="1182"/>
      <c r="P53" s="1189"/>
      <c r="Q53" s="1182"/>
      <c r="R53" s="1182"/>
      <c r="S53" s="1182"/>
      <c r="T53" s="1183"/>
      <c r="U53" s="1183"/>
      <c r="V53" s="1193"/>
      <c r="W53" s="1193"/>
      <c r="X53" s="1193"/>
      <c r="Y53" s="1183"/>
      <c r="Z53" s="1194"/>
      <c r="AA53" s="1183"/>
      <c r="AB53" s="1183"/>
      <c r="AC53" s="1183"/>
      <c r="AD53" s="1183"/>
      <c r="AE53" s="1183"/>
      <c r="AF53" s="1183"/>
      <c r="AG53" s="1183"/>
      <c r="AH53" s="1183"/>
      <c r="AI53" s="1183"/>
      <c r="AJ53" s="1184"/>
      <c r="AK53" s="1184"/>
      <c r="AL53" s="1185">
        <v>1</v>
      </c>
    </row>
    <row r="54" spans="1:38" s="709" customFormat="1" ht="30" customHeight="1">
      <c r="A54" s="1181"/>
      <c r="B54" s="1189" t="s">
        <v>3065</v>
      </c>
      <c r="C54" s="1190"/>
      <c r="D54" s="1181"/>
      <c r="E54" s="1181"/>
      <c r="F54" s="1181"/>
      <c r="G54" s="1181"/>
      <c r="H54" s="1181"/>
      <c r="I54" s="1182"/>
      <c r="J54" s="1181"/>
      <c r="K54" s="1181"/>
      <c r="L54" s="1181"/>
      <c r="M54" s="1181"/>
      <c r="N54" s="1181"/>
      <c r="O54" s="1182"/>
      <c r="P54" s="1189"/>
      <c r="Q54" s="1182"/>
      <c r="R54" s="1182"/>
      <c r="S54" s="1182"/>
      <c r="T54" s="1183"/>
      <c r="U54" s="1183"/>
      <c r="V54" s="1193"/>
      <c r="W54" s="1193"/>
      <c r="X54" s="1193"/>
      <c r="Y54" s="1183"/>
      <c r="Z54" s="1194"/>
      <c r="AA54" s="1183"/>
      <c r="AB54" s="1183"/>
      <c r="AC54" s="1183"/>
      <c r="AD54" s="1183"/>
      <c r="AE54" s="1183"/>
      <c r="AF54" s="1183"/>
      <c r="AG54" s="1183"/>
      <c r="AH54" s="1183"/>
      <c r="AI54" s="1183"/>
      <c r="AJ54" s="1184"/>
      <c r="AK54" s="1184"/>
      <c r="AL54" s="1185">
        <v>1</v>
      </c>
    </row>
    <row r="55" spans="1:38" s="709" customFormat="1" ht="30" customHeight="1">
      <c r="A55" s="1181"/>
      <c r="B55" s="1189" t="s">
        <v>3066</v>
      </c>
      <c r="C55" s="1190"/>
      <c r="D55" s="1181"/>
      <c r="E55" s="1181"/>
      <c r="F55" s="1181"/>
      <c r="G55" s="1181"/>
      <c r="H55" s="1181"/>
      <c r="I55" s="1182"/>
      <c r="J55" s="1181"/>
      <c r="K55" s="1181"/>
      <c r="L55" s="1181"/>
      <c r="M55" s="1181"/>
      <c r="N55" s="1181"/>
      <c r="O55" s="1182"/>
      <c r="P55" s="1189"/>
      <c r="Q55" s="1182"/>
      <c r="R55" s="1182"/>
      <c r="S55" s="1182"/>
      <c r="T55" s="1183"/>
      <c r="U55" s="1183"/>
      <c r="V55" s="1193"/>
      <c r="W55" s="1193"/>
      <c r="X55" s="1193"/>
      <c r="Y55" s="1183"/>
      <c r="Z55" s="1194"/>
      <c r="AA55" s="1183"/>
      <c r="AB55" s="1183"/>
      <c r="AC55" s="1183"/>
      <c r="AD55" s="1183"/>
      <c r="AE55" s="1183"/>
      <c r="AF55" s="1183"/>
      <c r="AG55" s="1183"/>
      <c r="AH55" s="1183"/>
      <c r="AI55" s="1183"/>
      <c r="AJ55" s="1184"/>
      <c r="AK55" s="1184"/>
      <c r="AL55" s="1185">
        <v>1</v>
      </c>
    </row>
    <row r="56" spans="1:38" s="709" customFormat="1" ht="30" customHeight="1">
      <c r="A56" s="1181"/>
      <c r="B56" s="1205"/>
      <c r="C56" s="1411"/>
      <c r="D56" s="1412" t="s">
        <v>2635</v>
      </c>
      <c r="E56" s="1411"/>
      <c r="F56" s="1411"/>
      <c r="G56" s="1411"/>
      <c r="H56" s="1411"/>
      <c r="I56" s="1411"/>
      <c r="J56" s="1411"/>
      <c r="K56" s="1411"/>
      <c r="L56" s="1411"/>
      <c r="M56" s="1411"/>
      <c r="N56" s="1411"/>
      <c r="O56" s="1413"/>
      <c r="P56" s="1206"/>
      <c r="Q56" s="1206"/>
      <c r="R56" s="1206"/>
      <c r="S56" s="1206"/>
      <c r="T56" s="1207"/>
      <c r="U56" s="1207"/>
      <c r="V56" s="1207"/>
      <c r="W56" s="1207"/>
      <c r="X56" s="1207"/>
      <c r="Y56" s="1183"/>
      <c r="Z56" s="1194"/>
      <c r="AA56" s="1183"/>
      <c r="AB56" s="1183"/>
      <c r="AC56" s="1183"/>
      <c r="AD56" s="1183"/>
      <c r="AE56" s="1183"/>
      <c r="AF56" s="1183"/>
      <c r="AG56" s="1183"/>
      <c r="AH56" s="1183"/>
      <c r="AI56" s="1183"/>
      <c r="AJ56" s="1184"/>
      <c r="AK56" s="1184"/>
      <c r="AL56" s="1185">
        <v>1</v>
      </c>
    </row>
    <row r="57" spans="1:38" s="709" customFormat="1" ht="30" customHeight="1">
      <c r="A57" s="1181"/>
      <c r="B57" s="1189"/>
      <c r="C57" s="1190"/>
      <c r="D57" s="1181"/>
      <c r="E57" s="1181"/>
      <c r="F57" s="1181"/>
      <c r="G57" s="1181"/>
      <c r="H57" s="1181"/>
      <c r="I57" s="1182"/>
      <c r="J57" s="1181"/>
      <c r="K57" s="1181"/>
      <c r="L57" s="1181"/>
      <c r="M57" s="1181"/>
      <c r="N57" s="1181"/>
      <c r="O57" s="1182"/>
      <c r="P57" s="1189"/>
      <c r="Q57" s="1182"/>
      <c r="R57" s="1182"/>
      <c r="S57" s="1182"/>
      <c r="T57" s="1183"/>
      <c r="U57" s="1183"/>
      <c r="V57" s="1193"/>
      <c r="W57" s="1193"/>
      <c r="X57" s="1193"/>
      <c r="Y57" s="1183"/>
      <c r="Z57" s="1194"/>
      <c r="AA57" s="1183"/>
      <c r="AB57" s="1183"/>
      <c r="AC57" s="1183"/>
      <c r="AD57" s="1183"/>
      <c r="AE57" s="1183"/>
      <c r="AF57" s="1183"/>
      <c r="AG57" s="1183"/>
      <c r="AH57" s="1183"/>
      <c r="AI57" s="1183"/>
      <c r="AJ57" s="1184"/>
      <c r="AK57" s="1184"/>
      <c r="AL57" s="1185">
        <v>1</v>
      </c>
    </row>
    <row r="58" spans="1:38" s="709" customFormat="1" ht="30" customHeight="1">
      <c r="A58" s="1181"/>
      <c r="B58" s="1196" t="s">
        <v>3077</v>
      </c>
      <c r="C58" s="1190"/>
      <c r="D58" s="1181"/>
      <c r="E58" s="1181"/>
      <c r="F58" s="1181"/>
      <c r="G58" s="1181"/>
      <c r="H58" s="1181"/>
      <c r="I58" s="1182"/>
      <c r="J58" s="1181"/>
      <c r="K58" s="1181"/>
      <c r="L58" s="1181"/>
      <c r="M58" s="1181"/>
      <c r="N58" s="1181"/>
      <c r="O58" s="1182"/>
      <c r="P58" s="1189"/>
      <c r="Q58" s="1182"/>
      <c r="R58" s="1182"/>
      <c r="S58" s="1182"/>
      <c r="T58" s="1183"/>
      <c r="U58" s="1183"/>
      <c r="V58" s="1193"/>
      <c r="W58" s="1193"/>
      <c r="X58" s="1193"/>
      <c r="Y58" s="1183"/>
      <c r="Z58" s="1194"/>
      <c r="AA58" s="1183"/>
      <c r="AB58" s="1183"/>
      <c r="AC58" s="1183"/>
      <c r="AD58" s="1183"/>
      <c r="AE58" s="1183"/>
      <c r="AF58" s="1183"/>
      <c r="AG58" s="1183"/>
      <c r="AH58" s="1183"/>
      <c r="AI58" s="1183"/>
      <c r="AJ58" s="1184"/>
      <c r="AK58" s="1184"/>
      <c r="AL58" s="1185">
        <v>1</v>
      </c>
    </row>
    <row r="59" spans="1:38" s="709" customFormat="1" ht="30" customHeight="1">
      <c r="A59" s="1181"/>
      <c r="B59" s="1189"/>
      <c r="C59" s="1190"/>
      <c r="D59" s="1181"/>
      <c r="E59" s="1181"/>
      <c r="F59" s="1181"/>
      <c r="G59" s="1181"/>
      <c r="H59" s="1181"/>
      <c r="I59" s="1182"/>
      <c r="J59" s="1181"/>
      <c r="K59" s="1181"/>
      <c r="L59" s="1181"/>
      <c r="M59" s="1181"/>
      <c r="N59" s="1181"/>
      <c r="O59" s="1182"/>
      <c r="P59" s="1189"/>
      <c r="Q59" s="1182"/>
      <c r="R59" s="1182"/>
      <c r="S59" s="1182"/>
      <c r="T59" s="1183"/>
      <c r="U59" s="1183"/>
      <c r="V59" s="1193"/>
      <c r="W59" s="1193"/>
      <c r="X59" s="1193"/>
      <c r="Y59" s="1183"/>
      <c r="Z59" s="1194"/>
      <c r="AA59" s="1183"/>
      <c r="AB59" s="1183"/>
      <c r="AC59" s="1183"/>
      <c r="AD59" s="1183"/>
      <c r="AE59" s="1183"/>
      <c r="AF59" s="1183"/>
      <c r="AG59" s="1183"/>
      <c r="AH59" s="1183"/>
      <c r="AI59" s="1183"/>
      <c r="AJ59" s="1184"/>
      <c r="AK59" s="1184"/>
      <c r="AL59" s="1185">
        <v>1</v>
      </c>
    </row>
    <row r="60" spans="1:38" s="709" customFormat="1" ht="30" customHeight="1">
      <c r="A60" s="1181"/>
      <c r="B60" s="1214" t="s">
        <v>2636</v>
      </c>
      <c r="C60" s="1215"/>
      <c r="D60" s="1181"/>
      <c r="E60" s="1181"/>
      <c r="F60" s="1181"/>
      <c r="G60" s="1181"/>
      <c r="H60" s="1181"/>
      <c r="I60" s="1182"/>
      <c r="J60" s="1181"/>
      <c r="K60" s="1181"/>
      <c r="L60" s="1181"/>
      <c r="M60" s="1181"/>
      <c r="N60" s="1181"/>
      <c r="O60" s="1182"/>
      <c r="P60" s="1189"/>
      <c r="Q60" s="1182"/>
      <c r="R60" s="1182"/>
      <c r="S60" s="1182"/>
      <c r="T60" s="1183"/>
      <c r="U60" s="1183"/>
      <c r="V60" s="1193"/>
      <c r="W60" s="1193"/>
      <c r="X60" s="1193"/>
      <c r="Y60" s="1183"/>
      <c r="Z60" s="1194"/>
      <c r="AA60" s="1183"/>
      <c r="AB60" s="1183"/>
      <c r="AC60" s="1183"/>
      <c r="AD60" s="1183"/>
      <c r="AE60" s="1183"/>
      <c r="AF60" s="1183"/>
      <c r="AG60" s="1183"/>
      <c r="AH60" s="1183"/>
      <c r="AI60" s="1183"/>
      <c r="AJ60" s="1184"/>
      <c r="AK60" s="1184"/>
      <c r="AL60" s="1185">
        <v>1</v>
      </c>
    </row>
    <row r="61" spans="1:38" s="709" customFormat="1" ht="30" customHeight="1">
      <c r="A61" s="1181"/>
      <c r="B61" s="1213"/>
      <c r="C61" s="1214" t="s">
        <v>2637</v>
      </c>
      <c r="D61" s="1181"/>
      <c r="E61" s="1181"/>
      <c r="F61" s="1181"/>
      <c r="G61" s="1181"/>
      <c r="H61" s="1181"/>
      <c r="I61" s="1182"/>
      <c r="J61" s="1181"/>
      <c r="K61" s="1181"/>
      <c r="L61" s="1181"/>
      <c r="M61" s="1181"/>
      <c r="N61" s="1181"/>
      <c r="O61" s="1182"/>
      <c r="P61" s="1189"/>
      <c r="Q61" s="1182"/>
      <c r="R61" s="1182"/>
      <c r="S61" s="1182"/>
      <c r="T61" s="1183"/>
      <c r="U61" s="1183"/>
      <c r="V61" s="1193"/>
      <c r="W61" s="1193"/>
      <c r="X61" s="1193"/>
      <c r="Y61" s="1183"/>
      <c r="Z61" s="1194"/>
      <c r="AA61" s="1183"/>
      <c r="AB61" s="1183"/>
      <c r="AC61" s="1183"/>
      <c r="AD61" s="1183"/>
      <c r="AE61" s="1183"/>
      <c r="AF61" s="1183"/>
      <c r="AG61" s="1183"/>
      <c r="AH61" s="1183"/>
      <c r="AI61" s="1183"/>
      <c r="AJ61" s="1184"/>
      <c r="AK61" s="1184"/>
      <c r="AL61" s="1185">
        <v>1</v>
      </c>
    </row>
    <row r="62" spans="1:38" s="709" customFormat="1" ht="30" customHeight="1">
      <c r="A62" s="1181"/>
      <c r="B62" s="1213"/>
      <c r="C62" s="1214" t="s">
        <v>2638</v>
      </c>
      <c r="D62" s="1181"/>
      <c r="E62" s="1181"/>
      <c r="F62" s="1181"/>
      <c r="G62" s="1181"/>
      <c r="H62" s="1181"/>
      <c r="I62" s="1182"/>
      <c r="J62" s="1181"/>
      <c r="K62" s="1181"/>
      <c r="L62" s="1181"/>
      <c r="M62" s="1181"/>
      <c r="N62" s="1181"/>
      <c r="O62" s="1182"/>
      <c r="P62" s="1189"/>
      <c r="Q62" s="1182"/>
      <c r="R62" s="1182"/>
      <c r="S62" s="1182"/>
      <c r="T62" s="1183"/>
      <c r="U62" s="1183"/>
      <c r="V62" s="1193"/>
      <c r="W62" s="1193"/>
      <c r="X62" s="1193"/>
      <c r="Y62" s="1183"/>
      <c r="Z62" s="1194"/>
      <c r="AA62" s="1183"/>
      <c r="AB62" s="1183"/>
      <c r="AC62" s="1183"/>
      <c r="AD62" s="1183"/>
      <c r="AE62" s="1183"/>
      <c r="AF62" s="1183"/>
      <c r="AG62" s="1183"/>
      <c r="AH62" s="1183"/>
      <c r="AI62" s="1183"/>
      <c r="AJ62" s="1184"/>
      <c r="AK62" s="1184"/>
      <c r="AL62" s="1185">
        <v>1</v>
      </c>
    </row>
    <row r="63" spans="1:38" s="709" customFormat="1" ht="30" customHeight="1">
      <c r="A63" s="1181"/>
      <c r="B63" s="1209"/>
      <c r="C63" s="1211"/>
      <c r="D63" s="1211"/>
      <c r="E63" s="1211"/>
      <c r="F63" s="1211"/>
      <c r="G63" s="1211"/>
      <c r="H63" s="1211"/>
      <c r="I63" s="1211"/>
      <c r="J63" s="1211"/>
      <c r="K63" s="1211"/>
      <c r="L63" s="1211"/>
      <c r="M63" s="1211"/>
      <c r="N63" s="1211"/>
      <c r="O63" s="1211"/>
      <c r="P63" s="1208"/>
      <c r="Q63" s="1208"/>
      <c r="R63" s="1208"/>
      <c r="S63" s="1208"/>
      <c r="T63" s="1183"/>
      <c r="U63" s="1183"/>
      <c r="V63" s="1183"/>
      <c r="W63" s="1183"/>
      <c r="X63" s="1183"/>
      <c r="Y63" s="1193"/>
      <c r="Z63" s="1183"/>
      <c r="AA63" s="1183"/>
      <c r="AB63" s="1183"/>
      <c r="AC63" s="1183"/>
      <c r="AD63" s="1184"/>
      <c r="AE63" s="1184"/>
      <c r="AF63" s="1184"/>
      <c r="AG63" s="1184"/>
      <c r="AH63" s="1184"/>
      <c r="AI63" s="1184"/>
      <c r="AJ63" s="1184"/>
      <c r="AK63" s="1184"/>
      <c r="AL63" s="1185">
        <v>1</v>
      </c>
    </row>
    <row r="64" spans="1:38" s="709" customFormat="1" ht="30" customHeight="1">
      <c r="A64" s="1181"/>
      <c r="B64" s="1209"/>
      <c r="C64" s="1189" t="s">
        <v>2639</v>
      </c>
      <c r="D64" s="1216"/>
      <c r="E64" s="1216"/>
      <c r="F64" s="1211"/>
      <c r="G64" s="1211"/>
      <c r="H64" s="1211"/>
      <c r="I64" s="1211"/>
      <c r="J64" s="1211"/>
      <c r="K64" s="1211"/>
      <c r="L64" s="1211"/>
      <c r="M64" s="1211"/>
      <c r="N64" s="1211"/>
      <c r="O64" s="1211"/>
      <c r="P64" s="1208"/>
      <c r="Q64" s="1208"/>
      <c r="R64" s="1208"/>
      <c r="S64" s="1208"/>
      <c r="T64" s="1183"/>
      <c r="U64" s="1212"/>
      <c r="V64" s="1212"/>
      <c r="W64" s="1183"/>
      <c r="X64" s="1183"/>
      <c r="Y64" s="1193"/>
      <c r="Z64" s="1183"/>
      <c r="AA64" s="1183"/>
      <c r="AB64" s="1183"/>
      <c r="AC64" s="1183"/>
      <c r="AD64" s="1184"/>
      <c r="AE64" s="1184"/>
      <c r="AF64" s="1184"/>
      <c r="AG64" s="1184"/>
      <c r="AH64" s="1184"/>
      <c r="AI64" s="1184"/>
      <c r="AJ64" s="1184"/>
      <c r="AK64" s="1184"/>
      <c r="AL64" s="1185">
        <v>1</v>
      </c>
    </row>
    <row r="65" spans="1:38" s="709" customFormat="1" ht="30" customHeight="1">
      <c r="A65" s="1181"/>
      <c r="B65" s="1209"/>
      <c r="C65" s="1216"/>
      <c r="D65" s="1217" t="s">
        <v>2640</v>
      </c>
      <c r="E65" s="1216"/>
      <c r="F65" s="1211"/>
      <c r="G65" s="1211"/>
      <c r="H65" s="1211"/>
      <c r="I65" s="1211"/>
      <c r="J65" s="1211"/>
      <c r="K65" s="1211"/>
      <c r="L65" s="1211"/>
      <c r="M65" s="1211"/>
      <c r="N65" s="1211"/>
      <c r="O65" s="1211"/>
      <c r="P65" s="1208"/>
      <c r="Q65" s="1208"/>
      <c r="R65" s="1208"/>
      <c r="S65" s="1208"/>
      <c r="T65" s="1183"/>
      <c r="U65" s="1212"/>
      <c r="V65" s="1212"/>
      <c r="W65" s="1183"/>
      <c r="X65" s="1183"/>
      <c r="Y65" s="1183"/>
      <c r="Z65" s="1183"/>
      <c r="AA65" s="1183"/>
      <c r="AB65" s="1183"/>
      <c r="AC65" s="1183"/>
      <c r="AD65" s="1184"/>
      <c r="AE65" s="1184"/>
      <c r="AF65" s="1184"/>
      <c r="AG65" s="1184"/>
      <c r="AH65" s="1184"/>
      <c r="AI65" s="1184"/>
      <c r="AJ65" s="1184"/>
      <c r="AK65" s="1184"/>
      <c r="AL65" s="1185">
        <v>1</v>
      </c>
    </row>
    <row r="66" spans="1:38" s="709" customFormat="1" ht="30" customHeight="1">
      <c r="A66" s="1181"/>
      <c r="B66" s="1209"/>
      <c r="C66" s="1216"/>
      <c r="D66" s="1217" t="s">
        <v>2641</v>
      </c>
      <c r="E66" s="1216"/>
      <c r="F66" s="1211"/>
      <c r="G66" s="1211"/>
      <c r="H66" s="1211"/>
      <c r="I66" s="1211"/>
      <c r="J66" s="1211"/>
      <c r="K66" s="1211"/>
      <c r="L66" s="1211"/>
      <c r="M66" s="1211"/>
      <c r="N66" s="1211"/>
      <c r="O66" s="1211"/>
      <c r="P66" s="1208"/>
      <c r="Q66" s="1208"/>
      <c r="R66" s="1208"/>
      <c r="S66" s="1208"/>
      <c r="T66" s="1183"/>
      <c r="U66" s="1212"/>
      <c r="V66" s="1212"/>
      <c r="W66" s="1183"/>
      <c r="X66" s="1183"/>
      <c r="Y66" s="1183"/>
      <c r="Z66" s="1183"/>
      <c r="AA66" s="1183"/>
      <c r="AB66" s="1183"/>
      <c r="AC66" s="1183"/>
      <c r="AD66" s="1184"/>
      <c r="AE66" s="1184"/>
      <c r="AF66" s="1184"/>
      <c r="AG66" s="1184"/>
      <c r="AH66" s="1184"/>
      <c r="AI66" s="1184"/>
      <c r="AJ66" s="1184"/>
      <c r="AK66" s="1184"/>
      <c r="AL66" s="1185">
        <v>1</v>
      </c>
    </row>
    <row r="67" spans="1:38" s="709" customFormat="1" ht="30" customHeight="1">
      <c r="A67" s="1181"/>
      <c r="B67" s="1209"/>
      <c r="C67" s="1216"/>
      <c r="D67" s="1217" t="s">
        <v>2642</v>
      </c>
      <c r="E67" s="1216"/>
      <c r="F67" s="1211"/>
      <c r="G67" s="1211"/>
      <c r="H67" s="1211"/>
      <c r="I67" s="1211"/>
      <c r="J67" s="1211"/>
      <c r="K67" s="1211"/>
      <c r="L67" s="1211"/>
      <c r="M67" s="1211"/>
      <c r="N67" s="1211"/>
      <c r="O67" s="1211"/>
      <c r="P67" s="1208"/>
      <c r="Q67" s="1208"/>
      <c r="R67" s="1208"/>
      <c r="S67" s="1208"/>
      <c r="T67" s="1183"/>
      <c r="U67" s="1212"/>
      <c r="V67" s="1212"/>
      <c r="W67" s="1183"/>
      <c r="X67" s="1183"/>
      <c r="Y67" s="1183"/>
      <c r="Z67" s="1183"/>
      <c r="AA67" s="1183"/>
      <c r="AB67" s="1183"/>
      <c r="AC67" s="1183"/>
      <c r="AD67" s="1184"/>
      <c r="AE67" s="1184"/>
      <c r="AF67" s="1184"/>
      <c r="AG67" s="1184"/>
      <c r="AH67" s="1184"/>
      <c r="AI67" s="1184"/>
      <c r="AJ67" s="1184"/>
      <c r="AK67" s="1184"/>
      <c r="AL67" s="1185">
        <v>1</v>
      </c>
    </row>
    <row r="68" spans="1:38" s="709" customFormat="1" ht="30" customHeight="1">
      <c r="A68" s="1181"/>
      <c r="B68" s="1209"/>
      <c r="C68" s="1216"/>
      <c r="D68" s="1217" t="s">
        <v>2644</v>
      </c>
      <c r="E68" s="1216"/>
      <c r="F68" s="1211"/>
      <c r="G68" s="1211"/>
      <c r="H68" s="1211"/>
      <c r="I68" s="1211"/>
      <c r="J68" s="1211"/>
      <c r="K68" s="1211"/>
      <c r="L68" s="1211"/>
      <c r="M68" s="1211"/>
      <c r="N68" s="1211"/>
      <c r="O68" s="1211"/>
      <c r="P68" s="1208"/>
      <c r="Q68" s="1208"/>
      <c r="R68" s="1208"/>
      <c r="S68" s="1208"/>
      <c r="T68" s="1183"/>
      <c r="U68" s="1212"/>
      <c r="V68" s="1212"/>
      <c r="W68" s="1183"/>
      <c r="X68" s="1183"/>
      <c r="Y68" s="1183"/>
      <c r="Z68" s="1183"/>
      <c r="AA68" s="1183"/>
      <c r="AB68" s="1183"/>
      <c r="AC68" s="1183"/>
      <c r="AD68" s="1184"/>
      <c r="AE68" s="1184"/>
      <c r="AF68" s="1184"/>
      <c r="AG68" s="1184"/>
      <c r="AH68" s="1184"/>
      <c r="AI68" s="1184"/>
      <c r="AJ68" s="1184"/>
      <c r="AK68" s="1184"/>
      <c r="AL68" s="1185">
        <v>1</v>
      </c>
    </row>
    <row r="69" spans="1:38" s="709" customFormat="1" ht="30" customHeight="1">
      <c r="A69" s="1181"/>
      <c r="B69" s="1209"/>
      <c r="C69" s="1216"/>
      <c r="D69" s="1217" t="s">
        <v>2645</v>
      </c>
      <c r="E69" s="1216"/>
      <c r="F69" s="1211"/>
      <c r="G69" s="1211"/>
      <c r="H69" s="1211"/>
      <c r="I69" s="1211"/>
      <c r="J69" s="1211"/>
      <c r="K69" s="1211"/>
      <c r="L69" s="1211"/>
      <c r="M69" s="1211"/>
      <c r="N69" s="1211"/>
      <c r="O69" s="1211"/>
      <c r="P69" s="1211"/>
      <c r="Q69" s="1208"/>
      <c r="R69" s="1208"/>
      <c r="S69" s="1208"/>
      <c r="T69" s="1183"/>
      <c r="U69" s="1212"/>
      <c r="V69" s="1212"/>
      <c r="W69" s="1183"/>
      <c r="X69" s="1183"/>
      <c r="Y69" s="1183"/>
      <c r="Z69" s="1183"/>
      <c r="AA69" s="1183"/>
      <c r="AB69" s="1183"/>
      <c r="AC69" s="1183"/>
      <c r="AD69" s="1184"/>
      <c r="AE69" s="1184"/>
      <c r="AF69" s="1184"/>
      <c r="AG69" s="1184"/>
      <c r="AH69" s="1184"/>
      <c r="AI69" s="1184"/>
      <c r="AJ69" s="1184"/>
      <c r="AK69" s="1184"/>
      <c r="AL69" s="1185">
        <v>1</v>
      </c>
    </row>
    <row r="70" spans="1:38" s="709" customFormat="1" ht="30" customHeight="1" thickBot="1">
      <c r="A70" s="1181"/>
      <c r="B70" s="1209"/>
      <c r="C70" s="1210"/>
      <c r="D70" s="1211"/>
      <c r="E70" s="1211"/>
      <c r="F70" s="1211"/>
      <c r="G70" s="1211"/>
      <c r="H70" s="1211"/>
      <c r="I70" s="1211"/>
      <c r="J70" s="1211"/>
      <c r="K70" s="1211"/>
      <c r="L70" s="1211"/>
      <c r="M70" s="1211"/>
      <c r="N70" s="1211"/>
      <c r="O70" s="1211"/>
      <c r="P70" s="1208"/>
      <c r="Q70" s="1208"/>
      <c r="R70" s="1208"/>
      <c r="S70" s="1208"/>
      <c r="T70" s="1183"/>
      <c r="U70" s="1183"/>
      <c r="V70" s="1183"/>
      <c r="W70" s="1183"/>
      <c r="X70" s="1183"/>
      <c r="Y70" s="1193"/>
      <c r="Z70" s="1183"/>
      <c r="AA70" s="1183"/>
      <c r="AB70" s="1183"/>
      <c r="AC70" s="1183"/>
      <c r="AD70" s="1184"/>
      <c r="AE70" s="1184"/>
      <c r="AF70" s="1184"/>
      <c r="AG70" s="1184"/>
      <c r="AH70" s="1184"/>
      <c r="AI70" s="1184"/>
      <c r="AJ70" s="1184"/>
      <c r="AK70" s="1184"/>
      <c r="AL70" s="1185">
        <v>1</v>
      </c>
    </row>
    <row r="71" spans="1:38" s="709" customFormat="1" ht="30" customHeight="1">
      <c r="A71" s="1181"/>
      <c r="B71" s="1181"/>
      <c r="C71" s="1210"/>
      <c r="D71" s="953" t="s">
        <v>11</v>
      </c>
      <c r="E71" s="954" t="s">
        <v>1681</v>
      </c>
      <c r="F71" s="955"/>
      <c r="G71" s="955">
        <f>U67</f>
        <v>0</v>
      </c>
      <c r="H71" s="956"/>
      <c r="I71" s="956"/>
      <c r="J71" s="956"/>
      <c r="K71" s="956"/>
      <c r="L71" s="956"/>
      <c r="M71" s="956"/>
      <c r="N71" s="1211"/>
      <c r="O71" s="1211"/>
      <c r="P71" s="1208"/>
      <c r="Q71" s="1208"/>
      <c r="R71" s="1208"/>
      <c r="S71" s="1221" t="s">
        <v>2646</v>
      </c>
      <c r="T71" s="1222"/>
      <c r="U71" s="1223"/>
      <c r="V71" s="1223"/>
      <c r="W71" s="1223"/>
      <c r="X71" s="1223"/>
      <c r="Y71" s="1223"/>
      <c r="Z71" s="1223"/>
      <c r="AA71" s="1223"/>
      <c r="AB71" s="1223"/>
      <c r="AC71" s="1223"/>
      <c r="AD71" s="1223"/>
      <c r="AE71" s="1223"/>
      <c r="AF71" s="1223"/>
      <c r="AG71" s="1223"/>
      <c r="AH71" s="1223"/>
      <c r="AI71" s="1224"/>
      <c r="AJ71" s="1184"/>
      <c r="AK71" s="1184"/>
      <c r="AL71" s="1185">
        <v>1</v>
      </c>
    </row>
    <row r="72" spans="1:38" s="709" customFormat="1" ht="30" customHeight="1">
      <c r="A72" s="1181"/>
      <c r="B72" s="1181"/>
      <c r="C72" s="1210"/>
      <c r="D72" s="959" t="s">
        <v>11</v>
      </c>
      <c r="E72" s="5391" t="s">
        <v>1687</v>
      </c>
      <c r="F72" s="5391"/>
      <c r="G72" s="5391"/>
      <c r="H72" s="5391"/>
      <c r="I72" s="5391"/>
      <c r="J72" s="5391"/>
      <c r="K72" s="5391"/>
      <c r="L72" s="5391"/>
      <c r="M72" s="5391"/>
      <c r="N72" s="1211"/>
      <c r="O72" s="1211"/>
      <c r="P72" s="1208"/>
      <c r="Q72" s="1208"/>
      <c r="R72" s="1208"/>
      <c r="S72" s="1225"/>
      <c r="T72" s="1226" t="s">
        <v>2647</v>
      </c>
      <c r="U72" s="1227"/>
      <c r="V72" s="1228"/>
      <c r="W72" s="1228"/>
      <c r="X72" s="1228"/>
      <c r="Y72" s="1228"/>
      <c r="Z72" s="1228"/>
      <c r="AA72" s="1228"/>
      <c r="AB72" s="1228"/>
      <c r="AC72" s="1228"/>
      <c r="AD72" s="1228"/>
      <c r="AE72" s="1228"/>
      <c r="AF72" s="1228"/>
      <c r="AG72" s="1228"/>
      <c r="AH72" s="1228"/>
      <c r="AI72" s="1229"/>
      <c r="AJ72" s="1184"/>
      <c r="AK72" s="1184"/>
      <c r="AL72" s="1185">
        <v>1</v>
      </c>
    </row>
    <row r="73" spans="1:38" s="709" customFormat="1" ht="30" customHeight="1">
      <c r="A73" s="1181"/>
      <c r="B73" s="1181"/>
      <c r="C73" s="1210"/>
      <c r="D73" s="959" t="s">
        <v>11</v>
      </c>
      <c r="E73" s="5391"/>
      <c r="F73" s="5391"/>
      <c r="G73" s="5391"/>
      <c r="H73" s="5391"/>
      <c r="I73" s="5391"/>
      <c r="J73" s="5391"/>
      <c r="K73" s="5391"/>
      <c r="L73" s="5391"/>
      <c r="M73" s="5391"/>
      <c r="N73" s="1211"/>
      <c r="O73" s="1211"/>
      <c r="P73" s="1208"/>
      <c r="Q73" s="1208"/>
      <c r="R73" s="1208"/>
      <c r="S73" s="1208"/>
      <c r="T73" s="1183"/>
      <c r="U73" s="1183"/>
      <c r="V73" s="1183"/>
      <c r="W73" s="1183"/>
      <c r="X73" s="1189"/>
      <c r="Y73" s="1189"/>
      <c r="Z73" s="1189"/>
      <c r="AA73" s="1189"/>
      <c r="AB73" s="1189"/>
      <c r="AC73" s="1183"/>
      <c r="AD73" s="1184"/>
      <c r="AE73" s="1184"/>
      <c r="AF73" s="1184"/>
      <c r="AG73" s="1184"/>
      <c r="AH73" s="1184"/>
      <c r="AI73" s="1184"/>
      <c r="AJ73" s="1184"/>
      <c r="AK73" s="1184"/>
      <c r="AL73" s="1185">
        <v>1</v>
      </c>
    </row>
    <row r="74" spans="1:38" s="709" customFormat="1" ht="30" customHeight="1">
      <c r="A74" s="1181"/>
      <c r="B74" s="1181"/>
      <c r="C74" s="1210"/>
      <c r="D74" s="959" t="s">
        <v>11</v>
      </c>
      <c r="E74" s="1462" t="s">
        <v>1695</v>
      </c>
      <c r="F74" s="1462"/>
      <c r="G74" s="1463"/>
      <c r="H74" s="1464"/>
      <c r="I74" s="1464"/>
      <c r="J74" s="1465"/>
      <c r="K74" s="1465"/>
      <c r="L74" s="1465"/>
      <c r="M74" s="1465"/>
      <c r="N74" s="1211"/>
      <c r="O74" s="1211"/>
      <c r="P74" s="1208"/>
      <c r="Q74" s="1208"/>
      <c r="R74" s="1208"/>
      <c r="S74" s="1208"/>
      <c r="T74" s="1183"/>
      <c r="U74" s="1183"/>
      <c r="V74" s="1183"/>
      <c r="W74" s="1183"/>
      <c r="X74" s="1189"/>
      <c r="Y74" s="1189"/>
      <c r="Z74" s="1189"/>
      <c r="AA74" s="1189"/>
      <c r="AB74" s="1189"/>
      <c r="AC74" s="1183"/>
      <c r="AD74" s="1184"/>
      <c r="AE74" s="1184"/>
      <c r="AF74" s="1184"/>
      <c r="AG74" s="1184"/>
      <c r="AH74" s="1184"/>
      <c r="AI74" s="1184"/>
      <c r="AJ74" s="1184"/>
      <c r="AK74" s="1184"/>
      <c r="AL74" s="1185">
        <v>1</v>
      </c>
    </row>
    <row r="75" spans="1:38" s="709" customFormat="1" ht="30" customHeight="1">
      <c r="A75" s="1181"/>
      <c r="B75" s="1181"/>
      <c r="C75" s="1210"/>
      <c r="D75" s="959" t="s">
        <v>11</v>
      </c>
      <c r="E75" s="1462" t="s">
        <v>1698</v>
      </c>
      <c r="F75" s="1463"/>
      <c r="G75" s="1463"/>
      <c r="H75" s="1464"/>
      <c r="I75" s="1464"/>
      <c r="J75" s="1465"/>
      <c r="K75" s="1465"/>
      <c r="L75" s="1465"/>
      <c r="M75" s="1465"/>
      <c r="N75" s="1211"/>
      <c r="O75" s="1211"/>
      <c r="P75" s="1208"/>
      <c r="Q75" s="1208"/>
      <c r="R75" s="1208"/>
      <c r="S75" s="1208"/>
      <c r="T75" s="1183"/>
      <c r="U75" s="1183"/>
      <c r="V75" s="1183"/>
      <c r="W75" s="1183"/>
      <c r="X75" s="1189"/>
      <c r="Y75" s="1189"/>
      <c r="Z75" s="1189"/>
      <c r="AA75" s="1189"/>
      <c r="AB75" s="1189"/>
      <c r="AC75" s="1183"/>
      <c r="AD75" s="1184"/>
      <c r="AE75" s="1184"/>
      <c r="AF75" s="1184"/>
      <c r="AG75" s="1184"/>
      <c r="AH75" s="1184"/>
      <c r="AI75" s="1184"/>
      <c r="AJ75" s="1184"/>
      <c r="AK75" s="1184"/>
      <c r="AL75" s="1185">
        <v>1</v>
      </c>
    </row>
    <row r="76" spans="1:38" s="709" customFormat="1" ht="30" customHeight="1">
      <c r="A76" s="1181"/>
      <c r="B76" s="1181"/>
      <c r="C76" s="1210"/>
      <c r="D76" s="959" t="s">
        <v>11</v>
      </c>
      <c r="E76" s="1467" t="s">
        <v>1712</v>
      </c>
      <c r="F76" s="1463"/>
      <c r="G76" s="1463"/>
      <c r="H76" s="1464"/>
      <c r="I76" s="1464"/>
      <c r="J76" s="1465"/>
      <c r="K76" s="1465"/>
      <c r="L76" s="1465"/>
      <c r="M76" s="1465"/>
      <c r="N76" s="1211"/>
      <c r="O76" s="1211"/>
      <c r="P76" s="1208"/>
      <c r="Q76" s="1208"/>
      <c r="R76" s="1208"/>
      <c r="S76" s="1208"/>
      <c r="T76" s="1183"/>
      <c r="U76" s="1183"/>
      <c r="V76" s="1183"/>
      <c r="W76" s="1183"/>
      <c r="X76" s="1189"/>
      <c r="Y76" s="1189"/>
      <c r="Z76" s="1189"/>
      <c r="AA76" s="1189"/>
      <c r="AB76" s="1183"/>
      <c r="AC76" s="1183"/>
      <c r="AD76" s="1184"/>
      <c r="AE76" s="1184"/>
      <c r="AF76" s="1184"/>
      <c r="AG76" s="1184"/>
      <c r="AH76" s="1184"/>
      <c r="AI76" s="1184"/>
      <c r="AJ76" s="1184"/>
      <c r="AK76" s="1184"/>
      <c r="AL76" s="1185">
        <v>1</v>
      </c>
    </row>
    <row r="77" spans="1:38" s="709" customFormat="1" ht="30" customHeight="1">
      <c r="A77" s="1181"/>
      <c r="B77" s="1181"/>
      <c r="C77" s="1210"/>
      <c r="D77" s="959" t="s">
        <v>11</v>
      </c>
      <c r="E77" s="1467" t="s">
        <v>1734</v>
      </c>
      <c r="F77" s="1463"/>
      <c r="G77" s="1463"/>
      <c r="H77" s="1464"/>
      <c r="I77" s="1464"/>
      <c r="J77" s="1465"/>
      <c r="K77" s="1465"/>
      <c r="L77" s="1465"/>
      <c r="M77" s="1465"/>
      <c r="N77" s="1211"/>
      <c r="O77" s="1211"/>
      <c r="P77" s="1208"/>
      <c r="Q77" s="1208"/>
      <c r="R77" s="1208"/>
      <c r="S77" s="1208"/>
      <c r="T77" s="1183"/>
      <c r="U77" s="1183"/>
      <c r="V77" s="1183"/>
      <c r="W77" s="1183"/>
      <c r="X77" s="1183"/>
      <c r="Y77" s="1193"/>
      <c r="Z77" s="1183"/>
      <c r="AA77" s="1183"/>
      <c r="AB77" s="1183"/>
      <c r="AC77" s="1183"/>
      <c r="AD77" s="1184"/>
      <c r="AE77" s="1184"/>
      <c r="AF77" s="1184"/>
      <c r="AG77" s="1184"/>
      <c r="AH77" s="1184"/>
      <c r="AI77" s="1184"/>
      <c r="AJ77" s="1184"/>
      <c r="AK77" s="1184"/>
      <c r="AL77" s="1185">
        <v>1</v>
      </c>
    </row>
    <row r="78" spans="1:38" s="709" customFormat="1" ht="30" customHeight="1">
      <c r="A78" s="1181"/>
      <c r="B78" s="1181"/>
      <c r="C78" s="1210"/>
      <c r="D78" s="959" t="s">
        <v>11</v>
      </c>
      <c r="E78" s="1467" t="s">
        <v>1752</v>
      </c>
      <c r="F78" s="1463"/>
      <c r="G78" s="1463"/>
      <c r="H78" s="1464"/>
      <c r="I78" s="1464"/>
      <c r="J78" s="1465"/>
      <c r="K78" s="1465"/>
      <c r="L78" s="1465"/>
      <c r="M78" s="1465"/>
      <c r="N78" s="1211"/>
      <c r="O78" s="1211"/>
      <c r="P78" s="1211"/>
      <c r="Q78" s="1211"/>
      <c r="R78" s="1211"/>
      <c r="S78" s="1208"/>
      <c r="T78" s="1183"/>
      <c r="U78" s="1183"/>
      <c r="V78" s="1183"/>
      <c r="W78" s="1183"/>
      <c r="X78" s="1183"/>
      <c r="Y78" s="1193"/>
      <c r="Z78" s="1183"/>
      <c r="AA78" s="1183"/>
      <c r="AB78" s="1183"/>
      <c r="AC78" s="1183"/>
      <c r="AD78" s="1184"/>
      <c r="AE78" s="1184"/>
      <c r="AF78" s="1184"/>
      <c r="AG78" s="1184"/>
      <c r="AH78" s="1184"/>
      <c r="AI78" s="1184"/>
      <c r="AJ78" s="1184"/>
      <c r="AK78" s="1184"/>
      <c r="AL78" s="1185">
        <v>1</v>
      </c>
    </row>
    <row r="79" spans="1:38" s="709" customFormat="1" ht="30" customHeight="1">
      <c r="A79" s="1181"/>
      <c r="B79" s="1181"/>
      <c r="C79" s="1210"/>
      <c r="D79" s="959" t="s">
        <v>11</v>
      </c>
      <c r="E79" s="1469" t="s">
        <v>1769</v>
      </c>
      <c r="F79" s="1468"/>
      <c r="G79" s="1468"/>
      <c r="H79" s="1468"/>
      <c r="I79" s="1468"/>
      <c r="J79" s="1465"/>
      <c r="K79" s="1465"/>
      <c r="L79" s="1465"/>
      <c r="M79" s="1465"/>
      <c r="N79" s="1209"/>
      <c r="O79" s="1211"/>
      <c r="P79" s="1211"/>
      <c r="Q79" s="1211"/>
      <c r="R79" s="1211"/>
      <c r="S79" s="1208"/>
      <c r="T79" s="1183"/>
      <c r="U79" s="1183"/>
      <c r="V79" s="1183"/>
      <c r="W79" s="1183"/>
      <c r="X79" s="1183"/>
      <c r="Y79" s="1193"/>
      <c r="Z79" s="1183"/>
      <c r="AA79" s="1183"/>
      <c r="AB79" s="1183"/>
      <c r="AC79" s="1183"/>
      <c r="AD79" s="1184"/>
      <c r="AE79" s="1184"/>
      <c r="AF79" s="1184"/>
      <c r="AG79" s="1184"/>
      <c r="AH79" s="1184"/>
      <c r="AI79" s="1184"/>
      <c r="AJ79" s="1184"/>
      <c r="AK79" s="1184"/>
      <c r="AL79" s="1185">
        <v>1</v>
      </c>
    </row>
    <row r="80" spans="1:38" s="709" customFormat="1" ht="30" customHeight="1">
      <c r="A80" s="1181"/>
      <c r="B80" s="1181"/>
      <c r="C80" s="1210"/>
      <c r="D80" s="959" t="s">
        <v>11</v>
      </c>
      <c r="E80" s="1469" t="s">
        <v>1795</v>
      </c>
      <c r="F80" s="1468"/>
      <c r="G80" s="1468"/>
      <c r="H80" s="1468"/>
      <c r="I80" s="1468"/>
      <c r="J80" s="1465"/>
      <c r="K80" s="1465"/>
      <c r="L80" s="1465"/>
      <c r="M80" s="1465"/>
      <c r="N80" s="1209"/>
      <c r="O80" s="1211"/>
      <c r="P80" s="1211"/>
      <c r="Q80" s="1211"/>
      <c r="R80" s="1211"/>
      <c r="S80" s="1208"/>
      <c r="T80" s="1183"/>
      <c r="U80" s="1183"/>
      <c r="V80" s="1183"/>
      <c r="W80" s="1183"/>
      <c r="X80" s="1183"/>
      <c r="Y80" s="1193"/>
      <c r="Z80" s="1183"/>
      <c r="AA80" s="1183"/>
      <c r="AB80" s="1183"/>
      <c r="AC80" s="1183"/>
      <c r="AD80" s="1184"/>
      <c r="AE80" s="1184"/>
      <c r="AF80" s="1184"/>
      <c r="AG80" s="1184"/>
      <c r="AH80" s="1184"/>
      <c r="AI80" s="1184"/>
      <c r="AJ80" s="1184"/>
      <c r="AK80" s="1184"/>
      <c r="AL80" s="1185">
        <v>1</v>
      </c>
    </row>
    <row r="81" spans="1:38" s="709" customFormat="1" ht="30" customHeight="1">
      <c r="A81" s="1181"/>
      <c r="B81" s="1181"/>
      <c r="C81" s="1210"/>
      <c r="D81" s="959" t="s">
        <v>11</v>
      </c>
      <c r="E81" s="1469" t="s">
        <v>1808</v>
      </c>
      <c r="F81" s="1463"/>
      <c r="G81" s="1463"/>
      <c r="H81" s="1464"/>
      <c r="I81" s="1464"/>
      <c r="J81" s="1465"/>
      <c r="K81" s="1465"/>
      <c r="L81" s="1465"/>
      <c r="M81" s="1465"/>
      <c r="N81" s="1211"/>
      <c r="O81" s="1211"/>
      <c r="P81" s="1211"/>
      <c r="Q81" s="1211"/>
      <c r="R81" s="1211"/>
      <c r="S81" s="1208"/>
      <c r="T81" s="1183"/>
      <c r="U81" s="1183"/>
      <c r="V81" s="1183"/>
      <c r="W81" s="1183"/>
      <c r="X81" s="1183"/>
      <c r="Y81" s="1193"/>
      <c r="Z81" s="1183"/>
      <c r="AA81" s="1183"/>
      <c r="AB81" s="1183"/>
      <c r="AC81" s="1183"/>
      <c r="AD81" s="1184"/>
      <c r="AE81" s="1184"/>
      <c r="AF81" s="1184"/>
      <c r="AG81" s="1184"/>
      <c r="AH81" s="1184"/>
      <c r="AI81" s="1184"/>
      <c r="AJ81" s="1184"/>
      <c r="AK81" s="1184"/>
      <c r="AL81" s="1185">
        <v>1</v>
      </c>
    </row>
    <row r="82" spans="1:38" s="709" customFormat="1" ht="30" customHeight="1">
      <c r="A82" s="1181"/>
      <c r="B82" s="1181"/>
      <c r="C82" s="1210"/>
      <c r="D82" s="959" t="s">
        <v>11</v>
      </c>
      <c r="E82" s="1466"/>
      <c r="F82" s="1463"/>
      <c r="G82" s="1463"/>
      <c r="H82" s="1464"/>
      <c r="I82" s="1464"/>
      <c r="J82" s="1465"/>
      <c r="K82" s="1465"/>
      <c r="L82" s="1465"/>
      <c r="M82" s="1465"/>
      <c r="N82" s="1211"/>
      <c r="O82" s="1211"/>
      <c r="P82" s="1211"/>
      <c r="Q82" s="1211"/>
      <c r="R82" s="1211"/>
      <c r="S82" s="1208"/>
      <c r="T82" s="1183"/>
      <c r="U82" s="1183"/>
      <c r="V82" s="1183"/>
      <c r="W82" s="1183"/>
      <c r="X82" s="1183"/>
      <c r="Y82" s="1193"/>
      <c r="Z82" s="1183"/>
      <c r="AA82" s="1183"/>
      <c r="AB82" s="1183"/>
      <c r="AC82" s="1183"/>
      <c r="AD82" s="1184"/>
      <c r="AE82" s="1184"/>
      <c r="AF82" s="1184"/>
      <c r="AG82" s="1184"/>
      <c r="AH82" s="1184"/>
      <c r="AI82" s="1184"/>
      <c r="AJ82" s="1184"/>
      <c r="AK82" s="1184"/>
      <c r="AL82" s="1185">
        <v>1</v>
      </c>
    </row>
    <row r="83" spans="1:38" s="709" customFormat="1" ht="30" customHeight="1">
      <c r="A83" s="1181"/>
      <c r="B83" s="1189"/>
      <c r="C83" s="1210"/>
      <c r="D83" s="959" t="s">
        <v>11</v>
      </c>
      <c r="E83" s="1468"/>
      <c r="F83" s="1468"/>
      <c r="G83" s="1468"/>
      <c r="H83" s="1468"/>
      <c r="I83" s="1468"/>
      <c r="J83" s="1465"/>
      <c r="K83" s="1465"/>
      <c r="L83" s="1465"/>
      <c r="M83" s="1465"/>
      <c r="N83" s="1211"/>
      <c r="O83" s="1211"/>
      <c r="P83" s="1211"/>
      <c r="Q83" s="1211"/>
      <c r="R83" s="1211"/>
      <c r="S83" s="1208"/>
      <c r="T83" s="1183"/>
      <c r="U83" s="1183"/>
      <c r="V83" s="1183"/>
      <c r="W83" s="1183"/>
      <c r="X83" s="1183"/>
      <c r="Y83" s="1193"/>
      <c r="Z83" s="1183"/>
      <c r="AA83" s="1183"/>
      <c r="AB83" s="1183"/>
      <c r="AC83" s="1183"/>
      <c r="AD83" s="1184"/>
      <c r="AE83" s="1184"/>
      <c r="AF83" s="1184"/>
      <c r="AG83" s="1184"/>
      <c r="AH83" s="1184"/>
      <c r="AI83" s="1184"/>
      <c r="AJ83" s="1184"/>
      <c r="AK83" s="1184"/>
      <c r="AL83" s="1185">
        <v>1</v>
      </c>
    </row>
    <row r="84" spans="1:38" s="709" customFormat="1" ht="30" customHeight="1">
      <c r="A84" s="1181"/>
      <c r="B84" s="1181"/>
      <c r="C84" s="1210"/>
      <c r="D84" s="959" t="s">
        <v>11</v>
      </c>
      <c r="E84" s="1468"/>
      <c r="F84" s="1468"/>
      <c r="G84" s="1468"/>
      <c r="H84" s="1468"/>
      <c r="I84" s="1468"/>
      <c r="J84" s="1465"/>
      <c r="K84" s="1465"/>
      <c r="L84" s="1465"/>
      <c r="M84" s="1465"/>
      <c r="N84" s="1211"/>
      <c r="O84" s="1211"/>
      <c r="P84" s="1211"/>
      <c r="Q84" s="1211"/>
      <c r="R84" s="1211"/>
      <c r="S84" s="1208"/>
      <c r="T84" s="1183"/>
      <c r="U84" s="1183"/>
      <c r="V84" s="1211"/>
      <c r="W84" s="1211"/>
      <c r="X84" s="1183"/>
      <c r="Y84" s="1193"/>
      <c r="Z84" s="1183"/>
      <c r="AA84" s="1211"/>
      <c r="AB84" s="1211"/>
      <c r="AC84" s="1211"/>
      <c r="AD84" s="1184"/>
      <c r="AE84" s="1184"/>
      <c r="AF84" s="1184"/>
      <c r="AG84" s="1184"/>
      <c r="AH84" s="1184"/>
      <c r="AI84" s="1184"/>
      <c r="AJ84" s="1184"/>
      <c r="AK84" s="1184"/>
      <c r="AL84" s="1185">
        <v>1</v>
      </c>
    </row>
    <row r="85" spans="1:38" s="709" customFormat="1" ht="30" customHeight="1">
      <c r="A85" s="1181"/>
      <c r="B85" s="1181"/>
      <c r="C85" s="1210"/>
      <c r="D85" s="959" t="s">
        <v>11</v>
      </c>
      <c r="E85" s="1468"/>
      <c r="F85" s="1468"/>
      <c r="G85" s="1468"/>
      <c r="H85" s="1468"/>
      <c r="I85" s="1468"/>
      <c r="J85" s="1465"/>
      <c r="K85" s="1465"/>
      <c r="L85" s="1465"/>
      <c r="M85" s="1465"/>
      <c r="N85" s="1211"/>
      <c r="O85" s="1211"/>
      <c r="P85" s="1211"/>
      <c r="Q85" s="1211"/>
      <c r="R85" s="1211"/>
      <c r="S85" s="1208"/>
      <c r="T85" s="1183"/>
      <c r="U85" s="1183"/>
      <c r="V85" s="1211"/>
      <c r="W85" s="1211"/>
      <c r="X85" s="1183"/>
      <c r="Y85" s="1193"/>
      <c r="Z85" s="1183"/>
      <c r="AA85" s="1211"/>
      <c r="AB85" s="1211"/>
      <c r="AC85" s="1211"/>
      <c r="AD85" s="1184"/>
      <c r="AE85" s="1184"/>
      <c r="AF85" s="1184"/>
      <c r="AG85" s="1184"/>
      <c r="AH85" s="1184"/>
      <c r="AI85" s="1184"/>
      <c r="AJ85" s="1184"/>
      <c r="AK85" s="1184"/>
      <c r="AL85" s="1185">
        <v>1</v>
      </c>
    </row>
    <row r="86" spans="1:38" s="709" customFormat="1" ht="30" customHeight="1">
      <c r="A86" s="1181"/>
      <c r="B86" s="1181"/>
      <c r="C86" s="1210"/>
      <c r="D86" s="959" t="s">
        <v>11</v>
      </c>
      <c r="E86" s="1469" t="s">
        <v>1819</v>
      </c>
      <c r="F86" s="1463"/>
      <c r="G86" s="1463"/>
      <c r="H86" s="1464"/>
      <c r="I86" s="1464"/>
      <c r="J86" s="1465"/>
      <c r="K86" s="1465"/>
      <c r="L86" s="1465"/>
      <c r="M86" s="1465"/>
      <c r="N86" s="1211"/>
      <c r="O86" s="1211"/>
      <c r="P86" s="1211"/>
      <c r="Q86" s="1211"/>
      <c r="R86" s="1211"/>
      <c r="S86" s="1208"/>
      <c r="T86" s="1183"/>
      <c r="U86" s="1183"/>
      <c r="V86" s="1211"/>
      <c r="W86" s="1211"/>
      <c r="X86" s="1183"/>
      <c r="Y86" s="1193"/>
      <c r="Z86" s="1183"/>
      <c r="AA86" s="1183"/>
      <c r="AB86" s="1183"/>
      <c r="AC86" s="1211"/>
      <c r="AD86" s="1184"/>
      <c r="AE86" s="1184"/>
      <c r="AF86" s="1184"/>
      <c r="AG86" s="1184"/>
      <c r="AH86" s="1184"/>
      <c r="AI86" s="1184"/>
      <c r="AJ86" s="1184"/>
      <c r="AK86" s="1184"/>
      <c r="AL86" s="1185">
        <v>1</v>
      </c>
    </row>
    <row r="87" spans="1:38" s="709" customFormat="1" ht="30" customHeight="1">
      <c r="A87" s="1181"/>
      <c r="B87" s="1181"/>
      <c r="C87" s="1210"/>
      <c r="D87" s="959" t="s">
        <v>16</v>
      </c>
      <c r="E87" s="5409" t="s">
        <v>1820</v>
      </c>
      <c r="F87" s="5409"/>
      <c r="G87" s="5409"/>
      <c r="H87" s="5409"/>
      <c r="I87" s="5409"/>
      <c r="J87" s="1465"/>
      <c r="K87" s="1465"/>
      <c r="L87" s="1465"/>
      <c r="M87" s="1465"/>
      <c r="N87" s="1211"/>
      <c r="O87" s="1211"/>
      <c r="P87" s="1211"/>
      <c r="Q87" s="1211"/>
      <c r="R87" s="1211"/>
      <c r="S87" s="1208"/>
      <c r="T87" s="1183"/>
      <c r="U87" s="1183"/>
      <c r="V87" s="1211"/>
      <c r="W87" s="1211"/>
      <c r="X87" s="1183"/>
      <c r="Y87" s="1193"/>
      <c r="Z87" s="1183"/>
      <c r="AA87" s="1183"/>
      <c r="AB87" s="1183"/>
      <c r="AC87" s="1211"/>
      <c r="AD87" s="1184"/>
      <c r="AE87" s="1184"/>
      <c r="AF87" s="1184"/>
      <c r="AG87" s="1184"/>
      <c r="AH87" s="1184"/>
      <c r="AI87" s="1184"/>
      <c r="AJ87" s="1184"/>
      <c r="AK87" s="1184"/>
      <c r="AL87" s="1185">
        <v>1</v>
      </c>
    </row>
    <row r="88" spans="1:38" s="709" customFormat="1" ht="30" customHeight="1">
      <c r="A88" s="1181"/>
      <c r="B88" s="1181"/>
      <c r="C88" s="1210"/>
      <c r="D88" s="959" t="s">
        <v>16</v>
      </c>
      <c r="E88" s="5409"/>
      <c r="F88" s="5409"/>
      <c r="G88" s="5409"/>
      <c r="H88" s="5409"/>
      <c r="I88" s="5409"/>
      <c r="J88" s="1465"/>
      <c r="K88" s="1465"/>
      <c r="L88" s="1465"/>
      <c r="M88" s="1465"/>
      <c r="N88" s="1211"/>
      <c r="O88" s="1211"/>
      <c r="P88" s="1211"/>
      <c r="Q88" s="1211"/>
      <c r="R88" s="1183"/>
      <c r="S88" s="1208"/>
      <c r="T88" s="1183"/>
      <c r="U88" s="1183"/>
      <c r="V88" s="1183"/>
      <c r="W88" s="1183"/>
      <c r="X88" s="1183"/>
      <c r="Y88" s="1193"/>
      <c r="Z88" s="1183"/>
      <c r="AA88" s="1183"/>
      <c r="AB88" s="1183"/>
      <c r="AC88" s="1183"/>
      <c r="AD88" s="1184"/>
      <c r="AE88" s="1184"/>
      <c r="AF88" s="1184"/>
      <c r="AG88" s="1184"/>
      <c r="AH88" s="1184"/>
      <c r="AI88" s="1184"/>
      <c r="AJ88" s="1184"/>
      <c r="AK88" s="1184"/>
      <c r="AL88" s="1185">
        <v>1</v>
      </c>
    </row>
    <row r="89" spans="1:38" s="709" customFormat="1" ht="30" customHeight="1">
      <c r="A89" s="1181"/>
      <c r="B89" s="1181"/>
      <c r="C89" s="1210"/>
      <c r="D89" s="959" t="s">
        <v>16</v>
      </c>
      <c r="E89" s="5410" t="s">
        <v>1822</v>
      </c>
      <c r="F89" s="5410"/>
      <c r="G89" s="5410"/>
      <c r="H89" s="5410"/>
      <c r="I89" s="5410"/>
      <c r="J89" s="1465"/>
      <c r="K89" s="1465"/>
      <c r="L89" s="1465"/>
      <c r="M89" s="1465"/>
      <c r="N89" s="1211"/>
      <c r="O89" s="1211"/>
      <c r="P89" s="1211"/>
      <c r="Q89" s="1211"/>
      <c r="R89" s="1183"/>
      <c r="S89" s="1208"/>
      <c r="T89" s="1183"/>
      <c r="U89" s="1183"/>
      <c r="V89" s="1183"/>
      <c r="W89" s="1183"/>
      <c r="X89" s="1183"/>
      <c r="Y89" s="1183"/>
      <c r="Z89" s="1183"/>
      <c r="AA89" s="1183"/>
      <c r="AB89" s="1183"/>
      <c r="AC89" s="1183"/>
      <c r="AD89" s="1184"/>
      <c r="AE89" s="1184"/>
      <c r="AF89" s="1184"/>
      <c r="AG89" s="1184"/>
      <c r="AH89" s="1184"/>
      <c r="AI89" s="1184"/>
      <c r="AJ89" s="1184"/>
      <c r="AK89" s="1184"/>
      <c r="AL89" s="1185">
        <v>1</v>
      </c>
    </row>
    <row r="90" spans="1:38" s="709" customFormat="1" ht="30" customHeight="1">
      <c r="A90" s="1181"/>
      <c r="B90" s="1181"/>
      <c r="C90" s="1210"/>
      <c r="D90" s="959" t="s">
        <v>16</v>
      </c>
      <c r="E90" s="5410"/>
      <c r="F90" s="5410"/>
      <c r="G90" s="5410"/>
      <c r="H90" s="5410"/>
      <c r="I90" s="5410"/>
      <c r="J90" s="1465"/>
      <c r="K90" s="1465"/>
      <c r="L90" s="1465"/>
      <c r="M90" s="1465"/>
      <c r="N90" s="1211"/>
      <c r="O90" s="1211"/>
      <c r="P90" s="1211"/>
      <c r="Q90" s="1211"/>
      <c r="R90" s="1183"/>
      <c r="S90" s="1208"/>
      <c r="T90" s="1183"/>
      <c r="U90" s="1183"/>
      <c r="V90" s="1183"/>
      <c r="W90" s="1183"/>
      <c r="X90" s="1183"/>
      <c r="Y90" s="1183"/>
      <c r="Z90" s="1183"/>
      <c r="AA90" s="1183"/>
      <c r="AB90" s="1183"/>
      <c r="AC90" s="1183"/>
      <c r="AD90" s="1184"/>
      <c r="AE90" s="1184"/>
      <c r="AF90" s="1184"/>
      <c r="AG90" s="1184"/>
      <c r="AH90" s="1184"/>
      <c r="AI90" s="1184"/>
      <c r="AJ90" s="1184"/>
      <c r="AK90" s="1184"/>
      <c r="AL90" s="1185">
        <v>1</v>
      </c>
    </row>
    <row r="91" spans="1:38" s="709" customFormat="1" ht="30" customHeight="1">
      <c r="A91" s="1181"/>
      <c r="B91" s="1181"/>
      <c r="C91" s="1210"/>
      <c r="D91" s="959" t="s">
        <v>16</v>
      </c>
      <c r="E91" s="1469"/>
      <c r="F91" s="1463"/>
      <c r="G91" s="1463"/>
      <c r="H91" s="1464"/>
      <c r="I91" s="1464"/>
      <c r="J91" s="1465"/>
      <c r="K91" s="1465"/>
      <c r="L91" s="1465"/>
      <c r="M91" s="1465"/>
      <c r="N91" s="1211"/>
      <c r="O91" s="1211"/>
      <c r="P91" s="1211"/>
      <c r="Q91" s="1211"/>
      <c r="R91" s="1183"/>
      <c r="S91" s="1208"/>
      <c r="T91" s="1183"/>
      <c r="U91" s="1183"/>
      <c r="V91" s="1183"/>
      <c r="W91" s="1183"/>
      <c r="X91" s="1183"/>
      <c r="Y91" s="1183"/>
      <c r="Z91" s="1183"/>
      <c r="AA91" s="1183"/>
      <c r="AB91" s="1183"/>
      <c r="AC91" s="1183"/>
      <c r="AD91" s="1184"/>
      <c r="AE91" s="1184"/>
      <c r="AF91" s="1184"/>
      <c r="AG91" s="1184"/>
      <c r="AH91" s="1184"/>
      <c r="AI91" s="1184"/>
      <c r="AJ91" s="1184"/>
      <c r="AK91" s="1184"/>
      <c r="AL91" s="1185">
        <v>1</v>
      </c>
    </row>
    <row r="92" spans="1:38" s="709" customFormat="1" ht="30" customHeight="1">
      <c r="A92" s="1181"/>
      <c r="B92" s="1181"/>
      <c r="C92" s="1210"/>
      <c r="D92" s="959" t="s">
        <v>16</v>
      </c>
      <c r="E92" s="5411" t="s">
        <v>1840</v>
      </c>
      <c r="F92" s="5411"/>
      <c r="G92" s="5411"/>
      <c r="H92" s="5411"/>
      <c r="I92" s="5411"/>
      <c r="J92" s="1465"/>
      <c r="K92" s="1465"/>
      <c r="L92" s="1465"/>
      <c r="M92" s="1465"/>
      <c r="N92" s="1211"/>
      <c r="O92" s="1211"/>
      <c r="P92" s="1211"/>
      <c r="Q92" s="1211"/>
      <c r="R92" s="1183"/>
      <c r="S92" s="1208"/>
      <c r="T92" s="1183"/>
      <c r="U92" s="1183"/>
      <c r="V92" s="1183"/>
      <c r="W92" s="1183"/>
      <c r="X92" s="1183"/>
      <c r="Y92" s="1183"/>
      <c r="Z92" s="1183"/>
      <c r="AA92" s="1183"/>
      <c r="AB92" s="1183"/>
      <c r="AC92" s="1183"/>
      <c r="AD92" s="1184"/>
      <c r="AE92" s="1184"/>
      <c r="AF92" s="1184"/>
      <c r="AG92" s="1184"/>
      <c r="AH92" s="1184"/>
      <c r="AI92" s="1184"/>
      <c r="AJ92" s="1184"/>
      <c r="AK92" s="1184"/>
      <c r="AL92" s="1185">
        <v>1</v>
      </c>
    </row>
    <row r="93" spans="1:38" s="709" customFormat="1" ht="30" customHeight="1">
      <c r="A93" s="1181"/>
      <c r="B93" s="1181"/>
      <c r="C93" s="1210"/>
      <c r="D93" s="959" t="s">
        <v>16</v>
      </c>
      <c r="E93" s="5411"/>
      <c r="F93" s="5411"/>
      <c r="G93" s="5411"/>
      <c r="H93" s="5411"/>
      <c r="I93" s="5411"/>
      <c r="J93" s="1465"/>
      <c r="K93" s="1465"/>
      <c r="L93" s="1465"/>
      <c r="M93" s="1465"/>
      <c r="N93" s="1211"/>
      <c r="O93" s="1211"/>
      <c r="P93" s="1211"/>
      <c r="Q93" s="1211"/>
      <c r="R93" s="1183"/>
      <c r="S93" s="1208"/>
      <c r="T93" s="1183"/>
      <c r="U93" s="1183"/>
      <c r="V93" s="1183"/>
      <c r="W93" s="1183"/>
      <c r="X93" s="1183"/>
      <c r="Y93" s="1183"/>
      <c r="Z93" s="1183"/>
      <c r="AA93" s="1183"/>
      <c r="AB93" s="1183"/>
      <c r="AC93" s="1183"/>
      <c r="AD93" s="1184"/>
      <c r="AE93" s="1184"/>
      <c r="AF93" s="1184"/>
      <c r="AG93" s="1184"/>
      <c r="AH93" s="1184"/>
      <c r="AI93" s="1184"/>
      <c r="AJ93" s="1184"/>
      <c r="AK93" s="1184"/>
      <c r="AL93" s="1185">
        <v>1</v>
      </c>
    </row>
    <row r="94" spans="1:38" s="709" customFormat="1" ht="30" customHeight="1">
      <c r="A94" s="1181"/>
      <c r="B94" s="1181"/>
      <c r="C94" s="1210"/>
      <c r="D94" s="959" t="s">
        <v>16</v>
      </c>
      <c r="E94" s="1471"/>
      <c r="F94" s="1463"/>
      <c r="G94" s="1463"/>
      <c r="H94" s="1464"/>
      <c r="I94" s="1464"/>
      <c r="J94" s="1465"/>
      <c r="K94" s="1465"/>
      <c r="L94" s="1465"/>
      <c r="M94" s="1465"/>
      <c r="N94" s="1211"/>
      <c r="O94" s="1211"/>
      <c r="P94" s="1211"/>
      <c r="Q94" s="1211"/>
      <c r="R94" s="1183"/>
      <c r="S94" s="1208"/>
      <c r="T94" s="1183"/>
      <c r="U94" s="1183"/>
      <c r="V94" s="1183"/>
      <c r="W94" s="1183"/>
      <c r="X94" s="1183"/>
      <c r="Y94" s="1183"/>
      <c r="Z94" s="1183"/>
      <c r="AA94" s="1183"/>
      <c r="AB94" s="1183"/>
      <c r="AC94" s="1183"/>
      <c r="AD94" s="1184"/>
      <c r="AE94" s="1184"/>
      <c r="AF94" s="1184"/>
      <c r="AG94" s="1184"/>
      <c r="AH94" s="1184"/>
      <c r="AI94" s="1184"/>
      <c r="AJ94" s="1184"/>
      <c r="AK94" s="1184"/>
      <c r="AL94" s="1185">
        <v>1</v>
      </c>
    </row>
    <row r="95" spans="1:38" s="709" customFormat="1" ht="30" customHeight="1">
      <c r="A95" s="1181"/>
      <c r="B95" s="1181"/>
      <c r="C95" s="1210"/>
      <c r="D95" s="959" t="s">
        <v>16</v>
      </c>
      <c r="E95" s="1471"/>
      <c r="F95" s="1463"/>
      <c r="G95" s="1463"/>
      <c r="H95" s="1464"/>
      <c r="I95" s="1464"/>
      <c r="J95" s="1465"/>
      <c r="K95" s="1465"/>
      <c r="L95" s="1465"/>
      <c r="M95" s="1465"/>
      <c r="N95" s="1211"/>
      <c r="O95" s="1211"/>
      <c r="P95" s="1211"/>
      <c r="Q95" s="1211"/>
      <c r="R95" s="1183"/>
      <c r="S95" s="1208"/>
      <c r="T95" s="1183"/>
      <c r="U95" s="1183"/>
      <c r="V95" s="1183"/>
      <c r="W95" s="1183"/>
      <c r="X95" s="1183"/>
      <c r="Y95" s="1183"/>
      <c r="Z95" s="1183"/>
      <c r="AA95" s="1183"/>
      <c r="AB95" s="1183"/>
      <c r="AC95" s="1183"/>
      <c r="AD95" s="1184"/>
      <c r="AE95" s="1184"/>
      <c r="AF95" s="1184"/>
      <c r="AG95" s="1184"/>
      <c r="AH95" s="1184"/>
      <c r="AI95" s="1184"/>
      <c r="AJ95" s="1184"/>
      <c r="AK95" s="1184"/>
      <c r="AL95" s="1185">
        <v>1</v>
      </c>
    </row>
    <row r="96" spans="1:38" s="709" customFormat="1" ht="30" customHeight="1">
      <c r="A96" s="1181"/>
      <c r="B96" s="1181"/>
      <c r="C96" s="1210"/>
      <c r="D96" s="959" t="s">
        <v>16</v>
      </c>
      <c r="E96" s="1471"/>
      <c r="F96" s="1463"/>
      <c r="G96" s="1463"/>
      <c r="H96" s="1464"/>
      <c r="I96" s="1464"/>
      <c r="J96" s="1465"/>
      <c r="K96" s="1465"/>
      <c r="L96" s="1465"/>
      <c r="M96" s="1465"/>
      <c r="N96" s="1211"/>
      <c r="O96" s="1211"/>
      <c r="P96" s="1211"/>
      <c r="Q96" s="1211"/>
      <c r="R96" s="1183"/>
      <c r="S96" s="1208"/>
      <c r="T96" s="1183"/>
      <c r="U96" s="1183"/>
      <c r="V96" s="1183"/>
      <c r="W96" s="1183"/>
      <c r="X96" s="1183"/>
      <c r="Y96" s="1183"/>
      <c r="Z96" s="1183"/>
      <c r="AA96" s="1183"/>
      <c r="AB96" s="1183"/>
      <c r="AC96" s="1183"/>
      <c r="AD96" s="1184"/>
      <c r="AE96" s="1184"/>
      <c r="AF96" s="1184"/>
      <c r="AG96" s="1184"/>
      <c r="AH96" s="1184"/>
      <c r="AI96" s="1184"/>
      <c r="AJ96" s="1184"/>
      <c r="AK96" s="1184"/>
      <c r="AL96" s="1185">
        <v>1</v>
      </c>
    </row>
    <row r="97" spans="1:39" s="709" customFormat="1" ht="30" customHeight="1">
      <c r="A97" s="1181"/>
      <c r="B97" s="1181"/>
      <c r="C97" s="1210"/>
      <c r="D97" s="959" t="s">
        <v>16</v>
      </c>
      <c r="E97" s="1471"/>
      <c r="F97" s="1463"/>
      <c r="G97" s="1463"/>
      <c r="H97" s="1464"/>
      <c r="I97" s="1464"/>
      <c r="J97" s="1465"/>
      <c r="K97" s="1465"/>
      <c r="L97" s="1465"/>
      <c r="M97" s="1465"/>
      <c r="N97" s="1211"/>
      <c r="O97" s="1211"/>
      <c r="P97" s="1211"/>
      <c r="Q97" s="1211"/>
      <c r="R97" s="1183"/>
      <c r="S97" s="1208"/>
      <c r="T97" s="1183"/>
      <c r="U97" s="1183"/>
      <c r="V97" s="1183"/>
      <c r="W97" s="1183"/>
      <c r="X97" s="1183"/>
      <c r="Y97" s="1183"/>
      <c r="Z97" s="1183"/>
      <c r="AA97" s="1183"/>
      <c r="AB97" s="1183"/>
      <c r="AC97" s="1183"/>
      <c r="AD97" s="1184"/>
      <c r="AE97" s="1184"/>
      <c r="AF97" s="1184"/>
      <c r="AG97" s="1184"/>
      <c r="AH97" s="1184"/>
      <c r="AI97" s="1184"/>
      <c r="AJ97" s="1184"/>
      <c r="AK97" s="1184"/>
      <c r="AL97" s="1185">
        <v>1</v>
      </c>
    </row>
    <row r="98" spans="1:39" s="709" customFormat="1" ht="30" customHeight="1">
      <c r="A98" s="1181"/>
      <c r="B98" s="1181"/>
      <c r="C98" s="1210"/>
      <c r="D98" s="959" t="s">
        <v>16</v>
      </c>
      <c r="E98" s="1471"/>
      <c r="F98" s="1463"/>
      <c r="G98" s="1463"/>
      <c r="H98" s="1464"/>
      <c r="I98" s="1464"/>
      <c r="J98" s="1465"/>
      <c r="K98" s="1465"/>
      <c r="L98" s="1465"/>
      <c r="M98" s="1465"/>
      <c r="N98" s="1211"/>
      <c r="O98" s="1211"/>
      <c r="P98" s="1211"/>
      <c r="Q98" s="1211"/>
      <c r="R98" s="1183"/>
      <c r="S98" s="1208"/>
      <c r="T98" s="1183"/>
      <c r="U98" s="1183"/>
      <c r="V98" s="1183"/>
      <c r="W98" s="1183"/>
      <c r="X98" s="1183"/>
      <c r="Y98" s="1183"/>
      <c r="Z98" s="1183"/>
      <c r="AA98" s="1183"/>
      <c r="AB98" s="1183"/>
      <c r="AC98" s="1183"/>
      <c r="AD98" s="1184"/>
      <c r="AE98" s="1184"/>
      <c r="AF98" s="1184"/>
      <c r="AG98" s="1184"/>
      <c r="AH98" s="1184"/>
      <c r="AI98" s="1184"/>
      <c r="AJ98" s="1184"/>
      <c r="AK98" s="1184"/>
      <c r="AL98" s="1185">
        <v>1</v>
      </c>
    </row>
    <row r="99" spans="1:39" s="709" customFormat="1" ht="30" customHeight="1">
      <c r="A99" s="1181"/>
      <c r="B99" s="1181"/>
      <c r="C99" s="1210"/>
      <c r="D99" s="959" t="s">
        <v>16</v>
      </c>
      <c r="E99" s="5409" t="s">
        <v>1861</v>
      </c>
      <c r="F99" s="5409"/>
      <c r="G99" s="5409"/>
      <c r="H99" s="5409"/>
      <c r="I99" s="5409"/>
      <c r="J99" s="1465"/>
      <c r="K99" s="1465"/>
      <c r="L99" s="1465"/>
      <c r="M99" s="1465"/>
      <c r="N99" s="1211"/>
      <c r="O99" s="1211"/>
      <c r="P99" s="1211"/>
      <c r="Q99" s="1211"/>
      <c r="R99" s="1183"/>
      <c r="S99" s="1208"/>
      <c r="T99" s="1183"/>
      <c r="U99" s="1183"/>
      <c r="V99" s="1183"/>
      <c r="W99" s="1183"/>
      <c r="X99" s="1183"/>
      <c r="Y99" s="1183"/>
      <c r="Z99" s="1183"/>
      <c r="AA99" s="1183"/>
      <c r="AB99" s="1183"/>
      <c r="AC99" s="1183"/>
      <c r="AD99" s="1184"/>
      <c r="AE99" s="1184"/>
      <c r="AF99" s="1184"/>
      <c r="AG99" s="1184"/>
      <c r="AH99" s="1184"/>
      <c r="AI99" s="1184"/>
      <c r="AJ99" s="1184"/>
      <c r="AK99" s="1184"/>
      <c r="AL99" s="1185">
        <v>1</v>
      </c>
    </row>
    <row r="100" spans="1:39" s="709" customFormat="1" ht="30" customHeight="1">
      <c r="A100" s="1181"/>
      <c r="B100" s="1181"/>
      <c r="C100" s="1210"/>
      <c r="D100" s="959" t="s">
        <v>16</v>
      </c>
      <c r="E100" s="5409"/>
      <c r="F100" s="5409"/>
      <c r="G100" s="5409"/>
      <c r="H100" s="5409"/>
      <c r="I100" s="5409"/>
      <c r="J100" s="1465"/>
      <c r="K100" s="1465"/>
      <c r="L100" s="1465"/>
      <c r="M100" s="1465"/>
      <c r="N100" s="1211"/>
      <c r="O100" s="1211"/>
      <c r="P100" s="1211"/>
      <c r="Q100" s="1211"/>
      <c r="R100" s="1183"/>
      <c r="S100" s="1208"/>
      <c r="T100" s="1183"/>
      <c r="U100" s="1183"/>
      <c r="V100" s="1183"/>
      <c r="W100" s="1183"/>
      <c r="X100" s="1183"/>
      <c r="Y100" s="1183"/>
      <c r="Z100" s="1183"/>
      <c r="AA100" s="1183"/>
      <c r="AB100" s="1183"/>
      <c r="AC100" s="1183"/>
      <c r="AD100" s="1184"/>
      <c r="AE100" s="1184"/>
      <c r="AF100" s="1184"/>
      <c r="AG100" s="1184"/>
      <c r="AH100" s="1184"/>
      <c r="AI100" s="1184"/>
      <c r="AJ100" s="1184"/>
      <c r="AK100" s="1184"/>
      <c r="AL100" s="1185">
        <v>1</v>
      </c>
    </row>
    <row r="101" spans="1:39" s="709" customFormat="1" ht="30" customHeight="1">
      <c r="A101" s="1181"/>
      <c r="B101" s="1181"/>
      <c r="C101" s="1210"/>
      <c r="D101" s="959" t="s">
        <v>16</v>
      </c>
      <c r="E101" s="1471"/>
      <c r="F101" s="1463"/>
      <c r="G101" s="1463"/>
      <c r="H101" s="1464"/>
      <c r="I101" s="1464"/>
      <c r="J101" s="1465"/>
      <c r="K101" s="1465"/>
      <c r="L101" s="1465"/>
      <c r="M101" s="1465"/>
      <c r="N101" s="1211"/>
      <c r="O101" s="1211"/>
      <c r="P101" s="1211"/>
      <c r="Q101" s="1211"/>
      <c r="R101" s="1183"/>
      <c r="S101" s="1208"/>
      <c r="T101" s="1183"/>
      <c r="U101" s="1183"/>
      <c r="V101" s="1183"/>
      <c r="W101" s="1183"/>
      <c r="X101" s="1183"/>
      <c r="Y101" s="1183"/>
      <c r="Z101" s="1183"/>
      <c r="AA101" s="1183"/>
      <c r="AB101" s="1183"/>
      <c r="AC101" s="1183"/>
      <c r="AD101" s="1184"/>
      <c r="AE101" s="1184"/>
      <c r="AF101" s="1184"/>
      <c r="AG101" s="1184"/>
      <c r="AH101" s="1184"/>
      <c r="AI101" s="1184"/>
      <c r="AJ101" s="1184"/>
      <c r="AK101" s="1184"/>
      <c r="AL101" s="1185">
        <v>1</v>
      </c>
    </row>
    <row r="102" spans="1:39" s="709" customFormat="1" ht="30" customHeight="1">
      <c r="A102" s="1181"/>
      <c r="B102" s="1181"/>
      <c r="C102" s="1210"/>
      <c r="D102" s="959" t="s">
        <v>16</v>
      </c>
      <c r="E102" s="5409" t="s">
        <v>1871</v>
      </c>
      <c r="F102" s="5409"/>
      <c r="G102" s="5409"/>
      <c r="H102" s="5409"/>
      <c r="I102" s="5409"/>
      <c r="J102" s="1465"/>
      <c r="K102" s="1465"/>
      <c r="L102" s="1465"/>
      <c r="M102" s="1465"/>
      <c r="N102" s="1211"/>
      <c r="O102" s="1211"/>
      <c r="P102" s="1211"/>
      <c r="Q102" s="1211"/>
      <c r="R102" s="1183"/>
      <c r="S102" s="1208"/>
      <c r="T102" s="1183"/>
      <c r="U102" s="1183"/>
      <c r="V102" s="1183"/>
      <c r="W102" s="1183"/>
      <c r="X102" s="1183"/>
      <c r="Y102" s="1183"/>
      <c r="Z102" s="1183"/>
      <c r="AA102" s="1183"/>
      <c r="AB102" s="1183"/>
      <c r="AC102" s="1183"/>
      <c r="AD102" s="1184"/>
      <c r="AE102" s="1184"/>
      <c r="AF102" s="1184"/>
      <c r="AG102" s="1184"/>
      <c r="AH102" s="1184"/>
      <c r="AI102" s="1184"/>
      <c r="AJ102" s="1184"/>
      <c r="AK102" s="1184"/>
      <c r="AL102" s="1185">
        <v>1</v>
      </c>
    </row>
    <row r="103" spans="1:39" s="709" customFormat="1" ht="30" customHeight="1">
      <c r="A103" s="1181"/>
      <c r="B103" s="1181"/>
      <c r="C103" s="1210"/>
      <c r="D103" s="959" t="s">
        <v>16</v>
      </c>
      <c r="E103" s="5409"/>
      <c r="F103" s="5409"/>
      <c r="G103" s="5409"/>
      <c r="H103" s="5409"/>
      <c r="I103" s="5409"/>
      <c r="J103" s="1465"/>
      <c r="K103" s="1465"/>
      <c r="L103" s="1465"/>
      <c r="M103" s="1465"/>
      <c r="N103" s="1211"/>
      <c r="O103" s="1211"/>
      <c r="P103" s="1211"/>
      <c r="Q103" s="1211"/>
      <c r="R103" s="1183"/>
      <c r="S103" s="1208"/>
      <c r="T103" s="1183"/>
      <c r="U103" s="1183"/>
      <c r="V103" s="1183"/>
      <c r="W103" s="1183"/>
      <c r="X103" s="1183"/>
      <c r="Y103" s="1183"/>
      <c r="Z103" s="1183"/>
      <c r="AA103" s="1183"/>
      <c r="AB103" s="1183"/>
      <c r="AC103" s="1183"/>
      <c r="AD103" s="1184"/>
      <c r="AE103" s="1184"/>
      <c r="AF103" s="1184"/>
      <c r="AG103" s="1184"/>
      <c r="AH103" s="1184"/>
      <c r="AI103" s="1184"/>
      <c r="AJ103" s="1184"/>
      <c r="AK103" s="1184"/>
      <c r="AL103" s="1185">
        <v>1</v>
      </c>
    </row>
    <row r="104" spans="1:39" s="709" customFormat="1" ht="30" customHeight="1">
      <c r="A104" s="1181"/>
      <c r="B104" s="1181"/>
      <c r="C104" s="1210"/>
      <c r="D104" s="959" t="s">
        <v>16</v>
      </c>
      <c r="E104" s="1471"/>
      <c r="F104" s="1463"/>
      <c r="G104" s="1463"/>
      <c r="H104" s="1464"/>
      <c r="I104" s="1464"/>
      <c r="J104" s="1465"/>
      <c r="K104" s="1465"/>
      <c r="L104" s="1465"/>
      <c r="M104" s="1465"/>
      <c r="N104" s="1211"/>
      <c r="O104" s="1211"/>
      <c r="P104" s="1211"/>
      <c r="Q104" s="1211"/>
      <c r="R104" s="1183"/>
      <c r="S104" s="1208"/>
      <c r="T104" s="1183"/>
      <c r="U104" s="1183"/>
      <c r="V104" s="1183"/>
      <c r="W104" s="1183"/>
      <c r="X104" s="1183"/>
      <c r="Y104" s="1183"/>
      <c r="Z104" s="1183"/>
      <c r="AA104" s="1183"/>
      <c r="AB104" s="1183"/>
      <c r="AC104" s="1183"/>
      <c r="AD104" s="1184"/>
      <c r="AE104" s="1184"/>
      <c r="AF104" s="1184"/>
      <c r="AG104" s="1184"/>
      <c r="AH104" s="1184"/>
      <c r="AI104" s="1184"/>
      <c r="AJ104" s="1184"/>
      <c r="AK104" s="1184"/>
      <c r="AL104" s="1185">
        <v>1</v>
      </c>
    </row>
    <row r="105" spans="1:39" s="709" customFormat="1" ht="30" customHeight="1">
      <c r="A105" s="1181"/>
      <c r="B105" s="1181"/>
      <c r="C105" s="1210"/>
      <c r="D105" s="959" t="s">
        <v>16</v>
      </c>
      <c r="E105" s="1469" t="s">
        <v>1885</v>
      </c>
      <c r="F105" s="1463"/>
      <c r="G105" s="1463"/>
      <c r="H105" s="1464"/>
      <c r="I105" s="1464"/>
      <c r="J105" s="1465"/>
      <c r="K105" s="1465"/>
      <c r="L105" s="1465"/>
      <c r="M105" s="1465"/>
      <c r="N105" s="1211"/>
      <c r="O105" s="1211"/>
      <c r="P105" s="1211"/>
      <c r="Q105" s="1211"/>
      <c r="R105" s="1183"/>
      <c r="S105" s="1208"/>
      <c r="T105" s="1183"/>
      <c r="U105" s="1183"/>
      <c r="V105" s="1183"/>
      <c r="W105" s="1183"/>
      <c r="X105" s="1183"/>
      <c r="Y105" s="1183"/>
      <c r="Z105" s="1183"/>
      <c r="AA105" s="1183"/>
      <c r="AB105" s="1183"/>
      <c r="AC105" s="1183"/>
      <c r="AD105" s="1184"/>
      <c r="AE105" s="1184"/>
      <c r="AF105" s="1184"/>
      <c r="AG105" s="1184"/>
      <c r="AH105" s="1184"/>
      <c r="AI105" s="1184"/>
      <c r="AJ105" s="1184"/>
      <c r="AK105" s="1184"/>
      <c r="AL105" s="1185">
        <v>1</v>
      </c>
    </row>
    <row r="106" spans="1:39" s="709" customFormat="1" ht="30" customHeight="1">
      <c r="A106" s="1181"/>
      <c r="B106" s="1181"/>
      <c r="C106" s="1210"/>
      <c r="D106" s="959" t="s">
        <v>16</v>
      </c>
      <c r="E106" s="1471"/>
      <c r="F106" s="1463"/>
      <c r="G106" s="1463"/>
      <c r="H106" s="1464"/>
      <c r="I106" s="1464"/>
      <c r="J106" s="1465"/>
      <c r="K106" s="1465"/>
      <c r="L106" s="1465"/>
      <c r="M106" s="1465"/>
      <c r="N106" s="1211"/>
      <c r="O106" s="1211"/>
      <c r="P106" s="1211"/>
      <c r="Q106" s="1211"/>
      <c r="R106" s="1183"/>
      <c r="S106" s="1208"/>
      <c r="T106" s="1183"/>
      <c r="U106" s="1183"/>
      <c r="V106" s="1183"/>
      <c r="W106" s="1183"/>
      <c r="X106" s="1183"/>
      <c r="Y106" s="1183"/>
      <c r="Z106" s="1183"/>
      <c r="AA106" s="1183"/>
      <c r="AB106" s="1183"/>
      <c r="AC106" s="1183"/>
      <c r="AD106" s="1184"/>
      <c r="AE106" s="1184"/>
      <c r="AF106" s="1184"/>
      <c r="AG106" s="1184"/>
      <c r="AH106" s="1184"/>
      <c r="AI106" s="1184"/>
      <c r="AJ106" s="1184"/>
      <c r="AK106" s="1184"/>
      <c r="AL106" s="1185">
        <v>1</v>
      </c>
    </row>
    <row r="107" spans="1:39" s="709" customFormat="1" ht="30" customHeight="1">
      <c r="A107" s="1181"/>
      <c r="B107" s="1181"/>
      <c r="C107" s="1210"/>
      <c r="D107" s="959" t="s">
        <v>16</v>
      </c>
      <c r="E107" s="1471"/>
      <c r="F107" s="1463"/>
      <c r="G107" s="1463"/>
      <c r="H107" s="1464"/>
      <c r="I107" s="1464"/>
      <c r="J107" s="1465"/>
      <c r="K107" s="1465"/>
      <c r="L107" s="1465"/>
      <c r="M107" s="1465"/>
      <c r="N107" s="1211"/>
      <c r="O107" s="1211"/>
      <c r="P107" s="1211"/>
      <c r="Q107" s="1211"/>
      <c r="R107" s="1183"/>
      <c r="S107" s="1208"/>
      <c r="T107" s="1183"/>
      <c r="U107" s="1183"/>
      <c r="V107" s="1183"/>
      <c r="W107" s="1183"/>
      <c r="X107" s="1183"/>
      <c r="Y107" s="1183"/>
      <c r="Z107" s="1183"/>
      <c r="AA107" s="1183"/>
      <c r="AB107" s="1183"/>
      <c r="AC107" s="1183"/>
      <c r="AD107" s="1184"/>
      <c r="AE107" s="1184"/>
      <c r="AF107" s="1184"/>
      <c r="AG107" s="1184"/>
      <c r="AH107" s="1184"/>
      <c r="AI107" s="1184"/>
      <c r="AJ107" s="1184"/>
      <c r="AK107" s="1184"/>
      <c r="AL107" s="1185">
        <v>1</v>
      </c>
    </row>
    <row r="108" spans="1:39" s="709" customFormat="1" ht="30" customHeight="1">
      <c r="A108" s="1181"/>
      <c r="B108" s="1181"/>
      <c r="C108" s="1210"/>
      <c r="D108" s="959" t="s">
        <v>16</v>
      </c>
      <c r="E108" s="1471"/>
      <c r="F108" s="1463"/>
      <c r="G108" s="1463"/>
      <c r="H108" s="1464"/>
      <c r="I108" s="1464"/>
      <c r="J108" s="1465"/>
      <c r="K108" s="1465"/>
      <c r="L108" s="1465"/>
      <c r="M108" s="1465"/>
      <c r="N108" s="1211"/>
      <c r="O108" s="1211"/>
      <c r="P108" s="1211"/>
      <c r="Q108" s="1211"/>
      <c r="R108" s="1183"/>
      <c r="S108" s="1208"/>
      <c r="T108" s="1183"/>
      <c r="U108" s="1183"/>
      <c r="V108" s="1183"/>
      <c r="W108" s="1183"/>
      <c r="X108" s="1183"/>
      <c r="Y108" s="1183"/>
      <c r="Z108" s="1183"/>
      <c r="AA108" s="1183"/>
      <c r="AB108" s="1183"/>
      <c r="AC108" s="1183"/>
      <c r="AD108" s="1184"/>
      <c r="AE108" s="1184"/>
      <c r="AF108" s="1184"/>
      <c r="AG108" s="1184"/>
      <c r="AH108" s="1184"/>
      <c r="AI108" s="1184"/>
      <c r="AJ108" s="1184"/>
      <c r="AK108" s="1184"/>
      <c r="AL108" s="1185">
        <v>1</v>
      </c>
    </row>
    <row r="109" spans="1:39" s="709" customFormat="1" ht="30" customHeight="1">
      <c r="A109" s="1181"/>
      <c r="B109" s="1181"/>
      <c r="C109" s="1210"/>
      <c r="D109" s="959" t="s">
        <v>16</v>
      </c>
      <c r="E109" s="1471"/>
      <c r="F109" s="1463"/>
      <c r="G109" s="1463"/>
      <c r="H109" s="1464"/>
      <c r="I109" s="1464"/>
      <c r="J109" s="1465"/>
      <c r="K109" s="1465"/>
      <c r="L109" s="1465"/>
      <c r="M109" s="1465"/>
      <c r="N109" s="1211"/>
      <c r="O109" s="1211"/>
      <c r="P109" s="1211"/>
      <c r="Q109" s="1211"/>
      <c r="R109" s="1183"/>
      <c r="S109" s="1208"/>
      <c r="T109" s="1183"/>
      <c r="U109" s="1183"/>
      <c r="V109" s="1183"/>
      <c r="W109" s="1183"/>
      <c r="X109" s="1183"/>
      <c r="Y109" s="1183"/>
      <c r="Z109" s="1183"/>
      <c r="AA109" s="1183"/>
      <c r="AB109" s="1183"/>
      <c r="AC109" s="1183"/>
      <c r="AD109" s="1184"/>
      <c r="AE109" s="1184"/>
      <c r="AF109" s="1184"/>
      <c r="AG109" s="1184"/>
      <c r="AH109" s="1184"/>
      <c r="AI109" s="1184"/>
      <c r="AJ109" s="1184"/>
      <c r="AK109" s="1184"/>
      <c r="AL109" s="1185">
        <v>1</v>
      </c>
    </row>
    <row r="110" spans="1:39" s="709" customFormat="1" ht="30" customHeight="1">
      <c r="A110" s="1181"/>
      <c r="B110" s="1181"/>
      <c r="C110" s="1219"/>
      <c r="D110" s="1218"/>
      <c r="E110" s="1209"/>
      <c r="F110" s="1209"/>
      <c r="G110" s="1189"/>
      <c r="H110" s="1189"/>
      <c r="I110" s="1211"/>
      <c r="J110" s="1211"/>
      <c r="K110" s="1211"/>
      <c r="L110" s="1211"/>
      <c r="M110" s="1211"/>
      <c r="N110" s="1211"/>
      <c r="O110" s="1211"/>
      <c r="P110" s="1211"/>
      <c r="Q110" s="1211"/>
      <c r="R110" s="1183"/>
      <c r="S110" s="1208"/>
      <c r="T110" s="1183"/>
      <c r="U110" s="1183"/>
      <c r="V110" s="1183"/>
      <c r="W110" s="1183"/>
      <c r="X110" s="1183"/>
      <c r="Y110" s="1183"/>
      <c r="Z110" s="1183"/>
      <c r="AA110" s="1183"/>
      <c r="AB110" s="1183"/>
      <c r="AC110" s="1183"/>
      <c r="AD110" s="1184"/>
      <c r="AE110" s="1184"/>
      <c r="AF110" s="1184"/>
      <c r="AG110" s="1184"/>
      <c r="AH110" s="1184"/>
      <c r="AI110" s="1184"/>
      <c r="AJ110" s="1184"/>
      <c r="AK110" s="1184"/>
      <c r="AL110" s="1185">
        <v>1</v>
      </c>
    </row>
    <row r="111" spans="1:39" s="709" customFormat="1" ht="30" customHeight="1">
      <c r="A111" s="1181"/>
      <c r="B111" s="1181"/>
      <c r="C111" s="1209"/>
      <c r="D111" s="1209" t="s">
        <v>2648</v>
      </c>
      <c r="E111" s="1211"/>
      <c r="F111" s="1189"/>
      <c r="G111" s="1211"/>
      <c r="H111" s="1211"/>
      <c r="I111" s="1211"/>
      <c r="J111" s="1211"/>
      <c r="K111" s="1211"/>
      <c r="L111" s="1211"/>
      <c r="M111" s="1211"/>
      <c r="N111" s="1211"/>
      <c r="O111" s="1211"/>
      <c r="P111" s="1208"/>
      <c r="Q111" s="1208"/>
      <c r="R111" s="1208"/>
      <c r="S111" s="1208"/>
      <c r="T111" s="1183"/>
      <c r="U111" s="1183"/>
      <c r="V111" s="1183"/>
      <c r="W111" s="1183"/>
      <c r="X111" s="1183"/>
      <c r="Y111" s="1193"/>
      <c r="Z111" s="1183"/>
      <c r="AA111" s="1183"/>
      <c r="AB111" s="1183"/>
      <c r="AC111" s="1183"/>
      <c r="AD111" s="1184"/>
      <c r="AE111" s="1184"/>
      <c r="AF111" s="1184"/>
      <c r="AG111" s="1184"/>
      <c r="AH111" s="1184"/>
      <c r="AI111" s="1184"/>
      <c r="AJ111" s="1184"/>
      <c r="AK111" s="1184"/>
      <c r="AL111" s="1185">
        <v>1</v>
      </c>
      <c r="AM111" s="709">
        <v>47</v>
      </c>
    </row>
    <row r="112" spans="1:39" s="709" customFormat="1" ht="30" customHeight="1">
      <c r="A112" s="1181"/>
      <c r="B112" s="1181"/>
      <c r="C112" s="1209"/>
      <c r="D112" s="1220" t="s">
        <v>1964</v>
      </c>
      <c r="E112" s="1211"/>
      <c r="F112" s="1189"/>
      <c r="G112" s="1211"/>
      <c r="H112" s="1211"/>
      <c r="I112" s="1211"/>
      <c r="J112" s="1211"/>
      <c r="K112" s="1211"/>
      <c r="L112" s="1211"/>
      <c r="M112" s="120" t="s">
        <v>113</v>
      </c>
      <c r="N112" s="121"/>
      <c r="O112" s="122"/>
      <c r="P112" s="1183"/>
      <c r="Q112" s="1183"/>
      <c r="R112" s="1183"/>
      <c r="S112" s="1183"/>
      <c r="T112" s="1183"/>
      <c r="U112" s="1183"/>
      <c r="V112" s="1183"/>
      <c r="W112" s="1183"/>
      <c r="X112" s="1183"/>
      <c r="Y112" s="1193"/>
      <c r="Z112" s="1183"/>
      <c r="AA112" s="1183"/>
      <c r="AB112" s="1183"/>
      <c r="AC112" s="1183"/>
      <c r="AD112" s="1184"/>
      <c r="AE112" s="1184"/>
      <c r="AF112" s="1184"/>
      <c r="AG112" s="1184"/>
      <c r="AH112" s="1184"/>
      <c r="AI112" s="1184"/>
      <c r="AJ112" s="1184"/>
      <c r="AK112" s="1184"/>
      <c r="AL112" s="1185">
        <v>1</v>
      </c>
      <c r="AM112" s="709">
        <v>48</v>
      </c>
    </row>
    <row r="113" spans="1:40" s="709" customFormat="1" ht="30" customHeight="1">
      <c r="A113" s="1181"/>
      <c r="B113" s="1230" t="s">
        <v>2649</v>
      </c>
      <c r="C113" s="1210"/>
      <c r="D113" s="1211"/>
      <c r="E113" s="1211"/>
      <c r="F113" s="1211"/>
      <c r="G113" s="1211"/>
      <c r="H113" s="1211"/>
      <c r="I113" s="1211"/>
      <c r="J113" s="1211"/>
      <c r="K113" s="1211"/>
      <c r="L113" s="1211"/>
      <c r="M113" s="5396" t="s">
        <v>118</v>
      </c>
      <c r="N113" s="124" t="s">
        <v>119</v>
      </c>
      <c r="O113" s="125"/>
      <c r="P113" s="1208"/>
      <c r="Q113" s="1208"/>
      <c r="R113" s="1208"/>
      <c r="S113" s="1231" t="s">
        <v>3104</v>
      </c>
      <c r="T113" s="1208"/>
      <c r="U113" s="1208"/>
      <c r="V113" s="1208"/>
      <c r="W113" s="1183"/>
      <c r="X113" s="1183"/>
      <c r="Y113" s="1193"/>
      <c r="Z113" s="1183"/>
      <c r="AA113" s="1183"/>
      <c r="AB113" s="1183"/>
      <c r="AC113" s="1183"/>
      <c r="AD113" s="1184"/>
      <c r="AE113" s="1184"/>
      <c r="AF113" s="1184"/>
      <c r="AG113" s="1184"/>
      <c r="AH113" s="1184"/>
      <c r="AI113" s="1184"/>
      <c r="AJ113" s="1184"/>
      <c r="AK113" s="1184"/>
      <c r="AL113" s="1185">
        <v>1</v>
      </c>
      <c r="AM113" s="709">
        <v>49</v>
      </c>
    </row>
    <row r="114" spans="1:40" s="709" customFormat="1" ht="30" customHeight="1">
      <c r="A114" s="1181"/>
      <c r="B114" s="1232" t="s">
        <v>2650</v>
      </c>
      <c r="C114" s="1183"/>
      <c r="D114" s="1183"/>
      <c r="E114" s="1183"/>
      <c r="F114" s="1183"/>
      <c r="G114" s="1183"/>
      <c r="H114" s="1183"/>
      <c r="I114" s="1183"/>
      <c r="J114" s="1183"/>
      <c r="K114" s="1211"/>
      <c r="L114" s="1211"/>
      <c r="M114" s="5396"/>
      <c r="N114" s="124" t="s">
        <v>124</v>
      </c>
      <c r="O114" s="125"/>
      <c r="P114" s="1208"/>
      <c r="Q114" s="1208"/>
      <c r="R114" s="1208"/>
      <c r="S114" s="1208"/>
      <c r="T114" s="1233" t="s">
        <v>2651</v>
      </c>
      <c r="U114" s="1194" t="s">
        <v>2652</v>
      </c>
      <c r="V114" s="1208"/>
      <c r="W114" s="1183"/>
      <c r="X114" s="1208"/>
      <c r="Y114" s="1208"/>
      <c r="Z114" s="1208"/>
      <c r="AA114" s="1208"/>
      <c r="AB114" s="1208"/>
      <c r="AC114" s="1208"/>
      <c r="AD114" s="1208"/>
      <c r="AE114" s="1208"/>
      <c r="AF114" s="1208"/>
      <c r="AG114" s="1208"/>
      <c r="AH114" s="1208"/>
      <c r="AI114" s="1208"/>
      <c r="AJ114" s="1208"/>
      <c r="AK114" s="1208"/>
      <c r="AL114" s="1185">
        <v>1</v>
      </c>
      <c r="AM114" s="709">
        <v>50</v>
      </c>
    </row>
    <row r="115" spans="1:40" s="709" customFormat="1" ht="30" customHeight="1">
      <c r="A115" s="1181"/>
      <c r="B115" s="1232" t="s">
        <v>2653</v>
      </c>
      <c r="C115" s="1183"/>
      <c r="D115" s="1183"/>
      <c r="E115" s="1183"/>
      <c r="F115" s="1183"/>
      <c r="G115" s="1183"/>
      <c r="H115" s="1183"/>
      <c r="I115" s="1183"/>
      <c r="J115" s="1183"/>
      <c r="K115" s="1211"/>
      <c r="L115" s="1211"/>
      <c r="M115" s="5396"/>
      <c r="N115" s="124" t="s">
        <v>125</v>
      </c>
      <c r="O115" s="125"/>
      <c r="P115" s="1208"/>
      <c r="Q115" s="1208"/>
      <c r="R115" s="1208"/>
      <c r="S115" s="1208"/>
      <c r="T115" s="1208"/>
      <c r="U115" s="1208"/>
      <c r="V115" s="1208"/>
      <c r="W115" s="1183"/>
      <c r="X115" s="1208"/>
      <c r="Y115" s="1208"/>
      <c r="Z115" s="1208"/>
      <c r="AA115" s="1208"/>
      <c r="AB115" s="1208"/>
      <c r="AC115" s="1208"/>
      <c r="AD115" s="1208"/>
      <c r="AE115" s="1208"/>
      <c r="AF115" s="1208"/>
      <c r="AG115" s="1208"/>
      <c r="AH115" s="1208"/>
      <c r="AI115" s="1208"/>
      <c r="AJ115" s="1208"/>
      <c r="AK115" s="1208"/>
      <c r="AL115" s="1185">
        <v>1</v>
      </c>
      <c r="AM115" s="709">
        <v>51</v>
      </c>
    </row>
    <row r="116" spans="1:40" s="709" customFormat="1" ht="30" customHeight="1">
      <c r="A116" s="1181"/>
      <c r="B116" s="1234" t="s">
        <v>2654</v>
      </c>
      <c r="C116" s="1183"/>
      <c r="D116" s="1234" t="s">
        <v>11</v>
      </c>
      <c r="E116" s="1183"/>
      <c r="F116" s="1183"/>
      <c r="G116" s="1183"/>
      <c r="H116" s="1183"/>
      <c r="I116" s="1183"/>
      <c r="J116" s="1183"/>
      <c r="K116" s="1211"/>
      <c r="L116" s="1211"/>
      <c r="M116" s="5396"/>
      <c r="N116" s="124" t="s">
        <v>128</v>
      </c>
      <c r="O116" s="125"/>
      <c r="P116" s="1208"/>
      <c r="Q116" s="1208"/>
      <c r="R116" s="1208"/>
      <c r="S116" s="1183"/>
      <c r="T116" s="1233" t="s">
        <v>2651</v>
      </c>
      <c r="U116" s="1194" t="s">
        <v>2655</v>
      </c>
      <c r="V116" s="1183"/>
      <c r="W116" s="1183"/>
      <c r="X116" s="1208"/>
      <c r="Y116" s="1208"/>
      <c r="Z116" s="1208"/>
      <c r="AA116" s="1208"/>
      <c r="AB116" s="1208"/>
      <c r="AC116" s="1208"/>
      <c r="AD116" s="1208"/>
      <c r="AE116" s="1208"/>
      <c r="AF116" s="1208"/>
      <c r="AG116" s="1208"/>
      <c r="AH116" s="1208"/>
      <c r="AI116" s="1208"/>
      <c r="AJ116" s="1208"/>
      <c r="AK116" s="1208"/>
      <c r="AL116" s="1185">
        <v>1</v>
      </c>
      <c r="AM116" s="709">
        <v>52</v>
      </c>
    </row>
    <row r="117" spans="1:40" s="709" customFormat="1" ht="30" customHeight="1">
      <c r="A117" s="1181"/>
      <c r="B117" s="1232" t="s">
        <v>2656</v>
      </c>
      <c r="C117" s="1183"/>
      <c r="D117" s="1183"/>
      <c r="E117" s="1183"/>
      <c r="F117" s="1183"/>
      <c r="G117" s="1183"/>
      <c r="H117" s="1183"/>
      <c r="I117" s="1183"/>
      <c r="J117" s="1183"/>
      <c r="K117" s="1211"/>
      <c r="L117" s="1211"/>
      <c r="M117" s="5396"/>
      <c r="N117" s="124" t="s">
        <v>130</v>
      </c>
      <c r="O117" s="125"/>
      <c r="P117" s="1208"/>
      <c r="Q117" s="1208"/>
      <c r="R117" s="1208"/>
      <c r="S117" s="1183"/>
      <c r="T117" s="1231" t="s">
        <v>2657</v>
      </c>
      <c r="U117" s="1183"/>
      <c r="V117" s="1183"/>
      <c r="W117" s="1183"/>
      <c r="X117" s="1208"/>
      <c r="Y117" s="1208"/>
      <c r="Z117" s="1208"/>
      <c r="AA117" s="1208"/>
      <c r="AB117" s="1208"/>
      <c r="AC117" s="1208"/>
      <c r="AD117" s="1208"/>
      <c r="AE117" s="1208"/>
      <c r="AF117" s="1208"/>
      <c r="AG117" s="1208"/>
      <c r="AH117" s="1208"/>
      <c r="AI117" s="1208"/>
      <c r="AJ117" s="1208"/>
      <c r="AK117" s="1208"/>
      <c r="AL117" s="1185">
        <v>1</v>
      </c>
      <c r="AM117" s="709">
        <v>53</v>
      </c>
    </row>
    <row r="118" spans="1:40" s="709" customFormat="1" ht="30" customHeight="1">
      <c r="A118" s="1181"/>
      <c r="B118" s="1232" t="s">
        <v>2658</v>
      </c>
      <c r="C118" s="1183"/>
      <c r="D118" s="1183"/>
      <c r="E118" s="1183"/>
      <c r="F118" s="1183"/>
      <c r="G118" s="1183"/>
      <c r="H118" s="1183"/>
      <c r="I118" s="1183"/>
      <c r="J118" s="1183"/>
      <c r="K118" s="1211"/>
      <c r="L118" s="1211"/>
      <c r="M118" s="5397"/>
      <c r="N118" s="128" t="s">
        <v>133</v>
      </c>
      <c r="O118" s="129"/>
      <c r="P118" s="1208"/>
      <c r="Q118" s="1208"/>
      <c r="R118" s="1208"/>
      <c r="S118" s="1183"/>
      <c r="T118" s="1233" t="s">
        <v>2651</v>
      </c>
      <c r="U118" s="1194" t="s">
        <v>2652</v>
      </c>
      <c r="V118" s="1183"/>
      <c r="W118" s="1183"/>
      <c r="X118" s="1208"/>
      <c r="Y118" s="1235" t="s">
        <v>2659</v>
      </c>
      <c r="Z118" s="1208"/>
      <c r="AA118" s="1208"/>
      <c r="AB118" s="1208"/>
      <c r="AC118" s="1208"/>
      <c r="AD118" s="1208"/>
      <c r="AE118" s="1208"/>
      <c r="AF118" s="1208"/>
      <c r="AG118" s="1208"/>
      <c r="AH118" s="1208"/>
      <c r="AI118" s="1208"/>
      <c r="AJ118" s="1208"/>
      <c r="AK118" s="1208"/>
      <c r="AL118" s="1185">
        <v>1</v>
      </c>
    </row>
    <row r="119" spans="1:40" s="709" customFormat="1" ht="30" customHeight="1">
      <c r="A119" s="1181"/>
      <c r="B119" s="1232" t="s">
        <v>2660</v>
      </c>
      <c r="C119" s="1183"/>
      <c r="D119" s="1183"/>
      <c r="E119" s="1183"/>
      <c r="F119" s="1183"/>
      <c r="G119" s="1183"/>
      <c r="H119" s="1183"/>
      <c r="I119" s="1183"/>
      <c r="J119" s="1183"/>
      <c r="K119" s="1211"/>
      <c r="L119" s="1211"/>
      <c r="M119" s="1211"/>
      <c r="N119" s="1211"/>
      <c r="O119" s="1211"/>
      <c r="P119" s="1211"/>
      <c r="Q119" s="1208"/>
      <c r="R119" s="1208"/>
      <c r="S119" s="1183"/>
      <c r="T119" s="1183"/>
      <c r="U119" s="1236" t="s">
        <v>2661</v>
      </c>
      <c r="V119" s="1183"/>
      <c r="W119" s="1236"/>
      <c r="X119" s="1208"/>
      <c r="Y119" s="1236"/>
      <c r="Z119" s="1208"/>
      <c r="AA119" s="1236"/>
      <c r="AB119" s="1208"/>
      <c r="AC119" s="1208"/>
      <c r="AD119" s="1208"/>
      <c r="AE119" s="1208"/>
      <c r="AF119" s="1208"/>
      <c r="AG119" s="1208"/>
      <c r="AH119" s="1208"/>
      <c r="AI119" s="1208"/>
      <c r="AJ119" s="1208"/>
      <c r="AK119" s="1208"/>
      <c r="AL119" s="1185">
        <v>1</v>
      </c>
    </row>
    <row r="120" spans="1:40" s="709" customFormat="1" ht="30" customHeight="1">
      <c r="A120" s="1181"/>
      <c r="B120" s="1183"/>
      <c r="C120" s="1183"/>
      <c r="D120" s="1183"/>
      <c r="E120" s="1183"/>
      <c r="F120" s="1183"/>
      <c r="G120" s="1183"/>
      <c r="H120" s="1183"/>
      <c r="I120" s="1183"/>
      <c r="J120" s="1183"/>
      <c r="K120" s="1211"/>
      <c r="L120" s="1211"/>
      <c r="M120" s="1211"/>
      <c r="N120" s="1211"/>
      <c r="O120" s="1211"/>
      <c r="P120" s="1211"/>
      <c r="Q120" s="1208"/>
      <c r="R120" s="1208"/>
      <c r="S120" s="1183"/>
      <c r="T120" s="1183"/>
      <c r="U120" s="1236" t="s">
        <v>2663</v>
      </c>
      <c r="V120" s="1183"/>
      <c r="W120" s="1236"/>
      <c r="X120" s="1208"/>
      <c r="Y120" s="1236"/>
      <c r="Z120" s="1208"/>
      <c r="AA120" s="1236"/>
      <c r="AB120" s="1208"/>
      <c r="AC120" s="1208"/>
      <c r="AD120" s="1208"/>
      <c r="AE120" s="1208"/>
      <c r="AF120" s="1208"/>
      <c r="AG120" s="1208"/>
      <c r="AH120" s="1208"/>
      <c r="AI120" s="1208"/>
      <c r="AJ120" s="1208"/>
      <c r="AK120" s="1208"/>
      <c r="AL120" s="1185">
        <v>1</v>
      </c>
    </row>
    <row r="121" spans="1:40" s="709" customFormat="1" ht="30" customHeight="1">
      <c r="A121" s="1181"/>
      <c r="B121" s="1209"/>
      <c r="C121" s="1210"/>
      <c r="D121" s="1211"/>
      <c r="E121" s="1211"/>
      <c r="F121" s="1211"/>
      <c r="G121" s="1211"/>
      <c r="H121" s="1211"/>
      <c r="I121" s="1211"/>
      <c r="J121" s="1211"/>
      <c r="K121" s="1211"/>
      <c r="L121" s="1211"/>
      <c r="M121" s="1211"/>
      <c r="N121" s="1211"/>
      <c r="O121" s="1211"/>
      <c r="P121" s="1208"/>
      <c r="Q121" s="1208"/>
      <c r="R121" s="1208"/>
      <c r="S121" s="1208"/>
      <c r="T121" s="1208"/>
      <c r="U121" s="1236" t="s">
        <v>2662</v>
      </c>
      <c r="V121" s="1208"/>
      <c r="W121" s="1208"/>
      <c r="X121" s="1208"/>
      <c r="Y121" s="1208"/>
      <c r="Z121" s="1208"/>
      <c r="AA121" s="1208"/>
      <c r="AB121" s="1208"/>
      <c r="AC121" s="1208"/>
      <c r="AD121" s="1208"/>
      <c r="AE121" s="1208"/>
      <c r="AF121" s="1208"/>
      <c r="AG121" s="1208"/>
      <c r="AH121" s="1208"/>
      <c r="AI121" s="1208"/>
      <c r="AJ121" s="1208"/>
      <c r="AK121" s="1208"/>
      <c r="AL121" s="1185">
        <v>1</v>
      </c>
    </row>
    <row r="122" spans="1:40" s="709" customFormat="1" ht="30" customHeight="1">
      <c r="A122" s="1181"/>
      <c r="B122" s="1237"/>
      <c r="C122" s="1238" t="s">
        <v>2665</v>
      </c>
      <c r="D122" s="1238"/>
      <c r="E122" s="1238"/>
      <c r="F122" s="1239"/>
      <c r="G122" s="1239"/>
      <c r="H122" s="1239"/>
      <c r="I122" s="1239"/>
      <c r="J122" s="1239"/>
      <c r="K122" s="1239"/>
      <c r="L122" s="1239"/>
      <c r="M122" s="1239"/>
      <c r="N122" s="1237"/>
      <c r="O122" s="1237"/>
      <c r="P122" s="1237"/>
      <c r="Q122" s="1208"/>
      <c r="R122" s="1208"/>
      <c r="S122" s="1208"/>
      <c r="T122" s="1208"/>
      <c r="U122" s="1236" t="s">
        <v>2664</v>
      </c>
      <c r="V122" s="1208"/>
      <c r="W122" s="1208"/>
      <c r="X122" s="1208"/>
      <c r="Y122" s="1208"/>
      <c r="Z122" s="1208"/>
      <c r="AA122" s="1208"/>
      <c r="AB122" s="1208"/>
      <c r="AC122" s="1208"/>
      <c r="AD122" s="1208"/>
      <c r="AE122" s="1208"/>
      <c r="AF122" s="1208"/>
      <c r="AG122" s="1208"/>
      <c r="AH122" s="1208"/>
      <c r="AI122" s="1184"/>
      <c r="AJ122" s="1184"/>
      <c r="AK122" s="1184"/>
      <c r="AL122" s="1185">
        <v>1</v>
      </c>
    </row>
    <row r="123" spans="1:40" s="709" customFormat="1" ht="30" customHeight="1">
      <c r="A123" s="1181"/>
      <c r="B123" s="1240" t="s">
        <v>2666</v>
      </c>
      <c r="C123" s="1241"/>
      <c r="D123" s="1239"/>
      <c r="E123" s="1239"/>
      <c r="F123" s="1239"/>
      <c r="G123" s="1239"/>
      <c r="H123" s="1242" t="s">
        <v>2667</v>
      </c>
      <c r="I123" s="1239"/>
      <c r="J123" s="1239"/>
      <c r="K123" s="1239"/>
      <c r="L123" s="1239"/>
      <c r="M123" s="1239"/>
      <c r="N123" s="1237"/>
      <c r="O123" s="1237"/>
      <c r="P123" s="1237"/>
      <c r="Q123" s="1208"/>
      <c r="R123" s="1208"/>
      <c r="S123" s="1208"/>
      <c r="T123" s="1208"/>
      <c r="U123" s="1208"/>
      <c r="V123" s="1208"/>
      <c r="W123" s="1208"/>
      <c r="X123" s="1208"/>
      <c r="Y123" s="1208"/>
      <c r="Z123" s="1208"/>
      <c r="AA123" s="1208"/>
      <c r="AB123" s="1208"/>
      <c r="AC123" s="1208"/>
      <c r="AD123" s="1208"/>
      <c r="AE123" s="1208"/>
      <c r="AF123" s="1208"/>
      <c r="AG123" s="1208"/>
      <c r="AH123" s="1208"/>
      <c r="AI123" s="1184"/>
      <c r="AJ123" s="1184"/>
      <c r="AK123" s="1184"/>
      <c r="AL123" s="1185">
        <v>1</v>
      </c>
    </row>
    <row r="124" spans="1:40" s="709" customFormat="1" ht="30" customHeight="1">
      <c r="A124" s="1181"/>
      <c r="B124" s="1240"/>
      <c r="C124" s="1243" t="s">
        <v>2668</v>
      </c>
      <c r="D124" s="1243"/>
      <c r="E124" s="1243"/>
      <c r="F124" s="1243"/>
      <c r="G124" s="1243"/>
      <c r="H124" s="1243"/>
      <c r="I124" s="1243"/>
      <c r="J124" s="1243"/>
      <c r="K124" s="1243"/>
      <c r="L124" s="1243"/>
      <c r="M124" s="1243"/>
      <c r="N124" s="1243"/>
      <c r="O124" s="1243"/>
      <c r="P124" s="1243"/>
      <c r="Q124" s="1208"/>
      <c r="R124" s="1208"/>
      <c r="S124" s="1208"/>
      <c r="T124" s="1208"/>
      <c r="U124" s="1208"/>
      <c r="V124" s="1208"/>
      <c r="W124" s="1208"/>
      <c r="X124" s="1208"/>
      <c r="Y124" s="1208"/>
      <c r="Z124" s="1208"/>
      <c r="AA124" s="1208"/>
      <c r="AB124" s="1208"/>
      <c r="AC124" s="1208"/>
      <c r="AD124" s="1208"/>
      <c r="AE124" s="1208"/>
      <c r="AF124" s="1208"/>
      <c r="AG124" s="1208"/>
      <c r="AH124" s="1208"/>
      <c r="AI124" s="1184"/>
      <c r="AJ124" s="1184"/>
      <c r="AK124" s="1184"/>
      <c r="AL124" s="1185">
        <v>1</v>
      </c>
    </row>
    <row r="125" spans="1:40" s="709" customFormat="1" ht="30" customHeight="1">
      <c r="A125" s="1181"/>
      <c r="B125" s="1240"/>
      <c r="C125" s="1241"/>
      <c r="D125" s="1241"/>
      <c r="E125" s="1241"/>
      <c r="F125" s="1241"/>
      <c r="G125" s="1241"/>
      <c r="H125" s="1241"/>
      <c r="I125" s="1241"/>
      <c r="J125" s="1241"/>
      <c r="K125" s="1241"/>
      <c r="L125" s="1241"/>
      <c r="M125" s="1241"/>
      <c r="N125" s="1241"/>
      <c r="O125" s="1241"/>
      <c r="P125" s="1241"/>
      <c r="Q125" s="1208"/>
      <c r="R125" s="1208"/>
      <c r="S125" s="1208"/>
      <c r="T125" s="1208"/>
      <c r="U125" s="1208"/>
      <c r="V125" s="1208"/>
      <c r="W125" s="1208"/>
      <c r="X125" s="1208"/>
      <c r="Y125" s="1208"/>
      <c r="Z125" s="1208"/>
      <c r="AA125" s="1208"/>
      <c r="AB125" s="1208"/>
      <c r="AC125" s="1208"/>
      <c r="AD125" s="1208"/>
      <c r="AE125" s="1208"/>
      <c r="AF125" s="1208"/>
      <c r="AG125" s="1208"/>
      <c r="AH125" s="1208"/>
      <c r="AI125" s="1184"/>
      <c r="AJ125" s="1184"/>
      <c r="AK125" s="1184"/>
      <c r="AL125" s="1185">
        <v>1</v>
      </c>
    </row>
    <row r="126" spans="1:40" s="709" customFormat="1" ht="30" customHeight="1">
      <c r="A126" s="1181"/>
      <c r="B126" s="1209"/>
      <c r="C126" s="1210"/>
      <c r="D126" s="1211"/>
      <c r="E126" s="1211"/>
      <c r="F126" s="1211"/>
      <c r="G126" s="1211"/>
      <c r="H126" s="1211"/>
      <c r="I126" s="1211"/>
      <c r="J126" s="1211"/>
      <c r="K126" s="1211"/>
      <c r="L126" s="1211"/>
      <c r="M126" s="1211"/>
      <c r="N126" s="1211"/>
      <c r="O126" s="1211"/>
      <c r="P126" s="1208"/>
      <c r="Q126" s="1208"/>
      <c r="R126" s="1208"/>
      <c r="S126" s="1208"/>
      <c r="T126" s="1208"/>
      <c r="U126" s="1208"/>
      <c r="V126" s="1208"/>
      <c r="W126" s="1208"/>
      <c r="X126" s="1208"/>
      <c r="Y126" s="1208"/>
      <c r="Z126" s="1208"/>
      <c r="AA126" s="1208"/>
      <c r="AB126" s="1208"/>
      <c r="AC126" s="1208"/>
      <c r="AD126" s="1208"/>
      <c r="AE126" s="1208"/>
      <c r="AF126" s="1208"/>
      <c r="AG126" s="1208"/>
      <c r="AH126" s="1208"/>
      <c r="AI126" s="1184"/>
      <c r="AJ126" s="1184"/>
      <c r="AK126" s="1184"/>
      <c r="AL126" s="1185">
        <v>1</v>
      </c>
    </row>
    <row r="127" spans="1:40" s="1244" customFormat="1" ht="39.950000000000003" customHeight="1">
      <c r="A127" s="1181"/>
      <c r="B127" s="1245"/>
      <c r="C127" s="1209" t="s">
        <v>2669</v>
      </c>
      <c r="D127" s="1209"/>
      <c r="E127" s="1183"/>
      <c r="F127" s="1183"/>
      <c r="G127" s="1183"/>
      <c r="H127" s="1183"/>
      <c r="I127" s="1183"/>
      <c r="J127" s="1183"/>
      <c r="K127" s="1183"/>
      <c r="L127" s="1183"/>
      <c r="M127" s="1183"/>
      <c r="N127" s="1183"/>
      <c r="O127" s="1183"/>
      <c r="P127" s="1183"/>
      <c r="Q127" s="1183"/>
      <c r="R127" s="1183"/>
      <c r="S127" s="1183"/>
      <c r="T127" s="1183"/>
      <c r="U127" s="1183"/>
      <c r="V127" s="1183"/>
      <c r="W127" s="1183"/>
      <c r="X127" s="1183"/>
      <c r="Y127" s="1183"/>
      <c r="Z127" s="1183"/>
      <c r="AA127" s="1183"/>
      <c r="AB127" s="1183"/>
      <c r="AC127" s="1183"/>
      <c r="AD127" s="1183"/>
      <c r="AE127" s="1183"/>
      <c r="AF127" s="1183"/>
      <c r="AG127" s="1183"/>
      <c r="AH127" s="1183"/>
      <c r="AI127" s="1184"/>
      <c r="AJ127" s="1184"/>
      <c r="AK127" s="1184"/>
      <c r="AL127" s="1185">
        <v>1</v>
      </c>
      <c r="AM127" s="709"/>
      <c r="AN127" s="709"/>
    </row>
    <row r="128" spans="1:40" s="1244" customFormat="1" ht="39.950000000000003" customHeight="1">
      <c r="A128" s="1181"/>
      <c r="B128" s="1196" t="s">
        <v>2670</v>
      </c>
      <c r="C128" s="1190"/>
      <c r="D128" s="1181"/>
      <c r="E128" s="1181"/>
      <c r="F128" s="1181"/>
      <c r="G128" s="1181"/>
      <c r="H128" s="1181"/>
      <c r="I128" s="1246"/>
      <c r="J128" s="1181"/>
      <c r="K128" s="1181"/>
      <c r="L128" s="1181"/>
      <c r="M128" s="1181"/>
      <c r="N128" s="1181"/>
      <c r="O128" s="1246"/>
      <c r="P128" s="1246"/>
      <c r="Q128" s="1246"/>
      <c r="R128" s="1246"/>
      <c r="S128" s="1246"/>
      <c r="T128" s="1183"/>
      <c r="U128" s="1183"/>
      <c r="V128" s="1183"/>
      <c r="W128" s="1183"/>
      <c r="X128" s="1183"/>
      <c r="Y128" s="1183"/>
      <c r="Z128" s="1183"/>
      <c r="AA128" s="1183"/>
      <c r="AB128" s="1183"/>
      <c r="AC128" s="1183"/>
      <c r="AD128" s="1183"/>
      <c r="AE128" s="1183"/>
      <c r="AF128" s="1183"/>
      <c r="AG128" s="1183"/>
      <c r="AH128" s="1183"/>
      <c r="AI128" s="1184"/>
      <c r="AJ128" s="1184"/>
      <c r="AK128" s="1184"/>
      <c r="AL128" s="1185">
        <v>1</v>
      </c>
      <c r="AM128" s="709"/>
      <c r="AN128" s="709"/>
    </row>
    <row r="129" spans="1:38" ht="25.5">
      <c r="A129" s="1181"/>
      <c r="B129" s="1247"/>
      <c r="C129" s="1248"/>
      <c r="D129" s="1248"/>
      <c r="E129" s="1248"/>
      <c r="F129" s="1249"/>
      <c r="G129" s="1249"/>
      <c r="H129" s="1249"/>
      <c r="I129" s="1249"/>
      <c r="J129" s="1183"/>
      <c r="K129" s="1183"/>
      <c r="L129" s="1183"/>
      <c r="M129" s="1183"/>
      <c r="N129" s="1183"/>
      <c r="O129" s="1183"/>
      <c r="P129" s="1184"/>
      <c r="Q129" s="1246"/>
      <c r="R129" s="1246"/>
      <c r="S129" s="1246"/>
      <c r="T129" s="1183"/>
      <c r="U129" s="1183"/>
      <c r="V129" s="1183"/>
      <c r="W129" s="1183"/>
      <c r="X129" s="1183"/>
      <c r="Y129" s="1183"/>
      <c r="Z129" s="1183"/>
      <c r="AA129" s="1183"/>
      <c r="AB129" s="1183"/>
      <c r="AC129" s="1183"/>
      <c r="AD129" s="1183"/>
      <c r="AE129" s="1183"/>
      <c r="AF129" s="1183"/>
      <c r="AG129" s="1183"/>
      <c r="AH129" s="1183"/>
      <c r="AI129" s="1184"/>
      <c r="AJ129" s="1184"/>
      <c r="AK129" s="1184"/>
      <c r="AL129" s="1185">
        <v>1</v>
      </c>
    </row>
    <row r="130" spans="1:38">
      <c r="A130" s="1181"/>
      <c r="B130" s="922">
        <v>18</v>
      </c>
      <c r="C130" s="922">
        <v>19</v>
      </c>
      <c r="D130" s="922">
        <v>15</v>
      </c>
      <c r="E130" s="922">
        <v>11</v>
      </c>
      <c r="F130" s="922">
        <v>16</v>
      </c>
      <c r="G130" s="922">
        <v>11</v>
      </c>
      <c r="H130" s="922">
        <v>21</v>
      </c>
      <c r="I130" s="922">
        <v>17</v>
      </c>
      <c r="J130" s="922">
        <v>11</v>
      </c>
      <c r="K130" s="922">
        <v>11</v>
      </c>
      <c r="L130" s="922">
        <v>11</v>
      </c>
      <c r="M130" s="922">
        <v>18</v>
      </c>
      <c r="N130" s="922">
        <v>11</v>
      </c>
      <c r="O130" s="922">
        <v>19</v>
      </c>
      <c r="P130" s="922">
        <v>13</v>
      </c>
      <c r="Q130" s="1246"/>
      <c r="R130" s="1246"/>
      <c r="S130" s="1246"/>
      <c r="T130" s="1183"/>
      <c r="U130" s="1183"/>
      <c r="V130" s="1183"/>
      <c r="W130" s="1183"/>
      <c r="X130" s="1183"/>
      <c r="Y130" s="1183"/>
      <c r="Z130" s="1183"/>
      <c r="AA130" s="1183"/>
      <c r="AB130" s="1183"/>
      <c r="AC130" s="1183"/>
      <c r="AD130" s="1183"/>
      <c r="AE130" s="1183"/>
      <c r="AF130" s="1183"/>
      <c r="AG130" s="1183"/>
      <c r="AH130" s="1183"/>
      <c r="AI130" s="1184"/>
      <c r="AJ130" s="1184"/>
      <c r="AK130" s="1184"/>
      <c r="AL130" s="1185">
        <v>1</v>
      </c>
    </row>
    <row r="131" spans="1:38" ht="26.25">
      <c r="A131" s="1181"/>
      <c r="B131" s="5393" t="s">
        <v>187</v>
      </c>
      <c r="C131" s="5394"/>
      <c r="D131" s="5394"/>
      <c r="E131" s="5394"/>
      <c r="F131" s="5394"/>
      <c r="G131" s="5394"/>
      <c r="H131" s="5394"/>
      <c r="I131" s="5394"/>
      <c r="J131" s="5394"/>
      <c r="K131" s="5394"/>
      <c r="L131" s="5394"/>
      <c r="M131" s="5394"/>
      <c r="N131" s="5394"/>
      <c r="O131" s="5394"/>
      <c r="P131" s="5395"/>
      <c r="Q131" s="1246"/>
      <c r="R131" s="1246"/>
      <c r="S131" s="1246"/>
      <c r="T131" s="1183"/>
      <c r="U131" s="1183"/>
      <c r="V131" s="1183"/>
      <c r="W131" s="1183"/>
      <c r="X131" s="1183"/>
      <c r="Y131" s="1183"/>
      <c r="Z131" s="1183"/>
      <c r="AA131" s="1183"/>
      <c r="AB131" s="1183"/>
      <c r="AC131" s="1183"/>
      <c r="AD131" s="1183"/>
      <c r="AE131" s="1183"/>
      <c r="AF131" s="1183"/>
      <c r="AG131" s="1183"/>
      <c r="AH131" s="1183"/>
      <c r="AI131" s="1184"/>
      <c r="AJ131" s="1184"/>
      <c r="AK131" s="1184"/>
      <c r="AL131" s="1185">
        <v>1</v>
      </c>
    </row>
    <row r="132" spans="1:38" ht="21">
      <c r="A132" s="1181"/>
      <c r="B132" s="605" t="s">
        <v>704</v>
      </c>
      <c r="C132" s="1449" t="s">
        <v>703</v>
      </c>
      <c r="D132" s="9"/>
      <c r="E132" s="1419"/>
      <c r="F132" s="1250"/>
      <c r="G132" s="1410" t="s">
        <v>2671</v>
      </c>
      <c r="H132" s="1428" t="s">
        <v>3229</v>
      </c>
      <c r="I132"/>
      <c r="J132" s="5408" t="s">
        <v>919</v>
      </c>
      <c r="K132" s="5408"/>
      <c r="L132" s="1428" t="s">
        <v>3228</v>
      </c>
      <c r="M132" s="1251"/>
      <c r="N132" s="1424">
        <f>C133*B133</f>
        <v>1250</v>
      </c>
      <c r="O132" s="1425">
        <f>(C134*B133)/1000</f>
        <v>162.5</v>
      </c>
      <c r="P132" s="1432"/>
      <c r="Q132" s="1246"/>
      <c r="R132" s="1246"/>
      <c r="S132" s="1246"/>
      <c r="T132" s="1183"/>
      <c r="U132" s="1183"/>
      <c r="V132" s="1183"/>
      <c r="W132" s="1183"/>
      <c r="X132" s="1183"/>
      <c r="Y132" s="1183"/>
      <c r="Z132" s="1183"/>
      <c r="AA132" s="1183"/>
      <c r="AB132" s="1183"/>
      <c r="AC132" s="1183"/>
      <c r="AD132" s="1183"/>
      <c r="AE132" s="1183"/>
      <c r="AF132" s="1183"/>
      <c r="AG132" s="1183"/>
      <c r="AH132" s="1183"/>
      <c r="AI132" s="1184"/>
      <c r="AJ132" s="1184"/>
      <c r="AK132" s="1184"/>
      <c r="AL132" s="1185">
        <v>1</v>
      </c>
    </row>
    <row r="133" spans="1:38" ht="21">
      <c r="A133" s="1181"/>
      <c r="B133" s="5398">
        <v>1250</v>
      </c>
      <c r="C133" s="619">
        <v>1</v>
      </c>
      <c r="D133" s="1429" t="str">
        <f>"&lt; Nb de "&amp;J132&amp;" par personne "</f>
        <v xml:space="preserve">&lt; Nb de tranches par personne </v>
      </c>
      <c r="E133" s="1423"/>
      <c r="F133" s="9"/>
      <c r="G133" s="620">
        <v>7</v>
      </c>
      <c r="H133" s="1429" t="str">
        <f>"&lt; Nb "&amp;J132&amp;" dans 1 " &amp;G132</f>
        <v>&lt; Nb tranches dans 1 Barquette(s)</v>
      </c>
      <c r="I133" s="1252"/>
      <c r="J133" s="1430" t="str">
        <f>IF(OR(G133="",N132=0),"",INT(N132/G133) &amp; " " &amp; G132 &amp; " de " &amp; G133 &amp; " " &amp; J132 &amp; IF(MOD(N132,G133)&gt;0," + 1 " &amp; G132 &amp; " de " &amp; TEXT(MOD(N132,G133),"0.00") &amp; " " &amp; J132,""))</f>
        <v>178 Barquette(s) de 7 tranches + 1 Barquette(s) de 4.00 tranches</v>
      </c>
      <c r="K133" s="1420"/>
      <c r="L133" s="1420"/>
      <c r="M133" s="1420"/>
      <c r="N133" s="1420"/>
      <c r="O133" s="1420"/>
      <c r="P133" s="1433"/>
      <c r="Q133" s="1246"/>
      <c r="R133" s="1246"/>
      <c r="S133" s="1246"/>
      <c r="T133" s="1183"/>
      <c r="U133" s="1183"/>
      <c r="V133" s="1183"/>
      <c r="W133" s="1183"/>
      <c r="X133" s="1183"/>
      <c r="Y133" s="1183"/>
      <c r="Z133" s="1183"/>
      <c r="AA133" s="1183"/>
      <c r="AB133" s="1183"/>
      <c r="AC133" s="1183"/>
      <c r="AD133" s="1183"/>
      <c r="AE133" s="1183"/>
      <c r="AF133" s="1183"/>
      <c r="AG133" s="1183"/>
      <c r="AH133" s="1183"/>
      <c r="AI133" s="1184"/>
      <c r="AJ133" s="1184"/>
      <c r="AK133" s="1184"/>
      <c r="AL133" s="1185">
        <v>1</v>
      </c>
    </row>
    <row r="134" spans="1:38" ht="21">
      <c r="A134" s="1181"/>
      <c r="B134" s="5398"/>
      <c r="C134" s="1427">
        <v>130</v>
      </c>
      <c r="D134" s="1448" t="s">
        <v>3227</v>
      </c>
      <c r="E134" s="1253"/>
      <c r="F134" s="9"/>
      <c r="G134" s="1426">
        <v>1.3</v>
      </c>
      <c r="H134" s="1409" t="str">
        <f>"&lt; poids par "&amp; G132</f>
        <v>&lt; poids par Barquette(s)</v>
      </c>
      <c r="I134" s="1251"/>
      <c r="J134" s="1431" t="str">
        <f>IF(OR(O132&lt;=0,G134&lt;=0),"",_xlfn.LET(_xlpm.n,ROUND(O132/G134,9),_xlpm.q,INT(_xlpm.n),_xlpm.r,ROUND(O132-_xlpm.q*G134,9),_xlpm.base,_xlpm.q&amp;" "&amp;G132&amp;" de "&amp;TEXT(G134,"0.000")&amp;" kg",IF(_xlpm.r&lt;=0.000000001,_xlpm.base,_xlpm.base&amp;" + 1 "&amp;G132&amp;" de "&amp;TEXT(_xlpm.r,"0.000")&amp;" kg")))</f>
        <v>125 Barquette(s) de 1.300 kg</v>
      </c>
      <c r="K134" s="1421"/>
      <c r="L134" s="1421"/>
      <c r="M134" s="1421"/>
      <c r="N134" s="1421"/>
      <c r="O134" s="1421"/>
      <c r="P134" s="1434"/>
      <c r="Q134" s="1246"/>
      <c r="R134" s="1246"/>
      <c r="S134" s="1246"/>
      <c r="T134" s="1183"/>
      <c r="U134" s="1183"/>
      <c r="V134" s="1183"/>
      <c r="W134" s="1183"/>
      <c r="X134" s="1183"/>
      <c r="Y134" s="1183"/>
      <c r="Z134" s="1183"/>
      <c r="AA134" s="1183"/>
      <c r="AB134" s="1183"/>
      <c r="AC134" s="1183"/>
      <c r="AD134" s="1183"/>
      <c r="AE134" s="1183"/>
      <c r="AF134" s="1183"/>
      <c r="AG134" s="1183"/>
      <c r="AH134" s="1183"/>
      <c r="AI134" s="1184"/>
      <c r="AJ134" s="1184"/>
      <c r="AK134" s="1184"/>
      <c r="AL134" s="1185">
        <v>1</v>
      </c>
    </row>
    <row r="135" spans="1:38" ht="21">
      <c r="A135" s="1181"/>
      <c r="B135" s="1435" t="s">
        <v>2672</v>
      </c>
      <c r="C135" s="1254"/>
      <c r="D135" s="1304"/>
      <c r="E135" s="1304"/>
      <c r="F135" s="1304"/>
      <c r="G135" s="1254"/>
      <c r="H135" s="1254"/>
      <c r="I135" s="1254"/>
      <c r="J135" s="1254"/>
      <c r="K135" s="1254"/>
      <c r="L135" s="1254"/>
      <c r="M135" s="1254"/>
      <c r="N135" s="1255"/>
      <c r="O135" s="1422"/>
      <c r="P135" s="1436"/>
      <c r="Q135" s="1246"/>
      <c r="R135" s="1246"/>
      <c r="S135" s="1246"/>
      <c r="T135" s="1183"/>
      <c r="U135" s="1183"/>
      <c r="V135" s="1183"/>
      <c r="W135" s="1183"/>
      <c r="X135" s="1183"/>
      <c r="Y135" s="1183"/>
      <c r="Z135" s="1183"/>
      <c r="AA135" s="1183"/>
      <c r="AB135" s="1183"/>
      <c r="AC135" s="1183"/>
      <c r="AD135" s="1183"/>
      <c r="AE135" s="1183"/>
      <c r="AF135" s="1183"/>
      <c r="AG135" s="1183"/>
      <c r="AH135" s="1183"/>
      <c r="AI135" s="1184"/>
      <c r="AJ135" s="1184"/>
      <c r="AK135" s="1184"/>
      <c r="AL135" s="1185">
        <v>1</v>
      </c>
    </row>
    <row r="136" spans="1:38" ht="21">
      <c r="A136" s="1181"/>
      <c r="B136" s="1437"/>
      <c r="C136" s="1438"/>
      <c r="D136" s="1439"/>
      <c r="E136" s="1439"/>
      <c r="F136" s="1440"/>
      <c r="G136" s="1441"/>
      <c r="H136" s="1442"/>
      <c r="I136" s="1443"/>
      <c r="J136" s="1444"/>
      <c r="K136" s="1444"/>
      <c r="L136" s="1444"/>
      <c r="M136" s="1444"/>
      <c r="N136" s="1445"/>
      <c r="O136" s="1446"/>
      <c r="P136" s="1447"/>
      <c r="Q136" s="1246"/>
      <c r="R136" s="1246"/>
      <c r="S136" s="1246"/>
      <c r="T136" s="1183"/>
      <c r="U136" s="1183"/>
      <c r="V136" s="1183"/>
      <c r="W136" s="1183"/>
      <c r="X136" s="1183"/>
      <c r="Y136" s="1183"/>
      <c r="Z136" s="1183"/>
      <c r="AA136" s="1183"/>
      <c r="AB136" s="1183"/>
      <c r="AC136" s="1183"/>
      <c r="AD136" s="1183"/>
      <c r="AE136" s="1183"/>
      <c r="AF136" s="1183"/>
      <c r="AG136" s="1183"/>
      <c r="AH136" s="1183"/>
      <c r="AI136" s="1184"/>
      <c r="AJ136" s="1184"/>
      <c r="AK136" s="1184"/>
      <c r="AL136" s="1185">
        <v>1</v>
      </c>
    </row>
    <row r="137" spans="1:38" ht="27">
      <c r="A137" s="1181"/>
      <c r="B137" s="1256"/>
      <c r="C137" s="1181"/>
      <c r="D137" s="1181"/>
      <c r="E137" s="1181"/>
      <c r="F137" s="1181"/>
      <c r="G137" s="1181"/>
      <c r="H137" s="1181"/>
      <c r="I137" s="1246"/>
      <c r="J137" s="1181"/>
      <c r="K137" s="1181"/>
      <c r="L137" s="1181"/>
      <c r="M137" s="1181"/>
      <c r="N137" s="1181"/>
      <c r="O137" s="1246"/>
      <c r="P137" s="1246"/>
      <c r="Q137" s="1246"/>
      <c r="R137" s="1246"/>
      <c r="S137" s="1246"/>
      <c r="T137" s="1183"/>
      <c r="U137" s="1183"/>
      <c r="V137" s="1183"/>
      <c r="W137" s="1183"/>
      <c r="X137" s="1183"/>
      <c r="Y137" s="1183"/>
      <c r="Z137" s="1183"/>
      <c r="AA137" s="1183"/>
      <c r="AB137" s="1183"/>
      <c r="AC137" s="1183"/>
      <c r="AD137" s="1183"/>
      <c r="AE137" s="1183"/>
      <c r="AF137" s="1183"/>
      <c r="AG137" s="1183"/>
      <c r="AH137" s="1183"/>
      <c r="AI137" s="1184"/>
      <c r="AJ137" s="1184"/>
      <c r="AK137" s="1184"/>
      <c r="AL137" s="1185">
        <v>1</v>
      </c>
    </row>
    <row r="138" spans="1:38" s="709" customFormat="1" ht="30" customHeight="1">
      <c r="A138" s="1181"/>
      <c r="B138" s="1257" t="s">
        <v>2673</v>
      </c>
      <c r="C138" s="1258"/>
      <c r="D138" s="1258"/>
      <c r="E138" s="1258"/>
      <c r="F138" s="1258"/>
      <c r="G138" s="1258"/>
      <c r="H138" s="1258"/>
      <c r="I138" s="1258"/>
      <c r="J138" s="1258"/>
      <c r="K138" s="1211" t="s">
        <v>22</v>
      </c>
      <c r="L138" s="1211"/>
      <c r="M138" s="1211"/>
      <c r="N138" s="1211"/>
      <c r="O138" s="1211"/>
      <c r="P138" s="1208"/>
      <c r="Q138" s="1208"/>
      <c r="R138" s="1208"/>
      <c r="S138" s="1208"/>
      <c r="T138" s="1208"/>
      <c r="U138" s="1208"/>
      <c r="V138" s="1208"/>
      <c r="W138" s="1208"/>
      <c r="X138" s="1208"/>
      <c r="Y138" s="1208"/>
      <c r="Z138" s="1208"/>
      <c r="AA138" s="1208"/>
      <c r="AB138" s="1208"/>
      <c r="AC138" s="1208"/>
      <c r="AD138" s="1208"/>
      <c r="AE138" s="1208"/>
      <c r="AF138" s="1184"/>
      <c r="AG138" s="1184"/>
      <c r="AH138" s="1184"/>
      <c r="AI138" s="1184"/>
      <c r="AJ138" s="1184"/>
      <c r="AK138" s="1184"/>
      <c r="AL138" s="1185">
        <v>1</v>
      </c>
    </row>
    <row r="139" spans="1:38" s="709" customFormat="1" ht="30" customHeight="1">
      <c r="A139" s="1181"/>
      <c r="B139" s="1259" t="s">
        <v>2674</v>
      </c>
      <c r="C139" s="1258"/>
      <c r="D139" s="1258"/>
      <c r="E139" s="1258"/>
      <c r="F139" s="1258"/>
      <c r="G139" s="1258"/>
      <c r="H139" s="1258"/>
      <c r="I139" s="1258"/>
      <c r="J139" s="1258"/>
      <c r="K139" s="1211" t="s">
        <v>22</v>
      </c>
      <c r="L139" s="1211"/>
      <c r="M139" s="1211"/>
      <c r="N139" s="1211"/>
      <c r="O139" s="1211"/>
      <c r="P139" s="1208"/>
      <c r="Q139" s="1208"/>
      <c r="R139" s="1208"/>
      <c r="S139" s="1208"/>
      <c r="T139" s="1208"/>
      <c r="U139" s="1208"/>
      <c r="V139" s="1208"/>
      <c r="W139" s="1208"/>
      <c r="X139" s="1208"/>
      <c r="Y139" s="1208"/>
      <c r="Z139" s="1208"/>
      <c r="AA139" s="1208"/>
      <c r="AB139" s="1208"/>
      <c r="AC139" s="1208"/>
      <c r="AD139" s="1208"/>
      <c r="AE139" s="1208"/>
      <c r="AF139" s="1184"/>
      <c r="AG139" s="1184"/>
      <c r="AH139" s="1184"/>
      <c r="AI139" s="1184"/>
      <c r="AJ139" s="1184"/>
      <c r="AK139" s="1184"/>
      <c r="AL139" s="1185">
        <v>1</v>
      </c>
    </row>
    <row r="140" spans="1:38" s="709" customFormat="1" ht="30" customHeight="1">
      <c r="A140" s="1181"/>
      <c r="B140" s="1259" t="s">
        <v>2675</v>
      </c>
      <c r="C140" s="1258"/>
      <c r="D140" s="1258"/>
      <c r="E140" s="1258"/>
      <c r="F140" s="1258"/>
      <c r="G140" s="1258"/>
      <c r="H140" s="1258"/>
      <c r="I140" s="1258"/>
      <c r="J140" s="1258"/>
      <c r="K140" s="1211" t="s">
        <v>22</v>
      </c>
      <c r="L140" s="1211"/>
      <c r="M140" s="1211"/>
      <c r="N140" s="1211"/>
      <c r="O140" s="1211"/>
      <c r="P140" s="1208"/>
      <c r="Q140" s="1208"/>
      <c r="R140" s="1208"/>
      <c r="S140" s="1208"/>
      <c r="T140" s="1208"/>
      <c r="U140" s="1208"/>
      <c r="V140" s="1208"/>
      <c r="W140" s="1208"/>
      <c r="X140" s="1208"/>
      <c r="Y140" s="1208"/>
      <c r="Z140" s="1208"/>
      <c r="AA140" s="1208"/>
      <c r="AB140" s="1208"/>
      <c r="AC140" s="1208"/>
      <c r="AD140" s="1208"/>
      <c r="AE140" s="1208"/>
      <c r="AF140" s="1184"/>
      <c r="AG140" s="1184"/>
      <c r="AH140" s="1184"/>
      <c r="AI140" s="1184"/>
      <c r="AJ140" s="1184"/>
      <c r="AK140" s="1184"/>
      <c r="AL140" s="1185">
        <v>1</v>
      </c>
    </row>
    <row r="141" spans="1:38" s="709" customFormat="1" ht="30" customHeight="1">
      <c r="A141" s="1181"/>
      <c r="B141" s="1259" t="s">
        <v>2676</v>
      </c>
      <c r="C141" s="1258"/>
      <c r="D141" s="1258"/>
      <c r="E141" s="1258"/>
      <c r="F141" s="1258"/>
      <c r="G141" s="1258"/>
      <c r="H141" s="1258"/>
      <c r="I141" s="1258"/>
      <c r="J141" s="1258"/>
      <c r="K141" s="1211" t="s">
        <v>22</v>
      </c>
      <c r="L141" s="1211"/>
      <c r="M141" s="1211"/>
      <c r="N141" s="1211"/>
      <c r="O141" s="1211"/>
      <c r="P141" s="1208"/>
      <c r="Q141" s="1208"/>
      <c r="R141" s="1208"/>
      <c r="S141" s="1208"/>
      <c r="T141" s="1208"/>
      <c r="U141" s="1208"/>
      <c r="V141" s="1208"/>
      <c r="W141" s="1208"/>
      <c r="X141" s="1208"/>
      <c r="Y141" s="1208"/>
      <c r="Z141" s="1208"/>
      <c r="AA141" s="1208"/>
      <c r="AB141" s="1208"/>
      <c r="AC141" s="1208"/>
      <c r="AD141" s="1208"/>
      <c r="AE141" s="1208"/>
      <c r="AF141" s="1184"/>
      <c r="AG141" s="1184"/>
      <c r="AH141" s="1184"/>
      <c r="AI141" s="1184"/>
      <c r="AJ141" s="1184"/>
      <c r="AK141" s="1184"/>
      <c r="AL141" s="1185">
        <v>1</v>
      </c>
    </row>
    <row r="142" spans="1:38" s="709" customFormat="1" ht="30" customHeight="1">
      <c r="A142" s="1181"/>
      <c r="B142" s="1260" t="s">
        <v>2677</v>
      </c>
      <c r="C142" s="1258"/>
      <c r="D142" s="1258"/>
      <c r="E142" s="1258"/>
      <c r="F142" s="1258"/>
      <c r="G142" s="1258"/>
      <c r="H142" s="1258"/>
      <c r="I142" s="1258"/>
      <c r="J142" s="1258"/>
      <c r="K142" s="1211" t="s">
        <v>22</v>
      </c>
      <c r="L142" s="1211"/>
      <c r="M142" s="1211"/>
      <c r="N142" s="1211"/>
      <c r="O142" s="1211"/>
      <c r="P142" s="1208"/>
      <c r="Q142" s="1208"/>
      <c r="R142" s="1208"/>
      <c r="S142" s="1208"/>
      <c r="T142" s="1208"/>
      <c r="U142" s="1208"/>
      <c r="V142" s="1208"/>
      <c r="W142" s="1208"/>
      <c r="X142" s="1208"/>
      <c r="Y142" s="1208"/>
      <c r="Z142" s="1208"/>
      <c r="AA142" s="1208"/>
      <c r="AB142" s="1208"/>
      <c r="AC142" s="1208"/>
      <c r="AD142" s="1208"/>
      <c r="AE142" s="1208"/>
      <c r="AF142" s="1184"/>
      <c r="AG142" s="1184"/>
      <c r="AH142" s="1184"/>
      <c r="AI142" s="1184"/>
      <c r="AJ142" s="1184"/>
      <c r="AK142" s="1184"/>
      <c r="AL142" s="1185">
        <v>1</v>
      </c>
    </row>
    <row r="143" spans="1:38" s="709" customFormat="1" ht="30" customHeight="1">
      <c r="A143" s="1181"/>
      <c r="B143" s="1259" t="s">
        <v>2678</v>
      </c>
      <c r="C143" s="1258"/>
      <c r="D143" s="1258"/>
      <c r="E143" s="1258"/>
      <c r="F143" s="1258"/>
      <c r="G143" s="1258"/>
      <c r="H143" s="1258"/>
      <c r="I143" s="1258"/>
      <c r="J143" s="1258"/>
      <c r="K143" s="1211" t="s">
        <v>22</v>
      </c>
      <c r="L143" s="1211"/>
      <c r="M143" s="1211"/>
      <c r="N143" s="1211"/>
      <c r="O143" s="1211"/>
      <c r="P143" s="1208"/>
      <c r="Q143" s="1208"/>
      <c r="R143" s="1208"/>
      <c r="S143" s="1208"/>
      <c r="T143" s="1208"/>
      <c r="U143" s="1208"/>
      <c r="V143" s="1208"/>
      <c r="W143" s="1208"/>
      <c r="X143" s="1208"/>
      <c r="Y143" s="1208"/>
      <c r="Z143" s="1208"/>
      <c r="AA143" s="1208"/>
      <c r="AB143" s="1208"/>
      <c r="AC143" s="1208"/>
      <c r="AD143" s="1208"/>
      <c r="AE143" s="1208"/>
      <c r="AF143" s="1184"/>
      <c r="AG143" s="1184"/>
      <c r="AH143" s="1184"/>
      <c r="AI143" s="1184"/>
      <c r="AJ143" s="1184"/>
      <c r="AK143" s="1184"/>
      <c r="AL143" s="1185">
        <v>1</v>
      </c>
    </row>
    <row r="144" spans="1:38" s="709" customFormat="1" ht="30" customHeight="1">
      <c r="A144" s="1181"/>
      <c r="B144" s="1261" t="s">
        <v>2679</v>
      </c>
      <c r="C144" s="1258"/>
      <c r="D144" s="1258"/>
      <c r="E144" s="1258"/>
      <c r="F144" s="1258"/>
      <c r="G144" s="1258"/>
      <c r="H144" s="1258"/>
      <c r="I144" s="1258"/>
      <c r="J144" s="1258"/>
      <c r="K144" s="1211" t="s">
        <v>22</v>
      </c>
      <c r="L144" s="1211"/>
      <c r="M144" s="1211"/>
      <c r="N144" s="1211"/>
      <c r="O144" s="1211"/>
      <c r="P144" s="1208"/>
      <c r="Q144" s="1208"/>
      <c r="R144" s="1208"/>
      <c r="S144" s="1208"/>
      <c r="T144" s="1208"/>
      <c r="U144" s="1208"/>
      <c r="V144" s="1208"/>
      <c r="W144" s="1208"/>
      <c r="X144" s="1208"/>
      <c r="Y144" s="1208"/>
      <c r="Z144" s="1208"/>
      <c r="AA144" s="1208"/>
      <c r="AB144" s="1208"/>
      <c r="AC144" s="1208"/>
      <c r="AD144" s="1208"/>
      <c r="AE144" s="1208"/>
      <c r="AF144" s="1184"/>
      <c r="AG144" s="1184"/>
      <c r="AH144" s="1184"/>
      <c r="AI144" s="1184"/>
      <c r="AJ144" s="1184"/>
      <c r="AK144" s="1184"/>
      <c r="AL144" s="1185">
        <v>1</v>
      </c>
    </row>
    <row r="145" spans="1:38" s="709" customFormat="1" ht="30" customHeight="1">
      <c r="A145" s="1181"/>
      <c r="B145" s="1259" t="s">
        <v>2680</v>
      </c>
      <c r="C145" s="1258"/>
      <c r="D145" s="1258"/>
      <c r="E145" s="1258"/>
      <c r="F145" s="1258"/>
      <c r="G145" s="1258"/>
      <c r="H145" s="1258"/>
      <c r="I145" s="1258"/>
      <c r="J145" s="1258"/>
      <c r="K145" s="1211" t="s">
        <v>22</v>
      </c>
      <c r="L145" s="1211"/>
      <c r="M145" s="1211"/>
      <c r="N145" s="1211"/>
      <c r="O145" s="1211"/>
      <c r="P145" s="1208"/>
      <c r="Q145" s="1208"/>
      <c r="R145" s="1208"/>
      <c r="S145" s="1208"/>
      <c r="T145" s="1208"/>
      <c r="U145" s="1208"/>
      <c r="V145" s="1208"/>
      <c r="W145" s="1208"/>
      <c r="X145" s="1208"/>
      <c r="Y145" s="1208"/>
      <c r="Z145" s="1208"/>
      <c r="AA145" s="1208"/>
      <c r="AB145" s="1208"/>
      <c r="AC145" s="1208"/>
      <c r="AD145" s="1208"/>
      <c r="AE145" s="1208"/>
      <c r="AF145" s="1184"/>
      <c r="AG145" s="1184"/>
      <c r="AH145" s="1184"/>
      <c r="AI145" s="1184"/>
      <c r="AJ145" s="1184"/>
      <c r="AK145" s="1184"/>
      <c r="AL145" s="1185">
        <v>1</v>
      </c>
    </row>
    <row r="146" spans="1:38" s="709" customFormat="1" ht="30" customHeight="1">
      <c r="A146" s="1181"/>
      <c r="B146" s="1258"/>
      <c r="C146" s="1258"/>
      <c r="D146" s="1258"/>
      <c r="E146" s="1258"/>
      <c r="F146" s="1258"/>
      <c r="G146" s="1258"/>
      <c r="H146" s="1258"/>
      <c r="I146" s="1258"/>
      <c r="J146" s="1258"/>
      <c r="K146" s="1211" t="s">
        <v>22</v>
      </c>
      <c r="L146" s="1211"/>
      <c r="M146" s="1211"/>
      <c r="N146" s="1211"/>
      <c r="O146" s="1211"/>
      <c r="P146" s="1208"/>
      <c r="Q146" s="1208"/>
      <c r="R146" s="1208"/>
      <c r="S146" s="1208"/>
      <c r="T146" s="1208"/>
      <c r="U146" s="1208"/>
      <c r="V146" s="1208"/>
      <c r="W146" s="1208"/>
      <c r="X146" s="1208"/>
      <c r="Y146" s="1208"/>
      <c r="Z146" s="1208"/>
      <c r="AA146" s="1208"/>
      <c r="AB146" s="1208"/>
      <c r="AC146" s="1208"/>
      <c r="AD146" s="1208"/>
      <c r="AE146" s="1208"/>
      <c r="AF146" s="1184"/>
      <c r="AG146" s="1184"/>
      <c r="AH146" s="1184"/>
      <c r="AI146" s="1184"/>
      <c r="AJ146" s="1184"/>
      <c r="AK146" s="1184"/>
      <c r="AL146" s="1185">
        <v>1</v>
      </c>
    </row>
    <row r="147" spans="1:38" s="709" customFormat="1" ht="30" customHeight="1">
      <c r="A147" s="1181"/>
      <c r="B147" s="1259" t="s">
        <v>2681</v>
      </c>
      <c r="C147" s="1258"/>
      <c r="D147" s="1258"/>
      <c r="E147" s="1258"/>
      <c r="F147" s="1258"/>
      <c r="G147" s="1258"/>
      <c r="H147" s="1258"/>
      <c r="I147" s="1258"/>
      <c r="J147" s="1258"/>
      <c r="K147" s="1211" t="s">
        <v>22</v>
      </c>
      <c r="L147" s="1211"/>
      <c r="M147" s="1211"/>
      <c r="N147" s="1211"/>
      <c r="O147" s="1211"/>
      <c r="P147" s="1208"/>
      <c r="Q147" s="1208"/>
      <c r="R147" s="1208"/>
      <c r="S147" s="1208"/>
      <c r="T147" s="1208"/>
      <c r="U147" s="1208"/>
      <c r="V147" s="1208"/>
      <c r="W147" s="1208"/>
      <c r="X147" s="1208"/>
      <c r="Y147" s="1208"/>
      <c r="Z147" s="1208"/>
      <c r="AA147" s="1208"/>
      <c r="AB147" s="1208"/>
      <c r="AC147" s="1208"/>
      <c r="AD147" s="1208"/>
      <c r="AE147" s="1208"/>
      <c r="AF147" s="1184"/>
      <c r="AG147" s="1184"/>
      <c r="AH147" s="1184"/>
      <c r="AI147" s="1184"/>
      <c r="AJ147" s="1184"/>
      <c r="AK147" s="1184"/>
      <c r="AL147" s="1185">
        <v>1</v>
      </c>
    </row>
    <row r="148" spans="1:38" s="709" customFormat="1" ht="30" customHeight="1">
      <c r="A148" s="1181"/>
      <c r="B148" s="1260" t="s">
        <v>2682</v>
      </c>
      <c r="C148" s="1258"/>
      <c r="D148" s="1258"/>
      <c r="E148" s="1258"/>
      <c r="F148" s="1258"/>
      <c r="G148" s="1258"/>
      <c r="H148" s="1258"/>
      <c r="I148" s="1258"/>
      <c r="J148" s="1258"/>
      <c r="K148" s="1211" t="s">
        <v>22</v>
      </c>
      <c r="L148" s="1211"/>
      <c r="M148" s="1211"/>
      <c r="N148" s="1211"/>
      <c r="O148" s="1211"/>
      <c r="P148" s="1208"/>
      <c r="Q148" s="1208"/>
      <c r="R148" s="1208"/>
      <c r="S148" s="1208"/>
      <c r="T148" s="1208"/>
      <c r="U148" s="1208"/>
      <c r="V148" s="1208"/>
      <c r="W148" s="1208"/>
      <c r="X148" s="1208"/>
      <c r="Y148" s="1208"/>
      <c r="Z148" s="1208"/>
      <c r="AA148" s="1208"/>
      <c r="AB148" s="1208"/>
      <c r="AC148" s="1208"/>
      <c r="AD148" s="1208"/>
      <c r="AE148" s="1208"/>
      <c r="AF148" s="1184"/>
      <c r="AG148" s="1184"/>
      <c r="AH148" s="1184"/>
      <c r="AI148" s="1184"/>
      <c r="AJ148" s="1184"/>
      <c r="AK148" s="1184"/>
      <c r="AL148" s="1185">
        <v>1</v>
      </c>
    </row>
    <row r="149" spans="1:38" s="709" customFormat="1" ht="30" customHeight="1">
      <c r="A149" s="1181"/>
      <c r="B149" s="1259"/>
      <c r="C149" s="1258"/>
      <c r="D149" s="1258"/>
      <c r="E149" s="1258"/>
      <c r="F149" s="1258"/>
      <c r="G149" s="1258"/>
      <c r="H149" s="1258"/>
      <c r="I149" s="1258"/>
      <c r="J149" s="1258"/>
      <c r="K149" s="1211" t="s">
        <v>22</v>
      </c>
      <c r="L149" s="1211"/>
      <c r="M149" s="1211"/>
      <c r="N149" s="1211"/>
      <c r="O149" s="1211"/>
      <c r="P149" s="1208"/>
      <c r="Q149" s="1208"/>
      <c r="R149" s="1208"/>
      <c r="S149" s="1208"/>
      <c r="T149" s="1208"/>
      <c r="U149" s="1208"/>
      <c r="V149" s="1208"/>
      <c r="W149" s="1208"/>
      <c r="X149" s="1208"/>
      <c r="Y149" s="1208"/>
      <c r="Z149" s="1208"/>
      <c r="AA149" s="1208"/>
      <c r="AB149" s="1208"/>
      <c r="AC149" s="1208"/>
      <c r="AD149" s="1208"/>
      <c r="AE149" s="1208"/>
      <c r="AF149" s="1184"/>
      <c r="AG149" s="1184"/>
      <c r="AH149" s="1184"/>
      <c r="AI149" s="1184"/>
      <c r="AJ149" s="1184"/>
      <c r="AK149" s="1184"/>
      <c r="AL149" s="1185">
        <v>1</v>
      </c>
    </row>
    <row r="150" spans="1:38" s="709" customFormat="1" ht="30" customHeight="1">
      <c r="A150" s="1181"/>
      <c r="B150" s="1259" t="s">
        <v>2683</v>
      </c>
      <c r="C150" s="1258"/>
      <c r="D150" s="1258"/>
      <c r="E150" s="1258"/>
      <c r="F150" s="1258"/>
      <c r="G150" s="1258"/>
      <c r="H150" s="1258"/>
      <c r="I150" s="1258"/>
      <c r="J150" s="1258"/>
      <c r="K150" s="1211" t="s">
        <v>22</v>
      </c>
      <c r="L150" s="1211"/>
      <c r="M150" s="1211"/>
      <c r="N150" s="1211"/>
      <c r="O150" s="1211"/>
      <c r="P150" s="1208"/>
      <c r="Q150" s="1208"/>
      <c r="R150" s="1208"/>
      <c r="S150" s="1208"/>
      <c r="T150" s="1208"/>
      <c r="U150" s="1208"/>
      <c r="V150" s="1208"/>
      <c r="W150" s="1208"/>
      <c r="X150" s="1208"/>
      <c r="Y150" s="1208"/>
      <c r="Z150" s="1208"/>
      <c r="AA150" s="1208"/>
      <c r="AB150" s="1208"/>
      <c r="AC150" s="1208"/>
      <c r="AD150" s="1208"/>
      <c r="AE150" s="1208"/>
      <c r="AF150" s="1184"/>
      <c r="AG150" s="1184"/>
      <c r="AH150" s="1184"/>
      <c r="AI150" s="1184"/>
      <c r="AJ150" s="1184"/>
      <c r="AK150" s="1184"/>
      <c r="AL150" s="1185">
        <v>1</v>
      </c>
    </row>
    <row r="151" spans="1:38" s="709" customFormat="1" ht="30" customHeight="1">
      <c r="A151" s="1181"/>
      <c r="B151" s="1260" t="s">
        <v>2684</v>
      </c>
      <c r="C151" s="1258"/>
      <c r="D151" s="1258"/>
      <c r="E151" s="1258"/>
      <c r="F151" s="1258"/>
      <c r="G151" s="1258"/>
      <c r="H151" s="1258"/>
      <c r="I151" s="1258"/>
      <c r="J151" s="1258"/>
      <c r="K151" s="1211" t="s">
        <v>22</v>
      </c>
      <c r="L151" s="1211"/>
      <c r="M151" s="1211"/>
      <c r="N151" s="1211"/>
      <c r="O151" s="1211"/>
      <c r="P151" s="1208"/>
      <c r="Q151" s="1208"/>
      <c r="R151" s="1208"/>
      <c r="S151" s="1208"/>
      <c r="T151" s="1208"/>
      <c r="U151" s="1208"/>
      <c r="V151" s="1208"/>
      <c r="W151" s="1208"/>
      <c r="X151" s="1208"/>
      <c r="Y151" s="1208"/>
      <c r="Z151" s="1208"/>
      <c r="AA151" s="1208"/>
      <c r="AB151" s="1208"/>
      <c r="AC151" s="1208"/>
      <c r="AD151" s="1208"/>
      <c r="AE151" s="1208"/>
      <c r="AF151" s="1184"/>
      <c r="AG151" s="1184"/>
      <c r="AH151" s="1184"/>
      <c r="AI151" s="1184"/>
      <c r="AJ151" s="1184"/>
      <c r="AK151" s="1184"/>
      <c r="AL151" s="1185">
        <v>1</v>
      </c>
    </row>
    <row r="152" spans="1:38" s="709" customFormat="1" ht="30" customHeight="1">
      <c r="A152" s="1181"/>
      <c r="B152" s="1260" t="s">
        <v>2685</v>
      </c>
      <c r="C152" s="1258"/>
      <c r="D152" s="1258"/>
      <c r="E152" s="1258"/>
      <c r="F152" s="1258"/>
      <c r="G152" s="1258"/>
      <c r="H152" s="1258"/>
      <c r="I152" s="1258"/>
      <c r="J152" s="1258"/>
      <c r="K152" s="1211" t="s">
        <v>22</v>
      </c>
      <c r="L152" s="1211"/>
      <c r="M152" s="1211"/>
      <c r="N152" s="1183"/>
      <c r="O152" s="1183"/>
      <c r="P152" s="1208"/>
      <c r="Q152" s="1208"/>
      <c r="R152" s="1208"/>
      <c r="S152" s="1208"/>
      <c r="T152" s="1208"/>
      <c r="U152" s="1208"/>
      <c r="V152" s="1208"/>
      <c r="W152" s="1208"/>
      <c r="X152" s="1208"/>
      <c r="Y152" s="1208"/>
      <c r="Z152" s="1208"/>
      <c r="AA152" s="1208"/>
      <c r="AB152" s="1208"/>
      <c r="AC152" s="1208"/>
      <c r="AD152" s="1208"/>
      <c r="AE152" s="1208"/>
      <c r="AF152" s="1184"/>
      <c r="AG152" s="1184"/>
      <c r="AH152" s="1184"/>
      <c r="AI152" s="1184"/>
      <c r="AJ152" s="1184"/>
      <c r="AK152" s="1184"/>
      <c r="AL152" s="1185">
        <v>1</v>
      </c>
    </row>
    <row r="153" spans="1:38" s="709" customFormat="1" ht="30" customHeight="1">
      <c r="A153" s="1181"/>
      <c r="B153" s="1259" t="s">
        <v>2686</v>
      </c>
      <c r="C153" s="1258"/>
      <c r="D153" s="1258"/>
      <c r="E153" s="1258"/>
      <c r="F153" s="1258"/>
      <c r="G153" s="1258"/>
      <c r="H153" s="1258"/>
      <c r="I153" s="1258"/>
      <c r="J153" s="1258"/>
      <c r="K153" s="1211"/>
      <c r="L153" s="1211"/>
      <c r="M153" s="1211"/>
      <c r="N153" s="1183"/>
      <c r="O153" s="1183"/>
      <c r="P153" s="1208"/>
      <c r="Q153" s="1208"/>
      <c r="R153" s="1208"/>
      <c r="S153" s="1208"/>
      <c r="T153" s="1208"/>
      <c r="U153" s="1208"/>
      <c r="V153" s="1208"/>
      <c r="W153" s="1208"/>
      <c r="X153" s="1208"/>
      <c r="Y153" s="1208"/>
      <c r="Z153" s="1208"/>
      <c r="AA153" s="1208"/>
      <c r="AB153" s="1208"/>
      <c r="AC153" s="1208"/>
      <c r="AD153" s="1208"/>
      <c r="AE153" s="1208"/>
      <c r="AF153" s="1184"/>
      <c r="AG153" s="1184"/>
      <c r="AH153" s="1184"/>
      <c r="AI153" s="1184"/>
      <c r="AJ153" s="1184"/>
      <c r="AK153" s="1184"/>
      <c r="AL153" s="1185">
        <v>1</v>
      </c>
    </row>
    <row r="154" spans="1:38" s="709" customFormat="1" ht="30" customHeight="1">
      <c r="A154" s="1181"/>
      <c r="B154" s="1260" t="s">
        <v>2687</v>
      </c>
      <c r="C154" s="1258"/>
      <c r="D154" s="1258"/>
      <c r="E154" s="1258"/>
      <c r="F154" s="1258"/>
      <c r="G154" s="1258"/>
      <c r="H154" s="1258"/>
      <c r="I154" s="1258"/>
      <c r="J154" s="1258"/>
      <c r="K154" s="1211"/>
      <c r="L154" s="1211"/>
      <c r="M154" s="1211"/>
      <c r="N154" s="1183"/>
      <c r="O154" s="1183"/>
      <c r="P154" s="1208"/>
      <c r="Q154" s="1208"/>
      <c r="R154" s="1208"/>
      <c r="S154" s="1208"/>
      <c r="T154" s="1208"/>
      <c r="U154" s="1208"/>
      <c r="V154" s="1208"/>
      <c r="W154" s="1208"/>
      <c r="X154" s="1208"/>
      <c r="Y154" s="1208"/>
      <c r="Z154" s="1208"/>
      <c r="AA154" s="1208"/>
      <c r="AB154" s="1208"/>
      <c r="AC154" s="1208"/>
      <c r="AD154" s="1208"/>
      <c r="AE154" s="1208"/>
      <c r="AF154" s="1184"/>
      <c r="AG154" s="1184"/>
      <c r="AH154" s="1184"/>
      <c r="AI154" s="1184"/>
      <c r="AJ154" s="1184"/>
      <c r="AK154" s="1184"/>
      <c r="AL154" s="1185">
        <v>1</v>
      </c>
    </row>
    <row r="155" spans="1:38" s="709" customFormat="1" ht="27">
      <c r="A155" s="1181"/>
      <c r="B155" s="1256"/>
      <c r="C155" s="1181"/>
      <c r="D155" s="1181"/>
      <c r="E155" s="1181"/>
      <c r="F155" s="1181"/>
      <c r="G155" s="1181"/>
      <c r="H155" s="1181"/>
      <c r="I155" s="1246"/>
      <c r="J155" s="1181"/>
      <c r="K155" s="1181"/>
      <c r="L155" s="1181"/>
      <c r="M155" s="1181"/>
      <c r="N155" s="1181"/>
      <c r="O155" s="1246"/>
      <c r="P155" s="1246"/>
      <c r="Q155" s="1246"/>
      <c r="R155" s="1246"/>
      <c r="S155" s="1246"/>
      <c r="T155" s="1183"/>
      <c r="U155" s="1183"/>
      <c r="V155" s="1183"/>
      <c r="W155" s="1183"/>
      <c r="X155" s="1183"/>
      <c r="Y155" s="1183"/>
      <c r="Z155" s="1183"/>
      <c r="AA155" s="1183"/>
      <c r="AB155" s="1183"/>
      <c r="AC155" s="1183"/>
      <c r="AD155" s="1183"/>
      <c r="AE155" s="1183"/>
      <c r="AF155" s="1183"/>
      <c r="AG155" s="1183"/>
      <c r="AH155" s="1183"/>
      <c r="AI155" s="1184"/>
      <c r="AJ155" s="1184"/>
      <c r="AK155" s="1184"/>
      <c r="AL155" s="1185">
        <v>1</v>
      </c>
    </row>
    <row r="156" spans="1:38" s="709" customFormat="1" ht="26.25">
      <c r="A156" s="1181"/>
      <c r="B156" s="1262" t="s">
        <v>2688</v>
      </c>
      <c r="C156" s="1263"/>
      <c r="D156" s="1264"/>
      <c r="E156" s="1247"/>
      <c r="F156" s="1265"/>
      <c r="G156" s="1265"/>
      <c r="H156" s="1265"/>
      <c r="I156" s="1265"/>
      <c r="J156" s="1266"/>
      <c r="K156" s="1266"/>
      <c r="L156" s="1183"/>
      <c r="M156" s="1183"/>
      <c r="N156" s="1183"/>
      <c r="O156" s="1183"/>
      <c r="P156" s="1184"/>
      <c r="Q156" s="1246"/>
      <c r="R156" s="1246"/>
      <c r="S156" s="1246"/>
      <c r="T156" s="1183"/>
      <c r="U156" s="1183"/>
      <c r="V156" s="1183"/>
      <c r="W156" s="1183"/>
      <c r="X156" s="1183"/>
      <c r="Y156" s="1183"/>
      <c r="Z156" s="1183"/>
      <c r="AA156" s="1183"/>
      <c r="AB156" s="1183"/>
      <c r="AC156" s="1183"/>
      <c r="AD156" s="1183"/>
      <c r="AE156" s="1183"/>
      <c r="AF156" s="1183"/>
      <c r="AG156" s="1183"/>
      <c r="AH156" s="1183"/>
      <c r="AI156" s="1184"/>
      <c r="AJ156" s="1184"/>
      <c r="AK156" s="1184"/>
      <c r="AL156" s="1185">
        <v>1</v>
      </c>
    </row>
    <row r="157" spans="1:38" s="709" customFormat="1" ht="26.25">
      <c r="A157" s="1181"/>
      <c r="B157" s="1267" t="s">
        <v>2689</v>
      </c>
      <c r="C157" s="1268"/>
      <c r="D157" s="1269"/>
      <c r="E157" s="1270"/>
      <c r="F157" s="1270"/>
      <c r="G157" s="1270"/>
      <c r="H157" s="1270"/>
      <c r="I157" s="1270"/>
      <c r="J157" s="1270"/>
      <c r="K157" s="1266">
        <v>1</v>
      </c>
      <c r="L157" s="1183"/>
      <c r="M157" s="1183"/>
      <c r="N157" s="1183"/>
      <c r="O157" s="1183"/>
      <c r="P157" s="1184"/>
      <c r="Q157" s="1246"/>
      <c r="R157" s="1246"/>
      <c r="S157" s="1246"/>
      <c r="T157" s="1183"/>
      <c r="U157" s="1183"/>
      <c r="V157" s="1183"/>
      <c r="W157" s="1183"/>
      <c r="X157" s="1183"/>
      <c r="Y157" s="1183"/>
      <c r="Z157" s="1183"/>
      <c r="AA157" s="1183"/>
      <c r="AB157" s="1183"/>
      <c r="AC157" s="1183"/>
      <c r="AD157" s="1183"/>
      <c r="AE157" s="1183"/>
      <c r="AF157" s="1183"/>
      <c r="AG157" s="1183"/>
      <c r="AH157" s="1183"/>
      <c r="AI157" s="1184"/>
      <c r="AJ157" s="1184"/>
      <c r="AK157" s="1184"/>
      <c r="AL157" s="1185">
        <v>1</v>
      </c>
    </row>
    <row r="158" spans="1:38" s="709" customFormat="1" ht="26.25">
      <c r="A158" s="1181"/>
      <c r="B158" s="1271" t="s">
        <v>2690</v>
      </c>
      <c r="C158" s="1268"/>
      <c r="D158" s="1269"/>
      <c r="E158" s="1270"/>
      <c r="F158" s="1270"/>
      <c r="G158" s="1270"/>
      <c r="H158" s="1270"/>
      <c r="I158" s="1270"/>
      <c r="J158" s="1270"/>
      <c r="K158" s="1266">
        <v>1</v>
      </c>
      <c r="L158" s="1183"/>
      <c r="M158" s="1183"/>
      <c r="N158" s="1183"/>
      <c r="O158" s="1183"/>
      <c r="P158" s="1184"/>
      <c r="Q158" s="1246"/>
      <c r="R158" s="1246"/>
      <c r="S158" s="1246"/>
      <c r="T158" s="1183"/>
      <c r="U158" s="1183"/>
      <c r="V158" s="1183"/>
      <c r="W158" s="1183"/>
      <c r="X158" s="1183"/>
      <c r="Y158" s="1183"/>
      <c r="Z158" s="1183"/>
      <c r="AA158" s="1183"/>
      <c r="AB158" s="1183"/>
      <c r="AC158" s="1183"/>
      <c r="AD158" s="1183"/>
      <c r="AE158" s="1183"/>
      <c r="AF158" s="1183"/>
      <c r="AG158" s="1183"/>
      <c r="AH158" s="1183"/>
      <c r="AI158" s="1184"/>
      <c r="AJ158" s="1184"/>
      <c r="AK158" s="1184"/>
      <c r="AL158" s="1185">
        <v>1</v>
      </c>
    </row>
    <row r="159" spans="1:38" s="709" customFormat="1" ht="26.25">
      <c r="A159" s="1181"/>
      <c r="B159" s="1272" t="s">
        <v>2691</v>
      </c>
      <c r="C159" s="1263"/>
      <c r="D159" s="1273"/>
      <c r="E159" s="1247"/>
      <c r="F159" s="1274" t="s">
        <v>2692</v>
      </c>
      <c r="G159" s="1265"/>
      <c r="H159" s="1265"/>
      <c r="I159" s="1265"/>
      <c r="J159" s="1266"/>
      <c r="K159" s="1266"/>
      <c r="L159" s="1183"/>
      <c r="M159" s="1183"/>
      <c r="N159" s="1183"/>
      <c r="O159" s="1183"/>
      <c r="P159" s="1184"/>
      <c r="Q159" s="1246"/>
      <c r="R159" s="1246"/>
      <c r="S159" s="1246"/>
      <c r="T159" s="1183"/>
      <c r="U159" s="1183"/>
      <c r="V159" s="1183"/>
      <c r="W159" s="1183"/>
      <c r="X159" s="1183"/>
      <c r="Y159" s="1183"/>
      <c r="Z159" s="1183"/>
      <c r="AA159" s="1183"/>
      <c r="AB159" s="1183"/>
      <c r="AC159" s="1183"/>
      <c r="AD159" s="1183"/>
      <c r="AE159" s="1183"/>
      <c r="AF159" s="1183"/>
      <c r="AG159" s="1183"/>
      <c r="AH159" s="1183"/>
      <c r="AI159" s="1184"/>
      <c r="AJ159" s="1184"/>
      <c r="AK159" s="1184"/>
      <c r="AL159" s="1185">
        <v>1</v>
      </c>
    </row>
    <row r="160" spans="1:38" s="709" customFormat="1" ht="26.25">
      <c r="A160" s="1181"/>
      <c r="B160" s="1275"/>
      <c r="C160" s="1276" t="s">
        <v>2693</v>
      </c>
      <c r="D160" s="1273"/>
      <c r="E160" s="1247"/>
      <c r="F160" s="1265"/>
      <c r="G160" s="1265"/>
      <c r="H160" s="1265"/>
      <c r="I160" s="1265"/>
      <c r="J160" s="1266">
        <v>1</v>
      </c>
      <c r="K160" s="1266">
        <v>1</v>
      </c>
      <c r="L160" s="1183"/>
      <c r="M160" s="1183"/>
      <c r="N160" s="1183"/>
      <c r="O160" s="1183"/>
      <c r="P160" s="1184"/>
      <c r="Q160" s="1246"/>
      <c r="R160" s="1246"/>
      <c r="S160" s="1246"/>
      <c r="T160" s="1183"/>
      <c r="U160" s="1183"/>
      <c r="V160" s="1183"/>
      <c r="W160" s="1183"/>
      <c r="X160" s="1183"/>
      <c r="Y160" s="1183"/>
      <c r="Z160" s="1183"/>
      <c r="AA160" s="1183"/>
      <c r="AB160" s="1183"/>
      <c r="AC160" s="1183"/>
      <c r="AD160" s="1183"/>
      <c r="AE160" s="1183"/>
      <c r="AF160" s="1183"/>
      <c r="AG160" s="1183"/>
      <c r="AH160" s="1183"/>
      <c r="AI160" s="1184"/>
      <c r="AJ160" s="1184"/>
      <c r="AK160" s="1184"/>
      <c r="AL160" s="1185">
        <v>1</v>
      </c>
    </row>
    <row r="161" spans="1:40" s="709" customFormat="1" ht="26.25">
      <c r="A161" s="1181"/>
      <c r="B161" s="1277" t="str">
        <f>IF(B160="","",IF(AND(CODE(LEFT(B160,1))=66,CODE(RIGHT(B160,1))=90),"",CHOOSE(MATCH((LEN(B160)&amp;CODE(RIGHT(B160,1)))*1,{165;190;265;290},1),CHAR(CODE(B160)+1),"AA",LEFT(B160,1)&amp;CHAR(CODE(RIGHT(B160,1))+1),"BA",LEFT(B160,2)&amp;CHAR(CODE(RIGHT(B160,1))+1))))</f>
        <v/>
      </c>
      <c r="C161" s="1278" t="str">
        <f ca="1">_xlfn.FORMULATEXT(B161)</f>
        <v>=SI(B160="";"";SI(ET(CODE(GAUCHE(B160;1))=66;CODE(DROITE(B160;1))=90);"";CHOISIR(EQUIV((NBCAR(B160)&amp;CODE(DROITE(B160;1)))*1;{165;190;265;290};1);CAR(CODE(B160)+1);"AA";GAUCHE(B160;1)&amp;CAR(CODE(DROITE(B160;1))+1);"BA";GAUCHE(B160;2)&amp;CAR(CODE(DROITE(B160;1))+1))))</v>
      </c>
      <c r="D161" s="1273"/>
      <c r="E161" s="1247"/>
      <c r="F161" s="1265"/>
      <c r="G161" s="1265"/>
      <c r="H161" s="1265"/>
      <c r="I161" s="1265"/>
      <c r="J161" s="1266"/>
      <c r="K161" s="1266"/>
      <c r="L161" s="1183"/>
      <c r="M161" s="1183"/>
      <c r="N161" s="1183"/>
      <c r="O161" s="1183"/>
      <c r="P161" s="1184"/>
      <c r="Q161" s="1246"/>
      <c r="R161" s="1246"/>
      <c r="S161" s="1246"/>
      <c r="T161" s="1183"/>
      <c r="U161" s="1183"/>
      <c r="V161" s="1183"/>
      <c r="W161" s="1183"/>
      <c r="X161" s="1183"/>
      <c r="Y161" s="1183"/>
      <c r="Z161" s="1183"/>
      <c r="AA161" s="1183"/>
      <c r="AB161" s="1183"/>
      <c r="AC161" s="1183"/>
      <c r="AD161" s="1183"/>
      <c r="AE161" s="1183"/>
      <c r="AF161" s="1183"/>
      <c r="AG161" s="1183"/>
      <c r="AH161" s="1183"/>
      <c r="AI161" s="1184"/>
      <c r="AJ161" s="1184"/>
      <c r="AK161" s="1184"/>
      <c r="AL161" s="1185">
        <v>1</v>
      </c>
    </row>
    <row r="162" spans="1:40" s="709" customFormat="1" ht="26.25">
      <c r="A162" s="1181"/>
      <c r="B162" s="1277"/>
      <c r="C162" s="1278"/>
      <c r="D162" s="1273"/>
      <c r="E162" s="1247"/>
      <c r="F162" s="1265"/>
      <c r="G162" s="1265"/>
      <c r="H162" s="1265"/>
      <c r="I162" s="1265"/>
      <c r="J162" s="1266"/>
      <c r="K162" s="1266"/>
      <c r="L162" s="1183"/>
      <c r="M162" s="1183"/>
      <c r="N162" s="1183"/>
      <c r="O162" s="1183"/>
      <c r="P162" s="1184"/>
      <c r="Q162" s="1246"/>
      <c r="R162" s="1246"/>
      <c r="S162" s="1246"/>
      <c r="T162" s="1183"/>
      <c r="U162" s="1183"/>
      <c r="V162" s="1183"/>
      <c r="W162" s="1183"/>
      <c r="X162" s="1183"/>
      <c r="Y162" s="1183"/>
      <c r="Z162" s="1183"/>
      <c r="AA162" s="1183"/>
      <c r="AB162" s="1183"/>
      <c r="AC162" s="1183"/>
      <c r="AD162" s="1183"/>
      <c r="AE162" s="1183"/>
      <c r="AF162" s="1183"/>
      <c r="AG162" s="1183"/>
      <c r="AH162" s="1183"/>
      <c r="AI162" s="1184"/>
      <c r="AJ162" s="1184"/>
      <c r="AK162" s="1184"/>
      <c r="AL162" s="1185">
        <v>1</v>
      </c>
    </row>
    <row r="163" spans="1:40" s="709" customFormat="1" ht="26.25">
      <c r="A163" s="1181"/>
      <c r="B163" s="1262" t="s">
        <v>918</v>
      </c>
      <c r="C163" s="1262"/>
      <c r="D163" s="1262"/>
      <c r="E163" s="1262"/>
      <c r="F163" s="1262"/>
      <c r="G163" s="1262"/>
      <c r="H163" s="1183"/>
      <c r="I163" s="1249"/>
      <c r="J163" s="1183"/>
      <c r="K163" s="1183"/>
      <c r="L163" s="1183"/>
      <c r="M163" s="1183"/>
      <c r="N163" s="1183"/>
      <c r="O163" s="1183"/>
      <c r="P163" s="1184"/>
      <c r="Q163" s="1246"/>
      <c r="R163" s="1246"/>
      <c r="S163" s="1246"/>
      <c r="T163" s="1183"/>
      <c r="U163" s="1183"/>
      <c r="V163" s="1183"/>
      <c r="W163" s="1183"/>
      <c r="X163" s="1183"/>
      <c r="Y163" s="1183"/>
      <c r="Z163" s="1183"/>
      <c r="AA163" s="1183"/>
      <c r="AB163" s="1183"/>
      <c r="AC163" s="1183"/>
      <c r="AD163" s="1183"/>
      <c r="AE163" s="1183"/>
      <c r="AF163" s="1183"/>
      <c r="AG163" s="1183"/>
      <c r="AH163" s="1183"/>
      <c r="AI163" s="1184"/>
      <c r="AJ163" s="1184"/>
      <c r="AK163" s="1184"/>
      <c r="AL163" s="1185">
        <v>1</v>
      </c>
    </row>
    <row r="164" spans="1:40" s="709" customFormat="1" ht="26.25">
      <c r="A164" s="1181"/>
      <c r="B164" s="1262" t="s">
        <v>2694</v>
      </c>
      <c r="C164" s="1262"/>
      <c r="D164" s="1262"/>
      <c r="E164" s="1262"/>
      <c r="F164" s="1262"/>
      <c r="G164" s="1262"/>
      <c r="H164" s="1183"/>
      <c r="I164" s="1249"/>
      <c r="J164" s="1183"/>
      <c r="K164" s="1183"/>
      <c r="L164" s="1183"/>
      <c r="M164" s="1183"/>
      <c r="N164" s="1183"/>
      <c r="O164" s="1183"/>
      <c r="P164" s="1184"/>
      <c r="Q164" s="1246"/>
      <c r="R164" s="1246"/>
      <c r="S164" s="1246"/>
      <c r="T164" s="1183"/>
      <c r="U164" s="1183"/>
      <c r="V164" s="1183"/>
      <c r="W164" s="1183"/>
      <c r="X164" s="1183"/>
      <c r="Y164" s="1183"/>
      <c r="Z164" s="1183"/>
      <c r="AA164" s="1183"/>
      <c r="AB164" s="1183"/>
      <c r="AC164" s="1183"/>
      <c r="AD164" s="1183"/>
      <c r="AE164" s="1183"/>
      <c r="AF164" s="1183"/>
      <c r="AG164" s="1183"/>
      <c r="AH164" s="1183"/>
      <c r="AI164" s="1184"/>
      <c r="AJ164" s="1184"/>
      <c r="AK164" s="1184"/>
      <c r="AL164" s="1185">
        <v>1</v>
      </c>
    </row>
    <row r="165" spans="1:40" s="709" customFormat="1" ht="26.25">
      <c r="A165" s="1181"/>
      <c r="B165" s="1279" t="s">
        <v>865</v>
      </c>
      <c r="C165" s="1262" t="s">
        <v>2695</v>
      </c>
      <c r="D165" s="1249"/>
      <c r="E165" s="1249"/>
      <c r="F165" s="1249"/>
      <c r="G165" s="1249"/>
      <c r="H165" s="1183"/>
      <c r="I165" s="1249"/>
      <c r="J165" s="1183"/>
      <c r="K165" s="1183"/>
      <c r="L165" s="1183"/>
      <c r="M165" s="1183"/>
      <c r="N165" s="1183"/>
      <c r="O165" s="1183"/>
      <c r="P165" s="1184"/>
      <c r="Q165" s="1246"/>
      <c r="R165" s="1246"/>
      <c r="S165" s="1246"/>
      <c r="T165" s="1183"/>
      <c r="U165" s="1183"/>
      <c r="V165" s="1183"/>
      <c r="W165" s="1183"/>
      <c r="X165" s="1183"/>
      <c r="Y165" s="1183"/>
      <c r="Z165" s="1183"/>
      <c r="AA165" s="1183"/>
      <c r="AB165" s="1183"/>
      <c r="AC165" s="1183"/>
      <c r="AD165" s="1183"/>
      <c r="AE165" s="1183"/>
      <c r="AF165" s="1183"/>
      <c r="AG165" s="1183"/>
      <c r="AH165" s="1183"/>
      <c r="AI165" s="1184"/>
      <c r="AJ165" s="1184"/>
      <c r="AK165" s="1184"/>
      <c r="AL165" s="1185">
        <v>1</v>
      </c>
    </row>
    <row r="166" spans="1:40" s="709" customFormat="1" ht="26.25">
      <c r="A166" s="1181"/>
      <c r="B166" s="1280" t="str">
        <f>IF(COLUMN()-COLUMN(B166)+1&lt;=26, CHAR(64+COLUMN()-COLUMN(B166)+1), CHAR(64+INT((COLUMN()-COLUMN(B166))/26))&amp;CHAR(64+MOD(COLUMN()-COLUMN(B166)-1,26)+1))</f>
        <v>A</v>
      </c>
      <c r="C166" s="1275" t="s">
        <v>1669</v>
      </c>
      <c r="D166" s="1275" t="s">
        <v>1670</v>
      </c>
      <c r="E166" s="1275" t="s">
        <v>1671</v>
      </c>
      <c r="F166" s="1275" t="s">
        <v>2696</v>
      </c>
      <c r="G166" s="1249"/>
      <c r="H166" s="1183"/>
      <c r="I166" s="1249"/>
      <c r="J166" s="1183"/>
      <c r="K166" s="1183"/>
      <c r="L166" s="1183"/>
      <c r="M166" s="1183"/>
      <c r="N166" s="1183"/>
      <c r="O166" s="1183"/>
      <c r="P166" s="1184"/>
      <c r="Q166" s="1246"/>
      <c r="R166" s="1246"/>
      <c r="S166" s="1246"/>
      <c r="T166" s="1183"/>
      <c r="U166" s="1183"/>
      <c r="V166" s="1183"/>
      <c r="W166" s="1183"/>
      <c r="X166" s="1183"/>
      <c r="Y166" s="1183"/>
      <c r="Z166" s="1183"/>
      <c r="AA166" s="1183"/>
      <c r="AB166" s="1183"/>
      <c r="AC166" s="1183"/>
      <c r="AD166" s="1183"/>
      <c r="AE166" s="1183"/>
      <c r="AF166" s="1183"/>
      <c r="AG166" s="1183"/>
      <c r="AH166" s="1183"/>
      <c r="AI166" s="1184"/>
      <c r="AJ166" s="1184"/>
      <c r="AK166" s="1184"/>
      <c r="AL166" s="1185">
        <v>1</v>
      </c>
    </row>
    <row r="167" spans="1:40" s="709" customFormat="1" ht="26.25">
      <c r="A167" s="1181"/>
      <c r="B167" s="1262" t="s">
        <v>2697</v>
      </c>
      <c r="C167" s="1264"/>
      <c r="D167" s="1248"/>
      <c r="E167" s="1248"/>
      <c r="F167" s="1248"/>
      <c r="G167" s="1248"/>
      <c r="H167" s="1248"/>
      <c r="I167" s="1248"/>
      <c r="J167" s="1183"/>
      <c r="K167" s="1183"/>
      <c r="L167" s="1183"/>
      <c r="M167" s="1183"/>
      <c r="N167" s="1183"/>
      <c r="O167" s="1183"/>
      <c r="P167" s="1184"/>
      <c r="Q167" s="1246"/>
      <c r="R167" s="1246"/>
      <c r="S167" s="1246"/>
      <c r="T167" s="1183"/>
      <c r="U167" s="1183"/>
      <c r="V167" s="1183"/>
      <c r="W167" s="1183"/>
      <c r="X167" s="1183"/>
      <c r="Y167" s="1183"/>
      <c r="Z167" s="1183"/>
      <c r="AA167" s="1183"/>
      <c r="AB167" s="1183"/>
      <c r="AC167" s="1183"/>
      <c r="AD167" s="1183"/>
      <c r="AE167" s="1183"/>
      <c r="AF167" s="1183"/>
      <c r="AG167" s="1183"/>
      <c r="AH167" s="1183"/>
      <c r="AI167" s="1184"/>
      <c r="AJ167" s="1184"/>
      <c r="AK167" s="1184"/>
      <c r="AL167" s="1185">
        <v>1</v>
      </c>
    </row>
    <row r="168" spans="1:40" s="709" customFormat="1" ht="26.25">
      <c r="A168" s="1181"/>
      <c r="B168" s="1277"/>
      <c r="C168" s="1278"/>
      <c r="D168" s="1273"/>
      <c r="E168" s="1247"/>
      <c r="F168" s="1265"/>
      <c r="G168" s="1265"/>
      <c r="H168" s="1265"/>
      <c r="I168" s="1265"/>
      <c r="J168" s="1266"/>
      <c r="K168" s="1266"/>
      <c r="L168" s="1183"/>
      <c r="M168" s="1183"/>
      <c r="N168" s="1183"/>
      <c r="O168" s="1183"/>
      <c r="P168" s="1184"/>
      <c r="Q168" s="1246"/>
      <c r="R168" s="1246"/>
      <c r="S168" s="1246"/>
      <c r="T168" s="1183"/>
      <c r="U168" s="1183"/>
      <c r="V168" s="1183"/>
      <c r="W168" s="1183"/>
      <c r="X168" s="1183"/>
      <c r="Y168" s="1183"/>
      <c r="Z168" s="1183"/>
      <c r="AA168" s="1183"/>
      <c r="AB168" s="1183"/>
      <c r="AC168" s="1183"/>
      <c r="AD168" s="1183"/>
      <c r="AE168" s="1183"/>
      <c r="AF168" s="1183"/>
      <c r="AG168" s="1183"/>
      <c r="AH168" s="1183"/>
      <c r="AI168" s="1184"/>
      <c r="AJ168" s="1184"/>
      <c r="AK168" s="1184"/>
      <c r="AL168" s="1185">
        <v>1</v>
      </c>
    </row>
    <row r="169" spans="1:40" s="709" customFormat="1" ht="26.25">
      <c r="A169" s="1181"/>
      <c r="B169" s="1277"/>
      <c r="C169" s="1278"/>
      <c r="D169" s="1273"/>
      <c r="E169" s="1247"/>
      <c r="F169" s="1265"/>
      <c r="G169" s="1265"/>
      <c r="H169" s="1265"/>
      <c r="I169" s="1265"/>
      <c r="J169" s="1266"/>
      <c r="K169" s="1266"/>
      <c r="L169" s="1183"/>
      <c r="M169" s="1183"/>
      <c r="N169" s="1183"/>
      <c r="O169" s="1183"/>
      <c r="P169" s="1184"/>
      <c r="Q169" s="1246"/>
      <c r="R169" s="1246"/>
      <c r="S169" s="1246"/>
      <c r="T169" s="1183"/>
      <c r="U169" s="1183"/>
      <c r="V169" s="1183"/>
      <c r="W169" s="1183"/>
      <c r="X169" s="1183"/>
      <c r="Y169" s="1183"/>
      <c r="Z169" s="1183"/>
      <c r="AA169" s="1183"/>
      <c r="AB169" s="1183"/>
      <c r="AC169" s="1183"/>
      <c r="AD169" s="1183"/>
      <c r="AE169" s="1183"/>
      <c r="AF169" s="1183"/>
      <c r="AG169" s="1183"/>
      <c r="AH169" s="1183"/>
      <c r="AI169" s="1184"/>
      <c r="AJ169" s="1184"/>
      <c r="AK169" s="1184"/>
      <c r="AL169" s="1185">
        <v>1</v>
      </c>
    </row>
    <row r="170" spans="1:40" s="1244" customFormat="1" ht="40.5" customHeight="1">
      <c r="A170" s="1181"/>
      <c r="B170" s="1281" t="s">
        <v>2698</v>
      </c>
      <c r="C170" s="1181"/>
      <c r="D170" s="1181"/>
      <c r="E170" s="1181"/>
      <c r="F170" s="1181"/>
      <c r="G170" s="1181"/>
      <c r="H170" s="1181"/>
      <c r="I170" s="1208"/>
      <c r="J170" s="1181"/>
      <c r="K170" s="1181"/>
      <c r="L170" s="1181"/>
      <c r="M170" s="1181"/>
      <c r="N170" s="1181"/>
      <c r="O170" s="1208"/>
      <c r="P170" s="1208"/>
      <c r="Q170" s="1208"/>
      <c r="R170" s="1208"/>
      <c r="S170" s="1208"/>
      <c r="T170" s="1281" t="s">
        <v>2699</v>
      </c>
      <c r="U170" s="1183"/>
      <c r="V170" s="1183"/>
      <c r="W170" s="1183"/>
      <c r="X170" s="1183"/>
      <c r="Y170" s="1183"/>
      <c r="Z170" s="1282"/>
      <c r="AA170" s="1282"/>
      <c r="AB170" s="1282"/>
      <c r="AC170" s="1282"/>
      <c r="AD170" s="1282"/>
      <c r="AE170" s="1282"/>
      <c r="AF170" s="1282"/>
      <c r="AG170" s="1282"/>
      <c r="AH170" s="1283"/>
      <c r="AI170" s="1283"/>
      <c r="AJ170" s="1183"/>
      <c r="AK170" s="1183"/>
      <c r="AL170" s="1185">
        <v>1</v>
      </c>
      <c r="AM170" s="709"/>
      <c r="AN170" s="709"/>
    </row>
    <row r="171" spans="1:40" s="1244" customFormat="1" ht="40.5" customHeight="1">
      <c r="A171" s="1181"/>
      <c r="B171" s="1256"/>
      <c r="C171" s="1231" t="s">
        <v>2700</v>
      </c>
      <c r="D171" s="1181"/>
      <c r="E171" s="1284" t="s">
        <v>2701</v>
      </c>
      <c r="F171" s="1208"/>
      <c r="G171" s="1285" t="s">
        <v>2702</v>
      </c>
      <c r="H171" s="1181"/>
      <c r="I171" s="1208"/>
      <c r="J171" s="1189" t="s">
        <v>2703</v>
      </c>
      <c r="K171" s="1181"/>
      <c r="L171" s="1181"/>
      <c r="M171" s="1181"/>
      <c r="N171" s="1181"/>
      <c r="O171" s="1208"/>
      <c r="P171" s="1208"/>
      <c r="Q171" s="1208"/>
      <c r="R171" s="1208"/>
      <c r="S171" s="1208"/>
      <c r="T171" s="1286" t="s">
        <v>2704</v>
      </c>
      <c r="U171" s="1287"/>
      <c r="V171" s="1288">
        <v>15.5</v>
      </c>
      <c r="W171" s="1183"/>
      <c r="X171" s="1289">
        <v>15.5</v>
      </c>
      <c r="Y171" s="1183"/>
      <c r="Z171" s="1282"/>
      <c r="AA171" s="1282"/>
      <c r="AB171" s="1282"/>
      <c r="AC171" s="1282"/>
      <c r="AD171" s="1282"/>
      <c r="AE171" s="1282"/>
      <c r="AF171" s="1282"/>
      <c r="AG171" s="1282"/>
      <c r="AH171" s="1283"/>
      <c r="AI171" s="1283"/>
      <c r="AJ171" s="1183"/>
      <c r="AK171" s="1183"/>
      <c r="AL171" s="1185">
        <v>1</v>
      </c>
      <c r="AM171" s="709"/>
      <c r="AN171" s="709"/>
    </row>
    <row r="172" spans="1:40" s="1244" customFormat="1" ht="40.5" customHeight="1">
      <c r="A172" s="1181"/>
      <c r="B172" s="1256"/>
      <c r="C172" s="1231" t="s">
        <v>2705</v>
      </c>
      <c r="D172" s="1181"/>
      <c r="E172" s="1284" t="s">
        <v>2706</v>
      </c>
      <c r="F172" s="1208"/>
      <c r="G172" s="1285" t="s">
        <v>2707</v>
      </c>
      <c r="H172" s="1181"/>
      <c r="I172" s="1208"/>
      <c r="J172" s="1189" t="s">
        <v>2708</v>
      </c>
      <c r="K172" s="1181"/>
      <c r="L172" s="1181"/>
      <c r="M172" s="1181"/>
      <c r="N172" s="1181"/>
      <c r="O172" s="1208"/>
      <c r="P172" s="1208"/>
      <c r="Q172" s="1208"/>
      <c r="R172" s="1208"/>
      <c r="S172" s="1208"/>
      <c r="T172" s="1290" t="s">
        <v>2709</v>
      </c>
      <c r="U172" s="1287"/>
      <c r="V172" s="1284" t="s">
        <v>916</v>
      </c>
      <c r="W172" s="1183"/>
      <c r="X172" s="1291" t="s">
        <v>917</v>
      </c>
      <c r="Y172" s="1183"/>
      <c r="Z172" s="1282"/>
      <c r="AA172" s="1282"/>
      <c r="AB172" s="1282"/>
      <c r="AC172" s="1282"/>
      <c r="AD172" s="1282"/>
      <c r="AE172" s="1282"/>
      <c r="AF172" s="1282"/>
      <c r="AG172" s="1282"/>
      <c r="AH172" s="1283"/>
      <c r="AI172" s="1283"/>
      <c r="AJ172" s="1183"/>
      <c r="AK172" s="1183"/>
      <c r="AL172" s="1185">
        <v>1</v>
      </c>
      <c r="AM172" s="709"/>
      <c r="AN172" s="709"/>
    </row>
    <row r="173" spans="1:40" s="1244" customFormat="1" ht="40.5" customHeight="1">
      <c r="A173" s="1181"/>
      <c r="B173" s="1256"/>
      <c r="C173" s="1181"/>
      <c r="D173" s="1181"/>
      <c r="E173" s="1181"/>
      <c r="F173" s="1181"/>
      <c r="G173" s="1181"/>
      <c r="H173" s="1181"/>
      <c r="I173" s="1208"/>
      <c r="J173" s="1181"/>
      <c r="K173" s="1181"/>
      <c r="L173" s="1181"/>
      <c r="M173" s="1181"/>
      <c r="N173" s="1181"/>
      <c r="O173" s="1208"/>
      <c r="P173" s="1208"/>
      <c r="Q173" s="1208"/>
      <c r="R173" s="1208"/>
      <c r="S173" s="1208"/>
      <c r="T173" s="1183"/>
      <c r="U173" s="1183"/>
      <c r="V173" s="1183"/>
      <c r="W173" s="1183"/>
      <c r="X173" s="1183"/>
      <c r="Y173" s="1183"/>
      <c r="Z173" s="1282"/>
      <c r="AA173" s="1282"/>
      <c r="AB173" s="1282"/>
      <c r="AC173" s="1282"/>
      <c r="AD173" s="1282"/>
      <c r="AE173" s="1282"/>
      <c r="AF173" s="1282"/>
      <c r="AG173" s="1282"/>
      <c r="AH173" s="1283"/>
      <c r="AI173" s="1283"/>
      <c r="AJ173" s="1183"/>
      <c r="AK173" s="1183"/>
      <c r="AL173" s="1185">
        <v>1</v>
      </c>
      <c r="AM173" s="709"/>
      <c r="AN173" s="709"/>
    </row>
    <row r="174" spans="1:40" s="1244" customFormat="1" ht="40.5" customHeight="1">
      <c r="A174" s="1181"/>
      <c r="B174" s="1281" t="s">
        <v>2710</v>
      </c>
      <c r="C174" s="1181"/>
      <c r="D174" s="1181"/>
      <c r="E174" s="1181"/>
      <c r="F174" s="1181"/>
      <c r="G174" s="1181"/>
      <c r="H174" s="1181"/>
      <c r="I174" s="1208"/>
      <c r="J174" s="1181"/>
      <c r="K174" s="1181"/>
      <c r="L174" s="1181"/>
      <c r="M174" s="1181"/>
      <c r="N174" s="1181"/>
      <c r="O174" s="1208"/>
      <c r="P174" s="1208"/>
      <c r="Q174" s="1208"/>
      <c r="R174" s="1208"/>
      <c r="S174" s="1208"/>
      <c r="T174" s="1183"/>
      <c r="U174" s="1183"/>
      <c r="V174" s="1183"/>
      <c r="W174" s="1183"/>
      <c r="X174" s="1183"/>
      <c r="Y174" s="1183"/>
      <c r="Z174" s="1183"/>
      <c r="AA174" s="1183"/>
      <c r="AB174" s="1183"/>
      <c r="AC174" s="1183"/>
      <c r="AD174" s="1183"/>
      <c r="AE174" s="1183"/>
      <c r="AF174" s="1183"/>
      <c r="AG174" s="1183"/>
      <c r="AH174" s="1183"/>
      <c r="AI174" s="1183"/>
      <c r="AJ174" s="1183"/>
      <c r="AK174" s="1183"/>
      <c r="AL174" s="1185">
        <v>1</v>
      </c>
      <c r="AM174" s="709"/>
      <c r="AN174" s="709"/>
    </row>
    <row r="175" spans="1:40" s="1244" customFormat="1" ht="40.5" customHeight="1">
      <c r="A175" s="1181"/>
      <c r="B175" s="1256"/>
      <c r="C175" s="1292" t="s">
        <v>2711</v>
      </c>
      <c r="D175" s="1181"/>
      <c r="E175" s="1181"/>
      <c r="F175" s="1181"/>
      <c r="G175" s="1181"/>
      <c r="H175" s="1293" t="s">
        <v>2712</v>
      </c>
      <c r="I175" s="1293"/>
      <c r="J175" s="1181"/>
      <c r="K175" s="1181"/>
      <c r="L175" s="1181"/>
      <c r="M175" s="1181"/>
      <c r="N175" s="1181"/>
      <c r="O175" s="1208"/>
      <c r="P175" s="1208"/>
      <c r="Q175" s="1208"/>
      <c r="R175" s="1208"/>
      <c r="S175" s="1294" t="s">
        <v>2713</v>
      </c>
      <c r="T175" s="1294"/>
      <c r="U175" s="1183"/>
      <c r="V175" s="1183"/>
      <c r="W175" s="1183"/>
      <c r="X175" s="1183"/>
      <c r="Y175" s="1295" t="s">
        <v>2714</v>
      </c>
      <c r="Z175" s="1183"/>
      <c r="AA175" s="1183"/>
      <c r="AB175" s="1183"/>
      <c r="AC175" s="1183"/>
      <c r="AD175" s="1183"/>
      <c r="AE175" s="1183"/>
      <c r="AF175" s="1183"/>
      <c r="AG175" s="1183"/>
      <c r="AH175" s="1183"/>
      <c r="AI175" s="1183"/>
      <c r="AJ175" s="1183"/>
      <c r="AK175" s="1183"/>
      <c r="AL175" s="1185">
        <v>1</v>
      </c>
      <c r="AM175" s="709"/>
      <c r="AN175" s="709"/>
    </row>
    <row r="176" spans="1:40" s="1244" customFormat="1" ht="40.5" customHeight="1">
      <c r="A176" s="1181"/>
      <c r="B176" s="1256"/>
      <c r="C176" s="1296" t="s">
        <v>2715</v>
      </c>
      <c r="D176" s="1181"/>
      <c r="E176" s="1181"/>
      <c r="F176" s="1181"/>
      <c r="G176" s="1181"/>
      <c r="H176" s="1297" t="s">
        <v>2716</v>
      </c>
      <c r="I176" s="1297"/>
      <c r="J176" s="1181"/>
      <c r="K176" s="1181"/>
      <c r="L176" s="1181"/>
      <c r="M176" s="1181"/>
      <c r="N176" s="1181"/>
      <c r="O176" s="1208"/>
      <c r="P176" s="1208"/>
      <c r="Q176" s="1208"/>
      <c r="R176" s="1208"/>
      <c r="S176" s="1298" t="s">
        <v>2717</v>
      </c>
      <c r="T176" s="1298"/>
      <c r="U176" s="1183"/>
      <c r="V176" s="1183"/>
      <c r="W176" s="1183"/>
      <c r="X176" s="1183"/>
      <c r="Y176" s="1299" t="s">
        <v>2718</v>
      </c>
      <c r="Z176" s="1183"/>
      <c r="AA176" s="1183"/>
      <c r="AB176" s="1183"/>
      <c r="AC176" s="1183"/>
      <c r="AD176" s="1183"/>
      <c r="AE176" s="1183"/>
      <c r="AF176" s="1183"/>
      <c r="AG176" s="1183"/>
      <c r="AH176" s="1183"/>
      <c r="AI176" s="1183"/>
      <c r="AJ176" s="1183"/>
      <c r="AK176" s="1183"/>
      <c r="AL176" s="1185">
        <v>1</v>
      </c>
      <c r="AM176" s="709"/>
      <c r="AN176" s="709"/>
    </row>
    <row r="177" spans="1:40" s="1244" customFormat="1" ht="40.5" customHeight="1">
      <c r="A177" s="1181"/>
      <c r="B177" s="1256"/>
      <c r="C177" s="1300" t="s">
        <v>2719</v>
      </c>
      <c r="D177" s="1181"/>
      <c r="E177" s="1181"/>
      <c r="F177" s="1181"/>
      <c r="G177" s="1181"/>
      <c r="H177" s="1181"/>
      <c r="I177" s="1208"/>
      <c r="J177" s="1181"/>
      <c r="K177" s="1181"/>
      <c r="L177" s="1181"/>
      <c r="M177" s="1181"/>
      <c r="N177" s="1181"/>
      <c r="O177" s="1208"/>
      <c r="P177" s="1208"/>
      <c r="Q177" s="1208"/>
      <c r="R177" s="1208"/>
      <c r="S177" s="1208"/>
      <c r="T177" s="1183"/>
      <c r="U177" s="1183"/>
      <c r="V177" s="1183"/>
      <c r="W177" s="1183"/>
      <c r="X177" s="1183"/>
      <c r="Y177" s="1183"/>
      <c r="Z177" s="1183"/>
      <c r="AA177" s="1183"/>
      <c r="AB177" s="1183"/>
      <c r="AC177" s="1183"/>
      <c r="AD177" s="1183"/>
      <c r="AE177" s="1183"/>
      <c r="AF177" s="1183"/>
      <c r="AG177" s="1183"/>
      <c r="AH177" s="1183"/>
      <c r="AI177" s="1183"/>
      <c r="AJ177" s="1183"/>
      <c r="AK177" s="1183"/>
      <c r="AL177" s="1185">
        <v>1</v>
      </c>
      <c r="AM177" s="709"/>
      <c r="AN177" s="709"/>
    </row>
    <row r="178" spans="1:40" ht="27">
      <c r="A178" s="1181"/>
      <c r="B178" s="1256"/>
      <c r="C178" s="1181"/>
      <c r="D178" s="1181"/>
      <c r="E178" s="1181"/>
      <c r="F178" s="1181"/>
      <c r="G178" s="1181"/>
      <c r="H178" s="1181"/>
      <c r="I178" s="1246"/>
      <c r="J178" s="1181"/>
      <c r="K178" s="1181"/>
      <c r="L178" s="1181"/>
      <c r="M178" s="1181"/>
      <c r="N178" s="1181"/>
      <c r="O178" s="1246"/>
      <c r="P178" s="1246"/>
      <c r="Q178" s="1246"/>
      <c r="R178" s="1246"/>
      <c r="S178" s="1246"/>
      <c r="T178" s="1183"/>
      <c r="U178" s="1183"/>
      <c r="V178" s="1183"/>
      <c r="W178" s="1183"/>
      <c r="X178" s="1183"/>
      <c r="Y178" s="1183"/>
      <c r="Z178" s="1183"/>
      <c r="AA178" s="1183"/>
      <c r="AB178" s="1183"/>
      <c r="AC178" s="1183"/>
      <c r="AD178" s="1183"/>
      <c r="AE178" s="1183"/>
      <c r="AF178" s="1183"/>
      <c r="AG178" s="1183"/>
      <c r="AH178" s="1183"/>
      <c r="AI178" s="1184"/>
      <c r="AJ178" s="1184"/>
      <c r="AK178" s="1184"/>
      <c r="AL178" s="1185">
        <v>1</v>
      </c>
    </row>
    <row r="179" spans="1:40" customFormat="1" ht="30" customHeight="1">
      <c r="A179" s="1266"/>
      <c r="B179" s="1266"/>
      <c r="C179" s="1266"/>
      <c r="D179" s="1301" t="s">
        <v>2720</v>
      </c>
      <c r="E179" s="1301"/>
      <c r="F179" s="1301"/>
      <c r="G179" s="1301"/>
      <c r="H179" s="1301"/>
      <c r="I179" s="1301"/>
      <c r="J179" s="1301"/>
      <c r="K179" s="1301"/>
      <c r="L179" s="1301"/>
      <c r="M179" s="1301"/>
      <c r="N179" s="1301"/>
      <c r="O179" s="1301"/>
      <c r="P179" s="1266"/>
      <c r="Q179" s="1266"/>
      <c r="R179" s="1266"/>
      <c r="S179" s="1266"/>
      <c r="T179" s="1266"/>
      <c r="U179" s="1266"/>
      <c r="V179" s="1266"/>
      <c r="W179" s="1266"/>
      <c r="X179" s="1266"/>
      <c r="Y179" s="1208"/>
      <c r="Z179" s="1208"/>
      <c r="AA179" s="1208"/>
      <c r="AB179" s="1208"/>
      <c r="AC179" s="1208"/>
      <c r="AD179" s="1208"/>
      <c r="AE179" s="1208"/>
      <c r="AF179" s="1208"/>
      <c r="AG179" s="1208"/>
      <c r="AH179" s="1208"/>
      <c r="AI179" s="1208"/>
      <c r="AJ179" s="1184"/>
      <c r="AK179" s="1184"/>
      <c r="AL179" s="1185">
        <v>1</v>
      </c>
      <c r="AM179" s="709"/>
      <c r="AN179" s="709"/>
    </row>
    <row r="180" spans="1:40" customFormat="1" ht="30" customHeight="1">
      <c r="A180" s="1266"/>
      <c r="B180" s="1266"/>
      <c r="C180" s="1266"/>
      <c r="D180" s="1301" t="s">
        <v>2721</v>
      </c>
      <c r="E180" s="1301"/>
      <c r="F180" s="1301"/>
      <c r="G180" s="1301"/>
      <c r="H180" s="1301"/>
      <c r="I180" s="1301"/>
      <c r="J180" s="1301"/>
      <c r="K180" s="1301"/>
      <c r="L180" s="1301"/>
      <c r="M180" s="1301"/>
      <c r="N180" s="1301"/>
      <c r="O180" s="1301"/>
      <c r="P180" s="1266"/>
      <c r="Q180" s="1266"/>
      <c r="R180" s="1266"/>
      <c r="S180" s="1266"/>
      <c r="T180" s="1266"/>
      <c r="U180" s="1266"/>
      <c r="V180" s="1266"/>
      <c r="W180" s="1266"/>
      <c r="X180" s="1266"/>
      <c r="Y180" s="1208"/>
      <c r="Z180" s="1208"/>
      <c r="AA180" s="1208"/>
      <c r="AB180" s="1208"/>
      <c r="AC180" s="1208"/>
      <c r="AD180" s="1208"/>
      <c r="AE180" s="1208"/>
      <c r="AF180" s="1208"/>
      <c r="AG180" s="1208"/>
      <c r="AH180" s="1208"/>
      <c r="AI180" s="1208"/>
      <c r="AJ180" s="1184"/>
      <c r="AK180" s="1184"/>
      <c r="AL180" s="1185">
        <v>1</v>
      </c>
      <c r="AM180" s="709"/>
      <c r="AN180" s="709"/>
    </row>
    <row r="181" spans="1:40" customFormat="1" ht="30" customHeight="1">
      <c r="A181" s="1266"/>
      <c r="B181" s="1266"/>
      <c r="C181" s="1266"/>
      <c r="D181" s="1301" t="s">
        <v>2722</v>
      </c>
      <c r="E181" s="1301"/>
      <c r="F181" s="1301"/>
      <c r="G181" s="1301"/>
      <c r="H181" s="1301"/>
      <c r="I181" s="1301"/>
      <c r="J181" s="1301"/>
      <c r="K181" s="1301"/>
      <c r="L181" s="1301"/>
      <c r="M181" s="1301"/>
      <c r="N181" s="1301"/>
      <c r="O181" s="1301"/>
      <c r="P181" s="1266"/>
      <c r="Q181" s="1266"/>
      <c r="R181" s="1266"/>
      <c r="S181" s="1266"/>
      <c r="T181" s="1266"/>
      <c r="U181" s="1266"/>
      <c r="V181" s="1266"/>
      <c r="W181" s="1266"/>
      <c r="X181" s="1266"/>
      <c r="Y181" s="1208"/>
      <c r="Z181" s="1208"/>
      <c r="AA181" s="1208"/>
      <c r="AB181" s="1208"/>
      <c r="AC181" s="1208"/>
      <c r="AD181" s="1208"/>
      <c r="AE181" s="1208"/>
      <c r="AF181" s="1208"/>
      <c r="AG181" s="1208"/>
      <c r="AH181" s="1208"/>
      <c r="AI181" s="1208"/>
      <c r="AJ181" s="1184"/>
      <c r="AK181" s="1184"/>
      <c r="AL181" s="1185">
        <v>1</v>
      </c>
      <c r="AM181" s="709"/>
      <c r="AN181" s="709"/>
    </row>
    <row r="182" spans="1:40" customFormat="1" ht="30" customHeight="1">
      <c r="A182" s="1266"/>
      <c r="B182" s="1266"/>
      <c r="C182" s="1266"/>
      <c r="D182" s="1301" t="s">
        <v>2723</v>
      </c>
      <c r="E182" s="1301"/>
      <c r="F182" s="1301"/>
      <c r="G182" s="1301"/>
      <c r="H182" s="1301"/>
      <c r="I182" s="1301"/>
      <c r="J182" s="1301"/>
      <c r="K182" s="1301"/>
      <c r="L182" s="1301"/>
      <c r="M182" s="1301"/>
      <c r="N182" s="1301"/>
      <c r="O182" s="1301"/>
      <c r="P182" s="1266"/>
      <c r="Q182" s="1266"/>
      <c r="R182" s="1266"/>
      <c r="S182" s="1266"/>
      <c r="T182" s="1266"/>
      <c r="U182" s="1266"/>
      <c r="V182" s="1266"/>
      <c r="W182" s="1266"/>
      <c r="X182" s="1266"/>
      <c r="Y182" s="1208"/>
      <c r="Z182" s="1208"/>
      <c r="AA182" s="1208"/>
      <c r="AB182" s="1208"/>
      <c r="AC182" s="1208"/>
      <c r="AD182" s="1208"/>
      <c r="AE182" s="1208"/>
      <c r="AF182" s="1208"/>
      <c r="AG182" s="1208"/>
      <c r="AH182" s="1208"/>
      <c r="AI182" s="1208"/>
      <c r="AJ182" s="1184"/>
      <c r="AK182" s="1184"/>
      <c r="AL182" s="1185">
        <v>1</v>
      </c>
      <c r="AM182" s="709"/>
      <c r="AN182" s="709"/>
    </row>
    <row r="183" spans="1:40" customFormat="1" ht="30" customHeight="1">
      <c r="A183" s="1266"/>
      <c r="B183" s="1266"/>
      <c r="C183" s="1266"/>
      <c r="D183" s="1302" t="s">
        <v>2724</v>
      </c>
      <c r="E183" s="1301"/>
      <c r="F183" s="1303"/>
      <c r="G183" s="1301"/>
      <c r="H183" s="1301"/>
      <c r="I183" s="1301"/>
      <c r="J183" s="1301"/>
      <c r="K183" s="1303"/>
      <c r="L183" s="1303"/>
      <c r="M183" s="1303"/>
      <c r="N183" s="1303"/>
      <c r="O183" s="1303"/>
      <c r="P183" s="1266"/>
      <c r="Q183" s="1266"/>
      <c r="R183" s="1266"/>
      <c r="S183" s="1266"/>
      <c r="T183" s="1266"/>
      <c r="U183" s="1266"/>
      <c r="V183" s="1266"/>
      <c r="W183" s="1266"/>
      <c r="X183" s="1266"/>
      <c r="Y183" s="1208"/>
      <c r="Z183" s="1208"/>
      <c r="AA183" s="1208"/>
      <c r="AB183" s="1208"/>
      <c r="AC183" s="1208"/>
      <c r="AD183" s="1208"/>
      <c r="AE183" s="1208"/>
      <c r="AF183" s="1208"/>
      <c r="AG183" s="1208"/>
      <c r="AH183" s="1208"/>
      <c r="AI183" s="1208"/>
      <c r="AJ183" s="1184"/>
      <c r="AK183" s="1184"/>
      <c r="AL183" s="1185">
        <v>1</v>
      </c>
      <c r="AM183" s="709"/>
      <c r="AN183" s="709"/>
    </row>
    <row r="184" spans="1:40" customFormat="1" ht="30" customHeight="1">
      <c r="A184" s="1266"/>
      <c r="B184" s="1266"/>
      <c r="C184" s="1266"/>
      <c r="D184" s="1266"/>
      <c r="E184" s="1266"/>
      <c r="F184" s="1266"/>
      <c r="G184" s="1266"/>
      <c r="H184" s="1266"/>
      <c r="I184" s="1266"/>
      <c r="J184" s="1266"/>
      <c r="K184" s="1266"/>
      <c r="L184" s="1266"/>
      <c r="M184" s="1266"/>
      <c r="N184" s="1266"/>
      <c r="O184" s="1266"/>
      <c r="P184" s="1266"/>
      <c r="Q184" s="1266"/>
      <c r="R184" s="1266"/>
      <c r="S184" s="1266"/>
      <c r="T184" s="1266"/>
      <c r="U184" s="1266"/>
      <c r="V184" s="1266"/>
      <c r="W184" s="1266"/>
      <c r="X184" s="1266"/>
      <c r="Y184" s="1208"/>
      <c r="Z184" s="1208"/>
      <c r="AA184" s="1208"/>
      <c r="AB184" s="1208"/>
      <c r="AC184" s="1208"/>
      <c r="AD184" s="1208"/>
      <c r="AE184" s="1208"/>
      <c r="AF184" s="1208"/>
      <c r="AG184" s="1208"/>
      <c r="AH184" s="1208"/>
      <c r="AI184" s="1208"/>
      <c r="AJ184" s="1184"/>
      <c r="AK184" s="1184"/>
      <c r="AL184" s="1185">
        <v>1</v>
      </c>
      <c r="AM184" s="709"/>
      <c r="AN184" s="709"/>
    </row>
    <row r="185" spans="1:40" customFormat="1" ht="30" customHeight="1">
      <c r="A185" s="1266"/>
      <c r="B185" s="1266"/>
      <c r="C185" s="1266"/>
      <c r="D185" s="1414" t="s">
        <v>2725</v>
      </c>
      <c r="E185" s="1304"/>
      <c r="F185" s="1304"/>
      <c r="G185" s="1304"/>
      <c r="H185" s="1305"/>
      <c r="I185" s="1305"/>
      <c r="J185" s="1305"/>
      <c r="K185" s="1305"/>
      <c r="L185" s="1304"/>
      <c r="M185" s="1304"/>
      <c r="N185" s="1304"/>
      <c r="O185" s="1304"/>
      <c r="P185" s="1266"/>
      <c r="Q185" s="1266"/>
      <c r="R185" s="1266"/>
      <c r="S185" s="1266"/>
      <c r="T185" s="1266"/>
      <c r="U185" s="1266"/>
      <c r="V185" s="1266"/>
      <c r="W185" s="1266"/>
      <c r="X185" s="1306"/>
      <c r="Y185" s="1208"/>
      <c r="Z185" s="1208"/>
      <c r="AA185" s="1208"/>
      <c r="AB185" s="1208"/>
      <c r="AC185" s="1208"/>
      <c r="AD185" s="1208"/>
      <c r="AE185" s="1208"/>
      <c r="AF185" s="1208"/>
      <c r="AG185" s="1208"/>
      <c r="AH185" s="1208"/>
      <c r="AI185" s="1208"/>
      <c r="AJ185" s="1184"/>
      <c r="AK185" s="1184"/>
      <c r="AL185" s="1185">
        <v>1</v>
      </c>
      <c r="AM185" s="709"/>
      <c r="AN185" s="709"/>
    </row>
    <row r="186" spans="1:40" customFormat="1" ht="30" customHeight="1">
      <c r="A186" s="1266"/>
      <c r="B186" s="1266"/>
      <c r="C186" s="1266"/>
      <c r="D186" s="1415" t="s">
        <v>3126</v>
      </c>
      <c r="E186" s="1304"/>
      <c r="F186" s="1304"/>
      <c r="G186" s="1304"/>
      <c r="H186" s="1304"/>
      <c r="I186" s="1304"/>
      <c r="J186" s="1304"/>
      <c r="K186" s="1304"/>
      <c r="L186" s="1304"/>
      <c r="M186" s="1304"/>
      <c r="N186" s="1304"/>
      <c r="O186" s="1304"/>
      <c r="P186" s="1266"/>
      <c r="Q186" s="1266"/>
      <c r="R186" s="1266"/>
      <c r="S186" s="1266"/>
      <c r="T186" s="1266"/>
      <c r="U186" s="1266"/>
      <c r="V186" s="1266"/>
      <c r="W186" s="1266"/>
      <c r="X186" s="1306"/>
      <c r="Y186" s="1208"/>
      <c r="Z186" s="1208"/>
      <c r="AA186" s="1208"/>
      <c r="AB186" s="1208"/>
      <c r="AC186" s="1208"/>
      <c r="AD186" s="1208"/>
      <c r="AE186" s="1208"/>
      <c r="AF186" s="1208"/>
      <c r="AG186" s="1208"/>
      <c r="AH186" s="1208"/>
      <c r="AI186" s="1208"/>
      <c r="AJ186" s="1266"/>
      <c r="AK186" s="1266"/>
      <c r="AL186" s="1185">
        <v>1</v>
      </c>
      <c r="AM186" s="709"/>
      <c r="AN186" s="709"/>
    </row>
    <row r="187" spans="1:40" customFormat="1" ht="30" customHeight="1">
      <c r="A187" s="1266"/>
      <c r="B187" s="1266"/>
      <c r="C187" s="1266"/>
      <c r="D187" s="1414" t="s">
        <v>2726</v>
      </c>
      <c r="E187" s="1304"/>
      <c r="F187" s="1304"/>
      <c r="G187" s="1304"/>
      <c r="H187" s="1304"/>
      <c r="I187" s="1304"/>
      <c r="J187" s="1304"/>
      <c r="K187" s="1304"/>
      <c r="L187" s="1304"/>
      <c r="M187" s="1304"/>
      <c r="N187" s="1304"/>
      <c r="O187" s="1304"/>
      <c r="P187" s="1266"/>
      <c r="Q187" s="1266"/>
      <c r="R187" s="1266"/>
      <c r="S187" s="1266"/>
      <c r="T187" s="1266"/>
      <c r="U187" s="1266"/>
      <c r="V187" s="1266"/>
      <c r="W187" s="1266"/>
      <c r="X187" s="1266"/>
      <c r="Y187" s="1208"/>
      <c r="Z187" s="1208"/>
      <c r="AA187" s="1208"/>
      <c r="AB187" s="1208"/>
      <c r="AC187" s="1208"/>
      <c r="AD187" s="1208"/>
      <c r="AE187" s="1208"/>
      <c r="AF187" s="1208"/>
      <c r="AG187" s="1208"/>
      <c r="AH187" s="1208"/>
      <c r="AI187" s="1208"/>
      <c r="AJ187" s="1266"/>
      <c r="AK187" s="1266"/>
      <c r="AL187" s="1185">
        <v>1</v>
      </c>
      <c r="AM187" s="709"/>
      <c r="AN187" s="709"/>
    </row>
    <row r="188" spans="1:40" customFormat="1" ht="30" customHeight="1">
      <c r="A188" s="1266"/>
      <c r="B188" s="1266"/>
      <c r="C188" s="1266"/>
      <c r="D188" s="1308" t="s">
        <v>2727</v>
      </c>
      <c r="E188" s="1304"/>
      <c r="F188" s="1304"/>
      <c r="G188" s="1304"/>
      <c r="H188" s="1304"/>
      <c r="I188" s="1304"/>
      <c r="J188" s="1304"/>
      <c r="K188" s="1304"/>
      <c r="L188" s="1304"/>
      <c r="M188" s="1304"/>
      <c r="N188" s="1304"/>
      <c r="O188" s="1304"/>
      <c r="P188" s="1266"/>
      <c r="Q188" s="1266"/>
      <c r="R188" s="1266"/>
      <c r="S188" s="1266"/>
      <c r="T188" s="1266"/>
      <c r="U188" s="1266"/>
      <c r="V188" s="1266"/>
      <c r="W188" s="1266"/>
      <c r="X188" s="1266"/>
      <c r="Y188" s="1208"/>
      <c r="Z188" s="1208"/>
      <c r="AA188" s="1208"/>
      <c r="AB188" s="1208"/>
      <c r="AC188" s="1208"/>
      <c r="AD188" s="1208"/>
      <c r="AE188" s="1208"/>
      <c r="AF188" s="1208"/>
      <c r="AG188" s="1208"/>
      <c r="AH188" s="1208"/>
      <c r="AI188" s="1208"/>
      <c r="AJ188" s="1266"/>
      <c r="AK188" s="1266"/>
      <c r="AL188" s="1185">
        <v>1</v>
      </c>
      <c r="AM188" s="709"/>
      <c r="AN188" s="709"/>
    </row>
    <row r="189" spans="1:40" customFormat="1" ht="30" customHeight="1">
      <c r="A189" s="1266"/>
      <c r="B189" s="1266"/>
      <c r="C189" s="1266"/>
      <c r="D189" s="1309" t="s">
        <v>2728</v>
      </c>
      <c r="E189" s="1304"/>
      <c r="F189" s="1304"/>
      <c r="G189" s="1304"/>
      <c r="H189" s="1304"/>
      <c r="I189" s="1304"/>
      <c r="J189" s="1304"/>
      <c r="K189" s="1304"/>
      <c r="L189" s="1304"/>
      <c r="M189" s="1304"/>
      <c r="N189" s="1304"/>
      <c r="O189" s="1304"/>
      <c r="P189" s="1266"/>
      <c r="Q189" s="1266"/>
      <c r="R189" s="1266"/>
      <c r="S189" s="1266"/>
      <c r="T189" s="1266"/>
      <c r="U189" s="1266"/>
      <c r="V189" s="1266"/>
      <c r="W189" s="1266"/>
      <c r="X189" s="1266"/>
      <c r="Y189" s="1208"/>
      <c r="Z189" s="1208"/>
      <c r="AA189" s="1208"/>
      <c r="AB189" s="1208"/>
      <c r="AC189" s="1208"/>
      <c r="AD189" s="1208"/>
      <c r="AE189" s="1208"/>
      <c r="AF189" s="1208"/>
      <c r="AG189" s="1208"/>
      <c r="AH189" s="1208"/>
      <c r="AI189" s="1208"/>
      <c r="AJ189" s="1266"/>
      <c r="AK189" s="1266"/>
      <c r="AL189" s="1185">
        <v>1</v>
      </c>
      <c r="AM189" s="709"/>
      <c r="AN189" s="709"/>
    </row>
    <row r="190" spans="1:40" customFormat="1" ht="30" customHeight="1">
      <c r="A190" s="1266"/>
      <c r="B190" s="1266"/>
      <c r="C190" s="1266"/>
      <c r="D190" s="1266"/>
      <c r="E190" s="1266"/>
      <c r="F190" s="1266"/>
      <c r="G190" s="1266"/>
      <c r="H190" s="1266"/>
      <c r="I190" s="1266"/>
      <c r="J190" s="1266"/>
      <c r="K190" s="1266"/>
      <c r="L190" s="1266"/>
      <c r="M190" s="1266"/>
      <c r="N190" s="1266"/>
      <c r="O190" s="1266"/>
      <c r="P190" s="1266"/>
      <c r="Q190" s="1266"/>
      <c r="R190" s="1266"/>
      <c r="S190" s="1266"/>
      <c r="T190" s="1266"/>
      <c r="U190" s="1266"/>
      <c r="V190" s="1266"/>
      <c r="W190" s="1266"/>
      <c r="X190" s="1266"/>
      <c r="Y190" s="1208"/>
      <c r="Z190" s="1208"/>
      <c r="AA190" s="1208"/>
      <c r="AB190" s="1208"/>
      <c r="AC190" s="1208"/>
      <c r="AD190" s="1208"/>
      <c r="AE190" s="1208"/>
      <c r="AF190" s="1208"/>
      <c r="AG190" s="1208"/>
      <c r="AH190" s="1208"/>
      <c r="AI190" s="1208"/>
      <c r="AJ190" s="1266"/>
      <c r="AK190" s="1266"/>
      <c r="AL190" s="1185">
        <v>1</v>
      </c>
      <c r="AM190" s="709"/>
      <c r="AN190" s="709"/>
    </row>
    <row r="191" spans="1:40" customFormat="1" ht="30" customHeight="1">
      <c r="A191" s="1266"/>
      <c r="B191" s="1266"/>
      <c r="C191" s="1266"/>
      <c r="D191" s="1307" t="s">
        <v>2729</v>
      </c>
      <c r="E191" s="1304"/>
      <c r="F191" s="1304"/>
      <c r="G191" s="1304"/>
      <c r="H191" s="1304"/>
      <c r="I191" s="1304"/>
      <c r="J191" s="1304"/>
      <c r="K191" s="1304"/>
      <c r="L191" s="1304"/>
      <c r="M191" s="1304"/>
      <c r="N191" s="1266"/>
      <c r="O191" s="1266"/>
      <c r="P191" s="1266"/>
      <c r="Q191" s="1266"/>
      <c r="R191" s="1266"/>
      <c r="S191" s="1266"/>
      <c r="T191" s="1266"/>
      <c r="U191" s="1266"/>
      <c r="V191" s="1266"/>
      <c r="W191" s="1266"/>
      <c r="X191" s="1266"/>
      <c r="Y191" s="1208"/>
      <c r="Z191" s="1208"/>
      <c r="AA191" s="1208"/>
      <c r="AB191" s="1208"/>
      <c r="AC191" s="1208"/>
      <c r="AD191" s="1208"/>
      <c r="AE191" s="1208"/>
      <c r="AF191" s="1208"/>
      <c r="AG191" s="1208"/>
      <c r="AH191" s="1208"/>
      <c r="AI191" s="1208"/>
      <c r="AJ191" s="1266"/>
      <c r="AK191" s="1266"/>
      <c r="AL191" s="1185">
        <v>1</v>
      </c>
      <c r="AM191" s="709"/>
      <c r="AN191" s="709"/>
    </row>
    <row r="192" spans="1:40" customFormat="1" ht="30" customHeight="1">
      <c r="A192" s="1266"/>
      <c r="B192" s="1266"/>
      <c r="C192" s="1266"/>
      <c r="D192" s="1304" t="s">
        <v>2730</v>
      </c>
      <c r="E192" s="1304"/>
      <c r="F192" s="1304"/>
      <c r="G192" s="1304"/>
      <c r="H192" s="1304"/>
      <c r="I192" s="1304"/>
      <c r="J192" s="1304"/>
      <c r="K192" s="1304"/>
      <c r="L192" s="1304"/>
      <c r="M192" s="1304"/>
      <c r="N192" s="1266"/>
      <c r="O192" s="1266"/>
      <c r="P192" s="1266"/>
      <c r="Q192" s="1266"/>
      <c r="R192" s="1266"/>
      <c r="S192" s="1266"/>
      <c r="T192" s="1266"/>
      <c r="U192" s="1266"/>
      <c r="V192" s="1266"/>
      <c r="W192" s="1266"/>
      <c r="X192" s="1266"/>
      <c r="Y192" s="1208"/>
      <c r="Z192" s="1208"/>
      <c r="AA192" s="1208"/>
      <c r="AB192" s="1208"/>
      <c r="AC192" s="1208"/>
      <c r="AD192" s="1208"/>
      <c r="AE192" s="1208"/>
      <c r="AF192" s="1208"/>
      <c r="AG192" s="1208"/>
      <c r="AH192" s="1208"/>
      <c r="AI192" s="1208"/>
      <c r="AJ192" s="1266"/>
      <c r="AK192" s="1266"/>
      <c r="AL192" s="1185">
        <v>1</v>
      </c>
      <c r="AM192" s="709"/>
      <c r="AN192" s="709"/>
    </row>
    <row r="193" spans="1:40" customFormat="1" ht="30" customHeight="1">
      <c r="A193" s="1266"/>
      <c r="B193" s="1266"/>
      <c r="C193" s="1266"/>
      <c r="D193" s="1304" t="s">
        <v>2731</v>
      </c>
      <c r="E193" s="1304"/>
      <c r="F193" s="1304"/>
      <c r="G193" s="1304"/>
      <c r="H193" s="1304"/>
      <c r="I193" s="1304"/>
      <c r="J193" s="1304"/>
      <c r="K193" s="1304"/>
      <c r="L193" s="1304"/>
      <c r="M193" s="1304"/>
      <c r="N193" s="1266"/>
      <c r="O193" s="1266"/>
      <c r="P193" s="1266"/>
      <c r="Q193" s="1266"/>
      <c r="R193" s="1266"/>
      <c r="S193" s="1266"/>
      <c r="T193" s="1266"/>
      <c r="U193" s="1266"/>
      <c r="V193" s="1266"/>
      <c r="W193" s="1266"/>
      <c r="X193" s="1266"/>
      <c r="Y193" s="1208"/>
      <c r="Z193" s="1208"/>
      <c r="AA193" s="1208"/>
      <c r="AB193" s="1208"/>
      <c r="AC193" s="1208"/>
      <c r="AD193" s="1208"/>
      <c r="AE193" s="1208"/>
      <c r="AF193" s="1208"/>
      <c r="AG193" s="1208"/>
      <c r="AH193" s="1208"/>
      <c r="AI193" s="1208"/>
      <c r="AJ193" s="1266"/>
      <c r="AK193" s="1266"/>
      <c r="AL193" s="1185">
        <v>1</v>
      </c>
      <c r="AM193" s="709"/>
      <c r="AN193" s="709"/>
    </row>
    <row r="194" spans="1:40" customFormat="1" ht="30" customHeight="1">
      <c r="A194" s="1266"/>
      <c r="B194" s="1266"/>
      <c r="C194" s="1266"/>
      <c r="D194" s="1304" t="s">
        <v>2732</v>
      </c>
      <c r="E194" s="1304"/>
      <c r="F194" s="1304"/>
      <c r="G194" s="1304"/>
      <c r="H194" s="1304"/>
      <c r="I194" s="1304"/>
      <c r="J194" s="1304"/>
      <c r="K194" s="1304"/>
      <c r="L194" s="1304"/>
      <c r="M194" s="1304"/>
      <c r="N194" s="1266"/>
      <c r="O194" s="1266"/>
      <c r="P194" s="1266"/>
      <c r="Q194" s="1266"/>
      <c r="R194" s="1266"/>
      <c r="S194" s="1266"/>
      <c r="T194" s="1266"/>
      <c r="U194" s="1266"/>
      <c r="V194" s="1266"/>
      <c r="W194" s="1266"/>
      <c r="X194" s="1266"/>
      <c r="Y194" s="1208"/>
      <c r="Z194" s="1208"/>
      <c r="AA194" s="1208"/>
      <c r="AB194" s="1208"/>
      <c r="AC194" s="1208"/>
      <c r="AD194" s="1208"/>
      <c r="AE194" s="1208"/>
      <c r="AF194" s="1208"/>
      <c r="AG194" s="1208"/>
      <c r="AH194" s="1208"/>
      <c r="AI194" s="1208"/>
      <c r="AJ194" s="1266"/>
      <c r="AK194" s="1266"/>
      <c r="AL194" s="1185">
        <v>1</v>
      </c>
      <c r="AM194" s="709"/>
      <c r="AN194" s="709"/>
    </row>
    <row r="195" spans="1:40" customFormat="1" ht="30" customHeight="1">
      <c r="A195" s="1266"/>
      <c r="B195" s="1266"/>
      <c r="C195" s="1266"/>
      <c r="D195" s="1304" t="s">
        <v>2733</v>
      </c>
      <c r="E195" s="1304"/>
      <c r="F195" s="1304"/>
      <c r="G195" s="1304"/>
      <c r="H195" s="1304"/>
      <c r="I195" s="1304"/>
      <c r="J195" s="1304"/>
      <c r="K195" s="1304"/>
      <c r="L195" s="1304"/>
      <c r="M195" s="1304"/>
      <c r="N195" s="1266"/>
      <c r="O195" s="1266"/>
      <c r="P195" s="1266"/>
      <c r="Q195" s="1266"/>
      <c r="R195" s="1266"/>
      <c r="S195" s="1266"/>
      <c r="T195" s="1266"/>
      <c r="U195" s="1266"/>
      <c r="V195" s="1266"/>
      <c r="W195" s="1266"/>
      <c r="X195" s="1266"/>
      <c r="Y195" s="1208"/>
      <c r="Z195" s="1208"/>
      <c r="AA195" s="1208"/>
      <c r="AB195" s="1208"/>
      <c r="AC195" s="1208"/>
      <c r="AD195" s="1208"/>
      <c r="AE195" s="1208"/>
      <c r="AF195" s="1208"/>
      <c r="AG195" s="1208"/>
      <c r="AH195" s="1208"/>
      <c r="AI195" s="1208"/>
      <c r="AJ195" s="1266"/>
      <c r="AK195" s="1266"/>
      <c r="AL195" s="1185">
        <v>1</v>
      </c>
      <c r="AM195" s="709"/>
      <c r="AN195" s="709"/>
    </row>
    <row r="196" spans="1:40" customFormat="1" ht="30" customHeight="1">
      <c r="A196" s="1266"/>
      <c r="B196" s="1266"/>
      <c r="C196" s="1266"/>
      <c r="D196" s="1304" t="s">
        <v>2734</v>
      </c>
      <c r="E196" s="1304"/>
      <c r="F196" s="1304"/>
      <c r="G196" s="1304"/>
      <c r="H196" s="1304"/>
      <c r="I196" s="1304"/>
      <c r="J196" s="1304"/>
      <c r="K196" s="1304"/>
      <c r="L196" s="1304"/>
      <c r="M196" s="1304"/>
      <c r="N196" s="1266"/>
      <c r="O196" s="1266"/>
      <c r="P196" s="1266"/>
      <c r="Q196" s="1266"/>
      <c r="R196" s="1266"/>
      <c r="S196" s="1266"/>
      <c r="T196" s="1266"/>
      <c r="U196" s="1266"/>
      <c r="V196" s="1266"/>
      <c r="W196" s="1266"/>
      <c r="X196" s="1266"/>
      <c r="Y196" s="1266"/>
      <c r="Z196" s="1266"/>
      <c r="AA196" s="1266"/>
      <c r="AB196" s="1266"/>
      <c r="AC196" s="1266"/>
      <c r="AD196" s="1266"/>
      <c r="AE196" s="1266"/>
      <c r="AF196" s="1266"/>
      <c r="AG196" s="1266"/>
      <c r="AH196" s="1266"/>
      <c r="AI196" s="1266"/>
      <c r="AJ196" s="1266"/>
      <c r="AK196" s="1266"/>
      <c r="AL196" s="1185">
        <v>1</v>
      </c>
      <c r="AM196" s="709"/>
      <c r="AN196" s="709"/>
    </row>
    <row r="197" spans="1:40" customFormat="1" ht="30" customHeight="1">
      <c r="A197" s="1266"/>
      <c r="B197" s="1266"/>
      <c r="C197" s="1266"/>
      <c r="D197" s="1309" t="s">
        <v>2735</v>
      </c>
      <c r="E197" s="1304"/>
      <c r="F197" s="1304"/>
      <c r="G197" s="1304"/>
      <c r="H197" s="1304"/>
      <c r="I197" s="1304"/>
      <c r="J197" s="1304"/>
      <c r="K197" s="1304"/>
      <c r="L197" s="1304"/>
      <c r="M197" s="1304"/>
      <c r="N197" s="1266"/>
      <c r="O197" s="1266"/>
      <c r="P197" s="1266"/>
      <c r="Q197" s="1266"/>
      <c r="R197" s="1266"/>
      <c r="S197" s="1266"/>
      <c r="T197" s="1266"/>
      <c r="U197" s="1266"/>
      <c r="V197" s="1266"/>
      <c r="W197" s="1266"/>
      <c r="X197" s="1266"/>
      <c r="Y197" s="1266"/>
      <c r="Z197" s="1266"/>
      <c r="AA197" s="1266"/>
      <c r="AB197" s="1266"/>
      <c r="AC197" s="1266"/>
      <c r="AD197" s="1266"/>
      <c r="AE197" s="1266"/>
      <c r="AF197" s="1266"/>
      <c r="AG197" s="1266"/>
      <c r="AH197" s="1266"/>
      <c r="AI197" s="1266"/>
      <c r="AJ197" s="1266"/>
      <c r="AK197" s="1266"/>
      <c r="AL197" s="1185">
        <v>1</v>
      </c>
      <c r="AM197" s="709"/>
      <c r="AN197" s="709"/>
    </row>
    <row r="198" spans="1:40" customFormat="1" ht="30" customHeight="1">
      <c r="A198" s="1266"/>
      <c r="B198" s="1266"/>
      <c r="C198" s="1266"/>
      <c r="D198" s="1309" t="s">
        <v>2736</v>
      </c>
      <c r="E198" s="1304"/>
      <c r="F198" s="1304"/>
      <c r="G198" s="1304"/>
      <c r="H198" s="1304"/>
      <c r="I198" s="1304"/>
      <c r="J198" s="1304"/>
      <c r="K198" s="1304"/>
      <c r="L198" s="1304"/>
      <c r="M198" s="1304"/>
      <c r="N198" s="1266"/>
      <c r="O198" s="1266"/>
      <c r="P198" s="1266"/>
      <c r="Q198" s="1266"/>
      <c r="R198" s="1266"/>
      <c r="S198" s="1266"/>
      <c r="T198" s="1266"/>
      <c r="U198" s="1266"/>
      <c r="V198" s="1266"/>
      <c r="W198" s="1266"/>
      <c r="X198" s="1266"/>
      <c r="Y198" s="1266"/>
      <c r="Z198" s="1266"/>
      <c r="AA198" s="1266"/>
      <c r="AB198" s="1266"/>
      <c r="AC198" s="1266"/>
      <c r="AD198" s="1266"/>
      <c r="AE198" s="1266"/>
      <c r="AF198" s="1266"/>
      <c r="AG198" s="1266"/>
      <c r="AH198" s="1266"/>
      <c r="AI198" s="1266"/>
      <c r="AJ198" s="1266"/>
      <c r="AK198" s="1266"/>
      <c r="AL198" s="1185">
        <v>1</v>
      </c>
      <c r="AM198" s="709"/>
      <c r="AN198" s="709"/>
    </row>
    <row r="199" spans="1:40" customFormat="1" ht="30" customHeight="1">
      <c r="A199" s="1266"/>
      <c r="B199" s="1266"/>
      <c r="C199" s="1266"/>
      <c r="D199" s="1266"/>
      <c r="E199" s="1266"/>
      <c r="F199" s="1266"/>
      <c r="G199" s="1266"/>
      <c r="H199" s="1266"/>
      <c r="I199" s="1266"/>
      <c r="J199" s="1266"/>
      <c r="K199" s="1266"/>
      <c r="L199" s="1266"/>
      <c r="M199" s="1266"/>
      <c r="N199" s="1266"/>
      <c r="O199" s="1266"/>
      <c r="P199" s="1266"/>
      <c r="Q199" s="1266"/>
      <c r="R199" s="1266"/>
      <c r="S199" s="1266"/>
      <c r="T199" s="1266"/>
      <c r="U199" s="1266"/>
      <c r="V199" s="1266"/>
      <c r="W199" s="1266"/>
      <c r="X199" s="1266"/>
      <c r="Y199" s="1266"/>
      <c r="Z199" s="1266"/>
      <c r="AA199" s="1266"/>
      <c r="AB199" s="1266"/>
      <c r="AC199" s="1266"/>
      <c r="AD199" s="1266"/>
      <c r="AE199" s="1266"/>
      <c r="AF199" s="1266"/>
      <c r="AG199" s="1266"/>
      <c r="AH199" s="1266"/>
      <c r="AI199" s="1266"/>
      <c r="AJ199" s="1266"/>
      <c r="AK199" s="1266"/>
      <c r="AL199" s="1185">
        <v>1</v>
      </c>
      <c r="AM199" s="709"/>
      <c r="AN199" s="709"/>
    </row>
    <row r="200" spans="1:40" customFormat="1" ht="30" customHeight="1">
      <c r="A200" s="1266"/>
      <c r="B200" s="1266"/>
      <c r="C200" s="1266"/>
      <c r="D200" s="1310" t="s">
        <v>2737</v>
      </c>
      <c r="E200" s="1311"/>
      <c r="F200" s="1311"/>
      <c r="G200" s="1311"/>
      <c r="H200" s="1311"/>
      <c r="I200" s="1311"/>
      <c r="J200" s="1311"/>
      <c r="K200" s="1311"/>
      <c r="L200" s="1311"/>
      <c r="M200" s="1311"/>
      <c r="N200" s="1266"/>
      <c r="O200" s="1266"/>
      <c r="P200" s="1266"/>
      <c r="Q200" s="1266"/>
      <c r="R200" s="1266"/>
      <c r="S200" s="1266"/>
      <c r="T200" s="1266"/>
      <c r="U200" s="1266"/>
      <c r="V200" s="1266"/>
      <c r="W200" s="1266"/>
      <c r="X200" s="1266"/>
      <c r="Y200" s="1266"/>
      <c r="Z200" s="1266"/>
      <c r="AA200" s="1266"/>
      <c r="AB200" s="1266"/>
      <c r="AC200" s="1266"/>
      <c r="AD200" s="1266"/>
      <c r="AE200" s="1266"/>
      <c r="AF200" s="1266"/>
      <c r="AG200" s="1266"/>
      <c r="AH200" s="1266"/>
      <c r="AI200" s="1266"/>
      <c r="AJ200" s="1266"/>
      <c r="AK200" s="1266"/>
      <c r="AL200" s="1185">
        <v>1</v>
      </c>
      <c r="AM200" s="709"/>
      <c r="AN200" s="709"/>
    </row>
    <row r="201" spans="1:40" customFormat="1" ht="30" customHeight="1">
      <c r="A201" s="1266"/>
      <c r="B201" s="1266"/>
      <c r="C201" s="1266"/>
      <c r="D201" s="1312" t="s">
        <v>2738</v>
      </c>
      <c r="E201" s="1311"/>
      <c r="F201" s="1311"/>
      <c r="G201" s="1311"/>
      <c r="H201" s="1311"/>
      <c r="I201" s="1311"/>
      <c r="J201" s="1311"/>
      <c r="K201" s="1311"/>
      <c r="L201" s="1311"/>
      <c r="M201" s="1311"/>
      <c r="N201" s="1266"/>
      <c r="O201" s="1266"/>
      <c r="P201" s="1266"/>
      <c r="Q201" s="1266"/>
      <c r="R201" s="1266"/>
      <c r="S201" s="1266"/>
      <c r="T201" s="1266"/>
      <c r="U201" s="1266"/>
      <c r="V201" s="1266"/>
      <c r="W201" s="1266"/>
      <c r="X201" s="1266"/>
      <c r="Y201" s="1266"/>
      <c r="Z201" s="1266"/>
      <c r="AA201" s="1266"/>
      <c r="AB201" s="1266"/>
      <c r="AC201" s="1266"/>
      <c r="AD201" s="1266"/>
      <c r="AE201" s="1266"/>
      <c r="AF201" s="1266"/>
      <c r="AG201" s="1266"/>
      <c r="AH201" s="1266"/>
      <c r="AI201" s="1266"/>
      <c r="AJ201" s="1266"/>
      <c r="AK201" s="1266"/>
      <c r="AL201" s="1185">
        <v>1</v>
      </c>
      <c r="AM201" s="709"/>
      <c r="AN201" s="709"/>
    </row>
    <row r="202" spans="1:40" customFormat="1" ht="30" customHeight="1">
      <c r="A202" s="1266"/>
      <c r="B202" s="1266"/>
      <c r="C202" s="1266"/>
      <c r="D202" s="1312" t="s">
        <v>2739</v>
      </c>
      <c r="E202" s="1311"/>
      <c r="F202" s="1311"/>
      <c r="G202" s="1311"/>
      <c r="H202" s="1311"/>
      <c r="I202" s="1311"/>
      <c r="J202" s="1311"/>
      <c r="K202" s="1311"/>
      <c r="L202" s="1311"/>
      <c r="M202" s="1311"/>
      <c r="N202" s="1266"/>
      <c r="O202" s="1266"/>
      <c r="P202" s="1266"/>
      <c r="Q202" s="1266"/>
      <c r="R202" s="1266"/>
      <c r="S202" s="1266"/>
      <c r="T202" s="1266"/>
      <c r="U202" s="1266"/>
      <c r="V202" s="1266"/>
      <c r="W202" s="1266"/>
      <c r="X202" s="1266"/>
      <c r="Y202" s="1266"/>
      <c r="Z202" s="1266"/>
      <c r="AA202" s="1266"/>
      <c r="AB202" s="1266"/>
      <c r="AC202" s="1266"/>
      <c r="AD202" s="1266"/>
      <c r="AE202" s="1266"/>
      <c r="AF202" s="1266"/>
      <c r="AG202" s="1266"/>
      <c r="AH202" s="1266"/>
      <c r="AI202" s="1266"/>
      <c r="AJ202" s="1266"/>
      <c r="AK202" s="1266"/>
      <c r="AL202" s="1185">
        <v>1</v>
      </c>
      <c r="AM202" s="709"/>
      <c r="AN202" s="709"/>
    </row>
    <row r="203" spans="1:40" customFormat="1" ht="30" customHeight="1">
      <c r="A203" s="1266"/>
      <c r="B203" s="1266"/>
      <c r="C203" s="1266"/>
      <c r="D203" s="1312" t="s">
        <v>2740</v>
      </c>
      <c r="E203" s="1311"/>
      <c r="F203" s="1311"/>
      <c r="G203" s="1311"/>
      <c r="H203" s="1311"/>
      <c r="I203" s="1311"/>
      <c r="J203" s="1311"/>
      <c r="K203" s="1311"/>
      <c r="L203" s="1311"/>
      <c r="M203" s="1311"/>
      <c r="N203" s="1266"/>
      <c r="O203" s="1266"/>
      <c r="P203" s="1266"/>
      <c r="Q203" s="1266"/>
      <c r="R203" s="1266"/>
      <c r="S203" s="1266"/>
      <c r="T203" s="1266"/>
      <c r="U203" s="1266"/>
      <c r="V203" s="1266"/>
      <c r="W203" s="1266"/>
      <c r="X203" s="1266"/>
      <c r="Y203" s="1266"/>
      <c r="Z203" s="1266"/>
      <c r="AA203" s="1266"/>
      <c r="AB203" s="1266"/>
      <c r="AC203" s="1266"/>
      <c r="AD203" s="1266"/>
      <c r="AE203" s="1266"/>
      <c r="AF203" s="1266"/>
      <c r="AG203" s="1266"/>
      <c r="AH203" s="1266"/>
      <c r="AI203" s="1266"/>
      <c r="AJ203" s="1266"/>
      <c r="AK203" s="1266"/>
      <c r="AL203" s="1185">
        <v>1</v>
      </c>
      <c r="AM203" s="709"/>
      <c r="AN203" s="709"/>
    </row>
    <row r="204" spans="1:40" customFormat="1" ht="30" customHeight="1">
      <c r="A204" s="1266"/>
      <c r="B204" s="1266"/>
      <c r="C204" s="1266"/>
      <c r="D204" s="1313" t="s">
        <v>2741</v>
      </c>
      <c r="E204" s="1311"/>
      <c r="F204" s="1311"/>
      <c r="G204" s="1311"/>
      <c r="H204" s="1311"/>
      <c r="I204" s="1311"/>
      <c r="J204" s="1311"/>
      <c r="K204" s="1311"/>
      <c r="L204" s="1311"/>
      <c r="M204" s="1311"/>
      <c r="N204" s="1266"/>
      <c r="O204" s="1266"/>
      <c r="P204" s="1266"/>
      <c r="Q204" s="1266"/>
      <c r="R204" s="1266"/>
      <c r="S204" s="1266"/>
      <c r="T204" s="1266"/>
      <c r="U204" s="1266"/>
      <c r="V204" s="1266"/>
      <c r="W204" s="1266"/>
      <c r="X204" s="1266"/>
      <c r="Y204" s="1266"/>
      <c r="Z204" s="1266"/>
      <c r="AA204" s="1266"/>
      <c r="AB204" s="1266"/>
      <c r="AC204" s="1266"/>
      <c r="AD204" s="1266"/>
      <c r="AE204" s="1266"/>
      <c r="AF204" s="1266"/>
      <c r="AG204" s="1266"/>
      <c r="AH204" s="1266"/>
      <c r="AI204" s="1266"/>
      <c r="AJ204" s="1266"/>
      <c r="AK204" s="1266"/>
      <c r="AL204" s="1185">
        <v>1</v>
      </c>
      <c r="AM204" s="709"/>
      <c r="AN204" s="709"/>
    </row>
    <row r="205" spans="1:40" customFormat="1" ht="30" customHeight="1">
      <c r="A205" s="1266"/>
      <c r="B205" s="1266"/>
      <c r="C205" s="1266"/>
      <c r="D205" s="1314" t="s">
        <v>2742</v>
      </c>
      <c r="E205" s="1311"/>
      <c r="F205" s="1311"/>
      <c r="G205" s="1311"/>
      <c r="H205" s="1311"/>
      <c r="I205" s="1311"/>
      <c r="J205" s="1311"/>
      <c r="K205" s="1311"/>
      <c r="L205" s="1311"/>
      <c r="M205" s="1311"/>
      <c r="N205" s="1266"/>
      <c r="O205" s="1266"/>
      <c r="P205" s="1266"/>
      <c r="Q205" s="1266"/>
      <c r="R205" s="1266"/>
      <c r="S205" s="1266"/>
      <c r="T205" s="1266"/>
      <c r="U205" s="1266"/>
      <c r="V205" s="1266"/>
      <c r="W205" s="1266"/>
      <c r="X205" s="1266"/>
      <c r="Y205" s="1266"/>
      <c r="Z205" s="1266"/>
      <c r="AA205" s="1266"/>
      <c r="AB205" s="1266"/>
      <c r="AC205" s="1266"/>
      <c r="AD205" s="1266"/>
      <c r="AE205" s="1266"/>
      <c r="AF205" s="1266"/>
      <c r="AG205" s="1266"/>
      <c r="AH205" s="1266"/>
      <c r="AI205" s="1266"/>
      <c r="AJ205" s="1266"/>
      <c r="AK205" s="1266"/>
      <c r="AL205" s="1185">
        <v>1</v>
      </c>
      <c r="AM205" s="709"/>
      <c r="AN205" s="709"/>
    </row>
    <row r="206" spans="1:40" customFormat="1" ht="30" customHeight="1">
      <c r="A206" s="1266"/>
      <c r="B206" s="1266"/>
      <c r="C206" s="1266"/>
      <c r="D206" s="1314" t="s">
        <v>2743</v>
      </c>
      <c r="E206" s="1311"/>
      <c r="F206" s="1311"/>
      <c r="G206" s="1311"/>
      <c r="H206" s="1311"/>
      <c r="I206" s="1311"/>
      <c r="J206" s="1311"/>
      <c r="K206" s="1311"/>
      <c r="L206" s="1311"/>
      <c r="M206" s="1311"/>
      <c r="N206" s="1266"/>
      <c r="O206" s="1266"/>
      <c r="P206" s="1266"/>
      <c r="Q206" s="1266"/>
      <c r="R206" s="1266"/>
      <c r="S206" s="1266"/>
      <c r="T206" s="1266"/>
      <c r="U206" s="1266"/>
      <c r="V206" s="1266"/>
      <c r="W206" s="1266"/>
      <c r="X206" s="1266"/>
      <c r="Y206" s="1266"/>
      <c r="Z206" s="1266"/>
      <c r="AA206" s="1266"/>
      <c r="AB206" s="1266"/>
      <c r="AC206" s="1266"/>
      <c r="AD206" s="1266"/>
      <c r="AE206" s="1266"/>
      <c r="AF206" s="1266"/>
      <c r="AG206" s="1266"/>
      <c r="AH206" s="1266"/>
      <c r="AI206" s="1266"/>
      <c r="AJ206" s="1266"/>
      <c r="AK206" s="1266"/>
      <c r="AL206" s="1185">
        <v>1</v>
      </c>
      <c r="AM206" s="709"/>
      <c r="AN206" s="709"/>
    </row>
    <row r="207" spans="1:40" customFormat="1" ht="30" customHeight="1">
      <c r="A207" s="1266"/>
      <c r="B207" s="1266"/>
      <c r="C207" s="1266"/>
      <c r="D207" s="1266"/>
      <c r="E207" s="1266"/>
      <c r="F207" s="1266"/>
      <c r="G207" s="1266"/>
      <c r="H207" s="1266"/>
      <c r="I207" s="1266"/>
      <c r="J207" s="1266"/>
      <c r="K207" s="1266"/>
      <c r="L207" s="1266"/>
      <c r="M207" s="1266"/>
      <c r="N207" s="1266"/>
      <c r="O207" s="1266"/>
      <c r="P207" s="1266"/>
      <c r="Q207" s="1266"/>
      <c r="R207" s="1266"/>
      <c r="S207" s="1266"/>
      <c r="T207" s="1266"/>
      <c r="U207" s="1266"/>
      <c r="V207" s="1266"/>
      <c r="W207" s="1266"/>
      <c r="X207" s="1266"/>
      <c r="Y207" s="1266"/>
      <c r="Z207" s="1266"/>
      <c r="AA207" s="1266"/>
      <c r="AB207" s="1266"/>
      <c r="AC207" s="1266"/>
      <c r="AD207" s="1266"/>
      <c r="AE207" s="1266"/>
      <c r="AF207" s="1266"/>
      <c r="AG207" s="1266"/>
      <c r="AH207" s="1266"/>
      <c r="AI207" s="1266"/>
      <c r="AJ207" s="1266"/>
      <c r="AK207" s="1266"/>
      <c r="AL207" s="1185">
        <v>1</v>
      </c>
      <c r="AM207" s="709"/>
      <c r="AN207" s="709"/>
    </row>
    <row r="208" spans="1:40" customFormat="1" ht="30" customHeight="1">
      <c r="A208" s="1266"/>
      <c r="B208" s="1266"/>
      <c r="C208" s="1266"/>
      <c r="D208" s="1315" t="s">
        <v>2744</v>
      </c>
      <c r="E208" s="1315"/>
      <c r="F208" s="1315"/>
      <c r="G208" s="1315"/>
      <c r="H208" s="1315"/>
      <c r="I208" s="1315"/>
      <c r="J208" s="1315"/>
      <c r="K208" s="1315"/>
      <c r="L208" s="1315"/>
      <c r="M208" s="1315"/>
      <c r="N208" s="1266"/>
      <c r="O208" s="1266"/>
      <c r="P208" s="1266"/>
      <c r="Q208" s="1266"/>
      <c r="R208" s="1266"/>
      <c r="S208" s="1266"/>
      <c r="T208" s="1266"/>
      <c r="U208" s="1266"/>
      <c r="V208" s="1266"/>
      <c r="W208" s="1266"/>
      <c r="X208" s="1266"/>
      <c r="Y208" s="1266"/>
      <c r="Z208" s="1266"/>
      <c r="AA208" s="1266"/>
      <c r="AB208" s="1266"/>
      <c r="AC208" s="1266"/>
      <c r="AD208" s="1266"/>
      <c r="AE208" s="1266"/>
      <c r="AF208" s="1266"/>
      <c r="AG208" s="1266"/>
      <c r="AH208" s="1266"/>
      <c r="AI208" s="1266"/>
      <c r="AJ208" s="1266"/>
      <c r="AK208" s="1266"/>
      <c r="AL208" s="1185">
        <v>1</v>
      </c>
      <c r="AM208" s="709"/>
      <c r="AN208" s="709"/>
    </row>
    <row r="209" spans="1:45" customFormat="1" ht="30" customHeight="1">
      <c r="A209" s="1266"/>
      <c r="B209" s="1266"/>
      <c r="C209" s="1266"/>
      <c r="D209" s="1315" t="s">
        <v>2745</v>
      </c>
      <c r="E209" s="1315"/>
      <c r="F209" s="1315"/>
      <c r="G209" s="1315"/>
      <c r="H209" s="1315"/>
      <c r="I209" s="1315"/>
      <c r="J209" s="1315"/>
      <c r="K209" s="1315"/>
      <c r="L209" s="1315"/>
      <c r="M209" s="1315"/>
      <c r="N209" s="1266"/>
      <c r="O209" s="1266"/>
      <c r="P209" s="1266"/>
      <c r="Q209" s="1266"/>
      <c r="R209" s="1266"/>
      <c r="S209" s="1266"/>
      <c r="T209" s="1266"/>
      <c r="U209" s="1266"/>
      <c r="V209" s="1266"/>
      <c r="W209" s="1266"/>
      <c r="X209" s="1266"/>
      <c r="Y209" s="1266"/>
      <c r="Z209" s="1266"/>
      <c r="AA209" s="1266"/>
      <c r="AB209" s="1266"/>
      <c r="AC209" s="1266"/>
      <c r="AD209" s="1266"/>
      <c r="AE209" s="1266"/>
      <c r="AF209" s="1266"/>
      <c r="AG209" s="1266"/>
      <c r="AH209" s="1266"/>
      <c r="AI209" s="1266"/>
      <c r="AJ209" s="1266"/>
      <c r="AK209" s="1266"/>
      <c r="AL209" s="1185">
        <v>1</v>
      </c>
      <c r="AM209" s="709"/>
      <c r="AN209" s="709"/>
    </row>
    <row r="210" spans="1:45" customFormat="1" ht="30" customHeight="1">
      <c r="A210" s="1266"/>
      <c r="B210" s="1266"/>
      <c r="C210" s="1266"/>
      <c r="D210" s="1315" t="s">
        <v>2746</v>
      </c>
      <c r="E210" s="1315"/>
      <c r="F210" s="1315"/>
      <c r="G210" s="1315"/>
      <c r="H210" s="1315"/>
      <c r="I210" s="1315"/>
      <c r="J210" s="1315"/>
      <c r="K210" s="1315"/>
      <c r="L210" s="1315"/>
      <c r="M210" s="1315"/>
      <c r="N210" s="1266"/>
      <c r="O210" s="1266"/>
      <c r="P210" s="1266"/>
      <c r="Q210" s="1266"/>
      <c r="R210" s="1266"/>
      <c r="S210" s="1266"/>
      <c r="T210" s="1266"/>
      <c r="U210" s="1266"/>
      <c r="V210" s="1266"/>
      <c r="W210" s="1266"/>
      <c r="X210" s="1266"/>
      <c r="Y210" s="1266"/>
      <c r="Z210" s="1266"/>
      <c r="AA210" s="1266"/>
      <c r="AB210" s="1266"/>
      <c r="AC210" s="1266"/>
      <c r="AD210" s="1266"/>
      <c r="AE210" s="1266"/>
      <c r="AF210" s="1266"/>
      <c r="AG210" s="1266"/>
      <c r="AH210" s="1266"/>
      <c r="AI210" s="1266"/>
      <c r="AJ210" s="1266"/>
      <c r="AK210" s="1266"/>
      <c r="AL210" s="1185">
        <v>1</v>
      </c>
      <c r="AM210" s="709"/>
      <c r="AN210" s="709"/>
    </row>
    <row r="211" spans="1:45" customFormat="1" ht="30" customHeight="1">
      <c r="A211" s="1266"/>
      <c r="B211" s="1266"/>
      <c r="C211" s="1266"/>
      <c r="D211" s="1315" t="s">
        <v>2747</v>
      </c>
      <c r="E211" s="1315"/>
      <c r="F211" s="1315"/>
      <c r="G211" s="1315"/>
      <c r="H211" s="1315"/>
      <c r="I211" s="1315"/>
      <c r="J211" s="1315"/>
      <c r="K211" s="1315"/>
      <c r="L211" s="1315"/>
      <c r="M211" s="1315"/>
      <c r="N211" s="1266"/>
      <c r="O211" s="1266"/>
      <c r="P211" s="1266"/>
      <c r="Q211" s="1266"/>
      <c r="R211" s="1266"/>
      <c r="S211" s="1266"/>
      <c r="T211" s="1266"/>
      <c r="U211" s="1266"/>
      <c r="V211" s="1266"/>
      <c r="W211" s="1266"/>
      <c r="X211" s="1266"/>
      <c r="Y211" s="1266"/>
      <c r="Z211" s="1266"/>
      <c r="AA211" s="1266"/>
      <c r="AB211" s="1266"/>
      <c r="AC211" s="1266"/>
      <c r="AD211" s="1266"/>
      <c r="AE211" s="1266"/>
      <c r="AF211" s="1266"/>
      <c r="AG211" s="1266"/>
      <c r="AH211" s="1266"/>
      <c r="AI211" s="1266"/>
      <c r="AJ211" s="1266"/>
      <c r="AK211" s="1266"/>
      <c r="AL211" s="1185">
        <v>1</v>
      </c>
      <c r="AM211" s="709"/>
      <c r="AN211" s="709"/>
    </row>
    <row r="212" spans="1:45" customFormat="1" ht="30" customHeight="1">
      <c r="A212" s="1266"/>
      <c r="B212" s="1266"/>
      <c r="C212" s="1266"/>
      <c r="D212" s="1315"/>
      <c r="E212" s="1315"/>
      <c r="F212" s="1315"/>
      <c r="G212" s="1315"/>
      <c r="H212" s="1315"/>
      <c r="I212" s="1315"/>
      <c r="J212" s="1315"/>
      <c r="K212" s="1315"/>
      <c r="L212" s="1315"/>
      <c r="M212" s="1315"/>
      <c r="N212" s="1266"/>
      <c r="O212" s="1266"/>
      <c r="P212" s="1266"/>
      <c r="Q212" s="1266"/>
      <c r="R212" s="1266"/>
      <c r="S212" s="1266"/>
      <c r="T212" s="1266"/>
      <c r="U212" s="1266"/>
      <c r="V212" s="1266"/>
      <c r="W212" s="1266"/>
      <c r="X212" s="1266"/>
      <c r="Y212" s="1266"/>
      <c r="Z212" s="1266"/>
      <c r="AA212" s="1266"/>
      <c r="AB212" s="1266"/>
      <c r="AC212" s="1266"/>
      <c r="AD212" s="1266"/>
      <c r="AE212" s="1266"/>
      <c r="AF212" s="1266"/>
      <c r="AG212" s="1266"/>
      <c r="AH212" s="1266"/>
      <c r="AI212" s="1266"/>
      <c r="AJ212" s="1266"/>
      <c r="AK212" s="1266"/>
      <c r="AL212" s="1185">
        <v>1</v>
      </c>
      <c r="AM212" s="709"/>
      <c r="AN212" s="709"/>
    </row>
    <row r="213" spans="1:45" customFormat="1" ht="30" customHeight="1">
      <c r="A213" s="1266"/>
      <c r="B213" s="1266"/>
      <c r="C213" s="1266"/>
      <c r="D213" s="1266"/>
      <c r="E213" s="1266"/>
      <c r="F213" s="1266"/>
      <c r="G213" s="1266"/>
      <c r="H213" s="1266"/>
      <c r="I213" s="1266"/>
      <c r="J213" s="1266"/>
      <c r="K213" s="1266"/>
      <c r="L213" s="1266"/>
      <c r="M213" s="1266"/>
      <c r="N213" s="1266"/>
      <c r="O213" s="1266"/>
      <c r="P213" s="1266"/>
      <c r="Q213" s="1266"/>
      <c r="R213" s="1266"/>
      <c r="S213" s="1266"/>
      <c r="T213" s="1266"/>
      <c r="U213" s="1266"/>
      <c r="V213" s="1266"/>
      <c r="W213" s="1266"/>
      <c r="X213" s="1266"/>
      <c r="Y213" s="1266"/>
      <c r="Z213" s="1266"/>
      <c r="AA213" s="1266"/>
      <c r="AB213" s="1266"/>
      <c r="AC213" s="1266"/>
      <c r="AD213" s="1266"/>
      <c r="AE213" s="1266"/>
      <c r="AF213" s="1266"/>
      <c r="AG213" s="1266"/>
      <c r="AH213" s="1266"/>
      <c r="AI213" s="1266"/>
      <c r="AJ213" s="1266"/>
      <c r="AK213" s="1266"/>
      <c r="AL213" s="1185">
        <v>1</v>
      </c>
      <c r="AM213" s="709"/>
      <c r="AN213" s="709"/>
      <c r="AO213" s="1186"/>
      <c r="AP213" s="1186"/>
      <c r="AQ213" s="1186"/>
      <c r="AR213" s="1186"/>
      <c r="AS213" s="1186"/>
    </row>
    <row r="214" spans="1:45" ht="15.75" thickBot="1">
      <c r="A214" s="1181"/>
      <c r="B214" s="1266"/>
      <c r="C214" s="1266"/>
      <c r="D214" s="1266"/>
      <c r="E214" s="1266"/>
      <c r="F214" s="1266"/>
      <c r="G214" s="1266"/>
      <c r="H214" s="1266"/>
      <c r="I214" s="1266"/>
      <c r="J214" s="1266"/>
      <c r="K214" s="1266"/>
      <c r="L214" s="1266"/>
      <c r="M214" s="1266"/>
      <c r="N214" s="1266"/>
      <c r="O214" s="1266"/>
      <c r="P214" s="1266"/>
      <c r="Q214" s="1266"/>
      <c r="R214" s="1266"/>
      <c r="S214" s="1266"/>
      <c r="T214" s="1266"/>
      <c r="U214" s="1266"/>
      <c r="V214" s="1266"/>
      <c r="W214" s="1266"/>
      <c r="X214" s="1266"/>
      <c r="Y214" s="1266"/>
      <c r="Z214" s="1266"/>
      <c r="AA214" s="1266"/>
      <c r="AB214" s="1266"/>
      <c r="AC214" s="1266"/>
      <c r="AD214" s="1266"/>
      <c r="AE214" s="1266"/>
      <c r="AF214" s="1266"/>
      <c r="AG214" s="1266"/>
      <c r="AH214" s="1266"/>
      <c r="AI214" s="1266"/>
      <c r="AJ214" s="1266"/>
      <c r="AK214" s="1266"/>
      <c r="AL214" s="1185">
        <v>1</v>
      </c>
    </row>
    <row r="215" spans="1:45" s="1321" customFormat="1" ht="30" customHeight="1">
      <c r="A215" s="1316"/>
      <c r="B215" s="1266"/>
      <c r="C215" s="1266"/>
      <c r="D215" s="5399" t="s">
        <v>2748</v>
      </c>
      <c r="E215" s="5400"/>
      <c r="F215" s="5400"/>
      <c r="G215" s="5400"/>
      <c r="H215" s="5400"/>
      <c r="I215" s="5400"/>
      <c r="J215" s="5400"/>
      <c r="K215" s="1317"/>
      <c r="L215" s="1266"/>
      <c r="M215" s="1266"/>
      <c r="N215" s="1266"/>
      <c r="O215" s="1266"/>
      <c r="P215" s="1318" t="s">
        <v>2749</v>
      </c>
      <c r="Q215" s="1319"/>
      <c r="R215" s="1319"/>
      <c r="S215" s="1319"/>
      <c r="T215" s="1319"/>
      <c r="U215" s="1319"/>
      <c r="V215" s="1319"/>
      <c r="W215" s="1320"/>
      <c r="X215" s="1266"/>
      <c r="Y215" s="1266"/>
      <c r="Z215" s="1266"/>
      <c r="AA215" s="1266"/>
      <c r="AB215" s="1266"/>
      <c r="AC215" s="1266"/>
      <c r="AD215" s="1266"/>
      <c r="AE215" s="1266"/>
      <c r="AF215" s="1266"/>
      <c r="AG215" s="1266"/>
      <c r="AH215" s="1266"/>
      <c r="AI215" s="1266"/>
      <c r="AJ215" s="1266"/>
      <c r="AK215" s="1266"/>
      <c r="AL215" s="1185">
        <v>1</v>
      </c>
      <c r="AM215" s="709"/>
    </row>
    <row r="216" spans="1:45" s="1321" customFormat="1" ht="30" customHeight="1">
      <c r="A216" s="1316"/>
      <c r="B216" s="1266"/>
      <c r="C216" s="1266"/>
      <c r="D216" s="1322" t="s">
        <v>2750</v>
      </c>
      <c r="E216" s="1323"/>
      <c r="F216" s="1323"/>
      <c r="G216" s="1323"/>
      <c r="H216" s="1323"/>
      <c r="I216" s="1323"/>
      <c r="J216" s="1323"/>
      <c r="K216" s="41"/>
      <c r="L216" s="1266"/>
      <c r="M216" s="1266"/>
      <c r="N216" s="1266"/>
      <c r="O216" s="1266"/>
      <c r="P216" s="1324" t="s">
        <v>2751</v>
      </c>
      <c r="Q216" s="1325"/>
      <c r="R216" s="1325"/>
      <c r="S216" s="1325"/>
      <c r="T216" s="1325"/>
      <c r="U216" s="1325"/>
      <c r="V216" s="1325"/>
      <c r="W216" s="1326"/>
      <c r="X216" s="1266"/>
      <c r="Y216" s="1266"/>
      <c r="Z216" s="1266"/>
      <c r="AA216" s="1266"/>
      <c r="AB216" s="1266"/>
      <c r="AC216" s="1266"/>
      <c r="AD216" s="1266"/>
      <c r="AE216" s="1266"/>
      <c r="AF216" s="1266"/>
      <c r="AG216" s="1266"/>
      <c r="AH216" s="1266"/>
      <c r="AI216" s="1266"/>
      <c r="AJ216" s="1266"/>
      <c r="AK216" s="1266"/>
      <c r="AL216" s="1185">
        <v>1</v>
      </c>
      <c r="AM216" s="709"/>
    </row>
    <row r="217" spans="1:45" s="1321" customFormat="1" ht="30" customHeight="1">
      <c r="A217" s="1316"/>
      <c r="B217" s="1266"/>
      <c r="C217" s="1266"/>
      <c r="D217" s="1322"/>
      <c r="E217" s="1327"/>
      <c r="F217" s="1327"/>
      <c r="G217" s="1327"/>
      <c r="H217" s="1327"/>
      <c r="I217" s="1327"/>
      <c r="J217" s="1327"/>
      <c r="K217" s="1328"/>
      <c r="L217" s="1266"/>
      <c r="M217" s="1266"/>
      <c r="N217" s="1266"/>
      <c r="O217" s="1266"/>
      <c r="P217" s="1329"/>
      <c r="Q217" s="1330"/>
      <c r="R217" s="1330"/>
      <c r="S217" s="1330"/>
      <c r="T217" s="1330"/>
      <c r="U217" s="1330"/>
      <c r="V217" s="1330"/>
      <c r="W217" s="1331"/>
      <c r="X217" s="1266"/>
      <c r="Y217" s="1266"/>
      <c r="Z217" s="1266"/>
      <c r="AA217" s="1266"/>
      <c r="AB217" s="1266"/>
      <c r="AC217" s="1266"/>
      <c r="AD217" s="1266"/>
      <c r="AE217" s="1266"/>
      <c r="AF217" s="1266"/>
      <c r="AG217" s="1266"/>
      <c r="AH217" s="1266"/>
      <c r="AI217" s="1266"/>
      <c r="AJ217" s="1266"/>
      <c r="AK217" s="1266"/>
      <c r="AL217" s="1185">
        <v>1</v>
      </c>
      <c r="AM217" s="709"/>
    </row>
    <row r="218" spans="1:45" s="1321" customFormat="1" ht="30" customHeight="1">
      <c r="A218" s="1316"/>
      <c r="B218" s="1266"/>
      <c r="C218" s="1266"/>
      <c r="D218" s="1322" t="s">
        <v>2752</v>
      </c>
      <c r="E218" s="1327"/>
      <c r="F218" s="1327"/>
      <c r="G218" s="1327"/>
      <c r="H218" s="1327"/>
      <c r="I218" s="1327"/>
      <c r="J218" s="1327"/>
      <c r="K218" s="1328"/>
      <c r="L218" s="1266"/>
      <c r="M218" s="1266"/>
      <c r="N218" s="1266"/>
      <c r="O218" s="1266"/>
      <c r="P218" s="495"/>
      <c r="Q218" s="9"/>
      <c r="R218" s="9"/>
      <c r="S218" s="9"/>
      <c r="T218" s="9"/>
      <c r="U218" s="9"/>
      <c r="V218" s="9"/>
      <c r="W218" s="41"/>
      <c r="X218" s="1266"/>
      <c r="Y218" s="1266"/>
      <c r="Z218" s="1266"/>
      <c r="AA218" s="1266"/>
      <c r="AB218" s="1266"/>
      <c r="AC218" s="1266"/>
      <c r="AD218" s="1266"/>
      <c r="AE218" s="1266"/>
      <c r="AF218" s="1266"/>
      <c r="AG218" s="1266"/>
      <c r="AH218" s="1266"/>
      <c r="AI218" s="1266"/>
      <c r="AJ218" s="1266"/>
      <c r="AK218" s="1266"/>
      <c r="AL218" s="1185">
        <v>1</v>
      </c>
      <c r="AM218" s="709"/>
    </row>
    <row r="219" spans="1:45" s="1321" customFormat="1" ht="30" customHeight="1">
      <c r="A219" s="1316"/>
      <c r="B219" s="1266"/>
      <c r="C219" s="1266"/>
      <c r="D219" s="1322"/>
      <c r="E219" s="1332"/>
      <c r="F219" s="1332"/>
      <c r="G219" s="1332"/>
      <c r="H219" s="1332"/>
      <c r="I219" s="1332"/>
      <c r="J219" s="1333"/>
      <c r="K219" s="41"/>
      <c r="L219" s="1266"/>
      <c r="M219" s="1266"/>
      <c r="N219" s="1266"/>
      <c r="O219" s="1266"/>
      <c r="P219" s="495"/>
      <c r="Q219" s="9"/>
      <c r="R219" s="9"/>
      <c r="S219" s="9"/>
      <c r="T219" s="9"/>
      <c r="U219" s="9"/>
      <c r="V219" s="9"/>
      <c r="W219" s="41"/>
      <c r="X219" s="1266"/>
      <c r="Y219" s="1266"/>
      <c r="Z219" s="1266"/>
      <c r="AA219" s="1266"/>
      <c r="AB219" s="1266"/>
      <c r="AC219" s="1266"/>
      <c r="AD219" s="1266"/>
      <c r="AE219" s="1266"/>
      <c r="AF219" s="1266"/>
      <c r="AG219" s="1266"/>
      <c r="AH219" s="1266"/>
      <c r="AI219" s="1266"/>
      <c r="AJ219" s="1266"/>
      <c r="AK219" s="1266"/>
      <c r="AL219" s="1185">
        <v>1</v>
      </c>
      <c r="AM219" s="709"/>
    </row>
    <row r="220" spans="1:45" s="1321" customFormat="1" ht="30" customHeight="1">
      <c r="A220" s="1316"/>
      <c r="B220" s="1266"/>
      <c r="C220" s="1266"/>
      <c r="D220" s="1322"/>
      <c r="E220" s="1332"/>
      <c r="F220" s="1332"/>
      <c r="G220" s="1332"/>
      <c r="H220" s="1332"/>
      <c r="I220" s="1332"/>
      <c r="J220" s="1333"/>
      <c r="K220" s="41"/>
      <c r="L220" s="1266"/>
      <c r="M220" s="1266"/>
      <c r="N220" s="1266"/>
      <c r="O220" s="1266"/>
      <c r="P220" s="495"/>
      <c r="Q220" s="9"/>
      <c r="R220" s="9"/>
      <c r="S220" s="9"/>
      <c r="T220" s="9"/>
      <c r="U220" s="9"/>
      <c r="V220" s="9"/>
      <c r="W220" s="41"/>
      <c r="X220" s="1266"/>
      <c r="Y220" s="1266"/>
      <c r="Z220" s="1266"/>
      <c r="AA220" s="1266"/>
      <c r="AB220" s="1266"/>
      <c r="AC220" s="1266"/>
      <c r="AD220" s="1266"/>
      <c r="AE220" s="1266"/>
      <c r="AF220" s="1266"/>
      <c r="AG220" s="1266"/>
      <c r="AH220" s="1266"/>
      <c r="AI220" s="1266"/>
      <c r="AJ220" s="1266"/>
      <c r="AK220" s="1266"/>
      <c r="AL220" s="1185">
        <v>1</v>
      </c>
      <c r="AM220" s="709"/>
    </row>
    <row r="221" spans="1:45" s="1321" customFormat="1" ht="30" customHeight="1">
      <c r="A221" s="1316"/>
      <c r="B221" s="1266"/>
      <c r="C221" s="1266"/>
      <c r="D221" s="1322"/>
      <c r="E221" s="1332"/>
      <c r="F221" s="1332"/>
      <c r="G221" s="1332"/>
      <c r="H221" s="1332"/>
      <c r="I221" s="1332"/>
      <c r="J221" s="1333"/>
      <c r="K221" s="41"/>
      <c r="L221" s="1266"/>
      <c r="M221" s="1266"/>
      <c r="N221" s="1266"/>
      <c r="O221" s="1266"/>
      <c r="P221" s="495"/>
      <c r="Q221" s="9"/>
      <c r="R221" s="9"/>
      <c r="S221" s="9"/>
      <c r="T221" s="9"/>
      <c r="U221" s="9"/>
      <c r="V221" s="9"/>
      <c r="W221" s="41"/>
      <c r="X221" s="1266"/>
      <c r="Y221" s="1266"/>
      <c r="Z221" s="1266"/>
      <c r="AA221" s="1266"/>
      <c r="AB221" s="1266"/>
      <c r="AC221" s="1266"/>
      <c r="AD221" s="1266"/>
      <c r="AE221" s="1266"/>
      <c r="AF221" s="1266"/>
      <c r="AG221" s="1266"/>
      <c r="AH221" s="1266"/>
      <c r="AI221" s="1266"/>
      <c r="AJ221" s="1266"/>
      <c r="AK221" s="1266"/>
      <c r="AL221" s="1185">
        <v>1</v>
      </c>
      <c r="AM221" s="709"/>
    </row>
    <row r="222" spans="1:45" s="1321" customFormat="1" ht="30" customHeight="1">
      <c r="A222" s="1316"/>
      <c r="B222" s="1266"/>
      <c r="C222" s="1266"/>
      <c r="D222" s="5401" t="s">
        <v>2753</v>
      </c>
      <c r="E222" s="5402"/>
      <c r="F222" s="5402"/>
      <c r="G222" s="5402"/>
      <c r="H222" s="5402"/>
      <c r="I222" s="5402"/>
      <c r="J222" s="5402"/>
      <c r="K222" s="5403"/>
      <c r="L222" s="1266"/>
      <c r="M222" s="1266"/>
      <c r="N222" s="1266"/>
      <c r="O222" s="1266"/>
      <c r="P222" s="495"/>
      <c r="Q222" s="9"/>
      <c r="R222" s="9"/>
      <c r="S222" s="9"/>
      <c r="T222" s="9"/>
      <c r="U222" s="9"/>
      <c r="V222" s="9"/>
      <c r="W222" s="41"/>
      <c r="X222" s="1266"/>
      <c r="Y222" s="1266"/>
      <c r="Z222" s="1183"/>
      <c r="AA222" s="1183"/>
      <c r="AB222" s="1183"/>
      <c r="AC222" s="1183"/>
      <c r="AD222" s="1183"/>
      <c r="AE222" s="1183"/>
      <c r="AF222" s="1183"/>
      <c r="AG222" s="1183"/>
      <c r="AH222" s="1183"/>
      <c r="AI222" s="1183"/>
      <c r="AJ222" s="1183"/>
      <c r="AK222" s="1183"/>
      <c r="AL222" s="1185">
        <v>1</v>
      </c>
      <c r="AM222" s="709"/>
    </row>
    <row r="223" spans="1:45" s="1321" customFormat="1" ht="30" customHeight="1" thickBot="1">
      <c r="A223" s="1316"/>
      <c r="B223" s="1266"/>
      <c r="C223" s="1266"/>
      <c r="D223" s="5404"/>
      <c r="E223" s="5405"/>
      <c r="F223" s="5405"/>
      <c r="G223" s="5405"/>
      <c r="H223" s="5405"/>
      <c r="I223" s="5405"/>
      <c r="J223" s="5405"/>
      <c r="K223" s="5406"/>
      <c r="L223" s="1266"/>
      <c r="M223" s="1266"/>
      <c r="N223" s="1266"/>
      <c r="O223" s="1266"/>
      <c r="P223" s="1334"/>
      <c r="Q223" s="1335"/>
      <c r="R223" s="1335"/>
      <c r="S223" s="1335"/>
      <c r="T223" s="1335"/>
      <c r="U223" s="1335"/>
      <c r="V223" s="1335"/>
      <c r="W223" s="1336"/>
      <c r="X223" s="1266"/>
      <c r="Y223" s="1266"/>
      <c r="Z223" s="1282"/>
      <c r="AA223" s="1282"/>
      <c r="AB223" s="1282"/>
      <c r="AC223" s="1282"/>
      <c r="AD223" s="1282"/>
      <c r="AE223" s="1282"/>
      <c r="AF223" s="1282"/>
      <c r="AG223" s="1282"/>
      <c r="AH223" s="1283"/>
      <c r="AI223" s="1283"/>
      <c r="AJ223" s="1183"/>
      <c r="AK223" s="1183"/>
      <c r="AL223" s="1185">
        <v>1</v>
      </c>
      <c r="AM223" s="709"/>
    </row>
    <row r="224" spans="1:45">
      <c r="A224" s="1181"/>
      <c r="B224" s="1266"/>
      <c r="C224" s="1266"/>
      <c r="D224" s="1266"/>
      <c r="E224" s="1266"/>
      <c r="F224" s="1266"/>
      <c r="G224" s="1266"/>
      <c r="H224" s="1266"/>
      <c r="I224" s="1266"/>
      <c r="J224" s="1266"/>
      <c r="K224" s="1266"/>
      <c r="L224" s="1266"/>
      <c r="M224" s="1266"/>
      <c r="N224" s="1266"/>
      <c r="O224" s="1266"/>
      <c r="P224" s="1266"/>
      <c r="Q224" s="1266"/>
      <c r="R224" s="1266"/>
      <c r="S224" s="1266"/>
      <c r="T224" s="1266"/>
      <c r="U224" s="1266"/>
      <c r="V224" s="1266"/>
      <c r="W224" s="1266"/>
      <c r="X224" s="1266"/>
      <c r="Y224" s="1266"/>
      <c r="Z224" s="1282"/>
      <c r="AA224" s="1282"/>
      <c r="AB224" s="1282"/>
      <c r="AC224" s="1282"/>
      <c r="AD224" s="1282"/>
      <c r="AE224" s="1282"/>
      <c r="AF224" s="1282"/>
      <c r="AG224" s="1282"/>
      <c r="AH224" s="1283"/>
      <c r="AI224" s="1283"/>
      <c r="AJ224" s="1183"/>
      <c r="AK224" s="1183"/>
      <c r="AL224" s="1185">
        <v>1</v>
      </c>
    </row>
    <row r="225" spans="1:45">
      <c r="A225" s="1181"/>
      <c r="B225" s="1266"/>
      <c r="C225" s="1181"/>
      <c r="D225" s="1181"/>
      <c r="E225" s="1181"/>
      <c r="F225" s="1181"/>
      <c r="G225" s="1181"/>
      <c r="H225" s="1181"/>
      <c r="I225" s="1181"/>
      <c r="J225" s="1181"/>
      <c r="K225" s="1181"/>
      <c r="L225" s="1181"/>
      <c r="M225" s="1181"/>
      <c r="N225" s="1181"/>
      <c r="O225" s="1181"/>
      <c r="P225" s="1181"/>
      <c r="Q225" s="1181"/>
      <c r="R225" s="1181"/>
      <c r="S225" s="1181"/>
      <c r="T225" s="1181"/>
      <c r="U225" s="1181"/>
      <c r="V225" s="1181"/>
      <c r="W225" s="1181"/>
      <c r="X225" s="1266"/>
      <c r="Y225" s="1266"/>
      <c r="Z225" s="1282"/>
      <c r="AA225" s="1282"/>
      <c r="AB225" s="1282"/>
      <c r="AC225" s="1282"/>
      <c r="AD225" s="1282"/>
      <c r="AE225" s="1282"/>
      <c r="AF225" s="1282"/>
      <c r="AG225" s="1282"/>
      <c r="AH225" s="1283"/>
      <c r="AI225" s="1283"/>
      <c r="AJ225" s="1183"/>
      <c r="AK225" s="1183"/>
      <c r="AL225" s="1185">
        <v>1</v>
      </c>
    </row>
    <row r="226" spans="1:45" customFormat="1" ht="30" customHeight="1">
      <c r="A226" s="1266">
        <v>1</v>
      </c>
      <c r="B226" s="1266">
        <v>1</v>
      </c>
      <c r="C226" s="5407" t="s">
        <v>208</v>
      </c>
      <c r="D226" s="5407"/>
      <c r="E226" s="1337" t="str">
        <f ca="1">CELL("nomfichier")</f>
        <v>D:\Données\1.UPRT\0-UPRT.fait\1-UPRT.FR-SITE-WEB\ff-fiches-fabrications\ff.fiches.fabrication.2023\ffr.restaurant.2023\[ff.FICHE.TRILINGUE.15.COLONNES.29.11.2025.xlsx]Notice.utilisateur</v>
      </c>
      <c r="F226" s="1338"/>
      <c r="G226" s="1338"/>
      <c r="H226" s="1338"/>
      <c r="I226" s="1338"/>
      <c r="J226" s="1339"/>
      <c r="K226" s="1338"/>
      <c r="L226" s="1338"/>
      <c r="M226" s="1338"/>
      <c r="N226" s="1338"/>
      <c r="O226" s="1338"/>
      <c r="P226" s="1338"/>
      <c r="Q226" s="1338"/>
      <c r="R226" s="1338"/>
      <c r="S226" s="1338"/>
      <c r="T226" s="1338"/>
      <c r="U226" s="1338"/>
      <c r="V226" s="1338"/>
      <c r="W226" s="1338"/>
      <c r="X226" s="1338"/>
      <c r="Y226" s="1266"/>
      <c r="Z226" s="1282"/>
      <c r="AA226" s="1282"/>
      <c r="AB226" s="1282"/>
      <c r="AC226" s="1282"/>
      <c r="AD226" s="1282"/>
      <c r="AE226" s="1282"/>
      <c r="AF226" s="1282"/>
      <c r="AG226" s="1282"/>
      <c r="AH226" s="1283"/>
      <c r="AI226" s="1283"/>
      <c r="AJ226" s="1183"/>
      <c r="AK226" s="1183"/>
      <c r="AL226" s="1185">
        <v>1</v>
      </c>
      <c r="AM226" s="709"/>
      <c r="AN226" s="709"/>
      <c r="AO226" s="1186"/>
      <c r="AP226" s="1186"/>
      <c r="AQ226" s="1186"/>
      <c r="AR226" s="1186"/>
      <c r="AS226" s="1186"/>
    </row>
    <row r="227" spans="1:45">
      <c r="A227" s="1181"/>
      <c r="B227" s="1181"/>
      <c r="C227" s="1181"/>
      <c r="D227" s="1181"/>
      <c r="E227" s="1181"/>
      <c r="F227" s="1181"/>
      <c r="G227" s="1181"/>
      <c r="H227" s="1181"/>
      <c r="I227" s="1181"/>
      <c r="J227" s="1181"/>
      <c r="K227" s="1181"/>
      <c r="L227" s="1181"/>
      <c r="M227" s="1181"/>
      <c r="N227" s="1181"/>
      <c r="O227" s="1181"/>
      <c r="P227" s="1181"/>
      <c r="Q227" s="1181"/>
      <c r="R227" s="1181"/>
      <c r="S227" s="1181"/>
      <c r="T227" s="1181"/>
      <c r="U227" s="1181"/>
      <c r="V227" s="1181"/>
      <c r="W227" s="1181"/>
      <c r="X227" s="1181"/>
      <c r="Y227" s="1181"/>
      <c r="Z227" s="1282"/>
      <c r="AA227" s="1282"/>
      <c r="AB227" s="1282"/>
      <c r="AC227" s="1282"/>
      <c r="AD227" s="1282"/>
      <c r="AE227" s="1282"/>
      <c r="AF227" s="1282"/>
      <c r="AG227" s="1282"/>
      <c r="AH227" s="1283"/>
      <c r="AI227" s="1283"/>
      <c r="AJ227" s="1183"/>
      <c r="AK227" s="1183"/>
      <c r="AL227" s="1185">
        <v>1</v>
      </c>
    </row>
    <row r="228" spans="1:45" s="1244" customFormat="1" ht="40.5" customHeight="1">
      <c r="A228" s="1181"/>
      <c r="B228" s="1256"/>
      <c r="C228" s="1417" t="s">
        <v>3156</v>
      </c>
      <c r="D228" s="1417"/>
      <c r="E228" s="1417"/>
      <c r="F228" s="1417"/>
      <c r="G228" s="1417"/>
      <c r="H228" s="1417"/>
      <c r="I228" s="1417"/>
      <c r="J228" s="1417"/>
      <c r="K228" s="1417"/>
      <c r="L228" s="1417"/>
      <c r="M228" s="1181"/>
      <c r="N228" s="1181"/>
      <c r="O228" s="1246"/>
      <c r="P228" s="1246"/>
      <c r="Q228" s="1246"/>
      <c r="R228" s="1246"/>
      <c r="S228" s="1246"/>
      <c r="T228" s="1183"/>
      <c r="U228" s="1183"/>
      <c r="V228" s="1183"/>
      <c r="W228" s="1183"/>
      <c r="X228" s="1183"/>
      <c r="Y228" s="1183"/>
      <c r="Z228" s="1183"/>
      <c r="AA228" s="1183"/>
      <c r="AB228" s="1183"/>
      <c r="AC228" s="1183"/>
      <c r="AD228" s="1183"/>
      <c r="AE228" s="1183"/>
      <c r="AF228" s="1183"/>
      <c r="AG228" s="1282"/>
      <c r="AH228" s="1283"/>
      <c r="AI228" s="1283"/>
      <c r="AJ228" s="1183"/>
      <c r="AK228" s="1183"/>
      <c r="AL228" s="1185">
        <v>1</v>
      </c>
      <c r="AM228" s="709"/>
    </row>
    <row r="229" spans="1:45" s="1244" customFormat="1" ht="40.5" customHeight="1">
      <c r="A229" s="1181"/>
      <c r="B229" s="1256"/>
      <c r="C229" s="1340" t="s">
        <v>873</v>
      </c>
      <c r="D229" s="1341"/>
      <c r="E229" s="1341"/>
      <c r="F229" s="1341"/>
      <c r="G229" s="1246"/>
      <c r="H229" s="1246"/>
      <c r="I229" s="1246"/>
      <c r="J229" s="1246"/>
      <c r="K229" s="1246"/>
      <c r="L229" s="1246"/>
      <c r="M229" s="1246"/>
      <c r="N229" s="1246"/>
      <c r="O229" s="1246"/>
      <c r="P229" s="1246"/>
      <c r="Q229" s="1246"/>
      <c r="R229" s="1246"/>
      <c r="S229" s="1246"/>
      <c r="T229" s="1183"/>
      <c r="U229" s="1343"/>
      <c r="V229" s="1183"/>
      <c r="W229" s="1183"/>
      <c r="X229" s="1183"/>
      <c r="Y229" s="1183"/>
      <c r="Z229" s="1295"/>
      <c r="AA229" s="1183"/>
      <c r="AB229" s="1183"/>
      <c r="AC229" s="1183"/>
      <c r="AD229" s="1183"/>
      <c r="AE229" s="1183"/>
      <c r="AF229" s="1183"/>
      <c r="AG229" s="1282"/>
      <c r="AH229" s="1283"/>
      <c r="AI229" s="1283"/>
      <c r="AJ229" s="1183"/>
      <c r="AK229" s="1183"/>
      <c r="AL229" s="1185">
        <v>1</v>
      </c>
      <c r="AM229" s="709"/>
    </row>
    <row r="230" spans="1:45" s="1244" customFormat="1" ht="40.5" customHeight="1">
      <c r="A230" s="1181"/>
      <c r="B230" s="1256"/>
      <c r="C230" s="1344" t="s">
        <v>13501</v>
      </c>
      <c r="D230" s="1341"/>
      <c r="E230" s="1341"/>
      <c r="F230" s="1344" t="s">
        <v>13500</v>
      </c>
      <c r="G230" s="1343"/>
      <c r="H230" s="1345"/>
      <c r="I230" s="1341"/>
      <c r="J230" s="1341"/>
      <c r="K230" s="1181"/>
      <c r="L230" s="1181"/>
      <c r="M230" s="1181"/>
      <c r="N230" s="1181"/>
      <c r="O230" s="1246"/>
      <c r="P230" s="5271"/>
      <c r="Q230" s="1246"/>
      <c r="R230" s="1246"/>
      <c r="S230" s="1246"/>
      <c r="T230" s="1183"/>
      <c r="U230" s="1343"/>
      <c r="V230" s="1183"/>
      <c r="W230" s="1183"/>
      <c r="X230" s="1183"/>
      <c r="Y230" s="1183"/>
      <c r="Z230" s="1299"/>
      <c r="AA230" s="1183"/>
      <c r="AB230" s="1183"/>
      <c r="AC230" s="1183"/>
      <c r="AD230" s="1183"/>
      <c r="AE230" s="1183"/>
      <c r="AF230" s="1183"/>
      <c r="AG230" s="1282"/>
      <c r="AH230" s="1283"/>
      <c r="AI230" s="1283"/>
      <c r="AJ230" s="1183"/>
      <c r="AK230" s="1183"/>
      <c r="AL230" s="1185">
        <v>1</v>
      </c>
      <c r="AM230" s="709"/>
    </row>
    <row r="231" spans="1:45" s="1244" customFormat="1" ht="40.5" customHeight="1">
      <c r="A231" s="1181"/>
      <c r="B231" s="1256"/>
      <c r="C231" s="1346" t="s">
        <v>874</v>
      </c>
      <c r="D231" s="1341"/>
      <c r="E231" s="1341"/>
      <c r="F231" s="1341"/>
      <c r="G231" s="1343"/>
      <c r="H231" s="1345"/>
      <c r="I231" s="1341"/>
      <c r="J231" s="1341"/>
      <c r="K231" s="1181"/>
      <c r="L231" s="1181"/>
      <c r="M231" s="1181"/>
      <c r="N231" s="1181"/>
      <c r="O231" s="1246"/>
      <c r="P231" s="1246"/>
      <c r="Q231" s="1246"/>
      <c r="R231" s="1246"/>
      <c r="S231" s="1246"/>
      <c r="T231" s="1183"/>
      <c r="U231" s="1183"/>
      <c r="V231" s="1183"/>
      <c r="W231" s="1183"/>
      <c r="X231" s="1183"/>
      <c r="Y231" s="1183"/>
      <c r="Z231" s="1183"/>
      <c r="AA231" s="1183"/>
      <c r="AB231" s="1183"/>
      <c r="AC231" s="1183"/>
      <c r="AD231" s="1183"/>
      <c r="AE231" s="1183"/>
      <c r="AF231" s="1183"/>
      <c r="AG231" s="1282"/>
      <c r="AH231" s="1283"/>
      <c r="AI231" s="1283"/>
      <c r="AJ231" s="1183"/>
      <c r="AK231" s="1183"/>
      <c r="AL231" s="1185">
        <v>1</v>
      </c>
      <c r="AM231" s="709"/>
    </row>
    <row r="232" spans="1:45" s="1244" customFormat="1" ht="40.5" customHeight="1">
      <c r="A232" s="1181"/>
      <c r="B232" s="1256"/>
      <c r="C232" s="1347" t="s">
        <v>2754</v>
      </c>
      <c r="D232" s="1181"/>
      <c r="E232" s="1181"/>
      <c r="F232" s="1181"/>
      <c r="G232" s="1181"/>
      <c r="H232" s="1181"/>
      <c r="I232" s="1246"/>
      <c r="J232" s="1181"/>
      <c r="K232" s="1181"/>
      <c r="L232" s="1181"/>
      <c r="M232" s="1181"/>
      <c r="N232" s="1181"/>
      <c r="O232" s="1246"/>
      <c r="P232" s="1246"/>
      <c r="Q232" s="1246"/>
      <c r="R232" s="1246"/>
      <c r="S232" s="1246"/>
      <c r="T232" s="1183"/>
      <c r="U232" s="1183"/>
      <c r="V232" s="1276" t="s">
        <v>2755</v>
      </c>
      <c r="W232" s="1287"/>
      <c r="X232" s="1287"/>
      <c r="Y232" s="1287"/>
      <c r="Z232" s="1287"/>
      <c r="AA232" s="1287"/>
      <c r="AB232" s="1287"/>
      <c r="AC232" s="1183"/>
      <c r="AD232" s="1183"/>
      <c r="AE232" s="1183"/>
      <c r="AF232" s="1183"/>
      <c r="AG232" s="1282"/>
      <c r="AH232" s="1283"/>
      <c r="AI232" s="1283"/>
      <c r="AJ232" s="1183"/>
      <c r="AK232" s="1183"/>
      <c r="AL232" s="1185">
        <v>1</v>
      </c>
      <c r="AM232" s="709"/>
    </row>
    <row r="233" spans="1:45" s="1244" customFormat="1" ht="40.5" customHeight="1">
      <c r="A233" s="1181"/>
      <c r="B233" s="1256"/>
      <c r="C233" s="1347" t="s">
        <v>2756</v>
      </c>
      <c r="D233" s="1181"/>
      <c r="E233" s="1181"/>
      <c r="F233" s="1181"/>
      <c r="G233" s="1181"/>
      <c r="H233" s="1181"/>
      <c r="I233" s="1246"/>
      <c r="J233" s="1181"/>
      <c r="K233" s="1181"/>
      <c r="L233" s="1181"/>
      <c r="M233" s="1181"/>
      <c r="N233" s="1181"/>
      <c r="O233" s="1246"/>
      <c r="P233" s="1246"/>
      <c r="Q233" s="1246"/>
      <c r="R233" s="1246"/>
      <c r="S233" s="1246"/>
      <c r="T233" s="1183"/>
      <c r="U233" s="1183"/>
      <c r="V233" s="1348" t="s">
        <v>2757</v>
      </c>
      <c r="W233" s="1258"/>
      <c r="X233" s="1258"/>
      <c r="Y233" s="1258"/>
      <c r="Z233" s="1258"/>
      <c r="AA233" s="1258"/>
      <c r="AB233" s="1258"/>
      <c r="AC233" s="1183" t="s">
        <v>22</v>
      </c>
      <c r="AD233" s="1183"/>
      <c r="AE233" s="1183"/>
      <c r="AF233" s="1183"/>
      <c r="AG233" s="1282"/>
      <c r="AH233" s="1283"/>
      <c r="AI233" s="1283"/>
      <c r="AJ233" s="1183"/>
      <c r="AK233" s="1183"/>
      <c r="AL233" s="1185">
        <v>1</v>
      </c>
      <c r="AM233" s="709"/>
    </row>
    <row r="234" spans="1:45" s="1244" customFormat="1" ht="40.5" customHeight="1">
      <c r="A234" s="1181"/>
      <c r="B234" s="1256"/>
      <c r="C234" s="1349" t="s">
        <v>2758</v>
      </c>
      <c r="D234" s="1181"/>
      <c r="E234" s="1181"/>
      <c r="F234" s="1181"/>
      <c r="G234" s="1181"/>
      <c r="H234" s="1181"/>
      <c r="I234" s="1246"/>
      <c r="J234" s="1181"/>
      <c r="K234" s="1181"/>
      <c r="L234" s="1181"/>
      <c r="M234" s="1181"/>
      <c r="N234" s="1181"/>
      <c r="O234" s="1246"/>
      <c r="P234" s="1246"/>
      <c r="Q234" s="1246"/>
      <c r="R234" s="1246"/>
      <c r="S234" s="1246"/>
      <c r="T234" s="1183"/>
      <c r="U234" s="1183"/>
      <c r="V234" s="1183"/>
      <c r="W234" s="1183"/>
      <c r="X234" s="1183"/>
      <c r="Y234" s="1183"/>
      <c r="Z234" s="1183"/>
      <c r="AA234" s="1183"/>
      <c r="AB234" s="1183"/>
      <c r="AC234" s="1183"/>
      <c r="AD234" s="1183"/>
      <c r="AE234" s="1183"/>
      <c r="AF234" s="1183"/>
      <c r="AG234" s="1282"/>
      <c r="AH234" s="1283"/>
      <c r="AI234" s="1283"/>
      <c r="AJ234" s="1183"/>
      <c r="AK234" s="1183"/>
      <c r="AL234" s="1185">
        <v>1</v>
      </c>
      <c r="AM234" s="709"/>
    </row>
    <row r="235" spans="1:45" s="1244" customFormat="1" ht="40.5" customHeight="1">
      <c r="A235" s="1181"/>
      <c r="B235" s="1256"/>
      <c r="C235" s="1349" t="s">
        <v>2759</v>
      </c>
      <c r="D235" s="1181"/>
      <c r="E235" s="1181"/>
      <c r="F235" s="1181"/>
      <c r="G235" s="1181"/>
      <c r="H235" s="1181"/>
      <c r="I235" s="1246"/>
      <c r="J235" s="1181"/>
      <c r="K235" s="1181"/>
      <c r="L235" s="1181"/>
      <c r="M235" s="1181"/>
      <c r="N235" s="1181"/>
      <c r="O235" s="1246"/>
      <c r="P235" s="1246"/>
      <c r="Q235" s="1246"/>
      <c r="R235" s="1246"/>
      <c r="S235" s="1246"/>
      <c r="T235" s="1183"/>
      <c r="U235" s="1183"/>
      <c r="V235" s="1183"/>
      <c r="W235" s="1183"/>
      <c r="X235" s="1183"/>
      <c r="Y235" s="1183"/>
      <c r="Z235" s="1183"/>
      <c r="AA235" s="1183"/>
      <c r="AB235" s="1183"/>
      <c r="AC235" s="1183"/>
      <c r="AD235" s="1183"/>
      <c r="AE235" s="1183"/>
      <c r="AF235" s="1183"/>
      <c r="AG235" s="1282"/>
      <c r="AH235" s="1283"/>
      <c r="AI235" s="1283"/>
      <c r="AJ235" s="1183"/>
      <c r="AK235" s="1183"/>
      <c r="AL235" s="1185">
        <v>1</v>
      </c>
      <c r="AM235" s="709"/>
    </row>
    <row r="236" spans="1:45" s="1244" customFormat="1" ht="40.5" customHeight="1">
      <c r="A236" s="1181"/>
      <c r="B236" s="1256"/>
      <c r="C236" s="1350" t="s">
        <v>2760</v>
      </c>
      <c r="D236" s="1350" t="s">
        <v>2761</v>
      </c>
      <c r="E236" s="1350" t="s">
        <v>2762</v>
      </c>
      <c r="F236" s="1350" t="s">
        <v>2763</v>
      </c>
      <c r="G236" s="1350" t="s">
        <v>2764</v>
      </c>
      <c r="H236" s="1350" t="s">
        <v>2765</v>
      </c>
      <c r="I236" s="1350" t="s">
        <v>2766</v>
      </c>
      <c r="J236" s="1350" t="s">
        <v>2767</v>
      </c>
      <c r="K236" s="1350" t="s">
        <v>2768</v>
      </c>
      <c r="L236" s="1350" t="s">
        <v>2769</v>
      </c>
      <c r="M236" s="1350" t="s">
        <v>2770</v>
      </c>
      <c r="N236" s="1350" t="s">
        <v>2771</v>
      </c>
      <c r="O236" s="1350" t="s">
        <v>2772</v>
      </c>
      <c r="P236" s="1246"/>
      <c r="Q236" s="1350" t="s">
        <v>2773</v>
      </c>
      <c r="R236" s="1350" t="s">
        <v>2774</v>
      </c>
      <c r="S236" s="1350" t="s">
        <v>2775</v>
      </c>
      <c r="T236" s="1350" t="s">
        <v>2776</v>
      </c>
      <c r="U236" s="1350" t="s">
        <v>2777</v>
      </c>
      <c r="V236" s="1350" t="s">
        <v>2778</v>
      </c>
      <c r="W236" s="1350" t="s">
        <v>2779</v>
      </c>
      <c r="X236" s="1350" t="s">
        <v>2780</v>
      </c>
      <c r="Y236" s="1350" t="s">
        <v>2781</v>
      </c>
      <c r="Z236" s="1350" t="s">
        <v>2782</v>
      </c>
      <c r="AA236" s="1350" t="s">
        <v>2783</v>
      </c>
      <c r="AB236" s="1350" t="s">
        <v>2784</v>
      </c>
      <c r="AC236" s="1350" t="s">
        <v>2785</v>
      </c>
      <c r="AD236" s="1183"/>
      <c r="AE236" s="1183"/>
      <c r="AF236" s="1183"/>
      <c r="AG236" s="1282"/>
      <c r="AH236" s="1283"/>
      <c r="AI236" s="1283"/>
      <c r="AJ236" s="1183"/>
      <c r="AK236" s="1183"/>
      <c r="AL236" s="1185">
        <v>1</v>
      </c>
      <c r="AM236" s="709"/>
    </row>
    <row r="237" spans="1:45" s="1244" customFormat="1" ht="40.5" customHeight="1">
      <c r="A237" s="1181"/>
      <c r="B237" s="1256"/>
      <c r="C237" s="1350" t="s">
        <v>2786</v>
      </c>
      <c r="D237" s="1350" t="s">
        <v>2787</v>
      </c>
      <c r="E237" s="1350" t="s">
        <v>2788</v>
      </c>
      <c r="F237" s="1350" t="s">
        <v>2789</v>
      </c>
      <c r="G237" s="1350" t="s">
        <v>2790</v>
      </c>
      <c r="H237" s="1350" t="s">
        <v>2791</v>
      </c>
      <c r="I237" s="1350" t="s">
        <v>2792</v>
      </c>
      <c r="J237" s="1350" t="s">
        <v>2793</v>
      </c>
      <c r="K237" s="1350" t="s">
        <v>2794</v>
      </c>
      <c r="L237" s="1350" t="s">
        <v>2795</v>
      </c>
      <c r="M237" s="1350" t="s">
        <v>2796</v>
      </c>
      <c r="N237" s="1350" t="s">
        <v>2797</v>
      </c>
      <c r="O237" s="1350" t="s">
        <v>2798</v>
      </c>
      <c r="P237" s="1351"/>
      <c r="Q237" s="1350" t="s">
        <v>2799</v>
      </c>
      <c r="R237" s="1350" t="s">
        <v>2800</v>
      </c>
      <c r="S237" s="1350" t="s">
        <v>2801</v>
      </c>
      <c r="T237" s="1350" t="s">
        <v>2802</v>
      </c>
      <c r="U237" s="1350" t="s">
        <v>2803</v>
      </c>
      <c r="V237" s="1350" t="s">
        <v>2804</v>
      </c>
      <c r="W237" s="1350" t="s">
        <v>2805</v>
      </c>
      <c r="X237" s="1350" t="s">
        <v>2806</v>
      </c>
      <c r="Y237" s="1350" t="s">
        <v>2807</v>
      </c>
      <c r="Z237" s="1350" t="s">
        <v>2808</v>
      </c>
      <c r="AA237" s="1350" t="s">
        <v>2809</v>
      </c>
      <c r="AB237" s="1350" t="s">
        <v>2810</v>
      </c>
      <c r="AC237" s="1350" t="s">
        <v>2811</v>
      </c>
      <c r="AD237" s="1183"/>
      <c r="AE237" s="1183"/>
      <c r="AF237" s="1183"/>
      <c r="AG237" s="1282"/>
      <c r="AH237" s="1283"/>
      <c r="AI237" s="1283"/>
      <c r="AJ237" s="1183"/>
      <c r="AK237" s="1183"/>
      <c r="AL237" s="1185">
        <v>1</v>
      </c>
      <c r="AM237" s="709"/>
    </row>
    <row r="238" spans="1:45" s="1244" customFormat="1" ht="40.5" customHeight="1">
      <c r="A238" s="1181"/>
      <c r="B238" s="1256"/>
      <c r="C238" s="1351"/>
      <c r="D238" s="1351"/>
      <c r="E238" s="1351"/>
      <c r="F238" s="1351"/>
      <c r="G238" s="1351"/>
      <c r="H238" s="1351"/>
      <c r="I238" s="1351"/>
      <c r="J238" s="1351"/>
      <c r="K238" s="1351"/>
      <c r="L238" s="1351"/>
      <c r="M238" s="1181"/>
      <c r="N238" s="1181"/>
      <c r="O238" s="1181"/>
      <c r="P238" s="1181"/>
      <c r="Q238" s="1181"/>
      <c r="R238" s="1181"/>
      <c r="S238" s="1181"/>
      <c r="T238" s="1181"/>
      <c r="U238" s="1181"/>
      <c r="V238" s="1181"/>
      <c r="W238" s="1181"/>
      <c r="X238" s="1181"/>
      <c r="Y238" s="1181"/>
      <c r="Z238" s="1183"/>
      <c r="AA238" s="1183"/>
      <c r="AB238" s="1183"/>
      <c r="AC238" s="1183"/>
      <c r="AD238" s="1183"/>
      <c r="AE238" s="1183"/>
      <c r="AF238" s="1183"/>
      <c r="AG238" s="1282"/>
      <c r="AH238" s="1283"/>
      <c r="AI238" s="1283"/>
      <c r="AJ238" s="1183"/>
      <c r="AK238" s="1183"/>
      <c r="AL238" s="1185">
        <v>1</v>
      </c>
      <c r="AM238" s="709"/>
    </row>
    <row r="239" spans="1:45" s="1244" customFormat="1" ht="40.5" customHeight="1">
      <c r="A239" s="1181"/>
      <c r="B239" s="1256"/>
      <c r="C239" s="1350" t="s">
        <v>2773</v>
      </c>
      <c r="D239" s="1350" t="s">
        <v>2774</v>
      </c>
      <c r="E239" s="1350" t="s">
        <v>2775</v>
      </c>
      <c r="F239" s="1350" t="s">
        <v>2776</v>
      </c>
      <c r="G239" s="1350" t="s">
        <v>2777</v>
      </c>
      <c r="H239" s="1350" t="s">
        <v>2778</v>
      </c>
      <c r="I239" s="1350" t="s">
        <v>2779</v>
      </c>
      <c r="J239" s="1350" t="s">
        <v>2780</v>
      </c>
      <c r="K239" s="1350" t="s">
        <v>2781</v>
      </c>
      <c r="L239" s="1350" t="s">
        <v>2782</v>
      </c>
      <c r="M239" s="1350" t="s">
        <v>2783</v>
      </c>
      <c r="N239" s="1350" t="s">
        <v>2784</v>
      </c>
      <c r="O239" s="1350" t="s">
        <v>2785</v>
      </c>
      <c r="P239" s="1181"/>
      <c r="Q239" s="1350" t="s">
        <v>2812</v>
      </c>
      <c r="R239" s="1350" t="s">
        <v>2813</v>
      </c>
      <c r="S239" s="1350" t="s">
        <v>2814</v>
      </c>
      <c r="T239" s="1350" t="s">
        <v>2815</v>
      </c>
      <c r="U239" s="1350" t="s">
        <v>2816</v>
      </c>
      <c r="V239" s="1350" t="s">
        <v>2817</v>
      </c>
      <c r="W239" s="1350" t="s">
        <v>2818</v>
      </c>
      <c r="X239" s="1350" t="s">
        <v>2819</v>
      </c>
      <c r="Y239" s="1350" t="s">
        <v>2819</v>
      </c>
      <c r="Z239" s="1350" t="s">
        <v>2820</v>
      </c>
      <c r="AA239" s="1350" t="s">
        <v>2821</v>
      </c>
      <c r="AB239" s="1350" t="s">
        <v>2822</v>
      </c>
      <c r="AC239" s="1350" t="s">
        <v>2823</v>
      </c>
      <c r="AD239" s="1350" t="s">
        <v>2824</v>
      </c>
      <c r="AE239" s="1183"/>
      <c r="AF239" s="1183"/>
      <c r="AG239" s="1282"/>
      <c r="AH239" s="1283"/>
      <c r="AI239" s="1283"/>
      <c r="AJ239" s="1183"/>
      <c r="AK239" s="1183"/>
      <c r="AL239" s="1185">
        <v>1</v>
      </c>
      <c r="AM239" s="709"/>
    </row>
    <row r="240" spans="1:45" s="1244" customFormat="1" ht="40.5" customHeight="1">
      <c r="A240" s="1181"/>
      <c r="B240" s="1256"/>
      <c r="C240" s="1350" t="s">
        <v>2799</v>
      </c>
      <c r="D240" s="1350" t="s">
        <v>2800</v>
      </c>
      <c r="E240" s="1350" t="s">
        <v>2801</v>
      </c>
      <c r="F240" s="1350" t="s">
        <v>2802</v>
      </c>
      <c r="G240" s="1350" t="s">
        <v>2803</v>
      </c>
      <c r="H240" s="1350" t="s">
        <v>2804</v>
      </c>
      <c r="I240" s="1350" t="s">
        <v>2805</v>
      </c>
      <c r="J240" s="1350" t="s">
        <v>2806</v>
      </c>
      <c r="K240" s="1350" t="s">
        <v>2807</v>
      </c>
      <c r="L240" s="1350" t="s">
        <v>2808</v>
      </c>
      <c r="M240" s="1350" t="s">
        <v>2809</v>
      </c>
      <c r="N240" s="1350" t="s">
        <v>2810</v>
      </c>
      <c r="O240" s="1350" t="s">
        <v>2811</v>
      </c>
      <c r="P240" s="1181"/>
      <c r="Q240" s="1350" t="s">
        <v>2825</v>
      </c>
      <c r="R240" s="1350" t="s">
        <v>2826</v>
      </c>
      <c r="S240" s="1350" t="s">
        <v>2827</v>
      </c>
      <c r="T240" s="1350" t="s">
        <v>2828</v>
      </c>
      <c r="U240" s="1350" t="s">
        <v>2829</v>
      </c>
      <c r="V240" s="1350" t="s">
        <v>2829</v>
      </c>
      <c r="W240" s="1350" t="s">
        <v>2830</v>
      </c>
      <c r="X240" s="1350" t="s">
        <v>2831</v>
      </c>
      <c r="Y240" s="1350" t="s">
        <v>2832</v>
      </c>
      <c r="Z240" s="1350" t="s">
        <v>2833</v>
      </c>
      <c r="AA240" s="1350" t="s">
        <v>2834</v>
      </c>
      <c r="AB240" s="1350" t="s">
        <v>2835</v>
      </c>
      <c r="AC240" s="1350" t="s">
        <v>2836</v>
      </c>
      <c r="AD240" s="1350"/>
      <c r="AE240" s="1183"/>
      <c r="AF240" s="1183"/>
      <c r="AG240" s="1282"/>
      <c r="AH240" s="1283"/>
      <c r="AI240" s="1283"/>
      <c r="AJ240" s="1183"/>
      <c r="AK240" s="1183"/>
      <c r="AL240" s="1185">
        <v>1</v>
      </c>
      <c r="AM240" s="709"/>
    </row>
    <row r="241" spans="1:39" s="1244" customFormat="1" ht="40.5" customHeight="1">
      <c r="A241" s="1181"/>
      <c r="B241" s="1256"/>
      <c r="C241" s="1351"/>
      <c r="D241" s="1351"/>
      <c r="E241" s="1351"/>
      <c r="F241" s="1351"/>
      <c r="G241" s="1351"/>
      <c r="H241" s="1351"/>
      <c r="I241" s="1351"/>
      <c r="J241" s="1351"/>
      <c r="K241" s="1351"/>
      <c r="L241" s="1351"/>
      <c r="M241" s="1181"/>
      <c r="N241" s="1181"/>
      <c r="O241" s="1181"/>
      <c r="P241" s="1181"/>
      <c r="Q241" s="1181"/>
      <c r="R241" s="1181"/>
      <c r="S241" s="1181"/>
      <c r="T241" s="1181"/>
      <c r="U241" s="1181"/>
      <c r="V241" s="1181"/>
      <c r="W241" s="1181"/>
      <c r="X241" s="1181"/>
      <c r="Y241" s="1181"/>
      <c r="Z241" s="1183"/>
      <c r="AA241" s="1183"/>
      <c r="AB241" s="1183"/>
      <c r="AC241" s="1183"/>
      <c r="AD241" s="1183"/>
      <c r="AE241" s="1183"/>
      <c r="AF241" s="1183"/>
      <c r="AG241" s="1282"/>
      <c r="AH241" s="1283"/>
      <c r="AI241" s="1283"/>
      <c r="AJ241" s="1183"/>
      <c r="AK241" s="1183"/>
      <c r="AL241" s="1185">
        <v>1</v>
      </c>
      <c r="AM241" s="709"/>
    </row>
    <row r="242" spans="1:39" s="1244" customFormat="1" ht="40.5" customHeight="1">
      <c r="A242" s="1181"/>
      <c r="B242" s="1256"/>
      <c r="C242" s="1352" t="s">
        <v>2837</v>
      </c>
      <c r="D242" s="1352" t="s">
        <v>2838</v>
      </c>
      <c r="E242" s="1352" t="s">
        <v>2839</v>
      </c>
      <c r="F242" s="1352" t="s">
        <v>2840</v>
      </c>
      <c r="G242" s="1352" t="s">
        <v>2841</v>
      </c>
      <c r="H242" s="1352" t="s">
        <v>2842</v>
      </c>
      <c r="I242" s="1352" t="s">
        <v>2843</v>
      </c>
      <c r="J242" s="1352" t="s">
        <v>2844</v>
      </c>
      <c r="K242" s="1352" t="s">
        <v>2845</v>
      </c>
      <c r="L242" s="1352" t="s">
        <v>2846</v>
      </c>
      <c r="M242" s="1352" t="s">
        <v>2847</v>
      </c>
      <c r="N242" s="1352" t="s">
        <v>2848</v>
      </c>
      <c r="O242" s="1352" t="s">
        <v>2849</v>
      </c>
      <c r="P242" s="1181"/>
      <c r="Q242" s="1353" t="s">
        <v>2850</v>
      </c>
      <c r="R242" s="1353" t="s">
        <v>2851</v>
      </c>
      <c r="S242" s="1353" t="s">
        <v>17</v>
      </c>
      <c r="T242" s="1353" t="s">
        <v>2852</v>
      </c>
      <c r="U242" s="1353" t="s">
        <v>2853</v>
      </c>
      <c r="V242" s="1353" t="s">
        <v>2854</v>
      </c>
      <c r="W242" s="1353" t="s">
        <v>2855</v>
      </c>
      <c r="X242" s="1353" t="s">
        <v>2856</v>
      </c>
      <c r="Y242" s="1353" t="s">
        <v>2857</v>
      </c>
      <c r="Z242" s="1353" t="s">
        <v>458</v>
      </c>
      <c r="AA242" s="1353" t="s">
        <v>2858</v>
      </c>
      <c r="AB242" s="1183"/>
      <c r="AC242" s="1183"/>
      <c r="AD242" s="1183"/>
      <c r="AE242" s="1183"/>
      <c r="AF242" s="1183"/>
      <c r="AG242" s="1282"/>
      <c r="AH242" s="1283"/>
      <c r="AI242" s="1283"/>
      <c r="AJ242" s="1183"/>
      <c r="AK242" s="1183"/>
      <c r="AL242" s="1185">
        <v>1</v>
      </c>
      <c r="AM242" s="709"/>
    </row>
    <row r="243" spans="1:39" s="1244" customFormat="1" ht="40.5" customHeight="1">
      <c r="A243" s="1181"/>
      <c r="B243" s="1256"/>
      <c r="C243" s="1352" t="s">
        <v>2859</v>
      </c>
      <c r="D243" s="1352" t="s">
        <v>2860</v>
      </c>
      <c r="E243" s="1352" t="s">
        <v>2861</v>
      </c>
      <c r="F243" s="1352" t="s">
        <v>2862</v>
      </c>
      <c r="G243" s="1352" t="s">
        <v>2863</v>
      </c>
      <c r="H243" s="1352" t="s">
        <v>2864</v>
      </c>
      <c r="I243" s="1352" t="s">
        <v>2865</v>
      </c>
      <c r="J243" s="1352" t="s">
        <v>2866</v>
      </c>
      <c r="K243" s="1352" t="s">
        <v>2867</v>
      </c>
      <c r="L243" s="1352" t="s">
        <v>2868</v>
      </c>
      <c r="M243" s="1352" t="s">
        <v>2869</v>
      </c>
      <c r="N243" s="1352" t="s">
        <v>2869</v>
      </c>
      <c r="O243" s="1352" t="s">
        <v>2870</v>
      </c>
      <c r="P243" s="1181"/>
      <c r="Q243" s="1353" t="s">
        <v>519</v>
      </c>
      <c r="R243" s="1353" t="s">
        <v>2871</v>
      </c>
      <c r="S243" s="1353" t="s">
        <v>2872</v>
      </c>
      <c r="T243" s="1353" t="s">
        <v>2873</v>
      </c>
      <c r="U243" s="1353" t="s">
        <v>2874</v>
      </c>
      <c r="V243" s="1353" t="s">
        <v>2875</v>
      </c>
      <c r="W243" s="1353" t="s">
        <v>2876</v>
      </c>
      <c r="X243" s="1353" t="s">
        <v>2877</v>
      </c>
      <c r="Y243" s="1353" t="s">
        <v>2878</v>
      </c>
      <c r="Z243" s="1353" t="s">
        <v>2879</v>
      </c>
      <c r="AA243" s="1353"/>
      <c r="AB243" s="1183"/>
      <c r="AC243" s="1183"/>
      <c r="AD243" s="1183"/>
      <c r="AE243" s="1183"/>
      <c r="AF243" s="1183"/>
      <c r="AG243" s="1282"/>
      <c r="AH243" s="1283"/>
      <c r="AI243" s="1283"/>
      <c r="AJ243" s="1183"/>
      <c r="AK243" s="1183"/>
      <c r="AL243" s="1185">
        <v>1</v>
      </c>
      <c r="AM243" s="709"/>
    </row>
    <row r="244" spans="1:39" s="1244" customFormat="1" ht="40.5" customHeight="1">
      <c r="A244" s="1181"/>
      <c r="B244" s="1256"/>
      <c r="C244" s="1351"/>
      <c r="D244" s="1351"/>
      <c r="E244" s="1351"/>
      <c r="F244" s="1351"/>
      <c r="G244" s="1351"/>
      <c r="H244" s="1351"/>
      <c r="I244" s="1351"/>
      <c r="J244" s="1351"/>
      <c r="K244" s="1351"/>
      <c r="L244" s="1351"/>
      <c r="M244" s="1181"/>
      <c r="N244" s="1181"/>
      <c r="O244" s="1181"/>
      <c r="P244" s="1181"/>
      <c r="Q244" s="1181"/>
      <c r="R244" s="1181"/>
      <c r="S244" s="1181"/>
      <c r="T244" s="1181"/>
      <c r="U244" s="1181"/>
      <c r="V244" s="1181"/>
      <c r="W244" s="1181"/>
      <c r="X244" s="1181"/>
      <c r="Y244" s="1181"/>
      <c r="Z244" s="1183"/>
      <c r="AA244" s="1183"/>
      <c r="AB244" s="1183"/>
      <c r="AC244" s="1183"/>
      <c r="AD244" s="1183"/>
      <c r="AE244" s="1183"/>
      <c r="AF244" s="1183"/>
      <c r="AG244" s="1282"/>
      <c r="AH244" s="1283"/>
      <c r="AI244" s="1283"/>
      <c r="AJ244" s="1183"/>
      <c r="AK244" s="1183"/>
      <c r="AL244" s="1185">
        <v>1</v>
      </c>
      <c r="AM244" s="709"/>
    </row>
    <row r="245" spans="1:39" s="1244" customFormat="1" ht="40.5" customHeight="1">
      <c r="A245" s="1181"/>
      <c r="B245" s="1256"/>
      <c r="C245" s="1353" t="s">
        <v>2880</v>
      </c>
      <c r="D245" s="1353" t="s">
        <v>2881</v>
      </c>
      <c r="E245" s="1353" t="s">
        <v>2882</v>
      </c>
      <c r="F245" s="1353" t="s">
        <v>82</v>
      </c>
      <c r="G245" s="1353" t="s">
        <v>77</v>
      </c>
      <c r="H245" s="1353" t="s">
        <v>78</v>
      </c>
      <c r="I245" s="1353" t="s">
        <v>2883</v>
      </c>
      <c r="J245" s="1353" t="s">
        <v>2884</v>
      </c>
      <c r="K245" s="1353" t="s">
        <v>910</v>
      </c>
      <c r="L245" s="1353" t="s">
        <v>2885</v>
      </c>
      <c r="M245" s="1353" t="s">
        <v>2886</v>
      </c>
      <c r="N245" s="1181"/>
      <c r="O245" s="1181"/>
      <c r="P245" s="1181"/>
      <c r="Q245" s="1353" t="s">
        <v>2887</v>
      </c>
      <c r="R245" s="1353" t="s">
        <v>2888</v>
      </c>
      <c r="S245" s="1353" t="s">
        <v>2889</v>
      </c>
      <c r="T245" s="1353" t="s">
        <v>2890</v>
      </c>
      <c r="U245" s="1353" t="s">
        <v>2891</v>
      </c>
      <c r="V245" s="1353" t="s">
        <v>2892</v>
      </c>
      <c r="W245" s="1353" t="s">
        <v>2893</v>
      </c>
      <c r="X245" s="1353" t="s">
        <v>2894</v>
      </c>
      <c r="Y245" s="1353" t="s">
        <v>2895</v>
      </c>
      <c r="Z245" s="1353" t="s">
        <v>2896</v>
      </c>
      <c r="AA245" s="1183"/>
      <c r="AB245" s="1183"/>
      <c r="AC245" s="1183"/>
      <c r="AD245" s="1183"/>
      <c r="AE245" s="1183"/>
      <c r="AF245" s="1183"/>
      <c r="AG245" s="1282"/>
      <c r="AH245" s="1283"/>
      <c r="AI245" s="1283"/>
      <c r="AJ245" s="1183"/>
      <c r="AK245" s="1183"/>
      <c r="AL245" s="1185">
        <v>1</v>
      </c>
      <c r="AM245" s="709"/>
    </row>
    <row r="246" spans="1:39" s="1244" customFormat="1" ht="40.5" customHeight="1">
      <c r="A246" s="1181"/>
      <c r="B246" s="1256"/>
      <c r="C246" s="1351"/>
      <c r="D246" s="1351"/>
      <c r="E246" s="1351"/>
      <c r="F246" s="1351"/>
      <c r="G246" s="1351"/>
      <c r="H246" s="1351"/>
      <c r="I246" s="1351"/>
      <c r="J246" s="1351"/>
      <c r="K246" s="1351"/>
      <c r="L246" s="1351"/>
      <c r="M246" s="1181"/>
      <c r="N246" s="1181"/>
      <c r="O246" s="1351"/>
      <c r="P246" s="1351"/>
      <c r="Q246" s="1351"/>
      <c r="R246" s="1351"/>
      <c r="S246" s="1351"/>
      <c r="T246" s="1351"/>
      <c r="U246" s="1351"/>
      <c r="V246" s="1351"/>
      <c r="W246" s="1351"/>
      <c r="X246" s="1351"/>
      <c r="Y246" s="1183"/>
      <c r="Z246" s="1183"/>
      <c r="AA246" s="1183"/>
      <c r="AB246" s="1183"/>
      <c r="AC246" s="1183"/>
      <c r="AD246" s="1183"/>
      <c r="AE246" s="1183"/>
      <c r="AF246" s="1183"/>
      <c r="AG246" s="1282"/>
      <c r="AH246" s="1283"/>
      <c r="AI246" s="1283"/>
      <c r="AJ246" s="1183"/>
      <c r="AK246" s="1183"/>
      <c r="AL246" s="1185">
        <v>1</v>
      </c>
      <c r="AM246" s="709"/>
    </row>
    <row r="247" spans="1:39" s="1244" customFormat="1" ht="40.5" customHeight="1">
      <c r="A247" s="1181"/>
      <c r="B247" s="1256"/>
      <c r="C247" s="1217" t="s">
        <v>2897</v>
      </c>
      <c r="D247" s="1181"/>
      <c r="E247" s="1181"/>
      <c r="F247" s="1181"/>
      <c r="G247" s="1181"/>
      <c r="H247" s="1181"/>
      <c r="I247" s="1246"/>
      <c r="J247" s="1181"/>
      <c r="K247" s="1181"/>
      <c r="L247" s="1181"/>
      <c r="M247" s="1181"/>
      <c r="N247" s="1181"/>
      <c r="O247" s="1246"/>
      <c r="P247" s="1246"/>
      <c r="Q247" s="1246"/>
      <c r="R247" s="1246"/>
      <c r="S247" s="1246"/>
      <c r="T247" s="1183"/>
      <c r="U247" s="1183"/>
      <c r="V247" s="1183"/>
      <c r="W247" s="1183"/>
      <c r="X247" s="1183"/>
      <c r="Y247" s="1183"/>
      <c r="Z247" s="1183"/>
      <c r="AA247" s="1183"/>
      <c r="AB247" s="1183"/>
      <c r="AC247" s="1183"/>
      <c r="AD247" s="1183"/>
      <c r="AE247" s="1183"/>
      <c r="AF247" s="1183"/>
      <c r="AG247" s="1282"/>
      <c r="AH247" s="1283"/>
      <c r="AI247" s="1283"/>
      <c r="AJ247" s="1183"/>
      <c r="AK247" s="1183"/>
      <c r="AL247" s="1185">
        <v>1</v>
      </c>
      <c r="AM247" s="709"/>
    </row>
    <row r="248" spans="1:39" s="1244" customFormat="1" ht="40.5" customHeight="1">
      <c r="A248" s="1181"/>
      <c r="B248" s="1256"/>
      <c r="C248" s="1217" t="s">
        <v>2898</v>
      </c>
      <c r="D248" s="1181"/>
      <c r="E248" s="1181"/>
      <c r="F248" s="1181"/>
      <c r="G248" s="1181"/>
      <c r="H248" s="1181"/>
      <c r="I248" s="1246"/>
      <c r="J248" s="1181"/>
      <c r="K248" s="1181"/>
      <c r="L248" s="1181"/>
      <c r="M248" s="1181"/>
      <c r="N248" s="1181"/>
      <c r="O248" s="1246"/>
      <c r="P248" s="1246"/>
      <c r="Q248" s="1246"/>
      <c r="R248" s="1246"/>
      <c r="S248" s="1246"/>
      <c r="T248" s="1183"/>
      <c r="U248" s="1183"/>
      <c r="V248" s="1183"/>
      <c r="W248" s="1183"/>
      <c r="X248" s="1183"/>
      <c r="Y248" s="1183"/>
      <c r="Z248" s="1183"/>
      <c r="AA248" s="1183"/>
      <c r="AB248" s="1183"/>
      <c r="AC248" s="1183"/>
      <c r="AD248" s="1183"/>
      <c r="AE248" s="1183"/>
      <c r="AF248" s="1183"/>
      <c r="AG248" s="1282"/>
      <c r="AH248" s="1283"/>
      <c r="AI248" s="1283"/>
      <c r="AJ248" s="1183"/>
      <c r="AK248" s="1183"/>
      <c r="AL248" s="1185">
        <v>1</v>
      </c>
      <c r="AM248" s="709"/>
    </row>
    <row r="249" spans="1:39" s="1244" customFormat="1" ht="40.5" customHeight="1">
      <c r="A249" s="1181"/>
      <c r="B249" s="1256"/>
      <c r="C249" s="1217" t="s">
        <v>2899</v>
      </c>
      <c r="D249" s="1181"/>
      <c r="E249" s="1181"/>
      <c r="F249" s="1181"/>
      <c r="G249" s="1181"/>
      <c r="H249" s="1181"/>
      <c r="I249" s="1246"/>
      <c r="J249" s="1181"/>
      <c r="K249" s="1181"/>
      <c r="L249" s="1181"/>
      <c r="M249" s="1181"/>
      <c r="N249" s="1181"/>
      <c r="O249" s="1246"/>
      <c r="P249" s="1246"/>
      <c r="Q249" s="1246"/>
      <c r="R249" s="1246"/>
      <c r="S249" s="1246"/>
      <c r="T249" s="1183"/>
      <c r="U249" s="1183"/>
      <c r="V249" s="1183"/>
      <c r="W249" s="1183"/>
      <c r="X249" s="1183"/>
      <c r="Y249" s="1183"/>
      <c r="Z249" s="1183"/>
      <c r="AA249" s="1183"/>
      <c r="AB249" s="1183"/>
      <c r="AC249" s="1183"/>
      <c r="AD249" s="1183"/>
      <c r="AE249" s="1183"/>
      <c r="AF249" s="1183"/>
      <c r="AG249" s="1282"/>
      <c r="AH249" s="1283"/>
      <c r="AI249" s="1283"/>
      <c r="AJ249" s="1183"/>
      <c r="AK249" s="1183"/>
      <c r="AL249" s="1185">
        <v>1</v>
      </c>
      <c r="AM249" s="709"/>
    </row>
    <row r="250" spans="1:39" s="1244" customFormat="1" ht="40.5" customHeight="1">
      <c r="A250" s="1181"/>
      <c r="B250" s="1256"/>
      <c r="C250" s="1354" t="s">
        <v>2900</v>
      </c>
      <c r="D250" s="1354" t="s">
        <v>2901</v>
      </c>
      <c r="E250" s="1354" t="s">
        <v>2902</v>
      </c>
      <c r="F250" s="1354" t="s">
        <v>2903</v>
      </c>
      <c r="G250" s="1354" t="s">
        <v>2904</v>
      </c>
      <c r="H250" s="1354" t="s">
        <v>2905</v>
      </c>
      <c r="I250" s="1354" t="s">
        <v>2906</v>
      </c>
      <c r="J250" s="1354" t="s">
        <v>2907</v>
      </c>
      <c r="K250" s="1354" t="s">
        <v>2908</v>
      </c>
      <c r="L250" s="1354" t="s">
        <v>2909</v>
      </c>
      <c r="M250" s="1354" t="s">
        <v>2910</v>
      </c>
      <c r="N250" s="1354"/>
      <c r="O250" s="1354"/>
      <c r="P250" s="1355"/>
      <c r="Q250" s="1355"/>
      <c r="R250" s="1355"/>
      <c r="S250" s="1246"/>
      <c r="T250" s="1183"/>
      <c r="U250" s="1183"/>
      <c r="V250" s="1183"/>
      <c r="W250" s="1183"/>
      <c r="X250" s="1183"/>
      <c r="Y250" s="1183"/>
      <c r="Z250" s="1183"/>
      <c r="AA250" s="1183"/>
      <c r="AB250" s="1183"/>
      <c r="AC250" s="1183"/>
      <c r="AD250" s="1183"/>
      <c r="AE250" s="1183"/>
      <c r="AF250" s="1183"/>
      <c r="AG250" s="1282"/>
      <c r="AH250" s="1283"/>
      <c r="AI250" s="1283"/>
      <c r="AJ250" s="1183"/>
      <c r="AK250" s="1183"/>
      <c r="AL250" s="1185">
        <v>1</v>
      </c>
      <c r="AM250" s="709"/>
    </row>
    <row r="251" spans="1:39" s="1244" customFormat="1" ht="40.5" customHeight="1">
      <c r="A251" s="1181"/>
      <c r="B251" s="1256"/>
      <c r="C251" s="1356" t="s">
        <v>2911</v>
      </c>
      <c r="D251" s="1356" t="s">
        <v>2912</v>
      </c>
      <c r="E251" s="1356" t="s">
        <v>2913</v>
      </c>
      <c r="F251" s="1356"/>
      <c r="G251" s="1356" t="s">
        <v>2914</v>
      </c>
      <c r="H251" s="1356"/>
      <c r="I251" s="1356" t="s">
        <v>2915</v>
      </c>
      <c r="J251" s="1356"/>
      <c r="K251" s="1356" t="s">
        <v>2916</v>
      </c>
      <c r="L251" s="1356"/>
      <c r="M251" s="1356" t="s">
        <v>2917</v>
      </c>
      <c r="N251" s="1356" t="s">
        <v>2918</v>
      </c>
      <c r="O251" s="1356"/>
      <c r="P251" s="1356" t="s">
        <v>2919</v>
      </c>
      <c r="Q251" s="1356"/>
      <c r="R251" s="1356" t="s">
        <v>2920</v>
      </c>
      <c r="S251" s="1246"/>
      <c r="T251" s="1183"/>
      <c r="U251" s="1183"/>
      <c r="V251" s="1183"/>
      <c r="W251" s="1183"/>
      <c r="X251" s="1183"/>
      <c r="Y251" s="1183"/>
      <c r="Z251" s="1183"/>
      <c r="AA251" s="1183"/>
      <c r="AB251" s="1183"/>
      <c r="AC251" s="1183"/>
      <c r="AD251" s="1183"/>
      <c r="AE251" s="1183"/>
      <c r="AF251" s="1183"/>
      <c r="AG251" s="1282"/>
      <c r="AH251" s="1283"/>
      <c r="AI251" s="1283"/>
      <c r="AJ251" s="1183"/>
      <c r="AK251" s="1183"/>
      <c r="AL251" s="1185">
        <v>1</v>
      </c>
      <c r="AM251" s="709"/>
    </row>
    <row r="252" spans="1:39" s="1244" customFormat="1" ht="40.5" customHeight="1">
      <c r="A252" s="1181"/>
      <c r="B252" s="1256"/>
      <c r="C252" s="1217" t="s">
        <v>2921</v>
      </c>
      <c r="D252" s="1181"/>
      <c r="E252" s="1181"/>
      <c r="F252" s="1181"/>
      <c r="G252" s="1181"/>
      <c r="H252" s="1181"/>
      <c r="I252" s="1246"/>
      <c r="J252" s="1181"/>
      <c r="K252" s="1181"/>
      <c r="L252" s="1181"/>
      <c r="M252" s="1181"/>
      <c r="N252" s="1181"/>
      <c r="O252" s="1246"/>
      <c r="P252" s="1246"/>
      <c r="Q252" s="1246"/>
      <c r="R252" s="1246"/>
      <c r="S252" s="1246"/>
      <c r="T252" s="1183"/>
      <c r="U252" s="1183"/>
      <c r="V252" s="1183"/>
      <c r="W252" s="1183"/>
      <c r="X252" s="1183"/>
      <c r="Y252" s="1183"/>
      <c r="Z252" s="1183"/>
      <c r="AA252" s="1183"/>
      <c r="AB252" s="1183"/>
      <c r="AC252" s="1183"/>
      <c r="AD252" s="1183"/>
      <c r="AE252" s="1183"/>
      <c r="AF252" s="1183"/>
      <c r="AG252" s="1282"/>
      <c r="AH252" s="1283"/>
      <c r="AI252" s="1283"/>
      <c r="AJ252" s="1183"/>
      <c r="AK252" s="1183"/>
      <c r="AL252" s="1185">
        <v>1</v>
      </c>
      <c r="AM252" s="709"/>
    </row>
    <row r="253" spans="1:39" s="1244" customFormat="1" ht="40.5" customHeight="1">
      <c r="A253" s="1181"/>
      <c r="B253" s="1256"/>
      <c r="C253" s="1349"/>
      <c r="D253" s="1181"/>
      <c r="E253" s="1181"/>
      <c r="F253" s="1181"/>
      <c r="G253" s="1181"/>
      <c r="H253" s="1181"/>
      <c r="I253" s="1246"/>
      <c r="J253" s="1181"/>
      <c r="K253" s="1181"/>
      <c r="L253" s="1181"/>
      <c r="M253" s="1181"/>
      <c r="N253" s="1181"/>
      <c r="O253" s="1246"/>
      <c r="P253" s="1246"/>
      <c r="Q253" s="1246"/>
      <c r="R253" s="1246"/>
      <c r="S253" s="1246"/>
      <c r="T253" s="1183"/>
      <c r="U253" s="1183"/>
      <c r="V253" s="1183"/>
      <c r="W253" s="1183"/>
      <c r="X253" s="1183"/>
      <c r="Y253" s="1183"/>
      <c r="Z253" s="1183"/>
      <c r="AA253" s="1183"/>
      <c r="AB253" s="1183"/>
      <c r="AC253" s="1183"/>
      <c r="AD253" s="1183"/>
      <c r="AE253" s="1183"/>
      <c r="AF253" s="1183"/>
      <c r="AG253" s="1282"/>
      <c r="AH253" s="1283"/>
      <c r="AI253" s="1283"/>
      <c r="AJ253" s="1183"/>
      <c r="AK253" s="1183"/>
      <c r="AL253" s="1185">
        <v>1</v>
      </c>
      <c r="AM253" s="709"/>
    </row>
    <row r="254" spans="1:39" s="1361" customFormat="1" ht="40.5" customHeight="1">
      <c r="A254" s="1316"/>
      <c r="B254" s="1281" t="s">
        <v>2922</v>
      </c>
      <c r="C254" s="1316"/>
      <c r="D254" s="1316"/>
      <c r="E254" s="1316"/>
      <c r="F254" s="1316"/>
      <c r="G254" s="1357" t="s">
        <v>2923</v>
      </c>
      <c r="H254" s="1316"/>
      <c r="I254" s="1246"/>
      <c r="J254" s="1316"/>
      <c r="K254" s="1316"/>
      <c r="L254" s="1316"/>
      <c r="M254" s="1316"/>
      <c r="N254" s="1316"/>
      <c r="O254" s="1246"/>
      <c r="P254" s="1246"/>
      <c r="Q254" s="1246"/>
      <c r="R254" s="1246"/>
      <c r="S254" s="1246"/>
      <c r="T254" s="1282"/>
      <c r="U254" s="1183"/>
      <c r="V254" s="1358" t="s">
        <v>2924</v>
      </c>
      <c r="W254" s="1359"/>
      <c r="X254" s="1359"/>
      <c r="Y254" s="1359"/>
      <c r="Z254" s="1360"/>
      <c r="AA254" s="1360"/>
      <c r="AB254" s="1360"/>
      <c r="AC254" s="1183" t="s">
        <v>22</v>
      </c>
      <c r="AD254" s="1183"/>
      <c r="AE254" s="1183"/>
      <c r="AF254" s="1183"/>
      <c r="AG254" s="1282"/>
      <c r="AH254" s="1283"/>
      <c r="AI254" s="1283"/>
      <c r="AJ254" s="1183"/>
      <c r="AK254" s="1183"/>
      <c r="AL254" s="1185">
        <v>1</v>
      </c>
      <c r="AM254" s="709"/>
    </row>
    <row r="255" spans="1:39" s="1361" customFormat="1" ht="40.5" customHeight="1">
      <c r="A255" s="1316"/>
      <c r="B255" s="1362" t="s">
        <v>2925</v>
      </c>
      <c r="C255" s="1362" t="s">
        <v>2926</v>
      </c>
      <c r="D255" s="1362" t="s">
        <v>2927</v>
      </c>
      <c r="E255" s="1362"/>
      <c r="F255" s="1362" t="s">
        <v>1937</v>
      </c>
      <c r="G255" s="1362" t="s">
        <v>1938</v>
      </c>
      <c r="H255" s="1363" t="s">
        <v>1939</v>
      </c>
      <c r="I255" s="1362" t="s">
        <v>1940</v>
      </c>
      <c r="J255" s="1362" t="s">
        <v>1941</v>
      </c>
      <c r="K255" s="1362" t="s">
        <v>1942</v>
      </c>
      <c r="L255" s="1362"/>
      <c r="M255" s="1362"/>
      <c r="N255" s="1362"/>
      <c r="O255" s="1362" t="s">
        <v>2928</v>
      </c>
      <c r="P255" s="1362" t="s">
        <v>1945</v>
      </c>
      <c r="Q255" s="1362" t="s">
        <v>1946</v>
      </c>
      <c r="R255" s="1362" t="s">
        <v>1947</v>
      </c>
      <c r="S255" s="1362" t="s">
        <v>2929</v>
      </c>
      <c r="T255" s="1362" t="s">
        <v>16</v>
      </c>
      <c r="U255" s="1362" t="s">
        <v>1948</v>
      </c>
      <c r="V255" s="1362" t="s">
        <v>1949</v>
      </c>
      <c r="W255" s="1362" t="s">
        <v>865</v>
      </c>
      <c r="X255" s="1362" t="s">
        <v>1943</v>
      </c>
      <c r="Y255" s="1362"/>
      <c r="Z255" s="1183"/>
      <c r="AA255" s="1183"/>
      <c r="AB255" s="1183"/>
      <c r="AC255" s="1183"/>
      <c r="AD255" s="1183"/>
      <c r="AE255" s="1183"/>
      <c r="AF255" s="1183"/>
      <c r="AG255" s="1282"/>
      <c r="AH255" s="1283"/>
      <c r="AI255" s="1283"/>
      <c r="AJ255" s="1183"/>
      <c r="AK255" s="1183"/>
      <c r="AL255" s="1185">
        <v>1</v>
      </c>
      <c r="AM255" s="709"/>
    </row>
    <row r="256" spans="1:39" s="1361" customFormat="1" ht="40.5" customHeight="1">
      <c r="A256" s="1316"/>
      <c r="B256" s="1316"/>
      <c r="C256" s="1364" t="s">
        <v>2930</v>
      </c>
      <c r="D256" s="1365" t="s">
        <v>2931</v>
      </c>
      <c r="E256" s="1362"/>
      <c r="F256" s="1362"/>
      <c r="G256" s="1362"/>
      <c r="H256" s="1362"/>
      <c r="I256" s="1362"/>
      <c r="J256" s="1362"/>
      <c r="K256" s="1362"/>
      <c r="L256" s="1362"/>
      <c r="M256" s="1362"/>
      <c r="N256" s="1362"/>
      <c r="O256" s="1362"/>
      <c r="P256" s="1362"/>
      <c r="Q256" s="1362"/>
      <c r="R256" s="1362"/>
      <c r="S256" s="1362"/>
      <c r="T256" s="1362"/>
      <c r="U256" s="1362"/>
      <c r="V256" s="1362"/>
      <c r="W256" s="1362"/>
      <c r="X256" s="1362"/>
      <c r="Y256" s="1362"/>
      <c r="Z256" s="1183"/>
      <c r="AA256" s="1183"/>
      <c r="AB256" s="1183"/>
      <c r="AC256" s="1183"/>
      <c r="AD256" s="1183"/>
      <c r="AE256" s="1183"/>
      <c r="AF256" s="1183"/>
      <c r="AG256" s="1282"/>
      <c r="AH256" s="1283"/>
      <c r="AI256" s="1283"/>
      <c r="AJ256" s="1183"/>
      <c r="AK256" s="1183"/>
      <c r="AL256" s="1185">
        <v>1</v>
      </c>
      <c r="AM256" s="709"/>
    </row>
    <row r="257" spans="1:40" s="1361" customFormat="1" ht="40.5" customHeight="1">
      <c r="A257" s="1316"/>
      <c r="B257" s="1316"/>
      <c r="C257" s="1364"/>
      <c r="D257" s="1365" t="s">
        <v>2932</v>
      </c>
      <c r="E257" s="1362"/>
      <c r="F257" s="1362"/>
      <c r="G257" s="1362"/>
      <c r="H257" s="1362"/>
      <c r="I257" s="1362"/>
      <c r="J257" s="1362"/>
      <c r="K257" s="1362"/>
      <c r="L257" s="1362"/>
      <c r="M257" s="1362"/>
      <c r="N257" s="1362"/>
      <c r="O257" s="1362"/>
      <c r="P257" s="1362"/>
      <c r="Q257" s="1362"/>
      <c r="R257" s="1362"/>
      <c r="S257" s="1362"/>
      <c r="T257" s="1362"/>
      <c r="U257" s="1362"/>
      <c r="V257" s="1362"/>
      <c r="W257" s="1362"/>
      <c r="X257" s="1362"/>
      <c r="Y257" s="1362"/>
      <c r="Z257" s="1183"/>
      <c r="AA257" s="1183"/>
      <c r="AB257" s="1183"/>
      <c r="AC257" s="1183"/>
      <c r="AD257" s="1183"/>
      <c r="AE257" s="1183"/>
      <c r="AF257" s="1183"/>
      <c r="AG257" s="1282"/>
      <c r="AH257" s="1283"/>
      <c r="AI257" s="1283"/>
      <c r="AJ257" s="1183"/>
      <c r="AK257" s="1183"/>
      <c r="AL257" s="1185">
        <v>1</v>
      </c>
      <c r="AM257" s="709"/>
    </row>
    <row r="258" spans="1:40" s="1361" customFormat="1" ht="40.5" customHeight="1">
      <c r="A258" s="1316"/>
      <c r="B258" s="1316"/>
      <c r="C258" s="1364"/>
      <c r="D258" s="1365" t="s">
        <v>2933</v>
      </c>
      <c r="E258" s="1362"/>
      <c r="F258" s="1362"/>
      <c r="G258" s="1362"/>
      <c r="H258" s="1362"/>
      <c r="I258" s="1362"/>
      <c r="J258" s="1362"/>
      <c r="K258" s="1362"/>
      <c r="L258" s="1362"/>
      <c r="M258" s="1362"/>
      <c r="N258" s="1362"/>
      <c r="O258" s="1362"/>
      <c r="P258" s="1362"/>
      <c r="Q258" s="1362"/>
      <c r="R258" s="1362"/>
      <c r="S258" s="1362"/>
      <c r="T258" s="1362"/>
      <c r="U258" s="1362"/>
      <c r="V258" s="1362"/>
      <c r="W258" s="1362"/>
      <c r="X258" s="1362"/>
      <c r="Y258" s="1362"/>
      <c r="Z258" s="1183"/>
      <c r="AA258" s="1183"/>
      <c r="AB258" s="1183"/>
      <c r="AC258" s="1183"/>
      <c r="AD258" s="1183"/>
      <c r="AE258" s="1183"/>
      <c r="AF258" s="1183"/>
      <c r="AG258" s="1282"/>
      <c r="AH258" s="1283"/>
      <c r="AI258" s="1283"/>
      <c r="AJ258" s="1183"/>
      <c r="AK258" s="1183"/>
      <c r="AL258" s="1185">
        <v>1</v>
      </c>
      <c r="AM258" s="709"/>
    </row>
    <row r="259" spans="1:40" s="1361" customFormat="1" ht="40.5" customHeight="1">
      <c r="A259" s="1316"/>
      <c r="B259" s="1316"/>
      <c r="C259" s="1366"/>
      <c r="D259" s="1367" t="s">
        <v>2934</v>
      </c>
      <c r="E259" s="1362"/>
      <c r="F259" s="1362"/>
      <c r="G259" s="1362"/>
      <c r="H259" s="1362"/>
      <c r="I259" s="1362"/>
      <c r="J259" s="1362"/>
      <c r="K259" s="1362"/>
      <c r="L259" s="1362"/>
      <c r="M259" s="1362"/>
      <c r="N259" s="1362"/>
      <c r="O259" s="1362"/>
      <c r="P259" s="1362"/>
      <c r="Q259" s="1362"/>
      <c r="R259" s="1362"/>
      <c r="S259" s="1362"/>
      <c r="T259" s="1362"/>
      <c r="U259" s="1362"/>
      <c r="V259" s="1362"/>
      <c r="W259" s="1362"/>
      <c r="X259" s="1362"/>
      <c r="Y259" s="1362"/>
      <c r="Z259" s="1183"/>
      <c r="AA259" s="1183"/>
      <c r="AB259" s="1183"/>
      <c r="AC259" s="1183"/>
      <c r="AD259" s="1183"/>
      <c r="AE259" s="1183"/>
      <c r="AF259" s="1183"/>
      <c r="AG259" s="1282"/>
      <c r="AH259" s="1283"/>
      <c r="AI259" s="1283"/>
      <c r="AJ259" s="1183"/>
      <c r="AK259" s="1183"/>
      <c r="AL259" s="1185">
        <v>1</v>
      </c>
      <c r="AM259" s="709"/>
    </row>
    <row r="260" spans="1:40" s="1361" customFormat="1" ht="40.5" customHeight="1">
      <c r="A260" s="1316"/>
      <c r="B260" s="1316"/>
      <c r="C260" s="1364"/>
      <c r="D260" s="1365" t="s">
        <v>2935</v>
      </c>
      <c r="E260" s="1362"/>
      <c r="F260" s="1362"/>
      <c r="G260" s="1362"/>
      <c r="H260" s="1362"/>
      <c r="I260" s="1362"/>
      <c r="J260" s="1362"/>
      <c r="K260" s="1362"/>
      <c r="L260" s="1362"/>
      <c r="M260" s="1362"/>
      <c r="N260" s="1362"/>
      <c r="O260" s="1362"/>
      <c r="P260" s="1362"/>
      <c r="Q260" s="1362"/>
      <c r="R260" s="1362"/>
      <c r="S260" s="1362"/>
      <c r="T260" s="1362"/>
      <c r="U260" s="1362"/>
      <c r="V260" s="1362"/>
      <c r="W260" s="1362"/>
      <c r="X260" s="1362"/>
      <c r="Y260" s="1362"/>
      <c r="Z260" s="1183"/>
      <c r="AA260" s="1183"/>
      <c r="AB260" s="1183"/>
      <c r="AC260" s="1183"/>
      <c r="AD260" s="1183"/>
      <c r="AE260" s="1183"/>
      <c r="AF260" s="1183"/>
      <c r="AG260" s="1282"/>
      <c r="AH260" s="1283"/>
      <c r="AI260" s="1283"/>
      <c r="AJ260" s="1183"/>
      <c r="AK260" s="1183"/>
      <c r="AL260" s="1185">
        <v>1</v>
      </c>
      <c r="AM260" s="709"/>
    </row>
    <row r="261" spans="1:40" s="1361" customFormat="1" ht="40.5" customHeight="1">
      <c r="A261" s="1316"/>
      <c r="B261" s="1316"/>
      <c r="C261" s="1364"/>
      <c r="D261" s="1365" t="s">
        <v>2936</v>
      </c>
      <c r="E261" s="1362"/>
      <c r="F261" s="1362"/>
      <c r="G261" s="1362"/>
      <c r="H261" s="1362"/>
      <c r="I261" s="1362"/>
      <c r="J261" s="1362"/>
      <c r="K261" s="1362"/>
      <c r="L261" s="1362"/>
      <c r="M261" s="1362"/>
      <c r="N261" s="1362"/>
      <c r="O261" s="1362"/>
      <c r="P261" s="1362"/>
      <c r="Q261" s="1362"/>
      <c r="R261" s="1362"/>
      <c r="S261" s="1362"/>
      <c r="T261" s="1362"/>
      <c r="U261" s="1362"/>
      <c r="V261" s="1362"/>
      <c r="W261" s="1362"/>
      <c r="X261" s="1362"/>
      <c r="Y261" s="1362"/>
      <c r="Z261" s="1183"/>
      <c r="AA261" s="1183"/>
      <c r="AB261" s="1183"/>
      <c r="AC261" s="1183"/>
      <c r="AD261" s="1183"/>
      <c r="AE261" s="1183"/>
      <c r="AF261" s="1183"/>
      <c r="AG261" s="1282"/>
      <c r="AH261" s="1283"/>
      <c r="AI261" s="1283"/>
      <c r="AJ261" s="1183"/>
      <c r="AK261" s="1183"/>
      <c r="AL261" s="1185">
        <v>1</v>
      </c>
      <c r="AM261" s="709"/>
    </row>
    <row r="262" spans="1:40" s="1361" customFormat="1" ht="40.5" customHeight="1">
      <c r="A262" s="1316"/>
      <c r="B262" s="1281"/>
      <c r="C262" s="1316"/>
      <c r="D262" s="1316"/>
      <c r="E262" s="1316"/>
      <c r="F262" s="1316"/>
      <c r="G262" s="1316"/>
      <c r="H262" s="1316"/>
      <c r="I262" s="1246"/>
      <c r="J262" s="1316"/>
      <c r="K262" s="1316"/>
      <c r="L262" s="1316"/>
      <c r="M262" s="1316"/>
      <c r="N262" s="1316"/>
      <c r="O262" s="1246"/>
      <c r="P262" s="1246"/>
      <c r="Q262" s="1246"/>
      <c r="R262" s="1246"/>
      <c r="S262" s="1246"/>
      <c r="T262" s="1282"/>
      <c r="U262" s="1281"/>
      <c r="V262" s="1368"/>
      <c r="W262" s="1362"/>
      <c r="X262" s="1362"/>
      <c r="Y262" s="1362"/>
      <c r="Z262" s="1183"/>
      <c r="AA262" s="1183"/>
      <c r="AB262" s="1183"/>
      <c r="AC262" s="1183"/>
      <c r="AD262" s="1183"/>
      <c r="AE262" s="1183"/>
      <c r="AF262" s="1183"/>
      <c r="AG262" s="1282"/>
      <c r="AH262" s="1283"/>
      <c r="AI262" s="1283"/>
      <c r="AJ262" s="1183"/>
      <c r="AK262" s="1183"/>
      <c r="AL262" s="1185">
        <v>1</v>
      </c>
      <c r="AM262" s="709"/>
    </row>
    <row r="263" spans="1:40" s="1361" customFormat="1" ht="40.5" customHeight="1">
      <c r="A263" s="1316"/>
      <c r="B263" s="1281"/>
      <c r="C263" s="1316"/>
      <c r="D263" s="1316"/>
      <c r="E263" s="1316"/>
      <c r="F263" s="1316"/>
      <c r="G263" s="1316"/>
      <c r="H263" s="1316"/>
      <c r="I263" s="1246"/>
      <c r="J263" s="1316"/>
      <c r="K263" s="1316"/>
      <c r="L263" s="1316"/>
      <c r="M263" s="1316"/>
      <c r="N263" s="1316"/>
      <c r="O263" s="1246"/>
      <c r="P263" s="1246"/>
      <c r="Q263" s="1246"/>
      <c r="R263" s="1246"/>
      <c r="S263" s="1246"/>
      <c r="T263" s="1282"/>
      <c r="U263" s="1281"/>
      <c r="V263" s="1368"/>
      <c r="W263" s="1362"/>
      <c r="X263" s="1362"/>
      <c r="Y263" s="1362"/>
      <c r="Z263" s="1183"/>
      <c r="AA263" s="1183"/>
      <c r="AB263" s="1183"/>
      <c r="AC263" s="1183"/>
      <c r="AD263" s="1183"/>
      <c r="AE263" s="1183"/>
      <c r="AF263" s="1183"/>
      <c r="AG263" s="1282"/>
      <c r="AH263" s="1283"/>
      <c r="AI263" s="1283"/>
      <c r="AJ263" s="1183"/>
      <c r="AK263" s="1183"/>
      <c r="AL263" s="1185">
        <v>1</v>
      </c>
      <c r="AM263" s="709"/>
    </row>
    <row r="264" spans="1:40" s="1361" customFormat="1" ht="40.5" customHeight="1">
      <c r="A264" s="1316"/>
      <c r="B264" s="1281"/>
      <c r="C264" s="1316"/>
      <c r="D264" s="1316"/>
      <c r="E264" s="1316"/>
      <c r="F264" s="1316"/>
      <c r="G264" s="1316"/>
      <c r="H264" s="1316"/>
      <c r="I264" s="1246"/>
      <c r="J264" s="1316"/>
      <c r="K264" s="1316"/>
      <c r="L264" s="1316"/>
      <c r="M264" s="1316"/>
      <c r="N264" s="1316"/>
      <c r="O264" s="1246"/>
      <c r="P264" s="1246"/>
      <c r="Q264" s="1246"/>
      <c r="R264" s="1246"/>
      <c r="S264" s="1246"/>
      <c r="T264" s="1282"/>
      <c r="U264" s="1281"/>
      <c r="V264" s="1368"/>
      <c r="W264" s="1362"/>
      <c r="X264" s="1362"/>
      <c r="Y264" s="1362"/>
      <c r="Z264" s="1183"/>
      <c r="AA264" s="1183"/>
      <c r="AB264" s="1183"/>
      <c r="AC264" s="1183"/>
      <c r="AD264" s="1183"/>
      <c r="AE264" s="1183"/>
      <c r="AF264" s="1183"/>
      <c r="AG264" s="1282"/>
      <c r="AH264" s="1283"/>
      <c r="AI264" s="1283"/>
      <c r="AJ264" s="1183"/>
      <c r="AK264" s="1183"/>
      <c r="AL264" s="1185">
        <v>1</v>
      </c>
      <c r="AM264" s="709"/>
    </row>
    <row r="265" spans="1:40" s="1244" customFormat="1" ht="40.5" customHeight="1">
      <c r="A265" s="1181"/>
      <c r="B265" s="1281" t="s">
        <v>2937</v>
      </c>
      <c r="C265" s="1181"/>
      <c r="D265" s="1181"/>
      <c r="E265" s="1181"/>
      <c r="F265" s="1181"/>
      <c r="G265" s="1181"/>
      <c r="H265" s="1181"/>
      <c r="I265" s="1246"/>
      <c r="J265" s="1181"/>
      <c r="K265" s="1181"/>
      <c r="L265" s="1181"/>
      <c r="M265" s="1181"/>
      <c r="N265" s="1181"/>
      <c r="O265" s="1246"/>
      <c r="P265" s="1246"/>
      <c r="Q265" s="1246"/>
      <c r="R265" s="1246"/>
      <c r="S265" s="1246"/>
      <c r="T265" s="1183"/>
      <c r="U265" s="1183"/>
      <c r="V265" s="1183"/>
      <c r="W265" s="1183"/>
      <c r="X265" s="1183"/>
      <c r="Y265" s="1183"/>
      <c r="Z265" s="1183"/>
      <c r="AA265" s="1183"/>
      <c r="AB265" s="1183"/>
      <c r="AC265" s="1183"/>
      <c r="AD265" s="1183"/>
      <c r="AE265" s="1183"/>
      <c r="AF265" s="1183"/>
      <c r="AG265" s="1183"/>
      <c r="AH265" s="1183"/>
      <c r="AI265" s="1183"/>
      <c r="AJ265" s="1183"/>
      <c r="AK265" s="1183"/>
      <c r="AL265" s="1185">
        <v>1</v>
      </c>
      <c r="AM265" s="709"/>
    </row>
    <row r="266" spans="1:40" s="1244" customFormat="1" ht="40.5" customHeight="1">
      <c r="A266" s="1181"/>
      <c r="B266" s="1256"/>
      <c r="C266" s="1369" t="s">
        <v>2851</v>
      </c>
      <c r="D266" s="1370" t="s">
        <v>17</v>
      </c>
      <c r="E266" s="1371" t="s">
        <v>2852</v>
      </c>
      <c r="F266" s="1372" t="s">
        <v>2853</v>
      </c>
      <c r="G266" s="1373" t="s">
        <v>2854</v>
      </c>
      <c r="H266" s="1374" t="s">
        <v>2855</v>
      </c>
      <c r="I266" s="1375" t="s">
        <v>2856</v>
      </c>
      <c r="J266" s="1376" t="s">
        <v>2857</v>
      </c>
      <c r="K266" s="1377" t="s">
        <v>458</v>
      </c>
      <c r="L266" s="1181"/>
      <c r="M266" s="1181"/>
      <c r="N266" s="1181"/>
      <c r="O266" s="1378" t="s">
        <v>2858</v>
      </c>
      <c r="P266" s="1379" t="s">
        <v>519</v>
      </c>
      <c r="Q266" s="1380" t="s">
        <v>2871</v>
      </c>
      <c r="R266" s="1381" t="s">
        <v>2872</v>
      </c>
      <c r="S266" s="1372" t="s">
        <v>2873</v>
      </c>
      <c r="T266" s="1382" t="s">
        <v>2874</v>
      </c>
      <c r="U266" s="1383" t="s">
        <v>2875</v>
      </c>
      <c r="V266" s="1384" t="s">
        <v>2876</v>
      </c>
      <c r="W266" s="1385" t="s">
        <v>2877</v>
      </c>
      <c r="X266" s="1386" t="s">
        <v>2878</v>
      </c>
      <c r="Y266" s="1371" t="s">
        <v>2879</v>
      </c>
      <c r="Z266" s="1183"/>
      <c r="AA266" s="1183"/>
      <c r="AB266" s="1183"/>
      <c r="AC266" s="1183"/>
      <c r="AD266" s="1183"/>
      <c r="AE266" s="1183"/>
      <c r="AF266" s="1183"/>
      <c r="AG266" s="1183"/>
      <c r="AH266" s="1183"/>
      <c r="AI266" s="1183"/>
      <c r="AJ266" s="1183"/>
      <c r="AK266" s="1183"/>
      <c r="AL266" s="1185">
        <v>1</v>
      </c>
      <c r="AM266" s="709"/>
      <c r="AN266" s="709"/>
    </row>
    <row r="267" spans="1:40" s="1244" customFormat="1" ht="40.5" customHeight="1">
      <c r="A267" s="1181"/>
      <c r="B267" s="1256"/>
      <c r="C267" s="1181"/>
      <c r="D267" s="1181"/>
      <c r="E267" s="1181"/>
      <c r="F267" s="1181"/>
      <c r="G267" s="1181"/>
      <c r="H267" s="1181"/>
      <c r="I267" s="1246"/>
      <c r="J267" s="1181"/>
      <c r="K267" s="1181"/>
      <c r="L267" s="1181"/>
      <c r="M267" s="1181"/>
      <c r="N267" s="1181"/>
      <c r="O267" s="1246"/>
      <c r="P267" s="1246"/>
      <c r="Q267" s="1246"/>
      <c r="R267" s="1246"/>
      <c r="S267" s="1246"/>
      <c r="T267" s="1183"/>
      <c r="U267" s="1183"/>
      <c r="V267" s="1183"/>
      <c r="W267" s="1183"/>
      <c r="X267" s="1183"/>
      <c r="Y267" s="1183"/>
      <c r="Z267" s="1183"/>
      <c r="AA267" s="1183"/>
      <c r="AB267" s="1183"/>
      <c r="AC267" s="1183"/>
      <c r="AD267" s="1183"/>
      <c r="AE267" s="1183"/>
      <c r="AF267" s="1183"/>
      <c r="AG267" s="1183"/>
      <c r="AH267" s="1183"/>
      <c r="AI267" s="1183"/>
      <c r="AJ267" s="1183"/>
      <c r="AK267" s="1183"/>
      <c r="AL267" s="1185">
        <v>1</v>
      </c>
      <c r="AM267" s="709"/>
      <c r="AN267" s="709"/>
    </row>
    <row r="268" spans="1:40" s="1244" customFormat="1" ht="40.5" customHeight="1">
      <c r="A268" s="1181"/>
      <c r="B268" s="1256"/>
      <c r="C268" s="1387" t="s">
        <v>2851</v>
      </c>
      <c r="D268" s="1387" t="s">
        <v>17</v>
      </c>
      <c r="E268" s="1387" t="s">
        <v>2852</v>
      </c>
      <c r="F268" s="1387" t="s">
        <v>2853</v>
      </c>
      <c r="G268" s="1387" t="s">
        <v>2854</v>
      </c>
      <c r="H268" s="1387" t="s">
        <v>2855</v>
      </c>
      <c r="I268" s="1387" t="s">
        <v>2856</v>
      </c>
      <c r="J268" s="1387" t="s">
        <v>2857</v>
      </c>
      <c r="K268" s="1387" t="s">
        <v>458</v>
      </c>
      <c r="L268" s="1181"/>
      <c r="M268" s="1181"/>
      <c r="N268" s="1181"/>
      <c r="O268" s="1387" t="s">
        <v>2858</v>
      </c>
      <c r="P268" s="1387" t="s">
        <v>519</v>
      </c>
      <c r="Q268" s="1387" t="s">
        <v>2871</v>
      </c>
      <c r="R268" s="1387" t="s">
        <v>2872</v>
      </c>
      <c r="S268" s="1387" t="s">
        <v>2873</v>
      </c>
      <c r="T268" s="1387" t="s">
        <v>2874</v>
      </c>
      <c r="U268" s="1387" t="s">
        <v>2875</v>
      </c>
      <c r="V268" s="1387" t="s">
        <v>2876</v>
      </c>
      <c r="W268" s="1387" t="s">
        <v>2877</v>
      </c>
      <c r="X268" s="1387" t="s">
        <v>2878</v>
      </c>
      <c r="Y268" s="1387" t="s">
        <v>2879</v>
      </c>
      <c r="Z268" s="1181"/>
      <c r="AA268" s="1181"/>
      <c r="AB268" s="1181"/>
      <c r="AC268" s="1181"/>
      <c r="AD268" s="1181"/>
      <c r="AE268" s="1181"/>
      <c r="AF268" s="1181"/>
      <c r="AG268" s="1181"/>
      <c r="AH268" s="1181"/>
      <c r="AI268" s="1181"/>
      <c r="AJ268" s="1181"/>
      <c r="AK268" s="1181"/>
      <c r="AL268" s="1185">
        <v>1</v>
      </c>
      <c r="AM268" s="709"/>
      <c r="AN268" s="709"/>
    </row>
    <row r="269" spans="1:40" s="1244" customFormat="1" ht="40.5" customHeight="1">
      <c r="A269" s="1181"/>
      <c r="B269" s="1256"/>
      <c r="C269" s="1181"/>
      <c r="D269" s="1181"/>
      <c r="E269" s="1181"/>
      <c r="F269" s="1181"/>
      <c r="G269" s="1181"/>
      <c r="H269" s="1181"/>
      <c r="I269" s="1246"/>
      <c r="J269" s="1181"/>
      <c r="K269" s="1181"/>
      <c r="L269" s="1181"/>
      <c r="M269" s="1181"/>
      <c r="N269" s="1181"/>
      <c r="O269" s="1246"/>
      <c r="P269" s="1246"/>
      <c r="Q269" s="1246"/>
      <c r="R269" s="1246"/>
      <c r="S269" s="1246"/>
      <c r="T269" s="1183"/>
      <c r="U269" s="1183"/>
      <c r="V269" s="1183"/>
      <c r="W269" s="1183"/>
      <c r="X269" s="1183"/>
      <c r="Y269" s="1183"/>
      <c r="Z269" s="1183"/>
      <c r="AA269" s="1183"/>
      <c r="AB269" s="1183"/>
      <c r="AC269" s="1183"/>
      <c r="AD269" s="1183"/>
      <c r="AE269" s="1183"/>
      <c r="AF269" s="1183"/>
      <c r="AG269" s="1282"/>
      <c r="AH269" s="1283"/>
      <c r="AI269" s="1283"/>
      <c r="AJ269" s="1183"/>
      <c r="AK269" s="1183"/>
      <c r="AL269" s="1185">
        <v>1</v>
      </c>
      <c r="AM269" s="709"/>
      <c r="AN269" s="709"/>
    </row>
    <row r="270" spans="1:40" s="1244" customFormat="1" ht="40.5" customHeight="1">
      <c r="A270" s="1181"/>
      <c r="B270" s="1256"/>
      <c r="C270" s="1388">
        <v>1</v>
      </c>
      <c r="D270" s="1388" t="s">
        <v>2938</v>
      </c>
      <c r="E270" s="1388" t="s">
        <v>2939</v>
      </c>
      <c r="F270" s="1388" t="s">
        <v>2940</v>
      </c>
      <c r="G270" s="1388" t="s">
        <v>2941</v>
      </c>
      <c r="H270" s="1388" t="s">
        <v>2942</v>
      </c>
      <c r="I270" s="1388" t="s">
        <v>2943</v>
      </c>
      <c r="J270" s="1388" t="s">
        <v>2944</v>
      </c>
      <c r="K270" s="1388" t="s">
        <v>2945</v>
      </c>
      <c r="L270" s="1181"/>
      <c r="M270" s="1181"/>
      <c r="N270" s="1181"/>
      <c r="O270" s="1388" t="s">
        <v>2946</v>
      </c>
      <c r="P270" s="1388" t="s">
        <v>2947</v>
      </c>
      <c r="Q270" s="1388" t="s">
        <v>2948</v>
      </c>
      <c r="R270" s="1388" t="s">
        <v>2949</v>
      </c>
      <c r="S270" s="1388" t="s">
        <v>2950</v>
      </c>
      <c r="T270" s="1388" t="s">
        <v>2951</v>
      </c>
      <c r="U270" s="1388" t="s">
        <v>2952</v>
      </c>
      <c r="V270" s="1388" t="s">
        <v>2953</v>
      </c>
      <c r="W270" s="1388" t="s">
        <v>2954</v>
      </c>
      <c r="X270" s="1388" t="s">
        <v>2955</v>
      </c>
      <c r="Y270" s="1388" t="s">
        <v>2956</v>
      </c>
      <c r="Z270" s="1389">
        <v>15.5</v>
      </c>
      <c r="AA270" s="1183"/>
      <c r="AB270" s="1183"/>
      <c r="AC270" s="1183"/>
      <c r="AD270" s="1183"/>
      <c r="AE270" s="1183"/>
      <c r="AF270" s="1183"/>
      <c r="AG270" s="1282"/>
      <c r="AH270" s="1283"/>
      <c r="AI270" s="1283"/>
      <c r="AJ270" s="1183"/>
      <c r="AK270" s="1183"/>
      <c r="AL270" s="1185">
        <v>1</v>
      </c>
      <c r="AM270" s="709"/>
      <c r="AN270" s="709"/>
    </row>
    <row r="271" spans="1:40" s="1244" customFormat="1" ht="40.5" customHeight="1">
      <c r="A271" s="1181"/>
      <c r="B271" s="1256"/>
      <c r="C271" s="1181"/>
      <c r="D271" s="1181"/>
      <c r="E271" s="1181"/>
      <c r="F271" s="1181"/>
      <c r="G271" s="1181"/>
      <c r="H271" s="1181"/>
      <c r="I271" s="1246"/>
      <c r="J271" s="1181"/>
      <c r="K271" s="1181"/>
      <c r="L271" s="1181"/>
      <c r="M271" s="1181"/>
      <c r="N271" s="1181"/>
      <c r="O271" s="1246"/>
      <c r="P271" s="1246"/>
      <c r="Q271" s="1246"/>
      <c r="R271" s="1246"/>
      <c r="S271" s="1246"/>
      <c r="T271" s="1183"/>
      <c r="U271" s="1183"/>
      <c r="V271" s="1183"/>
      <c r="W271" s="1183"/>
      <c r="X271" s="1183"/>
      <c r="Y271" s="1183"/>
      <c r="Z271" s="1284" t="s">
        <v>2957</v>
      </c>
      <c r="AA271" s="1183"/>
      <c r="AB271" s="1183"/>
      <c r="AC271" s="1183"/>
      <c r="AD271" s="1183"/>
      <c r="AE271" s="1183"/>
      <c r="AF271" s="1183"/>
      <c r="AG271" s="1282"/>
      <c r="AH271" s="1283"/>
      <c r="AI271" s="1283"/>
      <c r="AJ271" s="1183"/>
      <c r="AK271" s="1183"/>
      <c r="AL271" s="1185">
        <v>1</v>
      </c>
      <c r="AM271" s="709"/>
      <c r="AN271" s="709"/>
    </row>
    <row r="272" spans="1:40" s="1244" customFormat="1" ht="40.5" customHeight="1">
      <c r="A272" s="1181"/>
      <c r="B272" s="1256"/>
      <c r="C272" s="1390">
        <v>1</v>
      </c>
      <c r="D272" s="1391">
        <v>2</v>
      </c>
      <c r="E272" s="1390">
        <v>3</v>
      </c>
      <c r="F272" s="1391">
        <v>4</v>
      </c>
      <c r="G272" s="1390">
        <v>5</v>
      </c>
      <c r="H272" s="1391">
        <v>6</v>
      </c>
      <c r="I272" s="1390">
        <v>7</v>
      </c>
      <c r="J272" s="1391">
        <v>8</v>
      </c>
      <c r="K272" s="1390">
        <v>9</v>
      </c>
      <c r="L272" s="1181"/>
      <c r="M272" s="1181"/>
      <c r="N272" s="1181"/>
      <c r="O272" s="1391">
        <v>10</v>
      </c>
      <c r="P272" s="1390">
        <v>11</v>
      </c>
      <c r="Q272" s="1391">
        <v>12</v>
      </c>
      <c r="R272" s="1390">
        <v>13</v>
      </c>
      <c r="S272" s="1391">
        <v>14</v>
      </c>
      <c r="T272" s="1390">
        <v>15</v>
      </c>
      <c r="U272" s="1391">
        <v>16</v>
      </c>
      <c r="V272" s="1390">
        <v>17</v>
      </c>
      <c r="W272" s="1391">
        <v>18</v>
      </c>
      <c r="X272" s="1390">
        <v>19</v>
      </c>
      <c r="Y272" s="1391">
        <v>20</v>
      </c>
      <c r="Z272" s="1183"/>
      <c r="AA272" s="1183"/>
      <c r="AB272" s="1183"/>
      <c r="AC272" s="1183"/>
      <c r="AD272" s="1183"/>
      <c r="AE272" s="1183"/>
      <c r="AF272" s="1183"/>
      <c r="AG272" s="1282"/>
      <c r="AH272" s="1283"/>
      <c r="AI272" s="1283"/>
      <c r="AJ272" s="1183"/>
      <c r="AK272" s="1183"/>
      <c r="AL272" s="1185">
        <v>1</v>
      </c>
      <c r="AM272" s="709"/>
      <c r="AN272" s="709"/>
    </row>
    <row r="273" spans="1:40" s="1361" customFormat="1" ht="40.5" customHeight="1">
      <c r="A273" s="1316"/>
      <c r="B273" s="1281"/>
      <c r="C273" s="1316"/>
      <c r="D273" s="1316"/>
      <c r="E273" s="1316"/>
      <c r="F273" s="1316"/>
      <c r="G273" s="1316"/>
      <c r="H273" s="1316"/>
      <c r="I273" s="1246"/>
      <c r="J273" s="1316"/>
      <c r="K273" s="1316"/>
      <c r="L273" s="1316"/>
      <c r="M273" s="1316"/>
      <c r="N273" s="1316"/>
      <c r="O273" s="1246"/>
      <c r="P273" s="1246"/>
      <c r="Q273" s="1246"/>
      <c r="R273" s="1246"/>
      <c r="S273" s="1246"/>
      <c r="T273" s="1282"/>
      <c r="U273" s="1281"/>
      <c r="V273" s="1368"/>
      <c r="W273" s="1362"/>
      <c r="X273" s="1362"/>
      <c r="Y273" s="1362"/>
      <c r="Z273" s="1183"/>
      <c r="AA273" s="1183"/>
      <c r="AB273" s="1183"/>
      <c r="AC273" s="1183"/>
      <c r="AD273" s="1183"/>
      <c r="AE273" s="1183"/>
      <c r="AF273" s="1183"/>
      <c r="AG273" s="1282"/>
      <c r="AH273" s="1283"/>
      <c r="AI273" s="1283"/>
      <c r="AJ273" s="1183"/>
      <c r="AK273" s="1183"/>
      <c r="AL273" s="1185">
        <v>1</v>
      </c>
      <c r="AM273" s="709"/>
      <c r="AN273" s="709"/>
    </row>
    <row r="274" spans="1:40" s="1361" customFormat="1" ht="40.5" customHeight="1">
      <c r="A274" s="1316"/>
      <c r="B274" s="1392"/>
      <c r="C274" s="1393" t="s">
        <v>2958</v>
      </c>
      <c r="D274" s="1394"/>
      <c r="E274" s="1282"/>
      <c r="F274" s="1395" t="s">
        <v>2959</v>
      </c>
      <c r="G274" s="1396"/>
      <c r="H274" s="1396"/>
      <c r="I274" s="1396"/>
      <c r="J274" s="1396"/>
      <c r="K274" s="1396"/>
      <c r="L274" s="1246"/>
      <c r="M274" s="1246"/>
      <c r="N274" s="1246"/>
      <c r="O274" s="1246"/>
      <c r="P274" s="1282"/>
      <c r="Q274" s="1282"/>
      <c r="R274" s="1246"/>
      <c r="S274" s="1246"/>
      <c r="T274" s="1282"/>
      <c r="U274" s="1282"/>
      <c r="V274" s="1368"/>
      <c r="W274" s="1362"/>
      <c r="X274" s="1362"/>
      <c r="Y274" s="1362"/>
      <c r="Z274" s="1397" t="s">
        <v>353</v>
      </c>
      <c r="AA274" s="1183"/>
      <c r="AB274" s="1183"/>
      <c r="AC274" s="1183"/>
      <c r="AD274" s="1183"/>
      <c r="AE274" s="1183"/>
      <c r="AF274" s="1183"/>
      <c r="AG274" s="1282"/>
      <c r="AH274" s="1283"/>
      <c r="AI274" s="1283"/>
      <c r="AJ274" s="1183"/>
      <c r="AK274" s="1183"/>
      <c r="AL274" s="1185">
        <v>1</v>
      </c>
      <c r="AM274" s="709"/>
      <c r="AN274" s="709"/>
    </row>
    <row r="275" spans="1:40" s="1361" customFormat="1" ht="40.5" customHeight="1">
      <c r="A275" s="1316"/>
      <c r="B275" s="1392"/>
      <c r="C275" s="1398">
        <v>3</v>
      </c>
      <c r="D275" s="1394"/>
      <c r="E275" s="1316"/>
      <c r="F275" s="1316"/>
      <c r="G275" s="1316"/>
      <c r="H275" s="1246"/>
      <c r="I275" s="1246"/>
      <c r="J275" s="1246"/>
      <c r="K275" s="1246"/>
      <c r="L275" s="1246"/>
      <c r="M275" s="1246"/>
      <c r="N275" s="1246"/>
      <c r="O275" s="1246"/>
      <c r="P275" s="1246"/>
      <c r="Q275" s="1246"/>
      <c r="R275" s="1246"/>
      <c r="S275" s="1246"/>
      <c r="T275" s="1282"/>
      <c r="U275" s="1282"/>
      <c r="V275" s="1368"/>
      <c r="W275" s="1362"/>
      <c r="X275" s="1362"/>
      <c r="Y275" s="1362"/>
      <c r="Z275" s="1183"/>
      <c r="AA275" s="1183"/>
      <c r="AB275" s="1183"/>
      <c r="AC275" s="1183"/>
      <c r="AD275" s="1183"/>
      <c r="AE275" s="1183"/>
      <c r="AF275" s="1183"/>
      <c r="AG275" s="1282"/>
      <c r="AH275" s="1283"/>
      <c r="AI275" s="1283"/>
      <c r="AJ275" s="1183"/>
      <c r="AK275" s="1183"/>
      <c r="AL275" s="1185">
        <v>1</v>
      </c>
      <c r="AM275" s="709"/>
      <c r="AN275" s="709"/>
    </row>
    <row r="276" spans="1:40" s="1361" customFormat="1" ht="40.5" customHeight="1">
      <c r="A276" s="1316"/>
      <c r="B276" s="1392"/>
      <c r="C276" s="1316"/>
      <c r="D276" s="1316"/>
      <c r="E276" s="1316"/>
      <c r="F276" s="1316"/>
      <c r="G276" s="1316"/>
      <c r="H276" s="1399" t="s">
        <v>2960</v>
      </c>
      <c r="I276" s="1400"/>
      <c r="J276" s="1400"/>
      <c r="K276" s="1316"/>
      <c r="L276" s="1316"/>
      <c r="M276" s="1316"/>
      <c r="N276" s="1316"/>
      <c r="O276" s="1246"/>
      <c r="P276" s="1246"/>
      <c r="Q276" s="1401" t="s">
        <v>1672</v>
      </c>
      <c r="R276" s="1402" t="s">
        <v>2961</v>
      </c>
      <c r="S276" s="1403" t="s">
        <v>2962</v>
      </c>
      <c r="T276" s="1282"/>
      <c r="U276" s="1282"/>
      <c r="V276" s="1368"/>
      <c r="W276" s="1362"/>
      <c r="X276" s="1362"/>
      <c r="Y276" s="1362"/>
      <c r="Z276" s="1183"/>
      <c r="AA276" s="1183"/>
      <c r="AB276" s="1183"/>
      <c r="AC276" s="1183"/>
      <c r="AD276" s="1183"/>
      <c r="AE276" s="1183"/>
      <c r="AF276" s="1183"/>
      <c r="AG276" s="1282"/>
      <c r="AH276" s="1283"/>
      <c r="AI276" s="1283"/>
      <c r="AJ276" s="1183"/>
      <c r="AK276" s="1183"/>
      <c r="AL276" s="1185">
        <v>1</v>
      </c>
      <c r="AM276" s="709"/>
      <c r="AN276" s="709"/>
    </row>
    <row r="277" spans="1:40" s="1361" customFormat="1" ht="40.5" customHeight="1">
      <c r="A277" s="1316"/>
      <c r="B277" s="1392"/>
      <c r="C277" s="1404" t="s">
        <v>2963</v>
      </c>
      <c r="D277" s="1316"/>
      <c r="E277" s="1405"/>
      <c r="F277" s="1316"/>
      <c r="G277" s="1316"/>
      <c r="H277" s="1406" t="s">
        <v>2964</v>
      </c>
      <c r="I277" s="1406" t="s">
        <v>2965</v>
      </c>
      <c r="J277" s="1406" t="s">
        <v>2966</v>
      </c>
      <c r="K277" s="1362" t="s">
        <v>2967</v>
      </c>
      <c r="L277" s="1362"/>
      <c r="M277" s="1362"/>
      <c r="N277" s="1362"/>
      <c r="O277" s="1282"/>
      <c r="P277" s="1282"/>
      <c r="Q277" s="1404" t="s">
        <v>2968</v>
      </c>
      <c r="R277" s="1282"/>
      <c r="S277" s="1282"/>
      <c r="T277" s="1282"/>
      <c r="U277" s="1282"/>
      <c r="V277" s="1368"/>
      <c r="W277" s="1362"/>
      <c r="X277" s="1362"/>
      <c r="Y277" s="1362"/>
      <c r="Z277" s="1282"/>
      <c r="AA277" s="1282"/>
      <c r="AB277" s="1282"/>
      <c r="AC277" s="1282"/>
      <c r="AD277" s="1282"/>
      <c r="AE277" s="1282"/>
      <c r="AF277" s="1282"/>
      <c r="AG277" s="1282"/>
      <c r="AH277" s="1283"/>
      <c r="AI277" s="1283"/>
      <c r="AJ277" s="1183"/>
      <c r="AK277" s="1183"/>
      <c r="AL277" s="1185">
        <v>1</v>
      </c>
      <c r="AM277" s="709"/>
      <c r="AN277" s="709"/>
    </row>
    <row r="278" spans="1:40" s="1361" customFormat="1" ht="40.5" customHeight="1">
      <c r="A278" s="1316"/>
      <c r="B278" s="1392"/>
      <c r="C278" s="1404" t="s">
        <v>2969</v>
      </c>
      <c r="D278" s="1316"/>
      <c r="E278" s="1405"/>
      <c r="F278" s="1316"/>
      <c r="G278" s="1316"/>
      <c r="H278" s="1406" t="s">
        <v>2970</v>
      </c>
      <c r="I278" s="1406" t="s">
        <v>2971</v>
      </c>
      <c r="J278" s="1406" t="s">
        <v>2972</v>
      </c>
      <c r="K278" s="1362" t="s">
        <v>2973</v>
      </c>
      <c r="L278" s="1362"/>
      <c r="M278" s="1362"/>
      <c r="N278" s="1362"/>
      <c r="O278" s="1246"/>
      <c r="P278" s="1246"/>
      <c r="Q278" s="1401" t="s">
        <v>1673</v>
      </c>
      <c r="R278" s="1402" t="s">
        <v>2974</v>
      </c>
      <c r="S278" s="1402" t="s">
        <v>2975</v>
      </c>
      <c r="T278" s="1282"/>
      <c r="U278" s="1282"/>
      <c r="V278" s="1368"/>
      <c r="W278" s="1362"/>
      <c r="X278" s="1362"/>
      <c r="Y278" s="1362"/>
      <c r="Z278" s="1362"/>
      <c r="AA278" s="1362"/>
      <c r="AB278" s="1362"/>
      <c r="AC278" s="1362"/>
      <c r="AD278" s="1362"/>
      <c r="AE278" s="1362"/>
      <c r="AF278" s="1282"/>
      <c r="AG278" s="1282"/>
      <c r="AH278" s="1283"/>
      <c r="AI278" s="1283"/>
      <c r="AJ278" s="1183"/>
      <c r="AK278" s="1183"/>
      <c r="AL278" s="1185">
        <v>1</v>
      </c>
      <c r="AM278" s="709"/>
      <c r="AN278" s="709"/>
    </row>
    <row r="279" spans="1:40" s="1361" customFormat="1" ht="40.5" customHeight="1">
      <c r="A279" s="1316"/>
      <c r="B279" s="1392"/>
      <c r="C279" s="1404"/>
      <c r="D279" s="1316"/>
      <c r="E279" s="1404"/>
      <c r="F279" s="1407"/>
      <c r="G279" s="1404"/>
      <c r="H279" s="1404"/>
      <c r="I279" s="1316"/>
      <c r="J279" s="1316"/>
      <c r="K279" s="1316"/>
      <c r="L279" s="1316"/>
      <c r="M279" s="1316"/>
      <c r="N279" s="1316"/>
      <c r="O279" s="1316"/>
      <c r="P279" s="1316"/>
      <c r="Q279" s="1316"/>
      <c r="R279" s="1316"/>
      <c r="S279" s="1282"/>
      <c r="T279" s="1282"/>
      <c r="U279" s="1282"/>
      <c r="V279" s="1368"/>
      <c r="W279" s="1362"/>
      <c r="X279" s="1362"/>
      <c r="Y279" s="1362"/>
      <c r="Z279" s="1362"/>
      <c r="AA279" s="1362"/>
      <c r="AB279" s="1362"/>
      <c r="AC279" s="1362"/>
      <c r="AD279" s="1362"/>
      <c r="AE279" s="1362"/>
      <c r="AF279" s="1282"/>
      <c r="AG279" s="1282"/>
      <c r="AH279" s="1283"/>
      <c r="AI279" s="1283"/>
      <c r="AJ279" s="1183"/>
      <c r="AK279" s="1183"/>
      <c r="AL279" s="1185">
        <v>1</v>
      </c>
      <c r="AM279" s="709"/>
      <c r="AN279" s="709"/>
    </row>
    <row r="280" spans="1:40" s="1361" customFormat="1" ht="40.5" customHeight="1">
      <c r="A280" s="1316"/>
      <c r="B280" s="1392"/>
      <c r="C280" s="1404" t="s">
        <v>2621</v>
      </c>
      <c r="D280" s="1316"/>
      <c r="E280" s="1404"/>
      <c r="F280" s="1407"/>
      <c r="G280" s="1404"/>
      <c r="H280" s="1404"/>
      <c r="I280" s="1316"/>
      <c r="J280" s="1316"/>
      <c r="K280" s="1316"/>
      <c r="L280" s="1316"/>
      <c r="M280" s="1316"/>
      <c r="N280" s="1316"/>
      <c r="O280" s="1316"/>
      <c r="P280" s="1316"/>
      <c r="Q280" s="1316"/>
      <c r="R280" s="1316"/>
      <c r="S280" s="1282"/>
      <c r="T280" s="1282"/>
      <c r="U280" s="1282"/>
      <c r="V280" s="1368"/>
      <c r="W280" s="1362"/>
      <c r="X280" s="1362"/>
      <c r="Y280" s="1362"/>
      <c r="Z280" s="1362"/>
      <c r="AA280" s="1362"/>
      <c r="AB280" s="1362"/>
      <c r="AC280" s="1362"/>
      <c r="AD280" s="1362"/>
      <c r="AE280" s="1362"/>
      <c r="AF280" s="1282"/>
      <c r="AG280" s="1282"/>
      <c r="AH280" s="1283"/>
      <c r="AI280" s="1283"/>
      <c r="AJ280" s="1183"/>
      <c r="AK280" s="1183"/>
      <c r="AL280" s="1185">
        <v>1</v>
      </c>
      <c r="AM280" s="709"/>
      <c r="AN280" s="709"/>
    </row>
    <row r="281" spans="1:40" s="1361" customFormat="1" ht="40.5" customHeight="1">
      <c r="A281" s="1316"/>
      <c r="B281" s="1392"/>
      <c r="C281" s="1404" t="s">
        <v>2619</v>
      </c>
      <c r="D281" s="1316"/>
      <c r="E281" s="1404"/>
      <c r="F281" s="1407"/>
      <c r="G281" s="1404"/>
      <c r="H281" s="1404"/>
      <c r="I281" s="1316"/>
      <c r="J281" s="1316"/>
      <c r="K281" s="1316"/>
      <c r="L281" s="1316"/>
      <c r="M281" s="1316"/>
      <c r="N281" s="1316"/>
      <c r="O281" s="1316"/>
      <c r="P281" s="1316"/>
      <c r="Q281" s="1316"/>
      <c r="R281" s="1316"/>
      <c r="S281" s="1282"/>
      <c r="T281" s="1282"/>
      <c r="U281" s="1282"/>
      <c r="V281" s="1368"/>
      <c r="W281" s="1362"/>
      <c r="X281" s="1362"/>
      <c r="Y281" s="1362"/>
      <c r="Z281" s="1362"/>
      <c r="AA281" s="1362"/>
      <c r="AB281" s="1362"/>
      <c r="AC281" s="1362"/>
      <c r="AD281" s="1362"/>
      <c r="AE281" s="1362"/>
      <c r="AF281" s="1282"/>
      <c r="AG281" s="1282"/>
      <c r="AH281" s="1283"/>
      <c r="AI281" s="1283"/>
      <c r="AJ281" s="1183"/>
      <c r="AK281" s="1183"/>
      <c r="AL281" s="1185">
        <v>1</v>
      </c>
      <c r="AM281" s="709"/>
      <c r="AN281" s="709"/>
    </row>
    <row r="282" spans="1:40" s="1361" customFormat="1" ht="40.5" customHeight="1">
      <c r="A282" s="1316"/>
      <c r="B282" s="1392"/>
      <c r="C282" s="1404"/>
      <c r="D282" s="1316"/>
      <c r="E282" s="1404"/>
      <c r="F282" s="1407"/>
      <c r="G282" s="1404"/>
      <c r="H282" s="1404"/>
      <c r="I282" s="1316"/>
      <c r="J282" s="1316"/>
      <c r="K282" s="1316"/>
      <c r="L282" s="1316"/>
      <c r="M282" s="1316"/>
      <c r="N282" s="1316"/>
      <c r="O282" s="1316"/>
      <c r="P282" s="1316"/>
      <c r="Q282" s="1316"/>
      <c r="R282" s="1316"/>
      <c r="S282" s="1282"/>
      <c r="T282" s="1282"/>
      <c r="U282" s="1282"/>
      <c r="V282" s="1368"/>
      <c r="W282" s="1362"/>
      <c r="X282" s="1362"/>
      <c r="Y282" s="1362"/>
      <c r="Z282" s="1362"/>
      <c r="AA282" s="1362"/>
      <c r="AB282" s="1362"/>
      <c r="AC282" s="1362"/>
      <c r="AD282" s="1362"/>
      <c r="AE282" s="1362"/>
      <c r="AF282" s="1282"/>
      <c r="AG282" s="1282"/>
      <c r="AH282" s="1283"/>
      <c r="AI282" s="1283"/>
      <c r="AJ282" s="1183"/>
      <c r="AK282" s="1183"/>
      <c r="AL282" s="1185">
        <v>1</v>
      </c>
      <c r="AM282" s="709"/>
      <c r="AN282" s="709"/>
    </row>
    <row r="283" spans="1:40" s="1361" customFormat="1" ht="40.5" customHeight="1">
      <c r="A283" s="1316"/>
      <c r="B283" s="1392"/>
      <c r="C283" s="1404" t="s">
        <v>3277</v>
      </c>
      <c r="D283" s="1316"/>
      <c r="E283" s="1404"/>
      <c r="F283" s="1407"/>
      <c r="G283" s="1404"/>
      <c r="H283" s="1404"/>
      <c r="I283" s="1316"/>
      <c r="J283" s="1454"/>
      <c r="K283" s="1455" t="s">
        <v>3274</v>
      </c>
      <c r="L283" s="1456"/>
      <c r="M283" s="1394"/>
      <c r="N283" s="1456"/>
      <c r="O283" s="1394"/>
      <c r="P283" s="1394"/>
      <c r="Q283" s="1394"/>
      <c r="R283" s="1394"/>
      <c r="S283" s="1282"/>
      <c r="T283" s="1282"/>
      <c r="U283" s="1282"/>
      <c r="V283" s="1368"/>
      <c r="W283" s="1362"/>
      <c r="X283" s="1362"/>
      <c r="Y283" s="1362"/>
      <c r="Z283" s="1362"/>
      <c r="AA283" s="1362"/>
      <c r="AB283" s="1362"/>
      <c r="AC283" s="1362"/>
      <c r="AD283" s="1362"/>
      <c r="AE283" s="1362"/>
      <c r="AF283" s="1282"/>
      <c r="AG283" s="1282"/>
      <c r="AH283" s="1283"/>
      <c r="AI283" s="1283"/>
      <c r="AJ283" s="1183"/>
      <c r="AK283" s="1183"/>
      <c r="AL283" s="1185">
        <v>1</v>
      </c>
      <c r="AM283" s="709"/>
      <c r="AN283" s="709"/>
    </row>
    <row r="284" spans="1:40" s="1361" customFormat="1" ht="40.5" customHeight="1">
      <c r="A284" s="1316"/>
      <c r="B284" s="1392"/>
      <c r="C284" s="1404"/>
      <c r="D284" s="1316"/>
      <c r="E284" s="1404"/>
      <c r="F284" s="1407"/>
      <c r="G284" s="1404"/>
      <c r="H284" s="1404"/>
      <c r="I284" s="1316"/>
      <c r="J284" s="1316"/>
      <c r="K284" s="1316"/>
      <c r="L284" s="1316"/>
      <c r="M284" s="1316"/>
      <c r="N284" s="1316"/>
      <c r="O284" s="1316"/>
      <c r="P284" s="1316"/>
      <c r="Q284" s="1316"/>
      <c r="R284" s="1316"/>
      <c r="S284" s="1282"/>
      <c r="T284" s="1282"/>
      <c r="U284" s="1282"/>
      <c r="V284" s="1368"/>
      <c r="W284" s="1362"/>
      <c r="X284" s="1362"/>
      <c r="Y284" s="1362"/>
      <c r="Z284" s="1362"/>
      <c r="AA284" s="1362"/>
      <c r="AB284" s="1362"/>
      <c r="AC284" s="1362"/>
      <c r="AD284" s="1362"/>
      <c r="AE284" s="1362"/>
      <c r="AF284" s="1282"/>
      <c r="AG284" s="1282"/>
      <c r="AH284" s="1283"/>
      <c r="AI284" s="1283"/>
      <c r="AJ284" s="1183"/>
      <c r="AK284" s="1183"/>
      <c r="AL284" s="1185">
        <v>1</v>
      </c>
      <c r="AM284" s="709"/>
      <c r="AN284" s="709"/>
    </row>
    <row r="285" spans="1:40" s="1361" customFormat="1" ht="40.5" customHeight="1">
      <c r="A285" s="1316"/>
      <c r="B285" s="1392"/>
      <c r="C285" s="1404"/>
      <c r="D285" s="1316"/>
      <c r="E285" s="1404"/>
      <c r="F285" s="1407"/>
      <c r="G285" s="1404"/>
      <c r="H285" s="1404"/>
      <c r="I285" s="1316"/>
      <c r="J285" s="1316"/>
      <c r="K285" s="1316"/>
      <c r="L285" s="1316"/>
      <c r="M285" s="1316"/>
      <c r="N285" s="1316"/>
      <c r="O285" s="1316"/>
      <c r="P285" s="1316"/>
      <c r="Q285" s="1316"/>
      <c r="R285" s="1316"/>
      <c r="S285" s="1282"/>
      <c r="T285" s="1282"/>
      <c r="U285" s="1282"/>
      <c r="V285" s="1368"/>
      <c r="W285" s="1362"/>
      <c r="X285" s="1362"/>
      <c r="Y285" s="1362"/>
      <c r="Z285" s="1362"/>
      <c r="AA285" s="1362"/>
      <c r="AB285" s="1362"/>
      <c r="AC285" s="1362"/>
      <c r="AD285" s="1362"/>
      <c r="AE285" s="1362"/>
      <c r="AF285" s="1282"/>
      <c r="AG285" s="1282"/>
      <c r="AH285" s="1283"/>
      <c r="AI285" s="1283"/>
      <c r="AJ285" s="1183"/>
      <c r="AK285" s="1183"/>
      <c r="AL285" s="1185">
        <v>1</v>
      </c>
      <c r="AM285" s="709"/>
      <c r="AN285" s="709"/>
    </row>
    <row r="286" spans="1:40" s="1361" customFormat="1" ht="40.5" customHeight="1">
      <c r="A286" s="1316"/>
      <c r="B286" s="1392"/>
      <c r="C286" s="1404"/>
      <c r="D286" s="1316"/>
      <c r="E286" s="1404"/>
      <c r="F286" s="1407"/>
      <c r="G286" s="1404"/>
      <c r="H286" s="1404"/>
      <c r="I286" s="1316"/>
      <c r="J286" s="1316"/>
      <c r="K286" s="1316"/>
      <c r="L286" s="1316"/>
      <c r="M286" s="1316"/>
      <c r="N286" s="1316"/>
      <c r="O286" s="1316"/>
      <c r="P286" s="1316"/>
      <c r="Q286" s="1316"/>
      <c r="R286" s="1316"/>
      <c r="S286" s="1282"/>
      <c r="T286" s="1282"/>
      <c r="U286" s="1282"/>
      <c r="V286" s="1368"/>
      <c r="W286" s="1362"/>
      <c r="X286" s="1362"/>
      <c r="Y286" s="1362"/>
      <c r="Z286" s="1362"/>
      <c r="AA286" s="1362"/>
      <c r="AB286" s="1362"/>
      <c r="AC286" s="1362"/>
      <c r="AD286" s="1362"/>
      <c r="AE286" s="1362"/>
      <c r="AF286" s="1282"/>
      <c r="AG286" s="1282"/>
      <c r="AH286" s="1283"/>
      <c r="AI286" s="1283"/>
      <c r="AJ286" s="1183"/>
      <c r="AK286" s="1183"/>
      <c r="AL286" s="1185">
        <v>1</v>
      </c>
      <c r="AM286" s="709"/>
      <c r="AN286" s="709"/>
    </row>
    <row r="287" spans="1:40">
      <c r="AL287" s="1408" t="s">
        <v>823</v>
      </c>
      <c r="AM287" s="852"/>
      <c r="AN287" s="852"/>
    </row>
    <row r="288" spans="1:40">
      <c r="A288" s="1185">
        <v>1</v>
      </c>
      <c r="B288" s="1185">
        <v>1</v>
      </c>
      <c r="C288" s="1185">
        <v>1</v>
      </c>
      <c r="D288" s="1185">
        <v>1</v>
      </c>
      <c r="E288" s="1185">
        <v>1</v>
      </c>
      <c r="F288" s="1185">
        <v>1</v>
      </c>
      <c r="G288" s="1185">
        <v>1</v>
      </c>
      <c r="H288" s="1185">
        <v>1</v>
      </c>
      <c r="I288" s="1185">
        <v>1</v>
      </c>
      <c r="J288" s="1185">
        <v>1</v>
      </c>
      <c r="K288" s="1185">
        <v>1</v>
      </c>
      <c r="L288" s="1185">
        <v>1</v>
      </c>
      <c r="M288" s="1185">
        <v>1</v>
      </c>
      <c r="N288" s="1185">
        <v>1</v>
      </c>
      <c r="O288" s="1185">
        <v>1</v>
      </c>
      <c r="P288" s="1185">
        <v>1</v>
      </c>
      <c r="Q288" s="1185">
        <v>1</v>
      </c>
      <c r="R288" s="1185">
        <v>1</v>
      </c>
      <c r="S288" s="1185">
        <v>1</v>
      </c>
      <c r="T288" s="1185">
        <v>1</v>
      </c>
      <c r="U288" s="1185">
        <v>1</v>
      </c>
      <c r="V288" s="1185">
        <v>1</v>
      </c>
      <c r="W288" s="1185">
        <v>1</v>
      </c>
      <c r="X288" s="1185">
        <v>1</v>
      </c>
      <c r="Y288" s="1185">
        <v>1</v>
      </c>
      <c r="Z288" s="1185">
        <v>1</v>
      </c>
      <c r="AA288" s="1185">
        <v>1</v>
      </c>
      <c r="AB288" s="1185">
        <v>1</v>
      </c>
      <c r="AC288" s="1185">
        <v>1</v>
      </c>
      <c r="AD288" s="1185">
        <v>1</v>
      </c>
      <c r="AE288" s="1185">
        <v>1</v>
      </c>
      <c r="AF288" s="1185">
        <v>1</v>
      </c>
      <c r="AG288" s="1185">
        <v>1</v>
      </c>
      <c r="AH288" s="1185">
        <v>1</v>
      </c>
      <c r="AI288" s="1185">
        <v>1</v>
      </c>
      <c r="AJ288" s="1185">
        <v>1</v>
      </c>
      <c r="AK288" s="1185">
        <v>1</v>
      </c>
      <c r="AL288" s="1" t="str">
        <f>ADDRESS(ROW(),COLUMN(),4)</f>
        <v>AL288</v>
      </c>
      <c r="AM288" s="710"/>
      <c r="AN288" s="711" t="str">
        <f>ADDRESS(ROW(),COLUMN(),4)</f>
        <v>AN288</v>
      </c>
    </row>
  </sheetData>
  <mergeCells count="14">
    <mergeCell ref="D215:J215"/>
    <mergeCell ref="D222:K223"/>
    <mergeCell ref="C226:D226"/>
    <mergeCell ref="J132:K132"/>
    <mergeCell ref="E87:I88"/>
    <mergeCell ref="E89:I90"/>
    <mergeCell ref="E92:I93"/>
    <mergeCell ref="E99:I100"/>
    <mergeCell ref="E102:I103"/>
    <mergeCell ref="E72:M73"/>
    <mergeCell ref="X8:AC9"/>
    <mergeCell ref="B131:P131"/>
    <mergeCell ref="M113:M118"/>
    <mergeCell ref="B133:B134"/>
  </mergeCells>
  <hyperlinks>
    <hyperlink ref="D189" r:id="rId1" display="https://www.extensis.com/fr-fr/blog/les-10-polices-alternatives-%C3%A0-helvetica" xr:uid="{137B7D7F-9E85-4F02-AC18-ECB6684E5B56}"/>
    <hyperlink ref="D197" r:id="rId2" display="https://fr.wikipedia.org/wiki/Calibri" xr:uid="{262A3EDB-8917-456F-83EB-EF7BA82D7948}"/>
    <hyperlink ref="D198" r:id="rId3" display="https://kulturegeek.fr/news-224456/microsoft-police-voudriez-remplacer-calibri" xr:uid="{B0EC1BC7-A9C8-440B-BD0C-382711AFE387}"/>
    <hyperlink ref="D183" r:id="rId4" display="https://fr.wikipedia.org/wiki/Helvetica" xr:uid="{5A5F38C9-FFEA-4626-B75A-16250B0F961D}"/>
    <hyperlink ref="D204" r:id="rId5" display="https://laruche.wizbii.com/17703-meilleure-police-ecriture-cv" xr:uid="{4B177977-F4C5-4F5B-B205-6047380D6AC4}"/>
    <hyperlink ref="D205" r:id="rId6" display="https://laruche.wizbii.com/17703-meilleure-police-ecriture-cv" xr:uid="{1D3589C1-1B2B-4A50-9630-2E037CF6F6EA}"/>
    <hyperlink ref="D206" r:id="rId7" display="https://www.google.com/search?client=firefox-b-d&amp;cs=1&amp;sxsrf=AJOqlzWtAThXL_uLX0Izw5bcGDDqWJW1UA:1673858052794&amp;q=Quelle+est+la+police+d%27%C3%A9criture+la+plus+classe+%3F&amp;sa=X&amp;ved=2ahUKEwjYj4iV18v8AhXtTaQEHYpNBZ0Qzmd6BAgBEAU" xr:uid="{AE695293-1C2D-4499-94D3-993F4FD138B9}"/>
    <hyperlink ref="D188" r:id="rId8" xr:uid="{DFC1E3BD-2F90-43A7-A12C-D77C026521D4}"/>
    <hyperlink ref="C124" r:id="rId9" xr:uid="{3B11971F-E2D2-49F9-92E4-D9A68C05098F}"/>
    <hyperlink ref="V254" r:id="rId10" xr:uid="{C74A64BB-E2E3-4B64-9E91-9E3BD8902D23}"/>
    <hyperlink ref="U116" r:id="rId11" xr:uid="{B6C0351F-B4FF-4AC2-904D-D9F736FEC448}"/>
    <hyperlink ref="B142" r:id="rId12" xr:uid="{AF283D5F-D8C4-4FC8-9C3B-2BD611B6846A}"/>
    <hyperlink ref="B148" r:id="rId13" xr:uid="{8165ABBA-2CA9-4A61-BF9E-C68B809787BE}"/>
    <hyperlink ref="B151" r:id="rId14" xr:uid="{D4FCEB32-FF0C-4E69-82AC-225FEEA94F74}"/>
    <hyperlink ref="B152" r:id="rId15" xr:uid="{9153CE86-7F1D-4052-9C49-C8C52C189186}"/>
    <hyperlink ref="B154" r:id="rId16" xr:uid="{45C5D889-6E62-4DE7-BF41-9075F4B30B13}"/>
    <hyperlink ref="V233" r:id="rId17" xr:uid="{EF8F160F-D032-4BB2-BF09-FCF6D17F1E56}"/>
    <hyperlink ref="B157" r:id="rId18" xr:uid="{E9ED16C0-F907-4AC7-BF44-1C2E41954834}"/>
    <hyperlink ref="G45" r:id="rId19" xr:uid="{EC5736F0-3010-44F8-806C-1D954D1F66CD}"/>
    <hyperlink ref="D56" r:id="rId20" xr:uid="{E9BD1CD5-9CED-4F69-8FCC-B5512963F0D1}"/>
    <hyperlink ref="G47" r:id="rId21" xr:uid="{B18224A7-DD0A-4C0C-ADE5-78BA69F84D5D}"/>
    <hyperlink ref="K283" r:id="rId22" xr:uid="{5D268E79-1CFB-4D96-847F-9D2DC034A236}"/>
  </hyperlinks>
  <pageMargins left="0.7" right="0.7" top="0.75" bottom="0.75" header="0.3" footer="0.3"/>
  <pageSetup paperSize="9" orientation="portrait" r:id="rId23"/>
  <drawing r:id="rId2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2DC3DA-D558-426C-85B3-DF0CF05B77D7}">
  <dimension ref="A1:BA343"/>
  <sheetViews>
    <sheetView showZeros="0" workbookViewId="0">
      <selection activeCell="X10" sqref="X10"/>
    </sheetView>
  </sheetViews>
  <sheetFormatPr baseColWidth="10" defaultRowHeight="15"/>
  <cols>
    <col min="1" max="1" width="2.85546875" customWidth="1"/>
    <col min="2" max="6" width="3.7109375" customWidth="1"/>
    <col min="7" max="8" width="12.7109375" customWidth="1"/>
    <col min="9" max="9" width="3.7109375" customWidth="1"/>
    <col min="10" max="10" width="9.7109375" customWidth="1"/>
    <col min="11" max="11" width="12.7109375" customWidth="1"/>
    <col min="12" max="12" width="13.7109375" customWidth="1"/>
    <col min="13" max="13" width="40.7109375" customWidth="1"/>
    <col min="14" max="14" width="10.7109375" customWidth="1"/>
    <col min="15" max="15" width="9.7109375" customWidth="1"/>
    <col min="16" max="16" width="13.7109375" customWidth="1"/>
    <col min="17" max="17" width="6.140625" customWidth="1"/>
    <col min="18" max="22" width="3.7109375" customWidth="1"/>
    <col min="23" max="24" width="12.7109375" customWidth="1"/>
    <col min="25" max="25" width="3.7109375" customWidth="1"/>
    <col min="26" max="26" width="9.7109375" customWidth="1"/>
    <col min="27" max="27" width="12.7109375" customWidth="1"/>
    <col min="28" max="28" width="13.7109375" customWidth="1"/>
    <col min="29" max="29" width="40.7109375" customWidth="1"/>
    <col min="30" max="30" width="10.7109375" customWidth="1"/>
    <col min="31" max="31" width="9.7109375" customWidth="1"/>
    <col min="32" max="32" width="13.7109375" customWidth="1"/>
    <col min="33" max="33" width="5.7109375" customWidth="1"/>
    <col min="34" max="38" width="3.7109375" customWidth="1"/>
    <col min="39" max="40" width="12.7109375" customWidth="1"/>
    <col min="41" max="41" width="3.7109375" customWidth="1"/>
    <col min="42" max="42" width="9.7109375" customWidth="1"/>
    <col min="43" max="43" width="12.7109375" customWidth="1"/>
    <col min="44" max="44" width="13.7109375" customWidth="1"/>
    <col min="45" max="45" width="40.7109375" customWidth="1"/>
    <col min="46" max="46" width="10.7109375" customWidth="1"/>
    <col min="47" max="47" width="9.7109375" customWidth="1"/>
    <col min="48" max="48" width="13.7109375" customWidth="1"/>
    <col min="51" max="51" width="5.42578125" customWidth="1"/>
    <col min="53" max="53" width="86" customWidth="1"/>
  </cols>
  <sheetData>
    <row r="1" spans="1:53" ht="15.75" thickTop="1">
      <c r="A1" s="1" t="str">
        <f>ADDRESS(ROW(),COLUMN(),4)</f>
        <v>A1</v>
      </c>
      <c r="B1" s="2" t="str">
        <f t="shared" ref="B1:AV1" si="0">SUBSTITUTE(ADDRESS(1,COLUMN(),4),"1","")</f>
        <v>B</v>
      </c>
      <c r="C1" s="2" t="str">
        <f t="shared" si="0"/>
        <v>C</v>
      </c>
      <c r="D1" s="2" t="str">
        <f t="shared" si="0"/>
        <v>D</v>
      </c>
      <c r="E1" s="2" t="str">
        <f t="shared" si="0"/>
        <v>E</v>
      </c>
      <c r="F1" s="2" t="str">
        <f t="shared" si="0"/>
        <v>F</v>
      </c>
      <c r="G1" s="2" t="str">
        <f t="shared" si="0"/>
        <v>G</v>
      </c>
      <c r="H1" s="2" t="str">
        <f t="shared" si="0"/>
        <v>H</v>
      </c>
      <c r="I1" s="2" t="str">
        <f t="shared" si="0"/>
        <v>I</v>
      </c>
      <c r="J1" s="2" t="str">
        <f t="shared" si="0"/>
        <v>J</v>
      </c>
      <c r="K1" s="2" t="str">
        <f t="shared" si="0"/>
        <v>K</v>
      </c>
      <c r="L1" s="2" t="str">
        <f t="shared" si="0"/>
        <v>L</v>
      </c>
      <c r="M1" s="2" t="str">
        <f t="shared" si="0"/>
        <v>M</v>
      </c>
      <c r="N1" s="2" t="str">
        <f t="shared" si="0"/>
        <v>N</v>
      </c>
      <c r="O1" s="2" t="str">
        <f t="shared" si="0"/>
        <v>O</v>
      </c>
      <c r="P1" s="2" t="str">
        <f t="shared" si="0"/>
        <v>P</v>
      </c>
      <c r="R1" s="2" t="str">
        <f t="shared" si="0"/>
        <v>R</v>
      </c>
      <c r="S1" s="2" t="str">
        <f t="shared" si="0"/>
        <v>S</v>
      </c>
      <c r="T1" s="2" t="str">
        <f t="shared" si="0"/>
        <v>T</v>
      </c>
      <c r="U1" s="2" t="str">
        <f t="shared" si="0"/>
        <v>U</v>
      </c>
      <c r="V1" s="2" t="str">
        <f t="shared" si="0"/>
        <v>V</v>
      </c>
      <c r="W1" s="2" t="str">
        <f t="shared" si="0"/>
        <v>W</v>
      </c>
      <c r="X1" s="2" t="str">
        <f t="shared" si="0"/>
        <v>X</v>
      </c>
      <c r="Y1" s="2" t="str">
        <f t="shared" si="0"/>
        <v>Y</v>
      </c>
      <c r="Z1" s="2" t="str">
        <f t="shared" si="0"/>
        <v>Z</v>
      </c>
      <c r="AA1" s="2" t="str">
        <f t="shared" si="0"/>
        <v>AA</v>
      </c>
      <c r="AB1" s="2" t="str">
        <f t="shared" si="0"/>
        <v>AB</v>
      </c>
      <c r="AC1" s="2" t="str">
        <f t="shared" si="0"/>
        <v>AC</v>
      </c>
      <c r="AD1" s="2" t="str">
        <f t="shared" si="0"/>
        <v>AD</v>
      </c>
      <c r="AE1" s="2" t="str">
        <f t="shared" si="0"/>
        <v>AE</v>
      </c>
      <c r="AF1" s="2" t="str">
        <f t="shared" si="0"/>
        <v>AF</v>
      </c>
      <c r="AH1" s="2" t="str">
        <f t="shared" si="0"/>
        <v>AH</v>
      </c>
      <c r="AI1" s="2" t="str">
        <f t="shared" si="0"/>
        <v>AI</v>
      </c>
      <c r="AJ1" s="2" t="str">
        <f t="shared" si="0"/>
        <v>AJ</v>
      </c>
      <c r="AK1" s="2" t="str">
        <f t="shared" si="0"/>
        <v>AK</v>
      </c>
      <c r="AL1" s="2" t="str">
        <f t="shared" si="0"/>
        <v>AL</v>
      </c>
      <c r="AM1" s="2" t="str">
        <f t="shared" si="0"/>
        <v>AM</v>
      </c>
      <c r="AN1" s="2" t="str">
        <f t="shared" si="0"/>
        <v>AN</v>
      </c>
      <c r="AO1" s="2" t="str">
        <f t="shared" si="0"/>
        <v>AO</v>
      </c>
      <c r="AP1" s="2" t="str">
        <f t="shared" si="0"/>
        <v>AP</v>
      </c>
      <c r="AQ1" s="2" t="str">
        <f t="shared" si="0"/>
        <v>AQ</v>
      </c>
      <c r="AR1" s="2" t="str">
        <f t="shared" si="0"/>
        <v>AR</v>
      </c>
      <c r="AS1" s="2" t="str">
        <f t="shared" si="0"/>
        <v>AS</v>
      </c>
      <c r="AT1" s="2" t="str">
        <f t="shared" si="0"/>
        <v>AT</v>
      </c>
      <c r="AU1" s="2" t="str">
        <f t="shared" si="0"/>
        <v>AU</v>
      </c>
      <c r="AV1" s="2" t="str">
        <f t="shared" si="0"/>
        <v>AV</v>
      </c>
      <c r="AY1" s="3">
        <v>1</v>
      </c>
      <c r="AZ1" s="4" t="str">
        <f>SUBSTITUTE(ADDRESS(1,COLUMN(),4),"1","")</f>
        <v>AZ</v>
      </c>
      <c r="BA1" s="5" t="str">
        <f>SUBSTITUTE(ADDRESS(1,COLUMN(),4),"1","")</f>
        <v>BA</v>
      </c>
    </row>
    <row r="2" spans="1:53">
      <c r="B2" s="922">
        <f t="shared" ref="B2:AV2" ca="1" si="1">CELL("largeur",B2)</f>
        <v>3</v>
      </c>
      <c r="C2" s="922">
        <f t="shared" ca="1" si="1"/>
        <v>3</v>
      </c>
      <c r="D2" s="922">
        <f t="shared" ca="1" si="1"/>
        <v>3</v>
      </c>
      <c r="E2" s="922">
        <f t="shared" ca="1" si="1"/>
        <v>3</v>
      </c>
      <c r="F2" s="922">
        <f t="shared" ca="1" si="1"/>
        <v>3</v>
      </c>
      <c r="G2" s="922">
        <f t="shared" ca="1" si="1"/>
        <v>12</v>
      </c>
      <c r="H2" s="922">
        <f t="shared" ca="1" si="1"/>
        <v>12</v>
      </c>
      <c r="I2" s="922">
        <f t="shared" ca="1" si="1"/>
        <v>3</v>
      </c>
      <c r="J2" s="922">
        <f t="shared" ca="1" si="1"/>
        <v>9</v>
      </c>
      <c r="K2" s="922">
        <f t="shared" ca="1" si="1"/>
        <v>12</v>
      </c>
      <c r="L2" s="922">
        <f t="shared" ca="1" si="1"/>
        <v>13</v>
      </c>
      <c r="M2" s="922">
        <f t="shared" ca="1" si="1"/>
        <v>40</v>
      </c>
      <c r="N2" s="922">
        <f t="shared" ca="1" si="1"/>
        <v>10</v>
      </c>
      <c r="O2" s="922">
        <f t="shared" ca="1" si="1"/>
        <v>9</v>
      </c>
      <c r="P2" s="922">
        <f t="shared" ca="1" si="1"/>
        <v>13</v>
      </c>
      <c r="R2" s="922">
        <f t="shared" ca="1" si="1"/>
        <v>3</v>
      </c>
      <c r="S2" s="922">
        <f t="shared" ca="1" si="1"/>
        <v>3</v>
      </c>
      <c r="T2" s="922">
        <f t="shared" ca="1" si="1"/>
        <v>3</v>
      </c>
      <c r="U2" s="922">
        <f t="shared" ca="1" si="1"/>
        <v>3</v>
      </c>
      <c r="V2" s="922">
        <f t="shared" ca="1" si="1"/>
        <v>3</v>
      </c>
      <c r="W2" s="922">
        <f t="shared" ca="1" si="1"/>
        <v>12</v>
      </c>
      <c r="X2" s="922">
        <f t="shared" ca="1" si="1"/>
        <v>12</v>
      </c>
      <c r="Y2" s="922">
        <f t="shared" ca="1" si="1"/>
        <v>3</v>
      </c>
      <c r="Z2" s="922">
        <f t="shared" ca="1" si="1"/>
        <v>9</v>
      </c>
      <c r="AA2" s="922">
        <f t="shared" ca="1" si="1"/>
        <v>12</v>
      </c>
      <c r="AB2" s="922">
        <f t="shared" ca="1" si="1"/>
        <v>13</v>
      </c>
      <c r="AC2" s="922">
        <f t="shared" ca="1" si="1"/>
        <v>40</v>
      </c>
      <c r="AD2" s="922">
        <f t="shared" ca="1" si="1"/>
        <v>10</v>
      </c>
      <c r="AE2" s="922">
        <f t="shared" ca="1" si="1"/>
        <v>9</v>
      </c>
      <c r="AF2" s="922">
        <f t="shared" ca="1" si="1"/>
        <v>13</v>
      </c>
      <c r="AH2" s="922">
        <f t="shared" ca="1" si="1"/>
        <v>3</v>
      </c>
      <c r="AI2" s="922">
        <f t="shared" ca="1" si="1"/>
        <v>3</v>
      </c>
      <c r="AJ2" s="922">
        <f t="shared" ca="1" si="1"/>
        <v>3</v>
      </c>
      <c r="AK2" s="922">
        <f t="shared" ca="1" si="1"/>
        <v>3</v>
      </c>
      <c r="AL2" s="922">
        <f t="shared" ca="1" si="1"/>
        <v>3</v>
      </c>
      <c r="AM2" s="922">
        <f t="shared" ca="1" si="1"/>
        <v>12</v>
      </c>
      <c r="AN2" s="922">
        <f t="shared" ca="1" si="1"/>
        <v>12</v>
      </c>
      <c r="AO2" s="922">
        <f t="shared" ca="1" si="1"/>
        <v>3</v>
      </c>
      <c r="AP2" s="922">
        <f t="shared" ca="1" si="1"/>
        <v>9</v>
      </c>
      <c r="AQ2" s="922">
        <f t="shared" ca="1" si="1"/>
        <v>12</v>
      </c>
      <c r="AR2" s="922">
        <f t="shared" ca="1" si="1"/>
        <v>13</v>
      </c>
      <c r="AS2" s="922">
        <f t="shared" ca="1" si="1"/>
        <v>40</v>
      </c>
      <c r="AT2" s="922">
        <f t="shared" ca="1" si="1"/>
        <v>10</v>
      </c>
      <c r="AU2" s="922">
        <f t="shared" ca="1" si="1"/>
        <v>9</v>
      </c>
      <c r="AV2" s="922">
        <f t="shared" ca="1" si="1"/>
        <v>13</v>
      </c>
      <c r="AW2" s="1127" t="s">
        <v>1978</v>
      </c>
      <c r="AY2" s="3">
        <v>1</v>
      </c>
      <c r="AZ2" s="7" t="s">
        <v>3</v>
      </c>
      <c r="BA2" s="8"/>
    </row>
    <row r="3" spans="1:53" ht="19.5" customHeight="1" thickBot="1">
      <c r="B3" s="923">
        <v>3</v>
      </c>
      <c r="C3" s="923">
        <v>3</v>
      </c>
      <c r="D3" s="923">
        <v>3</v>
      </c>
      <c r="E3" s="923">
        <v>3</v>
      </c>
      <c r="F3" s="923">
        <v>3</v>
      </c>
      <c r="G3" s="923">
        <v>12</v>
      </c>
      <c r="H3" s="923">
        <v>12</v>
      </c>
      <c r="I3" s="923">
        <v>3</v>
      </c>
      <c r="J3" s="923">
        <v>9</v>
      </c>
      <c r="K3" s="923">
        <v>12</v>
      </c>
      <c r="L3" s="923">
        <v>13</v>
      </c>
      <c r="M3" s="923">
        <v>40</v>
      </c>
      <c r="N3" s="923">
        <v>10</v>
      </c>
      <c r="O3" s="923">
        <v>9</v>
      </c>
      <c r="P3" s="923">
        <v>13</v>
      </c>
      <c r="Q3" s="1149">
        <v>1</v>
      </c>
      <c r="R3" s="923">
        <v>3</v>
      </c>
      <c r="S3" s="923">
        <v>3</v>
      </c>
      <c r="T3" s="923">
        <v>3</v>
      </c>
      <c r="U3" s="923">
        <v>3</v>
      </c>
      <c r="V3" s="923">
        <v>3</v>
      </c>
      <c r="W3" s="923">
        <v>12</v>
      </c>
      <c r="X3" s="923">
        <v>12</v>
      </c>
      <c r="Y3" s="923">
        <v>3</v>
      </c>
      <c r="Z3" s="923">
        <v>9</v>
      </c>
      <c r="AA3" s="923">
        <v>12</v>
      </c>
      <c r="AB3" s="923">
        <v>13</v>
      </c>
      <c r="AC3" s="923">
        <v>40</v>
      </c>
      <c r="AD3" s="923">
        <v>10</v>
      </c>
      <c r="AE3" s="923">
        <v>9</v>
      </c>
      <c r="AF3" s="923">
        <v>13</v>
      </c>
      <c r="AG3" s="1149"/>
      <c r="AH3" s="923">
        <v>3</v>
      </c>
      <c r="AI3" s="923">
        <v>3</v>
      </c>
      <c r="AJ3" s="923">
        <v>3</v>
      </c>
      <c r="AK3" s="923">
        <v>3</v>
      </c>
      <c r="AL3" s="923">
        <v>3</v>
      </c>
      <c r="AM3" s="923">
        <v>12</v>
      </c>
      <c r="AN3" s="923">
        <v>12</v>
      </c>
      <c r="AO3" s="923">
        <v>3</v>
      </c>
      <c r="AP3" s="923">
        <v>9</v>
      </c>
      <c r="AQ3" s="923">
        <v>12</v>
      </c>
      <c r="AR3" s="923">
        <v>13</v>
      </c>
      <c r="AS3" s="923">
        <v>40</v>
      </c>
      <c r="AT3" s="923">
        <v>10</v>
      </c>
      <c r="AU3" s="923">
        <v>9</v>
      </c>
      <c r="AV3" s="923">
        <v>13</v>
      </c>
      <c r="AW3" s="1127" t="s">
        <v>1381</v>
      </c>
      <c r="AY3" s="3">
        <v>1</v>
      </c>
      <c r="AZ3" s="11">
        <f ca="1">COUNTA(A1:AX343) + COUNTBLANK(A1:AX343)</f>
        <v>17150</v>
      </c>
      <c r="BA3" s="12" t="str">
        <f>"cellules entre -cells -celdas  "&amp;" " &amp;A1&amp;" et  "&amp;AY343</f>
        <v>cellules entre -cells -celdas   A1 et  AY343</v>
      </c>
    </row>
    <row r="4" spans="1:53" s="1150" customFormat="1" ht="27" customHeight="1">
      <c r="B4" s="1550" t="s">
        <v>2623</v>
      </c>
      <c r="C4" s="1551"/>
      <c r="D4" s="1551"/>
      <c r="E4" s="1551"/>
      <c r="F4" s="1551"/>
      <c r="G4" s="1551"/>
      <c r="H4" s="1551"/>
      <c r="I4" s="1551"/>
      <c r="J4" s="1551"/>
      <c r="K4" s="1551"/>
      <c r="L4" s="1551"/>
      <c r="M4" s="1551"/>
      <c r="N4" s="1551"/>
      <c r="O4" s="1551"/>
      <c r="P4" s="1551"/>
      <c r="Q4" s="1551"/>
      <c r="R4" s="1551"/>
      <c r="S4" s="1551"/>
      <c r="T4" s="1551"/>
      <c r="U4" s="1551"/>
      <c r="V4" s="1551"/>
      <c r="W4" s="1551"/>
      <c r="X4" s="1551"/>
      <c r="Y4" s="1551"/>
      <c r="Z4" s="1551"/>
      <c r="AA4" s="1551"/>
      <c r="AB4" s="1551"/>
      <c r="AC4" s="1551"/>
      <c r="AD4" s="1551"/>
      <c r="AE4" s="1551"/>
      <c r="AF4" s="1551"/>
      <c r="AG4" s="1551"/>
      <c r="AH4" s="1551"/>
      <c r="AI4" s="1551"/>
      <c r="AJ4" s="1551"/>
      <c r="AK4" s="1551"/>
      <c r="AL4" s="1551"/>
      <c r="AM4" s="1551"/>
      <c r="AN4" s="1551"/>
      <c r="AO4" s="1551"/>
      <c r="AP4" s="1551"/>
      <c r="AQ4" s="1551"/>
      <c r="AR4" s="1551"/>
      <c r="AS4" s="1551"/>
      <c r="AT4" s="5740" t="s">
        <v>1669</v>
      </c>
      <c r="AU4" s="5740"/>
      <c r="AV4" s="5741"/>
      <c r="AY4" s="3">
        <v>1</v>
      </c>
      <c r="AZ4" s="11">
        <f ca="1">COUNTA(A1:AX343)</f>
        <v>207</v>
      </c>
      <c r="BA4" s="12" t="s">
        <v>10</v>
      </c>
    </row>
    <row r="5" spans="1:53" ht="27" customHeight="1">
      <c r="B5" s="1552"/>
      <c r="C5" s="1553"/>
      <c r="D5" s="5306" t="str">
        <f>IF(ISNUMBER(IFERROR(VALUE("0,5"),"")),"sur cet ordi.saisissez une VIRGULE comme séparateur décimal",IF(ISNUMBER(IFERROR(VALUE("0.5"),"")),"sur cet ordi.saisissez un POINT comme séparateur décimal","Impossible de déterminer le séparateur décimal"))</f>
        <v>sur cet ordi.saisissez un POINT comme séparateur décimal</v>
      </c>
      <c r="E5" s="1553"/>
      <c r="F5" s="1553"/>
      <c r="G5" s="1553"/>
      <c r="H5" s="1553"/>
      <c r="I5" s="1553"/>
      <c r="J5" s="1553"/>
      <c r="K5" s="1553"/>
      <c r="L5" s="1553"/>
      <c r="M5" s="1553"/>
      <c r="N5" s="5307" t="str">
        <f>IF(ISNUMBER(IFERROR(VALUE("0,5"),"")),"On this computer, type a COMMA as the decimal separator",IF(ISNUMBER(IFERROR(VALUE("0.5"),"")),"On this computer, type a POINT as the decimal separator","Unable to determine the decimal separator"))</f>
        <v>On this computer, type a POINT as the decimal separator</v>
      </c>
      <c r="O5" s="1553"/>
      <c r="P5" s="1553"/>
      <c r="Q5" s="1553"/>
      <c r="R5" s="1553"/>
      <c r="S5" s="1553"/>
      <c r="T5" s="1553"/>
      <c r="U5" s="1553"/>
      <c r="V5" s="1553"/>
      <c r="W5" s="1553"/>
      <c r="X5" s="1553"/>
      <c r="Y5" s="1553"/>
      <c r="Z5" s="1553"/>
      <c r="AA5" s="1553"/>
      <c r="AB5" s="1553"/>
      <c r="AC5" s="5307" t="str">
        <f>IF(ISNUMBER(IFERROR(VALUE("0,5"),""))," En este ordenador, escriba una COMA como separador decimal",IF(ISNUMBER(IFERROR(VALUE("0.5"),"")),"En este ordenador, escriba un PUNTO como separador decimal","No es posible determinar el separador decimal"))</f>
        <v>En este ordenador, escriba un PUNTO como separador decimal</v>
      </c>
      <c r="AD5" s="1553"/>
      <c r="AE5" s="1553"/>
      <c r="AF5" s="1553"/>
      <c r="AG5" s="1553"/>
      <c r="AH5" s="1553"/>
      <c r="AI5" s="1553"/>
      <c r="AJ5" s="1553"/>
      <c r="AK5" s="1553"/>
      <c r="AL5" s="1553"/>
      <c r="AM5" s="1553"/>
      <c r="AN5" s="1553"/>
      <c r="AO5" s="1553"/>
      <c r="AP5" s="1553"/>
      <c r="AQ5" s="1553"/>
      <c r="AR5" s="1553"/>
      <c r="AS5" s="1553"/>
      <c r="AT5" s="5742"/>
      <c r="AU5" s="5742"/>
      <c r="AV5" s="5743"/>
      <c r="AY5" s="3">
        <v>1</v>
      </c>
      <c r="AZ5" s="11">
        <f ca="1">COUNTBLANK(A1:AX343)</f>
        <v>16943</v>
      </c>
      <c r="BA5" s="12" t="s">
        <v>13</v>
      </c>
    </row>
    <row r="6" spans="1:53" ht="27" customHeight="1">
      <c r="B6" s="1153" t="s">
        <v>13494</v>
      </c>
      <c r="C6" s="1154"/>
      <c r="D6" s="1154"/>
      <c r="E6" s="1154"/>
      <c r="F6" s="1154"/>
      <c r="G6" s="1154"/>
      <c r="H6" s="1154"/>
      <c r="I6" s="1154"/>
      <c r="J6" s="1154"/>
      <c r="K6" s="1154"/>
      <c r="L6" s="1154"/>
      <c r="M6" s="1154"/>
      <c r="N6" s="1154" t="s">
        <v>13495</v>
      </c>
      <c r="O6" s="1154"/>
      <c r="P6" s="1154"/>
      <c r="Q6" s="1154"/>
      <c r="R6" s="1154"/>
      <c r="S6" s="1154"/>
      <c r="T6" s="1154"/>
      <c r="U6" s="1154"/>
      <c r="V6" s="1154"/>
      <c r="W6" s="1154"/>
      <c r="X6" s="1154"/>
      <c r="Y6" s="1154"/>
      <c r="Z6" s="1154"/>
      <c r="AA6" s="1154"/>
      <c r="AB6" s="1154" t="s">
        <v>13496</v>
      </c>
      <c r="AC6" s="1154"/>
      <c r="AD6" s="1154"/>
      <c r="AE6" s="1154"/>
      <c r="AF6" s="1154"/>
      <c r="AG6" s="1154"/>
      <c r="AH6" s="1154"/>
      <c r="AI6" s="1154"/>
      <c r="AJ6" s="1154"/>
      <c r="AK6" s="1155"/>
      <c r="AL6" s="1155"/>
      <c r="AM6" s="1155"/>
      <c r="AN6" s="1155"/>
      <c r="AO6" s="1155"/>
      <c r="AP6" s="1155"/>
      <c r="AQ6" s="1155"/>
      <c r="AR6" s="1155"/>
      <c r="AS6" s="1155"/>
      <c r="AT6" s="5742"/>
      <c r="AU6" s="5742"/>
      <c r="AV6" s="5743"/>
      <c r="AY6" s="3">
        <v>1</v>
      </c>
      <c r="AZ6" s="11">
        <f>SUM(AY1:AY341)+2</f>
        <v>340</v>
      </c>
      <c r="BA6" s="12" t="s">
        <v>15</v>
      </c>
    </row>
    <row r="7" spans="1:53" ht="27" customHeight="1" thickBot="1">
      <c r="B7" s="1153" t="s">
        <v>2624</v>
      </c>
      <c r="C7" s="1156"/>
      <c r="D7" s="1156"/>
      <c r="E7" s="1156"/>
      <c r="F7" s="1156"/>
      <c r="G7" s="1156"/>
      <c r="H7" s="1156"/>
      <c r="I7" s="1156"/>
      <c r="J7" s="1156"/>
      <c r="K7" s="1156"/>
      <c r="L7" s="1156"/>
      <c r="M7" s="1156"/>
      <c r="N7" s="1156" t="s">
        <v>2625</v>
      </c>
      <c r="O7" s="1156"/>
      <c r="P7" s="1156"/>
      <c r="Q7" s="1156"/>
      <c r="R7" s="1156"/>
      <c r="S7" s="1156"/>
      <c r="T7" s="1156"/>
      <c r="U7" s="1156"/>
      <c r="V7" s="1156"/>
      <c r="W7" s="1156"/>
      <c r="X7" s="1156"/>
      <c r="Y7" s="1156"/>
      <c r="Z7" s="1156" t="s">
        <v>2626</v>
      </c>
      <c r="AA7" s="1156"/>
      <c r="AB7" s="1156"/>
      <c r="AC7" s="1156"/>
      <c r="AD7" s="1156"/>
      <c r="AE7" s="1156"/>
      <c r="AF7" s="1156"/>
      <c r="AG7" s="1156"/>
      <c r="AH7" s="1156"/>
      <c r="AI7" s="1156"/>
      <c r="AJ7" s="1156"/>
      <c r="AK7" s="1157"/>
      <c r="AL7" s="1157"/>
      <c r="AM7" s="1157"/>
      <c r="AN7" s="1158" t="s">
        <v>2627</v>
      </c>
      <c r="AO7" s="1157"/>
      <c r="AP7" s="1157"/>
      <c r="AQ7" s="1157"/>
      <c r="AR7" s="1157"/>
      <c r="AS7" s="1158"/>
      <c r="AT7" s="5744"/>
      <c r="AU7" s="5744"/>
      <c r="AV7" s="5745"/>
      <c r="AY7" s="3">
        <v>1</v>
      </c>
      <c r="AZ7" s="11">
        <f>SUM(A343:AX343)+1</f>
        <v>51</v>
      </c>
      <c r="BA7" s="12" t="s">
        <v>18</v>
      </c>
    </row>
    <row r="8" spans="1:53" ht="27" customHeight="1">
      <c r="B8" s="1159" t="s">
        <v>208</v>
      </c>
      <c r="C8" s="1160" t="str">
        <f ca="1">CELL("nomfichier")</f>
        <v>D:\Données\1.UPRT\0-UPRT.fait\1-UPRT.FR-SITE-WEB\ff-fiches-fabrications\ff.fiches.fabrication.2023\ffr.restaurant.2023\[ff.FICHE.TRILINGUE.15.COLONNES.29.11.2025.xlsx]Notice.utilisateur</v>
      </c>
      <c r="D8" s="1160"/>
      <c r="E8" s="1151"/>
      <c r="F8" s="1151"/>
      <c r="G8" s="1151"/>
      <c r="H8" s="1151"/>
      <c r="I8" s="1151"/>
      <c r="J8" s="1151"/>
      <c r="K8" s="1151"/>
      <c r="L8" s="1151"/>
      <c r="M8" s="1151"/>
      <c r="N8" s="1151"/>
      <c r="O8" s="1151"/>
      <c r="P8" s="1151"/>
      <c r="Q8" s="1151"/>
      <c r="R8" s="1151"/>
      <c r="S8" s="1151"/>
      <c r="T8" s="1151"/>
      <c r="U8" s="1151"/>
      <c r="V8" s="1151"/>
      <c r="W8" s="1151"/>
      <c r="X8" s="1151"/>
      <c r="Y8" s="1151"/>
      <c r="Z8" s="1151"/>
      <c r="AA8" s="1151"/>
      <c r="AB8" s="1151"/>
      <c r="AC8" s="1151"/>
      <c r="AD8" s="1151"/>
      <c r="AE8" s="1151"/>
      <c r="AF8" s="1151"/>
      <c r="AG8" s="1151"/>
      <c r="AH8" s="1161"/>
      <c r="AI8" s="1161"/>
      <c r="AJ8" s="1161"/>
      <c r="AK8" s="1161"/>
      <c r="AL8" s="1161"/>
      <c r="AM8" s="1161"/>
      <c r="AN8" s="1161"/>
      <c r="AO8" s="1161"/>
      <c r="AP8" s="1161"/>
      <c r="AQ8" s="1161"/>
      <c r="AR8" s="1161"/>
      <c r="AS8" s="1161"/>
      <c r="AT8" s="1161"/>
      <c r="AU8" s="1161"/>
      <c r="AV8" s="1161"/>
      <c r="AY8" s="3">
        <v>1</v>
      </c>
    </row>
    <row r="9" spans="1:53" ht="27" customHeight="1" thickBot="1">
      <c r="B9" s="1162"/>
      <c r="C9" s="1163" t="s">
        <v>1704</v>
      </c>
      <c r="D9" s="1162"/>
      <c r="E9" s="1164"/>
      <c r="F9" s="1162"/>
      <c r="G9" s="1164"/>
      <c r="H9" s="1162"/>
      <c r="I9" s="1164"/>
      <c r="J9" s="1162"/>
      <c r="K9" s="1164"/>
      <c r="L9" s="1162"/>
      <c r="M9" s="1164"/>
      <c r="N9" s="1162"/>
      <c r="O9" s="1164"/>
      <c r="P9" s="1162"/>
      <c r="Q9" s="1152"/>
      <c r="R9" s="1162"/>
      <c r="S9" s="1164"/>
      <c r="T9" s="1162"/>
      <c r="U9" s="1164"/>
      <c r="V9" s="1162"/>
      <c r="W9" s="1164"/>
      <c r="X9" s="1162"/>
      <c r="Y9" s="1164"/>
      <c r="Z9" s="1162"/>
      <c r="AA9" s="1164"/>
      <c r="AB9" s="1162"/>
      <c r="AC9" s="1164"/>
      <c r="AD9" s="1162"/>
      <c r="AE9" s="1164"/>
      <c r="AF9" s="1162"/>
      <c r="AG9" s="1152"/>
      <c r="AH9" s="1162"/>
      <c r="AI9" s="1164"/>
      <c r="AJ9" s="1162"/>
      <c r="AK9" s="1164"/>
      <c r="AL9" s="1162"/>
      <c r="AM9" s="1164"/>
      <c r="AN9" s="1162"/>
      <c r="AO9" s="1164"/>
      <c r="AP9" s="1162"/>
      <c r="AQ9" s="1164"/>
      <c r="AR9" s="1162"/>
      <c r="AS9" s="1164"/>
      <c r="AT9" s="1162"/>
      <c r="AU9" s="1164"/>
      <c r="AV9" s="1162"/>
      <c r="AY9" s="3">
        <v>1</v>
      </c>
    </row>
    <row r="10" spans="1:53" ht="27" customHeight="1">
      <c r="B10" s="1165"/>
      <c r="C10" s="1166"/>
      <c r="D10" s="1166"/>
      <c r="E10" s="1166"/>
      <c r="F10" s="1167"/>
      <c r="G10" s="1168"/>
      <c r="H10" s="54"/>
      <c r="I10" s="54"/>
      <c r="J10" s="54"/>
      <c r="K10" s="54"/>
      <c r="L10" s="54"/>
      <c r="M10" s="54"/>
      <c r="N10" s="1169"/>
      <c r="O10" s="1169"/>
      <c r="P10" s="1170"/>
      <c r="Q10" s="1171"/>
      <c r="R10" s="1165"/>
      <c r="S10" s="1166"/>
      <c r="T10" s="1166"/>
      <c r="U10" s="1166"/>
      <c r="V10" s="1167"/>
      <c r="W10" s="1168"/>
      <c r="X10" s="54"/>
      <c r="Y10" s="54"/>
      <c r="Z10" s="54"/>
      <c r="AA10" s="54"/>
      <c r="AB10" s="54"/>
      <c r="AC10" s="54"/>
      <c r="AD10" s="1169"/>
      <c r="AE10" s="1169"/>
      <c r="AF10" s="1170"/>
      <c r="AG10" s="1171"/>
      <c r="AH10" s="1165"/>
      <c r="AI10" s="1166"/>
      <c r="AJ10" s="1166"/>
      <c r="AK10" s="1166"/>
      <c r="AL10" s="1167"/>
      <c r="AM10" s="1168"/>
      <c r="AN10" s="54"/>
      <c r="AO10" s="54"/>
      <c r="AP10" s="54"/>
      <c r="AQ10" s="54"/>
      <c r="AR10" s="54"/>
      <c r="AS10" s="54"/>
      <c r="AT10" s="1169"/>
      <c r="AU10" s="1169"/>
      <c r="AV10" s="1170"/>
      <c r="AY10" s="3">
        <v>1</v>
      </c>
    </row>
    <row r="11" spans="1:53" ht="27" customHeight="1">
      <c r="B11" s="104"/>
      <c r="C11" s="1172"/>
      <c r="D11" s="1172"/>
      <c r="E11" s="1172"/>
      <c r="F11" s="1173"/>
      <c r="G11" s="1174"/>
      <c r="H11" s="1175"/>
      <c r="I11" s="1176"/>
      <c r="J11" s="1177"/>
      <c r="K11" s="1547"/>
      <c r="L11" s="1177"/>
      <c r="M11" s="1548"/>
      <c r="N11" s="1549"/>
      <c r="O11" s="1178"/>
      <c r="P11" s="1179"/>
      <c r="Q11" s="1171"/>
      <c r="R11" s="104"/>
      <c r="S11" s="1172"/>
      <c r="T11" s="1172"/>
      <c r="U11" s="1172"/>
      <c r="V11" s="1173"/>
      <c r="W11" s="1174"/>
      <c r="X11" s="1175"/>
      <c r="Y11" s="1176"/>
      <c r="Z11" s="1177"/>
      <c r="AA11" s="1547"/>
      <c r="AB11" s="1177"/>
      <c r="AC11" s="1548"/>
      <c r="AD11" s="1549"/>
      <c r="AE11" s="1178"/>
      <c r="AF11" s="1179"/>
      <c r="AG11" s="1171"/>
      <c r="AH11" s="104"/>
      <c r="AI11" s="1172"/>
      <c r="AJ11" s="1172"/>
      <c r="AK11" s="1172"/>
      <c r="AL11" s="1173"/>
      <c r="AM11" s="1174"/>
      <c r="AN11" s="1175"/>
      <c r="AO11" s="1176"/>
      <c r="AP11" s="1177"/>
      <c r="AQ11" s="1547"/>
      <c r="AR11" s="1177"/>
      <c r="AS11" s="1548"/>
      <c r="AT11" s="1549"/>
      <c r="AU11" s="1178"/>
      <c r="AV11" s="1179"/>
      <c r="AY11" s="3">
        <v>1</v>
      </c>
    </row>
    <row r="12" spans="1:53" ht="27" customHeight="1">
      <c r="B12" s="104"/>
      <c r="C12" s="1172"/>
      <c r="D12" s="1172"/>
      <c r="E12" s="1172"/>
      <c r="F12" s="1173"/>
      <c r="G12" s="1174"/>
      <c r="H12" s="1175"/>
      <c r="I12" s="1176"/>
      <c r="J12" s="1177"/>
      <c r="K12" s="1547"/>
      <c r="L12" s="1177"/>
      <c r="M12" s="1548"/>
      <c r="N12" s="1549"/>
      <c r="O12" s="1178"/>
      <c r="P12" s="1179"/>
      <c r="Q12" s="1171"/>
      <c r="R12" s="104"/>
      <c r="S12" s="1172"/>
      <c r="T12" s="1172"/>
      <c r="U12" s="1172"/>
      <c r="V12" s="1173"/>
      <c r="W12" s="1174"/>
      <c r="X12" s="1175"/>
      <c r="Y12" s="1176"/>
      <c r="Z12" s="1177"/>
      <c r="AA12" s="1547"/>
      <c r="AB12" s="1177"/>
      <c r="AC12" s="1548"/>
      <c r="AD12" s="1549"/>
      <c r="AE12" s="1178"/>
      <c r="AF12" s="1179"/>
      <c r="AG12" s="1171"/>
      <c r="AH12" s="104"/>
      <c r="AI12" s="1172"/>
      <c r="AJ12" s="1172"/>
      <c r="AK12" s="1172"/>
      <c r="AL12" s="1173"/>
      <c r="AM12" s="1174"/>
      <c r="AN12" s="1175"/>
      <c r="AO12" s="1176"/>
      <c r="AP12" s="1177"/>
      <c r="AQ12" s="1547"/>
      <c r="AR12" s="1177"/>
      <c r="AS12" s="1548"/>
      <c r="AT12" s="1549"/>
      <c r="AU12" s="1178"/>
      <c r="AV12" s="1179"/>
      <c r="AY12" s="3">
        <v>1</v>
      </c>
    </row>
    <row r="13" spans="1:53" ht="27" customHeight="1">
      <c r="B13" s="104"/>
      <c r="C13" s="1172"/>
      <c r="D13" s="1172"/>
      <c r="E13" s="1172"/>
      <c r="F13" s="1173"/>
      <c r="G13" s="1174"/>
      <c r="H13" s="1175"/>
      <c r="I13" s="1176"/>
      <c r="J13" s="1177"/>
      <c r="K13" s="1547"/>
      <c r="L13" s="1177"/>
      <c r="M13" s="1548"/>
      <c r="N13" s="1549"/>
      <c r="O13" s="1178"/>
      <c r="P13" s="1179"/>
      <c r="Q13" s="1171"/>
      <c r="R13" s="104"/>
      <c r="S13" s="1172"/>
      <c r="T13" s="1172"/>
      <c r="U13" s="1172"/>
      <c r="V13" s="1173"/>
      <c r="W13" s="1174"/>
      <c r="X13" s="1175"/>
      <c r="Y13" s="1176"/>
      <c r="Z13" s="1177"/>
      <c r="AA13" s="1547"/>
      <c r="AB13" s="1177"/>
      <c r="AC13" s="1548"/>
      <c r="AD13" s="1549"/>
      <c r="AE13" s="1178"/>
      <c r="AF13" s="1179"/>
      <c r="AG13" s="1171"/>
      <c r="AH13" s="104"/>
      <c r="AI13" s="1172"/>
      <c r="AJ13" s="1172"/>
      <c r="AK13" s="1172"/>
      <c r="AL13" s="1173"/>
      <c r="AM13" s="1174"/>
      <c r="AN13" s="1175"/>
      <c r="AO13" s="1176"/>
      <c r="AP13" s="1177"/>
      <c r="AQ13" s="1547"/>
      <c r="AR13" s="1177"/>
      <c r="AS13" s="1548"/>
      <c r="AT13" s="1549"/>
      <c r="AU13" s="1178"/>
      <c r="AV13" s="1179"/>
      <c r="AY13" s="3">
        <v>1</v>
      </c>
    </row>
    <row r="14" spans="1:53" ht="27" customHeight="1">
      <c r="B14" s="104"/>
      <c r="C14" s="1172"/>
      <c r="D14" s="1172"/>
      <c r="E14" s="1172"/>
      <c r="F14" s="1173"/>
      <c r="G14" s="1174"/>
      <c r="H14" s="1175"/>
      <c r="I14" s="1176"/>
      <c r="J14" s="1177"/>
      <c r="K14" s="1547"/>
      <c r="L14" s="1177"/>
      <c r="M14" s="1548"/>
      <c r="N14" s="1549"/>
      <c r="O14" s="1178"/>
      <c r="P14" s="1179"/>
      <c r="Q14" s="1171"/>
      <c r="R14" s="104"/>
      <c r="S14" s="1172"/>
      <c r="T14" s="1172"/>
      <c r="U14" s="1172"/>
      <c r="V14" s="1173"/>
      <c r="W14" s="1174"/>
      <c r="X14" s="1175"/>
      <c r="Y14" s="1176"/>
      <c r="Z14" s="1177"/>
      <c r="AA14" s="1547"/>
      <c r="AB14" s="1177"/>
      <c r="AC14" s="1548"/>
      <c r="AD14" s="1549"/>
      <c r="AE14" s="1178"/>
      <c r="AF14" s="1179"/>
      <c r="AG14" s="1171"/>
      <c r="AH14" s="104"/>
      <c r="AI14" s="1172"/>
      <c r="AJ14" s="1172"/>
      <c r="AK14" s="1172"/>
      <c r="AL14" s="1173"/>
      <c r="AM14" s="1174"/>
      <c r="AN14" s="1175"/>
      <c r="AO14" s="1176"/>
      <c r="AP14" s="1177"/>
      <c r="AQ14" s="1547"/>
      <c r="AR14" s="1177"/>
      <c r="AS14" s="1548"/>
      <c r="AT14" s="1549"/>
      <c r="AU14" s="1178"/>
      <c r="AV14" s="1179"/>
      <c r="AY14" s="3">
        <v>1</v>
      </c>
    </row>
    <row r="15" spans="1:53" ht="27" customHeight="1">
      <c r="B15" s="104"/>
      <c r="C15" s="1172"/>
      <c r="D15" s="1172"/>
      <c r="E15" s="1172"/>
      <c r="F15" s="1173"/>
      <c r="G15" s="1174"/>
      <c r="H15" s="1175"/>
      <c r="I15" s="1176"/>
      <c r="J15" s="1177"/>
      <c r="K15" s="1547"/>
      <c r="L15" s="1177"/>
      <c r="M15" s="1548"/>
      <c r="N15" s="1549"/>
      <c r="O15" s="1178"/>
      <c r="P15" s="1179"/>
      <c r="Q15" s="1171"/>
      <c r="R15" s="104"/>
      <c r="S15" s="1172"/>
      <c r="T15" s="1172"/>
      <c r="U15" s="1172"/>
      <c r="V15" s="1173"/>
      <c r="W15" s="1174"/>
      <c r="X15" s="1175"/>
      <c r="Y15" s="1176"/>
      <c r="Z15" s="1177"/>
      <c r="AA15" s="1547"/>
      <c r="AB15" s="1177"/>
      <c r="AC15" s="1548"/>
      <c r="AD15" s="1549"/>
      <c r="AE15" s="1178"/>
      <c r="AF15" s="1179"/>
      <c r="AG15" s="1171"/>
      <c r="AH15" s="104"/>
      <c r="AI15" s="1172"/>
      <c r="AJ15" s="1172"/>
      <c r="AK15" s="1172"/>
      <c r="AL15" s="1173"/>
      <c r="AM15" s="1174"/>
      <c r="AN15" s="1175"/>
      <c r="AO15" s="1176"/>
      <c r="AP15" s="1177"/>
      <c r="AQ15" s="1547"/>
      <c r="AR15" s="1177"/>
      <c r="AS15" s="1548"/>
      <c r="AT15" s="1549"/>
      <c r="AU15" s="1178"/>
      <c r="AV15" s="1179"/>
      <c r="AY15" s="3">
        <v>1</v>
      </c>
    </row>
    <row r="16" spans="1:53" ht="27" customHeight="1">
      <c r="B16" s="104"/>
      <c r="C16" s="1172"/>
      <c r="D16" s="1172"/>
      <c r="E16" s="1172"/>
      <c r="F16" s="1173"/>
      <c r="G16" s="1174"/>
      <c r="H16" s="1175"/>
      <c r="I16" s="1176"/>
      <c r="J16" s="1177"/>
      <c r="K16" s="1547"/>
      <c r="L16" s="1177"/>
      <c r="M16" s="1548"/>
      <c r="N16" s="1549"/>
      <c r="O16" s="1178"/>
      <c r="P16" s="1179"/>
      <c r="Q16" s="1171"/>
      <c r="R16" s="104"/>
      <c r="S16" s="1172"/>
      <c r="T16" s="1172"/>
      <c r="U16" s="1172"/>
      <c r="V16" s="1173"/>
      <c r="W16" s="1174"/>
      <c r="X16" s="1175"/>
      <c r="Y16" s="1176"/>
      <c r="Z16" s="1177"/>
      <c r="AA16" s="1547"/>
      <c r="AB16" s="1177"/>
      <c r="AC16" s="1548"/>
      <c r="AD16" s="1549"/>
      <c r="AE16" s="1178"/>
      <c r="AF16" s="1179"/>
      <c r="AG16" s="1171"/>
      <c r="AH16" s="104"/>
      <c r="AI16" s="1172"/>
      <c r="AJ16" s="1172"/>
      <c r="AK16" s="1172"/>
      <c r="AL16" s="1173"/>
      <c r="AM16" s="1174"/>
      <c r="AN16" s="1175"/>
      <c r="AO16" s="1176"/>
      <c r="AP16" s="1177"/>
      <c r="AQ16" s="1547"/>
      <c r="AR16" s="1177"/>
      <c r="AS16" s="1548"/>
      <c r="AT16" s="1549"/>
      <c r="AU16" s="1178"/>
      <c r="AV16" s="1179"/>
      <c r="AY16" s="3">
        <v>1</v>
      </c>
    </row>
    <row r="17" spans="2:51" ht="27" customHeight="1">
      <c r="B17" s="104"/>
      <c r="C17" s="1172"/>
      <c r="D17" s="1172"/>
      <c r="E17" s="1172"/>
      <c r="F17" s="1173"/>
      <c r="G17" s="1174"/>
      <c r="H17" s="1175"/>
      <c r="I17" s="1176"/>
      <c r="J17" s="1177"/>
      <c r="K17" s="1547"/>
      <c r="L17" s="1177"/>
      <c r="M17" s="1548"/>
      <c r="N17" s="1549"/>
      <c r="O17" s="1178"/>
      <c r="P17" s="1179"/>
      <c r="Q17" s="1171"/>
      <c r="R17" s="104"/>
      <c r="S17" s="1172"/>
      <c r="T17" s="1172"/>
      <c r="U17" s="1172"/>
      <c r="V17" s="1173"/>
      <c r="W17" s="1174"/>
      <c r="X17" s="1175"/>
      <c r="Y17" s="1176"/>
      <c r="Z17" s="1177"/>
      <c r="AA17" s="1547"/>
      <c r="AB17" s="1177"/>
      <c r="AC17" s="1548"/>
      <c r="AD17" s="1549"/>
      <c r="AE17" s="1178"/>
      <c r="AF17" s="1179"/>
      <c r="AG17" s="1171"/>
      <c r="AH17" s="104"/>
      <c r="AI17" s="1172"/>
      <c r="AJ17" s="1172"/>
      <c r="AK17" s="1172"/>
      <c r="AL17" s="1173"/>
      <c r="AM17" s="1174"/>
      <c r="AN17" s="1175"/>
      <c r="AO17" s="1176"/>
      <c r="AP17" s="1177"/>
      <c r="AQ17" s="1547"/>
      <c r="AR17" s="1177"/>
      <c r="AS17" s="1548"/>
      <c r="AT17" s="1549"/>
      <c r="AU17" s="1178"/>
      <c r="AV17" s="1179"/>
      <c r="AY17" s="3">
        <v>1</v>
      </c>
    </row>
    <row r="18" spans="2:51" ht="27" customHeight="1">
      <c r="B18" s="104"/>
      <c r="C18" s="1172"/>
      <c r="D18" s="1172"/>
      <c r="E18" s="1172"/>
      <c r="F18" s="1173"/>
      <c r="G18" s="1174"/>
      <c r="H18" s="1175"/>
      <c r="I18" s="1176"/>
      <c r="J18" s="1177"/>
      <c r="K18" s="1547"/>
      <c r="L18" s="1177"/>
      <c r="M18" s="1548"/>
      <c r="N18" s="1549"/>
      <c r="O18" s="1178"/>
      <c r="P18" s="1179"/>
      <c r="Q18" s="1171"/>
      <c r="R18" s="104"/>
      <c r="S18" s="1172"/>
      <c r="T18" s="1172"/>
      <c r="U18" s="1172"/>
      <c r="V18" s="1173"/>
      <c r="W18" s="1174"/>
      <c r="X18" s="1175"/>
      <c r="Y18" s="1176"/>
      <c r="Z18" s="1177"/>
      <c r="AA18" s="1547"/>
      <c r="AB18" s="1177"/>
      <c r="AC18" s="1548"/>
      <c r="AD18" s="1549"/>
      <c r="AE18" s="1178"/>
      <c r="AF18" s="1179"/>
      <c r="AG18" s="1171"/>
      <c r="AH18" s="104"/>
      <c r="AI18" s="1172"/>
      <c r="AJ18" s="1172"/>
      <c r="AK18" s="1172"/>
      <c r="AL18" s="1173"/>
      <c r="AM18" s="1174"/>
      <c r="AN18" s="1175"/>
      <c r="AO18" s="1176"/>
      <c r="AP18" s="1177"/>
      <c r="AQ18" s="1547"/>
      <c r="AR18" s="1177"/>
      <c r="AS18" s="1548"/>
      <c r="AT18" s="1549"/>
      <c r="AU18" s="1178"/>
      <c r="AV18" s="1179"/>
      <c r="AY18" s="3">
        <v>1</v>
      </c>
    </row>
    <row r="19" spans="2:51" ht="27" customHeight="1">
      <c r="B19" s="104"/>
      <c r="C19" s="1172"/>
      <c r="D19" s="1172"/>
      <c r="E19" s="1172"/>
      <c r="F19" s="1173"/>
      <c r="G19" s="1174"/>
      <c r="H19" s="1175"/>
      <c r="I19" s="1176"/>
      <c r="J19" s="1177"/>
      <c r="K19" s="1547"/>
      <c r="L19" s="1177"/>
      <c r="M19" s="1548"/>
      <c r="N19" s="1549"/>
      <c r="O19" s="1178"/>
      <c r="P19" s="1179"/>
      <c r="Q19" s="1171"/>
      <c r="R19" s="104"/>
      <c r="S19" s="1172"/>
      <c r="T19" s="1172"/>
      <c r="U19" s="1172"/>
      <c r="V19" s="1173"/>
      <c r="W19" s="1174"/>
      <c r="X19" s="1175"/>
      <c r="Y19" s="1176"/>
      <c r="Z19" s="1177"/>
      <c r="AA19" s="1547"/>
      <c r="AB19" s="1177"/>
      <c r="AC19" s="1548"/>
      <c r="AD19" s="1549"/>
      <c r="AE19" s="1178"/>
      <c r="AF19" s="1179"/>
      <c r="AG19" s="1171"/>
      <c r="AH19" s="104"/>
      <c r="AI19" s="1172"/>
      <c r="AJ19" s="1172"/>
      <c r="AK19" s="1172"/>
      <c r="AL19" s="1173"/>
      <c r="AM19" s="1174"/>
      <c r="AN19" s="1175"/>
      <c r="AO19" s="1176"/>
      <c r="AP19" s="1177"/>
      <c r="AQ19" s="1547"/>
      <c r="AR19" s="1177"/>
      <c r="AS19" s="1548"/>
      <c r="AT19" s="1549"/>
      <c r="AU19" s="1178"/>
      <c r="AV19" s="1179"/>
      <c r="AY19" s="3">
        <v>1</v>
      </c>
    </row>
    <row r="20" spans="2:51" ht="27" customHeight="1">
      <c r="B20" s="104"/>
      <c r="C20" s="1172"/>
      <c r="D20" s="1172"/>
      <c r="E20" s="1172"/>
      <c r="F20" s="1173"/>
      <c r="G20" s="1174"/>
      <c r="H20" s="1175"/>
      <c r="I20" s="1176"/>
      <c r="J20" s="1177"/>
      <c r="K20" s="1547"/>
      <c r="L20" s="1177"/>
      <c r="M20" s="1548"/>
      <c r="N20" s="1549"/>
      <c r="O20" s="1178"/>
      <c r="P20" s="1179"/>
      <c r="Q20" s="1171"/>
      <c r="R20" s="104"/>
      <c r="S20" s="1172"/>
      <c r="T20" s="1172"/>
      <c r="U20" s="1172"/>
      <c r="V20" s="1173"/>
      <c r="W20" s="1174"/>
      <c r="X20" s="1175"/>
      <c r="Y20" s="1176"/>
      <c r="Z20" s="1177"/>
      <c r="AA20" s="1547"/>
      <c r="AB20" s="1177"/>
      <c r="AC20" s="1548"/>
      <c r="AD20" s="1549"/>
      <c r="AE20" s="1178"/>
      <c r="AF20" s="1179"/>
      <c r="AG20" s="1171"/>
      <c r="AH20" s="104"/>
      <c r="AI20" s="1172"/>
      <c r="AJ20" s="1172"/>
      <c r="AK20" s="1172"/>
      <c r="AL20" s="1173"/>
      <c r="AM20" s="1174"/>
      <c r="AN20" s="1175"/>
      <c r="AO20" s="1176"/>
      <c r="AP20" s="1177"/>
      <c r="AQ20" s="1547"/>
      <c r="AR20" s="1177"/>
      <c r="AS20" s="1548"/>
      <c r="AT20" s="1549"/>
      <c r="AU20" s="1178"/>
      <c r="AV20" s="1179"/>
      <c r="AY20" s="3">
        <v>1</v>
      </c>
    </row>
    <row r="21" spans="2:51" ht="27" customHeight="1">
      <c r="B21" s="104"/>
      <c r="C21" s="1172"/>
      <c r="D21" s="1172"/>
      <c r="E21" s="1172"/>
      <c r="F21" s="1173"/>
      <c r="G21" s="1174"/>
      <c r="H21" s="1175"/>
      <c r="I21" s="1176"/>
      <c r="J21" s="1177"/>
      <c r="K21" s="1547"/>
      <c r="L21" s="1177"/>
      <c r="M21" s="1548"/>
      <c r="N21" s="1549"/>
      <c r="O21" s="1178"/>
      <c r="P21" s="1179"/>
      <c r="Q21" s="1171"/>
      <c r="R21" s="104"/>
      <c r="S21" s="1172"/>
      <c r="T21" s="1172"/>
      <c r="U21" s="1172"/>
      <c r="V21" s="1173"/>
      <c r="W21" s="1174"/>
      <c r="X21" s="1175"/>
      <c r="Y21" s="1176"/>
      <c r="Z21" s="1177"/>
      <c r="AA21" s="1547"/>
      <c r="AB21" s="1177"/>
      <c r="AC21" s="1548"/>
      <c r="AD21" s="1549"/>
      <c r="AE21" s="1178"/>
      <c r="AF21" s="1179"/>
      <c r="AG21" s="1171"/>
      <c r="AH21" s="104"/>
      <c r="AI21" s="1172"/>
      <c r="AJ21" s="1172"/>
      <c r="AK21" s="1172"/>
      <c r="AL21" s="1173"/>
      <c r="AM21" s="1174"/>
      <c r="AN21" s="1175"/>
      <c r="AO21" s="1176"/>
      <c r="AP21" s="1177"/>
      <c r="AQ21" s="1547"/>
      <c r="AR21" s="1177"/>
      <c r="AS21" s="1548"/>
      <c r="AT21" s="1549"/>
      <c r="AU21" s="1178"/>
      <c r="AV21" s="1179"/>
      <c r="AY21" s="3">
        <v>1</v>
      </c>
    </row>
    <row r="22" spans="2:51" ht="27" customHeight="1">
      <c r="B22" s="104"/>
      <c r="C22" s="1172"/>
      <c r="D22" s="1172"/>
      <c r="E22" s="1172"/>
      <c r="F22" s="1173"/>
      <c r="G22" s="1174"/>
      <c r="H22" s="1175"/>
      <c r="I22" s="1176"/>
      <c r="J22" s="1177"/>
      <c r="K22" s="1547"/>
      <c r="L22" s="1177"/>
      <c r="M22" s="1548"/>
      <c r="N22" s="1549"/>
      <c r="O22" s="1178"/>
      <c r="P22" s="1179"/>
      <c r="Q22" s="1171"/>
      <c r="R22" s="104"/>
      <c r="S22" s="1172"/>
      <c r="T22" s="1172"/>
      <c r="U22" s="1172"/>
      <c r="V22" s="1173"/>
      <c r="W22" s="1174"/>
      <c r="X22" s="1175"/>
      <c r="Y22" s="1176"/>
      <c r="Z22" s="1177"/>
      <c r="AA22" s="1547"/>
      <c r="AB22" s="1177"/>
      <c r="AC22" s="1548"/>
      <c r="AD22" s="1549"/>
      <c r="AE22" s="1178"/>
      <c r="AF22" s="1179"/>
      <c r="AG22" s="1171"/>
      <c r="AH22" s="104"/>
      <c r="AI22" s="1172"/>
      <c r="AJ22" s="1172"/>
      <c r="AK22" s="1172"/>
      <c r="AL22" s="1173"/>
      <c r="AM22" s="1174"/>
      <c r="AN22" s="1175"/>
      <c r="AO22" s="1176"/>
      <c r="AP22" s="1177"/>
      <c r="AQ22" s="1547"/>
      <c r="AR22" s="1177"/>
      <c r="AS22" s="1548"/>
      <c r="AT22" s="1549"/>
      <c r="AU22" s="1178"/>
      <c r="AV22" s="1179"/>
      <c r="AY22" s="3">
        <v>1</v>
      </c>
    </row>
    <row r="23" spans="2:51" ht="27" customHeight="1">
      <c r="B23" s="104"/>
      <c r="C23" s="1172"/>
      <c r="D23" s="1172"/>
      <c r="E23" s="1172"/>
      <c r="F23" s="1173"/>
      <c r="G23" s="1174"/>
      <c r="H23" s="1175"/>
      <c r="I23" s="1176"/>
      <c r="J23" s="1177"/>
      <c r="K23" s="1547"/>
      <c r="L23" s="1177"/>
      <c r="M23" s="1548"/>
      <c r="N23" s="1549"/>
      <c r="O23" s="1178"/>
      <c r="P23" s="1179"/>
      <c r="Q23" s="1171"/>
      <c r="R23" s="104"/>
      <c r="S23" s="1172"/>
      <c r="T23" s="1172"/>
      <c r="U23" s="1172"/>
      <c r="V23" s="1173"/>
      <c r="W23" s="1174"/>
      <c r="X23" s="1175"/>
      <c r="Y23" s="1176"/>
      <c r="Z23" s="1177"/>
      <c r="AA23" s="1547"/>
      <c r="AB23" s="1177"/>
      <c r="AC23" s="1548"/>
      <c r="AD23" s="1549"/>
      <c r="AE23" s="1178"/>
      <c r="AF23" s="1179"/>
      <c r="AG23" s="1171"/>
      <c r="AH23" s="104"/>
      <c r="AI23" s="1172"/>
      <c r="AJ23" s="1172"/>
      <c r="AK23" s="1172"/>
      <c r="AL23" s="1173"/>
      <c r="AM23" s="1174"/>
      <c r="AN23" s="1175"/>
      <c r="AO23" s="1176"/>
      <c r="AP23" s="1177"/>
      <c r="AQ23" s="1547"/>
      <c r="AR23" s="1177"/>
      <c r="AS23" s="1548"/>
      <c r="AT23" s="1549"/>
      <c r="AU23" s="1178"/>
      <c r="AV23" s="1179"/>
      <c r="AY23" s="3">
        <v>1</v>
      </c>
    </row>
    <row r="24" spans="2:51" ht="27" customHeight="1">
      <c r="B24" s="104"/>
      <c r="C24" s="1172"/>
      <c r="D24" s="1172"/>
      <c r="E24" s="1172"/>
      <c r="F24" s="1173"/>
      <c r="G24" s="1174"/>
      <c r="H24" s="1175"/>
      <c r="I24" s="1176"/>
      <c r="J24" s="1177"/>
      <c r="K24" s="1547"/>
      <c r="L24" s="1177"/>
      <c r="M24" s="1548"/>
      <c r="N24" s="1549"/>
      <c r="O24" s="1178"/>
      <c r="P24" s="1179"/>
      <c r="Q24" s="1171"/>
      <c r="R24" s="104"/>
      <c r="S24" s="1172"/>
      <c r="T24" s="1172"/>
      <c r="U24" s="1172"/>
      <c r="V24" s="1173"/>
      <c r="W24" s="1174"/>
      <c r="X24" s="1175"/>
      <c r="Y24" s="1176"/>
      <c r="Z24" s="1177"/>
      <c r="AA24" s="1547"/>
      <c r="AB24" s="1177"/>
      <c r="AC24" s="1548"/>
      <c r="AD24" s="1549"/>
      <c r="AE24" s="1178"/>
      <c r="AF24" s="1179"/>
      <c r="AG24" s="1171"/>
      <c r="AH24" s="104"/>
      <c r="AI24" s="1172"/>
      <c r="AJ24" s="1172"/>
      <c r="AK24" s="1172"/>
      <c r="AL24" s="1173"/>
      <c r="AM24" s="1174"/>
      <c r="AN24" s="1175"/>
      <c r="AO24" s="1176"/>
      <c r="AP24" s="1177"/>
      <c r="AQ24" s="1547"/>
      <c r="AR24" s="1177"/>
      <c r="AS24" s="1548"/>
      <c r="AT24" s="1549"/>
      <c r="AU24" s="1178"/>
      <c r="AV24" s="1179"/>
      <c r="AY24" s="3">
        <v>1</v>
      </c>
    </row>
    <row r="25" spans="2:51" ht="27" customHeight="1">
      <c r="B25" s="104"/>
      <c r="C25" s="1172"/>
      <c r="D25" s="1172"/>
      <c r="E25" s="1172"/>
      <c r="F25" s="1173"/>
      <c r="G25" s="1174"/>
      <c r="H25" s="1175"/>
      <c r="I25" s="1176"/>
      <c r="J25" s="1177"/>
      <c r="K25" s="1547"/>
      <c r="L25" s="1177"/>
      <c r="M25" s="1548"/>
      <c r="N25" s="1549"/>
      <c r="O25" s="1178"/>
      <c r="P25" s="1179"/>
      <c r="Q25" s="1171"/>
      <c r="R25" s="104"/>
      <c r="S25" s="1172"/>
      <c r="T25" s="1172"/>
      <c r="U25" s="1172"/>
      <c r="V25" s="1173"/>
      <c r="W25" s="1174"/>
      <c r="X25" s="1175"/>
      <c r="Y25" s="1176"/>
      <c r="Z25" s="1177"/>
      <c r="AA25" s="1547"/>
      <c r="AB25" s="1177"/>
      <c r="AC25" s="1548"/>
      <c r="AD25" s="1549"/>
      <c r="AE25" s="1178"/>
      <c r="AF25" s="1179"/>
      <c r="AG25" s="1171"/>
      <c r="AH25" s="104"/>
      <c r="AI25" s="1172"/>
      <c r="AJ25" s="1172"/>
      <c r="AK25" s="1172"/>
      <c r="AL25" s="1173"/>
      <c r="AM25" s="1174"/>
      <c r="AN25" s="1175"/>
      <c r="AO25" s="1176"/>
      <c r="AP25" s="1177"/>
      <c r="AQ25" s="1547"/>
      <c r="AR25" s="1177"/>
      <c r="AS25" s="1548"/>
      <c r="AT25" s="1549"/>
      <c r="AU25" s="1178"/>
      <c r="AV25" s="1179"/>
      <c r="AY25" s="3">
        <v>1</v>
      </c>
    </row>
    <row r="26" spans="2:51" ht="27" customHeight="1">
      <c r="B26" s="104"/>
      <c r="C26" s="1172"/>
      <c r="D26" s="1172"/>
      <c r="E26" s="1172"/>
      <c r="F26" s="1173"/>
      <c r="G26" s="1174"/>
      <c r="H26" s="1175"/>
      <c r="I26" s="1176"/>
      <c r="J26" s="1177"/>
      <c r="K26" s="1547"/>
      <c r="L26" s="1177"/>
      <c r="M26" s="1548"/>
      <c r="N26" s="1549"/>
      <c r="O26" s="1178"/>
      <c r="P26" s="1179"/>
      <c r="Q26" s="1171"/>
      <c r="R26" s="104"/>
      <c r="S26" s="1172"/>
      <c r="T26" s="1172"/>
      <c r="U26" s="1172"/>
      <c r="V26" s="1173"/>
      <c r="W26" s="1174"/>
      <c r="X26" s="1175"/>
      <c r="Y26" s="1176"/>
      <c r="Z26" s="1177"/>
      <c r="AA26" s="1547"/>
      <c r="AB26" s="1177"/>
      <c r="AC26" s="1548"/>
      <c r="AD26" s="1549"/>
      <c r="AE26" s="1178"/>
      <c r="AF26" s="1179"/>
      <c r="AG26" s="1171"/>
      <c r="AH26" s="104"/>
      <c r="AI26" s="1172"/>
      <c r="AJ26" s="1172"/>
      <c r="AK26" s="1172"/>
      <c r="AL26" s="1173"/>
      <c r="AM26" s="1174"/>
      <c r="AN26" s="1175"/>
      <c r="AO26" s="1176"/>
      <c r="AP26" s="1177"/>
      <c r="AQ26" s="1547"/>
      <c r="AR26" s="1177"/>
      <c r="AS26" s="1548"/>
      <c r="AT26" s="1549"/>
      <c r="AU26" s="1178"/>
      <c r="AV26" s="1179"/>
      <c r="AY26" s="3">
        <v>1</v>
      </c>
    </row>
    <row r="27" spans="2:51" ht="27" customHeight="1">
      <c r="B27" s="104"/>
      <c r="C27" s="1172"/>
      <c r="D27" s="1172"/>
      <c r="E27" s="1172"/>
      <c r="F27" s="1173"/>
      <c r="G27" s="1174"/>
      <c r="H27" s="1175"/>
      <c r="I27" s="1176"/>
      <c r="J27" s="1177"/>
      <c r="K27" s="1547"/>
      <c r="L27" s="1177"/>
      <c r="M27" s="1548"/>
      <c r="N27" s="1549"/>
      <c r="O27" s="1178"/>
      <c r="P27" s="1179"/>
      <c r="Q27" s="1171"/>
      <c r="R27" s="104"/>
      <c r="S27" s="1172"/>
      <c r="T27" s="1172"/>
      <c r="U27" s="1172"/>
      <c r="V27" s="1173"/>
      <c r="W27" s="1174"/>
      <c r="X27" s="1175"/>
      <c r="Y27" s="1176"/>
      <c r="Z27" s="1177"/>
      <c r="AA27" s="1547"/>
      <c r="AB27" s="1177"/>
      <c r="AC27" s="1548"/>
      <c r="AD27" s="1549"/>
      <c r="AE27" s="1178"/>
      <c r="AF27" s="1179"/>
      <c r="AG27" s="1171"/>
      <c r="AH27" s="104"/>
      <c r="AI27" s="1172"/>
      <c r="AJ27" s="1172"/>
      <c r="AK27" s="1172"/>
      <c r="AL27" s="1173"/>
      <c r="AM27" s="1174"/>
      <c r="AN27" s="1175"/>
      <c r="AO27" s="1176"/>
      <c r="AP27" s="1177"/>
      <c r="AQ27" s="1547"/>
      <c r="AR27" s="1177"/>
      <c r="AS27" s="1548"/>
      <c r="AT27" s="1549"/>
      <c r="AU27" s="1178"/>
      <c r="AV27" s="1179"/>
      <c r="AY27" s="3">
        <v>1</v>
      </c>
    </row>
    <row r="28" spans="2:51" ht="27" customHeight="1">
      <c r="B28" s="104"/>
      <c r="C28" s="1172"/>
      <c r="D28" s="1172"/>
      <c r="E28" s="1172"/>
      <c r="F28" s="1173"/>
      <c r="G28" s="1174"/>
      <c r="H28" s="1175"/>
      <c r="I28" s="1176"/>
      <c r="J28" s="1177"/>
      <c r="K28" s="1547"/>
      <c r="L28" s="1177"/>
      <c r="M28" s="1548"/>
      <c r="N28" s="1549"/>
      <c r="O28" s="1178"/>
      <c r="P28" s="1179"/>
      <c r="Q28" s="1171"/>
      <c r="R28" s="104"/>
      <c r="S28" s="1172"/>
      <c r="T28" s="1172"/>
      <c r="U28" s="1172"/>
      <c r="V28" s="1173"/>
      <c r="W28" s="1174"/>
      <c r="X28" s="1175"/>
      <c r="Y28" s="1176"/>
      <c r="Z28" s="1177"/>
      <c r="AA28" s="1547"/>
      <c r="AB28" s="1177"/>
      <c r="AC28" s="1548"/>
      <c r="AD28" s="1549"/>
      <c r="AE28" s="1178"/>
      <c r="AF28" s="1179"/>
      <c r="AG28" s="1171"/>
      <c r="AH28" s="104"/>
      <c r="AI28" s="1172"/>
      <c r="AJ28" s="1172"/>
      <c r="AK28" s="1172"/>
      <c r="AL28" s="1173"/>
      <c r="AM28" s="1174"/>
      <c r="AN28" s="1175"/>
      <c r="AO28" s="1176"/>
      <c r="AP28" s="1177"/>
      <c r="AQ28" s="1547"/>
      <c r="AR28" s="1177"/>
      <c r="AS28" s="1548"/>
      <c r="AT28" s="1549"/>
      <c r="AU28" s="1178"/>
      <c r="AV28" s="1179"/>
      <c r="AY28" s="3">
        <v>1</v>
      </c>
    </row>
    <row r="29" spans="2:51" ht="27" customHeight="1">
      <c r="B29" s="104"/>
      <c r="C29" s="1172"/>
      <c r="D29" s="1172"/>
      <c r="E29" s="1172"/>
      <c r="F29" s="1173"/>
      <c r="G29" s="1174"/>
      <c r="H29" s="1175"/>
      <c r="I29" s="1176"/>
      <c r="J29" s="1177"/>
      <c r="K29" s="1547"/>
      <c r="L29" s="1177"/>
      <c r="M29" s="1548"/>
      <c r="N29" s="1549"/>
      <c r="O29" s="1178"/>
      <c r="P29" s="1179"/>
      <c r="Q29" s="1171"/>
      <c r="R29" s="104"/>
      <c r="S29" s="1172"/>
      <c r="T29" s="1172"/>
      <c r="U29" s="1172"/>
      <c r="V29" s="1173"/>
      <c r="W29" s="1174"/>
      <c r="X29" s="1175"/>
      <c r="Y29" s="1176"/>
      <c r="Z29" s="1177"/>
      <c r="AA29" s="1547"/>
      <c r="AB29" s="1177"/>
      <c r="AC29" s="1548"/>
      <c r="AD29" s="1549"/>
      <c r="AE29" s="1178"/>
      <c r="AF29" s="1179"/>
      <c r="AG29" s="1171"/>
      <c r="AH29" s="104"/>
      <c r="AI29" s="1172"/>
      <c r="AJ29" s="1172"/>
      <c r="AK29" s="1172"/>
      <c r="AL29" s="1173"/>
      <c r="AM29" s="1174"/>
      <c r="AN29" s="1175"/>
      <c r="AO29" s="1176"/>
      <c r="AP29" s="1177"/>
      <c r="AQ29" s="1547"/>
      <c r="AR29" s="1177"/>
      <c r="AS29" s="1548"/>
      <c r="AT29" s="1549"/>
      <c r="AU29" s="1178"/>
      <c r="AV29" s="1179"/>
      <c r="AY29" s="3">
        <v>1</v>
      </c>
    </row>
    <row r="30" spans="2:51" ht="27" customHeight="1">
      <c r="B30" s="104"/>
      <c r="C30" s="1172"/>
      <c r="D30" s="1172"/>
      <c r="E30" s="1172"/>
      <c r="F30" s="1173"/>
      <c r="G30" s="1174"/>
      <c r="H30" s="1175"/>
      <c r="I30" s="1176"/>
      <c r="J30" s="1177"/>
      <c r="K30" s="1547"/>
      <c r="L30" s="1177"/>
      <c r="M30" s="1548"/>
      <c r="N30" s="1549"/>
      <c r="O30" s="1178"/>
      <c r="P30" s="1179"/>
      <c r="Q30" s="1171"/>
      <c r="R30" s="104"/>
      <c r="S30" s="1172"/>
      <c r="T30" s="1172"/>
      <c r="U30" s="1172"/>
      <c r="V30" s="1173"/>
      <c r="W30" s="1174"/>
      <c r="X30" s="1175"/>
      <c r="Y30" s="1176"/>
      <c r="Z30" s="1177"/>
      <c r="AA30" s="1547"/>
      <c r="AB30" s="1177"/>
      <c r="AC30" s="1548"/>
      <c r="AD30" s="1549"/>
      <c r="AE30" s="1178"/>
      <c r="AF30" s="1179"/>
      <c r="AG30" s="1171"/>
      <c r="AH30" s="104"/>
      <c r="AI30" s="1172"/>
      <c r="AJ30" s="1172"/>
      <c r="AK30" s="1172"/>
      <c r="AL30" s="1173"/>
      <c r="AM30" s="1174"/>
      <c r="AN30" s="1175"/>
      <c r="AO30" s="1176"/>
      <c r="AP30" s="1177"/>
      <c r="AQ30" s="1547"/>
      <c r="AR30" s="1177"/>
      <c r="AS30" s="1548"/>
      <c r="AT30" s="1549"/>
      <c r="AU30" s="1178"/>
      <c r="AV30" s="1179"/>
      <c r="AY30" s="3">
        <v>1</v>
      </c>
    </row>
    <row r="31" spans="2:51" ht="27" customHeight="1">
      <c r="B31" s="104"/>
      <c r="C31" s="1172"/>
      <c r="D31" s="1172"/>
      <c r="E31" s="1172"/>
      <c r="F31" s="1173"/>
      <c r="G31" s="1174"/>
      <c r="H31" s="1175"/>
      <c r="I31" s="1176"/>
      <c r="J31" s="1177"/>
      <c r="K31" s="1547"/>
      <c r="L31" s="1177"/>
      <c r="M31" s="1548"/>
      <c r="N31" s="1549"/>
      <c r="O31" s="1178"/>
      <c r="P31" s="1179"/>
      <c r="Q31" s="1171"/>
      <c r="R31" s="104"/>
      <c r="S31" s="1172"/>
      <c r="T31" s="1172"/>
      <c r="U31" s="1172"/>
      <c r="V31" s="1173"/>
      <c r="W31" s="1174"/>
      <c r="X31" s="1175"/>
      <c r="Y31" s="1176"/>
      <c r="Z31" s="1177"/>
      <c r="AA31" s="1547"/>
      <c r="AB31" s="1177"/>
      <c r="AC31" s="1548"/>
      <c r="AD31" s="1549"/>
      <c r="AE31" s="1178"/>
      <c r="AF31" s="1179"/>
      <c r="AG31" s="1171"/>
      <c r="AH31" s="104"/>
      <c r="AI31" s="1172"/>
      <c r="AJ31" s="1172"/>
      <c r="AK31" s="1172"/>
      <c r="AL31" s="1173"/>
      <c r="AM31" s="1174"/>
      <c r="AN31" s="1175"/>
      <c r="AO31" s="1176"/>
      <c r="AP31" s="1177"/>
      <c r="AQ31" s="1547"/>
      <c r="AR31" s="1177"/>
      <c r="AS31" s="1548"/>
      <c r="AT31" s="1549"/>
      <c r="AU31" s="1178"/>
      <c r="AV31" s="1179"/>
      <c r="AY31" s="3">
        <v>1</v>
      </c>
    </row>
    <row r="32" spans="2:51" ht="27" customHeight="1">
      <c r="B32" s="104"/>
      <c r="C32" s="1172"/>
      <c r="D32" s="1172"/>
      <c r="E32" s="1172"/>
      <c r="F32" s="1173"/>
      <c r="G32" s="1174"/>
      <c r="H32" s="1175"/>
      <c r="I32" s="1176"/>
      <c r="J32" s="1177"/>
      <c r="K32" s="1547"/>
      <c r="L32" s="1177"/>
      <c r="M32" s="1548"/>
      <c r="N32" s="1549"/>
      <c r="O32" s="1178"/>
      <c r="P32" s="1179"/>
      <c r="Q32" s="1171"/>
      <c r="R32" s="104"/>
      <c r="S32" s="1172"/>
      <c r="T32" s="1172"/>
      <c r="U32" s="1172"/>
      <c r="V32" s="1173"/>
      <c r="W32" s="1174"/>
      <c r="X32" s="1175"/>
      <c r="Y32" s="1176"/>
      <c r="Z32" s="1177"/>
      <c r="AA32" s="1547"/>
      <c r="AB32" s="1177"/>
      <c r="AC32" s="1548"/>
      <c r="AD32" s="1549"/>
      <c r="AE32" s="1178"/>
      <c r="AF32" s="1179"/>
      <c r="AG32" s="1171"/>
      <c r="AH32" s="104"/>
      <c r="AI32" s="1172"/>
      <c r="AJ32" s="1172"/>
      <c r="AK32" s="1172"/>
      <c r="AL32" s="1173"/>
      <c r="AM32" s="1174"/>
      <c r="AN32" s="1175"/>
      <c r="AO32" s="1176"/>
      <c r="AP32" s="1177"/>
      <c r="AQ32" s="1547"/>
      <c r="AR32" s="1177"/>
      <c r="AS32" s="1548"/>
      <c r="AT32" s="1549"/>
      <c r="AU32" s="1178"/>
      <c r="AV32" s="1179"/>
      <c r="AY32" s="3">
        <v>1</v>
      </c>
    </row>
    <row r="33" spans="2:51" ht="27" customHeight="1">
      <c r="B33" s="104"/>
      <c r="C33" s="1172"/>
      <c r="D33" s="1172"/>
      <c r="E33" s="1172"/>
      <c r="F33" s="1173"/>
      <c r="G33" s="1174"/>
      <c r="H33" s="1175"/>
      <c r="I33" s="1176"/>
      <c r="J33" s="1177"/>
      <c r="K33" s="1547"/>
      <c r="L33" s="1177"/>
      <c r="M33" s="1548"/>
      <c r="N33" s="1549"/>
      <c r="O33" s="1178"/>
      <c r="P33" s="1179"/>
      <c r="Q33" s="1171"/>
      <c r="R33" s="104"/>
      <c r="S33" s="1172"/>
      <c r="T33" s="1172"/>
      <c r="U33" s="1172"/>
      <c r="V33" s="1173"/>
      <c r="W33" s="1174"/>
      <c r="X33" s="1175"/>
      <c r="Y33" s="1176"/>
      <c r="Z33" s="1177"/>
      <c r="AA33" s="1547"/>
      <c r="AB33" s="1177"/>
      <c r="AC33" s="1548"/>
      <c r="AD33" s="1549"/>
      <c r="AE33" s="1178"/>
      <c r="AF33" s="1179"/>
      <c r="AG33" s="1171"/>
      <c r="AH33" s="104"/>
      <c r="AI33" s="1172"/>
      <c r="AJ33" s="1172"/>
      <c r="AK33" s="1172"/>
      <c r="AL33" s="1173"/>
      <c r="AM33" s="1174"/>
      <c r="AN33" s="1175"/>
      <c r="AO33" s="1176"/>
      <c r="AP33" s="1177"/>
      <c r="AQ33" s="1547"/>
      <c r="AR33" s="1177"/>
      <c r="AS33" s="1548"/>
      <c r="AT33" s="1549"/>
      <c r="AU33" s="1178"/>
      <c r="AV33" s="1179"/>
      <c r="AY33" s="3">
        <v>1</v>
      </c>
    </row>
    <row r="34" spans="2:51" ht="27" customHeight="1">
      <c r="B34" s="104"/>
      <c r="C34" s="1172"/>
      <c r="D34" s="1172"/>
      <c r="E34" s="1172"/>
      <c r="F34" s="1173"/>
      <c r="G34" s="1174"/>
      <c r="H34" s="1175"/>
      <c r="I34" s="1176"/>
      <c r="J34" s="1177"/>
      <c r="K34" s="1547"/>
      <c r="L34" s="1177"/>
      <c r="M34" s="1548"/>
      <c r="N34" s="1549"/>
      <c r="O34" s="1178"/>
      <c r="P34" s="1179"/>
      <c r="Q34" s="1171"/>
      <c r="R34" s="104"/>
      <c r="S34" s="1172"/>
      <c r="T34" s="1172"/>
      <c r="U34" s="1172"/>
      <c r="V34" s="1173"/>
      <c r="W34" s="1174"/>
      <c r="X34" s="1175"/>
      <c r="Y34" s="1176"/>
      <c r="Z34" s="1177"/>
      <c r="AA34" s="1547"/>
      <c r="AB34" s="1177"/>
      <c r="AC34" s="1548"/>
      <c r="AD34" s="1549"/>
      <c r="AE34" s="1178"/>
      <c r="AF34" s="1179"/>
      <c r="AG34" s="1171"/>
      <c r="AH34" s="104"/>
      <c r="AI34" s="1172"/>
      <c r="AJ34" s="1172"/>
      <c r="AK34" s="1172"/>
      <c r="AL34" s="1173"/>
      <c r="AM34" s="1174"/>
      <c r="AN34" s="1175"/>
      <c r="AO34" s="1176"/>
      <c r="AP34" s="1177"/>
      <c r="AQ34" s="1547"/>
      <c r="AR34" s="1177"/>
      <c r="AS34" s="1548"/>
      <c r="AT34" s="1549"/>
      <c r="AU34" s="1178"/>
      <c r="AV34" s="1179"/>
      <c r="AY34" s="3">
        <v>1</v>
      </c>
    </row>
    <row r="35" spans="2:51" ht="27" customHeight="1">
      <c r="B35" s="104"/>
      <c r="C35" s="1172"/>
      <c r="D35" s="1172"/>
      <c r="E35" s="1172"/>
      <c r="F35" s="1173"/>
      <c r="G35" s="1174"/>
      <c r="H35" s="1175"/>
      <c r="I35" s="1176"/>
      <c r="J35" s="1177"/>
      <c r="K35" s="1547"/>
      <c r="L35" s="1177"/>
      <c r="M35" s="1548"/>
      <c r="N35" s="1549"/>
      <c r="O35" s="1178"/>
      <c r="P35" s="1179"/>
      <c r="Q35" s="1171"/>
      <c r="R35" s="104"/>
      <c r="S35" s="1172"/>
      <c r="T35" s="1172"/>
      <c r="U35" s="1172"/>
      <c r="V35" s="1173"/>
      <c r="W35" s="1174"/>
      <c r="X35" s="1175"/>
      <c r="Y35" s="1176"/>
      <c r="Z35" s="1177"/>
      <c r="AA35" s="1547"/>
      <c r="AB35" s="1177"/>
      <c r="AC35" s="1548"/>
      <c r="AD35" s="1549"/>
      <c r="AE35" s="1178"/>
      <c r="AF35" s="1179"/>
      <c r="AG35" s="1171"/>
      <c r="AH35" s="104"/>
      <c r="AI35" s="1172"/>
      <c r="AJ35" s="1172"/>
      <c r="AK35" s="1172"/>
      <c r="AL35" s="1173"/>
      <c r="AM35" s="1174"/>
      <c r="AN35" s="1175"/>
      <c r="AO35" s="1176"/>
      <c r="AP35" s="1177"/>
      <c r="AQ35" s="1547"/>
      <c r="AR35" s="1177"/>
      <c r="AS35" s="1548"/>
      <c r="AT35" s="1549"/>
      <c r="AU35" s="1178"/>
      <c r="AV35" s="1179"/>
      <c r="AY35" s="3">
        <v>1</v>
      </c>
    </row>
    <row r="36" spans="2:51" ht="27" customHeight="1">
      <c r="B36" s="104"/>
      <c r="C36" s="1172"/>
      <c r="D36" s="1172"/>
      <c r="E36" s="1172"/>
      <c r="F36" s="1173"/>
      <c r="G36" s="1174"/>
      <c r="H36" s="1175"/>
      <c r="I36" s="1176"/>
      <c r="J36" s="1177"/>
      <c r="K36" s="1547"/>
      <c r="L36" s="1177"/>
      <c r="M36" s="1548"/>
      <c r="N36" s="1549"/>
      <c r="O36" s="1178"/>
      <c r="P36" s="1179"/>
      <c r="Q36" s="1171"/>
      <c r="R36" s="104"/>
      <c r="S36" s="1172"/>
      <c r="T36" s="1172"/>
      <c r="U36" s="1172"/>
      <c r="V36" s="1173"/>
      <c r="W36" s="1174"/>
      <c r="X36" s="1175"/>
      <c r="Y36" s="1176"/>
      <c r="Z36" s="1177"/>
      <c r="AA36" s="1547"/>
      <c r="AB36" s="1177"/>
      <c r="AC36" s="1548"/>
      <c r="AD36" s="1549"/>
      <c r="AE36" s="1178"/>
      <c r="AF36" s="1179"/>
      <c r="AG36" s="1171"/>
      <c r="AH36" s="104"/>
      <c r="AI36" s="1172"/>
      <c r="AJ36" s="1172"/>
      <c r="AK36" s="1172"/>
      <c r="AL36" s="1173"/>
      <c r="AM36" s="1174"/>
      <c r="AN36" s="1175"/>
      <c r="AO36" s="1176"/>
      <c r="AP36" s="1177"/>
      <c r="AQ36" s="1547"/>
      <c r="AR36" s="1177"/>
      <c r="AS36" s="1548"/>
      <c r="AT36" s="1549"/>
      <c r="AU36" s="1178"/>
      <c r="AV36" s="1179"/>
      <c r="AY36" s="3">
        <v>1</v>
      </c>
    </row>
    <row r="37" spans="2:51" ht="27" customHeight="1">
      <c r="B37" s="104"/>
      <c r="C37" s="1172"/>
      <c r="D37" s="1172"/>
      <c r="E37" s="1172"/>
      <c r="F37" s="1173"/>
      <c r="G37" s="1174"/>
      <c r="H37" s="1175"/>
      <c r="I37" s="1176"/>
      <c r="J37" s="1177"/>
      <c r="K37" s="1547"/>
      <c r="L37" s="1177"/>
      <c r="M37" s="1548"/>
      <c r="N37" s="1549"/>
      <c r="O37" s="1178"/>
      <c r="P37" s="1179"/>
      <c r="Q37" s="1171"/>
      <c r="R37" s="104"/>
      <c r="S37" s="1172"/>
      <c r="T37" s="1172"/>
      <c r="U37" s="1172"/>
      <c r="V37" s="1173"/>
      <c r="W37" s="1174"/>
      <c r="X37" s="1175"/>
      <c r="Y37" s="1176"/>
      <c r="Z37" s="1177"/>
      <c r="AA37" s="1547"/>
      <c r="AB37" s="1177"/>
      <c r="AC37" s="1548"/>
      <c r="AD37" s="1549"/>
      <c r="AE37" s="1178"/>
      <c r="AF37" s="1179"/>
      <c r="AG37" s="1171"/>
      <c r="AH37" s="104"/>
      <c r="AI37" s="1172"/>
      <c r="AJ37" s="1172"/>
      <c r="AK37" s="1172"/>
      <c r="AL37" s="1173"/>
      <c r="AM37" s="1174"/>
      <c r="AN37" s="1175"/>
      <c r="AO37" s="1176"/>
      <c r="AP37" s="1177"/>
      <c r="AQ37" s="1547"/>
      <c r="AR37" s="1177"/>
      <c r="AS37" s="1548"/>
      <c r="AT37" s="1549"/>
      <c r="AU37" s="1178"/>
      <c r="AV37" s="1179"/>
      <c r="AY37" s="3">
        <v>1</v>
      </c>
    </row>
    <row r="38" spans="2:51" ht="27" customHeight="1">
      <c r="B38" s="104"/>
      <c r="C38" s="1172"/>
      <c r="D38" s="1172"/>
      <c r="E38" s="1172"/>
      <c r="F38" s="1173"/>
      <c r="G38" s="1174"/>
      <c r="H38" s="1175"/>
      <c r="I38" s="1176"/>
      <c r="J38" s="1177"/>
      <c r="K38" s="1547"/>
      <c r="L38" s="1177"/>
      <c r="M38" s="1548"/>
      <c r="N38" s="1549"/>
      <c r="O38" s="1178"/>
      <c r="P38" s="1179"/>
      <c r="Q38" s="1171"/>
      <c r="R38" s="104"/>
      <c r="S38" s="1172"/>
      <c r="T38" s="1172"/>
      <c r="U38" s="1172"/>
      <c r="V38" s="1173"/>
      <c r="W38" s="1174"/>
      <c r="X38" s="1175"/>
      <c r="Y38" s="1176"/>
      <c r="Z38" s="1177"/>
      <c r="AA38" s="1547"/>
      <c r="AB38" s="1177"/>
      <c r="AC38" s="1548"/>
      <c r="AD38" s="1549"/>
      <c r="AE38" s="1178"/>
      <c r="AF38" s="1179"/>
      <c r="AG38" s="1171"/>
      <c r="AH38" s="104"/>
      <c r="AI38" s="1172"/>
      <c r="AJ38" s="1172"/>
      <c r="AK38" s="1172"/>
      <c r="AL38" s="1173"/>
      <c r="AM38" s="1174"/>
      <c r="AN38" s="1175"/>
      <c r="AO38" s="1176"/>
      <c r="AP38" s="1177"/>
      <c r="AQ38" s="1547"/>
      <c r="AR38" s="1177"/>
      <c r="AS38" s="1548"/>
      <c r="AT38" s="1549"/>
      <c r="AU38" s="1178"/>
      <c r="AV38" s="1179"/>
      <c r="AY38" s="3">
        <v>1</v>
      </c>
    </row>
    <row r="39" spans="2:51" ht="27" customHeight="1">
      <c r="B39" s="104"/>
      <c r="C39" s="1172"/>
      <c r="D39" s="1172"/>
      <c r="E39" s="1172"/>
      <c r="F39" s="1173"/>
      <c r="G39" s="1174"/>
      <c r="H39" s="1175"/>
      <c r="I39" s="1176"/>
      <c r="J39" s="1177"/>
      <c r="K39" s="1547"/>
      <c r="L39" s="1177"/>
      <c r="M39" s="1548"/>
      <c r="N39" s="1549"/>
      <c r="O39" s="1178"/>
      <c r="P39" s="1179"/>
      <c r="Q39" s="1171"/>
      <c r="R39" s="104"/>
      <c r="S39" s="1172"/>
      <c r="T39" s="1172"/>
      <c r="U39" s="1172"/>
      <c r="V39" s="1173"/>
      <c r="W39" s="1174"/>
      <c r="X39" s="1175"/>
      <c r="Y39" s="1176"/>
      <c r="Z39" s="1177"/>
      <c r="AA39" s="1547"/>
      <c r="AB39" s="1177"/>
      <c r="AC39" s="1548"/>
      <c r="AD39" s="1549"/>
      <c r="AE39" s="1178"/>
      <c r="AF39" s="1179"/>
      <c r="AG39" s="1171"/>
      <c r="AH39" s="104"/>
      <c r="AI39" s="1172"/>
      <c r="AJ39" s="1172"/>
      <c r="AK39" s="1172"/>
      <c r="AL39" s="1173"/>
      <c r="AM39" s="1174"/>
      <c r="AN39" s="1175"/>
      <c r="AO39" s="1176"/>
      <c r="AP39" s="1177"/>
      <c r="AQ39" s="1547"/>
      <c r="AR39" s="1177"/>
      <c r="AS39" s="1548"/>
      <c r="AT39" s="1549"/>
      <c r="AU39" s="1178"/>
      <c r="AV39" s="1179"/>
      <c r="AY39" s="3">
        <v>1</v>
      </c>
    </row>
    <row r="40" spans="2:51" ht="27" customHeight="1">
      <c r="B40" s="104"/>
      <c r="C40" s="1172"/>
      <c r="D40" s="1172"/>
      <c r="E40" s="1172"/>
      <c r="F40" s="1173"/>
      <c r="G40" s="1174"/>
      <c r="H40" s="1175"/>
      <c r="I40" s="1176"/>
      <c r="J40" s="1177"/>
      <c r="K40" s="1547"/>
      <c r="L40" s="1177"/>
      <c r="M40" s="1548"/>
      <c r="N40" s="1549"/>
      <c r="O40" s="1178"/>
      <c r="P40" s="1179"/>
      <c r="Q40" s="1171"/>
      <c r="R40" s="104"/>
      <c r="S40" s="1172"/>
      <c r="T40" s="1172"/>
      <c r="U40" s="1172"/>
      <c r="V40" s="1173"/>
      <c r="W40" s="1174"/>
      <c r="X40" s="1175"/>
      <c r="Y40" s="1176"/>
      <c r="Z40" s="1177"/>
      <c r="AA40" s="1547"/>
      <c r="AB40" s="1177"/>
      <c r="AC40" s="1548"/>
      <c r="AD40" s="1549"/>
      <c r="AE40" s="1178"/>
      <c r="AF40" s="1179"/>
      <c r="AG40" s="1171"/>
      <c r="AH40" s="104"/>
      <c r="AI40" s="1172"/>
      <c r="AJ40" s="1172"/>
      <c r="AK40" s="1172"/>
      <c r="AL40" s="1173"/>
      <c r="AM40" s="1174"/>
      <c r="AN40" s="1175"/>
      <c r="AO40" s="1176"/>
      <c r="AP40" s="1177"/>
      <c r="AQ40" s="1547"/>
      <c r="AR40" s="1177"/>
      <c r="AS40" s="1548"/>
      <c r="AT40" s="1549"/>
      <c r="AU40" s="1178"/>
      <c r="AV40" s="1179"/>
      <c r="AY40" s="3">
        <v>1</v>
      </c>
    </row>
    <row r="41" spans="2:51" ht="27" customHeight="1">
      <c r="B41" s="104"/>
      <c r="C41" s="1172"/>
      <c r="D41" s="1172"/>
      <c r="E41" s="1172"/>
      <c r="F41" s="1173"/>
      <c r="G41" s="1174"/>
      <c r="H41" s="1175"/>
      <c r="I41" s="1176"/>
      <c r="J41" s="1177"/>
      <c r="K41" s="1547"/>
      <c r="L41" s="1177"/>
      <c r="M41" s="1548"/>
      <c r="N41" s="1549"/>
      <c r="O41" s="1178"/>
      <c r="P41" s="1179"/>
      <c r="Q41" s="1171"/>
      <c r="R41" s="104"/>
      <c r="S41" s="1172"/>
      <c r="T41" s="1172"/>
      <c r="U41" s="1172"/>
      <c r="V41" s="1173"/>
      <c r="W41" s="1174"/>
      <c r="X41" s="1175"/>
      <c r="Y41" s="1176"/>
      <c r="Z41" s="1177"/>
      <c r="AA41" s="1547"/>
      <c r="AB41" s="1177"/>
      <c r="AC41" s="1548"/>
      <c r="AD41" s="1549"/>
      <c r="AE41" s="1178"/>
      <c r="AF41" s="1179"/>
      <c r="AG41" s="1171"/>
      <c r="AH41" s="104"/>
      <c r="AI41" s="1172"/>
      <c r="AJ41" s="1172"/>
      <c r="AK41" s="1172"/>
      <c r="AL41" s="1173"/>
      <c r="AM41" s="1174"/>
      <c r="AN41" s="1175"/>
      <c r="AO41" s="1176"/>
      <c r="AP41" s="1177"/>
      <c r="AQ41" s="1547"/>
      <c r="AR41" s="1177"/>
      <c r="AS41" s="1548"/>
      <c r="AT41" s="1549"/>
      <c r="AU41" s="1178"/>
      <c r="AV41" s="1179"/>
      <c r="AY41" s="3">
        <v>1</v>
      </c>
    </row>
    <row r="42" spans="2:51" ht="27" customHeight="1">
      <c r="B42" s="104"/>
      <c r="C42" s="1172"/>
      <c r="D42" s="1172"/>
      <c r="E42" s="1172"/>
      <c r="F42" s="1173"/>
      <c r="G42" s="1174"/>
      <c r="H42" s="1175"/>
      <c r="I42" s="1176"/>
      <c r="J42" s="1177"/>
      <c r="K42" s="1547"/>
      <c r="L42" s="1177"/>
      <c r="M42" s="1548"/>
      <c r="N42" s="1549"/>
      <c r="O42" s="1178"/>
      <c r="P42" s="1179"/>
      <c r="Q42" s="1171"/>
      <c r="R42" s="104"/>
      <c r="S42" s="1172"/>
      <c r="T42" s="1172"/>
      <c r="U42" s="1172"/>
      <c r="V42" s="1173"/>
      <c r="W42" s="1174"/>
      <c r="X42" s="1175"/>
      <c r="Y42" s="1176"/>
      <c r="Z42" s="1177"/>
      <c r="AA42" s="1547"/>
      <c r="AB42" s="1177"/>
      <c r="AC42" s="1548"/>
      <c r="AD42" s="1549"/>
      <c r="AE42" s="1178"/>
      <c r="AF42" s="1179"/>
      <c r="AG42" s="1171"/>
      <c r="AH42" s="104"/>
      <c r="AI42" s="1172"/>
      <c r="AJ42" s="1172"/>
      <c r="AK42" s="1172"/>
      <c r="AL42" s="1173"/>
      <c r="AM42" s="1174"/>
      <c r="AN42" s="1175"/>
      <c r="AO42" s="1176"/>
      <c r="AP42" s="1177"/>
      <c r="AQ42" s="1547"/>
      <c r="AR42" s="1177"/>
      <c r="AS42" s="1548"/>
      <c r="AT42" s="1549"/>
      <c r="AU42" s="1178"/>
      <c r="AV42" s="1179"/>
      <c r="AY42" s="3">
        <v>1</v>
      </c>
    </row>
    <row r="43" spans="2:51" ht="27" customHeight="1">
      <c r="B43" s="104"/>
      <c r="C43" s="1172"/>
      <c r="D43" s="1172"/>
      <c r="E43" s="1172"/>
      <c r="F43" s="1173"/>
      <c r="G43" s="1174"/>
      <c r="H43" s="1175"/>
      <c r="I43" s="1176"/>
      <c r="J43" s="1177"/>
      <c r="K43" s="1547"/>
      <c r="L43" s="1177"/>
      <c r="M43" s="1548"/>
      <c r="N43" s="1549"/>
      <c r="O43" s="1178"/>
      <c r="P43" s="1179"/>
      <c r="Q43" s="1171"/>
      <c r="R43" s="104"/>
      <c r="S43" s="1172"/>
      <c r="T43" s="1172"/>
      <c r="U43" s="1172"/>
      <c r="V43" s="1173"/>
      <c r="W43" s="1174"/>
      <c r="X43" s="1175"/>
      <c r="Y43" s="1176"/>
      <c r="Z43" s="1177"/>
      <c r="AA43" s="1547"/>
      <c r="AB43" s="1177"/>
      <c r="AC43" s="1548"/>
      <c r="AD43" s="1549"/>
      <c r="AE43" s="1178"/>
      <c r="AF43" s="1179"/>
      <c r="AG43" s="1171"/>
      <c r="AH43" s="104"/>
      <c r="AI43" s="1172"/>
      <c r="AJ43" s="1172"/>
      <c r="AK43" s="1172"/>
      <c r="AL43" s="1173"/>
      <c r="AM43" s="1174"/>
      <c r="AN43" s="1175"/>
      <c r="AO43" s="1176"/>
      <c r="AP43" s="1177"/>
      <c r="AQ43" s="1547"/>
      <c r="AR43" s="1177"/>
      <c r="AS43" s="1548"/>
      <c r="AT43" s="1549"/>
      <c r="AU43" s="1178"/>
      <c r="AV43" s="1179"/>
      <c r="AY43" s="3">
        <v>1</v>
      </c>
    </row>
    <row r="44" spans="2:51" ht="27" customHeight="1">
      <c r="B44" s="104"/>
      <c r="C44" s="1172"/>
      <c r="D44" s="1172"/>
      <c r="E44" s="1172"/>
      <c r="F44" s="1173"/>
      <c r="G44" s="1174"/>
      <c r="H44" s="1175"/>
      <c r="I44" s="1176"/>
      <c r="J44" s="1177"/>
      <c r="K44" s="1547"/>
      <c r="L44" s="1177"/>
      <c r="M44" s="1548"/>
      <c r="N44" s="1549"/>
      <c r="O44" s="1178"/>
      <c r="P44" s="1179"/>
      <c r="Q44" s="1171"/>
      <c r="R44" s="104"/>
      <c r="S44" s="1172"/>
      <c r="T44" s="1172"/>
      <c r="U44" s="1172"/>
      <c r="V44" s="1173"/>
      <c r="W44" s="1174"/>
      <c r="X44" s="1175"/>
      <c r="Y44" s="1176"/>
      <c r="Z44" s="1177"/>
      <c r="AA44" s="1547"/>
      <c r="AB44" s="1177"/>
      <c r="AC44" s="1548"/>
      <c r="AD44" s="1549"/>
      <c r="AE44" s="1178"/>
      <c r="AF44" s="1179"/>
      <c r="AG44" s="1171"/>
      <c r="AH44" s="104"/>
      <c r="AI44" s="1172"/>
      <c r="AJ44" s="1172"/>
      <c r="AK44" s="1172"/>
      <c r="AL44" s="1173"/>
      <c r="AM44" s="1174"/>
      <c r="AN44" s="1175"/>
      <c r="AO44" s="1176"/>
      <c r="AP44" s="1177"/>
      <c r="AQ44" s="1547"/>
      <c r="AR44" s="1177"/>
      <c r="AS44" s="1548"/>
      <c r="AT44" s="1549"/>
      <c r="AU44" s="1178"/>
      <c r="AV44" s="1179"/>
      <c r="AY44" s="3">
        <v>1</v>
      </c>
    </row>
    <row r="45" spans="2:51" ht="27" customHeight="1">
      <c r="B45" s="104"/>
      <c r="C45" s="1172"/>
      <c r="D45" s="1172"/>
      <c r="E45" s="1172"/>
      <c r="F45" s="1173"/>
      <c r="G45" s="1174"/>
      <c r="H45" s="1175"/>
      <c r="I45" s="1176"/>
      <c r="J45" s="1177"/>
      <c r="K45" s="1547"/>
      <c r="L45" s="1177"/>
      <c r="M45" s="1548"/>
      <c r="N45" s="1549"/>
      <c r="O45" s="1178"/>
      <c r="P45" s="1179"/>
      <c r="Q45" s="1171"/>
      <c r="R45" s="104"/>
      <c r="S45" s="1172"/>
      <c r="T45" s="1172"/>
      <c r="U45" s="1172"/>
      <c r="V45" s="1173"/>
      <c r="W45" s="1174"/>
      <c r="X45" s="1175"/>
      <c r="Y45" s="1176"/>
      <c r="Z45" s="1177"/>
      <c r="AA45" s="1547"/>
      <c r="AB45" s="1177"/>
      <c r="AC45" s="1548"/>
      <c r="AD45" s="1549"/>
      <c r="AE45" s="1178"/>
      <c r="AF45" s="1179"/>
      <c r="AG45" s="1171"/>
      <c r="AH45" s="104"/>
      <c r="AI45" s="1172"/>
      <c r="AJ45" s="1172"/>
      <c r="AK45" s="1172"/>
      <c r="AL45" s="1173"/>
      <c r="AM45" s="1174"/>
      <c r="AN45" s="1175"/>
      <c r="AO45" s="1176"/>
      <c r="AP45" s="1177"/>
      <c r="AQ45" s="1547"/>
      <c r="AR45" s="1177"/>
      <c r="AS45" s="1548"/>
      <c r="AT45" s="1549"/>
      <c r="AU45" s="1178"/>
      <c r="AV45" s="1179"/>
      <c r="AY45" s="3">
        <v>1</v>
      </c>
    </row>
    <row r="46" spans="2:51" ht="27" customHeight="1">
      <c r="B46" s="104"/>
      <c r="C46" s="1172"/>
      <c r="D46" s="1172"/>
      <c r="E46" s="1172"/>
      <c r="F46" s="1173"/>
      <c r="G46" s="1174"/>
      <c r="H46" s="1175"/>
      <c r="I46" s="1176"/>
      <c r="J46" s="1177"/>
      <c r="K46" s="1547"/>
      <c r="L46" s="1177"/>
      <c r="M46" s="1548"/>
      <c r="N46" s="1549"/>
      <c r="O46" s="1178"/>
      <c r="P46" s="1179"/>
      <c r="Q46" s="1171"/>
      <c r="R46" s="104"/>
      <c r="S46" s="1172"/>
      <c r="T46" s="1172"/>
      <c r="U46" s="1172"/>
      <c r="V46" s="1173"/>
      <c r="W46" s="1174"/>
      <c r="X46" s="1175"/>
      <c r="Y46" s="1176"/>
      <c r="Z46" s="1177"/>
      <c r="AA46" s="1547"/>
      <c r="AB46" s="1177"/>
      <c r="AC46" s="1548"/>
      <c r="AD46" s="1549"/>
      <c r="AE46" s="1178"/>
      <c r="AF46" s="1179"/>
      <c r="AG46" s="1171"/>
      <c r="AH46" s="104"/>
      <c r="AI46" s="1172"/>
      <c r="AJ46" s="1172"/>
      <c r="AK46" s="1172"/>
      <c r="AL46" s="1173"/>
      <c r="AM46" s="1174"/>
      <c r="AN46" s="1175"/>
      <c r="AO46" s="1176"/>
      <c r="AP46" s="1177"/>
      <c r="AQ46" s="1547"/>
      <c r="AR46" s="1177"/>
      <c r="AS46" s="1548"/>
      <c r="AT46" s="1549"/>
      <c r="AU46" s="1178"/>
      <c r="AV46" s="1179"/>
      <c r="AY46" s="3">
        <v>1</v>
      </c>
    </row>
    <row r="47" spans="2:51" ht="27" customHeight="1">
      <c r="B47" s="104"/>
      <c r="C47" s="1172"/>
      <c r="D47" s="1172"/>
      <c r="E47" s="1172"/>
      <c r="F47" s="1173"/>
      <c r="G47" s="1174"/>
      <c r="H47" s="1175"/>
      <c r="I47" s="1176"/>
      <c r="J47" s="1177"/>
      <c r="K47" s="1547"/>
      <c r="L47" s="1177"/>
      <c r="M47" s="1548"/>
      <c r="N47" s="1549"/>
      <c r="O47" s="1178"/>
      <c r="P47" s="1179"/>
      <c r="Q47" s="1171"/>
      <c r="R47" s="104"/>
      <c r="S47" s="1172"/>
      <c r="T47" s="1172"/>
      <c r="U47" s="1172"/>
      <c r="V47" s="1173"/>
      <c r="W47" s="1174"/>
      <c r="X47" s="1175"/>
      <c r="Y47" s="1176"/>
      <c r="Z47" s="1177"/>
      <c r="AA47" s="1547"/>
      <c r="AB47" s="1177"/>
      <c r="AC47" s="1548"/>
      <c r="AD47" s="1549"/>
      <c r="AE47" s="1178"/>
      <c r="AF47" s="1179"/>
      <c r="AG47" s="1171"/>
      <c r="AH47" s="104"/>
      <c r="AI47" s="1172"/>
      <c r="AJ47" s="1172"/>
      <c r="AK47" s="1172"/>
      <c r="AL47" s="1173"/>
      <c r="AM47" s="1174"/>
      <c r="AN47" s="1175"/>
      <c r="AO47" s="1176"/>
      <c r="AP47" s="1177"/>
      <c r="AQ47" s="1547"/>
      <c r="AR47" s="1177"/>
      <c r="AS47" s="1548"/>
      <c r="AT47" s="1549"/>
      <c r="AU47" s="1178"/>
      <c r="AV47" s="1179"/>
      <c r="AY47" s="3">
        <v>1</v>
      </c>
    </row>
    <row r="48" spans="2:51" ht="27" customHeight="1">
      <c r="B48" s="104"/>
      <c r="C48" s="1172"/>
      <c r="D48" s="1172"/>
      <c r="E48" s="1172"/>
      <c r="F48" s="1173"/>
      <c r="G48" s="1174"/>
      <c r="H48" s="1175"/>
      <c r="I48" s="1176"/>
      <c r="J48" s="1177"/>
      <c r="K48" s="1547"/>
      <c r="L48" s="1177"/>
      <c r="M48" s="1548"/>
      <c r="N48" s="1549"/>
      <c r="O48" s="1178"/>
      <c r="P48" s="1179"/>
      <c r="Q48" s="1171"/>
      <c r="R48" s="104"/>
      <c r="S48" s="1172"/>
      <c r="T48" s="1172"/>
      <c r="U48" s="1172"/>
      <c r="V48" s="1173"/>
      <c r="W48" s="1174"/>
      <c r="X48" s="1175"/>
      <c r="Y48" s="1176"/>
      <c r="Z48" s="1177"/>
      <c r="AA48" s="1547"/>
      <c r="AB48" s="1177"/>
      <c r="AC48" s="1548"/>
      <c r="AD48" s="1549"/>
      <c r="AE48" s="1178"/>
      <c r="AF48" s="1179"/>
      <c r="AG48" s="1171"/>
      <c r="AH48" s="104"/>
      <c r="AI48" s="1172"/>
      <c r="AJ48" s="1172"/>
      <c r="AK48" s="1172"/>
      <c r="AL48" s="1173"/>
      <c r="AM48" s="1174"/>
      <c r="AN48" s="1175"/>
      <c r="AO48" s="1176"/>
      <c r="AP48" s="1177"/>
      <c r="AQ48" s="1547"/>
      <c r="AR48" s="1177"/>
      <c r="AS48" s="1548"/>
      <c r="AT48" s="1549"/>
      <c r="AU48" s="1178"/>
      <c r="AV48" s="1179"/>
      <c r="AY48" s="3">
        <v>1</v>
      </c>
    </row>
    <row r="49" spans="2:51" ht="27" customHeight="1">
      <c r="B49" s="104"/>
      <c r="C49" s="1172"/>
      <c r="D49" s="1172"/>
      <c r="E49" s="1172"/>
      <c r="F49" s="1173"/>
      <c r="G49" s="1174"/>
      <c r="H49" s="1175"/>
      <c r="I49" s="1176"/>
      <c r="J49" s="1177"/>
      <c r="K49" s="1547"/>
      <c r="L49" s="1177"/>
      <c r="M49" s="1548"/>
      <c r="N49" s="1549"/>
      <c r="O49" s="1178"/>
      <c r="P49" s="1179"/>
      <c r="Q49" s="1171"/>
      <c r="R49" s="104"/>
      <c r="S49" s="1172"/>
      <c r="T49" s="1172"/>
      <c r="U49" s="1172"/>
      <c r="V49" s="1173"/>
      <c r="W49" s="1174"/>
      <c r="X49" s="1175"/>
      <c r="Y49" s="1176"/>
      <c r="Z49" s="1177"/>
      <c r="AA49" s="1547"/>
      <c r="AB49" s="1177"/>
      <c r="AC49" s="1548"/>
      <c r="AD49" s="1549"/>
      <c r="AE49" s="1178"/>
      <c r="AF49" s="1179"/>
      <c r="AG49" s="1171"/>
      <c r="AH49" s="104"/>
      <c r="AI49" s="1172"/>
      <c r="AJ49" s="1172"/>
      <c r="AK49" s="1172"/>
      <c r="AL49" s="1173"/>
      <c r="AM49" s="1174"/>
      <c r="AN49" s="1175"/>
      <c r="AO49" s="1176"/>
      <c r="AP49" s="1177"/>
      <c r="AQ49" s="1547"/>
      <c r="AR49" s="1177"/>
      <c r="AS49" s="1548"/>
      <c r="AT49" s="1549"/>
      <c r="AU49" s="1178"/>
      <c r="AV49" s="1179"/>
      <c r="AY49" s="3">
        <v>1</v>
      </c>
    </row>
    <row r="50" spans="2:51" ht="27" customHeight="1">
      <c r="B50" s="104"/>
      <c r="C50" s="1172"/>
      <c r="D50" s="1172"/>
      <c r="E50" s="1172"/>
      <c r="F50" s="1173"/>
      <c r="G50" s="1174"/>
      <c r="H50" s="1175"/>
      <c r="I50" s="1176"/>
      <c r="J50" s="1177"/>
      <c r="K50" s="1547"/>
      <c r="L50" s="1177"/>
      <c r="M50" s="1548"/>
      <c r="N50" s="1549"/>
      <c r="O50" s="1178"/>
      <c r="P50" s="1179"/>
      <c r="Q50" s="1171"/>
      <c r="R50" s="104"/>
      <c r="S50" s="1172"/>
      <c r="T50" s="1172"/>
      <c r="U50" s="1172"/>
      <c r="V50" s="1173"/>
      <c r="W50" s="1174"/>
      <c r="X50" s="1175"/>
      <c r="Y50" s="1176"/>
      <c r="Z50" s="1177"/>
      <c r="AA50" s="1547"/>
      <c r="AB50" s="1177"/>
      <c r="AC50" s="1548"/>
      <c r="AD50" s="1549"/>
      <c r="AE50" s="1178"/>
      <c r="AF50" s="1179"/>
      <c r="AG50" s="1171"/>
      <c r="AH50" s="104"/>
      <c r="AI50" s="1172"/>
      <c r="AJ50" s="1172"/>
      <c r="AK50" s="1172"/>
      <c r="AL50" s="1173"/>
      <c r="AM50" s="1174"/>
      <c r="AN50" s="1175"/>
      <c r="AO50" s="1176"/>
      <c r="AP50" s="1177"/>
      <c r="AQ50" s="1547"/>
      <c r="AR50" s="1177"/>
      <c r="AS50" s="1548"/>
      <c r="AT50" s="1549"/>
      <c r="AU50" s="1178"/>
      <c r="AV50" s="1179"/>
      <c r="AY50" s="3">
        <v>1</v>
      </c>
    </row>
    <row r="51" spans="2:51" ht="27" customHeight="1">
      <c r="B51" s="104"/>
      <c r="C51" s="1172"/>
      <c r="D51" s="1172"/>
      <c r="E51" s="1172"/>
      <c r="F51" s="1173"/>
      <c r="G51" s="1174"/>
      <c r="H51" s="1175"/>
      <c r="I51" s="1176"/>
      <c r="J51" s="1177"/>
      <c r="K51" s="1547"/>
      <c r="L51" s="1177"/>
      <c r="M51" s="1548"/>
      <c r="N51" s="1549"/>
      <c r="O51" s="1178"/>
      <c r="P51" s="1179"/>
      <c r="Q51" s="1171"/>
      <c r="R51" s="104"/>
      <c r="S51" s="1172"/>
      <c r="T51" s="1172"/>
      <c r="U51" s="1172"/>
      <c r="V51" s="1173"/>
      <c r="W51" s="1174"/>
      <c r="X51" s="1175"/>
      <c r="Y51" s="1176"/>
      <c r="Z51" s="1177"/>
      <c r="AA51" s="1547"/>
      <c r="AB51" s="1177"/>
      <c r="AC51" s="1548"/>
      <c r="AD51" s="1549"/>
      <c r="AE51" s="1178"/>
      <c r="AF51" s="1179"/>
      <c r="AG51" s="1171"/>
      <c r="AH51" s="104"/>
      <c r="AI51" s="1172"/>
      <c r="AJ51" s="1172"/>
      <c r="AK51" s="1172"/>
      <c r="AL51" s="1173"/>
      <c r="AM51" s="1174"/>
      <c r="AN51" s="1175"/>
      <c r="AO51" s="1176"/>
      <c r="AP51" s="1177"/>
      <c r="AQ51" s="1547"/>
      <c r="AR51" s="1177"/>
      <c r="AS51" s="1548"/>
      <c r="AT51" s="1549"/>
      <c r="AU51" s="1178"/>
      <c r="AV51" s="1179"/>
      <c r="AY51" s="3">
        <v>1</v>
      </c>
    </row>
    <row r="52" spans="2:51" ht="27" customHeight="1">
      <c r="B52" s="104"/>
      <c r="C52" s="1172"/>
      <c r="D52" s="1172"/>
      <c r="E52" s="1172"/>
      <c r="F52" s="1173"/>
      <c r="G52" s="1174"/>
      <c r="H52" s="1175"/>
      <c r="I52" s="1176"/>
      <c r="J52" s="1177"/>
      <c r="K52" s="1547"/>
      <c r="L52" s="1177"/>
      <c r="M52" s="1548"/>
      <c r="N52" s="1549"/>
      <c r="O52" s="1178"/>
      <c r="P52" s="1179"/>
      <c r="Q52" s="1171"/>
      <c r="R52" s="104"/>
      <c r="S52" s="1172"/>
      <c r="T52" s="1172"/>
      <c r="U52" s="1172"/>
      <c r="V52" s="1173"/>
      <c r="W52" s="1174"/>
      <c r="X52" s="1175"/>
      <c r="Y52" s="1176"/>
      <c r="Z52" s="1177"/>
      <c r="AA52" s="1547"/>
      <c r="AB52" s="1177"/>
      <c r="AC52" s="1548"/>
      <c r="AD52" s="1549"/>
      <c r="AE52" s="1178"/>
      <c r="AF52" s="1179"/>
      <c r="AG52" s="1171"/>
      <c r="AH52" s="104"/>
      <c r="AI52" s="1172"/>
      <c r="AJ52" s="1172"/>
      <c r="AK52" s="1172"/>
      <c r="AL52" s="1173"/>
      <c r="AM52" s="1174"/>
      <c r="AN52" s="1175"/>
      <c r="AO52" s="1176"/>
      <c r="AP52" s="1177"/>
      <c r="AQ52" s="1547"/>
      <c r="AR52" s="1177"/>
      <c r="AS52" s="1548"/>
      <c r="AT52" s="1549"/>
      <c r="AU52" s="1178"/>
      <c r="AV52" s="1179"/>
      <c r="AY52" s="3">
        <v>1</v>
      </c>
    </row>
    <row r="53" spans="2:51" ht="27" customHeight="1">
      <c r="B53" s="104"/>
      <c r="C53" s="1172"/>
      <c r="D53" s="1172"/>
      <c r="E53" s="1172"/>
      <c r="F53" s="1173"/>
      <c r="G53" s="1174"/>
      <c r="H53" s="1175"/>
      <c r="I53" s="1176"/>
      <c r="J53" s="1177"/>
      <c r="K53" s="1547"/>
      <c r="L53" s="1177"/>
      <c r="M53" s="1548"/>
      <c r="N53" s="1549"/>
      <c r="O53" s="1178"/>
      <c r="P53" s="1179"/>
      <c r="Q53" s="1171"/>
      <c r="R53" s="104"/>
      <c r="S53" s="1172"/>
      <c r="T53" s="1172"/>
      <c r="U53" s="1172"/>
      <c r="V53" s="1173"/>
      <c r="W53" s="1174"/>
      <c r="X53" s="1175"/>
      <c r="Y53" s="1176"/>
      <c r="Z53" s="1177"/>
      <c r="AA53" s="1547"/>
      <c r="AB53" s="1177"/>
      <c r="AC53" s="1548"/>
      <c r="AD53" s="1549"/>
      <c r="AE53" s="1178"/>
      <c r="AF53" s="1179"/>
      <c r="AG53" s="1171"/>
      <c r="AH53" s="104"/>
      <c r="AI53" s="1172"/>
      <c r="AJ53" s="1172"/>
      <c r="AK53" s="1172"/>
      <c r="AL53" s="1173"/>
      <c r="AM53" s="1174"/>
      <c r="AN53" s="1175"/>
      <c r="AO53" s="1176"/>
      <c r="AP53" s="1177"/>
      <c r="AQ53" s="1547"/>
      <c r="AR53" s="1177"/>
      <c r="AS53" s="1548"/>
      <c r="AT53" s="1549"/>
      <c r="AU53" s="1178"/>
      <c r="AV53" s="1179"/>
      <c r="AY53" s="3">
        <v>1</v>
      </c>
    </row>
    <row r="54" spans="2:51" ht="27" customHeight="1">
      <c r="B54" s="104"/>
      <c r="C54" s="1172"/>
      <c r="D54" s="1172"/>
      <c r="E54" s="1172"/>
      <c r="F54" s="1173"/>
      <c r="G54" s="1174"/>
      <c r="H54" s="1175"/>
      <c r="I54" s="1176"/>
      <c r="J54" s="1177"/>
      <c r="K54" s="1547"/>
      <c r="L54" s="1177"/>
      <c r="M54" s="1548"/>
      <c r="N54" s="1549"/>
      <c r="O54" s="1178"/>
      <c r="P54" s="1179"/>
      <c r="Q54" s="1171"/>
      <c r="R54" s="104"/>
      <c r="S54" s="1172"/>
      <c r="T54" s="1172"/>
      <c r="U54" s="1172"/>
      <c r="V54" s="1173"/>
      <c r="W54" s="1174"/>
      <c r="X54" s="1175"/>
      <c r="Y54" s="1176"/>
      <c r="Z54" s="1177"/>
      <c r="AA54" s="1547"/>
      <c r="AB54" s="1177"/>
      <c r="AC54" s="1548"/>
      <c r="AD54" s="1549"/>
      <c r="AE54" s="1178"/>
      <c r="AF54" s="1179"/>
      <c r="AG54" s="1171"/>
      <c r="AH54" s="104"/>
      <c r="AI54" s="1172"/>
      <c r="AJ54" s="1172"/>
      <c r="AK54" s="1172"/>
      <c r="AL54" s="1173"/>
      <c r="AM54" s="1174"/>
      <c r="AN54" s="1175"/>
      <c r="AO54" s="1176"/>
      <c r="AP54" s="1177"/>
      <c r="AQ54" s="1547"/>
      <c r="AR54" s="1177"/>
      <c r="AS54" s="1548"/>
      <c r="AT54" s="1549"/>
      <c r="AU54" s="1178"/>
      <c r="AV54" s="1179"/>
      <c r="AY54" s="3">
        <v>1</v>
      </c>
    </row>
    <row r="55" spans="2:51" ht="27" customHeight="1">
      <c r="B55" s="104"/>
      <c r="C55" s="1172"/>
      <c r="D55" s="1172"/>
      <c r="E55" s="1172"/>
      <c r="F55" s="1173"/>
      <c r="G55" s="1174"/>
      <c r="H55" s="1175"/>
      <c r="I55" s="1176"/>
      <c r="J55" s="1177"/>
      <c r="K55" s="1547"/>
      <c r="L55" s="1177"/>
      <c r="M55" s="1548"/>
      <c r="N55" s="1549"/>
      <c r="O55" s="1178"/>
      <c r="P55" s="1179"/>
      <c r="Q55" s="1171"/>
      <c r="R55" s="104"/>
      <c r="S55" s="1172"/>
      <c r="T55" s="1172"/>
      <c r="U55" s="1172"/>
      <c r="V55" s="1173"/>
      <c r="W55" s="1174"/>
      <c r="X55" s="1175"/>
      <c r="Y55" s="1176"/>
      <c r="Z55" s="1177"/>
      <c r="AA55" s="1547"/>
      <c r="AB55" s="1177"/>
      <c r="AC55" s="1548"/>
      <c r="AD55" s="1549"/>
      <c r="AE55" s="1178"/>
      <c r="AF55" s="1179"/>
      <c r="AG55" s="1171"/>
      <c r="AH55" s="104"/>
      <c r="AI55" s="1172"/>
      <c r="AJ55" s="1172"/>
      <c r="AK55" s="1172"/>
      <c r="AL55" s="1173"/>
      <c r="AM55" s="1174"/>
      <c r="AN55" s="1175"/>
      <c r="AO55" s="1176"/>
      <c r="AP55" s="1177"/>
      <c r="AQ55" s="1547"/>
      <c r="AR55" s="1177"/>
      <c r="AS55" s="1548"/>
      <c r="AT55" s="1549"/>
      <c r="AU55" s="1178"/>
      <c r="AV55" s="1179"/>
      <c r="AY55" s="3">
        <v>1</v>
      </c>
    </row>
    <row r="56" spans="2:51" ht="27" customHeight="1">
      <c r="B56" s="104"/>
      <c r="C56" s="1172"/>
      <c r="D56" s="1172"/>
      <c r="E56" s="1172"/>
      <c r="F56" s="1173"/>
      <c r="G56" s="1174"/>
      <c r="H56" s="1175"/>
      <c r="I56" s="1176"/>
      <c r="J56" s="1177"/>
      <c r="K56" s="1547"/>
      <c r="L56" s="1177"/>
      <c r="M56" s="1548"/>
      <c r="N56" s="1549"/>
      <c r="O56" s="1178"/>
      <c r="P56" s="1179"/>
      <c r="Q56" s="1171"/>
      <c r="R56" s="104"/>
      <c r="S56" s="1172"/>
      <c r="T56" s="1172"/>
      <c r="U56" s="1172"/>
      <c r="V56" s="1173"/>
      <c r="W56" s="1174"/>
      <c r="X56" s="1175"/>
      <c r="Y56" s="1176"/>
      <c r="Z56" s="1177"/>
      <c r="AA56" s="1547"/>
      <c r="AB56" s="1177"/>
      <c r="AC56" s="1548"/>
      <c r="AD56" s="1549"/>
      <c r="AE56" s="1178"/>
      <c r="AF56" s="1179"/>
      <c r="AG56" s="1171"/>
      <c r="AH56" s="104"/>
      <c r="AI56" s="1172"/>
      <c r="AJ56" s="1172"/>
      <c r="AK56" s="1172"/>
      <c r="AL56" s="1173"/>
      <c r="AM56" s="1174"/>
      <c r="AN56" s="1175"/>
      <c r="AO56" s="1176"/>
      <c r="AP56" s="1177"/>
      <c r="AQ56" s="1547"/>
      <c r="AR56" s="1177"/>
      <c r="AS56" s="1548"/>
      <c r="AT56" s="1549"/>
      <c r="AU56" s="1178"/>
      <c r="AV56" s="1179"/>
      <c r="AY56" s="3">
        <v>1</v>
      </c>
    </row>
    <row r="57" spans="2:51" ht="27" customHeight="1">
      <c r="B57" s="104"/>
      <c r="C57" s="1172"/>
      <c r="D57" s="1172"/>
      <c r="E57" s="1172"/>
      <c r="F57" s="1173"/>
      <c r="G57" s="1174"/>
      <c r="H57" s="1175"/>
      <c r="I57" s="1176"/>
      <c r="J57" s="1177"/>
      <c r="K57" s="1547"/>
      <c r="L57" s="1177"/>
      <c r="M57" s="1548"/>
      <c r="N57" s="1549"/>
      <c r="O57" s="1178"/>
      <c r="P57" s="1179"/>
      <c r="Q57" s="1171"/>
      <c r="R57" s="104"/>
      <c r="S57" s="1172"/>
      <c r="T57" s="1172"/>
      <c r="U57" s="1172"/>
      <c r="V57" s="1173"/>
      <c r="W57" s="1174"/>
      <c r="X57" s="1175"/>
      <c r="Y57" s="1176"/>
      <c r="Z57" s="1177"/>
      <c r="AA57" s="1547"/>
      <c r="AB57" s="1177"/>
      <c r="AC57" s="1548"/>
      <c r="AD57" s="1549"/>
      <c r="AE57" s="1178"/>
      <c r="AF57" s="1179"/>
      <c r="AG57" s="1171"/>
      <c r="AH57" s="104"/>
      <c r="AI57" s="1172"/>
      <c r="AJ57" s="1172"/>
      <c r="AK57" s="1172"/>
      <c r="AL57" s="1173"/>
      <c r="AM57" s="1174"/>
      <c r="AN57" s="1175"/>
      <c r="AO57" s="1176"/>
      <c r="AP57" s="1177"/>
      <c r="AQ57" s="1547"/>
      <c r="AR57" s="1177"/>
      <c r="AS57" s="1548"/>
      <c r="AT57" s="1549"/>
      <c r="AU57" s="1178"/>
      <c r="AV57" s="1179"/>
      <c r="AY57" s="3">
        <v>1</v>
      </c>
    </row>
    <row r="58" spans="2:51" ht="27" customHeight="1">
      <c r="B58" s="104"/>
      <c r="C58" s="1172"/>
      <c r="D58" s="1172"/>
      <c r="E58" s="1172"/>
      <c r="F58" s="1173"/>
      <c r="G58" s="1174"/>
      <c r="H58" s="1175"/>
      <c r="I58" s="1176"/>
      <c r="J58" s="1177"/>
      <c r="K58" s="1547"/>
      <c r="L58" s="1177"/>
      <c r="M58" s="1548"/>
      <c r="N58" s="1549"/>
      <c r="O58" s="1178"/>
      <c r="P58" s="1179"/>
      <c r="Q58" s="1171"/>
      <c r="R58" s="104"/>
      <c r="S58" s="1172"/>
      <c r="T58" s="1172"/>
      <c r="U58" s="1172"/>
      <c r="V58" s="1173"/>
      <c r="W58" s="1174"/>
      <c r="X58" s="1175"/>
      <c r="Y58" s="1176"/>
      <c r="Z58" s="1177"/>
      <c r="AA58" s="1547"/>
      <c r="AB58" s="1177"/>
      <c r="AC58" s="1548"/>
      <c r="AD58" s="1549"/>
      <c r="AE58" s="1178"/>
      <c r="AF58" s="1179"/>
      <c r="AG58" s="1171"/>
      <c r="AH58" s="104"/>
      <c r="AI58" s="1172"/>
      <c r="AJ58" s="1172"/>
      <c r="AK58" s="1172"/>
      <c r="AL58" s="1173"/>
      <c r="AM58" s="1174"/>
      <c r="AN58" s="1175"/>
      <c r="AO58" s="1176"/>
      <c r="AP58" s="1177"/>
      <c r="AQ58" s="1547"/>
      <c r="AR58" s="1177"/>
      <c r="AS58" s="1548"/>
      <c r="AT58" s="1549"/>
      <c r="AU58" s="1178"/>
      <c r="AV58" s="1179"/>
      <c r="AY58" s="3">
        <v>1</v>
      </c>
    </row>
    <row r="59" spans="2:51" ht="27" customHeight="1">
      <c r="B59" s="104"/>
      <c r="C59" s="1172"/>
      <c r="D59" s="1172"/>
      <c r="E59" s="1172"/>
      <c r="F59" s="1173"/>
      <c r="G59" s="1174"/>
      <c r="H59" s="1175"/>
      <c r="I59" s="1176"/>
      <c r="J59" s="1177"/>
      <c r="K59" s="1547"/>
      <c r="L59" s="1177"/>
      <c r="M59" s="1548"/>
      <c r="N59" s="1549"/>
      <c r="O59" s="1178"/>
      <c r="P59" s="1179"/>
      <c r="Q59" s="1171"/>
      <c r="R59" s="104"/>
      <c r="S59" s="1172"/>
      <c r="T59" s="1172"/>
      <c r="U59" s="1172"/>
      <c r="V59" s="1173"/>
      <c r="W59" s="1174"/>
      <c r="X59" s="1175"/>
      <c r="Y59" s="1176"/>
      <c r="Z59" s="1177"/>
      <c r="AA59" s="1547"/>
      <c r="AB59" s="1177"/>
      <c r="AC59" s="1548"/>
      <c r="AD59" s="1549"/>
      <c r="AE59" s="1178"/>
      <c r="AF59" s="1179"/>
      <c r="AG59" s="1171"/>
      <c r="AH59" s="104"/>
      <c r="AI59" s="1172"/>
      <c r="AJ59" s="1172"/>
      <c r="AK59" s="1172"/>
      <c r="AL59" s="1173"/>
      <c r="AM59" s="1174"/>
      <c r="AN59" s="1175"/>
      <c r="AO59" s="1176"/>
      <c r="AP59" s="1177"/>
      <c r="AQ59" s="1547"/>
      <c r="AR59" s="1177"/>
      <c r="AS59" s="1548"/>
      <c r="AT59" s="1549"/>
      <c r="AU59" s="1178"/>
      <c r="AV59" s="1179"/>
      <c r="AY59" s="3">
        <v>1</v>
      </c>
    </row>
    <row r="60" spans="2:51" ht="27" customHeight="1">
      <c r="B60" s="104"/>
      <c r="C60" s="1172"/>
      <c r="D60" s="1172"/>
      <c r="E60" s="1172"/>
      <c r="F60" s="1173"/>
      <c r="G60" s="1174"/>
      <c r="H60" s="1175"/>
      <c r="I60" s="1176"/>
      <c r="J60" s="1177"/>
      <c r="K60" s="1547"/>
      <c r="L60" s="1177"/>
      <c r="M60" s="1548"/>
      <c r="N60" s="1549"/>
      <c r="O60" s="1178"/>
      <c r="P60" s="1179"/>
      <c r="Q60" s="1171"/>
      <c r="R60" s="104"/>
      <c r="S60" s="1172"/>
      <c r="T60" s="1172"/>
      <c r="U60" s="1172"/>
      <c r="V60" s="1173"/>
      <c r="W60" s="1174"/>
      <c r="X60" s="1175"/>
      <c r="Y60" s="1176"/>
      <c r="Z60" s="1177"/>
      <c r="AA60" s="1547"/>
      <c r="AB60" s="1177"/>
      <c r="AC60" s="1548"/>
      <c r="AD60" s="1549"/>
      <c r="AE60" s="1178"/>
      <c r="AF60" s="1179"/>
      <c r="AG60" s="1171"/>
      <c r="AH60" s="104"/>
      <c r="AI60" s="1172"/>
      <c r="AJ60" s="1172"/>
      <c r="AK60" s="1172"/>
      <c r="AL60" s="1173"/>
      <c r="AM60" s="1174"/>
      <c r="AN60" s="1175"/>
      <c r="AO60" s="1176"/>
      <c r="AP60" s="1177"/>
      <c r="AQ60" s="1547"/>
      <c r="AR60" s="1177"/>
      <c r="AS60" s="1548"/>
      <c r="AT60" s="1549"/>
      <c r="AU60" s="1178"/>
      <c r="AV60" s="1179"/>
      <c r="AY60" s="3">
        <v>1</v>
      </c>
    </row>
    <row r="61" spans="2:51" ht="27" customHeight="1">
      <c r="B61" s="104"/>
      <c r="C61" s="1172"/>
      <c r="D61" s="1172"/>
      <c r="E61" s="1172"/>
      <c r="F61" s="1173"/>
      <c r="G61" s="1174"/>
      <c r="H61" s="1175"/>
      <c r="I61" s="1176"/>
      <c r="J61" s="1177"/>
      <c r="K61" s="1547"/>
      <c r="L61" s="1177"/>
      <c r="M61" s="1548"/>
      <c r="N61" s="1549"/>
      <c r="O61" s="1178"/>
      <c r="P61" s="1179"/>
      <c r="Q61" s="1171"/>
      <c r="R61" s="104"/>
      <c r="S61" s="1172"/>
      <c r="T61" s="1172"/>
      <c r="U61" s="1172"/>
      <c r="V61" s="1173"/>
      <c r="W61" s="1174"/>
      <c r="X61" s="1175"/>
      <c r="Y61" s="1176"/>
      <c r="Z61" s="1177"/>
      <c r="AA61" s="1547"/>
      <c r="AB61" s="1177"/>
      <c r="AC61" s="1548"/>
      <c r="AD61" s="1549"/>
      <c r="AE61" s="1178"/>
      <c r="AF61" s="1179"/>
      <c r="AG61" s="1171"/>
      <c r="AH61" s="104"/>
      <c r="AI61" s="1172"/>
      <c r="AJ61" s="1172"/>
      <c r="AK61" s="1172"/>
      <c r="AL61" s="1173"/>
      <c r="AM61" s="1174"/>
      <c r="AN61" s="1175"/>
      <c r="AO61" s="1176"/>
      <c r="AP61" s="1177"/>
      <c r="AQ61" s="1547"/>
      <c r="AR61" s="1177"/>
      <c r="AS61" s="1548"/>
      <c r="AT61" s="1549"/>
      <c r="AU61" s="1178"/>
      <c r="AV61" s="1179"/>
      <c r="AY61" s="3">
        <v>1</v>
      </c>
    </row>
    <row r="62" spans="2:51" ht="27" customHeight="1">
      <c r="B62" s="104"/>
      <c r="C62" s="1172"/>
      <c r="D62" s="1172"/>
      <c r="E62" s="1172"/>
      <c r="F62" s="1173"/>
      <c r="G62" s="1174"/>
      <c r="H62" s="1175"/>
      <c r="I62" s="1176"/>
      <c r="J62" s="1177"/>
      <c r="K62" s="1547"/>
      <c r="L62" s="1177"/>
      <c r="M62" s="1548"/>
      <c r="N62" s="1549"/>
      <c r="O62" s="1178"/>
      <c r="P62" s="1179"/>
      <c r="Q62" s="1171"/>
      <c r="R62" s="104"/>
      <c r="S62" s="1172"/>
      <c r="T62" s="1172"/>
      <c r="U62" s="1172"/>
      <c r="V62" s="1173"/>
      <c r="W62" s="1174"/>
      <c r="X62" s="1175"/>
      <c r="Y62" s="1176"/>
      <c r="Z62" s="1177"/>
      <c r="AA62" s="1547"/>
      <c r="AB62" s="1177"/>
      <c r="AC62" s="1548"/>
      <c r="AD62" s="1549"/>
      <c r="AE62" s="1178"/>
      <c r="AF62" s="1179"/>
      <c r="AG62" s="1171"/>
      <c r="AH62" s="104"/>
      <c r="AI62" s="1172"/>
      <c r="AJ62" s="1172"/>
      <c r="AK62" s="1172"/>
      <c r="AL62" s="1173"/>
      <c r="AM62" s="1174"/>
      <c r="AN62" s="1175"/>
      <c r="AO62" s="1176"/>
      <c r="AP62" s="1177"/>
      <c r="AQ62" s="1547"/>
      <c r="AR62" s="1177"/>
      <c r="AS62" s="1548"/>
      <c r="AT62" s="1549"/>
      <c r="AU62" s="1178"/>
      <c r="AV62" s="1179"/>
      <c r="AY62" s="3">
        <v>1</v>
      </c>
    </row>
    <row r="63" spans="2:51" ht="27" customHeight="1">
      <c r="B63" s="104"/>
      <c r="C63" s="1172"/>
      <c r="D63" s="1172"/>
      <c r="E63" s="1172"/>
      <c r="F63" s="1173"/>
      <c r="G63" s="1174"/>
      <c r="H63" s="1175"/>
      <c r="I63" s="1176"/>
      <c r="J63" s="1177"/>
      <c r="K63" s="1547"/>
      <c r="L63" s="1177"/>
      <c r="M63" s="1548"/>
      <c r="N63" s="1549"/>
      <c r="O63" s="1178"/>
      <c r="P63" s="1179"/>
      <c r="Q63" s="1171"/>
      <c r="R63" s="104"/>
      <c r="S63" s="1172"/>
      <c r="T63" s="1172"/>
      <c r="U63" s="1172"/>
      <c r="V63" s="1173"/>
      <c r="W63" s="1174"/>
      <c r="X63" s="1175"/>
      <c r="Y63" s="1176"/>
      <c r="Z63" s="1177"/>
      <c r="AA63" s="1547"/>
      <c r="AB63" s="1177"/>
      <c r="AC63" s="1548"/>
      <c r="AD63" s="1549"/>
      <c r="AE63" s="1178"/>
      <c r="AF63" s="1179"/>
      <c r="AG63" s="1171"/>
      <c r="AH63" s="104"/>
      <c r="AI63" s="1172"/>
      <c r="AJ63" s="1172"/>
      <c r="AK63" s="1172"/>
      <c r="AL63" s="1173"/>
      <c r="AM63" s="1174"/>
      <c r="AN63" s="1175"/>
      <c r="AO63" s="1176"/>
      <c r="AP63" s="1177"/>
      <c r="AQ63" s="1547"/>
      <c r="AR63" s="1177"/>
      <c r="AS63" s="1548"/>
      <c r="AT63" s="1549"/>
      <c r="AU63" s="1178"/>
      <c r="AV63" s="1179"/>
      <c r="AY63" s="3">
        <v>1</v>
      </c>
    </row>
    <row r="64" spans="2:51" ht="27" customHeight="1">
      <c r="B64" s="104"/>
      <c r="C64" s="1172"/>
      <c r="D64" s="1172"/>
      <c r="E64" s="1172"/>
      <c r="F64" s="1173"/>
      <c r="G64" s="1174"/>
      <c r="H64" s="1175"/>
      <c r="I64" s="1176"/>
      <c r="J64" s="1177"/>
      <c r="K64" s="1547"/>
      <c r="L64" s="1177"/>
      <c r="M64" s="1548"/>
      <c r="N64" s="1549"/>
      <c r="O64" s="1178"/>
      <c r="P64" s="1179"/>
      <c r="Q64" s="1171"/>
      <c r="R64" s="104"/>
      <c r="S64" s="1172"/>
      <c r="T64" s="1172"/>
      <c r="U64" s="1172"/>
      <c r="V64" s="1173"/>
      <c r="W64" s="1174"/>
      <c r="X64" s="1175"/>
      <c r="Y64" s="1176"/>
      <c r="Z64" s="1177"/>
      <c r="AA64" s="1547"/>
      <c r="AB64" s="1177"/>
      <c r="AC64" s="1548"/>
      <c r="AD64" s="1549"/>
      <c r="AE64" s="1178"/>
      <c r="AF64" s="1179"/>
      <c r="AG64" s="1171"/>
      <c r="AH64" s="104"/>
      <c r="AI64" s="1172"/>
      <c r="AJ64" s="1172"/>
      <c r="AK64" s="1172"/>
      <c r="AL64" s="1173"/>
      <c r="AM64" s="1174"/>
      <c r="AN64" s="1175"/>
      <c r="AO64" s="1176"/>
      <c r="AP64" s="1177"/>
      <c r="AQ64" s="1547"/>
      <c r="AR64" s="1177"/>
      <c r="AS64" s="1548"/>
      <c r="AT64" s="1549"/>
      <c r="AU64" s="1178"/>
      <c r="AV64" s="1179"/>
      <c r="AY64" s="3">
        <v>1</v>
      </c>
    </row>
    <row r="65" spans="2:51" ht="27" customHeight="1">
      <c r="B65" s="104"/>
      <c r="C65" s="1172"/>
      <c r="D65" s="1172"/>
      <c r="E65" s="1172"/>
      <c r="F65" s="1173"/>
      <c r="G65" s="1174"/>
      <c r="H65" s="1175"/>
      <c r="I65" s="1176"/>
      <c r="J65" s="1177"/>
      <c r="K65" s="1547"/>
      <c r="L65" s="1177"/>
      <c r="M65" s="1548"/>
      <c r="N65" s="1549"/>
      <c r="O65" s="1178"/>
      <c r="P65" s="1179"/>
      <c r="Q65" s="1171"/>
      <c r="R65" s="104"/>
      <c r="S65" s="1172"/>
      <c r="T65" s="1172"/>
      <c r="U65" s="1172"/>
      <c r="V65" s="1173"/>
      <c r="W65" s="1174"/>
      <c r="X65" s="1175"/>
      <c r="Y65" s="1176"/>
      <c r="Z65" s="1177"/>
      <c r="AA65" s="1547"/>
      <c r="AB65" s="1177"/>
      <c r="AC65" s="1548"/>
      <c r="AD65" s="1549"/>
      <c r="AE65" s="1178"/>
      <c r="AF65" s="1179"/>
      <c r="AG65" s="1171"/>
      <c r="AH65" s="104"/>
      <c r="AI65" s="1172"/>
      <c r="AJ65" s="1172"/>
      <c r="AK65" s="1172"/>
      <c r="AL65" s="1173"/>
      <c r="AM65" s="1174"/>
      <c r="AN65" s="1175"/>
      <c r="AO65" s="1176"/>
      <c r="AP65" s="1177"/>
      <c r="AQ65" s="1547"/>
      <c r="AR65" s="1177"/>
      <c r="AS65" s="1548"/>
      <c r="AT65" s="1549"/>
      <c r="AU65" s="1178"/>
      <c r="AV65" s="1179"/>
      <c r="AY65" s="3">
        <v>1</v>
      </c>
    </row>
    <row r="66" spans="2:51" ht="27" customHeight="1">
      <c r="B66" s="104"/>
      <c r="C66" s="1172"/>
      <c r="D66" s="1172"/>
      <c r="E66" s="1172"/>
      <c r="F66" s="1173"/>
      <c r="G66" s="1174"/>
      <c r="H66" s="1175"/>
      <c r="I66" s="1176"/>
      <c r="J66" s="1177"/>
      <c r="K66" s="1547"/>
      <c r="L66" s="1177"/>
      <c r="M66" s="1548"/>
      <c r="N66" s="1549"/>
      <c r="O66" s="1178"/>
      <c r="P66" s="1179"/>
      <c r="Q66" s="1171"/>
      <c r="R66" s="104"/>
      <c r="S66" s="1172"/>
      <c r="T66" s="1172"/>
      <c r="U66" s="1172"/>
      <c r="V66" s="1173"/>
      <c r="W66" s="1174"/>
      <c r="X66" s="1175"/>
      <c r="Y66" s="1176"/>
      <c r="Z66" s="1177"/>
      <c r="AA66" s="1547"/>
      <c r="AB66" s="1177"/>
      <c r="AC66" s="1548"/>
      <c r="AD66" s="1549"/>
      <c r="AE66" s="1178"/>
      <c r="AF66" s="1179"/>
      <c r="AH66" s="104"/>
      <c r="AI66" s="1172"/>
      <c r="AJ66" s="1172"/>
      <c r="AK66" s="1172"/>
      <c r="AL66" s="1173"/>
      <c r="AM66" s="1174"/>
      <c r="AN66" s="1175"/>
      <c r="AO66" s="1176"/>
      <c r="AP66" s="1177"/>
      <c r="AQ66" s="1547"/>
      <c r="AR66" s="1177"/>
      <c r="AS66" s="1548"/>
      <c r="AT66" s="1549"/>
      <c r="AU66" s="1178"/>
      <c r="AV66" s="1179"/>
      <c r="AY66" s="3">
        <v>1</v>
      </c>
    </row>
    <row r="67" spans="2:51" ht="27" customHeight="1">
      <c r="B67" s="104"/>
      <c r="C67" s="1172"/>
      <c r="D67" s="1172"/>
      <c r="E67" s="1172"/>
      <c r="F67" s="1173"/>
      <c r="G67" s="1174"/>
      <c r="H67" s="1175"/>
      <c r="I67" s="1176"/>
      <c r="J67" s="1177"/>
      <c r="K67" s="1547"/>
      <c r="L67" s="1177"/>
      <c r="M67" s="1548"/>
      <c r="N67" s="1549"/>
      <c r="O67" s="1178"/>
      <c r="P67" s="1179"/>
      <c r="Q67" s="1171"/>
      <c r="R67" s="104"/>
      <c r="S67" s="1172"/>
      <c r="T67" s="1172"/>
      <c r="U67" s="1172"/>
      <c r="V67" s="1173"/>
      <c r="W67" s="1174"/>
      <c r="X67" s="1175"/>
      <c r="Y67" s="1176"/>
      <c r="Z67" s="1177"/>
      <c r="AA67" s="1547"/>
      <c r="AB67" s="1177"/>
      <c r="AC67" s="1548"/>
      <c r="AD67" s="1549"/>
      <c r="AE67" s="1178"/>
      <c r="AF67" s="1179"/>
      <c r="AH67" s="104"/>
      <c r="AI67" s="1172"/>
      <c r="AJ67" s="1172"/>
      <c r="AK67" s="1172"/>
      <c r="AL67" s="1173"/>
      <c r="AM67" s="1174"/>
      <c r="AN67" s="1175"/>
      <c r="AO67" s="1176"/>
      <c r="AP67" s="1177"/>
      <c r="AQ67" s="1547"/>
      <c r="AR67" s="1177"/>
      <c r="AS67" s="1548"/>
      <c r="AT67" s="1549"/>
      <c r="AU67" s="1178"/>
      <c r="AV67" s="1179"/>
      <c r="AY67" s="3">
        <v>1</v>
      </c>
    </row>
    <row r="68" spans="2:51" ht="27" customHeight="1">
      <c r="B68" s="104"/>
      <c r="C68" s="1172"/>
      <c r="D68" s="1172"/>
      <c r="E68" s="1172"/>
      <c r="F68" s="1173"/>
      <c r="G68" s="1174"/>
      <c r="H68" s="1175"/>
      <c r="I68" s="1176"/>
      <c r="J68" s="1177"/>
      <c r="K68" s="1547"/>
      <c r="L68" s="1177"/>
      <c r="M68" s="1548"/>
      <c r="N68" s="1549"/>
      <c r="O68" s="1178"/>
      <c r="P68" s="1179"/>
      <c r="Q68" s="1171"/>
      <c r="R68" s="104"/>
      <c r="S68" s="1172"/>
      <c r="T68" s="1172"/>
      <c r="U68" s="1172"/>
      <c r="V68" s="1173"/>
      <c r="W68" s="1174"/>
      <c r="X68" s="1175"/>
      <c r="Y68" s="1176"/>
      <c r="Z68" s="1177"/>
      <c r="AA68" s="1547"/>
      <c r="AB68" s="1177"/>
      <c r="AC68" s="1548"/>
      <c r="AD68" s="1549"/>
      <c r="AE68" s="1178"/>
      <c r="AF68" s="1179"/>
      <c r="AH68" s="104"/>
      <c r="AI68" s="1172"/>
      <c r="AJ68" s="1172"/>
      <c r="AK68" s="1172"/>
      <c r="AL68" s="1173"/>
      <c r="AM68" s="1174"/>
      <c r="AN68" s="1175"/>
      <c r="AO68" s="1176"/>
      <c r="AP68" s="1177"/>
      <c r="AQ68" s="1547"/>
      <c r="AR68" s="1177"/>
      <c r="AS68" s="1548"/>
      <c r="AT68" s="1549"/>
      <c r="AU68" s="1178"/>
      <c r="AV68" s="1179"/>
      <c r="AY68" s="3">
        <v>1</v>
      </c>
    </row>
    <row r="69" spans="2:51" ht="27" customHeight="1">
      <c r="B69" s="104"/>
      <c r="C69" s="1172"/>
      <c r="D69" s="1172"/>
      <c r="E69" s="1172"/>
      <c r="F69" s="1173"/>
      <c r="G69" s="1174"/>
      <c r="H69" s="1175"/>
      <c r="I69" s="1176"/>
      <c r="J69" s="1177"/>
      <c r="K69" s="1547"/>
      <c r="L69" s="1177"/>
      <c r="M69" s="1548"/>
      <c r="N69" s="1549"/>
      <c r="O69" s="1178"/>
      <c r="P69" s="1179"/>
      <c r="Q69" s="1171"/>
      <c r="R69" s="104"/>
      <c r="S69" s="1172"/>
      <c r="T69" s="1172"/>
      <c r="U69" s="1172"/>
      <c r="V69" s="1173"/>
      <c r="W69" s="1174"/>
      <c r="X69" s="1175"/>
      <c r="Y69" s="1176"/>
      <c r="Z69" s="1177"/>
      <c r="AA69" s="1547"/>
      <c r="AB69" s="1177"/>
      <c r="AC69" s="1548"/>
      <c r="AD69" s="1549"/>
      <c r="AE69" s="1178"/>
      <c r="AF69" s="1179"/>
      <c r="AG69" s="1171"/>
      <c r="AH69" s="104"/>
      <c r="AI69" s="1172"/>
      <c r="AJ69" s="1172"/>
      <c r="AK69" s="1172"/>
      <c r="AL69" s="1173"/>
      <c r="AM69" s="1174"/>
      <c r="AN69" s="1175"/>
      <c r="AO69" s="1176"/>
      <c r="AP69" s="1177"/>
      <c r="AQ69" s="1547"/>
      <c r="AR69" s="1177"/>
      <c r="AS69" s="1548"/>
      <c r="AT69" s="1549"/>
      <c r="AU69" s="1178"/>
      <c r="AV69" s="1179"/>
      <c r="AY69" s="3">
        <v>1</v>
      </c>
    </row>
    <row r="70" spans="2:51" ht="27" customHeight="1">
      <c r="B70" s="104"/>
      <c r="C70" s="1172"/>
      <c r="D70" s="1172"/>
      <c r="E70" s="1172"/>
      <c r="F70" s="1173"/>
      <c r="G70" s="1174"/>
      <c r="H70" s="1175"/>
      <c r="I70" s="1176"/>
      <c r="J70" s="1177"/>
      <c r="K70" s="1547"/>
      <c r="L70" s="1177"/>
      <c r="M70" s="1548"/>
      <c r="N70" s="1549"/>
      <c r="O70" s="1178"/>
      <c r="P70" s="1179"/>
      <c r="Q70" s="1171"/>
      <c r="R70" s="104"/>
      <c r="S70" s="1172"/>
      <c r="T70" s="1172"/>
      <c r="U70" s="1172"/>
      <c r="V70" s="1173"/>
      <c r="W70" s="1174"/>
      <c r="X70" s="1175"/>
      <c r="Y70" s="1176"/>
      <c r="Z70" s="1177"/>
      <c r="AA70" s="1547"/>
      <c r="AB70" s="1177"/>
      <c r="AC70" s="1548"/>
      <c r="AD70" s="1549"/>
      <c r="AE70" s="1178"/>
      <c r="AF70" s="1179"/>
      <c r="AG70" s="1171"/>
      <c r="AH70" s="104"/>
      <c r="AI70" s="1172"/>
      <c r="AJ70" s="1172"/>
      <c r="AK70" s="1172"/>
      <c r="AL70" s="1173"/>
      <c r="AM70" s="1174"/>
      <c r="AN70" s="1175"/>
      <c r="AO70" s="1176"/>
      <c r="AP70" s="1177"/>
      <c r="AQ70" s="1547"/>
      <c r="AR70" s="1177"/>
      <c r="AS70" s="1548"/>
      <c r="AT70" s="1549"/>
      <c r="AU70" s="1178"/>
      <c r="AV70" s="1179"/>
      <c r="AY70" s="3">
        <v>1</v>
      </c>
    </row>
    <row r="71" spans="2:51" ht="27" customHeight="1">
      <c r="B71" s="104"/>
      <c r="C71" s="1172"/>
      <c r="D71" s="1172"/>
      <c r="E71" s="1172"/>
      <c r="F71" s="1173"/>
      <c r="G71" s="1174"/>
      <c r="H71" s="1175"/>
      <c r="I71" s="1176"/>
      <c r="J71" s="1177"/>
      <c r="K71" s="1547"/>
      <c r="L71" s="1177"/>
      <c r="M71" s="1548"/>
      <c r="N71" s="1549"/>
      <c r="O71" s="1178"/>
      <c r="P71" s="1179"/>
      <c r="Q71" s="1171"/>
      <c r="R71" s="104"/>
      <c r="S71" s="1172"/>
      <c r="T71" s="1172"/>
      <c r="U71" s="1172"/>
      <c r="V71" s="1173"/>
      <c r="W71" s="1174"/>
      <c r="X71" s="1175"/>
      <c r="Y71" s="1176"/>
      <c r="Z71" s="1177"/>
      <c r="AA71" s="1547"/>
      <c r="AB71" s="1177"/>
      <c r="AC71" s="1548"/>
      <c r="AD71" s="1549"/>
      <c r="AE71" s="1178"/>
      <c r="AF71" s="1179"/>
      <c r="AG71" s="1171"/>
      <c r="AH71" s="104"/>
      <c r="AI71" s="1172"/>
      <c r="AJ71" s="1172"/>
      <c r="AK71" s="1172"/>
      <c r="AL71" s="1173"/>
      <c r="AM71" s="1174"/>
      <c r="AN71" s="1175"/>
      <c r="AO71" s="1176"/>
      <c r="AP71" s="1177"/>
      <c r="AQ71" s="1547"/>
      <c r="AR71" s="1177"/>
      <c r="AS71" s="1548"/>
      <c r="AT71" s="1549"/>
      <c r="AU71" s="1178"/>
      <c r="AV71" s="1179"/>
      <c r="AY71" s="3">
        <v>1</v>
      </c>
    </row>
    <row r="72" spans="2:51" ht="27" customHeight="1">
      <c r="B72" s="104"/>
      <c r="C72" s="1172"/>
      <c r="D72" s="1172"/>
      <c r="E72" s="1172"/>
      <c r="F72" s="1173"/>
      <c r="G72" s="1174"/>
      <c r="H72" s="1175"/>
      <c r="I72" s="1176"/>
      <c r="J72" s="1177"/>
      <c r="K72" s="1547"/>
      <c r="L72" s="1177"/>
      <c r="M72" s="1548"/>
      <c r="N72" s="1549"/>
      <c r="O72" s="1178"/>
      <c r="P72" s="1179"/>
      <c r="Q72" s="1171"/>
      <c r="R72" s="104"/>
      <c r="S72" s="1172"/>
      <c r="T72" s="1172"/>
      <c r="U72" s="1172"/>
      <c r="V72" s="1173"/>
      <c r="W72" s="1174"/>
      <c r="X72" s="1175"/>
      <c r="Y72" s="1176"/>
      <c r="Z72" s="1177"/>
      <c r="AA72" s="1547"/>
      <c r="AB72" s="1177"/>
      <c r="AC72" s="1548"/>
      <c r="AD72" s="1549"/>
      <c r="AE72" s="1178"/>
      <c r="AF72" s="1179"/>
      <c r="AG72" s="1171"/>
      <c r="AH72" s="104"/>
      <c r="AI72" s="1172"/>
      <c r="AJ72" s="1172"/>
      <c r="AK72" s="1172"/>
      <c r="AL72" s="1173"/>
      <c r="AM72" s="1174"/>
      <c r="AN72" s="1175"/>
      <c r="AO72" s="1176"/>
      <c r="AP72" s="1177"/>
      <c r="AQ72" s="1547"/>
      <c r="AR72" s="1177"/>
      <c r="AS72" s="1548"/>
      <c r="AT72" s="1549"/>
      <c r="AU72" s="1178"/>
      <c r="AV72" s="1179"/>
      <c r="AY72" s="3">
        <v>1</v>
      </c>
    </row>
    <row r="73" spans="2:51" ht="27" customHeight="1">
      <c r="B73" s="104"/>
      <c r="C73" s="1172"/>
      <c r="D73" s="1172"/>
      <c r="E73" s="1172"/>
      <c r="F73" s="1173"/>
      <c r="G73" s="1174"/>
      <c r="H73" s="1175"/>
      <c r="I73" s="1176"/>
      <c r="J73" s="1177"/>
      <c r="K73" s="1547"/>
      <c r="L73" s="1177"/>
      <c r="M73" s="1548"/>
      <c r="N73" s="1549"/>
      <c r="O73" s="1178"/>
      <c r="P73" s="1179"/>
      <c r="Q73" s="1171"/>
      <c r="R73" s="104"/>
      <c r="S73" s="1172"/>
      <c r="T73" s="1172"/>
      <c r="U73" s="1172"/>
      <c r="V73" s="1173"/>
      <c r="W73" s="1174"/>
      <c r="X73" s="1175"/>
      <c r="Y73" s="1176"/>
      <c r="Z73" s="1177"/>
      <c r="AA73" s="1547"/>
      <c r="AB73" s="1177"/>
      <c r="AC73" s="1548"/>
      <c r="AD73" s="1549"/>
      <c r="AE73" s="1178"/>
      <c r="AF73" s="1179"/>
      <c r="AG73" s="1171"/>
      <c r="AH73" s="104"/>
      <c r="AI73" s="1172"/>
      <c r="AJ73" s="1172"/>
      <c r="AK73" s="1172"/>
      <c r="AL73" s="1173"/>
      <c r="AM73" s="1174"/>
      <c r="AN73" s="1175"/>
      <c r="AO73" s="1176"/>
      <c r="AP73" s="1177"/>
      <c r="AQ73" s="1547"/>
      <c r="AR73" s="1177"/>
      <c r="AS73" s="1548"/>
      <c r="AT73" s="1549"/>
      <c r="AU73" s="1178"/>
      <c r="AV73" s="1179"/>
      <c r="AY73" s="3">
        <v>1</v>
      </c>
    </row>
    <row r="74" spans="2:51" ht="27" customHeight="1">
      <c r="B74" s="104"/>
      <c r="C74" s="1172"/>
      <c r="D74" s="1172"/>
      <c r="E74" s="1172"/>
      <c r="F74" s="1173"/>
      <c r="G74" s="1174"/>
      <c r="H74" s="1175"/>
      <c r="I74" s="1176"/>
      <c r="J74" s="1177"/>
      <c r="K74" s="1547"/>
      <c r="L74" s="1177"/>
      <c r="M74" s="1548"/>
      <c r="N74" s="1549"/>
      <c r="O74" s="1178"/>
      <c r="P74" s="1179"/>
      <c r="Q74" s="1171"/>
      <c r="R74" s="104"/>
      <c r="S74" s="1172"/>
      <c r="T74" s="1172"/>
      <c r="U74" s="1172"/>
      <c r="V74" s="1173"/>
      <c r="W74" s="1174"/>
      <c r="X74" s="1175"/>
      <c r="Y74" s="1176"/>
      <c r="Z74" s="1177"/>
      <c r="AA74" s="1547"/>
      <c r="AB74" s="1177"/>
      <c r="AC74" s="1548"/>
      <c r="AD74" s="1549"/>
      <c r="AE74" s="1178"/>
      <c r="AF74" s="1179"/>
      <c r="AG74" s="1171"/>
      <c r="AH74" s="104"/>
      <c r="AI74" s="1172"/>
      <c r="AJ74" s="1172"/>
      <c r="AK74" s="1172"/>
      <c r="AL74" s="1173"/>
      <c r="AM74" s="1174"/>
      <c r="AN74" s="1175"/>
      <c r="AO74" s="1176"/>
      <c r="AP74" s="1177"/>
      <c r="AQ74" s="1547"/>
      <c r="AR74" s="1177"/>
      <c r="AS74" s="1548"/>
      <c r="AT74" s="1549"/>
      <c r="AU74" s="1178"/>
      <c r="AV74" s="1179"/>
      <c r="AY74" s="3">
        <v>1</v>
      </c>
    </row>
    <row r="75" spans="2:51" ht="27" customHeight="1">
      <c r="B75" s="104"/>
      <c r="C75" s="1172"/>
      <c r="D75" s="1172"/>
      <c r="E75" s="1172"/>
      <c r="F75" s="1173"/>
      <c r="G75" s="1174"/>
      <c r="H75" s="1175"/>
      <c r="I75" s="1176"/>
      <c r="J75" s="1177"/>
      <c r="K75" s="1547"/>
      <c r="L75" s="1177"/>
      <c r="M75" s="1548"/>
      <c r="N75" s="1549"/>
      <c r="O75" s="1178"/>
      <c r="P75" s="1179"/>
      <c r="Q75" s="1171"/>
      <c r="R75" s="104"/>
      <c r="S75" s="1172"/>
      <c r="T75" s="1172"/>
      <c r="U75" s="1172"/>
      <c r="V75" s="1173"/>
      <c r="W75" s="1174"/>
      <c r="X75" s="1175"/>
      <c r="Y75" s="1176"/>
      <c r="Z75" s="1177"/>
      <c r="AA75" s="1547"/>
      <c r="AB75" s="1177"/>
      <c r="AC75" s="1548"/>
      <c r="AD75" s="1549"/>
      <c r="AE75" s="1178"/>
      <c r="AF75" s="1179"/>
      <c r="AG75" s="1171"/>
      <c r="AH75" s="104"/>
      <c r="AI75" s="1172"/>
      <c r="AJ75" s="1172"/>
      <c r="AK75" s="1172"/>
      <c r="AL75" s="1173"/>
      <c r="AM75" s="1174"/>
      <c r="AN75" s="1175"/>
      <c r="AO75" s="1176"/>
      <c r="AP75" s="1177"/>
      <c r="AQ75" s="1547"/>
      <c r="AR75" s="1177"/>
      <c r="AS75" s="1548"/>
      <c r="AT75" s="1549"/>
      <c r="AU75" s="1178"/>
      <c r="AV75" s="1179"/>
      <c r="AY75" s="3">
        <v>1</v>
      </c>
    </row>
    <row r="76" spans="2:51" ht="27" customHeight="1">
      <c r="B76" s="104"/>
      <c r="C76" s="1172"/>
      <c r="D76" s="1172"/>
      <c r="E76" s="1172"/>
      <c r="F76" s="1173"/>
      <c r="G76" s="1174"/>
      <c r="H76" s="1175"/>
      <c r="I76" s="1176"/>
      <c r="J76" s="1177"/>
      <c r="K76" s="1547"/>
      <c r="L76" s="1177"/>
      <c r="M76" s="1548"/>
      <c r="N76" s="1549"/>
      <c r="O76" s="1178"/>
      <c r="P76" s="1179"/>
      <c r="Q76" s="1171"/>
      <c r="R76" s="104"/>
      <c r="S76" s="1172"/>
      <c r="T76" s="1172"/>
      <c r="U76" s="1172"/>
      <c r="V76" s="1173"/>
      <c r="W76" s="1174"/>
      <c r="X76" s="1175"/>
      <c r="Y76" s="1176"/>
      <c r="Z76" s="1177"/>
      <c r="AA76" s="1547"/>
      <c r="AB76" s="1177"/>
      <c r="AC76" s="1548"/>
      <c r="AD76" s="1549"/>
      <c r="AE76" s="1178"/>
      <c r="AF76" s="1179"/>
      <c r="AG76" s="1171"/>
      <c r="AH76" s="104"/>
      <c r="AI76" s="1172"/>
      <c r="AJ76" s="1172"/>
      <c r="AK76" s="1172"/>
      <c r="AL76" s="1173"/>
      <c r="AM76" s="1174"/>
      <c r="AN76" s="1175"/>
      <c r="AO76" s="1176"/>
      <c r="AP76" s="1177"/>
      <c r="AQ76" s="1547"/>
      <c r="AR76" s="1177"/>
      <c r="AS76" s="1548"/>
      <c r="AT76" s="1549"/>
      <c r="AU76" s="1178"/>
      <c r="AV76" s="1179"/>
      <c r="AY76" s="3">
        <v>1</v>
      </c>
    </row>
    <row r="77" spans="2:51" ht="27" customHeight="1">
      <c r="B77" s="104"/>
      <c r="C77" s="1172"/>
      <c r="D77" s="1172"/>
      <c r="E77" s="1172"/>
      <c r="F77" s="1173"/>
      <c r="G77" s="1174"/>
      <c r="H77" s="1175"/>
      <c r="I77" s="1176"/>
      <c r="J77" s="1177"/>
      <c r="K77" s="1547"/>
      <c r="L77" s="1177"/>
      <c r="M77" s="1548"/>
      <c r="N77" s="1549"/>
      <c r="O77" s="1178"/>
      <c r="P77" s="1179"/>
      <c r="Q77" s="1171"/>
      <c r="R77" s="104"/>
      <c r="S77" s="1172"/>
      <c r="T77" s="1172"/>
      <c r="U77" s="1172"/>
      <c r="V77" s="1173"/>
      <c r="W77" s="1174"/>
      <c r="X77" s="1175"/>
      <c r="Y77" s="1176"/>
      <c r="Z77" s="1177"/>
      <c r="AA77" s="1547"/>
      <c r="AB77" s="1177"/>
      <c r="AC77" s="1548"/>
      <c r="AD77" s="1549"/>
      <c r="AE77" s="1178"/>
      <c r="AF77" s="1179"/>
      <c r="AG77" s="1171"/>
      <c r="AH77" s="104"/>
      <c r="AI77" s="1172"/>
      <c r="AJ77" s="1172"/>
      <c r="AK77" s="1172"/>
      <c r="AL77" s="1173"/>
      <c r="AM77" s="1174"/>
      <c r="AN77" s="1175"/>
      <c r="AO77" s="1176"/>
      <c r="AP77" s="1177"/>
      <c r="AQ77" s="1547"/>
      <c r="AR77" s="1177"/>
      <c r="AS77" s="1548"/>
      <c r="AT77" s="1549"/>
      <c r="AU77" s="1178"/>
      <c r="AV77" s="1179"/>
      <c r="AY77" s="3">
        <v>1</v>
      </c>
    </row>
    <row r="78" spans="2:51" ht="27" customHeight="1">
      <c r="B78" s="104"/>
      <c r="C78" s="1172"/>
      <c r="D78" s="1172"/>
      <c r="E78" s="1172"/>
      <c r="F78" s="1173"/>
      <c r="G78" s="1174"/>
      <c r="H78" s="1175"/>
      <c r="I78" s="1176"/>
      <c r="J78" s="1177"/>
      <c r="K78" s="1547"/>
      <c r="L78" s="1177"/>
      <c r="M78" s="1548"/>
      <c r="N78" s="1549"/>
      <c r="O78" s="1178"/>
      <c r="P78" s="1179"/>
      <c r="Q78" s="1171"/>
      <c r="R78" s="104"/>
      <c r="S78" s="1172"/>
      <c r="T78" s="1172"/>
      <c r="U78" s="1172"/>
      <c r="V78" s="1173"/>
      <c r="W78" s="1174"/>
      <c r="X78" s="1175"/>
      <c r="Y78" s="1176"/>
      <c r="Z78" s="1177"/>
      <c r="AA78" s="1547"/>
      <c r="AB78" s="1177"/>
      <c r="AC78" s="1548"/>
      <c r="AD78" s="1549"/>
      <c r="AE78" s="1178"/>
      <c r="AF78" s="1179"/>
      <c r="AG78" s="1171"/>
      <c r="AH78" s="104"/>
      <c r="AI78" s="1172"/>
      <c r="AJ78" s="1172"/>
      <c r="AK78" s="1172"/>
      <c r="AL78" s="1173"/>
      <c r="AM78" s="1174"/>
      <c r="AN78" s="1175"/>
      <c r="AO78" s="1176"/>
      <c r="AP78" s="1177"/>
      <c r="AQ78" s="1547"/>
      <c r="AR78" s="1177"/>
      <c r="AS78" s="1548"/>
      <c r="AT78" s="1549"/>
      <c r="AU78" s="1178"/>
      <c r="AV78" s="1179"/>
      <c r="AY78" s="3">
        <v>1</v>
      </c>
    </row>
    <row r="79" spans="2:51" ht="27" customHeight="1">
      <c r="B79" s="104"/>
      <c r="C79" s="1172"/>
      <c r="D79" s="1172"/>
      <c r="E79" s="1172"/>
      <c r="F79" s="1173"/>
      <c r="G79" s="1174"/>
      <c r="H79" s="1175"/>
      <c r="I79" s="1176"/>
      <c r="J79" s="1177"/>
      <c r="K79" s="1547"/>
      <c r="L79" s="1177"/>
      <c r="M79" s="1548"/>
      <c r="N79" s="1549"/>
      <c r="O79" s="1178"/>
      <c r="P79" s="1179"/>
      <c r="Q79" s="1171"/>
      <c r="R79" s="104"/>
      <c r="S79" s="1172"/>
      <c r="T79" s="1172"/>
      <c r="U79" s="1172"/>
      <c r="V79" s="1173"/>
      <c r="W79" s="1174"/>
      <c r="X79" s="1175"/>
      <c r="Y79" s="1176"/>
      <c r="Z79" s="1177"/>
      <c r="AA79" s="1547"/>
      <c r="AB79" s="1177"/>
      <c r="AC79" s="1548"/>
      <c r="AD79" s="1549"/>
      <c r="AE79" s="1178"/>
      <c r="AF79" s="1179"/>
      <c r="AG79" s="1171"/>
      <c r="AH79" s="104"/>
      <c r="AI79" s="1172"/>
      <c r="AJ79" s="1172"/>
      <c r="AK79" s="1172"/>
      <c r="AL79" s="1173"/>
      <c r="AM79" s="1174"/>
      <c r="AN79" s="1175"/>
      <c r="AO79" s="1176"/>
      <c r="AP79" s="1177"/>
      <c r="AQ79" s="1547"/>
      <c r="AR79" s="1177"/>
      <c r="AS79" s="1548"/>
      <c r="AT79" s="1549"/>
      <c r="AU79" s="1178"/>
      <c r="AV79" s="1179"/>
      <c r="AY79" s="3">
        <v>1</v>
      </c>
    </row>
    <row r="80" spans="2:51" ht="27" customHeight="1">
      <c r="B80" s="104"/>
      <c r="C80" s="1172"/>
      <c r="D80" s="1172"/>
      <c r="E80" s="1172"/>
      <c r="F80" s="1173"/>
      <c r="G80" s="1174"/>
      <c r="H80" s="1175"/>
      <c r="I80" s="1176"/>
      <c r="J80" s="1177"/>
      <c r="K80" s="1547"/>
      <c r="L80" s="1177"/>
      <c r="M80" s="1548"/>
      <c r="N80" s="1549"/>
      <c r="O80" s="1178"/>
      <c r="P80" s="1179"/>
      <c r="Q80" s="1171"/>
      <c r="R80" s="104"/>
      <c r="S80" s="1172"/>
      <c r="T80" s="1172"/>
      <c r="U80" s="1172"/>
      <c r="V80" s="1173"/>
      <c r="W80" s="1174"/>
      <c r="X80" s="1175"/>
      <c r="Y80" s="1176"/>
      <c r="Z80" s="1177"/>
      <c r="AA80" s="1547"/>
      <c r="AB80" s="1177"/>
      <c r="AC80" s="1548"/>
      <c r="AD80" s="1549"/>
      <c r="AE80" s="1178"/>
      <c r="AF80" s="1179"/>
      <c r="AG80" s="1171"/>
      <c r="AH80" s="104"/>
      <c r="AI80" s="1172"/>
      <c r="AJ80" s="1172"/>
      <c r="AK80" s="1172"/>
      <c r="AL80" s="1173"/>
      <c r="AM80" s="1174"/>
      <c r="AN80" s="1175"/>
      <c r="AO80" s="1176"/>
      <c r="AP80" s="1177"/>
      <c r="AQ80" s="1547"/>
      <c r="AR80" s="1177"/>
      <c r="AS80" s="1548"/>
      <c r="AT80" s="1549"/>
      <c r="AU80" s="1178"/>
      <c r="AV80" s="1179"/>
      <c r="AY80" s="3">
        <v>1</v>
      </c>
    </row>
    <row r="81" spans="2:51" ht="27" customHeight="1">
      <c r="B81" s="104"/>
      <c r="C81" s="1172"/>
      <c r="D81" s="1172"/>
      <c r="E81" s="1172"/>
      <c r="F81" s="1173"/>
      <c r="G81" s="1174"/>
      <c r="H81" s="1175"/>
      <c r="I81" s="1176"/>
      <c r="J81" s="1177"/>
      <c r="K81" s="1547"/>
      <c r="L81" s="1177"/>
      <c r="M81" s="1548"/>
      <c r="N81" s="1549"/>
      <c r="O81" s="1178"/>
      <c r="P81" s="1179"/>
      <c r="Q81" s="1171"/>
      <c r="R81" s="104"/>
      <c r="S81" s="1172"/>
      <c r="T81" s="1172"/>
      <c r="U81" s="1172"/>
      <c r="V81" s="1173"/>
      <c r="W81" s="1174"/>
      <c r="X81" s="1175"/>
      <c r="Y81" s="1176"/>
      <c r="Z81" s="1177"/>
      <c r="AA81" s="1547"/>
      <c r="AB81" s="1177"/>
      <c r="AC81" s="1548"/>
      <c r="AD81" s="1549"/>
      <c r="AE81" s="1178"/>
      <c r="AF81" s="1179"/>
      <c r="AG81" s="1171"/>
      <c r="AH81" s="104"/>
      <c r="AI81" s="1172"/>
      <c r="AJ81" s="1172"/>
      <c r="AK81" s="1172"/>
      <c r="AL81" s="1173"/>
      <c r="AM81" s="1174"/>
      <c r="AN81" s="1175"/>
      <c r="AO81" s="1176"/>
      <c r="AP81" s="1177"/>
      <c r="AQ81" s="1547"/>
      <c r="AR81" s="1177"/>
      <c r="AS81" s="1548"/>
      <c r="AT81" s="1549"/>
      <c r="AU81" s="1178"/>
      <c r="AV81" s="1179"/>
      <c r="AY81" s="3">
        <v>1</v>
      </c>
    </row>
    <row r="82" spans="2:51" ht="27" customHeight="1">
      <c r="B82" s="104"/>
      <c r="C82" s="1172"/>
      <c r="D82" s="1172"/>
      <c r="E82" s="1172"/>
      <c r="F82" s="1173"/>
      <c r="G82" s="1174"/>
      <c r="H82" s="1175"/>
      <c r="I82" s="1176"/>
      <c r="J82" s="1177"/>
      <c r="K82" s="1547"/>
      <c r="L82" s="1177"/>
      <c r="M82" s="1548"/>
      <c r="N82" s="1549"/>
      <c r="O82" s="1178"/>
      <c r="P82" s="1179"/>
      <c r="Q82" s="1171"/>
      <c r="R82" s="104"/>
      <c r="S82" s="1172"/>
      <c r="T82" s="1172"/>
      <c r="U82" s="1172"/>
      <c r="V82" s="1173"/>
      <c r="W82" s="1174"/>
      <c r="X82" s="1175"/>
      <c r="Y82" s="1176"/>
      <c r="Z82" s="1177"/>
      <c r="AA82" s="1547"/>
      <c r="AB82" s="1177"/>
      <c r="AC82" s="1548"/>
      <c r="AD82" s="1549"/>
      <c r="AE82" s="1178"/>
      <c r="AF82" s="1179"/>
      <c r="AG82" s="1171"/>
      <c r="AH82" s="104"/>
      <c r="AI82" s="1172"/>
      <c r="AJ82" s="1172"/>
      <c r="AK82" s="1172"/>
      <c r="AL82" s="1173"/>
      <c r="AM82" s="1174"/>
      <c r="AN82" s="1175"/>
      <c r="AO82" s="1176"/>
      <c r="AP82" s="1177"/>
      <c r="AQ82" s="1547"/>
      <c r="AR82" s="1177"/>
      <c r="AS82" s="1548"/>
      <c r="AT82" s="1549"/>
      <c r="AU82" s="1178"/>
      <c r="AV82" s="1179"/>
      <c r="AY82" s="3">
        <v>1</v>
      </c>
    </row>
    <row r="83" spans="2:51" ht="27" customHeight="1">
      <c r="B83" s="104"/>
      <c r="C83" s="1172"/>
      <c r="D83" s="1172"/>
      <c r="E83" s="1172"/>
      <c r="F83" s="1173"/>
      <c r="G83" s="1174"/>
      <c r="H83" s="1175"/>
      <c r="I83" s="1176"/>
      <c r="J83" s="1177"/>
      <c r="K83" s="1547"/>
      <c r="L83" s="1177"/>
      <c r="M83" s="1548"/>
      <c r="N83" s="1549"/>
      <c r="O83" s="1178"/>
      <c r="P83" s="1179"/>
      <c r="Q83" s="1171"/>
      <c r="R83" s="104"/>
      <c r="S83" s="1172"/>
      <c r="T83" s="1172"/>
      <c r="U83" s="1172"/>
      <c r="V83" s="1173"/>
      <c r="W83" s="1174"/>
      <c r="X83" s="1175"/>
      <c r="Y83" s="1176"/>
      <c r="Z83" s="1177"/>
      <c r="AA83" s="1547"/>
      <c r="AB83" s="1177"/>
      <c r="AC83" s="1548"/>
      <c r="AD83" s="1549"/>
      <c r="AE83" s="1178"/>
      <c r="AF83" s="1179"/>
      <c r="AG83" s="1171"/>
      <c r="AH83" s="104"/>
      <c r="AI83" s="1172"/>
      <c r="AJ83" s="1172"/>
      <c r="AK83" s="1172"/>
      <c r="AL83" s="1173"/>
      <c r="AM83" s="1174"/>
      <c r="AN83" s="1175"/>
      <c r="AO83" s="1176"/>
      <c r="AP83" s="1177"/>
      <c r="AQ83" s="1547"/>
      <c r="AR83" s="1177"/>
      <c r="AS83" s="1548"/>
      <c r="AT83" s="1549"/>
      <c r="AU83" s="1178"/>
      <c r="AV83" s="1179"/>
      <c r="AY83" s="3">
        <v>1</v>
      </c>
    </row>
    <row r="84" spans="2:51" ht="27" customHeight="1">
      <c r="B84" s="104"/>
      <c r="C84" s="1172"/>
      <c r="D84" s="1172"/>
      <c r="E84" s="1172"/>
      <c r="F84" s="1173"/>
      <c r="G84" s="1174"/>
      <c r="H84" s="1175"/>
      <c r="I84" s="1176"/>
      <c r="J84" s="1177"/>
      <c r="K84" s="1547"/>
      <c r="L84" s="1177"/>
      <c r="M84" s="1548"/>
      <c r="N84" s="1549"/>
      <c r="O84" s="1178"/>
      <c r="P84" s="1179"/>
      <c r="Q84" s="1171"/>
      <c r="R84" s="104"/>
      <c r="S84" s="1172"/>
      <c r="T84" s="1172"/>
      <c r="U84" s="1172"/>
      <c r="V84" s="1173"/>
      <c r="W84" s="1174"/>
      <c r="X84" s="1175"/>
      <c r="Y84" s="1176"/>
      <c r="Z84" s="1177"/>
      <c r="AA84" s="1547"/>
      <c r="AB84" s="1177"/>
      <c r="AC84" s="1548"/>
      <c r="AD84" s="1549"/>
      <c r="AE84" s="1178"/>
      <c r="AF84" s="1179"/>
      <c r="AG84" s="1171"/>
      <c r="AH84" s="104"/>
      <c r="AI84" s="1172"/>
      <c r="AJ84" s="1172"/>
      <c r="AK84" s="1172"/>
      <c r="AL84" s="1173"/>
      <c r="AM84" s="1174"/>
      <c r="AN84" s="1175"/>
      <c r="AO84" s="1176"/>
      <c r="AP84" s="1177"/>
      <c r="AQ84" s="1547"/>
      <c r="AR84" s="1177"/>
      <c r="AS84" s="1548"/>
      <c r="AT84" s="1549"/>
      <c r="AU84" s="1178"/>
      <c r="AV84" s="1179"/>
      <c r="AY84" s="3">
        <v>1</v>
      </c>
    </row>
    <row r="85" spans="2:51" ht="27" customHeight="1">
      <c r="B85" s="104"/>
      <c r="C85" s="1172"/>
      <c r="D85" s="1172"/>
      <c r="E85" s="1172"/>
      <c r="F85" s="1173"/>
      <c r="G85" s="1174"/>
      <c r="H85" s="1175"/>
      <c r="I85" s="1176"/>
      <c r="J85" s="1177"/>
      <c r="K85" s="1547"/>
      <c r="L85" s="1177"/>
      <c r="M85" s="1548"/>
      <c r="N85" s="1549"/>
      <c r="O85" s="1178"/>
      <c r="P85" s="1179"/>
      <c r="Q85" s="1171"/>
      <c r="R85" s="104"/>
      <c r="S85" s="1172"/>
      <c r="T85" s="1172"/>
      <c r="U85" s="1172"/>
      <c r="V85" s="1173"/>
      <c r="W85" s="1174"/>
      <c r="X85" s="1175"/>
      <c r="Y85" s="1176"/>
      <c r="Z85" s="1177"/>
      <c r="AA85" s="1547"/>
      <c r="AB85" s="1177"/>
      <c r="AC85" s="1548"/>
      <c r="AD85" s="1549"/>
      <c r="AE85" s="1178"/>
      <c r="AF85" s="1179"/>
      <c r="AG85" s="1171"/>
      <c r="AH85" s="104"/>
      <c r="AI85" s="1172"/>
      <c r="AJ85" s="1172"/>
      <c r="AK85" s="1172"/>
      <c r="AL85" s="1173"/>
      <c r="AM85" s="1174"/>
      <c r="AN85" s="1175"/>
      <c r="AO85" s="1176"/>
      <c r="AP85" s="1177"/>
      <c r="AQ85" s="1547"/>
      <c r="AR85" s="1177"/>
      <c r="AS85" s="1548"/>
      <c r="AT85" s="1549"/>
      <c r="AU85" s="1178"/>
      <c r="AV85" s="1179"/>
      <c r="AY85" s="3">
        <v>1</v>
      </c>
    </row>
    <row r="86" spans="2:51" ht="27" customHeight="1">
      <c r="B86" s="104"/>
      <c r="C86" s="1172"/>
      <c r="D86" s="1172"/>
      <c r="E86" s="1172"/>
      <c r="F86" s="1173"/>
      <c r="G86" s="1174"/>
      <c r="H86" s="1175"/>
      <c r="I86" s="1176"/>
      <c r="J86" s="1177"/>
      <c r="K86" s="1547"/>
      <c r="L86" s="1177"/>
      <c r="M86" s="1548"/>
      <c r="N86" s="1549"/>
      <c r="O86" s="1178"/>
      <c r="P86" s="1179"/>
      <c r="Q86" s="1171"/>
      <c r="R86" s="104"/>
      <c r="S86" s="1172"/>
      <c r="T86" s="1172"/>
      <c r="U86" s="1172"/>
      <c r="V86" s="1173"/>
      <c r="W86" s="1174"/>
      <c r="X86" s="1175"/>
      <c r="Y86" s="1176"/>
      <c r="Z86" s="1177"/>
      <c r="AA86" s="1547"/>
      <c r="AB86" s="1177"/>
      <c r="AC86" s="1548"/>
      <c r="AD86" s="1549"/>
      <c r="AE86" s="1178"/>
      <c r="AF86" s="1179"/>
      <c r="AG86" s="1171"/>
      <c r="AH86" s="104"/>
      <c r="AI86" s="1172"/>
      <c r="AJ86" s="1172"/>
      <c r="AK86" s="1172"/>
      <c r="AL86" s="1173"/>
      <c r="AM86" s="1174"/>
      <c r="AN86" s="1175"/>
      <c r="AO86" s="1176"/>
      <c r="AP86" s="1177"/>
      <c r="AQ86" s="1547"/>
      <c r="AR86" s="1177"/>
      <c r="AS86" s="1548"/>
      <c r="AT86" s="1549"/>
      <c r="AU86" s="1178"/>
      <c r="AV86" s="1179"/>
      <c r="AY86" s="3">
        <v>1</v>
      </c>
    </row>
    <row r="87" spans="2:51" ht="27" customHeight="1">
      <c r="B87" s="104"/>
      <c r="C87" s="1172"/>
      <c r="D87" s="1172"/>
      <c r="E87" s="1172"/>
      <c r="F87" s="1173"/>
      <c r="G87" s="1174"/>
      <c r="H87" s="1175"/>
      <c r="I87" s="1176"/>
      <c r="J87" s="1177"/>
      <c r="K87" s="1547"/>
      <c r="L87" s="1177"/>
      <c r="M87" s="1548"/>
      <c r="N87" s="1549"/>
      <c r="O87" s="1178"/>
      <c r="P87" s="1179"/>
      <c r="Q87" s="1171"/>
      <c r="R87" s="104"/>
      <c r="S87" s="1172"/>
      <c r="T87" s="1172"/>
      <c r="U87" s="1172"/>
      <c r="V87" s="1173"/>
      <c r="W87" s="1174"/>
      <c r="X87" s="1175"/>
      <c r="Y87" s="1176"/>
      <c r="Z87" s="1177"/>
      <c r="AA87" s="1547"/>
      <c r="AB87" s="1177"/>
      <c r="AC87" s="1548"/>
      <c r="AD87" s="1549"/>
      <c r="AE87" s="1178"/>
      <c r="AF87" s="1179"/>
      <c r="AG87" s="1171"/>
      <c r="AH87" s="104"/>
      <c r="AI87" s="1172"/>
      <c r="AJ87" s="1172"/>
      <c r="AK87" s="1172"/>
      <c r="AL87" s="1173"/>
      <c r="AM87" s="1174"/>
      <c r="AN87" s="1175"/>
      <c r="AO87" s="1176"/>
      <c r="AP87" s="1177"/>
      <c r="AQ87" s="1547"/>
      <c r="AR87" s="1177"/>
      <c r="AS87" s="1548"/>
      <c r="AT87" s="1549"/>
      <c r="AU87" s="1178"/>
      <c r="AV87" s="1179"/>
      <c r="AY87" s="3">
        <v>1</v>
      </c>
    </row>
    <row r="88" spans="2:51" ht="27" customHeight="1">
      <c r="B88" s="104"/>
      <c r="C88" s="1172"/>
      <c r="D88" s="1172"/>
      <c r="E88" s="1172"/>
      <c r="F88" s="1173"/>
      <c r="G88" s="1174"/>
      <c r="H88" s="1175"/>
      <c r="I88" s="1176"/>
      <c r="J88" s="1177"/>
      <c r="K88" s="1547"/>
      <c r="L88" s="1177"/>
      <c r="M88" s="1548"/>
      <c r="N88" s="1549"/>
      <c r="O88" s="1178"/>
      <c r="P88" s="1179"/>
      <c r="Q88" s="1171"/>
      <c r="R88" s="104"/>
      <c r="S88" s="1172"/>
      <c r="T88" s="1172"/>
      <c r="U88" s="1172"/>
      <c r="V88" s="1173"/>
      <c r="W88" s="1174"/>
      <c r="X88" s="1175"/>
      <c r="Y88" s="1176"/>
      <c r="Z88" s="1177"/>
      <c r="AA88" s="1547"/>
      <c r="AB88" s="1177"/>
      <c r="AC88" s="1548"/>
      <c r="AD88" s="1549"/>
      <c r="AE88" s="1178"/>
      <c r="AF88" s="1179"/>
      <c r="AG88" s="1171"/>
      <c r="AH88" s="104"/>
      <c r="AI88" s="1172"/>
      <c r="AJ88" s="1172"/>
      <c r="AK88" s="1172"/>
      <c r="AL88" s="1173"/>
      <c r="AM88" s="1174"/>
      <c r="AN88" s="1175"/>
      <c r="AO88" s="1176"/>
      <c r="AP88" s="1177"/>
      <c r="AQ88" s="1547"/>
      <c r="AR88" s="1177"/>
      <c r="AS88" s="1548"/>
      <c r="AT88" s="1549"/>
      <c r="AU88" s="1178"/>
      <c r="AV88" s="1179"/>
      <c r="AY88" s="3">
        <v>1</v>
      </c>
    </row>
    <row r="89" spans="2:51" ht="27" customHeight="1">
      <c r="B89" s="104"/>
      <c r="C89" s="1172"/>
      <c r="D89" s="1172"/>
      <c r="E89" s="1172"/>
      <c r="F89" s="1173"/>
      <c r="G89" s="1174"/>
      <c r="H89" s="1175"/>
      <c r="I89" s="1176"/>
      <c r="J89" s="1177"/>
      <c r="K89" s="1547"/>
      <c r="L89" s="1177"/>
      <c r="M89" s="1548"/>
      <c r="N89" s="1549"/>
      <c r="O89" s="1178"/>
      <c r="P89" s="1179"/>
      <c r="Q89" s="1171"/>
      <c r="R89" s="104"/>
      <c r="S89" s="1172"/>
      <c r="T89" s="1172"/>
      <c r="U89" s="1172"/>
      <c r="V89" s="1173"/>
      <c r="W89" s="1174"/>
      <c r="X89" s="1175"/>
      <c r="Y89" s="1176"/>
      <c r="Z89" s="1177"/>
      <c r="AA89" s="1547"/>
      <c r="AB89" s="1177"/>
      <c r="AC89" s="1548"/>
      <c r="AD89" s="1549"/>
      <c r="AE89" s="1178"/>
      <c r="AF89" s="1179"/>
      <c r="AG89" s="1171"/>
      <c r="AH89" s="104"/>
      <c r="AI89" s="1172"/>
      <c r="AJ89" s="1172"/>
      <c r="AK89" s="1172"/>
      <c r="AL89" s="1173"/>
      <c r="AM89" s="1174"/>
      <c r="AN89" s="1175"/>
      <c r="AO89" s="1176"/>
      <c r="AP89" s="1177"/>
      <c r="AQ89" s="1547"/>
      <c r="AR89" s="1177"/>
      <c r="AS89" s="1548"/>
      <c r="AT89" s="1549"/>
      <c r="AU89" s="1178"/>
      <c r="AV89" s="1179"/>
      <c r="AY89" s="3">
        <v>1</v>
      </c>
    </row>
    <row r="90" spans="2:51" ht="27" customHeight="1">
      <c r="B90" s="104"/>
      <c r="C90" s="1172"/>
      <c r="D90" s="1172"/>
      <c r="E90" s="1172"/>
      <c r="F90" s="1173"/>
      <c r="G90" s="1174"/>
      <c r="H90" s="1175"/>
      <c r="I90" s="1176"/>
      <c r="J90" s="1177"/>
      <c r="K90" s="1547"/>
      <c r="L90" s="1177"/>
      <c r="M90" s="1548"/>
      <c r="N90" s="1549"/>
      <c r="O90" s="1178"/>
      <c r="P90" s="1179"/>
      <c r="Q90" s="1171"/>
      <c r="R90" s="104"/>
      <c r="S90" s="1172"/>
      <c r="T90" s="1172"/>
      <c r="U90" s="1172"/>
      <c r="V90" s="1173"/>
      <c r="W90" s="1174"/>
      <c r="X90" s="1175"/>
      <c r="Y90" s="1176"/>
      <c r="Z90" s="1177"/>
      <c r="AA90" s="1547"/>
      <c r="AB90" s="1177"/>
      <c r="AC90" s="1548"/>
      <c r="AD90" s="1549"/>
      <c r="AE90" s="1178"/>
      <c r="AF90" s="1179"/>
      <c r="AG90" s="1171"/>
      <c r="AH90" s="104"/>
      <c r="AI90" s="1172"/>
      <c r="AJ90" s="1172"/>
      <c r="AK90" s="1172"/>
      <c r="AL90" s="1173"/>
      <c r="AM90" s="1174"/>
      <c r="AN90" s="1175"/>
      <c r="AO90" s="1176"/>
      <c r="AP90" s="1177"/>
      <c r="AQ90" s="1547"/>
      <c r="AR90" s="1177"/>
      <c r="AS90" s="1548"/>
      <c r="AT90" s="1549"/>
      <c r="AU90" s="1178"/>
      <c r="AV90" s="1179"/>
      <c r="AY90" s="3">
        <v>1</v>
      </c>
    </row>
    <row r="91" spans="2:51" ht="27" customHeight="1">
      <c r="B91" s="104"/>
      <c r="C91" s="1172"/>
      <c r="D91" s="1172"/>
      <c r="E91" s="1172"/>
      <c r="F91" s="1173"/>
      <c r="G91" s="1174"/>
      <c r="H91" s="1175"/>
      <c r="I91" s="1176"/>
      <c r="J91" s="1177"/>
      <c r="K91" s="1547"/>
      <c r="L91" s="1177"/>
      <c r="M91" s="1548"/>
      <c r="N91" s="1549"/>
      <c r="O91" s="1178"/>
      <c r="P91" s="1179"/>
      <c r="Q91" s="1171"/>
      <c r="R91" s="104"/>
      <c r="S91" s="1172"/>
      <c r="T91" s="1172"/>
      <c r="U91" s="1172"/>
      <c r="V91" s="1173"/>
      <c r="W91" s="1174"/>
      <c r="X91" s="1175"/>
      <c r="Y91" s="1176"/>
      <c r="Z91" s="1177"/>
      <c r="AA91" s="1547"/>
      <c r="AB91" s="1177"/>
      <c r="AC91" s="1548"/>
      <c r="AD91" s="1549"/>
      <c r="AE91" s="1178"/>
      <c r="AF91" s="1179"/>
      <c r="AG91" s="1171"/>
      <c r="AH91" s="104"/>
      <c r="AI91" s="1172"/>
      <c r="AJ91" s="1172"/>
      <c r="AK91" s="1172"/>
      <c r="AL91" s="1173"/>
      <c r="AM91" s="1174"/>
      <c r="AN91" s="1175"/>
      <c r="AO91" s="1176"/>
      <c r="AP91" s="1177"/>
      <c r="AQ91" s="1547"/>
      <c r="AR91" s="1177"/>
      <c r="AS91" s="1548"/>
      <c r="AT91" s="1549"/>
      <c r="AU91" s="1178"/>
      <c r="AV91" s="1179"/>
      <c r="AY91" s="3">
        <v>1</v>
      </c>
    </row>
    <row r="92" spans="2:51" ht="27" customHeight="1">
      <c r="B92" s="104"/>
      <c r="C92" s="1172"/>
      <c r="D92" s="1172"/>
      <c r="E92" s="1172"/>
      <c r="F92" s="1173"/>
      <c r="G92" s="1174"/>
      <c r="H92" s="1175"/>
      <c r="I92" s="1176"/>
      <c r="J92" s="1177"/>
      <c r="K92" s="1547"/>
      <c r="L92" s="1177"/>
      <c r="M92" s="1548"/>
      <c r="N92" s="1549"/>
      <c r="O92" s="1178"/>
      <c r="P92" s="1179"/>
      <c r="Q92" s="1171"/>
      <c r="R92" s="104"/>
      <c r="S92" s="1172"/>
      <c r="T92" s="1172"/>
      <c r="U92" s="1172"/>
      <c r="V92" s="1173"/>
      <c r="W92" s="1174"/>
      <c r="X92" s="1175"/>
      <c r="Y92" s="1176"/>
      <c r="Z92" s="1177"/>
      <c r="AA92" s="1547"/>
      <c r="AB92" s="1177"/>
      <c r="AC92" s="1548"/>
      <c r="AD92" s="1549"/>
      <c r="AE92" s="1178"/>
      <c r="AF92" s="1179"/>
      <c r="AG92" s="1171"/>
      <c r="AH92" s="104"/>
      <c r="AI92" s="1172"/>
      <c r="AJ92" s="1172"/>
      <c r="AK92" s="1172"/>
      <c r="AL92" s="1173"/>
      <c r="AM92" s="1174"/>
      <c r="AN92" s="1175"/>
      <c r="AO92" s="1176"/>
      <c r="AP92" s="1177"/>
      <c r="AQ92" s="1547"/>
      <c r="AR92" s="1177"/>
      <c r="AS92" s="1548"/>
      <c r="AT92" s="1549"/>
      <c r="AU92" s="1178"/>
      <c r="AV92" s="1179"/>
      <c r="AY92" s="3">
        <v>1</v>
      </c>
    </row>
    <row r="93" spans="2:51" ht="27" customHeight="1">
      <c r="B93" s="104"/>
      <c r="C93" s="1172"/>
      <c r="D93" s="1172"/>
      <c r="E93" s="1172"/>
      <c r="F93" s="1173"/>
      <c r="G93" s="1174"/>
      <c r="H93" s="1175"/>
      <c r="I93" s="1176"/>
      <c r="J93" s="1177"/>
      <c r="K93" s="1547"/>
      <c r="L93" s="1177"/>
      <c r="M93" s="1548"/>
      <c r="N93" s="1549"/>
      <c r="O93" s="1178"/>
      <c r="P93" s="1179"/>
      <c r="Q93" s="1171"/>
      <c r="R93" s="104"/>
      <c r="S93" s="1172"/>
      <c r="T93" s="1172"/>
      <c r="U93" s="1172"/>
      <c r="V93" s="1173"/>
      <c r="W93" s="1174"/>
      <c r="X93" s="1175"/>
      <c r="Y93" s="1176"/>
      <c r="Z93" s="1177"/>
      <c r="AA93" s="1547"/>
      <c r="AB93" s="1177"/>
      <c r="AC93" s="1548"/>
      <c r="AD93" s="1549"/>
      <c r="AE93" s="1178"/>
      <c r="AF93" s="1179"/>
      <c r="AG93" s="1171"/>
      <c r="AH93" s="104"/>
      <c r="AI93" s="1172"/>
      <c r="AJ93" s="1172"/>
      <c r="AK93" s="1172"/>
      <c r="AL93" s="1173"/>
      <c r="AM93" s="1174"/>
      <c r="AN93" s="1175"/>
      <c r="AO93" s="1176"/>
      <c r="AP93" s="1177"/>
      <c r="AQ93" s="1547"/>
      <c r="AR93" s="1177"/>
      <c r="AS93" s="1548"/>
      <c r="AT93" s="1549"/>
      <c r="AU93" s="1178"/>
      <c r="AV93" s="1179"/>
      <c r="AY93" s="3">
        <v>1</v>
      </c>
    </row>
    <row r="94" spans="2:51" ht="27" customHeight="1">
      <c r="B94" s="104"/>
      <c r="C94" s="1172"/>
      <c r="D94" s="1172"/>
      <c r="E94" s="1172"/>
      <c r="F94" s="1173"/>
      <c r="G94" s="1174"/>
      <c r="H94" s="1175"/>
      <c r="I94" s="1176"/>
      <c r="J94" s="1177"/>
      <c r="K94" s="1547"/>
      <c r="L94" s="1177"/>
      <c r="M94" s="1548"/>
      <c r="N94" s="1549"/>
      <c r="O94" s="1178"/>
      <c r="P94" s="1179"/>
      <c r="Q94" s="1171"/>
      <c r="R94" s="104"/>
      <c r="S94" s="1172"/>
      <c r="T94" s="1172"/>
      <c r="U94" s="1172"/>
      <c r="V94" s="1173"/>
      <c r="W94" s="1174"/>
      <c r="X94" s="1175"/>
      <c r="Y94" s="1176"/>
      <c r="Z94" s="1177"/>
      <c r="AA94" s="1547"/>
      <c r="AB94" s="1177"/>
      <c r="AC94" s="1548"/>
      <c r="AD94" s="1549"/>
      <c r="AE94" s="1178"/>
      <c r="AF94" s="1179"/>
      <c r="AG94" s="1171"/>
      <c r="AH94" s="104"/>
      <c r="AI94" s="1172"/>
      <c r="AJ94" s="1172"/>
      <c r="AK94" s="1172"/>
      <c r="AL94" s="1173"/>
      <c r="AM94" s="1174"/>
      <c r="AN94" s="1175"/>
      <c r="AO94" s="1176"/>
      <c r="AP94" s="1177"/>
      <c r="AQ94" s="1547"/>
      <c r="AR94" s="1177"/>
      <c r="AS94" s="1548"/>
      <c r="AT94" s="1549"/>
      <c r="AU94" s="1178"/>
      <c r="AV94" s="1179"/>
      <c r="AY94" s="3">
        <v>1</v>
      </c>
    </row>
    <row r="95" spans="2:51" ht="27" customHeight="1">
      <c r="B95" s="104"/>
      <c r="C95" s="1172"/>
      <c r="D95" s="1172"/>
      <c r="E95" s="1172"/>
      <c r="F95" s="1173"/>
      <c r="G95" s="1174"/>
      <c r="H95" s="1175"/>
      <c r="I95" s="1176"/>
      <c r="J95" s="1177"/>
      <c r="K95" s="1547"/>
      <c r="L95" s="1177"/>
      <c r="M95" s="1548"/>
      <c r="N95" s="1549"/>
      <c r="O95" s="1178"/>
      <c r="P95" s="1179"/>
      <c r="Q95" s="1171"/>
      <c r="R95" s="104"/>
      <c r="S95" s="1172"/>
      <c r="T95" s="1172"/>
      <c r="U95" s="1172"/>
      <c r="V95" s="1173"/>
      <c r="W95" s="1174"/>
      <c r="X95" s="1175"/>
      <c r="Y95" s="1176"/>
      <c r="Z95" s="1177"/>
      <c r="AA95" s="1547"/>
      <c r="AB95" s="1177"/>
      <c r="AC95" s="1548"/>
      <c r="AD95" s="1549"/>
      <c r="AE95" s="1178"/>
      <c r="AF95" s="1179"/>
      <c r="AG95" s="1171"/>
      <c r="AH95" s="104"/>
      <c r="AI95" s="1172"/>
      <c r="AJ95" s="1172"/>
      <c r="AK95" s="1172"/>
      <c r="AL95" s="1173"/>
      <c r="AM95" s="1174"/>
      <c r="AN95" s="1175"/>
      <c r="AO95" s="1176"/>
      <c r="AP95" s="1177"/>
      <c r="AQ95" s="1547"/>
      <c r="AR95" s="1177"/>
      <c r="AS95" s="1548"/>
      <c r="AT95" s="1549"/>
      <c r="AU95" s="1178"/>
      <c r="AV95" s="1179"/>
      <c r="AY95" s="3">
        <v>1</v>
      </c>
    </row>
    <row r="96" spans="2:51" ht="27" customHeight="1">
      <c r="B96" s="104"/>
      <c r="C96" s="1172"/>
      <c r="D96" s="1172"/>
      <c r="E96" s="1172"/>
      <c r="F96" s="1173"/>
      <c r="G96" s="1174"/>
      <c r="H96" s="1175"/>
      <c r="I96" s="1176"/>
      <c r="J96" s="1177"/>
      <c r="K96" s="1547"/>
      <c r="L96" s="1177"/>
      <c r="M96" s="1548"/>
      <c r="N96" s="1549"/>
      <c r="O96" s="1178"/>
      <c r="P96" s="1179"/>
      <c r="Q96" s="1171"/>
      <c r="R96" s="104"/>
      <c r="S96" s="1172"/>
      <c r="T96" s="1172"/>
      <c r="U96" s="1172"/>
      <c r="V96" s="1173"/>
      <c r="W96" s="1174"/>
      <c r="X96" s="1175"/>
      <c r="Y96" s="1176"/>
      <c r="Z96" s="1177"/>
      <c r="AA96" s="1547"/>
      <c r="AB96" s="1177"/>
      <c r="AC96" s="1548"/>
      <c r="AD96" s="1549"/>
      <c r="AE96" s="1178"/>
      <c r="AF96" s="1179"/>
      <c r="AG96" s="1171"/>
      <c r="AH96" s="104"/>
      <c r="AI96" s="1172"/>
      <c r="AJ96" s="1172"/>
      <c r="AK96" s="1172"/>
      <c r="AL96" s="1173"/>
      <c r="AM96" s="1174"/>
      <c r="AN96" s="1175"/>
      <c r="AO96" s="1176"/>
      <c r="AP96" s="1177"/>
      <c r="AQ96" s="1547"/>
      <c r="AR96" s="1177"/>
      <c r="AS96" s="1548"/>
      <c r="AT96" s="1549"/>
      <c r="AU96" s="1178"/>
      <c r="AV96" s="1179"/>
      <c r="AY96" s="3">
        <v>1</v>
      </c>
    </row>
    <row r="97" spans="2:51" ht="27" customHeight="1">
      <c r="B97" s="104"/>
      <c r="C97" s="1172"/>
      <c r="D97" s="1172"/>
      <c r="E97" s="1172"/>
      <c r="F97" s="1173"/>
      <c r="G97" s="1174"/>
      <c r="H97" s="1175"/>
      <c r="I97" s="1176"/>
      <c r="J97" s="1177"/>
      <c r="K97" s="1547"/>
      <c r="L97" s="1177"/>
      <c r="M97" s="1548"/>
      <c r="N97" s="1549"/>
      <c r="O97" s="1178"/>
      <c r="P97" s="1179"/>
      <c r="Q97" s="1171"/>
      <c r="R97" s="104"/>
      <c r="S97" s="1172"/>
      <c r="T97" s="1172"/>
      <c r="U97" s="1172"/>
      <c r="V97" s="1173"/>
      <c r="W97" s="1174"/>
      <c r="X97" s="1175"/>
      <c r="Y97" s="1176"/>
      <c r="Z97" s="1177"/>
      <c r="AA97" s="1547"/>
      <c r="AB97" s="1177"/>
      <c r="AC97" s="1548"/>
      <c r="AD97" s="1549"/>
      <c r="AE97" s="1178"/>
      <c r="AF97" s="1179"/>
      <c r="AG97" s="1171"/>
      <c r="AH97" s="104"/>
      <c r="AI97" s="1172"/>
      <c r="AJ97" s="1172"/>
      <c r="AK97" s="1172"/>
      <c r="AL97" s="1173"/>
      <c r="AM97" s="1174"/>
      <c r="AN97" s="1175"/>
      <c r="AO97" s="1176"/>
      <c r="AP97" s="1177"/>
      <c r="AQ97" s="1547"/>
      <c r="AR97" s="1177"/>
      <c r="AS97" s="1548"/>
      <c r="AT97" s="1549"/>
      <c r="AU97" s="1178"/>
      <c r="AV97" s="1179"/>
      <c r="AY97" s="3">
        <v>1</v>
      </c>
    </row>
    <row r="98" spans="2:51" ht="27" customHeight="1">
      <c r="B98" s="104"/>
      <c r="C98" s="1172"/>
      <c r="D98" s="1172"/>
      <c r="E98" s="1172"/>
      <c r="F98" s="1173"/>
      <c r="G98" s="1174"/>
      <c r="H98" s="1175"/>
      <c r="I98" s="1176"/>
      <c r="J98" s="1177"/>
      <c r="K98" s="1547"/>
      <c r="L98" s="1177"/>
      <c r="M98" s="1548"/>
      <c r="N98" s="1549"/>
      <c r="O98" s="1178"/>
      <c r="P98" s="1179"/>
      <c r="Q98" s="1171"/>
      <c r="R98" s="104"/>
      <c r="S98" s="1172"/>
      <c r="T98" s="1172"/>
      <c r="U98" s="1172"/>
      <c r="V98" s="1173"/>
      <c r="W98" s="1174"/>
      <c r="X98" s="1175"/>
      <c r="Y98" s="1176"/>
      <c r="Z98" s="1177"/>
      <c r="AA98" s="1547"/>
      <c r="AB98" s="1177"/>
      <c r="AC98" s="1548"/>
      <c r="AD98" s="1549"/>
      <c r="AE98" s="1178"/>
      <c r="AF98" s="1179"/>
      <c r="AG98" s="1171"/>
      <c r="AH98" s="104"/>
      <c r="AI98" s="1172"/>
      <c r="AJ98" s="1172"/>
      <c r="AK98" s="1172"/>
      <c r="AL98" s="1173"/>
      <c r="AM98" s="1174"/>
      <c r="AN98" s="1175"/>
      <c r="AO98" s="1176"/>
      <c r="AP98" s="1177"/>
      <c r="AQ98" s="1547"/>
      <c r="AR98" s="1177"/>
      <c r="AS98" s="1548"/>
      <c r="AT98" s="1549"/>
      <c r="AU98" s="1178"/>
      <c r="AV98" s="1179"/>
      <c r="AY98" s="3">
        <v>1</v>
      </c>
    </row>
    <row r="99" spans="2:51" ht="27" customHeight="1">
      <c r="B99" s="104"/>
      <c r="C99" s="1172"/>
      <c r="D99" s="1172"/>
      <c r="E99" s="1172"/>
      <c r="F99" s="1173"/>
      <c r="G99" s="1174"/>
      <c r="H99" s="1175"/>
      <c r="I99" s="1176"/>
      <c r="J99" s="1177"/>
      <c r="K99" s="1547"/>
      <c r="L99" s="1177"/>
      <c r="M99" s="1548"/>
      <c r="N99" s="1549"/>
      <c r="O99" s="1178"/>
      <c r="P99" s="1179"/>
      <c r="Q99" s="1171"/>
      <c r="R99" s="104"/>
      <c r="S99" s="1172"/>
      <c r="T99" s="1172"/>
      <c r="U99" s="1172"/>
      <c r="V99" s="1173"/>
      <c r="W99" s="1174"/>
      <c r="X99" s="1175"/>
      <c r="Y99" s="1176"/>
      <c r="Z99" s="1177"/>
      <c r="AA99" s="1547"/>
      <c r="AB99" s="1177"/>
      <c r="AC99" s="1548"/>
      <c r="AD99" s="1549"/>
      <c r="AE99" s="1178"/>
      <c r="AF99" s="1179"/>
      <c r="AG99" s="1171"/>
      <c r="AH99" s="104"/>
      <c r="AI99" s="1172"/>
      <c r="AJ99" s="1172"/>
      <c r="AK99" s="1172"/>
      <c r="AL99" s="1173"/>
      <c r="AM99" s="1174"/>
      <c r="AN99" s="1175"/>
      <c r="AO99" s="1176"/>
      <c r="AP99" s="1177"/>
      <c r="AQ99" s="1547"/>
      <c r="AR99" s="1177"/>
      <c r="AS99" s="1548"/>
      <c r="AT99" s="1549"/>
      <c r="AU99" s="1178"/>
      <c r="AV99" s="1179"/>
      <c r="AY99" s="3">
        <v>1</v>
      </c>
    </row>
    <row r="100" spans="2:51" ht="27" customHeight="1">
      <c r="B100" s="104"/>
      <c r="C100" s="1172"/>
      <c r="D100" s="1172"/>
      <c r="E100" s="1172"/>
      <c r="F100" s="1173"/>
      <c r="G100" s="1174"/>
      <c r="H100" s="1175"/>
      <c r="I100" s="1176"/>
      <c r="J100" s="1177"/>
      <c r="K100" s="1547"/>
      <c r="L100" s="1177"/>
      <c r="M100" s="1548"/>
      <c r="N100" s="1549"/>
      <c r="O100" s="1178"/>
      <c r="P100" s="1179"/>
      <c r="Q100" s="1171"/>
      <c r="R100" s="104"/>
      <c r="S100" s="1172"/>
      <c r="T100" s="1172"/>
      <c r="U100" s="1172"/>
      <c r="V100" s="1173"/>
      <c r="W100" s="1174"/>
      <c r="X100" s="1175"/>
      <c r="Y100" s="1176"/>
      <c r="Z100" s="1177"/>
      <c r="AA100" s="1547"/>
      <c r="AB100" s="1177"/>
      <c r="AC100" s="1548"/>
      <c r="AD100" s="1549"/>
      <c r="AE100" s="1178"/>
      <c r="AF100" s="1179"/>
      <c r="AG100" s="1171"/>
      <c r="AH100" s="104"/>
      <c r="AI100" s="1172"/>
      <c r="AJ100" s="1172"/>
      <c r="AK100" s="1172"/>
      <c r="AL100" s="1173"/>
      <c r="AM100" s="1174"/>
      <c r="AN100" s="1175"/>
      <c r="AO100" s="1176"/>
      <c r="AP100" s="1177"/>
      <c r="AQ100" s="1547"/>
      <c r="AR100" s="1177"/>
      <c r="AS100" s="1548"/>
      <c r="AT100" s="1549"/>
      <c r="AU100" s="1178"/>
      <c r="AV100" s="1179"/>
      <c r="AY100" s="3">
        <v>1</v>
      </c>
    </row>
    <row r="101" spans="2:51" ht="27" customHeight="1">
      <c r="B101" s="104"/>
      <c r="C101" s="1172"/>
      <c r="D101" s="1172"/>
      <c r="E101" s="1172"/>
      <c r="F101" s="1173"/>
      <c r="G101" s="1174"/>
      <c r="H101" s="1175"/>
      <c r="I101" s="1176"/>
      <c r="J101" s="1177"/>
      <c r="K101" s="1547"/>
      <c r="L101" s="1177"/>
      <c r="M101" s="1548"/>
      <c r="N101" s="1549"/>
      <c r="O101" s="1178"/>
      <c r="P101" s="1179"/>
      <c r="Q101" s="1171"/>
      <c r="R101" s="104"/>
      <c r="S101" s="1172"/>
      <c r="T101" s="1172"/>
      <c r="U101" s="1172"/>
      <c r="V101" s="1173"/>
      <c r="W101" s="1174"/>
      <c r="X101" s="1175"/>
      <c r="Y101" s="1176"/>
      <c r="Z101" s="1177"/>
      <c r="AA101" s="1547"/>
      <c r="AB101" s="1177"/>
      <c r="AC101" s="1548"/>
      <c r="AD101" s="1549"/>
      <c r="AE101" s="1178"/>
      <c r="AF101" s="1179"/>
      <c r="AG101" s="1171"/>
      <c r="AH101" s="104"/>
      <c r="AI101" s="1172"/>
      <c r="AJ101" s="1172"/>
      <c r="AK101" s="1172"/>
      <c r="AL101" s="1173"/>
      <c r="AM101" s="1174"/>
      <c r="AN101" s="1175"/>
      <c r="AO101" s="1176"/>
      <c r="AP101" s="1177"/>
      <c r="AQ101" s="1547"/>
      <c r="AR101" s="1177"/>
      <c r="AS101" s="1548"/>
      <c r="AT101" s="1549"/>
      <c r="AU101" s="1178"/>
      <c r="AV101" s="1179"/>
      <c r="AY101" s="3">
        <v>1</v>
      </c>
    </row>
    <row r="102" spans="2:51" ht="27" customHeight="1">
      <c r="B102" s="104"/>
      <c r="C102" s="1172"/>
      <c r="D102" s="1172"/>
      <c r="E102" s="1172"/>
      <c r="F102" s="1173"/>
      <c r="G102" s="1174"/>
      <c r="H102" s="1175"/>
      <c r="I102" s="1176"/>
      <c r="J102" s="1177"/>
      <c r="K102" s="1547"/>
      <c r="L102" s="1177"/>
      <c r="M102" s="1548"/>
      <c r="N102" s="1549"/>
      <c r="O102" s="1178"/>
      <c r="P102" s="1179"/>
      <c r="Q102" s="1171"/>
      <c r="R102" s="104"/>
      <c r="S102" s="1172"/>
      <c r="T102" s="1172"/>
      <c r="U102" s="1172"/>
      <c r="V102" s="1173"/>
      <c r="W102" s="1174"/>
      <c r="X102" s="1175"/>
      <c r="Y102" s="1176"/>
      <c r="Z102" s="1177"/>
      <c r="AA102" s="1547"/>
      <c r="AB102" s="1177"/>
      <c r="AC102" s="1548"/>
      <c r="AD102" s="1549"/>
      <c r="AE102" s="1178"/>
      <c r="AF102" s="1179"/>
      <c r="AG102" s="1171"/>
      <c r="AH102" s="104"/>
      <c r="AI102" s="1172"/>
      <c r="AJ102" s="1172"/>
      <c r="AK102" s="1172"/>
      <c r="AL102" s="1173"/>
      <c r="AM102" s="1174"/>
      <c r="AN102" s="1175"/>
      <c r="AO102" s="1176"/>
      <c r="AP102" s="1177"/>
      <c r="AQ102" s="1547"/>
      <c r="AR102" s="1177"/>
      <c r="AS102" s="1548"/>
      <c r="AT102" s="1549"/>
      <c r="AU102" s="1178"/>
      <c r="AV102" s="1179"/>
      <c r="AY102" s="3">
        <v>1</v>
      </c>
    </row>
    <row r="103" spans="2:51" ht="27" customHeight="1">
      <c r="B103" s="104"/>
      <c r="C103" s="1172"/>
      <c r="D103" s="1172"/>
      <c r="E103" s="1172"/>
      <c r="F103" s="1173"/>
      <c r="G103" s="1174"/>
      <c r="H103" s="1175"/>
      <c r="I103" s="1176"/>
      <c r="J103" s="1177"/>
      <c r="K103" s="1547"/>
      <c r="L103" s="1177"/>
      <c r="M103" s="1548"/>
      <c r="N103" s="1549"/>
      <c r="O103" s="1178"/>
      <c r="P103" s="1179"/>
      <c r="Q103" s="1171"/>
      <c r="R103" s="104"/>
      <c r="S103" s="1172"/>
      <c r="T103" s="1172"/>
      <c r="U103" s="1172"/>
      <c r="V103" s="1173"/>
      <c r="W103" s="1174"/>
      <c r="X103" s="1175"/>
      <c r="Y103" s="1176"/>
      <c r="Z103" s="1177"/>
      <c r="AA103" s="1547"/>
      <c r="AB103" s="1177"/>
      <c r="AC103" s="1548"/>
      <c r="AD103" s="1549"/>
      <c r="AE103" s="1178"/>
      <c r="AF103" s="1179"/>
      <c r="AG103" s="1171"/>
      <c r="AH103" s="104"/>
      <c r="AI103" s="1172"/>
      <c r="AJ103" s="1172"/>
      <c r="AK103" s="1172"/>
      <c r="AL103" s="1173"/>
      <c r="AM103" s="1174"/>
      <c r="AN103" s="1175"/>
      <c r="AO103" s="1176"/>
      <c r="AP103" s="1177"/>
      <c r="AQ103" s="1547"/>
      <c r="AR103" s="1177"/>
      <c r="AS103" s="1548"/>
      <c r="AT103" s="1549"/>
      <c r="AU103" s="1178"/>
      <c r="AV103" s="1179"/>
      <c r="AY103" s="3">
        <v>1</v>
      </c>
    </row>
    <row r="104" spans="2:51" ht="27" customHeight="1">
      <c r="B104" s="104"/>
      <c r="C104" s="1172"/>
      <c r="D104" s="1172"/>
      <c r="E104" s="1172"/>
      <c r="F104" s="1173"/>
      <c r="G104" s="1174"/>
      <c r="H104" s="1175"/>
      <c r="I104" s="1176"/>
      <c r="J104" s="1177"/>
      <c r="K104" s="1547"/>
      <c r="L104" s="1177"/>
      <c r="M104" s="1548"/>
      <c r="N104" s="1549"/>
      <c r="O104" s="1178"/>
      <c r="P104" s="1179"/>
      <c r="Q104" s="1171"/>
      <c r="R104" s="104"/>
      <c r="S104" s="1172"/>
      <c r="T104" s="1172"/>
      <c r="U104" s="1172"/>
      <c r="V104" s="1173"/>
      <c r="W104" s="1174"/>
      <c r="X104" s="1175"/>
      <c r="Y104" s="1176"/>
      <c r="Z104" s="1177"/>
      <c r="AA104" s="1547"/>
      <c r="AB104" s="1177"/>
      <c r="AC104" s="1548"/>
      <c r="AD104" s="1549"/>
      <c r="AE104" s="1178"/>
      <c r="AF104" s="1179"/>
      <c r="AG104" s="1171"/>
      <c r="AH104" s="104"/>
      <c r="AI104" s="1172"/>
      <c r="AJ104" s="1172"/>
      <c r="AK104" s="1172"/>
      <c r="AL104" s="1173"/>
      <c r="AM104" s="1174"/>
      <c r="AN104" s="1175"/>
      <c r="AO104" s="1176"/>
      <c r="AP104" s="1177"/>
      <c r="AQ104" s="1547"/>
      <c r="AR104" s="1177"/>
      <c r="AS104" s="1548"/>
      <c r="AT104" s="1549"/>
      <c r="AU104" s="1178"/>
      <c r="AV104" s="1179"/>
      <c r="AY104" s="3">
        <v>1</v>
      </c>
    </row>
    <row r="105" spans="2:51" ht="27" customHeight="1">
      <c r="B105" s="104"/>
      <c r="C105" s="1172"/>
      <c r="D105" s="1172"/>
      <c r="E105" s="1172"/>
      <c r="F105" s="1173"/>
      <c r="G105" s="1174"/>
      <c r="H105" s="1175"/>
      <c r="I105" s="1176"/>
      <c r="J105" s="1177"/>
      <c r="K105" s="1547"/>
      <c r="L105" s="1177"/>
      <c r="M105" s="1548"/>
      <c r="N105" s="1549"/>
      <c r="O105" s="1178"/>
      <c r="P105" s="1179"/>
      <c r="Q105" s="1171"/>
      <c r="R105" s="104"/>
      <c r="S105" s="1172"/>
      <c r="T105" s="1172"/>
      <c r="U105" s="1172"/>
      <c r="V105" s="1173"/>
      <c r="W105" s="1174"/>
      <c r="X105" s="1175"/>
      <c r="Y105" s="1176"/>
      <c r="Z105" s="1177"/>
      <c r="AA105" s="1547"/>
      <c r="AB105" s="1177"/>
      <c r="AC105" s="1548"/>
      <c r="AD105" s="1549"/>
      <c r="AE105" s="1178"/>
      <c r="AF105" s="1179"/>
      <c r="AG105" s="1171"/>
      <c r="AH105" s="104"/>
      <c r="AI105" s="1172"/>
      <c r="AJ105" s="1172"/>
      <c r="AK105" s="1172"/>
      <c r="AL105" s="1173"/>
      <c r="AM105" s="1174"/>
      <c r="AN105" s="1175"/>
      <c r="AO105" s="1176"/>
      <c r="AP105" s="1177"/>
      <c r="AQ105" s="1547"/>
      <c r="AR105" s="1177"/>
      <c r="AS105" s="1548"/>
      <c r="AT105" s="1549"/>
      <c r="AU105" s="1178"/>
      <c r="AV105" s="1179"/>
      <c r="AY105" s="3">
        <v>1</v>
      </c>
    </row>
    <row r="106" spans="2:51" ht="27" customHeight="1">
      <c r="B106" s="104"/>
      <c r="C106" s="1172"/>
      <c r="D106" s="1172"/>
      <c r="E106" s="1172"/>
      <c r="F106" s="1173"/>
      <c r="G106" s="1174"/>
      <c r="H106" s="1175"/>
      <c r="I106" s="1176"/>
      <c r="J106" s="1177"/>
      <c r="K106" s="1547"/>
      <c r="L106" s="1177"/>
      <c r="M106" s="1548"/>
      <c r="N106" s="1549"/>
      <c r="O106" s="1178"/>
      <c r="P106" s="1179"/>
      <c r="Q106" s="1171"/>
      <c r="R106" s="104"/>
      <c r="S106" s="1172"/>
      <c r="T106" s="1172"/>
      <c r="U106" s="1172"/>
      <c r="V106" s="1173"/>
      <c r="W106" s="1174"/>
      <c r="X106" s="1175"/>
      <c r="Y106" s="1176"/>
      <c r="Z106" s="1177"/>
      <c r="AA106" s="1547"/>
      <c r="AB106" s="1177"/>
      <c r="AC106" s="1548"/>
      <c r="AD106" s="1549"/>
      <c r="AE106" s="1178"/>
      <c r="AF106" s="1179"/>
      <c r="AG106" s="1171"/>
      <c r="AH106" s="104"/>
      <c r="AI106" s="1172"/>
      <c r="AJ106" s="1172"/>
      <c r="AK106" s="1172"/>
      <c r="AL106" s="1173"/>
      <c r="AM106" s="1174"/>
      <c r="AN106" s="1175"/>
      <c r="AO106" s="1176"/>
      <c r="AP106" s="1177"/>
      <c r="AQ106" s="1547"/>
      <c r="AR106" s="1177"/>
      <c r="AS106" s="1548"/>
      <c r="AT106" s="1549"/>
      <c r="AU106" s="1178"/>
      <c r="AV106" s="1179"/>
      <c r="AY106" s="3">
        <v>1</v>
      </c>
    </row>
    <row r="107" spans="2:51" ht="27" customHeight="1">
      <c r="B107" s="104"/>
      <c r="C107" s="1172"/>
      <c r="D107" s="1172"/>
      <c r="E107" s="1172"/>
      <c r="F107" s="1173"/>
      <c r="G107" s="1174"/>
      <c r="H107" s="1175"/>
      <c r="I107" s="1176"/>
      <c r="J107" s="1177"/>
      <c r="K107" s="1547"/>
      <c r="L107" s="1177"/>
      <c r="M107" s="1548"/>
      <c r="N107" s="1549"/>
      <c r="O107" s="1178"/>
      <c r="P107" s="1179"/>
      <c r="Q107" s="1171"/>
      <c r="R107" s="104"/>
      <c r="S107" s="1172"/>
      <c r="T107" s="1172"/>
      <c r="U107" s="1172"/>
      <c r="V107" s="1173"/>
      <c r="W107" s="1174"/>
      <c r="X107" s="1175"/>
      <c r="Y107" s="1176"/>
      <c r="Z107" s="1177"/>
      <c r="AA107" s="1547"/>
      <c r="AB107" s="1177"/>
      <c r="AC107" s="1548"/>
      <c r="AD107" s="1549"/>
      <c r="AE107" s="1178"/>
      <c r="AF107" s="1179"/>
      <c r="AG107" s="1171"/>
      <c r="AH107" s="104"/>
      <c r="AI107" s="1172"/>
      <c r="AJ107" s="1172"/>
      <c r="AK107" s="1172"/>
      <c r="AL107" s="1173"/>
      <c r="AM107" s="1174"/>
      <c r="AN107" s="1175"/>
      <c r="AO107" s="1176"/>
      <c r="AP107" s="1177"/>
      <c r="AQ107" s="1547"/>
      <c r="AR107" s="1177"/>
      <c r="AS107" s="1548"/>
      <c r="AT107" s="1549"/>
      <c r="AU107" s="1178"/>
      <c r="AV107" s="1179"/>
      <c r="AY107" s="3">
        <v>1</v>
      </c>
    </row>
    <row r="108" spans="2:51" ht="27" customHeight="1">
      <c r="B108" s="104"/>
      <c r="C108" s="1172"/>
      <c r="D108" s="1172"/>
      <c r="E108" s="1172"/>
      <c r="F108" s="1173"/>
      <c r="G108" s="1174"/>
      <c r="H108" s="1175"/>
      <c r="I108" s="1176"/>
      <c r="J108" s="1177"/>
      <c r="K108" s="1547"/>
      <c r="L108" s="1177"/>
      <c r="M108" s="1548"/>
      <c r="N108" s="1549"/>
      <c r="O108" s="1178"/>
      <c r="P108" s="1179"/>
      <c r="Q108" s="1171"/>
      <c r="R108" s="104"/>
      <c r="S108" s="1172"/>
      <c r="T108" s="1172"/>
      <c r="U108" s="1172"/>
      <c r="V108" s="1173"/>
      <c r="W108" s="1174"/>
      <c r="X108" s="1175"/>
      <c r="Y108" s="1176"/>
      <c r="Z108" s="1177"/>
      <c r="AA108" s="1547"/>
      <c r="AB108" s="1177"/>
      <c r="AC108" s="1548"/>
      <c r="AD108" s="1549"/>
      <c r="AE108" s="1178"/>
      <c r="AF108" s="1179"/>
      <c r="AG108" s="1171"/>
      <c r="AH108" s="104"/>
      <c r="AI108" s="1172"/>
      <c r="AJ108" s="1172"/>
      <c r="AK108" s="1172"/>
      <c r="AL108" s="1173"/>
      <c r="AM108" s="1174"/>
      <c r="AN108" s="1175"/>
      <c r="AO108" s="1176"/>
      <c r="AP108" s="1177"/>
      <c r="AQ108" s="1547"/>
      <c r="AR108" s="1177"/>
      <c r="AS108" s="1548"/>
      <c r="AT108" s="1549"/>
      <c r="AU108" s="1178"/>
      <c r="AV108" s="1179"/>
      <c r="AY108" s="3">
        <v>1</v>
      </c>
    </row>
    <row r="109" spans="2:51" ht="27" customHeight="1">
      <c r="B109" s="104"/>
      <c r="C109" s="1172"/>
      <c r="D109" s="1172"/>
      <c r="E109" s="1172"/>
      <c r="F109" s="1173"/>
      <c r="G109" s="1174"/>
      <c r="H109" s="1175"/>
      <c r="I109" s="1176"/>
      <c r="J109" s="1177"/>
      <c r="K109" s="1547"/>
      <c r="L109" s="1177"/>
      <c r="M109" s="1548"/>
      <c r="N109" s="1549"/>
      <c r="O109" s="1178"/>
      <c r="P109" s="1179"/>
      <c r="Q109" s="1171"/>
      <c r="R109" s="104"/>
      <c r="S109" s="1172"/>
      <c r="T109" s="1172"/>
      <c r="U109" s="1172"/>
      <c r="V109" s="1173"/>
      <c r="W109" s="1174"/>
      <c r="X109" s="1175"/>
      <c r="Y109" s="1176"/>
      <c r="Z109" s="1177"/>
      <c r="AA109" s="1547"/>
      <c r="AB109" s="1177"/>
      <c r="AC109" s="1548"/>
      <c r="AD109" s="1549"/>
      <c r="AE109" s="1178"/>
      <c r="AF109" s="1179"/>
      <c r="AG109" s="1171"/>
      <c r="AH109" s="104"/>
      <c r="AI109" s="1172"/>
      <c r="AJ109" s="1172"/>
      <c r="AK109" s="1172"/>
      <c r="AL109" s="1173"/>
      <c r="AM109" s="1174"/>
      <c r="AN109" s="1175"/>
      <c r="AO109" s="1176"/>
      <c r="AP109" s="1177"/>
      <c r="AQ109" s="1547"/>
      <c r="AR109" s="1177"/>
      <c r="AS109" s="1548"/>
      <c r="AT109" s="1549"/>
      <c r="AU109" s="1178"/>
      <c r="AV109" s="1179"/>
      <c r="AY109" s="3">
        <v>1</v>
      </c>
    </row>
    <row r="110" spans="2:51" ht="27" customHeight="1">
      <c r="B110" s="104"/>
      <c r="C110" s="1172"/>
      <c r="D110" s="1172"/>
      <c r="E110" s="1172"/>
      <c r="F110" s="1173"/>
      <c r="G110" s="1174"/>
      <c r="H110" s="1175"/>
      <c r="I110" s="1176"/>
      <c r="J110" s="1177"/>
      <c r="K110" s="1547"/>
      <c r="L110" s="1177"/>
      <c r="M110" s="1548"/>
      <c r="N110" s="1549"/>
      <c r="O110" s="1178"/>
      <c r="P110" s="1179"/>
      <c r="Q110" s="1171"/>
      <c r="R110" s="104"/>
      <c r="S110" s="1172"/>
      <c r="T110" s="1172"/>
      <c r="U110" s="1172"/>
      <c r="V110" s="1173"/>
      <c r="W110" s="1174"/>
      <c r="X110" s="1175"/>
      <c r="Y110" s="1176"/>
      <c r="Z110" s="1177"/>
      <c r="AA110" s="1547"/>
      <c r="AB110" s="1177"/>
      <c r="AC110" s="1548"/>
      <c r="AD110" s="1549"/>
      <c r="AE110" s="1178"/>
      <c r="AF110" s="1179"/>
      <c r="AG110" s="1171"/>
      <c r="AH110" s="104"/>
      <c r="AI110" s="1172"/>
      <c r="AJ110" s="1172"/>
      <c r="AK110" s="1172"/>
      <c r="AL110" s="1173"/>
      <c r="AM110" s="1174"/>
      <c r="AN110" s="1175"/>
      <c r="AO110" s="1176"/>
      <c r="AP110" s="1177"/>
      <c r="AQ110" s="1547"/>
      <c r="AR110" s="1177"/>
      <c r="AS110" s="1548"/>
      <c r="AT110" s="1549"/>
      <c r="AU110" s="1178"/>
      <c r="AV110" s="1179"/>
      <c r="AY110" s="3">
        <v>1</v>
      </c>
    </row>
    <row r="111" spans="2:51" ht="27" customHeight="1">
      <c r="B111" s="104"/>
      <c r="C111" s="1172"/>
      <c r="D111" s="1172"/>
      <c r="E111" s="1172"/>
      <c r="F111" s="1173"/>
      <c r="G111" s="1174"/>
      <c r="H111" s="1175"/>
      <c r="I111" s="1176"/>
      <c r="J111" s="1177"/>
      <c r="K111" s="1547"/>
      <c r="L111" s="1177"/>
      <c r="M111" s="1548"/>
      <c r="N111" s="1549"/>
      <c r="O111" s="1178"/>
      <c r="P111" s="1179"/>
      <c r="Q111" s="1171"/>
      <c r="R111" s="104"/>
      <c r="S111" s="1172"/>
      <c r="T111" s="1172"/>
      <c r="U111" s="1172"/>
      <c r="V111" s="1173"/>
      <c r="W111" s="1174"/>
      <c r="X111" s="1175"/>
      <c r="Y111" s="1176"/>
      <c r="Z111" s="1177"/>
      <c r="AA111" s="1547"/>
      <c r="AB111" s="1177"/>
      <c r="AC111" s="1548"/>
      <c r="AD111" s="1549"/>
      <c r="AE111" s="1178"/>
      <c r="AF111" s="1179"/>
      <c r="AG111" s="1171"/>
      <c r="AH111" s="104"/>
      <c r="AI111" s="1172"/>
      <c r="AJ111" s="1172"/>
      <c r="AK111" s="1172"/>
      <c r="AL111" s="1173"/>
      <c r="AM111" s="1174"/>
      <c r="AN111" s="1175"/>
      <c r="AO111" s="1176"/>
      <c r="AP111" s="1177"/>
      <c r="AQ111" s="1547"/>
      <c r="AR111" s="1177"/>
      <c r="AS111" s="1548"/>
      <c r="AT111" s="1549"/>
      <c r="AU111" s="1178"/>
      <c r="AV111" s="1179"/>
      <c r="AY111" s="3">
        <v>1</v>
      </c>
    </row>
    <row r="112" spans="2:51" ht="27" customHeight="1">
      <c r="B112" s="104"/>
      <c r="C112" s="1172"/>
      <c r="D112" s="1172"/>
      <c r="E112" s="1172"/>
      <c r="F112" s="1173"/>
      <c r="G112" s="1174"/>
      <c r="H112" s="1175"/>
      <c r="I112" s="1176"/>
      <c r="J112" s="1177"/>
      <c r="K112" s="1547"/>
      <c r="L112" s="1177"/>
      <c r="M112" s="1548"/>
      <c r="N112" s="1549"/>
      <c r="O112" s="1178"/>
      <c r="P112" s="1179"/>
      <c r="Q112" s="1171"/>
      <c r="R112" s="104"/>
      <c r="S112" s="1172"/>
      <c r="T112" s="1172"/>
      <c r="U112" s="1172"/>
      <c r="V112" s="1173"/>
      <c r="W112" s="1174"/>
      <c r="X112" s="1175"/>
      <c r="Y112" s="1176"/>
      <c r="Z112" s="1177"/>
      <c r="AA112" s="1547"/>
      <c r="AB112" s="1177"/>
      <c r="AC112" s="1548"/>
      <c r="AD112" s="1549"/>
      <c r="AE112" s="1178"/>
      <c r="AF112" s="1179"/>
      <c r="AG112" s="1171"/>
      <c r="AH112" s="104"/>
      <c r="AI112" s="1172"/>
      <c r="AJ112" s="1172"/>
      <c r="AK112" s="1172"/>
      <c r="AL112" s="1173"/>
      <c r="AM112" s="1174"/>
      <c r="AN112" s="1175"/>
      <c r="AO112" s="1176"/>
      <c r="AP112" s="1177"/>
      <c r="AQ112" s="1547"/>
      <c r="AR112" s="1177"/>
      <c r="AS112" s="1548"/>
      <c r="AT112" s="1549"/>
      <c r="AU112" s="1178"/>
      <c r="AV112" s="1179"/>
      <c r="AY112" s="3">
        <v>1</v>
      </c>
    </row>
    <row r="113" spans="2:51" ht="27" customHeight="1">
      <c r="B113" s="104"/>
      <c r="C113" s="1172"/>
      <c r="D113" s="1172"/>
      <c r="E113" s="1172"/>
      <c r="F113" s="1173"/>
      <c r="G113" s="1174"/>
      <c r="H113" s="1175"/>
      <c r="I113" s="1176"/>
      <c r="J113" s="1177"/>
      <c r="K113" s="1547"/>
      <c r="L113" s="1177"/>
      <c r="M113" s="1548"/>
      <c r="N113" s="1549"/>
      <c r="O113" s="1178"/>
      <c r="P113" s="1179"/>
      <c r="Q113" s="1171"/>
      <c r="R113" s="104"/>
      <c r="S113" s="1172"/>
      <c r="T113" s="1172"/>
      <c r="U113" s="1172"/>
      <c r="V113" s="1173"/>
      <c r="W113" s="1174"/>
      <c r="X113" s="1175"/>
      <c r="Y113" s="1176"/>
      <c r="Z113" s="1177"/>
      <c r="AA113" s="1547"/>
      <c r="AB113" s="1177"/>
      <c r="AC113" s="1548"/>
      <c r="AD113" s="1549"/>
      <c r="AE113" s="1178"/>
      <c r="AF113" s="1179"/>
      <c r="AG113" s="1171"/>
      <c r="AH113" s="104"/>
      <c r="AI113" s="1172"/>
      <c r="AJ113" s="1172"/>
      <c r="AK113" s="1172"/>
      <c r="AL113" s="1173"/>
      <c r="AM113" s="1174"/>
      <c r="AN113" s="1175"/>
      <c r="AO113" s="1176"/>
      <c r="AP113" s="1177"/>
      <c r="AQ113" s="1547"/>
      <c r="AR113" s="1177"/>
      <c r="AS113" s="1548"/>
      <c r="AT113" s="1549"/>
      <c r="AU113" s="1178"/>
      <c r="AV113" s="1179"/>
      <c r="AY113" s="3">
        <v>1</v>
      </c>
    </row>
    <row r="114" spans="2:51" ht="27" customHeight="1">
      <c r="B114" s="104"/>
      <c r="C114" s="1172"/>
      <c r="D114" s="1172"/>
      <c r="E114" s="1172"/>
      <c r="F114" s="1173"/>
      <c r="G114" s="1174"/>
      <c r="H114" s="1175"/>
      <c r="I114" s="1176"/>
      <c r="J114" s="1177"/>
      <c r="K114" s="1547"/>
      <c r="L114" s="1177"/>
      <c r="M114" s="1548"/>
      <c r="N114" s="1549"/>
      <c r="O114" s="1178"/>
      <c r="P114" s="1179"/>
      <c r="Q114" s="1171"/>
      <c r="R114" s="104"/>
      <c r="S114" s="1172"/>
      <c r="T114" s="1172"/>
      <c r="U114" s="1172"/>
      <c r="V114" s="1173"/>
      <c r="W114" s="1174"/>
      <c r="X114" s="1175"/>
      <c r="Y114" s="1176"/>
      <c r="Z114" s="1177"/>
      <c r="AA114" s="1547"/>
      <c r="AB114" s="1177"/>
      <c r="AC114" s="1548"/>
      <c r="AD114" s="1549"/>
      <c r="AE114" s="1178"/>
      <c r="AF114" s="1179"/>
      <c r="AG114" s="1171"/>
      <c r="AH114" s="104"/>
      <c r="AI114" s="1172"/>
      <c r="AJ114" s="1172"/>
      <c r="AK114" s="1172"/>
      <c r="AL114" s="1173"/>
      <c r="AM114" s="1174"/>
      <c r="AN114" s="1175"/>
      <c r="AO114" s="1176"/>
      <c r="AP114" s="1177"/>
      <c r="AQ114" s="1547"/>
      <c r="AR114" s="1177"/>
      <c r="AS114" s="1548"/>
      <c r="AT114" s="1549"/>
      <c r="AU114" s="1178"/>
      <c r="AV114" s="1179"/>
      <c r="AY114" s="3">
        <v>1</v>
      </c>
    </row>
    <row r="115" spans="2:51" ht="27" customHeight="1">
      <c r="B115" s="104"/>
      <c r="C115" s="1172"/>
      <c r="D115" s="1172"/>
      <c r="E115" s="1172"/>
      <c r="F115" s="1173"/>
      <c r="G115" s="1174"/>
      <c r="H115" s="1175"/>
      <c r="I115" s="1176"/>
      <c r="J115" s="1177"/>
      <c r="K115" s="1547"/>
      <c r="L115" s="1177"/>
      <c r="M115" s="1548"/>
      <c r="N115" s="1549"/>
      <c r="O115" s="1178"/>
      <c r="P115" s="1179"/>
      <c r="Q115" s="1171"/>
      <c r="R115" s="104"/>
      <c r="S115" s="1172"/>
      <c r="T115" s="1172"/>
      <c r="U115" s="1172"/>
      <c r="V115" s="1173"/>
      <c r="W115" s="1174"/>
      <c r="X115" s="1175"/>
      <c r="Y115" s="1176"/>
      <c r="Z115" s="1177"/>
      <c r="AA115" s="1547"/>
      <c r="AB115" s="1177"/>
      <c r="AC115" s="1548"/>
      <c r="AD115" s="1549"/>
      <c r="AE115" s="1178"/>
      <c r="AF115" s="1179"/>
      <c r="AG115" s="1171"/>
      <c r="AH115" s="104"/>
      <c r="AI115" s="1172"/>
      <c r="AJ115" s="1172"/>
      <c r="AK115" s="1172"/>
      <c r="AL115" s="1173"/>
      <c r="AM115" s="1174"/>
      <c r="AN115" s="1175"/>
      <c r="AO115" s="1176"/>
      <c r="AP115" s="1177"/>
      <c r="AQ115" s="1547"/>
      <c r="AR115" s="1177"/>
      <c r="AS115" s="1548"/>
      <c r="AT115" s="1549"/>
      <c r="AU115" s="1178"/>
      <c r="AV115" s="1179"/>
      <c r="AY115" s="3">
        <v>1</v>
      </c>
    </row>
    <row r="116" spans="2:51" ht="27" customHeight="1">
      <c r="B116" s="104"/>
      <c r="C116" s="1172"/>
      <c r="D116" s="1172"/>
      <c r="E116" s="1172"/>
      <c r="F116" s="1173"/>
      <c r="G116" s="1174"/>
      <c r="H116" s="1175"/>
      <c r="I116" s="1176"/>
      <c r="J116" s="1177"/>
      <c r="K116" s="1547"/>
      <c r="L116" s="1177"/>
      <c r="M116" s="1548"/>
      <c r="N116" s="1549"/>
      <c r="O116" s="1178"/>
      <c r="P116" s="1179"/>
      <c r="Q116" s="1171"/>
      <c r="R116" s="104"/>
      <c r="S116" s="1172"/>
      <c r="T116" s="1172"/>
      <c r="U116" s="1172"/>
      <c r="V116" s="1173"/>
      <c r="W116" s="1174"/>
      <c r="X116" s="1175"/>
      <c r="Y116" s="1176"/>
      <c r="Z116" s="1177"/>
      <c r="AA116" s="1547"/>
      <c r="AB116" s="1177"/>
      <c r="AC116" s="1548"/>
      <c r="AD116" s="1549"/>
      <c r="AE116" s="1178"/>
      <c r="AF116" s="1179"/>
      <c r="AG116" s="1171"/>
      <c r="AH116" s="104"/>
      <c r="AI116" s="1172"/>
      <c r="AJ116" s="1172"/>
      <c r="AK116" s="1172"/>
      <c r="AL116" s="1173"/>
      <c r="AM116" s="1174"/>
      <c r="AN116" s="1175"/>
      <c r="AO116" s="1176"/>
      <c r="AP116" s="1177"/>
      <c r="AQ116" s="1547"/>
      <c r="AR116" s="1177"/>
      <c r="AS116" s="1548"/>
      <c r="AT116" s="1549"/>
      <c r="AU116" s="1178"/>
      <c r="AV116" s="1179"/>
      <c r="AY116" s="3">
        <v>1</v>
      </c>
    </row>
    <row r="117" spans="2:51" ht="27" customHeight="1">
      <c r="B117" s="104"/>
      <c r="C117" s="1172"/>
      <c r="D117" s="1172"/>
      <c r="E117" s="1172"/>
      <c r="F117" s="1173"/>
      <c r="G117" s="1174"/>
      <c r="H117" s="1175"/>
      <c r="I117" s="1176"/>
      <c r="J117" s="1177"/>
      <c r="K117" s="1547"/>
      <c r="L117" s="1177"/>
      <c r="M117" s="1548"/>
      <c r="N117" s="1549"/>
      <c r="O117" s="1178"/>
      <c r="P117" s="1179"/>
      <c r="Q117" s="1171"/>
      <c r="R117" s="104"/>
      <c r="S117" s="1172"/>
      <c r="T117" s="1172"/>
      <c r="U117" s="1172"/>
      <c r="V117" s="1173"/>
      <c r="W117" s="1174"/>
      <c r="X117" s="1175"/>
      <c r="Y117" s="1176"/>
      <c r="Z117" s="1177"/>
      <c r="AA117" s="1547"/>
      <c r="AB117" s="1177"/>
      <c r="AC117" s="1548"/>
      <c r="AD117" s="1549"/>
      <c r="AE117" s="1178"/>
      <c r="AF117" s="1179"/>
      <c r="AG117" s="1171"/>
      <c r="AH117" s="104"/>
      <c r="AI117" s="1172"/>
      <c r="AJ117" s="1172"/>
      <c r="AK117" s="1172"/>
      <c r="AL117" s="1173"/>
      <c r="AM117" s="1174"/>
      <c r="AN117" s="1175"/>
      <c r="AO117" s="1176"/>
      <c r="AP117" s="1177"/>
      <c r="AQ117" s="1547"/>
      <c r="AR117" s="1177"/>
      <c r="AS117" s="1548"/>
      <c r="AT117" s="1549"/>
      <c r="AU117" s="1178"/>
      <c r="AV117" s="1179"/>
      <c r="AY117" s="3">
        <v>1</v>
      </c>
    </row>
    <row r="118" spans="2:51" ht="27" customHeight="1">
      <c r="B118" s="104"/>
      <c r="C118" s="1172"/>
      <c r="D118" s="1172"/>
      <c r="E118" s="1172"/>
      <c r="F118" s="1173"/>
      <c r="G118" s="1174"/>
      <c r="H118" s="1175"/>
      <c r="I118" s="1176"/>
      <c r="J118" s="1177"/>
      <c r="K118" s="1547"/>
      <c r="L118" s="1177"/>
      <c r="M118" s="1548"/>
      <c r="N118" s="1549"/>
      <c r="O118" s="1178"/>
      <c r="P118" s="1179"/>
      <c r="Q118" s="1171"/>
      <c r="R118" s="104"/>
      <c r="S118" s="1172"/>
      <c r="T118" s="1172"/>
      <c r="U118" s="1172"/>
      <c r="V118" s="1173"/>
      <c r="W118" s="1174"/>
      <c r="X118" s="1175"/>
      <c r="Y118" s="1176"/>
      <c r="Z118" s="1177"/>
      <c r="AA118" s="1547"/>
      <c r="AB118" s="1177"/>
      <c r="AC118" s="1548"/>
      <c r="AD118" s="1549"/>
      <c r="AE118" s="1178"/>
      <c r="AF118" s="1179"/>
      <c r="AG118" s="1171"/>
      <c r="AH118" s="104"/>
      <c r="AI118" s="1172"/>
      <c r="AJ118" s="1172"/>
      <c r="AK118" s="1172"/>
      <c r="AL118" s="1173"/>
      <c r="AM118" s="1174"/>
      <c r="AN118" s="1175"/>
      <c r="AO118" s="1176"/>
      <c r="AP118" s="1177"/>
      <c r="AQ118" s="1547"/>
      <c r="AR118" s="1177"/>
      <c r="AS118" s="1548"/>
      <c r="AT118" s="1549"/>
      <c r="AU118" s="1178"/>
      <c r="AV118" s="1179"/>
      <c r="AY118" s="3">
        <v>1</v>
      </c>
    </row>
    <row r="119" spans="2:51" ht="27" customHeight="1">
      <c r="B119" s="104"/>
      <c r="C119" s="1172"/>
      <c r="D119" s="1172"/>
      <c r="E119" s="1172"/>
      <c r="F119" s="1173"/>
      <c r="G119" s="1174"/>
      <c r="H119" s="1175"/>
      <c r="I119" s="1176"/>
      <c r="J119" s="1177"/>
      <c r="K119" s="1547"/>
      <c r="L119" s="1177"/>
      <c r="M119" s="1548"/>
      <c r="N119" s="1549"/>
      <c r="O119" s="1178"/>
      <c r="P119" s="1179"/>
      <c r="Q119" s="1171"/>
      <c r="R119" s="104"/>
      <c r="S119" s="1172"/>
      <c r="T119" s="1172"/>
      <c r="U119" s="1172"/>
      <c r="V119" s="1173"/>
      <c r="W119" s="1174"/>
      <c r="X119" s="1175"/>
      <c r="Y119" s="1176"/>
      <c r="Z119" s="1177"/>
      <c r="AA119" s="1547"/>
      <c r="AB119" s="1177"/>
      <c r="AC119" s="1548"/>
      <c r="AD119" s="1549"/>
      <c r="AE119" s="1178"/>
      <c r="AF119" s="1179"/>
      <c r="AG119" s="1171"/>
      <c r="AH119" s="104"/>
      <c r="AI119" s="1172"/>
      <c r="AJ119" s="1172"/>
      <c r="AK119" s="1172"/>
      <c r="AL119" s="1173"/>
      <c r="AM119" s="1174"/>
      <c r="AN119" s="1175"/>
      <c r="AO119" s="1176"/>
      <c r="AP119" s="1177"/>
      <c r="AQ119" s="1547"/>
      <c r="AR119" s="1177"/>
      <c r="AS119" s="1548"/>
      <c r="AT119" s="1549"/>
      <c r="AU119" s="1178"/>
      <c r="AV119" s="1179"/>
      <c r="AY119" s="3">
        <v>1</v>
      </c>
    </row>
    <row r="120" spans="2:51" ht="27" customHeight="1">
      <c r="B120" s="104"/>
      <c r="C120" s="1172"/>
      <c r="D120" s="1172"/>
      <c r="E120" s="1172"/>
      <c r="F120" s="1173"/>
      <c r="G120" s="1174"/>
      <c r="H120" s="1175"/>
      <c r="I120" s="1176"/>
      <c r="J120" s="1177"/>
      <c r="K120" s="1547"/>
      <c r="L120" s="1177"/>
      <c r="M120" s="1548"/>
      <c r="N120" s="1549"/>
      <c r="O120" s="1178"/>
      <c r="P120" s="1179"/>
      <c r="Q120" s="1171"/>
      <c r="R120" s="104"/>
      <c r="S120" s="1172"/>
      <c r="T120" s="1172"/>
      <c r="U120" s="1172"/>
      <c r="V120" s="1173"/>
      <c r="W120" s="1174"/>
      <c r="X120" s="1175"/>
      <c r="Y120" s="1176"/>
      <c r="Z120" s="1177"/>
      <c r="AA120" s="1547"/>
      <c r="AB120" s="1177"/>
      <c r="AC120" s="1548"/>
      <c r="AD120" s="1549"/>
      <c r="AE120" s="1178"/>
      <c r="AF120" s="1179"/>
      <c r="AG120" s="1171"/>
      <c r="AH120" s="104"/>
      <c r="AI120" s="1172"/>
      <c r="AJ120" s="1172"/>
      <c r="AK120" s="1172"/>
      <c r="AL120" s="1173"/>
      <c r="AM120" s="1174"/>
      <c r="AN120" s="1175"/>
      <c r="AO120" s="1176"/>
      <c r="AP120" s="1177"/>
      <c r="AQ120" s="1547"/>
      <c r="AR120" s="1177"/>
      <c r="AS120" s="1548"/>
      <c r="AT120" s="1549"/>
      <c r="AU120" s="1178"/>
      <c r="AV120" s="1179"/>
      <c r="AY120" s="3">
        <v>1</v>
      </c>
    </row>
    <row r="121" spans="2:51" ht="27" customHeight="1">
      <c r="B121" s="104"/>
      <c r="C121" s="1172"/>
      <c r="D121" s="1172"/>
      <c r="E121" s="1172"/>
      <c r="F121" s="1173"/>
      <c r="G121" s="1174"/>
      <c r="H121" s="1175"/>
      <c r="I121" s="1176"/>
      <c r="J121" s="1177"/>
      <c r="K121" s="1547"/>
      <c r="L121" s="1177"/>
      <c r="M121" s="1548"/>
      <c r="N121" s="1549"/>
      <c r="O121" s="1178"/>
      <c r="P121" s="1179"/>
      <c r="Q121" s="1171"/>
      <c r="R121" s="104"/>
      <c r="S121" s="1172"/>
      <c r="T121" s="1172"/>
      <c r="U121" s="1172"/>
      <c r="V121" s="1173"/>
      <c r="W121" s="1174"/>
      <c r="X121" s="1175"/>
      <c r="Y121" s="1176"/>
      <c r="Z121" s="1177"/>
      <c r="AA121" s="1547"/>
      <c r="AB121" s="1177"/>
      <c r="AC121" s="1548"/>
      <c r="AD121" s="1549"/>
      <c r="AE121" s="1178"/>
      <c r="AF121" s="1179"/>
      <c r="AH121" s="104"/>
      <c r="AI121" s="1172"/>
      <c r="AJ121" s="1172"/>
      <c r="AK121" s="1172"/>
      <c r="AL121" s="1173"/>
      <c r="AM121" s="1174"/>
      <c r="AN121" s="1175"/>
      <c r="AO121" s="1176"/>
      <c r="AP121" s="1177"/>
      <c r="AQ121" s="1547"/>
      <c r="AR121" s="1177"/>
      <c r="AS121" s="1548"/>
      <c r="AT121" s="1549"/>
      <c r="AU121" s="1178"/>
      <c r="AV121" s="1179"/>
      <c r="AY121" s="3">
        <v>1</v>
      </c>
    </row>
    <row r="122" spans="2:51" ht="27" customHeight="1">
      <c r="B122" s="104"/>
      <c r="C122" s="1172"/>
      <c r="D122" s="1172"/>
      <c r="E122" s="1172"/>
      <c r="F122" s="1173"/>
      <c r="G122" s="1174"/>
      <c r="H122" s="1175"/>
      <c r="I122" s="1176"/>
      <c r="J122" s="1177"/>
      <c r="K122" s="1547"/>
      <c r="L122" s="1177"/>
      <c r="M122" s="1548"/>
      <c r="N122" s="1549"/>
      <c r="O122" s="1178"/>
      <c r="P122" s="1179"/>
      <c r="Q122" s="1171"/>
      <c r="R122" s="104"/>
      <c r="S122" s="1172"/>
      <c r="T122" s="1172"/>
      <c r="U122" s="1172"/>
      <c r="V122" s="1173"/>
      <c r="W122" s="1174"/>
      <c r="X122" s="1175"/>
      <c r="Y122" s="1176"/>
      <c r="Z122" s="1177"/>
      <c r="AA122" s="1547"/>
      <c r="AB122" s="1177"/>
      <c r="AC122" s="1548"/>
      <c r="AD122" s="1549"/>
      <c r="AE122" s="1178"/>
      <c r="AF122" s="1179"/>
      <c r="AH122" s="104"/>
      <c r="AI122" s="1172"/>
      <c r="AJ122" s="1172"/>
      <c r="AK122" s="1172"/>
      <c r="AL122" s="1173"/>
      <c r="AM122" s="1174"/>
      <c r="AN122" s="1175"/>
      <c r="AO122" s="1176"/>
      <c r="AP122" s="1177"/>
      <c r="AQ122" s="1547"/>
      <c r="AR122" s="1177"/>
      <c r="AS122" s="1548"/>
      <c r="AT122" s="1549"/>
      <c r="AU122" s="1178"/>
      <c r="AV122" s="1179"/>
      <c r="AY122" s="3">
        <v>1</v>
      </c>
    </row>
    <row r="123" spans="2:51" ht="27" customHeight="1">
      <c r="B123" s="104"/>
      <c r="C123" s="1172"/>
      <c r="D123" s="1172"/>
      <c r="E123" s="1172"/>
      <c r="F123" s="1173"/>
      <c r="G123" s="1174"/>
      <c r="H123" s="1175"/>
      <c r="I123" s="1176"/>
      <c r="J123" s="1177"/>
      <c r="K123" s="1547"/>
      <c r="L123" s="1177"/>
      <c r="M123" s="1548"/>
      <c r="N123" s="1549"/>
      <c r="O123" s="1178"/>
      <c r="P123" s="1179"/>
      <c r="Q123" s="1171"/>
      <c r="R123" s="104"/>
      <c r="S123" s="1172"/>
      <c r="T123" s="1172"/>
      <c r="U123" s="1172"/>
      <c r="V123" s="1173"/>
      <c r="W123" s="1174"/>
      <c r="X123" s="1175"/>
      <c r="Y123" s="1176"/>
      <c r="Z123" s="1177"/>
      <c r="AA123" s="1547"/>
      <c r="AB123" s="1177"/>
      <c r="AC123" s="1548"/>
      <c r="AD123" s="1549"/>
      <c r="AE123" s="1178"/>
      <c r="AF123" s="1179"/>
      <c r="AH123" s="104"/>
      <c r="AI123" s="1172"/>
      <c r="AJ123" s="1172"/>
      <c r="AK123" s="1172"/>
      <c r="AL123" s="1173"/>
      <c r="AM123" s="1174"/>
      <c r="AN123" s="1175"/>
      <c r="AO123" s="1176"/>
      <c r="AP123" s="1177"/>
      <c r="AQ123" s="1547"/>
      <c r="AR123" s="1177"/>
      <c r="AS123" s="1548"/>
      <c r="AT123" s="1549"/>
      <c r="AU123" s="1178"/>
      <c r="AV123" s="1179"/>
      <c r="AY123" s="3">
        <v>1</v>
      </c>
    </row>
    <row r="124" spans="2:51" ht="27" customHeight="1">
      <c r="B124" s="104"/>
      <c r="C124" s="1172"/>
      <c r="D124" s="1172"/>
      <c r="E124" s="1172"/>
      <c r="F124" s="1173"/>
      <c r="G124" s="1174"/>
      <c r="H124" s="1175"/>
      <c r="I124" s="1176"/>
      <c r="J124" s="1177"/>
      <c r="K124" s="1547"/>
      <c r="L124" s="1177"/>
      <c r="M124" s="1548"/>
      <c r="N124" s="1549"/>
      <c r="O124" s="1178"/>
      <c r="P124" s="1179"/>
      <c r="Q124" s="1171"/>
      <c r="R124" s="104"/>
      <c r="S124" s="1172"/>
      <c r="T124" s="1172"/>
      <c r="U124" s="1172"/>
      <c r="V124" s="1173"/>
      <c r="W124" s="1174"/>
      <c r="X124" s="1175"/>
      <c r="Y124" s="1176"/>
      <c r="Z124" s="1177"/>
      <c r="AA124" s="1547"/>
      <c r="AB124" s="1177"/>
      <c r="AC124" s="1548"/>
      <c r="AD124" s="1549"/>
      <c r="AE124" s="1178"/>
      <c r="AF124" s="1179"/>
      <c r="AG124" s="1171"/>
      <c r="AH124" s="104"/>
      <c r="AI124" s="1172"/>
      <c r="AJ124" s="1172"/>
      <c r="AK124" s="1172"/>
      <c r="AL124" s="1173"/>
      <c r="AM124" s="1174"/>
      <c r="AN124" s="1175"/>
      <c r="AO124" s="1176"/>
      <c r="AP124" s="1177"/>
      <c r="AQ124" s="1547"/>
      <c r="AR124" s="1177"/>
      <c r="AS124" s="1548"/>
      <c r="AT124" s="1549"/>
      <c r="AU124" s="1178"/>
      <c r="AV124" s="1179"/>
      <c r="AY124" s="3">
        <v>1</v>
      </c>
    </row>
    <row r="125" spans="2:51" ht="27" customHeight="1">
      <c r="B125" s="104"/>
      <c r="C125" s="1172"/>
      <c r="D125" s="1172"/>
      <c r="E125" s="1172"/>
      <c r="F125" s="1173"/>
      <c r="G125" s="1174"/>
      <c r="H125" s="1175"/>
      <c r="I125" s="1176"/>
      <c r="J125" s="1177"/>
      <c r="K125" s="1547"/>
      <c r="L125" s="1177"/>
      <c r="M125" s="1548"/>
      <c r="N125" s="1549"/>
      <c r="O125" s="1178"/>
      <c r="P125" s="1179"/>
      <c r="Q125" s="1171"/>
      <c r="R125" s="104"/>
      <c r="S125" s="1172"/>
      <c r="T125" s="1172"/>
      <c r="U125" s="1172"/>
      <c r="V125" s="1173"/>
      <c r="W125" s="1174"/>
      <c r="X125" s="1175"/>
      <c r="Y125" s="1176"/>
      <c r="Z125" s="1177"/>
      <c r="AA125" s="1547"/>
      <c r="AB125" s="1177"/>
      <c r="AC125" s="1548"/>
      <c r="AD125" s="1549"/>
      <c r="AE125" s="1178"/>
      <c r="AF125" s="1179"/>
      <c r="AG125" s="1171"/>
      <c r="AH125" s="104"/>
      <c r="AI125" s="1172"/>
      <c r="AJ125" s="1172"/>
      <c r="AK125" s="1172"/>
      <c r="AL125" s="1173"/>
      <c r="AM125" s="1174"/>
      <c r="AN125" s="1175"/>
      <c r="AO125" s="1176"/>
      <c r="AP125" s="1177"/>
      <c r="AQ125" s="1547"/>
      <c r="AR125" s="1177"/>
      <c r="AS125" s="1548"/>
      <c r="AT125" s="1549"/>
      <c r="AU125" s="1178"/>
      <c r="AV125" s="1179"/>
      <c r="AY125" s="3">
        <v>1</v>
      </c>
    </row>
    <row r="126" spans="2:51" ht="27" customHeight="1">
      <c r="B126" s="104"/>
      <c r="C126" s="1172"/>
      <c r="D126" s="1172"/>
      <c r="E126" s="1172"/>
      <c r="F126" s="1173"/>
      <c r="G126" s="1174"/>
      <c r="H126" s="1175"/>
      <c r="I126" s="1176"/>
      <c r="J126" s="1177"/>
      <c r="K126" s="1547"/>
      <c r="L126" s="1177"/>
      <c r="M126" s="1548"/>
      <c r="N126" s="1549"/>
      <c r="O126" s="1178"/>
      <c r="P126" s="1179"/>
      <c r="Q126" s="1171"/>
      <c r="R126" s="104"/>
      <c r="S126" s="1172"/>
      <c r="T126" s="1172"/>
      <c r="U126" s="1172"/>
      <c r="V126" s="1173"/>
      <c r="W126" s="1174"/>
      <c r="X126" s="1175"/>
      <c r="Y126" s="1176"/>
      <c r="Z126" s="1177"/>
      <c r="AA126" s="1547"/>
      <c r="AB126" s="1177"/>
      <c r="AC126" s="1548"/>
      <c r="AD126" s="1549"/>
      <c r="AE126" s="1178"/>
      <c r="AF126" s="1179"/>
      <c r="AG126" s="1171"/>
      <c r="AH126" s="104"/>
      <c r="AI126" s="1172"/>
      <c r="AJ126" s="1172"/>
      <c r="AK126" s="1172"/>
      <c r="AL126" s="1173"/>
      <c r="AM126" s="1174"/>
      <c r="AN126" s="1175"/>
      <c r="AO126" s="1176"/>
      <c r="AP126" s="1177"/>
      <c r="AQ126" s="1547"/>
      <c r="AR126" s="1177"/>
      <c r="AS126" s="1548"/>
      <c r="AT126" s="1549"/>
      <c r="AU126" s="1178"/>
      <c r="AV126" s="1179"/>
      <c r="AY126" s="3">
        <v>1</v>
      </c>
    </row>
    <row r="127" spans="2:51" ht="27" customHeight="1">
      <c r="B127" s="104"/>
      <c r="C127" s="1172"/>
      <c r="D127" s="1172"/>
      <c r="E127" s="1172"/>
      <c r="F127" s="1173"/>
      <c r="G127" s="1174"/>
      <c r="H127" s="1175"/>
      <c r="I127" s="1176"/>
      <c r="J127" s="1177"/>
      <c r="K127" s="1547"/>
      <c r="L127" s="1177"/>
      <c r="M127" s="1548"/>
      <c r="N127" s="1549"/>
      <c r="O127" s="1178"/>
      <c r="P127" s="1179"/>
      <c r="Q127" s="1171"/>
      <c r="R127" s="104"/>
      <c r="S127" s="1172"/>
      <c r="T127" s="1172"/>
      <c r="U127" s="1172"/>
      <c r="V127" s="1173"/>
      <c r="W127" s="1174"/>
      <c r="X127" s="1175"/>
      <c r="Y127" s="1176"/>
      <c r="Z127" s="1177"/>
      <c r="AA127" s="1547"/>
      <c r="AB127" s="1177"/>
      <c r="AC127" s="1548"/>
      <c r="AD127" s="1549"/>
      <c r="AE127" s="1178"/>
      <c r="AF127" s="1179"/>
      <c r="AG127" s="1171"/>
      <c r="AH127" s="104"/>
      <c r="AI127" s="1172"/>
      <c r="AJ127" s="1172"/>
      <c r="AK127" s="1172"/>
      <c r="AL127" s="1173"/>
      <c r="AM127" s="1174"/>
      <c r="AN127" s="1175"/>
      <c r="AO127" s="1176"/>
      <c r="AP127" s="1177"/>
      <c r="AQ127" s="1547"/>
      <c r="AR127" s="1177"/>
      <c r="AS127" s="1548"/>
      <c r="AT127" s="1549"/>
      <c r="AU127" s="1178"/>
      <c r="AV127" s="1179"/>
      <c r="AY127" s="3">
        <v>1</v>
      </c>
    </row>
    <row r="128" spans="2:51" ht="27" customHeight="1">
      <c r="B128" s="104"/>
      <c r="C128" s="1172"/>
      <c r="D128" s="1172"/>
      <c r="E128" s="1172"/>
      <c r="F128" s="1173"/>
      <c r="G128" s="1174"/>
      <c r="H128" s="1175"/>
      <c r="I128" s="1176"/>
      <c r="J128" s="1177"/>
      <c r="K128" s="1547"/>
      <c r="L128" s="1177"/>
      <c r="M128" s="1548"/>
      <c r="N128" s="1549"/>
      <c r="O128" s="1178"/>
      <c r="P128" s="1179"/>
      <c r="Q128" s="1171"/>
      <c r="R128" s="104"/>
      <c r="S128" s="1172"/>
      <c r="T128" s="1172"/>
      <c r="U128" s="1172"/>
      <c r="V128" s="1173"/>
      <c r="W128" s="1174"/>
      <c r="X128" s="1175"/>
      <c r="Y128" s="1176"/>
      <c r="Z128" s="1177"/>
      <c r="AA128" s="1547"/>
      <c r="AB128" s="1177"/>
      <c r="AC128" s="1548"/>
      <c r="AD128" s="1549"/>
      <c r="AE128" s="1178"/>
      <c r="AF128" s="1179"/>
      <c r="AG128" s="1171"/>
      <c r="AH128" s="104"/>
      <c r="AI128" s="1172"/>
      <c r="AJ128" s="1172"/>
      <c r="AK128" s="1172"/>
      <c r="AL128" s="1173"/>
      <c r="AM128" s="1174"/>
      <c r="AN128" s="1175"/>
      <c r="AO128" s="1176"/>
      <c r="AP128" s="1177"/>
      <c r="AQ128" s="1547"/>
      <c r="AR128" s="1177"/>
      <c r="AS128" s="1548"/>
      <c r="AT128" s="1549"/>
      <c r="AU128" s="1178"/>
      <c r="AV128" s="1179"/>
      <c r="AY128" s="3">
        <v>1</v>
      </c>
    </row>
    <row r="129" spans="2:51" ht="27" customHeight="1">
      <c r="B129" s="104"/>
      <c r="C129" s="1172"/>
      <c r="D129" s="1172"/>
      <c r="E129" s="1172"/>
      <c r="F129" s="1173"/>
      <c r="G129" s="1174"/>
      <c r="H129" s="1175"/>
      <c r="I129" s="1176"/>
      <c r="J129" s="1177"/>
      <c r="K129" s="1547"/>
      <c r="L129" s="1177"/>
      <c r="M129" s="1548"/>
      <c r="N129" s="1549"/>
      <c r="O129" s="1178"/>
      <c r="P129" s="1179"/>
      <c r="Q129" s="1171"/>
      <c r="R129" s="104"/>
      <c r="S129" s="1172"/>
      <c r="T129" s="1172"/>
      <c r="U129" s="1172"/>
      <c r="V129" s="1173"/>
      <c r="W129" s="1174"/>
      <c r="X129" s="1175"/>
      <c r="Y129" s="1176"/>
      <c r="Z129" s="1177"/>
      <c r="AA129" s="1547"/>
      <c r="AB129" s="1177"/>
      <c r="AC129" s="1548"/>
      <c r="AD129" s="1549"/>
      <c r="AE129" s="1178"/>
      <c r="AF129" s="1179"/>
      <c r="AG129" s="1171"/>
      <c r="AH129" s="104"/>
      <c r="AI129" s="1172"/>
      <c r="AJ129" s="1172"/>
      <c r="AK129" s="1172"/>
      <c r="AL129" s="1173"/>
      <c r="AM129" s="1174"/>
      <c r="AN129" s="1175"/>
      <c r="AO129" s="1176"/>
      <c r="AP129" s="1177"/>
      <c r="AQ129" s="1547"/>
      <c r="AR129" s="1177"/>
      <c r="AS129" s="1548"/>
      <c r="AT129" s="1549"/>
      <c r="AU129" s="1178"/>
      <c r="AV129" s="1179"/>
      <c r="AY129" s="3">
        <v>1</v>
      </c>
    </row>
    <row r="130" spans="2:51" ht="27" customHeight="1">
      <c r="B130" s="104"/>
      <c r="C130" s="1172"/>
      <c r="D130" s="1172"/>
      <c r="E130" s="1172"/>
      <c r="F130" s="1173"/>
      <c r="G130" s="1174"/>
      <c r="H130" s="1175"/>
      <c r="I130" s="1176"/>
      <c r="J130" s="1177"/>
      <c r="K130" s="1547"/>
      <c r="L130" s="1177"/>
      <c r="M130" s="1548"/>
      <c r="N130" s="1549"/>
      <c r="O130" s="1178"/>
      <c r="P130" s="1179"/>
      <c r="Q130" s="1171"/>
      <c r="R130" s="104"/>
      <c r="S130" s="1172"/>
      <c r="T130" s="1172"/>
      <c r="U130" s="1172"/>
      <c r="V130" s="1173"/>
      <c r="W130" s="1174"/>
      <c r="X130" s="1175"/>
      <c r="Y130" s="1176"/>
      <c r="Z130" s="1177"/>
      <c r="AA130" s="1547"/>
      <c r="AB130" s="1177"/>
      <c r="AC130" s="1548"/>
      <c r="AD130" s="1549"/>
      <c r="AE130" s="1178"/>
      <c r="AF130" s="1179"/>
      <c r="AG130" s="1171"/>
      <c r="AH130" s="104"/>
      <c r="AI130" s="1172"/>
      <c r="AJ130" s="1172"/>
      <c r="AK130" s="1172"/>
      <c r="AL130" s="1173"/>
      <c r="AM130" s="1174"/>
      <c r="AN130" s="1175"/>
      <c r="AO130" s="1176"/>
      <c r="AP130" s="1177"/>
      <c r="AQ130" s="1547"/>
      <c r="AR130" s="1177"/>
      <c r="AS130" s="1548"/>
      <c r="AT130" s="1549"/>
      <c r="AU130" s="1178"/>
      <c r="AV130" s="1179"/>
      <c r="AY130" s="3">
        <v>1</v>
      </c>
    </row>
    <row r="131" spans="2:51" ht="27" customHeight="1">
      <c r="B131" s="104"/>
      <c r="C131" s="1172"/>
      <c r="D131" s="1172"/>
      <c r="E131" s="1172"/>
      <c r="F131" s="1173"/>
      <c r="G131" s="1174"/>
      <c r="H131" s="1175"/>
      <c r="I131" s="1176"/>
      <c r="J131" s="1177"/>
      <c r="K131" s="1547"/>
      <c r="L131" s="1177"/>
      <c r="M131" s="1548"/>
      <c r="N131" s="1549"/>
      <c r="O131" s="1178"/>
      <c r="P131" s="1179"/>
      <c r="Q131" s="1171"/>
      <c r="R131" s="104"/>
      <c r="S131" s="1172"/>
      <c r="T131" s="1172"/>
      <c r="U131" s="1172"/>
      <c r="V131" s="1173"/>
      <c r="W131" s="1174"/>
      <c r="X131" s="1175"/>
      <c r="Y131" s="1176"/>
      <c r="Z131" s="1177"/>
      <c r="AA131" s="1547"/>
      <c r="AB131" s="1177"/>
      <c r="AC131" s="1548"/>
      <c r="AD131" s="1549"/>
      <c r="AE131" s="1178"/>
      <c r="AF131" s="1179"/>
      <c r="AG131" s="1171"/>
      <c r="AH131" s="104"/>
      <c r="AI131" s="1172"/>
      <c r="AJ131" s="1172"/>
      <c r="AK131" s="1172"/>
      <c r="AL131" s="1173"/>
      <c r="AM131" s="1174"/>
      <c r="AN131" s="1175"/>
      <c r="AO131" s="1176"/>
      <c r="AP131" s="1177"/>
      <c r="AQ131" s="1547"/>
      <c r="AR131" s="1177"/>
      <c r="AS131" s="1548"/>
      <c r="AT131" s="1549"/>
      <c r="AU131" s="1178"/>
      <c r="AV131" s="1179"/>
      <c r="AY131" s="3">
        <v>1</v>
      </c>
    </row>
    <row r="132" spans="2:51" ht="27" customHeight="1">
      <c r="B132" s="104"/>
      <c r="C132" s="1172"/>
      <c r="D132" s="1172"/>
      <c r="E132" s="1172"/>
      <c r="F132" s="1173"/>
      <c r="G132" s="1174"/>
      <c r="H132" s="1175"/>
      <c r="I132" s="1176"/>
      <c r="J132" s="1177"/>
      <c r="K132" s="1547"/>
      <c r="L132" s="1177"/>
      <c r="M132" s="1548"/>
      <c r="N132" s="1549"/>
      <c r="O132" s="1178"/>
      <c r="P132" s="1179"/>
      <c r="Q132" s="1171"/>
      <c r="R132" s="104"/>
      <c r="S132" s="1172"/>
      <c r="T132" s="1172"/>
      <c r="U132" s="1172"/>
      <c r="V132" s="1173"/>
      <c r="W132" s="1174"/>
      <c r="X132" s="1175"/>
      <c r="Y132" s="1176"/>
      <c r="Z132" s="1177"/>
      <c r="AA132" s="1547"/>
      <c r="AB132" s="1177"/>
      <c r="AC132" s="1548"/>
      <c r="AD132" s="1549"/>
      <c r="AE132" s="1178"/>
      <c r="AF132" s="1179"/>
      <c r="AG132" s="1171"/>
      <c r="AH132" s="104"/>
      <c r="AI132" s="1172"/>
      <c r="AJ132" s="1172"/>
      <c r="AK132" s="1172"/>
      <c r="AL132" s="1173"/>
      <c r="AM132" s="1174"/>
      <c r="AN132" s="1175"/>
      <c r="AO132" s="1176"/>
      <c r="AP132" s="1177"/>
      <c r="AQ132" s="1547"/>
      <c r="AR132" s="1177"/>
      <c r="AS132" s="1548"/>
      <c r="AT132" s="1549"/>
      <c r="AU132" s="1178"/>
      <c r="AV132" s="1179"/>
      <c r="AY132" s="3">
        <v>1</v>
      </c>
    </row>
    <row r="133" spans="2:51" ht="27" customHeight="1">
      <c r="B133" s="104"/>
      <c r="C133" s="1172"/>
      <c r="D133" s="1172"/>
      <c r="E133" s="1172"/>
      <c r="F133" s="1173"/>
      <c r="G133" s="1174"/>
      <c r="H133" s="1175"/>
      <c r="I133" s="1176"/>
      <c r="J133" s="1177"/>
      <c r="K133" s="1547"/>
      <c r="L133" s="1177"/>
      <c r="M133" s="1548"/>
      <c r="N133" s="1549"/>
      <c r="O133" s="1178"/>
      <c r="P133" s="1179"/>
      <c r="Q133" s="1171"/>
      <c r="R133" s="104"/>
      <c r="S133" s="1172"/>
      <c r="T133" s="1172"/>
      <c r="U133" s="1172"/>
      <c r="V133" s="1173"/>
      <c r="W133" s="1174"/>
      <c r="X133" s="1175"/>
      <c r="Y133" s="1176"/>
      <c r="Z133" s="1177"/>
      <c r="AA133" s="1547"/>
      <c r="AB133" s="1177"/>
      <c r="AC133" s="1548"/>
      <c r="AD133" s="1549"/>
      <c r="AE133" s="1178"/>
      <c r="AF133" s="1179"/>
      <c r="AG133" s="1171"/>
      <c r="AH133" s="104"/>
      <c r="AI133" s="1172"/>
      <c r="AJ133" s="1172"/>
      <c r="AK133" s="1172"/>
      <c r="AL133" s="1173"/>
      <c r="AM133" s="1174"/>
      <c r="AN133" s="1175"/>
      <c r="AO133" s="1176"/>
      <c r="AP133" s="1177"/>
      <c r="AQ133" s="1547"/>
      <c r="AR133" s="1177"/>
      <c r="AS133" s="1548"/>
      <c r="AT133" s="1549"/>
      <c r="AU133" s="1178"/>
      <c r="AV133" s="1179"/>
      <c r="AY133" s="3">
        <v>1</v>
      </c>
    </row>
    <row r="134" spans="2:51" ht="27" customHeight="1">
      <c r="B134" s="104"/>
      <c r="C134" s="1172"/>
      <c r="D134" s="1172"/>
      <c r="E134" s="1172"/>
      <c r="F134" s="1173"/>
      <c r="G134" s="1174"/>
      <c r="H134" s="1175"/>
      <c r="I134" s="1176"/>
      <c r="J134" s="1177"/>
      <c r="K134" s="1547"/>
      <c r="L134" s="1177"/>
      <c r="M134" s="1548"/>
      <c r="N134" s="1549"/>
      <c r="O134" s="1178"/>
      <c r="P134" s="1179"/>
      <c r="Q134" s="1171"/>
      <c r="R134" s="104"/>
      <c r="S134" s="1172"/>
      <c r="T134" s="1172"/>
      <c r="U134" s="1172"/>
      <c r="V134" s="1173"/>
      <c r="W134" s="1174"/>
      <c r="X134" s="1175"/>
      <c r="Y134" s="1176"/>
      <c r="Z134" s="1177"/>
      <c r="AA134" s="1547"/>
      <c r="AB134" s="1177"/>
      <c r="AC134" s="1548"/>
      <c r="AD134" s="1549"/>
      <c r="AE134" s="1178"/>
      <c r="AF134" s="1179"/>
      <c r="AG134" s="1171"/>
      <c r="AH134" s="104"/>
      <c r="AI134" s="1172"/>
      <c r="AJ134" s="1172"/>
      <c r="AK134" s="1172"/>
      <c r="AL134" s="1173"/>
      <c r="AM134" s="1174"/>
      <c r="AN134" s="1175"/>
      <c r="AO134" s="1176"/>
      <c r="AP134" s="1177"/>
      <c r="AQ134" s="1547"/>
      <c r="AR134" s="1177"/>
      <c r="AS134" s="1548"/>
      <c r="AT134" s="1549"/>
      <c r="AU134" s="1178"/>
      <c r="AV134" s="1179"/>
      <c r="AY134" s="3">
        <v>1</v>
      </c>
    </row>
    <row r="135" spans="2:51" ht="27" customHeight="1">
      <c r="B135" s="104"/>
      <c r="C135" s="1172"/>
      <c r="D135" s="1172"/>
      <c r="E135" s="1172"/>
      <c r="F135" s="1173"/>
      <c r="G135" s="1174"/>
      <c r="H135" s="1175"/>
      <c r="I135" s="1176"/>
      <c r="J135" s="1177"/>
      <c r="K135" s="1547"/>
      <c r="L135" s="1177"/>
      <c r="M135" s="1548"/>
      <c r="N135" s="1549"/>
      <c r="O135" s="1178"/>
      <c r="P135" s="1179"/>
      <c r="Q135" s="1171"/>
      <c r="R135" s="104"/>
      <c r="S135" s="1172"/>
      <c r="T135" s="1172"/>
      <c r="U135" s="1172"/>
      <c r="V135" s="1173"/>
      <c r="W135" s="1174"/>
      <c r="X135" s="1175"/>
      <c r="Y135" s="1176"/>
      <c r="Z135" s="1177"/>
      <c r="AA135" s="1547"/>
      <c r="AB135" s="1177"/>
      <c r="AC135" s="1548"/>
      <c r="AD135" s="1549"/>
      <c r="AE135" s="1178"/>
      <c r="AF135" s="1179"/>
      <c r="AG135" s="1171"/>
      <c r="AH135" s="104"/>
      <c r="AI135" s="1172"/>
      <c r="AJ135" s="1172"/>
      <c r="AK135" s="1172"/>
      <c r="AL135" s="1173"/>
      <c r="AM135" s="1174"/>
      <c r="AN135" s="1175"/>
      <c r="AO135" s="1176"/>
      <c r="AP135" s="1177"/>
      <c r="AQ135" s="1547"/>
      <c r="AR135" s="1177"/>
      <c r="AS135" s="1548"/>
      <c r="AT135" s="1549"/>
      <c r="AU135" s="1178"/>
      <c r="AV135" s="1179"/>
      <c r="AY135" s="3">
        <v>1</v>
      </c>
    </row>
    <row r="136" spans="2:51" ht="27" customHeight="1">
      <c r="B136" s="104"/>
      <c r="C136" s="1172"/>
      <c r="D136" s="1172"/>
      <c r="E136" s="1172"/>
      <c r="F136" s="1173"/>
      <c r="G136" s="1174"/>
      <c r="H136" s="1175"/>
      <c r="I136" s="1176"/>
      <c r="J136" s="1177"/>
      <c r="K136" s="1547"/>
      <c r="L136" s="1177"/>
      <c r="M136" s="1548"/>
      <c r="N136" s="1549"/>
      <c r="O136" s="1178"/>
      <c r="P136" s="1179"/>
      <c r="Q136" s="1171"/>
      <c r="R136" s="104"/>
      <c r="S136" s="1172"/>
      <c r="T136" s="1172"/>
      <c r="U136" s="1172"/>
      <c r="V136" s="1173"/>
      <c r="W136" s="1174"/>
      <c r="X136" s="1175"/>
      <c r="Y136" s="1176"/>
      <c r="Z136" s="1177"/>
      <c r="AA136" s="1547"/>
      <c r="AB136" s="1177"/>
      <c r="AC136" s="1548"/>
      <c r="AD136" s="1549"/>
      <c r="AE136" s="1178"/>
      <c r="AF136" s="1179"/>
      <c r="AG136" s="1171"/>
      <c r="AH136" s="104"/>
      <c r="AI136" s="1172"/>
      <c r="AJ136" s="1172"/>
      <c r="AK136" s="1172"/>
      <c r="AL136" s="1173"/>
      <c r="AM136" s="1174"/>
      <c r="AN136" s="1175"/>
      <c r="AO136" s="1176"/>
      <c r="AP136" s="1177"/>
      <c r="AQ136" s="1547"/>
      <c r="AR136" s="1177"/>
      <c r="AS136" s="1548"/>
      <c r="AT136" s="1549"/>
      <c r="AU136" s="1178"/>
      <c r="AV136" s="1179"/>
      <c r="AY136" s="3">
        <v>1</v>
      </c>
    </row>
    <row r="137" spans="2:51" ht="27" customHeight="1">
      <c r="B137" s="104"/>
      <c r="C137" s="1172"/>
      <c r="D137" s="1172"/>
      <c r="E137" s="1172"/>
      <c r="F137" s="1173"/>
      <c r="G137" s="1174"/>
      <c r="H137" s="1175"/>
      <c r="I137" s="1176"/>
      <c r="J137" s="1177"/>
      <c r="K137" s="1547"/>
      <c r="L137" s="1177"/>
      <c r="M137" s="1548"/>
      <c r="N137" s="1549"/>
      <c r="O137" s="1178"/>
      <c r="P137" s="1179"/>
      <c r="Q137" s="1171"/>
      <c r="R137" s="104"/>
      <c r="S137" s="1172"/>
      <c r="T137" s="1172"/>
      <c r="U137" s="1172"/>
      <c r="V137" s="1173"/>
      <c r="W137" s="1174"/>
      <c r="X137" s="1175"/>
      <c r="Y137" s="1176"/>
      <c r="Z137" s="1177"/>
      <c r="AA137" s="1547"/>
      <c r="AB137" s="1177"/>
      <c r="AC137" s="1548"/>
      <c r="AD137" s="1549"/>
      <c r="AE137" s="1178"/>
      <c r="AF137" s="1179"/>
      <c r="AG137" s="1171"/>
      <c r="AH137" s="104"/>
      <c r="AI137" s="1172"/>
      <c r="AJ137" s="1172"/>
      <c r="AK137" s="1172"/>
      <c r="AL137" s="1173"/>
      <c r="AM137" s="1174"/>
      <c r="AN137" s="1175"/>
      <c r="AO137" s="1176"/>
      <c r="AP137" s="1177"/>
      <c r="AQ137" s="1547"/>
      <c r="AR137" s="1177"/>
      <c r="AS137" s="1548"/>
      <c r="AT137" s="1549"/>
      <c r="AU137" s="1178"/>
      <c r="AV137" s="1179"/>
      <c r="AY137" s="3">
        <v>1</v>
      </c>
    </row>
    <row r="138" spans="2:51" ht="27" customHeight="1">
      <c r="B138" s="104"/>
      <c r="C138" s="1172"/>
      <c r="D138" s="1172"/>
      <c r="E138" s="1172"/>
      <c r="F138" s="1173"/>
      <c r="G138" s="1174"/>
      <c r="H138" s="1175"/>
      <c r="I138" s="1176"/>
      <c r="J138" s="1177"/>
      <c r="K138" s="1547"/>
      <c r="L138" s="1177"/>
      <c r="M138" s="1548"/>
      <c r="N138" s="1549"/>
      <c r="O138" s="1178"/>
      <c r="P138" s="1179"/>
      <c r="Q138" s="1171"/>
      <c r="R138" s="104"/>
      <c r="S138" s="1172"/>
      <c r="T138" s="1172"/>
      <c r="U138" s="1172"/>
      <c r="V138" s="1173"/>
      <c r="W138" s="1174"/>
      <c r="X138" s="1175"/>
      <c r="Y138" s="1176"/>
      <c r="Z138" s="1177"/>
      <c r="AA138" s="1547"/>
      <c r="AB138" s="1177"/>
      <c r="AC138" s="1548"/>
      <c r="AD138" s="1549"/>
      <c r="AE138" s="1178"/>
      <c r="AF138" s="1179"/>
      <c r="AG138" s="1171"/>
      <c r="AH138" s="104"/>
      <c r="AI138" s="1172"/>
      <c r="AJ138" s="1172"/>
      <c r="AK138" s="1172"/>
      <c r="AL138" s="1173"/>
      <c r="AM138" s="1174"/>
      <c r="AN138" s="1175"/>
      <c r="AO138" s="1176"/>
      <c r="AP138" s="1177"/>
      <c r="AQ138" s="1547"/>
      <c r="AR138" s="1177"/>
      <c r="AS138" s="1548"/>
      <c r="AT138" s="1549"/>
      <c r="AU138" s="1178"/>
      <c r="AV138" s="1179"/>
      <c r="AY138" s="3">
        <v>1</v>
      </c>
    </row>
    <row r="139" spans="2:51" ht="27" customHeight="1">
      <c r="B139" s="104"/>
      <c r="C139" s="1172"/>
      <c r="D139" s="1172"/>
      <c r="E139" s="1172"/>
      <c r="F139" s="1173"/>
      <c r="G139" s="1174"/>
      <c r="H139" s="1175"/>
      <c r="I139" s="1176"/>
      <c r="J139" s="1177"/>
      <c r="K139" s="1547"/>
      <c r="L139" s="1177"/>
      <c r="M139" s="1548"/>
      <c r="N139" s="1549"/>
      <c r="O139" s="1178"/>
      <c r="P139" s="1179"/>
      <c r="Q139" s="1171"/>
      <c r="R139" s="104"/>
      <c r="S139" s="1172"/>
      <c r="T139" s="1172"/>
      <c r="U139" s="1172"/>
      <c r="V139" s="1173"/>
      <c r="W139" s="1174"/>
      <c r="X139" s="1175"/>
      <c r="Y139" s="1176"/>
      <c r="Z139" s="1177"/>
      <c r="AA139" s="1547"/>
      <c r="AB139" s="1177"/>
      <c r="AC139" s="1548"/>
      <c r="AD139" s="1549"/>
      <c r="AE139" s="1178"/>
      <c r="AF139" s="1179"/>
      <c r="AG139" s="1171"/>
      <c r="AH139" s="104"/>
      <c r="AI139" s="1172"/>
      <c r="AJ139" s="1172"/>
      <c r="AK139" s="1172"/>
      <c r="AL139" s="1173"/>
      <c r="AM139" s="1174"/>
      <c r="AN139" s="1175"/>
      <c r="AO139" s="1176"/>
      <c r="AP139" s="1177"/>
      <c r="AQ139" s="1547"/>
      <c r="AR139" s="1177"/>
      <c r="AS139" s="1548"/>
      <c r="AT139" s="1549"/>
      <c r="AU139" s="1178"/>
      <c r="AV139" s="1179"/>
      <c r="AY139" s="3">
        <v>1</v>
      </c>
    </row>
    <row r="140" spans="2:51" ht="27" customHeight="1">
      <c r="B140" s="104"/>
      <c r="C140" s="1172"/>
      <c r="D140" s="1172"/>
      <c r="E140" s="1172"/>
      <c r="F140" s="1173"/>
      <c r="G140" s="1174"/>
      <c r="H140" s="1175"/>
      <c r="I140" s="1176"/>
      <c r="J140" s="1177"/>
      <c r="K140" s="1547"/>
      <c r="L140" s="1177"/>
      <c r="M140" s="1548"/>
      <c r="N140" s="1549"/>
      <c r="O140" s="1178"/>
      <c r="P140" s="1179"/>
      <c r="Q140" s="1171"/>
      <c r="R140" s="104"/>
      <c r="S140" s="1172"/>
      <c r="T140" s="1172"/>
      <c r="U140" s="1172"/>
      <c r="V140" s="1173"/>
      <c r="W140" s="1174"/>
      <c r="X140" s="1175"/>
      <c r="Y140" s="1176"/>
      <c r="Z140" s="1177"/>
      <c r="AA140" s="1547"/>
      <c r="AB140" s="1177"/>
      <c r="AC140" s="1548"/>
      <c r="AD140" s="1549"/>
      <c r="AE140" s="1178"/>
      <c r="AF140" s="1179"/>
      <c r="AG140" s="1171"/>
      <c r="AH140" s="104"/>
      <c r="AI140" s="1172"/>
      <c r="AJ140" s="1172"/>
      <c r="AK140" s="1172"/>
      <c r="AL140" s="1173"/>
      <c r="AM140" s="1174"/>
      <c r="AN140" s="1175"/>
      <c r="AO140" s="1176"/>
      <c r="AP140" s="1177"/>
      <c r="AQ140" s="1547"/>
      <c r="AR140" s="1177"/>
      <c r="AS140" s="1548"/>
      <c r="AT140" s="1549"/>
      <c r="AU140" s="1178"/>
      <c r="AV140" s="1179"/>
      <c r="AY140" s="3">
        <v>1</v>
      </c>
    </row>
    <row r="141" spans="2:51" ht="27" customHeight="1">
      <c r="B141" s="104"/>
      <c r="C141" s="1172"/>
      <c r="D141" s="1172"/>
      <c r="E141" s="1172"/>
      <c r="F141" s="1173"/>
      <c r="G141" s="1174"/>
      <c r="H141" s="1175"/>
      <c r="I141" s="1176"/>
      <c r="J141" s="1177"/>
      <c r="K141" s="1547"/>
      <c r="L141" s="1177"/>
      <c r="M141" s="1548"/>
      <c r="N141" s="1549"/>
      <c r="O141" s="1178"/>
      <c r="P141" s="1179"/>
      <c r="Q141" s="1171"/>
      <c r="R141" s="104"/>
      <c r="S141" s="1172"/>
      <c r="T141" s="1172"/>
      <c r="U141" s="1172"/>
      <c r="V141" s="1173"/>
      <c r="W141" s="1174"/>
      <c r="X141" s="1175"/>
      <c r="Y141" s="1176"/>
      <c r="Z141" s="1177"/>
      <c r="AA141" s="1547"/>
      <c r="AB141" s="1177"/>
      <c r="AC141" s="1548"/>
      <c r="AD141" s="1549"/>
      <c r="AE141" s="1178"/>
      <c r="AF141" s="1179"/>
      <c r="AG141" s="1171"/>
      <c r="AH141" s="104"/>
      <c r="AI141" s="1172"/>
      <c r="AJ141" s="1172"/>
      <c r="AK141" s="1172"/>
      <c r="AL141" s="1173"/>
      <c r="AM141" s="1174"/>
      <c r="AN141" s="1175"/>
      <c r="AO141" s="1176"/>
      <c r="AP141" s="1177"/>
      <c r="AQ141" s="1547"/>
      <c r="AR141" s="1177"/>
      <c r="AS141" s="1548"/>
      <c r="AT141" s="1549"/>
      <c r="AU141" s="1178"/>
      <c r="AV141" s="1179"/>
      <c r="AY141" s="3">
        <v>1</v>
      </c>
    </row>
    <row r="142" spans="2:51" ht="27" customHeight="1">
      <c r="B142" s="104"/>
      <c r="C142" s="1172"/>
      <c r="D142" s="1172"/>
      <c r="E142" s="1172"/>
      <c r="F142" s="1173"/>
      <c r="G142" s="1174"/>
      <c r="H142" s="1175"/>
      <c r="I142" s="1176"/>
      <c r="J142" s="1177"/>
      <c r="K142" s="1547"/>
      <c r="L142" s="1177"/>
      <c r="M142" s="1548"/>
      <c r="N142" s="1549"/>
      <c r="O142" s="1178"/>
      <c r="P142" s="1179"/>
      <c r="Q142" s="1171"/>
      <c r="R142" s="104"/>
      <c r="S142" s="1172"/>
      <c r="T142" s="1172"/>
      <c r="U142" s="1172"/>
      <c r="V142" s="1173"/>
      <c r="W142" s="1174"/>
      <c r="X142" s="1175"/>
      <c r="Y142" s="1176"/>
      <c r="Z142" s="1177"/>
      <c r="AA142" s="1547"/>
      <c r="AB142" s="1177"/>
      <c r="AC142" s="1548"/>
      <c r="AD142" s="1549"/>
      <c r="AE142" s="1178"/>
      <c r="AF142" s="1179"/>
      <c r="AG142" s="1171"/>
      <c r="AH142" s="104"/>
      <c r="AI142" s="1172"/>
      <c r="AJ142" s="1172"/>
      <c r="AK142" s="1172"/>
      <c r="AL142" s="1173"/>
      <c r="AM142" s="1174"/>
      <c r="AN142" s="1175"/>
      <c r="AO142" s="1176"/>
      <c r="AP142" s="1177"/>
      <c r="AQ142" s="1547"/>
      <c r="AR142" s="1177"/>
      <c r="AS142" s="1548"/>
      <c r="AT142" s="1549"/>
      <c r="AU142" s="1178"/>
      <c r="AV142" s="1179"/>
      <c r="AY142" s="3">
        <v>1</v>
      </c>
    </row>
    <row r="143" spans="2:51" ht="27" customHeight="1">
      <c r="B143" s="104"/>
      <c r="C143" s="1172"/>
      <c r="D143" s="1172"/>
      <c r="E143" s="1172"/>
      <c r="F143" s="1173"/>
      <c r="G143" s="1174"/>
      <c r="H143" s="1175"/>
      <c r="I143" s="1176"/>
      <c r="J143" s="1177"/>
      <c r="K143" s="1547"/>
      <c r="L143" s="1177"/>
      <c r="M143" s="1548"/>
      <c r="N143" s="1549"/>
      <c r="O143" s="1178"/>
      <c r="P143" s="1179"/>
      <c r="Q143" s="1171"/>
      <c r="R143" s="104"/>
      <c r="S143" s="1172"/>
      <c r="T143" s="1172"/>
      <c r="U143" s="1172"/>
      <c r="V143" s="1173"/>
      <c r="W143" s="1174"/>
      <c r="X143" s="1175"/>
      <c r="Y143" s="1176"/>
      <c r="Z143" s="1177"/>
      <c r="AA143" s="1547"/>
      <c r="AB143" s="1177"/>
      <c r="AC143" s="1548"/>
      <c r="AD143" s="1549"/>
      <c r="AE143" s="1178"/>
      <c r="AF143" s="1179"/>
      <c r="AG143" s="1171"/>
      <c r="AH143" s="104"/>
      <c r="AI143" s="1172"/>
      <c r="AJ143" s="1172"/>
      <c r="AK143" s="1172"/>
      <c r="AL143" s="1173"/>
      <c r="AM143" s="1174"/>
      <c r="AN143" s="1175"/>
      <c r="AO143" s="1176"/>
      <c r="AP143" s="1177"/>
      <c r="AQ143" s="1547"/>
      <c r="AR143" s="1177"/>
      <c r="AS143" s="1548"/>
      <c r="AT143" s="1549"/>
      <c r="AU143" s="1178"/>
      <c r="AV143" s="1179"/>
      <c r="AY143" s="3">
        <v>1</v>
      </c>
    </row>
    <row r="144" spans="2:51" ht="27" customHeight="1">
      <c r="B144" s="104"/>
      <c r="C144" s="1172"/>
      <c r="D144" s="1172"/>
      <c r="E144" s="1172"/>
      <c r="F144" s="1173"/>
      <c r="G144" s="1174"/>
      <c r="H144" s="1175"/>
      <c r="I144" s="1176"/>
      <c r="J144" s="1177"/>
      <c r="K144" s="1547"/>
      <c r="L144" s="1177"/>
      <c r="M144" s="1548"/>
      <c r="N144" s="1549"/>
      <c r="O144" s="1178"/>
      <c r="P144" s="1179"/>
      <c r="Q144" s="1171"/>
      <c r="R144" s="104"/>
      <c r="S144" s="1172"/>
      <c r="T144" s="1172"/>
      <c r="U144" s="1172"/>
      <c r="V144" s="1173"/>
      <c r="W144" s="1174"/>
      <c r="X144" s="1175"/>
      <c r="Y144" s="1176"/>
      <c r="Z144" s="1177"/>
      <c r="AA144" s="1547"/>
      <c r="AB144" s="1177"/>
      <c r="AC144" s="1548"/>
      <c r="AD144" s="1549"/>
      <c r="AE144" s="1178"/>
      <c r="AF144" s="1179"/>
      <c r="AG144" s="1171"/>
      <c r="AH144" s="104"/>
      <c r="AI144" s="1172"/>
      <c r="AJ144" s="1172"/>
      <c r="AK144" s="1172"/>
      <c r="AL144" s="1173"/>
      <c r="AM144" s="1174"/>
      <c r="AN144" s="1175"/>
      <c r="AO144" s="1176"/>
      <c r="AP144" s="1177"/>
      <c r="AQ144" s="1547"/>
      <c r="AR144" s="1177"/>
      <c r="AS144" s="1548"/>
      <c r="AT144" s="1549"/>
      <c r="AU144" s="1178"/>
      <c r="AV144" s="1179"/>
      <c r="AY144" s="3">
        <v>1</v>
      </c>
    </row>
    <row r="145" spans="2:51" ht="27" customHeight="1">
      <c r="B145" s="104"/>
      <c r="C145" s="1172"/>
      <c r="D145" s="1172"/>
      <c r="E145" s="1172"/>
      <c r="F145" s="1173"/>
      <c r="G145" s="1174"/>
      <c r="H145" s="1175"/>
      <c r="I145" s="1176"/>
      <c r="J145" s="1177"/>
      <c r="K145" s="1547"/>
      <c r="L145" s="1177"/>
      <c r="M145" s="1548"/>
      <c r="N145" s="1549"/>
      <c r="O145" s="1178"/>
      <c r="P145" s="1179"/>
      <c r="Q145" s="1171"/>
      <c r="R145" s="104"/>
      <c r="S145" s="1172"/>
      <c r="T145" s="1172"/>
      <c r="U145" s="1172"/>
      <c r="V145" s="1173"/>
      <c r="W145" s="1174"/>
      <c r="X145" s="1175"/>
      <c r="Y145" s="1176"/>
      <c r="Z145" s="1177"/>
      <c r="AA145" s="1547"/>
      <c r="AB145" s="1177"/>
      <c r="AC145" s="1548"/>
      <c r="AD145" s="1549"/>
      <c r="AE145" s="1178"/>
      <c r="AF145" s="1179"/>
      <c r="AG145" s="1171"/>
      <c r="AH145" s="104"/>
      <c r="AI145" s="1172"/>
      <c r="AJ145" s="1172"/>
      <c r="AK145" s="1172"/>
      <c r="AL145" s="1173"/>
      <c r="AM145" s="1174"/>
      <c r="AN145" s="1175"/>
      <c r="AO145" s="1176"/>
      <c r="AP145" s="1177"/>
      <c r="AQ145" s="1547"/>
      <c r="AR145" s="1177"/>
      <c r="AS145" s="1548"/>
      <c r="AT145" s="1549"/>
      <c r="AU145" s="1178"/>
      <c r="AV145" s="1179"/>
      <c r="AY145" s="3">
        <v>1</v>
      </c>
    </row>
    <row r="146" spans="2:51" ht="27" customHeight="1">
      <c r="B146" s="104"/>
      <c r="C146" s="1172"/>
      <c r="D146" s="1172"/>
      <c r="E146" s="1172"/>
      <c r="F146" s="1173"/>
      <c r="G146" s="1174"/>
      <c r="H146" s="1175"/>
      <c r="I146" s="1176"/>
      <c r="J146" s="1177"/>
      <c r="K146" s="1547"/>
      <c r="L146" s="1177"/>
      <c r="M146" s="1548"/>
      <c r="N146" s="1549"/>
      <c r="O146" s="1178"/>
      <c r="P146" s="1179"/>
      <c r="Q146" s="1171"/>
      <c r="R146" s="104"/>
      <c r="S146" s="1172"/>
      <c r="T146" s="1172"/>
      <c r="U146" s="1172"/>
      <c r="V146" s="1173"/>
      <c r="W146" s="1174"/>
      <c r="X146" s="1175"/>
      <c r="Y146" s="1176"/>
      <c r="Z146" s="1177"/>
      <c r="AA146" s="1547"/>
      <c r="AB146" s="1177"/>
      <c r="AC146" s="1548"/>
      <c r="AD146" s="1549"/>
      <c r="AE146" s="1178"/>
      <c r="AF146" s="1179"/>
      <c r="AG146" s="1171"/>
      <c r="AH146" s="104"/>
      <c r="AI146" s="1172"/>
      <c r="AJ146" s="1172"/>
      <c r="AK146" s="1172"/>
      <c r="AL146" s="1173"/>
      <c r="AM146" s="1174"/>
      <c r="AN146" s="1175"/>
      <c r="AO146" s="1176"/>
      <c r="AP146" s="1177"/>
      <c r="AQ146" s="1547"/>
      <c r="AR146" s="1177"/>
      <c r="AS146" s="1548"/>
      <c r="AT146" s="1549"/>
      <c r="AU146" s="1178"/>
      <c r="AV146" s="1179"/>
      <c r="AY146" s="3">
        <v>1</v>
      </c>
    </row>
    <row r="147" spans="2:51" ht="27" customHeight="1">
      <c r="B147" s="104"/>
      <c r="C147" s="1172"/>
      <c r="D147" s="1172"/>
      <c r="E147" s="1172"/>
      <c r="F147" s="1173"/>
      <c r="G147" s="1174"/>
      <c r="H147" s="1175"/>
      <c r="I147" s="1176"/>
      <c r="J147" s="1177"/>
      <c r="K147" s="1547"/>
      <c r="L147" s="1177"/>
      <c r="M147" s="1548"/>
      <c r="N147" s="1549"/>
      <c r="O147" s="1178"/>
      <c r="P147" s="1179"/>
      <c r="Q147" s="1171"/>
      <c r="R147" s="104"/>
      <c r="S147" s="1172"/>
      <c r="T147" s="1172"/>
      <c r="U147" s="1172"/>
      <c r="V147" s="1173"/>
      <c r="W147" s="1174"/>
      <c r="X147" s="1175"/>
      <c r="Y147" s="1176"/>
      <c r="Z147" s="1177"/>
      <c r="AA147" s="1547"/>
      <c r="AB147" s="1177"/>
      <c r="AC147" s="1548"/>
      <c r="AD147" s="1549"/>
      <c r="AE147" s="1178"/>
      <c r="AF147" s="1179"/>
      <c r="AG147" s="1171"/>
      <c r="AH147" s="104"/>
      <c r="AI147" s="1172"/>
      <c r="AJ147" s="1172"/>
      <c r="AK147" s="1172"/>
      <c r="AL147" s="1173"/>
      <c r="AM147" s="1174"/>
      <c r="AN147" s="1175"/>
      <c r="AO147" s="1176"/>
      <c r="AP147" s="1177"/>
      <c r="AQ147" s="1547"/>
      <c r="AR147" s="1177"/>
      <c r="AS147" s="1548"/>
      <c r="AT147" s="1549"/>
      <c r="AU147" s="1178"/>
      <c r="AV147" s="1179"/>
      <c r="AY147" s="3">
        <v>1</v>
      </c>
    </row>
    <row r="148" spans="2:51" ht="27" customHeight="1">
      <c r="B148" s="104"/>
      <c r="C148" s="1172"/>
      <c r="D148" s="1172"/>
      <c r="E148" s="1172"/>
      <c r="F148" s="1173"/>
      <c r="G148" s="1174"/>
      <c r="H148" s="1175"/>
      <c r="I148" s="1176"/>
      <c r="J148" s="1177"/>
      <c r="K148" s="1547"/>
      <c r="L148" s="1177"/>
      <c r="M148" s="1548"/>
      <c r="N148" s="1549"/>
      <c r="O148" s="1178"/>
      <c r="P148" s="1179"/>
      <c r="Q148" s="1171"/>
      <c r="R148" s="104"/>
      <c r="S148" s="1172"/>
      <c r="T148" s="1172"/>
      <c r="U148" s="1172"/>
      <c r="V148" s="1173"/>
      <c r="W148" s="1174"/>
      <c r="X148" s="1175"/>
      <c r="Y148" s="1176"/>
      <c r="Z148" s="1177"/>
      <c r="AA148" s="1547"/>
      <c r="AB148" s="1177"/>
      <c r="AC148" s="1548"/>
      <c r="AD148" s="1549"/>
      <c r="AE148" s="1178"/>
      <c r="AF148" s="1179"/>
      <c r="AG148" s="1171"/>
      <c r="AH148" s="104"/>
      <c r="AI148" s="1172"/>
      <c r="AJ148" s="1172"/>
      <c r="AK148" s="1172"/>
      <c r="AL148" s="1173"/>
      <c r="AM148" s="1174"/>
      <c r="AN148" s="1175"/>
      <c r="AO148" s="1176"/>
      <c r="AP148" s="1177"/>
      <c r="AQ148" s="1547"/>
      <c r="AR148" s="1177"/>
      <c r="AS148" s="1548"/>
      <c r="AT148" s="1549"/>
      <c r="AU148" s="1178"/>
      <c r="AV148" s="1179"/>
      <c r="AY148" s="3">
        <v>1</v>
      </c>
    </row>
    <row r="149" spans="2:51" ht="27" customHeight="1">
      <c r="B149" s="104"/>
      <c r="C149" s="1172"/>
      <c r="D149" s="1172"/>
      <c r="E149" s="1172"/>
      <c r="F149" s="1173"/>
      <c r="G149" s="1174"/>
      <c r="H149" s="1175"/>
      <c r="I149" s="1176"/>
      <c r="J149" s="1177"/>
      <c r="K149" s="1547"/>
      <c r="L149" s="1177"/>
      <c r="M149" s="1548"/>
      <c r="N149" s="1549"/>
      <c r="O149" s="1178"/>
      <c r="P149" s="1179"/>
      <c r="Q149" s="1171"/>
      <c r="R149" s="104"/>
      <c r="S149" s="1172"/>
      <c r="T149" s="1172"/>
      <c r="U149" s="1172"/>
      <c r="V149" s="1173"/>
      <c r="W149" s="1174"/>
      <c r="X149" s="1175"/>
      <c r="Y149" s="1176"/>
      <c r="Z149" s="1177"/>
      <c r="AA149" s="1547"/>
      <c r="AB149" s="1177"/>
      <c r="AC149" s="1548"/>
      <c r="AD149" s="1549"/>
      <c r="AE149" s="1178"/>
      <c r="AF149" s="1179"/>
      <c r="AG149" s="1171"/>
      <c r="AH149" s="104"/>
      <c r="AI149" s="1172"/>
      <c r="AJ149" s="1172"/>
      <c r="AK149" s="1172"/>
      <c r="AL149" s="1173"/>
      <c r="AM149" s="1174"/>
      <c r="AN149" s="1175"/>
      <c r="AO149" s="1176"/>
      <c r="AP149" s="1177"/>
      <c r="AQ149" s="1547"/>
      <c r="AR149" s="1177"/>
      <c r="AS149" s="1548"/>
      <c r="AT149" s="1549"/>
      <c r="AU149" s="1178"/>
      <c r="AV149" s="1179"/>
      <c r="AY149" s="3">
        <v>1</v>
      </c>
    </row>
    <row r="150" spans="2:51" ht="27" customHeight="1">
      <c r="B150" s="104"/>
      <c r="C150" s="1172"/>
      <c r="D150" s="1172"/>
      <c r="E150" s="1172"/>
      <c r="F150" s="1173"/>
      <c r="G150" s="1174"/>
      <c r="H150" s="1175"/>
      <c r="I150" s="1176"/>
      <c r="J150" s="1177"/>
      <c r="K150" s="1547"/>
      <c r="L150" s="1177"/>
      <c r="M150" s="1548"/>
      <c r="N150" s="1549"/>
      <c r="O150" s="1178"/>
      <c r="P150" s="1179"/>
      <c r="Q150" s="1171"/>
      <c r="R150" s="104"/>
      <c r="S150" s="1172"/>
      <c r="T150" s="1172"/>
      <c r="U150" s="1172"/>
      <c r="V150" s="1173"/>
      <c r="W150" s="1174"/>
      <c r="X150" s="1175"/>
      <c r="Y150" s="1176"/>
      <c r="Z150" s="1177"/>
      <c r="AA150" s="1547"/>
      <c r="AB150" s="1177"/>
      <c r="AC150" s="1548"/>
      <c r="AD150" s="1549"/>
      <c r="AE150" s="1178"/>
      <c r="AF150" s="1179"/>
      <c r="AG150" s="1171"/>
      <c r="AH150" s="104"/>
      <c r="AI150" s="1172"/>
      <c r="AJ150" s="1172"/>
      <c r="AK150" s="1172"/>
      <c r="AL150" s="1173"/>
      <c r="AM150" s="1174"/>
      <c r="AN150" s="1175"/>
      <c r="AO150" s="1176"/>
      <c r="AP150" s="1177"/>
      <c r="AQ150" s="1547"/>
      <c r="AR150" s="1177"/>
      <c r="AS150" s="1548"/>
      <c r="AT150" s="1549"/>
      <c r="AU150" s="1178"/>
      <c r="AV150" s="1179"/>
      <c r="AY150" s="3">
        <v>1</v>
      </c>
    </row>
    <row r="151" spans="2:51" ht="27" customHeight="1">
      <c r="B151" s="104"/>
      <c r="C151" s="1172"/>
      <c r="D151" s="1172"/>
      <c r="E151" s="1172"/>
      <c r="F151" s="1173"/>
      <c r="G151" s="1174"/>
      <c r="H151" s="1175"/>
      <c r="I151" s="1176"/>
      <c r="J151" s="1177"/>
      <c r="K151" s="1547"/>
      <c r="L151" s="1177"/>
      <c r="M151" s="1548"/>
      <c r="N151" s="1549"/>
      <c r="O151" s="1178"/>
      <c r="P151" s="1179"/>
      <c r="Q151" s="1171"/>
      <c r="R151" s="104"/>
      <c r="S151" s="1172"/>
      <c r="T151" s="1172"/>
      <c r="U151" s="1172"/>
      <c r="V151" s="1173"/>
      <c r="W151" s="1174"/>
      <c r="X151" s="1175"/>
      <c r="Y151" s="1176"/>
      <c r="Z151" s="1177"/>
      <c r="AA151" s="1547"/>
      <c r="AB151" s="1177"/>
      <c r="AC151" s="1548"/>
      <c r="AD151" s="1549"/>
      <c r="AE151" s="1178"/>
      <c r="AF151" s="1179"/>
      <c r="AG151" s="1171"/>
      <c r="AH151" s="104"/>
      <c r="AI151" s="1172"/>
      <c r="AJ151" s="1172"/>
      <c r="AK151" s="1172"/>
      <c r="AL151" s="1173"/>
      <c r="AM151" s="1174"/>
      <c r="AN151" s="1175"/>
      <c r="AO151" s="1176"/>
      <c r="AP151" s="1177"/>
      <c r="AQ151" s="1547"/>
      <c r="AR151" s="1177"/>
      <c r="AS151" s="1548"/>
      <c r="AT151" s="1549"/>
      <c r="AU151" s="1178"/>
      <c r="AV151" s="1179"/>
      <c r="AY151" s="3">
        <v>1</v>
      </c>
    </row>
    <row r="152" spans="2:51" ht="27" customHeight="1">
      <c r="B152" s="104"/>
      <c r="C152" s="1172"/>
      <c r="D152" s="1172"/>
      <c r="E152" s="1172"/>
      <c r="F152" s="1173"/>
      <c r="G152" s="1174"/>
      <c r="H152" s="1175"/>
      <c r="I152" s="1176"/>
      <c r="J152" s="1177"/>
      <c r="K152" s="1547"/>
      <c r="L152" s="1177"/>
      <c r="M152" s="1548"/>
      <c r="N152" s="1549"/>
      <c r="O152" s="1178"/>
      <c r="P152" s="1179"/>
      <c r="Q152" s="1171"/>
      <c r="R152" s="104"/>
      <c r="S152" s="1172"/>
      <c r="T152" s="1172"/>
      <c r="U152" s="1172"/>
      <c r="V152" s="1173"/>
      <c r="W152" s="1174"/>
      <c r="X152" s="1175"/>
      <c r="Y152" s="1176"/>
      <c r="Z152" s="1177"/>
      <c r="AA152" s="1547"/>
      <c r="AB152" s="1177"/>
      <c r="AC152" s="1548"/>
      <c r="AD152" s="1549"/>
      <c r="AE152" s="1178"/>
      <c r="AF152" s="1179"/>
      <c r="AG152" s="1171"/>
      <c r="AH152" s="104"/>
      <c r="AI152" s="1172"/>
      <c r="AJ152" s="1172"/>
      <c r="AK152" s="1172"/>
      <c r="AL152" s="1173"/>
      <c r="AM152" s="1174"/>
      <c r="AN152" s="1175"/>
      <c r="AO152" s="1176"/>
      <c r="AP152" s="1177"/>
      <c r="AQ152" s="1547"/>
      <c r="AR152" s="1177"/>
      <c r="AS152" s="1548"/>
      <c r="AT152" s="1549"/>
      <c r="AU152" s="1178"/>
      <c r="AV152" s="1179"/>
      <c r="AY152" s="3">
        <v>1</v>
      </c>
    </row>
    <row r="153" spans="2:51" ht="27" customHeight="1">
      <c r="B153" s="104"/>
      <c r="C153" s="1172"/>
      <c r="D153" s="1172"/>
      <c r="E153" s="1172"/>
      <c r="F153" s="1173"/>
      <c r="G153" s="1174"/>
      <c r="H153" s="1175"/>
      <c r="I153" s="1176"/>
      <c r="J153" s="1177"/>
      <c r="K153" s="1547"/>
      <c r="L153" s="1177"/>
      <c r="M153" s="1548"/>
      <c r="N153" s="1549"/>
      <c r="O153" s="1178"/>
      <c r="P153" s="1179"/>
      <c r="Q153" s="1171"/>
      <c r="R153" s="104"/>
      <c r="S153" s="1172"/>
      <c r="T153" s="1172"/>
      <c r="U153" s="1172"/>
      <c r="V153" s="1173"/>
      <c r="W153" s="1174"/>
      <c r="X153" s="1175"/>
      <c r="Y153" s="1176"/>
      <c r="Z153" s="1177"/>
      <c r="AA153" s="1547"/>
      <c r="AB153" s="1177"/>
      <c r="AC153" s="1548"/>
      <c r="AD153" s="1549"/>
      <c r="AE153" s="1178"/>
      <c r="AF153" s="1179"/>
      <c r="AG153" s="1171"/>
      <c r="AH153" s="104"/>
      <c r="AI153" s="1172"/>
      <c r="AJ153" s="1172"/>
      <c r="AK153" s="1172"/>
      <c r="AL153" s="1173"/>
      <c r="AM153" s="1174"/>
      <c r="AN153" s="1175"/>
      <c r="AO153" s="1176"/>
      <c r="AP153" s="1177"/>
      <c r="AQ153" s="1547"/>
      <c r="AR153" s="1177"/>
      <c r="AS153" s="1548"/>
      <c r="AT153" s="1549"/>
      <c r="AU153" s="1178"/>
      <c r="AV153" s="1179"/>
      <c r="AY153" s="3">
        <v>1</v>
      </c>
    </row>
    <row r="154" spans="2:51" ht="27" customHeight="1">
      <c r="B154" s="104"/>
      <c r="C154" s="1172"/>
      <c r="D154" s="1172"/>
      <c r="E154" s="1172"/>
      <c r="F154" s="1173"/>
      <c r="G154" s="1174"/>
      <c r="H154" s="1175"/>
      <c r="I154" s="1176"/>
      <c r="J154" s="1177"/>
      <c r="K154" s="1547"/>
      <c r="L154" s="1177"/>
      <c r="M154" s="1548"/>
      <c r="N154" s="1549"/>
      <c r="O154" s="1178"/>
      <c r="P154" s="1179"/>
      <c r="Q154" s="1171"/>
      <c r="R154" s="104"/>
      <c r="S154" s="1172"/>
      <c r="T154" s="1172"/>
      <c r="U154" s="1172"/>
      <c r="V154" s="1173"/>
      <c r="W154" s="1174"/>
      <c r="X154" s="1175"/>
      <c r="Y154" s="1176"/>
      <c r="Z154" s="1177"/>
      <c r="AA154" s="1547"/>
      <c r="AB154" s="1177"/>
      <c r="AC154" s="1548"/>
      <c r="AD154" s="1549"/>
      <c r="AE154" s="1178"/>
      <c r="AF154" s="1179"/>
      <c r="AG154" s="1171"/>
      <c r="AH154" s="104"/>
      <c r="AI154" s="1172"/>
      <c r="AJ154" s="1172"/>
      <c r="AK154" s="1172"/>
      <c r="AL154" s="1173"/>
      <c r="AM154" s="1174"/>
      <c r="AN154" s="1175"/>
      <c r="AO154" s="1176"/>
      <c r="AP154" s="1177"/>
      <c r="AQ154" s="1547"/>
      <c r="AR154" s="1177"/>
      <c r="AS154" s="1548"/>
      <c r="AT154" s="1549"/>
      <c r="AU154" s="1178"/>
      <c r="AV154" s="1179"/>
      <c r="AY154" s="3">
        <v>1</v>
      </c>
    </row>
    <row r="155" spans="2:51" ht="27" customHeight="1">
      <c r="B155" s="104"/>
      <c r="C155" s="1172"/>
      <c r="D155" s="1172"/>
      <c r="E155" s="1172"/>
      <c r="F155" s="1173"/>
      <c r="G155" s="1174"/>
      <c r="H155" s="1175"/>
      <c r="I155" s="1176"/>
      <c r="J155" s="1177"/>
      <c r="K155" s="1547"/>
      <c r="L155" s="1177"/>
      <c r="M155" s="1548"/>
      <c r="N155" s="1549"/>
      <c r="O155" s="1178"/>
      <c r="P155" s="1179"/>
      <c r="Q155" s="1171"/>
      <c r="R155" s="104"/>
      <c r="S155" s="1172"/>
      <c r="T155" s="1172"/>
      <c r="U155" s="1172"/>
      <c r="V155" s="1173"/>
      <c r="W155" s="1174"/>
      <c r="X155" s="1175"/>
      <c r="Y155" s="1176"/>
      <c r="Z155" s="1177"/>
      <c r="AA155" s="1547"/>
      <c r="AB155" s="1177"/>
      <c r="AC155" s="1548"/>
      <c r="AD155" s="1549"/>
      <c r="AE155" s="1178"/>
      <c r="AF155" s="1179"/>
      <c r="AG155" s="1171"/>
      <c r="AH155" s="104"/>
      <c r="AI155" s="1172"/>
      <c r="AJ155" s="1172"/>
      <c r="AK155" s="1172"/>
      <c r="AL155" s="1173"/>
      <c r="AM155" s="1174"/>
      <c r="AN155" s="1175"/>
      <c r="AO155" s="1176"/>
      <c r="AP155" s="1177"/>
      <c r="AQ155" s="1547"/>
      <c r="AR155" s="1177"/>
      <c r="AS155" s="1548"/>
      <c r="AT155" s="1549"/>
      <c r="AU155" s="1178"/>
      <c r="AV155" s="1179"/>
      <c r="AY155" s="3">
        <v>1</v>
      </c>
    </row>
    <row r="156" spans="2:51" ht="27" customHeight="1">
      <c r="B156" s="104"/>
      <c r="C156" s="1172"/>
      <c r="D156" s="1172"/>
      <c r="E156" s="1172"/>
      <c r="F156" s="1173"/>
      <c r="G156" s="1174"/>
      <c r="H156" s="1175"/>
      <c r="I156" s="1176"/>
      <c r="J156" s="1177"/>
      <c r="K156" s="1547"/>
      <c r="L156" s="1177"/>
      <c r="M156" s="1548"/>
      <c r="N156" s="1549"/>
      <c r="O156" s="1178"/>
      <c r="P156" s="1179"/>
      <c r="Q156" s="1171"/>
      <c r="R156" s="104"/>
      <c r="S156" s="1172"/>
      <c r="T156" s="1172"/>
      <c r="U156" s="1172"/>
      <c r="V156" s="1173"/>
      <c r="W156" s="1174"/>
      <c r="X156" s="1175"/>
      <c r="Y156" s="1176"/>
      <c r="Z156" s="1177"/>
      <c r="AA156" s="1547"/>
      <c r="AB156" s="1177"/>
      <c r="AC156" s="1548"/>
      <c r="AD156" s="1549"/>
      <c r="AE156" s="1178"/>
      <c r="AF156" s="1179"/>
      <c r="AG156" s="1171"/>
      <c r="AH156" s="104"/>
      <c r="AI156" s="1172"/>
      <c r="AJ156" s="1172"/>
      <c r="AK156" s="1172"/>
      <c r="AL156" s="1173"/>
      <c r="AM156" s="1174"/>
      <c r="AN156" s="1175"/>
      <c r="AO156" s="1176"/>
      <c r="AP156" s="1177"/>
      <c r="AQ156" s="1547"/>
      <c r="AR156" s="1177"/>
      <c r="AS156" s="1548"/>
      <c r="AT156" s="1549"/>
      <c r="AU156" s="1178"/>
      <c r="AV156" s="1179"/>
      <c r="AY156" s="3">
        <v>1</v>
      </c>
    </row>
    <row r="157" spans="2:51" ht="27" customHeight="1">
      <c r="B157" s="104"/>
      <c r="C157" s="1172"/>
      <c r="D157" s="1172"/>
      <c r="E157" s="1172"/>
      <c r="F157" s="1173"/>
      <c r="G157" s="1174"/>
      <c r="H157" s="1175"/>
      <c r="I157" s="1176"/>
      <c r="J157" s="1177"/>
      <c r="K157" s="1547"/>
      <c r="L157" s="1177"/>
      <c r="M157" s="1548"/>
      <c r="N157" s="1549"/>
      <c r="O157" s="1178"/>
      <c r="P157" s="1179"/>
      <c r="Q157" s="1171"/>
      <c r="R157" s="104"/>
      <c r="S157" s="1172"/>
      <c r="T157" s="1172"/>
      <c r="U157" s="1172"/>
      <c r="V157" s="1173"/>
      <c r="W157" s="1174"/>
      <c r="X157" s="1175"/>
      <c r="Y157" s="1176"/>
      <c r="Z157" s="1177"/>
      <c r="AA157" s="1547"/>
      <c r="AB157" s="1177"/>
      <c r="AC157" s="1548"/>
      <c r="AD157" s="1549"/>
      <c r="AE157" s="1178"/>
      <c r="AF157" s="1179"/>
      <c r="AG157" s="1171"/>
      <c r="AH157" s="104"/>
      <c r="AI157" s="1172"/>
      <c r="AJ157" s="1172"/>
      <c r="AK157" s="1172"/>
      <c r="AL157" s="1173"/>
      <c r="AM157" s="1174"/>
      <c r="AN157" s="1175"/>
      <c r="AO157" s="1176"/>
      <c r="AP157" s="1177"/>
      <c r="AQ157" s="1547"/>
      <c r="AR157" s="1177"/>
      <c r="AS157" s="1548"/>
      <c r="AT157" s="1549"/>
      <c r="AU157" s="1178"/>
      <c r="AV157" s="1179"/>
      <c r="AY157" s="3">
        <v>1</v>
      </c>
    </row>
    <row r="158" spans="2:51" ht="27" customHeight="1">
      <c r="B158" s="104"/>
      <c r="C158" s="1172"/>
      <c r="D158" s="1172"/>
      <c r="E158" s="1172"/>
      <c r="F158" s="1173"/>
      <c r="G158" s="1174"/>
      <c r="H158" s="1175"/>
      <c r="I158" s="1176"/>
      <c r="J158" s="1177"/>
      <c r="K158" s="1547"/>
      <c r="L158" s="1177"/>
      <c r="M158" s="1548"/>
      <c r="N158" s="1549"/>
      <c r="O158" s="1178"/>
      <c r="P158" s="1179"/>
      <c r="Q158" s="1171"/>
      <c r="R158" s="104"/>
      <c r="S158" s="1172"/>
      <c r="T158" s="1172"/>
      <c r="U158" s="1172"/>
      <c r="V158" s="1173"/>
      <c r="W158" s="1174"/>
      <c r="X158" s="1175"/>
      <c r="Y158" s="1176"/>
      <c r="Z158" s="1177"/>
      <c r="AA158" s="1547"/>
      <c r="AB158" s="1177"/>
      <c r="AC158" s="1548"/>
      <c r="AD158" s="1549"/>
      <c r="AE158" s="1178"/>
      <c r="AF158" s="1179"/>
      <c r="AG158" s="1171"/>
      <c r="AH158" s="104"/>
      <c r="AI158" s="1172"/>
      <c r="AJ158" s="1172"/>
      <c r="AK158" s="1172"/>
      <c r="AL158" s="1173"/>
      <c r="AM158" s="1174"/>
      <c r="AN158" s="1175"/>
      <c r="AO158" s="1176"/>
      <c r="AP158" s="1177"/>
      <c r="AQ158" s="1547"/>
      <c r="AR158" s="1177"/>
      <c r="AS158" s="1548"/>
      <c r="AT158" s="1549"/>
      <c r="AU158" s="1178"/>
      <c r="AV158" s="1179"/>
      <c r="AY158" s="3">
        <v>1</v>
      </c>
    </row>
    <row r="159" spans="2:51" ht="27" customHeight="1">
      <c r="B159" s="104"/>
      <c r="C159" s="1172"/>
      <c r="D159" s="1172"/>
      <c r="E159" s="1172"/>
      <c r="F159" s="1173"/>
      <c r="G159" s="1174"/>
      <c r="H159" s="1175"/>
      <c r="I159" s="1176"/>
      <c r="J159" s="1177"/>
      <c r="K159" s="1547"/>
      <c r="L159" s="1177"/>
      <c r="M159" s="1548"/>
      <c r="N159" s="1549"/>
      <c r="O159" s="1178"/>
      <c r="P159" s="1179"/>
      <c r="Q159" s="1171"/>
      <c r="R159" s="104"/>
      <c r="S159" s="1172"/>
      <c r="T159" s="1172"/>
      <c r="U159" s="1172"/>
      <c r="V159" s="1173"/>
      <c r="W159" s="1174"/>
      <c r="X159" s="1175"/>
      <c r="Y159" s="1176"/>
      <c r="Z159" s="1177"/>
      <c r="AA159" s="1547"/>
      <c r="AB159" s="1177"/>
      <c r="AC159" s="1548"/>
      <c r="AD159" s="1549"/>
      <c r="AE159" s="1178"/>
      <c r="AF159" s="1179"/>
      <c r="AG159" s="1171"/>
      <c r="AH159" s="104"/>
      <c r="AI159" s="1172"/>
      <c r="AJ159" s="1172"/>
      <c r="AK159" s="1172"/>
      <c r="AL159" s="1173"/>
      <c r="AM159" s="1174"/>
      <c r="AN159" s="1175"/>
      <c r="AO159" s="1176"/>
      <c r="AP159" s="1177"/>
      <c r="AQ159" s="1547"/>
      <c r="AR159" s="1177"/>
      <c r="AS159" s="1548"/>
      <c r="AT159" s="1549"/>
      <c r="AU159" s="1178"/>
      <c r="AV159" s="1179"/>
      <c r="AY159" s="3">
        <v>1</v>
      </c>
    </row>
    <row r="160" spans="2:51" ht="27" customHeight="1">
      <c r="B160" s="104"/>
      <c r="C160" s="1172"/>
      <c r="D160" s="1172"/>
      <c r="E160" s="1172"/>
      <c r="F160" s="1173"/>
      <c r="G160" s="1174"/>
      <c r="H160" s="1175"/>
      <c r="I160" s="1176"/>
      <c r="J160" s="1177"/>
      <c r="K160" s="1547"/>
      <c r="L160" s="1177"/>
      <c r="M160" s="1548"/>
      <c r="N160" s="1549"/>
      <c r="O160" s="1178"/>
      <c r="P160" s="1179"/>
      <c r="Q160" s="1171"/>
      <c r="R160" s="104"/>
      <c r="S160" s="1172"/>
      <c r="T160" s="1172"/>
      <c r="U160" s="1172"/>
      <c r="V160" s="1173"/>
      <c r="W160" s="1174"/>
      <c r="X160" s="1175"/>
      <c r="Y160" s="1176"/>
      <c r="Z160" s="1177"/>
      <c r="AA160" s="1547"/>
      <c r="AB160" s="1177"/>
      <c r="AC160" s="1548"/>
      <c r="AD160" s="1549"/>
      <c r="AE160" s="1178"/>
      <c r="AF160" s="1179"/>
      <c r="AG160" s="1171"/>
      <c r="AH160" s="104"/>
      <c r="AI160" s="1172"/>
      <c r="AJ160" s="1172"/>
      <c r="AK160" s="1172"/>
      <c r="AL160" s="1173"/>
      <c r="AM160" s="1174"/>
      <c r="AN160" s="1175"/>
      <c r="AO160" s="1176"/>
      <c r="AP160" s="1177"/>
      <c r="AQ160" s="1547"/>
      <c r="AR160" s="1177"/>
      <c r="AS160" s="1548"/>
      <c r="AT160" s="1549"/>
      <c r="AU160" s="1178"/>
      <c r="AV160" s="1179"/>
      <c r="AY160" s="3">
        <v>1</v>
      </c>
    </row>
    <row r="161" spans="2:51" ht="27" customHeight="1">
      <c r="B161" s="104"/>
      <c r="C161" s="1172"/>
      <c r="D161" s="1172"/>
      <c r="E161" s="1172"/>
      <c r="F161" s="1173"/>
      <c r="G161" s="1174"/>
      <c r="H161" s="1175"/>
      <c r="I161" s="1176"/>
      <c r="J161" s="1177"/>
      <c r="K161" s="1547"/>
      <c r="L161" s="1177"/>
      <c r="M161" s="1548"/>
      <c r="N161" s="1549"/>
      <c r="O161" s="1178"/>
      <c r="P161" s="1179"/>
      <c r="Q161" s="1171"/>
      <c r="R161" s="104"/>
      <c r="S161" s="1172"/>
      <c r="T161" s="1172"/>
      <c r="U161" s="1172"/>
      <c r="V161" s="1173"/>
      <c r="W161" s="1174"/>
      <c r="X161" s="1175"/>
      <c r="Y161" s="1176"/>
      <c r="Z161" s="1177"/>
      <c r="AA161" s="1547"/>
      <c r="AB161" s="1177"/>
      <c r="AC161" s="1548"/>
      <c r="AD161" s="1549"/>
      <c r="AE161" s="1178"/>
      <c r="AF161" s="1179"/>
      <c r="AG161" s="1171"/>
      <c r="AH161" s="104"/>
      <c r="AI161" s="1172"/>
      <c r="AJ161" s="1172"/>
      <c r="AK161" s="1172"/>
      <c r="AL161" s="1173"/>
      <c r="AM161" s="1174"/>
      <c r="AN161" s="1175"/>
      <c r="AO161" s="1176"/>
      <c r="AP161" s="1177"/>
      <c r="AQ161" s="1547"/>
      <c r="AR161" s="1177"/>
      <c r="AS161" s="1548"/>
      <c r="AT161" s="1549"/>
      <c r="AU161" s="1178"/>
      <c r="AV161" s="1179"/>
      <c r="AY161" s="3">
        <v>1</v>
      </c>
    </row>
    <row r="162" spans="2:51" ht="27" customHeight="1">
      <c r="B162" s="104"/>
      <c r="C162" s="1172"/>
      <c r="D162" s="1172"/>
      <c r="E162" s="1172"/>
      <c r="F162" s="1173"/>
      <c r="G162" s="1174"/>
      <c r="H162" s="1175"/>
      <c r="I162" s="1176"/>
      <c r="J162" s="1177"/>
      <c r="K162" s="1547"/>
      <c r="L162" s="1177"/>
      <c r="M162" s="1548"/>
      <c r="N162" s="1549"/>
      <c r="O162" s="1178"/>
      <c r="P162" s="1179"/>
      <c r="Q162" s="1171"/>
      <c r="R162" s="104"/>
      <c r="S162" s="1172"/>
      <c r="T162" s="1172"/>
      <c r="U162" s="1172"/>
      <c r="V162" s="1173"/>
      <c r="W162" s="1174"/>
      <c r="X162" s="1175"/>
      <c r="Y162" s="1176"/>
      <c r="Z162" s="1177"/>
      <c r="AA162" s="1547"/>
      <c r="AB162" s="1177"/>
      <c r="AC162" s="1548"/>
      <c r="AD162" s="1549"/>
      <c r="AE162" s="1178"/>
      <c r="AF162" s="1179"/>
      <c r="AG162" s="1171"/>
      <c r="AH162" s="104"/>
      <c r="AI162" s="1172"/>
      <c r="AJ162" s="1172"/>
      <c r="AK162" s="1172"/>
      <c r="AL162" s="1173"/>
      <c r="AM162" s="1174"/>
      <c r="AN162" s="1175"/>
      <c r="AO162" s="1176"/>
      <c r="AP162" s="1177"/>
      <c r="AQ162" s="1547"/>
      <c r="AR162" s="1177"/>
      <c r="AS162" s="1548"/>
      <c r="AT162" s="1549"/>
      <c r="AU162" s="1178"/>
      <c r="AV162" s="1179"/>
      <c r="AY162" s="3">
        <v>1</v>
      </c>
    </row>
    <row r="163" spans="2:51" ht="27" customHeight="1">
      <c r="B163" s="104"/>
      <c r="C163" s="1172"/>
      <c r="D163" s="1172"/>
      <c r="E163" s="1172"/>
      <c r="F163" s="1173"/>
      <c r="G163" s="1174"/>
      <c r="H163" s="1175"/>
      <c r="I163" s="1176"/>
      <c r="J163" s="1177"/>
      <c r="K163" s="1547"/>
      <c r="L163" s="1177"/>
      <c r="M163" s="1548"/>
      <c r="N163" s="1549"/>
      <c r="O163" s="1178"/>
      <c r="P163" s="1179"/>
      <c r="Q163" s="1171"/>
      <c r="R163" s="104"/>
      <c r="S163" s="1172"/>
      <c r="T163" s="1172"/>
      <c r="U163" s="1172"/>
      <c r="V163" s="1173"/>
      <c r="W163" s="1174"/>
      <c r="X163" s="1175"/>
      <c r="Y163" s="1176"/>
      <c r="Z163" s="1177"/>
      <c r="AA163" s="1547"/>
      <c r="AB163" s="1177"/>
      <c r="AC163" s="1548"/>
      <c r="AD163" s="1549"/>
      <c r="AE163" s="1178"/>
      <c r="AF163" s="1179"/>
      <c r="AG163" s="1171"/>
      <c r="AH163" s="104"/>
      <c r="AI163" s="1172"/>
      <c r="AJ163" s="1172"/>
      <c r="AK163" s="1172"/>
      <c r="AL163" s="1173"/>
      <c r="AM163" s="1174"/>
      <c r="AN163" s="1175"/>
      <c r="AO163" s="1176"/>
      <c r="AP163" s="1177"/>
      <c r="AQ163" s="1547"/>
      <c r="AR163" s="1177"/>
      <c r="AS163" s="1548"/>
      <c r="AT163" s="1549"/>
      <c r="AU163" s="1178"/>
      <c r="AV163" s="1179"/>
      <c r="AY163" s="3">
        <v>1</v>
      </c>
    </row>
    <row r="164" spans="2:51" ht="27" customHeight="1">
      <c r="B164" s="104"/>
      <c r="C164" s="1172"/>
      <c r="D164" s="1172"/>
      <c r="E164" s="1172"/>
      <c r="F164" s="1173"/>
      <c r="G164" s="1174"/>
      <c r="H164" s="1175"/>
      <c r="I164" s="1176"/>
      <c r="J164" s="1177"/>
      <c r="K164" s="1547"/>
      <c r="L164" s="1177"/>
      <c r="M164" s="1548"/>
      <c r="N164" s="1549"/>
      <c r="O164" s="1178"/>
      <c r="P164" s="1179"/>
      <c r="Q164" s="1171"/>
      <c r="R164" s="104"/>
      <c r="S164" s="1172"/>
      <c r="T164" s="1172"/>
      <c r="U164" s="1172"/>
      <c r="V164" s="1173"/>
      <c r="W164" s="1174"/>
      <c r="X164" s="1175"/>
      <c r="Y164" s="1176"/>
      <c r="Z164" s="1177"/>
      <c r="AA164" s="1547"/>
      <c r="AB164" s="1177"/>
      <c r="AC164" s="1548"/>
      <c r="AD164" s="1549"/>
      <c r="AE164" s="1178"/>
      <c r="AF164" s="1179"/>
      <c r="AG164" s="1171"/>
      <c r="AH164" s="104"/>
      <c r="AI164" s="1172"/>
      <c r="AJ164" s="1172"/>
      <c r="AK164" s="1172"/>
      <c r="AL164" s="1173"/>
      <c r="AM164" s="1174"/>
      <c r="AN164" s="1175"/>
      <c r="AO164" s="1176"/>
      <c r="AP164" s="1177"/>
      <c r="AQ164" s="1547"/>
      <c r="AR164" s="1177"/>
      <c r="AS164" s="1548"/>
      <c r="AT164" s="1549"/>
      <c r="AU164" s="1178"/>
      <c r="AV164" s="1179"/>
      <c r="AY164" s="3">
        <v>1</v>
      </c>
    </row>
    <row r="165" spans="2:51" ht="27" customHeight="1">
      <c r="B165" s="104"/>
      <c r="C165" s="1172"/>
      <c r="D165" s="1172"/>
      <c r="E165" s="1172"/>
      <c r="F165" s="1173"/>
      <c r="G165" s="1174"/>
      <c r="H165" s="1175"/>
      <c r="I165" s="1176"/>
      <c r="J165" s="1177"/>
      <c r="K165" s="1547"/>
      <c r="L165" s="1177"/>
      <c r="M165" s="1548"/>
      <c r="N165" s="1549"/>
      <c r="O165" s="1178"/>
      <c r="P165" s="1179"/>
      <c r="Q165" s="1171"/>
      <c r="R165" s="104"/>
      <c r="S165" s="1172"/>
      <c r="T165" s="1172"/>
      <c r="U165" s="1172"/>
      <c r="V165" s="1173"/>
      <c r="W165" s="1174"/>
      <c r="X165" s="1175"/>
      <c r="Y165" s="1176"/>
      <c r="Z165" s="1177"/>
      <c r="AA165" s="1547"/>
      <c r="AB165" s="1177"/>
      <c r="AC165" s="1548"/>
      <c r="AD165" s="1549"/>
      <c r="AE165" s="1178"/>
      <c r="AF165" s="1179"/>
      <c r="AG165" s="1171"/>
      <c r="AH165" s="104"/>
      <c r="AI165" s="1172"/>
      <c r="AJ165" s="1172"/>
      <c r="AK165" s="1172"/>
      <c r="AL165" s="1173"/>
      <c r="AM165" s="1174"/>
      <c r="AN165" s="1175"/>
      <c r="AO165" s="1176"/>
      <c r="AP165" s="1177"/>
      <c r="AQ165" s="1547"/>
      <c r="AR165" s="1177"/>
      <c r="AS165" s="1548"/>
      <c r="AT165" s="1549"/>
      <c r="AU165" s="1178"/>
      <c r="AV165" s="1179"/>
      <c r="AY165" s="3">
        <v>1</v>
      </c>
    </row>
    <row r="166" spans="2:51" ht="27" customHeight="1">
      <c r="B166" s="104"/>
      <c r="C166" s="1172"/>
      <c r="D166" s="1172"/>
      <c r="E166" s="1172"/>
      <c r="F166" s="1173"/>
      <c r="G166" s="1174"/>
      <c r="H166" s="1175"/>
      <c r="I166" s="1176"/>
      <c r="J166" s="1177"/>
      <c r="K166" s="1547"/>
      <c r="L166" s="1177"/>
      <c r="M166" s="1548"/>
      <c r="N166" s="1549"/>
      <c r="O166" s="1178"/>
      <c r="P166" s="1179"/>
      <c r="Q166" s="1171"/>
      <c r="R166" s="104"/>
      <c r="S166" s="1172"/>
      <c r="T166" s="1172"/>
      <c r="U166" s="1172"/>
      <c r="V166" s="1173"/>
      <c r="W166" s="1174"/>
      <c r="X166" s="1175"/>
      <c r="Y166" s="1176"/>
      <c r="Z166" s="1177"/>
      <c r="AA166" s="1547"/>
      <c r="AB166" s="1177"/>
      <c r="AC166" s="1548"/>
      <c r="AD166" s="1549"/>
      <c r="AE166" s="1178"/>
      <c r="AF166" s="1179"/>
      <c r="AG166" s="1171"/>
      <c r="AH166" s="104"/>
      <c r="AI166" s="1172"/>
      <c r="AJ166" s="1172"/>
      <c r="AK166" s="1172"/>
      <c r="AL166" s="1173"/>
      <c r="AM166" s="1174"/>
      <c r="AN166" s="1175"/>
      <c r="AO166" s="1176"/>
      <c r="AP166" s="1177"/>
      <c r="AQ166" s="1547"/>
      <c r="AR166" s="1177"/>
      <c r="AS166" s="1548"/>
      <c r="AT166" s="1549"/>
      <c r="AU166" s="1178"/>
      <c r="AV166" s="1179"/>
      <c r="AY166" s="3">
        <v>1</v>
      </c>
    </row>
    <row r="167" spans="2:51" ht="27" customHeight="1">
      <c r="B167" s="104"/>
      <c r="C167" s="1172"/>
      <c r="D167" s="1172"/>
      <c r="E167" s="1172"/>
      <c r="F167" s="1173"/>
      <c r="G167" s="1174"/>
      <c r="H167" s="1175"/>
      <c r="I167" s="1176"/>
      <c r="J167" s="1177"/>
      <c r="K167" s="1547"/>
      <c r="L167" s="1177"/>
      <c r="M167" s="1548"/>
      <c r="N167" s="1549"/>
      <c r="O167" s="1178"/>
      <c r="P167" s="1179"/>
      <c r="Q167" s="1171"/>
      <c r="R167" s="104"/>
      <c r="S167" s="1172"/>
      <c r="T167" s="1172"/>
      <c r="U167" s="1172"/>
      <c r="V167" s="1173"/>
      <c r="W167" s="1174"/>
      <c r="X167" s="1175"/>
      <c r="Y167" s="1176"/>
      <c r="Z167" s="1177"/>
      <c r="AA167" s="1547"/>
      <c r="AB167" s="1177"/>
      <c r="AC167" s="1548"/>
      <c r="AD167" s="1549"/>
      <c r="AE167" s="1178"/>
      <c r="AF167" s="1179"/>
      <c r="AG167" s="1171"/>
      <c r="AH167" s="104"/>
      <c r="AI167" s="1172"/>
      <c r="AJ167" s="1172"/>
      <c r="AK167" s="1172"/>
      <c r="AL167" s="1173"/>
      <c r="AM167" s="1174"/>
      <c r="AN167" s="1175"/>
      <c r="AO167" s="1176"/>
      <c r="AP167" s="1177"/>
      <c r="AQ167" s="1547"/>
      <c r="AR167" s="1177"/>
      <c r="AS167" s="1548"/>
      <c r="AT167" s="1549"/>
      <c r="AU167" s="1178"/>
      <c r="AV167" s="1179"/>
      <c r="AY167" s="3">
        <v>1</v>
      </c>
    </row>
    <row r="168" spans="2:51" ht="27" customHeight="1">
      <c r="B168" s="104"/>
      <c r="C168" s="1172"/>
      <c r="D168" s="1172"/>
      <c r="E168" s="1172"/>
      <c r="F168" s="1173"/>
      <c r="G168" s="1174"/>
      <c r="H168" s="1175"/>
      <c r="I168" s="1176"/>
      <c r="J168" s="1177"/>
      <c r="K168" s="1547"/>
      <c r="L168" s="1177"/>
      <c r="M168" s="1548"/>
      <c r="N168" s="1549"/>
      <c r="O168" s="1178"/>
      <c r="P168" s="1179"/>
      <c r="Q168" s="1171"/>
      <c r="R168" s="104"/>
      <c r="S168" s="1172"/>
      <c r="T168" s="1172"/>
      <c r="U168" s="1172"/>
      <c r="V168" s="1173"/>
      <c r="W168" s="1174"/>
      <c r="X168" s="1175"/>
      <c r="Y168" s="1176"/>
      <c r="Z168" s="1177"/>
      <c r="AA168" s="1547"/>
      <c r="AB168" s="1177"/>
      <c r="AC168" s="1548"/>
      <c r="AD168" s="1549"/>
      <c r="AE168" s="1178"/>
      <c r="AF168" s="1179"/>
      <c r="AG168" s="1171"/>
      <c r="AH168" s="104"/>
      <c r="AI168" s="1172"/>
      <c r="AJ168" s="1172"/>
      <c r="AK168" s="1172"/>
      <c r="AL168" s="1173"/>
      <c r="AM168" s="1174"/>
      <c r="AN168" s="1175"/>
      <c r="AO168" s="1176"/>
      <c r="AP168" s="1177"/>
      <c r="AQ168" s="1547"/>
      <c r="AR168" s="1177"/>
      <c r="AS168" s="1548"/>
      <c r="AT168" s="1549"/>
      <c r="AU168" s="1178"/>
      <c r="AV168" s="1179"/>
      <c r="AY168" s="3">
        <v>1</v>
      </c>
    </row>
    <row r="169" spans="2:51" ht="27" customHeight="1">
      <c r="B169" s="104"/>
      <c r="C169" s="1172"/>
      <c r="D169" s="1172"/>
      <c r="E169" s="1172"/>
      <c r="F169" s="1173"/>
      <c r="G169" s="1174"/>
      <c r="H169" s="1175"/>
      <c r="I169" s="1176"/>
      <c r="J169" s="1177"/>
      <c r="K169" s="1547"/>
      <c r="L169" s="1177"/>
      <c r="M169" s="1548"/>
      <c r="N169" s="1549"/>
      <c r="O169" s="1178"/>
      <c r="P169" s="1179"/>
      <c r="Q169" s="1171"/>
      <c r="R169" s="104"/>
      <c r="S169" s="1172"/>
      <c r="T169" s="1172"/>
      <c r="U169" s="1172"/>
      <c r="V169" s="1173"/>
      <c r="W169" s="1174"/>
      <c r="X169" s="1175"/>
      <c r="Y169" s="1176"/>
      <c r="Z169" s="1177"/>
      <c r="AA169" s="1547"/>
      <c r="AB169" s="1177"/>
      <c r="AC169" s="1548"/>
      <c r="AD169" s="1549"/>
      <c r="AE169" s="1178"/>
      <c r="AF169" s="1179"/>
      <c r="AG169" s="1171"/>
      <c r="AH169" s="104"/>
      <c r="AI169" s="1172"/>
      <c r="AJ169" s="1172"/>
      <c r="AK169" s="1172"/>
      <c r="AL169" s="1173"/>
      <c r="AM169" s="1174"/>
      <c r="AN169" s="1175"/>
      <c r="AO169" s="1176"/>
      <c r="AP169" s="1177"/>
      <c r="AQ169" s="1547"/>
      <c r="AR169" s="1177"/>
      <c r="AS169" s="1548"/>
      <c r="AT169" s="1549"/>
      <c r="AU169" s="1178"/>
      <c r="AV169" s="1179"/>
      <c r="AY169" s="3">
        <v>1</v>
      </c>
    </row>
    <row r="170" spans="2:51" ht="27" customHeight="1">
      <c r="B170" s="104"/>
      <c r="C170" s="1172"/>
      <c r="D170" s="1172"/>
      <c r="E170" s="1172"/>
      <c r="F170" s="1173"/>
      <c r="G170" s="1174"/>
      <c r="H170" s="1175"/>
      <c r="I170" s="1176"/>
      <c r="J170" s="1177"/>
      <c r="K170" s="1547"/>
      <c r="L170" s="1177"/>
      <c r="M170" s="1548"/>
      <c r="N170" s="1549"/>
      <c r="O170" s="1178"/>
      <c r="P170" s="1179"/>
      <c r="Q170" s="1171"/>
      <c r="R170" s="104"/>
      <c r="S170" s="1172"/>
      <c r="T170" s="1172"/>
      <c r="U170" s="1172"/>
      <c r="V170" s="1173"/>
      <c r="W170" s="1174"/>
      <c r="X170" s="1175"/>
      <c r="Y170" s="1176"/>
      <c r="Z170" s="1177"/>
      <c r="AA170" s="1547"/>
      <c r="AB170" s="1177"/>
      <c r="AC170" s="1548"/>
      <c r="AD170" s="1549"/>
      <c r="AE170" s="1178"/>
      <c r="AF170" s="1179"/>
      <c r="AG170" s="1171"/>
      <c r="AH170" s="104"/>
      <c r="AI170" s="1172"/>
      <c r="AJ170" s="1172"/>
      <c r="AK170" s="1172"/>
      <c r="AL170" s="1173"/>
      <c r="AM170" s="1174"/>
      <c r="AN170" s="1175"/>
      <c r="AO170" s="1176"/>
      <c r="AP170" s="1177"/>
      <c r="AQ170" s="1547"/>
      <c r="AR170" s="1177"/>
      <c r="AS170" s="1548"/>
      <c r="AT170" s="1549"/>
      <c r="AU170" s="1178"/>
      <c r="AV170" s="1179"/>
      <c r="AY170" s="3">
        <v>1</v>
      </c>
    </row>
    <row r="171" spans="2:51" ht="27" customHeight="1">
      <c r="B171" s="104"/>
      <c r="C171" s="1172"/>
      <c r="D171" s="1172"/>
      <c r="E171" s="1172"/>
      <c r="F171" s="1173"/>
      <c r="G171" s="1174"/>
      <c r="H171" s="1175"/>
      <c r="I171" s="1176"/>
      <c r="J171" s="1177"/>
      <c r="K171" s="1547"/>
      <c r="L171" s="1177"/>
      <c r="M171" s="1548"/>
      <c r="N171" s="1549"/>
      <c r="O171" s="1178"/>
      <c r="P171" s="1179"/>
      <c r="Q171" s="1171"/>
      <c r="R171" s="104"/>
      <c r="S171" s="1172"/>
      <c r="T171" s="1172"/>
      <c r="U171" s="1172"/>
      <c r="V171" s="1173"/>
      <c r="W171" s="1174"/>
      <c r="X171" s="1175"/>
      <c r="Y171" s="1176"/>
      <c r="Z171" s="1177"/>
      <c r="AA171" s="1547"/>
      <c r="AB171" s="1177"/>
      <c r="AC171" s="1548"/>
      <c r="AD171" s="1549"/>
      <c r="AE171" s="1178"/>
      <c r="AF171" s="1179"/>
      <c r="AG171" s="1171"/>
      <c r="AH171" s="104"/>
      <c r="AI171" s="1172"/>
      <c r="AJ171" s="1172"/>
      <c r="AK171" s="1172"/>
      <c r="AL171" s="1173"/>
      <c r="AM171" s="1174"/>
      <c r="AN171" s="1175"/>
      <c r="AO171" s="1176"/>
      <c r="AP171" s="1177"/>
      <c r="AQ171" s="1547"/>
      <c r="AR171" s="1177"/>
      <c r="AS171" s="1548"/>
      <c r="AT171" s="1549"/>
      <c r="AU171" s="1178"/>
      <c r="AV171" s="1179"/>
      <c r="AY171" s="3">
        <v>1</v>
      </c>
    </row>
    <row r="172" spans="2:51" ht="27" customHeight="1">
      <c r="B172" s="104"/>
      <c r="C172" s="1172"/>
      <c r="D172" s="1172"/>
      <c r="E172" s="1172"/>
      <c r="F172" s="1173"/>
      <c r="G172" s="1174"/>
      <c r="H172" s="1175"/>
      <c r="I172" s="1176"/>
      <c r="J172" s="1177"/>
      <c r="K172" s="1547"/>
      <c r="L172" s="1177"/>
      <c r="M172" s="1548"/>
      <c r="N172" s="1549"/>
      <c r="O172" s="1178"/>
      <c r="P172" s="1179"/>
      <c r="Q172" s="1171"/>
      <c r="R172" s="104"/>
      <c r="S172" s="1172"/>
      <c r="T172" s="1172"/>
      <c r="U172" s="1172"/>
      <c r="V172" s="1173"/>
      <c r="W172" s="1174"/>
      <c r="X172" s="1175"/>
      <c r="Y172" s="1176"/>
      <c r="Z172" s="1177"/>
      <c r="AA172" s="1547"/>
      <c r="AB172" s="1177"/>
      <c r="AC172" s="1548"/>
      <c r="AD172" s="1549"/>
      <c r="AE172" s="1178"/>
      <c r="AF172" s="1179"/>
      <c r="AG172" s="1171"/>
      <c r="AH172" s="104"/>
      <c r="AI172" s="1172"/>
      <c r="AJ172" s="1172"/>
      <c r="AK172" s="1172"/>
      <c r="AL172" s="1173"/>
      <c r="AM172" s="1174"/>
      <c r="AN172" s="1175"/>
      <c r="AO172" s="1176"/>
      <c r="AP172" s="1177"/>
      <c r="AQ172" s="1547"/>
      <c r="AR172" s="1177"/>
      <c r="AS172" s="1548"/>
      <c r="AT172" s="1549"/>
      <c r="AU172" s="1178"/>
      <c r="AV172" s="1179"/>
      <c r="AY172" s="3">
        <v>1</v>
      </c>
    </row>
    <row r="173" spans="2:51" ht="27" customHeight="1">
      <c r="B173" s="104"/>
      <c r="C173" s="1172"/>
      <c r="D173" s="1172"/>
      <c r="E173" s="1172"/>
      <c r="F173" s="1173"/>
      <c r="G173" s="1174"/>
      <c r="H173" s="1175"/>
      <c r="I173" s="1176"/>
      <c r="J173" s="1177"/>
      <c r="K173" s="1547"/>
      <c r="L173" s="1177"/>
      <c r="M173" s="1548"/>
      <c r="N173" s="1549"/>
      <c r="O173" s="1178"/>
      <c r="P173" s="1179"/>
      <c r="Q173" s="1171"/>
      <c r="R173" s="104"/>
      <c r="S173" s="1172"/>
      <c r="T173" s="1172"/>
      <c r="U173" s="1172"/>
      <c r="V173" s="1173"/>
      <c r="W173" s="1174"/>
      <c r="X173" s="1175"/>
      <c r="Y173" s="1176"/>
      <c r="Z173" s="1177"/>
      <c r="AA173" s="1547"/>
      <c r="AB173" s="1177"/>
      <c r="AC173" s="1548"/>
      <c r="AD173" s="1549"/>
      <c r="AE173" s="1178"/>
      <c r="AF173" s="1179"/>
      <c r="AG173" s="1171"/>
      <c r="AH173" s="104"/>
      <c r="AI173" s="1172"/>
      <c r="AJ173" s="1172"/>
      <c r="AK173" s="1172"/>
      <c r="AL173" s="1173"/>
      <c r="AM173" s="1174"/>
      <c r="AN173" s="1175"/>
      <c r="AO173" s="1176"/>
      <c r="AP173" s="1177"/>
      <c r="AQ173" s="1547"/>
      <c r="AR173" s="1177"/>
      <c r="AS173" s="1548"/>
      <c r="AT173" s="1549"/>
      <c r="AU173" s="1178"/>
      <c r="AV173" s="1179"/>
      <c r="AY173" s="3">
        <v>1</v>
      </c>
    </row>
    <row r="174" spans="2:51" ht="27" customHeight="1">
      <c r="B174" s="104"/>
      <c r="C174" s="1172"/>
      <c r="D174" s="1172"/>
      <c r="E174" s="1172"/>
      <c r="F174" s="1173"/>
      <c r="G174" s="1174"/>
      <c r="H174" s="1175"/>
      <c r="I174" s="1176"/>
      <c r="J174" s="1177"/>
      <c r="K174" s="1547"/>
      <c r="L174" s="1177"/>
      <c r="M174" s="1548"/>
      <c r="N174" s="1549"/>
      <c r="O174" s="1178"/>
      <c r="P174" s="1179"/>
      <c r="Q174" s="1171"/>
      <c r="R174" s="104"/>
      <c r="S174" s="1172"/>
      <c r="T174" s="1172"/>
      <c r="U174" s="1172"/>
      <c r="V174" s="1173"/>
      <c r="W174" s="1174"/>
      <c r="X174" s="1175"/>
      <c r="Y174" s="1176"/>
      <c r="Z174" s="1177"/>
      <c r="AA174" s="1547"/>
      <c r="AB174" s="1177"/>
      <c r="AC174" s="1548"/>
      <c r="AD174" s="1549"/>
      <c r="AE174" s="1178"/>
      <c r="AF174" s="1179"/>
      <c r="AG174" s="1171"/>
      <c r="AH174" s="104"/>
      <c r="AI174" s="1172"/>
      <c r="AJ174" s="1172"/>
      <c r="AK174" s="1172"/>
      <c r="AL174" s="1173"/>
      <c r="AM174" s="1174"/>
      <c r="AN174" s="1175"/>
      <c r="AO174" s="1176"/>
      <c r="AP174" s="1177"/>
      <c r="AQ174" s="1547"/>
      <c r="AR174" s="1177"/>
      <c r="AS174" s="1548"/>
      <c r="AT174" s="1549"/>
      <c r="AU174" s="1178"/>
      <c r="AV174" s="1179"/>
      <c r="AY174" s="3">
        <v>1</v>
      </c>
    </row>
    <row r="175" spans="2:51" ht="27" customHeight="1">
      <c r="B175" s="104"/>
      <c r="C175" s="1172"/>
      <c r="D175" s="1172"/>
      <c r="E175" s="1172"/>
      <c r="F175" s="1173"/>
      <c r="G175" s="1174"/>
      <c r="H175" s="1175"/>
      <c r="I175" s="1176"/>
      <c r="J175" s="1177"/>
      <c r="K175" s="1547"/>
      <c r="L175" s="1177"/>
      <c r="M175" s="1548"/>
      <c r="N175" s="1549"/>
      <c r="O175" s="1178"/>
      <c r="P175" s="1179"/>
      <c r="Q175" s="1171"/>
      <c r="R175" s="104"/>
      <c r="S175" s="1172"/>
      <c r="T175" s="1172"/>
      <c r="U175" s="1172"/>
      <c r="V175" s="1173"/>
      <c r="W175" s="1174"/>
      <c r="X175" s="1175"/>
      <c r="Y175" s="1176"/>
      <c r="Z175" s="1177"/>
      <c r="AA175" s="1547"/>
      <c r="AB175" s="1177"/>
      <c r="AC175" s="1548"/>
      <c r="AD175" s="1549"/>
      <c r="AE175" s="1178"/>
      <c r="AF175" s="1179"/>
      <c r="AG175" s="1171"/>
      <c r="AH175" s="104"/>
      <c r="AI175" s="1172"/>
      <c r="AJ175" s="1172"/>
      <c r="AK175" s="1172"/>
      <c r="AL175" s="1173"/>
      <c r="AM175" s="1174"/>
      <c r="AN175" s="1175"/>
      <c r="AO175" s="1176"/>
      <c r="AP175" s="1177"/>
      <c r="AQ175" s="1547"/>
      <c r="AR175" s="1177"/>
      <c r="AS175" s="1548"/>
      <c r="AT175" s="1549"/>
      <c r="AU175" s="1178"/>
      <c r="AV175" s="1179"/>
      <c r="AY175" s="3">
        <v>1</v>
      </c>
    </row>
    <row r="176" spans="2:51" ht="27" customHeight="1">
      <c r="B176" s="104"/>
      <c r="C176" s="1172"/>
      <c r="D176" s="1172"/>
      <c r="E176" s="1172"/>
      <c r="F176" s="1173"/>
      <c r="G176" s="1174"/>
      <c r="H176" s="1175"/>
      <c r="I176" s="1176"/>
      <c r="J176" s="1177"/>
      <c r="K176" s="1547"/>
      <c r="L176" s="1177"/>
      <c r="M176" s="1548"/>
      <c r="N176" s="1549"/>
      <c r="O176" s="1178"/>
      <c r="P176" s="1179"/>
      <c r="Q176" s="1171"/>
      <c r="R176" s="104"/>
      <c r="S176" s="1172"/>
      <c r="T176" s="1172"/>
      <c r="U176" s="1172"/>
      <c r="V176" s="1173"/>
      <c r="W176" s="1174"/>
      <c r="X176" s="1175"/>
      <c r="Y176" s="1176"/>
      <c r="Z176" s="1177"/>
      <c r="AA176" s="1547"/>
      <c r="AB176" s="1177"/>
      <c r="AC176" s="1548"/>
      <c r="AD176" s="1549"/>
      <c r="AE176" s="1178"/>
      <c r="AF176" s="1179"/>
      <c r="AG176" s="1171"/>
      <c r="AH176" s="104"/>
      <c r="AI176" s="1172"/>
      <c r="AJ176" s="1172"/>
      <c r="AK176" s="1172"/>
      <c r="AL176" s="1173"/>
      <c r="AM176" s="1174"/>
      <c r="AN176" s="1175"/>
      <c r="AO176" s="1176"/>
      <c r="AP176" s="1177"/>
      <c r="AQ176" s="1547"/>
      <c r="AR176" s="1177"/>
      <c r="AS176" s="1548"/>
      <c r="AT176" s="1549"/>
      <c r="AU176" s="1178"/>
      <c r="AV176" s="1179"/>
      <c r="AY176" s="3">
        <v>1</v>
      </c>
    </row>
    <row r="177" spans="2:51" ht="27" customHeight="1">
      <c r="B177" s="104"/>
      <c r="C177" s="1172"/>
      <c r="D177" s="1172"/>
      <c r="E177" s="1172"/>
      <c r="F177" s="1173"/>
      <c r="G177" s="1174"/>
      <c r="H177" s="1175"/>
      <c r="I177" s="1176"/>
      <c r="J177" s="1177"/>
      <c r="K177" s="1547"/>
      <c r="L177" s="1177"/>
      <c r="M177" s="1548"/>
      <c r="N177" s="1549"/>
      <c r="O177" s="1178"/>
      <c r="P177" s="1179"/>
      <c r="Q177" s="1171"/>
      <c r="R177" s="104"/>
      <c r="S177" s="1172"/>
      <c r="T177" s="1172"/>
      <c r="U177" s="1172"/>
      <c r="V177" s="1173"/>
      <c r="W177" s="1174"/>
      <c r="X177" s="1175"/>
      <c r="Y177" s="1176"/>
      <c r="Z177" s="1177"/>
      <c r="AA177" s="1547"/>
      <c r="AB177" s="1177"/>
      <c r="AC177" s="1548"/>
      <c r="AD177" s="1549"/>
      <c r="AE177" s="1178"/>
      <c r="AF177" s="1179"/>
      <c r="AG177" s="1171"/>
      <c r="AH177" s="104"/>
      <c r="AI177" s="1172"/>
      <c r="AJ177" s="1172"/>
      <c r="AK177" s="1172"/>
      <c r="AL177" s="1173"/>
      <c r="AM177" s="1174"/>
      <c r="AN177" s="1175"/>
      <c r="AO177" s="1176"/>
      <c r="AP177" s="1177"/>
      <c r="AQ177" s="1547"/>
      <c r="AR177" s="1177"/>
      <c r="AS177" s="1548"/>
      <c r="AT177" s="1549"/>
      <c r="AU177" s="1178"/>
      <c r="AV177" s="1179"/>
      <c r="AY177" s="3">
        <v>1</v>
      </c>
    </row>
    <row r="178" spans="2:51" ht="27" customHeight="1">
      <c r="B178" s="104"/>
      <c r="C178" s="1172"/>
      <c r="D178" s="1172"/>
      <c r="E178" s="1172"/>
      <c r="F178" s="1173"/>
      <c r="G178" s="1174"/>
      <c r="H178" s="1175"/>
      <c r="I178" s="1176"/>
      <c r="J178" s="1177"/>
      <c r="K178" s="1547"/>
      <c r="L178" s="1177"/>
      <c r="M178" s="1548"/>
      <c r="N178" s="1549"/>
      <c r="O178" s="1178"/>
      <c r="P178" s="1179"/>
      <c r="Q178" s="1171"/>
      <c r="R178" s="104"/>
      <c r="S178" s="1172"/>
      <c r="T178" s="1172"/>
      <c r="U178" s="1172"/>
      <c r="V178" s="1173"/>
      <c r="W178" s="1174"/>
      <c r="X178" s="1175"/>
      <c r="Y178" s="1176"/>
      <c r="Z178" s="1177"/>
      <c r="AA178" s="1547"/>
      <c r="AB178" s="1177"/>
      <c r="AC178" s="1548"/>
      <c r="AD178" s="1549"/>
      <c r="AE178" s="1178"/>
      <c r="AF178" s="1179"/>
      <c r="AG178" s="1171"/>
      <c r="AH178" s="104"/>
      <c r="AI178" s="1172"/>
      <c r="AJ178" s="1172"/>
      <c r="AK178" s="1172"/>
      <c r="AL178" s="1173"/>
      <c r="AM178" s="1174"/>
      <c r="AN178" s="1175"/>
      <c r="AO178" s="1176"/>
      <c r="AP178" s="1177"/>
      <c r="AQ178" s="1547"/>
      <c r="AR178" s="1177"/>
      <c r="AS178" s="1548"/>
      <c r="AT178" s="1549"/>
      <c r="AU178" s="1178"/>
      <c r="AV178" s="1179"/>
      <c r="AY178" s="3">
        <v>1</v>
      </c>
    </row>
    <row r="179" spans="2:51" ht="27" customHeight="1">
      <c r="B179" s="104"/>
      <c r="C179" s="1172"/>
      <c r="D179" s="1172"/>
      <c r="E179" s="1172"/>
      <c r="F179" s="1173"/>
      <c r="G179" s="1174"/>
      <c r="H179" s="1175"/>
      <c r="I179" s="1176"/>
      <c r="J179" s="1177"/>
      <c r="K179" s="1547"/>
      <c r="L179" s="1177"/>
      <c r="M179" s="1548"/>
      <c r="N179" s="1549"/>
      <c r="O179" s="1178"/>
      <c r="P179" s="1179"/>
      <c r="Q179" s="1171"/>
      <c r="R179" s="104"/>
      <c r="S179" s="1172"/>
      <c r="T179" s="1172"/>
      <c r="U179" s="1172"/>
      <c r="V179" s="1173"/>
      <c r="W179" s="1174"/>
      <c r="X179" s="1175"/>
      <c r="Y179" s="1176"/>
      <c r="Z179" s="1177"/>
      <c r="AA179" s="1547"/>
      <c r="AB179" s="1177"/>
      <c r="AC179" s="1548"/>
      <c r="AD179" s="1549"/>
      <c r="AE179" s="1178"/>
      <c r="AF179" s="1179"/>
      <c r="AG179" s="1171"/>
      <c r="AH179" s="104"/>
      <c r="AI179" s="1172"/>
      <c r="AJ179" s="1172"/>
      <c r="AK179" s="1172"/>
      <c r="AL179" s="1173"/>
      <c r="AM179" s="1174"/>
      <c r="AN179" s="1175"/>
      <c r="AO179" s="1176"/>
      <c r="AP179" s="1177"/>
      <c r="AQ179" s="1547"/>
      <c r="AR179" s="1177"/>
      <c r="AS179" s="1548"/>
      <c r="AT179" s="1549"/>
      <c r="AU179" s="1178"/>
      <c r="AV179" s="1179"/>
      <c r="AY179" s="3">
        <v>1</v>
      </c>
    </row>
    <row r="180" spans="2:51" ht="27" customHeight="1">
      <c r="B180" s="104"/>
      <c r="C180" s="1172"/>
      <c r="D180" s="1172"/>
      <c r="E180" s="1172"/>
      <c r="F180" s="1173"/>
      <c r="G180" s="1174"/>
      <c r="H180" s="1175"/>
      <c r="I180" s="1176"/>
      <c r="J180" s="1177"/>
      <c r="K180" s="1547"/>
      <c r="L180" s="1177"/>
      <c r="M180" s="1548"/>
      <c r="N180" s="1549"/>
      <c r="O180" s="1178"/>
      <c r="P180" s="1179"/>
      <c r="Q180" s="1171"/>
      <c r="R180" s="104"/>
      <c r="S180" s="1172"/>
      <c r="T180" s="1172"/>
      <c r="U180" s="1172"/>
      <c r="V180" s="1173"/>
      <c r="W180" s="1174"/>
      <c r="X180" s="1175"/>
      <c r="Y180" s="1176"/>
      <c r="Z180" s="1177"/>
      <c r="AA180" s="1547"/>
      <c r="AB180" s="1177"/>
      <c r="AC180" s="1548"/>
      <c r="AD180" s="1549"/>
      <c r="AE180" s="1178"/>
      <c r="AF180" s="1179"/>
      <c r="AG180" s="1171"/>
      <c r="AH180" s="104"/>
      <c r="AI180" s="1172"/>
      <c r="AJ180" s="1172"/>
      <c r="AK180" s="1172"/>
      <c r="AL180" s="1173"/>
      <c r="AM180" s="1174"/>
      <c r="AN180" s="1175"/>
      <c r="AO180" s="1176"/>
      <c r="AP180" s="1177"/>
      <c r="AQ180" s="1547"/>
      <c r="AR180" s="1177"/>
      <c r="AS180" s="1548"/>
      <c r="AT180" s="1549"/>
      <c r="AU180" s="1178"/>
      <c r="AV180" s="1179"/>
      <c r="AY180" s="3">
        <v>1</v>
      </c>
    </row>
    <row r="181" spans="2:51" ht="27" customHeight="1">
      <c r="B181" s="104"/>
      <c r="C181" s="1172"/>
      <c r="D181" s="1172"/>
      <c r="E181" s="1172"/>
      <c r="F181" s="1173"/>
      <c r="G181" s="1174"/>
      <c r="H181" s="1175"/>
      <c r="I181" s="1176"/>
      <c r="J181" s="1177"/>
      <c r="K181" s="1547"/>
      <c r="L181" s="1177"/>
      <c r="M181" s="1548"/>
      <c r="N181" s="1549"/>
      <c r="O181" s="1178"/>
      <c r="P181" s="1179"/>
      <c r="Q181" s="1171"/>
      <c r="R181" s="104"/>
      <c r="S181" s="1172"/>
      <c r="T181" s="1172"/>
      <c r="U181" s="1172"/>
      <c r="V181" s="1173"/>
      <c r="W181" s="1174"/>
      <c r="X181" s="1175"/>
      <c r="Y181" s="1176"/>
      <c r="Z181" s="1177"/>
      <c r="AA181" s="1547"/>
      <c r="AB181" s="1177"/>
      <c r="AC181" s="1548"/>
      <c r="AD181" s="1549"/>
      <c r="AE181" s="1178"/>
      <c r="AF181" s="1179"/>
      <c r="AG181" s="1171"/>
      <c r="AH181" s="104"/>
      <c r="AI181" s="1172"/>
      <c r="AJ181" s="1172"/>
      <c r="AK181" s="1172"/>
      <c r="AL181" s="1173"/>
      <c r="AM181" s="1174"/>
      <c r="AN181" s="1175"/>
      <c r="AO181" s="1176"/>
      <c r="AP181" s="1177"/>
      <c r="AQ181" s="1547"/>
      <c r="AR181" s="1177"/>
      <c r="AS181" s="1548"/>
      <c r="AT181" s="1549"/>
      <c r="AU181" s="1178"/>
      <c r="AV181" s="1179"/>
      <c r="AY181" s="3">
        <v>1</v>
      </c>
    </row>
    <row r="182" spans="2:51" ht="27" customHeight="1">
      <c r="B182" s="104"/>
      <c r="C182" s="1172"/>
      <c r="D182" s="1172"/>
      <c r="E182" s="1172"/>
      <c r="F182" s="1173"/>
      <c r="G182" s="1174"/>
      <c r="H182" s="1175"/>
      <c r="I182" s="1176"/>
      <c r="J182" s="1177"/>
      <c r="K182" s="1547"/>
      <c r="L182" s="1177"/>
      <c r="M182" s="1548"/>
      <c r="N182" s="1549"/>
      <c r="O182" s="1178"/>
      <c r="P182" s="1179"/>
      <c r="Q182" s="1171"/>
      <c r="R182" s="104"/>
      <c r="S182" s="1172"/>
      <c r="T182" s="1172"/>
      <c r="U182" s="1172"/>
      <c r="V182" s="1173"/>
      <c r="W182" s="1174"/>
      <c r="X182" s="1175"/>
      <c r="Y182" s="1176"/>
      <c r="Z182" s="1177"/>
      <c r="AA182" s="1547"/>
      <c r="AB182" s="1177"/>
      <c r="AC182" s="1548"/>
      <c r="AD182" s="1549"/>
      <c r="AE182" s="1178"/>
      <c r="AF182" s="1179"/>
      <c r="AG182" s="1171"/>
      <c r="AH182" s="104"/>
      <c r="AI182" s="1172"/>
      <c r="AJ182" s="1172"/>
      <c r="AK182" s="1172"/>
      <c r="AL182" s="1173"/>
      <c r="AM182" s="1174"/>
      <c r="AN182" s="1175"/>
      <c r="AO182" s="1176"/>
      <c r="AP182" s="1177"/>
      <c r="AQ182" s="1547"/>
      <c r="AR182" s="1177"/>
      <c r="AS182" s="1548"/>
      <c r="AT182" s="1549"/>
      <c r="AU182" s="1178"/>
      <c r="AV182" s="1179"/>
      <c r="AY182" s="3">
        <v>1</v>
      </c>
    </row>
    <row r="183" spans="2:51" ht="27" customHeight="1">
      <c r="B183" s="104"/>
      <c r="C183" s="1172"/>
      <c r="D183" s="1172"/>
      <c r="E183" s="1172"/>
      <c r="F183" s="1173"/>
      <c r="G183" s="1174"/>
      <c r="H183" s="1175"/>
      <c r="I183" s="1176"/>
      <c r="J183" s="1177"/>
      <c r="K183" s="1547"/>
      <c r="L183" s="1177"/>
      <c r="M183" s="1548"/>
      <c r="N183" s="1549"/>
      <c r="O183" s="1178"/>
      <c r="P183" s="1179"/>
      <c r="Q183" s="1171"/>
      <c r="R183" s="104"/>
      <c r="S183" s="1172"/>
      <c r="T183" s="1172"/>
      <c r="U183" s="1172"/>
      <c r="V183" s="1173"/>
      <c r="W183" s="1174"/>
      <c r="X183" s="1175"/>
      <c r="Y183" s="1176"/>
      <c r="Z183" s="1177"/>
      <c r="AA183" s="1547"/>
      <c r="AB183" s="1177"/>
      <c r="AC183" s="1548"/>
      <c r="AD183" s="1549"/>
      <c r="AE183" s="1178"/>
      <c r="AF183" s="1179"/>
      <c r="AG183" s="1171"/>
      <c r="AH183" s="104"/>
      <c r="AI183" s="1172"/>
      <c r="AJ183" s="1172"/>
      <c r="AK183" s="1172"/>
      <c r="AL183" s="1173"/>
      <c r="AM183" s="1174"/>
      <c r="AN183" s="1175"/>
      <c r="AO183" s="1176"/>
      <c r="AP183" s="1177"/>
      <c r="AQ183" s="1547"/>
      <c r="AR183" s="1177"/>
      <c r="AS183" s="1548"/>
      <c r="AT183" s="1549"/>
      <c r="AU183" s="1178"/>
      <c r="AV183" s="1179"/>
      <c r="AY183" s="3">
        <v>1</v>
      </c>
    </row>
    <row r="184" spans="2:51" ht="27" customHeight="1">
      <c r="B184" s="104"/>
      <c r="C184" s="1172"/>
      <c r="D184" s="1172"/>
      <c r="E184" s="1172"/>
      <c r="F184" s="1173"/>
      <c r="G184" s="1174"/>
      <c r="H184" s="1175"/>
      <c r="I184" s="1176"/>
      <c r="J184" s="1177"/>
      <c r="K184" s="1547"/>
      <c r="L184" s="1177"/>
      <c r="M184" s="1548"/>
      <c r="N184" s="1549"/>
      <c r="O184" s="1178"/>
      <c r="P184" s="1179"/>
      <c r="Q184" s="1171"/>
      <c r="R184" s="104"/>
      <c r="S184" s="1172"/>
      <c r="T184" s="1172"/>
      <c r="U184" s="1172"/>
      <c r="V184" s="1173"/>
      <c r="W184" s="1174"/>
      <c r="X184" s="1175"/>
      <c r="Y184" s="1176"/>
      <c r="Z184" s="1177"/>
      <c r="AA184" s="1547"/>
      <c r="AB184" s="1177"/>
      <c r="AC184" s="1548"/>
      <c r="AD184" s="1549"/>
      <c r="AE184" s="1178"/>
      <c r="AF184" s="1179"/>
      <c r="AG184" s="1171"/>
      <c r="AH184" s="104"/>
      <c r="AI184" s="1172"/>
      <c r="AJ184" s="1172"/>
      <c r="AK184" s="1172"/>
      <c r="AL184" s="1173"/>
      <c r="AM184" s="1174"/>
      <c r="AN184" s="1175"/>
      <c r="AO184" s="1176"/>
      <c r="AP184" s="1177"/>
      <c r="AQ184" s="1547"/>
      <c r="AR184" s="1177"/>
      <c r="AS184" s="1548"/>
      <c r="AT184" s="1549"/>
      <c r="AU184" s="1178"/>
      <c r="AV184" s="1179"/>
      <c r="AY184" s="3">
        <v>1</v>
      </c>
    </row>
    <row r="185" spans="2:51" ht="27" customHeight="1">
      <c r="B185" s="104"/>
      <c r="C185" s="1172"/>
      <c r="D185" s="1172"/>
      <c r="E185" s="1172"/>
      <c r="F185" s="1173"/>
      <c r="G185" s="1174"/>
      <c r="H185" s="1175"/>
      <c r="I185" s="1176"/>
      <c r="J185" s="1177"/>
      <c r="K185" s="1547"/>
      <c r="L185" s="1177"/>
      <c r="M185" s="1548"/>
      <c r="N185" s="1549"/>
      <c r="O185" s="1178"/>
      <c r="P185" s="1179"/>
      <c r="Q185" s="1171"/>
      <c r="R185" s="104"/>
      <c r="S185" s="1172"/>
      <c r="T185" s="1172"/>
      <c r="U185" s="1172"/>
      <c r="V185" s="1173"/>
      <c r="W185" s="1174"/>
      <c r="X185" s="1175"/>
      <c r="Y185" s="1176"/>
      <c r="Z185" s="1177"/>
      <c r="AA185" s="1547"/>
      <c r="AB185" s="1177"/>
      <c r="AC185" s="1548"/>
      <c r="AD185" s="1549"/>
      <c r="AE185" s="1178"/>
      <c r="AF185" s="1179"/>
      <c r="AG185" s="1171"/>
      <c r="AH185" s="104"/>
      <c r="AI185" s="1172"/>
      <c r="AJ185" s="1172"/>
      <c r="AK185" s="1172"/>
      <c r="AL185" s="1173"/>
      <c r="AM185" s="1174"/>
      <c r="AN185" s="1175"/>
      <c r="AO185" s="1176"/>
      <c r="AP185" s="1177"/>
      <c r="AQ185" s="1547"/>
      <c r="AR185" s="1177"/>
      <c r="AS185" s="1548"/>
      <c r="AT185" s="1549"/>
      <c r="AU185" s="1178"/>
      <c r="AV185" s="1179"/>
      <c r="AY185" s="3">
        <v>1</v>
      </c>
    </row>
    <row r="186" spans="2:51" ht="27" customHeight="1">
      <c r="B186" s="104"/>
      <c r="C186" s="1172"/>
      <c r="D186" s="1172"/>
      <c r="E186" s="1172"/>
      <c r="F186" s="1173"/>
      <c r="G186" s="1174"/>
      <c r="H186" s="1175"/>
      <c r="I186" s="1176"/>
      <c r="J186" s="1177"/>
      <c r="K186" s="1547"/>
      <c r="L186" s="1177"/>
      <c r="M186" s="1548"/>
      <c r="N186" s="1549"/>
      <c r="O186" s="1178"/>
      <c r="P186" s="1179"/>
      <c r="Q186" s="1171"/>
      <c r="R186" s="104"/>
      <c r="S186" s="1172"/>
      <c r="T186" s="1172"/>
      <c r="U186" s="1172"/>
      <c r="V186" s="1173"/>
      <c r="W186" s="1174"/>
      <c r="X186" s="1175"/>
      <c r="Y186" s="1176"/>
      <c r="Z186" s="1177"/>
      <c r="AA186" s="1547"/>
      <c r="AB186" s="1177"/>
      <c r="AC186" s="1548"/>
      <c r="AD186" s="1549"/>
      <c r="AE186" s="1178"/>
      <c r="AF186" s="1179"/>
      <c r="AG186" s="1171"/>
      <c r="AH186" s="104"/>
      <c r="AI186" s="1172"/>
      <c r="AJ186" s="1172"/>
      <c r="AK186" s="1172"/>
      <c r="AL186" s="1173"/>
      <c r="AM186" s="1174"/>
      <c r="AN186" s="1175"/>
      <c r="AO186" s="1176"/>
      <c r="AP186" s="1177"/>
      <c r="AQ186" s="1547"/>
      <c r="AR186" s="1177"/>
      <c r="AS186" s="1548"/>
      <c r="AT186" s="1549"/>
      <c r="AU186" s="1178"/>
      <c r="AV186" s="1179"/>
      <c r="AY186" s="3">
        <v>1</v>
      </c>
    </row>
    <row r="187" spans="2:51" ht="27" customHeight="1">
      <c r="B187" s="104"/>
      <c r="C187" s="1172"/>
      <c r="D187" s="1172"/>
      <c r="E187" s="1172"/>
      <c r="F187" s="1173"/>
      <c r="G187" s="1174"/>
      <c r="H187" s="1175"/>
      <c r="I187" s="1176"/>
      <c r="J187" s="1177"/>
      <c r="K187" s="1547"/>
      <c r="L187" s="1177"/>
      <c r="M187" s="1548"/>
      <c r="N187" s="1549"/>
      <c r="O187" s="1178"/>
      <c r="P187" s="1179"/>
      <c r="Q187" s="1171"/>
      <c r="R187" s="104"/>
      <c r="S187" s="1172"/>
      <c r="T187" s="1172"/>
      <c r="U187" s="1172"/>
      <c r="V187" s="1173"/>
      <c r="W187" s="1174"/>
      <c r="X187" s="1175"/>
      <c r="Y187" s="1176"/>
      <c r="Z187" s="1177"/>
      <c r="AA187" s="1547"/>
      <c r="AB187" s="1177"/>
      <c r="AC187" s="1548"/>
      <c r="AD187" s="1549"/>
      <c r="AE187" s="1178"/>
      <c r="AF187" s="1179"/>
      <c r="AG187" s="1171"/>
      <c r="AH187" s="104"/>
      <c r="AI187" s="1172"/>
      <c r="AJ187" s="1172"/>
      <c r="AK187" s="1172"/>
      <c r="AL187" s="1173"/>
      <c r="AM187" s="1174"/>
      <c r="AN187" s="1175"/>
      <c r="AO187" s="1176"/>
      <c r="AP187" s="1177"/>
      <c r="AQ187" s="1547"/>
      <c r="AR187" s="1177"/>
      <c r="AS187" s="1548"/>
      <c r="AT187" s="1549"/>
      <c r="AU187" s="1178"/>
      <c r="AV187" s="1179"/>
      <c r="AY187" s="3">
        <v>1</v>
      </c>
    </row>
    <row r="188" spans="2:51" ht="27" customHeight="1">
      <c r="B188" s="104"/>
      <c r="C188" s="1172"/>
      <c r="D188" s="1172"/>
      <c r="E188" s="1172"/>
      <c r="F188" s="1173"/>
      <c r="G188" s="1174"/>
      <c r="H188" s="1175"/>
      <c r="I188" s="1176"/>
      <c r="J188" s="1177"/>
      <c r="K188" s="1547"/>
      <c r="L188" s="1177"/>
      <c r="M188" s="1548"/>
      <c r="N188" s="1549"/>
      <c r="O188" s="1178"/>
      <c r="P188" s="1179"/>
      <c r="Q188" s="1171"/>
      <c r="R188" s="104"/>
      <c r="S188" s="1172"/>
      <c r="T188" s="1172"/>
      <c r="U188" s="1172"/>
      <c r="V188" s="1173"/>
      <c r="W188" s="1174"/>
      <c r="X188" s="1175"/>
      <c r="Y188" s="1176"/>
      <c r="Z188" s="1177"/>
      <c r="AA188" s="1547"/>
      <c r="AB188" s="1177"/>
      <c r="AC188" s="1548"/>
      <c r="AD188" s="1549"/>
      <c r="AE188" s="1178"/>
      <c r="AF188" s="1179"/>
      <c r="AG188" s="1171"/>
      <c r="AH188" s="104"/>
      <c r="AI188" s="1172"/>
      <c r="AJ188" s="1172"/>
      <c r="AK188" s="1172"/>
      <c r="AL188" s="1173"/>
      <c r="AM188" s="1174"/>
      <c r="AN188" s="1175"/>
      <c r="AO188" s="1176"/>
      <c r="AP188" s="1177"/>
      <c r="AQ188" s="1547"/>
      <c r="AR188" s="1177"/>
      <c r="AS188" s="1548"/>
      <c r="AT188" s="1549"/>
      <c r="AU188" s="1178"/>
      <c r="AV188" s="1179"/>
      <c r="AY188" s="3">
        <v>1</v>
      </c>
    </row>
    <row r="189" spans="2:51" ht="27" customHeight="1">
      <c r="B189" s="104"/>
      <c r="C189" s="1172"/>
      <c r="D189" s="1172"/>
      <c r="E189" s="1172"/>
      <c r="F189" s="1173"/>
      <c r="G189" s="1174"/>
      <c r="H189" s="1175"/>
      <c r="I189" s="1176"/>
      <c r="J189" s="1177"/>
      <c r="K189" s="1547"/>
      <c r="L189" s="1177"/>
      <c r="M189" s="1548"/>
      <c r="N189" s="1549"/>
      <c r="O189" s="1178"/>
      <c r="P189" s="1179"/>
      <c r="Q189" s="1171"/>
      <c r="R189" s="104"/>
      <c r="S189" s="1172"/>
      <c r="T189" s="1172"/>
      <c r="U189" s="1172"/>
      <c r="V189" s="1173"/>
      <c r="W189" s="1174"/>
      <c r="X189" s="1175"/>
      <c r="Y189" s="1176"/>
      <c r="Z189" s="1177"/>
      <c r="AA189" s="1547"/>
      <c r="AB189" s="1177"/>
      <c r="AC189" s="1548"/>
      <c r="AD189" s="1549"/>
      <c r="AE189" s="1178"/>
      <c r="AF189" s="1179"/>
      <c r="AG189" s="1171"/>
      <c r="AH189" s="104"/>
      <c r="AI189" s="1172"/>
      <c r="AJ189" s="1172"/>
      <c r="AK189" s="1172"/>
      <c r="AL189" s="1173"/>
      <c r="AM189" s="1174"/>
      <c r="AN189" s="1175"/>
      <c r="AO189" s="1176"/>
      <c r="AP189" s="1177"/>
      <c r="AQ189" s="1547"/>
      <c r="AR189" s="1177"/>
      <c r="AS189" s="1548"/>
      <c r="AT189" s="1549"/>
      <c r="AU189" s="1178"/>
      <c r="AV189" s="1179"/>
      <c r="AY189" s="3">
        <v>1</v>
      </c>
    </row>
    <row r="190" spans="2:51" ht="27" customHeight="1">
      <c r="B190" s="104"/>
      <c r="C190" s="1172"/>
      <c r="D190" s="1172"/>
      <c r="E190" s="1172"/>
      <c r="F190" s="1173"/>
      <c r="G190" s="1174"/>
      <c r="H190" s="1175"/>
      <c r="I190" s="1176"/>
      <c r="J190" s="1177"/>
      <c r="K190" s="1547"/>
      <c r="L190" s="1177"/>
      <c r="M190" s="1548"/>
      <c r="N190" s="1549"/>
      <c r="O190" s="1178"/>
      <c r="P190" s="1179"/>
      <c r="Q190" s="1171"/>
      <c r="R190" s="104"/>
      <c r="S190" s="1172"/>
      <c r="T190" s="1172"/>
      <c r="U190" s="1172"/>
      <c r="V190" s="1173"/>
      <c r="W190" s="1174"/>
      <c r="X190" s="1175"/>
      <c r="Y190" s="1176"/>
      <c r="Z190" s="1177"/>
      <c r="AA190" s="1547"/>
      <c r="AB190" s="1177"/>
      <c r="AC190" s="1548"/>
      <c r="AD190" s="1549"/>
      <c r="AE190" s="1178"/>
      <c r="AF190" s="1179"/>
      <c r="AG190" s="1171"/>
      <c r="AH190" s="104"/>
      <c r="AI190" s="1172"/>
      <c r="AJ190" s="1172"/>
      <c r="AK190" s="1172"/>
      <c r="AL190" s="1173"/>
      <c r="AM190" s="1174"/>
      <c r="AN190" s="1175"/>
      <c r="AO190" s="1176"/>
      <c r="AP190" s="1177"/>
      <c r="AQ190" s="1547"/>
      <c r="AR190" s="1177"/>
      <c r="AS190" s="1548"/>
      <c r="AT190" s="1549"/>
      <c r="AU190" s="1178"/>
      <c r="AV190" s="1179"/>
      <c r="AY190" s="3">
        <v>1</v>
      </c>
    </row>
    <row r="191" spans="2:51" ht="27" customHeight="1">
      <c r="B191" s="104"/>
      <c r="C191" s="1172"/>
      <c r="D191" s="1172"/>
      <c r="E191" s="1172"/>
      <c r="F191" s="1173"/>
      <c r="G191" s="1174"/>
      <c r="H191" s="1175"/>
      <c r="I191" s="1176"/>
      <c r="J191" s="1177"/>
      <c r="K191" s="1547"/>
      <c r="L191" s="1177"/>
      <c r="M191" s="1548"/>
      <c r="N191" s="1549"/>
      <c r="O191" s="1178"/>
      <c r="P191" s="1179"/>
      <c r="Q191" s="1171"/>
      <c r="R191" s="104"/>
      <c r="S191" s="1172"/>
      <c r="T191" s="1172"/>
      <c r="U191" s="1172"/>
      <c r="V191" s="1173"/>
      <c r="W191" s="1174"/>
      <c r="X191" s="1175"/>
      <c r="Y191" s="1176"/>
      <c r="Z191" s="1177"/>
      <c r="AA191" s="1547"/>
      <c r="AB191" s="1177"/>
      <c r="AC191" s="1548"/>
      <c r="AD191" s="1549"/>
      <c r="AE191" s="1178"/>
      <c r="AF191" s="1179"/>
      <c r="AG191" s="1171"/>
      <c r="AH191" s="104"/>
      <c r="AI191" s="1172"/>
      <c r="AJ191" s="1172"/>
      <c r="AK191" s="1172"/>
      <c r="AL191" s="1173"/>
      <c r="AM191" s="1174"/>
      <c r="AN191" s="1175"/>
      <c r="AO191" s="1176"/>
      <c r="AP191" s="1177"/>
      <c r="AQ191" s="1547"/>
      <c r="AR191" s="1177"/>
      <c r="AS191" s="1548"/>
      <c r="AT191" s="1549"/>
      <c r="AU191" s="1178"/>
      <c r="AV191" s="1179"/>
      <c r="AY191" s="3">
        <v>1</v>
      </c>
    </row>
    <row r="192" spans="2:51" ht="27" customHeight="1">
      <c r="B192" s="104"/>
      <c r="C192" s="1172"/>
      <c r="D192" s="1172"/>
      <c r="E192" s="1172"/>
      <c r="F192" s="1173"/>
      <c r="G192" s="1174"/>
      <c r="H192" s="1175"/>
      <c r="I192" s="1176"/>
      <c r="J192" s="1177"/>
      <c r="K192" s="1547"/>
      <c r="L192" s="1177"/>
      <c r="M192" s="1548"/>
      <c r="N192" s="1549"/>
      <c r="O192" s="1178"/>
      <c r="P192" s="1179"/>
      <c r="Q192" s="1171"/>
      <c r="R192" s="104"/>
      <c r="S192" s="1172"/>
      <c r="T192" s="1172"/>
      <c r="U192" s="1172"/>
      <c r="V192" s="1173"/>
      <c r="W192" s="1174"/>
      <c r="X192" s="1175"/>
      <c r="Y192" s="1176"/>
      <c r="Z192" s="1177"/>
      <c r="AA192" s="1547"/>
      <c r="AB192" s="1177"/>
      <c r="AC192" s="1548"/>
      <c r="AD192" s="1549"/>
      <c r="AE192" s="1178"/>
      <c r="AF192" s="1179"/>
      <c r="AG192" s="1171"/>
      <c r="AH192" s="104"/>
      <c r="AI192" s="1172"/>
      <c r="AJ192" s="1172"/>
      <c r="AK192" s="1172"/>
      <c r="AL192" s="1173"/>
      <c r="AM192" s="1174"/>
      <c r="AN192" s="1175"/>
      <c r="AO192" s="1176"/>
      <c r="AP192" s="1177"/>
      <c r="AQ192" s="1547"/>
      <c r="AR192" s="1177"/>
      <c r="AS192" s="1548"/>
      <c r="AT192" s="1549"/>
      <c r="AU192" s="1178"/>
      <c r="AV192" s="1179"/>
      <c r="AY192" s="3">
        <v>1</v>
      </c>
    </row>
    <row r="193" spans="2:51" ht="27" customHeight="1">
      <c r="B193" s="104"/>
      <c r="C193" s="1172"/>
      <c r="D193" s="1172"/>
      <c r="E193" s="1172"/>
      <c r="F193" s="1173"/>
      <c r="G193" s="1174"/>
      <c r="H193" s="1175"/>
      <c r="I193" s="1176"/>
      <c r="J193" s="1177"/>
      <c r="K193" s="1547"/>
      <c r="L193" s="1177"/>
      <c r="M193" s="1548"/>
      <c r="N193" s="1549"/>
      <c r="O193" s="1178"/>
      <c r="P193" s="1179"/>
      <c r="Q193" s="1171"/>
      <c r="R193" s="104"/>
      <c r="S193" s="1172"/>
      <c r="T193" s="1172"/>
      <c r="U193" s="1172"/>
      <c r="V193" s="1173"/>
      <c r="W193" s="1174"/>
      <c r="X193" s="1175"/>
      <c r="Y193" s="1176"/>
      <c r="Z193" s="1177"/>
      <c r="AA193" s="1547"/>
      <c r="AB193" s="1177"/>
      <c r="AC193" s="1548"/>
      <c r="AD193" s="1549"/>
      <c r="AE193" s="1178"/>
      <c r="AF193" s="1179"/>
      <c r="AG193" s="1171"/>
      <c r="AH193" s="104"/>
      <c r="AI193" s="1172"/>
      <c r="AJ193" s="1172"/>
      <c r="AK193" s="1172"/>
      <c r="AL193" s="1173"/>
      <c r="AM193" s="1174"/>
      <c r="AN193" s="1175"/>
      <c r="AO193" s="1176"/>
      <c r="AP193" s="1177"/>
      <c r="AQ193" s="1547"/>
      <c r="AR193" s="1177"/>
      <c r="AS193" s="1548"/>
      <c r="AT193" s="1549"/>
      <c r="AU193" s="1178"/>
      <c r="AV193" s="1179"/>
      <c r="AY193" s="3">
        <v>1</v>
      </c>
    </row>
    <row r="194" spans="2:51" ht="27" customHeight="1">
      <c r="B194" s="104"/>
      <c r="C194" s="1172"/>
      <c r="D194" s="1172"/>
      <c r="E194" s="1172"/>
      <c r="F194" s="1173"/>
      <c r="G194" s="1174"/>
      <c r="H194" s="1175"/>
      <c r="I194" s="1176"/>
      <c r="J194" s="1177"/>
      <c r="K194" s="1547"/>
      <c r="L194" s="1177"/>
      <c r="M194" s="1548"/>
      <c r="N194" s="1549"/>
      <c r="O194" s="1178"/>
      <c r="P194" s="1179"/>
      <c r="Q194" s="1171"/>
      <c r="R194" s="104"/>
      <c r="S194" s="1172"/>
      <c r="T194" s="1172"/>
      <c r="U194" s="1172"/>
      <c r="V194" s="1173"/>
      <c r="W194" s="1174"/>
      <c r="X194" s="1175"/>
      <c r="Y194" s="1176"/>
      <c r="Z194" s="1177"/>
      <c r="AA194" s="1547"/>
      <c r="AB194" s="1177"/>
      <c r="AC194" s="1548"/>
      <c r="AD194" s="1549"/>
      <c r="AE194" s="1178"/>
      <c r="AF194" s="1179"/>
      <c r="AG194" s="1171"/>
      <c r="AH194" s="104"/>
      <c r="AI194" s="1172"/>
      <c r="AJ194" s="1172"/>
      <c r="AK194" s="1172"/>
      <c r="AL194" s="1173"/>
      <c r="AM194" s="1174"/>
      <c r="AN194" s="1175"/>
      <c r="AO194" s="1176"/>
      <c r="AP194" s="1177"/>
      <c r="AQ194" s="1547"/>
      <c r="AR194" s="1177"/>
      <c r="AS194" s="1548"/>
      <c r="AT194" s="1549"/>
      <c r="AU194" s="1178"/>
      <c r="AV194" s="1179"/>
      <c r="AY194" s="3">
        <v>1</v>
      </c>
    </row>
    <row r="195" spans="2:51" ht="27" customHeight="1">
      <c r="B195" s="104"/>
      <c r="C195" s="1172"/>
      <c r="D195" s="1172"/>
      <c r="E195" s="1172"/>
      <c r="F195" s="1173"/>
      <c r="G195" s="1174"/>
      <c r="H195" s="1175"/>
      <c r="I195" s="1176"/>
      <c r="J195" s="1177"/>
      <c r="K195" s="1547"/>
      <c r="L195" s="1177"/>
      <c r="M195" s="1548"/>
      <c r="N195" s="1549"/>
      <c r="O195" s="1178"/>
      <c r="P195" s="1179"/>
      <c r="Q195" s="1171"/>
      <c r="R195" s="104"/>
      <c r="S195" s="1172"/>
      <c r="T195" s="1172"/>
      <c r="U195" s="1172"/>
      <c r="V195" s="1173"/>
      <c r="W195" s="1174"/>
      <c r="X195" s="1175"/>
      <c r="Y195" s="1176"/>
      <c r="Z195" s="1177"/>
      <c r="AA195" s="1547"/>
      <c r="AB195" s="1177"/>
      <c r="AC195" s="1548"/>
      <c r="AD195" s="1549"/>
      <c r="AE195" s="1178"/>
      <c r="AF195" s="1179"/>
      <c r="AG195" s="1171"/>
      <c r="AH195" s="104"/>
      <c r="AI195" s="1172"/>
      <c r="AJ195" s="1172"/>
      <c r="AK195" s="1172"/>
      <c r="AL195" s="1173"/>
      <c r="AM195" s="1174"/>
      <c r="AN195" s="1175"/>
      <c r="AO195" s="1176"/>
      <c r="AP195" s="1177"/>
      <c r="AQ195" s="1547"/>
      <c r="AR195" s="1177"/>
      <c r="AS195" s="1548"/>
      <c r="AT195" s="1549"/>
      <c r="AU195" s="1178"/>
      <c r="AV195" s="1179"/>
      <c r="AY195" s="3">
        <v>1</v>
      </c>
    </row>
    <row r="196" spans="2:51" ht="27" customHeight="1">
      <c r="B196" s="104"/>
      <c r="C196" s="1172"/>
      <c r="D196" s="1172"/>
      <c r="E196" s="1172"/>
      <c r="F196" s="1173"/>
      <c r="G196" s="1174"/>
      <c r="H196" s="1175"/>
      <c r="I196" s="1176"/>
      <c r="J196" s="1177"/>
      <c r="K196" s="1547"/>
      <c r="L196" s="1177"/>
      <c r="M196" s="1548"/>
      <c r="N196" s="1549"/>
      <c r="O196" s="1178"/>
      <c r="P196" s="1179"/>
      <c r="Q196" s="1171"/>
      <c r="R196" s="104"/>
      <c r="S196" s="1172"/>
      <c r="T196" s="1172"/>
      <c r="U196" s="1172"/>
      <c r="V196" s="1173"/>
      <c r="W196" s="1174"/>
      <c r="X196" s="1175"/>
      <c r="Y196" s="1176"/>
      <c r="Z196" s="1177"/>
      <c r="AA196" s="1547"/>
      <c r="AB196" s="1177"/>
      <c r="AC196" s="1548"/>
      <c r="AD196" s="1549"/>
      <c r="AE196" s="1178"/>
      <c r="AF196" s="1179"/>
      <c r="AG196" s="1171"/>
      <c r="AH196" s="104"/>
      <c r="AI196" s="1172"/>
      <c r="AJ196" s="1172"/>
      <c r="AK196" s="1172"/>
      <c r="AL196" s="1173"/>
      <c r="AM196" s="1174"/>
      <c r="AN196" s="1175"/>
      <c r="AO196" s="1176"/>
      <c r="AP196" s="1177"/>
      <c r="AQ196" s="1547"/>
      <c r="AR196" s="1177"/>
      <c r="AS196" s="1548"/>
      <c r="AT196" s="1549"/>
      <c r="AU196" s="1178"/>
      <c r="AV196" s="1179"/>
      <c r="AY196" s="3">
        <v>1</v>
      </c>
    </row>
    <row r="197" spans="2:51" ht="27" customHeight="1">
      <c r="B197" s="104"/>
      <c r="C197" s="1172"/>
      <c r="D197" s="1172"/>
      <c r="E197" s="1172"/>
      <c r="F197" s="1173"/>
      <c r="G197" s="1174"/>
      <c r="H197" s="1175"/>
      <c r="I197" s="1176"/>
      <c r="J197" s="1177"/>
      <c r="K197" s="1547"/>
      <c r="L197" s="1177"/>
      <c r="M197" s="1548"/>
      <c r="N197" s="1549"/>
      <c r="O197" s="1178"/>
      <c r="P197" s="1179"/>
      <c r="Q197" s="1171"/>
      <c r="R197" s="104"/>
      <c r="S197" s="1172"/>
      <c r="T197" s="1172"/>
      <c r="U197" s="1172"/>
      <c r="V197" s="1173"/>
      <c r="W197" s="1174"/>
      <c r="X197" s="1175"/>
      <c r="Y197" s="1176"/>
      <c r="Z197" s="1177"/>
      <c r="AA197" s="1547"/>
      <c r="AB197" s="1177"/>
      <c r="AC197" s="1548"/>
      <c r="AD197" s="1549"/>
      <c r="AE197" s="1178"/>
      <c r="AF197" s="1179"/>
      <c r="AG197" s="1171"/>
      <c r="AH197" s="104"/>
      <c r="AI197" s="1172"/>
      <c r="AJ197" s="1172"/>
      <c r="AK197" s="1172"/>
      <c r="AL197" s="1173"/>
      <c r="AM197" s="1174"/>
      <c r="AN197" s="1175"/>
      <c r="AO197" s="1176"/>
      <c r="AP197" s="1177"/>
      <c r="AQ197" s="1547"/>
      <c r="AR197" s="1177"/>
      <c r="AS197" s="1548"/>
      <c r="AT197" s="1549"/>
      <c r="AU197" s="1178"/>
      <c r="AV197" s="1179"/>
      <c r="AY197" s="3">
        <v>1</v>
      </c>
    </row>
    <row r="198" spans="2:51" ht="27" customHeight="1">
      <c r="B198" s="104"/>
      <c r="C198" s="1172"/>
      <c r="D198" s="1172"/>
      <c r="E198" s="1172"/>
      <c r="F198" s="1173"/>
      <c r="G198" s="1174"/>
      <c r="H198" s="1175"/>
      <c r="I198" s="1176"/>
      <c r="J198" s="1177"/>
      <c r="K198" s="1547"/>
      <c r="L198" s="1177"/>
      <c r="M198" s="1548"/>
      <c r="N198" s="1549"/>
      <c r="O198" s="1178"/>
      <c r="P198" s="1179"/>
      <c r="Q198" s="1171"/>
      <c r="R198" s="104"/>
      <c r="S198" s="1172"/>
      <c r="T198" s="1172"/>
      <c r="U198" s="1172"/>
      <c r="V198" s="1173"/>
      <c r="W198" s="1174"/>
      <c r="X198" s="1175"/>
      <c r="Y198" s="1176"/>
      <c r="Z198" s="1177"/>
      <c r="AA198" s="1547"/>
      <c r="AB198" s="1177"/>
      <c r="AC198" s="1548"/>
      <c r="AD198" s="1549"/>
      <c r="AE198" s="1178"/>
      <c r="AF198" s="1179"/>
      <c r="AG198" s="1171"/>
      <c r="AH198" s="104"/>
      <c r="AI198" s="1172"/>
      <c r="AJ198" s="1172"/>
      <c r="AK198" s="1172"/>
      <c r="AL198" s="1173"/>
      <c r="AM198" s="1174"/>
      <c r="AN198" s="1175"/>
      <c r="AO198" s="1176"/>
      <c r="AP198" s="1177"/>
      <c r="AQ198" s="1547"/>
      <c r="AR198" s="1177"/>
      <c r="AS198" s="1548"/>
      <c r="AT198" s="1549"/>
      <c r="AU198" s="1178"/>
      <c r="AV198" s="1179"/>
      <c r="AY198" s="3">
        <v>1</v>
      </c>
    </row>
    <row r="199" spans="2:51" ht="27" customHeight="1">
      <c r="B199" s="104"/>
      <c r="C199" s="1172"/>
      <c r="D199" s="1172"/>
      <c r="E199" s="1172"/>
      <c r="F199" s="1173"/>
      <c r="G199" s="1174"/>
      <c r="H199" s="1175"/>
      <c r="I199" s="1176"/>
      <c r="J199" s="1177"/>
      <c r="K199" s="1547"/>
      <c r="L199" s="1177"/>
      <c r="M199" s="1548"/>
      <c r="N199" s="1549"/>
      <c r="O199" s="1178"/>
      <c r="P199" s="1179"/>
      <c r="Q199" s="1171"/>
      <c r="R199" s="104"/>
      <c r="S199" s="1172"/>
      <c r="T199" s="1172"/>
      <c r="U199" s="1172"/>
      <c r="V199" s="1173"/>
      <c r="W199" s="1174"/>
      <c r="X199" s="1175"/>
      <c r="Y199" s="1176"/>
      <c r="Z199" s="1177"/>
      <c r="AA199" s="1547"/>
      <c r="AB199" s="1177"/>
      <c r="AC199" s="1548"/>
      <c r="AD199" s="1549"/>
      <c r="AE199" s="1178"/>
      <c r="AF199" s="1179"/>
      <c r="AG199" s="1171"/>
      <c r="AH199" s="104"/>
      <c r="AI199" s="1172"/>
      <c r="AJ199" s="1172"/>
      <c r="AK199" s="1172"/>
      <c r="AL199" s="1173"/>
      <c r="AM199" s="1174"/>
      <c r="AN199" s="1175"/>
      <c r="AO199" s="1176"/>
      <c r="AP199" s="1177"/>
      <c r="AQ199" s="1547"/>
      <c r="AR199" s="1177"/>
      <c r="AS199" s="1548"/>
      <c r="AT199" s="1549"/>
      <c r="AU199" s="1178"/>
      <c r="AV199" s="1179"/>
      <c r="AY199" s="3">
        <v>1</v>
      </c>
    </row>
    <row r="200" spans="2:51" ht="27" customHeight="1">
      <c r="B200" s="104"/>
      <c r="C200" s="1172"/>
      <c r="D200" s="1172"/>
      <c r="E200" s="1172"/>
      <c r="F200" s="1173"/>
      <c r="G200" s="1174"/>
      <c r="H200" s="1175"/>
      <c r="I200" s="1176"/>
      <c r="J200" s="1177"/>
      <c r="K200" s="1547"/>
      <c r="L200" s="1177"/>
      <c r="M200" s="1548"/>
      <c r="N200" s="1549"/>
      <c r="O200" s="1178"/>
      <c r="P200" s="1179"/>
      <c r="Q200" s="1171"/>
      <c r="R200" s="104"/>
      <c r="S200" s="1172"/>
      <c r="T200" s="1172"/>
      <c r="U200" s="1172"/>
      <c r="V200" s="1173"/>
      <c r="W200" s="1174"/>
      <c r="X200" s="1175"/>
      <c r="Y200" s="1176"/>
      <c r="Z200" s="1177"/>
      <c r="AA200" s="1547"/>
      <c r="AB200" s="1177"/>
      <c r="AC200" s="1548"/>
      <c r="AD200" s="1549"/>
      <c r="AE200" s="1178"/>
      <c r="AF200" s="1179"/>
      <c r="AG200" s="1171"/>
      <c r="AH200" s="104"/>
      <c r="AI200" s="1172"/>
      <c r="AJ200" s="1172"/>
      <c r="AK200" s="1172"/>
      <c r="AL200" s="1173"/>
      <c r="AM200" s="1174"/>
      <c r="AN200" s="1175"/>
      <c r="AO200" s="1176"/>
      <c r="AP200" s="1177"/>
      <c r="AQ200" s="1547"/>
      <c r="AR200" s="1177"/>
      <c r="AS200" s="1548"/>
      <c r="AT200" s="1549"/>
      <c r="AU200" s="1178"/>
      <c r="AV200" s="1179"/>
      <c r="AY200" s="3">
        <v>1</v>
      </c>
    </row>
    <row r="201" spans="2:51" ht="27" customHeight="1">
      <c r="B201" s="104"/>
      <c r="C201" s="1172"/>
      <c r="D201" s="1172"/>
      <c r="E201" s="1172"/>
      <c r="F201" s="1173"/>
      <c r="G201" s="1174"/>
      <c r="H201" s="1175"/>
      <c r="I201" s="1176"/>
      <c r="J201" s="1177"/>
      <c r="K201" s="1547"/>
      <c r="L201" s="1177"/>
      <c r="M201" s="1548"/>
      <c r="N201" s="1549"/>
      <c r="O201" s="1178"/>
      <c r="P201" s="1179"/>
      <c r="Q201" s="1171"/>
      <c r="R201" s="104"/>
      <c r="S201" s="1172"/>
      <c r="T201" s="1172"/>
      <c r="U201" s="1172"/>
      <c r="V201" s="1173"/>
      <c r="W201" s="1174"/>
      <c r="X201" s="1175"/>
      <c r="Y201" s="1176"/>
      <c r="Z201" s="1177"/>
      <c r="AA201" s="1547"/>
      <c r="AB201" s="1177"/>
      <c r="AC201" s="1548"/>
      <c r="AD201" s="1549"/>
      <c r="AE201" s="1178"/>
      <c r="AF201" s="1179"/>
      <c r="AG201" s="1171"/>
      <c r="AH201" s="104"/>
      <c r="AI201" s="1172"/>
      <c r="AJ201" s="1172"/>
      <c r="AK201" s="1172"/>
      <c r="AL201" s="1173"/>
      <c r="AM201" s="1174"/>
      <c r="AN201" s="1175"/>
      <c r="AO201" s="1176"/>
      <c r="AP201" s="1177"/>
      <c r="AQ201" s="1547"/>
      <c r="AR201" s="1177"/>
      <c r="AS201" s="1548"/>
      <c r="AT201" s="1549"/>
      <c r="AU201" s="1178"/>
      <c r="AV201" s="1179"/>
      <c r="AY201" s="3">
        <v>1</v>
      </c>
    </row>
    <row r="202" spans="2:51" ht="27" customHeight="1">
      <c r="B202" s="104"/>
      <c r="C202" s="1172"/>
      <c r="D202" s="1172"/>
      <c r="E202" s="1172"/>
      <c r="F202" s="1173"/>
      <c r="G202" s="1174"/>
      <c r="H202" s="1175"/>
      <c r="I202" s="1176"/>
      <c r="J202" s="1177"/>
      <c r="K202" s="1547"/>
      <c r="L202" s="1177"/>
      <c r="M202" s="1548"/>
      <c r="N202" s="1549"/>
      <c r="O202" s="1178"/>
      <c r="P202" s="1179"/>
      <c r="Q202" s="1171"/>
      <c r="R202" s="104"/>
      <c r="S202" s="1172"/>
      <c r="T202" s="1172"/>
      <c r="U202" s="1172"/>
      <c r="V202" s="1173"/>
      <c r="W202" s="1174"/>
      <c r="X202" s="1175"/>
      <c r="Y202" s="1176"/>
      <c r="Z202" s="1177"/>
      <c r="AA202" s="1547"/>
      <c r="AB202" s="1177"/>
      <c r="AC202" s="1548"/>
      <c r="AD202" s="1549"/>
      <c r="AE202" s="1178"/>
      <c r="AF202" s="1179"/>
      <c r="AG202" s="1171"/>
      <c r="AH202" s="104"/>
      <c r="AI202" s="1172"/>
      <c r="AJ202" s="1172"/>
      <c r="AK202" s="1172"/>
      <c r="AL202" s="1173"/>
      <c r="AM202" s="1174"/>
      <c r="AN202" s="1175"/>
      <c r="AO202" s="1176"/>
      <c r="AP202" s="1177"/>
      <c r="AQ202" s="1547"/>
      <c r="AR202" s="1177"/>
      <c r="AS202" s="1548"/>
      <c r="AT202" s="1549"/>
      <c r="AU202" s="1178"/>
      <c r="AV202" s="1179"/>
      <c r="AY202" s="3">
        <v>1</v>
      </c>
    </row>
    <row r="203" spans="2:51" ht="27" customHeight="1">
      <c r="B203" s="104"/>
      <c r="C203" s="1172"/>
      <c r="D203" s="1172"/>
      <c r="E203" s="1172"/>
      <c r="F203" s="1173"/>
      <c r="G203" s="1174"/>
      <c r="H203" s="1175"/>
      <c r="I203" s="1176"/>
      <c r="J203" s="1177"/>
      <c r="K203" s="1547"/>
      <c r="L203" s="1177"/>
      <c r="M203" s="1548"/>
      <c r="N203" s="1549"/>
      <c r="O203" s="1178"/>
      <c r="P203" s="1179"/>
      <c r="Q203" s="1171"/>
      <c r="R203" s="104"/>
      <c r="S203" s="1172"/>
      <c r="T203" s="1172"/>
      <c r="U203" s="1172"/>
      <c r="V203" s="1173"/>
      <c r="W203" s="1174"/>
      <c r="X203" s="1175"/>
      <c r="Y203" s="1176"/>
      <c r="Z203" s="1177"/>
      <c r="AA203" s="1547"/>
      <c r="AB203" s="1177"/>
      <c r="AC203" s="1548"/>
      <c r="AD203" s="1549"/>
      <c r="AE203" s="1178"/>
      <c r="AF203" s="1179"/>
      <c r="AG203" s="1171"/>
      <c r="AH203" s="104"/>
      <c r="AI203" s="1172"/>
      <c r="AJ203" s="1172"/>
      <c r="AK203" s="1172"/>
      <c r="AL203" s="1173"/>
      <c r="AM203" s="1174"/>
      <c r="AN203" s="1175"/>
      <c r="AO203" s="1176"/>
      <c r="AP203" s="1177"/>
      <c r="AQ203" s="1547"/>
      <c r="AR203" s="1177"/>
      <c r="AS203" s="1548"/>
      <c r="AT203" s="1549"/>
      <c r="AU203" s="1178"/>
      <c r="AV203" s="1179"/>
      <c r="AY203" s="3">
        <v>1</v>
      </c>
    </row>
    <row r="204" spans="2:51" ht="27" customHeight="1">
      <c r="B204" s="104"/>
      <c r="C204" s="1172"/>
      <c r="D204" s="1172"/>
      <c r="E204" s="1172"/>
      <c r="F204" s="1173"/>
      <c r="G204" s="1174"/>
      <c r="H204" s="1175"/>
      <c r="I204" s="1176"/>
      <c r="J204" s="1177"/>
      <c r="K204" s="1547"/>
      <c r="L204" s="1177"/>
      <c r="M204" s="1548"/>
      <c r="N204" s="1549"/>
      <c r="O204" s="1178"/>
      <c r="P204" s="1179"/>
      <c r="Q204" s="1171"/>
      <c r="R204" s="104"/>
      <c r="S204" s="1172"/>
      <c r="T204" s="1172"/>
      <c r="U204" s="1172"/>
      <c r="V204" s="1173"/>
      <c r="W204" s="1174"/>
      <c r="X204" s="1175"/>
      <c r="Y204" s="1176"/>
      <c r="Z204" s="1177"/>
      <c r="AA204" s="1547"/>
      <c r="AB204" s="1177"/>
      <c r="AC204" s="1548"/>
      <c r="AD204" s="1549"/>
      <c r="AE204" s="1178"/>
      <c r="AF204" s="1179"/>
      <c r="AG204" s="1171"/>
      <c r="AH204" s="104"/>
      <c r="AI204" s="1172"/>
      <c r="AJ204" s="1172"/>
      <c r="AK204" s="1172"/>
      <c r="AL204" s="1173"/>
      <c r="AM204" s="1174"/>
      <c r="AN204" s="1175"/>
      <c r="AO204" s="1176"/>
      <c r="AP204" s="1177"/>
      <c r="AQ204" s="1547"/>
      <c r="AR204" s="1177"/>
      <c r="AS204" s="1548"/>
      <c r="AT204" s="1549"/>
      <c r="AU204" s="1178"/>
      <c r="AV204" s="1179"/>
      <c r="AY204" s="3">
        <v>1</v>
      </c>
    </row>
    <row r="205" spans="2:51" ht="27" customHeight="1">
      <c r="B205" s="104"/>
      <c r="C205" s="1172"/>
      <c r="D205" s="1172"/>
      <c r="E205" s="1172"/>
      <c r="F205" s="1173"/>
      <c r="G205" s="1174"/>
      <c r="H205" s="1175"/>
      <c r="I205" s="1176"/>
      <c r="J205" s="1177"/>
      <c r="K205" s="1547"/>
      <c r="L205" s="1177"/>
      <c r="M205" s="1548"/>
      <c r="N205" s="1549"/>
      <c r="O205" s="1178"/>
      <c r="P205" s="1179"/>
      <c r="Q205" s="1171"/>
      <c r="R205" s="104"/>
      <c r="S205" s="1172"/>
      <c r="T205" s="1172"/>
      <c r="U205" s="1172"/>
      <c r="V205" s="1173"/>
      <c r="W205" s="1174"/>
      <c r="X205" s="1175"/>
      <c r="Y205" s="1176"/>
      <c r="Z205" s="1177"/>
      <c r="AA205" s="1547"/>
      <c r="AB205" s="1177"/>
      <c r="AC205" s="1548"/>
      <c r="AD205" s="1549"/>
      <c r="AE205" s="1178"/>
      <c r="AF205" s="1179"/>
      <c r="AG205" s="1171"/>
      <c r="AH205" s="104"/>
      <c r="AI205" s="1172"/>
      <c r="AJ205" s="1172"/>
      <c r="AK205" s="1172"/>
      <c r="AL205" s="1173"/>
      <c r="AM205" s="1174"/>
      <c r="AN205" s="1175"/>
      <c r="AO205" s="1176"/>
      <c r="AP205" s="1177"/>
      <c r="AQ205" s="1547"/>
      <c r="AR205" s="1177"/>
      <c r="AS205" s="1548"/>
      <c r="AT205" s="1549"/>
      <c r="AU205" s="1178"/>
      <c r="AV205" s="1179"/>
      <c r="AY205" s="3">
        <v>1</v>
      </c>
    </row>
    <row r="206" spans="2:51" ht="27" customHeight="1">
      <c r="B206" s="104"/>
      <c r="C206" s="1172"/>
      <c r="D206" s="1172"/>
      <c r="E206" s="1172"/>
      <c r="F206" s="1173"/>
      <c r="G206" s="1174"/>
      <c r="H206" s="1175"/>
      <c r="I206" s="1176"/>
      <c r="J206" s="1177"/>
      <c r="K206" s="1547"/>
      <c r="L206" s="1177"/>
      <c r="M206" s="1548"/>
      <c r="N206" s="1549"/>
      <c r="O206" s="1178"/>
      <c r="P206" s="1179"/>
      <c r="Q206" s="1171"/>
      <c r="R206" s="104"/>
      <c r="S206" s="1172"/>
      <c r="T206" s="1172"/>
      <c r="U206" s="1172"/>
      <c r="V206" s="1173"/>
      <c r="W206" s="1174"/>
      <c r="X206" s="1175"/>
      <c r="Y206" s="1176"/>
      <c r="Z206" s="1177"/>
      <c r="AA206" s="1547"/>
      <c r="AB206" s="1177"/>
      <c r="AC206" s="1548"/>
      <c r="AD206" s="1549"/>
      <c r="AE206" s="1178"/>
      <c r="AF206" s="1179"/>
      <c r="AG206" s="1171"/>
      <c r="AH206" s="104"/>
      <c r="AI206" s="1172"/>
      <c r="AJ206" s="1172"/>
      <c r="AK206" s="1172"/>
      <c r="AL206" s="1173"/>
      <c r="AM206" s="1174"/>
      <c r="AN206" s="1175"/>
      <c r="AO206" s="1176"/>
      <c r="AP206" s="1177"/>
      <c r="AQ206" s="1547"/>
      <c r="AR206" s="1177"/>
      <c r="AS206" s="1548"/>
      <c r="AT206" s="1549"/>
      <c r="AU206" s="1178"/>
      <c r="AV206" s="1179"/>
      <c r="AY206" s="3">
        <v>1</v>
      </c>
    </row>
    <row r="207" spans="2:51" ht="27" customHeight="1">
      <c r="B207" s="104"/>
      <c r="C207" s="1172"/>
      <c r="D207" s="1172"/>
      <c r="E207" s="1172"/>
      <c r="F207" s="1173"/>
      <c r="G207" s="1174"/>
      <c r="H207" s="1175"/>
      <c r="I207" s="1176"/>
      <c r="J207" s="1177"/>
      <c r="K207" s="1547"/>
      <c r="L207" s="1177"/>
      <c r="M207" s="1548"/>
      <c r="N207" s="1549"/>
      <c r="O207" s="1178"/>
      <c r="P207" s="1179"/>
      <c r="Q207" s="1171"/>
      <c r="R207" s="104"/>
      <c r="S207" s="1172"/>
      <c r="T207" s="1172"/>
      <c r="U207" s="1172"/>
      <c r="V207" s="1173"/>
      <c r="W207" s="1174"/>
      <c r="X207" s="1175"/>
      <c r="Y207" s="1176"/>
      <c r="Z207" s="1177"/>
      <c r="AA207" s="1547"/>
      <c r="AB207" s="1177"/>
      <c r="AC207" s="1548"/>
      <c r="AD207" s="1549"/>
      <c r="AE207" s="1178"/>
      <c r="AF207" s="1179"/>
      <c r="AG207" s="1171"/>
      <c r="AH207" s="104"/>
      <c r="AI207" s="1172"/>
      <c r="AJ207" s="1172"/>
      <c r="AK207" s="1172"/>
      <c r="AL207" s="1173"/>
      <c r="AM207" s="1174"/>
      <c r="AN207" s="1175"/>
      <c r="AO207" s="1176"/>
      <c r="AP207" s="1177"/>
      <c r="AQ207" s="1547"/>
      <c r="AR207" s="1177"/>
      <c r="AS207" s="1548"/>
      <c r="AT207" s="1549"/>
      <c r="AU207" s="1178"/>
      <c r="AV207" s="1179"/>
      <c r="AY207" s="3">
        <v>1</v>
      </c>
    </row>
    <row r="208" spans="2:51" ht="27" customHeight="1">
      <c r="B208" s="104"/>
      <c r="C208" s="1172"/>
      <c r="D208" s="1172"/>
      <c r="E208" s="1172"/>
      <c r="F208" s="1173"/>
      <c r="G208" s="1174"/>
      <c r="H208" s="1175"/>
      <c r="I208" s="1176"/>
      <c r="J208" s="1177"/>
      <c r="K208" s="1547"/>
      <c r="L208" s="1177"/>
      <c r="M208" s="1548"/>
      <c r="N208" s="1549"/>
      <c r="O208" s="1178"/>
      <c r="P208" s="1179"/>
      <c r="Q208" s="1171"/>
      <c r="R208" s="104"/>
      <c r="S208" s="1172"/>
      <c r="T208" s="1172"/>
      <c r="U208" s="1172"/>
      <c r="V208" s="1173"/>
      <c r="W208" s="1174"/>
      <c r="X208" s="1175"/>
      <c r="Y208" s="1176"/>
      <c r="Z208" s="1177"/>
      <c r="AA208" s="1547"/>
      <c r="AB208" s="1177"/>
      <c r="AC208" s="1548"/>
      <c r="AD208" s="1549"/>
      <c r="AE208" s="1178"/>
      <c r="AF208" s="1179"/>
      <c r="AG208" s="1171"/>
      <c r="AH208" s="104"/>
      <c r="AI208" s="1172"/>
      <c r="AJ208" s="1172"/>
      <c r="AK208" s="1172"/>
      <c r="AL208" s="1173"/>
      <c r="AM208" s="1174"/>
      <c r="AN208" s="1175"/>
      <c r="AO208" s="1176"/>
      <c r="AP208" s="1177"/>
      <c r="AQ208" s="1547"/>
      <c r="AR208" s="1177"/>
      <c r="AS208" s="1548"/>
      <c r="AT208" s="1549"/>
      <c r="AU208" s="1178"/>
      <c r="AV208" s="1179"/>
      <c r="AY208" s="3">
        <v>1</v>
      </c>
    </row>
    <row r="209" spans="2:51" ht="27" customHeight="1">
      <c r="B209" s="104"/>
      <c r="C209" s="1172"/>
      <c r="D209" s="1172"/>
      <c r="E209" s="1172"/>
      <c r="F209" s="1173"/>
      <c r="G209" s="1174"/>
      <c r="H209" s="1175"/>
      <c r="I209" s="1176"/>
      <c r="J209" s="1177"/>
      <c r="K209" s="1547"/>
      <c r="L209" s="1177"/>
      <c r="M209" s="1548"/>
      <c r="N209" s="1549"/>
      <c r="O209" s="1178"/>
      <c r="P209" s="1179"/>
      <c r="Q209" s="1171"/>
      <c r="R209" s="104"/>
      <c r="S209" s="1172"/>
      <c r="T209" s="1172"/>
      <c r="U209" s="1172"/>
      <c r="V209" s="1173"/>
      <c r="W209" s="1174"/>
      <c r="X209" s="1175"/>
      <c r="Y209" s="1176"/>
      <c r="Z209" s="1177"/>
      <c r="AA209" s="1547"/>
      <c r="AB209" s="1177"/>
      <c r="AC209" s="1548"/>
      <c r="AD209" s="1549"/>
      <c r="AE209" s="1178"/>
      <c r="AF209" s="1179"/>
      <c r="AG209" s="1171"/>
      <c r="AH209" s="104"/>
      <c r="AI209" s="1172"/>
      <c r="AJ209" s="1172"/>
      <c r="AK209" s="1172"/>
      <c r="AL209" s="1173"/>
      <c r="AM209" s="1174"/>
      <c r="AN209" s="1175"/>
      <c r="AO209" s="1176"/>
      <c r="AP209" s="1177"/>
      <c r="AQ209" s="1547"/>
      <c r="AR209" s="1177"/>
      <c r="AS209" s="1548"/>
      <c r="AT209" s="1549"/>
      <c r="AU209" s="1178"/>
      <c r="AV209" s="1179"/>
      <c r="AY209" s="3">
        <v>1</v>
      </c>
    </row>
    <row r="210" spans="2:51" ht="27" customHeight="1">
      <c r="B210" s="104"/>
      <c r="C210" s="1172"/>
      <c r="D210" s="1172"/>
      <c r="E210" s="1172"/>
      <c r="F210" s="1173"/>
      <c r="G210" s="1174"/>
      <c r="H210" s="1175"/>
      <c r="I210" s="1176"/>
      <c r="J210" s="1177"/>
      <c r="K210" s="1547"/>
      <c r="L210" s="1177"/>
      <c r="M210" s="1548"/>
      <c r="N210" s="1549"/>
      <c r="O210" s="1178"/>
      <c r="P210" s="1179"/>
      <c r="Q210" s="1171"/>
      <c r="R210" s="104"/>
      <c r="S210" s="1172"/>
      <c r="T210" s="1172"/>
      <c r="U210" s="1172"/>
      <c r="V210" s="1173"/>
      <c r="W210" s="1174"/>
      <c r="X210" s="1175"/>
      <c r="Y210" s="1176"/>
      <c r="Z210" s="1177"/>
      <c r="AA210" s="1547"/>
      <c r="AB210" s="1177"/>
      <c r="AC210" s="1548"/>
      <c r="AD210" s="1549"/>
      <c r="AE210" s="1178"/>
      <c r="AF210" s="1179"/>
      <c r="AG210" s="1171"/>
      <c r="AH210" s="104"/>
      <c r="AI210" s="1172"/>
      <c r="AJ210" s="1172"/>
      <c r="AK210" s="1172"/>
      <c r="AL210" s="1173"/>
      <c r="AM210" s="1174"/>
      <c r="AN210" s="1175"/>
      <c r="AO210" s="1176"/>
      <c r="AP210" s="1177"/>
      <c r="AQ210" s="1547"/>
      <c r="AR210" s="1177"/>
      <c r="AS210" s="1548"/>
      <c r="AT210" s="1549"/>
      <c r="AU210" s="1178"/>
      <c r="AV210" s="1179"/>
      <c r="AY210" s="3">
        <v>1</v>
      </c>
    </row>
    <row r="211" spans="2:51" ht="27" customHeight="1">
      <c r="B211" s="104"/>
      <c r="C211" s="1172"/>
      <c r="D211" s="1172"/>
      <c r="E211" s="1172"/>
      <c r="F211" s="1173"/>
      <c r="G211" s="1174"/>
      <c r="H211" s="1175"/>
      <c r="I211" s="1176"/>
      <c r="J211" s="1177"/>
      <c r="K211" s="1547"/>
      <c r="L211" s="1177"/>
      <c r="M211" s="1548"/>
      <c r="N211" s="1549"/>
      <c r="O211" s="1178"/>
      <c r="P211" s="1179"/>
      <c r="Q211" s="1171"/>
      <c r="R211" s="104"/>
      <c r="S211" s="1172"/>
      <c r="T211" s="1172"/>
      <c r="U211" s="1172"/>
      <c r="V211" s="1173"/>
      <c r="W211" s="1174"/>
      <c r="X211" s="1175"/>
      <c r="Y211" s="1176"/>
      <c r="Z211" s="1177"/>
      <c r="AA211" s="1547"/>
      <c r="AB211" s="1177"/>
      <c r="AC211" s="1548"/>
      <c r="AD211" s="1549"/>
      <c r="AE211" s="1178"/>
      <c r="AF211" s="1179"/>
      <c r="AG211" s="1171"/>
      <c r="AH211" s="104"/>
      <c r="AI211" s="1172"/>
      <c r="AJ211" s="1172"/>
      <c r="AK211" s="1172"/>
      <c r="AL211" s="1173"/>
      <c r="AM211" s="1174"/>
      <c r="AN211" s="1175"/>
      <c r="AO211" s="1176"/>
      <c r="AP211" s="1177"/>
      <c r="AQ211" s="1547"/>
      <c r="AR211" s="1177"/>
      <c r="AS211" s="1548"/>
      <c r="AT211" s="1549"/>
      <c r="AU211" s="1178"/>
      <c r="AV211" s="1179"/>
      <c r="AY211" s="3">
        <v>1</v>
      </c>
    </row>
    <row r="212" spans="2:51" ht="27" customHeight="1">
      <c r="B212" s="104"/>
      <c r="C212" s="1172"/>
      <c r="D212" s="1172"/>
      <c r="E212" s="1172"/>
      <c r="F212" s="1173"/>
      <c r="G212" s="1174"/>
      <c r="H212" s="1175"/>
      <c r="I212" s="1176"/>
      <c r="J212" s="1177"/>
      <c r="K212" s="1547"/>
      <c r="L212" s="1177"/>
      <c r="M212" s="1548"/>
      <c r="N212" s="1549"/>
      <c r="O212" s="1178"/>
      <c r="P212" s="1179"/>
      <c r="Q212" s="1171"/>
      <c r="R212" s="104"/>
      <c r="S212" s="1172"/>
      <c r="T212" s="1172"/>
      <c r="U212" s="1172"/>
      <c r="V212" s="1173"/>
      <c r="W212" s="1174"/>
      <c r="X212" s="1175"/>
      <c r="Y212" s="1176"/>
      <c r="Z212" s="1177"/>
      <c r="AA212" s="1547"/>
      <c r="AB212" s="1177"/>
      <c r="AC212" s="1548"/>
      <c r="AD212" s="1549"/>
      <c r="AE212" s="1178"/>
      <c r="AF212" s="1179"/>
      <c r="AG212" s="1171"/>
      <c r="AH212" s="104"/>
      <c r="AI212" s="1172"/>
      <c r="AJ212" s="1172"/>
      <c r="AK212" s="1172"/>
      <c r="AL212" s="1173"/>
      <c r="AM212" s="1174"/>
      <c r="AN212" s="1175"/>
      <c r="AO212" s="1176"/>
      <c r="AP212" s="1177"/>
      <c r="AQ212" s="1547"/>
      <c r="AR212" s="1177"/>
      <c r="AS212" s="1548"/>
      <c r="AT212" s="1549"/>
      <c r="AU212" s="1178"/>
      <c r="AV212" s="1179"/>
      <c r="AY212" s="3">
        <v>1</v>
      </c>
    </row>
    <row r="213" spans="2:51" ht="27" customHeight="1">
      <c r="B213" s="104"/>
      <c r="C213" s="1172"/>
      <c r="D213" s="1172"/>
      <c r="E213" s="1172"/>
      <c r="F213" s="1173"/>
      <c r="G213" s="1174"/>
      <c r="H213" s="1175"/>
      <c r="I213" s="1176"/>
      <c r="J213" s="1177"/>
      <c r="K213" s="1547"/>
      <c r="L213" s="1177"/>
      <c r="M213" s="1548"/>
      <c r="N213" s="1549"/>
      <c r="O213" s="1178"/>
      <c r="P213" s="1179"/>
      <c r="Q213" s="1171"/>
      <c r="R213" s="104"/>
      <c r="S213" s="1172"/>
      <c r="T213" s="1172"/>
      <c r="U213" s="1172"/>
      <c r="V213" s="1173"/>
      <c r="W213" s="1174"/>
      <c r="X213" s="1175"/>
      <c r="Y213" s="1176"/>
      <c r="Z213" s="1177"/>
      <c r="AA213" s="1547"/>
      <c r="AB213" s="1177"/>
      <c r="AC213" s="1548"/>
      <c r="AD213" s="1549"/>
      <c r="AE213" s="1178"/>
      <c r="AF213" s="1179"/>
      <c r="AG213" s="1171"/>
      <c r="AH213" s="104"/>
      <c r="AI213" s="1172"/>
      <c r="AJ213" s="1172"/>
      <c r="AK213" s="1172"/>
      <c r="AL213" s="1173"/>
      <c r="AM213" s="1174"/>
      <c r="AN213" s="1175"/>
      <c r="AO213" s="1176"/>
      <c r="AP213" s="1177"/>
      <c r="AQ213" s="1547"/>
      <c r="AR213" s="1177"/>
      <c r="AS213" s="1548"/>
      <c r="AT213" s="1549"/>
      <c r="AU213" s="1178"/>
      <c r="AV213" s="1179"/>
      <c r="AY213" s="3">
        <v>1</v>
      </c>
    </row>
    <row r="214" spans="2:51" ht="27" customHeight="1">
      <c r="B214" s="104"/>
      <c r="C214" s="1172"/>
      <c r="D214" s="1172"/>
      <c r="E214" s="1172"/>
      <c r="F214" s="1173"/>
      <c r="G214" s="1174"/>
      <c r="H214" s="1175"/>
      <c r="I214" s="1176"/>
      <c r="J214" s="1177"/>
      <c r="K214" s="1547"/>
      <c r="L214" s="1177"/>
      <c r="M214" s="1548"/>
      <c r="N214" s="1549"/>
      <c r="O214" s="1178"/>
      <c r="P214" s="1179"/>
      <c r="Q214" s="1171"/>
      <c r="R214" s="104"/>
      <c r="S214" s="1172"/>
      <c r="T214" s="1172"/>
      <c r="U214" s="1172"/>
      <c r="V214" s="1173"/>
      <c r="W214" s="1174"/>
      <c r="X214" s="1175"/>
      <c r="Y214" s="1176"/>
      <c r="Z214" s="1177"/>
      <c r="AA214" s="1547"/>
      <c r="AB214" s="1177"/>
      <c r="AC214" s="1548"/>
      <c r="AD214" s="1549"/>
      <c r="AE214" s="1178"/>
      <c r="AF214" s="1179"/>
      <c r="AG214" s="1171"/>
      <c r="AH214" s="104"/>
      <c r="AI214" s="1172"/>
      <c r="AJ214" s="1172"/>
      <c r="AK214" s="1172"/>
      <c r="AL214" s="1173"/>
      <c r="AM214" s="1174"/>
      <c r="AN214" s="1175"/>
      <c r="AO214" s="1176"/>
      <c r="AP214" s="1177"/>
      <c r="AQ214" s="1547"/>
      <c r="AR214" s="1177"/>
      <c r="AS214" s="1548"/>
      <c r="AT214" s="1549"/>
      <c r="AU214" s="1178"/>
      <c r="AV214" s="1179"/>
      <c r="AY214" s="3">
        <v>1</v>
      </c>
    </row>
    <row r="215" spans="2:51" ht="27" customHeight="1">
      <c r="B215" s="104"/>
      <c r="C215" s="1172"/>
      <c r="D215" s="1172"/>
      <c r="E215" s="1172"/>
      <c r="F215" s="1173"/>
      <c r="G215" s="1174"/>
      <c r="H215" s="1175"/>
      <c r="I215" s="1176"/>
      <c r="J215" s="1177"/>
      <c r="K215" s="1547"/>
      <c r="L215" s="1177"/>
      <c r="M215" s="1548"/>
      <c r="N215" s="1549"/>
      <c r="O215" s="1178"/>
      <c r="P215" s="1179"/>
      <c r="Q215" s="1171"/>
      <c r="R215" s="104"/>
      <c r="S215" s="1172"/>
      <c r="T215" s="1172"/>
      <c r="U215" s="1172"/>
      <c r="V215" s="1173"/>
      <c r="W215" s="1174"/>
      <c r="X215" s="1175"/>
      <c r="Y215" s="1176"/>
      <c r="Z215" s="1177"/>
      <c r="AA215" s="1547"/>
      <c r="AB215" s="1177"/>
      <c r="AC215" s="1548"/>
      <c r="AD215" s="1549"/>
      <c r="AE215" s="1178"/>
      <c r="AF215" s="1179"/>
      <c r="AG215" s="1171"/>
      <c r="AH215" s="104"/>
      <c r="AI215" s="1172"/>
      <c r="AJ215" s="1172"/>
      <c r="AK215" s="1172"/>
      <c r="AL215" s="1173"/>
      <c r="AM215" s="1174"/>
      <c r="AN215" s="1175"/>
      <c r="AO215" s="1176"/>
      <c r="AP215" s="1177"/>
      <c r="AQ215" s="1547"/>
      <c r="AR215" s="1177"/>
      <c r="AS215" s="1548"/>
      <c r="AT215" s="1549"/>
      <c r="AU215" s="1178"/>
      <c r="AV215" s="1179"/>
      <c r="AY215" s="3">
        <v>1</v>
      </c>
    </row>
    <row r="216" spans="2:51" ht="27" customHeight="1">
      <c r="B216" s="104"/>
      <c r="C216" s="1172"/>
      <c r="D216" s="1172"/>
      <c r="E216" s="1172"/>
      <c r="F216" s="1173"/>
      <c r="G216" s="1174"/>
      <c r="H216" s="1175"/>
      <c r="I216" s="1176"/>
      <c r="J216" s="1177"/>
      <c r="K216" s="1547"/>
      <c r="L216" s="1177"/>
      <c r="M216" s="1548"/>
      <c r="N216" s="1549"/>
      <c r="O216" s="1178"/>
      <c r="P216" s="1179"/>
      <c r="Q216" s="1171"/>
      <c r="R216" s="104"/>
      <c r="S216" s="1172"/>
      <c r="T216" s="1172"/>
      <c r="U216" s="1172"/>
      <c r="V216" s="1173"/>
      <c r="W216" s="1174"/>
      <c r="X216" s="1175"/>
      <c r="Y216" s="1176"/>
      <c r="Z216" s="1177"/>
      <c r="AA216" s="1547"/>
      <c r="AB216" s="1177"/>
      <c r="AC216" s="1548"/>
      <c r="AD216" s="1549"/>
      <c r="AE216" s="1178"/>
      <c r="AF216" s="1179"/>
      <c r="AG216" s="1171"/>
      <c r="AH216" s="104"/>
      <c r="AI216" s="1172"/>
      <c r="AJ216" s="1172"/>
      <c r="AK216" s="1172"/>
      <c r="AL216" s="1173"/>
      <c r="AM216" s="1174"/>
      <c r="AN216" s="1175"/>
      <c r="AO216" s="1176"/>
      <c r="AP216" s="1177"/>
      <c r="AQ216" s="1547"/>
      <c r="AR216" s="1177"/>
      <c r="AS216" s="1548"/>
      <c r="AT216" s="1549"/>
      <c r="AU216" s="1178"/>
      <c r="AV216" s="1179"/>
      <c r="AY216" s="3">
        <v>1</v>
      </c>
    </row>
    <row r="217" spans="2:51" ht="27" customHeight="1">
      <c r="B217" s="104"/>
      <c r="C217" s="1172"/>
      <c r="D217" s="1172"/>
      <c r="E217" s="1172"/>
      <c r="F217" s="1173"/>
      <c r="G217" s="1174"/>
      <c r="H217" s="1175"/>
      <c r="I217" s="1176"/>
      <c r="J217" s="1177"/>
      <c r="K217" s="1547"/>
      <c r="L217" s="1177"/>
      <c r="M217" s="1548"/>
      <c r="N217" s="1549"/>
      <c r="O217" s="1178"/>
      <c r="P217" s="1179"/>
      <c r="Q217" s="1171"/>
      <c r="R217" s="104"/>
      <c r="S217" s="1172"/>
      <c r="T217" s="1172"/>
      <c r="U217" s="1172"/>
      <c r="V217" s="1173"/>
      <c r="W217" s="1174"/>
      <c r="X217" s="1175"/>
      <c r="Y217" s="1176"/>
      <c r="Z217" s="1177"/>
      <c r="AA217" s="1547"/>
      <c r="AB217" s="1177"/>
      <c r="AC217" s="1548"/>
      <c r="AD217" s="1549"/>
      <c r="AE217" s="1178"/>
      <c r="AF217" s="1179"/>
      <c r="AG217" s="1171"/>
      <c r="AH217" s="104"/>
      <c r="AI217" s="1172"/>
      <c r="AJ217" s="1172"/>
      <c r="AK217" s="1172"/>
      <c r="AL217" s="1173"/>
      <c r="AM217" s="1174"/>
      <c r="AN217" s="1175"/>
      <c r="AO217" s="1176"/>
      <c r="AP217" s="1177"/>
      <c r="AQ217" s="1547"/>
      <c r="AR217" s="1177"/>
      <c r="AS217" s="1548"/>
      <c r="AT217" s="1549"/>
      <c r="AU217" s="1178"/>
      <c r="AV217" s="1179"/>
      <c r="AY217" s="3">
        <v>1</v>
      </c>
    </row>
    <row r="218" spans="2:51" ht="27" customHeight="1">
      <c r="B218" s="104"/>
      <c r="C218" s="1172"/>
      <c r="D218" s="1172"/>
      <c r="E218" s="1172"/>
      <c r="F218" s="1173"/>
      <c r="G218" s="1174"/>
      <c r="H218" s="1175"/>
      <c r="I218" s="1176"/>
      <c r="J218" s="1177"/>
      <c r="K218" s="1547"/>
      <c r="L218" s="1177"/>
      <c r="M218" s="1548"/>
      <c r="N218" s="1549"/>
      <c r="O218" s="1178"/>
      <c r="P218" s="1179"/>
      <c r="Q218" s="1171"/>
      <c r="R218" s="104"/>
      <c r="S218" s="1172"/>
      <c r="T218" s="1172"/>
      <c r="U218" s="1172"/>
      <c r="V218" s="1173"/>
      <c r="W218" s="1174"/>
      <c r="X218" s="1175"/>
      <c r="Y218" s="1176"/>
      <c r="Z218" s="1177"/>
      <c r="AA218" s="1547"/>
      <c r="AB218" s="1177"/>
      <c r="AC218" s="1548"/>
      <c r="AD218" s="1549"/>
      <c r="AE218" s="1178"/>
      <c r="AF218" s="1179"/>
      <c r="AG218" s="1171"/>
      <c r="AH218" s="104"/>
      <c r="AI218" s="1172"/>
      <c r="AJ218" s="1172"/>
      <c r="AK218" s="1172"/>
      <c r="AL218" s="1173"/>
      <c r="AM218" s="1174"/>
      <c r="AN218" s="1175"/>
      <c r="AO218" s="1176"/>
      <c r="AP218" s="1177"/>
      <c r="AQ218" s="1547"/>
      <c r="AR218" s="1177"/>
      <c r="AS218" s="1548"/>
      <c r="AT218" s="1549"/>
      <c r="AU218" s="1178"/>
      <c r="AV218" s="1179"/>
      <c r="AY218" s="3">
        <v>1</v>
      </c>
    </row>
    <row r="219" spans="2:51" ht="27" customHeight="1">
      <c r="B219" s="104"/>
      <c r="C219" s="1172"/>
      <c r="D219" s="1172"/>
      <c r="E219" s="1172"/>
      <c r="F219" s="1173"/>
      <c r="G219" s="1174"/>
      <c r="H219" s="1175"/>
      <c r="I219" s="1176"/>
      <c r="J219" s="1177"/>
      <c r="K219" s="1547"/>
      <c r="L219" s="1177"/>
      <c r="M219" s="1548"/>
      <c r="N219" s="1549"/>
      <c r="O219" s="1178"/>
      <c r="P219" s="1179"/>
      <c r="Q219" s="1171"/>
      <c r="R219" s="104"/>
      <c r="S219" s="1172"/>
      <c r="T219" s="1172"/>
      <c r="U219" s="1172"/>
      <c r="V219" s="1173"/>
      <c r="W219" s="1174"/>
      <c r="X219" s="1175"/>
      <c r="Y219" s="1176"/>
      <c r="Z219" s="1177"/>
      <c r="AA219" s="1547"/>
      <c r="AB219" s="1177"/>
      <c r="AC219" s="1548"/>
      <c r="AD219" s="1549"/>
      <c r="AE219" s="1178"/>
      <c r="AF219" s="1179"/>
      <c r="AG219" s="1171"/>
      <c r="AH219" s="104"/>
      <c r="AI219" s="1172"/>
      <c r="AJ219" s="1172"/>
      <c r="AK219" s="1172"/>
      <c r="AL219" s="1173"/>
      <c r="AM219" s="1174"/>
      <c r="AN219" s="1175"/>
      <c r="AO219" s="1176"/>
      <c r="AP219" s="1177"/>
      <c r="AQ219" s="1547"/>
      <c r="AR219" s="1177"/>
      <c r="AS219" s="1548"/>
      <c r="AT219" s="1549"/>
      <c r="AU219" s="1178"/>
      <c r="AV219" s="1179"/>
      <c r="AY219" s="3">
        <v>1</v>
      </c>
    </row>
    <row r="220" spans="2:51" ht="27" customHeight="1">
      <c r="B220" s="104"/>
      <c r="C220" s="1172"/>
      <c r="D220" s="1172"/>
      <c r="E220" s="1172"/>
      <c r="F220" s="1173"/>
      <c r="G220" s="1174"/>
      <c r="H220" s="1175"/>
      <c r="I220" s="1176"/>
      <c r="J220" s="1177"/>
      <c r="K220" s="1547"/>
      <c r="L220" s="1177"/>
      <c r="M220" s="1548"/>
      <c r="N220" s="1549"/>
      <c r="O220" s="1178"/>
      <c r="P220" s="1179"/>
      <c r="Q220" s="1171"/>
      <c r="R220" s="104"/>
      <c r="S220" s="1172"/>
      <c r="T220" s="1172"/>
      <c r="U220" s="1172"/>
      <c r="V220" s="1173"/>
      <c r="W220" s="1174"/>
      <c r="X220" s="1175"/>
      <c r="Y220" s="1176"/>
      <c r="Z220" s="1177"/>
      <c r="AA220" s="1547"/>
      <c r="AB220" s="1177"/>
      <c r="AC220" s="1548"/>
      <c r="AD220" s="1549"/>
      <c r="AE220" s="1178"/>
      <c r="AF220" s="1179"/>
      <c r="AG220" s="1171"/>
      <c r="AH220" s="104"/>
      <c r="AI220" s="1172"/>
      <c r="AJ220" s="1172"/>
      <c r="AK220" s="1172"/>
      <c r="AL220" s="1173"/>
      <c r="AM220" s="1174"/>
      <c r="AN220" s="1175"/>
      <c r="AO220" s="1176"/>
      <c r="AP220" s="1177"/>
      <c r="AQ220" s="1547"/>
      <c r="AR220" s="1177"/>
      <c r="AS220" s="1548"/>
      <c r="AT220" s="1549"/>
      <c r="AU220" s="1178"/>
      <c r="AV220" s="1179"/>
      <c r="AY220" s="3">
        <v>1</v>
      </c>
    </row>
    <row r="221" spans="2:51" ht="27" customHeight="1">
      <c r="B221" s="104"/>
      <c r="C221" s="1172"/>
      <c r="D221" s="1172"/>
      <c r="E221" s="1172"/>
      <c r="F221" s="1173"/>
      <c r="G221" s="1174"/>
      <c r="H221" s="1175"/>
      <c r="I221" s="1176"/>
      <c r="J221" s="1177"/>
      <c r="K221" s="1547"/>
      <c r="L221" s="1177"/>
      <c r="M221" s="1548"/>
      <c r="N221" s="1549"/>
      <c r="O221" s="1178"/>
      <c r="P221" s="1179"/>
      <c r="Q221" s="1171"/>
      <c r="R221" s="104"/>
      <c r="S221" s="1172"/>
      <c r="T221" s="1172"/>
      <c r="U221" s="1172"/>
      <c r="V221" s="1173"/>
      <c r="W221" s="1174"/>
      <c r="X221" s="1175"/>
      <c r="Y221" s="1176"/>
      <c r="Z221" s="1177"/>
      <c r="AA221" s="1547"/>
      <c r="AB221" s="1177"/>
      <c r="AC221" s="1548"/>
      <c r="AD221" s="1549"/>
      <c r="AE221" s="1178"/>
      <c r="AF221" s="1179"/>
      <c r="AG221" s="1171"/>
      <c r="AH221" s="104"/>
      <c r="AI221" s="1172"/>
      <c r="AJ221" s="1172"/>
      <c r="AK221" s="1172"/>
      <c r="AL221" s="1173"/>
      <c r="AM221" s="1174"/>
      <c r="AN221" s="1175"/>
      <c r="AO221" s="1176"/>
      <c r="AP221" s="1177"/>
      <c r="AQ221" s="1547"/>
      <c r="AR221" s="1177"/>
      <c r="AS221" s="1548"/>
      <c r="AT221" s="1549"/>
      <c r="AU221" s="1178"/>
      <c r="AV221" s="1179"/>
      <c r="AY221" s="3">
        <v>1</v>
      </c>
    </row>
    <row r="222" spans="2:51" ht="27" customHeight="1">
      <c r="B222" s="104"/>
      <c r="C222" s="1172"/>
      <c r="D222" s="1172"/>
      <c r="E222" s="1172"/>
      <c r="F222" s="1173"/>
      <c r="G222" s="1174"/>
      <c r="H222" s="1175"/>
      <c r="I222" s="1176"/>
      <c r="J222" s="1177"/>
      <c r="K222" s="1547"/>
      <c r="L222" s="1177"/>
      <c r="M222" s="1548"/>
      <c r="N222" s="1549"/>
      <c r="O222" s="1178"/>
      <c r="P222" s="1179"/>
      <c r="Q222" s="1171"/>
      <c r="R222" s="104"/>
      <c r="S222" s="1172"/>
      <c r="T222" s="1172"/>
      <c r="U222" s="1172"/>
      <c r="V222" s="1173"/>
      <c r="W222" s="1174"/>
      <c r="X222" s="1175"/>
      <c r="Y222" s="1176"/>
      <c r="Z222" s="1177"/>
      <c r="AA222" s="1547"/>
      <c r="AB222" s="1177"/>
      <c r="AC222" s="1548"/>
      <c r="AD222" s="1549"/>
      <c r="AE222" s="1178"/>
      <c r="AF222" s="1179"/>
      <c r="AG222" s="1171"/>
      <c r="AH222" s="104"/>
      <c r="AI222" s="1172"/>
      <c r="AJ222" s="1172"/>
      <c r="AK222" s="1172"/>
      <c r="AL222" s="1173"/>
      <c r="AM222" s="1174"/>
      <c r="AN222" s="1175"/>
      <c r="AO222" s="1176"/>
      <c r="AP222" s="1177"/>
      <c r="AQ222" s="1547"/>
      <c r="AR222" s="1177"/>
      <c r="AS222" s="1548"/>
      <c r="AT222" s="1549"/>
      <c r="AU222" s="1178"/>
      <c r="AV222" s="1179"/>
      <c r="AY222" s="3">
        <v>1</v>
      </c>
    </row>
    <row r="223" spans="2:51" ht="27" customHeight="1">
      <c r="B223" s="104"/>
      <c r="C223" s="1172"/>
      <c r="D223" s="1172"/>
      <c r="E223" s="1172"/>
      <c r="F223" s="1173"/>
      <c r="G223" s="1174"/>
      <c r="H223" s="1175"/>
      <c r="I223" s="1176"/>
      <c r="J223" s="1177"/>
      <c r="K223" s="1547"/>
      <c r="L223" s="1177"/>
      <c r="M223" s="1548"/>
      <c r="N223" s="1549"/>
      <c r="O223" s="1178"/>
      <c r="P223" s="1179"/>
      <c r="Q223" s="1171"/>
      <c r="R223" s="104"/>
      <c r="S223" s="1172"/>
      <c r="T223" s="1172"/>
      <c r="U223" s="1172"/>
      <c r="V223" s="1173"/>
      <c r="W223" s="1174"/>
      <c r="X223" s="1175"/>
      <c r="Y223" s="1176"/>
      <c r="Z223" s="1177"/>
      <c r="AA223" s="1547"/>
      <c r="AB223" s="1177"/>
      <c r="AC223" s="1548"/>
      <c r="AD223" s="1549"/>
      <c r="AE223" s="1178"/>
      <c r="AF223" s="1179"/>
      <c r="AG223" s="1171"/>
      <c r="AH223" s="104"/>
      <c r="AI223" s="1172"/>
      <c r="AJ223" s="1172"/>
      <c r="AK223" s="1172"/>
      <c r="AL223" s="1173"/>
      <c r="AM223" s="1174"/>
      <c r="AN223" s="1175"/>
      <c r="AO223" s="1176"/>
      <c r="AP223" s="1177"/>
      <c r="AQ223" s="1547"/>
      <c r="AR223" s="1177"/>
      <c r="AS223" s="1548"/>
      <c r="AT223" s="1549"/>
      <c r="AU223" s="1178"/>
      <c r="AV223" s="1179"/>
      <c r="AY223" s="3">
        <v>1</v>
      </c>
    </row>
    <row r="224" spans="2:51" ht="27" customHeight="1">
      <c r="B224" s="104"/>
      <c r="C224" s="1172"/>
      <c r="D224" s="1172"/>
      <c r="E224" s="1172"/>
      <c r="F224" s="1173"/>
      <c r="G224" s="1174"/>
      <c r="H224" s="1175"/>
      <c r="I224" s="1176"/>
      <c r="J224" s="1177"/>
      <c r="K224" s="1547"/>
      <c r="L224" s="1177"/>
      <c r="M224" s="1548"/>
      <c r="N224" s="1549"/>
      <c r="O224" s="1178"/>
      <c r="P224" s="1179"/>
      <c r="Q224" s="1171"/>
      <c r="R224" s="104"/>
      <c r="S224" s="1172"/>
      <c r="T224" s="1172"/>
      <c r="U224" s="1172"/>
      <c r="V224" s="1173"/>
      <c r="W224" s="1174"/>
      <c r="X224" s="1175"/>
      <c r="Y224" s="1176"/>
      <c r="Z224" s="1177"/>
      <c r="AA224" s="1547"/>
      <c r="AB224" s="1177"/>
      <c r="AC224" s="1548"/>
      <c r="AD224" s="1549"/>
      <c r="AE224" s="1178"/>
      <c r="AF224" s="1179"/>
      <c r="AG224" s="1171"/>
      <c r="AH224" s="104"/>
      <c r="AI224" s="1172"/>
      <c r="AJ224" s="1172"/>
      <c r="AK224" s="1172"/>
      <c r="AL224" s="1173"/>
      <c r="AM224" s="1174"/>
      <c r="AN224" s="1175"/>
      <c r="AO224" s="1176"/>
      <c r="AP224" s="1177"/>
      <c r="AQ224" s="1547"/>
      <c r="AR224" s="1177"/>
      <c r="AS224" s="1548"/>
      <c r="AT224" s="1549"/>
      <c r="AU224" s="1178"/>
      <c r="AV224" s="1179"/>
      <c r="AY224" s="3">
        <v>1</v>
      </c>
    </row>
    <row r="225" spans="2:51" ht="27" customHeight="1">
      <c r="B225" s="104"/>
      <c r="C225" s="1172"/>
      <c r="D225" s="1172"/>
      <c r="E225" s="1172"/>
      <c r="F225" s="1173"/>
      <c r="G225" s="1174"/>
      <c r="H225" s="1175"/>
      <c r="I225" s="1176"/>
      <c r="J225" s="1177"/>
      <c r="K225" s="1547"/>
      <c r="L225" s="1177"/>
      <c r="M225" s="1548"/>
      <c r="N225" s="1549"/>
      <c r="O225" s="1178"/>
      <c r="P225" s="1179"/>
      <c r="Q225" s="1171"/>
      <c r="R225" s="104"/>
      <c r="S225" s="1172"/>
      <c r="T225" s="1172"/>
      <c r="U225" s="1172"/>
      <c r="V225" s="1173"/>
      <c r="W225" s="1174"/>
      <c r="X225" s="1175"/>
      <c r="Y225" s="1176"/>
      <c r="Z225" s="1177"/>
      <c r="AA225" s="1547"/>
      <c r="AB225" s="1177"/>
      <c r="AC225" s="1548"/>
      <c r="AD225" s="1549"/>
      <c r="AE225" s="1178"/>
      <c r="AF225" s="1179"/>
      <c r="AG225" s="1171"/>
      <c r="AH225" s="104"/>
      <c r="AI225" s="1172"/>
      <c r="AJ225" s="1172"/>
      <c r="AK225" s="1172"/>
      <c r="AL225" s="1173"/>
      <c r="AM225" s="1174"/>
      <c r="AN225" s="1175"/>
      <c r="AO225" s="1176"/>
      <c r="AP225" s="1177"/>
      <c r="AQ225" s="1547"/>
      <c r="AR225" s="1177"/>
      <c r="AS225" s="1548"/>
      <c r="AT225" s="1549"/>
      <c r="AU225" s="1178"/>
      <c r="AV225" s="1179"/>
      <c r="AY225" s="3">
        <v>1</v>
      </c>
    </row>
    <row r="226" spans="2:51" ht="27" customHeight="1">
      <c r="B226" s="104"/>
      <c r="C226" s="1172"/>
      <c r="D226" s="1172"/>
      <c r="E226" s="1172"/>
      <c r="F226" s="1173"/>
      <c r="G226" s="1174"/>
      <c r="H226" s="1175"/>
      <c r="I226" s="1176"/>
      <c r="J226" s="1177"/>
      <c r="K226" s="1547"/>
      <c r="L226" s="1177"/>
      <c r="M226" s="1548"/>
      <c r="N226" s="1549"/>
      <c r="O226" s="1178"/>
      <c r="P226" s="1179"/>
      <c r="Q226" s="1171"/>
      <c r="R226" s="104"/>
      <c r="S226" s="1172"/>
      <c r="T226" s="1172"/>
      <c r="U226" s="1172"/>
      <c r="V226" s="1173"/>
      <c r="W226" s="1174"/>
      <c r="X226" s="1175"/>
      <c r="Y226" s="1176"/>
      <c r="Z226" s="1177"/>
      <c r="AA226" s="1547"/>
      <c r="AB226" s="1177"/>
      <c r="AC226" s="1548"/>
      <c r="AD226" s="1549"/>
      <c r="AE226" s="1178"/>
      <c r="AF226" s="1179"/>
      <c r="AG226" s="1171"/>
      <c r="AH226" s="104"/>
      <c r="AI226" s="1172"/>
      <c r="AJ226" s="1172"/>
      <c r="AK226" s="1172"/>
      <c r="AL226" s="1173"/>
      <c r="AM226" s="1174"/>
      <c r="AN226" s="1175"/>
      <c r="AO226" s="1176"/>
      <c r="AP226" s="1177"/>
      <c r="AQ226" s="1547"/>
      <c r="AR226" s="1177"/>
      <c r="AS226" s="1548"/>
      <c r="AT226" s="1549"/>
      <c r="AU226" s="1178"/>
      <c r="AV226" s="1179"/>
      <c r="AY226" s="3">
        <v>1</v>
      </c>
    </row>
    <row r="227" spans="2:51" ht="27" customHeight="1">
      <c r="B227" s="104"/>
      <c r="C227" s="1172"/>
      <c r="D227" s="1172"/>
      <c r="E227" s="1172"/>
      <c r="F227" s="1173"/>
      <c r="G227" s="1174"/>
      <c r="H227" s="1175"/>
      <c r="I227" s="1176"/>
      <c r="J227" s="1177"/>
      <c r="K227" s="1547"/>
      <c r="L227" s="1177"/>
      <c r="M227" s="1548"/>
      <c r="N227" s="1549"/>
      <c r="O227" s="1178"/>
      <c r="P227" s="1179"/>
      <c r="Q227" s="1171"/>
      <c r="R227" s="104"/>
      <c r="S227" s="1172"/>
      <c r="T227" s="1172"/>
      <c r="U227" s="1172"/>
      <c r="V227" s="1173"/>
      <c r="W227" s="1174"/>
      <c r="X227" s="1175"/>
      <c r="Y227" s="1176"/>
      <c r="Z227" s="1177"/>
      <c r="AA227" s="1547"/>
      <c r="AB227" s="1177"/>
      <c r="AC227" s="1548"/>
      <c r="AD227" s="1549"/>
      <c r="AE227" s="1178"/>
      <c r="AF227" s="1179"/>
      <c r="AG227" s="1171"/>
      <c r="AH227" s="104"/>
      <c r="AI227" s="1172"/>
      <c r="AJ227" s="1172"/>
      <c r="AK227" s="1172"/>
      <c r="AL227" s="1173"/>
      <c r="AM227" s="1174"/>
      <c r="AN227" s="1175"/>
      <c r="AO227" s="1176"/>
      <c r="AP227" s="1177"/>
      <c r="AQ227" s="1547"/>
      <c r="AR227" s="1177"/>
      <c r="AS227" s="1548"/>
      <c r="AT227" s="1549"/>
      <c r="AU227" s="1178"/>
      <c r="AV227" s="1179"/>
      <c r="AY227" s="3">
        <v>1</v>
      </c>
    </row>
    <row r="228" spans="2:51" ht="27" customHeight="1">
      <c r="B228" s="104"/>
      <c r="C228" s="1172"/>
      <c r="D228" s="1172"/>
      <c r="E228" s="1172"/>
      <c r="F228" s="1173"/>
      <c r="G228" s="1174"/>
      <c r="H228" s="1175"/>
      <c r="I228" s="1176"/>
      <c r="J228" s="1177"/>
      <c r="K228" s="1547"/>
      <c r="L228" s="1177"/>
      <c r="M228" s="1548"/>
      <c r="N228" s="1549"/>
      <c r="O228" s="1178"/>
      <c r="P228" s="1179"/>
      <c r="Q228" s="1180"/>
      <c r="R228" s="104"/>
      <c r="S228" s="1172"/>
      <c r="T228" s="1172"/>
      <c r="U228" s="1172"/>
      <c r="V228" s="1173"/>
      <c r="W228" s="1174"/>
      <c r="X228" s="1175"/>
      <c r="Y228" s="1176"/>
      <c r="Z228" s="1177"/>
      <c r="AA228" s="1547"/>
      <c r="AB228" s="1177"/>
      <c r="AC228" s="1548"/>
      <c r="AD228" s="1549"/>
      <c r="AE228" s="1178"/>
      <c r="AF228" s="1179"/>
      <c r="AG228" s="1171"/>
      <c r="AH228" s="104"/>
      <c r="AI228" s="1172"/>
      <c r="AJ228" s="1172"/>
      <c r="AK228" s="1172"/>
      <c r="AL228" s="1173"/>
      <c r="AM228" s="1174"/>
      <c r="AN228" s="1175"/>
      <c r="AO228" s="1176"/>
      <c r="AP228" s="1177"/>
      <c r="AQ228" s="1547"/>
      <c r="AR228" s="1177"/>
      <c r="AS228" s="1548"/>
      <c r="AT228" s="1549"/>
      <c r="AU228" s="1178"/>
      <c r="AV228" s="1179"/>
      <c r="AY228" s="3">
        <v>1</v>
      </c>
    </row>
    <row r="229" spans="2:51" ht="27" customHeight="1">
      <c r="B229" s="104"/>
      <c r="C229" s="1172"/>
      <c r="D229" s="1172"/>
      <c r="E229" s="1172"/>
      <c r="F229" s="1173"/>
      <c r="G229" s="1174"/>
      <c r="H229" s="1175"/>
      <c r="I229" s="1176"/>
      <c r="J229" s="1177"/>
      <c r="K229" s="1547"/>
      <c r="L229" s="1177"/>
      <c r="M229" s="1548"/>
      <c r="N229" s="1549"/>
      <c r="O229" s="1178"/>
      <c r="P229" s="1179"/>
      <c r="Q229" s="1180"/>
      <c r="R229" s="104"/>
      <c r="S229" s="1172"/>
      <c r="T229" s="1172"/>
      <c r="U229" s="1172"/>
      <c r="V229" s="1173"/>
      <c r="W229" s="1174"/>
      <c r="X229" s="1175"/>
      <c r="Y229" s="1176"/>
      <c r="Z229" s="1177"/>
      <c r="AA229" s="1547"/>
      <c r="AB229" s="1177"/>
      <c r="AC229" s="1548"/>
      <c r="AD229" s="1549"/>
      <c r="AE229" s="1178"/>
      <c r="AF229" s="1179"/>
      <c r="AG229" s="1171"/>
      <c r="AH229" s="104"/>
      <c r="AI229" s="1172"/>
      <c r="AJ229" s="1172"/>
      <c r="AK229" s="1172"/>
      <c r="AL229" s="1173"/>
      <c r="AM229" s="1174"/>
      <c r="AN229" s="1175"/>
      <c r="AO229" s="1176"/>
      <c r="AP229" s="1177"/>
      <c r="AQ229" s="1547"/>
      <c r="AR229" s="1177"/>
      <c r="AS229" s="1548"/>
      <c r="AT229" s="1549"/>
      <c r="AU229" s="1178"/>
      <c r="AV229" s="1179"/>
      <c r="AY229" s="3">
        <v>1</v>
      </c>
    </row>
    <row r="230" spans="2:51" ht="27" customHeight="1">
      <c r="B230" s="104"/>
      <c r="C230" s="1172"/>
      <c r="D230" s="1172"/>
      <c r="E230" s="1172"/>
      <c r="F230" s="1173"/>
      <c r="G230" s="1174"/>
      <c r="H230" s="1175"/>
      <c r="I230" s="1176"/>
      <c r="J230" s="1177"/>
      <c r="K230" s="1547"/>
      <c r="L230" s="1177"/>
      <c r="M230" s="1548"/>
      <c r="N230" s="1549"/>
      <c r="O230" s="1178"/>
      <c r="P230" s="1179"/>
      <c r="R230" s="104"/>
      <c r="S230" s="1172"/>
      <c r="T230" s="1172"/>
      <c r="U230" s="1172"/>
      <c r="V230" s="1173"/>
      <c r="W230" s="1174"/>
      <c r="X230" s="1175"/>
      <c r="Y230" s="1176"/>
      <c r="Z230" s="1177"/>
      <c r="AA230" s="1547"/>
      <c r="AB230" s="1177"/>
      <c r="AC230" s="1548"/>
      <c r="AD230" s="1549"/>
      <c r="AE230" s="1178"/>
      <c r="AF230" s="1179"/>
      <c r="AH230" s="104"/>
      <c r="AI230" s="1172"/>
      <c r="AJ230" s="1172"/>
      <c r="AK230" s="1172"/>
      <c r="AL230" s="1173"/>
      <c r="AM230" s="1174"/>
      <c r="AN230" s="1175"/>
      <c r="AO230" s="1176"/>
      <c r="AP230" s="1177"/>
      <c r="AQ230" s="1547"/>
      <c r="AR230" s="1177"/>
      <c r="AS230" s="1548"/>
      <c r="AT230" s="1549"/>
      <c r="AU230" s="1178"/>
      <c r="AV230" s="1179"/>
      <c r="AY230" s="3">
        <v>1</v>
      </c>
    </row>
    <row r="231" spans="2:51" ht="27" customHeight="1">
      <c r="B231" s="104"/>
      <c r="C231" s="1172"/>
      <c r="D231" s="1172"/>
      <c r="E231" s="1172"/>
      <c r="F231" s="1173"/>
      <c r="G231" s="1174"/>
      <c r="H231" s="1175"/>
      <c r="I231" s="1176"/>
      <c r="J231" s="1177"/>
      <c r="K231" s="1547"/>
      <c r="L231" s="1177"/>
      <c r="M231" s="1548"/>
      <c r="N231" s="1549"/>
      <c r="O231" s="1178"/>
      <c r="P231" s="1179"/>
      <c r="R231" s="104"/>
      <c r="S231" s="1172"/>
      <c r="T231" s="1172"/>
      <c r="U231" s="1172"/>
      <c r="V231" s="1173"/>
      <c r="W231" s="1174"/>
      <c r="X231" s="1175"/>
      <c r="Y231" s="1176"/>
      <c r="Z231" s="1177"/>
      <c r="AA231" s="1547"/>
      <c r="AB231" s="1177"/>
      <c r="AC231" s="1548"/>
      <c r="AD231" s="1549"/>
      <c r="AE231" s="1178"/>
      <c r="AF231" s="1179"/>
      <c r="AH231" s="104"/>
      <c r="AI231" s="1172"/>
      <c r="AJ231" s="1172"/>
      <c r="AK231" s="1172"/>
      <c r="AL231" s="1173"/>
      <c r="AM231" s="1174"/>
      <c r="AN231" s="1175"/>
      <c r="AO231" s="1176"/>
      <c r="AP231" s="1177"/>
      <c r="AQ231" s="1547"/>
      <c r="AR231" s="1177"/>
      <c r="AS231" s="1548"/>
      <c r="AT231" s="1549"/>
      <c r="AU231" s="1178"/>
      <c r="AV231" s="1179"/>
      <c r="AY231" s="3">
        <v>1</v>
      </c>
    </row>
    <row r="232" spans="2:51" ht="27" customHeight="1">
      <c r="B232" s="104"/>
      <c r="C232" s="1172"/>
      <c r="D232" s="1172"/>
      <c r="E232" s="1172"/>
      <c r="F232" s="1173"/>
      <c r="G232" s="1174"/>
      <c r="H232" s="1175"/>
      <c r="I232" s="1176"/>
      <c r="J232" s="1177"/>
      <c r="K232" s="1547"/>
      <c r="L232" s="1177"/>
      <c r="M232" s="1548"/>
      <c r="N232" s="1549"/>
      <c r="O232" s="1178"/>
      <c r="P232" s="1179"/>
      <c r="R232" s="104"/>
      <c r="S232" s="1172"/>
      <c r="T232" s="1172"/>
      <c r="U232" s="1172"/>
      <c r="V232" s="1173"/>
      <c r="W232" s="1174"/>
      <c r="X232" s="1175"/>
      <c r="Y232" s="1176"/>
      <c r="Z232" s="1177"/>
      <c r="AA232" s="1547"/>
      <c r="AB232" s="1177"/>
      <c r="AC232" s="1548"/>
      <c r="AD232" s="1549"/>
      <c r="AE232" s="1178"/>
      <c r="AF232" s="1179"/>
      <c r="AH232" s="104"/>
      <c r="AI232" s="1172"/>
      <c r="AJ232" s="1172"/>
      <c r="AK232" s="1172"/>
      <c r="AL232" s="1173"/>
      <c r="AM232" s="1174"/>
      <c r="AN232" s="1175"/>
      <c r="AO232" s="1176"/>
      <c r="AP232" s="1177"/>
      <c r="AQ232" s="1547"/>
      <c r="AR232" s="1177"/>
      <c r="AS232" s="1548"/>
      <c r="AT232" s="1549"/>
      <c r="AU232" s="1178"/>
      <c r="AV232" s="1179"/>
      <c r="AY232" s="3">
        <v>1</v>
      </c>
    </row>
    <row r="233" spans="2:51" ht="27" customHeight="1">
      <c r="B233" s="104"/>
      <c r="C233" s="1172"/>
      <c r="D233" s="1172"/>
      <c r="E233" s="1172"/>
      <c r="F233" s="1173"/>
      <c r="G233" s="1174"/>
      <c r="H233" s="1175"/>
      <c r="I233" s="1176"/>
      <c r="J233" s="1177"/>
      <c r="K233" s="1547"/>
      <c r="L233" s="1177"/>
      <c r="M233" s="1548"/>
      <c r="N233" s="1549"/>
      <c r="O233" s="1178"/>
      <c r="P233" s="1179"/>
      <c r="R233" s="104"/>
      <c r="S233" s="1172"/>
      <c r="T233" s="1172"/>
      <c r="U233" s="1172"/>
      <c r="V233" s="1173"/>
      <c r="W233" s="1174"/>
      <c r="X233" s="1175"/>
      <c r="Y233" s="1176"/>
      <c r="Z233" s="1177"/>
      <c r="AA233" s="1547"/>
      <c r="AB233" s="1177"/>
      <c r="AC233" s="1548"/>
      <c r="AD233" s="1549"/>
      <c r="AE233" s="1178"/>
      <c r="AF233" s="1179"/>
      <c r="AH233" s="104"/>
      <c r="AI233" s="1172"/>
      <c r="AJ233" s="1172"/>
      <c r="AK233" s="1172"/>
      <c r="AL233" s="1173"/>
      <c r="AM233" s="1174"/>
      <c r="AN233" s="1175"/>
      <c r="AO233" s="1176"/>
      <c r="AP233" s="1177"/>
      <c r="AQ233" s="1547"/>
      <c r="AR233" s="1177"/>
      <c r="AS233" s="1548"/>
      <c r="AT233" s="1549"/>
      <c r="AU233" s="1178"/>
      <c r="AV233" s="1179"/>
      <c r="AY233" s="3">
        <v>1</v>
      </c>
    </row>
    <row r="234" spans="2:51" ht="27" customHeight="1">
      <c r="B234" s="104"/>
      <c r="C234" s="1172"/>
      <c r="D234" s="1172"/>
      <c r="E234" s="1172"/>
      <c r="F234" s="1173"/>
      <c r="G234" s="1174"/>
      <c r="H234" s="1175"/>
      <c r="I234" s="1176"/>
      <c r="J234" s="1177"/>
      <c r="K234" s="1547"/>
      <c r="L234" s="1177"/>
      <c r="M234" s="1548"/>
      <c r="N234" s="1549"/>
      <c r="O234" s="1178"/>
      <c r="P234" s="1179"/>
      <c r="R234" s="104"/>
      <c r="S234" s="1172"/>
      <c r="T234" s="1172"/>
      <c r="U234" s="1172"/>
      <c r="V234" s="1173"/>
      <c r="W234" s="1174"/>
      <c r="X234" s="1175"/>
      <c r="Y234" s="1176"/>
      <c r="Z234" s="1177"/>
      <c r="AA234" s="1547"/>
      <c r="AB234" s="1177"/>
      <c r="AC234" s="1548"/>
      <c r="AD234" s="1549"/>
      <c r="AE234" s="1178"/>
      <c r="AF234" s="1179"/>
      <c r="AH234" s="104"/>
      <c r="AI234" s="1172"/>
      <c r="AJ234" s="1172"/>
      <c r="AK234" s="1172"/>
      <c r="AL234" s="1173"/>
      <c r="AM234" s="1174"/>
      <c r="AN234" s="1175"/>
      <c r="AO234" s="1176"/>
      <c r="AP234" s="1177"/>
      <c r="AQ234" s="1547"/>
      <c r="AR234" s="1177"/>
      <c r="AS234" s="1548"/>
      <c r="AT234" s="1549"/>
      <c r="AU234" s="1178"/>
      <c r="AV234" s="1179"/>
      <c r="AY234" s="3">
        <v>1</v>
      </c>
    </row>
    <row r="235" spans="2:51" ht="27" customHeight="1">
      <c r="B235" s="104"/>
      <c r="C235" s="1172"/>
      <c r="D235" s="1172"/>
      <c r="E235" s="1172"/>
      <c r="F235" s="1173"/>
      <c r="G235" s="1174"/>
      <c r="H235" s="1175"/>
      <c r="I235" s="1176"/>
      <c r="J235" s="1177"/>
      <c r="K235" s="1547"/>
      <c r="L235" s="1177"/>
      <c r="M235" s="1548"/>
      <c r="N235" s="1549"/>
      <c r="O235" s="1178"/>
      <c r="P235" s="1179"/>
      <c r="R235" s="104"/>
      <c r="S235" s="1172"/>
      <c r="T235" s="1172"/>
      <c r="U235" s="1172"/>
      <c r="V235" s="1173"/>
      <c r="W235" s="1174"/>
      <c r="X235" s="1175"/>
      <c r="Y235" s="1176"/>
      <c r="Z235" s="1177"/>
      <c r="AA235" s="1547"/>
      <c r="AB235" s="1177"/>
      <c r="AC235" s="1548"/>
      <c r="AD235" s="1549"/>
      <c r="AE235" s="1178"/>
      <c r="AF235" s="1179"/>
      <c r="AH235" s="104"/>
      <c r="AI235" s="1172"/>
      <c r="AJ235" s="1172"/>
      <c r="AK235" s="1172"/>
      <c r="AL235" s="1173"/>
      <c r="AM235" s="1174"/>
      <c r="AN235" s="1175"/>
      <c r="AO235" s="1176"/>
      <c r="AP235" s="1177"/>
      <c r="AQ235" s="1547"/>
      <c r="AR235" s="1177"/>
      <c r="AS235" s="1548"/>
      <c r="AT235" s="1549"/>
      <c r="AU235" s="1178"/>
      <c r="AV235" s="1179"/>
      <c r="AY235" s="3">
        <v>1</v>
      </c>
    </row>
    <row r="236" spans="2:51" ht="27" customHeight="1">
      <c r="B236" s="104"/>
      <c r="C236" s="1172"/>
      <c r="D236" s="1172"/>
      <c r="E236" s="1172"/>
      <c r="F236" s="1173"/>
      <c r="G236" s="1174"/>
      <c r="H236" s="1175"/>
      <c r="I236" s="1176"/>
      <c r="J236" s="1177"/>
      <c r="K236" s="1547"/>
      <c r="L236" s="1177"/>
      <c r="M236" s="1548"/>
      <c r="N236" s="1549"/>
      <c r="O236" s="1178"/>
      <c r="P236" s="1179"/>
      <c r="R236" s="104"/>
      <c r="S236" s="1172"/>
      <c r="T236" s="1172"/>
      <c r="U236" s="1172"/>
      <c r="V236" s="1173"/>
      <c r="W236" s="1174"/>
      <c r="X236" s="1175"/>
      <c r="Y236" s="1176"/>
      <c r="Z236" s="1177"/>
      <c r="AA236" s="1547"/>
      <c r="AB236" s="1177"/>
      <c r="AC236" s="1548"/>
      <c r="AD236" s="1549"/>
      <c r="AE236" s="1178"/>
      <c r="AF236" s="1179"/>
      <c r="AH236" s="104"/>
      <c r="AI236" s="1172"/>
      <c r="AJ236" s="1172"/>
      <c r="AK236" s="1172"/>
      <c r="AL236" s="1173"/>
      <c r="AM236" s="1174"/>
      <c r="AN236" s="1175"/>
      <c r="AO236" s="1176"/>
      <c r="AP236" s="1177"/>
      <c r="AQ236" s="1547"/>
      <c r="AR236" s="1177"/>
      <c r="AS236" s="1548"/>
      <c r="AT236" s="1549"/>
      <c r="AU236" s="1178"/>
      <c r="AV236" s="1179"/>
      <c r="AY236" s="3">
        <v>1</v>
      </c>
    </row>
    <row r="237" spans="2:51" ht="27" customHeight="1">
      <c r="B237" s="104"/>
      <c r="C237" s="1172"/>
      <c r="D237" s="1172"/>
      <c r="E237" s="1172"/>
      <c r="F237" s="1173"/>
      <c r="G237" s="1174"/>
      <c r="H237" s="1175"/>
      <c r="I237" s="1176"/>
      <c r="J237" s="1177"/>
      <c r="K237" s="1547"/>
      <c r="L237" s="1177"/>
      <c r="M237" s="1548"/>
      <c r="N237" s="1549"/>
      <c r="O237" s="1178"/>
      <c r="P237" s="1179"/>
      <c r="R237" s="104"/>
      <c r="S237" s="1172"/>
      <c r="T237" s="1172"/>
      <c r="U237" s="1172"/>
      <c r="V237" s="1173"/>
      <c r="W237" s="1174"/>
      <c r="X237" s="1175"/>
      <c r="Y237" s="1176"/>
      <c r="Z237" s="1177"/>
      <c r="AA237" s="1547"/>
      <c r="AB237" s="1177"/>
      <c r="AC237" s="1548"/>
      <c r="AD237" s="1549"/>
      <c r="AE237" s="1178"/>
      <c r="AF237" s="1179"/>
      <c r="AH237" s="104"/>
      <c r="AI237" s="1172"/>
      <c r="AJ237" s="1172"/>
      <c r="AK237" s="1172"/>
      <c r="AL237" s="1173"/>
      <c r="AM237" s="1174"/>
      <c r="AN237" s="1175"/>
      <c r="AO237" s="1176"/>
      <c r="AP237" s="1177"/>
      <c r="AQ237" s="1547"/>
      <c r="AR237" s="1177"/>
      <c r="AS237" s="1548"/>
      <c r="AT237" s="1549"/>
      <c r="AU237" s="1178"/>
      <c r="AV237" s="1179"/>
      <c r="AY237" s="3">
        <v>1</v>
      </c>
    </row>
    <row r="238" spans="2:51" ht="27" customHeight="1">
      <c r="B238" s="104"/>
      <c r="C238" s="1172"/>
      <c r="D238" s="1172"/>
      <c r="E238" s="1172"/>
      <c r="F238" s="1173"/>
      <c r="G238" s="1174"/>
      <c r="H238" s="1175"/>
      <c r="I238" s="1176"/>
      <c r="J238" s="1177"/>
      <c r="K238" s="1547"/>
      <c r="L238" s="1177"/>
      <c r="M238" s="1548"/>
      <c r="N238" s="1549"/>
      <c r="O238" s="1178"/>
      <c r="P238" s="1179"/>
      <c r="R238" s="104"/>
      <c r="S238" s="1172"/>
      <c r="T238" s="1172"/>
      <c r="U238" s="1172"/>
      <c r="V238" s="1173"/>
      <c r="W238" s="1174"/>
      <c r="X238" s="1175"/>
      <c r="Y238" s="1176"/>
      <c r="Z238" s="1177"/>
      <c r="AA238" s="1547"/>
      <c r="AB238" s="1177"/>
      <c r="AC238" s="1548"/>
      <c r="AD238" s="1549"/>
      <c r="AE238" s="1178"/>
      <c r="AF238" s="1179"/>
      <c r="AH238" s="104"/>
      <c r="AI238" s="1172"/>
      <c r="AJ238" s="1172"/>
      <c r="AK238" s="1172"/>
      <c r="AL238" s="1173"/>
      <c r="AM238" s="1174"/>
      <c r="AN238" s="1175"/>
      <c r="AO238" s="1176"/>
      <c r="AP238" s="1177"/>
      <c r="AQ238" s="1547"/>
      <c r="AR238" s="1177"/>
      <c r="AS238" s="1548"/>
      <c r="AT238" s="1549"/>
      <c r="AU238" s="1178"/>
      <c r="AV238" s="1179"/>
      <c r="AY238" s="3">
        <v>1</v>
      </c>
    </row>
    <row r="239" spans="2:51" ht="27" customHeight="1">
      <c r="B239" s="104"/>
      <c r="C239" s="1172"/>
      <c r="D239" s="1172"/>
      <c r="E239" s="1172"/>
      <c r="F239" s="1173"/>
      <c r="G239" s="1174"/>
      <c r="H239" s="1175"/>
      <c r="I239" s="1176"/>
      <c r="J239" s="1177"/>
      <c r="K239" s="1547"/>
      <c r="L239" s="1177"/>
      <c r="M239" s="1548"/>
      <c r="N239" s="1549"/>
      <c r="O239" s="1178"/>
      <c r="P239" s="1179"/>
      <c r="R239" s="104"/>
      <c r="S239" s="1172"/>
      <c r="T239" s="1172"/>
      <c r="U239" s="1172"/>
      <c r="V239" s="1173"/>
      <c r="W239" s="1174"/>
      <c r="X239" s="1175"/>
      <c r="Y239" s="1176"/>
      <c r="Z239" s="1177"/>
      <c r="AA239" s="1547"/>
      <c r="AB239" s="1177"/>
      <c r="AC239" s="1548"/>
      <c r="AD239" s="1549"/>
      <c r="AE239" s="1178"/>
      <c r="AF239" s="1179"/>
      <c r="AH239" s="104"/>
      <c r="AI239" s="1172"/>
      <c r="AJ239" s="1172"/>
      <c r="AK239" s="1172"/>
      <c r="AL239" s="1173"/>
      <c r="AM239" s="1174"/>
      <c r="AN239" s="1175"/>
      <c r="AO239" s="1176"/>
      <c r="AP239" s="1177"/>
      <c r="AQ239" s="1547"/>
      <c r="AR239" s="1177"/>
      <c r="AS239" s="1548"/>
      <c r="AT239" s="1549"/>
      <c r="AU239" s="1178"/>
      <c r="AV239" s="1179"/>
      <c r="AY239" s="3">
        <v>1</v>
      </c>
    </row>
    <row r="240" spans="2:51" ht="27" customHeight="1">
      <c r="B240" s="104"/>
      <c r="C240" s="1172"/>
      <c r="D240" s="1172"/>
      <c r="E240" s="1172"/>
      <c r="F240" s="1173"/>
      <c r="G240" s="1174"/>
      <c r="H240" s="1175"/>
      <c r="I240" s="1176"/>
      <c r="J240" s="1177"/>
      <c r="K240" s="1547"/>
      <c r="L240" s="1177"/>
      <c r="M240" s="1548"/>
      <c r="N240" s="1549"/>
      <c r="O240" s="1178"/>
      <c r="P240" s="1179"/>
      <c r="R240" s="104"/>
      <c r="S240" s="1172"/>
      <c r="T240" s="1172"/>
      <c r="U240" s="1172"/>
      <c r="V240" s="1173"/>
      <c r="W240" s="1174"/>
      <c r="X240" s="1175"/>
      <c r="Y240" s="1176"/>
      <c r="Z240" s="1177"/>
      <c r="AA240" s="1547"/>
      <c r="AB240" s="1177"/>
      <c r="AC240" s="1548"/>
      <c r="AD240" s="1549"/>
      <c r="AE240" s="1178"/>
      <c r="AF240" s="1179"/>
      <c r="AH240" s="104"/>
      <c r="AI240" s="1172"/>
      <c r="AJ240" s="1172"/>
      <c r="AK240" s="1172"/>
      <c r="AL240" s="1173"/>
      <c r="AM240" s="1174"/>
      <c r="AN240" s="1175"/>
      <c r="AO240" s="1176"/>
      <c r="AP240" s="1177"/>
      <c r="AQ240" s="1547"/>
      <c r="AR240" s="1177"/>
      <c r="AS240" s="1548"/>
      <c r="AT240" s="1549"/>
      <c r="AU240" s="1178"/>
      <c r="AV240" s="1179"/>
      <c r="AY240" s="3">
        <v>1</v>
      </c>
    </row>
    <row r="241" spans="2:51" ht="27" customHeight="1">
      <c r="B241" s="104"/>
      <c r="C241" s="1172"/>
      <c r="D241" s="1172"/>
      <c r="E241" s="1172"/>
      <c r="F241" s="1173"/>
      <c r="G241" s="1174"/>
      <c r="H241" s="1175"/>
      <c r="I241" s="1176"/>
      <c r="J241" s="1177"/>
      <c r="K241" s="1547"/>
      <c r="L241" s="1177"/>
      <c r="M241" s="1548"/>
      <c r="N241" s="1549"/>
      <c r="O241" s="1178"/>
      <c r="P241" s="1179"/>
      <c r="R241" s="104"/>
      <c r="S241" s="1172"/>
      <c r="T241" s="1172"/>
      <c r="U241" s="1172"/>
      <c r="V241" s="1173"/>
      <c r="W241" s="1174"/>
      <c r="X241" s="1175"/>
      <c r="Y241" s="1176"/>
      <c r="Z241" s="1177"/>
      <c r="AA241" s="1547"/>
      <c r="AB241" s="1177"/>
      <c r="AC241" s="1548"/>
      <c r="AD241" s="1549"/>
      <c r="AE241" s="1178"/>
      <c r="AF241" s="1179"/>
      <c r="AH241" s="104"/>
      <c r="AI241" s="1172"/>
      <c r="AJ241" s="1172"/>
      <c r="AK241" s="1172"/>
      <c r="AL241" s="1173"/>
      <c r="AM241" s="1174"/>
      <c r="AN241" s="1175"/>
      <c r="AO241" s="1176"/>
      <c r="AP241" s="1177"/>
      <c r="AQ241" s="1547"/>
      <c r="AR241" s="1177"/>
      <c r="AS241" s="1548"/>
      <c r="AT241" s="1549"/>
      <c r="AU241" s="1178"/>
      <c r="AV241" s="1179"/>
      <c r="AY241" s="3">
        <v>1</v>
      </c>
    </row>
    <row r="242" spans="2:51" ht="27" customHeight="1">
      <c r="B242" s="104"/>
      <c r="C242" s="1172"/>
      <c r="D242" s="1172"/>
      <c r="E242" s="1172"/>
      <c r="F242" s="1173"/>
      <c r="G242" s="1174"/>
      <c r="H242" s="1175"/>
      <c r="I242" s="1176"/>
      <c r="J242" s="1177"/>
      <c r="K242" s="1547"/>
      <c r="L242" s="1177"/>
      <c r="M242" s="1548"/>
      <c r="N242" s="1549"/>
      <c r="O242" s="1178"/>
      <c r="P242" s="1179"/>
      <c r="R242" s="104"/>
      <c r="S242" s="1172"/>
      <c r="T242" s="1172"/>
      <c r="U242" s="1172"/>
      <c r="V242" s="1173"/>
      <c r="W242" s="1174"/>
      <c r="X242" s="1175"/>
      <c r="Y242" s="1176"/>
      <c r="Z242" s="1177"/>
      <c r="AA242" s="1547"/>
      <c r="AB242" s="1177"/>
      <c r="AC242" s="1548"/>
      <c r="AD242" s="1549"/>
      <c r="AE242" s="1178"/>
      <c r="AF242" s="1179"/>
      <c r="AH242" s="104"/>
      <c r="AI242" s="1172"/>
      <c r="AJ242" s="1172"/>
      <c r="AK242" s="1172"/>
      <c r="AL242" s="1173"/>
      <c r="AM242" s="1174"/>
      <c r="AN242" s="1175"/>
      <c r="AO242" s="1176"/>
      <c r="AP242" s="1177"/>
      <c r="AQ242" s="1547"/>
      <c r="AR242" s="1177"/>
      <c r="AS242" s="1548"/>
      <c r="AT242" s="1549"/>
      <c r="AU242" s="1178"/>
      <c r="AV242" s="1179"/>
      <c r="AY242" s="3">
        <v>1</v>
      </c>
    </row>
    <row r="243" spans="2:51" ht="27" customHeight="1">
      <c r="B243" s="104"/>
      <c r="C243" s="1172"/>
      <c r="D243" s="1172"/>
      <c r="E243" s="1172"/>
      <c r="F243" s="1173"/>
      <c r="G243" s="1174"/>
      <c r="H243" s="1175"/>
      <c r="I243" s="1176"/>
      <c r="J243" s="1177"/>
      <c r="K243" s="1547"/>
      <c r="L243" s="1177"/>
      <c r="M243" s="1548"/>
      <c r="N243" s="1549"/>
      <c r="O243" s="1178"/>
      <c r="P243" s="1179"/>
      <c r="R243" s="104"/>
      <c r="S243" s="1172"/>
      <c r="T243" s="1172"/>
      <c r="U243" s="1172"/>
      <c r="V243" s="1173"/>
      <c r="W243" s="1174"/>
      <c r="X243" s="1175"/>
      <c r="Y243" s="1176"/>
      <c r="Z243" s="1177"/>
      <c r="AA243" s="1547"/>
      <c r="AB243" s="1177"/>
      <c r="AC243" s="1548"/>
      <c r="AD243" s="1549"/>
      <c r="AE243" s="1178"/>
      <c r="AF243" s="1179"/>
      <c r="AH243" s="104"/>
      <c r="AI243" s="1172"/>
      <c r="AJ243" s="1172"/>
      <c r="AK243" s="1172"/>
      <c r="AL243" s="1173"/>
      <c r="AM243" s="1174"/>
      <c r="AN243" s="1175"/>
      <c r="AO243" s="1176"/>
      <c r="AP243" s="1177"/>
      <c r="AQ243" s="1547"/>
      <c r="AR243" s="1177"/>
      <c r="AS243" s="1548"/>
      <c r="AT243" s="1549"/>
      <c r="AU243" s="1178"/>
      <c r="AV243" s="1179"/>
      <c r="AY243" s="3">
        <v>1</v>
      </c>
    </row>
    <row r="244" spans="2:51" ht="27" customHeight="1">
      <c r="B244" s="104"/>
      <c r="C244" s="1172"/>
      <c r="D244" s="1172"/>
      <c r="E244" s="1172"/>
      <c r="F244" s="1173"/>
      <c r="G244" s="1174"/>
      <c r="H244" s="1175"/>
      <c r="I244" s="1176"/>
      <c r="J244" s="1177"/>
      <c r="K244" s="1547"/>
      <c r="L244" s="1177"/>
      <c r="M244" s="1548"/>
      <c r="N244" s="1549"/>
      <c r="O244" s="1178"/>
      <c r="P244" s="1179"/>
      <c r="R244" s="104"/>
      <c r="S244" s="1172"/>
      <c r="T244" s="1172"/>
      <c r="U244" s="1172"/>
      <c r="V244" s="1173"/>
      <c r="W244" s="1174"/>
      <c r="X244" s="1175"/>
      <c r="Y244" s="1176"/>
      <c r="Z244" s="1177"/>
      <c r="AA244" s="1547"/>
      <c r="AB244" s="1177"/>
      <c r="AC244" s="1548"/>
      <c r="AD244" s="1549"/>
      <c r="AE244" s="1178"/>
      <c r="AF244" s="1179"/>
      <c r="AH244" s="104"/>
      <c r="AI244" s="1172"/>
      <c r="AJ244" s="1172"/>
      <c r="AK244" s="1172"/>
      <c r="AL244" s="1173"/>
      <c r="AM244" s="1174"/>
      <c r="AN244" s="1175"/>
      <c r="AO244" s="1176"/>
      <c r="AP244" s="1177"/>
      <c r="AQ244" s="1547"/>
      <c r="AR244" s="1177"/>
      <c r="AS244" s="1548"/>
      <c r="AT244" s="1549"/>
      <c r="AU244" s="1178"/>
      <c r="AV244" s="1179"/>
      <c r="AY244" s="3">
        <v>1</v>
      </c>
    </row>
    <row r="245" spans="2:51" ht="27" customHeight="1">
      <c r="B245" s="104"/>
      <c r="C245" s="1172"/>
      <c r="D245" s="1172"/>
      <c r="E245" s="1172"/>
      <c r="F245" s="1173"/>
      <c r="G245" s="1174"/>
      <c r="H245" s="1175"/>
      <c r="I245" s="1176"/>
      <c r="J245" s="1177"/>
      <c r="K245" s="1547"/>
      <c r="L245" s="1177"/>
      <c r="M245" s="1548"/>
      <c r="N245" s="1549"/>
      <c r="O245" s="1178"/>
      <c r="P245" s="1179"/>
      <c r="R245" s="104"/>
      <c r="S245" s="1172"/>
      <c r="T245" s="1172"/>
      <c r="U245" s="1172"/>
      <c r="V245" s="1173"/>
      <c r="W245" s="1174"/>
      <c r="X245" s="1175"/>
      <c r="Y245" s="1176"/>
      <c r="Z245" s="1177"/>
      <c r="AA245" s="1547"/>
      <c r="AB245" s="1177"/>
      <c r="AC245" s="1548"/>
      <c r="AD245" s="1549"/>
      <c r="AE245" s="1178"/>
      <c r="AF245" s="1179"/>
      <c r="AH245" s="104"/>
      <c r="AI245" s="1172"/>
      <c r="AJ245" s="1172"/>
      <c r="AK245" s="1172"/>
      <c r="AL245" s="1173"/>
      <c r="AM245" s="1174"/>
      <c r="AN245" s="1175"/>
      <c r="AO245" s="1176"/>
      <c r="AP245" s="1177"/>
      <c r="AQ245" s="1547"/>
      <c r="AR245" s="1177"/>
      <c r="AS245" s="1548"/>
      <c r="AT245" s="1549"/>
      <c r="AU245" s="1178"/>
      <c r="AV245" s="1179"/>
      <c r="AY245" s="3"/>
    </row>
    <row r="246" spans="2:51" ht="27" customHeight="1">
      <c r="B246" s="104"/>
      <c r="C246" s="1172"/>
      <c r="D246" s="1172"/>
      <c r="E246" s="1172"/>
      <c r="F246" s="1173"/>
      <c r="G246" s="1174"/>
      <c r="H246" s="1175"/>
      <c r="I246" s="1176"/>
      <c r="J246" s="1177"/>
      <c r="K246" s="1547"/>
      <c r="L246" s="1177"/>
      <c r="M246" s="1548"/>
      <c r="N246" s="1549"/>
      <c r="O246" s="1178"/>
      <c r="P246" s="1179"/>
      <c r="R246" s="104"/>
      <c r="S246" s="1172"/>
      <c r="T246" s="1172"/>
      <c r="U246" s="1172"/>
      <c r="V246" s="1173"/>
      <c r="W246" s="1174"/>
      <c r="X246" s="1175"/>
      <c r="Y246" s="1176"/>
      <c r="Z246" s="1177"/>
      <c r="AA246" s="1547"/>
      <c r="AB246" s="1177"/>
      <c r="AC246" s="1548"/>
      <c r="AD246" s="1549"/>
      <c r="AE246" s="1178"/>
      <c r="AF246" s="1179"/>
      <c r="AH246" s="104"/>
      <c r="AI246" s="1172"/>
      <c r="AJ246" s="1172"/>
      <c r="AK246" s="1172"/>
      <c r="AL246" s="1173"/>
      <c r="AM246" s="1174"/>
      <c r="AN246" s="1175"/>
      <c r="AO246" s="1176"/>
      <c r="AP246" s="1177"/>
      <c r="AQ246" s="1547"/>
      <c r="AR246" s="1177"/>
      <c r="AS246" s="1548"/>
      <c r="AT246" s="1549"/>
      <c r="AU246" s="1178"/>
      <c r="AV246" s="1179"/>
      <c r="AY246" s="3"/>
    </row>
    <row r="247" spans="2:51" ht="27" customHeight="1">
      <c r="B247" s="104"/>
      <c r="C247" s="1172"/>
      <c r="D247" s="1172"/>
      <c r="E247" s="1172"/>
      <c r="F247" s="1173"/>
      <c r="G247" s="1174"/>
      <c r="H247" s="1175"/>
      <c r="I247" s="1176"/>
      <c r="J247" s="1177"/>
      <c r="K247" s="1547"/>
      <c r="L247" s="1177"/>
      <c r="M247" s="1548"/>
      <c r="N247" s="1549"/>
      <c r="O247" s="1178"/>
      <c r="P247" s="1179"/>
      <c r="R247" s="104"/>
      <c r="S247" s="1172"/>
      <c r="T247" s="1172"/>
      <c r="U247" s="1172"/>
      <c r="V247" s="1173"/>
      <c r="W247" s="1174"/>
      <c r="X247" s="1175"/>
      <c r="Y247" s="1176"/>
      <c r="Z247" s="1177"/>
      <c r="AA247" s="1547"/>
      <c r="AB247" s="1177"/>
      <c r="AC247" s="1548"/>
      <c r="AD247" s="1549"/>
      <c r="AE247" s="1178"/>
      <c r="AF247" s="1179"/>
      <c r="AH247" s="104"/>
      <c r="AI247" s="1172"/>
      <c r="AJ247" s="1172"/>
      <c r="AK247" s="1172"/>
      <c r="AL247" s="1173"/>
      <c r="AM247" s="1174"/>
      <c r="AN247" s="1175"/>
      <c r="AO247" s="1176"/>
      <c r="AP247" s="1177"/>
      <c r="AQ247" s="1547"/>
      <c r="AR247" s="1177"/>
      <c r="AS247" s="1548"/>
      <c r="AT247" s="1549"/>
      <c r="AU247" s="1178"/>
      <c r="AV247" s="1179"/>
      <c r="AY247" s="3"/>
    </row>
    <row r="248" spans="2:51" ht="27" customHeight="1">
      <c r="B248" s="104"/>
      <c r="C248" s="1172"/>
      <c r="D248" s="1172"/>
      <c r="E248" s="1172"/>
      <c r="F248" s="1173"/>
      <c r="G248" s="1174"/>
      <c r="H248" s="1175"/>
      <c r="I248" s="1176"/>
      <c r="J248" s="1177"/>
      <c r="K248" s="1547"/>
      <c r="L248" s="1177"/>
      <c r="M248" s="1548"/>
      <c r="N248" s="1549"/>
      <c r="O248" s="1178"/>
      <c r="P248" s="1179"/>
      <c r="R248" s="104"/>
      <c r="S248" s="1172"/>
      <c r="T248" s="1172"/>
      <c r="U248" s="1172"/>
      <c r="V248" s="1173"/>
      <c r="W248" s="1174"/>
      <c r="X248" s="1175"/>
      <c r="Y248" s="1176"/>
      <c r="Z248" s="1177"/>
      <c r="AA248" s="1547"/>
      <c r="AB248" s="1177"/>
      <c r="AC248" s="1548"/>
      <c r="AD248" s="1549"/>
      <c r="AE248" s="1178"/>
      <c r="AF248" s="1179"/>
      <c r="AH248" s="104"/>
      <c r="AI248" s="1172"/>
      <c r="AJ248" s="1172"/>
      <c r="AK248" s="1172"/>
      <c r="AL248" s="1173"/>
      <c r="AM248" s="1174"/>
      <c r="AN248" s="1175"/>
      <c r="AO248" s="1176"/>
      <c r="AP248" s="1177"/>
      <c r="AQ248" s="1547"/>
      <c r="AR248" s="1177"/>
      <c r="AS248" s="1548"/>
      <c r="AT248" s="1549"/>
      <c r="AU248" s="1178"/>
      <c r="AV248" s="1179"/>
      <c r="AY248" s="3">
        <v>1</v>
      </c>
    </row>
    <row r="249" spans="2:51" ht="27" customHeight="1">
      <c r="B249" s="104"/>
      <c r="C249" s="1172"/>
      <c r="D249" s="1172"/>
      <c r="E249" s="1172"/>
      <c r="F249" s="1173"/>
      <c r="G249" s="1174"/>
      <c r="H249" s="1175"/>
      <c r="I249" s="1176"/>
      <c r="J249" s="1177"/>
      <c r="K249" s="1547"/>
      <c r="L249" s="1177"/>
      <c r="M249" s="1548"/>
      <c r="N249" s="1549"/>
      <c r="O249" s="1178"/>
      <c r="P249" s="1179"/>
      <c r="R249" s="104"/>
      <c r="S249" s="1172"/>
      <c r="T249" s="1172"/>
      <c r="U249" s="1172"/>
      <c r="V249" s="1173"/>
      <c r="W249" s="1174"/>
      <c r="X249" s="1175"/>
      <c r="Y249" s="1176"/>
      <c r="Z249" s="1177"/>
      <c r="AA249" s="1547"/>
      <c r="AB249" s="1177"/>
      <c r="AC249" s="1548"/>
      <c r="AD249" s="1549"/>
      <c r="AE249" s="1178"/>
      <c r="AF249" s="1179"/>
      <c r="AH249" s="104"/>
      <c r="AI249" s="1172"/>
      <c r="AJ249" s="1172"/>
      <c r="AK249" s="1172"/>
      <c r="AL249" s="1173"/>
      <c r="AM249" s="1174"/>
      <c r="AN249" s="1175"/>
      <c r="AO249" s="1176"/>
      <c r="AP249" s="1177"/>
      <c r="AQ249" s="1547"/>
      <c r="AR249" s="1177"/>
      <c r="AS249" s="1548"/>
      <c r="AT249" s="1549"/>
      <c r="AU249" s="1178"/>
      <c r="AV249" s="1179"/>
      <c r="AY249" s="3">
        <v>1</v>
      </c>
    </row>
    <row r="250" spans="2:51" ht="27" customHeight="1">
      <c r="B250" s="104"/>
      <c r="C250" s="1172"/>
      <c r="D250" s="1172"/>
      <c r="E250" s="1172"/>
      <c r="F250" s="1173"/>
      <c r="G250" s="1174"/>
      <c r="H250" s="1175"/>
      <c r="I250" s="1176"/>
      <c r="J250" s="1177"/>
      <c r="K250" s="1547"/>
      <c r="L250" s="1177"/>
      <c r="M250" s="1548"/>
      <c r="N250" s="1549"/>
      <c r="O250" s="1178"/>
      <c r="P250" s="1179"/>
      <c r="R250" s="104"/>
      <c r="S250" s="1172"/>
      <c r="T250" s="1172"/>
      <c r="U250" s="1172"/>
      <c r="V250" s="1173"/>
      <c r="W250" s="1174"/>
      <c r="X250" s="1175"/>
      <c r="Y250" s="1176"/>
      <c r="Z250" s="1177"/>
      <c r="AA250" s="1547"/>
      <c r="AB250" s="1177"/>
      <c r="AC250" s="1548"/>
      <c r="AD250" s="1549"/>
      <c r="AE250" s="1178"/>
      <c r="AF250" s="1179"/>
      <c r="AH250" s="104"/>
      <c r="AI250" s="1172"/>
      <c r="AJ250" s="1172"/>
      <c r="AK250" s="1172"/>
      <c r="AL250" s="1173"/>
      <c r="AM250" s="1174"/>
      <c r="AN250" s="1175"/>
      <c r="AO250" s="1176"/>
      <c r="AP250" s="1177"/>
      <c r="AQ250" s="1547"/>
      <c r="AR250" s="1177"/>
      <c r="AS250" s="1548"/>
      <c r="AT250" s="1549"/>
      <c r="AU250" s="1178"/>
      <c r="AV250" s="1179"/>
      <c r="AY250" s="3">
        <v>1</v>
      </c>
    </row>
    <row r="251" spans="2:51" ht="27" customHeight="1">
      <c r="B251" s="104"/>
      <c r="C251" s="1172"/>
      <c r="D251" s="1172"/>
      <c r="E251" s="1172"/>
      <c r="F251" s="1173"/>
      <c r="G251" s="1174"/>
      <c r="H251" s="1175"/>
      <c r="I251" s="1176"/>
      <c r="J251" s="1177"/>
      <c r="K251" s="1547"/>
      <c r="L251" s="1177"/>
      <c r="M251" s="1548"/>
      <c r="N251" s="1549"/>
      <c r="O251" s="1178"/>
      <c r="P251" s="1179"/>
      <c r="R251" s="104"/>
      <c r="S251" s="1172"/>
      <c r="T251" s="1172"/>
      <c r="U251" s="1172"/>
      <c r="V251" s="1173"/>
      <c r="W251" s="1174"/>
      <c r="X251" s="1175"/>
      <c r="Y251" s="1176"/>
      <c r="Z251" s="1177"/>
      <c r="AA251" s="1547"/>
      <c r="AB251" s="1177"/>
      <c r="AC251" s="1548"/>
      <c r="AD251" s="1549"/>
      <c r="AE251" s="1178"/>
      <c r="AF251" s="1179"/>
      <c r="AH251" s="104"/>
      <c r="AI251" s="1172"/>
      <c r="AJ251" s="1172"/>
      <c r="AK251" s="1172"/>
      <c r="AL251" s="1173"/>
      <c r="AM251" s="1174"/>
      <c r="AN251" s="1175"/>
      <c r="AO251" s="1176"/>
      <c r="AP251" s="1177"/>
      <c r="AQ251" s="1547"/>
      <c r="AR251" s="1177"/>
      <c r="AS251" s="1548"/>
      <c r="AT251" s="1549"/>
      <c r="AU251" s="1178"/>
      <c r="AV251" s="1179"/>
      <c r="AY251" s="3">
        <v>1</v>
      </c>
    </row>
    <row r="252" spans="2:51" ht="27" customHeight="1">
      <c r="B252" s="104"/>
      <c r="C252" s="1172"/>
      <c r="D252" s="1172"/>
      <c r="E252" s="1172"/>
      <c r="F252" s="1173"/>
      <c r="G252" s="1174"/>
      <c r="H252" s="1175"/>
      <c r="I252" s="1176"/>
      <c r="J252" s="1177"/>
      <c r="K252" s="1547"/>
      <c r="L252" s="1177"/>
      <c r="M252" s="1548"/>
      <c r="N252" s="1549"/>
      <c r="O252" s="1178"/>
      <c r="P252" s="1179"/>
      <c r="R252" s="104"/>
      <c r="S252" s="1172"/>
      <c r="T252" s="1172"/>
      <c r="U252" s="1172"/>
      <c r="V252" s="1173"/>
      <c r="W252" s="1174"/>
      <c r="X252" s="1175"/>
      <c r="Y252" s="1176"/>
      <c r="Z252" s="1177"/>
      <c r="AA252" s="1547"/>
      <c r="AB252" s="1177"/>
      <c r="AC252" s="1548"/>
      <c r="AD252" s="1549"/>
      <c r="AE252" s="1178"/>
      <c r="AF252" s="1179"/>
      <c r="AH252" s="104"/>
      <c r="AI252" s="1172"/>
      <c r="AJ252" s="1172"/>
      <c r="AK252" s="1172"/>
      <c r="AL252" s="1173"/>
      <c r="AM252" s="1174"/>
      <c r="AN252" s="1175"/>
      <c r="AO252" s="1176"/>
      <c r="AP252" s="1177"/>
      <c r="AQ252" s="1547"/>
      <c r="AR252" s="1177"/>
      <c r="AS252" s="1548"/>
      <c r="AT252" s="1549"/>
      <c r="AU252" s="1178"/>
      <c r="AV252" s="1179"/>
      <c r="AY252" s="3">
        <v>1</v>
      </c>
    </row>
    <row r="253" spans="2:51" ht="27" customHeight="1">
      <c r="B253" s="104"/>
      <c r="C253" s="1172"/>
      <c r="D253" s="1172"/>
      <c r="E253" s="1172"/>
      <c r="F253" s="1173"/>
      <c r="G253" s="1174"/>
      <c r="H253" s="1175"/>
      <c r="I253" s="1176"/>
      <c r="J253" s="1177"/>
      <c r="K253" s="1547"/>
      <c r="L253" s="1177"/>
      <c r="M253" s="1548"/>
      <c r="N253" s="1549"/>
      <c r="O253" s="1178"/>
      <c r="P253" s="1179"/>
      <c r="R253" s="104"/>
      <c r="S253" s="1172"/>
      <c r="T253" s="1172"/>
      <c r="U253" s="1172"/>
      <c r="V253" s="1173"/>
      <c r="W253" s="1174"/>
      <c r="X253" s="1175"/>
      <c r="Y253" s="1176"/>
      <c r="Z253" s="1177"/>
      <c r="AA253" s="1547"/>
      <c r="AB253" s="1177"/>
      <c r="AC253" s="1548"/>
      <c r="AD253" s="1549"/>
      <c r="AE253" s="1178"/>
      <c r="AF253" s="1179"/>
      <c r="AH253" s="104"/>
      <c r="AI253" s="1172"/>
      <c r="AJ253" s="1172"/>
      <c r="AK253" s="1172"/>
      <c r="AL253" s="1173"/>
      <c r="AM253" s="1174"/>
      <c r="AN253" s="1175"/>
      <c r="AO253" s="1176"/>
      <c r="AP253" s="1177"/>
      <c r="AQ253" s="1547"/>
      <c r="AR253" s="1177"/>
      <c r="AS253" s="1548"/>
      <c r="AT253" s="1549"/>
      <c r="AU253" s="1178"/>
      <c r="AV253" s="1179"/>
      <c r="AY253" s="3">
        <v>1</v>
      </c>
    </row>
    <row r="254" spans="2:51" ht="27" customHeight="1">
      <c r="B254" s="104"/>
      <c r="C254" s="1172"/>
      <c r="D254" s="1172"/>
      <c r="E254" s="1172"/>
      <c r="F254" s="1173"/>
      <c r="G254" s="1174"/>
      <c r="H254" s="1175"/>
      <c r="I254" s="1176"/>
      <c r="J254" s="1177"/>
      <c r="K254" s="1547"/>
      <c r="L254" s="1177"/>
      <c r="M254" s="1548"/>
      <c r="N254" s="1549"/>
      <c r="O254" s="1178"/>
      <c r="P254" s="1179"/>
      <c r="R254" s="104"/>
      <c r="S254" s="1172"/>
      <c r="T254" s="1172"/>
      <c r="U254" s="1172"/>
      <c r="V254" s="1173"/>
      <c r="W254" s="1174"/>
      <c r="X254" s="1175"/>
      <c r="Y254" s="1176"/>
      <c r="Z254" s="1177"/>
      <c r="AA254" s="1547"/>
      <c r="AB254" s="1177"/>
      <c r="AC254" s="1548"/>
      <c r="AD254" s="1549"/>
      <c r="AE254" s="1178"/>
      <c r="AF254" s="1179"/>
      <c r="AH254" s="104"/>
      <c r="AI254" s="1172"/>
      <c r="AJ254" s="1172"/>
      <c r="AK254" s="1172"/>
      <c r="AL254" s="1173"/>
      <c r="AM254" s="1174"/>
      <c r="AN254" s="1175"/>
      <c r="AO254" s="1176"/>
      <c r="AP254" s="1177"/>
      <c r="AQ254" s="1547"/>
      <c r="AR254" s="1177"/>
      <c r="AS254" s="1548"/>
      <c r="AT254" s="1549"/>
      <c r="AU254" s="1178"/>
      <c r="AV254" s="1179"/>
      <c r="AY254" s="3">
        <v>1</v>
      </c>
    </row>
    <row r="255" spans="2:51" ht="18.75">
      <c r="B255" s="104"/>
      <c r="C255" s="1172"/>
      <c r="D255" s="1172"/>
      <c r="E255" s="1172"/>
      <c r="F255" s="1173"/>
      <c r="G255" s="1174"/>
      <c r="H255" s="1175"/>
      <c r="I255" s="1176"/>
      <c r="J255" s="1177"/>
      <c r="K255" s="1547"/>
      <c r="L255" s="1177"/>
      <c r="M255" s="1548"/>
      <c r="N255" s="1549"/>
      <c r="O255" s="1178"/>
      <c r="P255" s="1179"/>
      <c r="R255" s="104"/>
      <c r="S255" s="1172"/>
      <c r="T255" s="1172"/>
      <c r="U255" s="1172"/>
      <c r="V255" s="1173"/>
      <c r="W255" s="1174"/>
      <c r="X255" s="1175"/>
      <c r="Y255" s="1176"/>
      <c r="Z255" s="1177"/>
      <c r="AA255" s="1547"/>
      <c r="AB255" s="1177"/>
      <c r="AC255" s="1548"/>
      <c r="AD255" s="1549"/>
      <c r="AE255" s="1178"/>
      <c r="AF255" s="1179"/>
      <c r="AH255" s="104"/>
      <c r="AI255" s="1172"/>
      <c r="AJ255" s="1172"/>
      <c r="AK255" s="1172"/>
      <c r="AL255" s="1173"/>
      <c r="AM255" s="1174"/>
      <c r="AN255" s="1175"/>
      <c r="AO255" s="1176"/>
      <c r="AP255" s="1177"/>
      <c r="AQ255" s="1547"/>
      <c r="AR255" s="1177"/>
      <c r="AS255" s="1548"/>
      <c r="AT255" s="1549"/>
      <c r="AU255" s="1178"/>
      <c r="AV255" s="1179"/>
      <c r="AY255" s="3">
        <v>1</v>
      </c>
    </row>
    <row r="256" spans="2:51" ht="18.75">
      <c r="B256" s="104"/>
      <c r="C256" s="1172"/>
      <c r="D256" s="1172"/>
      <c r="E256" s="1172"/>
      <c r="F256" s="1173"/>
      <c r="G256" s="1174"/>
      <c r="H256" s="1175"/>
      <c r="I256" s="1176"/>
      <c r="J256" s="1177"/>
      <c r="K256" s="1547"/>
      <c r="L256" s="1177"/>
      <c r="M256" s="1548"/>
      <c r="N256" s="1549"/>
      <c r="O256" s="1178"/>
      <c r="P256" s="1179"/>
      <c r="R256" s="104"/>
      <c r="S256" s="1172"/>
      <c r="T256" s="1172"/>
      <c r="U256" s="1172"/>
      <c r="V256" s="1173"/>
      <c r="W256" s="1174"/>
      <c r="X256" s="1175"/>
      <c r="Y256" s="1176"/>
      <c r="Z256" s="1177"/>
      <c r="AA256" s="1547"/>
      <c r="AB256" s="1177"/>
      <c r="AC256" s="1548"/>
      <c r="AD256" s="1549"/>
      <c r="AE256" s="1178"/>
      <c r="AF256" s="1179"/>
      <c r="AH256" s="104"/>
      <c r="AI256" s="1172"/>
      <c r="AJ256" s="1172"/>
      <c r="AK256" s="1172"/>
      <c r="AL256" s="1173"/>
      <c r="AM256" s="1174"/>
      <c r="AN256" s="1175"/>
      <c r="AO256" s="1176"/>
      <c r="AP256" s="1177"/>
      <c r="AQ256" s="1547"/>
      <c r="AR256" s="1177"/>
      <c r="AS256" s="1548"/>
      <c r="AT256" s="1549"/>
      <c r="AU256" s="1178"/>
      <c r="AV256" s="1179"/>
      <c r="AY256" s="3">
        <v>1</v>
      </c>
    </row>
    <row r="257" spans="2:51" ht="18.75">
      <c r="B257" s="104"/>
      <c r="C257" s="1172"/>
      <c r="D257" s="1172"/>
      <c r="E257" s="1172"/>
      <c r="F257" s="1173"/>
      <c r="G257" s="1174"/>
      <c r="H257" s="1175"/>
      <c r="I257" s="1176"/>
      <c r="J257" s="1177"/>
      <c r="K257" s="1547"/>
      <c r="L257" s="1177"/>
      <c r="M257" s="1548"/>
      <c r="N257" s="1549"/>
      <c r="O257" s="1178"/>
      <c r="P257" s="1179"/>
      <c r="R257" s="104"/>
      <c r="S257" s="1172"/>
      <c r="T257" s="1172"/>
      <c r="U257" s="1172"/>
      <c r="V257" s="1173"/>
      <c r="W257" s="1174"/>
      <c r="X257" s="1175"/>
      <c r="Y257" s="1176"/>
      <c r="Z257" s="1177"/>
      <c r="AA257" s="1547"/>
      <c r="AB257" s="1177"/>
      <c r="AC257" s="1548"/>
      <c r="AD257" s="1549"/>
      <c r="AE257" s="1178"/>
      <c r="AF257" s="1179"/>
      <c r="AH257" s="104"/>
      <c r="AI257" s="1172"/>
      <c r="AJ257" s="1172"/>
      <c r="AK257" s="1172"/>
      <c r="AL257" s="1173"/>
      <c r="AM257" s="1174"/>
      <c r="AN257" s="1175"/>
      <c r="AO257" s="1176"/>
      <c r="AP257" s="1177"/>
      <c r="AQ257" s="1547"/>
      <c r="AR257" s="1177"/>
      <c r="AS257" s="1548"/>
      <c r="AT257" s="1549"/>
      <c r="AU257" s="1178"/>
      <c r="AV257" s="1179"/>
      <c r="AY257" s="3">
        <v>1</v>
      </c>
    </row>
    <row r="258" spans="2:51" ht="18.75">
      <c r="B258" s="104"/>
      <c r="C258" s="1172"/>
      <c r="D258" s="1172"/>
      <c r="E258" s="1172"/>
      <c r="F258" s="1173"/>
      <c r="G258" s="1174"/>
      <c r="H258" s="1175"/>
      <c r="I258" s="1176"/>
      <c r="J258" s="1177"/>
      <c r="K258" s="1547"/>
      <c r="L258" s="1177"/>
      <c r="M258" s="1548"/>
      <c r="N258" s="1549"/>
      <c r="O258" s="1178"/>
      <c r="P258" s="1179"/>
      <c r="R258" s="104"/>
      <c r="S258" s="1172"/>
      <c r="T258" s="1172"/>
      <c r="U258" s="1172"/>
      <c r="V258" s="1173"/>
      <c r="W258" s="1174"/>
      <c r="X258" s="1175"/>
      <c r="Y258" s="1176"/>
      <c r="Z258" s="1177"/>
      <c r="AA258" s="1547"/>
      <c r="AB258" s="1177"/>
      <c r="AC258" s="1548"/>
      <c r="AD258" s="1549"/>
      <c r="AE258" s="1178"/>
      <c r="AF258" s="1179"/>
      <c r="AH258" s="104"/>
      <c r="AI258" s="1172"/>
      <c r="AJ258" s="1172"/>
      <c r="AK258" s="1172"/>
      <c r="AL258" s="1173"/>
      <c r="AM258" s="1174"/>
      <c r="AN258" s="1175"/>
      <c r="AO258" s="1176"/>
      <c r="AP258" s="1177"/>
      <c r="AQ258" s="1547"/>
      <c r="AR258" s="1177"/>
      <c r="AS258" s="1548"/>
      <c r="AT258" s="1549"/>
      <c r="AU258" s="1178"/>
      <c r="AV258" s="1179"/>
      <c r="AY258" s="3">
        <v>1</v>
      </c>
    </row>
    <row r="259" spans="2:51" ht="18.75">
      <c r="B259" s="104"/>
      <c r="C259" s="1172"/>
      <c r="D259" s="1172"/>
      <c r="E259" s="1172"/>
      <c r="F259" s="1173"/>
      <c r="G259" s="1174"/>
      <c r="H259" s="1175"/>
      <c r="I259" s="1176"/>
      <c r="J259" s="1177"/>
      <c r="K259" s="1547"/>
      <c r="L259" s="1177"/>
      <c r="M259" s="1548"/>
      <c r="N259" s="1549"/>
      <c r="O259" s="1178"/>
      <c r="P259" s="1179"/>
      <c r="R259" s="104"/>
      <c r="S259" s="1172"/>
      <c r="T259" s="1172"/>
      <c r="U259" s="1172"/>
      <c r="V259" s="1173"/>
      <c r="W259" s="1174"/>
      <c r="X259" s="1175"/>
      <c r="Y259" s="1176"/>
      <c r="Z259" s="1177"/>
      <c r="AA259" s="1547"/>
      <c r="AB259" s="1177"/>
      <c r="AC259" s="1548"/>
      <c r="AD259" s="1549"/>
      <c r="AE259" s="1178"/>
      <c r="AF259" s="1179"/>
      <c r="AH259" s="104"/>
      <c r="AI259" s="1172"/>
      <c r="AJ259" s="1172"/>
      <c r="AK259" s="1172"/>
      <c r="AL259" s="1173"/>
      <c r="AM259" s="1174"/>
      <c r="AN259" s="1175"/>
      <c r="AO259" s="1176"/>
      <c r="AP259" s="1177"/>
      <c r="AQ259" s="1547"/>
      <c r="AR259" s="1177"/>
      <c r="AS259" s="1548"/>
      <c r="AT259" s="1549"/>
      <c r="AU259" s="1178"/>
      <c r="AV259" s="1179"/>
      <c r="AY259" s="3">
        <v>1</v>
      </c>
    </row>
    <row r="260" spans="2:51" ht="18.75">
      <c r="B260" s="104"/>
      <c r="C260" s="1172"/>
      <c r="D260" s="1172"/>
      <c r="E260" s="1172"/>
      <c r="F260" s="1173"/>
      <c r="G260" s="1174"/>
      <c r="H260" s="1175"/>
      <c r="I260" s="1176"/>
      <c r="J260" s="1177"/>
      <c r="K260" s="1547"/>
      <c r="L260" s="1177"/>
      <c r="M260" s="1548"/>
      <c r="N260" s="1549"/>
      <c r="O260" s="1178"/>
      <c r="P260" s="1179"/>
      <c r="R260" s="104"/>
      <c r="S260" s="1172"/>
      <c r="T260" s="1172"/>
      <c r="U260" s="1172"/>
      <c r="V260" s="1173"/>
      <c r="W260" s="1174"/>
      <c r="X260" s="1175"/>
      <c r="Y260" s="1176"/>
      <c r="Z260" s="1177"/>
      <c r="AA260" s="1547"/>
      <c r="AB260" s="1177"/>
      <c r="AC260" s="1548"/>
      <c r="AD260" s="1549"/>
      <c r="AE260" s="1178"/>
      <c r="AF260" s="1179"/>
      <c r="AH260" s="104"/>
      <c r="AI260" s="1172"/>
      <c r="AJ260" s="1172"/>
      <c r="AK260" s="1172"/>
      <c r="AL260" s="1173"/>
      <c r="AM260" s="1174"/>
      <c r="AN260" s="1175"/>
      <c r="AO260" s="1176"/>
      <c r="AP260" s="1177"/>
      <c r="AQ260" s="1547"/>
      <c r="AR260" s="1177"/>
      <c r="AS260" s="1548"/>
      <c r="AT260" s="1549"/>
      <c r="AU260" s="1178"/>
      <c r="AV260" s="1179"/>
      <c r="AY260" s="3">
        <v>1</v>
      </c>
    </row>
    <row r="261" spans="2:51" ht="18.75">
      <c r="B261" s="104"/>
      <c r="C261" s="1172"/>
      <c r="D261" s="1172"/>
      <c r="E261" s="1172"/>
      <c r="F261" s="1173"/>
      <c r="G261" s="1174"/>
      <c r="H261" s="1175"/>
      <c r="I261" s="1176"/>
      <c r="J261" s="1177"/>
      <c r="K261" s="1547"/>
      <c r="L261" s="1177"/>
      <c r="M261" s="1548"/>
      <c r="N261" s="1549"/>
      <c r="O261" s="1178"/>
      <c r="P261" s="1179"/>
      <c r="R261" s="104"/>
      <c r="S261" s="1172"/>
      <c r="T261" s="1172"/>
      <c r="U261" s="1172"/>
      <c r="V261" s="1173"/>
      <c r="W261" s="1174"/>
      <c r="X261" s="1175"/>
      <c r="Y261" s="1176"/>
      <c r="Z261" s="1177"/>
      <c r="AA261" s="1547"/>
      <c r="AB261" s="1177"/>
      <c r="AC261" s="1548"/>
      <c r="AD261" s="1549"/>
      <c r="AE261" s="1178"/>
      <c r="AF261" s="1179"/>
      <c r="AH261" s="104"/>
      <c r="AI261" s="1172"/>
      <c r="AJ261" s="1172"/>
      <c r="AK261" s="1172"/>
      <c r="AL261" s="1173"/>
      <c r="AM261" s="1174"/>
      <c r="AN261" s="1175"/>
      <c r="AO261" s="1176"/>
      <c r="AP261" s="1177"/>
      <c r="AQ261" s="1547"/>
      <c r="AR261" s="1177"/>
      <c r="AS261" s="1548"/>
      <c r="AT261" s="1549"/>
      <c r="AU261" s="1178"/>
      <c r="AV261" s="1179"/>
      <c r="AY261" s="3">
        <v>1</v>
      </c>
    </row>
    <row r="262" spans="2:51" ht="18.75">
      <c r="B262" s="104"/>
      <c r="C262" s="1172"/>
      <c r="D262" s="1172"/>
      <c r="E262" s="1172"/>
      <c r="F262" s="1173"/>
      <c r="G262" s="1174"/>
      <c r="H262" s="1175"/>
      <c r="I262" s="1176"/>
      <c r="J262" s="1177"/>
      <c r="K262" s="1547"/>
      <c r="L262" s="1177"/>
      <c r="M262" s="1548"/>
      <c r="N262" s="1549"/>
      <c r="O262" s="1178"/>
      <c r="P262" s="1179"/>
      <c r="R262" s="104"/>
      <c r="S262" s="1172"/>
      <c r="T262" s="1172"/>
      <c r="U262" s="1172"/>
      <c r="V262" s="1173"/>
      <c r="W262" s="1174"/>
      <c r="X262" s="1175"/>
      <c r="Y262" s="1176"/>
      <c r="Z262" s="1177"/>
      <c r="AA262" s="1547"/>
      <c r="AB262" s="1177"/>
      <c r="AC262" s="1548"/>
      <c r="AD262" s="1549"/>
      <c r="AE262" s="1178"/>
      <c r="AF262" s="1179"/>
      <c r="AH262" s="104"/>
      <c r="AI262" s="1172"/>
      <c r="AJ262" s="1172"/>
      <c r="AK262" s="1172"/>
      <c r="AL262" s="1173"/>
      <c r="AM262" s="1174"/>
      <c r="AN262" s="1175"/>
      <c r="AO262" s="1176"/>
      <c r="AP262" s="1177"/>
      <c r="AQ262" s="1547"/>
      <c r="AR262" s="1177"/>
      <c r="AS262" s="1548"/>
      <c r="AT262" s="1549"/>
      <c r="AU262" s="1178"/>
      <c r="AV262" s="1179"/>
      <c r="AY262" s="3">
        <v>1</v>
      </c>
    </row>
    <row r="263" spans="2:51" ht="18.75">
      <c r="B263" s="104"/>
      <c r="C263" s="1172"/>
      <c r="D263" s="1172"/>
      <c r="E263" s="1172"/>
      <c r="F263" s="1173"/>
      <c r="G263" s="1174"/>
      <c r="H263" s="1175"/>
      <c r="I263" s="1176"/>
      <c r="J263" s="1177"/>
      <c r="K263" s="1547"/>
      <c r="L263" s="1177"/>
      <c r="M263" s="1548"/>
      <c r="N263" s="1549"/>
      <c r="O263" s="1178"/>
      <c r="P263" s="1179"/>
      <c r="R263" s="104"/>
      <c r="S263" s="1172"/>
      <c r="T263" s="1172"/>
      <c r="U263" s="1172"/>
      <c r="V263" s="1173"/>
      <c r="W263" s="1174"/>
      <c r="X263" s="1175"/>
      <c r="Y263" s="1176"/>
      <c r="Z263" s="1177"/>
      <c r="AA263" s="1547"/>
      <c r="AB263" s="1177"/>
      <c r="AC263" s="1548"/>
      <c r="AD263" s="1549"/>
      <c r="AE263" s="1178"/>
      <c r="AF263" s="1179"/>
      <c r="AH263" s="104"/>
      <c r="AI263" s="1172"/>
      <c r="AJ263" s="1172"/>
      <c r="AK263" s="1172"/>
      <c r="AL263" s="1173"/>
      <c r="AM263" s="1174"/>
      <c r="AN263" s="1175"/>
      <c r="AO263" s="1176"/>
      <c r="AP263" s="1177"/>
      <c r="AQ263" s="1547"/>
      <c r="AR263" s="1177"/>
      <c r="AS263" s="1548"/>
      <c r="AT263" s="1549"/>
      <c r="AU263" s="1178"/>
      <c r="AV263" s="1179"/>
      <c r="AY263" s="3">
        <v>1</v>
      </c>
    </row>
    <row r="264" spans="2:51" ht="18.75">
      <c r="B264" s="104"/>
      <c r="C264" s="1172"/>
      <c r="D264" s="1172"/>
      <c r="E264" s="1172"/>
      <c r="F264" s="1173"/>
      <c r="G264" s="1174"/>
      <c r="H264" s="1175"/>
      <c r="I264" s="1176"/>
      <c r="J264" s="1177"/>
      <c r="K264" s="1547"/>
      <c r="L264" s="1177"/>
      <c r="M264" s="1548"/>
      <c r="N264" s="1549"/>
      <c r="O264" s="1178"/>
      <c r="P264" s="1179"/>
      <c r="R264" s="104"/>
      <c r="S264" s="1172"/>
      <c r="T264" s="1172"/>
      <c r="U264" s="1172"/>
      <c r="V264" s="1173"/>
      <c r="W264" s="1174"/>
      <c r="X264" s="1175"/>
      <c r="Y264" s="1176"/>
      <c r="Z264" s="1177"/>
      <c r="AA264" s="1547"/>
      <c r="AB264" s="1177"/>
      <c r="AC264" s="1548"/>
      <c r="AD264" s="1549"/>
      <c r="AE264" s="1178"/>
      <c r="AF264" s="1179"/>
      <c r="AH264" s="104"/>
      <c r="AI264" s="1172"/>
      <c r="AJ264" s="1172"/>
      <c r="AK264" s="1172"/>
      <c r="AL264" s="1173"/>
      <c r="AM264" s="1174"/>
      <c r="AN264" s="1175"/>
      <c r="AO264" s="1176"/>
      <c r="AP264" s="1177"/>
      <c r="AQ264" s="1547"/>
      <c r="AR264" s="1177"/>
      <c r="AS264" s="1548"/>
      <c r="AT264" s="1549"/>
      <c r="AU264" s="1178"/>
      <c r="AV264" s="1179"/>
      <c r="AY264" s="3">
        <v>1</v>
      </c>
    </row>
    <row r="265" spans="2:51" ht="18.75">
      <c r="B265" s="104"/>
      <c r="C265" s="1172"/>
      <c r="D265" s="1172"/>
      <c r="E265" s="1172"/>
      <c r="F265" s="1173"/>
      <c r="G265" s="1174"/>
      <c r="H265" s="1175"/>
      <c r="I265" s="1176"/>
      <c r="J265" s="1177"/>
      <c r="K265" s="1547"/>
      <c r="L265" s="1177"/>
      <c r="M265" s="1548"/>
      <c r="N265" s="1549"/>
      <c r="O265" s="1178"/>
      <c r="P265" s="1179"/>
      <c r="R265" s="104"/>
      <c r="S265" s="1172"/>
      <c r="T265" s="1172"/>
      <c r="U265" s="1172"/>
      <c r="V265" s="1173"/>
      <c r="W265" s="1174"/>
      <c r="X265" s="1175"/>
      <c r="Y265" s="1176"/>
      <c r="Z265" s="1177"/>
      <c r="AA265" s="1547"/>
      <c r="AB265" s="1177"/>
      <c r="AC265" s="1548"/>
      <c r="AD265" s="1549"/>
      <c r="AE265" s="1178"/>
      <c r="AF265" s="1179"/>
      <c r="AH265" s="104"/>
      <c r="AI265" s="1172"/>
      <c r="AJ265" s="1172"/>
      <c r="AK265" s="1172"/>
      <c r="AL265" s="1173"/>
      <c r="AM265" s="1174"/>
      <c r="AN265" s="1175"/>
      <c r="AO265" s="1176"/>
      <c r="AP265" s="1177"/>
      <c r="AQ265" s="1547"/>
      <c r="AR265" s="1177"/>
      <c r="AS265" s="1548"/>
      <c r="AT265" s="1549"/>
      <c r="AU265" s="1178"/>
      <c r="AV265" s="1179"/>
      <c r="AY265" s="3">
        <v>1</v>
      </c>
    </row>
    <row r="266" spans="2:51" ht="18.75">
      <c r="B266" s="104"/>
      <c r="C266" s="1172"/>
      <c r="D266" s="1172"/>
      <c r="E266" s="1172"/>
      <c r="F266" s="1173"/>
      <c r="G266" s="1174"/>
      <c r="H266" s="1175"/>
      <c r="I266" s="1176"/>
      <c r="J266" s="1177"/>
      <c r="K266" s="1547"/>
      <c r="L266" s="1177"/>
      <c r="M266" s="1548"/>
      <c r="N266" s="1549"/>
      <c r="O266" s="1178"/>
      <c r="P266" s="1179"/>
      <c r="R266" s="104"/>
      <c r="S266" s="1172"/>
      <c r="T266" s="1172"/>
      <c r="U266" s="1172"/>
      <c r="V266" s="1173"/>
      <c r="W266" s="1174"/>
      <c r="X266" s="1175"/>
      <c r="Y266" s="1176"/>
      <c r="Z266" s="1177"/>
      <c r="AA266" s="1547"/>
      <c r="AB266" s="1177"/>
      <c r="AC266" s="1548"/>
      <c r="AD266" s="1549"/>
      <c r="AE266" s="1178"/>
      <c r="AF266" s="1179"/>
      <c r="AH266" s="104"/>
      <c r="AI266" s="1172"/>
      <c r="AJ266" s="1172"/>
      <c r="AK266" s="1172"/>
      <c r="AL266" s="1173"/>
      <c r="AM266" s="1174"/>
      <c r="AN266" s="1175"/>
      <c r="AO266" s="1176"/>
      <c r="AP266" s="1177"/>
      <c r="AQ266" s="1547"/>
      <c r="AR266" s="1177"/>
      <c r="AS266" s="1548"/>
      <c r="AT266" s="1549"/>
      <c r="AU266" s="1178"/>
      <c r="AV266" s="1179"/>
      <c r="AY266" s="3">
        <v>1</v>
      </c>
    </row>
    <row r="267" spans="2:51" ht="18.75">
      <c r="B267" s="104"/>
      <c r="C267" s="1172"/>
      <c r="D267" s="1172"/>
      <c r="E267" s="1172"/>
      <c r="F267" s="1173"/>
      <c r="G267" s="1174"/>
      <c r="H267" s="1175"/>
      <c r="I267" s="1176"/>
      <c r="J267" s="1177"/>
      <c r="K267" s="1547"/>
      <c r="L267" s="1177"/>
      <c r="M267" s="1548"/>
      <c r="N267" s="1549"/>
      <c r="O267" s="1178"/>
      <c r="P267" s="1179"/>
      <c r="R267" s="104"/>
      <c r="S267" s="1172"/>
      <c r="T267" s="1172"/>
      <c r="U267" s="1172"/>
      <c r="V267" s="1173"/>
      <c r="W267" s="1174"/>
      <c r="X267" s="1175"/>
      <c r="Y267" s="1176"/>
      <c r="Z267" s="1177"/>
      <c r="AA267" s="1547"/>
      <c r="AB267" s="1177"/>
      <c r="AC267" s="1548"/>
      <c r="AD267" s="1549"/>
      <c r="AE267" s="1178"/>
      <c r="AF267" s="1179"/>
      <c r="AH267" s="104"/>
      <c r="AI267" s="1172"/>
      <c r="AJ267" s="1172"/>
      <c r="AK267" s="1172"/>
      <c r="AL267" s="1173"/>
      <c r="AM267" s="1174"/>
      <c r="AN267" s="1175"/>
      <c r="AO267" s="1176"/>
      <c r="AP267" s="1177"/>
      <c r="AQ267" s="1547"/>
      <c r="AR267" s="1177"/>
      <c r="AS267" s="1548"/>
      <c r="AT267" s="1549"/>
      <c r="AU267" s="1178"/>
      <c r="AV267" s="1179"/>
      <c r="AY267" s="3">
        <v>1</v>
      </c>
    </row>
    <row r="268" spans="2:51" ht="18.75">
      <c r="B268" s="104"/>
      <c r="C268" s="1172"/>
      <c r="D268" s="1172"/>
      <c r="E268" s="1172"/>
      <c r="F268" s="1173"/>
      <c r="G268" s="1174"/>
      <c r="H268" s="1175"/>
      <c r="I268" s="1176"/>
      <c r="J268" s="1177"/>
      <c r="K268" s="1547"/>
      <c r="L268" s="1177"/>
      <c r="M268" s="1548"/>
      <c r="N268" s="1549"/>
      <c r="O268" s="1178"/>
      <c r="P268" s="1179"/>
      <c r="R268" s="104"/>
      <c r="S268" s="1172"/>
      <c r="T268" s="1172"/>
      <c r="U268" s="1172"/>
      <c r="V268" s="1173"/>
      <c r="W268" s="1174"/>
      <c r="X268" s="1175"/>
      <c r="Y268" s="1176"/>
      <c r="Z268" s="1177"/>
      <c r="AA268" s="1547"/>
      <c r="AB268" s="1177"/>
      <c r="AC268" s="1548"/>
      <c r="AD268" s="1549"/>
      <c r="AE268" s="1178"/>
      <c r="AF268" s="1179"/>
      <c r="AH268" s="104"/>
      <c r="AI268" s="1172"/>
      <c r="AJ268" s="1172"/>
      <c r="AK268" s="1172"/>
      <c r="AL268" s="1173"/>
      <c r="AM268" s="1174"/>
      <c r="AN268" s="1175"/>
      <c r="AO268" s="1176"/>
      <c r="AP268" s="1177"/>
      <c r="AQ268" s="1547"/>
      <c r="AR268" s="1177"/>
      <c r="AS268" s="1548"/>
      <c r="AT268" s="1549"/>
      <c r="AU268" s="1178"/>
      <c r="AV268" s="1179"/>
      <c r="AY268" s="3">
        <v>1</v>
      </c>
    </row>
    <row r="269" spans="2:51" ht="18.75">
      <c r="B269" s="104"/>
      <c r="C269" s="1172"/>
      <c r="D269" s="1172"/>
      <c r="E269" s="1172"/>
      <c r="F269" s="1173"/>
      <c r="G269" s="1174"/>
      <c r="H269" s="1175"/>
      <c r="I269" s="1176"/>
      <c r="J269" s="1177"/>
      <c r="K269" s="1547"/>
      <c r="L269" s="1177"/>
      <c r="M269" s="1548"/>
      <c r="N269" s="1549"/>
      <c r="O269" s="1178"/>
      <c r="P269" s="1179"/>
      <c r="R269" s="104"/>
      <c r="S269" s="1172"/>
      <c r="T269" s="1172"/>
      <c r="U269" s="1172"/>
      <c r="V269" s="1173"/>
      <c r="W269" s="1174"/>
      <c r="X269" s="1175"/>
      <c r="Y269" s="1176"/>
      <c r="Z269" s="1177"/>
      <c r="AA269" s="1547"/>
      <c r="AB269" s="1177"/>
      <c r="AC269" s="1548"/>
      <c r="AD269" s="1549"/>
      <c r="AE269" s="1178"/>
      <c r="AF269" s="1179"/>
      <c r="AH269" s="104"/>
      <c r="AI269" s="1172"/>
      <c r="AJ269" s="1172"/>
      <c r="AK269" s="1172"/>
      <c r="AL269" s="1173"/>
      <c r="AM269" s="1174"/>
      <c r="AN269" s="1175"/>
      <c r="AO269" s="1176"/>
      <c r="AP269" s="1177"/>
      <c r="AQ269" s="1547"/>
      <c r="AR269" s="1177"/>
      <c r="AS269" s="1548"/>
      <c r="AT269" s="1549"/>
      <c r="AU269" s="1178"/>
      <c r="AV269" s="1179"/>
      <c r="AY269" s="3">
        <v>1</v>
      </c>
    </row>
    <row r="270" spans="2:51" ht="18.75">
      <c r="B270" s="104"/>
      <c r="C270" s="1172"/>
      <c r="D270" s="1172"/>
      <c r="E270" s="1172"/>
      <c r="F270" s="1173"/>
      <c r="G270" s="1174"/>
      <c r="H270" s="1175"/>
      <c r="I270" s="1176"/>
      <c r="J270" s="1177"/>
      <c r="K270" s="1547"/>
      <c r="L270" s="1177"/>
      <c r="M270" s="1548"/>
      <c r="N270" s="1549"/>
      <c r="O270" s="1178"/>
      <c r="P270" s="1179"/>
      <c r="R270" s="104"/>
      <c r="S270" s="1172"/>
      <c r="T270" s="1172"/>
      <c r="U270" s="1172"/>
      <c r="V270" s="1173"/>
      <c r="W270" s="1174"/>
      <c r="X270" s="1175"/>
      <c r="Y270" s="1176"/>
      <c r="Z270" s="1177"/>
      <c r="AA270" s="1547"/>
      <c r="AB270" s="1177"/>
      <c r="AC270" s="1548"/>
      <c r="AD270" s="1549"/>
      <c r="AE270" s="1178"/>
      <c r="AF270" s="1179"/>
      <c r="AH270" s="104"/>
      <c r="AI270" s="1172"/>
      <c r="AJ270" s="1172"/>
      <c r="AK270" s="1172"/>
      <c r="AL270" s="1173"/>
      <c r="AM270" s="1174"/>
      <c r="AN270" s="1175"/>
      <c r="AO270" s="1176"/>
      <c r="AP270" s="1177"/>
      <c r="AQ270" s="1547"/>
      <c r="AR270" s="1177"/>
      <c r="AS270" s="1548"/>
      <c r="AT270" s="1549"/>
      <c r="AU270" s="1178"/>
      <c r="AV270" s="1179"/>
      <c r="AY270" s="3">
        <v>1</v>
      </c>
    </row>
    <row r="271" spans="2:51" ht="18.75">
      <c r="B271" s="104"/>
      <c r="C271" s="1172"/>
      <c r="D271" s="1172"/>
      <c r="E271" s="1172"/>
      <c r="F271" s="1173"/>
      <c r="G271" s="1174"/>
      <c r="H271" s="1175"/>
      <c r="I271" s="1176"/>
      <c r="J271" s="1177"/>
      <c r="K271" s="1547"/>
      <c r="L271" s="1177"/>
      <c r="M271" s="1548"/>
      <c r="N271" s="1549"/>
      <c r="O271" s="1178"/>
      <c r="P271" s="1179"/>
      <c r="R271" s="104"/>
      <c r="S271" s="1172"/>
      <c r="T271" s="1172"/>
      <c r="U271" s="1172"/>
      <c r="V271" s="1173"/>
      <c r="W271" s="1174"/>
      <c r="X271" s="1175"/>
      <c r="Y271" s="1176"/>
      <c r="Z271" s="1177"/>
      <c r="AA271" s="1547"/>
      <c r="AB271" s="1177"/>
      <c r="AC271" s="1548"/>
      <c r="AD271" s="1549"/>
      <c r="AE271" s="1178"/>
      <c r="AF271" s="1179"/>
      <c r="AH271" s="104"/>
      <c r="AI271" s="1172"/>
      <c r="AJ271" s="1172"/>
      <c r="AK271" s="1172"/>
      <c r="AL271" s="1173"/>
      <c r="AM271" s="1174"/>
      <c r="AN271" s="1175"/>
      <c r="AO271" s="1176"/>
      <c r="AP271" s="1177"/>
      <c r="AQ271" s="1547"/>
      <c r="AR271" s="1177"/>
      <c r="AS271" s="1548"/>
      <c r="AT271" s="1549"/>
      <c r="AU271" s="1178"/>
      <c r="AV271" s="1179"/>
      <c r="AY271" s="3">
        <v>1</v>
      </c>
    </row>
    <row r="272" spans="2:51" ht="18.75">
      <c r="B272" s="104"/>
      <c r="C272" s="1172"/>
      <c r="D272" s="1172"/>
      <c r="E272" s="1172"/>
      <c r="F272" s="1173"/>
      <c r="G272" s="1174"/>
      <c r="H272" s="1175"/>
      <c r="I272" s="1176"/>
      <c r="J272" s="1177"/>
      <c r="K272" s="1547"/>
      <c r="L272" s="1177"/>
      <c r="M272" s="1548"/>
      <c r="N272" s="1549"/>
      <c r="O272" s="1178"/>
      <c r="P272" s="1179"/>
      <c r="R272" s="104"/>
      <c r="S272" s="1172"/>
      <c r="T272" s="1172"/>
      <c r="U272" s="1172"/>
      <c r="V272" s="1173"/>
      <c r="W272" s="1174"/>
      <c r="X272" s="1175"/>
      <c r="Y272" s="1176"/>
      <c r="Z272" s="1177"/>
      <c r="AA272" s="1547"/>
      <c r="AB272" s="1177"/>
      <c r="AC272" s="1548"/>
      <c r="AD272" s="1549"/>
      <c r="AE272" s="1178"/>
      <c r="AF272" s="1179"/>
      <c r="AH272" s="104"/>
      <c r="AI272" s="1172"/>
      <c r="AJ272" s="1172"/>
      <c r="AK272" s="1172"/>
      <c r="AL272" s="1173"/>
      <c r="AM272" s="1174"/>
      <c r="AN272" s="1175"/>
      <c r="AO272" s="1176"/>
      <c r="AP272" s="1177"/>
      <c r="AQ272" s="1547"/>
      <c r="AR272" s="1177"/>
      <c r="AS272" s="1548"/>
      <c r="AT272" s="1549"/>
      <c r="AU272" s="1178"/>
      <c r="AV272" s="1179"/>
      <c r="AY272" s="3">
        <v>1</v>
      </c>
    </row>
    <row r="273" spans="2:51" ht="18.75">
      <c r="B273" s="104"/>
      <c r="C273" s="1172"/>
      <c r="D273" s="1172"/>
      <c r="E273" s="1172"/>
      <c r="F273" s="1173"/>
      <c r="G273" s="1174"/>
      <c r="H273" s="1175"/>
      <c r="I273" s="1176"/>
      <c r="J273" s="1177"/>
      <c r="K273" s="1547"/>
      <c r="L273" s="1177"/>
      <c r="M273" s="1548"/>
      <c r="N273" s="1549"/>
      <c r="O273" s="1178"/>
      <c r="P273" s="1179"/>
      <c r="R273" s="104"/>
      <c r="S273" s="1172"/>
      <c r="T273" s="1172"/>
      <c r="U273" s="1172"/>
      <c r="V273" s="1173"/>
      <c r="W273" s="1174"/>
      <c r="X273" s="1175"/>
      <c r="Y273" s="1176"/>
      <c r="Z273" s="1177"/>
      <c r="AA273" s="1547"/>
      <c r="AB273" s="1177"/>
      <c r="AC273" s="1548"/>
      <c r="AD273" s="1549"/>
      <c r="AE273" s="1178"/>
      <c r="AF273" s="1179"/>
      <c r="AH273" s="104"/>
      <c r="AI273" s="1172"/>
      <c r="AJ273" s="1172"/>
      <c r="AK273" s="1172"/>
      <c r="AL273" s="1173"/>
      <c r="AM273" s="1174"/>
      <c r="AN273" s="1175"/>
      <c r="AO273" s="1176"/>
      <c r="AP273" s="1177"/>
      <c r="AQ273" s="1547"/>
      <c r="AR273" s="1177"/>
      <c r="AS273" s="1548"/>
      <c r="AT273" s="1549"/>
      <c r="AU273" s="1178"/>
      <c r="AV273" s="1179"/>
      <c r="AY273" s="3">
        <v>1</v>
      </c>
    </row>
    <row r="274" spans="2:51" ht="18.75">
      <c r="B274" s="104"/>
      <c r="C274" s="1172"/>
      <c r="D274" s="1172"/>
      <c r="E274" s="1172"/>
      <c r="F274" s="1173"/>
      <c r="G274" s="1174"/>
      <c r="H274" s="1175"/>
      <c r="I274" s="1176"/>
      <c r="J274" s="1177"/>
      <c r="K274" s="1547"/>
      <c r="L274" s="1177"/>
      <c r="M274" s="1548"/>
      <c r="N274" s="1549"/>
      <c r="O274" s="1178"/>
      <c r="P274" s="1179"/>
      <c r="R274" s="104"/>
      <c r="S274" s="1172"/>
      <c r="T274" s="1172"/>
      <c r="U274" s="1172"/>
      <c r="V274" s="1173"/>
      <c r="W274" s="1174"/>
      <c r="X274" s="1175"/>
      <c r="Y274" s="1176"/>
      <c r="Z274" s="1177"/>
      <c r="AA274" s="1547"/>
      <c r="AB274" s="1177"/>
      <c r="AC274" s="1548"/>
      <c r="AD274" s="1549"/>
      <c r="AE274" s="1178"/>
      <c r="AF274" s="1179"/>
      <c r="AH274" s="104"/>
      <c r="AI274" s="1172"/>
      <c r="AJ274" s="1172"/>
      <c r="AK274" s="1172"/>
      <c r="AL274" s="1173"/>
      <c r="AM274" s="1174"/>
      <c r="AN274" s="1175"/>
      <c r="AO274" s="1176"/>
      <c r="AP274" s="1177"/>
      <c r="AQ274" s="1547"/>
      <c r="AR274" s="1177"/>
      <c r="AS274" s="1548"/>
      <c r="AT274" s="1549"/>
      <c r="AU274" s="1178"/>
      <c r="AV274" s="1179"/>
      <c r="AY274" s="3">
        <v>1</v>
      </c>
    </row>
    <row r="275" spans="2:51" ht="18.75">
      <c r="B275" s="104"/>
      <c r="C275" s="1172"/>
      <c r="D275" s="1172"/>
      <c r="E275" s="1172"/>
      <c r="F275" s="1173"/>
      <c r="G275" s="1174"/>
      <c r="H275" s="1175"/>
      <c r="I275" s="1176"/>
      <c r="J275" s="1177"/>
      <c r="K275" s="1547"/>
      <c r="L275" s="1177"/>
      <c r="M275" s="1548"/>
      <c r="N275" s="1549"/>
      <c r="O275" s="1178"/>
      <c r="P275" s="1179"/>
      <c r="R275" s="104"/>
      <c r="S275" s="1172"/>
      <c r="T275" s="1172"/>
      <c r="U275" s="1172"/>
      <c r="V275" s="1173"/>
      <c r="W275" s="1174"/>
      <c r="X275" s="1175"/>
      <c r="Y275" s="1176"/>
      <c r="Z275" s="1177"/>
      <c r="AA275" s="1547"/>
      <c r="AB275" s="1177"/>
      <c r="AC275" s="1548"/>
      <c r="AD275" s="1549"/>
      <c r="AE275" s="1178"/>
      <c r="AF275" s="1179"/>
      <c r="AH275" s="104"/>
      <c r="AI275" s="1172"/>
      <c r="AJ275" s="1172"/>
      <c r="AK275" s="1172"/>
      <c r="AL275" s="1173"/>
      <c r="AM275" s="1174"/>
      <c r="AN275" s="1175"/>
      <c r="AO275" s="1176"/>
      <c r="AP275" s="1177"/>
      <c r="AQ275" s="1547"/>
      <c r="AR275" s="1177"/>
      <c r="AS275" s="1548"/>
      <c r="AT275" s="1549"/>
      <c r="AU275" s="1178"/>
      <c r="AV275" s="1179"/>
      <c r="AY275" s="3">
        <v>1</v>
      </c>
    </row>
    <row r="276" spans="2:51" ht="18.75">
      <c r="B276" s="104"/>
      <c r="C276" s="1172"/>
      <c r="D276" s="1172"/>
      <c r="E276" s="1172"/>
      <c r="F276" s="1173"/>
      <c r="G276" s="1174"/>
      <c r="H276" s="1175"/>
      <c r="I276" s="1176"/>
      <c r="J276" s="1177"/>
      <c r="K276" s="1547"/>
      <c r="L276" s="1177"/>
      <c r="M276" s="1548"/>
      <c r="N276" s="1549"/>
      <c r="O276" s="1178"/>
      <c r="P276" s="1179"/>
      <c r="R276" s="104"/>
      <c r="S276" s="1172"/>
      <c r="T276" s="1172"/>
      <c r="U276" s="1172"/>
      <c r="V276" s="1173"/>
      <c r="W276" s="1174"/>
      <c r="X276" s="1175"/>
      <c r="Y276" s="1176"/>
      <c r="Z276" s="1177"/>
      <c r="AA276" s="1547"/>
      <c r="AB276" s="1177"/>
      <c r="AC276" s="1548"/>
      <c r="AD276" s="1549"/>
      <c r="AE276" s="1178"/>
      <c r="AF276" s="1179"/>
      <c r="AH276" s="104"/>
      <c r="AI276" s="1172"/>
      <c r="AJ276" s="1172"/>
      <c r="AK276" s="1172"/>
      <c r="AL276" s="1173"/>
      <c r="AM276" s="1174"/>
      <c r="AN276" s="1175"/>
      <c r="AO276" s="1176"/>
      <c r="AP276" s="1177"/>
      <c r="AQ276" s="1547"/>
      <c r="AR276" s="1177"/>
      <c r="AS276" s="1548"/>
      <c r="AT276" s="1549"/>
      <c r="AU276" s="1178"/>
      <c r="AV276" s="1179"/>
      <c r="AY276" s="3">
        <v>1</v>
      </c>
    </row>
    <row r="277" spans="2:51" ht="18.75">
      <c r="B277" s="104"/>
      <c r="C277" s="1172"/>
      <c r="D277" s="1172"/>
      <c r="E277" s="1172"/>
      <c r="F277" s="1173"/>
      <c r="G277" s="1174"/>
      <c r="H277" s="1175"/>
      <c r="I277" s="1176"/>
      <c r="J277" s="1177"/>
      <c r="K277" s="1547"/>
      <c r="L277" s="1177"/>
      <c r="M277" s="1548"/>
      <c r="N277" s="1549"/>
      <c r="O277" s="1178"/>
      <c r="P277" s="1179"/>
      <c r="R277" s="104"/>
      <c r="S277" s="1172"/>
      <c r="T277" s="1172"/>
      <c r="U277" s="1172"/>
      <c r="V277" s="1173"/>
      <c r="W277" s="1174"/>
      <c r="X277" s="1175"/>
      <c r="Y277" s="1176"/>
      <c r="Z277" s="1177"/>
      <c r="AA277" s="1547"/>
      <c r="AB277" s="1177"/>
      <c r="AC277" s="1548"/>
      <c r="AD277" s="1549"/>
      <c r="AE277" s="1178"/>
      <c r="AF277" s="1179"/>
      <c r="AH277" s="104"/>
      <c r="AI277" s="1172"/>
      <c r="AJ277" s="1172"/>
      <c r="AK277" s="1172"/>
      <c r="AL277" s="1173"/>
      <c r="AM277" s="1174"/>
      <c r="AN277" s="1175"/>
      <c r="AO277" s="1176"/>
      <c r="AP277" s="1177"/>
      <c r="AQ277" s="1547"/>
      <c r="AR277" s="1177"/>
      <c r="AS277" s="1548"/>
      <c r="AT277" s="1549"/>
      <c r="AU277" s="1178"/>
      <c r="AV277" s="1179"/>
      <c r="AY277" s="3">
        <v>1</v>
      </c>
    </row>
    <row r="278" spans="2:51" ht="18.75">
      <c r="B278" s="104"/>
      <c r="C278" s="1172"/>
      <c r="D278" s="1172"/>
      <c r="E278" s="1172"/>
      <c r="F278" s="1173"/>
      <c r="G278" s="1174"/>
      <c r="H278" s="1175"/>
      <c r="I278" s="1176"/>
      <c r="J278" s="1177"/>
      <c r="K278" s="1547"/>
      <c r="L278" s="1177"/>
      <c r="M278" s="1548"/>
      <c r="N278" s="1549"/>
      <c r="O278" s="1178"/>
      <c r="P278" s="1179"/>
      <c r="R278" s="104"/>
      <c r="S278" s="1172"/>
      <c r="T278" s="1172"/>
      <c r="U278" s="1172"/>
      <c r="V278" s="1173"/>
      <c r="W278" s="1174"/>
      <c r="X278" s="1175"/>
      <c r="Y278" s="1176"/>
      <c r="Z278" s="1177"/>
      <c r="AA278" s="1547"/>
      <c r="AB278" s="1177"/>
      <c r="AC278" s="1548"/>
      <c r="AD278" s="1549"/>
      <c r="AE278" s="1178"/>
      <c r="AF278" s="1179"/>
      <c r="AH278" s="104"/>
      <c r="AI278" s="1172"/>
      <c r="AJ278" s="1172"/>
      <c r="AK278" s="1172"/>
      <c r="AL278" s="1173"/>
      <c r="AM278" s="1174"/>
      <c r="AN278" s="1175"/>
      <c r="AO278" s="1176"/>
      <c r="AP278" s="1177"/>
      <c r="AQ278" s="1547"/>
      <c r="AR278" s="1177"/>
      <c r="AS278" s="1548"/>
      <c r="AT278" s="1549"/>
      <c r="AU278" s="1178"/>
      <c r="AV278" s="1179"/>
      <c r="AY278" s="3">
        <v>1</v>
      </c>
    </row>
    <row r="279" spans="2:51" ht="18.75">
      <c r="B279" s="104"/>
      <c r="C279" s="1172"/>
      <c r="D279" s="1172"/>
      <c r="E279" s="1172"/>
      <c r="F279" s="1173"/>
      <c r="G279" s="1174"/>
      <c r="H279" s="1175"/>
      <c r="I279" s="1176"/>
      <c r="J279" s="1177"/>
      <c r="K279" s="1547"/>
      <c r="L279" s="1177"/>
      <c r="M279" s="1548"/>
      <c r="N279" s="1549"/>
      <c r="O279" s="1178"/>
      <c r="P279" s="1179"/>
      <c r="R279" s="104"/>
      <c r="S279" s="1172"/>
      <c r="T279" s="1172"/>
      <c r="U279" s="1172"/>
      <c r="V279" s="1173"/>
      <c r="W279" s="1174"/>
      <c r="X279" s="1175"/>
      <c r="Y279" s="1176"/>
      <c r="Z279" s="1177"/>
      <c r="AA279" s="1547"/>
      <c r="AB279" s="1177"/>
      <c r="AC279" s="1548"/>
      <c r="AD279" s="1549"/>
      <c r="AE279" s="1178"/>
      <c r="AF279" s="1179"/>
      <c r="AH279" s="104"/>
      <c r="AI279" s="1172"/>
      <c r="AJ279" s="1172"/>
      <c r="AK279" s="1172"/>
      <c r="AL279" s="1173"/>
      <c r="AM279" s="1174"/>
      <c r="AN279" s="1175"/>
      <c r="AO279" s="1176"/>
      <c r="AP279" s="1177"/>
      <c r="AQ279" s="1547"/>
      <c r="AR279" s="1177"/>
      <c r="AS279" s="1548"/>
      <c r="AT279" s="1549"/>
      <c r="AU279" s="1178"/>
      <c r="AV279" s="1179"/>
      <c r="AY279" s="3">
        <v>1</v>
      </c>
    </row>
    <row r="280" spans="2:51" ht="18.75">
      <c r="B280" s="104"/>
      <c r="C280" s="1172"/>
      <c r="D280" s="1172"/>
      <c r="E280" s="1172"/>
      <c r="F280" s="1173"/>
      <c r="G280" s="1174"/>
      <c r="H280" s="1175"/>
      <c r="I280" s="1176"/>
      <c r="J280" s="1177"/>
      <c r="K280" s="1547"/>
      <c r="L280" s="1177"/>
      <c r="M280" s="1548"/>
      <c r="N280" s="1549"/>
      <c r="O280" s="1178"/>
      <c r="P280" s="1179"/>
      <c r="R280" s="104"/>
      <c r="S280" s="1172"/>
      <c r="T280" s="1172"/>
      <c r="U280" s="1172"/>
      <c r="V280" s="1173"/>
      <c r="W280" s="1174"/>
      <c r="X280" s="1175"/>
      <c r="Y280" s="1176"/>
      <c r="Z280" s="1177"/>
      <c r="AA280" s="1547"/>
      <c r="AB280" s="1177"/>
      <c r="AC280" s="1548"/>
      <c r="AD280" s="1549"/>
      <c r="AE280" s="1178"/>
      <c r="AF280" s="1179"/>
      <c r="AH280" s="104"/>
      <c r="AI280" s="1172"/>
      <c r="AJ280" s="1172"/>
      <c r="AK280" s="1172"/>
      <c r="AL280" s="1173"/>
      <c r="AM280" s="1174"/>
      <c r="AN280" s="1175"/>
      <c r="AO280" s="1176"/>
      <c r="AP280" s="1177"/>
      <c r="AQ280" s="1547"/>
      <c r="AR280" s="1177"/>
      <c r="AS280" s="1548"/>
      <c r="AT280" s="1549"/>
      <c r="AU280" s="1178"/>
      <c r="AV280" s="1179"/>
      <c r="AY280" s="3">
        <v>1</v>
      </c>
    </row>
    <row r="281" spans="2:51" ht="18.75">
      <c r="B281" s="104"/>
      <c r="C281" s="1172"/>
      <c r="D281" s="1172"/>
      <c r="E281" s="1172"/>
      <c r="F281" s="1173"/>
      <c r="G281" s="1174"/>
      <c r="H281" s="1175"/>
      <c r="I281" s="1176"/>
      <c r="J281" s="1177"/>
      <c r="K281" s="1547"/>
      <c r="L281" s="1177"/>
      <c r="M281" s="1548"/>
      <c r="N281" s="1549"/>
      <c r="O281" s="1178"/>
      <c r="P281" s="1179"/>
      <c r="R281" s="104"/>
      <c r="S281" s="1172"/>
      <c r="T281" s="1172"/>
      <c r="U281" s="1172"/>
      <c r="V281" s="1173"/>
      <c r="W281" s="1174"/>
      <c r="X281" s="1175"/>
      <c r="Y281" s="1176"/>
      <c r="Z281" s="1177"/>
      <c r="AA281" s="1547"/>
      <c r="AB281" s="1177"/>
      <c r="AC281" s="1548"/>
      <c r="AD281" s="1549"/>
      <c r="AE281" s="1178"/>
      <c r="AF281" s="1179"/>
      <c r="AH281" s="104"/>
      <c r="AI281" s="1172"/>
      <c r="AJ281" s="1172"/>
      <c r="AK281" s="1172"/>
      <c r="AL281" s="1173"/>
      <c r="AM281" s="1174"/>
      <c r="AN281" s="1175"/>
      <c r="AO281" s="1176"/>
      <c r="AP281" s="1177"/>
      <c r="AQ281" s="1547"/>
      <c r="AR281" s="1177"/>
      <c r="AS281" s="1548"/>
      <c r="AT281" s="1549"/>
      <c r="AU281" s="1178"/>
      <c r="AV281" s="1179"/>
      <c r="AY281" s="3">
        <v>1</v>
      </c>
    </row>
    <row r="282" spans="2:51" ht="18.75">
      <c r="B282" s="104"/>
      <c r="C282" s="1172"/>
      <c r="D282" s="1172"/>
      <c r="E282" s="1172"/>
      <c r="F282" s="1173"/>
      <c r="G282" s="1174"/>
      <c r="H282" s="1175"/>
      <c r="I282" s="1176"/>
      <c r="J282" s="1177"/>
      <c r="K282" s="1547"/>
      <c r="L282" s="1177"/>
      <c r="M282" s="1548"/>
      <c r="N282" s="1549"/>
      <c r="O282" s="1178"/>
      <c r="P282" s="1179"/>
      <c r="R282" s="104"/>
      <c r="S282" s="1172"/>
      <c r="T282" s="1172"/>
      <c r="U282" s="1172"/>
      <c r="V282" s="1173"/>
      <c r="W282" s="1174"/>
      <c r="X282" s="1175"/>
      <c r="Y282" s="1176"/>
      <c r="Z282" s="1177"/>
      <c r="AA282" s="1547"/>
      <c r="AB282" s="1177"/>
      <c r="AC282" s="1548"/>
      <c r="AD282" s="1549"/>
      <c r="AE282" s="1178"/>
      <c r="AF282" s="1179"/>
      <c r="AH282" s="104"/>
      <c r="AI282" s="1172"/>
      <c r="AJ282" s="1172"/>
      <c r="AK282" s="1172"/>
      <c r="AL282" s="1173"/>
      <c r="AM282" s="1174"/>
      <c r="AN282" s="1175"/>
      <c r="AO282" s="1176"/>
      <c r="AP282" s="1177"/>
      <c r="AQ282" s="1547"/>
      <c r="AR282" s="1177"/>
      <c r="AS282" s="1548"/>
      <c r="AT282" s="1549"/>
      <c r="AU282" s="1178"/>
      <c r="AV282" s="1179"/>
      <c r="AY282" s="3">
        <v>1</v>
      </c>
    </row>
    <row r="283" spans="2:51" ht="18.75">
      <c r="B283" s="104"/>
      <c r="C283" s="1172"/>
      <c r="D283" s="1172"/>
      <c r="E283" s="1172"/>
      <c r="F283" s="1173"/>
      <c r="G283" s="1174"/>
      <c r="H283" s="1175"/>
      <c r="I283" s="1176"/>
      <c r="J283" s="1177"/>
      <c r="K283" s="1547"/>
      <c r="L283" s="1177"/>
      <c r="M283" s="1548"/>
      <c r="N283" s="1549"/>
      <c r="O283" s="1178"/>
      <c r="P283" s="1179"/>
      <c r="R283" s="104"/>
      <c r="S283" s="1172"/>
      <c r="T283" s="1172"/>
      <c r="U283" s="1172"/>
      <c r="V283" s="1173"/>
      <c r="W283" s="1174"/>
      <c r="X283" s="1175"/>
      <c r="Y283" s="1176"/>
      <c r="Z283" s="1177"/>
      <c r="AA283" s="1547"/>
      <c r="AB283" s="1177"/>
      <c r="AC283" s="1548"/>
      <c r="AD283" s="1549"/>
      <c r="AE283" s="1178"/>
      <c r="AF283" s="1179"/>
      <c r="AH283" s="104"/>
      <c r="AI283" s="1172"/>
      <c r="AJ283" s="1172"/>
      <c r="AK283" s="1172"/>
      <c r="AL283" s="1173"/>
      <c r="AM283" s="1174"/>
      <c r="AN283" s="1175"/>
      <c r="AO283" s="1176"/>
      <c r="AP283" s="1177"/>
      <c r="AQ283" s="1547"/>
      <c r="AR283" s="1177"/>
      <c r="AS283" s="1548"/>
      <c r="AT283" s="1549"/>
      <c r="AU283" s="1178"/>
      <c r="AV283" s="1179"/>
      <c r="AY283" s="3">
        <v>1</v>
      </c>
    </row>
    <row r="284" spans="2:51" ht="18.75">
      <c r="B284" s="104"/>
      <c r="C284" s="1172"/>
      <c r="D284" s="1172"/>
      <c r="E284" s="1172"/>
      <c r="F284" s="1173"/>
      <c r="G284" s="1174"/>
      <c r="H284" s="1175"/>
      <c r="I284" s="1176"/>
      <c r="J284" s="1177"/>
      <c r="K284" s="1547"/>
      <c r="L284" s="1177"/>
      <c r="M284" s="1548"/>
      <c r="N284" s="1549"/>
      <c r="O284" s="1178"/>
      <c r="P284" s="1179"/>
      <c r="R284" s="104"/>
      <c r="S284" s="1172"/>
      <c r="T284" s="1172"/>
      <c r="U284" s="1172"/>
      <c r="V284" s="1173"/>
      <c r="W284" s="1174"/>
      <c r="X284" s="1175"/>
      <c r="Y284" s="1176"/>
      <c r="Z284" s="1177"/>
      <c r="AA284" s="1547"/>
      <c r="AB284" s="1177"/>
      <c r="AC284" s="1548"/>
      <c r="AD284" s="1549"/>
      <c r="AE284" s="1178"/>
      <c r="AF284" s="1179"/>
      <c r="AH284" s="104"/>
      <c r="AI284" s="1172"/>
      <c r="AJ284" s="1172"/>
      <c r="AK284" s="1172"/>
      <c r="AL284" s="1173"/>
      <c r="AM284" s="1174"/>
      <c r="AN284" s="1175"/>
      <c r="AO284" s="1176"/>
      <c r="AP284" s="1177"/>
      <c r="AQ284" s="1547"/>
      <c r="AR284" s="1177"/>
      <c r="AS284" s="1548"/>
      <c r="AT284" s="1549"/>
      <c r="AU284" s="1178"/>
      <c r="AV284" s="1179"/>
      <c r="AY284" s="3">
        <v>1</v>
      </c>
    </row>
    <row r="285" spans="2:51" ht="18.75">
      <c r="B285" s="104"/>
      <c r="C285" s="1172"/>
      <c r="D285" s="1172"/>
      <c r="E285" s="1172"/>
      <c r="F285" s="1173"/>
      <c r="G285" s="1174"/>
      <c r="H285" s="1175"/>
      <c r="I285" s="1176"/>
      <c r="J285" s="1177"/>
      <c r="K285" s="1547"/>
      <c r="L285" s="1177"/>
      <c r="M285" s="1548"/>
      <c r="N285" s="1549"/>
      <c r="O285" s="1178"/>
      <c r="P285" s="1179"/>
      <c r="R285" s="104"/>
      <c r="S285" s="1172"/>
      <c r="T285" s="1172"/>
      <c r="U285" s="1172"/>
      <c r="V285" s="1173"/>
      <c r="W285" s="1174"/>
      <c r="X285" s="1175"/>
      <c r="Y285" s="1176"/>
      <c r="Z285" s="1177"/>
      <c r="AA285" s="1547"/>
      <c r="AB285" s="1177"/>
      <c r="AC285" s="1548"/>
      <c r="AD285" s="1549"/>
      <c r="AE285" s="1178"/>
      <c r="AF285" s="1179"/>
      <c r="AH285" s="104"/>
      <c r="AI285" s="1172"/>
      <c r="AJ285" s="1172"/>
      <c r="AK285" s="1172"/>
      <c r="AL285" s="1173"/>
      <c r="AM285" s="1174"/>
      <c r="AN285" s="1175"/>
      <c r="AO285" s="1176"/>
      <c r="AP285" s="1177"/>
      <c r="AQ285" s="1547"/>
      <c r="AR285" s="1177"/>
      <c r="AS285" s="1548"/>
      <c r="AT285" s="1549"/>
      <c r="AU285" s="1178"/>
      <c r="AV285" s="1179"/>
      <c r="AY285" s="3">
        <v>1</v>
      </c>
    </row>
    <row r="286" spans="2:51" ht="18.75">
      <c r="B286" s="104"/>
      <c r="C286" s="1172"/>
      <c r="D286" s="1172"/>
      <c r="E286" s="1172"/>
      <c r="F286" s="1173"/>
      <c r="G286" s="1174"/>
      <c r="H286" s="1175"/>
      <c r="I286" s="1176"/>
      <c r="J286" s="1177"/>
      <c r="K286" s="1547"/>
      <c r="L286" s="1177"/>
      <c r="M286" s="1548"/>
      <c r="N286" s="1549"/>
      <c r="O286" s="1178"/>
      <c r="P286" s="1179"/>
      <c r="R286" s="104"/>
      <c r="S286" s="1172"/>
      <c r="T286" s="1172"/>
      <c r="U286" s="1172"/>
      <c r="V286" s="1173"/>
      <c r="W286" s="1174"/>
      <c r="X286" s="1175"/>
      <c r="Y286" s="1176"/>
      <c r="Z286" s="1177"/>
      <c r="AA286" s="1547"/>
      <c r="AB286" s="1177"/>
      <c r="AC286" s="1548"/>
      <c r="AD286" s="1549"/>
      <c r="AE286" s="1178"/>
      <c r="AF286" s="1179"/>
      <c r="AH286" s="104"/>
      <c r="AI286" s="1172"/>
      <c r="AJ286" s="1172"/>
      <c r="AK286" s="1172"/>
      <c r="AL286" s="1173"/>
      <c r="AM286" s="1174"/>
      <c r="AN286" s="1175"/>
      <c r="AO286" s="1176"/>
      <c r="AP286" s="1177"/>
      <c r="AQ286" s="1547"/>
      <c r="AR286" s="1177"/>
      <c r="AS286" s="1548"/>
      <c r="AT286" s="1549"/>
      <c r="AU286" s="1178"/>
      <c r="AV286" s="1179"/>
      <c r="AY286" s="3">
        <v>1</v>
      </c>
    </row>
    <row r="287" spans="2:51" ht="18.75">
      <c r="B287" s="104"/>
      <c r="C287" s="1172"/>
      <c r="D287" s="1172"/>
      <c r="E287" s="1172"/>
      <c r="F287" s="1173"/>
      <c r="G287" s="1174"/>
      <c r="H287" s="1175"/>
      <c r="I287" s="1176"/>
      <c r="J287" s="1177"/>
      <c r="K287" s="1547"/>
      <c r="L287" s="1177"/>
      <c r="M287" s="1548"/>
      <c r="N287" s="1549"/>
      <c r="O287" s="1178"/>
      <c r="P287" s="1179"/>
      <c r="R287" s="104"/>
      <c r="S287" s="1172"/>
      <c r="T287" s="1172"/>
      <c r="U287" s="1172"/>
      <c r="V287" s="1173"/>
      <c r="W287" s="1174"/>
      <c r="X287" s="1175"/>
      <c r="Y287" s="1176"/>
      <c r="Z287" s="1177"/>
      <c r="AA287" s="1547"/>
      <c r="AB287" s="1177"/>
      <c r="AC287" s="1548"/>
      <c r="AD287" s="1549"/>
      <c r="AE287" s="1178"/>
      <c r="AF287" s="1179"/>
      <c r="AH287" s="104"/>
      <c r="AI287" s="1172"/>
      <c r="AJ287" s="1172"/>
      <c r="AK287" s="1172"/>
      <c r="AL287" s="1173"/>
      <c r="AM287" s="1174"/>
      <c r="AN287" s="1175"/>
      <c r="AO287" s="1176"/>
      <c r="AP287" s="1177"/>
      <c r="AQ287" s="1547"/>
      <c r="AR287" s="1177"/>
      <c r="AS287" s="1548"/>
      <c r="AT287" s="1549"/>
      <c r="AU287" s="1178"/>
      <c r="AV287" s="1179"/>
      <c r="AY287" s="3">
        <v>1</v>
      </c>
    </row>
    <row r="288" spans="2:51" ht="18.75">
      <c r="B288" s="104"/>
      <c r="C288" s="1172"/>
      <c r="D288" s="1172"/>
      <c r="E288" s="1172"/>
      <c r="F288" s="1173"/>
      <c r="G288" s="1174"/>
      <c r="H288" s="1175"/>
      <c r="I288" s="1176"/>
      <c r="J288" s="1177"/>
      <c r="K288" s="1547"/>
      <c r="L288" s="1177"/>
      <c r="M288" s="1548"/>
      <c r="N288" s="1549"/>
      <c r="O288" s="1178"/>
      <c r="P288" s="1179"/>
      <c r="R288" s="104"/>
      <c r="S288" s="1172"/>
      <c r="T288" s="1172"/>
      <c r="U288" s="1172"/>
      <c r="V288" s="1173"/>
      <c r="W288" s="1174"/>
      <c r="X288" s="1175"/>
      <c r="Y288" s="1176"/>
      <c r="Z288" s="1177"/>
      <c r="AA288" s="1547"/>
      <c r="AB288" s="1177"/>
      <c r="AC288" s="1548"/>
      <c r="AD288" s="1549"/>
      <c r="AE288" s="1178"/>
      <c r="AF288" s="1179"/>
      <c r="AH288" s="104"/>
      <c r="AI288" s="1172"/>
      <c r="AJ288" s="1172"/>
      <c r="AK288" s="1172"/>
      <c r="AL288" s="1173"/>
      <c r="AM288" s="1174"/>
      <c r="AN288" s="1175"/>
      <c r="AO288" s="1176"/>
      <c r="AP288" s="1177"/>
      <c r="AQ288" s="1547"/>
      <c r="AR288" s="1177"/>
      <c r="AS288" s="1548"/>
      <c r="AT288" s="1549"/>
      <c r="AU288" s="1178"/>
      <c r="AV288" s="1179"/>
      <c r="AY288" s="3">
        <v>1</v>
      </c>
    </row>
    <row r="289" spans="2:51" ht="18.75">
      <c r="B289" s="104"/>
      <c r="C289" s="1172"/>
      <c r="D289" s="1172"/>
      <c r="E289" s="1172"/>
      <c r="F289" s="1173"/>
      <c r="G289" s="1174"/>
      <c r="H289" s="1175"/>
      <c r="I289" s="1176"/>
      <c r="J289" s="1177"/>
      <c r="K289" s="1547"/>
      <c r="L289" s="1177"/>
      <c r="M289" s="1548"/>
      <c r="N289" s="1549"/>
      <c r="O289" s="1178"/>
      <c r="P289" s="1179"/>
      <c r="R289" s="104"/>
      <c r="S289" s="1172"/>
      <c r="T289" s="1172"/>
      <c r="U289" s="1172"/>
      <c r="V289" s="1173"/>
      <c r="W289" s="1174"/>
      <c r="X289" s="1175"/>
      <c r="Y289" s="1176"/>
      <c r="Z289" s="1177"/>
      <c r="AA289" s="1547"/>
      <c r="AB289" s="1177"/>
      <c r="AC289" s="1548"/>
      <c r="AD289" s="1549"/>
      <c r="AE289" s="1178"/>
      <c r="AF289" s="1179"/>
      <c r="AH289" s="104"/>
      <c r="AI289" s="1172"/>
      <c r="AJ289" s="1172"/>
      <c r="AK289" s="1172"/>
      <c r="AL289" s="1173"/>
      <c r="AM289" s="1174"/>
      <c r="AN289" s="1175"/>
      <c r="AO289" s="1176"/>
      <c r="AP289" s="1177"/>
      <c r="AQ289" s="1547"/>
      <c r="AR289" s="1177"/>
      <c r="AS289" s="1548"/>
      <c r="AT289" s="1549"/>
      <c r="AU289" s="1178"/>
      <c r="AV289" s="1179"/>
      <c r="AY289" s="3">
        <v>1</v>
      </c>
    </row>
    <row r="290" spans="2:51" ht="18.75">
      <c r="B290" s="104"/>
      <c r="C290" s="1172"/>
      <c r="D290" s="1172"/>
      <c r="E290" s="1172"/>
      <c r="F290" s="1173"/>
      <c r="G290" s="1174"/>
      <c r="H290" s="1175"/>
      <c r="I290" s="1176"/>
      <c r="J290" s="1177"/>
      <c r="K290" s="1547"/>
      <c r="L290" s="1177"/>
      <c r="M290" s="1548"/>
      <c r="N290" s="1549"/>
      <c r="O290" s="1178"/>
      <c r="P290" s="1179"/>
      <c r="R290" s="104"/>
      <c r="S290" s="1172"/>
      <c r="T290" s="1172"/>
      <c r="U290" s="1172"/>
      <c r="V290" s="1173"/>
      <c r="W290" s="1174"/>
      <c r="X290" s="1175"/>
      <c r="Y290" s="1176"/>
      <c r="Z290" s="1177"/>
      <c r="AA290" s="1547"/>
      <c r="AB290" s="1177"/>
      <c r="AC290" s="1548"/>
      <c r="AD290" s="1549"/>
      <c r="AE290" s="1178"/>
      <c r="AF290" s="1179"/>
      <c r="AH290" s="104"/>
      <c r="AI290" s="1172"/>
      <c r="AJ290" s="1172"/>
      <c r="AK290" s="1172"/>
      <c r="AL290" s="1173"/>
      <c r="AM290" s="1174"/>
      <c r="AN290" s="1175"/>
      <c r="AO290" s="1176"/>
      <c r="AP290" s="1177"/>
      <c r="AQ290" s="1547"/>
      <c r="AR290" s="1177"/>
      <c r="AS290" s="1548"/>
      <c r="AT290" s="1549"/>
      <c r="AU290" s="1178"/>
      <c r="AV290" s="1179"/>
      <c r="AY290" s="3">
        <v>1</v>
      </c>
    </row>
    <row r="291" spans="2:51" ht="18.75">
      <c r="B291" s="104"/>
      <c r="C291" s="1172"/>
      <c r="D291" s="1172"/>
      <c r="E291" s="1172"/>
      <c r="F291" s="1173"/>
      <c r="G291" s="1174"/>
      <c r="H291" s="1175"/>
      <c r="I291" s="1176"/>
      <c r="J291" s="1177"/>
      <c r="K291" s="1547"/>
      <c r="L291" s="1177"/>
      <c r="M291" s="1548"/>
      <c r="N291" s="1549"/>
      <c r="O291" s="1178"/>
      <c r="P291" s="1179"/>
      <c r="R291" s="104"/>
      <c r="S291" s="1172"/>
      <c r="T291" s="1172"/>
      <c r="U291" s="1172"/>
      <c r="V291" s="1173"/>
      <c r="W291" s="1174"/>
      <c r="X291" s="1175"/>
      <c r="Y291" s="1176"/>
      <c r="Z291" s="1177"/>
      <c r="AA291" s="1547"/>
      <c r="AB291" s="1177"/>
      <c r="AC291" s="1548"/>
      <c r="AD291" s="1549"/>
      <c r="AE291" s="1178"/>
      <c r="AF291" s="1179"/>
      <c r="AH291" s="104"/>
      <c r="AI291" s="1172"/>
      <c r="AJ291" s="1172"/>
      <c r="AK291" s="1172"/>
      <c r="AL291" s="1173"/>
      <c r="AM291" s="1174"/>
      <c r="AN291" s="1175"/>
      <c r="AO291" s="1176"/>
      <c r="AP291" s="1177"/>
      <c r="AQ291" s="1547"/>
      <c r="AR291" s="1177"/>
      <c r="AS291" s="1548"/>
      <c r="AT291" s="1549"/>
      <c r="AU291" s="1178"/>
      <c r="AV291" s="1179"/>
      <c r="AY291" s="3">
        <v>1</v>
      </c>
    </row>
    <row r="292" spans="2:51" ht="18.75">
      <c r="B292" s="104"/>
      <c r="C292" s="1172"/>
      <c r="D292" s="1172"/>
      <c r="E292" s="1172"/>
      <c r="F292" s="1173"/>
      <c r="G292" s="1174"/>
      <c r="H292" s="1175"/>
      <c r="I292" s="1176"/>
      <c r="J292" s="1177"/>
      <c r="K292" s="1547"/>
      <c r="L292" s="1177"/>
      <c r="M292" s="1548"/>
      <c r="N292" s="1549"/>
      <c r="O292" s="1178"/>
      <c r="P292" s="1179"/>
      <c r="R292" s="104"/>
      <c r="S292" s="1172"/>
      <c r="T292" s="1172"/>
      <c r="U292" s="1172"/>
      <c r="V292" s="1173"/>
      <c r="W292" s="1174"/>
      <c r="X292" s="1175"/>
      <c r="Y292" s="1176"/>
      <c r="Z292" s="1177"/>
      <c r="AA292" s="1547"/>
      <c r="AB292" s="1177"/>
      <c r="AC292" s="1548"/>
      <c r="AD292" s="1549"/>
      <c r="AE292" s="1178"/>
      <c r="AF292" s="1179"/>
      <c r="AH292" s="104"/>
      <c r="AI292" s="1172"/>
      <c r="AJ292" s="1172"/>
      <c r="AK292" s="1172"/>
      <c r="AL292" s="1173"/>
      <c r="AM292" s="1174"/>
      <c r="AN292" s="1175"/>
      <c r="AO292" s="1176"/>
      <c r="AP292" s="1177"/>
      <c r="AQ292" s="1547"/>
      <c r="AR292" s="1177"/>
      <c r="AS292" s="1548"/>
      <c r="AT292" s="1549"/>
      <c r="AU292" s="1178"/>
      <c r="AV292" s="1179"/>
      <c r="AY292" s="3">
        <v>1</v>
      </c>
    </row>
    <row r="293" spans="2:51" ht="18.75">
      <c r="B293" s="104"/>
      <c r="C293" s="1172"/>
      <c r="D293" s="1172"/>
      <c r="E293" s="1172"/>
      <c r="F293" s="1173"/>
      <c r="G293" s="1174"/>
      <c r="H293" s="1175"/>
      <c r="I293" s="1176"/>
      <c r="J293" s="1177"/>
      <c r="K293" s="1547"/>
      <c r="L293" s="1177"/>
      <c r="M293" s="1548"/>
      <c r="N293" s="1549"/>
      <c r="O293" s="1178"/>
      <c r="P293" s="1179"/>
      <c r="R293" s="104"/>
      <c r="S293" s="1172"/>
      <c r="T293" s="1172"/>
      <c r="U293" s="1172"/>
      <c r="V293" s="1173"/>
      <c r="W293" s="1174"/>
      <c r="X293" s="1175"/>
      <c r="Y293" s="1176"/>
      <c r="Z293" s="1177"/>
      <c r="AA293" s="1547"/>
      <c r="AB293" s="1177"/>
      <c r="AC293" s="1548"/>
      <c r="AD293" s="1549"/>
      <c r="AE293" s="1178"/>
      <c r="AF293" s="1179"/>
      <c r="AH293" s="104"/>
      <c r="AI293" s="1172"/>
      <c r="AJ293" s="1172"/>
      <c r="AK293" s="1172"/>
      <c r="AL293" s="1173"/>
      <c r="AM293" s="1174"/>
      <c r="AN293" s="1175"/>
      <c r="AO293" s="1176"/>
      <c r="AP293" s="1177"/>
      <c r="AQ293" s="1547"/>
      <c r="AR293" s="1177"/>
      <c r="AS293" s="1548"/>
      <c r="AT293" s="1549"/>
      <c r="AU293" s="1178"/>
      <c r="AV293" s="1179"/>
      <c r="AY293" s="3">
        <v>1</v>
      </c>
    </row>
    <row r="294" spans="2:51" ht="18.75">
      <c r="B294" s="104"/>
      <c r="C294" s="1172"/>
      <c r="D294" s="1172"/>
      <c r="E294" s="1172"/>
      <c r="F294" s="1173"/>
      <c r="G294" s="1174"/>
      <c r="H294" s="1175"/>
      <c r="I294" s="1176"/>
      <c r="J294" s="1177"/>
      <c r="K294" s="1547"/>
      <c r="L294" s="1177"/>
      <c r="M294" s="1548"/>
      <c r="N294" s="1549"/>
      <c r="O294" s="1178"/>
      <c r="P294" s="1179"/>
      <c r="R294" s="104"/>
      <c r="S294" s="1172"/>
      <c r="T294" s="1172"/>
      <c r="U294" s="1172"/>
      <c r="V294" s="1173"/>
      <c r="W294" s="1174"/>
      <c r="X294" s="1175"/>
      <c r="Y294" s="1176"/>
      <c r="Z294" s="1177"/>
      <c r="AA294" s="1547"/>
      <c r="AB294" s="1177"/>
      <c r="AC294" s="1548"/>
      <c r="AD294" s="1549"/>
      <c r="AE294" s="1178"/>
      <c r="AF294" s="1179"/>
      <c r="AH294" s="104"/>
      <c r="AI294" s="1172"/>
      <c r="AJ294" s="1172"/>
      <c r="AK294" s="1172"/>
      <c r="AL294" s="1173"/>
      <c r="AM294" s="1174"/>
      <c r="AN294" s="1175"/>
      <c r="AO294" s="1176"/>
      <c r="AP294" s="1177"/>
      <c r="AQ294" s="1547"/>
      <c r="AR294" s="1177"/>
      <c r="AS294" s="1548"/>
      <c r="AT294" s="1549"/>
      <c r="AU294" s="1178"/>
      <c r="AV294" s="1179"/>
      <c r="AY294" s="3">
        <v>1</v>
      </c>
    </row>
    <row r="295" spans="2:51" ht="18.75">
      <c r="B295" s="104"/>
      <c r="C295" s="1172"/>
      <c r="D295" s="1172"/>
      <c r="E295" s="1172"/>
      <c r="F295" s="1173"/>
      <c r="G295" s="1174"/>
      <c r="H295" s="1175"/>
      <c r="I295" s="1176"/>
      <c r="J295" s="1177"/>
      <c r="K295" s="1547"/>
      <c r="L295" s="1177"/>
      <c r="M295" s="1548"/>
      <c r="N295" s="1549"/>
      <c r="O295" s="1178"/>
      <c r="P295" s="1179"/>
      <c r="R295" s="104"/>
      <c r="S295" s="1172"/>
      <c r="T295" s="1172"/>
      <c r="U295" s="1172"/>
      <c r="V295" s="1173"/>
      <c r="W295" s="1174"/>
      <c r="X295" s="1175"/>
      <c r="Y295" s="1176"/>
      <c r="Z295" s="1177"/>
      <c r="AA295" s="1547"/>
      <c r="AB295" s="1177"/>
      <c r="AC295" s="1548"/>
      <c r="AD295" s="1549"/>
      <c r="AE295" s="1178"/>
      <c r="AF295" s="1179"/>
      <c r="AH295" s="104"/>
      <c r="AI295" s="1172"/>
      <c r="AJ295" s="1172"/>
      <c r="AK295" s="1172"/>
      <c r="AL295" s="1173"/>
      <c r="AM295" s="1174"/>
      <c r="AN295" s="1175"/>
      <c r="AO295" s="1176"/>
      <c r="AP295" s="1177"/>
      <c r="AQ295" s="1547"/>
      <c r="AR295" s="1177"/>
      <c r="AS295" s="1548"/>
      <c r="AT295" s="1549"/>
      <c r="AU295" s="1178"/>
      <c r="AV295" s="1179"/>
      <c r="AY295" s="3">
        <v>1</v>
      </c>
    </row>
    <row r="296" spans="2:51" ht="18.75">
      <c r="B296" s="104"/>
      <c r="C296" s="1172"/>
      <c r="D296" s="1172"/>
      <c r="E296" s="1172"/>
      <c r="F296" s="1173"/>
      <c r="G296" s="1174"/>
      <c r="H296" s="1175"/>
      <c r="I296" s="1176"/>
      <c r="J296" s="1177"/>
      <c r="K296" s="1547"/>
      <c r="L296" s="1177"/>
      <c r="M296" s="1548"/>
      <c r="N296" s="1549"/>
      <c r="O296" s="1178"/>
      <c r="P296" s="1179"/>
      <c r="R296" s="104"/>
      <c r="S296" s="1172"/>
      <c r="T296" s="1172"/>
      <c r="U296" s="1172"/>
      <c r="V296" s="1173"/>
      <c r="W296" s="1174"/>
      <c r="X296" s="1175"/>
      <c r="Y296" s="1176"/>
      <c r="Z296" s="1177"/>
      <c r="AA296" s="1547"/>
      <c r="AB296" s="1177"/>
      <c r="AC296" s="1548"/>
      <c r="AD296" s="1549"/>
      <c r="AE296" s="1178"/>
      <c r="AF296" s="1179"/>
      <c r="AH296" s="104"/>
      <c r="AI296" s="1172"/>
      <c r="AJ296" s="1172"/>
      <c r="AK296" s="1172"/>
      <c r="AL296" s="1173"/>
      <c r="AM296" s="1174"/>
      <c r="AN296" s="1175"/>
      <c r="AO296" s="1176"/>
      <c r="AP296" s="1177"/>
      <c r="AQ296" s="1547"/>
      <c r="AR296" s="1177"/>
      <c r="AS296" s="1548"/>
      <c r="AT296" s="1549"/>
      <c r="AU296" s="1178"/>
      <c r="AV296" s="1179"/>
      <c r="AY296" s="3">
        <v>1</v>
      </c>
    </row>
    <row r="297" spans="2:51" ht="18.75">
      <c r="B297" s="104"/>
      <c r="C297" s="1172"/>
      <c r="D297" s="1172"/>
      <c r="E297" s="1172"/>
      <c r="F297" s="1173"/>
      <c r="G297" s="1174"/>
      <c r="H297" s="1175"/>
      <c r="I297" s="1176"/>
      <c r="J297" s="1177"/>
      <c r="K297" s="1547"/>
      <c r="L297" s="1177"/>
      <c r="M297" s="1548"/>
      <c r="N297" s="1549"/>
      <c r="O297" s="1178"/>
      <c r="P297" s="1179"/>
      <c r="R297" s="104"/>
      <c r="S297" s="1172"/>
      <c r="T297" s="1172"/>
      <c r="U297" s="1172"/>
      <c r="V297" s="1173"/>
      <c r="W297" s="1174"/>
      <c r="X297" s="1175"/>
      <c r="Y297" s="1176"/>
      <c r="Z297" s="1177"/>
      <c r="AA297" s="1547"/>
      <c r="AB297" s="1177"/>
      <c r="AC297" s="1548"/>
      <c r="AD297" s="1549"/>
      <c r="AE297" s="1178"/>
      <c r="AF297" s="1179"/>
      <c r="AH297" s="104"/>
      <c r="AI297" s="1172"/>
      <c r="AJ297" s="1172"/>
      <c r="AK297" s="1172"/>
      <c r="AL297" s="1173"/>
      <c r="AM297" s="1174"/>
      <c r="AN297" s="1175"/>
      <c r="AO297" s="1176"/>
      <c r="AP297" s="1177"/>
      <c r="AQ297" s="1547"/>
      <c r="AR297" s="1177"/>
      <c r="AS297" s="1548"/>
      <c r="AT297" s="1549"/>
      <c r="AU297" s="1178"/>
      <c r="AV297" s="1179"/>
      <c r="AY297" s="3">
        <v>1</v>
      </c>
    </row>
    <row r="298" spans="2:51" ht="18.75">
      <c r="B298" s="104"/>
      <c r="C298" s="1172"/>
      <c r="D298" s="1172"/>
      <c r="E298" s="1172"/>
      <c r="F298" s="1173"/>
      <c r="G298" s="1174"/>
      <c r="H298" s="1175"/>
      <c r="I298" s="1176"/>
      <c r="J298" s="1177"/>
      <c r="K298" s="1547"/>
      <c r="L298" s="1177"/>
      <c r="M298" s="1548"/>
      <c r="N298" s="1549"/>
      <c r="O298" s="1178"/>
      <c r="P298" s="1179"/>
      <c r="R298" s="104"/>
      <c r="S298" s="1172"/>
      <c r="T298" s="1172"/>
      <c r="U298" s="1172"/>
      <c r="V298" s="1173"/>
      <c r="W298" s="1174"/>
      <c r="X298" s="1175"/>
      <c r="Y298" s="1176"/>
      <c r="Z298" s="1177"/>
      <c r="AA298" s="1547"/>
      <c r="AB298" s="1177"/>
      <c r="AC298" s="1548"/>
      <c r="AD298" s="1549"/>
      <c r="AE298" s="1178"/>
      <c r="AF298" s="1179"/>
      <c r="AH298" s="104"/>
      <c r="AI298" s="1172"/>
      <c r="AJ298" s="1172"/>
      <c r="AK298" s="1172"/>
      <c r="AL298" s="1173"/>
      <c r="AM298" s="1174"/>
      <c r="AN298" s="1175"/>
      <c r="AO298" s="1176"/>
      <c r="AP298" s="1177"/>
      <c r="AQ298" s="1547"/>
      <c r="AR298" s="1177"/>
      <c r="AS298" s="1548"/>
      <c r="AT298" s="1549"/>
      <c r="AU298" s="1178"/>
      <c r="AV298" s="1179"/>
      <c r="AY298" s="3">
        <v>1</v>
      </c>
    </row>
    <row r="299" spans="2:51" ht="18.75">
      <c r="B299" s="104"/>
      <c r="C299" s="1172"/>
      <c r="D299" s="1172"/>
      <c r="E299" s="1172"/>
      <c r="F299" s="1173"/>
      <c r="G299" s="1174"/>
      <c r="H299" s="1175"/>
      <c r="I299" s="1176"/>
      <c r="J299" s="1177"/>
      <c r="K299" s="1547"/>
      <c r="L299" s="1177"/>
      <c r="M299" s="1548"/>
      <c r="N299" s="1549"/>
      <c r="O299" s="1178"/>
      <c r="P299" s="1179"/>
      <c r="R299" s="104"/>
      <c r="S299" s="1172"/>
      <c r="T299" s="1172"/>
      <c r="U299" s="1172"/>
      <c r="V299" s="1173"/>
      <c r="W299" s="1174"/>
      <c r="X299" s="1175"/>
      <c r="Y299" s="1176"/>
      <c r="Z299" s="1177"/>
      <c r="AA299" s="1547"/>
      <c r="AB299" s="1177"/>
      <c r="AC299" s="1548"/>
      <c r="AD299" s="1549"/>
      <c r="AE299" s="1178"/>
      <c r="AF299" s="1179"/>
      <c r="AH299" s="104"/>
      <c r="AI299" s="1172"/>
      <c r="AJ299" s="1172"/>
      <c r="AK299" s="1172"/>
      <c r="AL299" s="1173"/>
      <c r="AM299" s="1174"/>
      <c r="AN299" s="1175"/>
      <c r="AO299" s="1176"/>
      <c r="AP299" s="1177"/>
      <c r="AQ299" s="1547"/>
      <c r="AR299" s="1177"/>
      <c r="AS299" s="1548"/>
      <c r="AT299" s="1549"/>
      <c r="AU299" s="1178"/>
      <c r="AV299" s="1179"/>
      <c r="AY299" s="3">
        <v>1</v>
      </c>
    </row>
    <row r="300" spans="2:51" ht="18.75">
      <c r="B300" s="104"/>
      <c r="C300" s="1172"/>
      <c r="D300" s="1172"/>
      <c r="E300" s="1172"/>
      <c r="F300" s="1173"/>
      <c r="G300" s="1174"/>
      <c r="H300" s="1175"/>
      <c r="I300" s="1176"/>
      <c r="J300" s="1177"/>
      <c r="K300" s="1547"/>
      <c r="L300" s="1177"/>
      <c r="M300" s="1548"/>
      <c r="N300" s="1549"/>
      <c r="O300" s="1178"/>
      <c r="P300" s="1179"/>
      <c r="R300" s="104"/>
      <c r="S300" s="1172"/>
      <c r="T300" s="1172"/>
      <c r="U300" s="1172"/>
      <c r="V300" s="1173"/>
      <c r="W300" s="1174"/>
      <c r="X300" s="1175"/>
      <c r="Y300" s="1176"/>
      <c r="Z300" s="1177"/>
      <c r="AA300" s="1547"/>
      <c r="AB300" s="1177"/>
      <c r="AC300" s="1548"/>
      <c r="AD300" s="1549"/>
      <c r="AE300" s="1178"/>
      <c r="AF300" s="1179"/>
      <c r="AH300" s="104"/>
      <c r="AI300" s="1172"/>
      <c r="AJ300" s="1172"/>
      <c r="AK300" s="1172"/>
      <c r="AL300" s="1173"/>
      <c r="AM300" s="1174"/>
      <c r="AN300" s="1175"/>
      <c r="AO300" s="1176"/>
      <c r="AP300" s="1177"/>
      <c r="AQ300" s="1547"/>
      <c r="AR300" s="1177"/>
      <c r="AS300" s="1548"/>
      <c r="AT300" s="1549"/>
      <c r="AU300" s="1178"/>
      <c r="AV300" s="1179"/>
      <c r="AY300" s="3">
        <v>1</v>
      </c>
    </row>
    <row r="301" spans="2:51" ht="18.75">
      <c r="B301" s="104"/>
      <c r="C301" s="1172"/>
      <c r="D301" s="1172"/>
      <c r="E301" s="1172"/>
      <c r="F301" s="1173"/>
      <c r="G301" s="1174"/>
      <c r="H301" s="1175"/>
      <c r="I301" s="1176"/>
      <c r="J301" s="1177"/>
      <c r="K301" s="1547"/>
      <c r="L301" s="1177"/>
      <c r="M301" s="1548"/>
      <c r="N301" s="1549"/>
      <c r="O301" s="1178"/>
      <c r="P301" s="1179"/>
      <c r="R301" s="104"/>
      <c r="S301" s="1172"/>
      <c r="T301" s="1172"/>
      <c r="U301" s="1172"/>
      <c r="V301" s="1173"/>
      <c r="W301" s="1174"/>
      <c r="X301" s="1175"/>
      <c r="Y301" s="1176"/>
      <c r="Z301" s="1177"/>
      <c r="AA301" s="1547"/>
      <c r="AB301" s="1177"/>
      <c r="AC301" s="1548"/>
      <c r="AD301" s="1549"/>
      <c r="AE301" s="1178"/>
      <c r="AF301" s="1179"/>
      <c r="AH301" s="104"/>
      <c r="AI301" s="1172"/>
      <c r="AJ301" s="1172"/>
      <c r="AK301" s="1172"/>
      <c r="AL301" s="1173"/>
      <c r="AM301" s="1174"/>
      <c r="AN301" s="1175"/>
      <c r="AO301" s="1176"/>
      <c r="AP301" s="1177"/>
      <c r="AQ301" s="1547"/>
      <c r="AR301" s="1177"/>
      <c r="AS301" s="1548"/>
      <c r="AT301" s="1549"/>
      <c r="AU301" s="1178"/>
      <c r="AV301" s="1179"/>
      <c r="AY301" s="3">
        <v>1</v>
      </c>
    </row>
    <row r="302" spans="2:51" ht="18.75">
      <c r="B302" s="104"/>
      <c r="C302" s="1172"/>
      <c r="D302" s="1172"/>
      <c r="E302" s="1172"/>
      <c r="F302" s="1173"/>
      <c r="G302" s="1174"/>
      <c r="H302" s="1175"/>
      <c r="I302" s="1176"/>
      <c r="J302" s="1177"/>
      <c r="K302" s="1547"/>
      <c r="L302" s="1177"/>
      <c r="M302" s="1548"/>
      <c r="N302" s="1549"/>
      <c r="O302" s="1178"/>
      <c r="P302" s="1179"/>
      <c r="R302" s="104"/>
      <c r="S302" s="1172"/>
      <c r="T302" s="1172"/>
      <c r="U302" s="1172"/>
      <c r="V302" s="1173"/>
      <c r="W302" s="1174"/>
      <c r="X302" s="1175"/>
      <c r="Y302" s="1176"/>
      <c r="Z302" s="1177"/>
      <c r="AA302" s="1547"/>
      <c r="AB302" s="1177"/>
      <c r="AC302" s="1548"/>
      <c r="AD302" s="1549"/>
      <c r="AE302" s="1178"/>
      <c r="AF302" s="1179"/>
      <c r="AH302" s="104"/>
      <c r="AI302" s="1172"/>
      <c r="AJ302" s="1172"/>
      <c r="AK302" s="1172"/>
      <c r="AL302" s="1173"/>
      <c r="AM302" s="1174"/>
      <c r="AN302" s="1175"/>
      <c r="AO302" s="1176"/>
      <c r="AP302" s="1177"/>
      <c r="AQ302" s="1547"/>
      <c r="AR302" s="1177"/>
      <c r="AS302" s="1548"/>
      <c r="AT302" s="1549"/>
      <c r="AU302" s="1178"/>
      <c r="AV302" s="1179"/>
      <c r="AY302" s="3">
        <v>1</v>
      </c>
    </row>
    <row r="303" spans="2:51" ht="18.75">
      <c r="B303" s="104"/>
      <c r="C303" s="1172"/>
      <c r="D303" s="1172"/>
      <c r="E303" s="1172"/>
      <c r="F303" s="1173"/>
      <c r="G303" s="1174"/>
      <c r="H303" s="1175"/>
      <c r="I303" s="1176"/>
      <c r="J303" s="1177"/>
      <c r="K303" s="1547"/>
      <c r="L303" s="1177"/>
      <c r="M303" s="1548"/>
      <c r="N303" s="1549"/>
      <c r="O303" s="1178"/>
      <c r="P303" s="1179"/>
      <c r="R303" s="104"/>
      <c r="S303" s="1172"/>
      <c r="T303" s="1172"/>
      <c r="U303" s="1172"/>
      <c r="V303" s="1173"/>
      <c r="W303" s="1174"/>
      <c r="X303" s="1175"/>
      <c r="Y303" s="1176"/>
      <c r="Z303" s="1177"/>
      <c r="AA303" s="1547"/>
      <c r="AB303" s="1177"/>
      <c r="AC303" s="1548"/>
      <c r="AD303" s="1549"/>
      <c r="AE303" s="1178"/>
      <c r="AF303" s="1179"/>
      <c r="AH303" s="104"/>
      <c r="AI303" s="1172"/>
      <c r="AJ303" s="1172"/>
      <c r="AK303" s="1172"/>
      <c r="AL303" s="1173"/>
      <c r="AM303" s="1174"/>
      <c r="AN303" s="1175"/>
      <c r="AO303" s="1176"/>
      <c r="AP303" s="1177"/>
      <c r="AQ303" s="1547"/>
      <c r="AR303" s="1177"/>
      <c r="AS303" s="1548"/>
      <c r="AT303" s="1549"/>
      <c r="AU303" s="1178"/>
      <c r="AV303" s="1179"/>
      <c r="AY303" s="3">
        <v>1</v>
      </c>
    </row>
    <row r="304" spans="2:51" ht="18.75">
      <c r="B304" s="104"/>
      <c r="C304" s="1172"/>
      <c r="D304" s="1172"/>
      <c r="E304" s="1172"/>
      <c r="F304" s="1173"/>
      <c r="G304" s="1174"/>
      <c r="H304" s="1175"/>
      <c r="I304" s="1176"/>
      <c r="J304" s="1177"/>
      <c r="K304" s="1547"/>
      <c r="L304" s="1177"/>
      <c r="M304" s="1548"/>
      <c r="N304" s="1549"/>
      <c r="O304" s="1178"/>
      <c r="P304" s="1179"/>
      <c r="R304" s="104"/>
      <c r="S304" s="1172"/>
      <c r="T304" s="1172"/>
      <c r="U304" s="1172"/>
      <c r="V304" s="1173"/>
      <c r="W304" s="1174"/>
      <c r="X304" s="1175"/>
      <c r="Y304" s="1176"/>
      <c r="Z304" s="1177"/>
      <c r="AA304" s="1547"/>
      <c r="AB304" s="1177"/>
      <c r="AC304" s="1548"/>
      <c r="AD304" s="1549"/>
      <c r="AE304" s="1178"/>
      <c r="AF304" s="1179"/>
      <c r="AH304" s="104"/>
      <c r="AI304" s="1172"/>
      <c r="AJ304" s="1172"/>
      <c r="AK304" s="1172"/>
      <c r="AL304" s="1173"/>
      <c r="AM304" s="1174"/>
      <c r="AN304" s="1175"/>
      <c r="AO304" s="1176"/>
      <c r="AP304" s="1177"/>
      <c r="AQ304" s="1547"/>
      <c r="AR304" s="1177"/>
      <c r="AS304" s="1548"/>
      <c r="AT304" s="1549"/>
      <c r="AU304" s="1178"/>
      <c r="AV304" s="1179"/>
      <c r="AY304" s="3">
        <v>1</v>
      </c>
    </row>
    <row r="305" spans="2:51" ht="18.75">
      <c r="B305" s="104"/>
      <c r="C305" s="1172"/>
      <c r="D305" s="1172"/>
      <c r="E305" s="1172"/>
      <c r="F305" s="1173"/>
      <c r="G305" s="1174"/>
      <c r="H305" s="1175"/>
      <c r="I305" s="1176"/>
      <c r="J305" s="1177"/>
      <c r="K305" s="1547"/>
      <c r="L305" s="1177"/>
      <c r="M305" s="1548"/>
      <c r="N305" s="1549"/>
      <c r="O305" s="1178"/>
      <c r="P305" s="1179"/>
      <c r="R305" s="104"/>
      <c r="S305" s="1172"/>
      <c r="T305" s="1172"/>
      <c r="U305" s="1172"/>
      <c r="V305" s="1173"/>
      <c r="W305" s="1174"/>
      <c r="X305" s="1175"/>
      <c r="Y305" s="1176"/>
      <c r="Z305" s="1177"/>
      <c r="AA305" s="1547"/>
      <c r="AB305" s="1177"/>
      <c r="AC305" s="1548"/>
      <c r="AD305" s="1549"/>
      <c r="AE305" s="1178"/>
      <c r="AF305" s="1179"/>
      <c r="AH305" s="104"/>
      <c r="AI305" s="1172"/>
      <c r="AJ305" s="1172"/>
      <c r="AK305" s="1172"/>
      <c r="AL305" s="1173"/>
      <c r="AM305" s="1174"/>
      <c r="AN305" s="1175"/>
      <c r="AO305" s="1176"/>
      <c r="AP305" s="1177"/>
      <c r="AQ305" s="1547"/>
      <c r="AR305" s="1177"/>
      <c r="AS305" s="1548"/>
      <c r="AT305" s="1549"/>
      <c r="AU305" s="1178"/>
      <c r="AV305" s="1179"/>
      <c r="AY305" s="3">
        <v>1</v>
      </c>
    </row>
    <row r="306" spans="2:51" ht="18.75">
      <c r="B306" s="104"/>
      <c r="C306" s="1172"/>
      <c r="D306" s="1172"/>
      <c r="E306" s="1172"/>
      <c r="F306" s="1173"/>
      <c r="G306" s="1174"/>
      <c r="H306" s="1175"/>
      <c r="I306" s="1176"/>
      <c r="J306" s="1177"/>
      <c r="K306" s="1547"/>
      <c r="L306" s="1177"/>
      <c r="M306" s="1548"/>
      <c r="N306" s="1549"/>
      <c r="O306" s="1178"/>
      <c r="P306" s="1179"/>
      <c r="R306" s="104"/>
      <c r="S306" s="1172"/>
      <c r="T306" s="1172"/>
      <c r="U306" s="1172"/>
      <c r="V306" s="1173"/>
      <c r="W306" s="1174"/>
      <c r="X306" s="1175"/>
      <c r="Y306" s="1176"/>
      <c r="Z306" s="1177"/>
      <c r="AA306" s="1547"/>
      <c r="AB306" s="1177"/>
      <c r="AC306" s="1548"/>
      <c r="AD306" s="1549"/>
      <c r="AE306" s="1178"/>
      <c r="AF306" s="1179"/>
      <c r="AH306" s="104"/>
      <c r="AI306" s="1172"/>
      <c r="AJ306" s="1172"/>
      <c r="AK306" s="1172"/>
      <c r="AL306" s="1173"/>
      <c r="AM306" s="1174"/>
      <c r="AN306" s="1175"/>
      <c r="AO306" s="1176"/>
      <c r="AP306" s="1177"/>
      <c r="AQ306" s="1547"/>
      <c r="AR306" s="1177"/>
      <c r="AS306" s="1548"/>
      <c r="AT306" s="1549"/>
      <c r="AU306" s="1178"/>
      <c r="AV306" s="1179"/>
      <c r="AY306" s="3">
        <v>1</v>
      </c>
    </row>
    <row r="307" spans="2:51" ht="18.75">
      <c r="B307" s="104"/>
      <c r="C307" s="1172"/>
      <c r="D307" s="1172"/>
      <c r="E307" s="1172"/>
      <c r="F307" s="1173"/>
      <c r="G307" s="1174"/>
      <c r="H307" s="1175"/>
      <c r="I307" s="1176"/>
      <c r="J307" s="1177"/>
      <c r="K307" s="1547"/>
      <c r="L307" s="1177"/>
      <c r="M307" s="1548"/>
      <c r="N307" s="1549"/>
      <c r="O307" s="1178"/>
      <c r="P307" s="1179"/>
      <c r="R307" s="104"/>
      <c r="S307" s="1172"/>
      <c r="T307" s="1172"/>
      <c r="U307" s="1172"/>
      <c r="V307" s="1173"/>
      <c r="W307" s="1174"/>
      <c r="X307" s="1175"/>
      <c r="Y307" s="1176"/>
      <c r="Z307" s="1177"/>
      <c r="AA307" s="1547"/>
      <c r="AB307" s="1177"/>
      <c r="AC307" s="1548"/>
      <c r="AD307" s="1549"/>
      <c r="AE307" s="1178"/>
      <c r="AF307" s="1179"/>
      <c r="AH307" s="104"/>
      <c r="AI307" s="1172"/>
      <c r="AJ307" s="1172"/>
      <c r="AK307" s="1172"/>
      <c r="AL307" s="1173"/>
      <c r="AM307" s="1174"/>
      <c r="AN307" s="1175"/>
      <c r="AO307" s="1176"/>
      <c r="AP307" s="1177"/>
      <c r="AQ307" s="1547"/>
      <c r="AR307" s="1177"/>
      <c r="AS307" s="1548"/>
      <c r="AT307" s="1549"/>
      <c r="AU307" s="1178"/>
      <c r="AV307" s="1179"/>
      <c r="AY307" s="3">
        <v>1</v>
      </c>
    </row>
    <row r="308" spans="2:51" ht="18.75">
      <c r="B308" s="104"/>
      <c r="C308" s="1172"/>
      <c r="D308" s="1172"/>
      <c r="E308" s="1172"/>
      <c r="F308" s="1173"/>
      <c r="G308" s="1174"/>
      <c r="H308" s="1175"/>
      <c r="I308" s="1176"/>
      <c r="J308" s="1177"/>
      <c r="K308" s="1547"/>
      <c r="L308" s="1177"/>
      <c r="M308" s="1548"/>
      <c r="N308" s="1549"/>
      <c r="O308" s="1178"/>
      <c r="P308" s="1179"/>
      <c r="R308" s="104"/>
      <c r="S308" s="1172"/>
      <c r="T308" s="1172"/>
      <c r="U308" s="1172"/>
      <c r="V308" s="1173"/>
      <c r="W308" s="1174"/>
      <c r="X308" s="1175"/>
      <c r="Y308" s="1176"/>
      <c r="Z308" s="1177"/>
      <c r="AA308" s="1547"/>
      <c r="AB308" s="1177"/>
      <c r="AC308" s="1548"/>
      <c r="AD308" s="1549"/>
      <c r="AE308" s="1178"/>
      <c r="AF308" s="1179"/>
      <c r="AH308" s="104"/>
      <c r="AI308" s="1172"/>
      <c r="AJ308" s="1172"/>
      <c r="AK308" s="1172"/>
      <c r="AL308" s="1173"/>
      <c r="AM308" s="1174"/>
      <c r="AN308" s="1175"/>
      <c r="AO308" s="1176"/>
      <c r="AP308" s="1177"/>
      <c r="AQ308" s="1547"/>
      <c r="AR308" s="1177"/>
      <c r="AS308" s="1548"/>
      <c r="AT308" s="1549"/>
      <c r="AU308" s="1178"/>
      <c r="AV308" s="1179"/>
      <c r="AY308" s="3">
        <v>1</v>
      </c>
    </row>
    <row r="309" spans="2:51" ht="18.75">
      <c r="B309" s="104"/>
      <c r="C309" s="1172"/>
      <c r="D309" s="1172"/>
      <c r="E309" s="1172"/>
      <c r="F309" s="1173"/>
      <c r="G309" s="1174"/>
      <c r="H309" s="1175"/>
      <c r="I309" s="1176"/>
      <c r="J309" s="1177"/>
      <c r="K309" s="1547"/>
      <c r="L309" s="1177"/>
      <c r="M309" s="1548"/>
      <c r="N309" s="1549"/>
      <c r="O309" s="1178"/>
      <c r="P309" s="1179"/>
      <c r="R309" s="104"/>
      <c r="S309" s="1172"/>
      <c r="T309" s="1172"/>
      <c r="U309" s="1172"/>
      <c r="V309" s="1173"/>
      <c r="W309" s="1174"/>
      <c r="X309" s="1175"/>
      <c r="Y309" s="1176"/>
      <c r="Z309" s="1177"/>
      <c r="AA309" s="1547"/>
      <c r="AB309" s="1177"/>
      <c r="AC309" s="1548"/>
      <c r="AD309" s="1549"/>
      <c r="AE309" s="1178"/>
      <c r="AF309" s="1179"/>
      <c r="AH309" s="104"/>
      <c r="AI309" s="1172"/>
      <c r="AJ309" s="1172"/>
      <c r="AK309" s="1172"/>
      <c r="AL309" s="1173"/>
      <c r="AM309" s="1174"/>
      <c r="AN309" s="1175"/>
      <c r="AO309" s="1176"/>
      <c r="AP309" s="1177"/>
      <c r="AQ309" s="1547"/>
      <c r="AR309" s="1177"/>
      <c r="AS309" s="1548"/>
      <c r="AT309" s="1549"/>
      <c r="AU309" s="1178"/>
      <c r="AV309" s="1179"/>
      <c r="AY309" s="3">
        <v>1</v>
      </c>
    </row>
    <row r="310" spans="2:51" ht="18.75">
      <c r="B310" s="104"/>
      <c r="C310" s="1172"/>
      <c r="D310" s="1172"/>
      <c r="E310" s="1172"/>
      <c r="F310" s="1173"/>
      <c r="G310" s="1174"/>
      <c r="H310" s="1175"/>
      <c r="I310" s="1176"/>
      <c r="J310" s="1177"/>
      <c r="K310" s="1547"/>
      <c r="L310" s="1177"/>
      <c r="M310" s="1548"/>
      <c r="N310" s="1549"/>
      <c r="O310" s="1178"/>
      <c r="P310" s="1179"/>
      <c r="R310" s="104"/>
      <c r="S310" s="1172"/>
      <c r="T310" s="1172"/>
      <c r="U310" s="1172"/>
      <c r="V310" s="1173"/>
      <c r="W310" s="1174"/>
      <c r="X310" s="1175"/>
      <c r="Y310" s="1176"/>
      <c r="Z310" s="1177"/>
      <c r="AA310" s="1547"/>
      <c r="AB310" s="1177"/>
      <c r="AC310" s="1548"/>
      <c r="AD310" s="1549"/>
      <c r="AE310" s="1178"/>
      <c r="AF310" s="1179"/>
      <c r="AH310" s="104"/>
      <c r="AI310" s="1172"/>
      <c r="AJ310" s="1172"/>
      <c r="AK310" s="1172"/>
      <c r="AL310" s="1173"/>
      <c r="AM310" s="1174"/>
      <c r="AN310" s="1175"/>
      <c r="AO310" s="1176"/>
      <c r="AP310" s="1177"/>
      <c r="AQ310" s="1547"/>
      <c r="AR310" s="1177"/>
      <c r="AS310" s="1548"/>
      <c r="AT310" s="1549"/>
      <c r="AU310" s="1178"/>
      <c r="AV310" s="1179"/>
      <c r="AY310" s="3">
        <v>1</v>
      </c>
    </row>
    <row r="311" spans="2:51" ht="18.75">
      <c r="B311" s="104"/>
      <c r="C311" s="1172"/>
      <c r="D311" s="1172"/>
      <c r="E311" s="1172"/>
      <c r="F311" s="1173"/>
      <c r="G311" s="1174"/>
      <c r="H311" s="1175"/>
      <c r="I311" s="1176"/>
      <c r="J311" s="1177"/>
      <c r="K311" s="1547"/>
      <c r="L311" s="1177"/>
      <c r="M311" s="1548"/>
      <c r="N311" s="1549"/>
      <c r="O311" s="1178"/>
      <c r="P311" s="1179"/>
      <c r="R311" s="104"/>
      <c r="S311" s="1172"/>
      <c r="T311" s="1172"/>
      <c r="U311" s="1172"/>
      <c r="V311" s="1173"/>
      <c r="W311" s="1174"/>
      <c r="X311" s="1175"/>
      <c r="Y311" s="1176"/>
      <c r="Z311" s="1177"/>
      <c r="AA311" s="1547"/>
      <c r="AB311" s="1177"/>
      <c r="AC311" s="1548"/>
      <c r="AD311" s="1549"/>
      <c r="AE311" s="1178"/>
      <c r="AF311" s="1179"/>
      <c r="AH311" s="104"/>
      <c r="AI311" s="1172"/>
      <c r="AJ311" s="1172"/>
      <c r="AK311" s="1172"/>
      <c r="AL311" s="1173"/>
      <c r="AM311" s="1174"/>
      <c r="AN311" s="1175"/>
      <c r="AO311" s="1176"/>
      <c r="AP311" s="1177"/>
      <c r="AQ311" s="1547"/>
      <c r="AR311" s="1177"/>
      <c r="AS311" s="1548"/>
      <c r="AT311" s="1549"/>
      <c r="AU311" s="1178"/>
      <c r="AV311" s="1179"/>
      <c r="AY311" s="3">
        <v>1</v>
      </c>
    </row>
    <row r="312" spans="2:51" ht="18.75">
      <c r="B312" s="104"/>
      <c r="C312" s="1172"/>
      <c r="D312" s="1172"/>
      <c r="E312" s="1172"/>
      <c r="F312" s="1173"/>
      <c r="G312" s="1174"/>
      <c r="H312" s="1175"/>
      <c r="I312" s="1176"/>
      <c r="J312" s="1177"/>
      <c r="K312" s="1547"/>
      <c r="L312" s="1177"/>
      <c r="M312" s="1548"/>
      <c r="N312" s="1549"/>
      <c r="O312" s="1178"/>
      <c r="P312" s="1179"/>
      <c r="R312" s="104"/>
      <c r="S312" s="1172"/>
      <c r="T312" s="1172"/>
      <c r="U312" s="1172"/>
      <c r="V312" s="1173"/>
      <c r="W312" s="1174"/>
      <c r="X312" s="1175"/>
      <c r="Y312" s="1176"/>
      <c r="Z312" s="1177"/>
      <c r="AA312" s="1547"/>
      <c r="AB312" s="1177"/>
      <c r="AC312" s="1548"/>
      <c r="AD312" s="1549"/>
      <c r="AE312" s="1178"/>
      <c r="AF312" s="1179"/>
      <c r="AH312" s="104"/>
      <c r="AI312" s="1172"/>
      <c r="AJ312" s="1172"/>
      <c r="AK312" s="1172"/>
      <c r="AL312" s="1173"/>
      <c r="AM312" s="1174"/>
      <c r="AN312" s="1175"/>
      <c r="AO312" s="1176"/>
      <c r="AP312" s="1177"/>
      <c r="AQ312" s="1547"/>
      <c r="AR312" s="1177"/>
      <c r="AS312" s="1548"/>
      <c r="AT312" s="1549"/>
      <c r="AU312" s="1178"/>
      <c r="AV312" s="1179"/>
      <c r="AY312" s="3">
        <v>1</v>
      </c>
    </row>
    <row r="313" spans="2:51" ht="18.75">
      <c r="B313" s="104"/>
      <c r="C313" s="1172"/>
      <c r="D313" s="1172"/>
      <c r="E313" s="1172"/>
      <c r="F313" s="1173"/>
      <c r="G313" s="1174"/>
      <c r="H313" s="1175"/>
      <c r="I313" s="1176"/>
      <c r="J313" s="1177"/>
      <c r="K313" s="1547"/>
      <c r="L313" s="1177"/>
      <c r="M313" s="1548"/>
      <c r="N313" s="1549"/>
      <c r="O313" s="1178"/>
      <c r="P313" s="1179"/>
      <c r="R313" s="104"/>
      <c r="S313" s="1172"/>
      <c r="T313" s="1172"/>
      <c r="U313" s="1172"/>
      <c r="V313" s="1173"/>
      <c r="W313" s="1174"/>
      <c r="X313" s="1175"/>
      <c r="Y313" s="1176"/>
      <c r="Z313" s="1177"/>
      <c r="AA313" s="1547"/>
      <c r="AB313" s="1177"/>
      <c r="AC313" s="1548"/>
      <c r="AD313" s="1549"/>
      <c r="AE313" s="1178"/>
      <c r="AF313" s="1179"/>
      <c r="AH313" s="104"/>
      <c r="AI313" s="1172"/>
      <c r="AJ313" s="1172"/>
      <c r="AK313" s="1172"/>
      <c r="AL313" s="1173"/>
      <c r="AM313" s="1174"/>
      <c r="AN313" s="1175"/>
      <c r="AO313" s="1176"/>
      <c r="AP313" s="1177"/>
      <c r="AQ313" s="1547"/>
      <c r="AR313" s="1177"/>
      <c r="AS313" s="1548"/>
      <c r="AT313" s="1549"/>
      <c r="AU313" s="1178"/>
      <c r="AV313" s="1179"/>
      <c r="AY313" s="3">
        <v>1</v>
      </c>
    </row>
    <row r="314" spans="2:51" ht="18.75">
      <c r="B314" s="104"/>
      <c r="C314" s="1172"/>
      <c r="D314" s="1172"/>
      <c r="E314" s="1172"/>
      <c r="F314" s="1173"/>
      <c r="G314" s="1174"/>
      <c r="H314" s="1175"/>
      <c r="I314" s="1176"/>
      <c r="J314" s="1177"/>
      <c r="K314" s="1547"/>
      <c r="L314" s="1177"/>
      <c r="M314" s="1548"/>
      <c r="N314" s="1549"/>
      <c r="O314" s="1178"/>
      <c r="P314" s="1179"/>
      <c r="R314" s="104"/>
      <c r="S314" s="1172"/>
      <c r="T314" s="1172"/>
      <c r="U314" s="1172"/>
      <c r="V314" s="1173"/>
      <c r="W314" s="1174"/>
      <c r="X314" s="1175"/>
      <c r="Y314" s="1176"/>
      <c r="Z314" s="1177"/>
      <c r="AA314" s="1547"/>
      <c r="AB314" s="1177"/>
      <c r="AC314" s="1548"/>
      <c r="AD314" s="1549"/>
      <c r="AE314" s="1178"/>
      <c r="AF314" s="1179"/>
      <c r="AH314" s="104"/>
      <c r="AI314" s="1172"/>
      <c r="AJ314" s="1172"/>
      <c r="AK314" s="1172"/>
      <c r="AL314" s="1173"/>
      <c r="AM314" s="1174"/>
      <c r="AN314" s="1175"/>
      <c r="AO314" s="1176"/>
      <c r="AP314" s="1177"/>
      <c r="AQ314" s="1547"/>
      <c r="AR314" s="1177"/>
      <c r="AS314" s="1548"/>
      <c r="AT314" s="1549"/>
      <c r="AU314" s="1178"/>
      <c r="AV314" s="1179"/>
      <c r="AY314" s="3">
        <v>1</v>
      </c>
    </row>
    <row r="315" spans="2:51" ht="18.75">
      <c r="B315" s="104"/>
      <c r="C315" s="1172"/>
      <c r="D315" s="1172"/>
      <c r="E315" s="1172"/>
      <c r="F315" s="1173"/>
      <c r="G315" s="1174"/>
      <c r="H315" s="1175"/>
      <c r="I315" s="1176"/>
      <c r="J315" s="1177"/>
      <c r="K315" s="1547"/>
      <c r="L315" s="1177"/>
      <c r="M315" s="1548"/>
      <c r="N315" s="1549"/>
      <c r="O315" s="1178"/>
      <c r="P315" s="1179"/>
      <c r="R315" s="104"/>
      <c r="S315" s="1172"/>
      <c r="T315" s="1172"/>
      <c r="U315" s="1172"/>
      <c r="V315" s="1173"/>
      <c r="W315" s="1174"/>
      <c r="X315" s="1175"/>
      <c r="Y315" s="1176"/>
      <c r="Z315" s="1177"/>
      <c r="AA315" s="1547"/>
      <c r="AB315" s="1177"/>
      <c r="AC315" s="1548"/>
      <c r="AD315" s="1549"/>
      <c r="AE315" s="1178"/>
      <c r="AF315" s="1179"/>
      <c r="AH315" s="104"/>
      <c r="AI315" s="1172"/>
      <c r="AJ315" s="1172"/>
      <c r="AK315" s="1172"/>
      <c r="AL315" s="1173"/>
      <c r="AM315" s="1174"/>
      <c r="AN315" s="1175"/>
      <c r="AO315" s="1176"/>
      <c r="AP315" s="1177"/>
      <c r="AQ315" s="1547"/>
      <c r="AR315" s="1177"/>
      <c r="AS315" s="1548"/>
      <c r="AT315" s="1549"/>
      <c r="AU315" s="1178"/>
      <c r="AV315" s="1179"/>
      <c r="AY315" s="3">
        <v>1</v>
      </c>
    </row>
    <row r="316" spans="2:51" ht="18.75">
      <c r="B316" s="104"/>
      <c r="C316" s="1172"/>
      <c r="D316" s="1172"/>
      <c r="E316" s="1172"/>
      <c r="F316" s="1173"/>
      <c r="G316" s="1174"/>
      <c r="H316" s="1175"/>
      <c r="I316" s="1176"/>
      <c r="J316" s="1177"/>
      <c r="K316" s="1547"/>
      <c r="L316" s="1177"/>
      <c r="M316" s="1548"/>
      <c r="N316" s="1549"/>
      <c r="O316" s="1178"/>
      <c r="P316" s="1179"/>
      <c r="R316" s="104"/>
      <c r="S316" s="1172"/>
      <c r="T316" s="1172"/>
      <c r="U316" s="1172"/>
      <c r="V316" s="1173"/>
      <c r="W316" s="1174"/>
      <c r="X316" s="1175"/>
      <c r="Y316" s="1176"/>
      <c r="Z316" s="1177"/>
      <c r="AA316" s="1547"/>
      <c r="AB316" s="1177"/>
      <c r="AC316" s="1548"/>
      <c r="AD316" s="1549"/>
      <c r="AE316" s="1178"/>
      <c r="AF316" s="1179"/>
      <c r="AH316" s="104"/>
      <c r="AI316" s="1172"/>
      <c r="AJ316" s="1172"/>
      <c r="AK316" s="1172"/>
      <c r="AL316" s="1173"/>
      <c r="AM316" s="1174"/>
      <c r="AN316" s="1175"/>
      <c r="AO316" s="1176"/>
      <c r="AP316" s="1177"/>
      <c r="AQ316" s="1547"/>
      <c r="AR316" s="1177"/>
      <c r="AS316" s="1548"/>
      <c r="AT316" s="1549"/>
      <c r="AU316" s="1178"/>
      <c r="AV316" s="1179"/>
      <c r="AY316" s="3">
        <v>1</v>
      </c>
    </row>
    <row r="317" spans="2:51" ht="18.75">
      <c r="B317" s="104"/>
      <c r="C317" s="1172"/>
      <c r="D317" s="1172"/>
      <c r="E317" s="1172"/>
      <c r="F317" s="1173"/>
      <c r="G317" s="1174"/>
      <c r="H317" s="1175"/>
      <c r="I317" s="1176"/>
      <c r="J317" s="1177"/>
      <c r="K317" s="1547"/>
      <c r="L317" s="1177"/>
      <c r="M317" s="1548"/>
      <c r="N317" s="1549"/>
      <c r="O317" s="1178"/>
      <c r="P317" s="1179"/>
      <c r="R317" s="104"/>
      <c r="S317" s="1172"/>
      <c r="T317" s="1172"/>
      <c r="U317" s="1172"/>
      <c r="V317" s="1173"/>
      <c r="W317" s="1174"/>
      <c r="X317" s="1175"/>
      <c r="Y317" s="1176"/>
      <c r="Z317" s="1177"/>
      <c r="AA317" s="1547"/>
      <c r="AB317" s="1177"/>
      <c r="AC317" s="1548"/>
      <c r="AD317" s="1549"/>
      <c r="AE317" s="1178"/>
      <c r="AF317" s="1179"/>
      <c r="AH317" s="104"/>
      <c r="AI317" s="1172"/>
      <c r="AJ317" s="1172"/>
      <c r="AK317" s="1172"/>
      <c r="AL317" s="1173"/>
      <c r="AM317" s="1174"/>
      <c r="AN317" s="1175"/>
      <c r="AO317" s="1176"/>
      <c r="AP317" s="1177"/>
      <c r="AQ317" s="1547"/>
      <c r="AR317" s="1177"/>
      <c r="AS317" s="1548"/>
      <c r="AT317" s="1549"/>
      <c r="AU317" s="1178"/>
      <c r="AV317" s="1179"/>
      <c r="AY317" s="3">
        <v>1</v>
      </c>
    </row>
    <row r="318" spans="2:51" ht="18.75">
      <c r="B318" s="104"/>
      <c r="C318" s="1172"/>
      <c r="D318" s="1172"/>
      <c r="E318" s="1172"/>
      <c r="F318" s="1173"/>
      <c r="G318" s="1174"/>
      <c r="H318" s="1175"/>
      <c r="I318" s="1176"/>
      <c r="J318" s="1177"/>
      <c r="K318" s="1547"/>
      <c r="L318" s="1177"/>
      <c r="M318" s="1548"/>
      <c r="N318" s="1549"/>
      <c r="O318" s="1178"/>
      <c r="P318" s="1179"/>
      <c r="R318" s="104"/>
      <c r="S318" s="1172"/>
      <c r="T318" s="1172"/>
      <c r="U318" s="1172"/>
      <c r="V318" s="1173"/>
      <c r="W318" s="1174"/>
      <c r="X318" s="1175"/>
      <c r="Y318" s="1176"/>
      <c r="Z318" s="1177"/>
      <c r="AA318" s="1547"/>
      <c r="AB318" s="1177"/>
      <c r="AC318" s="1548"/>
      <c r="AD318" s="1549"/>
      <c r="AE318" s="1178"/>
      <c r="AF318" s="1179"/>
      <c r="AH318" s="104"/>
      <c r="AI318" s="1172"/>
      <c r="AJ318" s="1172"/>
      <c r="AK318" s="1172"/>
      <c r="AL318" s="1173"/>
      <c r="AM318" s="1174"/>
      <c r="AN318" s="1175"/>
      <c r="AO318" s="1176"/>
      <c r="AP318" s="1177"/>
      <c r="AQ318" s="1547"/>
      <c r="AR318" s="1177"/>
      <c r="AS318" s="1548"/>
      <c r="AT318" s="1549"/>
      <c r="AU318" s="1178"/>
      <c r="AV318" s="1179"/>
      <c r="AY318" s="3">
        <v>1</v>
      </c>
    </row>
    <row r="319" spans="2:51" ht="18.75">
      <c r="B319" s="104"/>
      <c r="C319" s="1172"/>
      <c r="D319" s="1172"/>
      <c r="E319" s="1172"/>
      <c r="F319" s="1173"/>
      <c r="G319" s="1174"/>
      <c r="H319" s="1175"/>
      <c r="I319" s="1176"/>
      <c r="J319" s="1177"/>
      <c r="K319" s="1547"/>
      <c r="L319" s="1177"/>
      <c r="M319" s="1548"/>
      <c r="N319" s="1549"/>
      <c r="O319" s="1178"/>
      <c r="P319" s="1179"/>
      <c r="R319" s="104"/>
      <c r="S319" s="1172"/>
      <c r="T319" s="1172"/>
      <c r="U319" s="1172"/>
      <c r="V319" s="1173"/>
      <c r="W319" s="1174"/>
      <c r="X319" s="1175"/>
      <c r="Y319" s="1176"/>
      <c r="Z319" s="1177"/>
      <c r="AA319" s="1547"/>
      <c r="AB319" s="1177"/>
      <c r="AC319" s="1548"/>
      <c r="AD319" s="1549"/>
      <c r="AE319" s="1178"/>
      <c r="AF319" s="1179"/>
      <c r="AH319" s="104"/>
      <c r="AI319" s="1172"/>
      <c r="AJ319" s="1172"/>
      <c r="AK319" s="1172"/>
      <c r="AL319" s="1173"/>
      <c r="AM319" s="1174"/>
      <c r="AN319" s="1175"/>
      <c r="AO319" s="1176"/>
      <c r="AP319" s="1177"/>
      <c r="AQ319" s="1547"/>
      <c r="AR319" s="1177"/>
      <c r="AS319" s="1548"/>
      <c r="AT319" s="1549"/>
      <c r="AU319" s="1178"/>
      <c r="AV319" s="1179"/>
      <c r="AY319" s="3">
        <v>1</v>
      </c>
    </row>
    <row r="320" spans="2:51" ht="18.75">
      <c r="B320" s="104"/>
      <c r="C320" s="1172"/>
      <c r="D320" s="1172"/>
      <c r="E320" s="1172"/>
      <c r="F320" s="1173"/>
      <c r="G320" s="1174"/>
      <c r="H320" s="1175"/>
      <c r="I320" s="1176"/>
      <c r="J320" s="1177"/>
      <c r="K320" s="1547"/>
      <c r="L320" s="1177"/>
      <c r="M320" s="1548"/>
      <c r="N320" s="1549"/>
      <c r="O320" s="1178"/>
      <c r="P320" s="1179"/>
      <c r="R320" s="104"/>
      <c r="S320" s="1172"/>
      <c r="T320" s="1172"/>
      <c r="U320" s="1172"/>
      <c r="V320" s="1173"/>
      <c r="W320" s="1174"/>
      <c r="X320" s="1175"/>
      <c r="Y320" s="1176"/>
      <c r="Z320" s="1177"/>
      <c r="AA320" s="1547"/>
      <c r="AB320" s="1177"/>
      <c r="AC320" s="1548"/>
      <c r="AD320" s="1549"/>
      <c r="AE320" s="1178"/>
      <c r="AF320" s="1179"/>
      <c r="AH320" s="104"/>
      <c r="AI320" s="1172"/>
      <c r="AJ320" s="1172"/>
      <c r="AK320" s="1172"/>
      <c r="AL320" s="1173"/>
      <c r="AM320" s="1174"/>
      <c r="AN320" s="1175"/>
      <c r="AO320" s="1176"/>
      <c r="AP320" s="1177"/>
      <c r="AQ320" s="1547"/>
      <c r="AR320" s="1177"/>
      <c r="AS320" s="1548"/>
      <c r="AT320" s="1549"/>
      <c r="AU320" s="1178"/>
      <c r="AV320" s="1179"/>
      <c r="AY320" s="3">
        <v>1</v>
      </c>
    </row>
    <row r="321" spans="2:51" ht="18.75">
      <c r="B321" s="104"/>
      <c r="C321" s="1172"/>
      <c r="D321" s="1172"/>
      <c r="E321" s="1172"/>
      <c r="F321" s="1173"/>
      <c r="G321" s="1174"/>
      <c r="H321" s="1175"/>
      <c r="I321" s="1176"/>
      <c r="J321" s="1177"/>
      <c r="K321" s="1547"/>
      <c r="L321" s="1177"/>
      <c r="M321" s="1548"/>
      <c r="N321" s="1549"/>
      <c r="O321" s="1178"/>
      <c r="P321" s="1179"/>
      <c r="R321" s="104"/>
      <c r="S321" s="1172"/>
      <c r="T321" s="1172"/>
      <c r="U321" s="1172"/>
      <c r="V321" s="1173"/>
      <c r="W321" s="1174"/>
      <c r="X321" s="1175"/>
      <c r="Y321" s="1176"/>
      <c r="Z321" s="1177"/>
      <c r="AA321" s="1547"/>
      <c r="AB321" s="1177"/>
      <c r="AC321" s="1548"/>
      <c r="AD321" s="1549"/>
      <c r="AE321" s="1178"/>
      <c r="AF321" s="1179"/>
      <c r="AH321" s="104"/>
      <c r="AI321" s="1172"/>
      <c r="AJ321" s="1172"/>
      <c r="AK321" s="1172"/>
      <c r="AL321" s="1173"/>
      <c r="AM321" s="1174"/>
      <c r="AN321" s="1175"/>
      <c r="AO321" s="1176"/>
      <c r="AP321" s="1177"/>
      <c r="AQ321" s="1547"/>
      <c r="AR321" s="1177"/>
      <c r="AS321" s="1548"/>
      <c r="AT321" s="1549"/>
      <c r="AU321" s="1178"/>
      <c r="AV321" s="1179"/>
      <c r="AY321" s="3">
        <v>1</v>
      </c>
    </row>
    <row r="322" spans="2:51" ht="18.75">
      <c r="B322" s="104"/>
      <c r="C322" s="1172"/>
      <c r="D322" s="1172"/>
      <c r="E322" s="1172"/>
      <c r="F322" s="1173"/>
      <c r="G322" s="1174"/>
      <c r="H322" s="1175"/>
      <c r="I322" s="1176"/>
      <c r="J322" s="1177"/>
      <c r="K322" s="1547"/>
      <c r="L322" s="1177"/>
      <c r="M322" s="1548"/>
      <c r="N322" s="1549"/>
      <c r="O322" s="1178"/>
      <c r="P322" s="1179"/>
      <c r="R322" s="104"/>
      <c r="S322" s="1172"/>
      <c r="T322" s="1172"/>
      <c r="U322" s="1172"/>
      <c r="V322" s="1173"/>
      <c r="W322" s="1174"/>
      <c r="X322" s="1175"/>
      <c r="Y322" s="1176"/>
      <c r="Z322" s="1177"/>
      <c r="AA322" s="1547"/>
      <c r="AB322" s="1177"/>
      <c r="AC322" s="1548"/>
      <c r="AD322" s="1549"/>
      <c r="AE322" s="1178"/>
      <c r="AF322" s="1179"/>
      <c r="AH322" s="104"/>
      <c r="AI322" s="1172"/>
      <c r="AJ322" s="1172"/>
      <c r="AK322" s="1172"/>
      <c r="AL322" s="1173"/>
      <c r="AM322" s="1174"/>
      <c r="AN322" s="1175"/>
      <c r="AO322" s="1176"/>
      <c r="AP322" s="1177"/>
      <c r="AQ322" s="1547"/>
      <c r="AR322" s="1177"/>
      <c r="AS322" s="1548"/>
      <c r="AT322" s="1549"/>
      <c r="AU322" s="1178"/>
      <c r="AV322" s="1179"/>
      <c r="AY322" s="3">
        <v>1</v>
      </c>
    </row>
    <row r="323" spans="2:51" ht="18.75">
      <c r="B323" s="104"/>
      <c r="C323" s="1172"/>
      <c r="D323" s="1172"/>
      <c r="E323" s="1172"/>
      <c r="F323" s="1173"/>
      <c r="G323" s="1174"/>
      <c r="H323" s="1175"/>
      <c r="I323" s="1176"/>
      <c r="J323" s="1177"/>
      <c r="K323" s="1547"/>
      <c r="L323" s="1177"/>
      <c r="M323" s="1548"/>
      <c r="N323" s="1549"/>
      <c r="O323" s="1178"/>
      <c r="P323" s="1179"/>
      <c r="R323" s="104"/>
      <c r="S323" s="1172"/>
      <c r="T323" s="1172"/>
      <c r="U323" s="1172"/>
      <c r="V323" s="1173"/>
      <c r="W323" s="1174"/>
      <c r="X323" s="1175"/>
      <c r="Y323" s="1176"/>
      <c r="Z323" s="1177"/>
      <c r="AA323" s="1547"/>
      <c r="AB323" s="1177"/>
      <c r="AC323" s="1548"/>
      <c r="AD323" s="1549"/>
      <c r="AE323" s="1178"/>
      <c r="AF323" s="1179"/>
      <c r="AH323" s="104"/>
      <c r="AI323" s="1172"/>
      <c r="AJ323" s="1172"/>
      <c r="AK323" s="1172"/>
      <c r="AL323" s="1173"/>
      <c r="AM323" s="1174"/>
      <c r="AN323" s="1175"/>
      <c r="AO323" s="1176"/>
      <c r="AP323" s="1177"/>
      <c r="AQ323" s="1547"/>
      <c r="AR323" s="1177"/>
      <c r="AS323" s="1548"/>
      <c r="AT323" s="1549"/>
      <c r="AU323" s="1178"/>
      <c r="AV323" s="1179"/>
      <c r="AY323" s="3">
        <v>1</v>
      </c>
    </row>
    <row r="324" spans="2:51" ht="18.75">
      <c r="B324" s="104"/>
      <c r="C324" s="1172"/>
      <c r="D324" s="1172"/>
      <c r="E324" s="1172"/>
      <c r="F324" s="1173"/>
      <c r="G324" s="1174"/>
      <c r="H324" s="1175"/>
      <c r="I324" s="1176"/>
      <c r="J324" s="1177"/>
      <c r="K324" s="1547"/>
      <c r="L324" s="1177"/>
      <c r="M324" s="1548"/>
      <c r="N324" s="1549"/>
      <c r="O324" s="1178"/>
      <c r="P324" s="1179"/>
      <c r="R324" s="104"/>
      <c r="S324" s="1172"/>
      <c r="T324" s="1172"/>
      <c r="U324" s="1172"/>
      <c r="V324" s="1173"/>
      <c r="W324" s="1174"/>
      <c r="X324" s="1175"/>
      <c r="Y324" s="1176"/>
      <c r="Z324" s="1177"/>
      <c r="AA324" s="1547"/>
      <c r="AB324" s="1177"/>
      <c r="AC324" s="1548"/>
      <c r="AD324" s="1549"/>
      <c r="AE324" s="1178"/>
      <c r="AF324" s="1179"/>
      <c r="AH324" s="104"/>
      <c r="AI324" s="1172"/>
      <c r="AJ324" s="1172"/>
      <c r="AK324" s="1172"/>
      <c r="AL324" s="1173"/>
      <c r="AM324" s="1174"/>
      <c r="AN324" s="1175"/>
      <c r="AO324" s="1176"/>
      <c r="AP324" s="1177"/>
      <c r="AQ324" s="1547"/>
      <c r="AR324" s="1177"/>
      <c r="AS324" s="1548"/>
      <c r="AT324" s="1549"/>
      <c r="AU324" s="1178"/>
      <c r="AV324" s="1179"/>
      <c r="AY324" s="3">
        <v>1</v>
      </c>
    </row>
    <row r="325" spans="2:51" ht="18.75">
      <c r="B325" s="104"/>
      <c r="C325" s="1172"/>
      <c r="D325" s="1172"/>
      <c r="E325" s="1172"/>
      <c r="F325" s="1173"/>
      <c r="G325" s="1174"/>
      <c r="H325" s="1175"/>
      <c r="I325" s="1176"/>
      <c r="J325" s="1177"/>
      <c r="K325" s="1547"/>
      <c r="L325" s="1177"/>
      <c r="M325" s="1548"/>
      <c r="N325" s="1549"/>
      <c r="O325" s="1178"/>
      <c r="P325" s="1179"/>
      <c r="R325" s="104"/>
      <c r="S325" s="1172"/>
      <c r="T325" s="1172"/>
      <c r="U325" s="1172"/>
      <c r="V325" s="1173"/>
      <c r="W325" s="1174"/>
      <c r="X325" s="1175"/>
      <c r="Y325" s="1176"/>
      <c r="Z325" s="1177"/>
      <c r="AA325" s="1547"/>
      <c r="AB325" s="1177"/>
      <c r="AC325" s="1548"/>
      <c r="AD325" s="1549"/>
      <c r="AE325" s="1178"/>
      <c r="AF325" s="1179"/>
      <c r="AH325" s="104"/>
      <c r="AI325" s="1172"/>
      <c r="AJ325" s="1172"/>
      <c r="AK325" s="1172"/>
      <c r="AL325" s="1173"/>
      <c r="AM325" s="1174"/>
      <c r="AN325" s="1175"/>
      <c r="AO325" s="1176"/>
      <c r="AP325" s="1177"/>
      <c r="AQ325" s="1547"/>
      <c r="AR325" s="1177"/>
      <c r="AS325" s="1548"/>
      <c r="AT325" s="1549"/>
      <c r="AU325" s="1178"/>
      <c r="AV325" s="1179"/>
      <c r="AY325" s="3">
        <v>1</v>
      </c>
    </row>
    <row r="326" spans="2:51" ht="18.75">
      <c r="B326" s="104"/>
      <c r="C326" s="1172"/>
      <c r="D326" s="1172"/>
      <c r="E326" s="1172"/>
      <c r="F326" s="1173"/>
      <c r="G326" s="1174"/>
      <c r="H326" s="1175"/>
      <c r="I326" s="1176"/>
      <c r="J326" s="1177"/>
      <c r="K326" s="1547"/>
      <c r="L326" s="1177"/>
      <c r="M326" s="1548"/>
      <c r="N326" s="1549"/>
      <c r="O326" s="1178"/>
      <c r="P326" s="1179"/>
      <c r="R326" s="104"/>
      <c r="S326" s="1172"/>
      <c r="T326" s="1172"/>
      <c r="U326" s="1172"/>
      <c r="V326" s="1173"/>
      <c r="W326" s="1174"/>
      <c r="X326" s="1175"/>
      <c r="Y326" s="1176"/>
      <c r="Z326" s="1177"/>
      <c r="AA326" s="1547"/>
      <c r="AB326" s="1177"/>
      <c r="AC326" s="1548"/>
      <c r="AD326" s="1549"/>
      <c r="AE326" s="1178"/>
      <c r="AF326" s="1179"/>
      <c r="AH326" s="104"/>
      <c r="AI326" s="1172"/>
      <c r="AJ326" s="1172"/>
      <c r="AK326" s="1172"/>
      <c r="AL326" s="1173"/>
      <c r="AM326" s="1174"/>
      <c r="AN326" s="1175"/>
      <c r="AO326" s="1176"/>
      <c r="AP326" s="1177"/>
      <c r="AQ326" s="1547"/>
      <c r="AR326" s="1177"/>
      <c r="AS326" s="1548"/>
      <c r="AT326" s="1549"/>
      <c r="AU326" s="1178"/>
      <c r="AV326" s="1179"/>
      <c r="AY326" s="3">
        <v>1</v>
      </c>
    </row>
    <row r="327" spans="2:51" ht="18.75">
      <c r="B327" s="104"/>
      <c r="C327" s="1172"/>
      <c r="D327" s="1172"/>
      <c r="E327" s="1172"/>
      <c r="F327" s="1173"/>
      <c r="G327" s="1174"/>
      <c r="H327" s="1175"/>
      <c r="I327" s="1176"/>
      <c r="J327" s="1177"/>
      <c r="K327" s="1547"/>
      <c r="L327" s="1177"/>
      <c r="M327" s="1548"/>
      <c r="N327" s="1549"/>
      <c r="O327" s="1178"/>
      <c r="P327" s="1179"/>
      <c r="R327" s="104"/>
      <c r="S327" s="1172"/>
      <c r="T327" s="1172"/>
      <c r="U327" s="1172"/>
      <c r="V327" s="1173"/>
      <c r="W327" s="1174"/>
      <c r="X327" s="1175"/>
      <c r="Y327" s="1176"/>
      <c r="Z327" s="1177"/>
      <c r="AA327" s="1547"/>
      <c r="AB327" s="1177"/>
      <c r="AC327" s="1548"/>
      <c r="AD327" s="1549"/>
      <c r="AE327" s="1178"/>
      <c r="AF327" s="1179"/>
      <c r="AH327" s="104"/>
      <c r="AI327" s="1172"/>
      <c r="AJ327" s="1172"/>
      <c r="AK327" s="1172"/>
      <c r="AL327" s="1173"/>
      <c r="AM327" s="1174"/>
      <c r="AN327" s="1175"/>
      <c r="AO327" s="1176"/>
      <c r="AP327" s="1177"/>
      <c r="AQ327" s="1547"/>
      <c r="AR327" s="1177"/>
      <c r="AS327" s="1548"/>
      <c r="AT327" s="1549"/>
      <c r="AU327" s="1178"/>
      <c r="AV327" s="1179"/>
      <c r="AY327" s="3">
        <v>1</v>
      </c>
    </row>
    <row r="328" spans="2:51" ht="18.75">
      <c r="B328" s="104"/>
      <c r="C328" s="1172"/>
      <c r="D328" s="1172"/>
      <c r="E328" s="1172"/>
      <c r="F328" s="1173"/>
      <c r="G328" s="1174"/>
      <c r="H328" s="1175"/>
      <c r="I328" s="1176"/>
      <c r="J328" s="1177"/>
      <c r="K328" s="1547"/>
      <c r="L328" s="1177"/>
      <c r="M328" s="1548"/>
      <c r="N328" s="1549"/>
      <c r="O328" s="1178"/>
      <c r="P328" s="1179"/>
      <c r="R328" s="104"/>
      <c r="S328" s="1172"/>
      <c r="T328" s="1172"/>
      <c r="U328" s="1172"/>
      <c r="V328" s="1173"/>
      <c r="W328" s="1174"/>
      <c r="X328" s="1175"/>
      <c r="Y328" s="1176"/>
      <c r="Z328" s="1177"/>
      <c r="AA328" s="1547"/>
      <c r="AB328" s="1177"/>
      <c r="AC328" s="1548"/>
      <c r="AD328" s="1549"/>
      <c r="AE328" s="1178"/>
      <c r="AF328" s="1179"/>
      <c r="AH328" s="104"/>
      <c r="AI328" s="1172"/>
      <c r="AJ328" s="1172"/>
      <c r="AK328" s="1172"/>
      <c r="AL328" s="1173"/>
      <c r="AM328" s="1174"/>
      <c r="AN328" s="1175"/>
      <c r="AO328" s="1176"/>
      <c r="AP328" s="1177"/>
      <c r="AQ328" s="1547"/>
      <c r="AR328" s="1177"/>
      <c r="AS328" s="1548"/>
      <c r="AT328" s="1549"/>
      <c r="AU328" s="1178"/>
      <c r="AV328" s="1179"/>
      <c r="AY328" s="3">
        <v>1</v>
      </c>
    </row>
    <row r="329" spans="2:51" ht="18.75">
      <c r="B329" s="104"/>
      <c r="C329" s="1172"/>
      <c r="D329" s="1172"/>
      <c r="E329" s="1172"/>
      <c r="F329" s="1173"/>
      <c r="G329" s="1174"/>
      <c r="H329" s="1175"/>
      <c r="I329" s="1176"/>
      <c r="J329" s="1177"/>
      <c r="K329" s="1547"/>
      <c r="L329" s="1177"/>
      <c r="M329" s="1548"/>
      <c r="N329" s="1549"/>
      <c r="O329" s="1178"/>
      <c r="P329" s="1179"/>
      <c r="R329" s="104"/>
      <c r="S329" s="1172"/>
      <c r="T329" s="1172"/>
      <c r="U329" s="1172"/>
      <c r="V329" s="1173"/>
      <c r="W329" s="1174"/>
      <c r="X329" s="1175"/>
      <c r="Y329" s="1176"/>
      <c r="Z329" s="1177"/>
      <c r="AA329" s="1547"/>
      <c r="AB329" s="1177"/>
      <c r="AC329" s="1548"/>
      <c r="AD329" s="1549"/>
      <c r="AE329" s="1178"/>
      <c r="AF329" s="1179"/>
      <c r="AH329" s="104"/>
      <c r="AI329" s="1172"/>
      <c r="AJ329" s="1172"/>
      <c r="AK329" s="1172"/>
      <c r="AL329" s="1173"/>
      <c r="AM329" s="1174"/>
      <c r="AN329" s="1175"/>
      <c r="AO329" s="1176"/>
      <c r="AP329" s="1177"/>
      <c r="AQ329" s="1547"/>
      <c r="AR329" s="1177"/>
      <c r="AS329" s="1548"/>
      <c r="AT329" s="1549"/>
      <c r="AU329" s="1178"/>
      <c r="AV329" s="1179"/>
      <c r="AY329" s="3">
        <v>1</v>
      </c>
    </row>
    <row r="330" spans="2:51" ht="18.75">
      <c r="B330" s="104"/>
      <c r="C330" s="1172"/>
      <c r="D330" s="1172"/>
      <c r="E330" s="1172"/>
      <c r="F330" s="1173"/>
      <c r="G330" s="1174"/>
      <c r="H330" s="1175"/>
      <c r="I330" s="1176"/>
      <c r="J330" s="1177"/>
      <c r="K330" s="1547"/>
      <c r="L330" s="1177"/>
      <c r="M330" s="1548"/>
      <c r="N330" s="1549"/>
      <c r="O330" s="1178"/>
      <c r="P330" s="1179"/>
      <c r="R330" s="104"/>
      <c r="S330" s="1172"/>
      <c r="T330" s="1172"/>
      <c r="U330" s="1172"/>
      <c r="V330" s="1173"/>
      <c r="W330" s="1174"/>
      <c r="X330" s="1175"/>
      <c r="Y330" s="1176"/>
      <c r="Z330" s="1177"/>
      <c r="AA330" s="1547"/>
      <c r="AB330" s="1177"/>
      <c r="AC330" s="1548"/>
      <c r="AD330" s="1549"/>
      <c r="AE330" s="1178"/>
      <c r="AF330" s="1179"/>
      <c r="AH330" s="104"/>
      <c r="AI330" s="1172"/>
      <c r="AJ330" s="1172"/>
      <c r="AK330" s="1172"/>
      <c r="AL330" s="1173"/>
      <c r="AM330" s="1174"/>
      <c r="AN330" s="1175"/>
      <c r="AO330" s="1176"/>
      <c r="AP330" s="1177"/>
      <c r="AQ330" s="1547"/>
      <c r="AR330" s="1177"/>
      <c r="AS330" s="1548"/>
      <c r="AT330" s="1549"/>
      <c r="AU330" s="1178"/>
      <c r="AV330" s="1179"/>
      <c r="AY330" s="3">
        <v>1</v>
      </c>
    </row>
    <row r="331" spans="2:51" ht="18.75">
      <c r="B331" s="104"/>
      <c r="C331" s="1172"/>
      <c r="D331" s="1172"/>
      <c r="E331" s="1172"/>
      <c r="F331" s="1173"/>
      <c r="G331" s="1174"/>
      <c r="H331" s="1175"/>
      <c r="I331" s="1176"/>
      <c r="J331" s="1177"/>
      <c r="K331" s="1547"/>
      <c r="L331" s="1177"/>
      <c r="M331" s="1548"/>
      <c r="N331" s="1549"/>
      <c r="O331" s="1178"/>
      <c r="P331" s="1179"/>
      <c r="R331" s="104"/>
      <c r="S331" s="1172"/>
      <c r="T331" s="1172"/>
      <c r="U331" s="1172"/>
      <c r="V331" s="1173"/>
      <c r="W331" s="1174"/>
      <c r="X331" s="1175"/>
      <c r="Y331" s="1176"/>
      <c r="Z331" s="1177"/>
      <c r="AA331" s="1547"/>
      <c r="AB331" s="1177"/>
      <c r="AC331" s="1548"/>
      <c r="AD331" s="1549"/>
      <c r="AE331" s="1178"/>
      <c r="AF331" s="1179"/>
      <c r="AH331" s="104"/>
      <c r="AI331" s="1172"/>
      <c r="AJ331" s="1172"/>
      <c r="AK331" s="1172"/>
      <c r="AL331" s="1173"/>
      <c r="AM331" s="1174"/>
      <c r="AN331" s="1175"/>
      <c r="AO331" s="1176"/>
      <c r="AP331" s="1177"/>
      <c r="AQ331" s="1547"/>
      <c r="AR331" s="1177"/>
      <c r="AS331" s="1548"/>
      <c r="AT331" s="1549"/>
      <c r="AU331" s="1178"/>
      <c r="AV331" s="1179"/>
      <c r="AY331" s="3">
        <v>1</v>
      </c>
    </row>
    <row r="332" spans="2:51" ht="18.75">
      <c r="B332" s="104"/>
      <c r="C332" s="1172"/>
      <c r="D332" s="1172"/>
      <c r="E332" s="1172"/>
      <c r="F332" s="1173"/>
      <c r="G332" s="1174"/>
      <c r="H332" s="1175"/>
      <c r="I332" s="1176"/>
      <c r="J332" s="1177"/>
      <c r="K332" s="1547"/>
      <c r="L332" s="1177"/>
      <c r="M332" s="1548"/>
      <c r="N332" s="1549"/>
      <c r="O332" s="1178"/>
      <c r="P332" s="1179"/>
      <c r="R332" s="104"/>
      <c r="S332" s="1172"/>
      <c r="T332" s="1172"/>
      <c r="U332" s="1172"/>
      <c r="V332" s="1173"/>
      <c r="W332" s="1174"/>
      <c r="X332" s="1175"/>
      <c r="Y332" s="1176"/>
      <c r="Z332" s="1177"/>
      <c r="AA332" s="1547"/>
      <c r="AB332" s="1177"/>
      <c r="AC332" s="1548"/>
      <c r="AD332" s="1549"/>
      <c r="AE332" s="1178"/>
      <c r="AF332" s="1179"/>
      <c r="AH332" s="104"/>
      <c r="AI332" s="1172"/>
      <c r="AJ332" s="1172"/>
      <c r="AK332" s="1172"/>
      <c r="AL332" s="1173"/>
      <c r="AM332" s="1174"/>
      <c r="AN332" s="1175"/>
      <c r="AO332" s="1176"/>
      <c r="AP332" s="1177"/>
      <c r="AQ332" s="1547"/>
      <c r="AR332" s="1177"/>
      <c r="AS332" s="1548"/>
      <c r="AT332" s="1549"/>
      <c r="AU332" s="1178"/>
      <c r="AV332" s="1179"/>
      <c r="AY332" s="3">
        <v>1</v>
      </c>
    </row>
    <row r="333" spans="2:51" ht="18.75">
      <c r="B333" s="104"/>
      <c r="C333" s="1172"/>
      <c r="D333" s="1172"/>
      <c r="E333" s="1172"/>
      <c r="F333" s="1173"/>
      <c r="G333" s="1174"/>
      <c r="H333" s="1175"/>
      <c r="I333" s="1176"/>
      <c r="J333" s="1177"/>
      <c r="K333" s="1547"/>
      <c r="L333" s="1177"/>
      <c r="M333" s="1548"/>
      <c r="N333" s="1549"/>
      <c r="O333" s="1178"/>
      <c r="P333" s="1179"/>
      <c r="R333" s="104"/>
      <c r="S333" s="1172"/>
      <c r="T333" s="1172"/>
      <c r="U333" s="1172"/>
      <c r="V333" s="1173"/>
      <c r="W333" s="1174"/>
      <c r="X333" s="1175"/>
      <c r="Y333" s="1176"/>
      <c r="Z333" s="1177"/>
      <c r="AA333" s="1547"/>
      <c r="AB333" s="1177"/>
      <c r="AC333" s="1548"/>
      <c r="AD333" s="1549"/>
      <c r="AE333" s="1178"/>
      <c r="AF333" s="1179"/>
      <c r="AH333" s="104"/>
      <c r="AI333" s="1172"/>
      <c r="AJ333" s="1172"/>
      <c r="AK333" s="1172"/>
      <c r="AL333" s="1173"/>
      <c r="AM333" s="1174"/>
      <c r="AN333" s="1175"/>
      <c r="AO333" s="1176"/>
      <c r="AP333" s="1177"/>
      <c r="AQ333" s="1547"/>
      <c r="AR333" s="1177"/>
      <c r="AS333" s="1548"/>
      <c r="AT333" s="1549"/>
      <c r="AU333" s="1178"/>
      <c r="AV333" s="1179"/>
      <c r="AY333" s="3">
        <v>1</v>
      </c>
    </row>
    <row r="334" spans="2:51" ht="18.75">
      <c r="B334" s="104"/>
      <c r="C334" s="1172"/>
      <c r="D334" s="1172"/>
      <c r="E334" s="1172"/>
      <c r="F334" s="1173"/>
      <c r="G334" s="1174"/>
      <c r="H334" s="1175"/>
      <c r="I334" s="1176"/>
      <c r="J334" s="1177"/>
      <c r="K334" s="1547"/>
      <c r="L334" s="1177"/>
      <c r="M334" s="1548"/>
      <c r="N334" s="1549"/>
      <c r="O334" s="1178"/>
      <c r="P334" s="1179"/>
      <c r="R334" s="104"/>
      <c r="S334" s="1172"/>
      <c r="T334" s="1172"/>
      <c r="U334" s="1172"/>
      <c r="V334" s="1173"/>
      <c r="W334" s="1174"/>
      <c r="X334" s="1175"/>
      <c r="Y334" s="1176"/>
      <c r="Z334" s="1177"/>
      <c r="AA334" s="1547"/>
      <c r="AB334" s="1177"/>
      <c r="AC334" s="1548"/>
      <c r="AD334" s="1549"/>
      <c r="AE334" s="1178"/>
      <c r="AF334" s="1179"/>
      <c r="AH334" s="104"/>
      <c r="AI334" s="1172"/>
      <c r="AJ334" s="1172"/>
      <c r="AK334" s="1172"/>
      <c r="AL334" s="1173"/>
      <c r="AM334" s="1174"/>
      <c r="AN334" s="1175"/>
      <c r="AO334" s="1176"/>
      <c r="AP334" s="1177"/>
      <c r="AQ334" s="1547"/>
      <c r="AR334" s="1177"/>
      <c r="AS334" s="1548"/>
      <c r="AT334" s="1549"/>
      <c r="AU334" s="1178"/>
      <c r="AV334" s="1179"/>
      <c r="AY334" s="3">
        <v>1</v>
      </c>
    </row>
    <row r="335" spans="2:51" ht="18.75">
      <c r="B335" s="104"/>
      <c r="C335" s="1172"/>
      <c r="D335" s="1172"/>
      <c r="E335" s="1172"/>
      <c r="F335" s="1173"/>
      <c r="G335" s="1174"/>
      <c r="H335" s="1175"/>
      <c r="I335" s="1176"/>
      <c r="J335" s="1177"/>
      <c r="K335" s="1547"/>
      <c r="L335" s="1177"/>
      <c r="M335" s="1548"/>
      <c r="N335" s="1549"/>
      <c r="O335" s="1178"/>
      <c r="P335" s="1179"/>
      <c r="R335" s="104"/>
      <c r="S335" s="1172"/>
      <c r="T335" s="1172"/>
      <c r="U335" s="1172"/>
      <c r="V335" s="1173"/>
      <c r="W335" s="1174"/>
      <c r="X335" s="1175"/>
      <c r="Y335" s="1176"/>
      <c r="Z335" s="1177"/>
      <c r="AA335" s="1547"/>
      <c r="AB335" s="1177"/>
      <c r="AC335" s="1548"/>
      <c r="AD335" s="1549"/>
      <c r="AE335" s="1178"/>
      <c r="AF335" s="1179"/>
      <c r="AH335" s="104"/>
      <c r="AI335" s="1172"/>
      <c r="AJ335" s="1172"/>
      <c r="AK335" s="1172"/>
      <c r="AL335" s="1173"/>
      <c r="AM335" s="1174"/>
      <c r="AN335" s="1175"/>
      <c r="AO335" s="1176"/>
      <c r="AP335" s="1177"/>
      <c r="AQ335" s="1547"/>
      <c r="AR335" s="1177"/>
      <c r="AS335" s="1548"/>
      <c r="AT335" s="1549"/>
      <c r="AU335" s="1178"/>
      <c r="AV335" s="1179"/>
      <c r="AY335" s="3">
        <v>1</v>
      </c>
    </row>
    <row r="336" spans="2:51" ht="18.75">
      <c r="B336" s="104"/>
      <c r="C336" s="1172"/>
      <c r="D336" s="1172"/>
      <c r="E336" s="1172"/>
      <c r="F336" s="1173"/>
      <c r="G336" s="1174"/>
      <c r="H336" s="1175"/>
      <c r="I336" s="1176"/>
      <c r="J336" s="1177"/>
      <c r="K336" s="1547"/>
      <c r="L336" s="1177"/>
      <c r="M336" s="1548"/>
      <c r="N336" s="1549"/>
      <c r="O336" s="1178"/>
      <c r="P336" s="1179"/>
      <c r="R336" s="104"/>
      <c r="S336" s="1172"/>
      <c r="T336" s="1172"/>
      <c r="U336" s="1172"/>
      <c r="V336" s="1173"/>
      <c r="W336" s="1174"/>
      <c r="X336" s="1175"/>
      <c r="Y336" s="1176"/>
      <c r="Z336" s="1177"/>
      <c r="AA336" s="1547"/>
      <c r="AB336" s="1177"/>
      <c r="AC336" s="1548"/>
      <c r="AD336" s="1549"/>
      <c r="AE336" s="1178"/>
      <c r="AF336" s="1179"/>
      <c r="AH336" s="104"/>
      <c r="AI336" s="1172"/>
      <c r="AJ336" s="1172"/>
      <c r="AK336" s="1172"/>
      <c r="AL336" s="1173"/>
      <c r="AM336" s="1174"/>
      <c r="AN336" s="1175"/>
      <c r="AO336" s="1176"/>
      <c r="AP336" s="1177"/>
      <c r="AQ336" s="1547"/>
      <c r="AR336" s="1177"/>
      <c r="AS336" s="1548"/>
      <c r="AT336" s="1549"/>
      <c r="AU336" s="1178"/>
      <c r="AV336" s="1179"/>
      <c r="AY336" s="3">
        <v>1</v>
      </c>
    </row>
    <row r="337" spans="1:53" ht="18.75">
      <c r="B337" s="104"/>
      <c r="C337" s="1172"/>
      <c r="D337" s="1172"/>
      <c r="E337" s="1172"/>
      <c r="F337" s="1173"/>
      <c r="G337" s="1174"/>
      <c r="H337" s="1175"/>
      <c r="I337" s="1176"/>
      <c r="J337" s="1177"/>
      <c r="K337" s="1547"/>
      <c r="L337" s="1177"/>
      <c r="M337" s="1548"/>
      <c r="N337" s="1549"/>
      <c r="O337" s="1178"/>
      <c r="P337" s="1179"/>
      <c r="R337" s="104"/>
      <c r="S337" s="1172"/>
      <c r="T337" s="1172"/>
      <c r="U337" s="1172"/>
      <c r="V337" s="1173"/>
      <c r="W337" s="1174"/>
      <c r="X337" s="1175"/>
      <c r="Y337" s="1176"/>
      <c r="Z337" s="1177"/>
      <c r="AA337" s="1547"/>
      <c r="AB337" s="1177"/>
      <c r="AC337" s="1548"/>
      <c r="AD337" s="1549"/>
      <c r="AE337" s="1178"/>
      <c r="AF337" s="1179"/>
      <c r="AH337" s="104"/>
      <c r="AI337" s="1172"/>
      <c r="AJ337" s="1172"/>
      <c r="AK337" s="1172"/>
      <c r="AL337" s="1173"/>
      <c r="AM337" s="1174"/>
      <c r="AN337" s="1175"/>
      <c r="AO337" s="1176"/>
      <c r="AP337" s="1177"/>
      <c r="AQ337" s="1547"/>
      <c r="AR337" s="1177"/>
      <c r="AS337" s="1548"/>
      <c r="AT337" s="1549"/>
      <c r="AU337" s="1178"/>
      <c r="AV337" s="1179"/>
      <c r="AY337" s="3">
        <v>1</v>
      </c>
    </row>
    <row r="338" spans="1:53" ht="18.75">
      <c r="B338" s="104"/>
      <c r="C338" s="1172"/>
      <c r="D338" s="1172"/>
      <c r="E338" s="1172"/>
      <c r="F338" s="1173"/>
      <c r="G338" s="1174"/>
      <c r="H338" s="1175"/>
      <c r="I338" s="1176"/>
      <c r="J338" s="1177"/>
      <c r="K338" s="1547"/>
      <c r="L338" s="1177"/>
      <c r="M338" s="1548"/>
      <c r="N338" s="1549"/>
      <c r="O338" s="1178"/>
      <c r="P338" s="1179"/>
      <c r="R338" s="104"/>
      <c r="S338" s="1172"/>
      <c r="T338" s="1172"/>
      <c r="U338" s="1172"/>
      <c r="V338" s="1173"/>
      <c r="W338" s="1174"/>
      <c r="X338" s="1175"/>
      <c r="Y338" s="1176"/>
      <c r="Z338" s="1177"/>
      <c r="AA338" s="1547"/>
      <c r="AB338" s="1177"/>
      <c r="AC338" s="1548"/>
      <c r="AD338" s="1549"/>
      <c r="AE338" s="1178"/>
      <c r="AF338" s="1179"/>
      <c r="AH338" s="104"/>
      <c r="AI338" s="1172"/>
      <c r="AJ338" s="1172"/>
      <c r="AK338" s="1172"/>
      <c r="AL338" s="1173"/>
      <c r="AM338" s="1174"/>
      <c r="AN338" s="1175"/>
      <c r="AO338" s="1176"/>
      <c r="AP338" s="1177"/>
      <c r="AQ338" s="1547"/>
      <c r="AR338" s="1177"/>
      <c r="AS338" s="1548"/>
      <c r="AT338" s="1549"/>
      <c r="AU338" s="1178"/>
      <c r="AV338" s="1179"/>
      <c r="AY338" s="3">
        <v>1</v>
      </c>
    </row>
    <row r="339" spans="1:53" ht="18.75">
      <c r="B339" s="104"/>
      <c r="C339" s="1172"/>
      <c r="D339" s="1172"/>
      <c r="E339" s="1172"/>
      <c r="F339" s="1173"/>
      <c r="G339" s="1174"/>
      <c r="H339" s="1175"/>
      <c r="I339" s="1176"/>
      <c r="J339" s="1177"/>
      <c r="K339" s="1547"/>
      <c r="L339" s="1177"/>
      <c r="M339" s="1548"/>
      <c r="N339" s="1549"/>
      <c r="O339" s="1178"/>
      <c r="P339" s="1179"/>
      <c r="R339" s="104"/>
      <c r="S339" s="1172"/>
      <c r="T339" s="1172"/>
      <c r="U339" s="1172"/>
      <c r="V339" s="1173"/>
      <c r="W339" s="1174"/>
      <c r="X339" s="1175"/>
      <c r="Y339" s="1176"/>
      <c r="Z339" s="1177"/>
      <c r="AA339" s="1547"/>
      <c r="AB339" s="1177"/>
      <c r="AC339" s="1548"/>
      <c r="AD339" s="1549"/>
      <c r="AE339" s="1178"/>
      <c r="AF339" s="1179"/>
      <c r="AH339" s="104"/>
      <c r="AI339" s="1172"/>
      <c r="AJ339" s="1172"/>
      <c r="AK339" s="1172"/>
      <c r="AL339" s="1173"/>
      <c r="AM339" s="1174"/>
      <c r="AN339" s="1175"/>
      <c r="AO339" s="1176"/>
      <c r="AP339" s="1177"/>
      <c r="AQ339" s="1547"/>
      <c r="AR339" s="1177"/>
      <c r="AS339" s="1548"/>
      <c r="AT339" s="1549"/>
      <c r="AU339" s="1178"/>
      <c r="AV339" s="1179"/>
      <c r="AY339" s="3">
        <v>1</v>
      </c>
    </row>
    <row r="340" spans="1:53" ht="18.75">
      <c r="B340" s="104"/>
      <c r="C340" s="1172"/>
      <c r="D340" s="1172"/>
      <c r="E340" s="1172"/>
      <c r="F340" s="1173"/>
      <c r="G340" s="1174"/>
      <c r="H340" s="1175"/>
      <c r="I340" s="1176"/>
      <c r="J340" s="1177"/>
      <c r="K340" s="1547"/>
      <c r="L340" s="1177"/>
      <c r="M340" s="1548"/>
      <c r="N340" s="1549"/>
      <c r="O340" s="1178"/>
      <c r="P340" s="1179"/>
      <c r="R340" s="104"/>
      <c r="S340" s="1172"/>
      <c r="T340" s="1172"/>
      <c r="U340" s="1172"/>
      <c r="V340" s="1173"/>
      <c r="W340" s="1174"/>
      <c r="X340" s="1175"/>
      <c r="Y340" s="1176"/>
      <c r="Z340" s="1177"/>
      <c r="AA340" s="1547"/>
      <c r="AB340" s="1177"/>
      <c r="AC340" s="1548"/>
      <c r="AD340" s="1549"/>
      <c r="AE340" s="1178"/>
      <c r="AF340" s="1179"/>
      <c r="AH340" s="104"/>
      <c r="AI340" s="1172"/>
      <c r="AJ340" s="1172"/>
      <c r="AK340" s="1172"/>
      <c r="AL340" s="1173"/>
      <c r="AM340" s="1174"/>
      <c r="AN340" s="1175"/>
      <c r="AO340" s="1176"/>
      <c r="AP340" s="1177"/>
      <c r="AQ340" s="1547"/>
      <c r="AR340" s="1177"/>
      <c r="AS340" s="1548"/>
      <c r="AT340" s="1549"/>
      <c r="AU340" s="1178"/>
      <c r="AV340" s="1179"/>
      <c r="AY340" s="3">
        <v>1</v>
      </c>
    </row>
    <row r="341" spans="1:53" ht="18.75">
      <c r="B341" s="104"/>
      <c r="C341" s="1172"/>
      <c r="D341" s="1172"/>
      <c r="E341" s="1172"/>
      <c r="F341" s="1173"/>
      <c r="G341" s="1174"/>
      <c r="H341" s="1175"/>
      <c r="I341" s="1176"/>
      <c r="J341" s="1177"/>
      <c r="K341" s="1547"/>
      <c r="L341" s="1177"/>
      <c r="M341" s="1548"/>
      <c r="N341" s="1549"/>
      <c r="O341" s="1178"/>
      <c r="P341" s="1179"/>
      <c r="R341" s="104"/>
      <c r="S341" s="1172"/>
      <c r="T341" s="1172"/>
      <c r="U341" s="1172"/>
      <c r="V341" s="1173"/>
      <c r="W341" s="1174"/>
      <c r="X341" s="1175"/>
      <c r="Y341" s="1176"/>
      <c r="Z341" s="1177"/>
      <c r="AA341" s="1547"/>
      <c r="AB341" s="1177"/>
      <c r="AC341" s="1548"/>
      <c r="AD341" s="1549"/>
      <c r="AE341" s="1178"/>
      <c r="AF341" s="1179"/>
      <c r="AH341" s="104"/>
      <c r="AI341" s="1172"/>
      <c r="AJ341" s="1172"/>
      <c r="AK341" s="1172"/>
      <c r="AL341" s="1173"/>
      <c r="AM341" s="1174"/>
      <c r="AN341" s="1175"/>
      <c r="AO341" s="1176"/>
      <c r="AP341" s="1177"/>
      <c r="AQ341" s="1547"/>
      <c r="AR341" s="1177"/>
      <c r="AS341" s="1548"/>
      <c r="AT341" s="1549"/>
      <c r="AU341" s="1178"/>
      <c r="AV341" s="1179"/>
      <c r="AY341" s="3">
        <v>1</v>
      </c>
    </row>
    <row r="342" spans="1:53" ht="27" customHeight="1">
      <c r="B342" s="224" t="s">
        <v>11</v>
      </c>
      <c r="C342" s="224"/>
      <c r="D342" s="224"/>
      <c r="E342" s="224"/>
      <c r="F342" s="224"/>
      <c r="G342" s="224"/>
      <c r="H342" s="224"/>
      <c r="I342" s="224"/>
      <c r="J342" s="224"/>
      <c r="K342" s="224"/>
      <c r="L342" s="224"/>
      <c r="M342" s="224"/>
      <c r="N342" s="224"/>
      <c r="O342" s="224"/>
      <c r="P342" s="224"/>
      <c r="R342" s="224" t="s">
        <v>11</v>
      </c>
      <c r="S342" s="224"/>
      <c r="T342" s="224"/>
      <c r="U342" s="224"/>
      <c r="V342" s="224"/>
      <c r="W342" s="224"/>
      <c r="X342" s="224"/>
      <c r="Y342" s="224"/>
      <c r="Z342" s="224"/>
      <c r="AA342" s="224"/>
      <c r="AB342" s="224"/>
      <c r="AC342" s="224"/>
      <c r="AD342" s="224"/>
      <c r="AE342" s="224"/>
      <c r="AF342" s="224"/>
      <c r="AH342" s="224" t="s">
        <v>11</v>
      </c>
      <c r="AI342" s="224"/>
      <c r="AJ342" s="224"/>
      <c r="AK342" s="224"/>
      <c r="AL342" s="224"/>
      <c r="AM342" s="224"/>
      <c r="AN342" s="224"/>
      <c r="AO342" s="224"/>
      <c r="AP342" s="224"/>
      <c r="AQ342" s="224"/>
      <c r="AR342" s="224"/>
      <c r="AS342" s="224"/>
      <c r="AT342" s="224"/>
      <c r="AU342" s="224"/>
      <c r="AV342" s="224"/>
      <c r="AY342" s="708" t="s">
        <v>823</v>
      </c>
    </row>
    <row r="343" spans="1:53">
      <c r="A343" s="3">
        <v>1</v>
      </c>
      <c r="B343" s="3">
        <v>1</v>
      </c>
      <c r="C343" s="3">
        <v>1</v>
      </c>
      <c r="D343" s="3">
        <v>1</v>
      </c>
      <c r="E343" s="3">
        <v>1</v>
      </c>
      <c r="F343" s="3">
        <v>1</v>
      </c>
      <c r="G343" s="3">
        <v>1</v>
      </c>
      <c r="H343" s="3">
        <v>1</v>
      </c>
      <c r="I343" s="3">
        <v>1</v>
      </c>
      <c r="J343" s="3">
        <v>1</v>
      </c>
      <c r="K343" s="3">
        <v>1</v>
      </c>
      <c r="L343" s="3">
        <v>1</v>
      </c>
      <c r="M343" s="3">
        <v>1</v>
      </c>
      <c r="N343" s="3">
        <v>1</v>
      </c>
      <c r="O343" s="3">
        <v>1</v>
      </c>
      <c r="P343" s="3">
        <v>1</v>
      </c>
      <c r="Q343" s="3">
        <v>1</v>
      </c>
      <c r="R343" s="3">
        <v>1</v>
      </c>
      <c r="S343" s="3">
        <v>1</v>
      </c>
      <c r="T343" s="3">
        <v>1</v>
      </c>
      <c r="U343" s="3">
        <v>1</v>
      </c>
      <c r="V343" s="3">
        <v>1</v>
      </c>
      <c r="W343" s="3">
        <v>1</v>
      </c>
      <c r="X343" s="3">
        <v>1</v>
      </c>
      <c r="Y343" s="3">
        <v>1</v>
      </c>
      <c r="Z343" s="3">
        <v>1</v>
      </c>
      <c r="AA343" s="3">
        <v>1</v>
      </c>
      <c r="AB343" s="3">
        <v>1</v>
      </c>
      <c r="AC343" s="3">
        <v>1</v>
      </c>
      <c r="AD343" s="3">
        <v>1</v>
      </c>
      <c r="AE343" s="3">
        <v>1</v>
      </c>
      <c r="AF343" s="3">
        <v>1</v>
      </c>
      <c r="AG343" s="3">
        <v>1</v>
      </c>
      <c r="AH343" s="3">
        <v>1</v>
      </c>
      <c r="AI343" s="3">
        <v>1</v>
      </c>
      <c r="AJ343" s="3">
        <v>1</v>
      </c>
      <c r="AK343" s="3">
        <v>1</v>
      </c>
      <c r="AL343" s="3">
        <v>1</v>
      </c>
      <c r="AM343" s="3">
        <v>1</v>
      </c>
      <c r="AN343" s="3">
        <v>1</v>
      </c>
      <c r="AO343" s="3">
        <v>1</v>
      </c>
      <c r="AP343" s="3">
        <v>1</v>
      </c>
      <c r="AQ343" s="3">
        <v>1</v>
      </c>
      <c r="AR343" s="3">
        <v>1</v>
      </c>
      <c r="AS343" s="3">
        <v>1</v>
      </c>
      <c r="AT343" s="3">
        <v>1</v>
      </c>
      <c r="AU343" s="3">
        <v>1</v>
      </c>
      <c r="AV343" s="3">
        <v>1</v>
      </c>
      <c r="AW343" s="3">
        <v>1</v>
      </c>
      <c r="AX343" s="3">
        <v>1</v>
      </c>
      <c r="AY343" s="1" t="str">
        <f>ADDRESS(ROW(),COLUMN(),4)</f>
        <v>AY343</v>
      </c>
      <c r="AZ343" s="710"/>
      <c r="BA343" s="711" t="str">
        <f>ADDRESS(ROW(),COLUMN(),4)</f>
        <v>BA343</v>
      </c>
    </row>
  </sheetData>
  <mergeCells count="1">
    <mergeCell ref="AT4:AV7"/>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302AE3-25A0-4787-83B3-1E5FE082AEBC}">
  <dimension ref="A1:DO183"/>
  <sheetViews>
    <sheetView showZeros="0" workbookViewId="0">
      <selection activeCell="N13" sqref="N13"/>
    </sheetView>
  </sheetViews>
  <sheetFormatPr baseColWidth="10" defaultColWidth="11.5703125" defaultRowHeight="15"/>
  <cols>
    <col min="1" max="1" width="6.7109375" customWidth="1"/>
    <col min="2" max="3" width="13.7109375" style="856" customWidth="1"/>
    <col min="4" max="4" width="2.140625" style="856" customWidth="1"/>
    <col min="5" max="6" width="13.7109375" style="856" customWidth="1"/>
    <col min="7" max="7" width="2.140625" style="856" customWidth="1"/>
    <col min="8" max="9" width="13.7109375" style="856" customWidth="1"/>
    <col min="10" max="10" width="2.140625" style="856" customWidth="1"/>
    <col min="11" max="12" width="13.7109375" style="856" customWidth="1"/>
    <col min="13" max="13" width="2.140625" style="856" customWidth="1"/>
    <col min="14" max="15" width="13.7109375" style="856" customWidth="1"/>
    <col min="16" max="16" width="2.140625" style="856" customWidth="1"/>
    <col min="17" max="18" width="13.7109375" style="856" customWidth="1"/>
    <col min="19" max="19" width="2.140625" style="856" customWidth="1"/>
    <col min="20" max="21" width="13.7109375" style="856" customWidth="1"/>
    <col min="22" max="22" width="2.140625" style="856" customWidth="1"/>
    <col min="23" max="24" width="13.7109375" style="856" customWidth="1"/>
    <col min="25" max="25" width="2.140625" style="856" customWidth="1"/>
    <col min="26" max="27" width="13.7109375" style="856" customWidth="1"/>
    <col min="28" max="28" width="4.85546875" style="227" customWidth="1"/>
    <col min="29" max="30" width="13.7109375" style="856" customWidth="1"/>
    <col min="31" max="31" width="4.85546875" style="227" customWidth="1"/>
    <col min="32" max="33" width="13.7109375" style="856" customWidth="1"/>
    <col min="34" max="34" width="4.85546875" style="227" customWidth="1"/>
    <col min="35" max="35" width="11.7109375" style="856" customWidth="1"/>
    <col min="36" max="36" width="12.7109375" style="856" customWidth="1"/>
    <col min="37" max="37" width="4.5703125" style="856" customWidth="1"/>
    <col min="38" max="38" width="11.7109375" style="856" customWidth="1"/>
    <col min="39" max="39" width="12.5703125" style="856" customWidth="1"/>
    <col min="40" max="40" width="2.140625" style="856" customWidth="1"/>
    <col min="41" max="42" width="12.7109375" style="856" customWidth="1"/>
    <col min="43" max="43" width="5.140625" style="856" customWidth="1"/>
    <col min="45" max="46" width="13.7109375" customWidth="1"/>
    <col min="47" max="47" width="4.42578125" customWidth="1"/>
    <col min="48" max="49" width="13.7109375" customWidth="1"/>
    <col min="50" max="50" width="4.42578125" customWidth="1"/>
    <col min="51" max="52" width="13.7109375" customWidth="1"/>
    <col min="53" max="53" width="4.42578125" customWidth="1"/>
    <col min="54" max="55" width="13.7109375" customWidth="1"/>
    <col min="56" max="56" width="4.42578125" customWidth="1"/>
    <col min="57" max="58" width="13.7109375" customWidth="1"/>
    <col min="59" max="59" width="4.42578125" customWidth="1"/>
    <col min="60" max="61" width="13.7109375" customWidth="1"/>
    <col min="62" max="62" width="4.42578125" customWidth="1"/>
    <col min="63" max="64" width="13.7109375" customWidth="1"/>
    <col min="65" max="65" width="4.42578125" customWidth="1"/>
    <col min="66" max="67" width="13.7109375" customWidth="1"/>
    <col min="68" max="68" width="4.42578125" customWidth="1"/>
    <col min="69" max="70" width="13.7109375" customWidth="1"/>
    <col min="71" max="71" width="4.42578125" customWidth="1"/>
    <col min="72" max="73" width="13.7109375" customWidth="1"/>
    <col min="74" max="74" width="4.42578125" customWidth="1"/>
    <col min="75" max="77" width="13.7109375" customWidth="1"/>
    <col min="78" max="78" width="33" customWidth="1"/>
    <col min="79" max="83" width="13.7109375" customWidth="1"/>
    <col min="84" max="84" width="4.42578125" customWidth="1"/>
    <col min="85" max="86" width="13.7109375" customWidth="1"/>
    <col min="87" max="87" width="4.42578125" customWidth="1"/>
    <col min="88" max="89" width="13.7109375" customWidth="1"/>
    <col min="90" max="90" width="4.42578125" customWidth="1"/>
    <col min="91" max="92" width="13.7109375" customWidth="1"/>
    <col min="93" max="93" width="4.42578125" customWidth="1"/>
    <col min="94" max="95" width="13.7109375" customWidth="1"/>
    <col min="96" max="96" width="4.42578125" customWidth="1"/>
    <col min="97" max="98" width="13.7109375" customWidth="1"/>
    <col min="99" max="99" width="4.42578125" customWidth="1"/>
    <col min="100" max="101" width="13.7109375" customWidth="1"/>
    <col min="102" max="102" width="4.42578125" customWidth="1"/>
    <col min="103" max="104" width="13.7109375" customWidth="1"/>
    <col min="105" max="105" width="4.42578125" customWidth="1"/>
    <col min="106" max="107" width="13.7109375" customWidth="1"/>
    <col min="108" max="108" width="4.42578125" customWidth="1"/>
    <col min="109" max="110" width="13.7109375" customWidth="1"/>
    <col min="111" max="111" width="4.42578125" customWidth="1"/>
    <col min="112" max="113" width="13.7109375" customWidth="1"/>
    <col min="114" max="114" width="4.42578125" customWidth="1"/>
    <col min="115" max="115" width="32" customWidth="1"/>
    <col min="117" max="117" width="8.7109375" style="856" customWidth="1"/>
    <col min="118" max="118" width="11.5703125" style="709"/>
    <col min="119" max="119" width="43.5703125" style="709" customWidth="1"/>
  </cols>
  <sheetData>
    <row r="1" spans="1:119">
      <c r="A1" s="1" t="str">
        <f>ADDRESS(ROW(),COLUMN(),4)</f>
        <v>A1</v>
      </c>
      <c r="B1" s="879" t="str">
        <f>SUBSTITUTE(ADDRESS(1,COLUMN(),4),"1","")</f>
        <v>B</v>
      </c>
      <c r="C1" s="879" t="str">
        <f>SUBSTITUTE(ADDRESS(1,COLUMN(),4),"1","")</f>
        <v>C</v>
      </c>
      <c r="E1" s="879" t="str">
        <f>SUBSTITUTE(ADDRESS(1,COLUMN(),4),"1","")</f>
        <v>E</v>
      </c>
      <c r="F1" s="879" t="str">
        <f>SUBSTITUTE(ADDRESS(1,COLUMN(),4),"1","")</f>
        <v>F</v>
      </c>
      <c r="H1" s="879" t="str">
        <f>SUBSTITUTE(ADDRESS(1,COLUMN(),4),"1","")</f>
        <v>H</v>
      </c>
      <c r="I1" s="879" t="str">
        <f>SUBSTITUTE(ADDRESS(1,COLUMN(),4),"1","")</f>
        <v>I</v>
      </c>
      <c r="K1" s="879" t="str">
        <f>SUBSTITUTE(ADDRESS(1,COLUMN(),4),"1","")</f>
        <v>K</v>
      </c>
      <c r="L1" s="879" t="str">
        <f>SUBSTITUTE(ADDRESS(1,COLUMN(),4),"1","")</f>
        <v>L</v>
      </c>
      <c r="N1" s="879" t="str">
        <f>SUBSTITUTE(ADDRESS(1,COLUMN(),4),"1","")</f>
        <v>N</v>
      </c>
      <c r="O1" s="879" t="str">
        <f>SUBSTITUTE(ADDRESS(1,COLUMN(),4),"1","")</f>
        <v>O</v>
      </c>
      <c r="Q1" s="879" t="str">
        <f>SUBSTITUTE(ADDRESS(1,COLUMN(),4),"1","")</f>
        <v>Q</v>
      </c>
      <c r="R1" s="879" t="str">
        <f>SUBSTITUTE(ADDRESS(1,COLUMN(),4),"1","")</f>
        <v>R</v>
      </c>
      <c r="T1" s="879" t="str">
        <f>SUBSTITUTE(ADDRESS(1,COLUMN(),4),"1","")</f>
        <v>T</v>
      </c>
      <c r="U1" s="879" t="str">
        <f>SUBSTITUTE(ADDRESS(1,COLUMN(),4),"1","")</f>
        <v>U</v>
      </c>
      <c r="W1" s="879" t="str">
        <f>SUBSTITUTE(ADDRESS(1,COLUMN(),4),"1","")</f>
        <v>W</v>
      </c>
      <c r="X1" s="879" t="str">
        <f>SUBSTITUTE(ADDRESS(1,COLUMN(),4),"1","")</f>
        <v>X</v>
      </c>
      <c r="Z1" s="879" t="str">
        <f>SUBSTITUTE(ADDRESS(1,COLUMN(),4),"1","")</f>
        <v>Z</v>
      </c>
      <c r="AA1" s="879" t="str">
        <f>SUBSTITUTE(ADDRESS(1,COLUMN(),4),"1","")</f>
        <v>AA</v>
      </c>
      <c r="AC1" s="879" t="str">
        <f>SUBSTITUTE(ADDRESS(1,COLUMN(),4),"1","")</f>
        <v>AC</v>
      </c>
      <c r="AD1" s="879" t="str">
        <f>SUBSTITUTE(ADDRESS(1,COLUMN(),4),"1","")</f>
        <v>AD</v>
      </c>
      <c r="AF1" s="879" t="str">
        <f>SUBSTITUTE(ADDRESS(1,COLUMN(),4),"1","")</f>
        <v>AF</v>
      </c>
      <c r="AG1" s="879" t="str">
        <f>SUBSTITUTE(ADDRESS(1,COLUMN(),4),"1","")</f>
        <v>AG</v>
      </c>
      <c r="AI1" s="879" t="str">
        <f>SUBSTITUTE(ADDRESS(1,COLUMN(),4),"1","")</f>
        <v>AI</v>
      </c>
      <c r="AJ1" s="879" t="str">
        <f>SUBSTITUTE(ADDRESS(1,COLUMN(),4),"1","")</f>
        <v>AJ</v>
      </c>
      <c r="AL1" s="879" t="str">
        <f>SUBSTITUTE(ADDRESS(1,COLUMN(),4),"1","")</f>
        <v>AL</v>
      </c>
      <c r="AM1" s="879" t="str">
        <f>SUBSTITUTE(ADDRESS(1,COLUMN(),4),"1","")</f>
        <v>AM</v>
      </c>
      <c r="AN1"/>
      <c r="AO1" s="879" t="str">
        <f>SUBSTITUTE(ADDRESS(1,COLUMN(),4),"1","")</f>
        <v>AO</v>
      </c>
      <c r="AP1" s="879" t="str">
        <f>SUBSTITUTE(ADDRESS(1,COLUMN(),4),"1","")</f>
        <v>AP</v>
      </c>
      <c r="AQ1"/>
      <c r="AS1" s="879" t="str">
        <f>SUBSTITUTE(ADDRESS(1,COLUMN(),4),"1","")</f>
        <v>AS</v>
      </c>
      <c r="AT1" s="879" t="str">
        <f>SUBSTITUTE(ADDRESS(1,COLUMN(),4),"1","")</f>
        <v>AT</v>
      </c>
      <c r="AV1" s="879" t="str">
        <f>SUBSTITUTE(ADDRESS(1,COLUMN(),4),"1","")</f>
        <v>AV</v>
      </c>
      <c r="AW1" s="879" t="str">
        <f>SUBSTITUTE(ADDRESS(1,COLUMN(),4),"1","")</f>
        <v>AW</v>
      </c>
      <c r="AY1" s="879" t="str">
        <f>SUBSTITUTE(ADDRESS(1,COLUMN(),4),"1","")</f>
        <v>AY</v>
      </c>
      <c r="AZ1" s="879" t="str">
        <f>SUBSTITUTE(ADDRESS(1,COLUMN(),4),"1","")</f>
        <v>AZ</v>
      </c>
      <c r="BB1" s="879" t="str">
        <f>SUBSTITUTE(ADDRESS(1,COLUMN(),4),"1","")</f>
        <v>BB</v>
      </c>
      <c r="BC1" s="879" t="str">
        <f>SUBSTITUTE(ADDRESS(1,COLUMN(),4),"1","")</f>
        <v>BC</v>
      </c>
      <c r="BE1" s="879" t="str">
        <f>SUBSTITUTE(ADDRESS(1,COLUMN(),4),"1","")</f>
        <v>BE</v>
      </c>
      <c r="BF1" s="879" t="str">
        <f>SUBSTITUTE(ADDRESS(1,COLUMN(),4),"1","")</f>
        <v>BF</v>
      </c>
      <c r="BH1" s="879" t="str">
        <f>SUBSTITUTE(ADDRESS(1,COLUMN(),4),"1","")</f>
        <v>BH</v>
      </c>
      <c r="BI1" s="879" t="str">
        <f>SUBSTITUTE(ADDRESS(1,COLUMN(),4),"1","")</f>
        <v>BI</v>
      </c>
      <c r="BK1" s="879" t="str">
        <f>SUBSTITUTE(ADDRESS(1,COLUMN(),4),"1","")</f>
        <v>BK</v>
      </c>
      <c r="BL1" s="879" t="str">
        <f>SUBSTITUTE(ADDRESS(1,COLUMN(),4),"1","")</f>
        <v>BL</v>
      </c>
      <c r="BN1" s="879" t="str">
        <f>SUBSTITUTE(ADDRESS(1,COLUMN(),4),"1","")</f>
        <v>BN</v>
      </c>
      <c r="BO1" s="879" t="str">
        <f>SUBSTITUTE(ADDRESS(1,COLUMN(),4),"1","")</f>
        <v>BO</v>
      </c>
      <c r="BQ1" s="879" t="str">
        <f>SUBSTITUTE(ADDRESS(1,COLUMN(),4),"1","")</f>
        <v>BQ</v>
      </c>
      <c r="BR1" s="879" t="str">
        <f>SUBSTITUTE(ADDRESS(1,COLUMN(),4),"1","")</f>
        <v>BR</v>
      </c>
      <c r="BT1" s="879" t="str">
        <f>SUBSTITUTE(ADDRESS(1,COLUMN(),4),"1","")</f>
        <v>BT</v>
      </c>
      <c r="BU1" s="879" t="str">
        <f>SUBSTITUTE(ADDRESS(1,COLUMN(),4),"1","")</f>
        <v>BU</v>
      </c>
      <c r="BW1" s="879" t="str">
        <f>SUBSTITUTE(ADDRESS(1,COLUMN(),4),"1","")</f>
        <v>BW</v>
      </c>
      <c r="BX1" s="879" t="str">
        <f>SUBSTITUTE(ADDRESS(1,COLUMN(),4),"1","")</f>
        <v>BX</v>
      </c>
      <c r="BY1" s="227"/>
      <c r="CD1" s="879" t="str">
        <f>SUBSTITUTE(ADDRESS(1,COLUMN(),4),"1","")</f>
        <v>CD</v>
      </c>
      <c r="CE1" s="879" t="str">
        <f>SUBSTITUTE(ADDRESS(1,COLUMN(),4),"1","")</f>
        <v>CE</v>
      </c>
      <c r="CG1" s="879" t="str">
        <f>SUBSTITUTE(ADDRESS(1,COLUMN(),4),"1","")</f>
        <v>CG</v>
      </c>
      <c r="CH1" s="879" t="str">
        <f>SUBSTITUTE(ADDRESS(1,COLUMN(),4),"1","")</f>
        <v>CH</v>
      </c>
      <c r="CJ1" s="879" t="str">
        <f>SUBSTITUTE(ADDRESS(1,COLUMN(),4),"1","")</f>
        <v>CJ</v>
      </c>
      <c r="CK1" s="879" t="str">
        <f>SUBSTITUTE(ADDRESS(1,COLUMN(),4),"1","")</f>
        <v>CK</v>
      </c>
      <c r="CM1" s="879" t="str">
        <f>SUBSTITUTE(ADDRESS(1,COLUMN(),4),"1","")</f>
        <v>CM</v>
      </c>
      <c r="CN1" s="879" t="str">
        <f>SUBSTITUTE(ADDRESS(1,COLUMN(),4),"1","")</f>
        <v>CN</v>
      </c>
      <c r="CP1" s="879" t="str">
        <f>SUBSTITUTE(ADDRESS(1,COLUMN(),4),"1","")</f>
        <v>CP</v>
      </c>
      <c r="CQ1" s="879" t="str">
        <f>SUBSTITUTE(ADDRESS(1,COLUMN(),4),"1","")</f>
        <v>CQ</v>
      </c>
      <c r="CS1" s="879" t="str">
        <f>SUBSTITUTE(ADDRESS(1,COLUMN(),4),"1","")</f>
        <v>CS</v>
      </c>
      <c r="CT1" s="879" t="str">
        <f>SUBSTITUTE(ADDRESS(1,COLUMN(),4),"1","")</f>
        <v>CT</v>
      </c>
      <c r="CV1" s="879" t="str">
        <f>SUBSTITUTE(ADDRESS(1,COLUMN(),4),"1","")</f>
        <v>CV</v>
      </c>
      <c r="CW1" s="879" t="str">
        <f>SUBSTITUTE(ADDRESS(1,COLUMN(),4),"1","")</f>
        <v>CW</v>
      </c>
      <c r="CY1" s="879" t="str">
        <f>SUBSTITUTE(ADDRESS(1,COLUMN(),4),"1","")</f>
        <v>CY</v>
      </c>
      <c r="CZ1" s="879" t="str">
        <f>SUBSTITUTE(ADDRESS(1,COLUMN(),4),"1","")</f>
        <v>CZ</v>
      </c>
      <c r="DB1" s="879" t="str">
        <f>SUBSTITUTE(ADDRESS(1,COLUMN(),4),"1","")</f>
        <v>DB</v>
      </c>
      <c r="DC1" s="879" t="str">
        <f>SUBSTITUTE(ADDRESS(1,COLUMN(),4),"1","")</f>
        <v>DC</v>
      </c>
      <c r="DE1" s="879" t="str">
        <f>SUBSTITUTE(ADDRESS(1,COLUMN(),4),"1","")</f>
        <v>DE</v>
      </c>
      <c r="DF1" s="879" t="str">
        <f>SUBSTITUTE(ADDRESS(1,COLUMN(),4),"1","")</f>
        <v>DF</v>
      </c>
      <c r="DH1" s="879" t="str">
        <f>SUBSTITUTE(ADDRESS(1,COLUMN(),4),"1","")</f>
        <v>DH</v>
      </c>
      <c r="DI1" s="879" t="str">
        <f>SUBSTITUTE(ADDRESS(1,COLUMN(),4),"1","")</f>
        <v>DI</v>
      </c>
      <c r="DK1" s="879" t="str">
        <f>SUBSTITUTE(ADDRESS(1,COLUMN(),4),"1","")</f>
        <v>DK</v>
      </c>
      <c r="DM1" s="3">
        <v>1</v>
      </c>
      <c r="DN1" s="879" t="str">
        <f>SUBSTITUTE(ADDRESS(1,COLUMN(),4),"1","")</f>
        <v>DN</v>
      </c>
      <c r="DO1" s="880" t="str">
        <f>SUBSTITUTE(ADDRESS(1,COLUMN(),4),"1","")</f>
        <v>DO</v>
      </c>
    </row>
    <row r="2" spans="1:119">
      <c r="A2" s="881"/>
      <c r="B2" s="854">
        <f ca="1">CELL("largeur",B2)</f>
        <v>13</v>
      </c>
      <c r="C2" s="854">
        <f ca="1">CELL("largeur",C2)</f>
        <v>13</v>
      </c>
      <c r="E2" s="854">
        <f ca="1">CELL("largeur",E2)</f>
        <v>13</v>
      </c>
      <c r="F2" s="854">
        <f ca="1">CELL("largeur",F2)</f>
        <v>13</v>
      </c>
      <c r="H2" s="854">
        <f ca="1">CELL("largeur",H2)</f>
        <v>13</v>
      </c>
      <c r="I2" s="854">
        <f ca="1">CELL("largeur",I2)</f>
        <v>13</v>
      </c>
      <c r="K2" s="854">
        <f ca="1">CELL("largeur",K2)</f>
        <v>13</v>
      </c>
      <c r="L2" s="854">
        <f ca="1">CELL("largeur",L2)</f>
        <v>13</v>
      </c>
      <c r="N2" s="854">
        <f ca="1">CELL("largeur",N2)</f>
        <v>13</v>
      </c>
      <c r="O2" s="854">
        <f ca="1">CELL("largeur",O2)</f>
        <v>13</v>
      </c>
      <c r="Q2" s="854">
        <f ca="1">CELL("largeur",Q2)</f>
        <v>13</v>
      </c>
      <c r="R2" s="854">
        <f ca="1">CELL("largeur",R2)</f>
        <v>13</v>
      </c>
      <c r="T2" s="854">
        <f ca="1">CELL("largeur",T2)</f>
        <v>13</v>
      </c>
      <c r="U2" s="854">
        <f ca="1">CELL("largeur",U2)</f>
        <v>13</v>
      </c>
      <c r="W2" s="854">
        <f ca="1">CELL("largeur",W2)</f>
        <v>13</v>
      </c>
      <c r="X2" s="854">
        <f ca="1">CELL("largeur",X2)</f>
        <v>13</v>
      </c>
      <c r="Z2" s="854">
        <f ca="1">CELL("largeur",Z2)</f>
        <v>13</v>
      </c>
      <c r="AA2" s="854">
        <f ca="1">CELL("largeur",AA2)</f>
        <v>13</v>
      </c>
      <c r="AC2" s="854">
        <f ca="1">CELL("largeur",AC2)</f>
        <v>13</v>
      </c>
      <c r="AD2" s="854">
        <f ca="1">CELL("largeur",AD2)</f>
        <v>13</v>
      </c>
      <c r="AF2" s="854">
        <f ca="1">CELL("largeur",AF2)</f>
        <v>13</v>
      </c>
      <c r="AG2" s="854">
        <f ca="1">CELL("largeur",AG2)</f>
        <v>13</v>
      </c>
      <c r="AI2" s="854">
        <f ca="1">CELL("largeur",AI2)</f>
        <v>11</v>
      </c>
      <c r="AJ2" s="854">
        <f ca="1">CELL("largeur",AJ2)</f>
        <v>12</v>
      </c>
      <c r="AL2" s="854">
        <f ca="1">CELL("largeur",AL2)</f>
        <v>11</v>
      </c>
      <c r="AM2" s="854">
        <f ca="1">CELL("largeur",AM2)</f>
        <v>12</v>
      </c>
      <c r="AN2"/>
      <c r="AO2" s="854">
        <f ca="1">CELL("largeur",AO2)</f>
        <v>12</v>
      </c>
      <c r="AP2" s="854">
        <f ca="1">CELL("largeur",AP2)</f>
        <v>12</v>
      </c>
      <c r="AQ2"/>
      <c r="AS2" s="854">
        <f ca="1">CELL("largeur",AS2)</f>
        <v>13</v>
      </c>
      <c r="AT2" s="854">
        <f ca="1">CELL("largeur",AT2)</f>
        <v>13</v>
      </c>
      <c r="AV2" s="854">
        <f ca="1">CELL("largeur",AV2)</f>
        <v>13</v>
      </c>
      <c r="AW2" s="854">
        <f ca="1">CELL("largeur",AW2)</f>
        <v>13</v>
      </c>
      <c r="AY2" s="854">
        <f ca="1">CELL("largeur",AY2)</f>
        <v>13</v>
      </c>
      <c r="AZ2" s="854">
        <f ca="1">CELL("largeur",AZ2)</f>
        <v>13</v>
      </c>
      <c r="BB2" s="854">
        <f ca="1">CELL("largeur",BB2)</f>
        <v>13</v>
      </c>
      <c r="BC2" s="854">
        <f ca="1">CELL("largeur",BC2)</f>
        <v>13</v>
      </c>
      <c r="BE2" s="854">
        <f ca="1">CELL("largeur",BE2)</f>
        <v>13</v>
      </c>
      <c r="BF2" s="854">
        <f ca="1">CELL("largeur",BF2)</f>
        <v>13</v>
      </c>
      <c r="BH2" s="854">
        <f ca="1">CELL("largeur",BH2)</f>
        <v>13</v>
      </c>
      <c r="BI2" s="854">
        <f ca="1">CELL("largeur",BI2)</f>
        <v>13</v>
      </c>
      <c r="BK2" s="854">
        <f ca="1">CELL("largeur",BK2)</f>
        <v>13</v>
      </c>
      <c r="BL2" s="854">
        <f ca="1">CELL("largeur",BL2)</f>
        <v>13</v>
      </c>
      <c r="BN2" s="854">
        <f ca="1">CELL("largeur",BN2)</f>
        <v>13</v>
      </c>
      <c r="BO2" s="854">
        <f ca="1">CELL("largeur",BO2)</f>
        <v>13</v>
      </c>
      <c r="BQ2" s="854">
        <f ca="1">CELL("largeur",BQ2)</f>
        <v>13</v>
      </c>
      <c r="BR2" s="854">
        <f ca="1">CELL("largeur",BR2)</f>
        <v>13</v>
      </c>
      <c r="BT2" s="854">
        <f ca="1">CELL("largeur",BT2)</f>
        <v>13</v>
      </c>
      <c r="BU2" s="854">
        <f ca="1">CELL("largeur",BU2)</f>
        <v>13</v>
      </c>
      <c r="BW2" s="854">
        <f ca="1">CELL("largeur",BW2)</f>
        <v>13</v>
      </c>
      <c r="BX2" s="854">
        <f ca="1">CELL("largeur",BX2)</f>
        <v>13</v>
      </c>
      <c r="BY2" s="227"/>
      <c r="CD2" s="854">
        <f ca="1">CELL("largeur",CD2)</f>
        <v>13</v>
      </c>
      <c r="CE2" s="854">
        <f ca="1">CELL("largeur",CE2)</f>
        <v>13</v>
      </c>
      <c r="CG2" s="854">
        <f ca="1">CELL("largeur",CG2)</f>
        <v>13</v>
      </c>
      <c r="CH2" s="854">
        <f ca="1">CELL("largeur",CH2)</f>
        <v>13</v>
      </c>
      <c r="CJ2" s="854">
        <f ca="1">CELL("largeur",CJ2)</f>
        <v>13</v>
      </c>
      <c r="CK2" s="854">
        <f ca="1">CELL("largeur",CK2)</f>
        <v>13</v>
      </c>
      <c r="CM2" s="854">
        <f ca="1">CELL("largeur",CM2)</f>
        <v>13</v>
      </c>
      <c r="CN2" s="854">
        <f ca="1">CELL("largeur",CN2)</f>
        <v>13</v>
      </c>
      <c r="CP2" s="854">
        <f ca="1">CELL("largeur",CP2)</f>
        <v>13</v>
      </c>
      <c r="CQ2" s="854">
        <f ca="1">CELL("largeur",CQ2)</f>
        <v>13</v>
      </c>
      <c r="CS2" s="854">
        <f ca="1">CELL("largeur",CS2)</f>
        <v>13</v>
      </c>
      <c r="CT2" s="854">
        <f ca="1">CELL("largeur",CT2)</f>
        <v>13</v>
      </c>
      <c r="CV2" s="854">
        <f ca="1">CELL("largeur",CV2)</f>
        <v>13</v>
      </c>
      <c r="CW2" s="854">
        <f ca="1">CELL("largeur",CW2)</f>
        <v>13</v>
      </c>
      <c r="CY2" s="854">
        <f ca="1">CELL("largeur",CY2)</f>
        <v>13</v>
      </c>
      <c r="CZ2" s="854">
        <f ca="1">CELL("largeur",CZ2)</f>
        <v>13</v>
      </c>
      <c r="DB2" s="854">
        <f ca="1">CELL("largeur",DB2)</f>
        <v>13</v>
      </c>
      <c r="DC2" s="854">
        <f ca="1">CELL("largeur",DC2)</f>
        <v>13</v>
      </c>
      <c r="DE2" s="854">
        <f ca="1">CELL("largeur",DE2)</f>
        <v>13</v>
      </c>
      <c r="DF2" s="854">
        <f ca="1">CELL("largeur",DF2)</f>
        <v>13</v>
      </c>
      <c r="DH2" s="854">
        <f ca="1">CELL("largeur",DH2)</f>
        <v>13</v>
      </c>
      <c r="DI2" s="854">
        <f ca="1">CELL("largeur",DI2)</f>
        <v>13</v>
      </c>
      <c r="DK2" s="854">
        <f ca="1">CELL("largeur",DK2)</f>
        <v>31</v>
      </c>
      <c r="DM2" s="3">
        <v>1</v>
      </c>
      <c r="DN2" s="8"/>
      <c r="DO2" s="8" t="s">
        <v>881</v>
      </c>
    </row>
    <row r="3" spans="1:119" ht="15.75">
      <c r="B3" t="s">
        <v>2619</v>
      </c>
      <c r="C3"/>
      <c r="D3"/>
      <c r="E3"/>
      <c r="F3"/>
      <c r="G3"/>
      <c r="H3"/>
      <c r="I3"/>
      <c r="J3"/>
      <c r="K3"/>
      <c r="L3"/>
      <c r="M3"/>
      <c r="N3"/>
      <c r="O3"/>
      <c r="P3"/>
      <c r="Q3"/>
      <c r="R3"/>
      <c r="S3" s="9"/>
      <c r="T3" s="9"/>
      <c r="U3" s="9"/>
      <c r="V3" s="9"/>
      <c r="W3" s="9"/>
      <c r="X3" s="9"/>
      <c r="Y3" s="9"/>
      <c r="Z3" s="9"/>
      <c r="AA3" s="9"/>
      <c r="AB3" s="9"/>
      <c r="AC3" s="9"/>
      <c r="AD3" s="9"/>
      <c r="AE3" s="9"/>
      <c r="AF3" s="9"/>
      <c r="AG3" s="9"/>
      <c r="AH3" s="9"/>
      <c r="AI3" s="9"/>
      <c r="AJ3" s="9"/>
      <c r="AK3" s="498"/>
      <c r="AL3" s="9"/>
      <c r="AM3" s="9"/>
      <c r="AN3" s="9"/>
      <c r="AO3" s="9"/>
      <c r="AP3" s="9"/>
      <c r="AQ3" s="9"/>
      <c r="AR3" s="9"/>
      <c r="AS3" s="9"/>
      <c r="AT3" s="9"/>
      <c r="AU3" s="9"/>
      <c r="AV3" s="9"/>
      <c r="AW3" s="9"/>
      <c r="AX3" s="9"/>
      <c r="AY3" s="9"/>
      <c r="AZ3" s="9"/>
      <c r="BA3" s="9"/>
      <c r="BB3" s="9"/>
      <c r="BC3" s="9"/>
      <c r="BD3" s="9"/>
      <c r="BE3" s="9"/>
      <c r="BF3" s="9"/>
      <c r="BG3" s="9"/>
      <c r="BH3" s="9"/>
      <c r="BI3" s="9"/>
      <c r="BJ3" s="9"/>
      <c r="BK3" s="9"/>
      <c r="BL3" s="9"/>
      <c r="BM3" s="9"/>
      <c r="BN3" s="9"/>
      <c r="BO3" s="9"/>
      <c r="BP3" s="9"/>
      <c r="BQ3" s="9"/>
      <c r="BR3" s="9"/>
      <c r="BS3" s="9"/>
      <c r="BT3" s="9"/>
      <c r="BU3" s="9"/>
      <c r="BV3" s="9"/>
      <c r="BW3" s="9"/>
      <c r="BX3" s="9"/>
      <c r="BY3" s="9"/>
      <c r="BZ3" s="9"/>
      <c r="CA3" s="9"/>
      <c r="CB3" s="9"/>
      <c r="CC3" s="9"/>
      <c r="CD3" s="9"/>
      <c r="CE3" s="9"/>
      <c r="CF3" s="9"/>
      <c r="CG3" s="9"/>
      <c r="CH3" s="9"/>
      <c r="CI3" s="9"/>
      <c r="CJ3" s="9"/>
      <c r="CK3" s="9"/>
      <c r="CL3" s="9"/>
      <c r="CM3" s="9"/>
      <c r="CN3" s="9"/>
      <c r="CO3" s="9"/>
      <c r="CP3" s="9"/>
      <c r="CQ3" s="9"/>
      <c r="CR3" s="9"/>
      <c r="CS3" s="9"/>
      <c r="CT3" s="9"/>
      <c r="CU3" s="9"/>
      <c r="CV3" s="9"/>
      <c r="CW3" s="9"/>
      <c r="CX3" s="9"/>
      <c r="CY3" s="9"/>
      <c r="CZ3" s="9"/>
      <c r="DA3" s="9"/>
      <c r="DB3" s="9"/>
      <c r="DC3" s="9"/>
      <c r="DD3" s="9"/>
      <c r="DE3" s="9"/>
      <c r="DF3" s="9"/>
      <c r="DG3" s="9"/>
      <c r="DH3" s="9"/>
      <c r="DI3" s="9"/>
      <c r="DJ3" s="9"/>
      <c r="DK3" s="9"/>
      <c r="DL3" s="9"/>
      <c r="DM3" s="3">
        <v>1</v>
      </c>
      <c r="DN3" s="11">
        <f ca="1">COUNTA(A1:DM183)+COUNTBLANK(A1:DM183)</f>
        <v>22730</v>
      </c>
      <c r="DO3" s="872" t="str">
        <f>"cellules entre"&amp;" " &amp;A1&amp;" et  "&amp;DM183</f>
        <v>cellules entre A1 et  DM183</v>
      </c>
    </row>
    <row r="4" spans="1:119" ht="21.75" customHeight="1">
      <c r="S4" s="498"/>
      <c r="T4" s="498"/>
      <c r="U4" s="498"/>
      <c r="V4" s="498"/>
      <c r="W4" s="498"/>
      <c r="X4" s="498"/>
      <c r="Y4" s="498"/>
      <c r="Z4" s="498"/>
      <c r="AA4" s="498"/>
      <c r="AB4" s="15"/>
      <c r="AC4" s="498"/>
      <c r="AD4" s="498"/>
      <c r="AE4" s="15"/>
      <c r="AF4" s="498"/>
      <c r="AG4" s="498"/>
      <c r="AH4" s="15"/>
      <c r="AI4" s="498"/>
      <c r="AJ4" s="498"/>
      <c r="AK4" s="498"/>
      <c r="AL4" s="498"/>
      <c r="AM4" s="498"/>
      <c r="AN4" s="498"/>
      <c r="AO4" s="498"/>
      <c r="AP4" s="498"/>
      <c r="AQ4" s="498"/>
      <c r="AR4" s="9"/>
      <c r="AS4" s="9"/>
      <c r="AT4" s="9"/>
      <c r="AU4" s="9"/>
      <c r="AV4" s="9"/>
      <c r="AW4" s="9"/>
      <c r="AX4" s="9"/>
      <c r="AY4" s="9"/>
      <c r="AZ4" s="9"/>
      <c r="BA4" s="9"/>
      <c r="BB4" s="9"/>
      <c r="BC4" s="9"/>
      <c r="BD4" s="9"/>
      <c r="BE4" s="9"/>
      <c r="BF4" s="9"/>
      <c r="BG4" s="9"/>
      <c r="BH4" s="9"/>
      <c r="BI4" s="9"/>
      <c r="BJ4" s="9"/>
      <c r="BK4" s="9"/>
      <c r="BL4" s="9"/>
      <c r="BM4" s="9"/>
      <c r="BN4" s="9"/>
      <c r="BO4" s="9"/>
      <c r="BP4" s="9"/>
      <c r="BQ4" s="9"/>
      <c r="BR4" s="9"/>
      <c r="BS4" s="9"/>
      <c r="BT4" s="9"/>
      <c r="BU4" s="9"/>
      <c r="BV4" s="9"/>
      <c r="BW4" s="9"/>
      <c r="BX4" s="9"/>
      <c r="BY4" s="9"/>
      <c r="BZ4" s="9"/>
      <c r="CA4" s="9"/>
      <c r="CB4" s="9"/>
      <c r="CC4" s="9"/>
      <c r="CD4" s="9"/>
      <c r="CE4" s="9"/>
      <c r="CF4" s="9"/>
      <c r="CG4" s="9"/>
      <c r="CH4" s="9"/>
      <c r="CI4" s="9"/>
      <c r="CJ4" s="9"/>
      <c r="CK4" s="9"/>
      <c r="CL4" s="9"/>
      <c r="CM4" s="9"/>
      <c r="CN4" s="9"/>
      <c r="CO4" s="9"/>
      <c r="CP4" s="9"/>
      <c r="CQ4" s="9"/>
      <c r="CR4" s="9"/>
      <c r="CS4" s="9"/>
      <c r="CT4" s="9"/>
      <c r="CU4" s="9"/>
      <c r="CV4" s="9"/>
      <c r="CW4" s="9"/>
      <c r="CX4" s="9"/>
      <c r="CY4" s="9"/>
      <c r="CZ4" s="9"/>
      <c r="DA4" s="9"/>
      <c r="DB4" s="9"/>
      <c r="DC4" s="9"/>
      <c r="DD4" s="9"/>
      <c r="DE4" s="9"/>
      <c r="DF4" s="9"/>
      <c r="DG4" s="9"/>
      <c r="DH4" s="9"/>
      <c r="DI4" s="9"/>
      <c r="DJ4" s="9"/>
      <c r="DK4" s="9"/>
      <c r="DL4" s="9"/>
      <c r="DM4" s="3">
        <v>1</v>
      </c>
      <c r="DN4" s="11">
        <f ca="1">COUNTA(A1:DM183)</f>
        <v>2948</v>
      </c>
      <c r="DO4" s="872" t="s">
        <v>882</v>
      </c>
    </row>
    <row r="5" spans="1:119" ht="21.75" customHeight="1">
      <c r="B5" s="5837" t="s">
        <v>1333</v>
      </c>
      <c r="C5" s="5837"/>
      <c r="D5" s="5837"/>
      <c r="E5" s="5837"/>
      <c r="F5" s="5837"/>
      <c r="G5" s="5837"/>
      <c r="H5" s="5837"/>
      <c r="I5" s="5837"/>
      <c r="J5" s="5837"/>
      <c r="K5" s="5837"/>
      <c r="L5" s="5837"/>
      <c r="M5" s="5837"/>
      <c r="N5" s="5837"/>
      <c r="O5" s="5837"/>
      <c r="P5" s="5837"/>
      <c r="Q5" s="5837"/>
      <c r="R5" s="882" t="str">
        <f ca="1">"Page N°"&amp;_xlfn.SHEET()</f>
        <v>Page N°11</v>
      </c>
      <c r="S5" s="498"/>
      <c r="T5" s="883" t="s">
        <v>1334</v>
      </c>
      <c r="U5" s="498"/>
      <c r="V5" s="498"/>
      <c r="W5" s="498"/>
      <c r="X5" s="498"/>
      <c r="Y5" s="498"/>
      <c r="Z5" s="498"/>
      <c r="AA5" s="498"/>
      <c r="AB5" s="853"/>
      <c r="AC5" s="498"/>
      <c r="AD5" s="498"/>
      <c r="AE5" s="853"/>
      <c r="AF5" s="498"/>
      <c r="AG5" s="498"/>
      <c r="AH5" s="853"/>
      <c r="AI5" s="498"/>
      <c r="AJ5" s="498"/>
      <c r="AK5" s="498"/>
      <c r="AL5" s="498"/>
      <c r="AM5" s="498"/>
      <c r="AN5" s="498"/>
      <c r="AO5" s="498"/>
      <c r="AP5" s="498"/>
      <c r="AQ5" s="498"/>
      <c r="AR5" s="9"/>
      <c r="AS5" s="5837" t="s">
        <v>1983</v>
      </c>
      <c r="AT5" s="5837"/>
      <c r="AU5" s="5837"/>
      <c r="AV5" s="5837"/>
      <c r="AW5" s="5837"/>
      <c r="AX5" s="5837"/>
      <c r="AY5" s="5837"/>
      <c r="AZ5" s="5837"/>
      <c r="BA5" s="5837"/>
      <c r="BB5" s="5837"/>
      <c r="BC5" s="5837"/>
      <c r="BD5" s="5837"/>
      <c r="BE5" s="5837"/>
      <c r="BF5" s="5837"/>
      <c r="BG5" s="5837"/>
      <c r="BH5" s="5837"/>
      <c r="BI5" s="9"/>
      <c r="BJ5" s="9"/>
      <c r="BK5" s="9"/>
      <c r="BL5" s="9"/>
      <c r="BM5" s="9"/>
      <c r="BN5" s="9"/>
      <c r="BO5" s="9"/>
      <c r="BP5" s="9"/>
      <c r="BQ5" s="9"/>
      <c r="BR5" s="9"/>
      <c r="BS5" s="9"/>
      <c r="BT5" s="9"/>
      <c r="BU5" s="9"/>
      <c r="BV5" s="9"/>
      <c r="BW5" s="9"/>
      <c r="BX5" s="9"/>
      <c r="BY5" s="9"/>
      <c r="BZ5" s="9"/>
      <c r="CA5" s="9"/>
      <c r="CB5" s="9"/>
      <c r="CC5" s="9"/>
      <c r="CD5" s="9"/>
      <c r="CE5" s="9"/>
      <c r="CF5" s="9"/>
      <c r="CG5" s="9"/>
      <c r="CH5" s="9"/>
      <c r="CI5" s="9"/>
      <c r="CJ5" s="9"/>
      <c r="CK5" s="9"/>
      <c r="CL5" s="9"/>
      <c r="CM5" s="9"/>
      <c r="CN5" s="9"/>
      <c r="CO5" s="9"/>
      <c r="CP5" s="9"/>
      <c r="CQ5" s="9"/>
      <c r="CR5" s="9"/>
      <c r="CS5" s="9"/>
      <c r="CT5" s="9"/>
      <c r="CU5" s="9"/>
      <c r="CV5" s="9"/>
      <c r="CW5" s="9"/>
      <c r="CX5" s="9"/>
      <c r="CY5" s="9"/>
      <c r="CZ5" s="9"/>
      <c r="DA5" s="9"/>
      <c r="DB5" s="9"/>
      <c r="DC5" s="9"/>
      <c r="DD5" s="9"/>
      <c r="DE5" s="9"/>
      <c r="DF5" s="9"/>
      <c r="DG5" s="9"/>
      <c r="DH5" s="9"/>
      <c r="DI5" s="9"/>
      <c r="DJ5" s="9"/>
      <c r="DK5" s="9"/>
      <c r="DL5" s="9"/>
      <c r="DM5" s="3">
        <v>1</v>
      </c>
      <c r="DN5" s="11">
        <f ca="1">COUNTBLANK(A1:DM183)</f>
        <v>19782</v>
      </c>
      <c r="DO5" s="872" t="s">
        <v>883</v>
      </c>
    </row>
    <row r="6" spans="1:119" ht="22.5" customHeight="1">
      <c r="B6" s="5837"/>
      <c r="C6" s="5837"/>
      <c r="D6" s="5837"/>
      <c r="E6" s="5837"/>
      <c r="F6" s="5837"/>
      <c r="G6" s="5837"/>
      <c r="H6" s="5837"/>
      <c r="I6" s="5837"/>
      <c r="J6" s="5837"/>
      <c r="K6" s="5837"/>
      <c r="L6" s="5837"/>
      <c r="M6" s="5837"/>
      <c r="N6" s="5837"/>
      <c r="O6" s="5837"/>
      <c r="P6" s="5837"/>
      <c r="Q6" s="5837"/>
      <c r="S6" s="498"/>
      <c r="T6" s="498"/>
      <c r="U6" s="498"/>
      <c r="V6" s="498"/>
      <c r="W6" s="498"/>
      <c r="X6" s="884"/>
      <c r="Y6" s="498"/>
      <c r="Z6" s="498"/>
      <c r="AA6" s="498"/>
      <c r="AB6" s="15"/>
      <c r="AC6" s="498"/>
      <c r="AD6" s="498"/>
      <c r="AE6" s="15"/>
      <c r="AF6" s="498"/>
      <c r="AG6" s="884"/>
      <c r="AH6" s="15"/>
      <c r="AI6" s="498"/>
      <c r="AJ6" s="498"/>
      <c r="AK6" s="498"/>
      <c r="AL6" s="498"/>
      <c r="AM6" s="498"/>
      <c r="AN6" s="498"/>
      <c r="AO6" s="498"/>
      <c r="AP6" s="498"/>
      <c r="AQ6" s="498"/>
      <c r="AR6" s="9"/>
      <c r="AS6" s="5837"/>
      <c r="AT6" s="5837"/>
      <c r="AU6" s="5837"/>
      <c r="AV6" s="5837"/>
      <c r="AW6" s="5837"/>
      <c r="AX6" s="5837"/>
      <c r="AY6" s="5837"/>
      <c r="AZ6" s="5837"/>
      <c r="BA6" s="5837"/>
      <c r="BB6" s="5837"/>
      <c r="BC6" s="5837"/>
      <c r="BD6" s="5837"/>
      <c r="BE6" s="5837"/>
      <c r="BF6" s="5837"/>
      <c r="BG6" s="5837"/>
      <c r="BH6" s="5837"/>
      <c r="BI6" s="9"/>
      <c r="BJ6" s="9"/>
      <c r="BK6" s="9"/>
      <c r="BL6" s="9"/>
      <c r="BM6" s="9"/>
      <c r="BN6" s="9"/>
      <c r="BO6" s="9"/>
      <c r="BP6" s="9"/>
      <c r="BQ6" s="9"/>
      <c r="BR6" s="9"/>
      <c r="BS6" s="9"/>
      <c r="BT6" s="9"/>
      <c r="BU6" s="9"/>
      <c r="BV6" s="9"/>
      <c r="BW6" s="9"/>
      <c r="BX6" s="9"/>
      <c r="BY6" s="9"/>
      <c r="BZ6" s="9"/>
      <c r="CA6" s="9"/>
      <c r="CB6" s="9"/>
      <c r="CC6" s="9"/>
      <c r="CD6" s="5837" t="s">
        <v>1984</v>
      </c>
      <c r="CE6" s="5837"/>
      <c r="CF6" s="5837"/>
      <c r="CG6" s="5837"/>
      <c r="CH6" s="5837"/>
      <c r="CI6" s="5837"/>
      <c r="CJ6" s="5837"/>
      <c r="CK6" s="5837"/>
      <c r="CL6" s="5837"/>
      <c r="CM6" s="5837"/>
      <c r="CN6" s="5837"/>
      <c r="CO6" s="5837"/>
      <c r="CP6" s="5837"/>
      <c r="CQ6" s="5837"/>
      <c r="CR6" s="5837"/>
      <c r="CS6" s="5837"/>
      <c r="CT6" s="9"/>
      <c r="CU6" s="9"/>
      <c r="CV6" s="9"/>
      <c r="CW6" s="9"/>
      <c r="CX6" s="9"/>
      <c r="CY6" s="9"/>
      <c r="CZ6" s="9"/>
      <c r="DA6" s="9"/>
      <c r="DB6" s="9"/>
      <c r="DC6" s="9"/>
      <c r="DD6" s="9"/>
      <c r="DE6" s="9"/>
      <c r="DF6" s="9"/>
      <c r="DG6" s="9"/>
      <c r="DH6" s="9"/>
      <c r="DI6" s="9"/>
      <c r="DJ6" s="9"/>
      <c r="DK6" s="9"/>
      <c r="DL6" s="9"/>
      <c r="DM6" s="3">
        <v>1</v>
      </c>
      <c r="DN6" s="11">
        <f>SUM(DM1:DM181)+2</f>
        <v>183</v>
      </c>
      <c r="DO6" s="872" t="s">
        <v>884</v>
      </c>
    </row>
    <row r="7" spans="1:119" ht="22.5" customHeight="1">
      <c r="A7" s="9"/>
      <c r="B7" s="231" t="s">
        <v>1985</v>
      </c>
      <c r="C7" s="498"/>
      <c r="D7" s="498"/>
      <c r="E7" s="498"/>
      <c r="F7" s="498"/>
      <c r="G7" s="498"/>
      <c r="H7" s="498"/>
      <c r="I7" s="498"/>
      <c r="J7" s="498"/>
      <c r="K7" s="498"/>
      <c r="L7" s="498"/>
      <c r="M7" s="498"/>
      <c r="N7" s="498"/>
      <c r="O7" s="498"/>
      <c r="P7" s="498"/>
      <c r="Q7" s="498"/>
      <c r="R7" s="498"/>
      <c r="S7" s="498"/>
      <c r="T7" s="498"/>
      <c r="U7" s="498"/>
      <c r="V7" s="498"/>
      <c r="W7" s="498"/>
      <c r="X7" s="884"/>
      <c r="Y7" s="498"/>
      <c r="Z7" s="498"/>
      <c r="AA7" s="498"/>
      <c r="AB7" s="15"/>
      <c r="AC7" s="498"/>
      <c r="AD7" s="498"/>
      <c r="AE7" s="15"/>
      <c r="AF7" s="498"/>
      <c r="AG7" s="884"/>
      <c r="AH7" s="15"/>
      <c r="AI7" s="498"/>
      <c r="AJ7" s="498"/>
      <c r="AK7" s="498"/>
      <c r="AL7" s="498"/>
      <c r="AM7" s="498"/>
      <c r="AN7" s="498"/>
      <c r="AO7" s="498"/>
      <c r="AP7" s="498"/>
      <c r="AQ7" s="498"/>
      <c r="AR7" s="9"/>
      <c r="AS7" s="231" t="s">
        <v>1985</v>
      </c>
      <c r="AT7" s="9"/>
      <c r="AU7" s="9"/>
      <c r="AV7" s="9"/>
      <c r="AW7" s="9"/>
      <c r="AX7" s="9"/>
      <c r="AY7" s="9"/>
      <c r="AZ7" s="9"/>
      <c r="BA7" s="9"/>
      <c r="BB7" s="9"/>
      <c r="BC7" s="9"/>
      <c r="BD7" s="9"/>
      <c r="BE7" s="9"/>
      <c r="BF7" s="9"/>
      <c r="BG7" s="9"/>
      <c r="BH7" s="9"/>
      <c r="BI7" s="9"/>
      <c r="BJ7" s="9"/>
      <c r="BK7" s="9"/>
      <c r="BL7" s="9"/>
      <c r="BM7" s="9"/>
      <c r="BN7" s="9"/>
      <c r="BO7" s="9"/>
      <c r="BP7" s="9"/>
      <c r="BQ7" s="9"/>
      <c r="BR7" s="9"/>
      <c r="BS7" s="9"/>
      <c r="BT7" s="9"/>
      <c r="BU7" s="9"/>
      <c r="BV7" s="9"/>
      <c r="BW7" s="9"/>
      <c r="BX7" s="9"/>
      <c r="BY7" s="9"/>
      <c r="BZ7" s="9"/>
      <c r="CA7" s="9"/>
      <c r="CB7" s="9"/>
      <c r="CC7" s="9"/>
      <c r="CD7" s="5837"/>
      <c r="CE7" s="5837"/>
      <c r="CF7" s="5837"/>
      <c r="CG7" s="5837"/>
      <c r="CH7" s="5837"/>
      <c r="CI7" s="5837"/>
      <c r="CJ7" s="5837"/>
      <c r="CK7" s="5837"/>
      <c r="CL7" s="5837"/>
      <c r="CM7" s="5837"/>
      <c r="CN7" s="5837"/>
      <c r="CO7" s="5837"/>
      <c r="CP7" s="5837"/>
      <c r="CQ7" s="5837"/>
      <c r="CR7" s="5837"/>
      <c r="CS7" s="5837"/>
      <c r="CT7" s="9"/>
      <c r="CU7" s="9"/>
      <c r="CV7" s="9"/>
      <c r="CW7" s="9"/>
      <c r="CX7" s="9"/>
      <c r="CY7" s="9"/>
      <c r="CZ7" s="9"/>
      <c r="DA7" s="9"/>
      <c r="DB7" s="9"/>
      <c r="DC7" s="9"/>
      <c r="DD7" s="9"/>
      <c r="DE7" s="9"/>
      <c r="DF7" s="9"/>
      <c r="DG7" s="9"/>
      <c r="DH7" s="9"/>
      <c r="DI7" s="9"/>
      <c r="DJ7" s="9"/>
      <c r="DK7" s="9"/>
      <c r="DL7" s="9"/>
      <c r="DM7" s="3">
        <v>1</v>
      </c>
      <c r="DN7" s="11">
        <f>SUM(A183:AQ183)+1</f>
        <v>44</v>
      </c>
      <c r="DO7" s="872" t="s">
        <v>885</v>
      </c>
    </row>
    <row r="8" spans="1:119" ht="22.5" customHeight="1">
      <c r="A8" s="9"/>
      <c r="B8" s="231" t="s">
        <v>1986</v>
      </c>
      <c r="C8" s="498"/>
      <c r="D8" s="498"/>
      <c r="E8" s="498"/>
      <c r="F8" s="498"/>
      <c r="G8" s="498"/>
      <c r="H8" s="498"/>
      <c r="I8" s="498"/>
      <c r="J8" s="498"/>
      <c r="K8" s="498"/>
      <c r="L8" s="498"/>
      <c r="M8" s="498"/>
      <c r="N8" s="498"/>
      <c r="O8" s="498"/>
      <c r="P8" s="498"/>
      <c r="Q8" s="498"/>
      <c r="R8" s="498"/>
      <c r="S8" s="498"/>
      <c r="T8" s="498"/>
      <c r="U8" s="498"/>
      <c r="V8" s="498"/>
      <c r="W8" s="498"/>
      <c r="X8" s="884"/>
      <c r="Y8" s="498"/>
      <c r="Z8" s="498"/>
      <c r="AA8" s="498"/>
      <c r="AB8" s="15"/>
      <c r="AC8" s="498"/>
      <c r="AD8" s="498"/>
      <c r="AE8" s="15"/>
      <c r="AF8" s="498"/>
      <c r="AG8" s="884"/>
      <c r="AH8" s="15"/>
      <c r="AI8" s="5838" t="str">
        <f ca="1">AG10&amp;"  Formule ► "&amp;_xlfn.FORMULATEXT(AG10)</f>
        <v>pâti--ENT  Formule ► =SIERREUR(MINUSCULE(GAUCHE(SUPPRESPACE(GAUCHE(AE10;TROUVE("-";AE10)-1));4))&amp;"-"&amp;MAJUSCULE(GAUCHE(SUPPRESPACE(STXT(AE10;TROUVE("-";AE10)+1;99));4));"")</v>
      </c>
      <c r="AJ8" s="5838"/>
      <c r="AK8" s="5838"/>
      <c r="AL8" s="5838"/>
      <c r="AM8" s="5838"/>
      <c r="AN8" s="5838"/>
      <c r="AO8" s="5838"/>
      <c r="AP8" s="5838"/>
      <c r="AQ8" s="498"/>
      <c r="AR8" s="9"/>
      <c r="AS8" s="231" t="s">
        <v>1986</v>
      </c>
      <c r="AT8" s="9"/>
      <c r="AU8" s="9"/>
      <c r="AV8" s="9"/>
      <c r="AW8" s="9"/>
      <c r="AX8" s="9"/>
      <c r="AY8" s="9"/>
      <c r="AZ8" s="9"/>
      <c r="BA8" s="9"/>
      <c r="BB8" s="9"/>
      <c r="BC8" s="9"/>
      <c r="BD8" s="9"/>
      <c r="BE8" s="9"/>
      <c r="BF8" s="9"/>
      <c r="BG8" s="9"/>
      <c r="BH8" s="9"/>
      <c r="BI8" s="9"/>
      <c r="BJ8" s="9"/>
      <c r="BK8" s="9"/>
      <c r="BL8" s="9"/>
      <c r="BM8" s="9"/>
      <c r="BN8" s="9"/>
      <c r="BO8" s="9"/>
      <c r="BP8" s="9"/>
      <c r="BQ8" s="9"/>
      <c r="BR8" s="9"/>
      <c r="BS8" s="9"/>
      <c r="BT8" s="9"/>
      <c r="BU8" s="9"/>
      <c r="BV8" s="9"/>
      <c r="BW8" s="9"/>
      <c r="BX8" s="9"/>
      <c r="BY8" s="9"/>
      <c r="BZ8" s="9"/>
      <c r="CA8" s="9"/>
      <c r="CB8" s="9"/>
      <c r="CC8" s="9"/>
      <c r="CD8" s="231" t="s">
        <v>1985</v>
      </c>
      <c r="CE8" s="9"/>
      <c r="CF8" s="9"/>
      <c r="CG8" s="9"/>
      <c r="CH8" s="9"/>
      <c r="CI8" s="9"/>
      <c r="CJ8" s="9"/>
      <c r="CK8" s="9"/>
      <c r="CL8" s="9"/>
      <c r="CM8" s="9"/>
      <c r="CN8" s="9"/>
      <c r="CO8" s="9"/>
      <c r="CP8" s="9"/>
      <c r="CQ8" s="9"/>
      <c r="CR8" s="9"/>
      <c r="CS8" s="9"/>
      <c r="CT8" s="9"/>
      <c r="CU8" s="9"/>
      <c r="CV8" s="9"/>
      <c r="CW8" s="9"/>
      <c r="CX8" s="9"/>
      <c r="CY8" s="9"/>
      <c r="CZ8" s="9"/>
      <c r="DA8" s="9"/>
      <c r="DB8" s="9"/>
      <c r="DC8" s="9"/>
      <c r="DD8" s="9"/>
      <c r="DE8" s="9"/>
      <c r="DF8" s="9"/>
      <c r="DG8" s="9"/>
      <c r="DH8" s="9"/>
      <c r="DI8" s="9"/>
      <c r="DJ8" s="9"/>
      <c r="DK8" s="9"/>
      <c r="DL8" s="9"/>
      <c r="DM8" s="3">
        <v>1</v>
      </c>
      <c r="DN8" s="11"/>
      <c r="DO8" s="872"/>
    </row>
    <row r="9" spans="1:119" ht="21" customHeight="1" thickBot="1">
      <c r="A9" s="9"/>
      <c r="B9" s="9"/>
      <c r="C9" s="9"/>
      <c r="D9" s="9"/>
      <c r="E9" s="9"/>
      <c r="F9" s="9"/>
      <c r="G9" s="9"/>
      <c r="H9" s="9"/>
      <c r="I9" s="9"/>
      <c r="J9" s="9"/>
      <c r="K9" s="9"/>
      <c r="L9" s="9"/>
      <c r="M9" s="9"/>
      <c r="N9" s="9"/>
      <c r="O9" s="9"/>
      <c r="P9" s="9"/>
      <c r="Q9" s="9"/>
      <c r="R9" s="9"/>
      <c r="S9" s="498"/>
      <c r="T9" s="498"/>
      <c r="U9" s="498"/>
      <c r="V9" s="498"/>
      <c r="W9" s="498"/>
      <c r="X9" s="884" t="s">
        <v>976</v>
      </c>
      <c r="Y9" s="498"/>
      <c r="Z9" s="498"/>
      <c r="AA9" s="498"/>
      <c r="AB9" s="15"/>
      <c r="AC9" s="498"/>
      <c r="AD9" s="498"/>
      <c r="AE9" s="15"/>
      <c r="AF9" s="498"/>
      <c r="AG9" s="884" t="s">
        <v>977</v>
      </c>
      <c r="AH9" s="15"/>
      <c r="AI9" s="5838"/>
      <c r="AJ9" s="5838"/>
      <c r="AK9" s="5838"/>
      <c r="AL9" s="5838"/>
      <c r="AM9" s="5838"/>
      <c r="AN9" s="5838"/>
      <c r="AO9" s="5838"/>
      <c r="AP9" s="5838"/>
      <c r="AQ9" s="498"/>
      <c r="AR9" s="9"/>
      <c r="AS9" s="9"/>
      <c r="AT9" s="9"/>
      <c r="AU9" s="9"/>
      <c r="AV9" s="9"/>
      <c r="AW9" s="9"/>
      <c r="AX9" s="9"/>
      <c r="AY9" s="9"/>
      <c r="AZ9" s="9"/>
      <c r="BA9" s="9"/>
      <c r="BB9" s="9"/>
      <c r="BC9" s="9"/>
      <c r="BD9" s="9"/>
      <c r="BE9" s="9"/>
      <c r="BF9" s="9"/>
      <c r="BG9" s="9"/>
      <c r="BH9" s="9"/>
      <c r="BI9" s="9"/>
      <c r="BJ9" s="9"/>
      <c r="BK9" s="9"/>
      <c r="BL9" s="9"/>
      <c r="BM9" s="9"/>
      <c r="BN9" s="9"/>
      <c r="BO9" s="9"/>
      <c r="BP9" s="9"/>
      <c r="BQ9" s="9"/>
      <c r="BR9" s="9"/>
      <c r="BS9" s="9"/>
      <c r="BT9" s="9"/>
      <c r="BU9" s="9"/>
      <c r="BV9" s="9"/>
      <c r="BW9" s="9"/>
      <c r="BX9" s="9"/>
      <c r="BY9" s="9"/>
      <c r="BZ9" s="9"/>
      <c r="CA9" s="9"/>
      <c r="CB9" s="9"/>
      <c r="CC9" s="9"/>
      <c r="CD9" s="231" t="s">
        <v>1986</v>
      </c>
      <c r="CE9" s="9"/>
      <c r="CF9" s="9"/>
      <c r="CG9" s="9"/>
      <c r="CH9" s="9"/>
      <c r="CI9" s="9"/>
      <c r="CJ9" s="9"/>
      <c r="CK9" s="9"/>
      <c r="CL9" s="9"/>
      <c r="CM9" s="9"/>
      <c r="CN9" s="9"/>
      <c r="CO9" s="9"/>
      <c r="CP9" s="9"/>
      <c r="CQ9" s="9"/>
      <c r="CR9" s="9"/>
      <c r="CS9" s="9"/>
      <c r="CT9" s="9"/>
      <c r="CU9" s="9"/>
      <c r="CV9" s="9"/>
      <c r="CW9" s="9"/>
      <c r="CX9" s="9"/>
      <c r="CY9" s="9"/>
      <c r="CZ9" s="9"/>
      <c r="DA9" s="9"/>
      <c r="DB9" s="9"/>
      <c r="DC9" s="9"/>
      <c r="DD9" s="9"/>
      <c r="DE9" s="9"/>
      <c r="DF9" s="9"/>
      <c r="DG9" s="9"/>
      <c r="DH9" s="9"/>
      <c r="DI9" s="9"/>
      <c r="DJ9" s="9"/>
      <c r="DK9" s="9"/>
      <c r="DL9" s="9"/>
      <c r="DM9" s="3">
        <v>1</v>
      </c>
    </row>
    <row r="10" spans="1:119" ht="14.45" customHeight="1">
      <c r="A10" s="9"/>
      <c r="B10" s="5839" t="s">
        <v>978</v>
      </c>
      <c r="C10" s="5839"/>
      <c r="E10" s="5840" t="s">
        <v>979</v>
      </c>
      <c r="F10" s="5840"/>
      <c r="H10" s="535" t="s">
        <v>980</v>
      </c>
      <c r="I10" s="498"/>
      <c r="J10" s="498"/>
      <c r="K10" s="498"/>
      <c r="L10" s="498"/>
      <c r="M10" s="498"/>
      <c r="N10" s="9"/>
      <c r="O10" s="9"/>
      <c r="P10" s="498"/>
      <c r="Q10" s="5471" t="s">
        <v>24</v>
      </c>
      <c r="R10" s="5471"/>
      <c r="S10" s="5471"/>
      <c r="T10" s="5471"/>
      <c r="U10" s="5471"/>
      <c r="V10" s="5750" t="s">
        <v>25</v>
      </c>
      <c r="W10" s="5750"/>
      <c r="X10" s="5475" t="str">
        <f>UPPER(LEFT(Q10,1))</f>
        <v>C</v>
      </c>
      <c r="Z10" s="5471" t="s">
        <v>24</v>
      </c>
      <c r="AA10" s="5471"/>
      <c r="AB10" s="5471"/>
      <c r="AC10" s="5471"/>
      <c r="AD10" s="5471"/>
      <c r="AE10" s="5750" t="s">
        <v>25</v>
      </c>
      <c r="AF10" s="5750"/>
      <c r="AG10" s="885" t="str">
        <f>IFERROR(LOWER(LEFT(TRIM(LEFT(AE10,FIND("-",AE10)-1)),4))&amp;"-"&amp;UPPER(LEFT(TRIM(MID(AE10,FIND("-",AE10)+1,99)),4)),"")</f>
        <v>pâti--ENT</v>
      </c>
      <c r="AI10" s="5838"/>
      <c r="AJ10" s="5838"/>
      <c r="AK10" s="5838"/>
      <c r="AL10" s="5838"/>
      <c r="AM10" s="5838"/>
      <c r="AN10" s="5838"/>
      <c r="AO10" s="5838"/>
      <c r="AP10" s="5838"/>
      <c r="AQ10" s="498"/>
      <c r="AR10" s="9"/>
      <c r="AS10" s="9"/>
      <c r="AT10" s="9"/>
      <c r="AU10" s="9"/>
      <c r="AV10" s="9"/>
      <c r="AW10" s="9"/>
      <c r="AX10" s="9"/>
      <c r="AY10" s="9"/>
      <c r="AZ10" s="9"/>
      <c r="BA10" s="9"/>
      <c r="BB10" s="9"/>
      <c r="BC10" s="9"/>
      <c r="BD10" s="9"/>
      <c r="BE10" s="9"/>
      <c r="BF10" s="9"/>
      <c r="BG10" s="9"/>
      <c r="BH10" s="9"/>
      <c r="BI10" s="9"/>
      <c r="BJ10" s="9"/>
      <c r="BK10" s="9"/>
      <c r="BL10" s="9"/>
      <c r="BM10" s="9"/>
      <c r="BN10" s="9"/>
      <c r="BO10" s="9"/>
      <c r="BP10" s="9"/>
      <c r="BQ10" s="9"/>
      <c r="BR10" s="9"/>
      <c r="BS10" s="9"/>
      <c r="BT10" s="9"/>
      <c r="BU10" s="9"/>
      <c r="BV10" s="9"/>
      <c r="BW10" s="9"/>
      <c r="BX10" s="9"/>
      <c r="BY10" s="9"/>
      <c r="BZ10" s="9"/>
      <c r="CA10" s="9"/>
      <c r="CB10" s="9"/>
      <c r="CC10" s="9"/>
      <c r="CD10" s="9"/>
      <c r="CE10" s="9"/>
      <c r="CF10" s="9"/>
      <c r="CG10" s="9"/>
      <c r="CH10" s="9"/>
      <c r="CI10" s="9"/>
      <c r="CJ10" s="9"/>
      <c r="CK10" s="9"/>
      <c r="CL10" s="9"/>
      <c r="CM10" s="9"/>
      <c r="CN10" s="9"/>
      <c r="CO10" s="9"/>
      <c r="CP10" s="9"/>
      <c r="CQ10" s="9"/>
      <c r="CR10" s="9"/>
      <c r="CS10" s="9"/>
      <c r="CT10" s="9"/>
      <c r="CU10" s="9"/>
      <c r="CV10" s="9"/>
      <c r="CW10" s="9"/>
      <c r="CX10" s="9"/>
      <c r="CY10" s="9"/>
      <c r="CZ10" s="9"/>
      <c r="DA10" s="9"/>
      <c r="DB10" s="9"/>
      <c r="DC10" s="9"/>
      <c r="DD10" s="9"/>
      <c r="DE10" s="9"/>
      <c r="DF10" s="9"/>
      <c r="DG10" s="9"/>
      <c r="DH10" s="9"/>
      <c r="DI10" s="9"/>
      <c r="DJ10" s="9"/>
      <c r="DK10" s="9"/>
      <c r="DL10" s="9"/>
      <c r="DM10" s="3">
        <v>1</v>
      </c>
    </row>
    <row r="11" spans="1:119" ht="24" customHeight="1">
      <c r="A11" s="9"/>
      <c r="B11" s="5839"/>
      <c r="C11" s="5839"/>
      <c r="E11" s="5839"/>
      <c r="F11" s="5839"/>
      <c r="H11" s="886" t="s">
        <v>981</v>
      </c>
      <c r="I11" s="498"/>
      <c r="J11" s="498"/>
      <c r="K11" s="498"/>
      <c r="L11" s="498"/>
      <c r="M11" s="498"/>
      <c r="N11" s="9"/>
      <c r="O11" s="9"/>
      <c r="P11" s="498"/>
      <c r="Q11" s="5472"/>
      <c r="R11" s="5472"/>
      <c r="S11" s="5472"/>
      <c r="T11" s="5472"/>
      <c r="U11" s="5472"/>
      <c r="V11" s="5751"/>
      <c r="W11" s="5751"/>
      <c r="X11" s="5476"/>
      <c r="Z11" s="5472"/>
      <c r="AA11" s="5472"/>
      <c r="AB11" s="5472"/>
      <c r="AC11" s="5472"/>
      <c r="AD11" s="5472"/>
      <c r="AE11" s="5751"/>
      <c r="AF11" s="5751"/>
      <c r="AG11" s="887" t="str">
        <f>IFERROR(LOWER(TRIM(MID(AE10, FIND("-",AE10, FIND("-",AE10)+1)+1, 999))), "")</f>
        <v>entremet</v>
      </c>
      <c r="AI11" s="5838" t="str">
        <f ca="1">AG11&amp;"  Formule ► "&amp;_xlfn.FORMULATEXT(AG11)</f>
        <v>entremet  Formule ► =SIERREUR(MINUSCULE(SUPPRESPACE(STXT(AE10; TROUVE("-";AE10; TROUVE("-";AE10)+1)+1; 999))); "")</v>
      </c>
      <c r="AJ11" s="5838"/>
      <c r="AK11" s="5838"/>
      <c r="AL11" s="5838"/>
      <c r="AM11" s="5838"/>
      <c r="AN11" s="5838"/>
      <c r="AO11" s="5838"/>
      <c r="AP11" s="5838"/>
      <c r="AQ11" s="498"/>
      <c r="AR11" s="9"/>
      <c r="AS11" s="9"/>
      <c r="AT11" s="9"/>
      <c r="AU11" s="9"/>
      <c r="AV11" s="9"/>
      <c r="AW11" s="9"/>
      <c r="AX11" s="9"/>
      <c r="AY11" s="9"/>
      <c r="AZ11" s="9"/>
      <c r="BA11" s="9"/>
      <c r="BB11" s="9" t="s">
        <v>13134</v>
      </c>
      <c r="BC11" s="9"/>
      <c r="BD11" s="9"/>
      <c r="BE11" s="9"/>
      <c r="BF11" s="9"/>
      <c r="BG11" s="9"/>
      <c r="BH11" s="9"/>
      <c r="BI11" s="9"/>
      <c r="BJ11" s="9"/>
      <c r="BK11" s="9"/>
      <c r="BL11" s="9"/>
      <c r="BM11" s="9"/>
      <c r="BN11" s="9"/>
      <c r="BO11" s="9"/>
      <c r="BP11" s="9"/>
      <c r="BQ11" s="9"/>
      <c r="BR11" s="9"/>
      <c r="BS11" s="9"/>
      <c r="BT11" s="9"/>
      <c r="BU11" s="9"/>
      <c r="BV11" s="9"/>
      <c r="BW11" s="9"/>
      <c r="BX11" s="9"/>
      <c r="BY11" s="9"/>
      <c r="BZ11" s="9"/>
      <c r="CA11" s="9"/>
      <c r="CB11" s="9"/>
      <c r="CC11" s="9"/>
      <c r="CD11" s="9"/>
      <c r="CE11" s="9"/>
      <c r="CF11" s="9"/>
      <c r="CG11" s="9"/>
      <c r="CH11" s="9"/>
      <c r="CI11" s="9"/>
      <c r="CJ11" s="9"/>
      <c r="CK11" s="9"/>
      <c r="CL11" s="9"/>
      <c r="CM11" s="9"/>
      <c r="CN11" s="9"/>
      <c r="CO11" s="9"/>
      <c r="CP11" s="9"/>
      <c r="CQ11" s="9"/>
      <c r="CR11" s="9"/>
      <c r="CS11" s="9"/>
      <c r="CT11" s="9"/>
      <c r="CU11" s="9"/>
      <c r="CV11" s="9"/>
      <c r="CW11" s="9"/>
      <c r="CX11" s="9"/>
      <c r="CY11" s="9"/>
      <c r="CZ11" s="9"/>
      <c r="DA11" s="9"/>
      <c r="DB11" s="9"/>
      <c r="DC11" s="9"/>
      <c r="DD11" s="9"/>
      <c r="DE11" s="9"/>
      <c r="DF11" s="9"/>
      <c r="DG11" s="9"/>
      <c r="DH11" s="9"/>
      <c r="DI11" s="9"/>
      <c r="DJ11" s="9"/>
      <c r="DK11" s="9"/>
      <c r="DL11" s="9"/>
      <c r="DM11" s="3">
        <v>1</v>
      </c>
    </row>
    <row r="12" spans="1:119" ht="24" customHeight="1">
      <c r="A12" s="9"/>
      <c r="B12" s="9"/>
      <c r="C12" s="9"/>
      <c r="D12" s="9"/>
      <c r="E12" s="9" t="s">
        <v>1987</v>
      </c>
      <c r="F12" s="9"/>
      <c r="G12" s="9"/>
      <c r="H12" s="9"/>
      <c r="I12" s="9"/>
      <c r="J12" s="9"/>
      <c r="K12" s="9"/>
      <c r="L12" s="9"/>
      <c r="M12" s="9"/>
      <c r="N12" s="9"/>
      <c r="O12" s="9"/>
      <c r="P12" s="9"/>
      <c r="Q12" s="9"/>
      <c r="R12" s="9"/>
      <c r="S12" s="9"/>
      <c r="T12" s="9"/>
      <c r="V12" s="9"/>
      <c r="W12" s="888" t="str">
        <f>X10&amp;"  Formule ►"</f>
        <v>C  Formule ►</v>
      </c>
      <c r="X12" s="58" t="str">
        <f ca="1">_xlfn.FORMULATEXT(X10)</f>
        <v>=MAJUSCULE(GAUCHE(Q10;1))</v>
      </c>
      <c r="Y12" s="9"/>
      <c r="Z12" s="9"/>
      <c r="AA12" s="9"/>
      <c r="AB12" s="9"/>
      <c r="AC12" s="9"/>
      <c r="AD12" s="9"/>
      <c r="AE12" s="9"/>
      <c r="AF12" s="9"/>
      <c r="AG12" s="9"/>
      <c r="AH12" s="9"/>
      <c r="AI12" s="5838"/>
      <c r="AJ12" s="5838"/>
      <c r="AK12" s="5838"/>
      <c r="AL12" s="5838"/>
      <c r="AM12" s="5838"/>
      <c r="AN12" s="5838"/>
      <c r="AO12" s="5838"/>
      <c r="AP12" s="5838"/>
      <c r="AQ12" s="498"/>
      <c r="AR12" s="9"/>
      <c r="AS12" s="9"/>
      <c r="AT12" s="9"/>
      <c r="AU12" s="9"/>
      <c r="AV12" s="9"/>
      <c r="AW12" s="9"/>
      <c r="AX12" s="9"/>
      <c r="AY12" s="9"/>
      <c r="AZ12" s="9"/>
      <c r="BA12" s="9"/>
      <c r="BB12" s="9"/>
      <c r="BC12" s="9"/>
      <c r="BD12" s="9"/>
      <c r="BE12" s="9"/>
      <c r="BF12" s="9"/>
      <c r="BG12" s="9"/>
      <c r="BH12" s="9"/>
      <c r="BI12" s="9"/>
      <c r="BJ12" s="9"/>
      <c r="BK12" s="9"/>
      <c r="BL12" s="9"/>
      <c r="BM12" s="9"/>
      <c r="BN12" s="9"/>
      <c r="BO12" s="9"/>
      <c r="BP12" s="9"/>
      <c r="BQ12" s="9"/>
      <c r="BR12" s="9"/>
      <c r="BS12" s="9"/>
      <c r="BT12" s="9"/>
      <c r="BU12" s="9"/>
      <c r="BV12" s="9"/>
      <c r="BW12" s="9"/>
      <c r="BX12" s="9"/>
      <c r="BY12" s="9"/>
      <c r="BZ12" s="9"/>
      <c r="CA12" s="9"/>
      <c r="CB12" s="9"/>
      <c r="CC12" s="9"/>
      <c r="CD12" s="9"/>
      <c r="CE12" s="9"/>
      <c r="CF12" s="9"/>
      <c r="CG12" s="9"/>
      <c r="CH12" s="9"/>
      <c r="CI12" s="9"/>
      <c r="CJ12" s="9"/>
      <c r="CK12" s="9"/>
      <c r="CL12" s="9"/>
      <c r="CM12" s="9"/>
      <c r="CN12" s="9"/>
      <c r="CO12" s="9"/>
      <c r="CP12" s="9"/>
      <c r="CQ12" s="9"/>
      <c r="CR12" s="9"/>
      <c r="CS12" s="9"/>
      <c r="CT12" s="9"/>
      <c r="CU12" s="9"/>
      <c r="CV12" s="9"/>
      <c r="CW12" s="9"/>
      <c r="CX12" s="9"/>
      <c r="CY12" s="9"/>
      <c r="CZ12" s="9"/>
      <c r="DA12" s="9"/>
      <c r="DB12" s="9"/>
      <c r="DC12" s="9"/>
      <c r="DD12" s="9"/>
      <c r="DE12" s="9"/>
      <c r="DF12" s="9"/>
      <c r="DG12" s="9"/>
      <c r="DH12" s="9"/>
      <c r="DI12" s="9"/>
      <c r="DJ12" s="9"/>
      <c r="DK12" s="9"/>
      <c r="DL12" s="9"/>
      <c r="DM12" s="3">
        <v>1</v>
      </c>
    </row>
    <row r="13" spans="1:119" ht="18" customHeight="1" thickBot="1">
      <c r="A13" s="9"/>
      <c r="B13" s="9"/>
      <c r="C13" s="9"/>
      <c r="D13"/>
      <c r="E13" s="889" t="s">
        <v>982</v>
      </c>
      <c r="F13" s="890"/>
      <c r="G13" s="890"/>
      <c r="H13" s="890"/>
      <c r="I13" s="890"/>
      <c r="J13" s="9"/>
      <c r="K13" s="9"/>
      <c r="L13" s="9"/>
      <c r="M13" s="9"/>
      <c r="N13" s="9"/>
      <c r="O13" s="9"/>
      <c r="P13" s="9"/>
      <c r="Q13" s="9"/>
      <c r="R13" s="9"/>
      <c r="S13" s="9"/>
      <c r="T13" s="9"/>
      <c r="U13" s="9"/>
      <c r="V13" s="9"/>
      <c r="W13" s="9"/>
      <c r="X13" s="9"/>
      <c r="Y13" s="9"/>
      <c r="Z13" s="9"/>
      <c r="AA13" s="9"/>
      <c r="AB13" s="9"/>
      <c r="AC13" s="9"/>
      <c r="AD13" s="9"/>
      <c r="AE13" s="9"/>
      <c r="AF13" s="9"/>
      <c r="AG13" s="9"/>
      <c r="AH13" s="9"/>
      <c r="AI13" s="9"/>
      <c r="AJ13" s="9"/>
      <c r="AK13" s="498"/>
      <c r="AL13" s="498"/>
      <c r="AM13" s="498"/>
      <c r="AN13" s="498"/>
      <c r="AO13" s="498"/>
      <c r="AP13" s="498"/>
      <c r="AQ13" s="498"/>
      <c r="AR13" s="9"/>
      <c r="AS13" s="9"/>
      <c r="AT13" s="9"/>
      <c r="AU13" s="9"/>
      <c r="AV13" s="9"/>
      <c r="AW13" s="9"/>
      <c r="AX13" s="9"/>
      <c r="AY13" s="9"/>
      <c r="AZ13" s="9"/>
      <c r="BA13" s="9"/>
      <c r="BB13" s="9"/>
      <c r="BC13" s="9"/>
      <c r="BD13" s="9"/>
      <c r="BE13" s="9"/>
      <c r="BF13" s="9"/>
      <c r="BG13" s="9"/>
      <c r="BH13" s="9"/>
      <c r="BI13" s="9"/>
      <c r="BJ13" s="9"/>
      <c r="BK13" s="9"/>
      <c r="BL13" s="9"/>
      <c r="BM13" s="9"/>
      <c r="BN13" s="9"/>
      <c r="BO13" s="9"/>
      <c r="BP13" s="9"/>
      <c r="BQ13" s="9"/>
      <c r="BR13" s="9"/>
      <c r="BS13" s="9"/>
      <c r="BT13" s="9"/>
      <c r="BU13" s="9"/>
      <c r="BV13" s="9"/>
      <c r="BW13" s="9"/>
      <c r="BX13" s="9"/>
      <c r="BY13" s="9"/>
      <c r="BZ13" s="9"/>
      <c r="CA13" s="9"/>
      <c r="CB13" s="9"/>
      <c r="CC13" s="9"/>
      <c r="CD13" s="9"/>
      <c r="CE13" s="9"/>
      <c r="CF13" s="9"/>
      <c r="CG13" s="9"/>
      <c r="CH13" s="9"/>
      <c r="CI13" s="9"/>
      <c r="CJ13" s="9"/>
      <c r="CK13" s="9"/>
      <c r="CL13" s="9"/>
      <c r="CM13" s="9"/>
      <c r="CN13" s="9"/>
      <c r="CO13" s="9"/>
      <c r="CP13" s="9"/>
      <c r="CQ13" s="9"/>
      <c r="CR13" s="9"/>
      <c r="CS13" s="9"/>
      <c r="CT13" s="9"/>
      <c r="CU13" s="9"/>
      <c r="CV13" s="9"/>
      <c r="CW13" s="9"/>
      <c r="CX13" s="9"/>
      <c r="CY13" s="9"/>
      <c r="CZ13" s="9"/>
      <c r="DA13" s="9"/>
      <c r="DB13" s="9"/>
      <c r="DC13" s="9"/>
      <c r="DD13" s="9"/>
      <c r="DE13" s="9"/>
      <c r="DF13" s="9"/>
      <c r="DG13" s="9"/>
      <c r="DH13" s="9"/>
      <c r="DI13" s="9"/>
      <c r="DJ13" s="9"/>
      <c r="DK13" s="9"/>
      <c r="DL13" s="9"/>
      <c r="DM13" s="3">
        <v>1</v>
      </c>
    </row>
    <row r="14" spans="1:119" ht="18" customHeight="1">
      <c r="A14" s="9"/>
      <c r="B14" s="5746" t="s">
        <v>983</v>
      </c>
      <c r="C14" s="5746"/>
      <c r="D14"/>
      <c r="E14" s="891" t="str">
        <f>IFERROR(LOWER(LEFT(TRIM(LEFT(B14,FIND("-",B14)-1)),4))&amp;"-"&amp;UPPER(LEFT(TRIM(MID(B14,FIND("-",B14)+1,99)),4)),"")</f>
        <v>cuis-CRUD</v>
      </c>
      <c r="F14" s="183" t="str">
        <f ca="1">_xlfn.FORMULATEXT(E14)</f>
        <v>=SIERREUR(MINUSCULE(GAUCHE(SUPPRESPACE(GAUCHE(B14;TROUVE("-";B14)-1));4))&amp;"-"&amp;MAJUSCULE(GAUCHE(SUPPRESPACE(STXT(B14;TROUVE("-";B14)+1;99));4));"")</v>
      </c>
      <c r="G14" s="9"/>
      <c r="H14" s="9"/>
      <c r="I14" s="9"/>
      <c r="J14" s="9"/>
      <c r="K14" s="9"/>
      <c r="L14" s="9"/>
      <c r="M14" s="9"/>
      <c r="N14" s="9"/>
      <c r="O14" s="9"/>
      <c r="P14" s="9"/>
      <c r="Q14" s="9"/>
      <c r="R14" s="9"/>
      <c r="S14" s="9"/>
      <c r="T14" s="9"/>
      <c r="U14" s="498"/>
      <c r="V14" s="498"/>
      <c r="W14" s="498"/>
      <c r="X14" s="498"/>
      <c r="Y14" s="498"/>
      <c r="Z14" s="498"/>
      <c r="AA14" s="498"/>
      <c r="AB14" s="15"/>
      <c r="AC14" s="498"/>
      <c r="AD14" s="498"/>
      <c r="AE14" s="15"/>
      <c r="AF14" s="498"/>
      <c r="AG14" s="498"/>
      <c r="AH14" s="15"/>
      <c r="AI14" s="498"/>
      <c r="AJ14" s="892"/>
      <c r="AK14" s="498"/>
      <c r="AL14" s="498"/>
      <c r="AM14" s="498"/>
      <c r="AN14" s="498"/>
      <c r="AO14" s="498"/>
      <c r="AP14" s="498"/>
      <c r="AQ14" s="498"/>
      <c r="AR14" s="9"/>
      <c r="AS14" s="9"/>
      <c r="AT14" s="9"/>
      <c r="AU14" s="9"/>
      <c r="AV14" s="9"/>
      <c r="AW14" s="9"/>
      <c r="AX14" s="9"/>
      <c r="AY14" s="9"/>
      <c r="AZ14" s="9"/>
      <c r="BA14" s="9"/>
      <c r="BB14" s="9"/>
      <c r="BC14" s="9"/>
      <c r="BD14" s="9"/>
      <c r="BE14" s="9"/>
      <c r="BF14" s="9"/>
      <c r="BG14" s="9"/>
      <c r="BH14" s="9"/>
      <c r="BI14" s="9"/>
      <c r="BJ14" s="9"/>
      <c r="BK14" s="9"/>
      <c r="BL14" s="9"/>
      <c r="BM14" s="9"/>
      <c r="BN14" s="9"/>
      <c r="BO14" s="9"/>
      <c r="BP14" s="9"/>
      <c r="BQ14" s="9"/>
      <c r="BR14" s="9"/>
      <c r="BS14" s="9"/>
      <c r="BT14" s="9"/>
      <c r="BU14" s="9"/>
      <c r="BV14" s="9"/>
      <c r="BW14" s="9"/>
      <c r="BX14" s="9"/>
      <c r="BY14" s="9"/>
      <c r="BZ14" s="9"/>
      <c r="CA14" s="9"/>
      <c r="CB14" s="9"/>
      <c r="CC14" s="9"/>
      <c r="CD14" s="9"/>
      <c r="CE14" s="9"/>
      <c r="CF14" s="9"/>
      <c r="CG14" s="9"/>
      <c r="CH14" s="9"/>
      <c r="CI14" s="9"/>
      <c r="CJ14" s="9"/>
      <c r="CK14" s="9"/>
      <c r="CL14" s="9"/>
      <c r="CM14" s="9"/>
      <c r="CN14" s="9"/>
      <c r="CO14" s="9"/>
      <c r="CP14" s="9"/>
      <c r="CQ14" s="9"/>
      <c r="CR14" s="9"/>
      <c r="CS14" s="9"/>
      <c r="CT14" s="9"/>
      <c r="CU14" s="9"/>
      <c r="CV14" s="9"/>
      <c r="CW14" s="9"/>
      <c r="CX14" s="9"/>
      <c r="CY14" s="9"/>
      <c r="CZ14" s="9"/>
      <c r="DA14" s="9"/>
      <c r="DB14" s="9"/>
      <c r="DC14" s="9"/>
      <c r="DD14" s="9"/>
      <c r="DE14" s="9"/>
      <c r="DF14" s="9"/>
      <c r="DG14" s="9"/>
      <c r="DH14" s="9"/>
      <c r="DI14" s="9"/>
      <c r="DJ14" s="9"/>
      <c r="DK14" s="9"/>
      <c r="DL14" s="9"/>
      <c r="DM14" s="3">
        <v>1</v>
      </c>
    </row>
    <row r="15" spans="1:119" ht="18" customHeight="1">
      <c r="A15" s="9"/>
      <c r="B15" s="5747"/>
      <c r="C15" s="5747"/>
      <c r="D15"/>
      <c r="E15" s="893" t="str">
        <f>IFERROR(LOWER(TRIM(MID(B14, FIND("-",B14, FIND("-",B14)+1)+1, 999))), "")</f>
        <v>céléri branche</v>
      </c>
      <c r="F15" s="183" t="str">
        <f ca="1">_xlfn.FORMULATEXT(E15)</f>
        <v>=SIERREUR(MINUSCULE(SUPPRESPACE(STXT(B14; TROUVE("-";B14; TROUVE("-";B14)+1)+1; 999))); "")</v>
      </c>
      <c r="G15" s="9"/>
      <c r="H15" s="535"/>
      <c r="I15" s="9"/>
      <c r="J15" s="9"/>
      <c r="K15" s="9"/>
      <c r="L15" s="9"/>
      <c r="M15" s="9"/>
      <c r="N15" s="9"/>
      <c r="O15" s="9"/>
      <c r="P15" s="9"/>
      <c r="Q15" s="9"/>
      <c r="R15" s="9"/>
      <c r="S15" s="9"/>
      <c r="T15" s="9"/>
      <c r="U15" s="9"/>
      <c r="V15" s="9"/>
      <c r="W15" s="9"/>
      <c r="X15" s="9"/>
      <c r="Y15" s="9"/>
      <c r="Z15" s="9"/>
      <c r="AA15" s="9"/>
      <c r="AB15" s="15"/>
      <c r="AC15" s="9"/>
      <c r="AD15" s="9"/>
      <c r="AE15" s="15"/>
      <c r="AF15" s="9"/>
      <c r="AG15" s="9"/>
      <c r="AH15" s="15"/>
      <c r="AI15" s="892"/>
      <c r="AJ15" s="892"/>
      <c r="AK15" s="498"/>
      <c r="AL15" s="498"/>
      <c r="AM15" s="498"/>
      <c r="AN15" s="498"/>
      <c r="AO15" s="498"/>
      <c r="AP15" s="498"/>
      <c r="AQ15" s="498"/>
      <c r="AR15" s="9"/>
      <c r="AS15" s="9"/>
      <c r="AT15" s="9"/>
      <c r="AU15" s="9"/>
      <c r="AV15" s="9"/>
      <c r="AW15" s="9"/>
      <c r="AX15" s="9"/>
      <c r="AY15" s="9"/>
      <c r="AZ15" s="9"/>
      <c r="BA15" s="9"/>
      <c r="BB15" s="9"/>
      <c r="BC15" s="9"/>
      <c r="BD15" s="9"/>
      <c r="BE15" s="9"/>
      <c r="BF15" s="9"/>
      <c r="BG15" s="9"/>
      <c r="BH15" s="9"/>
      <c r="BI15" s="9"/>
      <c r="BJ15" s="9"/>
      <c r="BK15" s="9"/>
      <c r="BL15" s="9"/>
      <c r="BM15" s="9"/>
      <c r="BN15" s="9"/>
      <c r="BO15" s="9"/>
      <c r="BP15" s="9"/>
      <c r="BQ15" s="9"/>
      <c r="BR15" s="9"/>
      <c r="BS15" s="9"/>
      <c r="BT15" s="9"/>
      <c r="BU15" s="9"/>
      <c r="BV15" s="9"/>
      <c r="BW15" s="9"/>
      <c r="BX15" s="9"/>
      <c r="BY15" s="9"/>
      <c r="BZ15" s="9"/>
      <c r="CA15" s="9"/>
      <c r="CB15" s="9"/>
      <c r="CC15" s="9"/>
      <c r="CD15" s="9"/>
      <c r="CE15" s="9"/>
      <c r="CF15" s="9"/>
      <c r="CG15" s="9"/>
      <c r="CH15" s="9"/>
      <c r="CI15" s="9"/>
      <c r="CJ15" s="9"/>
      <c r="CK15" s="9"/>
      <c r="CL15" s="9"/>
      <c r="CM15" s="9"/>
      <c r="CN15" s="9"/>
      <c r="CO15" s="9"/>
      <c r="CP15" s="9"/>
      <c r="CQ15" s="9"/>
      <c r="CR15" s="9"/>
      <c r="CS15" s="9"/>
      <c r="CT15" s="9"/>
      <c r="CU15" s="9"/>
      <c r="CV15" s="9"/>
      <c r="CW15" s="9"/>
      <c r="CX15" s="9"/>
      <c r="CY15" s="9"/>
      <c r="CZ15" s="9"/>
      <c r="DA15" s="9"/>
      <c r="DB15" s="9"/>
      <c r="DC15" s="9"/>
      <c r="DD15" s="9"/>
      <c r="DE15" s="9"/>
      <c r="DF15" s="9"/>
      <c r="DG15" s="9"/>
      <c r="DH15" s="9"/>
      <c r="DI15" s="9"/>
      <c r="DJ15" s="9"/>
      <c r="DK15" s="9"/>
      <c r="DL15" s="9"/>
      <c r="DM15" s="3">
        <v>1</v>
      </c>
    </row>
    <row r="16" spans="1:119" ht="18" customHeight="1" thickBot="1">
      <c r="A16" s="9"/>
      <c r="B16" s="9"/>
      <c r="C16" s="9"/>
      <c r="D16" s="9"/>
      <c r="E16" s="9"/>
      <c r="F16" s="9"/>
      <c r="G16" s="9"/>
      <c r="H16" s="9"/>
      <c r="I16" s="9"/>
      <c r="J16" s="9"/>
      <c r="K16" s="9"/>
      <c r="L16" s="9"/>
      <c r="M16" s="9"/>
      <c r="N16" s="9"/>
      <c r="O16" s="9"/>
      <c r="P16" s="9"/>
      <c r="Q16" s="9"/>
      <c r="R16" s="9"/>
      <c r="S16" s="9"/>
      <c r="T16" s="9"/>
      <c r="U16" s="9"/>
      <c r="V16" s="9"/>
      <c r="W16" s="9"/>
      <c r="X16" s="9"/>
      <c r="Y16" s="9"/>
      <c r="Z16" s="9"/>
      <c r="AA16" s="9"/>
      <c r="AB16" s="15"/>
      <c r="AC16" s="9"/>
      <c r="AD16" s="9"/>
      <c r="AE16" s="15"/>
      <c r="AF16" s="9"/>
      <c r="AG16" s="9"/>
      <c r="AH16" s="15"/>
      <c r="AI16" s="498"/>
      <c r="AJ16" s="498"/>
      <c r="AK16" s="498"/>
      <c r="AL16" s="498"/>
      <c r="AM16" s="498"/>
      <c r="AN16" s="498"/>
      <c r="AO16" s="498"/>
      <c r="AP16" s="498"/>
      <c r="AQ16" s="498"/>
      <c r="AR16" s="9"/>
      <c r="AS16" s="9"/>
      <c r="AT16" s="9"/>
      <c r="AU16" s="9"/>
      <c r="AV16" s="9"/>
      <c r="AW16" s="9"/>
      <c r="AX16" s="9"/>
      <c r="AY16" s="9"/>
      <c r="AZ16" s="9"/>
      <c r="BA16" s="9"/>
      <c r="BB16" s="9"/>
      <c r="BC16" s="9"/>
      <c r="BD16" s="9"/>
      <c r="BE16" s="9"/>
      <c r="BF16" s="9"/>
      <c r="BG16" s="9"/>
      <c r="BH16" s="9"/>
      <c r="BI16" s="9"/>
      <c r="BJ16" s="9"/>
      <c r="BK16" s="9"/>
      <c r="BL16" s="9"/>
      <c r="BM16" s="9"/>
      <c r="BN16" s="9"/>
      <c r="BO16" s="9"/>
      <c r="BP16" s="9"/>
      <c r="BQ16" s="9"/>
      <c r="BR16" s="9"/>
      <c r="BS16" s="9"/>
      <c r="BT16" s="9"/>
      <c r="BU16" s="9"/>
      <c r="BV16" s="9"/>
      <c r="BW16" s="9"/>
      <c r="BX16" s="9"/>
      <c r="BY16" s="9"/>
      <c r="BZ16" s="9"/>
      <c r="CA16" s="9"/>
      <c r="CB16" s="9"/>
      <c r="CC16" s="9"/>
      <c r="CD16" s="9"/>
      <c r="CE16" s="9"/>
      <c r="CF16" s="9"/>
      <c r="CG16" s="9"/>
      <c r="CH16" s="9"/>
      <c r="CI16" s="9"/>
      <c r="CJ16" s="9"/>
      <c r="CK16" s="9"/>
      <c r="CL16" s="9"/>
      <c r="CM16" s="9"/>
      <c r="CN16" s="9"/>
      <c r="CO16" s="9"/>
      <c r="CP16" s="9"/>
      <c r="CQ16" s="9"/>
      <c r="CR16" s="9"/>
      <c r="CS16" s="9"/>
      <c r="CT16" s="9"/>
      <c r="CU16" s="9"/>
      <c r="CV16" s="9"/>
      <c r="CW16" s="9"/>
      <c r="CX16" s="9"/>
      <c r="CY16" s="9"/>
      <c r="CZ16" s="9"/>
      <c r="DA16" s="9"/>
      <c r="DB16" s="9"/>
      <c r="DC16" s="9"/>
      <c r="DD16" s="9"/>
      <c r="DE16" s="9"/>
      <c r="DF16" s="9"/>
      <c r="DG16" s="9"/>
      <c r="DH16" s="9"/>
      <c r="DI16" s="9"/>
      <c r="DJ16" s="9"/>
      <c r="DK16" s="9"/>
      <c r="DL16" s="9"/>
      <c r="DM16" s="3">
        <v>1</v>
      </c>
    </row>
    <row r="17" spans="1:117" ht="18" customHeight="1">
      <c r="A17" s="9"/>
      <c r="B17" s="5754" t="s">
        <v>1377</v>
      </c>
      <c r="C17" s="5754"/>
      <c r="D17" s="9"/>
      <c r="E17" s="5750" t="s">
        <v>1377</v>
      </c>
      <c r="F17" s="5750"/>
      <c r="G17" s="9"/>
      <c r="H17" s="5752" t="s">
        <v>1377</v>
      </c>
      <c r="I17" s="5752"/>
      <c r="J17" s="9"/>
      <c r="K17" s="5473" t="s">
        <v>1377</v>
      </c>
      <c r="L17" s="5473"/>
      <c r="M17" s="9"/>
      <c r="N17" s="5774" t="s">
        <v>1377</v>
      </c>
      <c r="O17" s="5774"/>
      <c r="P17" s="9"/>
      <c r="Q17" s="5756" t="s">
        <v>1377</v>
      </c>
      <c r="R17" s="5756"/>
      <c r="S17" s="9"/>
      <c r="T17" s="5748" t="s">
        <v>1377</v>
      </c>
      <c r="U17" s="5748"/>
      <c r="V17" s="9"/>
      <c r="W17" s="5746" t="s">
        <v>1377</v>
      </c>
      <c r="X17" s="5746"/>
      <c r="Y17" s="9"/>
      <c r="Z17" s="5758" t="s">
        <v>1377</v>
      </c>
      <c r="AA17" s="5758"/>
      <c r="AB17" s="15"/>
      <c r="AC17" s="5760" t="s">
        <v>1377</v>
      </c>
      <c r="AD17" s="5760"/>
      <c r="AE17" s="15"/>
      <c r="AF17" s="5762" t="s">
        <v>1377</v>
      </c>
      <c r="AG17" s="5762"/>
      <c r="AH17" s="15"/>
      <c r="AI17" s="5841" t="s">
        <v>984</v>
      </c>
      <c r="AJ17" s="5841"/>
      <c r="AL17" s="5841" t="s">
        <v>984</v>
      </c>
      <c r="AM17" s="5841"/>
      <c r="AO17" s="498"/>
      <c r="AP17" s="498"/>
      <c r="AS17" s="5754" t="s">
        <v>1988</v>
      </c>
      <c r="AT17" s="5754"/>
      <c r="AV17" s="5750" t="s">
        <v>1989</v>
      </c>
      <c r="AW17" s="5750"/>
      <c r="AY17" s="5752" t="s">
        <v>1990</v>
      </c>
      <c r="AZ17" s="5752"/>
      <c r="BB17" s="5473" t="s">
        <v>1991</v>
      </c>
      <c r="BC17" s="5473"/>
      <c r="BE17" s="5774" t="s">
        <v>1991</v>
      </c>
      <c r="BF17" s="5774"/>
      <c r="BH17" s="5756" t="s">
        <v>1991</v>
      </c>
      <c r="BI17" s="5756"/>
      <c r="BK17" s="5748" t="s">
        <v>1991</v>
      </c>
      <c r="BL17" s="5748"/>
      <c r="BN17" s="5746" t="s">
        <v>1991</v>
      </c>
      <c r="BO17" s="5746"/>
      <c r="BQ17" s="5758" t="s">
        <v>1991</v>
      </c>
      <c r="BR17" s="5758"/>
      <c r="BT17" s="5760" t="s">
        <v>1991</v>
      </c>
      <c r="BU17" s="5760"/>
      <c r="BW17" s="5762" t="s">
        <v>1992</v>
      </c>
      <c r="BX17" s="5762"/>
      <c r="BZ17" s="1130" t="s">
        <v>1993</v>
      </c>
      <c r="CD17" s="5835" t="s">
        <v>1994</v>
      </c>
      <c r="CE17" s="5835"/>
      <c r="CG17" s="5750" t="s">
        <v>1995</v>
      </c>
      <c r="CH17" s="5750"/>
      <c r="CJ17" s="5752" t="s">
        <v>1996</v>
      </c>
      <c r="CK17" s="5752"/>
      <c r="CM17" s="5473" t="s">
        <v>1997</v>
      </c>
      <c r="CN17" s="5473"/>
      <c r="CP17" s="5774" t="s">
        <v>1997</v>
      </c>
      <c r="CQ17" s="5774"/>
      <c r="CS17" s="5756" t="s">
        <v>1997</v>
      </c>
      <c r="CT17" s="5756"/>
      <c r="CV17" s="5748" t="s">
        <v>1997</v>
      </c>
      <c r="CW17" s="5748"/>
      <c r="CY17" s="5746" t="s">
        <v>1997</v>
      </c>
      <c r="CZ17" s="5746"/>
      <c r="DB17" s="5758" t="s">
        <v>1997</v>
      </c>
      <c r="DC17" s="5758"/>
      <c r="DE17" s="5760" t="s">
        <v>1998</v>
      </c>
      <c r="DF17" s="5760"/>
      <c r="DH17" s="5762" t="s">
        <v>1999</v>
      </c>
      <c r="DI17" s="5762"/>
      <c r="DK17" s="1130" t="s">
        <v>1993</v>
      </c>
      <c r="DM17" s="3">
        <v>1</v>
      </c>
    </row>
    <row r="18" spans="1:117" ht="18" customHeight="1">
      <c r="A18" s="9"/>
      <c r="B18" s="5755"/>
      <c r="C18" s="5755"/>
      <c r="D18" s="9"/>
      <c r="E18" s="5751"/>
      <c r="F18" s="5751"/>
      <c r="G18" s="9"/>
      <c r="H18" s="5753"/>
      <c r="I18" s="5753"/>
      <c r="J18" s="9"/>
      <c r="K18" s="5474"/>
      <c r="L18" s="5474"/>
      <c r="M18" s="9"/>
      <c r="N18" s="5775"/>
      <c r="O18" s="5775"/>
      <c r="P18" s="9"/>
      <c r="Q18" s="5757"/>
      <c r="R18" s="5757"/>
      <c r="S18" s="9"/>
      <c r="T18" s="5749"/>
      <c r="U18" s="5749"/>
      <c r="V18" s="9"/>
      <c r="W18" s="5747"/>
      <c r="X18" s="5747"/>
      <c r="Y18" s="9"/>
      <c r="Z18" s="5759"/>
      <c r="AA18" s="5759"/>
      <c r="AB18" s="15"/>
      <c r="AC18" s="5761"/>
      <c r="AD18" s="5761"/>
      <c r="AE18" s="15"/>
      <c r="AF18" s="5763"/>
      <c r="AG18" s="5763"/>
      <c r="AH18" s="15"/>
      <c r="AI18" s="5841"/>
      <c r="AJ18" s="5841"/>
      <c r="AL18" s="5841"/>
      <c r="AM18" s="5841"/>
      <c r="AO18" s="498"/>
      <c r="AP18" s="498"/>
      <c r="AS18" s="5755" t="s">
        <v>116</v>
      </c>
      <c r="AT18" s="5755"/>
      <c r="AV18" s="5751" t="s">
        <v>116</v>
      </c>
      <c r="AW18" s="5751"/>
      <c r="AY18" s="5753" t="s">
        <v>116</v>
      </c>
      <c r="AZ18" s="5753"/>
      <c r="BB18" s="5474" t="s">
        <v>116</v>
      </c>
      <c r="BC18" s="5474"/>
      <c r="BE18" s="5775" t="s">
        <v>116</v>
      </c>
      <c r="BF18" s="5775"/>
      <c r="BH18" s="5757" t="s">
        <v>116</v>
      </c>
      <c r="BI18" s="5757"/>
      <c r="BK18" s="5749" t="s">
        <v>116</v>
      </c>
      <c r="BL18" s="5749"/>
      <c r="BN18" s="5747" t="s">
        <v>116</v>
      </c>
      <c r="BO18" s="5747"/>
      <c r="BQ18" s="5759" t="s">
        <v>116</v>
      </c>
      <c r="BR18" s="5759"/>
      <c r="BT18" s="5761" t="s">
        <v>116</v>
      </c>
      <c r="BU18" s="5761"/>
      <c r="BW18" s="5763" t="s">
        <v>116</v>
      </c>
      <c r="BX18" s="5763"/>
      <c r="BZ18" s="1130" t="s">
        <v>2000</v>
      </c>
      <c r="CD18" s="5836" t="s">
        <v>116</v>
      </c>
      <c r="CE18" s="5836"/>
      <c r="CG18" s="5751" t="s">
        <v>116</v>
      </c>
      <c r="CH18" s="5751"/>
      <c r="CJ18" s="5753" t="s">
        <v>116</v>
      </c>
      <c r="CK18" s="5753"/>
      <c r="CM18" s="5474" t="s">
        <v>116</v>
      </c>
      <c r="CN18" s="5474"/>
      <c r="CP18" s="5775" t="s">
        <v>116</v>
      </c>
      <c r="CQ18" s="5775"/>
      <c r="CS18" s="5757" t="s">
        <v>116</v>
      </c>
      <c r="CT18" s="5757"/>
      <c r="CV18" s="5749" t="s">
        <v>116</v>
      </c>
      <c r="CW18" s="5749"/>
      <c r="CY18" s="5747" t="s">
        <v>116</v>
      </c>
      <c r="CZ18" s="5747"/>
      <c r="DB18" s="5759" t="s">
        <v>116</v>
      </c>
      <c r="DC18" s="5759"/>
      <c r="DE18" s="5761" t="s">
        <v>116</v>
      </c>
      <c r="DF18" s="5761"/>
      <c r="DH18" s="5763" t="s">
        <v>116</v>
      </c>
      <c r="DI18" s="5763"/>
      <c r="DK18" s="1130" t="s">
        <v>2000</v>
      </c>
      <c r="DM18" s="3">
        <v>1</v>
      </c>
    </row>
    <row r="19" spans="1:117" ht="18" customHeight="1" thickBot="1">
      <c r="A19" s="9"/>
      <c r="B19" s="894" t="s">
        <v>985</v>
      </c>
      <c r="C19" s="895"/>
      <c r="D19" s="498"/>
      <c r="E19" s="894"/>
      <c r="F19" s="895"/>
      <c r="G19" s="498"/>
      <c r="H19" s="894"/>
      <c r="I19" s="895"/>
      <c r="J19" s="498"/>
      <c r="K19" s="894"/>
      <c r="L19" s="895"/>
      <c r="M19" s="498"/>
      <c r="N19" s="894"/>
      <c r="O19" s="895"/>
      <c r="P19" s="498"/>
      <c r="Q19" s="894" t="s">
        <v>985</v>
      </c>
      <c r="R19" s="895"/>
      <c r="S19" s="498"/>
      <c r="T19" s="894" t="s">
        <v>985</v>
      </c>
      <c r="U19" s="895"/>
      <c r="V19" s="498"/>
      <c r="W19" s="894" t="s">
        <v>985</v>
      </c>
      <c r="X19" s="895"/>
      <c r="Y19" s="498"/>
      <c r="Z19" s="894" t="s">
        <v>985</v>
      </c>
      <c r="AA19" s="895"/>
      <c r="AB19" s="15"/>
      <c r="AC19" s="894"/>
      <c r="AD19" s="895"/>
      <c r="AE19" s="15"/>
      <c r="AF19" s="894"/>
      <c r="AG19" s="895"/>
      <c r="AH19" s="15"/>
      <c r="AL19" s="498"/>
      <c r="AM19" s="498"/>
      <c r="AO19" s="498"/>
      <c r="AP19" s="498"/>
      <c r="AS19" s="894" t="s">
        <v>116</v>
      </c>
      <c r="AT19" s="895"/>
      <c r="AV19" s="894" t="s">
        <v>116</v>
      </c>
      <c r="AW19" s="895"/>
      <c r="AY19" s="894" t="s">
        <v>116</v>
      </c>
      <c r="AZ19" s="895"/>
      <c r="BB19" t="s">
        <v>116</v>
      </c>
      <c r="BE19" s="894" t="s">
        <v>116</v>
      </c>
      <c r="BF19" s="895"/>
      <c r="BH19" s="894" t="s">
        <v>116</v>
      </c>
      <c r="BI19" s="895"/>
      <c r="BK19" s="894" t="s">
        <v>116</v>
      </c>
      <c r="BL19" s="895"/>
      <c r="BN19" t="s">
        <v>116</v>
      </c>
      <c r="BQ19" t="s">
        <v>116</v>
      </c>
      <c r="BT19" t="s">
        <v>116</v>
      </c>
      <c r="BW19" s="894" t="s">
        <v>116</v>
      </c>
      <c r="BX19" s="895"/>
      <c r="BZ19" s="1131" t="s">
        <v>2001</v>
      </c>
      <c r="CD19" s="894" t="s">
        <v>116</v>
      </c>
      <c r="CE19" s="895"/>
      <c r="CG19" s="856" t="s">
        <v>116</v>
      </c>
      <c r="CH19" s="856"/>
      <c r="CJ19" s="856" t="s">
        <v>116</v>
      </c>
      <c r="CK19" s="856"/>
      <c r="CM19" s="856" t="s">
        <v>116</v>
      </c>
      <c r="CN19" s="856"/>
      <c r="CP19" s="856" t="s">
        <v>116</v>
      </c>
      <c r="CQ19" s="856"/>
      <c r="CS19" s="896" t="s">
        <v>116</v>
      </c>
      <c r="CT19" s="896"/>
      <c r="CV19" s="856" t="s">
        <v>116</v>
      </c>
      <c r="CW19" s="856"/>
      <c r="CY19" s="856" t="s">
        <v>116</v>
      </c>
      <c r="CZ19" s="856"/>
      <c r="DB19" s="856" t="s">
        <v>116</v>
      </c>
      <c r="DC19" s="856"/>
      <c r="DE19" s="894" t="s">
        <v>116</v>
      </c>
      <c r="DF19" s="895"/>
      <c r="DH19" s="856" t="s">
        <v>116</v>
      </c>
      <c r="DI19" s="856"/>
      <c r="DK19" s="1131" t="s">
        <v>2001</v>
      </c>
      <c r="DM19" s="3">
        <v>1</v>
      </c>
    </row>
    <row r="20" spans="1:117" ht="18" customHeight="1">
      <c r="B20" s="5754" t="s">
        <v>986</v>
      </c>
      <c r="C20" s="5754"/>
      <c r="E20" s="5496" t="s">
        <v>866</v>
      </c>
      <c r="F20" s="5496"/>
      <c r="H20" s="5752" t="s">
        <v>987</v>
      </c>
      <c r="I20" s="5752"/>
      <c r="K20" s="5473" t="s">
        <v>988</v>
      </c>
      <c r="L20" s="5473"/>
      <c r="N20" s="5774" t="s">
        <v>989</v>
      </c>
      <c r="O20" s="5774"/>
      <c r="Q20" s="5756" t="s">
        <v>990</v>
      </c>
      <c r="R20" s="5756"/>
      <c r="T20" s="5748" t="s">
        <v>991</v>
      </c>
      <c r="U20" s="5748"/>
      <c r="W20" s="5746" t="s">
        <v>992</v>
      </c>
      <c r="X20" s="5746"/>
      <c r="Z20" s="5758" t="s">
        <v>993</v>
      </c>
      <c r="AA20" s="5758"/>
      <c r="AC20" s="5760" t="s">
        <v>994</v>
      </c>
      <c r="AD20" s="5760"/>
      <c r="AF20" s="5762" t="s">
        <v>995</v>
      </c>
      <c r="AG20" s="5762"/>
      <c r="AI20" s="5834" t="s">
        <v>996</v>
      </c>
      <c r="AJ20" s="5834"/>
      <c r="AL20" s="498"/>
      <c r="AM20" s="498"/>
      <c r="AO20" s="498"/>
      <c r="AP20" s="498"/>
      <c r="AS20" s="5835" t="s">
        <v>2002</v>
      </c>
      <c r="AT20" s="5835"/>
      <c r="AV20" s="5750" t="s">
        <v>2003</v>
      </c>
      <c r="AW20" s="5750"/>
      <c r="AY20" s="5752" t="s">
        <v>2004</v>
      </c>
      <c r="AZ20" s="5752"/>
      <c r="BB20" s="5473" t="s">
        <v>988</v>
      </c>
      <c r="BC20" s="5473"/>
      <c r="BE20" s="5774" t="s">
        <v>2005</v>
      </c>
      <c r="BF20" s="5774"/>
      <c r="BH20" s="5756" t="s">
        <v>2006</v>
      </c>
      <c r="BI20" s="5756"/>
      <c r="BK20" s="5748" t="s">
        <v>2006</v>
      </c>
      <c r="BL20" s="5748"/>
      <c r="BN20" s="5746" t="s">
        <v>2006</v>
      </c>
      <c r="BO20" s="5746"/>
      <c r="BQ20" s="5758" t="s">
        <v>2006</v>
      </c>
      <c r="BR20" s="5758"/>
      <c r="BT20" s="5760" t="s">
        <v>2007</v>
      </c>
      <c r="BU20" s="5760"/>
      <c r="BW20" s="5762" t="s">
        <v>2008</v>
      </c>
      <c r="BX20" s="5762"/>
      <c r="BZ20" s="1132" t="s">
        <v>2009</v>
      </c>
      <c r="CD20" s="5835" t="s">
        <v>2010</v>
      </c>
      <c r="CE20" s="5835"/>
      <c r="CG20" s="5750" t="s">
        <v>2011</v>
      </c>
      <c r="CH20" s="5750"/>
      <c r="CJ20" s="5752" t="s">
        <v>2012</v>
      </c>
      <c r="CK20" s="5752"/>
      <c r="CM20" s="5473" t="s">
        <v>2013</v>
      </c>
      <c r="CN20" s="5473"/>
      <c r="CP20" s="5774" t="s">
        <v>2014</v>
      </c>
      <c r="CQ20" s="5774"/>
      <c r="CS20" s="5756" t="s">
        <v>2015</v>
      </c>
      <c r="CT20" s="5756"/>
      <c r="CV20" s="5748" t="s">
        <v>2015</v>
      </c>
      <c r="CW20" s="5748"/>
      <c r="CY20" s="5746" t="s">
        <v>2015</v>
      </c>
      <c r="CZ20" s="5746"/>
      <c r="DB20" s="5758" t="s">
        <v>2015</v>
      </c>
      <c r="DC20" s="5758"/>
      <c r="DE20" s="5760" t="s">
        <v>2016</v>
      </c>
      <c r="DF20" s="5760"/>
      <c r="DH20" s="5762" t="s">
        <v>2017</v>
      </c>
      <c r="DI20" s="5762"/>
      <c r="DK20" s="1132" t="s">
        <v>2009</v>
      </c>
      <c r="DM20" s="3">
        <v>1</v>
      </c>
    </row>
    <row r="21" spans="1:117" ht="18" customHeight="1">
      <c r="B21" s="5755"/>
      <c r="C21" s="5755"/>
      <c r="E21" s="5497"/>
      <c r="F21" s="5497"/>
      <c r="H21" s="5753"/>
      <c r="I21" s="5753"/>
      <c r="K21" s="5474"/>
      <c r="L21" s="5474"/>
      <c r="N21" s="5775"/>
      <c r="O21" s="5775"/>
      <c r="Q21" s="5757"/>
      <c r="R21" s="5757"/>
      <c r="T21" s="5749"/>
      <c r="U21" s="5749"/>
      <c r="W21" s="5747"/>
      <c r="X21" s="5747"/>
      <c r="Z21" s="5759"/>
      <c r="AA21" s="5759"/>
      <c r="AC21" s="5761"/>
      <c r="AD21" s="5761"/>
      <c r="AF21" s="5763"/>
      <c r="AG21" s="5763"/>
      <c r="AI21" s="5834"/>
      <c r="AJ21" s="5834"/>
      <c r="AL21" s="498"/>
      <c r="AM21" s="498"/>
      <c r="AO21" s="442">
        <v>1</v>
      </c>
      <c r="AP21" s="442">
        <v>1</v>
      </c>
      <c r="AS21" s="5836" t="s">
        <v>116</v>
      </c>
      <c r="AT21" s="5836"/>
      <c r="AV21" s="5751" t="s">
        <v>116</v>
      </c>
      <c r="AW21" s="5751"/>
      <c r="AY21" s="5753" t="s">
        <v>116</v>
      </c>
      <c r="AZ21" s="5753"/>
      <c r="BB21" s="5474" t="s">
        <v>116</v>
      </c>
      <c r="BC21" s="5474"/>
      <c r="BE21" s="5775" t="s">
        <v>116</v>
      </c>
      <c r="BF21" s="5775"/>
      <c r="BH21" s="5757" t="s">
        <v>116</v>
      </c>
      <c r="BI21" s="5757"/>
      <c r="BK21" s="5749" t="s">
        <v>116</v>
      </c>
      <c r="BL21" s="5749"/>
      <c r="BN21" s="5747" t="s">
        <v>116</v>
      </c>
      <c r="BO21" s="5747"/>
      <c r="BQ21" s="5759" t="s">
        <v>116</v>
      </c>
      <c r="BR21" s="5759"/>
      <c r="BT21" s="5761" t="s">
        <v>116</v>
      </c>
      <c r="BU21" s="5761"/>
      <c r="BW21" s="5763" t="s">
        <v>116</v>
      </c>
      <c r="BX21" s="5763"/>
      <c r="BZ21" s="1133" t="s">
        <v>2018</v>
      </c>
      <c r="CD21" s="5836" t="s">
        <v>116</v>
      </c>
      <c r="CE21" s="5836"/>
      <c r="CG21" s="5751" t="s">
        <v>116</v>
      </c>
      <c r="CH21" s="5751"/>
      <c r="CJ21" s="5753" t="s">
        <v>116</v>
      </c>
      <c r="CK21" s="5753"/>
      <c r="CM21" s="5474" t="s">
        <v>116</v>
      </c>
      <c r="CN21" s="5474"/>
      <c r="CP21" s="5775" t="s">
        <v>116</v>
      </c>
      <c r="CQ21" s="5775"/>
      <c r="CS21" s="5757" t="s">
        <v>116</v>
      </c>
      <c r="CT21" s="5757"/>
      <c r="CV21" s="5749" t="s">
        <v>116</v>
      </c>
      <c r="CW21" s="5749"/>
      <c r="CY21" s="5747" t="s">
        <v>116</v>
      </c>
      <c r="CZ21" s="5747"/>
      <c r="DB21" s="5759" t="s">
        <v>116</v>
      </c>
      <c r="DC21" s="5759"/>
      <c r="DE21" s="5761" t="s">
        <v>116</v>
      </c>
      <c r="DF21" s="5761"/>
      <c r="DH21" s="5763" t="s">
        <v>116</v>
      </c>
      <c r="DI21" s="5763"/>
      <c r="DK21" s="1133" t="s">
        <v>2018</v>
      </c>
      <c r="DM21" s="3">
        <v>1</v>
      </c>
    </row>
    <row r="22" spans="1:117" s="709" customFormat="1" ht="18" customHeight="1" thickBot="1">
      <c r="A22"/>
      <c r="B22" s="856"/>
      <c r="C22" s="856"/>
      <c r="D22" s="856"/>
      <c r="E22" s="856"/>
      <c r="F22" s="856"/>
      <c r="G22" s="856"/>
      <c r="H22" s="856"/>
      <c r="I22" s="856"/>
      <c r="J22" s="856"/>
      <c r="K22" s="856"/>
      <c r="L22" s="856"/>
      <c r="M22" s="856"/>
      <c r="N22" s="856"/>
      <c r="O22" s="856"/>
      <c r="P22" s="856"/>
      <c r="Q22" s="896"/>
      <c r="R22" s="896"/>
      <c r="S22" s="856"/>
      <c r="T22" s="856"/>
      <c r="U22" s="856"/>
      <c r="V22" s="856"/>
      <c r="W22" s="856"/>
      <c r="X22" s="856"/>
      <c r="Y22" s="856"/>
      <c r="Z22" s="856"/>
      <c r="AA22" s="856"/>
      <c r="AB22" s="227"/>
      <c r="AC22" s="856"/>
      <c r="AD22" s="856"/>
      <c r="AE22" s="227"/>
      <c r="AF22" s="856"/>
      <c r="AG22" s="856"/>
      <c r="AH22" s="227"/>
      <c r="AI22" s="856"/>
      <c r="AJ22" s="856"/>
      <c r="AK22" s="856"/>
      <c r="AL22" s="498"/>
      <c r="AM22" s="498"/>
      <c r="AN22" s="856"/>
      <c r="AO22" s="897" t="s">
        <v>997</v>
      </c>
      <c r="AP22" s="498"/>
      <c r="AQ22" s="856"/>
      <c r="AS22" s="856" t="s">
        <v>116</v>
      </c>
      <c r="AT22" s="856"/>
      <c r="AV22" s="856" t="s">
        <v>116</v>
      </c>
      <c r="AW22" s="856"/>
      <c r="AY22" s="856" t="s">
        <v>116</v>
      </c>
      <c r="AZ22" s="856"/>
      <c r="BB22" s="894" t="s">
        <v>116</v>
      </c>
      <c r="BC22" s="895"/>
      <c r="BE22" s="856" t="s">
        <v>116</v>
      </c>
      <c r="BF22" s="856"/>
      <c r="BH22" s="896" t="s">
        <v>116</v>
      </c>
      <c r="BI22" s="896"/>
      <c r="BK22" s="856" t="s">
        <v>116</v>
      </c>
      <c r="BL22" s="856"/>
      <c r="BN22" t="s">
        <v>116</v>
      </c>
      <c r="BO22"/>
      <c r="BQ22" t="s">
        <v>116</v>
      </c>
      <c r="BR22"/>
      <c r="BT22" t="s">
        <v>116</v>
      </c>
      <c r="BU22"/>
      <c r="BW22" s="856" t="s">
        <v>116</v>
      </c>
      <c r="BX22" s="856"/>
      <c r="BY22"/>
      <c r="BZ22" s="1134" t="s">
        <v>2019</v>
      </c>
      <c r="CA22"/>
      <c r="CB22"/>
      <c r="CC22"/>
      <c r="CD22" s="856" t="s">
        <v>116</v>
      </c>
      <c r="CE22" s="856"/>
      <c r="CG22" s="856" t="s">
        <v>116</v>
      </c>
      <c r="CH22" s="856"/>
      <c r="CJ22" t="s">
        <v>116</v>
      </c>
      <c r="CK22"/>
      <c r="CM22" s="856" t="s">
        <v>116</v>
      </c>
      <c r="CN22" s="856"/>
      <c r="CP22" s="856" t="s">
        <v>116</v>
      </c>
      <c r="CQ22" s="856"/>
      <c r="CS22" s="896" t="s">
        <v>116</v>
      </c>
      <c r="CT22" s="896"/>
      <c r="CV22" s="856" t="s">
        <v>116</v>
      </c>
      <c r="CW22" s="856"/>
      <c r="CY22" s="856" t="s">
        <v>116</v>
      </c>
      <c r="CZ22" s="856"/>
      <c r="DB22" s="856" t="s">
        <v>116</v>
      </c>
      <c r="DC22" s="856"/>
      <c r="DE22" s="856" t="s">
        <v>116</v>
      </c>
      <c r="DF22" s="856"/>
      <c r="DH22" s="856" t="s">
        <v>116</v>
      </c>
      <c r="DI22" s="856"/>
      <c r="DK22" s="1134" t="s">
        <v>2019</v>
      </c>
      <c r="DL22"/>
      <c r="DM22" s="3">
        <v>1</v>
      </c>
    </row>
    <row r="23" spans="1:117" s="709" customFormat="1" ht="18" customHeight="1">
      <c r="A23"/>
      <c r="B23" s="5826" t="s">
        <v>998</v>
      </c>
      <c r="C23" s="5826"/>
      <c r="D23" s="856"/>
      <c r="E23" s="5750" t="s">
        <v>999</v>
      </c>
      <c r="F23" s="5750"/>
      <c r="G23" s="856"/>
      <c r="H23" s="5752" t="s">
        <v>1000</v>
      </c>
      <c r="I23" s="5752"/>
      <c r="J23" s="856"/>
      <c r="K23" s="5473" t="s">
        <v>1001</v>
      </c>
      <c r="L23" s="5473"/>
      <c r="M23" s="856"/>
      <c r="N23" s="5774" t="s">
        <v>1002</v>
      </c>
      <c r="O23" s="5774"/>
      <c r="P23" s="856"/>
      <c r="Q23" s="5756" t="s">
        <v>1003</v>
      </c>
      <c r="R23" s="5756"/>
      <c r="S23" s="856"/>
      <c r="T23" s="5748" t="s">
        <v>1004</v>
      </c>
      <c r="U23" s="5748"/>
      <c r="V23" s="856"/>
      <c r="W23" s="5746" t="s">
        <v>1005</v>
      </c>
      <c r="X23" s="5746"/>
      <c r="Y23" s="856"/>
      <c r="Z23" s="5758" t="s">
        <v>1006</v>
      </c>
      <c r="AA23" s="5758"/>
      <c r="AB23" s="227"/>
      <c r="AC23" s="5760" t="s">
        <v>1007</v>
      </c>
      <c r="AD23" s="5760"/>
      <c r="AE23" s="227"/>
      <c r="AF23" s="5762" t="s">
        <v>1008</v>
      </c>
      <c r="AG23" s="5762"/>
      <c r="AH23" s="227"/>
      <c r="AI23" s="5749" t="s">
        <v>1009</v>
      </c>
      <c r="AJ23" s="5749"/>
      <c r="AK23" s="856"/>
      <c r="AL23" s="5747" t="s">
        <v>1010</v>
      </c>
      <c r="AM23" s="5747"/>
      <c r="AN23" s="856"/>
      <c r="AO23" s="5827" t="s">
        <v>1011</v>
      </c>
      <c r="AP23" s="5827"/>
      <c r="AQ23" s="856"/>
      <c r="AS23" s="5826" t="s">
        <v>1028</v>
      </c>
      <c r="AT23" s="5826"/>
      <c r="AV23" s="5750" t="s">
        <v>2020</v>
      </c>
      <c r="AW23" s="5750"/>
      <c r="AY23" s="5752" t="s">
        <v>2021</v>
      </c>
      <c r="AZ23" s="5752"/>
      <c r="BB23" s="5473" t="s">
        <v>2022</v>
      </c>
      <c r="BC23" s="5473"/>
      <c r="BE23" s="5774" t="s">
        <v>2023</v>
      </c>
      <c r="BF23" s="5774"/>
      <c r="BH23" s="5756" t="s">
        <v>2024</v>
      </c>
      <c r="BI23" s="5756"/>
      <c r="BK23" s="5748" t="s">
        <v>2025</v>
      </c>
      <c r="BL23" s="5748"/>
      <c r="BN23" s="5746" t="s">
        <v>2026</v>
      </c>
      <c r="BO23" s="5746"/>
      <c r="BQ23" s="5758" t="s">
        <v>2027</v>
      </c>
      <c r="BR23" s="5758"/>
      <c r="BT23" s="5760" t="s">
        <v>2028</v>
      </c>
      <c r="BU23" s="5760"/>
      <c r="BW23" s="5762" t="s">
        <v>2029</v>
      </c>
      <c r="BX23" s="5762"/>
      <c r="BY23"/>
      <c r="BZ23" s="1135" t="s">
        <v>2030</v>
      </c>
      <c r="CA23"/>
      <c r="CB23"/>
      <c r="CC23"/>
      <c r="CD23" s="5826" t="s">
        <v>2031</v>
      </c>
      <c r="CE23" s="5826"/>
      <c r="CG23" s="5750" t="s">
        <v>2032</v>
      </c>
      <c r="CH23" s="5750"/>
      <c r="CJ23" s="5752" t="s">
        <v>2033</v>
      </c>
      <c r="CK23" s="5752"/>
      <c r="CM23" s="5473" t="s">
        <v>2034</v>
      </c>
      <c r="CN23" s="5473"/>
      <c r="CP23" s="5774" t="s">
        <v>2035</v>
      </c>
      <c r="CQ23" s="5774"/>
      <c r="CS23" s="5756" t="s">
        <v>2036</v>
      </c>
      <c r="CT23" s="5756"/>
      <c r="CV23" s="5748" t="s">
        <v>2037</v>
      </c>
      <c r="CW23" s="5748"/>
      <c r="CY23" s="5746" t="s">
        <v>2038</v>
      </c>
      <c r="CZ23" s="5746"/>
      <c r="DB23" s="5758" t="s">
        <v>2039</v>
      </c>
      <c r="DC23" s="5758"/>
      <c r="DE23" s="5760" t="s">
        <v>2040</v>
      </c>
      <c r="DF23" s="5760"/>
      <c r="DH23" s="5762" t="s">
        <v>2041</v>
      </c>
      <c r="DI23" s="5762"/>
      <c r="DK23" s="1135" t="s">
        <v>2030</v>
      </c>
      <c r="DL23"/>
      <c r="DM23" s="3">
        <v>1</v>
      </c>
    </row>
    <row r="24" spans="1:117" s="709" customFormat="1" ht="18" customHeight="1">
      <c r="A24" s="852"/>
      <c r="B24" s="5802"/>
      <c r="C24" s="5802"/>
      <c r="D24" s="856"/>
      <c r="E24" s="5751"/>
      <c r="F24" s="5751"/>
      <c r="G24" s="856"/>
      <c r="H24" s="5753"/>
      <c r="I24" s="5753"/>
      <c r="J24" s="856"/>
      <c r="K24" s="5474"/>
      <c r="L24" s="5474"/>
      <c r="M24" s="856"/>
      <c r="N24" s="5775"/>
      <c r="O24" s="5775"/>
      <c r="P24" s="856"/>
      <c r="Q24" s="5757"/>
      <c r="R24" s="5757"/>
      <c r="S24" s="856"/>
      <c r="T24" s="5749"/>
      <c r="U24" s="5749"/>
      <c r="V24" s="856"/>
      <c r="W24" s="5747"/>
      <c r="X24" s="5747"/>
      <c r="Y24" s="856"/>
      <c r="Z24" s="5759"/>
      <c r="AA24" s="5759"/>
      <c r="AB24" s="227"/>
      <c r="AC24" s="5761"/>
      <c r="AD24" s="5761"/>
      <c r="AE24" s="227"/>
      <c r="AF24" s="5763"/>
      <c r="AG24" s="5763"/>
      <c r="AH24" s="227"/>
      <c r="AI24" s="5749"/>
      <c r="AJ24" s="5749"/>
      <c r="AK24" s="856"/>
      <c r="AL24" s="5747"/>
      <c r="AM24" s="5747"/>
      <c r="AN24" s="856"/>
      <c r="AO24" s="5828" t="s">
        <v>1012</v>
      </c>
      <c r="AP24" s="5829"/>
      <c r="AQ24" s="856"/>
      <c r="AS24" s="5802" t="s">
        <v>116</v>
      </c>
      <c r="AT24" s="5802"/>
      <c r="AV24" s="5751" t="s">
        <v>116</v>
      </c>
      <c r="AW24" s="5751"/>
      <c r="AY24" s="5753" t="s">
        <v>116</v>
      </c>
      <c r="AZ24" s="5753"/>
      <c r="BB24" s="5474" t="s">
        <v>116</v>
      </c>
      <c r="BC24" s="5474"/>
      <c r="BE24" s="5775" t="s">
        <v>116</v>
      </c>
      <c r="BF24" s="5775"/>
      <c r="BH24" s="5757" t="s">
        <v>116</v>
      </c>
      <c r="BI24" s="5757"/>
      <c r="BK24" s="5749" t="s">
        <v>116</v>
      </c>
      <c r="BL24" s="5749"/>
      <c r="BN24" s="5747" t="s">
        <v>116</v>
      </c>
      <c r="BO24" s="5747"/>
      <c r="BQ24" s="5759" t="s">
        <v>116</v>
      </c>
      <c r="BR24" s="5759"/>
      <c r="BT24" s="5761" t="s">
        <v>116</v>
      </c>
      <c r="BU24" s="5761"/>
      <c r="BW24" s="5763" t="s">
        <v>116</v>
      </c>
      <c r="BX24" s="5763"/>
      <c r="BY24"/>
      <c r="BZ24" s="1136" t="s">
        <v>2042</v>
      </c>
      <c r="CA24"/>
      <c r="CB24"/>
      <c r="CC24"/>
      <c r="CD24" s="5802" t="s">
        <v>116</v>
      </c>
      <c r="CE24" s="5802"/>
      <c r="CG24" s="5751" t="s">
        <v>116</v>
      </c>
      <c r="CH24" s="5751"/>
      <c r="CJ24" s="5753" t="s">
        <v>116</v>
      </c>
      <c r="CK24" s="5753"/>
      <c r="CM24" s="5474" t="s">
        <v>116</v>
      </c>
      <c r="CN24" s="5474"/>
      <c r="CP24" s="5775" t="s">
        <v>116</v>
      </c>
      <c r="CQ24" s="5775"/>
      <c r="CS24" s="5757" t="s">
        <v>116</v>
      </c>
      <c r="CT24" s="5757"/>
      <c r="CV24" s="5749" t="s">
        <v>116</v>
      </c>
      <c r="CW24" s="5749"/>
      <c r="CY24" s="5747" t="s">
        <v>116</v>
      </c>
      <c r="CZ24" s="5747"/>
      <c r="DB24" s="5759" t="s">
        <v>116</v>
      </c>
      <c r="DC24" s="5759"/>
      <c r="DE24" s="5761" t="s">
        <v>116</v>
      </c>
      <c r="DF24" s="5761"/>
      <c r="DH24" s="5763" t="s">
        <v>116</v>
      </c>
      <c r="DI24" s="5763"/>
      <c r="DK24" s="1136" t="s">
        <v>2042</v>
      </c>
      <c r="DL24"/>
      <c r="DM24" s="3">
        <v>1</v>
      </c>
    </row>
    <row r="25" spans="1:117" s="709" customFormat="1" ht="18" customHeight="1" thickBot="1">
      <c r="A25"/>
      <c r="B25" s="856"/>
      <c r="C25" s="856"/>
      <c r="D25" s="856"/>
      <c r="E25" s="856"/>
      <c r="F25" s="856"/>
      <c r="G25" s="856"/>
      <c r="H25" s="856"/>
      <c r="I25" s="856"/>
      <c r="J25" s="856"/>
      <c r="K25" s="856"/>
      <c r="L25" s="856"/>
      <c r="M25" s="856"/>
      <c r="N25" s="856"/>
      <c r="O25" s="856"/>
      <c r="P25" s="856"/>
      <c r="Q25" s="896"/>
      <c r="R25" s="896"/>
      <c r="S25" s="856"/>
      <c r="T25" s="856"/>
      <c r="U25" s="856"/>
      <c r="V25" s="856"/>
      <c r="W25" s="856"/>
      <c r="X25" s="856"/>
      <c r="Y25" s="856"/>
      <c r="Z25" s="856"/>
      <c r="AA25" s="856"/>
      <c r="AB25" s="227"/>
      <c r="AC25" s="856"/>
      <c r="AD25" s="856"/>
      <c r="AE25" s="227"/>
      <c r="AF25" s="856"/>
      <c r="AG25" s="856"/>
      <c r="AH25" s="227"/>
      <c r="AI25" s="856"/>
      <c r="AJ25" s="856"/>
      <c r="AK25" s="856"/>
      <c r="AL25" s="856"/>
      <c r="AM25" s="856"/>
      <c r="AN25" s="856"/>
      <c r="AO25" s="5830"/>
      <c r="AP25" s="5831"/>
      <c r="AQ25" s="856"/>
      <c r="AS25" s="856" t="s">
        <v>116</v>
      </c>
      <c r="AT25" s="856"/>
      <c r="AV25" s="856" t="s">
        <v>116</v>
      </c>
      <c r="AW25" s="856"/>
      <c r="AY25" s="856" t="s">
        <v>116</v>
      </c>
      <c r="AZ25" s="856"/>
      <c r="BB25" s="856" t="s">
        <v>116</v>
      </c>
      <c r="BC25" s="856"/>
      <c r="BE25" s="856" t="s">
        <v>116</v>
      </c>
      <c r="BF25" s="856"/>
      <c r="BH25" s="896" t="s">
        <v>116</v>
      </c>
      <c r="BI25" s="896"/>
      <c r="BK25" s="856" t="s">
        <v>116</v>
      </c>
      <c r="BL25" s="856"/>
      <c r="BN25" s="856" t="s">
        <v>116</v>
      </c>
      <c r="BO25" s="856"/>
      <c r="BQ25" s="856" t="s">
        <v>116</v>
      </c>
      <c r="BR25" s="856"/>
      <c r="BT25" s="894" t="s">
        <v>116</v>
      </c>
      <c r="BU25" s="895"/>
      <c r="BW25" s="856" t="s">
        <v>116</v>
      </c>
      <c r="BX25" s="856"/>
      <c r="BY25"/>
      <c r="BZ25" s="1137" t="s">
        <v>2043</v>
      </c>
      <c r="CA25"/>
      <c r="CB25"/>
      <c r="CC25"/>
      <c r="CD25" s="856" t="s">
        <v>116</v>
      </c>
      <c r="CE25" s="856"/>
      <c r="CG25" s="856" t="s">
        <v>116</v>
      </c>
      <c r="CH25" s="856"/>
      <c r="CJ25" s="856" t="s">
        <v>116</v>
      </c>
      <c r="CK25" s="856"/>
      <c r="CM25" s="856" t="s">
        <v>116</v>
      </c>
      <c r="CN25" s="856"/>
      <c r="CP25" s="856" t="s">
        <v>116</v>
      </c>
      <c r="CQ25" s="856"/>
      <c r="CS25" s="896" t="s">
        <v>116</v>
      </c>
      <c r="CT25" s="896"/>
      <c r="CV25" s="856" t="s">
        <v>116</v>
      </c>
      <c r="CW25" s="856"/>
      <c r="CY25" s="856" t="s">
        <v>116</v>
      </c>
      <c r="CZ25" s="856"/>
      <c r="DB25" s="856" t="s">
        <v>116</v>
      </c>
      <c r="DC25" s="856"/>
      <c r="DE25" s="856" t="s">
        <v>116</v>
      </c>
      <c r="DF25" s="856"/>
      <c r="DH25" s="856" t="s">
        <v>116</v>
      </c>
      <c r="DI25" s="856"/>
      <c r="DK25" s="1137" t="s">
        <v>2043</v>
      </c>
      <c r="DL25"/>
      <c r="DM25" s="3">
        <v>1</v>
      </c>
    </row>
    <row r="26" spans="1:117" s="709" customFormat="1" ht="18" customHeight="1">
      <c r="A26"/>
      <c r="B26" s="5822" t="s">
        <v>1013</v>
      </c>
      <c r="C26" s="5822"/>
      <c r="D26" s="856"/>
      <c r="E26" s="5496" t="s">
        <v>1014</v>
      </c>
      <c r="F26" s="5496"/>
      <c r="G26" s="856"/>
      <c r="H26" s="5752" t="s">
        <v>1015</v>
      </c>
      <c r="I26" s="5752"/>
      <c r="J26" s="856"/>
      <c r="K26" s="5473" t="s">
        <v>1016</v>
      </c>
      <c r="L26" s="5473"/>
      <c r="M26" s="856"/>
      <c r="N26" s="5774" t="s">
        <v>1017</v>
      </c>
      <c r="O26" s="5774"/>
      <c r="P26" s="856"/>
      <c r="Q26" s="5756" t="s">
        <v>1018</v>
      </c>
      <c r="R26" s="5756"/>
      <c r="S26" s="856"/>
      <c r="T26" s="5748" t="s">
        <v>1019</v>
      </c>
      <c r="U26" s="5748"/>
      <c r="V26" s="856"/>
      <c r="W26" s="5746" t="s">
        <v>1020</v>
      </c>
      <c r="X26" s="5746"/>
      <c r="Y26" s="856"/>
      <c r="Z26" s="5758" t="s">
        <v>1021</v>
      </c>
      <c r="AA26" s="5758"/>
      <c r="AB26" s="227"/>
      <c r="AC26" s="5760" t="s">
        <v>1022</v>
      </c>
      <c r="AD26" s="5760"/>
      <c r="AE26" s="227"/>
      <c r="AF26" s="5762" t="s">
        <v>1023</v>
      </c>
      <c r="AG26" s="5762"/>
      <c r="AH26" s="227"/>
      <c r="AI26" s="5759" t="s">
        <v>1024</v>
      </c>
      <c r="AJ26" s="5759"/>
      <c r="AK26" s="856"/>
      <c r="AL26" s="5802" t="s">
        <v>1025</v>
      </c>
      <c r="AM26" s="5802"/>
      <c r="AN26" s="856"/>
      <c r="AO26" s="5832"/>
      <c r="AP26" s="5833"/>
      <c r="AQ26" s="856"/>
      <c r="AS26" s="5822" t="s">
        <v>2044</v>
      </c>
      <c r="AT26" s="5822"/>
      <c r="AV26" s="5496" t="s">
        <v>2045</v>
      </c>
      <c r="AW26" s="5496"/>
      <c r="AY26" s="5752" t="s">
        <v>1030</v>
      </c>
      <c r="AZ26" s="5752"/>
      <c r="BB26" s="5473" t="s">
        <v>2046</v>
      </c>
      <c r="BC26" s="5473"/>
      <c r="BE26" s="5774" t="s">
        <v>2047</v>
      </c>
      <c r="BF26" s="5774"/>
      <c r="BH26" s="5756" t="s">
        <v>2048</v>
      </c>
      <c r="BI26" s="5756"/>
      <c r="BK26" s="5748" t="s">
        <v>2049</v>
      </c>
      <c r="BL26" s="5748"/>
      <c r="BN26" s="5824" t="s">
        <v>2050</v>
      </c>
      <c r="BO26" s="5824"/>
      <c r="BQ26" s="5758" t="s">
        <v>2051</v>
      </c>
      <c r="BR26" s="5758"/>
      <c r="BT26" s="5760" t="s">
        <v>2052</v>
      </c>
      <c r="BU26" s="5760"/>
      <c r="BW26" s="5762" t="s">
        <v>2053</v>
      </c>
      <c r="BX26" s="5762"/>
      <c r="BY26"/>
      <c r="BZ26" s="1138" t="s">
        <v>2054</v>
      </c>
      <c r="CA26"/>
      <c r="CB26"/>
      <c r="CC26"/>
      <c r="CD26" s="5822" t="s">
        <v>2055</v>
      </c>
      <c r="CE26" s="5822"/>
      <c r="CG26" s="5750" t="s">
        <v>2056</v>
      </c>
      <c r="CH26" s="5750"/>
      <c r="CJ26" s="5752" t="s">
        <v>1030</v>
      </c>
      <c r="CK26" s="5752"/>
      <c r="CM26" s="5473" t="s">
        <v>2057</v>
      </c>
      <c r="CN26" s="5473"/>
      <c r="CP26" s="5774" t="s">
        <v>2058</v>
      </c>
      <c r="CQ26" s="5774"/>
      <c r="CS26" s="5756" t="s">
        <v>2059</v>
      </c>
      <c r="CT26" s="5756"/>
      <c r="CV26" s="5748" t="s">
        <v>2060</v>
      </c>
      <c r="CW26" s="5748"/>
      <c r="CY26" s="5746" t="s">
        <v>2061</v>
      </c>
      <c r="CZ26" s="5746"/>
      <c r="DB26" s="5758" t="s">
        <v>2062</v>
      </c>
      <c r="DC26" s="5758"/>
      <c r="DE26" s="5760" t="s">
        <v>2063</v>
      </c>
      <c r="DF26" s="5760"/>
      <c r="DH26" s="5762" t="s">
        <v>2064</v>
      </c>
      <c r="DI26" s="5762"/>
      <c r="DK26" s="1138" t="s">
        <v>2054</v>
      </c>
      <c r="DL26"/>
      <c r="DM26" s="3">
        <v>1</v>
      </c>
    </row>
    <row r="27" spans="1:117" s="709" customFormat="1" ht="18" customHeight="1">
      <c r="A27"/>
      <c r="B27" s="5823"/>
      <c r="C27" s="5823"/>
      <c r="D27" s="856"/>
      <c r="E27" s="5497"/>
      <c r="F27" s="5497"/>
      <c r="G27" s="856"/>
      <c r="H27" s="5753"/>
      <c r="I27" s="5753"/>
      <c r="J27" s="856"/>
      <c r="K27" s="5474"/>
      <c r="L27" s="5474"/>
      <c r="M27" s="856"/>
      <c r="N27" s="5775"/>
      <c r="O27" s="5775"/>
      <c r="P27" s="856"/>
      <c r="Q27" s="5757"/>
      <c r="R27" s="5757"/>
      <c r="S27" s="856"/>
      <c r="T27" s="5749"/>
      <c r="U27" s="5749"/>
      <c r="V27" s="856"/>
      <c r="W27" s="5747"/>
      <c r="X27" s="5747"/>
      <c r="Y27" s="856"/>
      <c r="Z27" s="5759"/>
      <c r="AA27" s="5759"/>
      <c r="AB27" s="227"/>
      <c r="AC27" s="5761"/>
      <c r="AD27" s="5761"/>
      <c r="AE27" s="227"/>
      <c r="AF27" s="5763"/>
      <c r="AG27" s="5763"/>
      <c r="AH27" s="227"/>
      <c r="AI27" s="5759"/>
      <c r="AJ27" s="5759"/>
      <c r="AK27" s="856"/>
      <c r="AL27" s="5802"/>
      <c r="AM27" s="5802"/>
      <c r="AN27" s="856"/>
      <c r="AO27" s="898" t="s">
        <v>1026</v>
      </c>
      <c r="AP27" s="898"/>
      <c r="AQ27" s="856"/>
      <c r="AS27" s="5823" t="s">
        <v>116</v>
      </c>
      <c r="AT27" s="5823"/>
      <c r="AV27" s="5497" t="s">
        <v>116</v>
      </c>
      <c r="AW27" s="5497"/>
      <c r="AY27" s="5753" t="s">
        <v>116</v>
      </c>
      <c r="AZ27" s="5753"/>
      <c r="BB27" s="5474" t="s">
        <v>116</v>
      </c>
      <c r="BC27" s="5474"/>
      <c r="BE27" s="5775" t="s">
        <v>116</v>
      </c>
      <c r="BF27" s="5775"/>
      <c r="BH27" s="5757" t="s">
        <v>116</v>
      </c>
      <c r="BI27" s="5757"/>
      <c r="BK27" s="5749" t="s">
        <v>116</v>
      </c>
      <c r="BL27" s="5749"/>
      <c r="BN27" s="5825" t="s">
        <v>116</v>
      </c>
      <c r="BO27" s="5825"/>
      <c r="BQ27" s="5759" t="s">
        <v>116</v>
      </c>
      <c r="BR27" s="5759"/>
      <c r="BT27" s="5761" t="s">
        <v>116</v>
      </c>
      <c r="BU27" s="5761"/>
      <c r="BW27" s="5763" t="s">
        <v>116</v>
      </c>
      <c r="BX27" s="5763"/>
      <c r="BY27"/>
      <c r="BZ27" s="1139" t="s">
        <v>2065</v>
      </c>
      <c r="CA27"/>
      <c r="CB27"/>
      <c r="CC27"/>
      <c r="CD27" s="5823" t="s">
        <v>116</v>
      </c>
      <c r="CE27" s="5823"/>
      <c r="CG27" s="5751" t="s">
        <v>116</v>
      </c>
      <c r="CH27" s="5751"/>
      <c r="CJ27" s="5753" t="s">
        <v>116</v>
      </c>
      <c r="CK27" s="5753"/>
      <c r="CM27" s="5474" t="s">
        <v>116</v>
      </c>
      <c r="CN27" s="5474"/>
      <c r="CP27" s="5775" t="s">
        <v>116</v>
      </c>
      <c r="CQ27" s="5775"/>
      <c r="CS27" s="5757" t="s">
        <v>116</v>
      </c>
      <c r="CT27" s="5757"/>
      <c r="CV27" s="5749" t="s">
        <v>116</v>
      </c>
      <c r="CW27" s="5749"/>
      <c r="CY27" s="5747" t="s">
        <v>116</v>
      </c>
      <c r="CZ27" s="5747"/>
      <c r="DB27" s="5759" t="s">
        <v>116</v>
      </c>
      <c r="DC27" s="5759"/>
      <c r="DE27" s="5761" t="s">
        <v>116</v>
      </c>
      <c r="DF27" s="5761"/>
      <c r="DH27" s="5763" t="s">
        <v>116</v>
      </c>
      <c r="DI27" s="5763"/>
      <c r="DK27" s="1139" t="s">
        <v>2065</v>
      </c>
      <c r="DL27"/>
      <c r="DM27" s="3">
        <v>1</v>
      </c>
    </row>
    <row r="28" spans="1:117" s="709" customFormat="1" ht="18" customHeight="1" thickBot="1">
      <c r="A28"/>
      <c r="B28" s="856"/>
      <c r="C28" s="856"/>
      <c r="D28" s="856"/>
      <c r="E28" s="856"/>
      <c r="F28" s="856"/>
      <c r="G28" s="856"/>
      <c r="H28"/>
      <c r="I28"/>
      <c r="J28" s="856"/>
      <c r="K28" s="856"/>
      <c r="L28" s="856"/>
      <c r="M28" s="856"/>
      <c r="N28" s="856"/>
      <c r="O28" s="856"/>
      <c r="P28" s="856"/>
      <c r="Q28" s="896"/>
      <c r="R28" s="896"/>
      <c r="S28" s="856"/>
      <c r="T28" s="856"/>
      <c r="U28" s="856"/>
      <c r="V28" s="856"/>
      <c r="W28" s="856"/>
      <c r="X28" s="856"/>
      <c r="Y28" s="856"/>
      <c r="Z28" s="856"/>
      <c r="AA28" s="856"/>
      <c r="AB28" s="227"/>
      <c r="AC28" s="856"/>
      <c r="AD28" s="856"/>
      <c r="AE28" s="227"/>
      <c r="AF28" s="856"/>
      <c r="AG28" s="856"/>
      <c r="AH28" s="227"/>
      <c r="AI28" s="856"/>
      <c r="AJ28" s="856"/>
      <c r="AK28" s="856"/>
      <c r="AL28" s="856"/>
      <c r="AM28" s="856"/>
      <c r="AN28" s="856"/>
      <c r="AO28" s="5816" t="s">
        <v>1027</v>
      </c>
      <c r="AP28" s="5817"/>
      <c r="AQ28" s="856"/>
      <c r="AS28" s="856" t="s">
        <v>116</v>
      </c>
      <c r="AT28" s="856"/>
      <c r="AV28" s="856" t="s">
        <v>116</v>
      </c>
      <c r="AW28" s="856"/>
      <c r="AY28" t="s">
        <v>116</v>
      </c>
      <c r="AZ28"/>
      <c r="BB28" s="856" t="s">
        <v>116</v>
      </c>
      <c r="BC28" s="856"/>
      <c r="BE28" s="856" t="s">
        <v>116</v>
      </c>
      <c r="BF28" s="856"/>
      <c r="BH28" s="896" t="s">
        <v>116</v>
      </c>
      <c r="BI28" s="896"/>
      <c r="BK28" s="856" t="s">
        <v>116</v>
      </c>
      <c r="BL28" s="856"/>
      <c r="BN28" s="856" t="s">
        <v>116</v>
      </c>
      <c r="BO28" s="856"/>
      <c r="BQ28" s="856" t="s">
        <v>116</v>
      </c>
      <c r="BR28" s="856"/>
      <c r="BT28" s="856" t="s">
        <v>116</v>
      </c>
      <c r="BU28" s="856"/>
      <c r="BW28" s="856" t="s">
        <v>116</v>
      </c>
      <c r="BX28" s="856"/>
      <c r="BY28"/>
      <c r="BZ28" s="856"/>
      <c r="CA28"/>
      <c r="CB28"/>
      <c r="CC28"/>
      <c r="CD28" s="856" t="s">
        <v>116</v>
      </c>
      <c r="CE28" s="856"/>
      <c r="CG28" s="856" t="s">
        <v>116</v>
      </c>
      <c r="CH28" s="856"/>
      <c r="CJ28" s="856" t="s">
        <v>116</v>
      </c>
      <c r="CK28" s="856"/>
      <c r="CM28" s="856" t="s">
        <v>116</v>
      </c>
      <c r="CN28" s="856"/>
      <c r="CP28" s="856" t="s">
        <v>116</v>
      </c>
      <c r="CQ28" s="856"/>
      <c r="CS28" s="896" t="s">
        <v>116</v>
      </c>
      <c r="CT28" s="896"/>
      <c r="CV28" s="856" t="s">
        <v>116</v>
      </c>
      <c r="CW28" s="856"/>
      <c r="CY28" s="856" t="s">
        <v>116</v>
      </c>
      <c r="CZ28" s="856"/>
      <c r="DB28" s="856" t="s">
        <v>116</v>
      </c>
      <c r="DC28" s="856"/>
      <c r="DE28" s="856" t="s">
        <v>116</v>
      </c>
      <c r="DF28" s="856"/>
      <c r="DH28" s="856" t="s">
        <v>116</v>
      </c>
      <c r="DI28" s="856"/>
      <c r="DK28" s="856"/>
      <c r="DL28"/>
      <c r="DM28" s="3">
        <v>1</v>
      </c>
    </row>
    <row r="29" spans="1:117" s="709" customFormat="1" ht="18" customHeight="1">
      <c r="A29"/>
      <c r="B29" s="5809" t="s">
        <v>1028</v>
      </c>
      <c r="C29" s="5809"/>
      <c r="D29" s="856"/>
      <c r="E29" s="5750" t="s">
        <v>1029</v>
      </c>
      <c r="F29" s="5750"/>
      <c r="G29" s="856"/>
      <c r="H29" s="5752" t="s">
        <v>1030</v>
      </c>
      <c r="I29" s="5752"/>
      <c r="J29" s="856"/>
      <c r="K29" s="5473" t="s">
        <v>1031</v>
      </c>
      <c r="L29" s="5473"/>
      <c r="M29" s="856"/>
      <c r="N29" s="5774" t="s">
        <v>1032</v>
      </c>
      <c r="O29" s="5774"/>
      <c r="P29" s="856"/>
      <c r="Q29" s="5756" t="s">
        <v>1033</v>
      </c>
      <c r="R29" s="5756"/>
      <c r="S29" s="856"/>
      <c r="T29" s="5748" t="s">
        <v>1034</v>
      </c>
      <c r="U29" s="5748"/>
      <c r="V29" s="856"/>
      <c r="W29" s="5746" t="s">
        <v>1035</v>
      </c>
      <c r="X29" s="5746"/>
      <c r="Y29" s="856"/>
      <c r="Z29" s="5758" t="s">
        <v>1036</v>
      </c>
      <c r="AA29" s="5758"/>
      <c r="AB29" s="227"/>
      <c r="AC29" s="5760" t="s">
        <v>1037</v>
      </c>
      <c r="AD29" s="5760"/>
      <c r="AE29" s="227"/>
      <c r="AF29" s="5762" t="s">
        <v>1038</v>
      </c>
      <c r="AG29" s="5762"/>
      <c r="AH29" s="227"/>
      <c r="AI29" s="5811" t="s">
        <v>1039</v>
      </c>
      <c r="AJ29" s="5811"/>
      <c r="AK29" s="856"/>
      <c r="AL29" s="5769" t="s">
        <v>1040</v>
      </c>
      <c r="AM29" s="5769"/>
      <c r="AN29" s="856"/>
      <c r="AO29" s="5818"/>
      <c r="AP29" s="5819"/>
      <c r="AQ29" s="856"/>
      <c r="AS29" s="5809" t="s">
        <v>2066</v>
      </c>
      <c r="AT29" s="5809"/>
      <c r="AV29" s="5750" t="s">
        <v>2067</v>
      </c>
      <c r="AW29" s="5750"/>
      <c r="AY29" s="5752" t="s">
        <v>2068</v>
      </c>
      <c r="AZ29" s="5752"/>
      <c r="BB29" s="5473" t="s">
        <v>13134</v>
      </c>
      <c r="BC29" s="5473"/>
      <c r="BE29" s="5774" t="s">
        <v>2069</v>
      </c>
      <c r="BF29" s="5774"/>
      <c r="BH29" s="5756" t="s">
        <v>2070</v>
      </c>
      <c r="BI29" s="5756"/>
      <c r="BK29" s="5748" t="s">
        <v>2071</v>
      </c>
      <c r="BL29" s="5748"/>
      <c r="BN29" s="5746" t="s">
        <v>2072</v>
      </c>
      <c r="BO29" s="5746"/>
      <c r="BQ29" s="5758" t="s">
        <v>2073</v>
      </c>
      <c r="BR29" s="5758"/>
      <c r="BT29" s="5760" t="s">
        <v>2074</v>
      </c>
      <c r="BU29" s="5760"/>
      <c r="BW29" s="5762" t="s">
        <v>2075</v>
      </c>
      <c r="BX29" s="5762"/>
      <c r="BY29"/>
      <c r="BZ29" s="856"/>
      <c r="CA29"/>
      <c r="CB29"/>
      <c r="CC29"/>
      <c r="CD29" s="5809" t="s">
        <v>2076</v>
      </c>
      <c r="CE29" s="5809"/>
      <c r="CG29" s="5750" t="s">
        <v>2077</v>
      </c>
      <c r="CH29" s="5750"/>
      <c r="CJ29" s="5752" t="s">
        <v>1044</v>
      </c>
      <c r="CK29" s="5752"/>
      <c r="CM29" s="5473" t="s">
        <v>13135</v>
      </c>
      <c r="CN29" s="5473"/>
      <c r="CP29" s="5774" t="s">
        <v>2078</v>
      </c>
      <c r="CQ29" s="5774"/>
      <c r="CS29" s="5756" t="s">
        <v>2079</v>
      </c>
      <c r="CT29" s="5756"/>
      <c r="CV29" s="5748" t="s">
        <v>2080</v>
      </c>
      <c r="CW29" s="5748"/>
      <c r="CY29" s="5746" t="s">
        <v>2081</v>
      </c>
      <c r="CZ29" s="5746"/>
      <c r="DB29" s="5758" t="s">
        <v>2082</v>
      </c>
      <c r="DC29" s="5758"/>
      <c r="DE29" s="5760" t="s">
        <v>2083</v>
      </c>
      <c r="DF29" s="5760"/>
      <c r="DH29" s="5762" t="s">
        <v>2084</v>
      </c>
      <c r="DI29" s="5762"/>
      <c r="DK29" s="856"/>
      <c r="DL29"/>
      <c r="DM29" s="3">
        <v>1</v>
      </c>
    </row>
    <row r="30" spans="1:117" s="709" customFormat="1" ht="18" customHeight="1">
      <c r="A30"/>
      <c r="B30" s="5810"/>
      <c r="C30" s="5810"/>
      <c r="D30" s="856"/>
      <c r="E30" s="5751"/>
      <c r="F30" s="5751"/>
      <c r="G30" s="856"/>
      <c r="H30" s="5753"/>
      <c r="I30" s="5753"/>
      <c r="J30" s="856"/>
      <c r="K30" s="5474"/>
      <c r="L30" s="5474"/>
      <c r="M30" s="856"/>
      <c r="N30" s="5775"/>
      <c r="O30" s="5775"/>
      <c r="P30" s="856"/>
      <c r="Q30" s="5757"/>
      <c r="R30" s="5757"/>
      <c r="S30" s="856"/>
      <c r="T30" s="5749"/>
      <c r="U30" s="5749"/>
      <c r="V30" s="856"/>
      <c r="W30" s="5747"/>
      <c r="X30" s="5747"/>
      <c r="Y30" s="856"/>
      <c r="Z30" s="5759"/>
      <c r="AA30" s="5759"/>
      <c r="AB30" s="227"/>
      <c r="AC30" s="5761"/>
      <c r="AD30" s="5761"/>
      <c r="AE30" s="227"/>
      <c r="AF30" s="5763"/>
      <c r="AG30" s="5763"/>
      <c r="AH30" s="227"/>
      <c r="AI30" s="5811"/>
      <c r="AJ30" s="5811"/>
      <c r="AK30" s="856"/>
      <c r="AL30" s="5769"/>
      <c r="AM30" s="5769"/>
      <c r="AN30" s="856"/>
      <c r="AO30" s="871">
        <v>1</v>
      </c>
      <c r="AP30" s="871">
        <v>1</v>
      </c>
      <c r="AQ30" s="856"/>
      <c r="AS30" s="5810" t="s">
        <v>116</v>
      </c>
      <c r="AT30" s="5810"/>
      <c r="AV30" s="5751" t="s">
        <v>116</v>
      </c>
      <c r="AW30" s="5751"/>
      <c r="AY30" s="5753" t="s">
        <v>116</v>
      </c>
      <c r="AZ30" s="5753"/>
      <c r="BB30" s="5474" t="s">
        <v>116</v>
      </c>
      <c r="BC30" s="5474"/>
      <c r="BE30" s="5775" t="s">
        <v>116</v>
      </c>
      <c r="BF30" s="5775"/>
      <c r="BH30" s="5757" t="s">
        <v>116</v>
      </c>
      <c r="BI30" s="5757"/>
      <c r="BK30" s="5749" t="s">
        <v>116</v>
      </c>
      <c r="BL30" s="5749"/>
      <c r="BN30" s="5747" t="s">
        <v>116</v>
      </c>
      <c r="BO30" s="5747"/>
      <c r="BQ30" s="5759" t="s">
        <v>116</v>
      </c>
      <c r="BR30" s="5759"/>
      <c r="BT30" s="5761" t="s">
        <v>116</v>
      </c>
      <c r="BU30" s="5761"/>
      <c r="BW30" s="5763" t="s">
        <v>116</v>
      </c>
      <c r="BX30" s="5763"/>
      <c r="BY30"/>
      <c r="BZ30" s="1130" t="s">
        <v>2085</v>
      </c>
      <c r="CA30"/>
      <c r="CB30"/>
      <c r="CC30"/>
      <c r="CD30" s="5810" t="s">
        <v>116</v>
      </c>
      <c r="CE30" s="5810"/>
      <c r="CG30" s="5751" t="s">
        <v>116</v>
      </c>
      <c r="CH30" s="5751"/>
      <c r="CJ30" s="5753" t="s">
        <v>116</v>
      </c>
      <c r="CK30" s="5753"/>
      <c r="CM30" s="5474" t="s">
        <v>116</v>
      </c>
      <c r="CN30" s="5474"/>
      <c r="CP30" s="5775" t="s">
        <v>116</v>
      </c>
      <c r="CQ30" s="5775"/>
      <c r="CS30" s="5757" t="s">
        <v>116</v>
      </c>
      <c r="CT30" s="5757"/>
      <c r="CV30" s="5749" t="s">
        <v>116</v>
      </c>
      <c r="CW30" s="5749"/>
      <c r="CY30" s="5747" t="s">
        <v>116</v>
      </c>
      <c r="CZ30" s="5747"/>
      <c r="DB30" s="5759" t="s">
        <v>116</v>
      </c>
      <c r="DC30" s="5759"/>
      <c r="DE30" s="5761" t="s">
        <v>116</v>
      </c>
      <c r="DF30" s="5761"/>
      <c r="DH30" s="5763" t="s">
        <v>116</v>
      </c>
      <c r="DI30" s="5763"/>
      <c r="DK30" s="1130" t="s">
        <v>2085</v>
      </c>
      <c r="DL30"/>
      <c r="DM30" s="3">
        <v>1</v>
      </c>
    </row>
    <row r="31" spans="1:117" s="709" customFormat="1" ht="18" customHeight="1" thickBot="1">
      <c r="A31"/>
      <c r="B31" s="856"/>
      <c r="C31" s="856"/>
      <c r="D31" s="856"/>
      <c r="E31" s="856"/>
      <c r="F31" s="856"/>
      <c r="G31" s="856"/>
      <c r="H31" s="856"/>
      <c r="I31" s="856"/>
      <c r="J31" s="856"/>
      <c r="K31" s="856"/>
      <c r="L31" s="856"/>
      <c r="M31" s="856"/>
      <c r="N31" s="856"/>
      <c r="O31" s="856"/>
      <c r="P31" s="856"/>
      <c r="Q31" s="896"/>
      <c r="R31" s="896"/>
      <c r="S31" s="856"/>
      <c r="T31" s="856"/>
      <c r="U31" s="856"/>
      <c r="V31" s="856"/>
      <c r="W31" s="856"/>
      <c r="X31" s="856"/>
      <c r="Y31" s="856"/>
      <c r="Z31" s="856"/>
      <c r="AA31" s="856"/>
      <c r="AB31" s="227"/>
      <c r="AC31" s="856"/>
      <c r="AD31" s="856"/>
      <c r="AE31" s="227"/>
      <c r="AF31" s="856"/>
      <c r="AG31" s="856"/>
      <c r="AH31" s="227"/>
      <c r="AI31" s="856"/>
      <c r="AJ31" s="856"/>
      <c r="AK31" s="856"/>
      <c r="AL31" s="856"/>
      <c r="AM31" s="856"/>
      <c r="AN31" s="856"/>
      <c r="AO31" s="5820" t="s">
        <v>1041</v>
      </c>
      <c r="AP31" s="5821"/>
      <c r="AQ31" s="856"/>
      <c r="AS31" s="856" t="s">
        <v>116</v>
      </c>
      <c r="AT31" s="856"/>
      <c r="AV31" s="856" t="s">
        <v>116</v>
      </c>
      <c r="AW31" s="856"/>
      <c r="AY31" s="856" t="s">
        <v>116</v>
      </c>
      <c r="AZ31" s="856"/>
      <c r="BB31" s="856" t="s">
        <v>116</v>
      </c>
      <c r="BC31" s="856"/>
      <c r="BE31" s="856" t="s">
        <v>116</v>
      </c>
      <c r="BF31" s="856"/>
      <c r="BH31" s="896" t="s">
        <v>116</v>
      </c>
      <c r="BI31" s="896"/>
      <c r="BK31" s="856" t="s">
        <v>116</v>
      </c>
      <c r="BL31" s="856"/>
      <c r="BN31" s="856" t="s">
        <v>116</v>
      </c>
      <c r="BO31" s="856"/>
      <c r="BQ31" s="856" t="s">
        <v>116</v>
      </c>
      <c r="BR31" s="856"/>
      <c r="BT31" s="856" t="s">
        <v>116</v>
      </c>
      <c r="BU31" s="856"/>
      <c r="BW31" s="856" t="s">
        <v>116</v>
      </c>
      <c r="BX31" s="856"/>
      <c r="BY31"/>
      <c r="BZ31" s="1130" t="s">
        <v>2000</v>
      </c>
      <c r="CA31"/>
      <c r="CB31"/>
      <c r="CC31"/>
      <c r="CD31" s="856" t="s">
        <v>116</v>
      </c>
      <c r="CE31" s="856"/>
      <c r="CG31" s="856" t="s">
        <v>116</v>
      </c>
      <c r="CH31" s="856"/>
      <c r="CJ31" s="856" t="s">
        <v>116</v>
      </c>
      <c r="CK31" s="856"/>
      <c r="CM31" s="856" t="s">
        <v>116</v>
      </c>
      <c r="CN31" s="856"/>
      <c r="CP31" s="856" t="s">
        <v>116</v>
      </c>
      <c r="CQ31" s="856"/>
      <c r="CS31" s="896" t="s">
        <v>116</v>
      </c>
      <c r="CT31" s="896"/>
      <c r="CV31" s="856" t="s">
        <v>116</v>
      </c>
      <c r="CW31" s="856"/>
      <c r="CY31" s="856" t="s">
        <v>116</v>
      </c>
      <c r="CZ31" s="856"/>
      <c r="DB31" s="856" t="s">
        <v>116</v>
      </c>
      <c r="DC31" s="856"/>
      <c r="DE31" s="856" t="s">
        <v>116</v>
      </c>
      <c r="DF31" s="856"/>
      <c r="DH31" s="856" t="s">
        <v>116</v>
      </c>
      <c r="DI31" s="856"/>
      <c r="DK31" s="1130" t="s">
        <v>2000</v>
      </c>
      <c r="DL31"/>
      <c r="DM31" s="3">
        <v>1</v>
      </c>
    </row>
    <row r="32" spans="1:117" s="709" customFormat="1" ht="18" customHeight="1">
      <c r="A32"/>
      <c r="B32" s="5805" t="s">
        <v>1042</v>
      </c>
      <c r="C32" s="5805"/>
      <c r="D32" s="856"/>
      <c r="E32" s="5750" t="s">
        <v>1043</v>
      </c>
      <c r="F32" s="5750"/>
      <c r="G32" s="856"/>
      <c r="H32" s="5752" t="s">
        <v>1044</v>
      </c>
      <c r="I32" s="5752"/>
      <c r="J32" s="856"/>
      <c r="K32" s="5473" t="s">
        <v>1045</v>
      </c>
      <c r="L32" s="5473"/>
      <c r="M32" s="856"/>
      <c r="N32" s="5774" t="s">
        <v>1046</v>
      </c>
      <c r="O32" s="5774"/>
      <c r="P32" s="856"/>
      <c r="Q32" s="5756" t="s">
        <v>1047</v>
      </c>
      <c r="R32" s="5756"/>
      <c r="S32" s="856"/>
      <c r="T32" s="5748" t="s">
        <v>1048</v>
      </c>
      <c r="U32" s="5748"/>
      <c r="V32" s="856"/>
      <c r="W32" s="5746" t="s">
        <v>1049</v>
      </c>
      <c r="X32" s="5746"/>
      <c r="Y32" s="856"/>
      <c r="Z32" s="5758" t="s">
        <v>1050</v>
      </c>
      <c r="AA32" s="5758"/>
      <c r="AB32" s="227"/>
      <c r="AC32" s="5760" t="s">
        <v>1051</v>
      </c>
      <c r="AD32" s="5760"/>
      <c r="AE32" s="227"/>
      <c r="AF32" s="5762" t="s">
        <v>1052</v>
      </c>
      <c r="AG32" s="5762"/>
      <c r="AH32" s="227"/>
      <c r="AI32" s="5812" t="s">
        <v>1053</v>
      </c>
      <c r="AJ32" s="5812"/>
      <c r="AK32" s="856"/>
      <c r="AL32" s="5813" t="s">
        <v>1054</v>
      </c>
      <c r="AM32" s="5813"/>
      <c r="AN32" s="856"/>
      <c r="AO32" s="5814" t="s">
        <v>1055</v>
      </c>
      <c r="AP32" s="5815"/>
      <c r="AQ32" s="856"/>
      <c r="AS32" s="5805" t="s">
        <v>1073</v>
      </c>
      <c r="AT32" s="5805"/>
      <c r="AV32" s="5750" t="s">
        <v>2086</v>
      </c>
      <c r="AW32" s="5750"/>
      <c r="AY32" s="5752" t="s">
        <v>1060</v>
      </c>
      <c r="AZ32" s="5752"/>
      <c r="BB32" s="5473" t="s">
        <v>2087</v>
      </c>
      <c r="BC32" s="5473"/>
      <c r="BE32" s="5774" t="s">
        <v>2088</v>
      </c>
      <c r="BF32" s="5774"/>
      <c r="BH32" s="5756" t="s">
        <v>2089</v>
      </c>
      <c r="BI32" s="5756"/>
      <c r="BK32" s="5748" t="s">
        <v>2090</v>
      </c>
      <c r="BL32" s="5748"/>
      <c r="BN32" s="5746" t="s">
        <v>2091</v>
      </c>
      <c r="BO32" s="5746"/>
      <c r="BQ32" s="5758" t="s">
        <v>2092</v>
      </c>
      <c r="BR32" s="5758"/>
      <c r="BT32" s="5760" t="s">
        <v>2093</v>
      </c>
      <c r="BU32" s="5760"/>
      <c r="BW32" s="5762" t="s">
        <v>2094</v>
      </c>
      <c r="BX32" s="5762"/>
      <c r="BY32"/>
      <c r="BZ32" s="1131" t="s">
        <v>2095</v>
      </c>
      <c r="CA32"/>
      <c r="CB32"/>
      <c r="CC32"/>
      <c r="CD32" s="5805" t="s">
        <v>2096</v>
      </c>
      <c r="CE32" s="5805"/>
      <c r="CG32" s="5750" t="s">
        <v>2097</v>
      </c>
      <c r="CH32" s="5750"/>
      <c r="CJ32" s="5752" t="s">
        <v>2098</v>
      </c>
      <c r="CK32" s="5752"/>
      <c r="CM32" s="5473" t="s">
        <v>2099</v>
      </c>
      <c r="CN32" s="5473"/>
      <c r="CP32" s="5774" t="s">
        <v>2100</v>
      </c>
      <c r="CQ32" s="5774"/>
      <c r="CS32" s="5756" t="s">
        <v>2101</v>
      </c>
      <c r="CT32" s="5756"/>
      <c r="CV32" s="5748" t="s">
        <v>2102</v>
      </c>
      <c r="CW32" s="5748"/>
      <c r="CY32" s="5746" t="s">
        <v>2103</v>
      </c>
      <c r="CZ32" s="5746"/>
      <c r="DB32" s="5758" t="s">
        <v>2104</v>
      </c>
      <c r="DC32" s="5758"/>
      <c r="DE32" s="5760" t="s">
        <v>2105</v>
      </c>
      <c r="DF32" s="5760"/>
      <c r="DH32" s="5762" t="s">
        <v>2106</v>
      </c>
      <c r="DI32" s="5762"/>
      <c r="DK32" s="1131" t="s">
        <v>2095</v>
      </c>
      <c r="DL32"/>
      <c r="DM32" s="3">
        <v>1</v>
      </c>
    </row>
    <row r="33" spans="1:117" s="709" customFormat="1" ht="18" customHeight="1">
      <c r="A33"/>
      <c r="B33" s="5806"/>
      <c r="C33" s="5806"/>
      <c r="D33" s="856"/>
      <c r="E33" s="5751"/>
      <c r="F33" s="5751"/>
      <c r="G33" s="856"/>
      <c r="H33" s="5753"/>
      <c r="I33" s="5753"/>
      <c r="J33" s="856"/>
      <c r="K33" s="5474"/>
      <c r="L33" s="5474"/>
      <c r="M33" s="856"/>
      <c r="N33" s="5775"/>
      <c r="O33" s="5775"/>
      <c r="P33" s="856"/>
      <c r="Q33" s="5757"/>
      <c r="R33" s="5757"/>
      <c r="S33" s="856"/>
      <c r="T33" s="5749"/>
      <c r="U33" s="5749"/>
      <c r="V33" s="856"/>
      <c r="W33" s="5747"/>
      <c r="X33" s="5747"/>
      <c r="Y33" s="856"/>
      <c r="Z33" s="5759"/>
      <c r="AA33" s="5759"/>
      <c r="AB33" s="227"/>
      <c r="AC33" s="5761"/>
      <c r="AD33" s="5761"/>
      <c r="AE33" s="227"/>
      <c r="AF33" s="5763"/>
      <c r="AG33" s="5763"/>
      <c r="AH33" s="227"/>
      <c r="AI33" s="5812"/>
      <c r="AJ33" s="5812"/>
      <c r="AK33" s="856"/>
      <c r="AL33" s="5813"/>
      <c r="AM33" s="5813"/>
      <c r="AN33" s="856"/>
      <c r="AO33" s="899" t="s">
        <v>1056</v>
      </c>
      <c r="AP33" s="900"/>
      <c r="AQ33" s="856"/>
      <c r="AS33" s="5806" t="s">
        <v>116</v>
      </c>
      <c r="AT33" s="5806"/>
      <c r="AV33" s="5751" t="s">
        <v>116</v>
      </c>
      <c r="AW33" s="5751"/>
      <c r="AY33" s="5753" t="s">
        <v>116</v>
      </c>
      <c r="AZ33" s="5753"/>
      <c r="BB33" s="5474" t="s">
        <v>116</v>
      </c>
      <c r="BC33" s="5474"/>
      <c r="BE33" s="5775" t="s">
        <v>116</v>
      </c>
      <c r="BF33" s="5775"/>
      <c r="BH33" s="5757" t="s">
        <v>116</v>
      </c>
      <c r="BI33" s="5757"/>
      <c r="BK33" s="5749" t="s">
        <v>116</v>
      </c>
      <c r="BL33" s="5749"/>
      <c r="BN33" s="5747" t="s">
        <v>116</v>
      </c>
      <c r="BO33" s="5747"/>
      <c r="BQ33" s="5759" t="s">
        <v>116</v>
      </c>
      <c r="BR33" s="5759"/>
      <c r="BT33" s="5761" t="s">
        <v>116</v>
      </c>
      <c r="BU33" s="5761"/>
      <c r="BW33" s="5763" t="s">
        <v>116</v>
      </c>
      <c r="BX33" s="5763"/>
      <c r="BY33"/>
      <c r="BZ33" s="1132" t="s">
        <v>2107</v>
      </c>
      <c r="CA33"/>
      <c r="CB33"/>
      <c r="CC33"/>
      <c r="CD33" s="5806" t="s">
        <v>116</v>
      </c>
      <c r="CE33" s="5806"/>
      <c r="CG33" s="5751" t="s">
        <v>116</v>
      </c>
      <c r="CH33" s="5751"/>
      <c r="CJ33" s="5753" t="s">
        <v>116</v>
      </c>
      <c r="CK33" s="5753"/>
      <c r="CM33" s="5474" t="s">
        <v>116</v>
      </c>
      <c r="CN33" s="5474"/>
      <c r="CP33" s="5775" t="s">
        <v>116</v>
      </c>
      <c r="CQ33" s="5775"/>
      <c r="CS33" s="5757" t="s">
        <v>116</v>
      </c>
      <c r="CT33" s="5757"/>
      <c r="CV33" s="5749" t="s">
        <v>116</v>
      </c>
      <c r="CW33" s="5749"/>
      <c r="CY33" s="5747" t="s">
        <v>116</v>
      </c>
      <c r="CZ33" s="5747"/>
      <c r="DB33" s="5759" t="s">
        <v>116</v>
      </c>
      <c r="DC33" s="5759"/>
      <c r="DE33" s="5761" t="s">
        <v>116</v>
      </c>
      <c r="DF33" s="5761"/>
      <c r="DH33" s="5763" t="s">
        <v>116</v>
      </c>
      <c r="DI33" s="5763"/>
      <c r="DK33" s="1132" t="s">
        <v>2107</v>
      </c>
      <c r="DL33"/>
      <c r="DM33" s="3">
        <v>1</v>
      </c>
    </row>
    <row r="34" spans="1:117" s="709" customFormat="1" ht="18" customHeight="1" thickBot="1">
      <c r="A34"/>
      <c r="B34" s="856"/>
      <c r="C34" s="856"/>
      <c r="D34" s="856"/>
      <c r="E34" s="856"/>
      <c r="F34" s="856"/>
      <c r="G34" s="856"/>
      <c r="H34" s="856"/>
      <c r="I34" s="856"/>
      <c r="J34" s="856"/>
      <c r="K34" s="856"/>
      <c r="L34" s="856"/>
      <c r="M34" s="856"/>
      <c r="N34" s="856"/>
      <c r="O34" s="856"/>
      <c r="P34" s="856"/>
      <c r="Q34" s="896"/>
      <c r="R34" s="896"/>
      <c r="S34" s="856"/>
      <c r="T34" s="856"/>
      <c r="U34" s="856"/>
      <c r="V34" s="856"/>
      <c r="W34" s="856"/>
      <c r="X34" s="856"/>
      <c r="Y34" s="856"/>
      <c r="Z34" s="856"/>
      <c r="AA34" s="856"/>
      <c r="AB34" s="227"/>
      <c r="AC34" s="856"/>
      <c r="AD34" s="856"/>
      <c r="AE34" s="227"/>
      <c r="AF34" s="856"/>
      <c r="AG34" s="856"/>
      <c r="AH34" s="227"/>
      <c r="AI34" s="856"/>
      <c r="AJ34" s="856"/>
      <c r="AK34" s="856"/>
      <c r="AL34" s="856"/>
      <c r="AM34" s="856"/>
      <c r="AN34" s="856"/>
      <c r="AO34" s="5793" t="s">
        <v>1057</v>
      </c>
      <c r="AP34" s="5794"/>
      <c r="AQ34" s="856"/>
      <c r="AS34" s="856" t="s">
        <v>116</v>
      </c>
      <c r="AT34" s="856"/>
      <c r="AV34" s="856" t="s">
        <v>116</v>
      </c>
      <c r="AW34" s="856"/>
      <c r="AY34" s="856" t="s">
        <v>116</v>
      </c>
      <c r="AZ34" s="856"/>
      <c r="BB34" s="856" t="s">
        <v>116</v>
      </c>
      <c r="BC34" s="856"/>
      <c r="BE34" s="856" t="s">
        <v>116</v>
      </c>
      <c r="BF34" s="856"/>
      <c r="BH34" s="896" t="s">
        <v>116</v>
      </c>
      <c r="BI34" s="896"/>
      <c r="BK34" s="856" t="s">
        <v>116</v>
      </c>
      <c r="BL34" s="856"/>
      <c r="BN34" s="856" t="s">
        <v>116</v>
      </c>
      <c r="BO34" s="856"/>
      <c r="BQ34" s="856" t="s">
        <v>116</v>
      </c>
      <c r="BR34" s="856"/>
      <c r="BT34" s="856" t="s">
        <v>116</v>
      </c>
      <c r="BU34" s="856"/>
      <c r="BW34" s="856" t="s">
        <v>116</v>
      </c>
      <c r="BX34" s="856"/>
      <c r="BY34"/>
      <c r="BZ34" s="1133" t="s">
        <v>2108</v>
      </c>
      <c r="CA34"/>
      <c r="CB34"/>
      <c r="CC34"/>
      <c r="CD34" s="856" t="s">
        <v>116</v>
      </c>
      <c r="CE34" s="856"/>
      <c r="CG34" s="856" t="s">
        <v>116</v>
      </c>
      <c r="CH34" s="856"/>
      <c r="CJ34" s="856" t="s">
        <v>116</v>
      </c>
      <c r="CK34" s="856"/>
      <c r="CM34" s="856" t="s">
        <v>116</v>
      </c>
      <c r="CN34" s="856"/>
      <c r="CP34" s="856" t="s">
        <v>116</v>
      </c>
      <c r="CQ34" s="856"/>
      <c r="CS34" s="896" t="s">
        <v>116</v>
      </c>
      <c r="CT34" s="896"/>
      <c r="CV34" s="856" t="s">
        <v>116</v>
      </c>
      <c r="CW34" s="856"/>
      <c r="CY34" s="856" t="s">
        <v>116</v>
      </c>
      <c r="CZ34" s="856"/>
      <c r="DB34" s="856" t="s">
        <v>116</v>
      </c>
      <c r="DC34" s="856"/>
      <c r="DE34" s="856" t="s">
        <v>116</v>
      </c>
      <c r="DF34" s="856"/>
      <c r="DH34" s="856" t="s">
        <v>116</v>
      </c>
      <c r="DI34" s="856"/>
      <c r="DK34" s="1133" t="s">
        <v>2108</v>
      </c>
      <c r="DL34"/>
      <c r="DM34" s="3">
        <v>1</v>
      </c>
    </row>
    <row r="35" spans="1:117" s="709" customFormat="1" ht="18" customHeight="1">
      <c r="A35"/>
      <c r="B35" s="5803" t="s">
        <v>1058</v>
      </c>
      <c r="C35" s="5803"/>
      <c r="D35" s="856"/>
      <c r="E35" s="5750" t="s">
        <v>1059</v>
      </c>
      <c r="F35" s="5750"/>
      <c r="G35" s="856"/>
      <c r="H35" s="5752" t="s">
        <v>1060</v>
      </c>
      <c r="I35" s="5752"/>
      <c r="J35" s="856"/>
      <c r="K35" s="5473" t="s">
        <v>1061</v>
      </c>
      <c r="L35" s="5473"/>
      <c r="M35" s="856"/>
      <c r="N35" s="5774" t="s">
        <v>1062</v>
      </c>
      <c r="O35" s="5774"/>
      <c r="P35" s="856"/>
      <c r="Q35" s="5756" t="s">
        <v>1063</v>
      </c>
      <c r="R35" s="5756"/>
      <c r="S35" s="856"/>
      <c r="T35" s="5748" t="s">
        <v>1064</v>
      </c>
      <c r="U35" s="5748"/>
      <c r="V35" s="856"/>
      <c r="W35" s="5746" t="s">
        <v>983</v>
      </c>
      <c r="X35" s="5746"/>
      <c r="Y35" s="856"/>
      <c r="Z35" s="5758" t="s">
        <v>1065</v>
      </c>
      <c r="AA35" s="5758"/>
      <c r="AB35" s="227"/>
      <c r="AC35" s="5760" t="s">
        <v>1066</v>
      </c>
      <c r="AD35" s="5760"/>
      <c r="AE35" s="227"/>
      <c r="AF35" s="5762" t="s">
        <v>1067</v>
      </c>
      <c r="AG35" s="5762"/>
      <c r="AH35" s="227"/>
      <c r="AI35" s="5807" t="s">
        <v>1068</v>
      </c>
      <c r="AJ35" s="5757"/>
      <c r="AK35" s="856"/>
      <c r="AL35" s="5808" t="s">
        <v>1069</v>
      </c>
      <c r="AM35" s="5808"/>
      <c r="AN35" s="856"/>
      <c r="AO35" s="899" t="s">
        <v>1070</v>
      </c>
      <c r="AP35" s="900"/>
      <c r="AQ35" s="856"/>
      <c r="AS35" s="5803" t="s">
        <v>2109</v>
      </c>
      <c r="AT35" s="5803"/>
      <c r="AV35" s="5750" t="s">
        <v>2110</v>
      </c>
      <c r="AW35" s="5750"/>
      <c r="AY35" s="5752" t="s">
        <v>2111</v>
      </c>
      <c r="AZ35" s="5752"/>
      <c r="BB35" s="5473" t="s">
        <v>2112</v>
      </c>
      <c r="BC35" s="5473"/>
      <c r="BE35" s="5774" t="s">
        <v>2113</v>
      </c>
      <c r="BF35" s="5774"/>
      <c r="BH35" s="5756" t="s">
        <v>2114</v>
      </c>
      <c r="BI35" s="5756"/>
      <c r="BK35" s="5748" t="s">
        <v>2115</v>
      </c>
      <c r="BL35" s="5748"/>
      <c r="BN35" s="5746" t="s">
        <v>2116</v>
      </c>
      <c r="BO35" s="5746"/>
      <c r="BQ35" s="5758" t="s">
        <v>2117</v>
      </c>
      <c r="BR35" s="5758"/>
      <c r="BT35" s="5760" t="s">
        <v>2118</v>
      </c>
      <c r="BU35" s="5760"/>
      <c r="BW35" s="5762" t="s">
        <v>2119</v>
      </c>
      <c r="BX35" s="5762"/>
      <c r="BY35"/>
      <c r="BZ35" s="1134" t="s">
        <v>2120</v>
      </c>
      <c r="CA35"/>
      <c r="CB35"/>
      <c r="CC35"/>
      <c r="CD35" s="5803" t="s">
        <v>2121</v>
      </c>
      <c r="CE35" s="5803"/>
      <c r="CG35" s="5750" t="s">
        <v>2122</v>
      </c>
      <c r="CH35" s="5750"/>
      <c r="CJ35" s="5752" t="s">
        <v>2123</v>
      </c>
      <c r="CK35" s="5752"/>
      <c r="CM35" s="5473" t="s">
        <v>2124</v>
      </c>
      <c r="CN35" s="5473"/>
      <c r="CP35" s="5770" t="s">
        <v>2125</v>
      </c>
      <c r="CQ35" s="5770"/>
      <c r="CS35" s="5756" t="s">
        <v>2126</v>
      </c>
      <c r="CT35" s="5756"/>
      <c r="CV35" s="5748" t="s">
        <v>2127</v>
      </c>
      <c r="CW35" s="5748"/>
      <c r="CY35" s="5746" t="s">
        <v>2128</v>
      </c>
      <c r="CZ35" s="5746"/>
      <c r="DB35" s="5758" t="s">
        <v>2129</v>
      </c>
      <c r="DC35" s="5758"/>
      <c r="DE35" s="5760" t="s">
        <v>2130</v>
      </c>
      <c r="DF35" s="5760"/>
      <c r="DH35" s="5762" t="s">
        <v>2131</v>
      </c>
      <c r="DI35" s="5762"/>
      <c r="DK35" s="1134" t="s">
        <v>2120</v>
      </c>
      <c r="DL35"/>
      <c r="DM35" s="3">
        <v>1</v>
      </c>
    </row>
    <row r="36" spans="1:117" s="709" customFormat="1" ht="18" customHeight="1">
      <c r="A36"/>
      <c r="B36" s="5804"/>
      <c r="C36" s="5804"/>
      <c r="D36" s="856"/>
      <c r="E36" s="5751"/>
      <c r="F36" s="5751"/>
      <c r="G36" s="856"/>
      <c r="H36" s="5753"/>
      <c r="I36" s="5753"/>
      <c r="J36" s="856"/>
      <c r="K36" s="5474"/>
      <c r="L36" s="5474"/>
      <c r="M36" s="856"/>
      <c r="N36" s="5775"/>
      <c r="O36" s="5775"/>
      <c r="P36" s="856"/>
      <c r="Q36" s="5757"/>
      <c r="R36" s="5757"/>
      <c r="S36" s="856"/>
      <c r="T36" s="5749"/>
      <c r="U36" s="5749"/>
      <c r="V36" s="856"/>
      <c r="W36" s="5747"/>
      <c r="X36" s="5747"/>
      <c r="Y36" s="856"/>
      <c r="Z36" s="5759"/>
      <c r="AA36" s="5759"/>
      <c r="AB36" s="227"/>
      <c r="AC36" s="5761"/>
      <c r="AD36" s="5761"/>
      <c r="AE36" s="227"/>
      <c r="AF36" s="5763"/>
      <c r="AG36" s="5763"/>
      <c r="AH36" s="227"/>
      <c r="AI36" s="5757"/>
      <c r="AJ36" s="5757"/>
      <c r="AK36" s="856"/>
      <c r="AL36" s="5808"/>
      <c r="AM36" s="5808"/>
      <c r="AN36" s="856"/>
      <c r="AO36" s="5793" t="s">
        <v>1071</v>
      </c>
      <c r="AP36" s="5794"/>
      <c r="AQ36" s="856"/>
      <c r="AS36" s="5804" t="s">
        <v>116</v>
      </c>
      <c r="AT36" s="5804"/>
      <c r="AV36" s="5751" t="s">
        <v>116</v>
      </c>
      <c r="AW36" s="5751"/>
      <c r="AY36" s="5753" t="s">
        <v>116</v>
      </c>
      <c r="AZ36" s="5753"/>
      <c r="BB36" s="5474" t="s">
        <v>116</v>
      </c>
      <c r="BC36" s="5474"/>
      <c r="BE36" s="5775" t="s">
        <v>116</v>
      </c>
      <c r="BF36" s="5775"/>
      <c r="BH36" s="5757" t="s">
        <v>116</v>
      </c>
      <c r="BI36" s="5757"/>
      <c r="BK36" s="5749" t="s">
        <v>116</v>
      </c>
      <c r="BL36" s="5749"/>
      <c r="BN36" s="5747" t="s">
        <v>116</v>
      </c>
      <c r="BO36" s="5747"/>
      <c r="BQ36" s="5759" t="s">
        <v>116</v>
      </c>
      <c r="BR36" s="5759"/>
      <c r="BT36" s="5761" t="s">
        <v>116</v>
      </c>
      <c r="BU36" s="5761"/>
      <c r="BW36" s="5763" t="s">
        <v>116</v>
      </c>
      <c r="BX36" s="5763"/>
      <c r="BY36"/>
      <c r="BZ36" s="1135" t="s">
        <v>2132</v>
      </c>
      <c r="CA36"/>
      <c r="CB36"/>
      <c r="CC36"/>
      <c r="CD36" s="5804" t="s">
        <v>116</v>
      </c>
      <c r="CE36" s="5804"/>
      <c r="CG36" s="5751" t="s">
        <v>116</v>
      </c>
      <c r="CH36" s="5751"/>
      <c r="CJ36" s="5753" t="s">
        <v>116</v>
      </c>
      <c r="CK36" s="5753"/>
      <c r="CM36" s="5474" t="s">
        <v>116</v>
      </c>
      <c r="CN36" s="5474"/>
      <c r="CP36" s="5771" t="s">
        <v>116</v>
      </c>
      <c r="CQ36" s="5771"/>
      <c r="CS36" s="5757" t="s">
        <v>116</v>
      </c>
      <c r="CT36" s="5757"/>
      <c r="CV36" s="5749" t="s">
        <v>116</v>
      </c>
      <c r="CW36" s="5749"/>
      <c r="CY36" s="5747" t="s">
        <v>116</v>
      </c>
      <c r="CZ36" s="5747"/>
      <c r="DB36" s="5759" t="s">
        <v>116</v>
      </c>
      <c r="DC36" s="5759"/>
      <c r="DE36" s="5761" t="s">
        <v>116</v>
      </c>
      <c r="DF36" s="5761"/>
      <c r="DH36" s="5763" t="s">
        <v>116</v>
      </c>
      <c r="DI36" s="5763"/>
      <c r="DK36" s="1135" t="s">
        <v>2132</v>
      </c>
      <c r="DL36"/>
      <c r="DM36" s="3">
        <v>1</v>
      </c>
    </row>
    <row r="37" spans="1:117" s="709" customFormat="1" ht="18" customHeight="1" thickBot="1">
      <c r="A37"/>
      <c r="B37" s="856"/>
      <c r="C37" s="856"/>
      <c r="D37" s="856"/>
      <c r="E37" s="856"/>
      <c r="F37" s="856"/>
      <c r="G37" s="856"/>
      <c r="H37" s="856"/>
      <c r="I37" s="856"/>
      <c r="J37" s="856"/>
      <c r="K37" s="856"/>
      <c r="L37" s="856"/>
      <c r="M37" s="856"/>
      <c r="N37" s="856"/>
      <c r="O37" s="856"/>
      <c r="P37" s="856"/>
      <c r="Q37" s="896"/>
      <c r="R37" s="896"/>
      <c r="S37" s="856"/>
      <c r="T37" s="856"/>
      <c r="U37" s="856"/>
      <c r="V37" s="856"/>
      <c r="W37" s="856"/>
      <c r="X37" s="856"/>
      <c r="Y37" s="856"/>
      <c r="Z37" s="856"/>
      <c r="AA37" s="856"/>
      <c r="AB37" s="227"/>
      <c r="AC37" s="856"/>
      <c r="AD37" s="856"/>
      <c r="AE37" s="227"/>
      <c r="AF37" s="856"/>
      <c r="AG37" s="856"/>
      <c r="AH37" s="227"/>
      <c r="AI37" s="856"/>
      <c r="AJ37" s="856"/>
      <c r="AK37" s="856"/>
      <c r="AL37" s="856"/>
      <c r="AM37" s="856"/>
      <c r="AN37" s="856"/>
      <c r="AO37" s="899" t="s">
        <v>1072</v>
      </c>
      <c r="AP37" s="900"/>
      <c r="AQ37" s="856"/>
      <c r="AS37" s="856" t="s">
        <v>116</v>
      </c>
      <c r="AT37" s="856"/>
      <c r="AV37" s="856" t="s">
        <v>116</v>
      </c>
      <c r="AW37" s="856"/>
      <c r="AY37" s="856" t="s">
        <v>116</v>
      </c>
      <c r="AZ37" s="856"/>
      <c r="BB37" s="856" t="s">
        <v>116</v>
      </c>
      <c r="BC37" s="856"/>
      <c r="BE37" s="856" t="s">
        <v>116</v>
      </c>
      <c r="BF37" s="856"/>
      <c r="BH37" s="896" t="s">
        <v>116</v>
      </c>
      <c r="BI37" s="896"/>
      <c r="BK37" s="856" t="s">
        <v>116</v>
      </c>
      <c r="BL37" s="856"/>
      <c r="BN37" s="856" t="s">
        <v>116</v>
      </c>
      <c r="BO37" s="856"/>
      <c r="BQ37" s="856" t="s">
        <v>116</v>
      </c>
      <c r="BR37" s="856"/>
      <c r="BT37" s="856" t="s">
        <v>116</v>
      </c>
      <c r="BU37" s="856"/>
      <c r="BW37" s="856" t="s">
        <v>116</v>
      </c>
      <c r="BX37" s="856"/>
      <c r="BY37"/>
      <c r="BZ37" s="1136" t="s">
        <v>2133</v>
      </c>
      <c r="CA37"/>
      <c r="CB37"/>
      <c r="CC37"/>
      <c r="CD37" s="856" t="s">
        <v>116</v>
      </c>
      <c r="CE37" s="856"/>
      <c r="CG37" s="856" t="s">
        <v>116</v>
      </c>
      <c r="CH37" s="856"/>
      <c r="CJ37" s="856" t="s">
        <v>116</v>
      </c>
      <c r="CK37" s="856"/>
      <c r="CM37" s="856" t="s">
        <v>116</v>
      </c>
      <c r="CN37" s="856"/>
      <c r="CP37" s="856" t="s">
        <v>116</v>
      </c>
      <c r="CQ37" s="856"/>
      <c r="CS37" s="896" t="s">
        <v>116</v>
      </c>
      <c r="CT37" s="896"/>
      <c r="CV37" s="856" t="s">
        <v>116</v>
      </c>
      <c r="CW37" s="856"/>
      <c r="CY37" s="856" t="s">
        <v>116</v>
      </c>
      <c r="CZ37" s="856"/>
      <c r="DB37" s="856" t="s">
        <v>116</v>
      </c>
      <c r="DC37" s="856"/>
      <c r="DE37" s="856" t="s">
        <v>116</v>
      </c>
      <c r="DF37" s="856"/>
      <c r="DH37" s="856" t="s">
        <v>116</v>
      </c>
      <c r="DI37" s="856"/>
      <c r="DK37" s="1136" t="s">
        <v>2133</v>
      </c>
      <c r="DL37"/>
      <c r="DM37" s="3">
        <v>1</v>
      </c>
    </row>
    <row r="38" spans="1:117" s="709" customFormat="1" ht="18" customHeight="1">
      <c r="B38" s="5800" t="s">
        <v>1073</v>
      </c>
      <c r="C38" s="5800"/>
      <c r="D38" s="856"/>
      <c r="E38" s="5750" t="s">
        <v>25</v>
      </c>
      <c r="F38" s="5750"/>
      <c r="G38" s="856"/>
      <c r="H38" s="5752" t="s">
        <v>1074</v>
      </c>
      <c r="I38" s="5752"/>
      <c r="J38" s="856"/>
      <c r="K38" s="5473" t="s">
        <v>1075</v>
      </c>
      <c r="L38" s="5473"/>
      <c r="M38" s="856"/>
      <c r="N38" s="5774" t="s">
        <v>1076</v>
      </c>
      <c r="O38" s="5774"/>
      <c r="P38" s="856"/>
      <c r="Q38" s="5756" t="s">
        <v>1077</v>
      </c>
      <c r="R38" s="5756"/>
      <c r="S38" s="856"/>
      <c r="T38" s="5748" t="s">
        <v>1078</v>
      </c>
      <c r="U38" s="5748"/>
      <c r="V38" s="856"/>
      <c r="W38" s="5746" t="s">
        <v>1079</v>
      </c>
      <c r="X38" s="5746"/>
      <c r="Y38" s="856"/>
      <c r="Z38" s="5758" t="s">
        <v>1080</v>
      </c>
      <c r="AA38" s="5758"/>
      <c r="AB38" s="227"/>
      <c r="AC38" s="5760" t="s">
        <v>1081</v>
      </c>
      <c r="AD38" s="5760"/>
      <c r="AE38" s="227"/>
      <c r="AF38" s="5762" t="s">
        <v>1082</v>
      </c>
      <c r="AG38" s="5762"/>
      <c r="AH38" s="227"/>
      <c r="AI38" s="5783" t="s">
        <v>1083</v>
      </c>
      <c r="AJ38" s="5783"/>
      <c r="AK38" s="856"/>
      <c r="AL38" s="5802" t="s">
        <v>1025</v>
      </c>
      <c r="AM38" s="5802"/>
      <c r="AN38" s="856"/>
      <c r="AO38" s="899" t="s">
        <v>1084</v>
      </c>
      <c r="AP38" s="900"/>
      <c r="AQ38" s="856"/>
      <c r="AS38" s="5800" t="s">
        <v>2134</v>
      </c>
      <c r="AT38" s="5800"/>
      <c r="AV38" s="5750" t="s">
        <v>2135</v>
      </c>
      <c r="AW38" s="5750"/>
      <c r="AY38" s="5752" t="s">
        <v>2136</v>
      </c>
      <c r="AZ38" s="5752"/>
      <c r="BB38" s="5473" t="s">
        <v>2137</v>
      </c>
      <c r="BC38" s="5473"/>
      <c r="BE38" s="5774" t="s">
        <v>2138</v>
      </c>
      <c r="BF38" s="5774"/>
      <c r="BH38" s="5756" t="s">
        <v>2139</v>
      </c>
      <c r="BI38" s="5756"/>
      <c r="BK38" s="5748" t="s">
        <v>2140</v>
      </c>
      <c r="BL38" s="5748"/>
      <c r="BN38" s="5746" t="s">
        <v>2141</v>
      </c>
      <c r="BO38" s="5746"/>
      <c r="BQ38" s="5758" t="s">
        <v>2142</v>
      </c>
      <c r="BR38" s="5758"/>
      <c r="BT38" s="5760" t="s">
        <v>2143</v>
      </c>
      <c r="BU38" s="5760"/>
      <c r="BW38" s="5762" t="s">
        <v>2144</v>
      </c>
      <c r="BX38" s="5762"/>
      <c r="BY38"/>
      <c r="BZ38" s="1137" t="s">
        <v>2145</v>
      </c>
      <c r="CA38"/>
      <c r="CB38"/>
      <c r="CC38"/>
      <c r="CD38" s="5800" t="s">
        <v>2134</v>
      </c>
      <c r="CE38" s="5800"/>
      <c r="CG38" s="5496" t="s">
        <v>2146</v>
      </c>
      <c r="CH38" s="5496"/>
      <c r="CJ38" s="5752" t="s">
        <v>2147</v>
      </c>
      <c r="CK38" s="5752"/>
      <c r="CM38" s="5473" t="s">
        <v>2148</v>
      </c>
      <c r="CN38" s="5473"/>
      <c r="CP38" s="5770" t="s">
        <v>2149</v>
      </c>
      <c r="CQ38" s="5770"/>
      <c r="CS38" s="5756" t="s">
        <v>2150</v>
      </c>
      <c r="CT38" s="5756"/>
      <c r="CV38" s="5748" t="s">
        <v>2151</v>
      </c>
      <c r="CW38" s="5748"/>
      <c r="CY38" s="5746" t="s">
        <v>2152</v>
      </c>
      <c r="CZ38" s="5746"/>
      <c r="DB38" s="5758" t="s">
        <v>2153</v>
      </c>
      <c r="DC38" s="5758"/>
      <c r="DE38" s="5760" t="s">
        <v>2154</v>
      </c>
      <c r="DF38" s="5760"/>
      <c r="DH38" s="5762" t="s">
        <v>2155</v>
      </c>
      <c r="DI38" s="5762"/>
      <c r="DK38" s="1137" t="s">
        <v>2145</v>
      </c>
      <c r="DL38"/>
      <c r="DM38" s="3">
        <v>1</v>
      </c>
    </row>
    <row r="39" spans="1:117" s="709" customFormat="1" ht="18" customHeight="1">
      <c r="B39" s="5801"/>
      <c r="C39" s="5801"/>
      <c r="D39" s="856"/>
      <c r="E39" s="5751"/>
      <c r="F39" s="5751"/>
      <c r="G39" s="856"/>
      <c r="H39" s="5753"/>
      <c r="I39" s="5753"/>
      <c r="J39" s="856"/>
      <c r="K39" s="5474"/>
      <c r="L39" s="5474"/>
      <c r="M39" s="856"/>
      <c r="N39" s="5775"/>
      <c r="O39" s="5775"/>
      <c r="P39" s="856"/>
      <c r="Q39" s="5757"/>
      <c r="R39" s="5757"/>
      <c r="S39" s="856"/>
      <c r="T39" s="5749"/>
      <c r="U39" s="5749"/>
      <c r="V39" s="856"/>
      <c r="W39" s="5747"/>
      <c r="X39" s="5747"/>
      <c r="Y39" s="856"/>
      <c r="Z39" s="5759"/>
      <c r="AA39" s="5759"/>
      <c r="AB39" s="227"/>
      <c r="AC39" s="5761"/>
      <c r="AD39" s="5761"/>
      <c r="AE39" s="227"/>
      <c r="AF39" s="5763"/>
      <c r="AG39" s="5763"/>
      <c r="AH39" s="227"/>
      <c r="AI39" s="5783"/>
      <c r="AJ39" s="5783"/>
      <c r="AK39" s="856"/>
      <c r="AL39" s="5802"/>
      <c r="AM39" s="5802"/>
      <c r="AN39" s="856"/>
      <c r="AO39" s="5793" t="s">
        <v>1085</v>
      </c>
      <c r="AP39" s="5794"/>
      <c r="AQ39" s="856"/>
      <c r="AS39" s="5801" t="s">
        <v>116</v>
      </c>
      <c r="AT39" s="5801"/>
      <c r="AV39" s="5751" t="s">
        <v>116</v>
      </c>
      <c r="AW39" s="5751"/>
      <c r="AY39" s="5753" t="s">
        <v>116</v>
      </c>
      <c r="AZ39" s="5753"/>
      <c r="BB39" s="5474" t="s">
        <v>116</v>
      </c>
      <c r="BC39" s="5474"/>
      <c r="BE39" s="5775" t="s">
        <v>116</v>
      </c>
      <c r="BF39" s="5775"/>
      <c r="BH39" s="5757" t="s">
        <v>116</v>
      </c>
      <c r="BI39" s="5757"/>
      <c r="BK39" s="5749" t="s">
        <v>116</v>
      </c>
      <c r="BL39" s="5749"/>
      <c r="BN39" s="5747" t="s">
        <v>116</v>
      </c>
      <c r="BO39" s="5747"/>
      <c r="BQ39" s="5759" t="s">
        <v>116</v>
      </c>
      <c r="BR39" s="5759"/>
      <c r="BT39" s="5761" t="s">
        <v>116</v>
      </c>
      <c r="BU39" s="5761"/>
      <c r="BW39" s="5763" t="s">
        <v>116</v>
      </c>
      <c r="BX39" s="5763"/>
      <c r="BY39"/>
      <c r="BZ39" s="1138" t="s">
        <v>2156</v>
      </c>
      <c r="CA39"/>
      <c r="CB39"/>
      <c r="CC39"/>
      <c r="CD39" s="5801" t="s">
        <v>116</v>
      </c>
      <c r="CE39" s="5801"/>
      <c r="CG39" s="5497" t="s">
        <v>116</v>
      </c>
      <c r="CH39" s="5497"/>
      <c r="CJ39" s="5753" t="s">
        <v>116</v>
      </c>
      <c r="CK39" s="5753"/>
      <c r="CM39" s="5474" t="s">
        <v>116</v>
      </c>
      <c r="CN39" s="5474"/>
      <c r="CP39" s="5771" t="s">
        <v>116</v>
      </c>
      <c r="CQ39" s="5771"/>
      <c r="CS39" s="5757" t="s">
        <v>116</v>
      </c>
      <c r="CT39" s="5757"/>
      <c r="CV39" s="5749" t="s">
        <v>116</v>
      </c>
      <c r="CW39" s="5749"/>
      <c r="CY39" s="5747" t="s">
        <v>116</v>
      </c>
      <c r="CZ39" s="5747"/>
      <c r="DB39" s="5759" t="s">
        <v>116</v>
      </c>
      <c r="DC39" s="5759"/>
      <c r="DE39" s="5761" t="s">
        <v>116</v>
      </c>
      <c r="DF39" s="5761"/>
      <c r="DH39" s="5763" t="s">
        <v>116</v>
      </c>
      <c r="DI39" s="5763"/>
      <c r="DK39" s="1138" t="s">
        <v>2156</v>
      </c>
      <c r="DL39"/>
      <c r="DM39" s="3">
        <v>1</v>
      </c>
    </row>
    <row r="40" spans="1:117" s="709" customFormat="1" ht="18" customHeight="1" thickBot="1">
      <c r="B40" s="856"/>
      <c r="C40" s="856"/>
      <c r="D40" s="856"/>
      <c r="E40" s="856"/>
      <c r="F40" s="856"/>
      <c r="G40" s="856"/>
      <c r="H40" s="856"/>
      <c r="I40" s="856"/>
      <c r="J40" s="856"/>
      <c r="K40" s="856"/>
      <c r="L40" s="856"/>
      <c r="M40" s="856"/>
      <c r="N40" s="856"/>
      <c r="O40" s="856"/>
      <c r="P40" s="856"/>
      <c r="Q40" s="896"/>
      <c r="R40" s="896"/>
      <c r="S40" s="856"/>
      <c r="T40" s="856"/>
      <c r="U40" s="856"/>
      <c r="V40" s="856"/>
      <c r="W40" s="856"/>
      <c r="X40" s="856"/>
      <c r="Y40" s="856"/>
      <c r="Z40" s="856"/>
      <c r="AA40" s="856"/>
      <c r="AB40" s="227"/>
      <c r="AC40" s="856"/>
      <c r="AD40" s="856"/>
      <c r="AE40" s="227"/>
      <c r="AF40" s="856"/>
      <c r="AG40" s="856"/>
      <c r="AH40" s="227"/>
      <c r="AI40" s="856"/>
      <c r="AJ40" s="856"/>
      <c r="AK40" s="856"/>
      <c r="AL40" s="856"/>
      <c r="AM40" s="856"/>
      <c r="AN40" s="856"/>
      <c r="AO40" s="899" t="s">
        <v>1086</v>
      </c>
      <c r="AP40" s="900"/>
      <c r="AQ40" s="856"/>
      <c r="AS40" s="856" t="s">
        <v>116</v>
      </c>
      <c r="AT40" s="856"/>
      <c r="AV40" s="856" t="s">
        <v>116</v>
      </c>
      <c r="AW40" s="856"/>
      <c r="AY40" s="856" t="s">
        <v>116</v>
      </c>
      <c r="AZ40" s="856"/>
      <c r="BB40" s="856" t="s">
        <v>116</v>
      </c>
      <c r="BC40" s="856"/>
      <c r="BE40" s="856" t="s">
        <v>116</v>
      </c>
      <c r="BF40" s="856"/>
      <c r="BH40" s="896" t="s">
        <v>116</v>
      </c>
      <c r="BI40" s="896"/>
      <c r="BK40" s="856" t="s">
        <v>116</v>
      </c>
      <c r="BL40" s="856"/>
      <c r="BN40" s="856" t="s">
        <v>116</v>
      </c>
      <c r="BO40" s="856"/>
      <c r="BQ40" s="856" t="s">
        <v>116</v>
      </c>
      <c r="BR40" s="856"/>
      <c r="BT40" s="856" t="s">
        <v>116</v>
      </c>
      <c r="BU40" s="856"/>
      <c r="BW40" s="856" t="s">
        <v>116</v>
      </c>
      <c r="BX40" s="856"/>
      <c r="BY40"/>
      <c r="BZ40" s="1139" t="s">
        <v>2157</v>
      </c>
      <c r="CA40"/>
      <c r="CB40"/>
      <c r="CC40"/>
      <c r="CD40" s="856" t="s">
        <v>116</v>
      </c>
      <c r="CE40" s="856"/>
      <c r="CG40" s="856" t="s">
        <v>116</v>
      </c>
      <c r="CH40" s="856"/>
      <c r="CJ40" s="856" t="s">
        <v>116</v>
      </c>
      <c r="CK40" s="856"/>
      <c r="CM40" s="856" t="s">
        <v>116</v>
      </c>
      <c r="CN40" s="856"/>
      <c r="CP40" s="856" t="s">
        <v>116</v>
      </c>
      <c r="CQ40" s="856"/>
      <c r="CS40" s="896" t="s">
        <v>116</v>
      </c>
      <c r="CT40" s="896"/>
      <c r="CV40" s="856" t="s">
        <v>116</v>
      </c>
      <c r="CW40" s="856"/>
      <c r="CY40" s="856" t="s">
        <v>116</v>
      </c>
      <c r="CZ40" s="856"/>
      <c r="DB40" s="856" t="s">
        <v>116</v>
      </c>
      <c r="DC40" s="856"/>
      <c r="DE40" s="856" t="s">
        <v>116</v>
      </c>
      <c r="DF40" s="856"/>
      <c r="DH40" s="856" t="s">
        <v>116</v>
      </c>
      <c r="DI40" s="856"/>
      <c r="DK40" s="1139" t="s">
        <v>2157</v>
      </c>
      <c r="DL40"/>
      <c r="DM40" s="3">
        <v>1</v>
      </c>
    </row>
    <row r="41" spans="1:117" s="709" customFormat="1" ht="18" customHeight="1">
      <c r="B41" s="5795" t="s">
        <v>1087</v>
      </c>
      <c r="C41" s="5795"/>
      <c r="D41" s="856"/>
      <c r="E41" s="5750" t="s">
        <v>1088</v>
      </c>
      <c r="F41" s="5750"/>
      <c r="G41" s="856"/>
      <c r="H41" s="5752" t="s">
        <v>1089</v>
      </c>
      <c r="I41" s="5752"/>
      <c r="J41" s="856"/>
      <c r="K41" s="5473" t="s">
        <v>1090</v>
      </c>
      <c r="L41" s="5473"/>
      <c r="M41" s="856"/>
      <c r="N41" s="5774" t="s">
        <v>1091</v>
      </c>
      <c r="O41" s="5774"/>
      <c r="P41" s="856"/>
      <c r="Q41" s="5756" t="s">
        <v>1092</v>
      </c>
      <c r="R41" s="5756"/>
      <c r="S41" s="856"/>
      <c r="T41" s="5748" t="s">
        <v>1093</v>
      </c>
      <c r="U41" s="5748"/>
      <c r="V41" s="856"/>
      <c r="W41" s="5746" t="s">
        <v>1094</v>
      </c>
      <c r="X41" s="5746"/>
      <c r="Y41" s="856"/>
      <c r="Z41" s="5758" t="s">
        <v>1095</v>
      </c>
      <c r="AA41" s="5758"/>
      <c r="AB41" s="227"/>
      <c r="AC41" s="5760" t="s">
        <v>1096</v>
      </c>
      <c r="AD41" s="5760"/>
      <c r="AE41" s="227"/>
      <c r="AF41" s="5762" t="s">
        <v>1097</v>
      </c>
      <c r="AG41" s="5762"/>
      <c r="AH41" s="227"/>
      <c r="AI41" s="5799" t="s">
        <v>1098</v>
      </c>
      <c r="AJ41" s="5799"/>
      <c r="AK41" s="856"/>
      <c r="AL41" s="5792" t="s">
        <v>1099</v>
      </c>
      <c r="AM41" s="5792"/>
      <c r="AN41" s="856"/>
      <c r="AO41" s="5793" t="s">
        <v>1100</v>
      </c>
      <c r="AP41" s="5794"/>
      <c r="AQ41" s="856"/>
      <c r="AS41" s="5795" t="s">
        <v>2158</v>
      </c>
      <c r="AT41" s="5795"/>
      <c r="AV41" s="5750" t="s">
        <v>2159</v>
      </c>
      <c r="AW41" s="5750"/>
      <c r="AY41" s="5752" t="s">
        <v>2160</v>
      </c>
      <c r="AZ41" s="5752"/>
      <c r="BB41" s="5473" t="s">
        <v>2161</v>
      </c>
      <c r="BC41" s="5473"/>
      <c r="BE41" s="5774" t="s">
        <v>2162</v>
      </c>
      <c r="BF41" s="5774"/>
      <c r="BH41" s="5756" t="s">
        <v>2163</v>
      </c>
      <c r="BI41" s="5756"/>
      <c r="BK41" s="5748" t="s">
        <v>2164</v>
      </c>
      <c r="BL41" s="5748"/>
      <c r="BN41" s="5746" t="s">
        <v>2165</v>
      </c>
      <c r="BO41" s="5746"/>
      <c r="BQ41" s="5758" t="s">
        <v>2166</v>
      </c>
      <c r="BR41" s="5758"/>
      <c r="BT41" s="5760" t="s">
        <v>2167</v>
      </c>
      <c r="BU41" s="5760"/>
      <c r="BW41" s="5762" t="s">
        <v>1112</v>
      </c>
      <c r="BX41" s="5762"/>
      <c r="BY41"/>
      <c r="BZ41"/>
      <c r="CA41"/>
      <c r="CB41"/>
      <c r="CC41"/>
      <c r="CD41" s="5795" t="s">
        <v>2168</v>
      </c>
      <c r="CE41" s="5795"/>
      <c r="CG41" s="5496" t="s">
        <v>2169</v>
      </c>
      <c r="CH41" s="5496"/>
      <c r="CJ41" s="5752" t="s">
        <v>2160</v>
      </c>
      <c r="CK41" s="5752"/>
      <c r="CM41" s="5473" t="s">
        <v>2170</v>
      </c>
      <c r="CN41" s="5473"/>
      <c r="CP41" s="5770" t="s">
        <v>2171</v>
      </c>
      <c r="CQ41" s="5770"/>
      <c r="CS41" s="5756" t="s">
        <v>2172</v>
      </c>
      <c r="CT41" s="5756"/>
      <c r="CV41" s="5748" t="s">
        <v>2173</v>
      </c>
      <c r="CW41" s="5748"/>
      <c r="CY41" s="5746" t="s">
        <v>2174</v>
      </c>
      <c r="CZ41" s="5746"/>
      <c r="DB41" s="5758" t="s">
        <v>2175</v>
      </c>
      <c r="DC41" s="5758"/>
      <c r="DE41" s="5760" t="s">
        <v>2176</v>
      </c>
      <c r="DF41" s="5760"/>
      <c r="DH41" s="5762" t="s">
        <v>1112</v>
      </c>
      <c r="DI41" s="5762"/>
      <c r="DK41"/>
      <c r="DL41"/>
      <c r="DM41" s="3">
        <v>1</v>
      </c>
    </row>
    <row r="42" spans="1:117" s="709" customFormat="1" ht="18" customHeight="1">
      <c r="B42" s="5796"/>
      <c r="C42" s="5796"/>
      <c r="D42" s="856"/>
      <c r="E42" s="5751"/>
      <c r="F42" s="5751"/>
      <c r="G42" s="856"/>
      <c r="H42" s="5753"/>
      <c r="I42" s="5753"/>
      <c r="J42" s="856"/>
      <c r="K42" s="5474"/>
      <c r="L42" s="5474"/>
      <c r="M42" s="856"/>
      <c r="N42" s="5775"/>
      <c r="O42" s="5775"/>
      <c r="P42" s="856"/>
      <c r="Q42" s="5757"/>
      <c r="R42" s="5757"/>
      <c r="S42" s="856"/>
      <c r="T42" s="5749"/>
      <c r="U42" s="5749"/>
      <c r="V42" s="856"/>
      <c r="W42" s="5747"/>
      <c r="X42" s="5747"/>
      <c r="Y42" s="856"/>
      <c r="Z42" s="5759"/>
      <c r="AA42" s="5759"/>
      <c r="AB42" s="227"/>
      <c r="AC42" s="5761"/>
      <c r="AD42" s="5761"/>
      <c r="AE42" s="227"/>
      <c r="AF42" s="5763"/>
      <c r="AG42" s="5763"/>
      <c r="AH42" s="227"/>
      <c r="AI42" s="5799"/>
      <c r="AJ42" s="5799"/>
      <c r="AK42" s="856"/>
      <c r="AL42" s="5792"/>
      <c r="AM42" s="5792"/>
      <c r="AN42" s="856"/>
      <c r="AO42" s="5797" t="s">
        <v>1101</v>
      </c>
      <c r="AP42" s="5798"/>
      <c r="AQ42" s="856"/>
      <c r="AS42" s="5796" t="s">
        <v>116</v>
      </c>
      <c r="AT42" s="5796"/>
      <c r="AV42" s="5751" t="s">
        <v>116</v>
      </c>
      <c r="AW42" s="5751"/>
      <c r="AY42" s="5753" t="s">
        <v>116</v>
      </c>
      <c r="AZ42" s="5753"/>
      <c r="BB42" s="5474" t="s">
        <v>116</v>
      </c>
      <c r="BC42" s="5474"/>
      <c r="BE42" s="5775" t="s">
        <v>116</v>
      </c>
      <c r="BF42" s="5775"/>
      <c r="BH42" s="5757" t="s">
        <v>116</v>
      </c>
      <c r="BI42" s="5757"/>
      <c r="BK42" s="5749" t="s">
        <v>116</v>
      </c>
      <c r="BL42" s="5749"/>
      <c r="BN42" s="5747" t="s">
        <v>116</v>
      </c>
      <c r="BO42" s="5747"/>
      <c r="BQ42" s="5759" t="s">
        <v>116</v>
      </c>
      <c r="BR42" s="5759"/>
      <c r="BT42" s="5761" t="s">
        <v>116</v>
      </c>
      <c r="BU42" s="5761"/>
      <c r="BW42" s="5763" t="s">
        <v>116</v>
      </c>
      <c r="BX42" s="5763"/>
      <c r="BY42"/>
      <c r="BZ42"/>
      <c r="CA42"/>
      <c r="CB42"/>
      <c r="CC42"/>
      <c r="CD42" s="5796" t="s">
        <v>116</v>
      </c>
      <c r="CE42" s="5796"/>
      <c r="CG42" s="5497" t="s">
        <v>116</v>
      </c>
      <c r="CH42" s="5497"/>
      <c r="CJ42" s="5753" t="s">
        <v>116</v>
      </c>
      <c r="CK42" s="5753"/>
      <c r="CM42" s="5474" t="s">
        <v>116</v>
      </c>
      <c r="CN42" s="5474"/>
      <c r="CP42" s="5771" t="s">
        <v>116</v>
      </c>
      <c r="CQ42" s="5771"/>
      <c r="CS42" s="5757" t="s">
        <v>116</v>
      </c>
      <c r="CT42" s="5757"/>
      <c r="CV42" s="5749" t="s">
        <v>116</v>
      </c>
      <c r="CW42" s="5749"/>
      <c r="CY42" s="5747" t="s">
        <v>116</v>
      </c>
      <c r="CZ42" s="5747"/>
      <c r="DB42" s="5759" t="s">
        <v>116</v>
      </c>
      <c r="DC42" s="5759"/>
      <c r="DE42" s="5761" t="s">
        <v>116</v>
      </c>
      <c r="DF42" s="5761"/>
      <c r="DH42" s="5763" t="s">
        <v>116</v>
      </c>
      <c r="DI42" s="5763"/>
      <c r="DK42"/>
      <c r="DL42"/>
      <c r="DM42" s="3">
        <v>1</v>
      </c>
    </row>
    <row r="43" spans="1:117" s="709" customFormat="1" ht="18" customHeight="1" thickBot="1">
      <c r="B43" s="856"/>
      <c r="C43" s="856"/>
      <c r="D43" s="856"/>
      <c r="E43" s="856"/>
      <c r="F43" s="856"/>
      <c r="G43" s="856"/>
      <c r="H43" s="856"/>
      <c r="I43" s="856"/>
      <c r="J43" s="856"/>
      <c r="K43" s="856"/>
      <c r="L43" s="856"/>
      <c r="M43" s="856"/>
      <c r="N43" s="856"/>
      <c r="O43" s="856"/>
      <c r="P43" s="856"/>
      <c r="Q43" s="896"/>
      <c r="R43" s="896"/>
      <c r="S43" s="856"/>
      <c r="T43" s="856"/>
      <c r="U43" s="856"/>
      <c r="V43" s="856"/>
      <c r="W43" s="856"/>
      <c r="X43" s="856"/>
      <c r="Y43" s="856"/>
      <c r="Z43" s="856"/>
      <c r="AA43" s="856"/>
      <c r="AB43" s="227"/>
      <c r="AC43" s="856"/>
      <c r="AD43" s="856"/>
      <c r="AE43" s="227"/>
      <c r="AF43" s="856"/>
      <c r="AG43" s="856"/>
      <c r="AH43" s="227"/>
      <c r="AI43" s="856"/>
      <c r="AJ43" s="856"/>
      <c r="AK43" s="856"/>
      <c r="AL43" s="856"/>
      <c r="AM43" s="856"/>
      <c r="AN43" s="856"/>
      <c r="AO43" s="901">
        <v>12</v>
      </c>
      <c r="AP43" s="902">
        <v>12</v>
      </c>
      <c r="AQ43" s="856"/>
      <c r="AS43" s="856" t="s">
        <v>116</v>
      </c>
      <c r="AT43" s="856"/>
      <c r="AV43" s="856" t="s">
        <v>116</v>
      </c>
      <c r="AW43" s="856"/>
      <c r="AY43" s="856" t="s">
        <v>116</v>
      </c>
      <c r="AZ43" s="856"/>
      <c r="BB43" s="856" t="s">
        <v>116</v>
      </c>
      <c r="BC43" s="856"/>
      <c r="BE43" s="856" t="s">
        <v>116</v>
      </c>
      <c r="BF43" s="856"/>
      <c r="BH43" s="896" t="s">
        <v>116</v>
      </c>
      <c r="BI43" s="896"/>
      <c r="BK43" s="856" t="s">
        <v>116</v>
      </c>
      <c r="BL43" s="856"/>
      <c r="BN43" s="856" t="s">
        <v>116</v>
      </c>
      <c r="BO43" s="856"/>
      <c r="BQ43" s="856" t="s">
        <v>116</v>
      </c>
      <c r="BR43" s="856"/>
      <c r="BT43" s="856" t="s">
        <v>116</v>
      </c>
      <c r="BU43" s="856"/>
      <c r="BW43" s="856" t="s">
        <v>116</v>
      </c>
      <c r="BX43" s="856"/>
      <c r="BY43"/>
      <c r="BZ43"/>
      <c r="CA43"/>
      <c r="CB43"/>
      <c r="CC43"/>
      <c r="CD43" s="856" t="s">
        <v>116</v>
      </c>
      <c r="CE43" s="856"/>
      <c r="CG43" s="856" t="s">
        <v>116</v>
      </c>
      <c r="CH43" s="856"/>
      <c r="CJ43" s="856" t="s">
        <v>116</v>
      </c>
      <c r="CK43" s="856"/>
      <c r="CM43" s="856" t="s">
        <v>116</v>
      </c>
      <c r="CN43" s="856"/>
      <c r="CP43" s="856" t="s">
        <v>116</v>
      </c>
      <c r="CQ43" s="856"/>
      <c r="CS43" s="896" t="s">
        <v>116</v>
      </c>
      <c r="CT43" s="896"/>
      <c r="CV43" s="856" t="s">
        <v>116</v>
      </c>
      <c r="CW43" s="856"/>
      <c r="CY43" s="856" t="s">
        <v>116</v>
      </c>
      <c r="CZ43" s="856"/>
      <c r="DB43" s="856" t="s">
        <v>116</v>
      </c>
      <c r="DC43" s="856"/>
      <c r="DE43" s="856" t="s">
        <v>116</v>
      </c>
      <c r="DF43" s="856"/>
      <c r="DH43" s="856" t="s">
        <v>116</v>
      </c>
      <c r="DI43" s="856"/>
      <c r="DK43"/>
      <c r="DL43"/>
      <c r="DM43" s="3">
        <v>1</v>
      </c>
    </row>
    <row r="44" spans="1:117" s="709" customFormat="1" ht="18" customHeight="1">
      <c r="B44" s="5496" t="s">
        <v>1102</v>
      </c>
      <c r="C44" s="5496"/>
      <c r="D44" s="856"/>
      <c r="E44" s="5496" t="s">
        <v>1103</v>
      </c>
      <c r="F44" s="5496"/>
      <c r="G44" s="856"/>
      <c r="H44" s="5752" t="s">
        <v>1104</v>
      </c>
      <c r="I44" s="5752"/>
      <c r="J44" s="856"/>
      <c r="K44" s="5473" t="s">
        <v>1105</v>
      </c>
      <c r="L44" s="5473"/>
      <c r="M44" s="856"/>
      <c r="N44" s="5774" t="s">
        <v>1106</v>
      </c>
      <c r="O44" s="5774"/>
      <c r="P44" s="856"/>
      <c r="Q44" s="5756" t="s">
        <v>1107</v>
      </c>
      <c r="R44" s="5756"/>
      <c r="S44" s="856"/>
      <c r="T44" s="5748" t="s">
        <v>1108</v>
      </c>
      <c r="U44" s="5748"/>
      <c r="V44" s="856"/>
      <c r="W44" s="5746" t="s">
        <v>1109</v>
      </c>
      <c r="X44" s="5746"/>
      <c r="Y44" s="856"/>
      <c r="Z44" s="5758" t="s">
        <v>1110</v>
      </c>
      <c r="AA44" s="5758"/>
      <c r="AB44" s="227"/>
      <c r="AC44" s="5760" t="s">
        <v>1111</v>
      </c>
      <c r="AD44" s="5760"/>
      <c r="AE44" s="227"/>
      <c r="AF44" s="5762" t="s">
        <v>1112</v>
      </c>
      <c r="AG44" s="5762"/>
      <c r="AH44" s="227"/>
      <c r="AI44" s="5791" t="s">
        <v>1113</v>
      </c>
      <c r="AJ44" s="5791"/>
      <c r="AK44" s="856"/>
      <c r="AL44" s="5790" t="s">
        <v>1114</v>
      </c>
      <c r="AM44" s="5790"/>
      <c r="AN44" s="856"/>
      <c r="AO44" s="856"/>
      <c r="AP44" s="856"/>
      <c r="AQ44" s="856"/>
      <c r="AS44" s="5496" t="s">
        <v>2177</v>
      </c>
      <c r="AT44" s="5496"/>
      <c r="AV44" s="5496" t="s">
        <v>2178</v>
      </c>
      <c r="AW44" s="5496"/>
      <c r="AY44" s="5752" t="s">
        <v>2179</v>
      </c>
      <c r="AZ44" s="5752"/>
      <c r="BB44" s="5473" t="s">
        <v>2180</v>
      </c>
      <c r="BC44" s="5473"/>
      <c r="BE44" s="5774" t="s">
        <v>2181</v>
      </c>
      <c r="BF44" s="5774"/>
      <c r="BH44" s="5756" t="s">
        <v>2182</v>
      </c>
      <c r="BI44" s="5756"/>
      <c r="BK44" s="5748" t="s">
        <v>2183</v>
      </c>
      <c r="BL44" s="5748"/>
      <c r="BN44" s="5746" t="s">
        <v>2184</v>
      </c>
      <c r="BO44" s="5746"/>
      <c r="BQ44" s="5758" t="s">
        <v>2185</v>
      </c>
      <c r="BR44" s="5758"/>
      <c r="BT44" s="5760" t="s">
        <v>2186</v>
      </c>
      <c r="BU44" s="5760"/>
      <c r="BW44" s="5762" t="s">
        <v>2187</v>
      </c>
      <c r="BX44" s="5762"/>
      <c r="BY44"/>
      <c r="BZ44"/>
      <c r="CA44"/>
      <c r="CB44"/>
      <c r="CC44"/>
      <c r="CD44" s="5496" t="s">
        <v>2188</v>
      </c>
      <c r="CE44" s="5496"/>
      <c r="CG44" s="5750" t="s">
        <v>2189</v>
      </c>
      <c r="CH44" s="5750"/>
      <c r="CJ44" s="5752" t="s">
        <v>2190</v>
      </c>
      <c r="CK44" s="5752"/>
      <c r="CM44" s="5473" t="s">
        <v>2191</v>
      </c>
      <c r="CN44" s="5473"/>
      <c r="CP44" s="5770" t="s">
        <v>2192</v>
      </c>
      <c r="CQ44" s="5770"/>
      <c r="CS44" s="5756" t="s">
        <v>2193</v>
      </c>
      <c r="CT44" s="5756"/>
      <c r="CV44" s="5748" t="s">
        <v>2194</v>
      </c>
      <c r="CW44" s="5748"/>
      <c r="CY44" s="5746" t="s">
        <v>2195</v>
      </c>
      <c r="CZ44" s="5746"/>
      <c r="DB44" s="5758" t="s">
        <v>2196</v>
      </c>
      <c r="DC44" s="5758"/>
      <c r="DE44" s="5760" t="s">
        <v>2197</v>
      </c>
      <c r="DF44" s="5760"/>
      <c r="DH44" s="5762" t="s">
        <v>2198</v>
      </c>
      <c r="DI44" s="5762"/>
      <c r="DK44"/>
      <c r="DL44"/>
      <c r="DM44" s="3">
        <v>1</v>
      </c>
    </row>
    <row r="45" spans="1:117" s="709" customFormat="1" ht="18" customHeight="1">
      <c r="B45" s="5497"/>
      <c r="C45" s="5497"/>
      <c r="D45" s="856"/>
      <c r="E45" s="5497"/>
      <c r="F45" s="5497"/>
      <c r="G45" s="856"/>
      <c r="H45" s="5753"/>
      <c r="I45" s="5753"/>
      <c r="J45" s="856"/>
      <c r="K45" s="5474"/>
      <c r="L45" s="5474"/>
      <c r="M45" s="856"/>
      <c r="N45" s="5775"/>
      <c r="O45" s="5775"/>
      <c r="P45" s="856"/>
      <c r="Q45" s="5757"/>
      <c r="R45" s="5757"/>
      <c r="S45" s="856"/>
      <c r="T45" s="5749"/>
      <c r="U45" s="5749"/>
      <c r="V45" s="856"/>
      <c r="W45" s="5747"/>
      <c r="X45" s="5747"/>
      <c r="Y45" s="856"/>
      <c r="Z45" s="5759"/>
      <c r="AA45" s="5759"/>
      <c r="AB45" s="227"/>
      <c r="AC45" s="5761"/>
      <c r="AD45" s="5761"/>
      <c r="AE45" s="227"/>
      <c r="AF45" s="5763"/>
      <c r="AG45" s="5763"/>
      <c r="AH45" s="227"/>
      <c r="AI45" s="5791"/>
      <c r="AJ45" s="5791"/>
      <c r="AK45" s="856"/>
      <c r="AL45" s="5790"/>
      <c r="AM45" s="5790"/>
      <c r="AN45" s="856"/>
      <c r="AO45" s="856"/>
      <c r="AP45" s="856"/>
      <c r="AQ45" s="856"/>
      <c r="AS45" s="5497" t="s">
        <v>116</v>
      </c>
      <c r="AT45" s="5497"/>
      <c r="AV45" s="5497" t="s">
        <v>116</v>
      </c>
      <c r="AW45" s="5497"/>
      <c r="AY45" s="5753" t="s">
        <v>116</v>
      </c>
      <c r="AZ45" s="5753"/>
      <c r="BB45" s="5474" t="s">
        <v>116</v>
      </c>
      <c r="BC45" s="5474"/>
      <c r="BE45" s="5775" t="s">
        <v>116</v>
      </c>
      <c r="BF45" s="5775"/>
      <c r="BH45" s="5757" t="s">
        <v>116</v>
      </c>
      <c r="BI45" s="5757"/>
      <c r="BK45" s="5749" t="s">
        <v>116</v>
      </c>
      <c r="BL45" s="5749"/>
      <c r="BN45" s="5747" t="s">
        <v>116</v>
      </c>
      <c r="BO45" s="5747"/>
      <c r="BQ45" s="5759" t="s">
        <v>116</v>
      </c>
      <c r="BR45" s="5759"/>
      <c r="BT45" s="5761" t="s">
        <v>116</v>
      </c>
      <c r="BU45" s="5761"/>
      <c r="BW45" s="5763" t="s">
        <v>116</v>
      </c>
      <c r="BX45" s="5763"/>
      <c r="BY45"/>
      <c r="BZ45"/>
      <c r="CA45"/>
      <c r="CB45"/>
      <c r="CC45"/>
      <c r="CD45" s="5497" t="s">
        <v>116</v>
      </c>
      <c r="CE45" s="5497"/>
      <c r="CG45" s="5751" t="s">
        <v>116</v>
      </c>
      <c r="CH45" s="5751"/>
      <c r="CJ45" s="5753" t="s">
        <v>116</v>
      </c>
      <c r="CK45" s="5753"/>
      <c r="CM45" s="5474" t="s">
        <v>116</v>
      </c>
      <c r="CN45" s="5474"/>
      <c r="CP45" s="5771" t="s">
        <v>116</v>
      </c>
      <c r="CQ45" s="5771"/>
      <c r="CS45" s="5757" t="s">
        <v>116</v>
      </c>
      <c r="CT45" s="5757"/>
      <c r="CV45" s="5749" t="s">
        <v>116</v>
      </c>
      <c r="CW45" s="5749"/>
      <c r="CY45" s="5747" t="s">
        <v>116</v>
      </c>
      <c r="CZ45" s="5747"/>
      <c r="DB45" s="5759" t="s">
        <v>116</v>
      </c>
      <c r="DC45" s="5759"/>
      <c r="DE45" s="5761" t="s">
        <v>116</v>
      </c>
      <c r="DF45" s="5761"/>
      <c r="DH45" s="5763" t="s">
        <v>116</v>
      </c>
      <c r="DI45" s="5763"/>
      <c r="DK45"/>
      <c r="DL45"/>
      <c r="DM45" s="3">
        <v>1</v>
      </c>
    </row>
    <row r="46" spans="1:117" s="709" customFormat="1" ht="18" customHeight="1" thickBot="1">
      <c r="B46" s="856"/>
      <c r="C46" s="856"/>
      <c r="D46" s="856"/>
      <c r="E46" s="856"/>
      <c r="F46" s="856"/>
      <c r="G46" s="856"/>
      <c r="H46" s="856"/>
      <c r="I46" s="856"/>
      <c r="J46" s="856"/>
      <c r="K46" s="856"/>
      <c r="L46" s="856"/>
      <c r="M46" s="856"/>
      <c r="N46" s="856"/>
      <c r="O46" s="856"/>
      <c r="P46" s="856"/>
      <c r="Q46" s="896"/>
      <c r="R46" s="896"/>
      <c r="S46" s="856"/>
      <c r="T46" s="856"/>
      <c r="U46" s="856"/>
      <c r="V46" s="856"/>
      <c r="W46" s="856"/>
      <c r="X46" s="856"/>
      <c r="Y46" s="856"/>
      <c r="Z46" s="856"/>
      <c r="AA46" s="856"/>
      <c r="AB46" s="227"/>
      <c r="AC46" s="856"/>
      <c r="AD46" s="856"/>
      <c r="AE46" s="227"/>
      <c r="AF46" s="856"/>
      <c r="AG46" s="856"/>
      <c r="AH46" s="227"/>
      <c r="AI46" s="856"/>
      <c r="AJ46" s="856"/>
      <c r="AK46" s="856"/>
      <c r="AL46" s="856"/>
      <c r="AM46" s="856"/>
      <c r="AN46" s="856"/>
      <c r="AO46" s="856"/>
      <c r="AP46" s="856"/>
      <c r="AQ46" s="856"/>
      <c r="AS46" s="856" t="s">
        <v>116</v>
      </c>
      <c r="AT46" s="856"/>
      <c r="AV46" s="856" t="s">
        <v>116</v>
      </c>
      <c r="AW46" s="856"/>
      <c r="AY46" s="856" t="s">
        <v>116</v>
      </c>
      <c r="AZ46" s="856"/>
      <c r="BB46" s="856" t="s">
        <v>116</v>
      </c>
      <c r="BC46" s="856"/>
      <c r="BE46" s="856" t="s">
        <v>116</v>
      </c>
      <c r="BF46" s="856"/>
      <c r="BH46" s="896" t="s">
        <v>116</v>
      </c>
      <c r="BI46" s="896"/>
      <c r="BK46" s="856" t="s">
        <v>116</v>
      </c>
      <c r="BL46" s="856"/>
      <c r="BN46" s="856" t="s">
        <v>116</v>
      </c>
      <c r="BO46" s="856"/>
      <c r="BQ46" s="856" t="s">
        <v>116</v>
      </c>
      <c r="BR46" s="856"/>
      <c r="BT46" s="856" t="s">
        <v>116</v>
      </c>
      <c r="BU46" s="856"/>
      <c r="BW46" s="856" t="s">
        <v>116</v>
      </c>
      <c r="BX46" s="856"/>
      <c r="BY46"/>
      <c r="BZ46"/>
      <c r="CA46"/>
      <c r="CB46"/>
      <c r="CC46"/>
      <c r="CD46" s="856" t="s">
        <v>116</v>
      </c>
      <c r="CE46" s="856"/>
      <c r="CG46" s="856" t="s">
        <v>116</v>
      </c>
      <c r="CH46" s="856"/>
      <c r="CJ46" s="856" t="s">
        <v>116</v>
      </c>
      <c r="CK46" s="856"/>
      <c r="CM46" s="856" t="s">
        <v>116</v>
      </c>
      <c r="CN46" s="856"/>
      <c r="CP46" s="856" t="s">
        <v>116</v>
      </c>
      <c r="CQ46" s="856"/>
      <c r="CS46" s="896" t="s">
        <v>116</v>
      </c>
      <c r="CT46" s="896"/>
      <c r="CV46" s="856" t="s">
        <v>116</v>
      </c>
      <c r="CW46" s="856"/>
      <c r="CY46" s="856" t="s">
        <v>116</v>
      </c>
      <c r="CZ46" s="856"/>
      <c r="DB46" s="856" t="s">
        <v>116</v>
      </c>
      <c r="DC46" s="856"/>
      <c r="DE46" s="856" t="s">
        <v>116</v>
      </c>
      <c r="DF46" s="856"/>
      <c r="DH46" s="856" t="s">
        <v>116</v>
      </c>
      <c r="DI46" s="856"/>
      <c r="DK46"/>
      <c r="DL46"/>
      <c r="DM46" s="3">
        <v>1</v>
      </c>
    </row>
    <row r="47" spans="1:117" s="709" customFormat="1" ht="18" customHeight="1">
      <c r="B47" s="5788" t="s">
        <v>1115</v>
      </c>
      <c r="C47" s="5788"/>
      <c r="D47" s="856"/>
      <c r="E47" s="5496" t="s">
        <v>1116</v>
      </c>
      <c r="F47" s="5496"/>
      <c r="G47" s="856"/>
      <c r="H47" s="5752" t="s">
        <v>1117</v>
      </c>
      <c r="I47" s="5752"/>
      <c r="J47" s="856"/>
      <c r="K47" s="5473" t="s">
        <v>1118</v>
      </c>
      <c r="L47" s="5473"/>
      <c r="M47" s="856"/>
      <c r="N47" s="5774" t="s">
        <v>1119</v>
      </c>
      <c r="O47" s="5774"/>
      <c r="P47" s="856"/>
      <c r="Q47" s="5756" t="s">
        <v>1120</v>
      </c>
      <c r="R47" s="5756"/>
      <c r="S47" s="856"/>
      <c r="T47" s="5748" t="s">
        <v>1121</v>
      </c>
      <c r="U47" s="5748"/>
      <c r="V47" s="856"/>
      <c r="W47" s="5746" t="s">
        <v>1122</v>
      </c>
      <c r="X47" s="5746"/>
      <c r="Y47" s="856"/>
      <c r="Z47" s="5758" t="s">
        <v>1123</v>
      </c>
      <c r="AA47" s="5758"/>
      <c r="AB47" s="227"/>
      <c r="AC47" s="5760" t="s">
        <v>1124</v>
      </c>
      <c r="AD47" s="5760"/>
      <c r="AE47" s="227"/>
      <c r="AF47" s="5762" t="s">
        <v>1125</v>
      </c>
      <c r="AG47" s="5762"/>
      <c r="AH47" s="227"/>
      <c r="AI47" s="856"/>
      <c r="AJ47" s="856"/>
      <c r="AK47" s="856"/>
      <c r="AL47" s="856"/>
      <c r="AM47" s="856"/>
      <c r="AN47" s="856"/>
      <c r="AO47" s="856"/>
      <c r="AP47" s="856"/>
      <c r="AQ47" s="856"/>
      <c r="AS47" s="5788" t="s">
        <v>2199</v>
      </c>
      <c r="AT47" s="5788"/>
      <c r="AV47" s="5496" t="s">
        <v>2200</v>
      </c>
      <c r="AW47" s="5496"/>
      <c r="AY47" s="5752" t="s">
        <v>2201</v>
      </c>
      <c r="AZ47" s="5752"/>
      <c r="BB47" s="5473" t="s">
        <v>2202</v>
      </c>
      <c r="BC47" s="5473"/>
      <c r="BE47" s="5774" t="s">
        <v>2203</v>
      </c>
      <c r="BF47" s="5774"/>
      <c r="BH47" s="5756" t="s">
        <v>2204</v>
      </c>
      <c r="BI47" s="5756"/>
      <c r="BK47" s="5748" t="s">
        <v>2205</v>
      </c>
      <c r="BL47" s="5748"/>
      <c r="BN47" s="5746" t="s">
        <v>2206</v>
      </c>
      <c r="BO47" s="5746"/>
      <c r="BQ47" s="5758" t="s">
        <v>2207</v>
      </c>
      <c r="BR47" s="5758"/>
      <c r="BT47" s="5760" t="s">
        <v>2208</v>
      </c>
      <c r="BU47" s="5760"/>
      <c r="BW47" s="5762" t="s">
        <v>2209</v>
      </c>
      <c r="BX47" s="5762"/>
      <c r="BY47"/>
      <c r="BZ47"/>
      <c r="CA47"/>
      <c r="CB47"/>
      <c r="CC47"/>
      <c r="CD47" s="5788" t="s">
        <v>2210</v>
      </c>
      <c r="CE47" s="5788"/>
      <c r="CG47" s="5496" t="s">
        <v>2211</v>
      </c>
      <c r="CH47" s="5496"/>
      <c r="CJ47" s="5752" t="s">
        <v>2212</v>
      </c>
      <c r="CK47" s="5752"/>
      <c r="CM47" s="5473" t="s">
        <v>2213</v>
      </c>
      <c r="CN47" s="5473"/>
      <c r="CP47" s="5770" t="s">
        <v>2214</v>
      </c>
      <c r="CQ47" s="5770"/>
      <c r="CS47" s="5756" t="s">
        <v>2215</v>
      </c>
      <c r="CT47" s="5756"/>
      <c r="CV47" s="5748" t="s">
        <v>2216</v>
      </c>
      <c r="CW47" s="5748"/>
      <c r="CY47" s="5746" t="s">
        <v>2217</v>
      </c>
      <c r="CZ47" s="5746"/>
      <c r="DB47" s="5758" t="s">
        <v>2218</v>
      </c>
      <c r="DC47" s="5758"/>
      <c r="DE47" s="5760" t="s">
        <v>2219</v>
      </c>
      <c r="DF47" s="5760"/>
      <c r="DH47" s="5762" t="s">
        <v>2220</v>
      </c>
      <c r="DI47" s="5762"/>
      <c r="DK47"/>
      <c r="DL47"/>
      <c r="DM47" s="3">
        <v>1</v>
      </c>
    </row>
    <row r="48" spans="1:117" s="709" customFormat="1" ht="18" customHeight="1">
      <c r="B48" s="5789"/>
      <c r="C48" s="5789"/>
      <c r="D48" s="856"/>
      <c r="E48" s="5497"/>
      <c r="F48" s="5497"/>
      <c r="G48" s="856"/>
      <c r="H48" s="5753"/>
      <c r="I48" s="5753"/>
      <c r="J48" s="856"/>
      <c r="K48" s="5474"/>
      <c r="L48" s="5474"/>
      <c r="M48" s="856"/>
      <c r="N48" s="5775"/>
      <c r="O48" s="5775"/>
      <c r="P48" s="856"/>
      <c r="Q48" s="5757"/>
      <c r="R48" s="5757"/>
      <c r="S48" s="856"/>
      <c r="T48" s="5749"/>
      <c r="U48" s="5749"/>
      <c r="V48" s="856"/>
      <c r="W48" s="5747"/>
      <c r="X48" s="5747"/>
      <c r="Y48" s="856"/>
      <c r="Z48" s="5759"/>
      <c r="AA48" s="5759"/>
      <c r="AB48" s="227"/>
      <c r="AC48" s="5761"/>
      <c r="AD48" s="5761"/>
      <c r="AE48" s="227"/>
      <c r="AF48" s="5763"/>
      <c r="AG48" s="5763"/>
      <c r="AH48" s="227"/>
      <c r="AI48" s="856"/>
      <c r="AJ48" s="856"/>
      <c r="AK48" s="856"/>
      <c r="AL48" s="856"/>
      <c r="AM48" s="856"/>
      <c r="AN48" s="856"/>
      <c r="AO48" s="856"/>
      <c r="AP48" s="856"/>
      <c r="AQ48" s="856"/>
      <c r="AS48" s="5789" t="s">
        <v>116</v>
      </c>
      <c r="AT48" s="5789"/>
      <c r="AV48" s="5497" t="s">
        <v>116</v>
      </c>
      <c r="AW48" s="5497"/>
      <c r="AY48" s="5753" t="s">
        <v>116</v>
      </c>
      <c r="AZ48" s="5753"/>
      <c r="BB48" s="5474" t="s">
        <v>116</v>
      </c>
      <c r="BC48" s="5474"/>
      <c r="BE48" s="5775" t="s">
        <v>116</v>
      </c>
      <c r="BF48" s="5775"/>
      <c r="BH48" s="5757" t="s">
        <v>116</v>
      </c>
      <c r="BI48" s="5757"/>
      <c r="BK48" s="5749" t="s">
        <v>116</v>
      </c>
      <c r="BL48" s="5749"/>
      <c r="BN48" s="5747" t="s">
        <v>116</v>
      </c>
      <c r="BO48" s="5747"/>
      <c r="BQ48" s="5759" t="s">
        <v>116</v>
      </c>
      <c r="BR48" s="5759"/>
      <c r="BT48" s="5761" t="s">
        <v>116</v>
      </c>
      <c r="BU48" s="5761"/>
      <c r="BW48" s="5763" t="s">
        <v>116</v>
      </c>
      <c r="BX48" s="5763"/>
      <c r="BY48"/>
      <c r="BZ48"/>
      <c r="CA48"/>
      <c r="CB48"/>
      <c r="CC48"/>
      <c r="CD48" s="5789" t="s">
        <v>116</v>
      </c>
      <c r="CE48" s="5789"/>
      <c r="CG48" s="5497" t="s">
        <v>116</v>
      </c>
      <c r="CH48" s="5497"/>
      <c r="CJ48" s="5753" t="s">
        <v>116</v>
      </c>
      <c r="CK48" s="5753"/>
      <c r="CM48" s="5474" t="s">
        <v>116</v>
      </c>
      <c r="CN48" s="5474"/>
      <c r="CP48" s="5771" t="s">
        <v>116</v>
      </c>
      <c r="CQ48" s="5771"/>
      <c r="CS48" s="5757" t="s">
        <v>116</v>
      </c>
      <c r="CT48" s="5757"/>
      <c r="CV48" s="5749" t="s">
        <v>116</v>
      </c>
      <c r="CW48" s="5749"/>
      <c r="CY48" s="5747" t="s">
        <v>116</v>
      </c>
      <c r="CZ48" s="5747"/>
      <c r="DB48" s="5759" t="s">
        <v>116</v>
      </c>
      <c r="DC48" s="5759"/>
      <c r="DE48" s="5761" t="s">
        <v>116</v>
      </c>
      <c r="DF48" s="5761"/>
      <c r="DH48" s="5763" t="s">
        <v>116</v>
      </c>
      <c r="DI48" s="5763"/>
      <c r="DK48"/>
      <c r="DL48"/>
      <c r="DM48" s="3">
        <v>1</v>
      </c>
    </row>
    <row r="49" spans="1:117" s="709" customFormat="1" ht="18" customHeight="1" thickBot="1">
      <c r="B49" s="856"/>
      <c r="C49" s="856"/>
      <c r="D49" s="856"/>
      <c r="E49" s="856"/>
      <c r="F49" s="856"/>
      <c r="G49" s="856"/>
      <c r="H49" s="856"/>
      <c r="I49" s="856"/>
      <c r="J49" s="856"/>
      <c r="K49" s="856"/>
      <c r="L49" s="856"/>
      <c r="M49" s="856"/>
      <c r="N49" s="856"/>
      <c r="O49" s="856"/>
      <c r="P49" s="856"/>
      <c r="Q49" s="896"/>
      <c r="R49" s="896"/>
      <c r="S49" s="856"/>
      <c r="T49" s="856"/>
      <c r="U49" s="856"/>
      <c r="V49" s="856"/>
      <c r="W49" s="856"/>
      <c r="X49" s="856"/>
      <c r="Y49" s="856"/>
      <c r="Z49" s="856"/>
      <c r="AA49" s="856"/>
      <c r="AB49" s="227"/>
      <c r="AC49" s="856"/>
      <c r="AD49" s="856"/>
      <c r="AE49" s="227"/>
      <c r="AF49" s="856"/>
      <c r="AG49" s="856"/>
      <c r="AH49" s="227"/>
      <c r="AI49" s="856"/>
      <c r="AJ49" s="856"/>
      <c r="AK49" s="856"/>
      <c r="AL49" s="856"/>
      <c r="AM49" s="856"/>
      <c r="AN49" s="856"/>
      <c r="AO49" s="856"/>
      <c r="AP49" s="856"/>
      <c r="AQ49" s="856"/>
      <c r="AS49" s="856" t="s">
        <v>116</v>
      </c>
      <c r="AT49" s="856"/>
      <c r="AV49" s="856" t="s">
        <v>116</v>
      </c>
      <c r="AW49" s="856"/>
      <c r="AY49" s="856" t="s">
        <v>116</v>
      </c>
      <c r="AZ49" s="856"/>
      <c r="BB49" s="856" t="s">
        <v>116</v>
      </c>
      <c r="BC49" s="856"/>
      <c r="BE49" s="856" t="s">
        <v>116</v>
      </c>
      <c r="BF49" s="856"/>
      <c r="BH49" s="896" t="s">
        <v>116</v>
      </c>
      <c r="BI49" s="896"/>
      <c r="BK49" s="856" t="s">
        <v>116</v>
      </c>
      <c r="BL49" s="856"/>
      <c r="BN49" s="856" t="s">
        <v>116</v>
      </c>
      <c r="BO49" s="856"/>
      <c r="BQ49" s="856" t="s">
        <v>116</v>
      </c>
      <c r="BR49" s="856"/>
      <c r="BT49" s="856" t="s">
        <v>116</v>
      </c>
      <c r="BU49" s="856"/>
      <c r="BW49" s="856" t="s">
        <v>116</v>
      </c>
      <c r="BX49" s="856"/>
      <c r="BY49"/>
      <c r="BZ49"/>
      <c r="CA49"/>
      <c r="CB49"/>
      <c r="CC49"/>
      <c r="CD49" s="856" t="s">
        <v>116</v>
      </c>
      <c r="CE49" s="856"/>
      <c r="CG49" s="856" t="s">
        <v>116</v>
      </c>
      <c r="CH49" s="856"/>
      <c r="CJ49" s="856" t="s">
        <v>116</v>
      </c>
      <c r="CK49" s="856"/>
      <c r="CM49" s="856" t="s">
        <v>116</v>
      </c>
      <c r="CN49" s="856"/>
      <c r="CP49" s="856" t="s">
        <v>116</v>
      </c>
      <c r="CQ49" s="856"/>
      <c r="CS49" s="896" t="s">
        <v>116</v>
      </c>
      <c r="CT49" s="896"/>
      <c r="CV49" s="856" t="s">
        <v>116</v>
      </c>
      <c r="CW49" s="856"/>
      <c r="CY49" s="856" t="s">
        <v>116</v>
      </c>
      <c r="CZ49" s="856"/>
      <c r="DB49" s="856" t="s">
        <v>116</v>
      </c>
      <c r="DC49" s="856"/>
      <c r="DE49" s="856" t="s">
        <v>116</v>
      </c>
      <c r="DF49" s="856"/>
      <c r="DH49" s="856" t="s">
        <v>116</v>
      </c>
      <c r="DI49" s="856"/>
      <c r="DK49"/>
      <c r="DL49"/>
      <c r="DM49" s="3">
        <v>1</v>
      </c>
    </row>
    <row r="50" spans="1:117" s="709" customFormat="1" ht="18" customHeight="1">
      <c r="B50" s="5786" t="s">
        <v>1126</v>
      </c>
      <c r="C50" s="5786"/>
      <c r="D50" s="856"/>
      <c r="E50" s="5750" t="s">
        <v>1127</v>
      </c>
      <c r="F50" s="5750"/>
      <c r="G50" s="856"/>
      <c r="H50" s="5752" t="s">
        <v>1128</v>
      </c>
      <c r="I50" s="5752"/>
      <c r="J50" s="856"/>
      <c r="K50" s="5473" t="s">
        <v>1129</v>
      </c>
      <c r="L50" s="5473"/>
      <c r="M50" s="856"/>
      <c r="N50" s="5774" t="s">
        <v>1130</v>
      </c>
      <c r="O50" s="5774"/>
      <c r="P50" s="856"/>
      <c r="Q50" s="5756" t="s">
        <v>1131</v>
      </c>
      <c r="R50" s="5756"/>
      <c r="S50" s="856"/>
      <c r="T50" s="5748" t="s">
        <v>1132</v>
      </c>
      <c r="U50" s="5748"/>
      <c r="V50" s="856"/>
      <c r="W50" s="5746" t="s">
        <v>1133</v>
      </c>
      <c r="X50" s="5746"/>
      <c r="Y50" s="856"/>
      <c r="Z50" s="5758" t="s">
        <v>1134</v>
      </c>
      <c r="AA50" s="5758"/>
      <c r="AB50" s="227"/>
      <c r="AC50" s="5760" t="s">
        <v>1135</v>
      </c>
      <c r="AD50" s="5760"/>
      <c r="AE50" s="227"/>
      <c r="AF50" s="5762" t="s">
        <v>1136</v>
      </c>
      <c r="AG50" s="5762"/>
      <c r="AH50" s="227"/>
      <c r="AI50" s="856"/>
      <c r="AJ50" s="856"/>
      <c r="AK50" s="856"/>
      <c r="AL50" s="856"/>
      <c r="AM50" s="856"/>
      <c r="AN50" s="856"/>
      <c r="AO50" s="856"/>
      <c r="AP50" s="856"/>
      <c r="AQ50" s="856"/>
      <c r="AS50" s="5786" t="s">
        <v>2221</v>
      </c>
      <c r="AT50" s="5786"/>
      <c r="AV50" s="5750" t="s">
        <v>2222</v>
      </c>
      <c r="AW50" s="5750"/>
      <c r="AY50" s="5752" t="s">
        <v>2223</v>
      </c>
      <c r="AZ50" s="5752"/>
      <c r="BB50" s="5473" t="s">
        <v>2224</v>
      </c>
      <c r="BC50" s="5473"/>
      <c r="BE50" s="5774" t="s">
        <v>2225</v>
      </c>
      <c r="BF50" s="5774"/>
      <c r="BH50" s="5756" t="s">
        <v>2226</v>
      </c>
      <c r="BI50" s="5756"/>
      <c r="BK50" s="5748" t="s">
        <v>2227</v>
      </c>
      <c r="BL50" s="5748"/>
      <c r="BN50" s="5746" t="s">
        <v>2228</v>
      </c>
      <c r="BO50" s="5746"/>
      <c r="BQ50" s="5758" t="s">
        <v>2229</v>
      </c>
      <c r="BR50" s="5758"/>
      <c r="BT50" s="5760" t="s">
        <v>2230</v>
      </c>
      <c r="BU50" s="5760"/>
      <c r="BW50" s="5762" t="s">
        <v>2231</v>
      </c>
      <c r="BX50" s="5762"/>
      <c r="BY50"/>
      <c r="BZ50"/>
      <c r="CA50"/>
      <c r="CB50"/>
      <c r="CC50"/>
      <c r="CD50" s="5786" t="s">
        <v>2232</v>
      </c>
      <c r="CE50" s="5786"/>
      <c r="CG50" s="5750" t="s">
        <v>2233</v>
      </c>
      <c r="CH50" s="5750"/>
      <c r="CJ50" s="5752" t="s">
        <v>2234</v>
      </c>
      <c r="CK50" s="5752"/>
      <c r="CM50" s="5473" t="s">
        <v>2235</v>
      </c>
      <c r="CN50" s="5473"/>
      <c r="CP50" s="5770" t="s">
        <v>2236</v>
      </c>
      <c r="CQ50" s="5770"/>
      <c r="CS50" s="5756" t="s">
        <v>2237</v>
      </c>
      <c r="CT50" s="5756"/>
      <c r="CV50" s="5748" t="s">
        <v>2238</v>
      </c>
      <c r="CW50" s="5748"/>
      <c r="CY50" s="5746" t="s">
        <v>2239</v>
      </c>
      <c r="CZ50" s="5746"/>
      <c r="DB50" s="5758" t="s">
        <v>2240</v>
      </c>
      <c r="DC50" s="5758"/>
      <c r="DE50" s="5760" t="s">
        <v>2241</v>
      </c>
      <c r="DF50" s="5760"/>
      <c r="DH50" s="5762" t="s">
        <v>2242</v>
      </c>
      <c r="DI50" s="5762"/>
      <c r="DK50"/>
      <c r="DL50"/>
      <c r="DM50" s="3">
        <v>1</v>
      </c>
    </row>
    <row r="51" spans="1:117" s="709" customFormat="1" ht="18" customHeight="1">
      <c r="B51" s="5787"/>
      <c r="C51" s="5787"/>
      <c r="D51" s="856"/>
      <c r="E51" s="5751"/>
      <c r="F51" s="5751"/>
      <c r="G51" s="856"/>
      <c r="H51" s="5753"/>
      <c r="I51" s="5753"/>
      <c r="J51" s="856"/>
      <c r="K51" s="5474"/>
      <c r="L51" s="5474"/>
      <c r="M51" s="856"/>
      <c r="N51" s="5775"/>
      <c r="O51" s="5775"/>
      <c r="P51" s="856"/>
      <c r="Q51" s="5757"/>
      <c r="R51" s="5757"/>
      <c r="S51" s="856"/>
      <c r="T51" s="5749"/>
      <c r="U51" s="5749"/>
      <c r="V51" s="856"/>
      <c r="W51" s="5747"/>
      <c r="X51" s="5747"/>
      <c r="Y51" s="856"/>
      <c r="Z51" s="5759"/>
      <c r="AA51" s="5759"/>
      <c r="AB51" s="227"/>
      <c r="AC51" s="5761"/>
      <c r="AD51" s="5761"/>
      <c r="AE51" s="227"/>
      <c r="AF51" s="5763"/>
      <c r="AG51" s="5763"/>
      <c r="AH51" s="227"/>
      <c r="AI51" s="856"/>
      <c r="AJ51" s="856"/>
      <c r="AK51" s="856"/>
      <c r="AL51" s="856"/>
      <c r="AM51" s="856"/>
      <c r="AN51" s="856"/>
      <c r="AO51" s="856"/>
      <c r="AP51" s="856"/>
      <c r="AQ51" s="856"/>
      <c r="AS51" s="5787" t="s">
        <v>116</v>
      </c>
      <c r="AT51" s="5787"/>
      <c r="AV51" s="5751" t="s">
        <v>116</v>
      </c>
      <c r="AW51" s="5751"/>
      <c r="AY51" s="5753" t="s">
        <v>116</v>
      </c>
      <c r="AZ51" s="5753"/>
      <c r="BB51" s="5474" t="s">
        <v>116</v>
      </c>
      <c r="BC51" s="5474"/>
      <c r="BE51" s="5775" t="s">
        <v>116</v>
      </c>
      <c r="BF51" s="5775"/>
      <c r="BH51" s="5757" t="s">
        <v>116</v>
      </c>
      <c r="BI51" s="5757"/>
      <c r="BK51" s="5749" t="s">
        <v>116</v>
      </c>
      <c r="BL51" s="5749"/>
      <c r="BN51" s="5747" t="s">
        <v>116</v>
      </c>
      <c r="BO51" s="5747"/>
      <c r="BQ51" s="5759" t="s">
        <v>116</v>
      </c>
      <c r="BR51" s="5759"/>
      <c r="BT51" s="5761" t="s">
        <v>116</v>
      </c>
      <c r="BU51" s="5761"/>
      <c r="BW51" s="5763" t="s">
        <v>116</v>
      </c>
      <c r="BX51" s="5763"/>
      <c r="BY51"/>
      <c r="BZ51"/>
      <c r="CA51"/>
      <c r="CB51"/>
      <c r="CC51"/>
      <c r="CD51" s="5787" t="s">
        <v>116</v>
      </c>
      <c r="CE51" s="5787"/>
      <c r="CG51" s="5751" t="s">
        <v>116</v>
      </c>
      <c r="CH51" s="5751"/>
      <c r="CJ51" s="5753" t="s">
        <v>116</v>
      </c>
      <c r="CK51" s="5753"/>
      <c r="CM51" s="5474" t="s">
        <v>116</v>
      </c>
      <c r="CN51" s="5474"/>
      <c r="CP51" s="5771" t="s">
        <v>116</v>
      </c>
      <c r="CQ51" s="5771"/>
      <c r="CS51" s="5757" t="s">
        <v>116</v>
      </c>
      <c r="CT51" s="5757"/>
      <c r="CV51" s="5749" t="s">
        <v>116</v>
      </c>
      <c r="CW51" s="5749"/>
      <c r="CY51" s="5747" t="s">
        <v>116</v>
      </c>
      <c r="CZ51" s="5747"/>
      <c r="DB51" s="5759" t="s">
        <v>116</v>
      </c>
      <c r="DC51" s="5759"/>
      <c r="DE51" s="5761" t="s">
        <v>116</v>
      </c>
      <c r="DF51" s="5761"/>
      <c r="DH51" s="5763" t="s">
        <v>116</v>
      </c>
      <c r="DI51" s="5763"/>
      <c r="DK51"/>
      <c r="DL51"/>
      <c r="DM51" s="3">
        <v>1</v>
      </c>
    </row>
    <row r="52" spans="1:117" s="709" customFormat="1" ht="18" customHeight="1" thickBot="1">
      <c r="B52" s="856"/>
      <c r="C52" s="856"/>
      <c r="D52" s="856"/>
      <c r="E52" s="856"/>
      <c r="F52" s="856"/>
      <c r="G52" s="856"/>
      <c r="H52" s="856"/>
      <c r="I52" s="856"/>
      <c r="J52" s="856"/>
      <c r="K52" s="856"/>
      <c r="L52" s="856"/>
      <c r="M52" s="856"/>
      <c r="N52" s="856"/>
      <c r="O52" s="856"/>
      <c r="P52" s="856"/>
      <c r="Q52" s="896"/>
      <c r="R52" s="896"/>
      <c r="S52" s="856"/>
      <c r="T52" s="856"/>
      <c r="U52" s="856"/>
      <c r="V52" s="856"/>
      <c r="W52" s="856"/>
      <c r="X52" s="856"/>
      <c r="Y52" s="856"/>
      <c r="Z52" s="856"/>
      <c r="AA52" s="856"/>
      <c r="AB52" s="227"/>
      <c r="AC52" s="856"/>
      <c r="AD52" s="856"/>
      <c r="AE52" s="227"/>
      <c r="AF52" s="856"/>
      <c r="AG52" s="856"/>
      <c r="AH52" s="227"/>
      <c r="AI52" s="856"/>
      <c r="AJ52" s="856"/>
      <c r="AK52" s="856"/>
      <c r="AL52" s="856"/>
      <c r="AM52" s="856"/>
      <c r="AN52" s="856"/>
      <c r="AO52" s="856"/>
      <c r="AP52" s="856"/>
      <c r="AQ52" s="856"/>
      <c r="AS52" s="856" t="s">
        <v>116</v>
      </c>
      <c r="AT52" s="856"/>
      <c r="AV52" s="856" t="s">
        <v>116</v>
      </c>
      <c r="AW52" s="856"/>
      <c r="AY52" s="856" t="s">
        <v>116</v>
      </c>
      <c r="AZ52" s="856"/>
      <c r="BB52" s="856" t="s">
        <v>116</v>
      </c>
      <c r="BC52" s="856"/>
      <c r="BE52" s="856" t="s">
        <v>116</v>
      </c>
      <c r="BF52" s="856"/>
      <c r="BH52" s="896" t="s">
        <v>116</v>
      </c>
      <c r="BI52" s="896"/>
      <c r="BK52" s="856" t="s">
        <v>116</v>
      </c>
      <c r="BL52" s="856"/>
      <c r="BN52" s="856" t="s">
        <v>116</v>
      </c>
      <c r="BO52" s="856"/>
      <c r="BQ52" s="856" t="s">
        <v>116</v>
      </c>
      <c r="BR52" s="856"/>
      <c r="BT52" s="856" t="s">
        <v>116</v>
      </c>
      <c r="BU52" s="856"/>
      <c r="BW52" s="856" t="s">
        <v>116</v>
      </c>
      <c r="BX52" s="856"/>
      <c r="BY52"/>
      <c r="BZ52"/>
      <c r="CA52"/>
      <c r="CB52"/>
      <c r="CC52"/>
      <c r="CD52" s="856" t="s">
        <v>116</v>
      </c>
      <c r="CE52" s="856"/>
      <c r="CG52" s="856" t="s">
        <v>116</v>
      </c>
      <c r="CH52" s="856"/>
      <c r="CJ52" s="856" t="s">
        <v>116</v>
      </c>
      <c r="CK52" s="856"/>
      <c r="CM52" s="856" t="s">
        <v>116</v>
      </c>
      <c r="CN52" s="856"/>
      <c r="CP52" s="856" t="s">
        <v>116</v>
      </c>
      <c r="CQ52" s="856"/>
      <c r="CS52" s="896" t="s">
        <v>116</v>
      </c>
      <c r="CT52" s="896"/>
      <c r="CV52" s="856" t="s">
        <v>116</v>
      </c>
      <c r="CW52" s="856"/>
      <c r="CY52" s="856" t="s">
        <v>116</v>
      </c>
      <c r="CZ52" s="856"/>
      <c r="DB52" s="856" t="s">
        <v>116</v>
      </c>
      <c r="DC52" s="856"/>
      <c r="DE52" s="856" t="s">
        <v>116</v>
      </c>
      <c r="DF52" s="856"/>
      <c r="DH52" s="856" t="s">
        <v>116</v>
      </c>
      <c r="DI52" s="856"/>
      <c r="DK52"/>
      <c r="DL52"/>
      <c r="DM52" s="3">
        <v>1</v>
      </c>
    </row>
    <row r="53" spans="1:117" s="709" customFormat="1" ht="18" customHeight="1">
      <c r="B53" s="5784" t="s">
        <v>1137</v>
      </c>
      <c r="C53" s="5784"/>
      <c r="D53" s="856"/>
      <c r="E53" s="5496" t="s">
        <v>1138</v>
      </c>
      <c r="F53" s="5496"/>
      <c r="G53" s="856"/>
      <c r="H53" s="5752" t="s">
        <v>1139</v>
      </c>
      <c r="I53" s="5752"/>
      <c r="J53" s="856"/>
      <c r="K53" s="5473" t="s">
        <v>1140</v>
      </c>
      <c r="L53" s="5473"/>
      <c r="M53" s="856"/>
      <c r="N53" s="5774" t="s">
        <v>1141</v>
      </c>
      <c r="O53" s="5774"/>
      <c r="P53" s="856"/>
      <c r="Q53" s="5756" t="s">
        <v>1142</v>
      </c>
      <c r="R53" s="5756"/>
      <c r="S53" s="856"/>
      <c r="T53" s="5748" t="s">
        <v>1143</v>
      </c>
      <c r="U53" s="5748"/>
      <c r="V53" s="856"/>
      <c r="W53" s="5746" t="s">
        <v>1144</v>
      </c>
      <c r="X53" s="5746"/>
      <c r="Y53" s="856"/>
      <c r="Z53" s="5758" t="s">
        <v>1145</v>
      </c>
      <c r="AA53" s="5758"/>
      <c r="AB53" s="227"/>
      <c r="AC53" s="5760" t="s">
        <v>1146</v>
      </c>
      <c r="AD53" s="5760"/>
      <c r="AE53" s="227"/>
      <c r="AF53" s="5762" t="s">
        <v>1147</v>
      </c>
      <c r="AG53" s="5762"/>
      <c r="AH53" s="227"/>
      <c r="AI53" s="856"/>
      <c r="AJ53" s="856"/>
      <c r="AK53" s="856"/>
      <c r="AL53" s="856"/>
      <c r="AM53" s="856"/>
      <c r="AN53" s="856"/>
      <c r="AO53" s="856"/>
      <c r="AP53" s="856"/>
      <c r="AQ53" s="856"/>
      <c r="AS53" s="5784" t="s">
        <v>2243</v>
      </c>
      <c r="AT53" s="5784"/>
      <c r="AV53" s="5496" t="s">
        <v>2244</v>
      </c>
      <c r="AW53" s="5496"/>
      <c r="AY53" s="5752" t="s">
        <v>2245</v>
      </c>
      <c r="AZ53" s="5752"/>
      <c r="BB53" s="5473" t="s">
        <v>2246</v>
      </c>
      <c r="BC53" s="5473"/>
      <c r="BE53" s="5774" t="s">
        <v>2247</v>
      </c>
      <c r="BF53" s="5774"/>
      <c r="BH53" s="5756" t="s">
        <v>2248</v>
      </c>
      <c r="BI53" s="5756"/>
      <c r="BK53" s="5748" t="s">
        <v>2249</v>
      </c>
      <c r="BL53" s="5748"/>
      <c r="BN53" s="5746" t="s">
        <v>2250</v>
      </c>
      <c r="BO53" s="5746"/>
      <c r="BQ53" s="5758" t="s">
        <v>2251</v>
      </c>
      <c r="BR53" s="5758"/>
      <c r="BT53" s="5760" t="s">
        <v>2252</v>
      </c>
      <c r="BU53" s="5760"/>
      <c r="BW53" s="5762" t="s">
        <v>2253</v>
      </c>
      <c r="BX53" s="5762"/>
      <c r="BY53"/>
      <c r="BZ53"/>
      <c r="CA53"/>
      <c r="CB53"/>
      <c r="CC53"/>
      <c r="CD53" s="5784" t="s">
        <v>2254</v>
      </c>
      <c r="CE53" s="5784"/>
      <c r="CG53" s="5750" t="s">
        <v>2255</v>
      </c>
      <c r="CH53" s="5750"/>
      <c r="CJ53" s="5752" t="s">
        <v>2256</v>
      </c>
      <c r="CK53" s="5752"/>
      <c r="CM53" s="5473" t="s">
        <v>2257</v>
      </c>
      <c r="CN53" s="5473"/>
      <c r="CP53" s="5774" t="s">
        <v>2258</v>
      </c>
      <c r="CQ53" s="5774"/>
      <c r="CS53" s="5756" t="s">
        <v>2259</v>
      </c>
      <c r="CT53" s="5756"/>
      <c r="CV53" s="5748" t="s">
        <v>2260</v>
      </c>
      <c r="CW53" s="5748"/>
      <c r="CY53" s="5746" t="s">
        <v>2261</v>
      </c>
      <c r="CZ53" s="5746"/>
      <c r="DB53" s="5758" t="s">
        <v>2262</v>
      </c>
      <c r="DC53" s="5758"/>
      <c r="DE53" s="5760" t="s">
        <v>2263</v>
      </c>
      <c r="DF53" s="5760"/>
      <c r="DH53" s="5762" t="s">
        <v>2264</v>
      </c>
      <c r="DI53" s="5762"/>
      <c r="DK53"/>
      <c r="DL53"/>
      <c r="DM53" s="3">
        <v>1</v>
      </c>
    </row>
    <row r="54" spans="1:117" s="709" customFormat="1" ht="18" customHeight="1">
      <c r="A54"/>
      <c r="B54" s="5785"/>
      <c r="C54" s="5785"/>
      <c r="D54" s="856"/>
      <c r="E54" s="5497"/>
      <c r="F54" s="5497"/>
      <c r="G54" s="856"/>
      <c r="H54" s="5753"/>
      <c r="I54" s="5753"/>
      <c r="J54" s="856"/>
      <c r="K54" s="5474"/>
      <c r="L54" s="5474"/>
      <c r="M54" s="856"/>
      <c r="N54" s="5775"/>
      <c r="O54" s="5775"/>
      <c r="P54" s="856"/>
      <c r="Q54" s="5757"/>
      <c r="R54" s="5757"/>
      <c r="S54" s="856"/>
      <c r="T54" s="5749"/>
      <c r="U54" s="5749"/>
      <c r="V54" s="856"/>
      <c r="W54" s="5747"/>
      <c r="X54" s="5747"/>
      <c r="Y54" s="856"/>
      <c r="Z54" s="5759"/>
      <c r="AA54" s="5759"/>
      <c r="AB54" s="227"/>
      <c r="AC54" s="5761"/>
      <c r="AD54" s="5761"/>
      <c r="AE54" s="227"/>
      <c r="AF54" s="5763"/>
      <c r="AG54" s="5763"/>
      <c r="AH54" s="227"/>
      <c r="AI54" s="856"/>
      <c r="AJ54" s="856"/>
      <c r="AK54" s="856"/>
      <c r="AL54" s="856"/>
      <c r="AM54" s="856"/>
      <c r="AN54" s="856"/>
      <c r="AO54" s="856"/>
      <c r="AP54" s="856"/>
      <c r="AQ54" s="856"/>
      <c r="AS54" s="5785" t="s">
        <v>116</v>
      </c>
      <c r="AT54" s="5785"/>
      <c r="AV54" s="5497" t="s">
        <v>116</v>
      </c>
      <c r="AW54" s="5497"/>
      <c r="AY54" s="5753" t="s">
        <v>116</v>
      </c>
      <c r="AZ54" s="5753"/>
      <c r="BB54" s="5474" t="s">
        <v>116</v>
      </c>
      <c r="BC54" s="5474"/>
      <c r="BE54" s="5775" t="s">
        <v>116</v>
      </c>
      <c r="BF54" s="5775"/>
      <c r="BH54" s="5757" t="s">
        <v>116</v>
      </c>
      <c r="BI54" s="5757"/>
      <c r="BK54" s="5749" t="s">
        <v>116</v>
      </c>
      <c r="BL54" s="5749"/>
      <c r="BN54" s="5747" t="s">
        <v>116</v>
      </c>
      <c r="BO54" s="5747"/>
      <c r="BQ54" s="5759" t="s">
        <v>116</v>
      </c>
      <c r="BR54" s="5759"/>
      <c r="BT54" s="5761" t="s">
        <v>116</v>
      </c>
      <c r="BU54" s="5761"/>
      <c r="BW54" s="5763" t="s">
        <v>116</v>
      </c>
      <c r="BX54" s="5763"/>
      <c r="BY54"/>
      <c r="BZ54"/>
      <c r="CA54"/>
      <c r="CB54"/>
      <c r="CC54"/>
      <c r="CD54" s="5785" t="s">
        <v>116</v>
      </c>
      <c r="CE54" s="5785"/>
      <c r="CG54" s="5751" t="s">
        <v>116</v>
      </c>
      <c r="CH54" s="5751"/>
      <c r="CJ54" s="5753" t="s">
        <v>116</v>
      </c>
      <c r="CK54" s="5753"/>
      <c r="CM54" s="5474" t="s">
        <v>116</v>
      </c>
      <c r="CN54" s="5474"/>
      <c r="CP54" s="5775" t="s">
        <v>116</v>
      </c>
      <c r="CQ54" s="5775"/>
      <c r="CS54" s="5757" t="s">
        <v>116</v>
      </c>
      <c r="CT54" s="5757"/>
      <c r="CV54" s="5749" t="s">
        <v>116</v>
      </c>
      <c r="CW54" s="5749"/>
      <c r="CY54" s="5747" t="s">
        <v>116</v>
      </c>
      <c r="CZ54" s="5747"/>
      <c r="DB54" s="5759" t="s">
        <v>116</v>
      </c>
      <c r="DC54" s="5759"/>
      <c r="DE54" s="5761" t="s">
        <v>116</v>
      </c>
      <c r="DF54" s="5761"/>
      <c r="DH54" s="5763" t="s">
        <v>116</v>
      </c>
      <c r="DI54" s="5763"/>
      <c r="DK54"/>
      <c r="DL54"/>
      <c r="DM54" s="3">
        <v>1</v>
      </c>
    </row>
    <row r="55" spans="1:117" s="709" customFormat="1" ht="18" customHeight="1" thickBot="1">
      <c r="A55"/>
      <c r="B55" s="856"/>
      <c r="C55" s="856"/>
      <c r="D55" s="856"/>
      <c r="E55" s="856"/>
      <c r="F55" s="856"/>
      <c r="G55" s="856"/>
      <c r="H55" s="856"/>
      <c r="I55" s="856"/>
      <c r="J55" s="856"/>
      <c r="K55" s="856"/>
      <c r="L55" s="856"/>
      <c r="M55" s="856"/>
      <c r="N55" s="856"/>
      <c r="O55" s="856"/>
      <c r="P55" s="856"/>
      <c r="Q55" s="896"/>
      <c r="R55" s="896"/>
      <c r="S55" s="856"/>
      <c r="T55" s="856"/>
      <c r="U55" s="856"/>
      <c r="V55" s="856"/>
      <c r="W55" s="856"/>
      <c r="X55" s="856"/>
      <c r="Y55" s="856"/>
      <c r="Z55" s="856"/>
      <c r="AA55" s="856"/>
      <c r="AB55" s="227"/>
      <c r="AC55" s="856"/>
      <c r="AD55" s="856"/>
      <c r="AE55" s="227"/>
      <c r="AF55" s="856"/>
      <c r="AG55" s="856"/>
      <c r="AH55" s="227"/>
      <c r="AI55" s="856"/>
      <c r="AJ55" s="856"/>
      <c r="AK55" s="856"/>
      <c r="AL55" s="856"/>
      <c r="AM55" s="856"/>
      <c r="AN55" s="856"/>
      <c r="AO55" s="856"/>
      <c r="AP55" s="856"/>
      <c r="AQ55" s="856"/>
      <c r="AS55" s="856" t="s">
        <v>116</v>
      </c>
      <c r="AT55" s="856"/>
      <c r="AV55" s="856" t="s">
        <v>116</v>
      </c>
      <c r="AW55" s="856"/>
      <c r="AY55" s="856" t="s">
        <v>116</v>
      </c>
      <c r="AZ55" s="856"/>
      <c r="BB55" s="856" t="s">
        <v>116</v>
      </c>
      <c r="BC55" s="856"/>
      <c r="BE55" s="856" t="s">
        <v>116</v>
      </c>
      <c r="BF55" s="856"/>
      <c r="BH55" s="896" t="s">
        <v>116</v>
      </c>
      <c r="BI55" s="896"/>
      <c r="BK55" s="856" t="s">
        <v>116</v>
      </c>
      <c r="BL55" s="856"/>
      <c r="BN55" s="856" t="s">
        <v>116</v>
      </c>
      <c r="BO55" s="856"/>
      <c r="BQ55" s="856" t="s">
        <v>116</v>
      </c>
      <c r="BR55" s="856"/>
      <c r="BT55" s="856" t="s">
        <v>116</v>
      </c>
      <c r="BU55" s="856"/>
      <c r="BW55" s="856" t="s">
        <v>116</v>
      </c>
      <c r="BX55" s="856"/>
      <c r="BY55"/>
      <c r="BZ55"/>
      <c r="CA55"/>
      <c r="CB55"/>
      <c r="CC55"/>
      <c r="CD55" s="856" t="s">
        <v>116</v>
      </c>
      <c r="CE55" s="856"/>
      <c r="CG55" s="856" t="s">
        <v>116</v>
      </c>
      <c r="CH55" s="856"/>
      <c r="CJ55" s="856" t="s">
        <v>116</v>
      </c>
      <c r="CK55" s="856"/>
      <c r="CM55" s="856" t="s">
        <v>116</v>
      </c>
      <c r="CN55" s="856"/>
      <c r="CP55" s="856" t="s">
        <v>116</v>
      </c>
      <c r="CQ55" s="856"/>
      <c r="CS55" s="896" t="s">
        <v>116</v>
      </c>
      <c r="CT55" s="896"/>
      <c r="CV55" s="856" t="s">
        <v>116</v>
      </c>
      <c r="CW55" s="856"/>
      <c r="CY55" s="856" t="s">
        <v>116</v>
      </c>
      <c r="CZ55" s="856"/>
      <c r="DB55" s="856" t="s">
        <v>116</v>
      </c>
      <c r="DC55" s="856"/>
      <c r="DE55" s="856" t="s">
        <v>116</v>
      </c>
      <c r="DF55" s="856"/>
      <c r="DH55" s="856" t="s">
        <v>116</v>
      </c>
      <c r="DI55" s="856"/>
      <c r="DK55"/>
      <c r="DL55"/>
      <c r="DM55" s="3">
        <v>1</v>
      </c>
    </row>
    <row r="56" spans="1:117" s="709" customFormat="1" ht="18" customHeight="1">
      <c r="A56"/>
      <c r="B56" s="5782" t="s">
        <v>1148</v>
      </c>
      <c r="C56" s="5782"/>
      <c r="D56" s="856"/>
      <c r="E56" s="5750" t="s">
        <v>1149</v>
      </c>
      <c r="F56" s="5750"/>
      <c r="G56" s="856"/>
      <c r="H56" s="5752" t="s">
        <v>1150</v>
      </c>
      <c r="I56" s="5752"/>
      <c r="J56" s="856"/>
      <c r="K56" s="5473" t="s">
        <v>1151</v>
      </c>
      <c r="L56" s="5473"/>
      <c r="M56" s="856"/>
      <c r="N56" s="5770" t="s">
        <v>1152</v>
      </c>
      <c r="O56" s="5770"/>
      <c r="P56" s="856"/>
      <c r="Q56" s="5756" t="s">
        <v>1153</v>
      </c>
      <c r="R56" s="5756"/>
      <c r="S56" s="856"/>
      <c r="T56" s="5748" t="s">
        <v>1154</v>
      </c>
      <c r="U56" s="5748"/>
      <c r="V56" s="856"/>
      <c r="W56" s="5746" t="s">
        <v>1155</v>
      </c>
      <c r="X56" s="5746"/>
      <c r="Y56" s="856"/>
      <c r="Z56" s="5758" t="s">
        <v>1156</v>
      </c>
      <c r="AA56" s="5758"/>
      <c r="AB56" s="227"/>
      <c r="AC56" s="5760" t="s">
        <v>1157</v>
      </c>
      <c r="AD56" s="5760"/>
      <c r="AE56" s="227"/>
      <c r="AF56" s="5762" t="s">
        <v>1158</v>
      </c>
      <c r="AG56" s="5762"/>
      <c r="AH56" s="227"/>
      <c r="AI56" s="856"/>
      <c r="AJ56" s="856"/>
      <c r="AK56" s="856"/>
      <c r="AL56" s="856"/>
      <c r="AM56" s="856"/>
      <c r="AN56" s="856"/>
      <c r="AO56" s="856"/>
      <c r="AP56" s="856"/>
      <c r="AQ56" s="856"/>
      <c r="AS56" s="5782" t="s">
        <v>2265</v>
      </c>
      <c r="AT56" s="5782"/>
      <c r="AV56" s="5750" t="s">
        <v>2266</v>
      </c>
      <c r="AW56" s="5750"/>
      <c r="AY56" s="5752" t="s">
        <v>2267</v>
      </c>
      <c r="AZ56" s="5752"/>
      <c r="BB56" s="5473" t="s">
        <v>2268</v>
      </c>
      <c r="BC56" s="5473"/>
      <c r="BE56" s="5770" t="s">
        <v>2269</v>
      </c>
      <c r="BF56" s="5770"/>
      <c r="BH56" s="5756" t="s">
        <v>2270</v>
      </c>
      <c r="BI56" s="5756"/>
      <c r="BK56" s="5748" t="s">
        <v>2271</v>
      </c>
      <c r="BL56" s="5748"/>
      <c r="BN56" s="5746" t="s">
        <v>2272</v>
      </c>
      <c r="BO56" s="5746"/>
      <c r="BQ56" s="5758" t="s">
        <v>2273</v>
      </c>
      <c r="BR56" s="5758"/>
      <c r="BT56" s="5760" t="s">
        <v>2274</v>
      </c>
      <c r="BU56" s="5760"/>
      <c r="BW56" s="5762" t="s">
        <v>1169</v>
      </c>
      <c r="BX56" s="5762"/>
      <c r="BY56"/>
      <c r="BZ56"/>
      <c r="CA56"/>
      <c r="CB56"/>
      <c r="CC56"/>
      <c r="CD56" s="5782" t="s">
        <v>2275</v>
      </c>
      <c r="CE56" s="5782"/>
      <c r="CG56" s="5750" t="s">
        <v>2276</v>
      </c>
      <c r="CH56" s="5750"/>
      <c r="CJ56" s="5752" t="s">
        <v>2277</v>
      </c>
      <c r="CK56" s="5752"/>
      <c r="CM56" s="5473" t="s">
        <v>2278</v>
      </c>
      <c r="CN56" s="5473"/>
      <c r="CP56" s="5770" t="s">
        <v>2279</v>
      </c>
      <c r="CQ56" s="5770"/>
      <c r="CS56" s="5756" t="s">
        <v>2280</v>
      </c>
      <c r="CT56" s="5756"/>
      <c r="CV56" s="5748" t="s">
        <v>2281</v>
      </c>
      <c r="CW56" s="5748"/>
      <c r="CY56" s="5746" t="s">
        <v>2282</v>
      </c>
      <c r="CZ56" s="5746"/>
      <c r="DB56" s="5758" t="s">
        <v>2283</v>
      </c>
      <c r="DC56" s="5758"/>
      <c r="DE56" s="5760" t="s">
        <v>2284</v>
      </c>
      <c r="DF56" s="5760"/>
      <c r="DH56" s="5762" t="s">
        <v>1169</v>
      </c>
      <c r="DI56" s="5762"/>
      <c r="DK56"/>
      <c r="DL56"/>
      <c r="DM56" s="3">
        <v>1</v>
      </c>
    </row>
    <row r="57" spans="1:117" s="709" customFormat="1" ht="18" customHeight="1">
      <c r="A57"/>
      <c r="B57" s="5783"/>
      <c r="C57" s="5783"/>
      <c r="D57" s="856"/>
      <c r="E57" s="5751"/>
      <c r="F57" s="5751"/>
      <c r="G57" s="856"/>
      <c r="H57" s="5753"/>
      <c r="I57" s="5753"/>
      <c r="J57" s="856"/>
      <c r="K57" s="5474"/>
      <c r="L57" s="5474"/>
      <c r="M57" s="856"/>
      <c r="N57" s="5771"/>
      <c r="O57" s="5771"/>
      <c r="P57" s="856"/>
      <c r="Q57" s="5757"/>
      <c r="R57" s="5757"/>
      <c r="S57" s="856"/>
      <c r="T57" s="5749"/>
      <c r="U57" s="5749"/>
      <c r="V57" s="856"/>
      <c r="W57" s="5747"/>
      <c r="X57" s="5747"/>
      <c r="Y57" s="856"/>
      <c r="Z57" s="5759"/>
      <c r="AA57" s="5759"/>
      <c r="AB57" s="227"/>
      <c r="AC57" s="5761"/>
      <c r="AD57" s="5761"/>
      <c r="AE57" s="227"/>
      <c r="AF57" s="5763"/>
      <c r="AG57" s="5763"/>
      <c r="AH57" s="227"/>
      <c r="AI57" s="856"/>
      <c r="AJ57" s="856"/>
      <c r="AK57" s="856"/>
      <c r="AL57" s="856"/>
      <c r="AM57" s="856"/>
      <c r="AN57" s="856"/>
      <c r="AO57" s="856"/>
      <c r="AP57" s="856"/>
      <c r="AQ57" s="856"/>
      <c r="AS57" s="5783" t="s">
        <v>116</v>
      </c>
      <c r="AT57" s="5783"/>
      <c r="AV57" s="5751" t="s">
        <v>116</v>
      </c>
      <c r="AW57" s="5751"/>
      <c r="AY57" s="5753" t="s">
        <v>116</v>
      </c>
      <c r="AZ57" s="5753"/>
      <c r="BB57" s="5474" t="s">
        <v>116</v>
      </c>
      <c r="BC57" s="5474"/>
      <c r="BE57" s="5771" t="s">
        <v>116</v>
      </c>
      <c r="BF57" s="5771"/>
      <c r="BH57" s="5757" t="s">
        <v>116</v>
      </c>
      <c r="BI57" s="5757"/>
      <c r="BK57" s="5749" t="s">
        <v>116</v>
      </c>
      <c r="BL57" s="5749"/>
      <c r="BN57" s="5747" t="s">
        <v>116</v>
      </c>
      <c r="BO57" s="5747"/>
      <c r="BQ57" s="5759" t="s">
        <v>116</v>
      </c>
      <c r="BR57" s="5759"/>
      <c r="BT57" s="5761" t="s">
        <v>116</v>
      </c>
      <c r="BU57" s="5761"/>
      <c r="BW57" s="5763" t="s">
        <v>116</v>
      </c>
      <c r="BX57" s="5763"/>
      <c r="BY57"/>
      <c r="BZ57"/>
      <c r="CA57"/>
      <c r="CB57"/>
      <c r="CC57"/>
      <c r="CD57" s="5783" t="s">
        <v>116</v>
      </c>
      <c r="CE57" s="5783"/>
      <c r="CG57" s="5751" t="s">
        <v>116</v>
      </c>
      <c r="CH57" s="5751"/>
      <c r="CJ57" s="5753" t="s">
        <v>116</v>
      </c>
      <c r="CK57" s="5753"/>
      <c r="CM57" s="5474" t="s">
        <v>116</v>
      </c>
      <c r="CN57" s="5474"/>
      <c r="CP57" s="5771" t="s">
        <v>116</v>
      </c>
      <c r="CQ57" s="5771"/>
      <c r="CS57" s="5757" t="s">
        <v>116</v>
      </c>
      <c r="CT57" s="5757"/>
      <c r="CV57" s="5749" t="s">
        <v>116</v>
      </c>
      <c r="CW57" s="5749"/>
      <c r="CY57" s="5747" t="s">
        <v>116</v>
      </c>
      <c r="CZ57" s="5747"/>
      <c r="DB57" s="5759" t="s">
        <v>116</v>
      </c>
      <c r="DC57" s="5759"/>
      <c r="DE57" s="5761" t="s">
        <v>116</v>
      </c>
      <c r="DF57" s="5761"/>
      <c r="DH57" s="5763" t="s">
        <v>116</v>
      </c>
      <c r="DI57" s="5763"/>
      <c r="DK57"/>
      <c r="DL57"/>
      <c r="DM57" s="3">
        <v>1</v>
      </c>
    </row>
    <row r="58" spans="1:117" s="709" customFormat="1" ht="18" customHeight="1" thickBot="1">
      <c r="A58"/>
      <c r="B58" s="856"/>
      <c r="C58" s="856"/>
      <c r="D58" s="856"/>
      <c r="E58" s="856"/>
      <c r="F58" s="856"/>
      <c r="G58" s="856"/>
      <c r="H58" s="856"/>
      <c r="I58" s="856"/>
      <c r="J58" s="856"/>
      <c r="K58" s="856"/>
      <c r="L58" s="856"/>
      <c r="M58" s="856"/>
      <c r="N58" s="856"/>
      <c r="O58" s="856"/>
      <c r="P58" s="856"/>
      <c r="Q58" s="896"/>
      <c r="R58" s="896"/>
      <c r="S58" s="856"/>
      <c r="T58" s="856"/>
      <c r="U58" s="856"/>
      <c r="V58" s="856"/>
      <c r="W58" s="856"/>
      <c r="X58" s="856"/>
      <c r="Y58" s="856"/>
      <c r="Z58" s="856"/>
      <c r="AA58" s="856"/>
      <c r="AB58" s="227"/>
      <c r="AC58" s="856"/>
      <c r="AD58" s="856"/>
      <c r="AE58" s="227"/>
      <c r="AF58" s="856"/>
      <c r="AG58" s="856"/>
      <c r="AH58" s="227"/>
      <c r="AI58" s="856"/>
      <c r="AJ58" s="856"/>
      <c r="AK58" s="856"/>
      <c r="AL58" s="856"/>
      <c r="AM58" s="856"/>
      <c r="AN58" s="856"/>
      <c r="AO58" s="856"/>
      <c r="AP58" s="856"/>
      <c r="AQ58" s="856"/>
      <c r="AS58" s="856" t="s">
        <v>116</v>
      </c>
      <c r="AT58" s="856"/>
      <c r="AV58" s="856" t="s">
        <v>116</v>
      </c>
      <c r="AW58" s="856"/>
      <c r="AY58" s="856" t="s">
        <v>116</v>
      </c>
      <c r="AZ58" s="856"/>
      <c r="BB58" s="856" t="s">
        <v>116</v>
      </c>
      <c r="BC58" s="856"/>
      <c r="BE58" s="856" t="s">
        <v>116</v>
      </c>
      <c r="BF58" s="856"/>
      <c r="BH58" s="896" t="s">
        <v>116</v>
      </c>
      <c r="BI58" s="896"/>
      <c r="BK58" s="856" t="s">
        <v>116</v>
      </c>
      <c r="BL58" s="856"/>
      <c r="BN58" s="856" t="s">
        <v>116</v>
      </c>
      <c r="BO58" s="856"/>
      <c r="BQ58" s="856" t="s">
        <v>116</v>
      </c>
      <c r="BR58" s="856"/>
      <c r="BT58" s="856" t="s">
        <v>116</v>
      </c>
      <c r="BU58" s="856"/>
      <c r="BW58" s="856" t="s">
        <v>116</v>
      </c>
      <c r="BX58" s="856"/>
      <c r="BY58"/>
      <c r="BZ58"/>
      <c r="CA58"/>
      <c r="CB58"/>
      <c r="CC58"/>
      <c r="CD58" s="856" t="s">
        <v>116</v>
      </c>
      <c r="CE58" s="856"/>
      <c r="CG58" s="856" t="s">
        <v>116</v>
      </c>
      <c r="CH58" s="856"/>
      <c r="CJ58" s="856" t="s">
        <v>116</v>
      </c>
      <c r="CK58" s="856"/>
      <c r="CM58" s="856" t="s">
        <v>116</v>
      </c>
      <c r="CN58" s="856"/>
      <c r="CP58" s="856" t="s">
        <v>116</v>
      </c>
      <c r="CQ58" s="856"/>
      <c r="CS58" s="896" t="s">
        <v>116</v>
      </c>
      <c r="CT58" s="896"/>
      <c r="CV58" s="856" t="s">
        <v>116</v>
      </c>
      <c r="CW58" s="856"/>
      <c r="CY58" s="856" t="s">
        <v>116</v>
      </c>
      <c r="CZ58" s="856"/>
      <c r="DB58" s="856" t="s">
        <v>116</v>
      </c>
      <c r="DC58" s="856"/>
      <c r="DE58" s="856" t="s">
        <v>116</v>
      </c>
      <c r="DF58" s="856"/>
      <c r="DH58" s="856" t="s">
        <v>116</v>
      </c>
      <c r="DI58" s="856"/>
      <c r="DK58"/>
      <c r="DL58"/>
      <c r="DM58" s="3">
        <v>1</v>
      </c>
    </row>
    <row r="59" spans="1:117" s="709" customFormat="1" ht="18" customHeight="1">
      <c r="A59"/>
      <c r="B59" s="5780" t="s">
        <v>1159</v>
      </c>
      <c r="C59" s="5780"/>
      <c r="D59" s="856"/>
      <c r="E59" s="5750" t="s">
        <v>1160</v>
      </c>
      <c r="F59" s="5750"/>
      <c r="G59" s="856"/>
      <c r="H59" s="5752" t="s">
        <v>1161</v>
      </c>
      <c r="I59" s="5752"/>
      <c r="J59" s="856"/>
      <c r="K59" s="5473" t="s">
        <v>1162</v>
      </c>
      <c r="L59" s="5473"/>
      <c r="M59" s="856"/>
      <c r="N59" s="5770" t="s">
        <v>1163</v>
      </c>
      <c r="O59" s="5770"/>
      <c r="P59" s="856"/>
      <c r="Q59" s="5756" t="s">
        <v>1164</v>
      </c>
      <c r="R59" s="5756"/>
      <c r="S59" s="856"/>
      <c r="T59" s="5748" t="s">
        <v>1165</v>
      </c>
      <c r="U59" s="5748"/>
      <c r="V59" s="856"/>
      <c r="W59" s="5746" t="s">
        <v>1166</v>
      </c>
      <c r="X59" s="5746"/>
      <c r="Y59" s="856"/>
      <c r="Z59" s="5758" t="s">
        <v>1167</v>
      </c>
      <c r="AA59" s="5758"/>
      <c r="AB59" s="227"/>
      <c r="AC59" s="5760" t="s">
        <v>1168</v>
      </c>
      <c r="AD59" s="5760"/>
      <c r="AE59" s="227"/>
      <c r="AF59" s="5762" t="s">
        <v>1169</v>
      </c>
      <c r="AG59" s="5762"/>
      <c r="AH59" s="227"/>
      <c r="AI59" s="856"/>
      <c r="AJ59" s="856"/>
      <c r="AK59" s="856"/>
      <c r="AL59" s="856"/>
      <c r="AM59" s="856"/>
      <c r="AN59" s="856"/>
      <c r="AO59" s="856"/>
      <c r="AP59" s="856"/>
      <c r="AQ59" s="856"/>
      <c r="AS59" s="5780" t="s">
        <v>2285</v>
      </c>
      <c r="AT59" s="5780"/>
      <c r="AV59" s="5750" t="s">
        <v>2286</v>
      </c>
      <c r="AW59" s="5750"/>
      <c r="AY59" s="5752" t="s">
        <v>2287</v>
      </c>
      <c r="AZ59" s="5752"/>
      <c r="BB59" s="5473" t="s">
        <v>2288</v>
      </c>
      <c r="BC59" s="5473"/>
      <c r="BE59" s="5770" t="s">
        <v>2289</v>
      </c>
      <c r="BF59" s="5770"/>
      <c r="BH59" s="5756" t="s">
        <v>2290</v>
      </c>
      <c r="BI59" s="5756"/>
      <c r="BK59" s="5748" t="s">
        <v>2291</v>
      </c>
      <c r="BL59" s="5748"/>
      <c r="BN59" s="5746" t="s">
        <v>2292</v>
      </c>
      <c r="BO59" s="5746"/>
      <c r="BQ59" s="5758" t="s">
        <v>2293</v>
      </c>
      <c r="BR59" s="5758"/>
      <c r="BT59" s="5760" t="s">
        <v>2294</v>
      </c>
      <c r="BU59" s="5760"/>
      <c r="BW59" s="5762" t="s">
        <v>2295</v>
      </c>
      <c r="BX59" s="5762"/>
      <c r="BY59"/>
      <c r="BZ59"/>
      <c r="CA59"/>
      <c r="CB59"/>
      <c r="CC59"/>
      <c r="CD59" s="5780" t="s">
        <v>2296</v>
      </c>
      <c r="CE59" s="5780"/>
      <c r="CG59" s="5496" t="s">
        <v>2297</v>
      </c>
      <c r="CH59" s="5496"/>
      <c r="CJ59" s="5752" t="s">
        <v>2298</v>
      </c>
      <c r="CK59" s="5752"/>
      <c r="CM59" s="5473" t="s">
        <v>2299</v>
      </c>
      <c r="CN59" s="5473"/>
      <c r="CP59" s="5770" t="s">
        <v>2300</v>
      </c>
      <c r="CQ59" s="5770"/>
      <c r="CS59" s="5756" t="s">
        <v>2301</v>
      </c>
      <c r="CT59" s="5756"/>
      <c r="CV59" s="5748" t="s">
        <v>2302</v>
      </c>
      <c r="CW59" s="5748"/>
      <c r="CY59" s="5746" t="s">
        <v>2303</v>
      </c>
      <c r="CZ59" s="5746"/>
      <c r="DB59" s="5758" t="s">
        <v>2304</v>
      </c>
      <c r="DC59" s="5758"/>
      <c r="DE59" s="5760" t="s">
        <v>2305</v>
      </c>
      <c r="DF59" s="5760"/>
      <c r="DH59" s="5762" t="s">
        <v>2306</v>
      </c>
      <c r="DI59" s="5762"/>
      <c r="DK59"/>
      <c r="DL59"/>
      <c r="DM59" s="3">
        <v>1</v>
      </c>
    </row>
    <row r="60" spans="1:117" s="709" customFormat="1" ht="18" customHeight="1">
      <c r="A60"/>
      <c r="B60" s="5781"/>
      <c r="C60" s="5781"/>
      <c r="D60" s="856"/>
      <c r="E60" s="5751"/>
      <c r="F60" s="5751"/>
      <c r="G60" s="856"/>
      <c r="H60" s="5753"/>
      <c r="I60" s="5753"/>
      <c r="J60" s="856"/>
      <c r="K60" s="5474"/>
      <c r="L60" s="5474"/>
      <c r="M60" s="856"/>
      <c r="N60" s="5771"/>
      <c r="O60" s="5771"/>
      <c r="P60" s="856"/>
      <c r="Q60" s="5757"/>
      <c r="R60" s="5757"/>
      <c r="S60" s="856"/>
      <c r="T60" s="5749"/>
      <c r="U60" s="5749"/>
      <c r="V60" s="856"/>
      <c r="W60" s="5747"/>
      <c r="X60" s="5747"/>
      <c r="Y60" s="856"/>
      <c r="Z60" s="5759"/>
      <c r="AA60" s="5759"/>
      <c r="AB60" s="227"/>
      <c r="AC60" s="5761"/>
      <c r="AD60" s="5761"/>
      <c r="AE60" s="227"/>
      <c r="AF60" s="5763"/>
      <c r="AG60" s="5763"/>
      <c r="AH60" s="227"/>
      <c r="AI60" s="856"/>
      <c r="AJ60" s="856"/>
      <c r="AK60" s="856"/>
      <c r="AL60" s="856"/>
      <c r="AM60" s="856"/>
      <c r="AN60" s="856"/>
      <c r="AO60" s="856"/>
      <c r="AP60" s="856"/>
      <c r="AQ60" s="856"/>
      <c r="AS60" s="5781" t="s">
        <v>116</v>
      </c>
      <c r="AT60" s="5781"/>
      <c r="AV60" s="5751" t="s">
        <v>116</v>
      </c>
      <c r="AW60" s="5751"/>
      <c r="AY60" s="5753" t="s">
        <v>116</v>
      </c>
      <c r="AZ60" s="5753"/>
      <c r="BB60" s="5474" t="s">
        <v>116</v>
      </c>
      <c r="BC60" s="5474"/>
      <c r="BE60" s="5771" t="s">
        <v>116</v>
      </c>
      <c r="BF60" s="5771"/>
      <c r="BH60" s="5757" t="s">
        <v>116</v>
      </c>
      <c r="BI60" s="5757"/>
      <c r="BK60" s="5749" t="s">
        <v>116</v>
      </c>
      <c r="BL60" s="5749"/>
      <c r="BN60" s="5747" t="s">
        <v>116</v>
      </c>
      <c r="BO60" s="5747"/>
      <c r="BQ60" s="5759" t="s">
        <v>116</v>
      </c>
      <c r="BR60" s="5759"/>
      <c r="BT60" s="5761" t="s">
        <v>116</v>
      </c>
      <c r="BU60" s="5761"/>
      <c r="BW60" s="5763" t="s">
        <v>116</v>
      </c>
      <c r="BX60" s="5763"/>
      <c r="BY60"/>
      <c r="BZ60"/>
      <c r="CA60"/>
      <c r="CB60"/>
      <c r="CC60"/>
      <c r="CD60" s="5781" t="s">
        <v>116</v>
      </c>
      <c r="CE60" s="5781"/>
      <c r="CG60" s="5497" t="s">
        <v>116</v>
      </c>
      <c r="CH60" s="5497"/>
      <c r="CJ60" s="5753" t="s">
        <v>116</v>
      </c>
      <c r="CK60" s="5753"/>
      <c r="CM60" s="5474" t="s">
        <v>116</v>
      </c>
      <c r="CN60" s="5474"/>
      <c r="CP60" s="5771" t="s">
        <v>116</v>
      </c>
      <c r="CQ60" s="5771"/>
      <c r="CS60" s="5757" t="s">
        <v>116</v>
      </c>
      <c r="CT60" s="5757"/>
      <c r="CV60" s="5749" t="s">
        <v>116</v>
      </c>
      <c r="CW60" s="5749"/>
      <c r="CY60" s="5747" t="s">
        <v>116</v>
      </c>
      <c r="CZ60" s="5747"/>
      <c r="DB60" s="5759" t="s">
        <v>116</v>
      </c>
      <c r="DC60" s="5759"/>
      <c r="DE60" s="5761" t="s">
        <v>116</v>
      </c>
      <c r="DF60" s="5761"/>
      <c r="DH60" s="5763" t="s">
        <v>116</v>
      </c>
      <c r="DI60" s="5763"/>
      <c r="DK60"/>
      <c r="DL60"/>
      <c r="DM60" s="3">
        <v>1</v>
      </c>
    </row>
    <row r="61" spans="1:117" s="709" customFormat="1" ht="18" customHeight="1" thickBot="1">
      <c r="A61"/>
      <c r="B61" s="856"/>
      <c r="C61" s="856"/>
      <c r="D61" s="856"/>
      <c r="E61" s="856"/>
      <c r="F61" s="856"/>
      <c r="G61" s="856"/>
      <c r="H61" s="856"/>
      <c r="I61" s="856"/>
      <c r="J61" s="856"/>
      <c r="K61" s="856"/>
      <c r="L61" s="856"/>
      <c r="M61" s="856"/>
      <c r="N61" s="856"/>
      <c r="O61" s="856"/>
      <c r="P61" s="856"/>
      <c r="Q61" s="896"/>
      <c r="R61" s="896"/>
      <c r="S61" s="856"/>
      <c r="T61" s="856"/>
      <c r="U61" s="856"/>
      <c r="V61" s="856"/>
      <c r="W61" s="856"/>
      <c r="X61" s="856"/>
      <c r="Y61" s="856"/>
      <c r="Z61" s="856"/>
      <c r="AA61" s="856"/>
      <c r="AB61" s="227"/>
      <c r="AC61" s="856"/>
      <c r="AD61" s="856"/>
      <c r="AE61" s="227"/>
      <c r="AF61" s="856"/>
      <c r="AG61" s="856"/>
      <c r="AH61" s="227"/>
      <c r="AI61" s="856"/>
      <c r="AJ61" s="856"/>
      <c r="AK61" s="856"/>
      <c r="AL61" s="856"/>
      <c r="AM61" s="856"/>
      <c r="AN61" s="856"/>
      <c r="AO61" s="856"/>
      <c r="AP61" s="856"/>
      <c r="AQ61" s="856"/>
      <c r="AS61" s="856" t="s">
        <v>116</v>
      </c>
      <c r="AT61" s="856"/>
      <c r="AV61" s="856" t="s">
        <v>116</v>
      </c>
      <c r="AW61" s="856"/>
      <c r="AY61" s="856" t="s">
        <v>116</v>
      </c>
      <c r="AZ61" s="856"/>
      <c r="BB61" s="856" t="s">
        <v>116</v>
      </c>
      <c r="BC61" s="856"/>
      <c r="BE61" s="856" t="s">
        <v>116</v>
      </c>
      <c r="BF61" s="856"/>
      <c r="BH61" s="896" t="s">
        <v>116</v>
      </c>
      <c r="BI61" s="896"/>
      <c r="BK61" s="856" t="s">
        <v>116</v>
      </c>
      <c r="BL61" s="856"/>
      <c r="BN61" s="856" t="s">
        <v>116</v>
      </c>
      <c r="BO61" s="856"/>
      <c r="BQ61" s="856" t="s">
        <v>116</v>
      </c>
      <c r="BR61" s="856"/>
      <c r="BT61" s="856" t="s">
        <v>116</v>
      </c>
      <c r="BU61" s="856"/>
      <c r="BW61" s="856" t="s">
        <v>116</v>
      </c>
      <c r="BX61" s="856"/>
      <c r="BY61"/>
      <c r="BZ61"/>
      <c r="CA61"/>
      <c r="CB61"/>
      <c r="CC61"/>
      <c r="CD61" s="856" t="s">
        <v>116</v>
      </c>
      <c r="CE61" s="856"/>
      <c r="CG61" s="856" t="s">
        <v>116</v>
      </c>
      <c r="CH61" s="856"/>
      <c r="CJ61" s="856" t="s">
        <v>116</v>
      </c>
      <c r="CK61" s="856"/>
      <c r="CM61" s="856" t="s">
        <v>116</v>
      </c>
      <c r="CN61" s="856"/>
      <c r="CP61" s="856" t="s">
        <v>116</v>
      </c>
      <c r="CQ61" s="856"/>
      <c r="CS61" s="896" t="s">
        <v>116</v>
      </c>
      <c r="CT61" s="896"/>
      <c r="CV61" s="856" t="s">
        <v>116</v>
      </c>
      <c r="CW61" s="856"/>
      <c r="CY61" s="856" t="s">
        <v>116</v>
      </c>
      <c r="CZ61" s="856"/>
      <c r="DB61" s="856" t="s">
        <v>116</v>
      </c>
      <c r="DC61" s="856"/>
      <c r="DE61" s="856" t="s">
        <v>116</v>
      </c>
      <c r="DF61" s="856"/>
      <c r="DH61" s="856" t="s">
        <v>116</v>
      </c>
      <c r="DI61" s="856"/>
      <c r="DK61"/>
      <c r="DL61"/>
      <c r="DM61" s="3">
        <v>1</v>
      </c>
    </row>
    <row r="62" spans="1:117" s="709" customFormat="1" ht="18" customHeight="1">
      <c r="A62"/>
      <c r="B62" s="5778" t="s">
        <v>1170</v>
      </c>
      <c r="C62" s="5778"/>
      <c r="D62" s="856"/>
      <c r="E62" s="5750" t="s">
        <v>1171</v>
      </c>
      <c r="F62" s="5750"/>
      <c r="G62" s="856"/>
      <c r="H62" s="5752" t="s">
        <v>1172</v>
      </c>
      <c r="I62" s="5752"/>
      <c r="J62" s="856"/>
      <c r="K62" s="5473" t="s">
        <v>1173</v>
      </c>
      <c r="L62" s="5473"/>
      <c r="M62" s="856"/>
      <c r="N62" s="5770" t="s">
        <v>1174</v>
      </c>
      <c r="O62" s="5770"/>
      <c r="P62" s="856"/>
      <c r="Q62" s="5756" t="s">
        <v>1175</v>
      </c>
      <c r="R62" s="5756"/>
      <c r="S62" s="856"/>
      <c r="T62" s="5748" t="s">
        <v>1176</v>
      </c>
      <c r="U62" s="5748"/>
      <c r="V62" s="856"/>
      <c r="W62" s="5746" t="s">
        <v>1177</v>
      </c>
      <c r="X62" s="5746"/>
      <c r="Y62" s="856"/>
      <c r="Z62" s="5758" t="s">
        <v>1178</v>
      </c>
      <c r="AA62" s="5758"/>
      <c r="AB62" s="227"/>
      <c r="AC62" s="5760" t="s">
        <v>1179</v>
      </c>
      <c r="AD62" s="5760"/>
      <c r="AE62" s="227"/>
      <c r="AF62" s="5762" t="s">
        <v>1180</v>
      </c>
      <c r="AG62" s="5762"/>
      <c r="AH62" s="227"/>
      <c r="AI62" s="856"/>
      <c r="AJ62" s="856"/>
      <c r="AK62" s="856"/>
      <c r="AL62" s="856"/>
      <c r="AM62" s="856"/>
      <c r="AN62" s="856"/>
      <c r="AO62" s="856"/>
      <c r="AP62" s="856"/>
      <c r="AQ62" s="856"/>
      <c r="AS62" s="5778" t="s">
        <v>2307</v>
      </c>
      <c r="AT62" s="5778"/>
      <c r="AV62" s="5750" t="s">
        <v>2308</v>
      </c>
      <c r="AW62" s="5750"/>
      <c r="AY62" s="5752" t="s">
        <v>2309</v>
      </c>
      <c r="AZ62" s="5752"/>
      <c r="BB62" s="5473" t="s">
        <v>2310</v>
      </c>
      <c r="BC62" s="5473"/>
      <c r="BE62" s="5770" t="s">
        <v>2311</v>
      </c>
      <c r="BF62" s="5770"/>
      <c r="BH62" s="5756" t="s">
        <v>2312</v>
      </c>
      <c r="BI62" s="5756"/>
      <c r="BK62" s="5748" t="s">
        <v>2313</v>
      </c>
      <c r="BL62" s="5748"/>
      <c r="BN62" s="5746" t="s">
        <v>2314</v>
      </c>
      <c r="BO62" s="5746"/>
      <c r="BQ62" s="5758" t="s">
        <v>2315</v>
      </c>
      <c r="BR62" s="5758"/>
      <c r="BT62" s="5760" t="s">
        <v>2316</v>
      </c>
      <c r="BU62" s="5760"/>
      <c r="BW62" s="5762" t="s">
        <v>2317</v>
      </c>
      <c r="BX62" s="5762"/>
      <c r="BY62"/>
      <c r="BZ62"/>
      <c r="CA62"/>
      <c r="CB62"/>
      <c r="CC62"/>
      <c r="CD62" s="5778" t="s">
        <v>2318</v>
      </c>
      <c r="CE62" s="5778"/>
      <c r="CG62" s="5750" t="s">
        <v>2319</v>
      </c>
      <c r="CH62" s="5750"/>
      <c r="CJ62" s="5752" t="s">
        <v>2320</v>
      </c>
      <c r="CK62" s="5752"/>
      <c r="CM62" s="5473" t="s">
        <v>2321</v>
      </c>
      <c r="CN62" s="5473"/>
      <c r="CP62" s="5770" t="s">
        <v>2322</v>
      </c>
      <c r="CQ62" s="5770"/>
      <c r="CS62" s="5756" t="s">
        <v>2323</v>
      </c>
      <c r="CT62" s="5756"/>
      <c r="CV62" s="5748" t="s">
        <v>2324</v>
      </c>
      <c r="CW62" s="5748"/>
      <c r="CY62" s="5746" t="s">
        <v>2325</v>
      </c>
      <c r="CZ62" s="5746"/>
      <c r="DB62" s="5758" t="s">
        <v>2326</v>
      </c>
      <c r="DC62" s="5758"/>
      <c r="DE62" s="5760" t="s">
        <v>2327</v>
      </c>
      <c r="DF62" s="5760"/>
      <c r="DH62" s="5762" t="s">
        <v>2328</v>
      </c>
      <c r="DI62" s="5762"/>
      <c r="DK62"/>
      <c r="DL62"/>
      <c r="DM62" s="3">
        <v>1</v>
      </c>
    </row>
    <row r="63" spans="1:117" s="709" customFormat="1" ht="18" customHeight="1">
      <c r="A63"/>
      <c r="B63" s="5779"/>
      <c r="C63" s="5779"/>
      <c r="D63" s="856"/>
      <c r="E63" s="5751"/>
      <c r="F63" s="5751"/>
      <c r="G63" s="856"/>
      <c r="H63" s="5753"/>
      <c r="I63" s="5753"/>
      <c r="J63" s="856"/>
      <c r="K63" s="5474"/>
      <c r="L63" s="5474"/>
      <c r="M63" s="856"/>
      <c r="N63" s="5771"/>
      <c r="O63" s="5771"/>
      <c r="P63" s="856"/>
      <c r="Q63" s="5757"/>
      <c r="R63" s="5757"/>
      <c r="S63" s="856"/>
      <c r="T63" s="5749"/>
      <c r="U63" s="5749"/>
      <c r="V63" s="856"/>
      <c r="W63" s="5747"/>
      <c r="X63" s="5747"/>
      <c r="Y63" s="856"/>
      <c r="Z63" s="5759"/>
      <c r="AA63" s="5759"/>
      <c r="AB63" s="227"/>
      <c r="AC63" s="5761"/>
      <c r="AD63" s="5761"/>
      <c r="AE63" s="227"/>
      <c r="AF63" s="5763"/>
      <c r="AG63" s="5763"/>
      <c r="AH63" s="227"/>
      <c r="AI63" s="856"/>
      <c r="AJ63" s="856"/>
      <c r="AK63" s="856"/>
      <c r="AL63" s="856"/>
      <c r="AM63" s="856"/>
      <c r="AN63" s="856"/>
      <c r="AO63" s="856"/>
      <c r="AP63" s="856"/>
      <c r="AQ63" s="856"/>
      <c r="AS63" s="5779" t="s">
        <v>116</v>
      </c>
      <c r="AT63" s="5779"/>
      <c r="AV63" s="5751" t="s">
        <v>116</v>
      </c>
      <c r="AW63" s="5751"/>
      <c r="AY63" s="5753" t="s">
        <v>116</v>
      </c>
      <c r="AZ63" s="5753"/>
      <c r="BB63" s="5474" t="s">
        <v>116</v>
      </c>
      <c r="BC63" s="5474"/>
      <c r="BE63" s="5771" t="s">
        <v>116</v>
      </c>
      <c r="BF63" s="5771"/>
      <c r="BH63" s="5757" t="s">
        <v>116</v>
      </c>
      <c r="BI63" s="5757"/>
      <c r="BK63" s="5749" t="s">
        <v>116</v>
      </c>
      <c r="BL63" s="5749"/>
      <c r="BN63" s="5747" t="s">
        <v>116</v>
      </c>
      <c r="BO63" s="5747"/>
      <c r="BQ63" s="5759" t="s">
        <v>116</v>
      </c>
      <c r="BR63" s="5759"/>
      <c r="BT63" s="5761" t="s">
        <v>116</v>
      </c>
      <c r="BU63" s="5761"/>
      <c r="BW63" s="5763" t="s">
        <v>116</v>
      </c>
      <c r="BX63" s="5763"/>
      <c r="BY63"/>
      <c r="BZ63"/>
      <c r="CA63"/>
      <c r="CB63"/>
      <c r="CC63"/>
      <c r="CD63" s="5779" t="s">
        <v>116</v>
      </c>
      <c r="CE63" s="5779"/>
      <c r="CG63" s="5751" t="s">
        <v>116</v>
      </c>
      <c r="CH63" s="5751"/>
      <c r="CJ63" s="5753" t="s">
        <v>116</v>
      </c>
      <c r="CK63" s="5753"/>
      <c r="CM63" s="5474" t="s">
        <v>116</v>
      </c>
      <c r="CN63" s="5474"/>
      <c r="CP63" s="5771" t="s">
        <v>116</v>
      </c>
      <c r="CQ63" s="5771"/>
      <c r="CS63" s="5757" t="s">
        <v>116</v>
      </c>
      <c r="CT63" s="5757"/>
      <c r="CV63" s="5749" t="s">
        <v>116</v>
      </c>
      <c r="CW63" s="5749"/>
      <c r="CY63" s="5747" t="s">
        <v>116</v>
      </c>
      <c r="CZ63" s="5747"/>
      <c r="DB63" s="5759" t="s">
        <v>116</v>
      </c>
      <c r="DC63" s="5759"/>
      <c r="DE63" s="5761" t="s">
        <v>116</v>
      </c>
      <c r="DF63" s="5761"/>
      <c r="DH63" s="5763" t="s">
        <v>116</v>
      </c>
      <c r="DI63" s="5763"/>
      <c r="DK63"/>
      <c r="DL63"/>
      <c r="DM63" s="3">
        <v>1</v>
      </c>
    </row>
    <row r="64" spans="1:117" s="709" customFormat="1" ht="18" customHeight="1" thickBot="1">
      <c r="A64"/>
      <c r="B64" s="856"/>
      <c r="C64" s="856"/>
      <c r="D64" s="856"/>
      <c r="E64" s="856"/>
      <c r="F64" s="856"/>
      <c r="G64" s="856"/>
      <c r="H64" s="856"/>
      <c r="I64" s="856"/>
      <c r="J64" s="856"/>
      <c r="K64" s="856"/>
      <c r="L64" s="856"/>
      <c r="M64" s="856"/>
      <c r="N64" s="856"/>
      <c r="O64" s="856"/>
      <c r="P64" s="856"/>
      <c r="Q64" s="896"/>
      <c r="R64" s="896"/>
      <c r="S64" s="856"/>
      <c r="T64" s="856"/>
      <c r="U64" s="856"/>
      <c r="V64" s="856"/>
      <c r="W64" s="856"/>
      <c r="X64" s="856"/>
      <c r="Y64" s="856"/>
      <c r="Z64" s="856"/>
      <c r="AA64" s="856"/>
      <c r="AB64" s="227"/>
      <c r="AC64" s="856"/>
      <c r="AD64" s="856"/>
      <c r="AE64" s="227"/>
      <c r="AF64" s="856"/>
      <c r="AG64" s="856"/>
      <c r="AH64" s="227"/>
      <c r="AI64" s="856"/>
      <c r="AJ64" s="856"/>
      <c r="AK64" s="856"/>
      <c r="AL64" s="856"/>
      <c r="AM64" s="856"/>
      <c r="AN64" s="856"/>
      <c r="AO64" s="856"/>
      <c r="AP64" s="856"/>
      <c r="AQ64" s="856"/>
      <c r="AS64" s="856" t="s">
        <v>116</v>
      </c>
      <c r="AT64" s="856"/>
      <c r="AV64" s="856" t="s">
        <v>116</v>
      </c>
      <c r="AW64" s="856"/>
      <c r="AY64" s="856" t="s">
        <v>116</v>
      </c>
      <c r="AZ64" s="856"/>
      <c r="BB64" s="856" t="s">
        <v>116</v>
      </c>
      <c r="BC64" s="856"/>
      <c r="BE64" s="856" t="s">
        <v>116</v>
      </c>
      <c r="BF64" s="856"/>
      <c r="BH64" s="896" t="s">
        <v>116</v>
      </c>
      <c r="BI64" s="896"/>
      <c r="BK64" s="856" t="s">
        <v>116</v>
      </c>
      <c r="BL64" s="856"/>
      <c r="BN64" s="856" t="s">
        <v>116</v>
      </c>
      <c r="BO64" s="856"/>
      <c r="BQ64" s="856" t="s">
        <v>116</v>
      </c>
      <c r="BR64" s="856"/>
      <c r="BT64" s="856" t="s">
        <v>116</v>
      </c>
      <c r="BU64" s="856"/>
      <c r="BW64" s="856" t="s">
        <v>116</v>
      </c>
      <c r="BX64" s="856"/>
      <c r="BY64"/>
      <c r="BZ64"/>
      <c r="CA64"/>
      <c r="CB64"/>
      <c r="CC64"/>
      <c r="CD64" s="856" t="s">
        <v>116</v>
      </c>
      <c r="CE64" s="856"/>
      <c r="CG64" s="856" t="s">
        <v>116</v>
      </c>
      <c r="CH64" s="856"/>
      <c r="CJ64" s="856" t="s">
        <v>116</v>
      </c>
      <c r="CK64" s="856"/>
      <c r="CM64" s="856" t="s">
        <v>116</v>
      </c>
      <c r="CN64" s="856"/>
      <c r="CP64" s="856" t="s">
        <v>116</v>
      </c>
      <c r="CQ64" s="856"/>
      <c r="CS64" s="896" t="s">
        <v>116</v>
      </c>
      <c r="CT64" s="896"/>
      <c r="CV64" s="856" t="s">
        <v>116</v>
      </c>
      <c r="CW64" s="856"/>
      <c r="CY64" s="856" t="s">
        <v>116</v>
      </c>
      <c r="CZ64" s="856"/>
      <c r="DB64" s="856" t="s">
        <v>116</v>
      </c>
      <c r="DC64" s="856"/>
      <c r="DE64" s="856" t="s">
        <v>116</v>
      </c>
      <c r="DF64" s="856"/>
      <c r="DH64" s="856" t="s">
        <v>116</v>
      </c>
      <c r="DI64" s="856"/>
      <c r="DK64"/>
      <c r="DL64"/>
      <c r="DM64" s="3">
        <v>1</v>
      </c>
    </row>
    <row r="65" spans="1:117" s="709" customFormat="1" ht="18" customHeight="1">
      <c r="A65"/>
      <c r="B65" s="5776" t="s">
        <v>1181</v>
      </c>
      <c r="C65" s="5776"/>
      <c r="D65" s="856"/>
      <c r="E65" s="5496" t="s">
        <v>1182</v>
      </c>
      <c r="F65" s="5496"/>
      <c r="G65" s="856"/>
      <c r="H65" s="5752" t="s">
        <v>1183</v>
      </c>
      <c r="I65" s="5752"/>
      <c r="J65" s="856"/>
      <c r="K65" s="5473" t="s">
        <v>1184</v>
      </c>
      <c r="L65" s="5473"/>
      <c r="M65" s="856"/>
      <c r="N65" s="5774" t="s">
        <v>1185</v>
      </c>
      <c r="O65" s="5774"/>
      <c r="P65" s="856"/>
      <c r="Q65" s="5756" t="s">
        <v>1186</v>
      </c>
      <c r="R65" s="5756"/>
      <c r="S65" s="856"/>
      <c r="T65" s="5748" t="s">
        <v>1187</v>
      </c>
      <c r="U65" s="5748"/>
      <c r="V65" s="856"/>
      <c r="W65" s="5746" t="s">
        <v>1188</v>
      </c>
      <c r="X65" s="5746"/>
      <c r="Y65" s="856"/>
      <c r="Z65" s="5758" t="s">
        <v>1189</v>
      </c>
      <c r="AA65" s="5758"/>
      <c r="AB65" s="227"/>
      <c r="AC65" s="5760" t="s">
        <v>1190</v>
      </c>
      <c r="AD65" s="5760"/>
      <c r="AE65" s="227"/>
      <c r="AF65" s="5762" t="s">
        <v>1191</v>
      </c>
      <c r="AG65" s="5762"/>
      <c r="AH65" s="227"/>
      <c r="AI65" s="856"/>
      <c r="AJ65" s="856"/>
      <c r="AK65" s="856"/>
      <c r="AL65" s="856"/>
      <c r="AM65" s="856"/>
      <c r="AN65" s="856"/>
      <c r="AO65" s="856"/>
      <c r="AP65" s="856"/>
      <c r="AQ65" s="856"/>
      <c r="AS65" s="5776" t="s">
        <v>2329</v>
      </c>
      <c r="AT65" s="5776"/>
      <c r="AV65" s="5496" t="s">
        <v>2330</v>
      </c>
      <c r="AW65" s="5496"/>
      <c r="AY65" s="5752" t="s">
        <v>2331</v>
      </c>
      <c r="AZ65" s="5752"/>
      <c r="BB65" s="5473" t="s">
        <v>2332</v>
      </c>
      <c r="BC65" s="5473"/>
      <c r="BE65" s="5774" t="s">
        <v>2333</v>
      </c>
      <c r="BF65" s="5774"/>
      <c r="BH65" s="5756" t="s">
        <v>2334</v>
      </c>
      <c r="BI65" s="5756"/>
      <c r="BK65" s="5748" t="s">
        <v>2335</v>
      </c>
      <c r="BL65" s="5748"/>
      <c r="BN65" s="5746" t="s">
        <v>2336</v>
      </c>
      <c r="BO65" s="5746"/>
      <c r="BQ65" s="5758" t="s">
        <v>2337</v>
      </c>
      <c r="BR65" s="5758"/>
      <c r="BT65" s="5760" t="s">
        <v>2338</v>
      </c>
      <c r="BU65" s="5760"/>
      <c r="BW65" s="5762" t="s">
        <v>2339</v>
      </c>
      <c r="BX65" s="5762"/>
      <c r="BY65"/>
      <c r="BZ65"/>
      <c r="CA65"/>
      <c r="CB65"/>
      <c r="CC65"/>
      <c r="CD65" s="5776" t="s">
        <v>2340</v>
      </c>
      <c r="CE65" s="5776"/>
      <c r="CG65" s="5750" t="s">
        <v>2341</v>
      </c>
      <c r="CH65" s="5750"/>
      <c r="CJ65" s="5752" t="s">
        <v>2342</v>
      </c>
      <c r="CK65" s="5752"/>
      <c r="CM65" s="5473" t="s">
        <v>2343</v>
      </c>
      <c r="CN65" s="5473"/>
      <c r="CP65" s="5770" t="s">
        <v>2344</v>
      </c>
      <c r="CQ65" s="5770"/>
      <c r="CS65" s="5756" t="s">
        <v>2345</v>
      </c>
      <c r="CT65" s="5756"/>
      <c r="CV65" s="5748" t="s">
        <v>2346</v>
      </c>
      <c r="CW65" s="5748"/>
      <c r="CY65" s="5746" t="s">
        <v>2347</v>
      </c>
      <c r="CZ65" s="5746"/>
      <c r="DB65" s="5758" t="s">
        <v>2348</v>
      </c>
      <c r="DC65" s="5758"/>
      <c r="DE65" s="5760" t="s">
        <v>2349</v>
      </c>
      <c r="DF65" s="5760"/>
      <c r="DH65" s="5762" t="s">
        <v>2350</v>
      </c>
      <c r="DI65" s="5762"/>
      <c r="DK65"/>
      <c r="DL65"/>
      <c r="DM65" s="3">
        <v>1</v>
      </c>
    </row>
    <row r="66" spans="1:117" s="709" customFormat="1" ht="18" customHeight="1">
      <c r="A66" s="852"/>
      <c r="B66" s="5777"/>
      <c r="C66" s="5777"/>
      <c r="D66" s="856"/>
      <c r="E66" s="5497"/>
      <c r="F66" s="5497"/>
      <c r="G66" s="856"/>
      <c r="H66" s="5753"/>
      <c r="I66" s="5753"/>
      <c r="J66" s="856"/>
      <c r="K66" s="5474"/>
      <c r="L66" s="5474"/>
      <c r="M66" s="856"/>
      <c r="N66" s="5775"/>
      <c r="O66" s="5775"/>
      <c r="P66" s="856"/>
      <c r="Q66" s="5757"/>
      <c r="R66" s="5757"/>
      <c r="S66" s="856"/>
      <c r="T66" s="5749"/>
      <c r="U66" s="5749"/>
      <c r="V66" s="856"/>
      <c r="W66" s="5747"/>
      <c r="X66" s="5747"/>
      <c r="Y66" s="856"/>
      <c r="Z66" s="5759"/>
      <c r="AA66" s="5759"/>
      <c r="AB66" s="227"/>
      <c r="AC66" s="5761"/>
      <c r="AD66" s="5761"/>
      <c r="AE66" s="227"/>
      <c r="AF66" s="5763"/>
      <c r="AG66" s="5763"/>
      <c r="AH66" s="227"/>
      <c r="AI66" s="856"/>
      <c r="AJ66" s="856"/>
      <c r="AK66" s="856"/>
      <c r="AL66" s="856"/>
      <c r="AM66" s="856"/>
      <c r="AN66" s="856"/>
      <c r="AO66" s="856"/>
      <c r="AP66" s="856"/>
      <c r="AQ66" s="856"/>
      <c r="AS66" s="5777" t="s">
        <v>116</v>
      </c>
      <c r="AT66" s="5777"/>
      <c r="AV66" s="5497" t="s">
        <v>116</v>
      </c>
      <c r="AW66" s="5497"/>
      <c r="AY66" s="5753" t="s">
        <v>116</v>
      </c>
      <c r="AZ66" s="5753"/>
      <c r="BB66" s="5474" t="s">
        <v>116</v>
      </c>
      <c r="BC66" s="5474"/>
      <c r="BE66" s="5775" t="s">
        <v>116</v>
      </c>
      <c r="BF66" s="5775"/>
      <c r="BH66" s="5757" t="s">
        <v>116</v>
      </c>
      <c r="BI66" s="5757"/>
      <c r="BK66" s="5749" t="s">
        <v>116</v>
      </c>
      <c r="BL66" s="5749"/>
      <c r="BN66" s="5747" t="s">
        <v>116</v>
      </c>
      <c r="BO66" s="5747"/>
      <c r="BQ66" s="5759" t="s">
        <v>116</v>
      </c>
      <c r="BR66" s="5759"/>
      <c r="BT66" s="5761" t="s">
        <v>116</v>
      </c>
      <c r="BU66" s="5761"/>
      <c r="BW66" s="5763" t="s">
        <v>116</v>
      </c>
      <c r="BX66" s="5763"/>
      <c r="BY66"/>
      <c r="BZ66"/>
      <c r="CA66"/>
      <c r="CB66"/>
      <c r="CC66"/>
      <c r="CD66" s="5777" t="s">
        <v>116</v>
      </c>
      <c r="CE66" s="5777"/>
      <c r="CG66" s="5751" t="s">
        <v>116</v>
      </c>
      <c r="CH66" s="5751"/>
      <c r="CJ66" s="5753" t="s">
        <v>116</v>
      </c>
      <c r="CK66" s="5753"/>
      <c r="CM66" s="5474" t="s">
        <v>116</v>
      </c>
      <c r="CN66" s="5474"/>
      <c r="CP66" s="5771" t="s">
        <v>116</v>
      </c>
      <c r="CQ66" s="5771"/>
      <c r="CS66" s="5757" t="s">
        <v>116</v>
      </c>
      <c r="CT66" s="5757"/>
      <c r="CV66" s="5749" t="s">
        <v>116</v>
      </c>
      <c r="CW66" s="5749"/>
      <c r="CY66" s="5747" t="s">
        <v>116</v>
      </c>
      <c r="CZ66" s="5747"/>
      <c r="DB66" s="5759" t="s">
        <v>116</v>
      </c>
      <c r="DC66" s="5759"/>
      <c r="DE66" s="5761" t="s">
        <v>116</v>
      </c>
      <c r="DF66" s="5761"/>
      <c r="DH66" s="5763" t="s">
        <v>116</v>
      </c>
      <c r="DI66" s="5763"/>
      <c r="DK66"/>
      <c r="DL66"/>
      <c r="DM66" s="3">
        <v>1</v>
      </c>
    </row>
    <row r="67" spans="1:117" s="709" customFormat="1" ht="18" customHeight="1" thickBot="1">
      <c r="A67" s="852"/>
      <c r="B67" s="856"/>
      <c r="C67" s="856"/>
      <c r="D67" s="856"/>
      <c r="E67" s="856"/>
      <c r="F67" s="856"/>
      <c r="G67" s="856"/>
      <c r="H67" s="856"/>
      <c r="I67" s="856"/>
      <c r="J67" s="856"/>
      <c r="K67" s="856"/>
      <c r="L67" s="856"/>
      <c r="M67" s="856"/>
      <c r="N67" s="856"/>
      <c r="O67" s="856"/>
      <c r="P67" s="856"/>
      <c r="Q67" s="896"/>
      <c r="R67" s="896"/>
      <c r="S67" s="856"/>
      <c r="T67" s="856"/>
      <c r="U67" s="856"/>
      <c r="V67" s="856"/>
      <c r="W67" s="856"/>
      <c r="X67" s="856"/>
      <c r="Y67" s="856"/>
      <c r="Z67" s="856"/>
      <c r="AA67" s="856"/>
      <c r="AB67" s="227"/>
      <c r="AC67" s="856"/>
      <c r="AD67" s="856"/>
      <c r="AE67" s="227"/>
      <c r="AF67" s="856"/>
      <c r="AG67" s="856"/>
      <c r="AH67" s="227"/>
      <c r="AI67" s="856"/>
      <c r="AJ67" s="856"/>
      <c r="AK67" s="856"/>
      <c r="AL67" s="856"/>
      <c r="AM67" s="856"/>
      <c r="AN67" s="856"/>
      <c r="AO67" s="856"/>
      <c r="AP67" s="856"/>
      <c r="AQ67" s="856"/>
      <c r="AS67" s="856" t="s">
        <v>116</v>
      </c>
      <c r="AT67" s="856"/>
      <c r="AV67" s="856" t="s">
        <v>116</v>
      </c>
      <c r="AW67" s="856"/>
      <c r="AY67" s="856" t="s">
        <v>116</v>
      </c>
      <c r="AZ67" s="856"/>
      <c r="BB67" s="856" t="s">
        <v>116</v>
      </c>
      <c r="BC67" s="856"/>
      <c r="BE67" s="856" t="s">
        <v>116</v>
      </c>
      <c r="BF67" s="856"/>
      <c r="BH67" s="896" t="s">
        <v>116</v>
      </c>
      <c r="BI67" s="896"/>
      <c r="BK67" s="856" t="s">
        <v>116</v>
      </c>
      <c r="BL67" s="856"/>
      <c r="BN67" s="856" t="s">
        <v>116</v>
      </c>
      <c r="BO67" s="856"/>
      <c r="BQ67" s="856" t="s">
        <v>116</v>
      </c>
      <c r="BR67" s="856"/>
      <c r="BT67" s="856" t="s">
        <v>116</v>
      </c>
      <c r="BU67" s="856"/>
      <c r="BW67" s="856" t="s">
        <v>116</v>
      </c>
      <c r="BX67" s="856"/>
      <c r="BY67"/>
      <c r="BZ67"/>
      <c r="CA67"/>
      <c r="CB67"/>
      <c r="CC67"/>
      <c r="CD67" s="856" t="s">
        <v>116</v>
      </c>
      <c r="CE67" s="856"/>
      <c r="CG67" s="856" t="s">
        <v>116</v>
      </c>
      <c r="CH67" s="856"/>
      <c r="CJ67" s="856" t="s">
        <v>116</v>
      </c>
      <c r="CK67" s="856"/>
      <c r="CM67" s="856" t="s">
        <v>116</v>
      </c>
      <c r="CN67" s="856"/>
      <c r="CP67" s="856" t="s">
        <v>116</v>
      </c>
      <c r="CQ67" s="856"/>
      <c r="CS67" s="896" t="s">
        <v>116</v>
      </c>
      <c r="CT67" s="896"/>
      <c r="CV67" s="856" t="s">
        <v>116</v>
      </c>
      <c r="CW67" s="856"/>
      <c r="CY67" s="856" t="s">
        <v>116</v>
      </c>
      <c r="CZ67" s="856"/>
      <c r="DB67" s="856" t="s">
        <v>116</v>
      </c>
      <c r="DC67" s="856"/>
      <c r="DE67" s="856" t="s">
        <v>116</v>
      </c>
      <c r="DF67" s="856"/>
      <c r="DH67" t="s">
        <v>116</v>
      </c>
      <c r="DI67"/>
      <c r="DK67"/>
      <c r="DL67"/>
      <c r="DM67" s="3">
        <v>1</v>
      </c>
    </row>
    <row r="68" spans="1:117" s="709" customFormat="1" ht="18" customHeight="1">
      <c r="A68" s="852"/>
      <c r="B68" s="5772" t="s">
        <v>1192</v>
      </c>
      <c r="C68" s="5772"/>
      <c r="D68" s="856"/>
      <c r="E68" s="5750" t="s">
        <v>1193</v>
      </c>
      <c r="F68" s="5750"/>
      <c r="G68" s="856"/>
      <c r="H68" s="5752" t="s">
        <v>1194</v>
      </c>
      <c r="I68" s="5752"/>
      <c r="J68" s="856"/>
      <c r="K68" s="5473" t="s">
        <v>1195</v>
      </c>
      <c r="L68" s="5473"/>
      <c r="M68" s="856"/>
      <c r="N68" s="5774"/>
      <c r="O68" s="5774"/>
      <c r="P68" s="856"/>
      <c r="Q68" s="5756" t="s">
        <v>1196</v>
      </c>
      <c r="R68" s="5756"/>
      <c r="S68" s="856"/>
      <c r="T68" s="5748" t="s">
        <v>1197</v>
      </c>
      <c r="U68" s="5748"/>
      <c r="V68" s="856"/>
      <c r="W68" s="5746" t="s">
        <v>1198</v>
      </c>
      <c r="X68" s="5746"/>
      <c r="Y68" s="856"/>
      <c r="Z68" s="5758" t="s">
        <v>1199</v>
      </c>
      <c r="AA68" s="5758"/>
      <c r="AB68" s="227"/>
      <c r="AC68" s="5760" t="s">
        <v>1200</v>
      </c>
      <c r="AD68" s="5760"/>
      <c r="AE68" s="227"/>
      <c r="AF68" s="5762" t="s">
        <v>1201</v>
      </c>
      <c r="AG68" s="5762"/>
      <c r="AH68" s="227"/>
      <c r="AI68" s="856"/>
      <c r="AJ68" s="856"/>
      <c r="AK68" s="856"/>
      <c r="AL68" s="856"/>
      <c r="AM68" s="856"/>
      <c r="AN68" s="856"/>
      <c r="AO68" s="856"/>
      <c r="AP68" s="856"/>
      <c r="AQ68" s="856"/>
      <c r="AS68" s="5772" t="s">
        <v>2351</v>
      </c>
      <c r="AT68" s="5772"/>
      <c r="AV68" s="5750" t="s">
        <v>2352</v>
      </c>
      <c r="AW68" s="5750"/>
      <c r="AY68" s="5752" t="s">
        <v>2353</v>
      </c>
      <c r="AZ68" s="5752"/>
      <c r="BB68" s="5473" t="s">
        <v>2354</v>
      </c>
      <c r="BC68" s="5473"/>
      <c r="BE68" s="5774"/>
      <c r="BF68" s="5774"/>
      <c r="BH68" s="5756" t="s">
        <v>2355</v>
      </c>
      <c r="BI68" s="5756"/>
      <c r="BK68" s="5748" t="s">
        <v>2356</v>
      </c>
      <c r="BL68" s="5748"/>
      <c r="BN68" s="5746" t="s">
        <v>2357</v>
      </c>
      <c r="BO68" s="5746"/>
      <c r="BQ68" s="5758" t="s">
        <v>2358</v>
      </c>
      <c r="BR68" s="5758"/>
      <c r="BT68" s="5760" t="s">
        <v>2359</v>
      </c>
      <c r="BU68" s="5760"/>
      <c r="BW68" s="5762" t="s">
        <v>1211</v>
      </c>
      <c r="BX68" s="5762"/>
      <c r="BY68"/>
      <c r="BZ68"/>
      <c r="CA68"/>
      <c r="CB68"/>
      <c r="CC68"/>
      <c r="CD68" s="5772" t="s">
        <v>2360</v>
      </c>
      <c r="CE68" s="5772"/>
      <c r="CG68" s="5750" t="s">
        <v>2361</v>
      </c>
      <c r="CH68" s="5750"/>
      <c r="CJ68" s="5752" t="s">
        <v>2362</v>
      </c>
      <c r="CK68" s="5752"/>
      <c r="CM68" s="5473" t="s">
        <v>2363</v>
      </c>
      <c r="CN68" s="5473"/>
      <c r="CP68" s="5770"/>
      <c r="CQ68" s="5770"/>
      <c r="CS68" s="5756" t="s">
        <v>2364</v>
      </c>
      <c r="CT68" s="5756"/>
      <c r="CV68" s="5748" t="s">
        <v>2365</v>
      </c>
      <c r="CW68" s="5748"/>
      <c r="CY68" s="5746" t="s">
        <v>2366</v>
      </c>
      <c r="CZ68" s="5746"/>
      <c r="DB68" s="5758" t="s">
        <v>2367</v>
      </c>
      <c r="DC68" s="5758"/>
      <c r="DE68" s="5760" t="s">
        <v>2368</v>
      </c>
      <c r="DF68" s="5760"/>
      <c r="DH68" s="5762" t="s">
        <v>2369</v>
      </c>
      <c r="DI68" s="5762"/>
      <c r="DK68"/>
      <c r="DL68"/>
      <c r="DM68" s="3">
        <v>1</v>
      </c>
    </row>
    <row r="69" spans="1:117" s="709" customFormat="1" ht="18" customHeight="1">
      <c r="A69" s="852"/>
      <c r="B69" s="5773"/>
      <c r="C69" s="5773"/>
      <c r="D69" s="856"/>
      <c r="E69" s="5751"/>
      <c r="F69" s="5751"/>
      <c r="G69" s="856"/>
      <c r="H69" s="5753"/>
      <c r="I69" s="5753"/>
      <c r="J69" s="856"/>
      <c r="K69" s="5474"/>
      <c r="L69" s="5474"/>
      <c r="M69" s="856"/>
      <c r="N69" s="5775"/>
      <c r="O69" s="5775"/>
      <c r="P69" s="856"/>
      <c r="Q69" s="5757"/>
      <c r="R69" s="5757"/>
      <c r="S69" s="856"/>
      <c r="T69" s="5749"/>
      <c r="U69" s="5749"/>
      <c r="V69" s="856"/>
      <c r="W69" s="5747"/>
      <c r="X69" s="5747"/>
      <c r="Y69" s="856"/>
      <c r="Z69" s="5759"/>
      <c r="AA69" s="5759"/>
      <c r="AB69" s="227"/>
      <c r="AC69" s="5761"/>
      <c r="AD69" s="5761"/>
      <c r="AE69" s="227"/>
      <c r="AF69" s="5763"/>
      <c r="AG69" s="5763"/>
      <c r="AH69" s="227"/>
      <c r="AI69" s="856"/>
      <c r="AJ69" s="856"/>
      <c r="AK69" s="856"/>
      <c r="AL69" s="856"/>
      <c r="AM69" s="856"/>
      <c r="AN69" s="856"/>
      <c r="AO69" s="856"/>
      <c r="AP69" s="856"/>
      <c r="AQ69" s="856"/>
      <c r="AS69" s="5773" t="s">
        <v>116</v>
      </c>
      <c r="AT69" s="5773"/>
      <c r="AV69" s="5751" t="s">
        <v>116</v>
      </c>
      <c r="AW69" s="5751"/>
      <c r="AY69" s="5753" t="s">
        <v>116</v>
      </c>
      <c r="AZ69" s="5753"/>
      <c r="BB69" s="5474" t="s">
        <v>116</v>
      </c>
      <c r="BC69" s="5474"/>
      <c r="BE69" s="5775"/>
      <c r="BF69" s="5775"/>
      <c r="BH69" s="5757" t="s">
        <v>116</v>
      </c>
      <c r="BI69" s="5757"/>
      <c r="BK69" s="5749" t="s">
        <v>116</v>
      </c>
      <c r="BL69" s="5749"/>
      <c r="BN69" s="5747" t="s">
        <v>116</v>
      </c>
      <c r="BO69" s="5747"/>
      <c r="BQ69" s="5759" t="s">
        <v>116</v>
      </c>
      <c r="BR69" s="5759"/>
      <c r="BT69" s="5761" t="s">
        <v>116</v>
      </c>
      <c r="BU69" s="5761"/>
      <c r="BW69" s="5763" t="s">
        <v>116</v>
      </c>
      <c r="BX69" s="5763"/>
      <c r="BY69"/>
      <c r="BZ69"/>
      <c r="CA69"/>
      <c r="CB69"/>
      <c r="CC69"/>
      <c r="CD69" s="5773" t="s">
        <v>116</v>
      </c>
      <c r="CE69" s="5773"/>
      <c r="CG69" s="5751" t="s">
        <v>116</v>
      </c>
      <c r="CH69" s="5751"/>
      <c r="CJ69" s="5753" t="s">
        <v>116</v>
      </c>
      <c r="CK69" s="5753"/>
      <c r="CM69" s="5474" t="s">
        <v>116</v>
      </c>
      <c r="CN69" s="5474"/>
      <c r="CP69" s="5771"/>
      <c r="CQ69" s="5771"/>
      <c r="CS69" s="5757" t="s">
        <v>116</v>
      </c>
      <c r="CT69" s="5757"/>
      <c r="CV69" s="5749" t="s">
        <v>116</v>
      </c>
      <c r="CW69" s="5749"/>
      <c r="CY69" s="5747" t="s">
        <v>116</v>
      </c>
      <c r="CZ69" s="5747"/>
      <c r="DB69" s="5759" t="s">
        <v>116</v>
      </c>
      <c r="DC69" s="5759"/>
      <c r="DE69" s="5761" t="s">
        <v>116</v>
      </c>
      <c r="DF69" s="5761"/>
      <c r="DH69" s="5763" t="s">
        <v>116</v>
      </c>
      <c r="DI69" s="5763"/>
      <c r="DK69"/>
      <c r="DL69"/>
      <c r="DM69" s="3">
        <v>1</v>
      </c>
    </row>
    <row r="70" spans="1:117" s="709" customFormat="1" ht="18" customHeight="1" thickBot="1">
      <c r="A70" s="852"/>
      <c r="B70" s="856"/>
      <c r="C70" s="856"/>
      <c r="D70" s="856"/>
      <c r="E70" s="856"/>
      <c r="F70" s="856"/>
      <c r="G70" s="856"/>
      <c r="H70" s="856"/>
      <c r="I70" s="856"/>
      <c r="J70" s="856"/>
      <c r="K70" s="856"/>
      <c r="L70" s="856"/>
      <c r="M70" s="856"/>
      <c r="N70" s="856"/>
      <c r="O70" s="856"/>
      <c r="P70" s="856"/>
      <c r="Q70" s="896"/>
      <c r="R70" s="896"/>
      <c r="S70" s="856"/>
      <c r="T70" s="856"/>
      <c r="U70" s="856"/>
      <c r="V70" s="856"/>
      <c r="W70" s="856"/>
      <c r="X70" s="856"/>
      <c r="Y70" s="856"/>
      <c r="Z70" s="856"/>
      <c r="AA70" s="856"/>
      <c r="AB70" s="227"/>
      <c r="AC70" s="856"/>
      <c r="AD70" s="856"/>
      <c r="AE70" s="227"/>
      <c r="AF70" s="856"/>
      <c r="AG70" s="856"/>
      <c r="AH70" s="227"/>
      <c r="AI70" s="856"/>
      <c r="AJ70" s="856"/>
      <c r="AK70" s="856"/>
      <c r="AL70" s="856"/>
      <c r="AM70" s="856"/>
      <c r="AN70" s="856"/>
      <c r="AO70" s="856"/>
      <c r="AP70" s="856"/>
      <c r="AQ70" s="856"/>
      <c r="AS70" s="856" t="s">
        <v>116</v>
      </c>
      <c r="AT70" s="856"/>
      <c r="AV70" s="856" t="s">
        <v>116</v>
      </c>
      <c r="AW70" s="856"/>
      <c r="AY70" s="856" t="s">
        <v>116</v>
      </c>
      <c r="AZ70" s="856"/>
      <c r="BB70" s="856" t="s">
        <v>116</v>
      </c>
      <c r="BC70" s="856"/>
      <c r="BE70" s="856"/>
      <c r="BF70" s="856"/>
      <c r="BH70" s="896" t="s">
        <v>116</v>
      </c>
      <c r="BI70" s="896"/>
      <c r="BK70" s="856" t="s">
        <v>116</v>
      </c>
      <c r="BL70" s="856"/>
      <c r="BN70" s="856" t="s">
        <v>116</v>
      </c>
      <c r="BO70" s="856"/>
      <c r="BQ70" s="856" t="s">
        <v>116</v>
      </c>
      <c r="BR70" s="856"/>
      <c r="BT70" s="856" t="s">
        <v>116</v>
      </c>
      <c r="BU70" s="856"/>
      <c r="BW70" s="856" t="s">
        <v>116</v>
      </c>
      <c r="BX70" s="856"/>
      <c r="BY70"/>
      <c r="BZ70"/>
      <c r="CA70"/>
      <c r="CB70"/>
      <c r="CC70"/>
      <c r="CD70" s="856" t="s">
        <v>116</v>
      </c>
      <c r="CE70" s="856"/>
      <c r="CG70" s="856" t="s">
        <v>116</v>
      </c>
      <c r="CH70" s="856"/>
      <c r="CJ70" s="856" t="s">
        <v>116</v>
      </c>
      <c r="CK70" s="856"/>
      <c r="CM70" s="856" t="s">
        <v>116</v>
      </c>
      <c r="CN70" s="856"/>
      <c r="CP70"/>
      <c r="CQ70"/>
      <c r="CS70" s="896" t="s">
        <v>116</v>
      </c>
      <c r="CT70" s="896"/>
      <c r="CV70" s="856" t="s">
        <v>116</v>
      </c>
      <c r="CW70" s="856"/>
      <c r="CY70" s="856" t="s">
        <v>116</v>
      </c>
      <c r="CZ70" s="856"/>
      <c r="DB70" s="856" t="s">
        <v>116</v>
      </c>
      <c r="DC70" s="856"/>
      <c r="DE70" s="856" t="s">
        <v>116</v>
      </c>
      <c r="DF70" s="856"/>
      <c r="DH70" t="s">
        <v>116</v>
      </c>
      <c r="DI70"/>
      <c r="DK70"/>
      <c r="DL70"/>
      <c r="DM70" s="3">
        <v>1</v>
      </c>
    </row>
    <row r="71" spans="1:117" s="709" customFormat="1" ht="18" customHeight="1">
      <c r="A71" s="852"/>
      <c r="B71" s="5768" t="s">
        <v>1202</v>
      </c>
      <c r="C71" s="5768"/>
      <c r="D71" s="856"/>
      <c r="E71" s="5750" t="s">
        <v>1203</v>
      </c>
      <c r="F71" s="5750"/>
      <c r="G71" s="856"/>
      <c r="H71" s="5752" t="s">
        <v>1204</v>
      </c>
      <c r="I71" s="5752"/>
      <c r="J71" s="856"/>
      <c r="K71" s="5473" t="s">
        <v>1205</v>
      </c>
      <c r="L71" s="5473"/>
      <c r="M71" s="856"/>
      <c r="N71" s="856"/>
      <c r="O71" s="856"/>
      <c r="P71" s="856"/>
      <c r="Q71" s="5756" t="s">
        <v>1206</v>
      </c>
      <c r="R71" s="5756"/>
      <c r="S71" s="856"/>
      <c r="T71" s="5748" t="s">
        <v>1207</v>
      </c>
      <c r="U71" s="5748"/>
      <c r="V71" s="856"/>
      <c r="W71" s="5746" t="s">
        <v>1208</v>
      </c>
      <c r="X71" s="5746"/>
      <c r="Y71" s="856"/>
      <c r="Z71" s="5758" t="s">
        <v>1209</v>
      </c>
      <c r="AA71" s="5758"/>
      <c r="AB71" s="227"/>
      <c r="AC71" s="5760" t="s">
        <v>1210</v>
      </c>
      <c r="AD71" s="5760"/>
      <c r="AE71" s="227"/>
      <c r="AF71" s="5762" t="s">
        <v>1211</v>
      </c>
      <c r="AG71" s="5762"/>
      <c r="AH71" s="227"/>
      <c r="AI71" s="856"/>
      <c r="AJ71" s="856"/>
      <c r="AK71" s="856"/>
      <c r="AL71" s="856"/>
      <c r="AM71" s="856"/>
      <c r="AN71" s="856"/>
      <c r="AO71" s="856"/>
      <c r="AP71" s="856"/>
      <c r="AQ71" s="856"/>
      <c r="AS71" s="5768" t="s">
        <v>2370</v>
      </c>
      <c r="AT71" s="5768"/>
      <c r="AV71" s="5750" t="s">
        <v>2371</v>
      </c>
      <c r="AW71" s="5750"/>
      <c r="AY71" s="5752" t="s">
        <v>2372</v>
      </c>
      <c r="AZ71" s="5752"/>
      <c r="BB71" s="5473" t="s">
        <v>2373</v>
      </c>
      <c r="BC71" s="5473"/>
      <c r="BE71"/>
      <c r="BF71"/>
      <c r="BH71" s="5756" t="s">
        <v>2374</v>
      </c>
      <c r="BI71" s="5756"/>
      <c r="BK71" s="5748" t="s">
        <v>2375</v>
      </c>
      <c r="BL71" s="5748"/>
      <c r="BN71" s="5746" t="s">
        <v>2376</v>
      </c>
      <c r="BO71" s="5746"/>
      <c r="BQ71" s="5758" t="s">
        <v>2377</v>
      </c>
      <c r="BR71" s="5758"/>
      <c r="BT71" s="5760" t="s">
        <v>2378</v>
      </c>
      <c r="BU71" s="5760"/>
      <c r="BW71" s="5762" t="s">
        <v>1221</v>
      </c>
      <c r="BX71" s="5762"/>
      <c r="BY71"/>
      <c r="BZ71"/>
      <c r="CA71"/>
      <c r="CB71"/>
      <c r="CC71"/>
      <c r="CD71" s="5768" t="s">
        <v>2379</v>
      </c>
      <c r="CE71" s="5768"/>
      <c r="CG71" s="5750" t="s">
        <v>2380</v>
      </c>
      <c r="CH71" s="5750"/>
      <c r="CJ71" s="5752" t="s">
        <v>2381</v>
      </c>
      <c r="CK71" s="5752"/>
      <c r="CM71" s="5473" t="s">
        <v>2382</v>
      </c>
      <c r="CN71" s="5473"/>
      <c r="CP71"/>
      <c r="CQ71"/>
      <c r="CS71" s="5756" t="s">
        <v>2383</v>
      </c>
      <c r="CT71" s="5756"/>
      <c r="CV71" s="5748" t="s">
        <v>2384</v>
      </c>
      <c r="CW71" s="5748"/>
      <c r="CY71" s="5746" t="s">
        <v>2385</v>
      </c>
      <c r="CZ71" s="5746"/>
      <c r="DB71" s="5758" t="s">
        <v>1199</v>
      </c>
      <c r="DC71" s="5758"/>
      <c r="DE71" s="5760" t="s">
        <v>2386</v>
      </c>
      <c r="DF71" s="5760"/>
      <c r="DH71" s="5762" t="s">
        <v>2387</v>
      </c>
      <c r="DI71" s="5762"/>
      <c r="DK71"/>
      <c r="DL71"/>
      <c r="DM71" s="3">
        <v>1</v>
      </c>
    </row>
    <row r="72" spans="1:117" s="709" customFormat="1" ht="18" customHeight="1">
      <c r="A72" s="852"/>
      <c r="B72" s="5769"/>
      <c r="C72" s="5769"/>
      <c r="D72" s="856"/>
      <c r="E72" s="5751"/>
      <c r="F72" s="5751"/>
      <c r="G72" s="856"/>
      <c r="H72" s="5753"/>
      <c r="I72" s="5753"/>
      <c r="J72" s="856"/>
      <c r="K72" s="5474"/>
      <c r="L72" s="5474"/>
      <c r="M72" s="856"/>
      <c r="N72" s="856"/>
      <c r="O72" s="856"/>
      <c r="P72" s="856"/>
      <c r="Q72" s="5757"/>
      <c r="R72" s="5757"/>
      <c r="S72" s="856"/>
      <c r="T72" s="5749"/>
      <c r="U72" s="5749"/>
      <c r="V72" s="856"/>
      <c r="W72" s="5747"/>
      <c r="X72" s="5747"/>
      <c r="Y72" s="856"/>
      <c r="Z72" s="5759"/>
      <c r="AA72" s="5759"/>
      <c r="AB72" s="227"/>
      <c r="AC72" s="5761"/>
      <c r="AD72" s="5761"/>
      <c r="AE72" s="227"/>
      <c r="AF72" s="5763"/>
      <c r="AG72" s="5763"/>
      <c r="AH72" s="227"/>
      <c r="AI72" s="856"/>
      <c r="AJ72" s="856"/>
      <c r="AK72" s="856"/>
      <c r="AL72" s="856"/>
      <c r="AM72" s="856"/>
      <c r="AN72" s="856"/>
      <c r="AO72" s="856"/>
      <c r="AP72" s="856"/>
      <c r="AQ72" s="856"/>
      <c r="AS72" s="5769" t="s">
        <v>116</v>
      </c>
      <c r="AT72" s="5769"/>
      <c r="AV72" s="5751" t="s">
        <v>116</v>
      </c>
      <c r="AW72" s="5751"/>
      <c r="AY72" s="5753" t="s">
        <v>116</v>
      </c>
      <c r="AZ72" s="5753"/>
      <c r="BB72" s="5474" t="s">
        <v>116</v>
      </c>
      <c r="BC72" s="5474"/>
      <c r="BE72"/>
      <c r="BF72"/>
      <c r="BH72" s="5757" t="s">
        <v>116</v>
      </c>
      <c r="BI72" s="5757"/>
      <c r="BK72" s="5749" t="s">
        <v>116</v>
      </c>
      <c r="BL72" s="5749"/>
      <c r="BN72" s="5747" t="s">
        <v>116</v>
      </c>
      <c r="BO72" s="5747"/>
      <c r="BQ72" s="5759" t="s">
        <v>116</v>
      </c>
      <c r="BR72" s="5759"/>
      <c r="BT72" s="5761" t="s">
        <v>116</v>
      </c>
      <c r="BU72" s="5761"/>
      <c r="BW72" s="5763" t="s">
        <v>116</v>
      </c>
      <c r="BX72" s="5763"/>
      <c r="BY72"/>
      <c r="BZ72"/>
      <c r="CA72"/>
      <c r="CB72"/>
      <c r="CC72"/>
      <c r="CD72" s="5769" t="s">
        <v>116</v>
      </c>
      <c r="CE72" s="5769"/>
      <c r="CG72" s="5751" t="s">
        <v>116</v>
      </c>
      <c r="CH72" s="5751"/>
      <c r="CJ72" s="5753" t="s">
        <v>116</v>
      </c>
      <c r="CK72" s="5753"/>
      <c r="CM72" s="5474" t="s">
        <v>116</v>
      </c>
      <c r="CN72" s="5474"/>
      <c r="CP72"/>
      <c r="CQ72"/>
      <c r="CS72" s="5757" t="s">
        <v>116</v>
      </c>
      <c r="CT72" s="5757"/>
      <c r="CV72" s="5749" t="s">
        <v>116</v>
      </c>
      <c r="CW72" s="5749"/>
      <c r="CY72" s="5747" t="s">
        <v>116</v>
      </c>
      <c r="CZ72" s="5747"/>
      <c r="DB72" s="5759" t="s">
        <v>116</v>
      </c>
      <c r="DC72" s="5759"/>
      <c r="DE72" s="5761" t="s">
        <v>116</v>
      </c>
      <c r="DF72" s="5761"/>
      <c r="DH72" s="5763" t="s">
        <v>116</v>
      </c>
      <c r="DI72" s="5763"/>
      <c r="DK72"/>
      <c r="DL72"/>
      <c r="DM72" s="3">
        <v>1</v>
      </c>
    </row>
    <row r="73" spans="1:117" s="709" customFormat="1" ht="18" customHeight="1" thickBot="1">
      <c r="A73" s="852"/>
      <c r="B73" s="856"/>
      <c r="C73" s="856"/>
      <c r="D73" s="856"/>
      <c r="E73" s="856"/>
      <c r="F73" s="856"/>
      <c r="G73" s="856"/>
      <c r="H73" s="856"/>
      <c r="I73" s="856"/>
      <c r="J73" s="856"/>
      <c r="K73" s="856"/>
      <c r="L73" s="856"/>
      <c r="M73" s="856"/>
      <c r="N73" s="856"/>
      <c r="O73" s="856"/>
      <c r="P73" s="856"/>
      <c r="Q73" s="896"/>
      <c r="R73" s="896"/>
      <c r="S73" s="856"/>
      <c r="T73" s="856"/>
      <c r="U73" s="856"/>
      <c r="V73" s="856"/>
      <c r="W73" s="856"/>
      <c r="X73" s="856"/>
      <c r="Y73" s="856"/>
      <c r="Z73" s="856"/>
      <c r="AA73" s="856"/>
      <c r="AB73" s="227"/>
      <c r="AC73"/>
      <c r="AD73"/>
      <c r="AE73" s="227"/>
      <c r="AF73"/>
      <c r="AG73"/>
      <c r="AH73" s="227"/>
      <c r="AI73" s="856"/>
      <c r="AJ73" s="856"/>
      <c r="AK73" s="856"/>
      <c r="AL73" s="856"/>
      <c r="AM73" s="856"/>
      <c r="AN73" s="856"/>
      <c r="AO73" s="856"/>
      <c r="AP73" s="856"/>
      <c r="AQ73" s="856"/>
      <c r="AS73" s="856" t="s">
        <v>116</v>
      </c>
      <c r="AT73" s="856"/>
      <c r="AV73" s="856" t="s">
        <v>116</v>
      </c>
      <c r="AW73" s="856"/>
      <c r="AY73" s="856" t="s">
        <v>116</v>
      </c>
      <c r="AZ73" s="856"/>
      <c r="BB73" s="856" t="s">
        <v>116</v>
      </c>
      <c r="BC73" s="856"/>
      <c r="BE73"/>
      <c r="BF73"/>
      <c r="BH73" s="896" t="s">
        <v>116</v>
      </c>
      <c r="BI73" s="896"/>
      <c r="BK73" s="856" t="s">
        <v>116</v>
      </c>
      <c r="BL73" s="856"/>
      <c r="BN73" s="856" t="s">
        <v>116</v>
      </c>
      <c r="BO73" s="856"/>
      <c r="BQ73" s="856" t="s">
        <v>116</v>
      </c>
      <c r="BR73" s="856"/>
      <c r="BT73" s="856" t="s">
        <v>116</v>
      </c>
      <c r="BU73" s="856"/>
      <c r="BW73" t="s">
        <v>116</v>
      </c>
      <c r="BX73"/>
      <c r="BY73"/>
      <c r="BZ73"/>
      <c r="CA73"/>
      <c r="CB73"/>
      <c r="CC73"/>
      <c r="CD73" s="856" t="s">
        <v>116</v>
      </c>
      <c r="CE73" s="856"/>
      <c r="CG73" s="856" t="s">
        <v>116</v>
      </c>
      <c r="CH73" s="856"/>
      <c r="CJ73" t="s">
        <v>116</v>
      </c>
      <c r="CK73"/>
      <c r="CM73" t="s">
        <v>116</v>
      </c>
      <c r="CN73"/>
      <c r="CP73"/>
      <c r="CQ73"/>
      <c r="CS73" s="896" t="s">
        <v>116</v>
      </c>
      <c r="CT73" s="896"/>
      <c r="CV73" s="856" t="s">
        <v>116</v>
      </c>
      <c r="CW73" s="856"/>
      <c r="CY73" s="856" t="s">
        <v>116</v>
      </c>
      <c r="CZ73" s="856"/>
      <c r="DB73" s="856" t="s">
        <v>116</v>
      </c>
      <c r="DC73" s="856"/>
      <c r="DE73" t="s">
        <v>116</v>
      </c>
      <c r="DF73"/>
      <c r="DH73" t="s">
        <v>116</v>
      </c>
      <c r="DI73"/>
      <c r="DK73"/>
      <c r="DL73"/>
      <c r="DM73" s="3">
        <v>1</v>
      </c>
    </row>
    <row r="74" spans="1:117" s="709" customFormat="1" ht="18" customHeight="1">
      <c r="A74" s="852"/>
      <c r="B74" s="5766" t="s">
        <v>1212</v>
      </c>
      <c r="C74" s="5766"/>
      <c r="D74" s="856"/>
      <c r="E74" s="5750" t="s">
        <v>1213</v>
      </c>
      <c r="F74" s="5750"/>
      <c r="G74" s="856"/>
      <c r="H74" s="5752" t="s">
        <v>1214</v>
      </c>
      <c r="I74" s="5752"/>
      <c r="J74" s="856"/>
      <c r="K74" s="5473" t="s">
        <v>1215</v>
      </c>
      <c r="L74" s="5473"/>
      <c r="M74" s="856"/>
      <c r="N74" s="856"/>
      <c r="O74" s="856"/>
      <c r="P74" s="856"/>
      <c r="Q74" s="5756" t="s">
        <v>1216</v>
      </c>
      <c r="R74" s="5756"/>
      <c r="S74" s="856"/>
      <c r="T74" s="5748" t="s">
        <v>1217</v>
      </c>
      <c r="U74" s="5748"/>
      <c r="V74" s="856"/>
      <c r="W74" s="5746" t="s">
        <v>1218</v>
      </c>
      <c r="X74" s="5746"/>
      <c r="Y74" s="856"/>
      <c r="Z74" s="5758" t="s">
        <v>1219</v>
      </c>
      <c r="AA74" s="5758"/>
      <c r="AB74" s="227"/>
      <c r="AC74" s="5760" t="s">
        <v>1220</v>
      </c>
      <c r="AD74" s="5760"/>
      <c r="AE74" s="227"/>
      <c r="AF74" s="5762" t="s">
        <v>1221</v>
      </c>
      <c r="AG74" s="5762"/>
      <c r="AH74" s="227"/>
      <c r="AI74" s="856"/>
      <c r="AJ74" s="856"/>
      <c r="AK74" s="856"/>
      <c r="AL74" s="856"/>
      <c r="AM74" s="856"/>
      <c r="AN74" s="856"/>
      <c r="AO74" s="856"/>
      <c r="AP74" s="856"/>
      <c r="AQ74" s="856"/>
      <c r="AS74" s="5766" t="s">
        <v>2388</v>
      </c>
      <c r="AT74" s="5766"/>
      <c r="AV74" s="5750" t="s">
        <v>2389</v>
      </c>
      <c r="AW74" s="5750"/>
      <c r="AY74" s="5752" t="s">
        <v>2390</v>
      </c>
      <c r="AZ74" s="5752"/>
      <c r="BB74" s="5473" t="s">
        <v>2391</v>
      </c>
      <c r="BC74" s="5473"/>
      <c r="BE74"/>
      <c r="BF74"/>
      <c r="BH74" s="5756" t="s">
        <v>2392</v>
      </c>
      <c r="BI74" s="5756"/>
      <c r="BK74" s="5748" t="s">
        <v>2393</v>
      </c>
      <c r="BL74" s="5748"/>
      <c r="BN74" s="5746" t="s">
        <v>2394</v>
      </c>
      <c r="BO74" s="5746"/>
      <c r="BQ74" s="5758" t="s">
        <v>2395</v>
      </c>
      <c r="BR74" s="5758"/>
      <c r="BT74" s="5760" t="s">
        <v>2396</v>
      </c>
      <c r="BU74" s="5760"/>
      <c r="BW74" s="5762" t="s">
        <v>1231</v>
      </c>
      <c r="BX74" s="5762"/>
      <c r="BY74"/>
      <c r="BZ74"/>
      <c r="CA74"/>
      <c r="CB74"/>
      <c r="CC74"/>
      <c r="CD74" s="5766" t="s">
        <v>2397</v>
      </c>
      <c r="CE74" s="5766"/>
      <c r="CG74" s="5750" t="s">
        <v>2398</v>
      </c>
      <c r="CH74" s="5750"/>
      <c r="CJ74" s="5752" t="s">
        <v>2399</v>
      </c>
      <c r="CK74" s="5752"/>
      <c r="CM74" s="5473" t="s">
        <v>2400</v>
      </c>
      <c r="CN74" s="5473"/>
      <c r="CP74"/>
      <c r="CQ74"/>
      <c r="CS74" s="5756" t="s">
        <v>2401</v>
      </c>
      <c r="CT74" s="5756"/>
      <c r="CV74" s="5748" t="s">
        <v>2402</v>
      </c>
      <c r="CW74" s="5748"/>
      <c r="CY74" s="5746" t="s">
        <v>2403</v>
      </c>
      <c r="CZ74" s="5746"/>
      <c r="DB74" s="5758" t="s">
        <v>2404</v>
      </c>
      <c r="DC74" s="5758"/>
      <c r="DE74" s="5760" t="s">
        <v>2405</v>
      </c>
      <c r="DF74" s="5760"/>
      <c r="DH74" s="5762" t="s">
        <v>2406</v>
      </c>
      <c r="DI74" s="5762"/>
      <c r="DK74"/>
      <c r="DL74"/>
      <c r="DM74" s="3">
        <v>1</v>
      </c>
    </row>
    <row r="75" spans="1:117" s="709" customFormat="1" ht="18" customHeight="1">
      <c r="A75" s="852"/>
      <c r="B75" s="5767"/>
      <c r="C75" s="5767"/>
      <c r="D75" s="856"/>
      <c r="E75" s="5751"/>
      <c r="F75" s="5751"/>
      <c r="G75" s="856"/>
      <c r="H75" s="5753"/>
      <c r="I75" s="5753"/>
      <c r="J75" s="856"/>
      <c r="K75" s="5474"/>
      <c r="L75" s="5474"/>
      <c r="M75" s="856"/>
      <c r="N75" s="856"/>
      <c r="O75" s="856"/>
      <c r="P75" s="856"/>
      <c r="Q75" s="5757"/>
      <c r="R75" s="5757"/>
      <c r="S75" s="856"/>
      <c r="T75" s="5749"/>
      <c r="U75" s="5749"/>
      <c r="V75" s="856"/>
      <c r="W75" s="5747"/>
      <c r="X75" s="5747"/>
      <c r="Y75" s="856"/>
      <c r="Z75" s="5759"/>
      <c r="AA75" s="5759"/>
      <c r="AB75" s="227"/>
      <c r="AC75" s="5761"/>
      <c r="AD75" s="5761"/>
      <c r="AE75" s="227"/>
      <c r="AF75" s="5763"/>
      <c r="AG75" s="5763"/>
      <c r="AH75" s="227"/>
      <c r="AI75" s="856"/>
      <c r="AJ75" s="856"/>
      <c r="AK75" s="856"/>
      <c r="AL75" s="856"/>
      <c r="AM75" s="856"/>
      <c r="AN75" s="856"/>
      <c r="AO75" s="856"/>
      <c r="AP75" s="856"/>
      <c r="AQ75" s="856"/>
      <c r="AS75" s="5767" t="s">
        <v>116</v>
      </c>
      <c r="AT75" s="5767"/>
      <c r="AV75" s="5751" t="s">
        <v>116</v>
      </c>
      <c r="AW75" s="5751"/>
      <c r="AY75" s="5753" t="s">
        <v>116</v>
      </c>
      <c r="AZ75" s="5753"/>
      <c r="BB75" s="5474" t="s">
        <v>116</v>
      </c>
      <c r="BC75" s="5474"/>
      <c r="BE75"/>
      <c r="BF75"/>
      <c r="BH75" s="5757" t="s">
        <v>116</v>
      </c>
      <c r="BI75" s="5757"/>
      <c r="BK75" s="5749" t="s">
        <v>116</v>
      </c>
      <c r="BL75" s="5749"/>
      <c r="BN75" s="5747" t="s">
        <v>116</v>
      </c>
      <c r="BO75" s="5747"/>
      <c r="BQ75" s="5759" t="s">
        <v>116</v>
      </c>
      <c r="BR75" s="5759"/>
      <c r="BT75" s="5761" t="s">
        <v>116</v>
      </c>
      <c r="BU75" s="5761"/>
      <c r="BW75" s="5763" t="s">
        <v>116</v>
      </c>
      <c r="BX75" s="5763"/>
      <c r="BY75"/>
      <c r="BZ75"/>
      <c r="CA75"/>
      <c r="CB75"/>
      <c r="CC75"/>
      <c r="CD75" s="5767" t="s">
        <v>116</v>
      </c>
      <c r="CE75" s="5767"/>
      <c r="CG75" s="5751" t="s">
        <v>116</v>
      </c>
      <c r="CH75" s="5751"/>
      <c r="CJ75" s="5753" t="s">
        <v>116</v>
      </c>
      <c r="CK75" s="5753"/>
      <c r="CM75" s="5474" t="s">
        <v>116</v>
      </c>
      <c r="CN75" s="5474"/>
      <c r="CP75"/>
      <c r="CQ75"/>
      <c r="CS75" s="5757" t="s">
        <v>116</v>
      </c>
      <c r="CT75" s="5757"/>
      <c r="CV75" s="5749" t="s">
        <v>116</v>
      </c>
      <c r="CW75" s="5749"/>
      <c r="CY75" s="5747" t="s">
        <v>116</v>
      </c>
      <c r="CZ75" s="5747"/>
      <c r="DB75" s="5759" t="s">
        <v>116</v>
      </c>
      <c r="DC75" s="5759"/>
      <c r="DE75" s="5761" t="s">
        <v>116</v>
      </c>
      <c r="DF75" s="5761"/>
      <c r="DH75" s="5763" t="s">
        <v>116</v>
      </c>
      <c r="DI75" s="5763"/>
      <c r="DK75"/>
      <c r="DL75"/>
      <c r="DM75" s="3">
        <v>1</v>
      </c>
    </row>
    <row r="76" spans="1:117" s="709" customFormat="1" ht="18" customHeight="1" thickBot="1">
      <c r="A76" s="852"/>
      <c r="B76" s="856"/>
      <c r="C76" s="856"/>
      <c r="D76" s="856"/>
      <c r="E76" s="856"/>
      <c r="F76" s="856"/>
      <c r="G76" s="856"/>
      <c r="H76" s="856"/>
      <c r="I76" s="856"/>
      <c r="J76" s="856"/>
      <c r="K76"/>
      <c r="L76"/>
      <c r="M76" s="856"/>
      <c r="N76" s="856"/>
      <c r="O76" s="856"/>
      <c r="P76" s="856"/>
      <c r="Q76" s="896"/>
      <c r="R76" s="896"/>
      <c r="S76" s="856"/>
      <c r="T76" s="856"/>
      <c r="U76" s="856"/>
      <c r="V76" s="856"/>
      <c r="W76" s="856"/>
      <c r="X76" s="856"/>
      <c r="Y76" s="856"/>
      <c r="Z76" s="856"/>
      <c r="AA76" s="856"/>
      <c r="AB76" s="227"/>
      <c r="AC76"/>
      <c r="AD76"/>
      <c r="AE76" s="227"/>
      <c r="AF76"/>
      <c r="AG76"/>
      <c r="AH76" s="227"/>
      <c r="AI76" s="856"/>
      <c r="AJ76" s="856"/>
      <c r="AK76" s="856"/>
      <c r="AL76" s="856"/>
      <c r="AM76" s="856"/>
      <c r="AN76" s="856"/>
      <c r="AO76" s="856"/>
      <c r="AP76" s="856"/>
      <c r="AQ76" s="856"/>
      <c r="AS76" s="856" t="s">
        <v>116</v>
      </c>
      <c r="AT76" s="856"/>
      <c r="AV76" s="856" t="s">
        <v>116</v>
      </c>
      <c r="AW76" s="856"/>
      <c r="AY76" s="856" t="s">
        <v>116</v>
      </c>
      <c r="AZ76" s="856"/>
      <c r="BB76" s="856" t="s">
        <v>116</v>
      </c>
      <c r="BC76" s="856"/>
      <c r="BE76"/>
      <c r="BF76"/>
      <c r="BH76" s="896" t="s">
        <v>116</v>
      </c>
      <c r="BI76" s="896"/>
      <c r="BK76" s="856" t="s">
        <v>116</v>
      </c>
      <c r="BL76" s="856"/>
      <c r="BN76" s="856" t="s">
        <v>116</v>
      </c>
      <c r="BO76" s="856"/>
      <c r="BQ76" s="856" t="s">
        <v>116</v>
      </c>
      <c r="BR76" s="856"/>
      <c r="BT76" s="856" t="s">
        <v>116</v>
      </c>
      <c r="BU76" s="856"/>
      <c r="BW76" t="s">
        <v>116</v>
      </c>
      <c r="BX76"/>
      <c r="BY76"/>
      <c r="BZ76"/>
      <c r="CA76"/>
      <c r="CB76"/>
      <c r="CC76"/>
      <c r="CD76" s="856" t="s">
        <v>116</v>
      </c>
      <c r="CE76" s="856"/>
      <c r="CG76" s="856" t="s">
        <v>116</v>
      </c>
      <c r="CH76" s="856"/>
      <c r="CJ76" t="s">
        <v>116</v>
      </c>
      <c r="CK76"/>
      <c r="CM76" t="s">
        <v>116</v>
      </c>
      <c r="CN76"/>
      <c r="CP76"/>
      <c r="CQ76"/>
      <c r="CS76" s="896" t="s">
        <v>116</v>
      </c>
      <c r="CT76" s="896"/>
      <c r="CV76" s="856" t="s">
        <v>116</v>
      </c>
      <c r="CW76" s="856"/>
      <c r="CY76" s="856" t="s">
        <v>116</v>
      </c>
      <c r="CZ76" s="856"/>
      <c r="DB76" s="856" t="s">
        <v>116</v>
      </c>
      <c r="DC76" s="856"/>
      <c r="DE76" t="s">
        <v>116</v>
      </c>
      <c r="DF76"/>
      <c r="DH76" t="s">
        <v>116</v>
      </c>
      <c r="DI76"/>
      <c r="DK76"/>
      <c r="DL76"/>
      <c r="DM76" s="3">
        <v>1</v>
      </c>
    </row>
    <row r="77" spans="1:117" s="709" customFormat="1" ht="18" customHeight="1">
      <c r="A77" s="852"/>
      <c r="B77" s="5764" t="s">
        <v>1222</v>
      </c>
      <c r="C77" s="5764"/>
      <c r="D77" s="856"/>
      <c r="E77" s="5750" t="s">
        <v>1223</v>
      </c>
      <c r="F77" s="5750"/>
      <c r="G77" s="856"/>
      <c r="H77" s="5752" t="s">
        <v>1224</v>
      </c>
      <c r="I77" s="5752"/>
      <c r="J77" s="856"/>
      <c r="K77" s="5473" t="s">
        <v>1225</v>
      </c>
      <c r="L77" s="5473"/>
      <c r="M77" s="856"/>
      <c r="N77" s="856"/>
      <c r="O77" s="856"/>
      <c r="P77" s="856"/>
      <c r="Q77" s="5756" t="s">
        <v>1226</v>
      </c>
      <c r="R77" s="5756"/>
      <c r="S77" s="856"/>
      <c r="T77" s="5748" t="s">
        <v>1227</v>
      </c>
      <c r="U77" s="5748"/>
      <c r="V77" s="856"/>
      <c r="W77" s="5746" t="s">
        <v>1228</v>
      </c>
      <c r="X77" s="5746"/>
      <c r="Y77" s="856"/>
      <c r="Z77" s="5758" t="s">
        <v>1229</v>
      </c>
      <c r="AA77" s="5758"/>
      <c r="AB77" s="227"/>
      <c r="AC77" s="5760" t="s">
        <v>1230</v>
      </c>
      <c r="AD77" s="5760"/>
      <c r="AE77" s="227"/>
      <c r="AF77" s="5762" t="s">
        <v>1231</v>
      </c>
      <c r="AG77" s="5762"/>
      <c r="AH77" s="227"/>
      <c r="AI77" s="856"/>
      <c r="AJ77" s="856"/>
      <c r="AK77" s="856"/>
      <c r="AL77" s="856"/>
      <c r="AM77" s="856"/>
      <c r="AN77" s="856"/>
      <c r="AO77" s="856"/>
      <c r="AP77" s="856"/>
      <c r="AQ77" s="856"/>
      <c r="AS77" s="5764" t="s">
        <v>2407</v>
      </c>
      <c r="AT77" s="5764"/>
      <c r="AV77" s="5750" t="s">
        <v>2408</v>
      </c>
      <c r="AW77" s="5750"/>
      <c r="AY77" s="5752" t="s">
        <v>2409</v>
      </c>
      <c r="AZ77" s="5752"/>
      <c r="BB77" s="5473" t="s">
        <v>2410</v>
      </c>
      <c r="BC77" s="5473"/>
      <c r="BE77"/>
      <c r="BF77"/>
      <c r="BH77" s="5756" t="s">
        <v>2411</v>
      </c>
      <c r="BI77" s="5756"/>
      <c r="BK77" s="5748" t="s">
        <v>2412</v>
      </c>
      <c r="BL77" s="5748"/>
      <c r="BN77" s="5746" t="s">
        <v>2413</v>
      </c>
      <c r="BO77" s="5746"/>
      <c r="BQ77" s="5758" t="s">
        <v>2414</v>
      </c>
      <c r="BR77" s="5758"/>
      <c r="BT77" s="5760" t="s">
        <v>2415</v>
      </c>
      <c r="BU77" s="5760"/>
      <c r="BW77" s="5762" t="s">
        <v>2231</v>
      </c>
      <c r="BX77" s="5762"/>
      <c r="BY77"/>
      <c r="BZ77"/>
      <c r="CA77"/>
      <c r="CB77"/>
      <c r="CC77"/>
      <c r="CD77" s="5764" t="s">
        <v>2416</v>
      </c>
      <c r="CE77" s="5764"/>
      <c r="CG77" s="5496" t="s">
        <v>2417</v>
      </c>
      <c r="CH77" s="5496"/>
      <c r="CJ77" s="5752" t="s">
        <v>2418</v>
      </c>
      <c r="CK77" s="5752"/>
      <c r="CM77" s="5473" t="s">
        <v>2419</v>
      </c>
      <c r="CN77" s="5473"/>
      <c r="CP77"/>
      <c r="CQ77"/>
      <c r="CS77" s="5756" t="s">
        <v>2420</v>
      </c>
      <c r="CT77" s="5756"/>
      <c r="CV77" s="5748" t="s">
        <v>2421</v>
      </c>
      <c r="CW77" s="5748"/>
      <c r="CY77" s="5746" t="s">
        <v>2422</v>
      </c>
      <c r="CZ77" s="5746"/>
      <c r="DB77" s="5758" t="s">
        <v>2423</v>
      </c>
      <c r="DC77" s="5758"/>
      <c r="DE77" s="5760" t="s">
        <v>2424</v>
      </c>
      <c r="DF77" s="5760"/>
      <c r="DH77" s="5762" t="s">
        <v>2242</v>
      </c>
      <c r="DI77" s="5762"/>
      <c r="DK77"/>
      <c r="DL77"/>
      <c r="DM77" s="3">
        <v>1</v>
      </c>
    </row>
    <row r="78" spans="1:117" s="709" customFormat="1" ht="18" customHeight="1">
      <c r="A78" s="852"/>
      <c r="B78" s="5765"/>
      <c r="C78" s="5765"/>
      <c r="D78" s="856"/>
      <c r="E78" s="5751"/>
      <c r="F78" s="5751"/>
      <c r="G78" s="856"/>
      <c r="H78" s="5753"/>
      <c r="I78" s="5753"/>
      <c r="J78" s="856"/>
      <c r="K78" s="5474"/>
      <c r="L78" s="5474"/>
      <c r="M78" s="856"/>
      <c r="N78" s="856"/>
      <c r="O78" s="856"/>
      <c r="P78" s="856"/>
      <c r="Q78" s="5757"/>
      <c r="R78" s="5757"/>
      <c r="S78" s="856"/>
      <c r="T78" s="5749"/>
      <c r="U78" s="5749"/>
      <c r="V78" s="856"/>
      <c r="W78" s="5747"/>
      <c r="X78" s="5747"/>
      <c r="Y78" s="856"/>
      <c r="Z78" s="5759"/>
      <c r="AA78" s="5759"/>
      <c r="AB78" s="227"/>
      <c r="AC78" s="5761"/>
      <c r="AD78" s="5761"/>
      <c r="AE78" s="227"/>
      <c r="AF78" s="5763"/>
      <c r="AG78" s="5763"/>
      <c r="AH78" s="227"/>
      <c r="AI78" s="856"/>
      <c r="AJ78" s="856"/>
      <c r="AK78" s="856"/>
      <c r="AL78" s="856"/>
      <c r="AM78" s="856"/>
      <c r="AN78" s="856"/>
      <c r="AO78" s="856"/>
      <c r="AP78" s="856"/>
      <c r="AQ78" s="856"/>
      <c r="AS78" s="5765" t="s">
        <v>116</v>
      </c>
      <c r="AT78" s="5765"/>
      <c r="AV78" s="5751" t="s">
        <v>116</v>
      </c>
      <c r="AW78" s="5751"/>
      <c r="AY78" s="5753" t="s">
        <v>116</v>
      </c>
      <c r="AZ78" s="5753"/>
      <c r="BB78" s="5474" t="s">
        <v>116</v>
      </c>
      <c r="BC78" s="5474"/>
      <c r="BE78"/>
      <c r="BF78"/>
      <c r="BH78" s="5757" t="s">
        <v>116</v>
      </c>
      <c r="BI78" s="5757"/>
      <c r="BK78" s="5749" t="s">
        <v>116</v>
      </c>
      <c r="BL78" s="5749"/>
      <c r="BN78" s="5747" t="s">
        <v>116</v>
      </c>
      <c r="BO78" s="5747"/>
      <c r="BQ78" s="5759" t="s">
        <v>116</v>
      </c>
      <c r="BR78" s="5759"/>
      <c r="BT78" s="5761" t="s">
        <v>116</v>
      </c>
      <c r="BU78" s="5761"/>
      <c r="BW78" s="5763" t="s">
        <v>116</v>
      </c>
      <c r="BX78" s="5763"/>
      <c r="BY78"/>
      <c r="BZ78"/>
      <c r="CA78"/>
      <c r="CB78"/>
      <c r="CC78"/>
      <c r="CD78" s="5765" t="s">
        <v>116</v>
      </c>
      <c r="CE78" s="5765"/>
      <c r="CG78" s="5497" t="s">
        <v>116</v>
      </c>
      <c r="CH78" s="5497"/>
      <c r="CJ78" s="5753" t="s">
        <v>116</v>
      </c>
      <c r="CK78" s="5753"/>
      <c r="CM78" s="5474" t="s">
        <v>116</v>
      </c>
      <c r="CN78" s="5474"/>
      <c r="CP78"/>
      <c r="CQ78"/>
      <c r="CS78" s="5757" t="s">
        <v>116</v>
      </c>
      <c r="CT78" s="5757"/>
      <c r="CV78" s="5749" t="s">
        <v>116</v>
      </c>
      <c r="CW78" s="5749"/>
      <c r="CY78" s="5747" t="s">
        <v>116</v>
      </c>
      <c r="CZ78" s="5747"/>
      <c r="DB78" s="5759" t="s">
        <v>116</v>
      </c>
      <c r="DC78" s="5759"/>
      <c r="DE78" s="5761" t="s">
        <v>116</v>
      </c>
      <c r="DF78" s="5761"/>
      <c r="DH78" s="5763" t="s">
        <v>116</v>
      </c>
      <c r="DI78" s="5763"/>
      <c r="DK78"/>
      <c r="DL78"/>
      <c r="DM78" s="3">
        <v>1</v>
      </c>
    </row>
    <row r="79" spans="1:117" s="709" customFormat="1" ht="18" customHeight="1" thickBot="1">
      <c r="A79" s="852"/>
      <c r="B79" s="856"/>
      <c r="C79" s="856"/>
      <c r="D79" s="856"/>
      <c r="E79" s="856"/>
      <c r="F79" s="856"/>
      <c r="G79" s="856"/>
      <c r="H79"/>
      <c r="I79"/>
      <c r="J79" s="856"/>
      <c r="K79"/>
      <c r="L79"/>
      <c r="M79" s="856"/>
      <c r="N79" s="856"/>
      <c r="O79" s="856"/>
      <c r="P79" s="856"/>
      <c r="Q79" s="896"/>
      <c r="R79" s="896"/>
      <c r="S79" s="856"/>
      <c r="T79" s="856"/>
      <c r="U79" s="856"/>
      <c r="V79" s="856"/>
      <c r="W79" s="856"/>
      <c r="X79" s="856"/>
      <c r="Y79" s="856"/>
      <c r="Z79" s="856"/>
      <c r="AA79" s="856"/>
      <c r="AB79" s="227"/>
      <c r="AC79"/>
      <c r="AD79"/>
      <c r="AE79" s="227"/>
      <c r="AF79"/>
      <c r="AG79"/>
      <c r="AH79" s="227"/>
      <c r="AI79" s="856"/>
      <c r="AJ79" s="856"/>
      <c r="AK79" s="856"/>
      <c r="AL79" s="856"/>
      <c r="AM79" s="856"/>
      <c r="AN79" s="856"/>
      <c r="AO79" s="856"/>
      <c r="AP79" s="856"/>
      <c r="AQ79" s="856"/>
      <c r="AS79" s="856" t="s">
        <v>116</v>
      </c>
      <c r="AT79" s="856"/>
      <c r="AV79" s="856" t="s">
        <v>116</v>
      </c>
      <c r="AW79" s="856"/>
      <c r="AY79" t="s">
        <v>116</v>
      </c>
      <c r="AZ79"/>
      <c r="BB79" t="s">
        <v>116</v>
      </c>
      <c r="BC79"/>
      <c r="BE79"/>
      <c r="BF79"/>
      <c r="BH79" s="896" t="s">
        <v>116</v>
      </c>
      <c r="BI79" s="896"/>
      <c r="BK79" s="856" t="s">
        <v>116</v>
      </c>
      <c r="BL79" s="856"/>
      <c r="BN79" s="856" t="s">
        <v>116</v>
      </c>
      <c r="BO79" s="856"/>
      <c r="BQ79" s="856" t="s">
        <v>116</v>
      </c>
      <c r="BR79" s="856"/>
      <c r="BT79" t="s">
        <v>116</v>
      </c>
      <c r="BU79"/>
      <c r="BW79" t="s">
        <v>116</v>
      </c>
      <c r="BX79"/>
      <c r="BY79"/>
      <c r="BZ79"/>
      <c r="CA79"/>
      <c r="CB79"/>
      <c r="CC79"/>
      <c r="CD79" s="856" t="s">
        <v>116</v>
      </c>
      <c r="CE79" s="856"/>
      <c r="CG79" s="856" t="s">
        <v>116</v>
      </c>
      <c r="CH79" s="856"/>
      <c r="CJ79" t="s">
        <v>116</v>
      </c>
      <c r="CK79"/>
      <c r="CM79" t="s">
        <v>116</v>
      </c>
      <c r="CN79"/>
      <c r="CP79"/>
      <c r="CQ79"/>
      <c r="CS79" s="896" t="s">
        <v>116</v>
      </c>
      <c r="CT79" s="896"/>
      <c r="CV79" s="856" t="s">
        <v>116</v>
      </c>
      <c r="CW79" s="856"/>
      <c r="CY79" s="856" t="s">
        <v>116</v>
      </c>
      <c r="CZ79" s="856"/>
      <c r="DB79" t="s">
        <v>116</v>
      </c>
      <c r="DC79"/>
      <c r="DE79" t="s">
        <v>116</v>
      </c>
      <c r="DF79"/>
      <c r="DH79" t="s">
        <v>116</v>
      </c>
      <c r="DI79"/>
      <c r="DK79"/>
      <c r="DL79"/>
      <c r="DM79" s="3">
        <v>1</v>
      </c>
    </row>
    <row r="80" spans="1:117" s="709" customFormat="1" ht="18" customHeight="1">
      <c r="A80" s="852"/>
      <c r="B80" s="5754" t="s">
        <v>1232</v>
      </c>
      <c r="C80" s="5754"/>
      <c r="D80" s="856"/>
      <c r="E80" s="5750" t="s">
        <v>1233</v>
      </c>
      <c r="F80" s="5750"/>
      <c r="G80" s="856"/>
      <c r="H80" s="5752" t="s">
        <v>1234</v>
      </c>
      <c r="I80" s="5752"/>
      <c r="J80" s="856"/>
      <c r="K80" s="5473" t="s">
        <v>1235</v>
      </c>
      <c r="L80" s="5473"/>
      <c r="M80" s="856"/>
      <c r="N80" s="856"/>
      <c r="O80" s="856"/>
      <c r="P80" s="856"/>
      <c r="Q80" s="5756" t="s">
        <v>1236</v>
      </c>
      <c r="R80" s="5756"/>
      <c r="S80" s="856"/>
      <c r="T80" s="5748" t="s">
        <v>1237</v>
      </c>
      <c r="U80" s="5748"/>
      <c r="V80" s="856"/>
      <c r="W80" s="5746" t="s">
        <v>1238</v>
      </c>
      <c r="X80" s="5746"/>
      <c r="Y80" s="856"/>
      <c r="Z80" s="5758" t="s">
        <v>1239</v>
      </c>
      <c r="AA80" s="5758"/>
      <c r="AB80" s="227"/>
      <c r="AC80" s="5760" t="s">
        <v>1240</v>
      </c>
      <c r="AD80" s="5760"/>
      <c r="AE80" s="227"/>
      <c r="AF80" s="5762" t="s">
        <v>1241</v>
      </c>
      <c r="AG80" s="5762"/>
      <c r="AH80" s="227"/>
      <c r="AI80" s="856"/>
      <c r="AJ80" s="856"/>
      <c r="AK80" s="856"/>
      <c r="AL80" s="856"/>
      <c r="AM80" s="856"/>
      <c r="AN80" s="856"/>
      <c r="AO80" s="856"/>
      <c r="AP80" s="856"/>
      <c r="AQ80" s="856"/>
      <c r="AS80" s="5754" t="s">
        <v>2425</v>
      </c>
      <c r="AT80" s="5754"/>
      <c r="AV80" s="5750" t="s">
        <v>2426</v>
      </c>
      <c r="AW80" s="5750"/>
      <c r="AY80" s="5752" t="s">
        <v>2427</v>
      </c>
      <c r="AZ80" s="5752"/>
      <c r="BB80" s="5473" t="s">
        <v>2428</v>
      </c>
      <c r="BC80" s="5473"/>
      <c r="BE80"/>
      <c r="BF80"/>
      <c r="BH80" s="5756" t="s">
        <v>2429</v>
      </c>
      <c r="BI80" s="5756"/>
      <c r="BK80" s="5748" t="s">
        <v>2430</v>
      </c>
      <c r="BL80" s="5748"/>
      <c r="BN80" s="5746" t="s">
        <v>2431</v>
      </c>
      <c r="BO80" s="5746"/>
      <c r="BQ80" s="5758" t="s">
        <v>2432</v>
      </c>
      <c r="BR80" s="5758"/>
      <c r="BT80" s="5760"/>
      <c r="BU80" s="5760"/>
      <c r="BW80" s="5762"/>
      <c r="BX80" s="5762"/>
      <c r="BY80"/>
      <c r="BZ80"/>
      <c r="CA80"/>
      <c r="CB80"/>
      <c r="CC80"/>
      <c r="CD80" s="5754" t="s">
        <v>2433</v>
      </c>
      <c r="CE80" s="5754"/>
      <c r="CG80" s="5750" t="s">
        <v>2434</v>
      </c>
      <c r="CH80" s="5750"/>
      <c r="CJ80" s="5752" t="s">
        <v>2435</v>
      </c>
      <c r="CK80" s="5752"/>
      <c r="CM80" s="5473" t="s">
        <v>2436</v>
      </c>
      <c r="CN80" s="5473"/>
      <c r="CP80"/>
      <c r="CQ80"/>
      <c r="CS80" s="5756" t="s">
        <v>2437</v>
      </c>
      <c r="CT80" s="5756"/>
      <c r="CV80" s="5748" t="s">
        <v>2438</v>
      </c>
      <c r="CW80" s="5748"/>
      <c r="CY80" s="5746" t="s">
        <v>2439</v>
      </c>
      <c r="CZ80" s="5746"/>
      <c r="DB80" s="5758" t="s">
        <v>2440</v>
      </c>
      <c r="DC80" s="5758"/>
      <c r="DE80" s="5760"/>
      <c r="DF80" s="5760"/>
      <c r="DH80" s="5762"/>
      <c r="DI80" s="5762"/>
      <c r="DK80"/>
      <c r="DL80"/>
      <c r="DM80" s="3">
        <v>1</v>
      </c>
    </row>
    <row r="81" spans="1:117" s="709" customFormat="1" ht="18" customHeight="1">
      <c r="A81" s="852"/>
      <c r="B81" s="5755"/>
      <c r="C81" s="5755"/>
      <c r="D81" s="856"/>
      <c r="E81" s="5751"/>
      <c r="F81" s="5751"/>
      <c r="G81" s="856"/>
      <c r="H81" s="5753"/>
      <c r="I81" s="5753"/>
      <c r="J81" s="856"/>
      <c r="K81" s="5474"/>
      <c r="L81" s="5474"/>
      <c r="M81" s="856"/>
      <c r="N81" s="856"/>
      <c r="O81" s="856"/>
      <c r="P81" s="856"/>
      <c r="Q81" s="5757"/>
      <c r="R81" s="5757"/>
      <c r="S81" s="856"/>
      <c r="T81" s="5749"/>
      <c r="U81" s="5749"/>
      <c r="V81" s="856"/>
      <c r="W81" s="5747"/>
      <c r="X81" s="5747"/>
      <c r="Y81" s="856"/>
      <c r="Z81" s="5759"/>
      <c r="AA81" s="5759"/>
      <c r="AB81" s="227"/>
      <c r="AC81" s="5761"/>
      <c r="AD81" s="5761"/>
      <c r="AE81" s="227"/>
      <c r="AF81" s="5763"/>
      <c r="AG81" s="5763"/>
      <c r="AH81" s="227"/>
      <c r="AI81" s="856"/>
      <c r="AJ81" s="856"/>
      <c r="AK81" s="856"/>
      <c r="AL81" s="856"/>
      <c r="AM81" s="856"/>
      <c r="AN81" s="856"/>
      <c r="AO81" s="856"/>
      <c r="AP81" s="856"/>
      <c r="AQ81" s="856"/>
      <c r="AS81" s="5755" t="s">
        <v>116</v>
      </c>
      <c r="AT81" s="5755"/>
      <c r="AV81" s="5751" t="s">
        <v>116</v>
      </c>
      <c r="AW81" s="5751"/>
      <c r="AY81" s="5753" t="s">
        <v>116</v>
      </c>
      <c r="AZ81" s="5753"/>
      <c r="BB81" s="5474" t="s">
        <v>116</v>
      </c>
      <c r="BC81" s="5474"/>
      <c r="BE81"/>
      <c r="BF81"/>
      <c r="BH81" s="5757" t="s">
        <v>116</v>
      </c>
      <c r="BI81" s="5757"/>
      <c r="BK81" s="5749" t="s">
        <v>116</v>
      </c>
      <c r="BL81" s="5749"/>
      <c r="BN81" s="5747" t="s">
        <v>116</v>
      </c>
      <c r="BO81" s="5747"/>
      <c r="BQ81" s="5759" t="s">
        <v>116</v>
      </c>
      <c r="BR81" s="5759"/>
      <c r="BT81" s="5761"/>
      <c r="BU81" s="5761"/>
      <c r="BW81" s="5763"/>
      <c r="BX81" s="5763"/>
      <c r="BY81"/>
      <c r="BZ81"/>
      <c r="CA81"/>
      <c r="CB81"/>
      <c r="CC81"/>
      <c r="CD81" s="5755" t="s">
        <v>116</v>
      </c>
      <c r="CE81" s="5755"/>
      <c r="CG81" s="5751" t="s">
        <v>116</v>
      </c>
      <c r="CH81" s="5751"/>
      <c r="CJ81" s="5753" t="s">
        <v>116</v>
      </c>
      <c r="CK81" s="5753"/>
      <c r="CM81" s="5474" t="s">
        <v>116</v>
      </c>
      <c r="CN81" s="5474"/>
      <c r="CP81"/>
      <c r="CQ81"/>
      <c r="CS81" s="5757" t="s">
        <v>116</v>
      </c>
      <c r="CT81" s="5757"/>
      <c r="CV81" s="5749" t="s">
        <v>116</v>
      </c>
      <c r="CW81" s="5749"/>
      <c r="CY81" s="5747" t="s">
        <v>116</v>
      </c>
      <c r="CZ81" s="5747"/>
      <c r="DB81" s="5759" t="s">
        <v>116</v>
      </c>
      <c r="DC81" s="5759"/>
      <c r="DE81" s="5761"/>
      <c r="DF81" s="5761"/>
      <c r="DH81" s="5763"/>
      <c r="DI81" s="5763"/>
      <c r="DK81"/>
      <c r="DL81"/>
      <c r="DM81" s="3">
        <v>1</v>
      </c>
    </row>
    <row r="82" spans="1:117" s="709" customFormat="1" ht="18" customHeight="1" thickBot="1">
      <c r="A82" s="852"/>
      <c r="B82" s="856"/>
      <c r="C82" s="856"/>
      <c r="D82" s="856"/>
      <c r="E82" s="856"/>
      <c r="F82" s="856"/>
      <c r="G82" s="856"/>
      <c r="H82"/>
      <c r="I82"/>
      <c r="J82" s="856"/>
      <c r="K82"/>
      <c r="L82"/>
      <c r="M82" s="856"/>
      <c r="N82" s="856"/>
      <c r="O82" s="856"/>
      <c r="P82" s="856"/>
      <c r="Q82" s="896"/>
      <c r="R82" s="896"/>
      <c r="S82" s="856"/>
      <c r="T82" s="856"/>
      <c r="U82" s="856"/>
      <c r="V82" s="856"/>
      <c r="W82" s="856"/>
      <c r="X82" s="856"/>
      <c r="Y82" s="856"/>
      <c r="Z82" s="856"/>
      <c r="AA82" s="856"/>
      <c r="AB82" s="227"/>
      <c r="AC82"/>
      <c r="AD82"/>
      <c r="AE82" s="227"/>
      <c r="AF82"/>
      <c r="AG82"/>
      <c r="AH82" s="227"/>
      <c r="AI82" s="856"/>
      <c r="AJ82" s="856"/>
      <c r="AK82" s="856"/>
      <c r="AL82" s="856"/>
      <c r="AM82" s="856"/>
      <c r="AN82" s="856"/>
      <c r="AO82" s="856"/>
      <c r="AP82" s="856"/>
      <c r="AQ82" s="856"/>
      <c r="AS82" s="856" t="s">
        <v>116</v>
      </c>
      <c r="AT82" s="856"/>
      <c r="AV82" s="856" t="s">
        <v>116</v>
      </c>
      <c r="AW82" s="856"/>
      <c r="AY82" t="s">
        <v>116</v>
      </c>
      <c r="AZ82"/>
      <c r="BB82" t="s">
        <v>116</v>
      </c>
      <c r="BC82"/>
      <c r="BE82"/>
      <c r="BF82"/>
      <c r="BH82" s="896" t="s">
        <v>116</v>
      </c>
      <c r="BI82" s="896"/>
      <c r="BK82" s="856" t="s">
        <v>116</v>
      </c>
      <c r="BL82" s="856"/>
      <c r="BN82" s="856" t="s">
        <v>116</v>
      </c>
      <c r="BO82" s="856"/>
      <c r="BQ82" s="856" t="s">
        <v>116</v>
      </c>
      <c r="BR82" s="856"/>
      <c r="BT82" t="s">
        <v>116</v>
      </c>
      <c r="BU82"/>
      <c r="BW82"/>
      <c r="BX82"/>
      <c r="BY82"/>
      <c r="BZ82"/>
      <c r="CA82"/>
      <c r="CB82"/>
      <c r="CC82"/>
      <c r="CD82" s="856" t="s">
        <v>116</v>
      </c>
      <c r="CE82" s="856"/>
      <c r="CG82" s="856" t="s">
        <v>116</v>
      </c>
      <c r="CH82" s="856"/>
      <c r="CJ82" t="s">
        <v>116</v>
      </c>
      <c r="CK82"/>
      <c r="CM82" t="s">
        <v>116</v>
      </c>
      <c r="CN82"/>
      <c r="CP82"/>
      <c r="CQ82"/>
      <c r="CS82" s="896" t="s">
        <v>116</v>
      </c>
      <c r="CT82" s="896"/>
      <c r="CV82" s="856" t="s">
        <v>116</v>
      </c>
      <c r="CW82" s="856"/>
      <c r="CY82" s="856" t="s">
        <v>116</v>
      </c>
      <c r="CZ82" s="856"/>
      <c r="DB82" t="s">
        <v>116</v>
      </c>
      <c r="DC82"/>
      <c r="DE82"/>
      <c r="DF82"/>
      <c r="DH82"/>
      <c r="DI82"/>
      <c r="DK82"/>
      <c r="DL82"/>
      <c r="DM82" s="3">
        <v>1</v>
      </c>
    </row>
    <row r="83" spans="1:117" s="709" customFormat="1" ht="18" customHeight="1">
      <c r="A83" s="852"/>
      <c r="B83" s="5754" t="s">
        <v>1242</v>
      </c>
      <c r="C83" s="5754"/>
      <c r="D83" s="856"/>
      <c r="E83" s="5496" t="s">
        <v>1243</v>
      </c>
      <c r="F83" s="5496"/>
      <c r="G83" s="856"/>
      <c r="H83" s="5752" t="s">
        <v>1244</v>
      </c>
      <c r="I83" s="5752"/>
      <c r="J83" s="856"/>
      <c r="K83" s="5473" t="s">
        <v>1151</v>
      </c>
      <c r="L83" s="5473"/>
      <c r="M83" s="856"/>
      <c r="N83" s="856"/>
      <c r="O83" s="856"/>
      <c r="P83" s="856"/>
      <c r="Q83" s="5756" t="s">
        <v>1245</v>
      </c>
      <c r="R83" s="5756"/>
      <c r="S83" s="856"/>
      <c r="T83" s="5748" t="s">
        <v>1246</v>
      </c>
      <c r="U83" s="5748"/>
      <c r="V83" s="856"/>
      <c r="W83" s="5746" t="s">
        <v>1247</v>
      </c>
      <c r="X83" s="5746"/>
      <c r="Y83" s="856"/>
      <c r="Z83" s="5758"/>
      <c r="AA83" s="5758"/>
      <c r="AB83" s="227"/>
      <c r="AC83" s="5760"/>
      <c r="AD83" s="5760"/>
      <c r="AE83" s="227"/>
      <c r="AF83" s="5762"/>
      <c r="AG83" s="5762"/>
      <c r="AH83" s="227"/>
      <c r="AI83" s="856"/>
      <c r="AJ83" s="856"/>
      <c r="AK83" s="856"/>
      <c r="AL83" s="856"/>
      <c r="AM83" s="856"/>
      <c r="AN83" s="856"/>
      <c r="AO83" s="856"/>
      <c r="AP83" s="856"/>
      <c r="AQ83" s="856"/>
      <c r="AS83" s="5754" t="s">
        <v>2441</v>
      </c>
      <c r="AT83" s="5754"/>
      <c r="AV83" s="5496" t="s">
        <v>2442</v>
      </c>
      <c r="AW83" s="5496"/>
      <c r="AY83" s="5752" t="s">
        <v>2443</v>
      </c>
      <c r="AZ83" s="5752"/>
      <c r="BB83" s="5473" t="s">
        <v>2268</v>
      </c>
      <c r="BC83" s="5473"/>
      <c r="BE83"/>
      <c r="BF83"/>
      <c r="BH83" s="5756" t="s">
        <v>2444</v>
      </c>
      <c r="BI83" s="5756"/>
      <c r="BK83" s="5748" t="s">
        <v>2445</v>
      </c>
      <c r="BL83" s="5748"/>
      <c r="BN83" s="5746" t="s">
        <v>2446</v>
      </c>
      <c r="BO83" s="5746"/>
      <c r="BQ83" s="5758" t="s">
        <v>2447</v>
      </c>
      <c r="BR83" s="5758"/>
      <c r="BT83"/>
      <c r="BU83"/>
      <c r="BW83"/>
      <c r="BX83"/>
      <c r="BY83"/>
      <c r="BZ83"/>
      <c r="CA83"/>
      <c r="CB83"/>
      <c r="CC83"/>
      <c r="CD83" s="5754" t="s">
        <v>2448</v>
      </c>
      <c r="CE83" s="5754"/>
      <c r="CG83" s="5750" t="s">
        <v>2449</v>
      </c>
      <c r="CH83" s="5750"/>
      <c r="CJ83" s="5752" t="s">
        <v>2450</v>
      </c>
      <c r="CK83" s="5752"/>
      <c r="CM83" s="5473" t="s">
        <v>2278</v>
      </c>
      <c r="CN83" s="5473"/>
      <c r="CP83"/>
      <c r="CQ83"/>
      <c r="CS83" s="5756" t="s">
        <v>2451</v>
      </c>
      <c r="CT83" s="5756"/>
      <c r="CV83" s="5748" t="s">
        <v>2452</v>
      </c>
      <c r="CW83" s="5748"/>
      <c r="CY83" s="5746" t="s">
        <v>2453</v>
      </c>
      <c r="CZ83" s="5746"/>
      <c r="DB83" s="5758" t="s">
        <v>2454</v>
      </c>
      <c r="DC83" s="5758"/>
      <c r="DE83"/>
      <c r="DF83"/>
      <c r="DH83"/>
      <c r="DI83"/>
      <c r="DK83"/>
      <c r="DL83"/>
      <c r="DM83" s="3">
        <v>1</v>
      </c>
    </row>
    <row r="84" spans="1:117" s="709" customFormat="1" ht="18" customHeight="1">
      <c r="A84" s="852"/>
      <c r="B84" s="5755"/>
      <c r="C84" s="5755"/>
      <c r="D84" s="856"/>
      <c r="E84" s="5497"/>
      <c r="F84" s="5497"/>
      <c r="G84" s="856"/>
      <c r="H84" s="5753"/>
      <c r="I84" s="5753"/>
      <c r="J84" s="856"/>
      <c r="K84" s="5474"/>
      <c r="L84" s="5474"/>
      <c r="M84" s="856"/>
      <c r="N84" s="856"/>
      <c r="O84" s="856"/>
      <c r="P84" s="856"/>
      <c r="Q84" s="5757"/>
      <c r="R84" s="5757"/>
      <c r="S84" s="856"/>
      <c r="T84" s="5749"/>
      <c r="U84" s="5749"/>
      <c r="V84" s="856"/>
      <c r="W84" s="5747"/>
      <c r="X84" s="5747"/>
      <c r="Y84" s="856"/>
      <c r="Z84" s="5759"/>
      <c r="AA84" s="5759"/>
      <c r="AB84" s="227"/>
      <c r="AC84" s="5761"/>
      <c r="AD84" s="5761"/>
      <c r="AE84" s="227"/>
      <c r="AF84" s="5763"/>
      <c r="AG84" s="5763"/>
      <c r="AH84" s="227"/>
      <c r="AI84" s="856"/>
      <c r="AJ84" s="856"/>
      <c r="AK84" s="856"/>
      <c r="AL84" s="856"/>
      <c r="AM84" s="856"/>
      <c r="AN84" s="856"/>
      <c r="AO84" s="856"/>
      <c r="AP84" s="856"/>
      <c r="AQ84" s="856"/>
      <c r="AS84" s="5755" t="s">
        <v>116</v>
      </c>
      <c r="AT84" s="5755"/>
      <c r="AV84" s="5497" t="s">
        <v>116</v>
      </c>
      <c r="AW84" s="5497"/>
      <c r="AY84" s="5753" t="s">
        <v>116</v>
      </c>
      <c r="AZ84" s="5753"/>
      <c r="BB84" s="5474" t="s">
        <v>116</v>
      </c>
      <c r="BC84" s="5474"/>
      <c r="BE84"/>
      <c r="BF84"/>
      <c r="BH84" s="5757" t="s">
        <v>116</v>
      </c>
      <c r="BI84" s="5757"/>
      <c r="BK84" s="5749" t="s">
        <v>116</v>
      </c>
      <c r="BL84" s="5749"/>
      <c r="BN84" s="5747" t="s">
        <v>116</v>
      </c>
      <c r="BO84" s="5747"/>
      <c r="BQ84" s="5759" t="s">
        <v>116</v>
      </c>
      <c r="BR84" s="5759"/>
      <c r="BT84"/>
      <c r="BU84"/>
      <c r="BW84"/>
      <c r="BX84"/>
      <c r="BY84"/>
      <c r="BZ84"/>
      <c r="CA84"/>
      <c r="CB84"/>
      <c r="CC84"/>
      <c r="CD84" s="5755" t="s">
        <v>116</v>
      </c>
      <c r="CE84" s="5755"/>
      <c r="CG84" s="5751" t="s">
        <v>116</v>
      </c>
      <c r="CH84" s="5751"/>
      <c r="CJ84" s="5753" t="s">
        <v>116</v>
      </c>
      <c r="CK84" s="5753"/>
      <c r="CM84" s="5474" t="s">
        <v>116</v>
      </c>
      <c r="CN84" s="5474"/>
      <c r="CP84"/>
      <c r="CQ84"/>
      <c r="CS84" s="5757" t="s">
        <v>116</v>
      </c>
      <c r="CT84" s="5757"/>
      <c r="CV84" s="5749" t="s">
        <v>116</v>
      </c>
      <c r="CW84" s="5749"/>
      <c r="CY84" s="5747" t="s">
        <v>116</v>
      </c>
      <c r="CZ84" s="5747"/>
      <c r="DB84" s="5759" t="s">
        <v>116</v>
      </c>
      <c r="DC84" s="5759"/>
      <c r="DE84" t="s">
        <v>116</v>
      </c>
      <c r="DF84"/>
      <c r="DH84"/>
      <c r="DI84"/>
      <c r="DK84"/>
      <c r="DL84"/>
      <c r="DM84" s="3">
        <v>1</v>
      </c>
    </row>
    <row r="85" spans="1:117" s="709" customFormat="1" ht="18" customHeight="1" thickBot="1">
      <c r="A85"/>
      <c r="B85" s="856"/>
      <c r="C85" s="856"/>
      <c r="D85" s="856"/>
      <c r="E85" s="856"/>
      <c r="F85" s="856"/>
      <c r="G85" s="856"/>
      <c r="H85"/>
      <c r="I85"/>
      <c r="J85" s="856"/>
      <c r="K85"/>
      <c r="L85"/>
      <c r="M85" s="856"/>
      <c r="N85" s="856"/>
      <c r="O85" s="856"/>
      <c r="P85" s="856"/>
      <c r="Q85" s="896"/>
      <c r="R85" s="896"/>
      <c r="S85" s="856"/>
      <c r="T85" s="856"/>
      <c r="U85" s="856"/>
      <c r="V85" s="856"/>
      <c r="W85" s="856"/>
      <c r="X85" s="856"/>
      <c r="Y85" s="856"/>
      <c r="Z85" s="856"/>
      <c r="AA85" s="856"/>
      <c r="AB85" s="227"/>
      <c r="AC85"/>
      <c r="AD85"/>
      <c r="AE85" s="227"/>
      <c r="AF85"/>
      <c r="AG85"/>
      <c r="AH85" s="227"/>
      <c r="AI85" s="856"/>
      <c r="AJ85" s="856"/>
      <c r="AK85" s="856"/>
      <c r="AL85" s="856"/>
      <c r="AM85" s="856"/>
      <c r="AN85" s="856"/>
      <c r="AO85" s="856"/>
      <c r="AP85" s="856"/>
      <c r="AQ85" s="856"/>
      <c r="AS85" s="856" t="s">
        <v>116</v>
      </c>
      <c r="AT85" s="856"/>
      <c r="AV85" s="856" t="s">
        <v>116</v>
      </c>
      <c r="AW85" s="856"/>
      <c r="AY85" t="s">
        <v>116</v>
      </c>
      <c r="AZ85"/>
      <c r="BB85" t="s">
        <v>116</v>
      </c>
      <c r="BC85"/>
      <c r="BE85"/>
      <c r="BF85"/>
      <c r="BH85" s="896" t="s">
        <v>116</v>
      </c>
      <c r="BI85" s="896"/>
      <c r="BK85" s="856" t="s">
        <v>116</v>
      </c>
      <c r="BL85" s="856"/>
      <c r="BN85" s="856" t="s">
        <v>116</v>
      </c>
      <c r="BO85" s="856"/>
      <c r="BQ85"/>
      <c r="BR85"/>
      <c r="BT85"/>
      <c r="BU85"/>
      <c r="BW85"/>
      <c r="BX85"/>
      <c r="BY85"/>
      <c r="BZ85"/>
      <c r="CA85"/>
      <c r="CB85"/>
      <c r="CC85"/>
      <c r="CD85" s="856" t="s">
        <v>116</v>
      </c>
      <c r="CE85" s="856"/>
      <c r="CG85" s="856" t="s">
        <v>116</v>
      </c>
      <c r="CH85" s="856"/>
      <c r="CJ85" t="s">
        <v>116</v>
      </c>
      <c r="CK85"/>
      <c r="CM85" t="s">
        <v>116</v>
      </c>
      <c r="CN85"/>
      <c r="CP85"/>
      <c r="CQ85"/>
      <c r="CS85" s="896" t="s">
        <v>116</v>
      </c>
      <c r="CT85" s="896"/>
      <c r="CV85" s="856" t="s">
        <v>116</v>
      </c>
      <c r="CW85" s="856"/>
      <c r="CY85" s="856" t="s">
        <v>116</v>
      </c>
      <c r="CZ85" s="856"/>
      <c r="DB85" t="s">
        <v>116</v>
      </c>
      <c r="DC85"/>
      <c r="DE85" t="s">
        <v>116</v>
      </c>
      <c r="DF85"/>
      <c r="DH85"/>
      <c r="DI85"/>
      <c r="DK85"/>
      <c r="DL85"/>
      <c r="DM85" s="3">
        <v>1</v>
      </c>
    </row>
    <row r="86" spans="1:117" s="709" customFormat="1" ht="18" customHeight="1">
      <c r="B86" s="5754" t="s">
        <v>1248</v>
      </c>
      <c r="C86" s="5754"/>
      <c r="D86" s="856"/>
      <c r="E86" s="5750" t="s">
        <v>1249</v>
      </c>
      <c r="F86" s="5750"/>
      <c r="G86" s="856"/>
      <c r="H86" s="5752" t="s">
        <v>1250</v>
      </c>
      <c r="I86" s="5752"/>
      <c r="J86" s="856"/>
      <c r="K86" s="5473" t="s">
        <v>1251</v>
      </c>
      <c r="L86" s="5473"/>
      <c r="M86" s="856"/>
      <c r="N86" s="856"/>
      <c r="O86" s="856"/>
      <c r="P86" s="856"/>
      <c r="Q86" s="5756" t="s">
        <v>1252</v>
      </c>
      <c r="R86" s="5756"/>
      <c r="S86" s="856"/>
      <c r="T86" s="5748" t="s">
        <v>1253</v>
      </c>
      <c r="U86" s="5748"/>
      <c r="V86" s="856"/>
      <c r="W86" s="5746" t="s">
        <v>1254</v>
      </c>
      <c r="X86" s="5746"/>
      <c r="Y86" s="856"/>
      <c r="Z86" s="856"/>
      <c r="AA86" s="856"/>
      <c r="AB86" s="227"/>
      <c r="AC86" s="856"/>
      <c r="AD86" s="856"/>
      <c r="AE86" s="227"/>
      <c r="AF86" s="856"/>
      <c r="AG86" s="856"/>
      <c r="AH86" s="227"/>
      <c r="AI86" s="856"/>
      <c r="AJ86" s="856"/>
      <c r="AK86" s="856"/>
      <c r="AL86" s="856"/>
      <c r="AM86" s="856"/>
      <c r="AN86" s="856"/>
      <c r="AO86" s="856"/>
      <c r="AP86" s="856"/>
      <c r="AQ86" s="856"/>
      <c r="AS86" s="5754" t="s">
        <v>2455</v>
      </c>
      <c r="AT86" s="5754"/>
      <c r="AV86" s="5750" t="s">
        <v>2456</v>
      </c>
      <c r="AW86" s="5750"/>
      <c r="AY86" s="5752" t="s">
        <v>2457</v>
      </c>
      <c r="AZ86" s="5752"/>
      <c r="BB86" s="5473" t="s">
        <v>2458</v>
      </c>
      <c r="BC86" s="5473"/>
      <c r="BE86"/>
      <c r="BF86"/>
      <c r="BH86" s="5756" t="s">
        <v>2459</v>
      </c>
      <c r="BI86" s="5756"/>
      <c r="BK86" s="5748" t="s">
        <v>2460</v>
      </c>
      <c r="BL86" s="5748"/>
      <c r="BN86" s="5746" t="s">
        <v>2461</v>
      </c>
      <c r="BO86" s="5746"/>
      <c r="BQ86" s="5758"/>
      <c r="BR86" s="5758"/>
      <c r="BT86"/>
      <c r="BU86"/>
      <c r="BW86"/>
      <c r="BX86"/>
      <c r="BY86"/>
      <c r="BZ86"/>
      <c r="CA86"/>
      <c r="CB86"/>
      <c r="CC86"/>
      <c r="CD86" s="5754" t="s">
        <v>2462</v>
      </c>
      <c r="CE86" s="5754"/>
      <c r="CG86" s="5750" t="s">
        <v>2463</v>
      </c>
      <c r="CH86" s="5750"/>
      <c r="CJ86" s="5752" t="s">
        <v>2464</v>
      </c>
      <c r="CK86" s="5752"/>
      <c r="CM86" s="5473" t="s">
        <v>2465</v>
      </c>
      <c r="CN86" s="5473"/>
      <c r="CP86"/>
      <c r="CQ86"/>
      <c r="CS86" s="5756" t="s">
        <v>2466</v>
      </c>
      <c r="CT86" s="5756"/>
      <c r="CV86" s="5748" t="s">
        <v>2467</v>
      </c>
      <c r="CW86" s="5748"/>
      <c r="CY86" s="5746" t="s">
        <v>2468</v>
      </c>
      <c r="CZ86" s="5746"/>
      <c r="DB86" s="5758"/>
      <c r="DC86" s="5758"/>
      <c r="DE86"/>
      <c r="DF86"/>
      <c r="DH86"/>
      <c r="DI86"/>
      <c r="DK86"/>
      <c r="DL86"/>
      <c r="DM86" s="3">
        <v>1</v>
      </c>
    </row>
    <row r="87" spans="1:117" s="709" customFormat="1" ht="18" customHeight="1">
      <c r="B87" s="5755"/>
      <c r="C87" s="5755"/>
      <c r="D87" s="856"/>
      <c r="E87" s="5751"/>
      <c r="F87" s="5751"/>
      <c r="G87" s="856"/>
      <c r="H87" s="5753"/>
      <c r="I87" s="5753"/>
      <c r="J87" s="856"/>
      <c r="K87" s="5474"/>
      <c r="L87" s="5474"/>
      <c r="M87" s="856"/>
      <c r="N87" s="856"/>
      <c r="O87" s="856"/>
      <c r="P87" s="856"/>
      <c r="Q87" s="5757"/>
      <c r="R87" s="5757"/>
      <c r="S87" s="856"/>
      <c r="T87" s="5749"/>
      <c r="U87" s="5749"/>
      <c r="V87" s="856"/>
      <c r="W87" s="5747"/>
      <c r="X87" s="5747"/>
      <c r="Y87" s="856"/>
      <c r="Z87" s="856"/>
      <c r="AA87" s="856"/>
      <c r="AB87" s="227"/>
      <c r="AC87" s="856"/>
      <c r="AD87" s="856"/>
      <c r="AE87" s="227"/>
      <c r="AF87" s="856"/>
      <c r="AG87" s="856"/>
      <c r="AH87" s="227"/>
      <c r="AI87" s="856"/>
      <c r="AJ87" s="856"/>
      <c r="AK87" s="856"/>
      <c r="AL87" s="856"/>
      <c r="AM87" s="856"/>
      <c r="AN87" s="856"/>
      <c r="AO87" s="856"/>
      <c r="AP87" s="856"/>
      <c r="AQ87" s="856"/>
      <c r="AS87" s="5755" t="s">
        <v>116</v>
      </c>
      <c r="AT87" s="5755"/>
      <c r="AV87" s="5751" t="s">
        <v>116</v>
      </c>
      <c r="AW87" s="5751"/>
      <c r="AY87" s="5753" t="s">
        <v>116</v>
      </c>
      <c r="AZ87" s="5753"/>
      <c r="BB87" s="5474" t="s">
        <v>116</v>
      </c>
      <c r="BC87" s="5474"/>
      <c r="BE87"/>
      <c r="BF87"/>
      <c r="BH87" s="5757" t="s">
        <v>116</v>
      </c>
      <c r="BI87" s="5757"/>
      <c r="BK87" s="5749" t="s">
        <v>116</v>
      </c>
      <c r="BL87" s="5749"/>
      <c r="BN87" s="5747" t="s">
        <v>116</v>
      </c>
      <c r="BO87" s="5747"/>
      <c r="BQ87" s="5759"/>
      <c r="BR87" s="5759"/>
      <c r="BT87"/>
      <c r="BU87"/>
      <c r="BW87"/>
      <c r="BX87"/>
      <c r="BY87"/>
      <c r="BZ87"/>
      <c r="CA87"/>
      <c r="CB87"/>
      <c r="CC87"/>
      <c r="CD87" s="5755" t="s">
        <v>116</v>
      </c>
      <c r="CE87" s="5755"/>
      <c r="CG87" s="5751" t="s">
        <v>116</v>
      </c>
      <c r="CH87" s="5751"/>
      <c r="CJ87" s="5753" t="s">
        <v>116</v>
      </c>
      <c r="CK87" s="5753"/>
      <c r="CM87" s="5474" t="s">
        <v>116</v>
      </c>
      <c r="CN87" s="5474"/>
      <c r="CP87"/>
      <c r="CQ87"/>
      <c r="CS87" s="5757" t="s">
        <v>116</v>
      </c>
      <c r="CT87" s="5757"/>
      <c r="CV87" s="5749" t="s">
        <v>116</v>
      </c>
      <c r="CW87" s="5749"/>
      <c r="CY87" s="5747" t="s">
        <v>116</v>
      </c>
      <c r="CZ87" s="5747"/>
      <c r="DB87" s="5759"/>
      <c r="DC87" s="5759"/>
      <c r="DE87"/>
      <c r="DF87"/>
      <c r="DH87"/>
      <c r="DI87"/>
      <c r="DK87"/>
      <c r="DL87"/>
      <c r="DM87" s="3">
        <v>1</v>
      </c>
    </row>
    <row r="88" spans="1:117" s="709" customFormat="1" ht="18" customHeight="1" thickBot="1">
      <c r="B88" s="856"/>
      <c r="C88" s="856"/>
      <c r="D88" s="856"/>
      <c r="E88" s="856"/>
      <c r="F88" s="856"/>
      <c r="G88" s="856"/>
      <c r="H88"/>
      <c r="I88"/>
      <c r="J88" s="856"/>
      <c r="K88"/>
      <c r="L88"/>
      <c r="M88" s="856"/>
      <c r="N88" s="856"/>
      <c r="O88" s="856"/>
      <c r="P88" s="856"/>
      <c r="Q88" s="896"/>
      <c r="R88" s="896"/>
      <c r="S88" s="856"/>
      <c r="T88" s="856"/>
      <c r="U88" s="856"/>
      <c r="V88" s="856"/>
      <c r="W88" s="856"/>
      <c r="X88" s="856"/>
      <c r="Y88" s="856"/>
      <c r="Z88" s="856"/>
      <c r="AA88" s="856"/>
      <c r="AB88" s="227"/>
      <c r="AC88" s="856"/>
      <c r="AD88" s="856"/>
      <c r="AE88" s="227"/>
      <c r="AF88" s="856"/>
      <c r="AG88" s="856"/>
      <c r="AH88" s="227"/>
      <c r="AI88" s="856"/>
      <c r="AJ88" s="856"/>
      <c r="AK88" s="856"/>
      <c r="AL88" s="856"/>
      <c r="AM88" s="856"/>
      <c r="AN88" s="856"/>
      <c r="AO88" s="856"/>
      <c r="AP88" s="856"/>
      <c r="AQ88" s="856"/>
      <c r="AS88" s="856" t="s">
        <v>116</v>
      </c>
      <c r="AT88" s="856"/>
      <c r="AV88" s="856" t="s">
        <v>116</v>
      </c>
      <c r="AW88" s="856"/>
      <c r="AY88" t="s">
        <v>116</v>
      </c>
      <c r="AZ88"/>
      <c r="BB88" t="s">
        <v>116</v>
      </c>
      <c r="BC88"/>
      <c r="BE88"/>
      <c r="BF88"/>
      <c r="BH88" s="896" t="s">
        <v>116</v>
      </c>
      <c r="BI88" s="896"/>
      <c r="BK88" s="856" t="s">
        <v>116</v>
      </c>
      <c r="BL88" s="856"/>
      <c r="BN88" s="856" t="s">
        <v>116</v>
      </c>
      <c r="BO88" s="856"/>
      <c r="BQ88"/>
      <c r="BR88"/>
      <c r="BT88" t="s">
        <v>116</v>
      </c>
      <c r="BU88"/>
      <c r="BW88"/>
      <c r="BX88"/>
      <c r="BY88"/>
      <c r="BZ88"/>
      <c r="CA88"/>
      <c r="CB88"/>
      <c r="CC88"/>
      <c r="CD88" s="856" t="s">
        <v>116</v>
      </c>
      <c r="CE88" s="856"/>
      <c r="CG88" s="856" t="s">
        <v>116</v>
      </c>
      <c r="CH88" s="856"/>
      <c r="CJ88" t="s">
        <v>116</v>
      </c>
      <c r="CK88"/>
      <c r="CM88" t="s">
        <v>116</v>
      </c>
      <c r="CN88"/>
      <c r="CP88"/>
      <c r="CQ88"/>
      <c r="CS88" s="896" t="s">
        <v>116</v>
      </c>
      <c r="CT88" s="896"/>
      <c r="CV88" s="856" t="s">
        <v>116</v>
      </c>
      <c r="CW88" s="856"/>
      <c r="CY88" s="856" t="s">
        <v>116</v>
      </c>
      <c r="CZ88" s="856"/>
      <c r="DB88"/>
      <c r="DC88"/>
      <c r="DE88"/>
      <c r="DF88"/>
      <c r="DH88"/>
      <c r="DI88"/>
      <c r="DK88"/>
      <c r="DL88"/>
      <c r="DM88" s="3">
        <v>1</v>
      </c>
    </row>
    <row r="89" spans="1:117" s="709" customFormat="1" ht="18" customHeight="1">
      <c r="B89" s="5754" t="s">
        <v>1255</v>
      </c>
      <c r="C89" s="5754"/>
      <c r="D89" s="856"/>
      <c r="E89" s="5750" t="s">
        <v>1256</v>
      </c>
      <c r="F89" s="5750"/>
      <c r="G89" s="856"/>
      <c r="H89" s="5752" t="s">
        <v>1257</v>
      </c>
      <c r="I89" s="5752"/>
      <c r="J89" s="856"/>
      <c r="K89" s="5473" t="s">
        <v>1258</v>
      </c>
      <c r="L89" s="5473"/>
      <c r="M89" s="856"/>
      <c r="N89" s="856"/>
      <c r="O89" s="856"/>
      <c r="P89" s="856"/>
      <c r="Q89" s="5756"/>
      <c r="R89" s="5756"/>
      <c r="S89" s="856"/>
      <c r="T89" s="5748" t="s">
        <v>1259</v>
      </c>
      <c r="U89" s="5748"/>
      <c r="V89" s="856"/>
      <c r="W89" s="5746" t="s">
        <v>1260</v>
      </c>
      <c r="X89" s="5746"/>
      <c r="Y89" s="856"/>
      <c r="Z89" s="856"/>
      <c r="AA89" s="856"/>
      <c r="AB89" s="227"/>
      <c r="AC89" s="856"/>
      <c r="AD89" s="856"/>
      <c r="AE89" s="227"/>
      <c r="AF89" s="856"/>
      <c r="AG89" s="856"/>
      <c r="AH89" s="227"/>
      <c r="AI89" s="856"/>
      <c r="AJ89" s="856"/>
      <c r="AK89" s="856"/>
      <c r="AL89" s="856"/>
      <c r="AM89" s="856"/>
      <c r="AN89" s="856"/>
      <c r="AO89" s="856"/>
      <c r="AP89" s="856"/>
      <c r="AQ89" s="856"/>
      <c r="AS89" s="5754" t="s">
        <v>1267</v>
      </c>
      <c r="AT89" s="5754"/>
      <c r="AV89" s="5750" t="s">
        <v>2469</v>
      </c>
      <c r="AW89" s="5750"/>
      <c r="AY89" s="5752" t="s">
        <v>1263</v>
      </c>
      <c r="AZ89" s="5752"/>
      <c r="BB89" s="5473" t="s">
        <v>2470</v>
      </c>
      <c r="BC89" s="5473"/>
      <c r="BE89"/>
      <c r="BF89"/>
      <c r="BH89" s="5756" t="s">
        <v>2471</v>
      </c>
      <c r="BI89" s="5756"/>
      <c r="BK89" s="5748" t="s">
        <v>2472</v>
      </c>
      <c r="BL89" s="5748"/>
      <c r="BN89" s="5746" t="s">
        <v>2473</v>
      </c>
      <c r="BO89" s="5746"/>
      <c r="BQ89"/>
      <c r="BR89"/>
      <c r="BT89"/>
      <c r="BU89"/>
      <c r="BW89"/>
      <c r="BX89"/>
      <c r="BY89"/>
      <c r="BZ89"/>
      <c r="CA89"/>
      <c r="CB89"/>
      <c r="CC89"/>
      <c r="CD89" s="5754" t="s">
        <v>2474</v>
      </c>
      <c r="CE89" s="5754"/>
      <c r="CG89" s="5750" t="s">
        <v>2475</v>
      </c>
      <c r="CH89" s="5750"/>
      <c r="CJ89" s="5752" t="s">
        <v>1263</v>
      </c>
      <c r="CK89" s="5752"/>
      <c r="CM89" s="5473" t="s">
        <v>2476</v>
      </c>
      <c r="CN89" s="5473"/>
      <c r="CP89"/>
      <c r="CQ89"/>
      <c r="CS89" s="5756" t="s">
        <v>2477</v>
      </c>
      <c r="CT89" s="5756"/>
      <c r="CV89" s="5748" t="s">
        <v>2478</v>
      </c>
      <c r="CW89" s="5748"/>
      <c r="CY89" s="5746" t="s">
        <v>2479</v>
      </c>
      <c r="CZ89" s="5746"/>
      <c r="DB89"/>
      <c r="DC89"/>
      <c r="DE89"/>
      <c r="DF89"/>
      <c r="DH89"/>
      <c r="DI89"/>
      <c r="DK89"/>
      <c r="DL89"/>
      <c r="DM89" s="3">
        <v>1</v>
      </c>
    </row>
    <row r="90" spans="1:117" s="709" customFormat="1" ht="18" customHeight="1">
      <c r="B90" s="5755"/>
      <c r="C90" s="5755"/>
      <c r="D90" s="856"/>
      <c r="E90" s="5751"/>
      <c r="F90" s="5751"/>
      <c r="G90" s="856"/>
      <c r="H90" s="5753"/>
      <c r="I90" s="5753"/>
      <c r="J90" s="856"/>
      <c r="K90" s="5474"/>
      <c r="L90" s="5474"/>
      <c r="M90" s="856"/>
      <c r="N90" s="856"/>
      <c r="O90" s="856"/>
      <c r="P90" s="856"/>
      <c r="Q90" s="5757"/>
      <c r="R90" s="5757"/>
      <c r="S90" s="856"/>
      <c r="T90" s="5749"/>
      <c r="U90" s="5749"/>
      <c r="V90" s="856"/>
      <c r="W90" s="5747"/>
      <c r="X90" s="5747"/>
      <c r="Y90" s="856"/>
      <c r="Z90" s="856"/>
      <c r="AA90" s="856"/>
      <c r="AB90" s="227"/>
      <c r="AC90" s="856"/>
      <c r="AD90" s="856"/>
      <c r="AE90" s="227"/>
      <c r="AF90" s="856"/>
      <c r="AG90" s="856"/>
      <c r="AH90" s="227"/>
      <c r="AI90" s="856"/>
      <c r="AJ90" s="856"/>
      <c r="AK90" s="856"/>
      <c r="AL90" s="856"/>
      <c r="AM90" s="856"/>
      <c r="AN90" s="856"/>
      <c r="AO90" s="856"/>
      <c r="AP90" s="856"/>
      <c r="AQ90" s="856"/>
      <c r="AS90" s="5755" t="s">
        <v>116</v>
      </c>
      <c r="AT90" s="5755"/>
      <c r="AV90" s="5751" t="s">
        <v>116</v>
      </c>
      <c r="AW90" s="5751"/>
      <c r="AY90" s="5753" t="s">
        <v>116</v>
      </c>
      <c r="AZ90" s="5753"/>
      <c r="BB90" s="5474" t="s">
        <v>116</v>
      </c>
      <c r="BC90" s="5474"/>
      <c r="BE90"/>
      <c r="BF90"/>
      <c r="BH90" s="5757" t="s">
        <v>116</v>
      </c>
      <c r="BI90" s="5757"/>
      <c r="BK90" s="5749" t="s">
        <v>116</v>
      </c>
      <c r="BL90" s="5749"/>
      <c r="BN90" s="5747" t="s">
        <v>116</v>
      </c>
      <c r="BO90" s="5747"/>
      <c r="BQ90"/>
      <c r="BR90"/>
      <c r="BT90"/>
      <c r="BU90"/>
      <c r="BW90"/>
      <c r="BX90"/>
      <c r="BY90"/>
      <c r="BZ90"/>
      <c r="CA90"/>
      <c r="CB90"/>
      <c r="CC90"/>
      <c r="CD90" s="5755" t="s">
        <v>116</v>
      </c>
      <c r="CE90" s="5755"/>
      <c r="CG90" s="5751" t="s">
        <v>116</v>
      </c>
      <c r="CH90" s="5751"/>
      <c r="CJ90" s="5753" t="s">
        <v>116</v>
      </c>
      <c r="CK90" s="5753"/>
      <c r="CM90" s="5474" t="s">
        <v>116</v>
      </c>
      <c r="CN90" s="5474"/>
      <c r="CP90"/>
      <c r="CQ90"/>
      <c r="CS90" s="5757" t="s">
        <v>116</v>
      </c>
      <c r="CT90" s="5757"/>
      <c r="CV90" s="5749" t="s">
        <v>116</v>
      </c>
      <c r="CW90" s="5749"/>
      <c r="CY90" s="5747" t="s">
        <v>116</v>
      </c>
      <c r="CZ90" s="5747"/>
      <c r="DB90"/>
      <c r="DC90"/>
      <c r="DE90"/>
      <c r="DF90"/>
      <c r="DH90"/>
      <c r="DI90"/>
      <c r="DK90"/>
      <c r="DL90"/>
      <c r="DM90" s="3">
        <v>1</v>
      </c>
    </row>
    <row r="91" spans="1:117" s="709" customFormat="1" ht="18" customHeight="1" thickBot="1">
      <c r="B91" s="856"/>
      <c r="C91" s="856"/>
      <c r="D91" s="856"/>
      <c r="E91" s="856"/>
      <c r="F91" s="856"/>
      <c r="G91" s="856"/>
      <c r="H91"/>
      <c r="I91"/>
      <c r="J91" s="856"/>
      <c r="K91"/>
      <c r="L91"/>
      <c r="M91" s="856"/>
      <c r="N91" s="856"/>
      <c r="O91" s="856"/>
      <c r="P91" s="856"/>
      <c r="Q91" s="896"/>
      <c r="R91" s="896"/>
      <c r="S91" s="856"/>
      <c r="T91" s="856"/>
      <c r="U91" s="856"/>
      <c r="V91" s="856"/>
      <c r="W91" s="856"/>
      <c r="X91" s="856"/>
      <c r="Y91" s="856"/>
      <c r="Z91" s="856"/>
      <c r="AA91" s="856"/>
      <c r="AB91" s="227"/>
      <c r="AC91" s="856"/>
      <c r="AD91" s="856"/>
      <c r="AE91" s="227"/>
      <c r="AF91" s="856"/>
      <c r="AG91" s="856"/>
      <c r="AH91" s="227"/>
      <c r="AI91" s="856"/>
      <c r="AJ91" s="856"/>
      <c r="AK91" s="856"/>
      <c r="AL91" s="856"/>
      <c r="AM91" s="856"/>
      <c r="AN91" s="856"/>
      <c r="AO91" s="856"/>
      <c r="AP91" s="856"/>
      <c r="AQ91" s="856"/>
      <c r="AS91" s="856" t="s">
        <v>116</v>
      </c>
      <c r="AT91" s="856"/>
      <c r="AV91" s="856" t="s">
        <v>116</v>
      </c>
      <c r="AW91" s="856"/>
      <c r="AY91" t="s">
        <v>116</v>
      </c>
      <c r="AZ91"/>
      <c r="BB91" t="s">
        <v>116</v>
      </c>
      <c r="BC91"/>
      <c r="BE91"/>
      <c r="BF91"/>
      <c r="BH91" s="896" t="s">
        <v>116</v>
      </c>
      <c r="BI91" s="896"/>
      <c r="BK91" s="856" t="s">
        <v>116</v>
      </c>
      <c r="BL91" s="856"/>
      <c r="BN91" s="856" t="s">
        <v>116</v>
      </c>
      <c r="BO91" s="856"/>
      <c r="BQ91"/>
      <c r="BR91"/>
      <c r="BT91"/>
      <c r="BU91"/>
      <c r="BW91"/>
      <c r="BX91"/>
      <c r="BY91"/>
      <c r="BZ91"/>
      <c r="CA91"/>
      <c r="CB91"/>
      <c r="CC91"/>
      <c r="CD91" s="856" t="s">
        <v>116</v>
      </c>
      <c r="CE91" s="856"/>
      <c r="CG91" s="856" t="s">
        <v>116</v>
      </c>
      <c r="CH91" s="856"/>
      <c r="CJ91" t="s">
        <v>116</v>
      </c>
      <c r="CK91"/>
      <c r="CM91" t="s">
        <v>116</v>
      </c>
      <c r="CN91"/>
      <c r="CP91"/>
      <c r="CQ91"/>
      <c r="CS91"/>
      <c r="CT91"/>
      <c r="CV91" s="856" t="s">
        <v>116</v>
      </c>
      <c r="CW91" s="856"/>
      <c r="CY91" s="856" t="s">
        <v>116</v>
      </c>
      <c r="CZ91" s="856"/>
      <c r="DB91"/>
      <c r="DC91"/>
      <c r="DE91"/>
      <c r="DF91"/>
      <c r="DH91"/>
      <c r="DI91"/>
      <c r="DK91"/>
      <c r="DL91"/>
      <c r="DM91" s="3">
        <v>1</v>
      </c>
    </row>
    <row r="92" spans="1:117" s="709" customFormat="1" ht="18" customHeight="1">
      <c r="B92" s="5754" t="s">
        <v>1261</v>
      </c>
      <c r="C92" s="5754"/>
      <c r="D92" s="856"/>
      <c r="E92" s="5750" t="s">
        <v>1262</v>
      </c>
      <c r="F92" s="5750"/>
      <c r="G92" s="856"/>
      <c r="H92" s="5752" t="s">
        <v>1263</v>
      </c>
      <c r="I92" s="5752"/>
      <c r="J92" s="856"/>
      <c r="K92" s="5473" t="s">
        <v>1264</v>
      </c>
      <c r="L92" s="5473"/>
      <c r="M92" s="856"/>
      <c r="N92" s="856"/>
      <c r="O92" s="856"/>
      <c r="P92" s="856"/>
      <c r="Q92" s="856"/>
      <c r="R92" s="856"/>
      <c r="S92" s="856"/>
      <c r="T92" s="5748" t="s">
        <v>1265</v>
      </c>
      <c r="U92" s="5748"/>
      <c r="V92" s="856"/>
      <c r="W92" s="5746" t="s">
        <v>1266</v>
      </c>
      <c r="X92" s="5746"/>
      <c r="Y92" s="856"/>
      <c r="Z92" s="856"/>
      <c r="AA92" s="856"/>
      <c r="AB92" s="227"/>
      <c r="AC92" s="856"/>
      <c r="AD92" s="856"/>
      <c r="AE92" s="227"/>
      <c r="AF92" s="856"/>
      <c r="AG92" s="856"/>
      <c r="AH92" s="227"/>
      <c r="AI92" s="856"/>
      <c r="AJ92" s="856"/>
      <c r="AK92" s="856"/>
      <c r="AL92" s="856"/>
      <c r="AM92" s="856"/>
      <c r="AN92" s="856"/>
      <c r="AO92" s="856"/>
      <c r="AP92" s="856"/>
      <c r="AQ92" s="856"/>
      <c r="AS92" s="5754" t="s">
        <v>2480</v>
      </c>
      <c r="AT92" s="5754"/>
      <c r="AV92" s="5750" t="s">
        <v>2481</v>
      </c>
      <c r="AW92" s="5750"/>
      <c r="AY92" s="5752" t="s">
        <v>2482</v>
      </c>
      <c r="AZ92" s="5752"/>
      <c r="BB92" s="5473" t="s">
        <v>2483</v>
      </c>
      <c r="BC92" s="5473"/>
      <c r="BE92"/>
      <c r="BF92"/>
      <c r="BH92" s="5756"/>
      <c r="BI92" s="5756"/>
      <c r="BK92" s="5748" t="s">
        <v>2484</v>
      </c>
      <c r="BL92" s="5748"/>
      <c r="BN92" s="5746" t="s">
        <v>2485</v>
      </c>
      <c r="BO92" s="5746"/>
      <c r="BQ92"/>
      <c r="BR92"/>
      <c r="BT92"/>
      <c r="BU92"/>
      <c r="BW92"/>
      <c r="BX92"/>
      <c r="BY92"/>
      <c r="BZ92"/>
      <c r="CA92"/>
      <c r="CB92"/>
      <c r="CC92"/>
      <c r="CD92" s="5754" t="s">
        <v>2486</v>
      </c>
      <c r="CE92" s="5754"/>
      <c r="CG92" s="5750" t="s">
        <v>2487</v>
      </c>
      <c r="CH92" s="5750"/>
      <c r="CJ92" s="5752" t="s">
        <v>2488</v>
      </c>
      <c r="CK92" s="5752"/>
      <c r="CM92" s="5473" t="s">
        <v>2489</v>
      </c>
      <c r="CN92" s="5473"/>
      <c r="CP92"/>
      <c r="CQ92"/>
      <c r="CS92" s="5756"/>
      <c r="CT92" s="5756"/>
      <c r="CV92" s="5748" t="s">
        <v>2490</v>
      </c>
      <c r="CW92" s="5748"/>
      <c r="CY92" s="5746" t="s">
        <v>2491</v>
      </c>
      <c r="CZ92" s="5746"/>
      <c r="DB92"/>
      <c r="DC92"/>
      <c r="DE92"/>
      <c r="DF92"/>
      <c r="DH92"/>
      <c r="DI92"/>
      <c r="DK92"/>
      <c r="DL92"/>
      <c r="DM92" s="3">
        <v>1</v>
      </c>
    </row>
    <row r="93" spans="1:117" s="709" customFormat="1" ht="18" customHeight="1">
      <c r="B93" s="5755"/>
      <c r="C93" s="5755"/>
      <c r="D93" s="856"/>
      <c r="E93" s="5751"/>
      <c r="F93" s="5751"/>
      <c r="G93" s="856"/>
      <c r="H93" s="5753"/>
      <c r="I93" s="5753"/>
      <c r="J93" s="856"/>
      <c r="K93" s="5474"/>
      <c r="L93" s="5474"/>
      <c r="M93" s="856"/>
      <c r="N93" s="856"/>
      <c r="O93" s="856"/>
      <c r="P93" s="856"/>
      <c r="Q93" s="856"/>
      <c r="R93" s="856"/>
      <c r="S93" s="856"/>
      <c r="T93" s="5749"/>
      <c r="U93" s="5749"/>
      <c r="V93" s="856"/>
      <c r="W93" s="5747"/>
      <c r="X93" s="5747"/>
      <c r="Y93" s="856"/>
      <c r="Z93" s="856"/>
      <c r="AA93" s="856"/>
      <c r="AB93" s="227"/>
      <c r="AC93" s="856"/>
      <c r="AD93" s="856"/>
      <c r="AE93" s="227"/>
      <c r="AF93" s="856"/>
      <c r="AG93" s="856"/>
      <c r="AH93" s="227"/>
      <c r="AI93" s="856"/>
      <c r="AJ93" s="856"/>
      <c r="AK93" s="856"/>
      <c r="AL93" s="856"/>
      <c r="AM93" s="856"/>
      <c r="AN93" s="856"/>
      <c r="AO93" s="856"/>
      <c r="AP93" s="856"/>
      <c r="AQ93" s="856"/>
      <c r="AS93" s="5755" t="s">
        <v>116</v>
      </c>
      <c r="AT93" s="5755"/>
      <c r="AV93" s="5751" t="s">
        <v>116</v>
      </c>
      <c r="AW93" s="5751"/>
      <c r="AY93" s="5753" t="s">
        <v>116</v>
      </c>
      <c r="AZ93" s="5753"/>
      <c r="BB93" s="5474" t="s">
        <v>116</v>
      </c>
      <c r="BC93" s="5474"/>
      <c r="BE93"/>
      <c r="BF93"/>
      <c r="BH93" s="5757"/>
      <c r="BI93" s="5757"/>
      <c r="BK93" s="5749" t="s">
        <v>116</v>
      </c>
      <c r="BL93" s="5749"/>
      <c r="BN93" s="5747" t="s">
        <v>116</v>
      </c>
      <c r="BO93" s="5747"/>
      <c r="BQ93"/>
      <c r="BR93"/>
      <c r="BT93"/>
      <c r="BU93"/>
      <c r="BW93"/>
      <c r="BX93"/>
      <c r="BY93"/>
      <c r="BZ93"/>
      <c r="CA93"/>
      <c r="CB93"/>
      <c r="CC93"/>
      <c r="CD93" s="5755" t="s">
        <v>116</v>
      </c>
      <c r="CE93" s="5755"/>
      <c r="CG93" s="5751" t="s">
        <v>116</v>
      </c>
      <c r="CH93" s="5751"/>
      <c r="CJ93" s="5753" t="s">
        <v>116</v>
      </c>
      <c r="CK93" s="5753"/>
      <c r="CM93" s="5474" t="s">
        <v>116</v>
      </c>
      <c r="CN93" s="5474"/>
      <c r="CP93"/>
      <c r="CQ93"/>
      <c r="CS93" s="5757"/>
      <c r="CT93" s="5757"/>
      <c r="CV93" s="5749" t="s">
        <v>116</v>
      </c>
      <c r="CW93" s="5749"/>
      <c r="CY93" s="5747" t="s">
        <v>116</v>
      </c>
      <c r="CZ93" s="5747"/>
      <c r="DB93"/>
      <c r="DC93"/>
      <c r="DE93"/>
      <c r="DF93"/>
      <c r="DH93"/>
      <c r="DI93"/>
      <c r="DK93"/>
      <c r="DL93"/>
      <c r="DM93" s="3">
        <v>1</v>
      </c>
    </row>
    <row r="94" spans="1:117" s="709" customFormat="1" ht="18" customHeight="1" thickBot="1">
      <c r="B94" s="856"/>
      <c r="C94" s="856"/>
      <c r="D94" s="856"/>
      <c r="E94" s="856"/>
      <c r="F94" s="856"/>
      <c r="G94" s="856"/>
      <c r="H94"/>
      <c r="I94"/>
      <c r="J94" s="856"/>
      <c r="K94"/>
      <c r="L94"/>
      <c r="M94" s="856"/>
      <c r="N94" s="856"/>
      <c r="O94" s="856"/>
      <c r="P94" s="856"/>
      <c r="Q94" s="856"/>
      <c r="R94" s="856"/>
      <c r="S94" s="856"/>
      <c r="T94" s="856"/>
      <c r="U94" s="856"/>
      <c r="V94" s="856"/>
      <c r="W94" s="856"/>
      <c r="X94" s="856"/>
      <c r="Y94" s="856"/>
      <c r="Z94" s="856"/>
      <c r="AA94" s="856"/>
      <c r="AB94" s="227"/>
      <c r="AC94" s="856"/>
      <c r="AD94" s="856"/>
      <c r="AE94" s="227"/>
      <c r="AF94" s="856"/>
      <c r="AG94" s="856"/>
      <c r="AH94" s="227"/>
      <c r="AI94" s="856"/>
      <c r="AJ94" s="856"/>
      <c r="AK94" s="856"/>
      <c r="AL94" s="856"/>
      <c r="AM94" s="856"/>
      <c r="AN94" s="856"/>
      <c r="AO94" s="856"/>
      <c r="AP94" s="856"/>
      <c r="AQ94" s="856"/>
      <c r="AS94" s="856" t="s">
        <v>116</v>
      </c>
      <c r="AT94" s="856"/>
      <c r="AV94" s="856" t="s">
        <v>116</v>
      </c>
      <c r="AW94" s="856"/>
      <c r="AY94" t="s">
        <v>116</v>
      </c>
      <c r="AZ94"/>
      <c r="BB94" t="s">
        <v>116</v>
      </c>
      <c r="BC94"/>
      <c r="BE94"/>
      <c r="BF94"/>
      <c r="BH94" s="896"/>
      <c r="BI94" s="896"/>
      <c r="BK94" s="856" t="s">
        <v>116</v>
      </c>
      <c r="BL94" s="856"/>
      <c r="BN94" s="856" t="s">
        <v>116</v>
      </c>
      <c r="BO94" s="856"/>
      <c r="BQ94"/>
      <c r="BR94"/>
      <c r="BT94"/>
      <c r="BU94"/>
      <c r="BW94"/>
      <c r="BX94"/>
      <c r="BY94"/>
      <c r="BZ94"/>
      <c r="CA94"/>
      <c r="CB94"/>
      <c r="CC94"/>
      <c r="CD94" s="856" t="s">
        <v>116</v>
      </c>
      <c r="CE94" s="856"/>
      <c r="CG94" s="856" t="s">
        <v>116</v>
      </c>
      <c r="CH94" s="856"/>
      <c r="CJ94" t="s">
        <v>116</v>
      </c>
      <c r="CK94"/>
      <c r="CM94" t="s">
        <v>116</v>
      </c>
      <c r="CN94"/>
      <c r="CP94"/>
      <c r="CQ94"/>
      <c r="CS94"/>
      <c r="CT94"/>
      <c r="CV94" s="856" t="s">
        <v>116</v>
      </c>
      <c r="CW94" s="856"/>
      <c r="CY94" s="856" t="s">
        <v>116</v>
      </c>
      <c r="CZ94" s="856"/>
      <c r="DB94"/>
      <c r="DC94"/>
      <c r="DE94"/>
      <c r="DF94"/>
      <c r="DH94"/>
      <c r="DI94"/>
      <c r="DK94"/>
      <c r="DL94"/>
      <c r="DM94" s="3">
        <v>1</v>
      </c>
    </row>
    <row r="95" spans="1:117" s="709" customFormat="1" ht="18" customHeight="1">
      <c r="B95" s="5754" t="s">
        <v>1267</v>
      </c>
      <c r="C95" s="5754"/>
      <c r="D95" s="856"/>
      <c r="E95" s="5750" t="s">
        <v>1268</v>
      </c>
      <c r="F95" s="5750"/>
      <c r="G95" s="856"/>
      <c r="H95" s="5752" t="s">
        <v>1269</v>
      </c>
      <c r="I95" s="5752"/>
      <c r="J95" s="856"/>
      <c r="K95" s="5473" t="s">
        <v>1270</v>
      </c>
      <c r="L95" s="5473"/>
      <c r="M95" s="856"/>
      <c r="N95" s="856"/>
      <c r="O95" s="856"/>
      <c r="P95" s="856"/>
      <c r="Q95" s="856"/>
      <c r="R95" s="856"/>
      <c r="S95" s="856"/>
      <c r="T95" s="5748" t="s">
        <v>1271</v>
      </c>
      <c r="U95" s="5748"/>
      <c r="V95" s="856"/>
      <c r="W95" s="5746" t="s">
        <v>1272</v>
      </c>
      <c r="X95" s="5746"/>
      <c r="Y95" s="856"/>
      <c r="Z95" s="856"/>
      <c r="AA95" s="856"/>
      <c r="AB95" s="227"/>
      <c r="AC95" s="856"/>
      <c r="AD95" s="856"/>
      <c r="AE95" s="227"/>
      <c r="AF95" s="856"/>
      <c r="AG95" s="856"/>
      <c r="AH95" s="227"/>
      <c r="AI95" s="856"/>
      <c r="AJ95" s="856"/>
      <c r="AK95" s="856"/>
      <c r="AL95" s="856"/>
      <c r="AM95" s="856"/>
      <c r="AN95" s="856"/>
      <c r="AO95" s="856"/>
      <c r="AP95" s="856"/>
      <c r="AQ95" s="856"/>
      <c r="AS95" s="5754" t="s">
        <v>2492</v>
      </c>
      <c r="AT95" s="5754"/>
      <c r="AV95" s="5750" t="s">
        <v>2493</v>
      </c>
      <c r="AW95" s="5750"/>
      <c r="AY95" s="5752" t="s">
        <v>1275</v>
      </c>
      <c r="AZ95" s="5752"/>
      <c r="BB95" s="5473" t="s">
        <v>2494</v>
      </c>
      <c r="BC95" s="5473"/>
      <c r="BE95"/>
      <c r="BF95"/>
      <c r="BH95" s="5756"/>
      <c r="BI95" s="5756"/>
      <c r="BK95" s="5748" t="s">
        <v>2495</v>
      </c>
      <c r="BL95" s="5748"/>
      <c r="BN95" s="5746" t="s">
        <v>2496</v>
      </c>
      <c r="BO95" s="5746"/>
      <c r="BQ95"/>
      <c r="BR95"/>
      <c r="BT95"/>
      <c r="BU95"/>
      <c r="BW95"/>
      <c r="BX95"/>
      <c r="BY95"/>
      <c r="BZ95"/>
      <c r="CA95"/>
      <c r="CB95"/>
      <c r="CC95"/>
      <c r="CD95" s="5754" t="s">
        <v>2497</v>
      </c>
      <c r="CE95" s="5754"/>
      <c r="CG95" s="5750" t="s">
        <v>2498</v>
      </c>
      <c r="CH95" s="5750"/>
      <c r="CJ95" s="5752" t="s">
        <v>1275</v>
      </c>
      <c r="CK95" s="5752"/>
      <c r="CM95" s="5473" t="s">
        <v>2499</v>
      </c>
      <c r="CN95" s="5473"/>
      <c r="CP95"/>
      <c r="CQ95"/>
      <c r="CS95"/>
      <c r="CT95"/>
      <c r="CV95" s="5748" t="s">
        <v>2500</v>
      </c>
      <c r="CW95" s="5748"/>
      <c r="CY95" s="5746" t="s">
        <v>2501</v>
      </c>
      <c r="CZ95" s="5746"/>
      <c r="DB95"/>
      <c r="DC95"/>
      <c r="DE95"/>
      <c r="DF95"/>
      <c r="DH95"/>
      <c r="DI95"/>
      <c r="DK95"/>
      <c r="DL95"/>
      <c r="DM95" s="3">
        <v>1</v>
      </c>
    </row>
    <row r="96" spans="1:117" s="709" customFormat="1" ht="18" customHeight="1">
      <c r="B96" s="5755"/>
      <c r="C96" s="5755"/>
      <c r="D96" s="856"/>
      <c r="E96" s="5751"/>
      <c r="F96" s="5751"/>
      <c r="G96" s="856"/>
      <c r="H96" s="5753"/>
      <c r="I96" s="5753"/>
      <c r="J96" s="856"/>
      <c r="K96" s="5474"/>
      <c r="L96" s="5474"/>
      <c r="M96" s="856"/>
      <c r="N96" s="856"/>
      <c r="O96" s="856"/>
      <c r="P96" s="856"/>
      <c r="Q96" s="856"/>
      <c r="R96" s="856"/>
      <c r="S96" s="856"/>
      <c r="T96" s="5749"/>
      <c r="U96" s="5749"/>
      <c r="V96" s="856"/>
      <c r="W96" s="5747"/>
      <c r="X96" s="5747"/>
      <c r="Y96" s="856"/>
      <c r="Z96" s="856"/>
      <c r="AA96" s="856"/>
      <c r="AB96" s="227"/>
      <c r="AC96" s="856"/>
      <c r="AD96" s="856"/>
      <c r="AE96" s="227"/>
      <c r="AF96" s="856"/>
      <c r="AG96" s="856"/>
      <c r="AH96" s="227"/>
      <c r="AI96" s="856"/>
      <c r="AJ96" s="856"/>
      <c r="AK96" s="856"/>
      <c r="AL96" s="856"/>
      <c r="AM96" s="856"/>
      <c r="AN96" s="856"/>
      <c r="AO96" s="856"/>
      <c r="AP96" s="856"/>
      <c r="AQ96" s="856"/>
      <c r="AS96" s="5755" t="s">
        <v>116</v>
      </c>
      <c r="AT96" s="5755"/>
      <c r="AV96" s="5751" t="s">
        <v>116</v>
      </c>
      <c r="AW96" s="5751"/>
      <c r="AY96" s="5753" t="s">
        <v>116</v>
      </c>
      <c r="AZ96" s="5753"/>
      <c r="BB96" s="5474" t="s">
        <v>116</v>
      </c>
      <c r="BC96" s="5474"/>
      <c r="BE96"/>
      <c r="BF96"/>
      <c r="BH96" s="5757"/>
      <c r="BI96" s="5757"/>
      <c r="BK96" s="5749" t="s">
        <v>116</v>
      </c>
      <c r="BL96" s="5749"/>
      <c r="BN96" s="5747" t="s">
        <v>116</v>
      </c>
      <c r="BO96" s="5747"/>
      <c r="BQ96"/>
      <c r="BR96"/>
      <c r="BT96"/>
      <c r="BU96"/>
      <c r="BW96"/>
      <c r="BX96"/>
      <c r="BY96"/>
      <c r="BZ96"/>
      <c r="CA96"/>
      <c r="CB96"/>
      <c r="CC96"/>
      <c r="CD96" s="5755" t="s">
        <v>116</v>
      </c>
      <c r="CE96" s="5755"/>
      <c r="CG96" s="5751" t="s">
        <v>116</v>
      </c>
      <c r="CH96" s="5751"/>
      <c r="CJ96" s="5753" t="s">
        <v>116</v>
      </c>
      <c r="CK96" s="5753"/>
      <c r="CM96" s="5474" t="s">
        <v>116</v>
      </c>
      <c r="CN96" s="5474"/>
      <c r="CP96"/>
      <c r="CQ96"/>
      <c r="CS96"/>
      <c r="CT96"/>
      <c r="CV96" s="5749" t="s">
        <v>116</v>
      </c>
      <c r="CW96" s="5749"/>
      <c r="CY96" s="5747" t="s">
        <v>116</v>
      </c>
      <c r="CZ96" s="5747"/>
      <c r="DB96"/>
      <c r="DC96"/>
      <c r="DE96"/>
      <c r="DF96"/>
      <c r="DH96"/>
      <c r="DI96"/>
      <c r="DK96"/>
      <c r="DL96"/>
      <c r="DM96" s="3">
        <v>1</v>
      </c>
    </row>
    <row r="97" spans="2:117" s="709" customFormat="1" ht="18" customHeight="1" thickBot="1">
      <c r="B97" s="856"/>
      <c r="C97" s="856"/>
      <c r="D97" s="856"/>
      <c r="E97" s="856"/>
      <c r="F97" s="856"/>
      <c r="G97" s="856"/>
      <c r="H97"/>
      <c r="I97"/>
      <c r="J97" s="856"/>
      <c r="K97"/>
      <c r="L97"/>
      <c r="M97" s="856"/>
      <c r="N97" s="856"/>
      <c r="O97" s="856"/>
      <c r="P97" s="856"/>
      <c r="Q97" s="856"/>
      <c r="R97" s="856"/>
      <c r="S97" s="856"/>
      <c r="T97" s="856"/>
      <c r="U97" s="856"/>
      <c r="V97" s="856"/>
      <c r="W97" s="856"/>
      <c r="X97" s="856"/>
      <c r="Y97" s="856"/>
      <c r="Z97" s="856"/>
      <c r="AA97" s="856"/>
      <c r="AB97" s="227"/>
      <c r="AC97" s="856"/>
      <c r="AD97" s="856"/>
      <c r="AE97" s="227"/>
      <c r="AF97" s="856"/>
      <c r="AG97" s="856"/>
      <c r="AH97" s="227"/>
      <c r="AI97" s="856"/>
      <c r="AJ97" s="856"/>
      <c r="AK97" s="856"/>
      <c r="AL97" s="856"/>
      <c r="AM97" s="856"/>
      <c r="AN97" s="856"/>
      <c r="AO97" s="856"/>
      <c r="AP97" s="856"/>
      <c r="AQ97" s="856"/>
      <c r="AS97" s="856" t="s">
        <v>116</v>
      </c>
      <c r="AT97" s="856"/>
      <c r="AV97" s="856" t="s">
        <v>116</v>
      </c>
      <c r="AW97" s="856"/>
      <c r="AY97" t="s">
        <v>116</v>
      </c>
      <c r="AZ97"/>
      <c r="BB97" t="s">
        <v>116</v>
      </c>
      <c r="BC97"/>
      <c r="BE97"/>
      <c r="BF97"/>
      <c r="BH97"/>
      <c r="BI97"/>
      <c r="BK97" s="856" t="s">
        <v>116</v>
      </c>
      <c r="BL97" s="856"/>
      <c r="BN97" s="856" t="s">
        <v>116</v>
      </c>
      <c r="BO97" s="856"/>
      <c r="BQ97"/>
      <c r="BR97"/>
      <c r="BT97"/>
      <c r="BU97"/>
      <c r="BW97"/>
      <c r="BX97"/>
      <c r="BY97"/>
      <c r="BZ97"/>
      <c r="CA97"/>
      <c r="CB97"/>
      <c r="CC97"/>
      <c r="CD97" s="856" t="s">
        <v>116</v>
      </c>
      <c r="CE97" s="856"/>
      <c r="CG97" s="856" t="s">
        <v>116</v>
      </c>
      <c r="CH97" s="856"/>
      <c r="CJ97" t="s">
        <v>116</v>
      </c>
      <c r="CK97"/>
      <c r="CM97" t="s">
        <v>116</v>
      </c>
      <c r="CN97"/>
      <c r="CP97"/>
      <c r="CQ97"/>
      <c r="CS97"/>
      <c r="CT97"/>
      <c r="CV97" s="856" t="s">
        <v>116</v>
      </c>
      <c r="CW97" s="856"/>
      <c r="CY97" s="856" t="s">
        <v>116</v>
      </c>
      <c r="CZ97" s="856"/>
      <c r="DB97"/>
      <c r="DC97"/>
      <c r="DE97"/>
      <c r="DF97"/>
      <c r="DH97"/>
      <c r="DI97"/>
      <c r="DK97"/>
      <c r="DL97"/>
      <c r="DM97" s="3">
        <v>1</v>
      </c>
    </row>
    <row r="98" spans="2:117" s="709" customFormat="1" ht="18" customHeight="1">
      <c r="B98" s="5754" t="s">
        <v>1273</v>
      </c>
      <c r="C98" s="5754"/>
      <c r="D98" s="856"/>
      <c r="E98" s="5750" t="s">
        <v>1274</v>
      </c>
      <c r="F98" s="5750"/>
      <c r="G98" s="856"/>
      <c r="H98" s="5752" t="s">
        <v>1275</v>
      </c>
      <c r="I98" s="5752"/>
      <c r="J98" s="856"/>
      <c r="K98" s="5473" t="s">
        <v>1276</v>
      </c>
      <c r="L98" s="5473"/>
      <c r="M98" s="856"/>
      <c r="N98" s="856"/>
      <c r="O98" s="856"/>
      <c r="P98" s="856"/>
      <c r="Q98" s="856"/>
      <c r="R98" s="856"/>
      <c r="S98" s="856"/>
      <c r="T98" s="5748" t="s">
        <v>1277</v>
      </c>
      <c r="U98" s="5748"/>
      <c r="V98" s="856"/>
      <c r="W98" s="5746" t="s">
        <v>1278</v>
      </c>
      <c r="X98" s="5746"/>
      <c r="Y98" s="856"/>
      <c r="Z98" s="856"/>
      <c r="AA98" s="856"/>
      <c r="AB98" s="227"/>
      <c r="AC98" s="856"/>
      <c r="AD98" s="856"/>
      <c r="AE98" s="227"/>
      <c r="AF98" s="856"/>
      <c r="AG98" s="856"/>
      <c r="AH98" s="227"/>
      <c r="AI98" s="856"/>
      <c r="AJ98" s="856"/>
      <c r="AK98" s="856"/>
      <c r="AL98" s="856"/>
      <c r="AM98" s="856"/>
      <c r="AN98" s="856"/>
      <c r="AO98" s="856"/>
      <c r="AP98" s="856"/>
      <c r="AQ98" s="856"/>
      <c r="AS98" s="5754" t="s">
        <v>2502</v>
      </c>
      <c r="AT98" s="5754"/>
      <c r="AV98" s="5750" t="s">
        <v>2503</v>
      </c>
      <c r="AW98" s="5750"/>
      <c r="AY98" s="5752" t="s">
        <v>2504</v>
      </c>
      <c r="AZ98" s="5752"/>
      <c r="BB98" s="5473" t="s">
        <v>2505</v>
      </c>
      <c r="BC98" s="5473"/>
      <c r="BE98"/>
      <c r="BF98"/>
      <c r="BH98"/>
      <c r="BI98"/>
      <c r="BK98" s="5748" t="s">
        <v>2506</v>
      </c>
      <c r="BL98" s="5748"/>
      <c r="BN98" s="5746" t="s">
        <v>2507</v>
      </c>
      <c r="BO98" s="5746"/>
      <c r="BQ98"/>
      <c r="BR98"/>
      <c r="BT98"/>
      <c r="BU98"/>
      <c r="BW98"/>
      <c r="BX98"/>
      <c r="BY98"/>
      <c r="BZ98"/>
      <c r="CA98"/>
      <c r="CB98"/>
      <c r="CC98"/>
      <c r="CD98" s="5754" t="s">
        <v>2508</v>
      </c>
      <c r="CE98" s="5754"/>
      <c r="CG98" s="5750" t="s">
        <v>2509</v>
      </c>
      <c r="CH98" s="5750"/>
      <c r="CJ98" s="5752" t="s">
        <v>2510</v>
      </c>
      <c r="CK98" s="5752"/>
      <c r="CM98" s="5473" t="s">
        <v>2511</v>
      </c>
      <c r="CN98" s="5473"/>
      <c r="CP98"/>
      <c r="CQ98"/>
      <c r="CS98"/>
      <c r="CT98"/>
      <c r="CV98" s="5748" t="s">
        <v>2512</v>
      </c>
      <c r="CW98" s="5748"/>
      <c r="CY98" s="5746" t="s">
        <v>2513</v>
      </c>
      <c r="CZ98" s="5746"/>
      <c r="DB98"/>
      <c r="DC98"/>
      <c r="DE98"/>
      <c r="DF98"/>
      <c r="DH98"/>
      <c r="DI98"/>
      <c r="DK98"/>
      <c r="DL98"/>
      <c r="DM98" s="3">
        <v>1</v>
      </c>
    </row>
    <row r="99" spans="2:117" s="709" customFormat="1" ht="18" customHeight="1">
      <c r="B99" s="5755"/>
      <c r="C99" s="5755"/>
      <c r="D99" s="856"/>
      <c r="E99" s="5751"/>
      <c r="F99" s="5751"/>
      <c r="G99" s="856"/>
      <c r="H99" s="5753"/>
      <c r="I99" s="5753"/>
      <c r="J99" s="856"/>
      <c r="K99" s="5474"/>
      <c r="L99" s="5474"/>
      <c r="M99" s="856"/>
      <c r="N99" s="856"/>
      <c r="O99" s="856"/>
      <c r="P99" s="856"/>
      <c r="Q99" s="856"/>
      <c r="R99" s="856"/>
      <c r="S99" s="856"/>
      <c r="T99" s="5749"/>
      <c r="U99" s="5749"/>
      <c r="V99" s="856"/>
      <c r="W99" s="5747"/>
      <c r="X99" s="5747"/>
      <c r="Y99" s="856"/>
      <c r="Z99" s="856"/>
      <c r="AA99" s="856"/>
      <c r="AB99" s="227"/>
      <c r="AC99" s="856"/>
      <c r="AD99" s="856"/>
      <c r="AE99" s="227"/>
      <c r="AF99" s="856"/>
      <c r="AG99" s="856"/>
      <c r="AH99" s="227"/>
      <c r="AI99" s="856"/>
      <c r="AJ99" s="856"/>
      <c r="AK99" s="856"/>
      <c r="AL99" s="856"/>
      <c r="AM99" s="856"/>
      <c r="AN99" s="856"/>
      <c r="AO99" s="856"/>
      <c r="AP99" s="856"/>
      <c r="AQ99" s="856"/>
      <c r="AS99" s="5755" t="s">
        <v>116</v>
      </c>
      <c r="AT99" s="5755"/>
      <c r="AV99" s="5751" t="s">
        <v>116</v>
      </c>
      <c r="AW99" s="5751"/>
      <c r="AY99" s="5753" t="s">
        <v>116</v>
      </c>
      <c r="AZ99" s="5753"/>
      <c r="BB99" s="5474" t="s">
        <v>116</v>
      </c>
      <c r="BC99" s="5474"/>
      <c r="BE99"/>
      <c r="BF99"/>
      <c r="BH99"/>
      <c r="BI99"/>
      <c r="BK99" s="5749" t="s">
        <v>116</v>
      </c>
      <c r="BL99" s="5749"/>
      <c r="BN99" s="5747" t="s">
        <v>116</v>
      </c>
      <c r="BO99" s="5747"/>
      <c r="BQ99"/>
      <c r="BR99"/>
      <c r="BT99"/>
      <c r="BU99"/>
      <c r="BW99"/>
      <c r="BX99"/>
      <c r="BY99"/>
      <c r="BZ99"/>
      <c r="CA99"/>
      <c r="CB99"/>
      <c r="CC99"/>
      <c r="CD99" s="5755" t="s">
        <v>116</v>
      </c>
      <c r="CE99" s="5755"/>
      <c r="CG99" s="5751" t="s">
        <v>116</v>
      </c>
      <c r="CH99" s="5751"/>
      <c r="CJ99" s="5753" t="s">
        <v>116</v>
      </c>
      <c r="CK99" s="5753"/>
      <c r="CM99" s="5474" t="s">
        <v>116</v>
      </c>
      <c r="CN99" s="5474"/>
      <c r="CP99"/>
      <c r="CQ99"/>
      <c r="CS99"/>
      <c r="CT99"/>
      <c r="CV99" s="5749" t="s">
        <v>116</v>
      </c>
      <c r="CW99" s="5749"/>
      <c r="CY99" s="5747" t="s">
        <v>116</v>
      </c>
      <c r="CZ99" s="5747"/>
      <c r="DB99"/>
      <c r="DC99"/>
      <c r="DE99"/>
      <c r="DF99"/>
      <c r="DH99"/>
      <c r="DI99"/>
      <c r="DK99"/>
      <c r="DL99"/>
      <c r="DM99" s="3">
        <v>1</v>
      </c>
    </row>
    <row r="100" spans="2:117" s="709" customFormat="1" ht="18" customHeight="1" thickBot="1">
      <c r="B100" s="856"/>
      <c r="C100" s="856"/>
      <c r="D100" s="856"/>
      <c r="E100" s="856"/>
      <c r="F100" s="856"/>
      <c r="G100" s="856"/>
      <c r="H100"/>
      <c r="I100"/>
      <c r="J100" s="856"/>
      <c r="K100"/>
      <c r="L100"/>
      <c r="M100" s="856"/>
      <c r="N100" s="856"/>
      <c r="O100" s="856"/>
      <c r="P100" s="856"/>
      <c r="Q100" s="856"/>
      <c r="R100" s="856"/>
      <c r="S100" s="856"/>
      <c r="T100" s="856"/>
      <c r="U100" s="856"/>
      <c r="V100" s="856"/>
      <c r="W100" s="856"/>
      <c r="X100" s="856"/>
      <c r="Y100" s="856"/>
      <c r="Z100" s="856"/>
      <c r="AA100" s="856"/>
      <c r="AB100" s="227"/>
      <c r="AC100" s="856"/>
      <c r="AD100" s="856"/>
      <c r="AE100" s="227"/>
      <c r="AF100" s="856"/>
      <c r="AG100" s="856"/>
      <c r="AH100" s="227"/>
      <c r="AI100" s="856"/>
      <c r="AJ100" s="856"/>
      <c r="AK100" s="856"/>
      <c r="AL100" s="856"/>
      <c r="AM100" s="856"/>
      <c r="AN100" s="856"/>
      <c r="AO100" s="856"/>
      <c r="AP100" s="856"/>
      <c r="AQ100" s="856"/>
      <c r="AS100" s="856" t="s">
        <v>116</v>
      </c>
      <c r="AT100" s="856"/>
      <c r="AV100" s="856" t="s">
        <v>116</v>
      </c>
      <c r="AW100" s="856"/>
      <c r="AY100" t="s">
        <v>116</v>
      </c>
      <c r="AZ100"/>
      <c r="BB100" t="s">
        <v>116</v>
      </c>
      <c r="BC100"/>
      <c r="BE100"/>
      <c r="BF100"/>
      <c r="BH100"/>
      <c r="BI100"/>
      <c r="BK100" s="856" t="s">
        <v>116</v>
      </c>
      <c r="BL100" s="856"/>
      <c r="BN100" s="856" t="s">
        <v>116</v>
      </c>
      <c r="BO100" s="856"/>
      <c r="BQ100"/>
      <c r="BR100"/>
      <c r="BT100"/>
      <c r="BU100"/>
      <c r="BW100"/>
      <c r="BX100"/>
      <c r="BY100"/>
      <c r="BZ100"/>
      <c r="CA100"/>
      <c r="CB100"/>
      <c r="CC100"/>
      <c r="CD100" s="856" t="s">
        <v>116</v>
      </c>
      <c r="CE100" s="856"/>
      <c r="CG100" s="856" t="s">
        <v>116</v>
      </c>
      <c r="CH100" s="856"/>
      <c r="CJ100" t="s">
        <v>116</v>
      </c>
      <c r="CK100"/>
      <c r="CM100" t="s">
        <v>116</v>
      </c>
      <c r="CN100"/>
      <c r="CP100"/>
      <c r="CQ100"/>
      <c r="CS100"/>
      <c r="CT100"/>
      <c r="CV100" s="856" t="s">
        <v>116</v>
      </c>
      <c r="CW100" s="856"/>
      <c r="CY100" s="856" t="s">
        <v>116</v>
      </c>
      <c r="CZ100" s="856"/>
      <c r="DB100"/>
      <c r="DC100"/>
      <c r="DE100"/>
      <c r="DF100"/>
      <c r="DH100"/>
      <c r="DI100"/>
      <c r="DK100"/>
      <c r="DL100"/>
      <c r="DM100" s="3">
        <v>1</v>
      </c>
    </row>
    <row r="101" spans="2:117" s="709" customFormat="1" ht="18" customHeight="1">
      <c r="B101" s="5754" t="s">
        <v>1279</v>
      </c>
      <c r="C101" s="5754"/>
      <c r="D101" s="856"/>
      <c r="E101" s="5750" t="s">
        <v>1280</v>
      </c>
      <c r="F101" s="5750"/>
      <c r="G101" s="856"/>
      <c r="H101" s="5752" t="s">
        <v>1281</v>
      </c>
      <c r="I101" s="5752"/>
      <c r="J101" s="856"/>
      <c r="K101" s="5473" t="s">
        <v>1282</v>
      </c>
      <c r="L101" s="5473"/>
      <c r="M101" s="856"/>
      <c r="N101" s="856"/>
      <c r="O101" s="856"/>
      <c r="P101" s="856"/>
      <c r="Q101" s="856"/>
      <c r="R101" s="856"/>
      <c r="S101" s="856"/>
      <c r="T101" s="5748" t="s">
        <v>1283</v>
      </c>
      <c r="U101" s="5748"/>
      <c r="V101" s="856"/>
      <c r="W101" s="5746" t="s">
        <v>1284</v>
      </c>
      <c r="X101" s="5746"/>
      <c r="Y101" s="856"/>
      <c r="Z101" s="856"/>
      <c r="AA101" s="856"/>
      <c r="AB101" s="227"/>
      <c r="AC101" s="856"/>
      <c r="AD101" s="856"/>
      <c r="AE101" s="227"/>
      <c r="AF101" s="856"/>
      <c r="AG101" s="856"/>
      <c r="AH101" s="227"/>
      <c r="AI101" s="856"/>
      <c r="AJ101" s="856"/>
      <c r="AK101" s="856"/>
      <c r="AL101" s="856"/>
      <c r="AM101" s="856"/>
      <c r="AN101" s="856"/>
      <c r="AO101" s="856"/>
      <c r="AP101" s="856"/>
      <c r="AQ101" s="856"/>
      <c r="AS101" s="5754"/>
      <c r="AT101" s="5754"/>
      <c r="AV101" s="5750" t="s">
        <v>2514</v>
      </c>
      <c r="AW101" s="5750"/>
      <c r="AY101" s="5752" t="s">
        <v>2515</v>
      </c>
      <c r="AZ101" s="5752"/>
      <c r="BB101" s="5473" t="s">
        <v>2516</v>
      </c>
      <c r="BC101" s="5473"/>
      <c r="BE101"/>
      <c r="BF101"/>
      <c r="BH101"/>
      <c r="BI101"/>
      <c r="BK101" s="5748" t="s">
        <v>2517</v>
      </c>
      <c r="BL101" s="5748"/>
      <c r="BN101" s="5746" t="s">
        <v>2518</v>
      </c>
      <c r="BO101" s="5746"/>
      <c r="BQ101"/>
      <c r="BR101"/>
      <c r="BT101"/>
      <c r="BU101"/>
      <c r="BW101"/>
      <c r="BX101"/>
      <c r="BY101"/>
      <c r="BZ101"/>
      <c r="CA101"/>
      <c r="CB101"/>
      <c r="CC101"/>
      <c r="CD101" s="5754"/>
      <c r="CE101" s="5754"/>
      <c r="CG101" s="5750" t="s">
        <v>2519</v>
      </c>
      <c r="CH101" s="5750"/>
      <c r="CJ101" s="5752" t="s">
        <v>2520</v>
      </c>
      <c r="CK101" s="5752"/>
      <c r="CM101" s="5473" t="s">
        <v>2521</v>
      </c>
      <c r="CN101" s="5473"/>
      <c r="CP101"/>
      <c r="CQ101"/>
      <c r="CS101"/>
      <c r="CT101"/>
      <c r="CV101" s="5748" t="s">
        <v>2522</v>
      </c>
      <c r="CW101" s="5748"/>
      <c r="CY101" s="5746" t="s">
        <v>2523</v>
      </c>
      <c r="CZ101" s="5746"/>
      <c r="DB101"/>
      <c r="DC101"/>
      <c r="DE101"/>
      <c r="DF101"/>
      <c r="DH101"/>
      <c r="DI101"/>
      <c r="DK101"/>
      <c r="DL101"/>
      <c r="DM101" s="3">
        <v>1</v>
      </c>
    </row>
    <row r="102" spans="2:117" s="709" customFormat="1" ht="18" customHeight="1">
      <c r="B102" s="5755"/>
      <c r="C102" s="5755"/>
      <c r="D102" s="856"/>
      <c r="E102" s="5751"/>
      <c r="F102" s="5751"/>
      <c r="G102" s="856"/>
      <c r="H102" s="5753"/>
      <c r="I102" s="5753"/>
      <c r="J102" s="856"/>
      <c r="K102" s="5474"/>
      <c r="L102" s="5474"/>
      <c r="M102" s="856"/>
      <c r="N102" s="856"/>
      <c r="O102" s="856"/>
      <c r="P102" s="856"/>
      <c r="Q102" s="856"/>
      <c r="R102" s="856"/>
      <c r="S102" s="856"/>
      <c r="T102" s="5749"/>
      <c r="U102" s="5749"/>
      <c r="V102" s="856"/>
      <c r="W102" s="5747"/>
      <c r="X102" s="5747"/>
      <c r="Y102" s="856"/>
      <c r="Z102" s="856"/>
      <c r="AA102" s="856"/>
      <c r="AB102" s="227"/>
      <c r="AC102" s="856"/>
      <c r="AD102" s="856"/>
      <c r="AE102" s="227"/>
      <c r="AF102" s="856"/>
      <c r="AG102" s="856"/>
      <c r="AH102" s="227"/>
      <c r="AI102" s="856"/>
      <c r="AJ102" s="856"/>
      <c r="AK102" s="856"/>
      <c r="AL102" s="856"/>
      <c r="AM102" s="856"/>
      <c r="AN102" s="856"/>
      <c r="AO102" s="856"/>
      <c r="AP102" s="856"/>
      <c r="AQ102" s="856"/>
      <c r="AS102" s="5755"/>
      <c r="AT102" s="5755"/>
      <c r="AV102" s="5751" t="s">
        <v>116</v>
      </c>
      <c r="AW102" s="5751"/>
      <c r="AY102" s="5753" t="s">
        <v>116</v>
      </c>
      <c r="AZ102" s="5753"/>
      <c r="BB102" s="5474" t="s">
        <v>116</v>
      </c>
      <c r="BC102" s="5474"/>
      <c r="BE102"/>
      <c r="BF102"/>
      <c r="BH102"/>
      <c r="BI102"/>
      <c r="BK102" s="5749" t="s">
        <v>116</v>
      </c>
      <c r="BL102" s="5749"/>
      <c r="BN102" s="5747" t="s">
        <v>116</v>
      </c>
      <c r="BO102" s="5747"/>
      <c r="BQ102"/>
      <c r="BR102"/>
      <c r="BT102"/>
      <c r="BU102"/>
      <c r="BW102"/>
      <c r="BX102"/>
      <c r="BY102"/>
      <c r="BZ102"/>
      <c r="CA102"/>
      <c r="CB102"/>
      <c r="CC102"/>
      <c r="CD102" s="5755"/>
      <c r="CE102" s="5755"/>
      <c r="CG102" s="5751" t="s">
        <v>116</v>
      </c>
      <c r="CH102" s="5751"/>
      <c r="CJ102" s="5753" t="s">
        <v>116</v>
      </c>
      <c r="CK102" s="5753"/>
      <c r="CM102" s="5474" t="s">
        <v>116</v>
      </c>
      <c r="CN102" s="5474"/>
      <c r="CP102"/>
      <c r="CQ102"/>
      <c r="CS102"/>
      <c r="CT102"/>
      <c r="CV102" s="5749" t="s">
        <v>116</v>
      </c>
      <c r="CW102" s="5749"/>
      <c r="CY102" s="5747" t="s">
        <v>116</v>
      </c>
      <c r="CZ102" s="5747"/>
      <c r="DB102"/>
      <c r="DC102"/>
      <c r="DE102"/>
      <c r="DF102"/>
      <c r="DH102"/>
      <c r="DI102"/>
      <c r="DK102"/>
      <c r="DL102"/>
      <c r="DM102" s="3">
        <v>1</v>
      </c>
    </row>
    <row r="103" spans="2:117" s="709" customFormat="1" ht="18" customHeight="1" thickBot="1">
      <c r="B103" s="856"/>
      <c r="C103" s="856"/>
      <c r="D103" s="856"/>
      <c r="E103" s="856"/>
      <c r="F103" s="856"/>
      <c r="G103" s="856"/>
      <c r="H103"/>
      <c r="I103"/>
      <c r="J103" s="856"/>
      <c r="K103"/>
      <c r="L103"/>
      <c r="M103" s="856"/>
      <c r="N103" s="856"/>
      <c r="O103" s="856"/>
      <c r="P103" s="856"/>
      <c r="Q103" s="856"/>
      <c r="R103" s="856"/>
      <c r="S103" s="856"/>
      <c r="T103" s="856"/>
      <c r="U103" s="856"/>
      <c r="V103" s="856"/>
      <c r="W103" s="856"/>
      <c r="X103" s="856"/>
      <c r="Y103" s="856"/>
      <c r="Z103" s="856"/>
      <c r="AA103" s="856"/>
      <c r="AB103" s="227"/>
      <c r="AC103" s="856"/>
      <c r="AD103" s="856"/>
      <c r="AE103" s="227"/>
      <c r="AF103" s="856"/>
      <c r="AG103" s="856"/>
      <c r="AH103" s="227"/>
      <c r="AI103" s="856"/>
      <c r="AJ103" s="856"/>
      <c r="AK103" s="856"/>
      <c r="AL103" s="856"/>
      <c r="AM103" s="856"/>
      <c r="AN103" s="856"/>
      <c r="AO103" s="856"/>
      <c r="AP103" s="856"/>
      <c r="AQ103" s="856"/>
      <c r="AS103"/>
      <c r="AT103"/>
      <c r="AV103" s="856" t="s">
        <v>116</v>
      </c>
      <c r="AW103" s="856"/>
      <c r="AY103" t="s">
        <v>116</v>
      </c>
      <c r="AZ103"/>
      <c r="BB103" t="s">
        <v>116</v>
      </c>
      <c r="BC103"/>
      <c r="BE103"/>
      <c r="BF103"/>
      <c r="BH103"/>
      <c r="BI103"/>
      <c r="BK103" s="856" t="s">
        <v>116</v>
      </c>
      <c r="BL103" s="856"/>
      <c r="BN103" s="856" t="s">
        <v>116</v>
      </c>
      <c r="BO103" s="856"/>
      <c r="BQ103"/>
      <c r="BR103"/>
      <c r="BT103"/>
      <c r="BU103"/>
      <c r="BW103"/>
      <c r="BX103"/>
      <c r="BY103"/>
      <c r="BZ103"/>
      <c r="CA103"/>
      <c r="CB103"/>
      <c r="CC103"/>
      <c r="CD103"/>
      <c r="CE103"/>
      <c r="CG103" s="856" t="s">
        <v>116</v>
      </c>
      <c r="CH103" s="856"/>
      <c r="CJ103" t="s">
        <v>116</v>
      </c>
      <c r="CK103"/>
      <c r="CM103" t="s">
        <v>116</v>
      </c>
      <c r="CN103"/>
      <c r="CP103"/>
      <c r="CQ103"/>
      <c r="CS103"/>
      <c r="CT103"/>
      <c r="CV103" s="870" t="s">
        <v>116</v>
      </c>
      <c r="CW103" s="870"/>
      <c r="CY103" s="856" t="s">
        <v>116</v>
      </c>
      <c r="CZ103" s="856"/>
      <c r="DB103"/>
      <c r="DC103"/>
      <c r="DE103"/>
      <c r="DF103"/>
      <c r="DH103" s="856"/>
      <c r="DI103" s="856"/>
      <c r="DK103"/>
      <c r="DL103"/>
      <c r="DM103" s="3">
        <v>1</v>
      </c>
    </row>
    <row r="104" spans="2:117" s="709" customFormat="1" ht="18" customHeight="1">
      <c r="B104" s="5754" t="s">
        <v>1285</v>
      </c>
      <c r="C104" s="5754"/>
      <c r="D104" s="856"/>
      <c r="E104" s="5750" t="s">
        <v>1286</v>
      </c>
      <c r="F104" s="5750"/>
      <c r="G104" s="856"/>
      <c r="H104" s="5752" t="s">
        <v>1287</v>
      </c>
      <c r="I104" s="5752"/>
      <c r="J104" s="856"/>
      <c r="K104" s="5473" t="s">
        <v>1288</v>
      </c>
      <c r="L104" s="5473"/>
      <c r="M104" s="856"/>
      <c r="N104" s="856"/>
      <c r="O104" s="856"/>
      <c r="P104" s="856"/>
      <c r="Q104" s="856"/>
      <c r="R104" s="856"/>
      <c r="S104" s="856"/>
      <c r="T104" s="5748" t="s">
        <v>1289</v>
      </c>
      <c r="U104" s="5748"/>
      <c r="V104" s="856"/>
      <c r="W104" s="5746" t="s">
        <v>1290</v>
      </c>
      <c r="X104" s="5746"/>
      <c r="Y104" s="856"/>
      <c r="Z104" s="856"/>
      <c r="AA104" s="856"/>
      <c r="AB104" s="227"/>
      <c r="AC104" s="856"/>
      <c r="AD104" s="856"/>
      <c r="AE104" s="227"/>
      <c r="AF104" s="856"/>
      <c r="AG104" s="856"/>
      <c r="AH104" s="227"/>
      <c r="AI104" s="856"/>
      <c r="AJ104" s="856"/>
      <c r="AK104" s="856"/>
      <c r="AL104" s="856"/>
      <c r="AM104" s="856"/>
      <c r="AN104" s="856"/>
      <c r="AO104" s="856"/>
      <c r="AP104" s="856"/>
      <c r="AQ104" s="856"/>
      <c r="AS104"/>
      <c r="AT104"/>
      <c r="AV104" s="5750" t="s">
        <v>2524</v>
      </c>
      <c r="AW104" s="5750"/>
      <c r="AY104" s="5752" t="s">
        <v>2004</v>
      </c>
      <c r="AZ104" s="5752"/>
      <c r="BB104" s="5473" t="s">
        <v>2525</v>
      </c>
      <c r="BC104" s="5473"/>
      <c r="BE104"/>
      <c r="BF104"/>
      <c r="BH104"/>
      <c r="BI104"/>
      <c r="BK104" s="5748" t="s">
        <v>2526</v>
      </c>
      <c r="BL104" s="5748"/>
      <c r="BN104" s="5746" t="s">
        <v>2527</v>
      </c>
      <c r="BO104" s="5746"/>
      <c r="BQ104"/>
      <c r="BR104"/>
      <c r="BT104"/>
      <c r="BU104"/>
      <c r="BW104"/>
      <c r="BX104"/>
      <c r="BY104"/>
      <c r="BZ104"/>
      <c r="CA104"/>
      <c r="CB104"/>
      <c r="CC104"/>
      <c r="CD104"/>
      <c r="CE104"/>
      <c r="CG104" s="5750" t="s">
        <v>2528</v>
      </c>
      <c r="CH104" s="5750"/>
      <c r="CJ104" s="5752" t="s">
        <v>2012</v>
      </c>
      <c r="CK104" s="5752"/>
      <c r="CM104" s="5473" t="s">
        <v>2529</v>
      </c>
      <c r="CN104" s="5473"/>
      <c r="CP104"/>
      <c r="CQ104"/>
      <c r="CS104"/>
      <c r="CT104"/>
      <c r="CV104" s="5748" t="s">
        <v>2530</v>
      </c>
      <c r="CW104" s="5748"/>
      <c r="CY104" s="5746" t="s">
        <v>2531</v>
      </c>
      <c r="CZ104" s="5746"/>
      <c r="DB104"/>
      <c r="DC104"/>
      <c r="DE104"/>
      <c r="DF104"/>
      <c r="DH104"/>
      <c r="DI104"/>
      <c r="DK104"/>
      <c r="DL104"/>
      <c r="DM104" s="3">
        <v>1</v>
      </c>
    </row>
    <row r="105" spans="2:117" s="709" customFormat="1" ht="18" customHeight="1">
      <c r="B105" s="5755"/>
      <c r="C105" s="5755"/>
      <c r="D105" s="856"/>
      <c r="E105" s="5751"/>
      <c r="F105" s="5751"/>
      <c r="G105" s="856"/>
      <c r="H105" s="5753"/>
      <c r="I105" s="5753"/>
      <c r="J105" s="856"/>
      <c r="K105" s="5474"/>
      <c r="L105" s="5474"/>
      <c r="M105" s="856"/>
      <c r="N105" s="856"/>
      <c r="O105" s="856"/>
      <c r="P105" s="856"/>
      <c r="Q105" s="856"/>
      <c r="R105" s="856"/>
      <c r="S105" s="856"/>
      <c r="T105" s="5749"/>
      <c r="U105" s="5749"/>
      <c r="V105" s="856"/>
      <c r="W105" s="5747"/>
      <c r="X105" s="5747"/>
      <c r="Y105" s="856"/>
      <c r="Z105" s="856"/>
      <c r="AA105" s="856"/>
      <c r="AB105" s="227"/>
      <c r="AC105" s="856"/>
      <c r="AD105" s="856"/>
      <c r="AE105" s="227"/>
      <c r="AF105" s="856"/>
      <c r="AG105" s="856"/>
      <c r="AH105" s="227"/>
      <c r="AI105" s="856"/>
      <c r="AJ105" s="856"/>
      <c r="AK105" s="856"/>
      <c r="AL105" s="856"/>
      <c r="AM105" s="856"/>
      <c r="AN105" s="856"/>
      <c r="AO105" s="856"/>
      <c r="AP105" s="856"/>
      <c r="AQ105" s="856"/>
      <c r="AS105"/>
      <c r="AT105"/>
      <c r="AV105" s="5751" t="s">
        <v>116</v>
      </c>
      <c r="AW105" s="5751"/>
      <c r="AY105" s="5753" t="s">
        <v>116</v>
      </c>
      <c r="AZ105" s="5753"/>
      <c r="BB105" s="5474" t="s">
        <v>116</v>
      </c>
      <c r="BC105" s="5474"/>
      <c r="BE105"/>
      <c r="BF105"/>
      <c r="BH105"/>
      <c r="BI105"/>
      <c r="BK105" s="5749" t="s">
        <v>116</v>
      </c>
      <c r="BL105" s="5749"/>
      <c r="BN105" s="5747" t="s">
        <v>116</v>
      </c>
      <c r="BO105" s="5747"/>
      <c r="BQ105"/>
      <c r="BR105"/>
      <c r="BT105"/>
      <c r="BU105"/>
      <c r="BW105"/>
      <c r="BX105"/>
      <c r="BY105"/>
      <c r="BZ105"/>
      <c r="CA105"/>
      <c r="CB105"/>
      <c r="CC105"/>
      <c r="CD105"/>
      <c r="CE105"/>
      <c r="CG105" s="5751" t="s">
        <v>116</v>
      </c>
      <c r="CH105" s="5751"/>
      <c r="CJ105" s="5753" t="s">
        <v>116</v>
      </c>
      <c r="CK105" s="5753"/>
      <c r="CM105" s="5474" t="s">
        <v>116</v>
      </c>
      <c r="CN105" s="5474"/>
      <c r="CP105"/>
      <c r="CQ105"/>
      <c r="CS105"/>
      <c r="CT105"/>
      <c r="CV105" s="5749" t="s">
        <v>116</v>
      </c>
      <c r="CW105" s="5749"/>
      <c r="CY105" s="5747" t="s">
        <v>116</v>
      </c>
      <c r="CZ105" s="5747"/>
      <c r="DB105"/>
      <c r="DC105"/>
      <c r="DE105"/>
      <c r="DF105"/>
      <c r="DH105"/>
      <c r="DI105"/>
      <c r="DK105"/>
      <c r="DL105"/>
      <c r="DM105" s="3">
        <v>1</v>
      </c>
    </row>
    <row r="106" spans="2:117" s="709" customFormat="1" ht="18" customHeight="1" thickBot="1">
      <c r="B106" s="856"/>
      <c r="C106" s="856"/>
      <c r="D106" s="856"/>
      <c r="E106" s="856"/>
      <c r="F106" s="856"/>
      <c r="G106" s="856"/>
      <c r="H106"/>
      <c r="I106"/>
      <c r="J106" s="856"/>
      <c r="K106"/>
      <c r="L106"/>
      <c r="M106" s="856"/>
      <c r="N106" s="856"/>
      <c r="O106" s="856"/>
      <c r="P106" s="856"/>
      <c r="Q106" s="856"/>
      <c r="R106" s="856"/>
      <c r="S106" s="856"/>
      <c r="T106" s="856"/>
      <c r="U106" s="856"/>
      <c r="V106" s="856"/>
      <c r="W106" s="856"/>
      <c r="X106" s="856"/>
      <c r="Y106" s="856"/>
      <c r="Z106" s="856"/>
      <c r="AA106" s="856"/>
      <c r="AB106" s="227"/>
      <c r="AC106" s="856"/>
      <c r="AD106" s="856"/>
      <c r="AE106" s="227"/>
      <c r="AF106" s="856"/>
      <c r="AG106" s="856"/>
      <c r="AH106" s="227"/>
      <c r="AI106" s="856"/>
      <c r="AJ106" s="856"/>
      <c r="AK106" s="856"/>
      <c r="AL106" s="856"/>
      <c r="AM106" s="856"/>
      <c r="AN106" s="856"/>
      <c r="AO106" s="856"/>
      <c r="AP106" s="856"/>
      <c r="AQ106" s="856"/>
      <c r="AS106"/>
      <c r="AT106"/>
      <c r="AV106" s="856" t="s">
        <v>116</v>
      </c>
      <c r="AW106" s="856"/>
      <c r="AY106" t="s">
        <v>116</v>
      </c>
      <c r="AZ106"/>
      <c r="BB106" t="s">
        <v>116</v>
      </c>
      <c r="BC106"/>
      <c r="BE106"/>
      <c r="BF106"/>
      <c r="BH106"/>
      <c r="BI106"/>
      <c r="BK106" s="856" t="s">
        <v>116</v>
      </c>
      <c r="BL106" s="856"/>
      <c r="BN106" s="856" t="s">
        <v>116</v>
      </c>
      <c r="BO106" s="856"/>
      <c r="BQ106"/>
      <c r="BR106"/>
      <c r="BT106"/>
      <c r="BU106"/>
      <c r="BW106"/>
      <c r="BX106"/>
      <c r="BY106"/>
      <c r="BZ106"/>
      <c r="CA106"/>
      <c r="CB106"/>
      <c r="CC106"/>
      <c r="CD106"/>
      <c r="CE106"/>
      <c r="CG106" s="856" t="s">
        <v>116</v>
      </c>
      <c r="CH106" s="856"/>
      <c r="CJ106"/>
      <c r="CK106"/>
      <c r="CM106" t="s">
        <v>116</v>
      </c>
      <c r="CN106"/>
      <c r="CP106"/>
      <c r="CQ106"/>
      <c r="CS106"/>
      <c r="CT106"/>
      <c r="CV106" s="870" t="s">
        <v>116</v>
      </c>
      <c r="CW106" s="870"/>
      <c r="CY106" s="870" t="s">
        <v>116</v>
      </c>
      <c r="CZ106" s="870"/>
      <c r="DB106"/>
      <c r="DC106"/>
      <c r="DE106"/>
      <c r="DF106"/>
      <c r="DH106"/>
      <c r="DI106"/>
      <c r="DK106"/>
      <c r="DL106"/>
      <c r="DM106" s="3">
        <v>1</v>
      </c>
    </row>
    <row r="107" spans="2:117" s="709" customFormat="1" ht="18" customHeight="1">
      <c r="B107" s="5754"/>
      <c r="C107" s="5754"/>
      <c r="D107" s="856"/>
      <c r="E107" s="5750" t="s">
        <v>1291</v>
      </c>
      <c r="F107" s="5750"/>
      <c r="G107" s="856"/>
      <c r="H107" s="5752" t="s">
        <v>1000</v>
      </c>
      <c r="I107" s="5752"/>
      <c r="J107" s="856"/>
      <c r="K107" s="5473" t="s">
        <v>1292</v>
      </c>
      <c r="L107" s="5473"/>
      <c r="M107" s="856"/>
      <c r="N107" s="856"/>
      <c r="O107" s="856"/>
      <c r="P107" s="856"/>
      <c r="Q107" s="856"/>
      <c r="R107" s="856"/>
      <c r="S107" s="856"/>
      <c r="T107" s="5748" t="s">
        <v>1293</v>
      </c>
      <c r="U107" s="5748"/>
      <c r="V107" s="856"/>
      <c r="W107" s="5746" t="s">
        <v>1294</v>
      </c>
      <c r="X107" s="5746"/>
      <c r="Y107" s="856"/>
      <c r="Z107" s="856"/>
      <c r="AA107" s="856"/>
      <c r="AB107" s="227"/>
      <c r="AC107" s="856"/>
      <c r="AD107" s="856"/>
      <c r="AE107" s="227"/>
      <c r="AF107" s="856"/>
      <c r="AG107" s="856"/>
      <c r="AH107" s="227"/>
      <c r="AI107" s="856"/>
      <c r="AJ107" s="856"/>
      <c r="AK107" s="856"/>
      <c r="AL107" s="856"/>
      <c r="AM107" s="856"/>
      <c r="AN107" s="856"/>
      <c r="AO107" s="856"/>
      <c r="AP107" s="856"/>
      <c r="AQ107" s="856"/>
      <c r="AS107"/>
      <c r="AT107"/>
      <c r="AV107" s="5750" t="s">
        <v>2532</v>
      </c>
      <c r="AW107" s="5750"/>
      <c r="AY107" s="5752"/>
      <c r="AZ107" s="5752"/>
      <c r="BB107" s="5473" t="s">
        <v>2533</v>
      </c>
      <c r="BC107" s="5473"/>
      <c r="BE107"/>
      <c r="BF107"/>
      <c r="BH107"/>
      <c r="BI107"/>
      <c r="BK107" s="5748" t="s">
        <v>2534</v>
      </c>
      <c r="BL107" s="5748"/>
      <c r="BN107" s="5746" t="s">
        <v>2535</v>
      </c>
      <c r="BO107" s="5746"/>
      <c r="BQ107"/>
      <c r="BR107"/>
      <c r="BT107"/>
      <c r="BU107"/>
      <c r="BW107"/>
      <c r="BX107"/>
      <c r="BY107"/>
      <c r="BZ107"/>
      <c r="CA107"/>
      <c r="CB107"/>
      <c r="CC107"/>
      <c r="CD107"/>
      <c r="CE107"/>
      <c r="CG107" s="5750" t="s">
        <v>2536</v>
      </c>
      <c r="CH107" s="5750"/>
      <c r="CJ107" s="5752"/>
      <c r="CK107" s="5752"/>
      <c r="CM107" s="5473" t="s">
        <v>2537</v>
      </c>
      <c r="CN107" s="5473"/>
      <c r="CP107"/>
      <c r="CQ107"/>
      <c r="CS107"/>
      <c r="CT107"/>
      <c r="CV107" s="5748" t="s">
        <v>2538</v>
      </c>
      <c r="CW107" s="5748"/>
      <c r="CY107" s="5746" t="s">
        <v>2539</v>
      </c>
      <c r="CZ107" s="5746"/>
      <c r="DB107"/>
      <c r="DC107"/>
      <c r="DE107"/>
      <c r="DF107"/>
      <c r="DH107"/>
      <c r="DI107"/>
      <c r="DK107"/>
      <c r="DL107"/>
      <c r="DM107" s="3">
        <v>1</v>
      </c>
    </row>
    <row r="108" spans="2:117" s="709" customFormat="1" ht="18" customHeight="1">
      <c r="B108" s="5755"/>
      <c r="C108" s="5755"/>
      <c r="D108" s="856"/>
      <c r="E108" s="5751"/>
      <c r="F108" s="5751"/>
      <c r="G108" s="856"/>
      <c r="H108" s="5753"/>
      <c r="I108" s="5753"/>
      <c r="J108" s="856"/>
      <c r="K108" s="5474"/>
      <c r="L108" s="5474"/>
      <c r="M108" s="856"/>
      <c r="N108" s="856"/>
      <c r="O108" s="856"/>
      <c r="P108" s="856"/>
      <c r="Q108" s="856"/>
      <c r="R108" s="856"/>
      <c r="S108" s="856"/>
      <c r="T108" s="5749"/>
      <c r="U108" s="5749"/>
      <c r="V108" s="856"/>
      <c r="W108" s="5747"/>
      <c r="X108" s="5747"/>
      <c r="Y108" s="856"/>
      <c r="Z108" s="856"/>
      <c r="AA108" s="856"/>
      <c r="AB108" s="227"/>
      <c r="AC108" s="856"/>
      <c r="AD108" s="856"/>
      <c r="AE108" s="227"/>
      <c r="AF108" s="856"/>
      <c r="AG108" s="856"/>
      <c r="AH108" s="227"/>
      <c r="AI108" s="856"/>
      <c r="AJ108" s="856"/>
      <c r="AK108" s="856"/>
      <c r="AL108" s="856"/>
      <c r="AM108" s="856"/>
      <c r="AN108" s="856"/>
      <c r="AO108" s="856"/>
      <c r="AP108" s="856"/>
      <c r="AQ108" s="856"/>
      <c r="AS108"/>
      <c r="AT108"/>
      <c r="AV108" s="5751" t="s">
        <v>116</v>
      </c>
      <c r="AW108" s="5751"/>
      <c r="AY108" s="5753"/>
      <c r="AZ108" s="5753"/>
      <c r="BB108" s="5474" t="s">
        <v>116</v>
      </c>
      <c r="BC108" s="5474"/>
      <c r="BE108"/>
      <c r="BF108"/>
      <c r="BH108"/>
      <c r="BI108"/>
      <c r="BK108" s="5749" t="s">
        <v>116</v>
      </c>
      <c r="BL108" s="5749"/>
      <c r="BN108" s="5747" t="s">
        <v>116</v>
      </c>
      <c r="BO108" s="5747"/>
      <c r="BQ108"/>
      <c r="BR108"/>
      <c r="BT108"/>
      <c r="BU108"/>
      <c r="BW108"/>
      <c r="BX108"/>
      <c r="BY108"/>
      <c r="BZ108"/>
      <c r="CA108"/>
      <c r="CB108"/>
      <c r="CC108"/>
      <c r="CD108"/>
      <c r="CE108"/>
      <c r="CG108" s="5751" t="s">
        <v>116</v>
      </c>
      <c r="CH108" s="5751"/>
      <c r="CJ108" s="5753"/>
      <c r="CK108" s="5753"/>
      <c r="CM108" s="5474" t="s">
        <v>116</v>
      </c>
      <c r="CN108" s="5474"/>
      <c r="CP108"/>
      <c r="CQ108"/>
      <c r="CS108"/>
      <c r="CT108"/>
      <c r="CV108" s="5749" t="s">
        <v>116</v>
      </c>
      <c r="CW108" s="5749"/>
      <c r="CY108" s="5747" t="s">
        <v>116</v>
      </c>
      <c r="CZ108" s="5747"/>
      <c r="DB108"/>
      <c r="DC108"/>
      <c r="DE108"/>
      <c r="DF108"/>
      <c r="DH108"/>
      <c r="DI108"/>
      <c r="DK108"/>
      <c r="DL108"/>
      <c r="DM108" s="3">
        <v>1</v>
      </c>
    </row>
    <row r="109" spans="2:117" s="709" customFormat="1" ht="18" customHeight="1" thickBot="1">
      <c r="B109" s="856"/>
      <c r="C109" s="856"/>
      <c r="D109" s="856"/>
      <c r="E109" s="856"/>
      <c r="F109" s="856"/>
      <c r="G109" s="856"/>
      <c r="H109" s="856"/>
      <c r="I109" s="856"/>
      <c r="J109" s="856"/>
      <c r="K109"/>
      <c r="L109"/>
      <c r="M109" s="856"/>
      <c r="N109" s="856"/>
      <c r="O109" s="856"/>
      <c r="P109" s="856"/>
      <c r="Q109" s="856"/>
      <c r="R109" s="856"/>
      <c r="S109" s="856"/>
      <c r="T109" s="870">
        <v>1</v>
      </c>
      <c r="U109" s="870">
        <v>1</v>
      </c>
      <c r="V109" s="856"/>
      <c r="W109" s="870">
        <v>1</v>
      </c>
      <c r="X109" s="870">
        <v>1</v>
      </c>
      <c r="Y109" s="856"/>
      <c r="Z109" s="856"/>
      <c r="AA109" s="856"/>
      <c r="AB109" s="227"/>
      <c r="AC109" s="856"/>
      <c r="AD109" s="856"/>
      <c r="AE109" s="227"/>
      <c r="AF109" s="856"/>
      <c r="AG109" s="856"/>
      <c r="AH109" s="227"/>
      <c r="AI109" s="856"/>
      <c r="AJ109" s="856"/>
      <c r="AK109" s="856"/>
      <c r="AL109" s="856"/>
      <c r="AM109" s="856"/>
      <c r="AN109" s="856"/>
      <c r="AO109" s="856"/>
      <c r="AP109" s="856"/>
      <c r="AQ109" s="856"/>
      <c r="AS109"/>
      <c r="AT109"/>
      <c r="AV109" s="856" t="s">
        <v>116</v>
      </c>
      <c r="AW109" s="856"/>
      <c r="AY109"/>
      <c r="AZ109"/>
      <c r="BB109" t="s">
        <v>116</v>
      </c>
      <c r="BC109"/>
      <c r="BE109"/>
      <c r="BF109"/>
      <c r="BH109"/>
      <c r="BI109"/>
      <c r="BK109" s="870" t="s">
        <v>116</v>
      </c>
      <c r="BL109" s="870"/>
      <c r="BN109" s="856" t="s">
        <v>116</v>
      </c>
      <c r="BO109" s="856"/>
      <c r="BQ109"/>
      <c r="BR109"/>
      <c r="BT109"/>
      <c r="BU109"/>
      <c r="BW109"/>
      <c r="BX109"/>
      <c r="BY109"/>
      <c r="BZ109"/>
      <c r="CA109"/>
      <c r="CB109"/>
      <c r="CC109"/>
      <c r="CD109"/>
      <c r="CE109"/>
      <c r="CG109" s="856" t="s">
        <v>116</v>
      </c>
      <c r="CH109" s="856"/>
      <c r="CJ109"/>
      <c r="CK109"/>
      <c r="CM109" s="856" t="s">
        <v>116</v>
      </c>
      <c r="CN109" s="856"/>
      <c r="CP109"/>
      <c r="CQ109"/>
      <c r="CS109"/>
      <c r="CT109"/>
      <c r="CV109" s="870" t="s">
        <v>116</v>
      </c>
      <c r="CW109" s="870"/>
      <c r="CY109" s="870" t="s">
        <v>116</v>
      </c>
      <c r="CZ109" s="870"/>
      <c r="DB109"/>
      <c r="DC109"/>
      <c r="DE109"/>
      <c r="DF109"/>
      <c r="DH109"/>
      <c r="DI109"/>
      <c r="DK109"/>
      <c r="DL109"/>
      <c r="DM109" s="3">
        <v>1</v>
      </c>
    </row>
    <row r="110" spans="2:117" s="709" customFormat="1" ht="18" customHeight="1">
      <c r="B110" s="856"/>
      <c r="C110" s="856"/>
      <c r="D110" s="856"/>
      <c r="E110" s="5750" t="s">
        <v>1295</v>
      </c>
      <c r="F110" s="5750"/>
      <c r="G110" s="856"/>
      <c r="H110" s="5752"/>
      <c r="I110" s="5752"/>
      <c r="J110" s="856"/>
      <c r="K110" s="5473" t="s">
        <v>1001</v>
      </c>
      <c r="L110" s="5473"/>
      <c r="M110" s="856"/>
      <c r="N110" s="856"/>
      <c r="O110" s="856"/>
      <c r="P110" s="856"/>
      <c r="Q110" s="856"/>
      <c r="R110" s="856"/>
      <c r="S110" s="856"/>
      <c r="T110" s="5748" t="s">
        <v>1296</v>
      </c>
      <c r="U110" s="5748"/>
      <c r="V110" s="856"/>
      <c r="W110" s="5746" t="s">
        <v>1297</v>
      </c>
      <c r="X110" s="5746"/>
      <c r="Y110" s="856"/>
      <c r="Z110" s="856"/>
      <c r="AA110" s="856"/>
      <c r="AB110" s="227"/>
      <c r="AC110" s="856"/>
      <c r="AD110" s="856"/>
      <c r="AE110" s="227"/>
      <c r="AF110" s="856"/>
      <c r="AG110" s="856"/>
      <c r="AH110" s="227"/>
      <c r="AI110" s="856"/>
      <c r="AJ110" s="856"/>
      <c r="AK110" s="856"/>
      <c r="AL110" s="856"/>
      <c r="AM110" s="856"/>
      <c r="AN110" s="856"/>
      <c r="AO110" s="856"/>
      <c r="AP110" s="856"/>
      <c r="AQ110" s="856"/>
      <c r="AS110"/>
      <c r="AT110"/>
      <c r="AV110" s="5750" t="s">
        <v>2540</v>
      </c>
      <c r="AW110" s="5750"/>
      <c r="AY110"/>
      <c r="AZ110"/>
      <c r="BB110" s="5473" t="s">
        <v>2022</v>
      </c>
      <c r="BC110" s="5473"/>
      <c r="BE110"/>
      <c r="BF110"/>
      <c r="BH110"/>
      <c r="BI110"/>
      <c r="BK110" s="5748" t="s">
        <v>2541</v>
      </c>
      <c r="BL110" s="5748"/>
      <c r="BN110" s="5746" t="s">
        <v>2542</v>
      </c>
      <c r="BO110" s="5746"/>
      <c r="BQ110"/>
      <c r="BR110"/>
      <c r="BT110"/>
      <c r="BU110"/>
      <c r="BW110"/>
      <c r="BX110"/>
      <c r="BY110"/>
      <c r="BZ110"/>
      <c r="CA110"/>
      <c r="CB110"/>
      <c r="CC110"/>
      <c r="CD110"/>
      <c r="CE110"/>
      <c r="CG110" s="5750" t="s">
        <v>2543</v>
      </c>
      <c r="CH110" s="5750"/>
      <c r="CJ110"/>
      <c r="CK110"/>
      <c r="CM110" s="5473" t="s">
        <v>2034</v>
      </c>
      <c r="CN110" s="5473"/>
      <c r="CP110"/>
      <c r="CQ110"/>
      <c r="CS110"/>
      <c r="CT110"/>
      <c r="CV110" s="5748" t="s">
        <v>2544</v>
      </c>
      <c r="CW110" s="5748"/>
      <c r="CY110" s="5746" t="s">
        <v>2545</v>
      </c>
      <c r="CZ110" s="5746"/>
      <c r="DB110"/>
      <c r="DC110"/>
      <c r="DE110"/>
      <c r="DF110"/>
      <c r="DH110"/>
      <c r="DI110"/>
      <c r="DK110"/>
      <c r="DL110"/>
      <c r="DM110" s="3">
        <v>1</v>
      </c>
    </row>
    <row r="111" spans="2:117" s="709" customFormat="1" ht="18" customHeight="1">
      <c r="B111" s="856"/>
      <c r="C111" s="856"/>
      <c r="D111" s="856"/>
      <c r="E111" s="5751"/>
      <c r="F111" s="5751"/>
      <c r="G111" s="856"/>
      <c r="H111" s="5753"/>
      <c r="I111" s="5753"/>
      <c r="J111" s="856"/>
      <c r="K111" s="5474"/>
      <c r="L111" s="5474"/>
      <c r="M111" s="856"/>
      <c r="N111" s="856"/>
      <c r="O111" s="856"/>
      <c r="P111" s="856"/>
      <c r="Q111" s="856"/>
      <c r="R111" s="856"/>
      <c r="S111" s="856"/>
      <c r="T111" s="5749"/>
      <c r="U111" s="5749"/>
      <c r="V111" s="856"/>
      <c r="W111" s="5747"/>
      <c r="X111" s="5747"/>
      <c r="Y111" s="856"/>
      <c r="Z111" s="856"/>
      <c r="AA111" s="856"/>
      <c r="AB111" s="227"/>
      <c r="AC111" s="856"/>
      <c r="AD111" s="856"/>
      <c r="AE111" s="227"/>
      <c r="AF111" s="856"/>
      <c r="AG111" s="856"/>
      <c r="AH111" s="227"/>
      <c r="AI111" s="856"/>
      <c r="AJ111" s="856"/>
      <c r="AK111" s="856"/>
      <c r="AL111" s="856"/>
      <c r="AM111" s="856"/>
      <c r="AN111" s="856"/>
      <c r="AO111" s="856"/>
      <c r="AP111" s="856"/>
      <c r="AQ111" s="856"/>
      <c r="AS111"/>
      <c r="AT111"/>
      <c r="AV111" s="5751" t="s">
        <v>116</v>
      </c>
      <c r="AW111" s="5751"/>
      <c r="AY111"/>
      <c r="AZ111"/>
      <c r="BB111" s="5474" t="s">
        <v>116</v>
      </c>
      <c r="BC111" s="5474"/>
      <c r="BE111"/>
      <c r="BF111"/>
      <c r="BH111"/>
      <c r="BI111"/>
      <c r="BK111" s="5749" t="s">
        <v>116</v>
      </c>
      <c r="BL111" s="5749"/>
      <c r="BN111" s="5747" t="s">
        <v>116</v>
      </c>
      <c r="BO111" s="5747"/>
      <c r="BQ111"/>
      <c r="BR111"/>
      <c r="BT111"/>
      <c r="BU111"/>
      <c r="BW111"/>
      <c r="BX111"/>
      <c r="BY111"/>
      <c r="BZ111"/>
      <c r="CA111"/>
      <c r="CB111"/>
      <c r="CC111"/>
      <c r="CD111"/>
      <c r="CE111"/>
      <c r="CG111" s="5751" t="s">
        <v>116</v>
      </c>
      <c r="CH111" s="5751"/>
      <c r="CJ111"/>
      <c r="CK111"/>
      <c r="CM111" s="5474" t="s">
        <v>116</v>
      </c>
      <c r="CN111" s="5474"/>
      <c r="CP111"/>
      <c r="CQ111"/>
      <c r="CS111"/>
      <c r="CT111"/>
      <c r="CV111" s="5749" t="s">
        <v>116</v>
      </c>
      <c r="CW111" s="5749"/>
      <c r="CY111" s="5747" t="s">
        <v>116</v>
      </c>
      <c r="CZ111" s="5747"/>
      <c r="DB111"/>
      <c r="DC111"/>
      <c r="DE111"/>
      <c r="DF111"/>
      <c r="DH111"/>
      <c r="DI111"/>
      <c r="DK111"/>
      <c r="DL111"/>
      <c r="DM111" s="3">
        <v>1</v>
      </c>
    </row>
    <row r="112" spans="2:117" s="709" customFormat="1" ht="18" customHeight="1" thickBot="1">
      <c r="B112" s="856"/>
      <c r="C112" s="856"/>
      <c r="D112" s="856"/>
      <c r="E112" s="856"/>
      <c r="F112" s="856"/>
      <c r="G112" s="856"/>
      <c r="H112" s="856"/>
      <c r="I112" s="856"/>
      <c r="J112" s="856"/>
      <c r="K112" s="856"/>
      <c r="L112" s="856"/>
      <c r="M112" s="856"/>
      <c r="N112" s="856"/>
      <c r="O112" s="856"/>
      <c r="P112" s="856"/>
      <c r="Q112" s="856"/>
      <c r="R112" s="856"/>
      <c r="S112" s="856"/>
      <c r="T112" s="870">
        <v>1</v>
      </c>
      <c r="U112" s="870">
        <v>1</v>
      </c>
      <c r="V112" s="856"/>
      <c r="W112" s="870">
        <v>1</v>
      </c>
      <c r="X112" s="870">
        <v>1</v>
      </c>
      <c r="Y112" s="856"/>
      <c r="Z112" s="856"/>
      <c r="AA112" s="856"/>
      <c r="AB112" s="227"/>
      <c r="AC112" s="856"/>
      <c r="AD112" s="856"/>
      <c r="AE112" s="227"/>
      <c r="AF112" s="856"/>
      <c r="AG112" s="856"/>
      <c r="AH112" s="227"/>
      <c r="AI112" s="856"/>
      <c r="AJ112" s="856"/>
      <c r="AK112" s="856"/>
      <c r="AL112" s="856"/>
      <c r="AM112" s="856"/>
      <c r="AN112" s="856"/>
      <c r="AO112" s="856"/>
      <c r="AP112" s="856"/>
      <c r="AQ112" s="856"/>
      <c r="AS112"/>
      <c r="AT112"/>
      <c r="AV112" s="856" t="s">
        <v>116</v>
      </c>
      <c r="AW112" s="856"/>
      <c r="AY112"/>
      <c r="AZ112"/>
      <c r="BB112" t="s">
        <v>116</v>
      </c>
      <c r="BC112"/>
      <c r="BE112"/>
      <c r="BF112"/>
      <c r="BH112"/>
      <c r="BI112"/>
      <c r="BK112" s="870" t="s">
        <v>116</v>
      </c>
      <c r="BL112" s="870"/>
      <c r="BN112" s="870" t="s">
        <v>116</v>
      </c>
      <c r="BO112" s="870"/>
      <c r="BQ112"/>
      <c r="BR112"/>
      <c r="BT112"/>
      <c r="BU112"/>
      <c r="BW112"/>
      <c r="BX112"/>
      <c r="BY112"/>
      <c r="BZ112"/>
      <c r="CA112"/>
      <c r="CB112"/>
      <c r="CC112"/>
      <c r="CD112"/>
      <c r="CE112"/>
      <c r="CG112" s="856" t="s">
        <v>116</v>
      </c>
      <c r="CH112" s="856"/>
      <c r="CJ112"/>
      <c r="CK112"/>
      <c r="CM112"/>
      <c r="CN112"/>
      <c r="CP112"/>
      <c r="CQ112"/>
      <c r="CS112"/>
      <c r="CT112"/>
      <c r="CV112" s="870" t="s">
        <v>116</v>
      </c>
      <c r="CW112" s="870"/>
      <c r="CY112" s="870" t="s">
        <v>116</v>
      </c>
      <c r="CZ112" s="870"/>
      <c r="DB112"/>
      <c r="DC112"/>
      <c r="DE112"/>
      <c r="DF112"/>
      <c r="DH112"/>
      <c r="DI112"/>
      <c r="DK112"/>
      <c r="DL112"/>
      <c r="DM112" s="3">
        <v>1</v>
      </c>
    </row>
    <row r="113" spans="2:117" s="709" customFormat="1" ht="18" customHeight="1">
      <c r="B113" s="856"/>
      <c r="C113" s="856"/>
      <c r="D113" s="856"/>
      <c r="E113" s="5750" t="s">
        <v>1298</v>
      </c>
      <c r="F113" s="5750"/>
      <c r="G113" s="856"/>
      <c r="H113" s="856"/>
      <c r="I113" s="856"/>
      <c r="J113" s="856"/>
      <c r="K113" s="5473"/>
      <c r="L113" s="5473"/>
      <c r="M113" s="856"/>
      <c r="N113" s="856"/>
      <c r="O113" s="856"/>
      <c r="P113" s="856"/>
      <c r="Q113" s="856"/>
      <c r="R113" s="856"/>
      <c r="S113" s="856"/>
      <c r="T113" s="5748" t="s">
        <v>1299</v>
      </c>
      <c r="U113" s="5748"/>
      <c r="V113" s="856"/>
      <c r="W113" s="5746" t="s">
        <v>1300</v>
      </c>
      <c r="X113" s="5746"/>
      <c r="Y113" s="856"/>
      <c r="Z113" s="856"/>
      <c r="AA113" s="856"/>
      <c r="AB113" s="227"/>
      <c r="AC113" s="856"/>
      <c r="AD113" s="856"/>
      <c r="AE113" s="227"/>
      <c r="AF113" s="856"/>
      <c r="AG113" s="856"/>
      <c r="AH113" s="227"/>
      <c r="AI113" s="856"/>
      <c r="AJ113" s="856"/>
      <c r="AK113" s="856"/>
      <c r="AL113" s="856"/>
      <c r="AM113" s="856"/>
      <c r="AN113" s="856"/>
      <c r="AO113" s="856"/>
      <c r="AP113" s="856"/>
      <c r="AQ113" s="856"/>
      <c r="AS113"/>
      <c r="AT113"/>
      <c r="AV113" s="5750" t="s">
        <v>2456</v>
      </c>
      <c r="AW113" s="5750"/>
      <c r="AY113"/>
      <c r="AZ113"/>
      <c r="BB113" s="5473"/>
      <c r="BC113" s="5473"/>
      <c r="BE113"/>
      <c r="BF113"/>
      <c r="BH113"/>
      <c r="BI113"/>
      <c r="BK113" s="5748" t="s">
        <v>2546</v>
      </c>
      <c r="BL113" s="5748"/>
      <c r="BN113" s="5746" t="s">
        <v>2547</v>
      </c>
      <c r="BO113" s="5746"/>
      <c r="BQ113"/>
      <c r="BR113"/>
      <c r="BT113"/>
      <c r="BU113"/>
      <c r="BW113"/>
      <c r="BX113"/>
      <c r="BY113"/>
      <c r="BZ113"/>
      <c r="CA113"/>
      <c r="CB113"/>
      <c r="CC113"/>
      <c r="CD113"/>
      <c r="CE113"/>
      <c r="CG113" s="5750" t="s">
        <v>2463</v>
      </c>
      <c r="CH113" s="5750"/>
      <c r="CJ113"/>
      <c r="CK113"/>
      <c r="CM113" s="5473"/>
      <c r="CN113" s="5473"/>
      <c r="CP113"/>
      <c r="CQ113"/>
      <c r="CS113"/>
      <c r="CT113"/>
      <c r="CV113" s="5748" t="s">
        <v>2548</v>
      </c>
      <c r="CW113" s="5748"/>
      <c r="CY113" s="5746" t="s">
        <v>2549</v>
      </c>
      <c r="CZ113" s="5746"/>
      <c r="DB113"/>
      <c r="DC113"/>
      <c r="DE113"/>
      <c r="DF113"/>
      <c r="DH113"/>
      <c r="DI113"/>
      <c r="DK113"/>
      <c r="DL113"/>
      <c r="DM113" s="3">
        <v>1</v>
      </c>
    </row>
    <row r="114" spans="2:117" s="709" customFormat="1" ht="18" customHeight="1">
      <c r="B114" s="856"/>
      <c r="C114" s="856"/>
      <c r="D114" s="856"/>
      <c r="E114" s="5751"/>
      <c r="F114" s="5751"/>
      <c r="G114" s="856"/>
      <c r="H114" s="856"/>
      <c r="I114" s="856"/>
      <c r="J114" s="856"/>
      <c r="K114" s="5474"/>
      <c r="L114" s="5474"/>
      <c r="M114" s="856"/>
      <c r="N114" s="856"/>
      <c r="O114" s="856"/>
      <c r="P114" s="856"/>
      <c r="Q114" s="856"/>
      <c r="R114" s="856"/>
      <c r="S114" s="856"/>
      <c r="T114" s="5749"/>
      <c r="U114" s="5749"/>
      <c r="V114" s="856"/>
      <c r="W114" s="5747"/>
      <c r="X114" s="5747"/>
      <c r="Y114" s="856"/>
      <c r="Z114" s="856"/>
      <c r="AA114" s="856"/>
      <c r="AB114" s="227"/>
      <c r="AC114" s="856"/>
      <c r="AD114" s="856"/>
      <c r="AE114" s="227"/>
      <c r="AF114" s="856"/>
      <c r="AG114" s="856"/>
      <c r="AH114" s="227"/>
      <c r="AI114" s="856"/>
      <c r="AJ114" s="856"/>
      <c r="AK114" s="856"/>
      <c r="AL114" s="856"/>
      <c r="AM114" s="856"/>
      <c r="AN114" s="856"/>
      <c r="AO114" s="856"/>
      <c r="AP114" s="856"/>
      <c r="AQ114" s="856"/>
      <c r="AS114"/>
      <c r="AT114"/>
      <c r="AV114" s="5751" t="s">
        <v>116</v>
      </c>
      <c r="AW114" s="5751"/>
      <c r="AY114"/>
      <c r="AZ114"/>
      <c r="BB114" s="5474"/>
      <c r="BC114" s="5474"/>
      <c r="BE114"/>
      <c r="BF114"/>
      <c r="BH114"/>
      <c r="BI114"/>
      <c r="BK114" s="5749" t="s">
        <v>116</v>
      </c>
      <c r="BL114" s="5749"/>
      <c r="BN114" s="5747" t="s">
        <v>116</v>
      </c>
      <c r="BO114" s="5747"/>
      <c r="BQ114"/>
      <c r="BR114"/>
      <c r="BT114"/>
      <c r="BU114"/>
      <c r="BW114"/>
      <c r="BX114"/>
      <c r="BY114"/>
      <c r="BZ114"/>
      <c r="CA114"/>
      <c r="CB114"/>
      <c r="CC114"/>
      <c r="CD114"/>
      <c r="CE114"/>
      <c r="CG114" s="5751" t="s">
        <v>116</v>
      </c>
      <c r="CH114" s="5751"/>
      <c r="CJ114"/>
      <c r="CK114"/>
      <c r="CM114" s="5474"/>
      <c r="CN114" s="5474"/>
      <c r="CP114"/>
      <c r="CQ114"/>
      <c r="CS114"/>
      <c r="CT114"/>
      <c r="CV114" s="5749" t="s">
        <v>116</v>
      </c>
      <c r="CW114" s="5749"/>
      <c r="CY114" s="5747" t="s">
        <v>116</v>
      </c>
      <c r="CZ114" s="5747"/>
      <c r="DB114"/>
      <c r="DC114"/>
      <c r="DE114"/>
      <c r="DF114"/>
      <c r="DH114"/>
      <c r="DI114"/>
      <c r="DK114"/>
      <c r="DL114"/>
      <c r="DM114" s="3">
        <v>1</v>
      </c>
    </row>
    <row r="115" spans="2:117" s="709" customFormat="1" ht="18" customHeight="1" thickBot="1">
      <c r="B115" s="856"/>
      <c r="C115" s="856"/>
      <c r="D115" s="856"/>
      <c r="E115" s="856"/>
      <c r="F115" s="856"/>
      <c r="G115" s="856"/>
      <c r="H115" s="856"/>
      <c r="I115" s="856"/>
      <c r="J115" s="856"/>
      <c r="K115" s="856"/>
      <c r="L115" s="856"/>
      <c r="M115" s="856"/>
      <c r="N115" s="856"/>
      <c r="O115" s="856"/>
      <c r="P115" s="856"/>
      <c r="Q115" s="856"/>
      <c r="R115" s="856"/>
      <c r="S115" s="856"/>
      <c r="T115" s="870">
        <v>1</v>
      </c>
      <c r="U115" s="870">
        <v>1</v>
      </c>
      <c r="V115" s="856"/>
      <c r="W115" s="870">
        <v>1</v>
      </c>
      <c r="X115" s="870">
        <v>1</v>
      </c>
      <c r="Y115" s="856"/>
      <c r="Z115" s="856"/>
      <c r="AA115" s="856"/>
      <c r="AB115" s="227"/>
      <c r="AC115" s="856"/>
      <c r="AD115" s="856"/>
      <c r="AE115" s="227"/>
      <c r="AF115" s="856"/>
      <c r="AG115" s="856"/>
      <c r="AH115" s="227"/>
      <c r="AI115" s="856"/>
      <c r="AJ115" s="856"/>
      <c r="AK115" s="856"/>
      <c r="AL115" s="856"/>
      <c r="AM115" s="856"/>
      <c r="AN115" s="856"/>
      <c r="AO115" s="856"/>
      <c r="AP115" s="856"/>
      <c r="AQ115" s="856"/>
      <c r="AS115"/>
      <c r="AT115"/>
      <c r="AV115" s="856" t="s">
        <v>116</v>
      </c>
      <c r="AW115" s="856"/>
      <c r="AY115"/>
      <c r="AZ115"/>
      <c r="BB115" s="856"/>
      <c r="BC115" s="856"/>
      <c r="BE115"/>
      <c r="BF115"/>
      <c r="BH115"/>
      <c r="BI115"/>
      <c r="BK115" s="870" t="s">
        <v>116</v>
      </c>
      <c r="BL115" s="870"/>
      <c r="BN115" s="870" t="s">
        <v>116</v>
      </c>
      <c r="BO115" s="870"/>
      <c r="BQ115"/>
      <c r="BR115"/>
      <c r="BT115"/>
      <c r="BU115"/>
      <c r="BW115"/>
      <c r="BX115"/>
      <c r="BY115"/>
      <c r="BZ115"/>
      <c r="CA115"/>
      <c r="CB115"/>
      <c r="CC115"/>
      <c r="CD115"/>
      <c r="CE115"/>
      <c r="CG115" s="856" t="s">
        <v>116</v>
      </c>
      <c r="CH115" s="856"/>
      <c r="CJ115"/>
      <c r="CK115"/>
      <c r="CM115"/>
      <c r="CN115"/>
      <c r="CP115"/>
      <c r="CQ115"/>
      <c r="CS115"/>
      <c r="CT115"/>
      <c r="CV115" s="870" t="s">
        <v>116</v>
      </c>
      <c r="CW115" s="870"/>
      <c r="CY115" s="870" t="s">
        <v>116</v>
      </c>
      <c r="CZ115" s="870"/>
      <c r="DB115"/>
      <c r="DC115"/>
      <c r="DE115"/>
      <c r="DF115"/>
      <c r="DH115"/>
      <c r="DI115"/>
      <c r="DK115"/>
      <c r="DL115"/>
      <c r="DM115" s="3">
        <v>1</v>
      </c>
    </row>
    <row r="116" spans="2:117" s="709" customFormat="1" ht="18" customHeight="1">
      <c r="B116" s="856"/>
      <c r="C116" s="856"/>
      <c r="D116" s="856"/>
      <c r="E116" s="5750" t="s">
        <v>1301</v>
      </c>
      <c r="F116" s="5750"/>
      <c r="G116" s="856"/>
      <c r="H116" s="856"/>
      <c r="I116" s="856"/>
      <c r="J116" s="856"/>
      <c r="K116" s="856"/>
      <c r="L116" s="856"/>
      <c r="M116" s="856"/>
      <c r="N116" s="856"/>
      <c r="O116" s="856"/>
      <c r="P116" s="856"/>
      <c r="Q116" s="856"/>
      <c r="R116" s="856"/>
      <c r="S116" s="856"/>
      <c r="T116" s="5748" t="s">
        <v>1302</v>
      </c>
      <c r="U116" s="5748"/>
      <c r="V116" s="856"/>
      <c r="W116" s="5746" t="s">
        <v>1303</v>
      </c>
      <c r="X116" s="5746"/>
      <c r="Y116" s="856"/>
      <c r="Z116" s="856"/>
      <c r="AA116" s="856"/>
      <c r="AB116" s="227"/>
      <c r="AC116" s="856"/>
      <c r="AD116" s="856"/>
      <c r="AE116" s="227"/>
      <c r="AF116" s="856"/>
      <c r="AG116" s="856"/>
      <c r="AH116" s="227"/>
      <c r="AI116" s="856"/>
      <c r="AJ116" s="856"/>
      <c r="AK116" s="856"/>
      <c r="AL116" s="856"/>
      <c r="AM116" s="856"/>
      <c r="AN116" s="856"/>
      <c r="AO116" s="856"/>
      <c r="AP116" s="856"/>
      <c r="AQ116" s="856"/>
      <c r="AS116"/>
      <c r="AT116"/>
      <c r="AV116" s="5750" t="s">
        <v>2550</v>
      </c>
      <c r="AW116" s="5750"/>
      <c r="AY116"/>
      <c r="AZ116"/>
      <c r="BB116"/>
      <c r="BC116"/>
      <c r="BE116"/>
      <c r="BF116"/>
      <c r="BH116"/>
      <c r="BI116"/>
      <c r="BK116" s="5748" t="s">
        <v>2551</v>
      </c>
      <c r="BL116" s="5748"/>
      <c r="BN116" s="5746" t="s">
        <v>2552</v>
      </c>
      <c r="BO116" s="5746"/>
      <c r="BQ116"/>
      <c r="BR116"/>
      <c r="BT116"/>
      <c r="BU116"/>
      <c r="BW116"/>
      <c r="BX116"/>
      <c r="BY116"/>
      <c r="BZ116"/>
      <c r="CA116"/>
      <c r="CB116"/>
      <c r="CC116"/>
      <c r="CD116"/>
      <c r="CE116"/>
      <c r="CG116" s="5750" t="s">
        <v>2553</v>
      </c>
      <c r="CH116" s="5750"/>
      <c r="CJ116"/>
      <c r="CK116"/>
      <c r="CM116"/>
      <c r="CN116"/>
      <c r="CP116"/>
      <c r="CQ116"/>
      <c r="CS116"/>
      <c r="CT116"/>
      <c r="CV116" s="5748" t="s">
        <v>2554</v>
      </c>
      <c r="CW116" s="5748"/>
      <c r="CY116" s="5746" t="s">
        <v>2555</v>
      </c>
      <c r="CZ116" s="5746"/>
      <c r="DB116"/>
      <c r="DC116"/>
      <c r="DE116"/>
      <c r="DF116"/>
      <c r="DH116"/>
      <c r="DI116"/>
      <c r="DK116"/>
      <c r="DL116"/>
      <c r="DM116" s="3">
        <v>1</v>
      </c>
    </row>
    <row r="117" spans="2:117" s="709" customFormat="1" ht="18" customHeight="1">
      <c r="B117" s="856"/>
      <c r="C117" s="856"/>
      <c r="D117" s="856"/>
      <c r="E117" s="5751"/>
      <c r="F117" s="5751"/>
      <c r="G117" s="856"/>
      <c r="H117" s="856"/>
      <c r="I117" s="856"/>
      <c r="J117" s="856"/>
      <c r="K117" s="856"/>
      <c r="L117" s="856"/>
      <c r="M117" s="856"/>
      <c r="N117" s="856"/>
      <c r="O117" s="856"/>
      <c r="P117" s="856"/>
      <c r="Q117" s="856"/>
      <c r="R117" s="856"/>
      <c r="S117" s="856"/>
      <c r="T117" s="5749"/>
      <c r="U117" s="5749"/>
      <c r="V117" s="856"/>
      <c r="W117" s="5747"/>
      <c r="X117" s="5747"/>
      <c r="Y117" s="856"/>
      <c r="Z117" s="856"/>
      <c r="AA117" s="856"/>
      <c r="AB117" s="227"/>
      <c r="AC117" s="856"/>
      <c r="AD117" s="856"/>
      <c r="AE117" s="227"/>
      <c r="AF117" s="856"/>
      <c r="AG117" s="856"/>
      <c r="AH117" s="227"/>
      <c r="AI117" s="856"/>
      <c r="AJ117" s="856"/>
      <c r="AK117" s="856"/>
      <c r="AL117" s="856"/>
      <c r="AM117" s="856"/>
      <c r="AN117" s="856"/>
      <c r="AO117" s="856"/>
      <c r="AP117" s="856"/>
      <c r="AQ117" s="856"/>
      <c r="AS117"/>
      <c r="AT117"/>
      <c r="AV117" s="5751" t="s">
        <v>116</v>
      </c>
      <c r="AW117" s="5751"/>
      <c r="AY117"/>
      <c r="AZ117"/>
      <c r="BB117"/>
      <c r="BC117"/>
      <c r="BE117"/>
      <c r="BF117"/>
      <c r="BH117"/>
      <c r="BI117"/>
      <c r="BK117" s="5749" t="s">
        <v>116</v>
      </c>
      <c r="BL117" s="5749"/>
      <c r="BN117" s="5747" t="s">
        <v>116</v>
      </c>
      <c r="BO117" s="5747"/>
      <c r="BQ117"/>
      <c r="BR117"/>
      <c r="BT117"/>
      <c r="BU117"/>
      <c r="BW117"/>
      <c r="BX117"/>
      <c r="BY117"/>
      <c r="BZ117"/>
      <c r="CA117"/>
      <c r="CB117"/>
      <c r="CC117"/>
      <c r="CD117"/>
      <c r="CE117"/>
      <c r="CG117" s="5751" t="s">
        <v>116</v>
      </c>
      <c r="CH117" s="5751"/>
      <c r="CJ117"/>
      <c r="CK117"/>
      <c r="CM117"/>
      <c r="CN117"/>
      <c r="CP117"/>
      <c r="CQ117"/>
      <c r="CS117"/>
      <c r="CT117"/>
      <c r="CV117" s="5749" t="s">
        <v>116</v>
      </c>
      <c r="CW117" s="5749"/>
      <c r="CY117" s="5747" t="s">
        <v>116</v>
      </c>
      <c r="CZ117" s="5747"/>
      <c r="DB117"/>
      <c r="DC117"/>
      <c r="DE117"/>
      <c r="DF117"/>
      <c r="DH117"/>
      <c r="DI117"/>
      <c r="DK117"/>
      <c r="DL117"/>
      <c r="DM117" s="3">
        <v>1</v>
      </c>
    </row>
    <row r="118" spans="2:117" s="709" customFormat="1" ht="18" customHeight="1" thickBot="1">
      <c r="B118" s="856"/>
      <c r="C118" s="856"/>
      <c r="D118" s="856"/>
      <c r="E118" s="856"/>
      <c r="F118" s="856"/>
      <c r="G118" s="856"/>
      <c r="H118" s="856"/>
      <c r="I118" s="856"/>
      <c r="J118" s="856"/>
      <c r="K118" s="856"/>
      <c r="L118" s="856"/>
      <c r="M118" s="856"/>
      <c r="N118" s="856"/>
      <c r="O118" s="856"/>
      <c r="P118" s="856"/>
      <c r="Q118" s="856"/>
      <c r="R118" s="856"/>
      <c r="S118" s="856"/>
      <c r="T118" s="870">
        <v>1</v>
      </c>
      <c r="U118" s="870">
        <v>1</v>
      </c>
      <c r="V118" s="856"/>
      <c r="W118" s="870">
        <v>1</v>
      </c>
      <c r="X118" s="870">
        <v>1</v>
      </c>
      <c r="Y118" s="856"/>
      <c r="Z118" s="856"/>
      <c r="AA118" s="856"/>
      <c r="AB118" s="227"/>
      <c r="AC118" s="856"/>
      <c r="AD118" s="856"/>
      <c r="AE118" s="227"/>
      <c r="AF118" s="856"/>
      <c r="AG118" s="856"/>
      <c r="AH118" s="227"/>
      <c r="AI118" s="856"/>
      <c r="AJ118" s="856"/>
      <c r="AK118" s="856"/>
      <c r="AL118" s="856"/>
      <c r="AM118" s="856"/>
      <c r="AN118" s="856"/>
      <c r="AO118" s="856"/>
      <c r="AP118" s="856"/>
      <c r="AQ118" s="856"/>
      <c r="AS118"/>
      <c r="AT118"/>
      <c r="AV118" s="856" t="s">
        <v>116</v>
      </c>
      <c r="AW118" s="856"/>
      <c r="AY118"/>
      <c r="AZ118"/>
      <c r="BB118"/>
      <c r="BC118"/>
      <c r="BE118"/>
      <c r="BF118"/>
      <c r="BH118"/>
      <c r="BI118"/>
      <c r="BK118" s="870" t="s">
        <v>116</v>
      </c>
      <c r="BL118" s="870"/>
      <c r="BN118" s="870" t="s">
        <v>116</v>
      </c>
      <c r="BO118" s="870"/>
      <c r="BQ118"/>
      <c r="BR118"/>
      <c r="BT118"/>
      <c r="BU118"/>
      <c r="BW118"/>
      <c r="BX118"/>
      <c r="BY118"/>
      <c r="BZ118"/>
      <c r="CA118"/>
      <c r="CB118"/>
      <c r="CC118"/>
      <c r="CD118"/>
      <c r="CE118"/>
      <c r="CG118" t="s">
        <v>116</v>
      </c>
      <c r="CH118"/>
      <c r="CJ118"/>
      <c r="CK118"/>
      <c r="CM118"/>
      <c r="CN118"/>
      <c r="CP118"/>
      <c r="CQ118"/>
      <c r="CS118"/>
      <c r="CT118"/>
      <c r="CV118" s="870" t="s">
        <v>116</v>
      </c>
      <c r="CW118" s="870"/>
      <c r="CY118" s="870" t="s">
        <v>116</v>
      </c>
      <c r="CZ118" s="870"/>
      <c r="DB118"/>
      <c r="DC118"/>
      <c r="DE118"/>
      <c r="DF118"/>
      <c r="DH118"/>
      <c r="DI118"/>
      <c r="DK118"/>
      <c r="DL118"/>
      <c r="DM118" s="3">
        <v>1</v>
      </c>
    </row>
    <row r="119" spans="2:117" s="709" customFormat="1" ht="18" customHeight="1">
      <c r="B119" s="856"/>
      <c r="C119" s="856"/>
      <c r="D119" s="856"/>
      <c r="E119" s="5750" t="s">
        <v>1304</v>
      </c>
      <c r="F119" s="5750"/>
      <c r="G119" s="856"/>
      <c r="H119" s="856"/>
      <c r="I119" s="856"/>
      <c r="J119" s="856"/>
      <c r="K119" s="856"/>
      <c r="L119" s="856"/>
      <c r="M119" s="856"/>
      <c r="N119" s="856"/>
      <c r="O119" s="856"/>
      <c r="P119" s="856"/>
      <c r="Q119" s="856"/>
      <c r="R119" s="856"/>
      <c r="S119" s="856"/>
      <c r="T119" s="5748" t="s">
        <v>1305</v>
      </c>
      <c r="U119" s="5748"/>
      <c r="V119" s="856"/>
      <c r="W119" s="5746" t="s">
        <v>1306</v>
      </c>
      <c r="X119" s="5746"/>
      <c r="Y119" s="856"/>
      <c r="Z119" s="856"/>
      <c r="AA119" s="856"/>
      <c r="AB119" s="227"/>
      <c r="AC119" s="856"/>
      <c r="AD119" s="856"/>
      <c r="AE119" s="227"/>
      <c r="AF119" s="856"/>
      <c r="AG119" s="856"/>
      <c r="AH119" s="227"/>
      <c r="AI119" s="856"/>
      <c r="AJ119" s="856"/>
      <c r="AK119" s="856"/>
      <c r="AL119" s="856"/>
      <c r="AM119" s="856"/>
      <c r="AN119" s="856"/>
      <c r="AO119" s="856"/>
      <c r="AP119" s="856"/>
      <c r="AQ119" s="856"/>
      <c r="AS119"/>
      <c r="AT119"/>
      <c r="AV119" s="5750" t="s">
        <v>2556</v>
      </c>
      <c r="AW119" s="5750"/>
      <c r="AY119"/>
      <c r="AZ119"/>
      <c r="BB119"/>
      <c r="BC119"/>
      <c r="BE119"/>
      <c r="BF119"/>
      <c r="BH119"/>
      <c r="BI119"/>
      <c r="BK119" s="5748" t="s">
        <v>2557</v>
      </c>
      <c r="BL119" s="5748"/>
      <c r="BN119" s="5746" t="s">
        <v>2558</v>
      </c>
      <c r="BO119" s="5746"/>
      <c r="BQ119"/>
      <c r="BR119"/>
      <c r="BT119"/>
      <c r="BU119"/>
      <c r="BW119"/>
      <c r="BX119"/>
      <c r="BY119"/>
      <c r="BZ119"/>
      <c r="CA119"/>
      <c r="CB119"/>
      <c r="CC119"/>
      <c r="CD119"/>
      <c r="CE119"/>
      <c r="CG119" s="5750" t="s">
        <v>2559</v>
      </c>
      <c r="CH119" s="5750"/>
      <c r="CJ119"/>
      <c r="CK119"/>
      <c r="CM119"/>
      <c r="CN119"/>
      <c r="CP119"/>
      <c r="CQ119"/>
      <c r="CS119"/>
      <c r="CT119"/>
      <c r="CV119" s="5748" t="s">
        <v>2560</v>
      </c>
      <c r="CW119" s="5748"/>
      <c r="CY119" s="5746" t="s">
        <v>2561</v>
      </c>
      <c r="CZ119" s="5746"/>
      <c r="DB119"/>
      <c r="DC119"/>
      <c r="DE119"/>
      <c r="DF119"/>
      <c r="DH119"/>
      <c r="DI119"/>
      <c r="DK119"/>
      <c r="DL119"/>
      <c r="DM119" s="3">
        <v>1</v>
      </c>
    </row>
    <row r="120" spans="2:117" s="709" customFormat="1" ht="18" customHeight="1">
      <c r="B120" s="856"/>
      <c r="C120" s="856"/>
      <c r="D120" s="856"/>
      <c r="E120" s="5751"/>
      <c r="F120" s="5751"/>
      <c r="G120" s="856"/>
      <c r="H120" s="856"/>
      <c r="I120" s="856"/>
      <c r="J120" s="856"/>
      <c r="K120" s="856"/>
      <c r="L120" s="856"/>
      <c r="M120" s="856"/>
      <c r="N120" s="856"/>
      <c r="O120" s="856"/>
      <c r="P120" s="856"/>
      <c r="Q120" s="856"/>
      <c r="R120" s="856"/>
      <c r="S120" s="856"/>
      <c r="T120" s="5749"/>
      <c r="U120" s="5749"/>
      <c r="V120" s="856"/>
      <c r="W120" s="5747"/>
      <c r="X120" s="5747"/>
      <c r="Y120" s="856"/>
      <c r="Z120" s="856"/>
      <c r="AA120" s="856"/>
      <c r="AB120" s="227"/>
      <c r="AC120" s="856"/>
      <c r="AD120" s="856"/>
      <c r="AE120" s="227"/>
      <c r="AF120" s="856"/>
      <c r="AG120" s="856"/>
      <c r="AH120" s="227"/>
      <c r="AI120" s="856"/>
      <c r="AJ120" s="856"/>
      <c r="AK120" s="856"/>
      <c r="AL120" s="856"/>
      <c r="AM120" s="856"/>
      <c r="AN120" s="856"/>
      <c r="AO120" s="856"/>
      <c r="AP120" s="856"/>
      <c r="AQ120" s="856"/>
      <c r="AS120"/>
      <c r="AT120"/>
      <c r="AV120" s="5751" t="s">
        <v>116</v>
      </c>
      <c r="AW120" s="5751"/>
      <c r="AY120"/>
      <c r="AZ120"/>
      <c r="BB120"/>
      <c r="BC120"/>
      <c r="BE120"/>
      <c r="BF120"/>
      <c r="BH120"/>
      <c r="BI120"/>
      <c r="BK120" s="5749" t="s">
        <v>116</v>
      </c>
      <c r="BL120" s="5749"/>
      <c r="BN120" s="5747" t="s">
        <v>116</v>
      </c>
      <c r="BO120" s="5747"/>
      <c r="BQ120"/>
      <c r="BR120"/>
      <c r="BT120"/>
      <c r="BU120"/>
      <c r="BW120"/>
      <c r="BX120"/>
      <c r="BY120"/>
      <c r="BZ120"/>
      <c r="CA120"/>
      <c r="CB120"/>
      <c r="CC120"/>
      <c r="CD120"/>
      <c r="CE120"/>
      <c r="CG120" s="5751" t="s">
        <v>116</v>
      </c>
      <c r="CH120" s="5751"/>
      <c r="CJ120"/>
      <c r="CK120"/>
      <c r="CM120"/>
      <c r="CN120"/>
      <c r="CP120"/>
      <c r="CQ120"/>
      <c r="CS120"/>
      <c r="CT120"/>
      <c r="CV120" s="5749" t="s">
        <v>116</v>
      </c>
      <c r="CW120" s="5749"/>
      <c r="CY120" s="5747" t="s">
        <v>116</v>
      </c>
      <c r="CZ120" s="5747"/>
      <c r="DB120"/>
      <c r="DC120"/>
      <c r="DE120"/>
      <c r="DF120"/>
      <c r="DH120"/>
      <c r="DI120"/>
      <c r="DK120"/>
      <c r="DL120"/>
      <c r="DM120" s="3">
        <v>1</v>
      </c>
    </row>
    <row r="121" spans="2:117" s="709" customFormat="1" ht="18" customHeight="1" thickBot="1">
      <c r="B121" s="856"/>
      <c r="C121" s="856"/>
      <c r="D121" s="856"/>
      <c r="E121" s="856"/>
      <c r="F121" s="856"/>
      <c r="G121" s="856"/>
      <c r="H121" s="856"/>
      <c r="I121" s="856"/>
      <c r="J121" s="856"/>
      <c r="K121" s="856"/>
      <c r="L121" s="856"/>
      <c r="M121" s="856"/>
      <c r="N121" s="856"/>
      <c r="O121" s="856"/>
      <c r="P121" s="856"/>
      <c r="Q121" s="856"/>
      <c r="R121" s="856"/>
      <c r="S121" s="856"/>
      <c r="T121" s="870">
        <v>1</v>
      </c>
      <c r="U121" s="870">
        <v>1</v>
      </c>
      <c r="V121" s="856"/>
      <c r="W121" s="870">
        <v>1</v>
      </c>
      <c r="X121" s="870">
        <v>1</v>
      </c>
      <c r="Y121" s="856"/>
      <c r="Z121" s="856"/>
      <c r="AA121" s="856"/>
      <c r="AB121" s="227"/>
      <c r="AC121" s="856"/>
      <c r="AD121" s="856"/>
      <c r="AE121" s="227"/>
      <c r="AF121" s="856"/>
      <c r="AG121" s="856"/>
      <c r="AH121" s="227"/>
      <c r="AI121" s="856"/>
      <c r="AJ121" s="856"/>
      <c r="AK121" s="856"/>
      <c r="AL121" s="856"/>
      <c r="AM121" s="856"/>
      <c r="AN121" s="856"/>
      <c r="AO121" s="856"/>
      <c r="AP121" s="856"/>
      <c r="AQ121" s="856"/>
      <c r="AS121"/>
      <c r="AT121"/>
      <c r="AV121" s="856" t="s">
        <v>116</v>
      </c>
      <c r="AW121" s="856"/>
      <c r="AY121"/>
      <c r="AZ121"/>
      <c r="BB121"/>
      <c r="BC121"/>
      <c r="BE121"/>
      <c r="BF121"/>
      <c r="BH121"/>
      <c r="BI121"/>
      <c r="BK121" s="870" t="s">
        <v>116</v>
      </c>
      <c r="BL121" s="870"/>
      <c r="BN121" s="870" t="s">
        <v>116</v>
      </c>
      <c r="BO121" s="870"/>
      <c r="BQ121"/>
      <c r="BR121"/>
      <c r="BT121"/>
      <c r="BU121"/>
      <c r="BW121"/>
      <c r="BX121"/>
      <c r="BY121"/>
      <c r="BZ121"/>
      <c r="CA121"/>
      <c r="CB121"/>
      <c r="CC121"/>
      <c r="CD121"/>
      <c r="CE121"/>
      <c r="CG121"/>
      <c r="CH121"/>
      <c r="CJ121"/>
      <c r="CK121"/>
      <c r="CM121"/>
      <c r="CN121"/>
      <c r="CP121"/>
      <c r="CQ121"/>
      <c r="CS121"/>
      <c r="CT121"/>
      <c r="CV121" s="870" t="s">
        <v>116</v>
      </c>
      <c r="CW121" s="870"/>
      <c r="CY121" s="870" t="s">
        <v>116</v>
      </c>
      <c r="CZ121" s="870"/>
      <c r="DB121"/>
      <c r="DC121"/>
      <c r="DE121"/>
      <c r="DF121"/>
      <c r="DH121"/>
      <c r="DI121"/>
      <c r="DK121"/>
      <c r="DL121"/>
      <c r="DM121" s="3">
        <v>1</v>
      </c>
    </row>
    <row r="122" spans="2:117" s="709" customFormat="1" ht="18" customHeight="1">
      <c r="B122" s="856"/>
      <c r="C122" s="856"/>
      <c r="D122" s="856"/>
      <c r="E122" s="5750" t="s">
        <v>1307</v>
      </c>
      <c r="F122" s="5750"/>
      <c r="G122" s="856"/>
      <c r="H122" s="856"/>
      <c r="I122" s="856"/>
      <c r="J122" s="856"/>
      <c r="K122" s="856"/>
      <c r="L122" s="856"/>
      <c r="M122" s="856"/>
      <c r="N122" s="856"/>
      <c r="O122" s="856"/>
      <c r="P122" s="856"/>
      <c r="Q122" s="856"/>
      <c r="R122" s="856"/>
      <c r="S122" s="856"/>
      <c r="T122" s="5748" t="s">
        <v>1308</v>
      </c>
      <c r="U122" s="5748"/>
      <c r="V122" s="856"/>
      <c r="W122" s="5746" t="s">
        <v>1309</v>
      </c>
      <c r="X122" s="5746"/>
      <c r="Y122" s="856"/>
      <c r="Z122" s="856"/>
      <c r="AA122" s="856"/>
      <c r="AB122" s="227"/>
      <c r="AC122" s="856"/>
      <c r="AD122" s="856"/>
      <c r="AE122" s="227"/>
      <c r="AF122" s="856"/>
      <c r="AG122" s="856"/>
      <c r="AH122" s="227"/>
      <c r="AI122" s="856"/>
      <c r="AJ122" s="856"/>
      <c r="AK122" s="856"/>
      <c r="AL122" s="856"/>
      <c r="AM122" s="856"/>
      <c r="AN122" s="856"/>
      <c r="AO122" s="856"/>
      <c r="AP122" s="856"/>
      <c r="AQ122" s="856"/>
      <c r="AS122"/>
      <c r="AT122"/>
      <c r="AV122" s="5750"/>
      <c r="AW122" s="5750"/>
      <c r="AY122"/>
      <c r="AZ122"/>
      <c r="BB122"/>
      <c r="BC122"/>
      <c r="BE122"/>
      <c r="BF122"/>
      <c r="BH122"/>
      <c r="BI122"/>
      <c r="BK122" s="5748" t="s">
        <v>2562</v>
      </c>
      <c r="BL122" s="5748"/>
      <c r="BN122" s="5746" t="s">
        <v>2563</v>
      </c>
      <c r="BO122" s="5746"/>
      <c r="BQ122"/>
      <c r="BR122"/>
      <c r="BT122"/>
      <c r="BU122"/>
      <c r="BW122"/>
      <c r="BX122"/>
      <c r="BY122"/>
      <c r="BZ122"/>
      <c r="CA122"/>
      <c r="CB122"/>
      <c r="CC122"/>
      <c r="CD122"/>
      <c r="CE122"/>
      <c r="CG122" s="5750"/>
      <c r="CH122" s="5750"/>
      <c r="CJ122"/>
      <c r="CK122"/>
      <c r="CM122"/>
      <c r="CN122"/>
      <c r="CP122"/>
      <c r="CQ122"/>
      <c r="CS122"/>
      <c r="CT122"/>
      <c r="CV122" s="5748" t="s">
        <v>2564</v>
      </c>
      <c r="CW122" s="5748"/>
      <c r="CY122" s="5746" t="s">
        <v>2565</v>
      </c>
      <c r="CZ122" s="5746"/>
      <c r="DB122"/>
      <c r="DC122"/>
      <c r="DE122"/>
      <c r="DF122"/>
      <c r="DH122"/>
      <c r="DI122"/>
      <c r="DK122"/>
      <c r="DL122"/>
      <c r="DM122" s="3">
        <v>1</v>
      </c>
    </row>
    <row r="123" spans="2:117" s="709" customFormat="1" ht="18" customHeight="1">
      <c r="B123" s="856"/>
      <c r="C123" s="856"/>
      <c r="D123" s="856"/>
      <c r="E123" s="5751"/>
      <c r="F123" s="5751"/>
      <c r="G123" s="856"/>
      <c r="H123" s="856"/>
      <c r="I123" s="856"/>
      <c r="J123" s="856"/>
      <c r="K123" s="856"/>
      <c r="L123" s="856"/>
      <c r="M123" s="856"/>
      <c r="N123" s="856"/>
      <c r="O123" s="856"/>
      <c r="P123" s="856"/>
      <c r="Q123" s="856"/>
      <c r="R123" s="856"/>
      <c r="S123" s="856"/>
      <c r="T123" s="5749"/>
      <c r="U123" s="5749"/>
      <c r="V123" s="856"/>
      <c r="W123" s="5747"/>
      <c r="X123" s="5747"/>
      <c r="Y123" s="856"/>
      <c r="Z123" s="856"/>
      <c r="AA123" s="856"/>
      <c r="AB123" s="227"/>
      <c r="AC123" s="856"/>
      <c r="AD123" s="856"/>
      <c r="AE123" s="227"/>
      <c r="AF123" s="856"/>
      <c r="AG123" s="856"/>
      <c r="AH123" s="227"/>
      <c r="AI123" s="856"/>
      <c r="AJ123" s="856"/>
      <c r="AK123" s="856"/>
      <c r="AL123" s="856"/>
      <c r="AM123" s="856"/>
      <c r="AN123" s="856"/>
      <c r="AO123" s="856"/>
      <c r="AP123" s="856"/>
      <c r="AQ123" s="856"/>
      <c r="AS123"/>
      <c r="AT123"/>
      <c r="AV123" s="5751"/>
      <c r="AW123" s="5751"/>
      <c r="AY123"/>
      <c r="AZ123"/>
      <c r="BB123"/>
      <c r="BC123"/>
      <c r="BE123"/>
      <c r="BF123"/>
      <c r="BH123"/>
      <c r="BI123"/>
      <c r="BK123" s="5749" t="s">
        <v>116</v>
      </c>
      <c r="BL123" s="5749"/>
      <c r="BN123" s="5747" t="s">
        <v>116</v>
      </c>
      <c r="BO123" s="5747"/>
      <c r="BQ123"/>
      <c r="BR123"/>
      <c r="BT123"/>
      <c r="BU123"/>
      <c r="BW123"/>
      <c r="BX123"/>
      <c r="BY123"/>
      <c r="BZ123"/>
      <c r="CA123"/>
      <c r="CB123"/>
      <c r="CC123"/>
      <c r="CD123"/>
      <c r="CE123"/>
      <c r="CG123" s="5751"/>
      <c r="CH123" s="5751"/>
      <c r="CJ123"/>
      <c r="CK123"/>
      <c r="CM123"/>
      <c r="CN123"/>
      <c r="CP123"/>
      <c r="CQ123"/>
      <c r="CS123"/>
      <c r="CT123"/>
      <c r="CV123" s="5749" t="s">
        <v>116</v>
      </c>
      <c r="CW123" s="5749"/>
      <c r="CY123" s="5747" t="s">
        <v>116</v>
      </c>
      <c r="CZ123" s="5747"/>
      <c r="DB123"/>
      <c r="DC123"/>
      <c r="DE123"/>
      <c r="DF123"/>
      <c r="DH123"/>
      <c r="DI123"/>
      <c r="DK123"/>
      <c r="DL123"/>
      <c r="DM123" s="3">
        <v>1</v>
      </c>
    </row>
    <row r="124" spans="2:117" s="709" customFormat="1" ht="18" customHeight="1" thickBot="1">
      <c r="B124" s="856"/>
      <c r="C124" s="856"/>
      <c r="D124" s="856"/>
      <c r="E124" s="856"/>
      <c r="F124" s="856"/>
      <c r="G124" s="856"/>
      <c r="H124" s="856"/>
      <c r="I124" s="856"/>
      <c r="J124" s="856"/>
      <c r="K124" s="856"/>
      <c r="L124" s="856"/>
      <c r="M124" s="856"/>
      <c r="N124" s="856"/>
      <c r="O124" s="856"/>
      <c r="P124" s="856"/>
      <c r="Q124" s="856"/>
      <c r="R124" s="856"/>
      <c r="S124" s="856"/>
      <c r="T124" s="870">
        <v>1</v>
      </c>
      <c r="U124" s="870">
        <v>1</v>
      </c>
      <c r="V124" s="856"/>
      <c r="W124" s="870">
        <v>1</v>
      </c>
      <c r="X124" s="870">
        <v>1</v>
      </c>
      <c r="Y124" s="856"/>
      <c r="Z124" s="856"/>
      <c r="AA124" s="856"/>
      <c r="AB124" s="227"/>
      <c r="AC124" s="856"/>
      <c r="AD124" s="856"/>
      <c r="AE124" s="227"/>
      <c r="AF124" s="856"/>
      <c r="AG124" s="856"/>
      <c r="AH124" s="227"/>
      <c r="AI124" s="856"/>
      <c r="AJ124" s="856"/>
      <c r="AK124" s="856"/>
      <c r="AL124" s="856"/>
      <c r="AM124" s="856"/>
      <c r="AN124" s="856"/>
      <c r="AO124" s="856"/>
      <c r="AP124" s="856"/>
      <c r="AQ124" s="856"/>
      <c r="AS124"/>
      <c r="AT124"/>
      <c r="AV124"/>
      <c r="AW124"/>
      <c r="AY124"/>
      <c r="AZ124"/>
      <c r="BB124"/>
      <c r="BC124"/>
      <c r="BE124"/>
      <c r="BF124"/>
      <c r="BH124"/>
      <c r="BI124"/>
      <c r="BK124" s="870" t="s">
        <v>116</v>
      </c>
      <c r="BL124" s="870"/>
      <c r="BN124" s="870" t="s">
        <v>116</v>
      </c>
      <c r="BO124" s="870"/>
      <c r="BQ124"/>
      <c r="BR124"/>
      <c r="BT124"/>
      <c r="BU124"/>
      <c r="BW124"/>
      <c r="BX124"/>
      <c r="BY124"/>
      <c r="BZ124"/>
      <c r="CA124"/>
      <c r="CB124"/>
      <c r="CC124"/>
      <c r="CD124"/>
      <c r="CE124"/>
      <c r="CG124"/>
      <c r="CH124"/>
      <c r="CJ124"/>
      <c r="CK124"/>
      <c r="CM124"/>
      <c r="CN124"/>
      <c r="CP124"/>
      <c r="CQ124"/>
      <c r="CS124"/>
      <c r="CT124"/>
      <c r="CV124" s="870" t="s">
        <v>116</v>
      </c>
      <c r="CW124" s="870"/>
      <c r="CY124" s="870" t="s">
        <v>116</v>
      </c>
      <c r="CZ124" s="870"/>
      <c r="DB124"/>
      <c r="DC124"/>
      <c r="DE124"/>
      <c r="DF124"/>
      <c r="DH124"/>
      <c r="DI124"/>
      <c r="DK124"/>
      <c r="DL124"/>
      <c r="DM124" s="3">
        <v>1</v>
      </c>
    </row>
    <row r="125" spans="2:117" s="709" customFormat="1" ht="18" customHeight="1">
      <c r="B125" s="856"/>
      <c r="C125" s="856"/>
      <c r="D125" s="856"/>
      <c r="E125" s="5750"/>
      <c r="F125" s="5750"/>
      <c r="G125" s="856"/>
      <c r="H125" s="856"/>
      <c r="I125" s="856"/>
      <c r="J125" s="856"/>
      <c r="K125" s="856"/>
      <c r="L125" s="856"/>
      <c r="M125" s="856"/>
      <c r="N125" s="856"/>
      <c r="O125" s="856"/>
      <c r="P125" s="856"/>
      <c r="Q125" s="856"/>
      <c r="R125" s="856"/>
      <c r="S125" s="856"/>
      <c r="T125" s="5748" t="s">
        <v>1310</v>
      </c>
      <c r="U125" s="5748"/>
      <c r="V125" s="856"/>
      <c r="W125" s="5746" t="s">
        <v>1311</v>
      </c>
      <c r="X125" s="5746"/>
      <c r="Y125" s="856"/>
      <c r="Z125" s="856"/>
      <c r="AA125" s="856"/>
      <c r="AB125" s="227"/>
      <c r="AC125" s="856"/>
      <c r="AD125" s="856"/>
      <c r="AE125" s="227"/>
      <c r="AF125" s="856"/>
      <c r="AG125" s="856"/>
      <c r="AH125" s="227"/>
      <c r="AI125" s="856"/>
      <c r="AJ125" s="856"/>
      <c r="AK125" s="856"/>
      <c r="AL125" s="856"/>
      <c r="AM125" s="856"/>
      <c r="AN125" s="856"/>
      <c r="AO125" s="856"/>
      <c r="AP125" s="856"/>
      <c r="AQ125" s="856"/>
      <c r="AS125"/>
      <c r="AT125"/>
      <c r="AV125"/>
      <c r="AW125"/>
      <c r="AY125"/>
      <c r="AZ125"/>
      <c r="BB125"/>
      <c r="BC125"/>
      <c r="BE125"/>
      <c r="BF125"/>
      <c r="BH125"/>
      <c r="BI125"/>
      <c r="BK125" s="5748" t="s">
        <v>2566</v>
      </c>
      <c r="BL125" s="5748"/>
      <c r="BN125" s="5746" t="s">
        <v>2567</v>
      </c>
      <c r="BO125" s="5746"/>
      <c r="BQ125"/>
      <c r="BR125"/>
      <c r="BT125"/>
      <c r="BU125"/>
      <c r="BW125"/>
      <c r="BX125"/>
      <c r="BY125"/>
      <c r="BZ125"/>
      <c r="CA125"/>
      <c r="CB125"/>
      <c r="CC125"/>
      <c r="CD125"/>
      <c r="CE125"/>
      <c r="CG125"/>
      <c r="CH125"/>
      <c r="CJ125"/>
      <c r="CK125"/>
      <c r="CM125"/>
      <c r="CN125"/>
      <c r="CP125"/>
      <c r="CQ125"/>
      <c r="CS125"/>
      <c r="CT125"/>
      <c r="CV125" s="5748" t="s">
        <v>2568</v>
      </c>
      <c r="CW125" s="5748"/>
      <c r="CY125" s="5746" t="s">
        <v>2569</v>
      </c>
      <c r="CZ125" s="5746"/>
      <c r="DB125"/>
      <c r="DC125"/>
      <c r="DE125"/>
      <c r="DF125"/>
      <c r="DH125"/>
      <c r="DI125"/>
      <c r="DK125"/>
      <c r="DL125"/>
      <c r="DM125" s="3">
        <v>1</v>
      </c>
    </row>
    <row r="126" spans="2:117" s="709" customFormat="1" ht="18" customHeight="1">
      <c r="B126" s="856"/>
      <c r="C126" s="856"/>
      <c r="D126" s="856"/>
      <c r="E126" s="5751"/>
      <c r="F126" s="5751"/>
      <c r="G126" s="856"/>
      <c r="H126" s="856"/>
      <c r="I126" s="856"/>
      <c r="J126" s="856"/>
      <c r="K126" s="856"/>
      <c r="L126" s="856"/>
      <c r="M126" s="856"/>
      <c r="N126" s="856"/>
      <c r="O126" s="856"/>
      <c r="P126" s="856"/>
      <c r="Q126" s="856"/>
      <c r="R126" s="856"/>
      <c r="S126" s="856"/>
      <c r="T126" s="5749"/>
      <c r="U126" s="5749"/>
      <c r="V126" s="856"/>
      <c r="W126" s="5747"/>
      <c r="X126" s="5747"/>
      <c r="Y126" s="856"/>
      <c r="Z126" s="856"/>
      <c r="AA126" s="856"/>
      <c r="AB126" s="227"/>
      <c r="AC126" s="856"/>
      <c r="AD126" s="856"/>
      <c r="AE126" s="227"/>
      <c r="AF126" s="856"/>
      <c r="AG126" s="856"/>
      <c r="AH126" s="227"/>
      <c r="AI126" s="856"/>
      <c r="AJ126" s="856"/>
      <c r="AK126" s="856"/>
      <c r="AL126" s="856"/>
      <c r="AM126" s="856"/>
      <c r="AN126" s="856"/>
      <c r="AO126" s="856"/>
      <c r="AP126" s="856"/>
      <c r="AQ126" s="856"/>
      <c r="AS126"/>
      <c r="AT126"/>
      <c r="AV126"/>
      <c r="AW126"/>
      <c r="AY126"/>
      <c r="AZ126"/>
      <c r="BB126"/>
      <c r="BC126"/>
      <c r="BE126"/>
      <c r="BF126"/>
      <c r="BH126"/>
      <c r="BI126"/>
      <c r="BK126" s="5749" t="s">
        <v>116</v>
      </c>
      <c r="BL126" s="5749"/>
      <c r="BN126" s="5747" t="s">
        <v>116</v>
      </c>
      <c r="BO126" s="5747"/>
      <c r="BQ126"/>
      <c r="BR126"/>
      <c r="BT126"/>
      <c r="BU126"/>
      <c r="BW126"/>
      <c r="BX126"/>
      <c r="BY126"/>
      <c r="BZ126"/>
      <c r="CA126"/>
      <c r="CB126"/>
      <c r="CC126"/>
      <c r="CD126"/>
      <c r="CE126"/>
      <c r="CG126"/>
      <c r="CH126"/>
      <c r="CJ126"/>
      <c r="CK126"/>
      <c r="CM126"/>
      <c r="CN126"/>
      <c r="CP126"/>
      <c r="CQ126"/>
      <c r="CS126"/>
      <c r="CT126"/>
      <c r="CV126" s="5749" t="s">
        <v>116</v>
      </c>
      <c r="CW126" s="5749"/>
      <c r="CY126" s="5747" t="s">
        <v>116</v>
      </c>
      <c r="CZ126" s="5747"/>
      <c r="DB126"/>
      <c r="DC126"/>
      <c r="DE126"/>
      <c r="DF126"/>
      <c r="DH126"/>
      <c r="DI126"/>
      <c r="DK126"/>
      <c r="DL126"/>
      <c r="DM126" s="3">
        <v>1</v>
      </c>
    </row>
    <row r="127" spans="2:117" s="709" customFormat="1" ht="18" customHeight="1" thickBot="1">
      <c r="B127" s="856"/>
      <c r="C127" s="856"/>
      <c r="D127" s="856"/>
      <c r="E127" s="856"/>
      <c r="F127" s="856"/>
      <c r="G127" s="856"/>
      <c r="H127" s="856"/>
      <c r="I127" s="856"/>
      <c r="J127" s="856"/>
      <c r="K127" s="856"/>
      <c r="L127" s="856"/>
      <c r="M127" s="856"/>
      <c r="N127" s="856"/>
      <c r="O127" s="856"/>
      <c r="P127" s="856"/>
      <c r="Q127" s="856"/>
      <c r="R127" s="856"/>
      <c r="S127" s="856"/>
      <c r="T127" s="870">
        <v>1</v>
      </c>
      <c r="U127" s="870">
        <v>1</v>
      </c>
      <c r="V127" s="856"/>
      <c r="W127" s="870">
        <v>1</v>
      </c>
      <c r="X127" s="870">
        <v>1</v>
      </c>
      <c r="Y127" s="856"/>
      <c r="Z127" s="856"/>
      <c r="AA127" s="856"/>
      <c r="AB127" s="227"/>
      <c r="AC127" s="856"/>
      <c r="AD127" s="856"/>
      <c r="AE127" s="227"/>
      <c r="AF127" s="856"/>
      <c r="AG127" s="856"/>
      <c r="AH127" s="227"/>
      <c r="AI127" s="856"/>
      <c r="AJ127" s="856"/>
      <c r="AK127" s="856"/>
      <c r="AL127" s="856"/>
      <c r="AM127" s="856"/>
      <c r="AN127" s="856"/>
      <c r="AO127" s="856"/>
      <c r="AP127" s="856"/>
      <c r="AQ127" s="856"/>
      <c r="AS127"/>
      <c r="AT127"/>
      <c r="AV127"/>
      <c r="AW127"/>
      <c r="AY127"/>
      <c r="AZ127"/>
      <c r="BB127"/>
      <c r="BC127"/>
      <c r="BE127"/>
      <c r="BF127"/>
      <c r="BH127"/>
      <c r="BI127"/>
      <c r="BK127" s="870" t="s">
        <v>116</v>
      </c>
      <c r="BL127" s="870"/>
      <c r="BN127" s="870" t="s">
        <v>116</v>
      </c>
      <c r="BO127" s="870"/>
      <c r="BQ127"/>
      <c r="BR127"/>
      <c r="BT127"/>
      <c r="BU127"/>
      <c r="BW127"/>
      <c r="BX127"/>
      <c r="BY127"/>
      <c r="BZ127"/>
      <c r="CA127"/>
      <c r="CB127"/>
      <c r="CC127"/>
      <c r="CD127"/>
      <c r="CE127"/>
      <c r="CG127"/>
      <c r="CH127"/>
      <c r="CJ127"/>
      <c r="CK127"/>
      <c r="CM127"/>
      <c r="CN127"/>
      <c r="CP127"/>
      <c r="CQ127"/>
      <c r="CS127"/>
      <c r="CT127"/>
      <c r="CV127" s="870" t="s">
        <v>116</v>
      </c>
      <c r="CW127" s="870"/>
      <c r="CY127" s="870" t="s">
        <v>116</v>
      </c>
      <c r="CZ127" s="870"/>
      <c r="DB127"/>
      <c r="DC127"/>
      <c r="DE127"/>
      <c r="DF127"/>
      <c r="DH127"/>
      <c r="DI127"/>
      <c r="DK127"/>
      <c r="DL127"/>
      <c r="DM127" s="3">
        <v>1</v>
      </c>
    </row>
    <row r="128" spans="2:117" s="709" customFormat="1" ht="18" customHeight="1">
      <c r="B128" s="856"/>
      <c r="C128" s="856"/>
      <c r="D128" s="856"/>
      <c r="E128" s="856"/>
      <c r="F128" s="856"/>
      <c r="G128" s="856"/>
      <c r="H128" s="856"/>
      <c r="I128" s="856"/>
      <c r="J128" s="856"/>
      <c r="K128" s="856"/>
      <c r="L128" s="856"/>
      <c r="M128" s="856"/>
      <c r="N128" s="856"/>
      <c r="O128" s="856"/>
      <c r="P128" s="856"/>
      <c r="Q128" s="856"/>
      <c r="R128" s="856"/>
      <c r="S128" s="856"/>
      <c r="T128" s="5748" t="s">
        <v>1312</v>
      </c>
      <c r="U128" s="5748"/>
      <c r="V128" s="856"/>
      <c r="W128" s="5746" t="s">
        <v>1313</v>
      </c>
      <c r="X128" s="5746"/>
      <c r="Y128" s="856"/>
      <c r="Z128" s="856"/>
      <c r="AA128" s="856"/>
      <c r="AB128" s="227"/>
      <c r="AC128" s="856"/>
      <c r="AD128" s="856"/>
      <c r="AE128" s="227"/>
      <c r="AF128" s="856"/>
      <c r="AG128" s="856"/>
      <c r="AH128" s="227"/>
      <c r="AI128" s="856"/>
      <c r="AJ128" s="856"/>
      <c r="AK128" s="856"/>
      <c r="AL128" s="856"/>
      <c r="AM128" s="856"/>
      <c r="AN128" s="856"/>
      <c r="AO128" s="856"/>
      <c r="AP128" s="856"/>
      <c r="AQ128" s="856"/>
      <c r="AS128"/>
      <c r="AT128"/>
      <c r="AV128"/>
      <c r="AW128"/>
      <c r="AY128"/>
      <c r="AZ128"/>
      <c r="BB128"/>
      <c r="BC128"/>
      <c r="BE128"/>
      <c r="BF128"/>
      <c r="BH128"/>
      <c r="BI128"/>
      <c r="BK128" s="5748" t="s">
        <v>2570</v>
      </c>
      <c r="BL128" s="5748"/>
      <c r="BN128" s="5746" t="s">
        <v>2571</v>
      </c>
      <c r="BO128" s="5746"/>
      <c r="BQ128"/>
      <c r="BR128"/>
      <c r="BT128"/>
      <c r="BU128"/>
      <c r="BW128"/>
      <c r="BX128"/>
      <c r="BY128"/>
      <c r="BZ128"/>
      <c r="CA128"/>
      <c r="CB128"/>
      <c r="CC128"/>
      <c r="CD128"/>
      <c r="CE128"/>
      <c r="CG128"/>
      <c r="CH128"/>
      <c r="CJ128"/>
      <c r="CK128"/>
      <c r="CM128"/>
      <c r="CN128"/>
      <c r="CP128"/>
      <c r="CQ128"/>
      <c r="CS128"/>
      <c r="CT128"/>
      <c r="CV128" s="5748" t="s">
        <v>2572</v>
      </c>
      <c r="CW128" s="5748"/>
      <c r="CY128" s="5746" t="s">
        <v>2573</v>
      </c>
      <c r="CZ128" s="5746"/>
      <c r="DB128"/>
      <c r="DC128"/>
      <c r="DE128"/>
      <c r="DF128"/>
      <c r="DH128"/>
      <c r="DI128"/>
      <c r="DK128"/>
      <c r="DL128"/>
      <c r="DM128" s="3">
        <v>1</v>
      </c>
    </row>
    <row r="129" spans="2:117" s="709" customFormat="1" ht="18" customHeight="1">
      <c r="B129" s="856"/>
      <c r="C129" s="856"/>
      <c r="D129" s="856"/>
      <c r="E129" s="856"/>
      <c r="F129" s="856"/>
      <c r="G129" s="856"/>
      <c r="H129" s="856"/>
      <c r="I129" s="856"/>
      <c r="J129" s="856"/>
      <c r="K129" s="856"/>
      <c r="L129" s="856"/>
      <c r="M129" s="856"/>
      <c r="N129" s="856"/>
      <c r="O129" s="856"/>
      <c r="P129" s="856"/>
      <c r="Q129" s="856"/>
      <c r="R129" s="856"/>
      <c r="S129" s="856"/>
      <c r="T129" s="5749"/>
      <c r="U129" s="5749"/>
      <c r="V129" s="856"/>
      <c r="W129" s="5747"/>
      <c r="X129" s="5747"/>
      <c r="Y129" s="856"/>
      <c r="Z129" s="856"/>
      <c r="AA129" s="856"/>
      <c r="AB129" s="227"/>
      <c r="AC129" s="856"/>
      <c r="AD129" s="856"/>
      <c r="AE129" s="227"/>
      <c r="AF129" s="856"/>
      <c r="AG129" s="856"/>
      <c r="AH129" s="227"/>
      <c r="AI129" s="856"/>
      <c r="AJ129" s="856"/>
      <c r="AK129" s="856"/>
      <c r="AL129" s="856"/>
      <c r="AM129" s="856"/>
      <c r="AN129" s="856"/>
      <c r="AO129" s="856"/>
      <c r="AP129" s="856"/>
      <c r="AQ129" s="856"/>
      <c r="AS129"/>
      <c r="AT129"/>
      <c r="AV129"/>
      <c r="AW129"/>
      <c r="AY129"/>
      <c r="AZ129"/>
      <c r="BB129"/>
      <c r="BC129"/>
      <c r="BE129"/>
      <c r="BF129"/>
      <c r="BH129"/>
      <c r="BI129"/>
      <c r="BK129" s="5749" t="s">
        <v>116</v>
      </c>
      <c r="BL129" s="5749"/>
      <c r="BN129" s="5747" t="s">
        <v>116</v>
      </c>
      <c r="BO129" s="5747"/>
      <c r="BQ129"/>
      <c r="BR129"/>
      <c r="BT129"/>
      <c r="BU129"/>
      <c r="BW129"/>
      <c r="BX129"/>
      <c r="BY129"/>
      <c r="BZ129"/>
      <c r="CA129"/>
      <c r="CB129"/>
      <c r="CC129"/>
      <c r="CD129"/>
      <c r="CE129"/>
      <c r="CG129"/>
      <c r="CH129"/>
      <c r="CJ129"/>
      <c r="CK129"/>
      <c r="CM129"/>
      <c r="CN129"/>
      <c r="CP129"/>
      <c r="CQ129"/>
      <c r="CS129"/>
      <c r="CT129"/>
      <c r="CV129" s="5749" t="s">
        <v>116</v>
      </c>
      <c r="CW129" s="5749"/>
      <c r="CY129" s="5747" t="s">
        <v>116</v>
      </c>
      <c r="CZ129" s="5747"/>
      <c r="DB129"/>
      <c r="DC129"/>
      <c r="DE129"/>
      <c r="DF129"/>
      <c r="DH129"/>
      <c r="DI129"/>
      <c r="DK129"/>
      <c r="DL129"/>
      <c r="DM129" s="3">
        <v>1</v>
      </c>
    </row>
    <row r="130" spans="2:117" s="709" customFormat="1" ht="18" customHeight="1" thickBot="1">
      <c r="B130" s="856"/>
      <c r="C130" s="856"/>
      <c r="D130" s="856"/>
      <c r="E130" s="856"/>
      <c r="F130" s="856"/>
      <c r="G130" s="856"/>
      <c r="H130" s="856"/>
      <c r="I130" s="856"/>
      <c r="J130" s="856"/>
      <c r="K130" s="856"/>
      <c r="L130" s="856"/>
      <c r="M130" s="856"/>
      <c r="N130" s="856"/>
      <c r="O130" s="856"/>
      <c r="P130" s="856"/>
      <c r="Q130" s="856"/>
      <c r="R130" s="856"/>
      <c r="S130" s="856"/>
      <c r="T130" s="870">
        <v>1</v>
      </c>
      <c r="U130" s="870">
        <v>1</v>
      </c>
      <c r="V130" s="856"/>
      <c r="W130" s="870">
        <v>1</v>
      </c>
      <c r="X130" s="870">
        <v>1</v>
      </c>
      <c r="Y130" s="856"/>
      <c r="Z130" s="856"/>
      <c r="AA130" s="856"/>
      <c r="AB130" s="227"/>
      <c r="AC130" s="856"/>
      <c r="AD130" s="856"/>
      <c r="AE130" s="227"/>
      <c r="AF130" s="856"/>
      <c r="AG130" s="856"/>
      <c r="AH130" s="227"/>
      <c r="AI130" s="856"/>
      <c r="AJ130" s="856"/>
      <c r="AK130" s="856"/>
      <c r="AL130" s="856"/>
      <c r="AM130" s="856"/>
      <c r="AN130" s="856"/>
      <c r="AO130" s="856"/>
      <c r="AP130" s="856"/>
      <c r="AQ130" s="856"/>
      <c r="AS130"/>
      <c r="AT130"/>
      <c r="AV130"/>
      <c r="AW130"/>
      <c r="AY130"/>
      <c r="AZ130"/>
      <c r="BB130"/>
      <c r="BC130"/>
      <c r="BE130"/>
      <c r="BF130"/>
      <c r="BH130"/>
      <c r="BI130"/>
      <c r="BK130" s="870" t="s">
        <v>116</v>
      </c>
      <c r="BL130" s="870"/>
      <c r="BN130" s="870" t="s">
        <v>116</v>
      </c>
      <c r="BO130" s="870"/>
      <c r="BQ130"/>
      <c r="BR130"/>
      <c r="BT130"/>
      <c r="BU130"/>
      <c r="BW130"/>
      <c r="BX130"/>
      <c r="BY130"/>
      <c r="BZ130"/>
      <c r="CA130"/>
      <c r="CB130"/>
      <c r="CC130"/>
      <c r="CD130"/>
      <c r="CE130"/>
      <c r="CG130"/>
      <c r="CH130"/>
      <c r="CJ130"/>
      <c r="CK130"/>
      <c r="CM130"/>
      <c r="CN130"/>
      <c r="CP130"/>
      <c r="CQ130"/>
      <c r="CS130"/>
      <c r="CT130"/>
      <c r="CV130" s="870" t="s">
        <v>116</v>
      </c>
      <c r="CW130" s="870"/>
      <c r="CY130" s="870" t="s">
        <v>116</v>
      </c>
      <c r="CZ130" s="870"/>
      <c r="DB130"/>
      <c r="DC130"/>
      <c r="DE130"/>
      <c r="DF130"/>
      <c r="DH130"/>
      <c r="DI130"/>
      <c r="DK130"/>
      <c r="DL130"/>
      <c r="DM130" s="3">
        <v>1</v>
      </c>
    </row>
    <row r="131" spans="2:117" s="709" customFormat="1" ht="18" customHeight="1">
      <c r="B131" s="856"/>
      <c r="C131" s="856"/>
      <c r="D131" s="856"/>
      <c r="E131" s="856"/>
      <c r="F131" s="856"/>
      <c r="G131" s="856"/>
      <c r="H131" s="856"/>
      <c r="I131" s="856"/>
      <c r="J131" s="856"/>
      <c r="K131" s="856"/>
      <c r="L131" s="856"/>
      <c r="M131" s="856"/>
      <c r="N131" s="856"/>
      <c r="O131" s="856"/>
      <c r="P131" s="856"/>
      <c r="Q131" s="856"/>
      <c r="R131" s="856"/>
      <c r="S131" s="856"/>
      <c r="T131" s="5748" t="s">
        <v>1314</v>
      </c>
      <c r="U131" s="5748"/>
      <c r="V131" s="856"/>
      <c r="W131" s="5746" t="s">
        <v>1315</v>
      </c>
      <c r="X131" s="5746"/>
      <c r="Y131" s="856"/>
      <c r="Z131" s="856"/>
      <c r="AA131" s="856"/>
      <c r="AB131" s="227"/>
      <c r="AC131" s="856"/>
      <c r="AD131" s="856"/>
      <c r="AE131" s="227"/>
      <c r="AF131" s="856"/>
      <c r="AG131" s="856"/>
      <c r="AH131" s="227"/>
      <c r="AI131" s="856"/>
      <c r="AJ131" s="856"/>
      <c r="AK131" s="856"/>
      <c r="AL131" s="856"/>
      <c r="AM131" s="856"/>
      <c r="AN131" s="856"/>
      <c r="AO131" s="856"/>
      <c r="AP131" s="856"/>
      <c r="AQ131" s="856"/>
      <c r="AS131"/>
      <c r="AT131"/>
      <c r="AV131"/>
      <c r="AW131"/>
      <c r="AY131"/>
      <c r="AZ131"/>
      <c r="BB131"/>
      <c r="BC131"/>
      <c r="BE131"/>
      <c r="BF131"/>
      <c r="BH131"/>
      <c r="BI131"/>
      <c r="BK131" s="5748" t="s">
        <v>2574</v>
      </c>
      <c r="BL131" s="5748"/>
      <c r="BN131" s="5746" t="s">
        <v>2575</v>
      </c>
      <c r="BO131" s="5746"/>
      <c r="BQ131"/>
      <c r="BR131"/>
      <c r="BT131"/>
      <c r="BU131"/>
      <c r="BW131"/>
      <c r="BX131"/>
      <c r="BY131"/>
      <c r="BZ131"/>
      <c r="CA131"/>
      <c r="CB131"/>
      <c r="CC131"/>
      <c r="CD131"/>
      <c r="CE131"/>
      <c r="CG131"/>
      <c r="CH131"/>
      <c r="CJ131"/>
      <c r="CK131"/>
      <c r="CM131"/>
      <c r="CN131"/>
      <c r="CP131"/>
      <c r="CQ131"/>
      <c r="CS131"/>
      <c r="CT131"/>
      <c r="CV131" s="5748" t="s">
        <v>2576</v>
      </c>
      <c r="CW131" s="5748"/>
      <c r="CY131" s="5746" t="s">
        <v>2577</v>
      </c>
      <c r="CZ131" s="5746"/>
      <c r="DB131"/>
      <c r="DC131"/>
      <c r="DE131"/>
      <c r="DF131"/>
      <c r="DH131"/>
      <c r="DI131"/>
      <c r="DK131"/>
      <c r="DL131"/>
      <c r="DM131" s="3">
        <v>1</v>
      </c>
    </row>
    <row r="132" spans="2:117" s="709" customFormat="1" ht="18" customHeight="1">
      <c r="B132" s="856"/>
      <c r="C132" s="856"/>
      <c r="D132" s="856"/>
      <c r="E132" s="856"/>
      <c r="F132" s="856"/>
      <c r="G132" s="856"/>
      <c r="H132" s="856"/>
      <c r="I132" s="856"/>
      <c r="J132" s="856"/>
      <c r="K132" s="856"/>
      <c r="L132" s="856"/>
      <c r="M132" s="856"/>
      <c r="N132" s="856"/>
      <c r="O132" s="856"/>
      <c r="P132" s="856"/>
      <c r="Q132" s="856"/>
      <c r="R132" s="856"/>
      <c r="S132" s="856"/>
      <c r="T132" s="5749"/>
      <c r="U132" s="5749"/>
      <c r="V132" s="856"/>
      <c r="W132" s="5747"/>
      <c r="X132" s="5747"/>
      <c r="Y132" s="856"/>
      <c r="Z132" s="856"/>
      <c r="AA132" s="856"/>
      <c r="AB132" s="227"/>
      <c r="AC132" s="856"/>
      <c r="AD132" s="856"/>
      <c r="AE132" s="227"/>
      <c r="AF132" s="856"/>
      <c r="AG132" s="856"/>
      <c r="AH132" s="227"/>
      <c r="AI132" s="856"/>
      <c r="AJ132" s="856"/>
      <c r="AK132" s="856"/>
      <c r="AL132" s="856"/>
      <c r="AM132" s="856"/>
      <c r="AN132" s="856"/>
      <c r="AO132" s="856"/>
      <c r="AP132" s="856"/>
      <c r="AQ132" s="856"/>
      <c r="AS132"/>
      <c r="AT132"/>
      <c r="AV132"/>
      <c r="AW132"/>
      <c r="AY132"/>
      <c r="AZ132"/>
      <c r="BB132"/>
      <c r="BC132"/>
      <c r="BE132"/>
      <c r="BF132"/>
      <c r="BH132"/>
      <c r="BI132"/>
      <c r="BK132" s="5749" t="s">
        <v>116</v>
      </c>
      <c r="BL132" s="5749"/>
      <c r="BN132" s="5747" t="s">
        <v>116</v>
      </c>
      <c r="BO132" s="5747"/>
      <c r="BQ132"/>
      <c r="BR132"/>
      <c r="BT132"/>
      <c r="BU132"/>
      <c r="BW132"/>
      <c r="BX132"/>
      <c r="BY132"/>
      <c r="BZ132"/>
      <c r="CA132"/>
      <c r="CB132"/>
      <c r="CC132"/>
      <c r="CD132"/>
      <c r="CE132"/>
      <c r="CG132"/>
      <c r="CH132"/>
      <c r="CJ132"/>
      <c r="CK132"/>
      <c r="CM132"/>
      <c r="CN132"/>
      <c r="CP132"/>
      <c r="CQ132"/>
      <c r="CS132"/>
      <c r="CT132"/>
      <c r="CV132" s="5749" t="s">
        <v>116</v>
      </c>
      <c r="CW132" s="5749"/>
      <c r="CY132" s="5747" t="s">
        <v>116</v>
      </c>
      <c r="CZ132" s="5747"/>
      <c r="DB132"/>
      <c r="DC132"/>
      <c r="DE132"/>
      <c r="DF132"/>
      <c r="DH132"/>
      <c r="DI132"/>
      <c r="DK132"/>
      <c r="DL132"/>
      <c r="DM132" s="3">
        <v>1</v>
      </c>
    </row>
    <row r="133" spans="2:117" s="709" customFormat="1" ht="18" customHeight="1" thickBot="1">
      <c r="B133" s="856"/>
      <c r="C133" s="856"/>
      <c r="D133" s="856"/>
      <c r="E133" s="856"/>
      <c r="F133" s="856"/>
      <c r="G133" s="856"/>
      <c r="H133" s="856"/>
      <c r="I133" s="856"/>
      <c r="J133" s="856"/>
      <c r="K133" s="856"/>
      <c r="L133" s="856"/>
      <c r="M133" s="856"/>
      <c r="N133" s="856"/>
      <c r="O133" s="856"/>
      <c r="P133" s="856"/>
      <c r="Q133" s="856"/>
      <c r="R133" s="856"/>
      <c r="S133" s="856"/>
      <c r="T133" s="870">
        <v>1</v>
      </c>
      <c r="U133" s="870">
        <v>1</v>
      </c>
      <c r="V133" s="856"/>
      <c r="W133" s="870">
        <v>1</v>
      </c>
      <c r="X133" s="870">
        <v>1</v>
      </c>
      <c r="Y133" s="856"/>
      <c r="Z133" s="856"/>
      <c r="AA133" s="856"/>
      <c r="AB133" s="227"/>
      <c r="AC133" s="856"/>
      <c r="AD133" s="856"/>
      <c r="AE133" s="227"/>
      <c r="AF133" s="856"/>
      <c r="AG133" s="856"/>
      <c r="AH133" s="227"/>
      <c r="AI133" s="856"/>
      <c r="AJ133" s="856"/>
      <c r="AK133" s="856"/>
      <c r="AL133" s="856"/>
      <c r="AM133" s="856"/>
      <c r="AN133" s="856"/>
      <c r="AO133" s="856"/>
      <c r="AP133" s="856"/>
      <c r="AQ133" s="856"/>
      <c r="AS133"/>
      <c r="AT133"/>
      <c r="AV133"/>
      <c r="AW133"/>
      <c r="AY133"/>
      <c r="AZ133"/>
      <c r="BB133"/>
      <c r="BC133"/>
      <c r="BE133"/>
      <c r="BF133"/>
      <c r="BH133"/>
      <c r="BI133"/>
      <c r="BK133" s="870" t="s">
        <v>116</v>
      </c>
      <c r="BL133" s="870"/>
      <c r="BN133" s="870" t="s">
        <v>116</v>
      </c>
      <c r="BO133" s="870"/>
      <c r="BQ133"/>
      <c r="BR133"/>
      <c r="BT133"/>
      <c r="BU133"/>
      <c r="BW133"/>
      <c r="BX133"/>
      <c r="BY133"/>
      <c r="BZ133"/>
      <c r="CA133"/>
      <c r="CB133"/>
      <c r="CC133"/>
      <c r="CD133"/>
      <c r="CE133"/>
      <c r="CG133"/>
      <c r="CH133"/>
      <c r="CJ133"/>
      <c r="CK133"/>
      <c r="CM133"/>
      <c r="CN133"/>
      <c r="CP133"/>
      <c r="CQ133"/>
      <c r="CS133"/>
      <c r="CT133"/>
      <c r="CV133" s="870" t="s">
        <v>116</v>
      </c>
      <c r="CW133" s="870"/>
      <c r="CY133" s="870" t="s">
        <v>116</v>
      </c>
      <c r="CZ133" s="870"/>
      <c r="DB133"/>
      <c r="DC133"/>
      <c r="DE133"/>
      <c r="DF133"/>
      <c r="DH133"/>
      <c r="DI133"/>
      <c r="DK133"/>
      <c r="DL133"/>
      <c r="DM133" s="3">
        <v>1</v>
      </c>
    </row>
    <row r="134" spans="2:117" s="709" customFormat="1" ht="18" customHeight="1">
      <c r="B134" s="856"/>
      <c r="C134" s="856"/>
      <c r="D134" s="856"/>
      <c r="E134" s="856"/>
      <c r="F134" s="856"/>
      <c r="G134" s="856"/>
      <c r="H134" s="856"/>
      <c r="I134" s="856"/>
      <c r="J134" s="856"/>
      <c r="K134" s="856"/>
      <c r="L134" s="856"/>
      <c r="M134" s="856"/>
      <c r="N134" s="856"/>
      <c r="O134" s="856"/>
      <c r="P134" s="856"/>
      <c r="Q134" s="856"/>
      <c r="R134" s="856"/>
      <c r="S134" s="856"/>
      <c r="T134" s="5748" t="s">
        <v>1316</v>
      </c>
      <c r="U134" s="5748"/>
      <c r="V134" s="856"/>
      <c r="W134" s="5746" t="s">
        <v>1317</v>
      </c>
      <c r="X134" s="5746"/>
      <c r="Y134" s="856"/>
      <c r="Z134" s="856"/>
      <c r="AA134" s="856"/>
      <c r="AB134" s="227"/>
      <c r="AC134" s="856"/>
      <c r="AD134" s="856"/>
      <c r="AE134" s="227"/>
      <c r="AF134" s="856"/>
      <c r="AG134" s="856"/>
      <c r="AH134" s="227"/>
      <c r="AI134" s="856"/>
      <c r="AJ134" s="856"/>
      <c r="AK134" s="856"/>
      <c r="AL134" s="856"/>
      <c r="AM134" s="856"/>
      <c r="AN134" s="856"/>
      <c r="AO134" s="856"/>
      <c r="AP134" s="856"/>
      <c r="AQ134" s="856"/>
      <c r="AS134"/>
      <c r="AT134"/>
      <c r="AV134"/>
      <c r="AW134"/>
      <c r="AY134"/>
      <c r="AZ134"/>
      <c r="BB134"/>
      <c r="BC134"/>
      <c r="BE134"/>
      <c r="BF134"/>
      <c r="BH134"/>
      <c r="BI134"/>
      <c r="BK134" s="5748" t="s">
        <v>2578</v>
      </c>
      <c r="BL134" s="5748"/>
      <c r="BN134" s="5746" t="s">
        <v>2579</v>
      </c>
      <c r="BO134" s="5746"/>
      <c r="BQ134"/>
      <c r="BR134"/>
      <c r="BT134"/>
      <c r="BU134"/>
      <c r="BW134"/>
      <c r="BX134"/>
      <c r="BY134"/>
      <c r="BZ134"/>
      <c r="CA134"/>
      <c r="CB134"/>
      <c r="CC134"/>
      <c r="CD134"/>
      <c r="CE134"/>
      <c r="CG134"/>
      <c r="CH134"/>
      <c r="CJ134"/>
      <c r="CK134"/>
      <c r="CM134"/>
      <c r="CN134"/>
      <c r="CP134"/>
      <c r="CQ134"/>
      <c r="CS134"/>
      <c r="CT134"/>
      <c r="CV134" s="5748" t="s">
        <v>2580</v>
      </c>
      <c r="CW134" s="5748"/>
      <c r="CY134" s="5746" t="s">
        <v>2581</v>
      </c>
      <c r="CZ134" s="5746"/>
      <c r="DB134"/>
      <c r="DC134"/>
      <c r="DE134"/>
      <c r="DF134"/>
      <c r="DH134"/>
      <c r="DI134"/>
      <c r="DK134"/>
      <c r="DL134"/>
      <c r="DM134" s="3">
        <v>1</v>
      </c>
    </row>
    <row r="135" spans="2:117" s="709" customFormat="1" ht="18" customHeight="1">
      <c r="B135" s="856"/>
      <c r="C135" s="856"/>
      <c r="D135" s="856"/>
      <c r="E135" s="856"/>
      <c r="F135" s="856"/>
      <c r="G135" s="856"/>
      <c r="H135" s="856"/>
      <c r="I135" s="856"/>
      <c r="J135" s="856"/>
      <c r="K135" s="856"/>
      <c r="L135" s="856"/>
      <c r="M135" s="856"/>
      <c r="N135" s="856"/>
      <c r="O135" s="856"/>
      <c r="P135" s="856"/>
      <c r="Q135" s="856"/>
      <c r="R135" s="856"/>
      <c r="S135" s="856"/>
      <c r="T135" s="5749"/>
      <c r="U135" s="5749"/>
      <c r="V135" s="856"/>
      <c r="W135" s="5747"/>
      <c r="X135" s="5747"/>
      <c r="Y135" s="856"/>
      <c r="Z135" s="856"/>
      <c r="AA135" s="856"/>
      <c r="AB135" s="227"/>
      <c r="AC135" s="856"/>
      <c r="AD135" s="856"/>
      <c r="AE135" s="227"/>
      <c r="AF135" s="856"/>
      <c r="AG135" s="856"/>
      <c r="AH135" s="227"/>
      <c r="AI135" s="856"/>
      <c r="AJ135" s="856"/>
      <c r="AK135" s="856"/>
      <c r="AL135" s="856"/>
      <c r="AM135" s="856"/>
      <c r="AN135" s="856"/>
      <c r="AO135" s="856"/>
      <c r="AP135" s="856"/>
      <c r="AQ135" s="856"/>
      <c r="AS135"/>
      <c r="AT135"/>
      <c r="AV135"/>
      <c r="AW135"/>
      <c r="AY135"/>
      <c r="AZ135"/>
      <c r="BB135"/>
      <c r="BC135"/>
      <c r="BE135"/>
      <c r="BF135"/>
      <c r="BH135"/>
      <c r="BI135"/>
      <c r="BK135" s="5749" t="s">
        <v>116</v>
      </c>
      <c r="BL135" s="5749"/>
      <c r="BN135" s="5747" t="s">
        <v>116</v>
      </c>
      <c r="BO135" s="5747"/>
      <c r="BQ135"/>
      <c r="BR135"/>
      <c r="BT135"/>
      <c r="BU135"/>
      <c r="BW135"/>
      <c r="BX135"/>
      <c r="BY135"/>
      <c r="BZ135"/>
      <c r="CA135"/>
      <c r="CB135"/>
      <c r="CC135"/>
      <c r="CD135"/>
      <c r="CE135"/>
      <c r="CG135"/>
      <c r="CH135"/>
      <c r="CJ135"/>
      <c r="CK135"/>
      <c r="CM135"/>
      <c r="CN135"/>
      <c r="CP135"/>
      <c r="CQ135"/>
      <c r="CS135"/>
      <c r="CT135"/>
      <c r="CV135" s="5749" t="s">
        <v>116</v>
      </c>
      <c r="CW135" s="5749"/>
      <c r="CY135" s="5747" t="s">
        <v>116</v>
      </c>
      <c r="CZ135" s="5747"/>
      <c r="DB135"/>
      <c r="DC135"/>
      <c r="DE135"/>
      <c r="DF135"/>
      <c r="DH135"/>
      <c r="DI135"/>
      <c r="DK135"/>
      <c r="DL135"/>
      <c r="DM135" s="3">
        <v>1</v>
      </c>
    </row>
    <row r="136" spans="2:117" s="709" customFormat="1" ht="18" customHeight="1" thickBot="1">
      <c r="B136" s="856"/>
      <c r="C136" s="856"/>
      <c r="D136" s="856"/>
      <c r="E136" s="856"/>
      <c r="F136" s="856"/>
      <c r="G136" s="856"/>
      <c r="H136" s="856"/>
      <c r="I136" s="856"/>
      <c r="J136" s="856"/>
      <c r="K136" s="856"/>
      <c r="L136" s="856"/>
      <c r="M136" s="856"/>
      <c r="N136" s="856"/>
      <c r="O136" s="856"/>
      <c r="P136" s="856"/>
      <c r="Q136" s="856"/>
      <c r="R136" s="856"/>
      <c r="S136" s="856"/>
      <c r="T136" s="870">
        <v>1</v>
      </c>
      <c r="U136" s="870">
        <v>1</v>
      </c>
      <c r="V136" s="856"/>
      <c r="W136" s="870">
        <v>1</v>
      </c>
      <c r="X136" s="870">
        <v>1</v>
      </c>
      <c r="Y136" s="856"/>
      <c r="Z136" s="856"/>
      <c r="AA136" s="856"/>
      <c r="AB136" s="227"/>
      <c r="AC136" s="856"/>
      <c r="AD136" s="856"/>
      <c r="AE136" s="227"/>
      <c r="AF136" s="856"/>
      <c r="AG136" s="856"/>
      <c r="AH136" s="227"/>
      <c r="AI136" s="856"/>
      <c r="AJ136" s="856"/>
      <c r="AK136" s="856"/>
      <c r="AL136" s="856"/>
      <c r="AM136" s="856"/>
      <c r="AN136" s="856"/>
      <c r="AO136" s="856"/>
      <c r="AP136" s="856"/>
      <c r="AQ136" s="856"/>
      <c r="AS136"/>
      <c r="AT136"/>
      <c r="AV136"/>
      <c r="AW136"/>
      <c r="AY136"/>
      <c r="AZ136"/>
      <c r="BB136"/>
      <c r="BC136"/>
      <c r="BE136"/>
      <c r="BF136"/>
      <c r="BH136"/>
      <c r="BI136"/>
      <c r="BK136" s="870" t="s">
        <v>116</v>
      </c>
      <c r="BL136" s="870"/>
      <c r="BN136" s="870" t="s">
        <v>116</v>
      </c>
      <c r="BO136" s="870"/>
      <c r="BQ136"/>
      <c r="BR136"/>
      <c r="BT136"/>
      <c r="BU136"/>
      <c r="BW136"/>
      <c r="BX136"/>
      <c r="BY136"/>
      <c r="BZ136"/>
      <c r="CA136"/>
      <c r="CB136"/>
      <c r="CC136"/>
      <c r="CD136"/>
      <c r="CE136"/>
      <c r="CG136"/>
      <c r="CH136"/>
      <c r="CJ136"/>
      <c r="CK136"/>
      <c r="CM136"/>
      <c r="CN136"/>
      <c r="CP136"/>
      <c r="CQ136"/>
      <c r="CS136"/>
      <c r="CT136"/>
      <c r="CV136" s="870" t="s">
        <v>116</v>
      </c>
      <c r="CW136" s="870"/>
      <c r="CY136" s="870" t="s">
        <v>116</v>
      </c>
      <c r="CZ136" s="870"/>
      <c r="DB136"/>
      <c r="DC136"/>
      <c r="DE136"/>
      <c r="DF136"/>
      <c r="DH136"/>
      <c r="DI136"/>
      <c r="DK136"/>
      <c r="DL136"/>
      <c r="DM136" s="3">
        <v>1</v>
      </c>
    </row>
    <row r="137" spans="2:117" s="709" customFormat="1" ht="18" customHeight="1">
      <c r="B137" s="856"/>
      <c r="C137" s="856"/>
      <c r="D137" s="856"/>
      <c r="E137" s="856"/>
      <c r="F137" s="856"/>
      <c r="G137" s="856"/>
      <c r="H137" s="856"/>
      <c r="I137" s="856"/>
      <c r="J137" s="856"/>
      <c r="K137" s="856"/>
      <c r="L137" s="856"/>
      <c r="M137" s="856"/>
      <c r="N137" s="856"/>
      <c r="O137" s="856"/>
      <c r="P137" s="856"/>
      <c r="Q137" s="856"/>
      <c r="R137" s="856"/>
      <c r="S137" s="856"/>
      <c r="T137" s="5748" t="s">
        <v>1318</v>
      </c>
      <c r="U137" s="5748"/>
      <c r="V137" s="856"/>
      <c r="W137" s="5746" t="s">
        <v>1319</v>
      </c>
      <c r="X137" s="5746"/>
      <c r="Y137" s="856"/>
      <c r="Z137" s="856"/>
      <c r="AA137" s="856"/>
      <c r="AB137" s="227"/>
      <c r="AC137" s="856"/>
      <c r="AD137" s="856"/>
      <c r="AE137" s="227"/>
      <c r="AF137" s="856"/>
      <c r="AG137" s="856"/>
      <c r="AH137" s="227"/>
      <c r="AI137" s="856"/>
      <c r="AJ137" s="856"/>
      <c r="AK137" s="856"/>
      <c r="AL137" s="856"/>
      <c r="AM137" s="856"/>
      <c r="AN137" s="856"/>
      <c r="AO137" s="856"/>
      <c r="AP137" s="856"/>
      <c r="AQ137" s="856"/>
      <c r="AS137"/>
      <c r="AT137"/>
      <c r="AV137"/>
      <c r="AW137"/>
      <c r="AY137"/>
      <c r="AZ137"/>
      <c r="BB137"/>
      <c r="BC137"/>
      <c r="BE137"/>
      <c r="BF137"/>
      <c r="BH137"/>
      <c r="BI137"/>
      <c r="BK137" s="5748" t="s">
        <v>2582</v>
      </c>
      <c r="BL137" s="5748"/>
      <c r="BN137" s="5746" t="s">
        <v>2583</v>
      </c>
      <c r="BO137" s="5746"/>
      <c r="BQ137"/>
      <c r="BR137"/>
      <c r="BT137"/>
      <c r="BU137"/>
      <c r="BW137"/>
      <c r="BX137"/>
      <c r="BY137"/>
      <c r="BZ137"/>
      <c r="CA137"/>
      <c r="CB137"/>
      <c r="CC137"/>
      <c r="CD137"/>
      <c r="CE137"/>
      <c r="CG137"/>
      <c r="CH137"/>
      <c r="CJ137"/>
      <c r="CK137"/>
      <c r="CM137"/>
      <c r="CN137"/>
      <c r="CP137"/>
      <c r="CQ137"/>
      <c r="CS137"/>
      <c r="CT137"/>
      <c r="CV137" s="5748" t="s">
        <v>2584</v>
      </c>
      <c r="CW137" s="5748"/>
      <c r="CY137" s="5746" t="s">
        <v>2585</v>
      </c>
      <c r="CZ137" s="5746"/>
      <c r="DB137"/>
      <c r="DC137"/>
      <c r="DE137"/>
      <c r="DF137"/>
      <c r="DH137"/>
      <c r="DI137"/>
      <c r="DK137"/>
      <c r="DL137"/>
      <c r="DM137" s="3">
        <v>1</v>
      </c>
    </row>
    <row r="138" spans="2:117" s="709" customFormat="1" ht="18" customHeight="1">
      <c r="B138" s="856"/>
      <c r="C138" s="856"/>
      <c r="D138" s="856"/>
      <c r="E138" s="856"/>
      <c r="F138" s="856"/>
      <c r="G138" s="856"/>
      <c r="H138" s="856"/>
      <c r="I138" s="856"/>
      <c r="J138" s="856"/>
      <c r="K138" s="856"/>
      <c r="L138" s="856"/>
      <c r="M138" s="856"/>
      <c r="N138" s="856"/>
      <c r="O138" s="856"/>
      <c r="P138" s="856"/>
      <c r="Q138" s="856"/>
      <c r="R138" s="856"/>
      <c r="S138" s="856"/>
      <c r="T138" s="5749"/>
      <c r="U138" s="5749"/>
      <c r="V138" s="856"/>
      <c r="W138" s="5747"/>
      <c r="X138" s="5747"/>
      <c r="Y138" s="856"/>
      <c r="Z138" s="856"/>
      <c r="AA138" s="856"/>
      <c r="AB138" s="227"/>
      <c r="AC138" s="856"/>
      <c r="AD138" s="856"/>
      <c r="AE138" s="227"/>
      <c r="AF138" s="856"/>
      <c r="AG138" s="856"/>
      <c r="AH138" s="227"/>
      <c r="AI138" s="856"/>
      <c r="AJ138" s="856"/>
      <c r="AK138" s="856"/>
      <c r="AL138" s="856"/>
      <c r="AM138" s="856"/>
      <c r="AN138" s="856"/>
      <c r="AO138" s="856"/>
      <c r="AP138" s="856"/>
      <c r="AQ138" s="856"/>
      <c r="AS138"/>
      <c r="AT138"/>
      <c r="AV138"/>
      <c r="AW138"/>
      <c r="AY138"/>
      <c r="AZ138"/>
      <c r="BB138"/>
      <c r="BC138"/>
      <c r="BE138"/>
      <c r="BF138"/>
      <c r="BH138"/>
      <c r="BI138"/>
      <c r="BK138" s="5749" t="s">
        <v>116</v>
      </c>
      <c r="BL138" s="5749"/>
      <c r="BN138" s="5747" t="s">
        <v>116</v>
      </c>
      <c r="BO138" s="5747"/>
      <c r="BQ138"/>
      <c r="BR138"/>
      <c r="BT138"/>
      <c r="BU138"/>
      <c r="BW138"/>
      <c r="BX138"/>
      <c r="BY138"/>
      <c r="BZ138"/>
      <c r="CA138"/>
      <c r="CB138"/>
      <c r="CC138"/>
      <c r="CD138"/>
      <c r="CE138"/>
      <c r="CG138"/>
      <c r="CH138"/>
      <c r="CJ138"/>
      <c r="CK138"/>
      <c r="CM138"/>
      <c r="CN138"/>
      <c r="CP138"/>
      <c r="CQ138"/>
      <c r="CS138"/>
      <c r="CT138"/>
      <c r="CV138" s="5749" t="s">
        <v>116</v>
      </c>
      <c r="CW138" s="5749"/>
      <c r="CY138" s="5747" t="s">
        <v>116</v>
      </c>
      <c r="CZ138" s="5747"/>
      <c r="DB138"/>
      <c r="DC138"/>
      <c r="DE138"/>
      <c r="DF138"/>
      <c r="DH138"/>
      <c r="DI138"/>
      <c r="DK138"/>
      <c r="DL138"/>
      <c r="DM138" s="3">
        <v>1</v>
      </c>
    </row>
    <row r="139" spans="2:117" s="709" customFormat="1" ht="18" customHeight="1" thickBot="1">
      <c r="B139" s="856"/>
      <c r="C139" s="856"/>
      <c r="D139" s="856"/>
      <c r="E139" s="856"/>
      <c r="F139" s="856"/>
      <c r="G139" s="856"/>
      <c r="H139" s="856"/>
      <c r="I139" s="856"/>
      <c r="J139" s="856"/>
      <c r="K139" s="856"/>
      <c r="L139" s="856"/>
      <c r="M139" s="856"/>
      <c r="N139" s="856"/>
      <c r="O139" s="856"/>
      <c r="P139" s="856"/>
      <c r="Q139" s="856"/>
      <c r="R139" s="856"/>
      <c r="S139" s="856"/>
      <c r="T139" s="870">
        <v>1</v>
      </c>
      <c r="U139" s="870">
        <v>1</v>
      </c>
      <c r="V139" s="856"/>
      <c r="W139" s="870">
        <v>1</v>
      </c>
      <c r="X139" s="870">
        <v>1</v>
      </c>
      <c r="Y139" s="856"/>
      <c r="Z139" s="856"/>
      <c r="AA139" s="856"/>
      <c r="AB139" s="227"/>
      <c r="AC139" s="856"/>
      <c r="AD139" s="856"/>
      <c r="AE139" s="227"/>
      <c r="AF139" s="856"/>
      <c r="AG139" s="856"/>
      <c r="AH139" s="227"/>
      <c r="AI139" s="856"/>
      <c r="AJ139" s="856"/>
      <c r="AK139" s="856"/>
      <c r="AL139" s="856"/>
      <c r="AM139" s="856"/>
      <c r="AN139" s="856"/>
      <c r="AO139" s="856"/>
      <c r="AP139" s="856"/>
      <c r="AQ139" s="856"/>
      <c r="AS139"/>
      <c r="AT139"/>
      <c r="AV139"/>
      <c r="AW139"/>
      <c r="AY139"/>
      <c r="AZ139"/>
      <c r="BB139"/>
      <c r="BC139"/>
      <c r="BE139"/>
      <c r="BF139"/>
      <c r="BH139"/>
      <c r="BI139"/>
      <c r="BK139" s="870" t="s">
        <v>116</v>
      </c>
      <c r="BL139" s="870"/>
      <c r="BN139" s="870" t="s">
        <v>116</v>
      </c>
      <c r="BO139" s="870"/>
      <c r="BQ139"/>
      <c r="BR139"/>
      <c r="BT139"/>
      <c r="BU139"/>
      <c r="BW139"/>
      <c r="BX139"/>
      <c r="BY139"/>
      <c r="BZ139"/>
      <c r="CA139"/>
      <c r="CB139"/>
      <c r="CC139"/>
      <c r="CD139"/>
      <c r="CE139"/>
      <c r="CG139"/>
      <c r="CH139"/>
      <c r="CJ139"/>
      <c r="CK139"/>
      <c r="CM139"/>
      <c r="CN139"/>
      <c r="CP139"/>
      <c r="CQ139"/>
      <c r="CS139"/>
      <c r="CT139"/>
      <c r="CV139" t="s">
        <v>116</v>
      </c>
      <c r="CW139"/>
      <c r="CY139" s="870" t="s">
        <v>116</v>
      </c>
      <c r="CZ139" s="870"/>
      <c r="DB139"/>
      <c r="DC139"/>
      <c r="DE139"/>
      <c r="DF139"/>
      <c r="DH139"/>
      <c r="DI139"/>
      <c r="DK139"/>
      <c r="DL139"/>
      <c r="DM139" s="3">
        <v>1</v>
      </c>
    </row>
    <row r="140" spans="2:117" s="709" customFormat="1" ht="18" customHeight="1">
      <c r="B140" s="856"/>
      <c r="C140" s="856"/>
      <c r="D140" s="856"/>
      <c r="E140" s="856"/>
      <c r="F140" s="856"/>
      <c r="G140" s="856"/>
      <c r="H140" s="856"/>
      <c r="I140" s="856"/>
      <c r="J140" s="856"/>
      <c r="K140" s="856"/>
      <c r="L140" s="856"/>
      <c r="M140" s="856"/>
      <c r="N140" s="856"/>
      <c r="O140" s="856"/>
      <c r="P140" s="856"/>
      <c r="Q140" s="856"/>
      <c r="R140" s="856"/>
      <c r="S140" s="856"/>
      <c r="T140" s="5748" t="s">
        <v>1320</v>
      </c>
      <c r="U140" s="5748"/>
      <c r="V140" s="856"/>
      <c r="W140" s="5746" t="s">
        <v>1321</v>
      </c>
      <c r="X140" s="5746"/>
      <c r="Y140" s="856"/>
      <c r="Z140" s="856"/>
      <c r="AA140" s="856"/>
      <c r="AB140" s="227"/>
      <c r="AC140" s="856"/>
      <c r="AD140" s="856"/>
      <c r="AE140" s="227"/>
      <c r="AF140" s="856"/>
      <c r="AG140" s="856"/>
      <c r="AH140" s="227"/>
      <c r="AI140" s="856"/>
      <c r="AJ140" s="856"/>
      <c r="AK140" s="856"/>
      <c r="AL140" s="856"/>
      <c r="AM140" s="856"/>
      <c r="AN140" s="856"/>
      <c r="AO140" s="856"/>
      <c r="AP140" s="856"/>
      <c r="AQ140" s="856"/>
      <c r="AS140"/>
      <c r="AT140"/>
      <c r="AV140"/>
      <c r="AW140"/>
      <c r="AY140"/>
      <c r="AZ140"/>
      <c r="BB140"/>
      <c r="BC140"/>
      <c r="BE140"/>
      <c r="BF140"/>
      <c r="BH140"/>
      <c r="BI140"/>
      <c r="BK140" s="5748" t="s">
        <v>2586</v>
      </c>
      <c r="BL140" s="5748"/>
      <c r="BN140" s="5746" t="s">
        <v>2587</v>
      </c>
      <c r="BO140" s="5746"/>
      <c r="BQ140"/>
      <c r="BR140"/>
      <c r="BT140"/>
      <c r="BU140"/>
      <c r="BW140"/>
      <c r="BX140"/>
      <c r="BY140"/>
      <c r="BZ140"/>
      <c r="CA140"/>
      <c r="CB140"/>
      <c r="CC140"/>
      <c r="CD140"/>
      <c r="CE140"/>
      <c r="CG140"/>
      <c r="CH140"/>
      <c r="CJ140"/>
      <c r="CK140"/>
      <c r="CM140"/>
      <c r="CN140"/>
      <c r="CP140"/>
      <c r="CQ140"/>
      <c r="CS140"/>
      <c r="CT140"/>
      <c r="CV140" s="5748" t="s">
        <v>2588</v>
      </c>
      <c r="CW140" s="5748"/>
      <c r="CY140" s="5746" t="s">
        <v>2589</v>
      </c>
      <c r="CZ140" s="5746"/>
      <c r="DB140"/>
      <c r="DC140"/>
      <c r="DE140"/>
      <c r="DF140"/>
      <c r="DH140"/>
      <c r="DI140"/>
      <c r="DK140"/>
      <c r="DL140"/>
      <c r="DM140" s="3">
        <v>1</v>
      </c>
    </row>
    <row r="141" spans="2:117" s="709" customFormat="1" ht="18" customHeight="1">
      <c r="B141" s="856"/>
      <c r="C141" s="856"/>
      <c r="D141" s="856"/>
      <c r="E141" s="856"/>
      <c r="F141" s="856"/>
      <c r="G141" s="856"/>
      <c r="H141" s="856"/>
      <c r="I141" s="856"/>
      <c r="J141" s="856"/>
      <c r="K141" s="856"/>
      <c r="L141" s="856"/>
      <c r="M141" s="856"/>
      <c r="N141" s="856"/>
      <c r="O141" s="856"/>
      <c r="P141" s="856"/>
      <c r="Q141" s="856"/>
      <c r="R141" s="856"/>
      <c r="S141" s="856"/>
      <c r="T141" s="5749"/>
      <c r="U141" s="5749"/>
      <c r="V141" s="856"/>
      <c r="W141" s="5747"/>
      <c r="X141" s="5747"/>
      <c r="Y141" s="856"/>
      <c r="Z141" s="856"/>
      <c r="AA141" s="856"/>
      <c r="AB141" s="227"/>
      <c r="AC141" s="856"/>
      <c r="AD141" s="856"/>
      <c r="AE141" s="227"/>
      <c r="AF141" s="856"/>
      <c r="AG141" s="856"/>
      <c r="AH141" s="227"/>
      <c r="AI141" s="856"/>
      <c r="AJ141" s="856"/>
      <c r="AK141" s="856"/>
      <c r="AL141" s="856"/>
      <c r="AM141" s="856"/>
      <c r="AN141" s="856"/>
      <c r="AO141" s="856"/>
      <c r="AP141" s="856"/>
      <c r="AQ141" s="856"/>
      <c r="AS141"/>
      <c r="AT141"/>
      <c r="AV141"/>
      <c r="AW141"/>
      <c r="AY141"/>
      <c r="AZ141"/>
      <c r="BB141"/>
      <c r="BC141"/>
      <c r="BE141"/>
      <c r="BF141"/>
      <c r="BH141"/>
      <c r="BI141"/>
      <c r="BK141" s="5749" t="s">
        <v>116</v>
      </c>
      <c r="BL141" s="5749"/>
      <c r="BN141" s="5747" t="s">
        <v>116</v>
      </c>
      <c r="BO141" s="5747"/>
      <c r="BQ141"/>
      <c r="BR141"/>
      <c r="BT141"/>
      <c r="BU141"/>
      <c r="BW141"/>
      <c r="BX141"/>
      <c r="BY141"/>
      <c r="BZ141"/>
      <c r="CA141"/>
      <c r="CB141"/>
      <c r="CC141"/>
      <c r="CD141"/>
      <c r="CE141"/>
      <c r="CG141"/>
      <c r="CH141"/>
      <c r="CJ141"/>
      <c r="CK141"/>
      <c r="CM141"/>
      <c r="CN141"/>
      <c r="CP141"/>
      <c r="CQ141"/>
      <c r="CS141"/>
      <c r="CT141"/>
      <c r="CV141" s="5749" t="s">
        <v>116</v>
      </c>
      <c r="CW141" s="5749"/>
      <c r="CY141" s="5747" t="s">
        <v>116</v>
      </c>
      <c r="CZ141" s="5747"/>
      <c r="DB141"/>
      <c r="DC141"/>
      <c r="DE141"/>
      <c r="DF141"/>
      <c r="DH141"/>
      <c r="DI141"/>
      <c r="DK141"/>
      <c r="DL141"/>
      <c r="DM141" s="3">
        <v>1</v>
      </c>
    </row>
    <row r="142" spans="2:117" s="709" customFormat="1" ht="18" customHeight="1" thickBot="1">
      <c r="B142" s="856"/>
      <c r="C142" s="856"/>
      <c r="D142" s="856"/>
      <c r="E142" s="856"/>
      <c r="F142" s="856"/>
      <c r="G142" s="856"/>
      <c r="H142" s="856"/>
      <c r="I142" s="856"/>
      <c r="J142" s="856"/>
      <c r="K142" s="856"/>
      <c r="L142" s="856"/>
      <c r="M142" s="856"/>
      <c r="N142" s="856"/>
      <c r="O142" s="856"/>
      <c r="P142" s="856"/>
      <c r="Q142" s="856"/>
      <c r="R142" s="856"/>
      <c r="S142" s="856"/>
      <c r="T142" s="870">
        <v>1</v>
      </c>
      <c r="U142" s="870">
        <v>1</v>
      </c>
      <c r="V142" s="856"/>
      <c r="W142" s="870">
        <v>1</v>
      </c>
      <c r="X142" s="870">
        <v>1</v>
      </c>
      <c r="Y142" s="856"/>
      <c r="Z142" s="856"/>
      <c r="AA142" s="856"/>
      <c r="AB142" s="227"/>
      <c r="AC142" s="856"/>
      <c r="AD142" s="856"/>
      <c r="AE142" s="227"/>
      <c r="AF142" s="856"/>
      <c r="AG142" s="856"/>
      <c r="AH142" s="227"/>
      <c r="AI142" s="856"/>
      <c r="AJ142" s="856"/>
      <c r="AK142" s="856"/>
      <c r="AL142" s="856"/>
      <c r="AM142" s="856"/>
      <c r="AN142" s="856"/>
      <c r="AO142" s="856"/>
      <c r="AP142" s="856"/>
      <c r="AQ142" s="856"/>
      <c r="AS142"/>
      <c r="AT142"/>
      <c r="AV142"/>
      <c r="AW142"/>
      <c r="AY142"/>
      <c r="AZ142"/>
      <c r="BB142"/>
      <c r="BC142"/>
      <c r="BE142"/>
      <c r="BF142"/>
      <c r="BH142"/>
      <c r="BI142"/>
      <c r="BK142" s="870" t="s">
        <v>116</v>
      </c>
      <c r="BL142" s="870"/>
      <c r="BN142" s="870" t="s">
        <v>116</v>
      </c>
      <c r="BO142" s="870"/>
      <c r="BQ142"/>
      <c r="BR142"/>
      <c r="BT142"/>
      <c r="BU142"/>
      <c r="BW142"/>
      <c r="BX142"/>
      <c r="BY142"/>
      <c r="BZ142"/>
      <c r="CA142"/>
      <c r="CB142"/>
      <c r="CC142"/>
      <c r="CD142"/>
      <c r="CE142"/>
      <c r="CG142"/>
      <c r="CH142"/>
      <c r="CJ142"/>
      <c r="CK142"/>
      <c r="CM142"/>
      <c r="CN142"/>
      <c r="CP142"/>
      <c r="CQ142"/>
      <c r="CS142"/>
      <c r="CT142"/>
      <c r="CV142" t="s">
        <v>116</v>
      </c>
      <c r="CW142"/>
      <c r="CY142" s="870" t="s">
        <v>116</v>
      </c>
      <c r="CZ142" s="870"/>
      <c r="DB142"/>
      <c r="DC142"/>
      <c r="DE142"/>
      <c r="DF142"/>
      <c r="DH142"/>
      <c r="DI142"/>
      <c r="DK142"/>
      <c r="DL142"/>
      <c r="DM142" s="3">
        <v>1</v>
      </c>
    </row>
    <row r="143" spans="2:117" s="709" customFormat="1" ht="18" customHeight="1">
      <c r="B143" s="856"/>
      <c r="C143" s="856"/>
      <c r="D143" s="856"/>
      <c r="E143" s="856"/>
      <c r="F143" s="856"/>
      <c r="G143" s="856"/>
      <c r="H143" s="856"/>
      <c r="I143" s="856"/>
      <c r="J143" s="856"/>
      <c r="K143" s="856"/>
      <c r="L143" s="856"/>
      <c r="M143" s="856"/>
      <c r="N143" s="856"/>
      <c r="O143" s="856"/>
      <c r="P143" s="856"/>
      <c r="Q143" s="856"/>
      <c r="R143" s="856"/>
      <c r="S143" s="856"/>
      <c r="T143" s="5748" t="s">
        <v>1322</v>
      </c>
      <c r="U143" s="5748"/>
      <c r="V143" s="856"/>
      <c r="W143" s="5746" t="s">
        <v>1323</v>
      </c>
      <c r="X143" s="5746"/>
      <c r="Y143" s="856"/>
      <c r="Z143" s="856"/>
      <c r="AA143" s="856"/>
      <c r="AB143" s="227"/>
      <c r="AC143" s="856"/>
      <c r="AD143" s="856"/>
      <c r="AE143" s="227"/>
      <c r="AF143" s="856"/>
      <c r="AG143" s="856"/>
      <c r="AH143" s="227"/>
      <c r="AI143" s="856"/>
      <c r="AJ143" s="856"/>
      <c r="AK143" s="856"/>
      <c r="AL143" s="856"/>
      <c r="AM143" s="856"/>
      <c r="AN143" s="856"/>
      <c r="AO143" s="856"/>
      <c r="AP143" s="856"/>
      <c r="AQ143" s="856"/>
      <c r="AS143"/>
      <c r="AT143"/>
      <c r="AV143"/>
      <c r="AW143"/>
      <c r="AY143"/>
      <c r="AZ143"/>
      <c r="BB143"/>
      <c r="BC143"/>
      <c r="BE143"/>
      <c r="BF143"/>
      <c r="BH143"/>
      <c r="BI143"/>
      <c r="BK143" s="5748" t="s">
        <v>2590</v>
      </c>
      <c r="BL143" s="5748"/>
      <c r="BN143" s="5746" t="s">
        <v>2591</v>
      </c>
      <c r="BO143" s="5746"/>
      <c r="BQ143"/>
      <c r="BR143"/>
      <c r="BT143"/>
      <c r="BU143"/>
      <c r="BW143"/>
      <c r="BX143"/>
      <c r="BY143"/>
      <c r="BZ143"/>
      <c r="CA143"/>
      <c r="CB143"/>
      <c r="CC143"/>
      <c r="CD143"/>
      <c r="CE143"/>
      <c r="CG143"/>
      <c r="CH143"/>
      <c r="CJ143"/>
      <c r="CK143"/>
      <c r="CM143"/>
      <c r="CN143"/>
      <c r="CP143"/>
      <c r="CQ143"/>
      <c r="CS143"/>
      <c r="CT143"/>
      <c r="CV143" s="5748" t="s">
        <v>2592</v>
      </c>
      <c r="CW143" s="5748"/>
      <c r="CY143" s="5746" t="s">
        <v>2593</v>
      </c>
      <c r="CZ143" s="5746"/>
      <c r="DB143"/>
      <c r="DC143"/>
      <c r="DE143"/>
      <c r="DF143"/>
      <c r="DH143"/>
      <c r="DI143"/>
      <c r="DK143"/>
      <c r="DL143"/>
      <c r="DM143" s="3">
        <v>1</v>
      </c>
    </row>
    <row r="144" spans="2:117" s="709" customFormat="1" ht="18" customHeight="1">
      <c r="B144" s="856"/>
      <c r="C144" s="856"/>
      <c r="D144" s="856"/>
      <c r="E144" s="856"/>
      <c r="F144" s="856"/>
      <c r="G144" s="856"/>
      <c r="H144" s="856"/>
      <c r="I144" s="856"/>
      <c r="J144" s="856"/>
      <c r="K144" s="856"/>
      <c r="L144" s="856"/>
      <c r="M144" s="856"/>
      <c r="N144" s="856"/>
      <c r="O144" s="856"/>
      <c r="P144" s="856"/>
      <c r="Q144" s="856"/>
      <c r="R144" s="856"/>
      <c r="S144" s="856"/>
      <c r="T144" s="5749"/>
      <c r="U144" s="5749"/>
      <c r="V144" s="856"/>
      <c r="W144" s="5747"/>
      <c r="X144" s="5747"/>
      <c r="Y144" s="856"/>
      <c r="Z144" s="856"/>
      <c r="AA144" s="856"/>
      <c r="AB144" s="227"/>
      <c r="AC144" s="856"/>
      <c r="AD144" s="856"/>
      <c r="AE144" s="227"/>
      <c r="AF144" s="856"/>
      <c r="AG144" s="856"/>
      <c r="AH144" s="227"/>
      <c r="AI144" s="856"/>
      <c r="AJ144" s="856"/>
      <c r="AK144" s="856"/>
      <c r="AL144" s="856"/>
      <c r="AM144" s="856"/>
      <c r="AN144" s="856"/>
      <c r="AO144" s="856"/>
      <c r="AP144" s="856"/>
      <c r="AQ144" s="856"/>
      <c r="AS144"/>
      <c r="AT144"/>
      <c r="AV144"/>
      <c r="AW144"/>
      <c r="AY144"/>
      <c r="AZ144"/>
      <c r="BB144"/>
      <c r="BC144"/>
      <c r="BE144"/>
      <c r="BF144"/>
      <c r="BH144"/>
      <c r="BI144"/>
      <c r="BK144" s="5749" t="s">
        <v>116</v>
      </c>
      <c r="BL144" s="5749"/>
      <c r="BN144" s="5747" t="s">
        <v>116</v>
      </c>
      <c r="BO144" s="5747"/>
      <c r="BQ144"/>
      <c r="BR144"/>
      <c r="BT144"/>
      <c r="BU144"/>
      <c r="BW144"/>
      <c r="BX144"/>
      <c r="BY144"/>
      <c r="BZ144"/>
      <c r="CA144"/>
      <c r="CB144"/>
      <c r="CC144"/>
      <c r="CD144"/>
      <c r="CE144"/>
      <c r="CG144"/>
      <c r="CH144"/>
      <c r="CJ144"/>
      <c r="CK144"/>
      <c r="CM144"/>
      <c r="CN144"/>
      <c r="CP144"/>
      <c r="CQ144"/>
      <c r="CS144"/>
      <c r="CT144"/>
      <c r="CV144" s="5749" t="s">
        <v>116</v>
      </c>
      <c r="CW144" s="5749"/>
      <c r="CY144" s="5747" t="s">
        <v>116</v>
      </c>
      <c r="CZ144" s="5747"/>
      <c r="DB144"/>
      <c r="DC144"/>
      <c r="DE144"/>
      <c r="DF144"/>
      <c r="DH144"/>
      <c r="DI144"/>
      <c r="DK144"/>
      <c r="DL144"/>
      <c r="DM144" s="3">
        <v>1</v>
      </c>
    </row>
    <row r="145" spans="2:117" s="709" customFormat="1" ht="18" customHeight="1" thickBot="1">
      <c r="B145" s="856"/>
      <c r="C145" s="856"/>
      <c r="D145" s="856"/>
      <c r="E145" s="856"/>
      <c r="F145" s="856"/>
      <c r="G145" s="856"/>
      <c r="H145" s="856"/>
      <c r="I145" s="856"/>
      <c r="J145" s="856"/>
      <c r="K145" s="856"/>
      <c r="L145" s="856"/>
      <c r="M145" s="856"/>
      <c r="N145" s="856"/>
      <c r="O145" s="856"/>
      <c r="P145" s="856"/>
      <c r="Q145" s="856"/>
      <c r="R145" s="856"/>
      <c r="S145" s="856"/>
      <c r="T145" s="856"/>
      <c r="U145" s="856"/>
      <c r="V145" s="856"/>
      <c r="W145" s="870">
        <v>1</v>
      </c>
      <c r="X145" s="870">
        <v>1</v>
      </c>
      <c r="Y145" s="856"/>
      <c r="Z145" s="856"/>
      <c r="AA145" s="856"/>
      <c r="AB145" s="227"/>
      <c r="AC145" s="856"/>
      <c r="AD145" s="856"/>
      <c r="AE145" s="227"/>
      <c r="AF145" s="856"/>
      <c r="AG145" s="856"/>
      <c r="AH145" s="227"/>
      <c r="AI145" s="856"/>
      <c r="AJ145" s="856"/>
      <c r="AK145" s="856"/>
      <c r="AL145" s="856"/>
      <c r="AM145" s="856"/>
      <c r="AN145" s="856"/>
      <c r="AO145" s="856"/>
      <c r="AP145" s="856"/>
      <c r="AQ145" s="856"/>
      <c r="AS145"/>
      <c r="AT145"/>
      <c r="AV145"/>
      <c r="AW145"/>
      <c r="AY145"/>
      <c r="AZ145"/>
      <c r="BB145"/>
      <c r="BC145"/>
      <c r="BE145"/>
      <c r="BF145"/>
      <c r="BH145"/>
      <c r="BI145"/>
      <c r="BK145" t="s">
        <v>116</v>
      </c>
      <c r="BL145"/>
      <c r="BN145" s="870" t="s">
        <v>116</v>
      </c>
      <c r="BO145" s="870"/>
      <c r="BQ145"/>
      <c r="BR145"/>
      <c r="BT145"/>
      <c r="BU145"/>
      <c r="BW145"/>
      <c r="BX145"/>
      <c r="BY145"/>
      <c r="BZ145"/>
      <c r="CA145"/>
      <c r="CB145"/>
      <c r="CC145"/>
      <c r="CD145"/>
      <c r="CE145"/>
      <c r="CG145"/>
      <c r="CH145"/>
      <c r="CJ145"/>
      <c r="CK145"/>
      <c r="CM145"/>
      <c r="CN145"/>
      <c r="CP145"/>
      <c r="CQ145"/>
      <c r="CS145"/>
      <c r="CT145"/>
      <c r="CV145" t="s">
        <v>116</v>
      </c>
      <c r="CW145"/>
      <c r="CY145" s="870" t="s">
        <v>116</v>
      </c>
      <c r="CZ145" s="870"/>
      <c r="DB145"/>
      <c r="DC145"/>
      <c r="DE145"/>
      <c r="DF145"/>
      <c r="DH145"/>
      <c r="DI145"/>
      <c r="DK145"/>
      <c r="DL145"/>
      <c r="DM145" s="3">
        <v>1</v>
      </c>
    </row>
    <row r="146" spans="2:117" s="709" customFormat="1" ht="18" customHeight="1">
      <c r="B146" s="856"/>
      <c r="C146" s="856"/>
      <c r="D146" s="856"/>
      <c r="E146" s="856"/>
      <c r="F146" s="856"/>
      <c r="G146" s="856"/>
      <c r="H146" s="856"/>
      <c r="I146" s="856"/>
      <c r="J146" s="856"/>
      <c r="K146" s="856"/>
      <c r="L146" s="856"/>
      <c r="M146" s="856"/>
      <c r="N146" s="856"/>
      <c r="O146" s="856"/>
      <c r="P146" s="856"/>
      <c r="Q146" s="856"/>
      <c r="R146" s="856"/>
      <c r="S146" s="856"/>
      <c r="T146" s="5748"/>
      <c r="U146" s="5748"/>
      <c r="V146" s="856"/>
      <c r="W146" s="5746" t="s">
        <v>1324</v>
      </c>
      <c r="X146" s="5746"/>
      <c r="Y146" s="856"/>
      <c r="Z146" s="856"/>
      <c r="AA146" s="856"/>
      <c r="AB146" s="227"/>
      <c r="AC146" s="856"/>
      <c r="AD146" s="856"/>
      <c r="AE146" s="227"/>
      <c r="AF146" s="856"/>
      <c r="AG146" s="856"/>
      <c r="AH146" s="227"/>
      <c r="AI146" s="856"/>
      <c r="AJ146" s="856"/>
      <c r="AK146" s="856"/>
      <c r="AL146" s="856"/>
      <c r="AM146" s="856"/>
      <c r="AN146" s="856"/>
      <c r="AO146" s="856"/>
      <c r="AP146" s="856"/>
      <c r="AQ146" s="856"/>
      <c r="AS146"/>
      <c r="AT146"/>
      <c r="AV146"/>
      <c r="AW146"/>
      <c r="AY146"/>
      <c r="AZ146"/>
      <c r="BB146"/>
      <c r="BC146"/>
      <c r="BE146"/>
      <c r="BF146"/>
      <c r="BH146"/>
      <c r="BI146"/>
      <c r="BK146" s="5748" t="s">
        <v>2594</v>
      </c>
      <c r="BL146" s="5748"/>
      <c r="BN146" s="5746" t="s">
        <v>2595</v>
      </c>
      <c r="BO146" s="5746"/>
      <c r="BQ146"/>
      <c r="BR146"/>
      <c r="BT146"/>
      <c r="BU146"/>
      <c r="BW146"/>
      <c r="BX146"/>
      <c r="BY146"/>
      <c r="BZ146"/>
      <c r="CA146"/>
      <c r="CB146"/>
      <c r="CC146"/>
      <c r="CD146"/>
      <c r="CE146"/>
      <c r="CG146"/>
      <c r="CH146"/>
      <c r="CJ146"/>
      <c r="CK146"/>
      <c r="CM146"/>
      <c r="CN146"/>
      <c r="CP146"/>
      <c r="CQ146"/>
      <c r="CS146"/>
      <c r="CT146"/>
      <c r="CV146" s="5748" t="s">
        <v>2596</v>
      </c>
      <c r="CW146" s="5748"/>
      <c r="CY146" s="5746" t="s">
        <v>2597</v>
      </c>
      <c r="CZ146" s="5746"/>
      <c r="DB146"/>
      <c r="DC146"/>
      <c r="DE146"/>
      <c r="DF146"/>
      <c r="DH146"/>
      <c r="DI146"/>
      <c r="DK146"/>
      <c r="DL146"/>
      <c r="DM146" s="3">
        <v>1</v>
      </c>
    </row>
    <row r="147" spans="2:117" s="709" customFormat="1" ht="18" customHeight="1">
      <c r="B147" s="856"/>
      <c r="C147" s="856"/>
      <c r="D147" s="856"/>
      <c r="E147" s="856"/>
      <c r="F147" s="856"/>
      <c r="G147" s="856"/>
      <c r="H147" s="856"/>
      <c r="I147" s="856"/>
      <c r="J147" s="856"/>
      <c r="K147" s="856"/>
      <c r="L147" s="856"/>
      <c r="M147" s="856"/>
      <c r="N147" s="856"/>
      <c r="O147" s="856"/>
      <c r="P147" s="856"/>
      <c r="Q147" s="856"/>
      <c r="R147" s="856"/>
      <c r="S147" s="856"/>
      <c r="T147" s="5749"/>
      <c r="U147" s="5749"/>
      <c r="V147" s="856"/>
      <c r="W147" s="5747"/>
      <c r="X147" s="5747"/>
      <c r="Y147" s="856"/>
      <c r="Z147" s="856"/>
      <c r="AA147" s="856"/>
      <c r="AB147" s="227"/>
      <c r="AC147" s="856"/>
      <c r="AD147" s="856"/>
      <c r="AE147" s="227"/>
      <c r="AF147" s="856"/>
      <c r="AG147" s="856"/>
      <c r="AH147" s="227"/>
      <c r="AI147" s="856"/>
      <c r="AJ147" s="856"/>
      <c r="AK147" s="856"/>
      <c r="AL147" s="856"/>
      <c r="AM147" s="856"/>
      <c r="AN147" s="856"/>
      <c r="AO147" s="856"/>
      <c r="AP147" s="856"/>
      <c r="AQ147" s="856"/>
      <c r="AS147"/>
      <c r="AT147"/>
      <c r="AV147"/>
      <c r="AW147"/>
      <c r="AY147"/>
      <c r="AZ147"/>
      <c r="BB147"/>
      <c r="BC147"/>
      <c r="BE147"/>
      <c r="BF147"/>
      <c r="BH147"/>
      <c r="BI147"/>
      <c r="BK147" s="5749" t="s">
        <v>116</v>
      </c>
      <c r="BL147" s="5749"/>
      <c r="BN147" s="5747" t="s">
        <v>116</v>
      </c>
      <c r="BO147" s="5747"/>
      <c r="BQ147"/>
      <c r="BR147"/>
      <c r="BT147"/>
      <c r="BU147"/>
      <c r="BW147"/>
      <c r="BX147"/>
      <c r="BY147"/>
      <c r="BZ147"/>
      <c r="CA147"/>
      <c r="CB147"/>
      <c r="CC147"/>
      <c r="CD147"/>
      <c r="CE147"/>
      <c r="CG147"/>
      <c r="CH147"/>
      <c r="CJ147"/>
      <c r="CK147"/>
      <c r="CM147" t="s">
        <v>116</v>
      </c>
      <c r="CN147"/>
      <c r="CP147"/>
      <c r="CQ147"/>
      <c r="CS147" t="s">
        <v>116</v>
      </c>
      <c r="CT147"/>
      <c r="CV147" s="5749" t="s">
        <v>116</v>
      </c>
      <c r="CW147" s="5749"/>
      <c r="CY147" s="5747" t="s">
        <v>116</v>
      </c>
      <c r="CZ147" s="5747"/>
      <c r="DB147"/>
      <c r="DC147"/>
      <c r="DE147"/>
      <c r="DF147"/>
      <c r="DH147"/>
      <c r="DI147"/>
      <c r="DK147"/>
      <c r="DL147"/>
      <c r="DM147" s="3">
        <v>1</v>
      </c>
    </row>
    <row r="148" spans="2:117" s="709" customFormat="1" ht="18" customHeight="1" thickBot="1">
      <c r="B148" s="856"/>
      <c r="C148" s="856"/>
      <c r="D148" s="856"/>
      <c r="E148" s="856"/>
      <c r="F148" s="856"/>
      <c r="G148" s="856"/>
      <c r="H148" s="856"/>
      <c r="I148" s="856"/>
      <c r="J148" s="856"/>
      <c r="K148" s="856"/>
      <c r="L148" s="856"/>
      <c r="M148" s="856"/>
      <c r="N148" s="856"/>
      <c r="O148" s="856"/>
      <c r="P148" s="856"/>
      <c r="Q148" s="856"/>
      <c r="R148" s="856"/>
      <c r="S148" s="856"/>
      <c r="T148" s="856"/>
      <c r="U148" s="856"/>
      <c r="V148" s="856"/>
      <c r="W148" s="870">
        <v>1</v>
      </c>
      <c r="X148" s="870">
        <v>1</v>
      </c>
      <c r="Y148" s="856"/>
      <c r="Z148" s="856"/>
      <c r="AA148" s="856"/>
      <c r="AB148" s="227"/>
      <c r="AC148" s="856"/>
      <c r="AD148" s="856"/>
      <c r="AE148" s="227"/>
      <c r="AF148" s="856"/>
      <c r="AG148" s="856"/>
      <c r="AH148" s="227"/>
      <c r="AI148" s="856"/>
      <c r="AJ148" s="856"/>
      <c r="AK148" s="856"/>
      <c r="AL148" s="856"/>
      <c r="AM148" s="856"/>
      <c r="AN148" s="856"/>
      <c r="AO148" s="856"/>
      <c r="AP148" s="856"/>
      <c r="AQ148" s="856"/>
      <c r="AS148"/>
      <c r="AT148"/>
      <c r="AV148"/>
      <c r="AW148"/>
      <c r="AY148"/>
      <c r="AZ148"/>
      <c r="BB148"/>
      <c r="BC148"/>
      <c r="BE148"/>
      <c r="BF148"/>
      <c r="BH148"/>
      <c r="BI148"/>
      <c r="BL148"/>
      <c r="BN148" s="870" t="s">
        <v>116</v>
      </c>
      <c r="BO148" s="870"/>
      <c r="BQ148"/>
      <c r="BR148"/>
      <c r="BT148"/>
      <c r="BU148"/>
      <c r="BW148"/>
      <c r="BX148"/>
      <c r="BY148"/>
      <c r="BZ148"/>
      <c r="CA148"/>
      <c r="CB148"/>
      <c r="CC148"/>
      <c r="CD148"/>
      <c r="CE148"/>
      <c r="CG148"/>
      <c r="CH148"/>
      <c r="CJ148"/>
      <c r="CK148"/>
      <c r="CM148" t="s">
        <v>116</v>
      </c>
      <c r="CN148"/>
      <c r="CP148"/>
      <c r="CQ148"/>
      <c r="CS148" t="s">
        <v>116</v>
      </c>
      <c r="CT148"/>
      <c r="CV148" t="s">
        <v>116</v>
      </c>
      <c r="CW148"/>
      <c r="CY148" s="870" t="s">
        <v>116</v>
      </c>
      <c r="CZ148" s="870"/>
      <c r="DB148"/>
      <c r="DC148"/>
      <c r="DE148"/>
      <c r="DF148"/>
      <c r="DH148"/>
      <c r="DI148"/>
      <c r="DK148"/>
      <c r="DL148"/>
      <c r="DM148" s="3">
        <v>1</v>
      </c>
    </row>
    <row r="149" spans="2:117" s="709" customFormat="1" ht="18" customHeight="1">
      <c r="B149" s="856"/>
      <c r="C149" s="856"/>
      <c r="D149" s="856"/>
      <c r="E149" s="856"/>
      <c r="F149" s="856"/>
      <c r="G149" s="856"/>
      <c r="H149" s="856"/>
      <c r="I149" s="856"/>
      <c r="J149" s="856"/>
      <c r="K149" s="856"/>
      <c r="L149" s="856"/>
      <c r="M149" s="856"/>
      <c r="N149" s="856"/>
      <c r="O149" s="856"/>
      <c r="P149" s="856"/>
      <c r="Q149" s="856"/>
      <c r="R149" s="856"/>
      <c r="S149" s="856"/>
      <c r="T149" s="856"/>
      <c r="U149" s="856"/>
      <c r="V149" s="856"/>
      <c r="W149" s="5746" t="s">
        <v>1325</v>
      </c>
      <c r="X149" s="5746"/>
      <c r="Y149" s="856"/>
      <c r="Z149" s="856"/>
      <c r="AA149" s="856"/>
      <c r="AB149" s="227"/>
      <c r="AC149" s="856"/>
      <c r="AD149" s="856"/>
      <c r="AE149" s="227"/>
      <c r="AF149" s="856"/>
      <c r="AG149" s="856"/>
      <c r="AH149" s="227"/>
      <c r="AI149" s="856"/>
      <c r="AJ149" s="856"/>
      <c r="AK149" s="856"/>
      <c r="AL149" s="856"/>
      <c r="AM149" s="856"/>
      <c r="AN149" s="856"/>
      <c r="AO149" s="856"/>
      <c r="AP149" s="856"/>
      <c r="AQ149" s="856"/>
      <c r="AS149"/>
      <c r="AT149"/>
      <c r="AV149"/>
      <c r="AW149"/>
      <c r="AY149"/>
      <c r="AZ149"/>
      <c r="BB149"/>
      <c r="BC149"/>
      <c r="BE149"/>
      <c r="BF149"/>
      <c r="BH149"/>
      <c r="BI149"/>
      <c r="BK149" s="5748"/>
      <c r="BL149" s="5748"/>
      <c r="BN149" s="5746" t="s">
        <v>2598</v>
      </c>
      <c r="BO149" s="5746"/>
      <c r="BQ149"/>
      <c r="BR149"/>
      <c r="BT149"/>
      <c r="BU149"/>
      <c r="BW149"/>
      <c r="BX149"/>
      <c r="BY149"/>
      <c r="BZ149"/>
      <c r="CA149"/>
      <c r="CB149"/>
      <c r="CC149"/>
      <c r="CD149"/>
      <c r="CE149"/>
      <c r="CG149"/>
      <c r="CH149"/>
      <c r="CJ149"/>
      <c r="CK149"/>
      <c r="CM149"/>
      <c r="CN149"/>
      <c r="CP149"/>
      <c r="CQ149"/>
      <c r="CS149"/>
      <c r="CT149"/>
      <c r="CV149" s="5748"/>
      <c r="CW149" s="5748"/>
      <c r="CY149" s="5746" t="s">
        <v>2599</v>
      </c>
      <c r="CZ149" s="5746"/>
      <c r="DB149"/>
      <c r="DC149"/>
      <c r="DE149"/>
      <c r="DF149"/>
      <c r="DH149"/>
      <c r="DI149"/>
      <c r="DK149"/>
      <c r="DL149"/>
      <c r="DM149" s="3">
        <v>1</v>
      </c>
    </row>
    <row r="150" spans="2:117" s="709" customFormat="1" ht="18" customHeight="1">
      <c r="B150" s="856"/>
      <c r="C150" s="856"/>
      <c r="D150" s="856"/>
      <c r="E150" s="856"/>
      <c r="F150" s="856"/>
      <c r="G150" s="856"/>
      <c r="H150" s="856"/>
      <c r="I150" s="856"/>
      <c r="J150" s="856"/>
      <c r="K150" s="856"/>
      <c r="L150" s="856"/>
      <c r="M150" s="856"/>
      <c r="N150" s="856"/>
      <c r="O150" s="856"/>
      <c r="P150" s="856"/>
      <c r="Q150" s="856"/>
      <c r="R150" s="856"/>
      <c r="S150" s="856"/>
      <c r="T150" s="856"/>
      <c r="U150" s="856"/>
      <c r="V150" s="856"/>
      <c r="W150" s="5747"/>
      <c r="X150" s="5747"/>
      <c r="Y150" s="856"/>
      <c r="Z150" s="856"/>
      <c r="AA150" s="856"/>
      <c r="AB150" s="227"/>
      <c r="AC150" s="856"/>
      <c r="AD150" s="856"/>
      <c r="AE150" s="227"/>
      <c r="AF150" s="856"/>
      <c r="AG150" s="856"/>
      <c r="AH150" s="227"/>
      <c r="AI150" s="856"/>
      <c r="AJ150" s="856"/>
      <c r="AK150" s="856"/>
      <c r="AL150" s="856"/>
      <c r="AM150" s="856"/>
      <c r="AN150" s="856"/>
      <c r="AO150" s="856"/>
      <c r="AP150" s="856"/>
      <c r="AQ150" s="856"/>
      <c r="AS150"/>
      <c r="AT150"/>
      <c r="AV150"/>
      <c r="AW150"/>
      <c r="AY150"/>
      <c r="AZ150"/>
      <c r="BB150"/>
      <c r="BC150"/>
      <c r="BE150"/>
      <c r="BF150"/>
      <c r="BH150"/>
      <c r="BI150"/>
      <c r="BK150" s="5749"/>
      <c r="BL150" s="5749"/>
      <c r="BN150" s="5747" t="s">
        <v>116</v>
      </c>
      <c r="BO150" s="5747"/>
      <c r="BQ150"/>
      <c r="BR150"/>
      <c r="BT150"/>
      <c r="BU150"/>
      <c r="BW150"/>
      <c r="BX150"/>
      <c r="BY150"/>
      <c r="BZ150"/>
      <c r="CA150"/>
      <c r="CB150"/>
      <c r="CC150"/>
      <c r="CD150"/>
      <c r="CE150"/>
      <c r="CG150"/>
      <c r="CH150"/>
      <c r="CJ150"/>
      <c r="CK150"/>
      <c r="CM150"/>
      <c r="CN150"/>
      <c r="CP150"/>
      <c r="CQ150"/>
      <c r="CS150"/>
      <c r="CT150"/>
      <c r="CV150" s="5749"/>
      <c r="CW150" s="5749"/>
      <c r="CY150" s="5747" t="s">
        <v>116</v>
      </c>
      <c r="CZ150" s="5747"/>
      <c r="DB150"/>
      <c r="DC150"/>
      <c r="DE150"/>
      <c r="DF150"/>
      <c r="DH150"/>
      <c r="DI150"/>
      <c r="DK150"/>
      <c r="DL150"/>
      <c r="DM150" s="3">
        <v>1</v>
      </c>
    </row>
    <row r="151" spans="2:117" s="709" customFormat="1" ht="18" customHeight="1" thickBot="1">
      <c r="B151" s="856"/>
      <c r="C151" s="856"/>
      <c r="D151" s="856"/>
      <c r="E151" s="856"/>
      <c r="F151" s="856"/>
      <c r="G151" s="856"/>
      <c r="H151" s="856"/>
      <c r="I151" s="856"/>
      <c r="J151" s="856"/>
      <c r="K151" s="856"/>
      <c r="L151" s="856"/>
      <c r="M151" s="856"/>
      <c r="N151" s="856"/>
      <c r="O151" s="856"/>
      <c r="P151" s="856"/>
      <c r="Q151" s="856"/>
      <c r="R151" s="856"/>
      <c r="S151" s="856"/>
      <c r="T151" s="856"/>
      <c r="U151" s="856"/>
      <c r="V151" s="856"/>
      <c r="W151" s="870">
        <v>1</v>
      </c>
      <c r="X151" s="870">
        <v>1</v>
      </c>
      <c r="Y151" s="856"/>
      <c r="Z151" s="856"/>
      <c r="AA151" s="856"/>
      <c r="AB151" s="227"/>
      <c r="AC151" s="856"/>
      <c r="AD151" s="856"/>
      <c r="AE151" s="227"/>
      <c r="AF151" s="856"/>
      <c r="AG151" s="856"/>
      <c r="AH151" s="227"/>
      <c r="AI151" s="856"/>
      <c r="AJ151" s="856"/>
      <c r="AK151" s="856"/>
      <c r="AL151" s="856"/>
      <c r="AM151" s="856"/>
      <c r="AN151" s="856"/>
      <c r="AO151" s="856"/>
      <c r="AP151" s="856"/>
      <c r="AQ151" s="856"/>
      <c r="AS151"/>
      <c r="AT151"/>
      <c r="AV151"/>
      <c r="AW151"/>
      <c r="AY151"/>
      <c r="AZ151"/>
      <c r="BB151"/>
      <c r="BC151"/>
      <c r="BE151"/>
      <c r="BF151"/>
      <c r="BH151"/>
      <c r="BI151"/>
      <c r="BK151"/>
      <c r="BL151"/>
      <c r="BN151" s="870" t="s">
        <v>116</v>
      </c>
      <c r="BO151" s="870"/>
      <c r="BQ151"/>
      <c r="BR151"/>
      <c r="BT151"/>
      <c r="BU151"/>
      <c r="BW151"/>
      <c r="BX151"/>
      <c r="BY151"/>
      <c r="BZ151"/>
      <c r="CA151"/>
      <c r="CB151"/>
      <c r="CC151"/>
      <c r="CD151"/>
      <c r="CE151"/>
      <c r="CG151"/>
      <c r="CH151"/>
      <c r="CJ151"/>
      <c r="CK151"/>
      <c r="CM151"/>
      <c r="CN151"/>
      <c r="CP151"/>
      <c r="CQ151"/>
      <c r="CS151"/>
      <c r="CT151"/>
      <c r="CV151"/>
      <c r="CW151"/>
      <c r="CY151" s="870" t="s">
        <v>116</v>
      </c>
      <c r="CZ151" s="870"/>
      <c r="DB151"/>
      <c r="DC151"/>
      <c r="DE151"/>
      <c r="DF151"/>
      <c r="DH151"/>
      <c r="DI151"/>
      <c r="DK151"/>
      <c r="DL151"/>
      <c r="DM151" s="3">
        <v>1</v>
      </c>
    </row>
    <row r="152" spans="2:117" s="709" customFormat="1" ht="18" customHeight="1">
      <c r="B152" s="856"/>
      <c r="C152" s="856"/>
      <c r="D152" s="856"/>
      <c r="E152" s="856"/>
      <c r="F152" s="856"/>
      <c r="G152" s="856"/>
      <c r="H152" s="856"/>
      <c r="I152" s="856"/>
      <c r="J152" s="856"/>
      <c r="K152" s="856"/>
      <c r="L152" s="856"/>
      <c r="M152" s="856"/>
      <c r="N152" s="856"/>
      <c r="O152" s="856"/>
      <c r="P152" s="856"/>
      <c r="Q152" s="856"/>
      <c r="R152" s="856"/>
      <c r="S152" s="856"/>
      <c r="T152" s="856"/>
      <c r="U152" s="856"/>
      <c r="V152" s="856"/>
      <c r="W152" s="5746" t="s">
        <v>1326</v>
      </c>
      <c r="X152" s="5746"/>
      <c r="Y152" s="856"/>
      <c r="Z152" s="856"/>
      <c r="AA152" s="856"/>
      <c r="AB152" s="227"/>
      <c r="AC152" s="856"/>
      <c r="AD152" s="856"/>
      <c r="AE152" s="227"/>
      <c r="AF152" s="856"/>
      <c r="AG152" s="856"/>
      <c r="AH152" s="227"/>
      <c r="AI152" s="856"/>
      <c r="AJ152" s="856"/>
      <c r="AK152" s="856"/>
      <c r="AL152" s="856"/>
      <c r="AM152" s="856"/>
      <c r="AN152" s="856"/>
      <c r="AO152" s="856"/>
      <c r="AP152" s="856"/>
      <c r="AQ152" s="856"/>
      <c r="AS152"/>
      <c r="AT152"/>
      <c r="AV152"/>
      <c r="AW152"/>
      <c r="AY152"/>
      <c r="AZ152"/>
      <c r="BB152"/>
      <c r="BC152"/>
      <c r="BE152"/>
      <c r="BF152"/>
      <c r="BH152"/>
      <c r="BI152"/>
      <c r="BK152"/>
      <c r="BL152"/>
      <c r="BN152" s="5746" t="s">
        <v>2600</v>
      </c>
      <c r="BO152" s="5746"/>
      <c r="BQ152"/>
      <c r="BR152"/>
      <c r="BT152"/>
      <c r="BU152"/>
      <c r="BW152"/>
      <c r="BX152"/>
      <c r="BY152"/>
      <c r="BZ152"/>
      <c r="CA152"/>
      <c r="CB152"/>
      <c r="CC152"/>
      <c r="CD152"/>
      <c r="CE152"/>
      <c r="CG152"/>
      <c r="CH152"/>
      <c r="CJ152"/>
      <c r="CK152"/>
      <c r="CM152"/>
      <c r="CN152"/>
      <c r="CP152"/>
      <c r="CQ152"/>
      <c r="CS152"/>
      <c r="CT152"/>
      <c r="CV152"/>
      <c r="CW152"/>
      <c r="CY152" s="5746" t="s">
        <v>2601</v>
      </c>
      <c r="CZ152" s="5746"/>
      <c r="DB152"/>
      <c r="DC152"/>
      <c r="DE152"/>
      <c r="DF152"/>
      <c r="DH152"/>
      <c r="DI152"/>
      <c r="DK152"/>
      <c r="DL152"/>
      <c r="DM152" s="3">
        <v>1</v>
      </c>
    </row>
    <row r="153" spans="2:117" s="709" customFormat="1" ht="18" customHeight="1">
      <c r="B153" s="856"/>
      <c r="C153" s="856"/>
      <c r="D153" s="856"/>
      <c r="E153" s="856"/>
      <c r="F153" s="856"/>
      <c r="G153" s="856"/>
      <c r="H153" s="856"/>
      <c r="I153" s="856"/>
      <c r="J153" s="856"/>
      <c r="K153" s="856"/>
      <c r="L153" s="856"/>
      <c r="M153" s="856"/>
      <c r="N153" s="856"/>
      <c r="O153" s="856"/>
      <c r="P153" s="856"/>
      <c r="Q153" s="856"/>
      <c r="R153" s="856"/>
      <c r="S153" s="856"/>
      <c r="T153" s="856"/>
      <c r="U153" s="856"/>
      <c r="V153" s="856"/>
      <c r="W153" s="5747"/>
      <c r="X153" s="5747"/>
      <c r="Y153" s="856"/>
      <c r="Z153" s="856"/>
      <c r="AA153" s="856"/>
      <c r="AB153" s="227"/>
      <c r="AC153" s="856"/>
      <c r="AD153" s="856"/>
      <c r="AE153" s="227"/>
      <c r="AF153" s="856"/>
      <c r="AG153" s="856"/>
      <c r="AH153" s="227"/>
      <c r="AI153" s="856"/>
      <c r="AJ153" s="856"/>
      <c r="AK153" s="856"/>
      <c r="AL153" s="856"/>
      <c r="AM153" s="856"/>
      <c r="AN153" s="856"/>
      <c r="AO153" s="856"/>
      <c r="AP153" s="856"/>
      <c r="AQ153" s="856"/>
      <c r="AS153"/>
      <c r="AT153"/>
      <c r="AV153"/>
      <c r="AW153"/>
      <c r="AY153"/>
      <c r="AZ153"/>
      <c r="BB153"/>
      <c r="BC153"/>
      <c r="BE153"/>
      <c r="BF153"/>
      <c r="BH153"/>
      <c r="BI153"/>
      <c r="BK153"/>
      <c r="BL153"/>
      <c r="BN153" s="5747" t="s">
        <v>116</v>
      </c>
      <c r="BO153" s="5747"/>
      <c r="BQ153"/>
      <c r="BR153"/>
      <c r="BT153"/>
      <c r="BU153"/>
      <c r="BW153"/>
      <c r="BX153"/>
      <c r="BY153"/>
      <c r="BZ153"/>
      <c r="CA153"/>
      <c r="CB153"/>
      <c r="CC153"/>
      <c r="CD153"/>
      <c r="CE153"/>
      <c r="CG153"/>
      <c r="CH153"/>
      <c r="CJ153"/>
      <c r="CK153"/>
      <c r="CM153"/>
      <c r="CN153"/>
      <c r="CP153"/>
      <c r="CQ153"/>
      <c r="CS153"/>
      <c r="CT153"/>
      <c r="CV153"/>
      <c r="CW153"/>
      <c r="CY153" s="5747" t="s">
        <v>116</v>
      </c>
      <c r="CZ153" s="5747"/>
      <c r="DB153"/>
      <c r="DC153"/>
      <c r="DE153"/>
      <c r="DF153"/>
      <c r="DH153"/>
      <c r="DI153"/>
      <c r="DK153"/>
      <c r="DL153"/>
      <c r="DM153" s="3">
        <v>1</v>
      </c>
    </row>
    <row r="154" spans="2:117" s="709" customFormat="1" ht="18" customHeight="1" thickBot="1">
      <c r="B154" s="856"/>
      <c r="C154" s="856"/>
      <c r="D154" s="856"/>
      <c r="E154" s="856"/>
      <c r="F154" s="856"/>
      <c r="G154" s="856"/>
      <c r="H154" s="856"/>
      <c r="I154" s="856"/>
      <c r="J154" s="856"/>
      <c r="K154" s="856"/>
      <c r="L154" s="856"/>
      <c r="M154" s="856"/>
      <c r="N154" s="856"/>
      <c r="O154" s="856"/>
      <c r="P154" s="856"/>
      <c r="Q154" s="856"/>
      <c r="R154" s="856"/>
      <c r="S154" s="856"/>
      <c r="T154" s="856"/>
      <c r="U154" s="856"/>
      <c r="V154" s="856"/>
      <c r="W154" s="870">
        <v>1</v>
      </c>
      <c r="X154" s="870">
        <v>1</v>
      </c>
      <c r="Y154" s="856"/>
      <c r="Z154" s="856"/>
      <c r="AA154" s="856"/>
      <c r="AB154" s="227"/>
      <c r="AC154" s="856"/>
      <c r="AD154" s="856"/>
      <c r="AE154" s="227"/>
      <c r="AF154" s="856"/>
      <c r="AG154" s="856"/>
      <c r="AH154" s="227"/>
      <c r="AI154" s="856"/>
      <c r="AJ154" s="856"/>
      <c r="AK154" s="856"/>
      <c r="AL154" s="856"/>
      <c r="AM154" s="856"/>
      <c r="AN154" s="856"/>
      <c r="AO154" s="856"/>
      <c r="AP154" s="856"/>
      <c r="AQ154" s="856"/>
      <c r="AS154"/>
      <c r="AT154"/>
      <c r="AV154"/>
      <c r="AW154"/>
      <c r="AY154"/>
      <c r="AZ154"/>
      <c r="BB154"/>
      <c r="BC154"/>
      <c r="BE154"/>
      <c r="BF154"/>
      <c r="BH154"/>
      <c r="BI154"/>
      <c r="BK154"/>
      <c r="BL154"/>
      <c r="BN154" s="870" t="s">
        <v>116</v>
      </c>
      <c r="BO154" s="870"/>
      <c r="BQ154"/>
      <c r="BR154"/>
      <c r="BT154"/>
      <c r="BU154"/>
      <c r="BW154"/>
      <c r="BX154"/>
      <c r="BY154"/>
      <c r="BZ154"/>
      <c r="CA154"/>
      <c r="CB154"/>
      <c r="CC154"/>
      <c r="CD154"/>
      <c r="CE154"/>
      <c r="CG154"/>
      <c r="CH154"/>
      <c r="CJ154"/>
      <c r="CK154"/>
      <c r="CM154"/>
      <c r="CN154"/>
      <c r="CP154"/>
      <c r="CQ154"/>
      <c r="CS154"/>
      <c r="CT154"/>
      <c r="CV154"/>
      <c r="CW154"/>
      <c r="CY154" s="870" t="s">
        <v>116</v>
      </c>
      <c r="CZ154" s="870"/>
      <c r="DB154"/>
      <c r="DC154"/>
      <c r="DE154"/>
      <c r="DF154"/>
      <c r="DH154"/>
      <c r="DI154"/>
      <c r="DK154"/>
      <c r="DL154"/>
      <c r="DM154" s="3">
        <v>1</v>
      </c>
    </row>
    <row r="155" spans="2:117" s="709" customFormat="1" ht="18" customHeight="1">
      <c r="B155" s="856"/>
      <c r="C155" s="856"/>
      <c r="D155" s="856"/>
      <c r="E155" s="856"/>
      <c r="F155" s="856"/>
      <c r="G155" s="856"/>
      <c r="H155" s="856"/>
      <c r="I155" s="856"/>
      <c r="J155" s="856"/>
      <c r="K155" s="856"/>
      <c r="L155" s="856"/>
      <c r="M155" s="856"/>
      <c r="N155" s="856"/>
      <c r="O155" s="856"/>
      <c r="P155" s="856"/>
      <c r="Q155" s="856"/>
      <c r="R155" s="856"/>
      <c r="S155" s="856"/>
      <c r="T155" s="856"/>
      <c r="U155" s="856"/>
      <c r="V155" s="856"/>
      <c r="W155" s="5746" t="s">
        <v>1327</v>
      </c>
      <c r="X155" s="5746"/>
      <c r="Y155" s="856"/>
      <c r="Z155" s="856"/>
      <c r="AA155" s="856"/>
      <c r="AB155" s="227"/>
      <c r="AC155" s="856"/>
      <c r="AD155" s="856"/>
      <c r="AE155" s="227"/>
      <c r="AF155" s="856"/>
      <c r="AG155" s="856"/>
      <c r="AH155" s="227"/>
      <c r="AI155" s="856"/>
      <c r="AJ155" s="856"/>
      <c r="AK155" s="856"/>
      <c r="AL155" s="856"/>
      <c r="AM155" s="856"/>
      <c r="AN155" s="856"/>
      <c r="AO155" s="856"/>
      <c r="AP155" s="856"/>
      <c r="AQ155" s="856"/>
      <c r="AS155"/>
      <c r="AT155"/>
      <c r="AV155"/>
      <c r="AW155"/>
      <c r="AY155"/>
      <c r="AZ155"/>
      <c r="BB155"/>
      <c r="BC155"/>
      <c r="BE155"/>
      <c r="BF155"/>
      <c r="BH155"/>
      <c r="BI155"/>
      <c r="BK155"/>
      <c r="BL155"/>
      <c r="BN155" s="5746" t="s">
        <v>2602</v>
      </c>
      <c r="BO155" s="5746"/>
      <c r="BQ155"/>
      <c r="BR155"/>
      <c r="BT155"/>
      <c r="BU155"/>
      <c r="BW155"/>
      <c r="BX155"/>
      <c r="BY155"/>
      <c r="BZ155"/>
      <c r="CA155"/>
      <c r="CB155"/>
      <c r="CC155"/>
      <c r="CD155"/>
      <c r="CE155"/>
      <c r="CG155"/>
      <c r="CH155"/>
      <c r="CJ155"/>
      <c r="CK155"/>
      <c r="CM155"/>
      <c r="CN155"/>
      <c r="CP155"/>
      <c r="CQ155"/>
      <c r="CS155"/>
      <c r="CT155"/>
      <c r="CV155"/>
      <c r="CW155"/>
      <c r="CY155" s="5746" t="s">
        <v>2603</v>
      </c>
      <c r="CZ155" s="5746"/>
      <c r="DB155"/>
      <c r="DC155"/>
      <c r="DE155"/>
      <c r="DF155"/>
      <c r="DH155"/>
      <c r="DI155"/>
      <c r="DK155"/>
      <c r="DL155"/>
      <c r="DM155" s="3">
        <v>1</v>
      </c>
    </row>
    <row r="156" spans="2:117" s="709" customFormat="1" ht="18" customHeight="1">
      <c r="B156" s="856"/>
      <c r="C156" s="856"/>
      <c r="D156" s="856"/>
      <c r="E156" s="856"/>
      <c r="F156" s="856"/>
      <c r="G156" s="856"/>
      <c r="H156" s="856"/>
      <c r="I156" s="856"/>
      <c r="J156" s="856"/>
      <c r="K156" s="856"/>
      <c r="L156" s="856"/>
      <c r="M156" s="856"/>
      <c r="N156" s="856"/>
      <c r="O156" s="856"/>
      <c r="P156" s="856"/>
      <c r="Q156" s="856"/>
      <c r="R156" s="856"/>
      <c r="S156" s="856"/>
      <c r="T156" s="856"/>
      <c r="U156" s="856"/>
      <c r="V156" s="856"/>
      <c r="W156" s="5747"/>
      <c r="X156" s="5747"/>
      <c r="Y156" s="856"/>
      <c r="Z156" s="856"/>
      <c r="AA156" s="856"/>
      <c r="AB156" s="227"/>
      <c r="AC156" s="856"/>
      <c r="AD156" s="856"/>
      <c r="AE156" s="227"/>
      <c r="AF156" s="856"/>
      <c r="AG156" s="856"/>
      <c r="AH156" s="227"/>
      <c r="AI156" s="856"/>
      <c r="AJ156" s="856"/>
      <c r="AK156" s="856"/>
      <c r="AL156" s="856"/>
      <c r="AM156" s="856"/>
      <c r="AN156" s="856"/>
      <c r="AO156" s="856"/>
      <c r="AP156" s="856"/>
      <c r="AQ156" s="856"/>
      <c r="AS156"/>
      <c r="AT156"/>
      <c r="AV156"/>
      <c r="AW156"/>
      <c r="AY156"/>
      <c r="AZ156"/>
      <c r="BB156"/>
      <c r="BC156"/>
      <c r="BE156"/>
      <c r="BF156"/>
      <c r="BH156"/>
      <c r="BI156"/>
      <c r="BK156"/>
      <c r="BL156" t="s">
        <v>116</v>
      </c>
      <c r="BN156" s="5747" t="s">
        <v>116</v>
      </c>
      <c r="BO156" s="5747"/>
      <c r="BQ156"/>
      <c r="BR156"/>
      <c r="BT156"/>
      <c r="BU156"/>
      <c r="BW156"/>
      <c r="BX156"/>
      <c r="BY156"/>
      <c r="BZ156"/>
      <c r="CA156"/>
      <c r="CB156"/>
      <c r="CC156"/>
      <c r="CD156"/>
      <c r="CE156"/>
      <c r="CG156"/>
      <c r="CH156"/>
      <c r="CJ156"/>
      <c r="CK156"/>
      <c r="CM156"/>
      <c r="CN156"/>
      <c r="CP156"/>
      <c r="CQ156"/>
      <c r="CS156"/>
      <c r="CT156"/>
      <c r="CV156"/>
      <c r="CW156"/>
      <c r="CY156" s="5747" t="s">
        <v>116</v>
      </c>
      <c r="CZ156" s="5747"/>
      <c r="DB156"/>
      <c r="DC156"/>
      <c r="DE156"/>
      <c r="DF156"/>
      <c r="DH156"/>
      <c r="DI156"/>
      <c r="DK156"/>
      <c r="DL156"/>
      <c r="DM156" s="3">
        <v>1</v>
      </c>
    </row>
    <row r="157" spans="2:117" s="709" customFormat="1" ht="18" customHeight="1" thickBot="1">
      <c r="B157" s="856"/>
      <c r="C157" s="856"/>
      <c r="D157" s="856"/>
      <c r="E157" s="856"/>
      <c r="F157" s="856"/>
      <c r="G157" s="856"/>
      <c r="H157" s="856"/>
      <c r="I157" s="856"/>
      <c r="J157" s="856"/>
      <c r="K157" s="856"/>
      <c r="L157" s="856"/>
      <c r="M157" s="856"/>
      <c r="N157" s="856"/>
      <c r="O157" s="856"/>
      <c r="P157" s="856"/>
      <c r="Q157" s="856"/>
      <c r="R157" s="856"/>
      <c r="S157" s="856"/>
      <c r="T157" s="856"/>
      <c r="U157" s="856"/>
      <c r="V157" s="856"/>
      <c r="W157" s="870">
        <v>1</v>
      </c>
      <c r="X157" s="870">
        <v>1</v>
      </c>
      <c r="Y157" s="856"/>
      <c r="Z157" s="856"/>
      <c r="AA157" s="856"/>
      <c r="AB157" s="227"/>
      <c r="AC157" s="856"/>
      <c r="AD157" s="856"/>
      <c r="AE157" s="227"/>
      <c r="AF157" s="856"/>
      <c r="AG157" s="856"/>
      <c r="AH157" s="227"/>
      <c r="AI157" s="856"/>
      <c r="AJ157" s="856"/>
      <c r="AK157" s="856"/>
      <c r="AL157" s="856"/>
      <c r="AM157" s="856"/>
      <c r="AN157" s="856"/>
      <c r="AO157" s="856"/>
      <c r="AP157" s="856"/>
      <c r="AQ157" s="856"/>
      <c r="AS157"/>
      <c r="AT157"/>
      <c r="AV157"/>
      <c r="AW157"/>
      <c r="AY157"/>
      <c r="AZ157"/>
      <c r="BB157"/>
      <c r="BC157"/>
      <c r="BE157"/>
      <c r="BF157"/>
      <c r="BH157"/>
      <c r="BI157"/>
      <c r="BK157"/>
      <c r="BL157"/>
      <c r="BN157" s="870" t="s">
        <v>116</v>
      </c>
      <c r="BO157" s="870"/>
      <c r="BQ157"/>
      <c r="BR157"/>
      <c r="BT157"/>
      <c r="BU157"/>
      <c r="BW157"/>
      <c r="BX157"/>
      <c r="BY157"/>
      <c r="BZ157"/>
      <c r="CA157"/>
      <c r="CB157"/>
      <c r="CC157"/>
      <c r="CD157"/>
      <c r="CE157"/>
      <c r="CG157"/>
      <c r="CH157"/>
      <c r="CJ157"/>
      <c r="CK157"/>
      <c r="CM157"/>
      <c r="CN157"/>
      <c r="CP157"/>
      <c r="CQ157"/>
      <c r="CS157"/>
      <c r="CT157"/>
      <c r="CV157"/>
      <c r="CW157"/>
      <c r="CY157" s="870" t="s">
        <v>116</v>
      </c>
      <c r="CZ157" s="870"/>
      <c r="DB157"/>
      <c r="DC157"/>
      <c r="DE157"/>
      <c r="DF157"/>
      <c r="DH157"/>
      <c r="DI157"/>
      <c r="DK157"/>
      <c r="DL157"/>
      <c r="DM157" s="3">
        <v>1</v>
      </c>
    </row>
    <row r="158" spans="2:117" s="709" customFormat="1" ht="18" customHeight="1">
      <c r="B158" s="856"/>
      <c r="C158" s="856"/>
      <c r="D158" s="856"/>
      <c r="E158" s="856"/>
      <c r="F158" s="856"/>
      <c r="G158" s="856"/>
      <c r="H158" s="856"/>
      <c r="I158" s="856"/>
      <c r="J158" s="856"/>
      <c r="K158" s="856"/>
      <c r="L158" s="856"/>
      <c r="M158" s="856"/>
      <c r="N158" s="856"/>
      <c r="O158" s="856"/>
      <c r="P158" s="856"/>
      <c r="Q158" s="856"/>
      <c r="R158" s="856"/>
      <c r="S158" s="856"/>
      <c r="T158" s="856"/>
      <c r="U158" s="856"/>
      <c r="V158" s="856"/>
      <c r="W158" s="5746" t="s">
        <v>1328</v>
      </c>
      <c r="X158" s="5746"/>
      <c r="Y158" s="856"/>
      <c r="Z158" s="856"/>
      <c r="AA158" s="856"/>
      <c r="AB158" s="227"/>
      <c r="AC158" s="856"/>
      <c r="AD158" s="856"/>
      <c r="AE158" s="227"/>
      <c r="AF158" s="856"/>
      <c r="AG158" s="856"/>
      <c r="AH158" s="227"/>
      <c r="AI158" s="856"/>
      <c r="AJ158" s="856"/>
      <c r="AK158" s="856"/>
      <c r="AL158" s="856"/>
      <c r="AM158" s="856"/>
      <c r="AN158" s="856"/>
      <c r="AO158" s="856"/>
      <c r="AP158" s="856"/>
      <c r="AQ158" s="856"/>
      <c r="AS158"/>
      <c r="AT158"/>
      <c r="AV158"/>
      <c r="AW158"/>
      <c r="AY158"/>
      <c r="AZ158"/>
      <c r="BB158"/>
      <c r="BC158"/>
      <c r="BE158"/>
      <c r="BF158"/>
      <c r="BH158"/>
      <c r="BI158"/>
      <c r="BK158"/>
      <c r="BL158"/>
      <c r="BN158" s="5746" t="s">
        <v>2604</v>
      </c>
      <c r="BO158" s="5746"/>
      <c r="BQ158"/>
      <c r="BR158"/>
      <c r="BT158"/>
      <c r="BU158"/>
      <c r="BW158"/>
      <c r="BX158"/>
      <c r="BY158"/>
      <c r="BZ158"/>
      <c r="CA158"/>
      <c r="CB158"/>
      <c r="CC158"/>
      <c r="CD158"/>
      <c r="CE158"/>
      <c r="CG158"/>
      <c r="CH158"/>
      <c r="CJ158"/>
      <c r="CK158"/>
      <c r="CM158"/>
      <c r="CN158"/>
      <c r="CP158"/>
      <c r="CQ158"/>
      <c r="CS158"/>
      <c r="CT158"/>
      <c r="CV158"/>
      <c r="CW158"/>
      <c r="CY158" s="5746" t="s">
        <v>1327</v>
      </c>
      <c r="CZ158" s="5746"/>
      <c r="DB158"/>
      <c r="DC158"/>
      <c r="DE158"/>
      <c r="DF158"/>
      <c r="DH158"/>
      <c r="DI158"/>
      <c r="DK158"/>
      <c r="DL158"/>
      <c r="DM158" s="3">
        <v>1</v>
      </c>
    </row>
    <row r="159" spans="2:117" s="709" customFormat="1" ht="18" customHeight="1">
      <c r="B159" s="856"/>
      <c r="C159" s="856"/>
      <c r="D159" s="856"/>
      <c r="E159" s="856"/>
      <c r="F159" s="856"/>
      <c r="G159" s="856"/>
      <c r="H159" s="856"/>
      <c r="I159" s="856"/>
      <c r="J159" s="856"/>
      <c r="K159" s="856"/>
      <c r="L159" s="856"/>
      <c r="M159" s="856"/>
      <c r="N159" s="856"/>
      <c r="O159" s="856"/>
      <c r="P159" s="856"/>
      <c r="Q159" s="856"/>
      <c r="R159" s="856"/>
      <c r="S159" s="856"/>
      <c r="T159" s="856"/>
      <c r="U159" s="856"/>
      <c r="V159" s="856"/>
      <c r="W159" s="5747"/>
      <c r="X159" s="5747"/>
      <c r="Y159" s="856"/>
      <c r="Z159" s="856"/>
      <c r="AA159" s="856"/>
      <c r="AB159" s="227"/>
      <c r="AC159" s="856"/>
      <c r="AD159" s="856"/>
      <c r="AE159" s="227"/>
      <c r="AF159" s="856"/>
      <c r="AG159" s="856"/>
      <c r="AH159" s="227"/>
      <c r="AI159" s="856"/>
      <c r="AJ159" s="856"/>
      <c r="AK159" s="856"/>
      <c r="AL159" s="856"/>
      <c r="AM159" s="856"/>
      <c r="AN159" s="856"/>
      <c r="AO159" s="856"/>
      <c r="AP159" s="856"/>
      <c r="AQ159" s="856"/>
      <c r="AS159"/>
      <c r="AT159"/>
      <c r="AV159"/>
      <c r="AW159"/>
      <c r="AY159"/>
      <c r="AZ159"/>
      <c r="BB159"/>
      <c r="BC159"/>
      <c r="BE159"/>
      <c r="BF159"/>
      <c r="BH159"/>
      <c r="BI159"/>
      <c r="BK159"/>
      <c r="BL159"/>
      <c r="BN159" s="5747" t="s">
        <v>116</v>
      </c>
      <c r="BO159" s="5747"/>
      <c r="BQ159"/>
      <c r="BR159"/>
      <c r="BT159"/>
      <c r="BU159"/>
      <c r="BW159"/>
      <c r="BX159"/>
      <c r="BY159"/>
      <c r="BZ159"/>
      <c r="CA159"/>
      <c r="CB159"/>
      <c r="CC159"/>
      <c r="CD159"/>
      <c r="CE159"/>
      <c r="CG159"/>
      <c r="CH159"/>
      <c r="CJ159"/>
      <c r="CK159"/>
      <c r="CM159"/>
      <c r="CN159"/>
      <c r="CP159"/>
      <c r="CQ159"/>
      <c r="CS159"/>
      <c r="CT159"/>
      <c r="CV159"/>
      <c r="CW159"/>
      <c r="CY159" s="5747" t="s">
        <v>116</v>
      </c>
      <c r="CZ159" s="5747"/>
      <c r="DB159"/>
      <c r="DC159"/>
      <c r="DE159"/>
      <c r="DF159"/>
      <c r="DH159"/>
      <c r="DI159"/>
      <c r="DK159"/>
      <c r="DL159"/>
      <c r="DM159" s="3">
        <v>1</v>
      </c>
    </row>
    <row r="160" spans="2:117" s="709" customFormat="1" ht="18" customHeight="1" thickBot="1">
      <c r="B160" s="856"/>
      <c r="C160" s="856"/>
      <c r="D160" s="856"/>
      <c r="E160" s="856"/>
      <c r="F160" s="856"/>
      <c r="G160" s="856"/>
      <c r="H160" s="856"/>
      <c r="I160" s="856"/>
      <c r="J160" s="856"/>
      <c r="K160" s="856"/>
      <c r="L160" s="856"/>
      <c r="M160" s="856"/>
      <c r="N160" s="856"/>
      <c r="O160" s="856"/>
      <c r="P160" s="856"/>
      <c r="Q160" s="856"/>
      <c r="R160" s="856"/>
      <c r="S160" s="856"/>
      <c r="T160" s="856"/>
      <c r="U160" s="856"/>
      <c r="V160" s="856"/>
      <c r="W160" s="870">
        <v>1</v>
      </c>
      <c r="X160" s="870">
        <v>1</v>
      </c>
      <c r="Y160" s="856"/>
      <c r="Z160" s="856"/>
      <c r="AA160" s="856"/>
      <c r="AB160" s="227"/>
      <c r="AC160" s="856"/>
      <c r="AD160" s="856"/>
      <c r="AE160" s="227"/>
      <c r="AF160" s="856"/>
      <c r="AG160" s="856"/>
      <c r="AH160" s="227"/>
      <c r="AI160" s="856"/>
      <c r="AJ160" s="856"/>
      <c r="AK160" s="856"/>
      <c r="AL160" s="856"/>
      <c r="AM160" s="856"/>
      <c r="AN160" s="856"/>
      <c r="AO160" s="856"/>
      <c r="AP160" s="856"/>
      <c r="AQ160" s="856"/>
      <c r="AS160"/>
      <c r="AT160"/>
      <c r="AV160"/>
      <c r="AW160"/>
      <c r="AY160"/>
      <c r="AZ160"/>
      <c r="BB160"/>
      <c r="BC160"/>
      <c r="BE160"/>
      <c r="BF160"/>
      <c r="BH160"/>
      <c r="BI160"/>
      <c r="BK160"/>
      <c r="BL160"/>
      <c r="BN160" s="870" t="s">
        <v>116</v>
      </c>
      <c r="BO160" s="870"/>
      <c r="BQ160"/>
      <c r="BR160"/>
      <c r="BT160"/>
      <c r="BU160"/>
      <c r="BW160"/>
      <c r="BX160"/>
      <c r="BY160"/>
      <c r="BZ160"/>
      <c r="CA160"/>
      <c r="CB160"/>
      <c r="CC160"/>
      <c r="CD160"/>
      <c r="CE160"/>
      <c r="CG160"/>
      <c r="CH160"/>
      <c r="CJ160"/>
      <c r="CK160"/>
      <c r="CM160"/>
      <c r="CN160"/>
      <c r="CP160"/>
      <c r="CQ160"/>
      <c r="CS160"/>
      <c r="CT160"/>
      <c r="CV160"/>
      <c r="CW160"/>
      <c r="CY160" s="870" t="s">
        <v>116</v>
      </c>
      <c r="CZ160" s="870"/>
      <c r="DB160"/>
      <c r="DC160"/>
      <c r="DE160"/>
      <c r="DF160"/>
      <c r="DH160"/>
      <c r="DI160"/>
      <c r="DK160"/>
      <c r="DL160"/>
      <c r="DM160" s="3">
        <v>1</v>
      </c>
    </row>
    <row r="161" spans="1:117" s="709" customFormat="1" ht="18" customHeight="1">
      <c r="B161" s="856"/>
      <c r="C161" s="856"/>
      <c r="D161" s="856"/>
      <c r="E161" s="856"/>
      <c r="F161" s="856"/>
      <c r="G161" s="856"/>
      <c r="H161" s="856"/>
      <c r="I161" s="856"/>
      <c r="J161" s="856"/>
      <c r="K161" s="856"/>
      <c r="L161" s="856"/>
      <c r="M161" s="856"/>
      <c r="N161" s="856"/>
      <c r="O161" s="856"/>
      <c r="P161" s="856"/>
      <c r="Q161" s="856"/>
      <c r="R161" s="856"/>
      <c r="S161" s="856"/>
      <c r="T161" s="856"/>
      <c r="U161" s="856"/>
      <c r="V161" s="856"/>
      <c r="W161" s="5746" t="s">
        <v>1329</v>
      </c>
      <c r="X161" s="5746"/>
      <c r="Y161" s="856"/>
      <c r="Z161" s="856"/>
      <c r="AA161" s="856"/>
      <c r="AB161" s="227"/>
      <c r="AC161" s="856"/>
      <c r="AD161" s="856"/>
      <c r="AE161" s="227"/>
      <c r="AF161" s="856"/>
      <c r="AG161" s="856"/>
      <c r="AH161" s="227"/>
      <c r="AI161" s="856"/>
      <c r="AJ161" s="856"/>
      <c r="AK161" s="856"/>
      <c r="AL161" s="856"/>
      <c r="AM161" s="856"/>
      <c r="AN161" s="856"/>
      <c r="AO161" s="856"/>
      <c r="AP161" s="856"/>
      <c r="AQ161" s="856"/>
      <c r="AS161"/>
      <c r="AT161"/>
      <c r="AV161"/>
      <c r="AW161"/>
      <c r="AY161"/>
      <c r="AZ161"/>
      <c r="BB161"/>
      <c r="BC161"/>
      <c r="BE161"/>
      <c r="BF161"/>
      <c r="BH161"/>
      <c r="BI161"/>
      <c r="BK161"/>
      <c r="BL161"/>
      <c r="BN161" s="5746" t="s">
        <v>2605</v>
      </c>
      <c r="BO161" s="5746"/>
      <c r="BQ161"/>
      <c r="BR161"/>
      <c r="BT161"/>
      <c r="BU161"/>
      <c r="BW161"/>
      <c r="BX161"/>
      <c r="BY161"/>
      <c r="BZ161"/>
      <c r="CA161"/>
      <c r="CB161"/>
      <c r="CC161"/>
      <c r="CD161"/>
      <c r="CE161"/>
      <c r="CG161"/>
      <c r="CH161"/>
      <c r="CJ161"/>
      <c r="CK161"/>
      <c r="CM161"/>
      <c r="CN161"/>
      <c r="CP161"/>
      <c r="CQ161"/>
      <c r="CS161"/>
      <c r="CT161"/>
      <c r="CV161"/>
      <c r="CW161"/>
      <c r="CY161" s="5746" t="s">
        <v>1328</v>
      </c>
      <c r="CZ161" s="5746"/>
      <c r="DB161"/>
      <c r="DC161"/>
      <c r="DE161"/>
      <c r="DF161"/>
      <c r="DH161"/>
      <c r="DI161"/>
      <c r="DK161"/>
      <c r="DL161"/>
      <c r="DM161" s="3">
        <v>1</v>
      </c>
    </row>
    <row r="162" spans="1:117" s="709" customFormat="1" ht="18" customHeight="1">
      <c r="B162" s="856"/>
      <c r="C162" s="856"/>
      <c r="D162" s="856"/>
      <c r="E162" s="856"/>
      <c r="F162" s="856"/>
      <c r="G162" s="856"/>
      <c r="H162" s="856"/>
      <c r="I162" s="856"/>
      <c r="J162" s="856"/>
      <c r="K162" s="856"/>
      <c r="L162" s="856"/>
      <c r="M162" s="856"/>
      <c r="N162" s="856"/>
      <c r="O162" s="856"/>
      <c r="P162" s="856"/>
      <c r="Q162" s="856"/>
      <c r="R162" s="856"/>
      <c r="S162" s="856"/>
      <c r="T162" s="856"/>
      <c r="U162" s="856"/>
      <c r="V162" s="856"/>
      <c r="W162" s="5747"/>
      <c r="X162" s="5747"/>
      <c r="Y162" s="856"/>
      <c r="Z162" s="856"/>
      <c r="AA162" s="856"/>
      <c r="AB162" s="227"/>
      <c r="AC162" s="856"/>
      <c r="AD162" s="856"/>
      <c r="AE162" s="227"/>
      <c r="AF162" s="856"/>
      <c r="AG162" s="856"/>
      <c r="AH162" s="227"/>
      <c r="AI162" s="856"/>
      <c r="AJ162" s="856"/>
      <c r="AK162" s="856"/>
      <c r="AL162" s="856"/>
      <c r="AM162" s="856"/>
      <c r="AN162" s="856"/>
      <c r="AO162" s="856"/>
      <c r="AP162" s="856"/>
      <c r="AQ162" s="856"/>
      <c r="AS162"/>
      <c r="AT162"/>
      <c r="AV162"/>
      <c r="AW162"/>
      <c r="AY162"/>
      <c r="AZ162"/>
      <c r="BB162"/>
      <c r="BC162"/>
      <c r="BE162"/>
      <c r="BF162"/>
      <c r="BH162"/>
      <c r="BI162"/>
      <c r="BK162"/>
      <c r="BL162"/>
      <c r="BN162" s="5747" t="s">
        <v>116</v>
      </c>
      <c r="BO162" s="5747"/>
      <c r="BQ162"/>
      <c r="BR162"/>
      <c r="BT162"/>
      <c r="BU162"/>
      <c r="BW162"/>
      <c r="BX162"/>
      <c r="BY162"/>
      <c r="BZ162"/>
      <c r="CA162"/>
      <c r="CB162"/>
      <c r="CC162"/>
      <c r="CD162"/>
      <c r="CE162"/>
      <c r="CG162"/>
      <c r="CH162"/>
      <c r="CJ162"/>
      <c r="CK162"/>
      <c r="CM162"/>
      <c r="CN162"/>
      <c r="CP162"/>
      <c r="CQ162"/>
      <c r="CS162"/>
      <c r="CT162"/>
      <c r="CV162"/>
      <c r="CW162"/>
      <c r="CY162" s="5747" t="s">
        <v>116</v>
      </c>
      <c r="CZ162" s="5747"/>
      <c r="DB162"/>
      <c r="DC162"/>
      <c r="DE162"/>
      <c r="DF162"/>
      <c r="DH162"/>
      <c r="DI162"/>
      <c r="DK162"/>
      <c r="DL162"/>
      <c r="DM162" s="3">
        <v>1</v>
      </c>
    </row>
    <row r="163" spans="1:117" s="709" customFormat="1" ht="18" customHeight="1" thickBot="1">
      <c r="B163" s="856"/>
      <c r="C163" s="856"/>
      <c r="D163" s="856"/>
      <c r="E163" s="856"/>
      <c r="F163" s="856"/>
      <c r="G163" s="856"/>
      <c r="H163" s="856"/>
      <c r="I163" s="856"/>
      <c r="J163" s="856"/>
      <c r="K163" s="856"/>
      <c r="L163" s="856"/>
      <c r="M163" s="856"/>
      <c r="N163" s="856"/>
      <c r="O163" s="856"/>
      <c r="P163" s="856"/>
      <c r="Q163" s="856"/>
      <c r="R163" s="856"/>
      <c r="S163" s="856"/>
      <c r="T163" s="856"/>
      <c r="U163" s="856"/>
      <c r="V163" s="856"/>
      <c r="W163" s="870">
        <v>1</v>
      </c>
      <c r="X163" s="870">
        <v>1</v>
      </c>
      <c r="Y163" s="856"/>
      <c r="Z163" s="856"/>
      <c r="AA163" s="856"/>
      <c r="AB163" s="227"/>
      <c r="AC163" s="856"/>
      <c r="AD163" s="856"/>
      <c r="AE163" s="227"/>
      <c r="AF163" s="856"/>
      <c r="AG163" s="856"/>
      <c r="AH163" s="227"/>
      <c r="AI163" s="856"/>
      <c r="AJ163" s="856"/>
      <c r="AK163" s="856"/>
      <c r="AL163" s="856"/>
      <c r="AM163" s="856"/>
      <c r="AN163" s="856"/>
      <c r="AO163" s="856"/>
      <c r="AP163" s="856"/>
      <c r="AQ163" s="856"/>
      <c r="AS163"/>
      <c r="AT163"/>
      <c r="AV163"/>
      <c r="AW163"/>
      <c r="AY163"/>
      <c r="AZ163"/>
      <c r="BB163"/>
      <c r="BC163"/>
      <c r="BE163"/>
      <c r="BF163"/>
      <c r="BH163"/>
      <c r="BI163"/>
      <c r="BK163"/>
      <c r="BL163"/>
      <c r="BN163" s="870" t="s">
        <v>116</v>
      </c>
      <c r="BO163" s="870"/>
      <c r="BQ163"/>
      <c r="BR163"/>
      <c r="BT163"/>
      <c r="BU163"/>
      <c r="BW163"/>
      <c r="BX163"/>
      <c r="BY163"/>
      <c r="BZ163"/>
      <c r="CA163"/>
      <c r="CB163"/>
      <c r="CC163"/>
      <c r="CD163"/>
      <c r="CE163"/>
      <c r="CG163"/>
      <c r="CH163"/>
      <c r="CJ163"/>
      <c r="CK163"/>
      <c r="CM163"/>
      <c r="CN163"/>
      <c r="CP163"/>
      <c r="CQ163"/>
      <c r="CS163"/>
      <c r="CT163"/>
      <c r="CV163"/>
      <c r="CW163"/>
      <c r="CY163" s="870" t="s">
        <v>116</v>
      </c>
      <c r="CZ163" s="870"/>
      <c r="DB163"/>
      <c r="DC163"/>
      <c r="DE163"/>
      <c r="DF163"/>
      <c r="DH163"/>
      <c r="DI163"/>
      <c r="DK163"/>
      <c r="DL163"/>
      <c r="DM163" s="3">
        <v>1</v>
      </c>
    </row>
    <row r="164" spans="1:117" s="709" customFormat="1" ht="18" customHeight="1">
      <c r="B164" s="856"/>
      <c r="C164" s="856"/>
      <c r="D164" s="856"/>
      <c r="E164" s="856"/>
      <c r="F164" s="856"/>
      <c r="G164" s="856"/>
      <c r="H164" s="856"/>
      <c r="I164" s="856"/>
      <c r="J164" s="856"/>
      <c r="K164" s="856"/>
      <c r="L164" s="856"/>
      <c r="M164" s="856"/>
      <c r="N164" s="856"/>
      <c r="O164" s="856"/>
      <c r="P164" s="856"/>
      <c r="Q164" s="856"/>
      <c r="R164" s="856"/>
      <c r="S164" s="856"/>
      <c r="T164" s="856"/>
      <c r="U164" s="856"/>
      <c r="V164" s="856"/>
      <c r="W164" s="5746" t="s">
        <v>1330</v>
      </c>
      <c r="X164" s="5746"/>
      <c r="Y164" s="856"/>
      <c r="Z164" s="856"/>
      <c r="AA164" s="856"/>
      <c r="AB164" s="227"/>
      <c r="AC164" s="856"/>
      <c r="AD164" s="856"/>
      <c r="AE164" s="227"/>
      <c r="AF164" s="856"/>
      <c r="AG164" s="856"/>
      <c r="AH164" s="227"/>
      <c r="AI164" s="856"/>
      <c r="AJ164" s="856"/>
      <c r="AK164" s="856"/>
      <c r="AL164" s="856"/>
      <c r="AM164" s="856"/>
      <c r="AN164" s="856"/>
      <c r="AO164" s="856"/>
      <c r="AP164" s="856"/>
      <c r="AQ164" s="856"/>
      <c r="AS164"/>
      <c r="AT164"/>
      <c r="AV164"/>
      <c r="AW164"/>
      <c r="AY164"/>
      <c r="AZ164"/>
      <c r="BB164"/>
      <c r="BC164"/>
      <c r="BE164"/>
      <c r="BF164"/>
      <c r="BH164"/>
      <c r="BI164"/>
      <c r="BK164"/>
      <c r="BL164"/>
      <c r="BN164" s="5746" t="s">
        <v>2606</v>
      </c>
      <c r="BO164" s="5746"/>
      <c r="BQ164"/>
      <c r="BR164"/>
      <c r="BT164"/>
      <c r="BU164"/>
      <c r="BW164"/>
      <c r="BX164"/>
      <c r="BY164"/>
      <c r="BZ164"/>
      <c r="CA164"/>
      <c r="CB164"/>
      <c r="CC164"/>
      <c r="CD164"/>
      <c r="CE164"/>
      <c r="CG164"/>
      <c r="CH164"/>
      <c r="CJ164"/>
      <c r="CK164"/>
      <c r="CM164"/>
      <c r="CN164"/>
      <c r="CP164"/>
      <c r="CQ164"/>
      <c r="CS164"/>
      <c r="CT164"/>
      <c r="CV164"/>
      <c r="CW164"/>
      <c r="CY164" s="5746" t="s">
        <v>2607</v>
      </c>
      <c r="CZ164" s="5746"/>
      <c r="DB164"/>
      <c r="DC164"/>
      <c r="DE164"/>
      <c r="DF164"/>
      <c r="DH164"/>
      <c r="DI164"/>
      <c r="DK164"/>
      <c r="DL164"/>
      <c r="DM164" s="3">
        <v>1</v>
      </c>
    </row>
    <row r="165" spans="1:117" s="709" customFormat="1" ht="18" customHeight="1">
      <c r="B165" s="856"/>
      <c r="C165" s="856"/>
      <c r="D165" s="856"/>
      <c r="E165" s="856"/>
      <c r="F165" s="856"/>
      <c r="G165" s="856"/>
      <c r="H165" s="856"/>
      <c r="I165" s="856"/>
      <c r="J165" s="856"/>
      <c r="K165" s="856"/>
      <c r="L165" s="856"/>
      <c r="M165" s="856"/>
      <c r="N165" s="856"/>
      <c r="O165" s="856"/>
      <c r="P165" s="856"/>
      <c r="Q165" s="856"/>
      <c r="R165" s="856"/>
      <c r="S165" s="856"/>
      <c r="T165" s="856"/>
      <c r="U165" s="856"/>
      <c r="V165" s="856"/>
      <c r="W165" s="5747"/>
      <c r="X165" s="5747"/>
      <c r="Y165" s="856"/>
      <c r="Z165" s="856"/>
      <c r="AA165" s="856"/>
      <c r="AB165" s="227"/>
      <c r="AC165" s="856"/>
      <c r="AD165" s="856"/>
      <c r="AE165" s="227"/>
      <c r="AF165" s="856"/>
      <c r="AG165" s="856"/>
      <c r="AH165" s="227"/>
      <c r="AI165" s="856"/>
      <c r="AJ165" s="856"/>
      <c r="AK165" s="856"/>
      <c r="AL165" s="856"/>
      <c r="AM165" s="856"/>
      <c r="AN165" s="856"/>
      <c r="AO165" s="856"/>
      <c r="AP165" s="856"/>
      <c r="AQ165" s="856"/>
      <c r="AS165"/>
      <c r="AT165"/>
      <c r="AV165"/>
      <c r="AW165"/>
      <c r="AY165"/>
      <c r="AZ165"/>
      <c r="BB165"/>
      <c r="BC165"/>
      <c r="BE165"/>
      <c r="BF165"/>
      <c r="BH165"/>
      <c r="BI165"/>
      <c r="BK165"/>
      <c r="BL165"/>
      <c r="BN165" s="5747" t="s">
        <v>116</v>
      </c>
      <c r="BO165" s="5747"/>
      <c r="BQ165"/>
      <c r="BR165"/>
      <c r="BT165"/>
      <c r="BU165"/>
      <c r="BW165"/>
      <c r="BX165"/>
      <c r="BY165"/>
      <c r="BZ165"/>
      <c r="CA165"/>
      <c r="CB165"/>
      <c r="CC165"/>
      <c r="CD165"/>
      <c r="CE165"/>
      <c r="CG165"/>
      <c r="CH165"/>
      <c r="CJ165"/>
      <c r="CK165"/>
      <c r="CM165"/>
      <c r="CN165"/>
      <c r="CP165"/>
      <c r="CQ165"/>
      <c r="CS165"/>
      <c r="CT165"/>
      <c r="CV165"/>
      <c r="CW165"/>
      <c r="CY165" s="5747" t="s">
        <v>116</v>
      </c>
      <c r="CZ165" s="5747"/>
      <c r="DB165"/>
      <c r="DC165"/>
      <c r="DE165"/>
      <c r="DF165"/>
      <c r="DH165"/>
      <c r="DI165"/>
      <c r="DK165"/>
      <c r="DL165"/>
      <c r="DM165" s="3">
        <v>1</v>
      </c>
    </row>
    <row r="166" spans="1:117" ht="18" customHeight="1" thickBot="1">
      <c r="W166" s="870">
        <v>1</v>
      </c>
      <c r="X166" s="870">
        <v>1</v>
      </c>
      <c r="BN166" s="870" t="s">
        <v>116</v>
      </c>
      <c r="BO166" s="870"/>
      <c r="CY166" s="870" t="s">
        <v>116</v>
      </c>
      <c r="CZ166" s="870"/>
      <c r="DM166" s="3">
        <v>1</v>
      </c>
    </row>
    <row r="167" spans="1:117" ht="18" customHeight="1">
      <c r="W167" s="5746" t="s">
        <v>1331</v>
      </c>
      <c r="X167" s="5746"/>
      <c r="BN167" s="5746" t="s">
        <v>2608</v>
      </c>
      <c r="BO167" s="5746"/>
      <c r="CY167" s="5746" t="s">
        <v>1330</v>
      </c>
      <c r="CZ167" s="5746"/>
      <c r="DM167" s="3">
        <v>1</v>
      </c>
    </row>
    <row r="168" spans="1:117" ht="18" customHeight="1">
      <c r="W168" s="5747"/>
      <c r="X168" s="5747"/>
      <c r="BN168" s="5747" t="s">
        <v>116</v>
      </c>
      <c r="BO168" s="5747"/>
      <c r="CY168" s="5747" t="s">
        <v>116</v>
      </c>
      <c r="CZ168" s="5747"/>
      <c r="DM168" s="3">
        <v>1</v>
      </c>
    </row>
    <row r="169" spans="1:117" ht="15.75" thickBot="1">
      <c r="A169" s="856"/>
      <c r="W169" s="870">
        <v>1</v>
      </c>
      <c r="X169" s="870">
        <v>1</v>
      </c>
      <c r="BN169" s="870" t="s">
        <v>116</v>
      </c>
      <c r="BO169" s="870"/>
      <c r="CY169" t="s">
        <v>116</v>
      </c>
      <c r="DM169" s="3">
        <v>1</v>
      </c>
    </row>
    <row r="170" spans="1:117">
      <c r="A170" s="856"/>
      <c r="W170" s="5746" t="s">
        <v>1332</v>
      </c>
      <c r="X170" s="5746"/>
      <c r="BN170" s="5746" t="s">
        <v>2609</v>
      </c>
      <c r="BO170" s="5746"/>
      <c r="CY170" s="5746" t="s">
        <v>2610</v>
      </c>
      <c r="CZ170" s="5746"/>
      <c r="DM170" s="3">
        <v>1</v>
      </c>
    </row>
    <row r="171" spans="1:117">
      <c r="W171" s="5747"/>
      <c r="X171" s="5747"/>
      <c r="BN171" s="5747" t="s">
        <v>116</v>
      </c>
      <c r="BO171" s="5747"/>
      <c r="CY171" s="5747" t="s">
        <v>116</v>
      </c>
      <c r="CZ171" s="5747"/>
      <c r="DM171" s="3">
        <v>1</v>
      </c>
    </row>
    <row r="172" spans="1:117" ht="15.75" thickBot="1">
      <c r="BN172" s="870" t="s">
        <v>116</v>
      </c>
      <c r="BO172" s="870"/>
      <c r="CY172" t="s">
        <v>116</v>
      </c>
      <c r="DM172" s="3">
        <v>1</v>
      </c>
    </row>
    <row r="173" spans="1:117">
      <c r="W173" s="5746"/>
      <c r="X173" s="5746"/>
      <c r="BN173" s="5746" t="s">
        <v>2611</v>
      </c>
      <c r="BO173" s="5746"/>
      <c r="CY173" s="5746" t="s">
        <v>2612</v>
      </c>
      <c r="CZ173" s="5746"/>
      <c r="DM173" s="3">
        <v>1</v>
      </c>
    </row>
    <row r="174" spans="1:117">
      <c r="W174" s="5747"/>
      <c r="X174" s="5747"/>
      <c r="AB174" s="856"/>
      <c r="AE174" s="856"/>
      <c r="AH174" s="856"/>
      <c r="AV174" t="s">
        <v>116</v>
      </c>
      <c r="AY174" t="s">
        <v>116</v>
      </c>
      <c r="BN174" s="5747" t="s">
        <v>116</v>
      </c>
      <c r="BO174" s="5747"/>
      <c r="CY174" s="5747" t="s">
        <v>116</v>
      </c>
      <c r="CZ174" s="5747"/>
      <c r="DM174" s="3">
        <v>1</v>
      </c>
    </row>
    <row r="175" spans="1:117" ht="15.75">
      <c r="AB175" s="856"/>
      <c r="AE175" s="856"/>
      <c r="AH175" s="856"/>
      <c r="BN175" s="921"/>
      <c r="BO175" s="921"/>
      <c r="CY175" s="921"/>
      <c r="CZ175" s="921"/>
      <c r="DM175" s="3">
        <v>1</v>
      </c>
    </row>
    <row r="176" spans="1:117" ht="15.75" thickBot="1">
      <c r="B176"/>
      <c r="C176"/>
      <c r="D176"/>
      <c r="E176"/>
      <c r="F176"/>
      <c r="G176"/>
      <c r="H176"/>
      <c r="I176"/>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DM176" s="3">
        <v>1</v>
      </c>
    </row>
    <row r="177" spans="1:119">
      <c r="BN177" s="5746"/>
      <c r="BO177" s="5746"/>
      <c r="CY177" s="5746"/>
      <c r="CZ177" s="5746"/>
      <c r="DM177" s="3">
        <v>1</v>
      </c>
    </row>
    <row r="178" spans="1:119">
      <c r="BN178" s="5747"/>
      <c r="BO178" s="5747"/>
      <c r="CY178" s="5747"/>
      <c r="CZ178" s="5747"/>
      <c r="DM178" s="3">
        <v>1</v>
      </c>
    </row>
    <row r="179" spans="1:119">
      <c r="DM179" s="3">
        <v>1</v>
      </c>
    </row>
    <row r="180" spans="1:119">
      <c r="DM180" s="3">
        <v>1</v>
      </c>
    </row>
    <row r="181" spans="1:119">
      <c r="DM181" s="3">
        <v>1</v>
      </c>
      <c r="DN181" s="856"/>
      <c r="DO181" s="856"/>
    </row>
    <row r="182" spans="1:119">
      <c r="DM182" s="708" t="s">
        <v>823</v>
      </c>
      <c r="DN182" s="856"/>
      <c r="DO182" s="856"/>
    </row>
    <row r="183" spans="1:119">
      <c r="A183" s="3">
        <v>1</v>
      </c>
      <c r="B183" s="3">
        <v>1</v>
      </c>
      <c r="C183" s="3">
        <v>1</v>
      </c>
      <c r="D183" s="3">
        <v>1</v>
      </c>
      <c r="E183" s="3">
        <v>1</v>
      </c>
      <c r="F183" s="3">
        <v>1</v>
      </c>
      <c r="G183" s="3">
        <v>1</v>
      </c>
      <c r="H183" s="3">
        <v>1</v>
      </c>
      <c r="I183" s="3">
        <v>1</v>
      </c>
      <c r="J183" s="3">
        <v>1</v>
      </c>
      <c r="K183" s="3">
        <v>1</v>
      </c>
      <c r="L183" s="3">
        <v>1</v>
      </c>
      <c r="M183" s="3">
        <v>1</v>
      </c>
      <c r="N183" s="3">
        <v>1</v>
      </c>
      <c r="O183" s="3">
        <v>1</v>
      </c>
      <c r="P183" s="3">
        <v>1</v>
      </c>
      <c r="Q183" s="3">
        <v>1</v>
      </c>
      <c r="R183" s="3">
        <v>1</v>
      </c>
      <c r="S183" s="3">
        <v>1</v>
      </c>
      <c r="T183" s="3">
        <v>1</v>
      </c>
      <c r="U183" s="3">
        <v>1</v>
      </c>
      <c r="V183" s="3">
        <v>1</v>
      </c>
      <c r="W183" s="3">
        <v>1</v>
      </c>
      <c r="X183" s="3">
        <v>1</v>
      </c>
      <c r="Y183" s="3">
        <v>1</v>
      </c>
      <c r="Z183" s="3">
        <v>1</v>
      </c>
      <c r="AA183" s="3">
        <v>1</v>
      </c>
      <c r="AB183" s="3">
        <v>1</v>
      </c>
      <c r="AC183" s="3">
        <v>1</v>
      </c>
      <c r="AD183" s="3">
        <v>1</v>
      </c>
      <c r="AE183" s="3">
        <v>1</v>
      </c>
      <c r="AF183" s="3">
        <v>1</v>
      </c>
      <c r="AG183" s="3">
        <v>1</v>
      </c>
      <c r="AH183" s="3">
        <v>1</v>
      </c>
      <c r="AI183" s="3">
        <v>1</v>
      </c>
      <c r="AJ183" s="3">
        <v>1</v>
      </c>
      <c r="AK183" s="3">
        <v>1</v>
      </c>
      <c r="AL183" s="3">
        <v>1</v>
      </c>
      <c r="AM183" s="3">
        <v>1</v>
      </c>
      <c r="AN183" s="3">
        <v>1</v>
      </c>
      <c r="AO183" s="3">
        <v>1</v>
      </c>
      <c r="AP183" s="3">
        <v>1</v>
      </c>
      <c r="AQ183" s="3">
        <v>1</v>
      </c>
      <c r="AR183" s="3">
        <v>1</v>
      </c>
      <c r="AS183" s="3">
        <v>1</v>
      </c>
      <c r="AT183" s="3">
        <v>1</v>
      </c>
      <c r="AU183" s="3">
        <v>1</v>
      </c>
      <c r="AV183" s="3">
        <v>1</v>
      </c>
      <c r="AW183" s="3">
        <v>1</v>
      </c>
      <c r="AX183" s="3">
        <v>1</v>
      </c>
      <c r="AY183" s="3">
        <v>1</v>
      </c>
      <c r="AZ183" s="3">
        <v>1</v>
      </c>
      <c r="BA183" s="3">
        <v>1</v>
      </c>
      <c r="BB183" s="3">
        <v>1</v>
      </c>
      <c r="BC183" s="3">
        <v>1</v>
      </c>
      <c r="BD183" s="3">
        <v>1</v>
      </c>
      <c r="BE183" s="3">
        <v>1</v>
      </c>
      <c r="BF183" s="3">
        <v>1</v>
      </c>
      <c r="BG183" s="3">
        <v>1</v>
      </c>
      <c r="BH183" s="3">
        <v>1</v>
      </c>
      <c r="BI183" s="3">
        <v>1</v>
      </c>
      <c r="BJ183" s="3">
        <v>1</v>
      </c>
      <c r="BK183" s="3">
        <v>1</v>
      </c>
      <c r="BL183" s="3">
        <v>1</v>
      </c>
      <c r="BM183" s="3">
        <v>1</v>
      </c>
      <c r="BN183" s="3">
        <v>1</v>
      </c>
      <c r="BO183" s="3">
        <v>1</v>
      </c>
      <c r="BP183" s="3">
        <v>1</v>
      </c>
      <c r="BQ183" s="3">
        <v>1</v>
      </c>
      <c r="BR183" s="3">
        <v>1</v>
      </c>
      <c r="BS183" s="3">
        <v>1</v>
      </c>
      <c r="BT183" s="3">
        <v>1</v>
      </c>
      <c r="BU183" s="3">
        <v>1</v>
      </c>
      <c r="BV183" s="3">
        <v>1</v>
      </c>
      <c r="BW183" s="3">
        <v>1</v>
      </c>
      <c r="BX183" s="3">
        <v>1</v>
      </c>
      <c r="BY183" s="3">
        <v>1</v>
      </c>
      <c r="BZ183" s="3">
        <v>1</v>
      </c>
      <c r="CA183" s="3">
        <v>1</v>
      </c>
      <c r="CB183" s="3">
        <v>1</v>
      </c>
      <c r="CC183" s="3">
        <v>1</v>
      </c>
      <c r="CD183" s="3">
        <v>1</v>
      </c>
      <c r="CE183" s="3">
        <v>1</v>
      </c>
      <c r="CF183" s="3">
        <v>1</v>
      </c>
      <c r="CG183" s="3">
        <v>1</v>
      </c>
      <c r="CH183" s="3">
        <v>1</v>
      </c>
      <c r="CI183" s="3">
        <v>1</v>
      </c>
      <c r="CJ183" s="3">
        <v>1</v>
      </c>
      <c r="CK183" s="3">
        <v>1</v>
      </c>
      <c r="CL183" s="3">
        <v>1</v>
      </c>
      <c r="CM183" s="3">
        <v>1</v>
      </c>
      <c r="CN183" s="3">
        <v>1</v>
      </c>
      <c r="CO183" s="3">
        <v>1</v>
      </c>
      <c r="CP183" s="3">
        <v>1</v>
      </c>
      <c r="CQ183" s="3">
        <v>1</v>
      </c>
      <c r="CR183" s="3">
        <v>1</v>
      </c>
      <c r="CS183" s="3">
        <v>1</v>
      </c>
      <c r="CT183" s="3">
        <v>1</v>
      </c>
      <c r="CU183" s="3">
        <v>1</v>
      </c>
      <c r="CV183" s="3">
        <v>1</v>
      </c>
      <c r="CW183" s="3">
        <v>1</v>
      </c>
      <c r="CX183" s="3">
        <v>1</v>
      </c>
      <c r="CY183" s="3">
        <v>1</v>
      </c>
      <c r="CZ183" s="3">
        <v>1</v>
      </c>
      <c r="DA183" s="3">
        <v>1</v>
      </c>
      <c r="DB183" s="3">
        <v>1</v>
      </c>
      <c r="DC183" s="3">
        <v>1</v>
      </c>
      <c r="DD183" s="3">
        <v>1</v>
      </c>
      <c r="DE183" s="3">
        <v>1</v>
      </c>
      <c r="DF183" s="3">
        <v>1</v>
      </c>
      <c r="DG183" s="3">
        <v>1</v>
      </c>
      <c r="DH183" s="3">
        <v>1</v>
      </c>
      <c r="DI183" s="3">
        <v>1</v>
      </c>
      <c r="DJ183" s="3">
        <v>1</v>
      </c>
      <c r="DK183" s="3">
        <v>1</v>
      </c>
      <c r="DL183" s="3">
        <v>1</v>
      </c>
      <c r="DM183" s="1" t="str">
        <f>ADDRESS(ROW(),COLUMN(),4)</f>
        <v>DM183</v>
      </c>
      <c r="DN183" s="710"/>
      <c r="DO183" s="711" t="str">
        <f>ADDRESS(ROW(),COLUMN(),4)</f>
        <v>DO183</v>
      </c>
    </row>
  </sheetData>
  <mergeCells count="1065">
    <mergeCell ref="DB17:DC18"/>
    <mergeCell ref="DE17:DF18"/>
    <mergeCell ref="B5:Q6"/>
    <mergeCell ref="AS5:BH6"/>
    <mergeCell ref="CD6:CS7"/>
    <mergeCell ref="AI8:AP10"/>
    <mergeCell ref="B10:C11"/>
    <mergeCell ref="E10:F11"/>
    <mergeCell ref="Q10:U11"/>
    <mergeCell ref="V10:W11"/>
    <mergeCell ref="X10:X11"/>
    <mergeCell ref="Z10:AD11"/>
    <mergeCell ref="BW17:BX18"/>
    <mergeCell ref="CD17:CE18"/>
    <mergeCell ref="AS17:AT18"/>
    <mergeCell ref="AV17:AW18"/>
    <mergeCell ref="AY17:AZ18"/>
    <mergeCell ref="BB17:BC18"/>
    <mergeCell ref="BE17:BF18"/>
    <mergeCell ref="BH17:BI18"/>
    <mergeCell ref="W17:X18"/>
    <mergeCell ref="Z17:AA18"/>
    <mergeCell ref="AC17:AD18"/>
    <mergeCell ref="AF17:AG18"/>
    <mergeCell ref="AI17:AJ18"/>
    <mergeCell ref="AL17:AM18"/>
    <mergeCell ref="AE10:AF11"/>
    <mergeCell ref="AI11:AP12"/>
    <mergeCell ref="B14:C15"/>
    <mergeCell ref="B17:C18"/>
    <mergeCell ref="DH17:DI18"/>
    <mergeCell ref="B20:C21"/>
    <mergeCell ref="E20:F21"/>
    <mergeCell ref="H20:I21"/>
    <mergeCell ref="K20:L21"/>
    <mergeCell ref="N20:O21"/>
    <mergeCell ref="Q20:R21"/>
    <mergeCell ref="CG17:CH18"/>
    <mergeCell ref="CJ17:CK18"/>
    <mergeCell ref="CM17:CN18"/>
    <mergeCell ref="CP17:CQ18"/>
    <mergeCell ref="CS17:CT18"/>
    <mergeCell ref="CV17:CW18"/>
    <mergeCell ref="BK17:BL18"/>
    <mergeCell ref="BN17:BO18"/>
    <mergeCell ref="BQ17:BR18"/>
    <mergeCell ref="BT17:BU18"/>
    <mergeCell ref="Q17:R18"/>
    <mergeCell ref="T17:U18"/>
    <mergeCell ref="AS20:AT21"/>
    <mergeCell ref="AV20:AW21"/>
    <mergeCell ref="AY20:AZ21"/>
    <mergeCell ref="BB20:BC21"/>
    <mergeCell ref="BE20:BF21"/>
    <mergeCell ref="BH20:BI21"/>
    <mergeCell ref="T20:U21"/>
    <mergeCell ref="W20:X21"/>
    <mergeCell ref="Z20:AA21"/>
    <mergeCell ref="AC20:AD21"/>
    <mergeCell ref="AF20:AG21"/>
    <mergeCell ref="K17:L18"/>
    <mergeCell ref="N17:O18"/>
    <mergeCell ref="AI20:AJ21"/>
    <mergeCell ref="CY17:CZ18"/>
    <mergeCell ref="T23:U24"/>
    <mergeCell ref="W23:X24"/>
    <mergeCell ref="Z23:AA24"/>
    <mergeCell ref="AC23:AD24"/>
    <mergeCell ref="AF23:AG24"/>
    <mergeCell ref="AI23:AJ24"/>
    <mergeCell ref="CY20:CZ21"/>
    <mergeCell ref="DB20:DC21"/>
    <mergeCell ref="DE20:DF21"/>
    <mergeCell ref="DH20:DI21"/>
    <mergeCell ref="B23:C24"/>
    <mergeCell ref="E23:F24"/>
    <mergeCell ref="H23:I24"/>
    <mergeCell ref="K23:L24"/>
    <mergeCell ref="N23:O24"/>
    <mergeCell ref="Q23:R24"/>
    <mergeCell ref="CG20:CH21"/>
    <mergeCell ref="CJ20:CK21"/>
    <mergeCell ref="CM20:CN21"/>
    <mergeCell ref="CP20:CQ21"/>
    <mergeCell ref="CS20:CT21"/>
    <mergeCell ref="CV20:CW21"/>
    <mergeCell ref="BK20:BL21"/>
    <mergeCell ref="BN20:BO21"/>
    <mergeCell ref="BQ20:BR21"/>
    <mergeCell ref="BT20:BU21"/>
    <mergeCell ref="BW20:BX21"/>
    <mergeCell ref="CD20:CE21"/>
    <mergeCell ref="E17:F18"/>
    <mergeCell ref="H17:I18"/>
    <mergeCell ref="E26:F27"/>
    <mergeCell ref="H26:I27"/>
    <mergeCell ref="K26:L27"/>
    <mergeCell ref="N26:O27"/>
    <mergeCell ref="Q26:R27"/>
    <mergeCell ref="CS23:CT24"/>
    <mergeCell ref="CV23:CW24"/>
    <mergeCell ref="CY23:CZ24"/>
    <mergeCell ref="DB23:DC24"/>
    <mergeCell ref="DE23:DF24"/>
    <mergeCell ref="DH23:DI24"/>
    <mergeCell ref="BW23:BX24"/>
    <mergeCell ref="CD23:CE24"/>
    <mergeCell ref="CG23:CH24"/>
    <mergeCell ref="CJ23:CK24"/>
    <mergeCell ref="CM23:CN24"/>
    <mergeCell ref="CP23:CQ24"/>
    <mergeCell ref="BE23:BF24"/>
    <mergeCell ref="BH23:BI24"/>
    <mergeCell ref="BK23:BL24"/>
    <mergeCell ref="BN23:BO24"/>
    <mergeCell ref="BQ23:BR24"/>
    <mergeCell ref="BT23:BU24"/>
    <mergeCell ref="AL23:AM24"/>
    <mergeCell ref="AO23:AP23"/>
    <mergeCell ref="AS23:AT24"/>
    <mergeCell ref="AV23:AW24"/>
    <mergeCell ref="AY23:AZ24"/>
    <mergeCell ref="BB23:BC24"/>
    <mergeCell ref="AO24:AP26"/>
    <mergeCell ref="AL26:AM27"/>
    <mergeCell ref="AS26:AT27"/>
    <mergeCell ref="B29:C30"/>
    <mergeCell ref="E29:F30"/>
    <mergeCell ref="H29:I30"/>
    <mergeCell ref="K29:L30"/>
    <mergeCell ref="N29:O30"/>
    <mergeCell ref="Q29:R30"/>
    <mergeCell ref="T29:U30"/>
    <mergeCell ref="CM26:CN27"/>
    <mergeCell ref="CP26:CQ27"/>
    <mergeCell ref="CS26:CT27"/>
    <mergeCell ref="CV26:CW27"/>
    <mergeCell ref="CY26:CZ27"/>
    <mergeCell ref="DB26:DC27"/>
    <mergeCell ref="BQ26:BR27"/>
    <mergeCell ref="BT26:BU27"/>
    <mergeCell ref="BW26:BX27"/>
    <mergeCell ref="CD26:CE27"/>
    <mergeCell ref="CG26:CH27"/>
    <mergeCell ref="CJ26:CK27"/>
    <mergeCell ref="AY26:AZ27"/>
    <mergeCell ref="BB26:BC27"/>
    <mergeCell ref="BE26:BF27"/>
    <mergeCell ref="BH26:BI27"/>
    <mergeCell ref="BK26:BL27"/>
    <mergeCell ref="BN26:BO27"/>
    <mergeCell ref="T26:U27"/>
    <mergeCell ref="W26:X27"/>
    <mergeCell ref="Z26:AA27"/>
    <mergeCell ref="AC26:AD27"/>
    <mergeCell ref="AF26:AG27"/>
    <mergeCell ref="AI26:AJ27"/>
    <mergeCell ref="B26:C27"/>
    <mergeCell ref="AV29:AW30"/>
    <mergeCell ref="AY29:AZ30"/>
    <mergeCell ref="BB29:BC30"/>
    <mergeCell ref="BE29:BF30"/>
    <mergeCell ref="BH29:BI30"/>
    <mergeCell ref="W29:X30"/>
    <mergeCell ref="Z29:AA30"/>
    <mergeCell ref="AC29:AD30"/>
    <mergeCell ref="AF29:AG30"/>
    <mergeCell ref="AI29:AJ30"/>
    <mergeCell ref="AL29:AM30"/>
    <mergeCell ref="AI32:AJ33"/>
    <mergeCell ref="AL32:AM33"/>
    <mergeCell ref="AO32:AP32"/>
    <mergeCell ref="DE26:DF27"/>
    <mergeCell ref="DH26:DI27"/>
    <mergeCell ref="AO28:AP29"/>
    <mergeCell ref="AV26:AW27"/>
    <mergeCell ref="Z32:AA33"/>
    <mergeCell ref="AC32:AD33"/>
    <mergeCell ref="AF32:AG33"/>
    <mergeCell ref="CY29:CZ30"/>
    <mergeCell ref="DB29:DC30"/>
    <mergeCell ref="DE29:DF30"/>
    <mergeCell ref="DH29:DI30"/>
    <mergeCell ref="AO31:AP31"/>
    <mergeCell ref="CP32:CQ33"/>
    <mergeCell ref="CS32:CT33"/>
    <mergeCell ref="CV32:CW33"/>
    <mergeCell ref="CY32:CZ33"/>
    <mergeCell ref="DB32:DC33"/>
    <mergeCell ref="DE32:DF33"/>
    <mergeCell ref="AF35:AG36"/>
    <mergeCell ref="AI35:AJ36"/>
    <mergeCell ref="AL35:AM36"/>
    <mergeCell ref="AS35:AT36"/>
    <mergeCell ref="DH32:DI33"/>
    <mergeCell ref="AO34:AP34"/>
    <mergeCell ref="B32:C33"/>
    <mergeCell ref="E32:F33"/>
    <mergeCell ref="H32:I33"/>
    <mergeCell ref="K32:L33"/>
    <mergeCell ref="N32:O33"/>
    <mergeCell ref="CG29:CH30"/>
    <mergeCell ref="CJ29:CK30"/>
    <mergeCell ref="CM29:CN30"/>
    <mergeCell ref="CP29:CQ30"/>
    <mergeCell ref="CS29:CT30"/>
    <mergeCell ref="CV29:CW30"/>
    <mergeCell ref="BK29:BL30"/>
    <mergeCell ref="BN29:BO30"/>
    <mergeCell ref="BQ29:BR30"/>
    <mergeCell ref="BT29:BU30"/>
    <mergeCell ref="BW29:BX30"/>
    <mergeCell ref="CD29:CE30"/>
    <mergeCell ref="AS29:AT30"/>
    <mergeCell ref="B35:C36"/>
    <mergeCell ref="E35:F36"/>
    <mergeCell ref="H35:I36"/>
    <mergeCell ref="K35:L36"/>
    <mergeCell ref="N35:O36"/>
    <mergeCell ref="Q35:R36"/>
    <mergeCell ref="T35:U36"/>
    <mergeCell ref="W35:X36"/>
    <mergeCell ref="BT32:BU33"/>
    <mergeCell ref="BW32:BX33"/>
    <mergeCell ref="CD32:CE33"/>
    <mergeCell ref="CG32:CH33"/>
    <mergeCell ref="CJ32:CK33"/>
    <mergeCell ref="CM32:CN33"/>
    <mergeCell ref="BB32:BC33"/>
    <mergeCell ref="BE32:BF33"/>
    <mergeCell ref="BH32:BI33"/>
    <mergeCell ref="BK32:BL33"/>
    <mergeCell ref="BN32:BO33"/>
    <mergeCell ref="BQ32:BR33"/>
    <mergeCell ref="AS32:AT33"/>
    <mergeCell ref="AV32:AW33"/>
    <mergeCell ref="AY32:AZ33"/>
    <mergeCell ref="Q32:R33"/>
    <mergeCell ref="T32:U33"/>
    <mergeCell ref="W32:X33"/>
    <mergeCell ref="AF38:AG39"/>
    <mergeCell ref="AI38:AJ39"/>
    <mergeCell ref="DB35:DC36"/>
    <mergeCell ref="DE35:DF36"/>
    <mergeCell ref="DH35:DI36"/>
    <mergeCell ref="AO36:AP36"/>
    <mergeCell ref="B38:C39"/>
    <mergeCell ref="E38:F39"/>
    <mergeCell ref="H38:I39"/>
    <mergeCell ref="K38:L39"/>
    <mergeCell ref="N38:O39"/>
    <mergeCell ref="Q38:R39"/>
    <mergeCell ref="CJ35:CK36"/>
    <mergeCell ref="CM35:CN36"/>
    <mergeCell ref="CP35:CQ36"/>
    <mergeCell ref="CS35:CT36"/>
    <mergeCell ref="CV35:CW36"/>
    <mergeCell ref="CY35:CZ36"/>
    <mergeCell ref="BN35:BO36"/>
    <mergeCell ref="BQ35:BR36"/>
    <mergeCell ref="BT35:BU36"/>
    <mergeCell ref="BW35:BX36"/>
    <mergeCell ref="CD35:CE36"/>
    <mergeCell ref="CG35:CH36"/>
    <mergeCell ref="AV35:AW36"/>
    <mergeCell ref="AY35:AZ36"/>
    <mergeCell ref="BB35:BC36"/>
    <mergeCell ref="BE35:BF36"/>
    <mergeCell ref="BH35:BI36"/>
    <mergeCell ref="BK35:BL36"/>
    <mergeCell ref="Z35:AA36"/>
    <mergeCell ref="AC35:AD36"/>
    <mergeCell ref="H41:I42"/>
    <mergeCell ref="K41:L42"/>
    <mergeCell ref="N41:O42"/>
    <mergeCell ref="Q41:R42"/>
    <mergeCell ref="CV38:CW39"/>
    <mergeCell ref="CY38:CZ39"/>
    <mergeCell ref="DB38:DC39"/>
    <mergeCell ref="DE38:DF39"/>
    <mergeCell ref="DH38:DI39"/>
    <mergeCell ref="AO39:AP39"/>
    <mergeCell ref="CD38:CE39"/>
    <mergeCell ref="CG38:CH39"/>
    <mergeCell ref="CJ38:CK39"/>
    <mergeCell ref="CM38:CN39"/>
    <mergeCell ref="CP38:CQ39"/>
    <mergeCell ref="CS38:CT39"/>
    <mergeCell ref="BH38:BI39"/>
    <mergeCell ref="BK38:BL39"/>
    <mergeCell ref="BN38:BO39"/>
    <mergeCell ref="BQ38:BR39"/>
    <mergeCell ref="BT38:BU39"/>
    <mergeCell ref="BW38:BX39"/>
    <mergeCell ref="AL38:AM39"/>
    <mergeCell ref="AS38:AT39"/>
    <mergeCell ref="AV38:AW39"/>
    <mergeCell ref="AY38:AZ39"/>
    <mergeCell ref="BB38:BC39"/>
    <mergeCell ref="BE38:BF39"/>
    <mergeCell ref="T38:U39"/>
    <mergeCell ref="W38:X39"/>
    <mergeCell ref="Z38:AA39"/>
    <mergeCell ref="AC38:AD39"/>
    <mergeCell ref="CV41:CW42"/>
    <mergeCell ref="CY41:CZ42"/>
    <mergeCell ref="DB41:DC42"/>
    <mergeCell ref="DE41:DF42"/>
    <mergeCell ref="DH41:DI42"/>
    <mergeCell ref="BW41:BX42"/>
    <mergeCell ref="CD41:CE42"/>
    <mergeCell ref="CG41:CH42"/>
    <mergeCell ref="CJ41:CK42"/>
    <mergeCell ref="CM41:CN42"/>
    <mergeCell ref="CP41:CQ42"/>
    <mergeCell ref="BE41:BF42"/>
    <mergeCell ref="BH41:BI42"/>
    <mergeCell ref="BK41:BL42"/>
    <mergeCell ref="BN41:BO42"/>
    <mergeCell ref="BQ41:BR42"/>
    <mergeCell ref="BT41:BU42"/>
    <mergeCell ref="AV44:AW45"/>
    <mergeCell ref="AY44:AZ45"/>
    <mergeCell ref="BB44:BC45"/>
    <mergeCell ref="BE44:BF45"/>
    <mergeCell ref="T44:U45"/>
    <mergeCell ref="W44:X45"/>
    <mergeCell ref="Z44:AA45"/>
    <mergeCell ref="AC44:AD45"/>
    <mergeCell ref="AF44:AG45"/>
    <mergeCell ref="AI44:AJ45"/>
    <mergeCell ref="B44:C45"/>
    <mergeCell ref="E44:F45"/>
    <mergeCell ref="H44:I45"/>
    <mergeCell ref="K44:L45"/>
    <mergeCell ref="N44:O45"/>
    <mergeCell ref="Q44:R45"/>
    <mergeCell ref="CS41:CT42"/>
    <mergeCell ref="AL41:AM42"/>
    <mergeCell ref="AO41:AP41"/>
    <mergeCell ref="AS41:AT42"/>
    <mergeCell ref="AV41:AW42"/>
    <mergeCell ref="AY41:AZ42"/>
    <mergeCell ref="BB41:BC42"/>
    <mergeCell ref="AO42:AP42"/>
    <mergeCell ref="T41:U42"/>
    <mergeCell ref="W41:X42"/>
    <mergeCell ref="Z41:AA42"/>
    <mergeCell ref="AC41:AD42"/>
    <mergeCell ref="AF41:AG42"/>
    <mergeCell ref="AI41:AJ42"/>
    <mergeCell ref="B41:C42"/>
    <mergeCell ref="E41:F42"/>
    <mergeCell ref="BE47:BF48"/>
    <mergeCell ref="BH47:BI48"/>
    <mergeCell ref="Q47:R48"/>
    <mergeCell ref="T47:U48"/>
    <mergeCell ref="W47:X48"/>
    <mergeCell ref="Z47:AA48"/>
    <mergeCell ref="AC47:AD48"/>
    <mergeCell ref="AF47:AG48"/>
    <mergeCell ref="CV44:CW45"/>
    <mergeCell ref="CY44:CZ45"/>
    <mergeCell ref="DB44:DC45"/>
    <mergeCell ref="DE44:DF45"/>
    <mergeCell ref="DH44:DI45"/>
    <mergeCell ref="B47:C48"/>
    <mergeCell ref="E47:F48"/>
    <mergeCell ref="H47:I48"/>
    <mergeCell ref="K47:L48"/>
    <mergeCell ref="N47:O48"/>
    <mergeCell ref="CD44:CE45"/>
    <mergeCell ref="CG44:CH45"/>
    <mergeCell ref="CJ44:CK45"/>
    <mergeCell ref="CM44:CN45"/>
    <mergeCell ref="CP44:CQ45"/>
    <mergeCell ref="CS44:CT45"/>
    <mergeCell ref="BH44:BI45"/>
    <mergeCell ref="BK44:BL45"/>
    <mergeCell ref="BN44:BO45"/>
    <mergeCell ref="BQ44:BR45"/>
    <mergeCell ref="BT44:BU45"/>
    <mergeCell ref="BW44:BX45"/>
    <mergeCell ref="AL44:AM45"/>
    <mergeCell ref="AS44:AT45"/>
    <mergeCell ref="T50:U51"/>
    <mergeCell ref="W50:X51"/>
    <mergeCell ref="Z50:AA51"/>
    <mergeCell ref="AC50:AD51"/>
    <mergeCell ref="AF50:AG51"/>
    <mergeCell ref="AS50:AT51"/>
    <mergeCell ref="CY47:CZ48"/>
    <mergeCell ref="DB47:DC48"/>
    <mergeCell ref="DE47:DF48"/>
    <mergeCell ref="DH47:DI48"/>
    <mergeCell ref="B50:C51"/>
    <mergeCell ref="E50:F51"/>
    <mergeCell ref="H50:I51"/>
    <mergeCell ref="K50:L51"/>
    <mergeCell ref="N50:O51"/>
    <mergeCell ref="Q50:R51"/>
    <mergeCell ref="CG47:CH48"/>
    <mergeCell ref="CJ47:CK48"/>
    <mergeCell ref="CM47:CN48"/>
    <mergeCell ref="CP47:CQ48"/>
    <mergeCell ref="CS47:CT48"/>
    <mergeCell ref="CV47:CW48"/>
    <mergeCell ref="BK47:BL48"/>
    <mergeCell ref="BN47:BO48"/>
    <mergeCell ref="BQ47:BR48"/>
    <mergeCell ref="BT47:BU48"/>
    <mergeCell ref="BW47:BX48"/>
    <mergeCell ref="CD47:CE48"/>
    <mergeCell ref="AS47:AT48"/>
    <mergeCell ref="AV47:AW48"/>
    <mergeCell ref="AY47:AZ48"/>
    <mergeCell ref="BB47:BC48"/>
    <mergeCell ref="AC53:AD54"/>
    <mergeCell ref="AF53:AG54"/>
    <mergeCell ref="AS53:AT54"/>
    <mergeCell ref="AV53:AW54"/>
    <mergeCell ref="DB50:DC51"/>
    <mergeCell ref="DE50:DF51"/>
    <mergeCell ref="DH50:DI51"/>
    <mergeCell ref="B53:C54"/>
    <mergeCell ref="E53:F54"/>
    <mergeCell ref="H53:I54"/>
    <mergeCell ref="K53:L54"/>
    <mergeCell ref="N53:O54"/>
    <mergeCell ref="Q53:R54"/>
    <mergeCell ref="T53:U54"/>
    <mergeCell ref="CJ50:CK51"/>
    <mergeCell ref="CM50:CN51"/>
    <mergeCell ref="CP50:CQ51"/>
    <mergeCell ref="CS50:CT51"/>
    <mergeCell ref="CV50:CW51"/>
    <mergeCell ref="CY50:CZ51"/>
    <mergeCell ref="BN50:BO51"/>
    <mergeCell ref="BQ50:BR51"/>
    <mergeCell ref="BT50:BU51"/>
    <mergeCell ref="BW50:BX51"/>
    <mergeCell ref="CD50:CE51"/>
    <mergeCell ref="CG50:CH51"/>
    <mergeCell ref="AV50:AW51"/>
    <mergeCell ref="AY50:AZ51"/>
    <mergeCell ref="BB50:BC51"/>
    <mergeCell ref="BE50:BF51"/>
    <mergeCell ref="BH50:BI51"/>
    <mergeCell ref="BK50:BL51"/>
    <mergeCell ref="AV56:AW57"/>
    <mergeCell ref="AY56:AZ57"/>
    <mergeCell ref="DE53:DF54"/>
    <mergeCell ref="DH53:DI54"/>
    <mergeCell ref="B56:C57"/>
    <mergeCell ref="E56:F57"/>
    <mergeCell ref="H56:I57"/>
    <mergeCell ref="K56:L57"/>
    <mergeCell ref="N56:O57"/>
    <mergeCell ref="Q56:R57"/>
    <mergeCell ref="T56:U57"/>
    <mergeCell ref="W56:X57"/>
    <mergeCell ref="CM53:CN54"/>
    <mergeCell ref="CP53:CQ54"/>
    <mergeCell ref="CS53:CT54"/>
    <mergeCell ref="CV53:CW54"/>
    <mergeCell ref="CY53:CZ54"/>
    <mergeCell ref="DB53:DC54"/>
    <mergeCell ref="BQ53:BR54"/>
    <mergeCell ref="BT53:BU54"/>
    <mergeCell ref="BW53:BX54"/>
    <mergeCell ref="CD53:CE54"/>
    <mergeCell ref="CG53:CH54"/>
    <mergeCell ref="CJ53:CK54"/>
    <mergeCell ref="AY53:AZ54"/>
    <mergeCell ref="BB53:BC54"/>
    <mergeCell ref="BE53:BF54"/>
    <mergeCell ref="BH53:BI54"/>
    <mergeCell ref="BK53:BL54"/>
    <mergeCell ref="BN53:BO54"/>
    <mergeCell ref="W53:X54"/>
    <mergeCell ref="Z53:AA54"/>
    <mergeCell ref="DH56:DI57"/>
    <mergeCell ref="B59:C60"/>
    <mergeCell ref="E59:F60"/>
    <mergeCell ref="H59:I60"/>
    <mergeCell ref="K59:L60"/>
    <mergeCell ref="N59:O60"/>
    <mergeCell ref="Q59:R60"/>
    <mergeCell ref="T59:U60"/>
    <mergeCell ref="W59:X60"/>
    <mergeCell ref="Z59:AA60"/>
    <mergeCell ref="CP56:CQ57"/>
    <mergeCell ref="CS56:CT57"/>
    <mergeCell ref="CV56:CW57"/>
    <mergeCell ref="CY56:CZ57"/>
    <mergeCell ref="DB56:DC57"/>
    <mergeCell ref="DE56:DF57"/>
    <mergeCell ref="BT56:BU57"/>
    <mergeCell ref="BW56:BX57"/>
    <mergeCell ref="CD56:CE57"/>
    <mergeCell ref="CG56:CH57"/>
    <mergeCell ref="CJ56:CK57"/>
    <mergeCell ref="CM56:CN57"/>
    <mergeCell ref="BB56:BC57"/>
    <mergeCell ref="BE56:BF57"/>
    <mergeCell ref="BH56:BI57"/>
    <mergeCell ref="BK56:BL57"/>
    <mergeCell ref="BN56:BO57"/>
    <mergeCell ref="BQ56:BR57"/>
    <mergeCell ref="Z56:AA57"/>
    <mergeCell ref="AC56:AD57"/>
    <mergeCell ref="AF56:AG57"/>
    <mergeCell ref="AS56:AT57"/>
    <mergeCell ref="DH59:DI60"/>
    <mergeCell ref="BW59:BX60"/>
    <mergeCell ref="CD59:CE60"/>
    <mergeCell ref="CG59:CH60"/>
    <mergeCell ref="CJ59:CK60"/>
    <mergeCell ref="CM59:CN60"/>
    <mergeCell ref="CP59:CQ60"/>
    <mergeCell ref="BE59:BF60"/>
    <mergeCell ref="BH59:BI60"/>
    <mergeCell ref="BK59:BL60"/>
    <mergeCell ref="BN59:BO60"/>
    <mergeCell ref="BQ59:BR60"/>
    <mergeCell ref="BT59:BU60"/>
    <mergeCell ref="AC59:AD60"/>
    <mergeCell ref="AF59:AG60"/>
    <mergeCell ref="AS59:AT60"/>
    <mergeCell ref="AV59:AW60"/>
    <mergeCell ref="AY59:AZ60"/>
    <mergeCell ref="BB59:BC60"/>
    <mergeCell ref="T62:U63"/>
    <mergeCell ref="W62:X63"/>
    <mergeCell ref="Z62:AA63"/>
    <mergeCell ref="AC62:AD63"/>
    <mergeCell ref="AF62:AG63"/>
    <mergeCell ref="AS62:AT63"/>
    <mergeCell ref="B62:C63"/>
    <mergeCell ref="E62:F63"/>
    <mergeCell ref="H62:I63"/>
    <mergeCell ref="K62:L63"/>
    <mergeCell ref="N62:O63"/>
    <mergeCell ref="Q62:R63"/>
    <mergeCell ref="CS59:CT60"/>
    <mergeCell ref="CV59:CW60"/>
    <mergeCell ref="CY59:CZ60"/>
    <mergeCell ref="DB59:DC60"/>
    <mergeCell ref="DE59:DF60"/>
    <mergeCell ref="AC65:AD66"/>
    <mergeCell ref="AF65:AG66"/>
    <mergeCell ref="AS65:AT66"/>
    <mergeCell ref="AV65:AW66"/>
    <mergeCell ref="DB62:DC63"/>
    <mergeCell ref="DE62:DF63"/>
    <mergeCell ref="DH62:DI63"/>
    <mergeCell ref="B65:C66"/>
    <mergeCell ref="E65:F66"/>
    <mergeCell ref="H65:I66"/>
    <mergeCell ref="K65:L66"/>
    <mergeCell ref="N65:O66"/>
    <mergeCell ref="Q65:R66"/>
    <mergeCell ref="T65:U66"/>
    <mergeCell ref="CJ62:CK63"/>
    <mergeCell ref="CM62:CN63"/>
    <mergeCell ref="CP62:CQ63"/>
    <mergeCell ref="CS62:CT63"/>
    <mergeCell ref="CV62:CW63"/>
    <mergeCell ref="CY62:CZ63"/>
    <mergeCell ref="BN62:BO63"/>
    <mergeCell ref="BQ62:BR63"/>
    <mergeCell ref="BT62:BU63"/>
    <mergeCell ref="BW62:BX63"/>
    <mergeCell ref="CD62:CE63"/>
    <mergeCell ref="CG62:CH63"/>
    <mergeCell ref="AV62:AW63"/>
    <mergeCell ref="AY62:AZ63"/>
    <mergeCell ref="BB62:BC63"/>
    <mergeCell ref="BE62:BF63"/>
    <mergeCell ref="BH62:BI63"/>
    <mergeCell ref="BK62:BL63"/>
    <mergeCell ref="AV68:AW69"/>
    <mergeCell ref="AY68:AZ69"/>
    <mergeCell ref="DE65:DF66"/>
    <mergeCell ref="DH65:DI66"/>
    <mergeCell ref="B68:C69"/>
    <mergeCell ref="E68:F69"/>
    <mergeCell ref="H68:I69"/>
    <mergeCell ref="K68:L69"/>
    <mergeCell ref="N68:O69"/>
    <mergeCell ref="Q68:R69"/>
    <mergeCell ref="T68:U69"/>
    <mergeCell ref="W68:X69"/>
    <mergeCell ref="CM65:CN66"/>
    <mergeCell ref="CP65:CQ66"/>
    <mergeCell ref="CS65:CT66"/>
    <mergeCell ref="CV65:CW66"/>
    <mergeCell ref="CY65:CZ66"/>
    <mergeCell ref="DB65:DC66"/>
    <mergeCell ref="BQ65:BR66"/>
    <mergeCell ref="BT65:BU66"/>
    <mergeCell ref="BW65:BX66"/>
    <mergeCell ref="CD65:CE66"/>
    <mergeCell ref="CG65:CH66"/>
    <mergeCell ref="CJ65:CK66"/>
    <mergeCell ref="AY65:AZ66"/>
    <mergeCell ref="BB65:BC66"/>
    <mergeCell ref="BE65:BF66"/>
    <mergeCell ref="BH65:BI66"/>
    <mergeCell ref="BK65:BL66"/>
    <mergeCell ref="BN65:BO66"/>
    <mergeCell ref="W65:X66"/>
    <mergeCell ref="Z65:AA66"/>
    <mergeCell ref="DH68:DI69"/>
    <mergeCell ref="B71:C72"/>
    <mergeCell ref="E71:F72"/>
    <mergeCell ref="H71:I72"/>
    <mergeCell ref="K71:L72"/>
    <mergeCell ref="Q71:R72"/>
    <mergeCell ref="T71:U72"/>
    <mergeCell ref="W71:X72"/>
    <mergeCell ref="Z71:AA72"/>
    <mergeCell ref="AC71:AD72"/>
    <mergeCell ref="CP68:CQ69"/>
    <mergeCell ref="CS68:CT69"/>
    <mergeCell ref="CV68:CW69"/>
    <mergeCell ref="CY68:CZ69"/>
    <mergeCell ref="DB68:DC69"/>
    <mergeCell ref="DE68:DF69"/>
    <mergeCell ref="BT68:BU69"/>
    <mergeCell ref="BW68:BX69"/>
    <mergeCell ref="CD68:CE69"/>
    <mergeCell ref="CG68:CH69"/>
    <mergeCell ref="CJ68:CK69"/>
    <mergeCell ref="CM68:CN69"/>
    <mergeCell ref="BB68:BC69"/>
    <mergeCell ref="BE68:BF69"/>
    <mergeCell ref="BH68:BI69"/>
    <mergeCell ref="BK68:BL69"/>
    <mergeCell ref="BN68:BO69"/>
    <mergeCell ref="BQ68:BR69"/>
    <mergeCell ref="Z68:AA69"/>
    <mergeCell ref="AC68:AD69"/>
    <mergeCell ref="AF68:AG69"/>
    <mergeCell ref="AS68:AT69"/>
    <mergeCell ref="DB71:DC72"/>
    <mergeCell ref="DE71:DF72"/>
    <mergeCell ref="DH71:DI72"/>
    <mergeCell ref="B74:C75"/>
    <mergeCell ref="E74:F75"/>
    <mergeCell ref="H74:I75"/>
    <mergeCell ref="K74:L75"/>
    <mergeCell ref="Q74:R75"/>
    <mergeCell ref="T74:U75"/>
    <mergeCell ref="W74:X75"/>
    <mergeCell ref="CG71:CH72"/>
    <mergeCell ref="CJ71:CK72"/>
    <mergeCell ref="CM71:CN72"/>
    <mergeCell ref="CS71:CT72"/>
    <mergeCell ref="CV71:CW72"/>
    <mergeCell ref="CY71:CZ72"/>
    <mergeCell ref="BK71:BL72"/>
    <mergeCell ref="BN71:BO72"/>
    <mergeCell ref="BQ71:BR72"/>
    <mergeCell ref="BT71:BU72"/>
    <mergeCell ref="BW71:BX72"/>
    <mergeCell ref="CD71:CE72"/>
    <mergeCell ref="AF71:AG72"/>
    <mergeCell ref="AS71:AT72"/>
    <mergeCell ref="AV71:AW72"/>
    <mergeCell ref="AY71:AZ72"/>
    <mergeCell ref="BB71:BC72"/>
    <mergeCell ref="BH71:BI72"/>
    <mergeCell ref="CV74:CW75"/>
    <mergeCell ref="CY74:CZ75"/>
    <mergeCell ref="DB74:DC75"/>
    <mergeCell ref="DE74:DF75"/>
    <mergeCell ref="DH74:DI75"/>
    <mergeCell ref="B77:C78"/>
    <mergeCell ref="E77:F78"/>
    <mergeCell ref="H77:I78"/>
    <mergeCell ref="K77:L78"/>
    <mergeCell ref="Q77:R78"/>
    <mergeCell ref="BW74:BX75"/>
    <mergeCell ref="CD74:CE75"/>
    <mergeCell ref="CG74:CH75"/>
    <mergeCell ref="CJ74:CK75"/>
    <mergeCell ref="CM74:CN75"/>
    <mergeCell ref="CS74:CT75"/>
    <mergeCell ref="BB74:BC75"/>
    <mergeCell ref="BH74:BI75"/>
    <mergeCell ref="BK74:BL75"/>
    <mergeCell ref="BN74:BO75"/>
    <mergeCell ref="BQ74:BR75"/>
    <mergeCell ref="BT74:BU75"/>
    <mergeCell ref="Z74:AA75"/>
    <mergeCell ref="AC74:AD75"/>
    <mergeCell ref="AF74:AG75"/>
    <mergeCell ref="AS74:AT75"/>
    <mergeCell ref="AV74:AW75"/>
    <mergeCell ref="AY74:AZ75"/>
    <mergeCell ref="DH77:DI78"/>
    <mergeCell ref="T80:U81"/>
    <mergeCell ref="W80:X81"/>
    <mergeCell ref="Z80:AA81"/>
    <mergeCell ref="AC80:AD81"/>
    <mergeCell ref="CM77:CN78"/>
    <mergeCell ref="CS77:CT78"/>
    <mergeCell ref="CV77:CW78"/>
    <mergeCell ref="CY77:CZ78"/>
    <mergeCell ref="DB77:DC78"/>
    <mergeCell ref="DE77:DF78"/>
    <mergeCell ref="BQ77:BR78"/>
    <mergeCell ref="BT77:BU78"/>
    <mergeCell ref="BW77:BX78"/>
    <mergeCell ref="CD77:CE78"/>
    <mergeCell ref="CG77:CH78"/>
    <mergeCell ref="CJ77:CK78"/>
    <mergeCell ref="AV77:AW78"/>
    <mergeCell ref="AY77:AZ78"/>
    <mergeCell ref="BB77:BC78"/>
    <mergeCell ref="BH77:BI78"/>
    <mergeCell ref="BK77:BL78"/>
    <mergeCell ref="BN77:BO78"/>
    <mergeCell ref="T77:U78"/>
    <mergeCell ref="W77:X78"/>
    <mergeCell ref="Z77:AA78"/>
    <mergeCell ref="AC77:AD78"/>
    <mergeCell ref="DB80:DC81"/>
    <mergeCell ref="AF77:AG78"/>
    <mergeCell ref="AS77:AT78"/>
    <mergeCell ref="DE80:DF81"/>
    <mergeCell ref="DH80:DI81"/>
    <mergeCell ref="B83:C84"/>
    <mergeCell ref="E83:F84"/>
    <mergeCell ref="H83:I84"/>
    <mergeCell ref="K83:L84"/>
    <mergeCell ref="Q83:R84"/>
    <mergeCell ref="T83:U84"/>
    <mergeCell ref="W83:X84"/>
    <mergeCell ref="CG80:CH81"/>
    <mergeCell ref="CJ80:CK81"/>
    <mergeCell ref="CM80:CN81"/>
    <mergeCell ref="CS80:CT81"/>
    <mergeCell ref="CV80:CW81"/>
    <mergeCell ref="CY80:CZ81"/>
    <mergeCell ref="BK80:BL81"/>
    <mergeCell ref="BN80:BO81"/>
    <mergeCell ref="BQ80:BR81"/>
    <mergeCell ref="BT80:BU81"/>
    <mergeCell ref="BW80:BX81"/>
    <mergeCell ref="CD80:CE81"/>
    <mergeCell ref="AF80:AG81"/>
    <mergeCell ref="AS80:AT81"/>
    <mergeCell ref="AV80:AW81"/>
    <mergeCell ref="AY80:AZ81"/>
    <mergeCell ref="BB80:BC81"/>
    <mergeCell ref="BH80:BI81"/>
    <mergeCell ref="DB83:DC84"/>
    <mergeCell ref="B80:C81"/>
    <mergeCell ref="E80:F81"/>
    <mergeCell ref="H80:I81"/>
    <mergeCell ref="K80:L81"/>
    <mergeCell ref="Q80:R81"/>
    <mergeCell ref="Q86:R87"/>
    <mergeCell ref="T86:U87"/>
    <mergeCell ref="W86:X87"/>
    <mergeCell ref="AS86:AT87"/>
    <mergeCell ref="AV86:AW87"/>
    <mergeCell ref="CG83:CH84"/>
    <mergeCell ref="CJ83:CK84"/>
    <mergeCell ref="CM83:CN84"/>
    <mergeCell ref="CS83:CT84"/>
    <mergeCell ref="CV83:CW84"/>
    <mergeCell ref="CY83:CZ84"/>
    <mergeCell ref="BB83:BC84"/>
    <mergeCell ref="BH83:BI84"/>
    <mergeCell ref="BK83:BL84"/>
    <mergeCell ref="BN83:BO84"/>
    <mergeCell ref="BQ83:BR84"/>
    <mergeCell ref="CD83:CE84"/>
    <mergeCell ref="Z83:AA84"/>
    <mergeCell ref="AC83:AD84"/>
    <mergeCell ref="AF83:AG84"/>
    <mergeCell ref="AS83:AT84"/>
    <mergeCell ref="AV83:AW84"/>
    <mergeCell ref="AY83:AZ84"/>
    <mergeCell ref="AV89:AW90"/>
    <mergeCell ref="AY89:AZ90"/>
    <mergeCell ref="BB89:BC90"/>
    <mergeCell ref="BH89:BI90"/>
    <mergeCell ref="BK89:BL90"/>
    <mergeCell ref="BN89:BO90"/>
    <mergeCell ref="CY86:CZ87"/>
    <mergeCell ref="DB86:DC87"/>
    <mergeCell ref="B89:C90"/>
    <mergeCell ref="E89:F90"/>
    <mergeCell ref="H89:I90"/>
    <mergeCell ref="K89:L90"/>
    <mergeCell ref="Q89:R90"/>
    <mergeCell ref="T89:U90"/>
    <mergeCell ref="W89:X90"/>
    <mergeCell ref="AS89:AT90"/>
    <mergeCell ref="CD86:CE87"/>
    <mergeCell ref="CG86:CH87"/>
    <mergeCell ref="CJ86:CK87"/>
    <mergeCell ref="CM86:CN87"/>
    <mergeCell ref="CS86:CT87"/>
    <mergeCell ref="CV86:CW87"/>
    <mergeCell ref="AY86:AZ87"/>
    <mergeCell ref="BB86:BC87"/>
    <mergeCell ref="BH86:BI87"/>
    <mergeCell ref="BK86:BL87"/>
    <mergeCell ref="BN86:BO87"/>
    <mergeCell ref="BQ86:BR87"/>
    <mergeCell ref="B86:C87"/>
    <mergeCell ref="E86:F87"/>
    <mergeCell ref="H86:I87"/>
    <mergeCell ref="K86:L87"/>
    <mergeCell ref="CJ92:CK93"/>
    <mergeCell ref="CM92:CN93"/>
    <mergeCell ref="CS92:CT93"/>
    <mergeCell ref="CV92:CW93"/>
    <mergeCell ref="CY92:CZ93"/>
    <mergeCell ref="B95:C96"/>
    <mergeCell ref="E95:F96"/>
    <mergeCell ref="H95:I96"/>
    <mergeCell ref="K95:L96"/>
    <mergeCell ref="T95:U96"/>
    <mergeCell ref="BB92:BC93"/>
    <mergeCell ref="BH92:BI93"/>
    <mergeCell ref="BK92:BL93"/>
    <mergeCell ref="BN92:BO93"/>
    <mergeCell ref="CD92:CE93"/>
    <mergeCell ref="CG92:CH93"/>
    <mergeCell ref="CY89:CZ90"/>
    <mergeCell ref="B92:C93"/>
    <mergeCell ref="E92:F93"/>
    <mergeCell ref="H92:I93"/>
    <mergeCell ref="K92:L93"/>
    <mergeCell ref="T92:U93"/>
    <mergeCell ref="W92:X93"/>
    <mergeCell ref="AS92:AT93"/>
    <mergeCell ref="AV92:AW93"/>
    <mergeCell ref="AY92:AZ93"/>
    <mergeCell ref="CD89:CE90"/>
    <mergeCell ref="CG89:CH90"/>
    <mergeCell ref="CJ89:CK90"/>
    <mergeCell ref="CM89:CN90"/>
    <mergeCell ref="CS89:CT90"/>
    <mergeCell ref="CV89:CW90"/>
    <mergeCell ref="CV95:CW96"/>
    <mergeCell ref="CY95:CZ96"/>
    <mergeCell ref="B98:C99"/>
    <mergeCell ref="E98:F99"/>
    <mergeCell ref="H98:I99"/>
    <mergeCell ref="K98:L99"/>
    <mergeCell ref="T98:U99"/>
    <mergeCell ref="W98:X99"/>
    <mergeCell ref="AS98:AT99"/>
    <mergeCell ref="AV98:AW99"/>
    <mergeCell ref="BK95:BL96"/>
    <mergeCell ref="BN95:BO96"/>
    <mergeCell ref="CD95:CE96"/>
    <mergeCell ref="CG95:CH96"/>
    <mergeCell ref="CJ95:CK96"/>
    <mergeCell ref="CM95:CN96"/>
    <mergeCell ref="W95:X96"/>
    <mergeCell ref="AS95:AT96"/>
    <mergeCell ref="AV95:AW96"/>
    <mergeCell ref="AY95:AZ96"/>
    <mergeCell ref="BB95:BC96"/>
    <mergeCell ref="BH95:BI96"/>
    <mergeCell ref="CD101:CE102"/>
    <mergeCell ref="CG101:CH102"/>
    <mergeCell ref="CJ101:CK102"/>
    <mergeCell ref="CM101:CN102"/>
    <mergeCell ref="CV101:CW102"/>
    <mergeCell ref="CY101:CZ102"/>
    <mergeCell ref="AS101:AT102"/>
    <mergeCell ref="AV101:AW102"/>
    <mergeCell ref="AY101:AZ102"/>
    <mergeCell ref="BB101:BC102"/>
    <mergeCell ref="BK101:BL102"/>
    <mergeCell ref="BN101:BO102"/>
    <mergeCell ref="CJ98:CK99"/>
    <mergeCell ref="CM98:CN99"/>
    <mergeCell ref="CV98:CW99"/>
    <mergeCell ref="CY98:CZ99"/>
    <mergeCell ref="B101:C102"/>
    <mergeCell ref="E101:F102"/>
    <mergeCell ref="H101:I102"/>
    <mergeCell ref="K101:L102"/>
    <mergeCell ref="T101:U102"/>
    <mergeCell ref="W101:X102"/>
    <mergeCell ref="AY98:AZ99"/>
    <mergeCell ref="BB98:BC99"/>
    <mergeCell ref="BK98:BL99"/>
    <mergeCell ref="BN98:BO99"/>
    <mergeCell ref="CD98:CE99"/>
    <mergeCell ref="CG98:CH99"/>
    <mergeCell ref="B107:C108"/>
    <mergeCell ref="E107:F108"/>
    <mergeCell ref="H107:I108"/>
    <mergeCell ref="K107:L108"/>
    <mergeCell ref="T107:U108"/>
    <mergeCell ref="W107:X108"/>
    <mergeCell ref="AV104:AW105"/>
    <mergeCell ref="AY104:AZ105"/>
    <mergeCell ref="BB104:BC105"/>
    <mergeCell ref="BK104:BL105"/>
    <mergeCell ref="BN104:BO105"/>
    <mergeCell ref="CG104:CH105"/>
    <mergeCell ref="B104:C105"/>
    <mergeCell ref="E104:F105"/>
    <mergeCell ref="H104:I105"/>
    <mergeCell ref="K104:L105"/>
    <mergeCell ref="T104:U105"/>
    <mergeCell ref="W104:X105"/>
    <mergeCell ref="CJ107:CK108"/>
    <mergeCell ref="CM107:CN108"/>
    <mergeCell ref="CV107:CW108"/>
    <mergeCell ref="CY107:CZ108"/>
    <mergeCell ref="E110:F111"/>
    <mergeCell ref="H110:I111"/>
    <mergeCell ref="K110:L111"/>
    <mergeCell ref="T110:U111"/>
    <mergeCell ref="W110:X111"/>
    <mergeCell ref="AV110:AW111"/>
    <mergeCell ref="AV107:AW108"/>
    <mergeCell ref="AY107:AZ108"/>
    <mergeCell ref="BB107:BC108"/>
    <mergeCell ref="BK107:BL108"/>
    <mergeCell ref="BN107:BO108"/>
    <mergeCell ref="CG107:CH108"/>
    <mergeCell ref="CJ104:CK105"/>
    <mergeCell ref="CM104:CN105"/>
    <mergeCell ref="CV104:CW105"/>
    <mergeCell ref="CY104:CZ105"/>
    <mergeCell ref="CM113:CN114"/>
    <mergeCell ref="CV113:CW114"/>
    <mergeCell ref="CY113:CZ114"/>
    <mergeCell ref="E116:F117"/>
    <mergeCell ref="T116:U117"/>
    <mergeCell ref="W116:X117"/>
    <mergeCell ref="AV116:AW117"/>
    <mergeCell ref="BK116:BL117"/>
    <mergeCell ref="BN116:BO117"/>
    <mergeCell ref="CG116:CH117"/>
    <mergeCell ref="CY110:CZ111"/>
    <mergeCell ref="E113:F114"/>
    <mergeCell ref="K113:L114"/>
    <mergeCell ref="T113:U114"/>
    <mergeCell ref="W113:X114"/>
    <mergeCell ref="AV113:AW114"/>
    <mergeCell ref="BB113:BC114"/>
    <mergeCell ref="BK113:BL114"/>
    <mergeCell ref="BN113:BO114"/>
    <mergeCell ref="CG113:CH114"/>
    <mergeCell ref="BB110:BC111"/>
    <mergeCell ref="BK110:BL111"/>
    <mergeCell ref="BN110:BO111"/>
    <mergeCell ref="CG110:CH111"/>
    <mergeCell ref="CM110:CN111"/>
    <mergeCell ref="CV110:CW111"/>
    <mergeCell ref="E125:F126"/>
    <mergeCell ref="T125:U126"/>
    <mergeCell ref="W125:X126"/>
    <mergeCell ref="BK125:BL126"/>
    <mergeCell ref="BN125:BO126"/>
    <mergeCell ref="CV125:CW126"/>
    <mergeCell ref="CY119:CZ120"/>
    <mergeCell ref="E122:F123"/>
    <mergeCell ref="T122:U123"/>
    <mergeCell ref="W122:X123"/>
    <mergeCell ref="AV122:AW123"/>
    <mergeCell ref="BK122:BL123"/>
    <mergeCell ref="BN122:BO123"/>
    <mergeCell ref="CG122:CH123"/>
    <mergeCell ref="CV122:CW123"/>
    <mergeCell ref="CY122:CZ123"/>
    <mergeCell ref="CV116:CW117"/>
    <mergeCell ref="CY116:CZ117"/>
    <mergeCell ref="E119:F120"/>
    <mergeCell ref="T119:U120"/>
    <mergeCell ref="W119:X120"/>
    <mergeCell ref="AV119:AW120"/>
    <mergeCell ref="BK119:BL120"/>
    <mergeCell ref="BN119:BO120"/>
    <mergeCell ref="CG119:CH120"/>
    <mergeCell ref="CV119:CW120"/>
    <mergeCell ref="T134:U135"/>
    <mergeCell ref="W134:X135"/>
    <mergeCell ref="BK134:BL135"/>
    <mergeCell ref="BN134:BO135"/>
    <mergeCell ref="CV134:CW135"/>
    <mergeCell ref="CY134:CZ135"/>
    <mergeCell ref="T131:U132"/>
    <mergeCell ref="W131:X132"/>
    <mergeCell ref="BK131:BL132"/>
    <mergeCell ref="BN131:BO132"/>
    <mergeCell ref="CV131:CW132"/>
    <mergeCell ref="CY131:CZ132"/>
    <mergeCell ref="CY125:CZ126"/>
    <mergeCell ref="T128:U129"/>
    <mergeCell ref="W128:X129"/>
    <mergeCell ref="BK128:BL129"/>
    <mergeCell ref="BN128:BO129"/>
    <mergeCell ref="CV128:CW129"/>
    <mergeCell ref="CY128:CZ129"/>
    <mergeCell ref="T143:U144"/>
    <mergeCell ref="W143:X144"/>
    <mergeCell ref="BK143:BL144"/>
    <mergeCell ref="BN143:BO144"/>
    <mergeCell ref="CV143:CW144"/>
    <mergeCell ref="CY143:CZ144"/>
    <mergeCell ref="T140:U141"/>
    <mergeCell ref="W140:X141"/>
    <mergeCell ref="BK140:BL141"/>
    <mergeCell ref="BN140:BO141"/>
    <mergeCell ref="CV140:CW141"/>
    <mergeCell ref="CY140:CZ141"/>
    <mergeCell ref="T137:U138"/>
    <mergeCell ref="W137:X138"/>
    <mergeCell ref="BK137:BL138"/>
    <mergeCell ref="BN137:BO138"/>
    <mergeCell ref="CV137:CW138"/>
    <mergeCell ref="CY137:CZ138"/>
    <mergeCell ref="W155:X156"/>
    <mergeCell ref="BN155:BO156"/>
    <mergeCell ref="CY155:CZ156"/>
    <mergeCell ref="W158:X159"/>
    <mergeCell ref="BN158:BO159"/>
    <mergeCell ref="CY158:CZ159"/>
    <mergeCell ref="W149:X150"/>
    <mergeCell ref="BK149:BL150"/>
    <mergeCell ref="BN149:BO150"/>
    <mergeCell ref="CV149:CW150"/>
    <mergeCell ref="CY149:CZ150"/>
    <mergeCell ref="W152:X153"/>
    <mergeCell ref="BN152:BO153"/>
    <mergeCell ref="CY152:CZ153"/>
    <mergeCell ref="T146:U147"/>
    <mergeCell ref="W146:X147"/>
    <mergeCell ref="BK146:BL147"/>
    <mergeCell ref="BN146:BO147"/>
    <mergeCell ref="CV146:CW147"/>
    <mergeCell ref="CY146:CZ147"/>
    <mergeCell ref="W173:X174"/>
    <mergeCell ref="BN173:BO174"/>
    <mergeCell ref="CY173:CZ174"/>
    <mergeCell ref="BN177:BO178"/>
    <mergeCell ref="CY177:CZ178"/>
    <mergeCell ref="W167:X168"/>
    <mergeCell ref="BN167:BO168"/>
    <mergeCell ref="CY167:CZ168"/>
    <mergeCell ref="W170:X171"/>
    <mergeCell ref="BN170:BO171"/>
    <mergeCell ref="CY170:CZ171"/>
    <mergeCell ref="W161:X162"/>
    <mergeCell ref="BN161:BO162"/>
    <mergeCell ref="CY161:CZ162"/>
    <mergeCell ref="W164:X165"/>
    <mergeCell ref="BN164:BO165"/>
    <mergeCell ref="CY164:CZ165"/>
  </mergeCell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481BB3-7C69-47BF-910E-97CD1DB94A26}">
  <dimension ref="A1:BA343"/>
  <sheetViews>
    <sheetView showZeros="0" workbookViewId="0">
      <selection activeCell="B9" sqref="B9"/>
    </sheetView>
  </sheetViews>
  <sheetFormatPr baseColWidth="10" defaultRowHeight="15"/>
  <cols>
    <col min="1" max="1" width="2.85546875" customWidth="1"/>
    <col min="2" max="6" width="3.7109375" customWidth="1"/>
    <col min="7" max="8" width="12.7109375" customWidth="1"/>
    <col min="9" max="9" width="3.7109375" customWidth="1"/>
    <col min="10" max="10" width="9.7109375" customWidth="1"/>
    <col min="11" max="11" width="12.7109375" customWidth="1"/>
    <col min="12" max="12" width="13.7109375" customWidth="1"/>
    <col min="13" max="13" width="40.7109375" customWidth="1"/>
    <col min="14" max="14" width="10.7109375" customWidth="1"/>
    <col min="15" max="15" width="9.7109375" customWidth="1"/>
    <col min="16" max="16" width="13.7109375" customWidth="1"/>
    <col min="17" max="17" width="6.140625" customWidth="1"/>
    <col min="18" max="22" width="3.7109375" customWidth="1"/>
    <col min="23" max="24" width="12.7109375" customWidth="1"/>
    <col min="25" max="25" width="3.7109375" customWidth="1"/>
    <col min="26" max="26" width="9.7109375" customWidth="1"/>
    <col min="27" max="27" width="12.7109375" customWidth="1"/>
    <col min="28" max="28" width="13.7109375" customWidth="1"/>
    <col min="29" max="29" width="40.7109375" customWidth="1"/>
    <col min="30" max="30" width="10.7109375" customWidth="1"/>
    <col min="31" max="31" width="9.7109375" customWidth="1"/>
    <col min="32" max="32" width="13.7109375" customWidth="1"/>
    <col min="33" max="33" width="5.7109375" customWidth="1"/>
    <col min="34" max="38" width="3.7109375" customWidth="1"/>
    <col min="39" max="40" width="12.7109375" customWidth="1"/>
    <col min="41" max="41" width="3.7109375" customWidth="1"/>
    <col min="42" max="42" width="9.7109375" customWidth="1"/>
    <col min="43" max="43" width="12.7109375" customWidth="1"/>
    <col min="44" max="44" width="13.7109375" customWidth="1"/>
    <col min="45" max="45" width="40.7109375" customWidth="1"/>
    <col min="46" max="46" width="10.7109375" customWidth="1"/>
    <col min="47" max="47" width="9.7109375" customWidth="1"/>
    <col min="48" max="48" width="13.7109375" customWidth="1"/>
    <col min="51" max="51" width="5.42578125" customWidth="1"/>
    <col min="53" max="53" width="86" customWidth="1"/>
  </cols>
  <sheetData>
    <row r="1" spans="1:53" ht="15.75" thickTop="1">
      <c r="A1" s="1" t="str">
        <f>ADDRESS(ROW(),COLUMN(),4)</f>
        <v>A1</v>
      </c>
      <c r="B1" s="2" t="str">
        <f t="shared" ref="B1:AV1" si="0">SUBSTITUTE(ADDRESS(1,COLUMN(),4),"1","")</f>
        <v>B</v>
      </c>
      <c r="C1" s="2" t="str">
        <f t="shared" si="0"/>
        <v>C</v>
      </c>
      <c r="D1" s="2" t="str">
        <f t="shared" si="0"/>
        <v>D</v>
      </c>
      <c r="E1" s="2" t="str">
        <f t="shared" si="0"/>
        <v>E</v>
      </c>
      <c r="F1" s="2" t="str">
        <f t="shared" si="0"/>
        <v>F</v>
      </c>
      <c r="G1" s="2" t="str">
        <f t="shared" si="0"/>
        <v>G</v>
      </c>
      <c r="H1" s="2" t="str">
        <f t="shared" si="0"/>
        <v>H</v>
      </c>
      <c r="I1" s="2" t="str">
        <f t="shared" si="0"/>
        <v>I</v>
      </c>
      <c r="J1" s="2" t="str">
        <f t="shared" si="0"/>
        <v>J</v>
      </c>
      <c r="K1" s="2" t="str">
        <f t="shared" si="0"/>
        <v>K</v>
      </c>
      <c r="L1" s="2" t="str">
        <f t="shared" si="0"/>
        <v>L</v>
      </c>
      <c r="M1" s="2" t="str">
        <f t="shared" si="0"/>
        <v>M</v>
      </c>
      <c r="N1" s="2" t="str">
        <f t="shared" si="0"/>
        <v>N</v>
      </c>
      <c r="O1" s="2" t="str">
        <f t="shared" si="0"/>
        <v>O</v>
      </c>
      <c r="P1" s="2" t="str">
        <f t="shared" si="0"/>
        <v>P</v>
      </c>
      <c r="R1" s="2" t="str">
        <f t="shared" si="0"/>
        <v>R</v>
      </c>
      <c r="S1" s="2" t="str">
        <f t="shared" si="0"/>
        <v>S</v>
      </c>
      <c r="T1" s="2" t="str">
        <f t="shared" si="0"/>
        <v>T</v>
      </c>
      <c r="U1" s="2" t="str">
        <f t="shared" si="0"/>
        <v>U</v>
      </c>
      <c r="V1" s="2" t="str">
        <f t="shared" si="0"/>
        <v>V</v>
      </c>
      <c r="W1" s="2" t="str">
        <f t="shared" si="0"/>
        <v>W</v>
      </c>
      <c r="X1" s="2" t="str">
        <f t="shared" si="0"/>
        <v>X</v>
      </c>
      <c r="Y1" s="2" t="str">
        <f t="shared" si="0"/>
        <v>Y</v>
      </c>
      <c r="Z1" s="2" t="str">
        <f t="shared" si="0"/>
        <v>Z</v>
      </c>
      <c r="AA1" s="2" t="str">
        <f t="shared" si="0"/>
        <v>AA</v>
      </c>
      <c r="AB1" s="2" t="str">
        <f t="shared" si="0"/>
        <v>AB</v>
      </c>
      <c r="AC1" s="2" t="str">
        <f t="shared" si="0"/>
        <v>AC</v>
      </c>
      <c r="AD1" s="2" t="str">
        <f t="shared" si="0"/>
        <v>AD</v>
      </c>
      <c r="AE1" s="2" t="str">
        <f t="shared" si="0"/>
        <v>AE</v>
      </c>
      <c r="AF1" s="2" t="str">
        <f t="shared" si="0"/>
        <v>AF</v>
      </c>
      <c r="AH1" s="2" t="str">
        <f t="shared" si="0"/>
        <v>AH</v>
      </c>
      <c r="AI1" s="2" t="str">
        <f t="shared" si="0"/>
        <v>AI</v>
      </c>
      <c r="AJ1" s="2" t="str">
        <f t="shared" si="0"/>
        <v>AJ</v>
      </c>
      <c r="AK1" s="2" t="str">
        <f t="shared" si="0"/>
        <v>AK</v>
      </c>
      <c r="AL1" s="2" t="str">
        <f t="shared" si="0"/>
        <v>AL</v>
      </c>
      <c r="AM1" s="2" t="str">
        <f t="shared" si="0"/>
        <v>AM</v>
      </c>
      <c r="AN1" s="2" t="str">
        <f t="shared" si="0"/>
        <v>AN</v>
      </c>
      <c r="AO1" s="2" t="str">
        <f t="shared" si="0"/>
        <v>AO</v>
      </c>
      <c r="AP1" s="2" t="str">
        <f t="shared" si="0"/>
        <v>AP</v>
      </c>
      <c r="AQ1" s="2" t="str">
        <f t="shared" si="0"/>
        <v>AQ</v>
      </c>
      <c r="AR1" s="2" t="str">
        <f t="shared" si="0"/>
        <v>AR</v>
      </c>
      <c r="AS1" s="2" t="str">
        <f t="shared" si="0"/>
        <v>AS</v>
      </c>
      <c r="AT1" s="2" t="str">
        <f t="shared" si="0"/>
        <v>AT</v>
      </c>
      <c r="AU1" s="2" t="str">
        <f t="shared" si="0"/>
        <v>AU</v>
      </c>
      <c r="AV1" s="2" t="str">
        <f t="shared" si="0"/>
        <v>AV</v>
      </c>
      <c r="AY1" s="3">
        <v>1</v>
      </c>
      <c r="AZ1" s="4" t="str">
        <f>SUBSTITUTE(ADDRESS(1,COLUMN(),4),"1","")</f>
        <v>AZ</v>
      </c>
      <c r="BA1" s="5" t="str">
        <f>SUBSTITUTE(ADDRESS(1,COLUMN(),4),"1","")</f>
        <v>BA</v>
      </c>
    </row>
    <row r="2" spans="1:53">
      <c r="B2" s="922">
        <f t="shared" ref="B2:AV2" ca="1" si="1">CELL("largeur",B2)</f>
        <v>3</v>
      </c>
      <c r="C2" s="922">
        <f t="shared" ca="1" si="1"/>
        <v>3</v>
      </c>
      <c r="D2" s="922">
        <f t="shared" ca="1" si="1"/>
        <v>3</v>
      </c>
      <c r="E2" s="922">
        <f t="shared" ca="1" si="1"/>
        <v>3</v>
      </c>
      <c r="F2" s="922">
        <f t="shared" ca="1" si="1"/>
        <v>3</v>
      </c>
      <c r="G2" s="922">
        <f t="shared" ca="1" si="1"/>
        <v>12</v>
      </c>
      <c r="H2" s="922">
        <f t="shared" ca="1" si="1"/>
        <v>12</v>
      </c>
      <c r="I2" s="922">
        <f t="shared" ca="1" si="1"/>
        <v>3</v>
      </c>
      <c r="J2" s="922">
        <f t="shared" ca="1" si="1"/>
        <v>9</v>
      </c>
      <c r="K2" s="922">
        <f t="shared" ca="1" si="1"/>
        <v>12</v>
      </c>
      <c r="L2" s="922">
        <f t="shared" ca="1" si="1"/>
        <v>13</v>
      </c>
      <c r="M2" s="922">
        <f t="shared" ca="1" si="1"/>
        <v>40</v>
      </c>
      <c r="N2" s="922">
        <f t="shared" ca="1" si="1"/>
        <v>10</v>
      </c>
      <c r="O2" s="922">
        <f t="shared" ca="1" si="1"/>
        <v>9</v>
      </c>
      <c r="P2" s="922">
        <f t="shared" ca="1" si="1"/>
        <v>13</v>
      </c>
      <c r="R2" s="922">
        <f t="shared" ca="1" si="1"/>
        <v>3</v>
      </c>
      <c r="S2" s="922">
        <f t="shared" ca="1" si="1"/>
        <v>3</v>
      </c>
      <c r="T2" s="922">
        <f t="shared" ca="1" si="1"/>
        <v>3</v>
      </c>
      <c r="U2" s="922">
        <f t="shared" ca="1" si="1"/>
        <v>3</v>
      </c>
      <c r="V2" s="922">
        <f t="shared" ca="1" si="1"/>
        <v>3</v>
      </c>
      <c r="W2" s="922">
        <f t="shared" ca="1" si="1"/>
        <v>12</v>
      </c>
      <c r="X2" s="922">
        <f t="shared" ca="1" si="1"/>
        <v>12</v>
      </c>
      <c r="Y2" s="922">
        <f t="shared" ca="1" si="1"/>
        <v>3</v>
      </c>
      <c r="Z2" s="922">
        <f t="shared" ca="1" si="1"/>
        <v>9</v>
      </c>
      <c r="AA2" s="922">
        <f t="shared" ca="1" si="1"/>
        <v>12</v>
      </c>
      <c r="AB2" s="922">
        <f t="shared" ca="1" si="1"/>
        <v>13</v>
      </c>
      <c r="AC2" s="922">
        <f t="shared" ca="1" si="1"/>
        <v>40</v>
      </c>
      <c r="AD2" s="922">
        <f t="shared" ca="1" si="1"/>
        <v>10</v>
      </c>
      <c r="AE2" s="922">
        <f t="shared" ca="1" si="1"/>
        <v>9</v>
      </c>
      <c r="AF2" s="922">
        <f t="shared" ca="1" si="1"/>
        <v>13</v>
      </c>
      <c r="AH2" s="922">
        <f t="shared" ca="1" si="1"/>
        <v>3</v>
      </c>
      <c r="AI2" s="922">
        <f t="shared" ca="1" si="1"/>
        <v>3</v>
      </c>
      <c r="AJ2" s="922">
        <f t="shared" ca="1" si="1"/>
        <v>3</v>
      </c>
      <c r="AK2" s="922">
        <f t="shared" ca="1" si="1"/>
        <v>3</v>
      </c>
      <c r="AL2" s="922">
        <f t="shared" ca="1" si="1"/>
        <v>3</v>
      </c>
      <c r="AM2" s="922">
        <f t="shared" ca="1" si="1"/>
        <v>12</v>
      </c>
      <c r="AN2" s="922">
        <f t="shared" ca="1" si="1"/>
        <v>12</v>
      </c>
      <c r="AO2" s="922">
        <f t="shared" ca="1" si="1"/>
        <v>3</v>
      </c>
      <c r="AP2" s="922">
        <f t="shared" ca="1" si="1"/>
        <v>9</v>
      </c>
      <c r="AQ2" s="922">
        <f t="shared" ca="1" si="1"/>
        <v>12</v>
      </c>
      <c r="AR2" s="922">
        <f t="shared" ca="1" si="1"/>
        <v>13</v>
      </c>
      <c r="AS2" s="922">
        <f t="shared" ca="1" si="1"/>
        <v>40</v>
      </c>
      <c r="AT2" s="922">
        <f t="shared" ca="1" si="1"/>
        <v>10</v>
      </c>
      <c r="AU2" s="922">
        <f t="shared" ca="1" si="1"/>
        <v>9</v>
      </c>
      <c r="AV2" s="922">
        <f t="shared" ca="1" si="1"/>
        <v>13</v>
      </c>
      <c r="AW2" s="1127" t="s">
        <v>1978</v>
      </c>
      <c r="AY2" s="3">
        <v>1</v>
      </c>
      <c r="AZ2" s="7" t="s">
        <v>3</v>
      </c>
      <c r="BA2" s="8"/>
    </row>
    <row r="3" spans="1:53" ht="19.5" customHeight="1" thickBot="1">
      <c r="B3" s="923">
        <v>3</v>
      </c>
      <c r="C3" s="923">
        <v>3</v>
      </c>
      <c r="D3" s="923">
        <v>3</v>
      </c>
      <c r="E3" s="923">
        <v>3</v>
      </c>
      <c r="F3" s="923">
        <v>3</v>
      </c>
      <c r="G3" s="923">
        <v>12</v>
      </c>
      <c r="H3" s="923">
        <v>12</v>
      </c>
      <c r="I3" s="923">
        <v>3</v>
      </c>
      <c r="J3" s="923">
        <v>9</v>
      </c>
      <c r="K3" s="923">
        <v>12</v>
      </c>
      <c r="L3" s="923">
        <v>13</v>
      </c>
      <c r="M3" s="923">
        <v>40</v>
      </c>
      <c r="N3" s="923">
        <v>10</v>
      </c>
      <c r="O3" s="923">
        <v>9</v>
      </c>
      <c r="P3" s="923">
        <v>13</v>
      </c>
      <c r="Q3" s="1149">
        <v>1</v>
      </c>
      <c r="R3" s="923">
        <v>3</v>
      </c>
      <c r="S3" s="923">
        <v>3</v>
      </c>
      <c r="T3" s="923">
        <v>3</v>
      </c>
      <c r="U3" s="923">
        <v>3</v>
      </c>
      <c r="V3" s="923">
        <v>3</v>
      </c>
      <c r="W3" s="923">
        <v>12</v>
      </c>
      <c r="X3" s="923">
        <v>12</v>
      </c>
      <c r="Y3" s="923">
        <v>3</v>
      </c>
      <c r="Z3" s="923">
        <v>9</v>
      </c>
      <c r="AA3" s="923">
        <v>12</v>
      </c>
      <c r="AB3" s="923">
        <v>13</v>
      </c>
      <c r="AC3" s="923">
        <v>40</v>
      </c>
      <c r="AD3" s="923">
        <v>10</v>
      </c>
      <c r="AE3" s="923">
        <v>9</v>
      </c>
      <c r="AF3" s="923">
        <v>13</v>
      </c>
      <c r="AG3" s="1149"/>
      <c r="AH3" s="923">
        <v>3</v>
      </c>
      <c r="AI3" s="923">
        <v>3</v>
      </c>
      <c r="AJ3" s="923">
        <v>3</v>
      </c>
      <c r="AK3" s="923">
        <v>3</v>
      </c>
      <c r="AL3" s="923">
        <v>3</v>
      </c>
      <c r="AM3" s="923">
        <v>12</v>
      </c>
      <c r="AN3" s="923">
        <v>12</v>
      </c>
      <c r="AO3" s="923">
        <v>3</v>
      </c>
      <c r="AP3" s="923">
        <v>9</v>
      </c>
      <c r="AQ3" s="923">
        <v>12</v>
      </c>
      <c r="AR3" s="923">
        <v>13</v>
      </c>
      <c r="AS3" s="923">
        <v>40</v>
      </c>
      <c r="AT3" s="923">
        <v>10</v>
      </c>
      <c r="AU3" s="923">
        <v>9</v>
      </c>
      <c r="AV3" s="923">
        <v>13</v>
      </c>
      <c r="AW3" s="1127" t="s">
        <v>1381</v>
      </c>
      <c r="AY3" s="3">
        <v>1</v>
      </c>
      <c r="AZ3" s="11">
        <f ca="1">COUNTA(A1:AX343) + COUNTBLANK(A1:AX343)</f>
        <v>17208</v>
      </c>
      <c r="BA3" s="12" t="str">
        <f>"cellules entre -cells -celdas  "&amp;" " &amp;A1&amp;" et  "&amp;AY343</f>
        <v>cellules entre -cells -celdas   A1 et  AY343</v>
      </c>
    </row>
    <row r="4" spans="1:53" s="1150" customFormat="1" ht="27" customHeight="1">
      <c r="B4" s="1550" t="s">
        <v>2623</v>
      </c>
      <c r="C4" s="1551"/>
      <c r="D4" s="1551"/>
      <c r="E4" s="1551"/>
      <c r="F4" s="1551"/>
      <c r="G4" s="1551"/>
      <c r="H4" s="1551"/>
      <c r="I4" s="1551"/>
      <c r="J4" s="1551"/>
      <c r="K4" s="1551"/>
      <c r="L4" s="1551"/>
      <c r="M4" s="1551"/>
      <c r="N4" s="1551"/>
      <c r="O4" s="1551"/>
      <c r="P4" s="1551"/>
      <c r="Q4" s="1551"/>
      <c r="R4" s="1551"/>
      <c r="S4" s="1551"/>
      <c r="T4" s="1551"/>
      <c r="U4" s="1551"/>
      <c r="V4" s="1551"/>
      <c r="W4" s="1551"/>
      <c r="X4" s="1551"/>
      <c r="Y4" s="1551"/>
      <c r="Z4" s="1551"/>
      <c r="AA4" s="1551"/>
      <c r="AB4" s="1551"/>
      <c r="AC4" s="1551"/>
      <c r="AD4" s="1551"/>
      <c r="AE4" s="1551"/>
      <c r="AF4" s="1551"/>
      <c r="AG4" s="1551"/>
      <c r="AH4" s="1551"/>
      <c r="AI4" s="1551"/>
      <c r="AJ4" s="1551"/>
      <c r="AK4" s="1551"/>
      <c r="AL4" s="1551"/>
      <c r="AM4" s="1551"/>
      <c r="AN4" s="1551"/>
      <c r="AO4" s="1551"/>
      <c r="AP4" s="1551"/>
      <c r="AQ4" s="1551"/>
      <c r="AR4" s="1551"/>
      <c r="AS4" s="1551"/>
      <c r="AT4" s="5740" t="s">
        <v>1670</v>
      </c>
      <c r="AU4" s="5740"/>
      <c r="AV4" s="5741"/>
      <c r="AY4" s="3">
        <v>1</v>
      </c>
      <c r="AZ4" s="11">
        <f ca="1">COUNTA(A1:AX343)</f>
        <v>1664</v>
      </c>
      <c r="BA4" s="12" t="s">
        <v>10</v>
      </c>
    </row>
    <row r="5" spans="1:53" ht="27" customHeight="1">
      <c r="B5" s="1552"/>
      <c r="C5" s="1553"/>
      <c r="D5" s="5306" t="str">
        <f>IF(ISNUMBER(IFERROR(VALUE("0,5"),"")),"sur cet ordi.saisissez une VIRGULE comme séparateur décimal",IF(ISNUMBER(IFERROR(VALUE("0.5"),"")),"sur cet ordi.saisissez un POINT comme séparateur décimal","Impossible de déterminer le séparateur décimal"))</f>
        <v>sur cet ordi.saisissez un POINT comme séparateur décimal</v>
      </c>
      <c r="E5" s="1553"/>
      <c r="F5" s="1553"/>
      <c r="G5" s="1553"/>
      <c r="H5" s="1553"/>
      <c r="I5" s="1553"/>
      <c r="J5" s="1553"/>
      <c r="K5" s="1553"/>
      <c r="L5" s="1553"/>
      <c r="M5" s="1553"/>
      <c r="N5" s="5307" t="str">
        <f>IF(ISNUMBER(IFERROR(VALUE("0,5"),"")),"On this computer, type a COMMA as the decimal separator",IF(ISNUMBER(IFERROR(VALUE("0.5"),"")),"On this computer, type a POINT as the decimal separator","Unable to determine the decimal separator"))</f>
        <v>On this computer, type a POINT as the decimal separator</v>
      </c>
      <c r="O5" s="1553"/>
      <c r="P5" s="1553"/>
      <c r="Q5" s="1553"/>
      <c r="R5" s="1553"/>
      <c r="S5" s="1553"/>
      <c r="T5" s="1553"/>
      <c r="U5" s="1553"/>
      <c r="V5" s="1553"/>
      <c r="W5" s="1553"/>
      <c r="X5" s="1553"/>
      <c r="Y5" s="1553"/>
      <c r="Z5" s="1553"/>
      <c r="AA5" s="1553"/>
      <c r="AB5" s="1553"/>
      <c r="AC5" s="5307" t="str">
        <f>IF(ISNUMBER(IFERROR(VALUE("0,5"),""))," En este ordenador, escriba una COMA como separador decimal",IF(ISNUMBER(IFERROR(VALUE("0.5"),"")),"En este ordenador, escriba un PUNTO como separador decimal","No es posible determinar el separador decimal"))</f>
        <v>En este ordenador, escriba un PUNTO como separador decimal</v>
      </c>
      <c r="AD5" s="1553"/>
      <c r="AE5" s="1553"/>
      <c r="AF5" s="1553"/>
      <c r="AG5" s="1553"/>
      <c r="AH5" s="1553"/>
      <c r="AI5" s="1553"/>
      <c r="AJ5" s="1553"/>
      <c r="AK5" s="1553"/>
      <c r="AL5" s="1553"/>
      <c r="AM5" s="1553"/>
      <c r="AN5" s="1553"/>
      <c r="AO5" s="1553"/>
      <c r="AP5" s="1553"/>
      <c r="AQ5" s="1553"/>
      <c r="AR5" s="1553"/>
      <c r="AS5" s="1553"/>
      <c r="AT5" s="5742"/>
      <c r="AU5" s="5742"/>
      <c r="AV5" s="5743"/>
      <c r="AY5" s="3">
        <v>1</v>
      </c>
      <c r="AZ5" s="11">
        <f ca="1">COUNTBLANK(A1:AX343)</f>
        <v>15544</v>
      </c>
      <c r="BA5" s="12" t="s">
        <v>13</v>
      </c>
    </row>
    <row r="6" spans="1:53" ht="27" customHeight="1">
      <c r="B6" s="1153" t="s">
        <v>13494</v>
      </c>
      <c r="C6" s="1154"/>
      <c r="D6" s="1154"/>
      <c r="E6" s="1154"/>
      <c r="F6" s="1154"/>
      <c r="G6" s="1154"/>
      <c r="H6" s="1154"/>
      <c r="I6" s="1154"/>
      <c r="J6" s="1154"/>
      <c r="K6" s="1154"/>
      <c r="L6" s="1154"/>
      <c r="M6" s="1154"/>
      <c r="N6" s="1154" t="s">
        <v>13495</v>
      </c>
      <c r="O6" s="1154"/>
      <c r="P6" s="1154"/>
      <c r="Q6" s="1154"/>
      <c r="R6" s="1154"/>
      <c r="S6" s="1154"/>
      <c r="T6" s="1154"/>
      <c r="U6" s="1154"/>
      <c r="V6" s="1154"/>
      <c r="W6" s="1154"/>
      <c r="X6" s="1154"/>
      <c r="Y6" s="1154"/>
      <c r="Z6" s="1154"/>
      <c r="AA6" s="1154"/>
      <c r="AB6" s="1154" t="s">
        <v>13496</v>
      </c>
      <c r="AC6" s="1154"/>
      <c r="AD6" s="1154"/>
      <c r="AE6" s="1154"/>
      <c r="AF6" s="1154"/>
      <c r="AG6" s="1154"/>
      <c r="AH6" s="1154"/>
      <c r="AI6" s="1154"/>
      <c r="AJ6" s="1154"/>
      <c r="AK6" s="1155"/>
      <c r="AL6" s="1155"/>
      <c r="AM6" s="1155"/>
      <c r="AN6" s="1155"/>
      <c r="AO6" s="1155"/>
      <c r="AP6" s="1155"/>
      <c r="AQ6" s="1155"/>
      <c r="AR6" s="1155"/>
      <c r="AS6" s="1155"/>
      <c r="AT6" s="5742"/>
      <c r="AU6" s="5742"/>
      <c r="AV6" s="5743"/>
      <c r="AY6" s="3">
        <v>1</v>
      </c>
      <c r="AZ6" s="11">
        <f>SUM(AY1:AY341)+2</f>
        <v>340</v>
      </c>
      <c r="BA6" s="12" t="s">
        <v>15</v>
      </c>
    </row>
    <row r="7" spans="1:53" ht="27" customHeight="1" thickBot="1">
      <c r="B7" s="1153" t="s">
        <v>2624</v>
      </c>
      <c r="C7" s="1156"/>
      <c r="D7" s="1156"/>
      <c r="E7" s="1156"/>
      <c r="F7" s="1156"/>
      <c r="G7" s="1156"/>
      <c r="H7" s="1156"/>
      <c r="I7" s="1156"/>
      <c r="J7" s="1156"/>
      <c r="K7" s="1156"/>
      <c r="L7" s="1156"/>
      <c r="M7" s="1156"/>
      <c r="N7" s="1156" t="s">
        <v>2625</v>
      </c>
      <c r="O7" s="1156"/>
      <c r="P7" s="1156"/>
      <c r="Q7" s="1156"/>
      <c r="R7" s="1156"/>
      <c r="S7" s="1156"/>
      <c r="T7" s="1156"/>
      <c r="U7" s="1156"/>
      <c r="V7" s="1156"/>
      <c r="W7" s="1156"/>
      <c r="X7" s="1156"/>
      <c r="Y7" s="1156"/>
      <c r="Z7" s="1156" t="s">
        <v>2626</v>
      </c>
      <c r="AA7" s="1156"/>
      <c r="AB7" s="1156"/>
      <c r="AC7" s="1156"/>
      <c r="AD7" s="1156"/>
      <c r="AE7" s="1156"/>
      <c r="AF7" s="1156"/>
      <c r="AG7" s="1156"/>
      <c r="AH7" s="1156"/>
      <c r="AI7" s="1156"/>
      <c r="AJ7" s="1156"/>
      <c r="AK7" s="1157"/>
      <c r="AL7" s="1157"/>
      <c r="AM7" s="1157"/>
      <c r="AN7" s="1158" t="s">
        <v>2627</v>
      </c>
      <c r="AO7" s="1157"/>
      <c r="AP7" s="1157"/>
      <c r="AQ7" s="1157"/>
      <c r="AR7" s="1157"/>
      <c r="AS7" s="1158"/>
      <c r="AT7" s="5744"/>
      <c r="AU7" s="5744"/>
      <c r="AV7" s="5745"/>
      <c r="AY7" s="3">
        <v>1</v>
      </c>
      <c r="AZ7" s="11">
        <f>SUM(A343:AX343)+1</f>
        <v>51</v>
      </c>
      <c r="BA7" s="12" t="s">
        <v>18</v>
      </c>
    </row>
    <row r="8" spans="1:53" ht="27" customHeight="1">
      <c r="B8" s="1159" t="s">
        <v>208</v>
      </c>
      <c r="C8" s="1160" t="str">
        <f ca="1">CELL("nomfichier")</f>
        <v>D:\Données\1.UPRT\0-UPRT.fait\1-UPRT.FR-SITE-WEB\ff-fiches-fabrications\ff.fiches.fabrication.2023\ffr.restaurant.2023\[ff.FICHE.TRILINGUE.15.COLONNES.29.11.2025.xlsx]Notice.utilisateur</v>
      </c>
      <c r="D8" s="1160"/>
      <c r="E8" s="1151"/>
      <c r="F8" s="1151"/>
      <c r="G8" s="1151"/>
      <c r="H8" s="1151"/>
      <c r="I8" s="1151"/>
      <c r="J8" s="1151"/>
      <c r="K8" s="1151"/>
      <c r="L8" s="1151"/>
      <c r="M8" s="1151"/>
      <c r="N8" s="1151"/>
      <c r="O8" s="1151"/>
      <c r="P8" s="1151"/>
      <c r="Q8" s="1151"/>
      <c r="R8" s="1151"/>
      <c r="S8" s="1151"/>
      <c r="T8" s="1151"/>
      <c r="U8" s="1151"/>
      <c r="V8" s="1151"/>
      <c r="W8" s="1151"/>
      <c r="X8" s="1151"/>
      <c r="Y8" s="1151"/>
      <c r="Z8" s="1151"/>
      <c r="AA8" s="1151"/>
      <c r="AB8" s="1151"/>
      <c r="AC8" s="1151"/>
      <c r="AD8" s="1151"/>
      <c r="AE8" s="1151"/>
      <c r="AF8" s="1151"/>
      <c r="AG8" s="1151"/>
      <c r="AH8" s="1161"/>
      <c r="AI8" s="1161"/>
      <c r="AJ8" s="1161"/>
      <c r="AK8" s="1161"/>
      <c r="AL8" s="1161"/>
      <c r="AM8" s="1161"/>
      <c r="AN8" s="1161"/>
      <c r="AO8" s="1161"/>
      <c r="AP8" s="1161"/>
      <c r="AQ8" s="1161"/>
      <c r="AR8" s="1161"/>
      <c r="AS8" s="1161"/>
      <c r="AT8" s="1161"/>
      <c r="AU8" s="1161"/>
      <c r="AV8" s="1161"/>
      <c r="AY8" s="3">
        <v>1</v>
      </c>
    </row>
    <row r="9" spans="1:53" ht="27" customHeight="1" thickBot="1">
      <c r="B9" s="1162"/>
      <c r="C9" s="1163" t="s">
        <v>1704</v>
      </c>
      <c r="D9" s="1162"/>
      <c r="E9" s="1164"/>
      <c r="F9" s="1162"/>
      <c r="G9" s="1164"/>
      <c r="H9" s="1162"/>
      <c r="I9" s="1164"/>
      <c r="J9" s="1162"/>
      <c r="K9" s="1164"/>
      <c r="L9" s="1162"/>
      <c r="M9" s="1164"/>
      <c r="N9" s="1162"/>
      <c r="O9" s="1164"/>
      <c r="P9" s="1162"/>
      <c r="Q9" s="1152"/>
      <c r="R9" s="1162"/>
      <c r="S9" s="1164"/>
      <c r="T9" s="1162"/>
      <c r="U9" s="1164"/>
      <c r="V9" s="1162"/>
      <c r="W9" s="1164"/>
      <c r="X9" s="1162"/>
      <c r="Y9" s="1164"/>
      <c r="Z9" s="1162"/>
      <c r="AA9" s="1164"/>
      <c r="AB9" s="1162"/>
      <c r="AC9" s="1164"/>
      <c r="AD9" s="1162"/>
      <c r="AE9" s="1164"/>
      <c r="AF9" s="1162"/>
      <c r="AG9" s="1152"/>
      <c r="AH9" s="1162"/>
      <c r="AI9" s="1164"/>
      <c r="AJ9" s="1162"/>
      <c r="AK9" s="1164"/>
      <c r="AL9" s="1162"/>
      <c r="AM9" s="1164"/>
      <c r="AN9" s="1162"/>
      <c r="AO9" s="1164"/>
      <c r="AP9" s="1162"/>
      <c r="AQ9" s="1164"/>
      <c r="AR9" s="1162"/>
      <c r="AS9" s="1164"/>
      <c r="AT9" s="1162"/>
      <c r="AU9" s="1164"/>
      <c r="AV9" s="1162"/>
      <c r="AY9" s="3">
        <v>1</v>
      </c>
    </row>
    <row r="10" spans="1:53" ht="27" customHeight="1">
      <c r="B10" s="22" t="s">
        <v>11</v>
      </c>
      <c r="C10" s="23" t="str">
        <f>C16</f>
        <v>C Coquetiers de l'Antoine | | Auteur &gt; Guy KRENZE - Eric GODDYN - Arnaud NICOLAS - CEPROC 2002</v>
      </c>
      <c r="D10" s="24">
        <f>D16</f>
        <v>20</v>
      </c>
      <c r="E10" s="24" t="str">
        <f>E16</f>
        <v>coquetiers de 25 g</v>
      </c>
      <c r="F10" s="25" t="str">
        <f>F16</f>
        <v>Recette mère ► le Boudin en 4 déclinaisons</v>
      </c>
      <c r="G10" s="26" t="s">
        <v>23</v>
      </c>
      <c r="H10" s="5471" t="s">
        <v>12834</v>
      </c>
      <c r="I10" s="5471"/>
      <c r="J10" s="5471"/>
      <c r="K10" s="5471"/>
      <c r="L10" s="5471"/>
      <c r="M10" s="5471"/>
      <c r="N10" s="5473" t="s">
        <v>1031</v>
      </c>
      <c r="O10" s="5473"/>
      <c r="P10" s="5475" t="str">
        <f>UPPER(LEFT(H10,1))</f>
        <v>C</v>
      </c>
      <c r="R10" s="22" t="s">
        <v>11</v>
      </c>
      <c r="S10" s="23" t="str">
        <f>S16</f>
        <v>C Coquetiers de l'Antoine | |  Author &gt; Guy KRENZE - Eric GODDYN - Arnaud NICOLAS - CEPROC 2002</v>
      </c>
      <c r="T10" s="24">
        <f>T16</f>
        <v>20</v>
      </c>
      <c r="U10" s="24" t="str">
        <f>U16</f>
        <v>egg cups of 25 g</v>
      </c>
      <c r="V10" s="25" t="str">
        <f>V16</f>
        <v>Master recipe ► Black pudding in 4 variations</v>
      </c>
      <c r="W10" s="26" t="s">
        <v>23</v>
      </c>
      <c r="X10" s="5471" t="s">
        <v>12834</v>
      </c>
      <c r="Y10" s="5471"/>
      <c r="Z10" s="5471"/>
      <c r="AA10" s="5471"/>
      <c r="AB10" s="5471"/>
      <c r="AC10" s="5471"/>
      <c r="AD10" s="5473" t="s">
        <v>13134</v>
      </c>
      <c r="AE10" s="5473"/>
      <c r="AF10" s="5475" t="str">
        <f>UPPER(LEFT(X10,1))</f>
        <v>C</v>
      </c>
      <c r="AH10" s="22" t="s">
        <v>11</v>
      </c>
      <c r="AI10" s="23" t="str">
        <f>AI16</f>
        <v>C Coquetiers de l'Antoine | | Autor &gt; Guy KRENZE - Eric GODDYN - Arnaud NICOLAS - CEPROC 2002</v>
      </c>
      <c r="AJ10" s="24">
        <f>AJ16</f>
        <v>18</v>
      </c>
      <c r="AK10" s="24" t="str">
        <f>AK16</f>
        <v>hueveras de 25 g</v>
      </c>
      <c r="AL10" s="25" t="str">
        <f>AL16</f>
        <v>Receta madre ► Morcilla en 4 versiones</v>
      </c>
      <c r="AM10" s="26" t="s">
        <v>23</v>
      </c>
      <c r="AN10" s="5471" t="s">
        <v>12834</v>
      </c>
      <c r="AO10" s="5471"/>
      <c r="AP10" s="5471"/>
      <c r="AQ10" s="5471"/>
      <c r="AR10" s="5471"/>
      <c r="AS10" s="5471"/>
      <c r="AT10" s="5473" t="s">
        <v>13135</v>
      </c>
      <c r="AU10" s="5473"/>
      <c r="AV10" s="5475" t="str">
        <f>UPPER(LEFT(AN10,1))</f>
        <v>C</v>
      </c>
      <c r="AY10" s="3">
        <v>1</v>
      </c>
    </row>
    <row r="11" spans="1:53" ht="27" customHeight="1">
      <c r="B11" s="27" t="s">
        <v>11</v>
      </c>
      <c r="C11" s="28" t="str">
        <f>C16</f>
        <v>C Coquetiers de l'Antoine | | Auteur &gt; Guy KRENZE - Eric GODDYN - Arnaud NICOLAS - CEPROC 2002</v>
      </c>
      <c r="D11" s="29">
        <f>D16</f>
        <v>20</v>
      </c>
      <c r="E11" s="29" t="str">
        <f>E16</f>
        <v>coquetiers de 25 g</v>
      </c>
      <c r="F11" s="30" t="str">
        <f>F16</f>
        <v>Recette mère ► le Boudin en 4 déclinaisons</v>
      </c>
      <c r="G11" s="31" t="s">
        <v>29</v>
      </c>
      <c r="H11" s="5472"/>
      <c r="I11" s="5472"/>
      <c r="J11" s="5472"/>
      <c r="K11" s="5472"/>
      <c r="L11" s="5472"/>
      <c r="M11" s="5472"/>
      <c r="N11" s="5474"/>
      <c r="O11" s="5474"/>
      <c r="P11" s="5476"/>
      <c r="R11" s="27" t="s">
        <v>11</v>
      </c>
      <c r="S11" s="28" t="str">
        <f>S16</f>
        <v>C Coquetiers de l'Antoine | |  Author &gt; Guy KRENZE - Eric GODDYN - Arnaud NICOLAS - CEPROC 2002</v>
      </c>
      <c r="T11" s="29">
        <f>T16</f>
        <v>20</v>
      </c>
      <c r="U11" s="29" t="str">
        <f>U16</f>
        <v>egg cups of 25 g</v>
      </c>
      <c r="V11" s="30" t="str">
        <f>V16</f>
        <v>Master recipe ► Black pudding in 4 variations</v>
      </c>
      <c r="W11" s="31" t="s">
        <v>29</v>
      </c>
      <c r="X11" s="5472"/>
      <c r="Y11" s="5472"/>
      <c r="Z11" s="5472"/>
      <c r="AA11" s="5472"/>
      <c r="AB11" s="5472"/>
      <c r="AC11" s="5472"/>
      <c r="AD11" s="5474"/>
      <c r="AE11" s="5474"/>
      <c r="AF11" s="5476"/>
      <c r="AH11" s="27" t="s">
        <v>11</v>
      </c>
      <c r="AI11" s="28" t="str">
        <f>AI16</f>
        <v>C Coquetiers de l'Antoine | | Autor &gt; Guy KRENZE - Eric GODDYN - Arnaud NICOLAS - CEPROC 2002</v>
      </c>
      <c r="AJ11" s="29">
        <f>AJ16</f>
        <v>18</v>
      </c>
      <c r="AK11" s="29" t="str">
        <f>AK16</f>
        <v>hueveras de 25 g</v>
      </c>
      <c r="AL11" s="30" t="str">
        <f>AL16</f>
        <v>Receta madre ► Morcilla en 4 versiones</v>
      </c>
      <c r="AM11" s="31" t="s">
        <v>29</v>
      </c>
      <c r="AN11" s="5472"/>
      <c r="AO11" s="5472"/>
      <c r="AP11" s="5472"/>
      <c r="AQ11" s="5472"/>
      <c r="AR11" s="5472"/>
      <c r="AS11" s="5472"/>
      <c r="AT11" s="5474" t="s">
        <v>116</v>
      </c>
      <c r="AU11" s="5474"/>
      <c r="AV11" s="5476"/>
      <c r="AY11" s="3">
        <v>1</v>
      </c>
    </row>
    <row r="12" spans="1:53" ht="27" customHeight="1">
      <c r="B12" s="27" t="s">
        <v>11</v>
      </c>
      <c r="C12" s="5310" t="str">
        <f>C16</f>
        <v>C Coquetiers de l'Antoine | | Auteur &gt; Guy KRENZE - Eric GODDYN - Arnaud NICOLAS - CEPROC 2002</v>
      </c>
      <c r="D12" s="5310">
        <f>D16</f>
        <v>20</v>
      </c>
      <c r="E12" s="5311" t="str">
        <f>E16</f>
        <v>coquetiers de 25 g</v>
      </c>
      <c r="F12" s="5312" t="str">
        <f>F16</f>
        <v>Recette mère ► le Boudin en 4 déclinaisons</v>
      </c>
      <c r="G12" s="5313"/>
      <c r="H12" s="5314" t="s">
        <v>30</v>
      </c>
      <c r="I12" s="37"/>
      <c r="J12" s="38" t="s">
        <v>31</v>
      </c>
      <c r="K12" s="39" t="s">
        <v>12835</v>
      </c>
      <c r="L12" s="9"/>
      <c r="M12" s="39"/>
      <c r="N12" s="39"/>
      <c r="O12" s="40"/>
      <c r="P12" s="41"/>
      <c r="R12" s="27" t="s">
        <v>11</v>
      </c>
      <c r="S12" s="5310" t="str">
        <f>S16</f>
        <v>C Coquetiers de l'Antoine | |  Author &gt; Guy KRENZE - Eric GODDYN - Arnaud NICOLAS - CEPROC 2002</v>
      </c>
      <c r="T12" s="5310">
        <f>T16</f>
        <v>20</v>
      </c>
      <c r="U12" s="5311" t="str">
        <f>U16</f>
        <v>egg cups of 25 g</v>
      </c>
      <c r="V12" s="5312" t="str">
        <f>V16</f>
        <v>Master recipe ► Black pudding in 4 variations</v>
      </c>
      <c r="W12" s="5313"/>
      <c r="X12" s="5314" t="s">
        <v>888</v>
      </c>
      <c r="Y12" s="37"/>
      <c r="Z12" s="38" t="s">
        <v>889</v>
      </c>
      <c r="AA12" s="39" t="s">
        <v>12835</v>
      </c>
      <c r="AB12" s="9"/>
      <c r="AC12" s="39"/>
      <c r="AD12" s="39"/>
      <c r="AE12" s="40"/>
      <c r="AF12" s="41"/>
      <c r="AH12" s="27" t="s">
        <v>11</v>
      </c>
      <c r="AI12" s="5310" t="str">
        <f>AI16</f>
        <v>C Coquetiers de l'Antoine | | Autor &gt; Guy KRENZE - Eric GODDYN - Arnaud NICOLAS - CEPROC 2002</v>
      </c>
      <c r="AJ12" s="5310">
        <f>AJ16</f>
        <v>18</v>
      </c>
      <c r="AK12" s="5311" t="str">
        <f>AK16</f>
        <v>hueveras de 25 g</v>
      </c>
      <c r="AL12" s="5312" t="str">
        <f>AL16</f>
        <v>Receta madre ► Morcilla en 4 versiones</v>
      </c>
      <c r="AM12" s="5313"/>
      <c r="AN12" s="5314" t="s">
        <v>903</v>
      </c>
      <c r="AO12" s="37"/>
      <c r="AP12" s="38" t="s">
        <v>904</v>
      </c>
      <c r="AQ12" s="39" t="s">
        <v>12835</v>
      </c>
      <c r="AR12" s="9"/>
      <c r="AS12" s="39"/>
      <c r="AT12" s="39"/>
      <c r="AU12" s="40"/>
      <c r="AV12" s="41"/>
      <c r="AY12" s="3">
        <v>1</v>
      </c>
    </row>
    <row r="13" spans="1:53" ht="27" customHeight="1">
      <c r="B13" s="27" t="s">
        <v>11</v>
      </c>
      <c r="C13" s="32" t="str">
        <f>C16</f>
        <v>C Coquetiers de l'Antoine | | Auteur &gt; Guy KRENZE - Eric GODDYN - Arnaud NICOLAS - CEPROC 2002</v>
      </c>
      <c r="D13" s="33">
        <f>D16</f>
        <v>20</v>
      </c>
      <c r="E13" s="33" t="str">
        <f>E16</f>
        <v>coquetiers de 25 g</v>
      </c>
      <c r="F13" s="34" t="str">
        <f>F16</f>
        <v>Recette mère ► le Boudin en 4 déclinaisons</v>
      </c>
      <c r="G13" s="42" t="s">
        <v>32</v>
      </c>
      <c r="H13" s="43"/>
      <c r="I13" s="43"/>
      <c r="J13" s="44" t="s">
        <v>33</v>
      </c>
      <c r="K13" s="5477" t="str">
        <f>L16&amp;" "&amp;M16&amp;" ► Famille = "&amp;N10&amp;" ► "&amp;H10&amp;" "&amp; "pour "&amp;N14&amp;" "&amp;O14</f>
        <v>Recette mère ► le Boudin en 4 déclinaisons ► Famille =  charcuterie-BOUDIN-NOIR ► Coquetiers de l'Antoine pour 20 coquetiers de 25 g</v>
      </c>
      <c r="L13" s="5477"/>
      <c r="M13" s="5477"/>
      <c r="N13" s="5039" t="s">
        <v>3306</v>
      </c>
      <c r="O13" s="40"/>
      <c r="P13" s="1472"/>
      <c r="R13" s="27" t="s">
        <v>11</v>
      </c>
      <c r="S13" s="32" t="str">
        <f>S16</f>
        <v>C Coquetiers de l'Antoine | |  Author &gt; Guy KRENZE - Eric GODDYN - Arnaud NICOLAS - CEPROC 2002</v>
      </c>
      <c r="T13" s="33">
        <f>T16</f>
        <v>20</v>
      </c>
      <c r="U13" s="33" t="str">
        <f>U16</f>
        <v>egg cups of 25 g</v>
      </c>
      <c r="V13" s="34" t="str">
        <f>V16</f>
        <v>Master recipe ► Black pudding in 4 variations</v>
      </c>
      <c r="W13" s="42" t="s">
        <v>137</v>
      </c>
      <c r="X13" s="43"/>
      <c r="Y13" s="43"/>
      <c r="Z13" s="44" t="s">
        <v>33</v>
      </c>
      <c r="AA13" s="5477" t="str">
        <f>AB16&amp;" "&amp;AC16&amp;" ► category = "&amp;AD10&amp;" ► "&amp;X10&amp;" "&amp; "pour "&amp;AD14&amp;" "&amp;AE14</f>
        <v>Master recipe ► Black pudding in 4 variations ► category = charcuterie-BLACK-PUDDING ► Coquetiers de l'Antoine pour 20 egg cups of 25 g</v>
      </c>
      <c r="AB13" s="5477"/>
      <c r="AC13" s="5477"/>
      <c r="AD13" s="5039" t="s">
        <v>3324</v>
      </c>
      <c r="AE13" s="40"/>
      <c r="AF13" s="1472"/>
      <c r="AH13" s="27" t="s">
        <v>11</v>
      </c>
      <c r="AI13" s="32" t="str">
        <f>AI16</f>
        <v>C Coquetiers de l'Antoine | | Autor &gt; Guy KRENZE - Eric GODDYN - Arnaud NICOLAS - CEPROC 2002</v>
      </c>
      <c r="AJ13" s="33">
        <f>AJ16</f>
        <v>18</v>
      </c>
      <c r="AK13" s="33" t="str">
        <f>AK16</f>
        <v>hueveras de 25 g</v>
      </c>
      <c r="AL13" s="34" t="str">
        <f>AL16</f>
        <v>Receta madre ► Morcilla en 4 versiones</v>
      </c>
      <c r="AM13" s="42" t="s">
        <v>905</v>
      </c>
      <c r="AN13" s="43"/>
      <c r="AO13" s="43"/>
      <c r="AP13" s="44" t="s">
        <v>33</v>
      </c>
      <c r="AQ13" s="5477" t="str">
        <f>AR16&amp;" "&amp;AS16&amp;" ► Famille = "&amp;AT10&amp;" ► "&amp;AN10&amp;" "&amp; "pour "&amp;AT14&amp;" "&amp;AU14</f>
        <v>Receta madre ► Morcilla en 4 versiones ► Famille = charcutería--MORCILLA ► Coquetiers de l'Antoine pour 36 hueveras de 25 g</v>
      </c>
      <c r="AR13" s="5477"/>
      <c r="AS13" s="5477"/>
      <c r="AT13" s="5039" t="s">
        <v>3326</v>
      </c>
      <c r="AU13" s="40"/>
      <c r="AV13" s="1472"/>
      <c r="AY13" s="3">
        <v>1</v>
      </c>
    </row>
    <row r="14" spans="1:53" ht="27" customHeight="1">
      <c r="B14" s="27" t="s">
        <v>11</v>
      </c>
      <c r="C14" s="32" t="str">
        <f>C16</f>
        <v>C Coquetiers de l'Antoine | | Auteur &gt; Guy KRENZE - Eric GODDYN - Arnaud NICOLAS - CEPROC 2002</v>
      </c>
      <c r="D14" s="33">
        <f>D16</f>
        <v>20</v>
      </c>
      <c r="E14" s="33" t="str">
        <f>E16</f>
        <v>coquetiers de 25 g</v>
      </c>
      <c r="F14" s="34" t="str">
        <f>F16</f>
        <v>Recette mère ► le Boudin en 4 déclinaisons</v>
      </c>
      <c r="G14" s="50">
        <v>20</v>
      </c>
      <c r="H14" s="51" t="s">
        <v>12830</v>
      </c>
      <c r="I14" s="42"/>
      <c r="J14" s="42"/>
      <c r="K14" s="5477"/>
      <c r="L14" s="5477"/>
      <c r="M14" s="5477"/>
      <c r="N14" s="46">
        <v>20</v>
      </c>
      <c r="O14" s="5478" t="str">
        <f>H14</f>
        <v>coquetiers de 25 g</v>
      </c>
      <c r="P14" s="5479"/>
      <c r="R14" s="27" t="s">
        <v>11</v>
      </c>
      <c r="S14" s="32" t="str">
        <f>S16</f>
        <v>C Coquetiers de l'Antoine | |  Author &gt; Guy KRENZE - Eric GODDYN - Arnaud NICOLAS - CEPROC 2002</v>
      </c>
      <c r="T14" s="33">
        <f>T16</f>
        <v>20</v>
      </c>
      <c r="U14" s="33" t="str">
        <f>U16</f>
        <v>egg cups of 25 g</v>
      </c>
      <c r="V14" s="34" t="str">
        <f>V16</f>
        <v>Master recipe ► Black pudding in 4 variations</v>
      </c>
      <c r="W14" s="50">
        <v>20</v>
      </c>
      <c r="X14" s="51" t="s">
        <v>12921</v>
      </c>
      <c r="Y14" s="42"/>
      <c r="Z14" s="42"/>
      <c r="AA14" s="5477"/>
      <c r="AB14" s="5477"/>
      <c r="AC14" s="5477"/>
      <c r="AD14" s="46">
        <v>20</v>
      </c>
      <c r="AE14" s="5478" t="str">
        <f>X14</f>
        <v>egg cups of 25 g</v>
      </c>
      <c r="AF14" s="5479"/>
      <c r="AH14" s="27" t="s">
        <v>11</v>
      </c>
      <c r="AI14" s="32" t="str">
        <f>AI16</f>
        <v>C Coquetiers de l'Antoine | | Autor &gt; Guy KRENZE - Eric GODDYN - Arnaud NICOLAS - CEPROC 2002</v>
      </c>
      <c r="AJ14" s="33">
        <f>AJ16</f>
        <v>18</v>
      </c>
      <c r="AK14" s="33" t="str">
        <f>AK16</f>
        <v>hueveras de 25 g</v>
      </c>
      <c r="AL14" s="34" t="str">
        <f>AL16</f>
        <v>Receta madre ► Morcilla en 4 versiones</v>
      </c>
      <c r="AM14" s="50">
        <v>18</v>
      </c>
      <c r="AN14" s="51" t="s">
        <v>12926</v>
      </c>
      <c r="AO14" s="42"/>
      <c r="AP14" s="42"/>
      <c r="AQ14" s="5477"/>
      <c r="AR14" s="5477"/>
      <c r="AS14" s="5477"/>
      <c r="AT14" s="46">
        <v>36</v>
      </c>
      <c r="AU14" s="5478" t="str">
        <f>AN14</f>
        <v>hueveras de 25 g</v>
      </c>
      <c r="AV14" s="5479"/>
      <c r="AY14" s="3">
        <v>1</v>
      </c>
    </row>
    <row r="15" spans="1:53" ht="27" customHeight="1">
      <c r="B15" s="27" t="s">
        <v>16</v>
      </c>
      <c r="C15" s="32" t="str">
        <f>C16</f>
        <v>C Coquetiers de l'Antoine | | Auteur &gt; Guy KRENZE - Eric GODDYN - Arnaud NICOLAS - CEPROC 2002</v>
      </c>
      <c r="D15" s="33">
        <f>D16</f>
        <v>20</v>
      </c>
      <c r="E15" s="33" t="str">
        <f>E16</f>
        <v>coquetiers de 25 g</v>
      </c>
      <c r="F15" s="34" t="str">
        <f>F16</f>
        <v>Recette mère ► le Boudin en 4 déclinaisons</v>
      </c>
      <c r="G15" s="56"/>
      <c r="H15" s="5165" t="s">
        <v>13098</v>
      </c>
      <c r="I15" s="5468">
        <f>O35/L15</f>
        <v>1.5309999999999999</v>
      </c>
      <c r="J15" s="5468"/>
      <c r="K15" s="5054" t="str" cm="1">
        <f t="array" ref="K15">"1= "&amp;IF(OR(G14&lt;=0,I15=""),"",_xlfn.LET(_xlpm.kg,IF(ISNUMBER(I15),I15,VALEUR(SUBSTITUTE(SUBSTITUTE(SUBSTITUTE(LOWER(I15),"kg",""),",",".")," ",""))),TEXT(ROUND(_xlpm.kg*1000/G14,2),"0.##")&amp;" g"))</f>
        <v>1= 76.55 g</v>
      </c>
      <c r="L15" s="1490">
        <f>IFERROR(N14/G14,0)</f>
        <v>1</v>
      </c>
      <c r="M15" s="45"/>
      <c r="N15" s="5041" t="s">
        <v>50</v>
      </c>
      <c r="O15" s="5042">
        <f>O35</f>
        <v>1.5309999999999999</v>
      </c>
      <c r="P15" s="5043"/>
      <c r="R15" s="27" t="s">
        <v>16</v>
      </c>
      <c r="S15" s="32"/>
      <c r="T15" s="33">
        <f>T16</f>
        <v>20</v>
      </c>
      <c r="U15" s="33" t="str">
        <f>U16</f>
        <v>egg cups of 25 g</v>
      </c>
      <c r="V15" s="34" t="str">
        <f>V16</f>
        <v>Master recipe ► Black pudding in 4 variations</v>
      </c>
      <c r="W15" s="56"/>
      <c r="X15" s="5165" t="s">
        <v>13100</v>
      </c>
      <c r="Y15" s="5468">
        <f>AE35/AB15</f>
        <v>1.5309999999999999</v>
      </c>
      <c r="Z15" s="5468"/>
      <c r="AA15" s="5054" t="str" cm="1">
        <f t="array" ref="AA15">"1= "&amp;IF(OR(W14&lt;=0,Y15=""),"",_xlfn.LET(_xlpm.kg,IF(ISNUMBER(Y15),Y15,VALEUR(SUBSTITUTE(SUBSTITUTE(SUBSTITUTE(LOWER(Y15),"kg",""),",",".")," ",""))),TEXT(ROUND(_xlpm.kg*1000/W14,2),"0.##")&amp;" g"))</f>
        <v>1= 76.55 g</v>
      </c>
      <c r="AB15" s="1490">
        <f>IFERROR(AD14/W14,0)</f>
        <v>1</v>
      </c>
      <c r="AC15" s="45"/>
      <c r="AD15" s="5041" t="s">
        <v>153</v>
      </c>
      <c r="AE15" s="5042">
        <f>AE35</f>
        <v>1.5309999999999999</v>
      </c>
      <c r="AF15" s="5045"/>
      <c r="AH15" s="27" t="s">
        <v>16</v>
      </c>
      <c r="AI15" s="32" t="str">
        <f>AI16</f>
        <v>C Coquetiers de l'Antoine | | Autor &gt; Guy KRENZE - Eric GODDYN - Arnaud NICOLAS - CEPROC 2002</v>
      </c>
      <c r="AJ15" s="33">
        <f>AJ16</f>
        <v>18</v>
      </c>
      <c r="AK15" s="33" t="str">
        <f>AK16</f>
        <v>hueveras de 25 g</v>
      </c>
      <c r="AL15" s="34" t="str">
        <f>AL16</f>
        <v>Receta madre ► Morcilla en 4 versiones</v>
      </c>
      <c r="AM15" s="56"/>
      <c r="AN15" s="5165" t="s">
        <v>13101</v>
      </c>
      <c r="AO15" s="5468">
        <f>AU35/AR15</f>
        <v>1.5309999999999999</v>
      </c>
      <c r="AP15" s="5468"/>
      <c r="AQ15" s="5054" t="str" cm="1">
        <f t="array" ref="AQ15">"1= "&amp;IF(OR(AM14&lt;=0,AO15=""),"",_xlfn.LET(_xlpm.kg,IF(ISNUMBER(AO15),AO15,VALEUR(SUBSTITUTE(SUBSTITUTE(SUBSTITUTE(LOWER(AO15),"kg",""),",",".")," ",""))),TEXT(ROUND(_xlpm.kg*1000/AM14,2),"0.##")&amp;" g"))</f>
        <v>1= 85.06 g</v>
      </c>
      <c r="AR15" s="1490">
        <f>IFERROR(AT14/AM14,0)</f>
        <v>2</v>
      </c>
      <c r="AS15" s="45"/>
      <c r="AT15" s="5041" t="s">
        <v>248</v>
      </c>
      <c r="AU15" s="5042">
        <f>AU35</f>
        <v>3.0619999999999998</v>
      </c>
      <c r="AV15" s="5045"/>
      <c r="AY15" s="3">
        <v>1</v>
      </c>
    </row>
    <row r="16" spans="1:53" ht="27" customHeight="1">
      <c r="B16" s="64" t="s">
        <v>16</v>
      </c>
      <c r="C16" s="65" t="str">
        <f>G16</f>
        <v>C Coquetiers de l'Antoine | | Auteur &gt; Guy KRENZE - Eric GODDYN - Arnaud NICOLAS - CEPROC 2002</v>
      </c>
      <c r="D16" s="66">
        <f>G14</f>
        <v>20</v>
      </c>
      <c r="E16" s="65" t="str">
        <f>H14</f>
        <v>coquetiers de 25 g</v>
      </c>
      <c r="F16" s="67" t="str">
        <f>L16&amp;" "&amp;M16</f>
        <v>Recette mère ► le Boudin en 4 déclinaisons</v>
      </c>
      <c r="G16" s="68" t="str">
        <f>UPPER(LEFT(H10,1))&amp;" "&amp;H10&amp;" | "&amp;O10&amp;"| "&amp;J12&amp;" "&amp;K12</f>
        <v>C Coquetiers de l'Antoine | | Auteur &gt; Guy KRENZE - Eric GODDYN - Arnaud NICOLAS - CEPROC 2002</v>
      </c>
      <c r="H16" s="69" t="s">
        <v>54</v>
      </c>
      <c r="I16" s="5469" t="s">
        <v>55</v>
      </c>
      <c r="J16" s="5469"/>
      <c r="K16" s="5469"/>
      <c r="L16" s="70" t="str">
        <f>IF(ISTEXT(M16),"Recette mère ►",H16)</f>
        <v>Recette mère ►</v>
      </c>
      <c r="M16" s="71" t="s">
        <v>12836</v>
      </c>
      <c r="N16" s="71"/>
      <c r="O16" s="72"/>
      <c r="P16" s="1473"/>
      <c r="R16" s="64" t="s">
        <v>16</v>
      </c>
      <c r="S16" s="65" t="str">
        <f>W16</f>
        <v>C Coquetiers de l'Antoine | |  Author &gt; Guy KRENZE - Eric GODDYN - Arnaud NICOLAS - CEPROC 2002</v>
      </c>
      <c r="T16" s="66">
        <f>W14</f>
        <v>20</v>
      </c>
      <c r="U16" s="65" t="str">
        <f>X14</f>
        <v>egg cups of 25 g</v>
      </c>
      <c r="V16" s="67" t="str">
        <f>AB16&amp;" "&amp;AC16</f>
        <v>Master recipe ► Black pudding in 4 variations</v>
      </c>
      <c r="W16" s="68" t="str">
        <f>UPPER(LEFT(X10,1))&amp;" "&amp;X10&amp;" | "&amp;AE10&amp;"| "&amp;Z12&amp;" "&amp;AA12</f>
        <v>C Coquetiers de l'Antoine | |  Author &gt; Guy KRENZE - Eric GODDYN - Arnaud NICOLAS - CEPROC 2002</v>
      </c>
      <c r="X16" s="69" t="s">
        <v>3315</v>
      </c>
      <c r="Y16" s="5469" t="s">
        <v>3316</v>
      </c>
      <c r="Z16" s="5469"/>
      <c r="AA16" s="5469"/>
      <c r="AB16" s="70" t="str">
        <f>IF(ISTEXT(AC16),"Master recipe ►",X16)</f>
        <v>Master recipe ►</v>
      </c>
      <c r="AC16" s="71" t="s">
        <v>12924</v>
      </c>
      <c r="AD16" s="71"/>
      <c r="AE16" s="72"/>
      <c r="AF16" s="1473"/>
      <c r="AH16" s="64" t="s">
        <v>16</v>
      </c>
      <c r="AI16" s="65" t="str">
        <f>AM16</f>
        <v>C Coquetiers de l'Antoine | | Autor &gt; Guy KRENZE - Eric GODDYN - Arnaud NICOLAS - CEPROC 2002</v>
      </c>
      <c r="AJ16" s="66">
        <f>AM14</f>
        <v>18</v>
      </c>
      <c r="AK16" s="65" t="str">
        <f>AN14</f>
        <v>hueveras de 25 g</v>
      </c>
      <c r="AL16" s="67" t="str">
        <f>AR16&amp;" "&amp;AS16</f>
        <v>Receta madre ► Morcilla en 4 versiones</v>
      </c>
      <c r="AM16" s="68" t="str">
        <f>UPPER(LEFT(AN10,1))&amp;" "&amp;AN10&amp;" | "&amp;AU10&amp;"| "&amp;AP12&amp;" "&amp;AQ12</f>
        <v>C Coquetiers de l'Antoine | | Autor &gt; Guy KRENZE - Eric GODDYN - Arnaud NICOLAS - CEPROC 2002</v>
      </c>
      <c r="AN16" s="69" t="s">
        <v>3319</v>
      </c>
      <c r="AO16" s="5469" t="s">
        <v>906</v>
      </c>
      <c r="AP16" s="5469"/>
      <c r="AQ16" s="5469"/>
      <c r="AR16" s="70" t="str">
        <f>IF(ISTEXT(AS16),"Receta madre ►",AN16)</f>
        <v>Receta madre ►</v>
      </c>
      <c r="AS16" s="71" t="s">
        <v>12925</v>
      </c>
      <c r="AT16" s="71"/>
      <c r="AU16" s="72"/>
      <c r="AV16" s="1473"/>
      <c r="AY16" s="3">
        <v>1</v>
      </c>
    </row>
    <row r="17" spans="2:51" ht="27" customHeight="1">
      <c r="B17" s="74" t="s">
        <v>16</v>
      </c>
      <c r="C17" s="75" t="str">
        <f>C16</f>
        <v>C Coquetiers de l'Antoine | | Auteur &gt; Guy KRENZE - Eric GODDYN - Arnaud NICOLAS - CEPROC 2002</v>
      </c>
      <c r="D17" s="75">
        <f>D16</f>
        <v>20</v>
      </c>
      <c r="E17" s="75" t="str">
        <f>E16</f>
        <v>coquetiers de 25 g</v>
      </c>
      <c r="F17" s="76" t="str">
        <f>F16</f>
        <v>Recette mère ► le Boudin en 4 déclinaisons</v>
      </c>
      <c r="G17" s="13" t="s">
        <v>66</v>
      </c>
      <c r="H17" s="13" t="s">
        <v>67</v>
      </c>
      <c r="I17" s="13" t="s">
        <v>68</v>
      </c>
      <c r="J17" s="13" t="s">
        <v>69</v>
      </c>
      <c r="K17" s="77" t="s">
        <v>70</v>
      </c>
      <c r="L17" s="78" t="s">
        <v>71</v>
      </c>
      <c r="M17" s="79" t="s">
        <v>72</v>
      </c>
      <c r="N17" s="1496" t="s">
        <v>73</v>
      </c>
      <c r="O17" s="13" t="s">
        <v>74</v>
      </c>
      <c r="P17" s="518" t="s">
        <v>75</v>
      </c>
      <c r="R17" s="74" t="s">
        <v>16</v>
      </c>
      <c r="S17" s="75" t="str">
        <f>S16</f>
        <v>C Coquetiers de l'Antoine | |  Author &gt; Guy KRENZE - Eric GODDYN - Arnaud NICOLAS - CEPROC 2002</v>
      </c>
      <c r="T17" s="75">
        <f>T16</f>
        <v>20</v>
      </c>
      <c r="U17" s="75" t="str">
        <f>U16</f>
        <v>egg cups of 25 g</v>
      </c>
      <c r="V17" s="76" t="str">
        <f>V16</f>
        <v>Master recipe ► Black pudding in 4 variations</v>
      </c>
      <c r="W17" s="13" t="s">
        <v>66</v>
      </c>
      <c r="X17" s="13" t="s">
        <v>67</v>
      </c>
      <c r="Y17" s="13" t="s">
        <v>68</v>
      </c>
      <c r="Z17" s="13" t="s">
        <v>69</v>
      </c>
      <c r="AA17" s="77" t="s">
        <v>70</v>
      </c>
      <c r="AB17" s="78" t="s">
        <v>71</v>
      </c>
      <c r="AC17" s="79" t="s">
        <v>72</v>
      </c>
      <c r="AD17" s="1496" t="s">
        <v>73</v>
      </c>
      <c r="AE17" s="13" t="s">
        <v>75</v>
      </c>
      <c r="AF17" s="518" t="s">
        <v>76</v>
      </c>
      <c r="AH17" s="74" t="s">
        <v>16</v>
      </c>
      <c r="AI17" s="75" t="str">
        <f>AI16</f>
        <v>C Coquetiers de l'Antoine | | Autor &gt; Guy KRENZE - Eric GODDYN - Arnaud NICOLAS - CEPROC 2002</v>
      </c>
      <c r="AJ17" s="75">
        <f>AJ16</f>
        <v>18</v>
      </c>
      <c r="AK17" s="75" t="str">
        <f>AK16</f>
        <v>hueveras de 25 g</v>
      </c>
      <c r="AL17" s="76" t="str">
        <f>AL16</f>
        <v>Receta madre ► Morcilla en 4 versiones</v>
      </c>
      <c r="AM17" s="13" t="s">
        <v>66</v>
      </c>
      <c r="AN17" s="13" t="s">
        <v>67</v>
      </c>
      <c r="AO17" s="13" t="s">
        <v>68</v>
      </c>
      <c r="AP17" s="13" t="s">
        <v>69</v>
      </c>
      <c r="AQ17" s="77" t="s">
        <v>70</v>
      </c>
      <c r="AR17" s="78" t="s">
        <v>71</v>
      </c>
      <c r="AS17" s="79" t="s">
        <v>72</v>
      </c>
      <c r="AT17" s="1496" t="s">
        <v>73</v>
      </c>
      <c r="AU17" s="13" t="s">
        <v>74</v>
      </c>
      <c r="AV17" s="518" t="s">
        <v>75</v>
      </c>
      <c r="AY17" s="3">
        <v>1</v>
      </c>
    </row>
    <row r="18" spans="2:51" ht="27" customHeight="1">
      <c r="B18" s="27" t="s">
        <v>11</v>
      </c>
      <c r="C18" s="32" t="str">
        <f>C16</f>
        <v>C Coquetiers de l'Antoine | | Auteur &gt; Guy KRENZE - Eric GODDYN - Arnaud NICOLAS - CEPROC 2002</v>
      </c>
      <c r="D18" s="33">
        <f>D16</f>
        <v>20</v>
      </c>
      <c r="E18" s="32" t="str">
        <f>E16</f>
        <v>coquetiers de 25 g</v>
      </c>
      <c r="F18" s="34" t="str">
        <f>F16</f>
        <v>Recette mère ► le Boudin en 4 déclinaisons</v>
      </c>
      <c r="G18" s="81" t="s">
        <v>77</v>
      </c>
      <c r="H18" s="82" t="s">
        <v>78</v>
      </c>
      <c r="I18" s="83"/>
      <c r="J18" s="5454" t="s">
        <v>79</v>
      </c>
      <c r="K18" s="5464" t="s">
        <v>80</v>
      </c>
      <c r="L18" s="5466" t="s">
        <v>81</v>
      </c>
      <c r="M18" s="84" t="s">
        <v>82</v>
      </c>
      <c r="N18" s="5444" t="s">
        <v>83</v>
      </c>
      <c r="O18" s="5446" t="s">
        <v>3297</v>
      </c>
      <c r="P18" s="5448" t="s">
        <v>86</v>
      </c>
      <c r="R18" s="27" t="s">
        <v>11</v>
      </c>
      <c r="S18" s="32" t="str">
        <f>S16</f>
        <v>C Coquetiers de l'Antoine | |  Author &gt; Guy KRENZE - Eric GODDYN - Arnaud NICOLAS - CEPROC 2002</v>
      </c>
      <c r="T18" s="33">
        <f>T16</f>
        <v>20</v>
      </c>
      <c r="U18" s="32" t="str">
        <f>U16</f>
        <v>egg cups of 25 g</v>
      </c>
      <c r="V18" s="34" t="str">
        <f>V16</f>
        <v>Master recipe ► Black pudding in 4 variations</v>
      </c>
      <c r="W18" s="81" t="s">
        <v>77</v>
      </c>
      <c r="X18" s="82" t="s">
        <v>78</v>
      </c>
      <c r="Y18" s="83"/>
      <c r="Z18" s="5454" t="s">
        <v>228</v>
      </c>
      <c r="AA18" s="5464" t="s">
        <v>80</v>
      </c>
      <c r="AB18" s="5466" t="s">
        <v>81</v>
      </c>
      <c r="AC18" s="84" t="s">
        <v>82</v>
      </c>
      <c r="AD18" s="5444" t="s">
        <v>244</v>
      </c>
      <c r="AE18" s="5446" t="s">
        <v>890</v>
      </c>
      <c r="AF18" s="5448" t="s">
        <v>247</v>
      </c>
      <c r="AH18" s="27" t="s">
        <v>11</v>
      </c>
      <c r="AI18" s="32" t="str">
        <f>AI16</f>
        <v>C Coquetiers de l'Antoine | | Autor &gt; Guy KRENZE - Eric GODDYN - Arnaud NICOLAS - CEPROC 2002</v>
      </c>
      <c r="AJ18" s="33">
        <f>AJ16</f>
        <v>18</v>
      </c>
      <c r="AK18" s="32" t="str">
        <f>AK16</f>
        <v>hueveras de 25 g</v>
      </c>
      <c r="AL18" s="34" t="str">
        <f>AL16</f>
        <v>Receta madre ► Morcilla en 4 versiones</v>
      </c>
      <c r="AM18" s="81" t="s">
        <v>77</v>
      </c>
      <c r="AN18" s="82" t="s">
        <v>78</v>
      </c>
      <c r="AO18" s="83"/>
      <c r="AP18" s="5470" t="s">
        <v>229</v>
      </c>
      <c r="AQ18" s="5495" t="s">
        <v>80</v>
      </c>
      <c r="AR18" s="5481" t="s">
        <v>396</v>
      </c>
      <c r="AS18" s="84" t="s">
        <v>82</v>
      </c>
      <c r="AT18" s="5444" t="s">
        <v>249</v>
      </c>
      <c r="AU18" s="5446" t="s">
        <v>907</v>
      </c>
      <c r="AV18" s="5448" t="s">
        <v>252</v>
      </c>
      <c r="AY18" s="3">
        <v>1</v>
      </c>
    </row>
    <row r="19" spans="2:51" ht="27" customHeight="1">
      <c r="B19" s="27" t="s">
        <v>11</v>
      </c>
      <c r="C19" s="32" t="str">
        <f>C16</f>
        <v>C Coquetiers de l'Antoine | | Auteur &gt; Guy KRENZE - Eric GODDYN - Arnaud NICOLAS - CEPROC 2002</v>
      </c>
      <c r="D19" s="33">
        <f>D16</f>
        <v>20</v>
      </c>
      <c r="E19" s="32" t="str">
        <f>E16</f>
        <v>coquetiers de 25 g</v>
      </c>
      <c r="F19" s="34" t="str">
        <f>F16</f>
        <v>Recette mère ► le Boudin en 4 déclinaisons</v>
      </c>
      <c r="G19" s="87" t="s">
        <v>91</v>
      </c>
      <c r="H19" s="88" t="s">
        <v>92</v>
      </c>
      <c r="I19" s="89" t="s">
        <v>93</v>
      </c>
      <c r="J19" s="5455"/>
      <c r="K19" s="5465"/>
      <c r="L19" s="5467"/>
      <c r="M19" s="90" t="s">
        <v>94</v>
      </c>
      <c r="N19" s="5445"/>
      <c r="O19" s="5447"/>
      <c r="P19" s="5449"/>
      <c r="R19" s="27" t="s">
        <v>11</v>
      </c>
      <c r="S19" s="32" t="str">
        <f>S16</f>
        <v>C Coquetiers de l'Antoine | |  Author &gt; Guy KRENZE - Eric GODDYN - Arnaud NICOLAS - CEPROC 2002</v>
      </c>
      <c r="T19" s="33">
        <f>T16</f>
        <v>20</v>
      </c>
      <c r="U19" s="32" t="str">
        <f>U16</f>
        <v>egg cups of 25 g</v>
      </c>
      <c r="V19" s="34" t="str">
        <f>V16</f>
        <v>Master recipe ► Black pudding in 4 variations</v>
      </c>
      <c r="W19" s="87" t="s">
        <v>231</v>
      </c>
      <c r="X19" s="88" t="s">
        <v>232</v>
      </c>
      <c r="Y19" s="89" t="s">
        <v>891</v>
      </c>
      <c r="Z19" s="5455"/>
      <c r="AA19" s="5465"/>
      <c r="AB19" s="5467"/>
      <c r="AC19" s="90" t="s">
        <v>867</v>
      </c>
      <c r="AD19" s="5445"/>
      <c r="AE19" s="5447"/>
      <c r="AF19" s="5449"/>
      <c r="AH19" s="27" t="s">
        <v>11</v>
      </c>
      <c r="AI19" s="32" t="str">
        <f>AI16</f>
        <v>C Coquetiers de l'Antoine | | Autor &gt; Guy KRENZE - Eric GODDYN - Arnaud NICOLAS - CEPROC 2002</v>
      </c>
      <c r="AJ19" s="33">
        <f>AJ16</f>
        <v>18</v>
      </c>
      <c r="AK19" s="32" t="str">
        <f>AK16</f>
        <v>hueveras de 25 g</v>
      </c>
      <c r="AL19" s="34" t="str">
        <f>AL16</f>
        <v>Receta madre ► Morcilla en 4 versiones</v>
      </c>
      <c r="AM19" s="87" t="s">
        <v>234</v>
      </c>
      <c r="AN19" s="88" t="s">
        <v>235</v>
      </c>
      <c r="AO19" s="89" t="s">
        <v>93</v>
      </c>
      <c r="AP19" s="5455"/>
      <c r="AQ19" s="5465"/>
      <c r="AR19" s="5467"/>
      <c r="AS19" s="90" t="s">
        <v>869</v>
      </c>
      <c r="AT19" s="5445"/>
      <c r="AU19" s="5447"/>
      <c r="AV19" s="5449"/>
      <c r="AY19" s="3">
        <v>1</v>
      </c>
    </row>
    <row r="20" spans="2:51" ht="27" customHeight="1">
      <c r="B20" s="27" t="s">
        <v>11</v>
      </c>
      <c r="C20" s="32" t="str">
        <f>C16</f>
        <v>C Coquetiers de l'Antoine | | Auteur &gt; Guy KRENZE - Eric GODDYN - Arnaud NICOLAS - CEPROC 2002</v>
      </c>
      <c r="D20" s="33">
        <f>D16</f>
        <v>20</v>
      </c>
      <c r="E20" s="32" t="str">
        <f>E16</f>
        <v>coquetiers de 25 g</v>
      </c>
      <c r="F20" s="34" t="str">
        <f>F16</f>
        <v>Recette mère ► le Boudin en 4 déclinaisons</v>
      </c>
      <c r="G20" s="92"/>
      <c r="H20" s="93"/>
      <c r="I20" s="94" t="str">
        <f t="shared" ref="I20:I34" si="2">IF(OR(ISTEXT(G20), G20&lt;=0, J20&lt;=0), "", "de")</f>
        <v/>
      </c>
      <c r="J20" s="95">
        <v>300</v>
      </c>
      <c r="K20" s="105" t="s">
        <v>99</v>
      </c>
      <c r="L20" s="127">
        <v>1</v>
      </c>
      <c r="M20" s="919" t="s">
        <v>12821</v>
      </c>
      <c r="N20" s="100">
        <f>IF(OR(ISBLANK(G14),N14=0),0,G20*L15)</f>
        <v>0</v>
      </c>
      <c r="O20" s="101" cm="1">
        <f t="array" ref="O20">IFERROR(_xlfn.LET(_xlpm.k,UPPER(TRIM(K20)),_xlpm.r,_xlfn.XLOOKUP(_xlpm.k,UPPER(TRIM(G36:P36)),G37:P37,_xlfn.XLOOKUP(_xlpm.k,UPPER(TRIM(G38:P38)),G39:P39)),_xlpm.r*J20*L20*L15*IF(ISBLANK(G20),1,G20)),0)</f>
        <v>0.3</v>
      </c>
      <c r="P20" s="1476" t="str">
        <f>_xlfn.LET(_xlpm.unite,SUBSTITUTE(TRIM(K20)," (s)",""),_xlpm.val,O20,_xlpm.estVol,COUNTIF(J36:P36,_xlpm.unite)+COUNTIF(J38:P38,_xlpm.unite)&gt;0,_xlpm.estPoids,COUNTIF(G36:I36,_xlpm.unite)+COUNTIF(G38:I38,_xlpm.unite)&gt;0,IF(_xlpm.estVol,IF(ROUND(_xlpm.val,3)&gt;=1,ROUND(_xlpm.val,3)&amp;" L",MAX(1,ROUND(_xlpm.val*100,0))&amp;" cl"),IF(_xlpm.estPoids,IF(ROUND(_xlpm.val,3)&gt;=1,ROUND(_xlpm.val,3)&amp;" Kg",MAX(1,ROUND(_xlpm.val*1000,0))&amp;" g"),"")))</f>
        <v>300 g</v>
      </c>
      <c r="R20" s="27" t="s">
        <v>11</v>
      </c>
      <c r="S20" s="32" t="str">
        <f>S16</f>
        <v>C Coquetiers de l'Antoine | |  Author &gt; Guy KRENZE - Eric GODDYN - Arnaud NICOLAS - CEPROC 2002</v>
      </c>
      <c r="T20" s="33">
        <f>T16</f>
        <v>20</v>
      </c>
      <c r="U20" s="32" t="str">
        <f>U16</f>
        <v>egg cups of 25 g</v>
      </c>
      <c r="V20" s="34" t="str">
        <f>V16</f>
        <v>Master recipe ► Black pudding in 4 variations</v>
      </c>
      <c r="W20" s="92"/>
      <c r="X20" s="93"/>
      <c r="Y20" s="94" t="str">
        <f t="shared" ref="Y20:Y34" si="3">IF(OR(ISTEXT(W20), W20&lt;=0, Z20&lt;=0), "", "de")</f>
        <v/>
      </c>
      <c r="Z20" s="95">
        <v>300</v>
      </c>
      <c r="AA20" s="105" t="s">
        <v>99</v>
      </c>
      <c r="AB20" s="127">
        <v>1</v>
      </c>
      <c r="AC20" s="919" t="s">
        <v>12868</v>
      </c>
      <c r="AD20" s="100">
        <f>IF(OR(ISBLANK(W14),AD14=0),0,W20*AB15)</f>
        <v>0</v>
      </c>
      <c r="AE20" s="101" cm="1">
        <f t="array" ref="AE20">IFERROR(_xlfn.LET(_xlpm.k,UPPER(TRIM(AA20)),_xlpm.r,_xlfn.XLOOKUP(_xlpm.k,UPPER(TRIM(W36:AF36)),W37:AF37,_xlfn.XLOOKUP(_xlpm.k,UPPER(TRIM(W38:AF38)),W39:AF39)),_xlpm.r*Z20*AB20*AB15*IF(ISBLANK(W20),1,W20)),0)</f>
        <v>0.3</v>
      </c>
      <c r="AF20" s="1476" t="str">
        <f>_xlfn.LET(_xlpm.unite,SUBSTITUTE(TRIM(AA20)," (s)",""),_xlpm.val,AE20,_xlpm.estVol,COUNTIF(Z36:AF36,_xlpm.unite)+COUNTIF(Z38:AF38,_xlpm.unite)&gt;0,_xlpm.estPoids,COUNTIF(W36:Y36,_xlpm.unite)+COUNTIF(W38:Y38,_xlpm.unite)&gt;0,IF(_xlpm.estVol,IF(ROUND(_xlpm.val,3)&gt;=1,ROUND(_xlpm.val,3)&amp;" L",MAX(1,ROUND(_xlpm.val*100,0))&amp;" cl"),IF(_xlpm.estPoids,IF(ROUND(_xlpm.val,3)&gt;=1,ROUND(_xlpm.val,3)&amp;" Kg",MAX(1,ROUND(_xlpm.val*1000,0))&amp;" g"),"")))</f>
        <v>300 g</v>
      </c>
      <c r="AH20" s="27" t="s">
        <v>11</v>
      </c>
      <c r="AI20" s="32" t="str">
        <f>AI16</f>
        <v>C Coquetiers de l'Antoine | | Autor &gt; Guy KRENZE - Eric GODDYN - Arnaud NICOLAS - CEPROC 2002</v>
      </c>
      <c r="AJ20" s="33">
        <f>AJ16</f>
        <v>18</v>
      </c>
      <c r="AK20" s="32" t="str">
        <f>AK16</f>
        <v>hueveras de 25 g</v>
      </c>
      <c r="AL20" s="34" t="str">
        <f>AL16</f>
        <v>Receta madre ► Morcilla en 4 versiones</v>
      </c>
      <c r="AM20" s="92"/>
      <c r="AN20" s="93"/>
      <c r="AO20" s="94" t="str">
        <f t="shared" ref="AO20:AO34" si="4">IF(OR(ISTEXT(AM20), AM20&lt;=0, AP20&lt;=0), "", "de")</f>
        <v/>
      </c>
      <c r="AP20" s="95">
        <v>300</v>
      </c>
      <c r="AQ20" s="105" t="s">
        <v>99</v>
      </c>
      <c r="AR20" s="127">
        <v>1</v>
      </c>
      <c r="AS20" s="919" t="s">
        <v>12869</v>
      </c>
      <c r="AT20" s="100">
        <f>IF(OR(ISBLANK(AM14),AT14=0),0,AM20*AR15)</f>
        <v>0</v>
      </c>
      <c r="AU20" s="101" cm="1">
        <f t="array" ref="AU20">IFERROR(_xlfn.LET(_xlpm.k,UPPER(TRIM(AQ20)),_xlpm.r,_xlfn.XLOOKUP(_xlpm.k,UPPER(TRIM(AM36:AV36)),AM37:AV37,_xlfn.XLOOKUP(_xlpm.k,UPPER(TRIM(AM38:AV38)),AM39:AV39)),_xlpm.r*AP20*AR20*AR15*IF(ISBLANK(AM20),1,AM20)),0)</f>
        <v>0.6</v>
      </c>
      <c r="AV20" s="1476" t="str">
        <f>_xlfn.LET(_xlpm.unite,SUBSTITUTE(TRIM(AQ20)," (s)",""),_xlpm.val,AU20,_xlpm.estVol,COUNTIF(AP36:AV36,_xlpm.unite)+COUNTIF(AP38:AV38,_xlpm.unite)&gt;0,_xlpm.estPoids,COUNTIF(AM36:AO36,_xlpm.unite)+COUNTIF(AM38:AO38,_xlpm.unite)&gt;0,IF(_xlpm.estVol,IF(ROUND(_xlpm.val,3)&gt;=1,ROUND(_xlpm.val,3)&amp;" L",MAX(1,ROUND(_xlpm.val*100,0))&amp;" cl"),IF(_xlpm.estPoids,IF(ROUND(_xlpm.val,3)&gt;=1,ROUND(_xlpm.val,3)&amp;" Kg",MAX(1,ROUND(_xlpm.val*1000,0))&amp;" g"),"")))</f>
        <v>600 g</v>
      </c>
      <c r="AY20" s="3">
        <v>1</v>
      </c>
    </row>
    <row r="21" spans="2:51" ht="27" customHeight="1">
      <c r="B21" s="104" t="str">
        <f t="shared" ref="B21:B34" si="5">IF(M21&lt;&gt;"","A","►")</f>
        <v>A</v>
      </c>
      <c r="C21" s="32" t="str">
        <f>C16</f>
        <v>C Coquetiers de l'Antoine | | Auteur &gt; Guy KRENZE - Eric GODDYN - Arnaud NICOLAS - CEPROC 2002</v>
      </c>
      <c r="D21" s="33">
        <f>D16</f>
        <v>20</v>
      </c>
      <c r="E21" s="32" t="str">
        <f>E16</f>
        <v>coquetiers de 25 g</v>
      </c>
      <c r="F21" s="34" t="str">
        <f>F16</f>
        <v>Recette mère ► le Boudin en 4 déclinaisons</v>
      </c>
      <c r="G21" s="92"/>
      <c r="H21" s="93"/>
      <c r="I21" s="94" t="str">
        <f t="shared" si="2"/>
        <v/>
      </c>
      <c r="J21" s="95">
        <v>300</v>
      </c>
      <c r="K21" s="105" t="s">
        <v>99</v>
      </c>
      <c r="L21" s="127">
        <v>1</v>
      </c>
      <c r="M21" s="920" t="s">
        <v>12829</v>
      </c>
      <c r="N21" s="1494">
        <f>IF(OR(ISBLANK(G14),N14=0),0,G21*L15)</f>
        <v>0</v>
      </c>
      <c r="O21" s="101" cm="1">
        <f t="array" ref="O21">IFERROR(_xlfn.LET(_xlpm.k,UPPER(TRIM(K21)),_xlpm.r,_xlfn.XLOOKUP(_xlpm.k,UPPER(TRIM(G36:P36)),G37:P37,_xlfn.XLOOKUP(_xlpm.k,UPPER(TRIM(G38:P38)),G39:P39)),_xlpm.r*J21*L21*L15*IF(ISBLANK(G21),1,G21)),0)</f>
        <v>0.3</v>
      </c>
      <c r="P21" s="1475" t="str">
        <f>_xlfn.LET(_xlpm.unite,SUBSTITUTE(TRIM(K21)," (s)",""),_xlpm.val,O21,_xlpm.estVol,COUNTIF(J36:P36,_xlpm.unite)+COUNTIF(J38:P38,_xlpm.unite)&gt;0,_xlpm.estPoids,COUNTIF(G36:I36,_xlpm.unite)+COUNTIF(G38:I38,_xlpm.unite)&gt;0,IF(_xlpm.estVol,IF(ROUND(_xlpm.val,3)&gt;=1,ROUND(_xlpm.val,3)&amp;" L",MAX(1,ROUND(_xlpm.val*100,0))&amp;" cl"),IF(_xlpm.estPoids,IF(ROUND(_xlpm.val,3)&gt;=1,ROUND(_xlpm.val,3)&amp;" Kg",MAX(1,ROUND(_xlpm.val*1000,0))&amp;" g"),"")))</f>
        <v>300 g</v>
      </c>
      <c r="R21" s="104" t="str">
        <f t="shared" ref="R21:R34" si="6">IF(AC21&lt;&gt;"","A","►")</f>
        <v>A</v>
      </c>
      <c r="S21" s="32" t="str">
        <f>S16</f>
        <v>C Coquetiers de l'Antoine | |  Author &gt; Guy KRENZE - Eric GODDYN - Arnaud NICOLAS - CEPROC 2002</v>
      </c>
      <c r="T21" s="33">
        <f>T16</f>
        <v>20</v>
      </c>
      <c r="U21" s="32" t="str">
        <f>U16</f>
        <v>egg cups of 25 g</v>
      </c>
      <c r="V21" s="34" t="str">
        <f>V16</f>
        <v>Master recipe ► Black pudding in 4 variations</v>
      </c>
      <c r="W21" s="92"/>
      <c r="X21" s="93"/>
      <c r="Y21" s="94" t="str">
        <f t="shared" si="3"/>
        <v/>
      </c>
      <c r="Z21" s="95">
        <v>300</v>
      </c>
      <c r="AA21" s="105" t="s">
        <v>99</v>
      </c>
      <c r="AB21" s="127">
        <v>1</v>
      </c>
      <c r="AC21" s="920" t="s">
        <v>12870</v>
      </c>
      <c r="AD21" s="1494">
        <f>IF(OR(ISBLANK(W14),AD14=0),0,W21*AB15)</f>
        <v>0</v>
      </c>
      <c r="AE21" s="101" cm="1">
        <f t="array" ref="AE21">IFERROR(_xlfn.LET(_xlpm.k,UPPER(TRIM(AA21)),_xlpm.r,_xlfn.XLOOKUP(_xlpm.k,UPPER(TRIM(W36:AF36)),W37:AF37,_xlfn.XLOOKUP(_xlpm.k,UPPER(TRIM(W38:AF38)),W39:AF39)),_xlpm.r*Z21*AB21*AB15*IF(ISBLANK(W21),1,W21)),0)</f>
        <v>0.3</v>
      </c>
      <c r="AF21" s="1475" t="str">
        <f>_xlfn.LET(_xlpm.unite,SUBSTITUTE(TRIM(AA21)," (s)",""),_xlpm.val,AE21,_xlpm.estVol,COUNTIF(Z36:AF36,_xlpm.unite)+COUNTIF(Z38:AF38,_xlpm.unite)&gt;0,_xlpm.estPoids,COUNTIF(W36:Y36,_xlpm.unite)+COUNTIF(W38:Y38,_xlpm.unite)&gt;0,IF(_xlpm.estVol,IF(ROUND(_xlpm.val,3)&gt;=1,ROUND(_xlpm.val,3)&amp;" L",MAX(1,ROUND(_xlpm.val*100,0))&amp;" cl"),IF(_xlpm.estPoids,IF(ROUND(_xlpm.val,3)&gt;=1,ROUND(_xlpm.val,3)&amp;" Kg",MAX(1,ROUND(_xlpm.val*1000,0))&amp;" g"),"")))</f>
        <v>300 g</v>
      </c>
      <c r="AH21" s="104" t="str">
        <f t="shared" ref="AH21:AH34" si="7">IF(AS21&lt;&gt;"","A","►")</f>
        <v>A</v>
      </c>
      <c r="AI21" s="32" t="str">
        <f>AI16</f>
        <v>C Coquetiers de l'Antoine | | Autor &gt; Guy KRENZE - Eric GODDYN - Arnaud NICOLAS - CEPROC 2002</v>
      </c>
      <c r="AJ21" s="33">
        <f>AJ16</f>
        <v>18</v>
      </c>
      <c r="AK21" s="32" t="str">
        <f>AK16</f>
        <v>hueveras de 25 g</v>
      </c>
      <c r="AL21" s="34" t="str">
        <f>AL16</f>
        <v>Receta madre ► Morcilla en 4 versiones</v>
      </c>
      <c r="AM21" s="92"/>
      <c r="AN21" s="93"/>
      <c r="AO21" s="94" t="str">
        <f t="shared" si="4"/>
        <v/>
      </c>
      <c r="AP21" s="95">
        <v>300</v>
      </c>
      <c r="AQ21" s="105" t="s">
        <v>99</v>
      </c>
      <c r="AR21" s="127">
        <v>1</v>
      </c>
      <c r="AS21" s="920" t="s">
        <v>12871</v>
      </c>
      <c r="AT21" s="1494">
        <f>IF(OR(ISBLANK(AM14),AT14=0),0,AM21*AR15)</f>
        <v>0</v>
      </c>
      <c r="AU21" s="101" cm="1">
        <f t="array" ref="AU21">IFERROR(_xlfn.LET(_xlpm.k,UPPER(TRIM(AQ21)),_xlpm.r,_xlfn.XLOOKUP(_xlpm.k,UPPER(TRIM(AM36:AV36)),AM37:AV37,_xlfn.XLOOKUP(_xlpm.k,UPPER(TRIM(AM38:AV38)),AM39:AV39)),_xlpm.r*AP21*AR21*AR15*IF(ISBLANK(AM21),1,AM21)),0)</f>
        <v>0.6</v>
      </c>
      <c r="AV21" s="1475" t="str">
        <f>_xlfn.LET(_xlpm.unite,SUBSTITUTE(TRIM(AQ21)," (s)",""),_xlpm.val,AU21,_xlpm.estVol,COUNTIF(AP36:AV36,_xlpm.unite)+COUNTIF(AP38:AV38,_xlpm.unite)&gt;0,_xlpm.estPoids,COUNTIF(AM36:AO36,_xlpm.unite)+COUNTIF(AM38:AO38,_xlpm.unite)&gt;0,IF(_xlpm.estVol,IF(ROUND(_xlpm.val,3)&gt;=1,ROUND(_xlpm.val,3)&amp;" L",MAX(1,ROUND(_xlpm.val*100,0))&amp;" cl"),IF(_xlpm.estPoids,IF(ROUND(_xlpm.val,3)&gt;=1,ROUND(_xlpm.val,3)&amp;" Kg",MAX(1,ROUND(_xlpm.val*1000,0))&amp;" g"),"")))</f>
        <v>600 g</v>
      </c>
      <c r="AY21" s="3">
        <v>1</v>
      </c>
    </row>
    <row r="22" spans="2:51" ht="27" customHeight="1">
      <c r="B22" s="104" t="str">
        <f t="shared" si="5"/>
        <v>A</v>
      </c>
      <c r="C22" s="32" t="str">
        <f>C16</f>
        <v>C Coquetiers de l'Antoine | | Auteur &gt; Guy KRENZE - Eric GODDYN - Arnaud NICOLAS - CEPROC 2002</v>
      </c>
      <c r="D22" s="33">
        <f>D16</f>
        <v>20</v>
      </c>
      <c r="E22" s="32" t="str">
        <f>E16</f>
        <v>coquetiers de 25 g</v>
      </c>
      <c r="F22" s="34" t="str">
        <f>F16</f>
        <v>Recette mère ► le Boudin en 4 déclinaisons</v>
      </c>
      <c r="G22" s="92"/>
      <c r="H22" s="108"/>
      <c r="I22" s="94" t="str">
        <f t="shared" si="2"/>
        <v/>
      </c>
      <c r="J22" s="95">
        <v>45</v>
      </c>
      <c r="K22" s="105" t="s">
        <v>99</v>
      </c>
      <c r="L22" s="127">
        <v>1</v>
      </c>
      <c r="M22" s="920" t="s">
        <v>12822</v>
      </c>
      <c r="N22" s="1494">
        <f>IF(OR(ISBLANK(G14),N14=0),0,G22*L15)</f>
        <v>0</v>
      </c>
      <c r="O22" s="101" cm="1">
        <f t="array" ref="O22">IFERROR(_xlfn.LET(_xlpm.k,UPPER(TRIM(K22)),_xlpm.r,_xlfn.XLOOKUP(_xlpm.k,UPPER(TRIM(G36:P36)),G37:P37,_xlfn.XLOOKUP(_xlpm.k,UPPER(TRIM(G38:P38)),G39:P39)),_xlpm.r*J22*L22*L15*IF(ISBLANK(G22),1,G22)),0)</f>
        <v>4.4999999999999998E-2</v>
      </c>
      <c r="P22" s="1476" t="str">
        <f>_xlfn.LET(_xlpm.unite,SUBSTITUTE(TRIM(K22)," (s)",""),_xlpm.val,O22,_xlpm.estVol,COUNTIF(J36:P36,_xlpm.unite)+COUNTIF(J38:P38,_xlpm.unite)&gt;0,_xlpm.estPoids,COUNTIF(G36:I36,_xlpm.unite)+COUNTIF(G38:I38,_xlpm.unite)&gt;0,IF(_xlpm.estVol,IF(ROUND(_xlpm.val,3)&gt;=1,ROUND(_xlpm.val,3)&amp;" L",MAX(1,ROUND(_xlpm.val*100,0))&amp;" cl"),IF(_xlpm.estPoids,IF(ROUND(_xlpm.val,3)&gt;=1,ROUND(_xlpm.val,3)&amp;" Kg",MAX(1,ROUND(_xlpm.val*1000,0))&amp;" g"),"")))</f>
        <v>45 g</v>
      </c>
      <c r="R22" s="104" t="str">
        <f t="shared" si="6"/>
        <v>A</v>
      </c>
      <c r="S22" s="32" t="str">
        <f>S16</f>
        <v>C Coquetiers de l'Antoine | |  Author &gt; Guy KRENZE - Eric GODDYN - Arnaud NICOLAS - CEPROC 2002</v>
      </c>
      <c r="T22" s="33">
        <f>T16</f>
        <v>20</v>
      </c>
      <c r="U22" s="32" t="str">
        <f>U16</f>
        <v>egg cups of 25 g</v>
      </c>
      <c r="V22" s="34" t="str">
        <f>V16</f>
        <v>Master recipe ► Black pudding in 4 variations</v>
      </c>
      <c r="W22" s="92"/>
      <c r="X22" s="108"/>
      <c r="Y22" s="94" t="str">
        <f t="shared" si="3"/>
        <v/>
      </c>
      <c r="Z22" s="95">
        <v>45</v>
      </c>
      <c r="AA22" s="105" t="s">
        <v>99</v>
      </c>
      <c r="AB22" s="127">
        <v>1</v>
      </c>
      <c r="AC22" s="920" t="s">
        <v>12872</v>
      </c>
      <c r="AD22" s="1494">
        <f>IF(OR(ISBLANK(W14),AD14=0),0,W22*AB15)</f>
        <v>0</v>
      </c>
      <c r="AE22" s="101" cm="1">
        <f t="array" ref="AE22">IFERROR(_xlfn.LET(_xlpm.k,UPPER(TRIM(AA22)),_xlpm.r,_xlfn.XLOOKUP(_xlpm.k,UPPER(TRIM(W36:AF36)),W37:AF37,_xlfn.XLOOKUP(_xlpm.k,UPPER(TRIM(W38:AF38)),W39:AF39)),_xlpm.r*Z22*AB22*AB15*IF(ISBLANK(W22),1,W22)),0)</f>
        <v>4.4999999999999998E-2</v>
      </c>
      <c r="AF22" s="1476" t="str">
        <f>_xlfn.LET(_xlpm.unite,SUBSTITUTE(TRIM(AA22)," (s)",""),_xlpm.val,AE22,_xlpm.estVol,COUNTIF(Z36:AF36,_xlpm.unite)+COUNTIF(Z38:AF38,_xlpm.unite)&gt;0,_xlpm.estPoids,COUNTIF(W36:Y36,_xlpm.unite)+COUNTIF(W38:Y38,_xlpm.unite)&gt;0,IF(_xlpm.estVol,IF(ROUND(_xlpm.val,3)&gt;=1,ROUND(_xlpm.val,3)&amp;" L",MAX(1,ROUND(_xlpm.val*100,0))&amp;" cl"),IF(_xlpm.estPoids,IF(ROUND(_xlpm.val,3)&gt;=1,ROUND(_xlpm.val,3)&amp;" Kg",MAX(1,ROUND(_xlpm.val*1000,0))&amp;" g"),"")))</f>
        <v>45 g</v>
      </c>
      <c r="AH22" s="104" t="str">
        <f t="shared" si="7"/>
        <v>A</v>
      </c>
      <c r="AI22" s="32" t="str">
        <f>AI16</f>
        <v>C Coquetiers de l'Antoine | | Autor &gt; Guy KRENZE - Eric GODDYN - Arnaud NICOLAS - CEPROC 2002</v>
      </c>
      <c r="AJ22" s="33">
        <f>AJ16</f>
        <v>18</v>
      </c>
      <c r="AK22" s="32" t="str">
        <f>AK16</f>
        <v>hueveras de 25 g</v>
      </c>
      <c r="AL22" s="34" t="str">
        <f>AL16</f>
        <v>Receta madre ► Morcilla en 4 versiones</v>
      </c>
      <c r="AM22" s="92"/>
      <c r="AN22" s="108"/>
      <c r="AO22" s="94" t="str">
        <f t="shared" si="4"/>
        <v/>
      </c>
      <c r="AP22" s="95">
        <v>45</v>
      </c>
      <c r="AQ22" s="105" t="s">
        <v>99</v>
      </c>
      <c r="AR22" s="127">
        <v>1</v>
      </c>
      <c r="AS22" s="920" t="s">
        <v>12873</v>
      </c>
      <c r="AT22" s="1494">
        <f>IF(OR(ISBLANK(AM14),AT14=0),0,AM22*AR15)</f>
        <v>0</v>
      </c>
      <c r="AU22" s="101" cm="1">
        <f t="array" ref="AU22">IFERROR(_xlfn.LET(_xlpm.k,UPPER(TRIM(AQ22)),_xlpm.r,_xlfn.XLOOKUP(_xlpm.k,UPPER(TRIM(AM36:AV36)),AM37:AV37,_xlfn.XLOOKUP(_xlpm.k,UPPER(TRIM(AM38:AV38)),AM39:AV39)),_xlpm.r*AP22*AR22*AR15*IF(ISBLANK(AM22),1,AM22)),0)</f>
        <v>0.09</v>
      </c>
      <c r="AV22" s="1476" t="str">
        <f>_xlfn.LET(_xlpm.unite,SUBSTITUTE(TRIM(AQ22)," (s)",""),_xlpm.val,AU22,_xlpm.estVol,COUNTIF(AP36:AV36,_xlpm.unite)+COUNTIF(AP38:AV38,_xlpm.unite)&gt;0,_xlpm.estPoids,COUNTIF(AM36:AO36,_xlpm.unite)+COUNTIF(AM38:AO38,_xlpm.unite)&gt;0,IF(_xlpm.estVol,IF(ROUND(_xlpm.val,3)&gt;=1,ROUND(_xlpm.val,3)&amp;" L",MAX(1,ROUND(_xlpm.val*100,0))&amp;" cl"),IF(_xlpm.estPoids,IF(ROUND(_xlpm.val,3)&gt;=1,ROUND(_xlpm.val,3)&amp;" Kg",MAX(1,ROUND(_xlpm.val*1000,0))&amp;" g"),"")))</f>
        <v>90 g</v>
      </c>
      <c r="AY22" s="3">
        <v>1</v>
      </c>
    </row>
    <row r="23" spans="2:51" ht="27" customHeight="1">
      <c r="B23" s="104" t="str">
        <f t="shared" si="5"/>
        <v>A</v>
      </c>
      <c r="C23" s="32" t="str">
        <f>C16</f>
        <v>C Coquetiers de l'Antoine | | Auteur &gt; Guy KRENZE - Eric GODDYN - Arnaud NICOLAS - CEPROC 2002</v>
      </c>
      <c r="D23" s="33">
        <f>D16</f>
        <v>20</v>
      </c>
      <c r="E23" s="32" t="str">
        <f>E16</f>
        <v>coquetiers de 25 g</v>
      </c>
      <c r="F23" s="34" t="str">
        <f>F16</f>
        <v>Recette mère ► le Boudin en 4 déclinaisons</v>
      </c>
      <c r="G23" s="92"/>
      <c r="H23" s="108"/>
      <c r="I23" s="94" t="str">
        <f t="shared" si="2"/>
        <v/>
      </c>
      <c r="J23" s="95">
        <v>50</v>
      </c>
      <c r="K23" s="105" t="s">
        <v>99</v>
      </c>
      <c r="L23" s="127">
        <v>1</v>
      </c>
      <c r="M23" s="920" t="s">
        <v>12823</v>
      </c>
      <c r="N23" s="1494">
        <f>IF(OR(ISBLANK(G14),N14=0),0,G23*L15)</f>
        <v>0</v>
      </c>
      <c r="O23" s="101" cm="1">
        <f t="array" ref="O23">IFERROR(_xlfn.LET(_xlpm.k,UPPER(TRIM(K23)),_xlpm.r,_xlfn.XLOOKUP(_xlpm.k,UPPER(TRIM(G36:P36)),G37:P37,_xlfn.XLOOKUP(_xlpm.k,UPPER(TRIM(G38:P38)),G39:P39)),_xlpm.r*J23*L23*L15*IF(ISBLANK(G23),1,G23)),0)</f>
        <v>0.05</v>
      </c>
      <c r="P23" s="1475" t="str">
        <f>_xlfn.LET(_xlpm.unite,SUBSTITUTE(TRIM(K23)," (s)",""),_xlpm.val,O23,_xlpm.estVol,COUNTIF(J36:P36,_xlpm.unite)+COUNTIF(J38:P38,_xlpm.unite)&gt;0,_xlpm.estPoids,COUNTIF(G36:I36,_xlpm.unite)+COUNTIF(G38:I38,_xlpm.unite)&gt;0,IF(_xlpm.estVol,IF(ROUND(_xlpm.val,3)&gt;=1,ROUND(_xlpm.val,3)&amp;" L",MAX(1,ROUND(_xlpm.val*100,0))&amp;" cl"),IF(_xlpm.estPoids,IF(ROUND(_xlpm.val,3)&gt;=1,ROUND(_xlpm.val,3)&amp;" Kg",MAX(1,ROUND(_xlpm.val*1000,0))&amp;" g"),"")))</f>
        <v>50 g</v>
      </c>
      <c r="R23" s="104" t="str">
        <f t="shared" si="6"/>
        <v>A</v>
      </c>
      <c r="S23" s="32" t="str">
        <f>S16</f>
        <v>C Coquetiers de l'Antoine | |  Author &gt; Guy KRENZE - Eric GODDYN - Arnaud NICOLAS - CEPROC 2002</v>
      </c>
      <c r="T23" s="33">
        <f>T16</f>
        <v>20</v>
      </c>
      <c r="U23" s="32" t="str">
        <f>U16</f>
        <v>egg cups of 25 g</v>
      </c>
      <c r="V23" s="34" t="str">
        <f>V16</f>
        <v>Master recipe ► Black pudding in 4 variations</v>
      </c>
      <c r="W23" s="92"/>
      <c r="X23" s="108"/>
      <c r="Y23" s="94" t="str">
        <f t="shared" si="3"/>
        <v/>
      </c>
      <c r="Z23" s="95">
        <v>50</v>
      </c>
      <c r="AA23" s="105" t="s">
        <v>99</v>
      </c>
      <c r="AB23" s="127">
        <v>1</v>
      </c>
      <c r="AC23" s="920" t="s">
        <v>12874</v>
      </c>
      <c r="AD23" s="1494">
        <f>IF(OR(ISBLANK(W14),AD14=0),0,W23*AB15)</f>
        <v>0</v>
      </c>
      <c r="AE23" s="101" cm="1">
        <f t="array" ref="AE23">IFERROR(_xlfn.LET(_xlpm.k,UPPER(TRIM(AA23)),_xlpm.r,_xlfn.XLOOKUP(_xlpm.k,UPPER(TRIM(W36:AF36)),W37:AF37,_xlfn.XLOOKUP(_xlpm.k,UPPER(TRIM(W38:AF38)),W39:AF39)),_xlpm.r*Z23*AB23*AB15*IF(ISBLANK(W23),1,W23)),0)</f>
        <v>0.05</v>
      </c>
      <c r="AF23" s="1475" t="str">
        <f>_xlfn.LET(_xlpm.unite,SUBSTITUTE(TRIM(AA23)," (s)",""),_xlpm.val,AE23,_xlpm.estVol,COUNTIF(Z36:AF36,_xlpm.unite)+COUNTIF(Z38:AF38,_xlpm.unite)&gt;0,_xlpm.estPoids,COUNTIF(W36:Y36,_xlpm.unite)+COUNTIF(W38:Y38,_xlpm.unite)&gt;0,IF(_xlpm.estVol,IF(ROUND(_xlpm.val,3)&gt;=1,ROUND(_xlpm.val,3)&amp;" L",MAX(1,ROUND(_xlpm.val*100,0))&amp;" cl"),IF(_xlpm.estPoids,IF(ROUND(_xlpm.val,3)&gt;=1,ROUND(_xlpm.val,3)&amp;" Kg",MAX(1,ROUND(_xlpm.val*1000,0))&amp;" g"),"")))</f>
        <v>50 g</v>
      </c>
      <c r="AH23" s="104" t="str">
        <f t="shared" si="7"/>
        <v>A</v>
      </c>
      <c r="AI23" s="32" t="str">
        <f>AI16</f>
        <v>C Coquetiers de l'Antoine | | Autor &gt; Guy KRENZE - Eric GODDYN - Arnaud NICOLAS - CEPROC 2002</v>
      </c>
      <c r="AJ23" s="33">
        <f>AJ16</f>
        <v>18</v>
      </c>
      <c r="AK23" s="32" t="str">
        <f>AK16</f>
        <v>hueveras de 25 g</v>
      </c>
      <c r="AL23" s="34" t="str">
        <f>AL16</f>
        <v>Receta madre ► Morcilla en 4 versiones</v>
      </c>
      <c r="AM23" s="92"/>
      <c r="AN23" s="108"/>
      <c r="AO23" s="94" t="str">
        <f t="shared" si="4"/>
        <v/>
      </c>
      <c r="AP23" s="95">
        <v>50</v>
      </c>
      <c r="AQ23" s="105" t="s">
        <v>99</v>
      </c>
      <c r="AR23" s="127">
        <v>1</v>
      </c>
      <c r="AS23" s="920" t="s">
        <v>12875</v>
      </c>
      <c r="AT23" s="1494">
        <f>IF(OR(ISBLANK(AM14),AT14=0),0,AM23*AR15)</f>
        <v>0</v>
      </c>
      <c r="AU23" s="101" cm="1">
        <f t="array" ref="AU23">IFERROR(_xlfn.LET(_xlpm.k,UPPER(TRIM(AQ23)),_xlpm.r,_xlfn.XLOOKUP(_xlpm.k,UPPER(TRIM(AM36:AV36)),AM37:AV37,_xlfn.XLOOKUP(_xlpm.k,UPPER(TRIM(AM38:AV38)),AM39:AV39)),_xlpm.r*AP23*AR23*AR15*IF(ISBLANK(AM23),1,AM23)),0)</f>
        <v>0.1</v>
      </c>
      <c r="AV23" s="1475" t="str">
        <f>_xlfn.LET(_xlpm.unite,SUBSTITUTE(TRIM(AQ23)," (s)",""),_xlpm.val,AU23,_xlpm.estVol,COUNTIF(AP36:AV36,_xlpm.unite)+COUNTIF(AP38:AV38,_xlpm.unite)&gt;0,_xlpm.estPoids,COUNTIF(AM36:AO36,_xlpm.unite)+COUNTIF(AM38:AO38,_xlpm.unite)&gt;0,IF(_xlpm.estVol,IF(ROUND(_xlpm.val,3)&gt;=1,ROUND(_xlpm.val,3)&amp;" L",MAX(1,ROUND(_xlpm.val*100,0))&amp;" cl"),IF(_xlpm.estPoids,IF(ROUND(_xlpm.val,3)&gt;=1,ROUND(_xlpm.val,3)&amp;" Kg",MAX(1,ROUND(_xlpm.val*1000,0))&amp;" g"),"")))</f>
        <v>100 g</v>
      </c>
      <c r="AY23" s="3">
        <v>1</v>
      </c>
    </row>
    <row r="24" spans="2:51" ht="27" customHeight="1">
      <c r="B24" s="104" t="str">
        <f t="shared" si="5"/>
        <v>A</v>
      </c>
      <c r="C24" s="32" t="str">
        <f>C16</f>
        <v>C Coquetiers de l'Antoine | | Auteur &gt; Guy KRENZE - Eric GODDYN - Arnaud NICOLAS - CEPROC 2002</v>
      </c>
      <c r="D24" s="33">
        <f>D16</f>
        <v>20</v>
      </c>
      <c r="E24" s="32" t="str">
        <f>E16</f>
        <v>coquetiers de 25 g</v>
      </c>
      <c r="F24" s="34" t="str">
        <f>F16</f>
        <v>Recette mère ► le Boudin en 4 déclinaisons</v>
      </c>
      <c r="G24" s="92"/>
      <c r="H24" s="108"/>
      <c r="I24" s="94" t="str">
        <f t="shared" si="2"/>
        <v/>
      </c>
      <c r="J24" s="95">
        <v>7</v>
      </c>
      <c r="K24" s="105" t="s">
        <v>99</v>
      </c>
      <c r="L24" s="127">
        <v>1</v>
      </c>
      <c r="M24" s="920" t="s">
        <v>12824</v>
      </c>
      <c r="N24" s="1494">
        <f>IF(OR(ISBLANK(G14),N14=0),0,G24*L15)</f>
        <v>0</v>
      </c>
      <c r="O24" s="101" cm="1">
        <f t="array" ref="O24">IFERROR(_xlfn.LET(_xlpm.k,UPPER(TRIM(K24)),_xlpm.r,_xlfn.XLOOKUP(_xlpm.k,UPPER(TRIM(G36:P36)),G37:P37,_xlfn.XLOOKUP(_xlpm.k,UPPER(TRIM(G38:P38)),G39:P39)),_xlpm.r*J24*L24*L15*IF(ISBLANK(G24),1,G24)),0)</f>
        <v>7.0000000000000001E-3</v>
      </c>
      <c r="P24" s="1476" t="str">
        <f>_xlfn.LET(_xlpm.unite,SUBSTITUTE(TRIM(K24)," (s)",""),_xlpm.val,O24,_xlpm.estVol,COUNTIF(J36:P36,_xlpm.unite)+COUNTIF(J38:P38,_xlpm.unite)&gt;0,_xlpm.estPoids,COUNTIF(G36:I36,_xlpm.unite)+COUNTIF(G38:I38,_xlpm.unite)&gt;0,IF(_xlpm.estVol,IF(ROUND(_xlpm.val,3)&gt;=1,ROUND(_xlpm.val,3)&amp;" L",MAX(1,ROUND(_xlpm.val*100,0))&amp;" cl"),IF(_xlpm.estPoids,IF(ROUND(_xlpm.val,3)&gt;=1,ROUND(_xlpm.val,3)&amp;" Kg",MAX(1,ROUND(_xlpm.val*1000,0))&amp;" g"),"")))</f>
        <v>7 g</v>
      </c>
      <c r="R24" s="104" t="str">
        <f t="shared" si="6"/>
        <v>A</v>
      </c>
      <c r="S24" s="32" t="str">
        <f>S16</f>
        <v>C Coquetiers de l'Antoine | |  Author &gt; Guy KRENZE - Eric GODDYN - Arnaud NICOLAS - CEPROC 2002</v>
      </c>
      <c r="T24" s="33">
        <f>T16</f>
        <v>20</v>
      </c>
      <c r="U24" s="32" t="str">
        <f>U16</f>
        <v>egg cups of 25 g</v>
      </c>
      <c r="V24" s="34" t="str">
        <f>V16</f>
        <v>Master recipe ► Black pudding in 4 variations</v>
      </c>
      <c r="W24" s="92"/>
      <c r="X24" s="108"/>
      <c r="Y24" s="94" t="str">
        <f t="shared" si="3"/>
        <v/>
      </c>
      <c r="Z24" s="95">
        <v>7</v>
      </c>
      <c r="AA24" s="105" t="s">
        <v>99</v>
      </c>
      <c r="AB24" s="127">
        <v>1</v>
      </c>
      <c r="AC24" s="920" t="s">
        <v>12876</v>
      </c>
      <c r="AD24" s="1494">
        <f>IF(OR(ISBLANK(W14),AD14=0),0,W24*AB15)</f>
        <v>0</v>
      </c>
      <c r="AE24" s="101" cm="1">
        <f t="array" ref="AE24">IFERROR(_xlfn.LET(_xlpm.k,UPPER(TRIM(AA24)),_xlpm.r,_xlfn.XLOOKUP(_xlpm.k,UPPER(TRIM(W36:AF36)),W37:AF37,_xlfn.XLOOKUP(_xlpm.k,UPPER(TRIM(W38:AF38)),W39:AF39)),_xlpm.r*Z24*AB24*AB15*IF(ISBLANK(W24),1,W24)),0)</f>
        <v>7.0000000000000001E-3</v>
      </c>
      <c r="AF24" s="1476" t="str">
        <f>_xlfn.LET(_xlpm.unite,SUBSTITUTE(TRIM(AA24)," (s)",""),_xlpm.val,AE24,_xlpm.estVol,COUNTIF(Z36:AF36,_xlpm.unite)+COUNTIF(Z38:AF38,_xlpm.unite)&gt;0,_xlpm.estPoids,COUNTIF(W36:Y36,_xlpm.unite)+COUNTIF(W38:Y38,_xlpm.unite)&gt;0,IF(_xlpm.estVol,IF(ROUND(_xlpm.val,3)&gt;=1,ROUND(_xlpm.val,3)&amp;" L",MAX(1,ROUND(_xlpm.val*100,0))&amp;" cl"),IF(_xlpm.estPoids,IF(ROUND(_xlpm.val,3)&gt;=1,ROUND(_xlpm.val,3)&amp;" Kg",MAX(1,ROUND(_xlpm.val*1000,0))&amp;" g"),"")))</f>
        <v>7 g</v>
      </c>
      <c r="AH24" s="104" t="str">
        <f t="shared" si="7"/>
        <v>A</v>
      </c>
      <c r="AI24" s="32" t="str">
        <f>AI16</f>
        <v>C Coquetiers de l'Antoine | | Autor &gt; Guy KRENZE - Eric GODDYN - Arnaud NICOLAS - CEPROC 2002</v>
      </c>
      <c r="AJ24" s="33">
        <f>AJ16</f>
        <v>18</v>
      </c>
      <c r="AK24" s="32" t="str">
        <f>AK16</f>
        <v>hueveras de 25 g</v>
      </c>
      <c r="AL24" s="34" t="str">
        <f>AL16</f>
        <v>Receta madre ► Morcilla en 4 versiones</v>
      </c>
      <c r="AM24" s="92"/>
      <c r="AN24" s="108"/>
      <c r="AO24" s="94" t="str">
        <f t="shared" si="4"/>
        <v/>
      </c>
      <c r="AP24" s="95">
        <v>7</v>
      </c>
      <c r="AQ24" s="105" t="s">
        <v>99</v>
      </c>
      <c r="AR24" s="127">
        <v>1</v>
      </c>
      <c r="AS24" s="920" t="s">
        <v>12877</v>
      </c>
      <c r="AT24" s="1494">
        <f>IF(OR(ISBLANK(AM14),AT14=0),0,AM24*AR15)</f>
        <v>0</v>
      </c>
      <c r="AU24" s="101" cm="1">
        <f t="array" ref="AU24">IFERROR(_xlfn.LET(_xlpm.k,UPPER(TRIM(AQ24)),_xlpm.r,_xlfn.XLOOKUP(_xlpm.k,UPPER(TRIM(AM36:AV36)),AM37:AV37,_xlfn.XLOOKUP(_xlpm.k,UPPER(TRIM(AM38:AV38)),AM39:AV39)),_xlpm.r*AP24*AR24*AR15*IF(ISBLANK(AM24),1,AM24)),0)</f>
        <v>1.4E-2</v>
      </c>
      <c r="AV24" s="1476" t="str">
        <f>_xlfn.LET(_xlpm.unite,SUBSTITUTE(TRIM(AQ24)," (s)",""),_xlpm.val,AU24,_xlpm.estVol,COUNTIF(AP36:AV36,_xlpm.unite)+COUNTIF(AP38:AV38,_xlpm.unite)&gt;0,_xlpm.estPoids,COUNTIF(AM36:AO36,_xlpm.unite)+COUNTIF(AM38:AO38,_xlpm.unite)&gt;0,IF(_xlpm.estVol,IF(ROUND(_xlpm.val,3)&gt;=1,ROUND(_xlpm.val,3)&amp;" L",MAX(1,ROUND(_xlpm.val*100,0))&amp;" cl"),IF(_xlpm.estPoids,IF(ROUND(_xlpm.val,3)&gt;=1,ROUND(_xlpm.val,3)&amp;" Kg",MAX(1,ROUND(_xlpm.val*1000,0))&amp;" g"),"")))</f>
        <v>14 g</v>
      </c>
      <c r="AY24" s="3">
        <v>1</v>
      </c>
    </row>
    <row r="25" spans="2:51" ht="27" customHeight="1">
      <c r="B25" s="104" t="str">
        <f t="shared" si="5"/>
        <v>A</v>
      </c>
      <c r="C25" s="32" t="str">
        <f>C16</f>
        <v>C Coquetiers de l'Antoine | | Auteur &gt; Guy KRENZE - Eric GODDYN - Arnaud NICOLAS - CEPROC 2002</v>
      </c>
      <c r="D25" s="33">
        <f>D16</f>
        <v>20</v>
      </c>
      <c r="E25" s="32" t="str">
        <f>E16</f>
        <v>coquetiers de 25 g</v>
      </c>
      <c r="F25" s="34" t="str">
        <f>F16</f>
        <v>Recette mère ► le Boudin en 4 déclinaisons</v>
      </c>
      <c r="G25" s="92"/>
      <c r="H25" s="108"/>
      <c r="I25" s="94" t="str">
        <f t="shared" si="2"/>
        <v/>
      </c>
      <c r="J25" s="95">
        <v>20</v>
      </c>
      <c r="K25" s="105" t="s">
        <v>99</v>
      </c>
      <c r="L25" s="127">
        <v>1</v>
      </c>
      <c r="M25" s="920" t="s">
        <v>12825</v>
      </c>
      <c r="N25" s="1494">
        <f>IF(OR(ISBLANK(G14),N14=0),0,G25*L15)</f>
        <v>0</v>
      </c>
      <c r="O25" s="101" cm="1">
        <f t="array" ref="O25">IFERROR(_xlfn.LET(_xlpm.k,UPPER(TRIM(K25)),_xlpm.r,_xlfn.XLOOKUP(_xlpm.k,UPPER(TRIM(G36:P36)),G37:P37,_xlfn.XLOOKUP(_xlpm.k,UPPER(TRIM(G38:P38)),G39:P39)),_xlpm.r*J25*L25*L15*IF(ISBLANK(G25),1,G25)),0)</f>
        <v>0.02</v>
      </c>
      <c r="P25" s="1475" t="str">
        <f>_xlfn.LET(_xlpm.unite,SUBSTITUTE(TRIM(K25)," (s)",""),_xlpm.val,O25,_xlpm.estVol,COUNTIF(J36:P36,_xlpm.unite)+COUNTIF(J38:P38,_xlpm.unite)&gt;0,_xlpm.estPoids,COUNTIF(G36:I36,_xlpm.unite)+COUNTIF(G38:I38,_xlpm.unite)&gt;0,IF(_xlpm.estVol,IF(ROUND(_xlpm.val,3)&gt;=1,ROUND(_xlpm.val,3)&amp;" L",MAX(1,ROUND(_xlpm.val*100,0))&amp;" cl"),IF(_xlpm.estPoids,IF(ROUND(_xlpm.val,3)&gt;=1,ROUND(_xlpm.val,3)&amp;" Kg",MAX(1,ROUND(_xlpm.val*1000,0))&amp;" g"),"")))</f>
        <v>20 g</v>
      </c>
      <c r="R25" s="104" t="str">
        <f t="shared" si="6"/>
        <v>A</v>
      </c>
      <c r="S25" s="32" t="str">
        <f>S16</f>
        <v>C Coquetiers de l'Antoine | |  Author &gt; Guy KRENZE - Eric GODDYN - Arnaud NICOLAS - CEPROC 2002</v>
      </c>
      <c r="T25" s="33">
        <f>T16</f>
        <v>20</v>
      </c>
      <c r="U25" s="32" t="str">
        <f>U16</f>
        <v>egg cups of 25 g</v>
      </c>
      <c r="V25" s="34" t="str">
        <f>V16</f>
        <v>Master recipe ► Black pudding in 4 variations</v>
      </c>
      <c r="W25" s="92"/>
      <c r="X25" s="108"/>
      <c r="Y25" s="94" t="str">
        <f t="shared" si="3"/>
        <v/>
      </c>
      <c r="Z25" s="95">
        <v>20</v>
      </c>
      <c r="AA25" s="105" t="s">
        <v>99</v>
      </c>
      <c r="AB25" s="127">
        <v>1</v>
      </c>
      <c r="AC25" s="920" t="s">
        <v>12878</v>
      </c>
      <c r="AD25" s="1494">
        <f>IF(OR(ISBLANK(W14),AD14=0),0,W25*AB15)</f>
        <v>0</v>
      </c>
      <c r="AE25" s="101" cm="1">
        <f t="array" ref="AE25">IFERROR(_xlfn.LET(_xlpm.k,UPPER(TRIM(AA25)),_xlpm.r,_xlfn.XLOOKUP(_xlpm.k,UPPER(TRIM(W36:AF36)),W37:AF37,_xlfn.XLOOKUP(_xlpm.k,UPPER(TRIM(W38:AF38)),W39:AF39)),_xlpm.r*Z25*AB25*AB15*IF(ISBLANK(W25),1,W25)),0)</f>
        <v>0.02</v>
      </c>
      <c r="AF25" s="1475" t="str">
        <f>_xlfn.LET(_xlpm.unite,SUBSTITUTE(TRIM(AA25)," (s)",""),_xlpm.val,AE25,_xlpm.estVol,COUNTIF(Z36:AF36,_xlpm.unite)+COUNTIF(Z38:AF38,_xlpm.unite)&gt;0,_xlpm.estPoids,COUNTIF(W36:Y36,_xlpm.unite)+COUNTIF(W38:Y38,_xlpm.unite)&gt;0,IF(_xlpm.estVol,IF(ROUND(_xlpm.val,3)&gt;=1,ROUND(_xlpm.val,3)&amp;" L",MAX(1,ROUND(_xlpm.val*100,0))&amp;" cl"),IF(_xlpm.estPoids,IF(ROUND(_xlpm.val,3)&gt;=1,ROUND(_xlpm.val,3)&amp;" Kg",MAX(1,ROUND(_xlpm.val*1000,0))&amp;" g"),"")))</f>
        <v>20 g</v>
      </c>
      <c r="AH25" s="104" t="str">
        <f t="shared" si="7"/>
        <v>A</v>
      </c>
      <c r="AI25" s="32" t="str">
        <f>AI16</f>
        <v>C Coquetiers de l'Antoine | | Autor &gt; Guy KRENZE - Eric GODDYN - Arnaud NICOLAS - CEPROC 2002</v>
      </c>
      <c r="AJ25" s="33">
        <f>AJ16</f>
        <v>18</v>
      </c>
      <c r="AK25" s="32" t="str">
        <f>AK16</f>
        <v>hueveras de 25 g</v>
      </c>
      <c r="AL25" s="34" t="str">
        <f>AL16</f>
        <v>Receta madre ► Morcilla en 4 versiones</v>
      </c>
      <c r="AM25" s="92"/>
      <c r="AN25" s="108"/>
      <c r="AO25" s="94" t="str">
        <f t="shared" si="4"/>
        <v/>
      </c>
      <c r="AP25" s="95">
        <v>20</v>
      </c>
      <c r="AQ25" s="105" t="s">
        <v>99</v>
      </c>
      <c r="AR25" s="127">
        <v>1</v>
      </c>
      <c r="AS25" s="920" t="s">
        <v>12879</v>
      </c>
      <c r="AT25" s="1494">
        <f>IF(OR(ISBLANK(AM14),AT14=0),0,AM25*AR15)</f>
        <v>0</v>
      </c>
      <c r="AU25" s="101" cm="1">
        <f t="array" ref="AU25">IFERROR(_xlfn.LET(_xlpm.k,UPPER(TRIM(AQ25)),_xlpm.r,_xlfn.XLOOKUP(_xlpm.k,UPPER(TRIM(AM36:AV36)),AM37:AV37,_xlfn.XLOOKUP(_xlpm.k,UPPER(TRIM(AM38:AV38)),AM39:AV39)),_xlpm.r*AP25*AR25*AR15*IF(ISBLANK(AM25),1,AM25)),0)</f>
        <v>0.04</v>
      </c>
      <c r="AV25" s="1475" t="str">
        <f>_xlfn.LET(_xlpm.unite,SUBSTITUTE(TRIM(AQ25)," (s)",""),_xlpm.val,AU25,_xlpm.estVol,COUNTIF(AP36:AV36,_xlpm.unite)+COUNTIF(AP38:AV38,_xlpm.unite)&gt;0,_xlpm.estPoids,COUNTIF(AM36:AO36,_xlpm.unite)+COUNTIF(AM38:AO38,_xlpm.unite)&gt;0,IF(_xlpm.estVol,IF(ROUND(_xlpm.val,3)&gt;=1,ROUND(_xlpm.val,3)&amp;" L",MAX(1,ROUND(_xlpm.val*100,0))&amp;" cl"),IF(_xlpm.estPoids,IF(ROUND(_xlpm.val,3)&gt;=1,ROUND(_xlpm.val,3)&amp;" Kg",MAX(1,ROUND(_xlpm.val*1000,0))&amp;" g"),"")))</f>
        <v>40 g</v>
      </c>
      <c r="AY25" s="3">
        <v>1</v>
      </c>
    </row>
    <row r="26" spans="2:51" ht="27" customHeight="1">
      <c r="B26" s="104" t="str">
        <f t="shared" si="5"/>
        <v>A</v>
      </c>
      <c r="C26" s="32" t="str">
        <f>C16</f>
        <v>C Coquetiers de l'Antoine | | Auteur &gt; Guy KRENZE - Eric GODDYN - Arnaud NICOLAS - CEPROC 2002</v>
      </c>
      <c r="D26" s="33">
        <f>D16</f>
        <v>20</v>
      </c>
      <c r="E26" s="32" t="str">
        <f>E16</f>
        <v>coquetiers de 25 g</v>
      </c>
      <c r="F26" s="34" t="str">
        <f>F16</f>
        <v>Recette mère ► le Boudin en 4 déclinaisons</v>
      </c>
      <c r="G26" s="92"/>
      <c r="H26" s="108"/>
      <c r="I26" s="94" t="str">
        <f t="shared" si="2"/>
        <v/>
      </c>
      <c r="J26" s="95">
        <v>300</v>
      </c>
      <c r="K26" s="105" t="s">
        <v>99</v>
      </c>
      <c r="L26" s="127">
        <v>1</v>
      </c>
      <c r="M26" s="920" t="s">
        <v>12826</v>
      </c>
      <c r="N26" s="1494">
        <f>IF(OR(ISBLANK(G14),N14=0),0,G26*L15)</f>
        <v>0</v>
      </c>
      <c r="O26" s="101" cm="1">
        <f t="array" ref="O26">IFERROR(_xlfn.LET(_xlpm.k,UPPER(TRIM(K26)),_xlpm.r,_xlfn.XLOOKUP(_xlpm.k,UPPER(TRIM(G36:P36)),G37:P37,_xlfn.XLOOKUP(_xlpm.k,UPPER(TRIM(G38:P38)),G39:P39)),_xlpm.r*J26*L26*L15*IF(ISBLANK(G26),1,G26)),0)</f>
        <v>0.3</v>
      </c>
      <c r="P26" s="1476" t="str">
        <f>_xlfn.LET(_xlpm.unite,SUBSTITUTE(TRIM(K26)," (s)",""),_xlpm.val,O26,_xlpm.estVol,COUNTIF(J36:P36,_xlpm.unite)+COUNTIF(J38:P38,_xlpm.unite)&gt;0,_xlpm.estPoids,COUNTIF(G36:I36,_xlpm.unite)+COUNTIF(G38:I38,_xlpm.unite)&gt;0,IF(_xlpm.estVol,IF(ROUND(_xlpm.val,3)&gt;=1,ROUND(_xlpm.val,3)&amp;" L",MAX(1,ROUND(_xlpm.val*100,0))&amp;" cl"),IF(_xlpm.estPoids,IF(ROUND(_xlpm.val,3)&gt;=1,ROUND(_xlpm.val,3)&amp;" Kg",MAX(1,ROUND(_xlpm.val*1000,0))&amp;" g"),"")))</f>
        <v>300 g</v>
      </c>
      <c r="R26" s="104" t="str">
        <f t="shared" si="6"/>
        <v>A</v>
      </c>
      <c r="S26" s="32" t="str">
        <f>S16</f>
        <v>C Coquetiers de l'Antoine | |  Author &gt; Guy KRENZE - Eric GODDYN - Arnaud NICOLAS - CEPROC 2002</v>
      </c>
      <c r="T26" s="33">
        <f>T16</f>
        <v>20</v>
      </c>
      <c r="U26" s="32" t="str">
        <f>U16</f>
        <v>egg cups of 25 g</v>
      </c>
      <c r="V26" s="34" t="str">
        <f>V16</f>
        <v>Master recipe ► Black pudding in 4 variations</v>
      </c>
      <c r="W26" s="92"/>
      <c r="X26" s="108"/>
      <c r="Y26" s="94" t="str">
        <f t="shared" si="3"/>
        <v/>
      </c>
      <c r="Z26" s="95">
        <v>300</v>
      </c>
      <c r="AA26" s="105" t="s">
        <v>99</v>
      </c>
      <c r="AB26" s="127">
        <v>1</v>
      </c>
      <c r="AC26" s="920" t="s">
        <v>12880</v>
      </c>
      <c r="AD26" s="1494">
        <f>IF(OR(ISBLANK(W14),AD14=0),0,W26*AB15)</f>
        <v>0</v>
      </c>
      <c r="AE26" s="101" cm="1">
        <f t="array" ref="AE26">IFERROR(_xlfn.LET(_xlpm.k,UPPER(TRIM(AA26)),_xlpm.r,_xlfn.XLOOKUP(_xlpm.k,UPPER(TRIM(W36:AF36)),W37:AF37,_xlfn.XLOOKUP(_xlpm.k,UPPER(TRIM(W38:AF38)),W39:AF39)),_xlpm.r*Z26*AB26*AB15*IF(ISBLANK(W26),1,W26)),0)</f>
        <v>0.3</v>
      </c>
      <c r="AF26" s="1476" t="str">
        <f>_xlfn.LET(_xlpm.unite,SUBSTITUTE(TRIM(AA26)," (s)",""),_xlpm.val,AE26,_xlpm.estVol,COUNTIF(Z36:AF36,_xlpm.unite)+COUNTIF(Z38:AF38,_xlpm.unite)&gt;0,_xlpm.estPoids,COUNTIF(W36:Y36,_xlpm.unite)+COUNTIF(W38:Y38,_xlpm.unite)&gt;0,IF(_xlpm.estVol,IF(ROUND(_xlpm.val,3)&gt;=1,ROUND(_xlpm.val,3)&amp;" L",MAX(1,ROUND(_xlpm.val*100,0))&amp;" cl"),IF(_xlpm.estPoids,IF(ROUND(_xlpm.val,3)&gt;=1,ROUND(_xlpm.val,3)&amp;" Kg",MAX(1,ROUND(_xlpm.val*1000,0))&amp;" g"),"")))</f>
        <v>300 g</v>
      </c>
      <c r="AH26" s="104" t="str">
        <f t="shared" si="7"/>
        <v>A</v>
      </c>
      <c r="AI26" s="32" t="str">
        <f>AI16</f>
        <v>C Coquetiers de l'Antoine | | Autor &gt; Guy KRENZE - Eric GODDYN - Arnaud NICOLAS - CEPROC 2002</v>
      </c>
      <c r="AJ26" s="33">
        <f>AJ16</f>
        <v>18</v>
      </c>
      <c r="AK26" s="32" t="str">
        <f>AK16</f>
        <v>hueveras de 25 g</v>
      </c>
      <c r="AL26" s="34" t="str">
        <f>AL16</f>
        <v>Receta madre ► Morcilla en 4 versiones</v>
      </c>
      <c r="AM26" s="92"/>
      <c r="AN26" s="108"/>
      <c r="AO26" s="94" t="str">
        <f t="shared" si="4"/>
        <v/>
      </c>
      <c r="AP26" s="95">
        <v>300</v>
      </c>
      <c r="AQ26" s="105" t="s">
        <v>99</v>
      </c>
      <c r="AR26" s="127">
        <v>1</v>
      </c>
      <c r="AS26" s="920" t="s">
        <v>12881</v>
      </c>
      <c r="AT26" s="1494">
        <f>IF(OR(ISBLANK(AM14),AT14=0),0,AM26*AR15)</f>
        <v>0</v>
      </c>
      <c r="AU26" s="101" cm="1">
        <f t="array" ref="AU26">IFERROR(_xlfn.LET(_xlpm.k,UPPER(TRIM(AQ26)),_xlpm.r,_xlfn.XLOOKUP(_xlpm.k,UPPER(TRIM(AM36:AV36)),AM37:AV37,_xlfn.XLOOKUP(_xlpm.k,UPPER(TRIM(AM38:AV38)),AM39:AV39)),_xlpm.r*AP26*AR26*AR15*IF(ISBLANK(AM26),1,AM26)),0)</f>
        <v>0.6</v>
      </c>
      <c r="AV26" s="1476" t="str">
        <f>_xlfn.LET(_xlpm.unite,SUBSTITUTE(TRIM(AQ26)," (s)",""),_xlpm.val,AU26,_xlpm.estVol,COUNTIF(AP36:AV36,_xlpm.unite)+COUNTIF(AP38:AV38,_xlpm.unite)&gt;0,_xlpm.estPoids,COUNTIF(AM36:AO36,_xlpm.unite)+COUNTIF(AM38:AO38,_xlpm.unite)&gt;0,IF(_xlpm.estVol,IF(ROUND(_xlpm.val,3)&gt;=1,ROUND(_xlpm.val,3)&amp;" L",MAX(1,ROUND(_xlpm.val*100,0))&amp;" cl"),IF(_xlpm.estPoids,IF(ROUND(_xlpm.val,3)&gt;=1,ROUND(_xlpm.val,3)&amp;" Kg",MAX(1,ROUND(_xlpm.val*1000,0))&amp;" g"),"")))</f>
        <v>600 g</v>
      </c>
      <c r="AY26" s="3">
        <v>1</v>
      </c>
    </row>
    <row r="27" spans="2:51" ht="27" customHeight="1">
      <c r="B27" s="104" t="str">
        <f t="shared" si="5"/>
        <v>A</v>
      </c>
      <c r="C27" s="32" t="str">
        <f>C16</f>
        <v>C Coquetiers de l'Antoine | | Auteur &gt; Guy KRENZE - Eric GODDYN - Arnaud NICOLAS - CEPROC 2002</v>
      </c>
      <c r="D27" s="33">
        <f>D16</f>
        <v>20</v>
      </c>
      <c r="E27" s="32" t="str">
        <f>E16</f>
        <v>coquetiers de 25 g</v>
      </c>
      <c r="F27" s="34" t="str">
        <f>F16</f>
        <v>Recette mère ► le Boudin en 4 déclinaisons</v>
      </c>
      <c r="G27" s="92"/>
      <c r="H27" s="108"/>
      <c r="I27" s="94" t="str">
        <f t="shared" si="2"/>
        <v/>
      </c>
      <c r="J27" s="95">
        <v>2</v>
      </c>
      <c r="K27" s="105" t="s">
        <v>99</v>
      </c>
      <c r="L27" s="127">
        <v>1</v>
      </c>
      <c r="M27" s="920" t="s">
        <v>12827</v>
      </c>
      <c r="N27" s="1494">
        <f>IF(OR(ISBLANK(G14),N14=0),0,G27*L15)</f>
        <v>0</v>
      </c>
      <c r="O27" s="101" cm="1">
        <f t="array" ref="O27">IFERROR(_xlfn.LET(_xlpm.k,UPPER(TRIM(K27)),_xlpm.r,_xlfn.XLOOKUP(_xlpm.k,UPPER(TRIM(G36:P36)),G37:P37,_xlfn.XLOOKUP(_xlpm.k,UPPER(TRIM(G38:P38)),G39:P39)),_xlpm.r*J27*L27*L15*IF(ISBLANK(G27),1,G27)),0)</f>
        <v>2E-3</v>
      </c>
      <c r="P27" s="1475" t="str">
        <f>_xlfn.LET(_xlpm.unite,SUBSTITUTE(TRIM(K27)," (s)",""),_xlpm.val,O27,_xlpm.estVol,COUNTIF(J36:P36,_xlpm.unite)+COUNTIF(J38:P38,_xlpm.unite)&gt;0,_xlpm.estPoids,COUNTIF(G36:I36,_xlpm.unite)+COUNTIF(G38:I38,_xlpm.unite)&gt;0,IF(_xlpm.estVol,IF(ROUND(_xlpm.val,3)&gt;=1,ROUND(_xlpm.val,3)&amp;" L",MAX(1,ROUND(_xlpm.val*100,0))&amp;" cl"),IF(_xlpm.estPoids,IF(ROUND(_xlpm.val,3)&gt;=1,ROUND(_xlpm.val,3)&amp;" Kg",MAX(1,ROUND(_xlpm.val*1000,0))&amp;" g"),"")))</f>
        <v>2 g</v>
      </c>
      <c r="R27" s="104" t="str">
        <f t="shared" si="6"/>
        <v>A</v>
      </c>
      <c r="S27" s="32" t="str">
        <f>S16</f>
        <v>C Coquetiers de l'Antoine | |  Author &gt; Guy KRENZE - Eric GODDYN - Arnaud NICOLAS - CEPROC 2002</v>
      </c>
      <c r="T27" s="33">
        <f>T16</f>
        <v>20</v>
      </c>
      <c r="U27" s="32" t="str">
        <f>U16</f>
        <v>egg cups of 25 g</v>
      </c>
      <c r="V27" s="34" t="str">
        <f>V16</f>
        <v>Master recipe ► Black pudding in 4 variations</v>
      </c>
      <c r="W27" s="92"/>
      <c r="X27" s="108"/>
      <c r="Y27" s="94" t="str">
        <f t="shared" si="3"/>
        <v/>
      </c>
      <c r="Z27" s="95">
        <v>2</v>
      </c>
      <c r="AA27" s="105" t="s">
        <v>99</v>
      </c>
      <c r="AB27" s="127">
        <v>1</v>
      </c>
      <c r="AC27" s="920" t="s">
        <v>12882</v>
      </c>
      <c r="AD27" s="1494">
        <f>IF(OR(ISBLANK(W14),AD14=0),0,W27*AB15)</f>
        <v>0</v>
      </c>
      <c r="AE27" s="101" cm="1">
        <f t="array" ref="AE27">IFERROR(_xlfn.LET(_xlpm.k,UPPER(TRIM(AA27)),_xlpm.r,_xlfn.XLOOKUP(_xlpm.k,UPPER(TRIM(W36:AF36)),W37:AF37,_xlfn.XLOOKUP(_xlpm.k,UPPER(TRIM(W38:AF38)),W39:AF39)),_xlpm.r*Z27*AB27*AB15*IF(ISBLANK(W27),1,W27)),0)</f>
        <v>2E-3</v>
      </c>
      <c r="AF27" s="1475" t="str">
        <f>_xlfn.LET(_xlpm.unite,SUBSTITUTE(TRIM(AA27)," (s)",""),_xlpm.val,AE27,_xlpm.estVol,COUNTIF(Z36:AF36,_xlpm.unite)+COUNTIF(Z38:AF38,_xlpm.unite)&gt;0,_xlpm.estPoids,COUNTIF(W36:Y36,_xlpm.unite)+COUNTIF(W38:Y38,_xlpm.unite)&gt;0,IF(_xlpm.estVol,IF(ROUND(_xlpm.val,3)&gt;=1,ROUND(_xlpm.val,3)&amp;" L",MAX(1,ROUND(_xlpm.val*100,0))&amp;" cl"),IF(_xlpm.estPoids,IF(ROUND(_xlpm.val,3)&gt;=1,ROUND(_xlpm.val,3)&amp;" Kg",MAX(1,ROUND(_xlpm.val*1000,0))&amp;" g"),"")))</f>
        <v>2 g</v>
      </c>
      <c r="AH27" s="104" t="str">
        <f t="shared" si="7"/>
        <v>A</v>
      </c>
      <c r="AI27" s="32" t="str">
        <f>AI16</f>
        <v>C Coquetiers de l'Antoine | | Autor &gt; Guy KRENZE - Eric GODDYN - Arnaud NICOLAS - CEPROC 2002</v>
      </c>
      <c r="AJ27" s="33">
        <f>AJ16</f>
        <v>18</v>
      </c>
      <c r="AK27" s="32" t="str">
        <f>AK16</f>
        <v>hueveras de 25 g</v>
      </c>
      <c r="AL27" s="34" t="str">
        <f>AL16</f>
        <v>Receta madre ► Morcilla en 4 versiones</v>
      </c>
      <c r="AM27" s="92"/>
      <c r="AN27" s="108"/>
      <c r="AO27" s="94" t="str">
        <f t="shared" si="4"/>
        <v/>
      </c>
      <c r="AP27" s="95">
        <v>2</v>
      </c>
      <c r="AQ27" s="105" t="s">
        <v>99</v>
      </c>
      <c r="AR27" s="127">
        <v>1</v>
      </c>
      <c r="AS27" s="920" t="s">
        <v>12883</v>
      </c>
      <c r="AT27" s="1494">
        <f>IF(OR(ISBLANK(AM14),AT14=0),0,AM27*AR15)</f>
        <v>0</v>
      </c>
      <c r="AU27" s="101" cm="1">
        <f t="array" ref="AU27">IFERROR(_xlfn.LET(_xlpm.k,UPPER(TRIM(AQ27)),_xlpm.r,_xlfn.XLOOKUP(_xlpm.k,UPPER(TRIM(AM36:AV36)),AM37:AV37,_xlfn.XLOOKUP(_xlpm.k,UPPER(TRIM(AM38:AV38)),AM39:AV39)),_xlpm.r*AP27*AR27*AR15*IF(ISBLANK(AM27),1,AM27)),0)</f>
        <v>4.0000000000000001E-3</v>
      </c>
      <c r="AV27" s="1475" t="str">
        <f>_xlfn.LET(_xlpm.unite,SUBSTITUTE(TRIM(AQ27)," (s)",""),_xlpm.val,AU27,_xlpm.estVol,COUNTIF(AP36:AV36,_xlpm.unite)+COUNTIF(AP38:AV38,_xlpm.unite)&gt;0,_xlpm.estPoids,COUNTIF(AM36:AO36,_xlpm.unite)+COUNTIF(AM38:AO38,_xlpm.unite)&gt;0,IF(_xlpm.estVol,IF(ROUND(_xlpm.val,3)&gt;=1,ROUND(_xlpm.val,3)&amp;" L",MAX(1,ROUND(_xlpm.val*100,0))&amp;" cl"),IF(_xlpm.estPoids,IF(ROUND(_xlpm.val,3)&gt;=1,ROUND(_xlpm.val,3)&amp;" Kg",MAX(1,ROUND(_xlpm.val*1000,0))&amp;" g"),"")))</f>
        <v>4 g</v>
      </c>
      <c r="AY27" s="3">
        <v>1</v>
      </c>
    </row>
    <row r="28" spans="2:51" ht="27" customHeight="1">
      <c r="B28" s="104" t="str">
        <f t="shared" si="5"/>
        <v>A</v>
      </c>
      <c r="C28" s="32" t="str">
        <f>C16</f>
        <v>C Coquetiers de l'Antoine | | Auteur &gt; Guy KRENZE - Eric GODDYN - Arnaud NICOLAS - CEPROC 2002</v>
      </c>
      <c r="D28" s="33">
        <f>D16</f>
        <v>20</v>
      </c>
      <c r="E28" s="32" t="str">
        <f>E16</f>
        <v>coquetiers de 25 g</v>
      </c>
      <c r="F28" s="34" t="str">
        <f>F16</f>
        <v>Recette mère ► le Boudin en 4 déclinaisons</v>
      </c>
      <c r="G28" s="92"/>
      <c r="H28" s="108"/>
      <c r="I28" s="94" t="str">
        <f t="shared" si="2"/>
        <v/>
      </c>
      <c r="J28" s="95">
        <v>7</v>
      </c>
      <c r="K28" s="105" t="s">
        <v>99</v>
      </c>
      <c r="L28" s="127">
        <v>1</v>
      </c>
      <c r="M28" s="920" t="s">
        <v>8947</v>
      </c>
      <c r="N28" s="1494">
        <f>IF(OR(ISBLANK(G14),N14=0),0,G28*L15)</f>
        <v>0</v>
      </c>
      <c r="O28" s="101" cm="1">
        <f t="array" ref="O28">IFERROR(_xlfn.LET(_xlpm.k,UPPER(TRIM(K28)),_xlpm.r,_xlfn.XLOOKUP(_xlpm.k,UPPER(TRIM(G36:P36)),G37:P37,_xlfn.XLOOKUP(_xlpm.k,UPPER(TRIM(G38:P38)),G39:P39)),_xlpm.r*J28*L28*L15*IF(ISBLANK(G28),1,G28)),0)</f>
        <v>7.0000000000000001E-3</v>
      </c>
      <c r="P28" s="1476" t="str">
        <f>_xlfn.LET(_xlpm.unite,SUBSTITUTE(TRIM(K28)," (s)",""),_xlpm.val,O28,_xlpm.estVol,COUNTIF(J36:P36,_xlpm.unite)+COUNTIF(J38:P38,_xlpm.unite)&gt;0,_xlpm.estPoids,COUNTIF(G36:I36,_xlpm.unite)+COUNTIF(G38:I38,_xlpm.unite)&gt;0,IF(_xlpm.estVol,IF(ROUND(_xlpm.val,3)&gt;=1,ROUND(_xlpm.val,3)&amp;" L",MAX(1,ROUND(_xlpm.val*100,0))&amp;" cl"),IF(_xlpm.estPoids,IF(ROUND(_xlpm.val,3)&gt;=1,ROUND(_xlpm.val,3)&amp;" Kg",MAX(1,ROUND(_xlpm.val*1000,0))&amp;" g"),"")))</f>
        <v>7 g</v>
      </c>
      <c r="R28" s="104" t="str">
        <f t="shared" si="6"/>
        <v>A</v>
      </c>
      <c r="S28" s="32" t="str">
        <f>S16</f>
        <v>C Coquetiers de l'Antoine | |  Author &gt; Guy KRENZE - Eric GODDYN - Arnaud NICOLAS - CEPROC 2002</v>
      </c>
      <c r="T28" s="33">
        <f>T16</f>
        <v>20</v>
      </c>
      <c r="U28" s="32" t="str">
        <f>U16</f>
        <v>egg cups of 25 g</v>
      </c>
      <c r="V28" s="34" t="str">
        <f>V16</f>
        <v>Master recipe ► Black pudding in 4 variations</v>
      </c>
      <c r="W28" s="92"/>
      <c r="X28" s="108"/>
      <c r="Y28" s="94" t="str">
        <f t="shared" si="3"/>
        <v/>
      </c>
      <c r="Z28" s="95">
        <v>7</v>
      </c>
      <c r="AA28" s="105" t="s">
        <v>99</v>
      </c>
      <c r="AB28" s="127">
        <v>1</v>
      </c>
      <c r="AC28" s="920" t="s">
        <v>12884</v>
      </c>
      <c r="AD28" s="1494">
        <f>IF(OR(ISBLANK(W14),AD14=0),0,W28*AB15)</f>
        <v>0</v>
      </c>
      <c r="AE28" s="101" cm="1">
        <f t="array" ref="AE28">IFERROR(_xlfn.LET(_xlpm.k,UPPER(TRIM(AA28)),_xlpm.r,_xlfn.XLOOKUP(_xlpm.k,UPPER(TRIM(W36:AF36)),W37:AF37,_xlfn.XLOOKUP(_xlpm.k,UPPER(TRIM(W38:AF38)),W39:AF39)),_xlpm.r*Z28*AB28*AB15*IF(ISBLANK(W28),1,W28)),0)</f>
        <v>7.0000000000000001E-3</v>
      </c>
      <c r="AF28" s="1476" t="str">
        <f>_xlfn.LET(_xlpm.unite,SUBSTITUTE(TRIM(AA28)," (s)",""),_xlpm.val,AE28,_xlpm.estVol,COUNTIF(Z36:AF36,_xlpm.unite)+COUNTIF(Z38:AF38,_xlpm.unite)&gt;0,_xlpm.estPoids,COUNTIF(W36:Y36,_xlpm.unite)+COUNTIF(W38:Y38,_xlpm.unite)&gt;0,IF(_xlpm.estVol,IF(ROUND(_xlpm.val,3)&gt;=1,ROUND(_xlpm.val,3)&amp;" L",MAX(1,ROUND(_xlpm.val*100,0))&amp;" cl"),IF(_xlpm.estPoids,IF(ROUND(_xlpm.val,3)&gt;=1,ROUND(_xlpm.val,3)&amp;" Kg",MAX(1,ROUND(_xlpm.val*1000,0))&amp;" g"),"")))</f>
        <v>7 g</v>
      </c>
      <c r="AH28" s="104" t="str">
        <f t="shared" si="7"/>
        <v>A</v>
      </c>
      <c r="AI28" s="32" t="str">
        <f>AI16</f>
        <v>C Coquetiers de l'Antoine | | Autor &gt; Guy KRENZE - Eric GODDYN - Arnaud NICOLAS - CEPROC 2002</v>
      </c>
      <c r="AJ28" s="33">
        <f>AJ16</f>
        <v>18</v>
      </c>
      <c r="AK28" s="32" t="str">
        <f>AK16</f>
        <v>hueveras de 25 g</v>
      </c>
      <c r="AL28" s="34" t="str">
        <f>AL16</f>
        <v>Receta madre ► Morcilla en 4 versiones</v>
      </c>
      <c r="AM28" s="92"/>
      <c r="AN28" s="108"/>
      <c r="AO28" s="94" t="str">
        <f t="shared" si="4"/>
        <v/>
      </c>
      <c r="AP28" s="95">
        <v>7</v>
      </c>
      <c r="AQ28" s="105" t="s">
        <v>99</v>
      </c>
      <c r="AR28" s="127">
        <v>1</v>
      </c>
      <c r="AS28" s="920" t="s">
        <v>12885</v>
      </c>
      <c r="AT28" s="1494">
        <f>IF(OR(ISBLANK(AM14),AT14=0),0,AM28*AR15)</f>
        <v>0</v>
      </c>
      <c r="AU28" s="101" cm="1">
        <f t="array" ref="AU28">IFERROR(_xlfn.LET(_xlpm.k,UPPER(TRIM(AQ28)),_xlpm.r,_xlfn.XLOOKUP(_xlpm.k,UPPER(TRIM(AM36:AV36)),AM37:AV37,_xlfn.XLOOKUP(_xlpm.k,UPPER(TRIM(AM38:AV38)),AM39:AV39)),_xlpm.r*AP28*AR28*AR15*IF(ISBLANK(AM28),1,AM28)),0)</f>
        <v>1.4E-2</v>
      </c>
      <c r="AV28" s="1476" t="str">
        <f>_xlfn.LET(_xlpm.unite,SUBSTITUTE(TRIM(AQ28)," (s)",""),_xlpm.val,AU28,_xlpm.estVol,COUNTIF(AP36:AV36,_xlpm.unite)+COUNTIF(AP38:AV38,_xlpm.unite)&gt;0,_xlpm.estPoids,COUNTIF(AM36:AO36,_xlpm.unite)+COUNTIF(AM38:AO38,_xlpm.unite)&gt;0,IF(_xlpm.estVol,IF(ROUND(_xlpm.val,3)&gt;=1,ROUND(_xlpm.val,3)&amp;" L",MAX(1,ROUND(_xlpm.val*100,0))&amp;" cl"),IF(_xlpm.estPoids,IF(ROUND(_xlpm.val,3)&gt;=1,ROUND(_xlpm.val,3)&amp;" Kg",MAX(1,ROUND(_xlpm.val*1000,0))&amp;" g"),"")))</f>
        <v>14 g</v>
      </c>
      <c r="AY28" s="3">
        <v>1</v>
      </c>
    </row>
    <row r="29" spans="2:51" ht="27" customHeight="1">
      <c r="B29" s="104" t="str">
        <f t="shared" si="5"/>
        <v>A</v>
      </c>
      <c r="C29" s="32" t="str">
        <f>C16</f>
        <v>C Coquetiers de l'Antoine | | Auteur &gt; Guy KRENZE - Eric GODDYN - Arnaud NICOLAS - CEPROC 2002</v>
      </c>
      <c r="D29" s="33">
        <f>D16</f>
        <v>20</v>
      </c>
      <c r="E29" s="32" t="str">
        <f>E16</f>
        <v>coquetiers de 25 g</v>
      </c>
      <c r="F29" s="34" t="str">
        <f>F16</f>
        <v>Recette mère ► le Boudin en 4 déclinaisons</v>
      </c>
      <c r="G29" s="92"/>
      <c r="H29" s="108"/>
      <c r="I29" s="94" t="str">
        <f t="shared" si="2"/>
        <v/>
      </c>
      <c r="J29" s="95"/>
      <c r="K29" s="126"/>
      <c r="L29" s="127">
        <v>1</v>
      </c>
      <c r="M29" s="920" t="s">
        <v>12828</v>
      </c>
      <c r="N29" s="1494">
        <f>IF(OR(ISBLANK(G14),N14=0),0,G29*L15)</f>
        <v>0</v>
      </c>
      <c r="O29" s="101" cm="1">
        <f t="array" ref="O29">IFERROR(_xlfn.LET(_xlpm.k,UPPER(TRIM(K29)),_xlpm.r,_xlfn.XLOOKUP(_xlpm.k,UPPER(TRIM(G36:P36)),G37:P37,_xlfn.XLOOKUP(_xlpm.k,UPPER(TRIM(G38:P38)),G39:P39)),_xlpm.r*J29*L29*L15*IF(ISBLANK(G29),1,G29)),0)</f>
        <v>0</v>
      </c>
      <c r="P29" s="1475" t="str">
        <f>_xlfn.LET(_xlpm.unite,SUBSTITUTE(TRIM(K29)," (s)",""),_xlpm.val,O29,_xlpm.estVol,COUNTIF(J36:P36,_xlpm.unite)+COUNTIF(J38:P38,_xlpm.unite)&gt;0,_xlpm.estPoids,COUNTIF(G36:I36,_xlpm.unite)+COUNTIF(G38:I38,_xlpm.unite)&gt;0,IF(_xlpm.estVol,IF(ROUND(_xlpm.val,3)&gt;=1,ROUND(_xlpm.val,3)&amp;" L",MAX(1,ROUND(_xlpm.val*100,0))&amp;" cl"),IF(_xlpm.estPoids,IF(ROUND(_xlpm.val,3)&gt;=1,ROUND(_xlpm.val,3)&amp;" Kg",MAX(1,ROUND(_xlpm.val*1000,0))&amp;" g"),"")))</f>
        <v/>
      </c>
      <c r="R29" s="104" t="str">
        <f t="shared" si="6"/>
        <v>A</v>
      </c>
      <c r="S29" s="32" t="str">
        <f>S16</f>
        <v>C Coquetiers de l'Antoine | |  Author &gt; Guy KRENZE - Eric GODDYN - Arnaud NICOLAS - CEPROC 2002</v>
      </c>
      <c r="T29" s="33">
        <f>T16</f>
        <v>20</v>
      </c>
      <c r="U29" s="32" t="str">
        <f>U16</f>
        <v>egg cups of 25 g</v>
      </c>
      <c r="V29" s="34" t="str">
        <f>V16</f>
        <v>Master recipe ► Black pudding in 4 variations</v>
      </c>
      <c r="W29" s="92"/>
      <c r="X29" s="108"/>
      <c r="Y29" s="94" t="str">
        <f t="shared" si="3"/>
        <v/>
      </c>
      <c r="Z29" s="95"/>
      <c r="AA29" s="126"/>
      <c r="AB29" s="127">
        <v>1</v>
      </c>
      <c r="AC29" s="920" t="s">
        <v>12886</v>
      </c>
      <c r="AD29" s="1494">
        <f>IF(OR(ISBLANK(W14),AD14=0),0,W29*AB15)</f>
        <v>0</v>
      </c>
      <c r="AE29" s="101" cm="1">
        <f t="array" ref="AE29">IFERROR(_xlfn.LET(_xlpm.k,UPPER(TRIM(AA29)),_xlpm.r,_xlfn.XLOOKUP(_xlpm.k,UPPER(TRIM(W36:AF36)),W37:AF37,_xlfn.XLOOKUP(_xlpm.k,UPPER(TRIM(W38:AF38)),W39:AF39)),_xlpm.r*Z29*AB29*AB15*IF(ISBLANK(W29),1,W29)),0)</f>
        <v>0</v>
      </c>
      <c r="AF29" s="1475" t="str">
        <f>_xlfn.LET(_xlpm.unite,SUBSTITUTE(TRIM(AA29)," (s)",""),_xlpm.val,AE29,_xlpm.estVol,COUNTIF(Z36:AF36,_xlpm.unite)+COUNTIF(Z38:AF38,_xlpm.unite)&gt;0,_xlpm.estPoids,COUNTIF(W36:Y36,_xlpm.unite)+COUNTIF(W38:Y38,_xlpm.unite)&gt;0,IF(_xlpm.estVol,IF(ROUND(_xlpm.val,3)&gt;=1,ROUND(_xlpm.val,3)&amp;" L",MAX(1,ROUND(_xlpm.val*100,0))&amp;" cl"),IF(_xlpm.estPoids,IF(ROUND(_xlpm.val,3)&gt;=1,ROUND(_xlpm.val,3)&amp;" Kg",MAX(1,ROUND(_xlpm.val*1000,0))&amp;" g"),"")))</f>
        <v/>
      </c>
      <c r="AH29" s="104" t="str">
        <f t="shared" si="7"/>
        <v>A</v>
      </c>
      <c r="AI29" s="32" t="str">
        <f>AI16</f>
        <v>C Coquetiers de l'Antoine | | Autor &gt; Guy KRENZE - Eric GODDYN - Arnaud NICOLAS - CEPROC 2002</v>
      </c>
      <c r="AJ29" s="33">
        <f>AJ16</f>
        <v>18</v>
      </c>
      <c r="AK29" s="32" t="str">
        <f>AK16</f>
        <v>hueveras de 25 g</v>
      </c>
      <c r="AL29" s="34" t="str">
        <f>AL16</f>
        <v>Receta madre ► Morcilla en 4 versiones</v>
      </c>
      <c r="AM29" s="92"/>
      <c r="AN29" s="108"/>
      <c r="AO29" s="94" t="str">
        <f t="shared" si="4"/>
        <v/>
      </c>
      <c r="AP29" s="95"/>
      <c r="AQ29" s="126"/>
      <c r="AR29" s="127">
        <v>1</v>
      </c>
      <c r="AS29" s="920" t="s">
        <v>12887</v>
      </c>
      <c r="AT29" s="1494">
        <f>IF(OR(ISBLANK(AM14),AT14=0),0,AM29*AR15)</f>
        <v>0</v>
      </c>
      <c r="AU29" s="101" cm="1">
        <f t="array" ref="AU29">IFERROR(_xlfn.LET(_xlpm.k,UPPER(TRIM(AQ29)),_xlpm.r,_xlfn.XLOOKUP(_xlpm.k,UPPER(TRIM(AM36:AV36)),AM37:AV37,_xlfn.XLOOKUP(_xlpm.k,UPPER(TRIM(AM38:AV38)),AM39:AV39)),_xlpm.r*AP29*AR29*AR15*IF(ISBLANK(AM29),1,AM29)),0)</f>
        <v>0</v>
      </c>
      <c r="AV29" s="1475" t="str">
        <f>_xlfn.LET(_xlpm.unite,SUBSTITUTE(TRIM(AQ29)," (s)",""),_xlpm.val,AU29,_xlpm.estVol,COUNTIF(AP36:AV36,_xlpm.unite)+COUNTIF(AP38:AV38,_xlpm.unite)&gt;0,_xlpm.estPoids,COUNTIF(AM36:AO36,_xlpm.unite)+COUNTIF(AM38:AO38,_xlpm.unite)&gt;0,IF(_xlpm.estVol,IF(ROUND(_xlpm.val,3)&gt;=1,ROUND(_xlpm.val,3)&amp;" L",MAX(1,ROUND(_xlpm.val*100,0))&amp;" cl"),IF(_xlpm.estPoids,IF(ROUND(_xlpm.val,3)&gt;=1,ROUND(_xlpm.val,3)&amp;" Kg",MAX(1,ROUND(_xlpm.val*1000,0))&amp;" g"),"")))</f>
        <v/>
      </c>
      <c r="AY29" s="3">
        <v>1</v>
      </c>
    </row>
    <row r="30" spans="2:51" ht="27" customHeight="1">
      <c r="B30" s="104" t="str">
        <f t="shared" si="5"/>
        <v>A</v>
      </c>
      <c r="C30" s="32" t="str">
        <f>C16</f>
        <v>C Coquetiers de l'Antoine | | Auteur &gt; Guy KRENZE - Eric GODDYN - Arnaud NICOLAS - CEPROC 2002</v>
      </c>
      <c r="D30" s="33">
        <f>D16</f>
        <v>20</v>
      </c>
      <c r="E30" s="32" t="str">
        <f>E16</f>
        <v>coquetiers de 25 g</v>
      </c>
      <c r="F30" s="34" t="str">
        <f>F16</f>
        <v>Recette mère ► le Boudin en 4 déclinaisons</v>
      </c>
      <c r="G30" s="92"/>
      <c r="H30" s="108"/>
      <c r="I30" s="94" t="str">
        <f t="shared" si="2"/>
        <v/>
      </c>
      <c r="J30" s="95"/>
      <c r="K30" s="126"/>
      <c r="L30" s="127">
        <v>1</v>
      </c>
      <c r="M30" s="920" t="s">
        <v>12855</v>
      </c>
      <c r="N30" s="1494">
        <f>IF(OR(ISBLANK(G14),N14=0),0,G30*L15)</f>
        <v>0</v>
      </c>
      <c r="O30" s="101" cm="1">
        <f t="array" ref="O30">IFERROR(_xlfn.LET(_xlpm.k,UPPER(TRIM(K30)),_xlpm.r,_xlfn.XLOOKUP(_xlpm.k,UPPER(TRIM(G36:P36)),G37:P37,_xlfn.XLOOKUP(_xlpm.k,UPPER(TRIM(G38:P38)),G39:P39)),_xlpm.r*J30*L30*L15*IF(ISBLANK(G30),1,G30)),0)</f>
        <v>0</v>
      </c>
      <c r="P30" s="1476" t="str">
        <f>_xlfn.LET(_xlpm.unite,SUBSTITUTE(TRIM(K30)," (s)",""),_xlpm.val,O30,_xlpm.estVol,COUNTIF(J36:P36,_xlpm.unite)+COUNTIF(J38:P38,_xlpm.unite)&gt;0,_xlpm.estPoids,COUNTIF(G36:I36,_xlpm.unite)+COUNTIF(G38:I38,_xlpm.unite)&gt;0,IF(_xlpm.estVol,IF(ROUND(_xlpm.val,3)&gt;=1,ROUND(_xlpm.val,3)&amp;" L",MAX(1,ROUND(_xlpm.val*100,0))&amp;" cl"),IF(_xlpm.estPoids,IF(ROUND(_xlpm.val,3)&gt;=1,ROUND(_xlpm.val,3)&amp;" Kg",MAX(1,ROUND(_xlpm.val*1000,0))&amp;" g"),"")))</f>
        <v/>
      </c>
      <c r="R30" s="104" t="str">
        <f t="shared" si="6"/>
        <v>A</v>
      </c>
      <c r="S30" s="32" t="str">
        <f>S16</f>
        <v>C Coquetiers de l'Antoine | |  Author &gt; Guy KRENZE - Eric GODDYN - Arnaud NICOLAS - CEPROC 2002</v>
      </c>
      <c r="T30" s="33">
        <f>T16</f>
        <v>20</v>
      </c>
      <c r="U30" s="32" t="str">
        <f>U16</f>
        <v>egg cups of 25 g</v>
      </c>
      <c r="V30" s="34" t="str">
        <f>V16</f>
        <v>Master recipe ► Black pudding in 4 variations</v>
      </c>
      <c r="W30" s="92"/>
      <c r="X30" s="108"/>
      <c r="Y30" s="94" t="str">
        <f t="shared" si="3"/>
        <v/>
      </c>
      <c r="Z30" s="95"/>
      <c r="AA30" s="126"/>
      <c r="AB30" s="127">
        <v>1</v>
      </c>
      <c r="AC30" s="920" t="s">
        <v>12889</v>
      </c>
      <c r="AD30" s="1494">
        <f>IF(OR(ISBLANK(W14),AD14=0),0,W30*AB15)</f>
        <v>0</v>
      </c>
      <c r="AE30" s="101" cm="1">
        <f t="array" ref="AE30">IFERROR(_xlfn.LET(_xlpm.k,UPPER(TRIM(AA30)),_xlpm.r,_xlfn.XLOOKUP(_xlpm.k,UPPER(TRIM(W36:AF36)),W37:AF37,_xlfn.XLOOKUP(_xlpm.k,UPPER(TRIM(W38:AF38)),W39:AF39)),_xlpm.r*Z30*AB30*AB15*IF(ISBLANK(W30),1,W30)),0)</f>
        <v>0</v>
      </c>
      <c r="AF30" s="1476" t="str">
        <f>_xlfn.LET(_xlpm.unite,SUBSTITUTE(TRIM(AA30)," (s)",""),_xlpm.val,AE30,_xlpm.estVol,COUNTIF(Z36:AF36,_xlpm.unite)+COUNTIF(Z38:AF38,_xlpm.unite)&gt;0,_xlpm.estPoids,COUNTIF(W36:Y36,_xlpm.unite)+COUNTIF(W38:Y38,_xlpm.unite)&gt;0,IF(_xlpm.estVol,IF(ROUND(_xlpm.val,3)&gt;=1,ROUND(_xlpm.val,3)&amp;" L",MAX(1,ROUND(_xlpm.val*100,0))&amp;" cl"),IF(_xlpm.estPoids,IF(ROUND(_xlpm.val,3)&gt;=1,ROUND(_xlpm.val,3)&amp;" Kg",MAX(1,ROUND(_xlpm.val*1000,0))&amp;" g"),"")))</f>
        <v/>
      </c>
      <c r="AH30" s="104" t="str">
        <f t="shared" si="7"/>
        <v>A</v>
      </c>
      <c r="AI30" s="32" t="str">
        <f>AI16</f>
        <v>C Coquetiers de l'Antoine | | Autor &gt; Guy KRENZE - Eric GODDYN - Arnaud NICOLAS - CEPROC 2002</v>
      </c>
      <c r="AJ30" s="33">
        <f>AJ16</f>
        <v>18</v>
      </c>
      <c r="AK30" s="32" t="str">
        <f>AK16</f>
        <v>hueveras de 25 g</v>
      </c>
      <c r="AL30" s="34" t="str">
        <f>AL16</f>
        <v>Receta madre ► Morcilla en 4 versiones</v>
      </c>
      <c r="AM30" s="92"/>
      <c r="AN30" s="108"/>
      <c r="AO30" s="94" t="str">
        <f t="shared" si="4"/>
        <v/>
      </c>
      <c r="AP30" s="95"/>
      <c r="AQ30" s="126"/>
      <c r="AR30" s="127">
        <v>1</v>
      </c>
      <c r="AS30" s="920" t="s">
        <v>12890</v>
      </c>
      <c r="AT30" s="1494">
        <f>IF(OR(ISBLANK(AM14),AT14=0),0,AM30*AR15)</f>
        <v>0</v>
      </c>
      <c r="AU30" s="101" cm="1">
        <f t="array" ref="AU30">IFERROR(_xlfn.LET(_xlpm.k,UPPER(TRIM(AQ30)),_xlpm.r,_xlfn.XLOOKUP(_xlpm.k,UPPER(TRIM(AM36:AV36)),AM37:AV37,_xlfn.XLOOKUP(_xlpm.k,UPPER(TRIM(AM38:AV38)),AM39:AV39)),_xlpm.r*AP30*AR30*AR15*IF(ISBLANK(AM30),1,AM30)),0)</f>
        <v>0</v>
      </c>
      <c r="AV30" s="1476" t="str">
        <f>_xlfn.LET(_xlpm.unite,SUBSTITUTE(TRIM(AQ30)," (s)",""),_xlpm.val,AU30,_xlpm.estVol,COUNTIF(AP36:AV36,_xlpm.unite)+COUNTIF(AP38:AV38,_xlpm.unite)&gt;0,_xlpm.estPoids,COUNTIF(AM36:AO36,_xlpm.unite)+COUNTIF(AM38:AO38,_xlpm.unite)&gt;0,IF(_xlpm.estVol,IF(ROUND(_xlpm.val,3)&gt;=1,ROUND(_xlpm.val,3)&amp;" L",MAX(1,ROUND(_xlpm.val*100,0))&amp;" cl"),IF(_xlpm.estPoids,IF(ROUND(_xlpm.val,3)&gt;=1,ROUND(_xlpm.val,3)&amp;" Kg",MAX(1,ROUND(_xlpm.val*1000,0))&amp;" g"),"")))</f>
        <v/>
      </c>
      <c r="AY30" s="3">
        <v>1</v>
      </c>
    </row>
    <row r="31" spans="2:51" ht="27" customHeight="1">
      <c r="B31" s="104" t="str">
        <f t="shared" si="5"/>
        <v>A</v>
      </c>
      <c r="C31" s="32" t="str">
        <f>C16</f>
        <v>C Coquetiers de l'Antoine | | Auteur &gt; Guy KRENZE - Eric GODDYN - Arnaud NICOLAS - CEPROC 2002</v>
      </c>
      <c r="D31" s="33">
        <f>D16</f>
        <v>20</v>
      </c>
      <c r="E31" s="32" t="str">
        <f>E16</f>
        <v>coquetiers de 25 g</v>
      </c>
      <c r="F31" s="34" t="str">
        <f>F16</f>
        <v>Recette mère ► le Boudin en 4 déclinaisons</v>
      </c>
      <c r="G31" s="92"/>
      <c r="H31" s="108"/>
      <c r="I31" s="94" t="str">
        <f t="shared" si="2"/>
        <v/>
      </c>
      <c r="J31" s="95">
        <v>250</v>
      </c>
      <c r="K31" s="105" t="s">
        <v>99</v>
      </c>
      <c r="L31" s="127">
        <v>1</v>
      </c>
      <c r="M31" s="920" t="s">
        <v>12831</v>
      </c>
      <c r="N31" s="1494">
        <f>IF(OR(ISBLANK(G14),N14=0),0,G31*L15)</f>
        <v>0</v>
      </c>
      <c r="O31" s="101" cm="1">
        <f t="array" ref="O31">IFERROR(_xlfn.LET(_xlpm.k,UPPER(TRIM(K31)),_xlpm.r,_xlfn.XLOOKUP(_xlpm.k,UPPER(TRIM(G36:P36)),G37:P37,_xlfn.XLOOKUP(_xlpm.k,UPPER(TRIM(G38:P38)),G39:P39)),_xlpm.r*J31*L31*L15*IF(ISBLANK(G31),1,G31)),0)</f>
        <v>0.25</v>
      </c>
      <c r="P31" s="1475" t="str">
        <f>_xlfn.LET(_xlpm.unite,SUBSTITUTE(TRIM(K31)," (s)",""),_xlpm.val,O31,_xlpm.estVol,COUNTIF(J36:P36,_xlpm.unite)+COUNTIF(J38:P38,_xlpm.unite)&gt;0,_xlpm.estPoids,COUNTIF(G36:I36,_xlpm.unite)+COUNTIF(G38:I38,_xlpm.unite)&gt;0,IF(_xlpm.estVol,IF(ROUND(_xlpm.val,3)&gt;=1,ROUND(_xlpm.val,3)&amp;" L",MAX(1,ROUND(_xlpm.val*100,0))&amp;" cl"),IF(_xlpm.estPoids,IF(ROUND(_xlpm.val,3)&gt;=1,ROUND(_xlpm.val,3)&amp;" Kg",MAX(1,ROUND(_xlpm.val*1000,0))&amp;" g"),"")))</f>
        <v>250 g</v>
      </c>
      <c r="R31" s="104" t="str">
        <f t="shared" si="6"/>
        <v>A</v>
      </c>
      <c r="S31" s="32" t="str">
        <f>S16</f>
        <v>C Coquetiers de l'Antoine | |  Author &gt; Guy KRENZE - Eric GODDYN - Arnaud NICOLAS - CEPROC 2002</v>
      </c>
      <c r="T31" s="33">
        <f>T16</f>
        <v>20</v>
      </c>
      <c r="U31" s="32" t="str">
        <f>U16</f>
        <v>egg cups of 25 g</v>
      </c>
      <c r="V31" s="34" t="str">
        <f>V16</f>
        <v>Master recipe ► Black pudding in 4 variations</v>
      </c>
      <c r="W31" s="92"/>
      <c r="X31" s="108"/>
      <c r="Y31" s="94" t="str">
        <f t="shared" si="3"/>
        <v/>
      </c>
      <c r="Z31" s="95">
        <v>250</v>
      </c>
      <c r="AA31" s="105" t="s">
        <v>99</v>
      </c>
      <c r="AB31" s="127">
        <v>1</v>
      </c>
      <c r="AC31" s="920" t="s">
        <v>12891</v>
      </c>
      <c r="AD31" s="1494">
        <f>IF(OR(ISBLANK(W14),AD14=0),0,W31*AB15)</f>
        <v>0</v>
      </c>
      <c r="AE31" s="101" cm="1">
        <f t="array" ref="AE31">IFERROR(_xlfn.LET(_xlpm.k,UPPER(TRIM(AA31)),_xlpm.r,_xlfn.XLOOKUP(_xlpm.k,UPPER(TRIM(W36:AF36)),W37:AF37,_xlfn.XLOOKUP(_xlpm.k,UPPER(TRIM(W38:AF38)),W39:AF39)),_xlpm.r*Z31*AB31*AB15*IF(ISBLANK(W31),1,W31)),0)</f>
        <v>0.25</v>
      </c>
      <c r="AF31" s="1475" t="str">
        <f>_xlfn.LET(_xlpm.unite,SUBSTITUTE(TRIM(AA31)," (s)",""),_xlpm.val,AE31,_xlpm.estVol,COUNTIF(Z36:AF36,_xlpm.unite)+COUNTIF(Z38:AF38,_xlpm.unite)&gt;0,_xlpm.estPoids,COUNTIF(W36:Y36,_xlpm.unite)+COUNTIF(W38:Y38,_xlpm.unite)&gt;0,IF(_xlpm.estVol,IF(ROUND(_xlpm.val,3)&gt;=1,ROUND(_xlpm.val,3)&amp;" L",MAX(1,ROUND(_xlpm.val*100,0))&amp;" cl"),IF(_xlpm.estPoids,IF(ROUND(_xlpm.val,3)&gt;=1,ROUND(_xlpm.val,3)&amp;" Kg",MAX(1,ROUND(_xlpm.val*1000,0))&amp;" g"),"")))</f>
        <v>250 g</v>
      </c>
      <c r="AH31" s="104" t="str">
        <f t="shared" si="7"/>
        <v>A</v>
      </c>
      <c r="AI31" s="32" t="str">
        <f>AI16</f>
        <v>C Coquetiers de l'Antoine | | Autor &gt; Guy KRENZE - Eric GODDYN - Arnaud NICOLAS - CEPROC 2002</v>
      </c>
      <c r="AJ31" s="33">
        <f>AJ16</f>
        <v>18</v>
      </c>
      <c r="AK31" s="32" t="str">
        <f>AK16</f>
        <v>hueveras de 25 g</v>
      </c>
      <c r="AL31" s="34" t="str">
        <f>AL16</f>
        <v>Receta madre ► Morcilla en 4 versiones</v>
      </c>
      <c r="AM31" s="92"/>
      <c r="AN31" s="108"/>
      <c r="AO31" s="94" t="str">
        <f t="shared" si="4"/>
        <v/>
      </c>
      <c r="AP31" s="95">
        <v>250</v>
      </c>
      <c r="AQ31" s="105" t="s">
        <v>99</v>
      </c>
      <c r="AR31" s="127">
        <v>1</v>
      </c>
      <c r="AS31" s="920" t="s">
        <v>12892</v>
      </c>
      <c r="AT31" s="1494">
        <f>IF(OR(ISBLANK(AM14),AT14=0),0,AM31*AR15)</f>
        <v>0</v>
      </c>
      <c r="AU31" s="101" cm="1">
        <f t="array" ref="AU31">IFERROR(_xlfn.LET(_xlpm.k,UPPER(TRIM(AQ31)),_xlpm.r,_xlfn.XLOOKUP(_xlpm.k,UPPER(TRIM(AM36:AV36)),AM37:AV37,_xlfn.XLOOKUP(_xlpm.k,UPPER(TRIM(AM38:AV38)),AM39:AV39)),_xlpm.r*AP31*AR31*AR15*IF(ISBLANK(AM31),1,AM31)),0)</f>
        <v>0.5</v>
      </c>
      <c r="AV31" s="1475" t="str">
        <f>_xlfn.LET(_xlpm.unite,SUBSTITUTE(TRIM(AQ31)," (s)",""),_xlpm.val,AU31,_xlpm.estVol,COUNTIF(AP36:AV36,_xlpm.unite)+COUNTIF(AP38:AV38,_xlpm.unite)&gt;0,_xlpm.estPoids,COUNTIF(AM36:AO36,_xlpm.unite)+COUNTIF(AM38:AO38,_xlpm.unite)&gt;0,IF(_xlpm.estVol,IF(ROUND(_xlpm.val,3)&gt;=1,ROUND(_xlpm.val,3)&amp;" L",MAX(1,ROUND(_xlpm.val*100,0))&amp;" cl"),IF(_xlpm.estPoids,IF(ROUND(_xlpm.val,3)&gt;=1,ROUND(_xlpm.val,3)&amp;" Kg",MAX(1,ROUND(_xlpm.val*1000,0))&amp;" g"),"")))</f>
        <v>500 g</v>
      </c>
      <c r="AY31" s="3">
        <v>1</v>
      </c>
    </row>
    <row r="32" spans="2:51" ht="27" customHeight="1">
      <c r="B32" s="104" t="str">
        <f t="shared" si="5"/>
        <v>A</v>
      </c>
      <c r="C32" s="32" t="str">
        <f>C16</f>
        <v>C Coquetiers de l'Antoine | | Auteur &gt; Guy KRENZE - Eric GODDYN - Arnaud NICOLAS - CEPROC 2002</v>
      </c>
      <c r="D32" s="33">
        <f>D16</f>
        <v>20</v>
      </c>
      <c r="E32" s="32" t="str">
        <f>E16</f>
        <v>coquetiers de 25 g</v>
      </c>
      <c r="F32" s="34" t="str">
        <f>F16</f>
        <v>Recette mère ► le Boudin en 4 déclinaisons</v>
      </c>
      <c r="G32" s="92"/>
      <c r="H32" s="108"/>
      <c r="I32" s="94" t="str">
        <f t="shared" si="2"/>
        <v/>
      </c>
      <c r="J32" s="95">
        <v>250</v>
      </c>
      <c r="K32" s="105" t="s">
        <v>99</v>
      </c>
      <c r="L32" s="127">
        <v>1</v>
      </c>
      <c r="M32" s="920" t="s">
        <v>12832</v>
      </c>
      <c r="N32" s="1494">
        <f>IF(OR(ISBLANK(G14),N14=0),0,G32*L15)</f>
        <v>0</v>
      </c>
      <c r="O32" s="101" cm="1">
        <f t="array" ref="O32">IFERROR(_xlfn.LET(_xlpm.k,UPPER(TRIM(K32)),_xlpm.r,_xlfn.XLOOKUP(_xlpm.k,UPPER(TRIM(G36:P36)),G37:P37,_xlfn.XLOOKUP(_xlpm.k,UPPER(TRIM(G38:P38)),G39:P39)),_xlpm.r*J32*L32*L15*IF(ISBLANK(G32),1,G32)),0)</f>
        <v>0.25</v>
      </c>
      <c r="P32" s="1476" t="str">
        <f>_xlfn.LET(_xlpm.unite,SUBSTITUTE(TRIM(K32)," (s)",""),_xlpm.val,O32,_xlpm.estVol,COUNTIF(J36:P36,_xlpm.unite)+COUNTIF(J38:P38,_xlpm.unite)&gt;0,_xlpm.estPoids,COUNTIF(G36:I36,_xlpm.unite)+COUNTIF(G38:I38,_xlpm.unite)&gt;0,IF(_xlpm.estVol,IF(ROUND(_xlpm.val,3)&gt;=1,ROUND(_xlpm.val,3)&amp;" L",MAX(1,ROUND(_xlpm.val*100,0))&amp;" cl"),IF(_xlpm.estPoids,IF(ROUND(_xlpm.val,3)&gt;=1,ROUND(_xlpm.val,3)&amp;" Kg",MAX(1,ROUND(_xlpm.val*1000,0))&amp;" g"),"")))</f>
        <v>250 g</v>
      </c>
      <c r="R32" s="104" t="str">
        <f t="shared" si="6"/>
        <v>A</v>
      </c>
      <c r="S32" s="32" t="str">
        <f>S16</f>
        <v>C Coquetiers de l'Antoine | |  Author &gt; Guy KRENZE - Eric GODDYN - Arnaud NICOLAS - CEPROC 2002</v>
      </c>
      <c r="T32" s="33">
        <f>T16</f>
        <v>20</v>
      </c>
      <c r="U32" s="32" t="str">
        <f>U16</f>
        <v>egg cups of 25 g</v>
      </c>
      <c r="V32" s="34" t="str">
        <f>V16</f>
        <v>Master recipe ► Black pudding in 4 variations</v>
      </c>
      <c r="W32" s="92"/>
      <c r="X32" s="108"/>
      <c r="Y32" s="94" t="str">
        <f t="shared" si="3"/>
        <v/>
      </c>
      <c r="Z32" s="95">
        <v>250</v>
      </c>
      <c r="AA32" s="105" t="s">
        <v>99</v>
      </c>
      <c r="AB32" s="127">
        <v>1</v>
      </c>
      <c r="AC32" s="920" t="s">
        <v>12893</v>
      </c>
      <c r="AD32" s="1494">
        <f>IF(OR(ISBLANK(W14),AD14=0),0,W32*AB15)</f>
        <v>0</v>
      </c>
      <c r="AE32" s="101" cm="1">
        <f t="array" ref="AE32">IFERROR(_xlfn.LET(_xlpm.k,UPPER(TRIM(AA32)),_xlpm.r,_xlfn.XLOOKUP(_xlpm.k,UPPER(TRIM(W36:AF36)),W37:AF37,_xlfn.XLOOKUP(_xlpm.k,UPPER(TRIM(W38:AF38)),W39:AF39)),_xlpm.r*Z32*AB32*AB15*IF(ISBLANK(W32),1,W32)),0)</f>
        <v>0.25</v>
      </c>
      <c r="AF32" s="1476" t="str">
        <f>_xlfn.LET(_xlpm.unite,SUBSTITUTE(TRIM(AA32)," (s)",""),_xlpm.val,AE32,_xlpm.estVol,COUNTIF(Z36:AF36,_xlpm.unite)+COUNTIF(Z38:AF38,_xlpm.unite)&gt;0,_xlpm.estPoids,COUNTIF(W36:Y36,_xlpm.unite)+COUNTIF(W38:Y38,_xlpm.unite)&gt;0,IF(_xlpm.estVol,IF(ROUND(_xlpm.val,3)&gt;=1,ROUND(_xlpm.val,3)&amp;" L",MAX(1,ROUND(_xlpm.val*100,0))&amp;" cl"),IF(_xlpm.estPoids,IF(ROUND(_xlpm.val,3)&gt;=1,ROUND(_xlpm.val,3)&amp;" Kg",MAX(1,ROUND(_xlpm.val*1000,0))&amp;" g"),"")))</f>
        <v>250 g</v>
      </c>
      <c r="AH32" s="104" t="str">
        <f t="shared" si="7"/>
        <v>A</v>
      </c>
      <c r="AI32" s="32" t="str">
        <f>AI16</f>
        <v>C Coquetiers de l'Antoine | | Autor &gt; Guy KRENZE - Eric GODDYN - Arnaud NICOLAS - CEPROC 2002</v>
      </c>
      <c r="AJ32" s="33">
        <f>AJ16</f>
        <v>18</v>
      </c>
      <c r="AK32" s="32" t="str">
        <f>AK16</f>
        <v>hueveras de 25 g</v>
      </c>
      <c r="AL32" s="34" t="str">
        <f>AL16</f>
        <v>Receta madre ► Morcilla en 4 versiones</v>
      </c>
      <c r="AM32" s="92"/>
      <c r="AN32" s="108"/>
      <c r="AO32" s="94" t="str">
        <f t="shared" si="4"/>
        <v/>
      </c>
      <c r="AP32" s="95">
        <v>250</v>
      </c>
      <c r="AQ32" s="105" t="s">
        <v>99</v>
      </c>
      <c r="AR32" s="127">
        <v>1</v>
      </c>
      <c r="AS32" s="920" t="s">
        <v>12894</v>
      </c>
      <c r="AT32" s="1494">
        <f>IF(OR(ISBLANK(AM14),AT14=0),0,AM32*AR15)</f>
        <v>0</v>
      </c>
      <c r="AU32" s="101" cm="1">
        <f t="array" ref="AU32">IFERROR(_xlfn.LET(_xlpm.k,UPPER(TRIM(AQ32)),_xlpm.r,_xlfn.XLOOKUP(_xlpm.k,UPPER(TRIM(AM36:AV36)),AM37:AV37,_xlfn.XLOOKUP(_xlpm.k,UPPER(TRIM(AM38:AV38)),AM39:AV39)),_xlpm.r*AP32*AR32*AR15*IF(ISBLANK(AM32),1,AM32)),0)</f>
        <v>0.5</v>
      </c>
      <c r="AV32" s="1476" t="str">
        <f>_xlfn.LET(_xlpm.unite,SUBSTITUTE(TRIM(AQ32)," (s)",""),_xlpm.val,AU32,_xlpm.estVol,COUNTIF(AP36:AV36,_xlpm.unite)+COUNTIF(AP38:AV38,_xlpm.unite)&gt;0,_xlpm.estPoids,COUNTIF(AM36:AO36,_xlpm.unite)+COUNTIF(AM38:AO38,_xlpm.unite)&gt;0,IF(_xlpm.estVol,IF(ROUND(_xlpm.val,3)&gt;=1,ROUND(_xlpm.val,3)&amp;" L",MAX(1,ROUND(_xlpm.val*100,0))&amp;" cl"),IF(_xlpm.estPoids,IF(ROUND(_xlpm.val,3)&gt;=1,ROUND(_xlpm.val,3)&amp;" Kg",MAX(1,ROUND(_xlpm.val*1000,0))&amp;" g"),"")))</f>
        <v>500 g</v>
      </c>
      <c r="AY32" s="3">
        <v>1</v>
      </c>
    </row>
    <row r="33" spans="2:51" ht="27" customHeight="1">
      <c r="B33" s="104" t="str">
        <f t="shared" si="5"/>
        <v>A</v>
      </c>
      <c r="C33" s="32" t="str">
        <f>C16</f>
        <v>C Coquetiers de l'Antoine | | Auteur &gt; Guy KRENZE - Eric GODDYN - Arnaud NICOLAS - CEPROC 2002</v>
      </c>
      <c r="D33" s="33">
        <f>D16</f>
        <v>20</v>
      </c>
      <c r="E33" s="32" t="str">
        <f>E16</f>
        <v>coquetiers de 25 g</v>
      </c>
      <c r="F33" s="34" t="str">
        <f>F16</f>
        <v>Recette mère ► le Boudin en 4 déclinaisons</v>
      </c>
      <c r="G33" s="92"/>
      <c r="H33" s="108"/>
      <c r="I33" s="94" t="str">
        <f t="shared" si="2"/>
        <v/>
      </c>
      <c r="J33" s="95"/>
      <c r="K33" s="126"/>
      <c r="L33" s="127">
        <v>1</v>
      </c>
      <c r="M33" s="920" t="s">
        <v>12833</v>
      </c>
      <c r="N33" s="1494">
        <f>IF(OR(ISBLANK(G14),N14=0),0,G33*L15)</f>
        <v>0</v>
      </c>
      <c r="O33" s="101" cm="1">
        <f t="array" ref="O33">IFERROR(_xlfn.LET(_xlpm.k,UPPER(TRIM(K33)),_xlpm.r,_xlfn.XLOOKUP(_xlpm.k,UPPER(TRIM(G36:P36)),G37:P37,_xlfn.XLOOKUP(_xlpm.k,UPPER(TRIM(G38:P38)),G39:P39)),_xlpm.r*J33*L33*L15*IF(ISBLANK(G33),1,G33)),0)</f>
        <v>0</v>
      </c>
      <c r="P33" s="1475" t="str">
        <f>_xlfn.LET(_xlpm.unite,SUBSTITUTE(TRIM(K33)," (s)",""),_xlpm.val,O33,_xlpm.estVol,COUNTIF(J36:P36,_xlpm.unite)+COUNTIF(J38:P38,_xlpm.unite)&gt;0,_xlpm.estPoids,COUNTIF(G36:I36,_xlpm.unite)+COUNTIF(G38:I38,_xlpm.unite)&gt;0,IF(_xlpm.estVol,IF(ROUND(_xlpm.val,3)&gt;=1,ROUND(_xlpm.val,3)&amp;" L",MAX(1,ROUND(_xlpm.val*100,0))&amp;" cl"),IF(_xlpm.estPoids,IF(ROUND(_xlpm.val,3)&gt;=1,ROUND(_xlpm.val,3)&amp;" Kg",MAX(1,ROUND(_xlpm.val*1000,0))&amp;" g"),"")))</f>
        <v/>
      </c>
      <c r="R33" s="104" t="str">
        <f t="shared" si="6"/>
        <v>A</v>
      </c>
      <c r="S33" s="32" t="str">
        <f>S16</f>
        <v>C Coquetiers de l'Antoine | |  Author &gt; Guy KRENZE - Eric GODDYN - Arnaud NICOLAS - CEPROC 2002</v>
      </c>
      <c r="T33" s="33">
        <f>T16</f>
        <v>20</v>
      </c>
      <c r="U33" s="32" t="str">
        <f>U16</f>
        <v>egg cups of 25 g</v>
      </c>
      <c r="V33" s="34" t="str">
        <f>V16</f>
        <v>Master recipe ► Black pudding in 4 variations</v>
      </c>
      <c r="W33" s="92"/>
      <c r="X33" s="108"/>
      <c r="Y33" s="94" t="str">
        <f t="shared" si="3"/>
        <v/>
      </c>
      <c r="Z33" s="95"/>
      <c r="AA33" s="126"/>
      <c r="AB33" s="127">
        <v>1</v>
      </c>
      <c r="AC33" s="920" t="s">
        <v>12895</v>
      </c>
      <c r="AD33" s="1494">
        <f>IF(OR(ISBLANK(W14),AD14=0),0,W33*AB15)</f>
        <v>0</v>
      </c>
      <c r="AE33" s="101" cm="1">
        <f t="array" ref="AE33">IFERROR(_xlfn.LET(_xlpm.k,UPPER(TRIM(AA33)),_xlpm.r,_xlfn.XLOOKUP(_xlpm.k,UPPER(TRIM(W36:AF36)),W37:AF37,_xlfn.XLOOKUP(_xlpm.k,UPPER(TRIM(W38:AF38)),W39:AF39)),_xlpm.r*Z33*AB33*AB15*IF(ISBLANK(W33),1,W33)),0)</f>
        <v>0</v>
      </c>
      <c r="AF33" s="1475" t="str">
        <f>_xlfn.LET(_xlpm.unite,SUBSTITUTE(TRIM(AA33)," (s)",""),_xlpm.val,AE33,_xlpm.estVol,COUNTIF(Z36:AF36,_xlpm.unite)+COUNTIF(Z38:AF38,_xlpm.unite)&gt;0,_xlpm.estPoids,COUNTIF(W36:Y36,_xlpm.unite)+COUNTIF(W38:Y38,_xlpm.unite)&gt;0,IF(_xlpm.estVol,IF(ROUND(_xlpm.val,3)&gt;=1,ROUND(_xlpm.val,3)&amp;" L",MAX(1,ROUND(_xlpm.val*100,0))&amp;" cl"),IF(_xlpm.estPoids,IF(ROUND(_xlpm.val,3)&gt;=1,ROUND(_xlpm.val,3)&amp;" Kg",MAX(1,ROUND(_xlpm.val*1000,0))&amp;" g"),"")))</f>
        <v/>
      </c>
      <c r="AH33" s="104" t="str">
        <f t="shared" si="7"/>
        <v>A</v>
      </c>
      <c r="AI33" s="32" t="str">
        <f>AI16</f>
        <v>C Coquetiers de l'Antoine | | Autor &gt; Guy KRENZE - Eric GODDYN - Arnaud NICOLAS - CEPROC 2002</v>
      </c>
      <c r="AJ33" s="33">
        <f>AJ16</f>
        <v>18</v>
      </c>
      <c r="AK33" s="32" t="str">
        <f>AK16</f>
        <v>hueveras de 25 g</v>
      </c>
      <c r="AL33" s="34" t="str">
        <f>AL16</f>
        <v>Receta madre ► Morcilla en 4 versiones</v>
      </c>
      <c r="AM33" s="92"/>
      <c r="AN33" s="108"/>
      <c r="AO33" s="94" t="str">
        <f t="shared" si="4"/>
        <v/>
      </c>
      <c r="AP33" s="95"/>
      <c r="AQ33" s="126"/>
      <c r="AR33" s="127">
        <v>1</v>
      </c>
      <c r="AS33" s="920" t="s">
        <v>12896</v>
      </c>
      <c r="AT33" s="1494">
        <f>IF(OR(ISBLANK(AM14),AT14=0),0,AM33*AR15)</f>
        <v>0</v>
      </c>
      <c r="AU33" s="101" cm="1">
        <f t="array" ref="AU33">IFERROR(_xlfn.LET(_xlpm.k,UPPER(TRIM(AQ33)),_xlpm.r,_xlfn.XLOOKUP(_xlpm.k,UPPER(TRIM(AM36:AV36)),AM37:AV37,_xlfn.XLOOKUP(_xlpm.k,UPPER(TRIM(AM38:AV38)),AM39:AV39)),_xlpm.r*AP33*AR33*AR15*IF(ISBLANK(AM33),1,AM33)),0)</f>
        <v>0</v>
      </c>
      <c r="AV33" s="1475" t="str">
        <f>_xlfn.LET(_xlpm.unite,SUBSTITUTE(TRIM(AQ33)," (s)",""),_xlpm.val,AU33,_xlpm.estVol,COUNTIF(AP36:AV36,_xlpm.unite)+COUNTIF(AP38:AV38,_xlpm.unite)&gt;0,_xlpm.estPoids,COUNTIF(AM36:AO36,_xlpm.unite)+COUNTIF(AM38:AO38,_xlpm.unite)&gt;0,IF(_xlpm.estVol,IF(ROUND(_xlpm.val,3)&gt;=1,ROUND(_xlpm.val,3)&amp;" L",MAX(1,ROUND(_xlpm.val*100,0))&amp;" cl"),IF(_xlpm.estPoids,IF(ROUND(_xlpm.val,3)&gt;=1,ROUND(_xlpm.val,3)&amp;" Kg",MAX(1,ROUND(_xlpm.val*1000,0))&amp;" g"),"")))</f>
        <v/>
      </c>
      <c r="AY33" s="3">
        <v>1</v>
      </c>
    </row>
    <row r="34" spans="2:51" ht="27" customHeight="1">
      <c r="B34" s="104" t="str">
        <f t="shared" si="5"/>
        <v>►</v>
      </c>
      <c r="C34" s="32" t="str">
        <f>C16</f>
        <v>C Coquetiers de l'Antoine | | Auteur &gt; Guy KRENZE - Eric GODDYN - Arnaud NICOLAS - CEPROC 2002</v>
      </c>
      <c r="D34" s="33">
        <f>D16</f>
        <v>20</v>
      </c>
      <c r="E34" s="32" t="str">
        <f>E16</f>
        <v>coquetiers de 25 g</v>
      </c>
      <c r="F34" s="34" t="str">
        <f>F16</f>
        <v>Recette mère ► le Boudin en 4 déclinaisons</v>
      </c>
      <c r="G34" s="92"/>
      <c r="H34" s="108"/>
      <c r="I34" s="94" t="str">
        <f t="shared" si="2"/>
        <v/>
      </c>
      <c r="J34" s="95"/>
      <c r="K34" s="126"/>
      <c r="L34" s="127">
        <v>1</v>
      </c>
      <c r="M34" s="920"/>
      <c r="N34" s="1494">
        <f>IF(OR(ISBLANK(G14),N14=0),0,G34*L15)</f>
        <v>0</v>
      </c>
      <c r="O34" s="101" cm="1">
        <f t="array" ref="O34">IFERROR(_xlfn.LET(_xlpm.k,UPPER(TRIM(K34)),_xlpm.r,_xlfn.XLOOKUP(_xlpm.k,UPPER(TRIM(G36:P36)),G37:P37,_xlfn.XLOOKUP(_xlpm.k,UPPER(TRIM(G38:P38)),G39:P39)),_xlpm.r*J34*L34*L15*IF(ISBLANK(G34),1,G34)),0)</f>
        <v>0</v>
      </c>
      <c r="P34" s="1476" t="str">
        <f>_xlfn.LET(_xlpm.unite,SUBSTITUTE(TRIM(K34)," (s)",""),_xlpm.val,O34,_xlpm.estVol,COUNTIF(J36:P36,_xlpm.unite)+COUNTIF(J38:P38,_xlpm.unite)&gt;0,_xlpm.estPoids,COUNTIF(G36:I36,_xlpm.unite)+COUNTIF(G38:I38,_xlpm.unite)&gt;0,IF(_xlpm.estVol,IF(ROUND(_xlpm.val,3)&gt;=1,ROUND(_xlpm.val,3)&amp;" L",MAX(1,ROUND(_xlpm.val*100,0))&amp;" cl"),IF(_xlpm.estPoids,IF(ROUND(_xlpm.val,3)&gt;=1,ROUND(_xlpm.val,3)&amp;" Kg",MAX(1,ROUND(_xlpm.val*1000,0))&amp;" g"),"")))</f>
        <v/>
      </c>
      <c r="R34" s="104" t="str">
        <f t="shared" si="6"/>
        <v>►</v>
      </c>
      <c r="S34" s="32" t="str">
        <f>S16</f>
        <v>C Coquetiers de l'Antoine | |  Author &gt; Guy KRENZE - Eric GODDYN - Arnaud NICOLAS - CEPROC 2002</v>
      </c>
      <c r="T34" s="33">
        <f>T16</f>
        <v>20</v>
      </c>
      <c r="U34" s="32" t="str">
        <f>U16</f>
        <v>egg cups of 25 g</v>
      </c>
      <c r="V34" s="34" t="str">
        <f>V16</f>
        <v>Master recipe ► Black pudding in 4 variations</v>
      </c>
      <c r="W34" s="92"/>
      <c r="X34" s="108"/>
      <c r="Y34" s="94" t="str">
        <f t="shared" si="3"/>
        <v/>
      </c>
      <c r="Z34" s="95"/>
      <c r="AA34" s="126"/>
      <c r="AB34" s="127">
        <v>1</v>
      </c>
      <c r="AC34" s="920"/>
      <c r="AD34" s="1494">
        <f>IF(OR(ISBLANK(W14),AD14=0),0,W34*AB15)</f>
        <v>0</v>
      </c>
      <c r="AE34" s="101" cm="1">
        <f t="array" ref="AE34">IFERROR(_xlfn.LET(_xlpm.k,UPPER(TRIM(AA34)),_xlpm.r,_xlfn.XLOOKUP(_xlpm.k,UPPER(TRIM(W36:AF36)),W37:AF37,_xlfn.XLOOKUP(_xlpm.k,UPPER(TRIM(W38:AF38)),W39:AF39)),_xlpm.r*Z34*AB34*AB15*IF(ISBLANK(W34),1,W34)),0)</f>
        <v>0</v>
      </c>
      <c r="AF34" s="1476" t="str">
        <f>_xlfn.LET(_xlpm.unite,SUBSTITUTE(TRIM(AA34)," (s)",""),_xlpm.val,AE34,_xlpm.estVol,COUNTIF(Z36:AF36,_xlpm.unite)+COUNTIF(Z38:AF38,_xlpm.unite)&gt;0,_xlpm.estPoids,COUNTIF(W36:Y36,_xlpm.unite)+COUNTIF(W38:Y38,_xlpm.unite)&gt;0,IF(_xlpm.estVol,IF(ROUND(_xlpm.val,3)&gt;=1,ROUND(_xlpm.val,3)&amp;" L",MAX(1,ROUND(_xlpm.val*100,0))&amp;" cl"),IF(_xlpm.estPoids,IF(ROUND(_xlpm.val,3)&gt;=1,ROUND(_xlpm.val,3)&amp;" Kg",MAX(1,ROUND(_xlpm.val*1000,0))&amp;" g"),"")))</f>
        <v/>
      </c>
      <c r="AH34" s="104" t="str">
        <f t="shared" si="7"/>
        <v>►</v>
      </c>
      <c r="AI34" s="32" t="str">
        <f>AI16</f>
        <v>C Coquetiers de l'Antoine | | Autor &gt; Guy KRENZE - Eric GODDYN - Arnaud NICOLAS - CEPROC 2002</v>
      </c>
      <c r="AJ34" s="33">
        <f>AJ16</f>
        <v>18</v>
      </c>
      <c r="AK34" s="32" t="str">
        <f>AK16</f>
        <v>hueveras de 25 g</v>
      </c>
      <c r="AL34" s="34" t="str">
        <f>AL16</f>
        <v>Receta madre ► Morcilla en 4 versiones</v>
      </c>
      <c r="AM34" s="92"/>
      <c r="AN34" s="108"/>
      <c r="AO34" s="94" t="str">
        <f t="shared" si="4"/>
        <v/>
      </c>
      <c r="AP34" s="95"/>
      <c r="AQ34" s="126"/>
      <c r="AR34" s="127">
        <v>1</v>
      </c>
      <c r="AS34" s="920"/>
      <c r="AT34" s="1494">
        <f>IF(OR(ISBLANK(AM14),AT14=0),0,AM34*AR15)</f>
        <v>0</v>
      </c>
      <c r="AU34" s="101" cm="1">
        <f t="array" ref="AU34">IFERROR(_xlfn.LET(_xlpm.k,UPPER(TRIM(AQ34)),_xlpm.r,_xlfn.XLOOKUP(_xlpm.k,UPPER(TRIM(AM36:AV36)),AM37:AV37,_xlfn.XLOOKUP(_xlpm.k,UPPER(TRIM(AM38:AV38)),AM39:AV39)),_xlpm.r*AP34*AR34*AR15*IF(ISBLANK(AM34),1,AM34)),0)</f>
        <v>0</v>
      </c>
      <c r="AV34" s="1476" t="str">
        <f>_xlfn.LET(_xlpm.unite,SUBSTITUTE(TRIM(AQ34)," (s)",""),_xlpm.val,AU34,_xlpm.estVol,COUNTIF(AP36:AV36,_xlpm.unite)+COUNTIF(AP38:AV38,_xlpm.unite)&gt;0,_xlpm.estPoids,COUNTIF(AM36:AO36,_xlpm.unite)+COUNTIF(AM38:AO38,_xlpm.unite)&gt;0,IF(_xlpm.estVol,IF(ROUND(_xlpm.val,3)&gt;=1,ROUND(_xlpm.val,3)&amp;" L",MAX(1,ROUND(_xlpm.val*100,0))&amp;" cl"),IF(_xlpm.estPoids,IF(ROUND(_xlpm.val,3)&gt;=1,ROUND(_xlpm.val,3)&amp;" Kg",MAX(1,ROUND(_xlpm.val*1000,0))&amp;" g"),"")))</f>
        <v/>
      </c>
      <c r="AY34" s="3">
        <v>1</v>
      </c>
    </row>
    <row r="35" spans="2:51" ht="27" customHeight="1">
      <c r="B35" s="104" t="s">
        <v>11</v>
      </c>
      <c r="C35" s="32" t="str">
        <f>C16</f>
        <v>C Coquetiers de l'Antoine | | Auteur &gt; Guy KRENZE - Eric GODDYN - Arnaud NICOLAS - CEPROC 2002</v>
      </c>
      <c r="D35" s="33">
        <f>D16</f>
        <v>20</v>
      </c>
      <c r="E35" s="32" t="str">
        <f>E16</f>
        <v>coquetiers de 25 g</v>
      </c>
      <c r="F35" s="34" t="str">
        <f>F16</f>
        <v>Recette mère ► le Boudin en 4 déclinaisons</v>
      </c>
      <c r="G35" s="907" t="s">
        <v>136</v>
      </c>
      <c r="H35" s="500"/>
      <c r="I35" s="500"/>
      <c r="J35" s="500"/>
      <c r="K35" s="500"/>
      <c r="L35" s="908"/>
      <c r="M35" s="909"/>
      <c r="N35" s="909"/>
      <c r="O35" s="910">
        <f>SUM(O20:O34)</f>
        <v>1.5309999999999999</v>
      </c>
      <c r="P35" s="1489"/>
      <c r="R35" s="104" t="s">
        <v>11</v>
      </c>
      <c r="S35" s="32" t="str">
        <f>S16</f>
        <v>C Coquetiers de l'Antoine | |  Author &gt; Guy KRENZE - Eric GODDYN - Arnaud NICOLAS - CEPROC 2002</v>
      </c>
      <c r="T35" s="33">
        <f>T16</f>
        <v>20</v>
      </c>
      <c r="U35" s="32" t="str">
        <f>U16</f>
        <v>egg cups of 25 g</v>
      </c>
      <c r="V35" s="34" t="str">
        <f>V16</f>
        <v>Master recipe ► Black pudding in 4 variations</v>
      </c>
      <c r="W35" s="907" t="s">
        <v>893</v>
      </c>
      <c r="X35" s="500"/>
      <c r="Y35" s="500"/>
      <c r="Z35" s="500"/>
      <c r="AA35" s="500"/>
      <c r="AB35" s="908"/>
      <c r="AC35" s="909"/>
      <c r="AD35" s="909"/>
      <c r="AE35" s="910">
        <f>SUM(AE20:AE34)</f>
        <v>1.5309999999999999</v>
      </c>
      <c r="AF35" s="1489"/>
      <c r="AH35" s="104" t="s">
        <v>11</v>
      </c>
      <c r="AI35" s="32" t="str">
        <f>AI16</f>
        <v>C Coquetiers de l'Antoine | | Autor &gt; Guy KRENZE - Eric GODDYN - Arnaud NICOLAS - CEPROC 2002</v>
      </c>
      <c r="AJ35" s="33">
        <f>AJ16</f>
        <v>18</v>
      </c>
      <c r="AK35" s="32" t="str">
        <f>AK16</f>
        <v>hueveras de 25 g</v>
      </c>
      <c r="AL35" s="34" t="str">
        <f>AL16</f>
        <v>Receta madre ► Morcilla en 4 versiones</v>
      </c>
      <c r="AM35" s="907" t="s">
        <v>893</v>
      </c>
      <c r="AN35" s="500"/>
      <c r="AO35" s="500"/>
      <c r="AP35" s="500"/>
      <c r="AQ35" s="500"/>
      <c r="AR35" s="908"/>
      <c r="AS35" s="909"/>
      <c r="AT35" s="909"/>
      <c r="AU35" s="910">
        <f>SUM(AU20:AU34)</f>
        <v>3.0619999999999998</v>
      </c>
      <c r="AV35" s="1489"/>
      <c r="AY35" s="3">
        <v>1</v>
      </c>
    </row>
    <row r="36" spans="2:51" ht="27" customHeight="1">
      <c r="B36" s="104" t="s">
        <v>16</v>
      </c>
      <c r="C36" s="32" t="str">
        <f>C16</f>
        <v>C Coquetiers de l'Antoine | | Auteur &gt; Guy KRENZE - Eric GODDYN - Arnaud NICOLAS - CEPROC 2002</v>
      </c>
      <c r="D36" s="33">
        <f>D16</f>
        <v>20</v>
      </c>
      <c r="E36" s="32" t="str">
        <f>E16</f>
        <v>coquetiers de 25 g</v>
      </c>
      <c r="F36" s="34" t="str">
        <f>F16</f>
        <v>Recette mère ► le Boudin en 4 déclinaisons</v>
      </c>
      <c r="G36" s="140" t="s">
        <v>143</v>
      </c>
      <c r="H36" s="105" t="s">
        <v>99</v>
      </c>
      <c r="I36" s="141" t="s">
        <v>144</v>
      </c>
      <c r="J36" s="96" t="s">
        <v>0</v>
      </c>
      <c r="K36" s="96" t="s">
        <v>96</v>
      </c>
      <c r="L36" s="96" t="s">
        <v>147</v>
      </c>
      <c r="M36" s="96" t="s">
        <v>148</v>
      </c>
      <c r="N36" s="109" t="s">
        <v>364</v>
      </c>
      <c r="O36" s="109" t="s">
        <v>102</v>
      </c>
      <c r="P36" s="109" t="s">
        <v>149</v>
      </c>
      <c r="R36" s="104" t="s">
        <v>16</v>
      </c>
      <c r="S36" s="32" t="str">
        <f>S16</f>
        <v>C Coquetiers de l'Antoine | |  Author &gt; Guy KRENZE - Eric GODDYN - Arnaud NICOLAS - CEPROC 2002</v>
      </c>
      <c r="T36" s="33">
        <f>T16</f>
        <v>20</v>
      </c>
      <c r="U36" s="32" t="str">
        <f>U16</f>
        <v>egg cups of 25 g</v>
      </c>
      <c r="V36" s="34" t="str">
        <f>V16</f>
        <v>Master recipe ► Black pudding in 4 variations</v>
      </c>
      <c r="W36" s="140" t="s">
        <v>143</v>
      </c>
      <c r="X36" s="105" t="s">
        <v>99</v>
      </c>
      <c r="Y36" s="141" t="s">
        <v>144</v>
      </c>
      <c r="Z36" s="96" t="s">
        <v>0</v>
      </c>
      <c r="AA36" s="96" t="s">
        <v>96</v>
      </c>
      <c r="AB36" s="96" t="s">
        <v>147</v>
      </c>
      <c r="AC36" s="96" t="s">
        <v>148</v>
      </c>
      <c r="AD36" s="109" t="s">
        <v>1378</v>
      </c>
      <c r="AE36" s="109" t="s">
        <v>1360</v>
      </c>
      <c r="AF36" s="109" t="s">
        <v>1361</v>
      </c>
      <c r="AH36" s="104" t="s">
        <v>16</v>
      </c>
      <c r="AI36" s="32" t="str">
        <f>AI16</f>
        <v>C Coquetiers de l'Antoine | | Autor &gt; Guy KRENZE - Eric GODDYN - Arnaud NICOLAS - CEPROC 2002</v>
      </c>
      <c r="AJ36" s="33">
        <f>AJ16</f>
        <v>18</v>
      </c>
      <c r="AK36" s="32" t="str">
        <f>AK16</f>
        <v>hueveras de 25 g</v>
      </c>
      <c r="AL36" s="34" t="str">
        <f>AL16</f>
        <v>Receta madre ► Morcilla en 4 versiones</v>
      </c>
      <c r="AM36" s="140" t="s">
        <v>143</v>
      </c>
      <c r="AN36" s="105" t="s">
        <v>99</v>
      </c>
      <c r="AO36" s="141" t="s">
        <v>144</v>
      </c>
      <c r="AP36" s="96" t="s">
        <v>0</v>
      </c>
      <c r="AQ36" s="96" t="s">
        <v>96</v>
      </c>
      <c r="AR36" s="96" t="s">
        <v>147</v>
      </c>
      <c r="AS36" s="96" t="s">
        <v>148</v>
      </c>
      <c r="AT36" s="109" t="s">
        <v>1379</v>
      </c>
      <c r="AU36" s="109" t="s">
        <v>1341</v>
      </c>
      <c r="AV36" s="109" t="s">
        <v>1342</v>
      </c>
      <c r="AY36" s="3">
        <v>1</v>
      </c>
    </row>
    <row r="37" spans="2:51" ht="27" customHeight="1">
      <c r="B37" s="104" t="s">
        <v>16</v>
      </c>
      <c r="C37" s="32" t="str">
        <f>C16</f>
        <v>C Coquetiers de l'Antoine | | Auteur &gt; Guy KRENZE - Eric GODDYN - Arnaud NICOLAS - CEPROC 2002</v>
      </c>
      <c r="D37" s="33">
        <f>D16</f>
        <v>20</v>
      </c>
      <c r="E37" s="32" t="str">
        <f>E16</f>
        <v>coquetiers de 25 g</v>
      </c>
      <c r="F37" s="34" t="str">
        <f>F16</f>
        <v>Recette mère ► le Boudin en 4 déclinaisons</v>
      </c>
      <c r="G37" s="911">
        <v>1</v>
      </c>
      <c r="H37" s="912">
        <v>1E-3</v>
      </c>
      <c r="I37" s="913">
        <v>0</v>
      </c>
      <c r="J37" s="914">
        <v>1</v>
      </c>
      <c r="K37" s="914">
        <v>0.1</v>
      </c>
      <c r="L37" s="914">
        <v>0.01</v>
      </c>
      <c r="M37" s="914">
        <v>1E-3</v>
      </c>
      <c r="N37" s="914">
        <v>0.25</v>
      </c>
      <c r="O37" s="914">
        <v>0.5</v>
      </c>
      <c r="P37" s="914">
        <v>0.33300000000000002</v>
      </c>
      <c r="R37" s="104" t="s">
        <v>16</v>
      </c>
      <c r="S37" s="32" t="str">
        <f>S16</f>
        <v>C Coquetiers de l'Antoine | |  Author &gt; Guy KRENZE - Eric GODDYN - Arnaud NICOLAS - CEPROC 2002</v>
      </c>
      <c r="T37" s="33">
        <f>T16</f>
        <v>20</v>
      </c>
      <c r="U37" s="32" t="str">
        <f>U16</f>
        <v>egg cups of 25 g</v>
      </c>
      <c r="V37" s="34" t="str">
        <f>V16</f>
        <v>Master recipe ► Black pudding in 4 variations</v>
      </c>
      <c r="W37" s="911">
        <v>1</v>
      </c>
      <c r="X37" s="912">
        <v>1E-3</v>
      </c>
      <c r="Y37" s="913">
        <v>0</v>
      </c>
      <c r="Z37" s="914">
        <v>1</v>
      </c>
      <c r="AA37" s="914">
        <v>0.1</v>
      </c>
      <c r="AB37" s="914">
        <v>0.01</v>
      </c>
      <c r="AC37" s="914">
        <v>1E-3</v>
      </c>
      <c r="AD37" s="914">
        <v>0.25</v>
      </c>
      <c r="AE37" s="914">
        <v>0.5</v>
      </c>
      <c r="AF37" s="914">
        <v>0.33300000000000002</v>
      </c>
      <c r="AH37" s="104" t="s">
        <v>16</v>
      </c>
      <c r="AI37" s="32" t="str">
        <f>AI16</f>
        <v>C Coquetiers de l'Antoine | | Autor &gt; Guy KRENZE - Eric GODDYN - Arnaud NICOLAS - CEPROC 2002</v>
      </c>
      <c r="AJ37" s="33">
        <f>AJ16</f>
        <v>18</v>
      </c>
      <c r="AK37" s="32" t="str">
        <f>AK16</f>
        <v>hueveras de 25 g</v>
      </c>
      <c r="AL37" s="34" t="str">
        <f>AL16</f>
        <v>Receta madre ► Morcilla en 4 versiones</v>
      </c>
      <c r="AM37" s="911">
        <v>1</v>
      </c>
      <c r="AN37" s="912">
        <v>1E-3</v>
      </c>
      <c r="AO37" s="913">
        <v>0</v>
      </c>
      <c r="AP37" s="914">
        <v>1</v>
      </c>
      <c r="AQ37" s="914">
        <v>0.1</v>
      </c>
      <c r="AR37" s="914">
        <v>0.01</v>
      </c>
      <c r="AS37" s="914">
        <v>1E-3</v>
      </c>
      <c r="AT37" s="914">
        <v>0.25</v>
      </c>
      <c r="AU37" s="914">
        <v>0.5</v>
      </c>
      <c r="AV37" s="914">
        <v>0.33300000000000002</v>
      </c>
      <c r="AY37" s="3">
        <v>1</v>
      </c>
    </row>
    <row r="38" spans="2:51" ht="27" customHeight="1">
      <c r="B38" s="104" t="s">
        <v>16</v>
      </c>
      <c r="C38" s="32" t="str">
        <f>C16</f>
        <v>C Coquetiers de l'Antoine | | Auteur &gt; Guy KRENZE - Eric GODDYN - Arnaud NICOLAS - CEPROC 2002</v>
      </c>
      <c r="D38" s="33">
        <f>D16</f>
        <v>20</v>
      </c>
      <c r="E38" s="32" t="str">
        <f>E16</f>
        <v>coquetiers de 25 g</v>
      </c>
      <c r="F38" s="34" t="str">
        <f>F16</f>
        <v>Recette mère ► le Boudin en 4 déclinaisons</v>
      </c>
      <c r="G38" s="142" t="s">
        <v>145</v>
      </c>
      <c r="H38" s="117" t="s">
        <v>107</v>
      </c>
      <c r="I38" s="141" t="s">
        <v>144</v>
      </c>
      <c r="J38" s="109" t="s">
        <v>150</v>
      </c>
      <c r="K38" s="109" t="s">
        <v>163</v>
      </c>
      <c r="L38" s="109" t="s">
        <v>103</v>
      </c>
      <c r="M38" s="109" t="s">
        <v>162</v>
      </c>
      <c r="N38" s="149" t="s">
        <v>160</v>
      </c>
      <c r="O38" s="149" t="s">
        <v>117</v>
      </c>
      <c r="P38" s="1061" t="s">
        <v>1831</v>
      </c>
      <c r="R38" s="104" t="s">
        <v>16</v>
      </c>
      <c r="S38" s="32" t="str">
        <f>S16</f>
        <v>C Coquetiers de l'Antoine | |  Author &gt; Guy KRENZE - Eric GODDYN - Arnaud NICOLAS - CEPROC 2002</v>
      </c>
      <c r="T38" s="33">
        <f>T16</f>
        <v>20</v>
      </c>
      <c r="U38" s="32" t="str">
        <f>U16</f>
        <v>egg cups of 25 g</v>
      </c>
      <c r="V38" s="34" t="str">
        <f>V16</f>
        <v>Master recipe ► Black pudding in 4 variations</v>
      </c>
      <c r="W38" s="142" t="s">
        <v>1357</v>
      </c>
      <c r="X38" s="117" t="s">
        <v>1359</v>
      </c>
      <c r="Y38" s="141" t="s">
        <v>144</v>
      </c>
      <c r="Z38" s="109" t="s">
        <v>1362</v>
      </c>
      <c r="AA38" s="109" t="s">
        <v>1371</v>
      </c>
      <c r="AB38" s="109" t="s">
        <v>1372</v>
      </c>
      <c r="AC38" s="109" t="s">
        <v>1370</v>
      </c>
      <c r="AD38" s="149" t="s">
        <v>1368</v>
      </c>
      <c r="AE38" s="149" t="s">
        <v>1367</v>
      </c>
      <c r="AF38" s="1061" t="s">
        <v>1832</v>
      </c>
      <c r="AH38" s="104" t="s">
        <v>16</v>
      </c>
      <c r="AI38" s="32" t="str">
        <f>AI16</f>
        <v>C Coquetiers de l'Antoine | | Autor &gt; Guy KRENZE - Eric GODDYN - Arnaud NICOLAS - CEPROC 2002</v>
      </c>
      <c r="AJ38" s="33">
        <f>AJ16</f>
        <v>18</v>
      </c>
      <c r="AK38" s="32" t="str">
        <f>AK16</f>
        <v>hueveras de 25 g</v>
      </c>
      <c r="AL38" s="34" t="str">
        <f>AL16</f>
        <v>Receta madre ► Morcilla en 4 versiones</v>
      </c>
      <c r="AM38" s="142" t="s">
        <v>145</v>
      </c>
      <c r="AN38" s="117" t="s">
        <v>107</v>
      </c>
      <c r="AO38" s="141" t="s">
        <v>144</v>
      </c>
      <c r="AP38" s="143" t="s">
        <v>1343</v>
      </c>
      <c r="AQ38" s="109" t="s">
        <v>1354</v>
      </c>
      <c r="AR38" s="109" t="s">
        <v>1355</v>
      </c>
      <c r="AS38" s="109" t="s">
        <v>1353</v>
      </c>
      <c r="AT38" s="149" t="s">
        <v>1351</v>
      </c>
      <c r="AU38" s="123" t="s">
        <v>1350</v>
      </c>
      <c r="AV38" s="1061" t="s">
        <v>1833</v>
      </c>
      <c r="AY38" s="3">
        <v>1</v>
      </c>
    </row>
    <row r="39" spans="2:51" ht="27" customHeight="1">
      <c r="B39" s="104" t="s">
        <v>16</v>
      </c>
      <c r="C39" s="32" t="str">
        <f>C16</f>
        <v>C Coquetiers de l'Antoine | | Auteur &gt; Guy KRENZE - Eric GODDYN - Arnaud NICOLAS - CEPROC 2002</v>
      </c>
      <c r="D39" s="33">
        <f>D16</f>
        <v>20</v>
      </c>
      <c r="E39" s="32" t="str">
        <f>E16</f>
        <v>coquetiers de 25 g</v>
      </c>
      <c r="F39" s="34" t="str">
        <f>F16</f>
        <v>Recette mère ► le Boudin en 4 déclinaisons</v>
      </c>
      <c r="G39" s="912">
        <v>0.25</v>
      </c>
      <c r="H39" s="912">
        <v>0.5</v>
      </c>
      <c r="I39" s="913">
        <v>0</v>
      </c>
      <c r="J39" s="914">
        <v>0.2</v>
      </c>
      <c r="K39" s="914">
        <v>0.1</v>
      </c>
      <c r="L39" s="914">
        <v>0.22500000000000001</v>
      </c>
      <c r="M39" s="914">
        <v>1.4999999999999999E-2</v>
      </c>
      <c r="N39" s="914">
        <v>4.9299999999999995E-3</v>
      </c>
      <c r="O39" s="914">
        <v>0.35</v>
      </c>
      <c r="P39" s="915">
        <v>0.25</v>
      </c>
      <c r="R39" s="104" t="s">
        <v>16</v>
      </c>
      <c r="S39" s="32" t="str">
        <f>S16</f>
        <v>C Coquetiers de l'Antoine | |  Author &gt; Guy KRENZE - Eric GODDYN - Arnaud NICOLAS - CEPROC 2002</v>
      </c>
      <c r="T39" s="33">
        <f>T16</f>
        <v>20</v>
      </c>
      <c r="U39" s="32" t="str">
        <f>U16</f>
        <v>egg cups of 25 g</v>
      </c>
      <c r="V39" s="34" t="str">
        <f>V16</f>
        <v>Master recipe ► Black pudding in 4 variations</v>
      </c>
      <c r="W39" s="912">
        <v>0.25</v>
      </c>
      <c r="X39" s="912">
        <v>0.5</v>
      </c>
      <c r="Y39" s="913">
        <v>0</v>
      </c>
      <c r="Z39" s="914">
        <v>0.2</v>
      </c>
      <c r="AA39" s="914">
        <v>0.1</v>
      </c>
      <c r="AB39" s="914">
        <v>0.22500000000000001</v>
      </c>
      <c r="AC39" s="914">
        <v>1.4999999999999999E-2</v>
      </c>
      <c r="AD39" s="914">
        <v>4.9299999999999995E-3</v>
      </c>
      <c r="AE39" s="914">
        <v>0.35</v>
      </c>
      <c r="AF39" s="915">
        <v>0.25</v>
      </c>
      <c r="AH39" s="104" t="s">
        <v>16</v>
      </c>
      <c r="AI39" s="32" t="str">
        <f>AI16</f>
        <v>C Coquetiers de l'Antoine | | Autor &gt; Guy KRENZE - Eric GODDYN - Arnaud NICOLAS - CEPROC 2002</v>
      </c>
      <c r="AJ39" s="33">
        <f>AJ16</f>
        <v>18</v>
      </c>
      <c r="AK39" s="32" t="str">
        <f>AK16</f>
        <v>hueveras de 25 g</v>
      </c>
      <c r="AL39" s="34" t="str">
        <f>AL16</f>
        <v>Receta madre ► Morcilla en 4 versiones</v>
      </c>
      <c r="AM39" s="912">
        <v>0.25</v>
      </c>
      <c r="AN39" s="912">
        <v>0.5</v>
      </c>
      <c r="AO39" s="913">
        <v>0</v>
      </c>
      <c r="AP39" s="914">
        <v>0.2</v>
      </c>
      <c r="AQ39" s="914">
        <v>0.1</v>
      </c>
      <c r="AR39" s="914">
        <v>0.22500000000000001</v>
      </c>
      <c r="AS39" s="914">
        <v>1.4999999999999999E-2</v>
      </c>
      <c r="AT39" s="914">
        <v>4.9299999999999995E-3</v>
      </c>
      <c r="AU39" s="914">
        <v>0.35</v>
      </c>
      <c r="AV39" s="915">
        <v>0.25</v>
      </c>
      <c r="AY39" s="3">
        <v>1</v>
      </c>
    </row>
    <row r="40" spans="2:51" ht="27" customHeight="1">
      <c r="B40" s="104" t="s">
        <v>16</v>
      </c>
      <c r="C40" s="32" t="str">
        <f>C16</f>
        <v>C Coquetiers de l'Antoine | | Auteur &gt; Guy KRENZE - Eric GODDYN - Arnaud NICOLAS - CEPROC 2002</v>
      </c>
      <c r="D40" s="33">
        <f>D16</f>
        <v>20</v>
      </c>
      <c r="E40" s="32" t="str">
        <f>E16</f>
        <v>coquetiers de 25 g</v>
      </c>
      <c r="F40" s="34" t="str">
        <f>F16</f>
        <v>Recette mère ► le Boudin en 4 déclinaisons</v>
      </c>
      <c r="G40" s="154" t="str">
        <f t="shared" ref="G40:H40" si="8">G17</f>
        <v>Col.6</v>
      </c>
      <c r="H40" s="154" t="str">
        <f t="shared" si="8"/>
        <v>Col.7</v>
      </c>
      <c r="I40" s="155" t="s">
        <v>3295</v>
      </c>
      <c r="J40" s="155"/>
      <c r="K40" s="155"/>
      <c r="L40" s="155"/>
      <c r="M40" s="155"/>
      <c r="N40" s="155"/>
      <c r="O40" s="155"/>
      <c r="P40" s="1477"/>
      <c r="R40" s="104" t="s">
        <v>16</v>
      </c>
      <c r="S40" s="32" t="str">
        <f>S16</f>
        <v>C Coquetiers de l'Antoine | |  Author &gt; Guy KRENZE - Eric GODDYN - Arnaud NICOLAS - CEPROC 2002</v>
      </c>
      <c r="T40" s="33">
        <f>T16</f>
        <v>20</v>
      </c>
      <c r="U40" s="32" t="str">
        <f>U16</f>
        <v>egg cups of 25 g</v>
      </c>
      <c r="V40" s="34" t="str">
        <f>V16</f>
        <v>Master recipe ► Black pudding in 4 variations</v>
      </c>
      <c r="W40" s="154">
        <f>W26</f>
        <v>0</v>
      </c>
      <c r="X40" s="154">
        <f>X26</f>
        <v>0</v>
      </c>
      <c r="Y40" s="155" t="s">
        <v>3296</v>
      </c>
      <c r="Z40" s="155"/>
      <c r="AA40" s="155"/>
      <c r="AB40" s="155"/>
      <c r="AC40" s="155"/>
      <c r="AD40" s="155"/>
      <c r="AE40" s="155"/>
      <c r="AF40" s="1477"/>
      <c r="AH40" s="104" t="s">
        <v>16</v>
      </c>
      <c r="AI40" s="32" t="str">
        <f>AI16</f>
        <v>C Coquetiers de l'Antoine | | Autor &gt; Guy KRENZE - Eric GODDYN - Arnaud NICOLAS - CEPROC 2002</v>
      </c>
      <c r="AJ40" s="33">
        <f>AJ16</f>
        <v>18</v>
      </c>
      <c r="AK40" s="32" t="str">
        <f>AK16</f>
        <v>hueveras de 25 g</v>
      </c>
      <c r="AL40" s="34" t="str">
        <f>AL16</f>
        <v>Receta madre ► Morcilla en 4 versiones</v>
      </c>
      <c r="AM40" s="154" t="str">
        <f t="shared" ref="AM40:AN40" si="9">AM17</f>
        <v>Col.6</v>
      </c>
      <c r="AN40" s="154" t="str">
        <f t="shared" si="9"/>
        <v>Col.7</v>
      </c>
      <c r="AO40" s="155" t="s">
        <v>3298</v>
      </c>
      <c r="AP40" s="155"/>
      <c r="AQ40" s="155"/>
      <c r="AR40" s="155"/>
      <c r="AS40" s="155"/>
      <c r="AT40" s="155"/>
      <c r="AU40" s="155"/>
      <c r="AV40" s="1477"/>
      <c r="AY40" s="3">
        <v>1</v>
      </c>
    </row>
    <row r="41" spans="2:51" ht="27" customHeight="1">
      <c r="B41" s="104" t="s">
        <v>16</v>
      </c>
      <c r="C41" s="157" t="str">
        <f>C16</f>
        <v>C Coquetiers de l'Antoine | | Auteur &gt; Guy KRENZE - Eric GODDYN - Arnaud NICOLAS - CEPROC 2002</v>
      </c>
      <c r="D41" s="157">
        <f>D16</f>
        <v>20</v>
      </c>
      <c r="E41" s="158" t="str">
        <f>E16</f>
        <v>coquetiers de 25 g</v>
      </c>
      <c r="F41" s="159" t="str">
        <f>F16</f>
        <v>Recette mère ► le Boudin en 4 déclinaisons</v>
      </c>
      <c r="G41" s="160" t="s">
        <v>167</v>
      </c>
      <c r="H41" s="1483" t="s">
        <v>3328</v>
      </c>
      <c r="I41" s="162"/>
      <c r="J41" s="162"/>
      <c r="K41" s="172"/>
      <c r="L41" s="172"/>
      <c r="M41" s="172"/>
      <c r="N41" s="172"/>
      <c r="O41" s="156" t="s">
        <v>165</v>
      </c>
      <c r="P41" s="1484" t="s">
        <v>3276</v>
      </c>
      <c r="R41" s="104" t="s">
        <v>16</v>
      </c>
      <c r="S41" s="157" t="str">
        <f>S16</f>
        <v>C Coquetiers de l'Antoine | |  Author &gt; Guy KRENZE - Eric GODDYN - Arnaud NICOLAS - CEPROC 2002</v>
      </c>
      <c r="T41" s="157">
        <f>T16</f>
        <v>20</v>
      </c>
      <c r="U41" s="158" t="str">
        <f>U16</f>
        <v>egg cups of 25 g</v>
      </c>
      <c r="V41" s="159" t="str">
        <f>V16</f>
        <v>Master recipe ► Black pudding in 4 variations</v>
      </c>
      <c r="W41" s="232" t="s">
        <v>752</v>
      </c>
      <c r="X41" s="161" t="s">
        <v>3327</v>
      </c>
      <c r="Y41" s="162"/>
      <c r="Z41" s="162"/>
      <c r="AA41" s="172"/>
      <c r="AB41" s="172"/>
      <c r="AC41" s="172"/>
      <c r="AD41" s="172"/>
      <c r="AE41" s="156" t="s">
        <v>894</v>
      </c>
      <c r="AF41" s="1484" t="s">
        <v>3276</v>
      </c>
      <c r="AH41" s="104" t="s">
        <v>16</v>
      </c>
      <c r="AI41" s="157" t="str">
        <f>AI16</f>
        <v>C Coquetiers de l'Antoine | | Autor &gt; Guy KRENZE - Eric GODDYN - Arnaud NICOLAS - CEPROC 2002</v>
      </c>
      <c r="AJ41" s="157">
        <f>AJ16</f>
        <v>18</v>
      </c>
      <c r="AK41" s="158" t="str">
        <f>AK16</f>
        <v>hueveras de 25 g</v>
      </c>
      <c r="AL41" s="159" t="str">
        <f>AL16</f>
        <v>Receta madre ► Morcilla en 4 versiones</v>
      </c>
      <c r="AM41" s="232" t="s">
        <v>754</v>
      </c>
      <c r="AN41" s="161" t="s">
        <v>3325</v>
      </c>
      <c r="AO41" s="162"/>
      <c r="AP41" s="162"/>
      <c r="AQ41" s="172"/>
      <c r="AR41" s="172"/>
      <c r="AS41" s="172"/>
      <c r="AT41" s="172"/>
      <c r="AU41" s="905" t="s">
        <v>908</v>
      </c>
      <c r="AV41" s="1484" t="s">
        <v>3276</v>
      </c>
      <c r="AY41" s="3">
        <v>1</v>
      </c>
    </row>
    <row r="42" spans="2:51" ht="27" customHeight="1">
      <c r="B42" s="104" t="s">
        <v>16</v>
      </c>
      <c r="C42" s="157" t="str">
        <f>C16</f>
        <v>C Coquetiers de l'Antoine | | Auteur &gt; Guy KRENZE - Eric GODDYN - Arnaud NICOLAS - CEPROC 2002</v>
      </c>
      <c r="D42" s="157">
        <f>D16</f>
        <v>20</v>
      </c>
      <c r="E42" s="158" t="str">
        <f>E16</f>
        <v>coquetiers de 25 g</v>
      </c>
      <c r="F42" s="159" t="str">
        <f>F16</f>
        <v>Recette mère ► le Boudin en 4 déclinaisons</v>
      </c>
      <c r="G42" s="172" t="s">
        <v>13007</v>
      </c>
      <c r="H42" s="172"/>
      <c r="I42" s="172"/>
      <c r="J42" s="172"/>
      <c r="K42" s="172"/>
      <c r="L42" s="172" t="s">
        <v>12865</v>
      </c>
      <c r="M42" s="172"/>
      <c r="N42" s="172"/>
      <c r="O42" s="1474" t="s">
        <v>168</v>
      </c>
      <c r="P42" s="1482" t="s">
        <v>668</v>
      </c>
      <c r="Q42" s="555"/>
      <c r="R42" s="104" t="s">
        <v>16</v>
      </c>
      <c r="S42" s="157" t="str">
        <f>S16</f>
        <v>C Coquetiers de l'Antoine | |  Author &gt; Guy KRENZE - Eric GODDYN - Arnaud NICOLAS - CEPROC 2002</v>
      </c>
      <c r="T42" s="157">
        <f>T16</f>
        <v>20</v>
      </c>
      <c r="U42" s="158" t="str">
        <f>U16</f>
        <v>egg cups of 25 g</v>
      </c>
      <c r="V42" s="159" t="str">
        <f>V16</f>
        <v>Master recipe ► Black pudding in 4 variations</v>
      </c>
      <c r="W42" s="172" t="s">
        <v>12897</v>
      </c>
      <c r="X42" s="172"/>
      <c r="Y42" s="172"/>
      <c r="Z42" s="172"/>
      <c r="AA42" s="172"/>
      <c r="AB42" s="172" t="s">
        <v>12922</v>
      </c>
      <c r="AC42" s="172"/>
      <c r="AD42" s="172"/>
      <c r="AE42" s="1474" t="s">
        <v>895</v>
      </c>
      <c r="AF42" s="1482" t="s">
        <v>668</v>
      </c>
      <c r="AH42" s="104" t="s">
        <v>16</v>
      </c>
      <c r="AI42" s="157" t="str">
        <f>AI16</f>
        <v>C Coquetiers de l'Antoine | | Autor &gt; Guy KRENZE - Eric GODDYN - Arnaud NICOLAS - CEPROC 2002</v>
      </c>
      <c r="AJ42" s="157">
        <f>AJ16</f>
        <v>18</v>
      </c>
      <c r="AK42" s="158" t="str">
        <f>AK16</f>
        <v>hueveras de 25 g</v>
      </c>
      <c r="AL42" s="159" t="str">
        <f>AL16</f>
        <v>Receta madre ► Morcilla en 4 versiones</v>
      </c>
      <c r="AM42" s="172"/>
      <c r="AN42" s="172"/>
      <c r="AO42" s="172"/>
      <c r="AP42" s="172"/>
      <c r="AQ42" s="172"/>
      <c r="AR42" s="172" t="s">
        <v>12927</v>
      </c>
      <c r="AS42" s="172"/>
      <c r="AT42" s="172"/>
      <c r="AU42" s="1474" t="s">
        <v>909</v>
      </c>
      <c r="AV42" s="1482" t="s">
        <v>668</v>
      </c>
      <c r="AY42" s="3">
        <v>1</v>
      </c>
    </row>
    <row r="43" spans="2:51" ht="27" customHeight="1">
      <c r="B43" s="104" t="s">
        <v>16</v>
      </c>
      <c r="C43" s="157" t="str">
        <f>C16</f>
        <v>C Coquetiers de l'Antoine | | Auteur &gt; Guy KRENZE - Eric GODDYN - Arnaud NICOLAS - CEPROC 2002</v>
      </c>
      <c r="D43" s="157">
        <f>D16</f>
        <v>20</v>
      </c>
      <c r="E43" s="158" t="str">
        <f>E16</f>
        <v>coquetiers de 25 g</v>
      </c>
      <c r="F43" s="159" t="str">
        <f>F16</f>
        <v>Recette mère ► le Boudin en 4 déclinaisons</v>
      </c>
      <c r="G43" s="172" t="s">
        <v>12837</v>
      </c>
      <c r="H43" s="172"/>
      <c r="I43" s="172"/>
      <c r="J43" s="172"/>
      <c r="K43" s="172"/>
      <c r="L43" s="5040" t="s">
        <v>12866</v>
      </c>
      <c r="M43" s="172"/>
      <c r="N43" s="172"/>
      <c r="O43" s="172"/>
      <c r="P43" s="555"/>
      <c r="Q43" s="555"/>
      <c r="R43" s="104" t="s">
        <v>16</v>
      </c>
      <c r="S43" s="157" t="str">
        <f>S16</f>
        <v>C Coquetiers de l'Antoine | |  Author &gt; Guy KRENZE - Eric GODDYN - Arnaud NICOLAS - CEPROC 2002</v>
      </c>
      <c r="T43" s="157">
        <f>T16</f>
        <v>20</v>
      </c>
      <c r="U43" s="158" t="str">
        <f>U16</f>
        <v>egg cups of 25 g</v>
      </c>
      <c r="V43" s="159" t="str">
        <f>V16</f>
        <v>Master recipe ► Black pudding in 4 variations</v>
      </c>
      <c r="W43" s="172" t="s">
        <v>12899</v>
      </c>
      <c r="X43" s="172"/>
      <c r="Y43" s="172"/>
      <c r="Z43" s="172"/>
      <c r="AA43" s="172"/>
      <c r="AB43" s="5040" t="s">
        <v>12923</v>
      </c>
      <c r="AC43" s="172"/>
      <c r="AD43" s="172"/>
      <c r="AE43" s="172"/>
      <c r="AF43" s="555"/>
      <c r="AH43" s="104" t="s">
        <v>16</v>
      </c>
      <c r="AI43" s="157" t="str">
        <f>AI16</f>
        <v>C Coquetiers de l'Antoine | | Autor &gt; Guy KRENZE - Eric GODDYN - Arnaud NICOLAS - CEPROC 2002</v>
      </c>
      <c r="AJ43" s="157">
        <f>AJ16</f>
        <v>18</v>
      </c>
      <c r="AK43" s="158" t="str">
        <f>AK16</f>
        <v>hueveras de 25 g</v>
      </c>
      <c r="AL43" s="159" t="str">
        <f>AL16</f>
        <v>Receta madre ► Morcilla en 4 versiones</v>
      </c>
      <c r="AM43" s="172" t="s">
        <v>12898</v>
      </c>
      <c r="AN43" s="172"/>
      <c r="AO43" s="172"/>
      <c r="AP43" s="172"/>
      <c r="AQ43" s="5040"/>
      <c r="AR43" s="5040" t="s">
        <v>12866</v>
      </c>
      <c r="AS43" s="172"/>
      <c r="AT43" s="172"/>
      <c r="AU43" s="172"/>
      <c r="AV43" s="555"/>
      <c r="AY43" s="3">
        <v>1</v>
      </c>
    </row>
    <row r="44" spans="2:51" ht="27" customHeight="1">
      <c r="B44" s="104" t="s">
        <v>16</v>
      </c>
      <c r="C44" s="157" t="str">
        <f>C16</f>
        <v>C Coquetiers de l'Antoine | | Auteur &gt; Guy KRENZE - Eric GODDYN - Arnaud NICOLAS - CEPROC 2002</v>
      </c>
      <c r="D44" s="157">
        <f>D16</f>
        <v>20</v>
      </c>
      <c r="E44" s="158" t="str">
        <f>E16</f>
        <v>coquetiers de 25 g</v>
      </c>
      <c r="F44" s="159" t="str">
        <f>F16</f>
        <v>Recette mère ► le Boudin en 4 déclinaisons</v>
      </c>
      <c r="G44" s="172" t="s">
        <v>12838</v>
      </c>
      <c r="H44" s="172"/>
      <c r="I44" s="172"/>
      <c r="J44" s="172"/>
      <c r="K44" s="172"/>
      <c r="L44" s="172" t="str">
        <f>"Poids de leur recette = "&amp;I15&amp;" Kg"</f>
        <v>Poids de leur recette = 1.531 Kg</v>
      </c>
      <c r="M44" s="172"/>
      <c r="N44" s="172"/>
      <c r="O44" s="170" t="s">
        <v>172</v>
      </c>
      <c r="P44" s="171">
        <v>2.7777777777777776E-2</v>
      </c>
      <c r="Q44" s="555"/>
      <c r="R44" s="104" t="s">
        <v>16</v>
      </c>
      <c r="S44" s="157" t="str">
        <f>S16</f>
        <v>C Coquetiers de l'Antoine | |  Author &gt; Guy KRENZE - Eric GODDYN - Arnaud NICOLAS - CEPROC 2002</v>
      </c>
      <c r="T44" s="157">
        <f>T16</f>
        <v>20</v>
      </c>
      <c r="U44" s="158" t="str">
        <f>U16</f>
        <v>egg cups of 25 g</v>
      </c>
      <c r="V44" s="159" t="str">
        <f>V16</f>
        <v>Master recipe ► Black pudding in 4 variations</v>
      </c>
      <c r="W44" s="172" t="s">
        <v>12901</v>
      </c>
      <c r="X44" s="172"/>
      <c r="Y44" s="172"/>
      <c r="Z44" s="172"/>
      <c r="AA44" s="172"/>
      <c r="AB44" s="172" t="str">
        <f>"Recipe weight = "&amp;X15&amp;" Kg"</f>
        <v>Recipe weight = copy to ❾ if desired &gt; Kg</v>
      </c>
      <c r="AC44" s="172"/>
      <c r="AD44" s="172"/>
      <c r="AE44" s="170" t="s">
        <v>676</v>
      </c>
      <c r="AF44" s="171">
        <v>2.7777777777777776E-2</v>
      </c>
      <c r="AH44" s="104" t="s">
        <v>16</v>
      </c>
      <c r="AI44" s="157" t="str">
        <f>AI16</f>
        <v>C Coquetiers de l'Antoine | | Autor &gt; Guy KRENZE - Eric GODDYN - Arnaud NICOLAS - CEPROC 2002</v>
      </c>
      <c r="AJ44" s="157">
        <f>AJ16</f>
        <v>18</v>
      </c>
      <c r="AK44" s="158" t="str">
        <f>AK16</f>
        <v>hueveras de 25 g</v>
      </c>
      <c r="AL44" s="159" t="str">
        <f>AL16</f>
        <v>Receta madre ► Morcilla en 4 versiones</v>
      </c>
      <c r="AM44" s="172" t="s">
        <v>12900</v>
      </c>
      <c r="AN44" s="172"/>
      <c r="AO44" s="172"/>
      <c r="AP44" s="172"/>
      <c r="AQ44" s="172"/>
      <c r="AR44" s="172" t="str">
        <f>"Peso de su receta = "&amp;AN15&amp;" Kg"</f>
        <v>Peso de su receta = copiar en ❾ si se desea &gt; Kg</v>
      </c>
      <c r="AS44" s="172"/>
      <c r="AT44" s="172"/>
      <c r="AU44" s="170" t="s">
        <v>677</v>
      </c>
      <c r="AV44" s="171">
        <v>2.7777777777777776E-2</v>
      </c>
      <c r="AY44" s="3">
        <v>1</v>
      </c>
    </row>
    <row r="45" spans="2:51" ht="27" customHeight="1">
      <c r="B45" s="104" t="s">
        <v>16</v>
      </c>
      <c r="C45" s="157" t="str">
        <f>C16</f>
        <v>C Coquetiers de l'Antoine | | Auteur &gt; Guy KRENZE - Eric GODDYN - Arnaud NICOLAS - CEPROC 2002</v>
      </c>
      <c r="D45" s="157">
        <f>D16</f>
        <v>20</v>
      </c>
      <c r="E45" s="158" t="str">
        <f>E16</f>
        <v>coquetiers de 25 g</v>
      </c>
      <c r="F45" s="159" t="str">
        <f>F16</f>
        <v>Recette mère ► le Boudin en 4 déclinaisons</v>
      </c>
      <c r="G45" s="172" t="s">
        <v>12839</v>
      </c>
      <c r="H45" s="172"/>
      <c r="I45" s="172"/>
      <c r="J45" s="172"/>
      <c r="K45" s="172"/>
      <c r="L45" s="5040" t="str">
        <f>"divisé par "&amp;G14 &amp; " = " &amp;(I15/G14)*1000&amp;" g"</f>
        <v>divisé par 20 = 76.55 g</v>
      </c>
      <c r="M45" s="172"/>
      <c r="N45" s="172"/>
      <c r="O45" s="170" t="s">
        <v>174</v>
      </c>
      <c r="P45" s="174">
        <v>6.25E-2</v>
      </c>
      <c r="Q45" s="555"/>
      <c r="R45" s="104" t="s">
        <v>16</v>
      </c>
      <c r="S45" s="157" t="str">
        <f>S16</f>
        <v>C Coquetiers de l'Antoine | |  Author &gt; Guy KRENZE - Eric GODDYN - Arnaud NICOLAS - CEPROC 2002</v>
      </c>
      <c r="T45" s="157">
        <f>T16</f>
        <v>20</v>
      </c>
      <c r="U45" s="158" t="str">
        <f>U16</f>
        <v>egg cups of 25 g</v>
      </c>
      <c r="V45" s="159" t="str">
        <f>V16</f>
        <v>Master recipe ► Black pudding in 4 variations</v>
      </c>
      <c r="W45" s="172" t="s">
        <v>12904</v>
      </c>
      <c r="X45" s="172"/>
      <c r="Y45" s="172"/>
      <c r="Z45" s="172"/>
      <c r="AA45" s="172"/>
      <c r="AB45" s="5040" t="str">
        <f>"divided by "&amp;W14&amp;" = "&amp;IFERROR(TEXT(ROUND((X15/W14)*100000,2),"0,00"),"—")&amp;" g"</f>
        <v>divided by 20 = — g</v>
      </c>
      <c r="AC45" s="172"/>
      <c r="AD45" s="172"/>
      <c r="AE45" s="170" t="s">
        <v>682</v>
      </c>
      <c r="AF45" s="174">
        <v>6.25E-2</v>
      </c>
      <c r="AH45" s="104" t="s">
        <v>16</v>
      </c>
      <c r="AI45" s="157" t="str">
        <f>AI16</f>
        <v>C Coquetiers de l'Antoine | | Autor &gt; Guy KRENZE - Eric GODDYN - Arnaud NICOLAS - CEPROC 2002</v>
      </c>
      <c r="AJ45" s="157">
        <f>AJ16</f>
        <v>18</v>
      </c>
      <c r="AK45" s="158" t="str">
        <f>AK16</f>
        <v>hueveras de 25 g</v>
      </c>
      <c r="AL45" s="159" t="str">
        <f>AL16</f>
        <v>Receta madre ► Morcilla en 4 versiones</v>
      </c>
      <c r="AM45" s="172" t="s">
        <v>12902</v>
      </c>
      <c r="AN45" s="172"/>
      <c r="AO45" s="172"/>
      <c r="AP45" s="172"/>
      <c r="AQ45" s="5040"/>
      <c r="AR45" s="5040" t="str">
        <f>"dividido por "&amp;AM14&amp;" = "&amp;IFERROR(TEXT(ROUND((AN15/AM14)*100000,2),"0,00"),"—")&amp;" g"</f>
        <v>dividido por 18 = — g</v>
      </c>
      <c r="AS45" s="172"/>
      <c r="AT45" s="172"/>
      <c r="AU45" s="170" t="s">
        <v>683</v>
      </c>
      <c r="AV45" s="174">
        <v>6.25E-2</v>
      </c>
      <c r="AY45" s="3">
        <v>1</v>
      </c>
    </row>
    <row r="46" spans="2:51" ht="27" customHeight="1">
      <c r="B46" s="104" t="s">
        <v>16</v>
      </c>
      <c r="C46" s="157" t="str">
        <f>C16</f>
        <v>C Coquetiers de l'Antoine | | Auteur &gt; Guy KRENZE - Eric GODDYN - Arnaud NICOLAS - CEPROC 2002</v>
      </c>
      <c r="D46" s="157">
        <f>D16</f>
        <v>20</v>
      </c>
      <c r="E46" s="158" t="str">
        <f>E16</f>
        <v>coquetiers de 25 g</v>
      </c>
      <c r="F46" s="159" t="str">
        <f>F16</f>
        <v>Recette mère ► le Boudin en 4 déclinaisons</v>
      </c>
      <c r="G46" s="172" t="s">
        <v>12840</v>
      </c>
      <c r="H46" s="172"/>
      <c r="I46" s="172"/>
      <c r="J46" s="172"/>
      <c r="K46" s="172"/>
      <c r="L46" s="172"/>
      <c r="M46" s="172"/>
      <c r="N46" s="172"/>
      <c r="O46" s="170" t="s">
        <v>182</v>
      </c>
      <c r="P46" s="175">
        <v>2.4305555555555556E-2</v>
      </c>
      <c r="Q46" s="555"/>
      <c r="R46" s="104" t="s">
        <v>16</v>
      </c>
      <c r="S46" s="157" t="str">
        <f>S16</f>
        <v>C Coquetiers de l'Antoine | |  Author &gt; Guy KRENZE - Eric GODDYN - Arnaud NICOLAS - CEPROC 2002</v>
      </c>
      <c r="T46" s="157">
        <f>T16</f>
        <v>20</v>
      </c>
      <c r="U46" s="158" t="str">
        <f>U16</f>
        <v>egg cups of 25 g</v>
      </c>
      <c r="V46" s="159" t="str">
        <f>V16</f>
        <v>Master recipe ► Black pudding in 4 variations</v>
      </c>
      <c r="W46" s="172" t="s">
        <v>12907</v>
      </c>
      <c r="X46" s="172"/>
      <c r="Y46" s="172"/>
      <c r="Z46" s="172"/>
      <c r="AA46" s="172"/>
      <c r="AB46" s="172"/>
      <c r="AC46" s="172"/>
      <c r="AD46" s="172"/>
      <c r="AE46" s="170" t="s">
        <v>684</v>
      </c>
      <c r="AF46" s="175">
        <v>2.4305555555555556E-2</v>
      </c>
      <c r="AH46" s="104" t="s">
        <v>16</v>
      </c>
      <c r="AI46" s="157" t="str">
        <f>AI16</f>
        <v>C Coquetiers de l'Antoine | | Autor &gt; Guy KRENZE - Eric GODDYN - Arnaud NICOLAS - CEPROC 2002</v>
      </c>
      <c r="AJ46" s="157">
        <f>AJ16</f>
        <v>18</v>
      </c>
      <c r="AK46" s="158" t="str">
        <f>AK16</f>
        <v>hueveras de 25 g</v>
      </c>
      <c r="AL46" s="159" t="str">
        <f>AL16</f>
        <v>Receta madre ► Morcilla en 4 versiones</v>
      </c>
      <c r="AM46" s="172" t="s">
        <v>12905</v>
      </c>
      <c r="AN46" s="172"/>
      <c r="AO46" s="172"/>
      <c r="AP46" s="172"/>
      <c r="AQ46" s="172"/>
      <c r="AR46" s="172"/>
      <c r="AS46" s="172"/>
      <c r="AT46" s="172"/>
      <c r="AU46" s="170" t="s">
        <v>911</v>
      </c>
      <c r="AV46" s="175">
        <v>2.4305555555555556E-2</v>
      </c>
      <c r="AY46" s="3">
        <v>1</v>
      </c>
    </row>
    <row r="47" spans="2:51" ht="27" customHeight="1">
      <c r="B47" s="104" t="s">
        <v>16</v>
      </c>
      <c r="C47" s="157" t="str">
        <f>C16</f>
        <v>C Coquetiers de l'Antoine | | Auteur &gt; Guy KRENZE - Eric GODDYN - Arnaud NICOLAS - CEPROC 2002</v>
      </c>
      <c r="D47" s="157">
        <f>D16</f>
        <v>20</v>
      </c>
      <c r="E47" s="158" t="str">
        <f>E16</f>
        <v>coquetiers de 25 g</v>
      </c>
      <c r="F47" s="159" t="str">
        <f>F16</f>
        <v>Recette mère ► le Boudin en 4 déclinaisons</v>
      </c>
      <c r="G47" s="172" t="s">
        <v>12841</v>
      </c>
      <c r="H47" s="172"/>
      <c r="I47" s="172"/>
      <c r="J47" s="172"/>
      <c r="K47" s="172"/>
      <c r="L47" s="172"/>
      <c r="M47" s="172"/>
      <c r="N47" s="172"/>
      <c r="O47" s="176" t="s">
        <v>183</v>
      </c>
      <c r="P47" s="177">
        <f>P44+P45+P46</f>
        <v>0.11458333333333333</v>
      </c>
      <c r="Q47" s="555"/>
      <c r="R47" s="104" t="s">
        <v>16</v>
      </c>
      <c r="S47" s="157" t="str">
        <f>S16</f>
        <v>C Coquetiers de l'Antoine | |  Author &gt; Guy KRENZE - Eric GODDYN - Arnaud NICOLAS - CEPROC 2002</v>
      </c>
      <c r="T47" s="157">
        <f>T16</f>
        <v>20</v>
      </c>
      <c r="U47" s="158" t="str">
        <f>U16</f>
        <v>egg cups of 25 g</v>
      </c>
      <c r="V47" s="159" t="str">
        <f>V16</f>
        <v>Master recipe ► Black pudding in 4 variations</v>
      </c>
      <c r="W47" s="172" t="s">
        <v>12909</v>
      </c>
      <c r="X47" s="172"/>
      <c r="Y47" s="172"/>
      <c r="Z47" s="172"/>
      <c r="AA47" s="172"/>
      <c r="AB47" s="172"/>
      <c r="AC47" s="172"/>
      <c r="AD47" s="172"/>
      <c r="AE47" s="176" t="s">
        <v>183</v>
      </c>
      <c r="AF47" s="177">
        <f>AF44+AF45+AF46</f>
        <v>0.11458333333333333</v>
      </c>
      <c r="AH47" s="104" t="s">
        <v>16</v>
      </c>
      <c r="AI47" s="157" t="str">
        <f>AI16</f>
        <v>C Coquetiers de l'Antoine | | Autor &gt; Guy KRENZE - Eric GODDYN - Arnaud NICOLAS - CEPROC 2002</v>
      </c>
      <c r="AJ47" s="157">
        <f>AJ16</f>
        <v>18</v>
      </c>
      <c r="AK47" s="158" t="str">
        <f>AK16</f>
        <v>hueveras de 25 g</v>
      </c>
      <c r="AL47" s="159" t="str">
        <f>AL16</f>
        <v>Receta madre ► Morcilla en 4 versiones</v>
      </c>
      <c r="AM47" s="172" t="s">
        <v>12908</v>
      </c>
      <c r="AN47" s="172"/>
      <c r="AO47" s="172"/>
      <c r="AP47" s="172"/>
      <c r="AQ47" s="172"/>
      <c r="AR47" s="172"/>
      <c r="AS47" s="172"/>
      <c r="AT47" s="172"/>
      <c r="AU47" s="176" t="s">
        <v>183</v>
      </c>
      <c r="AV47" s="177">
        <f>AV44+AV45+AV46</f>
        <v>0.11458333333333333</v>
      </c>
      <c r="AY47" s="3">
        <v>1</v>
      </c>
    </row>
    <row r="48" spans="2:51" ht="27" customHeight="1">
      <c r="B48" s="104" t="str">
        <f t="shared" ref="B48:B52" si="10">IF(OR(G48&lt;&gt;"",H48&lt;&gt; "",I48&lt;&gt;"",J48&lt;&gt;""),"A", "►")</f>
        <v>A</v>
      </c>
      <c r="C48" s="157" t="str">
        <f>C16</f>
        <v>C Coquetiers de l'Antoine | | Auteur &gt; Guy KRENZE - Eric GODDYN - Arnaud NICOLAS - CEPROC 2002</v>
      </c>
      <c r="D48" s="157">
        <f>D16</f>
        <v>20</v>
      </c>
      <c r="E48" s="158" t="str">
        <f>E16</f>
        <v>coquetiers de 25 g</v>
      </c>
      <c r="F48" s="159" t="str">
        <f>F16</f>
        <v>Recette mère ► le Boudin en 4 déclinaisons</v>
      </c>
      <c r="G48" s="172" t="s">
        <v>12842</v>
      </c>
      <c r="H48" s="172"/>
      <c r="I48" s="172"/>
      <c r="J48" s="172"/>
      <c r="K48" s="172"/>
      <c r="L48" s="172"/>
      <c r="M48" s="172"/>
      <c r="N48" s="172"/>
      <c r="O48" s="172"/>
      <c r="P48" s="555"/>
      <c r="Q48" s="555"/>
      <c r="R48" s="104" t="str">
        <f t="shared" ref="R48:R52" si="11">IF(OR(W48&lt;&gt;"",X48&lt;&gt; "",Y48&lt;&gt;"",Z48&lt;&gt;""),"A", "►")</f>
        <v>A</v>
      </c>
      <c r="S48" s="157" t="str">
        <f>S16</f>
        <v>C Coquetiers de l'Antoine | |  Author &gt; Guy KRENZE - Eric GODDYN - Arnaud NICOLAS - CEPROC 2002</v>
      </c>
      <c r="T48" s="157">
        <f>T16</f>
        <v>20</v>
      </c>
      <c r="U48" s="158" t="str">
        <f>U16</f>
        <v>egg cups of 25 g</v>
      </c>
      <c r="V48" s="159" t="str">
        <f>V16</f>
        <v>Master recipe ► Black pudding in 4 variations</v>
      </c>
      <c r="W48" s="172" t="s">
        <v>12912</v>
      </c>
      <c r="X48" s="172"/>
      <c r="Y48" s="172"/>
      <c r="Z48" s="172"/>
      <c r="AA48" s="172"/>
      <c r="AB48" s="172"/>
      <c r="AC48" s="172"/>
      <c r="AD48" s="172"/>
      <c r="AE48" s="172"/>
      <c r="AF48" s="555"/>
      <c r="AH48" s="104" t="str">
        <f t="shared" ref="AH48:AH52" si="12">IF(OR(AM48&lt;&gt;"",AN48&lt;&gt; "",AO48&lt;&gt;"",AP48&lt;&gt;""),"A", "►")</f>
        <v>A</v>
      </c>
      <c r="AI48" s="157" t="str">
        <f>AI16</f>
        <v>C Coquetiers de l'Antoine | | Autor &gt; Guy KRENZE - Eric GODDYN - Arnaud NICOLAS - CEPROC 2002</v>
      </c>
      <c r="AJ48" s="157">
        <f>AJ16</f>
        <v>18</v>
      </c>
      <c r="AK48" s="158" t="str">
        <f>AK16</f>
        <v>hueveras de 25 g</v>
      </c>
      <c r="AL48" s="159" t="str">
        <f>AL16</f>
        <v>Receta madre ► Morcilla en 4 versiones</v>
      </c>
      <c r="AM48" s="172" t="s">
        <v>12910</v>
      </c>
      <c r="AN48" s="172"/>
      <c r="AO48" s="172"/>
      <c r="AP48" s="172"/>
      <c r="AQ48" s="172"/>
      <c r="AR48" s="172"/>
      <c r="AS48" s="172"/>
      <c r="AT48" s="172"/>
      <c r="AU48" s="172"/>
      <c r="AV48" s="555"/>
      <c r="AY48" s="3">
        <v>1</v>
      </c>
    </row>
    <row r="49" spans="2:51" ht="27" customHeight="1">
      <c r="B49" s="104" t="str">
        <f t="shared" si="10"/>
        <v>A</v>
      </c>
      <c r="C49" s="157" t="str">
        <f>C16</f>
        <v>C Coquetiers de l'Antoine | | Auteur &gt; Guy KRENZE - Eric GODDYN - Arnaud NICOLAS - CEPROC 2002</v>
      </c>
      <c r="D49" s="157">
        <f>D16</f>
        <v>20</v>
      </c>
      <c r="E49" s="158" t="str">
        <f>E16</f>
        <v>coquetiers de 25 g</v>
      </c>
      <c r="F49" s="159" t="str">
        <f>F16</f>
        <v>Recette mère ► le Boudin en 4 déclinaisons</v>
      </c>
      <c r="G49" s="172" t="s">
        <v>12843</v>
      </c>
      <c r="H49" s="172"/>
      <c r="I49" s="172"/>
      <c r="J49" s="172"/>
      <c r="K49" s="172"/>
      <c r="L49" s="172"/>
      <c r="M49" s="172"/>
      <c r="N49" s="172"/>
      <c r="O49" s="172"/>
      <c r="P49" s="555"/>
      <c r="Q49" s="555"/>
      <c r="R49" s="104" t="str">
        <f t="shared" si="11"/>
        <v>A</v>
      </c>
      <c r="S49" s="157" t="str">
        <f>S16</f>
        <v>C Coquetiers de l'Antoine | |  Author &gt; Guy KRENZE - Eric GODDYN - Arnaud NICOLAS - CEPROC 2002</v>
      </c>
      <c r="T49" s="157">
        <f>T16</f>
        <v>20</v>
      </c>
      <c r="U49" s="158" t="str">
        <f>U16</f>
        <v>egg cups of 25 g</v>
      </c>
      <c r="V49" s="159" t="str">
        <f>V16</f>
        <v>Master recipe ► Black pudding in 4 variations</v>
      </c>
      <c r="W49" s="172" t="s">
        <v>12915</v>
      </c>
      <c r="X49" s="172"/>
      <c r="Y49" s="172"/>
      <c r="Z49" s="172"/>
      <c r="AA49" s="172"/>
      <c r="AB49" s="172"/>
      <c r="AC49" s="172"/>
      <c r="AD49" s="172"/>
      <c r="AE49" s="172"/>
      <c r="AF49" s="555"/>
      <c r="AH49" s="104" t="str">
        <f t="shared" si="12"/>
        <v>A</v>
      </c>
      <c r="AI49" s="157" t="str">
        <f>AI16</f>
        <v>C Coquetiers de l'Antoine | | Autor &gt; Guy KRENZE - Eric GODDYN - Arnaud NICOLAS - CEPROC 2002</v>
      </c>
      <c r="AJ49" s="157">
        <f>AJ16</f>
        <v>18</v>
      </c>
      <c r="AK49" s="158" t="str">
        <f>AK16</f>
        <v>hueveras de 25 g</v>
      </c>
      <c r="AL49" s="159" t="str">
        <f>AL16</f>
        <v>Receta madre ► Morcilla en 4 versiones</v>
      </c>
      <c r="AM49" s="172" t="s">
        <v>12913</v>
      </c>
      <c r="AN49" s="172"/>
      <c r="AO49" s="172"/>
      <c r="AP49" s="172"/>
      <c r="AQ49" s="172"/>
      <c r="AR49" s="172"/>
      <c r="AS49" s="172"/>
      <c r="AT49" s="172"/>
      <c r="AU49" s="172"/>
      <c r="AV49" s="555"/>
      <c r="AY49" s="3">
        <v>1</v>
      </c>
    </row>
    <row r="50" spans="2:51" ht="27" customHeight="1">
      <c r="B50" s="104" t="str">
        <f t="shared" si="10"/>
        <v>A</v>
      </c>
      <c r="C50" s="157" t="str">
        <f>C16</f>
        <v>C Coquetiers de l'Antoine | | Auteur &gt; Guy KRENZE - Eric GODDYN - Arnaud NICOLAS - CEPROC 2002</v>
      </c>
      <c r="D50" s="157">
        <f>D16</f>
        <v>20</v>
      </c>
      <c r="E50" s="158" t="str">
        <f>E16</f>
        <v>coquetiers de 25 g</v>
      </c>
      <c r="F50" s="159" t="str">
        <f>F16</f>
        <v>Recette mère ► le Boudin en 4 déclinaisons</v>
      </c>
      <c r="G50" s="172" t="s">
        <v>12844</v>
      </c>
      <c r="H50" s="172"/>
      <c r="I50" s="172"/>
      <c r="J50" s="172"/>
      <c r="K50" s="172"/>
      <c r="L50" s="172"/>
      <c r="M50" s="172"/>
      <c r="N50" s="172"/>
      <c r="O50" s="172"/>
      <c r="P50" s="555"/>
      <c r="Q50" s="555"/>
      <c r="R50" s="104" t="str">
        <f t="shared" si="11"/>
        <v>A</v>
      </c>
      <c r="S50" s="157" t="str">
        <f>S16</f>
        <v>C Coquetiers de l'Antoine | |  Author &gt; Guy KRENZE - Eric GODDYN - Arnaud NICOLAS - CEPROC 2002</v>
      </c>
      <c r="T50" s="157">
        <f>T16</f>
        <v>20</v>
      </c>
      <c r="U50" s="158" t="str">
        <f>U16</f>
        <v>egg cups of 25 g</v>
      </c>
      <c r="V50" s="159" t="str">
        <f>V16</f>
        <v>Master recipe ► Black pudding in 4 variations</v>
      </c>
      <c r="W50" s="172" t="s">
        <v>12917</v>
      </c>
      <c r="X50" s="172"/>
      <c r="Y50" s="172"/>
      <c r="Z50" s="172"/>
      <c r="AA50" s="172"/>
      <c r="AB50" s="172"/>
      <c r="AC50" s="172"/>
      <c r="AD50" s="172"/>
      <c r="AE50" s="172"/>
      <c r="AF50" s="555"/>
      <c r="AH50" s="104" t="str">
        <f t="shared" si="12"/>
        <v>A</v>
      </c>
      <c r="AI50" s="157" t="str">
        <f>AI16</f>
        <v>C Coquetiers de l'Antoine | | Autor &gt; Guy KRENZE - Eric GODDYN - Arnaud NICOLAS - CEPROC 2002</v>
      </c>
      <c r="AJ50" s="157">
        <f>AJ16</f>
        <v>18</v>
      </c>
      <c r="AK50" s="158" t="str">
        <f>AK16</f>
        <v>hueveras de 25 g</v>
      </c>
      <c r="AL50" s="159" t="str">
        <f>AL16</f>
        <v>Receta madre ► Morcilla en 4 versiones</v>
      </c>
      <c r="AM50" s="172" t="s">
        <v>12916</v>
      </c>
      <c r="AN50" s="172"/>
      <c r="AO50" s="172"/>
      <c r="AP50" s="172"/>
      <c r="AQ50" s="172"/>
      <c r="AR50" s="172"/>
      <c r="AS50" s="172"/>
      <c r="AT50" s="172"/>
      <c r="AU50" s="172"/>
      <c r="AV50" s="555"/>
      <c r="AY50" s="3">
        <v>1</v>
      </c>
    </row>
    <row r="51" spans="2:51" ht="27" customHeight="1">
      <c r="B51" s="104" t="str">
        <f t="shared" si="10"/>
        <v>A</v>
      </c>
      <c r="C51" s="157" t="str">
        <f>C16</f>
        <v>C Coquetiers de l'Antoine | | Auteur &gt; Guy KRENZE - Eric GODDYN - Arnaud NICOLAS - CEPROC 2002</v>
      </c>
      <c r="D51" s="157">
        <f>D16</f>
        <v>20</v>
      </c>
      <c r="E51" s="158" t="str">
        <f>E16</f>
        <v>coquetiers de 25 g</v>
      </c>
      <c r="F51" s="159" t="str">
        <f>F16</f>
        <v>Recette mère ► le Boudin en 4 déclinaisons</v>
      </c>
      <c r="G51" s="172" t="s">
        <v>12845</v>
      </c>
      <c r="H51" s="172"/>
      <c r="I51" s="172"/>
      <c r="J51" s="172"/>
      <c r="K51" s="172"/>
      <c r="L51" s="172"/>
      <c r="M51" s="172"/>
      <c r="N51" s="172"/>
      <c r="O51" s="172"/>
      <c r="P51" s="555"/>
      <c r="Q51" s="555"/>
      <c r="R51" s="104" t="str">
        <f t="shared" si="11"/>
        <v>A</v>
      </c>
      <c r="S51" s="157" t="str">
        <f>S16</f>
        <v>C Coquetiers de l'Antoine | |  Author &gt; Guy KRENZE - Eric GODDYN - Arnaud NICOLAS - CEPROC 2002</v>
      </c>
      <c r="T51" s="157">
        <f>T16</f>
        <v>20</v>
      </c>
      <c r="U51" s="158" t="str">
        <f>U16</f>
        <v>egg cups of 25 g</v>
      </c>
      <c r="V51" s="159" t="str">
        <f>V16</f>
        <v>Master recipe ► Black pudding in 4 variations</v>
      </c>
      <c r="W51" s="172" t="s">
        <v>12919</v>
      </c>
      <c r="X51" s="172"/>
      <c r="Y51" s="172"/>
      <c r="Z51" s="172"/>
      <c r="AA51" s="172"/>
      <c r="AB51" s="172"/>
      <c r="AC51" s="172"/>
      <c r="AD51" s="172"/>
      <c r="AE51" s="172"/>
      <c r="AF51" s="555"/>
      <c r="AH51" s="104" t="str">
        <f t="shared" si="12"/>
        <v>A</v>
      </c>
      <c r="AI51" s="157" t="str">
        <f>AI16</f>
        <v>C Coquetiers de l'Antoine | | Autor &gt; Guy KRENZE - Eric GODDYN - Arnaud NICOLAS - CEPROC 2002</v>
      </c>
      <c r="AJ51" s="157">
        <f>AJ16</f>
        <v>18</v>
      </c>
      <c r="AK51" s="158" t="str">
        <f>AK16</f>
        <v>hueveras de 25 g</v>
      </c>
      <c r="AL51" s="159" t="str">
        <f>AL16</f>
        <v>Receta madre ► Morcilla en 4 versiones</v>
      </c>
      <c r="AM51" s="172" t="s">
        <v>12918</v>
      </c>
      <c r="AN51" s="172"/>
      <c r="AO51" s="172"/>
      <c r="AP51" s="172"/>
      <c r="AQ51" s="172"/>
      <c r="AR51" s="172"/>
      <c r="AS51" s="172"/>
      <c r="AT51" s="172"/>
      <c r="AU51" s="172"/>
      <c r="AV51" s="555"/>
      <c r="AY51" s="3">
        <v>1</v>
      </c>
    </row>
    <row r="52" spans="2:51" ht="27" customHeight="1">
      <c r="B52" s="104" t="str">
        <f t="shared" si="10"/>
        <v>A</v>
      </c>
      <c r="C52" s="157" t="str">
        <f>C16</f>
        <v>C Coquetiers de l'Antoine | | Auteur &gt; Guy KRENZE - Eric GODDYN - Arnaud NICOLAS - CEPROC 2002</v>
      </c>
      <c r="D52" s="157">
        <f>D16</f>
        <v>20</v>
      </c>
      <c r="E52" s="158" t="str">
        <f>E16</f>
        <v>coquetiers de 25 g</v>
      </c>
      <c r="F52" s="159" t="str">
        <f>F16</f>
        <v>Recette mère ► le Boudin en 4 déclinaisons</v>
      </c>
      <c r="G52" s="172" t="s">
        <v>12846</v>
      </c>
      <c r="H52" s="172"/>
      <c r="I52" s="172"/>
      <c r="J52" s="172"/>
      <c r="K52" s="172"/>
      <c r="L52" s="172"/>
      <c r="M52" s="172"/>
      <c r="N52" s="172"/>
      <c r="O52" s="172"/>
      <c r="P52" s="555"/>
      <c r="Q52" s="555"/>
      <c r="R52" s="104" t="str">
        <f t="shared" si="11"/>
        <v>►</v>
      </c>
      <c r="S52" s="157" t="str">
        <f>S16</f>
        <v>C Coquetiers de l'Antoine | |  Author &gt; Guy KRENZE - Eric GODDYN - Arnaud NICOLAS - CEPROC 2002</v>
      </c>
      <c r="T52" s="157">
        <f>T16</f>
        <v>20</v>
      </c>
      <c r="U52" s="158" t="str">
        <f>U16</f>
        <v>egg cups of 25 g</v>
      </c>
      <c r="V52" s="159" t="str">
        <f>V16</f>
        <v>Master recipe ► Black pudding in 4 variations</v>
      </c>
      <c r="W52" s="172"/>
      <c r="X52" s="172"/>
      <c r="Y52" s="172"/>
      <c r="Z52" s="172"/>
      <c r="AA52" s="172"/>
      <c r="AB52" s="172"/>
      <c r="AC52" s="172"/>
      <c r="AD52" s="172"/>
      <c r="AE52" s="172"/>
      <c r="AF52" s="555"/>
      <c r="AH52" s="104" t="str">
        <f t="shared" si="12"/>
        <v>A</v>
      </c>
      <c r="AI52" s="157" t="str">
        <f>AI16</f>
        <v>C Coquetiers de l'Antoine | | Autor &gt; Guy KRENZE - Eric GODDYN - Arnaud NICOLAS - CEPROC 2002</v>
      </c>
      <c r="AJ52" s="157">
        <f>AJ16</f>
        <v>18</v>
      </c>
      <c r="AK52" s="158" t="str">
        <f>AK16</f>
        <v>hueveras de 25 g</v>
      </c>
      <c r="AL52" s="159" t="str">
        <f>AL16</f>
        <v>Receta madre ► Morcilla en 4 versiones</v>
      </c>
      <c r="AM52" s="172" t="s">
        <v>12920</v>
      </c>
      <c r="AN52" s="172"/>
      <c r="AO52" s="172"/>
      <c r="AP52" s="172"/>
      <c r="AQ52" s="172"/>
      <c r="AR52" s="172"/>
      <c r="AS52" s="172"/>
      <c r="AT52" s="172"/>
      <c r="AU52" s="172"/>
      <c r="AV52" s="555"/>
      <c r="AY52" s="3">
        <v>1</v>
      </c>
    </row>
    <row r="53" spans="2:51" ht="27" customHeight="1">
      <c r="B53" s="196" t="s">
        <v>16</v>
      </c>
      <c r="C53" s="157" t="str">
        <f>C16</f>
        <v>C Coquetiers de l'Antoine | | Auteur &gt; Guy KRENZE - Eric GODDYN - Arnaud NICOLAS - CEPROC 2002</v>
      </c>
      <c r="D53" s="157">
        <f>D16</f>
        <v>20</v>
      </c>
      <c r="E53" s="158" t="str">
        <f>E16</f>
        <v>coquetiers de 25 g</v>
      </c>
      <c r="F53" s="159" t="str">
        <f>F16</f>
        <v>Recette mère ► le Boudin en 4 déclinaisons</v>
      </c>
      <c r="G53" s="172" t="s">
        <v>12847</v>
      </c>
      <c r="H53" s="172"/>
      <c r="I53" s="172"/>
      <c r="J53" s="172"/>
      <c r="K53" s="172"/>
      <c r="L53" s="172"/>
      <c r="M53" s="172"/>
      <c r="N53" s="172"/>
      <c r="O53" s="172"/>
      <c r="P53" s="555"/>
      <c r="Q53" s="555"/>
      <c r="R53" s="196" t="s">
        <v>16</v>
      </c>
      <c r="S53" s="157" t="str">
        <f>S16</f>
        <v>C Coquetiers de l'Antoine | |  Author &gt; Guy KRENZE - Eric GODDYN - Arnaud NICOLAS - CEPROC 2002</v>
      </c>
      <c r="T53" s="157">
        <f>T16</f>
        <v>20</v>
      </c>
      <c r="U53" s="158" t="str">
        <f>U16</f>
        <v>egg cups of 25 g</v>
      </c>
      <c r="V53" s="159" t="str">
        <f>V16</f>
        <v>Master recipe ► Black pudding in 4 variations</v>
      </c>
      <c r="W53" s="172"/>
      <c r="X53" s="172"/>
      <c r="Y53" s="172"/>
      <c r="Z53" s="172"/>
      <c r="AA53" s="172"/>
      <c r="AB53" s="172"/>
      <c r="AC53" s="172"/>
      <c r="AD53" s="172"/>
      <c r="AE53" s="172"/>
      <c r="AF53" s="555"/>
      <c r="AH53" s="196" t="s">
        <v>16</v>
      </c>
      <c r="AI53" s="157" t="str">
        <f>AI16</f>
        <v>C Coquetiers de l'Antoine | | Autor &gt; Guy KRENZE - Eric GODDYN - Arnaud NICOLAS - CEPROC 2002</v>
      </c>
      <c r="AJ53" s="157">
        <f>AJ16</f>
        <v>18</v>
      </c>
      <c r="AK53" s="158" t="str">
        <f>AK16</f>
        <v>hueveras de 25 g</v>
      </c>
      <c r="AL53" s="159" t="str">
        <f>AL16</f>
        <v>Receta madre ► Morcilla en 4 versiones</v>
      </c>
      <c r="AM53" s="172"/>
      <c r="AN53" s="172"/>
      <c r="AO53" s="172"/>
      <c r="AP53" s="172"/>
      <c r="AQ53" s="172"/>
      <c r="AR53" s="172"/>
      <c r="AS53" s="172"/>
      <c r="AT53" s="172"/>
      <c r="AU53" s="172"/>
      <c r="AV53" s="555"/>
      <c r="AY53" s="3">
        <v>1</v>
      </c>
    </row>
    <row r="54" spans="2:51" ht="27" customHeight="1">
      <c r="B54" s="196" t="s">
        <v>11</v>
      </c>
      <c r="C54" s="157" t="str">
        <f>C16</f>
        <v>C Coquetiers de l'Antoine | | Auteur &gt; Guy KRENZE - Eric GODDYN - Arnaud NICOLAS - CEPROC 2002</v>
      </c>
      <c r="D54" s="157">
        <f>D16</f>
        <v>20</v>
      </c>
      <c r="E54" s="158" t="str">
        <f>E16</f>
        <v>coquetiers de 25 g</v>
      </c>
      <c r="F54" s="159" t="str">
        <f>F16</f>
        <v>Recette mère ► le Boudin en 4 déclinaisons</v>
      </c>
      <c r="G54" s="172"/>
      <c r="H54" s="172"/>
      <c r="I54" s="172"/>
      <c r="J54" s="172"/>
      <c r="K54" s="172"/>
      <c r="L54" s="172"/>
      <c r="M54" s="172"/>
      <c r="N54" s="172"/>
      <c r="O54" s="172"/>
      <c r="P54" s="555"/>
      <c r="Q54" s="555"/>
      <c r="R54" s="196" t="s">
        <v>11</v>
      </c>
      <c r="S54" s="157" t="str">
        <f>S16</f>
        <v>C Coquetiers de l'Antoine | |  Author &gt; Guy KRENZE - Eric GODDYN - Arnaud NICOLAS - CEPROC 2002</v>
      </c>
      <c r="T54" s="157">
        <f>T16</f>
        <v>20</v>
      </c>
      <c r="U54" s="158" t="str">
        <f>U16</f>
        <v>egg cups of 25 g</v>
      </c>
      <c r="V54" s="159" t="str">
        <f>V16</f>
        <v>Master recipe ► Black pudding in 4 variations</v>
      </c>
      <c r="W54" s="172"/>
      <c r="X54" s="172"/>
      <c r="Y54" s="172"/>
      <c r="Z54" s="172"/>
      <c r="AA54" s="172"/>
      <c r="AB54" s="172"/>
      <c r="AC54" s="172"/>
      <c r="AD54" s="172"/>
      <c r="AE54" s="172"/>
      <c r="AF54" s="555"/>
      <c r="AH54" s="196" t="s">
        <v>11</v>
      </c>
      <c r="AI54" s="157" t="str">
        <f>AI16</f>
        <v>C Coquetiers de l'Antoine | | Autor &gt; Guy KRENZE - Eric GODDYN - Arnaud NICOLAS - CEPROC 2002</v>
      </c>
      <c r="AJ54" s="157">
        <f>AJ16</f>
        <v>18</v>
      </c>
      <c r="AK54" s="158" t="str">
        <f>AK16</f>
        <v>hueveras de 25 g</v>
      </c>
      <c r="AL54" s="159" t="str">
        <f>AL16</f>
        <v>Receta madre ► Morcilla en 4 versiones</v>
      </c>
      <c r="AM54" s="172"/>
      <c r="AN54" s="172"/>
      <c r="AO54" s="172"/>
      <c r="AP54" s="172"/>
      <c r="AQ54" s="172"/>
      <c r="AR54" s="172"/>
      <c r="AS54" s="172"/>
      <c r="AT54" s="172"/>
      <c r="AU54" s="172"/>
      <c r="AV54" s="555"/>
      <c r="AY54" s="3">
        <v>1</v>
      </c>
    </row>
    <row r="55" spans="2:51" ht="27" customHeight="1">
      <c r="B55" s="196" t="s">
        <v>11</v>
      </c>
      <c r="C55" s="157" t="str">
        <f>C16</f>
        <v>C Coquetiers de l'Antoine | | Auteur &gt; Guy KRENZE - Eric GODDYN - Arnaud NICOLAS - CEPROC 2002</v>
      </c>
      <c r="D55" s="157">
        <f>D16</f>
        <v>20</v>
      </c>
      <c r="E55" s="158" t="str">
        <f>E16</f>
        <v>coquetiers de 25 g</v>
      </c>
      <c r="F55" s="159" t="str">
        <f>F16</f>
        <v>Recette mère ► le Boudin en 4 déclinaisons</v>
      </c>
      <c r="G55" s="172"/>
      <c r="H55" s="172"/>
      <c r="I55" s="172"/>
      <c r="J55" s="172"/>
      <c r="K55" s="172"/>
      <c r="L55" s="172"/>
      <c r="M55" s="172"/>
      <c r="N55" s="172"/>
      <c r="O55" s="172"/>
      <c r="P55" s="1486" t="s">
        <v>197</v>
      </c>
      <c r="Q55" s="555"/>
      <c r="R55" s="196" t="s">
        <v>11</v>
      </c>
      <c r="S55" s="157" t="str">
        <f>S16</f>
        <v>C Coquetiers de l'Antoine | |  Author &gt; Guy KRENZE - Eric GODDYN - Arnaud NICOLAS - CEPROC 2002</v>
      </c>
      <c r="T55" s="157">
        <f>T16</f>
        <v>20</v>
      </c>
      <c r="U55" s="158" t="str">
        <f>U16</f>
        <v>egg cups of 25 g</v>
      </c>
      <c r="V55" s="159" t="str">
        <f>V16</f>
        <v>Master recipe ► Black pudding in 4 variations</v>
      </c>
      <c r="W55" s="172"/>
      <c r="X55" s="172"/>
      <c r="Y55" s="172"/>
      <c r="Z55" s="172"/>
      <c r="AA55" s="172"/>
      <c r="AB55" s="172"/>
      <c r="AC55" s="172"/>
      <c r="AD55" s="172"/>
      <c r="AE55" s="172"/>
      <c r="AF55" s="1486" t="s">
        <v>899</v>
      </c>
      <c r="AH55" s="196" t="s">
        <v>11</v>
      </c>
      <c r="AI55" s="157" t="str">
        <f>AI16</f>
        <v>C Coquetiers de l'Antoine | | Autor &gt; Guy KRENZE - Eric GODDYN - Arnaud NICOLAS - CEPROC 2002</v>
      </c>
      <c r="AJ55" s="157">
        <f>AJ16</f>
        <v>18</v>
      </c>
      <c r="AK55" s="158" t="str">
        <f>AK16</f>
        <v>hueveras de 25 g</v>
      </c>
      <c r="AL55" s="159" t="str">
        <f>AL16</f>
        <v>Receta madre ► Morcilla en 4 versiones</v>
      </c>
      <c r="AM55" s="172"/>
      <c r="AN55" s="172"/>
      <c r="AO55" s="172"/>
      <c r="AP55" s="172"/>
      <c r="AQ55" s="172"/>
      <c r="AR55" s="172"/>
      <c r="AS55" s="172"/>
      <c r="AT55" s="172"/>
      <c r="AU55" s="172"/>
      <c r="AV55" s="1486" t="s">
        <v>913</v>
      </c>
      <c r="AY55" s="3">
        <v>1</v>
      </c>
    </row>
    <row r="56" spans="2:51" ht="27" customHeight="1">
      <c r="B56" s="196" t="s">
        <v>11</v>
      </c>
      <c r="C56" s="157" t="str">
        <f>C16</f>
        <v>C Coquetiers de l'Antoine | | Auteur &gt; Guy KRENZE - Eric GODDYN - Arnaud NICOLAS - CEPROC 2002</v>
      </c>
      <c r="D56" s="157">
        <f>D16</f>
        <v>20</v>
      </c>
      <c r="E56" s="158" t="str">
        <f>E16</f>
        <v>coquetiers de 25 g</v>
      </c>
      <c r="F56" s="159" t="str">
        <f>F16</f>
        <v>Recette mère ► le Boudin en 4 déclinaisons</v>
      </c>
      <c r="G56" s="204"/>
      <c r="H56" s="204"/>
      <c r="I56" s="204" t="s">
        <v>201</v>
      </c>
      <c r="J56" s="205"/>
      <c r="K56" s="206"/>
      <c r="L56" s="206"/>
      <c r="M56" s="206"/>
      <c r="N56" s="206"/>
      <c r="O56" s="206"/>
      <c r="P56" s="567"/>
      <c r="Q56" s="555"/>
      <c r="R56" s="196" t="s">
        <v>11</v>
      </c>
      <c r="S56" s="157" t="str">
        <f>S16</f>
        <v>C Coquetiers de l'Antoine | |  Author &gt; Guy KRENZE - Eric GODDYN - Arnaud NICOLAS - CEPROC 2002</v>
      </c>
      <c r="T56" s="157">
        <f>T16</f>
        <v>20</v>
      </c>
      <c r="U56" s="158" t="str">
        <f>U16</f>
        <v>egg cups of 25 g</v>
      </c>
      <c r="V56" s="159" t="str">
        <f>V16</f>
        <v>Master recipe ► Black pudding in 4 variations</v>
      </c>
      <c r="W56" s="204"/>
      <c r="X56" s="204"/>
      <c r="Y56" s="204" t="s">
        <v>661</v>
      </c>
      <c r="Z56" s="205"/>
      <c r="AA56" s="206"/>
      <c r="AB56" s="206"/>
      <c r="AC56" s="206"/>
      <c r="AD56" s="206"/>
      <c r="AE56" s="206"/>
      <c r="AF56" s="567"/>
      <c r="AH56" s="196" t="s">
        <v>11</v>
      </c>
      <c r="AI56" s="157" t="str">
        <f>AI16</f>
        <v>C Coquetiers de l'Antoine | | Autor &gt; Guy KRENZE - Eric GODDYN - Arnaud NICOLAS - CEPROC 2002</v>
      </c>
      <c r="AJ56" s="157">
        <f>AJ16</f>
        <v>18</v>
      </c>
      <c r="AK56" s="158" t="str">
        <f>AK16</f>
        <v>hueveras de 25 g</v>
      </c>
      <c r="AL56" s="159" t="str">
        <f>AL16</f>
        <v>Receta madre ► Morcilla en 4 versiones</v>
      </c>
      <c r="AM56" s="204"/>
      <c r="AN56" s="204"/>
      <c r="AO56" s="204" t="s">
        <v>915</v>
      </c>
      <c r="AP56" s="205"/>
      <c r="AQ56" s="206"/>
      <c r="AR56" s="206"/>
      <c r="AS56" s="206"/>
      <c r="AT56" s="206"/>
      <c r="AU56" s="206"/>
      <c r="AV56" s="567"/>
      <c r="AY56" s="3">
        <v>1</v>
      </c>
    </row>
    <row r="57" spans="2:51" ht="27" customHeight="1">
      <c r="B57" s="196" t="s">
        <v>11</v>
      </c>
      <c r="C57" s="209" t="str">
        <f>C16</f>
        <v>C Coquetiers de l'Antoine | | Auteur &gt; Guy KRENZE - Eric GODDYN - Arnaud NICOLAS - CEPROC 2002</v>
      </c>
      <c r="D57" s="209">
        <f>D16</f>
        <v>20</v>
      </c>
      <c r="E57" s="210" t="str">
        <f>E16</f>
        <v>coquetiers de 25 g</v>
      </c>
      <c r="F57" s="211" t="str">
        <f>F16</f>
        <v>Recette mère ► le Boudin en 4 déclinaisons</v>
      </c>
      <c r="G57" s="212"/>
      <c r="H57" s="213"/>
      <c r="I57" s="214"/>
      <c r="J57" s="215"/>
      <c r="K57" s="214"/>
      <c r="L57" s="214"/>
      <c r="M57" s="214"/>
      <c r="N57" s="214"/>
      <c r="O57" s="214"/>
      <c r="P57" s="582"/>
      <c r="R57" s="196" t="s">
        <v>11</v>
      </c>
      <c r="S57" s="209" t="str">
        <f>S16</f>
        <v>C Coquetiers de l'Antoine | |  Author &gt; Guy KRENZE - Eric GODDYN - Arnaud NICOLAS - CEPROC 2002</v>
      </c>
      <c r="T57" s="209">
        <f>T16</f>
        <v>20</v>
      </c>
      <c r="U57" s="210" t="str">
        <f>U16</f>
        <v>egg cups of 25 g</v>
      </c>
      <c r="V57" s="211" t="str">
        <f>V16</f>
        <v>Master recipe ► Black pudding in 4 variations</v>
      </c>
      <c r="W57" s="212"/>
      <c r="X57" s="213"/>
      <c r="Y57" s="214"/>
      <c r="Z57" s="215"/>
      <c r="AA57" s="214"/>
      <c r="AB57" s="214"/>
      <c r="AC57" s="214"/>
      <c r="AD57" s="214"/>
      <c r="AE57" s="214"/>
      <c r="AF57" s="582"/>
      <c r="AH57" s="196" t="s">
        <v>11</v>
      </c>
      <c r="AI57" s="209" t="str">
        <f>AI16</f>
        <v>C Coquetiers de l'Antoine | | Autor &gt; Guy KRENZE - Eric GODDYN - Arnaud NICOLAS - CEPROC 2002</v>
      </c>
      <c r="AJ57" s="209">
        <f>AJ16</f>
        <v>18</v>
      </c>
      <c r="AK57" s="210" t="str">
        <f>AK16</f>
        <v>hueveras de 25 g</v>
      </c>
      <c r="AL57" s="211" t="str">
        <f>AL16</f>
        <v>Receta madre ► Morcilla en 4 versiones</v>
      </c>
      <c r="AM57" s="212"/>
      <c r="AN57" s="213"/>
      <c r="AO57" s="214"/>
      <c r="AP57" s="215"/>
      <c r="AQ57" s="214"/>
      <c r="AR57" s="214"/>
      <c r="AS57" s="214"/>
      <c r="AT57" s="214"/>
      <c r="AU57" s="214"/>
      <c r="AV57" s="582"/>
      <c r="AY57" s="3">
        <v>1</v>
      </c>
    </row>
    <row r="58" spans="2:51" ht="27" customHeight="1" thickBot="1">
      <c r="B58" s="216" t="s">
        <v>11</v>
      </c>
      <c r="C58" s="217"/>
      <c r="D58" s="217"/>
      <c r="E58" s="217"/>
      <c r="F58" s="218"/>
      <c r="G58" s="219" t="s">
        <v>208</v>
      </c>
      <c r="H58" s="1481" t="str">
        <f ca="1">CELL("nomfichier")</f>
        <v>D:\Données\1.UPRT\0-UPRT.fait\1-UPRT.FR-SITE-WEB\ff-fiches-fabrications\ff.fiches.fabrication.2023\ffr.restaurant.2023\[ff.FICHE.TRILINGUE.15.COLONNES.29.11.2025.xlsx]Notice.utilisateur</v>
      </c>
      <c r="I58" s="220"/>
      <c r="J58" s="220"/>
      <c r="K58" s="220"/>
      <c r="L58" s="220"/>
      <c r="M58" s="220"/>
      <c r="N58" s="220"/>
      <c r="O58" s="220"/>
      <c r="P58" s="221"/>
      <c r="R58" s="216" t="s">
        <v>11</v>
      </c>
      <c r="S58" s="217"/>
      <c r="T58" s="217"/>
      <c r="U58" s="217"/>
      <c r="V58" s="218"/>
      <c r="W58" s="219" t="s">
        <v>208</v>
      </c>
      <c r="X58" s="1481" t="str">
        <f ca="1">CELL("nomfichier")</f>
        <v>D:\Données\1.UPRT\0-UPRT.fait\1-UPRT.FR-SITE-WEB\ff-fiches-fabrications\ff.fiches.fabrication.2023\ffr.restaurant.2023\[ff.FICHE.TRILINGUE.15.COLONNES.29.11.2025.xlsx]Notice.utilisateur</v>
      </c>
      <c r="Y58" s="220"/>
      <c r="Z58" s="220"/>
      <c r="AA58" s="220"/>
      <c r="AB58" s="220"/>
      <c r="AC58" s="220"/>
      <c r="AD58" s="220"/>
      <c r="AE58" s="220"/>
      <c r="AF58" s="221"/>
      <c r="AH58" s="216" t="s">
        <v>11</v>
      </c>
      <c r="AI58" s="217"/>
      <c r="AJ58" s="217"/>
      <c r="AK58" s="217"/>
      <c r="AL58" s="218"/>
      <c r="AM58" s="219" t="s">
        <v>208</v>
      </c>
      <c r="AN58" s="1481" t="str">
        <f ca="1">CELL("nomfichier")</f>
        <v>D:\Données\1.UPRT\0-UPRT.fait\1-UPRT.FR-SITE-WEB\ff-fiches-fabrications\ff.fiches.fabrication.2023\ffr.restaurant.2023\[ff.FICHE.TRILINGUE.15.COLONNES.29.11.2025.xlsx]Notice.utilisateur</v>
      </c>
      <c r="AO58" s="220"/>
      <c r="AP58" s="220"/>
      <c r="AQ58" s="220"/>
      <c r="AR58" s="220"/>
      <c r="AS58" s="220"/>
      <c r="AT58" s="220"/>
      <c r="AU58" s="220"/>
      <c r="AV58" s="221"/>
      <c r="AY58" s="3">
        <v>1</v>
      </c>
    </row>
    <row r="59" spans="2:51" ht="27" customHeight="1" thickBot="1">
      <c r="B59" s="1478" t="s">
        <v>11</v>
      </c>
      <c r="C59" s="1479" t="s">
        <v>11</v>
      </c>
      <c r="D59" s="1479" t="s">
        <v>11</v>
      </c>
      <c r="E59" s="1479" t="s">
        <v>11</v>
      </c>
      <c r="F59" s="1479" t="s">
        <v>11</v>
      </c>
      <c r="G59" s="1480" t="s">
        <v>2613</v>
      </c>
      <c r="H59" s="1140"/>
      <c r="I59" s="1141"/>
      <c r="J59" s="1142"/>
      <c r="K59" s="1143"/>
      <c r="L59" s="1144"/>
      <c r="M59" s="1145"/>
      <c r="N59" s="1145"/>
      <c r="O59" s="1146"/>
      <c r="P59" s="1147"/>
      <c r="R59" s="1478" t="s">
        <v>11</v>
      </c>
      <c r="S59" s="1479" t="s">
        <v>11</v>
      </c>
      <c r="T59" s="1479" t="s">
        <v>11</v>
      </c>
      <c r="U59" s="1479" t="s">
        <v>11</v>
      </c>
      <c r="V59" s="1479" t="s">
        <v>11</v>
      </c>
      <c r="W59" s="1480" t="s">
        <v>2613</v>
      </c>
      <c r="X59" s="1140"/>
      <c r="Y59" s="1141"/>
      <c r="Z59" s="1142"/>
      <c r="AA59" s="1143"/>
      <c r="AB59" s="1144"/>
      <c r="AC59" s="1145"/>
      <c r="AD59" s="1145"/>
      <c r="AE59" s="1146"/>
      <c r="AF59" s="1147"/>
      <c r="AH59" s="1478" t="s">
        <v>11</v>
      </c>
      <c r="AI59" s="1479" t="s">
        <v>11</v>
      </c>
      <c r="AJ59" s="1479" t="s">
        <v>11</v>
      </c>
      <c r="AK59" s="1479" t="s">
        <v>11</v>
      </c>
      <c r="AL59" s="1479" t="s">
        <v>11</v>
      </c>
      <c r="AM59" s="1480" t="s">
        <v>2613</v>
      </c>
      <c r="AN59" s="1140"/>
      <c r="AO59" s="1141"/>
      <c r="AP59" s="1142"/>
      <c r="AQ59" s="1143"/>
      <c r="AR59" s="1144"/>
      <c r="AS59" s="1145"/>
      <c r="AT59" s="1145"/>
      <c r="AU59" s="1146"/>
      <c r="AV59" s="1147"/>
      <c r="AY59" s="3">
        <v>1</v>
      </c>
    </row>
    <row r="60" spans="2:51" ht="27" customHeight="1">
      <c r="B60" s="104"/>
      <c r="C60" s="1172"/>
      <c r="D60" s="1172"/>
      <c r="E60" s="1172"/>
      <c r="F60" s="1173"/>
      <c r="G60" s="1174"/>
      <c r="H60" s="1175"/>
      <c r="I60" s="1176"/>
      <c r="J60" s="1177"/>
      <c r="K60" s="1547"/>
      <c r="L60" s="1177"/>
      <c r="M60" s="1548"/>
      <c r="N60" s="1549"/>
      <c r="O60" s="1178"/>
      <c r="P60" s="1179"/>
      <c r="Q60" s="1171"/>
      <c r="R60" s="104"/>
      <c r="S60" s="1172"/>
      <c r="T60" s="1172"/>
      <c r="U60" s="1172"/>
      <c r="V60" s="1173"/>
      <c r="W60" s="1174"/>
      <c r="X60" s="1175"/>
      <c r="Y60" s="1176"/>
      <c r="Z60" s="1177"/>
      <c r="AA60" s="1547"/>
      <c r="AB60" s="1177"/>
      <c r="AC60" s="1548"/>
      <c r="AD60" s="1549"/>
      <c r="AE60" s="1178"/>
      <c r="AF60" s="1179"/>
      <c r="AG60" s="1171"/>
      <c r="AH60" s="104"/>
      <c r="AI60" s="1172"/>
      <c r="AJ60" s="1172"/>
      <c r="AK60" s="1172"/>
      <c r="AL60" s="1173"/>
      <c r="AM60" s="1174"/>
      <c r="AN60" s="1175"/>
      <c r="AO60" s="1176"/>
      <c r="AP60" s="1177"/>
      <c r="AQ60" s="1547"/>
      <c r="AR60" s="1177"/>
      <c r="AS60" s="1548"/>
      <c r="AT60" s="1549"/>
      <c r="AU60" s="1178"/>
      <c r="AV60" s="1179"/>
      <c r="AY60" s="3">
        <v>1</v>
      </c>
    </row>
    <row r="61" spans="2:51" ht="27" customHeight="1">
      <c r="B61" s="104"/>
      <c r="C61" s="1172"/>
      <c r="D61" s="1172"/>
      <c r="E61" s="1172"/>
      <c r="F61" s="1173"/>
      <c r="G61" s="1174"/>
      <c r="H61" s="1175"/>
      <c r="I61" s="1176"/>
      <c r="J61" s="1177"/>
      <c r="K61" s="1547"/>
      <c r="L61" s="1177"/>
      <c r="M61" s="1548"/>
      <c r="N61" s="1549"/>
      <c r="O61" s="1178"/>
      <c r="P61" s="1179"/>
      <c r="Q61" s="1171"/>
      <c r="R61" s="104"/>
      <c r="S61" s="1172"/>
      <c r="T61" s="1172"/>
      <c r="U61" s="1172"/>
      <c r="V61" s="1173"/>
      <c r="W61" s="1174"/>
      <c r="X61" s="1175"/>
      <c r="Y61" s="1176"/>
      <c r="Z61" s="1177"/>
      <c r="AA61" s="1547"/>
      <c r="AB61" s="1177"/>
      <c r="AC61" s="1548"/>
      <c r="AD61" s="1549"/>
      <c r="AE61" s="1178"/>
      <c r="AF61" s="1179"/>
      <c r="AG61" s="1171"/>
      <c r="AH61" s="104"/>
      <c r="AI61" s="1172"/>
      <c r="AJ61" s="1172"/>
      <c r="AK61" s="1172"/>
      <c r="AL61" s="1173"/>
      <c r="AM61" s="1174"/>
      <c r="AN61" s="1175"/>
      <c r="AO61" s="1176"/>
      <c r="AP61" s="1177"/>
      <c r="AQ61" s="1547"/>
      <c r="AR61" s="1177"/>
      <c r="AS61" s="1548"/>
      <c r="AT61" s="1549"/>
      <c r="AU61" s="1178"/>
      <c r="AV61" s="1179"/>
      <c r="AY61" s="3">
        <v>1</v>
      </c>
    </row>
    <row r="62" spans="2:51" ht="27" customHeight="1">
      <c r="B62" s="104"/>
      <c r="C62" s="1172"/>
      <c r="D62" s="1172"/>
      <c r="E62" s="1172"/>
      <c r="F62" s="1173"/>
      <c r="G62" s="1174"/>
      <c r="H62" s="1175"/>
      <c r="I62" s="1176"/>
      <c r="J62" s="1177"/>
      <c r="K62" s="1547"/>
      <c r="L62" s="1177"/>
      <c r="M62" s="1548"/>
      <c r="N62" s="1549"/>
      <c r="O62" s="1178"/>
      <c r="P62" s="1179"/>
      <c r="Q62" s="1171"/>
      <c r="R62" s="104"/>
      <c r="S62" s="1172"/>
      <c r="T62" s="1172"/>
      <c r="U62" s="1172"/>
      <c r="V62" s="1173"/>
      <c r="W62" s="1174"/>
      <c r="X62" s="1175"/>
      <c r="Y62" s="1176"/>
      <c r="Z62" s="1177"/>
      <c r="AA62" s="1547"/>
      <c r="AB62" s="1177"/>
      <c r="AC62" s="1548"/>
      <c r="AD62" s="1549"/>
      <c r="AE62" s="1178"/>
      <c r="AF62" s="1179"/>
      <c r="AG62" s="1171"/>
      <c r="AH62" s="104"/>
      <c r="AI62" s="1172"/>
      <c r="AJ62" s="1172"/>
      <c r="AK62" s="1172"/>
      <c r="AL62" s="1173"/>
      <c r="AM62" s="1174"/>
      <c r="AN62" s="1175"/>
      <c r="AO62" s="1176"/>
      <c r="AP62" s="1177"/>
      <c r="AQ62" s="1547"/>
      <c r="AR62" s="1177"/>
      <c r="AS62" s="1548"/>
      <c r="AT62" s="1549"/>
      <c r="AU62" s="1178"/>
      <c r="AV62" s="1179"/>
      <c r="AY62" s="3">
        <v>1</v>
      </c>
    </row>
    <row r="63" spans="2:51" ht="27" customHeight="1">
      <c r="B63" s="104"/>
      <c r="C63" s="1172"/>
      <c r="D63" s="1172"/>
      <c r="E63" s="1172"/>
      <c r="F63" s="1173"/>
      <c r="G63" s="1174"/>
      <c r="H63" s="1175"/>
      <c r="I63" s="1176"/>
      <c r="J63" s="1177"/>
      <c r="K63" s="1547"/>
      <c r="L63" s="1177"/>
      <c r="M63" s="1548"/>
      <c r="N63" s="1549"/>
      <c r="O63" s="1178"/>
      <c r="P63" s="1179"/>
      <c r="Q63" s="1171"/>
      <c r="R63" s="104"/>
      <c r="S63" s="1172"/>
      <c r="T63" s="1172"/>
      <c r="U63" s="1172"/>
      <c r="V63" s="1173"/>
      <c r="W63" s="1174"/>
      <c r="X63" s="1175"/>
      <c r="Y63" s="1176"/>
      <c r="Z63" s="1177"/>
      <c r="AA63" s="1547"/>
      <c r="AB63" s="1177"/>
      <c r="AC63" s="1548"/>
      <c r="AD63" s="1549"/>
      <c r="AE63" s="1178"/>
      <c r="AF63" s="1179"/>
      <c r="AG63" s="1171"/>
      <c r="AH63" s="104"/>
      <c r="AI63" s="1172"/>
      <c r="AJ63" s="1172"/>
      <c r="AK63" s="1172"/>
      <c r="AL63" s="1173"/>
      <c r="AM63" s="1174"/>
      <c r="AN63" s="1175"/>
      <c r="AO63" s="1176"/>
      <c r="AP63" s="1177"/>
      <c r="AQ63" s="1547"/>
      <c r="AR63" s="1177"/>
      <c r="AS63" s="1548"/>
      <c r="AT63" s="1549"/>
      <c r="AU63" s="1178"/>
      <c r="AV63" s="1179"/>
      <c r="AY63" s="3">
        <v>1</v>
      </c>
    </row>
    <row r="64" spans="2:51" ht="27" customHeight="1">
      <c r="B64" s="104"/>
      <c r="C64" s="1172"/>
      <c r="D64" s="1172"/>
      <c r="E64" s="1172"/>
      <c r="F64" s="1173"/>
      <c r="G64" s="1174"/>
      <c r="H64" s="1175"/>
      <c r="I64" s="1176"/>
      <c r="J64" s="1177"/>
      <c r="K64" s="1547"/>
      <c r="L64" s="1177"/>
      <c r="M64" s="1548"/>
      <c r="N64" s="1549"/>
      <c r="O64" s="1178"/>
      <c r="P64" s="1179"/>
      <c r="Q64" s="1171"/>
      <c r="R64" s="104"/>
      <c r="S64" s="1172"/>
      <c r="T64" s="1172"/>
      <c r="U64" s="1172"/>
      <c r="V64" s="1173"/>
      <c r="W64" s="1174"/>
      <c r="X64" s="1175"/>
      <c r="Y64" s="1176"/>
      <c r="Z64" s="1177"/>
      <c r="AA64" s="1547"/>
      <c r="AB64" s="1177"/>
      <c r="AC64" s="1548"/>
      <c r="AD64" s="1549"/>
      <c r="AE64" s="1178"/>
      <c r="AF64" s="1179"/>
      <c r="AG64" s="1171"/>
      <c r="AH64" s="104"/>
      <c r="AI64" s="1172"/>
      <c r="AJ64" s="1172"/>
      <c r="AK64" s="1172"/>
      <c r="AL64" s="1173"/>
      <c r="AM64" s="1174"/>
      <c r="AN64" s="1175"/>
      <c r="AO64" s="1176"/>
      <c r="AP64" s="1177"/>
      <c r="AQ64" s="1547"/>
      <c r="AR64" s="1177"/>
      <c r="AS64" s="1548"/>
      <c r="AT64" s="1549"/>
      <c r="AU64" s="1178"/>
      <c r="AV64" s="1179"/>
      <c r="AY64" s="3">
        <v>1</v>
      </c>
    </row>
    <row r="65" spans="2:51" ht="27" customHeight="1">
      <c r="B65" s="104"/>
      <c r="C65" s="1172"/>
      <c r="D65" s="1172"/>
      <c r="E65" s="1172"/>
      <c r="F65" s="1173"/>
      <c r="G65" s="1174"/>
      <c r="H65" s="1175"/>
      <c r="I65" s="1176"/>
      <c r="J65" s="1177"/>
      <c r="K65" s="1547"/>
      <c r="L65" s="1177"/>
      <c r="M65" s="1548"/>
      <c r="N65" s="1549"/>
      <c r="O65" s="1178"/>
      <c r="P65" s="1179"/>
      <c r="Q65" s="1171"/>
      <c r="R65" s="104"/>
      <c r="S65" s="1172"/>
      <c r="T65" s="1172"/>
      <c r="U65" s="1172"/>
      <c r="V65" s="1173"/>
      <c r="W65" s="1174"/>
      <c r="X65" s="1175"/>
      <c r="Y65" s="1176"/>
      <c r="Z65" s="1177"/>
      <c r="AA65" s="1547"/>
      <c r="AB65" s="1177"/>
      <c r="AC65" s="1548"/>
      <c r="AD65" s="1549"/>
      <c r="AE65" s="1178"/>
      <c r="AF65" s="1179"/>
      <c r="AG65" s="1171"/>
      <c r="AH65" s="104"/>
      <c r="AI65" s="1172"/>
      <c r="AJ65" s="1172"/>
      <c r="AK65" s="1172"/>
      <c r="AL65" s="1173"/>
      <c r="AM65" s="1174"/>
      <c r="AN65" s="1175"/>
      <c r="AO65" s="1176"/>
      <c r="AP65" s="1177"/>
      <c r="AQ65" s="1547"/>
      <c r="AR65" s="1177"/>
      <c r="AS65" s="1548"/>
      <c r="AT65" s="1549"/>
      <c r="AU65" s="1178"/>
      <c r="AV65" s="1179"/>
      <c r="AY65" s="3">
        <v>1</v>
      </c>
    </row>
    <row r="66" spans="2:51" ht="27" customHeight="1">
      <c r="B66" s="104"/>
      <c r="C66" s="1172"/>
      <c r="D66" s="1172"/>
      <c r="E66" s="1172"/>
      <c r="F66" s="1173"/>
      <c r="G66" s="1174"/>
      <c r="H66" s="1175"/>
      <c r="I66" s="1176"/>
      <c r="J66" s="1177"/>
      <c r="K66" s="1547"/>
      <c r="L66" s="1177"/>
      <c r="M66" s="1548"/>
      <c r="N66" s="1549"/>
      <c r="O66" s="1178"/>
      <c r="P66" s="1179"/>
      <c r="Q66" s="1171"/>
      <c r="R66" s="104"/>
      <c r="S66" s="1172"/>
      <c r="T66" s="1172"/>
      <c r="U66" s="1172"/>
      <c r="V66" s="1173"/>
      <c r="W66" s="1174"/>
      <c r="X66" s="1175"/>
      <c r="Y66" s="1176"/>
      <c r="Z66" s="1177"/>
      <c r="AA66" s="1547"/>
      <c r="AB66" s="1177"/>
      <c r="AC66" s="1548"/>
      <c r="AD66" s="1549"/>
      <c r="AE66" s="1178"/>
      <c r="AF66" s="1179"/>
      <c r="AH66" s="104"/>
      <c r="AI66" s="1172"/>
      <c r="AJ66" s="1172"/>
      <c r="AK66" s="1172"/>
      <c r="AL66" s="1173"/>
      <c r="AM66" s="1174"/>
      <c r="AN66" s="1175"/>
      <c r="AO66" s="1176"/>
      <c r="AP66" s="1177"/>
      <c r="AQ66" s="1547"/>
      <c r="AR66" s="1177"/>
      <c r="AS66" s="1548"/>
      <c r="AT66" s="1549"/>
      <c r="AU66" s="1178"/>
      <c r="AV66" s="1179"/>
      <c r="AY66" s="3">
        <v>1</v>
      </c>
    </row>
    <row r="67" spans="2:51" ht="27" customHeight="1">
      <c r="B67" s="104"/>
      <c r="C67" s="1172"/>
      <c r="D67" s="1172"/>
      <c r="E67" s="1172"/>
      <c r="F67" s="1173"/>
      <c r="G67" s="1174"/>
      <c r="H67" s="1175"/>
      <c r="I67" s="1176"/>
      <c r="J67" s="1177"/>
      <c r="K67" s="1547"/>
      <c r="L67" s="1177"/>
      <c r="M67" s="1548"/>
      <c r="N67" s="1549"/>
      <c r="O67" s="1178"/>
      <c r="P67" s="1179"/>
      <c r="Q67" s="1171"/>
      <c r="R67" s="104"/>
      <c r="S67" s="1172"/>
      <c r="T67" s="1172"/>
      <c r="U67" s="1172"/>
      <c r="V67" s="1173"/>
      <c r="W67" s="1174"/>
      <c r="X67" s="1175"/>
      <c r="Y67" s="1176"/>
      <c r="Z67" s="1177"/>
      <c r="AA67" s="1547"/>
      <c r="AB67" s="1177"/>
      <c r="AC67" s="1548"/>
      <c r="AD67" s="1549"/>
      <c r="AE67" s="1178"/>
      <c r="AF67" s="1179"/>
      <c r="AH67" s="104"/>
      <c r="AI67" s="1172"/>
      <c r="AJ67" s="1172"/>
      <c r="AK67" s="1172"/>
      <c r="AL67" s="1173"/>
      <c r="AM67" s="1174"/>
      <c r="AN67" s="1175"/>
      <c r="AO67" s="1176"/>
      <c r="AP67" s="1177"/>
      <c r="AQ67" s="1547"/>
      <c r="AR67" s="1177"/>
      <c r="AS67" s="1548"/>
      <c r="AT67" s="1549"/>
      <c r="AU67" s="1178"/>
      <c r="AV67" s="1179"/>
      <c r="AY67" s="3">
        <v>1</v>
      </c>
    </row>
    <row r="68" spans="2:51" ht="27" customHeight="1">
      <c r="B68" s="104"/>
      <c r="C68" s="1172"/>
      <c r="D68" s="1172"/>
      <c r="E68" s="1172"/>
      <c r="F68" s="1173"/>
      <c r="G68" s="1174"/>
      <c r="H68" s="1175"/>
      <c r="I68" s="1176"/>
      <c r="J68" s="1177"/>
      <c r="K68" s="1547"/>
      <c r="L68" s="1177"/>
      <c r="M68" s="1548"/>
      <c r="N68" s="1549"/>
      <c r="O68" s="1178"/>
      <c r="P68" s="1179"/>
      <c r="Q68" s="1171"/>
      <c r="R68" s="104"/>
      <c r="S68" s="1172"/>
      <c r="T68" s="1172"/>
      <c r="U68" s="1172"/>
      <c r="V68" s="1173"/>
      <c r="W68" s="1174"/>
      <c r="X68" s="1175"/>
      <c r="Y68" s="1176"/>
      <c r="Z68" s="1177"/>
      <c r="AA68" s="1547"/>
      <c r="AB68" s="1177"/>
      <c r="AC68" s="1548"/>
      <c r="AD68" s="1549"/>
      <c r="AE68" s="1178"/>
      <c r="AF68" s="1179"/>
      <c r="AH68" s="104"/>
      <c r="AI68" s="1172"/>
      <c r="AJ68" s="1172"/>
      <c r="AK68" s="1172"/>
      <c r="AL68" s="1173"/>
      <c r="AM68" s="1174"/>
      <c r="AN68" s="1175"/>
      <c r="AO68" s="1176"/>
      <c r="AP68" s="1177"/>
      <c r="AQ68" s="1547"/>
      <c r="AR68" s="1177"/>
      <c r="AS68" s="1548"/>
      <c r="AT68" s="1549"/>
      <c r="AU68" s="1178"/>
      <c r="AV68" s="1179"/>
      <c r="AY68" s="3">
        <v>1</v>
      </c>
    </row>
    <row r="69" spans="2:51" ht="27" customHeight="1">
      <c r="B69" s="104"/>
      <c r="C69" s="1172"/>
      <c r="D69" s="1172"/>
      <c r="E69" s="1172"/>
      <c r="F69" s="1173"/>
      <c r="G69" s="1174"/>
      <c r="H69" s="1175"/>
      <c r="I69" s="1176"/>
      <c r="J69" s="1177"/>
      <c r="K69" s="1547"/>
      <c r="L69" s="1177"/>
      <c r="M69" s="1548"/>
      <c r="N69" s="1549"/>
      <c r="O69" s="1178"/>
      <c r="P69" s="1179"/>
      <c r="Q69" s="1171"/>
      <c r="R69" s="104"/>
      <c r="S69" s="1172"/>
      <c r="T69" s="1172"/>
      <c r="U69" s="1172"/>
      <c r="V69" s="1173"/>
      <c r="W69" s="1174"/>
      <c r="X69" s="1175"/>
      <c r="Y69" s="1176"/>
      <c r="Z69" s="1177"/>
      <c r="AA69" s="1547"/>
      <c r="AB69" s="1177"/>
      <c r="AC69" s="1548"/>
      <c r="AD69" s="1549"/>
      <c r="AE69" s="1178"/>
      <c r="AF69" s="1179"/>
      <c r="AG69" s="1171"/>
      <c r="AH69" s="104"/>
      <c r="AI69" s="1172"/>
      <c r="AJ69" s="1172"/>
      <c r="AK69" s="1172"/>
      <c r="AL69" s="1173"/>
      <c r="AM69" s="1174"/>
      <c r="AN69" s="1175"/>
      <c r="AO69" s="1176"/>
      <c r="AP69" s="1177"/>
      <c r="AQ69" s="1547"/>
      <c r="AR69" s="1177"/>
      <c r="AS69" s="1548"/>
      <c r="AT69" s="1549"/>
      <c r="AU69" s="1178"/>
      <c r="AV69" s="1179"/>
      <c r="AY69" s="3">
        <v>1</v>
      </c>
    </row>
    <row r="70" spans="2:51" ht="27" customHeight="1">
      <c r="B70" s="104"/>
      <c r="C70" s="1172"/>
      <c r="D70" s="1172"/>
      <c r="E70" s="1172"/>
      <c r="F70" s="1173"/>
      <c r="G70" s="1174"/>
      <c r="H70" s="1175"/>
      <c r="I70" s="1176"/>
      <c r="J70" s="1177"/>
      <c r="K70" s="1547"/>
      <c r="L70" s="1177"/>
      <c r="M70" s="1548"/>
      <c r="N70" s="1549"/>
      <c r="O70" s="1178"/>
      <c r="P70" s="1179"/>
      <c r="Q70" s="1171"/>
      <c r="R70" s="104"/>
      <c r="S70" s="1172"/>
      <c r="T70" s="1172"/>
      <c r="U70" s="1172"/>
      <c r="V70" s="1173"/>
      <c r="W70" s="1174"/>
      <c r="X70" s="1175"/>
      <c r="Y70" s="1176"/>
      <c r="Z70" s="1177"/>
      <c r="AA70" s="1547"/>
      <c r="AB70" s="1177"/>
      <c r="AC70" s="1548"/>
      <c r="AD70" s="1549"/>
      <c r="AE70" s="1178"/>
      <c r="AF70" s="1179"/>
      <c r="AG70" s="1171"/>
      <c r="AH70" s="104"/>
      <c r="AI70" s="1172"/>
      <c r="AJ70" s="1172"/>
      <c r="AK70" s="1172"/>
      <c r="AL70" s="1173"/>
      <c r="AM70" s="1174"/>
      <c r="AN70" s="1175"/>
      <c r="AO70" s="1176"/>
      <c r="AP70" s="1177"/>
      <c r="AQ70" s="1547"/>
      <c r="AR70" s="1177"/>
      <c r="AS70" s="1548"/>
      <c r="AT70" s="1549"/>
      <c r="AU70" s="1178"/>
      <c r="AV70" s="1179"/>
      <c r="AY70" s="3">
        <v>1</v>
      </c>
    </row>
    <row r="71" spans="2:51" ht="27" customHeight="1">
      <c r="B71" s="104"/>
      <c r="C71" s="1172"/>
      <c r="D71" s="1172"/>
      <c r="E71" s="1172"/>
      <c r="F71" s="1173"/>
      <c r="G71" s="1174"/>
      <c r="H71" s="1175"/>
      <c r="I71" s="1176"/>
      <c r="J71" s="1177"/>
      <c r="K71" s="1547"/>
      <c r="L71" s="1177"/>
      <c r="M71" s="1548"/>
      <c r="N71" s="1549"/>
      <c r="O71" s="1178"/>
      <c r="P71" s="1179"/>
      <c r="Q71" s="1171"/>
      <c r="R71" s="104"/>
      <c r="S71" s="1172"/>
      <c r="T71" s="1172"/>
      <c r="U71" s="1172"/>
      <c r="V71" s="1173"/>
      <c r="W71" s="1174"/>
      <c r="X71" s="1175"/>
      <c r="Y71" s="1176"/>
      <c r="Z71" s="1177"/>
      <c r="AA71" s="1547"/>
      <c r="AB71" s="1177"/>
      <c r="AC71" s="1548"/>
      <c r="AD71" s="1549"/>
      <c r="AE71" s="1178"/>
      <c r="AF71" s="1179"/>
      <c r="AG71" s="1171"/>
      <c r="AH71" s="104"/>
      <c r="AI71" s="1172"/>
      <c r="AJ71" s="1172"/>
      <c r="AK71" s="1172"/>
      <c r="AL71" s="1173"/>
      <c r="AM71" s="1174"/>
      <c r="AN71" s="1175"/>
      <c r="AO71" s="1176"/>
      <c r="AP71" s="1177"/>
      <c r="AQ71" s="1547"/>
      <c r="AR71" s="1177"/>
      <c r="AS71" s="1548"/>
      <c r="AT71" s="1549"/>
      <c r="AU71" s="1178"/>
      <c r="AV71" s="1179"/>
      <c r="AY71" s="3">
        <v>1</v>
      </c>
    </row>
    <row r="72" spans="2:51" ht="27" customHeight="1">
      <c r="B72" s="104"/>
      <c r="C72" s="1172"/>
      <c r="D72" s="1172"/>
      <c r="E72" s="1172"/>
      <c r="F72" s="1173"/>
      <c r="G72" s="1174"/>
      <c r="H72" s="1175"/>
      <c r="I72" s="1176"/>
      <c r="J72" s="1177"/>
      <c r="K72" s="1547"/>
      <c r="L72" s="1177"/>
      <c r="M72" s="1548"/>
      <c r="N72" s="1549"/>
      <c r="O72" s="1178"/>
      <c r="P72" s="1179"/>
      <c r="Q72" s="1171"/>
      <c r="R72" s="104"/>
      <c r="S72" s="1172"/>
      <c r="T72" s="1172"/>
      <c r="U72" s="1172"/>
      <c r="V72" s="1173"/>
      <c r="W72" s="1174"/>
      <c r="X72" s="1175"/>
      <c r="Y72" s="1176"/>
      <c r="Z72" s="1177"/>
      <c r="AA72" s="1547"/>
      <c r="AB72" s="1177"/>
      <c r="AC72" s="1548"/>
      <c r="AD72" s="1549"/>
      <c r="AE72" s="1178"/>
      <c r="AF72" s="1179"/>
      <c r="AG72" s="1171"/>
      <c r="AH72" s="104"/>
      <c r="AI72" s="1172"/>
      <c r="AJ72" s="1172"/>
      <c r="AK72" s="1172"/>
      <c r="AL72" s="1173"/>
      <c r="AM72" s="1174"/>
      <c r="AN72" s="1175"/>
      <c r="AO72" s="1176"/>
      <c r="AP72" s="1177"/>
      <c r="AQ72" s="1547"/>
      <c r="AR72" s="1177"/>
      <c r="AS72" s="1548"/>
      <c r="AT72" s="1549"/>
      <c r="AU72" s="1178"/>
      <c r="AV72" s="1179"/>
      <c r="AY72" s="3">
        <v>1</v>
      </c>
    </row>
    <row r="73" spans="2:51" ht="27" customHeight="1">
      <c r="B73" s="104"/>
      <c r="C73" s="1172"/>
      <c r="D73" s="1172"/>
      <c r="E73" s="1172"/>
      <c r="F73" s="1173"/>
      <c r="G73" s="1174"/>
      <c r="H73" s="1175"/>
      <c r="I73" s="1176"/>
      <c r="J73" s="1177"/>
      <c r="K73" s="1547"/>
      <c r="L73" s="1177"/>
      <c r="M73" s="1548"/>
      <c r="N73" s="1549"/>
      <c r="O73" s="1178"/>
      <c r="P73" s="1179"/>
      <c r="Q73" s="1171"/>
      <c r="R73" s="104"/>
      <c r="S73" s="1172"/>
      <c r="T73" s="1172"/>
      <c r="U73" s="1172"/>
      <c r="V73" s="1173"/>
      <c r="W73" s="1174"/>
      <c r="X73" s="1175"/>
      <c r="Y73" s="1176"/>
      <c r="Z73" s="1177"/>
      <c r="AA73" s="1547"/>
      <c r="AB73" s="1177"/>
      <c r="AC73" s="1548"/>
      <c r="AD73" s="1549"/>
      <c r="AE73" s="1178"/>
      <c r="AF73" s="1179"/>
      <c r="AG73" s="1171"/>
      <c r="AH73" s="104"/>
      <c r="AI73" s="1172"/>
      <c r="AJ73" s="1172"/>
      <c r="AK73" s="1172"/>
      <c r="AL73" s="1173"/>
      <c r="AM73" s="1174"/>
      <c r="AN73" s="1175"/>
      <c r="AO73" s="1176"/>
      <c r="AP73" s="1177"/>
      <c r="AQ73" s="1547"/>
      <c r="AR73" s="1177"/>
      <c r="AS73" s="1548"/>
      <c r="AT73" s="1549"/>
      <c r="AU73" s="1178"/>
      <c r="AV73" s="1179"/>
      <c r="AY73" s="3">
        <v>1</v>
      </c>
    </row>
    <row r="74" spans="2:51" ht="27" customHeight="1">
      <c r="B74" s="104"/>
      <c r="C74" s="1172"/>
      <c r="D74" s="1172"/>
      <c r="E74" s="1172"/>
      <c r="F74" s="1173"/>
      <c r="G74" s="1174"/>
      <c r="H74" s="1175"/>
      <c r="I74" s="1176"/>
      <c r="J74" s="1177"/>
      <c r="K74" s="1547"/>
      <c r="L74" s="1177"/>
      <c r="M74" s="1548"/>
      <c r="N74" s="1549"/>
      <c r="O74" s="1178"/>
      <c r="P74" s="1179"/>
      <c r="Q74" s="1171"/>
      <c r="R74" s="104"/>
      <c r="S74" s="1172"/>
      <c r="T74" s="1172"/>
      <c r="U74" s="1172"/>
      <c r="V74" s="1173"/>
      <c r="W74" s="1174"/>
      <c r="X74" s="1175"/>
      <c r="Y74" s="1176"/>
      <c r="Z74" s="1177"/>
      <c r="AA74" s="1547"/>
      <c r="AB74" s="1177"/>
      <c r="AC74" s="1548"/>
      <c r="AD74" s="1549"/>
      <c r="AE74" s="1178"/>
      <c r="AF74" s="1179"/>
      <c r="AG74" s="1171"/>
      <c r="AH74" s="104"/>
      <c r="AI74" s="1172"/>
      <c r="AJ74" s="1172"/>
      <c r="AK74" s="1172"/>
      <c r="AL74" s="1173"/>
      <c r="AM74" s="1174"/>
      <c r="AN74" s="1175"/>
      <c r="AO74" s="1176"/>
      <c r="AP74" s="1177"/>
      <c r="AQ74" s="1547"/>
      <c r="AR74" s="1177"/>
      <c r="AS74" s="1548"/>
      <c r="AT74" s="1549"/>
      <c r="AU74" s="1178"/>
      <c r="AV74" s="1179"/>
      <c r="AY74" s="3">
        <v>1</v>
      </c>
    </row>
    <row r="75" spans="2:51" ht="27" customHeight="1">
      <c r="B75" s="104"/>
      <c r="C75" s="1172"/>
      <c r="D75" s="1172"/>
      <c r="E75" s="1172"/>
      <c r="F75" s="1173"/>
      <c r="G75" s="1174"/>
      <c r="H75" s="1175"/>
      <c r="I75" s="1176"/>
      <c r="J75" s="1177"/>
      <c r="K75" s="1547"/>
      <c r="L75" s="1177"/>
      <c r="M75" s="1548"/>
      <c r="N75" s="1549"/>
      <c r="O75" s="1178"/>
      <c r="P75" s="1179"/>
      <c r="Q75" s="1171"/>
      <c r="R75" s="104"/>
      <c r="S75" s="1172"/>
      <c r="T75" s="1172"/>
      <c r="U75" s="1172"/>
      <c r="V75" s="1173"/>
      <c r="W75" s="1174"/>
      <c r="X75" s="1175"/>
      <c r="Y75" s="1176"/>
      <c r="Z75" s="1177"/>
      <c r="AA75" s="1547"/>
      <c r="AB75" s="1177"/>
      <c r="AC75" s="1548"/>
      <c r="AD75" s="1549"/>
      <c r="AE75" s="1178"/>
      <c r="AF75" s="1179"/>
      <c r="AG75" s="1171"/>
      <c r="AH75" s="104"/>
      <c r="AI75" s="1172"/>
      <c r="AJ75" s="1172"/>
      <c r="AK75" s="1172"/>
      <c r="AL75" s="1173"/>
      <c r="AM75" s="1174"/>
      <c r="AN75" s="1175"/>
      <c r="AO75" s="1176"/>
      <c r="AP75" s="1177"/>
      <c r="AQ75" s="1547"/>
      <c r="AR75" s="1177"/>
      <c r="AS75" s="1548"/>
      <c r="AT75" s="1549"/>
      <c r="AU75" s="1178"/>
      <c r="AV75" s="1179"/>
      <c r="AY75" s="3">
        <v>1</v>
      </c>
    </row>
    <row r="76" spans="2:51" ht="27" customHeight="1">
      <c r="B76" s="104"/>
      <c r="C76" s="1172"/>
      <c r="D76" s="1172"/>
      <c r="E76" s="1172"/>
      <c r="F76" s="1173"/>
      <c r="G76" s="1174"/>
      <c r="H76" s="1175"/>
      <c r="I76" s="1176"/>
      <c r="J76" s="1177"/>
      <c r="K76" s="1547"/>
      <c r="L76" s="1177"/>
      <c r="M76" s="1548"/>
      <c r="N76" s="1549"/>
      <c r="O76" s="1178"/>
      <c r="P76" s="1179"/>
      <c r="Q76" s="1171"/>
      <c r="R76" s="104"/>
      <c r="S76" s="1172"/>
      <c r="T76" s="1172"/>
      <c r="U76" s="1172"/>
      <c r="V76" s="1173"/>
      <c r="W76" s="1174"/>
      <c r="X76" s="1175"/>
      <c r="Y76" s="1176"/>
      <c r="Z76" s="1177"/>
      <c r="AA76" s="1547"/>
      <c r="AB76" s="1177"/>
      <c r="AC76" s="1548"/>
      <c r="AD76" s="1549"/>
      <c r="AE76" s="1178"/>
      <c r="AF76" s="1179"/>
      <c r="AG76" s="1171"/>
      <c r="AH76" s="104"/>
      <c r="AI76" s="1172"/>
      <c r="AJ76" s="1172"/>
      <c r="AK76" s="1172"/>
      <c r="AL76" s="1173"/>
      <c r="AM76" s="1174"/>
      <c r="AN76" s="1175"/>
      <c r="AO76" s="1176"/>
      <c r="AP76" s="1177"/>
      <c r="AQ76" s="1547"/>
      <c r="AR76" s="1177"/>
      <c r="AS76" s="1548"/>
      <c r="AT76" s="1549"/>
      <c r="AU76" s="1178"/>
      <c r="AV76" s="1179"/>
      <c r="AY76" s="3">
        <v>1</v>
      </c>
    </row>
    <row r="77" spans="2:51" ht="27" customHeight="1">
      <c r="B77" s="104"/>
      <c r="C77" s="1172"/>
      <c r="D77" s="1172"/>
      <c r="E77" s="1172"/>
      <c r="F77" s="1173"/>
      <c r="G77" s="1174"/>
      <c r="H77" s="1175"/>
      <c r="I77" s="1176"/>
      <c r="J77" s="1177"/>
      <c r="K77" s="1547"/>
      <c r="L77" s="1177"/>
      <c r="M77" s="1548"/>
      <c r="N77" s="1549"/>
      <c r="O77" s="1178"/>
      <c r="P77" s="1179"/>
      <c r="Q77" s="1171"/>
      <c r="R77" s="104"/>
      <c r="S77" s="1172"/>
      <c r="T77" s="1172"/>
      <c r="U77" s="1172"/>
      <c r="V77" s="1173"/>
      <c r="W77" s="1174"/>
      <c r="X77" s="1175"/>
      <c r="Y77" s="1176"/>
      <c r="Z77" s="1177"/>
      <c r="AA77" s="1547"/>
      <c r="AB77" s="1177"/>
      <c r="AC77" s="1548"/>
      <c r="AD77" s="1549"/>
      <c r="AE77" s="1178"/>
      <c r="AF77" s="1179"/>
      <c r="AG77" s="1171"/>
      <c r="AH77" s="104"/>
      <c r="AI77" s="1172"/>
      <c r="AJ77" s="1172"/>
      <c r="AK77" s="1172"/>
      <c r="AL77" s="1173"/>
      <c r="AM77" s="1174"/>
      <c r="AN77" s="1175"/>
      <c r="AO77" s="1176"/>
      <c r="AP77" s="1177"/>
      <c r="AQ77" s="1547"/>
      <c r="AR77" s="1177"/>
      <c r="AS77" s="1548"/>
      <c r="AT77" s="1549"/>
      <c r="AU77" s="1178"/>
      <c r="AV77" s="1179"/>
      <c r="AY77" s="3">
        <v>1</v>
      </c>
    </row>
    <row r="78" spans="2:51" ht="27" customHeight="1">
      <c r="B78" s="104"/>
      <c r="C78" s="1172"/>
      <c r="D78" s="1172"/>
      <c r="E78" s="1172"/>
      <c r="F78" s="1173"/>
      <c r="G78" s="1174"/>
      <c r="H78" s="1175"/>
      <c r="I78" s="1176"/>
      <c r="J78" s="1177"/>
      <c r="K78" s="1547"/>
      <c r="L78" s="1177"/>
      <c r="M78" s="1548"/>
      <c r="N78" s="1549"/>
      <c r="O78" s="1178"/>
      <c r="P78" s="1179"/>
      <c r="Q78" s="1171"/>
      <c r="R78" s="104"/>
      <c r="S78" s="1172"/>
      <c r="T78" s="1172"/>
      <c r="U78" s="1172"/>
      <c r="V78" s="1173"/>
      <c r="W78" s="1174"/>
      <c r="X78" s="1175"/>
      <c r="Y78" s="1176"/>
      <c r="Z78" s="1177"/>
      <c r="AA78" s="1547"/>
      <c r="AB78" s="1177"/>
      <c r="AC78" s="1548"/>
      <c r="AD78" s="1549"/>
      <c r="AE78" s="1178"/>
      <c r="AF78" s="1179"/>
      <c r="AG78" s="1171"/>
      <c r="AH78" s="104"/>
      <c r="AI78" s="1172"/>
      <c r="AJ78" s="1172"/>
      <c r="AK78" s="1172"/>
      <c r="AL78" s="1173"/>
      <c r="AM78" s="1174"/>
      <c r="AN78" s="1175"/>
      <c r="AO78" s="1176"/>
      <c r="AP78" s="1177"/>
      <c r="AQ78" s="1547"/>
      <c r="AR78" s="1177"/>
      <c r="AS78" s="1548"/>
      <c r="AT78" s="1549"/>
      <c r="AU78" s="1178"/>
      <c r="AV78" s="1179"/>
      <c r="AY78" s="3">
        <v>1</v>
      </c>
    </row>
    <row r="79" spans="2:51" ht="27" customHeight="1">
      <c r="B79" s="104"/>
      <c r="C79" s="1172"/>
      <c r="D79" s="1172"/>
      <c r="E79" s="1172"/>
      <c r="F79" s="1173"/>
      <c r="G79" s="1174"/>
      <c r="H79" s="1175"/>
      <c r="I79" s="1176"/>
      <c r="J79" s="1177"/>
      <c r="K79" s="1547"/>
      <c r="L79" s="1177"/>
      <c r="M79" s="1548"/>
      <c r="N79" s="1549"/>
      <c r="O79" s="1178"/>
      <c r="P79" s="1179"/>
      <c r="Q79" s="1171"/>
      <c r="R79" s="104"/>
      <c r="S79" s="1172"/>
      <c r="T79" s="1172"/>
      <c r="U79" s="1172"/>
      <c r="V79" s="1173"/>
      <c r="W79" s="1174"/>
      <c r="X79" s="1175"/>
      <c r="Y79" s="1176"/>
      <c r="Z79" s="1177"/>
      <c r="AA79" s="1547"/>
      <c r="AB79" s="1177"/>
      <c r="AC79" s="1548"/>
      <c r="AD79" s="1549"/>
      <c r="AE79" s="1178"/>
      <c r="AF79" s="1179"/>
      <c r="AG79" s="1171"/>
      <c r="AH79" s="104"/>
      <c r="AI79" s="1172"/>
      <c r="AJ79" s="1172"/>
      <c r="AK79" s="1172"/>
      <c r="AL79" s="1173"/>
      <c r="AM79" s="1174"/>
      <c r="AN79" s="1175"/>
      <c r="AO79" s="1176"/>
      <c r="AP79" s="1177"/>
      <c r="AQ79" s="1547"/>
      <c r="AR79" s="1177"/>
      <c r="AS79" s="1548"/>
      <c r="AT79" s="1549"/>
      <c r="AU79" s="1178"/>
      <c r="AV79" s="1179"/>
      <c r="AY79" s="3">
        <v>1</v>
      </c>
    </row>
    <row r="80" spans="2:51" ht="27" customHeight="1">
      <c r="B80" s="104"/>
      <c r="C80" s="1172"/>
      <c r="D80" s="1172"/>
      <c r="E80" s="1172"/>
      <c r="F80" s="1173"/>
      <c r="G80" s="1174"/>
      <c r="H80" s="1175"/>
      <c r="I80" s="1176"/>
      <c r="J80" s="1177"/>
      <c r="K80" s="1547"/>
      <c r="L80" s="1177"/>
      <c r="M80" s="1548"/>
      <c r="N80" s="1549"/>
      <c r="O80" s="1178"/>
      <c r="P80" s="1179"/>
      <c r="Q80" s="1171"/>
      <c r="R80" s="104"/>
      <c r="S80" s="1172"/>
      <c r="T80" s="1172"/>
      <c r="U80" s="1172"/>
      <c r="V80" s="1173"/>
      <c r="W80" s="1174"/>
      <c r="X80" s="1175"/>
      <c r="Y80" s="1176"/>
      <c r="Z80" s="1177"/>
      <c r="AA80" s="1547"/>
      <c r="AB80" s="1177"/>
      <c r="AC80" s="1548"/>
      <c r="AD80" s="1549"/>
      <c r="AE80" s="1178"/>
      <c r="AF80" s="1179"/>
      <c r="AG80" s="1171"/>
      <c r="AH80" s="104"/>
      <c r="AI80" s="1172"/>
      <c r="AJ80" s="1172"/>
      <c r="AK80" s="1172"/>
      <c r="AL80" s="1173"/>
      <c r="AM80" s="1174"/>
      <c r="AN80" s="1175"/>
      <c r="AO80" s="1176"/>
      <c r="AP80" s="1177"/>
      <c r="AQ80" s="1547"/>
      <c r="AR80" s="1177"/>
      <c r="AS80" s="1548"/>
      <c r="AT80" s="1549"/>
      <c r="AU80" s="1178"/>
      <c r="AV80" s="1179"/>
      <c r="AY80" s="3">
        <v>1</v>
      </c>
    </row>
    <row r="81" spans="2:51" ht="27" customHeight="1">
      <c r="B81" s="104"/>
      <c r="C81" s="1172"/>
      <c r="D81" s="1172"/>
      <c r="E81" s="1172"/>
      <c r="F81" s="1173"/>
      <c r="G81" s="1174"/>
      <c r="H81" s="1175"/>
      <c r="I81" s="1176"/>
      <c r="J81" s="1177"/>
      <c r="K81" s="1547"/>
      <c r="L81" s="1177"/>
      <c r="M81" s="1548"/>
      <c r="N81" s="1549"/>
      <c r="O81" s="1178"/>
      <c r="P81" s="1179"/>
      <c r="Q81" s="1171"/>
      <c r="R81" s="104"/>
      <c r="S81" s="1172"/>
      <c r="T81" s="1172"/>
      <c r="U81" s="1172"/>
      <c r="V81" s="1173"/>
      <c r="W81" s="1174"/>
      <c r="X81" s="1175"/>
      <c r="Y81" s="1176"/>
      <c r="Z81" s="1177"/>
      <c r="AA81" s="1547"/>
      <c r="AB81" s="1177"/>
      <c r="AC81" s="1548"/>
      <c r="AD81" s="1549"/>
      <c r="AE81" s="1178"/>
      <c r="AF81" s="1179"/>
      <c r="AG81" s="1171"/>
      <c r="AH81" s="104"/>
      <c r="AI81" s="1172"/>
      <c r="AJ81" s="1172"/>
      <c r="AK81" s="1172"/>
      <c r="AL81" s="1173"/>
      <c r="AM81" s="1174"/>
      <c r="AN81" s="1175"/>
      <c r="AO81" s="1176"/>
      <c r="AP81" s="1177"/>
      <c r="AQ81" s="1547"/>
      <c r="AR81" s="1177"/>
      <c r="AS81" s="1548"/>
      <c r="AT81" s="1549"/>
      <c r="AU81" s="1178"/>
      <c r="AV81" s="1179"/>
      <c r="AY81" s="3">
        <v>1</v>
      </c>
    </row>
    <row r="82" spans="2:51" ht="27" customHeight="1">
      <c r="B82" s="104"/>
      <c r="C82" s="1172"/>
      <c r="D82" s="1172"/>
      <c r="E82" s="1172"/>
      <c r="F82" s="1173"/>
      <c r="G82" s="1174"/>
      <c r="H82" s="1175"/>
      <c r="I82" s="1176"/>
      <c r="J82" s="1177"/>
      <c r="K82" s="1547"/>
      <c r="L82" s="1177"/>
      <c r="M82" s="1548"/>
      <c r="N82" s="1549"/>
      <c r="O82" s="1178"/>
      <c r="P82" s="1179"/>
      <c r="Q82" s="1171"/>
      <c r="R82" s="104"/>
      <c r="S82" s="1172"/>
      <c r="T82" s="1172"/>
      <c r="U82" s="1172"/>
      <c r="V82" s="1173"/>
      <c r="W82" s="1174"/>
      <c r="X82" s="1175"/>
      <c r="Y82" s="1176"/>
      <c r="Z82" s="1177"/>
      <c r="AA82" s="1547"/>
      <c r="AB82" s="1177"/>
      <c r="AC82" s="1548"/>
      <c r="AD82" s="1549"/>
      <c r="AE82" s="1178"/>
      <c r="AF82" s="1179"/>
      <c r="AG82" s="1171"/>
      <c r="AH82" s="104"/>
      <c r="AI82" s="1172"/>
      <c r="AJ82" s="1172"/>
      <c r="AK82" s="1172"/>
      <c r="AL82" s="1173"/>
      <c r="AM82" s="1174"/>
      <c r="AN82" s="1175"/>
      <c r="AO82" s="1176"/>
      <c r="AP82" s="1177"/>
      <c r="AQ82" s="1547"/>
      <c r="AR82" s="1177"/>
      <c r="AS82" s="1548"/>
      <c r="AT82" s="1549"/>
      <c r="AU82" s="1178"/>
      <c r="AV82" s="1179"/>
      <c r="AY82" s="3">
        <v>1</v>
      </c>
    </row>
    <row r="83" spans="2:51" ht="27" customHeight="1">
      <c r="B83" s="104"/>
      <c r="C83" s="1172"/>
      <c r="D83" s="1172"/>
      <c r="E83" s="1172"/>
      <c r="F83" s="1173"/>
      <c r="G83" s="1174"/>
      <c r="H83" s="1175"/>
      <c r="I83" s="1176"/>
      <c r="J83" s="1177"/>
      <c r="K83" s="1547"/>
      <c r="L83" s="1177"/>
      <c r="M83" s="1548"/>
      <c r="N83" s="1549"/>
      <c r="O83" s="1178"/>
      <c r="P83" s="1179"/>
      <c r="Q83" s="1171"/>
      <c r="R83" s="104"/>
      <c r="S83" s="1172"/>
      <c r="T83" s="1172"/>
      <c r="U83" s="1172"/>
      <c r="V83" s="1173"/>
      <c r="W83" s="1174"/>
      <c r="X83" s="1175"/>
      <c r="Y83" s="1176"/>
      <c r="Z83" s="1177"/>
      <c r="AA83" s="1547"/>
      <c r="AB83" s="1177"/>
      <c r="AC83" s="1548"/>
      <c r="AD83" s="1549"/>
      <c r="AE83" s="1178"/>
      <c r="AF83" s="1179"/>
      <c r="AG83" s="1171"/>
      <c r="AH83" s="104"/>
      <c r="AI83" s="1172"/>
      <c r="AJ83" s="1172"/>
      <c r="AK83" s="1172"/>
      <c r="AL83" s="1173"/>
      <c r="AM83" s="1174"/>
      <c r="AN83" s="1175"/>
      <c r="AO83" s="1176"/>
      <c r="AP83" s="1177"/>
      <c r="AQ83" s="1547"/>
      <c r="AR83" s="1177"/>
      <c r="AS83" s="1548"/>
      <c r="AT83" s="1549"/>
      <c r="AU83" s="1178"/>
      <c r="AV83" s="1179"/>
      <c r="AY83" s="3">
        <v>1</v>
      </c>
    </row>
    <row r="84" spans="2:51" ht="27" customHeight="1">
      <c r="B84" s="104"/>
      <c r="C84" s="1172"/>
      <c r="D84" s="1172"/>
      <c r="E84" s="1172"/>
      <c r="F84" s="1173"/>
      <c r="G84" s="1174"/>
      <c r="H84" s="1175"/>
      <c r="I84" s="1176"/>
      <c r="J84" s="1177"/>
      <c r="K84" s="1547"/>
      <c r="L84" s="1177"/>
      <c r="M84" s="1548"/>
      <c r="N84" s="1549"/>
      <c r="O84" s="1178"/>
      <c r="P84" s="1179"/>
      <c r="Q84" s="1171"/>
      <c r="R84" s="104"/>
      <c r="S84" s="1172"/>
      <c r="T84" s="1172"/>
      <c r="U84" s="1172"/>
      <c r="V84" s="1173"/>
      <c r="W84" s="1174"/>
      <c r="X84" s="1175"/>
      <c r="Y84" s="1176"/>
      <c r="Z84" s="1177"/>
      <c r="AA84" s="1547"/>
      <c r="AB84" s="1177"/>
      <c r="AC84" s="1548"/>
      <c r="AD84" s="1549"/>
      <c r="AE84" s="1178"/>
      <c r="AF84" s="1179"/>
      <c r="AG84" s="1171"/>
      <c r="AH84" s="104"/>
      <c r="AI84" s="1172"/>
      <c r="AJ84" s="1172"/>
      <c r="AK84" s="1172"/>
      <c r="AL84" s="1173"/>
      <c r="AM84" s="1174"/>
      <c r="AN84" s="1175"/>
      <c r="AO84" s="1176"/>
      <c r="AP84" s="1177"/>
      <c r="AQ84" s="1547"/>
      <c r="AR84" s="1177"/>
      <c r="AS84" s="1548"/>
      <c r="AT84" s="1549"/>
      <c r="AU84" s="1178"/>
      <c r="AV84" s="1179"/>
      <c r="AY84" s="3">
        <v>1</v>
      </c>
    </row>
    <row r="85" spans="2:51" ht="27" customHeight="1">
      <c r="B85" s="104"/>
      <c r="C85" s="1172"/>
      <c r="D85" s="1172"/>
      <c r="E85" s="1172"/>
      <c r="F85" s="1173"/>
      <c r="G85" s="1174"/>
      <c r="H85" s="1175"/>
      <c r="I85" s="1176"/>
      <c r="J85" s="1177"/>
      <c r="K85" s="1547"/>
      <c r="L85" s="1177"/>
      <c r="M85" s="1548"/>
      <c r="N85" s="1549"/>
      <c r="O85" s="1178"/>
      <c r="P85" s="1179"/>
      <c r="Q85" s="1171"/>
      <c r="R85" s="104"/>
      <c r="S85" s="1172"/>
      <c r="T85" s="1172"/>
      <c r="U85" s="1172"/>
      <c r="V85" s="1173"/>
      <c r="W85" s="1174"/>
      <c r="X85" s="1175"/>
      <c r="Y85" s="1176"/>
      <c r="Z85" s="1177"/>
      <c r="AA85" s="1547"/>
      <c r="AB85" s="1177"/>
      <c r="AC85" s="1548"/>
      <c r="AD85" s="1549"/>
      <c r="AE85" s="1178"/>
      <c r="AF85" s="1179"/>
      <c r="AG85" s="1171"/>
      <c r="AH85" s="104"/>
      <c r="AI85" s="1172"/>
      <c r="AJ85" s="1172"/>
      <c r="AK85" s="1172"/>
      <c r="AL85" s="1173"/>
      <c r="AM85" s="1174"/>
      <c r="AN85" s="1175"/>
      <c r="AO85" s="1176"/>
      <c r="AP85" s="1177"/>
      <c r="AQ85" s="1547"/>
      <c r="AR85" s="1177"/>
      <c r="AS85" s="1548"/>
      <c r="AT85" s="1549"/>
      <c r="AU85" s="1178"/>
      <c r="AV85" s="1179"/>
      <c r="AY85" s="3">
        <v>1</v>
      </c>
    </row>
    <row r="86" spans="2:51" ht="27" customHeight="1">
      <c r="B86" s="104"/>
      <c r="C86" s="1172"/>
      <c r="D86" s="1172"/>
      <c r="E86" s="1172"/>
      <c r="F86" s="1173"/>
      <c r="G86" s="1174"/>
      <c r="H86" s="1175"/>
      <c r="I86" s="1176"/>
      <c r="J86" s="1177"/>
      <c r="K86" s="1547"/>
      <c r="L86" s="1177"/>
      <c r="M86" s="1548"/>
      <c r="N86" s="1549"/>
      <c r="O86" s="1178"/>
      <c r="P86" s="1179"/>
      <c r="Q86" s="1171"/>
      <c r="R86" s="104"/>
      <c r="S86" s="1172"/>
      <c r="T86" s="1172"/>
      <c r="U86" s="1172"/>
      <c r="V86" s="1173"/>
      <c r="W86" s="1174"/>
      <c r="X86" s="1175"/>
      <c r="Y86" s="1176"/>
      <c r="Z86" s="1177"/>
      <c r="AA86" s="1547"/>
      <c r="AB86" s="1177"/>
      <c r="AC86" s="1548"/>
      <c r="AD86" s="1549"/>
      <c r="AE86" s="1178"/>
      <c r="AF86" s="1179"/>
      <c r="AG86" s="1171"/>
      <c r="AH86" s="104"/>
      <c r="AI86" s="1172"/>
      <c r="AJ86" s="1172"/>
      <c r="AK86" s="1172"/>
      <c r="AL86" s="1173"/>
      <c r="AM86" s="1174"/>
      <c r="AN86" s="1175"/>
      <c r="AO86" s="1176"/>
      <c r="AP86" s="1177"/>
      <c r="AQ86" s="1547"/>
      <c r="AR86" s="1177"/>
      <c r="AS86" s="1548"/>
      <c r="AT86" s="1549"/>
      <c r="AU86" s="1178"/>
      <c r="AV86" s="1179"/>
      <c r="AY86" s="3">
        <v>1</v>
      </c>
    </row>
    <row r="87" spans="2:51" ht="27" customHeight="1">
      <c r="B87" s="104"/>
      <c r="C87" s="1172"/>
      <c r="D87" s="1172"/>
      <c r="E87" s="1172"/>
      <c r="F87" s="1173"/>
      <c r="G87" s="1174"/>
      <c r="H87" s="1175"/>
      <c r="I87" s="1176"/>
      <c r="J87" s="1177"/>
      <c r="K87" s="1547"/>
      <c r="L87" s="1177"/>
      <c r="M87" s="1548"/>
      <c r="N87" s="1549"/>
      <c r="O87" s="1178"/>
      <c r="P87" s="1179"/>
      <c r="Q87" s="1171"/>
      <c r="R87" s="104"/>
      <c r="S87" s="1172"/>
      <c r="T87" s="1172"/>
      <c r="U87" s="1172"/>
      <c r="V87" s="1173"/>
      <c r="W87" s="1174"/>
      <c r="X87" s="1175"/>
      <c r="Y87" s="1176"/>
      <c r="Z87" s="1177"/>
      <c r="AA87" s="1547"/>
      <c r="AB87" s="1177"/>
      <c r="AC87" s="1548"/>
      <c r="AD87" s="1549"/>
      <c r="AE87" s="1178"/>
      <c r="AF87" s="1179"/>
      <c r="AG87" s="1171"/>
      <c r="AH87" s="104"/>
      <c r="AI87" s="1172"/>
      <c r="AJ87" s="1172"/>
      <c r="AK87" s="1172"/>
      <c r="AL87" s="1173"/>
      <c r="AM87" s="1174"/>
      <c r="AN87" s="1175"/>
      <c r="AO87" s="1176"/>
      <c r="AP87" s="1177"/>
      <c r="AQ87" s="1547"/>
      <c r="AR87" s="1177"/>
      <c r="AS87" s="1548"/>
      <c r="AT87" s="1549"/>
      <c r="AU87" s="1178"/>
      <c r="AV87" s="1179"/>
      <c r="AY87" s="3">
        <v>1</v>
      </c>
    </row>
    <row r="88" spans="2:51" ht="27" customHeight="1">
      <c r="B88" s="104"/>
      <c r="C88" s="1172"/>
      <c r="D88" s="1172"/>
      <c r="E88" s="1172"/>
      <c r="F88" s="1173"/>
      <c r="G88" s="1174"/>
      <c r="H88" s="1175"/>
      <c r="I88" s="1176"/>
      <c r="J88" s="1177"/>
      <c r="K88" s="1547"/>
      <c r="L88" s="1177"/>
      <c r="M88" s="1548"/>
      <c r="N88" s="1549"/>
      <c r="O88" s="1178"/>
      <c r="P88" s="1179"/>
      <c r="Q88" s="1171"/>
      <c r="R88" s="104"/>
      <c r="S88" s="1172"/>
      <c r="T88" s="1172"/>
      <c r="U88" s="1172"/>
      <c r="V88" s="1173"/>
      <c r="W88" s="1174"/>
      <c r="X88" s="1175"/>
      <c r="Y88" s="1176"/>
      <c r="Z88" s="1177"/>
      <c r="AA88" s="1547"/>
      <c r="AB88" s="1177"/>
      <c r="AC88" s="1548"/>
      <c r="AD88" s="1549"/>
      <c r="AE88" s="1178"/>
      <c r="AF88" s="1179"/>
      <c r="AG88" s="1171"/>
      <c r="AH88" s="104"/>
      <c r="AI88" s="1172"/>
      <c r="AJ88" s="1172"/>
      <c r="AK88" s="1172"/>
      <c r="AL88" s="1173"/>
      <c r="AM88" s="1174"/>
      <c r="AN88" s="1175"/>
      <c r="AO88" s="1176"/>
      <c r="AP88" s="1177"/>
      <c r="AQ88" s="1547"/>
      <c r="AR88" s="1177"/>
      <c r="AS88" s="1548"/>
      <c r="AT88" s="1549"/>
      <c r="AU88" s="1178"/>
      <c r="AV88" s="1179"/>
      <c r="AY88" s="3">
        <v>1</v>
      </c>
    </row>
    <row r="89" spans="2:51" ht="27" customHeight="1">
      <c r="B89" s="104"/>
      <c r="C89" s="1172"/>
      <c r="D89" s="1172"/>
      <c r="E89" s="1172"/>
      <c r="F89" s="1173"/>
      <c r="G89" s="1174"/>
      <c r="H89" s="1175"/>
      <c r="I89" s="1176"/>
      <c r="J89" s="1177"/>
      <c r="K89" s="1547"/>
      <c r="L89" s="1177"/>
      <c r="M89" s="1548"/>
      <c r="N89" s="1549"/>
      <c r="O89" s="1178"/>
      <c r="P89" s="1179"/>
      <c r="Q89" s="1171"/>
      <c r="R89" s="104"/>
      <c r="S89" s="1172"/>
      <c r="T89" s="1172"/>
      <c r="U89" s="1172"/>
      <c r="V89" s="1173"/>
      <c r="W89" s="1174"/>
      <c r="X89" s="1175"/>
      <c r="Y89" s="1176"/>
      <c r="Z89" s="1177"/>
      <c r="AA89" s="1547"/>
      <c r="AB89" s="1177"/>
      <c r="AC89" s="1548"/>
      <c r="AD89" s="1549"/>
      <c r="AE89" s="1178"/>
      <c r="AF89" s="1179"/>
      <c r="AG89" s="1171"/>
      <c r="AH89" s="104"/>
      <c r="AI89" s="1172"/>
      <c r="AJ89" s="1172"/>
      <c r="AK89" s="1172"/>
      <c r="AL89" s="1173"/>
      <c r="AM89" s="1174"/>
      <c r="AN89" s="1175"/>
      <c r="AO89" s="1176"/>
      <c r="AP89" s="1177"/>
      <c r="AQ89" s="1547"/>
      <c r="AR89" s="1177"/>
      <c r="AS89" s="1548"/>
      <c r="AT89" s="1549"/>
      <c r="AU89" s="1178"/>
      <c r="AV89" s="1179"/>
      <c r="AY89" s="3">
        <v>1</v>
      </c>
    </row>
    <row r="90" spans="2:51" ht="27" customHeight="1">
      <c r="B90" s="104"/>
      <c r="C90" s="1172"/>
      <c r="D90" s="1172"/>
      <c r="E90" s="1172"/>
      <c r="F90" s="1173"/>
      <c r="G90" s="1174"/>
      <c r="H90" s="1175"/>
      <c r="I90" s="1176"/>
      <c r="J90" s="1177"/>
      <c r="K90" s="1547"/>
      <c r="L90" s="1177"/>
      <c r="M90" s="1548"/>
      <c r="N90" s="1549"/>
      <c r="O90" s="1178"/>
      <c r="P90" s="1179"/>
      <c r="Q90" s="1171"/>
      <c r="R90" s="104"/>
      <c r="S90" s="1172"/>
      <c r="T90" s="1172"/>
      <c r="U90" s="1172"/>
      <c r="V90" s="1173"/>
      <c r="W90" s="1174"/>
      <c r="X90" s="1175"/>
      <c r="Y90" s="1176"/>
      <c r="Z90" s="1177"/>
      <c r="AA90" s="1547"/>
      <c r="AB90" s="1177"/>
      <c r="AC90" s="1548"/>
      <c r="AD90" s="1549"/>
      <c r="AE90" s="1178"/>
      <c r="AF90" s="1179"/>
      <c r="AG90" s="1171"/>
      <c r="AH90" s="104"/>
      <c r="AI90" s="1172"/>
      <c r="AJ90" s="1172"/>
      <c r="AK90" s="1172"/>
      <c r="AL90" s="1173"/>
      <c r="AM90" s="1174"/>
      <c r="AN90" s="1175"/>
      <c r="AO90" s="1176"/>
      <c r="AP90" s="1177"/>
      <c r="AQ90" s="1547"/>
      <c r="AR90" s="1177"/>
      <c r="AS90" s="1548"/>
      <c r="AT90" s="1549"/>
      <c r="AU90" s="1178"/>
      <c r="AV90" s="1179"/>
      <c r="AY90" s="3">
        <v>1</v>
      </c>
    </row>
    <row r="91" spans="2:51" ht="27" customHeight="1">
      <c r="B91" s="104"/>
      <c r="C91" s="1172"/>
      <c r="D91" s="1172"/>
      <c r="E91" s="1172"/>
      <c r="F91" s="1173"/>
      <c r="G91" s="1174"/>
      <c r="H91" s="1175"/>
      <c r="I91" s="1176"/>
      <c r="J91" s="1177"/>
      <c r="K91" s="1547"/>
      <c r="L91" s="1177"/>
      <c r="M91" s="1548"/>
      <c r="N91" s="1549"/>
      <c r="O91" s="1178"/>
      <c r="P91" s="1179"/>
      <c r="Q91" s="1171"/>
      <c r="R91" s="104"/>
      <c r="S91" s="1172"/>
      <c r="T91" s="1172"/>
      <c r="U91" s="1172"/>
      <c r="V91" s="1173"/>
      <c r="W91" s="1174"/>
      <c r="X91" s="1175"/>
      <c r="Y91" s="1176"/>
      <c r="Z91" s="1177"/>
      <c r="AA91" s="1547"/>
      <c r="AB91" s="1177"/>
      <c r="AC91" s="1548"/>
      <c r="AD91" s="1549"/>
      <c r="AE91" s="1178"/>
      <c r="AF91" s="1179"/>
      <c r="AG91" s="1171"/>
      <c r="AH91" s="104"/>
      <c r="AI91" s="1172"/>
      <c r="AJ91" s="1172"/>
      <c r="AK91" s="1172"/>
      <c r="AL91" s="1173"/>
      <c r="AM91" s="1174"/>
      <c r="AN91" s="1175"/>
      <c r="AO91" s="1176"/>
      <c r="AP91" s="1177"/>
      <c r="AQ91" s="1547"/>
      <c r="AR91" s="1177"/>
      <c r="AS91" s="1548"/>
      <c r="AT91" s="1549"/>
      <c r="AU91" s="1178"/>
      <c r="AV91" s="1179"/>
      <c r="AY91" s="3">
        <v>1</v>
      </c>
    </row>
    <row r="92" spans="2:51" ht="27" customHeight="1">
      <c r="B92" s="104"/>
      <c r="C92" s="1172"/>
      <c r="D92" s="1172"/>
      <c r="E92" s="1172"/>
      <c r="F92" s="1173"/>
      <c r="G92" s="1174"/>
      <c r="H92" s="1175"/>
      <c r="I92" s="1176"/>
      <c r="J92" s="1177"/>
      <c r="K92" s="1547"/>
      <c r="L92" s="1177"/>
      <c r="M92" s="1548"/>
      <c r="N92" s="1549"/>
      <c r="O92" s="1178"/>
      <c r="P92" s="1179"/>
      <c r="Q92" s="1171"/>
      <c r="R92" s="104"/>
      <c r="S92" s="1172"/>
      <c r="T92" s="1172"/>
      <c r="U92" s="1172"/>
      <c r="V92" s="1173"/>
      <c r="W92" s="1174"/>
      <c r="X92" s="1175"/>
      <c r="Y92" s="1176"/>
      <c r="Z92" s="1177"/>
      <c r="AA92" s="1547"/>
      <c r="AB92" s="1177"/>
      <c r="AC92" s="1548"/>
      <c r="AD92" s="1549"/>
      <c r="AE92" s="1178"/>
      <c r="AF92" s="1179"/>
      <c r="AG92" s="1171"/>
      <c r="AH92" s="104"/>
      <c r="AI92" s="1172"/>
      <c r="AJ92" s="1172"/>
      <c r="AK92" s="1172"/>
      <c r="AL92" s="1173"/>
      <c r="AM92" s="1174"/>
      <c r="AN92" s="1175"/>
      <c r="AO92" s="1176"/>
      <c r="AP92" s="1177"/>
      <c r="AQ92" s="1547"/>
      <c r="AR92" s="1177"/>
      <c r="AS92" s="1548"/>
      <c r="AT92" s="1549"/>
      <c r="AU92" s="1178"/>
      <c r="AV92" s="1179"/>
      <c r="AY92" s="3">
        <v>1</v>
      </c>
    </row>
    <row r="93" spans="2:51" ht="27" customHeight="1">
      <c r="B93" s="104"/>
      <c r="C93" s="1172"/>
      <c r="D93" s="1172"/>
      <c r="E93" s="1172"/>
      <c r="F93" s="1173"/>
      <c r="G93" s="1174"/>
      <c r="H93" s="1175"/>
      <c r="I93" s="1176"/>
      <c r="J93" s="1177"/>
      <c r="K93" s="1547"/>
      <c r="L93" s="1177"/>
      <c r="M93" s="1548"/>
      <c r="N93" s="1549"/>
      <c r="O93" s="1178"/>
      <c r="P93" s="1179"/>
      <c r="Q93" s="1171"/>
      <c r="R93" s="104"/>
      <c r="S93" s="1172"/>
      <c r="T93" s="1172"/>
      <c r="U93" s="1172"/>
      <c r="V93" s="1173"/>
      <c r="W93" s="1174"/>
      <c r="X93" s="1175"/>
      <c r="Y93" s="1176"/>
      <c r="Z93" s="1177"/>
      <c r="AA93" s="1547"/>
      <c r="AB93" s="1177"/>
      <c r="AC93" s="1548"/>
      <c r="AD93" s="1549"/>
      <c r="AE93" s="1178"/>
      <c r="AF93" s="1179"/>
      <c r="AG93" s="1171"/>
      <c r="AH93" s="104"/>
      <c r="AI93" s="1172"/>
      <c r="AJ93" s="1172"/>
      <c r="AK93" s="1172"/>
      <c r="AL93" s="1173"/>
      <c r="AM93" s="1174"/>
      <c r="AN93" s="1175"/>
      <c r="AO93" s="1176"/>
      <c r="AP93" s="1177"/>
      <c r="AQ93" s="1547"/>
      <c r="AR93" s="1177"/>
      <c r="AS93" s="1548"/>
      <c r="AT93" s="1549"/>
      <c r="AU93" s="1178"/>
      <c r="AV93" s="1179"/>
      <c r="AY93" s="3">
        <v>1</v>
      </c>
    </row>
    <row r="94" spans="2:51" ht="27" customHeight="1">
      <c r="B94" s="104"/>
      <c r="C94" s="1172"/>
      <c r="D94" s="1172"/>
      <c r="E94" s="1172"/>
      <c r="F94" s="1173"/>
      <c r="G94" s="1174"/>
      <c r="H94" s="1175"/>
      <c r="I94" s="1176"/>
      <c r="J94" s="1177"/>
      <c r="K94" s="1547"/>
      <c r="L94" s="1177"/>
      <c r="M94" s="1548"/>
      <c r="N94" s="1549"/>
      <c r="O94" s="1178"/>
      <c r="P94" s="1179"/>
      <c r="Q94" s="1171"/>
      <c r="R94" s="104"/>
      <c r="S94" s="1172"/>
      <c r="T94" s="1172"/>
      <c r="U94" s="1172"/>
      <c r="V94" s="1173"/>
      <c r="W94" s="1174"/>
      <c r="X94" s="1175"/>
      <c r="Y94" s="1176"/>
      <c r="Z94" s="1177"/>
      <c r="AA94" s="1547"/>
      <c r="AB94" s="1177"/>
      <c r="AC94" s="1548"/>
      <c r="AD94" s="1549"/>
      <c r="AE94" s="1178"/>
      <c r="AF94" s="1179"/>
      <c r="AG94" s="1171"/>
      <c r="AH94" s="104"/>
      <c r="AI94" s="1172"/>
      <c r="AJ94" s="1172"/>
      <c r="AK94" s="1172"/>
      <c r="AL94" s="1173"/>
      <c r="AM94" s="1174"/>
      <c r="AN94" s="1175"/>
      <c r="AO94" s="1176"/>
      <c r="AP94" s="1177"/>
      <c r="AQ94" s="1547"/>
      <c r="AR94" s="1177"/>
      <c r="AS94" s="1548"/>
      <c r="AT94" s="1549"/>
      <c r="AU94" s="1178"/>
      <c r="AV94" s="1179"/>
      <c r="AY94" s="3">
        <v>1</v>
      </c>
    </row>
    <row r="95" spans="2:51" ht="27" customHeight="1">
      <c r="B95" s="104"/>
      <c r="C95" s="1172"/>
      <c r="D95" s="1172"/>
      <c r="E95" s="1172"/>
      <c r="F95" s="1173"/>
      <c r="G95" s="1174"/>
      <c r="H95" s="1175"/>
      <c r="I95" s="1176"/>
      <c r="J95" s="1177"/>
      <c r="K95" s="1547"/>
      <c r="L95" s="1177"/>
      <c r="M95" s="1548"/>
      <c r="N95" s="1549"/>
      <c r="O95" s="1178"/>
      <c r="P95" s="1179"/>
      <c r="Q95" s="1171"/>
      <c r="R95" s="104"/>
      <c r="S95" s="1172"/>
      <c r="T95" s="1172"/>
      <c r="U95" s="1172"/>
      <c r="V95" s="1173"/>
      <c r="W95" s="1174"/>
      <c r="X95" s="1175"/>
      <c r="Y95" s="1176"/>
      <c r="Z95" s="1177"/>
      <c r="AA95" s="1547"/>
      <c r="AB95" s="1177"/>
      <c r="AC95" s="1548"/>
      <c r="AD95" s="1549"/>
      <c r="AE95" s="1178"/>
      <c r="AF95" s="1179"/>
      <c r="AG95" s="1171"/>
      <c r="AH95" s="104"/>
      <c r="AI95" s="1172"/>
      <c r="AJ95" s="1172"/>
      <c r="AK95" s="1172"/>
      <c r="AL95" s="1173"/>
      <c r="AM95" s="1174"/>
      <c r="AN95" s="1175"/>
      <c r="AO95" s="1176"/>
      <c r="AP95" s="1177"/>
      <c r="AQ95" s="1547"/>
      <c r="AR95" s="1177"/>
      <c r="AS95" s="1548"/>
      <c r="AT95" s="1549"/>
      <c r="AU95" s="1178"/>
      <c r="AV95" s="1179"/>
      <c r="AY95" s="3">
        <v>1</v>
      </c>
    </row>
    <row r="96" spans="2:51" ht="27" customHeight="1">
      <c r="B96" s="104"/>
      <c r="C96" s="1172"/>
      <c r="D96" s="1172"/>
      <c r="E96" s="1172"/>
      <c r="F96" s="1173"/>
      <c r="G96" s="1174"/>
      <c r="H96" s="1175"/>
      <c r="I96" s="1176"/>
      <c r="J96" s="1177"/>
      <c r="K96" s="1547"/>
      <c r="L96" s="1177"/>
      <c r="M96" s="1548"/>
      <c r="N96" s="1549"/>
      <c r="O96" s="1178"/>
      <c r="P96" s="1179"/>
      <c r="Q96" s="1171"/>
      <c r="R96" s="104"/>
      <c r="S96" s="1172"/>
      <c r="T96" s="1172"/>
      <c r="U96" s="1172"/>
      <c r="V96" s="1173"/>
      <c r="W96" s="1174"/>
      <c r="X96" s="1175"/>
      <c r="Y96" s="1176"/>
      <c r="Z96" s="1177"/>
      <c r="AA96" s="1547"/>
      <c r="AB96" s="1177"/>
      <c r="AC96" s="1548"/>
      <c r="AD96" s="1549"/>
      <c r="AE96" s="1178"/>
      <c r="AF96" s="1179"/>
      <c r="AG96" s="1171"/>
      <c r="AH96" s="104"/>
      <c r="AI96" s="1172"/>
      <c r="AJ96" s="1172"/>
      <c r="AK96" s="1172"/>
      <c r="AL96" s="1173"/>
      <c r="AM96" s="1174"/>
      <c r="AN96" s="1175"/>
      <c r="AO96" s="1176"/>
      <c r="AP96" s="1177"/>
      <c r="AQ96" s="1547"/>
      <c r="AR96" s="1177"/>
      <c r="AS96" s="1548"/>
      <c r="AT96" s="1549"/>
      <c r="AU96" s="1178"/>
      <c r="AV96" s="1179"/>
      <c r="AY96" s="3">
        <v>1</v>
      </c>
    </row>
    <row r="97" spans="2:51" ht="27" customHeight="1">
      <c r="B97" s="104"/>
      <c r="C97" s="1172"/>
      <c r="D97" s="1172"/>
      <c r="E97" s="1172"/>
      <c r="F97" s="1173"/>
      <c r="G97" s="1174"/>
      <c r="H97" s="1175"/>
      <c r="I97" s="1176"/>
      <c r="J97" s="1177"/>
      <c r="K97" s="1547"/>
      <c r="L97" s="1177"/>
      <c r="M97" s="1548"/>
      <c r="N97" s="1549"/>
      <c r="O97" s="1178"/>
      <c r="P97" s="1179"/>
      <c r="Q97" s="1171"/>
      <c r="R97" s="104"/>
      <c r="S97" s="1172"/>
      <c r="T97" s="1172"/>
      <c r="U97" s="1172"/>
      <c r="V97" s="1173"/>
      <c r="W97" s="1174"/>
      <c r="X97" s="1175"/>
      <c r="Y97" s="1176"/>
      <c r="Z97" s="1177"/>
      <c r="AA97" s="1547"/>
      <c r="AB97" s="1177"/>
      <c r="AC97" s="1548"/>
      <c r="AD97" s="1549"/>
      <c r="AE97" s="1178"/>
      <c r="AF97" s="1179"/>
      <c r="AG97" s="1171"/>
      <c r="AH97" s="104"/>
      <c r="AI97" s="1172"/>
      <c r="AJ97" s="1172"/>
      <c r="AK97" s="1172"/>
      <c r="AL97" s="1173"/>
      <c r="AM97" s="1174"/>
      <c r="AN97" s="1175"/>
      <c r="AO97" s="1176"/>
      <c r="AP97" s="1177"/>
      <c r="AQ97" s="1547"/>
      <c r="AR97" s="1177"/>
      <c r="AS97" s="1548"/>
      <c r="AT97" s="1549"/>
      <c r="AU97" s="1178"/>
      <c r="AV97" s="1179"/>
      <c r="AY97" s="3">
        <v>1</v>
      </c>
    </row>
    <row r="98" spans="2:51" ht="27" customHeight="1">
      <c r="B98" s="104"/>
      <c r="C98" s="1172"/>
      <c r="D98" s="1172"/>
      <c r="E98" s="1172"/>
      <c r="F98" s="1173"/>
      <c r="G98" s="1174"/>
      <c r="H98" s="1175"/>
      <c r="I98" s="1176"/>
      <c r="J98" s="1177"/>
      <c r="K98" s="1547"/>
      <c r="L98" s="1177"/>
      <c r="M98" s="1548"/>
      <c r="N98" s="1549"/>
      <c r="O98" s="1178"/>
      <c r="P98" s="1179"/>
      <c r="Q98" s="1171"/>
      <c r="R98" s="104"/>
      <c r="S98" s="1172"/>
      <c r="T98" s="1172"/>
      <c r="U98" s="1172"/>
      <c r="V98" s="1173"/>
      <c r="W98" s="1174"/>
      <c r="X98" s="1175"/>
      <c r="Y98" s="1176"/>
      <c r="Z98" s="1177"/>
      <c r="AA98" s="1547"/>
      <c r="AB98" s="1177"/>
      <c r="AC98" s="1548"/>
      <c r="AD98" s="1549"/>
      <c r="AE98" s="1178"/>
      <c r="AF98" s="1179"/>
      <c r="AG98" s="1171"/>
      <c r="AH98" s="104"/>
      <c r="AI98" s="1172"/>
      <c r="AJ98" s="1172"/>
      <c r="AK98" s="1172"/>
      <c r="AL98" s="1173"/>
      <c r="AM98" s="1174"/>
      <c r="AN98" s="1175"/>
      <c r="AO98" s="1176"/>
      <c r="AP98" s="1177"/>
      <c r="AQ98" s="1547"/>
      <c r="AR98" s="1177"/>
      <c r="AS98" s="1548"/>
      <c r="AT98" s="1549"/>
      <c r="AU98" s="1178"/>
      <c r="AV98" s="1179"/>
      <c r="AY98" s="3">
        <v>1</v>
      </c>
    </row>
    <row r="99" spans="2:51" ht="27" customHeight="1">
      <c r="B99" s="104"/>
      <c r="C99" s="1172"/>
      <c r="D99" s="1172"/>
      <c r="E99" s="1172"/>
      <c r="F99" s="1173"/>
      <c r="G99" s="1174"/>
      <c r="H99" s="1175"/>
      <c r="I99" s="1176"/>
      <c r="J99" s="1177"/>
      <c r="K99" s="1547"/>
      <c r="L99" s="1177"/>
      <c r="M99" s="1548"/>
      <c r="N99" s="1549"/>
      <c r="O99" s="1178"/>
      <c r="P99" s="1179"/>
      <c r="Q99" s="1171"/>
      <c r="R99" s="104"/>
      <c r="S99" s="1172"/>
      <c r="T99" s="1172"/>
      <c r="U99" s="1172"/>
      <c r="V99" s="1173"/>
      <c r="W99" s="1174"/>
      <c r="X99" s="1175"/>
      <c r="Y99" s="1176"/>
      <c r="Z99" s="1177"/>
      <c r="AA99" s="1547"/>
      <c r="AB99" s="1177"/>
      <c r="AC99" s="1548"/>
      <c r="AD99" s="1549"/>
      <c r="AE99" s="1178"/>
      <c r="AF99" s="1179"/>
      <c r="AG99" s="1171"/>
      <c r="AH99" s="104"/>
      <c r="AI99" s="1172"/>
      <c r="AJ99" s="1172"/>
      <c r="AK99" s="1172"/>
      <c r="AL99" s="1173"/>
      <c r="AM99" s="1174"/>
      <c r="AN99" s="1175"/>
      <c r="AO99" s="1176"/>
      <c r="AP99" s="1177"/>
      <c r="AQ99" s="1547"/>
      <c r="AR99" s="1177"/>
      <c r="AS99" s="1548"/>
      <c r="AT99" s="1549"/>
      <c r="AU99" s="1178"/>
      <c r="AV99" s="1179"/>
      <c r="AY99" s="3">
        <v>1</v>
      </c>
    </row>
    <row r="100" spans="2:51" ht="27" customHeight="1">
      <c r="B100" s="104"/>
      <c r="C100" s="1172"/>
      <c r="D100" s="1172"/>
      <c r="E100" s="1172"/>
      <c r="F100" s="1173"/>
      <c r="G100" s="1174"/>
      <c r="H100" s="1175"/>
      <c r="I100" s="1176"/>
      <c r="J100" s="1177"/>
      <c r="K100" s="1547"/>
      <c r="L100" s="1177"/>
      <c r="M100" s="1548"/>
      <c r="N100" s="1549"/>
      <c r="O100" s="1178"/>
      <c r="P100" s="1179"/>
      <c r="Q100" s="1171"/>
      <c r="R100" s="104"/>
      <c r="S100" s="1172"/>
      <c r="T100" s="1172"/>
      <c r="U100" s="1172"/>
      <c r="V100" s="1173"/>
      <c r="W100" s="1174"/>
      <c r="X100" s="1175"/>
      <c r="Y100" s="1176"/>
      <c r="Z100" s="1177"/>
      <c r="AA100" s="1547"/>
      <c r="AB100" s="1177"/>
      <c r="AC100" s="1548"/>
      <c r="AD100" s="1549"/>
      <c r="AE100" s="1178"/>
      <c r="AF100" s="1179"/>
      <c r="AG100" s="1171"/>
      <c r="AH100" s="104"/>
      <c r="AI100" s="1172"/>
      <c r="AJ100" s="1172"/>
      <c r="AK100" s="1172"/>
      <c r="AL100" s="1173"/>
      <c r="AM100" s="1174"/>
      <c r="AN100" s="1175"/>
      <c r="AO100" s="1176"/>
      <c r="AP100" s="1177"/>
      <c r="AQ100" s="1547"/>
      <c r="AR100" s="1177"/>
      <c r="AS100" s="1548"/>
      <c r="AT100" s="1549"/>
      <c r="AU100" s="1178"/>
      <c r="AV100" s="1179"/>
      <c r="AY100" s="3">
        <v>1</v>
      </c>
    </row>
    <row r="101" spans="2:51" ht="27" customHeight="1">
      <c r="B101" s="104"/>
      <c r="C101" s="1172"/>
      <c r="D101" s="1172"/>
      <c r="E101" s="1172"/>
      <c r="F101" s="1173"/>
      <c r="G101" s="1174"/>
      <c r="H101" s="1175"/>
      <c r="I101" s="1176"/>
      <c r="J101" s="1177"/>
      <c r="K101" s="1547"/>
      <c r="L101" s="1177"/>
      <c r="M101" s="1548"/>
      <c r="N101" s="1549"/>
      <c r="O101" s="1178"/>
      <c r="P101" s="1179"/>
      <c r="Q101" s="1171"/>
      <c r="R101" s="104"/>
      <c r="S101" s="1172"/>
      <c r="T101" s="1172"/>
      <c r="U101" s="1172"/>
      <c r="V101" s="1173"/>
      <c r="W101" s="1174"/>
      <c r="X101" s="1175"/>
      <c r="Y101" s="1176"/>
      <c r="Z101" s="1177"/>
      <c r="AA101" s="1547"/>
      <c r="AB101" s="1177"/>
      <c r="AC101" s="1548"/>
      <c r="AD101" s="1549"/>
      <c r="AE101" s="1178"/>
      <c r="AF101" s="1179"/>
      <c r="AG101" s="1171"/>
      <c r="AH101" s="104"/>
      <c r="AI101" s="1172"/>
      <c r="AJ101" s="1172"/>
      <c r="AK101" s="1172"/>
      <c r="AL101" s="1173"/>
      <c r="AM101" s="1174"/>
      <c r="AN101" s="1175"/>
      <c r="AO101" s="1176"/>
      <c r="AP101" s="1177"/>
      <c r="AQ101" s="1547"/>
      <c r="AR101" s="1177"/>
      <c r="AS101" s="1548"/>
      <c r="AT101" s="1549"/>
      <c r="AU101" s="1178"/>
      <c r="AV101" s="1179"/>
      <c r="AY101" s="3">
        <v>1</v>
      </c>
    </row>
    <row r="102" spans="2:51" ht="27" customHeight="1">
      <c r="B102" s="104"/>
      <c r="C102" s="1172"/>
      <c r="D102" s="1172"/>
      <c r="E102" s="1172"/>
      <c r="F102" s="1173"/>
      <c r="G102" s="1174"/>
      <c r="H102" s="1175"/>
      <c r="I102" s="1176"/>
      <c r="J102" s="1177"/>
      <c r="K102" s="1547"/>
      <c r="L102" s="1177"/>
      <c r="M102" s="1548"/>
      <c r="N102" s="1549"/>
      <c r="O102" s="1178"/>
      <c r="P102" s="1179"/>
      <c r="Q102" s="1171"/>
      <c r="R102" s="104"/>
      <c r="S102" s="1172"/>
      <c r="T102" s="1172"/>
      <c r="U102" s="1172"/>
      <c r="V102" s="1173"/>
      <c r="W102" s="1174"/>
      <c r="X102" s="1175"/>
      <c r="Y102" s="1176"/>
      <c r="Z102" s="1177"/>
      <c r="AA102" s="1547"/>
      <c r="AB102" s="1177"/>
      <c r="AC102" s="1548"/>
      <c r="AD102" s="1549"/>
      <c r="AE102" s="1178"/>
      <c r="AF102" s="1179"/>
      <c r="AG102" s="1171"/>
      <c r="AH102" s="104"/>
      <c r="AI102" s="1172"/>
      <c r="AJ102" s="1172"/>
      <c r="AK102" s="1172"/>
      <c r="AL102" s="1173"/>
      <c r="AM102" s="1174"/>
      <c r="AN102" s="1175"/>
      <c r="AO102" s="1176"/>
      <c r="AP102" s="1177"/>
      <c r="AQ102" s="1547"/>
      <c r="AR102" s="1177"/>
      <c r="AS102" s="1548"/>
      <c r="AT102" s="1549"/>
      <c r="AU102" s="1178"/>
      <c r="AV102" s="1179"/>
      <c r="AY102" s="3">
        <v>1</v>
      </c>
    </row>
    <row r="103" spans="2:51" ht="27" customHeight="1">
      <c r="B103" s="104"/>
      <c r="C103" s="1172"/>
      <c r="D103" s="1172"/>
      <c r="E103" s="1172"/>
      <c r="F103" s="1173"/>
      <c r="G103" s="1174"/>
      <c r="H103" s="1175"/>
      <c r="I103" s="1176"/>
      <c r="J103" s="1177"/>
      <c r="K103" s="1547"/>
      <c r="L103" s="1177"/>
      <c r="M103" s="1548"/>
      <c r="N103" s="1549"/>
      <c r="O103" s="1178"/>
      <c r="P103" s="1179"/>
      <c r="Q103" s="1171"/>
      <c r="R103" s="104"/>
      <c r="S103" s="1172"/>
      <c r="T103" s="1172"/>
      <c r="U103" s="1172"/>
      <c r="V103" s="1173"/>
      <c r="W103" s="1174"/>
      <c r="X103" s="1175"/>
      <c r="Y103" s="1176"/>
      <c r="Z103" s="1177"/>
      <c r="AA103" s="1547"/>
      <c r="AB103" s="1177"/>
      <c r="AC103" s="1548"/>
      <c r="AD103" s="1549"/>
      <c r="AE103" s="1178"/>
      <c r="AF103" s="1179"/>
      <c r="AG103" s="1171"/>
      <c r="AH103" s="104"/>
      <c r="AI103" s="1172"/>
      <c r="AJ103" s="1172"/>
      <c r="AK103" s="1172"/>
      <c r="AL103" s="1173"/>
      <c r="AM103" s="1174"/>
      <c r="AN103" s="1175"/>
      <c r="AO103" s="1176"/>
      <c r="AP103" s="1177"/>
      <c r="AQ103" s="1547"/>
      <c r="AR103" s="1177"/>
      <c r="AS103" s="1548"/>
      <c r="AT103" s="1549"/>
      <c r="AU103" s="1178"/>
      <c r="AV103" s="1179"/>
      <c r="AY103" s="3">
        <v>1</v>
      </c>
    </row>
    <row r="104" spans="2:51" ht="27" customHeight="1">
      <c r="B104" s="104"/>
      <c r="C104" s="1172"/>
      <c r="D104" s="1172"/>
      <c r="E104" s="1172"/>
      <c r="F104" s="1173"/>
      <c r="G104" s="1174"/>
      <c r="H104" s="1175"/>
      <c r="I104" s="1176"/>
      <c r="J104" s="1177"/>
      <c r="K104" s="1547"/>
      <c r="L104" s="1177"/>
      <c r="M104" s="1548"/>
      <c r="N104" s="1549"/>
      <c r="O104" s="1178"/>
      <c r="P104" s="1179"/>
      <c r="Q104" s="1171"/>
      <c r="R104" s="104"/>
      <c r="S104" s="1172"/>
      <c r="T104" s="1172"/>
      <c r="U104" s="1172"/>
      <c r="V104" s="1173"/>
      <c r="W104" s="1174"/>
      <c r="X104" s="1175"/>
      <c r="Y104" s="1176"/>
      <c r="Z104" s="1177"/>
      <c r="AA104" s="1547"/>
      <c r="AB104" s="1177"/>
      <c r="AC104" s="1548"/>
      <c r="AD104" s="1549"/>
      <c r="AE104" s="1178"/>
      <c r="AF104" s="1179"/>
      <c r="AG104" s="1171"/>
      <c r="AH104" s="104"/>
      <c r="AI104" s="1172"/>
      <c r="AJ104" s="1172"/>
      <c r="AK104" s="1172"/>
      <c r="AL104" s="1173"/>
      <c r="AM104" s="1174"/>
      <c r="AN104" s="1175"/>
      <c r="AO104" s="1176"/>
      <c r="AP104" s="1177"/>
      <c r="AQ104" s="1547"/>
      <c r="AR104" s="1177"/>
      <c r="AS104" s="1548"/>
      <c r="AT104" s="1549"/>
      <c r="AU104" s="1178"/>
      <c r="AV104" s="1179"/>
      <c r="AY104" s="3">
        <v>1</v>
      </c>
    </row>
    <row r="105" spans="2:51" ht="27" customHeight="1">
      <c r="B105" s="104"/>
      <c r="C105" s="1172"/>
      <c r="D105" s="1172"/>
      <c r="E105" s="1172"/>
      <c r="F105" s="1173"/>
      <c r="G105" s="1174"/>
      <c r="H105" s="1175"/>
      <c r="I105" s="1176"/>
      <c r="J105" s="1177"/>
      <c r="K105" s="1547"/>
      <c r="L105" s="1177"/>
      <c r="M105" s="1548"/>
      <c r="N105" s="1549"/>
      <c r="O105" s="1178"/>
      <c r="P105" s="1179"/>
      <c r="Q105" s="1171"/>
      <c r="R105" s="104"/>
      <c r="S105" s="1172"/>
      <c r="T105" s="1172"/>
      <c r="U105" s="1172"/>
      <c r="V105" s="1173"/>
      <c r="W105" s="1174"/>
      <c r="X105" s="1175"/>
      <c r="Y105" s="1176"/>
      <c r="Z105" s="1177"/>
      <c r="AA105" s="1547"/>
      <c r="AB105" s="1177"/>
      <c r="AC105" s="1548"/>
      <c r="AD105" s="1549"/>
      <c r="AE105" s="1178"/>
      <c r="AF105" s="1179"/>
      <c r="AG105" s="1171"/>
      <c r="AH105" s="104"/>
      <c r="AI105" s="1172"/>
      <c r="AJ105" s="1172"/>
      <c r="AK105" s="1172"/>
      <c r="AL105" s="1173"/>
      <c r="AM105" s="1174"/>
      <c r="AN105" s="1175"/>
      <c r="AO105" s="1176"/>
      <c r="AP105" s="1177"/>
      <c r="AQ105" s="1547"/>
      <c r="AR105" s="1177"/>
      <c r="AS105" s="1548"/>
      <c r="AT105" s="1549"/>
      <c r="AU105" s="1178"/>
      <c r="AV105" s="1179"/>
      <c r="AY105" s="3">
        <v>1</v>
      </c>
    </row>
    <row r="106" spans="2:51" ht="27" customHeight="1">
      <c r="B106" s="104"/>
      <c r="C106" s="1172"/>
      <c r="D106" s="1172"/>
      <c r="E106" s="1172"/>
      <c r="F106" s="1173"/>
      <c r="G106" s="1174"/>
      <c r="H106" s="1175"/>
      <c r="I106" s="1176"/>
      <c r="J106" s="1177"/>
      <c r="K106" s="1547"/>
      <c r="L106" s="1177"/>
      <c r="M106" s="1548"/>
      <c r="N106" s="1549"/>
      <c r="O106" s="1178"/>
      <c r="P106" s="1179"/>
      <c r="Q106" s="1171"/>
      <c r="R106" s="104"/>
      <c r="S106" s="1172"/>
      <c r="T106" s="1172"/>
      <c r="U106" s="1172"/>
      <c r="V106" s="1173"/>
      <c r="W106" s="1174"/>
      <c r="X106" s="1175"/>
      <c r="Y106" s="1176"/>
      <c r="Z106" s="1177"/>
      <c r="AA106" s="1547"/>
      <c r="AB106" s="1177"/>
      <c r="AC106" s="1548"/>
      <c r="AD106" s="1549"/>
      <c r="AE106" s="1178"/>
      <c r="AF106" s="1179"/>
      <c r="AG106" s="1171"/>
      <c r="AH106" s="104"/>
      <c r="AI106" s="1172"/>
      <c r="AJ106" s="1172"/>
      <c r="AK106" s="1172"/>
      <c r="AL106" s="1173"/>
      <c r="AM106" s="1174"/>
      <c r="AN106" s="1175"/>
      <c r="AO106" s="1176"/>
      <c r="AP106" s="1177"/>
      <c r="AQ106" s="1547"/>
      <c r="AR106" s="1177"/>
      <c r="AS106" s="1548"/>
      <c r="AT106" s="1549"/>
      <c r="AU106" s="1178"/>
      <c r="AV106" s="1179"/>
      <c r="AY106" s="3">
        <v>1</v>
      </c>
    </row>
    <row r="107" spans="2:51" ht="27" customHeight="1">
      <c r="B107" s="104"/>
      <c r="C107" s="1172"/>
      <c r="D107" s="1172"/>
      <c r="E107" s="1172"/>
      <c r="F107" s="1173"/>
      <c r="G107" s="1174"/>
      <c r="H107" s="1175"/>
      <c r="I107" s="1176"/>
      <c r="J107" s="1177"/>
      <c r="K107" s="1547"/>
      <c r="L107" s="1177"/>
      <c r="M107" s="1548"/>
      <c r="N107" s="1549"/>
      <c r="O107" s="1178"/>
      <c r="P107" s="1179"/>
      <c r="Q107" s="1171"/>
      <c r="R107" s="104"/>
      <c r="S107" s="1172"/>
      <c r="T107" s="1172"/>
      <c r="U107" s="1172"/>
      <c r="V107" s="1173"/>
      <c r="W107" s="1174"/>
      <c r="X107" s="1175"/>
      <c r="Y107" s="1176"/>
      <c r="Z107" s="1177"/>
      <c r="AA107" s="1547"/>
      <c r="AB107" s="1177"/>
      <c r="AC107" s="1548"/>
      <c r="AD107" s="1549"/>
      <c r="AE107" s="1178"/>
      <c r="AF107" s="1179"/>
      <c r="AG107" s="1171"/>
      <c r="AH107" s="104"/>
      <c r="AI107" s="1172"/>
      <c r="AJ107" s="1172"/>
      <c r="AK107" s="1172"/>
      <c r="AL107" s="1173"/>
      <c r="AM107" s="1174"/>
      <c r="AN107" s="1175"/>
      <c r="AO107" s="1176"/>
      <c r="AP107" s="1177"/>
      <c r="AQ107" s="1547"/>
      <c r="AR107" s="1177"/>
      <c r="AS107" s="1548"/>
      <c r="AT107" s="1549"/>
      <c r="AU107" s="1178"/>
      <c r="AV107" s="1179"/>
      <c r="AY107" s="3">
        <v>1</v>
      </c>
    </row>
    <row r="108" spans="2:51" ht="27" customHeight="1">
      <c r="B108" s="104"/>
      <c r="C108" s="1172"/>
      <c r="D108" s="1172"/>
      <c r="E108" s="1172"/>
      <c r="F108" s="1173"/>
      <c r="G108" s="1174"/>
      <c r="H108" s="1175"/>
      <c r="I108" s="1176"/>
      <c r="J108" s="1177"/>
      <c r="K108" s="1547"/>
      <c r="L108" s="1177"/>
      <c r="M108" s="1548"/>
      <c r="N108" s="1549"/>
      <c r="O108" s="1178"/>
      <c r="P108" s="1179"/>
      <c r="Q108" s="1171"/>
      <c r="R108" s="104"/>
      <c r="S108" s="1172"/>
      <c r="T108" s="1172"/>
      <c r="U108" s="1172"/>
      <c r="V108" s="1173"/>
      <c r="W108" s="1174"/>
      <c r="X108" s="1175"/>
      <c r="Y108" s="1176"/>
      <c r="Z108" s="1177"/>
      <c r="AA108" s="1547"/>
      <c r="AB108" s="1177"/>
      <c r="AC108" s="1548"/>
      <c r="AD108" s="1549"/>
      <c r="AE108" s="1178"/>
      <c r="AF108" s="1179"/>
      <c r="AG108" s="1171"/>
      <c r="AH108" s="104"/>
      <c r="AI108" s="1172"/>
      <c r="AJ108" s="1172"/>
      <c r="AK108" s="1172"/>
      <c r="AL108" s="1173"/>
      <c r="AM108" s="1174"/>
      <c r="AN108" s="1175"/>
      <c r="AO108" s="1176"/>
      <c r="AP108" s="1177"/>
      <c r="AQ108" s="1547"/>
      <c r="AR108" s="1177"/>
      <c r="AS108" s="1548"/>
      <c r="AT108" s="1549"/>
      <c r="AU108" s="1178"/>
      <c r="AV108" s="1179"/>
      <c r="AY108" s="3">
        <v>1</v>
      </c>
    </row>
    <row r="109" spans="2:51" ht="27" customHeight="1">
      <c r="B109" s="104"/>
      <c r="C109" s="1172"/>
      <c r="D109" s="1172"/>
      <c r="E109" s="1172"/>
      <c r="F109" s="1173"/>
      <c r="G109" s="1174"/>
      <c r="H109" s="1175"/>
      <c r="I109" s="1176"/>
      <c r="J109" s="1177"/>
      <c r="K109" s="1547"/>
      <c r="L109" s="1177"/>
      <c r="M109" s="1548"/>
      <c r="N109" s="1549"/>
      <c r="O109" s="1178"/>
      <c r="P109" s="1179"/>
      <c r="Q109" s="1171"/>
      <c r="R109" s="104"/>
      <c r="S109" s="1172"/>
      <c r="T109" s="1172"/>
      <c r="U109" s="1172"/>
      <c r="V109" s="1173"/>
      <c r="W109" s="1174"/>
      <c r="X109" s="1175"/>
      <c r="Y109" s="1176"/>
      <c r="Z109" s="1177"/>
      <c r="AA109" s="1547"/>
      <c r="AB109" s="1177"/>
      <c r="AC109" s="1548"/>
      <c r="AD109" s="1549"/>
      <c r="AE109" s="1178"/>
      <c r="AF109" s="1179"/>
      <c r="AG109" s="1171"/>
      <c r="AH109" s="104"/>
      <c r="AI109" s="1172"/>
      <c r="AJ109" s="1172"/>
      <c r="AK109" s="1172"/>
      <c r="AL109" s="1173"/>
      <c r="AM109" s="1174"/>
      <c r="AN109" s="1175"/>
      <c r="AO109" s="1176"/>
      <c r="AP109" s="1177"/>
      <c r="AQ109" s="1547"/>
      <c r="AR109" s="1177"/>
      <c r="AS109" s="1548"/>
      <c r="AT109" s="1549"/>
      <c r="AU109" s="1178"/>
      <c r="AV109" s="1179"/>
      <c r="AY109" s="3">
        <v>1</v>
      </c>
    </row>
    <row r="110" spans="2:51" ht="27" customHeight="1">
      <c r="B110" s="104"/>
      <c r="C110" s="1172"/>
      <c r="D110" s="1172"/>
      <c r="E110" s="1172"/>
      <c r="F110" s="1173"/>
      <c r="G110" s="1174"/>
      <c r="H110" s="1175"/>
      <c r="I110" s="1176"/>
      <c r="J110" s="1177"/>
      <c r="K110" s="1547"/>
      <c r="L110" s="1177"/>
      <c r="M110" s="1548"/>
      <c r="N110" s="1549"/>
      <c r="O110" s="1178"/>
      <c r="P110" s="1179"/>
      <c r="Q110" s="1171"/>
      <c r="R110" s="104"/>
      <c r="S110" s="1172"/>
      <c r="T110" s="1172"/>
      <c r="U110" s="1172"/>
      <c r="V110" s="1173"/>
      <c r="W110" s="1174"/>
      <c r="X110" s="1175"/>
      <c r="Y110" s="1176"/>
      <c r="Z110" s="1177"/>
      <c r="AA110" s="1547"/>
      <c r="AB110" s="1177"/>
      <c r="AC110" s="1548"/>
      <c r="AD110" s="1549"/>
      <c r="AE110" s="1178"/>
      <c r="AF110" s="1179"/>
      <c r="AG110" s="1171"/>
      <c r="AH110" s="104"/>
      <c r="AI110" s="1172"/>
      <c r="AJ110" s="1172"/>
      <c r="AK110" s="1172"/>
      <c r="AL110" s="1173"/>
      <c r="AM110" s="1174"/>
      <c r="AN110" s="1175"/>
      <c r="AO110" s="1176"/>
      <c r="AP110" s="1177"/>
      <c r="AQ110" s="1547"/>
      <c r="AR110" s="1177"/>
      <c r="AS110" s="1548"/>
      <c r="AT110" s="1549"/>
      <c r="AU110" s="1178"/>
      <c r="AV110" s="1179"/>
      <c r="AY110" s="3">
        <v>1</v>
      </c>
    </row>
    <row r="111" spans="2:51" ht="27" customHeight="1">
      <c r="B111" s="104"/>
      <c r="C111" s="1172"/>
      <c r="D111" s="1172"/>
      <c r="E111" s="1172"/>
      <c r="F111" s="1173"/>
      <c r="G111" s="1174"/>
      <c r="H111" s="1175"/>
      <c r="I111" s="1176"/>
      <c r="J111" s="1177"/>
      <c r="K111" s="1547"/>
      <c r="L111" s="1177"/>
      <c r="M111" s="1548"/>
      <c r="N111" s="1549"/>
      <c r="O111" s="1178"/>
      <c r="P111" s="1179"/>
      <c r="Q111" s="1171"/>
      <c r="R111" s="104"/>
      <c r="S111" s="1172"/>
      <c r="T111" s="1172"/>
      <c r="U111" s="1172"/>
      <c r="V111" s="1173"/>
      <c r="W111" s="1174"/>
      <c r="X111" s="1175"/>
      <c r="Y111" s="1176"/>
      <c r="Z111" s="1177"/>
      <c r="AA111" s="1547"/>
      <c r="AB111" s="1177"/>
      <c r="AC111" s="1548"/>
      <c r="AD111" s="1549"/>
      <c r="AE111" s="1178"/>
      <c r="AF111" s="1179"/>
      <c r="AG111" s="1171"/>
      <c r="AH111" s="104"/>
      <c r="AI111" s="1172"/>
      <c r="AJ111" s="1172"/>
      <c r="AK111" s="1172"/>
      <c r="AL111" s="1173"/>
      <c r="AM111" s="1174"/>
      <c r="AN111" s="1175"/>
      <c r="AO111" s="1176"/>
      <c r="AP111" s="1177"/>
      <c r="AQ111" s="1547"/>
      <c r="AR111" s="1177"/>
      <c r="AS111" s="1548"/>
      <c r="AT111" s="1549"/>
      <c r="AU111" s="1178"/>
      <c r="AV111" s="1179"/>
      <c r="AY111" s="3">
        <v>1</v>
      </c>
    </row>
    <row r="112" spans="2:51" ht="27" customHeight="1">
      <c r="B112" s="104"/>
      <c r="C112" s="1172"/>
      <c r="D112" s="1172"/>
      <c r="E112" s="1172"/>
      <c r="F112" s="1173"/>
      <c r="G112" s="1174"/>
      <c r="H112" s="1175"/>
      <c r="I112" s="1176"/>
      <c r="J112" s="1177"/>
      <c r="K112" s="1547"/>
      <c r="L112" s="1177"/>
      <c r="M112" s="1548"/>
      <c r="N112" s="1549"/>
      <c r="O112" s="1178"/>
      <c r="P112" s="1179"/>
      <c r="Q112" s="1171"/>
      <c r="R112" s="104"/>
      <c r="S112" s="1172"/>
      <c r="T112" s="1172"/>
      <c r="U112" s="1172"/>
      <c r="V112" s="1173"/>
      <c r="W112" s="1174"/>
      <c r="X112" s="1175"/>
      <c r="Y112" s="1176"/>
      <c r="Z112" s="1177"/>
      <c r="AA112" s="1547"/>
      <c r="AB112" s="1177"/>
      <c r="AC112" s="1548"/>
      <c r="AD112" s="1549"/>
      <c r="AE112" s="1178"/>
      <c r="AF112" s="1179"/>
      <c r="AG112" s="1171"/>
      <c r="AH112" s="104"/>
      <c r="AI112" s="1172"/>
      <c r="AJ112" s="1172"/>
      <c r="AK112" s="1172"/>
      <c r="AL112" s="1173"/>
      <c r="AM112" s="1174"/>
      <c r="AN112" s="1175"/>
      <c r="AO112" s="1176"/>
      <c r="AP112" s="1177"/>
      <c r="AQ112" s="1547"/>
      <c r="AR112" s="1177"/>
      <c r="AS112" s="1548"/>
      <c r="AT112" s="1549"/>
      <c r="AU112" s="1178"/>
      <c r="AV112" s="1179"/>
      <c r="AY112" s="3">
        <v>1</v>
      </c>
    </row>
    <row r="113" spans="2:51" ht="27" customHeight="1">
      <c r="B113" s="104"/>
      <c r="C113" s="1172"/>
      <c r="D113" s="1172"/>
      <c r="E113" s="1172"/>
      <c r="F113" s="1173"/>
      <c r="G113" s="1174"/>
      <c r="H113" s="1175"/>
      <c r="I113" s="1176"/>
      <c r="J113" s="1177"/>
      <c r="K113" s="1547"/>
      <c r="L113" s="1177"/>
      <c r="M113" s="1548"/>
      <c r="N113" s="1549"/>
      <c r="O113" s="1178"/>
      <c r="P113" s="1179"/>
      <c r="Q113" s="1171"/>
      <c r="R113" s="104"/>
      <c r="S113" s="1172"/>
      <c r="T113" s="1172"/>
      <c r="U113" s="1172"/>
      <c r="V113" s="1173"/>
      <c r="W113" s="1174"/>
      <c r="X113" s="1175"/>
      <c r="Y113" s="1176"/>
      <c r="Z113" s="1177"/>
      <c r="AA113" s="1547"/>
      <c r="AB113" s="1177"/>
      <c r="AC113" s="1548"/>
      <c r="AD113" s="1549"/>
      <c r="AE113" s="1178"/>
      <c r="AF113" s="1179"/>
      <c r="AG113" s="1171"/>
      <c r="AH113" s="104"/>
      <c r="AI113" s="1172"/>
      <c r="AJ113" s="1172"/>
      <c r="AK113" s="1172"/>
      <c r="AL113" s="1173"/>
      <c r="AM113" s="1174"/>
      <c r="AN113" s="1175"/>
      <c r="AO113" s="1176"/>
      <c r="AP113" s="1177"/>
      <c r="AQ113" s="1547"/>
      <c r="AR113" s="1177"/>
      <c r="AS113" s="1548"/>
      <c r="AT113" s="1549"/>
      <c r="AU113" s="1178"/>
      <c r="AV113" s="1179"/>
      <c r="AY113" s="3">
        <v>1</v>
      </c>
    </row>
    <row r="114" spans="2:51" ht="27" customHeight="1">
      <c r="B114" s="104"/>
      <c r="C114" s="1172"/>
      <c r="D114" s="1172"/>
      <c r="E114" s="1172"/>
      <c r="F114" s="1173"/>
      <c r="G114" s="1174"/>
      <c r="H114" s="1175"/>
      <c r="I114" s="1176"/>
      <c r="J114" s="1177"/>
      <c r="K114" s="1547"/>
      <c r="L114" s="1177"/>
      <c r="M114" s="1548"/>
      <c r="N114" s="1549"/>
      <c r="O114" s="1178"/>
      <c r="P114" s="1179"/>
      <c r="Q114" s="1171"/>
      <c r="R114" s="104"/>
      <c r="S114" s="1172"/>
      <c r="T114" s="1172"/>
      <c r="U114" s="1172"/>
      <c r="V114" s="1173"/>
      <c r="W114" s="1174"/>
      <c r="X114" s="1175"/>
      <c r="Y114" s="1176"/>
      <c r="Z114" s="1177"/>
      <c r="AA114" s="1547"/>
      <c r="AB114" s="1177"/>
      <c r="AC114" s="1548"/>
      <c r="AD114" s="1549"/>
      <c r="AE114" s="1178"/>
      <c r="AF114" s="1179"/>
      <c r="AG114" s="1171"/>
      <c r="AH114" s="104"/>
      <c r="AI114" s="1172"/>
      <c r="AJ114" s="1172"/>
      <c r="AK114" s="1172"/>
      <c r="AL114" s="1173"/>
      <c r="AM114" s="1174"/>
      <c r="AN114" s="1175"/>
      <c r="AO114" s="1176"/>
      <c r="AP114" s="1177"/>
      <c r="AQ114" s="1547"/>
      <c r="AR114" s="1177"/>
      <c r="AS114" s="1548"/>
      <c r="AT114" s="1549"/>
      <c r="AU114" s="1178"/>
      <c r="AV114" s="1179"/>
      <c r="AY114" s="3">
        <v>1</v>
      </c>
    </row>
    <row r="115" spans="2:51" ht="27" customHeight="1">
      <c r="B115" s="104"/>
      <c r="C115" s="1172"/>
      <c r="D115" s="1172"/>
      <c r="E115" s="1172"/>
      <c r="F115" s="1173"/>
      <c r="G115" s="1174"/>
      <c r="H115" s="1175"/>
      <c r="I115" s="1176"/>
      <c r="J115" s="1177"/>
      <c r="K115" s="1547"/>
      <c r="L115" s="1177"/>
      <c r="M115" s="1548"/>
      <c r="N115" s="1549"/>
      <c r="O115" s="1178"/>
      <c r="P115" s="1179"/>
      <c r="Q115" s="1171"/>
      <c r="R115" s="104"/>
      <c r="S115" s="1172"/>
      <c r="T115" s="1172"/>
      <c r="U115" s="1172"/>
      <c r="V115" s="1173"/>
      <c r="W115" s="1174"/>
      <c r="X115" s="1175"/>
      <c r="Y115" s="1176"/>
      <c r="Z115" s="1177"/>
      <c r="AA115" s="1547"/>
      <c r="AB115" s="1177"/>
      <c r="AC115" s="1548"/>
      <c r="AD115" s="1549"/>
      <c r="AE115" s="1178"/>
      <c r="AF115" s="1179"/>
      <c r="AG115" s="1171"/>
      <c r="AH115" s="104"/>
      <c r="AI115" s="1172"/>
      <c r="AJ115" s="1172"/>
      <c r="AK115" s="1172"/>
      <c r="AL115" s="1173"/>
      <c r="AM115" s="1174"/>
      <c r="AN115" s="1175"/>
      <c r="AO115" s="1176"/>
      <c r="AP115" s="1177"/>
      <c r="AQ115" s="1547"/>
      <c r="AR115" s="1177"/>
      <c r="AS115" s="1548"/>
      <c r="AT115" s="1549"/>
      <c r="AU115" s="1178"/>
      <c r="AV115" s="1179"/>
      <c r="AY115" s="3">
        <v>1</v>
      </c>
    </row>
    <row r="116" spans="2:51" ht="27" customHeight="1">
      <c r="B116" s="104"/>
      <c r="C116" s="1172"/>
      <c r="D116" s="1172"/>
      <c r="E116" s="1172"/>
      <c r="F116" s="1173"/>
      <c r="G116" s="1174"/>
      <c r="H116" s="1175"/>
      <c r="I116" s="1176"/>
      <c r="J116" s="1177"/>
      <c r="K116" s="1547"/>
      <c r="L116" s="1177"/>
      <c r="M116" s="1548"/>
      <c r="N116" s="1549"/>
      <c r="O116" s="1178"/>
      <c r="P116" s="1179"/>
      <c r="Q116" s="1171"/>
      <c r="R116" s="104"/>
      <c r="S116" s="1172"/>
      <c r="T116" s="1172"/>
      <c r="U116" s="1172"/>
      <c r="V116" s="1173"/>
      <c r="W116" s="1174"/>
      <c r="X116" s="1175"/>
      <c r="Y116" s="1176"/>
      <c r="Z116" s="1177"/>
      <c r="AA116" s="1547"/>
      <c r="AB116" s="1177"/>
      <c r="AC116" s="1548"/>
      <c r="AD116" s="1549"/>
      <c r="AE116" s="1178"/>
      <c r="AF116" s="1179"/>
      <c r="AG116" s="1171"/>
      <c r="AH116" s="104"/>
      <c r="AI116" s="1172"/>
      <c r="AJ116" s="1172"/>
      <c r="AK116" s="1172"/>
      <c r="AL116" s="1173"/>
      <c r="AM116" s="1174"/>
      <c r="AN116" s="1175"/>
      <c r="AO116" s="1176"/>
      <c r="AP116" s="1177"/>
      <c r="AQ116" s="1547"/>
      <c r="AR116" s="1177"/>
      <c r="AS116" s="1548"/>
      <c r="AT116" s="1549"/>
      <c r="AU116" s="1178"/>
      <c r="AV116" s="1179"/>
      <c r="AY116" s="3">
        <v>1</v>
      </c>
    </row>
    <row r="117" spans="2:51" ht="27" customHeight="1">
      <c r="B117" s="104"/>
      <c r="C117" s="1172"/>
      <c r="D117" s="1172"/>
      <c r="E117" s="1172"/>
      <c r="F117" s="1173"/>
      <c r="G117" s="1174"/>
      <c r="H117" s="1175"/>
      <c r="I117" s="1176"/>
      <c r="J117" s="1177"/>
      <c r="K117" s="1547"/>
      <c r="L117" s="1177"/>
      <c r="M117" s="1548"/>
      <c r="N117" s="1549"/>
      <c r="O117" s="1178"/>
      <c r="P117" s="1179"/>
      <c r="Q117" s="1171"/>
      <c r="R117" s="104"/>
      <c r="S117" s="1172"/>
      <c r="T117" s="1172"/>
      <c r="U117" s="1172"/>
      <c r="V117" s="1173"/>
      <c r="W117" s="1174"/>
      <c r="X117" s="1175"/>
      <c r="Y117" s="1176"/>
      <c r="Z117" s="1177"/>
      <c r="AA117" s="1547"/>
      <c r="AB117" s="1177"/>
      <c r="AC117" s="1548"/>
      <c r="AD117" s="1549"/>
      <c r="AE117" s="1178"/>
      <c r="AF117" s="1179"/>
      <c r="AG117" s="1171"/>
      <c r="AH117" s="104"/>
      <c r="AI117" s="1172"/>
      <c r="AJ117" s="1172"/>
      <c r="AK117" s="1172"/>
      <c r="AL117" s="1173"/>
      <c r="AM117" s="1174"/>
      <c r="AN117" s="1175"/>
      <c r="AO117" s="1176"/>
      <c r="AP117" s="1177"/>
      <c r="AQ117" s="1547"/>
      <c r="AR117" s="1177"/>
      <c r="AS117" s="1548"/>
      <c r="AT117" s="1549"/>
      <c r="AU117" s="1178"/>
      <c r="AV117" s="1179"/>
      <c r="AY117" s="3">
        <v>1</v>
      </c>
    </row>
    <row r="118" spans="2:51" ht="27" customHeight="1">
      <c r="B118" s="104"/>
      <c r="C118" s="1172"/>
      <c r="D118" s="1172"/>
      <c r="E118" s="1172"/>
      <c r="F118" s="1173"/>
      <c r="G118" s="1174"/>
      <c r="H118" s="1175"/>
      <c r="I118" s="1176"/>
      <c r="J118" s="1177"/>
      <c r="K118" s="1547"/>
      <c r="L118" s="1177"/>
      <c r="M118" s="1548"/>
      <c r="N118" s="1549"/>
      <c r="O118" s="1178"/>
      <c r="P118" s="1179"/>
      <c r="Q118" s="1171"/>
      <c r="R118" s="104"/>
      <c r="S118" s="1172"/>
      <c r="T118" s="1172"/>
      <c r="U118" s="1172"/>
      <c r="V118" s="1173"/>
      <c r="W118" s="1174"/>
      <c r="X118" s="1175"/>
      <c r="Y118" s="1176"/>
      <c r="Z118" s="1177"/>
      <c r="AA118" s="1547"/>
      <c r="AB118" s="1177"/>
      <c r="AC118" s="1548"/>
      <c r="AD118" s="1549"/>
      <c r="AE118" s="1178"/>
      <c r="AF118" s="1179"/>
      <c r="AG118" s="1171"/>
      <c r="AH118" s="104"/>
      <c r="AI118" s="1172"/>
      <c r="AJ118" s="1172"/>
      <c r="AK118" s="1172"/>
      <c r="AL118" s="1173"/>
      <c r="AM118" s="1174"/>
      <c r="AN118" s="1175"/>
      <c r="AO118" s="1176"/>
      <c r="AP118" s="1177"/>
      <c r="AQ118" s="1547"/>
      <c r="AR118" s="1177"/>
      <c r="AS118" s="1548"/>
      <c r="AT118" s="1549"/>
      <c r="AU118" s="1178"/>
      <c r="AV118" s="1179"/>
      <c r="AY118" s="3">
        <v>1</v>
      </c>
    </row>
    <row r="119" spans="2:51" ht="27" customHeight="1">
      <c r="B119" s="104"/>
      <c r="C119" s="1172"/>
      <c r="D119" s="1172"/>
      <c r="E119" s="1172"/>
      <c r="F119" s="1173"/>
      <c r="G119" s="1174"/>
      <c r="H119" s="1175"/>
      <c r="I119" s="1176"/>
      <c r="J119" s="1177"/>
      <c r="K119" s="1547"/>
      <c r="L119" s="1177"/>
      <c r="M119" s="1548"/>
      <c r="N119" s="1549"/>
      <c r="O119" s="1178"/>
      <c r="P119" s="1179"/>
      <c r="Q119" s="1171"/>
      <c r="R119" s="104"/>
      <c r="S119" s="1172"/>
      <c r="T119" s="1172"/>
      <c r="U119" s="1172"/>
      <c r="V119" s="1173"/>
      <c r="W119" s="1174"/>
      <c r="X119" s="1175"/>
      <c r="Y119" s="1176"/>
      <c r="Z119" s="1177"/>
      <c r="AA119" s="1547"/>
      <c r="AB119" s="1177"/>
      <c r="AC119" s="1548"/>
      <c r="AD119" s="1549"/>
      <c r="AE119" s="1178"/>
      <c r="AF119" s="1179"/>
      <c r="AG119" s="1171"/>
      <c r="AH119" s="104"/>
      <c r="AI119" s="1172"/>
      <c r="AJ119" s="1172"/>
      <c r="AK119" s="1172"/>
      <c r="AL119" s="1173"/>
      <c r="AM119" s="1174"/>
      <c r="AN119" s="1175"/>
      <c r="AO119" s="1176"/>
      <c r="AP119" s="1177"/>
      <c r="AQ119" s="1547"/>
      <c r="AR119" s="1177"/>
      <c r="AS119" s="1548"/>
      <c r="AT119" s="1549"/>
      <c r="AU119" s="1178"/>
      <c r="AV119" s="1179"/>
      <c r="AY119" s="3">
        <v>1</v>
      </c>
    </row>
    <row r="120" spans="2:51" ht="27" customHeight="1">
      <c r="B120" s="104"/>
      <c r="C120" s="1172"/>
      <c r="D120" s="1172"/>
      <c r="E120" s="1172"/>
      <c r="F120" s="1173"/>
      <c r="G120" s="1174"/>
      <c r="H120" s="1175"/>
      <c r="I120" s="1176"/>
      <c r="J120" s="1177"/>
      <c r="K120" s="1547"/>
      <c r="L120" s="1177"/>
      <c r="M120" s="1548"/>
      <c r="N120" s="1549"/>
      <c r="O120" s="1178"/>
      <c r="P120" s="1179"/>
      <c r="Q120" s="1171"/>
      <c r="R120" s="104"/>
      <c r="S120" s="1172"/>
      <c r="T120" s="1172"/>
      <c r="U120" s="1172"/>
      <c r="V120" s="1173"/>
      <c r="W120" s="1174"/>
      <c r="X120" s="1175"/>
      <c r="Y120" s="1176"/>
      <c r="Z120" s="1177"/>
      <c r="AA120" s="1547"/>
      <c r="AB120" s="1177"/>
      <c r="AC120" s="1548"/>
      <c r="AD120" s="1549"/>
      <c r="AE120" s="1178"/>
      <c r="AF120" s="1179"/>
      <c r="AG120" s="1171"/>
      <c r="AH120" s="104"/>
      <c r="AI120" s="1172"/>
      <c r="AJ120" s="1172"/>
      <c r="AK120" s="1172"/>
      <c r="AL120" s="1173"/>
      <c r="AM120" s="1174"/>
      <c r="AN120" s="1175"/>
      <c r="AO120" s="1176"/>
      <c r="AP120" s="1177"/>
      <c r="AQ120" s="1547"/>
      <c r="AR120" s="1177"/>
      <c r="AS120" s="1548"/>
      <c r="AT120" s="1549"/>
      <c r="AU120" s="1178"/>
      <c r="AV120" s="1179"/>
      <c r="AY120" s="3">
        <v>1</v>
      </c>
    </row>
    <row r="121" spans="2:51" ht="27" customHeight="1">
      <c r="B121" s="104"/>
      <c r="C121" s="1172"/>
      <c r="D121" s="1172"/>
      <c r="E121" s="1172"/>
      <c r="F121" s="1173"/>
      <c r="G121" s="1174"/>
      <c r="H121" s="1175"/>
      <c r="I121" s="1176"/>
      <c r="J121" s="1177"/>
      <c r="K121" s="1547"/>
      <c r="L121" s="1177"/>
      <c r="M121" s="1548"/>
      <c r="N121" s="1549"/>
      <c r="O121" s="1178"/>
      <c r="P121" s="1179"/>
      <c r="Q121" s="1171"/>
      <c r="R121" s="104"/>
      <c r="S121" s="1172"/>
      <c r="T121" s="1172"/>
      <c r="U121" s="1172"/>
      <c r="V121" s="1173"/>
      <c r="W121" s="1174"/>
      <c r="X121" s="1175"/>
      <c r="Y121" s="1176"/>
      <c r="Z121" s="1177"/>
      <c r="AA121" s="1547"/>
      <c r="AB121" s="1177"/>
      <c r="AC121" s="1548"/>
      <c r="AD121" s="1549"/>
      <c r="AE121" s="1178"/>
      <c r="AF121" s="1179"/>
      <c r="AH121" s="104"/>
      <c r="AI121" s="1172"/>
      <c r="AJ121" s="1172"/>
      <c r="AK121" s="1172"/>
      <c r="AL121" s="1173"/>
      <c r="AM121" s="1174"/>
      <c r="AN121" s="1175"/>
      <c r="AO121" s="1176"/>
      <c r="AP121" s="1177"/>
      <c r="AQ121" s="1547"/>
      <c r="AR121" s="1177"/>
      <c r="AS121" s="1548"/>
      <c r="AT121" s="1549"/>
      <c r="AU121" s="1178"/>
      <c r="AV121" s="1179"/>
      <c r="AY121" s="3">
        <v>1</v>
      </c>
    </row>
    <row r="122" spans="2:51" ht="27" customHeight="1">
      <c r="B122" s="104"/>
      <c r="C122" s="1172"/>
      <c r="D122" s="1172"/>
      <c r="E122" s="1172"/>
      <c r="F122" s="1173"/>
      <c r="G122" s="1174"/>
      <c r="H122" s="1175"/>
      <c r="I122" s="1176"/>
      <c r="J122" s="1177"/>
      <c r="K122" s="1547"/>
      <c r="L122" s="1177"/>
      <c r="M122" s="1548"/>
      <c r="N122" s="1549"/>
      <c r="O122" s="1178"/>
      <c r="P122" s="1179"/>
      <c r="Q122" s="1171"/>
      <c r="R122" s="104"/>
      <c r="S122" s="1172"/>
      <c r="T122" s="1172"/>
      <c r="U122" s="1172"/>
      <c r="V122" s="1173"/>
      <c r="W122" s="1174"/>
      <c r="X122" s="1175"/>
      <c r="Y122" s="1176"/>
      <c r="Z122" s="1177"/>
      <c r="AA122" s="1547"/>
      <c r="AB122" s="1177"/>
      <c r="AC122" s="1548"/>
      <c r="AD122" s="1549"/>
      <c r="AE122" s="1178"/>
      <c r="AF122" s="1179"/>
      <c r="AH122" s="104"/>
      <c r="AI122" s="1172"/>
      <c r="AJ122" s="1172"/>
      <c r="AK122" s="1172"/>
      <c r="AL122" s="1173"/>
      <c r="AM122" s="1174"/>
      <c r="AN122" s="1175"/>
      <c r="AO122" s="1176"/>
      <c r="AP122" s="1177"/>
      <c r="AQ122" s="1547"/>
      <c r="AR122" s="1177"/>
      <c r="AS122" s="1548"/>
      <c r="AT122" s="1549"/>
      <c r="AU122" s="1178"/>
      <c r="AV122" s="1179"/>
      <c r="AY122" s="3">
        <v>1</v>
      </c>
    </row>
    <row r="123" spans="2:51" ht="27" customHeight="1">
      <c r="B123" s="104"/>
      <c r="C123" s="1172"/>
      <c r="D123" s="1172"/>
      <c r="E123" s="1172"/>
      <c r="F123" s="1173"/>
      <c r="G123" s="1174"/>
      <c r="H123" s="1175"/>
      <c r="I123" s="1176"/>
      <c r="J123" s="1177"/>
      <c r="K123" s="1547"/>
      <c r="L123" s="1177"/>
      <c r="M123" s="1548"/>
      <c r="N123" s="1549"/>
      <c r="O123" s="1178"/>
      <c r="P123" s="1179"/>
      <c r="Q123" s="1171"/>
      <c r="R123" s="104"/>
      <c r="S123" s="1172"/>
      <c r="T123" s="1172"/>
      <c r="U123" s="1172"/>
      <c r="V123" s="1173"/>
      <c r="W123" s="1174"/>
      <c r="X123" s="1175"/>
      <c r="Y123" s="1176"/>
      <c r="Z123" s="1177"/>
      <c r="AA123" s="1547"/>
      <c r="AB123" s="1177"/>
      <c r="AC123" s="1548"/>
      <c r="AD123" s="1549"/>
      <c r="AE123" s="1178"/>
      <c r="AF123" s="1179"/>
      <c r="AH123" s="104"/>
      <c r="AI123" s="1172"/>
      <c r="AJ123" s="1172"/>
      <c r="AK123" s="1172"/>
      <c r="AL123" s="1173"/>
      <c r="AM123" s="1174"/>
      <c r="AN123" s="1175"/>
      <c r="AO123" s="1176"/>
      <c r="AP123" s="1177"/>
      <c r="AQ123" s="1547"/>
      <c r="AR123" s="1177"/>
      <c r="AS123" s="1548"/>
      <c r="AT123" s="1549"/>
      <c r="AU123" s="1178"/>
      <c r="AV123" s="1179"/>
      <c r="AY123" s="3">
        <v>1</v>
      </c>
    </row>
    <row r="124" spans="2:51" ht="27" customHeight="1">
      <c r="B124" s="104"/>
      <c r="C124" s="1172"/>
      <c r="D124" s="1172"/>
      <c r="E124" s="1172"/>
      <c r="F124" s="1173"/>
      <c r="G124" s="1174"/>
      <c r="H124" s="1175"/>
      <c r="I124" s="1176"/>
      <c r="J124" s="1177"/>
      <c r="K124" s="1547"/>
      <c r="L124" s="1177"/>
      <c r="M124" s="1548"/>
      <c r="N124" s="1549"/>
      <c r="O124" s="1178"/>
      <c r="P124" s="1179"/>
      <c r="Q124" s="1171"/>
      <c r="R124" s="104"/>
      <c r="S124" s="1172"/>
      <c r="T124" s="1172"/>
      <c r="U124" s="1172"/>
      <c r="V124" s="1173"/>
      <c r="W124" s="1174"/>
      <c r="X124" s="1175"/>
      <c r="Y124" s="1176"/>
      <c r="Z124" s="1177"/>
      <c r="AA124" s="1547"/>
      <c r="AB124" s="1177"/>
      <c r="AC124" s="1548"/>
      <c r="AD124" s="1549"/>
      <c r="AE124" s="1178"/>
      <c r="AF124" s="1179"/>
      <c r="AG124" s="1171"/>
      <c r="AH124" s="104"/>
      <c r="AI124" s="1172"/>
      <c r="AJ124" s="1172"/>
      <c r="AK124" s="1172"/>
      <c r="AL124" s="1173"/>
      <c r="AM124" s="1174"/>
      <c r="AN124" s="1175"/>
      <c r="AO124" s="1176"/>
      <c r="AP124" s="1177"/>
      <c r="AQ124" s="1547"/>
      <c r="AR124" s="1177"/>
      <c r="AS124" s="1548"/>
      <c r="AT124" s="1549"/>
      <c r="AU124" s="1178"/>
      <c r="AV124" s="1179"/>
      <c r="AY124" s="3">
        <v>1</v>
      </c>
    </row>
    <row r="125" spans="2:51" ht="27" customHeight="1">
      <c r="B125" s="104"/>
      <c r="C125" s="1172"/>
      <c r="D125" s="1172"/>
      <c r="E125" s="1172"/>
      <c r="F125" s="1173"/>
      <c r="G125" s="1174"/>
      <c r="H125" s="1175"/>
      <c r="I125" s="1176"/>
      <c r="J125" s="1177"/>
      <c r="K125" s="1547"/>
      <c r="L125" s="1177"/>
      <c r="M125" s="1548"/>
      <c r="N125" s="1549"/>
      <c r="O125" s="1178"/>
      <c r="P125" s="1179"/>
      <c r="Q125" s="1171"/>
      <c r="R125" s="104"/>
      <c r="S125" s="1172"/>
      <c r="T125" s="1172"/>
      <c r="U125" s="1172"/>
      <c r="V125" s="1173"/>
      <c r="W125" s="1174"/>
      <c r="X125" s="1175"/>
      <c r="Y125" s="1176"/>
      <c r="Z125" s="1177"/>
      <c r="AA125" s="1547"/>
      <c r="AB125" s="1177"/>
      <c r="AC125" s="1548"/>
      <c r="AD125" s="1549"/>
      <c r="AE125" s="1178"/>
      <c r="AF125" s="1179"/>
      <c r="AG125" s="1171"/>
      <c r="AH125" s="104"/>
      <c r="AI125" s="1172"/>
      <c r="AJ125" s="1172"/>
      <c r="AK125" s="1172"/>
      <c r="AL125" s="1173"/>
      <c r="AM125" s="1174"/>
      <c r="AN125" s="1175"/>
      <c r="AO125" s="1176"/>
      <c r="AP125" s="1177"/>
      <c r="AQ125" s="1547"/>
      <c r="AR125" s="1177"/>
      <c r="AS125" s="1548"/>
      <c r="AT125" s="1549"/>
      <c r="AU125" s="1178"/>
      <c r="AV125" s="1179"/>
      <c r="AY125" s="3">
        <v>1</v>
      </c>
    </row>
    <row r="126" spans="2:51" ht="27" customHeight="1">
      <c r="B126" s="104"/>
      <c r="C126" s="1172"/>
      <c r="D126" s="1172"/>
      <c r="E126" s="1172"/>
      <c r="F126" s="1173"/>
      <c r="G126" s="1174"/>
      <c r="H126" s="1175"/>
      <c r="I126" s="1176"/>
      <c r="J126" s="1177"/>
      <c r="K126" s="1547"/>
      <c r="L126" s="1177"/>
      <c r="M126" s="1548"/>
      <c r="N126" s="1549"/>
      <c r="O126" s="1178"/>
      <c r="P126" s="1179"/>
      <c r="Q126" s="1171"/>
      <c r="R126" s="104"/>
      <c r="S126" s="1172"/>
      <c r="T126" s="1172"/>
      <c r="U126" s="1172"/>
      <c r="V126" s="1173"/>
      <c r="W126" s="1174"/>
      <c r="X126" s="1175"/>
      <c r="Y126" s="1176"/>
      <c r="Z126" s="1177"/>
      <c r="AA126" s="1547"/>
      <c r="AB126" s="1177"/>
      <c r="AC126" s="1548"/>
      <c r="AD126" s="1549"/>
      <c r="AE126" s="1178"/>
      <c r="AF126" s="1179"/>
      <c r="AG126" s="1171"/>
      <c r="AH126" s="104"/>
      <c r="AI126" s="1172"/>
      <c r="AJ126" s="1172"/>
      <c r="AK126" s="1172"/>
      <c r="AL126" s="1173"/>
      <c r="AM126" s="1174"/>
      <c r="AN126" s="1175"/>
      <c r="AO126" s="1176"/>
      <c r="AP126" s="1177"/>
      <c r="AQ126" s="1547"/>
      <c r="AR126" s="1177"/>
      <c r="AS126" s="1548"/>
      <c r="AT126" s="1549"/>
      <c r="AU126" s="1178"/>
      <c r="AV126" s="1179"/>
      <c r="AY126" s="3">
        <v>1</v>
      </c>
    </row>
    <row r="127" spans="2:51" ht="27" customHeight="1">
      <c r="B127" s="104"/>
      <c r="C127" s="1172"/>
      <c r="D127" s="1172"/>
      <c r="E127" s="1172"/>
      <c r="F127" s="1173"/>
      <c r="G127" s="1174"/>
      <c r="H127" s="1175"/>
      <c r="I127" s="1176"/>
      <c r="J127" s="1177"/>
      <c r="K127" s="1547"/>
      <c r="L127" s="1177"/>
      <c r="M127" s="1548"/>
      <c r="N127" s="1549"/>
      <c r="O127" s="1178"/>
      <c r="P127" s="1179"/>
      <c r="Q127" s="1171"/>
      <c r="R127" s="104"/>
      <c r="S127" s="1172"/>
      <c r="T127" s="1172"/>
      <c r="U127" s="1172"/>
      <c r="V127" s="1173"/>
      <c r="W127" s="1174"/>
      <c r="X127" s="1175"/>
      <c r="Y127" s="1176"/>
      <c r="Z127" s="1177"/>
      <c r="AA127" s="1547"/>
      <c r="AB127" s="1177"/>
      <c r="AC127" s="1548"/>
      <c r="AD127" s="1549"/>
      <c r="AE127" s="1178"/>
      <c r="AF127" s="1179"/>
      <c r="AG127" s="1171"/>
      <c r="AH127" s="104"/>
      <c r="AI127" s="1172"/>
      <c r="AJ127" s="1172"/>
      <c r="AK127" s="1172"/>
      <c r="AL127" s="1173"/>
      <c r="AM127" s="1174"/>
      <c r="AN127" s="1175"/>
      <c r="AO127" s="1176"/>
      <c r="AP127" s="1177"/>
      <c r="AQ127" s="1547"/>
      <c r="AR127" s="1177"/>
      <c r="AS127" s="1548"/>
      <c r="AT127" s="1549"/>
      <c r="AU127" s="1178"/>
      <c r="AV127" s="1179"/>
      <c r="AY127" s="3">
        <v>1</v>
      </c>
    </row>
    <row r="128" spans="2:51" ht="27" customHeight="1">
      <c r="B128" s="104"/>
      <c r="C128" s="1172"/>
      <c r="D128" s="1172"/>
      <c r="E128" s="1172"/>
      <c r="F128" s="1173"/>
      <c r="G128" s="1174"/>
      <c r="H128" s="1175"/>
      <c r="I128" s="1176"/>
      <c r="J128" s="1177"/>
      <c r="K128" s="1547"/>
      <c r="L128" s="1177"/>
      <c r="M128" s="1548"/>
      <c r="N128" s="1549"/>
      <c r="O128" s="1178"/>
      <c r="P128" s="1179"/>
      <c r="Q128" s="1171"/>
      <c r="R128" s="104"/>
      <c r="S128" s="1172"/>
      <c r="T128" s="1172"/>
      <c r="U128" s="1172"/>
      <c r="V128" s="1173"/>
      <c r="W128" s="1174"/>
      <c r="X128" s="1175"/>
      <c r="Y128" s="1176"/>
      <c r="Z128" s="1177"/>
      <c r="AA128" s="1547"/>
      <c r="AB128" s="1177"/>
      <c r="AC128" s="1548"/>
      <c r="AD128" s="1549"/>
      <c r="AE128" s="1178"/>
      <c r="AF128" s="1179"/>
      <c r="AG128" s="1171"/>
      <c r="AH128" s="104"/>
      <c r="AI128" s="1172"/>
      <c r="AJ128" s="1172"/>
      <c r="AK128" s="1172"/>
      <c r="AL128" s="1173"/>
      <c r="AM128" s="1174"/>
      <c r="AN128" s="1175"/>
      <c r="AO128" s="1176"/>
      <c r="AP128" s="1177"/>
      <c r="AQ128" s="1547"/>
      <c r="AR128" s="1177"/>
      <c r="AS128" s="1548"/>
      <c r="AT128" s="1549"/>
      <c r="AU128" s="1178"/>
      <c r="AV128" s="1179"/>
      <c r="AY128" s="3">
        <v>1</v>
      </c>
    </row>
    <row r="129" spans="2:51" ht="27" customHeight="1">
      <c r="B129" s="104"/>
      <c r="C129" s="1172"/>
      <c r="D129" s="1172"/>
      <c r="E129" s="1172"/>
      <c r="F129" s="1173"/>
      <c r="G129" s="1174"/>
      <c r="H129" s="1175"/>
      <c r="I129" s="1176"/>
      <c r="J129" s="1177"/>
      <c r="K129" s="1547"/>
      <c r="L129" s="1177"/>
      <c r="M129" s="1548"/>
      <c r="N129" s="1549"/>
      <c r="O129" s="1178"/>
      <c r="P129" s="1179"/>
      <c r="Q129" s="1171"/>
      <c r="R129" s="104"/>
      <c r="S129" s="1172"/>
      <c r="T129" s="1172"/>
      <c r="U129" s="1172"/>
      <c r="V129" s="1173"/>
      <c r="W129" s="1174"/>
      <c r="X129" s="1175"/>
      <c r="Y129" s="1176"/>
      <c r="Z129" s="1177"/>
      <c r="AA129" s="1547"/>
      <c r="AB129" s="1177"/>
      <c r="AC129" s="1548"/>
      <c r="AD129" s="1549"/>
      <c r="AE129" s="1178"/>
      <c r="AF129" s="1179"/>
      <c r="AG129" s="1171"/>
      <c r="AH129" s="104"/>
      <c r="AI129" s="1172"/>
      <c r="AJ129" s="1172"/>
      <c r="AK129" s="1172"/>
      <c r="AL129" s="1173"/>
      <c r="AM129" s="1174"/>
      <c r="AN129" s="1175"/>
      <c r="AO129" s="1176"/>
      <c r="AP129" s="1177"/>
      <c r="AQ129" s="1547"/>
      <c r="AR129" s="1177"/>
      <c r="AS129" s="1548"/>
      <c r="AT129" s="1549"/>
      <c r="AU129" s="1178"/>
      <c r="AV129" s="1179"/>
      <c r="AY129" s="3">
        <v>1</v>
      </c>
    </row>
    <row r="130" spans="2:51" ht="27" customHeight="1">
      <c r="B130" s="104"/>
      <c r="C130" s="1172"/>
      <c r="D130" s="1172"/>
      <c r="E130" s="1172"/>
      <c r="F130" s="1173"/>
      <c r="G130" s="1174"/>
      <c r="H130" s="1175"/>
      <c r="I130" s="1176"/>
      <c r="J130" s="1177"/>
      <c r="K130" s="1547"/>
      <c r="L130" s="1177"/>
      <c r="M130" s="1548"/>
      <c r="N130" s="1549"/>
      <c r="O130" s="1178"/>
      <c r="P130" s="1179"/>
      <c r="Q130" s="1171"/>
      <c r="R130" s="104"/>
      <c r="S130" s="1172"/>
      <c r="T130" s="1172"/>
      <c r="U130" s="1172"/>
      <c r="V130" s="1173"/>
      <c r="W130" s="1174"/>
      <c r="X130" s="1175"/>
      <c r="Y130" s="1176"/>
      <c r="Z130" s="1177"/>
      <c r="AA130" s="1547"/>
      <c r="AB130" s="1177"/>
      <c r="AC130" s="1548"/>
      <c r="AD130" s="1549"/>
      <c r="AE130" s="1178"/>
      <c r="AF130" s="1179"/>
      <c r="AG130" s="1171"/>
      <c r="AH130" s="104"/>
      <c r="AI130" s="1172"/>
      <c r="AJ130" s="1172"/>
      <c r="AK130" s="1172"/>
      <c r="AL130" s="1173"/>
      <c r="AM130" s="1174"/>
      <c r="AN130" s="1175"/>
      <c r="AO130" s="1176"/>
      <c r="AP130" s="1177"/>
      <c r="AQ130" s="1547"/>
      <c r="AR130" s="1177"/>
      <c r="AS130" s="1548"/>
      <c r="AT130" s="1549"/>
      <c r="AU130" s="1178"/>
      <c r="AV130" s="1179"/>
      <c r="AY130" s="3">
        <v>1</v>
      </c>
    </row>
    <row r="131" spans="2:51" ht="27" customHeight="1">
      <c r="B131" s="104"/>
      <c r="C131" s="1172"/>
      <c r="D131" s="1172"/>
      <c r="E131" s="1172"/>
      <c r="F131" s="1173"/>
      <c r="G131" s="1174"/>
      <c r="H131" s="1175"/>
      <c r="I131" s="1176"/>
      <c r="J131" s="1177"/>
      <c r="K131" s="1547"/>
      <c r="L131" s="1177"/>
      <c r="M131" s="1548"/>
      <c r="N131" s="1549"/>
      <c r="O131" s="1178"/>
      <c r="P131" s="1179"/>
      <c r="Q131" s="1171"/>
      <c r="R131" s="104"/>
      <c r="S131" s="1172"/>
      <c r="T131" s="1172"/>
      <c r="U131" s="1172"/>
      <c r="V131" s="1173"/>
      <c r="W131" s="1174"/>
      <c r="X131" s="1175"/>
      <c r="Y131" s="1176"/>
      <c r="Z131" s="1177"/>
      <c r="AA131" s="1547"/>
      <c r="AB131" s="1177"/>
      <c r="AC131" s="1548"/>
      <c r="AD131" s="1549"/>
      <c r="AE131" s="1178"/>
      <c r="AF131" s="1179"/>
      <c r="AG131" s="1171"/>
      <c r="AH131" s="104"/>
      <c r="AI131" s="1172"/>
      <c r="AJ131" s="1172"/>
      <c r="AK131" s="1172"/>
      <c r="AL131" s="1173"/>
      <c r="AM131" s="1174"/>
      <c r="AN131" s="1175"/>
      <c r="AO131" s="1176"/>
      <c r="AP131" s="1177"/>
      <c r="AQ131" s="1547"/>
      <c r="AR131" s="1177"/>
      <c r="AS131" s="1548"/>
      <c r="AT131" s="1549"/>
      <c r="AU131" s="1178"/>
      <c r="AV131" s="1179"/>
      <c r="AY131" s="3">
        <v>1</v>
      </c>
    </row>
    <row r="132" spans="2:51" ht="27" customHeight="1">
      <c r="B132" s="104"/>
      <c r="C132" s="1172"/>
      <c r="D132" s="1172"/>
      <c r="E132" s="1172"/>
      <c r="F132" s="1173"/>
      <c r="G132" s="1174"/>
      <c r="H132" s="1175"/>
      <c r="I132" s="1176"/>
      <c r="J132" s="1177"/>
      <c r="K132" s="1547"/>
      <c r="L132" s="1177"/>
      <c r="M132" s="1548"/>
      <c r="N132" s="1549"/>
      <c r="O132" s="1178"/>
      <c r="P132" s="1179"/>
      <c r="Q132" s="1171"/>
      <c r="R132" s="104"/>
      <c r="S132" s="1172"/>
      <c r="T132" s="1172"/>
      <c r="U132" s="1172"/>
      <c r="V132" s="1173"/>
      <c r="W132" s="1174"/>
      <c r="X132" s="1175"/>
      <c r="Y132" s="1176"/>
      <c r="Z132" s="1177"/>
      <c r="AA132" s="1547"/>
      <c r="AB132" s="1177"/>
      <c r="AC132" s="1548"/>
      <c r="AD132" s="1549"/>
      <c r="AE132" s="1178"/>
      <c r="AF132" s="1179"/>
      <c r="AG132" s="1171"/>
      <c r="AH132" s="104"/>
      <c r="AI132" s="1172"/>
      <c r="AJ132" s="1172"/>
      <c r="AK132" s="1172"/>
      <c r="AL132" s="1173"/>
      <c r="AM132" s="1174"/>
      <c r="AN132" s="1175"/>
      <c r="AO132" s="1176"/>
      <c r="AP132" s="1177"/>
      <c r="AQ132" s="1547"/>
      <c r="AR132" s="1177"/>
      <c r="AS132" s="1548"/>
      <c r="AT132" s="1549"/>
      <c r="AU132" s="1178"/>
      <c r="AV132" s="1179"/>
      <c r="AY132" s="3">
        <v>1</v>
      </c>
    </row>
    <row r="133" spans="2:51" ht="27" customHeight="1">
      <c r="B133" s="104"/>
      <c r="C133" s="1172"/>
      <c r="D133" s="1172"/>
      <c r="E133" s="1172"/>
      <c r="F133" s="1173"/>
      <c r="G133" s="1174"/>
      <c r="H133" s="1175"/>
      <c r="I133" s="1176"/>
      <c r="J133" s="1177"/>
      <c r="K133" s="1547"/>
      <c r="L133" s="1177"/>
      <c r="M133" s="1548"/>
      <c r="N133" s="1549"/>
      <c r="O133" s="1178"/>
      <c r="P133" s="1179"/>
      <c r="Q133" s="1171"/>
      <c r="R133" s="104"/>
      <c r="S133" s="1172"/>
      <c r="T133" s="1172"/>
      <c r="U133" s="1172"/>
      <c r="V133" s="1173"/>
      <c r="W133" s="1174"/>
      <c r="X133" s="1175"/>
      <c r="Y133" s="1176"/>
      <c r="Z133" s="1177"/>
      <c r="AA133" s="1547"/>
      <c r="AB133" s="1177"/>
      <c r="AC133" s="1548"/>
      <c r="AD133" s="1549"/>
      <c r="AE133" s="1178"/>
      <c r="AF133" s="1179"/>
      <c r="AG133" s="1171"/>
      <c r="AH133" s="104"/>
      <c r="AI133" s="1172"/>
      <c r="AJ133" s="1172"/>
      <c r="AK133" s="1172"/>
      <c r="AL133" s="1173"/>
      <c r="AM133" s="1174"/>
      <c r="AN133" s="1175"/>
      <c r="AO133" s="1176"/>
      <c r="AP133" s="1177"/>
      <c r="AQ133" s="1547"/>
      <c r="AR133" s="1177"/>
      <c r="AS133" s="1548"/>
      <c r="AT133" s="1549"/>
      <c r="AU133" s="1178"/>
      <c r="AV133" s="1179"/>
      <c r="AY133" s="3">
        <v>1</v>
      </c>
    </row>
    <row r="134" spans="2:51" ht="27" customHeight="1">
      <c r="B134" s="104"/>
      <c r="C134" s="1172"/>
      <c r="D134" s="1172"/>
      <c r="E134" s="1172"/>
      <c r="F134" s="1173"/>
      <c r="G134" s="1174"/>
      <c r="H134" s="1175"/>
      <c r="I134" s="1176"/>
      <c r="J134" s="1177"/>
      <c r="K134" s="1547"/>
      <c r="L134" s="1177"/>
      <c r="M134" s="1548"/>
      <c r="N134" s="1549"/>
      <c r="O134" s="1178"/>
      <c r="P134" s="1179"/>
      <c r="Q134" s="1171"/>
      <c r="R134" s="104"/>
      <c r="S134" s="1172"/>
      <c r="T134" s="1172"/>
      <c r="U134" s="1172"/>
      <c r="V134" s="1173"/>
      <c r="W134" s="1174"/>
      <c r="X134" s="1175"/>
      <c r="Y134" s="1176"/>
      <c r="Z134" s="1177"/>
      <c r="AA134" s="1547"/>
      <c r="AB134" s="1177"/>
      <c r="AC134" s="1548"/>
      <c r="AD134" s="1549"/>
      <c r="AE134" s="1178"/>
      <c r="AF134" s="1179"/>
      <c r="AG134" s="1171"/>
      <c r="AH134" s="104"/>
      <c r="AI134" s="1172"/>
      <c r="AJ134" s="1172"/>
      <c r="AK134" s="1172"/>
      <c r="AL134" s="1173"/>
      <c r="AM134" s="1174"/>
      <c r="AN134" s="1175"/>
      <c r="AO134" s="1176"/>
      <c r="AP134" s="1177"/>
      <c r="AQ134" s="1547"/>
      <c r="AR134" s="1177"/>
      <c r="AS134" s="1548"/>
      <c r="AT134" s="1549"/>
      <c r="AU134" s="1178"/>
      <c r="AV134" s="1179"/>
      <c r="AY134" s="3">
        <v>1</v>
      </c>
    </row>
    <row r="135" spans="2:51" ht="27" customHeight="1">
      <c r="B135" s="104"/>
      <c r="C135" s="1172"/>
      <c r="D135" s="1172"/>
      <c r="E135" s="1172"/>
      <c r="F135" s="1173"/>
      <c r="G135" s="1174"/>
      <c r="H135" s="1175"/>
      <c r="I135" s="1176"/>
      <c r="J135" s="1177"/>
      <c r="K135" s="1547"/>
      <c r="L135" s="1177"/>
      <c r="M135" s="1548"/>
      <c r="N135" s="1549"/>
      <c r="O135" s="1178"/>
      <c r="P135" s="1179"/>
      <c r="Q135" s="1171"/>
      <c r="R135" s="104"/>
      <c r="S135" s="1172"/>
      <c r="T135" s="1172"/>
      <c r="U135" s="1172"/>
      <c r="V135" s="1173"/>
      <c r="W135" s="1174"/>
      <c r="X135" s="1175"/>
      <c r="Y135" s="1176"/>
      <c r="Z135" s="1177"/>
      <c r="AA135" s="1547"/>
      <c r="AB135" s="1177"/>
      <c r="AC135" s="1548"/>
      <c r="AD135" s="1549"/>
      <c r="AE135" s="1178"/>
      <c r="AF135" s="1179"/>
      <c r="AG135" s="1171"/>
      <c r="AH135" s="104"/>
      <c r="AI135" s="1172"/>
      <c r="AJ135" s="1172"/>
      <c r="AK135" s="1172"/>
      <c r="AL135" s="1173"/>
      <c r="AM135" s="1174"/>
      <c r="AN135" s="1175"/>
      <c r="AO135" s="1176"/>
      <c r="AP135" s="1177"/>
      <c r="AQ135" s="1547"/>
      <c r="AR135" s="1177"/>
      <c r="AS135" s="1548"/>
      <c r="AT135" s="1549"/>
      <c r="AU135" s="1178"/>
      <c r="AV135" s="1179"/>
      <c r="AY135" s="3">
        <v>1</v>
      </c>
    </row>
    <row r="136" spans="2:51" ht="27" customHeight="1">
      <c r="B136" s="104"/>
      <c r="C136" s="1172"/>
      <c r="D136" s="1172"/>
      <c r="E136" s="1172"/>
      <c r="F136" s="1173"/>
      <c r="G136" s="1174"/>
      <c r="H136" s="1175"/>
      <c r="I136" s="1176"/>
      <c r="J136" s="1177"/>
      <c r="K136" s="1547"/>
      <c r="L136" s="1177"/>
      <c r="M136" s="1548"/>
      <c r="N136" s="1549"/>
      <c r="O136" s="1178"/>
      <c r="P136" s="1179"/>
      <c r="Q136" s="1171"/>
      <c r="R136" s="104"/>
      <c r="S136" s="1172"/>
      <c r="T136" s="1172"/>
      <c r="U136" s="1172"/>
      <c r="V136" s="1173"/>
      <c r="W136" s="1174"/>
      <c r="X136" s="1175"/>
      <c r="Y136" s="1176"/>
      <c r="Z136" s="1177"/>
      <c r="AA136" s="1547"/>
      <c r="AB136" s="1177"/>
      <c r="AC136" s="1548"/>
      <c r="AD136" s="1549"/>
      <c r="AE136" s="1178"/>
      <c r="AF136" s="1179"/>
      <c r="AG136" s="1171"/>
      <c r="AH136" s="104"/>
      <c r="AI136" s="1172"/>
      <c r="AJ136" s="1172"/>
      <c r="AK136" s="1172"/>
      <c r="AL136" s="1173"/>
      <c r="AM136" s="1174"/>
      <c r="AN136" s="1175"/>
      <c r="AO136" s="1176"/>
      <c r="AP136" s="1177"/>
      <c r="AQ136" s="1547"/>
      <c r="AR136" s="1177"/>
      <c r="AS136" s="1548"/>
      <c r="AT136" s="1549"/>
      <c r="AU136" s="1178"/>
      <c r="AV136" s="1179"/>
      <c r="AY136" s="3">
        <v>1</v>
      </c>
    </row>
    <row r="137" spans="2:51" ht="27" customHeight="1">
      <c r="B137" s="104"/>
      <c r="C137" s="1172"/>
      <c r="D137" s="1172"/>
      <c r="E137" s="1172"/>
      <c r="F137" s="1173"/>
      <c r="G137" s="1174"/>
      <c r="H137" s="1175"/>
      <c r="I137" s="1176"/>
      <c r="J137" s="1177"/>
      <c r="K137" s="1547"/>
      <c r="L137" s="1177"/>
      <c r="M137" s="1548"/>
      <c r="N137" s="1549"/>
      <c r="O137" s="1178"/>
      <c r="P137" s="1179"/>
      <c r="Q137" s="1171"/>
      <c r="R137" s="104"/>
      <c r="S137" s="1172"/>
      <c r="T137" s="1172"/>
      <c r="U137" s="1172"/>
      <c r="V137" s="1173"/>
      <c r="W137" s="1174"/>
      <c r="X137" s="1175"/>
      <c r="Y137" s="1176"/>
      <c r="Z137" s="1177"/>
      <c r="AA137" s="1547"/>
      <c r="AB137" s="1177"/>
      <c r="AC137" s="1548"/>
      <c r="AD137" s="1549"/>
      <c r="AE137" s="1178"/>
      <c r="AF137" s="1179"/>
      <c r="AG137" s="1171"/>
      <c r="AH137" s="104"/>
      <c r="AI137" s="1172"/>
      <c r="AJ137" s="1172"/>
      <c r="AK137" s="1172"/>
      <c r="AL137" s="1173"/>
      <c r="AM137" s="1174"/>
      <c r="AN137" s="1175"/>
      <c r="AO137" s="1176"/>
      <c r="AP137" s="1177"/>
      <c r="AQ137" s="1547"/>
      <c r="AR137" s="1177"/>
      <c r="AS137" s="1548"/>
      <c r="AT137" s="1549"/>
      <c r="AU137" s="1178"/>
      <c r="AV137" s="1179"/>
      <c r="AY137" s="3">
        <v>1</v>
      </c>
    </row>
    <row r="138" spans="2:51" ht="27" customHeight="1">
      <c r="B138" s="104"/>
      <c r="C138" s="1172"/>
      <c r="D138" s="1172"/>
      <c r="E138" s="1172"/>
      <c r="F138" s="1173"/>
      <c r="G138" s="1174"/>
      <c r="H138" s="1175"/>
      <c r="I138" s="1176"/>
      <c r="J138" s="1177"/>
      <c r="K138" s="1547"/>
      <c r="L138" s="1177"/>
      <c r="M138" s="1548"/>
      <c r="N138" s="1549"/>
      <c r="O138" s="1178"/>
      <c r="P138" s="1179"/>
      <c r="Q138" s="1171"/>
      <c r="R138" s="104"/>
      <c r="S138" s="1172"/>
      <c r="T138" s="1172"/>
      <c r="U138" s="1172"/>
      <c r="V138" s="1173"/>
      <c r="W138" s="1174"/>
      <c r="X138" s="1175"/>
      <c r="Y138" s="1176"/>
      <c r="Z138" s="1177"/>
      <c r="AA138" s="1547"/>
      <c r="AB138" s="1177"/>
      <c r="AC138" s="1548"/>
      <c r="AD138" s="1549"/>
      <c r="AE138" s="1178"/>
      <c r="AF138" s="1179"/>
      <c r="AG138" s="1171"/>
      <c r="AH138" s="104"/>
      <c r="AI138" s="1172"/>
      <c r="AJ138" s="1172"/>
      <c r="AK138" s="1172"/>
      <c r="AL138" s="1173"/>
      <c r="AM138" s="1174"/>
      <c r="AN138" s="1175"/>
      <c r="AO138" s="1176"/>
      <c r="AP138" s="1177"/>
      <c r="AQ138" s="1547"/>
      <c r="AR138" s="1177"/>
      <c r="AS138" s="1548"/>
      <c r="AT138" s="1549"/>
      <c r="AU138" s="1178"/>
      <c r="AV138" s="1179"/>
      <c r="AY138" s="3">
        <v>1</v>
      </c>
    </row>
    <row r="139" spans="2:51" ht="27" customHeight="1">
      <c r="B139" s="104"/>
      <c r="C139" s="1172"/>
      <c r="D139" s="1172"/>
      <c r="E139" s="1172"/>
      <c r="F139" s="1173"/>
      <c r="G139" s="1174"/>
      <c r="H139" s="1175"/>
      <c r="I139" s="1176"/>
      <c r="J139" s="1177"/>
      <c r="K139" s="1547"/>
      <c r="L139" s="1177"/>
      <c r="M139" s="1548"/>
      <c r="N139" s="1549"/>
      <c r="O139" s="1178"/>
      <c r="P139" s="1179"/>
      <c r="Q139" s="1171"/>
      <c r="R139" s="104"/>
      <c r="S139" s="1172"/>
      <c r="T139" s="1172"/>
      <c r="U139" s="1172"/>
      <c r="V139" s="1173"/>
      <c r="W139" s="1174"/>
      <c r="X139" s="1175"/>
      <c r="Y139" s="1176"/>
      <c r="Z139" s="1177"/>
      <c r="AA139" s="1547"/>
      <c r="AB139" s="1177"/>
      <c r="AC139" s="1548"/>
      <c r="AD139" s="1549"/>
      <c r="AE139" s="1178"/>
      <c r="AF139" s="1179"/>
      <c r="AG139" s="1171"/>
      <c r="AH139" s="104"/>
      <c r="AI139" s="1172"/>
      <c r="AJ139" s="1172"/>
      <c r="AK139" s="1172"/>
      <c r="AL139" s="1173"/>
      <c r="AM139" s="1174"/>
      <c r="AN139" s="1175"/>
      <c r="AO139" s="1176"/>
      <c r="AP139" s="1177"/>
      <c r="AQ139" s="1547"/>
      <c r="AR139" s="1177"/>
      <c r="AS139" s="1548"/>
      <c r="AT139" s="1549"/>
      <c r="AU139" s="1178"/>
      <c r="AV139" s="1179"/>
      <c r="AY139" s="3">
        <v>1</v>
      </c>
    </row>
    <row r="140" spans="2:51" ht="27" customHeight="1">
      <c r="B140" s="104"/>
      <c r="C140" s="1172"/>
      <c r="D140" s="1172"/>
      <c r="E140" s="1172"/>
      <c r="F140" s="1173"/>
      <c r="G140" s="1174"/>
      <c r="H140" s="1175"/>
      <c r="I140" s="1176"/>
      <c r="J140" s="1177"/>
      <c r="K140" s="1547"/>
      <c r="L140" s="1177"/>
      <c r="M140" s="1548"/>
      <c r="N140" s="1549"/>
      <c r="O140" s="1178"/>
      <c r="P140" s="1179"/>
      <c r="Q140" s="1171"/>
      <c r="R140" s="104"/>
      <c r="S140" s="1172"/>
      <c r="T140" s="1172"/>
      <c r="U140" s="1172"/>
      <c r="V140" s="1173"/>
      <c r="W140" s="1174"/>
      <c r="X140" s="1175"/>
      <c r="Y140" s="1176"/>
      <c r="Z140" s="1177"/>
      <c r="AA140" s="1547"/>
      <c r="AB140" s="1177"/>
      <c r="AC140" s="1548"/>
      <c r="AD140" s="1549"/>
      <c r="AE140" s="1178"/>
      <c r="AF140" s="1179"/>
      <c r="AG140" s="1171"/>
      <c r="AH140" s="104"/>
      <c r="AI140" s="1172"/>
      <c r="AJ140" s="1172"/>
      <c r="AK140" s="1172"/>
      <c r="AL140" s="1173"/>
      <c r="AM140" s="1174"/>
      <c r="AN140" s="1175"/>
      <c r="AO140" s="1176"/>
      <c r="AP140" s="1177"/>
      <c r="AQ140" s="1547"/>
      <c r="AR140" s="1177"/>
      <c r="AS140" s="1548"/>
      <c r="AT140" s="1549"/>
      <c r="AU140" s="1178"/>
      <c r="AV140" s="1179"/>
      <c r="AY140" s="3">
        <v>1</v>
      </c>
    </row>
    <row r="141" spans="2:51" ht="27" customHeight="1">
      <c r="B141" s="104"/>
      <c r="C141" s="1172"/>
      <c r="D141" s="1172"/>
      <c r="E141" s="1172"/>
      <c r="F141" s="1173"/>
      <c r="G141" s="1174"/>
      <c r="H141" s="1175"/>
      <c r="I141" s="1176"/>
      <c r="J141" s="1177"/>
      <c r="K141" s="1547"/>
      <c r="L141" s="1177"/>
      <c r="M141" s="1548"/>
      <c r="N141" s="1549"/>
      <c r="O141" s="1178"/>
      <c r="P141" s="1179"/>
      <c r="Q141" s="1171"/>
      <c r="R141" s="104"/>
      <c r="S141" s="1172"/>
      <c r="T141" s="1172"/>
      <c r="U141" s="1172"/>
      <c r="V141" s="1173"/>
      <c r="W141" s="1174"/>
      <c r="X141" s="1175"/>
      <c r="Y141" s="1176"/>
      <c r="Z141" s="1177"/>
      <c r="AA141" s="1547"/>
      <c r="AB141" s="1177"/>
      <c r="AC141" s="1548"/>
      <c r="AD141" s="1549"/>
      <c r="AE141" s="1178"/>
      <c r="AF141" s="1179"/>
      <c r="AG141" s="1171"/>
      <c r="AH141" s="104"/>
      <c r="AI141" s="1172"/>
      <c r="AJ141" s="1172"/>
      <c r="AK141" s="1172"/>
      <c r="AL141" s="1173"/>
      <c r="AM141" s="1174"/>
      <c r="AN141" s="1175"/>
      <c r="AO141" s="1176"/>
      <c r="AP141" s="1177"/>
      <c r="AQ141" s="1547"/>
      <c r="AR141" s="1177"/>
      <c r="AS141" s="1548"/>
      <c r="AT141" s="1549"/>
      <c r="AU141" s="1178"/>
      <c r="AV141" s="1179"/>
      <c r="AY141" s="3">
        <v>1</v>
      </c>
    </row>
    <row r="142" spans="2:51" ht="27" customHeight="1">
      <c r="B142" s="104"/>
      <c r="C142" s="1172"/>
      <c r="D142" s="1172"/>
      <c r="E142" s="1172"/>
      <c r="F142" s="1173"/>
      <c r="G142" s="1174"/>
      <c r="H142" s="1175"/>
      <c r="I142" s="1176"/>
      <c r="J142" s="1177"/>
      <c r="K142" s="1547"/>
      <c r="L142" s="1177"/>
      <c r="M142" s="1548"/>
      <c r="N142" s="1549"/>
      <c r="O142" s="1178"/>
      <c r="P142" s="1179"/>
      <c r="Q142" s="1171"/>
      <c r="R142" s="104"/>
      <c r="S142" s="1172"/>
      <c r="T142" s="1172"/>
      <c r="U142" s="1172"/>
      <c r="V142" s="1173"/>
      <c r="W142" s="1174"/>
      <c r="X142" s="1175"/>
      <c r="Y142" s="1176"/>
      <c r="Z142" s="1177"/>
      <c r="AA142" s="1547"/>
      <c r="AB142" s="1177"/>
      <c r="AC142" s="1548"/>
      <c r="AD142" s="1549"/>
      <c r="AE142" s="1178"/>
      <c r="AF142" s="1179"/>
      <c r="AG142" s="1171"/>
      <c r="AH142" s="104"/>
      <c r="AI142" s="1172"/>
      <c r="AJ142" s="1172"/>
      <c r="AK142" s="1172"/>
      <c r="AL142" s="1173"/>
      <c r="AM142" s="1174"/>
      <c r="AN142" s="1175"/>
      <c r="AO142" s="1176"/>
      <c r="AP142" s="1177"/>
      <c r="AQ142" s="1547"/>
      <c r="AR142" s="1177"/>
      <c r="AS142" s="1548"/>
      <c r="AT142" s="1549"/>
      <c r="AU142" s="1178"/>
      <c r="AV142" s="1179"/>
      <c r="AY142" s="3">
        <v>1</v>
      </c>
    </row>
    <row r="143" spans="2:51" ht="27" customHeight="1">
      <c r="B143" s="104"/>
      <c r="C143" s="1172"/>
      <c r="D143" s="1172"/>
      <c r="E143" s="1172"/>
      <c r="F143" s="1173"/>
      <c r="G143" s="1174"/>
      <c r="H143" s="1175"/>
      <c r="I143" s="1176"/>
      <c r="J143" s="1177"/>
      <c r="K143" s="1547"/>
      <c r="L143" s="1177"/>
      <c r="M143" s="1548"/>
      <c r="N143" s="1549"/>
      <c r="O143" s="1178"/>
      <c r="P143" s="1179"/>
      <c r="Q143" s="1171"/>
      <c r="R143" s="104"/>
      <c r="S143" s="1172"/>
      <c r="T143" s="1172"/>
      <c r="U143" s="1172"/>
      <c r="V143" s="1173"/>
      <c r="W143" s="1174"/>
      <c r="X143" s="1175"/>
      <c r="Y143" s="1176"/>
      <c r="Z143" s="1177"/>
      <c r="AA143" s="1547"/>
      <c r="AB143" s="1177"/>
      <c r="AC143" s="1548"/>
      <c r="AD143" s="1549"/>
      <c r="AE143" s="1178"/>
      <c r="AF143" s="1179"/>
      <c r="AG143" s="1171"/>
      <c r="AH143" s="104"/>
      <c r="AI143" s="1172"/>
      <c r="AJ143" s="1172"/>
      <c r="AK143" s="1172"/>
      <c r="AL143" s="1173"/>
      <c r="AM143" s="1174"/>
      <c r="AN143" s="1175"/>
      <c r="AO143" s="1176"/>
      <c r="AP143" s="1177"/>
      <c r="AQ143" s="1547"/>
      <c r="AR143" s="1177"/>
      <c r="AS143" s="1548"/>
      <c r="AT143" s="1549"/>
      <c r="AU143" s="1178"/>
      <c r="AV143" s="1179"/>
      <c r="AY143" s="3">
        <v>1</v>
      </c>
    </row>
    <row r="144" spans="2:51" ht="27" customHeight="1">
      <c r="B144" s="104"/>
      <c r="C144" s="1172"/>
      <c r="D144" s="1172"/>
      <c r="E144" s="1172"/>
      <c r="F144" s="1173"/>
      <c r="G144" s="1174"/>
      <c r="H144" s="1175"/>
      <c r="I144" s="1176"/>
      <c r="J144" s="1177"/>
      <c r="K144" s="1547"/>
      <c r="L144" s="1177"/>
      <c r="M144" s="1548"/>
      <c r="N144" s="1549"/>
      <c r="O144" s="1178"/>
      <c r="P144" s="1179"/>
      <c r="Q144" s="1171"/>
      <c r="R144" s="104"/>
      <c r="S144" s="1172"/>
      <c r="T144" s="1172"/>
      <c r="U144" s="1172"/>
      <c r="V144" s="1173"/>
      <c r="W144" s="1174"/>
      <c r="X144" s="1175"/>
      <c r="Y144" s="1176"/>
      <c r="Z144" s="1177"/>
      <c r="AA144" s="1547"/>
      <c r="AB144" s="1177"/>
      <c r="AC144" s="1548"/>
      <c r="AD144" s="1549"/>
      <c r="AE144" s="1178"/>
      <c r="AF144" s="1179"/>
      <c r="AG144" s="1171"/>
      <c r="AH144" s="104"/>
      <c r="AI144" s="1172"/>
      <c r="AJ144" s="1172"/>
      <c r="AK144" s="1172"/>
      <c r="AL144" s="1173"/>
      <c r="AM144" s="1174"/>
      <c r="AN144" s="1175"/>
      <c r="AO144" s="1176"/>
      <c r="AP144" s="1177"/>
      <c r="AQ144" s="1547"/>
      <c r="AR144" s="1177"/>
      <c r="AS144" s="1548"/>
      <c r="AT144" s="1549"/>
      <c r="AU144" s="1178"/>
      <c r="AV144" s="1179"/>
      <c r="AY144" s="3">
        <v>1</v>
      </c>
    </row>
    <row r="145" spans="2:51" ht="27" customHeight="1">
      <c r="B145" s="104"/>
      <c r="C145" s="1172"/>
      <c r="D145" s="1172"/>
      <c r="E145" s="1172"/>
      <c r="F145" s="1173"/>
      <c r="G145" s="1174"/>
      <c r="H145" s="1175"/>
      <c r="I145" s="1176"/>
      <c r="J145" s="1177"/>
      <c r="K145" s="1547"/>
      <c r="L145" s="1177"/>
      <c r="M145" s="1548"/>
      <c r="N145" s="1549"/>
      <c r="O145" s="1178"/>
      <c r="P145" s="1179"/>
      <c r="Q145" s="1171"/>
      <c r="R145" s="104"/>
      <c r="S145" s="1172"/>
      <c r="T145" s="1172"/>
      <c r="U145" s="1172"/>
      <c r="V145" s="1173"/>
      <c r="W145" s="1174"/>
      <c r="X145" s="1175"/>
      <c r="Y145" s="1176"/>
      <c r="Z145" s="1177"/>
      <c r="AA145" s="1547"/>
      <c r="AB145" s="1177"/>
      <c r="AC145" s="1548"/>
      <c r="AD145" s="1549"/>
      <c r="AE145" s="1178"/>
      <c r="AF145" s="1179"/>
      <c r="AG145" s="1171"/>
      <c r="AH145" s="104"/>
      <c r="AI145" s="1172"/>
      <c r="AJ145" s="1172"/>
      <c r="AK145" s="1172"/>
      <c r="AL145" s="1173"/>
      <c r="AM145" s="1174"/>
      <c r="AN145" s="1175"/>
      <c r="AO145" s="1176"/>
      <c r="AP145" s="1177"/>
      <c r="AQ145" s="1547"/>
      <c r="AR145" s="1177"/>
      <c r="AS145" s="1548"/>
      <c r="AT145" s="1549"/>
      <c r="AU145" s="1178"/>
      <c r="AV145" s="1179"/>
      <c r="AY145" s="3">
        <v>1</v>
      </c>
    </row>
    <row r="146" spans="2:51" ht="27" customHeight="1">
      <c r="B146" s="104"/>
      <c r="C146" s="1172"/>
      <c r="D146" s="1172"/>
      <c r="E146" s="1172"/>
      <c r="F146" s="1173"/>
      <c r="G146" s="1174"/>
      <c r="H146" s="1175"/>
      <c r="I146" s="1176"/>
      <c r="J146" s="1177"/>
      <c r="K146" s="1547"/>
      <c r="L146" s="1177"/>
      <c r="M146" s="1548"/>
      <c r="N146" s="1549"/>
      <c r="O146" s="1178"/>
      <c r="P146" s="1179"/>
      <c r="Q146" s="1171"/>
      <c r="R146" s="104"/>
      <c r="S146" s="1172"/>
      <c r="T146" s="1172"/>
      <c r="U146" s="1172"/>
      <c r="V146" s="1173"/>
      <c r="W146" s="1174"/>
      <c r="X146" s="1175"/>
      <c r="Y146" s="1176"/>
      <c r="Z146" s="1177"/>
      <c r="AA146" s="1547"/>
      <c r="AB146" s="1177"/>
      <c r="AC146" s="1548"/>
      <c r="AD146" s="1549"/>
      <c r="AE146" s="1178"/>
      <c r="AF146" s="1179"/>
      <c r="AG146" s="1171"/>
      <c r="AH146" s="104"/>
      <c r="AI146" s="1172"/>
      <c r="AJ146" s="1172"/>
      <c r="AK146" s="1172"/>
      <c r="AL146" s="1173"/>
      <c r="AM146" s="1174"/>
      <c r="AN146" s="1175"/>
      <c r="AO146" s="1176"/>
      <c r="AP146" s="1177"/>
      <c r="AQ146" s="1547"/>
      <c r="AR146" s="1177"/>
      <c r="AS146" s="1548"/>
      <c r="AT146" s="1549"/>
      <c r="AU146" s="1178"/>
      <c r="AV146" s="1179"/>
      <c r="AY146" s="3">
        <v>1</v>
      </c>
    </row>
    <row r="147" spans="2:51" ht="27" customHeight="1">
      <c r="B147" s="104"/>
      <c r="C147" s="1172"/>
      <c r="D147" s="1172"/>
      <c r="E147" s="1172"/>
      <c r="F147" s="1173"/>
      <c r="G147" s="1174"/>
      <c r="H147" s="1175"/>
      <c r="I147" s="1176"/>
      <c r="J147" s="1177"/>
      <c r="K147" s="1547"/>
      <c r="L147" s="1177"/>
      <c r="M147" s="1548"/>
      <c r="N147" s="1549"/>
      <c r="O147" s="1178"/>
      <c r="P147" s="1179"/>
      <c r="Q147" s="1171"/>
      <c r="R147" s="104"/>
      <c r="S147" s="1172"/>
      <c r="T147" s="1172"/>
      <c r="U147" s="1172"/>
      <c r="V147" s="1173"/>
      <c r="W147" s="1174"/>
      <c r="X147" s="1175"/>
      <c r="Y147" s="1176"/>
      <c r="Z147" s="1177"/>
      <c r="AA147" s="1547"/>
      <c r="AB147" s="1177"/>
      <c r="AC147" s="1548"/>
      <c r="AD147" s="1549"/>
      <c r="AE147" s="1178"/>
      <c r="AF147" s="1179"/>
      <c r="AG147" s="1171"/>
      <c r="AH147" s="104"/>
      <c r="AI147" s="1172"/>
      <c r="AJ147" s="1172"/>
      <c r="AK147" s="1172"/>
      <c r="AL147" s="1173"/>
      <c r="AM147" s="1174"/>
      <c r="AN147" s="1175"/>
      <c r="AO147" s="1176"/>
      <c r="AP147" s="1177"/>
      <c r="AQ147" s="1547"/>
      <c r="AR147" s="1177"/>
      <c r="AS147" s="1548"/>
      <c r="AT147" s="1549"/>
      <c r="AU147" s="1178"/>
      <c r="AV147" s="1179"/>
      <c r="AY147" s="3">
        <v>1</v>
      </c>
    </row>
    <row r="148" spans="2:51" ht="27" customHeight="1">
      <c r="B148" s="104"/>
      <c r="C148" s="1172"/>
      <c r="D148" s="1172"/>
      <c r="E148" s="1172"/>
      <c r="F148" s="1173"/>
      <c r="G148" s="1174"/>
      <c r="H148" s="1175"/>
      <c r="I148" s="1176"/>
      <c r="J148" s="1177"/>
      <c r="K148" s="1547"/>
      <c r="L148" s="1177"/>
      <c r="M148" s="1548"/>
      <c r="N148" s="1549"/>
      <c r="O148" s="1178"/>
      <c r="P148" s="1179"/>
      <c r="Q148" s="1171"/>
      <c r="R148" s="104"/>
      <c r="S148" s="1172"/>
      <c r="T148" s="1172"/>
      <c r="U148" s="1172"/>
      <c r="V148" s="1173"/>
      <c r="W148" s="1174"/>
      <c r="X148" s="1175"/>
      <c r="Y148" s="1176"/>
      <c r="Z148" s="1177"/>
      <c r="AA148" s="1547"/>
      <c r="AB148" s="1177"/>
      <c r="AC148" s="1548"/>
      <c r="AD148" s="1549"/>
      <c r="AE148" s="1178"/>
      <c r="AF148" s="1179"/>
      <c r="AG148" s="1171"/>
      <c r="AH148" s="104"/>
      <c r="AI148" s="1172"/>
      <c r="AJ148" s="1172"/>
      <c r="AK148" s="1172"/>
      <c r="AL148" s="1173"/>
      <c r="AM148" s="1174"/>
      <c r="AN148" s="1175"/>
      <c r="AO148" s="1176"/>
      <c r="AP148" s="1177"/>
      <c r="AQ148" s="1547"/>
      <c r="AR148" s="1177"/>
      <c r="AS148" s="1548"/>
      <c r="AT148" s="1549"/>
      <c r="AU148" s="1178"/>
      <c r="AV148" s="1179"/>
      <c r="AY148" s="3">
        <v>1</v>
      </c>
    </row>
    <row r="149" spans="2:51" ht="27" customHeight="1">
      <c r="B149" s="104"/>
      <c r="C149" s="1172"/>
      <c r="D149" s="1172"/>
      <c r="E149" s="1172"/>
      <c r="F149" s="1173"/>
      <c r="G149" s="1174"/>
      <c r="H149" s="1175"/>
      <c r="I149" s="1176"/>
      <c r="J149" s="1177"/>
      <c r="K149" s="1547"/>
      <c r="L149" s="1177"/>
      <c r="M149" s="1548"/>
      <c r="N149" s="1549"/>
      <c r="O149" s="1178"/>
      <c r="P149" s="1179"/>
      <c r="Q149" s="1171"/>
      <c r="R149" s="104"/>
      <c r="S149" s="1172"/>
      <c r="T149" s="1172"/>
      <c r="U149" s="1172"/>
      <c r="V149" s="1173"/>
      <c r="W149" s="1174"/>
      <c r="X149" s="1175"/>
      <c r="Y149" s="1176"/>
      <c r="Z149" s="1177"/>
      <c r="AA149" s="1547"/>
      <c r="AB149" s="1177"/>
      <c r="AC149" s="1548"/>
      <c r="AD149" s="1549"/>
      <c r="AE149" s="1178"/>
      <c r="AF149" s="1179"/>
      <c r="AG149" s="1171"/>
      <c r="AH149" s="104"/>
      <c r="AI149" s="1172"/>
      <c r="AJ149" s="1172"/>
      <c r="AK149" s="1172"/>
      <c r="AL149" s="1173"/>
      <c r="AM149" s="1174"/>
      <c r="AN149" s="1175"/>
      <c r="AO149" s="1176"/>
      <c r="AP149" s="1177"/>
      <c r="AQ149" s="1547"/>
      <c r="AR149" s="1177"/>
      <c r="AS149" s="1548"/>
      <c r="AT149" s="1549"/>
      <c r="AU149" s="1178"/>
      <c r="AV149" s="1179"/>
      <c r="AY149" s="3">
        <v>1</v>
      </c>
    </row>
    <row r="150" spans="2:51" ht="27" customHeight="1">
      <c r="B150" s="104"/>
      <c r="C150" s="1172"/>
      <c r="D150" s="1172"/>
      <c r="E150" s="1172"/>
      <c r="F150" s="1173"/>
      <c r="G150" s="1174"/>
      <c r="H150" s="1175"/>
      <c r="I150" s="1176"/>
      <c r="J150" s="1177"/>
      <c r="K150" s="1547"/>
      <c r="L150" s="1177"/>
      <c r="M150" s="1548"/>
      <c r="N150" s="1549"/>
      <c r="O150" s="1178"/>
      <c r="P150" s="1179"/>
      <c r="Q150" s="1171"/>
      <c r="R150" s="104"/>
      <c r="S150" s="1172"/>
      <c r="T150" s="1172"/>
      <c r="U150" s="1172"/>
      <c r="V150" s="1173"/>
      <c r="W150" s="1174"/>
      <c r="X150" s="1175"/>
      <c r="Y150" s="1176"/>
      <c r="Z150" s="1177"/>
      <c r="AA150" s="1547"/>
      <c r="AB150" s="1177"/>
      <c r="AC150" s="1548"/>
      <c r="AD150" s="1549"/>
      <c r="AE150" s="1178"/>
      <c r="AF150" s="1179"/>
      <c r="AG150" s="1171"/>
      <c r="AH150" s="104"/>
      <c r="AI150" s="1172"/>
      <c r="AJ150" s="1172"/>
      <c r="AK150" s="1172"/>
      <c r="AL150" s="1173"/>
      <c r="AM150" s="1174"/>
      <c r="AN150" s="1175"/>
      <c r="AO150" s="1176"/>
      <c r="AP150" s="1177"/>
      <c r="AQ150" s="1547"/>
      <c r="AR150" s="1177"/>
      <c r="AS150" s="1548"/>
      <c r="AT150" s="1549"/>
      <c r="AU150" s="1178"/>
      <c r="AV150" s="1179"/>
      <c r="AY150" s="3">
        <v>1</v>
      </c>
    </row>
    <row r="151" spans="2:51" ht="27" customHeight="1">
      <c r="B151" s="104"/>
      <c r="C151" s="1172"/>
      <c r="D151" s="1172"/>
      <c r="E151" s="1172"/>
      <c r="F151" s="1173"/>
      <c r="G151" s="1174"/>
      <c r="H151" s="1175"/>
      <c r="I151" s="1176"/>
      <c r="J151" s="1177"/>
      <c r="K151" s="1547"/>
      <c r="L151" s="1177"/>
      <c r="M151" s="1548"/>
      <c r="N151" s="1549"/>
      <c r="O151" s="1178"/>
      <c r="P151" s="1179"/>
      <c r="Q151" s="1171"/>
      <c r="R151" s="104"/>
      <c r="S151" s="1172"/>
      <c r="T151" s="1172"/>
      <c r="U151" s="1172"/>
      <c r="V151" s="1173"/>
      <c r="W151" s="1174"/>
      <c r="X151" s="1175"/>
      <c r="Y151" s="1176"/>
      <c r="Z151" s="1177"/>
      <c r="AA151" s="1547"/>
      <c r="AB151" s="1177"/>
      <c r="AC151" s="1548"/>
      <c r="AD151" s="1549"/>
      <c r="AE151" s="1178"/>
      <c r="AF151" s="1179"/>
      <c r="AG151" s="1171"/>
      <c r="AH151" s="104"/>
      <c r="AI151" s="1172"/>
      <c r="AJ151" s="1172"/>
      <c r="AK151" s="1172"/>
      <c r="AL151" s="1173"/>
      <c r="AM151" s="1174"/>
      <c r="AN151" s="1175"/>
      <c r="AO151" s="1176"/>
      <c r="AP151" s="1177"/>
      <c r="AQ151" s="1547"/>
      <c r="AR151" s="1177"/>
      <c r="AS151" s="1548"/>
      <c r="AT151" s="1549"/>
      <c r="AU151" s="1178"/>
      <c r="AV151" s="1179"/>
      <c r="AY151" s="3">
        <v>1</v>
      </c>
    </row>
    <row r="152" spans="2:51" ht="27" customHeight="1">
      <c r="B152" s="104"/>
      <c r="C152" s="1172"/>
      <c r="D152" s="1172"/>
      <c r="E152" s="1172"/>
      <c r="F152" s="1173"/>
      <c r="G152" s="1174"/>
      <c r="H152" s="1175"/>
      <c r="I152" s="1176"/>
      <c r="J152" s="1177"/>
      <c r="K152" s="1547"/>
      <c r="L152" s="1177"/>
      <c r="M152" s="1548"/>
      <c r="N152" s="1549"/>
      <c r="O152" s="1178"/>
      <c r="P152" s="1179"/>
      <c r="Q152" s="1171"/>
      <c r="R152" s="104"/>
      <c r="S152" s="1172"/>
      <c r="T152" s="1172"/>
      <c r="U152" s="1172"/>
      <c r="V152" s="1173"/>
      <c r="W152" s="1174"/>
      <c r="X152" s="1175"/>
      <c r="Y152" s="1176"/>
      <c r="Z152" s="1177"/>
      <c r="AA152" s="1547"/>
      <c r="AB152" s="1177"/>
      <c r="AC152" s="1548"/>
      <c r="AD152" s="1549"/>
      <c r="AE152" s="1178"/>
      <c r="AF152" s="1179"/>
      <c r="AG152" s="1171"/>
      <c r="AH152" s="104"/>
      <c r="AI152" s="1172"/>
      <c r="AJ152" s="1172"/>
      <c r="AK152" s="1172"/>
      <c r="AL152" s="1173"/>
      <c r="AM152" s="1174"/>
      <c r="AN152" s="1175"/>
      <c r="AO152" s="1176"/>
      <c r="AP152" s="1177"/>
      <c r="AQ152" s="1547"/>
      <c r="AR152" s="1177"/>
      <c r="AS152" s="1548"/>
      <c r="AT152" s="1549"/>
      <c r="AU152" s="1178"/>
      <c r="AV152" s="1179"/>
      <c r="AY152" s="3">
        <v>1</v>
      </c>
    </row>
    <row r="153" spans="2:51" ht="27" customHeight="1">
      <c r="B153" s="104"/>
      <c r="C153" s="1172"/>
      <c r="D153" s="1172"/>
      <c r="E153" s="1172"/>
      <c r="F153" s="1173"/>
      <c r="G153" s="1174"/>
      <c r="H153" s="1175"/>
      <c r="I153" s="1176"/>
      <c r="J153" s="1177"/>
      <c r="K153" s="1547"/>
      <c r="L153" s="1177"/>
      <c r="M153" s="1548"/>
      <c r="N153" s="1549"/>
      <c r="O153" s="1178"/>
      <c r="P153" s="1179"/>
      <c r="Q153" s="1171"/>
      <c r="R153" s="104"/>
      <c r="S153" s="1172"/>
      <c r="T153" s="1172"/>
      <c r="U153" s="1172"/>
      <c r="V153" s="1173"/>
      <c r="W153" s="1174"/>
      <c r="X153" s="1175"/>
      <c r="Y153" s="1176"/>
      <c r="Z153" s="1177"/>
      <c r="AA153" s="1547"/>
      <c r="AB153" s="1177"/>
      <c r="AC153" s="1548"/>
      <c r="AD153" s="1549"/>
      <c r="AE153" s="1178"/>
      <c r="AF153" s="1179"/>
      <c r="AG153" s="1171"/>
      <c r="AH153" s="104"/>
      <c r="AI153" s="1172"/>
      <c r="AJ153" s="1172"/>
      <c r="AK153" s="1172"/>
      <c r="AL153" s="1173"/>
      <c r="AM153" s="1174"/>
      <c r="AN153" s="1175"/>
      <c r="AO153" s="1176"/>
      <c r="AP153" s="1177"/>
      <c r="AQ153" s="1547"/>
      <c r="AR153" s="1177"/>
      <c r="AS153" s="1548"/>
      <c r="AT153" s="1549"/>
      <c r="AU153" s="1178"/>
      <c r="AV153" s="1179"/>
      <c r="AY153" s="3">
        <v>1</v>
      </c>
    </row>
    <row r="154" spans="2:51" ht="27" customHeight="1">
      <c r="B154" s="104"/>
      <c r="C154" s="1172"/>
      <c r="D154" s="1172"/>
      <c r="E154" s="1172"/>
      <c r="F154" s="1173"/>
      <c r="G154" s="1174"/>
      <c r="H154" s="1175"/>
      <c r="I154" s="1176"/>
      <c r="J154" s="1177"/>
      <c r="K154" s="1547"/>
      <c r="L154" s="1177"/>
      <c r="M154" s="1548"/>
      <c r="N154" s="1549"/>
      <c r="O154" s="1178"/>
      <c r="P154" s="1179"/>
      <c r="Q154" s="1171"/>
      <c r="R154" s="104"/>
      <c r="S154" s="1172"/>
      <c r="T154" s="1172"/>
      <c r="U154" s="1172"/>
      <c r="V154" s="1173"/>
      <c r="W154" s="1174"/>
      <c r="X154" s="1175"/>
      <c r="Y154" s="1176"/>
      <c r="Z154" s="1177"/>
      <c r="AA154" s="1547"/>
      <c r="AB154" s="1177"/>
      <c r="AC154" s="1548"/>
      <c r="AD154" s="1549"/>
      <c r="AE154" s="1178"/>
      <c r="AF154" s="1179"/>
      <c r="AG154" s="1171"/>
      <c r="AH154" s="104"/>
      <c r="AI154" s="1172"/>
      <c r="AJ154" s="1172"/>
      <c r="AK154" s="1172"/>
      <c r="AL154" s="1173"/>
      <c r="AM154" s="1174"/>
      <c r="AN154" s="1175"/>
      <c r="AO154" s="1176"/>
      <c r="AP154" s="1177"/>
      <c r="AQ154" s="1547"/>
      <c r="AR154" s="1177"/>
      <c r="AS154" s="1548"/>
      <c r="AT154" s="1549"/>
      <c r="AU154" s="1178"/>
      <c r="AV154" s="1179"/>
      <c r="AY154" s="3">
        <v>1</v>
      </c>
    </row>
    <row r="155" spans="2:51" ht="27" customHeight="1">
      <c r="B155" s="104"/>
      <c r="C155" s="1172"/>
      <c r="D155" s="1172"/>
      <c r="E155" s="1172"/>
      <c r="F155" s="1173"/>
      <c r="G155" s="1174"/>
      <c r="H155" s="1175"/>
      <c r="I155" s="1176"/>
      <c r="J155" s="1177"/>
      <c r="K155" s="1547"/>
      <c r="L155" s="1177"/>
      <c r="M155" s="1548"/>
      <c r="N155" s="1549"/>
      <c r="O155" s="1178"/>
      <c r="P155" s="1179"/>
      <c r="Q155" s="1171"/>
      <c r="R155" s="104"/>
      <c r="S155" s="1172"/>
      <c r="T155" s="1172"/>
      <c r="U155" s="1172"/>
      <c r="V155" s="1173"/>
      <c r="W155" s="1174"/>
      <c r="X155" s="1175"/>
      <c r="Y155" s="1176"/>
      <c r="Z155" s="1177"/>
      <c r="AA155" s="1547"/>
      <c r="AB155" s="1177"/>
      <c r="AC155" s="1548"/>
      <c r="AD155" s="1549"/>
      <c r="AE155" s="1178"/>
      <c r="AF155" s="1179"/>
      <c r="AG155" s="1171"/>
      <c r="AH155" s="104"/>
      <c r="AI155" s="1172"/>
      <c r="AJ155" s="1172"/>
      <c r="AK155" s="1172"/>
      <c r="AL155" s="1173"/>
      <c r="AM155" s="1174"/>
      <c r="AN155" s="1175"/>
      <c r="AO155" s="1176"/>
      <c r="AP155" s="1177"/>
      <c r="AQ155" s="1547"/>
      <c r="AR155" s="1177"/>
      <c r="AS155" s="1548"/>
      <c r="AT155" s="1549"/>
      <c r="AU155" s="1178"/>
      <c r="AV155" s="1179"/>
      <c r="AY155" s="3">
        <v>1</v>
      </c>
    </row>
    <row r="156" spans="2:51" ht="27" customHeight="1">
      <c r="B156" s="104"/>
      <c r="C156" s="1172"/>
      <c r="D156" s="1172"/>
      <c r="E156" s="1172"/>
      <c r="F156" s="1173"/>
      <c r="G156" s="1174"/>
      <c r="H156" s="1175"/>
      <c r="I156" s="1176"/>
      <c r="J156" s="1177"/>
      <c r="K156" s="1547"/>
      <c r="L156" s="1177"/>
      <c r="M156" s="1548"/>
      <c r="N156" s="1549"/>
      <c r="O156" s="1178"/>
      <c r="P156" s="1179"/>
      <c r="Q156" s="1171"/>
      <c r="R156" s="104"/>
      <c r="S156" s="1172"/>
      <c r="T156" s="1172"/>
      <c r="U156" s="1172"/>
      <c r="V156" s="1173"/>
      <c r="W156" s="1174"/>
      <c r="X156" s="1175"/>
      <c r="Y156" s="1176"/>
      <c r="Z156" s="1177"/>
      <c r="AA156" s="1547"/>
      <c r="AB156" s="1177"/>
      <c r="AC156" s="1548"/>
      <c r="AD156" s="1549"/>
      <c r="AE156" s="1178"/>
      <c r="AF156" s="1179"/>
      <c r="AG156" s="1171"/>
      <c r="AH156" s="104"/>
      <c r="AI156" s="1172"/>
      <c r="AJ156" s="1172"/>
      <c r="AK156" s="1172"/>
      <c r="AL156" s="1173"/>
      <c r="AM156" s="1174"/>
      <c r="AN156" s="1175"/>
      <c r="AO156" s="1176"/>
      <c r="AP156" s="1177"/>
      <c r="AQ156" s="1547"/>
      <c r="AR156" s="1177"/>
      <c r="AS156" s="1548"/>
      <c r="AT156" s="1549"/>
      <c r="AU156" s="1178"/>
      <c r="AV156" s="1179"/>
      <c r="AY156" s="3">
        <v>1</v>
      </c>
    </row>
    <row r="157" spans="2:51" ht="27" customHeight="1">
      <c r="B157" s="104"/>
      <c r="C157" s="1172"/>
      <c r="D157" s="1172"/>
      <c r="E157" s="1172"/>
      <c r="F157" s="1173"/>
      <c r="G157" s="1174"/>
      <c r="H157" s="1175"/>
      <c r="I157" s="1176"/>
      <c r="J157" s="1177"/>
      <c r="K157" s="1547"/>
      <c r="L157" s="1177"/>
      <c r="M157" s="1548"/>
      <c r="N157" s="1549"/>
      <c r="O157" s="1178"/>
      <c r="P157" s="1179"/>
      <c r="Q157" s="1171"/>
      <c r="R157" s="104"/>
      <c r="S157" s="1172"/>
      <c r="T157" s="1172"/>
      <c r="U157" s="1172"/>
      <c r="V157" s="1173"/>
      <c r="W157" s="1174"/>
      <c r="X157" s="1175"/>
      <c r="Y157" s="1176"/>
      <c r="Z157" s="1177"/>
      <c r="AA157" s="1547"/>
      <c r="AB157" s="1177"/>
      <c r="AC157" s="1548"/>
      <c r="AD157" s="1549"/>
      <c r="AE157" s="1178"/>
      <c r="AF157" s="1179"/>
      <c r="AG157" s="1171"/>
      <c r="AH157" s="104"/>
      <c r="AI157" s="1172"/>
      <c r="AJ157" s="1172"/>
      <c r="AK157" s="1172"/>
      <c r="AL157" s="1173"/>
      <c r="AM157" s="1174"/>
      <c r="AN157" s="1175"/>
      <c r="AO157" s="1176"/>
      <c r="AP157" s="1177"/>
      <c r="AQ157" s="1547"/>
      <c r="AR157" s="1177"/>
      <c r="AS157" s="1548"/>
      <c r="AT157" s="1549"/>
      <c r="AU157" s="1178"/>
      <c r="AV157" s="1179"/>
      <c r="AY157" s="3">
        <v>1</v>
      </c>
    </row>
    <row r="158" spans="2:51" ht="27" customHeight="1">
      <c r="B158" s="104"/>
      <c r="C158" s="1172"/>
      <c r="D158" s="1172"/>
      <c r="E158" s="1172"/>
      <c r="F158" s="1173"/>
      <c r="G158" s="1174"/>
      <c r="H158" s="1175"/>
      <c r="I158" s="1176"/>
      <c r="J158" s="1177"/>
      <c r="K158" s="1547"/>
      <c r="L158" s="1177"/>
      <c r="M158" s="1548"/>
      <c r="N158" s="1549"/>
      <c r="O158" s="1178"/>
      <c r="P158" s="1179"/>
      <c r="Q158" s="1171"/>
      <c r="R158" s="104"/>
      <c r="S158" s="1172"/>
      <c r="T158" s="1172"/>
      <c r="U158" s="1172"/>
      <c r="V158" s="1173"/>
      <c r="W158" s="1174"/>
      <c r="X158" s="1175"/>
      <c r="Y158" s="1176"/>
      <c r="Z158" s="1177"/>
      <c r="AA158" s="1547"/>
      <c r="AB158" s="1177"/>
      <c r="AC158" s="1548"/>
      <c r="AD158" s="1549"/>
      <c r="AE158" s="1178"/>
      <c r="AF158" s="1179"/>
      <c r="AG158" s="1171"/>
      <c r="AH158" s="104"/>
      <c r="AI158" s="1172"/>
      <c r="AJ158" s="1172"/>
      <c r="AK158" s="1172"/>
      <c r="AL158" s="1173"/>
      <c r="AM158" s="1174"/>
      <c r="AN158" s="1175"/>
      <c r="AO158" s="1176"/>
      <c r="AP158" s="1177"/>
      <c r="AQ158" s="1547"/>
      <c r="AR158" s="1177"/>
      <c r="AS158" s="1548"/>
      <c r="AT158" s="1549"/>
      <c r="AU158" s="1178"/>
      <c r="AV158" s="1179"/>
      <c r="AY158" s="3">
        <v>1</v>
      </c>
    </row>
    <row r="159" spans="2:51" ht="27" customHeight="1">
      <c r="B159" s="104"/>
      <c r="C159" s="1172"/>
      <c r="D159" s="1172"/>
      <c r="E159" s="1172"/>
      <c r="F159" s="1173"/>
      <c r="G159" s="1174"/>
      <c r="H159" s="1175"/>
      <c r="I159" s="1176"/>
      <c r="J159" s="1177"/>
      <c r="K159" s="1547"/>
      <c r="L159" s="1177"/>
      <c r="M159" s="1548"/>
      <c r="N159" s="1549"/>
      <c r="O159" s="1178"/>
      <c r="P159" s="1179"/>
      <c r="Q159" s="1171"/>
      <c r="R159" s="104"/>
      <c r="S159" s="1172"/>
      <c r="T159" s="1172"/>
      <c r="U159" s="1172"/>
      <c r="V159" s="1173"/>
      <c r="W159" s="1174"/>
      <c r="X159" s="1175"/>
      <c r="Y159" s="1176"/>
      <c r="Z159" s="1177"/>
      <c r="AA159" s="1547"/>
      <c r="AB159" s="1177"/>
      <c r="AC159" s="1548"/>
      <c r="AD159" s="1549"/>
      <c r="AE159" s="1178"/>
      <c r="AF159" s="1179"/>
      <c r="AG159" s="1171"/>
      <c r="AH159" s="104"/>
      <c r="AI159" s="1172"/>
      <c r="AJ159" s="1172"/>
      <c r="AK159" s="1172"/>
      <c r="AL159" s="1173"/>
      <c r="AM159" s="1174"/>
      <c r="AN159" s="1175"/>
      <c r="AO159" s="1176"/>
      <c r="AP159" s="1177"/>
      <c r="AQ159" s="1547"/>
      <c r="AR159" s="1177"/>
      <c r="AS159" s="1548"/>
      <c r="AT159" s="1549"/>
      <c r="AU159" s="1178"/>
      <c r="AV159" s="1179"/>
      <c r="AY159" s="3">
        <v>1</v>
      </c>
    </row>
    <row r="160" spans="2:51" ht="27" customHeight="1">
      <c r="B160" s="104"/>
      <c r="C160" s="1172"/>
      <c r="D160" s="1172"/>
      <c r="E160" s="1172"/>
      <c r="F160" s="1173"/>
      <c r="G160" s="1174"/>
      <c r="H160" s="1175"/>
      <c r="I160" s="1176"/>
      <c r="J160" s="1177"/>
      <c r="K160" s="1547"/>
      <c r="L160" s="1177"/>
      <c r="M160" s="1548"/>
      <c r="N160" s="1549"/>
      <c r="O160" s="1178"/>
      <c r="P160" s="1179"/>
      <c r="Q160" s="1171"/>
      <c r="R160" s="104"/>
      <c r="S160" s="1172"/>
      <c r="T160" s="1172"/>
      <c r="U160" s="1172"/>
      <c r="V160" s="1173"/>
      <c r="W160" s="1174"/>
      <c r="X160" s="1175"/>
      <c r="Y160" s="1176"/>
      <c r="Z160" s="1177"/>
      <c r="AA160" s="1547"/>
      <c r="AB160" s="1177"/>
      <c r="AC160" s="1548"/>
      <c r="AD160" s="1549"/>
      <c r="AE160" s="1178"/>
      <c r="AF160" s="1179"/>
      <c r="AG160" s="1171"/>
      <c r="AH160" s="104"/>
      <c r="AI160" s="1172"/>
      <c r="AJ160" s="1172"/>
      <c r="AK160" s="1172"/>
      <c r="AL160" s="1173"/>
      <c r="AM160" s="1174"/>
      <c r="AN160" s="1175"/>
      <c r="AO160" s="1176"/>
      <c r="AP160" s="1177"/>
      <c r="AQ160" s="1547"/>
      <c r="AR160" s="1177"/>
      <c r="AS160" s="1548"/>
      <c r="AT160" s="1549"/>
      <c r="AU160" s="1178"/>
      <c r="AV160" s="1179"/>
      <c r="AY160" s="3">
        <v>1</v>
      </c>
    </row>
    <row r="161" spans="2:51" ht="27" customHeight="1">
      <c r="B161" s="104"/>
      <c r="C161" s="1172"/>
      <c r="D161" s="1172"/>
      <c r="E161" s="1172"/>
      <c r="F161" s="1173"/>
      <c r="G161" s="1174"/>
      <c r="H161" s="1175"/>
      <c r="I161" s="1176"/>
      <c r="J161" s="1177"/>
      <c r="K161" s="1547"/>
      <c r="L161" s="1177"/>
      <c r="M161" s="1548"/>
      <c r="N161" s="1549"/>
      <c r="O161" s="1178"/>
      <c r="P161" s="1179"/>
      <c r="Q161" s="1171"/>
      <c r="R161" s="104"/>
      <c r="S161" s="1172"/>
      <c r="T161" s="1172"/>
      <c r="U161" s="1172"/>
      <c r="V161" s="1173"/>
      <c r="W161" s="1174"/>
      <c r="X161" s="1175"/>
      <c r="Y161" s="1176"/>
      <c r="Z161" s="1177"/>
      <c r="AA161" s="1547"/>
      <c r="AB161" s="1177"/>
      <c r="AC161" s="1548"/>
      <c r="AD161" s="1549"/>
      <c r="AE161" s="1178"/>
      <c r="AF161" s="1179"/>
      <c r="AG161" s="1171"/>
      <c r="AH161" s="104"/>
      <c r="AI161" s="1172"/>
      <c r="AJ161" s="1172"/>
      <c r="AK161" s="1172"/>
      <c r="AL161" s="1173"/>
      <c r="AM161" s="1174"/>
      <c r="AN161" s="1175"/>
      <c r="AO161" s="1176"/>
      <c r="AP161" s="1177"/>
      <c r="AQ161" s="1547"/>
      <c r="AR161" s="1177"/>
      <c r="AS161" s="1548"/>
      <c r="AT161" s="1549"/>
      <c r="AU161" s="1178"/>
      <c r="AV161" s="1179"/>
      <c r="AY161" s="3">
        <v>1</v>
      </c>
    </row>
    <row r="162" spans="2:51" ht="27" customHeight="1">
      <c r="B162" s="104"/>
      <c r="C162" s="1172"/>
      <c r="D162" s="1172"/>
      <c r="E162" s="1172"/>
      <c r="F162" s="1173"/>
      <c r="G162" s="1174"/>
      <c r="H162" s="1175"/>
      <c r="I162" s="1176"/>
      <c r="J162" s="1177"/>
      <c r="K162" s="1547"/>
      <c r="L162" s="1177"/>
      <c r="M162" s="1548"/>
      <c r="N162" s="1549"/>
      <c r="O162" s="1178"/>
      <c r="P162" s="1179"/>
      <c r="Q162" s="1171"/>
      <c r="R162" s="104"/>
      <c r="S162" s="1172"/>
      <c r="T162" s="1172"/>
      <c r="U162" s="1172"/>
      <c r="V162" s="1173"/>
      <c r="W162" s="1174"/>
      <c r="X162" s="1175"/>
      <c r="Y162" s="1176"/>
      <c r="Z162" s="1177"/>
      <c r="AA162" s="1547"/>
      <c r="AB162" s="1177"/>
      <c r="AC162" s="1548"/>
      <c r="AD162" s="1549"/>
      <c r="AE162" s="1178"/>
      <c r="AF162" s="1179"/>
      <c r="AG162" s="1171"/>
      <c r="AH162" s="104"/>
      <c r="AI162" s="1172"/>
      <c r="AJ162" s="1172"/>
      <c r="AK162" s="1172"/>
      <c r="AL162" s="1173"/>
      <c r="AM162" s="1174"/>
      <c r="AN162" s="1175"/>
      <c r="AO162" s="1176"/>
      <c r="AP162" s="1177"/>
      <c r="AQ162" s="1547"/>
      <c r="AR162" s="1177"/>
      <c r="AS162" s="1548"/>
      <c r="AT162" s="1549"/>
      <c r="AU162" s="1178"/>
      <c r="AV162" s="1179"/>
      <c r="AY162" s="3">
        <v>1</v>
      </c>
    </row>
    <row r="163" spans="2:51" ht="27" customHeight="1">
      <c r="B163" s="104"/>
      <c r="C163" s="1172"/>
      <c r="D163" s="1172"/>
      <c r="E163" s="1172"/>
      <c r="F163" s="1173"/>
      <c r="G163" s="1174"/>
      <c r="H163" s="1175"/>
      <c r="I163" s="1176"/>
      <c r="J163" s="1177"/>
      <c r="K163" s="1547"/>
      <c r="L163" s="1177"/>
      <c r="M163" s="1548"/>
      <c r="N163" s="1549"/>
      <c r="O163" s="1178"/>
      <c r="P163" s="1179"/>
      <c r="Q163" s="1171"/>
      <c r="R163" s="104"/>
      <c r="S163" s="1172"/>
      <c r="T163" s="1172"/>
      <c r="U163" s="1172"/>
      <c r="V163" s="1173"/>
      <c r="W163" s="1174"/>
      <c r="X163" s="1175"/>
      <c r="Y163" s="1176"/>
      <c r="Z163" s="1177"/>
      <c r="AA163" s="1547"/>
      <c r="AB163" s="1177"/>
      <c r="AC163" s="1548"/>
      <c r="AD163" s="1549"/>
      <c r="AE163" s="1178"/>
      <c r="AF163" s="1179"/>
      <c r="AG163" s="1171"/>
      <c r="AH163" s="104"/>
      <c r="AI163" s="1172"/>
      <c r="AJ163" s="1172"/>
      <c r="AK163" s="1172"/>
      <c r="AL163" s="1173"/>
      <c r="AM163" s="1174"/>
      <c r="AN163" s="1175"/>
      <c r="AO163" s="1176"/>
      <c r="AP163" s="1177"/>
      <c r="AQ163" s="1547"/>
      <c r="AR163" s="1177"/>
      <c r="AS163" s="1548"/>
      <c r="AT163" s="1549"/>
      <c r="AU163" s="1178"/>
      <c r="AV163" s="1179"/>
      <c r="AY163" s="3">
        <v>1</v>
      </c>
    </row>
    <row r="164" spans="2:51" ht="27" customHeight="1">
      <c r="B164" s="104"/>
      <c r="C164" s="1172"/>
      <c r="D164" s="1172"/>
      <c r="E164" s="1172"/>
      <c r="F164" s="1173"/>
      <c r="G164" s="1174"/>
      <c r="H164" s="1175"/>
      <c r="I164" s="1176"/>
      <c r="J164" s="1177"/>
      <c r="K164" s="1547"/>
      <c r="L164" s="1177"/>
      <c r="M164" s="1548"/>
      <c r="N164" s="1549"/>
      <c r="O164" s="1178"/>
      <c r="P164" s="1179"/>
      <c r="Q164" s="1171"/>
      <c r="R164" s="104"/>
      <c r="S164" s="1172"/>
      <c r="T164" s="1172"/>
      <c r="U164" s="1172"/>
      <c r="V164" s="1173"/>
      <c r="W164" s="1174"/>
      <c r="X164" s="1175"/>
      <c r="Y164" s="1176"/>
      <c r="Z164" s="1177"/>
      <c r="AA164" s="1547"/>
      <c r="AB164" s="1177"/>
      <c r="AC164" s="1548"/>
      <c r="AD164" s="1549"/>
      <c r="AE164" s="1178"/>
      <c r="AF164" s="1179"/>
      <c r="AG164" s="1171"/>
      <c r="AH164" s="104"/>
      <c r="AI164" s="1172"/>
      <c r="AJ164" s="1172"/>
      <c r="AK164" s="1172"/>
      <c r="AL164" s="1173"/>
      <c r="AM164" s="1174"/>
      <c r="AN164" s="1175"/>
      <c r="AO164" s="1176"/>
      <c r="AP164" s="1177"/>
      <c r="AQ164" s="1547"/>
      <c r="AR164" s="1177"/>
      <c r="AS164" s="1548"/>
      <c r="AT164" s="1549"/>
      <c r="AU164" s="1178"/>
      <c r="AV164" s="1179"/>
      <c r="AY164" s="3">
        <v>1</v>
      </c>
    </row>
    <row r="165" spans="2:51" ht="27" customHeight="1">
      <c r="B165" s="104"/>
      <c r="C165" s="1172"/>
      <c r="D165" s="1172"/>
      <c r="E165" s="1172"/>
      <c r="F165" s="1173"/>
      <c r="G165" s="1174"/>
      <c r="H165" s="1175"/>
      <c r="I165" s="1176"/>
      <c r="J165" s="1177"/>
      <c r="K165" s="1547"/>
      <c r="L165" s="1177"/>
      <c r="M165" s="1548"/>
      <c r="N165" s="1549"/>
      <c r="O165" s="1178"/>
      <c r="P165" s="1179"/>
      <c r="Q165" s="1171"/>
      <c r="R165" s="104"/>
      <c r="S165" s="1172"/>
      <c r="T165" s="1172"/>
      <c r="U165" s="1172"/>
      <c r="V165" s="1173"/>
      <c r="W165" s="1174"/>
      <c r="X165" s="1175"/>
      <c r="Y165" s="1176"/>
      <c r="Z165" s="1177"/>
      <c r="AA165" s="1547"/>
      <c r="AB165" s="1177"/>
      <c r="AC165" s="1548"/>
      <c r="AD165" s="1549"/>
      <c r="AE165" s="1178"/>
      <c r="AF165" s="1179"/>
      <c r="AG165" s="1171"/>
      <c r="AH165" s="104"/>
      <c r="AI165" s="1172"/>
      <c r="AJ165" s="1172"/>
      <c r="AK165" s="1172"/>
      <c r="AL165" s="1173"/>
      <c r="AM165" s="1174"/>
      <c r="AN165" s="1175"/>
      <c r="AO165" s="1176"/>
      <c r="AP165" s="1177"/>
      <c r="AQ165" s="1547"/>
      <c r="AR165" s="1177"/>
      <c r="AS165" s="1548"/>
      <c r="AT165" s="1549"/>
      <c r="AU165" s="1178"/>
      <c r="AV165" s="1179"/>
      <c r="AY165" s="3">
        <v>1</v>
      </c>
    </row>
    <row r="166" spans="2:51" ht="27" customHeight="1">
      <c r="B166" s="104"/>
      <c r="C166" s="1172"/>
      <c r="D166" s="1172"/>
      <c r="E166" s="1172"/>
      <c r="F166" s="1173"/>
      <c r="G166" s="1174"/>
      <c r="H166" s="1175"/>
      <c r="I166" s="1176"/>
      <c r="J166" s="1177"/>
      <c r="K166" s="1547"/>
      <c r="L166" s="1177"/>
      <c r="M166" s="1548"/>
      <c r="N166" s="1549"/>
      <c r="O166" s="1178"/>
      <c r="P166" s="1179"/>
      <c r="Q166" s="1171"/>
      <c r="R166" s="104"/>
      <c r="S166" s="1172"/>
      <c r="T166" s="1172"/>
      <c r="U166" s="1172"/>
      <c r="V166" s="1173"/>
      <c r="W166" s="1174"/>
      <c r="X166" s="1175"/>
      <c r="Y166" s="1176"/>
      <c r="Z166" s="1177"/>
      <c r="AA166" s="1547"/>
      <c r="AB166" s="1177"/>
      <c r="AC166" s="1548"/>
      <c r="AD166" s="1549"/>
      <c r="AE166" s="1178"/>
      <c r="AF166" s="1179"/>
      <c r="AG166" s="1171"/>
      <c r="AH166" s="104"/>
      <c r="AI166" s="1172"/>
      <c r="AJ166" s="1172"/>
      <c r="AK166" s="1172"/>
      <c r="AL166" s="1173"/>
      <c r="AM166" s="1174"/>
      <c r="AN166" s="1175"/>
      <c r="AO166" s="1176"/>
      <c r="AP166" s="1177"/>
      <c r="AQ166" s="1547"/>
      <c r="AR166" s="1177"/>
      <c r="AS166" s="1548"/>
      <c r="AT166" s="1549"/>
      <c r="AU166" s="1178"/>
      <c r="AV166" s="1179"/>
      <c r="AY166" s="3">
        <v>1</v>
      </c>
    </row>
    <row r="167" spans="2:51" ht="27" customHeight="1">
      <c r="B167" s="104"/>
      <c r="C167" s="1172"/>
      <c r="D167" s="1172"/>
      <c r="E167" s="1172"/>
      <c r="F167" s="1173"/>
      <c r="G167" s="1174"/>
      <c r="H167" s="1175"/>
      <c r="I167" s="1176"/>
      <c r="J167" s="1177"/>
      <c r="K167" s="1547"/>
      <c r="L167" s="1177"/>
      <c r="M167" s="1548"/>
      <c r="N167" s="1549"/>
      <c r="O167" s="1178"/>
      <c r="P167" s="1179"/>
      <c r="Q167" s="1171"/>
      <c r="R167" s="104"/>
      <c r="S167" s="1172"/>
      <c r="T167" s="1172"/>
      <c r="U167" s="1172"/>
      <c r="V167" s="1173"/>
      <c r="W167" s="1174"/>
      <c r="X167" s="1175"/>
      <c r="Y167" s="1176"/>
      <c r="Z167" s="1177"/>
      <c r="AA167" s="1547"/>
      <c r="AB167" s="1177"/>
      <c r="AC167" s="1548"/>
      <c r="AD167" s="1549"/>
      <c r="AE167" s="1178"/>
      <c r="AF167" s="1179"/>
      <c r="AG167" s="1171"/>
      <c r="AH167" s="104"/>
      <c r="AI167" s="1172"/>
      <c r="AJ167" s="1172"/>
      <c r="AK167" s="1172"/>
      <c r="AL167" s="1173"/>
      <c r="AM167" s="1174"/>
      <c r="AN167" s="1175"/>
      <c r="AO167" s="1176"/>
      <c r="AP167" s="1177"/>
      <c r="AQ167" s="1547"/>
      <c r="AR167" s="1177"/>
      <c r="AS167" s="1548"/>
      <c r="AT167" s="1549"/>
      <c r="AU167" s="1178"/>
      <c r="AV167" s="1179"/>
      <c r="AY167" s="3">
        <v>1</v>
      </c>
    </row>
    <row r="168" spans="2:51" ht="27" customHeight="1">
      <c r="B168" s="104"/>
      <c r="C168" s="1172"/>
      <c r="D168" s="1172"/>
      <c r="E168" s="1172"/>
      <c r="F168" s="1173"/>
      <c r="G168" s="1174"/>
      <c r="H168" s="1175"/>
      <c r="I168" s="1176"/>
      <c r="J168" s="1177"/>
      <c r="K168" s="1547"/>
      <c r="L168" s="1177"/>
      <c r="M168" s="1548"/>
      <c r="N168" s="1549"/>
      <c r="O168" s="1178"/>
      <c r="P168" s="1179"/>
      <c r="Q168" s="1171"/>
      <c r="R168" s="104"/>
      <c r="S168" s="1172"/>
      <c r="T168" s="1172"/>
      <c r="U168" s="1172"/>
      <c r="V168" s="1173"/>
      <c r="W168" s="1174"/>
      <c r="X168" s="1175"/>
      <c r="Y168" s="1176"/>
      <c r="Z168" s="1177"/>
      <c r="AA168" s="1547"/>
      <c r="AB168" s="1177"/>
      <c r="AC168" s="1548"/>
      <c r="AD168" s="1549"/>
      <c r="AE168" s="1178"/>
      <c r="AF168" s="1179"/>
      <c r="AG168" s="1171"/>
      <c r="AH168" s="104"/>
      <c r="AI168" s="1172"/>
      <c r="AJ168" s="1172"/>
      <c r="AK168" s="1172"/>
      <c r="AL168" s="1173"/>
      <c r="AM168" s="1174"/>
      <c r="AN168" s="1175"/>
      <c r="AO168" s="1176"/>
      <c r="AP168" s="1177"/>
      <c r="AQ168" s="1547"/>
      <c r="AR168" s="1177"/>
      <c r="AS168" s="1548"/>
      <c r="AT168" s="1549"/>
      <c r="AU168" s="1178"/>
      <c r="AV168" s="1179"/>
      <c r="AY168" s="3">
        <v>1</v>
      </c>
    </row>
    <row r="169" spans="2:51" ht="27" customHeight="1">
      <c r="B169" s="104"/>
      <c r="C169" s="1172"/>
      <c r="D169" s="1172"/>
      <c r="E169" s="1172"/>
      <c r="F169" s="1173"/>
      <c r="G169" s="1174"/>
      <c r="H169" s="1175"/>
      <c r="I169" s="1176"/>
      <c r="J169" s="1177"/>
      <c r="K169" s="1547"/>
      <c r="L169" s="1177"/>
      <c r="M169" s="1548"/>
      <c r="N169" s="1549"/>
      <c r="O169" s="1178"/>
      <c r="P169" s="1179"/>
      <c r="Q169" s="1171"/>
      <c r="R169" s="104"/>
      <c r="S169" s="1172"/>
      <c r="T169" s="1172"/>
      <c r="U169" s="1172"/>
      <c r="V169" s="1173"/>
      <c r="W169" s="1174"/>
      <c r="X169" s="1175"/>
      <c r="Y169" s="1176"/>
      <c r="Z169" s="1177"/>
      <c r="AA169" s="1547"/>
      <c r="AB169" s="1177"/>
      <c r="AC169" s="1548"/>
      <c r="AD169" s="1549"/>
      <c r="AE169" s="1178"/>
      <c r="AF169" s="1179"/>
      <c r="AG169" s="1171"/>
      <c r="AH169" s="104"/>
      <c r="AI169" s="1172"/>
      <c r="AJ169" s="1172"/>
      <c r="AK169" s="1172"/>
      <c r="AL169" s="1173"/>
      <c r="AM169" s="1174"/>
      <c r="AN169" s="1175"/>
      <c r="AO169" s="1176"/>
      <c r="AP169" s="1177"/>
      <c r="AQ169" s="1547"/>
      <c r="AR169" s="1177"/>
      <c r="AS169" s="1548"/>
      <c r="AT169" s="1549"/>
      <c r="AU169" s="1178"/>
      <c r="AV169" s="1179"/>
      <c r="AY169" s="3">
        <v>1</v>
      </c>
    </row>
    <row r="170" spans="2:51" ht="27" customHeight="1">
      <c r="B170" s="104"/>
      <c r="C170" s="1172"/>
      <c r="D170" s="1172"/>
      <c r="E170" s="1172"/>
      <c r="F170" s="1173"/>
      <c r="G170" s="1174"/>
      <c r="H170" s="1175"/>
      <c r="I170" s="1176"/>
      <c r="J170" s="1177"/>
      <c r="K170" s="1547"/>
      <c r="L170" s="1177"/>
      <c r="M170" s="1548"/>
      <c r="N170" s="1549"/>
      <c r="O170" s="1178"/>
      <c r="P170" s="1179"/>
      <c r="Q170" s="1171"/>
      <c r="R170" s="104"/>
      <c r="S170" s="1172"/>
      <c r="T170" s="1172"/>
      <c r="U170" s="1172"/>
      <c r="V170" s="1173"/>
      <c r="W170" s="1174"/>
      <c r="X170" s="1175"/>
      <c r="Y170" s="1176"/>
      <c r="Z170" s="1177"/>
      <c r="AA170" s="1547"/>
      <c r="AB170" s="1177"/>
      <c r="AC170" s="1548"/>
      <c r="AD170" s="1549"/>
      <c r="AE170" s="1178"/>
      <c r="AF170" s="1179"/>
      <c r="AG170" s="1171"/>
      <c r="AH170" s="104"/>
      <c r="AI170" s="1172"/>
      <c r="AJ170" s="1172"/>
      <c r="AK170" s="1172"/>
      <c r="AL170" s="1173"/>
      <c r="AM170" s="1174"/>
      <c r="AN170" s="1175"/>
      <c r="AO170" s="1176"/>
      <c r="AP170" s="1177"/>
      <c r="AQ170" s="1547"/>
      <c r="AR170" s="1177"/>
      <c r="AS170" s="1548"/>
      <c r="AT170" s="1549"/>
      <c r="AU170" s="1178"/>
      <c r="AV170" s="1179"/>
      <c r="AY170" s="3">
        <v>1</v>
      </c>
    </row>
    <row r="171" spans="2:51" ht="27" customHeight="1">
      <c r="B171" s="104"/>
      <c r="C171" s="1172"/>
      <c r="D171" s="1172"/>
      <c r="E171" s="1172"/>
      <c r="F171" s="1173"/>
      <c r="G171" s="1174"/>
      <c r="H171" s="1175"/>
      <c r="I171" s="1176"/>
      <c r="J171" s="1177"/>
      <c r="K171" s="1547"/>
      <c r="L171" s="1177"/>
      <c r="M171" s="1548"/>
      <c r="N171" s="1549"/>
      <c r="O171" s="1178"/>
      <c r="P171" s="1179"/>
      <c r="Q171" s="1171"/>
      <c r="R171" s="104"/>
      <c r="S171" s="1172"/>
      <c r="T171" s="1172"/>
      <c r="U171" s="1172"/>
      <c r="V171" s="1173"/>
      <c r="W171" s="1174"/>
      <c r="X171" s="1175"/>
      <c r="Y171" s="1176"/>
      <c r="Z171" s="1177"/>
      <c r="AA171" s="1547"/>
      <c r="AB171" s="1177"/>
      <c r="AC171" s="1548"/>
      <c r="AD171" s="1549"/>
      <c r="AE171" s="1178"/>
      <c r="AF171" s="1179"/>
      <c r="AG171" s="1171"/>
      <c r="AH171" s="104"/>
      <c r="AI171" s="1172"/>
      <c r="AJ171" s="1172"/>
      <c r="AK171" s="1172"/>
      <c r="AL171" s="1173"/>
      <c r="AM171" s="1174"/>
      <c r="AN171" s="1175"/>
      <c r="AO171" s="1176"/>
      <c r="AP171" s="1177"/>
      <c r="AQ171" s="1547"/>
      <c r="AR171" s="1177"/>
      <c r="AS171" s="1548"/>
      <c r="AT171" s="1549"/>
      <c r="AU171" s="1178"/>
      <c r="AV171" s="1179"/>
      <c r="AY171" s="3">
        <v>1</v>
      </c>
    </row>
    <row r="172" spans="2:51" ht="27" customHeight="1">
      <c r="B172" s="104"/>
      <c r="C172" s="1172"/>
      <c r="D172" s="1172"/>
      <c r="E172" s="1172"/>
      <c r="F172" s="1173"/>
      <c r="G172" s="1174"/>
      <c r="H172" s="1175"/>
      <c r="I172" s="1176"/>
      <c r="J172" s="1177"/>
      <c r="K172" s="1547"/>
      <c r="L172" s="1177"/>
      <c r="M172" s="1548"/>
      <c r="N172" s="1549"/>
      <c r="O172" s="1178"/>
      <c r="P172" s="1179"/>
      <c r="Q172" s="1171"/>
      <c r="R172" s="104"/>
      <c r="S172" s="1172"/>
      <c r="T172" s="1172"/>
      <c r="U172" s="1172"/>
      <c r="V172" s="1173"/>
      <c r="W172" s="1174"/>
      <c r="X172" s="1175"/>
      <c r="Y172" s="1176"/>
      <c r="Z172" s="1177"/>
      <c r="AA172" s="1547"/>
      <c r="AB172" s="1177"/>
      <c r="AC172" s="1548"/>
      <c r="AD172" s="1549"/>
      <c r="AE172" s="1178"/>
      <c r="AF172" s="1179"/>
      <c r="AG172" s="1171"/>
      <c r="AH172" s="104"/>
      <c r="AI172" s="1172"/>
      <c r="AJ172" s="1172"/>
      <c r="AK172" s="1172"/>
      <c r="AL172" s="1173"/>
      <c r="AM172" s="1174"/>
      <c r="AN172" s="1175"/>
      <c r="AO172" s="1176"/>
      <c r="AP172" s="1177"/>
      <c r="AQ172" s="1547"/>
      <c r="AR172" s="1177"/>
      <c r="AS172" s="1548"/>
      <c r="AT172" s="1549"/>
      <c r="AU172" s="1178"/>
      <c r="AV172" s="1179"/>
      <c r="AY172" s="3">
        <v>1</v>
      </c>
    </row>
    <row r="173" spans="2:51" ht="27" customHeight="1">
      <c r="B173" s="104"/>
      <c r="C173" s="1172"/>
      <c r="D173" s="1172"/>
      <c r="E173" s="1172"/>
      <c r="F173" s="1173"/>
      <c r="G173" s="1174"/>
      <c r="H173" s="1175"/>
      <c r="I173" s="1176"/>
      <c r="J173" s="1177"/>
      <c r="K173" s="1547"/>
      <c r="L173" s="1177"/>
      <c r="M173" s="1548"/>
      <c r="N173" s="1549"/>
      <c r="O173" s="1178"/>
      <c r="P173" s="1179"/>
      <c r="Q173" s="1171"/>
      <c r="R173" s="104"/>
      <c r="S173" s="1172"/>
      <c r="T173" s="1172"/>
      <c r="U173" s="1172"/>
      <c r="V173" s="1173"/>
      <c r="W173" s="1174"/>
      <c r="X173" s="1175"/>
      <c r="Y173" s="1176"/>
      <c r="Z173" s="1177"/>
      <c r="AA173" s="1547"/>
      <c r="AB173" s="1177"/>
      <c r="AC173" s="1548"/>
      <c r="AD173" s="1549"/>
      <c r="AE173" s="1178"/>
      <c r="AF173" s="1179"/>
      <c r="AG173" s="1171"/>
      <c r="AH173" s="104"/>
      <c r="AI173" s="1172"/>
      <c r="AJ173" s="1172"/>
      <c r="AK173" s="1172"/>
      <c r="AL173" s="1173"/>
      <c r="AM173" s="1174"/>
      <c r="AN173" s="1175"/>
      <c r="AO173" s="1176"/>
      <c r="AP173" s="1177"/>
      <c r="AQ173" s="1547"/>
      <c r="AR173" s="1177"/>
      <c r="AS173" s="1548"/>
      <c r="AT173" s="1549"/>
      <c r="AU173" s="1178"/>
      <c r="AV173" s="1179"/>
      <c r="AY173" s="3">
        <v>1</v>
      </c>
    </row>
    <row r="174" spans="2:51" ht="27" customHeight="1">
      <c r="B174" s="104"/>
      <c r="C174" s="1172"/>
      <c r="D174" s="1172"/>
      <c r="E174" s="1172"/>
      <c r="F174" s="1173"/>
      <c r="G174" s="1174"/>
      <c r="H174" s="1175"/>
      <c r="I174" s="1176"/>
      <c r="J174" s="1177"/>
      <c r="K174" s="1547"/>
      <c r="L174" s="1177"/>
      <c r="M174" s="1548"/>
      <c r="N174" s="1549"/>
      <c r="O174" s="1178"/>
      <c r="P174" s="1179"/>
      <c r="Q174" s="1171"/>
      <c r="R174" s="104"/>
      <c r="S174" s="1172"/>
      <c r="T174" s="1172"/>
      <c r="U174" s="1172"/>
      <c r="V174" s="1173"/>
      <c r="W174" s="1174"/>
      <c r="X174" s="1175"/>
      <c r="Y174" s="1176"/>
      <c r="Z174" s="1177"/>
      <c r="AA174" s="1547"/>
      <c r="AB174" s="1177"/>
      <c r="AC174" s="1548"/>
      <c r="AD174" s="1549"/>
      <c r="AE174" s="1178"/>
      <c r="AF174" s="1179"/>
      <c r="AG174" s="1171"/>
      <c r="AH174" s="104"/>
      <c r="AI174" s="1172"/>
      <c r="AJ174" s="1172"/>
      <c r="AK174" s="1172"/>
      <c r="AL174" s="1173"/>
      <c r="AM174" s="1174"/>
      <c r="AN174" s="1175"/>
      <c r="AO174" s="1176"/>
      <c r="AP174" s="1177"/>
      <c r="AQ174" s="1547"/>
      <c r="AR174" s="1177"/>
      <c r="AS174" s="1548"/>
      <c r="AT174" s="1549"/>
      <c r="AU174" s="1178"/>
      <c r="AV174" s="1179"/>
      <c r="AY174" s="3">
        <v>1</v>
      </c>
    </row>
    <row r="175" spans="2:51" ht="27" customHeight="1">
      <c r="B175" s="104"/>
      <c r="C175" s="1172"/>
      <c r="D175" s="1172"/>
      <c r="E175" s="1172"/>
      <c r="F175" s="1173"/>
      <c r="G175" s="1174"/>
      <c r="H175" s="1175"/>
      <c r="I175" s="1176"/>
      <c r="J175" s="1177"/>
      <c r="K175" s="1547"/>
      <c r="L175" s="1177"/>
      <c r="M175" s="1548"/>
      <c r="N175" s="1549"/>
      <c r="O175" s="1178"/>
      <c r="P175" s="1179"/>
      <c r="Q175" s="1171"/>
      <c r="R175" s="104"/>
      <c r="S175" s="1172"/>
      <c r="T175" s="1172"/>
      <c r="U175" s="1172"/>
      <c r="V175" s="1173"/>
      <c r="W175" s="1174"/>
      <c r="X175" s="1175"/>
      <c r="Y175" s="1176"/>
      <c r="Z175" s="1177"/>
      <c r="AA175" s="1547"/>
      <c r="AB175" s="1177"/>
      <c r="AC175" s="1548"/>
      <c r="AD175" s="1549"/>
      <c r="AE175" s="1178"/>
      <c r="AF175" s="1179"/>
      <c r="AG175" s="1171"/>
      <c r="AH175" s="104"/>
      <c r="AI175" s="1172"/>
      <c r="AJ175" s="1172"/>
      <c r="AK175" s="1172"/>
      <c r="AL175" s="1173"/>
      <c r="AM175" s="1174"/>
      <c r="AN175" s="1175"/>
      <c r="AO175" s="1176"/>
      <c r="AP175" s="1177"/>
      <c r="AQ175" s="1547"/>
      <c r="AR175" s="1177"/>
      <c r="AS175" s="1548"/>
      <c r="AT175" s="1549"/>
      <c r="AU175" s="1178"/>
      <c r="AV175" s="1179"/>
      <c r="AY175" s="3">
        <v>1</v>
      </c>
    </row>
    <row r="176" spans="2:51" ht="27" customHeight="1">
      <c r="B176" s="104"/>
      <c r="C176" s="1172"/>
      <c r="D176" s="1172"/>
      <c r="E176" s="1172"/>
      <c r="F176" s="1173"/>
      <c r="G176" s="1174"/>
      <c r="H176" s="1175"/>
      <c r="I176" s="1176"/>
      <c r="J176" s="1177"/>
      <c r="K176" s="1547"/>
      <c r="L176" s="1177"/>
      <c r="M176" s="1548"/>
      <c r="N176" s="1549"/>
      <c r="O176" s="1178"/>
      <c r="P176" s="1179"/>
      <c r="Q176" s="1171"/>
      <c r="R176" s="104"/>
      <c r="S176" s="1172"/>
      <c r="T176" s="1172"/>
      <c r="U176" s="1172"/>
      <c r="V176" s="1173"/>
      <c r="W176" s="1174"/>
      <c r="X176" s="1175"/>
      <c r="Y176" s="1176"/>
      <c r="Z176" s="1177"/>
      <c r="AA176" s="1547"/>
      <c r="AB176" s="1177"/>
      <c r="AC176" s="1548"/>
      <c r="AD176" s="1549"/>
      <c r="AE176" s="1178"/>
      <c r="AF176" s="1179"/>
      <c r="AG176" s="1171"/>
      <c r="AH176" s="104"/>
      <c r="AI176" s="1172"/>
      <c r="AJ176" s="1172"/>
      <c r="AK176" s="1172"/>
      <c r="AL176" s="1173"/>
      <c r="AM176" s="1174"/>
      <c r="AN176" s="1175"/>
      <c r="AO176" s="1176"/>
      <c r="AP176" s="1177"/>
      <c r="AQ176" s="1547"/>
      <c r="AR176" s="1177"/>
      <c r="AS176" s="1548"/>
      <c r="AT176" s="1549"/>
      <c r="AU176" s="1178"/>
      <c r="AV176" s="1179"/>
      <c r="AY176" s="3">
        <v>1</v>
      </c>
    </row>
    <row r="177" spans="2:51" ht="27" customHeight="1">
      <c r="B177" s="104"/>
      <c r="C177" s="1172"/>
      <c r="D177" s="1172"/>
      <c r="E177" s="1172"/>
      <c r="F177" s="1173"/>
      <c r="G177" s="1174"/>
      <c r="H177" s="1175"/>
      <c r="I177" s="1176"/>
      <c r="J177" s="1177"/>
      <c r="K177" s="1547"/>
      <c r="L177" s="1177"/>
      <c r="M177" s="1548"/>
      <c r="N177" s="1549"/>
      <c r="O177" s="1178"/>
      <c r="P177" s="1179"/>
      <c r="Q177" s="1171"/>
      <c r="R177" s="104"/>
      <c r="S177" s="1172"/>
      <c r="T177" s="1172"/>
      <c r="U177" s="1172"/>
      <c r="V177" s="1173"/>
      <c r="W177" s="1174"/>
      <c r="X177" s="1175"/>
      <c r="Y177" s="1176"/>
      <c r="Z177" s="1177"/>
      <c r="AA177" s="1547"/>
      <c r="AB177" s="1177"/>
      <c r="AC177" s="1548"/>
      <c r="AD177" s="1549"/>
      <c r="AE177" s="1178"/>
      <c r="AF177" s="1179"/>
      <c r="AG177" s="1171"/>
      <c r="AH177" s="104"/>
      <c r="AI177" s="1172"/>
      <c r="AJ177" s="1172"/>
      <c r="AK177" s="1172"/>
      <c r="AL177" s="1173"/>
      <c r="AM177" s="1174"/>
      <c r="AN177" s="1175"/>
      <c r="AO177" s="1176"/>
      <c r="AP177" s="1177"/>
      <c r="AQ177" s="1547"/>
      <c r="AR177" s="1177"/>
      <c r="AS177" s="1548"/>
      <c r="AT177" s="1549"/>
      <c r="AU177" s="1178"/>
      <c r="AV177" s="1179"/>
      <c r="AY177" s="3">
        <v>1</v>
      </c>
    </row>
    <row r="178" spans="2:51" ht="27" customHeight="1">
      <c r="B178" s="104"/>
      <c r="C178" s="1172"/>
      <c r="D178" s="1172"/>
      <c r="E178" s="1172"/>
      <c r="F178" s="1173"/>
      <c r="G178" s="1174"/>
      <c r="H178" s="1175"/>
      <c r="I178" s="1176"/>
      <c r="J178" s="1177"/>
      <c r="K178" s="1547"/>
      <c r="L178" s="1177"/>
      <c r="M178" s="1548"/>
      <c r="N178" s="1549"/>
      <c r="O178" s="1178"/>
      <c r="P178" s="1179"/>
      <c r="Q178" s="1171"/>
      <c r="R178" s="104"/>
      <c r="S178" s="1172"/>
      <c r="T178" s="1172"/>
      <c r="U178" s="1172"/>
      <c r="V178" s="1173"/>
      <c r="W178" s="1174"/>
      <c r="X178" s="1175"/>
      <c r="Y178" s="1176"/>
      <c r="Z178" s="1177"/>
      <c r="AA178" s="1547"/>
      <c r="AB178" s="1177"/>
      <c r="AC178" s="1548"/>
      <c r="AD178" s="1549"/>
      <c r="AE178" s="1178"/>
      <c r="AF178" s="1179"/>
      <c r="AG178" s="1171"/>
      <c r="AH178" s="104"/>
      <c r="AI178" s="1172"/>
      <c r="AJ178" s="1172"/>
      <c r="AK178" s="1172"/>
      <c r="AL178" s="1173"/>
      <c r="AM178" s="1174"/>
      <c r="AN178" s="1175"/>
      <c r="AO178" s="1176"/>
      <c r="AP178" s="1177"/>
      <c r="AQ178" s="1547"/>
      <c r="AR178" s="1177"/>
      <c r="AS178" s="1548"/>
      <c r="AT178" s="1549"/>
      <c r="AU178" s="1178"/>
      <c r="AV178" s="1179"/>
      <c r="AY178" s="3">
        <v>1</v>
      </c>
    </row>
    <row r="179" spans="2:51" ht="27" customHeight="1">
      <c r="B179" s="104"/>
      <c r="C179" s="1172"/>
      <c r="D179" s="1172"/>
      <c r="E179" s="1172"/>
      <c r="F179" s="1173"/>
      <c r="G179" s="1174"/>
      <c r="H179" s="1175"/>
      <c r="I179" s="1176"/>
      <c r="J179" s="1177"/>
      <c r="K179" s="1547"/>
      <c r="L179" s="1177"/>
      <c r="M179" s="1548"/>
      <c r="N179" s="1549"/>
      <c r="O179" s="1178"/>
      <c r="P179" s="1179"/>
      <c r="Q179" s="1171"/>
      <c r="R179" s="104"/>
      <c r="S179" s="1172"/>
      <c r="T179" s="1172"/>
      <c r="U179" s="1172"/>
      <c r="V179" s="1173"/>
      <c r="W179" s="1174"/>
      <c r="X179" s="1175"/>
      <c r="Y179" s="1176"/>
      <c r="Z179" s="1177"/>
      <c r="AA179" s="1547"/>
      <c r="AB179" s="1177"/>
      <c r="AC179" s="1548"/>
      <c r="AD179" s="1549"/>
      <c r="AE179" s="1178"/>
      <c r="AF179" s="1179"/>
      <c r="AG179" s="1171"/>
      <c r="AH179" s="104"/>
      <c r="AI179" s="1172"/>
      <c r="AJ179" s="1172"/>
      <c r="AK179" s="1172"/>
      <c r="AL179" s="1173"/>
      <c r="AM179" s="1174"/>
      <c r="AN179" s="1175"/>
      <c r="AO179" s="1176"/>
      <c r="AP179" s="1177"/>
      <c r="AQ179" s="1547"/>
      <c r="AR179" s="1177"/>
      <c r="AS179" s="1548"/>
      <c r="AT179" s="1549"/>
      <c r="AU179" s="1178"/>
      <c r="AV179" s="1179"/>
      <c r="AY179" s="3">
        <v>1</v>
      </c>
    </row>
    <row r="180" spans="2:51" ht="27" customHeight="1">
      <c r="B180" s="104"/>
      <c r="C180" s="1172"/>
      <c r="D180" s="1172"/>
      <c r="E180" s="1172"/>
      <c r="F180" s="1173"/>
      <c r="G180" s="1174"/>
      <c r="H180" s="1175"/>
      <c r="I180" s="1176"/>
      <c r="J180" s="1177"/>
      <c r="K180" s="1547"/>
      <c r="L180" s="1177"/>
      <c r="M180" s="1548"/>
      <c r="N180" s="1549"/>
      <c r="O180" s="1178"/>
      <c r="P180" s="1179"/>
      <c r="Q180" s="1171"/>
      <c r="R180" s="104"/>
      <c r="S180" s="1172"/>
      <c r="T180" s="1172"/>
      <c r="U180" s="1172"/>
      <c r="V180" s="1173"/>
      <c r="W180" s="1174"/>
      <c r="X180" s="1175"/>
      <c r="Y180" s="1176"/>
      <c r="Z180" s="1177"/>
      <c r="AA180" s="1547"/>
      <c r="AB180" s="1177"/>
      <c r="AC180" s="1548"/>
      <c r="AD180" s="1549"/>
      <c r="AE180" s="1178"/>
      <c r="AF180" s="1179"/>
      <c r="AG180" s="1171"/>
      <c r="AH180" s="104"/>
      <c r="AI180" s="1172"/>
      <c r="AJ180" s="1172"/>
      <c r="AK180" s="1172"/>
      <c r="AL180" s="1173"/>
      <c r="AM180" s="1174"/>
      <c r="AN180" s="1175"/>
      <c r="AO180" s="1176"/>
      <c r="AP180" s="1177"/>
      <c r="AQ180" s="1547"/>
      <c r="AR180" s="1177"/>
      <c r="AS180" s="1548"/>
      <c r="AT180" s="1549"/>
      <c r="AU180" s="1178"/>
      <c r="AV180" s="1179"/>
      <c r="AY180" s="3">
        <v>1</v>
      </c>
    </row>
    <row r="181" spans="2:51" ht="27" customHeight="1">
      <c r="B181" s="104"/>
      <c r="C181" s="1172"/>
      <c r="D181" s="1172"/>
      <c r="E181" s="1172"/>
      <c r="F181" s="1173"/>
      <c r="G181" s="1174"/>
      <c r="H181" s="1175"/>
      <c r="I181" s="1176"/>
      <c r="J181" s="1177"/>
      <c r="K181" s="1547"/>
      <c r="L181" s="1177"/>
      <c r="M181" s="1548"/>
      <c r="N181" s="1549"/>
      <c r="O181" s="1178"/>
      <c r="P181" s="1179"/>
      <c r="Q181" s="1171"/>
      <c r="R181" s="104"/>
      <c r="S181" s="1172"/>
      <c r="T181" s="1172"/>
      <c r="U181" s="1172"/>
      <c r="V181" s="1173"/>
      <c r="W181" s="1174"/>
      <c r="X181" s="1175"/>
      <c r="Y181" s="1176"/>
      <c r="Z181" s="1177"/>
      <c r="AA181" s="1547"/>
      <c r="AB181" s="1177"/>
      <c r="AC181" s="1548"/>
      <c r="AD181" s="1549"/>
      <c r="AE181" s="1178"/>
      <c r="AF181" s="1179"/>
      <c r="AG181" s="1171"/>
      <c r="AH181" s="104"/>
      <c r="AI181" s="1172"/>
      <c r="AJ181" s="1172"/>
      <c r="AK181" s="1172"/>
      <c r="AL181" s="1173"/>
      <c r="AM181" s="1174"/>
      <c r="AN181" s="1175"/>
      <c r="AO181" s="1176"/>
      <c r="AP181" s="1177"/>
      <c r="AQ181" s="1547"/>
      <c r="AR181" s="1177"/>
      <c r="AS181" s="1548"/>
      <c r="AT181" s="1549"/>
      <c r="AU181" s="1178"/>
      <c r="AV181" s="1179"/>
      <c r="AY181" s="3">
        <v>1</v>
      </c>
    </row>
    <row r="182" spans="2:51" ht="27" customHeight="1">
      <c r="B182" s="104"/>
      <c r="C182" s="1172"/>
      <c r="D182" s="1172"/>
      <c r="E182" s="1172"/>
      <c r="F182" s="1173"/>
      <c r="G182" s="1174"/>
      <c r="H182" s="1175"/>
      <c r="I182" s="1176"/>
      <c r="J182" s="1177"/>
      <c r="K182" s="1547"/>
      <c r="L182" s="1177"/>
      <c r="M182" s="1548"/>
      <c r="N182" s="1549"/>
      <c r="O182" s="1178"/>
      <c r="P182" s="1179"/>
      <c r="Q182" s="1171"/>
      <c r="R182" s="104"/>
      <c r="S182" s="1172"/>
      <c r="T182" s="1172"/>
      <c r="U182" s="1172"/>
      <c r="V182" s="1173"/>
      <c r="W182" s="1174"/>
      <c r="X182" s="1175"/>
      <c r="Y182" s="1176"/>
      <c r="Z182" s="1177"/>
      <c r="AA182" s="1547"/>
      <c r="AB182" s="1177"/>
      <c r="AC182" s="1548"/>
      <c r="AD182" s="1549"/>
      <c r="AE182" s="1178"/>
      <c r="AF182" s="1179"/>
      <c r="AG182" s="1171"/>
      <c r="AH182" s="104"/>
      <c r="AI182" s="1172"/>
      <c r="AJ182" s="1172"/>
      <c r="AK182" s="1172"/>
      <c r="AL182" s="1173"/>
      <c r="AM182" s="1174"/>
      <c r="AN182" s="1175"/>
      <c r="AO182" s="1176"/>
      <c r="AP182" s="1177"/>
      <c r="AQ182" s="1547"/>
      <c r="AR182" s="1177"/>
      <c r="AS182" s="1548"/>
      <c r="AT182" s="1549"/>
      <c r="AU182" s="1178"/>
      <c r="AV182" s="1179"/>
      <c r="AY182" s="3">
        <v>1</v>
      </c>
    </row>
    <row r="183" spans="2:51" ht="27" customHeight="1">
      <c r="B183" s="104"/>
      <c r="C183" s="1172"/>
      <c r="D183" s="1172"/>
      <c r="E183" s="1172"/>
      <c r="F183" s="1173"/>
      <c r="G183" s="1174"/>
      <c r="H183" s="1175"/>
      <c r="I183" s="1176"/>
      <c r="J183" s="1177"/>
      <c r="K183" s="1547"/>
      <c r="L183" s="1177"/>
      <c r="M183" s="1548"/>
      <c r="N183" s="1549"/>
      <c r="O183" s="1178"/>
      <c r="P183" s="1179"/>
      <c r="Q183" s="1171"/>
      <c r="R183" s="104"/>
      <c r="S183" s="1172"/>
      <c r="T183" s="1172"/>
      <c r="U183" s="1172"/>
      <c r="V183" s="1173"/>
      <c r="W183" s="1174"/>
      <c r="X183" s="1175"/>
      <c r="Y183" s="1176"/>
      <c r="Z183" s="1177"/>
      <c r="AA183" s="1547"/>
      <c r="AB183" s="1177"/>
      <c r="AC183" s="1548"/>
      <c r="AD183" s="1549"/>
      <c r="AE183" s="1178"/>
      <c r="AF183" s="1179"/>
      <c r="AG183" s="1171"/>
      <c r="AH183" s="104"/>
      <c r="AI183" s="1172"/>
      <c r="AJ183" s="1172"/>
      <c r="AK183" s="1172"/>
      <c r="AL183" s="1173"/>
      <c r="AM183" s="1174"/>
      <c r="AN183" s="1175"/>
      <c r="AO183" s="1176"/>
      <c r="AP183" s="1177"/>
      <c r="AQ183" s="1547"/>
      <c r="AR183" s="1177"/>
      <c r="AS183" s="1548"/>
      <c r="AT183" s="1549"/>
      <c r="AU183" s="1178"/>
      <c r="AV183" s="1179"/>
      <c r="AY183" s="3">
        <v>1</v>
      </c>
    </row>
    <row r="184" spans="2:51" ht="27" customHeight="1">
      <c r="B184" s="104"/>
      <c r="C184" s="1172"/>
      <c r="D184" s="1172"/>
      <c r="E184" s="1172"/>
      <c r="F184" s="1173"/>
      <c r="G184" s="1174"/>
      <c r="H184" s="1175"/>
      <c r="I184" s="1176"/>
      <c r="J184" s="1177"/>
      <c r="K184" s="1547"/>
      <c r="L184" s="1177"/>
      <c r="M184" s="1548"/>
      <c r="N184" s="1549"/>
      <c r="O184" s="1178"/>
      <c r="P184" s="1179"/>
      <c r="Q184" s="1171"/>
      <c r="R184" s="104"/>
      <c r="S184" s="1172"/>
      <c r="T184" s="1172"/>
      <c r="U184" s="1172"/>
      <c r="V184" s="1173"/>
      <c r="W184" s="1174"/>
      <c r="X184" s="1175"/>
      <c r="Y184" s="1176"/>
      <c r="Z184" s="1177"/>
      <c r="AA184" s="1547"/>
      <c r="AB184" s="1177"/>
      <c r="AC184" s="1548"/>
      <c r="AD184" s="1549"/>
      <c r="AE184" s="1178"/>
      <c r="AF184" s="1179"/>
      <c r="AG184" s="1171"/>
      <c r="AH184" s="104"/>
      <c r="AI184" s="1172"/>
      <c r="AJ184" s="1172"/>
      <c r="AK184" s="1172"/>
      <c r="AL184" s="1173"/>
      <c r="AM184" s="1174"/>
      <c r="AN184" s="1175"/>
      <c r="AO184" s="1176"/>
      <c r="AP184" s="1177"/>
      <c r="AQ184" s="1547"/>
      <c r="AR184" s="1177"/>
      <c r="AS184" s="1548"/>
      <c r="AT184" s="1549"/>
      <c r="AU184" s="1178"/>
      <c r="AV184" s="1179"/>
      <c r="AY184" s="3">
        <v>1</v>
      </c>
    </row>
    <row r="185" spans="2:51" ht="27" customHeight="1">
      <c r="B185" s="104"/>
      <c r="C185" s="1172"/>
      <c r="D185" s="1172"/>
      <c r="E185" s="1172"/>
      <c r="F185" s="1173"/>
      <c r="G185" s="1174"/>
      <c r="H185" s="1175"/>
      <c r="I185" s="1176"/>
      <c r="J185" s="1177"/>
      <c r="K185" s="1547"/>
      <c r="L185" s="1177"/>
      <c r="M185" s="1548"/>
      <c r="N185" s="1549"/>
      <c r="O185" s="1178"/>
      <c r="P185" s="1179"/>
      <c r="Q185" s="1171"/>
      <c r="R185" s="104"/>
      <c r="S185" s="1172"/>
      <c r="T185" s="1172"/>
      <c r="U185" s="1172"/>
      <c r="V185" s="1173"/>
      <c r="W185" s="1174"/>
      <c r="X185" s="1175"/>
      <c r="Y185" s="1176"/>
      <c r="Z185" s="1177"/>
      <c r="AA185" s="1547"/>
      <c r="AB185" s="1177"/>
      <c r="AC185" s="1548"/>
      <c r="AD185" s="1549"/>
      <c r="AE185" s="1178"/>
      <c r="AF185" s="1179"/>
      <c r="AG185" s="1171"/>
      <c r="AH185" s="104"/>
      <c r="AI185" s="1172"/>
      <c r="AJ185" s="1172"/>
      <c r="AK185" s="1172"/>
      <c r="AL185" s="1173"/>
      <c r="AM185" s="1174"/>
      <c r="AN185" s="1175"/>
      <c r="AO185" s="1176"/>
      <c r="AP185" s="1177"/>
      <c r="AQ185" s="1547"/>
      <c r="AR185" s="1177"/>
      <c r="AS185" s="1548"/>
      <c r="AT185" s="1549"/>
      <c r="AU185" s="1178"/>
      <c r="AV185" s="1179"/>
      <c r="AY185" s="3">
        <v>1</v>
      </c>
    </row>
    <row r="186" spans="2:51" ht="27" customHeight="1">
      <c r="B186" s="104"/>
      <c r="C186" s="1172"/>
      <c r="D186" s="1172"/>
      <c r="E186" s="1172"/>
      <c r="F186" s="1173"/>
      <c r="G186" s="1174"/>
      <c r="H186" s="1175"/>
      <c r="I186" s="1176"/>
      <c r="J186" s="1177"/>
      <c r="K186" s="1547"/>
      <c r="L186" s="1177"/>
      <c r="M186" s="1548"/>
      <c r="N186" s="1549"/>
      <c r="O186" s="1178"/>
      <c r="P186" s="1179"/>
      <c r="Q186" s="1171"/>
      <c r="R186" s="104"/>
      <c r="S186" s="1172"/>
      <c r="T186" s="1172"/>
      <c r="U186" s="1172"/>
      <c r="V186" s="1173"/>
      <c r="W186" s="1174"/>
      <c r="X186" s="1175"/>
      <c r="Y186" s="1176"/>
      <c r="Z186" s="1177"/>
      <c r="AA186" s="1547"/>
      <c r="AB186" s="1177"/>
      <c r="AC186" s="1548"/>
      <c r="AD186" s="1549"/>
      <c r="AE186" s="1178"/>
      <c r="AF186" s="1179"/>
      <c r="AG186" s="1171"/>
      <c r="AH186" s="104"/>
      <c r="AI186" s="1172"/>
      <c r="AJ186" s="1172"/>
      <c r="AK186" s="1172"/>
      <c r="AL186" s="1173"/>
      <c r="AM186" s="1174"/>
      <c r="AN186" s="1175"/>
      <c r="AO186" s="1176"/>
      <c r="AP186" s="1177"/>
      <c r="AQ186" s="1547"/>
      <c r="AR186" s="1177"/>
      <c r="AS186" s="1548"/>
      <c r="AT186" s="1549"/>
      <c r="AU186" s="1178"/>
      <c r="AV186" s="1179"/>
      <c r="AY186" s="3">
        <v>1</v>
      </c>
    </row>
    <row r="187" spans="2:51" ht="27" customHeight="1">
      <c r="B187" s="104"/>
      <c r="C187" s="1172"/>
      <c r="D187" s="1172"/>
      <c r="E187" s="1172"/>
      <c r="F187" s="1173"/>
      <c r="G187" s="1174"/>
      <c r="H187" s="1175"/>
      <c r="I187" s="1176"/>
      <c r="J187" s="1177"/>
      <c r="K187" s="1547"/>
      <c r="L187" s="1177"/>
      <c r="M187" s="1548"/>
      <c r="N187" s="1549"/>
      <c r="O187" s="1178"/>
      <c r="P187" s="1179"/>
      <c r="Q187" s="1171"/>
      <c r="R187" s="104"/>
      <c r="S187" s="1172"/>
      <c r="T187" s="1172"/>
      <c r="U187" s="1172"/>
      <c r="V187" s="1173"/>
      <c r="W187" s="1174"/>
      <c r="X187" s="1175"/>
      <c r="Y187" s="1176"/>
      <c r="Z187" s="1177"/>
      <c r="AA187" s="1547"/>
      <c r="AB187" s="1177"/>
      <c r="AC187" s="1548"/>
      <c r="AD187" s="1549"/>
      <c r="AE187" s="1178"/>
      <c r="AF187" s="1179"/>
      <c r="AG187" s="1171"/>
      <c r="AH187" s="104"/>
      <c r="AI187" s="1172"/>
      <c r="AJ187" s="1172"/>
      <c r="AK187" s="1172"/>
      <c r="AL187" s="1173"/>
      <c r="AM187" s="1174"/>
      <c r="AN187" s="1175"/>
      <c r="AO187" s="1176"/>
      <c r="AP187" s="1177"/>
      <c r="AQ187" s="1547"/>
      <c r="AR187" s="1177"/>
      <c r="AS187" s="1548"/>
      <c r="AT187" s="1549"/>
      <c r="AU187" s="1178"/>
      <c r="AV187" s="1179"/>
      <c r="AY187" s="3">
        <v>1</v>
      </c>
    </row>
    <row r="188" spans="2:51" ht="27" customHeight="1">
      <c r="B188" s="104"/>
      <c r="C188" s="1172"/>
      <c r="D188" s="1172"/>
      <c r="E188" s="1172"/>
      <c r="F188" s="1173"/>
      <c r="G188" s="1174"/>
      <c r="H188" s="1175"/>
      <c r="I188" s="1176"/>
      <c r="J188" s="1177"/>
      <c r="K188" s="1547"/>
      <c r="L188" s="1177"/>
      <c r="M188" s="1548"/>
      <c r="N188" s="1549"/>
      <c r="O188" s="1178"/>
      <c r="P188" s="1179"/>
      <c r="Q188" s="1171"/>
      <c r="R188" s="104"/>
      <c r="S188" s="1172"/>
      <c r="T188" s="1172"/>
      <c r="U188" s="1172"/>
      <c r="V188" s="1173"/>
      <c r="W188" s="1174"/>
      <c r="X188" s="1175"/>
      <c r="Y188" s="1176"/>
      <c r="Z188" s="1177"/>
      <c r="AA188" s="1547"/>
      <c r="AB188" s="1177"/>
      <c r="AC188" s="1548"/>
      <c r="AD188" s="1549"/>
      <c r="AE188" s="1178"/>
      <c r="AF188" s="1179"/>
      <c r="AG188" s="1171"/>
      <c r="AH188" s="104"/>
      <c r="AI188" s="1172"/>
      <c r="AJ188" s="1172"/>
      <c r="AK188" s="1172"/>
      <c r="AL188" s="1173"/>
      <c r="AM188" s="1174"/>
      <c r="AN188" s="1175"/>
      <c r="AO188" s="1176"/>
      <c r="AP188" s="1177"/>
      <c r="AQ188" s="1547"/>
      <c r="AR188" s="1177"/>
      <c r="AS188" s="1548"/>
      <c r="AT188" s="1549"/>
      <c r="AU188" s="1178"/>
      <c r="AV188" s="1179"/>
      <c r="AY188" s="3">
        <v>1</v>
      </c>
    </row>
    <row r="189" spans="2:51" ht="27" customHeight="1">
      <c r="B189" s="104"/>
      <c r="C189" s="1172"/>
      <c r="D189" s="1172"/>
      <c r="E189" s="1172"/>
      <c r="F189" s="1173"/>
      <c r="G189" s="1174"/>
      <c r="H189" s="1175"/>
      <c r="I189" s="1176"/>
      <c r="J189" s="1177"/>
      <c r="K189" s="1547"/>
      <c r="L189" s="1177"/>
      <c r="M189" s="1548"/>
      <c r="N189" s="1549"/>
      <c r="O189" s="1178"/>
      <c r="P189" s="1179"/>
      <c r="Q189" s="1171"/>
      <c r="R189" s="104"/>
      <c r="S189" s="1172"/>
      <c r="T189" s="1172"/>
      <c r="U189" s="1172"/>
      <c r="V189" s="1173"/>
      <c r="W189" s="1174"/>
      <c r="X189" s="1175"/>
      <c r="Y189" s="1176"/>
      <c r="Z189" s="1177"/>
      <c r="AA189" s="1547"/>
      <c r="AB189" s="1177"/>
      <c r="AC189" s="1548"/>
      <c r="AD189" s="1549"/>
      <c r="AE189" s="1178"/>
      <c r="AF189" s="1179"/>
      <c r="AG189" s="1171"/>
      <c r="AH189" s="104"/>
      <c r="AI189" s="1172"/>
      <c r="AJ189" s="1172"/>
      <c r="AK189" s="1172"/>
      <c r="AL189" s="1173"/>
      <c r="AM189" s="1174"/>
      <c r="AN189" s="1175"/>
      <c r="AO189" s="1176"/>
      <c r="AP189" s="1177"/>
      <c r="AQ189" s="1547"/>
      <c r="AR189" s="1177"/>
      <c r="AS189" s="1548"/>
      <c r="AT189" s="1549"/>
      <c r="AU189" s="1178"/>
      <c r="AV189" s="1179"/>
      <c r="AY189" s="3">
        <v>1</v>
      </c>
    </row>
    <row r="190" spans="2:51" ht="27" customHeight="1">
      <c r="B190" s="104"/>
      <c r="C190" s="1172"/>
      <c r="D190" s="1172"/>
      <c r="E190" s="1172"/>
      <c r="F190" s="1173"/>
      <c r="G190" s="1174"/>
      <c r="H190" s="1175"/>
      <c r="I190" s="1176"/>
      <c r="J190" s="1177"/>
      <c r="K190" s="1547"/>
      <c r="L190" s="1177"/>
      <c r="M190" s="1548"/>
      <c r="N190" s="1549"/>
      <c r="O190" s="1178"/>
      <c r="P190" s="1179"/>
      <c r="Q190" s="1171"/>
      <c r="R190" s="104"/>
      <c r="S190" s="1172"/>
      <c r="T190" s="1172"/>
      <c r="U190" s="1172"/>
      <c r="V190" s="1173"/>
      <c r="W190" s="1174"/>
      <c r="X190" s="1175"/>
      <c r="Y190" s="1176"/>
      <c r="Z190" s="1177"/>
      <c r="AA190" s="1547"/>
      <c r="AB190" s="1177"/>
      <c r="AC190" s="1548"/>
      <c r="AD190" s="1549"/>
      <c r="AE190" s="1178"/>
      <c r="AF190" s="1179"/>
      <c r="AG190" s="1171"/>
      <c r="AH190" s="104"/>
      <c r="AI190" s="1172"/>
      <c r="AJ190" s="1172"/>
      <c r="AK190" s="1172"/>
      <c r="AL190" s="1173"/>
      <c r="AM190" s="1174"/>
      <c r="AN190" s="1175"/>
      <c r="AO190" s="1176"/>
      <c r="AP190" s="1177"/>
      <c r="AQ190" s="1547"/>
      <c r="AR190" s="1177"/>
      <c r="AS190" s="1548"/>
      <c r="AT190" s="1549"/>
      <c r="AU190" s="1178"/>
      <c r="AV190" s="1179"/>
      <c r="AY190" s="3">
        <v>1</v>
      </c>
    </row>
    <row r="191" spans="2:51" ht="27" customHeight="1">
      <c r="B191" s="104"/>
      <c r="C191" s="1172"/>
      <c r="D191" s="1172"/>
      <c r="E191" s="1172"/>
      <c r="F191" s="1173"/>
      <c r="G191" s="1174"/>
      <c r="H191" s="1175"/>
      <c r="I191" s="1176"/>
      <c r="J191" s="1177"/>
      <c r="K191" s="1547"/>
      <c r="L191" s="1177"/>
      <c r="M191" s="1548"/>
      <c r="N191" s="1549"/>
      <c r="O191" s="1178"/>
      <c r="P191" s="1179"/>
      <c r="Q191" s="1171"/>
      <c r="R191" s="104"/>
      <c r="S191" s="1172"/>
      <c r="T191" s="1172"/>
      <c r="U191" s="1172"/>
      <c r="V191" s="1173"/>
      <c r="W191" s="1174"/>
      <c r="X191" s="1175"/>
      <c r="Y191" s="1176"/>
      <c r="Z191" s="1177"/>
      <c r="AA191" s="1547"/>
      <c r="AB191" s="1177"/>
      <c r="AC191" s="1548"/>
      <c r="AD191" s="1549"/>
      <c r="AE191" s="1178"/>
      <c r="AF191" s="1179"/>
      <c r="AG191" s="1171"/>
      <c r="AH191" s="104"/>
      <c r="AI191" s="1172"/>
      <c r="AJ191" s="1172"/>
      <c r="AK191" s="1172"/>
      <c r="AL191" s="1173"/>
      <c r="AM191" s="1174"/>
      <c r="AN191" s="1175"/>
      <c r="AO191" s="1176"/>
      <c r="AP191" s="1177"/>
      <c r="AQ191" s="1547"/>
      <c r="AR191" s="1177"/>
      <c r="AS191" s="1548"/>
      <c r="AT191" s="1549"/>
      <c r="AU191" s="1178"/>
      <c r="AV191" s="1179"/>
      <c r="AY191" s="3">
        <v>1</v>
      </c>
    </row>
    <row r="192" spans="2:51" ht="27" customHeight="1">
      <c r="B192" s="104"/>
      <c r="C192" s="1172"/>
      <c r="D192" s="1172"/>
      <c r="E192" s="1172"/>
      <c r="F192" s="1173"/>
      <c r="G192" s="1174"/>
      <c r="H192" s="1175"/>
      <c r="I192" s="1176"/>
      <c r="J192" s="1177"/>
      <c r="K192" s="1547"/>
      <c r="L192" s="1177"/>
      <c r="M192" s="1548"/>
      <c r="N192" s="1549"/>
      <c r="O192" s="1178"/>
      <c r="P192" s="1179"/>
      <c r="Q192" s="1171"/>
      <c r="R192" s="104"/>
      <c r="S192" s="1172"/>
      <c r="T192" s="1172"/>
      <c r="U192" s="1172"/>
      <c r="V192" s="1173"/>
      <c r="W192" s="1174"/>
      <c r="X192" s="1175"/>
      <c r="Y192" s="1176"/>
      <c r="Z192" s="1177"/>
      <c r="AA192" s="1547"/>
      <c r="AB192" s="1177"/>
      <c r="AC192" s="1548"/>
      <c r="AD192" s="1549"/>
      <c r="AE192" s="1178"/>
      <c r="AF192" s="1179"/>
      <c r="AG192" s="1171"/>
      <c r="AH192" s="104"/>
      <c r="AI192" s="1172"/>
      <c r="AJ192" s="1172"/>
      <c r="AK192" s="1172"/>
      <c r="AL192" s="1173"/>
      <c r="AM192" s="1174"/>
      <c r="AN192" s="1175"/>
      <c r="AO192" s="1176"/>
      <c r="AP192" s="1177"/>
      <c r="AQ192" s="1547"/>
      <c r="AR192" s="1177"/>
      <c r="AS192" s="1548"/>
      <c r="AT192" s="1549"/>
      <c r="AU192" s="1178"/>
      <c r="AV192" s="1179"/>
      <c r="AY192" s="3">
        <v>1</v>
      </c>
    </row>
    <row r="193" spans="2:51" ht="27" customHeight="1">
      <c r="B193" s="104"/>
      <c r="C193" s="1172"/>
      <c r="D193" s="1172"/>
      <c r="E193" s="1172"/>
      <c r="F193" s="1173"/>
      <c r="G193" s="1174"/>
      <c r="H193" s="1175"/>
      <c r="I193" s="1176"/>
      <c r="J193" s="1177"/>
      <c r="K193" s="1547"/>
      <c r="L193" s="1177"/>
      <c r="M193" s="1548"/>
      <c r="N193" s="1549"/>
      <c r="O193" s="1178"/>
      <c r="P193" s="1179"/>
      <c r="Q193" s="1171"/>
      <c r="R193" s="104"/>
      <c r="S193" s="1172"/>
      <c r="T193" s="1172"/>
      <c r="U193" s="1172"/>
      <c r="V193" s="1173"/>
      <c r="W193" s="1174"/>
      <c r="X193" s="1175"/>
      <c r="Y193" s="1176"/>
      <c r="Z193" s="1177"/>
      <c r="AA193" s="1547"/>
      <c r="AB193" s="1177"/>
      <c r="AC193" s="1548"/>
      <c r="AD193" s="1549"/>
      <c r="AE193" s="1178"/>
      <c r="AF193" s="1179"/>
      <c r="AG193" s="1171"/>
      <c r="AH193" s="104"/>
      <c r="AI193" s="1172"/>
      <c r="AJ193" s="1172"/>
      <c r="AK193" s="1172"/>
      <c r="AL193" s="1173"/>
      <c r="AM193" s="1174"/>
      <c r="AN193" s="1175"/>
      <c r="AO193" s="1176"/>
      <c r="AP193" s="1177"/>
      <c r="AQ193" s="1547"/>
      <c r="AR193" s="1177"/>
      <c r="AS193" s="1548"/>
      <c r="AT193" s="1549"/>
      <c r="AU193" s="1178"/>
      <c r="AV193" s="1179"/>
      <c r="AY193" s="3">
        <v>1</v>
      </c>
    </row>
    <row r="194" spans="2:51" ht="27" customHeight="1">
      <c r="B194" s="104"/>
      <c r="C194" s="1172"/>
      <c r="D194" s="1172"/>
      <c r="E194" s="1172"/>
      <c r="F194" s="1173"/>
      <c r="G194" s="1174"/>
      <c r="H194" s="1175"/>
      <c r="I194" s="1176"/>
      <c r="J194" s="1177"/>
      <c r="K194" s="1547"/>
      <c r="L194" s="1177"/>
      <c r="M194" s="1548"/>
      <c r="N194" s="1549"/>
      <c r="O194" s="1178"/>
      <c r="P194" s="1179"/>
      <c r="Q194" s="1171"/>
      <c r="R194" s="104"/>
      <c r="S194" s="1172"/>
      <c r="T194" s="1172"/>
      <c r="U194" s="1172"/>
      <c r="V194" s="1173"/>
      <c r="W194" s="1174"/>
      <c r="X194" s="1175"/>
      <c r="Y194" s="1176"/>
      <c r="Z194" s="1177"/>
      <c r="AA194" s="1547"/>
      <c r="AB194" s="1177"/>
      <c r="AC194" s="1548"/>
      <c r="AD194" s="1549"/>
      <c r="AE194" s="1178"/>
      <c r="AF194" s="1179"/>
      <c r="AG194" s="1171"/>
      <c r="AH194" s="104"/>
      <c r="AI194" s="1172"/>
      <c r="AJ194" s="1172"/>
      <c r="AK194" s="1172"/>
      <c r="AL194" s="1173"/>
      <c r="AM194" s="1174"/>
      <c r="AN194" s="1175"/>
      <c r="AO194" s="1176"/>
      <c r="AP194" s="1177"/>
      <c r="AQ194" s="1547"/>
      <c r="AR194" s="1177"/>
      <c r="AS194" s="1548"/>
      <c r="AT194" s="1549"/>
      <c r="AU194" s="1178"/>
      <c r="AV194" s="1179"/>
      <c r="AY194" s="3">
        <v>1</v>
      </c>
    </row>
    <row r="195" spans="2:51" ht="27" customHeight="1">
      <c r="B195" s="104"/>
      <c r="C195" s="1172"/>
      <c r="D195" s="1172"/>
      <c r="E195" s="1172"/>
      <c r="F195" s="1173"/>
      <c r="G195" s="1174"/>
      <c r="H195" s="1175"/>
      <c r="I195" s="1176"/>
      <c r="J195" s="1177"/>
      <c r="K195" s="1547"/>
      <c r="L195" s="1177"/>
      <c r="M195" s="1548"/>
      <c r="N195" s="1549"/>
      <c r="O195" s="1178"/>
      <c r="P195" s="1179"/>
      <c r="Q195" s="1171"/>
      <c r="R195" s="104"/>
      <c r="S195" s="1172"/>
      <c r="T195" s="1172"/>
      <c r="U195" s="1172"/>
      <c r="V195" s="1173"/>
      <c r="W195" s="1174"/>
      <c r="X195" s="1175"/>
      <c r="Y195" s="1176"/>
      <c r="Z195" s="1177"/>
      <c r="AA195" s="1547"/>
      <c r="AB195" s="1177"/>
      <c r="AC195" s="1548"/>
      <c r="AD195" s="1549"/>
      <c r="AE195" s="1178"/>
      <c r="AF195" s="1179"/>
      <c r="AG195" s="1171"/>
      <c r="AH195" s="104"/>
      <c r="AI195" s="1172"/>
      <c r="AJ195" s="1172"/>
      <c r="AK195" s="1172"/>
      <c r="AL195" s="1173"/>
      <c r="AM195" s="1174"/>
      <c r="AN195" s="1175"/>
      <c r="AO195" s="1176"/>
      <c r="AP195" s="1177"/>
      <c r="AQ195" s="1547"/>
      <c r="AR195" s="1177"/>
      <c r="AS195" s="1548"/>
      <c r="AT195" s="1549"/>
      <c r="AU195" s="1178"/>
      <c r="AV195" s="1179"/>
      <c r="AY195" s="3">
        <v>1</v>
      </c>
    </row>
    <row r="196" spans="2:51" ht="27" customHeight="1">
      <c r="B196" s="104"/>
      <c r="C196" s="1172"/>
      <c r="D196" s="1172"/>
      <c r="E196" s="1172"/>
      <c r="F196" s="1173"/>
      <c r="G196" s="1174"/>
      <c r="H196" s="1175"/>
      <c r="I196" s="1176"/>
      <c r="J196" s="1177"/>
      <c r="K196" s="1547"/>
      <c r="L196" s="1177"/>
      <c r="M196" s="1548"/>
      <c r="N196" s="1549"/>
      <c r="O196" s="1178"/>
      <c r="P196" s="1179"/>
      <c r="Q196" s="1171"/>
      <c r="R196" s="104"/>
      <c r="S196" s="1172"/>
      <c r="T196" s="1172"/>
      <c r="U196" s="1172"/>
      <c r="V196" s="1173"/>
      <c r="W196" s="1174"/>
      <c r="X196" s="1175"/>
      <c r="Y196" s="1176"/>
      <c r="Z196" s="1177"/>
      <c r="AA196" s="1547"/>
      <c r="AB196" s="1177"/>
      <c r="AC196" s="1548"/>
      <c r="AD196" s="1549"/>
      <c r="AE196" s="1178"/>
      <c r="AF196" s="1179"/>
      <c r="AG196" s="1171"/>
      <c r="AH196" s="104"/>
      <c r="AI196" s="1172"/>
      <c r="AJ196" s="1172"/>
      <c r="AK196" s="1172"/>
      <c r="AL196" s="1173"/>
      <c r="AM196" s="1174"/>
      <c r="AN196" s="1175"/>
      <c r="AO196" s="1176"/>
      <c r="AP196" s="1177"/>
      <c r="AQ196" s="1547"/>
      <c r="AR196" s="1177"/>
      <c r="AS196" s="1548"/>
      <c r="AT196" s="1549"/>
      <c r="AU196" s="1178"/>
      <c r="AV196" s="1179"/>
      <c r="AY196" s="3">
        <v>1</v>
      </c>
    </row>
    <row r="197" spans="2:51" ht="27" customHeight="1">
      <c r="B197" s="104"/>
      <c r="C197" s="1172"/>
      <c r="D197" s="1172"/>
      <c r="E197" s="1172"/>
      <c r="F197" s="1173"/>
      <c r="G197" s="1174"/>
      <c r="H197" s="1175"/>
      <c r="I197" s="1176"/>
      <c r="J197" s="1177"/>
      <c r="K197" s="1547"/>
      <c r="L197" s="1177"/>
      <c r="M197" s="1548"/>
      <c r="N197" s="1549"/>
      <c r="O197" s="1178"/>
      <c r="P197" s="1179"/>
      <c r="Q197" s="1171"/>
      <c r="R197" s="104"/>
      <c r="S197" s="1172"/>
      <c r="T197" s="1172"/>
      <c r="U197" s="1172"/>
      <c r="V197" s="1173"/>
      <c r="W197" s="1174"/>
      <c r="X197" s="1175"/>
      <c r="Y197" s="1176"/>
      <c r="Z197" s="1177"/>
      <c r="AA197" s="1547"/>
      <c r="AB197" s="1177"/>
      <c r="AC197" s="1548"/>
      <c r="AD197" s="1549"/>
      <c r="AE197" s="1178"/>
      <c r="AF197" s="1179"/>
      <c r="AG197" s="1171"/>
      <c r="AH197" s="104"/>
      <c r="AI197" s="1172"/>
      <c r="AJ197" s="1172"/>
      <c r="AK197" s="1172"/>
      <c r="AL197" s="1173"/>
      <c r="AM197" s="1174"/>
      <c r="AN197" s="1175"/>
      <c r="AO197" s="1176"/>
      <c r="AP197" s="1177"/>
      <c r="AQ197" s="1547"/>
      <c r="AR197" s="1177"/>
      <c r="AS197" s="1548"/>
      <c r="AT197" s="1549"/>
      <c r="AU197" s="1178"/>
      <c r="AV197" s="1179"/>
      <c r="AY197" s="3">
        <v>1</v>
      </c>
    </row>
    <row r="198" spans="2:51" ht="27" customHeight="1">
      <c r="B198" s="104"/>
      <c r="C198" s="1172"/>
      <c r="D198" s="1172"/>
      <c r="E198" s="1172"/>
      <c r="F198" s="1173"/>
      <c r="G198" s="1174"/>
      <c r="H198" s="1175"/>
      <c r="I198" s="1176"/>
      <c r="J198" s="1177"/>
      <c r="K198" s="1547"/>
      <c r="L198" s="1177"/>
      <c r="M198" s="1548"/>
      <c r="N198" s="1549"/>
      <c r="O198" s="1178"/>
      <c r="P198" s="1179"/>
      <c r="Q198" s="1171"/>
      <c r="R198" s="104"/>
      <c r="S198" s="1172"/>
      <c r="T198" s="1172"/>
      <c r="U198" s="1172"/>
      <c r="V198" s="1173"/>
      <c r="W198" s="1174"/>
      <c r="X198" s="1175"/>
      <c r="Y198" s="1176"/>
      <c r="Z198" s="1177"/>
      <c r="AA198" s="1547"/>
      <c r="AB198" s="1177"/>
      <c r="AC198" s="1548"/>
      <c r="AD198" s="1549"/>
      <c r="AE198" s="1178"/>
      <c r="AF198" s="1179"/>
      <c r="AG198" s="1171"/>
      <c r="AH198" s="104"/>
      <c r="AI198" s="1172"/>
      <c r="AJ198" s="1172"/>
      <c r="AK198" s="1172"/>
      <c r="AL198" s="1173"/>
      <c r="AM198" s="1174"/>
      <c r="AN198" s="1175"/>
      <c r="AO198" s="1176"/>
      <c r="AP198" s="1177"/>
      <c r="AQ198" s="1547"/>
      <c r="AR198" s="1177"/>
      <c r="AS198" s="1548"/>
      <c r="AT198" s="1549"/>
      <c r="AU198" s="1178"/>
      <c r="AV198" s="1179"/>
      <c r="AY198" s="3">
        <v>1</v>
      </c>
    </row>
    <row r="199" spans="2:51" ht="27" customHeight="1">
      <c r="B199" s="104"/>
      <c r="C199" s="1172"/>
      <c r="D199" s="1172"/>
      <c r="E199" s="1172"/>
      <c r="F199" s="1173"/>
      <c r="G199" s="1174"/>
      <c r="H199" s="1175"/>
      <c r="I199" s="1176"/>
      <c r="J199" s="1177"/>
      <c r="K199" s="1547"/>
      <c r="L199" s="1177"/>
      <c r="M199" s="1548"/>
      <c r="N199" s="1549"/>
      <c r="O199" s="1178"/>
      <c r="P199" s="1179"/>
      <c r="Q199" s="1171"/>
      <c r="R199" s="104"/>
      <c r="S199" s="1172"/>
      <c r="T199" s="1172"/>
      <c r="U199" s="1172"/>
      <c r="V199" s="1173"/>
      <c r="W199" s="1174"/>
      <c r="X199" s="1175"/>
      <c r="Y199" s="1176"/>
      <c r="Z199" s="1177"/>
      <c r="AA199" s="1547"/>
      <c r="AB199" s="1177"/>
      <c r="AC199" s="1548"/>
      <c r="AD199" s="1549"/>
      <c r="AE199" s="1178"/>
      <c r="AF199" s="1179"/>
      <c r="AG199" s="1171"/>
      <c r="AH199" s="104"/>
      <c r="AI199" s="1172"/>
      <c r="AJ199" s="1172"/>
      <c r="AK199" s="1172"/>
      <c r="AL199" s="1173"/>
      <c r="AM199" s="1174"/>
      <c r="AN199" s="1175"/>
      <c r="AO199" s="1176"/>
      <c r="AP199" s="1177"/>
      <c r="AQ199" s="1547"/>
      <c r="AR199" s="1177"/>
      <c r="AS199" s="1548"/>
      <c r="AT199" s="1549"/>
      <c r="AU199" s="1178"/>
      <c r="AV199" s="1179"/>
      <c r="AY199" s="3">
        <v>1</v>
      </c>
    </row>
    <row r="200" spans="2:51" ht="27" customHeight="1">
      <c r="B200" s="104"/>
      <c r="C200" s="1172"/>
      <c r="D200" s="1172"/>
      <c r="E200" s="1172"/>
      <c r="F200" s="1173"/>
      <c r="G200" s="1174"/>
      <c r="H200" s="1175"/>
      <c r="I200" s="1176"/>
      <c r="J200" s="1177"/>
      <c r="K200" s="1547"/>
      <c r="L200" s="1177"/>
      <c r="M200" s="1548"/>
      <c r="N200" s="1549"/>
      <c r="O200" s="1178"/>
      <c r="P200" s="1179"/>
      <c r="Q200" s="1171"/>
      <c r="R200" s="104"/>
      <c r="S200" s="1172"/>
      <c r="T200" s="1172"/>
      <c r="U200" s="1172"/>
      <c r="V200" s="1173"/>
      <c r="W200" s="1174"/>
      <c r="X200" s="1175"/>
      <c r="Y200" s="1176"/>
      <c r="Z200" s="1177"/>
      <c r="AA200" s="1547"/>
      <c r="AB200" s="1177"/>
      <c r="AC200" s="1548"/>
      <c r="AD200" s="1549"/>
      <c r="AE200" s="1178"/>
      <c r="AF200" s="1179"/>
      <c r="AG200" s="1171"/>
      <c r="AH200" s="104"/>
      <c r="AI200" s="1172"/>
      <c r="AJ200" s="1172"/>
      <c r="AK200" s="1172"/>
      <c r="AL200" s="1173"/>
      <c r="AM200" s="1174"/>
      <c r="AN200" s="1175"/>
      <c r="AO200" s="1176"/>
      <c r="AP200" s="1177"/>
      <c r="AQ200" s="1547"/>
      <c r="AR200" s="1177"/>
      <c r="AS200" s="1548"/>
      <c r="AT200" s="1549"/>
      <c r="AU200" s="1178"/>
      <c r="AV200" s="1179"/>
      <c r="AY200" s="3">
        <v>1</v>
      </c>
    </row>
    <row r="201" spans="2:51" ht="27" customHeight="1">
      <c r="B201" s="104"/>
      <c r="C201" s="1172"/>
      <c r="D201" s="1172"/>
      <c r="E201" s="1172"/>
      <c r="F201" s="1173"/>
      <c r="G201" s="1174"/>
      <c r="H201" s="1175"/>
      <c r="I201" s="1176"/>
      <c r="J201" s="1177"/>
      <c r="K201" s="1547"/>
      <c r="L201" s="1177"/>
      <c r="M201" s="1548"/>
      <c r="N201" s="1549"/>
      <c r="O201" s="1178"/>
      <c r="P201" s="1179"/>
      <c r="Q201" s="1171"/>
      <c r="R201" s="104"/>
      <c r="S201" s="1172"/>
      <c r="T201" s="1172"/>
      <c r="U201" s="1172"/>
      <c r="V201" s="1173"/>
      <c r="W201" s="1174"/>
      <c r="X201" s="1175"/>
      <c r="Y201" s="1176"/>
      <c r="Z201" s="1177"/>
      <c r="AA201" s="1547"/>
      <c r="AB201" s="1177"/>
      <c r="AC201" s="1548"/>
      <c r="AD201" s="1549"/>
      <c r="AE201" s="1178"/>
      <c r="AF201" s="1179"/>
      <c r="AG201" s="1171"/>
      <c r="AH201" s="104"/>
      <c r="AI201" s="1172"/>
      <c r="AJ201" s="1172"/>
      <c r="AK201" s="1172"/>
      <c r="AL201" s="1173"/>
      <c r="AM201" s="1174"/>
      <c r="AN201" s="1175"/>
      <c r="AO201" s="1176"/>
      <c r="AP201" s="1177"/>
      <c r="AQ201" s="1547"/>
      <c r="AR201" s="1177"/>
      <c r="AS201" s="1548"/>
      <c r="AT201" s="1549"/>
      <c r="AU201" s="1178"/>
      <c r="AV201" s="1179"/>
      <c r="AY201" s="3">
        <v>1</v>
      </c>
    </row>
    <row r="202" spans="2:51" ht="27" customHeight="1">
      <c r="B202" s="104"/>
      <c r="C202" s="1172"/>
      <c r="D202" s="1172"/>
      <c r="E202" s="1172"/>
      <c r="F202" s="1173"/>
      <c r="G202" s="1174"/>
      <c r="H202" s="1175"/>
      <c r="I202" s="1176"/>
      <c r="J202" s="1177"/>
      <c r="K202" s="1547"/>
      <c r="L202" s="1177"/>
      <c r="M202" s="1548"/>
      <c r="N202" s="1549"/>
      <c r="O202" s="1178"/>
      <c r="P202" s="1179"/>
      <c r="Q202" s="1171"/>
      <c r="R202" s="104"/>
      <c r="S202" s="1172"/>
      <c r="T202" s="1172"/>
      <c r="U202" s="1172"/>
      <c r="V202" s="1173"/>
      <c r="W202" s="1174"/>
      <c r="X202" s="1175"/>
      <c r="Y202" s="1176"/>
      <c r="Z202" s="1177"/>
      <c r="AA202" s="1547"/>
      <c r="AB202" s="1177"/>
      <c r="AC202" s="1548"/>
      <c r="AD202" s="1549"/>
      <c r="AE202" s="1178"/>
      <c r="AF202" s="1179"/>
      <c r="AG202" s="1171"/>
      <c r="AH202" s="104"/>
      <c r="AI202" s="1172"/>
      <c r="AJ202" s="1172"/>
      <c r="AK202" s="1172"/>
      <c r="AL202" s="1173"/>
      <c r="AM202" s="1174"/>
      <c r="AN202" s="1175"/>
      <c r="AO202" s="1176"/>
      <c r="AP202" s="1177"/>
      <c r="AQ202" s="1547"/>
      <c r="AR202" s="1177"/>
      <c r="AS202" s="1548"/>
      <c r="AT202" s="1549"/>
      <c r="AU202" s="1178"/>
      <c r="AV202" s="1179"/>
      <c r="AY202" s="3">
        <v>1</v>
      </c>
    </row>
    <row r="203" spans="2:51" ht="27" customHeight="1">
      <c r="B203" s="104"/>
      <c r="C203" s="1172"/>
      <c r="D203" s="1172"/>
      <c r="E203" s="1172"/>
      <c r="F203" s="1173"/>
      <c r="G203" s="1174"/>
      <c r="H203" s="1175"/>
      <c r="I203" s="1176"/>
      <c r="J203" s="1177"/>
      <c r="K203" s="1547"/>
      <c r="L203" s="1177"/>
      <c r="M203" s="1548"/>
      <c r="N203" s="1549"/>
      <c r="O203" s="1178"/>
      <c r="P203" s="1179"/>
      <c r="Q203" s="1171"/>
      <c r="R203" s="104"/>
      <c r="S203" s="1172"/>
      <c r="T203" s="1172"/>
      <c r="U203" s="1172"/>
      <c r="V203" s="1173"/>
      <c r="W203" s="1174"/>
      <c r="X203" s="1175"/>
      <c r="Y203" s="1176"/>
      <c r="Z203" s="1177"/>
      <c r="AA203" s="1547"/>
      <c r="AB203" s="1177"/>
      <c r="AC203" s="1548"/>
      <c r="AD203" s="1549"/>
      <c r="AE203" s="1178"/>
      <c r="AF203" s="1179"/>
      <c r="AG203" s="1171"/>
      <c r="AH203" s="104"/>
      <c r="AI203" s="1172"/>
      <c r="AJ203" s="1172"/>
      <c r="AK203" s="1172"/>
      <c r="AL203" s="1173"/>
      <c r="AM203" s="1174"/>
      <c r="AN203" s="1175"/>
      <c r="AO203" s="1176"/>
      <c r="AP203" s="1177"/>
      <c r="AQ203" s="1547"/>
      <c r="AR203" s="1177"/>
      <c r="AS203" s="1548"/>
      <c r="AT203" s="1549"/>
      <c r="AU203" s="1178"/>
      <c r="AV203" s="1179"/>
      <c r="AY203" s="3">
        <v>1</v>
      </c>
    </row>
    <row r="204" spans="2:51" ht="27" customHeight="1">
      <c r="B204" s="104"/>
      <c r="C204" s="1172"/>
      <c r="D204" s="1172"/>
      <c r="E204" s="1172"/>
      <c r="F204" s="1173"/>
      <c r="G204" s="1174"/>
      <c r="H204" s="1175"/>
      <c r="I204" s="1176"/>
      <c r="J204" s="1177"/>
      <c r="K204" s="1547"/>
      <c r="L204" s="1177"/>
      <c r="M204" s="1548"/>
      <c r="N204" s="1549"/>
      <c r="O204" s="1178"/>
      <c r="P204" s="1179"/>
      <c r="Q204" s="1171"/>
      <c r="R204" s="104"/>
      <c r="S204" s="1172"/>
      <c r="T204" s="1172"/>
      <c r="U204" s="1172"/>
      <c r="V204" s="1173"/>
      <c r="W204" s="1174"/>
      <c r="X204" s="1175"/>
      <c r="Y204" s="1176"/>
      <c r="Z204" s="1177"/>
      <c r="AA204" s="1547"/>
      <c r="AB204" s="1177"/>
      <c r="AC204" s="1548"/>
      <c r="AD204" s="1549"/>
      <c r="AE204" s="1178"/>
      <c r="AF204" s="1179"/>
      <c r="AG204" s="1171"/>
      <c r="AH204" s="104"/>
      <c r="AI204" s="1172"/>
      <c r="AJ204" s="1172"/>
      <c r="AK204" s="1172"/>
      <c r="AL204" s="1173"/>
      <c r="AM204" s="1174"/>
      <c r="AN204" s="1175"/>
      <c r="AO204" s="1176"/>
      <c r="AP204" s="1177"/>
      <c r="AQ204" s="1547"/>
      <c r="AR204" s="1177"/>
      <c r="AS204" s="1548"/>
      <c r="AT204" s="1549"/>
      <c r="AU204" s="1178"/>
      <c r="AV204" s="1179"/>
      <c r="AY204" s="3">
        <v>1</v>
      </c>
    </row>
    <row r="205" spans="2:51" ht="27" customHeight="1">
      <c r="B205" s="104"/>
      <c r="C205" s="1172"/>
      <c r="D205" s="1172"/>
      <c r="E205" s="1172"/>
      <c r="F205" s="1173"/>
      <c r="G205" s="1174"/>
      <c r="H205" s="1175"/>
      <c r="I205" s="1176"/>
      <c r="J205" s="1177"/>
      <c r="K205" s="1547"/>
      <c r="L205" s="1177"/>
      <c r="M205" s="1548"/>
      <c r="N205" s="1549"/>
      <c r="O205" s="1178"/>
      <c r="P205" s="1179"/>
      <c r="Q205" s="1171"/>
      <c r="R205" s="104"/>
      <c r="S205" s="1172"/>
      <c r="T205" s="1172"/>
      <c r="U205" s="1172"/>
      <c r="V205" s="1173"/>
      <c r="W205" s="1174"/>
      <c r="X205" s="1175"/>
      <c r="Y205" s="1176"/>
      <c r="Z205" s="1177"/>
      <c r="AA205" s="1547"/>
      <c r="AB205" s="1177"/>
      <c r="AC205" s="1548"/>
      <c r="AD205" s="1549"/>
      <c r="AE205" s="1178"/>
      <c r="AF205" s="1179"/>
      <c r="AG205" s="1171"/>
      <c r="AH205" s="104"/>
      <c r="AI205" s="1172"/>
      <c r="AJ205" s="1172"/>
      <c r="AK205" s="1172"/>
      <c r="AL205" s="1173"/>
      <c r="AM205" s="1174"/>
      <c r="AN205" s="1175"/>
      <c r="AO205" s="1176"/>
      <c r="AP205" s="1177"/>
      <c r="AQ205" s="1547"/>
      <c r="AR205" s="1177"/>
      <c r="AS205" s="1548"/>
      <c r="AT205" s="1549"/>
      <c r="AU205" s="1178"/>
      <c r="AV205" s="1179"/>
      <c r="AY205" s="3">
        <v>1</v>
      </c>
    </row>
    <row r="206" spans="2:51" ht="27" customHeight="1">
      <c r="B206" s="104"/>
      <c r="C206" s="1172"/>
      <c r="D206" s="1172"/>
      <c r="E206" s="1172"/>
      <c r="F206" s="1173"/>
      <c r="G206" s="1174"/>
      <c r="H206" s="1175"/>
      <c r="I206" s="1176"/>
      <c r="J206" s="1177"/>
      <c r="K206" s="1547"/>
      <c r="L206" s="1177"/>
      <c r="M206" s="1548"/>
      <c r="N206" s="1549"/>
      <c r="O206" s="1178"/>
      <c r="P206" s="1179"/>
      <c r="Q206" s="1171"/>
      <c r="R206" s="104"/>
      <c r="S206" s="1172"/>
      <c r="T206" s="1172"/>
      <c r="U206" s="1172"/>
      <c r="V206" s="1173"/>
      <c r="W206" s="1174"/>
      <c r="X206" s="1175"/>
      <c r="Y206" s="1176"/>
      <c r="Z206" s="1177"/>
      <c r="AA206" s="1547"/>
      <c r="AB206" s="1177"/>
      <c r="AC206" s="1548"/>
      <c r="AD206" s="1549"/>
      <c r="AE206" s="1178"/>
      <c r="AF206" s="1179"/>
      <c r="AG206" s="1171"/>
      <c r="AH206" s="104"/>
      <c r="AI206" s="1172"/>
      <c r="AJ206" s="1172"/>
      <c r="AK206" s="1172"/>
      <c r="AL206" s="1173"/>
      <c r="AM206" s="1174"/>
      <c r="AN206" s="1175"/>
      <c r="AO206" s="1176"/>
      <c r="AP206" s="1177"/>
      <c r="AQ206" s="1547"/>
      <c r="AR206" s="1177"/>
      <c r="AS206" s="1548"/>
      <c r="AT206" s="1549"/>
      <c r="AU206" s="1178"/>
      <c r="AV206" s="1179"/>
      <c r="AY206" s="3">
        <v>1</v>
      </c>
    </row>
    <row r="207" spans="2:51" ht="27" customHeight="1">
      <c r="B207" s="104"/>
      <c r="C207" s="1172"/>
      <c r="D207" s="1172"/>
      <c r="E207" s="1172"/>
      <c r="F207" s="1173"/>
      <c r="G207" s="1174"/>
      <c r="H207" s="1175"/>
      <c r="I207" s="1176"/>
      <c r="J207" s="1177"/>
      <c r="K207" s="1547"/>
      <c r="L207" s="1177"/>
      <c r="M207" s="1548"/>
      <c r="N207" s="1549"/>
      <c r="O207" s="1178"/>
      <c r="P207" s="1179"/>
      <c r="Q207" s="1171"/>
      <c r="R207" s="104"/>
      <c r="S207" s="1172"/>
      <c r="T207" s="1172"/>
      <c r="U207" s="1172"/>
      <c r="V207" s="1173"/>
      <c r="W207" s="1174"/>
      <c r="X207" s="1175"/>
      <c r="Y207" s="1176"/>
      <c r="Z207" s="1177"/>
      <c r="AA207" s="1547"/>
      <c r="AB207" s="1177"/>
      <c r="AC207" s="1548"/>
      <c r="AD207" s="1549"/>
      <c r="AE207" s="1178"/>
      <c r="AF207" s="1179"/>
      <c r="AG207" s="1171"/>
      <c r="AH207" s="104"/>
      <c r="AI207" s="1172"/>
      <c r="AJ207" s="1172"/>
      <c r="AK207" s="1172"/>
      <c r="AL207" s="1173"/>
      <c r="AM207" s="1174"/>
      <c r="AN207" s="1175"/>
      <c r="AO207" s="1176"/>
      <c r="AP207" s="1177"/>
      <c r="AQ207" s="1547"/>
      <c r="AR207" s="1177"/>
      <c r="AS207" s="1548"/>
      <c r="AT207" s="1549"/>
      <c r="AU207" s="1178"/>
      <c r="AV207" s="1179"/>
      <c r="AY207" s="3">
        <v>1</v>
      </c>
    </row>
    <row r="208" spans="2:51" ht="27" customHeight="1">
      <c r="B208" s="104"/>
      <c r="C208" s="1172"/>
      <c r="D208" s="1172"/>
      <c r="E208" s="1172"/>
      <c r="F208" s="1173"/>
      <c r="G208" s="1174"/>
      <c r="H208" s="1175"/>
      <c r="I208" s="1176"/>
      <c r="J208" s="1177"/>
      <c r="K208" s="1547"/>
      <c r="L208" s="1177"/>
      <c r="M208" s="1548"/>
      <c r="N208" s="1549"/>
      <c r="O208" s="1178"/>
      <c r="P208" s="1179"/>
      <c r="Q208" s="1171"/>
      <c r="R208" s="104"/>
      <c r="S208" s="1172"/>
      <c r="T208" s="1172"/>
      <c r="U208" s="1172"/>
      <c r="V208" s="1173"/>
      <c r="W208" s="1174"/>
      <c r="X208" s="1175"/>
      <c r="Y208" s="1176"/>
      <c r="Z208" s="1177"/>
      <c r="AA208" s="1547"/>
      <c r="AB208" s="1177"/>
      <c r="AC208" s="1548"/>
      <c r="AD208" s="1549"/>
      <c r="AE208" s="1178"/>
      <c r="AF208" s="1179"/>
      <c r="AG208" s="1171"/>
      <c r="AH208" s="104"/>
      <c r="AI208" s="1172"/>
      <c r="AJ208" s="1172"/>
      <c r="AK208" s="1172"/>
      <c r="AL208" s="1173"/>
      <c r="AM208" s="1174"/>
      <c r="AN208" s="1175"/>
      <c r="AO208" s="1176"/>
      <c r="AP208" s="1177"/>
      <c r="AQ208" s="1547"/>
      <c r="AR208" s="1177"/>
      <c r="AS208" s="1548"/>
      <c r="AT208" s="1549"/>
      <c r="AU208" s="1178"/>
      <c r="AV208" s="1179"/>
      <c r="AY208" s="3">
        <v>1</v>
      </c>
    </row>
    <row r="209" spans="2:51" ht="27" customHeight="1">
      <c r="B209" s="104"/>
      <c r="C209" s="1172"/>
      <c r="D209" s="1172"/>
      <c r="E209" s="1172"/>
      <c r="F209" s="1173"/>
      <c r="G209" s="1174"/>
      <c r="H209" s="1175"/>
      <c r="I209" s="1176"/>
      <c r="J209" s="1177"/>
      <c r="K209" s="1547"/>
      <c r="L209" s="1177"/>
      <c r="M209" s="1548"/>
      <c r="N209" s="1549"/>
      <c r="O209" s="1178"/>
      <c r="P209" s="1179"/>
      <c r="Q209" s="1171"/>
      <c r="R209" s="104"/>
      <c r="S209" s="1172"/>
      <c r="T209" s="1172"/>
      <c r="U209" s="1172"/>
      <c r="V209" s="1173"/>
      <c r="W209" s="1174"/>
      <c r="X209" s="1175"/>
      <c r="Y209" s="1176"/>
      <c r="Z209" s="1177"/>
      <c r="AA209" s="1547"/>
      <c r="AB209" s="1177"/>
      <c r="AC209" s="1548"/>
      <c r="AD209" s="1549"/>
      <c r="AE209" s="1178"/>
      <c r="AF209" s="1179"/>
      <c r="AG209" s="1171"/>
      <c r="AH209" s="104"/>
      <c r="AI209" s="1172"/>
      <c r="AJ209" s="1172"/>
      <c r="AK209" s="1172"/>
      <c r="AL209" s="1173"/>
      <c r="AM209" s="1174"/>
      <c r="AN209" s="1175"/>
      <c r="AO209" s="1176"/>
      <c r="AP209" s="1177"/>
      <c r="AQ209" s="1547"/>
      <c r="AR209" s="1177"/>
      <c r="AS209" s="1548"/>
      <c r="AT209" s="1549"/>
      <c r="AU209" s="1178"/>
      <c r="AV209" s="1179"/>
      <c r="AY209" s="3">
        <v>1</v>
      </c>
    </row>
    <row r="210" spans="2:51" ht="27" customHeight="1">
      <c r="B210" s="104"/>
      <c r="C210" s="1172"/>
      <c r="D210" s="1172"/>
      <c r="E210" s="1172"/>
      <c r="F210" s="1173"/>
      <c r="G210" s="1174"/>
      <c r="H210" s="1175"/>
      <c r="I210" s="1176"/>
      <c r="J210" s="1177"/>
      <c r="K210" s="1547"/>
      <c r="L210" s="1177"/>
      <c r="M210" s="1548"/>
      <c r="N210" s="1549"/>
      <c r="O210" s="1178"/>
      <c r="P210" s="1179"/>
      <c r="Q210" s="1171"/>
      <c r="R210" s="104"/>
      <c r="S210" s="1172"/>
      <c r="T210" s="1172"/>
      <c r="U210" s="1172"/>
      <c r="V210" s="1173"/>
      <c r="W210" s="1174"/>
      <c r="X210" s="1175"/>
      <c r="Y210" s="1176"/>
      <c r="Z210" s="1177"/>
      <c r="AA210" s="1547"/>
      <c r="AB210" s="1177"/>
      <c r="AC210" s="1548"/>
      <c r="AD210" s="1549"/>
      <c r="AE210" s="1178"/>
      <c r="AF210" s="1179"/>
      <c r="AG210" s="1171"/>
      <c r="AH210" s="104"/>
      <c r="AI210" s="1172"/>
      <c r="AJ210" s="1172"/>
      <c r="AK210" s="1172"/>
      <c r="AL210" s="1173"/>
      <c r="AM210" s="1174"/>
      <c r="AN210" s="1175"/>
      <c r="AO210" s="1176"/>
      <c r="AP210" s="1177"/>
      <c r="AQ210" s="1547"/>
      <c r="AR210" s="1177"/>
      <c r="AS210" s="1548"/>
      <c r="AT210" s="1549"/>
      <c r="AU210" s="1178"/>
      <c r="AV210" s="1179"/>
      <c r="AY210" s="3">
        <v>1</v>
      </c>
    </row>
    <row r="211" spans="2:51" ht="27" customHeight="1">
      <c r="B211" s="104"/>
      <c r="C211" s="1172"/>
      <c r="D211" s="1172"/>
      <c r="E211" s="1172"/>
      <c r="F211" s="1173"/>
      <c r="G211" s="1174"/>
      <c r="H211" s="1175"/>
      <c r="I211" s="1176"/>
      <c r="J211" s="1177"/>
      <c r="K211" s="1547"/>
      <c r="L211" s="1177"/>
      <c r="M211" s="1548"/>
      <c r="N211" s="1549"/>
      <c r="O211" s="1178"/>
      <c r="P211" s="1179"/>
      <c r="Q211" s="1171"/>
      <c r="R211" s="104"/>
      <c r="S211" s="1172"/>
      <c r="T211" s="1172"/>
      <c r="U211" s="1172"/>
      <c r="V211" s="1173"/>
      <c r="W211" s="1174"/>
      <c r="X211" s="1175"/>
      <c r="Y211" s="1176"/>
      <c r="Z211" s="1177"/>
      <c r="AA211" s="1547"/>
      <c r="AB211" s="1177"/>
      <c r="AC211" s="1548"/>
      <c r="AD211" s="1549"/>
      <c r="AE211" s="1178"/>
      <c r="AF211" s="1179"/>
      <c r="AG211" s="1171"/>
      <c r="AH211" s="104"/>
      <c r="AI211" s="1172"/>
      <c r="AJ211" s="1172"/>
      <c r="AK211" s="1172"/>
      <c r="AL211" s="1173"/>
      <c r="AM211" s="1174"/>
      <c r="AN211" s="1175"/>
      <c r="AO211" s="1176"/>
      <c r="AP211" s="1177"/>
      <c r="AQ211" s="1547"/>
      <c r="AR211" s="1177"/>
      <c r="AS211" s="1548"/>
      <c r="AT211" s="1549"/>
      <c r="AU211" s="1178"/>
      <c r="AV211" s="1179"/>
      <c r="AY211" s="3">
        <v>1</v>
      </c>
    </row>
    <row r="212" spans="2:51" ht="27" customHeight="1">
      <c r="B212" s="104"/>
      <c r="C212" s="1172"/>
      <c r="D212" s="1172"/>
      <c r="E212" s="1172"/>
      <c r="F212" s="1173"/>
      <c r="G212" s="1174"/>
      <c r="H212" s="1175"/>
      <c r="I212" s="1176"/>
      <c r="J212" s="1177"/>
      <c r="K212" s="1547"/>
      <c r="L212" s="1177"/>
      <c r="M212" s="1548"/>
      <c r="N212" s="1549"/>
      <c r="O212" s="1178"/>
      <c r="P212" s="1179"/>
      <c r="Q212" s="1171"/>
      <c r="R212" s="104"/>
      <c r="S212" s="1172"/>
      <c r="T212" s="1172"/>
      <c r="U212" s="1172"/>
      <c r="V212" s="1173"/>
      <c r="W212" s="1174"/>
      <c r="X212" s="1175"/>
      <c r="Y212" s="1176"/>
      <c r="Z212" s="1177"/>
      <c r="AA212" s="1547"/>
      <c r="AB212" s="1177"/>
      <c r="AC212" s="1548"/>
      <c r="AD212" s="1549"/>
      <c r="AE212" s="1178"/>
      <c r="AF212" s="1179"/>
      <c r="AG212" s="1171"/>
      <c r="AH212" s="104"/>
      <c r="AI212" s="1172"/>
      <c r="AJ212" s="1172"/>
      <c r="AK212" s="1172"/>
      <c r="AL212" s="1173"/>
      <c r="AM212" s="1174"/>
      <c r="AN212" s="1175"/>
      <c r="AO212" s="1176"/>
      <c r="AP212" s="1177"/>
      <c r="AQ212" s="1547"/>
      <c r="AR212" s="1177"/>
      <c r="AS212" s="1548"/>
      <c r="AT212" s="1549"/>
      <c r="AU212" s="1178"/>
      <c r="AV212" s="1179"/>
      <c r="AY212" s="3">
        <v>1</v>
      </c>
    </row>
    <row r="213" spans="2:51" ht="27" customHeight="1">
      <c r="B213" s="104"/>
      <c r="C213" s="1172"/>
      <c r="D213" s="1172"/>
      <c r="E213" s="1172"/>
      <c r="F213" s="1173"/>
      <c r="G213" s="1174"/>
      <c r="H213" s="1175"/>
      <c r="I213" s="1176"/>
      <c r="J213" s="1177"/>
      <c r="K213" s="1547"/>
      <c r="L213" s="1177"/>
      <c r="M213" s="1548"/>
      <c r="N213" s="1549"/>
      <c r="O213" s="1178"/>
      <c r="P213" s="1179"/>
      <c r="Q213" s="1171"/>
      <c r="R213" s="104"/>
      <c r="S213" s="1172"/>
      <c r="T213" s="1172"/>
      <c r="U213" s="1172"/>
      <c r="V213" s="1173"/>
      <c r="W213" s="1174"/>
      <c r="X213" s="1175"/>
      <c r="Y213" s="1176"/>
      <c r="Z213" s="1177"/>
      <c r="AA213" s="1547"/>
      <c r="AB213" s="1177"/>
      <c r="AC213" s="1548"/>
      <c r="AD213" s="1549"/>
      <c r="AE213" s="1178"/>
      <c r="AF213" s="1179"/>
      <c r="AG213" s="1171"/>
      <c r="AH213" s="104"/>
      <c r="AI213" s="1172"/>
      <c r="AJ213" s="1172"/>
      <c r="AK213" s="1172"/>
      <c r="AL213" s="1173"/>
      <c r="AM213" s="1174"/>
      <c r="AN213" s="1175"/>
      <c r="AO213" s="1176"/>
      <c r="AP213" s="1177"/>
      <c r="AQ213" s="1547"/>
      <c r="AR213" s="1177"/>
      <c r="AS213" s="1548"/>
      <c r="AT213" s="1549"/>
      <c r="AU213" s="1178"/>
      <c r="AV213" s="1179"/>
      <c r="AY213" s="3">
        <v>1</v>
      </c>
    </row>
    <row r="214" spans="2:51" ht="27" customHeight="1">
      <c r="B214" s="104"/>
      <c r="C214" s="1172"/>
      <c r="D214" s="1172"/>
      <c r="E214" s="1172"/>
      <c r="F214" s="1173"/>
      <c r="G214" s="1174"/>
      <c r="H214" s="1175"/>
      <c r="I214" s="1176"/>
      <c r="J214" s="1177"/>
      <c r="K214" s="1547"/>
      <c r="L214" s="1177"/>
      <c r="M214" s="1548"/>
      <c r="N214" s="1549"/>
      <c r="O214" s="1178"/>
      <c r="P214" s="1179"/>
      <c r="Q214" s="1171"/>
      <c r="R214" s="104"/>
      <c r="S214" s="1172"/>
      <c r="T214" s="1172"/>
      <c r="U214" s="1172"/>
      <c r="V214" s="1173"/>
      <c r="W214" s="1174"/>
      <c r="X214" s="1175"/>
      <c r="Y214" s="1176"/>
      <c r="Z214" s="1177"/>
      <c r="AA214" s="1547"/>
      <c r="AB214" s="1177"/>
      <c r="AC214" s="1548"/>
      <c r="AD214" s="1549"/>
      <c r="AE214" s="1178"/>
      <c r="AF214" s="1179"/>
      <c r="AG214" s="1171"/>
      <c r="AH214" s="104"/>
      <c r="AI214" s="1172"/>
      <c r="AJ214" s="1172"/>
      <c r="AK214" s="1172"/>
      <c r="AL214" s="1173"/>
      <c r="AM214" s="1174"/>
      <c r="AN214" s="1175"/>
      <c r="AO214" s="1176"/>
      <c r="AP214" s="1177"/>
      <c r="AQ214" s="1547"/>
      <c r="AR214" s="1177"/>
      <c r="AS214" s="1548"/>
      <c r="AT214" s="1549"/>
      <c r="AU214" s="1178"/>
      <c r="AV214" s="1179"/>
      <c r="AY214" s="3">
        <v>1</v>
      </c>
    </row>
    <row r="215" spans="2:51" ht="27" customHeight="1">
      <c r="B215" s="104"/>
      <c r="C215" s="1172"/>
      <c r="D215" s="1172"/>
      <c r="E215" s="1172"/>
      <c r="F215" s="1173"/>
      <c r="G215" s="1174"/>
      <c r="H215" s="1175"/>
      <c r="I215" s="1176"/>
      <c r="J215" s="1177"/>
      <c r="K215" s="1547"/>
      <c r="L215" s="1177"/>
      <c r="M215" s="1548"/>
      <c r="N215" s="1549"/>
      <c r="O215" s="1178"/>
      <c r="P215" s="1179"/>
      <c r="Q215" s="1171"/>
      <c r="R215" s="104"/>
      <c r="S215" s="1172"/>
      <c r="T215" s="1172"/>
      <c r="U215" s="1172"/>
      <c r="V215" s="1173"/>
      <c r="W215" s="1174"/>
      <c r="X215" s="1175"/>
      <c r="Y215" s="1176"/>
      <c r="Z215" s="1177"/>
      <c r="AA215" s="1547"/>
      <c r="AB215" s="1177"/>
      <c r="AC215" s="1548"/>
      <c r="AD215" s="1549"/>
      <c r="AE215" s="1178"/>
      <c r="AF215" s="1179"/>
      <c r="AG215" s="1171"/>
      <c r="AH215" s="104"/>
      <c r="AI215" s="1172"/>
      <c r="AJ215" s="1172"/>
      <c r="AK215" s="1172"/>
      <c r="AL215" s="1173"/>
      <c r="AM215" s="1174"/>
      <c r="AN215" s="1175"/>
      <c r="AO215" s="1176"/>
      <c r="AP215" s="1177"/>
      <c r="AQ215" s="1547"/>
      <c r="AR215" s="1177"/>
      <c r="AS215" s="1548"/>
      <c r="AT215" s="1549"/>
      <c r="AU215" s="1178"/>
      <c r="AV215" s="1179"/>
      <c r="AY215" s="3">
        <v>1</v>
      </c>
    </row>
    <row r="216" spans="2:51" ht="27" customHeight="1">
      <c r="B216" s="104"/>
      <c r="C216" s="1172"/>
      <c r="D216" s="1172"/>
      <c r="E216" s="1172"/>
      <c r="F216" s="1173"/>
      <c r="G216" s="1174"/>
      <c r="H216" s="1175"/>
      <c r="I216" s="1176"/>
      <c r="J216" s="1177"/>
      <c r="K216" s="1547"/>
      <c r="L216" s="1177"/>
      <c r="M216" s="1548"/>
      <c r="N216" s="1549"/>
      <c r="O216" s="1178"/>
      <c r="P216" s="1179"/>
      <c r="Q216" s="1171"/>
      <c r="R216" s="104"/>
      <c r="S216" s="1172"/>
      <c r="T216" s="1172"/>
      <c r="U216" s="1172"/>
      <c r="V216" s="1173"/>
      <c r="W216" s="1174"/>
      <c r="X216" s="1175"/>
      <c r="Y216" s="1176"/>
      <c r="Z216" s="1177"/>
      <c r="AA216" s="1547"/>
      <c r="AB216" s="1177"/>
      <c r="AC216" s="1548"/>
      <c r="AD216" s="1549"/>
      <c r="AE216" s="1178"/>
      <c r="AF216" s="1179"/>
      <c r="AG216" s="1171"/>
      <c r="AH216" s="104"/>
      <c r="AI216" s="1172"/>
      <c r="AJ216" s="1172"/>
      <c r="AK216" s="1172"/>
      <c r="AL216" s="1173"/>
      <c r="AM216" s="1174"/>
      <c r="AN216" s="1175"/>
      <c r="AO216" s="1176"/>
      <c r="AP216" s="1177"/>
      <c r="AQ216" s="1547"/>
      <c r="AR216" s="1177"/>
      <c r="AS216" s="1548"/>
      <c r="AT216" s="1549"/>
      <c r="AU216" s="1178"/>
      <c r="AV216" s="1179"/>
      <c r="AY216" s="3">
        <v>1</v>
      </c>
    </row>
    <row r="217" spans="2:51" ht="27" customHeight="1">
      <c r="B217" s="104"/>
      <c r="C217" s="1172"/>
      <c r="D217" s="1172"/>
      <c r="E217" s="1172"/>
      <c r="F217" s="1173"/>
      <c r="G217" s="1174"/>
      <c r="H217" s="1175"/>
      <c r="I217" s="1176"/>
      <c r="J217" s="1177"/>
      <c r="K217" s="1547"/>
      <c r="L217" s="1177"/>
      <c r="M217" s="1548"/>
      <c r="N217" s="1549"/>
      <c r="O217" s="1178"/>
      <c r="P217" s="1179"/>
      <c r="Q217" s="1171"/>
      <c r="R217" s="104"/>
      <c r="S217" s="1172"/>
      <c r="T217" s="1172"/>
      <c r="U217" s="1172"/>
      <c r="V217" s="1173"/>
      <c r="W217" s="1174"/>
      <c r="X217" s="1175"/>
      <c r="Y217" s="1176"/>
      <c r="Z217" s="1177"/>
      <c r="AA217" s="1547"/>
      <c r="AB217" s="1177"/>
      <c r="AC217" s="1548"/>
      <c r="AD217" s="1549"/>
      <c r="AE217" s="1178"/>
      <c r="AF217" s="1179"/>
      <c r="AG217" s="1171"/>
      <c r="AH217" s="104"/>
      <c r="AI217" s="1172"/>
      <c r="AJ217" s="1172"/>
      <c r="AK217" s="1172"/>
      <c r="AL217" s="1173"/>
      <c r="AM217" s="1174"/>
      <c r="AN217" s="1175"/>
      <c r="AO217" s="1176"/>
      <c r="AP217" s="1177"/>
      <c r="AQ217" s="1547"/>
      <c r="AR217" s="1177"/>
      <c r="AS217" s="1548"/>
      <c r="AT217" s="1549"/>
      <c r="AU217" s="1178"/>
      <c r="AV217" s="1179"/>
      <c r="AY217" s="3">
        <v>1</v>
      </c>
    </row>
    <row r="218" spans="2:51" ht="27" customHeight="1">
      <c r="B218" s="104"/>
      <c r="C218" s="1172"/>
      <c r="D218" s="1172"/>
      <c r="E218" s="1172"/>
      <c r="F218" s="1173"/>
      <c r="G218" s="1174"/>
      <c r="H218" s="1175"/>
      <c r="I218" s="1176"/>
      <c r="J218" s="1177"/>
      <c r="K218" s="1547"/>
      <c r="L218" s="1177"/>
      <c r="M218" s="1548"/>
      <c r="N218" s="1549"/>
      <c r="O218" s="1178"/>
      <c r="P218" s="1179"/>
      <c r="Q218" s="1171"/>
      <c r="R218" s="104"/>
      <c r="S218" s="1172"/>
      <c r="T218" s="1172"/>
      <c r="U218" s="1172"/>
      <c r="V218" s="1173"/>
      <c r="W218" s="1174"/>
      <c r="X218" s="1175"/>
      <c r="Y218" s="1176"/>
      <c r="Z218" s="1177"/>
      <c r="AA218" s="1547"/>
      <c r="AB218" s="1177"/>
      <c r="AC218" s="1548"/>
      <c r="AD218" s="1549"/>
      <c r="AE218" s="1178"/>
      <c r="AF218" s="1179"/>
      <c r="AG218" s="1171"/>
      <c r="AH218" s="104"/>
      <c r="AI218" s="1172"/>
      <c r="AJ218" s="1172"/>
      <c r="AK218" s="1172"/>
      <c r="AL218" s="1173"/>
      <c r="AM218" s="1174"/>
      <c r="AN218" s="1175"/>
      <c r="AO218" s="1176"/>
      <c r="AP218" s="1177"/>
      <c r="AQ218" s="1547"/>
      <c r="AR218" s="1177"/>
      <c r="AS218" s="1548"/>
      <c r="AT218" s="1549"/>
      <c r="AU218" s="1178"/>
      <c r="AV218" s="1179"/>
      <c r="AY218" s="3">
        <v>1</v>
      </c>
    </row>
    <row r="219" spans="2:51" ht="27" customHeight="1">
      <c r="B219" s="104"/>
      <c r="C219" s="1172"/>
      <c r="D219" s="1172"/>
      <c r="E219" s="1172"/>
      <c r="F219" s="1173"/>
      <c r="G219" s="1174"/>
      <c r="H219" s="1175"/>
      <c r="I219" s="1176"/>
      <c r="J219" s="1177"/>
      <c r="K219" s="1547"/>
      <c r="L219" s="1177"/>
      <c r="M219" s="1548"/>
      <c r="N219" s="1549"/>
      <c r="O219" s="1178"/>
      <c r="P219" s="1179"/>
      <c r="Q219" s="1171"/>
      <c r="R219" s="104"/>
      <c r="S219" s="1172"/>
      <c r="T219" s="1172"/>
      <c r="U219" s="1172"/>
      <c r="V219" s="1173"/>
      <c r="W219" s="1174"/>
      <c r="X219" s="1175"/>
      <c r="Y219" s="1176"/>
      <c r="Z219" s="1177"/>
      <c r="AA219" s="1547"/>
      <c r="AB219" s="1177"/>
      <c r="AC219" s="1548"/>
      <c r="AD219" s="1549"/>
      <c r="AE219" s="1178"/>
      <c r="AF219" s="1179"/>
      <c r="AG219" s="1171"/>
      <c r="AH219" s="104"/>
      <c r="AI219" s="1172"/>
      <c r="AJ219" s="1172"/>
      <c r="AK219" s="1172"/>
      <c r="AL219" s="1173"/>
      <c r="AM219" s="1174"/>
      <c r="AN219" s="1175"/>
      <c r="AO219" s="1176"/>
      <c r="AP219" s="1177"/>
      <c r="AQ219" s="1547"/>
      <c r="AR219" s="1177"/>
      <c r="AS219" s="1548"/>
      <c r="AT219" s="1549"/>
      <c r="AU219" s="1178"/>
      <c r="AV219" s="1179"/>
      <c r="AY219" s="3">
        <v>1</v>
      </c>
    </row>
    <row r="220" spans="2:51" ht="27" customHeight="1">
      <c r="B220" s="104"/>
      <c r="C220" s="1172"/>
      <c r="D220" s="1172"/>
      <c r="E220" s="1172"/>
      <c r="F220" s="1173"/>
      <c r="G220" s="1174"/>
      <c r="H220" s="1175"/>
      <c r="I220" s="1176"/>
      <c r="J220" s="1177"/>
      <c r="K220" s="1547"/>
      <c r="L220" s="1177"/>
      <c r="M220" s="1548"/>
      <c r="N220" s="1549"/>
      <c r="O220" s="1178"/>
      <c r="P220" s="1179"/>
      <c r="Q220" s="1171"/>
      <c r="R220" s="104"/>
      <c r="S220" s="1172"/>
      <c r="T220" s="1172"/>
      <c r="U220" s="1172"/>
      <c r="V220" s="1173"/>
      <c r="W220" s="1174"/>
      <c r="X220" s="1175"/>
      <c r="Y220" s="1176"/>
      <c r="Z220" s="1177"/>
      <c r="AA220" s="1547"/>
      <c r="AB220" s="1177"/>
      <c r="AC220" s="1548"/>
      <c r="AD220" s="1549"/>
      <c r="AE220" s="1178"/>
      <c r="AF220" s="1179"/>
      <c r="AG220" s="1171"/>
      <c r="AH220" s="104"/>
      <c r="AI220" s="1172"/>
      <c r="AJ220" s="1172"/>
      <c r="AK220" s="1172"/>
      <c r="AL220" s="1173"/>
      <c r="AM220" s="1174"/>
      <c r="AN220" s="1175"/>
      <c r="AO220" s="1176"/>
      <c r="AP220" s="1177"/>
      <c r="AQ220" s="1547"/>
      <c r="AR220" s="1177"/>
      <c r="AS220" s="1548"/>
      <c r="AT220" s="1549"/>
      <c r="AU220" s="1178"/>
      <c r="AV220" s="1179"/>
      <c r="AY220" s="3">
        <v>1</v>
      </c>
    </row>
    <row r="221" spans="2:51" ht="27" customHeight="1">
      <c r="B221" s="104"/>
      <c r="C221" s="1172"/>
      <c r="D221" s="1172"/>
      <c r="E221" s="1172"/>
      <c r="F221" s="1173"/>
      <c r="G221" s="1174"/>
      <c r="H221" s="1175"/>
      <c r="I221" s="1176"/>
      <c r="J221" s="1177"/>
      <c r="K221" s="1547"/>
      <c r="L221" s="1177"/>
      <c r="M221" s="1548"/>
      <c r="N221" s="1549"/>
      <c r="O221" s="1178"/>
      <c r="P221" s="1179"/>
      <c r="Q221" s="1171"/>
      <c r="R221" s="104"/>
      <c r="S221" s="1172"/>
      <c r="T221" s="1172"/>
      <c r="U221" s="1172"/>
      <c r="V221" s="1173"/>
      <c r="W221" s="1174"/>
      <c r="X221" s="1175"/>
      <c r="Y221" s="1176"/>
      <c r="Z221" s="1177"/>
      <c r="AA221" s="1547"/>
      <c r="AB221" s="1177"/>
      <c r="AC221" s="1548"/>
      <c r="AD221" s="1549"/>
      <c r="AE221" s="1178"/>
      <c r="AF221" s="1179"/>
      <c r="AG221" s="1171"/>
      <c r="AH221" s="104"/>
      <c r="AI221" s="1172"/>
      <c r="AJ221" s="1172"/>
      <c r="AK221" s="1172"/>
      <c r="AL221" s="1173"/>
      <c r="AM221" s="1174"/>
      <c r="AN221" s="1175"/>
      <c r="AO221" s="1176"/>
      <c r="AP221" s="1177"/>
      <c r="AQ221" s="1547"/>
      <c r="AR221" s="1177"/>
      <c r="AS221" s="1548"/>
      <c r="AT221" s="1549"/>
      <c r="AU221" s="1178"/>
      <c r="AV221" s="1179"/>
      <c r="AY221" s="3">
        <v>1</v>
      </c>
    </row>
    <row r="222" spans="2:51" ht="27" customHeight="1">
      <c r="B222" s="104"/>
      <c r="C222" s="1172"/>
      <c r="D222" s="1172"/>
      <c r="E222" s="1172"/>
      <c r="F222" s="1173"/>
      <c r="G222" s="1174"/>
      <c r="H222" s="1175"/>
      <c r="I222" s="1176"/>
      <c r="J222" s="1177"/>
      <c r="K222" s="1547"/>
      <c r="L222" s="1177"/>
      <c r="M222" s="1548"/>
      <c r="N222" s="1549"/>
      <c r="O222" s="1178"/>
      <c r="P222" s="1179"/>
      <c r="Q222" s="1171"/>
      <c r="R222" s="104"/>
      <c r="S222" s="1172"/>
      <c r="T222" s="1172"/>
      <c r="U222" s="1172"/>
      <c r="V222" s="1173"/>
      <c r="W222" s="1174"/>
      <c r="X222" s="1175"/>
      <c r="Y222" s="1176"/>
      <c r="Z222" s="1177"/>
      <c r="AA222" s="1547"/>
      <c r="AB222" s="1177"/>
      <c r="AC222" s="1548"/>
      <c r="AD222" s="1549"/>
      <c r="AE222" s="1178"/>
      <c r="AF222" s="1179"/>
      <c r="AG222" s="1171"/>
      <c r="AH222" s="104"/>
      <c r="AI222" s="1172"/>
      <c r="AJ222" s="1172"/>
      <c r="AK222" s="1172"/>
      <c r="AL222" s="1173"/>
      <c r="AM222" s="1174"/>
      <c r="AN222" s="1175"/>
      <c r="AO222" s="1176"/>
      <c r="AP222" s="1177"/>
      <c r="AQ222" s="1547"/>
      <c r="AR222" s="1177"/>
      <c r="AS222" s="1548"/>
      <c r="AT222" s="1549"/>
      <c r="AU222" s="1178"/>
      <c r="AV222" s="1179"/>
      <c r="AY222" s="3">
        <v>1</v>
      </c>
    </row>
    <row r="223" spans="2:51" ht="27" customHeight="1">
      <c r="B223" s="104"/>
      <c r="C223" s="1172"/>
      <c r="D223" s="1172"/>
      <c r="E223" s="1172"/>
      <c r="F223" s="1173"/>
      <c r="G223" s="1174"/>
      <c r="H223" s="1175"/>
      <c r="I223" s="1176"/>
      <c r="J223" s="1177"/>
      <c r="K223" s="1547"/>
      <c r="L223" s="1177"/>
      <c r="M223" s="1548"/>
      <c r="N223" s="1549"/>
      <c r="O223" s="1178"/>
      <c r="P223" s="1179"/>
      <c r="Q223" s="1171"/>
      <c r="R223" s="104"/>
      <c r="S223" s="1172"/>
      <c r="T223" s="1172"/>
      <c r="U223" s="1172"/>
      <c r="V223" s="1173"/>
      <c r="W223" s="1174"/>
      <c r="X223" s="1175"/>
      <c r="Y223" s="1176"/>
      <c r="Z223" s="1177"/>
      <c r="AA223" s="1547"/>
      <c r="AB223" s="1177"/>
      <c r="AC223" s="1548"/>
      <c r="AD223" s="1549"/>
      <c r="AE223" s="1178"/>
      <c r="AF223" s="1179"/>
      <c r="AG223" s="1171"/>
      <c r="AH223" s="104"/>
      <c r="AI223" s="1172"/>
      <c r="AJ223" s="1172"/>
      <c r="AK223" s="1172"/>
      <c r="AL223" s="1173"/>
      <c r="AM223" s="1174"/>
      <c r="AN223" s="1175"/>
      <c r="AO223" s="1176"/>
      <c r="AP223" s="1177"/>
      <c r="AQ223" s="1547"/>
      <c r="AR223" s="1177"/>
      <c r="AS223" s="1548"/>
      <c r="AT223" s="1549"/>
      <c r="AU223" s="1178"/>
      <c r="AV223" s="1179"/>
      <c r="AY223" s="3">
        <v>1</v>
      </c>
    </row>
    <row r="224" spans="2:51" ht="27" customHeight="1">
      <c r="B224" s="104"/>
      <c r="C224" s="1172"/>
      <c r="D224" s="1172"/>
      <c r="E224" s="1172"/>
      <c r="F224" s="1173"/>
      <c r="G224" s="1174"/>
      <c r="H224" s="1175"/>
      <c r="I224" s="1176"/>
      <c r="J224" s="1177"/>
      <c r="K224" s="1547"/>
      <c r="L224" s="1177"/>
      <c r="M224" s="1548"/>
      <c r="N224" s="1549"/>
      <c r="O224" s="1178"/>
      <c r="P224" s="1179"/>
      <c r="Q224" s="1171"/>
      <c r="R224" s="104"/>
      <c r="S224" s="1172"/>
      <c r="T224" s="1172"/>
      <c r="U224" s="1172"/>
      <c r="V224" s="1173"/>
      <c r="W224" s="1174"/>
      <c r="X224" s="1175"/>
      <c r="Y224" s="1176"/>
      <c r="Z224" s="1177"/>
      <c r="AA224" s="1547"/>
      <c r="AB224" s="1177"/>
      <c r="AC224" s="1548"/>
      <c r="AD224" s="1549"/>
      <c r="AE224" s="1178"/>
      <c r="AF224" s="1179"/>
      <c r="AG224" s="1171"/>
      <c r="AH224" s="104"/>
      <c r="AI224" s="1172"/>
      <c r="AJ224" s="1172"/>
      <c r="AK224" s="1172"/>
      <c r="AL224" s="1173"/>
      <c r="AM224" s="1174"/>
      <c r="AN224" s="1175"/>
      <c r="AO224" s="1176"/>
      <c r="AP224" s="1177"/>
      <c r="AQ224" s="1547"/>
      <c r="AR224" s="1177"/>
      <c r="AS224" s="1548"/>
      <c r="AT224" s="1549"/>
      <c r="AU224" s="1178"/>
      <c r="AV224" s="1179"/>
      <c r="AY224" s="3">
        <v>1</v>
      </c>
    </row>
    <row r="225" spans="2:51" ht="27" customHeight="1">
      <c r="B225" s="104"/>
      <c r="C225" s="1172"/>
      <c r="D225" s="1172"/>
      <c r="E225" s="1172"/>
      <c r="F225" s="1173"/>
      <c r="G225" s="1174"/>
      <c r="H225" s="1175"/>
      <c r="I225" s="1176"/>
      <c r="J225" s="1177"/>
      <c r="K225" s="1547"/>
      <c r="L225" s="1177"/>
      <c r="M225" s="1548"/>
      <c r="N225" s="1549"/>
      <c r="O225" s="1178"/>
      <c r="P225" s="1179"/>
      <c r="Q225" s="1171"/>
      <c r="R225" s="104"/>
      <c r="S225" s="1172"/>
      <c r="T225" s="1172"/>
      <c r="U225" s="1172"/>
      <c r="V225" s="1173"/>
      <c r="W225" s="1174"/>
      <c r="X225" s="1175"/>
      <c r="Y225" s="1176"/>
      <c r="Z225" s="1177"/>
      <c r="AA225" s="1547"/>
      <c r="AB225" s="1177"/>
      <c r="AC225" s="1548"/>
      <c r="AD225" s="1549"/>
      <c r="AE225" s="1178"/>
      <c r="AF225" s="1179"/>
      <c r="AG225" s="1171"/>
      <c r="AH225" s="104"/>
      <c r="AI225" s="1172"/>
      <c r="AJ225" s="1172"/>
      <c r="AK225" s="1172"/>
      <c r="AL225" s="1173"/>
      <c r="AM225" s="1174"/>
      <c r="AN225" s="1175"/>
      <c r="AO225" s="1176"/>
      <c r="AP225" s="1177"/>
      <c r="AQ225" s="1547"/>
      <c r="AR225" s="1177"/>
      <c r="AS225" s="1548"/>
      <c r="AT225" s="1549"/>
      <c r="AU225" s="1178"/>
      <c r="AV225" s="1179"/>
      <c r="AY225" s="3">
        <v>1</v>
      </c>
    </row>
    <row r="226" spans="2:51" ht="27" customHeight="1">
      <c r="B226" s="104"/>
      <c r="C226" s="1172"/>
      <c r="D226" s="1172"/>
      <c r="E226" s="1172"/>
      <c r="F226" s="1173"/>
      <c r="G226" s="1174"/>
      <c r="H226" s="1175"/>
      <c r="I226" s="1176"/>
      <c r="J226" s="1177"/>
      <c r="K226" s="1547"/>
      <c r="L226" s="1177"/>
      <c r="M226" s="1548"/>
      <c r="N226" s="1549"/>
      <c r="O226" s="1178"/>
      <c r="P226" s="1179"/>
      <c r="Q226" s="1171"/>
      <c r="R226" s="104"/>
      <c r="S226" s="1172"/>
      <c r="T226" s="1172"/>
      <c r="U226" s="1172"/>
      <c r="V226" s="1173"/>
      <c r="W226" s="1174"/>
      <c r="X226" s="1175"/>
      <c r="Y226" s="1176"/>
      <c r="Z226" s="1177"/>
      <c r="AA226" s="1547"/>
      <c r="AB226" s="1177"/>
      <c r="AC226" s="1548"/>
      <c r="AD226" s="1549"/>
      <c r="AE226" s="1178"/>
      <c r="AF226" s="1179"/>
      <c r="AG226" s="1171"/>
      <c r="AH226" s="104"/>
      <c r="AI226" s="1172"/>
      <c r="AJ226" s="1172"/>
      <c r="AK226" s="1172"/>
      <c r="AL226" s="1173"/>
      <c r="AM226" s="1174"/>
      <c r="AN226" s="1175"/>
      <c r="AO226" s="1176"/>
      <c r="AP226" s="1177"/>
      <c r="AQ226" s="1547"/>
      <c r="AR226" s="1177"/>
      <c r="AS226" s="1548"/>
      <c r="AT226" s="1549"/>
      <c r="AU226" s="1178"/>
      <c r="AV226" s="1179"/>
      <c r="AY226" s="3">
        <v>1</v>
      </c>
    </row>
    <row r="227" spans="2:51" ht="27" customHeight="1">
      <c r="B227" s="104"/>
      <c r="C227" s="1172"/>
      <c r="D227" s="1172"/>
      <c r="E227" s="1172"/>
      <c r="F227" s="1173"/>
      <c r="G227" s="1174"/>
      <c r="H227" s="1175"/>
      <c r="I227" s="1176"/>
      <c r="J227" s="1177"/>
      <c r="K227" s="1547"/>
      <c r="L227" s="1177"/>
      <c r="M227" s="1548"/>
      <c r="N227" s="1549"/>
      <c r="O227" s="1178"/>
      <c r="P227" s="1179"/>
      <c r="Q227" s="1171"/>
      <c r="R227" s="104"/>
      <c r="S227" s="1172"/>
      <c r="T227" s="1172"/>
      <c r="U227" s="1172"/>
      <c r="V227" s="1173"/>
      <c r="W227" s="1174"/>
      <c r="X227" s="1175"/>
      <c r="Y227" s="1176"/>
      <c r="Z227" s="1177"/>
      <c r="AA227" s="1547"/>
      <c r="AB227" s="1177"/>
      <c r="AC227" s="1548"/>
      <c r="AD227" s="1549"/>
      <c r="AE227" s="1178"/>
      <c r="AF227" s="1179"/>
      <c r="AG227" s="1171"/>
      <c r="AH227" s="104"/>
      <c r="AI227" s="1172"/>
      <c r="AJ227" s="1172"/>
      <c r="AK227" s="1172"/>
      <c r="AL227" s="1173"/>
      <c r="AM227" s="1174"/>
      <c r="AN227" s="1175"/>
      <c r="AO227" s="1176"/>
      <c r="AP227" s="1177"/>
      <c r="AQ227" s="1547"/>
      <c r="AR227" s="1177"/>
      <c r="AS227" s="1548"/>
      <c r="AT227" s="1549"/>
      <c r="AU227" s="1178"/>
      <c r="AV227" s="1179"/>
      <c r="AY227" s="3">
        <v>1</v>
      </c>
    </row>
    <row r="228" spans="2:51" ht="27" customHeight="1">
      <c r="B228" s="104"/>
      <c r="C228" s="1172"/>
      <c r="D228" s="1172"/>
      <c r="E228" s="1172"/>
      <c r="F228" s="1173"/>
      <c r="G228" s="1174"/>
      <c r="H228" s="1175"/>
      <c r="I228" s="1176"/>
      <c r="J228" s="1177"/>
      <c r="K228" s="1547"/>
      <c r="L228" s="1177"/>
      <c r="M228" s="1548"/>
      <c r="N228" s="1549"/>
      <c r="O228" s="1178"/>
      <c r="P228" s="1179"/>
      <c r="Q228" s="1180"/>
      <c r="R228" s="104"/>
      <c r="S228" s="1172"/>
      <c r="T228" s="1172"/>
      <c r="U228" s="1172"/>
      <c r="V228" s="1173"/>
      <c r="W228" s="1174"/>
      <c r="X228" s="1175"/>
      <c r="Y228" s="1176"/>
      <c r="Z228" s="1177"/>
      <c r="AA228" s="1547"/>
      <c r="AB228" s="1177"/>
      <c r="AC228" s="1548"/>
      <c r="AD228" s="1549"/>
      <c r="AE228" s="1178"/>
      <c r="AF228" s="1179"/>
      <c r="AG228" s="1171"/>
      <c r="AH228" s="104"/>
      <c r="AI228" s="1172"/>
      <c r="AJ228" s="1172"/>
      <c r="AK228" s="1172"/>
      <c r="AL228" s="1173"/>
      <c r="AM228" s="1174"/>
      <c r="AN228" s="1175"/>
      <c r="AO228" s="1176"/>
      <c r="AP228" s="1177"/>
      <c r="AQ228" s="1547"/>
      <c r="AR228" s="1177"/>
      <c r="AS228" s="1548"/>
      <c r="AT228" s="1549"/>
      <c r="AU228" s="1178"/>
      <c r="AV228" s="1179"/>
      <c r="AY228" s="3">
        <v>1</v>
      </c>
    </row>
    <row r="229" spans="2:51" ht="27" customHeight="1">
      <c r="B229" s="104"/>
      <c r="C229" s="1172"/>
      <c r="D229" s="1172"/>
      <c r="E229" s="1172"/>
      <c r="F229" s="1173"/>
      <c r="G229" s="1174"/>
      <c r="H229" s="1175"/>
      <c r="I229" s="1176"/>
      <c r="J229" s="1177"/>
      <c r="K229" s="1547"/>
      <c r="L229" s="1177"/>
      <c r="M229" s="1548"/>
      <c r="N229" s="1549"/>
      <c r="O229" s="1178"/>
      <c r="P229" s="1179"/>
      <c r="Q229" s="1180"/>
      <c r="R229" s="104"/>
      <c r="S229" s="1172"/>
      <c r="T229" s="1172"/>
      <c r="U229" s="1172"/>
      <c r="V229" s="1173"/>
      <c r="W229" s="1174"/>
      <c r="X229" s="1175"/>
      <c r="Y229" s="1176"/>
      <c r="Z229" s="1177"/>
      <c r="AA229" s="1547"/>
      <c r="AB229" s="1177"/>
      <c r="AC229" s="1548"/>
      <c r="AD229" s="1549"/>
      <c r="AE229" s="1178"/>
      <c r="AF229" s="1179"/>
      <c r="AG229" s="1171"/>
      <c r="AH229" s="104"/>
      <c r="AI229" s="1172"/>
      <c r="AJ229" s="1172"/>
      <c r="AK229" s="1172"/>
      <c r="AL229" s="1173"/>
      <c r="AM229" s="1174"/>
      <c r="AN229" s="1175"/>
      <c r="AO229" s="1176"/>
      <c r="AP229" s="1177"/>
      <c r="AQ229" s="1547"/>
      <c r="AR229" s="1177"/>
      <c r="AS229" s="1548"/>
      <c r="AT229" s="1549"/>
      <c r="AU229" s="1178"/>
      <c r="AV229" s="1179"/>
      <c r="AY229" s="3">
        <v>1</v>
      </c>
    </row>
    <row r="230" spans="2:51" ht="27" customHeight="1">
      <c r="B230" s="104"/>
      <c r="C230" s="1172"/>
      <c r="D230" s="1172"/>
      <c r="E230" s="1172"/>
      <c r="F230" s="1173"/>
      <c r="G230" s="1174"/>
      <c r="H230" s="1175"/>
      <c r="I230" s="1176"/>
      <c r="J230" s="1177"/>
      <c r="K230" s="1547"/>
      <c r="L230" s="1177"/>
      <c r="M230" s="1548"/>
      <c r="N230" s="1549"/>
      <c r="O230" s="1178"/>
      <c r="P230" s="1179"/>
      <c r="R230" s="104"/>
      <c r="S230" s="1172"/>
      <c r="T230" s="1172"/>
      <c r="U230" s="1172"/>
      <c r="V230" s="1173"/>
      <c r="W230" s="1174"/>
      <c r="X230" s="1175"/>
      <c r="Y230" s="1176"/>
      <c r="Z230" s="1177"/>
      <c r="AA230" s="1547"/>
      <c r="AB230" s="1177"/>
      <c r="AC230" s="1548"/>
      <c r="AD230" s="1549"/>
      <c r="AE230" s="1178"/>
      <c r="AF230" s="1179"/>
      <c r="AH230" s="104"/>
      <c r="AI230" s="1172"/>
      <c r="AJ230" s="1172"/>
      <c r="AK230" s="1172"/>
      <c r="AL230" s="1173"/>
      <c r="AM230" s="1174"/>
      <c r="AN230" s="1175"/>
      <c r="AO230" s="1176"/>
      <c r="AP230" s="1177"/>
      <c r="AQ230" s="1547"/>
      <c r="AR230" s="1177"/>
      <c r="AS230" s="1548"/>
      <c r="AT230" s="1549"/>
      <c r="AU230" s="1178"/>
      <c r="AV230" s="1179"/>
      <c r="AY230" s="3">
        <v>1</v>
      </c>
    </row>
    <row r="231" spans="2:51" ht="27" customHeight="1">
      <c r="B231" s="104"/>
      <c r="C231" s="1172"/>
      <c r="D231" s="1172"/>
      <c r="E231" s="1172"/>
      <c r="F231" s="1173"/>
      <c r="G231" s="1174"/>
      <c r="H231" s="1175"/>
      <c r="I231" s="1176"/>
      <c r="J231" s="1177"/>
      <c r="K231" s="1547"/>
      <c r="L231" s="1177"/>
      <c r="M231" s="1548"/>
      <c r="N231" s="1549"/>
      <c r="O231" s="1178"/>
      <c r="P231" s="1179"/>
      <c r="R231" s="104"/>
      <c r="S231" s="1172"/>
      <c r="T231" s="1172"/>
      <c r="U231" s="1172"/>
      <c r="V231" s="1173"/>
      <c r="W231" s="1174"/>
      <c r="X231" s="1175"/>
      <c r="Y231" s="1176"/>
      <c r="Z231" s="1177"/>
      <c r="AA231" s="1547"/>
      <c r="AB231" s="1177"/>
      <c r="AC231" s="1548"/>
      <c r="AD231" s="1549"/>
      <c r="AE231" s="1178"/>
      <c r="AF231" s="1179"/>
      <c r="AH231" s="104"/>
      <c r="AI231" s="1172"/>
      <c r="AJ231" s="1172"/>
      <c r="AK231" s="1172"/>
      <c r="AL231" s="1173"/>
      <c r="AM231" s="1174"/>
      <c r="AN231" s="1175"/>
      <c r="AO231" s="1176"/>
      <c r="AP231" s="1177"/>
      <c r="AQ231" s="1547"/>
      <c r="AR231" s="1177"/>
      <c r="AS231" s="1548"/>
      <c r="AT231" s="1549"/>
      <c r="AU231" s="1178"/>
      <c r="AV231" s="1179"/>
      <c r="AY231" s="3">
        <v>1</v>
      </c>
    </row>
    <row r="232" spans="2:51" ht="27" customHeight="1">
      <c r="B232" s="104"/>
      <c r="C232" s="1172"/>
      <c r="D232" s="1172"/>
      <c r="E232" s="1172"/>
      <c r="F232" s="1173"/>
      <c r="G232" s="1174"/>
      <c r="H232" s="1175"/>
      <c r="I232" s="1176"/>
      <c r="J232" s="1177"/>
      <c r="K232" s="1547"/>
      <c r="L232" s="1177"/>
      <c r="M232" s="1548"/>
      <c r="N232" s="1549"/>
      <c r="O232" s="1178"/>
      <c r="P232" s="1179"/>
      <c r="R232" s="104"/>
      <c r="S232" s="1172"/>
      <c r="T232" s="1172"/>
      <c r="U232" s="1172"/>
      <c r="V232" s="1173"/>
      <c r="W232" s="1174"/>
      <c r="X232" s="1175"/>
      <c r="Y232" s="1176"/>
      <c r="Z232" s="1177"/>
      <c r="AA232" s="1547"/>
      <c r="AB232" s="1177"/>
      <c r="AC232" s="1548"/>
      <c r="AD232" s="1549"/>
      <c r="AE232" s="1178"/>
      <c r="AF232" s="1179"/>
      <c r="AH232" s="104"/>
      <c r="AI232" s="1172"/>
      <c r="AJ232" s="1172"/>
      <c r="AK232" s="1172"/>
      <c r="AL232" s="1173"/>
      <c r="AM232" s="1174"/>
      <c r="AN232" s="1175"/>
      <c r="AO232" s="1176"/>
      <c r="AP232" s="1177"/>
      <c r="AQ232" s="1547"/>
      <c r="AR232" s="1177"/>
      <c r="AS232" s="1548"/>
      <c r="AT232" s="1549"/>
      <c r="AU232" s="1178"/>
      <c r="AV232" s="1179"/>
      <c r="AY232" s="3">
        <v>1</v>
      </c>
    </row>
    <row r="233" spans="2:51" ht="27" customHeight="1">
      <c r="B233" s="104"/>
      <c r="C233" s="1172"/>
      <c r="D233" s="1172"/>
      <c r="E233" s="1172"/>
      <c r="F233" s="1173"/>
      <c r="G233" s="1174"/>
      <c r="H233" s="1175"/>
      <c r="I233" s="1176"/>
      <c r="J233" s="1177"/>
      <c r="K233" s="1547"/>
      <c r="L233" s="1177"/>
      <c r="M233" s="1548"/>
      <c r="N233" s="1549"/>
      <c r="O233" s="1178"/>
      <c r="P233" s="1179"/>
      <c r="R233" s="104"/>
      <c r="S233" s="1172"/>
      <c r="T233" s="1172"/>
      <c r="U233" s="1172"/>
      <c r="V233" s="1173"/>
      <c r="W233" s="1174"/>
      <c r="X233" s="1175"/>
      <c r="Y233" s="1176"/>
      <c r="Z233" s="1177"/>
      <c r="AA233" s="1547"/>
      <c r="AB233" s="1177"/>
      <c r="AC233" s="1548"/>
      <c r="AD233" s="1549"/>
      <c r="AE233" s="1178"/>
      <c r="AF233" s="1179"/>
      <c r="AH233" s="104"/>
      <c r="AI233" s="1172"/>
      <c r="AJ233" s="1172"/>
      <c r="AK233" s="1172"/>
      <c r="AL233" s="1173"/>
      <c r="AM233" s="1174"/>
      <c r="AN233" s="1175"/>
      <c r="AO233" s="1176"/>
      <c r="AP233" s="1177"/>
      <c r="AQ233" s="1547"/>
      <c r="AR233" s="1177"/>
      <c r="AS233" s="1548"/>
      <c r="AT233" s="1549"/>
      <c r="AU233" s="1178"/>
      <c r="AV233" s="1179"/>
      <c r="AY233" s="3">
        <v>1</v>
      </c>
    </row>
    <row r="234" spans="2:51" ht="27" customHeight="1">
      <c r="B234" s="104"/>
      <c r="C234" s="1172"/>
      <c r="D234" s="1172"/>
      <c r="E234" s="1172"/>
      <c r="F234" s="1173"/>
      <c r="G234" s="1174"/>
      <c r="H234" s="1175"/>
      <c r="I234" s="1176"/>
      <c r="J234" s="1177"/>
      <c r="K234" s="1547"/>
      <c r="L234" s="1177"/>
      <c r="M234" s="1548"/>
      <c r="N234" s="1549"/>
      <c r="O234" s="1178"/>
      <c r="P234" s="1179"/>
      <c r="R234" s="104"/>
      <c r="S234" s="1172"/>
      <c r="T234" s="1172"/>
      <c r="U234" s="1172"/>
      <c r="V234" s="1173"/>
      <c r="W234" s="1174"/>
      <c r="X234" s="1175"/>
      <c r="Y234" s="1176"/>
      <c r="Z234" s="1177"/>
      <c r="AA234" s="1547"/>
      <c r="AB234" s="1177"/>
      <c r="AC234" s="1548"/>
      <c r="AD234" s="1549"/>
      <c r="AE234" s="1178"/>
      <c r="AF234" s="1179"/>
      <c r="AH234" s="104"/>
      <c r="AI234" s="1172"/>
      <c r="AJ234" s="1172"/>
      <c r="AK234" s="1172"/>
      <c r="AL234" s="1173"/>
      <c r="AM234" s="1174"/>
      <c r="AN234" s="1175"/>
      <c r="AO234" s="1176"/>
      <c r="AP234" s="1177"/>
      <c r="AQ234" s="1547"/>
      <c r="AR234" s="1177"/>
      <c r="AS234" s="1548"/>
      <c r="AT234" s="1549"/>
      <c r="AU234" s="1178"/>
      <c r="AV234" s="1179"/>
      <c r="AY234" s="3">
        <v>1</v>
      </c>
    </row>
    <row r="235" spans="2:51" ht="27" customHeight="1">
      <c r="B235" s="104"/>
      <c r="C235" s="1172"/>
      <c r="D235" s="1172"/>
      <c r="E235" s="1172"/>
      <c r="F235" s="1173"/>
      <c r="G235" s="1174"/>
      <c r="H235" s="1175"/>
      <c r="I235" s="1176"/>
      <c r="J235" s="1177"/>
      <c r="K235" s="1547"/>
      <c r="L235" s="1177"/>
      <c r="M235" s="1548"/>
      <c r="N235" s="1549"/>
      <c r="O235" s="1178"/>
      <c r="P235" s="1179"/>
      <c r="R235" s="104"/>
      <c r="S235" s="1172"/>
      <c r="T235" s="1172"/>
      <c r="U235" s="1172"/>
      <c r="V235" s="1173"/>
      <c r="W235" s="1174"/>
      <c r="X235" s="1175"/>
      <c r="Y235" s="1176"/>
      <c r="Z235" s="1177"/>
      <c r="AA235" s="1547"/>
      <c r="AB235" s="1177"/>
      <c r="AC235" s="1548"/>
      <c r="AD235" s="1549"/>
      <c r="AE235" s="1178"/>
      <c r="AF235" s="1179"/>
      <c r="AH235" s="104"/>
      <c r="AI235" s="1172"/>
      <c r="AJ235" s="1172"/>
      <c r="AK235" s="1172"/>
      <c r="AL235" s="1173"/>
      <c r="AM235" s="1174"/>
      <c r="AN235" s="1175"/>
      <c r="AO235" s="1176"/>
      <c r="AP235" s="1177"/>
      <c r="AQ235" s="1547"/>
      <c r="AR235" s="1177"/>
      <c r="AS235" s="1548"/>
      <c r="AT235" s="1549"/>
      <c r="AU235" s="1178"/>
      <c r="AV235" s="1179"/>
      <c r="AY235" s="3">
        <v>1</v>
      </c>
    </row>
    <row r="236" spans="2:51" ht="27" customHeight="1">
      <c r="B236" s="104"/>
      <c r="C236" s="1172"/>
      <c r="D236" s="1172"/>
      <c r="E236" s="1172"/>
      <c r="F236" s="1173"/>
      <c r="G236" s="1174"/>
      <c r="H236" s="1175"/>
      <c r="I236" s="1176"/>
      <c r="J236" s="1177"/>
      <c r="K236" s="1547"/>
      <c r="L236" s="1177"/>
      <c r="M236" s="1548"/>
      <c r="N236" s="1549"/>
      <c r="O236" s="1178"/>
      <c r="P236" s="1179"/>
      <c r="R236" s="104"/>
      <c r="S236" s="1172"/>
      <c r="T236" s="1172"/>
      <c r="U236" s="1172"/>
      <c r="V236" s="1173"/>
      <c r="W236" s="1174"/>
      <c r="X236" s="1175"/>
      <c r="Y236" s="1176"/>
      <c r="Z236" s="1177"/>
      <c r="AA236" s="1547"/>
      <c r="AB236" s="1177"/>
      <c r="AC236" s="1548"/>
      <c r="AD236" s="1549"/>
      <c r="AE236" s="1178"/>
      <c r="AF236" s="1179"/>
      <c r="AH236" s="104"/>
      <c r="AI236" s="1172"/>
      <c r="AJ236" s="1172"/>
      <c r="AK236" s="1172"/>
      <c r="AL236" s="1173"/>
      <c r="AM236" s="1174"/>
      <c r="AN236" s="1175"/>
      <c r="AO236" s="1176"/>
      <c r="AP236" s="1177"/>
      <c r="AQ236" s="1547"/>
      <c r="AR236" s="1177"/>
      <c r="AS236" s="1548"/>
      <c r="AT236" s="1549"/>
      <c r="AU236" s="1178"/>
      <c r="AV236" s="1179"/>
      <c r="AY236" s="3">
        <v>1</v>
      </c>
    </row>
    <row r="237" spans="2:51" ht="27" customHeight="1">
      <c r="B237" s="104"/>
      <c r="C237" s="1172"/>
      <c r="D237" s="1172"/>
      <c r="E237" s="1172"/>
      <c r="F237" s="1173"/>
      <c r="G237" s="1174"/>
      <c r="H237" s="1175"/>
      <c r="I237" s="1176"/>
      <c r="J237" s="1177"/>
      <c r="K237" s="1547"/>
      <c r="L237" s="1177"/>
      <c r="M237" s="1548"/>
      <c r="N237" s="1549"/>
      <c r="O237" s="1178"/>
      <c r="P237" s="1179"/>
      <c r="R237" s="104"/>
      <c r="S237" s="1172"/>
      <c r="T237" s="1172"/>
      <c r="U237" s="1172"/>
      <c r="V237" s="1173"/>
      <c r="W237" s="1174"/>
      <c r="X237" s="1175"/>
      <c r="Y237" s="1176"/>
      <c r="Z237" s="1177"/>
      <c r="AA237" s="1547"/>
      <c r="AB237" s="1177"/>
      <c r="AC237" s="1548"/>
      <c r="AD237" s="1549"/>
      <c r="AE237" s="1178"/>
      <c r="AF237" s="1179"/>
      <c r="AH237" s="104"/>
      <c r="AI237" s="1172"/>
      <c r="AJ237" s="1172"/>
      <c r="AK237" s="1172"/>
      <c r="AL237" s="1173"/>
      <c r="AM237" s="1174"/>
      <c r="AN237" s="1175"/>
      <c r="AO237" s="1176"/>
      <c r="AP237" s="1177"/>
      <c r="AQ237" s="1547"/>
      <c r="AR237" s="1177"/>
      <c r="AS237" s="1548"/>
      <c r="AT237" s="1549"/>
      <c r="AU237" s="1178"/>
      <c r="AV237" s="1179"/>
      <c r="AY237" s="3">
        <v>1</v>
      </c>
    </row>
    <row r="238" spans="2:51" ht="27" customHeight="1">
      <c r="B238" s="104"/>
      <c r="C238" s="1172"/>
      <c r="D238" s="1172"/>
      <c r="E238" s="1172"/>
      <c r="F238" s="1173"/>
      <c r="G238" s="1174"/>
      <c r="H238" s="1175"/>
      <c r="I238" s="1176"/>
      <c r="J238" s="1177"/>
      <c r="K238" s="1547"/>
      <c r="L238" s="1177"/>
      <c r="M238" s="1548"/>
      <c r="N238" s="1549"/>
      <c r="O238" s="1178"/>
      <c r="P238" s="1179"/>
      <c r="R238" s="104"/>
      <c r="S238" s="1172"/>
      <c r="T238" s="1172"/>
      <c r="U238" s="1172"/>
      <c r="V238" s="1173"/>
      <c r="W238" s="1174"/>
      <c r="X238" s="1175"/>
      <c r="Y238" s="1176"/>
      <c r="Z238" s="1177"/>
      <c r="AA238" s="1547"/>
      <c r="AB238" s="1177"/>
      <c r="AC238" s="1548"/>
      <c r="AD238" s="1549"/>
      <c r="AE238" s="1178"/>
      <c r="AF238" s="1179"/>
      <c r="AH238" s="104"/>
      <c r="AI238" s="1172"/>
      <c r="AJ238" s="1172"/>
      <c r="AK238" s="1172"/>
      <c r="AL238" s="1173"/>
      <c r="AM238" s="1174"/>
      <c r="AN238" s="1175"/>
      <c r="AO238" s="1176"/>
      <c r="AP238" s="1177"/>
      <c r="AQ238" s="1547"/>
      <c r="AR238" s="1177"/>
      <c r="AS238" s="1548"/>
      <c r="AT238" s="1549"/>
      <c r="AU238" s="1178"/>
      <c r="AV238" s="1179"/>
      <c r="AY238" s="3">
        <v>1</v>
      </c>
    </row>
    <row r="239" spans="2:51" ht="27" customHeight="1">
      <c r="B239" s="104"/>
      <c r="C239" s="1172"/>
      <c r="D239" s="1172"/>
      <c r="E239" s="1172"/>
      <c r="F239" s="1173"/>
      <c r="G239" s="1174"/>
      <c r="H239" s="1175"/>
      <c r="I239" s="1176"/>
      <c r="J239" s="1177"/>
      <c r="K239" s="1547"/>
      <c r="L239" s="1177"/>
      <c r="M239" s="1548"/>
      <c r="N239" s="1549"/>
      <c r="O239" s="1178"/>
      <c r="P239" s="1179"/>
      <c r="R239" s="104"/>
      <c r="S239" s="1172"/>
      <c r="T239" s="1172"/>
      <c r="U239" s="1172"/>
      <c r="V239" s="1173"/>
      <c r="W239" s="1174"/>
      <c r="X239" s="1175"/>
      <c r="Y239" s="1176"/>
      <c r="Z239" s="1177"/>
      <c r="AA239" s="1547"/>
      <c r="AB239" s="1177"/>
      <c r="AC239" s="1548"/>
      <c r="AD239" s="1549"/>
      <c r="AE239" s="1178"/>
      <c r="AF239" s="1179"/>
      <c r="AH239" s="104"/>
      <c r="AI239" s="1172"/>
      <c r="AJ239" s="1172"/>
      <c r="AK239" s="1172"/>
      <c r="AL239" s="1173"/>
      <c r="AM239" s="1174"/>
      <c r="AN239" s="1175"/>
      <c r="AO239" s="1176"/>
      <c r="AP239" s="1177"/>
      <c r="AQ239" s="1547"/>
      <c r="AR239" s="1177"/>
      <c r="AS239" s="1548"/>
      <c r="AT239" s="1549"/>
      <c r="AU239" s="1178"/>
      <c r="AV239" s="1179"/>
      <c r="AY239" s="3">
        <v>1</v>
      </c>
    </row>
    <row r="240" spans="2:51" ht="27" customHeight="1">
      <c r="B240" s="104"/>
      <c r="C240" s="1172"/>
      <c r="D240" s="1172"/>
      <c r="E240" s="1172"/>
      <c r="F240" s="1173"/>
      <c r="G240" s="1174"/>
      <c r="H240" s="1175"/>
      <c r="I240" s="1176"/>
      <c r="J240" s="1177"/>
      <c r="K240" s="1547"/>
      <c r="L240" s="1177"/>
      <c r="M240" s="1548"/>
      <c r="N240" s="1549"/>
      <c r="O240" s="1178"/>
      <c r="P240" s="1179"/>
      <c r="R240" s="104"/>
      <c r="S240" s="1172"/>
      <c r="T240" s="1172"/>
      <c r="U240" s="1172"/>
      <c r="V240" s="1173"/>
      <c r="W240" s="1174"/>
      <c r="X240" s="1175"/>
      <c r="Y240" s="1176"/>
      <c r="Z240" s="1177"/>
      <c r="AA240" s="1547"/>
      <c r="AB240" s="1177"/>
      <c r="AC240" s="1548"/>
      <c r="AD240" s="1549"/>
      <c r="AE240" s="1178"/>
      <c r="AF240" s="1179"/>
      <c r="AH240" s="104"/>
      <c r="AI240" s="1172"/>
      <c r="AJ240" s="1172"/>
      <c r="AK240" s="1172"/>
      <c r="AL240" s="1173"/>
      <c r="AM240" s="1174"/>
      <c r="AN240" s="1175"/>
      <c r="AO240" s="1176"/>
      <c r="AP240" s="1177"/>
      <c r="AQ240" s="1547"/>
      <c r="AR240" s="1177"/>
      <c r="AS240" s="1548"/>
      <c r="AT240" s="1549"/>
      <c r="AU240" s="1178"/>
      <c r="AV240" s="1179"/>
      <c r="AY240" s="3">
        <v>1</v>
      </c>
    </row>
    <row r="241" spans="2:51" ht="27" customHeight="1">
      <c r="B241" s="104"/>
      <c r="C241" s="1172"/>
      <c r="D241" s="1172"/>
      <c r="E241" s="1172"/>
      <c r="F241" s="1173"/>
      <c r="G241" s="1174"/>
      <c r="H241" s="1175"/>
      <c r="I241" s="1176"/>
      <c r="J241" s="1177"/>
      <c r="K241" s="1547"/>
      <c r="L241" s="1177"/>
      <c r="M241" s="1548"/>
      <c r="N241" s="1549"/>
      <c r="O241" s="1178"/>
      <c r="P241" s="1179"/>
      <c r="R241" s="104"/>
      <c r="S241" s="1172"/>
      <c r="T241" s="1172"/>
      <c r="U241" s="1172"/>
      <c r="V241" s="1173"/>
      <c r="W241" s="1174"/>
      <c r="X241" s="1175"/>
      <c r="Y241" s="1176"/>
      <c r="Z241" s="1177"/>
      <c r="AA241" s="1547"/>
      <c r="AB241" s="1177"/>
      <c r="AC241" s="1548"/>
      <c r="AD241" s="1549"/>
      <c r="AE241" s="1178"/>
      <c r="AF241" s="1179"/>
      <c r="AH241" s="104"/>
      <c r="AI241" s="1172"/>
      <c r="AJ241" s="1172"/>
      <c r="AK241" s="1172"/>
      <c r="AL241" s="1173"/>
      <c r="AM241" s="1174"/>
      <c r="AN241" s="1175"/>
      <c r="AO241" s="1176"/>
      <c r="AP241" s="1177"/>
      <c r="AQ241" s="1547"/>
      <c r="AR241" s="1177"/>
      <c r="AS241" s="1548"/>
      <c r="AT241" s="1549"/>
      <c r="AU241" s="1178"/>
      <c r="AV241" s="1179"/>
      <c r="AY241" s="3">
        <v>1</v>
      </c>
    </row>
    <row r="242" spans="2:51" ht="27" customHeight="1">
      <c r="B242" s="104"/>
      <c r="C242" s="1172"/>
      <c r="D242" s="1172"/>
      <c r="E242" s="1172"/>
      <c r="F242" s="1173"/>
      <c r="G242" s="1174"/>
      <c r="H242" s="1175"/>
      <c r="I242" s="1176"/>
      <c r="J242" s="1177"/>
      <c r="K242" s="1547"/>
      <c r="L242" s="1177"/>
      <c r="M242" s="1548"/>
      <c r="N242" s="1549"/>
      <c r="O242" s="1178"/>
      <c r="P242" s="1179"/>
      <c r="R242" s="104"/>
      <c r="S242" s="1172"/>
      <c r="T242" s="1172"/>
      <c r="U242" s="1172"/>
      <c r="V242" s="1173"/>
      <c r="W242" s="1174"/>
      <c r="X242" s="1175"/>
      <c r="Y242" s="1176"/>
      <c r="Z242" s="1177"/>
      <c r="AA242" s="1547"/>
      <c r="AB242" s="1177"/>
      <c r="AC242" s="1548"/>
      <c r="AD242" s="1549"/>
      <c r="AE242" s="1178"/>
      <c r="AF242" s="1179"/>
      <c r="AH242" s="104"/>
      <c r="AI242" s="1172"/>
      <c r="AJ242" s="1172"/>
      <c r="AK242" s="1172"/>
      <c r="AL242" s="1173"/>
      <c r="AM242" s="1174"/>
      <c r="AN242" s="1175"/>
      <c r="AO242" s="1176"/>
      <c r="AP242" s="1177"/>
      <c r="AQ242" s="1547"/>
      <c r="AR242" s="1177"/>
      <c r="AS242" s="1548"/>
      <c r="AT242" s="1549"/>
      <c r="AU242" s="1178"/>
      <c r="AV242" s="1179"/>
      <c r="AY242" s="3">
        <v>1</v>
      </c>
    </row>
    <row r="243" spans="2:51" ht="27" customHeight="1">
      <c r="B243" s="104"/>
      <c r="C243" s="1172"/>
      <c r="D243" s="1172"/>
      <c r="E243" s="1172"/>
      <c r="F243" s="1173"/>
      <c r="G243" s="1174"/>
      <c r="H243" s="1175"/>
      <c r="I243" s="1176"/>
      <c r="J243" s="1177"/>
      <c r="K243" s="1547"/>
      <c r="L243" s="1177"/>
      <c r="M243" s="1548"/>
      <c r="N243" s="1549"/>
      <c r="O243" s="1178"/>
      <c r="P243" s="1179"/>
      <c r="R243" s="104"/>
      <c r="S243" s="1172"/>
      <c r="T243" s="1172"/>
      <c r="U243" s="1172"/>
      <c r="V243" s="1173"/>
      <c r="W243" s="1174"/>
      <c r="X243" s="1175"/>
      <c r="Y243" s="1176"/>
      <c r="Z243" s="1177"/>
      <c r="AA243" s="1547"/>
      <c r="AB243" s="1177"/>
      <c r="AC243" s="1548"/>
      <c r="AD243" s="1549"/>
      <c r="AE243" s="1178"/>
      <c r="AF243" s="1179"/>
      <c r="AH243" s="104"/>
      <c r="AI243" s="1172"/>
      <c r="AJ243" s="1172"/>
      <c r="AK243" s="1172"/>
      <c r="AL243" s="1173"/>
      <c r="AM243" s="1174"/>
      <c r="AN243" s="1175"/>
      <c r="AO243" s="1176"/>
      <c r="AP243" s="1177"/>
      <c r="AQ243" s="1547"/>
      <c r="AR243" s="1177"/>
      <c r="AS243" s="1548"/>
      <c r="AT243" s="1549"/>
      <c r="AU243" s="1178"/>
      <c r="AV243" s="1179"/>
      <c r="AY243" s="3">
        <v>1</v>
      </c>
    </row>
    <row r="244" spans="2:51" ht="27" customHeight="1">
      <c r="B244" s="104"/>
      <c r="C244" s="1172"/>
      <c r="D244" s="1172"/>
      <c r="E244" s="1172"/>
      <c r="F244" s="1173"/>
      <c r="G244" s="1174"/>
      <c r="H244" s="1175"/>
      <c r="I244" s="1176"/>
      <c r="J244" s="1177"/>
      <c r="K244" s="1547"/>
      <c r="L244" s="1177"/>
      <c r="M244" s="1548"/>
      <c r="N244" s="1549"/>
      <c r="O244" s="1178"/>
      <c r="P244" s="1179"/>
      <c r="R244" s="104"/>
      <c r="S244" s="1172"/>
      <c r="T244" s="1172"/>
      <c r="U244" s="1172"/>
      <c r="V244" s="1173"/>
      <c r="W244" s="1174"/>
      <c r="X244" s="1175"/>
      <c r="Y244" s="1176"/>
      <c r="Z244" s="1177"/>
      <c r="AA244" s="1547"/>
      <c r="AB244" s="1177"/>
      <c r="AC244" s="1548"/>
      <c r="AD244" s="1549"/>
      <c r="AE244" s="1178"/>
      <c r="AF244" s="1179"/>
      <c r="AH244" s="104"/>
      <c r="AI244" s="1172"/>
      <c r="AJ244" s="1172"/>
      <c r="AK244" s="1172"/>
      <c r="AL244" s="1173"/>
      <c r="AM244" s="1174"/>
      <c r="AN244" s="1175"/>
      <c r="AO244" s="1176"/>
      <c r="AP244" s="1177"/>
      <c r="AQ244" s="1547"/>
      <c r="AR244" s="1177"/>
      <c r="AS244" s="1548"/>
      <c r="AT244" s="1549"/>
      <c r="AU244" s="1178"/>
      <c r="AV244" s="1179"/>
      <c r="AY244" s="3">
        <v>1</v>
      </c>
    </row>
    <row r="245" spans="2:51" ht="27" customHeight="1">
      <c r="B245" s="104"/>
      <c r="C245" s="1172"/>
      <c r="D245" s="1172"/>
      <c r="E245" s="1172"/>
      <c r="F245" s="1173"/>
      <c r="G245" s="1174"/>
      <c r="H245" s="1175"/>
      <c r="I245" s="1176"/>
      <c r="J245" s="1177"/>
      <c r="K245" s="1547"/>
      <c r="L245" s="1177"/>
      <c r="M245" s="1548"/>
      <c r="N245" s="1549"/>
      <c r="O245" s="1178"/>
      <c r="P245" s="1179"/>
      <c r="R245" s="104"/>
      <c r="S245" s="1172"/>
      <c r="T245" s="1172"/>
      <c r="U245" s="1172"/>
      <c r="V245" s="1173"/>
      <c r="W245" s="1174"/>
      <c r="X245" s="1175"/>
      <c r="Y245" s="1176"/>
      <c r="Z245" s="1177"/>
      <c r="AA245" s="1547"/>
      <c r="AB245" s="1177"/>
      <c r="AC245" s="1548"/>
      <c r="AD245" s="1549"/>
      <c r="AE245" s="1178"/>
      <c r="AF245" s="1179"/>
      <c r="AH245" s="104"/>
      <c r="AI245" s="1172"/>
      <c r="AJ245" s="1172"/>
      <c r="AK245" s="1172"/>
      <c r="AL245" s="1173"/>
      <c r="AM245" s="1174"/>
      <c r="AN245" s="1175"/>
      <c r="AO245" s="1176"/>
      <c r="AP245" s="1177"/>
      <c r="AQ245" s="1547"/>
      <c r="AR245" s="1177"/>
      <c r="AS245" s="1548"/>
      <c r="AT245" s="1549"/>
      <c r="AU245" s="1178"/>
      <c r="AV245" s="1179"/>
      <c r="AY245" s="3"/>
    </row>
    <row r="246" spans="2:51" ht="27" customHeight="1">
      <c r="B246" s="104"/>
      <c r="C246" s="1172"/>
      <c r="D246" s="1172"/>
      <c r="E246" s="1172"/>
      <c r="F246" s="1173"/>
      <c r="G246" s="1174"/>
      <c r="H246" s="1175"/>
      <c r="I246" s="1176"/>
      <c r="J246" s="1177"/>
      <c r="K246" s="1547"/>
      <c r="L246" s="1177"/>
      <c r="M246" s="1548"/>
      <c r="N246" s="1549"/>
      <c r="O246" s="1178"/>
      <c r="P246" s="1179"/>
      <c r="R246" s="104"/>
      <c r="S246" s="1172"/>
      <c r="T246" s="1172"/>
      <c r="U246" s="1172"/>
      <c r="V246" s="1173"/>
      <c r="W246" s="1174"/>
      <c r="X246" s="1175"/>
      <c r="Y246" s="1176"/>
      <c r="Z246" s="1177"/>
      <c r="AA246" s="1547"/>
      <c r="AB246" s="1177"/>
      <c r="AC246" s="1548"/>
      <c r="AD246" s="1549"/>
      <c r="AE246" s="1178"/>
      <c r="AF246" s="1179"/>
      <c r="AH246" s="104"/>
      <c r="AI246" s="1172"/>
      <c r="AJ246" s="1172"/>
      <c r="AK246" s="1172"/>
      <c r="AL246" s="1173"/>
      <c r="AM246" s="1174"/>
      <c r="AN246" s="1175"/>
      <c r="AO246" s="1176"/>
      <c r="AP246" s="1177"/>
      <c r="AQ246" s="1547"/>
      <c r="AR246" s="1177"/>
      <c r="AS246" s="1548"/>
      <c r="AT246" s="1549"/>
      <c r="AU246" s="1178"/>
      <c r="AV246" s="1179"/>
      <c r="AY246" s="3"/>
    </row>
    <row r="247" spans="2:51" ht="27" customHeight="1">
      <c r="B247" s="104"/>
      <c r="C247" s="1172"/>
      <c r="D247" s="1172"/>
      <c r="E247" s="1172"/>
      <c r="F247" s="1173"/>
      <c r="G247" s="1174"/>
      <c r="H247" s="1175"/>
      <c r="I247" s="1176"/>
      <c r="J247" s="1177"/>
      <c r="K247" s="1547"/>
      <c r="L247" s="1177"/>
      <c r="M247" s="1548"/>
      <c r="N247" s="1549"/>
      <c r="O247" s="1178"/>
      <c r="P247" s="1179"/>
      <c r="R247" s="104"/>
      <c r="S247" s="1172"/>
      <c r="T247" s="1172"/>
      <c r="U247" s="1172"/>
      <c r="V247" s="1173"/>
      <c r="W247" s="1174"/>
      <c r="X247" s="1175"/>
      <c r="Y247" s="1176"/>
      <c r="Z247" s="1177"/>
      <c r="AA247" s="1547"/>
      <c r="AB247" s="1177"/>
      <c r="AC247" s="1548"/>
      <c r="AD247" s="1549"/>
      <c r="AE247" s="1178"/>
      <c r="AF247" s="1179"/>
      <c r="AH247" s="104"/>
      <c r="AI247" s="1172"/>
      <c r="AJ247" s="1172"/>
      <c r="AK247" s="1172"/>
      <c r="AL247" s="1173"/>
      <c r="AM247" s="1174"/>
      <c r="AN247" s="1175"/>
      <c r="AO247" s="1176"/>
      <c r="AP247" s="1177"/>
      <c r="AQ247" s="1547"/>
      <c r="AR247" s="1177"/>
      <c r="AS247" s="1548"/>
      <c r="AT247" s="1549"/>
      <c r="AU247" s="1178"/>
      <c r="AV247" s="1179"/>
      <c r="AY247" s="3"/>
    </row>
    <row r="248" spans="2:51" ht="27" customHeight="1">
      <c r="B248" s="104"/>
      <c r="C248" s="1172"/>
      <c r="D248" s="1172"/>
      <c r="E248" s="1172"/>
      <c r="F248" s="1173"/>
      <c r="G248" s="1174"/>
      <c r="H248" s="1175"/>
      <c r="I248" s="1176"/>
      <c r="J248" s="1177"/>
      <c r="K248" s="1547"/>
      <c r="L248" s="1177"/>
      <c r="M248" s="1548"/>
      <c r="N248" s="1549"/>
      <c r="O248" s="1178"/>
      <c r="P248" s="1179"/>
      <c r="R248" s="104"/>
      <c r="S248" s="1172"/>
      <c r="T248" s="1172"/>
      <c r="U248" s="1172"/>
      <c r="V248" s="1173"/>
      <c r="W248" s="1174"/>
      <c r="X248" s="1175"/>
      <c r="Y248" s="1176"/>
      <c r="Z248" s="1177"/>
      <c r="AA248" s="1547"/>
      <c r="AB248" s="1177"/>
      <c r="AC248" s="1548"/>
      <c r="AD248" s="1549"/>
      <c r="AE248" s="1178"/>
      <c r="AF248" s="1179"/>
      <c r="AH248" s="104"/>
      <c r="AI248" s="1172"/>
      <c r="AJ248" s="1172"/>
      <c r="AK248" s="1172"/>
      <c r="AL248" s="1173"/>
      <c r="AM248" s="1174"/>
      <c r="AN248" s="1175"/>
      <c r="AO248" s="1176"/>
      <c r="AP248" s="1177"/>
      <c r="AQ248" s="1547"/>
      <c r="AR248" s="1177"/>
      <c r="AS248" s="1548"/>
      <c r="AT248" s="1549"/>
      <c r="AU248" s="1178"/>
      <c r="AV248" s="1179"/>
      <c r="AY248" s="3">
        <v>1</v>
      </c>
    </row>
    <row r="249" spans="2:51" ht="27" customHeight="1">
      <c r="B249" s="104"/>
      <c r="C249" s="1172"/>
      <c r="D249" s="1172"/>
      <c r="E249" s="1172"/>
      <c r="F249" s="1173"/>
      <c r="G249" s="1174"/>
      <c r="H249" s="1175"/>
      <c r="I249" s="1176"/>
      <c r="J249" s="1177"/>
      <c r="K249" s="1547"/>
      <c r="L249" s="1177"/>
      <c r="M249" s="1548"/>
      <c r="N249" s="1549"/>
      <c r="O249" s="1178"/>
      <c r="P249" s="1179"/>
      <c r="R249" s="104"/>
      <c r="S249" s="1172"/>
      <c r="T249" s="1172"/>
      <c r="U249" s="1172"/>
      <c r="V249" s="1173"/>
      <c r="W249" s="1174"/>
      <c r="X249" s="1175"/>
      <c r="Y249" s="1176"/>
      <c r="Z249" s="1177"/>
      <c r="AA249" s="1547"/>
      <c r="AB249" s="1177"/>
      <c r="AC249" s="1548"/>
      <c r="AD249" s="1549"/>
      <c r="AE249" s="1178"/>
      <c r="AF249" s="1179"/>
      <c r="AH249" s="104"/>
      <c r="AI249" s="1172"/>
      <c r="AJ249" s="1172"/>
      <c r="AK249" s="1172"/>
      <c r="AL249" s="1173"/>
      <c r="AM249" s="1174"/>
      <c r="AN249" s="1175"/>
      <c r="AO249" s="1176"/>
      <c r="AP249" s="1177"/>
      <c r="AQ249" s="1547"/>
      <c r="AR249" s="1177"/>
      <c r="AS249" s="1548"/>
      <c r="AT249" s="1549"/>
      <c r="AU249" s="1178"/>
      <c r="AV249" s="1179"/>
      <c r="AY249" s="3">
        <v>1</v>
      </c>
    </row>
    <row r="250" spans="2:51" ht="27" customHeight="1">
      <c r="B250" s="104"/>
      <c r="C250" s="1172"/>
      <c r="D250" s="1172"/>
      <c r="E250" s="1172"/>
      <c r="F250" s="1173"/>
      <c r="G250" s="1174"/>
      <c r="H250" s="1175"/>
      <c r="I250" s="1176"/>
      <c r="J250" s="1177"/>
      <c r="K250" s="1547"/>
      <c r="L250" s="1177"/>
      <c r="M250" s="1548"/>
      <c r="N250" s="1549"/>
      <c r="O250" s="1178"/>
      <c r="P250" s="1179"/>
      <c r="R250" s="104"/>
      <c r="S250" s="1172"/>
      <c r="T250" s="1172"/>
      <c r="U250" s="1172"/>
      <c r="V250" s="1173"/>
      <c r="W250" s="1174"/>
      <c r="X250" s="1175"/>
      <c r="Y250" s="1176"/>
      <c r="Z250" s="1177"/>
      <c r="AA250" s="1547"/>
      <c r="AB250" s="1177"/>
      <c r="AC250" s="1548"/>
      <c r="AD250" s="1549"/>
      <c r="AE250" s="1178"/>
      <c r="AF250" s="1179"/>
      <c r="AH250" s="104"/>
      <c r="AI250" s="1172"/>
      <c r="AJ250" s="1172"/>
      <c r="AK250" s="1172"/>
      <c r="AL250" s="1173"/>
      <c r="AM250" s="1174"/>
      <c r="AN250" s="1175"/>
      <c r="AO250" s="1176"/>
      <c r="AP250" s="1177"/>
      <c r="AQ250" s="1547"/>
      <c r="AR250" s="1177"/>
      <c r="AS250" s="1548"/>
      <c r="AT250" s="1549"/>
      <c r="AU250" s="1178"/>
      <c r="AV250" s="1179"/>
      <c r="AY250" s="3">
        <v>1</v>
      </c>
    </row>
    <row r="251" spans="2:51" ht="27" customHeight="1">
      <c r="B251" s="104"/>
      <c r="C251" s="1172"/>
      <c r="D251" s="1172"/>
      <c r="E251" s="1172"/>
      <c r="F251" s="1173"/>
      <c r="G251" s="1174"/>
      <c r="H251" s="1175"/>
      <c r="I251" s="1176"/>
      <c r="J251" s="1177"/>
      <c r="K251" s="1547"/>
      <c r="L251" s="1177"/>
      <c r="M251" s="1548"/>
      <c r="N251" s="1549"/>
      <c r="O251" s="1178"/>
      <c r="P251" s="1179"/>
      <c r="R251" s="104"/>
      <c r="S251" s="1172"/>
      <c r="T251" s="1172"/>
      <c r="U251" s="1172"/>
      <c r="V251" s="1173"/>
      <c r="W251" s="1174"/>
      <c r="X251" s="1175"/>
      <c r="Y251" s="1176"/>
      <c r="Z251" s="1177"/>
      <c r="AA251" s="1547"/>
      <c r="AB251" s="1177"/>
      <c r="AC251" s="1548"/>
      <c r="AD251" s="1549"/>
      <c r="AE251" s="1178"/>
      <c r="AF251" s="1179"/>
      <c r="AH251" s="104"/>
      <c r="AI251" s="1172"/>
      <c r="AJ251" s="1172"/>
      <c r="AK251" s="1172"/>
      <c r="AL251" s="1173"/>
      <c r="AM251" s="1174"/>
      <c r="AN251" s="1175"/>
      <c r="AO251" s="1176"/>
      <c r="AP251" s="1177"/>
      <c r="AQ251" s="1547"/>
      <c r="AR251" s="1177"/>
      <c r="AS251" s="1548"/>
      <c r="AT251" s="1549"/>
      <c r="AU251" s="1178"/>
      <c r="AV251" s="1179"/>
      <c r="AY251" s="3">
        <v>1</v>
      </c>
    </row>
    <row r="252" spans="2:51" ht="27" customHeight="1">
      <c r="B252" s="104"/>
      <c r="C252" s="1172"/>
      <c r="D252" s="1172"/>
      <c r="E252" s="1172"/>
      <c r="F252" s="1173"/>
      <c r="G252" s="1174"/>
      <c r="H252" s="1175"/>
      <c r="I252" s="1176"/>
      <c r="J252" s="1177"/>
      <c r="K252" s="1547"/>
      <c r="L252" s="1177"/>
      <c r="M252" s="1548"/>
      <c r="N252" s="1549"/>
      <c r="O252" s="1178"/>
      <c r="P252" s="1179"/>
      <c r="R252" s="104"/>
      <c r="S252" s="1172"/>
      <c r="T252" s="1172"/>
      <c r="U252" s="1172"/>
      <c r="V252" s="1173"/>
      <c r="W252" s="1174"/>
      <c r="X252" s="1175"/>
      <c r="Y252" s="1176"/>
      <c r="Z252" s="1177"/>
      <c r="AA252" s="1547"/>
      <c r="AB252" s="1177"/>
      <c r="AC252" s="1548"/>
      <c r="AD252" s="1549"/>
      <c r="AE252" s="1178"/>
      <c r="AF252" s="1179"/>
      <c r="AH252" s="104"/>
      <c r="AI252" s="1172"/>
      <c r="AJ252" s="1172"/>
      <c r="AK252" s="1172"/>
      <c r="AL252" s="1173"/>
      <c r="AM252" s="1174"/>
      <c r="AN252" s="1175"/>
      <c r="AO252" s="1176"/>
      <c r="AP252" s="1177"/>
      <c r="AQ252" s="1547"/>
      <c r="AR252" s="1177"/>
      <c r="AS252" s="1548"/>
      <c r="AT252" s="1549"/>
      <c r="AU252" s="1178"/>
      <c r="AV252" s="1179"/>
      <c r="AY252" s="3">
        <v>1</v>
      </c>
    </row>
    <row r="253" spans="2:51" ht="27" customHeight="1">
      <c r="B253" s="104"/>
      <c r="C253" s="1172"/>
      <c r="D253" s="1172"/>
      <c r="E253" s="1172"/>
      <c r="F253" s="1173"/>
      <c r="G253" s="1174"/>
      <c r="H253" s="1175"/>
      <c r="I253" s="1176"/>
      <c r="J253" s="1177"/>
      <c r="K253" s="1547"/>
      <c r="L253" s="1177"/>
      <c r="M253" s="1548"/>
      <c r="N253" s="1549"/>
      <c r="O253" s="1178"/>
      <c r="P253" s="1179"/>
      <c r="R253" s="104"/>
      <c r="S253" s="1172"/>
      <c r="T253" s="1172"/>
      <c r="U253" s="1172"/>
      <c r="V253" s="1173"/>
      <c r="W253" s="1174"/>
      <c r="X253" s="1175"/>
      <c r="Y253" s="1176"/>
      <c r="Z253" s="1177"/>
      <c r="AA253" s="1547"/>
      <c r="AB253" s="1177"/>
      <c r="AC253" s="1548"/>
      <c r="AD253" s="1549"/>
      <c r="AE253" s="1178"/>
      <c r="AF253" s="1179"/>
      <c r="AH253" s="104"/>
      <c r="AI253" s="1172"/>
      <c r="AJ253" s="1172"/>
      <c r="AK253" s="1172"/>
      <c r="AL253" s="1173"/>
      <c r="AM253" s="1174"/>
      <c r="AN253" s="1175"/>
      <c r="AO253" s="1176"/>
      <c r="AP253" s="1177"/>
      <c r="AQ253" s="1547"/>
      <c r="AR253" s="1177"/>
      <c r="AS253" s="1548"/>
      <c r="AT253" s="1549"/>
      <c r="AU253" s="1178"/>
      <c r="AV253" s="1179"/>
      <c r="AY253" s="3">
        <v>1</v>
      </c>
    </row>
    <row r="254" spans="2:51" ht="27" customHeight="1">
      <c r="B254" s="104"/>
      <c r="C254" s="1172"/>
      <c r="D254" s="1172"/>
      <c r="E254" s="1172"/>
      <c r="F254" s="1173"/>
      <c r="G254" s="1174"/>
      <c r="H254" s="1175"/>
      <c r="I254" s="1176"/>
      <c r="J254" s="1177"/>
      <c r="K254" s="1547"/>
      <c r="L254" s="1177"/>
      <c r="M254" s="1548"/>
      <c r="N254" s="1549"/>
      <c r="O254" s="1178"/>
      <c r="P254" s="1179"/>
      <c r="R254" s="104"/>
      <c r="S254" s="1172"/>
      <c r="T254" s="1172"/>
      <c r="U254" s="1172"/>
      <c r="V254" s="1173"/>
      <c r="W254" s="1174"/>
      <c r="X254" s="1175"/>
      <c r="Y254" s="1176"/>
      <c r="Z254" s="1177"/>
      <c r="AA254" s="1547"/>
      <c r="AB254" s="1177"/>
      <c r="AC254" s="1548"/>
      <c r="AD254" s="1549"/>
      <c r="AE254" s="1178"/>
      <c r="AF254" s="1179"/>
      <c r="AH254" s="104"/>
      <c r="AI254" s="1172"/>
      <c r="AJ254" s="1172"/>
      <c r="AK254" s="1172"/>
      <c r="AL254" s="1173"/>
      <c r="AM254" s="1174"/>
      <c r="AN254" s="1175"/>
      <c r="AO254" s="1176"/>
      <c r="AP254" s="1177"/>
      <c r="AQ254" s="1547"/>
      <c r="AR254" s="1177"/>
      <c r="AS254" s="1548"/>
      <c r="AT254" s="1549"/>
      <c r="AU254" s="1178"/>
      <c r="AV254" s="1179"/>
      <c r="AY254" s="3">
        <v>1</v>
      </c>
    </row>
    <row r="255" spans="2:51" ht="18.75">
      <c r="B255" s="104"/>
      <c r="C255" s="1172"/>
      <c r="D255" s="1172"/>
      <c r="E255" s="1172"/>
      <c r="F255" s="1173"/>
      <c r="G255" s="1174"/>
      <c r="H255" s="1175"/>
      <c r="I255" s="1176"/>
      <c r="J255" s="1177"/>
      <c r="K255" s="1547"/>
      <c r="L255" s="1177"/>
      <c r="M255" s="1548"/>
      <c r="N255" s="1549"/>
      <c r="O255" s="1178"/>
      <c r="P255" s="1179"/>
      <c r="R255" s="104"/>
      <c r="S255" s="1172"/>
      <c r="T255" s="1172"/>
      <c r="U255" s="1172"/>
      <c r="V255" s="1173"/>
      <c r="W255" s="1174"/>
      <c r="X255" s="1175"/>
      <c r="Y255" s="1176"/>
      <c r="Z255" s="1177"/>
      <c r="AA255" s="1547"/>
      <c r="AB255" s="1177"/>
      <c r="AC255" s="1548"/>
      <c r="AD255" s="1549"/>
      <c r="AE255" s="1178"/>
      <c r="AF255" s="1179"/>
      <c r="AH255" s="104"/>
      <c r="AI255" s="1172"/>
      <c r="AJ255" s="1172"/>
      <c r="AK255" s="1172"/>
      <c r="AL255" s="1173"/>
      <c r="AM255" s="1174"/>
      <c r="AN255" s="1175"/>
      <c r="AO255" s="1176"/>
      <c r="AP255" s="1177"/>
      <c r="AQ255" s="1547"/>
      <c r="AR255" s="1177"/>
      <c r="AS255" s="1548"/>
      <c r="AT255" s="1549"/>
      <c r="AU255" s="1178"/>
      <c r="AV255" s="1179"/>
      <c r="AY255" s="3">
        <v>1</v>
      </c>
    </row>
    <row r="256" spans="2:51" ht="18.75">
      <c r="B256" s="104"/>
      <c r="C256" s="1172"/>
      <c r="D256" s="1172"/>
      <c r="E256" s="1172"/>
      <c r="F256" s="1173"/>
      <c r="G256" s="1174"/>
      <c r="H256" s="1175"/>
      <c r="I256" s="1176"/>
      <c r="J256" s="1177"/>
      <c r="K256" s="1547"/>
      <c r="L256" s="1177"/>
      <c r="M256" s="1548"/>
      <c r="N256" s="1549"/>
      <c r="O256" s="1178"/>
      <c r="P256" s="1179"/>
      <c r="R256" s="104"/>
      <c r="S256" s="1172"/>
      <c r="T256" s="1172"/>
      <c r="U256" s="1172"/>
      <c r="V256" s="1173"/>
      <c r="W256" s="1174"/>
      <c r="X256" s="1175"/>
      <c r="Y256" s="1176"/>
      <c r="Z256" s="1177"/>
      <c r="AA256" s="1547"/>
      <c r="AB256" s="1177"/>
      <c r="AC256" s="1548"/>
      <c r="AD256" s="1549"/>
      <c r="AE256" s="1178"/>
      <c r="AF256" s="1179"/>
      <c r="AH256" s="104"/>
      <c r="AI256" s="1172"/>
      <c r="AJ256" s="1172"/>
      <c r="AK256" s="1172"/>
      <c r="AL256" s="1173"/>
      <c r="AM256" s="1174"/>
      <c r="AN256" s="1175"/>
      <c r="AO256" s="1176"/>
      <c r="AP256" s="1177"/>
      <c r="AQ256" s="1547"/>
      <c r="AR256" s="1177"/>
      <c r="AS256" s="1548"/>
      <c r="AT256" s="1549"/>
      <c r="AU256" s="1178"/>
      <c r="AV256" s="1179"/>
      <c r="AY256" s="3">
        <v>1</v>
      </c>
    </row>
    <row r="257" spans="2:51" ht="18.75">
      <c r="B257" s="104"/>
      <c r="C257" s="1172"/>
      <c r="D257" s="1172"/>
      <c r="E257" s="1172"/>
      <c r="F257" s="1173"/>
      <c r="G257" s="1174"/>
      <c r="H257" s="1175"/>
      <c r="I257" s="1176"/>
      <c r="J257" s="1177"/>
      <c r="K257" s="1547"/>
      <c r="L257" s="1177"/>
      <c r="M257" s="1548"/>
      <c r="N257" s="1549"/>
      <c r="O257" s="1178"/>
      <c r="P257" s="1179"/>
      <c r="R257" s="104"/>
      <c r="S257" s="1172"/>
      <c r="T257" s="1172"/>
      <c r="U257" s="1172"/>
      <c r="V257" s="1173"/>
      <c r="W257" s="1174"/>
      <c r="X257" s="1175"/>
      <c r="Y257" s="1176"/>
      <c r="Z257" s="1177"/>
      <c r="AA257" s="1547"/>
      <c r="AB257" s="1177"/>
      <c r="AC257" s="1548"/>
      <c r="AD257" s="1549"/>
      <c r="AE257" s="1178"/>
      <c r="AF257" s="1179"/>
      <c r="AH257" s="104"/>
      <c r="AI257" s="1172"/>
      <c r="AJ257" s="1172"/>
      <c r="AK257" s="1172"/>
      <c r="AL257" s="1173"/>
      <c r="AM257" s="1174"/>
      <c r="AN257" s="1175"/>
      <c r="AO257" s="1176"/>
      <c r="AP257" s="1177"/>
      <c r="AQ257" s="1547"/>
      <c r="AR257" s="1177"/>
      <c r="AS257" s="1548"/>
      <c r="AT257" s="1549"/>
      <c r="AU257" s="1178"/>
      <c r="AV257" s="1179"/>
      <c r="AY257" s="3">
        <v>1</v>
      </c>
    </row>
    <row r="258" spans="2:51" ht="18.75">
      <c r="B258" s="104"/>
      <c r="C258" s="1172"/>
      <c r="D258" s="1172"/>
      <c r="E258" s="1172"/>
      <c r="F258" s="1173"/>
      <c r="G258" s="1174"/>
      <c r="H258" s="1175"/>
      <c r="I258" s="1176"/>
      <c r="J258" s="1177"/>
      <c r="K258" s="1547"/>
      <c r="L258" s="1177"/>
      <c r="M258" s="1548"/>
      <c r="N258" s="1549"/>
      <c r="O258" s="1178"/>
      <c r="P258" s="1179"/>
      <c r="R258" s="104"/>
      <c r="S258" s="1172"/>
      <c r="T258" s="1172"/>
      <c r="U258" s="1172"/>
      <c r="V258" s="1173"/>
      <c r="W258" s="1174"/>
      <c r="X258" s="1175"/>
      <c r="Y258" s="1176"/>
      <c r="Z258" s="1177"/>
      <c r="AA258" s="1547"/>
      <c r="AB258" s="1177"/>
      <c r="AC258" s="1548"/>
      <c r="AD258" s="1549"/>
      <c r="AE258" s="1178"/>
      <c r="AF258" s="1179"/>
      <c r="AH258" s="104"/>
      <c r="AI258" s="1172"/>
      <c r="AJ258" s="1172"/>
      <c r="AK258" s="1172"/>
      <c r="AL258" s="1173"/>
      <c r="AM258" s="1174"/>
      <c r="AN258" s="1175"/>
      <c r="AO258" s="1176"/>
      <c r="AP258" s="1177"/>
      <c r="AQ258" s="1547"/>
      <c r="AR258" s="1177"/>
      <c r="AS258" s="1548"/>
      <c r="AT258" s="1549"/>
      <c r="AU258" s="1178"/>
      <c r="AV258" s="1179"/>
      <c r="AY258" s="3">
        <v>1</v>
      </c>
    </row>
    <row r="259" spans="2:51" ht="18.75">
      <c r="B259" s="104"/>
      <c r="C259" s="1172"/>
      <c r="D259" s="1172"/>
      <c r="E259" s="1172"/>
      <c r="F259" s="1173"/>
      <c r="G259" s="1174"/>
      <c r="H259" s="1175"/>
      <c r="I259" s="1176"/>
      <c r="J259" s="1177"/>
      <c r="K259" s="1547"/>
      <c r="L259" s="1177"/>
      <c r="M259" s="1548"/>
      <c r="N259" s="1549"/>
      <c r="O259" s="1178"/>
      <c r="P259" s="1179"/>
      <c r="R259" s="104"/>
      <c r="S259" s="1172"/>
      <c r="T259" s="1172"/>
      <c r="U259" s="1172"/>
      <c r="V259" s="1173"/>
      <c r="W259" s="1174"/>
      <c r="X259" s="1175"/>
      <c r="Y259" s="1176"/>
      <c r="Z259" s="1177"/>
      <c r="AA259" s="1547"/>
      <c r="AB259" s="1177"/>
      <c r="AC259" s="1548"/>
      <c r="AD259" s="1549"/>
      <c r="AE259" s="1178"/>
      <c r="AF259" s="1179"/>
      <c r="AH259" s="104"/>
      <c r="AI259" s="1172"/>
      <c r="AJ259" s="1172"/>
      <c r="AK259" s="1172"/>
      <c r="AL259" s="1173"/>
      <c r="AM259" s="1174"/>
      <c r="AN259" s="1175"/>
      <c r="AO259" s="1176"/>
      <c r="AP259" s="1177"/>
      <c r="AQ259" s="1547"/>
      <c r="AR259" s="1177"/>
      <c r="AS259" s="1548"/>
      <c r="AT259" s="1549"/>
      <c r="AU259" s="1178"/>
      <c r="AV259" s="1179"/>
      <c r="AY259" s="3">
        <v>1</v>
      </c>
    </row>
    <row r="260" spans="2:51" ht="18.75">
      <c r="B260" s="104"/>
      <c r="C260" s="1172"/>
      <c r="D260" s="1172"/>
      <c r="E260" s="1172"/>
      <c r="F260" s="1173"/>
      <c r="G260" s="1174"/>
      <c r="H260" s="1175"/>
      <c r="I260" s="1176"/>
      <c r="J260" s="1177"/>
      <c r="K260" s="1547"/>
      <c r="L260" s="1177"/>
      <c r="M260" s="1548"/>
      <c r="N260" s="1549"/>
      <c r="O260" s="1178"/>
      <c r="P260" s="1179"/>
      <c r="R260" s="104"/>
      <c r="S260" s="1172"/>
      <c r="T260" s="1172"/>
      <c r="U260" s="1172"/>
      <c r="V260" s="1173"/>
      <c r="W260" s="1174"/>
      <c r="X260" s="1175"/>
      <c r="Y260" s="1176"/>
      <c r="Z260" s="1177"/>
      <c r="AA260" s="1547"/>
      <c r="AB260" s="1177"/>
      <c r="AC260" s="1548"/>
      <c r="AD260" s="1549"/>
      <c r="AE260" s="1178"/>
      <c r="AF260" s="1179"/>
      <c r="AH260" s="104"/>
      <c r="AI260" s="1172"/>
      <c r="AJ260" s="1172"/>
      <c r="AK260" s="1172"/>
      <c r="AL260" s="1173"/>
      <c r="AM260" s="1174"/>
      <c r="AN260" s="1175"/>
      <c r="AO260" s="1176"/>
      <c r="AP260" s="1177"/>
      <c r="AQ260" s="1547"/>
      <c r="AR260" s="1177"/>
      <c r="AS260" s="1548"/>
      <c r="AT260" s="1549"/>
      <c r="AU260" s="1178"/>
      <c r="AV260" s="1179"/>
      <c r="AY260" s="3">
        <v>1</v>
      </c>
    </row>
    <row r="261" spans="2:51" ht="18.75">
      <c r="B261" s="104"/>
      <c r="C261" s="1172"/>
      <c r="D261" s="1172"/>
      <c r="E261" s="1172"/>
      <c r="F261" s="1173"/>
      <c r="G261" s="1174"/>
      <c r="H261" s="1175"/>
      <c r="I261" s="1176"/>
      <c r="J261" s="1177"/>
      <c r="K261" s="1547"/>
      <c r="L261" s="1177"/>
      <c r="M261" s="1548"/>
      <c r="N261" s="1549"/>
      <c r="O261" s="1178"/>
      <c r="P261" s="1179"/>
      <c r="R261" s="104"/>
      <c r="S261" s="1172"/>
      <c r="T261" s="1172"/>
      <c r="U261" s="1172"/>
      <c r="V261" s="1173"/>
      <c r="W261" s="1174"/>
      <c r="X261" s="1175"/>
      <c r="Y261" s="1176"/>
      <c r="Z261" s="1177"/>
      <c r="AA261" s="1547"/>
      <c r="AB261" s="1177"/>
      <c r="AC261" s="1548"/>
      <c r="AD261" s="1549"/>
      <c r="AE261" s="1178"/>
      <c r="AF261" s="1179"/>
      <c r="AH261" s="104"/>
      <c r="AI261" s="1172"/>
      <c r="AJ261" s="1172"/>
      <c r="AK261" s="1172"/>
      <c r="AL261" s="1173"/>
      <c r="AM261" s="1174"/>
      <c r="AN261" s="1175"/>
      <c r="AO261" s="1176"/>
      <c r="AP261" s="1177"/>
      <c r="AQ261" s="1547"/>
      <c r="AR261" s="1177"/>
      <c r="AS261" s="1548"/>
      <c r="AT261" s="1549"/>
      <c r="AU261" s="1178"/>
      <c r="AV261" s="1179"/>
      <c r="AY261" s="3">
        <v>1</v>
      </c>
    </row>
    <row r="262" spans="2:51" ht="18.75">
      <c r="B262" s="104"/>
      <c r="C262" s="1172"/>
      <c r="D262" s="1172"/>
      <c r="E262" s="1172"/>
      <c r="F262" s="1173"/>
      <c r="G262" s="1174"/>
      <c r="H262" s="1175"/>
      <c r="I262" s="1176"/>
      <c r="J262" s="1177"/>
      <c r="K262" s="1547"/>
      <c r="L262" s="1177"/>
      <c r="M262" s="1548"/>
      <c r="N262" s="1549"/>
      <c r="O262" s="1178"/>
      <c r="P262" s="1179"/>
      <c r="R262" s="104"/>
      <c r="S262" s="1172"/>
      <c r="T262" s="1172"/>
      <c r="U262" s="1172"/>
      <c r="V262" s="1173"/>
      <c r="W262" s="1174"/>
      <c r="X262" s="1175"/>
      <c r="Y262" s="1176"/>
      <c r="Z262" s="1177"/>
      <c r="AA262" s="1547"/>
      <c r="AB262" s="1177"/>
      <c r="AC262" s="1548"/>
      <c r="AD262" s="1549"/>
      <c r="AE262" s="1178"/>
      <c r="AF262" s="1179"/>
      <c r="AH262" s="104"/>
      <c r="AI262" s="1172"/>
      <c r="AJ262" s="1172"/>
      <c r="AK262" s="1172"/>
      <c r="AL262" s="1173"/>
      <c r="AM262" s="1174"/>
      <c r="AN262" s="1175"/>
      <c r="AO262" s="1176"/>
      <c r="AP262" s="1177"/>
      <c r="AQ262" s="1547"/>
      <c r="AR262" s="1177"/>
      <c r="AS262" s="1548"/>
      <c r="AT262" s="1549"/>
      <c r="AU262" s="1178"/>
      <c r="AV262" s="1179"/>
      <c r="AY262" s="3">
        <v>1</v>
      </c>
    </row>
    <row r="263" spans="2:51" ht="18.75">
      <c r="B263" s="104"/>
      <c r="C263" s="1172"/>
      <c r="D263" s="1172"/>
      <c r="E263" s="1172"/>
      <c r="F263" s="1173"/>
      <c r="G263" s="1174"/>
      <c r="H263" s="1175"/>
      <c r="I263" s="1176"/>
      <c r="J263" s="1177"/>
      <c r="K263" s="1547"/>
      <c r="L263" s="1177"/>
      <c r="M263" s="1548"/>
      <c r="N263" s="1549"/>
      <c r="O263" s="1178"/>
      <c r="P263" s="1179"/>
      <c r="R263" s="104"/>
      <c r="S263" s="1172"/>
      <c r="T263" s="1172"/>
      <c r="U263" s="1172"/>
      <c r="V263" s="1173"/>
      <c r="W263" s="1174"/>
      <c r="X263" s="1175"/>
      <c r="Y263" s="1176"/>
      <c r="Z263" s="1177"/>
      <c r="AA263" s="1547"/>
      <c r="AB263" s="1177"/>
      <c r="AC263" s="1548"/>
      <c r="AD263" s="1549"/>
      <c r="AE263" s="1178"/>
      <c r="AF263" s="1179"/>
      <c r="AH263" s="104"/>
      <c r="AI263" s="1172"/>
      <c r="AJ263" s="1172"/>
      <c r="AK263" s="1172"/>
      <c r="AL263" s="1173"/>
      <c r="AM263" s="1174"/>
      <c r="AN263" s="1175"/>
      <c r="AO263" s="1176"/>
      <c r="AP263" s="1177"/>
      <c r="AQ263" s="1547"/>
      <c r="AR263" s="1177"/>
      <c r="AS263" s="1548"/>
      <c r="AT263" s="1549"/>
      <c r="AU263" s="1178"/>
      <c r="AV263" s="1179"/>
      <c r="AY263" s="3">
        <v>1</v>
      </c>
    </row>
    <row r="264" spans="2:51" ht="18.75">
      <c r="B264" s="104"/>
      <c r="C264" s="1172"/>
      <c r="D264" s="1172"/>
      <c r="E264" s="1172"/>
      <c r="F264" s="1173"/>
      <c r="G264" s="1174"/>
      <c r="H264" s="1175"/>
      <c r="I264" s="1176"/>
      <c r="J264" s="1177"/>
      <c r="K264" s="1547"/>
      <c r="L264" s="1177"/>
      <c r="M264" s="1548"/>
      <c r="N264" s="1549"/>
      <c r="O264" s="1178"/>
      <c r="P264" s="1179"/>
      <c r="R264" s="104"/>
      <c r="S264" s="1172"/>
      <c r="T264" s="1172"/>
      <c r="U264" s="1172"/>
      <c r="V264" s="1173"/>
      <c r="W264" s="1174"/>
      <c r="X264" s="1175"/>
      <c r="Y264" s="1176"/>
      <c r="Z264" s="1177"/>
      <c r="AA264" s="1547"/>
      <c r="AB264" s="1177"/>
      <c r="AC264" s="1548"/>
      <c r="AD264" s="1549"/>
      <c r="AE264" s="1178"/>
      <c r="AF264" s="1179"/>
      <c r="AH264" s="104"/>
      <c r="AI264" s="1172"/>
      <c r="AJ264" s="1172"/>
      <c r="AK264" s="1172"/>
      <c r="AL264" s="1173"/>
      <c r="AM264" s="1174"/>
      <c r="AN264" s="1175"/>
      <c r="AO264" s="1176"/>
      <c r="AP264" s="1177"/>
      <c r="AQ264" s="1547"/>
      <c r="AR264" s="1177"/>
      <c r="AS264" s="1548"/>
      <c r="AT264" s="1549"/>
      <c r="AU264" s="1178"/>
      <c r="AV264" s="1179"/>
      <c r="AY264" s="3">
        <v>1</v>
      </c>
    </row>
    <row r="265" spans="2:51" ht="18.75">
      <c r="B265" s="104"/>
      <c r="C265" s="1172"/>
      <c r="D265" s="1172"/>
      <c r="E265" s="1172"/>
      <c r="F265" s="1173"/>
      <c r="G265" s="1174"/>
      <c r="H265" s="1175"/>
      <c r="I265" s="1176"/>
      <c r="J265" s="1177"/>
      <c r="K265" s="1547"/>
      <c r="L265" s="1177"/>
      <c r="M265" s="1548"/>
      <c r="N265" s="1549"/>
      <c r="O265" s="1178"/>
      <c r="P265" s="1179"/>
      <c r="R265" s="104"/>
      <c r="S265" s="1172"/>
      <c r="T265" s="1172"/>
      <c r="U265" s="1172"/>
      <c r="V265" s="1173"/>
      <c r="W265" s="1174"/>
      <c r="X265" s="1175"/>
      <c r="Y265" s="1176"/>
      <c r="Z265" s="1177"/>
      <c r="AA265" s="1547"/>
      <c r="AB265" s="1177"/>
      <c r="AC265" s="1548"/>
      <c r="AD265" s="1549"/>
      <c r="AE265" s="1178"/>
      <c r="AF265" s="1179"/>
      <c r="AH265" s="104"/>
      <c r="AI265" s="1172"/>
      <c r="AJ265" s="1172"/>
      <c r="AK265" s="1172"/>
      <c r="AL265" s="1173"/>
      <c r="AM265" s="1174"/>
      <c r="AN265" s="1175"/>
      <c r="AO265" s="1176"/>
      <c r="AP265" s="1177"/>
      <c r="AQ265" s="1547"/>
      <c r="AR265" s="1177"/>
      <c r="AS265" s="1548"/>
      <c r="AT265" s="1549"/>
      <c r="AU265" s="1178"/>
      <c r="AV265" s="1179"/>
      <c r="AY265" s="3">
        <v>1</v>
      </c>
    </row>
    <row r="266" spans="2:51" ht="18.75">
      <c r="B266" s="104"/>
      <c r="C266" s="1172"/>
      <c r="D266" s="1172"/>
      <c r="E266" s="1172"/>
      <c r="F266" s="1173"/>
      <c r="G266" s="1174"/>
      <c r="H266" s="1175"/>
      <c r="I266" s="1176"/>
      <c r="J266" s="1177"/>
      <c r="K266" s="1547"/>
      <c r="L266" s="1177"/>
      <c r="M266" s="1548"/>
      <c r="N266" s="1549"/>
      <c r="O266" s="1178"/>
      <c r="P266" s="1179"/>
      <c r="R266" s="104"/>
      <c r="S266" s="1172"/>
      <c r="T266" s="1172"/>
      <c r="U266" s="1172"/>
      <c r="V266" s="1173"/>
      <c r="W266" s="1174"/>
      <c r="X266" s="1175"/>
      <c r="Y266" s="1176"/>
      <c r="Z266" s="1177"/>
      <c r="AA266" s="1547"/>
      <c r="AB266" s="1177"/>
      <c r="AC266" s="1548"/>
      <c r="AD266" s="1549"/>
      <c r="AE266" s="1178"/>
      <c r="AF266" s="1179"/>
      <c r="AH266" s="104"/>
      <c r="AI266" s="1172"/>
      <c r="AJ266" s="1172"/>
      <c r="AK266" s="1172"/>
      <c r="AL266" s="1173"/>
      <c r="AM266" s="1174"/>
      <c r="AN266" s="1175"/>
      <c r="AO266" s="1176"/>
      <c r="AP266" s="1177"/>
      <c r="AQ266" s="1547"/>
      <c r="AR266" s="1177"/>
      <c r="AS266" s="1548"/>
      <c r="AT266" s="1549"/>
      <c r="AU266" s="1178"/>
      <c r="AV266" s="1179"/>
      <c r="AY266" s="3">
        <v>1</v>
      </c>
    </row>
    <row r="267" spans="2:51" ht="18.75">
      <c r="B267" s="104"/>
      <c r="C267" s="1172"/>
      <c r="D267" s="1172"/>
      <c r="E267" s="1172"/>
      <c r="F267" s="1173"/>
      <c r="G267" s="1174"/>
      <c r="H267" s="1175"/>
      <c r="I267" s="1176"/>
      <c r="J267" s="1177"/>
      <c r="K267" s="1547"/>
      <c r="L267" s="1177"/>
      <c r="M267" s="1548"/>
      <c r="N267" s="1549"/>
      <c r="O267" s="1178"/>
      <c r="P267" s="1179"/>
      <c r="R267" s="104"/>
      <c r="S267" s="1172"/>
      <c r="T267" s="1172"/>
      <c r="U267" s="1172"/>
      <c r="V267" s="1173"/>
      <c r="W267" s="1174"/>
      <c r="X267" s="1175"/>
      <c r="Y267" s="1176"/>
      <c r="Z267" s="1177"/>
      <c r="AA267" s="1547"/>
      <c r="AB267" s="1177"/>
      <c r="AC267" s="1548"/>
      <c r="AD267" s="1549"/>
      <c r="AE267" s="1178"/>
      <c r="AF267" s="1179"/>
      <c r="AH267" s="104"/>
      <c r="AI267" s="1172"/>
      <c r="AJ267" s="1172"/>
      <c r="AK267" s="1172"/>
      <c r="AL267" s="1173"/>
      <c r="AM267" s="1174"/>
      <c r="AN267" s="1175"/>
      <c r="AO267" s="1176"/>
      <c r="AP267" s="1177"/>
      <c r="AQ267" s="1547"/>
      <c r="AR267" s="1177"/>
      <c r="AS267" s="1548"/>
      <c r="AT267" s="1549"/>
      <c r="AU267" s="1178"/>
      <c r="AV267" s="1179"/>
      <c r="AY267" s="3">
        <v>1</v>
      </c>
    </row>
    <row r="268" spans="2:51" ht="18.75">
      <c r="B268" s="104"/>
      <c r="C268" s="1172"/>
      <c r="D268" s="1172"/>
      <c r="E268" s="1172"/>
      <c r="F268" s="1173"/>
      <c r="G268" s="1174"/>
      <c r="H268" s="1175"/>
      <c r="I268" s="1176"/>
      <c r="J268" s="1177"/>
      <c r="K268" s="1547"/>
      <c r="L268" s="1177"/>
      <c r="M268" s="1548"/>
      <c r="N268" s="1549"/>
      <c r="O268" s="1178"/>
      <c r="P268" s="1179"/>
      <c r="R268" s="104"/>
      <c r="S268" s="1172"/>
      <c r="T268" s="1172"/>
      <c r="U268" s="1172"/>
      <c r="V268" s="1173"/>
      <c r="W268" s="1174"/>
      <c r="X268" s="1175"/>
      <c r="Y268" s="1176"/>
      <c r="Z268" s="1177"/>
      <c r="AA268" s="1547"/>
      <c r="AB268" s="1177"/>
      <c r="AC268" s="1548"/>
      <c r="AD268" s="1549"/>
      <c r="AE268" s="1178"/>
      <c r="AF268" s="1179"/>
      <c r="AH268" s="104"/>
      <c r="AI268" s="1172"/>
      <c r="AJ268" s="1172"/>
      <c r="AK268" s="1172"/>
      <c r="AL268" s="1173"/>
      <c r="AM268" s="1174"/>
      <c r="AN268" s="1175"/>
      <c r="AO268" s="1176"/>
      <c r="AP268" s="1177"/>
      <c r="AQ268" s="1547"/>
      <c r="AR268" s="1177"/>
      <c r="AS268" s="1548"/>
      <c r="AT268" s="1549"/>
      <c r="AU268" s="1178"/>
      <c r="AV268" s="1179"/>
      <c r="AY268" s="3">
        <v>1</v>
      </c>
    </row>
    <row r="269" spans="2:51" ht="18.75">
      <c r="B269" s="104"/>
      <c r="C269" s="1172"/>
      <c r="D269" s="1172"/>
      <c r="E269" s="1172"/>
      <c r="F269" s="1173"/>
      <c r="G269" s="1174"/>
      <c r="H269" s="1175"/>
      <c r="I269" s="1176"/>
      <c r="J269" s="1177"/>
      <c r="K269" s="1547"/>
      <c r="L269" s="1177"/>
      <c r="M269" s="1548"/>
      <c r="N269" s="1549"/>
      <c r="O269" s="1178"/>
      <c r="P269" s="1179"/>
      <c r="R269" s="104"/>
      <c r="S269" s="1172"/>
      <c r="T269" s="1172"/>
      <c r="U269" s="1172"/>
      <c r="V269" s="1173"/>
      <c r="W269" s="1174"/>
      <c r="X269" s="1175"/>
      <c r="Y269" s="1176"/>
      <c r="Z269" s="1177"/>
      <c r="AA269" s="1547"/>
      <c r="AB269" s="1177"/>
      <c r="AC269" s="1548"/>
      <c r="AD269" s="1549"/>
      <c r="AE269" s="1178"/>
      <c r="AF269" s="1179"/>
      <c r="AH269" s="104"/>
      <c r="AI269" s="1172"/>
      <c r="AJ269" s="1172"/>
      <c r="AK269" s="1172"/>
      <c r="AL269" s="1173"/>
      <c r="AM269" s="1174"/>
      <c r="AN269" s="1175"/>
      <c r="AO269" s="1176"/>
      <c r="AP269" s="1177"/>
      <c r="AQ269" s="1547"/>
      <c r="AR269" s="1177"/>
      <c r="AS269" s="1548"/>
      <c r="AT269" s="1549"/>
      <c r="AU269" s="1178"/>
      <c r="AV269" s="1179"/>
      <c r="AY269" s="3">
        <v>1</v>
      </c>
    </row>
    <row r="270" spans="2:51" ht="18.75">
      <c r="B270" s="104"/>
      <c r="C270" s="1172"/>
      <c r="D270" s="1172"/>
      <c r="E270" s="1172"/>
      <c r="F270" s="1173"/>
      <c r="G270" s="1174"/>
      <c r="H270" s="1175"/>
      <c r="I270" s="1176"/>
      <c r="J270" s="1177"/>
      <c r="K270" s="1547"/>
      <c r="L270" s="1177"/>
      <c r="M270" s="1548"/>
      <c r="N270" s="1549"/>
      <c r="O270" s="1178"/>
      <c r="P270" s="1179"/>
      <c r="R270" s="104"/>
      <c r="S270" s="1172"/>
      <c r="T270" s="1172"/>
      <c r="U270" s="1172"/>
      <c r="V270" s="1173"/>
      <c r="W270" s="1174"/>
      <c r="X270" s="1175"/>
      <c r="Y270" s="1176"/>
      <c r="Z270" s="1177"/>
      <c r="AA270" s="1547"/>
      <c r="AB270" s="1177"/>
      <c r="AC270" s="1548"/>
      <c r="AD270" s="1549"/>
      <c r="AE270" s="1178"/>
      <c r="AF270" s="1179"/>
      <c r="AH270" s="104"/>
      <c r="AI270" s="1172"/>
      <c r="AJ270" s="1172"/>
      <c r="AK270" s="1172"/>
      <c r="AL270" s="1173"/>
      <c r="AM270" s="1174"/>
      <c r="AN270" s="1175"/>
      <c r="AO270" s="1176"/>
      <c r="AP270" s="1177"/>
      <c r="AQ270" s="1547"/>
      <c r="AR270" s="1177"/>
      <c r="AS270" s="1548"/>
      <c r="AT270" s="1549"/>
      <c r="AU270" s="1178"/>
      <c r="AV270" s="1179"/>
      <c r="AY270" s="3">
        <v>1</v>
      </c>
    </row>
    <row r="271" spans="2:51" ht="18.75">
      <c r="B271" s="104"/>
      <c r="C271" s="1172"/>
      <c r="D271" s="1172"/>
      <c r="E271" s="1172"/>
      <c r="F271" s="1173"/>
      <c r="G271" s="1174"/>
      <c r="H271" s="1175"/>
      <c r="I271" s="1176"/>
      <c r="J271" s="1177"/>
      <c r="K271" s="1547"/>
      <c r="L271" s="1177"/>
      <c r="M271" s="1548"/>
      <c r="N271" s="1549"/>
      <c r="O271" s="1178"/>
      <c r="P271" s="1179"/>
      <c r="R271" s="104"/>
      <c r="S271" s="1172"/>
      <c r="T271" s="1172"/>
      <c r="U271" s="1172"/>
      <c r="V271" s="1173"/>
      <c r="W271" s="1174"/>
      <c r="X271" s="1175"/>
      <c r="Y271" s="1176"/>
      <c r="Z271" s="1177"/>
      <c r="AA271" s="1547"/>
      <c r="AB271" s="1177"/>
      <c r="AC271" s="1548"/>
      <c r="AD271" s="1549"/>
      <c r="AE271" s="1178"/>
      <c r="AF271" s="1179"/>
      <c r="AH271" s="104"/>
      <c r="AI271" s="1172"/>
      <c r="AJ271" s="1172"/>
      <c r="AK271" s="1172"/>
      <c r="AL271" s="1173"/>
      <c r="AM271" s="1174"/>
      <c r="AN271" s="1175"/>
      <c r="AO271" s="1176"/>
      <c r="AP271" s="1177"/>
      <c r="AQ271" s="1547"/>
      <c r="AR271" s="1177"/>
      <c r="AS271" s="1548"/>
      <c r="AT271" s="1549"/>
      <c r="AU271" s="1178"/>
      <c r="AV271" s="1179"/>
      <c r="AY271" s="3">
        <v>1</v>
      </c>
    </row>
    <row r="272" spans="2:51" ht="18.75">
      <c r="B272" s="104"/>
      <c r="C272" s="1172"/>
      <c r="D272" s="1172"/>
      <c r="E272" s="1172"/>
      <c r="F272" s="1173"/>
      <c r="G272" s="1174"/>
      <c r="H272" s="1175"/>
      <c r="I272" s="1176"/>
      <c r="J272" s="1177"/>
      <c r="K272" s="1547"/>
      <c r="L272" s="1177"/>
      <c r="M272" s="1548"/>
      <c r="N272" s="1549"/>
      <c r="O272" s="1178"/>
      <c r="P272" s="1179"/>
      <c r="R272" s="104"/>
      <c r="S272" s="1172"/>
      <c r="T272" s="1172"/>
      <c r="U272" s="1172"/>
      <c r="V272" s="1173"/>
      <c r="W272" s="1174"/>
      <c r="X272" s="1175"/>
      <c r="Y272" s="1176"/>
      <c r="Z272" s="1177"/>
      <c r="AA272" s="1547"/>
      <c r="AB272" s="1177"/>
      <c r="AC272" s="1548"/>
      <c r="AD272" s="1549"/>
      <c r="AE272" s="1178"/>
      <c r="AF272" s="1179"/>
      <c r="AH272" s="104"/>
      <c r="AI272" s="1172"/>
      <c r="AJ272" s="1172"/>
      <c r="AK272" s="1172"/>
      <c r="AL272" s="1173"/>
      <c r="AM272" s="1174"/>
      <c r="AN272" s="1175"/>
      <c r="AO272" s="1176"/>
      <c r="AP272" s="1177"/>
      <c r="AQ272" s="1547"/>
      <c r="AR272" s="1177"/>
      <c r="AS272" s="1548"/>
      <c r="AT272" s="1549"/>
      <c r="AU272" s="1178"/>
      <c r="AV272" s="1179"/>
      <c r="AY272" s="3">
        <v>1</v>
      </c>
    </row>
    <row r="273" spans="2:51" ht="18.75">
      <c r="B273" s="104"/>
      <c r="C273" s="1172"/>
      <c r="D273" s="1172"/>
      <c r="E273" s="1172"/>
      <c r="F273" s="1173"/>
      <c r="G273" s="1174"/>
      <c r="H273" s="1175"/>
      <c r="I273" s="1176"/>
      <c r="J273" s="1177"/>
      <c r="K273" s="1547"/>
      <c r="L273" s="1177"/>
      <c r="M273" s="1548"/>
      <c r="N273" s="1549"/>
      <c r="O273" s="1178"/>
      <c r="P273" s="1179"/>
      <c r="R273" s="104"/>
      <c r="S273" s="1172"/>
      <c r="T273" s="1172"/>
      <c r="U273" s="1172"/>
      <c r="V273" s="1173"/>
      <c r="W273" s="1174"/>
      <c r="X273" s="1175"/>
      <c r="Y273" s="1176"/>
      <c r="Z273" s="1177"/>
      <c r="AA273" s="1547"/>
      <c r="AB273" s="1177"/>
      <c r="AC273" s="1548"/>
      <c r="AD273" s="1549"/>
      <c r="AE273" s="1178"/>
      <c r="AF273" s="1179"/>
      <c r="AH273" s="104"/>
      <c r="AI273" s="1172"/>
      <c r="AJ273" s="1172"/>
      <c r="AK273" s="1172"/>
      <c r="AL273" s="1173"/>
      <c r="AM273" s="1174"/>
      <c r="AN273" s="1175"/>
      <c r="AO273" s="1176"/>
      <c r="AP273" s="1177"/>
      <c r="AQ273" s="1547"/>
      <c r="AR273" s="1177"/>
      <c r="AS273" s="1548"/>
      <c r="AT273" s="1549"/>
      <c r="AU273" s="1178"/>
      <c r="AV273" s="1179"/>
      <c r="AY273" s="3">
        <v>1</v>
      </c>
    </row>
    <row r="274" spans="2:51" ht="18.75">
      <c r="B274" s="104"/>
      <c r="C274" s="1172"/>
      <c r="D274" s="1172"/>
      <c r="E274" s="1172"/>
      <c r="F274" s="1173"/>
      <c r="G274" s="1174"/>
      <c r="H274" s="1175"/>
      <c r="I274" s="1176"/>
      <c r="J274" s="1177"/>
      <c r="K274" s="1547"/>
      <c r="L274" s="1177"/>
      <c r="M274" s="1548"/>
      <c r="N274" s="1549"/>
      <c r="O274" s="1178"/>
      <c r="P274" s="1179"/>
      <c r="R274" s="104"/>
      <c r="S274" s="1172"/>
      <c r="T274" s="1172"/>
      <c r="U274" s="1172"/>
      <c r="V274" s="1173"/>
      <c r="W274" s="1174"/>
      <c r="X274" s="1175"/>
      <c r="Y274" s="1176"/>
      <c r="Z274" s="1177"/>
      <c r="AA274" s="1547"/>
      <c r="AB274" s="1177"/>
      <c r="AC274" s="1548"/>
      <c r="AD274" s="1549"/>
      <c r="AE274" s="1178"/>
      <c r="AF274" s="1179"/>
      <c r="AH274" s="104"/>
      <c r="AI274" s="1172"/>
      <c r="AJ274" s="1172"/>
      <c r="AK274" s="1172"/>
      <c r="AL274" s="1173"/>
      <c r="AM274" s="1174"/>
      <c r="AN274" s="1175"/>
      <c r="AO274" s="1176"/>
      <c r="AP274" s="1177"/>
      <c r="AQ274" s="1547"/>
      <c r="AR274" s="1177"/>
      <c r="AS274" s="1548"/>
      <c r="AT274" s="1549"/>
      <c r="AU274" s="1178"/>
      <c r="AV274" s="1179"/>
      <c r="AY274" s="3">
        <v>1</v>
      </c>
    </row>
    <row r="275" spans="2:51" ht="18.75">
      <c r="B275" s="104"/>
      <c r="C275" s="1172"/>
      <c r="D275" s="1172"/>
      <c r="E275" s="1172"/>
      <c r="F275" s="1173"/>
      <c r="G275" s="1174"/>
      <c r="H275" s="1175"/>
      <c r="I275" s="1176"/>
      <c r="J275" s="1177"/>
      <c r="K275" s="1547"/>
      <c r="L275" s="1177"/>
      <c r="M275" s="1548"/>
      <c r="N275" s="1549"/>
      <c r="O275" s="1178"/>
      <c r="P275" s="1179"/>
      <c r="R275" s="104"/>
      <c r="S275" s="1172"/>
      <c r="T275" s="1172"/>
      <c r="U275" s="1172"/>
      <c r="V275" s="1173"/>
      <c r="W275" s="1174"/>
      <c r="X275" s="1175"/>
      <c r="Y275" s="1176"/>
      <c r="Z275" s="1177"/>
      <c r="AA275" s="1547"/>
      <c r="AB275" s="1177"/>
      <c r="AC275" s="1548"/>
      <c r="AD275" s="1549"/>
      <c r="AE275" s="1178"/>
      <c r="AF275" s="1179"/>
      <c r="AH275" s="104"/>
      <c r="AI275" s="1172"/>
      <c r="AJ275" s="1172"/>
      <c r="AK275" s="1172"/>
      <c r="AL275" s="1173"/>
      <c r="AM275" s="1174"/>
      <c r="AN275" s="1175"/>
      <c r="AO275" s="1176"/>
      <c r="AP275" s="1177"/>
      <c r="AQ275" s="1547"/>
      <c r="AR275" s="1177"/>
      <c r="AS275" s="1548"/>
      <c r="AT275" s="1549"/>
      <c r="AU275" s="1178"/>
      <c r="AV275" s="1179"/>
      <c r="AY275" s="3">
        <v>1</v>
      </c>
    </row>
    <row r="276" spans="2:51" ht="18.75">
      <c r="B276" s="104"/>
      <c r="C276" s="1172"/>
      <c r="D276" s="1172"/>
      <c r="E276" s="1172"/>
      <c r="F276" s="1173"/>
      <c r="G276" s="1174"/>
      <c r="H276" s="1175"/>
      <c r="I276" s="1176"/>
      <c r="J276" s="1177"/>
      <c r="K276" s="1547"/>
      <c r="L276" s="1177"/>
      <c r="M276" s="1548"/>
      <c r="N276" s="1549"/>
      <c r="O276" s="1178"/>
      <c r="P276" s="1179"/>
      <c r="R276" s="104"/>
      <c r="S276" s="1172"/>
      <c r="T276" s="1172"/>
      <c r="U276" s="1172"/>
      <c r="V276" s="1173"/>
      <c r="W276" s="1174"/>
      <c r="X276" s="1175"/>
      <c r="Y276" s="1176"/>
      <c r="Z276" s="1177"/>
      <c r="AA276" s="1547"/>
      <c r="AB276" s="1177"/>
      <c r="AC276" s="1548"/>
      <c r="AD276" s="1549"/>
      <c r="AE276" s="1178"/>
      <c r="AF276" s="1179"/>
      <c r="AH276" s="104"/>
      <c r="AI276" s="1172"/>
      <c r="AJ276" s="1172"/>
      <c r="AK276" s="1172"/>
      <c r="AL276" s="1173"/>
      <c r="AM276" s="1174"/>
      <c r="AN276" s="1175"/>
      <c r="AO276" s="1176"/>
      <c r="AP276" s="1177"/>
      <c r="AQ276" s="1547"/>
      <c r="AR276" s="1177"/>
      <c r="AS276" s="1548"/>
      <c r="AT276" s="1549"/>
      <c r="AU276" s="1178"/>
      <c r="AV276" s="1179"/>
      <c r="AY276" s="3">
        <v>1</v>
      </c>
    </row>
    <row r="277" spans="2:51" ht="18.75">
      <c r="B277" s="104"/>
      <c r="C277" s="1172"/>
      <c r="D277" s="1172"/>
      <c r="E277" s="1172"/>
      <c r="F277" s="1173"/>
      <c r="G277" s="1174"/>
      <c r="H277" s="1175"/>
      <c r="I277" s="1176"/>
      <c r="J277" s="1177"/>
      <c r="K277" s="1547"/>
      <c r="L277" s="1177"/>
      <c r="M277" s="1548"/>
      <c r="N277" s="1549"/>
      <c r="O277" s="1178"/>
      <c r="P277" s="1179"/>
      <c r="R277" s="104"/>
      <c r="S277" s="1172"/>
      <c r="T277" s="1172"/>
      <c r="U277" s="1172"/>
      <c r="V277" s="1173"/>
      <c r="W277" s="1174"/>
      <c r="X277" s="1175"/>
      <c r="Y277" s="1176"/>
      <c r="Z277" s="1177"/>
      <c r="AA277" s="1547"/>
      <c r="AB277" s="1177"/>
      <c r="AC277" s="1548"/>
      <c r="AD277" s="1549"/>
      <c r="AE277" s="1178"/>
      <c r="AF277" s="1179"/>
      <c r="AH277" s="104"/>
      <c r="AI277" s="1172"/>
      <c r="AJ277" s="1172"/>
      <c r="AK277" s="1172"/>
      <c r="AL277" s="1173"/>
      <c r="AM277" s="1174"/>
      <c r="AN277" s="1175"/>
      <c r="AO277" s="1176"/>
      <c r="AP277" s="1177"/>
      <c r="AQ277" s="1547"/>
      <c r="AR277" s="1177"/>
      <c r="AS277" s="1548"/>
      <c r="AT277" s="1549"/>
      <c r="AU277" s="1178"/>
      <c r="AV277" s="1179"/>
      <c r="AY277" s="3">
        <v>1</v>
      </c>
    </row>
    <row r="278" spans="2:51" ht="18.75">
      <c r="B278" s="104"/>
      <c r="C278" s="1172"/>
      <c r="D278" s="1172"/>
      <c r="E278" s="1172"/>
      <c r="F278" s="1173"/>
      <c r="G278" s="1174"/>
      <c r="H278" s="1175"/>
      <c r="I278" s="1176"/>
      <c r="J278" s="1177"/>
      <c r="K278" s="1547"/>
      <c r="L278" s="1177"/>
      <c r="M278" s="1548"/>
      <c r="N278" s="1549"/>
      <c r="O278" s="1178"/>
      <c r="P278" s="1179"/>
      <c r="R278" s="104"/>
      <c r="S278" s="1172"/>
      <c r="T278" s="1172"/>
      <c r="U278" s="1172"/>
      <c r="V278" s="1173"/>
      <c r="W278" s="1174"/>
      <c r="X278" s="1175"/>
      <c r="Y278" s="1176"/>
      <c r="Z278" s="1177"/>
      <c r="AA278" s="1547"/>
      <c r="AB278" s="1177"/>
      <c r="AC278" s="1548"/>
      <c r="AD278" s="1549"/>
      <c r="AE278" s="1178"/>
      <c r="AF278" s="1179"/>
      <c r="AH278" s="104"/>
      <c r="AI278" s="1172"/>
      <c r="AJ278" s="1172"/>
      <c r="AK278" s="1172"/>
      <c r="AL278" s="1173"/>
      <c r="AM278" s="1174"/>
      <c r="AN278" s="1175"/>
      <c r="AO278" s="1176"/>
      <c r="AP278" s="1177"/>
      <c r="AQ278" s="1547"/>
      <c r="AR278" s="1177"/>
      <c r="AS278" s="1548"/>
      <c r="AT278" s="1549"/>
      <c r="AU278" s="1178"/>
      <c r="AV278" s="1179"/>
      <c r="AY278" s="3">
        <v>1</v>
      </c>
    </row>
    <row r="279" spans="2:51" ht="18.75">
      <c r="B279" s="104"/>
      <c r="C279" s="1172"/>
      <c r="D279" s="1172"/>
      <c r="E279" s="1172"/>
      <c r="F279" s="1173"/>
      <c r="G279" s="1174"/>
      <c r="H279" s="1175"/>
      <c r="I279" s="1176"/>
      <c r="J279" s="1177"/>
      <c r="K279" s="1547"/>
      <c r="L279" s="1177"/>
      <c r="M279" s="1548"/>
      <c r="N279" s="1549"/>
      <c r="O279" s="1178"/>
      <c r="P279" s="1179"/>
      <c r="R279" s="104"/>
      <c r="S279" s="1172"/>
      <c r="T279" s="1172"/>
      <c r="U279" s="1172"/>
      <c r="V279" s="1173"/>
      <c r="W279" s="1174"/>
      <c r="X279" s="1175"/>
      <c r="Y279" s="1176"/>
      <c r="Z279" s="1177"/>
      <c r="AA279" s="1547"/>
      <c r="AB279" s="1177"/>
      <c r="AC279" s="1548"/>
      <c r="AD279" s="1549"/>
      <c r="AE279" s="1178"/>
      <c r="AF279" s="1179"/>
      <c r="AH279" s="104"/>
      <c r="AI279" s="1172"/>
      <c r="AJ279" s="1172"/>
      <c r="AK279" s="1172"/>
      <c r="AL279" s="1173"/>
      <c r="AM279" s="1174"/>
      <c r="AN279" s="1175"/>
      <c r="AO279" s="1176"/>
      <c r="AP279" s="1177"/>
      <c r="AQ279" s="1547"/>
      <c r="AR279" s="1177"/>
      <c r="AS279" s="1548"/>
      <c r="AT279" s="1549"/>
      <c r="AU279" s="1178"/>
      <c r="AV279" s="1179"/>
      <c r="AY279" s="3">
        <v>1</v>
      </c>
    </row>
    <row r="280" spans="2:51" ht="18.75">
      <c r="B280" s="104"/>
      <c r="C280" s="1172"/>
      <c r="D280" s="1172"/>
      <c r="E280" s="1172"/>
      <c r="F280" s="1173"/>
      <c r="G280" s="1174"/>
      <c r="H280" s="1175"/>
      <c r="I280" s="1176"/>
      <c r="J280" s="1177"/>
      <c r="K280" s="1547"/>
      <c r="L280" s="1177"/>
      <c r="M280" s="1548"/>
      <c r="N280" s="1549"/>
      <c r="O280" s="1178"/>
      <c r="P280" s="1179"/>
      <c r="R280" s="104"/>
      <c r="S280" s="1172"/>
      <c r="T280" s="1172"/>
      <c r="U280" s="1172"/>
      <c r="V280" s="1173"/>
      <c r="W280" s="1174"/>
      <c r="X280" s="1175"/>
      <c r="Y280" s="1176"/>
      <c r="Z280" s="1177"/>
      <c r="AA280" s="1547"/>
      <c r="AB280" s="1177"/>
      <c r="AC280" s="1548"/>
      <c r="AD280" s="1549"/>
      <c r="AE280" s="1178"/>
      <c r="AF280" s="1179"/>
      <c r="AH280" s="104"/>
      <c r="AI280" s="1172"/>
      <c r="AJ280" s="1172"/>
      <c r="AK280" s="1172"/>
      <c r="AL280" s="1173"/>
      <c r="AM280" s="1174"/>
      <c r="AN280" s="1175"/>
      <c r="AO280" s="1176"/>
      <c r="AP280" s="1177"/>
      <c r="AQ280" s="1547"/>
      <c r="AR280" s="1177"/>
      <c r="AS280" s="1548"/>
      <c r="AT280" s="1549"/>
      <c r="AU280" s="1178"/>
      <c r="AV280" s="1179"/>
      <c r="AY280" s="3">
        <v>1</v>
      </c>
    </row>
    <row r="281" spans="2:51" ht="18.75">
      <c r="B281" s="104"/>
      <c r="C281" s="1172"/>
      <c r="D281" s="1172"/>
      <c r="E281" s="1172"/>
      <c r="F281" s="1173"/>
      <c r="G281" s="1174"/>
      <c r="H281" s="1175"/>
      <c r="I281" s="1176"/>
      <c r="J281" s="1177"/>
      <c r="K281" s="1547"/>
      <c r="L281" s="1177"/>
      <c r="M281" s="1548"/>
      <c r="N281" s="1549"/>
      <c r="O281" s="1178"/>
      <c r="P281" s="1179"/>
      <c r="R281" s="104"/>
      <c r="S281" s="1172"/>
      <c r="T281" s="1172"/>
      <c r="U281" s="1172"/>
      <c r="V281" s="1173"/>
      <c r="W281" s="1174"/>
      <c r="X281" s="1175"/>
      <c r="Y281" s="1176"/>
      <c r="Z281" s="1177"/>
      <c r="AA281" s="1547"/>
      <c r="AB281" s="1177"/>
      <c r="AC281" s="1548"/>
      <c r="AD281" s="1549"/>
      <c r="AE281" s="1178"/>
      <c r="AF281" s="1179"/>
      <c r="AH281" s="104"/>
      <c r="AI281" s="1172"/>
      <c r="AJ281" s="1172"/>
      <c r="AK281" s="1172"/>
      <c r="AL281" s="1173"/>
      <c r="AM281" s="1174"/>
      <c r="AN281" s="1175"/>
      <c r="AO281" s="1176"/>
      <c r="AP281" s="1177"/>
      <c r="AQ281" s="1547"/>
      <c r="AR281" s="1177"/>
      <c r="AS281" s="1548"/>
      <c r="AT281" s="1549"/>
      <c r="AU281" s="1178"/>
      <c r="AV281" s="1179"/>
      <c r="AY281" s="3">
        <v>1</v>
      </c>
    </row>
    <row r="282" spans="2:51" ht="18.75">
      <c r="B282" s="104"/>
      <c r="C282" s="1172"/>
      <c r="D282" s="1172"/>
      <c r="E282" s="1172"/>
      <c r="F282" s="1173"/>
      <c r="G282" s="1174"/>
      <c r="H282" s="1175"/>
      <c r="I282" s="1176"/>
      <c r="J282" s="1177"/>
      <c r="K282" s="1547"/>
      <c r="L282" s="1177"/>
      <c r="M282" s="1548"/>
      <c r="N282" s="1549"/>
      <c r="O282" s="1178"/>
      <c r="P282" s="1179"/>
      <c r="R282" s="104"/>
      <c r="S282" s="1172"/>
      <c r="T282" s="1172"/>
      <c r="U282" s="1172"/>
      <c r="V282" s="1173"/>
      <c r="W282" s="1174"/>
      <c r="X282" s="1175"/>
      <c r="Y282" s="1176"/>
      <c r="Z282" s="1177"/>
      <c r="AA282" s="1547"/>
      <c r="AB282" s="1177"/>
      <c r="AC282" s="1548"/>
      <c r="AD282" s="1549"/>
      <c r="AE282" s="1178"/>
      <c r="AF282" s="1179"/>
      <c r="AH282" s="104"/>
      <c r="AI282" s="1172"/>
      <c r="AJ282" s="1172"/>
      <c r="AK282" s="1172"/>
      <c r="AL282" s="1173"/>
      <c r="AM282" s="1174"/>
      <c r="AN282" s="1175"/>
      <c r="AO282" s="1176"/>
      <c r="AP282" s="1177"/>
      <c r="AQ282" s="1547"/>
      <c r="AR282" s="1177"/>
      <c r="AS282" s="1548"/>
      <c r="AT282" s="1549"/>
      <c r="AU282" s="1178"/>
      <c r="AV282" s="1179"/>
      <c r="AY282" s="3">
        <v>1</v>
      </c>
    </row>
    <row r="283" spans="2:51" ht="18.75">
      <c r="B283" s="104"/>
      <c r="C283" s="1172"/>
      <c r="D283" s="1172"/>
      <c r="E283" s="1172"/>
      <c r="F283" s="1173"/>
      <c r="G283" s="1174"/>
      <c r="H283" s="1175"/>
      <c r="I283" s="1176"/>
      <c r="J283" s="1177"/>
      <c r="K283" s="1547"/>
      <c r="L283" s="1177"/>
      <c r="M283" s="1548"/>
      <c r="N283" s="1549"/>
      <c r="O283" s="1178"/>
      <c r="P283" s="1179"/>
      <c r="R283" s="104"/>
      <c r="S283" s="1172"/>
      <c r="T283" s="1172"/>
      <c r="U283" s="1172"/>
      <c r="V283" s="1173"/>
      <c r="W283" s="1174"/>
      <c r="X283" s="1175"/>
      <c r="Y283" s="1176"/>
      <c r="Z283" s="1177"/>
      <c r="AA283" s="1547"/>
      <c r="AB283" s="1177"/>
      <c r="AC283" s="1548"/>
      <c r="AD283" s="1549"/>
      <c r="AE283" s="1178"/>
      <c r="AF283" s="1179"/>
      <c r="AH283" s="104"/>
      <c r="AI283" s="1172"/>
      <c r="AJ283" s="1172"/>
      <c r="AK283" s="1172"/>
      <c r="AL283" s="1173"/>
      <c r="AM283" s="1174"/>
      <c r="AN283" s="1175"/>
      <c r="AO283" s="1176"/>
      <c r="AP283" s="1177"/>
      <c r="AQ283" s="1547"/>
      <c r="AR283" s="1177"/>
      <c r="AS283" s="1548"/>
      <c r="AT283" s="1549"/>
      <c r="AU283" s="1178"/>
      <c r="AV283" s="1179"/>
      <c r="AY283" s="3">
        <v>1</v>
      </c>
    </row>
    <row r="284" spans="2:51" ht="18.75">
      <c r="B284" s="104"/>
      <c r="C284" s="1172"/>
      <c r="D284" s="1172"/>
      <c r="E284" s="1172"/>
      <c r="F284" s="1173"/>
      <c r="G284" s="1174"/>
      <c r="H284" s="1175"/>
      <c r="I284" s="1176"/>
      <c r="J284" s="1177"/>
      <c r="K284" s="1547"/>
      <c r="L284" s="1177"/>
      <c r="M284" s="1548"/>
      <c r="N284" s="1549"/>
      <c r="O284" s="1178"/>
      <c r="P284" s="1179"/>
      <c r="R284" s="104"/>
      <c r="S284" s="1172"/>
      <c r="T284" s="1172"/>
      <c r="U284" s="1172"/>
      <c r="V284" s="1173"/>
      <c r="W284" s="1174"/>
      <c r="X284" s="1175"/>
      <c r="Y284" s="1176"/>
      <c r="Z284" s="1177"/>
      <c r="AA284" s="1547"/>
      <c r="AB284" s="1177"/>
      <c r="AC284" s="1548"/>
      <c r="AD284" s="1549"/>
      <c r="AE284" s="1178"/>
      <c r="AF284" s="1179"/>
      <c r="AH284" s="104"/>
      <c r="AI284" s="1172"/>
      <c r="AJ284" s="1172"/>
      <c r="AK284" s="1172"/>
      <c r="AL284" s="1173"/>
      <c r="AM284" s="1174"/>
      <c r="AN284" s="1175"/>
      <c r="AO284" s="1176"/>
      <c r="AP284" s="1177"/>
      <c r="AQ284" s="1547"/>
      <c r="AR284" s="1177"/>
      <c r="AS284" s="1548"/>
      <c r="AT284" s="1549"/>
      <c r="AU284" s="1178"/>
      <c r="AV284" s="1179"/>
      <c r="AY284" s="3">
        <v>1</v>
      </c>
    </row>
    <row r="285" spans="2:51" ht="18.75">
      <c r="B285" s="104"/>
      <c r="C285" s="1172"/>
      <c r="D285" s="1172"/>
      <c r="E285" s="1172"/>
      <c r="F285" s="1173"/>
      <c r="G285" s="1174"/>
      <c r="H285" s="1175"/>
      <c r="I285" s="1176"/>
      <c r="J285" s="1177"/>
      <c r="K285" s="1547"/>
      <c r="L285" s="1177"/>
      <c r="M285" s="1548"/>
      <c r="N285" s="1549"/>
      <c r="O285" s="1178"/>
      <c r="P285" s="1179"/>
      <c r="R285" s="104"/>
      <c r="S285" s="1172"/>
      <c r="T285" s="1172"/>
      <c r="U285" s="1172"/>
      <c r="V285" s="1173"/>
      <c r="W285" s="1174"/>
      <c r="X285" s="1175"/>
      <c r="Y285" s="1176"/>
      <c r="Z285" s="1177"/>
      <c r="AA285" s="1547"/>
      <c r="AB285" s="1177"/>
      <c r="AC285" s="1548"/>
      <c r="AD285" s="1549"/>
      <c r="AE285" s="1178"/>
      <c r="AF285" s="1179"/>
      <c r="AH285" s="104"/>
      <c r="AI285" s="1172"/>
      <c r="AJ285" s="1172"/>
      <c r="AK285" s="1172"/>
      <c r="AL285" s="1173"/>
      <c r="AM285" s="1174"/>
      <c r="AN285" s="1175"/>
      <c r="AO285" s="1176"/>
      <c r="AP285" s="1177"/>
      <c r="AQ285" s="1547"/>
      <c r="AR285" s="1177"/>
      <c r="AS285" s="1548"/>
      <c r="AT285" s="1549"/>
      <c r="AU285" s="1178"/>
      <c r="AV285" s="1179"/>
      <c r="AY285" s="3">
        <v>1</v>
      </c>
    </row>
    <row r="286" spans="2:51" ht="18.75">
      <c r="B286" s="104"/>
      <c r="C286" s="1172"/>
      <c r="D286" s="1172"/>
      <c r="E286" s="1172"/>
      <c r="F286" s="1173"/>
      <c r="G286" s="1174"/>
      <c r="H286" s="1175"/>
      <c r="I286" s="1176"/>
      <c r="J286" s="1177"/>
      <c r="K286" s="1547"/>
      <c r="L286" s="1177"/>
      <c r="M286" s="1548"/>
      <c r="N286" s="1549"/>
      <c r="O286" s="1178"/>
      <c r="P286" s="1179"/>
      <c r="R286" s="104"/>
      <c r="S286" s="1172"/>
      <c r="T286" s="1172"/>
      <c r="U286" s="1172"/>
      <c r="V286" s="1173"/>
      <c r="W286" s="1174"/>
      <c r="X286" s="1175"/>
      <c r="Y286" s="1176"/>
      <c r="Z286" s="1177"/>
      <c r="AA286" s="1547"/>
      <c r="AB286" s="1177"/>
      <c r="AC286" s="1548"/>
      <c r="AD286" s="1549"/>
      <c r="AE286" s="1178"/>
      <c r="AF286" s="1179"/>
      <c r="AH286" s="104"/>
      <c r="AI286" s="1172"/>
      <c r="AJ286" s="1172"/>
      <c r="AK286" s="1172"/>
      <c r="AL286" s="1173"/>
      <c r="AM286" s="1174"/>
      <c r="AN286" s="1175"/>
      <c r="AO286" s="1176"/>
      <c r="AP286" s="1177"/>
      <c r="AQ286" s="1547"/>
      <c r="AR286" s="1177"/>
      <c r="AS286" s="1548"/>
      <c r="AT286" s="1549"/>
      <c r="AU286" s="1178"/>
      <c r="AV286" s="1179"/>
      <c r="AY286" s="3">
        <v>1</v>
      </c>
    </row>
    <row r="287" spans="2:51" ht="18.75">
      <c r="B287" s="104"/>
      <c r="C287" s="1172"/>
      <c r="D287" s="1172"/>
      <c r="E287" s="1172"/>
      <c r="F287" s="1173"/>
      <c r="G287" s="1174"/>
      <c r="H287" s="1175"/>
      <c r="I287" s="1176"/>
      <c r="J287" s="1177"/>
      <c r="K287" s="1547"/>
      <c r="L287" s="1177"/>
      <c r="M287" s="1548"/>
      <c r="N287" s="1549"/>
      <c r="O287" s="1178"/>
      <c r="P287" s="1179"/>
      <c r="R287" s="104"/>
      <c r="S287" s="1172"/>
      <c r="T287" s="1172"/>
      <c r="U287" s="1172"/>
      <c r="V287" s="1173"/>
      <c r="W287" s="1174"/>
      <c r="X287" s="1175"/>
      <c r="Y287" s="1176"/>
      <c r="Z287" s="1177"/>
      <c r="AA287" s="1547"/>
      <c r="AB287" s="1177"/>
      <c r="AC287" s="1548"/>
      <c r="AD287" s="1549"/>
      <c r="AE287" s="1178"/>
      <c r="AF287" s="1179"/>
      <c r="AH287" s="104"/>
      <c r="AI287" s="1172"/>
      <c r="AJ287" s="1172"/>
      <c r="AK287" s="1172"/>
      <c r="AL287" s="1173"/>
      <c r="AM287" s="1174"/>
      <c r="AN287" s="1175"/>
      <c r="AO287" s="1176"/>
      <c r="AP287" s="1177"/>
      <c r="AQ287" s="1547"/>
      <c r="AR287" s="1177"/>
      <c r="AS287" s="1548"/>
      <c r="AT287" s="1549"/>
      <c r="AU287" s="1178"/>
      <c r="AV287" s="1179"/>
      <c r="AY287" s="3">
        <v>1</v>
      </c>
    </row>
    <row r="288" spans="2:51" ht="18.75">
      <c r="B288" s="104"/>
      <c r="C288" s="1172"/>
      <c r="D288" s="1172"/>
      <c r="E288" s="1172"/>
      <c r="F288" s="1173"/>
      <c r="G288" s="1174"/>
      <c r="H288" s="1175"/>
      <c r="I288" s="1176"/>
      <c r="J288" s="1177"/>
      <c r="K288" s="1547"/>
      <c r="L288" s="1177"/>
      <c r="M288" s="1548"/>
      <c r="N288" s="1549"/>
      <c r="O288" s="1178"/>
      <c r="P288" s="1179"/>
      <c r="R288" s="104"/>
      <c r="S288" s="1172"/>
      <c r="T288" s="1172"/>
      <c r="U288" s="1172"/>
      <c r="V288" s="1173"/>
      <c r="W288" s="1174"/>
      <c r="X288" s="1175"/>
      <c r="Y288" s="1176"/>
      <c r="Z288" s="1177"/>
      <c r="AA288" s="1547"/>
      <c r="AB288" s="1177"/>
      <c r="AC288" s="1548"/>
      <c r="AD288" s="1549"/>
      <c r="AE288" s="1178"/>
      <c r="AF288" s="1179"/>
      <c r="AH288" s="104"/>
      <c r="AI288" s="1172"/>
      <c r="AJ288" s="1172"/>
      <c r="AK288" s="1172"/>
      <c r="AL288" s="1173"/>
      <c r="AM288" s="1174"/>
      <c r="AN288" s="1175"/>
      <c r="AO288" s="1176"/>
      <c r="AP288" s="1177"/>
      <c r="AQ288" s="1547"/>
      <c r="AR288" s="1177"/>
      <c r="AS288" s="1548"/>
      <c r="AT288" s="1549"/>
      <c r="AU288" s="1178"/>
      <c r="AV288" s="1179"/>
      <c r="AY288" s="3">
        <v>1</v>
      </c>
    </row>
    <row r="289" spans="2:51" ht="18.75">
      <c r="B289" s="104"/>
      <c r="C289" s="1172"/>
      <c r="D289" s="1172"/>
      <c r="E289" s="1172"/>
      <c r="F289" s="1173"/>
      <c r="G289" s="1174"/>
      <c r="H289" s="1175"/>
      <c r="I289" s="1176"/>
      <c r="J289" s="1177"/>
      <c r="K289" s="1547"/>
      <c r="L289" s="1177"/>
      <c r="M289" s="1548"/>
      <c r="N289" s="1549"/>
      <c r="O289" s="1178"/>
      <c r="P289" s="1179"/>
      <c r="R289" s="104"/>
      <c r="S289" s="1172"/>
      <c r="T289" s="1172"/>
      <c r="U289" s="1172"/>
      <c r="V289" s="1173"/>
      <c r="W289" s="1174"/>
      <c r="X289" s="1175"/>
      <c r="Y289" s="1176"/>
      <c r="Z289" s="1177"/>
      <c r="AA289" s="1547"/>
      <c r="AB289" s="1177"/>
      <c r="AC289" s="1548"/>
      <c r="AD289" s="1549"/>
      <c r="AE289" s="1178"/>
      <c r="AF289" s="1179"/>
      <c r="AH289" s="104"/>
      <c r="AI289" s="1172"/>
      <c r="AJ289" s="1172"/>
      <c r="AK289" s="1172"/>
      <c r="AL289" s="1173"/>
      <c r="AM289" s="1174"/>
      <c r="AN289" s="1175"/>
      <c r="AO289" s="1176"/>
      <c r="AP289" s="1177"/>
      <c r="AQ289" s="1547"/>
      <c r="AR289" s="1177"/>
      <c r="AS289" s="1548"/>
      <c r="AT289" s="1549"/>
      <c r="AU289" s="1178"/>
      <c r="AV289" s="1179"/>
      <c r="AY289" s="3">
        <v>1</v>
      </c>
    </row>
    <row r="290" spans="2:51" ht="18.75">
      <c r="B290" s="104"/>
      <c r="C290" s="1172"/>
      <c r="D290" s="1172"/>
      <c r="E290" s="1172"/>
      <c r="F290" s="1173"/>
      <c r="G290" s="1174"/>
      <c r="H290" s="1175"/>
      <c r="I290" s="1176"/>
      <c r="J290" s="1177"/>
      <c r="K290" s="1547"/>
      <c r="L290" s="1177"/>
      <c r="M290" s="1548"/>
      <c r="N290" s="1549"/>
      <c r="O290" s="1178"/>
      <c r="P290" s="1179"/>
      <c r="R290" s="104"/>
      <c r="S290" s="1172"/>
      <c r="T290" s="1172"/>
      <c r="U290" s="1172"/>
      <c r="V290" s="1173"/>
      <c r="W290" s="1174"/>
      <c r="X290" s="1175"/>
      <c r="Y290" s="1176"/>
      <c r="Z290" s="1177"/>
      <c r="AA290" s="1547"/>
      <c r="AB290" s="1177"/>
      <c r="AC290" s="1548"/>
      <c r="AD290" s="1549"/>
      <c r="AE290" s="1178"/>
      <c r="AF290" s="1179"/>
      <c r="AH290" s="104"/>
      <c r="AI290" s="1172"/>
      <c r="AJ290" s="1172"/>
      <c r="AK290" s="1172"/>
      <c r="AL290" s="1173"/>
      <c r="AM290" s="1174"/>
      <c r="AN290" s="1175"/>
      <c r="AO290" s="1176"/>
      <c r="AP290" s="1177"/>
      <c r="AQ290" s="1547"/>
      <c r="AR290" s="1177"/>
      <c r="AS290" s="1548"/>
      <c r="AT290" s="1549"/>
      <c r="AU290" s="1178"/>
      <c r="AV290" s="1179"/>
      <c r="AY290" s="3">
        <v>1</v>
      </c>
    </row>
    <row r="291" spans="2:51" ht="18.75">
      <c r="B291" s="104"/>
      <c r="C291" s="1172"/>
      <c r="D291" s="1172"/>
      <c r="E291" s="1172"/>
      <c r="F291" s="1173"/>
      <c r="G291" s="1174"/>
      <c r="H291" s="1175"/>
      <c r="I291" s="1176"/>
      <c r="J291" s="1177"/>
      <c r="K291" s="1547"/>
      <c r="L291" s="1177"/>
      <c r="M291" s="1548"/>
      <c r="N291" s="1549"/>
      <c r="O291" s="1178"/>
      <c r="P291" s="1179"/>
      <c r="R291" s="104"/>
      <c r="S291" s="1172"/>
      <c r="T291" s="1172"/>
      <c r="U291" s="1172"/>
      <c r="V291" s="1173"/>
      <c r="W291" s="1174"/>
      <c r="X291" s="1175"/>
      <c r="Y291" s="1176"/>
      <c r="Z291" s="1177"/>
      <c r="AA291" s="1547"/>
      <c r="AB291" s="1177"/>
      <c r="AC291" s="1548"/>
      <c r="AD291" s="1549"/>
      <c r="AE291" s="1178"/>
      <c r="AF291" s="1179"/>
      <c r="AH291" s="104"/>
      <c r="AI291" s="1172"/>
      <c r="AJ291" s="1172"/>
      <c r="AK291" s="1172"/>
      <c r="AL291" s="1173"/>
      <c r="AM291" s="1174"/>
      <c r="AN291" s="1175"/>
      <c r="AO291" s="1176"/>
      <c r="AP291" s="1177"/>
      <c r="AQ291" s="1547"/>
      <c r="AR291" s="1177"/>
      <c r="AS291" s="1548"/>
      <c r="AT291" s="1549"/>
      <c r="AU291" s="1178"/>
      <c r="AV291" s="1179"/>
      <c r="AY291" s="3">
        <v>1</v>
      </c>
    </row>
    <row r="292" spans="2:51" ht="18.75">
      <c r="B292" s="104"/>
      <c r="C292" s="1172"/>
      <c r="D292" s="1172"/>
      <c r="E292" s="1172"/>
      <c r="F292" s="1173"/>
      <c r="G292" s="1174"/>
      <c r="H292" s="1175"/>
      <c r="I292" s="1176"/>
      <c r="J292" s="1177"/>
      <c r="K292" s="1547"/>
      <c r="L292" s="1177"/>
      <c r="M292" s="1548"/>
      <c r="N292" s="1549"/>
      <c r="O292" s="1178"/>
      <c r="P292" s="1179"/>
      <c r="R292" s="104"/>
      <c r="S292" s="1172"/>
      <c r="T292" s="1172"/>
      <c r="U292" s="1172"/>
      <c r="V292" s="1173"/>
      <c r="W292" s="1174"/>
      <c r="X292" s="1175"/>
      <c r="Y292" s="1176"/>
      <c r="Z292" s="1177"/>
      <c r="AA292" s="1547"/>
      <c r="AB292" s="1177"/>
      <c r="AC292" s="1548"/>
      <c r="AD292" s="1549"/>
      <c r="AE292" s="1178"/>
      <c r="AF292" s="1179"/>
      <c r="AH292" s="104"/>
      <c r="AI292" s="1172"/>
      <c r="AJ292" s="1172"/>
      <c r="AK292" s="1172"/>
      <c r="AL292" s="1173"/>
      <c r="AM292" s="1174"/>
      <c r="AN292" s="1175"/>
      <c r="AO292" s="1176"/>
      <c r="AP292" s="1177"/>
      <c r="AQ292" s="1547"/>
      <c r="AR292" s="1177"/>
      <c r="AS292" s="1548"/>
      <c r="AT292" s="1549"/>
      <c r="AU292" s="1178"/>
      <c r="AV292" s="1179"/>
      <c r="AY292" s="3">
        <v>1</v>
      </c>
    </row>
    <row r="293" spans="2:51" ht="18.75">
      <c r="B293" s="104"/>
      <c r="C293" s="1172"/>
      <c r="D293" s="1172"/>
      <c r="E293" s="1172"/>
      <c r="F293" s="1173"/>
      <c r="G293" s="1174"/>
      <c r="H293" s="1175"/>
      <c r="I293" s="1176"/>
      <c r="J293" s="1177"/>
      <c r="K293" s="1547"/>
      <c r="L293" s="1177"/>
      <c r="M293" s="1548"/>
      <c r="N293" s="1549"/>
      <c r="O293" s="1178"/>
      <c r="P293" s="1179"/>
      <c r="R293" s="104"/>
      <c r="S293" s="1172"/>
      <c r="T293" s="1172"/>
      <c r="U293" s="1172"/>
      <c r="V293" s="1173"/>
      <c r="W293" s="1174"/>
      <c r="X293" s="1175"/>
      <c r="Y293" s="1176"/>
      <c r="Z293" s="1177"/>
      <c r="AA293" s="1547"/>
      <c r="AB293" s="1177"/>
      <c r="AC293" s="1548"/>
      <c r="AD293" s="1549"/>
      <c r="AE293" s="1178"/>
      <c r="AF293" s="1179"/>
      <c r="AH293" s="104"/>
      <c r="AI293" s="1172"/>
      <c r="AJ293" s="1172"/>
      <c r="AK293" s="1172"/>
      <c r="AL293" s="1173"/>
      <c r="AM293" s="1174"/>
      <c r="AN293" s="1175"/>
      <c r="AO293" s="1176"/>
      <c r="AP293" s="1177"/>
      <c r="AQ293" s="1547"/>
      <c r="AR293" s="1177"/>
      <c r="AS293" s="1548"/>
      <c r="AT293" s="1549"/>
      <c r="AU293" s="1178"/>
      <c r="AV293" s="1179"/>
      <c r="AY293" s="3">
        <v>1</v>
      </c>
    </row>
    <row r="294" spans="2:51" ht="18.75">
      <c r="B294" s="104"/>
      <c r="C294" s="1172"/>
      <c r="D294" s="1172"/>
      <c r="E294" s="1172"/>
      <c r="F294" s="1173"/>
      <c r="G294" s="1174"/>
      <c r="H294" s="1175"/>
      <c r="I294" s="1176"/>
      <c r="J294" s="1177"/>
      <c r="K294" s="1547"/>
      <c r="L294" s="1177"/>
      <c r="M294" s="1548"/>
      <c r="N294" s="1549"/>
      <c r="O294" s="1178"/>
      <c r="P294" s="1179"/>
      <c r="R294" s="104"/>
      <c r="S294" s="1172"/>
      <c r="T294" s="1172"/>
      <c r="U294" s="1172"/>
      <c r="V294" s="1173"/>
      <c r="W294" s="1174"/>
      <c r="X294" s="1175"/>
      <c r="Y294" s="1176"/>
      <c r="Z294" s="1177"/>
      <c r="AA294" s="1547"/>
      <c r="AB294" s="1177"/>
      <c r="AC294" s="1548"/>
      <c r="AD294" s="1549"/>
      <c r="AE294" s="1178"/>
      <c r="AF294" s="1179"/>
      <c r="AH294" s="104"/>
      <c r="AI294" s="1172"/>
      <c r="AJ294" s="1172"/>
      <c r="AK294" s="1172"/>
      <c r="AL294" s="1173"/>
      <c r="AM294" s="1174"/>
      <c r="AN294" s="1175"/>
      <c r="AO294" s="1176"/>
      <c r="AP294" s="1177"/>
      <c r="AQ294" s="1547"/>
      <c r="AR294" s="1177"/>
      <c r="AS294" s="1548"/>
      <c r="AT294" s="1549"/>
      <c r="AU294" s="1178"/>
      <c r="AV294" s="1179"/>
      <c r="AY294" s="3">
        <v>1</v>
      </c>
    </row>
    <row r="295" spans="2:51" ht="18.75">
      <c r="B295" s="104"/>
      <c r="C295" s="1172"/>
      <c r="D295" s="1172"/>
      <c r="E295" s="1172"/>
      <c r="F295" s="1173"/>
      <c r="G295" s="1174"/>
      <c r="H295" s="1175"/>
      <c r="I295" s="1176"/>
      <c r="J295" s="1177"/>
      <c r="K295" s="1547"/>
      <c r="L295" s="1177"/>
      <c r="M295" s="1548"/>
      <c r="N295" s="1549"/>
      <c r="O295" s="1178"/>
      <c r="P295" s="1179"/>
      <c r="R295" s="104"/>
      <c r="S295" s="1172"/>
      <c r="T295" s="1172"/>
      <c r="U295" s="1172"/>
      <c r="V295" s="1173"/>
      <c r="W295" s="1174"/>
      <c r="X295" s="1175"/>
      <c r="Y295" s="1176"/>
      <c r="Z295" s="1177"/>
      <c r="AA295" s="1547"/>
      <c r="AB295" s="1177"/>
      <c r="AC295" s="1548"/>
      <c r="AD295" s="1549"/>
      <c r="AE295" s="1178"/>
      <c r="AF295" s="1179"/>
      <c r="AH295" s="104"/>
      <c r="AI295" s="1172"/>
      <c r="AJ295" s="1172"/>
      <c r="AK295" s="1172"/>
      <c r="AL295" s="1173"/>
      <c r="AM295" s="1174"/>
      <c r="AN295" s="1175"/>
      <c r="AO295" s="1176"/>
      <c r="AP295" s="1177"/>
      <c r="AQ295" s="1547"/>
      <c r="AR295" s="1177"/>
      <c r="AS295" s="1548"/>
      <c r="AT295" s="1549"/>
      <c r="AU295" s="1178"/>
      <c r="AV295" s="1179"/>
      <c r="AY295" s="3">
        <v>1</v>
      </c>
    </row>
    <row r="296" spans="2:51" ht="18.75">
      <c r="B296" s="104"/>
      <c r="C296" s="1172"/>
      <c r="D296" s="1172"/>
      <c r="E296" s="1172"/>
      <c r="F296" s="1173"/>
      <c r="G296" s="1174"/>
      <c r="H296" s="1175"/>
      <c r="I296" s="1176"/>
      <c r="J296" s="1177"/>
      <c r="K296" s="1547"/>
      <c r="L296" s="1177"/>
      <c r="M296" s="1548"/>
      <c r="N296" s="1549"/>
      <c r="O296" s="1178"/>
      <c r="P296" s="1179"/>
      <c r="R296" s="104"/>
      <c r="S296" s="1172"/>
      <c r="T296" s="1172"/>
      <c r="U296" s="1172"/>
      <c r="V296" s="1173"/>
      <c r="W296" s="1174"/>
      <c r="X296" s="1175"/>
      <c r="Y296" s="1176"/>
      <c r="Z296" s="1177"/>
      <c r="AA296" s="1547"/>
      <c r="AB296" s="1177"/>
      <c r="AC296" s="1548"/>
      <c r="AD296" s="1549"/>
      <c r="AE296" s="1178"/>
      <c r="AF296" s="1179"/>
      <c r="AH296" s="104"/>
      <c r="AI296" s="1172"/>
      <c r="AJ296" s="1172"/>
      <c r="AK296" s="1172"/>
      <c r="AL296" s="1173"/>
      <c r="AM296" s="1174"/>
      <c r="AN296" s="1175"/>
      <c r="AO296" s="1176"/>
      <c r="AP296" s="1177"/>
      <c r="AQ296" s="1547"/>
      <c r="AR296" s="1177"/>
      <c r="AS296" s="1548"/>
      <c r="AT296" s="1549"/>
      <c r="AU296" s="1178"/>
      <c r="AV296" s="1179"/>
      <c r="AY296" s="3">
        <v>1</v>
      </c>
    </row>
    <row r="297" spans="2:51" ht="18.75">
      <c r="B297" s="104"/>
      <c r="C297" s="1172"/>
      <c r="D297" s="1172"/>
      <c r="E297" s="1172"/>
      <c r="F297" s="1173"/>
      <c r="G297" s="1174"/>
      <c r="H297" s="1175"/>
      <c r="I297" s="1176"/>
      <c r="J297" s="1177"/>
      <c r="K297" s="1547"/>
      <c r="L297" s="1177"/>
      <c r="M297" s="1548"/>
      <c r="N297" s="1549"/>
      <c r="O297" s="1178"/>
      <c r="P297" s="1179"/>
      <c r="R297" s="104"/>
      <c r="S297" s="1172"/>
      <c r="T297" s="1172"/>
      <c r="U297" s="1172"/>
      <c r="V297" s="1173"/>
      <c r="W297" s="1174"/>
      <c r="X297" s="1175"/>
      <c r="Y297" s="1176"/>
      <c r="Z297" s="1177"/>
      <c r="AA297" s="1547"/>
      <c r="AB297" s="1177"/>
      <c r="AC297" s="1548"/>
      <c r="AD297" s="1549"/>
      <c r="AE297" s="1178"/>
      <c r="AF297" s="1179"/>
      <c r="AH297" s="104"/>
      <c r="AI297" s="1172"/>
      <c r="AJ297" s="1172"/>
      <c r="AK297" s="1172"/>
      <c r="AL297" s="1173"/>
      <c r="AM297" s="1174"/>
      <c r="AN297" s="1175"/>
      <c r="AO297" s="1176"/>
      <c r="AP297" s="1177"/>
      <c r="AQ297" s="1547"/>
      <c r="AR297" s="1177"/>
      <c r="AS297" s="1548"/>
      <c r="AT297" s="1549"/>
      <c r="AU297" s="1178"/>
      <c r="AV297" s="1179"/>
      <c r="AY297" s="3">
        <v>1</v>
      </c>
    </row>
    <row r="298" spans="2:51" ht="18.75">
      <c r="B298" s="104"/>
      <c r="C298" s="1172"/>
      <c r="D298" s="1172"/>
      <c r="E298" s="1172"/>
      <c r="F298" s="1173"/>
      <c r="G298" s="1174"/>
      <c r="H298" s="1175"/>
      <c r="I298" s="1176"/>
      <c r="J298" s="1177"/>
      <c r="K298" s="1547"/>
      <c r="L298" s="1177"/>
      <c r="M298" s="1548"/>
      <c r="N298" s="1549"/>
      <c r="O298" s="1178"/>
      <c r="P298" s="1179"/>
      <c r="R298" s="104"/>
      <c r="S298" s="1172"/>
      <c r="T298" s="1172"/>
      <c r="U298" s="1172"/>
      <c r="V298" s="1173"/>
      <c r="W298" s="1174"/>
      <c r="X298" s="1175"/>
      <c r="Y298" s="1176"/>
      <c r="Z298" s="1177"/>
      <c r="AA298" s="1547"/>
      <c r="AB298" s="1177"/>
      <c r="AC298" s="1548"/>
      <c r="AD298" s="1549"/>
      <c r="AE298" s="1178"/>
      <c r="AF298" s="1179"/>
      <c r="AH298" s="104"/>
      <c r="AI298" s="1172"/>
      <c r="AJ298" s="1172"/>
      <c r="AK298" s="1172"/>
      <c r="AL298" s="1173"/>
      <c r="AM298" s="1174"/>
      <c r="AN298" s="1175"/>
      <c r="AO298" s="1176"/>
      <c r="AP298" s="1177"/>
      <c r="AQ298" s="1547"/>
      <c r="AR298" s="1177"/>
      <c r="AS298" s="1548"/>
      <c r="AT298" s="1549"/>
      <c r="AU298" s="1178"/>
      <c r="AV298" s="1179"/>
      <c r="AY298" s="3">
        <v>1</v>
      </c>
    </row>
    <row r="299" spans="2:51" ht="18.75">
      <c r="B299" s="104"/>
      <c r="C299" s="1172"/>
      <c r="D299" s="1172"/>
      <c r="E299" s="1172"/>
      <c r="F299" s="1173"/>
      <c r="G299" s="1174"/>
      <c r="H299" s="1175"/>
      <c r="I299" s="1176"/>
      <c r="J299" s="1177"/>
      <c r="K299" s="1547"/>
      <c r="L299" s="1177"/>
      <c r="M299" s="1548"/>
      <c r="N299" s="1549"/>
      <c r="O299" s="1178"/>
      <c r="P299" s="1179"/>
      <c r="R299" s="104"/>
      <c r="S299" s="1172"/>
      <c r="T299" s="1172"/>
      <c r="U299" s="1172"/>
      <c r="V299" s="1173"/>
      <c r="W299" s="1174"/>
      <c r="X299" s="1175"/>
      <c r="Y299" s="1176"/>
      <c r="Z299" s="1177"/>
      <c r="AA299" s="1547"/>
      <c r="AB299" s="1177"/>
      <c r="AC299" s="1548"/>
      <c r="AD299" s="1549"/>
      <c r="AE299" s="1178"/>
      <c r="AF299" s="1179"/>
      <c r="AH299" s="104"/>
      <c r="AI299" s="1172"/>
      <c r="AJ299" s="1172"/>
      <c r="AK299" s="1172"/>
      <c r="AL299" s="1173"/>
      <c r="AM299" s="1174"/>
      <c r="AN299" s="1175"/>
      <c r="AO299" s="1176"/>
      <c r="AP299" s="1177"/>
      <c r="AQ299" s="1547"/>
      <c r="AR299" s="1177"/>
      <c r="AS299" s="1548"/>
      <c r="AT299" s="1549"/>
      <c r="AU299" s="1178"/>
      <c r="AV299" s="1179"/>
      <c r="AY299" s="3">
        <v>1</v>
      </c>
    </row>
    <row r="300" spans="2:51" ht="18.75">
      <c r="B300" s="104"/>
      <c r="C300" s="1172"/>
      <c r="D300" s="1172"/>
      <c r="E300" s="1172"/>
      <c r="F300" s="1173"/>
      <c r="G300" s="1174"/>
      <c r="H300" s="1175"/>
      <c r="I300" s="1176"/>
      <c r="J300" s="1177"/>
      <c r="K300" s="1547"/>
      <c r="L300" s="1177"/>
      <c r="M300" s="1548"/>
      <c r="N300" s="1549"/>
      <c r="O300" s="1178"/>
      <c r="P300" s="1179"/>
      <c r="R300" s="104"/>
      <c r="S300" s="1172"/>
      <c r="T300" s="1172"/>
      <c r="U300" s="1172"/>
      <c r="V300" s="1173"/>
      <c r="W300" s="1174"/>
      <c r="X300" s="1175"/>
      <c r="Y300" s="1176"/>
      <c r="Z300" s="1177"/>
      <c r="AA300" s="1547"/>
      <c r="AB300" s="1177"/>
      <c r="AC300" s="1548"/>
      <c r="AD300" s="1549"/>
      <c r="AE300" s="1178"/>
      <c r="AF300" s="1179"/>
      <c r="AH300" s="104"/>
      <c r="AI300" s="1172"/>
      <c r="AJ300" s="1172"/>
      <c r="AK300" s="1172"/>
      <c r="AL300" s="1173"/>
      <c r="AM300" s="1174"/>
      <c r="AN300" s="1175"/>
      <c r="AO300" s="1176"/>
      <c r="AP300" s="1177"/>
      <c r="AQ300" s="1547"/>
      <c r="AR300" s="1177"/>
      <c r="AS300" s="1548"/>
      <c r="AT300" s="1549"/>
      <c r="AU300" s="1178"/>
      <c r="AV300" s="1179"/>
      <c r="AY300" s="3">
        <v>1</v>
      </c>
    </row>
    <row r="301" spans="2:51" ht="18.75">
      <c r="B301" s="104"/>
      <c r="C301" s="1172"/>
      <c r="D301" s="1172"/>
      <c r="E301" s="1172"/>
      <c r="F301" s="1173"/>
      <c r="G301" s="1174"/>
      <c r="H301" s="1175"/>
      <c r="I301" s="1176"/>
      <c r="J301" s="1177"/>
      <c r="K301" s="1547"/>
      <c r="L301" s="1177"/>
      <c r="M301" s="1548"/>
      <c r="N301" s="1549"/>
      <c r="O301" s="1178"/>
      <c r="P301" s="1179"/>
      <c r="R301" s="104"/>
      <c r="S301" s="1172"/>
      <c r="T301" s="1172"/>
      <c r="U301" s="1172"/>
      <c r="V301" s="1173"/>
      <c r="W301" s="1174"/>
      <c r="X301" s="1175"/>
      <c r="Y301" s="1176"/>
      <c r="Z301" s="1177"/>
      <c r="AA301" s="1547"/>
      <c r="AB301" s="1177"/>
      <c r="AC301" s="1548"/>
      <c r="AD301" s="1549"/>
      <c r="AE301" s="1178"/>
      <c r="AF301" s="1179"/>
      <c r="AH301" s="104"/>
      <c r="AI301" s="1172"/>
      <c r="AJ301" s="1172"/>
      <c r="AK301" s="1172"/>
      <c r="AL301" s="1173"/>
      <c r="AM301" s="1174"/>
      <c r="AN301" s="1175"/>
      <c r="AO301" s="1176"/>
      <c r="AP301" s="1177"/>
      <c r="AQ301" s="1547"/>
      <c r="AR301" s="1177"/>
      <c r="AS301" s="1548"/>
      <c r="AT301" s="1549"/>
      <c r="AU301" s="1178"/>
      <c r="AV301" s="1179"/>
      <c r="AY301" s="3">
        <v>1</v>
      </c>
    </row>
    <row r="302" spans="2:51" ht="18.75">
      <c r="B302" s="104"/>
      <c r="C302" s="1172"/>
      <c r="D302" s="1172"/>
      <c r="E302" s="1172"/>
      <c r="F302" s="1173"/>
      <c r="G302" s="1174"/>
      <c r="H302" s="1175"/>
      <c r="I302" s="1176"/>
      <c r="J302" s="1177"/>
      <c r="K302" s="1547"/>
      <c r="L302" s="1177"/>
      <c r="M302" s="1548"/>
      <c r="N302" s="1549"/>
      <c r="O302" s="1178"/>
      <c r="P302" s="1179"/>
      <c r="R302" s="104"/>
      <c r="S302" s="1172"/>
      <c r="T302" s="1172"/>
      <c r="U302" s="1172"/>
      <c r="V302" s="1173"/>
      <c r="W302" s="1174"/>
      <c r="X302" s="1175"/>
      <c r="Y302" s="1176"/>
      <c r="Z302" s="1177"/>
      <c r="AA302" s="1547"/>
      <c r="AB302" s="1177"/>
      <c r="AC302" s="1548"/>
      <c r="AD302" s="1549"/>
      <c r="AE302" s="1178"/>
      <c r="AF302" s="1179"/>
      <c r="AH302" s="104"/>
      <c r="AI302" s="1172"/>
      <c r="AJ302" s="1172"/>
      <c r="AK302" s="1172"/>
      <c r="AL302" s="1173"/>
      <c r="AM302" s="1174"/>
      <c r="AN302" s="1175"/>
      <c r="AO302" s="1176"/>
      <c r="AP302" s="1177"/>
      <c r="AQ302" s="1547"/>
      <c r="AR302" s="1177"/>
      <c r="AS302" s="1548"/>
      <c r="AT302" s="1549"/>
      <c r="AU302" s="1178"/>
      <c r="AV302" s="1179"/>
      <c r="AY302" s="3">
        <v>1</v>
      </c>
    </row>
    <row r="303" spans="2:51" ht="18.75">
      <c r="B303" s="104"/>
      <c r="C303" s="1172"/>
      <c r="D303" s="1172"/>
      <c r="E303" s="1172"/>
      <c r="F303" s="1173"/>
      <c r="G303" s="1174"/>
      <c r="H303" s="1175"/>
      <c r="I303" s="1176"/>
      <c r="J303" s="1177"/>
      <c r="K303" s="1547"/>
      <c r="L303" s="1177"/>
      <c r="M303" s="1548"/>
      <c r="N303" s="1549"/>
      <c r="O303" s="1178"/>
      <c r="P303" s="1179"/>
      <c r="R303" s="104"/>
      <c r="S303" s="1172"/>
      <c r="T303" s="1172"/>
      <c r="U303" s="1172"/>
      <c r="V303" s="1173"/>
      <c r="W303" s="1174"/>
      <c r="X303" s="1175"/>
      <c r="Y303" s="1176"/>
      <c r="Z303" s="1177"/>
      <c r="AA303" s="1547"/>
      <c r="AB303" s="1177"/>
      <c r="AC303" s="1548"/>
      <c r="AD303" s="1549"/>
      <c r="AE303" s="1178"/>
      <c r="AF303" s="1179"/>
      <c r="AH303" s="104"/>
      <c r="AI303" s="1172"/>
      <c r="AJ303" s="1172"/>
      <c r="AK303" s="1172"/>
      <c r="AL303" s="1173"/>
      <c r="AM303" s="1174"/>
      <c r="AN303" s="1175"/>
      <c r="AO303" s="1176"/>
      <c r="AP303" s="1177"/>
      <c r="AQ303" s="1547"/>
      <c r="AR303" s="1177"/>
      <c r="AS303" s="1548"/>
      <c r="AT303" s="1549"/>
      <c r="AU303" s="1178"/>
      <c r="AV303" s="1179"/>
      <c r="AY303" s="3">
        <v>1</v>
      </c>
    </row>
    <row r="304" spans="2:51" ht="18.75">
      <c r="B304" s="104"/>
      <c r="C304" s="1172"/>
      <c r="D304" s="1172"/>
      <c r="E304" s="1172"/>
      <c r="F304" s="1173"/>
      <c r="G304" s="1174"/>
      <c r="H304" s="1175"/>
      <c r="I304" s="1176"/>
      <c r="J304" s="1177"/>
      <c r="K304" s="1547"/>
      <c r="L304" s="1177"/>
      <c r="M304" s="1548"/>
      <c r="N304" s="1549"/>
      <c r="O304" s="1178"/>
      <c r="P304" s="1179"/>
      <c r="R304" s="104"/>
      <c r="S304" s="1172"/>
      <c r="T304" s="1172"/>
      <c r="U304" s="1172"/>
      <c r="V304" s="1173"/>
      <c r="W304" s="1174"/>
      <c r="X304" s="1175"/>
      <c r="Y304" s="1176"/>
      <c r="Z304" s="1177"/>
      <c r="AA304" s="1547"/>
      <c r="AB304" s="1177"/>
      <c r="AC304" s="1548"/>
      <c r="AD304" s="1549"/>
      <c r="AE304" s="1178"/>
      <c r="AF304" s="1179"/>
      <c r="AH304" s="104"/>
      <c r="AI304" s="1172"/>
      <c r="AJ304" s="1172"/>
      <c r="AK304" s="1172"/>
      <c r="AL304" s="1173"/>
      <c r="AM304" s="1174"/>
      <c r="AN304" s="1175"/>
      <c r="AO304" s="1176"/>
      <c r="AP304" s="1177"/>
      <c r="AQ304" s="1547"/>
      <c r="AR304" s="1177"/>
      <c r="AS304" s="1548"/>
      <c r="AT304" s="1549"/>
      <c r="AU304" s="1178"/>
      <c r="AV304" s="1179"/>
      <c r="AY304" s="3">
        <v>1</v>
      </c>
    </row>
    <row r="305" spans="2:51" ht="18.75">
      <c r="B305" s="104"/>
      <c r="C305" s="1172"/>
      <c r="D305" s="1172"/>
      <c r="E305" s="1172"/>
      <c r="F305" s="1173"/>
      <c r="G305" s="1174"/>
      <c r="H305" s="1175"/>
      <c r="I305" s="1176"/>
      <c r="J305" s="1177"/>
      <c r="K305" s="1547"/>
      <c r="L305" s="1177"/>
      <c r="M305" s="1548"/>
      <c r="N305" s="1549"/>
      <c r="O305" s="1178"/>
      <c r="P305" s="1179"/>
      <c r="R305" s="104"/>
      <c r="S305" s="1172"/>
      <c r="T305" s="1172"/>
      <c r="U305" s="1172"/>
      <c r="V305" s="1173"/>
      <c r="W305" s="1174"/>
      <c r="X305" s="1175"/>
      <c r="Y305" s="1176"/>
      <c r="Z305" s="1177"/>
      <c r="AA305" s="1547"/>
      <c r="AB305" s="1177"/>
      <c r="AC305" s="1548"/>
      <c r="AD305" s="1549"/>
      <c r="AE305" s="1178"/>
      <c r="AF305" s="1179"/>
      <c r="AH305" s="104"/>
      <c r="AI305" s="1172"/>
      <c r="AJ305" s="1172"/>
      <c r="AK305" s="1172"/>
      <c r="AL305" s="1173"/>
      <c r="AM305" s="1174"/>
      <c r="AN305" s="1175"/>
      <c r="AO305" s="1176"/>
      <c r="AP305" s="1177"/>
      <c r="AQ305" s="1547"/>
      <c r="AR305" s="1177"/>
      <c r="AS305" s="1548"/>
      <c r="AT305" s="1549"/>
      <c r="AU305" s="1178"/>
      <c r="AV305" s="1179"/>
      <c r="AY305" s="3">
        <v>1</v>
      </c>
    </row>
    <row r="306" spans="2:51" ht="18.75">
      <c r="B306" s="104"/>
      <c r="C306" s="1172"/>
      <c r="D306" s="1172"/>
      <c r="E306" s="1172"/>
      <c r="F306" s="1173"/>
      <c r="G306" s="1174"/>
      <c r="H306" s="1175"/>
      <c r="I306" s="1176"/>
      <c r="J306" s="1177"/>
      <c r="K306" s="1547"/>
      <c r="L306" s="1177"/>
      <c r="M306" s="1548"/>
      <c r="N306" s="1549"/>
      <c r="O306" s="1178"/>
      <c r="P306" s="1179"/>
      <c r="R306" s="104"/>
      <c r="S306" s="1172"/>
      <c r="T306" s="1172"/>
      <c r="U306" s="1172"/>
      <c r="V306" s="1173"/>
      <c r="W306" s="1174"/>
      <c r="X306" s="1175"/>
      <c r="Y306" s="1176"/>
      <c r="Z306" s="1177"/>
      <c r="AA306" s="1547"/>
      <c r="AB306" s="1177"/>
      <c r="AC306" s="1548"/>
      <c r="AD306" s="1549"/>
      <c r="AE306" s="1178"/>
      <c r="AF306" s="1179"/>
      <c r="AH306" s="104"/>
      <c r="AI306" s="1172"/>
      <c r="AJ306" s="1172"/>
      <c r="AK306" s="1172"/>
      <c r="AL306" s="1173"/>
      <c r="AM306" s="1174"/>
      <c r="AN306" s="1175"/>
      <c r="AO306" s="1176"/>
      <c r="AP306" s="1177"/>
      <c r="AQ306" s="1547"/>
      <c r="AR306" s="1177"/>
      <c r="AS306" s="1548"/>
      <c r="AT306" s="1549"/>
      <c r="AU306" s="1178"/>
      <c r="AV306" s="1179"/>
      <c r="AY306" s="3">
        <v>1</v>
      </c>
    </row>
    <row r="307" spans="2:51" ht="18.75">
      <c r="B307" s="104"/>
      <c r="C307" s="1172"/>
      <c r="D307" s="1172"/>
      <c r="E307" s="1172"/>
      <c r="F307" s="1173"/>
      <c r="G307" s="1174"/>
      <c r="H307" s="1175"/>
      <c r="I307" s="1176"/>
      <c r="J307" s="1177"/>
      <c r="K307" s="1547"/>
      <c r="L307" s="1177"/>
      <c r="M307" s="1548"/>
      <c r="N307" s="1549"/>
      <c r="O307" s="1178"/>
      <c r="P307" s="1179"/>
      <c r="R307" s="104"/>
      <c r="S307" s="1172"/>
      <c r="T307" s="1172"/>
      <c r="U307" s="1172"/>
      <c r="V307" s="1173"/>
      <c r="W307" s="1174"/>
      <c r="X307" s="1175"/>
      <c r="Y307" s="1176"/>
      <c r="Z307" s="1177"/>
      <c r="AA307" s="1547"/>
      <c r="AB307" s="1177"/>
      <c r="AC307" s="1548"/>
      <c r="AD307" s="1549"/>
      <c r="AE307" s="1178"/>
      <c r="AF307" s="1179"/>
      <c r="AH307" s="104"/>
      <c r="AI307" s="1172"/>
      <c r="AJ307" s="1172"/>
      <c r="AK307" s="1172"/>
      <c r="AL307" s="1173"/>
      <c r="AM307" s="1174"/>
      <c r="AN307" s="1175"/>
      <c r="AO307" s="1176"/>
      <c r="AP307" s="1177"/>
      <c r="AQ307" s="1547"/>
      <c r="AR307" s="1177"/>
      <c r="AS307" s="1548"/>
      <c r="AT307" s="1549"/>
      <c r="AU307" s="1178"/>
      <c r="AV307" s="1179"/>
      <c r="AY307" s="3">
        <v>1</v>
      </c>
    </row>
    <row r="308" spans="2:51" ht="18.75">
      <c r="B308" s="104"/>
      <c r="C308" s="1172"/>
      <c r="D308" s="1172"/>
      <c r="E308" s="1172"/>
      <c r="F308" s="1173"/>
      <c r="G308" s="1174"/>
      <c r="H308" s="1175"/>
      <c r="I308" s="1176"/>
      <c r="J308" s="1177"/>
      <c r="K308" s="1547"/>
      <c r="L308" s="1177"/>
      <c r="M308" s="1548"/>
      <c r="N308" s="1549"/>
      <c r="O308" s="1178"/>
      <c r="P308" s="1179"/>
      <c r="R308" s="104"/>
      <c r="S308" s="1172"/>
      <c r="T308" s="1172"/>
      <c r="U308" s="1172"/>
      <c r="V308" s="1173"/>
      <c r="W308" s="1174"/>
      <c r="X308" s="1175"/>
      <c r="Y308" s="1176"/>
      <c r="Z308" s="1177"/>
      <c r="AA308" s="1547"/>
      <c r="AB308" s="1177"/>
      <c r="AC308" s="1548"/>
      <c r="AD308" s="1549"/>
      <c r="AE308" s="1178"/>
      <c r="AF308" s="1179"/>
      <c r="AH308" s="104"/>
      <c r="AI308" s="1172"/>
      <c r="AJ308" s="1172"/>
      <c r="AK308" s="1172"/>
      <c r="AL308" s="1173"/>
      <c r="AM308" s="1174"/>
      <c r="AN308" s="1175"/>
      <c r="AO308" s="1176"/>
      <c r="AP308" s="1177"/>
      <c r="AQ308" s="1547"/>
      <c r="AR308" s="1177"/>
      <c r="AS308" s="1548"/>
      <c r="AT308" s="1549"/>
      <c r="AU308" s="1178"/>
      <c r="AV308" s="1179"/>
      <c r="AY308" s="3">
        <v>1</v>
      </c>
    </row>
    <row r="309" spans="2:51" ht="18.75">
      <c r="B309" s="104"/>
      <c r="C309" s="1172"/>
      <c r="D309" s="1172"/>
      <c r="E309" s="1172"/>
      <c r="F309" s="1173"/>
      <c r="G309" s="1174"/>
      <c r="H309" s="1175"/>
      <c r="I309" s="1176"/>
      <c r="J309" s="1177"/>
      <c r="K309" s="1547"/>
      <c r="L309" s="1177"/>
      <c r="M309" s="1548"/>
      <c r="N309" s="1549"/>
      <c r="O309" s="1178"/>
      <c r="P309" s="1179"/>
      <c r="R309" s="104"/>
      <c r="S309" s="1172"/>
      <c r="T309" s="1172"/>
      <c r="U309" s="1172"/>
      <c r="V309" s="1173"/>
      <c r="W309" s="1174"/>
      <c r="X309" s="1175"/>
      <c r="Y309" s="1176"/>
      <c r="Z309" s="1177"/>
      <c r="AA309" s="1547"/>
      <c r="AB309" s="1177"/>
      <c r="AC309" s="1548"/>
      <c r="AD309" s="1549"/>
      <c r="AE309" s="1178"/>
      <c r="AF309" s="1179"/>
      <c r="AH309" s="104"/>
      <c r="AI309" s="1172"/>
      <c r="AJ309" s="1172"/>
      <c r="AK309" s="1172"/>
      <c r="AL309" s="1173"/>
      <c r="AM309" s="1174"/>
      <c r="AN309" s="1175"/>
      <c r="AO309" s="1176"/>
      <c r="AP309" s="1177"/>
      <c r="AQ309" s="1547"/>
      <c r="AR309" s="1177"/>
      <c r="AS309" s="1548"/>
      <c r="AT309" s="1549"/>
      <c r="AU309" s="1178"/>
      <c r="AV309" s="1179"/>
      <c r="AY309" s="3">
        <v>1</v>
      </c>
    </row>
    <row r="310" spans="2:51" ht="18.75">
      <c r="B310" s="104"/>
      <c r="C310" s="1172"/>
      <c r="D310" s="1172"/>
      <c r="E310" s="1172"/>
      <c r="F310" s="1173"/>
      <c r="G310" s="1174"/>
      <c r="H310" s="1175"/>
      <c r="I310" s="1176"/>
      <c r="J310" s="1177"/>
      <c r="K310" s="1547"/>
      <c r="L310" s="1177"/>
      <c r="M310" s="1548"/>
      <c r="N310" s="1549"/>
      <c r="O310" s="1178"/>
      <c r="P310" s="1179"/>
      <c r="R310" s="104"/>
      <c r="S310" s="1172"/>
      <c r="T310" s="1172"/>
      <c r="U310" s="1172"/>
      <c r="V310" s="1173"/>
      <c r="W310" s="1174"/>
      <c r="X310" s="1175"/>
      <c r="Y310" s="1176"/>
      <c r="Z310" s="1177"/>
      <c r="AA310" s="1547"/>
      <c r="AB310" s="1177"/>
      <c r="AC310" s="1548"/>
      <c r="AD310" s="1549"/>
      <c r="AE310" s="1178"/>
      <c r="AF310" s="1179"/>
      <c r="AH310" s="104"/>
      <c r="AI310" s="1172"/>
      <c r="AJ310" s="1172"/>
      <c r="AK310" s="1172"/>
      <c r="AL310" s="1173"/>
      <c r="AM310" s="1174"/>
      <c r="AN310" s="1175"/>
      <c r="AO310" s="1176"/>
      <c r="AP310" s="1177"/>
      <c r="AQ310" s="1547"/>
      <c r="AR310" s="1177"/>
      <c r="AS310" s="1548"/>
      <c r="AT310" s="1549"/>
      <c r="AU310" s="1178"/>
      <c r="AV310" s="1179"/>
      <c r="AY310" s="3">
        <v>1</v>
      </c>
    </row>
    <row r="311" spans="2:51" ht="18.75">
      <c r="B311" s="104"/>
      <c r="C311" s="1172"/>
      <c r="D311" s="1172"/>
      <c r="E311" s="1172"/>
      <c r="F311" s="1173"/>
      <c r="G311" s="1174"/>
      <c r="H311" s="1175"/>
      <c r="I311" s="1176"/>
      <c r="J311" s="1177"/>
      <c r="K311" s="1547"/>
      <c r="L311" s="1177"/>
      <c r="M311" s="1548"/>
      <c r="N311" s="1549"/>
      <c r="O311" s="1178"/>
      <c r="P311" s="1179"/>
      <c r="R311" s="104"/>
      <c r="S311" s="1172"/>
      <c r="T311" s="1172"/>
      <c r="U311" s="1172"/>
      <c r="V311" s="1173"/>
      <c r="W311" s="1174"/>
      <c r="X311" s="1175"/>
      <c r="Y311" s="1176"/>
      <c r="Z311" s="1177"/>
      <c r="AA311" s="1547"/>
      <c r="AB311" s="1177"/>
      <c r="AC311" s="1548"/>
      <c r="AD311" s="1549"/>
      <c r="AE311" s="1178"/>
      <c r="AF311" s="1179"/>
      <c r="AH311" s="104"/>
      <c r="AI311" s="1172"/>
      <c r="AJ311" s="1172"/>
      <c r="AK311" s="1172"/>
      <c r="AL311" s="1173"/>
      <c r="AM311" s="1174"/>
      <c r="AN311" s="1175"/>
      <c r="AO311" s="1176"/>
      <c r="AP311" s="1177"/>
      <c r="AQ311" s="1547"/>
      <c r="AR311" s="1177"/>
      <c r="AS311" s="1548"/>
      <c r="AT311" s="1549"/>
      <c r="AU311" s="1178"/>
      <c r="AV311" s="1179"/>
      <c r="AY311" s="3">
        <v>1</v>
      </c>
    </row>
    <row r="312" spans="2:51" ht="18.75">
      <c r="B312" s="104"/>
      <c r="C312" s="1172"/>
      <c r="D312" s="1172"/>
      <c r="E312" s="1172"/>
      <c r="F312" s="1173"/>
      <c r="G312" s="1174"/>
      <c r="H312" s="1175"/>
      <c r="I312" s="1176"/>
      <c r="J312" s="1177"/>
      <c r="K312" s="1547"/>
      <c r="L312" s="1177"/>
      <c r="M312" s="1548"/>
      <c r="N312" s="1549"/>
      <c r="O312" s="1178"/>
      <c r="P312" s="1179"/>
      <c r="R312" s="104"/>
      <c r="S312" s="1172"/>
      <c r="T312" s="1172"/>
      <c r="U312" s="1172"/>
      <c r="V312" s="1173"/>
      <c r="W312" s="1174"/>
      <c r="X312" s="1175"/>
      <c r="Y312" s="1176"/>
      <c r="Z312" s="1177"/>
      <c r="AA312" s="1547"/>
      <c r="AB312" s="1177"/>
      <c r="AC312" s="1548"/>
      <c r="AD312" s="1549"/>
      <c r="AE312" s="1178"/>
      <c r="AF312" s="1179"/>
      <c r="AH312" s="104"/>
      <c r="AI312" s="1172"/>
      <c r="AJ312" s="1172"/>
      <c r="AK312" s="1172"/>
      <c r="AL312" s="1173"/>
      <c r="AM312" s="1174"/>
      <c r="AN312" s="1175"/>
      <c r="AO312" s="1176"/>
      <c r="AP312" s="1177"/>
      <c r="AQ312" s="1547"/>
      <c r="AR312" s="1177"/>
      <c r="AS312" s="1548"/>
      <c r="AT312" s="1549"/>
      <c r="AU312" s="1178"/>
      <c r="AV312" s="1179"/>
      <c r="AY312" s="3">
        <v>1</v>
      </c>
    </row>
    <row r="313" spans="2:51" ht="18.75">
      <c r="B313" s="104"/>
      <c r="C313" s="1172"/>
      <c r="D313" s="1172"/>
      <c r="E313" s="1172"/>
      <c r="F313" s="1173"/>
      <c r="G313" s="1174"/>
      <c r="H313" s="1175"/>
      <c r="I313" s="1176"/>
      <c r="J313" s="1177"/>
      <c r="K313" s="1547"/>
      <c r="L313" s="1177"/>
      <c r="M313" s="1548"/>
      <c r="N313" s="1549"/>
      <c r="O313" s="1178"/>
      <c r="P313" s="1179"/>
      <c r="R313" s="104"/>
      <c r="S313" s="1172"/>
      <c r="T313" s="1172"/>
      <c r="U313" s="1172"/>
      <c r="V313" s="1173"/>
      <c r="W313" s="1174"/>
      <c r="X313" s="1175"/>
      <c r="Y313" s="1176"/>
      <c r="Z313" s="1177"/>
      <c r="AA313" s="1547"/>
      <c r="AB313" s="1177"/>
      <c r="AC313" s="1548"/>
      <c r="AD313" s="1549"/>
      <c r="AE313" s="1178"/>
      <c r="AF313" s="1179"/>
      <c r="AH313" s="104"/>
      <c r="AI313" s="1172"/>
      <c r="AJ313" s="1172"/>
      <c r="AK313" s="1172"/>
      <c r="AL313" s="1173"/>
      <c r="AM313" s="1174"/>
      <c r="AN313" s="1175"/>
      <c r="AO313" s="1176"/>
      <c r="AP313" s="1177"/>
      <c r="AQ313" s="1547"/>
      <c r="AR313" s="1177"/>
      <c r="AS313" s="1548"/>
      <c r="AT313" s="1549"/>
      <c r="AU313" s="1178"/>
      <c r="AV313" s="1179"/>
      <c r="AY313" s="3">
        <v>1</v>
      </c>
    </row>
    <row r="314" spans="2:51" ht="18.75">
      <c r="B314" s="104"/>
      <c r="C314" s="1172"/>
      <c r="D314" s="1172"/>
      <c r="E314" s="1172"/>
      <c r="F314" s="1173"/>
      <c r="G314" s="1174"/>
      <c r="H314" s="1175"/>
      <c r="I314" s="1176"/>
      <c r="J314" s="1177"/>
      <c r="K314" s="1547"/>
      <c r="L314" s="1177"/>
      <c r="M314" s="1548"/>
      <c r="N314" s="1549"/>
      <c r="O314" s="1178"/>
      <c r="P314" s="1179"/>
      <c r="R314" s="104"/>
      <c r="S314" s="1172"/>
      <c r="T314" s="1172"/>
      <c r="U314" s="1172"/>
      <c r="V314" s="1173"/>
      <c r="W314" s="1174"/>
      <c r="X314" s="1175"/>
      <c r="Y314" s="1176"/>
      <c r="Z314" s="1177"/>
      <c r="AA314" s="1547"/>
      <c r="AB314" s="1177"/>
      <c r="AC314" s="1548"/>
      <c r="AD314" s="1549"/>
      <c r="AE314" s="1178"/>
      <c r="AF314" s="1179"/>
      <c r="AH314" s="104"/>
      <c r="AI314" s="1172"/>
      <c r="AJ314" s="1172"/>
      <c r="AK314" s="1172"/>
      <c r="AL314" s="1173"/>
      <c r="AM314" s="1174"/>
      <c r="AN314" s="1175"/>
      <c r="AO314" s="1176"/>
      <c r="AP314" s="1177"/>
      <c r="AQ314" s="1547"/>
      <c r="AR314" s="1177"/>
      <c r="AS314" s="1548"/>
      <c r="AT314" s="1549"/>
      <c r="AU314" s="1178"/>
      <c r="AV314" s="1179"/>
      <c r="AY314" s="3">
        <v>1</v>
      </c>
    </row>
    <row r="315" spans="2:51" ht="18.75">
      <c r="B315" s="104"/>
      <c r="C315" s="1172"/>
      <c r="D315" s="1172"/>
      <c r="E315" s="1172"/>
      <c r="F315" s="1173"/>
      <c r="G315" s="1174"/>
      <c r="H315" s="1175"/>
      <c r="I315" s="1176"/>
      <c r="J315" s="1177"/>
      <c r="K315" s="1547"/>
      <c r="L315" s="1177"/>
      <c r="M315" s="1548"/>
      <c r="N315" s="1549"/>
      <c r="O315" s="1178"/>
      <c r="P315" s="1179"/>
      <c r="R315" s="104"/>
      <c r="S315" s="1172"/>
      <c r="T315" s="1172"/>
      <c r="U315" s="1172"/>
      <c r="V315" s="1173"/>
      <c r="W315" s="1174"/>
      <c r="X315" s="1175"/>
      <c r="Y315" s="1176"/>
      <c r="Z315" s="1177"/>
      <c r="AA315" s="1547"/>
      <c r="AB315" s="1177"/>
      <c r="AC315" s="1548"/>
      <c r="AD315" s="1549"/>
      <c r="AE315" s="1178"/>
      <c r="AF315" s="1179"/>
      <c r="AH315" s="104"/>
      <c r="AI315" s="1172"/>
      <c r="AJ315" s="1172"/>
      <c r="AK315" s="1172"/>
      <c r="AL315" s="1173"/>
      <c r="AM315" s="1174"/>
      <c r="AN315" s="1175"/>
      <c r="AO315" s="1176"/>
      <c r="AP315" s="1177"/>
      <c r="AQ315" s="1547"/>
      <c r="AR315" s="1177"/>
      <c r="AS315" s="1548"/>
      <c r="AT315" s="1549"/>
      <c r="AU315" s="1178"/>
      <c r="AV315" s="1179"/>
      <c r="AY315" s="3">
        <v>1</v>
      </c>
    </row>
    <row r="316" spans="2:51" ht="18.75">
      <c r="B316" s="104"/>
      <c r="C316" s="1172"/>
      <c r="D316" s="1172"/>
      <c r="E316" s="1172"/>
      <c r="F316" s="1173"/>
      <c r="G316" s="1174"/>
      <c r="H316" s="1175"/>
      <c r="I316" s="1176"/>
      <c r="J316" s="1177"/>
      <c r="K316" s="1547"/>
      <c r="L316" s="1177"/>
      <c r="M316" s="1548"/>
      <c r="N316" s="1549"/>
      <c r="O316" s="1178"/>
      <c r="P316" s="1179"/>
      <c r="R316" s="104"/>
      <c r="S316" s="1172"/>
      <c r="T316" s="1172"/>
      <c r="U316" s="1172"/>
      <c r="V316" s="1173"/>
      <c r="W316" s="1174"/>
      <c r="X316" s="1175"/>
      <c r="Y316" s="1176"/>
      <c r="Z316" s="1177"/>
      <c r="AA316" s="1547"/>
      <c r="AB316" s="1177"/>
      <c r="AC316" s="1548"/>
      <c r="AD316" s="1549"/>
      <c r="AE316" s="1178"/>
      <c r="AF316" s="1179"/>
      <c r="AH316" s="104"/>
      <c r="AI316" s="1172"/>
      <c r="AJ316" s="1172"/>
      <c r="AK316" s="1172"/>
      <c r="AL316" s="1173"/>
      <c r="AM316" s="1174"/>
      <c r="AN316" s="1175"/>
      <c r="AO316" s="1176"/>
      <c r="AP316" s="1177"/>
      <c r="AQ316" s="1547"/>
      <c r="AR316" s="1177"/>
      <c r="AS316" s="1548"/>
      <c r="AT316" s="1549"/>
      <c r="AU316" s="1178"/>
      <c r="AV316" s="1179"/>
      <c r="AY316" s="3">
        <v>1</v>
      </c>
    </row>
    <row r="317" spans="2:51" ht="18.75">
      <c r="B317" s="104"/>
      <c r="C317" s="1172"/>
      <c r="D317" s="1172"/>
      <c r="E317" s="1172"/>
      <c r="F317" s="1173"/>
      <c r="G317" s="1174"/>
      <c r="H317" s="1175"/>
      <c r="I317" s="1176"/>
      <c r="J317" s="1177"/>
      <c r="K317" s="1547"/>
      <c r="L317" s="1177"/>
      <c r="M317" s="1548"/>
      <c r="N317" s="1549"/>
      <c r="O317" s="1178"/>
      <c r="P317" s="1179"/>
      <c r="R317" s="104"/>
      <c r="S317" s="1172"/>
      <c r="T317" s="1172"/>
      <c r="U317" s="1172"/>
      <c r="V317" s="1173"/>
      <c r="W317" s="1174"/>
      <c r="X317" s="1175"/>
      <c r="Y317" s="1176"/>
      <c r="Z317" s="1177"/>
      <c r="AA317" s="1547"/>
      <c r="AB317" s="1177"/>
      <c r="AC317" s="1548"/>
      <c r="AD317" s="1549"/>
      <c r="AE317" s="1178"/>
      <c r="AF317" s="1179"/>
      <c r="AH317" s="104"/>
      <c r="AI317" s="1172"/>
      <c r="AJ317" s="1172"/>
      <c r="AK317" s="1172"/>
      <c r="AL317" s="1173"/>
      <c r="AM317" s="1174"/>
      <c r="AN317" s="1175"/>
      <c r="AO317" s="1176"/>
      <c r="AP317" s="1177"/>
      <c r="AQ317" s="1547"/>
      <c r="AR317" s="1177"/>
      <c r="AS317" s="1548"/>
      <c r="AT317" s="1549"/>
      <c r="AU317" s="1178"/>
      <c r="AV317" s="1179"/>
      <c r="AY317" s="3">
        <v>1</v>
      </c>
    </row>
    <row r="318" spans="2:51" ht="18.75">
      <c r="B318" s="104"/>
      <c r="C318" s="1172"/>
      <c r="D318" s="1172"/>
      <c r="E318" s="1172"/>
      <c r="F318" s="1173"/>
      <c r="G318" s="1174"/>
      <c r="H318" s="1175"/>
      <c r="I318" s="1176"/>
      <c r="J318" s="1177"/>
      <c r="K318" s="1547"/>
      <c r="L318" s="1177"/>
      <c r="M318" s="1548"/>
      <c r="N318" s="1549"/>
      <c r="O318" s="1178"/>
      <c r="P318" s="1179"/>
      <c r="R318" s="104"/>
      <c r="S318" s="1172"/>
      <c r="T318" s="1172"/>
      <c r="U318" s="1172"/>
      <c r="V318" s="1173"/>
      <c r="W318" s="1174"/>
      <c r="X318" s="1175"/>
      <c r="Y318" s="1176"/>
      <c r="Z318" s="1177"/>
      <c r="AA318" s="1547"/>
      <c r="AB318" s="1177"/>
      <c r="AC318" s="1548"/>
      <c r="AD318" s="1549"/>
      <c r="AE318" s="1178"/>
      <c r="AF318" s="1179"/>
      <c r="AH318" s="104"/>
      <c r="AI318" s="1172"/>
      <c r="AJ318" s="1172"/>
      <c r="AK318" s="1172"/>
      <c r="AL318" s="1173"/>
      <c r="AM318" s="1174"/>
      <c r="AN318" s="1175"/>
      <c r="AO318" s="1176"/>
      <c r="AP318" s="1177"/>
      <c r="AQ318" s="1547"/>
      <c r="AR318" s="1177"/>
      <c r="AS318" s="1548"/>
      <c r="AT318" s="1549"/>
      <c r="AU318" s="1178"/>
      <c r="AV318" s="1179"/>
      <c r="AY318" s="3">
        <v>1</v>
      </c>
    </row>
    <row r="319" spans="2:51" ht="18.75">
      <c r="B319" s="104"/>
      <c r="C319" s="1172"/>
      <c r="D319" s="1172"/>
      <c r="E319" s="1172"/>
      <c r="F319" s="1173"/>
      <c r="G319" s="1174"/>
      <c r="H319" s="1175"/>
      <c r="I319" s="1176"/>
      <c r="J319" s="1177"/>
      <c r="K319" s="1547"/>
      <c r="L319" s="1177"/>
      <c r="M319" s="1548"/>
      <c r="N319" s="1549"/>
      <c r="O319" s="1178"/>
      <c r="P319" s="1179"/>
      <c r="R319" s="104"/>
      <c r="S319" s="1172"/>
      <c r="T319" s="1172"/>
      <c r="U319" s="1172"/>
      <c r="V319" s="1173"/>
      <c r="W319" s="1174"/>
      <c r="X319" s="1175"/>
      <c r="Y319" s="1176"/>
      <c r="Z319" s="1177"/>
      <c r="AA319" s="1547"/>
      <c r="AB319" s="1177"/>
      <c r="AC319" s="1548"/>
      <c r="AD319" s="1549"/>
      <c r="AE319" s="1178"/>
      <c r="AF319" s="1179"/>
      <c r="AH319" s="104"/>
      <c r="AI319" s="1172"/>
      <c r="AJ319" s="1172"/>
      <c r="AK319" s="1172"/>
      <c r="AL319" s="1173"/>
      <c r="AM319" s="1174"/>
      <c r="AN319" s="1175"/>
      <c r="AO319" s="1176"/>
      <c r="AP319" s="1177"/>
      <c r="AQ319" s="1547"/>
      <c r="AR319" s="1177"/>
      <c r="AS319" s="1548"/>
      <c r="AT319" s="1549"/>
      <c r="AU319" s="1178"/>
      <c r="AV319" s="1179"/>
      <c r="AY319" s="3">
        <v>1</v>
      </c>
    </row>
    <row r="320" spans="2:51" ht="18.75">
      <c r="B320" s="104"/>
      <c r="C320" s="1172"/>
      <c r="D320" s="1172"/>
      <c r="E320" s="1172"/>
      <c r="F320" s="1173"/>
      <c r="G320" s="1174"/>
      <c r="H320" s="1175"/>
      <c r="I320" s="1176"/>
      <c r="J320" s="1177"/>
      <c r="K320" s="1547"/>
      <c r="L320" s="1177"/>
      <c r="M320" s="1548"/>
      <c r="N320" s="1549"/>
      <c r="O320" s="1178"/>
      <c r="P320" s="1179"/>
      <c r="R320" s="104"/>
      <c r="S320" s="1172"/>
      <c r="T320" s="1172"/>
      <c r="U320" s="1172"/>
      <c r="V320" s="1173"/>
      <c r="W320" s="1174"/>
      <c r="X320" s="1175"/>
      <c r="Y320" s="1176"/>
      <c r="Z320" s="1177"/>
      <c r="AA320" s="1547"/>
      <c r="AB320" s="1177"/>
      <c r="AC320" s="1548"/>
      <c r="AD320" s="1549"/>
      <c r="AE320" s="1178"/>
      <c r="AF320" s="1179"/>
      <c r="AH320" s="104"/>
      <c r="AI320" s="1172"/>
      <c r="AJ320" s="1172"/>
      <c r="AK320" s="1172"/>
      <c r="AL320" s="1173"/>
      <c r="AM320" s="1174"/>
      <c r="AN320" s="1175"/>
      <c r="AO320" s="1176"/>
      <c r="AP320" s="1177"/>
      <c r="AQ320" s="1547"/>
      <c r="AR320" s="1177"/>
      <c r="AS320" s="1548"/>
      <c r="AT320" s="1549"/>
      <c r="AU320" s="1178"/>
      <c r="AV320" s="1179"/>
      <c r="AY320" s="3">
        <v>1</v>
      </c>
    </row>
    <row r="321" spans="2:51" ht="18.75">
      <c r="B321" s="104"/>
      <c r="C321" s="1172"/>
      <c r="D321" s="1172"/>
      <c r="E321" s="1172"/>
      <c r="F321" s="1173"/>
      <c r="G321" s="1174"/>
      <c r="H321" s="1175"/>
      <c r="I321" s="1176"/>
      <c r="J321" s="1177"/>
      <c r="K321" s="1547"/>
      <c r="L321" s="1177"/>
      <c r="M321" s="1548"/>
      <c r="N321" s="1549"/>
      <c r="O321" s="1178"/>
      <c r="P321" s="1179"/>
      <c r="R321" s="104"/>
      <c r="S321" s="1172"/>
      <c r="T321" s="1172"/>
      <c r="U321" s="1172"/>
      <c r="V321" s="1173"/>
      <c r="W321" s="1174"/>
      <c r="X321" s="1175"/>
      <c r="Y321" s="1176"/>
      <c r="Z321" s="1177"/>
      <c r="AA321" s="1547"/>
      <c r="AB321" s="1177"/>
      <c r="AC321" s="1548"/>
      <c r="AD321" s="1549"/>
      <c r="AE321" s="1178"/>
      <c r="AF321" s="1179"/>
      <c r="AH321" s="104"/>
      <c r="AI321" s="1172"/>
      <c r="AJ321" s="1172"/>
      <c r="AK321" s="1172"/>
      <c r="AL321" s="1173"/>
      <c r="AM321" s="1174"/>
      <c r="AN321" s="1175"/>
      <c r="AO321" s="1176"/>
      <c r="AP321" s="1177"/>
      <c r="AQ321" s="1547"/>
      <c r="AR321" s="1177"/>
      <c r="AS321" s="1548"/>
      <c r="AT321" s="1549"/>
      <c r="AU321" s="1178"/>
      <c r="AV321" s="1179"/>
      <c r="AY321" s="3">
        <v>1</v>
      </c>
    </row>
    <row r="322" spans="2:51" ht="18.75">
      <c r="B322" s="104"/>
      <c r="C322" s="1172"/>
      <c r="D322" s="1172"/>
      <c r="E322" s="1172"/>
      <c r="F322" s="1173"/>
      <c r="G322" s="1174"/>
      <c r="H322" s="1175"/>
      <c r="I322" s="1176"/>
      <c r="J322" s="1177"/>
      <c r="K322" s="1547"/>
      <c r="L322" s="1177"/>
      <c r="M322" s="1548"/>
      <c r="N322" s="1549"/>
      <c r="O322" s="1178"/>
      <c r="P322" s="1179"/>
      <c r="R322" s="104"/>
      <c r="S322" s="1172"/>
      <c r="T322" s="1172"/>
      <c r="U322" s="1172"/>
      <c r="V322" s="1173"/>
      <c r="W322" s="1174"/>
      <c r="X322" s="1175"/>
      <c r="Y322" s="1176"/>
      <c r="Z322" s="1177"/>
      <c r="AA322" s="1547"/>
      <c r="AB322" s="1177"/>
      <c r="AC322" s="1548"/>
      <c r="AD322" s="1549"/>
      <c r="AE322" s="1178"/>
      <c r="AF322" s="1179"/>
      <c r="AH322" s="104"/>
      <c r="AI322" s="1172"/>
      <c r="AJ322" s="1172"/>
      <c r="AK322" s="1172"/>
      <c r="AL322" s="1173"/>
      <c r="AM322" s="1174"/>
      <c r="AN322" s="1175"/>
      <c r="AO322" s="1176"/>
      <c r="AP322" s="1177"/>
      <c r="AQ322" s="1547"/>
      <c r="AR322" s="1177"/>
      <c r="AS322" s="1548"/>
      <c r="AT322" s="1549"/>
      <c r="AU322" s="1178"/>
      <c r="AV322" s="1179"/>
      <c r="AY322" s="3">
        <v>1</v>
      </c>
    </row>
    <row r="323" spans="2:51" ht="18.75">
      <c r="B323" s="104"/>
      <c r="C323" s="1172"/>
      <c r="D323" s="1172"/>
      <c r="E323" s="1172"/>
      <c r="F323" s="1173"/>
      <c r="G323" s="1174"/>
      <c r="H323" s="1175"/>
      <c r="I323" s="1176"/>
      <c r="J323" s="1177"/>
      <c r="K323" s="1547"/>
      <c r="L323" s="1177"/>
      <c r="M323" s="1548"/>
      <c r="N323" s="1549"/>
      <c r="O323" s="1178"/>
      <c r="P323" s="1179"/>
      <c r="R323" s="104"/>
      <c r="S323" s="1172"/>
      <c r="T323" s="1172"/>
      <c r="U323" s="1172"/>
      <c r="V323" s="1173"/>
      <c r="W323" s="1174"/>
      <c r="X323" s="1175"/>
      <c r="Y323" s="1176"/>
      <c r="Z323" s="1177"/>
      <c r="AA323" s="1547"/>
      <c r="AB323" s="1177"/>
      <c r="AC323" s="1548"/>
      <c r="AD323" s="1549"/>
      <c r="AE323" s="1178"/>
      <c r="AF323" s="1179"/>
      <c r="AH323" s="104"/>
      <c r="AI323" s="1172"/>
      <c r="AJ323" s="1172"/>
      <c r="AK323" s="1172"/>
      <c r="AL323" s="1173"/>
      <c r="AM323" s="1174"/>
      <c r="AN323" s="1175"/>
      <c r="AO323" s="1176"/>
      <c r="AP323" s="1177"/>
      <c r="AQ323" s="1547"/>
      <c r="AR323" s="1177"/>
      <c r="AS323" s="1548"/>
      <c r="AT323" s="1549"/>
      <c r="AU323" s="1178"/>
      <c r="AV323" s="1179"/>
      <c r="AY323" s="3">
        <v>1</v>
      </c>
    </row>
    <row r="324" spans="2:51" ht="18.75">
      <c r="B324" s="104"/>
      <c r="C324" s="1172"/>
      <c r="D324" s="1172"/>
      <c r="E324" s="1172"/>
      <c r="F324" s="1173"/>
      <c r="G324" s="1174"/>
      <c r="H324" s="1175"/>
      <c r="I324" s="1176"/>
      <c r="J324" s="1177"/>
      <c r="K324" s="1547"/>
      <c r="L324" s="1177"/>
      <c r="M324" s="1548"/>
      <c r="N324" s="1549"/>
      <c r="O324" s="1178"/>
      <c r="P324" s="1179"/>
      <c r="R324" s="104"/>
      <c r="S324" s="1172"/>
      <c r="T324" s="1172"/>
      <c r="U324" s="1172"/>
      <c r="V324" s="1173"/>
      <c r="W324" s="1174"/>
      <c r="X324" s="1175"/>
      <c r="Y324" s="1176"/>
      <c r="Z324" s="1177"/>
      <c r="AA324" s="1547"/>
      <c r="AB324" s="1177"/>
      <c r="AC324" s="1548"/>
      <c r="AD324" s="1549"/>
      <c r="AE324" s="1178"/>
      <c r="AF324" s="1179"/>
      <c r="AH324" s="104"/>
      <c r="AI324" s="1172"/>
      <c r="AJ324" s="1172"/>
      <c r="AK324" s="1172"/>
      <c r="AL324" s="1173"/>
      <c r="AM324" s="1174"/>
      <c r="AN324" s="1175"/>
      <c r="AO324" s="1176"/>
      <c r="AP324" s="1177"/>
      <c r="AQ324" s="1547"/>
      <c r="AR324" s="1177"/>
      <c r="AS324" s="1548"/>
      <c r="AT324" s="1549"/>
      <c r="AU324" s="1178"/>
      <c r="AV324" s="1179"/>
      <c r="AY324" s="3">
        <v>1</v>
      </c>
    </row>
    <row r="325" spans="2:51" ht="18.75">
      <c r="B325" s="104"/>
      <c r="C325" s="1172"/>
      <c r="D325" s="1172"/>
      <c r="E325" s="1172"/>
      <c r="F325" s="1173"/>
      <c r="G325" s="1174"/>
      <c r="H325" s="1175"/>
      <c r="I325" s="1176"/>
      <c r="J325" s="1177"/>
      <c r="K325" s="1547"/>
      <c r="L325" s="1177"/>
      <c r="M325" s="1548"/>
      <c r="N325" s="1549"/>
      <c r="O325" s="1178"/>
      <c r="P325" s="1179"/>
      <c r="R325" s="104"/>
      <c r="S325" s="1172"/>
      <c r="T325" s="1172"/>
      <c r="U325" s="1172"/>
      <c r="V325" s="1173"/>
      <c r="W325" s="1174"/>
      <c r="X325" s="1175"/>
      <c r="Y325" s="1176"/>
      <c r="Z325" s="1177"/>
      <c r="AA325" s="1547"/>
      <c r="AB325" s="1177"/>
      <c r="AC325" s="1548"/>
      <c r="AD325" s="1549"/>
      <c r="AE325" s="1178"/>
      <c r="AF325" s="1179"/>
      <c r="AH325" s="104"/>
      <c r="AI325" s="1172"/>
      <c r="AJ325" s="1172"/>
      <c r="AK325" s="1172"/>
      <c r="AL325" s="1173"/>
      <c r="AM325" s="1174"/>
      <c r="AN325" s="1175"/>
      <c r="AO325" s="1176"/>
      <c r="AP325" s="1177"/>
      <c r="AQ325" s="1547"/>
      <c r="AR325" s="1177"/>
      <c r="AS325" s="1548"/>
      <c r="AT325" s="1549"/>
      <c r="AU325" s="1178"/>
      <c r="AV325" s="1179"/>
      <c r="AY325" s="3">
        <v>1</v>
      </c>
    </row>
    <row r="326" spans="2:51" ht="18.75">
      <c r="B326" s="104"/>
      <c r="C326" s="1172"/>
      <c r="D326" s="1172"/>
      <c r="E326" s="1172"/>
      <c r="F326" s="1173"/>
      <c r="G326" s="1174"/>
      <c r="H326" s="1175"/>
      <c r="I326" s="1176"/>
      <c r="J326" s="1177"/>
      <c r="K326" s="1547"/>
      <c r="L326" s="1177"/>
      <c r="M326" s="1548"/>
      <c r="N326" s="1549"/>
      <c r="O326" s="1178"/>
      <c r="P326" s="1179"/>
      <c r="R326" s="104"/>
      <c r="S326" s="1172"/>
      <c r="T326" s="1172"/>
      <c r="U326" s="1172"/>
      <c r="V326" s="1173"/>
      <c r="W326" s="1174"/>
      <c r="X326" s="1175"/>
      <c r="Y326" s="1176"/>
      <c r="Z326" s="1177"/>
      <c r="AA326" s="1547"/>
      <c r="AB326" s="1177"/>
      <c r="AC326" s="1548"/>
      <c r="AD326" s="1549"/>
      <c r="AE326" s="1178"/>
      <c r="AF326" s="1179"/>
      <c r="AH326" s="104"/>
      <c r="AI326" s="1172"/>
      <c r="AJ326" s="1172"/>
      <c r="AK326" s="1172"/>
      <c r="AL326" s="1173"/>
      <c r="AM326" s="1174"/>
      <c r="AN326" s="1175"/>
      <c r="AO326" s="1176"/>
      <c r="AP326" s="1177"/>
      <c r="AQ326" s="1547"/>
      <c r="AR326" s="1177"/>
      <c r="AS326" s="1548"/>
      <c r="AT326" s="1549"/>
      <c r="AU326" s="1178"/>
      <c r="AV326" s="1179"/>
      <c r="AY326" s="3">
        <v>1</v>
      </c>
    </row>
    <row r="327" spans="2:51" ht="18.75">
      <c r="B327" s="104"/>
      <c r="C327" s="1172"/>
      <c r="D327" s="1172"/>
      <c r="E327" s="1172"/>
      <c r="F327" s="1173"/>
      <c r="G327" s="1174"/>
      <c r="H327" s="1175"/>
      <c r="I327" s="1176"/>
      <c r="J327" s="1177"/>
      <c r="K327" s="1547"/>
      <c r="L327" s="1177"/>
      <c r="M327" s="1548"/>
      <c r="N327" s="1549"/>
      <c r="O327" s="1178"/>
      <c r="P327" s="1179"/>
      <c r="R327" s="104"/>
      <c r="S327" s="1172"/>
      <c r="T327" s="1172"/>
      <c r="U327" s="1172"/>
      <c r="V327" s="1173"/>
      <c r="W327" s="1174"/>
      <c r="X327" s="1175"/>
      <c r="Y327" s="1176"/>
      <c r="Z327" s="1177"/>
      <c r="AA327" s="1547"/>
      <c r="AB327" s="1177"/>
      <c r="AC327" s="1548"/>
      <c r="AD327" s="1549"/>
      <c r="AE327" s="1178"/>
      <c r="AF327" s="1179"/>
      <c r="AH327" s="104"/>
      <c r="AI327" s="1172"/>
      <c r="AJ327" s="1172"/>
      <c r="AK327" s="1172"/>
      <c r="AL327" s="1173"/>
      <c r="AM327" s="1174"/>
      <c r="AN327" s="1175"/>
      <c r="AO327" s="1176"/>
      <c r="AP327" s="1177"/>
      <c r="AQ327" s="1547"/>
      <c r="AR327" s="1177"/>
      <c r="AS327" s="1548"/>
      <c r="AT327" s="1549"/>
      <c r="AU327" s="1178"/>
      <c r="AV327" s="1179"/>
      <c r="AY327" s="3">
        <v>1</v>
      </c>
    </row>
    <row r="328" spans="2:51" ht="18.75">
      <c r="B328" s="104"/>
      <c r="C328" s="1172"/>
      <c r="D328" s="1172"/>
      <c r="E328" s="1172"/>
      <c r="F328" s="1173"/>
      <c r="G328" s="1174"/>
      <c r="H328" s="1175"/>
      <c r="I328" s="1176"/>
      <c r="J328" s="1177"/>
      <c r="K328" s="1547"/>
      <c r="L328" s="1177"/>
      <c r="M328" s="1548"/>
      <c r="N328" s="1549"/>
      <c r="O328" s="1178"/>
      <c r="P328" s="1179"/>
      <c r="R328" s="104"/>
      <c r="S328" s="1172"/>
      <c r="T328" s="1172"/>
      <c r="U328" s="1172"/>
      <c r="V328" s="1173"/>
      <c r="W328" s="1174"/>
      <c r="X328" s="1175"/>
      <c r="Y328" s="1176"/>
      <c r="Z328" s="1177"/>
      <c r="AA328" s="1547"/>
      <c r="AB328" s="1177"/>
      <c r="AC328" s="1548"/>
      <c r="AD328" s="1549"/>
      <c r="AE328" s="1178"/>
      <c r="AF328" s="1179"/>
      <c r="AH328" s="104"/>
      <c r="AI328" s="1172"/>
      <c r="AJ328" s="1172"/>
      <c r="AK328" s="1172"/>
      <c r="AL328" s="1173"/>
      <c r="AM328" s="1174"/>
      <c r="AN328" s="1175"/>
      <c r="AO328" s="1176"/>
      <c r="AP328" s="1177"/>
      <c r="AQ328" s="1547"/>
      <c r="AR328" s="1177"/>
      <c r="AS328" s="1548"/>
      <c r="AT328" s="1549"/>
      <c r="AU328" s="1178"/>
      <c r="AV328" s="1179"/>
      <c r="AY328" s="3">
        <v>1</v>
      </c>
    </row>
    <row r="329" spans="2:51" ht="18.75">
      <c r="B329" s="104"/>
      <c r="C329" s="1172"/>
      <c r="D329" s="1172"/>
      <c r="E329" s="1172"/>
      <c r="F329" s="1173"/>
      <c r="G329" s="1174"/>
      <c r="H329" s="1175"/>
      <c r="I329" s="1176"/>
      <c r="J329" s="1177"/>
      <c r="K329" s="1547"/>
      <c r="L329" s="1177"/>
      <c r="M329" s="1548"/>
      <c r="N329" s="1549"/>
      <c r="O329" s="1178"/>
      <c r="P329" s="1179"/>
      <c r="R329" s="104"/>
      <c r="S329" s="1172"/>
      <c r="T329" s="1172"/>
      <c r="U329" s="1172"/>
      <c r="V329" s="1173"/>
      <c r="W329" s="1174"/>
      <c r="X329" s="1175"/>
      <c r="Y329" s="1176"/>
      <c r="Z329" s="1177"/>
      <c r="AA329" s="1547"/>
      <c r="AB329" s="1177"/>
      <c r="AC329" s="1548"/>
      <c r="AD329" s="1549"/>
      <c r="AE329" s="1178"/>
      <c r="AF329" s="1179"/>
      <c r="AH329" s="104"/>
      <c r="AI329" s="1172"/>
      <c r="AJ329" s="1172"/>
      <c r="AK329" s="1172"/>
      <c r="AL329" s="1173"/>
      <c r="AM329" s="1174"/>
      <c r="AN329" s="1175"/>
      <c r="AO329" s="1176"/>
      <c r="AP329" s="1177"/>
      <c r="AQ329" s="1547"/>
      <c r="AR329" s="1177"/>
      <c r="AS329" s="1548"/>
      <c r="AT329" s="1549"/>
      <c r="AU329" s="1178"/>
      <c r="AV329" s="1179"/>
      <c r="AY329" s="3">
        <v>1</v>
      </c>
    </row>
    <row r="330" spans="2:51" ht="18.75">
      <c r="B330" s="104"/>
      <c r="C330" s="1172"/>
      <c r="D330" s="1172"/>
      <c r="E330" s="1172"/>
      <c r="F330" s="1173"/>
      <c r="G330" s="1174"/>
      <c r="H330" s="1175"/>
      <c r="I330" s="1176"/>
      <c r="J330" s="1177"/>
      <c r="K330" s="1547"/>
      <c r="L330" s="1177"/>
      <c r="M330" s="1548"/>
      <c r="N330" s="1549"/>
      <c r="O330" s="1178"/>
      <c r="P330" s="1179"/>
      <c r="R330" s="104"/>
      <c r="S330" s="1172"/>
      <c r="T330" s="1172"/>
      <c r="U330" s="1172"/>
      <c r="V330" s="1173"/>
      <c r="W330" s="1174"/>
      <c r="X330" s="1175"/>
      <c r="Y330" s="1176"/>
      <c r="Z330" s="1177"/>
      <c r="AA330" s="1547"/>
      <c r="AB330" s="1177"/>
      <c r="AC330" s="1548"/>
      <c r="AD330" s="1549"/>
      <c r="AE330" s="1178"/>
      <c r="AF330" s="1179"/>
      <c r="AH330" s="104"/>
      <c r="AI330" s="1172"/>
      <c r="AJ330" s="1172"/>
      <c r="AK330" s="1172"/>
      <c r="AL330" s="1173"/>
      <c r="AM330" s="1174"/>
      <c r="AN330" s="1175"/>
      <c r="AO330" s="1176"/>
      <c r="AP330" s="1177"/>
      <c r="AQ330" s="1547"/>
      <c r="AR330" s="1177"/>
      <c r="AS330" s="1548"/>
      <c r="AT330" s="1549"/>
      <c r="AU330" s="1178"/>
      <c r="AV330" s="1179"/>
      <c r="AY330" s="3">
        <v>1</v>
      </c>
    </row>
    <row r="331" spans="2:51" ht="18.75">
      <c r="B331" s="104"/>
      <c r="C331" s="1172"/>
      <c r="D331" s="1172"/>
      <c r="E331" s="1172"/>
      <c r="F331" s="1173"/>
      <c r="G331" s="1174"/>
      <c r="H331" s="1175"/>
      <c r="I331" s="1176"/>
      <c r="J331" s="1177"/>
      <c r="K331" s="1547"/>
      <c r="L331" s="1177"/>
      <c r="M331" s="1548"/>
      <c r="N331" s="1549"/>
      <c r="O331" s="1178"/>
      <c r="P331" s="1179"/>
      <c r="R331" s="104"/>
      <c r="S331" s="1172"/>
      <c r="T331" s="1172"/>
      <c r="U331" s="1172"/>
      <c r="V331" s="1173"/>
      <c r="W331" s="1174"/>
      <c r="X331" s="1175"/>
      <c r="Y331" s="1176"/>
      <c r="Z331" s="1177"/>
      <c r="AA331" s="1547"/>
      <c r="AB331" s="1177"/>
      <c r="AC331" s="1548"/>
      <c r="AD331" s="1549"/>
      <c r="AE331" s="1178"/>
      <c r="AF331" s="1179"/>
      <c r="AH331" s="104"/>
      <c r="AI331" s="1172"/>
      <c r="AJ331" s="1172"/>
      <c r="AK331" s="1172"/>
      <c r="AL331" s="1173"/>
      <c r="AM331" s="1174"/>
      <c r="AN331" s="1175"/>
      <c r="AO331" s="1176"/>
      <c r="AP331" s="1177"/>
      <c r="AQ331" s="1547"/>
      <c r="AR331" s="1177"/>
      <c r="AS331" s="1548"/>
      <c r="AT331" s="1549"/>
      <c r="AU331" s="1178"/>
      <c r="AV331" s="1179"/>
      <c r="AY331" s="3">
        <v>1</v>
      </c>
    </row>
    <row r="332" spans="2:51" ht="18.75">
      <c r="B332" s="104"/>
      <c r="C332" s="1172"/>
      <c r="D332" s="1172"/>
      <c r="E332" s="1172"/>
      <c r="F332" s="1173"/>
      <c r="G332" s="1174"/>
      <c r="H332" s="1175"/>
      <c r="I332" s="1176"/>
      <c r="J332" s="1177"/>
      <c r="K332" s="1547"/>
      <c r="L332" s="1177"/>
      <c r="M332" s="1548"/>
      <c r="N332" s="1549"/>
      <c r="O332" s="1178"/>
      <c r="P332" s="1179"/>
      <c r="R332" s="104"/>
      <c r="S332" s="1172"/>
      <c r="T332" s="1172"/>
      <c r="U332" s="1172"/>
      <c r="V332" s="1173"/>
      <c r="W332" s="1174"/>
      <c r="X332" s="1175"/>
      <c r="Y332" s="1176"/>
      <c r="Z332" s="1177"/>
      <c r="AA332" s="1547"/>
      <c r="AB332" s="1177"/>
      <c r="AC332" s="1548"/>
      <c r="AD332" s="1549"/>
      <c r="AE332" s="1178"/>
      <c r="AF332" s="1179"/>
      <c r="AH332" s="104"/>
      <c r="AI332" s="1172"/>
      <c r="AJ332" s="1172"/>
      <c r="AK332" s="1172"/>
      <c r="AL332" s="1173"/>
      <c r="AM332" s="1174"/>
      <c r="AN332" s="1175"/>
      <c r="AO332" s="1176"/>
      <c r="AP332" s="1177"/>
      <c r="AQ332" s="1547"/>
      <c r="AR332" s="1177"/>
      <c r="AS332" s="1548"/>
      <c r="AT332" s="1549"/>
      <c r="AU332" s="1178"/>
      <c r="AV332" s="1179"/>
      <c r="AY332" s="3">
        <v>1</v>
      </c>
    </row>
    <row r="333" spans="2:51" ht="18.75">
      <c r="B333" s="104"/>
      <c r="C333" s="1172"/>
      <c r="D333" s="1172"/>
      <c r="E333" s="1172"/>
      <c r="F333" s="1173"/>
      <c r="G333" s="1174"/>
      <c r="H333" s="1175"/>
      <c r="I333" s="1176"/>
      <c r="J333" s="1177"/>
      <c r="K333" s="1547"/>
      <c r="L333" s="1177"/>
      <c r="M333" s="1548"/>
      <c r="N333" s="1549"/>
      <c r="O333" s="1178"/>
      <c r="P333" s="1179"/>
      <c r="R333" s="104"/>
      <c r="S333" s="1172"/>
      <c r="T333" s="1172"/>
      <c r="U333" s="1172"/>
      <c r="V333" s="1173"/>
      <c r="W333" s="1174"/>
      <c r="X333" s="1175"/>
      <c r="Y333" s="1176"/>
      <c r="Z333" s="1177"/>
      <c r="AA333" s="1547"/>
      <c r="AB333" s="1177"/>
      <c r="AC333" s="1548"/>
      <c r="AD333" s="1549"/>
      <c r="AE333" s="1178"/>
      <c r="AF333" s="1179"/>
      <c r="AH333" s="104"/>
      <c r="AI333" s="1172"/>
      <c r="AJ333" s="1172"/>
      <c r="AK333" s="1172"/>
      <c r="AL333" s="1173"/>
      <c r="AM333" s="1174"/>
      <c r="AN333" s="1175"/>
      <c r="AO333" s="1176"/>
      <c r="AP333" s="1177"/>
      <c r="AQ333" s="1547"/>
      <c r="AR333" s="1177"/>
      <c r="AS333" s="1548"/>
      <c r="AT333" s="1549"/>
      <c r="AU333" s="1178"/>
      <c r="AV333" s="1179"/>
      <c r="AY333" s="3">
        <v>1</v>
      </c>
    </row>
    <row r="334" spans="2:51" ht="18.75">
      <c r="B334" s="104"/>
      <c r="C334" s="1172"/>
      <c r="D334" s="1172"/>
      <c r="E334" s="1172"/>
      <c r="F334" s="1173"/>
      <c r="G334" s="1174"/>
      <c r="H334" s="1175"/>
      <c r="I334" s="1176"/>
      <c r="J334" s="1177"/>
      <c r="K334" s="1547"/>
      <c r="L334" s="1177"/>
      <c r="M334" s="1548"/>
      <c r="N334" s="1549"/>
      <c r="O334" s="1178"/>
      <c r="P334" s="1179"/>
      <c r="R334" s="104"/>
      <c r="S334" s="1172"/>
      <c r="T334" s="1172"/>
      <c r="U334" s="1172"/>
      <c r="V334" s="1173"/>
      <c r="W334" s="1174"/>
      <c r="X334" s="1175"/>
      <c r="Y334" s="1176"/>
      <c r="Z334" s="1177"/>
      <c r="AA334" s="1547"/>
      <c r="AB334" s="1177"/>
      <c r="AC334" s="1548"/>
      <c r="AD334" s="1549"/>
      <c r="AE334" s="1178"/>
      <c r="AF334" s="1179"/>
      <c r="AH334" s="104"/>
      <c r="AI334" s="1172"/>
      <c r="AJ334" s="1172"/>
      <c r="AK334" s="1172"/>
      <c r="AL334" s="1173"/>
      <c r="AM334" s="1174"/>
      <c r="AN334" s="1175"/>
      <c r="AO334" s="1176"/>
      <c r="AP334" s="1177"/>
      <c r="AQ334" s="1547"/>
      <c r="AR334" s="1177"/>
      <c r="AS334" s="1548"/>
      <c r="AT334" s="1549"/>
      <c r="AU334" s="1178"/>
      <c r="AV334" s="1179"/>
      <c r="AY334" s="3">
        <v>1</v>
      </c>
    </row>
    <row r="335" spans="2:51" ht="18.75">
      <c r="B335" s="104"/>
      <c r="C335" s="1172"/>
      <c r="D335" s="1172"/>
      <c r="E335" s="1172"/>
      <c r="F335" s="1173"/>
      <c r="G335" s="1174"/>
      <c r="H335" s="1175"/>
      <c r="I335" s="1176"/>
      <c r="J335" s="1177"/>
      <c r="K335" s="1547"/>
      <c r="L335" s="1177"/>
      <c r="M335" s="1548"/>
      <c r="N335" s="1549"/>
      <c r="O335" s="1178"/>
      <c r="P335" s="1179"/>
      <c r="R335" s="104"/>
      <c r="S335" s="1172"/>
      <c r="T335" s="1172"/>
      <c r="U335" s="1172"/>
      <c r="V335" s="1173"/>
      <c r="W335" s="1174"/>
      <c r="X335" s="1175"/>
      <c r="Y335" s="1176"/>
      <c r="Z335" s="1177"/>
      <c r="AA335" s="1547"/>
      <c r="AB335" s="1177"/>
      <c r="AC335" s="1548"/>
      <c r="AD335" s="1549"/>
      <c r="AE335" s="1178"/>
      <c r="AF335" s="1179"/>
      <c r="AH335" s="104"/>
      <c r="AI335" s="1172"/>
      <c r="AJ335" s="1172"/>
      <c r="AK335" s="1172"/>
      <c r="AL335" s="1173"/>
      <c r="AM335" s="1174"/>
      <c r="AN335" s="1175"/>
      <c r="AO335" s="1176"/>
      <c r="AP335" s="1177"/>
      <c r="AQ335" s="1547"/>
      <c r="AR335" s="1177"/>
      <c r="AS335" s="1548"/>
      <c r="AT335" s="1549"/>
      <c r="AU335" s="1178"/>
      <c r="AV335" s="1179"/>
      <c r="AY335" s="3">
        <v>1</v>
      </c>
    </row>
    <row r="336" spans="2:51" ht="18.75">
      <c r="B336" s="104"/>
      <c r="C336" s="1172"/>
      <c r="D336" s="1172"/>
      <c r="E336" s="1172"/>
      <c r="F336" s="1173"/>
      <c r="G336" s="1174"/>
      <c r="H336" s="1175"/>
      <c r="I336" s="1176"/>
      <c r="J336" s="1177"/>
      <c r="K336" s="1547"/>
      <c r="L336" s="1177"/>
      <c r="M336" s="1548"/>
      <c r="N336" s="1549"/>
      <c r="O336" s="1178"/>
      <c r="P336" s="1179"/>
      <c r="R336" s="104"/>
      <c r="S336" s="1172"/>
      <c r="T336" s="1172"/>
      <c r="U336" s="1172"/>
      <c r="V336" s="1173"/>
      <c r="W336" s="1174"/>
      <c r="X336" s="1175"/>
      <c r="Y336" s="1176"/>
      <c r="Z336" s="1177"/>
      <c r="AA336" s="1547"/>
      <c r="AB336" s="1177"/>
      <c r="AC336" s="1548"/>
      <c r="AD336" s="1549"/>
      <c r="AE336" s="1178"/>
      <c r="AF336" s="1179"/>
      <c r="AH336" s="104"/>
      <c r="AI336" s="1172"/>
      <c r="AJ336" s="1172"/>
      <c r="AK336" s="1172"/>
      <c r="AL336" s="1173"/>
      <c r="AM336" s="1174"/>
      <c r="AN336" s="1175"/>
      <c r="AO336" s="1176"/>
      <c r="AP336" s="1177"/>
      <c r="AQ336" s="1547"/>
      <c r="AR336" s="1177"/>
      <c r="AS336" s="1548"/>
      <c r="AT336" s="1549"/>
      <c r="AU336" s="1178"/>
      <c r="AV336" s="1179"/>
      <c r="AY336" s="3">
        <v>1</v>
      </c>
    </row>
    <row r="337" spans="1:53" ht="18.75">
      <c r="B337" s="104"/>
      <c r="C337" s="1172"/>
      <c r="D337" s="1172"/>
      <c r="E337" s="1172"/>
      <c r="F337" s="1173"/>
      <c r="G337" s="1174"/>
      <c r="H337" s="1175"/>
      <c r="I337" s="1176"/>
      <c r="J337" s="1177"/>
      <c r="K337" s="1547"/>
      <c r="L337" s="1177"/>
      <c r="M337" s="1548"/>
      <c r="N337" s="1549"/>
      <c r="O337" s="1178"/>
      <c r="P337" s="1179"/>
      <c r="R337" s="104"/>
      <c r="S337" s="1172"/>
      <c r="T337" s="1172"/>
      <c r="U337" s="1172"/>
      <c r="V337" s="1173"/>
      <c r="W337" s="1174"/>
      <c r="X337" s="1175"/>
      <c r="Y337" s="1176"/>
      <c r="Z337" s="1177"/>
      <c r="AA337" s="1547"/>
      <c r="AB337" s="1177"/>
      <c r="AC337" s="1548"/>
      <c r="AD337" s="1549"/>
      <c r="AE337" s="1178"/>
      <c r="AF337" s="1179"/>
      <c r="AH337" s="104"/>
      <c r="AI337" s="1172"/>
      <c r="AJ337" s="1172"/>
      <c r="AK337" s="1172"/>
      <c r="AL337" s="1173"/>
      <c r="AM337" s="1174"/>
      <c r="AN337" s="1175"/>
      <c r="AO337" s="1176"/>
      <c r="AP337" s="1177"/>
      <c r="AQ337" s="1547"/>
      <c r="AR337" s="1177"/>
      <c r="AS337" s="1548"/>
      <c r="AT337" s="1549"/>
      <c r="AU337" s="1178"/>
      <c r="AV337" s="1179"/>
      <c r="AY337" s="3">
        <v>1</v>
      </c>
    </row>
    <row r="338" spans="1:53" ht="18.75">
      <c r="B338" s="104"/>
      <c r="C338" s="1172"/>
      <c r="D338" s="1172"/>
      <c r="E338" s="1172"/>
      <c r="F338" s="1173"/>
      <c r="G338" s="1174"/>
      <c r="H338" s="1175"/>
      <c r="I338" s="1176"/>
      <c r="J338" s="1177"/>
      <c r="K338" s="1547"/>
      <c r="L338" s="1177"/>
      <c r="M338" s="1548"/>
      <c r="N338" s="1549"/>
      <c r="O338" s="1178"/>
      <c r="P338" s="1179"/>
      <c r="R338" s="104"/>
      <c r="S338" s="1172"/>
      <c r="T338" s="1172"/>
      <c r="U338" s="1172"/>
      <c r="V338" s="1173"/>
      <c r="W338" s="1174"/>
      <c r="X338" s="1175"/>
      <c r="Y338" s="1176"/>
      <c r="Z338" s="1177"/>
      <c r="AA338" s="1547"/>
      <c r="AB338" s="1177"/>
      <c r="AC338" s="1548"/>
      <c r="AD338" s="1549"/>
      <c r="AE338" s="1178"/>
      <c r="AF338" s="1179"/>
      <c r="AH338" s="104"/>
      <c r="AI338" s="1172"/>
      <c r="AJ338" s="1172"/>
      <c r="AK338" s="1172"/>
      <c r="AL338" s="1173"/>
      <c r="AM338" s="1174"/>
      <c r="AN338" s="1175"/>
      <c r="AO338" s="1176"/>
      <c r="AP338" s="1177"/>
      <c r="AQ338" s="1547"/>
      <c r="AR338" s="1177"/>
      <c r="AS338" s="1548"/>
      <c r="AT338" s="1549"/>
      <c r="AU338" s="1178"/>
      <c r="AV338" s="1179"/>
      <c r="AY338" s="3">
        <v>1</v>
      </c>
    </row>
    <row r="339" spans="1:53" ht="18.75">
      <c r="B339" s="104"/>
      <c r="C339" s="1172"/>
      <c r="D339" s="1172"/>
      <c r="E339" s="1172"/>
      <c r="F339" s="1173"/>
      <c r="G339" s="1174"/>
      <c r="H339" s="1175"/>
      <c r="I339" s="1176"/>
      <c r="J339" s="1177"/>
      <c r="K339" s="1547"/>
      <c r="L339" s="1177"/>
      <c r="M339" s="1548"/>
      <c r="N339" s="1549"/>
      <c r="O339" s="1178"/>
      <c r="P339" s="1179"/>
      <c r="R339" s="104"/>
      <c r="S339" s="1172"/>
      <c r="T339" s="1172"/>
      <c r="U339" s="1172"/>
      <c r="V339" s="1173"/>
      <c r="W339" s="1174"/>
      <c r="X339" s="1175"/>
      <c r="Y339" s="1176"/>
      <c r="Z339" s="1177"/>
      <c r="AA339" s="1547"/>
      <c r="AB339" s="1177"/>
      <c r="AC339" s="1548"/>
      <c r="AD339" s="1549"/>
      <c r="AE339" s="1178"/>
      <c r="AF339" s="1179"/>
      <c r="AH339" s="104"/>
      <c r="AI339" s="1172"/>
      <c r="AJ339" s="1172"/>
      <c r="AK339" s="1172"/>
      <c r="AL339" s="1173"/>
      <c r="AM339" s="1174"/>
      <c r="AN339" s="1175"/>
      <c r="AO339" s="1176"/>
      <c r="AP339" s="1177"/>
      <c r="AQ339" s="1547"/>
      <c r="AR339" s="1177"/>
      <c r="AS339" s="1548"/>
      <c r="AT339" s="1549"/>
      <c r="AU339" s="1178"/>
      <c r="AV339" s="1179"/>
      <c r="AY339" s="3">
        <v>1</v>
      </c>
    </row>
    <row r="340" spans="1:53" ht="18.75">
      <c r="B340" s="104"/>
      <c r="C340" s="1172"/>
      <c r="D340" s="1172"/>
      <c r="E340" s="1172"/>
      <c r="F340" s="1173"/>
      <c r="G340" s="1174"/>
      <c r="H340" s="1175"/>
      <c r="I340" s="1176"/>
      <c r="J340" s="1177"/>
      <c r="K340" s="1547"/>
      <c r="L340" s="1177"/>
      <c r="M340" s="1548"/>
      <c r="N340" s="1549"/>
      <c r="O340" s="1178"/>
      <c r="P340" s="1179"/>
      <c r="R340" s="104"/>
      <c r="S340" s="1172"/>
      <c r="T340" s="1172"/>
      <c r="U340" s="1172"/>
      <c r="V340" s="1173"/>
      <c r="W340" s="1174"/>
      <c r="X340" s="1175"/>
      <c r="Y340" s="1176"/>
      <c r="Z340" s="1177"/>
      <c r="AA340" s="1547"/>
      <c r="AB340" s="1177"/>
      <c r="AC340" s="1548"/>
      <c r="AD340" s="1549"/>
      <c r="AE340" s="1178"/>
      <c r="AF340" s="1179"/>
      <c r="AH340" s="104"/>
      <c r="AI340" s="1172"/>
      <c r="AJ340" s="1172"/>
      <c r="AK340" s="1172"/>
      <c r="AL340" s="1173"/>
      <c r="AM340" s="1174"/>
      <c r="AN340" s="1175"/>
      <c r="AO340" s="1176"/>
      <c r="AP340" s="1177"/>
      <c r="AQ340" s="1547"/>
      <c r="AR340" s="1177"/>
      <c r="AS340" s="1548"/>
      <c r="AT340" s="1549"/>
      <c r="AU340" s="1178"/>
      <c r="AV340" s="1179"/>
      <c r="AY340" s="3">
        <v>1</v>
      </c>
    </row>
    <row r="341" spans="1:53" ht="18.75">
      <c r="B341" s="104"/>
      <c r="C341" s="1172"/>
      <c r="D341" s="1172"/>
      <c r="E341" s="1172"/>
      <c r="F341" s="1173"/>
      <c r="G341" s="1174"/>
      <c r="H341" s="1175"/>
      <c r="I341" s="1176"/>
      <c r="J341" s="1177"/>
      <c r="K341" s="1547"/>
      <c r="L341" s="1177"/>
      <c r="M341" s="1548"/>
      <c r="N341" s="1549"/>
      <c r="O341" s="1178"/>
      <c r="P341" s="1179"/>
      <c r="R341" s="104"/>
      <c r="S341" s="1172"/>
      <c r="T341" s="1172"/>
      <c r="U341" s="1172"/>
      <c r="V341" s="1173"/>
      <c r="W341" s="1174"/>
      <c r="X341" s="1175"/>
      <c r="Y341" s="1176"/>
      <c r="Z341" s="1177"/>
      <c r="AA341" s="1547"/>
      <c r="AB341" s="1177"/>
      <c r="AC341" s="1548"/>
      <c r="AD341" s="1549"/>
      <c r="AE341" s="1178"/>
      <c r="AF341" s="1179"/>
      <c r="AH341" s="104"/>
      <c r="AI341" s="1172"/>
      <c r="AJ341" s="1172"/>
      <c r="AK341" s="1172"/>
      <c r="AL341" s="1173"/>
      <c r="AM341" s="1174"/>
      <c r="AN341" s="1175"/>
      <c r="AO341" s="1176"/>
      <c r="AP341" s="1177"/>
      <c r="AQ341" s="1547"/>
      <c r="AR341" s="1177"/>
      <c r="AS341" s="1548"/>
      <c r="AT341" s="1549"/>
      <c r="AU341" s="1178"/>
      <c r="AV341" s="1179"/>
      <c r="AY341" s="3">
        <v>1</v>
      </c>
    </row>
    <row r="342" spans="1:53" ht="27" customHeight="1">
      <c r="B342" s="224" t="s">
        <v>11</v>
      </c>
      <c r="C342" s="224"/>
      <c r="D342" s="224"/>
      <c r="E342" s="224"/>
      <c r="F342" s="224"/>
      <c r="G342" s="224"/>
      <c r="H342" s="224"/>
      <c r="I342" s="224"/>
      <c r="J342" s="224"/>
      <c r="K342" s="224"/>
      <c r="L342" s="224"/>
      <c r="M342" s="224"/>
      <c r="N342" s="224"/>
      <c r="O342" s="224"/>
      <c r="P342" s="224"/>
      <c r="R342" s="224" t="s">
        <v>11</v>
      </c>
      <c r="S342" s="224"/>
      <c r="T342" s="224"/>
      <c r="U342" s="224"/>
      <c r="V342" s="224"/>
      <c r="W342" s="224"/>
      <c r="X342" s="224"/>
      <c r="Y342" s="224"/>
      <c r="Z342" s="224"/>
      <c r="AA342" s="224"/>
      <c r="AB342" s="224"/>
      <c r="AC342" s="224"/>
      <c r="AD342" s="224"/>
      <c r="AE342" s="224"/>
      <c r="AF342" s="224"/>
      <c r="AH342" s="224" t="s">
        <v>11</v>
      </c>
      <c r="AI342" s="224"/>
      <c r="AJ342" s="224"/>
      <c r="AK342" s="224"/>
      <c r="AL342" s="224"/>
      <c r="AM342" s="224"/>
      <c r="AN342" s="224"/>
      <c r="AO342" s="224"/>
      <c r="AP342" s="224"/>
      <c r="AQ342" s="224"/>
      <c r="AR342" s="224"/>
      <c r="AS342" s="224"/>
      <c r="AT342" s="224"/>
      <c r="AU342" s="224"/>
      <c r="AV342" s="224"/>
      <c r="AY342" s="708" t="s">
        <v>823</v>
      </c>
    </row>
    <row r="343" spans="1:53">
      <c r="A343" s="3">
        <v>1</v>
      </c>
      <c r="B343" s="3">
        <v>1</v>
      </c>
      <c r="C343" s="3">
        <v>1</v>
      </c>
      <c r="D343" s="3">
        <v>1</v>
      </c>
      <c r="E343" s="3">
        <v>1</v>
      </c>
      <c r="F343" s="3">
        <v>1</v>
      </c>
      <c r="G343" s="3">
        <v>1</v>
      </c>
      <c r="H343" s="3">
        <v>1</v>
      </c>
      <c r="I343" s="3">
        <v>1</v>
      </c>
      <c r="J343" s="3">
        <v>1</v>
      </c>
      <c r="K343" s="3">
        <v>1</v>
      </c>
      <c r="L343" s="3">
        <v>1</v>
      </c>
      <c r="M343" s="3">
        <v>1</v>
      </c>
      <c r="N343" s="3">
        <v>1</v>
      </c>
      <c r="O343" s="3">
        <v>1</v>
      </c>
      <c r="P343" s="3">
        <v>1</v>
      </c>
      <c r="Q343" s="3">
        <v>1</v>
      </c>
      <c r="R343" s="3">
        <v>1</v>
      </c>
      <c r="S343" s="3">
        <v>1</v>
      </c>
      <c r="T343" s="3">
        <v>1</v>
      </c>
      <c r="U343" s="3">
        <v>1</v>
      </c>
      <c r="V343" s="3">
        <v>1</v>
      </c>
      <c r="W343" s="3">
        <v>1</v>
      </c>
      <c r="X343" s="3">
        <v>1</v>
      </c>
      <c r="Y343" s="3">
        <v>1</v>
      </c>
      <c r="Z343" s="3">
        <v>1</v>
      </c>
      <c r="AA343" s="3">
        <v>1</v>
      </c>
      <c r="AB343" s="3">
        <v>1</v>
      </c>
      <c r="AC343" s="3">
        <v>1</v>
      </c>
      <c r="AD343" s="3">
        <v>1</v>
      </c>
      <c r="AE343" s="3">
        <v>1</v>
      </c>
      <c r="AF343" s="3">
        <v>1</v>
      </c>
      <c r="AG343" s="3">
        <v>1</v>
      </c>
      <c r="AH343" s="3">
        <v>1</v>
      </c>
      <c r="AI343" s="3">
        <v>1</v>
      </c>
      <c r="AJ343" s="3">
        <v>1</v>
      </c>
      <c r="AK343" s="3">
        <v>1</v>
      </c>
      <c r="AL343" s="3">
        <v>1</v>
      </c>
      <c r="AM343" s="3">
        <v>1</v>
      </c>
      <c r="AN343" s="3">
        <v>1</v>
      </c>
      <c r="AO343" s="3">
        <v>1</v>
      </c>
      <c r="AP343" s="3">
        <v>1</v>
      </c>
      <c r="AQ343" s="3">
        <v>1</v>
      </c>
      <c r="AR343" s="3">
        <v>1</v>
      </c>
      <c r="AS343" s="3">
        <v>1</v>
      </c>
      <c r="AT343" s="3">
        <v>1</v>
      </c>
      <c r="AU343" s="3">
        <v>1</v>
      </c>
      <c r="AV343" s="3">
        <v>1</v>
      </c>
      <c r="AW343" s="3">
        <v>1</v>
      </c>
      <c r="AX343" s="3">
        <v>1</v>
      </c>
      <c r="AY343" s="1" t="str">
        <f>ADDRESS(ROW(),COLUMN(),4)</f>
        <v>AY343</v>
      </c>
      <c r="AZ343" s="710"/>
      <c r="BA343" s="711" t="str">
        <f>ADDRESS(ROW(),COLUMN(),4)</f>
        <v>BA343</v>
      </c>
    </row>
  </sheetData>
  <mergeCells count="40">
    <mergeCell ref="AT18:AT19"/>
    <mergeCell ref="AU18:AU19"/>
    <mergeCell ref="AV18:AV19"/>
    <mergeCell ref="AE18:AE19"/>
    <mergeCell ref="AF18:AF19"/>
    <mergeCell ref="AP18:AP19"/>
    <mergeCell ref="AQ18:AQ19"/>
    <mergeCell ref="AR18:AR19"/>
    <mergeCell ref="P18:P19"/>
    <mergeCell ref="Z18:Z19"/>
    <mergeCell ref="AA18:AA19"/>
    <mergeCell ref="AB18:AB19"/>
    <mergeCell ref="AD18:AD19"/>
    <mergeCell ref="J18:J19"/>
    <mergeCell ref="K18:K19"/>
    <mergeCell ref="L18:L19"/>
    <mergeCell ref="N18:N19"/>
    <mergeCell ref="O18:O19"/>
    <mergeCell ref="AU14:AV14"/>
    <mergeCell ref="I15:J15"/>
    <mergeCell ref="Y15:Z15"/>
    <mergeCell ref="AO15:AP15"/>
    <mergeCell ref="I16:K16"/>
    <mergeCell ref="Y16:AA16"/>
    <mergeCell ref="AO16:AQ16"/>
    <mergeCell ref="K13:M14"/>
    <mergeCell ref="AA13:AC14"/>
    <mergeCell ref="AQ13:AS14"/>
    <mergeCell ref="O14:P14"/>
    <mergeCell ref="AE14:AF14"/>
    <mergeCell ref="AT4:AV7"/>
    <mergeCell ref="H10:M11"/>
    <mergeCell ref="N10:O11"/>
    <mergeCell ref="P10:P11"/>
    <mergeCell ref="X10:AC11"/>
    <mergeCell ref="AD10:AE11"/>
    <mergeCell ref="AF10:AF11"/>
    <mergeCell ref="AN10:AS11"/>
    <mergeCell ref="AT10:AU11"/>
    <mergeCell ref="AV10:AV11"/>
  </mergeCells>
  <conditionalFormatting sqref="L20:L34">
    <cfRule type="cellIs" dxfId="59" priority="3" operator="notEqual">
      <formula>1</formula>
    </cfRule>
  </conditionalFormatting>
  <conditionalFormatting sqref="AB20:AB34">
    <cfRule type="cellIs" dxfId="58" priority="2" operator="notEqual">
      <formula>1</formula>
    </cfRule>
  </conditionalFormatting>
  <conditionalFormatting sqref="AR20:AR34">
    <cfRule type="cellIs" dxfId="57" priority="1" operator="notEqual">
      <formula>1</formula>
    </cfRule>
  </conditionalFormatting>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145598-2DA0-4CFA-AAA8-91486052CE41}">
  <dimension ref="A1:BA343"/>
  <sheetViews>
    <sheetView showZeros="0" workbookViewId="0">
      <selection activeCell="B9" sqref="B9"/>
    </sheetView>
  </sheetViews>
  <sheetFormatPr baseColWidth="10" defaultRowHeight="15"/>
  <cols>
    <col min="1" max="1" width="2.85546875" customWidth="1"/>
    <col min="2" max="6" width="3.7109375" customWidth="1"/>
    <col min="7" max="8" width="12.7109375" customWidth="1"/>
    <col min="9" max="9" width="3.7109375" customWidth="1"/>
    <col min="10" max="10" width="9.7109375" customWidth="1"/>
    <col min="11" max="11" width="12.7109375" customWidth="1"/>
    <col min="12" max="12" width="13.7109375" customWidth="1"/>
    <col min="13" max="13" width="40.7109375" customWidth="1"/>
    <col min="14" max="14" width="10.7109375" customWidth="1"/>
    <col min="15" max="15" width="9.7109375" customWidth="1"/>
    <col min="16" max="16" width="13.7109375" customWidth="1"/>
    <col min="17" max="17" width="6.140625" customWidth="1"/>
    <col min="18" max="22" width="3.7109375" customWidth="1"/>
    <col min="23" max="24" width="12.7109375" customWidth="1"/>
    <col min="25" max="25" width="3.7109375" customWidth="1"/>
    <col min="26" max="26" width="9.7109375" customWidth="1"/>
    <col min="27" max="27" width="12.7109375" customWidth="1"/>
    <col min="28" max="28" width="13.7109375" customWidth="1"/>
    <col min="29" max="29" width="40.7109375" customWidth="1"/>
    <col min="30" max="30" width="10.7109375" customWidth="1"/>
    <col min="31" max="31" width="9.7109375" customWidth="1"/>
    <col min="32" max="32" width="13.7109375" customWidth="1"/>
    <col min="33" max="33" width="5.7109375" customWidth="1"/>
    <col min="34" max="38" width="3.7109375" customWidth="1"/>
    <col min="39" max="40" width="12.7109375" customWidth="1"/>
    <col min="41" max="41" width="3.7109375" customWidth="1"/>
    <col min="42" max="42" width="9.7109375" customWidth="1"/>
    <col min="43" max="43" width="12.7109375" customWidth="1"/>
    <col min="44" max="44" width="13.7109375" customWidth="1"/>
    <col min="45" max="45" width="40.7109375" customWidth="1"/>
    <col min="46" max="46" width="10.7109375" customWidth="1"/>
    <col min="47" max="47" width="9.7109375" customWidth="1"/>
    <col min="48" max="48" width="13.7109375" customWidth="1"/>
    <col min="51" max="51" width="5.42578125" customWidth="1"/>
    <col min="53" max="53" width="86" customWidth="1"/>
  </cols>
  <sheetData>
    <row r="1" spans="1:53" ht="15.75" thickTop="1">
      <c r="A1" s="1" t="str">
        <f>ADDRESS(ROW(),COLUMN(),4)</f>
        <v>A1</v>
      </c>
      <c r="B1" s="2" t="str">
        <f t="shared" ref="B1:AV1" si="0">SUBSTITUTE(ADDRESS(1,COLUMN(),4),"1","")</f>
        <v>B</v>
      </c>
      <c r="C1" s="2" t="str">
        <f t="shared" si="0"/>
        <v>C</v>
      </c>
      <c r="D1" s="2" t="str">
        <f t="shared" si="0"/>
        <v>D</v>
      </c>
      <c r="E1" s="2" t="str">
        <f t="shared" si="0"/>
        <v>E</v>
      </c>
      <c r="F1" s="2" t="str">
        <f t="shared" si="0"/>
        <v>F</v>
      </c>
      <c r="G1" s="2" t="str">
        <f t="shared" si="0"/>
        <v>G</v>
      </c>
      <c r="H1" s="2" t="str">
        <f t="shared" si="0"/>
        <v>H</v>
      </c>
      <c r="I1" s="2" t="str">
        <f t="shared" si="0"/>
        <v>I</v>
      </c>
      <c r="J1" s="2" t="str">
        <f t="shared" si="0"/>
        <v>J</v>
      </c>
      <c r="K1" s="2" t="str">
        <f t="shared" si="0"/>
        <v>K</v>
      </c>
      <c r="L1" s="2" t="str">
        <f t="shared" si="0"/>
        <v>L</v>
      </c>
      <c r="M1" s="2" t="str">
        <f t="shared" si="0"/>
        <v>M</v>
      </c>
      <c r="N1" s="2" t="str">
        <f t="shared" si="0"/>
        <v>N</v>
      </c>
      <c r="O1" s="2" t="str">
        <f t="shared" si="0"/>
        <v>O</v>
      </c>
      <c r="P1" s="2" t="str">
        <f t="shared" si="0"/>
        <v>P</v>
      </c>
      <c r="R1" s="2" t="str">
        <f t="shared" si="0"/>
        <v>R</v>
      </c>
      <c r="S1" s="2" t="str">
        <f t="shared" si="0"/>
        <v>S</v>
      </c>
      <c r="T1" s="2" t="str">
        <f t="shared" si="0"/>
        <v>T</v>
      </c>
      <c r="U1" s="2" t="str">
        <f t="shared" si="0"/>
        <v>U</v>
      </c>
      <c r="V1" s="2" t="str">
        <f t="shared" si="0"/>
        <v>V</v>
      </c>
      <c r="W1" s="2" t="str">
        <f t="shared" si="0"/>
        <v>W</v>
      </c>
      <c r="X1" s="2" t="str">
        <f t="shared" si="0"/>
        <v>X</v>
      </c>
      <c r="Y1" s="2" t="str">
        <f t="shared" si="0"/>
        <v>Y</v>
      </c>
      <c r="Z1" s="2" t="str">
        <f t="shared" si="0"/>
        <v>Z</v>
      </c>
      <c r="AA1" s="2" t="str">
        <f t="shared" si="0"/>
        <v>AA</v>
      </c>
      <c r="AB1" s="2" t="str">
        <f t="shared" si="0"/>
        <v>AB</v>
      </c>
      <c r="AC1" s="2" t="str">
        <f t="shared" si="0"/>
        <v>AC</v>
      </c>
      <c r="AD1" s="2" t="str">
        <f t="shared" si="0"/>
        <v>AD</v>
      </c>
      <c r="AE1" s="2" t="str">
        <f t="shared" si="0"/>
        <v>AE</v>
      </c>
      <c r="AF1" s="2" t="str">
        <f t="shared" si="0"/>
        <v>AF</v>
      </c>
      <c r="AH1" s="2" t="str">
        <f t="shared" si="0"/>
        <v>AH</v>
      </c>
      <c r="AI1" s="2" t="str">
        <f t="shared" si="0"/>
        <v>AI</v>
      </c>
      <c r="AJ1" s="2" t="str">
        <f t="shared" si="0"/>
        <v>AJ</v>
      </c>
      <c r="AK1" s="2" t="str">
        <f t="shared" si="0"/>
        <v>AK</v>
      </c>
      <c r="AL1" s="2" t="str">
        <f t="shared" si="0"/>
        <v>AL</v>
      </c>
      <c r="AM1" s="2" t="str">
        <f t="shared" si="0"/>
        <v>AM</v>
      </c>
      <c r="AN1" s="2" t="str">
        <f t="shared" si="0"/>
        <v>AN</v>
      </c>
      <c r="AO1" s="2" t="str">
        <f t="shared" si="0"/>
        <v>AO</v>
      </c>
      <c r="AP1" s="2" t="str">
        <f t="shared" si="0"/>
        <v>AP</v>
      </c>
      <c r="AQ1" s="2" t="str">
        <f t="shared" si="0"/>
        <v>AQ</v>
      </c>
      <c r="AR1" s="2" t="str">
        <f t="shared" si="0"/>
        <v>AR</v>
      </c>
      <c r="AS1" s="2" t="str">
        <f t="shared" si="0"/>
        <v>AS</v>
      </c>
      <c r="AT1" s="2" t="str">
        <f t="shared" si="0"/>
        <v>AT</v>
      </c>
      <c r="AU1" s="2" t="str">
        <f t="shared" si="0"/>
        <v>AU</v>
      </c>
      <c r="AV1" s="2" t="str">
        <f t="shared" si="0"/>
        <v>AV</v>
      </c>
      <c r="AY1" s="3">
        <v>1</v>
      </c>
      <c r="AZ1" s="4" t="str">
        <f>SUBSTITUTE(ADDRESS(1,COLUMN(),4),"1","")</f>
        <v>AZ</v>
      </c>
      <c r="BA1" s="5" t="str">
        <f>SUBSTITUTE(ADDRESS(1,COLUMN(),4),"1","")</f>
        <v>BA</v>
      </c>
    </row>
    <row r="2" spans="1:53">
      <c r="B2" s="922">
        <f t="shared" ref="B2:AV2" ca="1" si="1">CELL("largeur",B2)</f>
        <v>3</v>
      </c>
      <c r="C2" s="922">
        <f t="shared" ca="1" si="1"/>
        <v>3</v>
      </c>
      <c r="D2" s="922">
        <f t="shared" ca="1" si="1"/>
        <v>3</v>
      </c>
      <c r="E2" s="922">
        <f t="shared" ca="1" si="1"/>
        <v>3</v>
      </c>
      <c r="F2" s="922">
        <f t="shared" ca="1" si="1"/>
        <v>3</v>
      </c>
      <c r="G2" s="922">
        <f t="shared" ca="1" si="1"/>
        <v>12</v>
      </c>
      <c r="H2" s="922">
        <f t="shared" ca="1" si="1"/>
        <v>12</v>
      </c>
      <c r="I2" s="922">
        <f t="shared" ca="1" si="1"/>
        <v>3</v>
      </c>
      <c r="J2" s="922">
        <f t="shared" ca="1" si="1"/>
        <v>9</v>
      </c>
      <c r="K2" s="922">
        <f t="shared" ca="1" si="1"/>
        <v>12</v>
      </c>
      <c r="L2" s="922">
        <f t="shared" ca="1" si="1"/>
        <v>13</v>
      </c>
      <c r="M2" s="922">
        <f t="shared" ca="1" si="1"/>
        <v>40</v>
      </c>
      <c r="N2" s="922">
        <f t="shared" ca="1" si="1"/>
        <v>10</v>
      </c>
      <c r="O2" s="922">
        <f t="shared" ca="1" si="1"/>
        <v>9</v>
      </c>
      <c r="P2" s="922">
        <f t="shared" ca="1" si="1"/>
        <v>13</v>
      </c>
      <c r="R2" s="922">
        <f t="shared" ca="1" si="1"/>
        <v>3</v>
      </c>
      <c r="S2" s="922">
        <f t="shared" ca="1" si="1"/>
        <v>3</v>
      </c>
      <c r="T2" s="922">
        <f t="shared" ca="1" si="1"/>
        <v>3</v>
      </c>
      <c r="U2" s="922">
        <f t="shared" ca="1" si="1"/>
        <v>3</v>
      </c>
      <c r="V2" s="922">
        <f t="shared" ca="1" si="1"/>
        <v>3</v>
      </c>
      <c r="W2" s="922">
        <f t="shared" ca="1" si="1"/>
        <v>12</v>
      </c>
      <c r="X2" s="922">
        <f t="shared" ca="1" si="1"/>
        <v>12</v>
      </c>
      <c r="Y2" s="922">
        <f t="shared" ca="1" si="1"/>
        <v>3</v>
      </c>
      <c r="Z2" s="922">
        <f t="shared" ca="1" si="1"/>
        <v>9</v>
      </c>
      <c r="AA2" s="922">
        <f t="shared" ca="1" si="1"/>
        <v>12</v>
      </c>
      <c r="AB2" s="922">
        <f t="shared" ca="1" si="1"/>
        <v>13</v>
      </c>
      <c r="AC2" s="922">
        <f t="shared" ca="1" si="1"/>
        <v>40</v>
      </c>
      <c r="AD2" s="922">
        <f t="shared" ca="1" si="1"/>
        <v>10</v>
      </c>
      <c r="AE2" s="922">
        <f t="shared" ca="1" si="1"/>
        <v>9</v>
      </c>
      <c r="AF2" s="922">
        <f t="shared" ca="1" si="1"/>
        <v>13</v>
      </c>
      <c r="AH2" s="922">
        <f t="shared" ca="1" si="1"/>
        <v>3</v>
      </c>
      <c r="AI2" s="922">
        <f t="shared" ca="1" si="1"/>
        <v>3</v>
      </c>
      <c r="AJ2" s="922">
        <f t="shared" ca="1" si="1"/>
        <v>3</v>
      </c>
      <c r="AK2" s="922">
        <f t="shared" ca="1" si="1"/>
        <v>3</v>
      </c>
      <c r="AL2" s="922">
        <f t="shared" ca="1" si="1"/>
        <v>3</v>
      </c>
      <c r="AM2" s="922">
        <f t="shared" ca="1" si="1"/>
        <v>12</v>
      </c>
      <c r="AN2" s="922">
        <f t="shared" ca="1" si="1"/>
        <v>12</v>
      </c>
      <c r="AO2" s="922">
        <f t="shared" ca="1" si="1"/>
        <v>3</v>
      </c>
      <c r="AP2" s="922">
        <f t="shared" ca="1" si="1"/>
        <v>9</v>
      </c>
      <c r="AQ2" s="922">
        <f t="shared" ca="1" si="1"/>
        <v>12</v>
      </c>
      <c r="AR2" s="922">
        <f t="shared" ca="1" si="1"/>
        <v>13</v>
      </c>
      <c r="AS2" s="922">
        <f t="shared" ca="1" si="1"/>
        <v>40</v>
      </c>
      <c r="AT2" s="922">
        <f t="shared" ca="1" si="1"/>
        <v>10</v>
      </c>
      <c r="AU2" s="922">
        <f t="shared" ca="1" si="1"/>
        <v>9</v>
      </c>
      <c r="AV2" s="922">
        <f t="shared" ca="1" si="1"/>
        <v>13</v>
      </c>
      <c r="AW2" s="1127" t="s">
        <v>1978</v>
      </c>
      <c r="AY2" s="3">
        <v>1</v>
      </c>
      <c r="AZ2" s="7" t="s">
        <v>3</v>
      </c>
      <c r="BA2" s="8"/>
    </row>
    <row r="3" spans="1:53" ht="19.5" customHeight="1" thickBot="1">
      <c r="B3" s="923">
        <v>3</v>
      </c>
      <c r="C3" s="923">
        <v>3</v>
      </c>
      <c r="D3" s="923">
        <v>3</v>
      </c>
      <c r="E3" s="923">
        <v>3</v>
      </c>
      <c r="F3" s="923">
        <v>3</v>
      </c>
      <c r="G3" s="923">
        <v>12</v>
      </c>
      <c r="H3" s="923">
        <v>12</v>
      </c>
      <c r="I3" s="923">
        <v>3</v>
      </c>
      <c r="J3" s="923">
        <v>9</v>
      </c>
      <c r="K3" s="923">
        <v>12</v>
      </c>
      <c r="L3" s="923">
        <v>13</v>
      </c>
      <c r="M3" s="923">
        <v>40</v>
      </c>
      <c r="N3" s="923">
        <v>10</v>
      </c>
      <c r="O3" s="923">
        <v>9</v>
      </c>
      <c r="P3" s="923">
        <v>13</v>
      </c>
      <c r="Q3" s="1149">
        <v>1</v>
      </c>
      <c r="R3" s="923">
        <v>3</v>
      </c>
      <c r="S3" s="923">
        <v>3</v>
      </c>
      <c r="T3" s="923">
        <v>3</v>
      </c>
      <c r="U3" s="923">
        <v>3</v>
      </c>
      <c r="V3" s="923">
        <v>3</v>
      </c>
      <c r="W3" s="923">
        <v>12</v>
      </c>
      <c r="X3" s="923">
        <v>12</v>
      </c>
      <c r="Y3" s="923">
        <v>3</v>
      </c>
      <c r="Z3" s="923">
        <v>9</v>
      </c>
      <c r="AA3" s="923">
        <v>12</v>
      </c>
      <c r="AB3" s="923">
        <v>13</v>
      </c>
      <c r="AC3" s="923">
        <v>40</v>
      </c>
      <c r="AD3" s="923">
        <v>10</v>
      </c>
      <c r="AE3" s="923">
        <v>9</v>
      </c>
      <c r="AF3" s="923">
        <v>13</v>
      </c>
      <c r="AG3" s="1149"/>
      <c r="AH3" s="923">
        <v>3</v>
      </c>
      <c r="AI3" s="923">
        <v>3</v>
      </c>
      <c r="AJ3" s="923">
        <v>3</v>
      </c>
      <c r="AK3" s="923">
        <v>3</v>
      </c>
      <c r="AL3" s="923">
        <v>3</v>
      </c>
      <c r="AM3" s="923">
        <v>12</v>
      </c>
      <c r="AN3" s="923">
        <v>12</v>
      </c>
      <c r="AO3" s="923">
        <v>3</v>
      </c>
      <c r="AP3" s="923">
        <v>9</v>
      </c>
      <c r="AQ3" s="923">
        <v>12</v>
      </c>
      <c r="AR3" s="923">
        <v>13</v>
      </c>
      <c r="AS3" s="923">
        <v>40</v>
      </c>
      <c r="AT3" s="923">
        <v>10</v>
      </c>
      <c r="AU3" s="923">
        <v>9</v>
      </c>
      <c r="AV3" s="923">
        <v>13</v>
      </c>
      <c r="AW3" s="1127" t="s">
        <v>1381</v>
      </c>
      <c r="AY3" s="3">
        <v>1</v>
      </c>
      <c r="AZ3" s="11">
        <f ca="1">COUNTA(A1:AX343) + COUNTBLANK(A1:AX343)</f>
        <v>17173</v>
      </c>
      <c r="BA3" s="12" t="str">
        <f>"cellules entre -cells -celdas  "&amp;" " &amp;A1&amp;" et  "&amp;AY343</f>
        <v>cellules entre -cells -celdas   A1 et  AY343</v>
      </c>
    </row>
    <row r="4" spans="1:53" s="1150" customFormat="1" ht="27" customHeight="1">
      <c r="B4" s="1550" t="s">
        <v>2623</v>
      </c>
      <c r="C4" s="1551"/>
      <c r="D4" s="1551"/>
      <c r="E4" s="1551"/>
      <c r="F4" s="1551"/>
      <c r="G4" s="1551"/>
      <c r="H4" s="1551"/>
      <c r="I4" s="1551"/>
      <c r="J4" s="1551"/>
      <c r="K4" s="1551"/>
      <c r="L4" s="1551"/>
      <c r="M4" s="1551"/>
      <c r="N4" s="1551"/>
      <c r="O4" s="1551"/>
      <c r="P4" s="1551"/>
      <c r="Q4" s="1551"/>
      <c r="R4" s="1551"/>
      <c r="S4" s="1551"/>
      <c r="T4" s="1551"/>
      <c r="U4" s="1551"/>
      <c r="V4" s="1551"/>
      <c r="W4" s="1551"/>
      <c r="X4" s="1551"/>
      <c r="Y4" s="1551"/>
      <c r="Z4" s="1551"/>
      <c r="AA4" s="1551"/>
      <c r="AB4" s="1551"/>
      <c r="AC4" s="1551"/>
      <c r="AD4" s="1551"/>
      <c r="AE4" s="1551"/>
      <c r="AF4" s="1551"/>
      <c r="AG4" s="1551"/>
      <c r="AH4" s="1551"/>
      <c r="AI4" s="1551"/>
      <c r="AJ4" s="1551"/>
      <c r="AK4" s="1551"/>
      <c r="AL4" s="1551"/>
      <c r="AM4" s="1551"/>
      <c r="AN4" s="1551"/>
      <c r="AO4" s="1551"/>
      <c r="AP4" s="1551"/>
      <c r="AQ4" s="1551"/>
      <c r="AR4" s="1551"/>
      <c r="AS4" s="1551"/>
      <c r="AT4" s="5740" t="s">
        <v>3754</v>
      </c>
      <c r="AU4" s="5740"/>
      <c r="AV4" s="5741"/>
      <c r="AY4" s="3">
        <v>1</v>
      </c>
      <c r="AZ4" s="11">
        <f ca="1">COUNTA(A1:AX343)</f>
        <v>1042</v>
      </c>
      <c r="BA4" s="12" t="s">
        <v>10</v>
      </c>
    </row>
    <row r="5" spans="1:53" ht="27" customHeight="1">
      <c r="B5" s="1552"/>
      <c r="C5" s="1553"/>
      <c r="D5" s="5306" t="str">
        <f>IF(ISNUMBER(IFERROR(VALUE("0,5"),"")),"sur cet ordi.saisissez une VIRGULE comme séparateur décimal",IF(ISNUMBER(IFERROR(VALUE("0.5"),"")),"sur cet ordi.saisissez un POINT comme séparateur décimal","Impossible de déterminer le séparateur décimal"))</f>
        <v>sur cet ordi.saisissez un POINT comme séparateur décimal</v>
      </c>
      <c r="E5" s="1553"/>
      <c r="F5" s="1553"/>
      <c r="G5" s="1553"/>
      <c r="H5" s="1553"/>
      <c r="I5" s="1553"/>
      <c r="J5" s="1553"/>
      <c r="K5" s="1553"/>
      <c r="L5" s="1553"/>
      <c r="M5" s="1553"/>
      <c r="N5" s="5307" t="str">
        <f>IF(ISNUMBER(IFERROR(VALUE("0,5"),"")),"On this computer, type a COMMA as the decimal separator",IF(ISNUMBER(IFERROR(VALUE("0.5"),"")),"On this computer, type a POINT as the decimal separator","Unable to determine the decimal separator"))</f>
        <v>On this computer, type a POINT as the decimal separator</v>
      </c>
      <c r="O5" s="1553"/>
      <c r="P5" s="1553"/>
      <c r="Q5" s="1553"/>
      <c r="R5" s="1553"/>
      <c r="S5" s="1553"/>
      <c r="T5" s="1553"/>
      <c r="U5" s="1553"/>
      <c r="V5" s="1553"/>
      <c r="W5" s="1553"/>
      <c r="X5" s="1553"/>
      <c r="Y5" s="1553"/>
      <c r="Z5" s="1553"/>
      <c r="AA5" s="1553"/>
      <c r="AB5" s="1553"/>
      <c r="AC5" s="5307" t="str">
        <f>IF(ISNUMBER(IFERROR(VALUE("0,5"),""))," En este ordenador, escriba una COMA como separador decimal",IF(ISNUMBER(IFERROR(VALUE("0.5"),"")),"En este ordenador, escriba un PUNTO como separador decimal","No es posible determinar el separador decimal"))</f>
        <v>En este ordenador, escriba un PUNTO como separador decimal</v>
      </c>
      <c r="AD5" s="1553"/>
      <c r="AE5" s="1553"/>
      <c r="AF5" s="1553"/>
      <c r="AG5" s="1553"/>
      <c r="AH5" s="1553"/>
      <c r="AI5" s="1553"/>
      <c r="AJ5" s="1553"/>
      <c r="AK5" s="1553"/>
      <c r="AL5" s="1553"/>
      <c r="AM5" s="1553"/>
      <c r="AN5" s="1553"/>
      <c r="AO5" s="1553"/>
      <c r="AP5" s="1553"/>
      <c r="AQ5" s="1553"/>
      <c r="AR5" s="1553"/>
      <c r="AS5" s="1553"/>
      <c r="AT5" s="5742"/>
      <c r="AU5" s="5742"/>
      <c r="AV5" s="5743"/>
      <c r="AY5" s="3">
        <v>1</v>
      </c>
      <c r="AZ5" s="11">
        <f ca="1">COUNTBLANK(A1:AX343)</f>
        <v>16131</v>
      </c>
      <c r="BA5" s="12" t="s">
        <v>13</v>
      </c>
    </row>
    <row r="6" spans="1:53" ht="27" customHeight="1">
      <c r="B6" s="1153" t="s">
        <v>13494</v>
      </c>
      <c r="C6" s="1154"/>
      <c r="D6" s="1154"/>
      <c r="E6" s="1154"/>
      <c r="F6" s="1154"/>
      <c r="G6" s="1154"/>
      <c r="H6" s="1154"/>
      <c r="I6" s="1154"/>
      <c r="J6" s="1154"/>
      <c r="K6" s="1154"/>
      <c r="L6" s="1154"/>
      <c r="M6" s="1154"/>
      <c r="N6" s="1154" t="s">
        <v>13495</v>
      </c>
      <c r="O6" s="1154"/>
      <c r="P6" s="1154"/>
      <c r="Q6" s="1154"/>
      <c r="R6" s="1154"/>
      <c r="S6" s="1154"/>
      <c r="T6" s="1154"/>
      <c r="U6" s="1154"/>
      <c r="V6" s="1154"/>
      <c r="W6" s="1154"/>
      <c r="X6" s="1154"/>
      <c r="Y6" s="1154"/>
      <c r="Z6" s="1154"/>
      <c r="AA6" s="1154"/>
      <c r="AB6" s="1154" t="s">
        <v>13496</v>
      </c>
      <c r="AC6" s="1154"/>
      <c r="AD6" s="1154"/>
      <c r="AE6" s="1154"/>
      <c r="AF6" s="1154"/>
      <c r="AG6" s="1154"/>
      <c r="AH6" s="1154"/>
      <c r="AI6" s="1154"/>
      <c r="AJ6" s="1154"/>
      <c r="AK6" s="1155"/>
      <c r="AL6" s="1155"/>
      <c r="AM6" s="1155"/>
      <c r="AN6" s="1155"/>
      <c r="AO6" s="1155"/>
      <c r="AP6" s="1155"/>
      <c r="AQ6" s="1155"/>
      <c r="AR6" s="1155"/>
      <c r="AS6" s="1155"/>
      <c r="AT6" s="5742"/>
      <c r="AU6" s="5742"/>
      <c r="AV6" s="5743"/>
      <c r="AY6" s="3">
        <v>1</v>
      </c>
      <c r="AZ6" s="11">
        <f>SUM(AY1:AY341)+2</f>
        <v>340</v>
      </c>
      <c r="BA6" s="12" t="s">
        <v>15</v>
      </c>
    </row>
    <row r="7" spans="1:53" ht="27" customHeight="1" thickBot="1">
      <c r="B7" s="1153" t="s">
        <v>2624</v>
      </c>
      <c r="C7" s="1156"/>
      <c r="D7" s="1156"/>
      <c r="E7" s="1156"/>
      <c r="F7" s="1156"/>
      <c r="G7" s="1156"/>
      <c r="H7" s="1156"/>
      <c r="I7" s="1156"/>
      <c r="J7" s="1156"/>
      <c r="K7" s="1156"/>
      <c r="L7" s="1156"/>
      <c r="M7" s="1156"/>
      <c r="N7" s="1156" t="s">
        <v>2625</v>
      </c>
      <c r="O7" s="1156"/>
      <c r="P7" s="1156"/>
      <c r="Q7" s="1156"/>
      <c r="R7" s="1156"/>
      <c r="S7" s="1156"/>
      <c r="T7" s="1156"/>
      <c r="U7" s="1156"/>
      <c r="V7" s="1156"/>
      <c r="W7" s="1156"/>
      <c r="X7" s="1156"/>
      <c r="Y7" s="1156"/>
      <c r="Z7" s="1156" t="s">
        <v>2626</v>
      </c>
      <c r="AA7" s="1156"/>
      <c r="AB7" s="1156"/>
      <c r="AC7" s="1156"/>
      <c r="AD7" s="1156"/>
      <c r="AE7" s="1156"/>
      <c r="AF7" s="1156"/>
      <c r="AG7" s="1156"/>
      <c r="AH7" s="1156"/>
      <c r="AI7" s="1156"/>
      <c r="AJ7" s="1156"/>
      <c r="AK7" s="1157"/>
      <c r="AL7" s="1157"/>
      <c r="AM7" s="1157"/>
      <c r="AN7" s="1158" t="s">
        <v>2627</v>
      </c>
      <c r="AO7" s="1157"/>
      <c r="AP7" s="1157"/>
      <c r="AQ7" s="1157"/>
      <c r="AR7" s="1157"/>
      <c r="AS7" s="1158"/>
      <c r="AT7" s="5744"/>
      <c r="AU7" s="5744"/>
      <c r="AV7" s="5745"/>
      <c r="AY7" s="3">
        <v>1</v>
      </c>
      <c r="AZ7" s="11">
        <f>SUM(A343:AX343)+1</f>
        <v>51</v>
      </c>
      <c r="BA7" s="12" t="s">
        <v>18</v>
      </c>
    </row>
    <row r="8" spans="1:53" ht="27" customHeight="1">
      <c r="B8" s="1159" t="s">
        <v>208</v>
      </c>
      <c r="C8" s="1160" t="str">
        <f ca="1">CELL("nomfichier")</f>
        <v>D:\Données\1.UPRT\0-UPRT.fait\1-UPRT.FR-SITE-WEB\ff-fiches-fabrications\ff.fiches.fabrication.2023\ffr.restaurant.2023\[ff.FICHE.TRILINGUE.15.COLONNES.29.11.2025.xlsx]Notice.utilisateur</v>
      </c>
      <c r="D8" s="1160"/>
      <c r="E8" s="1151"/>
      <c r="F8" s="1151"/>
      <c r="G8" s="1151"/>
      <c r="H8" s="1151"/>
      <c r="I8" s="1151"/>
      <c r="J8" s="1151"/>
      <c r="K8" s="1151"/>
      <c r="L8" s="1151"/>
      <c r="M8" s="1151"/>
      <c r="N8" s="1151"/>
      <c r="O8" s="1151"/>
      <c r="P8" s="1151"/>
      <c r="Q8" s="1151"/>
      <c r="R8" s="1151"/>
      <c r="S8" s="1151"/>
      <c r="T8" s="1151"/>
      <c r="U8" s="1151"/>
      <c r="V8" s="1151"/>
      <c r="W8" s="1151"/>
      <c r="X8" s="1151"/>
      <c r="Y8" s="1151"/>
      <c r="Z8" s="1151"/>
      <c r="AA8" s="1151"/>
      <c r="AB8" s="1151"/>
      <c r="AC8" s="1151"/>
      <c r="AD8" s="1151"/>
      <c r="AE8" s="1151"/>
      <c r="AF8" s="1151"/>
      <c r="AG8" s="1151"/>
      <c r="AH8" s="1161"/>
      <c r="AI8" s="1161"/>
      <c r="AJ8" s="1161"/>
      <c r="AK8" s="1161"/>
      <c r="AL8" s="1161"/>
      <c r="AM8" s="1161"/>
      <c r="AN8" s="1161"/>
      <c r="AO8" s="1161"/>
      <c r="AP8" s="1161"/>
      <c r="AQ8" s="1161"/>
      <c r="AR8" s="1161"/>
      <c r="AS8" s="1161"/>
      <c r="AT8" s="1161"/>
      <c r="AU8" s="1161"/>
      <c r="AV8" s="1161"/>
      <c r="AY8" s="3">
        <v>1</v>
      </c>
    </row>
    <row r="9" spans="1:53" ht="27" customHeight="1" thickBot="1">
      <c r="B9" s="1162"/>
      <c r="C9" s="1163" t="s">
        <v>1704</v>
      </c>
      <c r="D9" s="1162"/>
      <c r="E9" s="1164"/>
      <c r="F9" s="1162"/>
      <c r="G9" s="1164"/>
      <c r="H9" s="1162"/>
      <c r="I9" s="1164"/>
      <c r="J9" s="1162"/>
      <c r="K9" s="1164"/>
      <c r="L9" s="1162"/>
      <c r="M9" s="1164"/>
      <c r="N9" s="1162"/>
      <c r="O9" s="1164"/>
      <c r="P9" s="1162"/>
      <c r="Q9" s="1152"/>
      <c r="R9" s="1162"/>
      <c r="S9" s="1164"/>
      <c r="T9" s="1162"/>
      <c r="U9" s="1164"/>
      <c r="V9" s="1162"/>
      <c r="W9" s="1164"/>
      <c r="X9" s="1162"/>
      <c r="Y9" s="1164"/>
      <c r="Z9" s="1162"/>
      <c r="AA9" s="1164"/>
      <c r="AB9" s="1162"/>
      <c r="AC9" s="1164"/>
      <c r="AD9" s="1162"/>
      <c r="AE9" s="1164"/>
      <c r="AF9" s="1162"/>
      <c r="AG9" s="1152"/>
      <c r="AH9" s="1162"/>
      <c r="AI9" s="1164"/>
      <c r="AJ9" s="1162"/>
      <c r="AK9" s="1164"/>
      <c r="AL9" s="1162"/>
      <c r="AM9" s="1164"/>
      <c r="AN9" s="1162"/>
      <c r="AO9" s="1164"/>
      <c r="AP9" s="1162"/>
      <c r="AQ9" s="1164"/>
      <c r="AR9" s="1162"/>
      <c r="AS9" s="1164"/>
      <c r="AT9" s="1162"/>
      <c r="AU9" s="1164"/>
      <c r="AV9" s="1162"/>
      <c r="AY9" s="3">
        <v>1</v>
      </c>
    </row>
    <row r="10" spans="1:53" ht="27" customHeight="1">
      <c r="B10" s="22" t="s">
        <v>11</v>
      </c>
      <c r="C10" s="23" t="str">
        <f>C16</f>
        <v>É ÉPICES POUR BOUDIN | |  Author &gt; Guy KRENZE - Eric GODDYN - Arnaud NICOLAS - CEPROC 2002</v>
      </c>
      <c r="D10" s="24">
        <f>D16</f>
        <v>408</v>
      </c>
      <c r="E10" s="24" t="str">
        <f>E16</f>
        <v>g</v>
      </c>
      <c r="F10" s="25" t="str">
        <f>F16</f>
        <v>Master recipe ► le Boudin en 4 déclinaisons</v>
      </c>
      <c r="G10" s="26" t="s">
        <v>23</v>
      </c>
      <c r="H10" s="5471" t="s">
        <v>13070</v>
      </c>
      <c r="I10" s="5471"/>
      <c r="J10" s="5471"/>
      <c r="K10" s="5471"/>
      <c r="L10" s="5471"/>
      <c r="M10" s="5471"/>
      <c r="N10" s="5473" t="s">
        <v>1031</v>
      </c>
      <c r="O10" s="5473"/>
      <c r="P10" s="5475" t="str">
        <f>UPPER(LEFT(H10,1))</f>
        <v>É</v>
      </c>
      <c r="Q10" s="1171"/>
      <c r="R10" s="22" t="s">
        <v>11</v>
      </c>
      <c r="S10" s="23" t="str">
        <f>S16</f>
        <v>E ESPECIAS PARA MORCILLA | | Autor &gt; Guy KRENZE - Eric GODDYN - Arnaud NICOLAS - CEPROC 2002</v>
      </c>
      <c r="T10" s="24">
        <f>T16</f>
        <v>408</v>
      </c>
      <c r="U10" s="24" t="str">
        <f>U16</f>
        <v>g</v>
      </c>
      <c r="V10" s="25" t="str">
        <f>V16</f>
        <v>Receta madre ► Morcilla en 4 versiones</v>
      </c>
      <c r="W10" s="26" t="s">
        <v>23</v>
      </c>
      <c r="X10" s="5471" t="s">
        <v>13183</v>
      </c>
      <c r="Y10" s="5471"/>
      <c r="Z10" s="5471"/>
      <c r="AA10" s="5471"/>
      <c r="AB10" s="5471"/>
      <c r="AC10" s="5471"/>
      <c r="AD10" s="5473" t="s">
        <v>13135</v>
      </c>
      <c r="AE10" s="5473"/>
      <c r="AF10" s="5475" t="str">
        <f>UPPER(LEFT(X10,1))</f>
        <v>E</v>
      </c>
      <c r="AG10" s="1171"/>
      <c r="AH10" s="1165"/>
      <c r="AI10" s="1166"/>
      <c r="AJ10" s="1166"/>
      <c r="AK10" s="1166"/>
      <c r="AL10" s="1167"/>
      <c r="AM10" s="1168"/>
      <c r="AN10" s="54"/>
      <c r="AO10" s="54"/>
      <c r="AP10" s="54"/>
      <c r="AQ10" s="54"/>
      <c r="AR10" s="54"/>
      <c r="AS10" s="54"/>
      <c r="AT10" s="1169"/>
      <c r="AU10" s="1169"/>
      <c r="AV10" s="1170"/>
      <c r="AY10" s="3">
        <v>1</v>
      </c>
    </row>
    <row r="11" spans="1:53" ht="27" customHeight="1">
      <c r="B11" s="27" t="s">
        <v>11</v>
      </c>
      <c r="C11" s="28" t="str">
        <f>C16</f>
        <v>É ÉPICES POUR BOUDIN | |  Author &gt; Guy KRENZE - Eric GODDYN - Arnaud NICOLAS - CEPROC 2002</v>
      </c>
      <c r="D11" s="29">
        <f>D16</f>
        <v>408</v>
      </c>
      <c r="E11" s="29" t="str">
        <f>E16</f>
        <v>g</v>
      </c>
      <c r="F11" s="30" t="str">
        <f>F16</f>
        <v>Master recipe ► le Boudin en 4 déclinaisons</v>
      </c>
      <c r="G11" s="31" t="s">
        <v>29</v>
      </c>
      <c r="H11" s="5472"/>
      <c r="I11" s="5472"/>
      <c r="J11" s="5472"/>
      <c r="K11" s="5472"/>
      <c r="L11" s="5472"/>
      <c r="M11" s="5472"/>
      <c r="N11" s="5474"/>
      <c r="O11" s="5474"/>
      <c r="P11" s="5476"/>
      <c r="Q11" s="1171"/>
      <c r="R11" s="27" t="s">
        <v>11</v>
      </c>
      <c r="S11" s="28" t="str">
        <f>S16</f>
        <v>E ESPECIAS PARA MORCILLA | | Autor &gt; Guy KRENZE - Eric GODDYN - Arnaud NICOLAS - CEPROC 2002</v>
      </c>
      <c r="T11" s="29">
        <f>T16</f>
        <v>408</v>
      </c>
      <c r="U11" s="29" t="str">
        <f>U16</f>
        <v>g</v>
      </c>
      <c r="V11" s="30" t="str">
        <f>V16</f>
        <v>Receta madre ► Morcilla en 4 versiones</v>
      </c>
      <c r="W11" s="31" t="s">
        <v>29</v>
      </c>
      <c r="X11" s="5472"/>
      <c r="Y11" s="5472"/>
      <c r="Z11" s="5472"/>
      <c r="AA11" s="5472"/>
      <c r="AB11" s="5472"/>
      <c r="AC11" s="5472"/>
      <c r="AD11" s="5474" t="s">
        <v>116</v>
      </c>
      <c r="AE11" s="5474"/>
      <c r="AF11" s="5476"/>
      <c r="AG11" s="1171"/>
      <c r="AH11" s="104"/>
      <c r="AI11" s="1172"/>
      <c r="AJ11" s="1172"/>
      <c r="AK11" s="1172"/>
      <c r="AL11" s="1173"/>
      <c r="AM11" s="1174"/>
      <c r="AN11" s="1175"/>
      <c r="AO11" s="1176"/>
      <c r="AP11" s="1177"/>
      <c r="AQ11" s="1547"/>
      <c r="AR11" s="1177"/>
      <c r="AS11" s="1548"/>
      <c r="AT11" s="1549"/>
      <c r="AU11" s="1178"/>
      <c r="AV11" s="1179"/>
      <c r="AY11" s="3">
        <v>1</v>
      </c>
    </row>
    <row r="12" spans="1:53" ht="27" customHeight="1">
      <c r="B12" s="27" t="s">
        <v>11</v>
      </c>
      <c r="C12" s="5310" t="str">
        <f>C16</f>
        <v>É ÉPICES POUR BOUDIN | |  Author &gt; Guy KRENZE - Eric GODDYN - Arnaud NICOLAS - CEPROC 2002</v>
      </c>
      <c r="D12" s="5310">
        <f>D16</f>
        <v>408</v>
      </c>
      <c r="E12" s="5311" t="str">
        <f>E16</f>
        <v>g</v>
      </c>
      <c r="F12" s="5312" t="str">
        <f>F16</f>
        <v>Master recipe ► le Boudin en 4 déclinaisons</v>
      </c>
      <c r="G12" s="5313"/>
      <c r="H12" s="5314" t="s">
        <v>30</v>
      </c>
      <c r="I12" s="37"/>
      <c r="J12" s="38" t="s">
        <v>889</v>
      </c>
      <c r="K12" s="39" t="s">
        <v>12835</v>
      </c>
      <c r="L12" s="9"/>
      <c r="M12" s="39"/>
      <c r="N12" s="39"/>
      <c r="O12" s="40"/>
      <c r="P12" s="41"/>
      <c r="Q12" s="1171"/>
      <c r="R12" s="27" t="s">
        <v>11</v>
      </c>
      <c r="S12" s="5310" t="str">
        <f>S16</f>
        <v>E ESPECIAS PARA MORCILLA | | Autor &gt; Guy KRENZE - Eric GODDYN - Arnaud NICOLAS - CEPROC 2002</v>
      </c>
      <c r="T12" s="5310">
        <f>T16</f>
        <v>408</v>
      </c>
      <c r="U12" s="5311" t="str">
        <f>U16</f>
        <v>g</v>
      </c>
      <c r="V12" s="5312" t="str">
        <f>V16</f>
        <v>Receta madre ► Morcilla en 4 versiones</v>
      </c>
      <c r="W12" s="5313"/>
      <c r="X12" s="5314" t="s">
        <v>30</v>
      </c>
      <c r="Y12" s="37"/>
      <c r="Z12" s="38" t="s">
        <v>904</v>
      </c>
      <c r="AA12" s="39" t="s">
        <v>12835</v>
      </c>
      <c r="AB12" s="9"/>
      <c r="AC12" s="39"/>
      <c r="AD12" s="39"/>
      <c r="AE12" s="40"/>
      <c r="AF12" s="41"/>
      <c r="AG12" s="1171"/>
      <c r="AH12" s="104"/>
      <c r="AI12" s="1172"/>
      <c r="AJ12" s="1172"/>
      <c r="AK12" s="1172"/>
      <c r="AL12" s="1173"/>
      <c r="AM12" s="1174"/>
      <c r="AN12" s="1175"/>
      <c r="AO12" s="1176"/>
      <c r="AP12" s="1177"/>
      <c r="AQ12" s="1547"/>
      <c r="AR12" s="1177"/>
      <c r="AS12" s="1548"/>
      <c r="AT12" s="1549"/>
      <c r="AU12" s="1178"/>
      <c r="AV12" s="1179"/>
      <c r="AY12" s="3">
        <v>1</v>
      </c>
    </row>
    <row r="13" spans="1:53" ht="27" customHeight="1">
      <c r="B13" s="27" t="s">
        <v>11</v>
      </c>
      <c r="C13" s="32" t="str">
        <f>C16</f>
        <v>É ÉPICES POUR BOUDIN | |  Author &gt; Guy KRENZE - Eric GODDYN - Arnaud NICOLAS - CEPROC 2002</v>
      </c>
      <c r="D13" s="33">
        <f>D16</f>
        <v>408</v>
      </c>
      <c r="E13" s="33" t="str">
        <f>E16</f>
        <v>g</v>
      </c>
      <c r="F13" s="34" t="str">
        <f>F16</f>
        <v>Master recipe ► le Boudin en 4 déclinaisons</v>
      </c>
      <c r="G13" s="42" t="s">
        <v>137</v>
      </c>
      <c r="H13" s="43"/>
      <c r="I13" s="43"/>
      <c r="J13" s="44" t="s">
        <v>33</v>
      </c>
      <c r="K13" s="5477" t="str">
        <f>L16&amp;" "&amp;M16&amp;" ► Famille = "&amp;N10&amp;" ► "&amp;H10&amp;" "&amp; "pour "&amp;N14&amp;" "&amp;O14</f>
        <v>Master recipe ► le Boudin en 4 déclinaisons ► Famille =  charcuterie-BOUDIN-NOIR ► ÉPICES POUR BOUDIN pour 100 g</v>
      </c>
      <c r="L13" s="5477"/>
      <c r="M13" s="5477"/>
      <c r="N13" s="5039" t="s">
        <v>3324</v>
      </c>
      <c r="O13" s="40"/>
      <c r="P13" s="1472"/>
      <c r="Q13" s="1171"/>
      <c r="R13" s="27" t="s">
        <v>11</v>
      </c>
      <c r="S13" s="32" t="str">
        <f>S16</f>
        <v>E ESPECIAS PARA MORCILLA | | Autor &gt; Guy KRENZE - Eric GODDYN - Arnaud NICOLAS - CEPROC 2002</v>
      </c>
      <c r="T13" s="33">
        <f>T16</f>
        <v>408</v>
      </c>
      <c r="U13" s="33" t="str">
        <f>U16</f>
        <v>g</v>
      </c>
      <c r="V13" s="34" t="str">
        <f>V16</f>
        <v>Receta madre ► Morcilla en 4 versiones</v>
      </c>
      <c r="W13" s="42" t="s">
        <v>905</v>
      </c>
      <c r="X13" s="43"/>
      <c r="Y13" s="43"/>
      <c r="Z13" s="44" t="s">
        <v>33</v>
      </c>
      <c r="AA13" s="5477" t="str">
        <f>AB16&amp;" "&amp;AC16&amp;" ► Famille = "&amp;AD10&amp;" ► "&amp;X10&amp;" "&amp; "pour "&amp;AD14&amp;" "&amp;AE14</f>
        <v>Receta madre ► Morcilla en 4 versiones ► Famille = charcutería--MORCILLA ► ESPECIAS PARA MORCILLA pour 100 g</v>
      </c>
      <c r="AB13" s="5477"/>
      <c r="AC13" s="5477"/>
      <c r="AD13" s="5039" t="s">
        <v>3326</v>
      </c>
      <c r="AE13" s="40"/>
      <c r="AF13" s="1472"/>
      <c r="AG13" s="1171"/>
      <c r="AH13" s="104"/>
      <c r="AI13" s="1172"/>
      <c r="AJ13" s="1172"/>
      <c r="AK13" s="1172"/>
      <c r="AL13" s="1173"/>
      <c r="AM13" s="1174"/>
      <c r="AN13" s="1175"/>
      <c r="AO13" s="1176"/>
      <c r="AP13" s="1177"/>
      <c r="AQ13" s="1547"/>
      <c r="AR13" s="1177"/>
      <c r="AS13" s="1548"/>
      <c r="AT13" s="1549"/>
      <c r="AU13" s="1178"/>
      <c r="AV13" s="1179"/>
      <c r="AY13" s="3">
        <v>1</v>
      </c>
    </row>
    <row r="14" spans="1:53" ht="27" customHeight="1">
      <c r="B14" s="27" t="s">
        <v>11</v>
      </c>
      <c r="C14" s="32" t="str">
        <f>C16</f>
        <v>É ÉPICES POUR BOUDIN | |  Author &gt; Guy KRENZE - Eric GODDYN - Arnaud NICOLAS - CEPROC 2002</v>
      </c>
      <c r="D14" s="33">
        <f>D16</f>
        <v>408</v>
      </c>
      <c r="E14" s="33" t="str">
        <f>E16</f>
        <v>g</v>
      </c>
      <c r="F14" s="34" t="str">
        <f>F16</f>
        <v>Master recipe ► le Boudin en 4 déclinaisons</v>
      </c>
      <c r="G14" s="50">
        <v>408</v>
      </c>
      <c r="H14" s="51" t="s">
        <v>99</v>
      </c>
      <c r="I14" s="42"/>
      <c r="J14" s="42"/>
      <c r="K14" s="5477"/>
      <c r="L14" s="5477"/>
      <c r="M14" s="5477"/>
      <c r="N14" s="46">
        <v>100</v>
      </c>
      <c r="O14" s="5478" t="str">
        <f>H14</f>
        <v>g</v>
      </c>
      <c r="P14" s="5479"/>
      <c r="Q14" s="1171"/>
      <c r="R14" s="27" t="s">
        <v>11</v>
      </c>
      <c r="S14" s="32" t="str">
        <f>S16</f>
        <v>E ESPECIAS PARA MORCILLA | | Autor &gt; Guy KRENZE - Eric GODDYN - Arnaud NICOLAS - CEPROC 2002</v>
      </c>
      <c r="T14" s="33">
        <f>T16</f>
        <v>408</v>
      </c>
      <c r="U14" s="33" t="str">
        <f>U16</f>
        <v>g</v>
      </c>
      <c r="V14" s="34" t="str">
        <f>V16</f>
        <v>Receta madre ► Morcilla en 4 versiones</v>
      </c>
      <c r="W14" s="50">
        <v>408</v>
      </c>
      <c r="X14" s="51" t="s">
        <v>99</v>
      </c>
      <c r="Y14" s="42"/>
      <c r="Z14" s="42"/>
      <c r="AA14" s="5477"/>
      <c r="AB14" s="5477"/>
      <c r="AC14" s="5477"/>
      <c r="AD14" s="46">
        <v>100</v>
      </c>
      <c r="AE14" s="5478" t="str">
        <f>X14</f>
        <v>g</v>
      </c>
      <c r="AF14" s="5479"/>
      <c r="AG14" s="1171"/>
      <c r="AH14" s="104"/>
      <c r="AI14" s="1172"/>
      <c r="AJ14" s="1172"/>
      <c r="AK14" s="1172"/>
      <c r="AL14" s="1173"/>
      <c r="AM14" s="1174"/>
      <c r="AN14" s="1175"/>
      <c r="AO14" s="1176"/>
      <c r="AP14" s="1177"/>
      <c r="AQ14" s="1547"/>
      <c r="AR14" s="1177"/>
      <c r="AS14" s="1548"/>
      <c r="AT14" s="1549"/>
      <c r="AU14" s="1178"/>
      <c r="AV14" s="1179"/>
      <c r="AY14" s="3">
        <v>1</v>
      </c>
    </row>
    <row r="15" spans="1:53" ht="27" customHeight="1">
      <c r="B15" s="27" t="s">
        <v>16</v>
      </c>
      <c r="C15" s="32" t="str">
        <f>C16</f>
        <v>É ÉPICES POUR BOUDIN | |  Author &gt; Guy KRENZE - Eric GODDYN - Arnaud NICOLAS - CEPROC 2002</v>
      </c>
      <c r="D15" s="33">
        <f>D16</f>
        <v>408</v>
      </c>
      <c r="E15" s="33" t="str">
        <f>E16</f>
        <v>g</v>
      </c>
      <c r="F15" s="34" t="str">
        <f>F16</f>
        <v>Master recipe ► le Boudin en 4 déclinaisons</v>
      </c>
      <c r="G15" s="56"/>
      <c r="H15" s="5165" t="s">
        <v>13100</v>
      </c>
      <c r="I15" s="5468">
        <f>O30/L15</f>
        <v>0.40749999999999997</v>
      </c>
      <c r="J15" s="5468"/>
      <c r="K15" s="5054" t="str" cm="1">
        <f t="array" ref="K15">"1= "&amp;IF(OR(G14&lt;=0,I15=""),"",_xlfn.LET(_xlpm.kg,IF(ISNUMBER(I15),I15,VALEUR(SUBSTITUTE(SUBSTITUTE(SUBSTITUTE(LOWER(I15),"kg",""),",",".")," ",""))),TEXT(ROUND(_xlpm.kg*1000/G14,2),"0.##")&amp;" g"))</f>
        <v>1= 1. g</v>
      </c>
      <c r="L15" s="1490">
        <f>IFERROR(N14/G14,0)</f>
        <v>0.24509803921568626</v>
      </c>
      <c r="M15" s="45"/>
      <c r="N15" s="5041" t="s">
        <v>153</v>
      </c>
      <c r="O15" s="5042">
        <f>O30</f>
        <v>9.9877450980392149E-2</v>
      </c>
      <c r="P15" s="5043"/>
      <c r="Q15" s="1171"/>
      <c r="R15" s="27" t="s">
        <v>16</v>
      </c>
      <c r="S15" s="32" t="str">
        <f>S16</f>
        <v>E ESPECIAS PARA MORCILLA | | Autor &gt; Guy KRENZE - Eric GODDYN - Arnaud NICOLAS - CEPROC 2002</v>
      </c>
      <c r="T15" s="33">
        <f>T16</f>
        <v>408</v>
      </c>
      <c r="U15" s="33" t="str">
        <f>U16</f>
        <v>g</v>
      </c>
      <c r="V15" s="34" t="str">
        <f>V16</f>
        <v>Receta madre ► Morcilla en 4 versiones</v>
      </c>
      <c r="W15" s="56"/>
      <c r="X15" s="5165" t="s">
        <v>13101</v>
      </c>
      <c r="Y15" s="5468">
        <f>AE30/AB15</f>
        <v>0.40749999999999997</v>
      </c>
      <c r="Z15" s="5468"/>
      <c r="AA15" s="5054" t="str" cm="1">
        <f t="array" ref="AA15">"1= "&amp;IF(OR(W14&lt;=0,Y15=""),"",_xlfn.LET(_xlpm.kg,IF(ISNUMBER(Y15),Y15,VALEUR(SUBSTITUTE(SUBSTITUTE(SUBSTITUTE(LOWER(Y15),"kg",""),",",".")," ",""))),TEXT(ROUND(_xlpm.kg*1000/W14,2),"0.##")&amp;" g"))</f>
        <v>1= 1. g</v>
      </c>
      <c r="AB15" s="1490">
        <f>IFERROR(AD14/W14,0)</f>
        <v>0.24509803921568626</v>
      </c>
      <c r="AC15" s="45"/>
      <c r="AD15" s="5041" t="s">
        <v>248</v>
      </c>
      <c r="AE15" s="5042">
        <f>AE30</f>
        <v>9.9877450980392149E-2</v>
      </c>
      <c r="AF15" s="5043"/>
      <c r="AG15" s="1171"/>
      <c r="AH15" s="104"/>
      <c r="AI15" s="1172"/>
      <c r="AJ15" s="1172"/>
      <c r="AK15" s="1172"/>
      <c r="AL15" s="1173"/>
      <c r="AM15" s="1174"/>
      <c r="AN15" s="1175"/>
      <c r="AO15" s="1176"/>
      <c r="AP15" s="1177"/>
      <c r="AQ15" s="1547"/>
      <c r="AR15" s="1177"/>
      <c r="AS15" s="1548"/>
      <c r="AT15" s="1549"/>
      <c r="AU15" s="1178"/>
      <c r="AV15" s="1179"/>
      <c r="AY15" s="3">
        <v>1</v>
      </c>
    </row>
    <row r="16" spans="1:53" ht="27" customHeight="1">
      <c r="B16" s="64" t="s">
        <v>16</v>
      </c>
      <c r="C16" s="65" t="str">
        <f>G16</f>
        <v>É ÉPICES POUR BOUDIN | |  Author &gt; Guy KRENZE - Eric GODDYN - Arnaud NICOLAS - CEPROC 2002</v>
      </c>
      <c r="D16" s="66">
        <f>G14</f>
        <v>408</v>
      </c>
      <c r="E16" s="65" t="str">
        <f>H14</f>
        <v>g</v>
      </c>
      <c r="F16" s="67" t="str">
        <f>L16&amp;" "&amp;M16</f>
        <v>Master recipe ► le Boudin en 4 déclinaisons</v>
      </c>
      <c r="G16" s="68" t="str">
        <f>UPPER(LEFT(H10,1))&amp;" "&amp;H10&amp;" | "&amp;O10&amp;"| "&amp;J12&amp;" "&amp;K12</f>
        <v>É ÉPICES POUR BOUDIN | |  Author &gt; Guy KRENZE - Eric GODDYN - Arnaud NICOLAS - CEPROC 2002</v>
      </c>
      <c r="H16" s="69" t="s">
        <v>3315</v>
      </c>
      <c r="I16" s="5469" t="s">
        <v>3316</v>
      </c>
      <c r="J16" s="5469"/>
      <c r="K16" s="5469"/>
      <c r="L16" s="70" t="str">
        <f>IF(ISTEXT(M16),"Master recipe ►",H16)</f>
        <v>Master recipe ►</v>
      </c>
      <c r="M16" s="71" t="s">
        <v>12836</v>
      </c>
      <c r="N16" s="71"/>
      <c r="O16" s="72"/>
      <c r="P16" s="1473"/>
      <c r="Q16" s="1171"/>
      <c r="R16" s="64" t="s">
        <v>16</v>
      </c>
      <c r="S16" s="65" t="str">
        <f>W16</f>
        <v>E ESPECIAS PARA MORCILLA | | Autor &gt; Guy KRENZE - Eric GODDYN - Arnaud NICOLAS - CEPROC 2002</v>
      </c>
      <c r="T16" s="66">
        <f>W14</f>
        <v>408</v>
      </c>
      <c r="U16" s="65" t="str">
        <f>X14</f>
        <v>g</v>
      </c>
      <c r="V16" s="67" t="str">
        <f>AB16&amp;" "&amp;AC16</f>
        <v>Receta madre ► Morcilla en 4 versiones</v>
      </c>
      <c r="W16" s="68" t="str">
        <f>UPPER(LEFT(X10,1))&amp;" "&amp;X10&amp;" | "&amp;AE10&amp;"| "&amp;Z12&amp;" "&amp;AA12</f>
        <v>E ESPECIAS PARA MORCILLA | | Autor &gt; Guy KRENZE - Eric GODDYN - Arnaud NICOLAS - CEPROC 2002</v>
      </c>
      <c r="X16" s="69" t="s">
        <v>3319</v>
      </c>
      <c r="Y16" s="5469" t="s">
        <v>906</v>
      </c>
      <c r="Z16" s="5469"/>
      <c r="AA16" s="5469"/>
      <c r="AB16" s="70" t="str">
        <f>IF(ISTEXT(AC16),"Receta madre ►",X16)</f>
        <v>Receta madre ►</v>
      </c>
      <c r="AC16" s="71" t="s">
        <v>12925</v>
      </c>
      <c r="AD16" s="71"/>
      <c r="AE16" s="72"/>
      <c r="AF16" s="1473"/>
      <c r="AG16" s="1171"/>
      <c r="AH16" s="104"/>
      <c r="AI16" s="1172"/>
      <c r="AJ16" s="1172"/>
      <c r="AK16" s="1172"/>
      <c r="AL16" s="1173"/>
      <c r="AM16" s="1174"/>
      <c r="AN16" s="1175"/>
      <c r="AO16" s="1176"/>
      <c r="AP16" s="1177"/>
      <c r="AQ16" s="1547"/>
      <c r="AR16" s="1177"/>
      <c r="AS16" s="1548"/>
      <c r="AT16" s="1549"/>
      <c r="AU16" s="1178"/>
      <c r="AV16" s="1179"/>
      <c r="AY16" s="3">
        <v>1</v>
      </c>
    </row>
    <row r="17" spans="2:51" ht="27" customHeight="1">
      <c r="B17" s="74" t="s">
        <v>16</v>
      </c>
      <c r="C17" s="75" t="str">
        <f>C16</f>
        <v>É ÉPICES POUR BOUDIN | |  Author &gt; Guy KRENZE - Eric GODDYN - Arnaud NICOLAS - CEPROC 2002</v>
      </c>
      <c r="D17" s="75">
        <f>D16</f>
        <v>408</v>
      </c>
      <c r="E17" s="75" t="str">
        <f>E16</f>
        <v>g</v>
      </c>
      <c r="F17" s="76" t="str">
        <f>F16</f>
        <v>Master recipe ► le Boudin en 4 déclinaisons</v>
      </c>
      <c r="G17" s="13" t="s">
        <v>66</v>
      </c>
      <c r="H17" s="13" t="s">
        <v>67</v>
      </c>
      <c r="I17" s="13" t="s">
        <v>68</v>
      </c>
      <c r="J17" s="13" t="s">
        <v>69</v>
      </c>
      <c r="K17" s="77" t="s">
        <v>70</v>
      </c>
      <c r="L17" s="78" t="s">
        <v>71</v>
      </c>
      <c r="M17" s="79" t="s">
        <v>72</v>
      </c>
      <c r="N17" s="1496" t="s">
        <v>73</v>
      </c>
      <c r="O17" s="13" t="s">
        <v>74</v>
      </c>
      <c r="P17" s="518" t="s">
        <v>75</v>
      </c>
      <c r="Q17" s="1171"/>
      <c r="R17" s="74" t="s">
        <v>16</v>
      </c>
      <c r="S17" s="75" t="str">
        <f>S16</f>
        <v>E ESPECIAS PARA MORCILLA | | Autor &gt; Guy KRENZE - Eric GODDYN - Arnaud NICOLAS - CEPROC 2002</v>
      </c>
      <c r="T17" s="75">
        <f>T16</f>
        <v>408</v>
      </c>
      <c r="U17" s="75" t="str">
        <f>U16</f>
        <v>g</v>
      </c>
      <c r="V17" s="76" t="str">
        <f>V16</f>
        <v>Receta madre ► Morcilla en 4 versiones</v>
      </c>
      <c r="W17" s="13" t="s">
        <v>66</v>
      </c>
      <c r="X17" s="13" t="s">
        <v>67</v>
      </c>
      <c r="Y17" s="13" t="s">
        <v>68</v>
      </c>
      <c r="Z17" s="13" t="s">
        <v>69</v>
      </c>
      <c r="AA17" s="77" t="s">
        <v>70</v>
      </c>
      <c r="AB17" s="78" t="s">
        <v>71</v>
      </c>
      <c r="AC17" s="79" t="s">
        <v>72</v>
      </c>
      <c r="AD17" s="1496" t="s">
        <v>73</v>
      </c>
      <c r="AE17" s="13" t="s">
        <v>74</v>
      </c>
      <c r="AF17" s="518" t="s">
        <v>75</v>
      </c>
      <c r="AG17" s="1171"/>
      <c r="AH17" s="104"/>
      <c r="AI17" s="1172"/>
      <c r="AJ17" s="1172"/>
      <c r="AK17" s="1172"/>
      <c r="AL17" s="1173"/>
      <c r="AM17" s="1174"/>
      <c r="AN17" s="1175"/>
      <c r="AO17" s="1176"/>
      <c r="AP17" s="1177"/>
      <c r="AQ17" s="1547"/>
      <c r="AR17" s="1177"/>
      <c r="AS17" s="1548"/>
      <c r="AT17" s="1549"/>
      <c r="AU17" s="1178"/>
      <c r="AV17" s="1179"/>
      <c r="AY17" s="3">
        <v>1</v>
      </c>
    </row>
    <row r="18" spans="2:51" ht="27" customHeight="1">
      <c r="B18" s="27" t="s">
        <v>11</v>
      </c>
      <c r="C18" s="32" t="str">
        <f>C16</f>
        <v>É ÉPICES POUR BOUDIN | |  Author &gt; Guy KRENZE - Eric GODDYN - Arnaud NICOLAS - CEPROC 2002</v>
      </c>
      <c r="D18" s="33">
        <f>D16</f>
        <v>408</v>
      </c>
      <c r="E18" s="32" t="str">
        <f>E16</f>
        <v>g</v>
      </c>
      <c r="F18" s="34" t="str">
        <f>F16</f>
        <v>Master recipe ► le Boudin en 4 déclinaisons</v>
      </c>
      <c r="G18" s="81" t="s">
        <v>77</v>
      </c>
      <c r="H18" s="82" t="s">
        <v>78</v>
      </c>
      <c r="I18" s="83"/>
      <c r="J18" s="5454" t="s">
        <v>228</v>
      </c>
      <c r="K18" s="5464" t="s">
        <v>80</v>
      </c>
      <c r="L18" s="5466" t="s">
        <v>81</v>
      </c>
      <c r="M18" s="84" t="s">
        <v>82</v>
      </c>
      <c r="N18" s="5444" t="s">
        <v>244</v>
      </c>
      <c r="O18" s="5446" t="s">
        <v>890</v>
      </c>
      <c r="P18" s="5448" t="s">
        <v>247</v>
      </c>
      <c r="Q18" s="1171"/>
      <c r="R18" s="27" t="s">
        <v>11</v>
      </c>
      <c r="S18" s="32" t="str">
        <f>S16</f>
        <v>E ESPECIAS PARA MORCILLA | | Autor &gt; Guy KRENZE - Eric GODDYN - Arnaud NICOLAS - CEPROC 2002</v>
      </c>
      <c r="T18" s="33">
        <f>T16</f>
        <v>408</v>
      </c>
      <c r="U18" s="32" t="str">
        <f>U16</f>
        <v>g</v>
      </c>
      <c r="V18" s="34" t="str">
        <f>V16</f>
        <v>Receta madre ► Morcilla en 4 versiones</v>
      </c>
      <c r="W18" s="81" t="s">
        <v>77</v>
      </c>
      <c r="X18" s="82" t="s">
        <v>78</v>
      </c>
      <c r="Y18" s="83"/>
      <c r="Z18" s="5470" t="s">
        <v>229</v>
      </c>
      <c r="AA18" s="5495" t="s">
        <v>80</v>
      </c>
      <c r="AB18" s="5481" t="s">
        <v>396</v>
      </c>
      <c r="AC18" s="84" t="s">
        <v>82</v>
      </c>
      <c r="AD18" s="5444" t="s">
        <v>249</v>
      </c>
      <c r="AE18" s="5446" t="s">
        <v>907</v>
      </c>
      <c r="AF18" s="5448" t="s">
        <v>252</v>
      </c>
      <c r="AG18" s="1171"/>
      <c r="AH18" s="104"/>
      <c r="AI18" s="1172"/>
      <c r="AJ18" s="1172"/>
      <c r="AK18" s="1172"/>
      <c r="AL18" s="1173"/>
      <c r="AM18" s="1174"/>
      <c r="AN18" s="1175"/>
      <c r="AO18" s="1176"/>
      <c r="AP18" s="1177"/>
      <c r="AQ18" s="1547"/>
      <c r="AR18" s="1177"/>
      <c r="AS18" s="1548"/>
      <c r="AT18" s="1549"/>
      <c r="AU18" s="1178"/>
      <c r="AV18" s="1179"/>
      <c r="AY18" s="3">
        <v>1</v>
      </c>
    </row>
    <row r="19" spans="2:51" ht="27" customHeight="1">
      <c r="B19" s="27" t="s">
        <v>11</v>
      </c>
      <c r="C19" s="32" t="str">
        <f>C16</f>
        <v>É ÉPICES POUR BOUDIN | |  Author &gt; Guy KRENZE - Eric GODDYN - Arnaud NICOLAS - CEPROC 2002</v>
      </c>
      <c r="D19" s="33">
        <f>D16</f>
        <v>408</v>
      </c>
      <c r="E19" s="32" t="str">
        <f>E16</f>
        <v>g</v>
      </c>
      <c r="F19" s="34" t="str">
        <f>F16</f>
        <v>Master recipe ► le Boudin en 4 déclinaisons</v>
      </c>
      <c r="G19" s="87" t="s">
        <v>231</v>
      </c>
      <c r="H19" s="88" t="s">
        <v>232</v>
      </c>
      <c r="I19" s="89" t="s">
        <v>891</v>
      </c>
      <c r="J19" s="5455"/>
      <c r="K19" s="5465"/>
      <c r="L19" s="5467"/>
      <c r="M19" s="90" t="s">
        <v>867</v>
      </c>
      <c r="N19" s="5445"/>
      <c r="O19" s="5447"/>
      <c r="P19" s="5449"/>
      <c r="Q19" s="1171"/>
      <c r="R19" s="27" t="s">
        <v>11</v>
      </c>
      <c r="S19" s="32" t="str">
        <f>S16</f>
        <v>E ESPECIAS PARA MORCILLA | | Autor &gt; Guy KRENZE - Eric GODDYN - Arnaud NICOLAS - CEPROC 2002</v>
      </c>
      <c r="T19" s="33">
        <f>T16</f>
        <v>408</v>
      </c>
      <c r="U19" s="32" t="str">
        <f>U16</f>
        <v>g</v>
      </c>
      <c r="V19" s="34" t="str">
        <f>V16</f>
        <v>Receta madre ► Morcilla en 4 versiones</v>
      </c>
      <c r="W19" s="87" t="s">
        <v>234</v>
      </c>
      <c r="X19" s="88" t="s">
        <v>235</v>
      </c>
      <c r="Y19" s="89" t="s">
        <v>93</v>
      </c>
      <c r="Z19" s="5455"/>
      <c r="AA19" s="5465"/>
      <c r="AB19" s="5467"/>
      <c r="AC19" s="90" t="s">
        <v>869</v>
      </c>
      <c r="AD19" s="5445"/>
      <c r="AE19" s="5447"/>
      <c r="AF19" s="5449"/>
      <c r="AG19" s="1171"/>
      <c r="AH19" s="104"/>
      <c r="AI19" s="1172"/>
      <c r="AJ19" s="1172"/>
      <c r="AK19" s="1172"/>
      <c r="AL19" s="1173"/>
      <c r="AM19" s="1174"/>
      <c r="AN19" s="1175"/>
      <c r="AO19" s="1176"/>
      <c r="AP19" s="1177"/>
      <c r="AQ19" s="1547"/>
      <c r="AR19" s="1177"/>
      <c r="AS19" s="1548"/>
      <c r="AT19" s="1549"/>
      <c r="AU19" s="1178"/>
      <c r="AV19" s="1179"/>
      <c r="AY19" s="3">
        <v>1</v>
      </c>
    </row>
    <row r="20" spans="2:51" ht="27" customHeight="1">
      <c r="B20" s="27" t="s">
        <v>11</v>
      </c>
      <c r="C20" s="32" t="str">
        <f>C16</f>
        <v>É ÉPICES POUR BOUDIN | |  Author &gt; Guy KRENZE - Eric GODDYN - Arnaud NICOLAS - CEPROC 2002</v>
      </c>
      <c r="D20" s="33">
        <f>D16</f>
        <v>408</v>
      </c>
      <c r="E20" s="32" t="str">
        <f>E16</f>
        <v>g</v>
      </c>
      <c r="F20" s="34" t="str">
        <f>F16</f>
        <v>Master recipe ► le Boudin en 4 déclinaisons</v>
      </c>
      <c r="G20" s="92"/>
      <c r="H20" s="108"/>
      <c r="I20" s="94" t="str">
        <f t="shared" ref="I20:I29" si="2">IF(OR(ISTEXT(G20), G20&lt;=0, J20&lt;=0), "", "de")</f>
        <v/>
      </c>
      <c r="J20" s="95"/>
      <c r="K20" s="126"/>
      <c r="L20" s="127">
        <v>1</v>
      </c>
      <c r="M20" s="920" t="s">
        <v>13056</v>
      </c>
      <c r="N20" s="100">
        <f>IF(OR(ISBLANK(G14),N14=0),0,G20*L15)</f>
        <v>0</v>
      </c>
      <c r="O20" s="101" cm="1">
        <f t="array" ref="O20">IFERROR(_xlfn.LET(_xlpm.k,UPPER(TRIM(K20)),_xlpm.r,_xlfn.XLOOKUP(_xlpm.k,UPPER(TRIM(G31:P31)),G32:P32,_xlfn.XLOOKUP(_xlpm.k,UPPER(TRIM(G33:P33)),G34:P34)),_xlpm.r*J20*L20*L15*IF(ISBLANK(G20),1,G20)),0)</f>
        <v>0</v>
      </c>
      <c r="P20" s="1476" t="str">
        <f>_xlfn.LET(_xlpm.unite,SUBSTITUTE(TRIM(K20)," (s)",""),_xlpm.val,O20,_xlpm.estVol,COUNTIF(J31:P31,_xlpm.unite)+COUNTIF(J33:P33,_xlpm.unite)&gt;0,_xlpm.estPoids,COUNTIF(G31:I31,_xlpm.unite)+COUNTIF(G33:I33,_xlpm.unite)&gt;0,IF(_xlpm.estVol,IF(ROUND(_xlpm.val,3)&gt;=1,ROUND(_xlpm.val,3)&amp;" L",MAX(1,ROUND(_xlpm.val*100,0))&amp;" cl"),IF(_xlpm.estPoids,IF(ROUND(_xlpm.val,3)&gt;=1,ROUND(_xlpm.val,3)&amp;" Kg",MAX(1,ROUND(_xlpm.val*1000,0))&amp;" g"),"")))</f>
        <v/>
      </c>
      <c r="Q20" s="1171"/>
      <c r="R20" s="27" t="s">
        <v>11</v>
      </c>
      <c r="S20" s="32" t="str">
        <f>S16</f>
        <v>E ESPECIAS PARA MORCILLA | | Autor &gt; Guy KRENZE - Eric GODDYN - Arnaud NICOLAS - CEPROC 2002</v>
      </c>
      <c r="T20" s="33">
        <f>T16</f>
        <v>408</v>
      </c>
      <c r="U20" s="32" t="str">
        <f>U16</f>
        <v>g</v>
      </c>
      <c r="V20" s="34" t="str">
        <f>V16</f>
        <v>Receta madre ► Morcilla en 4 versiones</v>
      </c>
      <c r="W20" s="92"/>
      <c r="X20" s="108"/>
      <c r="Y20" s="94" t="str">
        <f t="shared" ref="Y20:Y29" si="3">IF(OR(ISTEXT(W20), W20&lt;=0, Z20&lt;=0), "", "de")</f>
        <v/>
      </c>
      <c r="Z20" s="95"/>
      <c r="AA20" s="126"/>
      <c r="AB20" s="127">
        <v>1</v>
      </c>
      <c r="AC20" s="920" t="s">
        <v>13184</v>
      </c>
      <c r="AD20" s="100">
        <f>IF(OR(ISBLANK(W14),AD14=0),0,W20*AB15)</f>
        <v>0</v>
      </c>
      <c r="AE20" s="101" cm="1">
        <f t="array" ref="AE20">IFERROR(_xlfn.LET(_xlpm.k,UPPER(TRIM(AA20)),_xlpm.r,_xlfn.XLOOKUP(_xlpm.k,UPPER(TRIM(W31:AF31)),W32:AF32,_xlfn.XLOOKUP(_xlpm.k,UPPER(TRIM(W33:AF33)),W34:AF34)),_xlpm.r*Z20*AB20*AB15*IF(ISBLANK(W20),1,W20)),0)</f>
        <v>0</v>
      </c>
      <c r="AF20" s="1476" t="str">
        <f>_xlfn.LET(_xlpm.unite,SUBSTITUTE(TRIM(AA20)," (s)",""),_xlpm.val,AE20,_xlpm.estVol,COUNTIF(Z31:AF31,_xlpm.unite)+COUNTIF(Z33:AF33,_xlpm.unite)&gt;0,_xlpm.estPoids,COUNTIF(W31:Y31,_xlpm.unite)+COUNTIF(W33:Y33,_xlpm.unite)&gt;0,IF(_xlpm.estVol,IF(ROUND(_xlpm.val,3)&gt;=1,ROUND(_xlpm.val,3)&amp;" L",MAX(1,ROUND(_xlpm.val*100,0))&amp;" cl"),IF(_xlpm.estPoids,IF(ROUND(_xlpm.val,3)&gt;=1,ROUND(_xlpm.val,3)&amp;" Kg",MAX(1,ROUND(_xlpm.val*1000,0))&amp;" g"),"")))</f>
        <v/>
      </c>
      <c r="AG20" s="1171"/>
      <c r="AH20" s="104"/>
      <c r="AI20" s="1172"/>
      <c r="AJ20" s="1172"/>
      <c r="AK20" s="1172"/>
      <c r="AL20" s="1173"/>
      <c r="AM20" s="1174"/>
      <c r="AN20" s="1175"/>
      <c r="AO20" s="1176"/>
      <c r="AP20" s="1177"/>
      <c r="AQ20" s="1547"/>
      <c r="AR20" s="1177"/>
      <c r="AS20" s="1548"/>
      <c r="AT20" s="1549"/>
      <c r="AU20" s="1178"/>
      <c r="AV20" s="1179"/>
      <c r="AY20" s="3">
        <v>1</v>
      </c>
    </row>
    <row r="21" spans="2:51" ht="27" customHeight="1">
      <c r="B21" s="104" t="str">
        <f t="shared" ref="B21:B29" si="4">IF(M21&lt;&gt;"","A","►")</f>
        <v>A</v>
      </c>
      <c r="C21" s="32" t="str">
        <f>C16</f>
        <v>É ÉPICES POUR BOUDIN | |  Author &gt; Guy KRENZE - Eric GODDYN - Arnaud NICOLAS - CEPROC 2002</v>
      </c>
      <c r="D21" s="33">
        <f>D16</f>
        <v>408</v>
      </c>
      <c r="E21" s="32" t="str">
        <f>E16</f>
        <v>g</v>
      </c>
      <c r="F21" s="34" t="str">
        <f>F16</f>
        <v>Master recipe ► le Boudin en 4 déclinaisons</v>
      </c>
      <c r="G21" s="92"/>
      <c r="H21" s="108"/>
      <c r="I21" s="94" t="str">
        <f t="shared" si="2"/>
        <v/>
      </c>
      <c r="J21" s="95">
        <v>200</v>
      </c>
      <c r="K21" s="105" t="s">
        <v>99</v>
      </c>
      <c r="L21" s="127">
        <v>1</v>
      </c>
      <c r="M21" s="920" t="s">
        <v>13057</v>
      </c>
      <c r="N21" s="1494">
        <f>IF(OR(ISBLANK(G14),N14=0),0,G21*L15)</f>
        <v>0</v>
      </c>
      <c r="O21" s="101" cm="1">
        <f t="array" ref="O21">IFERROR(_xlfn.LET(_xlpm.k,UPPER(TRIM(K21)),_xlpm.r,_xlfn.XLOOKUP(_xlpm.k,UPPER(TRIM(G31:P31)),G32:P32,_xlfn.XLOOKUP(_xlpm.k,UPPER(TRIM(G33:P33)),G34:P34)),_xlpm.r*J21*L21*L15*IF(ISBLANK(G21),1,G21)),0)</f>
        <v>4.9019607843137254E-2</v>
      </c>
      <c r="P21" s="1475" t="str">
        <f>_xlfn.LET(_xlpm.unite,SUBSTITUTE(TRIM(K21)," (s)",""),_xlpm.val,O21,_xlpm.estVol,COUNTIF(J31:P31,_xlpm.unite)+COUNTIF(J33:P33,_xlpm.unite)&gt;0,_xlpm.estPoids,COUNTIF(G31:I31,_xlpm.unite)+COUNTIF(G33:I33,_xlpm.unite)&gt;0,IF(_xlpm.estVol,IF(ROUND(_xlpm.val,3)&gt;=1,ROUND(_xlpm.val,3)&amp;" L",MAX(1,ROUND(_xlpm.val*100,0))&amp;" cl"),IF(_xlpm.estPoids,IF(ROUND(_xlpm.val,3)&gt;=1,ROUND(_xlpm.val,3)&amp;" Kg",MAX(1,ROUND(_xlpm.val*1000,0))&amp;" g"),"")))</f>
        <v>49 g</v>
      </c>
      <c r="Q21" s="1171"/>
      <c r="R21" s="104" t="str">
        <f t="shared" ref="R21:R29" si="5">IF(AC21&lt;&gt;"","A","►")</f>
        <v>A</v>
      </c>
      <c r="S21" s="32" t="str">
        <f>S16</f>
        <v>E ESPECIAS PARA MORCILLA | | Autor &gt; Guy KRENZE - Eric GODDYN - Arnaud NICOLAS - CEPROC 2002</v>
      </c>
      <c r="T21" s="33">
        <f>T16</f>
        <v>408</v>
      </c>
      <c r="U21" s="32" t="str">
        <f>U16</f>
        <v>g</v>
      </c>
      <c r="V21" s="34" t="str">
        <f>V16</f>
        <v>Receta madre ► Morcilla en 4 versiones</v>
      </c>
      <c r="W21" s="92"/>
      <c r="X21" s="108"/>
      <c r="Y21" s="94" t="str">
        <f t="shared" si="3"/>
        <v/>
      </c>
      <c r="Z21" s="95">
        <v>200</v>
      </c>
      <c r="AA21" s="105" t="s">
        <v>99</v>
      </c>
      <c r="AB21" s="127">
        <v>1</v>
      </c>
      <c r="AC21" s="920" t="s">
        <v>13185</v>
      </c>
      <c r="AD21" s="1494">
        <f>IF(OR(ISBLANK(W14),AD14=0),0,W21*AB15)</f>
        <v>0</v>
      </c>
      <c r="AE21" s="101" cm="1">
        <f t="array" ref="AE21">IFERROR(_xlfn.LET(_xlpm.k,UPPER(TRIM(AA21)),_xlpm.r,_xlfn.XLOOKUP(_xlpm.k,UPPER(TRIM(W31:AF31)),W32:AF32,_xlfn.XLOOKUP(_xlpm.k,UPPER(TRIM(W33:AF33)),W34:AF34)),_xlpm.r*Z21*AB21*AB15*IF(ISBLANK(W21),1,W21)),0)</f>
        <v>4.9019607843137254E-2</v>
      </c>
      <c r="AF21" s="1475" t="str">
        <f>_xlfn.LET(_xlpm.unite,SUBSTITUTE(TRIM(AA21)," (s)",""),_xlpm.val,AE21,_xlpm.estVol,COUNTIF(Z31:AF31,_xlpm.unite)+COUNTIF(Z33:AF33,_xlpm.unite)&gt;0,_xlpm.estPoids,COUNTIF(W31:Y31,_xlpm.unite)+COUNTIF(W33:Y33,_xlpm.unite)&gt;0,IF(_xlpm.estVol,IF(ROUND(_xlpm.val,3)&gt;=1,ROUND(_xlpm.val,3)&amp;" L",MAX(1,ROUND(_xlpm.val*100,0))&amp;" cl"),IF(_xlpm.estPoids,IF(ROUND(_xlpm.val,3)&gt;=1,ROUND(_xlpm.val,3)&amp;" Kg",MAX(1,ROUND(_xlpm.val*1000,0))&amp;" g"),"")))</f>
        <v>49 g</v>
      </c>
      <c r="AG21" s="1171"/>
      <c r="AH21" s="104"/>
      <c r="AI21" s="1172"/>
      <c r="AJ21" s="1172"/>
      <c r="AK21" s="1172"/>
      <c r="AL21" s="1173"/>
      <c r="AM21" s="1174"/>
      <c r="AN21" s="1175"/>
      <c r="AO21" s="1176"/>
      <c r="AP21" s="1177"/>
      <c r="AQ21" s="1547"/>
      <c r="AR21" s="1177"/>
      <c r="AS21" s="1548"/>
      <c r="AT21" s="1549"/>
      <c r="AU21" s="1178"/>
      <c r="AV21" s="1179"/>
      <c r="AY21" s="3">
        <v>1</v>
      </c>
    </row>
    <row r="22" spans="2:51" ht="27" customHeight="1">
      <c r="B22" s="104" t="str">
        <f t="shared" si="4"/>
        <v>A</v>
      </c>
      <c r="C22" s="32" t="str">
        <f>C16</f>
        <v>É ÉPICES POUR BOUDIN | |  Author &gt; Guy KRENZE - Eric GODDYN - Arnaud NICOLAS - CEPROC 2002</v>
      </c>
      <c r="D22" s="33">
        <f>D16</f>
        <v>408</v>
      </c>
      <c r="E22" s="32" t="str">
        <f>E16</f>
        <v>g</v>
      </c>
      <c r="F22" s="34" t="str">
        <f>F16</f>
        <v>Master recipe ► le Boudin en 4 déclinaisons</v>
      </c>
      <c r="G22" s="92"/>
      <c r="H22" s="108"/>
      <c r="I22" s="94" t="str">
        <f t="shared" si="2"/>
        <v/>
      </c>
      <c r="J22" s="95">
        <v>50</v>
      </c>
      <c r="K22" s="105" t="s">
        <v>99</v>
      </c>
      <c r="L22" s="127">
        <v>1</v>
      </c>
      <c r="M22" s="920" t="s">
        <v>13058</v>
      </c>
      <c r="N22" s="1494">
        <f>IF(OR(ISBLANK(G14),N14=0),0,G22*L15)</f>
        <v>0</v>
      </c>
      <c r="O22" s="101" cm="1">
        <f t="array" ref="O22">IFERROR(_xlfn.LET(_xlpm.k,UPPER(TRIM(K22)),_xlpm.r,_xlfn.XLOOKUP(_xlpm.k,UPPER(TRIM(G31:P31)),G32:P32,_xlfn.XLOOKUP(_xlpm.k,UPPER(TRIM(G33:P33)),G34:P34)),_xlpm.r*J22*L22*L15*IF(ISBLANK(G22),1,G22)),0)</f>
        <v>1.2254901960784314E-2</v>
      </c>
      <c r="P22" s="1476" t="str">
        <f>_xlfn.LET(_xlpm.unite,SUBSTITUTE(TRIM(K22)," (s)",""),_xlpm.val,O22,_xlpm.estVol,COUNTIF(J31:P31,_xlpm.unite)+COUNTIF(J33:P33,_xlpm.unite)&gt;0,_xlpm.estPoids,COUNTIF(G31:I31,_xlpm.unite)+COUNTIF(G33:I33,_xlpm.unite)&gt;0,IF(_xlpm.estVol,IF(ROUND(_xlpm.val,3)&gt;=1,ROUND(_xlpm.val,3)&amp;" L",MAX(1,ROUND(_xlpm.val*100,0))&amp;" cl"),IF(_xlpm.estPoids,IF(ROUND(_xlpm.val,3)&gt;=1,ROUND(_xlpm.val,3)&amp;" Kg",MAX(1,ROUND(_xlpm.val*1000,0))&amp;" g"),"")))</f>
        <v>12 g</v>
      </c>
      <c r="Q22" s="1171"/>
      <c r="R22" s="104" t="str">
        <f t="shared" si="5"/>
        <v>A</v>
      </c>
      <c r="S22" s="32" t="str">
        <f>S16</f>
        <v>E ESPECIAS PARA MORCILLA | | Autor &gt; Guy KRENZE - Eric GODDYN - Arnaud NICOLAS - CEPROC 2002</v>
      </c>
      <c r="T22" s="33">
        <f>T16</f>
        <v>408</v>
      </c>
      <c r="U22" s="32" t="str">
        <f>U16</f>
        <v>g</v>
      </c>
      <c r="V22" s="34" t="str">
        <f>V16</f>
        <v>Receta madre ► Morcilla en 4 versiones</v>
      </c>
      <c r="W22" s="92"/>
      <c r="X22" s="108"/>
      <c r="Y22" s="94" t="str">
        <f t="shared" si="3"/>
        <v/>
      </c>
      <c r="Z22" s="95">
        <v>50</v>
      </c>
      <c r="AA22" s="105" t="s">
        <v>99</v>
      </c>
      <c r="AB22" s="127">
        <v>1</v>
      </c>
      <c r="AC22" s="920" t="s">
        <v>13186</v>
      </c>
      <c r="AD22" s="1494">
        <f>IF(OR(ISBLANK(W14),AD14=0),0,W22*AB15)</f>
        <v>0</v>
      </c>
      <c r="AE22" s="101" cm="1">
        <f t="array" ref="AE22">IFERROR(_xlfn.LET(_xlpm.k,UPPER(TRIM(AA22)),_xlpm.r,_xlfn.XLOOKUP(_xlpm.k,UPPER(TRIM(W31:AF31)),W32:AF32,_xlfn.XLOOKUP(_xlpm.k,UPPER(TRIM(W33:AF33)),W34:AF34)),_xlpm.r*Z22*AB22*AB15*IF(ISBLANK(W22),1,W22)),0)</f>
        <v>1.2254901960784314E-2</v>
      </c>
      <c r="AF22" s="1476" t="str">
        <f>_xlfn.LET(_xlpm.unite,SUBSTITUTE(TRIM(AA22)," (s)",""),_xlpm.val,AE22,_xlpm.estVol,COUNTIF(Z31:AF31,_xlpm.unite)+COUNTIF(Z33:AF33,_xlpm.unite)&gt;0,_xlpm.estPoids,COUNTIF(W31:Y31,_xlpm.unite)+COUNTIF(W33:Y33,_xlpm.unite)&gt;0,IF(_xlpm.estVol,IF(ROUND(_xlpm.val,3)&gt;=1,ROUND(_xlpm.val,3)&amp;" L",MAX(1,ROUND(_xlpm.val*100,0))&amp;" cl"),IF(_xlpm.estPoids,IF(ROUND(_xlpm.val,3)&gt;=1,ROUND(_xlpm.val,3)&amp;" Kg",MAX(1,ROUND(_xlpm.val*1000,0))&amp;" g"),"")))</f>
        <v>12 g</v>
      </c>
      <c r="AG22" s="1171"/>
      <c r="AH22" s="104"/>
      <c r="AI22" s="1172"/>
      <c r="AJ22" s="1172"/>
      <c r="AK22" s="1172"/>
      <c r="AL22" s="1173"/>
      <c r="AM22" s="1174"/>
      <c r="AN22" s="1175"/>
      <c r="AO22" s="1176"/>
      <c r="AP22" s="1177"/>
      <c r="AQ22" s="1547"/>
      <c r="AR22" s="1177"/>
      <c r="AS22" s="1548"/>
      <c r="AT22" s="1549"/>
      <c r="AU22" s="1178"/>
      <c r="AV22" s="1179"/>
      <c r="AY22" s="3">
        <v>1</v>
      </c>
    </row>
    <row r="23" spans="2:51" ht="27" customHeight="1">
      <c r="B23" s="104" t="str">
        <f t="shared" si="4"/>
        <v>A</v>
      </c>
      <c r="C23" s="32" t="str">
        <f>C16</f>
        <v>É ÉPICES POUR BOUDIN | |  Author &gt; Guy KRENZE - Eric GODDYN - Arnaud NICOLAS - CEPROC 2002</v>
      </c>
      <c r="D23" s="33">
        <f>D16</f>
        <v>408</v>
      </c>
      <c r="E23" s="32" t="str">
        <f>E16</f>
        <v>g</v>
      </c>
      <c r="F23" s="34" t="str">
        <f>F16</f>
        <v>Master recipe ► le Boudin en 4 déclinaisons</v>
      </c>
      <c r="G23" s="92"/>
      <c r="H23" s="108"/>
      <c r="I23" s="94" t="str">
        <f t="shared" si="2"/>
        <v/>
      </c>
      <c r="J23" s="95">
        <v>60</v>
      </c>
      <c r="K23" s="105" t="s">
        <v>99</v>
      </c>
      <c r="L23" s="127">
        <v>1</v>
      </c>
      <c r="M23" s="920" t="s">
        <v>13059</v>
      </c>
      <c r="N23" s="1494">
        <f>IF(OR(ISBLANK(G14),N14=0),0,G23*L15)</f>
        <v>0</v>
      </c>
      <c r="O23" s="101" cm="1">
        <f t="array" ref="O23">IFERROR(_xlfn.LET(_xlpm.k,UPPER(TRIM(K23)),_xlpm.r,_xlfn.XLOOKUP(_xlpm.k,UPPER(TRIM(G31:P31)),G32:P32,_xlfn.XLOOKUP(_xlpm.k,UPPER(TRIM(G33:P33)),G34:P34)),_xlpm.r*J23*L23*L15*IF(ISBLANK(G23),1,G23)),0)</f>
        <v>1.4705882352941175E-2</v>
      </c>
      <c r="P23" s="1475" t="str">
        <f>_xlfn.LET(_xlpm.unite,SUBSTITUTE(TRIM(K23)," (s)",""),_xlpm.val,O23,_xlpm.estVol,COUNTIF(J31:P31,_xlpm.unite)+COUNTIF(J33:P33,_xlpm.unite)&gt;0,_xlpm.estPoids,COUNTIF(G31:I31,_xlpm.unite)+COUNTIF(G33:I33,_xlpm.unite)&gt;0,IF(_xlpm.estVol,IF(ROUND(_xlpm.val,3)&gt;=1,ROUND(_xlpm.val,3)&amp;" L",MAX(1,ROUND(_xlpm.val*100,0))&amp;" cl"),IF(_xlpm.estPoids,IF(ROUND(_xlpm.val,3)&gt;=1,ROUND(_xlpm.val,3)&amp;" Kg",MAX(1,ROUND(_xlpm.val*1000,0))&amp;" g"),"")))</f>
        <v>15 g</v>
      </c>
      <c r="Q23" s="1171"/>
      <c r="R23" s="104" t="str">
        <f t="shared" si="5"/>
        <v>A</v>
      </c>
      <c r="S23" s="32" t="str">
        <f>S16</f>
        <v>E ESPECIAS PARA MORCILLA | | Autor &gt; Guy KRENZE - Eric GODDYN - Arnaud NICOLAS - CEPROC 2002</v>
      </c>
      <c r="T23" s="33">
        <f>T16</f>
        <v>408</v>
      </c>
      <c r="U23" s="32" t="str">
        <f>U16</f>
        <v>g</v>
      </c>
      <c r="V23" s="34" t="str">
        <f>V16</f>
        <v>Receta madre ► Morcilla en 4 versiones</v>
      </c>
      <c r="W23" s="92"/>
      <c r="X23" s="108"/>
      <c r="Y23" s="94" t="str">
        <f t="shared" si="3"/>
        <v/>
      </c>
      <c r="Z23" s="95">
        <v>60</v>
      </c>
      <c r="AA23" s="105" t="s">
        <v>99</v>
      </c>
      <c r="AB23" s="127">
        <v>1</v>
      </c>
      <c r="AC23" s="920" t="s">
        <v>13187</v>
      </c>
      <c r="AD23" s="1494">
        <f>IF(OR(ISBLANK(W14),AD14=0),0,W23*AB15)</f>
        <v>0</v>
      </c>
      <c r="AE23" s="101" cm="1">
        <f t="array" ref="AE23">IFERROR(_xlfn.LET(_xlpm.k,UPPER(TRIM(AA23)),_xlpm.r,_xlfn.XLOOKUP(_xlpm.k,UPPER(TRIM(W31:AF31)),W32:AF32,_xlfn.XLOOKUP(_xlpm.k,UPPER(TRIM(W33:AF33)),W34:AF34)),_xlpm.r*Z23*AB23*AB15*IF(ISBLANK(W23),1,W23)),0)</f>
        <v>1.4705882352941175E-2</v>
      </c>
      <c r="AF23" s="1475" t="str">
        <f>_xlfn.LET(_xlpm.unite,SUBSTITUTE(TRIM(AA23)," (s)",""),_xlpm.val,AE23,_xlpm.estVol,COUNTIF(Z31:AF31,_xlpm.unite)+COUNTIF(Z33:AF33,_xlpm.unite)&gt;0,_xlpm.estPoids,COUNTIF(W31:Y31,_xlpm.unite)+COUNTIF(W33:Y33,_xlpm.unite)&gt;0,IF(_xlpm.estVol,IF(ROUND(_xlpm.val,3)&gt;=1,ROUND(_xlpm.val,3)&amp;" L",MAX(1,ROUND(_xlpm.val*100,0))&amp;" cl"),IF(_xlpm.estPoids,IF(ROUND(_xlpm.val,3)&gt;=1,ROUND(_xlpm.val,3)&amp;" Kg",MAX(1,ROUND(_xlpm.val*1000,0))&amp;" g"),"")))</f>
        <v>15 g</v>
      </c>
      <c r="AG23" s="1171"/>
      <c r="AH23" s="104"/>
      <c r="AI23" s="1172"/>
      <c r="AJ23" s="1172"/>
      <c r="AK23" s="1172"/>
      <c r="AL23" s="1173"/>
      <c r="AM23" s="1174"/>
      <c r="AN23" s="1175"/>
      <c r="AO23" s="1176"/>
      <c r="AP23" s="1177"/>
      <c r="AQ23" s="1547"/>
      <c r="AR23" s="1177"/>
      <c r="AS23" s="1548"/>
      <c r="AT23" s="1549"/>
      <c r="AU23" s="1178"/>
      <c r="AV23" s="1179"/>
      <c r="AY23" s="3">
        <v>1</v>
      </c>
    </row>
    <row r="24" spans="2:51" ht="27" customHeight="1">
      <c r="B24" s="104" t="str">
        <f t="shared" si="4"/>
        <v>A</v>
      </c>
      <c r="C24" s="32" t="str">
        <f>C16</f>
        <v>É ÉPICES POUR BOUDIN | |  Author &gt; Guy KRENZE - Eric GODDYN - Arnaud NICOLAS - CEPROC 2002</v>
      </c>
      <c r="D24" s="33">
        <f>D16</f>
        <v>408</v>
      </c>
      <c r="E24" s="32" t="str">
        <f>E16</f>
        <v>g</v>
      </c>
      <c r="F24" s="34" t="str">
        <f>F16</f>
        <v>Master recipe ► le Boudin en 4 déclinaisons</v>
      </c>
      <c r="G24" s="92"/>
      <c r="H24" s="108"/>
      <c r="I24" s="94" t="str">
        <f t="shared" si="2"/>
        <v/>
      </c>
      <c r="J24" s="95">
        <v>50</v>
      </c>
      <c r="K24" s="105" t="s">
        <v>99</v>
      </c>
      <c r="L24" s="127">
        <v>1</v>
      </c>
      <c r="M24" s="920" t="s">
        <v>13060</v>
      </c>
      <c r="N24" s="1494">
        <f>IF(OR(ISBLANK(G14),N14=0),0,G24*L15)</f>
        <v>0</v>
      </c>
      <c r="O24" s="101" cm="1">
        <f t="array" ref="O24">IFERROR(_xlfn.LET(_xlpm.k,UPPER(TRIM(K24)),_xlpm.r,_xlfn.XLOOKUP(_xlpm.k,UPPER(TRIM(G31:P31)),G32:P32,_xlfn.XLOOKUP(_xlpm.k,UPPER(TRIM(G33:P33)),G34:P34)),_xlpm.r*J24*L24*L15*IF(ISBLANK(G24),1,G24)),0)</f>
        <v>1.2254901960784314E-2</v>
      </c>
      <c r="P24" s="1476" t="str">
        <f>_xlfn.LET(_xlpm.unite,SUBSTITUTE(TRIM(K24)," (s)",""),_xlpm.val,O24,_xlpm.estVol,COUNTIF(J31:P31,_xlpm.unite)+COUNTIF(J33:P33,_xlpm.unite)&gt;0,_xlpm.estPoids,COUNTIF(G31:I31,_xlpm.unite)+COUNTIF(G33:I33,_xlpm.unite)&gt;0,IF(_xlpm.estVol,IF(ROUND(_xlpm.val,3)&gt;=1,ROUND(_xlpm.val,3)&amp;" L",MAX(1,ROUND(_xlpm.val*100,0))&amp;" cl"),IF(_xlpm.estPoids,IF(ROUND(_xlpm.val,3)&gt;=1,ROUND(_xlpm.val,3)&amp;" Kg",MAX(1,ROUND(_xlpm.val*1000,0))&amp;" g"),"")))</f>
        <v>12 g</v>
      </c>
      <c r="Q24" s="1171"/>
      <c r="R24" s="104" t="str">
        <f t="shared" si="5"/>
        <v>A</v>
      </c>
      <c r="S24" s="32" t="str">
        <f>S16</f>
        <v>E ESPECIAS PARA MORCILLA | | Autor &gt; Guy KRENZE - Eric GODDYN - Arnaud NICOLAS - CEPROC 2002</v>
      </c>
      <c r="T24" s="33">
        <f>T16</f>
        <v>408</v>
      </c>
      <c r="U24" s="32" t="str">
        <f>U16</f>
        <v>g</v>
      </c>
      <c r="V24" s="34" t="str">
        <f>V16</f>
        <v>Receta madre ► Morcilla en 4 versiones</v>
      </c>
      <c r="W24" s="92"/>
      <c r="X24" s="108"/>
      <c r="Y24" s="94" t="str">
        <f t="shared" si="3"/>
        <v/>
      </c>
      <c r="Z24" s="95">
        <v>50</v>
      </c>
      <c r="AA24" s="105" t="s">
        <v>99</v>
      </c>
      <c r="AB24" s="127">
        <v>1</v>
      </c>
      <c r="AC24" s="920" t="s">
        <v>13188</v>
      </c>
      <c r="AD24" s="1494">
        <f>IF(OR(ISBLANK(W14),AD14=0),0,W24*AB15)</f>
        <v>0</v>
      </c>
      <c r="AE24" s="101" cm="1">
        <f t="array" ref="AE24">IFERROR(_xlfn.LET(_xlpm.k,UPPER(TRIM(AA24)),_xlpm.r,_xlfn.XLOOKUP(_xlpm.k,UPPER(TRIM(W31:AF31)),W32:AF32,_xlfn.XLOOKUP(_xlpm.k,UPPER(TRIM(W33:AF33)),W34:AF34)),_xlpm.r*Z24*AB24*AB15*IF(ISBLANK(W24),1,W24)),0)</f>
        <v>1.2254901960784314E-2</v>
      </c>
      <c r="AF24" s="1476" t="str">
        <f>_xlfn.LET(_xlpm.unite,SUBSTITUTE(TRIM(AA24)," (s)",""),_xlpm.val,AE24,_xlpm.estVol,COUNTIF(Z31:AF31,_xlpm.unite)+COUNTIF(Z33:AF33,_xlpm.unite)&gt;0,_xlpm.estPoids,COUNTIF(W31:Y31,_xlpm.unite)+COUNTIF(W33:Y33,_xlpm.unite)&gt;0,IF(_xlpm.estVol,IF(ROUND(_xlpm.val,3)&gt;=1,ROUND(_xlpm.val,3)&amp;" L",MAX(1,ROUND(_xlpm.val*100,0))&amp;" cl"),IF(_xlpm.estPoids,IF(ROUND(_xlpm.val,3)&gt;=1,ROUND(_xlpm.val,3)&amp;" Kg",MAX(1,ROUND(_xlpm.val*1000,0))&amp;" g"),"")))</f>
        <v>12 g</v>
      </c>
      <c r="AG24" s="1171"/>
      <c r="AH24" s="104"/>
      <c r="AI24" s="1172"/>
      <c r="AJ24" s="1172"/>
      <c r="AK24" s="1172"/>
      <c r="AL24" s="1173"/>
      <c r="AM24" s="1174"/>
      <c r="AN24" s="1175"/>
      <c r="AO24" s="1176"/>
      <c r="AP24" s="1177"/>
      <c r="AQ24" s="1547"/>
      <c r="AR24" s="1177"/>
      <c r="AS24" s="1548"/>
      <c r="AT24" s="1549"/>
      <c r="AU24" s="1178"/>
      <c r="AV24" s="1179"/>
      <c r="AY24" s="3">
        <v>1</v>
      </c>
    </row>
    <row r="25" spans="2:51" ht="27" customHeight="1">
      <c r="B25" s="104" t="str">
        <f t="shared" si="4"/>
        <v>A</v>
      </c>
      <c r="C25" s="32" t="str">
        <f>C16</f>
        <v>É ÉPICES POUR BOUDIN | |  Author &gt; Guy KRENZE - Eric GODDYN - Arnaud NICOLAS - CEPROC 2002</v>
      </c>
      <c r="D25" s="33">
        <f>D16</f>
        <v>408</v>
      </c>
      <c r="E25" s="32" t="str">
        <f>E16</f>
        <v>g</v>
      </c>
      <c r="F25" s="34" t="str">
        <f>F16</f>
        <v>Master recipe ► le Boudin en 4 déclinaisons</v>
      </c>
      <c r="G25" s="92">
        <v>5</v>
      </c>
      <c r="H25" s="108" t="s">
        <v>13066</v>
      </c>
      <c r="I25" s="94" t="str">
        <f t="shared" si="2"/>
        <v>de</v>
      </c>
      <c r="J25" s="5110">
        <v>0.5</v>
      </c>
      <c r="K25" s="105" t="s">
        <v>99</v>
      </c>
      <c r="L25" s="127">
        <v>1</v>
      </c>
      <c r="M25" s="920" t="s">
        <v>13061</v>
      </c>
      <c r="N25" s="1494">
        <f>IF(OR(ISBLANK(G14),N14=0),0,G25*L15)</f>
        <v>1.2254901960784312</v>
      </c>
      <c r="O25" s="101" cm="1">
        <f t="array" ref="O25">IFERROR(_xlfn.LET(_xlpm.k,UPPER(TRIM(K25)),_xlpm.r,_xlfn.XLOOKUP(_xlpm.k,UPPER(TRIM(G31:P31)),G32:P32,_xlfn.XLOOKUP(_xlpm.k,UPPER(TRIM(G33:P33)),G34:P34)),_xlpm.r*J25*L25*L15*IF(ISBLANK(G25),1,G25)),0)</f>
        <v>6.1274509803921568E-4</v>
      </c>
      <c r="P25" s="1475" t="str">
        <f>_xlfn.LET(_xlpm.unite,SUBSTITUTE(TRIM(K25)," (s)",""),_xlpm.val,O25,_xlpm.estVol,COUNTIF(J31:P31,_xlpm.unite)+COUNTIF(J33:P33,_xlpm.unite)&gt;0,_xlpm.estPoids,COUNTIF(G31:I31,_xlpm.unite)+COUNTIF(G33:I33,_xlpm.unite)&gt;0,IF(_xlpm.estVol,IF(ROUND(_xlpm.val,3)&gt;=1,ROUND(_xlpm.val,3)&amp;" L",MAX(1,ROUND(_xlpm.val*100,0))&amp;" cl"),IF(_xlpm.estPoids,IF(ROUND(_xlpm.val,3)&gt;=1,ROUND(_xlpm.val,3)&amp;" Kg",MAX(1,ROUND(_xlpm.val*1000,0))&amp;" g"),"")))</f>
        <v>1 g</v>
      </c>
      <c r="Q25" s="1171"/>
      <c r="R25" s="104" t="str">
        <f t="shared" si="5"/>
        <v>A</v>
      </c>
      <c r="S25" s="32" t="str">
        <f>S16</f>
        <v>E ESPECIAS PARA MORCILLA | | Autor &gt; Guy KRENZE - Eric GODDYN - Arnaud NICOLAS - CEPROC 2002</v>
      </c>
      <c r="T25" s="33">
        <f>T16</f>
        <v>408</v>
      </c>
      <c r="U25" s="32" t="str">
        <f>U16</f>
        <v>g</v>
      </c>
      <c r="V25" s="34" t="str">
        <f>V16</f>
        <v>Receta madre ► Morcilla en 4 versiones</v>
      </c>
      <c r="W25" s="92">
        <v>5</v>
      </c>
      <c r="X25" s="108" t="s">
        <v>13066</v>
      </c>
      <c r="Y25" s="94" t="str">
        <f t="shared" si="3"/>
        <v>de</v>
      </c>
      <c r="Z25" s="5110">
        <v>0.5</v>
      </c>
      <c r="AA25" s="105" t="s">
        <v>99</v>
      </c>
      <c r="AB25" s="127">
        <v>1</v>
      </c>
      <c r="AC25" s="920" t="s">
        <v>13189</v>
      </c>
      <c r="AD25" s="1494">
        <f>IF(OR(ISBLANK(W14),AD14=0),0,W25*AB15)</f>
        <v>1.2254901960784312</v>
      </c>
      <c r="AE25" s="101" cm="1">
        <f t="array" ref="AE25">IFERROR(_xlfn.LET(_xlpm.k,UPPER(TRIM(AA25)),_xlpm.r,_xlfn.XLOOKUP(_xlpm.k,UPPER(TRIM(W31:AF31)),W32:AF32,_xlfn.XLOOKUP(_xlpm.k,UPPER(TRIM(W33:AF33)),W34:AF34)),_xlpm.r*Z25*AB25*AB15*IF(ISBLANK(W25),1,W25)),0)</f>
        <v>6.1274509803921568E-4</v>
      </c>
      <c r="AF25" s="1475" t="str">
        <f>_xlfn.LET(_xlpm.unite,SUBSTITUTE(TRIM(AA25)," (s)",""),_xlpm.val,AE25,_xlpm.estVol,COUNTIF(Z31:AF31,_xlpm.unite)+COUNTIF(Z33:AF33,_xlpm.unite)&gt;0,_xlpm.estPoids,COUNTIF(W31:Y31,_xlpm.unite)+COUNTIF(W33:Y33,_xlpm.unite)&gt;0,IF(_xlpm.estVol,IF(ROUND(_xlpm.val,3)&gt;=1,ROUND(_xlpm.val,3)&amp;" L",MAX(1,ROUND(_xlpm.val*100,0))&amp;" cl"),IF(_xlpm.estPoids,IF(ROUND(_xlpm.val,3)&gt;=1,ROUND(_xlpm.val,3)&amp;" Kg",MAX(1,ROUND(_xlpm.val*1000,0))&amp;" g"),"")))</f>
        <v>1 g</v>
      </c>
      <c r="AG25" s="1171"/>
      <c r="AH25" s="104"/>
      <c r="AI25" s="1172"/>
      <c r="AJ25" s="1172"/>
      <c r="AK25" s="1172"/>
      <c r="AL25" s="1173"/>
      <c r="AM25" s="1174"/>
      <c r="AN25" s="1175"/>
      <c r="AO25" s="1176"/>
      <c r="AP25" s="1177"/>
      <c r="AQ25" s="1547"/>
      <c r="AR25" s="1177"/>
      <c r="AS25" s="1548"/>
      <c r="AT25" s="1549"/>
      <c r="AU25" s="1178"/>
      <c r="AV25" s="1179"/>
      <c r="AY25" s="3">
        <v>1</v>
      </c>
    </row>
    <row r="26" spans="2:51" ht="27" customHeight="1">
      <c r="B26" s="104" t="str">
        <f t="shared" si="4"/>
        <v>A</v>
      </c>
      <c r="C26" s="32" t="str">
        <f>C16</f>
        <v>É ÉPICES POUR BOUDIN | |  Author &gt; Guy KRENZE - Eric GODDYN - Arnaud NICOLAS - CEPROC 2002</v>
      </c>
      <c r="D26" s="33">
        <f>D16</f>
        <v>408</v>
      </c>
      <c r="E26" s="32" t="str">
        <f>E16</f>
        <v>g</v>
      </c>
      <c r="F26" s="34" t="str">
        <f>F16</f>
        <v>Master recipe ► le Boudin en 4 déclinaisons</v>
      </c>
      <c r="G26" s="92"/>
      <c r="H26" s="108"/>
      <c r="I26" s="94" t="str">
        <f t="shared" si="2"/>
        <v/>
      </c>
      <c r="J26" s="95">
        <v>20</v>
      </c>
      <c r="K26" s="105" t="s">
        <v>99</v>
      </c>
      <c r="L26" s="127">
        <v>1</v>
      </c>
      <c r="M26" s="920" t="s">
        <v>13062</v>
      </c>
      <c r="N26" s="1494">
        <f>IF(OR(ISBLANK(G14),N14=0),0,G26*L15)</f>
        <v>0</v>
      </c>
      <c r="O26" s="101" cm="1">
        <f t="array" ref="O26">IFERROR(_xlfn.LET(_xlpm.k,UPPER(TRIM(K26)),_xlpm.r,_xlfn.XLOOKUP(_xlpm.k,UPPER(TRIM(G31:P31)),G32:P32,_xlfn.XLOOKUP(_xlpm.k,UPPER(TRIM(G33:P33)),G34:P34)),_xlpm.r*J26*L26*L15*IF(ISBLANK(G26),1,G26)),0)</f>
        <v>4.9019607843137254E-3</v>
      </c>
      <c r="P26" s="1476" t="str">
        <f>_xlfn.LET(_xlpm.unite,SUBSTITUTE(TRIM(K26)," (s)",""),_xlpm.val,O26,_xlpm.estVol,COUNTIF(J31:P31,_xlpm.unite)+COUNTIF(J33:P33,_xlpm.unite)&gt;0,_xlpm.estPoids,COUNTIF(G31:I31,_xlpm.unite)+COUNTIF(G33:I33,_xlpm.unite)&gt;0,IF(_xlpm.estVol,IF(ROUND(_xlpm.val,3)&gt;=1,ROUND(_xlpm.val,3)&amp;" L",MAX(1,ROUND(_xlpm.val*100,0))&amp;" cl"),IF(_xlpm.estPoids,IF(ROUND(_xlpm.val,3)&gt;=1,ROUND(_xlpm.val,3)&amp;" Kg",MAX(1,ROUND(_xlpm.val*1000,0))&amp;" g"),"")))</f>
        <v>5 g</v>
      </c>
      <c r="Q26" s="1171"/>
      <c r="R26" s="104" t="str">
        <f t="shared" si="5"/>
        <v>A</v>
      </c>
      <c r="S26" s="32" t="str">
        <f>S16</f>
        <v>E ESPECIAS PARA MORCILLA | | Autor &gt; Guy KRENZE - Eric GODDYN - Arnaud NICOLAS - CEPROC 2002</v>
      </c>
      <c r="T26" s="33">
        <f>T16</f>
        <v>408</v>
      </c>
      <c r="U26" s="32" t="str">
        <f>U16</f>
        <v>g</v>
      </c>
      <c r="V26" s="34" t="str">
        <f>V16</f>
        <v>Receta madre ► Morcilla en 4 versiones</v>
      </c>
      <c r="W26" s="92"/>
      <c r="X26" s="108"/>
      <c r="Y26" s="94" t="str">
        <f t="shared" si="3"/>
        <v/>
      </c>
      <c r="Z26" s="95">
        <v>20</v>
      </c>
      <c r="AA26" s="105" t="s">
        <v>99</v>
      </c>
      <c r="AB26" s="127">
        <v>1</v>
      </c>
      <c r="AC26" s="920" t="s">
        <v>13190</v>
      </c>
      <c r="AD26" s="1494">
        <f>IF(OR(ISBLANK(W14),AD14=0),0,W26*AB15)</f>
        <v>0</v>
      </c>
      <c r="AE26" s="101" cm="1">
        <f t="array" ref="AE26">IFERROR(_xlfn.LET(_xlpm.k,UPPER(TRIM(AA26)),_xlpm.r,_xlfn.XLOOKUP(_xlpm.k,UPPER(TRIM(W31:AF31)),W32:AF32,_xlfn.XLOOKUP(_xlpm.k,UPPER(TRIM(W33:AF33)),W34:AF34)),_xlpm.r*Z26*AB26*AB15*IF(ISBLANK(W26),1,W26)),0)</f>
        <v>4.9019607843137254E-3</v>
      </c>
      <c r="AF26" s="1476" t="str">
        <f>_xlfn.LET(_xlpm.unite,SUBSTITUTE(TRIM(AA26)," (s)",""),_xlpm.val,AE26,_xlpm.estVol,COUNTIF(Z31:AF31,_xlpm.unite)+COUNTIF(Z33:AF33,_xlpm.unite)&gt;0,_xlpm.estPoids,COUNTIF(W31:Y31,_xlpm.unite)+COUNTIF(W33:Y33,_xlpm.unite)&gt;0,IF(_xlpm.estVol,IF(ROUND(_xlpm.val,3)&gt;=1,ROUND(_xlpm.val,3)&amp;" L",MAX(1,ROUND(_xlpm.val*100,0))&amp;" cl"),IF(_xlpm.estPoids,IF(ROUND(_xlpm.val,3)&gt;=1,ROUND(_xlpm.val,3)&amp;" Kg",MAX(1,ROUND(_xlpm.val*1000,0))&amp;" g"),"")))</f>
        <v>5 g</v>
      </c>
      <c r="AG26" s="1171"/>
      <c r="AH26" s="104"/>
      <c r="AI26" s="1172"/>
      <c r="AJ26" s="1172"/>
      <c r="AK26" s="1172"/>
      <c r="AL26" s="1173"/>
      <c r="AM26" s="1174"/>
      <c r="AN26" s="1175"/>
      <c r="AO26" s="1176"/>
      <c r="AP26" s="1177"/>
      <c r="AQ26" s="1547"/>
      <c r="AR26" s="1177"/>
      <c r="AS26" s="1548"/>
      <c r="AT26" s="1549"/>
      <c r="AU26" s="1178"/>
      <c r="AV26" s="1179"/>
      <c r="AY26" s="3">
        <v>1</v>
      </c>
    </row>
    <row r="27" spans="2:51" ht="27" customHeight="1">
      <c r="B27" s="104" t="str">
        <f t="shared" si="4"/>
        <v>A</v>
      </c>
      <c r="C27" s="32" t="str">
        <f>C16</f>
        <v>É ÉPICES POUR BOUDIN | |  Author &gt; Guy KRENZE - Eric GODDYN - Arnaud NICOLAS - CEPROC 2002</v>
      </c>
      <c r="D27" s="33">
        <f>D16</f>
        <v>408</v>
      </c>
      <c r="E27" s="32" t="str">
        <f>E16</f>
        <v>g</v>
      </c>
      <c r="F27" s="34" t="str">
        <f>F16</f>
        <v>Master recipe ► le Boudin en 4 déclinaisons</v>
      </c>
      <c r="G27" s="92"/>
      <c r="H27" s="108"/>
      <c r="I27" s="94" t="str">
        <f t="shared" si="2"/>
        <v/>
      </c>
      <c r="J27" s="95">
        <v>10</v>
      </c>
      <c r="K27" s="105" t="s">
        <v>99</v>
      </c>
      <c r="L27" s="127">
        <v>1</v>
      </c>
      <c r="M27" s="920" t="s">
        <v>13063</v>
      </c>
      <c r="N27" s="1494">
        <f>IF(OR(ISBLANK(G14),N14=0),0,G27*L15)</f>
        <v>0</v>
      </c>
      <c r="O27" s="101" cm="1">
        <f t="array" ref="O27">IFERROR(_xlfn.LET(_xlpm.k,UPPER(TRIM(K27)),_xlpm.r,_xlfn.XLOOKUP(_xlpm.k,UPPER(TRIM(G31:P31)),G32:P32,_xlfn.XLOOKUP(_xlpm.k,UPPER(TRIM(G33:P33)),G34:P34)),_xlpm.r*J27*L27*L15*IF(ISBLANK(G27),1,G27)),0)</f>
        <v>2.4509803921568627E-3</v>
      </c>
      <c r="P27" s="1475" t="str">
        <f>_xlfn.LET(_xlpm.unite,SUBSTITUTE(TRIM(K27)," (s)",""),_xlpm.val,O27,_xlpm.estVol,COUNTIF(J31:P31,_xlpm.unite)+COUNTIF(J33:P33,_xlpm.unite)&gt;0,_xlpm.estPoids,COUNTIF(G31:I31,_xlpm.unite)+COUNTIF(G33:I33,_xlpm.unite)&gt;0,IF(_xlpm.estVol,IF(ROUND(_xlpm.val,3)&gt;=1,ROUND(_xlpm.val,3)&amp;" L",MAX(1,ROUND(_xlpm.val*100,0))&amp;" cl"),IF(_xlpm.estPoids,IF(ROUND(_xlpm.val,3)&gt;=1,ROUND(_xlpm.val,3)&amp;" Kg",MAX(1,ROUND(_xlpm.val*1000,0))&amp;" g"),"")))</f>
        <v>2 g</v>
      </c>
      <c r="Q27" s="1171"/>
      <c r="R27" s="104" t="str">
        <f t="shared" si="5"/>
        <v>A</v>
      </c>
      <c r="S27" s="32" t="str">
        <f>S16</f>
        <v>E ESPECIAS PARA MORCILLA | | Autor &gt; Guy KRENZE - Eric GODDYN - Arnaud NICOLAS - CEPROC 2002</v>
      </c>
      <c r="T27" s="33">
        <f>T16</f>
        <v>408</v>
      </c>
      <c r="U27" s="32" t="str">
        <f>U16</f>
        <v>g</v>
      </c>
      <c r="V27" s="34" t="str">
        <f>V16</f>
        <v>Receta madre ► Morcilla en 4 versiones</v>
      </c>
      <c r="W27" s="92"/>
      <c r="X27" s="108"/>
      <c r="Y27" s="94" t="str">
        <f t="shared" si="3"/>
        <v/>
      </c>
      <c r="Z27" s="95">
        <v>10</v>
      </c>
      <c r="AA27" s="105" t="s">
        <v>99</v>
      </c>
      <c r="AB27" s="127">
        <v>1</v>
      </c>
      <c r="AC27" s="920" t="s">
        <v>13063</v>
      </c>
      <c r="AD27" s="1494">
        <f>IF(OR(ISBLANK(W14),AD14=0),0,W27*AB15)</f>
        <v>0</v>
      </c>
      <c r="AE27" s="101" cm="1">
        <f t="array" ref="AE27">IFERROR(_xlfn.LET(_xlpm.k,UPPER(TRIM(AA27)),_xlpm.r,_xlfn.XLOOKUP(_xlpm.k,UPPER(TRIM(W31:AF31)),W32:AF32,_xlfn.XLOOKUP(_xlpm.k,UPPER(TRIM(W33:AF33)),W34:AF34)),_xlpm.r*Z27*AB27*AB15*IF(ISBLANK(W27),1,W27)),0)</f>
        <v>2.4509803921568627E-3</v>
      </c>
      <c r="AF27" s="1475" t="str">
        <f>_xlfn.LET(_xlpm.unite,SUBSTITUTE(TRIM(AA27)," (s)",""),_xlpm.val,AE27,_xlpm.estVol,COUNTIF(Z31:AF31,_xlpm.unite)+COUNTIF(Z33:AF33,_xlpm.unite)&gt;0,_xlpm.estPoids,COUNTIF(W31:Y31,_xlpm.unite)+COUNTIF(W33:Y33,_xlpm.unite)&gt;0,IF(_xlpm.estVol,IF(ROUND(_xlpm.val,3)&gt;=1,ROUND(_xlpm.val,3)&amp;" L",MAX(1,ROUND(_xlpm.val*100,0))&amp;" cl"),IF(_xlpm.estPoids,IF(ROUND(_xlpm.val,3)&gt;=1,ROUND(_xlpm.val,3)&amp;" Kg",MAX(1,ROUND(_xlpm.val*1000,0))&amp;" g"),"")))</f>
        <v>2 g</v>
      </c>
      <c r="AG27" s="1171"/>
      <c r="AH27" s="104"/>
      <c r="AI27" s="1172"/>
      <c r="AJ27" s="1172"/>
      <c r="AK27" s="1172"/>
      <c r="AL27" s="1173"/>
      <c r="AM27" s="1174"/>
      <c r="AN27" s="1175"/>
      <c r="AO27" s="1176"/>
      <c r="AP27" s="1177"/>
      <c r="AQ27" s="1547"/>
      <c r="AR27" s="1177"/>
      <c r="AS27" s="1548"/>
      <c r="AT27" s="1549"/>
      <c r="AU27" s="1178"/>
      <c r="AV27" s="1179"/>
      <c r="AY27" s="3">
        <v>1</v>
      </c>
    </row>
    <row r="28" spans="2:51" ht="27" customHeight="1">
      <c r="B28" s="104" t="str">
        <f t="shared" si="4"/>
        <v>A</v>
      </c>
      <c r="C28" s="32" t="str">
        <f>C16</f>
        <v>É ÉPICES POUR BOUDIN | |  Author &gt; Guy KRENZE - Eric GODDYN - Arnaud NICOLAS - CEPROC 2002</v>
      </c>
      <c r="D28" s="33">
        <f>D16</f>
        <v>408</v>
      </c>
      <c r="E28" s="32" t="str">
        <f>E16</f>
        <v>g</v>
      </c>
      <c r="F28" s="34" t="str">
        <f>F16</f>
        <v>Master recipe ► le Boudin en 4 déclinaisons</v>
      </c>
      <c r="G28" s="92"/>
      <c r="H28" s="108"/>
      <c r="I28" s="94" t="str">
        <f t="shared" si="2"/>
        <v/>
      </c>
      <c r="J28" s="95">
        <v>15</v>
      </c>
      <c r="K28" s="105" t="s">
        <v>99</v>
      </c>
      <c r="L28" s="127">
        <v>1</v>
      </c>
      <c r="M28" s="920" t="s">
        <v>13064</v>
      </c>
      <c r="N28" s="1494">
        <f>IF(OR(ISBLANK(G14),N14=0),0,G28*L15)</f>
        <v>0</v>
      </c>
      <c r="O28" s="101" cm="1">
        <f t="array" ref="O28">IFERROR(_xlfn.LET(_xlpm.k,UPPER(TRIM(K28)),_xlpm.r,_xlfn.XLOOKUP(_xlpm.k,UPPER(TRIM(G31:P31)),G32:P32,_xlfn.XLOOKUP(_xlpm.k,UPPER(TRIM(G33:P33)),G34:P34)),_xlpm.r*J28*L28*L15*IF(ISBLANK(G28),1,G28)),0)</f>
        <v>3.6764705882352936E-3</v>
      </c>
      <c r="P28" s="1476" t="str">
        <f>_xlfn.LET(_xlpm.unite,SUBSTITUTE(TRIM(K28)," (s)",""),_xlpm.val,O28,_xlpm.estVol,COUNTIF(J31:P31,_xlpm.unite)+COUNTIF(J33:P33,_xlpm.unite)&gt;0,_xlpm.estPoids,COUNTIF(G31:I31,_xlpm.unite)+COUNTIF(G33:I33,_xlpm.unite)&gt;0,IF(_xlpm.estVol,IF(ROUND(_xlpm.val,3)&gt;=1,ROUND(_xlpm.val,3)&amp;" L",MAX(1,ROUND(_xlpm.val*100,0))&amp;" cl"),IF(_xlpm.estPoids,IF(ROUND(_xlpm.val,3)&gt;=1,ROUND(_xlpm.val,3)&amp;" Kg",MAX(1,ROUND(_xlpm.val*1000,0))&amp;" g"),"")))</f>
        <v>4 g</v>
      </c>
      <c r="Q28" s="1171"/>
      <c r="R28" s="104" t="str">
        <f t="shared" si="5"/>
        <v>A</v>
      </c>
      <c r="S28" s="32" t="str">
        <f>S16</f>
        <v>E ESPECIAS PARA MORCILLA | | Autor &gt; Guy KRENZE - Eric GODDYN - Arnaud NICOLAS - CEPROC 2002</v>
      </c>
      <c r="T28" s="33">
        <f>T16</f>
        <v>408</v>
      </c>
      <c r="U28" s="32" t="str">
        <f>U16</f>
        <v>g</v>
      </c>
      <c r="V28" s="34" t="str">
        <f>V16</f>
        <v>Receta madre ► Morcilla en 4 versiones</v>
      </c>
      <c r="W28" s="92"/>
      <c r="X28" s="108"/>
      <c r="Y28" s="94" t="str">
        <f t="shared" si="3"/>
        <v/>
      </c>
      <c r="Z28" s="95">
        <v>15</v>
      </c>
      <c r="AA28" s="105" t="s">
        <v>99</v>
      </c>
      <c r="AB28" s="127">
        <v>1</v>
      </c>
      <c r="AC28" s="920" t="s">
        <v>13191</v>
      </c>
      <c r="AD28" s="1494">
        <f>IF(OR(ISBLANK(W14),AD14=0),0,W28*AB15)</f>
        <v>0</v>
      </c>
      <c r="AE28" s="101" cm="1">
        <f t="array" ref="AE28">IFERROR(_xlfn.LET(_xlpm.k,UPPER(TRIM(AA28)),_xlpm.r,_xlfn.XLOOKUP(_xlpm.k,UPPER(TRIM(W31:AF31)),W32:AF32,_xlfn.XLOOKUP(_xlpm.k,UPPER(TRIM(W33:AF33)),W34:AF34)),_xlpm.r*Z28*AB28*AB15*IF(ISBLANK(W28),1,W28)),0)</f>
        <v>3.6764705882352936E-3</v>
      </c>
      <c r="AF28" s="1476" t="str">
        <f>_xlfn.LET(_xlpm.unite,SUBSTITUTE(TRIM(AA28)," (s)",""),_xlpm.val,AE28,_xlpm.estVol,COUNTIF(Z31:AF31,_xlpm.unite)+COUNTIF(Z33:AF33,_xlpm.unite)&gt;0,_xlpm.estPoids,COUNTIF(W31:Y31,_xlpm.unite)+COUNTIF(W33:Y33,_xlpm.unite)&gt;0,IF(_xlpm.estVol,IF(ROUND(_xlpm.val,3)&gt;=1,ROUND(_xlpm.val,3)&amp;" L",MAX(1,ROUND(_xlpm.val*100,0))&amp;" cl"),IF(_xlpm.estPoids,IF(ROUND(_xlpm.val,3)&gt;=1,ROUND(_xlpm.val,3)&amp;" Kg",MAX(1,ROUND(_xlpm.val*1000,0))&amp;" g"),"")))</f>
        <v>4 g</v>
      </c>
      <c r="AG28" s="1171"/>
      <c r="AH28" s="104"/>
      <c r="AI28" s="1172"/>
      <c r="AJ28" s="1172"/>
      <c r="AK28" s="1172"/>
      <c r="AL28" s="1173"/>
      <c r="AM28" s="1174"/>
      <c r="AN28" s="1175"/>
      <c r="AO28" s="1176"/>
      <c r="AP28" s="1177"/>
      <c r="AQ28" s="1547"/>
      <c r="AR28" s="1177"/>
      <c r="AS28" s="1548"/>
      <c r="AT28" s="1549"/>
      <c r="AU28" s="1178"/>
      <c r="AV28" s="1179"/>
      <c r="AY28" s="3">
        <v>1</v>
      </c>
    </row>
    <row r="29" spans="2:51" ht="27" customHeight="1">
      <c r="B29" s="104" t="str">
        <f t="shared" si="4"/>
        <v>►</v>
      </c>
      <c r="C29" s="32" t="str">
        <f>C16</f>
        <v>É ÉPICES POUR BOUDIN | |  Author &gt; Guy KRENZE - Eric GODDYN - Arnaud NICOLAS - CEPROC 2002</v>
      </c>
      <c r="D29" s="33">
        <f>D16</f>
        <v>408</v>
      </c>
      <c r="E29" s="32" t="str">
        <f>E16</f>
        <v>g</v>
      </c>
      <c r="F29" s="34" t="str">
        <f>F16</f>
        <v>Master recipe ► le Boudin en 4 déclinaisons</v>
      </c>
      <c r="G29" s="92"/>
      <c r="H29" s="108"/>
      <c r="I29" s="94" t="str">
        <f t="shared" si="2"/>
        <v/>
      </c>
      <c r="J29" s="95"/>
      <c r="K29" s="126"/>
      <c r="L29" s="127">
        <v>1</v>
      </c>
      <c r="M29" s="920"/>
      <c r="N29" s="1494">
        <f>IF(OR(ISBLANK(G14),N14=0),0,G29*L15)</f>
        <v>0</v>
      </c>
      <c r="O29" s="101" cm="1">
        <f t="array" ref="O29">IFERROR(_xlfn.LET(_xlpm.k,UPPER(TRIM(K29)),_xlpm.r,_xlfn.XLOOKUP(_xlpm.k,UPPER(TRIM(G31:P31)),G32:P32,_xlfn.XLOOKUP(_xlpm.k,UPPER(TRIM(G33:P33)),G34:P34)),_xlpm.r*J29*L29*L15*IF(ISBLANK(G29),1,G29)),0)</f>
        <v>0</v>
      </c>
      <c r="P29" s="1475" t="str">
        <f>_xlfn.LET(_xlpm.unite,SUBSTITUTE(TRIM(K29)," (s)",""),_xlpm.val,O29,_xlpm.estVol,COUNTIF(J31:P31,_xlpm.unite)+COUNTIF(J33:P33,_xlpm.unite)&gt;0,_xlpm.estPoids,COUNTIF(G31:I31,_xlpm.unite)+COUNTIF(G33:I33,_xlpm.unite)&gt;0,IF(_xlpm.estVol,IF(ROUND(_xlpm.val,3)&gt;=1,ROUND(_xlpm.val,3)&amp;" L",MAX(1,ROUND(_xlpm.val*100,0))&amp;" cl"),IF(_xlpm.estPoids,IF(ROUND(_xlpm.val,3)&gt;=1,ROUND(_xlpm.val,3)&amp;" Kg",MAX(1,ROUND(_xlpm.val*1000,0))&amp;" g"),"")))</f>
        <v/>
      </c>
      <c r="Q29" s="1171"/>
      <c r="R29" s="104" t="str">
        <f t="shared" si="5"/>
        <v>►</v>
      </c>
      <c r="S29" s="32" t="str">
        <f>S16</f>
        <v>E ESPECIAS PARA MORCILLA | | Autor &gt; Guy KRENZE - Eric GODDYN - Arnaud NICOLAS - CEPROC 2002</v>
      </c>
      <c r="T29" s="33">
        <f>T16</f>
        <v>408</v>
      </c>
      <c r="U29" s="32" t="str">
        <f>U16</f>
        <v>g</v>
      </c>
      <c r="V29" s="34" t="str">
        <f>V16</f>
        <v>Receta madre ► Morcilla en 4 versiones</v>
      </c>
      <c r="W29" s="92"/>
      <c r="X29" s="108"/>
      <c r="Y29" s="94" t="str">
        <f t="shared" si="3"/>
        <v/>
      </c>
      <c r="Z29" s="95"/>
      <c r="AA29" s="126"/>
      <c r="AB29" s="127">
        <v>1</v>
      </c>
      <c r="AC29" s="920"/>
      <c r="AD29" s="1494">
        <f>IF(OR(ISBLANK(W14),AD14=0),0,W29*AB15)</f>
        <v>0</v>
      </c>
      <c r="AE29" s="101" cm="1">
        <f t="array" ref="AE29">IFERROR(_xlfn.LET(_xlpm.k,UPPER(TRIM(AA29)),_xlpm.r,_xlfn.XLOOKUP(_xlpm.k,UPPER(TRIM(W31:AF31)),W32:AF32,_xlfn.XLOOKUP(_xlpm.k,UPPER(TRIM(W33:AF33)),W34:AF34)),_xlpm.r*Z29*AB29*AB15*IF(ISBLANK(W29),1,W29)),0)</f>
        <v>0</v>
      </c>
      <c r="AF29" s="1475" t="str">
        <f>_xlfn.LET(_xlpm.unite,SUBSTITUTE(TRIM(AA29)," (s)",""),_xlpm.val,AE29,_xlpm.estVol,COUNTIF(Z31:AF31,_xlpm.unite)+COUNTIF(Z33:AF33,_xlpm.unite)&gt;0,_xlpm.estPoids,COUNTIF(W31:Y31,_xlpm.unite)+COUNTIF(W33:Y33,_xlpm.unite)&gt;0,IF(_xlpm.estVol,IF(ROUND(_xlpm.val,3)&gt;=1,ROUND(_xlpm.val,3)&amp;" L",MAX(1,ROUND(_xlpm.val*100,0))&amp;" cl"),IF(_xlpm.estPoids,IF(ROUND(_xlpm.val,3)&gt;=1,ROUND(_xlpm.val,3)&amp;" Kg",MAX(1,ROUND(_xlpm.val*1000,0))&amp;" g"),"")))</f>
        <v/>
      </c>
      <c r="AG29" s="1171"/>
      <c r="AH29" s="104"/>
      <c r="AI29" s="1172"/>
      <c r="AJ29" s="1172"/>
      <c r="AK29" s="1172"/>
      <c r="AL29" s="1173"/>
      <c r="AM29" s="1174"/>
      <c r="AN29" s="1175"/>
      <c r="AO29" s="1176"/>
      <c r="AP29" s="1177"/>
      <c r="AQ29" s="1547"/>
      <c r="AR29" s="1177"/>
      <c r="AS29" s="1548"/>
      <c r="AT29" s="1549"/>
      <c r="AU29" s="1178"/>
      <c r="AV29" s="1179"/>
      <c r="AY29" s="3">
        <v>1</v>
      </c>
    </row>
    <row r="30" spans="2:51" ht="27" customHeight="1">
      <c r="B30" s="104" t="s">
        <v>11</v>
      </c>
      <c r="C30" s="32" t="str">
        <f>C16</f>
        <v>É ÉPICES POUR BOUDIN | |  Author &gt; Guy KRENZE - Eric GODDYN - Arnaud NICOLAS - CEPROC 2002</v>
      </c>
      <c r="D30" s="33">
        <f>D16</f>
        <v>408</v>
      </c>
      <c r="E30" s="32" t="str">
        <f>E16</f>
        <v>g</v>
      </c>
      <c r="F30" s="34" t="str">
        <f>F16</f>
        <v>Master recipe ► le Boudin en 4 déclinaisons</v>
      </c>
      <c r="G30" s="907" t="s">
        <v>136</v>
      </c>
      <c r="H30" s="500"/>
      <c r="I30" s="500"/>
      <c r="J30" s="500"/>
      <c r="K30" s="500"/>
      <c r="L30" s="908"/>
      <c r="M30" s="909"/>
      <c r="N30" s="909"/>
      <c r="O30" s="5164">
        <f>SUM(O20:O29)</f>
        <v>9.9877450980392149E-2</v>
      </c>
      <c r="P30" s="1489"/>
      <c r="Q30" s="1171"/>
      <c r="R30" s="104" t="s">
        <v>11</v>
      </c>
      <c r="S30" s="32" t="str">
        <f>S16</f>
        <v>E ESPECIAS PARA MORCILLA | | Autor &gt; Guy KRENZE - Eric GODDYN - Arnaud NICOLAS - CEPROC 2002</v>
      </c>
      <c r="T30" s="33">
        <f>T16</f>
        <v>408</v>
      </c>
      <c r="U30" s="32" t="str">
        <f>U16</f>
        <v>g</v>
      </c>
      <c r="V30" s="34" t="str">
        <f>V16</f>
        <v>Receta madre ► Morcilla en 4 versiones</v>
      </c>
      <c r="W30" s="907" t="s">
        <v>893</v>
      </c>
      <c r="X30" s="500"/>
      <c r="Y30" s="500"/>
      <c r="Z30" s="500"/>
      <c r="AA30" s="500"/>
      <c r="AB30" s="908"/>
      <c r="AC30" s="909"/>
      <c r="AD30" s="909"/>
      <c r="AE30" s="5164">
        <f>SUM(AE20:AE29)</f>
        <v>9.9877450980392149E-2</v>
      </c>
      <c r="AF30" s="1489"/>
      <c r="AG30" s="1171"/>
      <c r="AH30" s="104"/>
      <c r="AI30" s="1172"/>
      <c r="AJ30" s="1172"/>
      <c r="AK30" s="1172"/>
      <c r="AL30" s="1173"/>
      <c r="AM30" s="1174"/>
      <c r="AN30" s="1175"/>
      <c r="AO30" s="1176"/>
      <c r="AP30" s="1177"/>
      <c r="AQ30" s="1547"/>
      <c r="AR30" s="1177"/>
      <c r="AS30" s="1548"/>
      <c r="AT30" s="1549"/>
      <c r="AU30" s="1178"/>
      <c r="AV30" s="1179"/>
      <c r="AY30" s="3">
        <v>1</v>
      </c>
    </row>
    <row r="31" spans="2:51" ht="27" customHeight="1">
      <c r="B31" s="104" t="s">
        <v>16</v>
      </c>
      <c r="C31" s="32" t="str">
        <f>C16</f>
        <v>É ÉPICES POUR BOUDIN | |  Author &gt; Guy KRENZE - Eric GODDYN - Arnaud NICOLAS - CEPROC 2002</v>
      </c>
      <c r="D31" s="33">
        <f>D16</f>
        <v>408</v>
      </c>
      <c r="E31" s="32" t="str">
        <f>E16</f>
        <v>g</v>
      </c>
      <c r="F31" s="34" t="str">
        <f>F16</f>
        <v>Master recipe ► le Boudin en 4 déclinaisons</v>
      </c>
      <c r="G31" s="140" t="s">
        <v>143</v>
      </c>
      <c r="H31" s="105" t="s">
        <v>99</v>
      </c>
      <c r="I31" s="141" t="s">
        <v>144</v>
      </c>
      <c r="J31" s="96" t="s">
        <v>0</v>
      </c>
      <c r="K31" s="96" t="s">
        <v>96</v>
      </c>
      <c r="L31" s="96" t="s">
        <v>147</v>
      </c>
      <c r="M31" s="96" t="s">
        <v>148</v>
      </c>
      <c r="N31" s="109" t="s">
        <v>364</v>
      </c>
      <c r="O31" s="109" t="s">
        <v>102</v>
      </c>
      <c r="P31" s="109" t="s">
        <v>149</v>
      </c>
      <c r="Q31" s="1171"/>
      <c r="R31" s="104" t="s">
        <v>16</v>
      </c>
      <c r="S31" s="32" t="str">
        <f>S16</f>
        <v>E ESPECIAS PARA MORCILLA | | Autor &gt; Guy KRENZE - Eric GODDYN - Arnaud NICOLAS - CEPROC 2002</v>
      </c>
      <c r="T31" s="33">
        <f>T16</f>
        <v>408</v>
      </c>
      <c r="U31" s="32" t="str">
        <f>U16</f>
        <v>g</v>
      </c>
      <c r="V31" s="34" t="str">
        <f>V16</f>
        <v>Receta madre ► Morcilla en 4 versiones</v>
      </c>
      <c r="W31" s="140" t="s">
        <v>143</v>
      </c>
      <c r="X31" s="105" t="s">
        <v>99</v>
      </c>
      <c r="Y31" s="141" t="s">
        <v>144</v>
      </c>
      <c r="Z31" s="96" t="s">
        <v>0</v>
      </c>
      <c r="AA31" s="96" t="s">
        <v>96</v>
      </c>
      <c r="AB31" s="96" t="s">
        <v>147</v>
      </c>
      <c r="AC31" s="96" t="s">
        <v>148</v>
      </c>
      <c r="AD31" s="109" t="s">
        <v>1379</v>
      </c>
      <c r="AE31" s="109" t="s">
        <v>1341</v>
      </c>
      <c r="AF31" s="109" t="s">
        <v>1342</v>
      </c>
      <c r="AG31" s="1171"/>
      <c r="AH31" s="104"/>
      <c r="AI31" s="1172"/>
      <c r="AJ31" s="1172"/>
      <c r="AK31" s="1172"/>
      <c r="AL31" s="1173"/>
      <c r="AM31" s="1174"/>
      <c r="AN31" s="1175"/>
      <c r="AO31" s="1176"/>
      <c r="AP31" s="1177"/>
      <c r="AQ31" s="1547"/>
      <c r="AR31" s="1177"/>
      <c r="AS31" s="1548"/>
      <c r="AT31" s="1549"/>
      <c r="AU31" s="1178"/>
      <c r="AV31" s="1179"/>
      <c r="AY31" s="3">
        <v>1</v>
      </c>
    </row>
    <row r="32" spans="2:51" ht="27" customHeight="1">
      <c r="B32" s="104" t="s">
        <v>16</v>
      </c>
      <c r="C32" s="32" t="str">
        <f>C16</f>
        <v>É ÉPICES POUR BOUDIN | |  Author &gt; Guy KRENZE - Eric GODDYN - Arnaud NICOLAS - CEPROC 2002</v>
      </c>
      <c r="D32" s="33">
        <f>D16</f>
        <v>408</v>
      </c>
      <c r="E32" s="32" t="str">
        <f>E16</f>
        <v>g</v>
      </c>
      <c r="F32" s="34" t="str">
        <f>F16</f>
        <v>Master recipe ► le Boudin en 4 déclinaisons</v>
      </c>
      <c r="G32" s="911">
        <v>1</v>
      </c>
      <c r="H32" s="912">
        <v>1E-3</v>
      </c>
      <c r="I32" s="913">
        <v>0</v>
      </c>
      <c r="J32" s="914">
        <v>1</v>
      </c>
      <c r="K32" s="914">
        <v>0.1</v>
      </c>
      <c r="L32" s="914">
        <v>0.01</v>
      </c>
      <c r="M32" s="914">
        <v>1E-3</v>
      </c>
      <c r="N32" s="914">
        <v>0.25</v>
      </c>
      <c r="O32" s="914">
        <v>0.5</v>
      </c>
      <c r="P32" s="914">
        <v>0.33300000000000002</v>
      </c>
      <c r="Q32" s="1171"/>
      <c r="R32" s="104" t="s">
        <v>16</v>
      </c>
      <c r="S32" s="32" t="str">
        <f>S16</f>
        <v>E ESPECIAS PARA MORCILLA | | Autor &gt; Guy KRENZE - Eric GODDYN - Arnaud NICOLAS - CEPROC 2002</v>
      </c>
      <c r="T32" s="33">
        <f>T16</f>
        <v>408</v>
      </c>
      <c r="U32" s="32" t="str">
        <f>U16</f>
        <v>g</v>
      </c>
      <c r="V32" s="34" t="str">
        <f>V16</f>
        <v>Receta madre ► Morcilla en 4 versiones</v>
      </c>
      <c r="W32" s="911">
        <v>1</v>
      </c>
      <c r="X32" s="912">
        <v>1E-3</v>
      </c>
      <c r="Y32" s="913">
        <v>0</v>
      </c>
      <c r="Z32" s="914">
        <v>1</v>
      </c>
      <c r="AA32" s="914">
        <v>0.1</v>
      </c>
      <c r="AB32" s="914">
        <v>0.01</v>
      </c>
      <c r="AC32" s="914">
        <v>1E-3</v>
      </c>
      <c r="AD32" s="914">
        <v>0.25</v>
      </c>
      <c r="AE32" s="914">
        <v>0.5</v>
      </c>
      <c r="AF32" s="914">
        <v>0.33300000000000002</v>
      </c>
      <c r="AG32" s="1171"/>
      <c r="AH32" s="104"/>
      <c r="AI32" s="1172"/>
      <c r="AJ32" s="1172"/>
      <c r="AK32" s="1172"/>
      <c r="AL32" s="1173"/>
      <c r="AM32" s="1174"/>
      <c r="AN32" s="1175"/>
      <c r="AO32" s="1176"/>
      <c r="AP32" s="1177"/>
      <c r="AQ32" s="1547"/>
      <c r="AR32" s="1177"/>
      <c r="AS32" s="1548"/>
      <c r="AT32" s="1549"/>
      <c r="AU32" s="1178"/>
      <c r="AV32" s="1179"/>
      <c r="AY32" s="3">
        <v>1</v>
      </c>
    </row>
    <row r="33" spans="2:51" ht="27" customHeight="1">
      <c r="B33" s="104" t="s">
        <v>16</v>
      </c>
      <c r="C33" s="32" t="str">
        <f>C16</f>
        <v>É ÉPICES POUR BOUDIN | |  Author &gt; Guy KRENZE - Eric GODDYN - Arnaud NICOLAS - CEPROC 2002</v>
      </c>
      <c r="D33" s="33">
        <f>D16</f>
        <v>408</v>
      </c>
      <c r="E33" s="32" t="str">
        <f>E16</f>
        <v>g</v>
      </c>
      <c r="F33" s="34" t="str">
        <f>F16</f>
        <v>Master recipe ► le Boudin en 4 déclinaisons</v>
      </c>
      <c r="G33" s="142" t="s">
        <v>145</v>
      </c>
      <c r="H33" s="117" t="s">
        <v>107</v>
      </c>
      <c r="I33" s="141" t="s">
        <v>144</v>
      </c>
      <c r="J33" s="109" t="s">
        <v>150</v>
      </c>
      <c r="K33" s="109" t="s">
        <v>163</v>
      </c>
      <c r="L33" s="109" t="s">
        <v>103</v>
      </c>
      <c r="M33" s="109" t="s">
        <v>162</v>
      </c>
      <c r="N33" s="149" t="s">
        <v>160</v>
      </c>
      <c r="O33" s="149" t="s">
        <v>117</v>
      </c>
      <c r="P33" s="1061" t="s">
        <v>1831</v>
      </c>
      <c r="Q33" s="1171"/>
      <c r="R33" s="104" t="s">
        <v>16</v>
      </c>
      <c r="S33" s="32" t="str">
        <f>S16</f>
        <v>E ESPECIAS PARA MORCILLA | | Autor &gt; Guy KRENZE - Eric GODDYN - Arnaud NICOLAS - CEPROC 2002</v>
      </c>
      <c r="T33" s="33">
        <f>T16</f>
        <v>408</v>
      </c>
      <c r="U33" s="32" t="str">
        <f>U16</f>
        <v>g</v>
      </c>
      <c r="V33" s="34" t="str">
        <f>V16</f>
        <v>Receta madre ► Morcilla en 4 versiones</v>
      </c>
      <c r="W33" s="142" t="s">
        <v>145</v>
      </c>
      <c r="X33" s="117" t="s">
        <v>107</v>
      </c>
      <c r="Y33" s="141" t="s">
        <v>144</v>
      </c>
      <c r="Z33" s="143" t="s">
        <v>1343</v>
      </c>
      <c r="AA33" s="109" t="s">
        <v>1354</v>
      </c>
      <c r="AB33" s="109" t="s">
        <v>1355</v>
      </c>
      <c r="AC33" s="109" t="s">
        <v>1353</v>
      </c>
      <c r="AD33" s="149" t="s">
        <v>1351</v>
      </c>
      <c r="AE33" s="123" t="s">
        <v>1350</v>
      </c>
      <c r="AF33" s="1061" t="s">
        <v>1833</v>
      </c>
      <c r="AG33" s="1171"/>
      <c r="AH33" s="104"/>
      <c r="AI33" s="1172"/>
      <c r="AJ33" s="1172"/>
      <c r="AK33" s="1172"/>
      <c r="AL33" s="1173"/>
      <c r="AM33" s="1174"/>
      <c r="AN33" s="1175"/>
      <c r="AO33" s="1176"/>
      <c r="AP33" s="1177"/>
      <c r="AQ33" s="1547"/>
      <c r="AR33" s="1177"/>
      <c r="AS33" s="1548"/>
      <c r="AT33" s="1549"/>
      <c r="AU33" s="1178"/>
      <c r="AV33" s="1179"/>
      <c r="AY33" s="3">
        <v>1</v>
      </c>
    </row>
    <row r="34" spans="2:51" ht="27" customHeight="1">
      <c r="B34" s="104" t="s">
        <v>16</v>
      </c>
      <c r="C34" s="32" t="str">
        <f>C16</f>
        <v>É ÉPICES POUR BOUDIN | |  Author &gt; Guy KRENZE - Eric GODDYN - Arnaud NICOLAS - CEPROC 2002</v>
      </c>
      <c r="D34" s="33">
        <f>D16</f>
        <v>408</v>
      </c>
      <c r="E34" s="32" t="str">
        <f>E16</f>
        <v>g</v>
      </c>
      <c r="F34" s="34" t="str">
        <f>F16</f>
        <v>Master recipe ► le Boudin en 4 déclinaisons</v>
      </c>
      <c r="G34" s="912">
        <v>0.25</v>
      </c>
      <c r="H34" s="912">
        <v>0.5</v>
      </c>
      <c r="I34" s="913">
        <v>0</v>
      </c>
      <c r="J34" s="914">
        <v>0.2</v>
      </c>
      <c r="K34" s="914">
        <v>0.1</v>
      </c>
      <c r="L34" s="914">
        <v>0.22500000000000001</v>
      </c>
      <c r="M34" s="914">
        <v>1.4999999999999999E-2</v>
      </c>
      <c r="N34" s="914">
        <v>4.9299999999999995E-3</v>
      </c>
      <c r="O34" s="914">
        <v>0.35</v>
      </c>
      <c r="P34" s="915">
        <v>0.25</v>
      </c>
      <c r="Q34" s="1171"/>
      <c r="R34" s="104" t="s">
        <v>16</v>
      </c>
      <c r="S34" s="32" t="str">
        <f>S16</f>
        <v>E ESPECIAS PARA MORCILLA | | Autor &gt; Guy KRENZE - Eric GODDYN - Arnaud NICOLAS - CEPROC 2002</v>
      </c>
      <c r="T34" s="33">
        <f>T16</f>
        <v>408</v>
      </c>
      <c r="U34" s="32" t="str">
        <f>U16</f>
        <v>g</v>
      </c>
      <c r="V34" s="34" t="str">
        <f>V16</f>
        <v>Receta madre ► Morcilla en 4 versiones</v>
      </c>
      <c r="W34" s="912">
        <v>0.25</v>
      </c>
      <c r="X34" s="912">
        <v>0.5</v>
      </c>
      <c r="Y34" s="913">
        <v>0</v>
      </c>
      <c r="Z34" s="914">
        <v>0.2</v>
      </c>
      <c r="AA34" s="914">
        <v>0.1</v>
      </c>
      <c r="AB34" s="914">
        <v>0.22500000000000001</v>
      </c>
      <c r="AC34" s="914">
        <v>1.4999999999999999E-2</v>
      </c>
      <c r="AD34" s="914">
        <v>4.9299999999999995E-3</v>
      </c>
      <c r="AE34" s="914">
        <v>0.35</v>
      </c>
      <c r="AF34" s="915">
        <v>0.25</v>
      </c>
      <c r="AG34" s="1171"/>
      <c r="AH34" s="104"/>
      <c r="AI34" s="1172"/>
      <c r="AJ34" s="1172"/>
      <c r="AK34" s="1172"/>
      <c r="AL34" s="1173"/>
      <c r="AM34" s="1174"/>
      <c r="AN34" s="1175"/>
      <c r="AO34" s="1176"/>
      <c r="AP34" s="1177"/>
      <c r="AQ34" s="1547"/>
      <c r="AR34" s="1177"/>
      <c r="AS34" s="1548"/>
      <c r="AT34" s="1549"/>
      <c r="AU34" s="1178"/>
      <c r="AV34" s="1179"/>
      <c r="AY34" s="3">
        <v>1</v>
      </c>
    </row>
    <row r="35" spans="2:51" ht="27" customHeight="1">
      <c r="B35" s="104" t="s">
        <v>16</v>
      </c>
      <c r="C35" s="32" t="str">
        <f>C16</f>
        <v>É ÉPICES POUR BOUDIN | |  Author &gt; Guy KRENZE - Eric GODDYN - Arnaud NICOLAS - CEPROC 2002</v>
      </c>
      <c r="D35" s="33">
        <f>D16</f>
        <v>408</v>
      </c>
      <c r="E35" s="32" t="str">
        <f>E16</f>
        <v>g</v>
      </c>
      <c r="F35" s="34" t="str">
        <f>F16</f>
        <v>Master recipe ► le Boudin en 4 déclinaisons</v>
      </c>
      <c r="G35" s="154" t="str">
        <f>G17</f>
        <v>Col.6</v>
      </c>
      <c r="H35" s="154" t="str">
        <f>H17</f>
        <v>Col.7</v>
      </c>
      <c r="I35" s="155" t="s">
        <v>3295</v>
      </c>
      <c r="J35" s="155"/>
      <c r="K35" s="155"/>
      <c r="L35" s="155"/>
      <c r="M35" s="155"/>
      <c r="N35" s="155"/>
      <c r="O35" s="155"/>
      <c r="P35" s="1477"/>
      <c r="Q35" s="1171"/>
      <c r="R35" s="104" t="s">
        <v>16</v>
      </c>
      <c r="S35" s="32" t="str">
        <f>S16</f>
        <v>E ESPECIAS PARA MORCILLA | | Autor &gt; Guy KRENZE - Eric GODDYN - Arnaud NICOLAS - CEPROC 2002</v>
      </c>
      <c r="T35" s="33">
        <f>T16</f>
        <v>408</v>
      </c>
      <c r="U35" s="32" t="str">
        <f>U16</f>
        <v>g</v>
      </c>
      <c r="V35" s="34" t="str">
        <f>V16</f>
        <v>Receta madre ► Morcilla en 4 versiones</v>
      </c>
      <c r="W35" s="154" t="str">
        <f>W17</f>
        <v>Col.6</v>
      </c>
      <c r="X35" s="154" t="str">
        <f>X17</f>
        <v>Col.7</v>
      </c>
      <c r="Y35" s="155" t="s">
        <v>3298</v>
      </c>
      <c r="Z35" s="155"/>
      <c r="AA35" s="155"/>
      <c r="AB35" s="155"/>
      <c r="AC35" s="155"/>
      <c r="AD35" s="155"/>
      <c r="AE35" s="155"/>
      <c r="AF35" s="1477"/>
      <c r="AG35" s="1171"/>
      <c r="AH35" s="104"/>
      <c r="AI35" s="1172"/>
      <c r="AJ35" s="1172"/>
      <c r="AK35" s="1172"/>
      <c r="AL35" s="1173"/>
      <c r="AM35" s="1174"/>
      <c r="AN35" s="1175"/>
      <c r="AO35" s="1176"/>
      <c r="AP35" s="1177"/>
      <c r="AQ35" s="1547"/>
      <c r="AR35" s="1177"/>
      <c r="AS35" s="1548"/>
      <c r="AT35" s="1549"/>
      <c r="AU35" s="1178"/>
      <c r="AV35" s="1179"/>
      <c r="AY35" s="3">
        <v>1</v>
      </c>
    </row>
    <row r="36" spans="2:51" ht="27" customHeight="1">
      <c r="B36" s="104" t="s">
        <v>16</v>
      </c>
      <c r="C36" s="157" t="str">
        <f>C16</f>
        <v>É ÉPICES POUR BOUDIN | |  Author &gt; Guy KRENZE - Eric GODDYN - Arnaud NICOLAS - CEPROC 2002</v>
      </c>
      <c r="D36" s="157">
        <f>D16</f>
        <v>408</v>
      </c>
      <c r="E36" s="158" t="str">
        <f>E16</f>
        <v>g</v>
      </c>
      <c r="F36" s="159" t="str">
        <f>F16</f>
        <v>Master recipe ► le Boudin en 4 déclinaisons</v>
      </c>
      <c r="G36" s="160" t="s">
        <v>167</v>
      </c>
      <c r="H36" s="1483" t="s">
        <v>3328</v>
      </c>
      <c r="I36" s="162"/>
      <c r="J36" s="162"/>
      <c r="K36" s="172"/>
      <c r="L36" s="172"/>
      <c r="M36" s="172"/>
      <c r="N36" s="172"/>
      <c r="O36" s="156" t="s">
        <v>165</v>
      </c>
      <c r="P36" s="1484" t="s">
        <v>3276</v>
      </c>
      <c r="Q36" s="1171"/>
      <c r="R36" s="104" t="s">
        <v>16</v>
      </c>
      <c r="S36" s="157" t="str">
        <f>S16</f>
        <v>E ESPECIAS PARA MORCILLA | | Autor &gt; Guy KRENZE - Eric GODDYN - Arnaud NICOLAS - CEPROC 2002</v>
      </c>
      <c r="T36" s="157">
        <f>T16</f>
        <v>408</v>
      </c>
      <c r="U36" s="158" t="str">
        <f>U16</f>
        <v>g</v>
      </c>
      <c r="V36" s="159" t="str">
        <f>V16</f>
        <v>Receta madre ► Morcilla en 4 versiones</v>
      </c>
      <c r="W36" s="232" t="s">
        <v>754</v>
      </c>
      <c r="X36" s="161" t="s">
        <v>3325</v>
      </c>
      <c r="Y36" s="162"/>
      <c r="Z36" s="162"/>
      <c r="AA36" s="172"/>
      <c r="AB36" s="172"/>
      <c r="AC36" s="172"/>
      <c r="AD36" s="172"/>
      <c r="AE36" s="905" t="s">
        <v>908</v>
      </c>
      <c r="AF36" s="1484" t="s">
        <v>3276</v>
      </c>
      <c r="AG36" s="1171"/>
      <c r="AH36" s="104"/>
      <c r="AI36" s="1172"/>
      <c r="AJ36" s="1172"/>
      <c r="AK36" s="1172"/>
      <c r="AL36" s="1173"/>
      <c r="AM36" s="1174"/>
      <c r="AN36" s="1175"/>
      <c r="AO36" s="1176"/>
      <c r="AP36" s="1177"/>
      <c r="AQ36" s="1547"/>
      <c r="AR36" s="1177"/>
      <c r="AS36" s="1548"/>
      <c r="AT36" s="1549"/>
      <c r="AU36" s="1178"/>
      <c r="AV36" s="1179"/>
      <c r="AY36" s="3">
        <v>1</v>
      </c>
    </row>
    <row r="37" spans="2:51" ht="27" customHeight="1">
      <c r="B37" s="104" t="s">
        <v>16</v>
      </c>
      <c r="C37" s="157" t="str">
        <f>C16</f>
        <v>É ÉPICES POUR BOUDIN | |  Author &gt; Guy KRENZE - Eric GODDYN - Arnaud NICOLAS - CEPROC 2002</v>
      </c>
      <c r="D37" s="157">
        <f>D16</f>
        <v>408</v>
      </c>
      <c r="E37" s="158" t="str">
        <f>E16</f>
        <v>g</v>
      </c>
      <c r="F37" s="159" t="str">
        <f>F16</f>
        <v>Master recipe ► le Boudin en 4 déclinaisons</v>
      </c>
      <c r="G37" s="172"/>
      <c r="H37" s="172"/>
      <c r="I37" s="172"/>
      <c r="J37" s="172"/>
      <c r="K37" s="172"/>
      <c r="L37" s="172"/>
      <c r="M37" s="172"/>
      <c r="N37" s="172"/>
      <c r="O37" s="1474" t="s">
        <v>168</v>
      </c>
      <c r="P37" s="1482" t="s">
        <v>668</v>
      </c>
      <c r="Q37" s="1171"/>
      <c r="R37" s="104" t="s">
        <v>16</v>
      </c>
      <c r="S37" s="157" t="str">
        <f>S16</f>
        <v>E ESPECIAS PARA MORCILLA | | Autor &gt; Guy KRENZE - Eric GODDYN - Arnaud NICOLAS - CEPROC 2002</v>
      </c>
      <c r="T37" s="157">
        <f>T16</f>
        <v>408</v>
      </c>
      <c r="U37" s="158" t="str">
        <f>U16</f>
        <v>g</v>
      </c>
      <c r="V37" s="159" t="str">
        <f>V16</f>
        <v>Receta madre ► Morcilla en 4 versiones</v>
      </c>
      <c r="W37" s="172"/>
      <c r="X37" s="172"/>
      <c r="Y37" s="172"/>
      <c r="Z37" s="172"/>
      <c r="AA37" s="172"/>
      <c r="AB37" s="172"/>
      <c r="AC37" s="172"/>
      <c r="AD37" s="172"/>
      <c r="AE37" s="1474" t="s">
        <v>909</v>
      </c>
      <c r="AF37" s="1482" t="s">
        <v>668</v>
      </c>
      <c r="AG37" s="1171"/>
      <c r="AH37" s="104"/>
      <c r="AI37" s="1172"/>
      <c r="AJ37" s="1172"/>
      <c r="AK37" s="1172"/>
      <c r="AL37" s="1173"/>
      <c r="AM37" s="1174"/>
      <c r="AN37" s="1175"/>
      <c r="AO37" s="1176"/>
      <c r="AP37" s="1177"/>
      <c r="AQ37" s="1547"/>
      <c r="AR37" s="1177"/>
      <c r="AS37" s="1548"/>
      <c r="AT37" s="1549"/>
      <c r="AU37" s="1178"/>
      <c r="AV37" s="1179"/>
      <c r="AY37" s="3">
        <v>1</v>
      </c>
    </row>
    <row r="38" spans="2:51" ht="27" customHeight="1">
      <c r="B38" s="104" t="s">
        <v>16</v>
      </c>
      <c r="C38" s="157" t="str">
        <f>C16</f>
        <v>É ÉPICES POUR BOUDIN | |  Author &gt; Guy KRENZE - Eric GODDYN - Arnaud NICOLAS - CEPROC 2002</v>
      </c>
      <c r="D38" s="157">
        <f>D16</f>
        <v>408</v>
      </c>
      <c r="E38" s="158" t="str">
        <f>E16</f>
        <v>g</v>
      </c>
      <c r="F38" s="159" t="str">
        <f>F16</f>
        <v>Master recipe ► le Boudin en 4 déclinaisons</v>
      </c>
      <c r="G38" s="172" t="s">
        <v>13071</v>
      </c>
      <c r="H38" s="172"/>
      <c r="I38" s="172"/>
      <c r="J38" s="172"/>
      <c r="K38" s="172"/>
      <c r="L38" s="172"/>
      <c r="M38" s="172"/>
      <c r="N38" s="172"/>
      <c r="O38" s="172"/>
      <c r="P38" s="555"/>
      <c r="Q38" s="1171"/>
      <c r="R38" s="104" t="s">
        <v>16</v>
      </c>
      <c r="S38" s="157" t="str">
        <f>S16</f>
        <v>E ESPECIAS PARA MORCILLA | | Autor &gt; Guy KRENZE - Eric GODDYN - Arnaud NICOLAS - CEPROC 2002</v>
      </c>
      <c r="T38" s="157">
        <f>T16</f>
        <v>408</v>
      </c>
      <c r="U38" s="158" t="str">
        <f>U16</f>
        <v>g</v>
      </c>
      <c r="V38" s="159" t="str">
        <f>V16</f>
        <v>Receta madre ► Morcilla en 4 versiones</v>
      </c>
      <c r="W38" s="172" t="s">
        <v>13245</v>
      </c>
      <c r="X38" s="172"/>
      <c r="Y38" s="172"/>
      <c r="Z38" s="172"/>
      <c r="AA38" s="172"/>
      <c r="AB38" s="172"/>
      <c r="AC38" s="172"/>
      <c r="AD38" s="172"/>
      <c r="AE38" s="172"/>
      <c r="AF38" s="555"/>
      <c r="AG38" s="1171"/>
      <c r="AH38" s="104"/>
      <c r="AI38" s="1172"/>
      <c r="AJ38" s="1172"/>
      <c r="AK38" s="1172"/>
      <c r="AL38" s="1173"/>
      <c r="AM38" s="1174"/>
      <c r="AN38" s="1175"/>
      <c r="AO38" s="1176"/>
      <c r="AP38" s="1177"/>
      <c r="AQ38" s="1547"/>
      <c r="AR38" s="1177"/>
      <c r="AS38" s="1548"/>
      <c r="AT38" s="1549"/>
      <c r="AU38" s="1178"/>
      <c r="AV38" s="1179"/>
      <c r="AY38" s="3">
        <v>1</v>
      </c>
    </row>
    <row r="39" spans="2:51" ht="27" customHeight="1">
      <c r="B39" s="104" t="s">
        <v>16</v>
      </c>
      <c r="C39" s="157" t="str">
        <f>C16</f>
        <v>É ÉPICES POUR BOUDIN | |  Author &gt; Guy KRENZE - Eric GODDYN - Arnaud NICOLAS - CEPROC 2002</v>
      </c>
      <c r="D39" s="157">
        <f>D16</f>
        <v>408</v>
      </c>
      <c r="E39" s="158" t="str">
        <f>E16</f>
        <v>g</v>
      </c>
      <c r="F39" s="159" t="str">
        <f>F16</f>
        <v>Master recipe ► le Boudin en 4 déclinaisons</v>
      </c>
      <c r="G39" s="172" t="s">
        <v>13072</v>
      </c>
      <c r="H39" s="172"/>
      <c r="I39" s="172"/>
      <c r="J39" s="172"/>
      <c r="K39" s="172"/>
      <c r="L39" s="172"/>
      <c r="M39" s="172"/>
      <c r="N39" s="172"/>
      <c r="O39" s="170" t="s">
        <v>172</v>
      </c>
      <c r="P39" s="171">
        <v>3.472222222222222E-3</v>
      </c>
      <c r="Q39" s="1171"/>
      <c r="R39" s="104" t="s">
        <v>16</v>
      </c>
      <c r="S39" s="157" t="str">
        <f>S16</f>
        <v>E ESPECIAS PARA MORCILLA | | Autor &gt; Guy KRENZE - Eric GODDYN - Arnaud NICOLAS - CEPROC 2002</v>
      </c>
      <c r="T39" s="157">
        <f>T16</f>
        <v>408</v>
      </c>
      <c r="U39" s="158" t="str">
        <f>U16</f>
        <v>g</v>
      </c>
      <c r="V39" s="159" t="str">
        <f>V16</f>
        <v>Receta madre ► Morcilla en 4 versiones</v>
      </c>
      <c r="W39" s="172" t="s">
        <v>13246</v>
      </c>
      <c r="X39" s="172"/>
      <c r="Y39" s="172"/>
      <c r="Z39" s="172"/>
      <c r="AA39" s="172"/>
      <c r="AB39" s="172"/>
      <c r="AC39" s="172"/>
      <c r="AD39" s="172"/>
      <c r="AE39" s="170" t="s">
        <v>677</v>
      </c>
      <c r="AF39" s="171">
        <v>3.472222222222222E-3</v>
      </c>
      <c r="AG39" s="1171"/>
      <c r="AH39" s="104"/>
      <c r="AI39" s="1172"/>
      <c r="AJ39" s="1172"/>
      <c r="AK39" s="1172"/>
      <c r="AL39" s="1173"/>
      <c r="AM39" s="1174"/>
      <c r="AN39" s="1175"/>
      <c r="AO39" s="1176"/>
      <c r="AP39" s="1177"/>
      <c r="AQ39" s="1547"/>
      <c r="AR39" s="1177"/>
      <c r="AS39" s="1548"/>
      <c r="AT39" s="1549"/>
      <c r="AU39" s="1178"/>
      <c r="AV39" s="1179"/>
      <c r="AY39" s="3">
        <v>1</v>
      </c>
    </row>
    <row r="40" spans="2:51" ht="27" customHeight="1">
      <c r="B40" s="104" t="s">
        <v>16</v>
      </c>
      <c r="C40" s="157" t="str">
        <f>C16</f>
        <v>É ÉPICES POUR BOUDIN | |  Author &gt; Guy KRENZE - Eric GODDYN - Arnaud NICOLAS - CEPROC 2002</v>
      </c>
      <c r="D40" s="157">
        <f>D16</f>
        <v>408</v>
      </c>
      <c r="E40" s="158" t="str">
        <f>E16</f>
        <v>g</v>
      </c>
      <c r="F40" s="159" t="str">
        <f>F16</f>
        <v>Master recipe ► le Boudin en 4 déclinaisons</v>
      </c>
      <c r="G40" s="172" t="s">
        <v>13073</v>
      </c>
      <c r="H40" s="172"/>
      <c r="I40" s="172"/>
      <c r="J40" s="172"/>
      <c r="K40" s="172"/>
      <c r="L40" s="172"/>
      <c r="M40" s="172"/>
      <c r="N40" s="172"/>
      <c r="O40" s="170" t="s">
        <v>174</v>
      </c>
      <c r="P40" s="174">
        <v>3.472222222222222E-3</v>
      </c>
      <c r="Q40" s="1171"/>
      <c r="R40" s="104" t="s">
        <v>16</v>
      </c>
      <c r="S40" s="157" t="str">
        <f>S16</f>
        <v>E ESPECIAS PARA MORCILLA | | Autor &gt; Guy KRENZE - Eric GODDYN - Arnaud NICOLAS - CEPROC 2002</v>
      </c>
      <c r="T40" s="157">
        <f>T16</f>
        <v>408</v>
      </c>
      <c r="U40" s="158" t="str">
        <f>U16</f>
        <v>g</v>
      </c>
      <c r="V40" s="159" t="str">
        <f>V16</f>
        <v>Receta madre ► Morcilla en 4 versiones</v>
      </c>
      <c r="W40" s="172" t="s">
        <v>13247</v>
      </c>
      <c r="X40" s="172"/>
      <c r="Y40" s="172"/>
      <c r="Z40" s="172"/>
      <c r="AA40" s="172"/>
      <c r="AB40" s="172"/>
      <c r="AC40" s="172"/>
      <c r="AD40" s="172"/>
      <c r="AE40" s="170" t="s">
        <v>683</v>
      </c>
      <c r="AF40" s="174">
        <v>3.472222222222222E-3</v>
      </c>
      <c r="AG40" s="1171"/>
      <c r="AH40" s="104"/>
      <c r="AI40" s="1172"/>
      <c r="AJ40" s="1172"/>
      <c r="AK40" s="1172"/>
      <c r="AL40" s="1173"/>
      <c r="AM40" s="1174"/>
      <c r="AN40" s="1175"/>
      <c r="AO40" s="1176"/>
      <c r="AP40" s="1177"/>
      <c r="AQ40" s="1547"/>
      <c r="AR40" s="1177"/>
      <c r="AS40" s="1548"/>
      <c r="AT40" s="1549"/>
      <c r="AU40" s="1178"/>
      <c r="AV40" s="1179"/>
      <c r="AY40" s="3">
        <v>1</v>
      </c>
    </row>
    <row r="41" spans="2:51" ht="27" customHeight="1">
      <c r="B41" s="104" t="s">
        <v>16</v>
      </c>
      <c r="C41" s="157" t="str">
        <f>C16</f>
        <v>É ÉPICES POUR BOUDIN | |  Author &gt; Guy KRENZE - Eric GODDYN - Arnaud NICOLAS - CEPROC 2002</v>
      </c>
      <c r="D41" s="157">
        <f>D16</f>
        <v>408</v>
      </c>
      <c r="E41" s="158" t="str">
        <f>E16</f>
        <v>g</v>
      </c>
      <c r="F41" s="159" t="str">
        <f>F16</f>
        <v>Master recipe ► le Boudin en 4 déclinaisons</v>
      </c>
      <c r="G41" s="172" t="s">
        <v>13076</v>
      </c>
      <c r="H41" s="172"/>
      <c r="I41" s="172"/>
      <c r="J41" s="172"/>
      <c r="K41" s="172"/>
      <c r="L41" s="172"/>
      <c r="M41" s="172"/>
      <c r="N41" s="172"/>
      <c r="O41" s="170" t="s">
        <v>182</v>
      </c>
      <c r="P41" s="175">
        <v>3.472222222222222E-3</v>
      </c>
      <c r="Q41" s="1171"/>
      <c r="R41" s="104" t="s">
        <v>16</v>
      </c>
      <c r="S41" s="157" t="str">
        <f>S16</f>
        <v>E ESPECIAS PARA MORCILLA | | Autor &gt; Guy KRENZE - Eric GODDYN - Arnaud NICOLAS - CEPROC 2002</v>
      </c>
      <c r="T41" s="157">
        <f>T16</f>
        <v>408</v>
      </c>
      <c r="U41" s="158" t="str">
        <f>U16</f>
        <v>g</v>
      </c>
      <c r="V41" s="159" t="str">
        <f>V16</f>
        <v>Receta madre ► Morcilla en 4 versiones</v>
      </c>
      <c r="W41" s="172" t="s">
        <v>13248</v>
      </c>
      <c r="X41" s="172"/>
      <c r="Y41" s="172"/>
      <c r="Z41" s="172"/>
      <c r="AA41" s="172"/>
      <c r="AB41" s="172"/>
      <c r="AC41" s="172"/>
      <c r="AD41" s="172"/>
      <c r="AE41" s="170" t="s">
        <v>911</v>
      </c>
      <c r="AF41" s="175">
        <v>3.472222222222222E-3</v>
      </c>
      <c r="AG41" s="1171"/>
      <c r="AH41" s="104"/>
      <c r="AI41" s="1172"/>
      <c r="AJ41" s="1172"/>
      <c r="AK41" s="1172"/>
      <c r="AL41" s="1173"/>
      <c r="AM41" s="1174"/>
      <c r="AN41" s="1175"/>
      <c r="AO41" s="1176"/>
      <c r="AP41" s="1177"/>
      <c r="AQ41" s="1547"/>
      <c r="AR41" s="1177"/>
      <c r="AS41" s="1548"/>
      <c r="AT41" s="1549"/>
      <c r="AU41" s="1178"/>
      <c r="AV41" s="1179"/>
      <c r="AY41" s="3">
        <v>1</v>
      </c>
    </row>
    <row r="42" spans="2:51" ht="27" customHeight="1">
      <c r="B42" s="104" t="s">
        <v>16</v>
      </c>
      <c r="C42" s="157" t="str">
        <f>C16</f>
        <v>É ÉPICES POUR BOUDIN | |  Author &gt; Guy KRENZE - Eric GODDYN - Arnaud NICOLAS - CEPROC 2002</v>
      </c>
      <c r="D42" s="157">
        <f>D16</f>
        <v>408</v>
      </c>
      <c r="E42" s="158" t="str">
        <f>E16</f>
        <v>g</v>
      </c>
      <c r="F42" s="159" t="str">
        <f>F16</f>
        <v>Master recipe ► le Boudin en 4 déclinaisons</v>
      </c>
      <c r="G42" s="172" t="s">
        <v>13074</v>
      </c>
      <c r="H42" s="172"/>
      <c r="I42" s="172"/>
      <c r="J42" s="172"/>
      <c r="K42" s="172"/>
      <c r="L42" s="172"/>
      <c r="M42" s="172"/>
      <c r="N42" s="172"/>
      <c r="O42" s="176" t="s">
        <v>183</v>
      </c>
      <c r="P42" s="177">
        <f>P39+P40+P41</f>
        <v>1.0416666666666666E-2</v>
      </c>
      <c r="Q42" s="1171"/>
      <c r="R42" s="104" t="s">
        <v>16</v>
      </c>
      <c r="S42" s="157" t="str">
        <f>S16</f>
        <v>E ESPECIAS PARA MORCILLA | | Autor &gt; Guy KRENZE - Eric GODDYN - Arnaud NICOLAS - CEPROC 2002</v>
      </c>
      <c r="T42" s="157">
        <f>T16</f>
        <v>408</v>
      </c>
      <c r="U42" s="158" t="str">
        <f>U16</f>
        <v>g</v>
      </c>
      <c r="V42" s="159" t="str">
        <f>V16</f>
        <v>Receta madre ► Morcilla en 4 versiones</v>
      </c>
      <c r="W42" s="172" t="s">
        <v>13249</v>
      </c>
      <c r="X42" s="172"/>
      <c r="Y42" s="172"/>
      <c r="Z42" s="172"/>
      <c r="AA42" s="172"/>
      <c r="AB42" s="172"/>
      <c r="AC42" s="172"/>
      <c r="AD42" s="172"/>
      <c r="AE42" s="176" t="s">
        <v>183</v>
      </c>
      <c r="AF42" s="177">
        <f>AF39+AF40+AF41</f>
        <v>1.0416666666666666E-2</v>
      </c>
      <c r="AG42" s="1171"/>
      <c r="AH42" s="104"/>
      <c r="AI42" s="1172"/>
      <c r="AJ42" s="1172"/>
      <c r="AK42" s="1172"/>
      <c r="AL42" s="1173"/>
      <c r="AM42" s="1174"/>
      <c r="AN42" s="1175"/>
      <c r="AO42" s="1176"/>
      <c r="AP42" s="1177"/>
      <c r="AQ42" s="1547"/>
      <c r="AR42" s="1177"/>
      <c r="AS42" s="1548"/>
      <c r="AT42" s="1549"/>
      <c r="AU42" s="1178"/>
      <c r="AV42" s="1179"/>
      <c r="AY42" s="3">
        <v>1</v>
      </c>
    </row>
    <row r="43" spans="2:51" ht="27" customHeight="1">
      <c r="B43" s="104" t="str">
        <f>IF(OR(G43&lt;&gt;"",H43&lt;&gt; "",I43&lt;&gt;"",J43&lt;&gt;""),"A", "►")</f>
        <v>A</v>
      </c>
      <c r="C43" s="157" t="str">
        <f>C16</f>
        <v>É ÉPICES POUR BOUDIN | |  Author &gt; Guy KRENZE - Eric GODDYN - Arnaud NICOLAS - CEPROC 2002</v>
      </c>
      <c r="D43" s="157">
        <f>D16</f>
        <v>408</v>
      </c>
      <c r="E43" s="158" t="str">
        <f>E16</f>
        <v>g</v>
      </c>
      <c r="F43" s="159" t="str">
        <f>F16</f>
        <v>Master recipe ► le Boudin en 4 déclinaisons</v>
      </c>
      <c r="G43" s="172" t="s">
        <v>13075</v>
      </c>
      <c r="H43" s="172"/>
      <c r="I43" s="172"/>
      <c r="J43" s="172"/>
      <c r="K43" s="172"/>
      <c r="L43" s="172"/>
      <c r="M43" s="172"/>
      <c r="N43" s="172"/>
      <c r="O43" s="172"/>
      <c r="P43" s="555"/>
      <c r="Q43" s="1171"/>
      <c r="R43" s="104" t="str">
        <f>IF(OR(W43&lt;&gt;"",X43&lt;&gt; "",Y43&lt;&gt;"",Z43&lt;&gt;""),"A", "►")</f>
        <v>A</v>
      </c>
      <c r="S43" s="157" t="str">
        <f>S16</f>
        <v>E ESPECIAS PARA MORCILLA | | Autor &gt; Guy KRENZE - Eric GODDYN - Arnaud NICOLAS - CEPROC 2002</v>
      </c>
      <c r="T43" s="157">
        <f>T16</f>
        <v>408</v>
      </c>
      <c r="U43" s="158" t="str">
        <f>U16</f>
        <v>g</v>
      </c>
      <c r="V43" s="159" t="str">
        <f>V16</f>
        <v>Receta madre ► Morcilla en 4 versiones</v>
      </c>
      <c r="W43" s="172" t="s">
        <v>13250</v>
      </c>
      <c r="X43" s="172"/>
      <c r="Y43" s="172"/>
      <c r="Z43" s="172"/>
      <c r="AA43" s="172"/>
      <c r="AB43" s="172"/>
      <c r="AC43" s="172"/>
      <c r="AD43" s="172"/>
      <c r="AE43" s="172"/>
      <c r="AF43" s="555"/>
      <c r="AG43" s="1171"/>
      <c r="AH43" s="104"/>
      <c r="AI43" s="1172"/>
      <c r="AJ43" s="1172"/>
      <c r="AK43" s="1172"/>
      <c r="AL43" s="1173"/>
      <c r="AM43" s="1174"/>
      <c r="AN43" s="1175"/>
      <c r="AO43" s="1176"/>
      <c r="AP43" s="1177"/>
      <c r="AQ43" s="1547"/>
      <c r="AR43" s="1177"/>
      <c r="AS43" s="1548"/>
      <c r="AT43" s="1549"/>
      <c r="AU43" s="1178"/>
      <c r="AV43" s="1179"/>
      <c r="AY43" s="3">
        <v>1</v>
      </c>
    </row>
    <row r="44" spans="2:51" ht="27" customHeight="1">
      <c r="B44" s="104" t="str">
        <f>IF(OR(G44&lt;&gt;"",H44&lt;&gt; "",I44&lt;&gt;"",J44&lt;&gt;""),"A", "►")</f>
        <v>A</v>
      </c>
      <c r="C44" s="157" t="str">
        <f>C16</f>
        <v>É ÉPICES POUR BOUDIN | |  Author &gt; Guy KRENZE - Eric GODDYN - Arnaud NICOLAS - CEPROC 2002</v>
      </c>
      <c r="D44" s="157">
        <f>D16</f>
        <v>408</v>
      </c>
      <c r="E44" s="158" t="str">
        <f>E16</f>
        <v>g</v>
      </c>
      <c r="F44" s="159" t="str">
        <f>F16</f>
        <v>Master recipe ► le Boudin en 4 déclinaisons</v>
      </c>
      <c r="G44" s="172" t="s">
        <v>13077</v>
      </c>
      <c r="H44" s="172"/>
      <c r="I44" s="172"/>
      <c r="J44" s="172"/>
      <c r="K44" s="172"/>
      <c r="L44" s="172"/>
      <c r="M44" s="172"/>
      <c r="N44" s="172"/>
      <c r="O44" s="172"/>
      <c r="P44" s="555"/>
      <c r="Q44" s="1171"/>
      <c r="R44" s="104" t="str">
        <f>IF(OR(W44&lt;&gt;"",X44&lt;&gt; "",Y44&lt;&gt;"",Z44&lt;&gt;""),"A", "►")</f>
        <v>A</v>
      </c>
      <c r="S44" s="157" t="str">
        <f>S16</f>
        <v>E ESPECIAS PARA MORCILLA | | Autor &gt; Guy KRENZE - Eric GODDYN - Arnaud NICOLAS - CEPROC 2002</v>
      </c>
      <c r="T44" s="157">
        <f>T16</f>
        <v>408</v>
      </c>
      <c r="U44" s="158" t="str">
        <f>U16</f>
        <v>g</v>
      </c>
      <c r="V44" s="159" t="str">
        <f>V16</f>
        <v>Receta madre ► Morcilla en 4 versiones</v>
      </c>
      <c r="W44" s="172" t="s">
        <v>13251</v>
      </c>
      <c r="X44" s="172"/>
      <c r="Y44" s="172"/>
      <c r="Z44" s="172"/>
      <c r="AA44" s="172"/>
      <c r="AB44" s="172"/>
      <c r="AC44" s="172"/>
      <c r="AD44" s="172"/>
      <c r="AE44" s="172"/>
      <c r="AF44" s="555"/>
      <c r="AG44" s="1171"/>
      <c r="AH44" s="104"/>
      <c r="AI44" s="1172"/>
      <c r="AJ44" s="1172"/>
      <c r="AK44" s="1172"/>
      <c r="AL44" s="1173"/>
      <c r="AM44" s="1174"/>
      <c r="AN44" s="1175"/>
      <c r="AO44" s="1176"/>
      <c r="AP44" s="1177"/>
      <c r="AQ44" s="1547"/>
      <c r="AR44" s="1177"/>
      <c r="AS44" s="1548"/>
      <c r="AT44" s="1549"/>
      <c r="AU44" s="1178"/>
      <c r="AV44" s="1179"/>
      <c r="AY44" s="3">
        <v>1</v>
      </c>
    </row>
    <row r="45" spans="2:51" ht="27" customHeight="1">
      <c r="B45" s="104" t="str">
        <f>IF(OR(G45&lt;&gt;"",H45&lt;&gt; "",I45&lt;&gt;"",J45&lt;&gt;""),"A", "►")</f>
        <v>A</v>
      </c>
      <c r="C45" s="157" t="str">
        <f>C16</f>
        <v>É ÉPICES POUR BOUDIN | |  Author &gt; Guy KRENZE - Eric GODDYN - Arnaud NICOLAS - CEPROC 2002</v>
      </c>
      <c r="D45" s="157">
        <f>D16</f>
        <v>408</v>
      </c>
      <c r="E45" s="158" t="str">
        <f>E16</f>
        <v>g</v>
      </c>
      <c r="F45" s="159" t="str">
        <f>F16</f>
        <v>Master recipe ► le Boudin en 4 déclinaisons</v>
      </c>
      <c r="G45" s="172" t="s">
        <v>13078</v>
      </c>
      <c r="H45" s="172"/>
      <c r="I45" s="172"/>
      <c r="J45" s="172"/>
      <c r="K45" s="172"/>
      <c r="L45" s="172"/>
      <c r="M45" s="172"/>
      <c r="N45" s="172"/>
      <c r="O45" s="172"/>
      <c r="P45" s="555"/>
      <c r="Q45" s="1171"/>
      <c r="R45" s="104" t="str">
        <f>IF(OR(W45&lt;&gt;"",X45&lt;&gt; "",Y45&lt;&gt;"",Z45&lt;&gt;""),"A", "►")</f>
        <v>A</v>
      </c>
      <c r="S45" s="157" t="str">
        <f>S16</f>
        <v>E ESPECIAS PARA MORCILLA | | Autor &gt; Guy KRENZE - Eric GODDYN - Arnaud NICOLAS - CEPROC 2002</v>
      </c>
      <c r="T45" s="157">
        <f>T16</f>
        <v>408</v>
      </c>
      <c r="U45" s="158" t="str">
        <f>U16</f>
        <v>g</v>
      </c>
      <c r="V45" s="159" t="str">
        <f>V16</f>
        <v>Receta madre ► Morcilla en 4 versiones</v>
      </c>
      <c r="W45" s="172" t="s">
        <v>13252</v>
      </c>
      <c r="X45" s="172"/>
      <c r="Y45" s="172"/>
      <c r="Z45" s="172"/>
      <c r="AA45" s="172"/>
      <c r="AB45" s="172"/>
      <c r="AC45" s="172"/>
      <c r="AD45" s="172"/>
      <c r="AE45" s="172"/>
      <c r="AF45" s="555"/>
      <c r="AG45" s="1171"/>
      <c r="AH45" s="104"/>
      <c r="AI45" s="1172"/>
      <c r="AJ45" s="1172"/>
      <c r="AK45" s="1172"/>
      <c r="AL45" s="1173"/>
      <c r="AM45" s="1174"/>
      <c r="AN45" s="1175"/>
      <c r="AO45" s="1176"/>
      <c r="AP45" s="1177"/>
      <c r="AQ45" s="1547"/>
      <c r="AR45" s="1177"/>
      <c r="AS45" s="1548"/>
      <c r="AT45" s="1549"/>
      <c r="AU45" s="1178"/>
      <c r="AV45" s="1179"/>
      <c r="AY45" s="3">
        <v>1</v>
      </c>
    </row>
    <row r="46" spans="2:51" ht="27" customHeight="1">
      <c r="B46" s="104" t="str">
        <f>IF(OR(G46&lt;&gt;"",H46&lt;&gt; "",I46&lt;&gt;"",J46&lt;&gt;""),"A", "►")</f>
        <v>►</v>
      </c>
      <c r="C46" s="157" t="str">
        <f>C16</f>
        <v>É ÉPICES POUR BOUDIN | |  Author &gt; Guy KRENZE - Eric GODDYN - Arnaud NICOLAS - CEPROC 2002</v>
      </c>
      <c r="D46" s="157">
        <f>D16</f>
        <v>408</v>
      </c>
      <c r="E46" s="158" t="str">
        <f>E16</f>
        <v>g</v>
      </c>
      <c r="F46" s="159" t="str">
        <f>F16</f>
        <v>Master recipe ► le Boudin en 4 déclinaisons</v>
      </c>
      <c r="G46" s="172"/>
      <c r="H46" s="172"/>
      <c r="I46" s="172"/>
      <c r="J46" s="172"/>
      <c r="K46" s="172"/>
      <c r="L46" s="172"/>
      <c r="M46" s="172"/>
      <c r="N46" s="172"/>
      <c r="O46" s="172"/>
      <c r="P46" s="555"/>
      <c r="Q46" s="1171"/>
      <c r="R46" s="104" t="str">
        <f>IF(OR(W46&lt;&gt;"",X46&lt;&gt; "",Y46&lt;&gt;"",Z46&lt;&gt;""),"A", "►")</f>
        <v>►</v>
      </c>
      <c r="S46" s="157" t="str">
        <f>S16</f>
        <v>E ESPECIAS PARA MORCILLA | | Autor &gt; Guy KRENZE - Eric GODDYN - Arnaud NICOLAS - CEPROC 2002</v>
      </c>
      <c r="T46" s="157">
        <f>T16</f>
        <v>408</v>
      </c>
      <c r="U46" s="158" t="str">
        <f>U16</f>
        <v>g</v>
      </c>
      <c r="V46" s="159" t="str">
        <f>V16</f>
        <v>Receta madre ► Morcilla en 4 versiones</v>
      </c>
      <c r="W46" s="172"/>
      <c r="X46" s="172"/>
      <c r="Y46" s="172"/>
      <c r="Z46" s="172"/>
      <c r="AA46" s="172"/>
      <c r="AB46" s="172"/>
      <c r="AC46" s="172"/>
      <c r="AD46" s="172"/>
      <c r="AE46" s="172"/>
      <c r="AF46" s="555"/>
      <c r="AG46" s="1171"/>
      <c r="AH46" s="104"/>
      <c r="AI46" s="1172"/>
      <c r="AJ46" s="1172"/>
      <c r="AK46" s="1172"/>
      <c r="AL46" s="1173"/>
      <c r="AM46" s="1174"/>
      <c r="AN46" s="1175"/>
      <c r="AO46" s="1176"/>
      <c r="AP46" s="1177"/>
      <c r="AQ46" s="1547"/>
      <c r="AR46" s="1177"/>
      <c r="AS46" s="1548"/>
      <c r="AT46" s="1549"/>
      <c r="AU46" s="1178"/>
      <c r="AV46" s="1179"/>
      <c r="AY46" s="3">
        <v>1</v>
      </c>
    </row>
    <row r="47" spans="2:51" ht="27" customHeight="1">
      <c r="B47" s="104" t="str">
        <f>IF(OR(G47&lt;&gt;"",H47&lt;&gt; "",I47&lt;&gt;"",J47&lt;&gt;""),"A", "►")</f>
        <v>►</v>
      </c>
      <c r="C47" s="157" t="str">
        <f>C16</f>
        <v>É ÉPICES POUR BOUDIN | |  Author &gt; Guy KRENZE - Eric GODDYN - Arnaud NICOLAS - CEPROC 2002</v>
      </c>
      <c r="D47" s="157">
        <f>D16</f>
        <v>408</v>
      </c>
      <c r="E47" s="158" t="str">
        <f>E16</f>
        <v>g</v>
      </c>
      <c r="F47" s="159" t="str">
        <f>F16</f>
        <v>Master recipe ► le Boudin en 4 déclinaisons</v>
      </c>
      <c r="G47" s="172"/>
      <c r="H47" s="172"/>
      <c r="I47" s="172"/>
      <c r="J47" s="172"/>
      <c r="K47" s="172"/>
      <c r="L47" s="172"/>
      <c r="M47" s="172"/>
      <c r="N47" s="172"/>
      <c r="O47" s="172"/>
      <c r="P47" s="555"/>
      <c r="Q47" s="1171"/>
      <c r="R47" s="104" t="str">
        <f>IF(OR(W47&lt;&gt;"",X47&lt;&gt; "",Y47&lt;&gt;"",Z47&lt;&gt;""),"A", "►")</f>
        <v>►</v>
      </c>
      <c r="S47" s="157" t="str">
        <f>S16</f>
        <v>E ESPECIAS PARA MORCILLA | | Autor &gt; Guy KRENZE - Eric GODDYN - Arnaud NICOLAS - CEPROC 2002</v>
      </c>
      <c r="T47" s="157">
        <f>T16</f>
        <v>408</v>
      </c>
      <c r="U47" s="158" t="str">
        <f>U16</f>
        <v>g</v>
      </c>
      <c r="V47" s="159" t="str">
        <f>V16</f>
        <v>Receta madre ► Morcilla en 4 versiones</v>
      </c>
      <c r="W47" s="172"/>
      <c r="X47" s="172"/>
      <c r="Y47" s="172"/>
      <c r="Z47" s="172"/>
      <c r="AA47" s="172"/>
      <c r="AB47" s="172"/>
      <c r="AC47" s="172"/>
      <c r="AD47" s="172"/>
      <c r="AE47" s="172"/>
      <c r="AF47" s="555"/>
      <c r="AG47" s="1171"/>
      <c r="AH47" s="104"/>
      <c r="AI47" s="1172"/>
      <c r="AJ47" s="1172"/>
      <c r="AK47" s="1172"/>
      <c r="AL47" s="1173"/>
      <c r="AM47" s="1174"/>
      <c r="AN47" s="1175"/>
      <c r="AO47" s="1176"/>
      <c r="AP47" s="1177"/>
      <c r="AQ47" s="1547"/>
      <c r="AR47" s="1177"/>
      <c r="AS47" s="1548"/>
      <c r="AT47" s="1549"/>
      <c r="AU47" s="1178"/>
      <c r="AV47" s="1179"/>
      <c r="AY47" s="3">
        <v>1</v>
      </c>
    </row>
    <row r="48" spans="2:51" ht="27" customHeight="1">
      <c r="B48" s="196" t="s">
        <v>16</v>
      </c>
      <c r="C48" s="157" t="str">
        <f>C16</f>
        <v>É ÉPICES POUR BOUDIN | |  Author &gt; Guy KRENZE - Eric GODDYN - Arnaud NICOLAS - CEPROC 2002</v>
      </c>
      <c r="D48" s="157">
        <f>D16</f>
        <v>408</v>
      </c>
      <c r="E48" s="158" t="str">
        <f>E16</f>
        <v>g</v>
      </c>
      <c r="F48" s="159" t="str">
        <f>F16</f>
        <v>Master recipe ► le Boudin en 4 déclinaisons</v>
      </c>
      <c r="G48" s="172"/>
      <c r="H48" s="172"/>
      <c r="I48" s="172"/>
      <c r="J48" s="172"/>
      <c r="K48" s="172"/>
      <c r="L48" s="172"/>
      <c r="M48" s="172"/>
      <c r="N48" s="172"/>
      <c r="O48" s="172"/>
      <c r="P48" s="555"/>
      <c r="Q48" s="1171"/>
      <c r="R48" s="196" t="s">
        <v>16</v>
      </c>
      <c r="S48" s="157" t="str">
        <f>S16</f>
        <v>E ESPECIAS PARA MORCILLA | | Autor &gt; Guy KRENZE - Eric GODDYN - Arnaud NICOLAS - CEPROC 2002</v>
      </c>
      <c r="T48" s="157">
        <f>T16</f>
        <v>408</v>
      </c>
      <c r="U48" s="158" t="str">
        <f>U16</f>
        <v>g</v>
      </c>
      <c r="V48" s="159" t="str">
        <f>V16</f>
        <v>Receta madre ► Morcilla en 4 versiones</v>
      </c>
      <c r="W48" s="172"/>
      <c r="X48" s="172"/>
      <c r="Y48" s="172"/>
      <c r="Z48" s="172"/>
      <c r="AA48" s="172"/>
      <c r="AB48" s="172"/>
      <c r="AC48" s="172"/>
      <c r="AD48" s="172"/>
      <c r="AE48" s="172"/>
      <c r="AF48" s="555"/>
      <c r="AG48" s="1171"/>
      <c r="AH48" s="104"/>
      <c r="AI48" s="1172"/>
      <c r="AJ48" s="1172"/>
      <c r="AK48" s="1172"/>
      <c r="AL48" s="1173"/>
      <c r="AM48" s="1174"/>
      <c r="AN48" s="1175"/>
      <c r="AO48" s="1176"/>
      <c r="AP48" s="1177"/>
      <c r="AQ48" s="1547"/>
      <c r="AR48" s="1177"/>
      <c r="AS48" s="1548"/>
      <c r="AT48" s="1549"/>
      <c r="AU48" s="1178"/>
      <c r="AV48" s="1179"/>
      <c r="AY48" s="3">
        <v>1</v>
      </c>
    </row>
    <row r="49" spans="2:51" ht="27" customHeight="1">
      <c r="B49" s="196" t="s">
        <v>11</v>
      </c>
      <c r="C49" s="157" t="str">
        <f>C16</f>
        <v>É ÉPICES POUR BOUDIN | |  Author &gt; Guy KRENZE - Eric GODDYN - Arnaud NICOLAS - CEPROC 2002</v>
      </c>
      <c r="D49" s="157">
        <f>D16</f>
        <v>408</v>
      </c>
      <c r="E49" s="158" t="str">
        <f>E16</f>
        <v>g</v>
      </c>
      <c r="F49" s="159" t="str">
        <f>F16</f>
        <v>Master recipe ► le Boudin en 4 déclinaisons</v>
      </c>
      <c r="G49" s="172"/>
      <c r="H49" s="172"/>
      <c r="I49" s="172"/>
      <c r="J49" s="172"/>
      <c r="K49" s="172"/>
      <c r="L49" s="172"/>
      <c r="M49" s="172"/>
      <c r="N49" s="172"/>
      <c r="O49" s="172"/>
      <c r="P49" s="555"/>
      <c r="Q49" s="1171"/>
      <c r="R49" s="196" t="s">
        <v>11</v>
      </c>
      <c r="S49" s="157" t="str">
        <f>S16</f>
        <v>E ESPECIAS PARA MORCILLA | | Autor &gt; Guy KRENZE - Eric GODDYN - Arnaud NICOLAS - CEPROC 2002</v>
      </c>
      <c r="T49" s="157">
        <f>T16</f>
        <v>408</v>
      </c>
      <c r="U49" s="158" t="str">
        <f>U16</f>
        <v>g</v>
      </c>
      <c r="V49" s="159" t="str">
        <f>V16</f>
        <v>Receta madre ► Morcilla en 4 versiones</v>
      </c>
      <c r="W49" s="172"/>
      <c r="X49" s="172"/>
      <c r="Y49" s="172"/>
      <c r="Z49" s="172"/>
      <c r="AA49" s="172"/>
      <c r="AB49" s="172"/>
      <c r="AC49" s="172"/>
      <c r="AD49" s="172"/>
      <c r="AE49" s="172"/>
      <c r="AF49" s="555"/>
      <c r="AG49" s="1171"/>
      <c r="AH49" s="104"/>
      <c r="AI49" s="1172"/>
      <c r="AJ49" s="1172"/>
      <c r="AK49" s="1172"/>
      <c r="AL49" s="1173"/>
      <c r="AM49" s="1174"/>
      <c r="AN49" s="1175"/>
      <c r="AO49" s="1176"/>
      <c r="AP49" s="1177"/>
      <c r="AQ49" s="1547"/>
      <c r="AR49" s="1177"/>
      <c r="AS49" s="1548"/>
      <c r="AT49" s="1549"/>
      <c r="AU49" s="1178"/>
      <c r="AV49" s="1179"/>
      <c r="AY49" s="3">
        <v>1</v>
      </c>
    </row>
    <row r="50" spans="2:51" ht="27" customHeight="1">
      <c r="B50" s="196" t="s">
        <v>11</v>
      </c>
      <c r="C50" s="157" t="str">
        <f>C16</f>
        <v>É ÉPICES POUR BOUDIN | |  Author &gt; Guy KRENZE - Eric GODDYN - Arnaud NICOLAS - CEPROC 2002</v>
      </c>
      <c r="D50" s="157">
        <f>D16</f>
        <v>408</v>
      </c>
      <c r="E50" s="158" t="str">
        <f>E16</f>
        <v>g</v>
      </c>
      <c r="F50" s="159" t="str">
        <f>F16</f>
        <v>Master recipe ► le Boudin en 4 déclinaisons</v>
      </c>
      <c r="G50" s="172"/>
      <c r="H50" s="172"/>
      <c r="I50" s="172"/>
      <c r="J50" s="172"/>
      <c r="K50" s="172"/>
      <c r="L50" s="172"/>
      <c r="M50" s="172"/>
      <c r="N50" s="172"/>
      <c r="O50" s="172"/>
      <c r="P50" s="1486" t="s">
        <v>197</v>
      </c>
      <c r="Q50" s="1171"/>
      <c r="R50" s="196" t="s">
        <v>11</v>
      </c>
      <c r="S50" s="157" t="str">
        <f>S16</f>
        <v>E ESPECIAS PARA MORCILLA | | Autor &gt; Guy KRENZE - Eric GODDYN - Arnaud NICOLAS - CEPROC 2002</v>
      </c>
      <c r="T50" s="157">
        <f>T16</f>
        <v>408</v>
      </c>
      <c r="U50" s="158" t="str">
        <f>U16</f>
        <v>g</v>
      </c>
      <c r="V50" s="159" t="str">
        <f>V16</f>
        <v>Receta madre ► Morcilla en 4 versiones</v>
      </c>
      <c r="W50" s="172"/>
      <c r="X50" s="172"/>
      <c r="Y50" s="172"/>
      <c r="Z50" s="172"/>
      <c r="AA50" s="172"/>
      <c r="AB50" s="172"/>
      <c r="AC50" s="172"/>
      <c r="AD50" s="172"/>
      <c r="AE50" s="172"/>
      <c r="AF50" s="1486" t="s">
        <v>913</v>
      </c>
      <c r="AG50" s="1171"/>
      <c r="AH50" s="104"/>
      <c r="AI50" s="1172"/>
      <c r="AJ50" s="1172"/>
      <c r="AK50" s="1172"/>
      <c r="AL50" s="1173"/>
      <c r="AM50" s="1174"/>
      <c r="AN50" s="1175"/>
      <c r="AO50" s="1176"/>
      <c r="AP50" s="1177"/>
      <c r="AQ50" s="1547"/>
      <c r="AR50" s="1177"/>
      <c r="AS50" s="1548"/>
      <c r="AT50" s="1549"/>
      <c r="AU50" s="1178"/>
      <c r="AV50" s="1179"/>
      <c r="AY50" s="3">
        <v>1</v>
      </c>
    </row>
    <row r="51" spans="2:51" ht="27" customHeight="1">
      <c r="B51" s="196" t="s">
        <v>11</v>
      </c>
      <c r="C51" s="157" t="str">
        <f>C16</f>
        <v>É ÉPICES POUR BOUDIN | |  Author &gt; Guy KRENZE - Eric GODDYN - Arnaud NICOLAS - CEPROC 2002</v>
      </c>
      <c r="D51" s="157">
        <f>D16</f>
        <v>408</v>
      </c>
      <c r="E51" s="158" t="str">
        <f>E16</f>
        <v>g</v>
      </c>
      <c r="F51" s="159" t="str">
        <f>F16</f>
        <v>Master recipe ► le Boudin en 4 déclinaisons</v>
      </c>
      <c r="G51" s="204"/>
      <c r="H51" s="204"/>
      <c r="I51" s="204" t="s">
        <v>201</v>
      </c>
      <c r="J51" s="205"/>
      <c r="K51" s="206"/>
      <c r="L51" s="206"/>
      <c r="M51" s="206"/>
      <c r="N51" s="206"/>
      <c r="O51" s="206"/>
      <c r="P51" s="567"/>
      <c r="Q51" s="1171"/>
      <c r="R51" s="196" t="s">
        <v>11</v>
      </c>
      <c r="S51" s="157" t="str">
        <f>S16</f>
        <v>E ESPECIAS PARA MORCILLA | | Autor &gt; Guy KRENZE - Eric GODDYN - Arnaud NICOLAS - CEPROC 2002</v>
      </c>
      <c r="T51" s="157">
        <f>T16</f>
        <v>408</v>
      </c>
      <c r="U51" s="158" t="str">
        <f>U16</f>
        <v>g</v>
      </c>
      <c r="V51" s="159" t="str">
        <f>V16</f>
        <v>Receta madre ► Morcilla en 4 versiones</v>
      </c>
      <c r="W51" s="204"/>
      <c r="X51" s="204"/>
      <c r="Y51" s="204" t="s">
        <v>915</v>
      </c>
      <c r="Z51" s="205"/>
      <c r="AA51" s="206"/>
      <c r="AB51" s="206"/>
      <c r="AC51" s="206"/>
      <c r="AD51" s="206"/>
      <c r="AE51" s="206"/>
      <c r="AF51" s="567"/>
      <c r="AG51" s="1171"/>
      <c r="AH51" s="104"/>
      <c r="AI51" s="1172"/>
      <c r="AJ51" s="1172"/>
      <c r="AK51" s="1172"/>
      <c r="AL51" s="1173"/>
      <c r="AM51" s="1174"/>
      <c r="AN51" s="1175"/>
      <c r="AO51" s="1176"/>
      <c r="AP51" s="1177"/>
      <c r="AQ51" s="1547"/>
      <c r="AR51" s="1177"/>
      <c r="AS51" s="1548"/>
      <c r="AT51" s="1549"/>
      <c r="AU51" s="1178"/>
      <c r="AV51" s="1179"/>
      <c r="AY51" s="3">
        <v>1</v>
      </c>
    </row>
    <row r="52" spans="2:51" ht="27" customHeight="1">
      <c r="B52" s="196" t="s">
        <v>11</v>
      </c>
      <c r="C52" s="209" t="str">
        <f>C16</f>
        <v>É ÉPICES POUR BOUDIN | |  Author &gt; Guy KRENZE - Eric GODDYN - Arnaud NICOLAS - CEPROC 2002</v>
      </c>
      <c r="D52" s="209">
        <f>D16</f>
        <v>408</v>
      </c>
      <c r="E52" s="210" t="str">
        <f>E16</f>
        <v>g</v>
      </c>
      <c r="F52" s="211" t="str">
        <f>F16</f>
        <v>Master recipe ► le Boudin en 4 déclinaisons</v>
      </c>
      <c r="G52" s="212"/>
      <c r="H52" s="213"/>
      <c r="I52" s="214"/>
      <c r="J52" s="215"/>
      <c r="K52" s="214"/>
      <c r="L52" s="214"/>
      <c r="M52" s="214"/>
      <c r="N52" s="214"/>
      <c r="O52" s="214"/>
      <c r="P52" s="582"/>
      <c r="Q52" s="1171"/>
      <c r="R52" s="196" t="s">
        <v>11</v>
      </c>
      <c r="S52" s="209" t="str">
        <f>S16</f>
        <v>E ESPECIAS PARA MORCILLA | | Autor &gt; Guy KRENZE - Eric GODDYN - Arnaud NICOLAS - CEPROC 2002</v>
      </c>
      <c r="T52" s="209">
        <f>T16</f>
        <v>408</v>
      </c>
      <c r="U52" s="210" t="str">
        <f>U16</f>
        <v>g</v>
      </c>
      <c r="V52" s="211" t="str">
        <f>V16</f>
        <v>Receta madre ► Morcilla en 4 versiones</v>
      </c>
      <c r="W52" s="212"/>
      <c r="X52" s="213"/>
      <c r="Y52" s="214"/>
      <c r="Z52" s="215"/>
      <c r="AA52" s="214"/>
      <c r="AB52" s="214"/>
      <c r="AC52" s="214"/>
      <c r="AD52" s="214"/>
      <c r="AE52" s="214"/>
      <c r="AF52" s="582"/>
      <c r="AG52" s="1171"/>
      <c r="AH52" s="104"/>
      <c r="AI52" s="1172"/>
      <c r="AJ52" s="1172"/>
      <c r="AK52" s="1172"/>
      <c r="AL52" s="1173"/>
      <c r="AM52" s="1174"/>
      <c r="AN52" s="1175"/>
      <c r="AO52" s="1176"/>
      <c r="AP52" s="1177"/>
      <c r="AQ52" s="1547"/>
      <c r="AR52" s="1177"/>
      <c r="AS52" s="1548"/>
      <c r="AT52" s="1549"/>
      <c r="AU52" s="1178"/>
      <c r="AV52" s="1179"/>
      <c r="AY52" s="3">
        <v>1</v>
      </c>
    </row>
    <row r="53" spans="2:51" ht="27" customHeight="1" thickBot="1">
      <c r="B53" s="216" t="s">
        <v>11</v>
      </c>
      <c r="C53" s="217"/>
      <c r="D53" s="217"/>
      <c r="E53" s="217"/>
      <c r="F53" s="218"/>
      <c r="G53" s="219" t="s">
        <v>208</v>
      </c>
      <c r="H53" s="1481" t="str">
        <f ca="1">CELL("nomfichier")</f>
        <v>D:\Données\1.UPRT\0-UPRT.fait\1-UPRT.FR-SITE-WEB\ff-fiches-fabrications\ff.fiches.fabrication.2023\ffr.restaurant.2023\[ff.FICHE.TRILINGUE.15.COLONNES.29.11.2025.xlsx]Notice.utilisateur</v>
      </c>
      <c r="I53" s="220"/>
      <c r="J53" s="220"/>
      <c r="K53" s="220"/>
      <c r="L53" s="220"/>
      <c r="M53" s="220"/>
      <c r="N53" s="220"/>
      <c r="O53" s="220"/>
      <c r="P53" s="221"/>
      <c r="Q53" s="1171"/>
      <c r="R53" s="216" t="s">
        <v>11</v>
      </c>
      <c r="S53" s="217"/>
      <c r="T53" s="217"/>
      <c r="U53" s="217"/>
      <c r="V53" s="218"/>
      <c r="W53" s="219" t="s">
        <v>208</v>
      </c>
      <c r="X53" s="1481" t="str">
        <f ca="1">CELL("nomfichier")</f>
        <v>D:\Données\1.UPRT\0-UPRT.fait\1-UPRT.FR-SITE-WEB\ff-fiches-fabrications\ff.fiches.fabrication.2023\ffr.restaurant.2023\[ff.FICHE.TRILINGUE.15.COLONNES.29.11.2025.xlsx]Notice.utilisateur</v>
      </c>
      <c r="Y53" s="220"/>
      <c r="Z53" s="220"/>
      <c r="AA53" s="220"/>
      <c r="AB53" s="220"/>
      <c r="AC53" s="220"/>
      <c r="AD53" s="220"/>
      <c r="AE53" s="220"/>
      <c r="AF53" s="221"/>
      <c r="AG53" s="1171"/>
      <c r="AH53" s="104"/>
      <c r="AI53" s="1172"/>
      <c r="AJ53" s="1172"/>
      <c r="AK53" s="1172"/>
      <c r="AL53" s="1173"/>
      <c r="AM53" s="1174"/>
      <c r="AN53" s="1175"/>
      <c r="AO53" s="1176"/>
      <c r="AP53" s="1177"/>
      <c r="AQ53" s="1547"/>
      <c r="AR53" s="1177"/>
      <c r="AS53" s="1548"/>
      <c r="AT53" s="1549"/>
      <c r="AU53" s="1178"/>
      <c r="AV53" s="1179"/>
      <c r="AY53" s="3">
        <v>1</v>
      </c>
    </row>
    <row r="54" spans="2:51" ht="27" customHeight="1" thickBot="1">
      <c r="B54" s="1478" t="s">
        <v>11</v>
      </c>
      <c r="C54" s="1479" t="s">
        <v>11</v>
      </c>
      <c r="D54" s="1479" t="s">
        <v>11</v>
      </c>
      <c r="E54" s="1479" t="s">
        <v>11</v>
      </c>
      <c r="F54" s="1479" t="s">
        <v>11</v>
      </c>
      <c r="G54" s="1480" t="s">
        <v>2613</v>
      </c>
      <c r="H54" s="1140"/>
      <c r="I54" s="1141"/>
      <c r="J54" s="1142"/>
      <c r="K54" s="1143"/>
      <c r="L54" s="1144"/>
      <c r="M54" s="1145"/>
      <c r="N54" s="1145"/>
      <c r="O54" s="1146"/>
      <c r="P54" s="1147"/>
      <c r="Q54" s="1171"/>
      <c r="R54" s="104"/>
      <c r="S54" s="1172"/>
      <c r="T54" s="1172"/>
      <c r="U54" s="1172"/>
      <c r="V54" s="1173"/>
      <c r="W54" s="1174"/>
      <c r="X54" s="1175"/>
      <c r="Y54" s="1176"/>
      <c r="Z54" s="1177"/>
      <c r="AA54" s="1547"/>
      <c r="AB54" s="1177"/>
      <c r="AC54" s="1548"/>
      <c r="AD54" s="1549"/>
      <c r="AE54" s="1178"/>
      <c r="AF54" s="1179"/>
      <c r="AG54" s="1171"/>
      <c r="AH54" s="104"/>
      <c r="AI54" s="1172"/>
      <c r="AJ54" s="1172"/>
      <c r="AK54" s="1172"/>
      <c r="AL54" s="1173"/>
      <c r="AM54" s="1174"/>
      <c r="AN54" s="1175"/>
      <c r="AO54" s="1176"/>
      <c r="AP54" s="1177"/>
      <c r="AQ54" s="1547"/>
      <c r="AR54" s="1177"/>
      <c r="AS54" s="1548"/>
      <c r="AT54" s="1549"/>
      <c r="AU54" s="1178"/>
      <c r="AV54" s="1179"/>
      <c r="AY54" s="3">
        <v>1</v>
      </c>
    </row>
    <row r="55" spans="2:51" ht="27" customHeight="1">
      <c r="B55" s="104"/>
      <c r="C55" s="1172"/>
      <c r="D55" s="1172"/>
      <c r="E55" s="1172"/>
      <c r="F55" s="1173"/>
      <c r="G55" s="1174"/>
      <c r="H55" s="1175"/>
      <c r="I55" s="1176"/>
      <c r="J55" s="1177"/>
      <c r="K55" s="1547"/>
      <c r="L55" s="1177"/>
      <c r="M55" s="1548"/>
      <c r="N55" s="1549"/>
      <c r="O55" s="1178"/>
      <c r="P55" s="1179"/>
      <c r="Q55" s="1171"/>
      <c r="R55" s="104"/>
      <c r="S55" s="1172"/>
      <c r="T55" s="1172"/>
      <c r="U55" s="1172"/>
      <c r="V55" s="1173"/>
      <c r="W55" s="1174"/>
      <c r="X55" s="1175"/>
      <c r="Y55" s="1176"/>
      <c r="Z55" s="1177"/>
      <c r="AA55" s="1547"/>
      <c r="AB55" s="1177"/>
      <c r="AC55" s="1548"/>
      <c r="AD55" s="1549"/>
      <c r="AE55" s="1178"/>
      <c r="AF55" s="1179"/>
      <c r="AG55" s="1171"/>
      <c r="AH55" s="104"/>
      <c r="AI55" s="1172"/>
      <c r="AJ55" s="1172"/>
      <c r="AK55" s="1172"/>
      <c r="AL55" s="1173"/>
      <c r="AM55" s="1174"/>
      <c r="AN55" s="1175"/>
      <c r="AO55" s="1176"/>
      <c r="AP55" s="1177"/>
      <c r="AQ55" s="1547"/>
      <c r="AR55" s="1177"/>
      <c r="AS55" s="1548"/>
      <c r="AT55" s="1549"/>
      <c r="AU55" s="1178"/>
      <c r="AV55" s="1179"/>
      <c r="AY55" s="3">
        <v>1</v>
      </c>
    </row>
    <row r="56" spans="2:51" ht="27" customHeight="1">
      <c r="B56" s="104"/>
      <c r="C56" s="1172"/>
      <c r="D56" s="1172"/>
      <c r="E56" s="1172"/>
      <c r="F56" s="1173"/>
      <c r="G56" s="1174"/>
      <c r="H56" s="1175"/>
      <c r="I56" s="1176"/>
      <c r="J56" s="1177"/>
      <c r="K56" s="1547"/>
      <c r="L56" s="1177"/>
      <c r="M56" s="1548"/>
      <c r="N56" s="1549"/>
      <c r="O56" s="1178"/>
      <c r="P56" s="1179"/>
      <c r="Q56" s="1171"/>
      <c r="R56" s="104"/>
      <c r="S56" s="1172"/>
      <c r="T56" s="1172"/>
      <c r="U56" s="1172"/>
      <c r="V56" s="1173"/>
      <c r="W56" s="1174"/>
      <c r="X56" s="1175"/>
      <c r="Y56" s="1176"/>
      <c r="Z56" s="1177"/>
      <c r="AA56" s="1547"/>
      <c r="AB56" s="1177"/>
      <c r="AC56" s="1548"/>
      <c r="AD56" s="1549"/>
      <c r="AE56" s="1178"/>
      <c r="AF56" s="1179"/>
      <c r="AG56" s="1171"/>
      <c r="AH56" s="104"/>
      <c r="AI56" s="1172"/>
      <c r="AJ56" s="1172"/>
      <c r="AK56" s="1172"/>
      <c r="AL56" s="1173"/>
      <c r="AM56" s="1174"/>
      <c r="AN56" s="1175"/>
      <c r="AO56" s="1176"/>
      <c r="AP56" s="1177"/>
      <c r="AQ56" s="1547"/>
      <c r="AR56" s="1177"/>
      <c r="AS56" s="1548"/>
      <c r="AT56" s="1549"/>
      <c r="AU56" s="1178"/>
      <c r="AV56" s="1179"/>
      <c r="AY56" s="3">
        <v>1</v>
      </c>
    </row>
    <row r="57" spans="2:51" ht="27" customHeight="1">
      <c r="B57" s="104"/>
      <c r="C57" s="1172"/>
      <c r="D57" s="1172"/>
      <c r="E57" s="1172"/>
      <c r="F57" s="1173"/>
      <c r="G57" s="1174"/>
      <c r="H57" s="1175"/>
      <c r="I57" s="1176"/>
      <c r="J57" s="1177"/>
      <c r="K57" s="1547"/>
      <c r="L57" s="1177"/>
      <c r="M57" s="1548"/>
      <c r="N57" s="1549"/>
      <c r="O57" s="1178"/>
      <c r="P57" s="1179"/>
      <c r="Q57" s="1171"/>
      <c r="R57" s="104"/>
      <c r="S57" s="1172"/>
      <c r="T57" s="1172"/>
      <c r="U57" s="1172"/>
      <c r="V57" s="1173"/>
      <c r="W57" s="1174"/>
      <c r="X57" s="1175"/>
      <c r="Y57" s="1176"/>
      <c r="Z57" s="1177"/>
      <c r="AA57" s="1547"/>
      <c r="AB57" s="1177"/>
      <c r="AC57" s="1548"/>
      <c r="AD57" s="1549"/>
      <c r="AE57" s="1178"/>
      <c r="AF57" s="1179"/>
      <c r="AG57" s="1171"/>
      <c r="AH57" s="104"/>
      <c r="AI57" s="1172"/>
      <c r="AJ57" s="1172"/>
      <c r="AK57" s="1172"/>
      <c r="AL57" s="1173"/>
      <c r="AM57" s="1174"/>
      <c r="AN57" s="1175"/>
      <c r="AO57" s="1176"/>
      <c r="AP57" s="1177"/>
      <c r="AQ57" s="1547"/>
      <c r="AR57" s="1177"/>
      <c r="AS57" s="1548"/>
      <c r="AT57" s="1549"/>
      <c r="AU57" s="1178"/>
      <c r="AV57" s="1179"/>
      <c r="AY57" s="3">
        <v>1</v>
      </c>
    </row>
    <row r="58" spans="2:51" ht="27" customHeight="1">
      <c r="B58" s="104"/>
      <c r="C58" s="1172"/>
      <c r="D58" s="1172"/>
      <c r="E58" s="1172"/>
      <c r="F58" s="1173"/>
      <c r="G58" s="1174"/>
      <c r="H58" s="1175"/>
      <c r="I58" s="1176"/>
      <c r="J58" s="1177"/>
      <c r="K58" s="1547"/>
      <c r="L58" s="1177"/>
      <c r="M58" s="1548"/>
      <c r="N58" s="1549"/>
      <c r="O58" s="1178"/>
      <c r="P58" s="1179"/>
      <c r="Q58" s="1171"/>
      <c r="R58" s="104"/>
      <c r="S58" s="1172"/>
      <c r="T58" s="1172"/>
      <c r="U58" s="1172"/>
      <c r="V58" s="1173"/>
      <c r="W58" s="1174"/>
      <c r="X58" s="1175"/>
      <c r="Y58" s="1176"/>
      <c r="Z58" s="1177"/>
      <c r="AA58" s="1547"/>
      <c r="AB58" s="1177"/>
      <c r="AC58" s="1548"/>
      <c r="AD58" s="1549"/>
      <c r="AE58" s="1178"/>
      <c r="AF58" s="1179"/>
      <c r="AG58" s="1171"/>
      <c r="AH58" s="104"/>
      <c r="AI58" s="1172"/>
      <c r="AJ58" s="1172"/>
      <c r="AK58" s="1172"/>
      <c r="AL58" s="1173"/>
      <c r="AM58" s="1174"/>
      <c r="AN58" s="1175"/>
      <c r="AO58" s="1176"/>
      <c r="AP58" s="1177"/>
      <c r="AQ58" s="1547"/>
      <c r="AR58" s="1177"/>
      <c r="AS58" s="1548"/>
      <c r="AT58" s="1549"/>
      <c r="AU58" s="1178"/>
      <c r="AV58" s="1179"/>
      <c r="AY58" s="3">
        <v>1</v>
      </c>
    </row>
    <row r="59" spans="2:51" ht="27" customHeight="1">
      <c r="B59" s="104"/>
      <c r="C59" s="1172"/>
      <c r="D59" s="1172"/>
      <c r="E59" s="1172"/>
      <c r="F59" s="1173"/>
      <c r="G59" s="1174"/>
      <c r="H59" s="1175"/>
      <c r="I59" s="1176"/>
      <c r="J59" s="1177"/>
      <c r="K59" s="1547"/>
      <c r="L59" s="1177"/>
      <c r="M59" s="1548"/>
      <c r="N59" s="1549"/>
      <c r="O59" s="1178"/>
      <c r="P59" s="1179"/>
      <c r="Q59" s="1171"/>
      <c r="R59" s="104"/>
      <c r="S59" s="1172"/>
      <c r="T59" s="1172"/>
      <c r="U59" s="1172"/>
      <c r="V59" s="1173"/>
      <c r="W59" s="1174"/>
      <c r="X59" s="1175"/>
      <c r="Y59" s="1176"/>
      <c r="Z59" s="1177"/>
      <c r="AA59" s="1547"/>
      <c r="AB59" s="1177"/>
      <c r="AC59" s="1548"/>
      <c r="AD59" s="1549"/>
      <c r="AE59" s="1178"/>
      <c r="AF59" s="1179"/>
      <c r="AG59" s="1171"/>
      <c r="AH59" s="104"/>
      <c r="AI59" s="1172"/>
      <c r="AJ59" s="1172"/>
      <c r="AK59" s="1172"/>
      <c r="AL59" s="1173"/>
      <c r="AM59" s="1174"/>
      <c r="AN59" s="1175"/>
      <c r="AO59" s="1176"/>
      <c r="AP59" s="1177"/>
      <c r="AQ59" s="1547"/>
      <c r="AR59" s="1177"/>
      <c r="AS59" s="1548"/>
      <c r="AT59" s="1549"/>
      <c r="AU59" s="1178"/>
      <c r="AV59" s="1179"/>
      <c r="AY59" s="3">
        <v>1</v>
      </c>
    </row>
    <row r="60" spans="2:51" ht="27" customHeight="1">
      <c r="B60" s="104"/>
      <c r="C60" s="1172"/>
      <c r="D60" s="1172"/>
      <c r="E60" s="1172"/>
      <c r="F60" s="1173"/>
      <c r="G60" s="1174"/>
      <c r="H60" s="1175"/>
      <c r="I60" s="1176"/>
      <c r="J60" s="1177"/>
      <c r="K60" s="1547"/>
      <c r="L60" s="1177"/>
      <c r="M60" s="1548"/>
      <c r="N60" s="1549"/>
      <c r="O60" s="1178"/>
      <c r="P60" s="1179"/>
      <c r="Q60" s="1171"/>
      <c r="R60" s="104"/>
      <c r="S60" s="1172"/>
      <c r="T60" s="1172"/>
      <c r="U60" s="1172"/>
      <c r="V60" s="1173"/>
      <c r="W60" s="1174"/>
      <c r="X60" s="1175"/>
      <c r="Y60" s="1176"/>
      <c r="Z60" s="1177"/>
      <c r="AA60" s="1547"/>
      <c r="AB60" s="1177"/>
      <c r="AC60" s="1548"/>
      <c r="AD60" s="1549"/>
      <c r="AE60" s="1178"/>
      <c r="AF60" s="1179"/>
      <c r="AG60" s="1171"/>
      <c r="AH60" s="104"/>
      <c r="AI60" s="1172"/>
      <c r="AJ60" s="1172"/>
      <c r="AK60" s="1172"/>
      <c r="AL60" s="1173"/>
      <c r="AM60" s="1174"/>
      <c r="AN60" s="1175"/>
      <c r="AO60" s="1176"/>
      <c r="AP60" s="1177"/>
      <c r="AQ60" s="1547"/>
      <c r="AR60" s="1177"/>
      <c r="AS60" s="1548"/>
      <c r="AT60" s="1549"/>
      <c r="AU60" s="1178"/>
      <c r="AV60" s="1179"/>
      <c r="AY60" s="3">
        <v>1</v>
      </c>
    </row>
    <row r="61" spans="2:51" ht="27" customHeight="1">
      <c r="B61" s="104"/>
      <c r="C61" s="1172"/>
      <c r="D61" s="1172"/>
      <c r="E61" s="1172"/>
      <c r="F61" s="1173"/>
      <c r="G61" s="1174"/>
      <c r="H61" s="1175"/>
      <c r="I61" s="1176"/>
      <c r="J61" s="1177"/>
      <c r="K61" s="1547"/>
      <c r="L61" s="1177"/>
      <c r="M61" s="1548"/>
      <c r="N61" s="1549"/>
      <c r="O61" s="1178"/>
      <c r="P61" s="1179"/>
      <c r="Q61" s="1171"/>
      <c r="R61" s="104"/>
      <c r="S61" s="1172"/>
      <c r="T61" s="1172"/>
      <c r="U61" s="1172"/>
      <c r="V61" s="1173"/>
      <c r="W61" s="1174"/>
      <c r="X61" s="1175"/>
      <c r="Y61" s="1176"/>
      <c r="Z61" s="1177"/>
      <c r="AA61" s="1547"/>
      <c r="AB61" s="1177"/>
      <c r="AC61" s="1548"/>
      <c r="AD61" s="1549"/>
      <c r="AE61" s="1178"/>
      <c r="AF61" s="1179"/>
      <c r="AG61" s="1171"/>
      <c r="AH61" s="104"/>
      <c r="AI61" s="1172"/>
      <c r="AJ61" s="1172"/>
      <c r="AK61" s="1172"/>
      <c r="AL61" s="1173"/>
      <c r="AM61" s="1174"/>
      <c r="AN61" s="1175"/>
      <c r="AO61" s="1176"/>
      <c r="AP61" s="1177"/>
      <c r="AQ61" s="1547"/>
      <c r="AR61" s="1177"/>
      <c r="AS61" s="1548"/>
      <c r="AT61" s="1549"/>
      <c r="AU61" s="1178"/>
      <c r="AV61" s="1179"/>
      <c r="AY61" s="3">
        <v>1</v>
      </c>
    </row>
    <row r="62" spans="2:51" ht="27" customHeight="1">
      <c r="B62" s="104"/>
      <c r="C62" s="1172"/>
      <c r="D62" s="1172"/>
      <c r="E62" s="1172"/>
      <c r="F62" s="1173"/>
      <c r="G62" s="1174"/>
      <c r="H62" s="1175"/>
      <c r="I62" s="1176"/>
      <c r="J62" s="1177"/>
      <c r="K62" s="1547"/>
      <c r="L62" s="1177"/>
      <c r="M62" s="1548"/>
      <c r="N62" s="1549"/>
      <c r="O62" s="1178"/>
      <c r="P62" s="1179"/>
      <c r="Q62" s="1171"/>
      <c r="R62" s="104"/>
      <c r="S62" s="1172"/>
      <c r="T62" s="1172"/>
      <c r="U62" s="1172"/>
      <c r="V62" s="1173"/>
      <c r="W62" s="1174"/>
      <c r="X62" s="1175"/>
      <c r="Y62" s="1176"/>
      <c r="Z62" s="1177"/>
      <c r="AA62" s="1547"/>
      <c r="AB62" s="1177"/>
      <c r="AC62" s="1548"/>
      <c r="AD62" s="1549"/>
      <c r="AE62" s="1178"/>
      <c r="AF62" s="1179"/>
      <c r="AG62" s="1171"/>
      <c r="AH62" s="104"/>
      <c r="AI62" s="1172"/>
      <c r="AJ62" s="1172"/>
      <c r="AK62" s="1172"/>
      <c r="AL62" s="1173"/>
      <c r="AM62" s="1174"/>
      <c r="AN62" s="1175"/>
      <c r="AO62" s="1176"/>
      <c r="AP62" s="1177"/>
      <c r="AQ62" s="1547"/>
      <c r="AR62" s="1177"/>
      <c r="AS62" s="1548"/>
      <c r="AT62" s="1549"/>
      <c r="AU62" s="1178"/>
      <c r="AV62" s="1179"/>
      <c r="AY62" s="3">
        <v>1</v>
      </c>
    </row>
    <row r="63" spans="2:51" ht="27" customHeight="1">
      <c r="B63" s="104"/>
      <c r="C63" s="1172"/>
      <c r="D63" s="1172"/>
      <c r="E63" s="1172"/>
      <c r="F63" s="1173"/>
      <c r="G63" s="1174"/>
      <c r="H63" s="1175"/>
      <c r="I63" s="1176"/>
      <c r="J63" s="1177"/>
      <c r="K63" s="1547"/>
      <c r="L63" s="1177"/>
      <c r="M63" s="1548"/>
      <c r="N63" s="1549"/>
      <c r="O63" s="1178"/>
      <c r="P63" s="1179"/>
      <c r="Q63" s="1171"/>
      <c r="R63" s="104"/>
      <c r="S63" s="1172"/>
      <c r="T63" s="1172"/>
      <c r="U63" s="1172"/>
      <c r="V63" s="1173"/>
      <c r="W63" s="1174"/>
      <c r="X63" s="1175"/>
      <c r="Y63" s="1176"/>
      <c r="Z63" s="1177"/>
      <c r="AA63" s="1547"/>
      <c r="AB63" s="1177"/>
      <c r="AC63" s="1548"/>
      <c r="AD63" s="1549"/>
      <c r="AE63" s="1178"/>
      <c r="AF63" s="1179"/>
      <c r="AG63" s="1171"/>
      <c r="AH63" s="104"/>
      <c r="AI63" s="1172"/>
      <c r="AJ63" s="1172"/>
      <c r="AK63" s="1172"/>
      <c r="AL63" s="1173"/>
      <c r="AM63" s="1174"/>
      <c r="AN63" s="1175"/>
      <c r="AO63" s="1176"/>
      <c r="AP63" s="1177"/>
      <c r="AQ63" s="1547"/>
      <c r="AR63" s="1177"/>
      <c r="AS63" s="1548"/>
      <c r="AT63" s="1549"/>
      <c r="AU63" s="1178"/>
      <c r="AV63" s="1179"/>
      <c r="AY63" s="3">
        <v>1</v>
      </c>
    </row>
    <row r="64" spans="2:51" ht="27" customHeight="1">
      <c r="B64" s="104"/>
      <c r="C64" s="1172"/>
      <c r="D64" s="1172"/>
      <c r="E64" s="1172"/>
      <c r="F64" s="1173"/>
      <c r="G64" s="1174"/>
      <c r="H64" s="1175"/>
      <c r="I64" s="1176"/>
      <c r="J64" s="1177"/>
      <c r="K64" s="1547"/>
      <c r="L64" s="1177"/>
      <c r="M64" s="1548"/>
      <c r="N64" s="1549"/>
      <c r="O64" s="1178"/>
      <c r="P64" s="1179"/>
      <c r="Q64" s="1171"/>
      <c r="R64" s="104"/>
      <c r="S64" s="1172"/>
      <c r="T64" s="1172"/>
      <c r="U64" s="1172"/>
      <c r="V64" s="1173"/>
      <c r="W64" s="1174"/>
      <c r="X64" s="1175"/>
      <c r="Y64" s="1176"/>
      <c r="Z64" s="1177"/>
      <c r="AA64" s="1547"/>
      <c r="AB64" s="1177"/>
      <c r="AC64" s="1548"/>
      <c r="AD64" s="1549"/>
      <c r="AE64" s="1178"/>
      <c r="AF64" s="1179"/>
      <c r="AG64" s="1171"/>
      <c r="AH64" s="104"/>
      <c r="AI64" s="1172"/>
      <c r="AJ64" s="1172"/>
      <c r="AK64" s="1172"/>
      <c r="AL64" s="1173"/>
      <c r="AM64" s="1174"/>
      <c r="AN64" s="1175"/>
      <c r="AO64" s="1176"/>
      <c r="AP64" s="1177"/>
      <c r="AQ64" s="1547"/>
      <c r="AR64" s="1177"/>
      <c r="AS64" s="1548"/>
      <c r="AT64" s="1549"/>
      <c r="AU64" s="1178"/>
      <c r="AV64" s="1179"/>
      <c r="AY64" s="3">
        <v>1</v>
      </c>
    </row>
    <row r="65" spans="2:51" ht="27" customHeight="1">
      <c r="B65" s="104"/>
      <c r="C65" s="1172"/>
      <c r="D65" s="1172"/>
      <c r="E65" s="1172"/>
      <c r="F65" s="1173"/>
      <c r="G65" s="1174"/>
      <c r="H65" s="1175"/>
      <c r="I65" s="1176"/>
      <c r="J65" s="1177"/>
      <c r="K65" s="1547"/>
      <c r="L65" s="1177"/>
      <c r="M65" s="1548"/>
      <c r="N65" s="1549"/>
      <c r="O65" s="1178"/>
      <c r="P65" s="1179"/>
      <c r="Q65" s="1171"/>
      <c r="R65" s="104"/>
      <c r="S65" s="1172"/>
      <c r="T65" s="1172"/>
      <c r="U65" s="1172"/>
      <c r="V65" s="1173"/>
      <c r="W65" s="1174"/>
      <c r="X65" s="1175"/>
      <c r="Y65" s="1176"/>
      <c r="Z65" s="1177"/>
      <c r="AA65" s="1547"/>
      <c r="AB65" s="1177"/>
      <c r="AC65" s="1548"/>
      <c r="AD65" s="1549"/>
      <c r="AE65" s="1178"/>
      <c r="AF65" s="1179"/>
      <c r="AG65" s="1171"/>
      <c r="AH65" s="104"/>
      <c r="AI65" s="1172"/>
      <c r="AJ65" s="1172"/>
      <c r="AK65" s="1172"/>
      <c r="AL65" s="1173"/>
      <c r="AM65" s="1174"/>
      <c r="AN65" s="1175"/>
      <c r="AO65" s="1176"/>
      <c r="AP65" s="1177"/>
      <c r="AQ65" s="1547"/>
      <c r="AR65" s="1177"/>
      <c r="AS65" s="1548"/>
      <c r="AT65" s="1549"/>
      <c r="AU65" s="1178"/>
      <c r="AV65" s="1179"/>
      <c r="AY65" s="3">
        <v>1</v>
      </c>
    </row>
    <row r="66" spans="2:51" ht="27" customHeight="1">
      <c r="B66" s="104"/>
      <c r="C66" s="1172"/>
      <c r="D66" s="1172"/>
      <c r="E66" s="1172"/>
      <c r="F66" s="1173"/>
      <c r="G66" s="1174"/>
      <c r="H66" s="1175"/>
      <c r="I66" s="1176"/>
      <c r="J66" s="1177"/>
      <c r="K66" s="1547"/>
      <c r="L66" s="1177"/>
      <c r="M66" s="1548"/>
      <c r="N66" s="1549"/>
      <c r="O66" s="1178"/>
      <c r="P66" s="1179"/>
      <c r="Q66" s="1171"/>
      <c r="R66" s="104"/>
      <c r="S66" s="1172"/>
      <c r="T66" s="1172"/>
      <c r="U66" s="1172"/>
      <c r="V66" s="1173"/>
      <c r="W66" s="1174"/>
      <c r="X66" s="1175"/>
      <c r="Y66" s="1176"/>
      <c r="Z66" s="1177"/>
      <c r="AA66" s="1547"/>
      <c r="AB66" s="1177"/>
      <c r="AC66" s="1548"/>
      <c r="AD66" s="1549"/>
      <c r="AE66" s="1178"/>
      <c r="AF66" s="1179"/>
      <c r="AH66" s="104"/>
      <c r="AI66" s="1172"/>
      <c r="AJ66" s="1172"/>
      <c r="AK66" s="1172"/>
      <c r="AL66" s="1173"/>
      <c r="AM66" s="1174"/>
      <c r="AN66" s="1175"/>
      <c r="AO66" s="1176"/>
      <c r="AP66" s="1177"/>
      <c r="AQ66" s="1547"/>
      <c r="AR66" s="1177"/>
      <c r="AS66" s="1548"/>
      <c r="AT66" s="1549"/>
      <c r="AU66" s="1178"/>
      <c r="AV66" s="1179"/>
      <c r="AY66" s="3">
        <v>1</v>
      </c>
    </row>
    <row r="67" spans="2:51" ht="27" customHeight="1">
      <c r="B67" s="104"/>
      <c r="C67" s="1172"/>
      <c r="D67" s="1172"/>
      <c r="E67" s="1172"/>
      <c r="F67" s="1173"/>
      <c r="G67" s="1174"/>
      <c r="H67" s="1175"/>
      <c r="I67" s="1176"/>
      <c r="J67" s="1177"/>
      <c r="K67" s="1547"/>
      <c r="L67" s="1177"/>
      <c r="M67" s="1548"/>
      <c r="N67" s="1549"/>
      <c r="O67" s="1178"/>
      <c r="P67" s="1179"/>
      <c r="Q67" s="1171"/>
      <c r="R67" s="104"/>
      <c r="S67" s="1172"/>
      <c r="T67" s="1172"/>
      <c r="U67" s="1172"/>
      <c r="V67" s="1173"/>
      <c r="W67" s="1174"/>
      <c r="X67" s="1175"/>
      <c r="Y67" s="1176"/>
      <c r="Z67" s="1177"/>
      <c r="AA67" s="1547"/>
      <c r="AB67" s="1177"/>
      <c r="AC67" s="1548"/>
      <c r="AD67" s="1549"/>
      <c r="AE67" s="1178"/>
      <c r="AF67" s="1179"/>
      <c r="AH67" s="104"/>
      <c r="AI67" s="1172"/>
      <c r="AJ67" s="1172"/>
      <c r="AK67" s="1172"/>
      <c r="AL67" s="1173"/>
      <c r="AM67" s="1174"/>
      <c r="AN67" s="1175"/>
      <c r="AO67" s="1176"/>
      <c r="AP67" s="1177"/>
      <c r="AQ67" s="1547"/>
      <c r="AR67" s="1177"/>
      <c r="AS67" s="1548"/>
      <c r="AT67" s="1549"/>
      <c r="AU67" s="1178"/>
      <c r="AV67" s="1179"/>
      <c r="AY67" s="3">
        <v>1</v>
      </c>
    </row>
    <row r="68" spans="2:51" ht="27" customHeight="1">
      <c r="B68" s="104"/>
      <c r="C68" s="1172"/>
      <c r="D68" s="1172"/>
      <c r="E68" s="1172"/>
      <c r="F68" s="1173"/>
      <c r="G68" s="1174"/>
      <c r="H68" s="1175"/>
      <c r="I68" s="1176"/>
      <c r="J68" s="1177"/>
      <c r="K68" s="1547"/>
      <c r="L68" s="1177"/>
      <c r="M68" s="1548"/>
      <c r="N68" s="1549"/>
      <c r="O68" s="1178"/>
      <c r="P68" s="1179"/>
      <c r="Q68" s="1171"/>
      <c r="R68" s="104"/>
      <c r="S68" s="1172"/>
      <c r="T68" s="1172"/>
      <c r="U68" s="1172"/>
      <c r="V68" s="1173"/>
      <c r="W68" s="1174"/>
      <c r="X68" s="1175"/>
      <c r="Y68" s="1176"/>
      <c r="Z68" s="1177"/>
      <c r="AA68" s="1547"/>
      <c r="AB68" s="1177"/>
      <c r="AC68" s="1548"/>
      <c r="AD68" s="1549"/>
      <c r="AE68" s="1178"/>
      <c r="AF68" s="1179"/>
      <c r="AH68" s="104"/>
      <c r="AI68" s="1172"/>
      <c r="AJ68" s="1172"/>
      <c r="AK68" s="1172"/>
      <c r="AL68" s="1173"/>
      <c r="AM68" s="1174"/>
      <c r="AN68" s="1175"/>
      <c r="AO68" s="1176"/>
      <c r="AP68" s="1177"/>
      <c r="AQ68" s="1547"/>
      <c r="AR68" s="1177"/>
      <c r="AS68" s="1548"/>
      <c r="AT68" s="1549"/>
      <c r="AU68" s="1178"/>
      <c r="AV68" s="1179"/>
      <c r="AY68" s="3">
        <v>1</v>
      </c>
    </row>
    <row r="69" spans="2:51" ht="27" customHeight="1">
      <c r="B69" s="104"/>
      <c r="C69" s="1172"/>
      <c r="D69" s="1172"/>
      <c r="E69" s="1172"/>
      <c r="F69" s="1173"/>
      <c r="G69" s="1174"/>
      <c r="H69" s="1175"/>
      <c r="I69" s="1176"/>
      <c r="J69" s="1177"/>
      <c r="K69" s="1547"/>
      <c r="L69" s="1177"/>
      <c r="M69" s="1548"/>
      <c r="N69" s="1549"/>
      <c r="O69" s="1178"/>
      <c r="P69" s="1179"/>
      <c r="Q69" s="1171"/>
      <c r="R69" s="104"/>
      <c r="S69" s="1172"/>
      <c r="T69" s="1172"/>
      <c r="U69" s="1172"/>
      <c r="V69" s="1173"/>
      <c r="W69" s="1174"/>
      <c r="X69" s="1175"/>
      <c r="Y69" s="1176"/>
      <c r="Z69" s="1177"/>
      <c r="AA69" s="1547"/>
      <c r="AB69" s="1177"/>
      <c r="AC69" s="1548"/>
      <c r="AD69" s="1549"/>
      <c r="AE69" s="1178"/>
      <c r="AF69" s="1179"/>
      <c r="AG69" s="1171"/>
      <c r="AH69" s="104"/>
      <c r="AI69" s="1172"/>
      <c r="AJ69" s="1172"/>
      <c r="AK69" s="1172"/>
      <c r="AL69" s="1173"/>
      <c r="AM69" s="1174"/>
      <c r="AN69" s="1175"/>
      <c r="AO69" s="1176"/>
      <c r="AP69" s="1177"/>
      <c r="AQ69" s="1547"/>
      <c r="AR69" s="1177"/>
      <c r="AS69" s="1548"/>
      <c r="AT69" s="1549"/>
      <c r="AU69" s="1178"/>
      <c r="AV69" s="1179"/>
      <c r="AY69" s="3">
        <v>1</v>
      </c>
    </row>
    <row r="70" spans="2:51" ht="27" customHeight="1">
      <c r="B70" s="104"/>
      <c r="C70" s="1172"/>
      <c r="D70" s="1172"/>
      <c r="E70" s="1172"/>
      <c r="F70" s="1173"/>
      <c r="G70" s="1174"/>
      <c r="H70" s="1175"/>
      <c r="I70" s="1176"/>
      <c r="J70" s="1177"/>
      <c r="K70" s="1547"/>
      <c r="L70" s="1177"/>
      <c r="M70" s="1548"/>
      <c r="N70" s="1549"/>
      <c r="O70" s="1178"/>
      <c r="P70" s="1179"/>
      <c r="Q70" s="1171"/>
      <c r="R70" s="104"/>
      <c r="S70" s="1172"/>
      <c r="T70" s="1172"/>
      <c r="U70" s="1172"/>
      <c r="V70" s="1173"/>
      <c r="W70" s="1174"/>
      <c r="X70" s="1175"/>
      <c r="Y70" s="1176"/>
      <c r="Z70" s="1177"/>
      <c r="AA70" s="1547"/>
      <c r="AB70" s="1177"/>
      <c r="AC70" s="1548"/>
      <c r="AD70" s="1549"/>
      <c r="AE70" s="1178"/>
      <c r="AF70" s="1179"/>
      <c r="AG70" s="1171"/>
      <c r="AH70" s="104"/>
      <c r="AI70" s="1172"/>
      <c r="AJ70" s="1172"/>
      <c r="AK70" s="1172"/>
      <c r="AL70" s="1173"/>
      <c r="AM70" s="1174"/>
      <c r="AN70" s="1175"/>
      <c r="AO70" s="1176"/>
      <c r="AP70" s="1177"/>
      <c r="AQ70" s="1547"/>
      <c r="AR70" s="1177"/>
      <c r="AS70" s="1548"/>
      <c r="AT70" s="1549"/>
      <c r="AU70" s="1178"/>
      <c r="AV70" s="1179"/>
      <c r="AY70" s="3">
        <v>1</v>
      </c>
    </row>
    <row r="71" spans="2:51" ht="27" customHeight="1">
      <c r="B71" s="104"/>
      <c r="C71" s="1172"/>
      <c r="D71" s="1172"/>
      <c r="E71" s="1172"/>
      <c r="F71" s="1173"/>
      <c r="G71" s="1174"/>
      <c r="H71" s="1175"/>
      <c r="I71" s="1176"/>
      <c r="J71" s="1177"/>
      <c r="K71" s="1547"/>
      <c r="L71" s="1177"/>
      <c r="M71" s="1548"/>
      <c r="N71" s="1549"/>
      <c r="O71" s="1178"/>
      <c r="P71" s="1179"/>
      <c r="Q71" s="1171"/>
      <c r="R71" s="104"/>
      <c r="S71" s="1172"/>
      <c r="T71" s="1172"/>
      <c r="U71" s="1172"/>
      <c r="V71" s="1173"/>
      <c r="W71" s="1174"/>
      <c r="X71" s="1175"/>
      <c r="Y71" s="1176"/>
      <c r="Z71" s="1177"/>
      <c r="AA71" s="1547"/>
      <c r="AB71" s="1177"/>
      <c r="AC71" s="1548"/>
      <c r="AD71" s="1549"/>
      <c r="AE71" s="1178"/>
      <c r="AF71" s="1179"/>
      <c r="AG71" s="1171"/>
      <c r="AH71" s="104"/>
      <c r="AI71" s="1172"/>
      <c r="AJ71" s="1172"/>
      <c r="AK71" s="1172"/>
      <c r="AL71" s="1173"/>
      <c r="AM71" s="1174"/>
      <c r="AN71" s="1175"/>
      <c r="AO71" s="1176"/>
      <c r="AP71" s="1177"/>
      <c r="AQ71" s="1547"/>
      <c r="AR71" s="1177"/>
      <c r="AS71" s="1548"/>
      <c r="AT71" s="1549"/>
      <c r="AU71" s="1178"/>
      <c r="AV71" s="1179"/>
      <c r="AY71" s="3">
        <v>1</v>
      </c>
    </row>
    <row r="72" spans="2:51" ht="27" customHeight="1">
      <c r="B72" s="104"/>
      <c r="C72" s="1172"/>
      <c r="D72" s="1172"/>
      <c r="E72" s="1172"/>
      <c r="F72" s="1173"/>
      <c r="G72" s="1174"/>
      <c r="H72" s="1175"/>
      <c r="I72" s="1176"/>
      <c r="J72" s="1177"/>
      <c r="K72" s="1547"/>
      <c r="L72" s="1177"/>
      <c r="M72" s="1548"/>
      <c r="N72" s="1549"/>
      <c r="O72" s="1178"/>
      <c r="P72" s="1179"/>
      <c r="Q72" s="1171"/>
      <c r="R72" s="104"/>
      <c r="S72" s="1172"/>
      <c r="T72" s="1172"/>
      <c r="U72" s="1172"/>
      <c r="V72" s="1173"/>
      <c r="W72" s="1174"/>
      <c r="X72" s="1175"/>
      <c r="Y72" s="1176"/>
      <c r="Z72" s="1177"/>
      <c r="AA72" s="1547"/>
      <c r="AB72" s="1177"/>
      <c r="AC72" s="1548"/>
      <c r="AD72" s="1549"/>
      <c r="AE72" s="1178"/>
      <c r="AF72" s="1179"/>
      <c r="AG72" s="1171"/>
      <c r="AH72" s="104"/>
      <c r="AI72" s="1172"/>
      <c r="AJ72" s="1172"/>
      <c r="AK72" s="1172"/>
      <c r="AL72" s="1173"/>
      <c r="AM72" s="1174"/>
      <c r="AN72" s="1175"/>
      <c r="AO72" s="1176"/>
      <c r="AP72" s="1177"/>
      <c r="AQ72" s="1547"/>
      <c r="AR72" s="1177"/>
      <c r="AS72" s="1548"/>
      <c r="AT72" s="1549"/>
      <c r="AU72" s="1178"/>
      <c r="AV72" s="1179"/>
      <c r="AY72" s="3">
        <v>1</v>
      </c>
    </row>
    <row r="73" spans="2:51" ht="27" customHeight="1">
      <c r="B73" s="104"/>
      <c r="C73" s="1172"/>
      <c r="D73" s="1172"/>
      <c r="E73" s="1172"/>
      <c r="F73" s="1173"/>
      <c r="G73" s="1174"/>
      <c r="H73" s="1175"/>
      <c r="I73" s="1176"/>
      <c r="J73" s="1177"/>
      <c r="K73" s="1547"/>
      <c r="L73" s="1177"/>
      <c r="M73" s="1548"/>
      <c r="N73" s="1549"/>
      <c r="O73" s="1178"/>
      <c r="P73" s="1179"/>
      <c r="Q73" s="1171"/>
      <c r="R73" s="104"/>
      <c r="S73" s="1172"/>
      <c r="T73" s="1172"/>
      <c r="U73" s="1172"/>
      <c r="V73" s="1173"/>
      <c r="W73" s="1174"/>
      <c r="X73" s="1175"/>
      <c r="Y73" s="1176"/>
      <c r="Z73" s="1177"/>
      <c r="AA73" s="1547"/>
      <c r="AB73" s="1177"/>
      <c r="AC73" s="1548"/>
      <c r="AD73" s="1549"/>
      <c r="AE73" s="1178"/>
      <c r="AF73" s="1179"/>
      <c r="AG73" s="1171"/>
      <c r="AH73" s="104"/>
      <c r="AI73" s="1172"/>
      <c r="AJ73" s="1172"/>
      <c r="AK73" s="1172"/>
      <c r="AL73" s="1173"/>
      <c r="AM73" s="1174"/>
      <c r="AN73" s="1175"/>
      <c r="AO73" s="1176"/>
      <c r="AP73" s="1177"/>
      <c r="AQ73" s="1547"/>
      <c r="AR73" s="1177"/>
      <c r="AS73" s="1548"/>
      <c r="AT73" s="1549"/>
      <c r="AU73" s="1178"/>
      <c r="AV73" s="1179"/>
      <c r="AY73" s="3">
        <v>1</v>
      </c>
    </row>
    <row r="74" spans="2:51" ht="27" customHeight="1">
      <c r="B74" s="104"/>
      <c r="C74" s="1172"/>
      <c r="D74" s="1172"/>
      <c r="E74" s="1172"/>
      <c r="F74" s="1173"/>
      <c r="G74" s="1174"/>
      <c r="H74" s="1175"/>
      <c r="I74" s="1176"/>
      <c r="J74" s="1177"/>
      <c r="K74" s="1547"/>
      <c r="L74" s="1177"/>
      <c r="M74" s="1548"/>
      <c r="N74" s="1549"/>
      <c r="O74" s="1178"/>
      <c r="P74" s="1179"/>
      <c r="Q74" s="1171"/>
      <c r="R74" s="104"/>
      <c r="S74" s="1172"/>
      <c r="T74" s="1172"/>
      <c r="U74" s="1172"/>
      <c r="V74" s="1173"/>
      <c r="W74" s="1174"/>
      <c r="X74" s="1175"/>
      <c r="Y74" s="1176"/>
      <c r="Z74" s="1177"/>
      <c r="AA74" s="1547"/>
      <c r="AB74" s="1177"/>
      <c r="AC74" s="1548"/>
      <c r="AD74" s="1549"/>
      <c r="AE74" s="1178"/>
      <c r="AF74" s="1179"/>
      <c r="AG74" s="1171"/>
      <c r="AH74" s="104"/>
      <c r="AI74" s="1172"/>
      <c r="AJ74" s="1172"/>
      <c r="AK74" s="1172"/>
      <c r="AL74" s="1173"/>
      <c r="AM74" s="1174"/>
      <c r="AN74" s="1175"/>
      <c r="AO74" s="1176"/>
      <c r="AP74" s="1177"/>
      <c r="AQ74" s="1547"/>
      <c r="AR74" s="1177"/>
      <c r="AS74" s="1548"/>
      <c r="AT74" s="1549"/>
      <c r="AU74" s="1178"/>
      <c r="AV74" s="1179"/>
      <c r="AY74" s="3">
        <v>1</v>
      </c>
    </row>
    <row r="75" spans="2:51" ht="27" customHeight="1">
      <c r="B75" s="104"/>
      <c r="C75" s="1172"/>
      <c r="D75" s="1172"/>
      <c r="E75" s="1172"/>
      <c r="F75" s="1173"/>
      <c r="G75" s="1174"/>
      <c r="H75" s="1175"/>
      <c r="I75" s="1176"/>
      <c r="J75" s="1177"/>
      <c r="K75" s="1547"/>
      <c r="L75" s="1177"/>
      <c r="M75" s="1548"/>
      <c r="N75" s="1549"/>
      <c r="O75" s="1178"/>
      <c r="P75" s="1179"/>
      <c r="Q75" s="1171"/>
      <c r="R75" s="104"/>
      <c r="S75" s="1172"/>
      <c r="T75" s="1172"/>
      <c r="U75" s="1172"/>
      <c r="V75" s="1173"/>
      <c r="W75" s="1174"/>
      <c r="X75" s="1175"/>
      <c r="Y75" s="1176"/>
      <c r="Z75" s="1177"/>
      <c r="AA75" s="1547"/>
      <c r="AB75" s="1177"/>
      <c r="AC75" s="1548"/>
      <c r="AD75" s="1549"/>
      <c r="AE75" s="1178"/>
      <c r="AF75" s="1179"/>
      <c r="AG75" s="1171"/>
      <c r="AH75" s="104"/>
      <c r="AI75" s="1172"/>
      <c r="AJ75" s="1172"/>
      <c r="AK75" s="1172"/>
      <c r="AL75" s="1173"/>
      <c r="AM75" s="1174"/>
      <c r="AN75" s="1175"/>
      <c r="AO75" s="1176"/>
      <c r="AP75" s="1177"/>
      <c r="AQ75" s="1547"/>
      <c r="AR75" s="1177"/>
      <c r="AS75" s="1548"/>
      <c r="AT75" s="1549"/>
      <c r="AU75" s="1178"/>
      <c r="AV75" s="1179"/>
      <c r="AY75" s="3">
        <v>1</v>
      </c>
    </row>
    <row r="76" spans="2:51" ht="27" customHeight="1">
      <c r="B76" s="104"/>
      <c r="C76" s="1172"/>
      <c r="D76" s="1172"/>
      <c r="E76" s="1172"/>
      <c r="F76" s="1173"/>
      <c r="G76" s="1174"/>
      <c r="H76" s="1175"/>
      <c r="I76" s="1176"/>
      <c r="J76" s="1177"/>
      <c r="K76" s="1547"/>
      <c r="L76" s="1177"/>
      <c r="M76" s="1548"/>
      <c r="N76" s="1549"/>
      <c r="O76" s="1178"/>
      <c r="P76" s="1179"/>
      <c r="Q76" s="1171"/>
      <c r="R76" s="104"/>
      <c r="S76" s="1172"/>
      <c r="T76" s="1172"/>
      <c r="U76" s="1172"/>
      <c r="V76" s="1173"/>
      <c r="W76" s="1174"/>
      <c r="X76" s="1175"/>
      <c r="Y76" s="1176"/>
      <c r="Z76" s="1177"/>
      <c r="AA76" s="1547"/>
      <c r="AB76" s="1177"/>
      <c r="AC76" s="1548"/>
      <c r="AD76" s="1549"/>
      <c r="AE76" s="1178"/>
      <c r="AF76" s="1179"/>
      <c r="AG76" s="1171"/>
      <c r="AH76" s="104"/>
      <c r="AI76" s="1172"/>
      <c r="AJ76" s="1172"/>
      <c r="AK76" s="1172"/>
      <c r="AL76" s="1173"/>
      <c r="AM76" s="1174"/>
      <c r="AN76" s="1175"/>
      <c r="AO76" s="1176"/>
      <c r="AP76" s="1177"/>
      <c r="AQ76" s="1547"/>
      <c r="AR76" s="1177"/>
      <c r="AS76" s="1548"/>
      <c r="AT76" s="1549"/>
      <c r="AU76" s="1178"/>
      <c r="AV76" s="1179"/>
      <c r="AY76" s="3">
        <v>1</v>
      </c>
    </row>
    <row r="77" spans="2:51" ht="27" customHeight="1">
      <c r="B77" s="104"/>
      <c r="C77" s="1172"/>
      <c r="D77" s="1172"/>
      <c r="E77" s="1172"/>
      <c r="F77" s="1173"/>
      <c r="G77" s="1174"/>
      <c r="H77" s="1175"/>
      <c r="I77" s="1176"/>
      <c r="J77" s="1177"/>
      <c r="K77" s="1547"/>
      <c r="L77" s="1177"/>
      <c r="M77" s="1548"/>
      <c r="N77" s="1549"/>
      <c r="O77" s="1178"/>
      <c r="P77" s="1179"/>
      <c r="Q77" s="1171"/>
      <c r="R77" s="104"/>
      <c r="S77" s="1172"/>
      <c r="T77" s="1172"/>
      <c r="U77" s="1172"/>
      <c r="V77" s="1173"/>
      <c r="W77" s="1174"/>
      <c r="X77" s="1175"/>
      <c r="Y77" s="1176"/>
      <c r="Z77" s="1177"/>
      <c r="AA77" s="1547"/>
      <c r="AB77" s="1177"/>
      <c r="AC77" s="1548"/>
      <c r="AD77" s="1549"/>
      <c r="AE77" s="1178"/>
      <c r="AF77" s="1179"/>
      <c r="AG77" s="1171"/>
      <c r="AH77" s="104"/>
      <c r="AI77" s="1172"/>
      <c r="AJ77" s="1172"/>
      <c r="AK77" s="1172"/>
      <c r="AL77" s="1173"/>
      <c r="AM77" s="1174"/>
      <c r="AN77" s="1175"/>
      <c r="AO77" s="1176"/>
      <c r="AP77" s="1177"/>
      <c r="AQ77" s="1547"/>
      <c r="AR77" s="1177"/>
      <c r="AS77" s="1548"/>
      <c r="AT77" s="1549"/>
      <c r="AU77" s="1178"/>
      <c r="AV77" s="1179"/>
      <c r="AY77" s="3">
        <v>1</v>
      </c>
    </row>
    <row r="78" spans="2:51" ht="27" customHeight="1">
      <c r="B78" s="104"/>
      <c r="C78" s="1172"/>
      <c r="D78" s="1172"/>
      <c r="E78" s="1172"/>
      <c r="F78" s="1173"/>
      <c r="G78" s="1174"/>
      <c r="H78" s="1175"/>
      <c r="I78" s="1176"/>
      <c r="J78" s="1177"/>
      <c r="K78" s="1547"/>
      <c r="L78" s="1177"/>
      <c r="M78" s="1548"/>
      <c r="N78" s="1549"/>
      <c r="O78" s="1178"/>
      <c r="P78" s="1179"/>
      <c r="Q78" s="1171"/>
      <c r="R78" s="104"/>
      <c r="S78" s="1172"/>
      <c r="T78" s="1172"/>
      <c r="U78" s="1172"/>
      <c r="V78" s="1173"/>
      <c r="W78" s="1174"/>
      <c r="X78" s="1175"/>
      <c r="Y78" s="1176"/>
      <c r="Z78" s="1177"/>
      <c r="AA78" s="1547"/>
      <c r="AB78" s="1177"/>
      <c r="AC78" s="1548"/>
      <c r="AD78" s="1549"/>
      <c r="AE78" s="1178"/>
      <c r="AF78" s="1179"/>
      <c r="AG78" s="1171"/>
      <c r="AH78" s="104"/>
      <c r="AI78" s="1172"/>
      <c r="AJ78" s="1172"/>
      <c r="AK78" s="1172"/>
      <c r="AL78" s="1173"/>
      <c r="AM78" s="1174"/>
      <c r="AN78" s="1175"/>
      <c r="AO78" s="1176"/>
      <c r="AP78" s="1177"/>
      <c r="AQ78" s="1547"/>
      <c r="AR78" s="1177"/>
      <c r="AS78" s="1548"/>
      <c r="AT78" s="1549"/>
      <c r="AU78" s="1178"/>
      <c r="AV78" s="1179"/>
      <c r="AY78" s="3">
        <v>1</v>
      </c>
    </row>
    <row r="79" spans="2:51" ht="27" customHeight="1">
      <c r="B79" s="104"/>
      <c r="C79" s="1172"/>
      <c r="D79" s="1172"/>
      <c r="E79" s="1172"/>
      <c r="F79" s="1173"/>
      <c r="G79" s="1174"/>
      <c r="H79" s="1175"/>
      <c r="I79" s="1176"/>
      <c r="J79" s="1177"/>
      <c r="K79" s="1547"/>
      <c r="L79" s="1177"/>
      <c r="M79" s="1548"/>
      <c r="N79" s="1549"/>
      <c r="O79" s="1178"/>
      <c r="P79" s="1179"/>
      <c r="Q79" s="1171"/>
      <c r="R79" s="104"/>
      <c r="S79" s="1172"/>
      <c r="T79" s="1172"/>
      <c r="U79" s="1172"/>
      <c r="V79" s="1173"/>
      <c r="W79" s="1174"/>
      <c r="X79" s="1175"/>
      <c r="Y79" s="1176"/>
      <c r="Z79" s="1177"/>
      <c r="AA79" s="1547"/>
      <c r="AB79" s="1177"/>
      <c r="AC79" s="1548"/>
      <c r="AD79" s="1549"/>
      <c r="AE79" s="1178"/>
      <c r="AF79" s="1179"/>
      <c r="AG79" s="1171"/>
      <c r="AH79" s="104"/>
      <c r="AI79" s="1172"/>
      <c r="AJ79" s="1172"/>
      <c r="AK79" s="1172"/>
      <c r="AL79" s="1173"/>
      <c r="AM79" s="1174"/>
      <c r="AN79" s="1175"/>
      <c r="AO79" s="1176"/>
      <c r="AP79" s="1177"/>
      <c r="AQ79" s="1547"/>
      <c r="AR79" s="1177"/>
      <c r="AS79" s="1548"/>
      <c r="AT79" s="1549"/>
      <c r="AU79" s="1178"/>
      <c r="AV79" s="1179"/>
      <c r="AY79" s="3">
        <v>1</v>
      </c>
    </row>
    <row r="80" spans="2:51" ht="27" customHeight="1">
      <c r="B80" s="104"/>
      <c r="C80" s="1172"/>
      <c r="D80" s="1172"/>
      <c r="E80" s="1172"/>
      <c r="F80" s="1173"/>
      <c r="G80" s="1174"/>
      <c r="H80" s="1175"/>
      <c r="I80" s="1176"/>
      <c r="J80" s="1177"/>
      <c r="K80" s="1547"/>
      <c r="L80" s="1177"/>
      <c r="M80" s="1548"/>
      <c r="N80" s="1549"/>
      <c r="O80" s="1178"/>
      <c r="P80" s="1179"/>
      <c r="Q80" s="1171"/>
      <c r="R80" s="104"/>
      <c r="S80" s="1172"/>
      <c r="T80" s="1172"/>
      <c r="U80" s="1172"/>
      <c r="V80" s="1173"/>
      <c r="W80" s="1174"/>
      <c r="X80" s="1175"/>
      <c r="Y80" s="1176"/>
      <c r="Z80" s="1177"/>
      <c r="AA80" s="1547"/>
      <c r="AB80" s="1177"/>
      <c r="AC80" s="1548"/>
      <c r="AD80" s="1549"/>
      <c r="AE80" s="1178"/>
      <c r="AF80" s="1179"/>
      <c r="AG80" s="1171"/>
      <c r="AH80" s="104"/>
      <c r="AI80" s="1172"/>
      <c r="AJ80" s="1172"/>
      <c r="AK80" s="1172"/>
      <c r="AL80" s="1173"/>
      <c r="AM80" s="1174"/>
      <c r="AN80" s="1175"/>
      <c r="AO80" s="1176"/>
      <c r="AP80" s="1177"/>
      <c r="AQ80" s="1547"/>
      <c r="AR80" s="1177"/>
      <c r="AS80" s="1548"/>
      <c r="AT80" s="1549"/>
      <c r="AU80" s="1178"/>
      <c r="AV80" s="1179"/>
      <c r="AY80" s="3">
        <v>1</v>
      </c>
    </row>
    <row r="81" spans="2:51" ht="27" customHeight="1">
      <c r="B81" s="104"/>
      <c r="C81" s="1172"/>
      <c r="D81" s="1172"/>
      <c r="E81" s="1172"/>
      <c r="F81" s="1173"/>
      <c r="G81" s="1174"/>
      <c r="H81" s="1175"/>
      <c r="I81" s="1176"/>
      <c r="J81" s="1177"/>
      <c r="K81" s="1547"/>
      <c r="L81" s="1177"/>
      <c r="M81" s="1548"/>
      <c r="N81" s="1549"/>
      <c r="O81" s="1178"/>
      <c r="P81" s="1179"/>
      <c r="Q81" s="1171"/>
      <c r="R81" s="104"/>
      <c r="S81" s="1172"/>
      <c r="T81" s="1172"/>
      <c r="U81" s="1172"/>
      <c r="V81" s="1173"/>
      <c r="W81" s="1174"/>
      <c r="X81" s="1175"/>
      <c r="Y81" s="1176"/>
      <c r="Z81" s="1177"/>
      <c r="AA81" s="1547"/>
      <c r="AB81" s="1177"/>
      <c r="AC81" s="1548"/>
      <c r="AD81" s="1549"/>
      <c r="AE81" s="1178"/>
      <c r="AF81" s="1179"/>
      <c r="AG81" s="1171"/>
      <c r="AH81" s="104"/>
      <c r="AI81" s="1172"/>
      <c r="AJ81" s="1172"/>
      <c r="AK81" s="1172"/>
      <c r="AL81" s="1173"/>
      <c r="AM81" s="1174"/>
      <c r="AN81" s="1175"/>
      <c r="AO81" s="1176"/>
      <c r="AP81" s="1177"/>
      <c r="AQ81" s="1547"/>
      <c r="AR81" s="1177"/>
      <c r="AS81" s="1548"/>
      <c r="AT81" s="1549"/>
      <c r="AU81" s="1178"/>
      <c r="AV81" s="1179"/>
      <c r="AY81" s="3">
        <v>1</v>
      </c>
    </row>
    <row r="82" spans="2:51" ht="27" customHeight="1">
      <c r="B82" s="104"/>
      <c r="C82" s="1172"/>
      <c r="D82" s="1172"/>
      <c r="E82" s="1172"/>
      <c r="F82" s="1173"/>
      <c r="G82" s="1174"/>
      <c r="H82" s="1175"/>
      <c r="I82" s="1176"/>
      <c r="J82" s="1177"/>
      <c r="K82" s="1547"/>
      <c r="L82" s="1177"/>
      <c r="M82" s="1548"/>
      <c r="N82" s="1549"/>
      <c r="O82" s="1178"/>
      <c r="P82" s="1179"/>
      <c r="Q82" s="1171"/>
      <c r="R82" s="104"/>
      <c r="S82" s="1172"/>
      <c r="T82" s="1172"/>
      <c r="U82" s="1172"/>
      <c r="V82" s="1173"/>
      <c r="W82" s="1174"/>
      <c r="X82" s="1175"/>
      <c r="Y82" s="1176"/>
      <c r="Z82" s="1177"/>
      <c r="AA82" s="1547"/>
      <c r="AB82" s="1177"/>
      <c r="AC82" s="1548"/>
      <c r="AD82" s="1549"/>
      <c r="AE82" s="1178"/>
      <c r="AF82" s="1179"/>
      <c r="AG82" s="1171"/>
      <c r="AH82" s="104"/>
      <c r="AI82" s="1172"/>
      <c r="AJ82" s="1172"/>
      <c r="AK82" s="1172"/>
      <c r="AL82" s="1173"/>
      <c r="AM82" s="1174"/>
      <c r="AN82" s="1175"/>
      <c r="AO82" s="1176"/>
      <c r="AP82" s="1177"/>
      <c r="AQ82" s="1547"/>
      <c r="AR82" s="1177"/>
      <c r="AS82" s="1548"/>
      <c r="AT82" s="1549"/>
      <c r="AU82" s="1178"/>
      <c r="AV82" s="1179"/>
      <c r="AY82" s="3">
        <v>1</v>
      </c>
    </row>
    <row r="83" spans="2:51" ht="27" customHeight="1">
      <c r="B83" s="104"/>
      <c r="C83" s="1172"/>
      <c r="D83" s="1172"/>
      <c r="E83" s="1172"/>
      <c r="F83" s="1173"/>
      <c r="G83" s="1174"/>
      <c r="H83" s="1175"/>
      <c r="I83" s="1176"/>
      <c r="J83" s="1177"/>
      <c r="K83" s="1547"/>
      <c r="L83" s="1177"/>
      <c r="M83" s="1548"/>
      <c r="N83" s="1549"/>
      <c r="O83" s="1178"/>
      <c r="P83" s="1179"/>
      <c r="Q83" s="1171"/>
      <c r="R83" s="104"/>
      <c r="S83" s="1172"/>
      <c r="T83" s="1172"/>
      <c r="U83" s="1172"/>
      <c r="V83" s="1173"/>
      <c r="W83" s="1174"/>
      <c r="X83" s="1175"/>
      <c r="Y83" s="1176"/>
      <c r="Z83" s="1177"/>
      <c r="AA83" s="1547"/>
      <c r="AB83" s="1177"/>
      <c r="AC83" s="1548"/>
      <c r="AD83" s="1549"/>
      <c r="AE83" s="1178"/>
      <c r="AF83" s="1179"/>
      <c r="AG83" s="1171"/>
      <c r="AH83" s="104"/>
      <c r="AI83" s="1172"/>
      <c r="AJ83" s="1172"/>
      <c r="AK83" s="1172"/>
      <c r="AL83" s="1173"/>
      <c r="AM83" s="1174"/>
      <c r="AN83" s="1175"/>
      <c r="AO83" s="1176"/>
      <c r="AP83" s="1177"/>
      <c r="AQ83" s="1547"/>
      <c r="AR83" s="1177"/>
      <c r="AS83" s="1548"/>
      <c r="AT83" s="1549"/>
      <c r="AU83" s="1178"/>
      <c r="AV83" s="1179"/>
      <c r="AY83" s="3">
        <v>1</v>
      </c>
    </row>
    <row r="84" spans="2:51" ht="27" customHeight="1">
      <c r="B84" s="104"/>
      <c r="C84" s="1172"/>
      <c r="D84" s="1172"/>
      <c r="E84" s="1172"/>
      <c r="F84" s="1173"/>
      <c r="G84" s="1174"/>
      <c r="H84" s="1175"/>
      <c r="I84" s="1176"/>
      <c r="J84" s="1177"/>
      <c r="K84" s="1547"/>
      <c r="L84" s="1177"/>
      <c r="M84" s="1548"/>
      <c r="N84" s="1549"/>
      <c r="O84" s="1178"/>
      <c r="P84" s="1179"/>
      <c r="Q84" s="1171"/>
      <c r="R84" s="104"/>
      <c r="S84" s="1172"/>
      <c r="T84" s="1172"/>
      <c r="U84" s="1172"/>
      <c r="V84" s="1173"/>
      <c r="W84" s="1174"/>
      <c r="X84" s="1175"/>
      <c r="Y84" s="1176"/>
      <c r="Z84" s="1177"/>
      <c r="AA84" s="1547"/>
      <c r="AB84" s="1177"/>
      <c r="AC84" s="1548"/>
      <c r="AD84" s="1549"/>
      <c r="AE84" s="1178"/>
      <c r="AF84" s="1179"/>
      <c r="AG84" s="1171"/>
      <c r="AH84" s="104"/>
      <c r="AI84" s="1172"/>
      <c r="AJ84" s="1172"/>
      <c r="AK84" s="1172"/>
      <c r="AL84" s="1173"/>
      <c r="AM84" s="1174"/>
      <c r="AN84" s="1175"/>
      <c r="AO84" s="1176"/>
      <c r="AP84" s="1177"/>
      <c r="AQ84" s="1547"/>
      <c r="AR84" s="1177"/>
      <c r="AS84" s="1548"/>
      <c r="AT84" s="1549"/>
      <c r="AU84" s="1178"/>
      <c r="AV84" s="1179"/>
      <c r="AY84" s="3">
        <v>1</v>
      </c>
    </row>
    <row r="85" spans="2:51" ht="27" customHeight="1">
      <c r="B85" s="104"/>
      <c r="C85" s="1172"/>
      <c r="D85" s="1172"/>
      <c r="E85" s="1172"/>
      <c r="F85" s="1173"/>
      <c r="G85" s="1174"/>
      <c r="H85" s="1175"/>
      <c r="I85" s="1176"/>
      <c r="J85" s="1177"/>
      <c r="K85" s="1547"/>
      <c r="L85" s="1177"/>
      <c r="M85" s="1548"/>
      <c r="N85" s="1549"/>
      <c r="O85" s="1178"/>
      <c r="P85" s="1179"/>
      <c r="Q85" s="1171"/>
      <c r="R85" s="104"/>
      <c r="S85" s="1172"/>
      <c r="T85" s="1172"/>
      <c r="U85" s="1172"/>
      <c r="V85" s="1173"/>
      <c r="W85" s="1174"/>
      <c r="X85" s="1175"/>
      <c r="Y85" s="1176"/>
      <c r="Z85" s="1177"/>
      <c r="AA85" s="1547"/>
      <c r="AB85" s="1177"/>
      <c r="AC85" s="1548"/>
      <c r="AD85" s="1549"/>
      <c r="AE85" s="1178"/>
      <c r="AF85" s="1179"/>
      <c r="AG85" s="1171"/>
      <c r="AH85" s="104"/>
      <c r="AI85" s="1172"/>
      <c r="AJ85" s="1172"/>
      <c r="AK85" s="1172"/>
      <c r="AL85" s="1173"/>
      <c r="AM85" s="1174"/>
      <c r="AN85" s="1175"/>
      <c r="AO85" s="1176"/>
      <c r="AP85" s="1177"/>
      <c r="AQ85" s="1547"/>
      <c r="AR85" s="1177"/>
      <c r="AS85" s="1548"/>
      <c r="AT85" s="1549"/>
      <c r="AU85" s="1178"/>
      <c r="AV85" s="1179"/>
      <c r="AY85" s="3">
        <v>1</v>
      </c>
    </row>
    <row r="86" spans="2:51" ht="27" customHeight="1">
      <c r="B86" s="104"/>
      <c r="C86" s="1172"/>
      <c r="D86" s="1172"/>
      <c r="E86" s="1172"/>
      <c r="F86" s="1173"/>
      <c r="G86" s="1174"/>
      <c r="H86" s="1175"/>
      <c r="I86" s="1176"/>
      <c r="J86" s="1177"/>
      <c r="K86" s="1547"/>
      <c r="L86" s="1177"/>
      <c r="M86" s="1548"/>
      <c r="N86" s="1549"/>
      <c r="O86" s="1178"/>
      <c r="P86" s="1179"/>
      <c r="Q86" s="1171"/>
      <c r="R86" s="104"/>
      <c r="S86" s="1172"/>
      <c r="T86" s="1172"/>
      <c r="U86" s="1172"/>
      <c r="V86" s="1173"/>
      <c r="W86" s="1174"/>
      <c r="X86" s="1175"/>
      <c r="Y86" s="1176"/>
      <c r="Z86" s="1177"/>
      <c r="AA86" s="1547"/>
      <c r="AB86" s="1177"/>
      <c r="AC86" s="1548"/>
      <c r="AD86" s="1549"/>
      <c r="AE86" s="1178"/>
      <c r="AF86" s="1179"/>
      <c r="AG86" s="1171"/>
      <c r="AH86" s="104"/>
      <c r="AI86" s="1172"/>
      <c r="AJ86" s="1172"/>
      <c r="AK86" s="1172"/>
      <c r="AL86" s="1173"/>
      <c r="AM86" s="1174"/>
      <c r="AN86" s="1175"/>
      <c r="AO86" s="1176"/>
      <c r="AP86" s="1177"/>
      <c r="AQ86" s="1547"/>
      <c r="AR86" s="1177"/>
      <c r="AS86" s="1548"/>
      <c r="AT86" s="1549"/>
      <c r="AU86" s="1178"/>
      <c r="AV86" s="1179"/>
      <c r="AY86" s="3">
        <v>1</v>
      </c>
    </row>
    <row r="87" spans="2:51" ht="27" customHeight="1">
      <c r="B87" s="104"/>
      <c r="C87" s="1172"/>
      <c r="D87" s="1172"/>
      <c r="E87" s="1172"/>
      <c r="F87" s="1173"/>
      <c r="G87" s="1174"/>
      <c r="H87" s="1175"/>
      <c r="I87" s="1176"/>
      <c r="J87" s="1177"/>
      <c r="K87" s="1547"/>
      <c r="L87" s="1177"/>
      <c r="M87" s="1548"/>
      <c r="N87" s="1549"/>
      <c r="O87" s="1178"/>
      <c r="P87" s="1179"/>
      <c r="Q87" s="1171"/>
      <c r="R87" s="104"/>
      <c r="S87" s="1172"/>
      <c r="T87" s="1172"/>
      <c r="U87" s="1172"/>
      <c r="V87" s="1173"/>
      <c r="W87" s="1174"/>
      <c r="X87" s="1175"/>
      <c r="Y87" s="1176"/>
      <c r="Z87" s="1177"/>
      <c r="AA87" s="1547"/>
      <c r="AB87" s="1177"/>
      <c r="AC87" s="1548"/>
      <c r="AD87" s="1549"/>
      <c r="AE87" s="1178"/>
      <c r="AF87" s="1179"/>
      <c r="AG87" s="1171"/>
      <c r="AH87" s="104"/>
      <c r="AI87" s="1172"/>
      <c r="AJ87" s="1172"/>
      <c r="AK87" s="1172"/>
      <c r="AL87" s="1173"/>
      <c r="AM87" s="1174"/>
      <c r="AN87" s="1175"/>
      <c r="AO87" s="1176"/>
      <c r="AP87" s="1177"/>
      <c r="AQ87" s="1547"/>
      <c r="AR87" s="1177"/>
      <c r="AS87" s="1548"/>
      <c r="AT87" s="1549"/>
      <c r="AU87" s="1178"/>
      <c r="AV87" s="1179"/>
      <c r="AY87" s="3">
        <v>1</v>
      </c>
    </row>
    <row r="88" spans="2:51" ht="27" customHeight="1">
      <c r="B88" s="104"/>
      <c r="C88" s="1172"/>
      <c r="D88" s="1172"/>
      <c r="E88" s="1172"/>
      <c r="F88" s="1173"/>
      <c r="G88" s="1174"/>
      <c r="H88" s="1175"/>
      <c r="I88" s="1176"/>
      <c r="J88" s="1177"/>
      <c r="K88" s="1547"/>
      <c r="L88" s="1177"/>
      <c r="M88" s="1548"/>
      <c r="N88" s="1549"/>
      <c r="O88" s="1178"/>
      <c r="P88" s="1179"/>
      <c r="Q88" s="1171"/>
      <c r="R88" s="104"/>
      <c r="S88" s="1172"/>
      <c r="T88" s="1172"/>
      <c r="U88" s="1172"/>
      <c r="V88" s="1173"/>
      <c r="W88" s="1174"/>
      <c r="X88" s="1175"/>
      <c r="Y88" s="1176"/>
      <c r="Z88" s="1177"/>
      <c r="AA88" s="1547"/>
      <c r="AB88" s="1177"/>
      <c r="AC88" s="1548"/>
      <c r="AD88" s="1549"/>
      <c r="AE88" s="1178"/>
      <c r="AF88" s="1179"/>
      <c r="AG88" s="1171"/>
      <c r="AH88" s="104"/>
      <c r="AI88" s="1172"/>
      <c r="AJ88" s="1172"/>
      <c r="AK88" s="1172"/>
      <c r="AL88" s="1173"/>
      <c r="AM88" s="1174"/>
      <c r="AN88" s="1175"/>
      <c r="AO88" s="1176"/>
      <c r="AP88" s="1177"/>
      <c r="AQ88" s="1547"/>
      <c r="AR88" s="1177"/>
      <c r="AS88" s="1548"/>
      <c r="AT88" s="1549"/>
      <c r="AU88" s="1178"/>
      <c r="AV88" s="1179"/>
      <c r="AY88" s="3">
        <v>1</v>
      </c>
    </row>
    <row r="89" spans="2:51" ht="27" customHeight="1">
      <c r="B89" s="104"/>
      <c r="C89" s="1172"/>
      <c r="D89" s="1172"/>
      <c r="E89" s="1172"/>
      <c r="F89" s="1173"/>
      <c r="G89" s="1174"/>
      <c r="H89" s="1175"/>
      <c r="I89" s="1176"/>
      <c r="J89" s="1177"/>
      <c r="K89" s="1547"/>
      <c r="L89" s="1177"/>
      <c r="M89" s="1548"/>
      <c r="N89" s="1549"/>
      <c r="O89" s="1178"/>
      <c r="P89" s="1179"/>
      <c r="Q89" s="1171"/>
      <c r="R89" s="104"/>
      <c r="S89" s="1172"/>
      <c r="T89" s="1172"/>
      <c r="U89" s="1172"/>
      <c r="V89" s="1173"/>
      <c r="W89" s="1174"/>
      <c r="X89" s="1175"/>
      <c r="Y89" s="1176"/>
      <c r="Z89" s="1177"/>
      <c r="AA89" s="1547"/>
      <c r="AB89" s="1177"/>
      <c r="AC89" s="1548"/>
      <c r="AD89" s="1549"/>
      <c r="AE89" s="1178"/>
      <c r="AF89" s="1179"/>
      <c r="AG89" s="1171"/>
      <c r="AH89" s="104"/>
      <c r="AI89" s="1172"/>
      <c r="AJ89" s="1172"/>
      <c r="AK89" s="1172"/>
      <c r="AL89" s="1173"/>
      <c r="AM89" s="1174"/>
      <c r="AN89" s="1175"/>
      <c r="AO89" s="1176"/>
      <c r="AP89" s="1177"/>
      <c r="AQ89" s="1547"/>
      <c r="AR89" s="1177"/>
      <c r="AS89" s="1548"/>
      <c r="AT89" s="1549"/>
      <c r="AU89" s="1178"/>
      <c r="AV89" s="1179"/>
      <c r="AY89" s="3">
        <v>1</v>
      </c>
    </row>
    <row r="90" spans="2:51" ht="27" customHeight="1">
      <c r="B90" s="104"/>
      <c r="C90" s="1172"/>
      <c r="D90" s="1172"/>
      <c r="E90" s="1172"/>
      <c r="F90" s="1173"/>
      <c r="G90" s="1174"/>
      <c r="H90" s="1175"/>
      <c r="I90" s="1176"/>
      <c r="J90" s="1177"/>
      <c r="K90" s="1547"/>
      <c r="L90" s="1177"/>
      <c r="M90" s="1548"/>
      <c r="N90" s="1549"/>
      <c r="O90" s="1178"/>
      <c r="P90" s="1179"/>
      <c r="Q90" s="1171"/>
      <c r="R90" s="104"/>
      <c r="S90" s="1172"/>
      <c r="T90" s="1172"/>
      <c r="U90" s="1172"/>
      <c r="V90" s="1173"/>
      <c r="W90" s="1174"/>
      <c r="X90" s="1175"/>
      <c r="Y90" s="1176"/>
      <c r="Z90" s="1177"/>
      <c r="AA90" s="1547"/>
      <c r="AB90" s="1177"/>
      <c r="AC90" s="1548"/>
      <c r="AD90" s="1549"/>
      <c r="AE90" s="1178"/>
      <c r="AF90" s="1179"/>
      <c r="AG90" s="1171"/>
      <c r="AH90" s="104"/>
      <c r="AI90" s="1172"/>
      <c r="AJ90" s="1172"/>
      <c r="AK90" s="1172"/>
      <c r="AL90" s="1173"/>
      <c r="AM90" s="1174"/>
      <c r="AN90" s="1175"/>
      <c r="AO90" s="1176"/>
      <c r="AP90" s="1177"/>
      <c r="AQ90" s="1547"/>
      <c r="AR90" s="1177"/>
      <c r="AS90" s="1548"/>
      <c r="AT90" s="1549"/>
      <c r="AU90" s="1178"/>
      <c r="AV90" s="1179"/>
      <c r="AY90" s="3">
        <v>1</v>
      </c>
    </row>
    <row r="91" spans="2:51" ht="27" customHeight="1">
      <c r="B91" s="104"/>
      <c r="C91" s="1172"/>
      <c r="D91" s="1172"/>
      <c r="E91" s="1172"/>
      <c r="F91" s="1173"/>
      <c r="G91" s="1174"/>
      <c r="H91" s="1175"/>
      <c r="I91" s="1176"/>
      <c r="J91" s="1177"/>
      <c r="K91" s="1547"/>
      <c r="L91" s="1177"/>
      <c r="M91" s="1548"/>
      <c r="N91" s="1549"/>
      <c r="O91" s="1178"/>
      <c r="P91" s="1179"/>
      <c r="Q91" s="1171"/>
      <c r="R91" s="104"/>
      <c r="S91" s="1172"/>
      <c r="T91" s="1172"/>
      <c r="U91" s="1172"/>
      <c r="V91" s="1173"/>
      <c r="W91" s="1174"/>
      <c r="X91" s="1175"/>
      <c r="Y91" s="1176"/>
      <c r="Z91" s="1177"/>
      <c r="AA91" s="1547"/>
      <c r="AB91" s="1177"/>
      <c r="AC91" s="1548"/>
      <c r="AD91" s="1549"/>
      <c r="AE91" s="1178"/>
      <c r="AF91" s="1179"/>
      <c r="AG91" s="1171"/>
      <c r="AH91" s="104"/>
      <c r="AI91" s="1172"/>
      <c r="AJ91" s="1172"/>
      <c r="AK91" s="1172"/>
      <c r="AL91" s="1173"/>
      <c r="AM91" s="1174"/>
      <c r="AN91" s="1175"/>
      <c r="AO91" s="1176"/>
      <c r="AP91" s="1177"/>
      <c r="AQ91" s="1547"/>
      <c r="AR91" s="1177"/>
      <c r="AS91" s="1548"/>
      <c r="AT91" s="1549"/>
      <c r="AU91" s="1178"/>
      <c r="AV91" s="1179"/>
      <c r="AY91" s="3">
        <v>1</v>
      </c>
    </row>
    <row r="92" spans="2:51" ht="27" customHeight="1">
      <c r="B92" s="104"/>
      <c r="C92" s="1172"/>
      <c r="D92" s="1172"/>
      <c r="E92" s="1172"/>
      <c r="F92" s="1173"/>
      <c r="G92" s="1174"/>
      <c r="H92" s="1175"/>
      <c r="I92" s="1176"/>
      <c r="J92" s="1177"/>
      <c r="K92" s="1547"/>
      <c r="L92" s="1177"/>
      <c r="M92" s="1548"/>
      <c r="N92" s="1549"/>
      <c r="O92" s="1178"/>
      <c r="P92" s="1179"/>
      <c r="Q92" s="1171"/>
      <c r="R92" s="104"/>
      <c r="S92" s="1172"/>
      <c r="T92" s="1172"/>
      <c r="U92" s="1172"/>
      <c r="V92" s="1173"/>
      <c r="W92" s="1174"/>
      <c r="X92" s="1175"/>
      <c r="Y92" s="1176"/>
      <c r="Z92" s="1177"/>
      <c r="AA92" s="1547"/>
      <c r="AB92" s="1177"/>
      <c r="AC92" s="1548"/>
      <c r="AD92" s="1549"/>
      <c r="AE92" s="1178"/>
      <c r="AF92" s="1179"/>
      <c r="AG92" s="1171"/>
      <c r="AH92" s="104"/>
      <c r="AI92" s="1172"/>
      <c r="AJ92" s="1172"/>
      <c r="AK92" s="1172"/>
      <c r="AL92" s="1173"/>
      <c r="AM92" s="1174"/>
      <c r="AN92" s="1175"/>
      <c r="AO92" s="1176"/>
      <c r="AP92" s="1177"/>
      <c r="AQ92" s="1547"/>
      <c r="AR92" s="1177"/>
      <c r="AS92" s="1548"/>
      <c r="AT92" s="1549"/>
      <c r="AU92" s="1178"/>
      <c r="AV92" s="1179"/>
      <c r="AY92" s="3">
        <v>1</v>
      </c>
    </row>
    <row r="93" spans="2:51" ht="27" customHeight="1">
      <c r="B93" s="104"/>
      <c r="C93" s="1172"/>
      <c r="D93" s="1172"/>
      <c r="E93" s="1172"/>
      <c r="F93" s="1173"/>
      <c r="G93" s="1174"/>
      <c r="H93" s="1175"/>
      <c r="I93" s="1176"/>
      <c r="J93" s="1177"/>
      <c r="K93" s="1547"/>
      <c r="L93" s="1177"/>
      <c r="M93" s="1548"/>
      <c r="N93" s="1549"/>
      <c r="O93" s="1178"/>
      <c r="P93" s="1179"/>
      <c r="Q93" s="1171"/>
      <c r="R93" s="104"/>
      <c r="S93" s="1172"/>
      <c r="T93" s="1172"/>
      <c r="U93" s="1172"/>
      <c r="V93" s="1173"/>
      <c r="W93" s="1174"/>
      <c r="X93" s="1175"/>
      <c r="Y93" s="1176"/>
      <c r="Z93" s="1177"/>
      <c r="AA93" s="1547"/>
      <c r="AB93" s="1177"/>
      <c r="AC93" s="1548"/>
      <c r="AD93" s="1549"/>
      <c r="AE93" s="1178"/>
      <c r="AF93" s="1179"/>
      <c r="AG93" s="1171"/>
      <c r="AH93" s="104"/>
      <c r="AI93" s="1172"/>
      <c r="AJ93" s="1172"/>
      <c r="AK93" s="1172"/>
      <c r="AL93" s="1173"/>
      <c r="AM93" s="1174"/>
      <c r="AN93" s="1175"/>
      <c r="AO93" s="1176"/>
      <c r="AP93" s="1177"/>
      <c r="AQ93" s="1547"/>
      <c r="AR93" s="1177"/>
      <c r="AS93" s="1548"/>
      <c r="AT93" s="1549"/>
      <c r="AU93" s="1178"/>
      <c r="AV93" s="1179"/>
      <c r="AY93" s="3">
        <v>1</v>
      </c>
    </row>
    <row r="94" spans="2:51" ht="27" customHeight="1">
      <c r="B94" s="104"/>
      <c r="C94" s="1172"/>
      <c r="D94" s="1172"/>
      <c r="E94" s="1172"/>
      <c r="F94" s="1173"/>
      <c r="G94" s="1174"/>
      <c r="H94" s="1175"/>
      <c r="I94" s="1176"/>
      <c r="J94" s="1177"/>
      <c r="K94" s="1547"/>
      <c r="L94" s="1177"/>
      <c r="M94" s="1548"/>
      <c r="N94" s="1549"/>
      <c r="O94" s="1178"/>
      <c r="P94" s="1179"/>
      <c r="Q94" s="1171"/>
      <c r="R94" s="104"/>
      <c r="S94" s="1172"/>
      <c r="T94" s="1172"/>
      <c r="U94" s="1172"/>
      <c r="V94" s="1173"/>
      <c r="W94" s="1174"/>
      <c r="X94" s="1175"/>
      <c r="Y94" s="1176"/>
      <c r="Z94" s="1177"/>
      <c r="AA94" s="1547"/>
      <c r="AB94" s="1177"/>
      <c r="AC94" s="1548"/>
      <c r="AD94" s="1549"/>
      <c r="AE94" s="1178"/>
      <c r="AF94" s="1179"/>
      <c r="AG94" s="1171"/>
      <c r="AH94" s="104"/>
      <c r="AI94" s="1172"/>
      <c r="AJ94" s="1172"/>
      <c r="AK94" s="1172"/>
      <c r="AL94" s="1173"/>
      <c r="AM94" s="1174"/>
      <c r="AN94" s="1175"/>
      <c r="AO94" s="1176"/>
      <c r="AP94" s="1177"/>
      <c r="AQ94" s="1547"/>
      <c r="AR94" s="1177"/>
      <c r="AS94" s="1548"/>
      <c r="AT94" s="1549"/>
      <c r="AU94" s="1178"/>
      <c r="AV94" s="1179"/>
      <c r="AY94" s="3">
        <v>1</v>
      </c>
    </row>
    <row r="95" spans="2:51" ht="27" customHeight="1">
      <c r="B95" s="104"/>
      <c r="C95" s="1172"/>
      <c r="D95" s="1172"/>
      <c r="E95" s="1172"/>
      <c r="F95" s="1173"/>
      <c r="G95" s="1174"/>
      <c r="H95" s="1175"/>
      <c r="I95" s="1176"/>
      <c r="J95" s="1177"/>
      <c r="K95" s="1547"/>
      <c r="L95" s="1177"/>
      <c r="M95" s="1548"/>
      <c r="N95" s="1549"/>
      <c r="O95" s="1178"/>
      <c r="P95" s="1179"/>
      <c r="Q95" s="1171"/>
      <c r="R95" s="104"/>
      <c r="S95" s="1172"/>
      <c r="T95" s="1172"/>
      <c r="U95" s="1172"/>
      <c r="V95" s="1173"/>
      <c r="W95" s="1174"/>
      <c r="X95" s="1175"/>
      <c r="Y95" s="1176"/>
      <c r="Z95" s="1177"/>
      <c r="AA95" s="1547"/>
      <c r="AB95" s="1177"/>
      <c r="AC95" s="1548"/>
      <c r="AD95" s="1549"/>
      <c r="AE95" s="1178"/>
      <c r="AF95" s="1179"/>
      <c r="AG95" s="1171"/>
      <c r="AH95" s="104"/>
      <c r="AI95" s="1172"/>
      <c r="AJ95" s="1172"/>
      <c r="AK95" s="1172"/>
      <c r="AL95" s="1173"/>
      <c r="AM95" s="1174"/>
      <c r="AN95" s="1175"/>
      <c r="AO95" s="1176"/>
      <c r="AP95" s="1177"/>
      <c r="AQ95" s="1547"/>
      <c r="AR95" s="1177"/>
      <c r="AS95" s="1548"/>
      <c r="AT95" s="1549"/>
      <c r="AU95" s="1178"/>
      <c r="AV95" s="1179"/>
      <c r="AY95" s="3">
        <v>1</v>
      </c>
    </row>
    <row r="96" spans="2:51" ht="27" customHeight="1">
      <c r="B96" s="104"/>
      <c r="C96" s="1172"/>
      <c r="D96" s="1172"/>
      <c r="E96" s="1172"/>
      <c r="F96" s="1173"/>
      <c r="G96" s="1174"/>
      <c r="H96" s="1175"/>
      <c r="I96" s="1176"/>
      <c r="J96" s="1177"/>
      <c r="K96" s="1547"/>
      <c r="L96" s="1177"/>
      <c r="M96" s="1548"/>
      <c r="N96" s="1549"/>
      <c r="O96" s="1178"/>
      <c r="P96" s="1179"/>
      <c r="Q96" s="1171"/>
      <c r="R96" s="104"/>
      <c r="S96" s="1172"/>
      <c r="T96" s="1172"/>
      <c r="U96" s="1172"/>
      <c r="V96" s="1173"/>
      <c r="W96" s="1174"/>
      <c r="X96" s="1175"/>
      <c r="Y96" s="1176"/>
      <c r="Z96" s="1177"/>
      <c r="AA96" s="1547"/>
      <c r="AB96" s="1177"/>
      <c r="AC96" s="1548"/>
      <c r="AD96" s="1549"/>
      <c r="AE96" s="1178"/>
      <c r="AF96" s="1179"/>
      <c r="AG96" s="1171"/>
      <c r="AH96" s="104"/>
      <c r="AI96" s="1172"/>
      <c r="AJ96" s="1172"/>
      <c r="AK96" s="1172"/>
      <c r="AL96" s="1173"/>
      <c r="AM96" s="1174"/>
      <c r="AN96" s="1175"/>
      <c r="AO96" s="1176"/>
      <c r="AP96" s="1177"/>
      <c r="AQ96" s="1547"/>
      <c r="AR96" s="1177"/>
      <c r="AS96" s="1548"/>
      <c r="AT96" s="1549"/>
      <c r="AU96" s="1178"/>
      <c r="AV96" s="1179"/>
      <c r="AY96" s="3">
        <v>1</v>
      </c>
    </row>
    <row r="97" spans="2:51" ht="27" customHeight="1">
      <c r="B97" s="104"/>
      <c r="C97" s="1172"/>
      <c r="D97" s="1172"/>
      <c r="E97" s="1172"/>
      <c r="F97" s="1173"/>
      <c r="G97" s="1174"/>
      <c r="H97" s="1175"/>
      <c r="I97" s="1176"/>
      <c r="J97" s="1177"/>
      <c r="K97" s="1547"/>
      <c r="L97" s="1177"/>
      <c r="M97" s="1548"/>
      <c r="N97" s="1549"/>
      <c r="O97" s="1178"/>
      <c r="P97" s="1179"/>
      <c r="Q97" s="1171"/>
      <c r="R97" s="104"/>
      <c r="S97" s="1172"/>
      <c r="T97" s="1172"/>
      <c r="U97" s="1172"/>
      <c r="V97" s="1173"/>
      <c r="W97" s="1174"/>
      <c r="X97" s="1175"/>
      <c r="Y97" s="1176"/>
      <c r="Z97" s="1177"/>
      <c r="AA97" s="1547"/>
      <c r="AB97" s="1177"/>
      <c r="AC97" s="1548"/>
      <c r="AD97" s="1549"/>
      <c r="AE97" s="1178"/>
      <c r="AF97" s="1179"/>
      <c r="AG97" s="1171"/>
      <c r="AH97" s="104"/>
      <c r="AI97" s="1172"/>
      <c r="AJ97" s="1172"/>
      <c r="AK97" s="1172"/>
      <c r="AL97" s="1173"/>
      <c r="AM97" s="1174"/>
      <c r="AN97" s="1175"/>
      <c r="AO97" s="1176"/>
      <c r="AP97" s="1177"/>
      <c r="AQ97" s="1547"/>
      <c r="AR97" s="1177"/>
      <c r="AS97" s="1548"/>
      <c r="AT97" s="1549"/>
      <c r="AU97" s="1178"/>
      <c r="AV97" s="1179"/>
      <c r="AY97" s="3">
        <v>1</v>
      </c>
    </row>
    <row r="98" spans="2:51" ht="27" customHeight="1">
      <c r="B98" s="104"/>
      <c r="C98" s="1172"/>
      <c r="D98" s="1172"/>
      <c r="E98" s="1172"/>
      <c r="F98" s="1173"/>
      <c r="G98" s="1174"/>
      <c r="H98" s="1175"/>
      <c r="I98" s="1176"/>
      <c r="J98" s="1177"/>
      <c r="K98" s="1547"/>
      <c r="L98" s="1177"/>
      <c r="M98" s="1548"/>
      <c r="N98" s="1549"/>
      <c r="O98" s="1178"/>
      <c r="P98" s="1179"/>
      <c r="Q98" s="1171"/>
      <c r="R98" s="104"/>
      <c r="S98" s="1172"/>
      <c r="T98" s="1172"/>
      <c r="U98" s="1172"/>
      <c r="V98" s="1173"/>
      <c r="W98" s="1174"/>
      <c r="X98" s="1175"/>
      <c r="Y98" s="1176"/>
      <c r="Z98" s="1177"/>
      <c r="AA98" s="1547"/>
      <c r="AB98" s="1177"/>
      <c r="AC98" s="1548"/>
      <c r="AD98" s="1549"/>
      <c r="AE98" s="1178"/>
      <c r="AF98" s="1179"/>
      <c r="AG98" s="1171"/>
      <c r="AH98" s="104"/>
      <c r="AI98" s="1172"/>
      <c r="AJ98" s="1172"/>
      <c r="AK98" s="1172"/>
      <c r="AL98" s="1173"/>
      <c r="AM98" s="1174"/>
      <c r="AN98" s="1175"/>
      <c r="AO98" s="1176"/>
      <c r="AP98" s="1177"/>
      <c r="AQ98" s="1547"/>
      <c r="AR98" s="1177"/>
      <c r="AS98" s="1548"/>
      <c r="AT98" s="1549"/>
      <c r="AU98" s="1178"/>
      <c r="AV98" s="1179"/>
      <c r="AY98" s="3">
        <v>1</v>
      </c>
    </row>
    <row r="99" spans="2:51" ht="27" customHeight="1">
      <c r="B99" s="104"/>
      <c r="C99" s="1172"/>
      <c r="D99" s="1172"/>
      <c r="E99" s="1172"/>
      <c r="F99" s="1173"/>
      <c r="G99" s="1174"/>
      <c r="H99" s="1175"/>
      <c r="I99" s="1176"/>
      <c r="J99" s="1177"/>
      <c r="K99" s="1547"/>
      <c r="L99" s="1177"/>
      <c r="M99" s="1548"/>
      <c r="N99" s="1549"/>
      <c r="O99" s="1178"/>
      <c r="P99" s="1179"/>
      <c r="Q99" s="1171"/>
      <c r="R99" s="104"/>
      <c r="S99" s="1172"/>
      <c r="T99" s="1172"/>
      <c r="U99" s="1172"/>
      <c r="V99" s="1173"/>
      <c r="W99" s="1174"/>
      <c r="X99" s="1175"/>
      <c r="Y99" s="1176"/>
      <c r="Z99" s="1177"/>
      <c r="AA99" s="1547"/>
      <c r="AB99" s="1177"/>
      <c r="AC99" s="1548"/>
      <c r="AD99" s="1549"/>
      <c r="AE99" s="1178"/>
      <c r="AF99" s="1179"/>
      <c r="AG99" s="1171"/>
      <c r="AH99" s="104"/>
      <c r="AI99" s="1172"/>
      <c r="AJ99" s="1172"/>
      <c r="AK99" s="1172"/>
      <c r="AL99" s="1173"/>
      <c r="AM99" s="1174"/>
      <c r="AN99" s="1175"/>
      <c r="AO99" s="1176"/>
      <c r="AP99" s="1177"/>
      <c r="AQ99" s="1547"/>
      <c r="AR99" s="1177"/>
      <c r="AS99" s="1548"/>
      <c r="AT99" s="1549"/>
      <c r="AU99" s="1178"/>
      <c r="AV99" s="1179"/>
      <c r="AY99" s="3">
        <v>1</v>
      </c>
    </row>
    <row r="100" spans="2:51" ht="27" customHeight="1">
      <c r="B100" s="104"/>
      <c r="C100" s="1172"/>
      <c r="D100" s="1172"/>
      <c r="E100" s="1172"/>
      <c r="F100" s="1173"/>
      <c r="G100" s="1174"/>
      <c r="H100" s="1175"/>
      <c r="I100" s="1176"/>
      <c r="J100" s="1177"/>
      <c r="K100" s="1547"/>
      <c r="L100" s="1177"/>
      <c r="M100" s="1548"/>
      <c r="N100" s="1549"/>
      <c r="O100" s="1178"/>
      <c r="P100" s="1179"/>
      <c r="Q100" s="1171"/>
      <c r="R100" s="104"/>
      <c r="S100" s="1172"/>
      <c r="T100" s="1172"/>
      <c r="U100" s="1172"/>
      <c r="V100" s="1173"/>
      <c r="W100" s="1174"/>
      <c r="X100" s="1175"/>
      <c r="Y100" s="1176"/>
      <c r="Z100" s="1177"/>
      <c r="AA100" s="1547"/>
      <c r="AB100" s="1177"/>
      <c r="AC100" s="1548"/>
      <c r="AD100" s="1549"/>
      <c r="AE100" s="1178"/>
      <c r="AF100" s="1179"/>
      <c r="AG100" s="1171"/>
      <c r="AH100" s="104"/>
      <c r="AI100" s="1172"/>
      <c r="AJ100" s="1172"/>
      <c r="AK100" s="1172"/>
      <c r="AL100" s="1173"/>
      <c r="AM100" s="1174"/>
      <c r="AN100" s="1175"/>
      <c r="AO100" s="1176"/>
      <c r="AP100" s="1177"/>
      <c r="AQ100" s="1547"/>
      <c r="AR100" s="1177"/>
      <c r="AS100" s="1548"/>
      <c r="AT100" s="1549"/>
      <c r="AU100" s="1178"/>
      <c r="AV100" s="1179"/>
      <c r="AY100" s="3">
        <v>1</v>
      </c>
    </row>
    <row r="101" spans="2:51" ht="27" customHeight="1">
      <c r="B101" s="104"/>
      <c r="C101" s="1172"/>
      <c r="D101" s="1172"/>
      <c r="E101" s="1172"/>
      <c r="F101" s="1173"/>
      <c r="G101" s="1174"/>
      <c r="H101" s="1175"/>
      <c r="I101" s="1176"/>
      <c r="J101" s="1177"/>
      <c r="K101" s="1547"/>
      <c r="L101" s="1177"/>
      <c r="M101" s="1548"/>
      <c r="N101" s="1549"/>
      <c r="O101" s="1178"/>
      <c r="P101" s="1179"/>
      <c r="Q101" s="1171"/>
      <c r="R101" s="104"/>
      <c r="S101" s="1172"/>
      <c r="T101" s="1172"/>
      <c r="U101" s="1172"/>
      <c r="V101" s="1173"/>
      <c r="W101" s="1174"/>
      <c r="X101" s="1175"/>
      <c r="Y101" s="1176"/>
      <c r="Z101" s="1177"/>
      <c r="AA101" s="1547"/>
      <c r="AB101" s="1177"/>
      <c r="AC101" s="1548"/>
      <c r="AD101" s="1549"/>
      <c r="AE101" s="1178"/>
      <c r="AF101" s="1179"/>
      <c r="AG101" s="1171"/>
      <c r="AH101" s="104"/>
      <c r="AI101" s="1172"/>
      <c r="AJ101" s="1172"/>
      <c r="AK101" s="1172"/>
      <c r="AL101" s="1173"/>
      <c r="AM101" s="1174"/>
      <c r="AN101" s="1175"/>
      <c r="AO101" s="1176"/>
      <c r="AP101" s="1177"/>
      <c r="AQ101" s="1547"/>
      <c r="AR101" s="1177"/>
      <c r="AS101" s="1548"/>
      <c r="AT101" s="1549"/>
      <c r="AU101" s="1178"/>
      <c r="AV101" s="1179"/>
      <c r="AY101" s="3">
        <v>1</v>
      </c>
    </row>
    <row r="102" spans="2:51" ht="27" customHeight="1">
      <c r="B102" s="104"/>
      <c r="C102" s="1172"/>
      <c r="D102" s="1172"/>
      <c r="E102" s="1172"/>
      <c r="F102" s="1173"/>
      <c r="G102" s="1174"/>
      <c r="H102" s="1175"/>
      <c r="I102" s="1176"/>
      <c r="J102" s="1177"/>
      <c r="K102" s="1547"/>
      <c r="L102" s="1177"/>
      <c r="M102" s="1548"/>
      <c r="N102" s="1549"/>
      <c r="O102" s="1178"/>
      <c r="P102" s="1179"/>
      <c r="Q102" s="1171"/>
      <c r="R102" s="104"/>
      <c r="S102" s="1172"/>
      <c r="T102" s="1172"/>
      <c r="U102" s="1172"/>
      <c r="V102" s="1173"/>
      <c r="W102" s="1174"/>
      <c r="X102" s="1175"/>
      <c r="Y102" s="1176"/>
      <c r="Z102" s="1177"/>
      <c r="AA102" s="1547"/>
      <c r="AB102" s="1177"/>
      <c r="AC102" s="1548"/>
      <c r="AD102" s="1549"/>
      <c r="AE102" s="1178"/>
      <c r="AF102" s="1179"/>
      <c r="AG102" s="1171"/>
      <c r="AH102" s="104"/>
      <c r="AI102" s="1172"/>
      <c r="AJ102" s="1172"/>
      <c r="AK102" s="1172"/>
      <c r="AL102" s="1173"/>
      <c r="AM102" s="1174"/>
      <c r="AN102" s="1175"/>
      <c r="AO102" s="1176"/>
      <c r="AP102" s="1177"/>
      <c r="AQ102" s="1547"/>
      <c r="AR102" s="1177"/>
      <c r="AS102" s="1548"/>
      <c r="AT102" s="1549"/>
      <c r="AU102" s="1178"/>
      <c r="AV102" s="1179"/>
      <c r="AY102" s="3">
        <v>1</v>
      </c>
    </row>
    <row r="103" spans="2:51" ht="27" customHeight="1">
      <c r="B103" s="104"/>
      <c r="C103" s="1172"/>
      <c r="D103" s="1172"/>
      <c r="E103" s="1172"/>
      <c r="F103" s="1173"/>
      <c r="G103" s="1174"/>
      <c r="H103" s="1175"/>
      <c r="I103" s="1176"/>
      <c r="J103" s="1177"/>
      <c r="K103" s="1547"/>
      <c r="L103" s="1177"/>
      <c r="M103" s="1548"/>
      <c r="N103" s="1549"/>
      <c r="O103" s="1178"/>
      <c r="P103" s="1179"/>
      <c r="Q103" s="1171"/>
      <c r="R103" s="104"/>
      <c r="S103" s="1172"/>
      <c r="T103" s="1172"/>
      <c r="U103" s="1172"/>
      <c r="V103" s="1173"/>
      <c r="W103" s="1174"/>
      <c r="X103" s="1175"/>
      <c r="Y103" s="1176"/>
      <c r="Z103" s="1177"/>
      <c r="AA103" s="1547"/>
      <c r="AB103" s="1177"/>
      <c r="AC103" s="1548"/>
      <c r="AD103" s="1549"/>
      <c r="AE103" s="1178"/>
      <c r="AF103" s="1179"/>
      <c r="AG103" s="1171"/>
      <c r="AH103" s="104"/>
      <c r="AI103" s="1172"/>
      <c r="AJ103" s="1172"/>
      <c r="AK103" s="1172"/>
      <c r="AL103" s="1173"/>
      <c r="AM103" s="1174"/>
      <c r="AN103" s="1175"/>
      <c r="AO103" s="1176"/>
      <c r="AP103" s="1177"/>
      <c r="AQ103" s="1547"/>
      <c r="AR103" s="1177"/>
      <c r="AS103" s="1548"/>
      <c r="AT103" s="1549"/>
      <c r="AU103" s="1178"/>
      <c r="AV103" s="1179"/>
      <c r="AY103" s="3">
        <v>1</v>
      </c>
    </row>
    <row r="104" spans="2:51" ht="27" customHeight="1">
      <c r="B104" s="104"/>
      <c r="C104" s="1172"/>
      <c r="D104" s="1172"/>
      <c r="E104" s="1172"/>
      <c r="F104" s="1173"/>
      <c r="G104" s="1174"/>
      <c r="H104" s="1175"/>
      <c r="I104" s="1176"/>
      <c r="J104" s="1177"/>
      <c r="K104" s="1547"/>
      <c r="L104" s="1177"/>
      <c r="M104" s="1548"/>
      <c r="N104" s="1549"/>
      <c r="O104" s="1178"/>
      <c r="P104" s="1179"/>
      <c r="Q104" s="1171"/>
      <c r="R104" s="104"/>
      <c r="S104" s="1172"/>
      <c r="T104" s="1172"/>
      <c r="U104" s="1172"/>
      <c r="V104" s="1173"/>
      <c r="W104" s="1174"/>
      <c r="X104" s="1175"/>
      <c r="Y104" s="1176"/>
      <c r="Z104" s="1177"/>
      <c r="AA104" s="1547"/>
      <c r="AB104" s="1177"/>
      <c r="AC104" s="1548"/>
      <c r="AD104" s="1549"/>
      <c r="AE104" s="1178"/>
      <c r="AF104" s="1179"/>
      <c r="AG104" s="1171"/>
      <c r="AH104" s="104"/>
      <c r="AI104" s="1172"/>
      <c r="AJ104" s="1172"/>
      <c r="AK104" s="1172"/>
      <c r="AL104" s="1173"/>
      <c r="AM104" s="1174"/>
      <c r="AN104" s="1175"/>
      <c r="AO104" s="1176"/>
      <c r="AP104" s="1177"/>
      <c r="AQ104" s="1547"/>
      <c r="AR104" s="1177"/>
      <c r="AS104" s="1548"/>
      <c r="AT104" s="1549"/>
      <c r="AU104" s="1178"/>
      <c r="AV104" s="1179"/>
      <c r="AY104" s="3">
        <v>1</v>
      </c>
    </row>
    <row r="105" spans="2:51" ht="27" customHeight="1">
      <c r="B105" s="104"/>
      <c r="C105" s="1172"/>
      <c r="D105" s="1172"/>
      <c r="E105" s="1172"/>
      <c r="F105" s="1173"/>
      <c r="G105" s="1174"/>
      <c r="H105" s="1175"/>
      <c r="I105" s="1176"/>
      <c r="J105" s="1177"/>
      <c r="K105" s="1547"/>
      <c r="L105" s="1177"/>
      <c r="M105" s="1548"/>
      <c r="N105" s="1549"/>
      <c r="O105" s="1178"/>
      <c r="P105" s="1179"/>
      <c r="Q105" s="1171"/>
      <c r="R105" s="104"/>
      <c r="S105" s="1172"/>
      <c r="T105" s="1172"/>
      <c r="U105" s="1172"/>
      <c r="V105" s="1173"/>
      <c r="W105" s="1174"/>
      <c r="X105" s="1175"/>
      <c r="Y105" s="1176"/>
      <c r="Z105" s="1177"/>
      <c r="AA105" s="1547"/>
      <c r="AB105" s="1177"/>
      <c r="AC105" s="1548"/>
      <c r="AD105" s="1549"/>
      <c r="AE105" s="1178"/>
      <c r="AF105" s="1179"/>
      <c r="AG105" s="1171"/>
      <c r="AH105" s="104"/>
      <c r="AI105" s="1172"/>
      <c r="AJ105" s="1172"/>
      <c r="AK105" s="1172"/>
      <c r="AL105" s="1173"/>
      <c r="AM105" s="1174"/>
      <c r="AN105" s="1175"/>
      <c r="AO105" s="1176"/>
      <c r="AP105" s="1177"/>
      <c r="AQ105" s="1547"/>
      <c r="AR105" s="1177"/>
      <c r="AS105" s="1548"/>
      <c r="AT105" s="1549"/>
      <c r="AU105" s="1178"/>
      <c r="AV105" s="1179"/>
      <c r="AY105" s="3">
        <v>1</v>
      </c>
    </row>
    <row r="106" spans="2:51" ht="27" customHeight="1">
      <c r="B106" s="104"/>
      <c r="C106" s="1172"/>
      <c r="D106" s="1172"/>
      <c r="E106" s="1172"/>
      <c r="F106" s="1173"/>
      <c r="G106" s="1174"/>
      <c r="H106" s="1175"/>
      <c r="I106" s="1176"/>
      <c r="J106" s="1177"/>
      <c r="K106" s="1547"/>
      <c r="L106" s="1177"/>
      <c r="M106" s="1548"/>
      <c r="N106" s="1549"/>
      <c r="O106" s="1178"/>
      <c r="P106" s="1179"/>
      <c r="Q106" s="1171"/>
      <c r="R106" s="104"/>
      <c r="S106" s="1172"/>
      <c r="T106" s="1172"/>
      <c r="U106" s="1172"/>
      <c r="V106" s="1173"/>
      <c r="W106" s="1174"/>
      <c r="X106" s="1175"/>
      <c r="Y106" s="1176"/>
      <c r="Z106" s="1177"/>
      <c r="AA106" s="1547"/>
      <c r="AB106" s="1177"/>
      <c r="AC106" s="1548"/>
      <c r="AD106" s="1549"/>
      <c r="AE106" s="1178"/>
      <c r="AF106" s="1179"/>
      <c r="AG106" s="1171"/>
      <c r="AH106" s="104"/>
      <c r="AI106" s="1172"/>
      <c r="AJ106" s="1172"/>
      <c r="AK106" s="1172"/>
      <c r="AL106" s="1173"/>
      <c r="AM106" s="1174"/>
      <c r="AN106" s="1175"/>
      <c r="AO106" s="1176"/>
      <c r="AP106" s="1177"/>
      <c r="AQ106" s="1547"/>
      <c r="AR106" s="1177"/>
      <c r="AS106" s="1548"/>
      <c r="AT106" s="1549"/>
      <c r="AU106" s="1178"/>
      <c r="AV106" s="1179"/>
      <c r="AY106" s="3">
        <v>1</v>
      </c>
    </row>
    <row r="107" spans="2:51" ht="27" customHeight="1">
      <c r="B107" s="104"/>
      <c r="C107" s="1172"/>
      <c r="D107" s="1172"/>
      <c r="E107" s="1172"/>
      <c r="F107" s="1173"/>
      <c r="G107" s="1174"/>
      <c r="H107" s="1175"/>
      <c r="I107" s="1176"/>
      <c r="J107" s="1177"/>
      <c r="K107" s="1547"/>
      <c r="L107" s="1177"/>
      <c r="M107" s="1548"/>
      <c r="N107" s="1549"/>
      <c r="O107" s="1178"/>
      <c r="P107" s="1179"/>
      <c r="Q107" s="1171"/>
      <c r="R107" s="104"/>
      <c r="S107" s="1172"/>
      <c r="T107" s="1172"/>
      <c r="U107" s="1172"/>
      <c r="V107" s="1173"/>
      <c r="W107" s="1174"/>
      <c r="X107" s="1175"/>
      <c r="Y107" s="1176"/>
      <c r="Z107" s="1177"/>
      <c r="AA107" s="1547"/>
      <c r="AB107" s="1177"/>
      <c r="AC107" s="1548"/>
      <c r="AD107" s="1549"/>
      <c r="AE107" s="1178"/>
      <c r="AF107" s="1179"/>
      <c r="AG107" s="1171"/>
      <c r="AH107" s="104"/>
      <c r="AI107" s="1172"/>
      <c r="AJ107" s="1172"/>
      <c r="AK107" s="1172"/>
      <c r="AL107" s="1173"/>
      <c r="AM107" s="1174"/>
      <c r="AN107" s="1175"/>
      <c r="AO107" s="1176"/>
      <c r="AP107" s="1177"/>
      <c r="AQ107" s="1547"/>
      <c r="AR107" s="1177"/>
      <c r="AS107" s="1548"/>
      <c r="AT107" s="1549"/>
      <c r="AU107" s="1178"/>
      <c r="AV107" s="1179"/>
      <c r="AY107" s="3">
        <v>1</v>
      </c>
    </row>
    <row r="108" spans="2:51" ht="27" customHeight="1">
      <c r="B108" s="104"/>
      <c r="C108" s="1172"/>
      <c r="D108" s="1172"/>
      <c r="E108" s="1172"/>
      <c r="F108" s="1173"/>
      <c r="G108" s="1174"/>
      <c r="H108" s="1175"/>
      <c r="I108" s="1176"/>
      <c r="J108" s="1177"/>
      <c r="K108" s="1547"/>
      <c r="L108" s="1177"/>
      <c r="M108" s="1548"/>
      <c r="N108" s="1549"/>
      <c r="O108" s="1178"/>
      <c r="P108" s="1179"/>
      <c r="Q108" s="1171"/>
      <c r="R108" s="104"/>
      <c r="S108" s="1172"/>
      <c r="T108" s="1172"/>
      <c r="U108" s="1172"/>
      <c r="V108" s="1173"/>
      <c r="W108" s="1174"/>
      <c r="X108" s="1175"/>
      <c r="Y108" s="1176"/>
      <c r="Z108" s="1177"/>
      <c r="AA108" s="1547"/>
      <c r="AB108" s="1177"/>
      <c r="AC108" s="1548"/>
      <c r="AD108" s="1549"/>
      <c r="AE108" s="1178"/>
      <c r="AF108" s="1179"/>
      <c r="AG108" s="1171"/>
      <c r="AH108" s="104"/>
      <c r="AI108" s="1172"/>
      <c r="AJ108" s="1172"/>
      <c r="AK108" s="1172"/>
      <c r="AL108" s="1173"/>
      <c r="AM108" s="1174"/>
      <c r="AN108" s="1175"/>
      <c r="AO108" s="1176"/>
      <c r="AP108" s="1177"/>
      <c r="AQ108" s="1547"/>
      <c r="AR108" s="1177"/>
      <c r="AS108" s="1548"/>
      <c r="AT108" s="1549"/>
      <c r="AU108" s="1178"/>
      <c r="AV108" s="1179"/>
      <c r="AY108" s="3">
        <v>1</v>
      </c>
    </row>
    <row r="109" spans="2:51" ht="27" customHeight="1">
      <c r="B109" s="104"/>
      <c r="C109" s="1172"/>
      <c r="D109" s="1172"/>
      <c r="E109" s="1172"/>
      <c r="F109" s="1173"/>
      <c r="G109" s="1174"/>
      <c r="H109" s="1175"/>
      <c r="I109" s="1176"/>
      <c r="J109" s="1177"/>
      <c r="K109" s="1547"/>
      <c r="L109" s="1177"/>
      <c r="M109" s="1548"/>
      <c r="N109" s="1549"/>
      <c r="O109" s="1178"/>
      <c r="P109" s="1179"/>
      <c r="Q109" s="1171"/>
      <c r="R109" s="104"/>
      <c r="S109" s="1172"/>
      <c r="T109" s="1172"/>
      <c r="U109" s="1172"/>
      <c r="V109" s="1173"/>
      <c r="W109" s="1174"/>
      <c r="X109" s="1175"/>
      <c r="Y109" s="1176"/>
      <c r="Z109" s="1177"/>
      <c r="AA109" s="1547"/>
      <c r="AB109" s="1177"/>
      <c r="AC109" s="1548"/>
      <c r="AD109" s="1549"/>
      <c r="AE109" s="1178"/>
      <c r="AF109" s="1179"/>
      <c r="AG109" s="1171"/>
      <c r="AH109" s="104"/>
      <c r="AI109" s="1172"/>
      <c r="AJ109" s="1172"/>
      <c r="AK109" s="1172"/>
      <c r="AL109" s="1173"/>
      <c r="AM109" s="1174"/>
      <c r="AN109" s="1175"/>
      <c r="AO109" s="1176"/>
      <c r="AP109" s="1177"/>
      <c r="AQ109" s="1547"/>
      <c r="AR109" s="1177"/>
      <c r="AS109" s="1548"/>
      <c r="AT109" s="1549"/>
      <c r="AU109" s="1178"/>
      <c r="AV109" s="1179"/>
      <c r="AY109" s="3">
        <v>1</v>
      </c>
    </row>
    <row r="110" spans="2:51" ht="27" customHeight="1">
      <c r="B110" s="104"/>
      <c r="C110" s="1172"/>
      <c r="D110" s="1172"/>
      <c r="E110" s="1172"/>
      <c r="F110" s="1173"/>
      <c r="G110" s="1174"/>
      <c r="H110" s="1175"/>
      <c r="I110" s="1176"/>
      <c r="J110" s="1177"/>
      <c r="K110" s="1547"/>
      <c r="L110" s="1177"/>
      <c r="M110" s="1548"/>
      <c r="N110" s="1549"/>
      <c r="O110" s="1178"/>
      <c r="P110" s="1179"/>
      <c r="Q110" s="1171"/>
      <c r="R110" s="104"/>
      <c r="S110" s="1172"/>
      <c r="T110" s="1172"/>
      <c r="U110" s="1172"/>
      <c r="V110" s="1173"/>
      <c r="W110" s="1174"/>
      <c r="X110" s="1175"/>
      <c r="Y110" s="1176"/>
      <c r="Z110" s="1177"/>
      <c r="AA110" s="1547"/>
      <c r="AB110" s="1177"/>
      <c r="AC110" s="1548"/>
      <c r="AD110" s="1549"/>
      <c r="AE110" s="1178"/>
      <c r="AF110" s="1179"/>
      <c r="AG110" s="1171"/>
      <c r="AH110" s="104"/>
      <c r="AI110" s="1172"/>
      <c r="AJ110" s="1172"/>
      <c r="AK110" s="1172"/>
      <c r="AL110" s="1173"/>
      <c r="AM110" s="1174"/>
      <c r="AN110" s="1175"/>
      <c r="AO110" s="1176"/>
      <c r="AP110" s="1177"/>
      <c r="AQ110" s="1547"/>
      <c r="AR110" s="1177"/>
      <c r="AS110" s="1548"/>
      <c r="AT110" s="1549"/>
      <c r="AU110" s="1178"/>
      <c r="AV110" s="1179"/>
      <c r="AY110" s="3">
        <v>1</v>
      </c>
    </row>
    <row r="111" spans="2:51" ht="27" customHeight="1">
      <c r="B111" s="104"/>
      <c r="C111" s="1172"/>
      <c r="D111" s="1172"/>
      <c r="E111" s="1172"/>
      <c r="F111" s="1173"/>
      <c r="G111" s="1174"/>
      <c r="H111" s="1175"/>
      <c r="I111" s="1176"/>
      <c r="J111" s="1177"/>
      <c r="K111" s="1547"/>
      <c r="L111" s="1177"/>
      <c r="M111" s="1548"/>
      <c r="N111" s="1549"/>
      <c r="O111" s="1178"/>
      <c r="P111" s="1179"/>
      <c r="Q111" s="1171"/>
      <c r="R111" s="104"/>
      <c r="S111" s="1172"/>
      <c r="T111" s="1172"/>
      <c r="U111" s="1172"/>
      <c r="V111" s="1173"/>
      <c r="W111" s="1174"/>
      <c r="X111" s="1175"/>
      <c r="Y111" s="1176"/>
      <c r="Z111" s="1177"/>
      <c r="AA111" s="1547"/>
      <c r="AB111" s="1177"/>
      <c r="AC111" s="1548"/>
      <c r="AD111" s="1549"/>
      <c r="AE111" s="1178"/>
      <c r="AF111" s="1179"/>
      <c r="AG111" s="1171"/>
      <c r="AH111" s="104"/>
      <c r="AI111" s="1172"/>
      <c r="AJ111" s="1172"/>
      <c r="AK111" s="1172"/>
      <c r="AL111" s="1173"/>
      <c r="AM111" s="1174"/>
      <c r="AN111" s="1175"/>
      <c r="AO111" s="1176"/>
      <c r="AP111" s="1177"/>
      <c r="AQ111" s="1547"/>
      <c r="AR111" s="1177"/>
      <c r="AS111" s="1548"/>
      <c r="AT111" s="1549"/>
      <c r="AU111" s="1178"/>
      <c r="AV111" s="1179"/>
      <c r="AY111" s="3">
        <v>1</v>
      </c>
    </row>
    <row r="112" spans="2:51" ht="27" customHeight="1">
      <c r="B112" s="104"/>
      <c r="C112" s="1172"/>
      <c r="D112" s="1172"/>
      <c r="E112" s="1172"/>
      <c r="F112" s="1173"/>
      <c r="G112" s="1174"/>
      <c r="H112" s="1175"/>
      <c r="I112" s="1176"/>
      <c r="J112" s="1177"/>
      <c r="K112" s="1547"/>
      <c r="L112" s="1177"/>
      <c r="M112" s="1548"/>
      <c r="N112" s="1549"/>
      <c r="O112" s="1178"/>
      <c r="P112" s="1179"/>
      <c r="Q112" s="1171"/>
      <c r="R112" s="104"/>
      <c r="S112" s="1172"/>
      <c r="T112" s="1172"/>
      <c r="U112" s="1172"/>
      <c r="V112" s="1173"/>
      <c r="W112" s="1174"/>
      <c r="X112" s="1175"/>
      <c r="Y112" s="1176"/>
      <c r="Z112" s="1177"/>
      <c r="AA112" s="1547"/>
      <c r="AB112" s="1177"/>
      <c r="AC112" s="1548"/>
      <c r="AD112" s="1549"/>
      <c r="AE112" s="1178"/>
      <c r="AF112" s="1179"/>
      <c r="AG112" s="1171"/>
      <c r="AH112" s="104"/>
      <c r="AI112" s="1172"/>
      <c r="AJ112" s="1172"/>
      <c r="AK112" s="1172"/>
      <c r="AL112" s="1173"/>
      <c r="AM112" s="1174"/>
      <c r="AN112" s="1175"/>
      <c r="AO112" s="1176"/>
      <c r="AP112" s="1177"/>
      <c r="AQ112" s="1547"/>
      <c r="AR112" s="1177"/>
      <c r="AS112" s="1548"/>
      <c r="AT112" s="1549"/>
      <c r="AU112" s="1178"/>
      <c r="AV112" s="1179"/>
      <c r="AY112" s="3">
        <v>1</v>
      </c>
    </row>
    <row r="113" spans="2:51" ht="27" customHeight="1">
      <c r="B113" s="104"/>
      <c r="C113" s="1172"/>
      <c r="D113" s="1172"/>
      <c r="E113" s="1172"/>
      <c r="F113" s="1173"/>
      <c r="G113" s="1174"/>
      <c r="H113" s="1175"/>
      <c r="I113" s="1176"/>
      <c r="J113" s="1177"/>
      <c r="K113" s="1547"/>
      <c r="L113" s="1177"/>
      <c r="M113" s="1548"/>
      <c r="N113" s="1549"/>
      <c r="O113" s="1178"/>
      <c r="P113" s="1179"/>
      <c r="Q113" s="1171"/>
      <c r="R113" s="104"/>
      <c r="S113" s="1172"/>
      <c r="T113" s="1172"/>
      <c r="U113" s="1172"/>
      <c r="V113" s="1173"/>
      <c r="W113" s="1174"/>
      <c r="X113" s="1175"/>
      <c r="Y113" s="1176"/>
      <c r="Z113" s="1177"/>
      <c r="AA113" s="1547"/>
      <c r="AB113" s="1177"/>
      <c r="AC113" s="1548"/>
      <c r="AD113" s="1549"/>
      <c r="AE113" s="1178"/>
      <c r="AF113" s="1179"/>
      <c r="AG113" s="1171"/>
      <c r="AH113" s="104"/>
      <c r="AI113" s="1172"/>
      <c r="AJ113" s="1172"/>
      <c r="AK113" s="1172"/>
      <c r="AL113" s="1173"/>
      <c r="AM113" s="1174"/>
      <c r="AN113" s="1175"/>
      <c r="AO113" s="1176"/>
      <c r="AP113" s="1177"/>
      <c r="AQ113" s="1547"/>
      <c r="AR113" s="1177"/>
      <c r="AS113" s="1548"/>
      <c r="AT113" s="1549"/>
      <c r="AU113" s="1178"/>
      <c r="AV113" s="1179"/>
      <c r="AY113" s="3">
        <v>1</v>
      </c>
    </row>
    <row r="114" spans="2:51" ht="27" customHeight="1">
      <c r="B114" s="104"/>
      <c r="C114" s="1172"/>
      <c r="D114" s="1172"/>
      <c r="E114" s="1172"/>
      <c r="F114" s="1173"/>
      <c r="G114" s="1174"/>
      <c r="H114" s="1175"/>
      <c r="I114" s="1176"/>
      <c r="J114" s="1177"/>
      <c r="K114" s="1547"/>
      <c r="L114" s="1177"/>
      <c r="M114" s="1548"/>
      <c r="N114" s="1549"/>
      <c r="O114" s="1178"/>
      <c r="P114" s="1179"/>
      <c r="Q114" s="1171"/>
      <c r="R114" s="104"/>
      <c r="S114" s="1172"/>
      <c r="T114" s="1172"/>
      <c r="U114" s="1172"/>
      <c r="V114" s="1173"/>
      <c r="W114" s="1174"/>
      <c r="X114" s="1175"/>
      <c r="Y114" s="1176"/>
      <c r="Z114" s="1177"/>
      <c r="AA114" s="1547"/>
      <c r="AB114" s="1177"/>
      <c r="AC114" s="1548"/>
      <c r="AD114" s="1549"/>
      <c r="AE114" s="1178"/>
      <c r="AF114" s="1179"/>
      <c r="AG114" s="1171"/>
      <c r="AH114" s="104"/>
      <c r="AI114" s="1172"/>
      <c r="AJ114" s="1172"/>
      <c r="AK114" s="1172"/>
      <c r="AL114" s="1173"/>
      <c r="AM114" s="1174"/>
      <c r="AN114" s="1175"/>
      <c r="AO114" s="1176"/>
      <c r="AP114" s="1177"/>
      <c r="AQ114" s="1547"/>
      <c r="AR114" s="1177"/>
      <c r="AS114" s="1548"/>
      <c r="AT114" s="1549"/>
      <c r="AU114" s="1178"/>
      <c r="AV114" s="1179"/>
      <c r="AY114" s="3">
        <v>1</v>
      </c>
    </row>
    <row r="115" spans="2:51" ht="27" customHeight="1">
      <c r="B115" s="104"/>
      <c r="C115" s="1172"/>
      <c r="D115" s="1172"/>
      <c r="E115" s="1172"/>
      <c r="F115" s="1173"/>
      <c r="G115" s="1174"/>
      <c r="H115" s="1175"/>
      <c r="I115" s="1176"/>
      <c r="J115" s="1177"/>
      <c r="K115" s="1547"/>
      <c r="L115" s="1177"/>
      <c r="M115" s="1548"/>
      <c r="N115" s="1549"/>
      <c r="O115" s="1178"/>
      <c r="P115" s="1179"/>
      <c r="Q115" s="1171"/>
      <c r="R115" s="104"/>
      <c r="S115" s="1172"/>
      <c r="T115" s="1172"/>
      <c r="U115" s="1172"/>
      <c r="V115" s="1173"/>
      <c r="W115" s="1174"/>
      <c r="X115" s="1175"/>
      <c r="Y115" s="1176"/>
      <c r="Z115" s="1177"/>
      <c r="AA115" s="1547"/>
      <c r="AB115" s="1177"/>
      <c r="AC115" s="1548"/>
      <c r="AD115" s="1549"/>
      <c r="AE115" s="1178"/>
      <c r="AF115" s="1179"/>
      <c r="AG115" s="1171"/>
      <c r="AH115" s="104"/>
      <c r="AI115" s="1172"/>
      <c r="AJ115" s="1172"/>
      <c r="AK115" s="1172"/>
      <c r="AL115" s="1173"/>
      <c r="AM115" s="1174"/>
      <c r="AN115" s="1175"/>
      <c r="AO115" s="1176"/>
      <c r="AP115" s="1177"/>
      <c r="AQ115" s="1547"/>
      <c r="AR115" s="1177"/>
      <c r="AS115" s="1548"/>
      <c r="AT115" s="1549"/>
      <c r="AU115" s="1178"/>
      <c r="AV115" s="1179"/>
      <c r="AY115" s="3">
        <v>1</v>
      </c>
    </row>
    <row r="116" spans="2:51" ht="27" customHeight="1">
      <c r="B116" s="104"/>
      <c r="C116" s="1172"/>
      <c r="D116" s="1172"/>
      <c r="E116" s="1172"/>
      <c r="F116" s="1173"/>
      <c r="G116" s="1174"/>
      <c r="H116" s="1175"/>
      <c r="I116" s="1176"/>
      <c r="J116" s="1177"/>
      <c r="K116" s="1547"/>
      <c r="L116" s="1177"/>
      <c r="M116" s="1548"/>
      <c r="N116" s="1549"/>
      <c r="O116" s="1178"/>
      <c r="P116" s="1179"/>
      <c r="Q116" s="1171"/>
      <c r="R116" s="104"/>
      <c r="S116" s="1172"/>
      <c r="T116" s="1172"/>
      <c r="U116" s="1172"/>
      <c r="V116" s="1173"/>
      <c r="W116" s="1174"/>
      <c r="X116" s="1175"/>
      <c r="Y116" s="1176"/>
      <c r="Z116" s="1177"/>
      <c r="AA116" s="1547"/>
      <c r="AB116" s="1177"/>
      <c r="AC116" s="1548"/>
      <c r="AD116" s="1549"/>
      <c r="AE116" s="1178"/>
      <c r="AF116" s="1179"/>
      <c r="AG116" s="1171"/>
      <c r="AH116" s="104"/>
      <c r="AI116" s="1172"/>
      <c r="AJ116" s="1172"/>
      <c r="AK116" s="1172"/>
      <c r="AL116" s="1173"/>
      <c r="AM116" s="1174"/>
      <c r="AN116" s="1175"/>
      <c r="AO116" s="1176"/>
      <c r="AP116" s="1177"/>
      <c r="AQ116" s="1547"/>
      <c r="AR116" s="1177"/>
      <c r="AS116" s="1548"/>
      <c r="AT116" s="1549"/>
      <c r="AU116" s="1178"/>
      <c r="AV116" s="1179"/>
      <c r="AY116" s="3">
        <v>1</v>
      </c>
    </row>
    <row r="117" spans="2:51" ht="27" customHeight="1">
      <c r="B117" s="104"/>
      <c r="C117" s="1172"/>
      <c r="D117" s="1172"/>
      <c r="E117" s="1172"/>
      <c r="F117" s="1173"/>
      <c r="G117" s="1174"/>
      <c r="H117" s="1175"/>
      <c r="I117" s="1176"/>
      <c r="J117" s="1177"/>
      <c r="K117" s="1547"/>
      <c r="L117" s="1177"/>
      <c r="M117" s="1548"/>
      <c r="N117" s="1549"/>
      <c r="O117" s="1178"/>
      <c r="P117" s="1179"/>
      <c r="Q117" s="1171"/>
      <c r="R117" s="104"/>
      <c r="S117" s="1172"/>
      <c r="T117" s="1172"/>
      <c r="U117" s="1172"/>
      <c r="V117" s="1173"/>
      <c r="W117" s="1174"/>
      <c r="X117" s="1175"/>
      <c r="Y117" s="1176"/>
      <c r="Z117" s="1177"/>
      <c r="AA117" s="1547"/>
      <c r="AB117" s="1177"/>
      <c r="AC117" s="1548"/>
      <c r="AD117" s="1549"/>
      <c r="AE117" s="1178"/>
      <c r="AF117" s="1179"/>
      <c r="AG117" s="1171"/>
      <c r="AH117" s="104"/>
      <c r="AI117" s="1172"/>
      <c r="AJ117" s="1172"/>
      <c r="AK117" s="1172"/>
      <c r="AL117" s="1173"/>
      <c r="AM117" s="1174"/>
      <c r="AN117" s="1175"/>
      <c r="AO117" s="1176"/>
      <c r="AP117" s="1177"/>
      <c r="AQ117" s="1547"/>
      <c r="AR117" s="1177"/>
      <c r="AS117" s="1548"/>
      <c r="AT117" s="1549"/>
      <c r="AU117" s="1178"/>
      <c r="AV117" s="1179"/>
      <c r="AY117" s="3">
        <v>1</v>
      </c>
    </row>
    <row r="118" spans="2:51" ht="27" customHeight="1">
      <c r="B118" s="104"/>
      <c r="C118" s="1172"/>
      <c r="D118" s="1172"/>
      <c r="E118" s="1172"/>
      <c r="F118" s="1173"/>
      <c r="G118" s="1174"/>
      <c r="H118" s="1175"/>
      <c r="I118" s="1176"/>
      <c r="J118" s="1177"/>
      <c r="K118" s="1547"/>
      <c r="L118" s="1177"/>
      <c r="M118" s="1548"/>
      <c r="N118" s="1549"/>
      <c r="O118" s="1178"/>
      <c r="P118" s="1179"/>
      <c r="Q118" s="1171"/>
      <c r="R118" s="104"/>
      <c r="S118" s="1172"/>
      <c r="T118" s="1172"/>
      <c r="U118" s="1172"/>
      <c r="V118" s="1173"/>
      <c r="W118" s="1174"/>
      <c r="X118" s="1175"/>
      <c r="Y118" s="1176"/>
      <c r="Z118" s="1177"/>
      <c r="AA118" s="1547"/>
      <c r="AB118" s="1177"/>
      <c r="AC118" s="1548"/>
      <c r="AD118" s="1549"/>
      <c r="AE118" s="1178"/>
      <c r="AF118" s="1179"/>
      <c r="AG118" s="1171"/>
      <c r="AH118" s="104"/>
      <c r="AI118" s="1172"/>
      <c r="AJ118" s="1172"/>
      <c r="AK118" s="1172"/>
      <c r="AL118" s="1173"/>
      <c r="AM118" s="1174"/>
      <c r="AN118" s="1175"/>
      <c r="AO118" s="1176"/>
      <c r="AP118" s="1177"/>
      <c r="AQ118" s="1547"/>
      <c r="AR118" s="1177"/>
      <c r="AS118" s="1548"/>
      <c r="AT118" s="1549"/>
      <c r="AU118" s="1178"/>
      <c r="AV118" s="1179"/>
      <c r="AY118" s="3">
        <v>1</v>
      </c>
    </row>
    <row r="119" spans="2:51" ht="27" customHeight="1">
      <c r="B119" s="104"/>
      <c r="C119" s="1172"/>
      <c r="D119" s="1172"/>
      <c r="E119" s="1172"/>
      <c r="F119" s="1173"/>
      <c r="G119" s="1174"/>
      <c r="H119" s="1175"/>
      <c r="I119" s="1176"/>
      <c r="J119" s="1177"/>
      <c r="K119" s="1547"/>
      <c r="L119" s="1177"/>
      <c r="M119" s="1548"/>
      <c r="N119" s="1549"/>
      <c r="O119" s="1178"/>
      <c r="P119" s="1179"/>
      <c r="Q119" s="1171"/>
      <c r="R119" s="104"/>
      <c r="S119" s="1172"/>
      <c r="T119" s="1172"/>
      <c r="U119" s="1172"/>
      <c r="V119" s="1173"/>
      <c r="W119" s="1174"/>
      <c r="X119" s="1175"/>
      <c r="Y119" s="1176"/>
      <c r="Z119" s="1177"/>
      <c r="AA119" s="1547"/>
      <c r="AB119" s="1177"/>
      <c r="AC119" s="1548"/>
      <c r="AD119" s="1549"/>
      <c r="AE119" s="1178"/>
      <c r="AF119" s="1179"/>
      <c r="AG119" s="1171"/>
      <c r="AH119" s="104"/>
      <c r="AI119" s="1172"/>
      <c r="AJ119" s="1172"/>
      <c r="AK119" s="1172"/>
      <c r="AL119" s="1173"/>
      <c r="AM119" s="1174"/>
      <c r="AN119" s="1175"/>
      <c r="AO119" s="1176"/>
      <c r="AP119" s="1177"/>
      <c r="AQ119" s="1547"/>
      <c r="AR119" s="1177"/>
      <c r="AS119" s="1548"/>
      <c r="AT119" s="1549"/>
      <c r="AU119" s="1178"/>
      <c r="AV119" s="1179"/>
      <c r="AY119" s="3">
        <v>1</v>
      </c>
    </row>
    <row r="120" spans="2:51" ht="27" customHeight="1">
      <c r="B120" s="104"/>
      <c r="C120" s="1172"/>
      <c r="D120" s="1172"/>
      <c r="E120" s="1172"/>
      <c r="F120" s="1173"/>
      <c r="G120" s="1174"/>
      <c r="H120" s="1175"/>
      <c r="I120" s="1176"/>
      <c r="J120" s="1177"/>
      <c r="K120" s="1547"/>
      <c r="L120" s="1177"/>
      <c r="M120" s="1548"/>
      <c r="N120" s="1549"/>
      <c r="O120" s="1178"/>
      <c r="P120" s="1179"/>
      <c r="Q120" s="1171"/>
      <c r="R120" s="104"/>
      <c r="S120" s="1172"/>
      <c r="T120" s="1172"/>
      <c r="U120" s="1172"/>
      <c r="V120" s="1173"/>
      <c r="W120" s="1174"/>
      <c r="X120" s="1175"/>
      <c r="Y120" s="1176"/>
      <c r="Z120" s="1177"/>
      <c r="AA120" s="1547"/>
      <c r="AB120" s="1177"/>
      <c r="AC120" s="1548"/>
      <c r="AD120" s="1549"/>
      <c r="AE120" s="1178"/>
      <c r="AF120" s="1179"/>
      <c r="AG120" s="1171"/>
      <c r="AH120" s="104"/>
      <c r="AI120" s="1172"/>
      <c r="AJ120" s="1172"/>
      <c r="AK120" s="1172"/>
      <c r="AL120" s="1173"/>
      <c r="AM120" s="1174"/>
      <c r="AN120" s="1175"/>
      <c r="AO120" s="1176"/>
      <c r="AP120" s="1177"/>
      <c r="AQ120" s="1547"/>
      <c r="AR120" s="1177"/>
      <c r="AS120" s="1548"/>
      <c r="AT120" s="1549"/>
      <c r="AU120" s="1178"/>
      <c r="AV120" s="1179"/>
      <c r="AY120" s="3">
        <v>1</v>
      </c>
    </row>
    <row r="121" spans="2:51" ht="27" customHeight="1">
      <c r="B121" s="104"/>
      <c r="C121" s="1172"/>
      <c r="D121" s="1172"/>
      <c r="E121" s="1172"/>
      <c r="F121" s="1173"/>
      <c r="G121" s="1174"/>
      <c r="H121" s="1175"/>
      <c r="I121" s="1176"/>
      <c r="J121" s="1177"/>
      <c r="K121" s="1547"/>
      <c r="L121" s="1177"/>
      <c r="M121" s="1548"/>
      <c r="N121" s="1549"/>
      <c r="O121" s="1178"/>
      <c r="P121" s="1179"/>
      <c r="Q121" s="1171"/>
      <c r="R121" s="104"/>
      <c r="S121" s="1172"/>
      <c r="T121" s="1172"/>
      <c r="U121" s="1172"/>
      <c r="V121" s="1173"/>
      <c r="W121" s="1174"/>
      <c r="X121" s="1175"/>
      <c r="Y121" s="1176"/>
      <c r="Z121" s="1177"/>
      <c r="AA121" s="1547"/>
      <c r="AB121" s="1177"/>
      <c r="AC121" s="1548"/>
      <c r="AD121" s="1549"/>
      <c r="AE121" s="1178"/>
      <c r="AF121" s="1179"/>
      <c r="AH121" s="104"/>
      <c r="AI121" s="1172"/>
      <c r="AJ121" s="1172"/>
      <c r="AK121" s="1172"/>
      <c r="AL121" s="1173"/>
      <c r="AM121" s="1174"/>
      <c r="AN121" s="1175"/>
      <c r="AO121" s="1176"/>
      <c r="AP121" s="1177"/>
      <c r="AQ121" s="1547"/>
      <c r="AR121" s="1177"/>
      <c r="AS121" s="1548"/>
      <c r="AT121" s="1549"/>
      <c r="AU121" s="1178"/>
      <c r="AV121" s="1179"/>
      <c r="AY121" s="3">
        <v>1</v>
      </c>
    </row>
    <row r="122" spans="2:51" ht="27" customHeight="1">
      <c r="B122" s="104"/>
      <c r="C122" s="1172"/>
      <c r="D122" s="1172"/>
      <c r="E122" s="1172"/>
      <c r="F122" s="1173"/>
      <c r="G122" s="1174"/>
      <c r="H122" s="1175"/>
      <c r="I122" s="1176"/>
      <c r="J122" s="1177"/>
      <c r="K122" s="1547"/>
      <c r="L122" s="1177"/>
      <c r="M122" s="1548"/>
      <c r="N122" s="1549"/>
      <c r="O122" s="1178"/>
      <c r="P122" s="1179"/>
      <c r="Q122" s="1171"/>
      <c r="R122" s="104"/>
      <c r="S122" s="1172"/>
      <c r="T122" s="1172"/>
      <c r="U122" s="1172"/>
      <c r="V122" s="1173"/>
      <c r="W122" s="1174"/>
      <c r="X122" s="1175"/>
      <c r="Y122" s="1176"/>
      <c r="Z122" s="1177"/>
      <c r="AA122" s="1547"/>
      <c r="AB122" s="1177"/>
      <c r="AC122" s="1548"/>
      <c r="AD122" s="1549"/>
      <c r="AE122" s="1178"/>
      <c r="AF122" s="1179"/>
      <c r="AH122" s="104"/>
      <c r="AI122" s="1172"/>
      <c r="AJ122" s="1172"/>
      <c r="AK122" s="1172"/>
      <c r="AL122" s="1173"/>
      <c r="AM122" s="1174"/>
      <c r="AN122" s="1175"/>
      <c r="AO122" s="1176"/>
      <c r="AP122" s="1177"/>
      <c r="AQ122" s="1547"/>
      <c r="AR122" s="1177"/>
      <c r="AS122" s="1548"/>
      <c r="AT122" s="1549"/>
      <c r="AU122" s="1178"/>
      <c r="AV122" s="1179"/>
      <c r="AY122" s="3">
        <v>1</v>
      </c>
    </row>
    <row r="123" spans="2:51" ht="27" customHeight="1">
      <c r="B123" s="104"/>
      <c r="C123" s="1172"/>
      <c r="D123" s="1172"/>
      <c r="E123" s="1172"/>
      <c r="F123" s="1173"/>
      <c r="G123" s="1174"/>
      <c r="H123" s="1175"/>
      <c r="I123" s="1176"/>
      <c r="J123" s="1177"/>
      <c r="K123" s="1547"/>
      <c r="L123" s="1177"/>
      <c r="M123" s="1548"/>
      <c r="N123" s="1549"/>
      <c r="O123" s="1178"/>
      <c r="P123" s="1179"/>
      <c r="Q123" s="1171"/>
      <c r="R123" s="104"/>
      <c r="S123" s="1172"/>
      <c r="T123" s="1172"/>
      <c r="U123" s="1172"/>
      <c r="V123" s="1173"/>
      <c r="W123" s="1174"/>
      <c r="X123" s="1175"/>
      <c r="Y123" s="1176"/>
      <c r="Z123" s="1177"/>
      <c r="AA123" s="1547"/>
      <c r="AB123" s="1177"/>
      <c r="AC123" s="1548"/>
      <c r="AD123" s="1549"/>
      <c r="AE123" s="1178"/>
      <c r="AF123" s="1179"/>
      <c r="AH123" s="104"/>
      <c r="AI123" s="1172"/>
      <c r="AJ123" s="1172"/>
      <c r="AK123" s="1172"/>
      <c r="AL123" s="1173"/>
      <c r="AM123" s="1174"/>
      <c r="AN123" s="1175"/>
      <c r="AO123" s="1176"/>
      <c r="AP123" s="1177"/>
      <c r="AQ123" s="1547"/>
      <c r="AR123" s="1177"/>
      <c r="AS123" s="1548"/>
      <c r="AT123" s="1549"/>
      <c r="AU123" s="1178"/>
      <c r="AV123" s="1179"/>
      <c r="AY123" s="3">
        <v>1</v>
      </c>
    </row>
    <row r="124" spans="2:51" ht="27" customHeight="1">
      <c r="B124" s="104"/>
      <c r="C124" s="1172"/>
      <c r="D124" s="1172"/>
      <c r="E124" s="1172"/>
      <c r="F124" s="1173"/>
      <c r="G124" s="1174"/>
      <c r="H124" s="1175"/>
      <c r="I124" s="1176"/>
      <c r="J124" s="1177"/>
      <c r="K124" s="1547"/>
      <c r="L124" s="1177"/>
      <c r="M124" s="1548"/>
      <c r="N124" s="1549"/>
      <c r="O124" s="1178"/>
      <c r="P124" s="1179"/>
      <c r="Q124" s="1171"/>
      <c r="R124" s="104"/>
      <c r="S124" s="1172"/>
      <c r="T124" s="1172"/>
      <c r="U124" s="1172"/>
      <c r="V124" s="1173"/>
      <c r="W124" s="1174"/>
      <c r="X124" s="1175"/>
      <c r="Y124" s="1176"/>
      <c r="Z124" s="1177"/>
      <c r="AA124" s="1547"/>
      <c r="AB124" s="1177"/>
      <c r="AC124" s="1548"/>
      <c r="AD124" s="1549"/>
      <c r="AE124" s="1178"/>
      <c r="AF124" s="1179"/>
      <c r="AG124" s="1171"/>
      <c r="AH124" s="104"/>
      <c r="AI124" s="1172"/>
      <c r="AJ124" s="1172"/>
      <c r="AK124" s="1172"/>
      <c r="AL124" s="1173"/>
      <c r="AM124" s="1174"/>
      <c r="AN124" s="1175"/>
      <c r="AO124" s="1176"/>
      <c r="AP124" s="1177"/>
      <c r="AQ124" s="1547"/>
      <c r="AR124" s="1177"/>
      <c r="AS124" s="1548"/>
      <c r="AT124" s="1549"/>
      <c r="AU124" s="1178"/>
      <c r="AV124" s="1179"/>
      <c r="AY124" s="3">
        <v>1</v>
      </c>
    </row>
    <row r="125" spans="2:51" ht="27" customHeight="1">
      <c r="B125" s="104"/>
      <c r="C125" s="1172"/>
      <c r="D125" s="1172"/>
      <c r="E125" s="1172"/>
      <c r="F125" s="1173"/>
      <c r="G125" s="1174"/>
      <c r="H125" s="1175"/>
      <c r="I125" s="1176"/>
      <c r="J125" s="1177"/>
      <c r="K125" s="1547"/>
      <c r="L125" s="1177"/>
      <c r="M125" s="1548"/>
      <c r="N125" s="1549"/>
      <c r="O125" s="1178"/>
      <c r="P125" s="1179"/>
      <c r="Q125" s="1171"/>
      <c r="R125" s="104"/>
      <c r="S125" s="1172"/>
      <c r="T125" s="1172"/>
      <c r="U125" s="1172"/>
      <c r="V125" s="1173"/>
      <c r="W125" s="1174"/>
      <c r="X125" s="1175"/>
      <c r="Y125" s="1176"/>
      <c r="Z125" s="1177"/>
      <c r="AA125" s="1547"/>
      <c r="AB125" s="1177"/>
      <c r="AC125" s="1548"/>
      <c r="AD125" s="1549"/>
      <c r="AE125" s="1178"/>
      <c r="AF125" s="1179"/>
      <c r="AG125" s="1171"/>
      <c r="AH125" s="104"/>
      <c r="AI125" s="1172"/>
      <c r="AJ125" s="1172"/>
      <c r="AK125" s="1172"/>
      <c r="AL125" s="1173"/>
      <c r="AM125" s="1174"/>
      <c r="AN125" s="1175"/>
      <c r="AO125" s="1176"/>
      <c r="AP125" s="1177"/>
      <c r="AQ125" s="1547"/>
      <c r="AR125" s="1177"/>
      <c r="AS125" s="1548"/>
      <c r="AT125" s="1549"/>
      <c r="AU125" s="1178"/>
      <c r="AV125" s="1179"/>
      <c r="AY125" s="3">
        <v>1</v>
      </c>
    </row>
    <row r="126" spans="2:51" ht="27" customHeight="1">
      <c r="B126" s="104"/>
      <c r="C126" s="1172"/>
      <c r="D126" s="1172"/>
      <c r="E126" s="1172"/>
      <c r="F126" s="1173"/>
      <c r="G126" s="1174"/>
      <c r="H126" s="1175"/>
      <c r="I126" s="1176"/>
      <c r="J126" s="1177"/>
      <c r="K126" s="1547"/>
      <c r="L126" s="1177"/>
      <c r="M126" s="1548"/>
      <c r="N126" s="1549"/>
      <c r="O126" s="1178"/>
      <c r="P126" s="1179"/>
      <c r="Q126" s="1171"/>
      <c r="R126" s="104"/>
      <c r="S126" s="1172"/>
      <c r="T126" s="1172"/>
      <c r="U126" s="1172"/>
      <c r="V126" s="1173"/>
      <c r="W126" s="1174"/>
      <c r="X126" s="1175"/>
      <c r="Y126" s="1176"/>
      <c r="Z126" s="1177"/>
      <c r="AA126" s="1547"/>
      <c r="AB126" s="1177"/>
      <c r="AC126" s="1548"/>
      <c r="AD126" s="1549"/>
      <c r="AE126" s="1178"/>
      <c r="AF126" s="1179"/>
      <c r="AG126" s="1171"/>
      <c r="AH126" s="104"/>
      <c r="AI126" s="1172"/>
      <c r="AJ126" s="1172"/>
      <c r="AK126" s="1172"/>
      <c r="AL126" s="1173"/>
      <c r="AM126" s="1174"/>
      <c r="AN126" s="1175"/>
      <c r="AO126" s="1176"/>
      <c r="AP126" s="1177"/>
      <c r="AQ126" s="1547"/>
      <c r="AR126" s="1177"/>
      <c r="AS126" s="1548"/>
      <c r="AT126" s="1549"/>
      <c r="AU126" s="1178"/>
      <c r="AV126" s="1179"/>
      <c r="AY126" s="3">
        <v>1</v>
      </c>
    </row>
    <row r="127" spans="2:51" ht="27" customHeight="1">
      <c r="B127" s="104"/>
      <c r="C127" s="1172"/>
      <c r="D127" s="1172"/>
      <c r="E127" s="1172"/>
      <c r="F127" s="1173"/>
      <c r="G127" s="1174"/>
      <c r="H127" s="1175"/>
      <c r="I127" s="1176"/>
      <c r="J127" s="1177"/>
      <c r="K127" s="1547"/>
      <c r="L127" s="1177"/>
      <c r="M127" s="1548"/>
      <c r="N127" s="1549"/>
      <c r="O127" s="1178"/>
      <c r="P127" s="1179"/>
      <c r="Q127" s="1171"/>
      <c r="R127" s="104"/>
      <c r="S127" s="1172"/>
      <c r="T127" s="1172"/>
      <c r="U127" s="1172"/>
      <c r="V127" s="1173"/>
      <c r="W127" s="1174"/>
      <c r="X127" s="1175"/>
      <c r="Y127" s="1176"/>
      <c r="Z127" s="1177"/>
      <c r="AA127" s="1547"/>
      <c r="AB127" s="1177"/>
      <c r="AC127" s="1548"/>
      <c r="AD127" s="1549"/>
      <c r="AE127" s="1178"/>
      <c r="AF127" s="1179"/>
      <c r="AG127" s="1171"/>
      <c r="AH127" s="104"/>
      <c r="AI127" s="1172"/>
      <c r="AJ127" s="1172"/>
      <c r="AK127" s="1172"/>
      <c r="AL127" s="1173"/>
      <c r="AM127" s="1174"/>
      <c r="AN127" s="1175"/>
      <c r="AO127" s="1176"/>
      <c r="AP127" s="1177"/>
      <c r="AQ127" s="1547"/>
      <c r="AR127" s="1177"/>
      <c r="AS127" s="1548"/>
      <c r="AT127" s="1549"/>
      <c r="AU127" s="1178"/>
      <c r="AV127" s="1179"/>
      <c r="AY127" s="3">
        <v>1</v>
      </c>
    </row>
    <row r="128" spans="2:51" ht="27" customHeight="1">
      <c r="B128" s="104"/>
      <c r="C128" s="1172"/>
      <c r="D128" s="1172"/>
      <c r="E128" s="1172"/>
      <c r="F128" s="1173"/>
      <c r="G128" s="1174"/>
      <c r="H128" s="1175"/>
      <c r="I128" s="1176"/>
      <c r="J128" s="1177"/>
      <c r="K128" s="1547"/>
      <c r="L128" s="1177"/>
      <c r="M128" s="1548"/>
      <c r="N128" s="1549"/>
      <c r="O128" s="1178"/>
      <c r="P128" s="1179"/>
      <c r="Q128" s="1171"/>
      <c r="R128" s="104"/>
      <c r="S128" s="1172"/>
      <c r="T128" s="1172"/>
      <c r="U128" s="1172"/>
      <c r="V128" s="1173"/>
      <c r="W128" s="1174"/>
      <c r="X128" s="1175"/>
      <c r="Y128" s="1176"/>
      <c r="Z128" s="1177"/>
      <c r="AA128" s="1547"/>
      <c r="AB128" s="1177"/>
      <c r="AC128" s="1548"/>
      <c r="AD128" s="1549"/>
      <c r="AE128" s="1178"/>
      <c r="AF128" s="1179"/>
      <c r="AG128" s="1171"/>
      <c r="AH128" s="104"/>
      <c r="AI128" s="1172"/>
      <c r="AJ128" s="1172"/>
      <c r="AK128" s="1172"/>
      <c r="AL128" s="1173"/>
      <c r="AM128" s="1174"/>
      <c r="AN128" s="1175"/>
      <c r="AO128" s="1176"/>
      <c r="AP128" s="1177"/>
      <c r="AQ128" s="1547"/>
      <c r="AR128" s="1177"/>
      <c r="AS128" s="1548"/>
      <c r="AT128" s="1549"/>
      <c r="AU128" s="1178"/>
      <c r="AV128" s="1179"/>
      <c r="AY128" s="3">
        <v>1</v>
      </c>
    </row>
    <row r="129" spans="2:51" ht="27" customHeight="1">
      <c r="B129" s="104"/>
      <c r="C129" s="1172"/>
      <c r="D129" s="1172"/>
      <c r="E129" s="1172"/>
      <c r="F129" s="1173"/>
      <c r="G129" s="1174"/>
      <c r="H129" s="1175"/>
      <c r="I129" s="1176"/>
      <c r="J129" s="1177"/>
      <c r="K129" s="1547"/>
      <c r="L129" s="1177"/>
      <c r="M129" s="1548"/>
      <c r="N129" s="1549"/>
      <c r="O129" s="1178"/>
      <c r="P129" s="1179"/>
      <c r="Q129" s="1171"/>
      <c r="R129" s="104"/>
      <c r="S129" s="1172"/>
      <c r="T129" s="1172"/>
      <c r="U129" s="1172"/>
      <c r="V129" s="1173"/>
      <c r="W129" s="1174"/>
      <c r="X129" s="1175"/>
      <c r="Y129" s="1176"/>
      <c r="Z129" s="1177"/>
      <c r="AA129" s="1547"/>
      <c r="AB129" s="1177"/>
      <c r="AC129" s="1548"/>
      <c r="AD129" s="1549"/>
      <c r="AE129" s="1178"/>
      <c r="AF129" s="1179"/>
      <c r="AG129" s="1171"/>
      <c r="AH129" s="104"/>
      <c r="AI129" s="1172"/>
      <c r="AJ129" s="1172"/>
      <c r="AK129" s="1172"/>
      <c r="AL129" s="1173"/>
      <c r="AM129" s="1174"/>
      <c r="AN129" s="1175"/>
      <c r="AO129" s="1176"/>
      <c r="AP129" s="1177"/>
      <c r="AQ129" s="1547"/>
      <c r="AR129" s="1177"/>
      <c r="AS129" s="1548"/>
      <c r="AT129" s="1549"/>
      <c r="AU129" s="1178"/>
      <c r="AV129" s="1179"/>
      <c r="AY129" s="3">
        <v>1</v>
      </c>
    </row>
    <row r="130" spans="2:51" ht="27" customHeight="1">
      <c r="B130" s="104"/>
      <c r="C130" s="1172"/>
      <c r="D130" s="1172"/>
      <c r="E130" s="1172"/>
      <c r="F130" s="1173"/>
      <c r="G130" s="1174"/>
      <c r="H130" s="1175"/>
      <c r="I130" s="1176"/>
      <c r="J130" s="1177"/>
      <c r="K130" s="1547"/>
      <c r="L130" s="1177"/>
      <c r="M130" s="1548"/>
      <c r="N130" s="1549"/>
      <c r="O130" s="1178"/>
      <c r="P130" s="1179"/>
      <c r="Q130" s="1171"/>
      <c r="R130" s="104"/>
      <c r="S130" s="1172"/>
      <c r="T130" s="1172"/>
      <c r="U130" s="1172"/>
      <c r="V130" s="1173"/>
      <c r="W130" s="1174"/>
      <c r="X130" s="1175"/>
      <c r="Y130" s="1176"/>
      <c r="Z130" s="1177"/>
      <c r="AA130" s="1547"/>
      <c r="AB130" s="1177"/>
      <c r="AC130" s="1548"/>
      <c r="AD130" s="1549"/>
      <c r="AE130" s="1178"/>
      <c r="AF130" s="1179"/>
      <c r="AG130" s="1171"/>
      <c r="AH130" s="104"/>
      <c r="AI130" s="1172"/>
      <c r="AJ130" s="1172"/>
      <c r="AK130" s="1172"/>
      <c r="AL130" s="1173"/>
      <c r="AM130" s="1174"/>
      <c r="AN130" s="1175"/>
      <c r="AO130" s="1176"/>
      <c r="AP130" s="1177"/>
      <c r="AQ130" s="1547"/>
      <c r="AR130" s="1177"/>
      <c r="AS130" s="1548"/>
      <c r="AT130" s="1549"/>
      <c r="AU130" s="1178"/>
      <c r="AV130" s="1179"/>
      <c r="AY130" s="3">
        <v>1</v>
      </c>
    </row>
    <row r="131" spans="2:51" ht="27" customHeight="1">
      <c r="B131" s="104"/>
      <c r="C131" s="1172"/>
      <c r="D131" s="1172"/>
      <c r="E131" s="1172"/>
      <c r="F131" s="1173"/>
      <c r="G131" s="1174"/>
      <c r="H131" s="1175"/>
      <c r="I131" s="1176"/>
      <c r="J131" s="1177"/>
      <c r="K131" s="1547"/>
      <c r="L131" s="1177"/>
      <c r="M131" s="1548"/>
      <c r="N131" s="1549"/>
      <c r="O131" s="1178"/>
      <c r="P131" s="1179"/>
      <c r="Q131" s="1171"/>
      <c r="R131" s="104"/>
      <c r="S131" s="1172"/>
      <c r="T131" s="1172"/>
      <c r="U131" s="1172"/>
      <c r="V131" s="1173"/>
      <c r="W131" s="1174"/>
      <c r="X131" s="1175"/>
      <c r="Y131" s="1176"/>
      <c r="Z131" s="1177"/>
      <c r="AA131" s="1547"/>
      <c r="AB131" s="1177"/>
      <c r="AC131" s="1548"/>
      <c r="AD131" s="1549"/>
      <c r="AE131" s="1178"/>
      <c r="AF131" s="1179"/>
      <c r="AG131" s="1171"/>
      <c r="AH131" s="104"/>
      <c r="AI131" s="1172"/>
      <c r="AJ131" s="1172"/>
      <c r="AK131" s="1172"/>
      <c r="AL131" s="1173"/>
      <c r="AM131" s="1174"/>
      <c r="AN131" s="1175"/>
      <c r="AO131" s="1176"/>
      <c r="AP131" s="1177"/>
      <c r="AQ131" s="1547"/>
      <c r="AR131" s="1177"/>
      <c r="AS131" s="1548"/>
      <c r="AT131" s="1549"/>
      <c r="AU131" s="1178"/>
      <c r="AV131" s="1179"/>
      <c r="AY131" s="3">
        <v>1</v>
      </c>
    </row>
    <row r="132" spans="2:51" ht="27" customHeight="1">
      <c r="B132" s="104"/>
      <c r="C132" s="1172"/>
      <c r="D132" s="1172"/>
      <c r="E132" s="1172"/>
      <c r="F132" s="1173"/>
      <c r="G132" s="1174"/>
      <c r="H132" s="1175"/>
      <c r="I132" s="1176"/>
      <c r="J132" s="1177"/>
      <c r="K132" s="1547"/>
      <c r="L132" s="1177"/>
      <c r="M132" s="1548"/>
      <c r="N132" s="1549"/>
      <c r="O132" s="1178"/>
      <c r="P132" s="1179"/>
      <c r="Q132" s="1171"/>
      <c r="R132" s="104"/>
      <c r="S132" s="1172"/>
      <c r="T132" s="1172"/>
      <c r="U132" s="1172"/>
      <c r="V132" s="1173"/>
      <c r="W132" s="1174"/>
      <c r="X132" s="1175"/>
      <c r="Y132" s="1176"/>
      <c r="Z132" s="1177"/>
      <c r="AA132" s="1547"/>
      <c r="AB132" s="1177"/>
      <c r="AC132" s="1548"/>
      <c r="AD132" s="1549"/>
      <c r="AE132" s="1178"/>
      <c r="AF132" s="1179"/>
      <c r="AG132" s="1171"/>
      <c r="AH132" s="104"/>
      <c r="AI132" s="1172"/>
      <c r="AJ132" s="1172"/>
      <c r="AK132" s="1172"/>
      <c r="AL132" s="1173"/>
      <c r="AM132" s="1174"/>
      <c r="AN132" s="1175"/>
      <c r="AO132" s="1176"/>
      <c r="AP132" s="1177"/>
      <c r="AQ132" s="1547"/>
      <c r="AR132" s="1177"/>
      <c r="AS132" s="1548"/>
      <c r="AT132" s="1549"/>
      <c r="AU132" s="1178"/>
      <c r="AV132" s="1179"/>
      <c r="AY132" s="3">
        <v>1</v>
      </c>
    </row>
    <row r="133" spans="2:51" ht="27" customHeight="1">
      <c r="B133" s="104"/>
      <c r="C133" s="1172"/>
      <c r="D133" s="1172"/>
      <c r="E133" s="1172"/>
      <c r="F133" s="1173"/>
      <c r="G133" s="1174"/>
      <c r="H133" s="1175"/>
      <c r="I133" s="1176"/>
      <c r="J133" s="1177"/>
      <c r="K133" s="1547"/>
      <c r="L133" s="1177"/>
      <c r="M133" s="1548"/>
      <c r="N133" s="1549"/>
      <c r="O133" s="1178"/>
      <c r="P133" s="1179"/>
      <c r="Q133" s="1171"/>
      <c r="R133" s="104"/>
      <c r="S133" s="1172"/>
      <c r="T133" s="1172"/>
      <c r="U133" s="1172"/>
      <c r="V133" s="1173"/>
      <c r="W133" s="1174"/>
      <c r="X133" s="1175"/>
      <c r="Y133" s="1176"/>
      <c r="Z133" s="1177"/>
      <c r="AA133" s="1547"/>
      <c r="AB133" s="1177"/>
      <c r="AC133" s="1548"/>
      <c r="AD133" s="1549"/>
      <c r="AE133" s="1178"/>
      <c r="AF133" s="1179"/>
      <c r="AG133" s="1171"/>
      <c r="AH133" s="104"/>
      <c r="AI133" s="1172"/>
      <c r="AJ133" s="1172"/>
      <c r="AK133" s="1172"/>
      <c r="AL133" s="1173"/>
      <c r="AM133" s="1174"/>
      <c r="AN133" s="1175"/>
      <c r="AO133" s="1176"/>
      <c r="AP133" s="1177"/>
      <c r="AQ133" s="1547"/>
      <c r="AR133" s="1177"/>
      <c r="AS133" s="1548"/>
      <c r="AT133" s="1549"/>
      <c r="AU133" s="1178"/>
      <c r="AV133" s="1179"/>
      <c r="AY133" s="3">
        <v>1</v>
      </c>
    </row>
    <row r="134" spans="2:51" ht="27" customHeight="1">
      <c r="B134" s="104"/>
      <c r="C134" s="1172"/>
      <c r="D134" s="1172"/>
      <c r="E134" s="1172"/>
      <c r="F134" s="1173"/>
      <c r="G134" s="1174"/>
      <c r="H134" s="1175"/>
      <c r="I134" s="1176"/>
      <c r="J134" s="1177"/>
      <c r="K134" s="1547"/>
      <c r="L134" s="1177"/>
      <c r="M134" s="1548"/>
      <c r="N134" s="1549"/>
      <c r="O134" s="1178"/>
      <c r="P134" s="1179"/>
      <c r="Q134" s="1171"/>
      <c r="R134" s="104"/>
      <c r="S134" s="1172"/>
      <c r="T134" s="1172"/>
      <c r="U134" s="1172"/>
      <c r="V134" s="1173"/>
      <c r="W134" s="1174"/>
      <c r="X134" s="1175"/>
      <c r="Y134" s="1176"/>
      <c r="Z134" s="1177"/>
      <c r="AA134" s="1547"/>
      <c r="AB134" s="1177"/>
      <c r="AC134" s="1548"/>
      <c r="AD134" s="1549"/>
      <c r="AE134" s="1178"/>
      <c r="AF134" s="1179"/>
      <c r="AG134" s="1171"/>
      <c r="AH134" s="104"/>
      <c r="AI134" s="1172"/>
      <c r="AJ134" s="1172"/>
      <c r="AK134" s="1172"/>
      <c r="AL134" s="1173"/>
      <c r="AM134" s="1174"/>
      <c r="AN134" s="1175"/>
      <c r="AO134" s="1176"/>
      <c r="AP134" s="1177"/>
      <c r="AQ134" s="1547"/>
      <c r="AR134" s="1177"/>
      <c r="AS134" s="1548"/>
      <c r="AT134" s="1549"/>
      <c r="AU134" s="1178"/>
      <c r="AV134" s="1179"/>
      <c r="AY134" s="3">
        <v>1</v>
      </c>
    </row>
    <row r="135" spans="2:51" ht="27" customHeight="1">
      <c r="B135" s="104"/>
      <c r="C135" s="1172"/>
      <c r="D135" s="1172"/>
      <c r="E135" s="1172"/>
      <c r="F135" s="1173"/>
      <c r="G135" s="1174"/>
      <c r="H135" s="1175"/>
      <c r="I135" s="1176"/>
      <c r="J135" s="1177"/>
      <c r="K135" s="1547"/>
      <c r="L135" s="1177"/>
      <c r="M135" s="1548"/>
      <c r="N135" s="1549"/>
      <c r="O135" s="1178"/>
      <c r="P135" s="1179"/>
      <c r="Q135" s="1171"/>
      <c r="R135" s="104"/>
      <c r="S135" s="1172"/>
      <c r="T135" s="1172"/>
      <c r="U135" s="1172"/>
      <c r="V135" s="1173"/>
      <c r="W135" s="1174"/>
      <c r="X135" s="1175"/>
      <c r="Y135" s="1176"/>
      <c r="Z135" s="1177"/>
      <c r="AA135" s="1547"/>
      <c r="AB135" s="1177"/>
      <c r="AC135" s="1548"/>
      <c r="AD135" s="1549"/>
      <c r="AE135" s="1178"/>
      <c r="AF135" s="1179"/>
      <c r="AG135" s="1171"/>
      <c r="AH135" s="104"/>
      <c r="AI135" s="1172"/>
      <c r="AJ135" s="1172"/>
      <c r="AK135" s="1172"/>
      <c r="AL135" s="1173"/>
      <c r="AM135" s="1174"/>
      <c r="AN135" s="1175"/>
      <c r="AO135" s="1176"/>
      <c r="AP135" s="1177"/>
      <c r="AQ135" s="1547"/>
      <c r="AR135" s="1177"/>
      <c r="AS135" s="1548"/>
      <c r="AT135" s="1549"/>
      <c r="AU135" s="1178"/>
      <c r="AV135" s="1179"/>
      <c r="AY135" s="3">
        <v>1</v>
      </c>
    </row>
    <row r="136" spans="2:51" ht="27" customHeight="1">
      <c r="B136" s="104"/>
      <c r="C136" s="1172"/>
      <c r="D136" s="1172"/>
      <c r="E136" s="1172"/>
      <c r="F136" s="1173"/>
      <c r="G136" s="1174"/>
      <c r="H136" s="1175"/>
      <c r="I136" s="1176"/>
      <c r="J136" s="1177"/>
      <c r="K136" s="1547"/>
      <c r="L136" s="1177"/>
      <c r="M136" s="1548"/>
      <c r="N136" s="1549"/>
      <c r="O136" s="1178"/>
      <c r="P136" s="1179"/>
      <c r="Q136" s="1171"/>
      <c r="R136" s="104"/>
      <c r="S136" s="1172"/>
      <c r="T136" s="1172"/>
      <c r="U136" s="1172"/>
      <c r="V136" s="1173"/>
      <c r="W136" s="1174"/>
      <c r="X136" s="1175"/>
      <c r="Y136" s="1176"/>
      <c r="Z136" s="1177"/>
      <c r="AA136" s="1547"/>
      <c r="AB136" s="1177"/>
      <c r="AC136" s="1548"/>
      <c r="AD136" s="1549"/>
      <c r="AE136" s="1178"/>
      <c r="AF136" s="1179"/>
      <c r="AG136" s="1171"/>
      <c r="AH136" s="104"/>
      <c r="AI136" s="1172"/>
      <c r="AJ136" s="1172"/>
      <c r="AK136" s="1172"/>
      <c r="AL136" s="1173"/>
      <c r="AM136" s="1174"/>
      <c r="AN136" s="1175"/>
      <c r="AO136" s="1176"/>
      <c r="AP136" s="1177"/>
      <c r="AQ136" s="1547"/>
      <c r="AR136" s="1177"/>
      <c r="AS136" s="1548"/>
      <c r="AT136" s="1549"/>
      <c r="AU136" s="1178"/>
      <c r="AV136" s="1179"/>
      <c r="AY136" s="3">
        <v>1</v>
      </c>
    </row>
    <row r="137" spans="2:51" ht="27" customHeight="1">
      <c r="B137" s="104"/>
      <c r="C137" s="1172"/>
      <c r="D137" s="1172"/>
      <c r="E137" s="1172"/>
      <c r="F137" s="1173"/>
      <c r="G137" s="1174"/>
      <c r="H137" s="1175"/>
      <c r="I137" s="1176"/>
      <c r="J137" s="1177"/>
      <c r="K137" s="1547"/>
      <c r="L137" s="1177"/>
      <c r="M137" s="1548"/>
      <c r="N137" s="1549"/>
      <c r="O137" s="1178"/>
      <c r="P137" s="1179"/>
      <c r="Q137" s="1171"/>
      <c r="R137" s="104"/>
      <c r="S137" s="1172"/>
      <c r="T137" s="1172"/>
      <c r="U137" s="1172"/>
      <c r="V137" s="1173"/>
      <c r="W137" s="1174"/>
      <c r="X137" s="1175"/>
      <c r="Y137" s="1176"/>
      <c r="Z137" s="1177"/>
      <c r="AA137" s="1547"/>
      <c r="AB137" s="1177"/>
      <c r="AC137" s="1548"/>
      <c r="AD137" s="1549"/>
      <c r="AE137" s="1178"/>
      <c r="AF137" s="1179"/>
      <c r="AG137" s="1171"/>
      <c r="AH137" s="104"/>
      <c r="AI137" s="1172"/>
      <c r="AJ137" s="1172"/>
      <c r="AK137" s="1172"/>
      <c r="AL137" s="1173"/>
      <c r="AM137" s="1174"/>
      <c r="AN137" s="1175"/>
      <c r="AO137" s="1176"/>
      <c r="AP137" s="1177"/>
      <c r="AQ137" s="1547"/>
      <c r="AR137" s="1177"/>
      <c r="AS137" s="1548"/>
      <c r="AT137" s="1549"/>
      <c r="AU137" s="1178"/>
      <c r="AV137" s="1179"/>
      <c r="AY137" s="3">
        <v>1</v>
      </c>
    </row>
    <row r="138" spans="2:51" ht="27" customHeight="1">
      <c r="B138" s="104"/>
      <c r="C138" s="1172"/>
      <c r="D138" s="1172"/>
      <c r="E138" s="1172"/>
      <c r="F138" s="1173"/>
      <c r="G138" s="1174"/>
      <c r="H138" s="1175"/>
      <c r="I138" s="1176"/>
      <c r="J138" s="1177"/>
      <c r="K138" s="1547"/>
      <c r="L138" s="1177"/>
      <c r="M138" s="1548"/>
      <c r="N138" s="1549"/>
      <c r="O138" s="1178"/>
      <c r="P138" s="1179"/>
      <c r="Q138" s="1171"/>
      <c r="R138" s="104"/>
      <c r="S138" s="1172"/>
      <c r="T138" s="1172"/>
      <c r="U138" s="1172"/>
      <c r="V138" s="1173"/>
      <c r="W138" s="1174"/>
      <c r="X138" s="1175"/>
      <c r="Y138" s="1176"/>
      <c r="Z138" s="1177"/>
      <c r="AA138" s="1547"/>
      <c r="AB138" s="1177"/>
      <c r="AC138" s="1548"/>
      <c r="AD138" s="1549"/>
      <c r="AE138" s="1178"/>
      <c r="AF138" s="1179"/>
      <c r="AG138" s="1171"/>
      <c r="AH138" s="104"/>
      <c r="AI138" s="1172"/>
      <c r="AJ138" s="1172"/>
      <c r="AK138" s="1172"/>
      <c r="AL138" s="1173"/>
      <c r="AM138" s="1174"/>
      <c r="AN138" s="1175"/>
      <c r="AO138" s="1176"/>
      <c r="AP138" s="1177"/>
      <c r="AQ138" s="1547"/>
      <c r="AR138" s="1177"/>
      <c r="AS138" s="1548"/>
      <c r="AT138" s="1549"/>
      <c r="AU138" s="1178"/>
      <c r="AV138" s="1179"/>
      <c r="AY138" s="3">
        <v>1</v>
      </c>
    </row>
    <row r="139" spans="2:51" ht="27" customHeight="1">
      <c r="B139" s="104"/>
      <c r="C139" s="1172"/>
      <c r="D139" s="1172"/>
      <c r="E139" s="1172"/>
      <c r="F139" s="1173"/>
      <c r="G139" s="1174"/>
      <c r="H139" s="1175"/>
      <c r="I139" s="1176"/>
      <c r="J139" s="1177"/>
      <c r="K139" s="1547"/>
      <c r="L139" s="1177"/>
      <c r="M139" s="1548"/>
      <c r="N139" s="1549"/>
      <c r="O139" s="1178"/>
      <c r="P139" s="1179"/>
      <c r="Q139" s="1171"/>
      <c r="R139" s="104"/>
      <c r="S139" s="1172"/>
      <c r="T139" s="1172"/>
      <c r="U139" s="1172"/>
      <c r="V139" s="1173"/>
      <c r="W139" s="1174"/>
      <c r="X139" s="1175"/>
      <c r="Y139" s="1176"/>
      <c r="Z139" s="1177"/>
      <c r="AA139" s="1547"/>
      <c r="AB139" s="1177"/>
      <c r="AC139" s="1548"/>
      <c r="AD139" s="1549"/>
      <c r="AE139" s="1178"/>
      <c r="AF139" s="1179"/>
      <c r="AG139" s="1171"/>
      <c r="AH139" s="104"/>
      <c r="AI139" s="1172"/>
      <c r="AJ139" s="1172"/>
      <c r="AK139" s="1172"/>
      <c r="AL139" s="1173"/>
      <c r="AM139" s="1174"/>
      <c r="AN139" s="1175"/>
      <c r="AO139" s="1176"/>
      <c r="AP139" s="1177"/>
      <c r="AQ139" s="1547"/>
      <c r="AR139" s="1177"/>
      <c r="AS139" s="1548"/>
      <c r="AT139" s="1549"/>
      <c r="AU139" s="1178"/>
      <c r="AV139" s="1179"/>
      <c r="AY139" s="3">
        <v>1</v>
      </c>
    </row>
    <row r="140" spans="2:51" ht="27" customHeight="1">
      <c r="B140" s="104"/>
      <c r="C140" s="1172"/>
      <c r="D140" s="1172"/>
      <c r="E140" s="1172"/>
      <c r="F140" s="1173"/>
      <c r="G140" s="1174"/>
      <c r="H140" s="1175"/>
      <c r="I140" s="1176"/>
      <c r="J140" s="1177"/>
      <c r="K140" s="1547"/>
      <c r="L140" s="1177"/>
      <c r="M140" s="1548"/>
      <c r="N140" s="1549"/>
      <c r="O140" s="1178"/>
      <c r="P140" s="1179"/>
      <c r="Q140" s="1171"/>
      <c r="R140" s="104"/>
      <c r="S140" s="1172"/>
      <c r="T140" s="1172"/>
      <c r="U140" s="1172"/>
      <c r="V140" s="1173"/>
      <c r="W140" s="1174"/>
      <c r="X140" s="1175"/>
      <c r="Y140" s="1176"/>
      <c r="Z140" s="1177"/>
      <c r="AA140" s="1547"/>
      <c r="AB140" s="1177"/>
      <c r="AC140" s="1548"/>
      <c r="AD140" s="1549"/>
      <c r="AE140" s="1178"/>
      <c r="AF140" s="1179"/>
      <c r="AG140" s="1171"/>
      <c r="AH140" s="104"/>
      <c r="AI140" s="1172"/>
      <c r="AJ140" s="1172"/>
      <c r="AK140" s="1172"/>
      <c r="AL140" s="1173"/>
      <c r="AM140" s="1174"/>
      <c r="AN140" s="1175"/>
      <c r="AO140" s="1176"/>
      <c r="AP140" s="1177"/>
      <c r="AQ140" s="1547"/>
      <c r="AR140" s="1177"/>
      <c r="AS140" s="1548"/>
      <c r="AT140" s="1549"/>
      <c r="AU140" s="1178"/>
      <c r="AV140" s="1179"/>
      <c r="AY140" s="3">
        <v>1</v>
      </c>
    </row>
    <row r="141" spans="2:51" ht="27" customHeight="1">
      <c r="B141" s="104"/>
      <c r="C141" s="1172"/>
      <c r="D141" s="1172"/>
      <c r="E141" s="1172"/>
      <c r="F141" s="1173"/>
      <c r="G141" s="1174"/>
      <c r="H141" s="1175"/>
      <c r="I141" s="1176"/>
      <c r="J141" s="1177"/>
      <c r="K141" s="1547"/>
      <c r="L141" s="1177"/>
      <c r="M141" s="1548"/>
      <c r="N141" s="1549"/>
      <c r="O141" s="1178"/>
      <c r="P141" s="1179"/>
      <c r="Q141" s="1171"/>
      <c r="R141" s="104"/>
      <c r="S141" s="1172"/>
      <c r="T141" s="1172"/>
      <c r="U141" s="1172"/>
      <c r="V141" s="1173"/>
      <c r="W141" s="1174"/>
      <c r="X141" s="1175"/>
      <c r="Y141" s="1176"/>
      <c r="Z141" s="1177"/>
      <c r="AA141" s="1547"/>
      <c r="AB141" s="1177"/>
      <c r="AC141" s="1548"/>
      <c r="AD141" s="1549"/>
      <c r="AE141" s="1178"/>
      <c r="AF141" s="1179"/>
      <c r="AG141" s="1171"/>
      <c r="AH141" s="104"/>
      <c r="AI141" s="1172"/>
      <c r="AJ141" s="1172"/>
      <c r="AK141" s="1172"/>
      <c r="AL141" s="1173"/>
      <c r="AM141" s="1174"/>
      <c r="AN141" s="1175"/>
      <c r="AO141" s="1176"/>
      <c r="AP141" s="1177"/>
      <c r="AQ141" s="1547"/>
      <c r="AR141" s="1177"/>
      <c r="AS141" s="1548"/>
      <c r="AT141" s="1549"/>
      <c r="AU141" s="1178"/>
      <c r="AV141" s="1179"/>
      <c r="AY141" s="3">
        <v>1</v>
      </c>
    </row>
    <row r="142" spans="2:51" ht="27" customHeight="1">
      <c r="B142" s="104"/>
      <c r="C142" s="1172"/>
      <c r="D142" s="1172"/>
      <c r="E142" s="1172"/>
      <c r="F142" s="1173"/>
      <c r="G142" s="1174"/>
      <c r="H142" s="1175"/>
      <c r="I142" s="1176"/>
      <c r="J142" s="1177"/>
      <c r="K142" s="1547"/>
      <c r="L142" s="1177"/>
      <c r="M142" s="1548"/>
      <c r="N142" s="1549"/>
      <c r="O142" s="1178"/>
      <c r="P142" s="1179"/>
      <c r="Q142" s="1171"/>
      <c r="R142" s="104"/>
      <c r="S142" s="1172"/>
      <c r="T142" s="1172"/>
      <c r="U142" s="1172"/>
      <c r="V142" s="1173"/>
      <c r="W142" s="1174"/>
      <c r="X142" s="1175"/>
      <c r="Y142" s="1176"/>
      <c r="Z142" s="1177"/>
      <c r="AA142" s="1547"/>
      <c r="AB142" s="1177"/>
      <c r="AC142" s="1548"/>
      <c r="AD142" s="1549"/>
      <c r="AE142" s="1178"/>
      <c r="AF142" s="1179"/>
      <c r="AG142" s="1171"/>
      <c r="AH142" s="104"/>
      <c r="AI142" s="1172"/>
      <c r="AJ142" s="1172"/>
      <c r="AK142" s="1172"/>
      <c r="AL142" s="1173"/>
      <c r="AM142" s="1174"/>
      <c r="AN142" s="1175"/>
      <c r="AO142" s="1176"/>
      <c r="AP142" s="1177"/>
      <c r="AQ142" s="1547"/>
      <c r="AR142" s="1177"/>
      <c r="AS142" s="1548"/>
      <c r="AT142" s="1549"/>
      <c r="AU142" s="1178"/>
      <c r="AV142" s="1179"/>
      <c r="AY142" s="3">
        <v>1</v>
      </c>
    </row>
    <row r="143" spans="2:51" ht="27" customHeight="1">
      <c r="B143" s="104"/>
      <c r="C143" s="1172"/>
      <c r="D143" s="1172"/>
      <c r="E143" s="1172"/>
      <c r="F143" s="1173"/>
      <c r="G143" s="1174"/>
      <c r="H143" s="1175"/>
      <c r="I143" s="1176"/>
      <c r="J143" s="1177"/>
      <c r="K143" s="1547"/>
      <c r="L143" s="1177"/>
      <c r="M143" s="1548"/>
      <c r="N143" s="1549"/>
      <c r="O143" s="1178"/>
      <c r="P143" s="1179"/>
      <c r="Q143" s="1171"/>
      <c r="R143" s="104"/>
      <c r="S143" s="1172"/>
      <c r="T143" s="1172"/>
      <c r="U143" s="1172"/>
      <c r="V143" s="1173"/>
      <c r="W143" s="1174"/>
      <c r="X143" s="1175"/>
      <c r="Y143" s="1176"/>
      <c r="Z143" s="1177"/>
      <c r="AA143" s="1547"/>
      <c r="AB143" s="1177"/>
      <c r="AC143" s="1548"/>
      <c r="AD143" s="1549"/>
      <c r="AE143" s="1178"/>
      <c r="AF143" s="1179"/>
      <c r="AG143" s="1171"/>
      <c r="AH143" s="104"/>
      <c r="AI143" s="1172"/>
      <c r="AJ143" s="1172"/>
      <c r="AK143" s="1172"/>
      <c r="AL143" s="1173"/>
      <c r="AM143" s="1174"/>
      <c r="AN143" s="1175"/>
      <c r="AO143" s="1176"/>
      <c r="AP143" s="1177"/>
      <c r="AQ143" s="1547"/>
      <c r="AR143" s="1177"/>
      <c r="AS143" s="1548"/>
      <c r="AT143" s="1549"/>
      <c r="AU143" s="1178"/>
      <c r="AV143" s="1179"/>
      <c r="AY143" s="3">
        <v>1</v>
      </c>
    </row>
    <row r="144" spans="2:51" ht="27" customHeight="1">
      <c r="B144" s="104"/>
      <c r="C144" s="1172"/>
      <c r="D144" s="1172"/>
      <c r="E144" s="1172"/>
      <c r="F144" s="1173"/>
      <c r="G144" s="1174"/>
      <c r="H144" s="1175"/>
      <c r="I144" s="1176"/>
      <c r="J144" s="1177"/>
      <c r="K144" s="1547"/>
      <c r="L144" s="1177"/>
      <c r="M144" s="1548"/>
      <c r="N144" s="1549"/>
      <c r="O144" s="1178"/>
      <c r="P144" s="1179"/>
      <c r="Q144" s="1171"/>
      <c r="R144" s="104"/>
      <c r="S144" s="1172"/>
      <c r="T144" s="1172"/>
      <c r="U144" s="1172"/>
      <c r="V144" s="1173"/>
      <c r="W144" s="1174"/>
      <c r="X144" s="1175"/>
      <c r="Y144" s="1176"/>
      <c r="Z144" s="1177"/>
      <c r="AA144" s="1547"/>
      <c r="AB144" s="1177"/>
      <c r="AC144" s="1548"/>
      <c r="AD144" s="1549"/>
      <c r="AE144" s="1178"/>
      <c r="AF144" s="1179"/>
      <c r="AG144" s="1171"/>
      <c r="AH144" s="104"/>
      <c r="AI144" s="1172"/>
      <c r="AJ144" s="1172"/>
      <c r="AK144" s="1172"/>
      <c r="AL144" s="1173"/>
      <c r="AM144" s="1174"/>
      <c r="AN144" s="1175"/>
      <c r="AO144" s="1176"/>
      <c r="AP144" s="1177"/>
      <c r="AQ144" s="1547"/>
      <c r="AR144" s="1177"/>
      <c r="AS144" s="1548"/>
      <c r="AT144" s="1549"/>
      <c r="AU144" s="1178"/>
      <c r="AV144" s="1179"/>
      <c r="AY144" s="3">
        <v>1</v>
      </c>
    </row>
    <row r="145" spans="2:51" ht="27" customHeight="1">
      <c r="B145" s="104"/>
      <c r="C145" s="1172"/>
      <c r="D145" s="1172"/>
      <c r="E145" s="1172"/>
      <c r="F145" s="1173"/>
      <c r="G145" s="1174"/>
      <c r="H145" s="1175"/>
      <c r="I145" s="1176"/>
      <c r="J145" s="1177"/>
      <c r="K145" s="1547"/>
      <c r="L145" s="1177"/>
      <c r="M145" s="1548"/>
      <c r="N145" s="1549"/>
      <c r="O145" s="1178"/>
      <c r="P145" s="1179"/>
      <c r="Q145" s="1171"/>
      <c r="R145" s="104"/>
      <c r="S145" s="1172"/>
      <c r="T145" s="1172"/>
      <c r="U145" s="1172"/>
      <c r="V145" s="1173"/>
      <c r="W145" s="1174"/>
      <c r="X145" s="1175"/>
      <c r="Y145" s="1176"/>
      <c r="Z145" s="1177"/>
      <c r="AA145" s="1547"/>
      <c r="AB145" s="1177"/>
      <c r="AC145" s="1548"/>
      <c r="AD145" s="1549"/>
      <c r="AE145" s="1178"/>
      <c r="AF145" s="1179"/>
      <c r="AG145" s="1171"/>
      <c r="AH145" s="104"/>
      <c r="AI145" s="1172"/>
      <c r="AJ145" s="1172"/>
      <c r="AK145" s="1172"/>
      <c r="AL145" s="1173"/>
      <c r="AM145" s="1174"/>
      <c r="AN145" s="1175"/>
      <c r="AO145" s="1176"/>
      <c r="AP145" s="1177"/>
      <c r="AQ145" s="1547"/>
      <c r="AR145" s="1177"/>
      <c r="AS145" s="1548"/>
      <c r="AT145" s="1549"/>
      <c r="AU145" s="1178"/>
      <c r="AV145" s="1179"/>
      <c r="AY145" s="3">
        <v>1</v>
      </c>
    </row>
    <row r="146" spans="2:51" ht="27" customHeight="1">
      <c r="B146" s="104"/>
      <c r="C146" s="1172"/>
      <c r="D146" s="1172"/>
      <c r="E146" s="1172"/>
      <c r="F146" s="1173"/>
      <c r="G146" s="1174"/>
      <c r="H146" s="1175"/>
      <c r="I146" s="1176"/>
      <c r="J146" s="1177"/>
      <c r="K146" s="1547"/>
      <c r="L146" s="1177"/>
      <c r="M146" s="1548"/>
      <c r="N146" s="1549"/>
      <c r="O146" s="1178"/>
      <c r="P146" s="1179"/>
      <c r="Q146" s="1171"/>
      <c r="R146" s="104"/>
      <c r="S146" s="1172"/>
      <c r="T146" s="1172"/>
      <c r="U146" s="1172"/>
      <c r="V146" s="1173"/>
      <c r="W146" s="1174"/>
      <c r="X146" s="1175"/>
      <c r="Y146" s="1176"/>
      <c r="Z146" s="1177"/>
      <c r="AA146" s="1547"/>
      <c r="AB146" s="1177"/>
      <c r="AC146" s="1548"/>
      <c r="AD146" s="1549"/>
      <c r="AE146" s="1178"/>
      <c r="AF146" s="1179"/>
      <c r="AG146" s="1171"/>
      <c r="AH146" s="104"/>
      <c r="AI146" s="1172"/>
      <c r="AJ146" s="1172"/>
      <c r="AK146" s="1172"/>
      <c r="AL146" s="1173"/>
      <c r="AM146" s="1174"/>
      <c r="AN146" s="1175"/>
      <c r="AO146" s="1176"/>
      <c r="AP146" s="1177"/>
      <c r="AQ146" s="1547"/>
      <c r="AR146" s="1177"/>
      <c r="AS146" s="1548"/>
      <c r="AT146" s="1549"/>
      <c r="AU146" s="1178"/>
      <c r="AV146" s="1179"/>
      <c r="AY146" s="3">
        <v>1</v>
      </c>
    </row>
    <row r="147" spans="2:51" ht="27" customHeight="1">
      <c r="B147" s="104"/>
      <c r="C147" s="1172"/>
      <c r="D147" s="1172"/>
      <c r="E147" s="1172"/>
      <c r="F147" s="1173"/>
      <c r="G147" s="1174"/>
      <c r="H147" s="1175"/>
      <c r="I147" s="1176"/>
      <c r="J147" s="1177"/>
      <c r="K147" s="1547"/>
      <c r="L147" s="1177"/>
      <c r="M147" s="1548"/>
      <c r="N147" s="1549"/>
      <c r="O147" s="1178"/>
      <c r="P147" s="1179"/>
      <c r="Q147" s="1171"/>
      <c r="R147" s="104"/>
      <c r="S147" s="1172"/>
      <c r="T147" s="1172"/>
      <c r="U147" s="1172"/>
      <c r="V147" s="1173"/>
      <c r="W147" s="1174"/>
      <c r="X147" s="1175"/>
      <c r="Y147" s="1176"/>
      <c r="Z147" s="1177"/>
      <c r="AA147" s="1547"/>
      <c r="AB147" s="1177"/>
      <c r="AC147" s="1548"/>
      <c r="AD147" s="1549"/>
      <c r="AE147" s="1178"/>
      <c r="AF147" s="1179"/>
      <c r="AG147" s="1171"/>
      <c r="AH147" s="104"/>
      <c r="AI147" s="1172"/>
      <c r="AJ147" s="1172"/>
      <c r="AK147" s="1172"/>
      <c r="AL147" s="1173"/>
      <c r="AM147" s="1174"/>
      <c r="AN147" s="1175"/>
      <c r="AO147" s="1176"/>
      <c r="AP147" s="1177"/>
      <c r="AQ147" s="1547"/>
      <c r="AR147" s="1177"/>
      <c r="AS147" s="1548"/>
      <c r="AT147" s="1549"/>
      <c r="AU147" s="1178"/>
      <c r="AV147" s="1179"/>
      <c r="AY147" s="3">
        <v>1</v>
      </c>
    </row>
    <row r="148" spans="2:51" ht="27" customHeight="1">
      <c r="B148" s="104"/>
      <c r="C148" s="1172"/>
      <c r="D148" s="1172"/>
      <c r="E148" s="1172"/>
      <c r="F148" s="1173"/>
      <c r="G148" s="1174"/>
      <c r="H148" s="1175"/>
      <c r="I148" s="1176"/>
      <c r="J148" s="1177"/>
      <c r="K148" s="1547"/>
      <c r="L148" s="1177"/>
      <c r="M148" s="1548"/>
      <c r="N148" s="1549"/>
      <c r="O148" s="1178"/>
      <c r="P148" s="1179"/>
      <c r="Q148" s="1171"/>
      <c r="R148" s="104"/>
      <c r="S148" s="1172"/>
      <c r="T148" s="1172"/>
      <c r="U148" s="1172"/>
      <c r="V148" s="1173"/>
      <c r="W148" s="1174"/>
      <c r="X148" s="1175"/>
      <c r="Y148" s="1176"/>
      <c r="Z148" s="1177"/>
      <c r="AA148" s="1547"/>
      <c r="AB148" s="1177"/>
      <c r="AC148" s="1548"/>
      <c r="AD148" s="1549"/>
      <c r="AE148" s="1178"/>
      <c r="AF148" s="1179"/>
      <c r="AG148" s="1171"/>
      <c r="AH148" s="104"/>
      <c r="AI148" s="1172"/>
      <c r="AJ148" s="1172"/>
      <c r="AK148" s="1172"/>
      <c r="AL148" s="1173"/>
      <c r="AM148" s="1174"/>
      <c r="AN148" s="1175"/>
      <c r="AO148" s="1176"/>
      <c r="AP148" s="1177"/>
      <c r="AQ148" s="1547"/>
      <c r="AR148" s="1177"/>
      <c r="AS148" s="1548"/>
      <c r="AT148" s="1549"/>
      <c r="AU148" s="1178"/>
      <c r="AV148" s="1179"/>
      <c r="AY148" s="3">
        <v>1</v>
      </c>
    </row>
    <row r="149" spans="2:51" ht="27" customHeight="1">
      <c r="B149" s="104"/>
      <c r="C149" s="1172"/>
      <c r="D149" s="1172"/>
      <c r="E149" s="1172"/>
      <c r="F149" s="1173"/>
      <c r="G149" s="1174"/>
      <c r="H149" s="1175"/>
      <c r="I149" s="1176"/>
      <c r="J149" s="1177"/>
      <c r="K149" s="1547"/>
      <c r="L149" s="1177"/>
      <c r="M149" s="1548"/>
      <c r="N149" s="1549"/>
      <c r="O149" s="1178"/>
      <c r="P149" s="1179"/>
      <c r="Q149" s="1171"/>
      <c r="R149" s="104"/>
      <c r="S149" s="1172"/>
      <c r="T149" s="1172"/>
      <c r="U149" s="1172"/>
      <c r="V149" s="1173"/>
      <c r="W149" s="1174"/>
      <c r="X149" s="1175"/>
      <c r="Y149" s="1176"/>
      <c r="Z149" s="1177"/>
      <c r="AA149" s="1547"/>
      <c r="AB149" s="1177"/>
      <c r="AC149" s="1548"/>
      <c r="AD149" s="1549"/>
      <c r="AE149" s="1178"/>
      <c r="AF149" s="1179"/>
      <c r="AG149" s="1171"/>
      <c r="AH149" s="104"/>
      <c r="AI149" s="1172"/>
      <c r="AJ149" s="1172"/>
      <c r="AK149" s="1172"/>
      <c r="AL149" s="1173"/>
      <c r="AM149" s="1174"/>
      <c r="AN149" s="1175"/>
      <c r="AO149" s="1176"/>
      <c r="AP149" s="1177"/>
      <c r="AQ149" s="1547"/>
      <c r="AR149" s="1177"/>
      <c r="AS149" s="1548"/>
      <c r="AT149" s="1549"/>
      <c r="AU149" s="1178"/>
      <c r="AV149" s="1179"/>
      <c r="AY149" s="3">
        <v>1</v>
      </c>
    </row>
    <row r="150" spans="2:51" ht="27" customHeight="1">
      <c r="B150" s="104"/>
      <c r="C150" s="1172"/>
      <c r="D150" s="1172"/>
      <c r="E150" s="1172"/>
      <c r="F150" s="1173"/>
      <c r="G150" s="1174"/>
      <c r="H150" s="1175"/>
      <c r="I150" s="1176"/>
      <c r="J150" s="1177"/>
      <c r="K150" s="1547"/>
      <c r="L150" s="1177"/>
      <c r="M150" s="1548"/>
      <c r="N150" s="1549"/>
      <c r="O150" s="1178"/>
      <c r="P150" s="1179"/>
      <c r="Q150" s="1171"/>
      <c r="R150" s="104"/>
      <c r="S150" s="1172"/>
      <c r="T150" s="1172"/>
      <c r="U150" s="1172"/>
      <c r="V150" s="1173"/>
      <c r="W150" s="1174"/>
      <c r="X150" s="1175"/>
      <c r="Y150" s="1176"/>
      <c r="Z150" s="1177"/>
      <c r="AA150" s="1547"/>
      <c r="AB150" s="1177"/>
      <c r="AC150" s="1548"/>
      <c r="AD150" s="1549"/>
      <c r="AE150" s="1178"/>
      <c r="AF150" s="1179"/>
      <c r="AG150" s="1171"/>
      <c r="AH150" s="104"/>
      <c r="AI150" s="1172"/>
      <c r="AJ150" s="1172"/>
      <c r="AK150" s="1172"/>
      <c r="AL150" s="1173"/>
      <c r="AM150" s="1174"/>
      <c r="AN150" s="1175"/>
      <c r="AO150" s="1176"/>
      <c r="AP150" s="1177"/>
      <c r="AQ150" s="1547"/>
      <c r="AR150" s="1177"/>
      <c r="AS150" s="1548"/>
      <c r="AT150" s="1549"/>
      <c r="AU150" s="1178"/>
      <c r="AV150" s="1179"/>
      <c r="AY150" s="3">
        <v>1</v>
      </c>
    </row>
    <row r="151" spans="2:51" ht="27" customHeight="1">
      <c r="B151" s="104"/>
      <c r="C151" s="1172"/>
      <c r="D151" s="1172"/>
      <c r="E151" s="1172"/>
      <c r="F151" s="1173"/>
      <c r="G151" s="1174"/>
      <c r="H151" s="1175"/>
      <c r="I151" s="1176"/>
      <c r="J151" s="1177"/>
      <c r="K151" s="1547"/>
      <c r="L151" s="1177"/>
      <c r="M151" s="1548"/>
      <c r="N151" s="1549"/>
      <c r="O151" s="1178"/>
      <c r="P151" s="1179"/>
      <c r="Q151" s="1171"/>
      <c r="R151" s="104"/>
      <c r="S151" s="1172"/>
      <c r="T151" s="1172"/>
      <c r="U151" s="1172"/>
      <c r="V151" s="1173"/>
      <c r="W151" s="1174"/>
      <c r="X151" s="1175"/>
      <c r="Y151" s="1176"/>
      <c r="Z151" s="1177"/>
      <c r="AA151" s="1547"/>
      <c r="AB151" s="1177"/>
      <c r="AC151" s="1548"/>
      <c r="AD151" s="1549"/>
      <c r="AE151" s="1178"/>
      <c r="AF151" s="1179"/>
      <c r="AG151" s="1171"/>
      <c r="AH151" s="104"/>
      <c r="AI151" s="1172"/>
      <c r="AJ151" s="1172"/>
      <c r="AK151" s="1172"/>
      <c r="AL151" s="1173"/>
      <c r="AM151" s="1174"/>
      <c r="AN151" s="1175"/>
      <c r="AO151" s="1176"/>
      <c r="AP151" s="1177"/>
      <c r="AQ151" s="1547"/>
      <c r="AR151" s="1177"/>
      <c r="AS151" s="1548"/>
      <c r="AT151" s="1549"/>
      <c r="AU151" s="1178"/>
      <c r="AV151" s="1179"/>
      <c r="AY151" s="3">
        <v>1</v>
      </c>
    </row>
    <row r="152" spans="2:51" ht="27" customHeight="1">
      <c r="B152" s="104"/>
      <c r="C152" s="1172"/>
      <c r="D152" s="1172"/>
      <c r="E152" s="1172"/>
      <c r="F152" s="1173"/>
      <c r="G152" s="1174"/>
      <c r="H152" s="1175"/>
      <c r="I152" s="1176"/>
      <c r="J152" s="1177"/>
      <c r="K152" s="1547"/>
      <c r="L152" s="1177"/>
      <c r="M152" s="1548"/>
      <c r="N152" s="1549"/>
      <c r="O152" s="1178"/>
      <c r="P152" s="1179"/>
      <c r="Q152" s="1171"/>
      <c r="R152" s="104"/>
      <c r="S152" s="1172"/>
      <c r="T152" s="1172"/>
      <c r="U152" s="1172"/>
      <c r="V152" s="1173"/>
      <c r="W152" s="1174"/>
      <c r="X152" s="1175"/>
      <c r="Y152" s="1176"/>
      <c r="Z152" s="1177"/>
      <c r="AA152" s="1547"/>
      <c r="AB152" s="1177"/>
      <c r="AC152" s="1548"/>
      <c r="AD152" s="1549"/>
      <c r="AE152" s="1178"/>
      <c r="AF152" s="1179"/>
      <c r="AG152" s="1171"/>
      <c r="AH152" s="104"/>
      <c r="AI152" s="1172"/>
      <c r="AJ152" s="1172"/>
      <c r="AK152" s="1172"/>
      <c r="AL152" s="1173"/>
      <c r="AM152" s="1174"/>
      <c r="AN152" s="1175"/>
      <c r="AO152" s="1176"/>
      <c r="AP152" s="1177"/>
      <c r="AQ152" s="1547"/>
      <c r="AR152" s="1177"/>
      <c r="AS152" s="1548"/>
      <c r="AT152" s="1549"/>
      <c r="AU152" s="1178"/>
      <c r="AV152" s="1179"/>
      <c r="AY152" s="3">
        <v>1</v>
      </c>
    </row>
    <row r="153" spans="2:51" ht="27" customHeight="1">
      <c r="B153" s="104"/>
      <c r="C153" s="1172"/>
      <c r="D153" s="1172"/>
      <c r="E153" s="1172"/>
      <c r="F153" s="1173"/>
      <c r="G153" s="1174"/>
      <c r="H153" s="1175"/>
      <c r="I153" s="1176"/>
      <c r="J153" s="1177"/>
      <c r="K153" s="1547"/>
      <c r="L153" s="1177"/>
      <c r="M153" s="1548"/>
      <c r="N153" s="1549"/>
      <c r="O153" s="1178"/>
      <c r="P153" s="1179"/>
      <c r="Q153" s="1171"/>
      <c r="R153" s="104"/>
      <c r="S153" s="1172"/>
      <c r="T153" s="1172"/>
      <c r="U153" s="1172"/>
      <c r="V153" s="1173"/>
      <c r="W153" s="1174"/>
      <c r="X153" s="1175"/>
      <c r="Y153" s="1176"/>
      <c r="Z153" s="1177"/>
      <c r="AA153" s="1547"/>
      <c r="AB153" s="1177"/>
      <c r="AC153" s="1548"/>
      <c r="AD153" s="1549"/>
      <c r="AE153" s="1178"/>
      <c r="AF153" s="1179"/>
      <c r="AG153" s="1171"/>
      <c r="AH153" s="104"/>
      <c r="AI153" s="1172"/>
      <c r="AJ153" s="1172"/>
      <c r="AK153" s="1172"/>
      <c r="AL153" s="1173"/>
      <c r="AM153" s="1174"/>
      <c r="AN153" s="1175"/>
      <c r="AO153" s="1176"/>
      <c r="AP153" s="1177"/>
      <c r="AQ153" s="1547"/>
      <c r="AR153" s="1177"/>
      <c r="AS153" s="1548"/>
      <c r="AT153" s="1549"/>
      <c r="AU153" s="1178"/>
      <c r="AV153" s="1179"/>
      <c r="AY153" s="3">
        <v>1</v>
      </c>
    </row>
    <row r="154" spans="2:51" ht="27" customHeight="1">
      <c r="B154" s="104"/>
      <c r="C154" s="1172"/>
      <c r="D154" s="1172"/>
      <c r="E154" s="1172"/>
      <c r="F154" s="1173"/>
      <c r="G154" s="1174"/>
      <c r="H154" s="1175"/>
      <c r="I154" s="1176"/>
      <c r="J154" s="1177"/>
      <c r="K154" s="1547"/>
      <c r="L154" s="1177"/>
      <c r="M154" s="1548"/>
      <c r="N154" s="1549"/>
      <c r="O154" s="1178"/>
      <c r="P154" s="1179"/>
      <c r="Q154" s="1171"/>
      <c r="R154" s="104"/>
      <c r="S154" s="1172"/>
      <c r="T154" s="1172"/>
      <c r="U154" s="1172"/>
      <c r="V154" s="1173"/>
      <c r="W154" s="1174"/>
      <c r="X154" s="1175"/>
      <c r="Y154" s="1176"/>
      <c r="Z154" s="1177"/>
      <c r="AA154" s="1547"/>
      <c r="AB154" s="1177"/>
      <c r="AC154" s="1548"/>
      <c r="AD154" s="1549"/>
      <c r="AE154" s="1178"/>
      <c r="AF154" s="1179"/>
      <c r="AG154" s="1171"/>
      <c r="AH154" s="104"/>
      <c r="AI154" s="1172"/>
      <c r="AJ154" s="1172"/>
      <c r="AK154" s="1172"/>
      <c r="AL154" s="1173"/>
      <c r="AM154" s="1174"/>
      <c r="AN154" s="1175"/>
      <c r="AO154" s="1176"/>
      <c r="AP154" s="1177"/>
      <c r="AQ154" s="1547"/>
      <c r="AR154" s="1177"/>
      <c r="AS154" s="1548"/>
      <c r="AT154" s="1549"/>
      <c r="AU154" s="1178"/>
      <c r="AV154" s="1179"/>
      <c r="AY154" s="3">
        <v>1</v>
      </c>
    </row>
    <row r="155" spans="2:51" ht="27" customHeight="1">
      <c r="B155" s="104"/>
      <c r="C155" s="1172"/>
      <c r="D155" s="1172"/>
      <c r="E155" s="1172"/>
      <c r="F155" s="1173"/>
      <c r="G155" s="1174"/>
      <c r="H155" s="1175"/>
      <c r="I155" s="1176"/>
      <c r="J155" s="1177"/>
      <c r="K155" s="1547"/>
      <c r="L155" s="1177"/>
      <c r="M155" s="1548"/>
      <c r="N155" s="1549"/>
      <c r="O155" s="1178"/>
      <c r="P155" s="1179"/>
      <c r="Q155" s="1171"/>
      <c r="R155" s="104"/>
      <c r="S155" s="1172"/>
      <c r="T155" s="1172"/>
      <c r="U155" s="1172"/>
      <c r="V155" s="1173"/>
      <c r="W155" s="1174"/>
      <c r="X155" s="1175"/>
      <c r="Y155" s="1176"/>
      <c r="Z155" s="1177"/>
      <c r="AA155" s="1547"/>
      <c r="AB155" s="1177"/>
      <c r="AC155" s="1548"/>
      <c r="AD155" s="1549"/>
      <c r="AE155" s="1178"/>
      <c r="AF155" s="1179"/>
      <c r="AG155" s="1171"/>
      <c r="AH155" s="104"/>
      <c r="AI155" s="1172"/>
      <c r="AJ155" s="1172"/>
      <c r="AK155" s="1172"/>
      <c r="AL155" s="1173"/>
      <c r="AM155" s="1174"/>
      <c r="AN155" s="1175"/>
      <c r="AO155" s="1176"/>
      <c r="AP155" s="1177"/>
      <c r="AQ155" s="1547"/>
      <c r="AR155" s="1177"/>
      <c r="AS155" s="1548"/>
      <c r="AT155" s="1549"/>
      <c r="AU155" s="1178"/>
      <c r="AV155" s="1179"/>
      <c r="AY155" s="3">
        <v>1</v>
      </c>
    </row>
    <row r="156" spans="2:51" ht="27" customHeight="1">
      <c r="B156" s="104"/>
      <c r="C156" s="1172"/>
      <c r="D156" s="1172"/>
      <c r="E156" s="1172"/>
      <c r="F156" s="1173"/>
      <c r="G156" s="1174"/>
      <c r="H156" s="1175"/>
      <c r="I156" s="1176"/>
      <c r="J156" s="1177"/>
      <c r="K156" s="1547"/>
      <c r="L156" s="1177"/>
      <c r="M156" s="1548"/>
      <c r="N156" s="1549"/>
      <c r="O156" s="1178"/>
      <c r="P156" s="1179"/>
      <c r="Q156" s="1171"/>
      <c r="R156" s="104"/>
      <c r="S156" s="1172"/>
      <c r="T156" s="1172"/>
      <c r="U156" s="1172"/>
      <c r="V156" s="1173"/>
      <c r="W156" s="1174"/>
      <c r="X156" s="1175"/>
      <c r="Y156" s="1176"/>
      <c r="Z156" s="1177"/>
      <c r="AA156" s="1547"/>
      <c r="AB156" s="1177"/>
      <c r="AC156" s="1548"/>
      <c r="AD156" s="1549"/>
      <c r="AE156" s="1178"/>
      <c r="AF156" s="1179"/>
      <c r="AG156" s="1171"/>
      <c r="AH156" s="104"/>
      <c r="AI156" s="1172"/>
      <c r="AJ156" s="1172"/>
      <c r="AK156" s="1172"/>
      <c r="AL156" s="1173"/>
      <c r="AM156" s="1174"/>
      <c r="AN156" s="1175"/>
      <c r="AO156" s="1176"/>
      <c r="AP156" s="1177"/>
      <c r="AQ156" s="1547"/>
      <c r="AR156" s="1177"/>
      <c r="AS156" s="1548"/>
      <c r="AT156" s="1549"/>
      <c r="AU156" s="1178"/>
      <c r="AV156" s="1179"/>
      <c r="AY156" s="3">
        <v>1</v>
      </c>
    </row>
    <row r="157" spans="2:51" ht="27" customHeight="1">
      <c r="B157" s="104"/>
      <c r="C157" s="1172"/>
      <c r="D157" s="1172"/>
      <c r="E157" s="1172"/>
      <c r="F157" s="1173"/>
      <c r="G157" s="1174"/>
      <c r="H157" s="1175"/>
      <c r="I157" s="1176"/>
      <c r="J157" s="1177"/>
      <c r="K157" s="1547"/>
      <c r="L157" s="1177"/>
      <c r="M157" s="1548"/>
      <c r="N157" s="1549"/>
      <c r="O157" s="1178"/>
      <c r="P157" s="1179"/>
      <c r="Q157" s="1171"/>
      <c r="R157" s="104"/>
      <c r="S157" s="1172"/>
      <c r="T157" s="1172"/>
      <c r="U157" s="1172"/>
      <c r="V157" s="1173"/>
      <c r="W157" s="1174"/>
      <c r="X157" s="1175"/>
      <c r="Y157" s="1176"/>
      <c r="Z157" s="1177"/>
      <c r="AA157" s="1547"/>
      <c r="AB157" s="1177"/>
      <c r="AC157" s="1548"/>
      <c r="AD157" s="1549"/>
      <c r="AE157" s="1178"/>
      <c r="AF157" s="1179"/>
      <c r="AG157" s="1171"/>
      <c r="AH157" s="104"/>
      <c r="AI157" s="1172"/>
      <c r="AJ157" s="1172"/>
      <c r="AK157" s="1172"/>
      <c r="AL157" s="1173"/>
      <c r="AM157" s="1174"/>
      <c r="AN157" s="1175"/>
      <c r="AO157" s="1176"/>
      <c r="AP157" s="1177"/>
      <c r="AQ157" s="1547"/>
      <c r="AR157" s="1177"/>
      <c r="AS157" s="1548"/>
      <c r="AT157" s="1549"/>
      <c r="AU157" s="1178"/>
      <c r="AV157" s="1179"/>
      <c r="AY157" s="3">
        <v>1</v>
      </c>
    </row>
    <row r="158" spans="2:51" ht="27" customHeight="1">
      <c r="B158" s="104"/>
      <c r="C158" s="1172"/>
      <c r="D158" s="1172"/>
      <c r="E158" s="1172"/>
      <c r="F158" s="1173"/>
      <c r="G158" s="1174"/>
      <c r="H158" s="1175"/>
      <c r="I158" s="1176"/>
      <c r="J158" s="1177"/>
      <c r="K158" s="1547"/>
      <c r="L158" s="1177"/>
      <c r="M158" s="1548"/>
      <c r="N158" s="1549"/>
      <c r="O158" s="1178"/>
      <c r="P158" s="1179"/>
      <c r="Q158" s="1171"/>
      <c r="R158" s="104"/>
      <c r="S158" s="1172"/>
      <c r="T158" s="1172"/>
      <c r="U158" s="1172"/>
      <c r="V158" s="1173"/>
      <c r="W158" s="1174"/>
      <c r="X158" s="1175"/>
      <c r="Y158" s="1176"/>
      <c r="Z158" s="1177"/>
      <c r="AA158" s="1547"/>
      <c r="AB158" s="1177"/>
      <c r="AC158" s="1548"/>
      <c r="AD158" s="1549"/>
      <c r="AE158" s="1178"/>
      <c r="AF158" s="1179"/>
      <c r="AG158" s="1171"/>
      <c r="AH158" s="104"/>
      <c r="AI158" s="1172"/>
      <c r="AJ158" s="1172"/>
      <c r="AK158" s="1172"/>
      <c r="AL158" s="1173"/>
      <c r="AM158" s="1174"/>
      <c r="AN158" s="1175"/>
      <c r="AO158" s="1176"/>
      <c r="AP158" s="1177"/>
      <c r="AQ158" s="1547"/>
      <c r="AR158" s="1177"/>
      <c r="AS158" s="1548"/>
      <c r="AT158" s="1549"/>
      <c r="AU158" s="1178"/>
      <c r="AV158" s="1179"/>
      <c r="AY158" s="3">
        <v>1</v>
      </c>
    </row>
    <row r="159" spans="2:51" ht="27" customHeight="1">
      <c r="B159" s="104"/>
      <c r="C159" s="1172"/>
      <c r="D159" s="1172"/>
      <c r="E159" s="1172"/>
      <c r="F159" s="1173"/>
      <c r="G159" s="1174"/>
      <c r="H159" s="1175"/>
      <c r="I159" s="1176"/>
      <c r="J159" s="1177"/>
      <c r="K159" s="1547"/>
      <c r="L159" s="1177"/>
      <c r="M159" s="1548"/>
      <c r="N159" s="1549"/>
      <c r="O159" s="1178"/>
      <c r="P159" s="1179"/>
      <c r="Q159" s="1171"/>
      <c r="R159" s="104"/>
      <c r="S159" s="1172"/>
      <c r="T159" s="1172"/>
      <c r="U159" s="1172"/>
      <c r="V159" s="1173"/>
      <c r="W159" s="1174"/>
      <c r="X159" s="1175"/>
      <c r="Y159" s="1176"/>
      <c r="Z159" s="1177"/>
      <c r="AA159" s="1547"/>
      <c r="AB159" s="1177"/>
      <c r="AC159" s="1548"/>
      <c r="AD159" s="1549"/>
      <c r="AE159" s="1178"/>
      <c r="AF159" s="1179"/>
      <c r="AG159" s="1171"/>
      <c r="AH159" s="104"/>
      <c r="AI159" s="1172"/>
      <c r="AJ159" s="1172"/>
      <c r="AK159" s="1172"/>
      <c r="AL159" s="1173"/>
      <c r="AM159" s="1174"/>
      <c r="AN159" s="1175"/>
      <c r="AO159" s="1176"/>
      <c r="AP159" s="1177"/>
      <c r="AQ159" s="1547"/>
      <c r="AR159" s="1177"/>
      <c r="AS159" s="1548"/>
      <c r="AT159" s="1549"/>
      <c r="AU159" s="1178"/>
      <c r="AV159" s="1179"/>
      <c r="AY159" s="3">
        <v>1</v>
      </c>
    </row>
    <row r="160" spans="2:51" ht="27" customHeight="1">
      <c r="B160" s="104"/>
      <c r="C160" s="1172"/>
      <c r="D160" s="1172"/>
      <c r="E160" s="1172"/>
      <c r="F160" s="1173"/>
      <c r="G160" s="1174"/>
      <c r="H160" s="1175"/>
      <c r="I160" s="1176"/>
      <c r="J160" s="1177"/>
      <c r="K160" s="1547"/>
      <c r="L160" s="1177"/>
      <c r="M160" s="1548"/>
      <c r="N160" s="1549"/>
      <c r="O160" s="1178"/>
      <c r="P160" s="1179"/>
      <c r="Q160" s="1171"/>
      <c r="R160" s="104"/>
      <c r="S160" s="1172"/>
      <c r="T160" s="1172"/>
      <c r="U160" s="1172"/>
      <c r="V160" s="1173"/>
      <c r="W160" s="1174"/>
      <c r="X160" s="1175"/>
      <c r="Y160" s="1176"/>
      <c r="Z160" s="1177"/>
      <c r="AA160" s="1547"/>
      <c r="AB160" s="1177"/>
      <c r="AC160" s="1548"/>
      <c r="AD160" s="1549"/>
      <c r="AE160" s="1178"/>
      <c r="AF160" s="1179"/>
      <c r="AG160" s="1171"/>
      <c r="AH160" s="104"/>
      <c r="AI160" s="1172"/>
      <c r="AJ160" s="1172"/>
      <c r="AK160" s="1172"/>
      <c r="AL160" s="1173"/>
      <c r="AM160" s="1174"/>
      <c r="AN160" s="1175"/>
      <c r="AO160" s="1176"/>
      <c r="AP160" s="1177"/>
      <c r="AQ160" s="1547"/>
      <c r="AR160" s="1177"/>
      <c r="AS160" s="1548"/>
      <c r="AT160" s="1549"/>
      <c r="AU160" s="1178"/>
      <c r="AV160" s="1179"/>
      <c r="AY160" s="3">
        <v>1</v>
      </c>
    </row>
    <row r="161" spans="2:51" ht="27" customHeight="1">
      <c r="B161" s="104"/>
      <c r="C161" s="1172"/>
      <c r="D161" s="1172"/>
      <c r="E161" s="1172"/>
      <c r="F161" s="1173"/>
      <c r="G161" s="1174"/>
      <c r="H161" s="1175"/>
      <c r="I161" s="1176"/>
      <c r="J161" s="1177"/>
      <c r="K161" s="1547"/>
      <c r="L161" s="1177"/>
      <c r="M161" s="1548"/>
      <c r="N161" s="1549"/>
      <c r="O161" s="1178"/>
      <c r="P161" s="1179"/>
      <c r="Q161" s="1171"/>
      <c r="R161" s="104"/>
      <c r="S161" s="1172"/>
      <c r="T161" s="1172"/>
      <c r="U161" s="1172"/>
      <c r="V161" s="1173"/>
      <c r="W161" s="1174"/>
      <c r="X161" s="1175"/>
      <c r="Y161" s="1176"/>
      <c r="Z161" s="1177"/>
      <c r="AA161" s="1547"/>
      <c r="AB161" s="1177"/>
      <c r="AC161" s="1548"/>
      <c r="AD161" s="1549"/>
      <c r="AE161" s="1178"/>
      <c r="AF161" s="1179"/>
      <c r="AG161" s="1171"/>
      <c r="AH161" s="104"/>
      <c r="AI161" s="1172"/>
      <c r="AJ161" s="1172"/>
      <c r="AK161" s="1172"/>
      <c r="AL161" s="1173"/>
      <c r="AM161" s="1174"/>
      <c r="AN161" s="1175"/>
      <c r="AO161" s="1176"/>
      <c r="AP161" s="1177"/>
      <c r="AQ161" s="1547"/>
      <c r="AR161" s="1177"/>
      <c r="AS161" s="1548"/>
      <c r="AT161" s="1549"/>
      <c r="AU161" s="1178"/>
      <c r="AV161" s="1179"/>
      <c r="AY161" s="3">
        <v>1</v>
      </c>
    </row>
    <row r="162" spans="2:51" ht="27" customHeight="1">
      <c r="B162" s="104"/>
      <c r="C162" s="1172"/>
      <c r="D162" s="1172"/>
      <c r="E162" s="1172"/>
      <c r="F162" s="1173"/>
      <c r="G162" s="1174"/>
      <c r="H162" s="1175"/>
      <c r="I162" s="1176"/>
      <c r="J162" s="1177"/>
      <c r="K162" s="1547"/>
      <c r="L162" s="1177"/>
      <c r="M162" s="1548"/>
      <c r="N162" s="1549"/>
      <c r="O162" s="1178"/>
      <c r="P162" s="1179"/>
      <c r="Q162" s="1171"/>
      <c r="R162" s="104"/>
      <c r="S162" s="1172"/>
      <c r="T162" s="1172"/>
      <c r="U162" s="1172"/>
      <c r="V162" s="1173"/>
      <c r="W162" s="1174"/>
      <c r="X162" s="1175"/>
      <c r="Y162" s="1176"/>
      <c r="Z162" s="1177"/>
      <c r="AA162" s="1547"/>
      <c r="AB162" s="1177"/>
      <c r="AC162" s="1548"/>
      <c r="AD162" s="1549"/>
      <c r="AE162" s="1178"/>
      <c r="AF162" s="1179"/>
      <c r="AG162" s="1171"/>
      <c r="AH162" s="104"/>
      <c r="AI162" s="1172"/>
      <c r="AJ162" s="1172"/>
      <c r="AK162" s="1172"/>
      <c r="AL162" s="1173"/>
      <c r="AM162" s="1174"/>
      <c r="AN162" s="1175"/>
      <c r="AO162" s="1176"/>
      <c r="AP162" s="1177"/>
      <c r="AQ162" s="1547"/>
      <c r="AR162" s="1177"/>
      <c r="AS162" s="1548"/>
      <c r="AT162" s="1549"/>
      <c r="AU162" s="1178"/>
      <c r="AV162" s="1179"/>
      <c r="AY162" s="3">
        <v>1</v>
      </c>
    </row>
    <row r="163" spans="2:51" ht="27" customHeight="1">
      <c r="B163" s="104"/>
      <c r="C163" s="1172"/>
      <c r="D163" s="1172"/>
      <c r="E163" s="1172"/>
      <c r="F163" s="1173"/>
      <c r="G163" s="1174"/>
      <c r="H163" s="1175"/>
      <c r="I163" s="1176"/>
      <c r="J163" s="1177"/>
      <c r="K163" s="1547"/>
      <c r="L163" s="1177"/>
      <c r="M163" s="1548"/>
      <c r="N163" s="1549"/>
      <c r="O163" s="1178"/>
      <c r="P163" s="1179"/>
      <c r="Q163" s="1171"/>
      <c r="R163" s="104"/>
      <c r="S163" s="1172"/>
      <c r="T163" s="1172"/>
      <c r="U163" s="1172"/>
      <c r="V163" s="1173"/>
      <c r="W163" s="1174"/>
      <c r="X163" s="1175"/>
      <c r="Y163" s="1176"/>
      <c r="Z163" s="1177"/>
      <c r="AA163" s="1547"/>
      <c r="AB163" s="1177"/>
      <c r="AC163" s="1548"/>
      <c r="AD163" s="1549"/>
      <c r="AE163" s="1178"/>
      <c r="AF163" s="1179"/>
      <c r="AG163" s="1171"/>
      <c r="AH163" s="104"/>
      <c r="AI163" s="1172"/>
      <c r="AJ163" s="1172"/>
      <c r="AK163" s="1172"/>
      <c r="AL163" s="1173"/>
      <c r="AM163" s="1174"/>
      <c r="AN163" s="1175"/>
      <c r="AO163" s="1176"/>
      <c r="AP163" s="1177"/>
      <c r="AQ163" s="1547"/>
      <c r="AR163" s="1177"/>
      <c r="AS163" s="1548"/>
      <c r="AT163" s="1549"/>
      <c r="AU163" s="1178"/>
      <c r="AV163" s="1179"/>
      <c r="AY163" s="3">
        <v>1</v>
      </c>
    </row>
    <row r="164" spans="2:51" ht="27" customHeight="1">
      <c r="B164" s="104"/>
      <c r="C164" s="1172"/>
      <c r="D164" s="1172"/>
      <c r="E164" s="1172"/>
      <c r="F164" s="1173"/>
      <c r="G164" s="1174"/>
      <c r="H164" s="1175"/>
      <c r="I164" s="1176"/>
      <c r="J164" s="1177"/>
      <c r="K164" s="1547"/>
      <c r="L164" s="1177"/>
      <c r="M164" s="1548"/>
      <c r="N164" s="1549"/>
      <c r="O164" s="1178"/>
      <c r="P164" s="1179"/>
      <c r="Q164" s="1171"/>
      <c r="R164" s="104"/>
      <c r="S164" s="1172"/>
      <c r="T164" s="1172"/>
      <c r="U164" s="1172"/>
      <c r="V164" s="1173"/>
      <c r="W164" s="1174"/>
      <c r="X164" s="1175"/>
      <c r="Y164" s="1176"/>
      <c r="Z164" s="1177"/>
      <c r="AA164" s="1547"/>
      <c r="AB164" s="1177"/>
      <c r="AC164" s="1548"/>
      <c r="AD164" s="1549"/>
      <c r="AE164" s="1178"/>
      <c r="AF164" s="1179"/>
      <c r="AG164" s="1171"/>
      <c r="AH164" s="104"/>
      <c r="AI164" s="1172"/>
      <c r="AJ164" s="1172"/>
      <c r="AK164" s="1172"/>
      <c r="AL164" s="1173"/>
      <c r="AM164" s="1174"/>
      <c r="AN164" s="1175"/>
      <c r="AO164" s="1176"/>
      <c r="AP164" s="1177"/>
      <c r="AQ164" s="1547"/>
      <c r="AR164" s="1177"/>
      <c r="AS164" s="1548"/>
      <c r="AT164" s="1549"/>
      <c r="AU164" s="1178"/>
      <c r="AV164" s="1179"/>
      <c r="AY164" s="3">
        <v>1</v>
      </c>
    </row>
    <row r="165" spans="2:51" ht="27" customHeight="1">
      <c r="B165" s="104"/>
      <c r="C165" s="1172"/>
      <c r="D165" s="1172"/>
      <c r="E165" s="1172"/>
      <c r="F165" s="1173"/>
      <c r="G165" s="1174"/>
      <c r="H165" s="1175"/>
      <c r="I165" s="1176"/>
      <c r="J165" s="1177"/>
      <c r="K165" s="1547"/>
      <c r="L165" s="1177"/>
      <c r="M165" s="1548"/>
      <c r="N165" s="1549"/>
      <c r="O165" s="1178"/>
      <c r="P165" s="1179"/>
      <c r="Q165" s="1171"/>
      <c r="R165" s="104"/>
      <c r="S165" s="1172"/>
      <c r="T165" s="1172"/>
      <c r="U165" s="1172"/>
      <c r="V165" s="1173"/>
      <c r="W165" s="1174"/>
      <c r="X165" s="1175"/>
      <c r="Y165" s="1176"/>
      <c r="Z165" s="1177"/>
      <c r="AA165" s="1547"/>
      <c r="AB165" s="1177"/>
      <c r="AC165" s="1548"/>
      <c r="AD165" s="1549"/>
      <c r="AE165" s="1178"/>
      <c r="AF165" s="1179"/>
      <c r="AG165" s="1171"/>
      <c r="AH165" s="104"/>
      <c r="AI165" s="1172"/>
      <c r="AJ165" s="1172"/>
      <c r="AK165" s="1172"/>
      <c r="AL165" s="1173"/>
      <c r="AM165" s="1174"/>
      <c r="AN165" s="1175"/>
      <c r="AO165" s="1176"/>
      <c r="AP165" s="1177"/>
      <c r="AQ165" s="1547"/>
      <c r="AR165" s="1177"/>
      <c r="AS165" s="1548"/>
      <c r="AT165" s="1549"/>
      <c r="AU165" s="1178"/>
      <c r="AV165" s="1179"/>
      <c r="AY165" s="3">
        <v>1</v>
      </c>
    </row>
    <row r="166" spans="2:51" ht="27" customHeight="1">
      <c r="B166" s="104"/>
      <c r="C166" s="1172"/>
      <c r="D166" s="1172"/>
      <c r="E166" s="1172"/>
      <c r="F166" s="1173"/>
      <c r="G166" s="1174"/>
      <c r="H166" s="1175"/>
      <c r="I166" s="1176"/>
      <c r="J166" s="1177"/>
      <c r="K166" s="1547"/>
      <c r="L166" s="1177"/>
      <c r="M166" s="1548"/>
      <c r="N166" s="1549"/>
      <c r="O166" s="1178"/>
      <c r="P166" s="1179"/>
      <c r="Q166" s="1171"/>
      <c r="R166" s="104"/>
      <c r="S166" s="1172"/>
      <c r="T166" s="1172"/>
      <c r="U166" s="1172"/>
      <c r="V166" s="1173"/>
      <c r="W166" s="1174"/>
      <c r="X166" s="1175"/>
      <c r="Y166" s="1176"/>
      <c r="Z166" s="1177"/>
      <c r="AA166" s="1547"/>
      <c r="AB166" s="1177"/>
      <c r="AC166" s="1548"/>
      <c r="AD166" s="1549"/>
      <c r="AE166" s="1178"/>
      <c r="AF166" s="1179"/>
      <c r="AG166" s="1171"/>
      <c r="AH166" s="104"/>
      <c r="AI166" s="1172"/>
      <c r="AJ166" s="1172"/>
      <c r="AK166" s="1172"/>
      <c r="AL166" s="1173"/>
      <c r="AM166" s="1174"/>
      <c r="AN166" s="1175"/>
      <c r="AO166" s="1176"/>
      <c r="AP166" s="1177"/>
      <c r="AQ166" s="1547"/>
      <c r="AR166" s="1177"/>
      <c r="AS166" s="1548"/>
      <c r="AT166" s="1549"/>
      <c r="AU166" s="1178"/>
      <c r="AV166" s="1179"/>
      <c r="AY166" s="3">
        <v>1</v>
      </c>
    </row>
    <row r="167" spans="2:51" ht="27" customHeight="1">
      <c r="B167" s="104"/>
      <c r="C167" s="1172"/>
      <c r="D167" s="1172"/>
      <c r="E167" s="1172"/>
      <c r="F167" s="1173"/>
      <c r="G167" s="1174"/>
      <c r="H167" s="1175"/>
      <c r="I167" s="1176"/>
      <c r="J167" s="1177"/>
      <c r="K167" s="1547"/>
      <c r="L167" s="1177"/>
      <c r="M167" s="1548"/>
      <c r="N167" s="1549"/>
      <c r="O167" s="1178"/>
      <c r="P167" s="1179"/>
      <c r="Q167" s="1171"/>
      <c r="R167" s="104"/>
      <c r="S167" s="1172"/>
      <c r="T167" s="1172"/>
      <c r="U167" s="1172"/>
      <c r="V167" s="1173"/>
      <c r="W167" s="1174"/>
      <c r="X167" s="1175"/>
      <c r="Y167" s="1176"/>
      <c r="Z167" s="1177"/>
      <c r="AA167" s="1547"/>
      <c r="AB167" s="1177"/>
      <c r="AC167" s="1548"/>
      <c r="AD167" s="1549"/>
      <c r="AE167" s="1178"/>
      <c r="AF167" s="1179"/>
      <c r="AG167" s="1171"/>
      <c r="AH167" s="104"/>
      <c r="AI167" s="1172"/>
      <c r="AJ167" s="1172"/>
      <c r="AK167" s="1172"/>
      <c r="AL167" s="1173"/>
      <c r="AM167" s="1174"/>
      <c r="AN167" s="1175"/>
      <c r="AO167" s="1176"/>
      <c r="AP167" s="1177"/>
      <c r="AQ167" s="1547"/>
      <c r="AR167" s="1177"/>
      <c r="AS167" s="1548"/>
      <c r="AT167" s="1549"/>
      <c r="AU167" s="1178"/>
      <c r="AV167" s="1179"/>
      <c r="AY167" s="3">
        <v>1</v>
      </c>
    </row>
    <row r="168" spans="2:51" ht="27" customHeight="1">
      <c r="B168" s="104"/>
      <c r="C168" s="1172"/>
      <c r="D168" s="1172"/>
      <c r="E168" s="1172"/>
      <c r="F168" s="1173"/>
      <c r="G168" s="1174"/>
      <c r="H168" s="1175"/>
      <c r="I168" s="1176"/>
      <c r="J168" s="1177"/>
      <c r="K168" s="1547"/>
      <c r="L168" s="1177"/>
      <c r="M168" s="1548"/>
      <c r="N168" s="1549"/>
      <c r="O168" s="1178"/>
      <c r="P168" s="1179"/>
      <c r="Q168" s="1171"/>
      <c r="R168" s="104"/>
      <c r="S168" s="1172"/>
      <c r="T168" s="1172"/>
      <c r="U168" s="1172"/>
      <c r="V168" s="1173"/>
      <c r="W168" s="1174"/>
      <c r="X168" s="1175"/>
      <c r="Y168" s="1176"/>
      <c r="Z168" s="1177"/>
      <c r="AA168" s="1547"/>
      <c r="AB168" s="1177"/>
      <c r="AC168" s="1548"/>
      <c r="AD168" s="1549"/>
      <c r="AE168" s="1178"/>
      <c r="AF168" s="1179"/>
      <c r="AG168" s="1171"/>
      <c r="AH168" s="104"/>
      <c r="AI168" s="1172"/>
      <c r="AJ168" s="1172"/>
      <c r="AK168" s="1172"/>
      <c r="AL168" s="1173"/>
      <c r="AM168" s="1174"/>
      <c r="AN168" s="1175"/>
      <c r="AO168" s="1176"/>
      <c r="AP168" s="1177"/>
      <c r="AQ168" s="1547"/>
      <c r="AR168" s="1177"/>
      <c r="AS168" s="1548"/>
      <c r="AT168" s="1549"/>
      <c r="AU168" s="1178"/>
      <c r="AV168" s="1179"/>
      <c r="AY168" s="3">
        <v>1</v>
      </c>
    </row>
    <row r="169" spans="2:51" ht="27" customHeight="1">
      <c r="B169" s="104"/>
      <c r="C169" s="1172"/>
      <c r="D169" s="1172"/>
      <c r="E169" s="1172"/>
      <c r="F169" s="1173"/>
      <c r="G169" s="1174"/>
      <c r="H169" s="1175"/>
      <c r="I169" s="1176"/>
      <c r="J169" s="1177"/>
      <c r="K169" s="1547"/>
      <c r="L169" s="1177"/>
      <c r="M169" s="1548"/>
      <c r="N169" s="1549"/>
      <c r="O169" s="1178"/>
      <c r="P169" s="1179"/>
      <c r="Q169" s="1171"/>
      <c r="R169" s="104"/>
      <c r="S169" s="1172"/>
      <c r="T169" s="1172"/>
      <c r="U169" s="1172"/>
      <c r="V169" s="1173"/>
      <c r="W169" s="1174"/>
      <c r="X169" s="1175"/>
      <c r="Y169" s="1176"/>
      <c r="Z169" s="1177"/>
      <c r="AA169" s="1547"/>
      <c r="AB169" s="1177"/>
      <c r="AC169" s="1548"/>
      <c r="AD169" s="1549"/>
      <c r="AE169" s="1178"/>
      <c r="AF169" s="1179"/>
      <c r="AG169" s="1171"/>
      <c r="AH169" s="104"/>
      <c r="AI169" s="1172"/>
      <c r="AJ169" s="1172"/>
      <c r="AK169" s="1172"/>
      <c r="AL169" s="1173"/>
      <c r="AM169" s="1174"/>
      <c r="AN169" s="1175"/>
      <c r="AO169" s="1176"/>
      <c r="AP169" s="1177"/>
      <c r="AQ169" s="1547"/>
      <c r="AR169" s="1177"/>
      <c r="AS169" s="1548"/>
      <c r="AT169" s="1549"/>
      <c r="AU169" s="1178"/>
      <c r="AV169" s="1179"/>
      <c r="AY169" s="3">
        <v>1</v>
      </c>
    </row>
    <row r="170" spans="2:51" ht="27" customHeight="1">
      <c r="B170" s="104"/>
      <c r="C170" s="1172"/>
      <c r="D170" s="1172"/>
      <c r="E170" s="1172"/>
      <c r="F170" s="1173"/>
      <c r="G170" s="1174"/>
      <c r="H170" s="1175"/>
      <c r="I170" s="1176"/>
      <c r="J170" s="1177"/>
      <c r="K170" s="1547"/>
      <c r="L170" s="1177"/>
      <c r="M170" s="1548"/>
      <c r="N170" s="1549"/>
      <c r="O170" s="1178"/>
      <c r="P170" s="1179"/>
      <c r="Q170" s="1171"/>
      <c r="R170" s="104"/>
      <c r="S170" s="1172"/>
      <c r="T170" s="1172"/>
      <c r="U170" s="1172"/>
      <c r="V170" s="1173"/>
      <c r="W170" s="1174"/>
      <c r="X170" s="1175"/>
      <c r="Y170" s="1176"/>
      <c r="Z170" s="1177"/>
      <c r="AA170" s="1547"/>
      <c r="AB170" s="1177"/>
      <c r="AC170" s="1548"/>
      <c r="AD170" s="1549"/>
      <c r="AE170" s="1178"/>
      <c r="AF170" s="1179"/>
      <c r="AG170" s="1171"/>
      <c r="AH170" s="104"/>
      <c r="AI170" s="1172"/>
      <c r="AJ170" s="1172"/>
      <c r="AK170" s="1172"/>
      <c r="AL170" s="1173"/>
      <c r="AM170" s="1174"/>
      <c r="AN170" s="1175"/>
      <c r="AO170" s="1176"/>
      <c r="AP170" s="1177"/>
      <c r="AQ170" s="1547"/>
      <c r="AR170" s="1177"/>
      <c r="AS170" s="1548"/>
      <c r="AT170" s="1549"/>
      <c r="AU170" s="1178"/>
      <c r="AV170" s="1179"/>
      <c r="AY170" s="3">
        <v>1</v>
      </c>
    </row>
    <row r="171" spans="2:51" ht="27" customHeight="1">
      <c r="B171" s="104"/>
      <c r="C171" s="1172"/>
      <c r="D171" s="1172"/>
      <c r="E171" s="1172"/>
      <c r="F171" s="1173"/>
      <c r="G171" s="1174"/>
      <c r="H171" s="1175"/>
      <c r="I171" s="1176"/>
      <c r="J171" s="1177"/>
      <c r="K171" s="1547"/>
      <c r="L171" s="1177"/>
      <c r="M171" s="1548"/>
      <c r="N171" s="1549"/>
      <c r="O171" s="1178"/>
      <c r="P171" s="1179"/>
      <c r="Q171" s="1171"/>
      <c r="R171" s="104"/>
      <c r="S171" s="1172"/>
      <c r="T171" s="1172"/>
      <c r="U171" s="1172"/>
      <c r="V171" s="1173"/>
      <c r="W171" s="1174"/>
      <c r="X171" s="1175"/>
      <c r="Y171" s="1176"/>
      <c r="Z171" s="1177"/>
      <c r="AA171" s="1547"/>
      <c r="AB171" s="1177"/>
      <c r="AC171" s="1548"/>
      <c r="AD171" s="1549"/>
      <c r="AE171" s="1178"/>
      <c r="AF171" s="1179"/>
      <c r="AG171" s="1171"/>
      <c r="AH171" s="104"/>
      <c r="AI171" s="1172"/>
      <c r="AJ171" s="1172"/>
      <c r="AK171" s="1172"/>
      <c r="AL171" s="1173"/>
      <c r="AM171" s="1174"/>
      <c r="AN171" s="1175"/>
      <c r="AO171" s="1176"/>
      <c r="AP171" s="1177"/>
      <c r="AQ171" s="1547"/>
      <c r="AR171" s="1177"/>
      <c r="AS171" s="1548"/>
      <c r="AT171" s="1549"/>
      <c r="AU171" s="1178"/>
      <c r="AV171" s="1179"/>
      <c r="AY171" s="3">
        <v>1</v>
      </c>
    </row>
    <row r="172" spans="2:51" ht="27" customHeight="1">
      <c r="B172" s="104"/>
      <c r="C172" s="1172"/>
      <c r="D172" s="1172"/>
      <c r="E172" s="1172"/>
      <c r="F172" s="1173"/>
      <c r="G172" s="1174"/>
      <c r="H172" s="1175"/>
      <c r="I172" s="1176"/>
      <c r="J172" s="1177"/>
      <c r="K172" s="1547"/>
      <c r="L172" s="1177"/>
      <c r="M172" s="1548"/>
      <c r="N172" s="1549"/>
      <c r="O172" s="1178"/>
      <c r="P172" s="1179"/>
      <c r="Q172" s="1171"/>
      <c r="R172" s="104"/>
      <c r="S172" s="1172"/>
      <c r="T172" s="1172"/>
      <c r="U172" s="1172"/>
      <c r="V172" s="1173"/>
      <c r="W172" s="1174"/>
      <c r="X172" s="1175"/>
      <c r="Y172" s="1176"/>
      <c r="Z172" s="1177"/>
      <c r="AA172" s="1547"/>
      <c r="AB172" s="1177"/>
      <c r="AC172" s="1548"/>
      <c r="AD172" s="1549"/>
      <c r="AE172" s="1178"/>
      <c r="AF172" s="1179"/>
      <c r="AG172" s="1171"/>
      <c r="AH172" s="104"/>
      <c r="AI172" s="1172"/>
      <c r="AJ172" s="1172"/>
      <c r="AK172" s="1172"/>
      <c r="AL172" s="1173"/>
      <c r="AM172" s="1174"/>
      <c r="AN172" s="1175"/>
      <c r="AO172" s="1176"/>
      <c r="AP172" s="1177"/>
      <c r="AQ172" s="1547"/>
      <c r="AR172" s="1177"/>
      <c r="AS172" s="1548"/>
      <c r="AT172" s="1549"/>
      <c r="AU172" s="1178"/>
      <c r="AV172" s="1179"/>
      <c r="AY172" s="3">
        <v>1</v>
      </c>
    </row>
    <row r="173" spans="2:51" ht="27" customHeight="1">
      <c r="B173" s="104"/>
      <c r="C173" s="1172"/>
      <c r="D173" s="1172"/>
      <c r="E173" s="1172"/>
      <c r="F173" s="1173"/>
      <c r="G173" s="1174"/>
      <c r="H173" s="1175"/>
      <c r="I173" s="1176"/>
      <c r="J173" s="1177"/>
      <c r="K173" s="1547"/>
      <c r="L173" s="1177"/>
      <c r="M173" s="1548"/>
      <c r="N173" s="1549"/>
      <c r="O173" s="1178"/>
      <c r="P173" s="1179"/>
      <c r="Q173" s="1171"/>
      <c r="R173" s="104"/>
      <c r="S173" s="1172"/>
      <c r="T173" s="1172"/>
      <c r="U173" s="1172"/>
      <c r="V173" s="1173"/>
      <c r="W173" s="1174"/>
      <c r="X173" s="1175"/>
      <c r="Y173" s="1176"/>
      <c r="Z173" s="1177"/>
      <c r="AA173" s="1547"/>
      <c r="AB173" s="1177"/>
      <c r="AC173" s="1548"/>
      <c r="AD173" s="1549"/>
      <c r="AE173" s="1178"/>
      <c r="AF173" s="1179"/>
      <c r="AG173" s="1171"/>
      <c r="AH173" s="104"/>
      <c r="AI173" s="1172"/>
      <c r="AJ173" s="1172"/>
      <c r="AK173" s="1172"/>
      <c r="AL173" s="1173"/>
      <c r="AM173" s="1174"/>
      <c r="AN173" s="1175"/>
      <c r="AO173" s="1176"/>
      <c r="AP173" s="1177"/>
      <c r="AQ173" s="1547"/>
      <c r="AR173" s="1177"/>
      <c r="AS173" s="1548"/>
      <c r="AT173" s="1549"/>
      <c r="AU173" s="1178"/>
      <c r="AV173" s="1179"/>
      <c r="AY173" s="3">
        <v>1</v>
      </c>
    </row>
    <row r="174" spans="2:51" ht="27" customHeight="1">
      <c r="B174" s="104"/>
      <c r="C174" s="1172"/>
      <c r="D174" s="1172"/>
      <c r="E174" s="1172"/>
      <c r="F174" s="1173"/>
      <c r="G174" s="1174"/>
      <c r="H174" s="1175"/>
      <c r="I174" s="1176"/>
      <c r="J174" s="1177"/>
      <c r="K174" s="1547"/>
      <c r="L174" s="1177"/>
      <c r="M174" s="1548"/>
      <c r="N174" s="1549"/>
      <c r="O174" s="1178"/>
      <c r="P174" s="1179"/>
      <c r="Q174" s="1171"/>
      <c r="R174" s="104"/>
      <c r="S174" s="1172"/>
      <c r="T174" s="1172"/>
      <c r="U174" s="1172"/>
      <c r="V174" s="1173"/>
      <c r="W174" s="1174"/>
      <c r="X174" s="1175"/>
      <c r="Y174" s="1176"/>
      <c r="Z174" s="1177"/>
      <c r="AA174" s="1547"/>
      <c r="AB174" s="1177"/>
      <c r="AC174" s="1548"/>
      <c r="AD174" s="1549"/>
      <c r="AE174" s="1178"/>
      <c r="AF174" s="1179"/>
      <c r="AG174" s="1171"/>
      <c r="AH174" s="104"/>
      <c r="AI174" s="1172"/>
      <c r="AJ174" s="1172"/>
      <c r="AK174" s="1172"/>
      <c r="AL174" s="1173"/>
      <c r="AM174" s="1174"/>
      <c r="AN174" s="1175"/>
      <c r="AO174" s="1176"/>
      <c r="AP174" s="1177"/>
      <c r="AQ174" s="1547"/>
      <c r="AR174" s="1177"/>
      <c r="AS174" s="1548"/>
      <c r="AT174" s="1549"/>
      <c r="AU174" s="1178"/>
      <c r="AV174" s="1179"/>
      <c r="AY174" s="3">
        <v>1</v>
      </c>
    </row>
    <row r="175" spans="2:51" ht="27" customHeight="1">
      <c r="B175" s="104"/>
      <c r="C175" s="1172"/>
      <c r="D175" s="1172"/>
      <c r="E175" s="1172"/>
      <c r="F175" s="1173"/>
      <c r="G175" s="1174"/>
      <c r="H175" s="1175"/>
      <c r="I175" s="1176"/>
      <c r="J175" s="1177"/>
      <c r="K175" s="1547"/>
      <c r="L175" s="1177"/>
      <c r="M175" s="1548"/>
      <c r="N175" s="1549"/>
      <c r="O175" s="1178"/>
      <c r="P175" s="1179"/>
      <c r="Q175" s="1171"/>
      <c r="R175" s="104"/>
      <c r="S175" s="1172"/>
      <c r="T175" s="1172"/>
      <c r="U175" s="1172"/>
      <c r="V175" s="1173"/>
      <c r="W175" s="1174"/>
      <c r="X175" s="1175"/>
      <c r="Y175" s="1176"/>
      <c r="Z175" s="1177"/>
      <c r="AA175" s="1547"/>
      <c r="AB175" s="1177"/>
      <c r="AC175" s="1548"/>
      <c r="AD175" s="1549"/>
      <c r="AE175" s="1178"/>
      <c r="AF175" s="1179"/>
      <c r="AG175" s="1171"/>
      <c r="AH175" s="104"/>
      <c r="AI175" s="1172"/>
      <c r="AJ175" s="1172"/>
      <c r="AK175" s="1172"/>
      <c r="AL175" s="1173"/>
      <c r="AM175" s="1174"/>
      <c r="AN175" s="1175"/>
      <c r="AO175" s="1176"/>
      <c r="AP175" s="1177"/>
      <c r="AQ175" s="1547"/>
      <c r="AR175" s="1177"/>
      <c r="AS175" s="1548"/>
      <c r="AT175" s="1549"/>
      <c r="AU175" s="1178"/>
      <c r="AV175" s="1179"/>
      <c r="AY175" s="3">
        <v>1</v>
      </c>
    </row>
    <row r="176" spans="2:51" ht="27" customHeight="1">
      <c r="B176" s="104"/>
      <c r="C176" s="1172"/>
      <c r="D176" s="1172"/>
      <c r="E176" s="1172"/>
      <c r="F176" s="1173"/>
      <c r="G176" s="1174"/>
      <c r="H176" s="1175"/>
      <c r="I176" s="1176"/>
      <c r="J176" s="1177"/>
      <c r="K176" s="1547"/>
      <c r="L176" s="1177"/>
      <c r="M176" s="1548"/>
      <c r="N176" s="1549"/>
      <c r="O176" s="1178"/>
      <c r="P176" s="1179"/>
      <c r="Q176" s="1171"/>
      <c r="R176" s="104"/>
      <c r="S176" s="1172"/>
      <c r="T176" s="1172"/>
      <c r="U176" s="1172"/>
      <c r="V176" s="1173"/>
      <c r="W176" s="1174"/>
      <c r="X176" s="1175"/>
      <c r="Y176" s="1176"/>
      <c r="Z176" s="1177"/>
      <c r="AA176" s="1547"/>
      <c r="AB176" s="1177"/>
      <c r="AC176" s="1548"/>
      <c r="AD176" s="1549"/>
      <c r="AE176" s="1178"/>
      <c r="AF176" s="1179"/>
      <c r="AG176" s="1171"/>
      <c r="AH176" s="104"/>
      <c r="AI176" s="1172"/>
      <c r="AJ176" s="1172"/>
      <c r="AK176" s="1172"/>
      <c r="AL176" s="1173"/>
      <c r="AM176" s="1174"/>
      <c r="AN176" s="1175"/>
      <c r="AO176" s="1176"/>
      <c r="AP176" s="1177"/>
      <c r="AQ176" s="1547"/>
      <c r="AR176" s="1177"/>
      <c r="AS176" s="1548"/>
      <c r="AT176" s="1549"/>
      <c r="AU176" s="1178"/>
      <c r="AV176" s="1179"/>
      <c r="AY176" s="3">
        <v>1</v>
      </c>
    </row>
    <row r="177" spans="2:51" ht="27" customHeight="1">
      <c r="B177" s="104"/>
      <c r="C177" s="1172"/>
      <c r="D177" s="1172"/>
      <c r="E177" s="1172"/>
      <c r="F177" s="1173"/>
      <c r="G177" s="1174"/>
      <c r="H177" s="1175"/>
      <c r="I177" s="1176"/>
      <c r="J177" s="1177"/>
      <c r="K177" s="1547"/>
      <c r="L177" s="1177"/>
      <c r="M177" s="1548"/>
      <c r="N177" s="1549"/>
      <c r="O177" s="1178"/>
      <c r="P177" s="1179"/>
      <c r="Q177" s="1171"/>
      <c r="R177" s="104"/>
      <c r="S177" s="1172"/>
      <c r="T177" s="1172"/>
      <c r="U177" s="1172"/>
      <c r="V177" s="1173"/>
      <c r="W177" s="1174"/>
      <c r="X177" s="1175"/>
      <c r="Y177" s="1176"/>
      <c r="Z177" s="1177"/>
      <c r="AA177" s="1547"/>
      <c r="AB177" s="1177"/>
      <c r="AC177" s="1548"/>
      <c r="AD177" s="1549"/>
      <c r="AE177" s="1178"/>
      <c r="AF177" s="1179"/>
      <c r="AG177" s="1171"/>
      <c r="AH177" s="104"/>
      <c r="AI177" s="1172"/>
      <c r="AJ177" s="1172"/>
      <c r="AK177" s="1172"/>
      <c r="AL177" s="1173"/>
      <c r="AM177" s="1174"/>
      <c r="AN177" s="1175"/>
      <c r="AO177" s="1176"/>
      <c r="AP177" s="1177"/>
      <c r="AQ177" s="1547"/>
      <c r="AR177" s="1177"/>
      <c r="AS177" s="1548"/>
      <c r="AT177" s="1549"/>
      <c r="AU177" s="1178"/>
      <c r="AV177" s="1179"/>
      <c r="AY177" s="3">
        <v>1</v>
      </c>
    </row>
    <row r="178" spans="2:51" ht="27" customHeight="1">
      <c r="B178" s="104"/>
      <c r="C178" s="1172"/>
      <c r="D178" s="1172"/>
      <c r="E178" s="1172"/>
      <c r="F178" s="1173"/>
      <c r="G178" s="1174"/>
      <c r="H178" s="1175"/>
      <c r="I178" s="1176"/>
      <c r="J178" s="1177"/>
      <c r="K178" s="1547"/>
      <c r="L178" s="1177"/>
      <c r="M178" s="1548"/>
      <c r="N178" s="1549"/>
      <c r="O178" s="1178"/>
      <c r="P178" s="1179"/>
      <c r="Q178" s="1171"/>
      <c r="R178" s="104"/>
      <c r="S178" s="1172"/>
      <c r="T178" s="1172"/>
      <c r="U178" s="1172"/>
      <c r="V178" s="1173"/>
      <c r="W178" s="1174"/>
      <c r="X178" s="1175"/>
      <c r="Y178" s="1176"/>
      <c r="Z178" s="1177"/>
      <c r="AA178" s="1547"/>
      <c r="AB178" s="1177"/>
      <c r="AC178" s="1548"/>
      <c r="AD178" s="1549"/>
      <c r="AE178" s="1178"/>
      <c r="AF178" s="1179"/>
      <c r="AG178" s="1171"/>
      <c r="AH178" s="104"/>
      <c r="AI178" s="1172"/>
      <c r="AJ178" s="1172"/>
      <c r="AK178" s="1172"/>
      <c r="AL178" s="1173"/>
      <c r="AM178" s="1174"/>
      <c r="AN178" s="1175"/>
      <c r="AO178" s="1176"/>
      <c r="AP178" s="1177"/>
      <c r="AQ178" s="1547"/>
      <c r="AR178" s="1177"/>
      <c r="AS178" s="1548"/>
      <c r="AT178" s="1549"/>
      <c r="AU178" s="1178"/>
      <c r="AV178" s="1179"/>
      <c r="AY178" s="3">
        <v>1</v>
      </c>
    </row>
    <row r="179" spans="2:51" ht="27" customHeight="1">
      <c r="B179" s="104"/>
      <c r="C179" s="1172"/>
      <c r="D179" s="1172"/>
      <c r="E179" s="1172"/>
      <c r="F179" s="1173"/>
      <c r="G179" s="1174"/>
      <c r="H179" s="1175"/>
      <c r="I179" s="1176"/>
      <c r="J179" s="1177"/>
      <c r="K179" s="1547"/>
      <c r="L179" s="1177"/>
      <c r="M179" s="1548"/>
      <c r="N179" s="1549"/>
      <c r="O179" s="1178"/>
      <c r="P179" s="1179"/>
      <c r="Q179" s="1171"/>
      <c r="R179" s="104"/>
      <c r="S179" s="1172"/>
      <c r="T179" s="1172"/>
      <c r="U179" s="1172"/>
      <c r="V179" s="1173"/>
      <c r="W179" s="1174"/>
      <c r="X179" s="1175"/>
      <c r="Y179" s="1176"/>
      <c r="Z179" s="1177"/>
      <c r="AA179" s="1547"/>
      <c r="AB179" s="1177"/>
      <c r="AC179" s="1548"/>
      <c r="AD179" s="1549"/>
      <c r="AE179" s="1178"/>
      <c r="AF179" s="1179"/>
      <c r="AG179" s="1171"/>
      <c r="AH179" s="104"/>
      <c r="AI179" s="1172"/>
      <c r="AJ179" s="1172"/>
      <c r="AK179" s="1172"/>
      <c r="AL179" s="1173"/>
      <c r="AM179" s="1174"/>
      <c r="AN179" s="1175"/>
      <c r="AO179" s="1176"/>
      <c r="AP179" s="1177"/>
      <c r="AQ179" s="1547"/>
      <c r="AR179" s="1177"/>
      <c r="AS179" s="1548"/>
      <c r="AT179" s="1549"/>
      <c r="AU179" s="1178"/>
      <c r="AV179" s="1179"/>
      <c r="AY179" s="3">
        <v>1</v>
      </c>
    </row>
    <row r="180" spans="2:51" ht="27" customHeight="1">
      <c r="B180" s="104"/>
      <c r="C180" s="1172"/>
      <c r="D180" s="1172"/>
      <c r="E180" s="1172"/>
      <c r="F180" s="1173"/>
      <c r="G180" s="1174"/>
      <c r="H180" s="1175"/>
      <c r="I180" s="1176"/>
      <c r="J180" s="1177"/>
      <c r="K180" s="1547"/>
      <c r="L180" s="1177"/>
      <c r="M180" s="1548"/>
      <c r="N180" s="1549"/>
      <c r="O180" s="1178"/>
      <c r="P180" s="1179"/>
      <c r="Q180" s="1171"/>
      <c r="R180" s="104"/>
      <c r="S180" s="1172"/>
      <c r="T180" s="1172"/>
      <c r="U180" s="1172"/>
      <c r="V180" s="1173"/>
      <c r="W180" s="1174"/>
      <c r="X180" s="1175"/>
      <c r="Y180" s="1176"/>
      <c r="Z180" s="1177"/>
      <c r="AA180" s="1547"/>
      <c r="AB180" s="1177"/>
      <c r="AC180" s="1548"/>
      <c r="AD180" s="1549"/>
      <c r="AE180" s="1178"/>
      <c r="AF180" s="1179"/>
      <c r="AG180" s="1171"/>
      <c r="AH180" s="104"/>
      <c r="AI180" s="1172"/>
      <c r="AJ180" s="1172"/>
      <c r="AK180" s="1172"/>
      <c r="AL180" s="1173"/>
      <c r="AM180" s="1174"/>
      <c r="AN180" s="1175"/>
      <c r="AO180" s="1176"/>
      <c r="AP180" s="1177"/>
      <c r="AQ180" s="1547"/>
      <c r="AR180" s="1177"/>
      <c r="AS180" s="1548"/>
      <c r="AT180" s="1549"/>
      <c r="AU180" s="1178"/>
      <c r="AV180" s="1179"/>
      <c r="AY180" s="3">
        <v>1</v>
      </c>
    </row>
    <row r="181" spans="2:51" ht="27" customHeight="1">
      <c r="B181" s="104"/>
      <c r="C181" s="1172"/>
      <c r="D181" s="1172"/>
      <c r="E181" s="1172"/>
      <c r="F181" s="1173"/>
      <c r="G181" s="1174"/>
      <c r="H181" s="1175"/>
      <c r="I181" s="1176"/>
      <c r="J181" s="1177"/>
      <c r="K181" s="1547"/>
      <c r="L181" s="1177"/>
      <c r="M181" s="1548"/>
      <c r="N181" s="1549"/>
      <c r="O181" s="1178"/>
      <c r="P181" s="1179"/>
      <c r="Q181" s="1171"/>
      <c r="R181" s="104"/>
      <c r="S181" s="1172"/>
      <c r="T181" s="1172"/>
      <c r="U181" s="1172"/>
      <c r="V181" s="1173"/>
      <c r="W181" s="1174"/>
      <c r="X181" s="1175"/>
      <c r="Y181" s="1176"/>
      <c r="Z181" s="1177"/>
      <c r="AA181" s="1547"/>
      <c r="AB181" s="1177"/>
      <c r="AC181" s="1548"/>
      <c r="AD181" s="1549"/>
      <c r="AE181" s="1178"/>
      <c r="AF181" s="1179"/>
      <c r="AG181" s="1171"/>
      <c r="AH181" s="104"/>
      <c r="AI181" s="1172"/>
      <c r="AJ181" s="1172"/>
      <c r="AK181" s="1172"/>
      <c r="AL181" s="1173"/>
      <c r="AM181" s="1174"/>
      <c r="AN181" s="1175"/>
      <c r="AO181" s="1176"/>
      <c r="AP181" s="1177"/>
      <c r="AQ181" s="1547"/>
      <c r="AR181" s="1177"/>
      <c r="AS181" s="1548"/>
      <c r="AT181" s="1549"/>
      <c r="AU181" s="1178"/>
      <c r="AV181" s="1179"/>
      <c r="AY181" s="3">
        <v>1</v>
      </c>
    </row>
    <row r="182" spans="2:51" ht="27" customHeight="1">
      <c r="B182" s="104"/>
      <c r="C182" s="1172"/>
      <c r="D182" s="1172"/>
      <c r="E182" s="1172"/>
      <c r="F182" s="1173"/>
      <c r="G182" s="1174"/>
      <c r="H182" s="1175"/>
      <c r="I182" s="1176"/>
      <c r="J182" s="1177"/>
      <c r="K182" s="1547"/>
      <c r="L182" s="1177"/>
      <c r="M182" s="1548"/>
      <c r="N182" s="1549"/>
      <c r="O182" s="1178"/>
      <c r="P182" s="1179"/>
      <c r="Q182" s="1171"/>
      <c r="R182" s="104"/>
      <c r="S182" s="1172"/>
      <c r="T182" s="1172"/>
      <c r="U182" s="1172"/>
      <c r="V182" s="1173"/>
      <c r="W182" s="1174"/>
      <c r="X182" s="1175"/>
      <c r="Y182" s="1176"/>
      <c r="Z182" s="1177"/>
      <c r="AA182" s="1547"/>
      <c r="AB182" s="1177"/>
      <c r="AC182" s="1548"/>
      <c r="AD182" s="1549"/>
      <c r="AE182" s="1178"/>
      <c r="AF182" s="1179"/>
      <c r="AG182" s="1171"/>
      <c r="AH182" s="104"/>
      <c r="AI182" s="1172"/>
      <c r="AJ182" s="1172"/>
      <c r="AK182" s="1172"/>
      <c r="AL182" s="1173"/>
      <c r="AM182" s="1174"/>
      <c r="AN182" s="1175"/>
      <c r="AO182" s="1176"/>
      <c r="AP182" s="1177"/>
      <c r="AQ182" s="1547"/>
      <c r="AR182" s="1177"/>
      <c r="AS182" s="1548"/>
      <c r="AT182" s="1549"/>
      <c r="AU182" s="1178"/>
      <c r="AV182" s="1179"/>
      <c r="AY182" s="3">
        <v>1</v>
      </c>
    </row>
    <row r="183" spans="2:51" ht="27" customHeight="1">
      <c r="B183" s="104"/>
      <c r="C183" s="1172"/>
      <c r="D183" s="1172"/>
      <c r="E183" s="1172"/>
      <c r="F183" s="1173"/>
      <c r="G183" s="1174"/>
      <c r="H183" s="1175"/>
      <c r="I183" s="1176"/>
      <c r="J183" s="1177"/>
      <c r="K183" s="1547"/>
      <c r="L183" s="1177"/>
      <c r="M183" s="1548"/>
      <c r="N183" s="1549"/>
      <c r="O183" s="1178"/>
      <c r="P183" s="1179"/>
      <c r="Q183" s="1171"/>
      <c r="R183" s="104"/>
      <c r="S183" s="1172"/>
      <c r="T183" s="1172"/>
      <c r="U183" s="1172"/>
      <c r="V183" s="1173"/>
      <c r="W183" s="1174"/>
      <c r="X183" s="1175"/>
      <c r="Y183" s="1176"/>
      <c r="Z183" s="1177"/>
      <c r="AA183" s="1547"/>
      <c r="AB183" s="1177"/>
      <c r="AC183" s="1548"/>
      <c r="AD183" s="1549"/>
      <c r="AE183" s="1178"/>
      <c r="AF183" s="1179"/>
      <c r="AG183" s="1171"/>
      <c r="AH183" s="104"/>
      <c r="AI183" s="1172"/>
      <c r="AJ183" s="1172"/>
      <c r="AK183" s="1172"/>
      <c r="AL183" s="1173"/>
      <c r="AM183" s="1174"/>
      <c r="AN183" s="1175"/>
      <c r="AO183" s="1176"/>
      <c r="AP183" s="1177"/>
      <c r="AQ183" s="1547"/>
      <c r="AR183" s="1177"/>
      <c r="AS183" s="1548"/>
      <c r="AT183" s="1549"/>
      <c r="AU183" s="1178"/>
      <c r="AV183" s="1179"/>
      <c r="AY183" s="3">
        <v>1</v>
      </c>
    </row>
    <row r="184" spans="2:51" ht="27" customHeight="1">
      <c r="B184" s="104"/>
      <c r="C184" s="1172"/>
      <c r="D184" s="1172"/>
      <c r="E184" s="1172"/>
      <c r="F184" s="1173"/>
      <c r="G184" s="1174"/>
      <c r="H184" s="1175"/>
      <c r="I184" s="1176"/>
      <c r="J184" s="1177"/>
      <c r="K184" s="1547"/>
      <c r="L184" s="1177"/>
      <c r="M184" s="1548"/>
      <c r="N184" s="1549"/>
      <c r="O184" s="1178"/>
      <c r="P184" s="1179"/>
      <c r="Q184" s="1171"/>
      <c r="R184" s="104"/>
      <c r="S184" s="1172"/>
      <c r="T184" s="1172"/>
      <c r="U184" s="1172"/>
      <c r="V184" s="1173"/>
      <c r="W184" s="1174"/>
      <c r="X184" s="1175"/>
      <c r="Y184" s="1176"/>
      <c r="Z184" s="1177"/>
      <c r="AA184" s="1547"/>
      <c r="AB184" s="1177"/>
      <c r="AC184" s="1548"/>
      <c r="AD184" s="1549"/>
      <c r="AE184" s="1178"/>
      <c r="AF184" s="1179"/>
      <c r="AG184" s="1171"/>
      <c r="AH184" s="104"/>
      <c r="AI184" s="1172"/>
      <c r="AJ184" s="1172"/>
      <c r="AK184" s="1172"/>
      <c r="AL184" s="1173"/>
      <c r="AM184" s="1174"/>
      <c r="AN184" s="1175"/>
      <c r="AO184" s="1176"/>
      <c r="AP184" s="1177"/>
      <c r="AQ184" s="1547"/>
      <c r="AR184" s="1177"/>
      <c r="AS184" s="1548"/>
      <c r="AT184" s="1549"/>
      <c r="AU184" s="1178"/>
      <c r="AV184" s="1179"/>
      <c r="AY184" s="3">
        <v>1</v>
      </c>
    </row>
    <row r="185" spans="2:51" ht="27" customHeight="1">
      <c r="B185" s="104"/>
      <c r="C185" s="1172"/>
      <c r="D185" s="1172"/>
      <c r="E185" s="1172"/>
      <c r="F185" s="1173"/>
      <c r="G185" s="1174"/>
      <c r="H185" s="1175"/>
      <c r="I185" s="1176"/>
      <c r="J185" s="1177"/>
      <c r="K185" s="1547"/>
      <c r="L185" s="1177"/>
      <c r="M185" s="1548"/>
      <c r="N185" s="1549"/>
      <c r="O185" s="1178"/>
      <c r="P185" s="1179"/>
      <c r="Q185" s="1171"/>
      <c r="R185" s="104"/>
      <c r="S185" s="1172"/>
      <c r="T185" s="1172"/>
      <c r="U185" s="1172"/>
      <c r="V185" s="1173"/>
      <c r="W185" s="1174"/>
      <c r="X185" s="1175"/>
      <c r="Y185" s="1176"/>
      <c r="Z185" s="1177"/>
      <c r="AA185" s="1547"/>
      <c r="AB185" s="1177"/>
      <c r="AC185" s="1548"/>
      <c r="AD185" s="1549"/>
      <c r="AE185" s="1178"/>
      <c r="AF185" s="1179"/>
      <c r="AG185" s="1171"/>
      <c r="AH185" s="104"/>
      <c r="AI185" s="1172"/>
      <c r="AJ185" s="1172"/>
      <c r="AK185" s="1172"/>
      <c r="AL185" s="1173"/>
      <c r="AM185" s="1174"/>
      <c r="AN185" s="1175"/>
      <c r="AO185" s="1176"/>
      <c r="AP185" s="1177"/>
      <c r="AQ185" s="1547"/>
      <c r="AR185" s="1177"/>
      <c r="AS185" s="1548"/>
      <c r="AT185" s="1549"/>
      <c r="AU185" s="1178"/>
      <c r="AV185" s="1179"/>
      <c r="AY185" s="3">
        <v>1</v>
      </c>
    </row>
    <row r="186" spans="2:51" ht="27" customHeight="1">
      <c r="B186" s="104"/>
      <c r="C186" s="1172"/>
      <c r="D186" s="1172"/>
      <c r="E186" s="1172"/>
      <c r="F186" s="1173"/>
      <c r="G186" s="1174"/>
      <c r="H186" s="1175"/>
      <c r="I186" s="1176"/>
      <c r="J186" s="1177"/>
      <c r="K186" s="1547"/>
      <c r="L186" s="1177"/>
      <c r="M186" s="1548"/>
      <c r="N186" s="1549"/>
      <c r="O186" s="1178"/>
      <c r="P186" s="1179"/>
      <c r="Q186" s="1171"/>
      <c r="R186" s="104"/>
      <c r="S186" s="1172"/>
      <c r="T186" s="1172"/>
      <c r="U186" s="1172"/>
      <c r="V186" s="1173"/>
      <c r="W186" s="1174"/>
      <c r="X186" s="1175"/>
      <c r="Y186" s="1176"/>
      <c r="Z186" s="1177"/>
      <c r="AA186" s="1547"/>
      <c r="AB186" s="1177"/>
      <c r="AC186" s="1548"/>
      <c r="AD186" s="1549"/>
      <c r="AE186" s="1178"/>
      <c r="AF186" s="1179"/>
      <c r="AG186" s="1171"/>
      <c r="AH186" s="104"/>
      <c r="AI186" s="1172"/>
      <c r="AJ186" s="1172"/>
      <c r="AK186" s="1172"/>
      <c r="AL186" s="1173"/>
      <c r="AM186" s="1174"/>
      <c r="AN186" s="1175"/>
      <c r="AO186" s="1176"/>
      <c r="AP186" s="1177"/>
      <c r="AQ186" s="1547"/>
      <c r="AR186" s="1177"/>
      <c r="AS186" s="1548"/>
      <c r="AT186" s="1549"/>
      <c r="AU186" s="1178"/>
      <c r="AV186" s="1179"/>
      <c r="AY186" s="3">
        <v>1</v>
      </c>
    </row>
    <row r="187" spans="2:51" ht="27" customHeight="1">
      <c r="B187" s="104"/>
      <c r="C187" s="1172"/>
      <c r="D187" s="1172"/>
      <c r="E187" s="1172"/>
      <c r="F187" s="1173"/>
      <c r="G187" s="1174"/>
      <c r="H187" s="1175"/>
      <c r="I187" s="1176"/>
      <c r="J187" s="1177"/>
      <c r="K187" s="1547"/>
      <c r="L187" s="1177"/>
      <c r="M187" s="1548"/>
      <c r="N187" s="1549"/>
      <c r="O187" s="1178"/>
      <c r="P187" s="1179"/>
      <c r="Q187" s="1171"/>
      <c r="R187" s="104"/>
      <c r="S187" s="1172"/>
      <c r="T187" s="1172"/>
      <c r="U187" s="1172"/>
      <c r="V187" s="1173"/>
      <c r="W187" s="1174"/>
      <c r="X187" s="1175"/>
      <c r="Y187" s="1176"/>
      <c r="Z187" s="1177"/>
      <c r="AA187" s="1547"/>
      <c r="AB187" s="1177"/>
      <c r="AC187" s="1548"/>
      <c r="AD187" s="1549"/>
      <c r="AE187" s="1178"/>
      <c r="AF187" s="1179"/>
      <c r="AG187" s="1171"/>
      <c r="AH187" s="104"/>
      <c r="AI187" s="1172"/>
      <c r="AJ187" s="1172"/>
      <c r="AK187" s="1172"/>
      <c r="AL187" s="1173"/>
      <c r="AM187" s="1174"/>
      <c r="AN187" s="1175"/>
      <c r="AO187" s="1176"/>
      <c r="AP187" s="1177"/>
      <c r="AQ187" s="1547"/>
      <c r="AR187" s="1177"/>
      <c r="AS187" s="1548"/>
      <c r="AT187" s="1549"/>
      <c r="AU187" s="1178"/>
      <c r="AV187" s="1179"/>
      <c r="AY187" s="3">
        <v>1</v>
      </c>
    </row>
    <row r="188" spans="2:51" ht="27" customHeight="1">
      <c r="B188" s="104"/>
      <c r="C188" s="1172"/>
      <c r="D188" s="1172"/>
      <c r="E188" s="1172"/>
      <c r="F188" s="1173"/>
      <c r="G188" s="1174"/>
      <c r="H188" s="1175"/>
      <c r="I188" s="1176"/>
      <c r="J188" s="1177"/>
      <c r="K188" s="1547"/>
      <c r="L188" s="1177"/>
      <c r="M188" s="1548"/>
      <c r="N188" s="1549"/>
      <c r="O188" s="1178"/>
      <c r="P188" s="1179"/>
      <c r="Q188" s="1171"/>
      <c r="R188" s="104"/>
      <c r="S188" s="1172"/>
      <c r="T188" s="1172"/>
      <c r="U188" s="1172"/>
      <c r="V188" s="1173"/>
      <c r="W188" s="1174"/>
      <c r="X188" s="1175"/>
      <c r="Y188" s="1176"/>
      <c r="Z188" s="1177"/>
      <c r="AA188" s="1547"/>
      <c r="AB188" s="1177"/>
      <c r="AC188" s="1548"/>
      <c r="AD188" s="1549"/>
      <c r="AE188" s="1178"/>
      <c r="AF188" s="1179"/>
      <c r="AG188" s="1171"/>
      <c r="AH188" s="104"/>
      <c r="AI188" s="1172"/>
      <c r="AJ188" s="1172"/>
      <c r="AK188" s="1172"/>
      <c r="AL188" s="1173"/>
      <c r="AM188" s="1174"/>
      <c r="AN188" s="1175"/>
      <c r="AO188" s="1176"/>
      <c r="AP188" s="1177"/>
      <c r="AQ188" s="1547"/>
      <c r="AR188" s="1177"/>
      <c r="AS188" s="1548"/>
      <c r="AT188" s="1549"/>
      <c r="AU188" s="1178"/>
      <c r="AV188" s="1179"/>
      <c r="AY188" s="3">
        <v>1</v>
      </c>
    </row>
    <row r="189" spans="2:51" ht="27" customHeight="1">
      <c r="B189" s="104"/>
      <c r="C189" s="1172"/>
      <c r="D189" s="1172"/>
      <c r="E189" s="1172"/>
      <c r="F189" s="1173"/>
      <c r="G189" s="1174"/>
      <c r="H189" s="1175"/>
      <c r="I189" s="1176"/>
      <c r="J189" s="1177"/>
      <c r="K189" s="1547"/>
      <c r="L189" s="1177"/>
      <c r="M189" s="1548"/>
      <c r="N189" s="1549"/>
      <c r="O189" s="1178"/>
      <c r="P189" s="1179"/>
      <c r="Q189" s="1171"/>
      <c r="R189" s="104"/>
      <c r="S189" s="1172"/>
      <c r="T189" s="1172"/>
      <c r="U189" s="1172"/>
      <c r="V189" s="1173"/>
      <c r="W189" s="1174"/>
      <c r="X189" s="1175"/>
      <c r="Y189" s="1176"/>
      <c r="Z189" s="1177"/>
      <c r="AA189" s="1547"/>
      <c r="AB189" s="1177"/>
      <c r="AC189" s="1548"/>
      <c r="AD189" s="1549"/>
      <c r="AE189" s="1178"/>
      <c r="AF189" s="1179"/>
      <c r="AG189" s="1171"/>
      <c r="AH189" s="104"/>
      <c r="AI189" s="1172"/>
      <c r="AJ189" s="1172"/>
      <c r="AK189" s="1172"/>
      <c r="AL189" s="1173"/>
      <c r="AM189" s="1174"/>
      <c r="AN189" s="1175"/>
      <c r="AO189" s="1176"/>
      <c r="AP189" s="1177"/>
      <c r="AQ189" s="1547"/>
      <c r="AR189" s="1177"/>
      <c r="AS189" s="1548"/>
      <c r="AT189" s="1549"/>
      <c r="AU189" s="1178"/>
      <c r="AV189" s="1179"/>
      <c r="AY189" s="3">
        <v>1</v>
      </c>
    </row>
    <row r="190" spans="2:51" ht="27" customHeight="1">
      <c r="B190" s="104"/>
      <c r="C190" s="1172"/>
      <c r="D190" s="1172"/>
      <c r="E190" s="1172"/>
      <c r="F190" s="1173"/>
      <c r="G190" s="1174"/>
      <c r="H190" s="1175"/>
      <c r="I190" s="1176"/>
      <c r="J190" s="1177"/>
      <c r="K190" s="1547"/>
      <c r="L190" s="1177"/>
      <c r="M190" s="1548"/>
      <c r="N190" s="1549"/>
      <c r="O190" s="1178"/>
      <c r="P190" s="1179"/>
      <c r="Q190" s="1171"/>
      <c r="R190" s="104"/>
      <c r="S190" s="1172"/>
      <c r="T190" s="1172"/>
      <c r="U190" s="1172"/>
      <c r="V190" s="1173"/>
      <c r="W190" s="1174"/>
      <c r="X190" s="1175"/>
      <c r="Y190" s="1176"/>
      <c r="Z190" s="1177"/>
      <c r="AA190" s="1547"/>
      <c r="AB190" s="1177"/>
      <c r="AC190" s="1548"/>
      <c r="AD190" s="1549"/>
      <c r="AE190" s="1178"/>
      <c r="AF190" s="1179"/>
      <c r="AG190" s="1171"/>
      <c r="AH190" s="104"/>
      <c r="AI190" s="1172"/>
      <c r="AJ190" s="1172"/>
      <c r="AK190" s="1172"/>
      <c r="AL190" s="1173"/>
      <c r="AM190" s="1174"/>
      <c r="AN190" s="1175"/>
      <c r="AO190" s="1176"/>
      <c r="AP190" s="1177"/>
      <c r="AQ190" s="1547"/>
      <c r="AR190" s="1177"/>
      <c r="AS190" s="1548"/>
      <c r="AT190" s="1549"/>
      <c r="AU190" s="1178"/>
      <c r="AV190" s="1179"/>
      <c r="AY190" s="3">
        <v>1</v>
      </c>
    </row>
    <row r="191" spans="2:51" ht="27" customHeight="1">
      <c r="B191" s="104"/>
      <c r="C191" s="1172"/>
      <c r="D191" s="1172"/>
      <c r="E191" s="1172"/>
      <c r="F191" s="1173"/>
      <c r="G191" s="1174"/>
      <c r="H191" s="1175"/>
      <c r="I191" s="1176"/>
      <c r="J191" s="1177"/>
      <c r="K191" s="1547"/>
      <c r="L191" s="1177"/>
      <c r="M191" s="1548"/>
      <c r="N191" s="1549"/>
      <c r="O191" s="1178"/>
      <c r="P191" s="1179"/>
      <c r="Q191" s="1171"/>
      <c r="R191" s="104"/>
      <c r="S191" s="1172"/>
      <c r="T191" s="1172"/>
      <c r="U191" s="1172"/>
      <c r="V191" s="1173"/>
      <c r="W191" s="1174"/>
      <c r="X191" s="1175"/>
      <c r="Y191" s="1176"/>
      <c r="Z191" s="1177"/>
      <c r="AA191" s="1547"/>
      <c r="AB191" s="1177"/>
      <c r="AC191" s="1548"/>
      <c r="AD191" s="1549"/>
      <c r="AE191" s="1178"/>
      <c r="AF191" s="1179"/>
      <c r="AG191" s="1171"/>
      <c r="AH191" s="104"/>
      <c r="AI191" s="1172"/>
      <c r="AJ191" s="1172"/>
      <c r="AK191" s="1172"/>
      <c r="AL191" s="1173"/>
      <c r="AM191" s="1174"/>
      <c r="AN191" s="1175"/>
      <c r="AO191" s="1176"/>
      <c r="AP191" s="1177"/>
      <c r="AQ191" s="1547"/>
      <c r="AR191" s="1177"/>
      <c r="AS191" s="1548"/>
      <c r="AT191" s="1549"/>
      <c r="AU191" s="1178"/>
      <c r="AV191" s="1179"/>
      <c r="AY191" s="3">
        <v>1</v>
      </c>
    </row>
    <row r="192" spans="2:51" ht="27" customHeight="1">
      <c r="B192" s="104"/>
      <c r="C192" s="1172"/>
      <c r="D192" s="1172"/>
      <c r="E192" s="1172"/>
      <c r="F192" s="1173"/>
      <c r="G192" s="1174"/>
      <c r="H192" s="1175"/>
      <c r="I192" s="1176"/>
      <c r="J192" s="1177"/>
      <c r="K192" s="1547"/>
      <c r="L192" s="1177"/>
      <c r="M192" s="1548"/>
      <c r="N192" s="1549"/>
      <c r="O192" s="1178"/>
      <c r="P192" s="1179"/>
      <c r="Q192" s="1171"/>
      <c r="R192" s="104"/>
      <c r="S192" s="1172"/>
      <c r="T192" s="1172"/>
      <c r="U192" s="1172"/>
      <c r="V192" s="1173"/>
      <c r="W192" s="1174"/>
      <c r="X192" s="1175"/>
      <c r="Y192" s="1176"/>
      <c r="Z192" s="1177"/>
      <c r="AA192" s="1547"/>
      <c r="AB192" s="1177"/>
      <c r="AC192" s="1548"/>
      <c r="AD192" s="1549"/>
      <c r="AE192" s="1178"/>
      <c r="AF192" s="1179"/>
      <c r="AG192" s="1171"/>
      <c r="AH192" s="104"/>
      <c r="AI192" s="1172"/>
      <c r="AJ192" s="1172"/>
      <c r="AK192" s="1172"/>
      <c r="AL192" s="1173"/>
      <c r="AM192" s="1174"/>
      <c r="AN192" s="1175"/>
      <c r="AO192" s="1176"/>
      <c r="AP192" s="1177"/>
      <c r="AQ192" s="1547"/>
      <c r="AR192" s="1177"/>
      <c r="AS192" s="1548"/>
      <c r="AT192" s="1549"/>
      <c r="AU192" s="1178"/>
      <c r="AV192" s="1179"/>
      <c r="AY192" s="3">
        <v>1</v>
      </c>
    </row>
    <row r="193" spans="2:51" ht="27" customHeight="1">
      <c r="B193" s="104"/>
      <c r="C193" s="1172"/>
      <c r="D193" s="1172"/>
      <c r="E193" s="1172"/>
      <c r="F193" s="1173"/>
      <c r="G193" s="1174"/>
      <c r="H193" s="1175"/>
      <c r="I193" s="1176"/>
      <c r="J193" s="1177"/>
      <c r="K193" s="1547"/>
      <c r="L193" s="1177"/>
      <c r="M193" s="1548"/>
      <c r="N193" s="1549"/>
      <c r="O193" s="1178"/>
      <c r="P193" s="1179"/>
      <c r="Q193" s="1171"/>
      <c r="R193" s="104"/>
      <c r="S193" s="1172"/>
      <c r="T193" s="1172"/>
      <c r="U193" s="1172"/>
      <c r="V193" s="1173"/>
      <c r="W193" s="1174"/>
      <c r="X193" s="1175"/>
      <c r="Y193" s="1176"/>
      <c r="Z193" s="1177"/>
      <c r="AA193" s="1547"/>
      <c r="AB193" s="1177"/>
      <c r="AC193" s="1548"/>
      <c r="AD193" s="1549"/>
      <c r="AE193" s="1178"/>
      <c r="AF193" s="1179"/>
      <c r="AG193" s="1171"/>
      <c r="AH193" s="104"/>
      <c r="AI193" s="1172"/>
      <c r="AJ193" s="1172"/>
      <c r="AK193" s="1172"/>
      <c r="AL193" s="1173"/>
      <c r="AM193" s="1174"/>
      <c r="AN193" s="1175"/>
      <c r="AO193" s="1176"/>
      <c r="AP193" s="1177"/>
      <c r="AQ193" s="1547"/>
      <c r="AR193" s="1177"/>
      <c r="AS193" s="1548"/>
      <c r="AT193" s="1549"/>
      <c r="AU193" s="1178"/>
      <c r="AV193" s="1179"/>
      <c r="AY193" s="3">
        <v>1</v>
      </c>
    </row>
    <row r="194" spans="2:51" ht="27" customHeight="1">
      <c r="B194" s="104"/>
      <c r="C194" s="1172"/>
      <c r="D194" s="1172"/>
      <c r="E194" s="1172"/>
      <c r="F194" s="1173"/>
      <c r="G194" s="1174"/>
      <c r="H194" s="1175"/>
      <c r="I194" s="1176"/>
      <c r="J194" s="1177"/>
      <c r="K194" s="1547"/>
      <c r="L194" s="1177"/>
      <c r="M194" s="1548"/>
      <c r="N194" s="1549"/>
      <c r="O194" s="1178"/>
      <c r="P194" s="1179"/>
      <c r="Q194" s="1171"/>
      <c r="R194" s="104"/>
      <c r="S194" s="1172"/>
      <c r="T194" s="1172"/>
      <c r="U194" s="1172"/>
      <c r="V194" s="1173"/>
      <c r="W194" s="1174"/>
      <c r="X194" s="1175"/>
      <c r="Y194" s="1176"/>
      <c r="Z194" s="1177"/>
      <c r="AA194" s="1547"/>
      <c r="AB194" s="1177"/>
      <c r="AC194" s="1548"/>
      <c r="AD194" s="1549"/>
      <c r="AE194" s="1178"/>
      <c r="AF194" s="1179"/>
      <c r="AG194" s="1171"/>
      <c r="AH194" s="104"/>
      <c r="AI194" s="1172"/>
      <c r="AJ194" s="1172"/>
      <c r="AK194" s="1172"/>
      <c r="AL194" s="1173"/>
      <c r="AM194" s="1174"/>
      <c r="AN194" s="1175"/>
      <c r="AO194" s="1176"/>
      <c r="AP194" s="1177"/>
      <c r="AQ194" s="1547"/>
      <c r="AR194" s="1177"/>
      <c r="AS194" s="1548"/>
      <c r="AT194" s="1549"/>
      <c r="AU194" s="1178"/>
      <c r="AV194" s="1179"/>
      <c r="AY194" s="3">
        <v>1</v>
      </c>
    </row>
    <row r="195" spans="2:51" ht="27" customHeight="1">
      <c r="B195" s="104"/>
      <c r="C195" s="1172"/>
      <c r="D195" s="1172"/>
      <c r="E195" s="1172"/>
      <c r="F195" s="1173"/>
      <c r="G195" s="1174"/>
      <c r="H195" s="1175"/>
      <c r="I195" s="1176"/>
      <c r="J195" s="1177"/>
      <c r="K195" s="1547"/>
      <c r="L195" s="1177"/>
      <c r="M195" s="1548"/>
      <c r="N195" s="1549"/>
      <c r="O195" s="1178"/>
      <c r="P195" s="1179"/>
      <c r="Q195" s="1171"/>
      <c r="R195" s="104"/>
      <c r="S195" s="1172"/>
      <c r="T195" s="1172"/>
      <c r="U195" s="1172"/>
      <c r="V195" s="1173"/>
      <c r="W195" s="1174"/>
      <c r="X195" s="1175"/>
      <c r="Y195" s="1176"/>
      <c r="Z195" s="1177"/>
      <c r="AA195" s="1547"/>
      <c r="AB195" s="1177"/>
      <c r="AC195" s="1548"/>
      <c r="AD195" s="1549"/>
      <c r="AE195" s="1178"/>
      <c r="AF195" s="1179"/>
      <c r="AG195" s="1171"/>
      <c r="AH195" s="104"/>
      <c r="AI195" s="1172"/>
      <c r="AJ195" s="1172"/>
      <c r="AK195" s="1172"/>
      <c r="AL195" s="1173"/>
      <c r="AM195" s="1174"/>
      <c r="AN195" s="1175"/>
      <c r="AO195" s="1176"/>
      <c r="AP195" s="1177"/>
      <c r="AQ195" s="1547"/>
      <c r="AR195" s="1177"/>
      <c r="AS195" s="1548"/>
      <c r="AT195" s="1549"/>
      <c r="AU195" s="1178"/>
      <c r="AV195" s="1179"/>
      <c r="AY195" s="3">
        <v>1</v>
      </c>
    </row>
    <row r="196" spans="2:51" ht="27" customHeight="1">
      <c r="B196" s="104"/>
      <c r="C196" s="1172"/>
      <c r="D196" s="1172"/>
      <c r="E196" s="1172"/>
      <c r="F196" s="1173"/>
      <c r="G196" s="1174"/>
      <c r="H196" s="1175"/>
      <c r="I196" s="1176"/>
      <c r="J196" s="1177"/>
      <c r="K196" s="1547"/>
      <c r="L196" s="1177"/>
      <c r="M196" s="1548"/>
      <c r="N196" s="1549"/>
      <c r="O196" s="1178"/>
      <c r="P196" s="1179"/>
      <c r="Q196" s="1171"/>
      <c r="R196" s="104"/>
      <c r="S196" s="1172"/>
      <c r="T196" s="1172"/>
      <c r="U196" s="1172"/>
      <c r="V196" s="1173"/>
      <c r="W196" s="1174"/>
      <c r="X196" s="1175"/>
      <c r="Y196" s="1176"/>
      <c r="Z196" s="1177"/>
      <c r="AA196" s="1547"/>
      <c r="AB196" s="1177"/>
      <c r="AC196" s="1548"/>
      <c r="AD196" s="1549"/>
      <c r="AE196" s="1178"/>
      <c r="AF196" s="1179"/>
      <c r="AG196" s="1171"/>
      <c r="AH196" s="104"/>
      <c r="AI196" s="1172"/>
      <c r="AJ196" s="1172"/>
      <c r="AK196" s="1172"/>
      <c r="AL196" s="1173"/>
      <c r="AM196" s="1174"/>
      <c r="AN196" s="1175"/>
      <c r="AO196" s="1176"/>
      <c r="AP196" s="1177"/>
      <c r="AQ196" s="1547"/>
      <c r="AR196" s="1177"/>
      <c r="AS196" s="1548"/>
      <c r="AT196" s="1549"/>
      <c r="AU196" s="1178"/>
      <c r="AV196" s="1179"/>
      <c r="AY196" s="3">
        <v>1</v>
      </c>
    </row>
    <row r="197" spans="2:51" ht="27" customHeight="1">
      <c r="B197" s="104"/>
      <c r="C197" s="1172"/>
      <c r="D197" s="1172"/>
      <c r="E197" s="1172"/>
      <c r="F197" s="1173"/>
      <c r="G197" s="1174"/>
      <c r="H197" s="1175"/>
      <c r="I197" s="1176"/>
      <c r="J197" s="1177"/>
      <c r="K197" s="1547"/>
      <c r="L197" s="1177"/>
      <c r="M197" s="1548"/>
      <c r="N197" s="1549"/>
      <c r="O197" s="1178"/>
      <c r="P197" s="1179"/>
      <c r="Q197" s="1171"/>
      <c r="R197" s="104"/>
      <c r="S197" s="1172"/>
      <c r="T197" s="1172"/>
      <c r="U197" s="1172"/>
      <c r="V197" s="1173"/>
      <c r="W197" s="1174"/>
      <c r="X197" s="1175"/>
      <c r="Y197" s="1176"/>
      <c r="Z197" s="1177"/>
      <c r="AA197" s="1547"/>
      <c r="AB197" s="1177"/>
      <c r="AC197" s="1548"/>
      <c r="AD197" s="1549"/>
      <c r="AE197" s="1178"/>
      <c r="AF197" s="1179"/>
      <c r="AG197" s="1171"/>
      <c r="AH197" s="104"/>
      <c r="AI197" s="1172"/>
      <c r="AJ197" s="1172"/>
      <c r="AK197" s="1172"/>
      <c r="AL197" s="1173"/>
      <c r="AM197" s="1174"/>
      <c r="AN197" s="1175"/>
      <c r="AO197" s="1176"/>
      <c r="AP197" s="1177"/>
      <c r="AQ197" s="1547"/>
      <c r="AR197" s="1177"/>
      <c r="AS197" s="1548"/>
      <c r="AT197" s="1549"/>
      <c r="AU197" s="1178"/>
      <c r="AV197" s="1179"/>
      <c r="AY197" s="3">
        <v>1</v>
      </c>
    </row>
    <row r="198" spans="2:51" ht="27" customHeight="1">
      <c r="B198" s="104"/>
      <c r="C198" s="1172"/>
      <c r="D198" s="1172"/>
      <c r="E198" s="1172"/>
      <c r="F198" s="1173"/>
      <c r="G198" s="1174"/>
      <c r="H198" s="1175"/>
      <c r="I198" s="1176"/>
      <c r="J198" s="1177"/>
      <c r="K198" s="1547"/>
      <c r="L198" s="1177"/>
      <c r="M198" s="1548"/>
      <c r="N198" s="1549"/>
      <c r="O198" s="1178"/>
      <c r="P198" s="1179"/>
      <c r="Q198" s="1171"/>
      <c r="R198" s="104"/>
      <c r="S198" s="1172"/>
      <c r="T198" s="1172"/>
      <c r="U198" s="1172"/>
      <c r="V198" s="1173"/>
      <c r="W198" s="1174"/>
      <c r="X198" s="1175"/>
      <c r="Y198" s="1176"/>
      <c r="Z198" s="1177"/>
      <c r="AA198" s="1547"/>
      <c r="AB198" s="1177"/>
      <c r="AC198" s="1548"/>
      <c r="AD198" s="1549"/>
      <c r="AE198" s="1178"/>
      <c r="AF198" s="1179"/>
      <c r="AG198" s="1171"/>
      <c r="AH198" s="104"/>
      <c r="AI198" s="1172"/>
      <c r="AJ198" s="1172"/>
      <c r="AK198" s="1172"/>
      <c r="AL198" s="1173"/>
      <c r="AM198" s="1174"/>
      <c r="AN198" s="1175"/>
      <c r="AO198" s="1176"/>
      <c r="AP198" s="1177"/>
      <c r="AQ198" s="1547"/>
      <c r="AR198" s="1177"/>
      <c r="AS198" s="1548"/>
      <c r="AT198" s="1549"/>
      <c r="AU198" s="1178"/>
      <c r="AV198" s="1179"/>
      <c r="AY198" s="3">
        <v>1</v>
      </c>
    </row>
    <row r="199" spans="2:51" ht="27" customHeight="1">
      <c r="B199" s="104"/>
      <c r="C199" s="1172"/>
      <c r="D199" s="1172"/>
      <c r="E199" s="1172"/>
      <c r="F199" s="1173"/>
      <c r="G199" s="1174"/>
      <c r="H199" s="1175"/>
      <c r="I199" s="1176"/>
      <c r="J199" s="1177"/>
      <c r="K199" s="1547"/>
      <c r="L199" s="1177"/>
      <c r="M199" s="1548"/>
      <c r="N199" s="1549"/>
      <c r="O199" s="1178"/>
      <c r="P199" s="1179"/>
      <c r="Q199" s="1171"/>
      <c r="R199" s="104"/>
      <c r="S199" s="1172"/>
      <c r="T199" s="1172"/>
      <c r="U199" s="1172"/>
      <c r="V199" s="1173"/>
      <c r="W199" s="1174"/>
      <c r="X199" s="1175"/>
      <c r="Y199" s="1176"/>
      <c r="Z199" s="1177"/>
      <c r="AA199" s="1547"/>
      <c r="AB199" s="1177"/>
      <c r="AC199" s="1548"/>
      <c r="AD199" s="1549"/>
      <c r="AE199" s="1178"/>
      <c r="AF199" s="1179"/>
      <c r="AG199" s="1171"/>
      <c r="AH199" s="104"/>
      <c r="AI199" s="1172"/>
      <c r="AJ199" s="1172"/>
      <c r="AK199" s="1172"/>
      <c r="AL199" s="1173"/>
      <c r="AM199" s="1174"/>
      <c r="AN199" s="1175"/>
      <c r="AO199" s="1176"/>
      <c r="AP199" s="1177"/>
      <c r="AQ199" s="1547"/>
      <c r="AR199" s="1177"/>
      <c r="AS199" s="1548"/>
      <c r="AT199" s="1549"/>
      <c r="AU199" s="1178"/>
      <c r="AV199" s="1179"/>
      <c r="AY199" s="3">
        <v>1</v>
      </c>
    </row>
    <row r="200" spans="2:51" ht="27" customHeight="1">
      <c r="B200" s="104"/>
      <c r="C200" s="1172"/>
      <c r="D200" s="1172"/>
      <c r="E200" s="1172"/>
      <c r="F200" s="1173"/>
      <c r="G200" s="1174"/>
      <c r="H200" s="1175"/>
      <c r="I200" s="1176"/>
      <c r="J200" s="1177"/>
      <c r="K200" s="1547"/>
      <c r="L200" s="1177"/>
      <c r="M200" s="1548"/>
      <c r="N200" s="1549"/>
      <c r="O200" s="1178"/>
      <c r="P200" s="1179"/>
      <c r="Q200" s="1171"/>
      <c r="R200" s="104"/>
      <c r="S200" s="1172"/>
      <c r="T200" s="1172"/>
      <c r="U200" s="1172"/>
      <c r="V200" s="1173"/>
      <c r="W200" s="1174"/>
      <c r="X200" s="1175"/>
      <c r="Y200" s="1176"/>
      <c r="Z200" s="1177"/>
      <c r="AA200" s="1547"/>
      <c r="AB200" s="1177"/>
      <c r="AC200" s="1548"/>
      <c r="AD200" s="1549"/>
      <c r="AE200" s="1178"/>
      <c r="AF200" s="1179"/>
      <c r="AG200" s="1171"/>
      <c r="AH200" s="104"/>
      <c r="AI200" s="1172"/>
      <c r="AJ200" s="1172"/>
      <c r="AK200" s="1172"/>
      <c r="AL200" s="1173"/>
      <c r="AM200" s="1174"/>
      <c r="AN200" s="1175"/>
      <c r="AO200" s="1176"/>
      <c r="AP200" s="1177"/>
      <c r="AQ200" s="1547"/>
      <c r="AR200" s="1177"/>
      <c r="AS200" s="1548"/>
      <c r="AT200" s="1549"/>
      <c r="AU200" s="1178"/>
      <c r="AV200" s="1179"/>
      <c r="AY200" s="3">
        <v>1</v>
      </c>
    </row>
    <row r="201" spans="2:51" ht="27" customHeight="1">
      <c r="B201" s="104"/>
      <c r="C201" s="1172"/>
      <c r="D201" s="1172"/>
      <c r="E201" s="1172"/>
      <c r="F201" s="1173"/>
      <c r="G201" s="1174"/>
      <c r="H201" s="1175"/>
      <c r="I201" s="1176"/>
      <c r="J201" s="1177"/>
      <c r="K201" s="1547"/>
      <c r="L201" s="1177"/>
      <c r="M201" s="1548"/>
      <c r="N201" s="1549"/>
      <c r="O201" s="1178"/>
      <c r="P201" s="1179"/>
      <c r="Q201" s="1171"/>
      <c r="R201" s="104"/>
      <c r="S201" s="1172"/>
      <c r="T201" s="1172"/>
      <c r="U201" s="1172"/>
      <c r="V201" s="1173"/>
      <c r="W201" s="1174"/>
      <c r="X201" s="1175"/>
      <c r="Y201" s="1176"/>
      <c r="Z201" s="1177"/>
      <c r="AA201" s="1547"/>
      <c r="AB201" s="1177"/>
      <c r="AC201" s="1548"/>
      <c r="AD201" s="1549"/>
      <c r="AE201" s="1178"/>
      <c r="AF201" s="1179"/>
      <c r="AG201" s="1171"/>
      <c r="AH201" s="104"/>
      <c r="AI201" s="1172"/>
      <c r="AJ201" s="1172"/>
      <c r="AK201" s="1172"/>
      <c r="AL201" s="1173"/>
      <c r="AM201" s="1174"/>
      <c r="AN201" s="1175"/>
      <c r="AO201" s="1176"/>
      <c r="AP201" s="1177"/>
      <c r="AQ201" s="1547"/>
      <c r="AR201" s="1177"/>
      <c r="AS201" s="1548"/>
      <c r="AT201" s="1549"/>
      <c r="AU201" s="1178"/>
      <c r="AV201" s="1179"/>
      <c r="AY201" s="3">
        <v>1</v>
      </c>
    </row>
    <row r="202" spans="2:51" ht="27" customHeight="1">
      <c r="B202" s="104"/>
      <c r="C202" s="1172"/>
      <c r="D202" s="1172"/>
      <c r="E202" s="1172"/>
      <c r="F202" s="1173"/>
      <c r="G202" s="1174"/>
      <c r="H202" s="1175"/>
      <c r="I202" s="1176"/>
      <c r="J202" s="1177"/>
      <c r="K202" s="1547"/>
      <c r="L202" s="1177"/>
      <c r="M202" s="1548"/>
      <c r="N202" s="1549"/>
      <c r="O202" s="1178"/>
      <c r="P202" s="1179"/>
      <c r="Q202" s="1171"/>
      <c r="R202" s="104"/>
      <c r="S202" s="1172"/>
      <c r="T202" s="1172"/>
      <c r="U202" s="1172"/>
      <c r="V202" s="1173"/>
      <c r="W202" s="1174"/>
      <c r="X202" s="1175"/>
      <c r="Y202" s="1176"/>
      <c r="Z202" s="1177"/>
      <c r="AA202" s="1547"/>
      <c r="AB202" s="1177"/>
      <c r="AC202" s="1548"/>
      <c r="AD202" s="1549"/>
      <c r="AE202" s="1178"/>
      <c r="AF202" s="1179"/>
      <c r="AG202" s="1171"/>
      <c r="AH202" s="104"/>
      <c r="AI202" s="1172"/>
      <c r="AJ202" s="1172"/>
      <c r="AK202" s="1172"/>
      <c r="AL202" s="1173"/>
      <c r="AM202" s="1174"/>
      <c r="AN202" s="1175"/>
      <c r="AO202" s="1176"/>
      <c r="AP202" s="1177"/>
      <c r="AQ202" s="1547"/>
      <c r="AR202" s="1177"/>
      <c r="AS202" s="1548"/>
      <c r="AT202" s="1549"/>
      <c r="AU202" s="1178"/>
      <c r="AV202" s="1179"/>
      <c r="AY202" s="3">
        <v>1</v>
      </c>
    </row>
    <row r="203" spans="2:51" ht="27" customHeight="1">
      <c r="B203" s="104"/>
      <c r="C203" s="1172"/>
      <c r="D203" s="1172"/>
      <c r="E203" s="1172"/>
      <c r="F203" s="1173"/>
      <c r="G203" s="1174"/>
      <c r="H203" s="1175"/>
      <c r="I203" s="1176"/>
      <c r="J203" s="1177"/>
      <c r="K203" s="1547"/>
      <c r="L203" s="1177"/>
      <c r="M203" s="1548"/>
      <c r="N203" s="1549"/>
      <c r="O203" s="1178"/>
      <c r="P203" s="1179"/>
      <c r="Q203" s="1171"/>
      <c r="R203" s="104"/>
      <c r="S203" s="1172"/>
      <c r="T203" s="1172"/>
      <c r="U203" s="1172"/>
      <c r="V203" s="1173"/>
      <c r="W203" s="1174"/>
      <c r="X203" s="1175"/>
      <c r="Y203" s="1176"/>
      <c r="Z203" s="1177"/>
      <c r="AA203" s="1547"/>
      <c r="AB203" s="1177"/>
      <c r="AC203" s="1548"/>
      <c r="AD203" s="1549"/>
      <c r="AE203" s="1178"/>
      <c r="AF203" s="1179"/>
      <c r="AG203" s="1171"/>
      <c r="AH203" s="104"/>
      <c r="AI203" s="1172"/>
      <c r="AJ203" s="1172"/>
      <c r="AK203" s="1172"/>
      <c r="AL203" s="1173"/>
      <c r="AM203" s="1174"/>
      <c r="AN203" s="1175"/>
      <c r="AO203" s="1176"/>
      <c r="AP203" s="1177"/>
      <c r="AQ203" s="1547"/>
      <c r="AR203" s="1177"/>
      <c r="AS203" s="1548"/>
      <c r="AT203" s="1549"/>
      <c r="AU203" s="1178"/>
      <c r="AV203" s="1179"/>
      <c r="AY203" s="3">
        <v>1</v>
      </c>
    </row>
    <row r="204" spans="2:51" ht="27" customHeight="1">
      <c r="B204" s="104"/>
      <c r="C204" s="1172"/>
      <c r="D204" s="1172"/>
      <c r="E204" s="1172"/>
      <c r="F204" s="1173"/>
      <c r="G204" s="1174"/>
      <c r="H204" s="1175"/>
      <c r="I204" s="1176"/>
      <c r="J204" s="1177"/>
      <c r="K204" s="1547"/>
      <c r="L204" s="1177"/>
      <c r="M204" s="1548"/>
      <c r="N204" s="1549"/>
      <c r="O204" s="1178"/>
      <c r="P204" s="1179"/>
      <c r="Q204" s="1171"/>
      <c r="R204" s="104"/>
      <c r="S204" s="1172"/>
      <c r="T204" s="1172"/>
      <c r="U204" s="1172"/>
      <c r="V204" s="1173"/>
      <c r="W204" s="1174"/>
      <c r="X204" s="1175"/>
      <c r="Y204" s="1176"/>
      <c r="Z204" s="1177"/>
      <c r="AA204" s="1547"/>
      <c r="AB204" s="1177"/>
      <c r="AC204" s="1548"/>
      <c r="AD204" s="1549"/>
      <c r="AE204" s="1178"/>
      <c r="AF204" s="1179"/>
      <c r="AG204" s="1171"/>
      <c r="AH204" s="104"/>
      <c r="AI204" s="1172"/>
      <c r="AJ204" s="1172"/>
      <c r="AK204" s="1172"/>
      <c r="AL204" s="1173"/>
      <c r="AM204" s="1174"/>
      <c r="AN204" s="1175"/>
      <c r="AO204" s="1176"/>
      <c r="AP204" s="1177"/>
      <c r="AQ204" s="1547"/>
      <c r="AR204" s="1177"/>
      <c r="AS204" s="1548"/>
      <c r="AT204" s="1549"/>
      <c r="AU204" s="1178"/>
      <c r="AV204" s="1179"/>
      <c r="AY204" s="3">
        <v>1</v>
      </c>
    </row>
    <row r="205" spans="2:51" ht="27" customHeight="1">
      <c r="B205" s="104"/>
      <c r="C205" s="1172"/>
      <c r="D205" s="1172"/>
      <c r="E205" s="1172"/>
      <c r="F205" s="1173"/>
      <c r="G205" s="1174"/>
      <c r="H205" s="1175"/>
      <c r="I205" s="1176"/>
      <c r="J205" s="1177"/>
      <c r="K205" s="1547"/>
      <c r="L205" s="1177"/>
      <c r="M205" s="1548"/>
      <c r="N205" s="1549"/>
      <c r="O205" s="1178"/>
      <c r="P205" s="1179"/>
      <c r="Q205" s="1171"/>
      <c r="R205" s="104"/>
      <c r="S205" s="1172"/>
      <c r="T205" s="1172"/>
      <c r="U205" s="1172"/>
      <c r="V205" s="1173"/>
      <c r="W205" s="1174"/>
      <c r="X205" s="1175"/>
      <c r="Y205" s="1176"/>
      <c r="Z205" s="1177"/>
      <c r="AA205" s="1547"/>
      <c r="AB205" s="1177"/>
      <c r="AC205" s="1548"/>
      <c r="AD205" s="1549"/>
      <c r="AE205" s="1178"/>
      <c r="AF205" s="1179"/>
      <c r="AG205" s="1171"/>
      <c r="AH205" s="104"/>
      <c r="AI205" s="1172"/>
      <c r="AJ205" s="1172"/>
      <c r="AK205" s="1172"/>
      <c r="AL205" s="1173"/>
      <c r="AM205" s="1174"/>
      <c r="AN205" s="1175"/>
      <c r="AO205" s="1176"/>
      <c r="AP205" s="1177"/>
      <c r="AQ205" s="1547"/>
      <c r="AR205" s="1177"/>
      <c r="AS205" s="1548"/>
      <c r="AT205" s="1549"/>
      <c r="AU205" s="1178"/>
      <c r="AV205" s="1179"/>
      <c r="AY205" s="3">
        <v>1</v>
      </c>
    </row>
    <row r="206" spans="2:51" ht="27" customHeight="1">
      <c r="B206" s="104"/>
      <c r="C206" s="1172"/>
      <c r="D206" s="1172"/>
      <c r="E206" s="1172"/>
      <c r="F206" s="1173"/>
      <c r="G206" s="1174"/>
      <c r="H206" s="1175"/>
      <c r="I206" s="1176"/>
      <c r="J206" s="1177"/>
      <c r="K206" s="1547"/>
      <c r="L206" s="1177"/>
      <c r="M206" s="1548"/>
      <c r="N206" s="1549"/>
      <c r="O206" s="1178"/>
      <c r="P206" s="1179"/>
      <c r="Q206" s="1171"/>
      <c r="R206" s="104"/>
      <c r="S206" s="1172"/>
      <c r="T206" s="1172"/>
      <c r="U206" s="1172"/>
      <c r="V206" s="1173"/>
      <c r="W206" s="1174"/>
      <c r="X206" s="1175"/>
      <c r="Y206" s="1176"/>
      <c r="Z206" s="1177"/>
      <c r="AA206" s="1547"/>
      <c r="AB206" s="1177"/>
      <c r="AC206" s="1548"/>
      <c r="AD206" s="1549"/>
      <c r="AE206" s="1178"/>
      <c r="AF206" s="1179"/>
      <c r="AG206" s="1171"/>
      <c r="AH206" s="104"/>
      <c r="AI206" s="1172"/>
      <c r="AJ206" s="1172"/>
      <c r="AK206" s="1172"/>
      <c r="AL206" s="1173"/>
      <c r="AM206" s="1174"/>
      <c r="AN206" s="1175"/>
      <c r="AO206" s="1176"/>
      <c r="AP206" s="1177"/>
      <c r="AQ206" s="1547"/>
      <c r="AR206" s="1177"/>
      <c r="AS206" s="1548"/>
      <c r="AT206" s="1549"/>
      <c r="AU206" s="1178"/>
      <c r="AV206" s="1179"/>
      <c r="AY206" s="3">
        <v>1</v>
      </c>
    </row>
    <row r="207" spans="2:51" ht="27" customHeight="1">
      <c r="B207" s="104"/>
      <c r="C207" s="1172"/>
      <c r="D207" s="1172"/>
      <c r="E207" s="1172"/>
      <c r="F207" s="1173"/>
      <c r="G207" s="1174"/>
      <c r="H207" s="1175"/>
      <c r="I207" s="1176"/>
      <c r="J207" s="1177"/>
      <c r="K207" s="1547"/>
      <c r="L207" s="1177"/>
      <c r="M207" s="1548"/>
      <c r="N207" s="1549"/>
      <c r="O207" s="1178"/>
      <c r="P207" s="1179"/>
      <c r="Q207" s="1171"/>
      <c r="R207" s="104"/>
      <c r="S207" s="1172"/>
      <c r="T207" s="1172"/>
      <c r="U207" s="1172"/>
      <c r="V207" s="1173"/>
      <c r="W207" s="1174"/>
      <c r="X207" s="1175"/>
      <c r="Y207" s="1176"/>
      <c r="Z207" s="1177"/>
      <c r="AA207" s="1547"/>
      <c r="AB207" s="1177"/>
      <c r="AC207" s="1548"/>
      <c r="AD207" s="1549"/>
      <c r="AE207" s="1178"/>
      <c r="AF207" s="1179"/>
      <c r="AG207" s="1171"/>
      <c r="AH207" s="104"/>
      <c r="AI207" s="1172"/>
      <c r="AJ207" s="1172"/>
      <c r="AK207" s="1172"/>
      <c r="AL207" s="1173"/>
      <c r="AM207" s="1174"/>
      <c r="AN207" s="1175"/>
      <c r="AO207" s="1176"/>
      <c r="AP207" s="1177"/>
      <c r="AQ207" s="1547"/>
      <c r="AR207" s="1177"/>
      <c r="AS207" s="1548"/>
      <c r="AT207" s="1549"/>
      <c r="AU207" s="1178"/>
      <c r="AV207" s="1179"/>
      <c r="AY207" s="3">
        <v>1</v>
      </c>
    </row>
    <row r="208" spans="2:51" ht="27" customHeight="1">
      <c r="B208" s="104"/>
      <c r="C208" s="1172"/>
      <c r="D208" s="1172"/>
      <c r="E208" s="1172"/>
      <c r="F208" s="1173"/>
      <c r="G208" s="1174"/>
      <c r="H208" s="1175"/>
      <c r="I208" s="1176"/>
      <c r="J208" s="1177"/>
      <c r="K208" s="1547"/>
      <c r="L208" s="1177"/>
      <c r="M208" s="1548"/>
      <c r="N208" s="1549"/>
      <c r="O208" s="1178"/>
      <c r="P208" s="1179"/>
      <c r="Q208" s="1171"/>
      <c r="R208" s="104"/>
      <c r="S208" s="1172"/>
      <c r="T208" s="1172"/>
      <c r="U208" s="1172"/>
      <c r="V208" s="1173"/>
      <c r="W208" s="1174"/>
      <c r="X208" s="1175"/>
      <c r="Y208" s="1176"/>
      <c r="Z208" s="1177"/>
      <c r="AA208" s="1547"/>
      <c r="AB208" s="1177"/>
      <c r="AC208" s="1548"/>
      <c r="AD208" s="1549"/>
      <c r="AE208" s="1178"/>
      <c r="AF208" s="1179"/>
      <c r="AG208" s="1171"/>
      <c r="AH208" s="104"/>
      <c r="AI208" s="1172"/>
      <c r="AJ208" s="1172"/>
      <c r="AK208" s="1172"/>
      <c r="AL208" s="1173"/>
      <c r="AM208" s="1174"/>
      <c r="AN208" s="1175"/>
      <c r="AO208" s="1176"/>
      <c r="AP208" s="1177"/>
      <c r="AQ208" s="1547"/>
      <c r="AR208" s="1177"/>
      <c r="AS208" s="1548"/>
      <c r="AT208" s="1549"/>
      <c r="AU208" s="1178"/>
      <c r="AV208" s="1179"/>
      <c r="AY208" s="3">
        <v>1</v>
      </c>
    </row>
    <row r="209" spans="2:51" ht="27" customHeight="1">
      <c r="B209" s="104"/>
      <c r="C209" s="1172"/>
      <c r="D209" s="1172"/>
      <c r="E209" s="1172"/>
      <c r="F209" s="1173"/>
      <c r="G209" s="1174"/>
      <c r="H209" s="1175"/>
      <c r="I209" s="1176"/>
      <c r="J209" s="1177"/>
      <c r="K209" s="1547"/>
      <c r="L209" s="1177"/>
      <c r="M209" s="1548"/>
      <c r="N209" s="1549"/>
      <c r="O209" s="1178"/>
      <c r="P209" s="1179"/>
      <c r="Q209" s="1171"/>
      <c r="R209" s="104"/>
      <c r="S209" s="1172"/>
      <c r="T209" s="1172"/>
      <c r="U209" s="1172"/>
      <c r="V209" s="1173"/>
      <c r="W209" s="1174"/>
      <c r="X209" s="1175"/>
      <c r="Y209" s="1176"/>
      <c r="Z209" s="1177"/>
      <c r="AA209" s="1547"/>
      <c r="AB209" s="1177"/>
      <c r="AC209" s="1548"/>
      <c r="AD209" s="1549"/>
      <c r="AE209" s="1178"/>
      <c r="AF209" s="1179"/>
      <c r="AG209" s="1171"/>
      <c r="AH209" s="104"/>
      <c r="AI209" s="1172"/>
      <c r="AJ209" s="1172"/>
      <c r="AK209" s="1172"/>
      <c r="AL209" s="1173"/>
      <c r="AM209" s="1174"/>
      <c r="AN209" s="1175"/>
      <c r="AO209" s="1176"/>
      <c r="AP209" s="1177"/>
      <c r="AQ209" s="1547"/>
      <c r="AR209" s="1177"/>
      <c r="AS209" s="1548"/>
      <c r="AT209" s="1549"/>
      <c r="AU209" s="1178"/>
      <c r="AV209" s="1179"/>
      <c r="AY209" s="3">
        <v>1</v>
      </c>
    </row>
    <row r="210" spans="2:51" ht="27" customHeight="1">
      <c r="B210" s="104"/>
      <c r="C210" s="1172"/>
      <c r="D210" s="1172"/>
      <c r="E210" s="1172"/>
      <c r="F210" s="1173"/>
      <c r="G210" s="1174"/>
      <c r="H210" s="1175"/>
      <c r="I210" s="1176"/>
      <c r="J210" s="1177"/>
      <c r="K210" s="1547"/>
      <c r="L210" s="1177"/>
      <c r="M210" s="1548"/>
      <c r="N210" s="1549"/>
      <c r="O210" s="1178"/>
      <c r="P210" s="1179"/>
      <c r="Q210" s="1171"/>
      <c r="R210" s="104"/>
      <c r="S210" s="1172"/>
      <c r="T210" s="1172"/>
      <c r="U210" s="1172"/>
      <c r="V210" s="1173"/>
      <c r="W210" s="1174"/>
      <c r="X210" s="1175"/>
      <c r="Y210" s="1176"/>
      <c r="Z210" s="1177"/>
      <c r="AA210" s="1547"/>
      <c r="AB210" s="1177"/>
      <c r="AC210" s="1548"/>
      <c r="AD210" s="1549"/>
      <c r="AE210" s="1178"/>
      <c r="AF210" s="1179"/>
      <c r="AG210" s="1171"/>
      <c r="AH210" s="104"/>
      <c r="AI210" s="1172"/>
      <c r="AJ210" s="1172"/>
      <c r="AK210" s="1172"/>
      <c r="AL210" s="1173"/>
      <c r="AM210" s="1174"/>
      <c r="AN210" s="1175"/>
      <c r="AO210" s="1176"/>
      <c r="AP210" s="1177"/>
      <c r="AQ210" s="1547"/>
      <c r="AR210" s="1177"/>
      <c r="AS210" s="1548"/>
      <c r="AT210" s="1549"/>
      <c r="AU210" s="1178"/>
      <c r="AV210" s="1179"/>
      <c r="AY210" s="3">
        <v>1</v>
      </c>
    </row>
    <row r="211" spans="2:51" ht="27" customHeight="1">
      <c r="B211" s="104"/>
      <c r="C211" s="1172"/>
      <c r="D211" s="1172"/>
      <c r="E211" s="1172"/>
      <c r="F211" s="1173"/>
      <c r="G211" s="1174"/>
      <c r="H211" s="1175"/>
      <c r="I211" s="1176"/>
      <c r="J211" s="1177"/>
      <c r="K211" s="1547"/>
      <c r="L211" s="1177"/>
      <c r="M211" s="1548"/>
      <c r="N211" s="1549"/>
      <c r="O211" s="1178"/>
      <c r="P211" s="1179"/>
      <c r="Q211" s="1171"/>
      <c r="R211" s="104"/>
      <c r="S211" s="1172"/>
      <c r="T211" s="1172"/>
      <c r="U211" s="1172"/>
      <c r="V211" s="1173"/>
      <c r="W211" s="1174"/>
      <c r="X211" s="1175"/>
      <c r="Y211" s="1176"/>
      <c r="Z211" s="1177"/>
      <c r="AA211" s="1547"/>
      <c r="AB211" s="1177"/>
      <c r="AC211" s="1548"/>
      <c r="AD211" s="1549"/>
      <c r="AE211" s="1178"/>
      <c r="AF211" s="1179"/>
      <c r="AG211" s="1171"/>
      <c r="AH211" s="104"/>
      <c r="AI211" s="1172"/>
      <c r="AJ211" s="1172"/>
      <c r="AK211" s="1172"/>
      <c r="AL211" s="1173"/>
      <c r="AM211" s="1174"/>
      <c r="AN211" s="1175"/>
      <c r="AO211" s="1176"/>
      <c r="AP211" s="1177"/>
      <c r="AQ211" s="1547"/>
      <c r="AR211" s="1177"/>
      <c r="AS211" s="1548"/>
      <c r="AT211" s="1549"/>
      <c r="AU211" s="1178"/>
      <c r="AV211" s="1179"/>
      <c r="AY211" s="3">
        <v>1</v>
      </c>
    </row>
    <row r="212" spans="2:51" ht="27" customHeight="1">
      <c r="B212" s="104"/>
      <c r="C212" s="1172"/>
      <c r="D212" s="1172"/>
      <c r="E212" s="1172"/>
      <c r="F212" s="1173"/>
      <c r="G212" s="1174"/>
      <c r="H212" s="1175"/>
      <c r="I212" s="1176"/>
      <c r="J212" s="1177"/>
      <c r="K212" s="1547"/>
      <c r="L212" s="1177"/>
      <c r="M212" s="1548"/>
      <c r="N212" s="1549"/>
      <c r="O212" s="1178"/>
      <c r="P212" s="1179"/>
      <c r="Q212" s="1171"/>
      <c r="R212" s="104"/>
      <c r="S212" s="1172"/>
      <c r="T212" s="1172"/>
      <c r="U212" s="1172"/>
      <c r="V212" s="1173"/>
      <c r="W212" s="1174"/>
      <c r="X212" s="1175"/>
      <c r="Y212" s="1176"/>
      <c r="Z212" s="1177"/>
      <c r="AA212" s="1547"/>
      <c r="AB212" s="1177"/>
      <c r="AC212" s="1548"/>
      <c r="AD212" s="1549"/>
      <c r="AE212" s="1178"/>
      <c r="AF212" s="1179"/>
      <c r="AG212" s="1171"/>
      <c r="AH212" s="104"/>
      <c r="AI212" s="1172"/>
      <c r="AJ212" s="1172"/>
      <c r="AK212" s="1172"/>
      <c r="AL212" s="1173"/>
      <c r="AM212" s="1174"/>
      <c r="AN212" s="1175"/>
      <c r="AO212" s="1176"/>
      <c r="AP212" s="1177"/>
      <c r="AQ212" s="1547"/>
      <c r="AR212" s="1177"/>
      <c r="AS212" s="1548"/>
      <c r="AT212" s="1549"/>
      <c r="AU212" s="1178"/>
      <c r="AV212" s="1179"/>
      <c r="AY212" s="3">
        <v>1</v>
      </c>
    </row>
    <row r="213" spans="2:51" ht="27" customHeight="1">
      <c r="B213" s="104"/>
      <c r="C213" s="1172"/>
      <c r="D213" s="1172"/>
      <c r="E213" s="1172"/>
      <c r="F213" s="1173"/>
      <c r="G213" s="1174"/>
      <c r="H213" s="1175"/>
      <c r="I213" s="1176"/>
      <c r="J213" s="1177"/>
      <c r="K213" s="1547"/>
      <c r="L213" s="1177"/>
      <c r="M213" s="1548"/>
      <c r="N213" s="1549"/>
      <c r="O213" s="1178"/>
      <c r="P213" s="1179"/>
      <c r="Q213" s="1171"/>
      <c r="R213" s="104"/>
      <c r="S213" s="1172"/>
      <c r="T213" s="1172"/>
      <c r="U213" s="1172"/>
      <c r="V213" s="1173"/>
      <c r="W213" s="1174"/>
      <c r="X213" s="1175"/>
      <c r="Y213" s="1176"/>
      <c r="Z213" s="1177"/>
      <c r="AA213" s="1547"/>
      <c r="AB213" s="1177"/>
      <c r="AC213" s="1548"/>
      <c r="AD213" s="1549"/>
      <c r="AE213" s="1178"/>
      <c r="AF213" s="1179"/>
      <c r="AG213" s="1171"/>
      <c r="AH213" s="104"/>
      <c r="AI213" s="1172"/>
      <c r="AJ213" s="1172"/>
      <c r="AK213" s="1172"/>
      <c r="AL213" s="1173"/>
      <c r="AM213" s="1174"/>
      <c r="AN213" s="1175"/>
      <c r="AO213" s="1176"/>
      <c r="AP213" s="1177"/>
      <c r="AQ213" s="1547"/>
      <c r="AR213" s="1177"/>
      <c r="AS213" s="1548"/>
      <c r="AT213" s="1549"/>
      <c r="AU213" s="1178"/>
      <c r="AV213" s="1179"/>
      <c r="AY213" s="3">
        <v>1</v>
      </c>
    </row>
    <row r="214" spans="2:51" ht="27" customHeight="1">
      <c r="B214" s="104"/>
      <c r="C214" s="1172"/>
      <c r="D214" s="1172"/>
      <c r="E214" s="1172"/>
      <c r="F214" s="1173"/>
      <c r="G214" s="1174"/>
      <c r="H214" s="1175"/>
      <c r="I214" s="1176"/>
      <c r="J214" s="1177"/>
      <c r="K214" s="1547"/>
      <c r="L214" s="1177"/>
      <c r="M214" s="1548"/>
      <c r="N214" s="1549"/>
      <c r="O214" s="1178"/>
      <c r="P214" s="1179"/>
      <c r="Q214" s="1171"/>
      <c r="R214" s="104"/>
      <c r="S214" s="1172"/>
      <c r="T214" s="1172"/>
      <c r="U214" s="1172"/>
      <c r="V214" s="1173"/>
      <c r="W214" s="1174"/>
      <c r="X214" s="1175"/>
      <c r="Y214" s="1176"/>
      <c r="Z214" s="1177"/>
      <c r="AA214" s="1547"/>
      <c r="AB214" s="1177"/>
      <c r="AC214" s="1548"/>
      <c r="AD214" s="1549"/>
      <c r="AE214" s="1178"/>
      <c r="AF214" s="1179"/>
      <c r="AG214" s="1171"/>
      <c r="AH214" s="104"/>
      <c r="AI214" s="1172"/>
      <c r="AJ214" s="1172"/>
      <c r="AK214" s="1172"/>
      <c r="AL214" s="1173"/>
      <c r="AM214" s="1174"/>
      <c r="AN214" s="1175"/>
      <c r="AO214" s="1176"/>
      <c r="AP214" s="1177"/>
      <c r="AQ214" s="1547"/>
      <c r="AR214" s="1177"/>
      <c r="AS214" s="1548"/>
      <c r="AT214" s="1549"/>
      <c r="AU214" s="1178"/>
      <c r="AV214" s="1179"/>
      <c r="AY214" s="3">
        <v>1</v>
      </c>
    </row>
    <row r="215" spans="2:51" ht="27" customHeight="1">
      <c r="B215" s="104"/>
      <c r="C215" s="1172"/>
      <c r="D215" s="1172"/>
      <c r="E215" s="1172"/>
      <c r="F215" s="1173"/>
      <c r="G215" s="1174"/>
      <c r="H215" s="1175"/>
      <c r="I215" s="1176"/>
      <c r="J215" s="1177"/>
      <c r="K215" s="1547"/>
      <c r="L215" s="1177"/>
      <c r="M215" s="1548"/>
      <c r="N215" s="1549"/>
      <c r="O215" s="1178"/>
      <c r="P215" s="1179"/>
      <c r="Q215" s="1171"/>
      <c r="R215" s="104"/>
      <c r="S215" s="1172"/>
      <c r="T215" s="1172"/>
      <c r="U215" s="1172"/>
      <c r="V215" s="1173"/>
      <c r="W215" s="1174"/>
      <c r="X215" s="1175"/>
      <c r="Y215" s="1176"/>
      <c r="Z215" s="1177"/>
      <c r="AA215" s="1547"/>
      <c r="AB215" s="1177"/>
      <c r="AC215" s="1548"/>
      <c r="AD215" s="1549"/>
      <c r="AE215" s="1178"/>
      <c r="AF215" s="1179"/>
      <c r="AG215" s="1171"/>
      <c r="AH215" s="104"/>
      <c r="AI215" s="1172"/>
      <c r="AJ215" s="1172"/>
      <c r="AK215" s="1172"/>
      <c r="AL215" s="1173"/>
      <c r="AM215" s="1174"/>
      <c r="AN215" s="1175"/>
      <c r="AO215" s="1176"/>
      <c r="AP215" s="1177"/>
      <c r="AQ215" s="1547"/>
      <c r="AR215" s="1177"/>
      <c r="AS215" s="1548"/>
      <c r="AT215" s="1549"/>
      <c r="AU215" s="1178"/>
      <c r="AV215" s="1179"/>
      <c r="AY215" s="3">
        <v>1</v>
      </c>
    </row>
    <row r="216" spans="2:51" ht="27" customHeight="1">
      <c r="B216" s="104"/>
      <c r="C216" s="1172"/>
      <c r="D216" s="1172"/>
      <c r="E216" s="1172"/>
      <c r="F216" s="1173"/>
      <c r="G216" s="1174"/>
      <c r="H216" s="1175"/>
      <c r="I216" s="1176"/>
      <c r="J216" s="1177"/>
      <c r="K216" s="1547"/>
      <c r="L216" s="1177"/>
      <c r="M216" s="1548"/>
      <c r="N216" s="1549"/>
      <c r="O216" s="1178"/>
      <c r="P216" s="1179"/>
      <c r="Q216" s="1171"/>
      <c r="R216" s="104"/>
      <c r="S216" s="1172"/>
      <c r="T216" s="1172"/>
      <c r="U216" s="1172"/>
      <c r="V216" s="1173"/>
      <c r="W216" s="1174"/>
      <c r="X216" s="1175"/>
      <c r="Y216" s="1176"/>
      <c r="Z216" s="1177"/>
      <c r="AA216" s="1547"/>
      <c r="AB216" s="1177"/>
      <c r="AC216" s="1548"/>
      <c r="AD216" s="1549"/>
      <c r="AE216" s="1178"/>
      <c r="AF216" s="1179"/>
      <c r="AG216" s="1171"/>
      <c r="AH216" s="104"/>
      <c r="AI216" s="1172"/>
      <c r="AJ216" s="1172"/>
      <c r="AK216" s="1172"/>
      <c r="AL216" s="1173"/>
      <c r="AM216" s="1174"/>
      <c r="AN216" s="1175"/>
      <c r="AO216" s="1176"/>
      <c r="AP216" s="1177"/>
      <c r="AQ216" s="1547"/>
      <c r="AR216" s="1177"/>
      <c r="AS216" s="1548"/>
      <c r="AT216" s="1549"/>
      <c r="AU216" s="1178"/>
      <c r="AV216" s="1179"/>
      <c r="AY216" s="3">
        <v>1</v>
      </c>
    </row>
    <row r="217" spans="2:51" ht="27" customHeight="1">
      <c r="B217" s="104"/>
      <c r="C217" s="1172"/>
      <c r="D217" s="1172"/>
      <c r="E217" s="1172"/>
      <c r="F217" s="1173"/>
      <c r="G217" s="1174"/>
      <c r="H217" s="1175"/>
      <c r="I217" s="1176"/>
      <c r="J217" s="1177"/>
      <c r="K217" s="1547"/>
      <c r="L217" s="1177"/>
      <c r="M217" s="1548"/>
      <c r="N217" s="1549"/>
      <c r="O217" s="1178"/>
      <c r="P217" s="1179"/>
      <c r="Q217" s="1171"/>
      <c r="R217" s="104"/>
      <c r="S217" s="1172"/>
      <c r="T217" s="1172"/>
      <c r="U217" s="1172"/>
      <c r="V217" s="1173"/>
      <c r="W217" s="1174"/>
      <c r="X217" s="1175"/>
      <c r="Y217" s="1176"/>
      <c r="Z217" s="1177"/>
      <c r="AA217" s="1547"/>
      <c r="AB217" s="1177"/>
      <c r="AC217" s="1548"/>
      <c r="AD217" s="1549"/>
      <c r="AE217" s="1178"/>
      <c r="AF217" s="1179"/>
      <c r="AG217" s="1171"/>
      <c r="AH217" s="104"/>
      <c r="AI217" s="1172"/>
      <c r="AJ217" s="1172"/>
      <c r="AK217" s="1172"/>
      <c r="AL217" s="1173"/>
      <c r="AM217" s="1174"/>
      <c r="AN217" s="1175"/>
      <c r="AO217" s="1176"/>
      <c r="AP217" s="1177"/>
      <c r="AQ217" s="1547"/>
      <c r="AR217" s="1177"/>
      <c r="AS217" s="1548"/>
      <c r="AT217" s="1549"/>
      <c r="AU217" s="1178"/>
      <c r="AV217" s="1179"/>
      <c r="AY217" s="3">
        <v>1</v>
      </c>
    </row>
    <row r="218" spans="2:51" ht="27" customHeight="1">
      <c r="B218" s="104"/>
      <c r="C218" s="1172"/>
      <c r="D218" s="1172"/>
      <c r="E218" s="1172"/>
      <c r="F218" s="1173"/>
      <c r="G218" s="1174"/>
      <c r="H218" s="1175"/>
      <c r="I218" s="1176"/>
      <c r="J218" s="1177"/>
      <c r="K218" s="1547"/>
      <c r="L218" s="1177"/>
      <c r="M218" s="1548"/>
      <c r="N218" s="1549"/>
      <c r="O218" s="1178"/>
      <c r="P218" s="1179"/>
      <c r="Q218" s="1171"/>
      <c r="R218" s="104"/>
      <c r="S218" s="1172"/>
      <c r="T218" s="1172"/>
      <c r="U218" s="1172"/>
      <c r="V218" s="1173"/>
      <c r="W218" s="1174"/>
      <c r="X218" s="1175"/>
      <c r="Y218" s="1176"/>
      <c r="Z218" s="1177"/>
      <c r="AA218" s="1547"/>
      <c r="AB218" s="1177"/>
      <c r="AC218" s="1548"/>
      <c r="AD218" s="1549"/>
      <c r="AE218" s="1178"/>
      <c r="AF218" s="1179"/>
      <c r="AG218" s="1171"/>
      <c r="AH218" s="104"/>
      <c r="AI218" s="1172"/>
      <c r="AJ218" s="1172"/>
      <c r="AK218" s="1172"/>
      <c r="AL218" s="1173"/>
      <c r="AM218" s="1174"/>
      <c r="AN218" s="1175"/>
      <c r="AO218" s="1176"/>
      <c r="AP218" s="1177"/>
      <c r="AQ218" s="1547"/>
      <c r="AR218" s="1177"/>
      <c r="AS218" s="1548"/>
      <c r="AT218" s="1549"/>
      <c r="AU218" s="1178"/>
      <c r="AV218" s="1179"/>
      <c r="AY218" s="3">
        <v>1</v>
      </c>
    </row>
    <row r="219" spans="2:51" ht="27" customHeight="1">
      <c r="B219" s="104"/>
      <c r="C219" s="1172"/>
      <c r="D219" s="1172"/>
      <c r="E219" s="1172"/>
      <c r="F219" s="1173"/>
      <c r="G219" s="1174"/>
      <c r="H219" s="1175"/>
      <c r="I219" s="1176"/>
      <c r="J219" s="1177"/>
      <c r="K219" s="1547"/>
      <c r="L219" s="1177"/>
      <c r="M219" s="1548"/>
      <c r="N219" s="1549"/>
      <c r="O219" s="1178"/>
      <c r="P219" s="1179"/>
      <c r="Q219" s="1171"/>
      <c r="R219" s="104"/>
      <c r="S219" s="1172"/>
      <c r="T219" s="1172"/>
      <c r="U219" s="1172"/>
      <c r="V219" s="1173"/>
      <c r="W219" s="1174"/>
      <c r="X219" s="1175"/>
      <c r="Y219" s="1176"/>
      <c r="Z219" s="1177"/>
      <c r="AA219" s="1547"/>
      <c r="AB219" s="1177"/>
      <c r="AC219" s="1548"/>
      <c r="AD219" s="1549"/>
      <c r="AE219" s="1178"/>
      <c r="AF219" s="1179"/>
      <c r="AG219" s="1171"/>
      <c r="AH219" s="104"/>
      <c r="AI219" s="1172"/>
      <c r="AJ219" s="1172"/>
      <c r="AK219" s="1172"/>
      <c r="AL219" s="1173"/>
      <c r="AM219" s="1174"/>
      <c r="AN219" s="1175"/>
      <c r="AO219" s="1176"/>
      <c r="AP219" s="1177"/>
      <c r="AQ219" s="1547"/>
      <c r="AR219" s="1177"/>
      <c r="AS219" s="1548"/>
      <c r="AT219" s="1549"/>
      <c r="AU219" s="1178"/>
      <c r="AV219" s="1179"/>
      <c r="AY219" s="3">
        <v>1</v>
      </c>
    </row>
    <row r="220" spans="2:51" ht="27" customHeight="1">
      <c r="B220" s="104"/>
      <c r="C220" s="1172"/>
      <c r="D220" s="1172"/>
      <c r="E220" s="1172"/>
      <c r="F220" s="1173"/>
      <c r="G220" s="1174"/>
      <c r="H220" s="1175"/>
      <c r="I220" s="1176"/>
      <c r="J220" s="1177"/>
      <c r="K220" s="1547"/>
      <c r="L220" s="1177"/>
      <c r="M220" s="1548"/>
      <c r="N220" s="1549"/>
      <c r="O220" s="1178"/>
      <c r="P220" s="1179"/>
      <c r="Q220" s="1171"/>
      <c r="R220" s="104"/>
      <c r="S220" s="1172"/>
      <c r="T220" s="1172"/>
      <c r="U220" s="1172"/>
      <c r="V220" s="1173"/>
      <c r="W220" s="1174"/>
      <c r="X220" s="1175"/>
      <c r="Y220" s="1176"/>
      <c r="Z220" s="1177"/>
      <c r="AA220" s="1547"/>
      <c r="AB220" s="1177"/>
      <c r="AC220" s="1548"/>
      <c r="AD220" s="1549"/>
      <c r="AE220" s="1178"/>
      <c r="AF220" s="1179"/>
      <c r="AG220" s="1171"/>
      <c r="AH220" s="104"/>
      <c r="AI220" s="1172"/>
      <c r="AJ220" s="1172"/>
      <c r="AK220" s="1172"/>
      <c r="AL220" s="1173"/>
      <c r="AM220" s="1174"/>
      <c r="AN220" s="1175"/>
      <c r="AO220" s="1176"/>
      <c r="AP220" s="1177"/>
      <c r="AQ220" s="1547"/>
      <c r="AR220" s="1177"/>
      <c r="AS220" s="1548"/>
      <c r="AT220" s="1549"/>
      <c r="AU220" s="1178"/>
      <c r="AV220" s="1179"/>
      <c r="AY220" s="3">
        <v>1</v>
      </c>
    </row>
    <row r="221" spans="2:51" ht="27" customHeight="1">
      <c r="B221" s="104"/>
      <c r="C221" s="1172"/>
      <c r="D221" s="1172"/>
      <c r="E221" s="1172"/>
      <c r="F221" s="1173"/>
      <c r="G221" s="1174"/>
      <c r="H221" s="1175"/>
      <c r="I221" s="1176"/>
      <c r="J221" s="1177"/>
      <c r="K221" s="1547"/>
      <c r="L221" s="1177"/>
      <c r="M221" s="1548"/>
      <c r="N221" s="1549"/>
      <c r="O221" s="1178"/>
      <c r="P221" s="1179"/>
      <c r="Q221" s="1171"/>
      <c r="R221" s="104"/>
      <c r="S221" s="1172"/>
      <c r="T221" s="1172"/>
      <c r="U221" s="1172"/>
      <c r="V221" s="1173"/>
      <c r="W221" s="1174"/>
      <c r="X221" s="1175"/>
      <c r="Y221" s="1176"/>
      <c r="Z221" s="1177"/>
      <c r="AA221" s="1547"/>
      <c r="AB221" s="1177"/>
      <c r="AC221" s="1548"/>
      <c r="AD221" s="1549"/>
      <c r="AE221" s="1178"/>
      <c r="AF221" s="1179"/>
      <c r="AG221" s="1171"/>
      <c r="AH221" s="104"/>
      <c r="AI221" s="1172"/>
      <c r="AJ221" s="1172"/>
      <c r="AK221" s="1172"/>
      <c r="AL221" s="1173"/>
      <c r="AM221" s="1174"/>
      <c r="AN221" s="1175"/>
      <c r="AO221" s="1176"/>
      <c r="AP221" s="1177"/>
      <c r="AQ221" s="1547"/>
      <c r="AR221" s="1177"/>
      <c r="AS221" s="1548"/>
      <c r="AT221" s="1549"/>
      <c r="AU221" s="1178"/>
      <c r="AV221" s="1179"/>
      <c r="AY221" s="3">
        <v>1</v>
      </c>
    </row>
    <row r="222" spans="2:51" ht="27" customHeight="1">
      <c r="B222" s="104"/>
      <c r="C222" s="1172"/>
      <c r="D222" s="1172"/>
      <c r="E222" s="1172"/>
      <c r="F222" s="1173"/>
      <c r="G222" s="1174"/>
      <c r="H222" s="1175"/>
      <c r="I222" s="1176"/>
      <c r="J222" s="1177"/>
      <c r="K222" s="1547"/>
      <c r="L222" s="1177"/>
      <c r="M222" s="1548"/>
      <c r="N222" s="1549"/>
      <c r="O222" s="1178"/>
      <c r="P222" s="1179"/>
      <c r="Q222" s="1171"/>
      <c r="R222" s="104"/>
      <c r="S222" s="1172"/>
      <c r="T222" s="1172"/>
      <c r="U222" s="1172"/>
      <c r="V222" s="1173"/>
      <c r="W222" s="1174"/>
      <c r="X222" s="1175"/>
      <c r="Y222" s="1176"/>
      <c r="Z222" s="1177"/>
      <c r="AA222" s="1547"/>
      <c r="AB222" s="1177"/>
      <c r="AC222" s="1548"/>
      <c r="AD222" s="1549"/>
      <c r="AE222" s="1178"/>
      <c r="AF222" s="1179"/>
      <c r="AG222" s="1171"/>
      <c r="AH222" s="104"/>
      <c r="AI222" s="1172"/>
      <c r="AJ222" s="1172"/>
      <c r="AK222" s="1172"/>
      <c r="AL222" s="1173"/>
      <c r="AM222" s="1174"/>
      <c r="AN222" s="1175"/>
      <c r="AO222" s="1176"/>
      <c r="AP222" s="1177"/>
      <c r="AQ222" s="1547"/>
      <c r="AR222" s="1177"/>
      <c r="AS222" s="1548"/>
      <c r="AT222" s="1549"/>
      <c r="AU222" s="1178"/>
      <c r="AV222" s="1179"/>
      <c r="AY222" s="3">
        <v>1</v>
      </c>
    </row>
    <row r="223" spans="2:51" ht="27" customHeight="1">
      <c r="B223" s="104"/>
      <c r="C223" s="1172"/>
      <c r="D223" s="1172"/>
      <c r="E223" s="1172"/>
      <c r="F223" s="1173"/>
      <c r="G223" s="1174"/>
      <c r="H223" s="1175"/>
      <c r="I223" s="1176"/>
      <c r="J223" s="1177"/>
      <c r="K223" s="1547"/>
      <c r="L223" s="1177"/>
      <c r="M223" s="1548"/>
      <c r="N223" s="1549"/>
      <c r="O223" s="1178"/>
      <c r="P223" s="1179"/>
      <c r="Q223" s="1171"/>
      <c r="R223" s="104"/>
      <c r="S223" s="1172"/>
      <c r="T223" s="1172"/>
      <c r="U223" s="1172"/>
      <c r="V223" s="1173"/>
      <c r="W223" s="1174"/>
      <c r="X223" s="1175"/>
      <c r="Y223" s="1176"/>
      <c r="Z223" s="1177"/>
      <c r="AA223" s="1547"/>
      <c r="AB223" s="1177"/>
      <c r="AC223" s="1548"/>
      <c r="AD223" s="1549"/>
      <c r="AE223" s="1178"/>
      <c r="AF223" s="1179"/>
      <c r="AG223" s="1171"/>
      <c r="AH223" s="104"/>
      <c r="AI223" s="1172"/>
      <c r="AJ223" s="1172"/>
      <c r="AK223" s="1172"/>
      <c r="AL223" s="1173"/>
      <c r="AM223" s="1174"/>
      <c r="AN223" s="1175"/>
      <c r="AO223" s="1176"/>
      <c r="AP223" s="1177"/>
      <c r="AQ223" s="1547"/>
      <c r="AR223" s="1177"/>
      <c r="AS223" s="1548"/>
      <c r="AT223" s="1549"/>
      <c r="AU223" s="1178"/>
      <c r="AV223" s="1179"/>
      <c r="AY223" s="3">
        <v>1</v>
      </c>
    </row>
    <row r="224" spans="2:51" ht="27" customHeight="1">
      <c r="B224" s="104"/>
      <c r="C224" s="1172"/>
      <c r="D224" s="1172"/>
      <c r="E224" s="1172"/>
      <c r="F224" s="1173"/>
      <c r="G224" s="1174"/>
      <c r="H224" s="1175"/>
      <c r="I224" s="1176"/>
      <c r="J224" s="1177"/>
      <c r="K224" s="1547"/>
      <c r="L224" s="1177"/>
      <c r="M224" s="1548"/>
      <c r="N224" s="1549"/>
      <c r="O224" s="1178"/>
      <c r="P224" s="1179"/>
      <c r="Q224" s="1171"/>
      <c r="R224" s="104"/>
      <c r="S224" s="1172"/>
      <c r="T224" s="1172"/>
      <c r="U224" s="1172"/>
      <c r="V224" s="1173"/>
      <c r="W224" s="1174"/>
      <c r="X224" s="1175"/>
      <c r="Y224" s="1176"/>
      <c r="Z224" s="1177"/>
      <c r="AA224" s="1547"/>
      <c r="AB224" s="1177"/>
      <c r="AC224" s="1548"/>
      <c r="AD224" s="1549"/>
      <c r="AE224" s="1178"/>
      <c r="AF224" s="1179"/>
      <c r="AG224" s="1171"/>
      <c r="AH224" s="104"/>
      <c r="AI224" s="1172"/>
      <c r="AJ224" s="1172"/>
      <c r="AK224" s="1172"/>
      <c r="AL224" s="1173"/>
      <c r="AM224" s="1174"/>
      <c r="AN224" s="1175"/>
      <c r="AO224" s="1176"/>
      <c r="AP224" s="1177"/>
      <c r="AQ224" s="1547"/>
      <c r="AR224" s="1177"/>
      <c r="AS224" s="1548"/>
      <c r="AT224" s="1549"/>
      <c r="AU224" s="1178"/>
      <c r="AV224" s="1179"/>
      <c r="AY224" s="3">
        <v>1</v>
      </c>
    </row>
    <row r="225" spans="2:51" ht="27" customHeight="1">
      <c r="B225" s="104"/>
      <c r="C225" s="1172"/>
      <c r="D225" s="1172"/>
      <c r="E225" s="1172"/>
      <c r="F225" s="1173"/>
      <c r="G225" s="1174"/>
      <c r="H225" s="1175"/>
      <c r="I225" s="1176"/>
      <c r="J225" s="1177"/>
      <c r="K225" s="1547"/>
      <c r="L225" s="1177"/>
      <c r="M225" s="1548"/>
      <c r="N225" s="1549"/>
      <c r="O225" s="1178"/>
      <c r="P225" s="1179"/>
      <c r="Q225" s="1171"/>
      <c r="R225" s="104"/>
      <c r="S225" s="1172"/>
      <c r="T225" s="1172"/>
      <c r="U225" s="1172"/>
      <c r="V225" s="1173"/>
      <c r="W225" s="1174"/>
      <c r="X225" s="1175"/>
      <c r="Y225" s="1176"/>
      <c r="Z225" s="1177"/>
      <c r="AA225" s="1547"/>
      <c r="AB225" s="1177"/>
      <c r="AC225" s="1548"/>
      <c r="AD225" s="1549"/>
      <c r="AE225" s="1178"/>
      <c r="AF225" s="1179"/>
      <c r="AG225" s="1171"/>
      <c r="AH225" s="104"/>
      <c r="AI225" s="1172"/>
      <c r="AJ225" s="1172"/>
      <c r="AK225" s="1172"/>
      <c r="AL225" s="1173"/>
      <c r="AM225" s="1174"/>
      <c r="AN225" s="1175"/>
      <c r="AO225" s="1176"/>
      <c r="AP225" s="1177"/>
      <c r="AQ225" s="1547"/>
      <c r="AR225" s="1177"/>
      <c r="AS225" s="1548"/>
      <c r="AT225" s="1549"/>
      <c r="AU225" s="1178"/>
      <c r="AV225" s="1179"/>
      <c r="AY225" s="3">
        <v>1</v>
      </c>
    </row>
    <row r="226" spans="2:51" ht="27" customHeight="1">
      <c r="B226" s="104"/>
      <c r="C226" s="1172"/>
      <c r="D226" s="1172"/>
      <c r="E226" s="1172"/>
      <c r="F226" s="1173"/>
      <c r="G226" s="1174"/>
      <c r="H226" s="1175"/>
      <c r="I226" s="1176"/>
      <c r="J226" s="1177"/>
      <c r="K226" s="1547"/>
      <c r="L226" s="1177"/>
      <c r="M226" s="1548"/>
      <c r="N226" s="1549"/>
      <c r="O226" s="1178"/>
      <c r="P226" s="1179"/>
      <c r="Q226" s="1171"/>
      <c r="R226" s="104"/>
      <c r="S226" s="1172"/>
      <c r="T226" s="1172"/>
      <c r="U226" s="1172"/>
      <c r="V226" s="1173"/>
      <c r="W226" s="1174"/>
      <c r="X226" s="1175"/>
      <c r="Y226" s="1176"/>
      <c r="Z226" s="1177"/>
      <c r="AA226" s="1547"/>
      <c r="AB226" s="1177"/>
      <c r="AC226" s="1548"/>
      <c r="AD226" s="1549"/>
      <c r="AE226" s="1178"/>
      <c r="AF226" s="1179"/>
      <c r="AG226" s="1171"/>
      <c r="AH226" s="104"/>
      <c r="AI226" s="1172"/>
      <c r="AJ226" s="1172"/>
      <c r="AK226" s="1172"/>
      <c r="AL226" s="1173"/>
      <c r="AM226" s="1174"/>
      <c r="AN226" s="1175"/>
      <c r="AO226" s="1176"/>
      <c r="AP226" s="1177"/>
      <c r="AQ226" s="1547"/>
      <c r="AR226" s="1177"/>
      <c r="AS226" s="1548"/>
      <c r="AT226" s="1549"/>
      <c r="AU226" s="1178"/>
      <c r="AV226" s="1179"/>
      <c r="AY226" s="3">
        <v>1</v>
      </c>
    </row>
    <row r="227" spans="2:51" ht="27" customHeight="1">
      <c r="B227" s="104"/>
      <c r="C227" s="1172"/>
      <c r="D227" s="1172"/>
      <c r="E227" s="1172"/>
      <c r="F227" s="1173"/>
      <c r="G227" s="1174"/>
      <c r="H227" s="1175"/>
      <c r="I227" s="1176"/>
      <c r="J227" s="1177"/>
      <c r="K227" s="1547"/>
      <c r="L227" s="1177"/>
      <c r="M227" s="1548"/>
      <c r="N227" s="1549"/>
      <c r="O227" s="1178"/>
      <c r="P227" s="1179"/>
      <c r="Q227" s="1171"/>
      <c r="R227" s="104"/>
      <c r="S227" s="1172"/>
      <c r="T227" s="1172"/>
      <c r="U227" s="1172"/>
      <c r="V227" s="1173"/>
      <c r="W227" s="1174"/>
      <c r="X227" s="1175"/>
      <c r="Y227" s="1176"/>
      <c r="Z227" s="1177"/>
      <c r="AA227" s="1547"/>
      <c r="AB227" s="1177"/>
      <c r="AC227" s="1548"/>
      <c r="AD227" s="1549"/>
      <c r="AE227" s="1178"/>
      <c r="AF227" s="1179"/>
      <c r="AG227" s="1171"/>
      <c r="AH227" s="104"/>
      <c r="AI227" s="1172"/>
      <c r="AJ227" s="1172"/>
      <c r="AK227" s="1172"/>
      <c r="AL227" s="1173"/>
      <c r="AM227" s="1174"/>
      <c r="AN227" s="1175"/>
      <c r="AO227" s="1176"/>
      <c r="AP227" s="1177"/>
      <c r="AQ227" s="1547"/>
      <c r="AR227" s="1177"/>
      <c r="AS227" s="1548"/>
      <c r="AT227" s="1549"/>
      <c r="AU227" s="1178"/>
      <c r="AV227" s="1179"/>
      <c r="AY227" s="3">
        <v>1</v>
      </c>
    </row>
    <row r="228" spans="2:51" ht="27" customHeight="1">
      <c r="B228" s="104"/>
      <c r="C228" s="1172"/>
      <c r="D228" s="1172"/>
      <c r="E228" s="1172"/>
      <c r="F228" s="1173"/>
      <c r="G228" s="1174"/>
      <c r="H228" s="1175"/>
      <c r="I228" s="1176"/>
      <c r="J228" s="1177"/>
      <c r="K228" s="1547"/>
      <c r="L228" s="1177"/>
      <c r="M228" s="1548"/>
      <c r="N228" s="1549"/>
      <c r="O228" s="1178"/>
      <c r="P228" s="1179"/>
      <c r="Q228" s="1180"/>
      <c r="R228" s="104"/>
      <c r="S228" s="1172"/>
      <c r="T228" s="1172"/>
      <c r="U228" s="1172"/>
      <c r="V228" s="1173"/>
      <c r="W228" s="1174"/>
      <c r="X228" s="1175"/>
      <c r="Y228" s="1176"/>
      <c r="Z228" s="1177"/>
      <c r="AA228" s="1547"/>
      <c r="AB228" s="1177"/>
      <c r="AC228" s="1548"/>
      <c r="AD228" s="1549"/>
      <c r="AE228" s="1178"/>
      <c r="AF228" s="1179"/>
      <c r="AG228" s="1171"/>
      <c r="AH228" s="104"/>
      <c r="AI228" s="1172"/>
      <c r="AJ228" s="1172"/>
      <c r="AK228" s="1172"/>
      <c r="AL228" s="1173"/>
      <c r="AM228" s="1174"/>
      <c r="AN228" s="1175"/>
      <c r="AO228" s="1176"/>
      <c r="AP228" s="1177"/>
      <c r="AQ228" s="1547"/>
      <c r="AR228" s="1177"/>
      <c r="AS228" s="1548"/>
      <c r="AT228" s="1549"/>
      <c r="AU228" s="1178"/>
      <c r="AV228" s="1179"/>
      <c r="AY228" s="3">
        <v>1</v>
      </c>
    </row>
    <row r="229" spans="2:51" ht="27" customHeight="1">
      <c r="B229" s="104"/>
      <c r="C229" s="1172"/>
      <c r="D229" s="1172"/>
      <c r="E229" s="1172"/>
      <c r="F229" s="1173"/>
      <c r="G229" s="1174"/>
      <c r="H229" s="1175"/>
      <c r="I229" s="1176"/>
      <c r="J229" s="1177"/>
      <c r="K229" s="1547"/>
      <c r="L229" s="1177"/>
      <c r="M229" s="1548"/>
      <c r="N229" s="1549"/>
      <c r="O229" s="1178"/>
      <c r="P229" s="1179"/>
      <c r="Q229" s="1180"/>
      <c r="R229" s="104"/>
      <c r="S229" s="1172"/>
      <c r="T229" s="1172"/>
      <c r="U229" s="1172"/>
      <c r="V229" s="1173"/>
      <c r="W229" s="1174"/>
      <c r="X229" s="1175"/>
      <c r="Y229" s="1176"/>
      <c r="Z229" s="1177"/>
      <c r="AA229" s="1547"/>
      <c r="AB229" s="1177"/>
      <c r="AC229" s="1548"/>
      <c r="AD229" s="1549"/>
      <c r="AE229" s="1178"/>
      <c r="AF229" s="1179"/>
      <c r="AG229" s="1171"/>
      <c r="AH229" s="104"/>
      <c r="AI229" s="1172"/>
      <c r="AJ229" s="1172"/>
      <c r="AK229" s="1172"/>
      <c r="AL229" s="1173"/>
      <c r="AM229" s="1174"/>
      <c r="AN229" s="1175"/>
      <c r="AO229" s="1176"/>
      <c r="AP229" s="1177"/>
      <c r="AQ229" s="1547"/>
      <c r="AR229" s="1177"/>
      <c r="AS229" s="1548"/>
      <c r="AT229" s="1549"/>
      <c r="AU229" s="1178"/>
      <c r="AV229" s="1179"/>
      <c r="AY229" s="3">
        <v>1</v>
      </c>
    </row>
    <row r="230" spans="2:51" ht="27" customHeight="1">
      <c r="B230" s="104"/>
      <c r="C230" s="1172"/>
      <c r="D230" s="1172"/>
      <c r="E230" s="1172"/>
      <c r="F230" s="1173"/>
      <c r="G230" s="1174"/>
      <c r="H230" s="1175"/>
      <c r="I230" s="1176"/>
      <c r="J230" s="1177"/>
      <c r="K230" s="1547"/>
      <c r="L230" s="1177"/>
      <c r="M230" s="1548"/>
      <c r="N230" s="1549"/>
      <c r="O230" s="1178"/>
      <c r="P230" s="1179"/>
      <c r="R230" s="104"/>
      <c r="S230" s="1172"/>
      <c r="T230" s="1172"/>
      <c r="U230" s="1172"/>
      <c r="V230" s="1173"/>
      <c r="W230" s="1174"/>
      <c r="X230" s="1175"/>
      <c r="Y230" s="1176"/>
      <c r="Z230" s="1177"/>
      <c r="AA230" s="1547"/>
      <c r="AB230" s="1177"/>
      <c r="AC230" s="1548"/>
      <c r="AD230" s="1549"/>
      <c r="AE230" s="1178"/>
      <c r="AF230" s="1179"/>
      <c r="AH230" s="104"/>
      <c r="AI230" s="1172"/>
      <c r="AJ230" s="1172"/>
      <c r="AK230" s="1172"/>
      <c r="AL230" s="1173"/>
      <c r="AM230" s="1174"/>
      <c r="AN230" s="1175"/>
      <c r="AO230" s="1176"/>
      <c r="AP230" s="1177"/>
      <c r="AQ230" s="1547"/>
      <c r="AR230" s="1177"/>
      <c r="AS230" s="1548"/>
      <c r="AT230" s="1549"/>
      <c r="AU230" s="1178"/>
      <c r="AV230" s="1179"/>
      <c r="AY230" s="3">
        <v>1</v>
      </c>
    </row>
    <row r="231" spans="2:51" ht="27" customHeight="1">
      <c r="B231" s="104"/>
      <c r="C231" s="1172"/>
      <c r="D231" s="1172"/>
      <c r="E231" s="1172"/>
      <c r="F231" s="1173"/>
      <c r="G231" s="1174"/>
      <c r="H231" s="1175"/>
      <c r="I231" s="1176"/>
      <c r="J231" s="1177"/>
      <c r="K231" s="1547"/>
      <c r="L231" s="1177"/>
      <c r="M231" s="1548"/>
      <c r="N231" s="1549"/>
      <c r="O231" s="1178"/>
      <c r="P231" s="1179"/>
      <c r="R231" s="104"/>
      <c r="S231" s="1172"/>
      <c r="T231" s="1172"/>
      <c r="U231" s="1172"/>
      <c r="V231" s="1173"/>
      <c r="W231" s="1174"/>
      <c r="X231" s="1175"/>
      <c r="Y231" s="1176"/>
      <c r="Z231" s="1177"/>
      <c r="AA231" s="1547"/>
      <c r="AB231" s="1177"/>
      <c r="AC231" s="1548"/>
      <c r="AD231" s="1549"/>
      <c r="AE231" s="1178"/>
      <c r="AF231" s="1179"/>
      <c r="AH231" s="104"/>
      <c r="AI231" s="1172"/>
      <c r="AJ231" s="1172"/>
      <c r="AK231" s="1172"/>
      <c r="AL231" s="1173"/>
      <c r="AM231" s="1174"/>
      <c r="AN231" s="1175"/>
      <c r="AO231" s="1176"/>
      <c r="AP231" s="1177"/>
      <c r="AQ231" s="1547"/>
      <c r="AR231" s="1177"/>
      <c r="AS231" s="1548"/>
      <c r="AT231" s="1549"/>
      <c r="AU231" s="1178"/>
      <c r="AV231" s="1179"/>
      <c r="AY231" s="3">
        <v>1</v>
      </c>
    </row>
    <row r="232" spans="2:51" ht="27" customHeight="1">
      <c r="B232" s="104"/>
      <c r="C232" s="1172"/>
      <c r="D232" s="1172"/>
      <c r="E232" s="1172"/>
      <c r="F232" s="1173"/>
      <c r="G232" s="1174"/>
      <c r="H232" s="1175"/>
      <c r="I232" s="1176"/>
      <c r="J232" s="1177"/>
      <c r="K232" s="1547"/>
      <c r="L232" s="1177"/>
      <c r="M232" s="1548"/>
      <c r="N232" s="1549"/>
      <c r="O232" s="1178"/>
      <c r="P232" s="1179"/>
      <c r="R232" s="104"/>
      <c r="S232" s="1172"/>
      <c r="T232" s="1172"/>
      <c r="U232" s="1172"/>
      <c r="V232" s="1173"/>
      <c r="W232" s="1174"/>
      <c r="X232" s="1175"/>
      <c r="Y232" s="1176"/>
      <c r="Z232" s="1177"/>
      <c r="AA232" s="1547"/>
      <c r="AB232" s="1177"/>
      <c r="AC232" s="1548"/>
      <c r="AD232" s="1549"/>
      <c r="AE232" s="1178"/>
      <c r="AF232" s="1179"/>
      <c r="AH232" s="104"/>
      <c r="AI232" s="1172"/>
      <c r="AJ232" s="1172"/>
      <c r="AK232" s="1172"/>
      <c r="AL232" s="1173"/>
      <c r="AM232" s="1174"/>
      <c r="AN232" s="1175"/>
      <c r="AO232" s="1176"/>
      <c r="AP232" s="1177"/>
      <c r="AQ232" s="1547"/>
      <c r="AR232" s="1177"/>
      <c r="AS232" s="1548"/>
      <c r="AT232" s="1549"/>
      <c r="AU232" s="1178"/>
      <c r="AV232" s="1179"/>
      <c r="AY232" s="3">
        <v>1</v>
      </c>
    </row>
    <row r="233" spans="2:51" ht="27" customHeight="1">
      <c r="B233" s="104"/>
      <c r="C233" s="1172"/>
      <c r="D233" s="1172"/>
      <c r="E233" s="1172"/>
      <c r="F233" s="1173"/>
      <c r="G233" s="1174"/>
      <c r="H233" s="1175"/>
      <c r="I233" s="1176"/>
      <c r="J233" s="1177"/>
      <c r="K233" s="1547"/>
      <c r="L233" s="1177"/>
      <c r="M233" s="1548"/>
      <c r="N233" s="1549"/>
      <c r="O233" s="1178"/>
      <c r="P233" s="1179"/>
      <c r="R233" s="104"/>
      <c r="S233" s="1172"/>
      <c r="T233" s="1172"/>
      <c r="U233" s="1172"/>
      <c r="V233" s="1173"/>
      <c r="W233" s="1174"/>
      <c r="X233" s="1175"/>
      <c r="Y233" s="1176"/>
      <c r="Z233" s="1177"/>
      <c r="AA233" s="1547"/>
      <c r="AB233" s="1177"/>
      <c r="AC233" s="1548"/>
      <c r="AD233" s="1549"/>
      <c r="AE233" s="1178"/>
      <c r="AF233" s="1179"/>
      <c r="AH233" s="104"/>
      <c r="AI233" s="1172"/>
      <c r="AJ233" s="1172"/>
      <c r="AK233" s="1172"/>
      <c r="AL233" s="1173"/>
      <c r="AM233" s="1174"/>
      <c r="AN233" s="1175"/>
      <c r="AO233" s="1176"/>
      <c r="AP233" s="1177"/>
      <c r="AQ233" s="1547"/>
      <c r="AR233" s="1177"/>
      <c r="AS233" s="1548"/>
      <c r="AT233" s="1549"/>
      <c r="AU233" s="1178"/>
      <c r="AV233" s="1179"/>
      <c r="AY233" s="3">
        <v>1</v>
      </c>
    </row>
    <row r="234" spans="2:51" ht="27" customHeight="1">
      <c r="B234" s="104"/>
      <c r="C234" s="1172"/>
      <c r="D234" s="1172"/>
      <c r="E234" s="1172"/>
      <c r="F234" s="1173"/>
      <c r="G234" s="1174"/>
      <c r="H234" s="1175"/>
      <c r="I234" s="1176"/>
      <c r="J234" s="1177"/>
      <c r="K234" s="1547"/>
      <c r="L234" s="1177"/>
      <c r="M234" s="1548"/>
      <c r="N234" s="1549"/>
      <c r="O234" s="1178"/>
      <c r="P234" s="1179"/>
      <c r="R234" s="104"/>
      <c r="S234" s="1172"/>
      <c r="T234" s="1172"/>
      <c r="U234" s="1172"/>
      <c r="V234" s="1173"/>
      <c r="W234" s="1174"/>
      <c r="X234" s="1175"/>
      <c r="Y234" s="1176"/>
      <c r="Z234" s="1177"/>
      <c r="AA234" s="1547"/>
      <c r="AB234" s="1177"/>
      <c r="AC234" s="1548"/>
      <c r="AD234" s="1549"/>
      <c r="AE234" s="1178"/>
      <c r="AF234" s="1179"/>
      <c r="AH234" s="104"/>
      <c r="AI234" s="1172"/>
      <c r="AJ234" s="1172"/>
      <c r="AK234" s="1172"/>
      <c r="AL234" s="1173"/>
      <c r="AM234" s="1174"/>
      <c r="AN234" s="1175"/>
      <c r="AO234" s="1176"/>
      <c r="AP234" s="1177"/>
      <c r="AQ234" s="1547"/>
      <c r="AR234" s="1177"/>
      <c r="AS234" s="1548"/>
      <c r="AT234" s="1549"/>
      <c r="AU234" s="1178"/>
      <c r="AV234" s="1179"/>
      <c r="AY234" s="3">
        <v>1</v>
      </c>
    </row>
    <row r="235" spans="2:51" ht="27" customHeight="1">
      <c r="B235" s="104"/>
      <c r="C235" s="1172"/>
      <c r="D235" s="1172"/>
      <c r="E235" s="1172"/>
      <c r="F235" s="1173"/>
      <c r="G235" s="1174"/>
      <c r="H235" s="1175"/>
      <c r="I235" s="1176"/>
      <c r="J235" s="1177"/>
      <c r="K235" s="1547"/>
      <c r="L235" s="1177"/>
      <c r="M235" s="1548"/>
      <c r="N235" s="1549"/>
      <c r="O235" s="1178"/>
      <c r="P235" s="1179"/>
      <c r="R235" s="104"/>
      <c r="S235" s="1172"/>
      <c r="T235" s="1172"/>
      <c r="U235" s="1172"/>
      <c r="V235" s="1173"/>
      <c r="W235" s="1174"/>
      <c r="X235" s="1175"/>
      <c r="Y235" s="1176"/>
      <c r="Z235" s="1177"/>
      <c r="AA235" s="1547"/>
      <c r="AB235" s="1177"/>
      <c r="AC235" s="1548"/>
      <c r="AD235" s="1549"/>
      <c r="AE235" s="1178"/>
      <c r="AF235" s="1179"/>
      <c r="AH235" s="104"/>
      <c r="AI235" s="1172"/>
      <c r="AJ235" s="1172"/>
      <c r="AK235" s="1172"/>
      <c r="AL235" s="1173"/>
      <c r="AM235" s="1174"/>
      <c r="AN235" s="1175"/>
      <c r="AO235" s="1176"/>
      <c r="AP235" s="1177"/>
      <c r="AQ235" s="1547"/>
      <c r="AR235" s="1177"/>
      <c r="AS235" s="1548"/>
      <c r="AT235" s="1549"/>
      <c r="AU235" s="1178"/>
      <c r="AV235" s="1179"/>
      <c r="AY235" s="3">
        <v>1</v>
      </c>
    </row>
    <row r="236" spans="2:51" ht="27" customHeight="1">
      <c r="B236" s="104"/>
      <c r="C236" s="1172"/>
      <c r="D236" s="1172"/>
      <c r="E236" s="1172"/>
      <c r="F236" s="1173"/>
      <c r="G236" s="1174"/>
      <c r="H236" s="1175"/>
      <c r="I236" s="1176"/>
      <c r="J236" s="1177"/>
      <c r="K236" s="1547"/>
      <c r="L236" s="1177"/>
      <c r="M236" s="1548"/>
      <c r="N236" s="1549"/>
      <c r="O236" s="1178"/>
      <c r="P236" s="1179"/>
      <c r="R236" s="104"/>
      <c r="S236" s="1172"/>
      <c r="T236" s="1172"/>
      <c r="U236" s="1172"/>
      <c r="V236" s="1173"/>
      <c r="W236" s="1174"/>
      <c r="X236" s="1175"/>
      <c r="Y236" s="1176"/>
      <c r="Z236" s="1177"/>
      <c r="AA236" s="1547"/>
      <c r="AB236" s="1177"/>
      <c r="AC236" s="1548"/>
      <c r="AD236" s="1549"/>
      <c r="AE236" s="1178"/>
      <c r="AF236" s="1179"/>
      <c r="AH236" s="104"/>
      <c r="AI236" s="1172"/>
      <c r="AJ236" s="1172"/>
      <c r="AK236" s="1172"/>
      <c r="AL236" s="1173"/>
      <c r="AM236" s="1174"/>
      <c r="AN236" s="1175"/>
      <c r="AO236" s="1176"/>
      <c r="AP236" s="1177"/>
      <c r="AQ236" s="1547"/>
      <c r="AR236" s="1177"/>
      <c r="AS236" s="1548"/>
      <c r="AT236" s="1549"/>
      <c r="AU236" s="1178"/>
      <c r="AV236" s="1179"/>
      <c r="AY236" s="3">
        <v>1</v>
      </c>
    </row>
    <row r="237" spans="2:51" ht="27" customHeight="1">
      <c r="B237" s="104"/>
      <c r="C237" s="1172"/>
      <c r="D237" s="1172"/>
      <c r="E237" s="1172"/>
      <c r="F237" s="1173"/>
      <c r="G237" s="1174"/>
      <c r="H237" s="1175"/>
      <c r="I237" s="1176"/>
      <c r="J237" s="1177"/>
      <c r="K237" s="1547"/>
      <c r="L237" s="1177"/>
      <c r="M237" s="1548"/>
      <c r="N237" s="1549"/>
      <c r="O237" s="1178"/>
      <c r="P237" s="1179"/>
      <c r="R237" s="104"/>
      <c r="S237" s="1172"/>
      <c r="T237" s="1172"/>
      <c r="U237" s="1172"/>
      <c r="V237" s="1173"/>
      <c r="W237" s="1174"/>
      <c r="X237" s="1175"/>
      <c r="Y237" s="1176"/>
      <c r="Z237" s="1177"/>
      <c r="AA237" s="1547"/>
      <c r="AB237" s="1177"/>
      <c r="AC237" s="1548"/>
      <c r="AD237" s="1549"/>
      <c r="AE237" s="1178"/>
      <c r="AF237" s="1179"/>
      <c r="AH237" s="104"/>
      <c r="AI237" s="1172"/>
      <c r="AJ237" s="1172"/>
      <c r="AK237" s="1172"/>
      <c r="AL237" s="1173"/>
      <c r="AM237" s="1174"/>
      <c r="AN237" s="1175"/>
      <c r="AO237" s="1176"/>
      <c r="AP237" s="1177"/>
      <c r="AQ237" s="1547"/>
      <c r="AR237" s="1177"/>
      <c r="AS237" s="1548"/>
      <c r="AT237" s="1549"/>
      <c r="AU237" s="1178"/>
      <c r="AV237" s="1179"/>
      <c r="AY237" s="3">
        <v>1</v>
      </c>
    </row>
    <row r="238" spans="2:51" ht="27" customHeight="1">
      <c r="B238" s="104"/>
      <c r="C238" s="1172"/>
      <c r="D238" s="1172"/>
      <c r="E238" s="1172"/>
      <c r="F238" s="1173"/>
      <c r="G238" s="1174"/>
      <c r="H238" s="1175"/>
      <c r="I238" s="1176"/>
      <c r="J238" s="1177"/>
      <c r="K238" s="1547"/>
      <c r="L238" s="1177"/>
      <c r="M238" s="1548"/>
      <c r="N238" s="1549"/>
      <c r="O238" s="1178"/>
      <c r="P238" s="1179"/>
      <c r="R238" s="104"/>
      <c r="S238" s="1172"/>
      <c r="T238" s="1172"/>
      <c r="U238" s="1172"/>
      <c r="V238" s="1173"/>
      <c r="W238" s="1174"/>
      <c r="X238" s="1175"/>
      <c r="Y238" s="1176"/>
      <c r="Z238" s="1177"/>
      <c r="AA238" s="1547"/>
      <c r="AB238" s="1177"/>
      <c r="AC238" s="1548"/>
      <c r="AD238" s="1549"/>
      <c r="AE238" s="1178"/>
      <c r="AF238" s="1179"/>
      <c r="AH238" s="104"/>
      <c r="AI238" s="1172"/>
      <c r="AJ238" s="1172"/>
      <c r="AK238" s="1172"/>
      <c r="AL238" s="1173"/>
      <c r="AM238" s="1174"/>
      <c r="AN238" s="1175"/>
      <c r="AO238" s="1176"/>
      <c r="AP238" s="1177"/>
      <c r="AQ238" s="1547"/>
      <c r="AR238" s="1177"/>
      <c r="AS238" s="1548"/>
      <c r="AT238" s="1549"/>
      <c r="AU238" s="1178"/>
      <c r="AV238" s="1179"/>
      <c r="AY238" s="3">
        <v>1</v>
      </c>
    </row>
    <row r="239" spans="2:51" ht="27" customHeight="1">
      <c r="B239" s="104"/>
      <c r="C239" s="1172"/>
      <c r="D239" s="1172"/>
      <c r="E239" s="1172"/>
      <c r="F239" s="1173"/>
      <c r="G239" s="1174"/>
      <c r="H239" s="1175"/>
      <c r="I239" s="1176"/>
      <c r="J239" s="1177"/>
      <c r="K239" s="1547"/>
      <c r="L239" s="1177"/>
      <c r="M239" s="1548"/>
      <c r="N239" s="1549"/>
      <c r="O239" s="1178"/>
      <c r="P239" s="1179"/>
      <c r="R239" s="104"/>
      <c r="S239" s="1172"/>
      <c r="T239" s="1172"/>
      <c r="U239" s="1172"/>
      <c r="V239" s="1173"/>
      <c r="W239" s="1174"/>
      <c r="X239" s="1175"/>
      <c r="Y239" s="1176"/>
      <c r="Z239" s="1177"/>
      <c r="AA239" s="1547"/>
      <c r="AB239" s="1177"/>
      <c r="AC239" s="1548"/>
      <c r="AD239" s="1549"/>
      <c r="AE239" s="1178"/>
      <c r="AF239" s="1179"/>
      <c r="AH239" s="104"/>
      <c r="AI239" s="1172"/>
      <c r="AJ239" s="1172"/>
      <c r="AK239" s="1172"/>
      <c r="AL239" s="1173"/>
      <c r="AM239" s="1174"/>
      <c r="AN239" s="1175"/>
      <c r="AO239" s="1176"/>
      <c r="AP239" s="1177"/>
      <c r="AQ239" s="1547"/>
      <c r="AR239" s="1177"/>
      <c r="AS239" s="1548"/>
      <c r="AT239" s="1549"/>
      <c r="AU239" s="1178"/>
      <c r="AV239" s="1179"/>
      <c r="AY239" s="3">
        <v>1</v>
      </c>
    </row>
    <row r="240" spans="2:51" ht="27" customHeight="1">
      <c r="B240" s="104"/>
      <c r="C240" s="1172"/>
      <c r="D240" s="1172"/>
      <c r="E240" s="1172"/>
      <c r="F240" s="1173"/>
      <c r="G240" s="1174"/>
      <c r="H240" s="1175"/>
      <c r="I240" s="1176"/>
      <c r="J240" s="1177"/>
      <c r="K240" s="1547"/>
      <c r="L240" s="1177"/>
      <c r="M240" s="1548"/>
      <c r="N240" s="1549"/>
      <c r="O240" s="1178"/>
      <c r="P240" s="1179"/>
      <c r="R240" s="104"/>
      <c r="S240" s="1172"/>
      <c r="T240" s="1172"/>
      <c r="U240" s="1172"/>
      <c r="V240" s="1173"/>
      <c r="W240" s="1174"/>
      <c r="X240" s="1175"/>
      <c r="Y240" s="1176"/>
      <c r="Z240" s="1177"/>
      <c r="AA240" s="1547"/>
      <c r="AB240" s="1177"/>
      <c r="AC240" s="1548"/>
      <c r="AD240" s="1549"/>
      <c r="AE240" s="1178"/>
      <c r="AF240" s="1179"/>
      <c r="AH240" s="104"/>
      <c r="AI240" s="1172"/>
      <c r="AJ240" s="1172"/>
      <c r="AK240" s="1172"/>
      <c r="AL240" s="1173"/>
      <c r="AM240" s="1174"/>
      <c r="AN240" s="1175"/>
      <c r="AO240" s="1176"/>
      <c r="AP240" s="1177"/>
      <c r="AQ240" s="1547"/>
      <c r="AR240" s="1177"/>
      <c r="AS240" s="1548"/>
      <c r="AT240" s="1549"/>
      <c r="AU240" s="1178"/>
      <c r="AV240" s="1179"/>
      <c r="AY240" s="3">
        <v>1</v>
      </c>
    </row>
    <row r="241" spans="2:51" ht="27" customHeight="1">
      <c r="B241" s="104"/>
      <c r="C241" s="1172"/>
      <c r="D241" s="1172"/>
      <c r="E241" s="1172"/>
      <c r="F241" s="1173"/>
      <c r="G241" s="1174"/>
      <c r="H241" s="1175"/>
      <c r="I241" s="1176"/>
      <c r="J241" s="1177"/>
      <c r="K241" s="1547"/>
      <c r="L241" s="1177"/>
      <c r="M241" s="1548"/>
      <c r="N241" s="1549"/>
      <c r="O241" s="1178"/>
      <c r="P241" s="1179"/>
      <c r="R241" s="104"/>
      <c r="S241" s="1172"/>
      <c r="T241" s="1172"/>
      <c r="U241" s="1172"/>
      <c r="V241" s="1173"/>
      <c r="W241" s="1174"/>
      <c r="X241" s="1175"/>
      <c r="Y241" s="1176"/>
      <c r="Z241" s="1177"/>
      <c r="AA241" s="1547"/>
      <c r="AB241" s="1177"/>
      <c r="AC241" s="1548"/>
      <c r="AD241" s="1549"/>
      <c r="AE241" s="1178"/>
      <c r="AF241" s="1179"/>
      <c r="AH241" s="104"/>
      <c r="AI241" s="1172"/>
      <c r="AJ241" s="1172"/>
      <c r="AK241" s="1172"/>
      <c r="AL241" s="1173"/>
      <c r="AM241" s="1174"/>
      <c r="AN241" s="1175"/>
      <c r="AO241" s="1176"/>
      <c r="AP241" s="1177"/>
      <c r="AQ241" s="1547"/>
      <c r="AR241" s="1177"/>
      <c r="AS241" s="1548"/>
      <c r="AT241" s="1549"/>
      <c r="AU241" s="1178"/>
      <c r="AV241" s="1179"/>
      <c r="AY241" s="3">
        <v>1</v>
      </c>
    </row>
    <row r="242" spans="2:51" ht="27" customHeight="1">
      <c r="B242" s="104"/>
      <c r="C242" s="1172"/>
      <c r="D242" s="1172"/>
      <c r="E242" s="1172"/>
      <c r="F242" s="1173"/>
      <c r="G242" s="1174"/>
      <c r="H242" s="1175"/>
      <c r="I242" s="1176"/>
      <c r="J242" s="1177"/>
      <c r="K242" s="1547"/>
      <c r="L242" s="1177"/>
      <c r="M242" s="1548"/>
      <c r="N242" s="1549"/>
      <c r="O242" s="1178"/>
      <c r="P242" s="1179"/>
      <c r="R242" s="104"/>
      <c r="S242" s="1172"/>
      <c r="T242" s="1172"/>
      <c r="U242" s="1172"/>
      <c r="V242" s="1173"/>
      <c r="W242" s="1174"/>
      <c r="X242" s="1175"/>
      <c r="Y242" s="1176"/>
      <c r="Z242" s="1177"/>
      <c r="AA242" s="1547"/>
      <c r="AB242" s="1177"/>
      <c r="AC242" s="1548"/>
      <c r="AD242" s="1549"/>
      <c r="AE242" s="1178"/>
      <c r="AF242" s="1179"/>
      <c r="AH242" s="104"/>
      <c r="AI242" s="1172"/>
      <c r="AJ242" s="1172"/>
      <c r="AK242" s="1172"/>
      <c r="AL242" s="1173"/>
      <c r="AM242" s="1174"/>
      <c r="AN242" s="1175"/>
      <c r="AO242" s="1176"/>
      <c r="AP242" s="1177"/>
      <c r="AQ242" s="1547"/>
      <c r="AR242" s="1177"/>
      <c r="AS242" s="1548"/>
      <c r="AT242" s="1549"/>
      <c r="AU242" s="1178"/>
      <c r="AV242" s="1179"/>
      <c r="AY242" s="3">
        <v>1</v>
      </c>
    </row>
    <row r="243" spans="2:51" ht="27" customHeight="1">
      <c r="B243" s="104"/>
      <c r="C243" s="1172"/>
      <c r="D243" s="1172"/>
      <c r="E243" s="1172"/>
      <c r="F243" s="1173"/>
      <c r="G243" s="1174"/>
      <c r="H243" s="1175"/>
      <c r="I243" s="1176"/>
      <c r="J243" s="1177"/>
      <c r="K243" s="1547"/>
      <c r="L243" s="1177"/>
      <c r="M243" s="1548"/>
      <c r="N243" s="1549"/>
      <c r="O243" s="1178"/>
      <c r="P243" s="1179"/>
      <c r="R243" s="104"/>
      <c r="S243" s="1172"/>
      <c r="T243" s="1172"/>
      <c r="U243" s="1172"/>
      <c r="V243" s="1173"/>
      <c r="W243" s="1174"/>
      <c r="X243" s="1175"/>
      <c r="Y243" s="1176"/>
      <c r="Z243" s="1177"/>
      <c r="AA243" s="1547"/>
      <c r="AB243" s="1177"/>
      <c r="AC243" s="1548"/>
      <c r="AD243" s="1549"/>
      <c r="AE243" s="1178"/>
      <c r="AF243" s="1179"/>
      <c r="AH243" s="104"/>
      <c r="AI243" s="1172"/>
      <c r="AJ243" s="1172"/>
      <c r="AK243" s="1172"/>
      <c r="AL243" s="1173"/>
      <c r="AM243" s="1174"/>
      <c r="AN243" s="1175"/>
      <c r="AO243" s="1176"/>
      <c r="AP243" s="1177"/>
      <c r="AQ243" s="1547"/>
      <c r="AR243" s="1177"/>
      <c r="AS243" s="1548"/>
      <c r="AT243" s="1549"/>
      <c r="AU243" s="1178"/>
      <c r="AV243" s="1179"/>
      <c r="AY243" s="3">
        <v>1</v>
      </c>
    </row>
    <row r="244" spans="2:51" ht="27" customHeight="1">
      <c r="B244" s="104"/>
      <c r="C244" s="1172"/>
      <c r="D244" s="1172"/>
      <c r="E244" s="1172"/>
      <c r="F244" s="1173"/>
      <c r="G244" s="1174"/>
      <c r="H244" s="1175"/>
      <c r="I244" s="1176"/>
      <c r="J244" s="1177"/>
      <c r="K244" s="1547"/>
      <c r="L244" s="1177"/>
      <c r="M244" s="1548"/>
      <c r="N244" s="1549"/>
      <c r="O244" s="1178"/>
      <c r="P244" s="1179"/>
      <c r="R244" s="104"/>
      <c r="S244" s="1172"/>
      <c r="T244" s="1172"/>
      <c r="U244" s="1172"/>
      <c r="V244" s="1173"/>
      <c r="W244" s="1174"/>
      <c r="X244" s="1175"/>
      <c r="Y244" s="1176"/>
      <c r="Z244" s="1177"/>
      <c r="AA244" s="1547"/>
      <c r="AB244" s="1177"/>
      <c r="AC244" s="1548"/>
      <c r="AD244" s="1549"/>
      <c r="AE244" s="1178"/>
      <c r="AF244" s="1179"/>
      <c r="AH244" s="104"/>
      <c r="AI244" s="1172"/>
      <c r="AJ244" s="1172"/>
      <c r="AK244" s="1172"/>
      <c r="AL244" s="1173"/>
      <c r="AM244" s="1174"/>
      <c r="AN244" s="1175"/>
      <c r="AO244" s="1176"/>
      <c r="AP244" s="1177"/>
      <c r="AQ244" s="1547"/>
      <c r="AR244" s="1177"/>
      <c r="AS244" s="1548"/>
      <c r="AT244" s="1549"/>
      <c r="AU244" s="1178"/>
      <c r="AV244" s="1179"/>
      <c r="AY244" s="3">
        <v>1</v>
      </c>
    </row>
    <row r="245" spans="2:51" ht="27" customHeight="1">
      <c r="B245" s="104"/>
      <c r="C245" s="1172"/>
      <c r="D245" s="1172"/>
      <c r="E245" s="1172"/>
      <c r="F245" s="1173"/>
      <c r="G245" s="1174"/>
      <c r="H245" s="1175"/>
      <c r="I245" s="1176"/>
      <c r="J245" s="1177"/>
      <c r="K245" s="1547"/>
      <c r="L245" s="1177"/>
      <c r="M245" s="1548"/>
      <c r="N245" s="1549"/>
      <c r="O245" s="1178"/>
      <c r="P245" s="1179"/>
      <c r="R245" s="104"/>
      <c r="S245" s="1172"/>
      <c r="T245" s="1172"/>
      <c r="U245" s="1172"/>
      <c r="V245" s="1173"/>
      <c r="W245" s="1174"/>
      <c r="X245" s="1175"/>
      <c r="Y245" s="1176"/>
      <c r="Z245" s="1177"/>
      <c r="AA245" s="1547"/>
      <c r="AB245" s="1177"/>
      <c r="AC245" s="1548"/>
      <c r="AD245" s="1549"/>
      <c r="AE245" s="1178"/>
      <c r="AF245" s="1179"/>
      <c r="AH245" s="104"/>
      <c r="AI245" s="1172"/>
      <c r="AJ245" s="1172"/>
      <c r="AK245" s="1172"/>
      <c r="AL245" s="1173"/>
      <c r="AM245" s="1174"/>
      <c r="AN245" s="1175"/>
      <c r="AO245" s="1176"/>
      <c r="AP245" s="1177"/>
      <c r="AQ245" s="1547"/>
      <c r="AR245" s="1177"/>
      <c r="AS245" s="1548"/>
      <c r="AT245" s="1549"/>
      <c r="AU245" s="1178"/>
      <c r="AV245" s="1179"/>
      <c r="AY245" s="3"/>
    </row>
    <row r="246" spans="2:51" ht="27" customHeight="1">
      <c r="B246" s="104"/>
      <c r="C246" s="1172"/>
      <c r="D246" s="1172"/>
      <c r="E246" s="1172"/>
      <c r="F246" s="1173"/>
      <c r="G246" s="1174"/>
      <c r="H246" s="1175"/>
      <c r="I246" s="1176"/>
      <c r="J246" s="1177"/>
      <c r="K246" s="1547"/>
      <c r="L246" s="1177"/>
      <c r="M246" s="1548"/>
      <c r="N246" s="1549"/>
      <c r="O246" s="1178"/>
      <c r="P246" s="1179"/>
      <c r="R246" s="104"/>
      <c r="S246" s="1172"/>
      <c r="T246" s="1172"/>
      <c r="U246" s="1172"/>
      <c r="V246" s="1173"/>
      <c r="W246" s="1174"/>
      <c r="X246" s="1175"/>
      <c r="Y246" s="1176"/>
      <c r="Z246" s="1177"/>
      <c r="AA246" s="1547"/>
      <c r="AB246" s="1177"/>
      <c r="AC246" s="1548"/>
      <c r="AD246" s="1549"/>
      <c r="AE246" s="1178"/>
      <c r="AF246" s="1179"/>
      <c r="AH246" s="104"/>
      <c r="AI246" s="1172"/>
      <c r="AJ246" s="1172"/>
      <c r="AK246" s="1172"/>
      <c r="AL246" s="1173"/>
      <c r="AM246" s="1174"/>
      <c r="AN246" s="1175"/>
      <c r="AO246" s="1176"/>
      <c r="AP246" s="1177"/>
      <c r="AQ246" s="1547"/>
      <c r="AR246" s="1177"/>
      <c r="AS246" s="1548"/>
      <c r="AT246" s="1549"/>
      <c r="AU246" s="1178"/>
      <c r="AV246" s="1179"/>
      <c r="AY246" s="3"/>
    </row>
    <row r="247" spans="2:51" ht="27" customHeight="1">
      <c r="B247" s="104"/>
      <c r="C247" s="1172"/>
      <c r="D247" s="1172"/>
      <c r="E247" s="1172"/>
      <c r="F247" s="1173"/>
      <c r="G247" s="1174"/>
      <c r="H247" s="1175"/>
      <c r="I247" s="1176"/>
      <c r="J247" s="1177"/>
      <c r="K247" s="1547"/>
      <c r="L247" s="1177"/>
      <c r="M247" s="1548"/>
      <c r="N247" s="1549"/>
      <c r="O247" s="1178"/>
      <c r="P247" s="1179"/>
      <c r="R247" s="104"/>
      <c r="S247" s="1172"/>
      <c r="T247" s="1172"/>
      <c r="U247" s="1172"/>
      <c r="V247" s="1173"/>
      <c r="W247" s="1174"/>
      <c r="X247" s="1175"/>
      <c r="Y247" s="1176"/>
      <c r="Z247" s="1177"/>
      <c r="AA247" s="1547"/>
      <c r="AB247" s="1177"/>
      <c r="AC247" s="1548"/>
      <c r="AD247" s="1549"/>
      <c r="AE247" s="1178"/>
      <c r="AF247" s="1179"/>
      <c r="AH247" s="104"/>
      <c r="AI247" s="1172"/>
      <c r="AJ247" s="1172"/>
      <c r="AK247" s="1172"/>
      <c r="AL247" s="1173"/>
      <c r="AM247" s="1174"/>
      <c r="AN247" s="1175"/>
      <c r="AO247" s="1176"/>
      <c r="AP247" s="1177"/>
      <c r="AQ247" s="1547"/>
      <c r="AR247" s="1177"/>
      <c r="AS247" s="1548"/>
      <c r="AT247" s="1549"/>
      <c r="AU247" s="1178"/>
      <c r="AV247" s="1179"/>
      <c r="AY247" s="3"/>
    </row>
    <row r="248" spans="2:51" ht="27" customHeight="1">
      <c r="B248" s="104"/>
      <c r="C248" s="1172"/>
      <c r="D248" s="1172"/>
      <c r="E248" s="1172"/>
      <c r="F248" s="1173"/>
      <c r="G248" s="1174"/>
      <c r="H248" s="1175"/>
      <c r="I248" s="1176"/>
      <c r="J248" s="1177"/>
      <c r="K248" s="1547"/>
      <c r="L248" s="1177"/>
      <c r="M248" s="1548"/>
      <c r="N248" s="1549"/>
      <c r="O248" s="1178"/>
      <c r="P248" s="1179"/>
      <c r="R248" s="104"/>
      <c r="S248" s="1172"/>
      <c r="T248" s="1172"/>
      <c r="U248" s="1172"/>
      <c r="V248" s="1173"/>
      <c r="W248" s="1174"/>
      <c r="X248" s="1175"/>
      <c r="Y248" s="1176"/>
      <c r="Z248" s="1177"/>
      <c r="AA248" s="1547"/>
      <c r="AB248" s="1177"/>
      <c r="AC248" s="1548"/>
      <c r="AD248" s="1549"/>
      <c r="AE248" s="1178"/>
      <c r="AF248" s="1179"/>
      <c r="AH248" s="104"/>
      <c r="AI248" s="1172"/>
      <c r="AJ248" s="1172"/>
      <c r="AK248" s="1172"/>
      <c r="AL248" s="1173"/>
      <c r="AM248" s="1174"/>
      <c r="AN248" s="1175"/>
      <c r="AO248" s="1176"/>
      <c r="AP248" s="1177"/>
      <c r="AQ248" s="1547"/>
      <c r="AR248" s="1177"/>
      <c r="AS248" s="1548"/>
      <c r="AT248" s="1549"/>
      <c r="AU248" s="1178"/>
      <c r="AV248" s="1179"/>
      <c r="AY248" s="3">
        <v>1</v>
      </c>
    </row>
    <row r="249" spans="2:51" ht="27" customHeight="1">
      <c r="B249" s="104"/>
      <c r="C249" s="1172"/>
      <c r="D249" s="1172"/>
      <c r="E249" s="1172"/>
      <c r="F249" s="1173"/>
      <c r="G249" s="1174"/>
      <c r="H249" s="1175"/>
      <c r="I249" s="1176"/>
      <c r="J249" s="1177"/>
      <c r="K249" s="1547"/>
      <c r="L249" s="1177"/>
      <c r="M249" s="1548"/>
      <c r="N249" s="1549"/>
      <c r="O249" s="1178"/>
      <c r="P249" s="1179"/>
      <c r="R249" s="104"/>
      <c r="S249" s="1172"/>
      <c r="T249" s="1172"/>
      <c r="U249" s="1172"/>
      <c r="V249" s="1173"/>
      <c r="W249" s="1174"/>
      <c r="X249" s="1175"/>
      <c r="Y249" s="1176"/>
      <c r="Z249" s="1177"/>
      <c r="AA249" s="1547"/>
      <c r="AB249" s="1177"/>
      <c r="AC249" s="1548"/>
      <c r="AD249" s="1549"/>
      <c r="AE249" s="1178"/>
      <c r="AF249" s="1179"/>
      <c r="AH249" s="104"/>
      <c r="AI249" s="1172"/>
      <c r="AJ249" s="1172"/>
      <c r="AK249" s="1172"/>
      <c r="AL249" s="1173"/>
      <c r="AM249" s="1174"/>
      <c r="AN249" s="1175"/>
      <c r="AO249" s="1176"/>
      <c r="AP249" s="1177"/>
      <c r="AQ249" s="1547"/>
      <c r="AR249" s="1177"/>
      <c r="AS249" s="1548"/>
      <c r="AT249" s="1549"/>
      <c r="AU249" s="1178"/>
      <c r="AV249" s="1179"/>
      <c r="AY249" s="3">
        <v>1</v>
      </c>
    </row>
    <row r="250" spans="2:51" ht="27" customHeight="1">
      <c r="B250" s="104"/>
      <c r="C250" s="1172"/>
      <c r="D250" s="1172"/>
      <c r="E250" s="1172"/>
      <c r="F250" s="1173"/>
      <c r="G250" s="1174"/>
      <c r="H250" s="1175"/>
      <c r="I250" s="1176"/>
      <c r="J250" s="1177"/>
      <c r="K250" s="1547"/>
      <c r="L250" s="1177"/>
      <c r="M250" s="1548"/>
      <c r="N250" s="1549"/>
      <c r="O250" s="1178"/>
      <c r="P250" s="1179"/>
      <c r="R250" s="104"/>
      <c r="S250" s="1172"/>
      <c r="T250" s="1172"/>
      <c r="U250" s="1172"/>
      <c r="V250" s="1173"/>
      <c r="W250" s="1174"/>
      <c r="X250" s="1175"/>
      <c r="Y250" s="1176"/>
      <c r="Z250" s="1177"/>
      <c r="AA250" s="1547"/>
      <c r="AB250" s="1177"/>
      <c r="AC250" s="1548"/>
      <c r="AD250" s="1549"/>
      <c r="AE250" s="1178"/>
      <c r="AF250" s="1179"/>
      <c r="AH250" s="104"/>
      <c r="AI250" s="1172"/>
      <c r="AJ250" s="1172"/>
      <c r="AK250" s="1172"/>
      <c r="AL250" s="1173"/>
      <c r="AM250" s="1174"/>
      <c r="AN250" s="1175"/>
      <c r="AO250" s="1176"/>
      <c r="AP250" s="1177"/>
      <c r="AQ250" s="1547"/>
      <c r="AR250" s="1177"/>
      <c r="AS250" s="1548"/>
      <c r="AT250" s="1549"/>
      <c r="AU250" s="1178"/>
      <c r="AV250" s="1179"/>
      <c r="AY250" s="3">
        <v>1</v>
      </c>
    </row>
    <row r="251" spans="2:51" ht="27" customHeight="1">
      <c r="B251" s="104"/>
      <c r="C251" s="1172"/>
      <c r="D251" s="1172"/>
      <c r="E251" s="1172"/>
      <c r="F251" s="1173"/>
      <c r="G251" s="1174"/>
      <c r="H251" s="1175"/>
      <c r="I251" s="1176"/>
      <c r="J251" s="1177"/>
      <c r="K251" s="1547"/>
      <c r="L251" s="1177"/>
      <c r="M251" s="1548"/>
      <c r="N251" s="1549"/>
      <c r="O251" s="1178"/>
      <c r="P251" s="1179"/>
      <c r="R251" s="104"/>
      <c r="S251" s="1172"/>
      <c r="T251" s="1172"/>
      <c r="U251" s="1172"/>
      <c r="V251" s="1173"/>
      <c r="W251" s="1174"/>
      <c r="X251" s="1175"/>
      <c r="Y251" s="1176"/>
      <c r="Z251" s="1177"/>
      <c r="AA251" s="1547"/>
      <c r="AB251" s="1177"/>
      <c r="AC251" s="1548"/>
      <c r="AD251" s="1549"/>
      <c r="AE251" s="1178"/>
      <c r="AF251" s="1179"/>
      <c r="AH251" s="104"/>
      <c r="AI251" s="1172"/>
      <c r="AJ251" s="1172"/>
      <c r="AK251" s="1172"/>
      <c r="AL251" s="1173"/>
      <c r="AM251" s="1174"/>
      <c r="AN251" s="1175"/>
      <c r="AO251" s="1176"/>
      <c r="AP251" s="1177"/>
      <c r="AQ251" s="1547"/>
      <c r="AR251" s="1177"/>
      <c r="AS251" s="1548"/>
      <c r="AT251" s="1549"/>
      <c r="AU251" s="1178"/>
      <c r="AV251" s="1179"/>
      <c r="AY251" s="3">
        <v>1</v>
      </c>
    </row>
    <row r="252" spans="2:51" ht="27" customHeight="1">
      <c r="B252" s="104"/>
      <c r="C252" s="1172"/>
      <c r="D252" s="1172"/>
      <c r="E252" s="1172"/>
      <c r="F252" s="1173"/>
      <c r="G252" s="1174"/>
      <c r="H252" s="1175"/>
      <c r="I252" s="1176"/>
      <c r="J252" s="1177"/>
      <c r="K252" s="1547"/>
      <c r="L252" s="1177"/>
      <c r="M252" s="1548"/>
      <c r="N252" s="1549"/>
      <c r="O252" s="1178"/>
      <c r="P252" s="1179"/>
      <c r="R252" s="104"/>
      <c r="S252" s="1172"/>
      <c r="T252" s="1172"/>
      <c r="U252" s="1172"/>
      <c r="V252" s="1173"/>
      <c r="W252" s="1174"/>
      <c r="X252" s="1175"/>
      <c r="Y252" s="1176"/>
      <c r="Z252" s="1177"/>
      <c r="AA252" s="1547"/>
      <c r="AB252" s="1177"/>
      <c r="AC252" s="1548"/>
      <c r="AD252" s="1549"/>
      <c r="AE252" s="1178"/>
      <c r="AF252" s="1179"/>
      <c r="AH252" s="104"/>
      <c r="AI252" s="1172"/>
      <c r="AJ252" s="1172"/>
      <c r="AK252" s="1172"/>
      <c r="AL252" s="1173"/>
      <c r="AM252" s="1174"/>
      <c r="AN252" s="1175"/>
      <c r="AO252" s="1176"/>
      <c r="AP252" s="1177"/>
      <c r="AQ252" s="1547"/>
      <c r="AR252" s="1177"/>
      <c r="AS252" s="1548"/>
      <c r="AT252" s="1549"/>
      <c r="AU252" s="1178"/>
      <c r="AV252" s="1179"/>
      <c r="AY252" s="3">
        <v>1</v>
      </c>
    </row>
    <row r="253" spans="2:51" ht="27" customHeight="1">
      <c r="B253" s="104"/>
      <c r="C253" s="1172"/>
      <c r="D253" s="1172"/>
      <c r="E253" s="1172"/>
      <c r="F253" s="1173"/>
      <c r="G253" s="1174"/>
      <c r="H253" s="1175"/>
      <c r="I253" s="1176"/>
      <c r="J253" s="1177"/>
      <c r="K253" s="1547"/>
      <c r="L253" s="1177"/>
      <c r="M253" s="1548"/>
      <c r="N253" s="1549"/>
      <c r="O253" s="1178"/>
      <c r="P253" s="1179"/>
      <c r="R253" s="104"/>
      <c r="S253" s="1172"/>
      <c r="T253" s="1172"/>
      <c r="U253" s="1172"/>
      <c r="V253" s="1173"/>
      <c r="W253" s="1174"/>
      <c r="X253" s="1175"/>
      <c r="Y253" s="1176"/>
      <c r="Z253" s="1177"/>
      <c r="AA253" s="1547"/>
      <c r="AB253" s="1177"/>
      <c r="AC253" s="1548"/>
      <c r="AD253" s="1549"/>
      <c r="AE253" s="1178"/>
      <c r="AF253" s="1179"/>
      <c r="AH253" s="104"/>
      <c r="AI253" s="1172"/>
      <c r="AJ253" s="1172"/>
      <c r="AK253" s="1172"/>
      <c r="AL253" s="1173"/>
      <c r="AM253" s="1174"/>
      <c r="AN253" s="1175"/>
      <c r="AO253" s="1176"/>
      <c r="AP253" s="1177"/>
      <c r="AQ253" s="1547"/>
      <c r="AR253" s="1177"/>
      <c r="AS253" s="1548"/>
      <c r="AT253" s="1549"/>
      <c r="AU253" s="1178"/>
      <c r="AV253" s="1179"/>
      <c r="AY253" s="3">
        <v>1</v>
      </c>
    </row>
    <row r="254" spans="2:51" ht="27" customHeight="1">
      <c r="B254" s="104"/>
      <c r="C254" s="1172"/>
      <c r="D254" s="1172"/>
      <c r="E254" s="1172"/>
      <c r="F254" s="1173"/>
      <c r="G254" s="1174"/>
      <c r="H254" s="1175"/>
      <c r="I254" s="1176"/>
      <c r="J254" s="1177"/>
      <c r="K254" s="1547"/>
      <c r="L254" s="1177"/>
      <c r="M254" s="1548"/>
      <c r="N254" s="1549"/>
      <c r="O254" s="1178"/>
      <c r="P254" s="1179"/>
      <c r="R254" s="104"/>
      <c r="S254" s="1172"/>
      <c r="T254" s="1172"/>
      <c r="U254" s="1172"/>
      <c r="V254" s="1173"/>
      <c r="W254" s="1174"/>
      <c r="X254" s="1175"/>
      <c r="Y254" s="1176"/>
      <c r="Z254" s="1177"/>
      <c r="AA254" s="1547"/>
      <c r="AB254" s="1177"/>
      <c r="AC254" s="1548"/>
      <c r="AD254" s="1549"/>
      <c r="AE254" s="1178"/>
      <c r="AF254" s="1179"/>
      <c r="AH254" s="104"/>
      <c r="AI254" s="1172"/>
      <c r="AJ254" s="1172"/>
      <c r="AK254" s="1172"/>
      <c r="AL254" s="1173"/>
      <c r="AM254" s="1174"/>
      <c r="AN254" s="1175"/>
      <c r="AO254" s="1176"/>
      <c r="AP254" s="1177"/>
      <c r="AQ254" s="1547"/>
      <c r="AR254" s="1177"/>
      <c r="AS254" s="1548"/>
      <c r="AT254" s="1549"/>
      <c r="AU254" s="1178"/>
      <c r="AV254" s="1179"/>
      <c r="AY254" s="3">
        <v>1</v>
      </c>
    </row>
    <row r="255" spans="2:51" ht="18.75">
      <c r="B255" s="104"/>
      <c r="C255" s="1172"/>
      <c r="D255" s="1172"/>
      <c r="E255" s="1172"/>
      <c r="F255" s="1173"/>
      <c r="G255" s="1174"/>
      <c r="H255" s="1175"/>
      <c r="I255" s="1176"/>
      <c r="J255" s="1177"/>
      <c r="K255" s="1547"/>
      <c r="L255" s="1177"/>
      <c r="M255" s="1548"/>
      <c r="N255" s="1549"/>
      <c r="O255" s="1178"/>
      <c r="P255" s="1179"/>
      <c r="R255" s="104"/>
      <c r="S255" s="1172"/>
      <c r="T255" s="1172"/>
      <c r="U255" s="1172"/>
      <c r="V255" s="1173"/>
      <c r="W255" s="1174"/>
      <c r="X255" s="1175"/>
      <c r="Y255" s="1176"/>
      <c r="Z255" s="1177"/>
      <c r="AA255" s="1547"/>
      <c r="AB255" s="1177"/>
      <c r="AC255" s="1548"/>
      <c r="AD255" s="1549"/>
      <c r="AE255" s="1178"/>
      <c r="AF255" s="1179"/>
      <c r="AH255" s="104"/>
      <c r="AI255" s="1172"/>
      <c r="AJ255" s="1172"/>
      <c r="AK255" s="1172"/>
      <c r="AL255" s="1173"/>
      <c r="AM255" s="1174"/>
      <c r="AN255" s="1175"/>
      <c r="AO255" s="1176"/>
      <c r="AP255" s="1177"/>
      <c r="AQ255" s="1547"/>
      <c r="AR255" s="1177"/>
      <c r="AS255" s="1548"/>
      <c r="AT255" s="1549"/>
      <c r="AU255" s="1178"/>
      <c r="AV255" s="1179"/>
      <c r="AY255" s="3">
        <v>1</v>
      </c>
    </row>
    <row r="256" spans="2:51" ht="18.75">
      <c r="B256" s="104"/>
      <c r="C256" s="1172"/>
      <c r="D256" s="1172"/>
      <c r="E256" s="1172"/>
      <c r="F256" s="1173"/>
      <c r="G256" s="1174"/>
      <c r="H256" s="1175"/>
      <c r="I256" s="1176"/>
      <c r="J256" s="1177"/>
      <c r="K256" s="1547"/>
      <c r="L256" s="1177"/>
      <c r="M256" s="1548"/>
      <c r="N256" s="1549"/>
      <c r="O256" s="1178"/>
      <c r="P256" s="1179"/>
      <c r="R256" s="104"/>
      <c r="S256" s="1172"/>
      <c r="T256" s="1172"/>
      <c r="U256" s="1172"/>
      <c r="V256" s="1173"/>
      <c r="W256" s="1174"/>
      <c r="X256" s="1175"/>
      <c r="Y256" s="1176"/>
      <c r="Z256" s="1177"/>
      <c r="AA256" s="1547"/>
      <c r="AB256" s="1177"/>
      <c r="AC256" s="1548"/>
      <c r="AD256" s="1549"/>
      <c r="AE256" s="1178"/>
      <c r="AF256" s="1179"/>
      <c r="AH256" s="104"/>
      <c r="AI256" s="1172"/>
      <c r="AJ256" s="1172"/>
      <c r="AK256" s="1172"/>
      <c r="AL256" s="1173"/>
      <c r="AM256" s="1174"/>
      <c r="AN256" s="1175"/>
      <c r="AO256" s="1176"/>
      <c r="AP256" s="1177"/>
      <c r="AQ256" s="1547"/>
      <c r="AR256" s="1177"/>
      <c r="AS256" s="1548"/>
      <c r="AT256" s="1549"/>
      <c r="AU256" s="1178"/>
      <c r="AV256" s="1179"/>
      <c r="AY256" s="3">
        <v>1</v>
      </c>
    </row>
    <row r="257" spans="2:51" ht="18.75">
      <c r="B257" s="104"/>
      <c r="C257" s="1172"/>
      <c r="D257" s="1172"/>
      <c r="E257" s="1172"/>
      <c r="F257" s="1173"/>
      <c r="G257" s="1174"/>
      <c r="H257" s="1175"/>
      <c r="I257" s="1176"/>
      <c r="J257" s="1177"/>
      <c r="K257" s="1547"/>
      <c r="L257" s="1177"/>
      <c r="M257" s="1548"/>
      <c r="N257" s="1549"/>
      <c r="O257" s="1178"/>
      <c r="P257" s="1179"/>
      <c r="R257" s="104"/>
      <c r="S257" s="1172"/>
      <c r="T257" s="1172"/>
      <c r="U257" s="1172"/>
      <c r="V257" s="1173"/>
      <c r="W257" s="1174"/>
      <c r="X257" s="1175"/>
      <c r="Y257" s="1176"/>
      <c r="Z257" s="1177"/>
      <c r="AA257" s="1547"/>
      <c r="AB257" s="1177"/>
      <c r="AC257" s="1548"/>
      <c r="AD257" s="1549"/>
      <c r="AE257" s="1178"/>
      <c r="AF257" s="1179"/>
      <c r="AH257" s="104"/>
      <c r="AI257" s="1172"/>
      <c r="AJ257" s="1172"/>
      <c r="AK257" s="1172"/>
      <c r="AL257" s="1173"/>
      <c r="AM257" s="1174"/>
      <c r="AN257" s="1175"/>
      <c r="AO257" s="1176"/>
      <c r="AP257" s="1177"/>
      <c r="AQ257" s="1547"/>
      <c r="AR257" s="1177"/>
      <c r="AS257" s="1548"/>
      <c r="AT257" s="1549"/>
      <c r="AU257" s="1178"/>
      <c r="AV257" s="1179"/>
      <c r="AY257" s="3">
        <v>1</v>
      </c>
    </row>
    <row r="258" spans="2:51" ht="18.75">
      <c r="B258" s="104"/>
      <c r="C258" s="1172"/>
      <c r="D258" s="1172"/>
      <c r="E258" s="1172"/>
      <c r="F258" s="1173"/>
      <c r="G258" s="1174"/>
      <c r="H258" s="1175"/>
      <c r="I258" s="1176"/>
      <c r="J258" s="1177"/>
      <c r="K258" s="1547"/>
      <c r="L258" s="1177"/>
      <c r="M258" s="1548"/>
      <c r="N258" s="1549"/>
      <c r="O258" s="1178"/>
      <c r="P258" s="1179"/>
      <c r="R258" s="104"/>
      <c r="S258" s="1172"/>
      <c r="T258" s="1172"/>
      <c r="U258" s="1172"/>
      <c r="V258" s="1173"/>
      <c r="W258" s="1174"/>
      <c r="X258" s="1175"/>
      <c r="Y258" s="1176"/>
      <c r="Z258" s="1177"/>
      <c r="AA258" s="1547"/>
      <c r="AB258" s="1177"/>
      <c r="AC258" s="1548"/>
      <c r="AD258" s="1549"/>
      <c r="AE258" s="1178"/>
      <c r="AF258" s="1179"/>
      <c r="AH258" s="104"/>
      <c r="AI258" s="1172"/>
      <c r="AJ258" s="1172"/>
      <c r="AK258" s="1172"/>
      <c r="AL258" s="1173"/>
      <c r="AM258" s="1174"/>
      <c r="AN258" s="1175"/>
      <c r="AO258" s="1176"/>
      <c r="AP258" s="1177"/>
      <c r="AQ258" s="1547"/>
      <c r="AR258" s="1177"/>
      <c r="AS258" s="1548"/>
      <c r="AT258" s="1549"/>
      <c r="AU258" s="1178"/>
      <c r="AV258" s="1179"/>
      <c r="AY258" s="3">
        <v>1</v>
      </c>
    </row>
    <row r="259" spans="2:51" ht="18.75">
      <c r="B259" s="104"/>
      <c r="C259" s="1172"/>
      <c r="D259" s="1172"/>
      <c r="E259" s="1172"/>
      <c r="F259" s="1173"/>
      <c r="G259" s="1174"/>
      <c r="H259" s="1175"/>
      <c r="I259" s="1176"/>
      <c r="J259" s="1177"/>
      <c r="K259" s="1547"/>
      <c r="L259" s="1177"/>
      <c r="M259" s="1548"/>
      <c r="N259" s="1549"/>
      <c r="O259" s="1178"/>
      <c r="P259" s="1179"/>
      <c r="R259" s="104"/>
      <c r="S259" s="1172"/>
      <c r="T259" s="1172"/>
      <c r="U259" s="1172"/>
      <c r="V259" s="1173"/>
      <c r="W259" s="1174"/>
      <c r="X259" s="1175"/>
      <c r="Y259" s="1176"/>
      <c r="Z259" s="1177"/>
      <c r="AA259" s="1547"/>
      <c r="AB259" s="1177"/>
      <c r="AC259" s="1548"/>
      <c r="AD259" s="1549"/>
      <c r="AE259" s="1178"/>
      <c r="AF259" s="1179"/>
      <c r="AH259" s="104"/>
      <c r="AI259" s="1172"/>
      <c r="AJ259" s="1172"/>
      <c r="AK259" s="1172"/>
      <c r="AL259" s="1173"/>
      <c r="AM259" s="1174"/>
      <c r="AN259" s="1175"/>
      <c r="AO259" s="1176"/>
      <c r="AP259" s="1177"/>
      <c r="AQ259" s="1547"/>
      <c r="AR259" s="1177"/>
      <c r="AS259" s="1548"/>
      <c r="AT259" s="1549"/>
      <c r="AU259" s="1178"/>
      <c r="AV259" s="1179"/>
      <c r="AY259" s="3">
        <v>1</v>
      </c>
    </row>
    <row r="260" spans="2:51" ht="18.75">
      <c r="B260" s="104"/>
      <c r="C260" s="1172"/>
      <c r="D260" s="1172"/>
      <c r="E260" s="1172"/>
      <c r="F260" s="1173"/>
      <c r="G260" s="1174"/>
      <c r="H260" s="1175"/>
      <c r="I260" s="1176"/>
      <c r="J260" s="1177"/>
      <c r="K260" s="1547"/>
      <c r="L260" s="1177"/>
      <c r="M260" s="1548"/>
      <c r="N260" s="1549"/>
      <c r="O260" s="1178"/>
      <c r="P260" s="1179"/>
      <c r="R260" s="104"/>
      <c r="S260" s="1172"/>
      <c r="T260" s="1172"/>
      <c r="U260" s="1172"/>
      <c r="V260" s="1173"/>
      <c r="W260" s="1174"/>
      <c r="X260" s="1175"/>
      <c r="Y260" s="1176"/>
      <c r="Z260" s="1177"/>
      <c r="AA260" s="1547"/>
      <c r="AB260" s="1177"/>
      <c r="AC260" s="1548"/>
      <c r="AD260" s="1549"/>
      <c r="AE260" s="1178"/>
      <c r="AF260" s="1179"/>
      <c r="AH260" s="104"/>
      <c r="AI260" s="1172"/>
      <c r="AJ260" s="1172"/>
      <c r="AK260" s="1172"/>
      <c r="AL260" s="1173"/>
      <c r="AM260" s="1174"/>
      <c r="AN260" s="1175"/>
      <c r="AO260" s="1176"/>
      <c r="AP260" s="1177"/>
      <c r="AQ260" s="1547"/>
      <c r="AR260" s="1177"/>
      <c r="AS260" s="1548"/>
      <c r="AT260" s="1549"/>
      <c r="AU260" s="1178"/>
      <c r="AV260" s="1179"/>
      <c r="AY260" s="3">
        <v>1</v>
      </c>
    </row>
    <row r="261" spans="2:51" ht="18.75">
      <c r="B261" s="104"/>
      <c r="C261" s="1172"/>
      <c r="D261" s="1172"/>
      <c r="E261" s="1172"/>
      <c r="F261" s="1173"/>
      <c r="G261" s="1174"/>
      <c r="H261" s="1175"/>
      <c r="I261" s="1176"/>
      <c r="J261" s="1177"/>
      <c r="K261" s="1547"/>
      <c r="L261" s="1177"/>
      <c r="M261" s="1548"/>
      <c r="N261" s="1549"/>
      <c r="O261" s="1178"/>
      <c r="P261" s="1179"/>
      <c r="R261" s="104"/>
      <c r="S261" s="1172"/>
      <c r="T261" s="1172"/>
      <c r="U261" s="1172"/>
      <c r="V261" s="1173"/>
      <c r="W261" s="1174"/>
      <c r="X261" s="1175"/>
      <c r="Y261" s="1176"/>
      <c r="Z261" s="1177"/>
      <c r="AA261" s="1547"/>
      <c r="AB261" s="1177"/>
      <c r="AC261" s="1548"/>
      <c r="AD261" s="1549"/>
      <c r="AE261" s="1178"/>
      <c r="AF261" s="1179"/>
      <c r="AH261" s="104"/>
      <c r="AI261" s="1172"/>
      <c r="AJ261" s="1172"/>
      <c r="AK261" s="1172"/>
      <c r="AL261" s="1173"/>
      <c r="AM261" s="1174"/>
      <c r="AN261" s="1175"/>
      <c r="AO261" s="1176"/>
      <c r="AP261" s="1177"/>
      <c r="AQ261" s="1547"/>
      <c r="AR261" s="1177"/>
      <c r="AS261" s="1548"/>
      <c r="AT261" s="1549"/>
      <c r="AU261" s="1178"/>
      <c r="AV261" s="1179"/>
      <c r="AY261" s="3">
        <v>1</v>
      </c>
    </row>
    <row r="262" spans="2:51" ht="18.75">
      <c r="B262" s="104"/>
      <c r="C262" s="1172"/>
      <c r="D262" s="1172"/>
      <c r="E262" s="1172"/>
      <c r="F262" s="1173"/>
      <c r="G262" s="1174"/>
      <c r="H262" s="1175"/>
      <c r="I262" s="1176"/>
      <c r="J262" s="1177"/>
      <c r="K262" s="1547"/>
      <c r="L262" s="1177"/>
      <c r="M262" s="1548"/>
      <c r="N262" s="1549"/>
      <c r="O262" s="1178"/>
      <c r="P262" s="1179"/>
      <c r="R262" s="104"/>
      <c r="S262" s="1172"/>
      <c r="T262" s="1172"/>
      <c r="U262" s="1172"/>
      <c r="V262" s="1173"/>
      <c r="W262" s="1174"/>
      <c r="X262" s="1175"/>
      <c r="Y262" s="1176"/>
      <c r="Z262" s="1177"/>
      <c r="AA262" s="1547"/>
      <c r="AB262" s="1177"/>
      <c r="AC262" s="1548"/>
      <c r="AD262" s="1549"/>
      <c r="AE262" s="1178"/>
      <c r="AF262" s="1179"/>
      <c r="AH262" s="104"/>
      <c r="AI262" s="1172"/>
      <c r="AJ262" s="1172"/>
      <c r="AK262" s="1172"/>
      <c r="AL262" s="1173"/>
      <c r="AM262" s="1174"/>
      <c r="AN262" s="1175"/>
      <c r="AO262" s="1176"/>
      <c r="AP262" s="1177"/>
      <c r="AQ262" s="1547"/>
      <c r="AR262" s="1177"/>
      <c r="AS262" s="1548"/>
      <c r="AT262" s="1549"/>
      <c r="AU262" s="1178"/>
      <c r="AV262" s="1179"/>
      <c r="AY262" s="3">
        <v>1</v>
      </c>
    </row>
    <row r="263" spans="2:51" ht="18.75">
      <c r="B263" s="104"/>
      <c r="C263" s="1172"/>
      <c r="D263" s="1172"/>
      <c r="E263" s="1172"/>
      <c r="F263" s="1173"/>
      <c r="G263" s="1174"/>
      <c r="H263" s="1175"/>
      <c r="I263" s="1176"/>
      <c r="J263" s="1177"/>
      <c r="K263" s="1547"/>
      <c r="L263" s="1177"/>
      <c r="M263" s="1548"/>
      <c r="N263" s="1549"/>
      <c r="O263" s="1178"/>
      <c r="P263" s="1179"/>
      <c r="R263" s="104"/>
      <c r="S263" s="1172"/>
      <c r="T263" s="1172"/>
      <c r="U263" s="1172"/>
      <c r="V263" s="1173"/>
      <c r="W263" s="1174"/>
      <c r="X263" s="1175"/>
      <c r="Y263" s="1176"/>
      <c r="Z263" s="1177"/>
      <c r="AA263" s="1547"/>
      <c r="AB263" s="1177"/>
      <c r="AC263" s="1548"/>
      <c r="AD263" s="1549"/>
      <c r="AE263" s="1178"/>
      <c r="AF263" s="1179"/>
      <c r="AH263" s="104"/>
      <c r="AI263" s="1172"/>
      <c r="AJ263" s="1172"/>
      <c r="AK263" s="1172"/>
      <c r="AL263" s="1173"/>
      <c r="AM263" s="1174"/>
      <c r="AN263" s="1175"/>
      <c r="AO263" s="1176"/>
      <c r="AP263" s="1177"/>
      <c r="AQ263" s="1547"/>
      <c r="AR263" s="1177"/>
      <c r="AS263" s="1548"/>
      <c r="AT263" s="1549"/>
      <c r="AU263" s="1178"/>
      <c r="AV263" s="1179"/>
      <c r="AY263" s="3">
        <v>1</v>
      </c>
    </row>
    <row r="264" spans="2:51" ht="18.75">
      <c r="B264" s="104"/>
      <c r="C264" s="1172"/>
      <c r="D264" s="1172"/>
      <c r="E264" s="1172"/>
      <c r="F264" s="1173"/>
      <c r="G264" s="1174"/>
      <c r="H264" s="1175"/>
      <c r="I264" s="1176"/>
      <c r="J264" s="1177"/>
      <c r="K264" s="1547"/>
      <c r="L264" s="1177"/>
      <c r="M264" s="1548"/>
      <c r="N264" s="1549"/>
      <c r="O264" s="1178"/>
      <c r="P264" s="1179"/>
      <c r="R264" s="104"/>
      <c r="S264" s="1172"/>
      <c r="T264" s="1172"/>
      <c r="U264" s="1172"/>
      <c r="V264" s="1173"/>
      <c r="W264" s="1174"/>
      <c r="X264" s="1175"/>
      <c r="Y264" s="1176"/>
      <c r="Z264" s="1177"/>
      <c r="AA264" s="1547"/>
      <c r="AB264" s="1177"/>
      <c r="AC264" s="1548"/>
      <c r="AD264" s="1549"/>
      <c r="AE264" s="1178"/>
      <c r="AF264" s="1179"/>
      <c r="AH264" s="104"/>
      <c r="AI264" s="1172"/>
      <c r="AJ264" s="1172"/>
      <c r="AK264" s="1172"/>
      <c r="AL264" s="1173"/>
      <c r="AM264" s="1174"/>
      <c r="AN264" s="1175"/>
      <c r="AO264" s="1176"/>
      <c r="AP264" s="1177"/>
      <c r="AQ264" s="1547"/>
      <c r="AR264" s="1177"/>
      <c r="AS264" s="1548"/>
      <c r="AT264" s="1549"/>
      <c r="AU264" s="1178"/>
      <c r="AV264" s="1179"/>
      <c r="AY264" s="3">
        <v>1</v>
      </c>
    </row>
    <row r="265" spans="2:51" ht="18.75">
      <c r="B265" s="104"/>
      <c r="C265" s="1172"/>
      <c r="D265" s="1172"/>
      <c r="E265" s="1172"/>
      <c r="F265" s="1173"/>
      <c r="G265" s="1174"/>
      <c r="H265" s="1175"/>
      <c r="I265" s="1176"/>
      <c r="J265" s="1177"/>
      <c r="K265" s="1547"/>
      <c r="L265" s="1177"/>
      <c r="M265" s="1548"/>
      <c r="N265" s="1549"/>
      <c r="O265" s="1178"/>
      <c r="P265" s="1179"/>
      <c r="R265" s="104"/>
      <c r="S265" s="1172"/>
      <c r="T265" s="1172"/>
      <c r="U265" s="1172"/>
      <c r="V265" s="1173"/>
      <c r="W265" s="1174"/>
      <c r="X265" s="1175"/>
      <c r="Y265" s="1176"/>
      <c r="Z265" s="1177"/>
      <c r="AA265" s="1547"/>
      <c r="AB265" s="1177"/>
      <c r="AC265" s="1548"/>
      <c r="AD265" s="1549"/>
      <c r="AE265" s="1178"/>
      <c r="AF265" s="1179"/>
      <c r="AH265" s="104"/>
      <c r="AI265" s="1172"/>
      <c r="AJ265" s="1172"/>
      <c r="AK265" s="1172"/>
      <c r="AL265" s="1173"/>
      <c r="AM265" s="1174"/>
      <c r="AN265" s="1175"/>
      <c r="AO265" s="1176"/>
      <c r="AP265" s="1177"/>
      <c r="AQ265" s="1547"/>
      <c r="AR265" s="1177"/>
      <c r="AS265" s="1548"/>
      <c r="AT265" s="1549"/>
      <c r="AU265" s="1178"/>
      <c r="AV265" s="1179"/>
      <c r="AY265" s="3">
        <v>1</v>
      </c>
    </row>
    <row r="266" spans="2:51" ht="18.75">
      <c r="B266" s="104"/>
      <c r="C266" s="1172"/>
      <c r="D266" s="1172"/>
      <c r="E266" s="1172"/>
      <c r="F266" s="1173"/>
      <c r="G266" s="1174"/>
      <c r="H266" s="1175"/>
      <c r="I266" s="1176"/>
      <c r="J266" s="1177"/>
      <c r="K266" s="1547"/>
      <c r="L266" s="1177"/>
      <c r="M266" s="1548"/>
      <c r="N266" s="1549"/>
      <c r="O266" s="1178"/>
      <c r="P266" s="1179"/>
      <c r="R266" s="104"/>
      <c r="S266" s="1172"/>
      <c r="T266" s="1172"/>
      <c r="U266" s="1172"/>
      <c r="V266" s="1173"/>
      <c r="W266" s="1174"/>
      <c r="X266" s="1175"/>
      <c r="Y266" s="1176"/>
      <c r="Z266" s="1177"/>
      <c r="AA266" s="1547"/>
      <c r="AB266" s="1177"/>
      <c r="AC266" s="1548"/>
      <c r="AD266" s="1549"/>
      <c r="AE266" s="1178"/>
      <c r="AF266" s="1179"/>
      <c r="AH266" s="104"/>
      <c r="AI266" s="1172"/>
      <c r="AJ266" s="1172"/>
      <c r="AK266" s="1172"/>
      <c r="AL266" s="1173"/>
      <c r="AM266" s="1174"/>
      <c r="AN266" s="1175"/>
      <c r="AO266" s="1176"/>
      <c r="AP266" s="1177"/>
      <c r="AQ266" s="1547"/>
      <c r="AR266" s="1177"/>
      <c r="AS266" s="1548"/>
      <c r="AT266" s="1549"/>
      <c r="AU266" s="1178"/>
      <c r="AV266" s="1179"/>
      <c r="AY266" s="3">
        <v>1</v>
      </c>
    </row>
    <row r="267" spans="2:51" ht="18.75">
      <c r="B267" s="104"/>
      <c r="C267" s="1172"/>
      <c r="D267" s="1172"/>
      <c r="E267" s="1172"/>
      <c r="F267" s="1173"/>
      <c r="G267" s="1174"/>
      <c r="H267" s="1175"/>
      <c r="I267" s="1176"/>
      <c r="J267" s="1177"/>
      <c r="K267" s="1547"/>
      <c r="L267" s="1177"/>
      <c r="M267" s="1548"/>
      <c r="N267" s="1549"/>
      <c r="O267" s="1178"/>
      <c r="P267" s="1179"/>
      <c r="R267" s="104"/>
      <c r="S267" s="1172"/>
      <c r="T267" s="1172"/>
      <c r="U267" s="1172"/>
      <c r="V267" s="1173"/>
      <c r="W267" s="1174"/>
      <c r="X267" s="1175"/>
      <c r="Y267" s="1176"/>
      <c r="Z267" s="1177"/>
      <c r="AA267" s="1547"/>
      <c r="AB267" s="1177"/>
      <c r="AC267" s="1548"/>
      <c r="AD267" s="1549"/>
      <c r="AE267" s="1178"/>
      <c r="AF267" s="1179"/>
      <c r="AH267" s="104"/>
      <c r="AI267" s="1172"/>
      <c r="AJ267" s="1172"/>
      <c r="AK267" s="1172"/>
      <c r="AL267" s="1173"/>
      <c r="AM267" s="1174"/>
      <c r="AN267" s="1175"/>
      <c r="AO267" s="1176"/>
      <c r="AP267" s="1177"/>
      <c r="AQ267" s="1547"/>
      <c r="AR267" s="1177"/>
      <c r="AS267" s="1548"/>
      <c r="AT267" s="1549"/>
      <c r="AU267" s="1178"/>
      <c r="AV267" s="1179"/>
      <c r="AY267" s="3">
        <v>1</v>
      </c>
    </row>
    <row r="268" spans="2:51" ht="18.75">
      <c r="B268" s="104"/>
      <c r="C268" s="1172"/>
      <c r="D268" s="1172"/>
      <c r="E268" s="1172"/>
      <c r="F268" s="1173"/>
      <c r="G268" s="1174"/>
      <c r="H268" s="1175"/>
      <c r="I268" s="1176"/>
      <c r="J268" s="1177"/>
      <c r="K268" s="1547"/>
      <c r="L268" s="1177"/>
      <c r="M268" s="1548"/>
      <c r="N268" s="1549"/>
      <c r="O268" s="1178"/>
      <c r="P268" s="1179"/>
      <c r="R268" s="104"/>
      <c r="S268" s="1172"/>
      <c r="T268" s="1172"/>
      <c r="U268" s="1172"/>
      <c r="V268" s="1173"/>
      <c r="W268" s="1174"/>
      <c r="X268" s="1175"/>
      <c r="Y268" s="1176"/>
      <c r="Z268" s="1177"/>
      <c r="AA268" s="1547"/>
      <c r="AB268" s="1177"/>
      <c r="AC268" s="1548"/>
      <c r="AD268" s="1549"/>
      <c r="AE268" s="1178"/>
      <c r="AF268" s="1179"/>
      <c r="AH268" s="104"/>
      <c r="AI268" s="1172"/>
      <c r="AJ268" s="1172"/>
      <c r="AK268" s="1172"/>
      <c r="AL268" s="1173"/>
      <c r="AM268" s="1174"/>
      <c r="AN268" s="1175"/>
      <c r="AO268" s="1176"/>
      <c r="AP268" s="1177"/>
      <c r="AQ268" s="1547"/>
      <c r="AR268" s="1177"/>
      <c r="AS268" s="1548"/>
      <c r="AT268" s="1549"/>
      <c r="AU268" s="1178"/>
      <c r="AV268" s="1179"/>
      <c r="AY268" s="3">
        <v>1</v>
      </c>
    </row>
    <row r="269" spans="2:51" ht="18.75">
      <c r="B269" s="104"/>
      <c r="C269" s="1172"/>
      <c r="D269" s="1172"/>
      <c r="E269" s="1172"/>
      <c r="F269" s="1173"/>
      <c r="G269" s="1174"/>
      <c r="H269" s="1175"/>
      <c r="I269" s="1176"/>
      <c r="J269" s="1177"/>
      <c r="K269" s="1547"/>
      <c r="L269" s="1177"/>
      <c r="M269" s="1548"/>
      <c r="N269" s="1549"/>
      <c r="O269" s="1178"/>
      <c r="P269" s="1179"/>
      <c r="R269" s="104"/>
      <c r="S269" s="1172"/>
      <c r="T269" s="1172"/>
      <c r="U269" s="1172"/>
      <c r="V269" s="1173"/>
      <c r="W269" s="1174"/>
      <c r="X269" s="1175"/>
      <c r="Y269" s="1176"/>
      <c r="Z269" s="1177"/>
      <c r="AA269" s="1547"/>
      <c r="AB269" s="1177"/>
      <c r="AC269" s="1548"/>
      <c r="AD269" s="1549"/>
      <c r="AE269" s="1178"/>
      <c r="AF269" s="1179"/>
      <c r="AH269" s="104"/>
      <c r="AI269" s="1172"/>
      <c r="AJ269" s="1172"/>
      <c r="AK269" s="1172"/>
      <c r="AL269" s="1173"/>
      <c r="AM269" s="1174"/>
      <c r="AN269" s="1175"/>
      <c r="AO269" s="1176"/>
      <c r="AP269" s="1177"/>
      <c r="AQ269" s="1547"/>
      <c r="AR269" s="1177"/>
      <c r="AS269" s="1548"/>
      <c r="AT269" s="1549"/>
      <c r="AU269" s="1178"/>
      <c r="AV269" s="1179"/>
      <c r="AY269" s="3">
        <v>1</v>
      </c>
    </row>
    <row r="270" spans="2:51" ht="18.75">
      <c r="B270" s="104"/>
      <c r="C270" s="1172"/>
      <c r="D270" s="1172"/>
      <c r="E270" s="1172"/>
      <c r="F270" s="1173"/>
      <c r="G270" s="1174"/>
      <c r="H270" s="1175"/>
      <c r="I270" s="1176"/>
      <c r="J270" s="1177"/>
      <c r="K270" s="1547"/>
      <c r="L270" s="1177"/>
      <c r="M270" s="1548"/>
      <c r="N270" s="1549"/>
      <c r="O270" s="1178"/>
      <c r="P270" s="1179"/>
      <c r="R270" s="104"/>
      <c r="S270" s="1172"/>
      <c r="T270" s="1172"/>
      <c r="U270" s="1172"/>
      <c r="V270" s="1173"/>
      <c r="W270" s="1174"/>
      <c r="X270" s="1175"/>
      <c r="Y270" s="1176"/>
      <c r="Z270" s="1177"/>
      <c r="AA270" s="1547"/>
      <c r="AB270" s="1177"/>
      <c r="AC270" s="1548"/>
      <c r="AD270" s="1549"/>
      <c r="AE270" s="1178"/>
      <c r="AF270" s="1179"/>
      <c r="AH270" s="104"/>
      <c r="AI270" s="1172"/>
      <c r="AJ270" s="1172"/>
      <c r="AK270" s="1172"/>
      <c r="AL270" s="1173"/>
      <c r="AM270" s="1174"/>
      <c r="AN270" s="1175"/>
      <c r="AO270" s="1176"/>
      <c r="AP270" s="1177"/>
      <c r="AQ270" s="1547"/>
      <c r="AR270" s="1177"/>
      <c r="AS270" s="1548"/>
      <c r="AT270" s="1549"/>
      <c r="AU270" s="1178"/>
      <c r="AV270" s="1179"/>
      <c r="AY270" s="3">
        <v>1</v>
      </c>
    </row>
    <row r="271" spans="2:51" ht="18.75">
      <c r="B271" s="104"/>
      <c r="C271" s="1172"/>
      <c r="D271" s="1172"/>
      <c r="E271" s="1172"/>
      <c r="F271" s="1173"/>
      <c r="G271" s="1174"/>
      <c r="H271" s="1175"/>
      <c r="I271" s="1176"/>
      <c r="J271" s="1177"/>
      <c r="K271" s="1547"/>
      <c r="L271" s="1177"/>
      <c r="M271" s="1548"/>
      <c r="N271" s="1549"/>
      <c r="O271" s="1178"/>
      <c r="P271" s="1179"/>
      <c r="R271" s="104"/>
      <c r="S271" s="1172"/>
      <c r="T271" s="1172"/>
      <c r="U271" s="1172"/>
      <c r="V271" s="1173"/>
      <c r="W271" s="1174"/>
      <c r="X271" s="1175"/>
      <c r="Y271" s="1176"/>
      <c r="Z271" s="1177"/>
      <c r="AA271" s="1547"/>
      <c r="AB271" s="1177"/>
      <c r="AC271" s="1548"/>
      <c r="AD271" s="1549"/>
      <c r="AE271" s="1178"/>
      <c r="AF271" s="1179"/>
      <c r="AH271" s="104"/>
      <c r="AI271" s="1172"/>
      <c r="AJ271" s="1172"/>
      <c r="AK271" s="1172"/>
      <c r="AL271" s="1173"/>
      <c r="AM271" s="1174"/>
      <c r="AN271" s="1175"/>
      <c r="AO271" s="1176"/>
      <c r="AP271" s="1177"/>
      <c r="AQ271" s="1547"/>
      <c r="AR271" s="1177"/>
      <c r="AS271" s="1548"/>
      <c r="AT271" s="1549"/>
      <c r="AU271" s="1178"/>
      <c r="AV271" s="1179"/>
      <c r="AY271" s="3">
        <v>1</v>
      </c>
    </row>
    <row r="272" spans="2:51" ht="18.75">
      <c r="B272" s="104"/>
      <c r="C272" s="1172"/>
      <c r="D272" s="1172"/>
      <c r="E272" s="1172"/>
      <c r="F272" s="1173"/>
      <c r="G272" s="1174"/>
      <c r="H272" s="1175"/>
      <c r="I272" s="1176"/>
      <c r="J272" s="1177"/>
      <c r="K272" s="1547"/>
      <c r="L272" s="1177"/>
      <c r="M272" s="1548"/>
      <c r="N272" s="1549"/>
      <c r="O272" s="1178"/>
      <c r="P272" s="1179"/>
      <c r="R272" s="104"/>
      <c r="S272" s="1172"/>
      <c r="T272" s="1172"/>
      <c r="U272" s="1172"/>
      <c r="V272" s="1173"/>
      <c r="W272" s="1174"/>
      <c r="X272" s="1175"/>
      <c r="Y272" s="1176"/>
      <c r="Z272" s="1177"/>
      <c r="AA272" s="1547"/>
      <c r="AB272" s="1177"/>
      <c r="AC272" s="1548"/>
      <c r="AD272" s="1549"/>
      <c r="AE272" s="1178"/>
      <c r="AF272" s="1179"/>
      <c r="AH272" s="104"/>
      <c r="AI272" s="1172"/>
      <c r="AJ272" s="1172"/>
      <c r="AK272" s="1172"/>
      <c r="AL272" s="1173"/>
      <c r="AM272" s="1174"/>
      <c r="AN272" s="1175"/>
      <c r="AO272" s="1176"/>
      <c r="AP272" s="1177"/>
      <c r="AQ272" s="1547"/>
      <c r="AR272" s="1177"/>
      <c r="AS272" s="1548"/>
      <c r="AT272" s="1549"/>
      <c r="AU272" s="1178"/>
      <c r="AV272" s="1179"/>
      <c r="AY272" s="3">
        <v>1</v>
      </c>
    </row>
    <row r="273" spans="2:51" ht="18.75">
      <c r="B273" s="104"/>
      <c r="C273" s="1172"/>
      <c r="D273" s="1172"/>
      <c r="E273" s="1172"/>
      <c r="F273" s="1173"/>
      <c r="G273" s="1174"/>
      <c r="H273" s="1175"/>
      <c r="I273" s="1176"/>
      <c r="J273" s="1177"/>
      <c r="K273" s="1547"/>
      <c r="L273" s="1177"/>
      <c r="M273" s="1548"/>
      <c r="N273" s="1549"/>
      <c r="O273" s="1178"/>
      <c r="P273" s="1179"/>
      <c r="R273" s="104"/>
      <c r="S273" s="1172"/>
      <c r="T273" s="1172"/>
      <c r="U273" s="1172"/>
      <c r="V273" s="1173"/>
      <c r="W273" s="1174"/>
      <c r="X273" s="1175"/>
      <c r="Y273" s="1176"/>
      <c r="Z273" s="1177"/>
      <c r="AA273" s="1547"/>
      <c r="AB273" s="1177"/>
      <c r="AC273" s="1548"/>
      <c r="AD273" s="1549"/>
      <c r="AE273" s="1178"/>
      <c r="AF273" s="1179"/>
      <c r="AH273" s="104"/>
      <c r="AI273" s="1172"/>
      <c r="AJ273" s="1172"/>
      <c r="AK273" s="1172"/>
      <c r="AL273" s="1173"/>
      <c r="AM273" s="1174"/>
      <c r="AN273" s="1175"/>
      <c r="AO273" s="1176"/>
      <c r="AP273" s="1177"/>
      <c r="AQ273" s="1547"/>
      <c r="AR273" s="1177"/>
      <c r="AS273" s="1548"/>
      <c r="AT273" s="1549"/>
      <c r="AU273" s="1178"/>
      <c r="AV273" s="1179"/>
      <c r="AY273" s="3">
        <v>1</v>
      </c>
    </row>
    <row r="274" spans="2:51" ht="18.75">
      <c r="B274" s="104"/>
      <c r="C274" s="1172"/>
      <c r="D274" s="1172"/>
      <c r="E274" s="1172"/>
      <c r="F274" s="1173"/>
      <c r="G274" s="1174"/>
      <c r="H274" s="1175"/>
      <c r="I274" s="1176"/>
      <c r="J274" s="1177"/>
      <c r="K274" s="1547"/>
      <c r="L274" s="1177"/>
      <c r="M274" s="1548"/>
      <c r="N274" s="1549"/>
      <c r="O274" s="1178"/>
      <c r="P274" s="1179"/>
      <c r="R274" s="104"/>
      <c r="S274" s="1172"/>
      <c r="T274" s="1172"/>
      <c r="U274" s="1172"/>
      <c r="V274" s="1173"/>
      <c r="W274" s="1174"/>
      <c r="X274" s="1175"/>
      <c r="Y274" s="1176"/>
      <c r="Z274" s="1177"/>
      <c r="AA274" s="1547"/>
      <c r="AB274" s="1177"/>
      <c r="AC274" s="1548"/>
      <c r="AD274" s="1549"/>
      <c r="AE274" s="1178"/>
      <c r="AF274" s="1179"/>
      <c r="AH274" s="104"/>
      <c r="AI274" s="1172"/>
      <c r="AJ274" s="1172"/>
      <c r="AK274" s="1172"/>
      <c r="AL274" s="1173"/>
      <c r="AM274" s="1174"/>
      <c r="AN274" s="1175"/>
      <c r="AO274" s="1176"/>
      <c r="AP274" s="1177"/>
      <c r="AQ274" s="1547"/>
      <c r="AR274" s="1177"/>
      <c r="AS274" s="1548"/>
      <c r="AT274" s="1549"/>
      <c r="AU274" s="1178"/>
      <c r="AV274" s="1179"/>
      <c r="AY274" s="3">
        <v>1</v>
      </c>
    </row>
    <row r="275" spans="2:51" ht="18.75">
      <c r="B275" s="104"/>
      <c r="C275" s="1172"/>
      <c r="D275" s="1172"/>
      <c r="E275" s="1172"/>
      <c r="F275" s="1173"/>
      <c r="G275" s="1174"/>
      <c r="H275" s="1175"/>
      <c r="I275" s="1176"/>
      <c r="J275" s="1177"/>
      <c r="K275" s="1547"/>
      <c r="L275" s="1177"/>
      <c r="M275" s="1548"/>
      <c r="N275" s="1549"/>
      <c r="O275" s="1178"/>
      <c r="P275" s="1179"/>
      <c r="R275" s="104"/>
      <c r="S275" s="1172"/>
      <c r="T275" s="1172"/>
      <c r="U275" s="1172"/>
      <c r="V275" s="1173"/>
      <c r="W275" s="1174"/>
      <c r="X275" s="1175"/>
      <c r="Y275" s="1176"/>
      <c r="Z275" s="1177"/>
      <c r="AA275" s="1547"/>
      <c r="AB275" s="1177"/>
      <c r="AC275" s="1548"/>
      <c r="AD275" s="1549"/>
      <c r="AE275" s="1178"/>
      <c r="AF275" s="1179"/>
      <c r="AH275" s="104"/>
      <c r="AI275" s="1172"/>
      <c r="AJ275" s="1172"/>
      <c r="AK275" s="1172"/>
      <c r="AL275" s="1173"/>
      <c r="AM275" s="1174"/>
      <c r="AN275" s="1175"/>
      <c r="AO275" s="1176"/>
      <c r="AP275" s="1177"/>
      <c r="AQ275" s="1547"/>
      <c r="AR275" s="1177"/>
      <c r="AS275" s="1548"/>
      <c r="AT275" s="1549"/>
      <c r="AU275" s="1178"/>
      <c r="AV275" s="1179"/>
      <c r="AY275" s="3">
        <v>1</v>
      </c>
    </row>
    <row r="276" spans="2:51" ht="18.75">
      <c r="B276" s="104"/>
      <c r="C276" s="1172"/>
      <c r="D276" s="1172"/>
      <c r="E276" s="1172"/>
      <c r="F276" s="1173"/>
      <c r="G276" s="1174"/>
      <c r="H276" s="1175"/>
      <c r="I276" s="1176"/>
      <c r="J276" s="1177"/>
      <c r="K276" s="1547"/>
      <c r="L276" s="1177"/>
      <c r="M276" s="1548"/>
      <c r="N276" s="1549"/>
      <c r="O276" s="1178"/>
      <c r="P276" s="1179"/>
      <c r="R276" s="104"/>
      <c r="S276" s="1172"/>
      <c r="T276" s="1172"/>
      <c r="U276" s="1172"/>
      <c r="V276" s="1173"/>
      <c r="W276" s="1174"/>
      <c r="X276" s="1175"/>
      <c r="Y276" s="1176"/>
      <c r="Z276" s="1177"/>
      <c r="AA276" s="1547"/>
      <c r="AB276" s="1177"/>
      <c r="AC276" s="1548"/>
      <c r="AD276" s="1549"/>
      <c r="AE276" s="1178"/>
      <c r="AF276" s="1179"/>
      <c r="AH276" s="104"/>
      <c r="AI276" s="1172"/>
      <c r="AJ276" s="1172"/>
      <c r="AK276" s="1172"/>
      <c r="AL276" s="1173"/>
      <c r="AM276" s="1174"/>
      <c r="AN276" s="1175"/>
      <c r="AO276" s="1176"/>
      <c r="AP276" s="1177"/>
      <c r="AQ276" s="1547"/>
      <c r="AR276" s="1177"/>
      <c r="AS276" s="1548"/>
      <c r="AT276" s="1549"/>
      <c r="AU276" s="1178"/>
      <c r="AV276" s="1179"/>
      <c r="AY276" s="3">
        <v>1</v>
      </c>
    </row>
    <row r="277" spans="2:51" ht="18.75">
      <c r="B277" s="104"/>
      <c r="C277" s="1172"/>
      <c r="D277" s="1172"/>
      <c r="E277" s="1172"/>
      <c r="F277" s="1173"/>
      <c r="G277" s="1174"/>
      <c r="H277" s="1175"/>
      <c r="I277" s="1176"/>
      <c r="J277" s="1177"/>
      <c r="K277" s="1547"/>
      <c r="L277" s="1177"/>
      <c r="M277" s="1548"/>
      <c r="N277" s="1549"/>
      <c r="O277" s="1178"/>
      <c r="P277" s="1179"/>
      <c r="R277" s="104"/>
      <c r="S277" s="1172"/>
      <c r="T277" s="1172"/>
      <c r="U277" s="1172"/>
      <c r="V277" s="1173"/>
      <c r="W277" s="1174"/>
      <c r="X277" s="1175"/>
      <c r="Y277" s="1176"/>
      <c r="Z277" s="1177"/>
      <c r="AA277" s="1547"/>
      <c r="AB277" s="1177"/>
      <c r="AC277" s="1548"/>
      <c r="AD277" s="1549"/>
      <c r="AE277" s="1178"/>
      <c r="AF277" s="1179"/>
      <c r="AH277" s="104"/>
      <c r="AI277" s="1172"/>
      <c r="AJ277" s="1172"/>
      <c r="AK277" s="1172"/>
      <c r="AL277" s="1173"/>
      <c r="AM277" s="1174"/>
      <c r="AN277" s="1175"/>
      <c r="AO277" s="1176"/>
      <c r="AP277" s="1177"/>
      <c r="AQ277" s="1547"/>
      <c r="AR277" s="1177"/>
      <c r="AS277" s="1548"/>
      <c r="AT277" s="1549"/>
      <c r="AU277" s="1178"/>
      <c r="AV277" s="1179"/>
      <c r="AY277" s="3">
        <v>1</v>
      </c>
    </row>
    <row r="278" spans="2:51" ht="18.75">
      <c r="B278" s="104"/>
      <c r="C278" s="1172"/>
      <c r="D278" s="1172"/>
      <c r="E278" s="1172"/>
      <c r="F278" s="1173"/>
      <c r="G278" s="1174"/>
      <c r="H278" s="1175"/>
      <c r="I278" s="1176"/>
      <c r="J278" s="1177"/>
      <c r="K278" s="1547"/>
      <c r="L278" s="1177"/>
      <c r="M278" s="1548"/>
      <c r="N278" s="1549"/>
      <c r="O278" s="1178"/>
      <c r="P278" s="1179"/>
      <c r="R278" s="104"/>
      <c r="S278" s="1172"/>
      <c r="T278" s="1172"/>
      <c r="U278" s="1172"/>
      <c r="V278" s="1173"/>
      <c r="W278" s="1174"/>
      <c r="X278" s="1175"/>
      <c r="Y278" s="1176"/>
      <c r="Z278" s="1177"/>
      <c r="AA278" s="1547"/>
      <c r="AB278" s="1177"/>
      <c r="AC278" s="1548"/>
      <c r="AD278" s="1549"/>
      <c r="AE278" s="1178"/>
      <c r="AF278" s="1179"/>
      <c r="AH278" s="104"/>
      <c r="AI278" s="1172"/>
      <c r="AJ278" s="1172"/>
      <c r="AK278" s="1172"/>
      <c r="AL278" s="1173"/>
      <c r="AM278" s="1174"/>
      <c r="AN278" s="1175"/>
      <c r="AO278" s="1176"/>
      <c r="AP278" s="1177"/>
      <c r="AQ278" s="1547"/>
      <c r="AR278" s="1177"/>
      <c r="AS278" s="1548"/>
      <c r="AT278" s="1549"/>
      <c r="AU278" s="1178"/>
      <c r="AV278" s="1179"/>
      <c r="AY278" s="3">
        <v>1</v>
      </c>
    </row>
    <row r="279" spans="2:51" ht="18.75">
      <c r="B279" s="104"/>
      <c r="C279" s="1172"/>
      <c r="D279" s="1172"/>
      <c r="E279" s="1172"/>
      <c r="F279" s="1173"/>
      <c r="G279" s="1174"/>
      <c r="H279" s="1175"/>
      <c r="I279" s="1176"/>
      <c r="J279" s="1177"/>
      <c r="K279" s="1547"/>
      <c r="L279" s="1177"/>
      <c r="M279" s="1548"/>
      <c r="N279" s="1549"/>
      <c r="O279" s="1178"/>
      <c r="P279" s="1179"/>
      <c r="R279" s="104"/>
      <c r="S279" s="1172"/>
      <c r="T279" s="1172"/>
      <c r="U279" s="1172"/>
      <c r="V279" s="1173"/>
      <c r="W279" s="1174"/>
      <c r="X279" s="1175"/>
      <c r="Y279" s="1176"/>
      <c r="Z279" s="1177"/>
      <c r="AA279" s="1547"/>
      <c r="AB279" s="1177"/>
      <c r="AC279" s="1548"/>
      <c r="AD279" s="1549"/>
      <c r="AE279" s="1178"/>
      <c r="AF279" s="1179"/>
      <c r="AH279" s="104"/>
      <c r="AI279" s="1172"/>
      <c r="AJ279" s="1172"/>
      <c r="AK279" s="1172"/>
      <c r="AL279" s="1173"/>
      <c r="AM279" s="1174"/>
      <c r="AN279" s="1175"/>
      <c r="AO279" s="1176"/>
      <c r="AP279" s="1177"/>
      <c r="AQ279" s="1547"/>
      <c r="AR279" s="1177"/>
      <c r="AS279" s="1548"/>
      <c r="AT279" s="1549"/>
      <c r="AU279" s="1178"/>
      <c r="AV279" s="1179"/>
      <c r="AY279" s="3">
        <v>1</v>
      </c>
    </row>
    <row r="280" spans="2:51" ht="18.75">
      <c r="B280" s="104"/>
      <c r="C280" s="1172"/>
      <c r="D280" s="1172"/>
      <c r="E280" s="1172"/>
      <c r="F280" s="1173"/>
      <c r="G280" s="1174"/>
      <c r="H280" s="1175"/>
      <c r="I280" s="1176"/>
      <c r="J280" s="1177"/>
      <c r="K280" s="1547"/>
      <c r="L280" s="1177"/>
      <c r="M280" s="1548"/>
      <c r="N280" s="1549"/>
      <c r="O280" s="1178"/>
      <c r="P280" s="1179"/>
      <c r="R280" s="104"/>
      <c r="S280" s="1172"/>
      <c r="T280" s="1172"/>
      <c r="U280" s="1172"/>
      <c r="V280" s="1173"/>
      <c r="W280" s="1174"/>
      <c r="X280" s="1175"/>
      <c r="Y280" s="1176"/>
      <c r="Z280" s="1177"/>
      <c r="AA280" s="1547"/>
      <c r="AB280" s="1177"/>
      <c r="AC280" s="1548"/>
      <c r="AD280" s="1549"/>
      <c r="AE280" s="1178"/>
      <c r="AF280" s="1179"/>
      <c r="AH280" s="104"/>
      <c r="AI280" s="1172"/>
      <c r="AJ280" s="1172"/>
      <c r="AK280" s="1172"/>
      <c r="AL280" s="1173"/>
      <c r="AM280" s="1174"/>
      <c r="AN280" s="1175"/>
      <c r="AO280" s="1176"/>
      <c r="AP280" s="1177"/>
      <c r="AQ280" s="1547"/>
      <c r="AR280" s="1177"/>
      <c r="AS280" s="1548"/>
      <c r="AT280" s="1549"/>
      <c r="AU280" s="1178"/>
      <c r="AV280" s="1179"/>
      <c r="AY280" s="3">
        <v>1</v>
      </c>
    </row>
    <row r="281" spans="2:51" ht="18.75">
      <c r="B281" s="104"/>
      <c r="C281" s="1172"/>
      <c r="D281" s="1172"/>
      <c r="E281" s="1172"/>
      <c r="F281" s="1173"/>
      <c r="G281" s="1174"/>
      <c r="H281" s="1175"/>
      <c r="I281" s="1176"/>
      <c r="J281" s="1177"/>
      <c r="K281" s="1547"/>
      <c r="L281" s="1177"/>
      <c r="M281" s="1548"/>
      <c r="N281" s="1549"/>
      <c r="O281" s="1178"/>
      <c r="P281" s="1179"/>
      <c r="R281" s="104"/>
      <c r="S281" s="1172"/>
      <c r="T281" s="1172"/>
      <c r="U281" s="1172"/>
      <c r="V281" s="1173"/>
      <c r="W281" s="1174"/>
      <c r="X281" s="1175"/>
      <c r="Y281" s="1176"/>
      <c r="Z281" s="1177"/>
      <c r="AA281" s="1547"/>
      <c r="AB281" s="1177"/>
      <c r="AC281" s="1548"/>
      <c r="AD281" s="1549"/>
      <c r="AE281" s="1178"/>
      <c r="AF281" s="1179"/>
      <c r="AH281" s="104"/>
      <c r="AI281" s="1172"/>
      <c r="AJ281" s="1172"/>
      <c r="AK281" s="1172"/>
      <c r="AL281" s="1173"/>
      <c r="AM281" s="1174"/>
      <c r="AN281" s="1175"/>
      <c r="AO281" s="1176"/>
      <c r="AP281" s="1177"/>
      <c r="AQ281" s="1547"/>
      <c r="AR281" s="1177"/>
      <c r="AS281" s="1548"/>
      <c r="AT281" s="1549"/>
      <c r="AU281" s="1178"/>
      <c r="AV281" s="1179"/>
      <c r="AY281" s="3">
        <v>1</v>
      </c>
    </row>
    <row r="282" spans="2:51" ht="18.75">
      <c r="B282" s="104"/>
      <c r="C282" s="1172"/>
      <c r="D282" s="1172"/>
      <c r="E282" s="1172"/>
      <c r="F282" s="1173"/>
      <c r="G282" s="1174"/>
      <c r="H282" s="1175"/>
      <c r="I282" s="1176"/>
      <c r="J282" s="1177"/>
      <c r="K282" s="1547"/>
      <c r="L282" s="1177"/>
      <c r="M282" s="1548"/>
      <c r="N282" s="1549"/>
      <c r="O282" s="1178"/>
      <c r="P282" s="1179"/>
      <c r="R282" s="104"/>
      <c r="S282" s="1172"/>
      <c r="T282" s="1172"/>
      <c r="U282" s="1172"/>
      <c r="V282" s="1173"/>
      <c r="W282" s="1174"/>
      <c r="X282" s="1175"/>
      <c r="Y282" s="1176"/>
      <c r="Z282" s="1177"/>
      <c r="AA282" s="1547"/>
      <c r="AB282" s="1177"/>
      <c r="AC282" s="1548"/>
      <c r="AD282" s="1549"/>
      <c r="AE282" s="1178"/>
      <c r="AF282" s="1179"/>
      <c r="AH282" s="104"/>
      <c r="AI282" s="1172"/>
      <c r="AJ282" s="1172"/>
      <c r="AK282" s="1172"/>
      <c r="AL282" s="1173"/>
      <c r="AM282" s="1174"/>
      <c r="AN282" s="1175"/>
      <c r="AO282" s="1176"/>
      <c r="AP282" s="1177"/>
      <c r="AQ282" s="1547"/>
      <c r="AR282" s="1177"/>
      <c r="AS282" s="1548"/>
      <c r="AT282" s="1549"/>
      <c r="AU282" s="1178"/>
      <c r="AV282" s="1179"/>
      <c r="AY282" s="3">
        <v>1</v>
      </c>
    </row>
    <row r="283" spans="2:51" ht="18.75">
      <c r="B283" s="104"/>
      <c r="C283" s="1172"/>
      <c r="D283" s="1172"/>
      <c r="E283" s="1172"/>
      <c r="F283" s="1173"/>
      <c r="G283" s="1174"/>
      <c r="H283" s="1175"/>
      <c r="I283" s="1176"/>
      <c r="J283" s="1177"/>
      <c r="K283" s="1547"/>
      <c r="L283" s="1177"/>
      <c r="M283" s="1548"/>
      <c r="N283" s="1549"/>
      <c r="O283" s="1178"/>
      <c r="P283" s="1179"/>
      <c r="R283" s="104"/>
      <c r="S283" s="1172"/>
      <c r="T283" s="1172"/>
      <c r="U283" s="1172"/>
      <c r="V283" s="1173"/>
      <c r="W283" s="1174"/>
      <c r="X283" s="1175"/>
      <c r="Y283" s="1176"/>
      <c r="Z283" s="1177"/>
      <c r="AA283" s="1547"/>
      <c r="AB283" s="1177"/>
      <c r="AC283" s="1548"/>
      <c r="AD283" s="1549"/>
      <c r="AE283" s="1178"/>
      <c r="AF283" s="1179"/>
      <c r="AH283" s="104"/>
      <c r="AI283" s="1172"/>
      <c r="AJ283" s="1172"/>
      <c r="AK283" s="1172"/>
      <c r="AL283" s="1173"/>
      <c r="AM283" s="1174"/>
      <c r="AN283" s="1175"/>
      <c r="AO283" s="1176"/>
      <c r="AP283" s="1177"/>
      <c r="AQ283" s="1547"/>
      <c r="AR283" s="1177"/>
      <c r="AS283" s="1548"/>
      <c r="AT283" s="1549"/>
      <c r="AU283" s="1178"/>
      <c r="AV283" s="1179"/>
      <c r="AY283" s="3">
        <v>1</v>
      </c>
    </row>
    <row r="284" spans="2:51" ht="18.75">
      <c r="B284" s="104"/>
      <c r="C284" s="1172"/>
      <c r="D284" s="1172"/>
      <c r="E284" s="1172"/>
      <c r="F284" s="1173"/>
      <c r="G284" s="1174"/>
      <c r="H284" s="1175"/>
      <c r="I284" s="1176"/>
      <c r="J284" s="1177"/>
      <c r="K284" s="1547"/>
      <c r="L284" s="1177"/>
      <c r="M284" s="1548"/>
      <c r="N284" s="1549"/>
      <c r="O284" s="1178"/>
      <c r="P284" s="1179"/>
      <c r="R284" s="104"/>
      <c r="S284" s="1172"/>
      <c r="T284" s="1172"/>
      <c r="U284" s="1172"/>
      <c r="V284" s="1173"/>
      <c r="W284" s="1174"/>
      <c r="X284" s="1175"/>
      <c r="Y284" s="1176"/>
      <c r="Z284" s="1177"/>
      <c r="AA284" s="1547"/>
      <c r="AB284" s="1177"/>
      <c r="AC284" s="1548"/>
      <c r="AD284" s="1549"/>
      <c r="AE284" s="1178"/>
      <c r="AF284" s="1179"/>
      <c r="AH284" s="104"/>
      <c r="AI284" s="1172"/>
      <c r="AJ284" s="1172"/>
      <c r="AK284" s="1172"/>
      <c r="AL284" s="1173"/>
      <c r="AM284" s="1174"/>
      <c r="AN284" s="1175"/>
      <c r="AO284" s="1176"/>
      <c r="AP284" s="1177"/>
      <c r="AQ284" s="1547"/>
      <c r="AR284" s="1177"/>
      <c r="AS284" s="1548"/>
      <c r="AT284" s="1549"/>
      <c r="AU284" s="1178"/>
      <c r="AV284" s="1179"/>
      <c r="AY284" s="3">
        <v>1</v>
      </c>
    </row>
    <row r="285" spans="2:51" ht="18.75">
      <c r="B285" s="104"/>
      <c r="C285" s="1172"/>
      <c r="D285" s="1172"/>
      <c r="E285" s="1172"/>
      <c r="F285" s="1173"/>
      <c r="G285" s="1174"/>
      <c r="H285" s="1175"/>
      <c r="I285" s="1176"/>
      <c r="J285" s="1177"/>
      <c r="K285" s="1547"/>
      <c r="L285" s="1177"/>
      <c r="M285" s="1548"/>
      <c r="N285" s="1549"/>
      <c r="O285" s="1178"/>
      <c r="P285" s="1179"/>
      <c r="R285" s="104"/>
      <c r="S285" s="1172"/>
      <c r="T285" s="1172"/>
      <c r="U285" s="1172"/>
      <c r="V285" s="1173"/>
      <c r="W285" s="1174"/>
      <c r="X285" s="1175"/>
      <c r="Y285" s="1176"/>
      <c r="Z285" s="1177"/>
      <c r="AA285" s="1547"/>
      <c r="AB285" s="1177"/>
      <c r="AC285" s="1548"/>
      <c r="AD285" s="1549"/>
      <c r="AE285" s="1178"/>
      <c r="AF285" s="1179"/>
      <c r="AH285" s="104"/>
      <c r="AI285" s="1172"/>
      <c r="AJ285" s="1172"/>
      <c r="AK285" s="1172"/>
      <c r="AL285" s="1173"/>
      <c r="AM285" s="1174"/>
      <c r="AN285" s="1175"/>
      <c r="AO285" s="1176"/>
      <c r="AP285" s="1177"/>
      <c r="AQ285" s="1547"/>
      <c r="AR285" s="1177"/>
      <c r="AS285" s="1548"/>
      <c r="AT285" s="1549"/>
      <c r="AU285" s="1178"/>
      <c r="AV285" s="1179"/>
      <c r="AY285" s="3">
        <v>1</v>
      </c>
    </row>
    <row r="286" spans="2:51" ht="18.75">
      <c r="B286" s="104"/>
      <c r="C286" s="1172"/>
      <c r="D286" s="1172"/>
      <c r="E286" s="1172"/>
      <c r="F286" s="1173"/>
      <c r="G286" s="1174"/>
      <c r="H286" s="1175"/>
      <c r="I286" s="1176"/>
      <c r="J286" s="1177"/>
      <c r="K286" s="1547"/>
      <c r="L286" s="1177"/>
      <c r="M286" s="1548"/>
      <c r="N286" s="1549"/>
      <c r="O286" s="1178"/>
      <c r="P286" s="1179"/>
      <c r="R286" s="104"/>
      <c r="S286" s="1172"/>
      <c r="T286" s="1172"/>
      <c r="U286" s="1172"/>
      <c r="V286" s="1173"/>
      <c r="W286" s="1174"/>
      <c r="X286" s="1175"/>
      <c r="Y286" s="1176"/>
      <c r="Z286" s="1177"/>
      <c r="AA286" s="1547"/>
      <c r="AB286" s="1177"/>
      <c r="AC286" s="1548"/>
      <c r="AD286" s="1549"/>
      <c r="AE286" s="1178"/>
      <c r="AF286" s="1179"/>
      <c r="AH286" s="104"/>
      <c r="AI286" s="1172"/>
      <c r="AJ286" s="1172"/>
      <c r="AK286" s="1172"/>
      <c r="AL286" s="1173"/>
      <c r="AM286" s="1174"/>
      <c r="AN286" s="1175"/>
      <c r="AO286" s="1176"/>
      <c r="AP286" s="1177"/>
      <c r="AQ286" s="1547"/>
      <c r="AR286" s="1177"/>
      <c r="AS286" s="1548"/>
      <c r="AT286" s="1549"/>
      <c r="AU286" s="1178"/>
      <c r="AV286" s="1179"/>
      <c r="AY286" s="3">
        <v>1</v>
      </c>
    </row>
    <row r="287" spans="2:51" ht="18.75">
      <c r="B287" s="104"/>
      <c r="C287" s="1172"/>
      <c r="D287" s="1172"/>
      <c r="E287" s="1172"/>
      <c r="F287" s="1173"/>
      <c r="G287" s="1174"/>
      <c r="H287" s="1175"/>
      <c r="I287" s="1176"/>
      <c r="J287" s="1177"/>
      <c r="K287" s="1547"/>
      <c r="L287" s="1177"/>
      <c r="M287" s="1548"/>
      <c r="N287" s="1549"/>
      <c r="O287" s="1178"/>
      <c r="P287" s="1179"/>
      <c r="R287" s="104"/>
      <c r="S287" s="1172"/>
      <c r="T287" s="1172"/>
      <c r="U287" s="1172"/>
      <c r="V287" s="1173"/>
      <c r="W287" s="1174"/>
      <c r="X287" s="1175"/>
      <c r="Y287" s="1176"/>
      <c r="Z287" s="1177"/>
      <c r="AA287" s="1547"/>
      <c r="AB287" s="1177"/>
      <c r="AC287" s="1548"/>
      <c r="AD287" s="1549"/>
      <c r="AE287" s="1178"/>
      <c r="AF287" s="1179"/>
      <c r="AH287" s="104"/>
      <c r="AI287" s="1172"/>
      <c r="AJ287" s="1172"/>
      <c r="AK287" s="1172"/>
      <c r="AL287" s="1173"/>
      <c r="AM287" s="1174"/>
      <c r="AN287" s="1175"/>
      <c r="AO287" s="1176"/>
      <c r="AP287" s="1177"/>
      <c r="AQ287" s="1547"/>
      <c r="AR287" s="1177"/>
      <c r="AS287" s="1548"/>
      <c r="AT287" s="1549"/>
      <c r="AU287" s="1178"/>
      <c r="AV287" s="1179"/>
      <c r="AY287" s="3">
        <v>1</v>
      </c>
    </row>
    <row r="288" spans="2:51" ht="18.75">
      <c r="B288" s="104"/>
      <c r="C288" s="1172"/>
      <c r="D288" s="1172"/>
      <c r="E288" s="1172"/>
      <c r="F288" s="1173"/>
      <c r="G288" s="1174"/>
      <c r="H288" s="1175"/>
      <c r="I288" s="1176"/>
      <c r="J288" s="1177"/>
      <c r="K288" s="1547"/>
      <c r="L288" s="1177"/>
      <c r="M288" s="1548"/>
      <c r="N288" s="1549"/>
      <c r="O288" s="1178"/>
      <c r="P288" s="1179"/>
      <c r="R288" s="104"/>
      <c r="S288" s="1172"/>
      <c r="T288" s="1172"/>
      <c r="U288" s="1172"/>
      <c r="V288" s="1173"/>
      <c r="W288" s="1174"/>
      <c r="X288" s="1175"/>
      <c r="Y288" s="1176"/>
      <c r="Z288" s="1177"/>
      <c r="AA288" s="1547"/>
      <c r="AB288" s="1177"/>
      <c r="AC288" s="1548"/>
      <c r="AD288" s="1549"/>
      <c r="AE288" s="1178"/>
      <c r="AF288" s="1179"/>
      <c r="AH288" s="104"/>
      <c r="AI288" s="1172"/>
      <c r="AJ288" s="1172"/>
      <c r="AK288" s="1172"/>
      <c r="AL288" s="1173"/>
      <c r="AM288" s="1174"/>
      <c r="AN288" s="1175"/>
      <c r="AO288" s="1176"/>
      <c r="AP288" s="1177"/>
      <c r="AQ288" s="1547"/>
      <c r="AR288" s="1177"/>
      <c r="AS288" s="1548"/>
      <c r="AT288" s="1549"/>
      <c r="AU288" s="1178"/>
      <c r="AV288" s="1179"/>
      <c r="AY288" s="3">
        <v>1</v>
      </c>
    </row>
    <row r="289" spans="2:51" ht="18.75">
      <c r="B289" s="104"/>
      <c r="C289" s="1172"/>
      <c r="D289" s="1172"/>
      <c r="E289" s="1172"/>
      <c r="F289" s="1173"/>
      <c r="G289" s="1174"/>
      <c r="H289" s="1175"/>
      <c r="I289" s="1176"/>
      <c r="J289" s="1177"/>
      <c r="K289" s="1547"/>
      <c r="L289" s="1177"/>
      <c r="M289" s="1548"/>
      <c r="N289" s="1549"/>
      <c r="O289" s="1178"/>
      <c r="P289" s="1179"/>
      <c r="R289" s="104"/>
      <c r="S289" s="1172"/>
      <c r="T289" s="1172"/>
      <c r="U289" s="1172"/>
      <c r="V289" s="1173"/>
      <c r="W289" s="1174"/>
      <c r="X289" s="1175"/>
      <c r="Y289" s="1176"/>
      <c r="Z289" s="1177"/>
      <c r="AA289" s="1547"/>
      <c r="AB289" s="1177"/>
      <c r="AC289" s="1548"/>
      <c r="AD289" s="1549"/>
      <c r="AE289" s="1178"/>
      <c r="AF289" s="1179"/>
      <c r="AH289" s="104"/>
      <c r="AI289" s="1172"/>
      <c r="AJ289" s="1172"/>
      <c r="AK289" s="1172"/>
      <c r="AL289" s="1173"/>
      <c r="AM289" s="1174"/>
      <c r="AN289" s="1175"/>
      <c r="AO289" s="1176"/>
      <c r="AP289" s="1177"/>
      <c r="AQ289" s="1547"/>
      <c r="AR289" s="1177"/>
      <c r="AS289" s="1548"/>
      <c r="AT289" s="1549"/>
      <c r="AU289" s="1178"/>
      <c r="AV289" s="1179"/>
      <c r="AY289" s="3">
        <v>1</v>
      </c>
    </row>
    <row r="290" spans="2:51" ht="18.75">
      <c r="B290" s="104"/>
      <c r="C290" s="1172"/>
      <c r="D290" s="1172"/>
      <c r="E290" s="1172"/>
      <c r="F290" s="1173"/>
      <c r="G290" s="1174"/>
      <c r="H290" s="1175"/>
      <c r="I290" s="1176"/>
      <c r="J290" s="1177"/>
      <c r="K290" s="1547"/>
      <c r="L290" s="1177"/>
      <c r="M290" s="1548"/>
      <c r="N290" s="1549"/>
      <c r="O290" s="1178"/>
      <c r="P290" s="1179"/>
      <c r="R290" s="104"/>
      <c r="S290" s="1172"/>
      <c r="T290" s="1172"/>
      <c r="U290" s="1172"/>
      <c r="V290" s="1173"/>
      <c r="W290" s="1174"/>
      <c r="X290" s="1175"/>
      <c r="Y290" s="1176"/>
      <c r="Z290" s="1177"/>
      <c r="AA290" s="1547"/>
      <c r="AB290" s="1177"/>
      <c r="AC290" s="1548"/>
      <c r="AD290" s="1549"/>
      <c r="AE290" s="1178"/>
      <c r="AF290" s="1179"/>
      <c r="AH290" s="104"/>
      <c r="AI290" s="1172"/>
      <c r="AJ290" s="1172"/>
      <c r="AK290" s="1172"/>
      <c r="AL290" s="1173"/>
      <c r="AM290" s="1174"/>
      <c r="AN290" s="1175"/>
      <c r="AO290" s="1176"/>
      <c r="AP290" s="1177"/>
      <c r="AQ290" s="1547"/>
      <c r="AR290" s="1177"/>
      <c r="AS290" s="1548"/>
      <c r="AT290" s="1549"/>
      <c r="AU290" s="1178"/>
      <c r="AV290" s="1179"/>
      <c r="AY290" s="3">
        <v>1</v>
      </c>
    </row>
    <row r="291" spans="2:51" ht="18.75">
      <c r="B291" s="104"/>
      <c r="C291" s="1172"/>
      <c r="D291" s="1172"/>
      <c r="E291" s="1172"/>
      <c r="F291" s="1173"/>
      <c r="G291" s="1174"/>
      <c r="H291" s="1175"/>
      <c r="I291" s="1176"/>
      <c r="J291" s="1177"/>
      <c r="K291" s="1547"/>
      <c r="L291" s="1177"/>
      <c r="M291" s="1548"/>
      <c r="N291" s="1549"/>
      <c r="O291" s="1178"/>
      <c r="P291" s="1179"/>
      <c r="R291" s="104"/>
      <c r="S291" s="1172"/>
      <c r="T291" s="1172"/>
      <c r="U291" s="1172"/>
      <c r="V291" s="1173"/>
      <c r="W291" s="1174"/>
      <c r="X291" s="1175"/>
      <c r="Y291" s="1176"/>
      <c r="Z291" s="1177"/>
      <c r="AA291" s="1547"/>
      <c r="AB291" s="1177"/>
      <c r="AC291" s="1548"/>
      <c r="AD291" s="1549"/>
      <c r="AE291" s="1178"/>
      <c r="AF291" s="1179"/>
      <c r="AH291" s="104"/>
      <c r="AI291" s="1172"/>
      <c r="AJ291" s="1172"/>
      <c r="AK291" s="1172"/>
      <c r="AL291" s="1173"/>
      <c r="AM291" s="1174"/>
      <c r="AN291" s="1175"/>
      <c r="AO291" s="1176"/>
      <c r="AP291" s="1177"/>
      <c r="AQ291" s="1547"/>
      <c r="AR291" s="1177"/>
      <c r="AS291" s="1548"/>
      <c r="AT291" s="1549"/>
      <c r="AU291" s="1178"/>
      <c r="AV291" s="1179"/>
      <c r="AY291" s="3">
        <v>1</v>
      </c>
    </row>
    <row r="292" spans="2:51" ht="18.75">
      <c r="B292" s="104"/>
      <c r="C292" s="1172"/>
      <c r="D292" s="1172"/>
      <c r="E292" s="1172"/>
      <c r="F292" s="1173"/>
      <c r="G292" s="1174"/>
      <c r="H292" s="1175"/>
      <c r="I292" s="1176"/>
      <c r="J292" s="1177"/>
      <c r="K292" s="1547"/>
      <c r="L292" s="1177"/>
      <c r="M292" s="1548"/>
      <c r="N292" s="1549"/>
      <c r="O292" s="1178"/>
      <c r="P292" s="1179"/>
      <c r="R292" s="104"/>
      <c r="S292" s="1172"/>
      <c r="T292" s="1172"/>
      <c r="U292" s="1172"/>
      <c r="V292" s="1173"/>
      <c r="W292" s="1174"/>
      <c r="X292" s="1175"/>
      <c r="Y292" s="1176"/>
      <c r="Z292" s="1177"/>
      <c r="AA292" s="1547"/>
      <c r="AB292" s="1177"/>
      <c r="AC292" s="1548"/>
      <c r="AD292" s="1549"/>
      <c r="AE292" s="1178"/>
      <c r="AF292" s="1179"/>
      <c r="AH292" s="104"/>
      <c r="AI292" s="1172"/>
      <c r="AJ292" s="1172"/>
      <c r="AK292" s="1172"/>
      <c r="AL292" s="1173"/>
      <c r="AM292" s="1174"/>
      <c r="AN292" s="1175"/>
      <c r="AO292" s="1176"/>
      <c r="AP292" s="1177"/>
      <c r="AQ292" s="1547"/>
      <c r="AR292" s="1177"/>
      <c r="AS292" s="1548"/>
      <c r="AT292" s="1549"/>
      <c r="AU292" s="1178"/>
      <c r="AV292" s="1179"/>
      <c r="AY292" s="3">
        <v>1</v>
      </c>
    </row>
    <row r="293" spans="2:51" ht="18.75">
      <c r="B293" s="104"/>
      <c r="C293" s="1172"/>
      <c r="D293" s="1172"/>
      <c r="E293" s="1172"/>
      <c r="F293" s="1173"/>
      <c r="G293" s="1174"/>
      <c r="H293" s="1175"/>
      <c r="I293" s="1176"/>
      <c r="J293" s="1177"/>
      <c r="K293" s="1547"/>
      <c r="L293" s="1177"/>
      <c r="M293" s="1548"/>
      <c r="N293" s="1549"/>
      <c r="O293" s="1178"/>
      <c r="P293" s="1179"/>
      <c r="R293" s="104"/>
      <c r="S293" s="1172"/>
      <c r="T293" s="1172"/>
      <c r="U293" s="1172"/>
      <c r="V293" s="1173"/>
      <c r="W293" s="1174"/>
      <c r="X293" s="1175"/>
      <c r="Y293" s="1176"/>
      <c r="Z293" s="1177"/>
      <c r="AA293" s="1547"/>
      <c r="AB293" s="1177"/>
      <c r="AC293" s="1548"/>
      <c r="AD293" s="1549"/>
      <c r="AE293" s="1178"/>
      <c r="AF293" s="1179"/>
      <c r="AH293" s="104"/>
      <c r="AI293" s="1172"/>
      <c r="AJ293" s="1172"/>
      <c r="AK293" s="1172"/>
      <c r="AL293" s="1173"/>
      <c r="AM293" s="1174"/>
      <c r="AN293" s="1175"/>
      <c r="AO293" s="1176"/>
      <c r="AP293" s="1177"/>
      <c r="AQ293" s="1547"/>
      <c r="AR293" s="1177"/>
      <c r="AS293" s="1548"/>
      <c r="AT293" s="1549"/>
      <c r="AU293" s="1178"/>
      <c r="AV293" s="1179"/>
      <c r="AY293" s="3">
        <v>1</v>
      </c>
    </row>
    <row r="294" spans="2:51" ht="18.75">
      <c r="B294" s="104"/>
      <c r="C294" s="1172"/>
      <c r="D294" s="1172"/>
      <c r="E294" s="1172"/>
      <c r="F294" s="1173"/>
      <c r="G294" s="1174"/>
      <c r="H294" s="1175"/>
      <c r="I294" s="1176"/>
      <c r="J294" s="1177"/>
      <c r="K294" s="1547"/>
      <c r="L294" s="1177"/>
      <c r="M294" s="1548"/>
      <c r="N294" s="1549"/>
      <c r="O294" s="1178"/>
      <c r="P294" s="1179"/>
      <c r="R294" s="104"/>
      <c r="S294" s="1172"/>
      <c r="T294" s="1172"/>
      <c r="U294" s="1172"/>
      <c r="V294" s="1173"/>
      <c r="W294" s="1174"/>
      <c r="X294" s="1175"/>
      <c r="Y294" s="1176"/>
      <c r="Z294" s="1177"/>
      <c r="AA294" s="1547"/>
      <c r="AB294" s="1177"/>
      <c r="AC294" s="1548"/>
      <c r="AD294" s="1549"/>
      <c r="AE294" s="1178"/>
      <c r="AF294" s="1179"/>
      <c r="AH294" s="104"/>
      <c r="AI294" s="1172"/>
      <c r="AJ294" s="1172"/>
      <c r="AK294" s="1172"/>
      <c r="AL294" s="1173"/>
      <c r="AM294" s="1174"/>
      <c r="AN294" s="1175"/>
      <c r="AO294" s="1176"/>
      <c r="AP294" s="1177"/>
      <c r="AQ294" s="1547"/>
      <c r="AR294" s="1177"/>
      <c r="AS294" s="1548"/>
      <c r="AT294" s="1549"/>
      <c r="AU294" s="1178"/>
      <c r="AV294" s="1179"/>
      <c r="AY294" s="3">
        <v>1</v>
      </c>
    </row>
    <row r="295" spans="2:51" ht="18.75">
      <c r="B295" s="104"/>
      <c r="C295" s="1172"/>
      <c r="D295" s="1172"/>
      <c r="E295" s="1172"/>
      <c r="F295" s="1173"/>
      <c r="G295" s="1174"/>
      <c r="H295" s="1175"/>
      <c r="I295" s="1176"/>
      <c r="J295" s="1177"/>
      <c r="K295" s="1547"/>
      <c r="L295" s="1177"/>
      <c r="M295" s="1548"/>
      <c r="N295" s="1549"/>
      <c r="O295" s="1178"/>
      <c r="P295" s="1179"/>
      <c r="R295" s="104"/>
      <c r="S295" s="1172"/>
      <c r="T295" s="1172"/>
      <c r="U295" s="1172"/>
      <c r="V295" s="1173"/>
      <c r="W295" s="1174"/>
      <c r="X295" s="1175"/>
      <c r="Y295" s="1176"/>
      <c r="Z295" s="1177"/>
      <c r="AA295" s="1547"/>
      <c r="AB295" s="1177"/>
      <c r="AC295" s="1548"/>
      <c r="AD295" s="1549"/>
      <c r="AE295" s="1178"/>
      <c r="AF295" s="1179"/>
      <c r="AH295" s="104"/>
      <c r="AI295" s="1172"/>
      <c r="AJ295" s="1172"/>
      <c r="AK295" s="1172"/>
      <c r="AL295" s="1173"/>
      <c r="AM295" s="1174"/>
      <c r="AN295" s="1175"/>
      <c r="AO295" s="1176"/>
      <c r="AP295" s="1177"/>
      <c r="AQ295" s="1547"/>
      <c r="AR295" s="1177"/>
      <c r="AS295" s="1548"/>
      <c r="AT295" s="1549"/>
      <c r="AU295" s="1178"/>
      <c r="AV295" s="1179"/>
      <c r="AY295" s="3">
        <v>1</v>
      </c>
    </row>
    <row r="296" spans="2:51" ht="18.75">
      <c r="B296" s="104"/>
      <c r="C296" s="1172"/>
      <c r="D296" s="1172"/>
      <c r="E296" s="1172"/>
      <c r="F296" s="1173"/>
      <c r="G296" s="1174"/>
      <c r="H296" s="1175"/>
      <c r="I296" s="1176"/>
      <c r="J296" s="1177"/>
      <c r="K296" s="1547"/>
      <c r="L296" s="1177"/>
      <c r="M296" s="1548"/>
      <c r="N296" s="1549"/>
      <c r="O296" s="1178"/>
      <c r="P296" s="1179"/>
      <c r="R296" s="104"/>
      <c r="S296" s="1172"/>
      <c r="T296" s="1172"/>
      <c r="U296" s="1172"/>
      <c r="V296" s="1173"/>
      <c r="W296" s="1174"/>
      <c r="X296" s="1175"/>
      <c r="Y296" s="1176"/>
      <c r="Z296" s="1177"/>
      <c r="AA296" s="1547"/>
      <c r="AB296" s="1177"/>
      <c r="AC296" s="1548"/>
      <c r="AD296" s="1549"/>
      <c r="AE296" s="1178"/>
      <c r="AF296" s="1179"/>
      <c r="AH296" s="104"/>
      <c r="AI296" s="1172"/>
      <c r="AJ296" s="1172"/>
      <c r="AK296" s="1172"/>
      <c r="AL296" s="1173"/>
      <c r="AM296" s="1174"/>
      <c r="AN296" s="1175"/>
      <c r="AO296" s="1176"/>
      <c r="AP296" s="1177"/>
      <c r="AQ296" s="1547"/>
      <c r="AR296" s="1177"/>
      <c r="AS296" s="1548"/>
      <c r="AT296" s="1549"/>
      <c r="AU296" s="1178"/>
      <c r="AV296" s="1179"/>
      <c r="AY296" s="3">
        <v>1</v>
      </c>
    </row>
    <row r="297" spans="2:51" ht="18.75">
      <c r="B297" s="104"/>
      <c r="C297" s="1172"/>
      <c r="D297" s="1172"/>
      <c r="E297" s="1172"/>
      <c r="F297" s="1173"/>
      <c r="G297" s="1174"/>
      <c r="H297" s="1175"/>
      <c r="I297" s="1176"/>
      <c r="J297" s="1177"/>
      <c r="K297" s="1547"/>
      <c r="L297" s="1177"/>
      <c r="M297" s="1548"/>
      <c r="N297" s="1549"/>
      <c r="O297" s="1178"/>
      <c r="P297" s="1179"/>
      <c r="R297" s="104"/>
      <c r="S297" s="1172"/>
      <c r="T297" s="1172"/>
      <c r="U297" s="1172"/>
      <c r="V297" s="1173"/>
      <c r="W297" s="1174"/>
      <c r="X297" s="1175"/>
      <c r="Y297" s="1176"/>
      <c r="Z297" s="1177"/>
      <c r="AA297" s="1547"/>
      <c r="AB297" s="1177"/>
      <c r="AC297" s="1548"/>
      <c r="AD297" s="1549"/>
      <c r="AE297" s="1178"/>
      <c r="AF297" s="1179"/>
      <c r="AH297" s="104"/>
      <c r="AI297" s="1172"/>
      <c r="AJ297" s="1172"/>
      <c r="AK297" s="1172"/>
      <c r="AL297" s="1173"/>
      <c r="AM297" s="1174"/>
      <c r="AN297" s="1175"/>
      <c r="AO297" s="1176"/>
      <c r="AP297" s="1177"/>
      <c r="AQ297" s="1547"/>
      <c r="AR297" s="1177"/>
      <c r="AS297" s="1548"/>
      <c r="AT297" s="1549"/>
      <c r="AU297" s="1178"/>
      <c r="AV297" s="1179"/>
      <c r="AY297" s="3">
        <v>1</v>
      </c>
    </row>
    <row r="298" spans="2:51" ht="18.75">
      <c r="B298" s="104"/>
      <c r="C298" s="1172"/>
      <c r="D298" s="1172"/>
      <c r="E298" s="1172"/>
      <c r="F298" s="1173"/>
      <c r="G298" s="1174"/>
      <c r="H298" s="1175"/>
      <c r="I298" s="1176"/>
      <c r="J298" s="1177"/>
      <c r="K298" s="1547"/>
      <c r="L298" s="1177"/>
      <c r="M298" s="1548"/>
      <c r="N298" s="1549"/>
      <c r="O298" s="1178"/>
      <c r="P298" s="1179"/>
      <c r="R298" s="104"/>
      <c r="S298" s="1172"/>
      <c r="T298" s="1172"/>
      <c r="U298" s="1172"/>
      <c r="V298" s="1173"/>
      <c r="W298" s="1174"/>
      <c r="X298" s="1175"/>
      <c r="Y298" s="1176"/>
      <c r="Z298" s="1177"/>
      <c r="AA298" s="1547"/>
      <c r="AB298" s="1177"/>
      <c r="AC298" s="1548"/>
      <c r="AD298" s="1549"/>
      <c r="AE298" s="1178"/>
      <c r="AF298" s="1179"/>
      <c r="AH298" s="104"/>
      <c r="AI298" s="1172"/>
      <c r="AJ298" s="1172"/>
      <c r="AK298" s="1172"/>
      <c r="AL298" s="1173"/>
      <c r="AM298" s="1174"/>
      <c r="AN298" s="1175"/>
      <c r="AO298" s="1176"/>
      <c r="AP298" s="1177"/>
      <c r="AQ298" s="1547"/>
      <c r="AR298" s="1177"/>
      <c r="AS298" s="1548"/>
      <c r="AT298" s="1549"/>
      <c r="AU298" s="1178"/>
      <c r="AV298" s="1179"/>
      <c r="AY298" s="3">
        <v>1</v>
      </c>
    </row>
    <row r="299" spans="2:51" ht="18.75">
      <c r="B299" s="104"/>
      <c r="C299" s="1172"/>
      <c r="D299" s="1172"/>
      <c r="E299" s="1172"/>
      <c r="F299" s="1173"/>
      <c r="G299" s="1174"/>
      <c r="H299" s="1175"/>
      <c r="I299" s="1176"/>
      <c r="J299" s="1177"/>
      <c r="K299" s="1547"/>
      <c r="L299" s="1177"/>
      <c r="M299" s="1548"/>
      <c r="N299" s="1549"/>
      <c r="O299" s="1178"/>
      <c r="P299" s="1179"/>
      <c r="R299" s="104"/>
      <c r="S299" s="1172"/>
      <c r="T299" s="1172"/>
      <c r="U299" s="1172"/>
      <c r="V299" s="1173"/>
      <c r="W299" s="1174"/>
      <c r="X299" s="1175"/>
      <c r="Y299" s="1176"/>
      <c r="Z299" s="1177"/>
      <c r="AA299" s="1547"/>
      <c r="AB299" s="1177"/>
      <c r="AC299" s="1548"/>
      <c r="AD299" s="1549"/>
      <c r="AE299" s="1178"/>
      <c r="AF299" s="1179"/>
      <c r="AH299" s="104"/>
      <c r="AI299" s="1172"/>
      <c r="AJ299" s="1172"/>
      <c r="AK299" s="1172"/>
      <c r="AL299" s="1173"/>
      <c r="AM299" s="1174"/>
      <c r="AN299" s="1175"/>
      <c r="AO299" s="1176"/>
      <c r="AP299" s="1177"/>
      <c r="AQ299" s="1547"/>
      <c r="AR299" s="1177"/>
      <c r="AS299" s="1548"/>
      <c r="AT299" s="1549"/>
      <c r="AU299" s="1178"/>
      <c r="AV299" s="1179"/>
      <c r="AY299" s="3">
        <v>1</v>
      </c>
    </row>
    <row r="300" spans="2:51" ht="18.75">
      <c r="B300" s="104"/>
      <c r="C300" s="1172"/>
      <c r="D300" s="1172"/>
      <c r="E300" s="1172"/>
      <c r="F300" s="1173"/>
      <c r="G300" s="1174"/>
      <c r="H300" s="1175"/>
      <c r="I300" s="1176"/>
      <c r="J300" s="1177"/>
      <c r="K300" s="1547"/>
      <c r="L300" s="1177"/>
      <c r="M300" s="1548"/>
      <c r="N300" s="1549"/>
      <c r="O300" s="1178"/>
      <c r="P300" s="1179"/>
      <c r="R300" s="104"/>
      <c r="S300" s="1172"/>
      <c r="T300" s="1172"/>
      <c r="U300" s="1172"/>
      <c r="V300" s="1173"/>
      <c r="W300" s="1174"/>
      <c r="X300" s="1175"/>
      <c r="Y300" s="1176"/>
      <c r="Z300" s="1177"/>
      <c r="AA300" s="1547"/>
      <c r="AB300" s="1177"/>
      <c r="AC300" s="1548"/>
      <c r="AD300" s="1549"/>
      <c r="AE300" s="1178"/>
      <c r="AF300" s="1179"/>
      <c r="AH300" s="104"/>
      <c r="AI300" s="1172"/>
      <c r="AJ300" s="1172"/>
      <c r="AK300" s="1172"/>
      <c r="AL300" s="1173"/>
      <c r="AM300" s="1174"/>
      <c r="AN300" s="1175"/>
      <c r="AO300" s="1176"/>
      <c r="AP300" s="1177"/>
      <c r="AQ300" s="1547"/>
      <c r="AR300" s="1177"/>
      <c r="AS300" s="1548"/>
      <c r="AT300" s="1549"/>
      <c r="AU300" s="1178"/>
      <c r="AV300" s="1179"/>
      <c r="AY300" s="3">
        <v>1</v>
      </c>
    </row>
    <row r="301" spans="2:51" ht="18.75">
      <c r="B301" s="104"/>
      <c r="C301" s="1172"/>
      <c r="D301" s="1172"/>
      <c r="E301" s="1172"/>
      <c r="F301" s="1173"/>
      <c r="G301" s="1174"/>
      <c r="H301" s="1175"/>
      <c r="I301" s="1176"/>
      <c r="J301" s="1177"/>
      <c r="K301" s="1547"/>
      <c r="L301" s="1177"/>
      <c r="M301" s="1548"/>
      <c r="N301" s="1549"/>
      <c r="O301" s="1178"/>
      <c r="P301" s="1179"/>
      <c r="R301" s="104"/>
      <c r="S301" s="1172"/>
      <c r="T301" s="1172"/>
      <c r="U301" s="1172"/>
      <c r="V301" s="1173"/>
      <c r="W301" s="1174"/>
      <c r="X301" s="1175"/>
      <c r="Y301" s="1176"/>
      <c r="Z301" s="1177"/>
      <c r="AA301" s="1547"/>
      <c r="AB301" s="1177"/>
      <c r="AC301" s="1548"/>
      <c r="AD301" s="1549"/>
      <c r="AE301" s="1178"/>
      <c r="AF301" s="1179"/>
      <c r="AH301" s="104"/>
      <c r="AI301" s="1172"/>
      <c r="AJ301" s="1172"/>
      <c r="AK301" s="1172"/>
      <c r="AL301" s="1173"/>
      <c r="AM301" s="1174"/>
      <c r="AN301" s="1175"/>
      <c r="AO301" s="1176"/>
      <c r="AP301" s="1177"/>
      <c r="AQ301" s="1547"/>
      <c r="AR301" s="1177"/>
      <c r="AS301" s="1548"/>
      <c r="AT301" s="1549"/>
      <c r="AU301" s="1178"/>
      <c r="AV301" s="1179"/>
      <c r="AY301" s="3">
        <v>1</v>
      </c>
    </row>
    <row r="302" spans="2:51" ht="18.75">
      <c r="B302" s="104"/>
      <c r="C302" s="1172"/>
      <c r="D302" s="1172"/>
      <c r="E302" s="1172"/>
      <c r="F302" s="1173"/>
      <c r="G302" s="1174"/>
      <c r="H302" s="1175"/>
      <c r="I302" s="1176"/>
      <c r="J302" s="1177"/>
      <c r="K302" s="1547"/>
      <c r="L302" s="1177"/>
      <c r="M302" s="1548"/>
      <c r="N302" s="1549"/>
      <c r="O302" s="1178"/>
      <c r="P302" s="1179"/>
      <c r="R302" s="104"/>
      <c r="S302" s="1172"/>
      <c r="T302" s="1172"/>
      <c r="U302" s="1172"/>
      <c r="V302" s="1173"/>
      <c r="W302" s="1174"/>
      <c r="X302" s="1175"/>
      <c r="Y302" s="1176"/>
      <c r="Z302" s="1177"/>
      <c r="AA302" s="1547"/>
      <c r="AB302" s="1177"/>
      <c r="AC302" s="1548"/>
      <c r="AD302" s="1549"/>
      <c r="AE302" s="1178"/>
      <c r="AF302" s="1179"/>
      <c r="AH302" s="104"/>
      <c r="AI302" s="1172"/>
      <c r="AJ302" s="1172"/>
      <c r="AK302" s="1172"/>
      <c r="AL302" s="1173"/>
      <c r="AM302" s="1174"/>
      <c r="AN302" s="1175"/>
      <c r="AO302" s="1176"/>
      <c r="AP302" s="1177"/>
      <c r="AQ302" s="1547"/>
      <c r="AR302" s="1177"/>
      <c r="AS302" s="1548"/>
      <c r="AT302" s="1549"/>
      <c r="AU302" s="1178"/>
      <c r="AV302" s="1179"/>
      <c r="AY302" s="3">
        <v>1</v>
      </c>
    </row>
    <row r="303" spans="2:51" ht="18.75">
      <c r="B303" s="104"/>
      <c r="C303" s="1172"/>
      <c r="D303" s="1172"/>
      <c r="E303" s="1172"/>
      <c r="F303" s="1173"/>
      <c r="G303" s="1174"/>
      <c r="H303" s="1175"/>
      <c r="I303" s="1176"/>
      <c r="J303" s="1177"/>
      <c r="K303" s="1547"/>
      <c r="L303" s="1177"/>
      <c r="M303" s="1548"/>
      <c r="N303" s="1549"/>
      <c r="O303" s="1178"/>
      <c r="P303" s="1179"/>
      <c r="R303" s="104"/>
      <c r="S303" s="1172"/>
      <c r="T303" s="1172"/>
      <c r="U303" s="1172"/>
      <c r="V303" s="1173"/>
      <c r="W303" s="1174"/>
      <c r="X303" s="1175"/>
      <c r="Y303" s="1176"/>
      <c r="Z303" s="1177"/>
      <c r="AA303" s="1547"/>
      <c r="AB303" s="1177"/>
      <c r="AC303" s="1548"/>
      <c r="AD303" s="1549"/>
      <c r="AE303" s="1178"/>
      <c r="AF303" s="1179"/>
      <c r="AH303" s="104"/>
      <c r="AI303" s="1172"/>
      <c r="AJ303" s="1172"/>
      <c r="AK303" s="1172"/>
      <c r="AL303" s="1173"/>
      <c r="AM303" s="1174"/>
      <c r="AN303" s="1175"/>
      <c r="AO303" s="1176"/>
      <c r="AP303" s="1177"/>
      <c r="AQ303" s="1547"/>
      <c r="AR303" s="1177"/>
      <c r="AS303" s="1548"/>
      <c r="AT303" s="1549"/>
      <c r="AU303" s="1178"/>
      <c r="AV303" s="1179"/>
      <c r="AY303" s="3">
        <v>1</v>
      </c>
    </row>
    <row r="304" spans="2:51" ht="18.75">
      <c r="B304" s="104"/>
      <c r="C304" s="1172"/>
      <c r="D304" s="1172"/>
      <c r="E304" s="1172"/>
      <c r="F304" s="1173"/>
      <c r="G304" s="1174"/>
      <c r="H304" s="1175"/>
      <c r="I304" s="1176"/>
      <c r="J304" s="1177"/>
      <c r="K304" s="1547"/>
      <c r="L304" s="1177"/>
      <c r="M304" s="1548"/>
      <c r="N304" s="1549"/>
      <c r="O304" s="1178"/>
      <c r="P304" s="1179"/>
      <c r="R304" s="104"/>
      <c r="S304" s="1172"/>
      <c r="T304" s="1172"/>
      <c r="U304" s="1172"/>
      <c r="V304" s="1173"/>
      <c r="W304" s="1174"/>
      <c r="X304" s="1175"/>
      <c r="Y304" s="1176"/>
      <c r="Z304" s="1177"/>
      <c r="AA304" s="1547"/>
      <c r="AB304" s="1177"/>
      <c r="AC304" s="1548"/>
      <c r="AD304" s="1549"/>
      <c r="AE304" s="1178"/>
      <c r="AF304" s="1179"/>
      <c r="AH304" s="104"/>
      <c r="AI304" s="1172"/>
      <c r="AJ304" s="1172"/>
      <c r="AK304" s="1172"/>
      <c r="AL304" s="1173"/>
      <c r="AM304" s="1174"/>
      <c r="AN304" s="1175"/>
      <c r="AO304" s="1176"/>
      <c r="AP304" s="1177"/>
      <c r="AQ304" s="1547"/>
      <c r="AR304" s="1177"/>
      <c r="AS304" s="1548"/>
      <c r="AT304" s="1549"/>
      <c r="AU304" s="1178"/>
      <c r="AV304" s="1179"/>
      <c r="AY304" s="3">
        <v>1</v>
      </c>
    </row>
    <row r="305" spans="2:51" ht="18.75">
      <c r="B305" s="104"/>
      <c r="C305" s="1172"/>
      <c r="D305" s="1172"/>
      <c r="E305" s="1172"/>
      <c r="F305" s="1173"/>
      <c r="G305" s="1174"/>
      <c r="H305" s="1175"/>
      <c r="I305" s="1176"/>
      <c r="J305" s="1177"/>
      <c r="K305" s="1547"/>
      <c r="L305" s="1177"/>
      <c r="M305" s="1548"/>
      <c r="N305" s="1549"/>
      <c r="O305" s="1178"/>
      <c r="P305" s="1179"/>
      <c r="R305" s="104"/>
      <c r="S305" s="1172"/>
      <c r="T305" s="1172"/>
      <c r="U305" s="1172"/>
      <c r="V305" s="1173"/>
      <c r="W305" s="1174"/>
      <c r="X305" s="1175"/>
      <c r="Y305" s="1176"/>
      <c r="Z305" s="1177"/>
      <c r="AA305" s="1547"/>
      <c r="AB305" s="1177"/>
      <c r="AC305" s="1548"/>
      <c r="AD305" s="1549"/>
      <c r="AE305" s="1178"/>
      <c r="AF305" s="1179"/>
      <c r="AH305" s="104"/>
      <c r="AI305" s="1172"/>
      <c r="AJ305" s="1172"/>
      <c r="AK305" s="1172"/>
      <c r="AL305" s="1173"/>
      <c r="AM305" s="1174"/>
      <c r="AN305" s="1175"/>
      <c r="AO305" s="1176"/>
      <c r="AP305" s="1177"/>
      <c r="AQ305" s="1547"/>
      <c r="AR305" s="1177"/>
      <c r="AS305" s="1548"/>
      <c r="AT305" s="1549"/>
      <c r="AU305" s="1178"/>
      <c r="AV305" s="1179"/>
      <c r="AY305" s="3">
        <v>1</v>
      </c>
    </row>
    <row r="306" spans="2:51" ht="18.75">
      <c r="B306" s="104"/>
      <c r="C306" s="1172"/>
      <c r="D306" s="1172"/>
      <c r="E306" s="1172"/>
      <c r="F306" s="1173"/>
      <c r="G306" s="1174"/>
      <c r="H306" s="1175"/>
      <c r="I306" s="1176"/>
      <c r="J306" s="1177"/>
      <c r="K306" s="1547"/>
      <c r="L306" s="1177"/>
      <c r="M306" s="1548"/>
      <c r="N306" s="1549"/>
      <c r="O306" s="1178"/>
      <c r="P306" s="1179"/>
      <c r="R306" s="104"/>
      <c r="S306" s="1172"/>
      <c r="T306" s="1172"/>
      <c r="U306" s="1172"/>
      <c r="V306" s="1173"/>
      <c r="W306" s="1174"/>
      <c r="X306" s="1175"/>
      <c r="Y306" s="1176"/>
      <c r="Z306" s="1177"/>
      <c r="AA306" s="1547"/>
      <c r="AB306" s="1177"/>
      <c r="AC306" s="1548"/>
      <c r="AD306" s="1549"/>
      <c r="AE306" s="1178"/>
      <c r="AF306" s="1179"/>
      <c r="AH306" s="104"/>
      <c r="AI306" s="1172"/>
      <c r="AJ306" s="1172"/>
      <c r="AK306" s="1172"/>
      <c r="AL306" s="1173"/>
      <c r="AM306" s="1174"/>
      <c r="AN306" s="1175"/>
      <c r="AO306" s="1176"/>
      <c r="AP306" s="1177"/>
      <c r="AQ306" s="1547"/>
      <c r="AR306" s="1177"/>
      <c r="AS306" s="1548"/>
      <c r="AT306" s="1549"/>
      <c r="AU306" s="1178"/>
      <c r="AV306" s="1179"/>
      <c r="AY306" s="3">
        <v>1</v>
      </c>
    </row>
    <row r="307" spans="2:51" ht="18.75">
      <c r="B307" s="104"/>
      <c r="C307" s="1172"/>
      <c r="D307" s="1172"/>
      <c r="E307" s="1172"/>
      <c r="F307" s="1173"/>
      <c r="G307" s="1174"/>
      <c r="H307" s="1175"/>
      <c r="I307" s="1176"/>
      <c r="J307" s="1177"/>
      <c r="K307" s="1547"/>
      <c r="L307" s="1177"/>
      <c r="M307" s="1548"/>
      <c r="N307" s="1549"/>
      <c r="O307" s="1178"/>
      <c r="P307" s="1179"/>
      <c r="R307" s="104"/>
      <c r="S307" s="1172"/>
      <c r="T307" s="1172"/>
      <c r="U307" s="1172"/>
      <c r="V307" s="1173"/>
      <c r="W307" s="1174"/>
      <c r="X307" s="1175"/>
      <c r="Y307" s="1176"/>
      <c r="Z307" s="1177"/>
      <c r="AA307" s="1547"/>
      <c r="AB307" s="1177"/>
      <c r="AC307" s="1548"/>
      <c r="AD307" s="1549"/>
      <c r="AE307" s="1178"/>
      <c r="AF307" s="1179"/>
      <c r="AH307" s="104"/>
      <c r="AI307" s="1172"/>
      <c r="AJ307" s="1172"/>
      <c r="AK307" s="1172"/>
      <c r="AL307" s="1173"/>
      <c r="AM307" s="1174"/>
      <c r="AN307" s="1175"/>
      <c r="AO307" s="1176"/>
      <c r="AP307" s="1177"/>
      <c r="AQ307" s="1547"/>
      <c r="AR307" s="1177"/>
      <c r="AS307" s="1548"/>
      <c r="AT307" s="1549"/>
      <c r="AU307" s="1178"/>
      <c r="AV307" s="1179"/>
      <c r="AY307" s="3">
        <v>1</v>
      </c>
    </row>
    <row r="308" spans="2:51" ht="18.75">
      <c r="B308" s="104"/>
      <c r="C308" s="1172"/>
      <c r="D308" s="1172"/>
      <c r="E308" s="1172"/>
      <c r="F308" s="1173"/>
      <c r="G308" s="1174"/>
      <c r="H308" s="1175"/>
      <c r="I308" s="1176"/>
      <c r="J308" s="1177"/>
      <c r="K308" s="1547"/>
      <c r="L308" s="1177"/>
      <c r="M308" s="1548"/>
      <c r="N308" s="1549"/>
      <c r="O308" s="1178"/>
      <c r="P308" s="1179"/>
      <c r="R308" s="104"/>
      <c r="S308" s="1172"/>
      <c r="T308" s="1172"/>
      <c r="U308" s="1172"/>
      <c r="V308" s="1173"/>
      <c r="W308" s="1174"/>
      <c r="X308" s="1175"/>
      <c r="Y308" s="1176"/>
      <c r="Z308" s="1177"/>
      <c r="AA308" s="1547"/>
      <c r="AB308" s="1177"/>
      <c r="AC308" s="1548"/>
      <c r="AD308" s="1549"/>
      <c r="AE308" s="1178"/>
      <c r="AF308" s="1179"/>
      <c r="AH308" s="104"/>
      <c r="AI308" s="1172"/>
      <c r="AJ308" s="1172"/>
      <c r="AK308" s="1172"/>
      <c r="AL308" s="1173"/>
      <c r="AM308" s="1174"/>
      <c r="AN308" s="1175"/>
      <c r="AO308" s="1176"/>
      <c r="AP308" s="1177"/>
      <c r="AQ308" s="1547"/>
      <c r="AR308" s="1177"/>
      <c r="AS308" s="1548"/>
      <c r="AT308" s="1549"/>
      <c r="AU308" s="1178"/>
      <c r="AV308" s="1179"/>
      <c r="AY308" s="3">
        <v>1</v>
      </c>
    </row>
    <row r="309" spans="2:51" ht="18.75">
      <c r="B309" s="104"/>
      <c r="C309" s="1172"/>
      <c r="D309" s="1172"/>
      <c r="E309" s="1172"/>
      <c r="F309" s="1173"/>
      <c r="G309" s="1174"/>
      <c r="H309" s="1175"/>
      <c r="I309" s="1176"/>
      <c r="J309" s="1177"/>
      <c r="K309" s="1547"/>
      <c r="L309" s="1177"/>
      <c r="M309" s="1548"/>
      <c r="N309" s="1549"/>
      <c r="O309" s="1178"/>
      <c r="P309" s="1179"/>
      <c r="R309" s="104"/>
      <c r="S309" s="1172"/>
      <c r="T309" s="1172"/>
      <c r="U309" s="1172"/>
      <c r="V309" s="1173"/>
      <c r="W309" s="1174"/>
      <c r="X309" s="1175"/>
      <c r="Y309" s="1176"/>
      <c r="Z309" s="1177"/>
      <c r="AA309" s="1547"/>
      <c r="AB309" s="1177"/>
      <c r="AC309" s="1548"/>
      <c r="AD309" s="1549"/>
      <c r="AE309" s="1178"/>
      <c r="AF309" s="1179"/>
      <c r="AH309" s="104"/>
      <c r="AI309" s="1172"/>
      <c r="AJ309" s="1172"/>
      <c r="AK309" s="1172"/>
      <c r="AL309" s="1173"/>
      <c r="AM309" s="1174"/>
      <c r="AN309" s="1175"/>
      <c r="AO309" s="1176"/>
      <c r="AP309" s="1177"/>
      <c r="AQ309" s="1547"/>
      <c r="AR309" s="1177"/>
      <c r="AS309" s="1548"/>
      <c r="AT309" s="1549"/>
      <c r="AU309" s="1178"/>
      <c r="AV309" s="1179"/>
      <c r="AY309" s="3">
        <v>1</v>
      </c>
    </row>
    <row r="310" spans="2:51" ht="18.75">
      <c r="B310" s="104"/>
      <c r="C310" s="1172"/>
      <c r="D310" s="1172"/>
      <c r="E310" s="1172"/>
      <c r="F310" s="1173"/>
      <c r="G310" s="1174"/>
      <c r="H310" s="1175"/>
      <c r="I310" s="1176"/>
      <c r="J310" s="1177"/>
      <c r="K310" s="1547"/>
      <c r="L310" s="1177"/>
      <c r="M310" s="1548"/>
      <c r="N310" s="1549"/>
      <c r="O310" s="1178"/>
      <c r="P310" s="1179"/>
      <c r="R310" s="104"/>
      <c r="S310" s="1172"/>
      <c r="T310" s="1172"/>
      <c r="U310" s="1172"/>
      <c r="V310" s="1173"/>
      <c r="W310" s="1174"/>
      <c r="X310" s="1175"/>
      <c r="Y310" s="1176"/>
      <c r="Z310" s="1177"/>
      <c r="AA310" s="1547"/>
      <c r="AB310" s="1177"/>
      <c r="AC310" s="1548"/>
      <c r="AD310" s="1549"/>
      <c r="AE310" s="1178"/>
      <c r="AF310" s="1179"/>
      <c r="AH310" s="104"/>
      <c r="AI310" s="1172"/>
      <c r="AJ310" s="1172"/>
      <c r="AK310" s="1172"/>
      <c r="AL310" s="1173"/>
      <c r="AM310" s="1174"/>
      <c r="AN310" s="1175"/>
      <c r="AO310" s="1176"/>
      <c r="AP310" s="1177"/>
      <c r="AQ310" s="1547"/>
      <c r="AR310" s="1177"/>
      <c r="AS310" s="1548"/>
      <c r="AT310" s="1549"/>
      <c r="AU310" s="1178"/>
      <c r="AV310" s="1179"/>
      <c r="AY310" s="3">
        <v>1</v>
      </c>
    </row>
    <row r="311" spans="2:51" ht="18.75">
      <c r="B311" s="104"/>
      <c r="C311" s="1172"/>
      <c r="D311" s="1172"/>
      <c r="E311" s="1172"/>
      <c r="F311" s="1173"/>
      <c r="G311" s="1174"/>
      <c r="H311" s="1175"/>
      <c r="I311" s="1176"/>
      <c r="J311" s="1177"/>
      <c r="K311" s="1547"/>
      <c r="L311" s="1177"/>
      <c r="M311" s="1548"/>
      <c r="N311" s="1549"/>
      <c r="O311" s="1178"/>
      <c r="P311" s="1179"/>
      <c r="R311" s="104"/>
      <c r="S311" s="1172"/>
      <c r="T311" s="1172"/>
      <c r="U311" s="1172"/>
      <c r="V311" s="1173"/>
      <c r="W311" s="1174"/>
      <c r="X311" s="1175"/>
      <c r="Y311" s="1176"/>
      <c r="Z311" s="1177"/>
      <c r="AA311" s="1547"/>
      <c r="AB311" s="1177"/>
      <c r="AC311" s="1548"/>
      <c r="AD311" s="1549"/>
      <c r="AE311" s="1178"/>
      <c r="AF311" s="1179"/>
      <c r="AH311" s="104"/>
      <c r="AI311" s="1172"/>
      <c r="AJ311" s="1172"/>
      <c r="AK311" s="1172"/>
      <c r="AL311" s="1173"/>
      <c r="AM311" s="1174"/>
      <c r="AN311" s="1175"/>
      <c r="AO311" s="1176"/>
      <c r="AP311" s="1177"/>
      <c r="AQ311" s="1547"/>
      <c r="AR311" s="1177"/>
      <c r="AS311" s="1548"/>
      <c r="AT311" s="1549"/>
      <c r="AU311" s="1178"/>
      <c r="AV311" s="1179"/>
      <c r="AY311" s="3">
        <v>1</v>
      </c>
    </row>
    <row r="312" spans="2:51" ht="18.75">
      <c r="B312" s="104"/>
      <c r="C312" s="1172"/>
      <c r="D312" s="1172"/>
      <c r="E312" s="1172"/>
      <c r="F312" s="1173"/>
      <c r="G312" s="1174"/>
      <c r="H312" s="1175"/>
      <c r="I312" s="1176"/>
      <c r="J312" s="1177"/>
      <c r="K312" s="1547"/>
      <c r="L312" s="1177"/>
      <c r="M312" s="1548"/>
      <c r="N312" s="1549"/>
      <c r="O312" s="1178"/>
      <c r="P312" s="1179"/>
      <c r="R312" s="104"/>
      <c r="S312" s="1172"/>
      <c r="T312" s="1172"/>
      <c r="U312" s="1172"/>
      <c r="V312" s="1173"/>
      <c r="W312" s="1174"/>
      <c r="X312" s="1175"/>
      <c r="Y312" s="1176"/>
      <c r="Z312" s="1177"/>
      <c r="AA312" s="1547"/>
      <c r="AB312" s="1177"/>
      <c r="AC312" s="1548"/>
      <c r="AD312" s="1549"/>
      <c r="AE312" s="1178"/>
      <c r="AF312" s="1179"/>
      <c r="AH312" s="104"/>
      <c r="AI312" s="1172"/>
      <c r="AJ312" s="1172"/>
      <c r="AK312" s="1172"/>
      <c r="AL312" s="1173"/>
      <c r="AM312" s="1174"/>
      <c r="AN312" s="1175"/>
      <c r="AO312" s="1176"/>
      <c r="AP312" s="1177"/>
      <c r="AQ312" s="1547"/>
      <c r="AR312" s="1177"/>
      <c r="AS312" s="1548"/>
      <c r="AT312" s="1549"/>
      <c r="AU312" s="1178"/>
      <c r="AV312" s="1179"/>
      <c r="AY312" s="3">
        <v>1</v>
      </c>
    </row>
    <row r="313" spans="2:51" ht="18.75">
      <c r="B313" s="104"/>
      <c r="C313" s="1172"/>
      <c r="D313" s="1172"/>
      <c r="E313" s="1172"/>
      <c r="F313" s="1173"/>
      <c r="G313" s="1174"/>
      <c r="H313" s="1175"/>
      <c r="I313" s="1176"/>
      <c r="J313" s="1177"/>
      <c r="K313" s="1547"/>
      <c r="L313" s="1177"/>
      <c r="M313" s="1548"/>
      <c r="N313" s="1549"/>
      <c r="O313" s="1178"/>
      <c r="P313" s="1179"/>
      <c r="R313" s="104"/>
      <c r="S313" s="1172"/>
      <c r="T313" s="1172"/>
      <c r="U313" s="1172"/>
      <c r="V313" s="1173"/>
      <c r="W313" s="1174"/>
      <c r="X313" s="1175"/>
      <c r="Y313" s="1176"/>
      <c r="Z313" s="1177"/>
      <c r="AA313" s="1547"/>
      <c r="AB313" s="1177"/>
      <c r="AC313" s="1548"/>
      <c r="AD313" s="1549"/>
      <c r="AE313" s="1178"/>
      <c r="AF313" s="1179"/>
      <c r="AH313" s="104"/>
      <c r="AI313" s="1172"/>
      <c r="AJ313" s="1172"/>
      <c r="AK313" s="1172"/>
      <c r="AL313" s="1173"/>
      <c r="AM313" s="1174"/>
      <c r="AN313" s="1175"/>
      <c r="AO313" s="1176"/>
      <c r="AP313" s="1177"/>
      <c r="AQ313" s="1547"/>
      <c r="AR313" s="1177"/>
      <c r="AS313" s="1548"/>
      <c r="AT313" s="1549"/>
      <c r="AU313" s="1178"/>
      <c r="AV313" s="1179"/>
      <c r="AY313" s="3">
        <v>1</v>
      </c>
    </row>
    <row r="314" spans="2:51" ht="18.75">
      <c r="B314" s="104"/>
      <c r="C314" s="1172"/>
      <c r="D314" s="1172"/>
      <c r="E314" s="1172"/>
      <c r="F314" s="1173"/>
      <c r="G314" s="1174"/>
      <c r="H314" s="1175"/>
      <c r="I314" s="1176"/>
      <c r="J314" s="1177"/>
      <c r="K314" s="1547"/>
      <c r="L314" s="1177"/>
      <c r="M314" s="1548"/>
      <c r="N314" s="1549"/>
      <c r="O314" s="1178"/>
      <c r="P314" s="1179"/>
      <c r="R314" s="104"/>
      <c r="S314" s="1172"/>
      <c r="T314" s="1172"/>
      <c r="U314" s="1172"/>
      <c r="V314" s="1173"/>
      <c r="W314" s="1174"/>
      <c r="X314" s="1175"/>
      <c r="Y314" s="1176"/>
      <c r="Z314" s="1177"/>
      <c r="AA314" s="1547"/>
      <c r="AB314" s="1177"/>
      <c r="AC314" s="1548"/>
      <c r="AD314" s="1549"/>
      <c r="AE314" s="1178"/>
      <c r="AF314" s="1179"/>
      <c r="AH314" s="104"/>
      <c r="AI314" s="1172"/>
      <c r="AJ314" s="1172"/>
      <c r="AK314" s="1172"/>
      <c r="AL314" s="1173"/>
      <c r="AM314" s="1174"/>
      <c r="AN314" s="1175"/>
      <c r="AO314" s="1176"/>
      <c r="AP314" s="1177"/>
      <c r="AQ314" s="1547"/>
      <c r="AR314" s="1177"/>
      <c r="AS314" s="1548"/>
      <c r="AT314" s="1549"/>
      <c r="AU314" s="1178"/>
      <c r="AV314" s="1179"/>
      <c r="AY314" s="3">
        <v>1</v>
      </c>
    </row>
    <row r="315" spans="2:51" ht="18.75">
      <c r="B315" s="104"/>
      <c r="C315" s="1172"/>
      <c r="D315" s="1172"/>
      <c r="E315" s="1172"/>
      <c r="F315" s="1173"/>
      <c r="G315" s="1174"/>
      <c r="H315" s="1175"/>
      <c r="I315" s="1176"/>
      <c r="J315" s="1177"/>
      <c r="K315" s="1547"/>
      <c r="L315" s="1177"/>
      <c r="M315" s="1548"/>
      <c r="N315" s="1549"/>
      <c r="O315" s="1178"/>
      <c r="P315" s="1179"/>
      <c r="R315" s="104"/>
      <c r="S315" s="1172"/>
      <c r="T315" s="1172"/>
      <c r="U315" s="1172"/>
      <c r="V315" s="1173"/>
      <c r="W315" s="1174"/>
      <c r="X315" s="1175"/>
      <c r="Y315" s="1176"/>
      <c r="Z315" s="1177"/>
      <c r="AA315" s="1547"/>
      <c r="AB315" s="1177"/>
      <c r="AC315" s="1548"/>
      <c r="AD315" s="1549"/>
      <c r="AE315" s="1178"/>
      <c r="AF315" s="1179"/>
      <c r="AH315" s="104"/>
      <c r="AI315" s="1172"/>
      <c r="AJ315" s="1172"/>
      <c r="AK315" s="1172"/>
      <c r="AL315" s="1173"/>
      <c r="AM315" s="1174"/>
      <c r="AN315" s="1175"/>
      <c r="AO315" s="1176"/>
      <c r="AP315" s="1177"/>
      <c r="AQ315" s="1547"/>
      <c r="AR315" s="1177"/>
      <c r="AS315" s="1548"/>
      <c r="AT315" s="1549"/>
      <c r="AU315" s="1178"/>
      <c r="AV315" s="1179"/>
      <c r="AY315" s="3">
        <v>1</v>
      </c>
    </row>
    <row r="316" spans="2:51" ht="18.75">
      <c r="B316" s="104"/>
      <c r="C316" s="1172"/>
      <c r="D316" s="1172"/>
      <c r="E316" s="1172"/>
      <c r="F316" s="1173"/>
      <c r="G316" s="1174"/>
      <c r="H316" s="1175"/>
      <c r="I316" s="1176"/>
      <c r="J316" s="1177"/>
      <c r="K316" s="1547"/>
      <c r="L316" s="1177"/>
      <c r="M316" s="1548"/>
      <c r="N316" s="1549"/>
      <c r="O316" s="1178"/>
      <c r="P316" s="1179"/>
      <c r="R316" s="104"/>
      <c r="S316" s="1172"/>
      <c r="T316" s="1172"/>
      <c r="U316" s="1172"/>
      <c r="V316" s="1173"/>
      <c r="W316" s="1174"/>
      <c r="X316" s="1175"/>
      <c r="Y316" s="1176"/>
      <c r="Z316" s="1177"/>
      <c r="AA316" s="1547"/>
      <c r="AB316" s="1177"/>
      <c r="AC316" s="1548"/>
      <c r="AD316" s="1549"/>
      <c r="AE316" s="1178"/>
      <c r="AF316" s="1179"/>
      <c r="AH316" s="104"/>
      <c r="AI316" s="1172"/>
      <c r="AJ316" s="1172"/>
      <c r="AK316" s="1172"/>
      <c r="AL316" s="1173"/>
      <c r="AM316" s="1174"/>
      <c r="AN316" s="1175"/>
      <c r="AO316" s="1176"/>
      <c r="AP316" s="1177"/>
      <c r="AQ316" s="1547"/>
      <c r="AR316" s="1177"/>
      <c r="AS316" s="1548"/>
      <c r="AT316" s="1549"/>
      <c r="AU316" s="1178"/>
      <c r="AV316" s="1179"/>
      <c r="AY316" s="3">
        <v>1</v>
      </c>
    </row>
    <row r="317" spans="2:51" ht="18.75">
      <c r="B317" s="104"/>
      <c r="C317" s="1172"/>
      <c r="D317" s="1172"/>
      <c r="E317" s="1172"/>
      <c r="F317" s="1173"/>
      <c r="G317" s="1174"/>
      <c r="H317" s="1175"/>
      <c r="I317" s="1176"/>
      <c r="J317" s="1177"/>
      <c r="K317" s="1547"/>
      <c r="L317" s="1177"/>
      <c r="M317" s="1548"/>
      <c r="N317" s="1549"/>
      <c r="O317" s="1178"/>
      <c r="P317" s="1179"/>
      <c r="R317" s="104"/>
      <c r="S317" s="1172"/>
      <c r="T317" s="1172"/>
      <c r="U317" s="1172"/>
      <c r="V317" s="1173"/>
      <c r="W317" s="1174"/>
      <c r="X317" s="1175"/>
      <c r="Y317" s="1176"/>
      <c r="Z317" s="1177"/>
      <c r="AA317" s="1547"/>
      <c r="AB317" s="1177"/>
      <c r="AC317" s="1548"/>
      <c r="AD317" s="1549"/>
      <c r="AE317" s="1178"/>
      <c r="AF317" s="1179"/>
      <c r="AH317" s="104"/>
      <c r="AI317" s="1172"/>
      <c r="AJ317" s="1172"/>
      <c r="AK317" s="1172"/>
      <c r="AL317" s="1173"/>
      <c r="AM317" s="1174"/>
      <c r="AN317" s="1175"/>
      <c r="AO317" s="1176"/>
      <c r="AP317" s="1177"/>
      <c r="AQ317" s="1547"/>
      <c r="AR317" s="1177"/>
      <c r="AS317" s="1548"/>
      <c r="AT317" s="1549"/>
      <c r="AU317" s="1178"/>
      <c r="AV317" s="1179"/>
      <c r="AY317" s="3">
        <v>1</v>
      </c>
    </row>
    <row r="318" spans="2:51" ht="18.75">
      <c r="B318" s="104"/>
      <c r="C318" s="1172"/>
      <c r="D318" s="1172"/>
      <c r="E318" s="1172"/>
      <c r="F318" s="1173"/>
      <c r="G318" s="1174"/>
      <c r="H318" s="1175"/>
      <c r="I318" s="1176"/>
      <c r="J318" s="1177"/>
      <c r="K318" s="1547"/>
      <c r="L318" s="1177"/>
      <c r="M318" s="1548"/>
      <c r="N318" s="1549"/>
      <c r="O318" s="1178"/>
      <c r="P318" s="1179"/>
      <c r="R318" s="104"/>
      <c r="S318" s="1172"/>
      <c r="T318" s="1172"/>
      <c r="U318" s="1172"/>
      <c r="V318" s="1173"/>
      <c r="W318" s="1174"/>
      <c r="X318" s="1175"/>
      <c r="Y318" s="1176"/>
      <c r="Z318" s="1177"/>
      <c r="AA318" s="1547"/>
      <c r="AB318" s="1177"/>
      <c r="AC318" s="1548"/>
      <c r="AD318" s="1549"/>
      <c r="AE318" s="1178"/>
      <c r="AF318" s="1179"/>
      <c r="AH318" s="104"/>
      <c r="AI318" s="1172"/>
      <c r="AJ318" s="1172"/>
      <c r="AK318" s="1172"/>
      <c r="AL318" s="1173"/>
      <c r="AM318" s="1174"/>
      <c r="AN318" s="1175"/>
      <c r="AO318" s="1176"/>
      <c r="AP318" s="1177"/>
      <c r="AQ318" s="1547"/>
      <c r="AR318" s="1177"/>
      <c r="AS318" s="1548"/>
      <c r="AT318" s="1549"/>
      <c r="AU318" s="1178"/>
      <c r="AV318" s="1179"/>
      <c r="AY318" s="3">
        <v>1</v>
      </c>
    </row>
    <row r="319" spans="2:51" ht="18.75">
      <c r="B319" s="104"/>
      <c r="C319" s="1172"/>
      <c r="D319" s="1172"/>
      <c r="E319" s="1172"/>
      <c r="F319" s="1173"/>
      <c r="G319" s="1174"/>
      <c r="H319" s="1175"/>
      <c r="I319" s="1176"/>
      <c r="J319" s="1177"/>
      <c r="K319" s="1547"/>
      <c r="L319" s="1177"/>
      <c r="M319" s="1548"/>
      <c r="N319" s="1549"/>
      <c r="O319" s="1178"/>
      <c r="P319" s="1179"/>
      <c r="R319" s="104"/>
      <c r="S319" s="1172"/>
      <c r="T319" s="1172"/>
      <c r="U319" s="1172"/>
      <c r="V319" s="1173"/>
      <c r="W319" s="1174"/>
      <c r="X319" s="1175"/>
      <c r="Y319" s="1176"/>
      <c r="Z319" s="1177"/>
      <c r="AA319" s="1547"/>
      <c r="AB319" s="1177"/>
      <c r="AC319" s="1548"/>
      <c r="AD319" s="1549"/>
      <c r="AE319" s="1178"/>
      <c r="AF319" s="1179"/>
      <c r="AH319" s="104"/>
      <c r="AI319" s="1172"/>
      <c r="AJ319" s="1172"/>
      <c r="AK319" s="1172"/>
      <c r="AL319" s="1173"/>
      <c r="AM319" s="1174"/>
      <c r="AN319" s="1175"/>
      <c r="AO319" s="1176"/>
      <c r="AP319" s="1177"/>
      <c r="AQ319" s="1547"/>
      <c r="AR319" s="1177"/>
      <c r="AS319" s="1548"/>
      <c r="AT319" s="1549"/>
      <c r="AU319" s="1178"/>
      <c r="AV319" s="1179"/>
      <c r="AY319" s="3">
        <v>1</v>
      </c>
    </row>
    <row r="320" spans="2:51" ht="18.75">
      <c r="B320" s="104"/>
      <c r="C320" s="1172"/>
      <c r="D320" s="1172"/>
      <c r="E320" s="1172"/>
      <c r="F320" s="1173"/>
      <c r="G320" s="1174"/>
      <c r="H320" s="1175"/>
      <c r="I320" s="1176"/>
      <c r="J320" s="1177"/>
      <c r="K320" s="1547"/>
      <c r="L320" s="1177"/>
      <c r="M320" s="1548"/>
      <c r="N320" s="1549"/>
      <c r="O320" s="1178"/>
      <c r="P320" s="1179"/>
      <c r="R320" s="104"/>
      <c r="S320" s="1172"/>
      <c r="T320" s="1172"/>
      <c r="U320" s="1172"/>
      <c r="V320" s="1173"/>
      <c r="W320" s="1174"/>
      <c r="X320" s="1175"/>
      <c r="Y320" s="1176"/>
      <c r="Z320" s="1177"/>
      <c r="AA320" s="1547"/>
      <c r="AB320" s="1177"/>
      <c r="AC320" s="1548"/>
      <c r="AD320" s="1549"/>
      <c r="AE320" s="1178"/>
      <c r="AF320" s="1179"/>
      <c r="AH320" s="104"/>
      <c r="AI320" s="1172"/>
      <c r="AJ320" s="1172"/>
      <c r="AK320" s="1172"/>
      <c r="AL320" s="1173"/>
      <c r="AM320" s="1174"/>
      <c r="AN320" s="1175"/>
      <c r="AO320" s="1176"/>
      <c r="AP320" s="1177"/>
      <c r="AQ320" s="1547"/>
      <c r="AR320" s="1177"/>
      <c r="AS320" s="1548"/>
      <c r="AT320" s="1549"/>
      <c r="AU320" s="1178"/>
      <c r="AV320" s="1179"/>
      <c r="AY320" s="3">
        <v>1</v>
      </c>
    </row>
    <row r="321" spans="2:51" ht="18.75">
      <c r="B321" s="104"/>
      <c r="C321" s="1172"/>
      <c r="D321" s="1172"/>
      <c r="E321" s="1172"/>
      <c r="F321" s="1173"/>
      <c r="G321" s="1174"/>
      <c r="H321" s="1175"/>
      <c r="I321" s="1176"/>
      <c r="J321" s="1177"/>
      <c r="K321" s="1547"/>
      <c r="L321" s="1177"/>
      <c r="M321" s="1548"/>
      <c r="N321" s="1549"/>
      <c r="O321" s="1178"/>
      <c r="P321" s="1179"/>
      <c r="R321" s="104"/>
      <c r="S321" s="1172"/>
      <c r="T321" s="1172"/>
      <c r="U321" s="1172"/>
      <c r="V321" s="1173"/>
      <c r="W321" s="1174"/>
      <c r="X321" s="1175"/>
      <c r="Y321" s="1176"/>
      <c r="Z321" s="1177"/>
      <c r="AA321" s="1547"/>
      <c r="AB321" s="1177"/>
      <c r="AC321" s="1548"/>
      <c r="AD321" s="1549"/>
      <c r="AE321" s="1178"/>
      <c r="AF321" s="1179"/>
      <c r="AH321" s="104"/>
      <c r="AI321" s="1172"/>
      <c r="AJ321" s="1172"/>
      <c r="AK321" s="1172"/>
      <c r="AL321" s="1173"/>
      <c r="AM321" s="1174"/>
      <c r="AN321" s="1175"/>
      <c r="AO321" s="1176"/>
      <c r="AP321" s="1177"/>
      <c r="AQ321" s="1547"/>
      <c r="AR321" s="1177"/>
      <c r="AS321" s="1548"/>
      <c r="AT321" s="1549"/>
      <c r="AU321" s="1178"/>
      <c r="AV321" s="1179"/>
      <c r="AY321" s="3">
        <v>1</v>
      </c>
    </row>
    <row r="322" spans="2:51" ht="18.75">
      <c r="B322" s="104"/>
      <c r="C322" s="1172"/>
      <c r="D322" s="1172"/>
      <c r="E322" s="1172"/>
      <c r="F322" s="1173"/>
      <c r="G322" s="1174"/>
      <c r="H322" s="1175"/>
      <c r="I322" s="1176"/>
      <c r="J322" s="1177"/>
      <c r="K322" s="1547"/>
      <c r="L322" s="1177"/>
      <c r="M322" s="1548"/>
      <c r="N322" s="1549"/>
      <c r="O322" s="1178"/>
      <c r="P322" s="1179"/>
      <c r="R322" s="104"/>
      <c r="S322" s="1172"/>
      <c r="T322" s="1172"/>
      <c r="U322" s="1172"/>
      <c r="V322" s="1173"/>
      <c r="W322" s="1174"/>
      <c r="X322" s="1175"/>
      <c r="Y322" s="1176"/>
      <c r="Z322" s="1177"/>
      <c r="AA322" s="1547"/>
      <c r="AB322" s="1177"/>
      <c r="AC322" s="1548"/>
      <c r="AD322" s="1549"/>
      <c r="AE322" s="1178"/>
      <c r="AF322" s="1179"/>
      <c r="AH322" s="104"/>
      <c r="AI322" s="1172"/>
      <c r="AJ322" s="1172"/>
      <c r="AK322" s="1172"/>
      <c r="AL322" s="1173"/>
      <c r="AM322" s="1174"/>
      <c r="AN322" s="1175"/>
      <c r="AO322" s="1176"/>
      <c r="AP322" s="1177"/>
      <c r="AQ322" s="1547"/>
      <c r="AR322" s="1177"/>
      <c r="AS322" s="1548"/>
      <c r="AT322" s="1549"/>
      <c r="AU322" s="1178"/>
      <c r="AV322" s="1179"/>
      <c r="AY322" s="3">
        <v>1</v>
      </c>
    </row>
    <row r="323" spans="2:51" ht="18.75">
      <c r="B323" s="104"/>
      <c r="C323" s="1172"/>
      <c r="D323" s="1172"/>
      <c r="E323" s="1172"/>
      <c r="F323" s="1173"/>
      <c r="G323" s="1174"/>
      <c r="H323" s="1175"/>
      <c r="I323" s="1176"/>
      <c r="J323" s="1177"/>
      <c r="K323" s="1547"/>
      <c r="L323" s="1177"/>
      <c r="M323" s="1548"/>
      <c r="N323" s="1549"/>
      <c r="O323" s="1178"/>
      <c r="P323" s="1179"/>
      <c r="R323" s="104"/>
      <c r="S323" s="1172"/>
      <c r="T323" s="1172"/>
      <c r="U323" s="1172"/>
      <c r="V323" s="1173"/>
      <c r="W323" s="1174"/>
      <c r="X323" s="1175"/>
      <c r="Y323" s="1176"/>
      <c r="Z323" s="1177"/>
      <c r="AA323" s="1547"/>
      <c r="AB323" s="1177"/>
      <c r="AC323" s="1548"/>
      <c r="AD323" s="1549"/>
      <c r="AE323" s="1178"/>
      <c r="AF323" s="1179"/>
      <c r="AH323" s="104"/>
      <c r="AI323" s="1172"/>
      <c r="AJ323" s="1172"/>
      <c r="AK323" s="1172"/>
      <c r="AL323" s="1173"/>
      <c r="AM323" s="1174"/>
      <c r="AN323" s="1175"/>
      <c r="AO323" s="1176"/>
      <c r="AP323" s="1177"/>
      <c r="AQ323" s="1547"/>
      <c r="AR323" s="1177"/>
      <c r="AS323" s="1548"/>
      <c r="AT323" s="1549"/>
      <c r="AU323" s="1178"/>
      <c r="AV323" s="1179"/>
      <c r="AY323" s="3">
        <v>1</v>
      </c>
    </row>
    <row r="324" spans="2:51" ht="18.75">
      <c r="B324" s="104"/>
      <c r="C324" s="1172"/>
      <c r="D324" s="1172"/>
      <c r="E324" s="1172"/>
      <c r="F324" s="1173"/>
      <c r="G324" s="1174"/>
      <c r="H324" s="1175"/>
      <c r="I324" s="1176"/>
      <c r="J324" s="1177"/>
      <c r="K324" s="1547"/>
      <c r="L324" s="1177"/>
      <c r="M324" s="1548"/>
      <c r="N324" s="1549"/>
      <c r="O324" s="1178"/>
      <c r="P324" s="1179"/>
      <c r="R324" s="104"/>
      <c r="S324" s="1172"/>
      <c r="T324" s="1172"/>
      <c r="U324" s="1172"/>
      <c r="V324" s="1173"/>
      <c r="W324" s="1174"/>
      <c r="X324" s="1175"/>
      <c r="Y324" s="1176"/>
      <c r="Z324" s="1177"/>
      <c r="AA324" s="1547"/>
      <c r="AB324" s="1177"/>
      <c r="AC324" s="1548"/>
      <c r="AD324" s="1549"/>
      <c r="AE324" s="1178"/>
      <c r="AF324" s="1179"/>
      <c r="AH324" s="104"/>
      <c r="AI324" s="1172"/>
      <c r="AJ324" s="1172"/>
      <c r="AK324" s="1172"/>
      <c r="AL324" s="1173"/>
      <c r="AM324" s="1174"/>
      <c r="AN324" s="1175"/>
      <c r="AO324" s="1176"/>
      <c r="AP324" s="1177"/>
      <c r="AQ324" s="1547"/>
      <c r="AR324" s="1177"/>
      <c r="AS324" s="1548"/>
      <c r="AT324" s="1549"/>
      <c r="AU324" s="1178"/>
      <c r="AV324" s="1179"/>
      <c r="AY324" s="3">
        <v>1</v>
      </c>
    </row>
    <row r="325" spans="2:51" ht="18.75">
      <c r="B325" s="104"/>
      <c r="C325" s="1172"/>
      <c r="D325" s="1172"/>
      <c r="E325" s="1172"/>
      <c r="F325" s="1173"/>
      <c r="G325" s="1174"/>
      <c r="H325" s="1175"/>
      <c r="I325" s="1176"/>
      <c r="J325" s="1177"/>
      <c r="K325" s="1547"/>
      <c r="L325" s="1177"/>
      <c r="M325" s="1548"/>
      <c r="N325" s="1549"/>
      <c r="O325" s="1178"/>
      <c r="P325" s="1179"/>
      <c r="R325" s="104"/>
      <c r="S325" s="1172"/>
      <c r="T325" s="1172"/>
      <c r="U325" s="1172"/>
      <c r="V325" s="1173"/>
      <c r="W325" s="1174"/>
      <c r="X325" s="1175"/>
      <c r="Y325" s="1176"/>
      <c r="Z325" s="1177"/>
      <c r="AA325" s="1547"/>
      <c r="AB325" s="1177"/>
      <c r="AC325" s="1548"/>
      <c r="AD325" s="1549"/>
      <c r="AE325" s="1178"/>
      <c r="AF325" s="1179"/>
      <c r="AH325" s="104"/>
      <c r="AI325" s="1172"/>
      <c r="AJ325" s="1172"/>
      <c r="AK325" s="1172"/>
      <c r="AL325" s="1173"/>
      <c r="AM325" s="1174"/>
      <c r="AN325" s="1175"/>
      <c r="AO325" s="1176"/>
      <c r="AP325" s="1177"/>
      <c r="AQ325" s="1547"/>
      <c r="AR325" s="1177"/>
      <c r="AS325" s="1548"/>
      <c r="AT325" s="1549"/>
      <c r="AU325" s="1178"/>
      <c r="AV325" s="1179"/>
      <c r="AY325" s="3">
        <v>1</v>
      </c>
    </row>
    <row r="326" spans="2:51" ht="18.75">
      <c r="B326" s="104"/>
      <c r="C326" s="1172"/>
      <c r="D326" s="1172"/>
      <c r="E326" s="1172"/>
      <c r="F326" s="1173"/>
      <c r="G326" s="1174"/>
      <c r="H326" s="1175"/>
      <c r="I326" s="1176"/>
      <c r="J326" s="1177"/>
      <c r="K326" s="1547"/>
      <c r="L326" s="1177"/>
      <c r="M326" s="1548"/>
      <c r="N326" s="1549"/>
      <c r="O326" s="1178"/>
      <c r="P326" s="1179"/>
      <c r="R326" s="104"/>
      <c r="S326" s="1172"/>
      <c r="T326" s="1172"/>
      <c r="U326" s="1172"/>
      <c r="V326" s="1173"/>
      <c r="W326" s="1174"/>
      <c r="X326" s="1175"/>
      <c r="Y326" s="1176"/>
      <c r="Z326" s="1177"/>
      <c r="AA326" s="1547"/>
      <c r="AB326" s="1177"/>
      <c r="AC326" s="1548"/>
      <c r="AD326" s="1549"/>
      <c r="AE326" s="1178"/>
      <c r="AF326" s="1179"/>
      <c r="AH326" s="104"/>
      <c r="AI326" s="1172"/>
      <c r="AJ326" s="1172"/>
      <c r="AK326" s="1172"/>
      <c r="AL326" s="1173"/>
      <c r="AM326" s="1174"/>
      <c r="AN326" s="1175"/>
      <c r="AO326" s="1176"/>
      <c r="AP326" s="1177"/>
      <c r="AQ326" s="1547"/>
      <c r="AR326" s="1177"/>
      <c r="AS326" s="1548"/>
      <c r="AT326" s="1549"/>
      <c r="AU326" s="1178"/>
      <c r="AV326" s="1179"/>
      <c r="AY326" s="3">
        <v>1</v>
      </c>
    </row>
    <row r="327" spans="2:51" ht="18.75">
      <c r="B327" s="104"/>
      <c r="C327" s="1172"/>
      <c r="D327" s="1172"/>
      <c r="E327" s="1172"/>
      <c r="F327" s="1173"/>
      <c r="G327" s="1174"/>
      <c r="H327" s="1175"/>
      <c r="I327" s="1176"/>
      <c r="J327" s="1177"/>
      <c r="K327" s="1547"/>
      <c r="L327" s="1177"/>
      <c r="M327" s="1548"/>
      <c r="N327" s="1549"/>
      <c r="O327" s="1178"/>
      <c r="P327" s="1179"/>
      <c r="R327" s="104"/>
      <c r="S327" s="1172"/>
      <c r="T327" s="1172"/>
      <c r="U327" s="1172"/>
      <c r="V327" s="1173"/>
      <c r="W327" s="1174"/>
      <c r="X327" s="1175"/>
      <c r="Y327" s="1176"/>
      <c r="Z327" s="1177"/>
      <c r="AA327" s="1547"/>
      <c r="AB327" s="1177"/>
      <c r="AC327" s="1548"/>
      <c r="AD327" s="1549"/>
      <c r="AE327" s="1178"/>
      <c r="AF327" s="1179"/>
      <c r="AH327" s="104"/>
      <c r="AI327" s="1172"/>
      <c r="AJ327" s="1172"/>
      <c r="AK327" s="1172"/>
      <c r="AL327" s="1173"/>
      <c r="AM327" s="1174"/>
      <c r="AN327" s="1175"/>
      <c r="AO327" s="1176"/>
      <c r="AP327" s="1177"/>
      <c r="AQ327" s="1547"/>
      <c r="AR327" s="1177"/>
      <c r="AS327" s="1548"/>
      <c r="AT327" s="1549"/>
      <c r="AU327" s="1178"/>
      <c r="AV327" s="1179"/>
      <c r="AY327" s="3">
        <v>1</v>
      </c>
    </row>
    <row r="328" spans="2:51" ht="18.75">
      <c r="B328" s="104"/>
      <c r="C328" s="1172"/>
      <c r="D328" s="1172"/>
      <c r="E328" s="1172"/>
      <c r="F328" s="1173"/>
      <c r="G328" s="1174"/>
      <c r="H328" s="1175"/>
      <c r="I328" s="1176"/>
      <c r="J328" s="1177"/>
      <c r="K328" s="1547"/>
      <c r="L328" s="1177"/>
      <c r="M328" s="1548"/>
      <c r="N328" s="1549"/>
      <c r="O328" s="1178"/>
      <c r="P328" s="1179"/>
      <c r="R328" s="104"/>
      <c r="S328" s="1172"/>
      <c r="T328" s="1172"/>
      <c r="U328" s="1172"/>
      <c r="V328" s="1173"/>
      <c r="W328" s="1174"/>
      <c r="X328" s="1175"/>
      <c r="Y328" s="1176"/>
      <c r="Z328" s="1177"/>
      <c r="AA328" s="1547"/>
      <c r="AB328" s="1177"/>
      <c r="AC328" s="1548"/>
      <c r="AD328" s="1549"/>
      <c r="AE328" s="1178"/>
      <c r="AF328" s="1179"/>
      <c r="AH328" s="104"/>
      <c r="AI328" s="1172"/>
      <c r="AJ328" s="1172"/>
      <c r="AK328" s="1172"/>
      <c r="AL328" s="1173"/>
      <c r="AM328" s="1174"/>
      <c r="AN328" s="1175"/>
      <c r="AO328" s="1176"/>
      <c r="AP328" s="1177"/>
      <c r="AQ328" s="1547"/>
      <c r="AR328" s="1177"/>
      <c r="AS328" s="1548"/>
      <c r="AT328" s="1549"/>
      <c r="AU328" s="1178"/>
      <c r="AV328" s="1179"/>
      <c r="AY328" s="3">
        <v>1</v>
      </c>
    </row>
    <row r="329" spans="2:51" ht="18.75">
      <c r="B329" s="104"/>
      <c r="C329" s="1172"/>
      <c r="D329" s="1172"/>
      <c r="E329" s="1172"/>
      <c r="F329" s="1173"/>
      <c r="G329" s="1174"/>
      <c r="H329" s="1175"/>
      <c r="I329" s="1176"/>
      <c r="J329" s="1177"/>
      <c r="K329" s="1547"/>
      <c r="L329" s="1177"/>
      <c r="M329" s="1548"/>
      <c r="N329" s="1549"/>
      <c r="O329" s="1178"/>
      <c r="P329" s="1179"/>
      <c r="R329" s="104"/>
      <c r="S329" s="1172"/>
      <c r="T329" s="1172"/>
      <c r="U329" s="1172"/>
      <c r="V329" s="1173"/>
      <c r="W329" s="1174"/>
      <c r="X329" s="1175"/>
      <c r="Y329" s="1176"/>
      <c r="Z329" s="1177"/>
      <c r="AA329" s="1547"/>
      <c r="AB329" s="1177"/>
      <c r="AC329" s="1548"/>
      <c r="AD329" s="1549"/>
      <c r="AE329" s="1178"/>
      <c r="AF329" s="1179"/>
      <c r="AH329" s="104"/>
      <c r="AI329" s="1172"/>
      <c r="AJ329" s="1172"/>
      <c r="AK329" s="1172"/>
      <c r="AL329" s="1173"/>
      <c r="AM329" s="1174"/>
      <c r="AN329" s="1175"/>
      <c r="AO329" s="1176"/>
      <c r="AP329" s="1177"/>
      <c r="AQ329" s="1547"/>
      <c r="AR329" s="1177"/>
      <c r="AS329" s="1548"/>
      <c r="AT329" s="1549"/>
      <c r="AU329" s="1178"/>
      <c r="AV329" s="1179"/>
      <c r="AY329" s="3">
        <v>1</v>
      </c>
    </row>
    <row r="330" spans="2:51" ht="18.75">
      <c r="B330" s="104"/>
      <c r="C330" s="1172"/>
      <c r="D330" s="1172"/>
      <c r="E330" s="1172"/>
      <c r="F330" s="1173"/>
      <c r="G330" s="1174"/>
      <c r="H330" s="1175"/>
      <c r="I330" s="1176"/>
      <c r="J330" s="1177"/>
      <c r="K330" s="1547"/>
      <c r="L330" s="1177"/>
      <c r="M330" s="1548"/>
      <c r="N330" s="1549"/>
      <c r="O330" s="1178"/>
      <c r="P330" s="1179"/>
      <c r="R330" s="104"/>
      <c r="S330" s="1172"/>
      <c r="T330" s="1172"/>
      <c r="U330" s="1172"/>
      <c r="V330" s="1173"/>
      <c r="W330" s="1174"/>
      <c r="X330" s="1175"/>
      <c r="Y330" s="1176"/>
      <c r="Z330" s="1177"/>
      <c r="AA330" s="1547"/>
      <c r="AB330" s="1177"/>
      <c r="AC330" s="1548"/>
      <c r="AD330" s="1549"/>
      <c r="AE330" s="1178"/>
      <c r="AF330" s="1179"/>
      <c r="AH330" s="104"/>
      <c r="AI330" s="1172"/>
      <c r="AJ330" s="1172"/>
      <c r="AK330" s="1172"/>
      <c r="AL330" s="1173"/>
      <c r="AM330" s="1174"/>
      <c r="AN330" s="1175"/>
      <c r="AO330" s="1176"/>
      <c r="AP330" s="1177"/>
      <c r="AQ330" s="1547"/>
      <c r="AR330" s="1177"/>
      <c r="AS330" s="1548"/>
      <c r="AT330" s="1549"/>
      <c r="AU330" s="1178"/>
      <c r="AV330" s="1179"/>
      <c r="AY330" s="3">
        <v>1</v>
      </c>
    </row>
    <row r="331" spans="2:51" ht="18.75">
      <c r="B331" s="104"/>
      <c r="C331" s="1172"/>
      <c r="D331" s="1172"/>
      <c r="E331" s="1172"/>
      <c r="F331" s="1173"/>
      <c r="G331" s="1174"/>
      <c r="H331" s="1175"/>
      <c r="I331" s="1176"/>
      <c r="J331" s="1177"/>
      <c r="K331" s="1547"/>
      <c r="L331" s="1177"/>
      <c r="M331" s="1548"/>
      <c r="N331" s="1549"/>
      <c r="O331" s="1178"/>
      <c r="P331" s="1179"/>
      <c r="R331" s="104"/>
      <c r="S331" s="1172"/>
      <c r="T331" s="1172"/>
      <c r="U331" s="1172"/>
      <c r="V331" s="1173"/>
      <c r="W331" s="1174"/>
      <c r="X331" s="1175"/>
      <c r="Y331" s="1176"/>
      <c r="Z331" s="1177"/>
      <c r="AA331" s="1547"/>
      <c r="AB331" s="1177"/>
      <c r="AC331" s="1548"/>
      <c r="AD331" s="1549"/>
      <c r="AE331" s="1178"/>
      <c r="AF331" s="1179"/>
      <c r="AH331" s="104"/>
      <c r="AI331" s="1172"/>
      <c r="AJ331" s="1172"/>
      <c r="AK331" s="1172"/>
      <c r="AL331" s="1173"/>
      <c r="AM331" s="1174"/>
      <c r="AN331" s="1175"/>
      <c r="AO331" s="1176"/>
      <c r="AP331" s="1177"/>
      <c r="AQ331" s="1547"/>
      <c r="AR331" s="1177"/>
      <c r="AS331" s="1548"/>
      <c r="AT331" s="1549"/>
      <c r="AU331" s="1178"/>
      <c r="AV331" s="1179"/>
      <c r="AY331" s="3">
        <v>1</v>
      </c>
    </row>
    <row r="332" spans="2:51" ht="18.75">
      <c r="B332" s="104"/>
      <c r="C332" s="1172"/>
      <c r="D332" s="1172"/>
      <c r="E332" s="1172"/>
      <c r="F332" s="1173"/>
      <c r="G332" s="1174"/>
      <c r="H332" s="1175"/>
      <c r="I332" s="1176"/>
      <c r="J332" s="1177"/>
      <c r="K332" s="1547"/>
      <c r="L332" s="1177"/>
      <c r="M332" s="1548"/>
      <c r="N332" s="1549"/>
      <c r="O332" s="1178"/>
      <c r="P332" s="1179"/>
      <c r="R332" s="104"/>
      <c r="S332" s="1172"/>
      <c r="T332" s="1172"/>
      <c r="U332" s="1172"/>
      <c r="V332" s="1173"/>
      <c r="W332" s="1174"/>
      <c r="X332" s="1175"/>
      <c r="Y332" s="1176"/>
      <c r="Z332" s="1177"/>
      <c r="AA332" s="1547"/>
      <c r="AB332" s="1177"/>
      <c r="AC332" s="1548"/>
      <c r="AD332" s="1549"/>
      <c r="AE332" s="1178"/>
      <c r="AF332" s="1179"/>
      <c r="AH332" s="104"/>
      <c r="AI332" s="1172"/>
      <c r="AJ332" s="1172"/>
      <c r="AK332" s="1172"/>
      <c r="AL332" s="1173"/>
      <c r="AM332" s="1174"/>
      <c r="AN332" s="1175"/>
      <c r="AO332" s="1176"/>
      <c r="AP332" s="1177"/>
      <c r="AQ332" s="1547"/>
      <c r="AR332" s="1177"/>
      <c r="AS332" s="1548"/>
      <c r="AT332" s="1549"/>
      <c r="AU332" s="1178"/>
      <c r="AV332" s="1179"/>
      <c r="AY332" s="3">
        <v>1</v>
      </c>
    </row>
    <row r="333" spans="2:51" ht="18.75">
      <c r="B333" s="104"/>
      <c r="C333" s="1172"/>
      <c r="D333" s="1172"/>
      <c r="E333" s="1172"/>
      <c r="F333" s="1173"/>
      <c r="G333" s="1174"/>
      <c r="H333" s="1175"/>
      <c r="I333" s="1176"/>
      <c r="J333" s="1177"/>
      <c r="K333" s="1547"/>
      <c r="L333" s="1177"/>
      <c r="M333" s="1548"/>
      <c r="N333" s="1549"/>
      <c r="O333" s="1178"/>
      <c r="P333" s="1179"/>
      <c r="R333" s="104"/>
      <c r="S333" s="1172"/>
      <c r="T333" s="1172"/>
      <c r="U333" s="1172"/>
      <c r="V333" s="1173"/>
      <c r="W333" s="1174"/>
      <c r="X333" s="1175"/>
      <c r="Y333" s="1176"/>
      <c r="Z333" s="1177"/>
      <c r="AA333" s="1547"/>
      <c r="AB333" s="1177"/>
      <c r="AC333" s="1548"/>
      <c r="AD333" s="1549"/>
      <c r="AE333" s="1178"/>
      <c r="AF333" s="1179"/>
      <c r="AH333" s="104"/>
      <c r="AI333" s="1172"/>
      <c r="AJ333" s="1172"/>
      <c r="AK333" s="1172"/>
      <c r="AL333" s="1173"/>
      <c r="AM333" s="1174"/>
      <c r="AN333" s="1175"/>
      <c r="AO333" s="1176"/>
      <c r="AP333" s="1177"/>
      <c r="AQ333" s="1547"/>
      <c r="AR333" s="1177"/>
      <c r="AS333" s="1548"/>
      <c r="AT333" s="1549"/>
      <c r="AU333" s="1178"/>
      <c r="AV333" s="1179"/>
      <c r="AY333" s="3">
        <v>1</v>
      </c>
    </row>
    <row r="334" spans="2:51" ht="18.75">
      <c r="B334" s="104"/>
      <c r="C334" s="1172"/>
      <c r="D334" s="1172"/>
      <c r="E334" s="1172"/>
      <c r="F334" s="1173"/>
      <c r="G334" s="1174"/>
      <c r="H334" s="1175"/>
      <c r="I334" s="1176"/>
      <c r="J334" s="1177"/>
      <c r="K334" s="1547"/>
      <c r="L334" s="1177"/>
      <c r="M334" s="1548"/>
      <c r="N334" s="1549"/>
      <c r="O334" s="1178"/>
      <c r="P334" s="1179"/>
      <c r="R334" s="104"/>
      <c r="S334" s="1172"/>
      <c r="T334" s="1172"/>
      <c r="U334" s="1172"/>
      <c r="V334" s="1173"/>
      <c r="W334" s="1174"/>
      <c r="X334" s="1175"/>
      <c r="Y334" s="1176"/>
      <c r="Z334" s="1177"/>
      <c r="AA334" s="1547"/>
      <c r="AB334" s="1177"/>
      <c r="AC334" s="1548"/>
      <c r="AD334" s="1549"/>
      <c r="AE334" s="1178"/>
      <c r="AF334" s="1179"/>
      <c r="AH334" s="104"/>
      <c r="AI334" s="1172"/>
      <c r="AJ334" s="1172"/>
      <c r="AK334" s="1172"/>
      <c r="AL334" s="1173"/>
      <c r="AM334" s="1174"/>
      <c r="AN334" s="1175"/>
      <c r="AO334" s="1176"/>
      <c r="AP334" s="1177"/>
      <c r="AQ334" s="1547"/>
      <c r="AR334" s="1177"/>
      <c r="AS334" s="1548"/>
      <c r="AT334" s="1549"/>
      <c r="AU334" s="1178"/>
      <c r="AV334" s="1179"/>
      <c r="AY334" s="3">
        <v>1</v>
      </c>
    </row>
    <row r="335" spans="2:51" ht="18.75">
      <c r="B335" s="104"/>
      <c r="C335" s="1172"/>
      <c r="D335" s="1172"/>
      <c r="E335" s="1172"/>
      <c r="F335" s="1173"/>
      <c r="G335" s="1174"/>
      <c r="H335" s="1175"/>
      <c r="I335" s="1176"/>
      <c r="J335" s="1177"/>
      <c r="K335" s="1547"/>
      <c r="L335" s="1177"/>
      <c r="M335" s="1548"/>
      <c r="N335" s="1549"/>
      <c r="O335" s="1178"/>
      <c r="P335" s="1179"/>
      <c r="R335" s="104"/>
      <c r="S335" s="1172"/>
      <c r="T335" s="1172"/>
      <c r="U335" s="1172"/>
      <c r="V335" s="1173"/>
      <c r="W335" s="1174"/>
      <c r="X335" s="1175"/>
      <c r="Y335" s="1176"/>
      <c r="Z335" s="1177"/>
      <c r="AA335" s="1547"/>
      <c r="AB335" s="1177"/>
      <c r="AC335" s="1548"/>
      <c r="AD335" s="1549"/>
      <c r="AE335" s="1178"/>
      <c r="AF335" s="1179"/>
      <c r="AH335" s="104"/>
      <c r="AI335" s="1172"/>
      <c r="AJ335" s="1172"/>
      <c r="AK335" s="1172"/>
      <c r="AL335" s="1173"/>
      <c r="AM335" s="1174"/>
      <c r="AN335" s="1175"/>
      <c r="AO335" s="1176"/>
      <c r="AP335" s="1177"/>
      <c r="AQ335" s="1547"/>
      <c r="AR335" s="1177"/>
      <c r="AS335" s="1548"/>
      <c r="AT335" s="1549"/>
      <c r="AU335" s="1178"/>
      <c r="AV335" s="1179"/>
      <c r="AY335" s="3">
        <v>1</v>
      </c>
    </row>
    <row r="336" spans="2:51" ht="18.75">
      <c r="B336" s="104"/>
      <c r="C336" s="1172"/>
      <c r="D336" s="1172"/>
      <c r="E336" s="1172"/>
      <c r="F336" s="1173"/>
      <c r="G336" s="1174"/>
      <c r="H336" s="1175"/>
      <c r="I336" s="1176"/>
      <c r="J336" s="1177"/>
      <c r="K336" s="1547"/>
      <c r="L336" s="1177"/>
      <c r="M336" s="1548"/>
      <c r="N336" s="1549"/>
      <c r="O336" s="1178"/>
      <c r="P336" s="1179"/>
      <c r="R336" s="104"/>
      <c r="S336" s="1172"/>
      <c r="T336" s="1172"/>
      <c r="U336" s="1172"/>
      <c r="V336" s="1173"/>
      <c r="W336" s="1174"/>
      <c r="X336" s="1175"/>
      <c r="Y336" s="1176"/>
      <c r="Z336" s="1177"/>
      <c r="AA336" s="1547"/>
      <c r="AB336" s="1177"/>
      <c r="AC336" s="1548"/>
      <c r="AD336" s="1549"/>
      <c r="AE336" s="1178"/>
      <c r="AF336" s="1179"/>
      <c r="AH336" s="104"/>
      <c r="AI336" s="1172"/>
      <c r="AJ336" s="1172"/>
      <c r="AK336" s="1172"/>
      <c r="AL336" s="1173"/>
      <c r="AM336" s="1174"/>
      <c r="AN336" s="1175"/>
      <c r="AO336" s="1176"/>
      <c r="AP336" s="1177"/>
      <c r="AQ336" s="1547"/>
      <c r="AR336" s="1177"/>
      <c r="AS336" s="1548"/>
      <c r="AT336" s="1549"/>
      <c r="AU336" s="1178"/>
      <c r="AV336" s="1179"/>
      <c r="AY336" s="3">
        <v>1</v>
      </c>
    </row>
    <row r="337" spans="1:53" ht="18.75">
      <c r="B337" s="104"/>
      <c r="C337" s="1172"/>
      <c r="D337" s="1172"/>
      <c r="E337" s="1172"/>
      <c r="F337" s="1173"/>
      <c r="G337" s="1174"/>
      <c r="H337" s="1175"/>
      <c r="I337" s="1176"/>
      <c r="J337" s="1177"/>
      <c r="K337" s="1547"/>
      <c r="L337" s="1177"/>
      <c r="M337" s="1548"/>
      <c r="N337" s="1549"/>
      <c r="O337" s="1178"/>
      <c r="P337" s="1179"/>
      <c r="R337" s="104"/>
      <c r="S337" s="1172"/>
      <c r="T337" s="1172"/>
      <c r="U337" s="1172"/>
      <c r="V337" s="1173"/>
      <c r="W337" s="1174"/>
      <c r="X337" s="1175"/>
      <c r="Y337" s="1176"/>
      <c r="Z337" s="1177"/>
      <c r="AA337" s="1547"/>
      <c r="AB337" s="1177"/>
      <c r="AC337" s="1548"/>
      <c r="AD337" s="1549"/>
      <c r="AE337" s="1178"/>
      <c r="AF337" s="1179"/>
      <c r="AH337" s="104"/>
      <c r="AI337" s="1172"/>
      <c r="AJ337" s="1172"/>
      <c r="AK337" s="1172"/>
      <c r="AL337" s="1173"/>
      <c r="AM337" s="1174"/>
      <c r="AN337" s="1175"/>
      <c r="AO337" s="1176"/>
      <c r="AP337" s="1177"/>
      <c r="AQ337" s="1547"/>
      <c r="AR337" s="1177"/>
      <c r="AS337" s="1548"/>
      <c r="AT337" s="1549"/>
      <c r="AU337" s="1178"/>
      <c r="AV337" s="1179"/>
      <c r="AY337" s="3">
        <v>1</v>
      </c>
    </row>
    <row r="338" spans="1:53" ht="18.75">
      <c r="B338" s="104"/>
      <c r="C338" s="1172"/>
      <c r="D338" s="1172"/>
      <c r="E338" s="1172"/>
      <c r="F338" s="1173"/>
      <c r="G338" s="1174"/>
      <c r="H338" s="1175"/>
      <c r="I338" s="1176"/>
      <c r="J338" s="1177"/>
      <c r="K338" s="1547"/>
      <c r="L338" s="1177"/>
      <c r="M338" s="1548"/>
      <c r="N338" s="1549"/>
      <c r="O338" s="1178"/>
      <c r="P338" s="1179"/>
      <c r="R338" s="104"/>
      <c r="S338" s="1172"/>
      <c r="T338" s="1172"/>
      <c r="U338" s="1172"/>
      <c r="V338" s="1173"/>
      <c r="W338" s="1174"/>
      <c r="X338" s="1175"/>
      <c r="Y338" s="1176"/>
      <c r="Z338" s="1177"/>
      <c r="AA338" s="1547"/>
      <c r="AB338" s="1177"/>
      <c r="AC338" s="1548"/>
      <c r="AD338" s="1549"/>
      <c r="AE338" s="1178"/>
      <c r="AF338" s="1179"/>
      <c r="AH338" s="104"/>
      <c r="AI338" s="1172"/>
      <c r="AJ338" s="1172"/>
      <c r="AK338" s="1172"/>
      <c r="AL338" s="1173"/>
      <c r="AM338" s="1174"/>
      <c r="AN338" s="1175"/>
      <c r="AO338" s="1176"/>
      <c r="AP338" s="1177"/>
      <c r="AQ338" s="1547"/>
      <c r="AR338" s="1177"/>
      <c r="AS338" s="1548"/>
      <c r="AT338" s="1549"/>
      <c r="AU338" s="1178"/>
      <c r="AV338" s="1179"/>
      <c r="AY338" s="3">
        <v>1</v>
      </c>
    </row>
    <row r="339" spans="1:53" ht="18.75">
      <c r="B339" s="104"/>
      <c r="C339" s="1172"/>
      <c r="D339" s="1172"/>
      <c r="E339" s="1172"/>
      <c r="F339" s="1173"/>
      <c r="G339" s="1174"/>
      <c r="H339" s="1175"/>
      <c r="I339" s="1176"/>
      <c r="J339" s="1177"/>
      <c r="K339" s="1547"/>
      <c r="L339" s="1177"/>
      <c r="M339" s="1548"/>
      <c r="N339" s="1549"/>
      <c r="O339" s="1178"/>
      <c r="P339" s="1179"/>
      <c r="R339" s="104"/>
      <c r="S339" s="1172"/>
      <c r="T339" s="1172"/>
      <c r="U339" s="1172"/>
      <c r="V339" s="1173"/>
      <c r="W339" s="1174"/>
      <c r="X339" s="1175"/>
      <c r="Y339" s="1176"/>
      <c r="Z339" s="1177"/>
      <c r="AA339" s="1547"/>
      <c r="AB339" s="1177"/>
      <c r="AC339" s="1548"/>
      <c r="AD339" s="1549"/>
      <c r="AE339" s="1178"/>
      <c r="AF339" s="1179"/>
      <c r="AH339" s="104"/>
      <c r="AI339" s="1172"/>
      <c r="AJ339" s="1172"/>
      <c r="AK339" s="1172"/>
      <c r="AL339" s="1173"/>
      <c r="AM339" s="1174"/>
      <c r="AN339" s="1175"/>
      <c r="AO339" s="1176"/>
      <c r="AP339" s="1177"/>
      <c r="AQ339" s="1547"/>
      <c r="AR339" s="1177"/>
      <c r="AS339" s="1548"/>
      <c r="AT339" s="1549"/>
      <c r="AU339" s="1178"/>
      <c r="AV339" s="1179"/>
      <c r="AY339" s="3">
        <v>1</v>
      </c>
    </row>
    <row r="340" spans="1:53" ht="18.75">
      <c r="B340" s="104"/>
      <c r="C340" s="1172"/>
      <c r="D340" s="1172"/>
      <c r="E340" s="1172"/>
      <c r="F340" s="1173"/>
      <c r="G340" s="1174"/>
      <c r="H340" s="1175"/>
      <c r="I340" s="1176"/>
      <c r="J340" s="1177"/>
      <c r="K340" s="1547"/>
      <c r="L340" s="1177"/>
      <c r="M340" s="1548"/>
      <c r="N340" s="1549"/>
      <c r="O340" s="1178"/>
      <c r="P340" s="1179"/>
      <c r="R340" s="104"/>
      <c r="S340" s="1172"/>
      <c r="T340" s="1172"/>
      <c r="U340" s="1172"/>
      <c r="V340" s="1173"/>
      <c r="W340" s="1174"/>
      <c r="X340" s="1175"/>
      <c r="Y340" s="1176"/>
      <c r="Z340" s="1177"/>
      <c r="AA340" s="1547"/>
      <c r="AB340" s="1177"/>
      <c r="AC340" s="1548"/>
      <c r="AD340" s="1549"/>
      <c r="AE340" s="1178"/>
      <c r="AF340" s="1179"/>
      <c r="AH340" s="104"/>
      <c r="AI340" s="1172"/>
      <c r="AJ340" s="1172"/>
      <c r="AK340" s="1172"/>
      <c r="AL340" s="1173"/>
      <c r="AM340" s="1174"/>
      <c r="AN340" s="1175"/>
      <c r="AO340" s="1176"/>
      <c r="AP340" s="1177"/>
      <c r="AQ340" s="1547"/>
      <c r="AR340" s="1177"/>
      <c r="AS340" s="1548"/>
      <c r="AT340" s="1549"/>
      <c r="AU340" s="1178"/>
      <c r="AV340" s="1179"/>
      <c r="AY340" s="3">
        <v>1</v>
      </c>
    </row>
    <row r="341" spans="1:53" ht="18.75">
      <c r="B341" s="104"/>
      <c r="C341" s="1172"/>
      <c r="D341" s="1172"/>
      <c r="E341" s="1172"/>
      <c r="F341" s="1173"/>
      <c r="G341" s="1174"/>
      <c r="H341" s="1175"/>
      <c r="I341" s="1176"/>
      <c r="J341" s="1177"/>
      <c r="K341" s="1547"/>
      <c r="L341" s="1177"/>
      <c r="M341" s="1548"/>
      <c r="N341" s="1549"/>
      <c r="O341" s="1178"/>
      <c r="P341" s="1179"/>
      <c r="R341" s="104"/>
      <c r="S341" s="1172"/>
      <c r="T341" s="1172"/>
      <c r="U341" s="1172"/>
      <c r="V341" s="1173"/>
      <c r="W341" s="1174"/>
      <c r="X341" s="1175"/>
      <c r="Y341" s="1176"/>
      <c r="Z341" s="1177"/>
      <c r="AA341" s="1547"/>
      <c r="AB341" s="1177"/>
      <c r="AC341" s="1548"/>
      <c r="AD341" s="1549"/>
      <c r="AE341" s="1178"/>
      <c r="AF341" s="1179"/>
      <c r="AH341" s="104"/>
      <c r="AI341" s="1172"/>
      <c r="AJ341" s="1172"/>
      <c r="AK341" s="1172"/>
      <c r="AL341" s="1173"/>
      <c r="AM341" s="1174"/>
      <c r="AN341" s="1175"/>
      <c r="AO341" s="1176"/>
      <c r="AP341" s="1177"/>
      <c r="AQ341" s="1547"/>
      <c r="AR341" s="1177"/>
      <c r="AS341" s="1548"/>
      <c r="AT341" s="1549"/>
      <c r="AU341" s="1178"/>
      <c r="AV341" s="1179"/>
      <c r="AY341" s="3">
        <v>1</v>
      </c>
    </row>
    <row r="342" spans="1:53" ht="27" customHeight="1">
      <c r="B342" s="224" t="s">
        <v>11</v>
      </c>
      <c r="C342" s="224"/>
      <c r="D342" s="224"/>
      <c r="E342" s="224"/>
      <c r="F342" s="224"/>
      <c r="G342" s="224"/>
      <c r="H342" s="224"/>
      <c r="I342" s="224"/>
      <c r="J342" s="224"/>
      <c r="K342" s="224"/>
      <c r="L342" s="224"/>
      <c r="M342" s="224"/>
      <c r="N342" s="224"/>
      <c r="O342" s="224"/>
      <c r="P342" s="224"/>
      <c r="R342" s="224" t="s">
        <v>11</v>
      </c>
      <c r="S342" s="224"/>
      <c r="T342" s="224"/>
      <c r="U342" s="224"/>
      <c r="V342" s="224"/>
      <c r="W342" s="224"/>
      <c r="X342" s="224"/>
      <c r="Y342" s="224"/>
      <c r="Z342" s="224"/>
      <c r="AA342" s="224"/>
      <c r="AB342" s="224"/>
      <c r="AC342" s="224"/>
      <c r="AD342" s="224"/>
      <c r="AE342" s="224"/>
      <c r="AF342" s="224"/>
      <c r="AH342" s="224" t="s">
        <v>11</v>
      </c>
      <c r="AI342" s="224"/>
      <c r="AJ342" s="224"/>
      <c r="AK342" s="224"/>
      <c r="AL342" s="224"/>
      <c r="AM342" s="224"/>
      <c r="AN342" s="224"/>
      <c r="AO342" s="224"/>
      <c r="AP342" s="224"/>
      <c r="AQ342" s="224"/>
      <c r="AR342" s="224"/>
      <c r="AS342" s="224"/>
      <c r="AT342" s="224"/>
      <c r="AU342" s="224"/>
      <c r="AV342" s="224"/>
      <c r="AY342" s="708" t="s">
        <v>823</v>
      </c>
    </row>
    <row r="343" spans="1:53">
      <c r="A343" s="3">
        <v>1</v>
      </c>
      <c r="B343" s="3">
        <v>1</v>
      </c>
      <c r="C343" s="3">
        <v>1</v>
      </c>
      <c r="D343" s="3">
        <v>1</v>
      </c>
      <c r="E343" s="3">
        <v>1</v>
      </c>
      <c r="F343" s="3">
        <v>1</v>
      </c>
      <c r="G343" s="3">
        <v>1</v>
      </c>
      <c r="H343" s="3">
        <v>1</v>
      </c>
      <c r="I343" s="3">
        <v>1</v>
      </c>
      <c r="J343" s="3">
        <v>1</v>
      </c>
      <c r="K343" s="3">
        <v>1</v>
      </c>
      <c r="L343" s="3">
        <v>1</v>
      </c>
      <c r="M343" s="3">
        <v>1</v>
      </c>
      <c r="N343" s="3">
        <v>1</v>
      </c>
      <c r="O343" s="3">
        <v>1</v>
      </c>
      <c r="P343" s="3">
        <v>1</v>
      </c>
      <c r="Q343" s="3">
        <v>1</v>
      </c>
      <c r="R343" s="3">
        <v>1</v>
      </c>
      <c r="S343" s="3">
        <v>1</v>
      </c>
      <c r="T343" s="3">
        <v>1</v>
      </c>
      <c r="U343" s="3">
        <v>1</v>
      </c>
      <c r="V343" s="3">
        <v>1</v>
      </c>
      <c r="W343" s="3">
        <v>1</v>
      </c>
      <c r="X343" s="3">
        <v>1</v>
      </c>
      <c r="Y343" s="3">
        <v>1</v>
      </c>
      <c r="Z343" s="3">
        <v>1</v>
      </c>
      <c r="AA343" s="3">
        <v>1</v>
      </c>
      <c r="AB343" s="3">
        <v>1</v>
      </c>
      <c r="AC343" s="3">
        <v>1</v>
      </c>
      <c r="AD343" s="3">
        <v>1</v>
      </c>
      <c r="AE343" s="3">
        <v>1</v>
      </c>
      <c r="AF343" s="3">
        <v>1</v>
      </c>
      <c r="AG343" s="3">
        <v>1</v>
      </c>
      <c r="AH343" s="3">
        <v>1</v>
      </c>
      <c r="AI343" s="3">
        <v>1</v>
      </c>
      <c r="AJ343" s="3">
        <v>1</v>
      </c>
      <c r="AK343" s="3">
        <v>1</v>
      </c>
      <c r="AL343" s="3">
        <v>1</v>
      </c>
      <c r="AM343" s="3">
        <v>1</v>
      </c>
      <c r="AN343" s="3">
        <v>1</v>
      </c>
      <c r="AO343" s="3">
        <v>1</v>
      </c>
      <c r="AP343" s="3">
        <v>1</v>
      </c>
      <c r="AQ343" s="3">
        <v>1</v>
      </c>
      <c r="AR343" s="3">
        <v>1</v>
      </c>
      <c r="AS343" s="3">
        <v>1</v>
      </c>
      <c r="AT343" s="3">
        <v>1</v>
      </c>
      <c r="AU343" s="3">
        <v>1</v>
      </c>
      <c r="AV343" s="3">
        <v>1</v>
      </c>
      <c r="AW343" s="3">
        <v>1</v>
      </c>
      <c r="AX343" s="3">
        <v>1</v>
      </c>
      <c r="AY343" s="1" t="str">
        <f>ADDRESS(ROW(),COLUMN(),4)</f>
        <v>AY343</v>
      </c>
      <c r="AZ343" s="710"/>
      <c r="BA343" s="711" t="str">
        <f>ADDRESS(ROW(),COLUMN(),4)</f>
        <v>BA343</v>
      </c>
    </row>
  </sheetData>
  <mergeCells count="27">
    <mergeCell ref="N18:N19"/>
    <mergeCell ref="O18:O19"/>
    <mergeCell ref="P18:P19"/>
    <mergeCell ref="X10:AC11"/>
    <mergeCell ref="AD10:AE11"/>
    <mergeCell ref="AA13:AC14"/>
    <mergeCell ref="AE14:AF14"/>
    <mergeCell ref="Y15:Z15"/>
    <mergeCell ref="Y16:AA16"/>
    <mergeCell ref="Z18:Z19"/>
    <mergeCell ref="AA18:AA19"/>
    <mergeCell ref="AB18:AB19"/>
    <mergeCell ref="AD18:AD19"/>
    <mergeCell ref="AE18:AE19"/>
    <mergeCell ref="AF18:AF19"/>
    <mergeCell ref="I15:J15"/>
    <mergeCell ref="I16:K16"/>
    <mergeCell ref="J18:J19"/>
    <mergeCell ref="K18:K19"/>
    <mergeCell ref="L18:L19"/>
    <mergeCell ref="AT4:AV7"/>
    <mergeCell ref="H10:M11"/>
    <mergeCell ref="N10:O11"/>
    <mergeCell ref="P10:P11"/>
    <mergeCell ref="K13:M14"/>
    <mergeCell ref="O14:P14"/>
    <mergeCell ref="AF10:AF11"/>
  </mergeCells>
  <conditionalFormatting sqref="L20:L29">
    <cfRule type="cellIs" dxfId="56" priority="2" operator="notEqual">
      <formula>1</formula>
    </cfRule>
  </conditionalFormatting>
  <conditionalFormatting sqref="AB20:AB29">
    <cfRule type="cellIs" dxfId="55" priority="1" operator="notEqual">
      <formula>1</formula>
    </cfRule>
  </conditionalFormatting>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E07F86-2B94-4409-820C-FFE6F6340A54}">
  <dimension ref="A1:BA343"/>
  <sheetViews>
    <sheetView showZeros="0" workbookViewId="0">
      <selection activeCell="B9" sqref="B9"/>
    </sheetView>
  </sheetViews>
  <sheetFormatPr baseColWidth="10" defaultRowHeight="15"/>
  <cols>
    <col min="1" max="1" width="2.85546875" customWidth="1"/>
    <col min="2" max="6" width="3.7109375" customWidth="1"/>
    <col min="7" max="8" width="12.7109375" customWidth="1"/>
    <col min="9" max="9" width="3.7109375" customWidth="1"/>
    <col min="10" max="10" width="9.7109375" customWidth="1"/>
    <col min="11" max="11" width="12.7109375" customWidth="1"/>
    <col min="12" max="12" width="13.7109375" customWidth="1"/>
    <col min="13" max="13" width="40.7109375" customWidth="1"/>
    <col min="14" max="14" width="10.7109375" customWidth="1"/>
    <col min="15" max="15" width="9.7109375" customWidth="1"/>
    <col min="16" max="16" width="13.7109375" customWidth="1"/>
    <col min="17" max="17" width="6.140625" customWidth="1"/>
    <col min="18" max="22" width="3.7109375" customWidth="1"/>
    <col min="23" max="24" width="12.7109375" customWidth="1"/>
    <col min="25" max="25" width="3.7109375" customWidth="1"/>
    <col min="26" max="26" width="9.7109375" customWidth="1"/>
    <col min="27" max="27" width="12.7109375" customWidth="1"/>
    <col min="28" max="28" width="13.7109375" customWidth="1"/>
    <col min="29" max="29" width="40.7109375" customWidth="1"/>
    <col min="30" max="30" width="10.7109375" customWidth="1"/>
    <col min="31" max="31" width="9.7109375" customWidth="1"/>
    <col min="32" max="32" width="13.7109375" customWidth="1"/>
    <col min="33" max="33" width="5.7109375" customWidth="1"/>
    <col min="34" max="38" width="3.7109375" customWidth="1"/>
    <col min="39" max="40" width="12.7109375" customWidth="1"/>
    <col min="41" max="41" width="3.7109375" customWidth="1"/>
    <col min="42" max="42" width="9.7109375" customWidth="1"/>
    <col min="43" max="43" width="12.7109375" customWidth="1"/>
    <col min="44" max="44" width="13.7109375" customWidth="1"/>
    <col min="45" max="45" width="40.7109375" customWidth="1"/>
    <col min="46" max="46" width="10.7109375" customWidth="1"/>
    <col min="47" max="47" width="9.7109375" customWidth="1"/>
    <col min="48" max="48" width="13.7109375" customWidth="1"/>
    <col min="51" max="51" width="5.42578125" customWidth="1"/>
    <col min="53" max="53" width="86" customWidth="1"/>
  </cols>
  <sheetData>
    <row r="1" spans="1:53" ht="15.75" thickTop="1">
      <c r="A1" s="1" t="str">
        <f>ADDRESS(ROW(),COLUMN(),4)</f>
        <v>A1</v>
      </c>
      <c r="B1" s="2" t="str">
        <f t="shared" ref="B1:AV1" si="0">SUBSTITUTE(ADDRESS(1,COLUMN(),4),"1","")</f>
        <v>B</v>
      </c>
      <c r="C1" s="2" t="str">
        <f t="shared" si="0"/>
        <v>C</v>
      </c>
      <c r="D1" s="2" t="str">
        <f t="shared" si="0"/>
        <v>D</v>
      </c>
      <c r="E1" s="2" t="str">
        <f t="shared" si="0"/>
        <v>E</v>
      </c>
      <c r="F1" s="2" t="str">
        <f t="shared" si="0"/>
        <v>F</v>
      </c>
      <c r="G1" s="2" t="str">
        <f t="shared" si="0"/>
        <v>G</v>
      </c>
      <c r="H1" s="2" t="str">
        <f t="shared" si="0"/>
        <v>H</v>
      </c>
      <c r="I1" s="2" t="str">
        <f t="shared" si="0"/>
        <v>I</v>
      </c>
      <c r="J1" s="2" t="str">
        <f t="shared" si="0"/>
        <v>J</v>
      </c>
      <c r="K1" s="2" t="str">
        <f t="shared" si="0"/>
        <v>K</v>
      </c>
      <c r="L1" s="2" t="str">
        <f t="shared" si="0"/>
        <v>L</v>
      </c>
      <c r="M1" s="2" t="str">
        <f t="shared" si="0"/>
        <v>M</v>
      </c>
      <c r="N1" s="2" t="str">
        <f t="shared" si="0"/>
        <v>N</v>
      </c>
      <c r="O1" s="2" t="str">
        <f t="shared" si="0"/>
        <v>O</v>
      </c>
      <c r="P1" s="2" t="str">
        <f t="shared" si="0"/>
        <v>P</v>
      </c>
      <c r="R1" s="2" t="str">
        <f t="shared" si="0"/>
        <v>R</v>
      </c>
      <c r="S1" s="2" t="str">
        <f t="shared" si="0"/>
        <v>S</v>
      </c>
      <c r="T1" s="2" t="str">
        <f t="shared" si="0"/>
        <v>T</v>
      </c>
      <c r="U1" s="2" t="str">
        <f t="shared" si="0"/>
        <v>U</v>
      </c>
      <c r="V1" s="2" t="str">
        <f t="shared" si="0"/>
        <v>V</v>
      </c>
      <c r="W1" s="2" t="str">
        <f t="shared" si="0"/>
        <v>W</v>
      </c>
      <c r="X1" s="2" t="str">
        <f t="shared" si="0"/>
        <v>X</v>
      </c>
      <c r="Y1" s="2" t="str">
        <f t="shared" si="0"/>
        <v>Y</v>
      </c>
      <c r="Z1" s="2" t="str">
        <f t="shared" si="0"/>
        <v>Z</v>
      </c>
      <c r="AA1" s="2" t="str">
        <f t="shared" si="0"/>
        <v>AA</v>
      </c>
      <c r="AB1" s="2" t="str">
        <f t="shared" si="0"/>
        <v>AB</v>
      </c>
      <c r="AC1" s="2" t="str">
        <f t="shared" si="0"/>
        <v>AC</v>
      </c>
      <c r="AD1" s="2" t="str">
        <f t="shared" si="0"/>
        <v>AD</v>
      </c>
      <c r="AE1" s="2" t="str">
        <f t="shared" si="0"/>
        <v>AE</v>
      </c>
      <c r="AF1" s="2" t="str">
        <f t="shared" si="0"/>
        <v>AF</v>
      </c>
      <c r="AH1" s="2" t="str">
        <f t="shared" si="0"/>
        <v>AH</v>
      </c>
      <c r="AI1" s="2" t="str">
        <f t="shared" si="0"/>
        <v>AI</v>
      </c>
      <c r="AJ1" s="2" t="str">
        <f t="shared" si="0"/>
        <v>AJ</v>
      </c>
      <c r="AK1" s="2" t="str">
        <f t="shared" si="0"/>
        <v>AK</v>
      </c>
      <c r="AL1" s="2" t="str">
        <f t="shared" si="0"/>
        <v>AL</v>
      </c>
      <c r="AM1" s="2" t="str">
        <f t="shared" si="0"/>
        <v>AM</v>
      </c>
      <c r="AN1" s="2" t="str">
        <f t="shared" si="0"/>
        <v>AN</v>
      </c>
      <c r="AO1" s="2" t="str">
        <f t="shared" si="0"/>
        <v>AO</v>
      </c>
      <c r="AP1" s="2" t="str">
        <f t="shared" si="0"/>
        <v>AP</v>
      </c>
      <c r="AQ1" s="2" t="str">
        <f t="shared" si="0"/>
        <v>AQ</v>
      </c>
      <c r="AR1" s="2" t="str">
        <f t="shared" si="0"/>
        <v>AR</v>
      </c>
      <c r="AS1" s="2" t="str">
        <f t="shared" si="0"/>
        <v>AS</v>
      </c>
      <c r="AT1" s="2" t="str">
        <f t="shared" si="0"/>
        <v>AT</v>
      </c>
      <c r="AU1" s="2" t="str">
        <f t="shared" si="0"/>
        <v>AU</v>
      </c>
      <c r="AV1" s="2" t="str">
        <f t="shared" si="0"/>
        <v>AV</v>
      </c>
      <c r="AY1" s="3">
        <v>1</v>
      </c>
      <c r="AZ1" s="4" t="str">
        <f>SUBSTITUTE(ADDRESS(1,COLUMN(),4),"1","")</f>
        <v>AZ</v>
      </c>
      <c r="BA1" s="5" t="str">
        <f>SUBSTITUTE(ADDRESS(1,COLUMN(),4),"1","")</f>
        <v>BA</v>
      </c>
    </row>
    <row r="2" spans="1:53">
      <c r="B2" s="922">
        <f t="shared" ref="B2:AV2" ca="1" si="1">CELL("largeur",B2)</f>
        <v>3</v>
      </c>
      <c r="C2" s="922">
        <f t="shared" ca="1" si="1"/>
        <v>3</v>
      </c>
      <c r="D2" s="922">
        <f t="shared" ca="1" si="1"/>
        <v>3</v>
      </c>
      <c r="E2" s="922">
        <f t="shared" ca="1" si="1"/>
        <v>3</v>
      </c>
      <c r="F2" s="922">
        <f t="shared" ca="1" si="1"/>
        <v>3</v>
      </c>
      <c r="G2" s="922">
        <f t="shared" ca="1" si="1"/>
        <v>12</v>
      </c>
      <c r="H2" s="922">
        <f t="shared" ca="1" si="1"/>
        <v>12</v>
      </c>
      <c r="I2" s="922">
        <f t="shared" ca="1" si="1"/>
        <v>3</v>
      </c>
      <c r="J2" s="922">
        <f t="shared" ca="1" si="1"/>
        <v>9</v>
      </c>
      <c r="K2" s="922">
        <f t="shared" ca="1" si="1"/>
        <v>12</v>
      </c>
      <c r="L2" s="922">
        <f t="shared" ca="1" si="1"/>
        <v>13</v>
      </c>
      <c r="M2" s="922">
        <f t="shared" ca="1" si="1"/>
        <v>40</v>
      </c>
      <c r="N2" s="922">
        <f t="shared" ca="1" si="1"/>
        <v>10</v>
      </c>
      <c r="O2" s="922">
        <f t="shared" ca="1" si="1"/>
        <v>9</v>
      </c>
      <c r="P2" s="922">
        <f t="shared" ca="1" si="1"/>
        <v>13</v>
      </c>
      <c r="R2" s="922">
        <f t="shared" ca="1" si="1"/>
        <v>3</v>
      </c>
      <c r="S2" s="922">
        <f t="shared" ca="1" si="1"/>
        <v>3</v>
      </c>
      <c r="T2" s="922">
        <f t="shared" ca="1" si="1"/>
        <v>3</v>
      </c>
      <c r="U2" s="922">
        <f t="shared" ca="1" si="1"/>
        <v>3</v>
      </c>
      <c r="V2" s="922">
        <f t="shared" ca="1" si="1"/>
        <v>3</v>
      </c>
      <c r="W2" s="922">
        <f t="shared" ca="1" si="1"/>
        <v>12</v>
      </c>
      <c r="X2" s="922">
        <f t="shared" ca="1" si="1"/>
        <v>12</v>
      </c>
      <c r="Y2" s="922">
        <f t="shared" ca="1" si="1"/>
        <v>3</v>
      </c>
      <c r="Z2" s="922">
        <f t="shared" ca="1" si="1"/>
        <v>9</v>
      </c>
      <c r="AA2" s="922">
        <f t="shared" ca="1" si="1"/>
        <v>12</v>
      </c>
      <c r="AB2" s="922">
        <f t="shared" ca="1" si="1"/>
        <v>13</v>
      </c>
      <c r="AC2" s="922">
        <f t="shared" ca="1" si="1"/>
        <v>40</v>
      </c>
      <c r="AD2" s="922">
        <f t="shared" ca="1" si="1"/>
        <v>10</v>
      </c>
      <c r="AE2" s="922">
        <f t="shared" ca="1" si="1"/>
        <v>9</v>
      </c>
      <c r="AF2" s="922">
        <f t="shared" ca="1" si="1"/>
        <v>13</v>
      </c>
      <c r="AH2" s="922">
        <f t="shared" ca="1" si="1"/>
        <v>3</v>
      </c>
      <c r="AI2" s="922">
        <f t="shared" ca="1" si="1"/>
        <v>3</v>
      </c>
      <c r="AJ2" s="922">
        <f t="shared" ca="1" si="1"/>
        <v>3</v>
      </c>
      <c r="AK2" s="922">
        <f t="shared" ca="1" si="1"/>
        <v>3</v>
      </c>
      <c r="AL2" s="922">
        <f t="shared" ca="1" si="1"/>
        <v>3</v>
      </c>
      <c r="AM2" s="922">
        <f t="shared" ca="1" si="1"/>
        <v>12</v>
      </c>
      <c r="AN2" s="922">
        <f t="shared" ca="1" si="1"/>
        <v>12</v>
      </c>
      <c r="AO2" s="922">
        <f t="shared" ca="1" si="1"/>
        <v>3</v>
      </c>
      <c r="AP2" s="922">
        <f t="shared" ca="1" si="1"/>
        <v>9</v>
      </c>
      <c r="AQ2" s="922">
        <f t="shared" ca="1" si="1"/>
        <v>12</v>
      </c>
      <c r="AR2" s="922">
        <f t="shared" ca="1" si="1"/>
        <v>13</v>
      </c>
      <c r="AS2" s="922">
        <f t="shared" ca="1" si="1"/>
        <v>40</v>
      </c>
      <c r="AT2" s="922">
        <f t="shared" ca="1" si="1"/>
        <v>10</v>
      </c>
      <c r="AU2" s="922">
        <f t="shared" ca="1" si="1"/>
        <v>9</v>
      </c>
      <c r="AV2" s="922">
        <f t="shared" ca="1" si="1"/>
        <v>13</v>
      </c>
      <c r="AW2" s="1127" t="s">
        <v>1978</v>
      </c>
      <c r="AY2" s="3">
        <v>1</v>
      </c>
      <c r="AZ2" s="7" t="s">
        <v>3</v>
      </c>
      <c r="BA2" s="8"/>
    </row>
    <row r="3" spans="1:53" ht="19.5" customHeight="1" thickBot="1">
      <c r="B3" s="923">
        <v>3</v>
      </c>
      <c r="C3" s="923">
        <v>3</v>
      </c>
      <c r="D3" s="923">
        <v>3</v>
      </c>
      <c r="E3" s="923">
        <v>3</v>
      </c>
      <c r="F3" s="923">
        <v>3</v>
      </c>
      <c r="G3" s="923">
        <v>12</v>
      </c>
      <c r="H3" s="923">
        <v>12</v>
      </c>
      <c r="I3" s="923">
        <v>3</v>
      </c>
      <c r="J3" s="923">
        <v>9</v>
      </c>
      <c r="K3" s="923">
        <v>12</v>
      </c>
      <c r="L3" s="923">
        <v>13</v>
      </c>
      <c r="M3" s="923">
        <v>40</v>
      </c>
      <c r="N3" s="923">
        <v>10</v>
      </c>
      <c r="O3" s="923">
        <v>9</v>
      </c>
      <c r="P3" s="923">
        <v>13</v>
      </c>
      <c r="Q3" s="1149">
        <v>1</v>
      </c>
      <c r="R3" s="923">
        <v>3</v>
      </c>
      <c r="S3" s="923">
        <v>3</v>
      </c>
      <c r="T3" s="923">
        <v>3</v>
      </c>
      <c r="U3" s="923">
        <v>3</v>
      </c>
      <c r="V3" s="923">
        <v>3</v>
      </c>
      <c r="W3" s="923">
        <v>12</v>
      </c>
      <c r="X3" s="923">
        <v>12</v>
      </c>
      <c r="Y3" s="923">
        <v>3</v>
      </c>
      <c r="Z3" s="923">
        <v>9</v>
      </c>
      <c r="AA3" s="923">
        <v>12</v>
      </c>
      <c r="AB3" s="923">
        <v>13</v>
      </c>
      <c r="AC3" s="923">
        <v>40</v>
      </c>
      <c r="AD3" s="923">
        <v>10</v>
      </c>
      <c r="AE3" s="923">
        <v>9</v>
      </c>
      <c r="AF3" s="923">
        <v>13</v>
      </c>
      <c r="AG3" s="1149"/>
      <c r="AH3" s="923">
        <v>3</v>
      </c>
      <c r="AI3" s="923">
        <v>3</v>
      </c>
      <c r="AJ3" s="923">
        <v>3</v>
      </c>
      <c r="AK3" s="923">
        <v>3</v>
      </c>
      <c r="AL3" s="923">
        <v>3</v>
      </c>
      <c r="AM3" s="923">
        <v>12</v>
      </c>
      <c r="AN3" s="923">
        <v>12</v>
      </c>
      <c r="AO3" s="923">
        <v>3</v>
      </c>
      <c r="AP3" s="923">
        <v>9</v>
      </c>
      <c r="AQ3" s="923">
        <v>12</v>
      </c>
      <c r="AR3" s="923">
        <v>13</v>
      </c>
      <c r="AS3" s="923">
        <v>40</v>
      </c>
      <c r="AT3" s="923">
        <v>10</v>
      </c>
      <c r="AU3" s="923">
        <v>9</v>
      </c>
      <c r="AV3" s="923">
        <v>13</v>
      </c>
      <c r="AW3" s="1127" t="s">
        <v>1381</v>
      </c>
      <c r="AY3" s="3">
        <v>1</v>
      </c>
      <c r="AZ3" s="11">
        <f ca="1">COUNTA(A1:AX343) + COUNTBLANK(A1:AX343)</f>
        <v>17233</v>
      </c>
      <c r="BA3" s="12" t="str">
        <f>"cellules entre -cells -celdas  "&amp;" " &amp;A1&amp;" et  "&amp;AY343</f>
        <v>cellules entre -cells -celdas   A1 et  AY343</v>
      </c>
    </row>
    <row r="4" spans="1:53" s="1150" customFormat="1" ht="27" customHeight="1">
      <c r="B4" s="1550" t="s">
        <v>2623</v>
      </c>
      <c r="C4" s="1551"/>
      <c r="D4" s="1551"/>
      <c r="E4" s="1551"/>
      <c r="F4" s="1551"/>
      <c r="G4" s="1551"/>
      <c r="H4" s="1551"/>
      <c r="I4" s="1551"/>
      <c r="J4" s="1551"/>
      <c r="K4" s="1551"/>
      <c r="L4" s="1551"/>
      <c r="M4" s="1551"/>
      <c r="N4" s="1551"/>
      <c r="O4" s="1551"/>
      <c r="P4" s="1551"/>
      <c r="Q4" s="1551"/>
      <c r="R4" s="1551"/>
      <c r="S4" s="1551"/>
      <c r="T4" s="1551"/>
      <c r="U4" s="1551"/>
      <c r="V4" s="1551"/>
      <c r="W4" s="1551"/>
      <c r="X4" s="1551"/>
      <c r="Y4" s="1551"/>
      <c r="Z4" s="1551"/>
      <c r="AA4" s="1551"/>
      <c r="AB4" s="1551"/>
      <c r="AC4" s="1551"/>
      <c r="AD4" s="1551"/>
      <c r="AE4" s="1551"/>
      <c r="AF4" s="1551"/>
      <c r="AG4" s="1551"/>
      <c r="AH4" s="1551"/>
      <c r="AI4" s="1551"/>
      <c r="AJ4" s="1551"/>
      <c r="AK4" s="1551"/>
      <c r="AL4" s="1551"/>
      <c r="AM4" s="1551"/>
      <c r="AN4" s="1551"/>
      <c r="AO4" s="1551"/>
      <c r="AP4" s="1551"/>
      <c r="AQ4" s="1551"/>
      <c r="AR4" s="1551"/>
      <c r="AS4" s="1551"/>
      <c r="AT4" s="5740" t="s">
        <v>3656</v>
      </c>
      <c r="AU4" s="5740"/>
      <c r="AV4" s="5741"/>
      <c r="AY4" s="3">
        <v>1</v>
      </c>
      <c r="AZ4" s="11">
        <f ca="1">COUNTA(A1:AX343)</f>
        <v>1926</v>
      </c>
      <c r="BA4" s="12" t="s">
        <v>10</v>
      </c>
    </row>
    <row r="5" spans="1:53" ht="27" customHeight="1">
      <c r="B5" s="1552"/>
      <c r="C5" s="1553"/>
      <c r="D5" s="5306" t="str">
        <f>IF(ISNUMBER(IFERROR(VALUE("0,5"),"")),"sur cet ordi.saisissez une VIRGULE comme séparateur décimal",IF(ISNUMBER(IFERROR(VALUE("0.5"),"")),"sur cet ordi.saisissez un POINT comme séparateur décimal","Impossible de déterminer le séparateur décimal"))</f>
        <v>sur cet ordi.saisissez un POINT comme séparateur décimal</v>
      </c>
      <c r="E5" s="1553"/>
      <c r="F5" s="1553"/>
      <c r="G5" s="1553"/>
      <c r="H5" s="1553"/>
      <c r="I5" s="1553"/>
      <c r="J5" s="1553"/>
      <c r="K5" s="1553"/>
      <c r="L5" s="1553"/>
      <c r="M5" s="1553"/>
      <c r="N5" s="5307" t="str">
        <f>IF(ISNUMBER(IFERROR(VALUE("0,5"),"")),"On this computer, type a COMMA as the decimal separator",IF(ISNUMBER(IFERROR(VALUE("0.5"),"")),"On this computer, type a POINT as the decimal separator","Unable to determine the decimal separator"))</f>
        <v>On this computer, type a POINT as the decimal separator</v>
      </c>
      <c r="O5" s="1553"/>
      <c r="P5" s="1553"/>
      <c r="Q5" s="1553"/>
      <c r="R5" s="1553"/>
      <c r="S5" s="1553"/>
      <c r="T5" s="1553"/>
      <c r="U5" s="1553"/>
      <c r="V5" s="1553"/>
      <c r="W5" s="1553"/>
      <c r="X5" s="1553"/>
      <c r="Y5" s="1553"/>
      <c r="Z5" s="1553"/>
      <c r="AA5" s="1553"/>
      <c r="AB5" s="1553"/>
      <c r="AC5" s="5307" t="str">
        <f>IF(ISNUMBER(IFERROR(VALUE("0,5"),""))," En este ordenador, escriba una COMA como separador decimal",IF(ISNUMBER(IFERROR(VALUE("0.5"),"")),"En este ordenador, escriba un PUNTO como separador decimal","No es posible determinar el separador decimal"))</f>
        <v>En este ordenador, escriba un PUNTO como separador decimal</v>
      </c>
      <c r="AD5" s="1553"/>
      <c r="AE5" s="1553"/>
      <c r="AF5" s="1553"/>
      <c r="AG5" s="1553"/>
      <c r="AH5" s="1553"/>
      <c r="AI5" s="1553"/>
      <c r="AJ5" s="1553"/>
      <c r="AK5" s="1553"/>
      <c r="AL5" s="1553"/>
      <c r="AM5" s="1553"/>
      <c r="AN5" s="1553"/>
      <c r="AO5" s="1553"/>
      <c r="AP5" s="1553"/>
      <c r="AQ5" s="1553"/>
      <c r="AR5" s="1553"/>
      <c r="AS5" s="1553"/>
      <c r="AT5" s="5742"/>
      <c r="AU5" s="5742"/>
      <c r="AV5" s="5743"/>
      <c r="AY5" s="3">
        <v>1</v>
      </c>
      <c r="AZ5" s="11">
        <f ca="1">COUNTBLANK(A1:AX343)</f>
        <v>15307</v>
      </c>
      <c r="BA5" s="12" t="s">
        <v>13</v>
      </c>
    </row>
    <row r="6" spans="1:53" ht="27" customHeight="1">
      <c r="B6" s="1153" t="s">
        <v>13494</v>
      </c>
      <c r="C6" s="1154"/>
      <c r="D6" s="1154"/>
      <c r="E6" s="1154"/>
      <c r="F6" s="1154"/>
      <c r="G6" s="1154"/>
      <c r="H6" s="1154"/>
      <c r="I6" s="1154"/>
      <c r="J6" s="1154"/>
      <c r="K6" s="1154"/>
      <c r="L6" s="1154"/>
      <c r="M6" s="1154"/>
      <c r="N6" s="1154" t="s">
        <v>13495</v>
      </c>
      <c r="O6" s="1154"/>
      <c r="P6" s="1154"/>
      <c r="Q6" s="1154"/>
      <c r="R6" s="1154"/>
      <c r="S6" s="1154"/>
      <c r="T6" s="1154"/>
      <c r="U6" s="1154"/>
      <c r="V6" s="1154"/>
      <c r="W6" s="1154"/>
      <c r="X6" s="1154"/>
      <c r="Y6" s="1154"/>
      <c r="Z6" s="1154"/>
      <c r="AA6" s="1154"/>
      <c r="AB6" s="1154" t="s">
        <v>13496</v>
      </c>
      <c r="AC6" s="1154"/>
      <c r="AD6" s="1154"/>
      <c r="AE6" s="1154"/>
      <c r="AF6" s="1154"/>
      <c r="AG6" s="1154"/>
      <c r="AH6" s="1154"/>
      <c r="AI6" s="1154"/>
      <c r="AJ6" s="1154"/>
      <c r="AK6" s="1155"/>
      <c r="AL6" s="1155"/>
      <c r="AM6" s="1155"/>
      <c r="AN6" s="1155"/>
      <c r="AO6" s="1155"/>
      <c r="AP6" s="1155"/>
      <c r="AQ6" s="1155"/>
      <c r="AR6" s="1155"/>
      <c r="AS6" s="1155"/>
      <c r="AT6" s="5742"/>
      <c r="AU6" s="5742"/>
      <c r="AV6" s="5743"/>
      <c r="AY6" s="3">
        <v>1</v>
      </c>
      <c r="AZ6" s="11">
        <f>SUM(AY1:AY341)+2</f>
        <v>340</v>
      </c>
      <c r="BA6" s="12" t="s">
        <v>15</v>
      </c>
    </row>
    <row r="7" spans="1:53" ht="27" customHeight="1" thickBot="1">
      <c r="B7" s="1153" t="s">
        <v>2624</v>
      </c>
      <c r="C7" s="1156"/>
      <c r="D7" s="1156"/>
      <c r="E7" s="1156"/>
      <c r="F7" s="1156"/>
      <c r="G7" s="1156"/>
      <c r="H7" s="1156"/>
      <c r="I7" s="1156"/>
      <c r="J7" s="1156"/>
      <c r="K7" s="1156"/>
      <c r="L7" s="1156"/>
      <c r="M7" s="1156"/>
      <c r="N7" s="1156" t="s">
        <v>2625</v>
      </c>
      <c r="O7" s="1156"/>
      <c r="P7" s="1156"/>
      <c r="Q7" s="1156"/>
      <c r="R7" s="1156"/>
      <c r="S7" s="1156"/>
      <c r="T7" s="1156"/>
      <c r="U7" s="1156"/>
      <c r="V7" s="1156"/>
      <c r="W7" s="1156"/>
      <c r="X7" s="1156"/>
      <c r="Y7" s="1156"/>
      <c r="Z7" s="1156" t="s">
        <v>2626</v>
      </c>
      <c r="AA7" s="1156"/>
      <c r="AB7" s="1156"/>
      <c r="AC7" s="1156"/>
      <c r="AD7" s="1156"/>
      <c r="AE7" s="1156"/>
      <c r="AF7" s="1156"/>
      <c r="AG7" s="1156"/>
      <c r="AH7" s="1156"/>
      <c r="AI7" s="1156"/>
      <c r="AJ7" s="1156"/>
      <c r="AK7" s="1157"/>
      <c r="AL7" s="1157"/>
      <c r="AM7" s="1157"/>
      <c r="AN7" s="1158" t="s">
        <v>2627</v>
      </c>
      <c r="AO7" s="1157"/>
      <c r="AP7" s="1157"/>
      <c r="AQ7" s="1157"/>
      <c r="AR7" s="1157"/>
      <c r="AS7" s="1158"/>
      <c r="AT7" s="5744"/>
      <c r="AU7" s="5744"/>
      <c r="AV7" s="5745"/>
      <c r="AY7" s="3">
        <v>1</v>
      </c>
      <c r="AZ7" s="11">
        <f>SUM(A343:AX343)+1</f>
        <v>51</v>
      </c>
      <c r="BA7" s="12" t="s">
        <v>18</v>
      </c>
    </row>
    <row r="8" spans="1:53" ht="27" customHeight="1">
      <c r="B8" s="1159" t="s">
        <v>208</v>
      </c>
      <c r="C8" s="1160" t="str">
        <f ca="1">CELL("nomfichier")</f>
        <v>D:\Données\1.UPRT\0-UPRT.fait\1-UPRT.FR-SITE-WEB\ff-fiches-fabrications\ff.fiches.fabrication.2023\ffr.restaurant.2023\[ff.FICHE.TRILINGUE.15.COLONNES.29.11.2025.xlsx]Notice.utilisateur</v>
      </c>
      <c r="D8" s="1160"/>
      <c r="E8" s="1151"/>
      <c r="F8" s="1151"/>
      <c r="G8" s="1151"/>
      <c r="H8" s="1151"/>
      <c r="I8" s="1151"/>
      <c r="J8" s="1151"/>
      <c r="K8" s="1151"/>
      <c r="L8" s="1151"/>
      <c r="M8" s="1151"/>
      <c r="N8" s="1151"/>
      <c r="O8" s="1151"/>
      <c r="P8" s="1151"/>
      <c r="Q8" s="1151"/>
      <c r="R8" s="1151"/>
      <c r="S8" s="1151"/>
      <c r="T8" s="1151"/>
      <c r="U8" s="1151"/>
      <c r="V8" s="1151"/>
      <c r="W8" s="1151"/>
      <c r="X8" s="1151"/>
      <c r="Y8" s="1151"/>
      <c r="Z8" s="1151"/>
      <c r="AA8" s="1151"/>
      <c r="AB8" s="1151"/>
      <c r="AC8" s="1151"/>
      <c r="AD8" s="1151"/>
      <c r="AE8" s="1151"/>
      <c r="AF8" s="1151"/>
      <c r="AG8" s="1151"/>
      <c r="AH8" s="1161"/>
      <c r="AI8" s="1161"/>
      <c r="AJ8" s="1161"/>
      <c r="AK8" s="1161"/>
      <c r="AL8" s="1161"/>
      <c r="AM8" s="1161"/>
      <c r="AN8" s="1161"/>
      <c r="AO8" s="1161"/>
      <c r="AP8" s="1161"/>
      <c r="AQ8" s="1161"/>
      <c r="AR8" s="1161"/>
      <c r="AS8" s="1161"/>
      <c r="AT8" s="1161"/>
      <c r="AU8" s="1161"/>
      <c r="AV8" s="1161"/>
      <c r="AY8" s="3">
        <v>1</v>
      </c>
    </row>
    <row r="9" spans="1:53" ht="27" customHeight="1" thickBot="1">
      <c r="B9" s="1162"/>
      <c r="C9" s="1163" t="s">
        <v>1704</v>
      </c>
      <c r="D9" s="1162"/>
      <c r="E9" s="1164"/>
      <c r="F9" s="1162"/>
      <c r="G9" s="1164"/>
      <c r="H9" s="1162"/>
      <c r="I9" s="1164"/>
      <c r="J9" s="1162"/>
      <c r="K9" s="1164"/>
      <c r="L9" s="1162"/>
      <c r="M9" s="1164"/>
      <c r="N9" s="1162"/>
      <c r="O9" s="1164"/>
      <c r="P9" s="1162"/>
      <c r="Q9" s="1152"/>
      <c r="R9" s="1162"/>
      <c r="S9" s="1164"/>
      <c r="T9" s="1162"/>
      <c r="U9" s="1164"/>
      <c r="V9" s="1162"/>
      <c r="W9" s="1164"/>
      <c r="X9" s="1162"/>
      <c r="Y9" s="1164"/>
      <c r="Z9" s="1162"/>
      <c r="AA9" s="1164"/>
      <c r="AB9" s="1162"/>
      <c r="AC9" s="1164"/>
      <c r="AD9" s="1162"/>
      <c r="AE9" s="1164"/>
      <c r="AF9" s="1162"/>
      <c r="AG9" s="1152"/>
      <c r="AH9" s="1162"/>
      <c r="AI9" s="1164"/>
      <c r="AJ9" s="1162"/>
      <c r="AK9" s="1164"/>
      <c r="AL9" s="1162"/>
      <c r="AM9" s="1164"/>
      <c r="AN9" s="1162"/>
      <c r="AO9" s="1164"/>
      <c r="AP9" s="1162"/>
      <c r="AQ9" s="1164"/>
      <c r="AR9" s="1162"/>
      <c r="AS9" s="1164"/>
      <c r="AT9" s="1162"/>
      <c r="AU9" s="1164"/>
      <c r="AV9" s="1162"/>
      <c r="AY9" s="3">
        <v>1</v>
      </c>
    </row>
    <row r="10" spans="1:53" ht="27" customHeight="1">
      <c r="B10" s="22" t="s">
        <v>11</v>
      </c>
      <c r="C10" s="23" t="str">
        <f>C16</f>
        <v>N NOTRE BOUDIN NOIR | | Auteur &gt; Guy KRENZE - Eric GODDYN - Arnaud NICOLAS - CEPROC 2002</v>
      </c>
      <c r="D10" s="24">
        <f>D16</f>
        <v>16.34</v>
      </c>
      <c r="E10" s="24" t="str">
        <f>E16</f>
        <v>Kg</v>
      </c>
      <c r="F10" s="25" t="str">
        <f>F16</f>
        <v>Recette mère ► le Boudin en 4 déclinaisons</v>
      </c>
      <c r="G10" s="26" t="s">
        <v>23</v>
      </c>
      <c r="H10" s="5471" t="s">
        <v>13045</v>
      </c>
      <c r="I10" s="5471"/>
      <c r="J10" s="5471"/>
      <c r="K10" s="5471"/>
      <c r="L10" s="5471"/>
      <c r="M10" s="5471"/>
      <c r="N10" s="5473" t="s">
        <v>1031</v>
      </c>
      <c r="O10" s="5473"/>
      <c r="P10" s="5475" t="str">
        <f>UPPER(LEFT(H10,1))</f>
        <v>N</v>
      </c>
      <c r="Q10" s="1171"/>
      <c r="R10" s="22" t="s">
        <v>11</v>
      </c>
      <c r="S10" s="23" t="str">
        <f>S16</f>
        <v>N NUESTRA MORCILLA | | Autor &gt; Guy KRENZE - Eric GODDYN - Arnaud NICOLAS - CEPROC 2002</v>
      </c>
      <c r="T10" s="24">
        <f>T16</f>
        <v>16.34</v>
      </c>
      <c r="U10" s="24" t="str">
        <f>U16</f>
        <v>Kg</v>
      </c>
      <c r="V10" s="25" t="str">
        <f>V16</f>
        <v>Receta madre ► Morcilla en 4 versiones</v>
      </c>
      <c r="W10" s="26" t="s">
        <v>23</v>
      </c>
      <c r="X10" s="5471" t="s">
        <v>13137</v>
      </c>
      <c r="Y10" s="5471"/>
      <c r="Z10" s="5471"/>
      <c r="AA10" s="5471"/>
      <c r="AB10" s="5471"/>
      <c r="AC10" s="5471"/>
      <c r="AD10" s="5473" t="s">
        <v>13135</v>
      </c>
      <c r="AE10" s="5473"/>
      <c r="AF10" s="5475" t="str">
        <f>UPPER(LEFT(X10,1))</f>
        <v>N</v>
      </c>
      <c r="AG10" s="1171"/>
      <c r="AH10" s="1165"/>
      <c r="AI10" s="1166"/>
      <c r="AJ10" s="1166"/>
      <c r="AK10" s="1166"/>
      <c r="AL10" s="1167"/>
      <c r="AM10" s="1168"/>
      <c r="AN10" s="54"/>
      <c r="AO10" s="54"/>
      <c r="AP10" s="54"/>
      <c r="AQ10" s="54"/>
      <c r="AR10" s="54"/>
      <c r="AS10" s="54"/>
      <c r="AT10" s="1169"/>
      <c r="AU10" s="1169"/>
      <c r="AV10" s="1170"/>
      <c r="AY10" s="3">
        <v>1</v>
      </c>
    </row>
    <row r="11" spans="1:53" ht="27" customHeight="1">
      <c r="B11" s="27" t="s">
        <v>11</v>
      </c>
      <c r="C11" s="28" t="str">
        <f>C16</f>
        <v>N NOTRE BOUDIN NOIR | | Auteur &gt; Guy KRENZE - Eric GODDYN - Arnaud NICOLAS - CEPROC 2002</v>
      </c>
      <c r="D11" s="29">
        <f>D16</f>
        <v>16.34</v>
      </c>
      <c r="E11" s="29" t="str">
        <f>E16</f>
        <v>Kg</v>
      </c>
      <c r="F11" s="30" t="str">
        <f>F16</f>
        <v>Recette mère ► le Boudin en 4 déclinaisons</v>
      </c>
      <c r="G11" s="31" t="s">
        <v>29</v>
      </c>
      <c r="H11" s="5472"/>
      <c r="I11" s="5472"/>
      <c r="J11" s="5472"/>
      <c r="K11" s="5472"/>
      <c r="L11" s="5472"/>
      <c r="M11" s="5472"/>
      <c r="N11" s="5474"/>
      <c r="O11" s="5474"/>
      <c r="P11" s="5476"/>
      <c r="Q11" s="1171"/>
      <c r="R11" s="27" t="s">
        <v>11</v>
      </c>
      <c r="S11" s="28" t="str">
        <f>S16</f>
        <v>N NUESTRA MORCILLA | | Autor &gt; Guy KRENZE - Eric GODDYN - Arnaud NICOLAS - CEPROC 2002</v>
      </c>
      <c r="T11" s="29">
        <f>T16</f>
        <v>16.34</v>
      </c>
      <c r="U11" s="29" t="str">
        <f>U16</f>
        <v>Kg</v>
      </c>
      <c r="V11" s="30" t="str">
        <f>V16</f>
        <v>Receta madre ► Morcilla en 4 versiones</v>
      </c>
      <c r="W11" s="31" t="s">
        <v>29</v>
      </c>
      <c r="X11" s="5472"/>
      <c r="Y11" s="5472"/>
      <c r="Z11" s="5472"/>
      <c r="AA11" s="5472"/>
      <c r="AB11" s="5472"/>
      <c r="AC11" s="5472"/>
      <c r="AD11" s="5474" t="s">
        <v>116</v>
      </c>
      <c r="AE11" s="5474"/>
      <c r="AF11" s="5476"/>
      <c r="AG11" s="1171"/>
      <c r="AH11" s="104"/>
      <c r="AI11" s="1172"/>
      <c r="AJ11" s="1172"/>
      <c r="AK11" s="1172"/>
      <c r="AL11" s="1173"/>
      <c r="AM11" s="1174"/>
      <c r="AN11" s="1175"/>
      <c r="AO11" s="1176"/>
      <c r="AP11" s="1177"/>
      <c r="AQ11" s="1547"/>
      <c r="AR11" s="1177"/>
      <c r="AS11" s="1548"/>
      <c r="AT11" s="1549"/>
      <c r="AU11" s="1178"/>
      <c r="AV11" s="1179"/>
      <c r="AY11" s="3">
        <v>1</v>
      </c>
    </row>
    <row r="12" spans="1:53" ht="27" customHeight="1">
      <c r="B12" s="27" t="s">
        <v>11</v>
      </c>
      <c r="C12" s="5310" t="str">
        <f>C16</f>
        <v>N NOTRE BOUDIN NOIR | | Auteur &gt; Guy KRENZE - Eric GODDYN - Arnaud NICOLAS - CEPROC 2002</v>
      </c>
      <c r="D12" s="5310">
        <f>D16</f>
        <v>16.34</v>
      </c>
      <c r="E12" s="5311" t="str">
        <f>E16</f>
        <v>Kg</v>
      </c>
      <c r="F12" s="5312" t="str">
        <f>F16</f>
        <v>Recette mère ► le Boudin en 4 déclinaisons</v>
      </c>
      <c r="G12" s="5313"/>
      <c r="H12" s="5314" t="s">
        <v>30</v>
      </c>
      <c r="I12" s="37"/>
      <c r="J12" s="38" t="s">
        <v>31</v>
      </c>
      <c r="K12" s="39" t="s">
        <v>12835</v>
      </c>
      <c r="L12" s="9"/>
      <c r="M12" s="39"/>
      <c r="N12" s="39"/>
      <c r="O12" s="40"/>
      <c r="P12" s="41"/>
      <c r="Q12" s="1171"/>
      <c r="R12" s="27" t="s">
        <v>11</v>
      </c>
      <c r="S12" s="5310" t="str">
        <f>S16</f>
        <v>N NUESTRA MORCILLA | | Autor &gt; Guy KRENZE - Eric GODDYN - Arnaud NICOLAS - CEPROC 2002</v>
      </c>
      <c r="T12" s="5310">
        <f>T16</f>
        <v>16.34</v>
      </c>
      <c r="U12" s="5311" t="str">
        <f>U16</f>
        <v>Kg</v>
      </c>
      <c r="V12" s="5312" t="str">
        <f>V16</f>
        <v>Receta madre ► Morcilla en 4 versiones</v>
      </c>
      <c r="W12" s="5313"/>
      <c r="X12" s="5314" t="s">
        <v>30</v>
      </c>
      <c r="Y12" s="37"/>
      <c r="Z12" s="38" t="s">
        <v>904</v>
      </c>
      <c r="AA12" s="39" t="s">
        <v>12835</v>
      </c>
      <c r="AB12" s="9"/>
      <c r="AC12" s="39"/>
      <c r="AD12" s="39"/>
      <c r="AE12" s="40"/>
      <c r="AF12" s="41"/>
      <c r="AG12" s="1171"/>
      <c r="AH12" s="104"/>
      <c r="AI12" s="1172"/>
      <c r="AJ12" s="1172"/>
      <c r="AK12" s="1172"/>
      <c r="AL12" s="1173"/>
      <c r="AM12" s="1174"/>
      <c r="AN12" s="1175"/>
      <c r="AO12" s="1176"/>
      <c r="AP12" s="1177"/>
      <c r="AQ12" s="1547"/>
      <c r="AR12" s="1177"/>
      <c r="AS12" s="1548"/>
      <c r="AT12" s="1549"/>
      <c r="AU12" s="1178"/>
      <c r="AV12" s="1179"/>
      <c r="AY12" s="3">
        <v>1</v>
      </c>
    </row>
    <row r="13" spans="1:53" ht="27" customHeight="1">
      <c r="B13" s="27" t="s">
        <v>11</v>
      </c>
      <c r="C13" s="32" t="str">
        <f>C16</f>
        <v>N NOTRE BOUDIN NOIR | | Auteur &gt; Guy KRENZE - Eric GODDYN - Arnaud NICOLAS - CEPROC 2002</v>
      </c>
      <c r="D13" s="33">
        <f>D16</f>
        <v>16.34</v>
      </c>
      <c r="E13" s="33" t="str">
        <f>E16</f>
        <v>Kg</v>
      </c>
      <c r="F13" s="34" t="str">
        <f>F16</f>
        <v>Recette mère ► le Boudin en 4 déclinaisons</v>
      </c>
      <c r="G13" s="42" t="s">
        <v>32</v>
      </c>
      <c r="H13" s="43"/>
      <c r="I13" s="43"/>
      <c r="J13" s="44" t="s">
        <v>33</v>
      </c>
      <c r="K13" s="5477" t="str">
        <f>L16&amp;" "&amp;M16&amp;" ► Famille = "&amp;N10&amp;" ► "&amp;H10&amp;" "&amp; "pour "&amp;N14&amp;" "&amp;O14</f>
        <v>Recette mère ► le Boudin en 4 déclinaisons ► Famille =  charcuterie-BOUDIN-NOIR ► NOTRE BOUDIN NOIR pour 5 Kg</v>
      </c>
      <c r="L13" s="5477"/>
      <c r="M13" s="5477"/>
      <c r="N13" s="5039" t="s">
        <v>3306</v>
      </c>
      <c r="O13" s="40"/>
      <c r="P13" s="1472"/>
      <c r="Q13" s="1171"/>
      <c r="R13" s="27" t="s">
        <v>11</v>
      </c>
      <c r="S13" s="32" t="str">
        <f>S16</f>
        <v>N NUESTRA MORCILLA | | Autor &gt; Guy KRENZE - Eric GODDYN - Arnaud NICOLAS - CEPROC 2002</v>
      </c>
      <c r="T13" s="33">
        <f>T16</f>
        <v>16.34</v>
      </c>
      <c r="U13" s="33" t="str">
        <f>U16</f>
        <v>Kg</v>
      </c>
      <c r="V13" s="34" t="str">
        <f>V16</f>
        <v>Receta madre ► Morcilla en 4 versiones</v>
      </c>
      <c r="W13" s="42" t="s">
        <v>905</v>
      </c>
      <c r="X13" s="43"/>
      <c r="Y13" s="43"/>
      <c r="Z13" s="44" t="s">
        <v>33</v>
      </c>
      <c r="AA13" s="5477" t="str">
        <f>AB16&amp;" "&amp;AC16&amp;" ► Famille = "&amp;AD10&amp;" ► "&amp;X10&amp;" "&amp; "pour "&amp;AD14&amp;" "&amp;AE14</f>
        <v>Receta madre ► Morcilla en 4 versiones ► Famille = charcutería--MORCILLA ► NUESTRA MORCILLA pour 5 Kg</v>
      </c>
      <c r="AB13" s="5477"/>
      <c r="AC13" s="5477"/>
      <c r="AD13" s="5039" t="s">
        <v>3326</v>
      </c>
      <c r="AE13" s="40"/>
      <c r="AF13" s="1472"/>
      <c r="AG13" s="1171"/>
      <c r="AH13" s="104"/>
      <c r="AI13" s="1172"/>
      <c r="AJ13" s="1172"/>
      <c r="AK13" s="1172"/>
      <c r="AL13" s="1173"/>
      <c r="AM13" s="1174"/>
      <c r="AN13" s="1175"/>
      <c r="AO13" s="1176"/>
      <c r="AP13" s="1177"/>
      <c r="AQ13" s="1547"/>
      <c r="AR13" s="1177"/>
      <c r="AS13" s="1548"/>
      <c r="AT13" s="1549"/>
      <c r="AU13" s="1178"/>
      <c r="AV13" s="1179"/>
      <c r="AY13" s="3">
        <v>1</v>
      </c>
    </row>
    <row r="14" spans="1:53" ht="27" customHeight="1">
      <c r="B14" s="27" t="s">
        <v>11</v>
      </c>
      <c r="C14" s="32" t="str">
        <f>C16</f>
        <v>N NOTRE BOUDIN NOIR | | Auteur &gt; Guy KRENZE - Eric GODDYN - Arnaud NICOLAS - CEPROC 2002</v>
      </c>
      <c r="D14" s="33">
        <f>D16</f>
        <v>16.34</v>
      </c>
      <c r="E14" s="33" t="str">
        <f>E16</f>
        <v>Kg</v>
      </c>
      <c r="F14" s="34" t="str">
        <f>F16</f>
        <v>Recette mère ► le Boudin en 4 déclinaisons</v>
      </c>
      <c r="G14" s="50">
        <v>16.34</v>
      </c>
      <c r="H14" s="5053" t="s">
        <v>872</v>
      </c>
      <c r="I14" s="42"/>
      <c r="J14" s="42"/>
      <c r="K14" s="5477"/>
      <c r="L14" s="5477"/>
      <c r="M14" s="5477"/>
      <c r="N14" s="46">
        <v>5</v>
      </c>
      <c r="O14" s="5478" t="str">
        <f>H14</f>
        <v>Kg</v>
      </c>
      <c r="P14" s="5479"/>
      <c r="Q14" s="1171"/>
      <c r="R14" s="27" t="s">
        <v>11</v>
      </c>
      <c r="S14" s="32" t="str">
        <f>S16</f>
        <v>N NUESTRA MORCILLA | | Autor &gt; Guy KRENZE - Eric GODDYN - Arnaud NICOLAS - CEPROC 2002</v>
      </c>
      <c r="T14" s="33">
        <f>T16</f>
        <v>16.34</v>
      </c>
      <c r="U14" s="33" t="str">
        <f>U16</f>
        <v>Kg</v>
      </c>
      <c r="V14" s="34" t="str">
        <f>V16</f>
        <v>Receta madre ► Morcilla en 4 versiones</v>
      </c>
      <c r="W14" s="50">
        <v>16.34</v>
      </c>
      <c r="X14" s="5053" t="s">
        <v>872</v>
      </c>
      <c r="Y14" s="42"/>
      <c r="Z14" s="42"/>
      <c r="AA14" s="5477"/>
      <c r="AB14" s="5477"/>
      <c r="AC14" s="5477"/>
      <c r="AD14" s="46">
        <v>5</v>
      </c>
      <c r="AE14" s="5478" t="str">
        <f>X14</f>
        <v>Kg</v>
      </c>
      <c r="AF14" s="5479"/>
      <c r="AG14" s="1171"/>
      <c r="AH14" s="104"/>
      <c r="AI14" s="1172"/>
      <c r="AJ14" s="1172"/>
      <c r="AK14" s="1172"/>
      <c r="AL14" s="1173"/>
      <c r="AM14" s="1174"/>
      <c r="AN14" s="1175"/>
      <c r="AO14" s="1176"/>
      <c r="AP14" s="1177"/>
      <c r="AQ14" s="1547"/>
      <c r="AR14" s="1177"/>
      <c r="AS14" s="1548"/>
      <c r="AT14" s="1549"/>
      <c r="AU14" s="1178"/>
      <c r="AV14" s="1179"/>
      <c r="AY14" s="3">
        <v>1</v>
      </c>
    </row>
    <row r="15" spans="1:53" ht="27" customHeight="1">
      <c r="B15" s="27" t="s">
        <v>16</v>
      </c>
      <c r="C15" s="32" t="str">
        <f>C16</f>
        <v>N NOTRE BOUDIN NOIR | | Auteur &gt; Guy KRENZE - Eric GODDYN - Arnaud NICOLAS - CEPROC 2002</v>
      </c>
      <c r="D15" s="33">
        <f>D16</f>
        <v>16.34</v>
      </c>
      <c r="E15" s="33" t="str">
        <f>E16</f>
        <v>Kg</v>
      </c>
      <c r="F15" s="34" t="str">
        <f>F16</f>
        <v>Recette mère ► le Boudin en 4 déclinaisons</v>
      </c>
      <c r="G15" s="56"/>
      <c r="H15" s="5165" t="s">
        <v>13098</v>
      </c>
      <c r="I15" s="5468">
        <f>O40/L15</f>
        <v>16.343603999999999</v>
      </c>
      <c r="J15" s="5468"/>
      <c r="K15" s="5054" t="str" cm="1">
        <f t="array" ref="K15">"1= "&amp;IF(OR(G14&lt;=0,I15=""),"",_xlfn.LET(_xlpm.kg,IF(ISNUMBER(I15),I15,VALEUR(SUBSTITUTE(SUBSTITUTE(SUBSTITUTE(LOWER(I15),"kg",""),",",".")," ",""))),TEXT(ROUND(_xlpm.kg*1000/G14,2),"0.##")&amp;" g"))</f>
        <v>1= 1000.22 g</v>
      </c>
      <c r="L15" s="1490">
        <f>IFERROR(N14/G14,0)</f>
        <v>0.30599755201958384</v>
      </c>
      <c r="M15" s="45"/>
      <c r="N15" s="5041" t="s">
        <v>50</v>
      </c>
      <c r="O15" s="5042">
        <f>O40</f>
        <v>5.0011028151774788</v>
      </c>
      <c r="P15" s="5043"/>
      <c r="Q15" s="1171"/>
      <c r="R15" s="27" t="s">
        <v>16</v>
      </c>
      <c r="S15" s="32" t="str">
        <f>S16</f>
        <v>N NUESTRA MORCILLA | | Autor &gt; Guy KRENZE - Eric GODDYN - Arnaud NICOLAS - CEPROC 2002</v>
      </c>
      <c r="T15" s="33">
        <f>T16</f>
        <v>16.34</v>
      </c>
      <c r="U15" s="33" t="str">
        <f>U16</f>
        <v>Kg</v>
      </c>
      <c r="V15" s="34" t="str">
        <f>V16</f>
        <v>Receta madre ► Morcilla en 4 versiones</v>
      </c>
      <c r="W15" s="56"/>
      <c r="X15" s="5165" t="s">
        <v>13101</v>
      </c>
      <c r="Y15" s="5468">
        <f>AE40/AB15</f>
        <v>16.343603999999999</v>
      </c>
      <c r="Z15" s="5468"/>
      <c r="AA15" s="5054" t="str" cm="1">
        <f t="array" ref="AA15">"1= "&amp;IF(OR(W14&lt;=0,Y15=""),"",_xlfn.LET(_xlpm.kg,IF(ISNUMBER(Y15),Y15,VALEUR(SUBSTITUTE(SUBSTITUTE(SUBSTITUTE(LOWER(Y15),"kg",""),",",".")," ",""))),TEXT(ROUND(_xlpm.kg*1000/W14,2),"0.##")&amp;" g"))</f>
        <v>1= 1000.22 g</v>
      </c>
      <c r="AB15" s="1490">
        <f>IFERROR(AD14/W14,0)</f>
        <v>0.30599755201958384</v>
      </c>
      <c r="AC15" s="45"/>
      <c r="AD15" s="5041" t="s">
        <v>248</v>
      </c>
      <c r="AE15" s="5042">
        <f>AE40</f>
        <v>5.0011028151774788</v>
      </c>
      <c r="AF15" s="5043"/>
      <c r="AG15" s="1171"/>
      <c r="AH15" s="104"/>
      <c r="AI15" s="1172"/>
      <c r="AJ15" s="1172"/>
      <c r="AK15" s="1172"/>
      <c r="AL15" s="1173"/>
      <c r="AM15" s="1174"/>
      <c r="AN15" s="1175"/>
      <c r="AO15" s="1176"/>
      <c r="AP15" s="1177"/>
      <c r="AQ15" s="1547"/>
      <c r="AR15" s="1177"/>
      <c r="AS15" s="1548"/>
      <c r="AT15" s="1549"/>
      <c r="AU15" s="1178"/>
      <c r="AV15" s="1179"/>
      <c r="AY15" s="3">
        <v>1</v>
      </c>
    </row>
    <row r="16" spans="1:53" ht="27" customHeight="1">
      <c r="B16" s="64" t="s">
        <v>16</v>
      </c>
      <c r="C16" s="65" t="str">
        <f>G16</f>
        <v>N NOTRE BOUDIN NOIR | | Auteur &gt; Guy KRENZE - Eric GODDYN - Arnaud NICOLAS - CEPROC 2002</v>
      </c>
      <c r="D16" s="66">
        <f>G14</f>
        <v>16.34</v>
      </c>
      <c r="E16" s="65" t="str">
        <f>H14</f>
        <v>Kg</v>
      </c>
      <c r="F16" s="67" t="str">
        <f>L16&amp;" "&amp;M16</f>
        <v>Recette mère ► le Boudin en 4 déclinaisons</v>
      </c>
      <c r="G16" s="68" t="str">
        <f>UPPER(LEFT(H10,1))&amp;" "&amp;H10&amp;" | "&amp;O10&amp;"| "&amp;J12&amp;" "&amp;K12</f>
        <v>N NOTRE BOUDIN NOIR | | Auteur &gt; Guy KRENZE - Eric GODDYN - Arnaud NICOLAS - CEPROC 2002</v>
      </c>
      <c r="H16" s="69" t="s">
        <v>54</v>
      </c>
      <c r="I16" s="5469" t="s">
        <v>55</v>
      </c>
      <c r="J16" s="5469"/>
      <c r="K16" s="5469"/>
      <c r="L16" s="70" t="str">
        <f>IF(ISTEXT(M16),"Recette mère ►",H16)</f>
        <v>Recette mère ►</v>
      </c>
      <c r="M16" s="71" t="s">
        <v>12836</v>
      </c>
      <c r="N16" s="71"/>
      <c r="O16" s="72"/>
      <c r="P16" s="1473"/>
      <c r="Q16" s="1171"/>
      <c r="R16" s="64" t="s">
        <v>16</v>
      </c>
      <c r="S16" s="65" t="str">
        <f>W16</f>
        <v>N NUESTRA MORCILLA | | Autor &gt; Guy KRENZE - Eric GODDYN - Arnaud NICOLAS - CEPROC 2002</v>
      </c>
      <c r="T16" s="66">
        <f>W14</f>
        <v>16.34</v>
      </c>
      <c r="U16" s="65" t="str">
        <f>X14</f>
        <v>Kg</v>
      </c>
      <c r="V16" s="67" t="str">
        <f>AB16&amp;" "&amp;AC16</f>
        <v>Receta madre ► Morcilla en 4 versiones</v>
      </c>
      <c r="W16" s="68" t="str">
        <f>UPPER(LEFT(X10,1))&amp;" "&amp;X10&amp;" | "&amp;AE10&amp;"| "&amp;Z12&amp;" "&amp;AA12</f>
        <v>N NUESTRA MORCILLA | | Autor &gt; Guy KRENZE - Eric GODDYN - Arnaud NICOLAS - CEPROC 2002</v>
      </c>
      <c r="X16" s="69" t="s">
        <v>3319</v>
      </c>
      <c r="Y16" s="5469" t="s">
        <v>906</v>
      </c>
      <c r="Z16" s="5469"/>
      <c r="AA16" s="5469"/>
      <c r="AB16" s="70" t="str">
        <f>IF(ISTEXT(AC16),"Receta madre ►",X16)</f>
        <v>Receta madre ►</v>
      </c>
      <c r="AC16" s="71" t="s">
        <v>12925</v>
      </c>
      <c r="AD16" s="71"/>
      <c r="AE16" s="72"/>
      <c r="AF16" s="1473"/>
      <c r="AG16" s="1171"/>
      <c r="AH16" s="104"/>
      <c r="AI16" s="1172"/>
      <c r="AJ16" s="1172"/>
      <c r="AK16" s="1172"/>
      <c r="AL16" s="1173"/>
      <c r="AM16" s="1174"/>
      <c r="AN16" s="1175"/>
      <c r="AO16" s="1176"/>
      <c r="AP16" s="1177"/>
      <c r="AQ16" s="1547"/>
      <c r="AR16" s="1177"/>
      <c r="AS16" s="1548"/>
      <c r="AT16" s="1549"/>
      <c r="AU16" s="1178"/>
      <c r="AV16" s="1179"/>
      <c r="AY16" s="3">
        <v>1</v>
      </c>
    </row>
    <row r="17" spans="2:51" ht="27" customHeight="1">
      <c r="B17" s="74" t="s">
        <v>16</v>
      </c>
      <c r="C17" s="75" t="str">
        <f>C16</f>
        <v>N NOTRE BOUDIN NOIR | | Auteur &gt; Guy KRENZE - Eric GODDYN - Arnaud NICOLAS - CEPROC 2002</v>
      </c>
      <c r="D17" s="75">
        <f>D16</f>
        <v>16.34</v>
      </c>
      <c r="E17" s="75" t="str">
        <f>E16</f>
        <v>Kg</v>
      </c>
      <c r="F17" s="76" t="str">
        <f>F16</f>
        <v>Recette mère ► le Boudin en 4 déclinaisons</v>
      </c>
      <c r="G17" s="13" t="s">
        <v>66</v>
      </c>
      <c r="H17" s="13" t="s">
        <v>67</v>
      </c>
      <c r="I17" s="13" t="s">
        <v>68</v>
      </c>
      <c r="J17" s="13" t="s">
        <v>69</v>
      </c>
      <c r="K17" s="77" t="s">
        <v>70</v>
      </c>
      <c r="L17" s="78" t="s">
        <v>71</v>
      </c>
      <c r="M17" s="79" t="s">
        <v>72</v>
      </c>
      <c r="N17" s="1496" t="s">
        <v>73</v>
      </c>
      <c r="O17" s="13" t="s">
        <v>74</v>
      </c>
      <c r="P17" s="518" t="s">
        <v>75</v>
      </c>
      <c r="Q17" s="1171"/>
      <c r="R17" s="74" t="s">
        <v>16</v>
      </c>
      <c r="S17" s="75" t="str">
        <f>S16</f>
        <v>N NUESTRA MORCILLA | | Autor &gt; Guy KRENZE - Eric GODDYN - Arnaud NICOLAS - CEPROC 2002</v>
      </c>
      <c r="T17" s="75">
        <f>T16</f>
        <v>16.34</v>
      </c>
      <c r="U17" s="75" t="str">
        <f>U16</f>
        <v>Kg</v>
      </c>
      <c r="V17" s="76" t="str">
        <f>V16</f>
        <v>Receta madre ► Morcilla en 4 versiones</v>
      </c>
      <c r="W17" s="13" t="s">
        <v>66</v>
      </c>
      <c r="X17" s="13" t="s">
        <v>67</v>
      </c>
      <c r="Y17" s="13" t="s">
        <v>68</v>
      </c>
      <c r="Z17" s="13" t="s">
        <v>69</v>
      </c>
      <c r="AA17" s="77" t="s">
        <v>70</v>
      </c>
      <c r="AB17" s="78" t="s">
        <v>71</v>
      </c>
      <c r="AC17" s="79" t="s">
        <v>72</v>
      </c>
      <c r="AD17" s="1496" t="s">
        <v>73</v>
      </c>
      <c r="AE17" s="13" t="s">
        <v>74</v>
      </c>
      <c r="AF17" s="518" t="s">
        <v>75</v>
      </c>
      <c r="AG17" s="1171"/>
      <c r="AH17" s="104"/>
      <c r="AI17" s="1172"/>
      <c r="AJ17" s="1172"/>
      <c r="AK17" s="1172"/>
      <c r="AL17" s="1173"/>
      <c r="AM17" s="1174"/>
      <c r="AN17" s="1175"/>
      <c r="AO17" s="1176"/>
      <c r="AP17" s="1177"/>
      <c r="AQ17" s="1547"/>
      <c r="AR17" s="1177"/>
      <c r="AS17" s="1548"/>
      <c r="AT17" s="1549"/>
      <c r="AU17" s="1178"/>
      <c r="AV17" s="1179"/>
      <c r="AY17" s="3">
        <v>1</v>
      </c>
    </row>
    <row r="18" spans="2:51" ht="27" customHeight="1">
      <c r="B18" s="27" t="s">
        <v>11</v>
      </c>
      <c r="C18" s="32" t="str">
        <f>C16</f>
        <v>N NOTRE BOUDIN NOIR | | Auteur &gt; Guy KRENZE - Eric GODDYN - Arnaud NICOLAS - CEPROC 2002</v>
      </c>
      <c r="D18" s="33">
        <f>D16</f>
        <v>16.34</v>
      </c>
      <c r="E18" s="32" t="str">
        <f>E16</f>
        <v>Kg</v>
      </c>
      <c r="F18" s="34" t="str">
        <f>F16</f>
        <v>Recette mère ► le Boudin en 4 déclinaisons</v>
      </c>
      <c r="G18" s="81" t="s">
        <v>77</v>
      </c>
      <c r="H18" s="82" t="s">
        <v>78</v>
      </c>
      <c r="I18" s="83"/>
      <c r="J18" s="5454" t="s">
        <v>79</v>
      </c>
      <c r="K18" s="5464" t="s">
        <v>80</v>
      </c>
      <c r="L18" s="5466" t="s">
        <v>81</v>
      </c>
      <c r="M18" s="84" t="s">
        <v>82</v>
      </c>
      <c r="N18" s="5444" t="s">
        <v>83</v>
      </c>
      <c r="O18" s="5446" t="s">
        <v>3297</v>
      </c>
      <c r="P18" s="5448" t="s">
        <v>86</v>
      </c>
      <c r="Q18" s="1171"/>
      <c r="R18" s="27" t="s">
        <v>11</v>
      </c>
      <c r="S18" s="32" t="str">
        <f>S16</f>
        <v>N NUESTRA MORCILLA | | Autor &gt; Guy KRENZE - Eric GODDYN - Arnaud NICOLAS - CEPROC 2002</v>
      </c>
      <c r="T18" s="33">
        <f>T16</f>
        <v>16.34</v>
      </c>
      <c r="U18" s="32" t="str">
        <f>U16</f>
        <v>Kg</v>
      </c>
      <c r="V18" s="34" t="str">
        <f>V16</f>
        <v>Receta madre ► Morcilla en 4 versiones</v>
      </c>
      <c r="W18" s="81" t="s">
        <v>77</v>
      </c>
      <c r="X18" s="82" t="s">
        <v>78</v>
      </c>
      <c r="Y18" s="83"/>
      <c r="Z18" s="5470" t="s">
        <v>229</v>
      </c>
      <c r="AA18" s="5495" t="s">
        <v>80</v>
      </c>
      <c r="AB18" s="5481" t="s">
        <v>396</v>
      </c>
      <c r="AC18" s="84" t="s">
        <v>82</v>
      </c>
      <c r="AD18" s="5444" t="s">
        <v>249</v>
      </c>
      <c r="AE18" s="5446" t="s">
        <v>907</v>
      </c>
      <c r="AF18" s="5448" t="s">
        <v>252</v>
      </c>
      <c r="AG18" s="1171"/>
      <c r="AH18" s="104"/>
      <c r="AI18" s="1172"/>
      <c r="AJ18" s="1172"/>
      <c r="AK18" s="1172"/>
      <c r="AL18" s="1173"/>
      <c r="AM18" s="1174"/>
      <c r="AN18" s="1175"/>
      <c r="AO18" s="1176"/>
      <c r="AP18" s="1177"/>
      <c r="AQ18" s="1547"/>
      <c r="AR18" s="1177"/>
      <c r="AS18" s="1548"/>
      <c r="AT18" s="1549"/>
      <c r="AU18" s="1178"/>
      <c r="AV18" s="1179"/>
      <c r="AY18" s="3">
        <v>1</v>
      </c>
    </row>
    <row r="19" spans="2:51" ht="27" customHeight="1">
      <c r="B19" s="27" t="s">
        <v>11</v>
      </c>
      <c r="C19" s="32" t="str">
        <f>C16</f>
        <v>N NOTRE BOUDIN NOIR | | Auteur &gt; Guy KRENZE - Eric GODDYN - Arnaud NICOLAS - CEPROC 2002</v>
      </c>
      <c r="D19" s="33">
        <f>D16</f>
        <v>16.34</v>
      </c>
      <c r="E19" s="32" t="str">
        <f>E16</f>
        <v>Kg</v>
      </c>
      <c r="F19" s="34" t="str">
        <f>F16</f>
        <v>Recette mère ► le Boudin en 4 déclinaisons</v>
      </c>
      <c r="G19" s="87" t="s">
        <v>91</v>
      </c>
      <c r="H19" s="88" t="s">
        <v>92</v>
      </c>
      <c r="I19" s="89" t="s">
        <v>93</v>
      </c>
      <c r="J19" s="5455"/>
      <c r="K19" s="5465"/>
      <c r="L19" s="5467"/>
      <c r="M19" s="90" t="s">
        <v>94</v>
      </c>
      <c r="N19" s="5445"/>
      <c r="O19" s="5447"/>
      <c r="P19" s="5449"/>
      <c r="Q19" s="1171"/>
      <c r="R19" s="27" t="s">
        <v>11</v>
      </c>
      <c r="S19" s="32" t="str">
        <f>S16</f>
        <v>N NUESTRA MORCILLA | | Autor &gt; Guy KRENZE - Eric GODDYN - Arnaud NICOLAS - CEPROC 2002</v>
      </c>
      <c r="T19" s="33">
        <f>T16</f>
        <v>16.34</v>
      </c>
      <c r="U19" s="32" t="str">
        <f>U16</f>
        <v>Kg</v>
      </c>
      <c r="V19" s="34" t="str">
        <f>V16</f>
        <v>Receta madre ► Morcilla en 4 versiones</v>
      </c>
      <c r="W19" s="87" t="s">
        <v>234</v>
      </c>
      <c r="X19" s="88" t="s">
        <v>235</v>
      </c>
      <c r="Y19" s="89" t="s">
        <v>93</v>
      </c>
      <c r="Z19" s="5455"/>
      <c r="AA19" s="5465"/>
      <c r="AB19" s="5467"/>
      <c r="AC19" s="90" t="s">
        <v>869</v>
      </c>
      <c r="AD19" s="5445"/>
      <c r="AE19" s="5447"/>
      <c r="AF19" s="5449"/>
      <c r="AG19" s="1171"/>
      <c r="AH19" s="104"/>
      <c r="AI19" s="1172"/>
      <c r="AJ19" s="1172"/>
      <c r="AK19" s="1172"/>
      <c r="AL19" s="1173"/>
      <c r="AM19" s="1174"/>
      <c r="AN19" s="1175"/>
      <c r="AO19" s="1176"/>
      <c r="AP19" s="1177"/>
      <c r="AQ19" s="1547"/>
      <c r="AR19" s="1177"/>
      <c r="AS19" s="1548"/>
      <c r="AT19" s="1549"/>
      <c r="AU19" s="1178"/>
      <c r="AV19" s="1179"/>
      <c r="AY19" s="3">
        <v>1</v>
      </c>
    </row>
    <row r="20" spans="2:51" ht="27" customHeight="1">
      <c r="B20" s="27" t="s">
        <v>11</v>
      </c>
      <c r="C20" s="32" t="str">
        <f>C16</f>
        <v>N NOTRE BOUDIN NOIR | | Auteur &gt; Guy KRENZE - Eric GODDYN - Arnaud NICOLAS - CEPROC 2002</v>
      </c>
      <c r="D20" s="33">
        <f>D16</f>
        <v>16.34</v>
      </c>
      <c r="E20" s="32" t="str">
        <f>E16</f>
        <v>Kg</v>
      </c>
      <c r="F20" s="34" t="str">
        <f>F16</f>
        <v>Recette mère ► le Boudin en 4 déclinaisons</v>
      </c>
      <c r="G20" s="92"/>
      <c r="H20" s="93"/>
      <c r="I20" s="94" t="str">
        <f t="shared" ref="I20:I39" si="2">IF(OR(ISTEXT(G20), G20&lt;=0, J20&lt;=0), "", "de")</f>
        <v/>
      </c>
      <c r="J20" s="95">
        <v>3</v>
      </c>
      <c r="K20" s="96" t="s">
        <v>0</v>
      </c>
      <c r="L20" s="127">
        <v>1</v>
      </c>
      <c r="M20" s="919" t="s">
        <v>13046</v>
      </c>
      <c r="N20" s="100">
        <f>IF(OR(ISBLANK(G14),N14=0),0,G20*L15)</f>
        <v>0</v>
      </c>
      <c r="O20" s="101">
        <f>IFERROR(_xlfn.LET(_xlpm.v,IFERROR(_xlfn.XLOOKUP(K20,G57:P57,G58:P58),_xlfn.XLOOKUP(K20,G59:P59,G60:P60)),_xlpm.v*J20*L20*L15*IF(ISBLANK(G20),1,G20)),0)</f>
        <v>0.91799265605875147</v>
      </c>
      <c r="P20" s="1476" t="str">
        <f>_xlfn.LET(_xlpm.unite,SUBSTITUTE(TRIM(K20)," (s)",""),_xlpm.val,O20,_xlpm.estVol,COUNTIF(J57:P57,_xlpm.unite)+COUNTIF(J59:P59,_xlpm.unite)&gt;0,_xlpm.estPoids,COUNTIF(G57:I57,_xlpm.unite)+COUNTIF(G59:I59,_xlpm.unite)&gt;0,IF(_xlpm.estVol,IF(ROUND(_xlpm.val,3)&gt;=1,ROUND(_xlpm.val,3)&amp;" L",MAX(1,ROUND(_xlpm.val*100,0))&amp;" cl"),IF(_xlpm.estPoids,IF(ROUND(_xlpm.val,3)&gt;=1,ROUND(_xlpm.val,3)&amp;" Kg",MAX(1,ROUND(_xlpm.val*1000,0))&amp;" g"),"")))</f>
        <v>92 cl</v>
      </c>
      <c r="Q20" s="1171"/>
      <c r="R20" s="27" t="s">
        <v>11</v>
      </c>
      <c r="S20" s="32" t="str">
        <f>S16</f>
        <v>N NUESTRA MORCILLA | | Autor &gt; Guy KRENZE - Eric GODDYN - Arnaud NICOLAS - CEPROC 2002</v>
      </c>
      <c r="T20" s="33">
        <f>T16</f>
        <v>16.34</v>
      </c>
      <c r="U20" s="32" t="str">
        <f>U16</f>
        <v>Kg</v>
      </c>
      <c r="V20" s="34" t="str">
        <f>V16</f>
        <v>Receta madre ► Morcilla en 4 versiones</v>
      </c>
      <c r="W20" s="92"/>
      <c r="X20" s="93"/>
      <c r="Y20" s="94" t="str">
        <f t="shared" ref="Y20:Y39" si="3">IF(OR(ISTEXT(W20), W20&lt;=0, Z20&lt;=0), "", "de")</f>
        <v/>
      </c>
      <c r="Z20" s="95">
        <v>3</v>
      </c>
      <c r="AA20" s="96" t="s">
        <v>0</v>
      </c>
      <c r="AB20" s="127">
        <v>1</v>
      </c>
      <c r="AC20" s="919" t="s">
        <v>13155</v>
      </c>
      <c r="AD20" s="100">
        <f>IF(OR(ISBLANK(W14),AD14=0),0,W20*AB15)</f>
        <v>0</v>
      </c>
      <c r="AE20" s="101">
        <f>IFERROR(_xlfn.LET(_xlpm.v,IFERROR(_xlfn.XLOOKUP(AA20,W57:AF57,W58:AF58),_xlfn.XLOOKUP(AA20,W59:AF59,W60:AF60)),_xlpm.v*Z20*AB20*AB15*IF(ISBLANK(W20),1,W20)),0)</f>
        <v>0.91799265605875147</v>
      </c>
      <c r="AF20" s="1476" t="str">
        <f>_xlfn.LET(_xlpm.unite,SUBSTITUTE(TRIM(AA20)," (s)",""),_xlpm.val,AE20,_xlpm.estVol,COUNTIF(Z57:AF57,_xlpm.unite)+COUNTIF(Z59:AF59,_xlpm.unite)&gt;0,_xlpm.estPoids,COUNTIF(W57:Y57,_xlpm.unite)+COUNTIF(W59:Y59,_xlpm.unite)&gt;0,IF(_xlpm.estVol,IF(ROUND(_xlpm.val,3)&gt;=1,ROUND(_xlpm.val,3)&amp;" L",MAX(1,ROUND(_xlpm.val*100,0))&amp;" cl"),IF(_xlpm.estPoids,IF(ROUND(_xlpm.val,3)&gt;=1,ROUND(_xlpm.val,3)&amp;" Kg",MAX(1,ROUND(_xlpm.val*1000,0))&amp;" g"),"")))</f>
        <v>92 cl</v>
      </c>
      <c r="AG20" s="1171"/>
      <c r="AH20" s="104"/>
      <c r="AI20" s="1172"/>
      <c r="AJ20" s="1172"/>
      <c r="AK20" s="1172"/>
      <c r="AL20" s="1173"/>
      <c r="AM20" s="1174"/>
      <c r="AN20" s="1175"/>
      <c r="AO20" s="1176"/>
      <c r="AP20" s="1177"/>
      <c r="AQ20" s="1547"/>
      <c r="AR20" s="1177"/>
      <c r="AS20" s="1548"/>
      <c r="AT20" s="1549"/>
      <c r="AU20" s="1178"/>
      <c r="AV20" s="1179"/>
      <c r="AY20" s="3">
        <v>1</v>
      </c>
    </row>
    <row r="21" spans="2:51" ht="27" customHeight="1">
      <c r="B21" s="104" t="str">
        <f t="shared" ref="B21:B39" si="4">IF(M21&lt;&gt;"","A","►")</f>
        <v>A</v>
      </c>
      <c r="C21" s="32" t="str">
        <f>C16</f>
        <v>N NOTRE BOUDIN NOIR | | Auteur &gt; Guy KRENZE - Eric GODDYN - Arnaud NICOLAS - CEPROC 2002</v>
      </c>
      <c r="D21" s="33">
        <f>D16</f>
        <v>16.34</v>
      </c>
      <c r="E21" s="32" t="str">
        <f>E16</f>
        <v>Kg</v>
      </c>
      <c r="F21" s="34" t="str">
        <f>F16</f>
        <v>Recette mère ► le Boudin en 4 déclinaisons</v>
      </c>
      <c r="G21" s="92"/>
      <c r="H21" s="93"/>
      <c r="I21" s="94" t="str">
        <f t="shared" si="2"/>
        <v/>
      </c>
      <c r="J21" s="95">
        <v>9</v>
      </c>
      <c r="K21" s="140" t="s">
        <v>143</v>
      </c>
      <c r="L21" s="127">
        <v>1</v>
      </c>
      <c r="M21" s="920" t="s">
        <v>13080</v>
      </c>
      <c r="N21" s="1495">
        <f>IF(OR(ISBLANK(G14),N14=0),0,G21*L15)</f>
        <v>0</v>
      </c>
      <c r="O21" s="101">
        <f>IFERROR(_xlfn.LET(_xlpm.v,IFERROR(_xlfn.XLOOKUP(K21,G57:P57,G58:P58),_xlfn.XLOOKUP(K21,G59:P59,G60:P60)),_xlpm.v*J21*L21*L15*IF(ISBLANK(G21),1,G21)),0)</f>
        <v>2.7539779681762546</v>
      </c>
      <c r="P21" s="1475" t="str">
        <f>_xlfn.LET(_xlpm.unite,SUBSTITUTE(TRIM(K21)," (s)",""),_xlpm.val,O21,_xlpm.estVol,COUNTIF(J57:P57,_xlpm.unite)+COUNTIF(J59:P59,_xlpm.unite)&gt;0,_xlpm.estPoids,COUNTIF(G57:I57,_xlpm.unite)+COUNTIF(G59:I59,_xlpm.unite)&gt;0,IF(_xlpm.estVol,IF(ROUND(_xlpm.val,3)&gt;=1,ROUND(_xlpm.val,3)&amp;" L",MAX(1,ROUND(_xlpm.val*100,0))&amp;" cl"),IF(_xlpm.estPoids,IF(ROUND(_xlpm.val,3)&gt;=1,ROUND(_xlpm.val,3)&amp;" Kg",MAX(1,ROUND(_xlpm.val*1000,0))&amp;" g"),"")))</f>
        <v>2.754 Kg</v>
      </c>
      <c r="Q21" s="1171"/>
      <c r="R21" s="104" t="str">
        <f t="shared" ref="R21:R39" si="5">IF(AC21&lt;&gt;"","A","►")</f>
        <v>A</v>
      </c>
      <c r="S21" s="32" t="str">
        <f>S16</f>
        <v>N NUESTRA MORCILLA | | Autor &gt; Guy KRENZE - Eric GODDYN - Arnaud NICOLAS - CEPROC 2002</v>
      </c>
      <c r="T21" s="33">
        <f>T16</f>
        <v>16.34</v>
      </c>
      <c r="U21" s="32" t="str">
        <f>U16</f>
        <v>Kg</v>
      </c>
      <c r="V21" s="34" t="str">
        <f>V16</f>
        <v>Receta madre ► Morcilla en 4 versiones</v>
      </c>
      <c r="W21" s="92"/>
      <c r="X21" s="93"/>
      <c r="Y21" s="94" t="str">
        <f t="shared" si="3"/>
        <v/>
      </c>
      <c r="Z21" s="95">
        <v>9</v>
      </c>
      <c r="AA21" s="140" t="s">
        <v>143</v>
      </c>
      <c r="AB21" s="127">
        <v>1</v>
      </c>
      <c r="AC21" s="920" t="s">
        <v>13156</v>
      </c>
      <c r="AD21" s="1495">
        <f>IF(OR(ISBLANK(W14),AD14=0),0,W21*AB15)</f>
        <v>0</v>
      </c>
      <c r="AE21" s="101">
        <f>IFERROR(_xlfn.LET(_xlpm.v,IFERROR(_xlfn.XLOOKUP(AA21,W57:AF57,W58:AF58),_xlfn.XLOOKUP(AA21,W59:AF59,W60:AF60)),_xlpm.v*Z21*AB21*AB15*IF(ISBLANK(W21),1,W21)),0)</f>
        <v>2.7539779681762546</v>
      </c>
      <c r="AF21" s="1475" t="str">
        <f>_xlfn.LET(_xlpm.unite,SUBSTITUTE(TRIM(AA21)," (s)",""),_xlpm.val,AE21,_xlpm.estVol,COUNTIF(Z57:AF57,_xlpm.unite)+COUNTIF(Z59:AF59,_xlpm.unite)&gt;0,_xlpm.estPoids,COUNTIF(W57:Y57,_xlpm.unite)+COUNTIF(W59:Y59,_xlpm.unite)&gt;0,IF(_xlpm.estVol,IF(ROUND(_xlpm.val,3)&gt;=1,ROUND(_xlpm.val,3)&amp;" L",MAX(1,ROUND(_xlpm.val*100,0))&amp;" cl"),IF(_xlpm.estPoids,IF(ROUND(_xlpm.val,3)&gt;=1,ROUND(_xlpm.val,3)&amp;" Kg",MAX(1,ROUND(_xlpm.val*1000,0))&amp;" g"),"")))</f>
        <v>2.754 Kg</v>
      </c>
      <c r="AG21" s="1171"/>
      <c r="AH21" s="104"/>
      <c r="AI21" s="1172"/>
      <c r="AJ21" s="1172"/>
      <c r="AK21" s="1172"/>
      <c r="AL21" s="1173"/>
      <c r="AM21" s="1174"/>
      <c r="AN21" s="1175"/>
      <c r="AO21" s="1176"/>
      <c r="AP21" s="1177"/>
      <c r="AQ21" s="1547"/>
      <c r="AR21" s="1177"/>
      <c r="AS21" s="1548"/>
      <c r="AT21" s="1549"/>
      <c r="AU21" s="1178"/>
      <c r="AV21" s="1179"/>
      <c r="AY21" s="3">
        <v>1</v>
      </c>
    </row>
    <row r="22" spans="2:51" ht="27" customHeight="1">
      <c r="B22" s="104" t="str">
        <f t="shared" si="4"/>
        <v>A</v>
      </c>
      <c r="C22" s="32" t="str">
        <f>C16</f>
        <v>N NOTRE BOUDIN NOIR | | Auteur &gt; Guy KRENZE - Eric GODDYN - Arnaud NICOLAS - CEPROC 2002</v>
      </c>
      <c r="D22" s="33">
        <f>D16</f>
        <v>16.34</v>
      </c>
      <c r="E22" s="32" t="str">
        <f>E16</f>
        <v>Kg</v>
      </c>
      <c r="F22" s="34" t="str">
        <f>F16</f>
        <v>Recette mère ► le Boudin en 4 déclinaisons</v>
      </c>
      <c r="G22" s="92"/>
      <c r="H22" s="108"/>
      <c r="I22" s="94" t="str">
        <f t="shared" si="2"/>
        <v/>
      </c>
      <c r="J22" s="95"/>
      <c r="K22" s="126"/>
      <c r="L22" s="127">
        <v>1</v>
      </c>
      <c r="M22" s="5152" t="str">
        <f>"x par 1.33 = oignons frais &gt; "&amp;ROUND(O21*1.33,2)&amp;" Kg"</f>
        <v>x par 1.33 = oignons frais &gt; 3.66 Kg</v>
      </c>
      <c r="N22" s="5159">
        <f>IF(OR(ISBLANK(G14),N14=0),0,G22*L15)</f>
        <v>0</v>
      </c>
      <c r="O22" s="5160">
        <f>IFERROR(_xlfn.LET(_xlpm.v,IFERROR(_xlfn.XLOOKUP(K22,G57:P57,G58:P58),_xlfn.XLOOKUP(K22,G59:P59,G60:P60)),_xlpm.v*J22*L22*L15*IF(ISBLANK(G22),1,G22)),0)</f>
        <v>0</v>
      </c>
      <c r="P22" s="5161" t="str">
        <f>_xlfn.LET(_xlpm.unite,SUBSTITUTE(TRIM(K22)," (s)",""),_xlpm.val,O22,_xlpm.estVol,COUNTIF(J57:P57,_xlpm.unite)+COUNTIF(J59:P59,_xlpm.unite)&gt;0,_xlpm.estPoids,COUNTIF(G57:I57,_xlpm.unite)+COUNTIF(G59:I59,_xlpm.unite)&gt;0,IF(_xlpm.estVol,IF(ROUND(_xlpm.val,3)&gt;=1,ROUND(_xlpm.val,3)&amp;" L",MAX(1,ROUND(_xlpm.val*100,0))&amp;" cl"),IF(_xlpm.estPoids,IF(ROUND(_xlpm.val,3)&gt;=1,ROUND(_xlpm.val,3)&amp;" Kg",MAX(1,ROUND(_xlpm.val*1000,0))&amp;" g"),"")))</f>
        <v/>
      </c>
      <c r="Q22" s="1171"/>
      <c r="R22" s="104" t="str">
        <f t="shared" si="5"/>
        <v>A</v>
      </c>
      <c r="S22" s="32" t="str">
        <f>S16</f>
        <v>N NUESTRA MORCILLA | | Autor &gt; Guy KRENZE - Eric GODDYN - Arnaud NICOLAS - CEPROC 2002</v>
      </c>
      <c r="T22" s="33">
        <f>T16</f>
        <v>16.34</v>
      </c>
      <c r="U22" s="32" t="str">
        <f>U16</f>
        <v>Kg</v>
      </c>
      <c r="V22" s="34" t="str">
        <f>V16</f>
        <v>Receta madre ► Morcilla en 4 versiones</v>
      </c>
      <c r="W22" s="92"/>
      <c r="X22" s="108"/>
      <c r="Y22" s="94" t="str">
        <f t="shared" si="3"/>
        <v/>
      </c>
      <c r="Z22" s="95"/>
      <c r="AA22" s="126"/>
      <c r="AB22" s="127">
        <v>1</v>
      </c>
      <c r="AC22" s="5152" t="str">
        <f>"x por 1.33 = cebollas frescas  &gt; "&amp;ROUND(AE21*1.33,2)&amp;" Kg"</f>
        <v>x por 1.33 = cebollas frescas  &gt; 3.66 Kg</v>
      </c>
      <c r="AD22" s="5159">
        <f>IF(OR(ISBLANK(W14),AD14=0),0,W22*AB15)</f>
        <v>0</v>
      </c>
      <c r="AE22" s="5160">
        <f>IFERROR(_xlfn.LET(_xlpm.v,IFERROR(_xlfn.XLOOKUP(AA22,W57:AF57,W58:AF58),_xlfn.XLOOKUP(AA22,W59:AF59,W60:AF60)),_xlpm.v*Z22*AB22*AB15*IF(ISBLANK(W22),1,W22)),0)</f>
        <v>0</v>
      </c>
      <c r="AF22" s="5161" t="str">
        <f>_xlfn.LET(_xlpm.unite,SUBSTITUTE(TRIM(AA22)," (s)",""),_xlpm.val,AE22,_xlpm.estVol,COUNTIF(Z57:AF57,_xlpm.unite)+COUNTIF(Z59:AF59,_xlpm.unite)&gt;0,_xlpm.estPoids,COUNTIF(W57:Y57,_xlpm.unite)+COUNTIF(W59:Y59,_xlpm.unite)&gt;0,IF(_xlpm.estVol,IF(ROUND(_xlpm.val,3)&gt;=1,ROUND(_xlpm.val,3)&amp;" L",MAX(1,ROUND(_xlpm.val*100,0))&amp;" cl"),IF(_xlpm.estPoids,IF(ROUND(_xlpm.val,3)&gt;=1,ROUND(_xlpm.val,3)&amp;" Kg",MAX(1,ROUND(_xlpm.val*1000,0))&amp;" g"),"")))</f>
        <v/>
      </c>
      <c r="AG22" s="1171"/>
      <c r="AH22" s="104"/>
      <c r="AI22" s="1172"/>
      <c r="AJ22" s="1172"/>
      <c r="AK22" s="1172"/>
      <c r="AL22" s="1173"/>
      <c r="AM22" s="1174"/>
      <c r="AN22" s="1175"/>
      <c r="AO22" s="1176"/>
      <c r="AP22" s="1177"/>
      <c r="AQ22" s="1547"/>
      <c r="AR22" s="1177"/>
      <c r="AS22" s="1548"/>
      <c r="AT22" s="1549"/>
      <c r="AU22" s="1178"/>
      <c r="AV22" s="1179"/>
      <c r="AY22" s="3">
        <v>1</v>
      </c>
    </row>
    <row r="23" spans="2:51" ht="27" customHeight="1">
      <c r="B23" s="104" t="str">
        <f t="shared" si="4"/>
        <v>A</v>
      </c>
      <c r="C23" s="32" t="str">
        <f>C16</f>
        <v>N NOTRE BOUDIN NOIR | | Auteur &gt; Guy KRENZE - Eric GODDYN - Arnaud NICOLAS - CEPROC 2002</v>
      </c>
      <c r="D23" s="33">
        <f>D16</f>
        <v>16.34</v>
      </c>
      <c r="E23" s="32" t="str">
        <f>E16</f>
        <v>Kg</v>
      </c>
      <c r="F23" s="34" t="str">
        <f>F16</f>
        <v>Recette mère ► le Boudin en 4 déclinaisons</v>
      </c>
      <c r="G23" s="92"/>
      <c r="H23" s="108"/>
      <c r="I23" s="94" t="str">
        <f t="shared" si="2"/>
        <v/>
      </c>
      <c r="J23" s="5110">
        <v>1.5</v>
      </c>
      <c r="K23" s="140" t="s">
        <v>143</v>
      </c>
      <c r="L23" s="127">
        <v>1</v>
      </c>
      <c r="M23" s="920" t="s">
        <v>13047</v>
      </c>
      <c r="N23" s="1495">
        <f>IF(OR(ISBLANK(G14),N14=0),0,G23*L15)</f>
        <v>0</v>
      </c>
      <c r="O23" s="101">
        <f>IFERROR(_xlfn.LET(_xlpm.v,IFERROR(_xlfn.XLOOKUP(K23,G57:P57,G58:P58),_xlfn.XLOOKUP(K23,G59:P59,G60:P60)),_xlpm.v*J23*L23*L15*IF(ISBLANK(G23),1,G23)),0)</f>
        <v>0.45899632802937573</v>
      </c>
      <c r="P23" s="1475" t="str">
        <f>_xlfn.LET(_xlpm.unite,SUBSTITUTE(TRIM(K23)," (s)",""),_xlpm.val,O23,_xlpm.estVol,COUNTIF(J57:P57,_xlpm.unite)+COUNTIF(J59:P59,_xlpm.unite)&gt;0,_xlpm.estPoids,COUNTIF(G57:I57,_xlpm.unite)+COUNTIF(G59:I59,_xlpm.unite)&gt;0,IF(_xlpm.estVol,IF(ROUND(_xlpm.val,3)&gt;=1,ROUND(_xlpm.val,3)&amp;" L",MAX(1,ROUND(_xlpm.val*100,0))&amp;" cl"),IF(_xlpm.estPoids,IF(ROUND(_xlpm.val,3)&gt;=1,ROUND(_xlpm.val,3)&amp;" Kg",MAX(1,ROUND(_xlpm.val*1000,0))&amp;" g"),"")))</f>
        <v>459 g</v>
      </c>
      <c r="Q23" s="1171"/>
      <c r="R23" s="104" t="str">
        <f t="shared" si="5"/>
        <v>A</v>
      </c>
      <c r="S23" s="32" t="str">
        <f>S16</f>
        <v>N NUESTRA MORCILLA | | Autor &gt; Guy KRENZE - Eric GODDYN - Arnaud NICOLAS - CEPROC 2002</v>
      </c>
      <c r="T23" s="33">
        <f>T16</f>
        <v>16.34</v>
      </c>
      <c r="U23" s="32" t="str">
        <f>U16</f>
        <v>Kg</v>
      </c>
      <c r="V23" s="34" t="str">
        <f>V16</f>
        <v>Receta madre ► Morcilla en 4 versiones</v>
      </c>
      <c r="W23" s="92"/>
      <c r="X23" s="108"/>
      <c r="Y23" s="94" t="str">
        <f t="shared" si="3"/>
        <v/>
      </c>
      <c r="Z23" s="5110">
        <v>1.5</v>
      </c>
      <c r="AA23" s="140" t="s">
        <v>143</v>
      </c>
      <c r="AB23" s="127">
        <v>1</v>
      </c>
      <c r="AC23" s="920" t="s">
        <v>13158</v>
      </c>
      <c r="AD23" s="1495">
        <f>IF(OR(ISBLANK(W14),AD14=0),0,W23*AB15)</f>
        <v>0</v>
      </c>
      <c r="AE23" s="101">
        <f>IFERROR(_xlfn.LET(_xlpm.v,IFERROR(_xlfn.XLOOKUP(AA23,W57:AF57,W58:AF58),_xlfn.XLOOKUP(AA23,W59:AF59,W60:AF60)),_xlpm.v*Z23*AB23*AB15*IF(ISBLANK(W23),1,W23)),0)</f>
        <v>0.45899632802937573</v>
      </c>
      <c r="AF23" s="1475" t="str">
        <f>_xlfn.LET(_xlpm.unite,SUBSTITUTE(TRIM(AA23)," (s)",""),_xlpm.val,AE23,_xlpm.estVol,COUNTIF(Z57:AF57,_xlpm.unite)+COUNTIF(Z59:AF59,_xlpm.unite)&gt;0,_xlpm.estPoids,COUNTIF(W57:Y57,_xlpm.unite)+COUNTIF(W59:Y59,_xlpm.unite)&gt;0,IF(_xlpm.estVol,IF(ROUND(_xlpm.val,3)&gt;=1,ROUND(_xlpm.val,3)&amp;" L",MAX(1,ROUND(_xlpm.val*100,0))&amp;" cl"),IF(_xlpm.estPoids,IF(ROUND(_xlpm.val,3)&gt;=1,ROUND(_xlpm.val,3)&amp;" Kg",MAX(1,ROUND(_xlpm.val*1000,0))&amp;" g"),"")))</f>
        <v>459 g</v>
      </c>
      <c r="AG23" s="1171"/>
      <c r="AH23" s="104"/>
      <c r="AI23" s="1172"/>
      <c r="AJ23" s="1172"/>
      <c r="AK23" s="1172"/>
      <c r="AL23" s="1173"/>
      <c r="AM23" s="1174"/>
      <c r="AN23" s="1175"/>
      <c r="AO23" s="1176"/>
      <c r="AP23" s="1177"/>
      <c r="AQ23" s="1547"/>
      <c r="AR23" s="1177"/>
      <c r="AS23" s="1548"/>
      <c r="AT23" s="1549"/>
      <c r="AU23" s="1178"/>
      <c r="AV23" s="1179"/>
      <c r="AY23" s="3">
        <v>1</v>
      </c>
    </row>
    <row r="24" spans="2:51" ht="27" customHeight="1">
      <c r="B24" s="104" t="str">
        <f t="shared" si="4"/>
        <v>A</v>
      </c>
      <c r="C24" s="32" t="str">
        <f>C16</f>
        <v>N NOTRE BOUDIN NOIR | | Auteur &gt; Guy KRENZE - Eric GODDYN - Arnaud NICOLAS - CEPROC 2002</v>
      </c>
      <c r="D24" s="33">
        <f>D16</f>
        <v>16.34</v>
      </c>
      <c r="E24" s="32" t="str">
        <f>E16</f>
        <v>Kg</v>
      </c>
      <c r="F24" s="34" t="str">
        <f>F16</f>
        <v>Recette mère ► le Boudin en 4 déclinaisons</v>
      </c>
      <c r="G24" s="92"/>
      <c r="H24" s="108"/>
      <c r="I24" s="94" t="str">
        <f t="shared" si="2"/>
        <v/>
      </c>
      <c r="J24" s="5110">
        <v>1.5</v>
      </c>
      <c r="K24" s="140" t="s">
        <v>143</v>
      </c>
      <c r="L24" s="127">
        <v>1</v>
      </c>
      <c r="M24" s="920" t="s">
        <v>13048</v>
      </c>
      <c r="N24" s="1495">
        <f>IF(OR(ISBLANK(G14),N14=0),0,G24*L15)</f>
        <v>0</v>
      </c>
      <c r="O24" s="101">
        <f>IFERROR(_xlfn.LET(_xlpm.v,IFERROR(_xlfn.XLOOKUP(K24,G57:P57,G58:P58),_xlfn.XLOOKUP(K24,G59:P59,G60:P60)),_xlpm.v*J24*L24*L15*IF(ISBLANK(G24),1,G24)),0)</f>
        <v>0.45899632802937573</v>
      </c>
      <c r="P24" s="1476" t="str">
        <f>_xlfn.LET(_xlpm.unite,SUBSTITUTE(TRIM(K24)," (s)",""),_xlpm.val,O24,_xlpm.estVol,COUNTIF(J57:P57,_xlpm.unite)+COUNTIF(J59:P59,_xlpm.unite)&gt;0,_xlpm.estPoids,COUNTIF(G57:I57,_xlpm.unite)+COUNTIF(G59:I59,_xlpm.unite)&gt;0,IF(_xlpm.estVol,IF(ROUND(_xlpm.val,3)&gt;=1,ROUND(_xlpm.val,3)&amp;" L",MAX(1,ROUND(_xlpm.val*100,0))&amp;" cl"),IF(_xlpm.estPoids,IF(ROUND(_xlpm.val,3)&gt;=1,ROUND(_xlpm.val,3)&amp;" Kg",MAX(1,ROUND(_xlpm.val*1000,0))&amp;" g"),"")))</f>
        <v>459 g</v>
      </c>
      <c r="Q24" s="1171"/>
      <c r="R24" s="104" t="str">
        <f t="shared" si="5"/>
        <v>A</v>
      </c>
      <c r="S24" s="32" t="str">
        <f>S16</f>
        <v>N NUESTRA MORCILLA | | Autor &gt; Guy KRENZE - Eric GODDYN - Arnaud NICOLAS - CEPROC 2002</v>
      </c>
      <c r="T24" s="33">
        <f>T16</f>
        <v>16.34</v>
      </c>
      <c r="U24" s="32" t="str">
        <f>U16</f>
        <v>Kg</v>
      </c>
      <c r="V24" s="34" t="str">
        <f>V16</f>
        <v>Receta madre ► Morcilla en 4 versiones</v>
      </c>
      <c r="W24" s="92"/>
      <c r="X24" s="108"/>
      <c r="Y24" s="94" t="str">
        <f t="shared" si="3"/>
        <v/>
      </c>
      <c r="Z24" s="5110">
        <v>1.5</v>
      </c>
      <c r="AA24" s="140" t="s">
        <v>143</v>
      </c>
      <c r="AB24" s="127">
        <v>1</v>
      </c>
      <c r="AC24" s="920" t="s">
        <v>13159</v>
      </c>
      <c r="AD24" s="1495">
        <f>IF(OR(ISBLANK(W14),AD14=0),0,W24*AB15)</f>
        <v>0</v>
      </c>
      <c r="AE24" s="101">
        <f>IFERROR(_xlfn.LET(_xlpm.v,IFERROR(_xlfn.XLOOKUP(AA24,W57:AF57,W58:AF58),_xlfn.XLOOKUP(AA24,W59:AF59,W60:AF60)),_xlpm.v*Z24*AB24*AB15*IF(ISBLANK(W24),1,W24)),0)</f>
        <v>0.45899632802937573</v>
      </c>
      <c r="AF24" s="1476" t="str">
        <f>_xlfn.LET(_xlpm.unite,SUBSTITUTE(TRIM(AA24)," (s)",""),_xlpm.val,AE24,_xlpm.estVol,COUNTIF(Z57:AF57,_xlpm.unite)+COUNTIF(Z59:AF59,_xlpm.unite)&gt;0,_xlpm.estPoids,COUNTIF(W57:Y57,_xlpm.unite)+COUNTIF(W59:Y59,_xlpm.unite)&gt;0,IF(_xlpm.estVol,IF(ROUND(_xlpm.val,3)&gt;=1,ROUND(_xlpm.val,3)&amp;" L",MAX(1,ROUND(_xlpm.val*100,0))&amp;" cl"),IF(_xlpm.estPoids,IF(ROUND(_xlpm.val,3)&gt;=1,ROUND(_xlpm.val,3)&amp;" Kg",MAX(1,ROUND(_xlpm.val*1000,0))&amp;" g"),"")))</f>
        <v>459 g</v>
      </c>
      <c r="AG24" s="1171"/>
      <c r="AH24" s="104"/>
      <c r="AI24" s="1172"/>
      <c r="AJ24" s="1172"/>
      <c r="AK24" s="1172"/>
      <c r="AL24" s="1173"/>
      <c r="AM24" s="1174"/>
      <c r="AN24" s="1175"/>
      <c r="AO24" s="1176"/>
      <c r="AP24" s="1177"/>
      <c r="AQ24" s="1547"/>
      <c r="AR24" s="1177"/>
      <c r="AS24" s="1548"/>
      <c r="AT24" s="1549"/>
      <c r="AU24" s="1178"/>
      <c r="AV24" s="1179"/>
      <c r="AY24" s="3">
        <v>1</v>
      </c>
    </row>
    <row r="25" spans="2:51" ht="27" customHeight="1">
      <c r="B25" s="104" t="str">
        <f t="shared" si="4"/>
        <v>A</v>
      </c>
      <c r="C25" s="32" t="str">
        <f>C16</f>
        <v>N NOTRE BOUDIN NOIR | | Auteur &gt; Guy KRENZE - Eric GODDYN - Arnaud NICOLAS - CEPROC 2002</v>
      </c>
      <c r="D25" s="33">
        <f>D16</f>
        <v>16.34</v>
      </c>
      <c r="E25" s="32" t="str">
        <f>E16</f>
        <v>Kg</v>
      </c>
      <c r="F25" s="34" t="str">
        <f>F16</f>
        <v>Recette mère ► le Boudin en 4 déclinaisons</v>
      </c>
      <c r="G25" s="92"/>
      <c r="H25" s="108"/>
      <c r="I25" s="94" t="str">
        <f t="shared" si="2"/>
        <v/>
      </c>
      <c r="J25" s="95">
        <v>500</v>
      </c>
      <c r="K25" s="105" t="s">
        <v>99</v>
      </c>
      <c r="L25" s="127">
        <v>1</v>
      </c>
      <c r="M25" s="920" t="s">
        <v>13049</v>
      </c>
      <c r="N25" s="1495">
        <f>IF(OR(ISBLANK(G14),N14=0),0,G25*L15)</f>
        <v>0</v>
      </c>
      <c r="O25" s="101">
        <f>IFERROR(_xlfn.LET(_xlpm.v,IFERROR(_xlfn.XLOOKUP(K25,G57:P57,G58:P58),_xlfn.XLOOKUP(K25,G59:P59,G60:P60)),_xlpm.v*J25*L25*L15*IF(ISBLANK(G25),1,G25)),0)</f>
        <v>0.15299877600979192</v>
      </c>
      <c r="P25" s="1475" t="str">
        <f>_xlfn.LET(_xlpm.unite,SUBSTITUTE(TRIM(K25)," (s)",""),_xlpm.val,O25,_xlpm.estVol,COUNTIF(J57:P57,_xlpm.unite)+COUNTIF(J59:P59,_xlpm.unite)&gt;0,_xlpm.estPoids,COUNTIF(G57:I57,_xlpm.unite)+COUNTIF(G59:I59,_xlpm.unite)&gt;0,IF(_xlpm.estVol,IF(ROUND(_xlpm.val,3)&gt;=1,ROUND(_xlpm.val,3)&amp;" L",MAX(1,ROUND(_xlpm.val*100,0))&amp;" cl"),IF(_xlpm.estPoids,IF(ROUND(_xlpm.val,3)&gt;=1,ROUND(_xlpm.val,3)&amp;" Kg",MAX(1,ROUND(_xlpm.val*1000,0))&amp;" g"),"")))</f>
        <v>153 g</v>
      </c>
      <c r="Q25" s="1171"/>
      <c r="R25" s="104" t="str">
        <f t="shared" si="5"/>
        <v>A</v>
      </c>
      <c r="S25" s="32" t="str">
        <f>S16</f>
        <v>N NUESTRA MORCILLA | | Autor &gt; Guy KRENZE - Eric GODDYN - Arnaud NICOLAS - CEPROC 2002</v>
      </c>
      <c r="T25" s="33">
        <f>T16</f>
        <v>16.34</v>
      </c>
      <c r="U25" s="32" t="str">
        <f>U16</f>
        <v>Kg</v>
      </c>
      <c r="V25" s="34" t="str">
        <f>V16</f>
        <v>Receta madre ► Morcilla en 4 versiones</v>
      </c>
      <c r="W25" s="92"/>
      <c r="X25" s="108"/>
      <c r="Y25" s="94" t="str">
        <f t="shared" si="3"/>
        <v/>
      </c>
      <c r="Z25" s="95">
        <v>500</v>
      </c>
      <c r="AA25" s="105" t="s">
        <v>99</v>
      </c>
      <c r="AB25" s="127">
        <v>1</v>
      </c>
      <c r="AC25" s="920" t="s">
        <v>13160</v>
      </c>
      <c r="AD25" s="1495">
        <f>IF(OR(ISBLANK(W14),AD14=0),0,W25*AB15)</f>
        <v>0</v>
      </c>
      <c r="AE25" s="101">
        <f>IFERROR(_xlfn.LET(_xlpm.v,IFERROR(_xlfn.XLOOKUP(AA25,W57:AF57,W58:AF58),_xlfn.XLOOKUP(AA25,W59:AF59,W60:AF60)),_xlpm.v*Z25*AB25*AB15*IF(ISBLANK(W25),1,W25)),0)</f>
        <v>0.15299877600979192</v>
      </c>
      <c r="AF25" s="1475" t="str">
        <f>_xlfn.LET(_xlpm.unite,SUBSTITUTE(TRIM(AA25)," (s)",""),_xlpm.val,AE25,_xlpm.estVol,COUNTIF(Z57:AF57,_xlpm.unite)+COUNTIF(Z59:AF59,_xlpm.unite)&gt;0,_xlpm.estPoids,COUNTIF(W57:Y57,_xlpm.unite)+COUNTIF(W59:Y59,_xlpm.unite)&gt;0,IF(_xlpm.estVol,IF(ROUND(_xlpm.val,3)&gt;=1,ROUND(_xlpm.val,3)&amp;" L",MAX(1,ROUND(_xlpm.val*100,0))&amp;" cl"),IF(_xlpm.estPoids,IF(ROUND(_xlpm.val,3)&gt;=1,ROUND(_xlpm.val,3)&amp;" Kg",MAX(1,ROUND(_xlpm.val*1000,0))&amp;" g"),"")))</f>
        <v>153 g</v>
      </c>
      <c r="AG25" s="1171"/>
      <c r="AH25" s="104"/>
      <c r="AI25" s="1172"/>
      <c r="AJ25" s="1172"/>
      <c r="AK25" s="1172"/>
      <c r="AL25" s="1173"/>
      <c r="AM25" s="1174"/>
      <c r="AN25" s="1175"/>
      <c r="AO25" s="1176"/>
      <c r="AP25" s="1177"/>
      <c r="AQ25" s="1547"/>
      <c r="AR25" s="1177"/>
      <c r="AS25" s="1548"/>
      <c r="AT25" s="1549"/>
      <c r="AU25" s="1178"/>
      <c r="AV25" s="1179"/>
      <c r="AY25" s="3">
        <v>1</v>
      </c>
    </row>
    <row r="26" spans="2:51" ht="27" customHeight="1">
      <c r="B26" s="104" t="str">
        <f t="shared" si="4"/>
        <v>A</v>
      </c>
      <c r="C26" s="32" t="str">
        <f>C16</f>
        <v>N NOTRE BOUDIN NOIR | | Auteur &gt; Guy KRENZE - Eric GODDYN - Arnaud NICOLAS - CEPROC 2002</v>
      </c>
      <c r="D26" s="33">
        <f>D16</f>
        <v>16.34</v>
      </c>
      <c r="E26" s="32" t="str">
        <f>E16</f>
        <v>Kg</v>
      </c>
      <c r="F26" s="34" t="str">
        <f>F16</f>
        <v>Recette mère ► le Boudin en 4 déclinaisons</v>
      </c>
      <c r="G26" s="92"/>
      <c r="H26" s="108"/>
      <c r="I26" s="94" t="str">
        <f t="shared" si="2"/>
        <v/>
      </c>
      <c r="J26" s="95">
        <v>80</v>
      </c>
      <c r="K26" s="105" t="s">
        <v>99</v>
      </c>
      <c r="L26" s="127">
        <v>1</v>
      </c>
      <c r="M26" s="920" t="s">
        <v>13050</v>
      </c>
      <c r="N26" s="1495">
        <f>IF(OR(ISBLANK(G14),N14=0),0,G26*L15)</f>
        <v>0</v>
      </c>
      <c r="O26" s="101">
        <f>IFERROR(_xlfn.LET(_xlpm.v,IFERROR(_xlfn.XLOOKUP(K26,G57:P57,G58:P58),_xlfn.XLOOKUP(K26,G59:P59,G60:P60)),_xlpm.v*J26*L26*L15*IF(ISBLANK(G26),1,G26)),0)</f>
        <v>2.4479804161566709E-2</v>
      </c>
      <c r="P26" s="1476" t="str">
        <f>_xlfn.LET(_xlpm.unite,SUBSTITUTE(TRIM(K26)," (s)",""),_xlpm.val,O26,_xlpm.estVol,COUNTIF(J57:P57,_xlpm.unite)+COUNTIF(J59:P59,_xlpm.unite)&gt;0,_xlpm.estPoids,COUNTIF(G57:I57,_xlpm.unite)+COUNTIF(G59:I59,_xlpm.unite)&gt;0,IF(_xlpm.estVol,IF(ROUND(_xlpm.val,3)&gt;=1,ROUND(_xlpm.val,3)&amp;" L",MAX(1,ROUND(_xlpm.val*100,0))&amp;" cl"),IF(_xlpm.estPoids,IF(ROUND(_xlpm.val,3)&gt;=1,ROUND(_xlpm.val,3)&amp;" Kg",MAX(1,ROUND(_xlpm.val*1000,0))&amp;" g"),"")))</f>
        <v>24 g</v>
      </c>
      <c r="Q26" s="1171"/>
      <c r="R26" s="104" t="str">
        <f t="shared" si="5"/>
        <v>A</v>
      </c>
      <c r="S26" s="32" t="str">
        <f>S16</f>
        <v>N NUESTRA MORCILLA | | Autor &gt; Guy KRENZE - Eric GODDYN - Arnaud NICOLAS - CEPROC 2002</v>
      </c>
      <c r="T26" s="33">
        <f>T16</f>
        <v>16.34</v>
      </c>
      <c r="U26" s="32" t="str">
        <f>U16</f>
        <v>Kg</v>
      </c>
      <c r="V26" s="34" t="str">
        <f>V16</f>
        <v>Receta madre ► Morcilla en 4 versiones</v>
      </c>
      <c r="W26" s="92"/>
      <c r="X26" s="108"/>
      <c r="Y26" s="94" t="str">
        <f t="shared" si="3"/>
        <v/>
      </c>
      <c r="Z26" s="95">
        <v>80</v>
      </c>
      <c r="AA26" s="105" t="s">
        <v>99</v>
      </c>
      <c r="AB26" s="127">
        <v>1</v>
      </c>
      <c r="AC26" s="920" t="s">
        <v>13161</v>
      </c>
      <c r="AD26" s="1495">
        <f>IF(OR(ISBLANK(W14),AD14=0),0,W26*AB15)</f>
        <v>0</v>
      </c>
      <c r="AE26" s="101">
        <f>IFERROR(_xlfn.LET(_xlpm.v,IFERROR(_xlfn.XLOOKUP(AA26,W57:AF57,W58:AF58),_xlfn.XLOOKUP(AA26,W59:AF59,W60:AF60)),_xlpm.v*Z26*AB26*AB15*IF(ISBLANK(W26),1,W26)),0)</f>
        <v>2.4479804161566709E-2</v>
      </c>
      <c r="AF26" s="1476" t="str">
        <f>_xlfn.LET(_xlpm.unite,SUBSTITUTE(TRIM(AA26)," (s)",""),_xlpm.val,AE26,_xlpm.estVol,COUNTIF(Z57:AF57,_xlpm.unite)+COUNTIF(Z59:AF59,_xlpm.unite)&gt;0,_xlpm.estPoids,COUNTIF(W57:Y57,_xlpm.unite)+COUNTIF(W59:Y59,_xlpm.unite)&gt;0,IF(_xlpm.estVol,IF(ROUND(_xlpm.val,3)&gt;=1,ROUND(_xlpm.val,3)&amp;" L",MAX(1,ROUND(_xlpm.val*100,0))&amp;" cl"),IF(_xlpm.estPoids,IF(ROUND(_xlpm.val,3)&gt;=1,ROUND(_xlpm.val,3)&amp;" Kg",MAX(1,ROUND(_xlpm.val*1000,0))&amp;" g"),"")))</f>
        <v>24 g</v>
      </c>
      <c r="AG26" s="1171"/>
      <c r="AH26" s="104"/>
      <c r="AI26" s="1172"/>
      <c r="AJ26" s="1172"/>
      <c r="AK26" s="1172"/>
      <c r="AL26" s="1173"/>
      <c r="AM26" s="1174"/>
      <c r="AN26" s="1175"/>
      <c r="AO26" s="1176"/>
      <c r="AP26" s="1177"/>
      <c r="AQ26" s="1547"/>
      <c r="AR26" s="1177"/>
      <c r="AS26" s="1548"/>
      <c r="AT26" s="1549"/>
      <c r="AU26" s="1178"/>
      <c r="AV26" s="1179"/>
      <c r="AY26" s="3">
        <v>1</v>
      </c>
    </row>
    <row r="27" spans="2:51" ht="27" customHeight="1">
      <c r="B27" s="104" t="str">
        <f t="shared" si="4"/>
        <v>A</v>
      </c>
      <c r="C27" s="32" t="str">
        <f>C16</f>
        <v>N NOTRE BOUDIN NOIR | | Auteur &gt; Guy KRENZE - Eric GODDYN - Arnaud NICOLAS - CEPROC 2002</v>
      </c>
      <c r="D27" s="33">
        <f>D16</f>
        <v>16.34</v>
      </c>
      <c r="E27" s="32" t="str">
        <f>E16</f>
        <v>Kg</v>
      </c>
      <c r="F27" s="34" t="str">
        <f>F16</f>
        <v>Recette mère ► le Boudin en 4 déclinaisons</v>
      </c>
      <c r="G27" s="92"/>
      <c r="H27" s="108"/>
      <c r="I27" s="94" t="str">
        <f t="shared" si="2"/>
        <v/>
      </c>
      <c r="J27" s="95">
        <v>50</v>
      </c>
      <c r="K27" s="105" t="s">
        <v>99</v>
      </c>
      <c r="L27" s="127">
        <v>1</v>
      </c>
      <c r="M27" s="920" t="s">
        <v>13051</v>
      </c>
      <c r="N27" s="1495">
        <f>IF(OR(ISBLANK(G14),N14=0),0,G27*L15)</f>
        <v>0</v>
      </c>
      <c r="O27" s="101">
        <f>IFERROR(_xlfn.LET(_xlpm.v,IFERROR(_xlfn.XLOOKUP(K27,G57:P57,G58:P58),_xlfn.XLOOKUP(K27,G59:P59,G60:P60)),_xlpm.v*J27*L27*L15*IF(ISBLANK(G27),1,G27)),0)</f>
        <v>1.5299877600979193E-2</v>
      </c>
      <c r="P27" s="1475" t="str">
        <f>_xlfn.LET(_xlpm.unite,SUBSTITUTE(TRIM(K27)," (s)",""),_xlpm.val,O27,_xlpm.estVol,COUNTIF(J57:P57,_xlpm.unite)+COUNTIF(J59:P59,_xlpm.unite)&gt;0,_xlpm.estPoids,COUNTIF(G57:I57,_xlpm.unite)+COUNTIF(G59:I59,_xlpm.unite)&gt;0,IF(_xlpm.estVol,IF(ROUND(_xlpm.val,3)&gt;=1,ROUND(_xlpm.val,3)&amp;" L",MAX(1,ROUND(_xlpm.val*100,0))&amp;" cl"),IF(_xlpm.estPoids,IF(ROUND(_xlpm.val,3)&gt;=1,ROUND(_xlpm.val,3)&amp;" Kg",MAX(1,ROUND(_xlpm.val*1000,0))&amp;" g"),"")))</f>
        <v>15 g</v>
      </c>
      <c r="Q27" s="1171"/>
      <c r="R27" s="104" t="str">
        <f t="shared" si="5"/>
        <v>A</v>
      </c>
      <c r="S27" s="32" t="str">
        <f>S16</f>
        <v>N NUESTRA MORCILLA | | Autor &gt; Guy KRENZE - Eric GODDYN - Arnaud NICOLAS - CEPROC 2002</v>
      </c>
      <c r="T27" s="33">
        <f>T16</f>
        <v>16.34</v>
      </c>
      <c r="U27" s="32" t="str">
        <f>U16</f>
        <v>Kg</v>
      </c>
      <c r="V27" s="34" t="str">
        <f>V16</f>
        <v>Receta madre ► Morcilla en 4 versiones</v>
      </c>
      <c r="W27" s="92"/>
      <c r="X27" s="108"/>
      <c r="Y27" s="94" t="str">
        <f t="shared" si="3"/>
        <v/>
      </c>
      <c r="Z27" s="95">
        <v>50</v>
      </c>
      <c r="AA27" s="105" t="s">
        <v>99</v>
      </c>
      <c r="AB27" s="127">
        <v>1</v>
      </c>
      <c r="AC27" s="920" t="s">
        <v>13162</v>
      </c>
      <c r="AD27" s="1495">
        <f>IF(OR(ISBLANK(W14),AD14=0),0,W27*AB15)</f>
        <v>0</v>
      </c>
      <c r="AE27" s="101">
        <f>IFERROR(_xlfn.LET(_xlpm.v,IFERROR(_xlfn.XLOOKUP(AA27,W57:AF57,W58:AF58),_xlfn.XLOOKUP(AA27,W59:AF59,W60:AF60)),_xlpm.v*Z27*AB27*AB15*IF(ISBLANK(W27),1,W27)),0)</f>
        <v>1.5299877600979193E-2</v>
      </c>
      <c r="AF27" s="1475" t="str">
        <f>_xlfn.LET(_xlpm.unite,SUBSTITUTE(TRIM(AA27)," (s)",""),_xlpm.val,AE27,_xlpm.estVol,COUNTIF(Z57:AF57,_xlpm.unite)+COUNTIF(Z59:AF59,_xlpm.unite)&gt;0,_xlpm.estPoids,COUNTIF(W57:Y57,_xlpm.unite)+COUNTIF(W59:Y59,_xlpm.unite)&gt;0,IF(_xlpm.estVol,IF(ROUND(_xlpm.val,3)&gt;=1,ROUND(_xlpm.val,3)&amp;" L",MAX(1,ROUND(_xlpm.val*100,0))&amp;" cl"),IF(_xlpm.estPoids,IF(ROUND(_xlpm.val,3)&gt;=1,ROUND(_xlpm.val,3)&amp;" Kg",MAX(1,ROUND(_xlpm.val*1000,0))&amp;" g"),"")))</f>
        <v>15 g</v>
      </c>
      <c r="AG27" s="1171"/>
      <c r="AH27" s="104"/>
      <c r="AI27" s="1172"/>
      <c r="AJ27" s="1172"/>
      <c r="AK27" s="1172"/>
      <c r="AL27" s="1173"/>
      <c r="AM27" s="1174"/>
      <c r="AN27" s="1175"/>
      <c r="AO27" s="1176"/>
      <c r="AP27" s="1177"/>
      <c r="AQ27" s="1547"/>
      <c r="AR27" s="1177"/>
      <c r="AS27" s="1548"/>
      <c r="AT27" s="1549"/>
      <c r="AU27" s="1178"/>
      <c r="AV27" s="1179"/>
      <c r="AY27" s="3">
        <v>1</v>
      </c>
    </row>
    <row r="28" spans="2:51" ht="27" customHeight="1">
      <c r="B28" s="104" t="str">
        <f t="shared" si="4"/>
        <v>A</v>
      </c>
      <c r="C28" s="32" t="str">
        <f>C16</f>
        <v>N NOTRE BOUDIN NOIR | | Auteur &gt; Guy KRENZE - Eric GODDYN - Arnaud NICOLAS - CEPROC 2002</v>
      </c>
      <c r="D28" s="33">
        <f>D16</f>
        <v>16.34</v>
      </c>
      <c r="E28" s="32" t="str">
        <f>E16</f>
        <v>Kg</v>
      </c>
      <c r="F28" s="34" t="str">
        <f>F16</f>
        <v>Recette mère ► le Boudin en 4 déclinaisons</v>
      </c>
      <c r="G28" s="92"/>
      <c r="H28" s="108"/>
      <c r="I28" s="94" t="str">
        <f t="shared" si="2"/>
        <v/>
      </c>
      <c r="J28" s="95">
        <v>7</v>
      </c>
      <c r="K28" s="105" t="s">
        <v>99</v>
      </c>
      <c r="L28" s="127">
        <v>1</v>
      </c>
      <c r="M28" s="920" t="s">
        <v>13052</v>
      </c>
      <c r="N28" s="1495">
        <f>IF(OR(ISBLANK(G14),N14=0),0,G28*L15)</f>
        <v>0</v>
      </c>
      <c r="O28" s="101">
        <f>IFERROR(_xlfn.LET(_xlpm.v,IFERROR(_xlfn.XLOOKUP(K28,G57:P57,G58:P58),_xlfn.XLOOKUP(K28,G59:P59,G60:P60)),_xlpm.v*J28*L28*L15*IF(ISBLANK(G28),1,G28)),0)</f>
        <v>2.1419828641370867E-3</v>
      </c>
      <c r="P28" s="1476" t="str">
        <f>_xlfn.LET(_xlpm.unite,SUBSTITUTE(TRIM(K28)," (s)",""),_xlpm.val,O28,_xlpm.estVol,COUNTIF(J57:P57,_xlpm.unite)+COUNTIF(J59:P59,_xlpm.unite)&gt;0,_xlpm.estPoids,COUNTIF(G57:I57,_xlpm.unite)+COUNTIF(G59:I59,_xlpm.unite)&gt;0,IF(_xlpm.estVol,IF(ROUND(_xlpm.val,3)&gt;=1,ROUND(_xlpm.val,3)&amp;" L",MAX(1,ROUND(_xlpm.val*100,0))&amp;" cl"),IF(_xlpm.estPoids,IF(ROUND(_xlpm.val,3)&gt;=1,ROUND(_xlpm.val,3)&amp;" Kg",MAX(1,ROUND(_xlpm.val*1000,0))&amp;" g"),"")))</f>
        <v>2 g</v>
      </c>
      <c r="Q28" s="1171"/>
      <c r="R28" s="104" t="str">
        <f t="shared" si="5"/>
        <v>A</v>
      </c>
      <c r="S28" s="32" t="str">
        <f>S16</f>
        <v>N NUESTRA MORCILLA | | Autor &gt; Guy KRENZE - Eric GODDYN - Arnaud NICOLAS - CEPROC 2002</v>
      </c>
      <c r="T28" s="33">
        <f>T16</f>
        <v>16.34</v>
      </c>
      <c r="U28" s="32" t="str">
        <f>U16</f>
        <v>Kg</v>
      </c>
      <c r="V28" s="34" t="str">
        <f>V16</f>
        <v>Receta madre ► Morcilla en 4 versiones</v>
      </c>
      <c r="W28" s="92"/>
      <c r="X28" s="108"/>
      <c r="Y28" s="94" t="str">
        <f t="shared" si="3"/>
        <v/>
      </c>
      <c r="Z28" s="95">
        <v>7</v>
      </c>
      <c r="AA28" s="105" t="s">
        <v>99</v>
      </c>
      <c r="AB28" s="127">
        <v>1</v>
      </c>
      <c r="AC28" s="920" t="s">
        <v>13163</v>
      </c>
      <c r="AD28" s="1495">
        <f>IF(OR(ISBLANK(W14),AD14=0),0,W28*AB15)</f>
        <v>0</v>
      </c>
      <c r="AE28" s="101">
        <f>IFERROR(_xlfn.LET(_xlpm.v,IFERROR(_xlfn.XLOOKUP(AA28,W57:AF57,W58:AF58),_xlfn.XLOOKUP(AA28,W59:AF59,W60:AF60)),_xlpm.v*Z28*AB28*AB15*IF(ISBLANK(W28),1,W28)),0)</f>
        <v>2.1419828641370867E-3</v>
      </c>
      <c r="AF28" s="1476" t="str">
        <f>_xlfn.LET(_xlpm.unite,SUBSTITUTE(TRIM(AA28)," (s)",""),_xlpm.val,AE28,_xlpm.estVol,COUNTIF(Z57:AF57,_xlpm.unite)+COUNTIF(Z59:AF59,_xlpm.unite)&gt;0,_xlpm.estPoids,COUNTIF(W57:Y57,_xlpm.unite)+COUNTIF(W59:Y59,_xlpm.unite)&gt;0,IF(_xlpm.estVol,IF(ROUND(_xlpm.val,3)&gt;=1,ROUND(_xlpm.val,3)&amp;" L",MAX(1,ROUND(_xlpm.val*100,0))&amp;" cl"),IF(_xlpm.estPoids,IF(ROUND(_xlpm.val,3)&gt;=1,ROUND(_xlpm.val,3)&amp;" Kg",MAX(1,ROUND(_xlpm.val*1000,0))&amp;" g"),"")))</f>
        <v>2 g</v>
      </c>
      <c r="AG28" s="1171"/>
      <c r="AH28" s="104"/>
      <c r="AI28" s="1172"/>
      <c r="AJ28" s="1172"/>
      <c r="AK28" s="1172"/>
      <c r="AL28" s="1173"/>
      <c r="AM28" s="1174"/>
      <c r="AN28" s="1175"/>
      <c r="AO28" s="1176"/>
      <c r="AP28" s="1177"/>
      <c r="AQ28" s="1547"/>
      <c r="AR28" s="1177"/>
      <c r="AS28" s="1548"/>
      <c r="AT28" s="1549"/>
      <c r="AU28" s="1178"/>
      <c r="AV28" s="1179"/>
      <c r="AY28" s="3">
        <v>1</v>
      </c>
    </row>
    <row r="29" spans="2:51" ht="27" customHeight="1">
      <c r="B29" s="104" t="str">
        <f t="shared" si="4"/>
        <v>A</v>
      </c>
      <c r="C29" s="32" t="str">
        <f>C16</f>
        <v>N NOTRE BOUDIN NOIR | | Auteur &gt; Guy KRENZE - Eric GODDYN - Arnaud NICOLAS - CEPROC 2002</v>
      </c>
      <c r="D29" s="33">
        <f>D16</f>
        <v>16.34</v>
      </c>
      <c r="E29" s="32" t="str">
        <f>E16</f>
        <v>Kg</v>
      </c>
      <c r="F29" s="34" t="str">
        <f>F16</f>
        <v>Recette mère ► le Boudin en 4 déclinaisons</v>
      </c>
      <c r="G29" s="92"/>
      <c r="H29" s="108"/>
      <c r="I29" s="94" t="str">
        <f t="shared" si="2"/>
        <v/>
      </c>
      <c r="J29" s="95">
        <v>150</v>
      </c>
      <c r="K29" s="105" t="s">
        <v>99</v>
      </c>
      <c r="L29" s="127">
        <v>1</v>
      </c>
      <c r="M29" s="920" t="s">
        <v>13053</v>
      </c>
      <c r="N29" s="1495">
        <f>IF(OR(ISBLANK(G14),N14=0),0,G29*L15)</f>
        <v>0</v>
      </c>
      <c r="O29" s="101">
        <f>IFERROR(_xlfn.LET(_xlpm.v,IFERROR(_xlfn.XLOOKUP(K29,G57:P57,G58:P58),_xlfn.XLOOKUP(K29,G59:P59,G60:P60)),_xlpm.v*J29*L29*L15*IF(ISBLANK(G29),1,G29)),0)</f>
        <v>4.5899632802937573E-2</v>
      </c>
      <c r="P29" s="1475" t="str">
        <f>_xlfn.LET(_xlpm.unite,SUBSTITUTE(TRIM(K29)," (s)",""),_xlpm.val,O29,_xlpm.estVol,COUNTIF(J57:P57,_xlpm.unite)+COUNTIF(J59:P59,_xlpm.unite)&gt;0,_xlpm.estPoids,COUNTIF(G57:I57,_xlpm.unite)+COUNTIF(G59:I59,_xlpm.unite)&gt;0,IF(_xlpm.estVol,IF(ROUND(_xlpm.val,3)&gt;=1,ROUND(_xlpm.val,3)&amp;" L",MAX(1,ROUND(_xlpm.val*100,0))&amp;" cl"),IF(_xlpm.estPoids,IF(ROUND(_xlpm.val,3)&gt;=1,ROUND(_xlpm.val,3)&amp;" Kg",MAX(1,ROUND(_xlpm.val*1000,0))&amp;" g"),"")))</f>
        <v>46 g</v>
      </c>
      <c r="Q29" s="1171"/>
      <c r="R29" s="104" t="str">
        <f t="shared" si="5"/>
        <v>A</v>
      </c>
      <c r="S29" s="32" t="str">
        <f>S16</f>
        <v>N NUESTRA MORCILLA | | Autor &gt; Guy KRENZE - Eric GODDYN - Arnaud NICOLAS - CEPROC 2002</v>
      </c>
      <c r="T29" s="33">
        <f>T16</f>
        <v>16.34</v>
      </c>
      <c r="U29" s="32" t="str">
        <f>U16</f>
        <v>Kg</v>
      </c>
      <c r="V29" s="34" t="str">
        <f>V16</f>
        <v>Receta madre ► Morcilla en 4 versiones</v>
      </c>
      <c r="W29" s="92"/>
      <c r="X29" s="108"/>
      <c r="Y29" s="94" t="str">
        <f t="shared" si="3"/>
        <v/>
      </c>
      <c r="Z29" s="95">
        <v>150</v>
      </c>
      <c r="AA29" s="105" t="s">
        <v>99</v>
      </c>
      <c r="AB29" s="127">
        <v>1</v>
      </c>
      <c r="AC29" s="920" t="s">
        <v>13164</v>
      </c>
      <c r="AD29" s="1495">
        <f>IF(OR(ISBLANK(W14),AD14=0),0,W29*AB15)</f>
        <v>0</v>
      </c>
      <c r="AE29" s="101">
        <f>IFERROR(_xlfn.LET(_xlpm.v,IFERROR(_xlfn.XLOOKUP(AA29,W57:AF57,W58:AF58),_xlfn.XLOOKUP(AA29,W59:AF59,W60:AF60)),_xlpm.v*Z29*AB29*AB15*IF(ISBLANK(W29),1,W29)),0)</f>
        <v>4.5899632802937573E-2</v>
      </c>
      <c r="AF29" s="1475" t="str">
        <f>_xlfn.LET(_xlpm.unite,SUBSTITUTE(TRIM(AA29)," (s)",""),_xlpm.val,AE29,_xlpm.estVol,COUNTIF(Z57:AF57,_xlpm.unite)+COUNTIF(Z59:AF59,_xlpm.unite)&gt;0,_xlpm.estPoids,COUNTIF(W57:Y57,_xlpm.unite)+COUNTIF(W59:Y59,_xlpm.unite)&gt;0,IF(_xlpm.estVol,IF(ROUND(_xlpm.val,3)&gt;=1,ROUND(_xlpm.val,3)&amp;" L",MAX(1,ROUND(_xlpm.val*100,0))&amp;" cl"),IF(_xlpm.estPoids,IF(ROUND(_xlpm.val,3)&gt;=1,ROUND(_xlpm.val,3)&amp;" Kg",MAX(1,ROUND(_xlpm.val*1000,0))&amp;" g"),"")))</f>
        <v>46 g</v>
      </c>
      <c r="AG29" s="1171"/>
      <c r="AH29" s="104"/>
      <c r="AI29" s="1172"/>
      <c r="AJ29" s="1172"/>
      <c r="AK29" s="1172"/>
      <c r="AL29" s="1173"/>
      <c r="AM29" s="1174"/>
      <c r="AN29" s="1175"/>
      <c r="AO29" s="1176"/>
      <c r="AP29" s="1177"/>
      <c r="AQ29" s="1547"/>
      <c r="AR29" s="1177"/>
      <c r="AS29" s="1548"/>
      <c r="AT29" s="1549"/>
      <c r="AU29" s="1178"/>
      <c r="AV29" s="1179"/>
      <c r="AY29" s="3">
        <v>1</v>
      </c>
    </row>
    <row r="30" spans="2:51" ht="27" customHeight="1">
      <c r="B30" s="104" t="str">
        <f t="shared" si="4"/>
        <v>A</v>
      </c>
      <c r="C30" s="32" t="str">
        <f>C16</f>
        <v>N NOTRE BOUDIN NOIR | | Auteur &gt; Guy KRENZE - Eric GODDYN - Arnaud NICOLAS - CEPROC 2002</v>
      </c>
      <c r="D30" s="33">
        <f>D16</f>
        <v>16.34</v>
      </c>
      <c r="E30" s="32" t="str">
        <f>E16</f>
        <v>Kg</v>
      </c>
      <c r="F30" s="34" t="str">
        <f>F16</f>
        <v>Recette mère ► le Boudin en 4 déclinaisons</v>
      </c>
      <c r="G30" s="92"/>
      <c r="H30" s="108"/>
      <c r="I30" s="94" t="str">
        <f t="shared" si="2"/>
        <v/>
      </c>
      <c r="J30" s="95">
        <v>220</v>
      </c>
      <c r="K30" s="105" t="s">
        <v>99</v>
      </c>
      <c r="L30" s="127">
        <v>1</v>
      </c>
      <c r="M30" s="920" t="s">
        <v>13054</v>
      </c>
      <c r="N30" s="1495">
        <f>IF(OR(ISBLANK(G14),N14=0),0,G30*L15)</f>
        <v>0</v>
      </c>
      <c r="O30" s="101">
        <f>IFERROR(_xlfn.LET(_xlpm.v,IFERROR(_xlfn.XLOOKUP(K30,G57:P57,G58:P58),_xlfn.XLOOKUP(K30,G59:P59,G60:P60)),_xlpm.v*J30*L30*L15*IF(ISBLANK(G30),1,G30)),0)</f>
        <v>6.7319461444308448E-2</v>
      </c>
      <c r="P30" s="1476" t="str">
        <f>_xlfn.LET(_xlpm.unite,SUBSTITUTE(TRIM(K30)," (s)",""),_xlpm.val,O30,_xlpm.estVol,COUNTIF(J57:P57,_xlpm.unite)+COUNTIF(J59:P59,_xlpm.unite)&gt;0,_xlpm.estPoids,COUNTIF(G57:I57,_xlpm.unite)+COUNTIF(G59:I59,_xlpm.unite)&gt;0,IF(_xlpm.estVol,IF(ROUND(_xlpm.val,3)&gt;=1,ROUND(_xlpm.val,3)&amp;" L",MAX(1,ROUND(_xlpm.val*100,0))&amp;" cl"),IF(_xlpm.estPoids,IF(ROUND(_xlpm.val,3)&gt;=1,ROUND(_xlpm.val,3)&amp;" Kg",MAX(1,ROUND(_xlpm.val*1000,0))&amp;" g"),"")))</f>
        <v>67 g</v>
      </c>
      <c r="Q30" s="1171"/>
      <c r="R30" s="104" t="str">
        <f t="shared" si="5"/>
        <v>A</v>
      </c>
      <c r="S30" s="32" t="str">
        <f>S16</f>
        <v>N NUESTRA MORCILLA | | Autor &gt; Guy KRENZE - Eric GODDYN - Arnaud NICOLAS - CEPROC 2002</v>
      </c>
      <c r="T30" s="33">
        <f>T16</f>
        <v>16.34</v>
      </c>
      <c r="U30" s="32" t="str">
        <f>U16</f>
        <v>Kg</v>
      </c>
      <c r="V30" s="34" t="str">
        <f>V16</f>
        <v>Receta madre ► Morcilla en 4 versiones</v>
      </c>
      <c r="W30" s="92"/>
      <c r="X30" s="108"/>
      <c r="Y30" s="94" t="str">
        <f t="shared" si="3"/>
        <v/>
      </c>
      <c r="Z30" s="95">
        <v>220</v>
      </c>
      <c r="AA30" s="105" t="s">
        <v>99</v>
      </c>
      <c r="AB30" s="127">
        <v>1</v>
      </c>
      <c r="AC30" s="920" t="s">
        <v>13165</v>
      </c>
      <c r="AD30" s="1495">
        <f>IF(OR(ISBLANK(W14),AD14=0),0,W30*AB15)</f>
        <v>0</v>
      </c>
      <c r="AE30" s="101">
        <f>IFERROR(_xlfn.LET(_xlpm.v,IFERROR(_xlfn.XLOOKUP(AA30,W57:AF57,W58:AF58),_xlfn.XLOOKUP(AA30,W59:AF59,W60:AF60)),_xlpm.v*Z30*AB30*AB15*IF(ISBLANK(W30),1,W30)),0)</f>
        <v>6.7319461444308448E-2</v>
      </c>
      <c r="AF30" s="1476" t="str">
        <f>_xlfn.LET(_xlpm.unite,SUBSTITUTE(TRIM(AA30)," (s)",""),_xlpm.val,AE30,_xlpm.estVol,COUNTIF(Z57:AF57,_xlpm.unite)+COUNTIF(Z59:AF59,_xlpm.unite)&gt;0,_xlpm.estPoids,COUNTIF(W57:Y57,_xlpm.unite)+COUNTIF(W59:Y59,_xlpm.unite)&gt;0,IF(_xlpm.estVol,IF(ROUND(_xlpm.val,3)&gt;=1,ROUND(_xlpm.val,3)&amp;" L",MAX(1,ROUND(_xlpm.val*100,0))&amp;" cl"),IF(_xlpm.estPoids,IF(ROUND(_xlpm.val,3)&gt;=1,ROUND(_xlpm.val,3)&amp;" Kg",MAX(1,ROUND(_xlpm.val*1000,0))&amp;" g"),"")))</f>
        <v>67 g</v>
      </c>
      <c r="AG30" s="1171"/>
      <c r="AH30" s="104"/>
      <c r="AI30" s="1172"/>
      <c r="AJ30" s="1172"/>
      <c r="AK30" s="1172"/>
      <c r="AL30" s="1173"/>
      <c r="AM30" s="1174"/>
      <c r="AN30" s="1175"/>
      <c r="AO30" s="1176"/>
      <c r="AP30" s="1177"/>
      <c r="AQ30" s="1547"/>
      <c r="AR30" s="1177"/>
      <c r="AS30" s="1548"/>
      <c r="AT30" s="1549"/>
      <c r="AU30" s="1178"/>
      <c r="AV30" s="1179"/>
      <c r="AY30" s="3">
        <v>1</v>
      </c>
    </row>
    <row r="31" spans="2:51" ht="27" customHeight="1">
      <c r="B31" s="104" t="str">
        <f t="shared" si="4"/>
        <v>A</v>
      </c>
      <c r="C31" s="32" t="str">
        <f>C16</f>
        <v>N NOTRE BOUDIN NOIR | | Auteur &gt; Guy KRENZE - Eric GODDYN - Arnaud NICOLAS - CEPROC 2002</v>
      </c>
      <c r="D31" s="33">
        <f>D16</f>
        <v>16.34</v>
      </c>
      <c r="E31" s="32" t="str">
        <f>E16</f>
        <v>Kg</v>
      </c>
      <c r="F31" s="34" t="str">
        <f>F16</f>
        <v>Recette mère ► le Boudin en 4 déclinaisons</v>
      </c>
      <c r="G31" s="92"/>
      <c r="H31" s="108"/>
      <c r="I31" s="94" t="str">
        <f t="shared" si="2"/>
        <v/>
      </c>
      <c r="J31" s="95"/>
      <c r="K31" s="5111"/>
      <c r="L31" s="127">
        <v>1</v>
      </c>
      <c r="M31" s="5152" t="s">
        <v>13084</v>
      </c>
      <c r="N31" s="5153"/>
      <c r="O31" s="5127">
        <f>ROUND(SUM(O20:O30)*18/1000,3)</f>
        <v>8.7999999999999995E-2</v>
      </c>
      <c r="P31" s="5154">
        <f>O31*1000</f>
        <v>88</v>
      </c>
      <c r="Q31" s="1171"/>
      <c r="R31" s="104" t="str">
        <f t="shared" si="5"/>
        <v>A</v>
      </c>
      <c r="S31" s="32" t="str">
        <f>S16</f>
        <v>N NUESTRA MORCILLA | | Autor &gt; Guy KRENZE - Eric GODDYN - Arnaud NICOLAS - CEPROC 2002</v>
      </c>
      <c r="T31" s="33">
        <f>T16</f>
        <v>16.34</v>
      </c>
      <c r="U31" s="32" t="str">
        <f>U16</f>
        <v>Kg</v>
      </c>
      <c r="V31" s="34" t="str">
        <f>V16</f>
        <v>Receta madre ► Morcilla en 4 versiones</v>
      </c>
      <c r="W31" s="92"/>
      <c r="X31" s="108"/>
      <c r="Y31" s="94" t="str">
        <f t="shared" si="3"/>
        <v/>
      </c>
      <c r="Z31" s="95"/>
      <c r="AA31" s="5111"/>
      <c r="AB31" s="127">
        <v>1</v>
      </c>
      <c r="AC31" s="5152" t="s">
        <v>13166</v>
      </c>
      <c r="AD31" s="5153"/>
      <c r="AE31" s="5127">
        <f>ROUND(SUM(AE20:AE30)*18/1000,3)</f>
        <v>8.7999999999999995E-2</v>
      </c>
      <c r="AF31" s="5154">
        <f>AE31*1000</f>
        <v>88</v>
      </c>
      <c r="AG31" s="1171"/>
      <c r="AH31" s="104"/>
      <c r="AI31" s="1172"/>
      <c r="AJ31" s="1172"/>
      <c r="AK31" s="1172"/>
      <c r="AL31" s="1173"/>
      <c r="AM31" s="1174"/>
      <c r="AN31" s="1175"/>
      <c r="AO31" s="1176"/>
      <c r="AP31" s="1177"/>
      <c r="AQ31" s="1547"/>
      <c r="AR31" s="1177"/>
      <c r="AS31" s="1548"/>
      <c r="AT31" s="1549"/>
      <c r="AU31" s="1178"/>
      <c r="AV31" s="1179"/>
      <c r="AY31" s="3">
        <v>1</v>
      </c>
    </row>
    <row r="32" spans="2:51" ht="27" customHeight="1">
      <c r="B32" s="104" t="str">
        <f t="shared" si="4"/>
        <v>A</v>
      </c>
      <c r="C32" s="32" t="str">
        <f>C16</f>
        <v>N NOTRE BOUDIN NOIR | | Auteur &gt; Guy KRENZE - Eric GODDYN - Arnaud NICOLAS - CEPROC 2002</v>
      </c>
      <c r="D32" s="33">
        <f>D16</f>
        <v>16.34</v>
      </c>
      <c r="E32" s="32" t="str">
        <f>E16</f>
        <v>Kg</v>
      </c>
      <c r="F32" s="34" t="str">
        <f>F16</f>
        <v>Recette mère ► le Boudin en 4 déclinaisons</v>
      </c>
      <c r="G32" s="92"/>
      <c r="H32" s="108"/>
      <c r="I32" s="94" t="str">
        <f t="shared" si="2"/>
        <v/>
      </c>
      <c r="J32" s="95"/>
      <c r="K32" s="126"/>
      <c r="L32" s="127">
        <v>1</v>
      </c>
      <c r="M32" s="5155" t="str">
        <f>"Total "&amp;TEXT(SUM(O20:O30),"#,##0.00")&amp;" kg × 18 g/kg = "&amp;TEXT(ROUND(SUM(O20:O30)*18,0),"0")&amp;" g"&amp;" de sel"</f>
        <v>Total ,4.90 kg × 18 g/kg = 88 g de sel</v>
      </c>
      <c r="N32" s="5153"/>
      <c r="O32" s="5156"/>
      <c r="P32" s="5157"/>
      <c r="Q32" s="1171"/>
      <c r="R32" s="104" t="str">
        <f t="shared" si="5"/>
        <v>A</v>
      </c>
      <c r="S32" s="32" t="str">
        <f>S16</f>
        <v>N NUESTRA MORCILLA | | Autor &gt; Guy KRENZE - Eric GODDYN - Arnaud NICOLAS - CEPROC 2002</v>
      </c>
      <c r="T32" s="33">
        <f>T16</f>
        <v>16.34</v>
      </c>
      <c r="U32" s="32" t="str">
        <f>U16</f>
        <v>Kg</v>
      </c>
      <c r="V32" s="34" t="str">
        <f>V16</f>
        <v>Receta madre ► Morcilla en 4 versiones</v>
      </c>
      <c r="W32" s="92"/>
      <c r="X32" s="108"/>
      <c r="Y32" s="94" t="str">
        <f t="shared" si="3"/>
        <v/>
      </c>
      <c r="Z32" s="95"/>
      <c r="AA32" s="126"/>
      <c r="AB32" s="127">
        <v>1</v>
      </c>
      <c r="AC32" s="5155" t="str">
        <f>"Total "&amp;TEXT(SUM(AE20:AE30),"#,##0.00")&amp;" kg × 18 g/kg = "&amp;TEXT(ROUND(SUM(AE20:AE30)*18,0),"0")&amp;" g"&amp;" de sal"</f>
        <v>Total ,4.90 kg × 18 g/kg = 88 g de sal</v>
      </c>
      <c r="AD32" s="5153"/>
      <c r="AE32" s="5156"/>
      <c r="AF32" s="5157"/>
      <c r="AG32" s="1171"/>
      <c r="AH32" s="104"/>
      <c r="AI32" s="1172"/>
      <c r="AJ32" s="1172"/>
      <c r="AK32" s="1172"/>
      <c r="AL32" s="1173"/>
      <c r="AM32" s="1174"/>
      <c r="AN32" s="1175"/>
      <c r="AO32" s="1176"/>
      <c r="AP32" s="1177"/>
      <c r="AQ32" s="1547"/>
      <c r="AR32" s="1177"/>
      <c r="AS32" s="1548"/>
      <c r="AT32" s="1549"/>
      <c r="AU32" s="1178"/>
      <c r="AV32" s="1179"/>
      <c r="AY32" s="3">
        <v>1</v>
      </c>
    </row>
    <row r="33" spans="2:51" ht="27" customHeight="1">
      <c r="B33" s="104" t="str">
        <f t="shared" si="4"/>
        <v>►</v>
      </c>
      <c r="C33" s="32" t="str">
        <f>C16</f>
        <v>N NOTRE BOUDIN NOIR | | Auteur &gt; Guy KRENZE - Eric GODDYN - Arnaud NICOLAS - CEPROC 2002</v>
      </c>
      <c r="D33" s="33">
        <f>D16</f>
        <v>16.34</v>
      </c>
      <c r="E33" s="32" t="str">
        <f>E16</f>
        <v>Kg</v>
      </c>
      <c r="F33" s="34" t="str">
        <f>F16</f>
        <v>Recette mère ► le Boudin en 4 déclinaisons</v>
      </c>
      <c r="G33" s="92"/>
      <c r="H33" s="108"/>
      <c r="I33" s="94" t="str">
        <f t="shared" si="2"/>
        <v/>
      </c>
      <c r="J33" s="95"/>
      <c r="K33" s="126"/>
      <c r="L33" s="127">
        <v>1</v>
      </c>
      <c r="M33" s="5158"/>
      <c r="N33" s="5153"/>
      <c r="O33" s="5156"/>
      <c r="P33" s="5157"/>
      <c r="Q33" s="1171"/>
      <c r="R33" s="104" t="str">
        <f t="shared" si="5"/>
        <v>►</v>
      </c>
      <c r="S33" s="32" t="str">
        <f>S16</f>
        <v>N NUESTRA MORCILLA | | Autor &gt; Guy KRENZE - Eric GODDYN - Arnaud NICOLAS - CEPROC 2002</v>
      </c>
      <c r="T33" s="33">
        <f>T16</f>
        <v>16.34</v>
      </c>
      <c r="U33" s="32" t="str">
        <f>U16</f>
        <v>Kg</v>
      </c>
      <c r="V33" s="34" t="str">
        <f>V16</f>
        <v>Receta madre ► Morcilla en 4 versiones</v>
      </c>
      <c r="W33" s="92"/>
      <c r="X33" s="108"/>
      <c r="Y33" s="94" t="str">
        <f t="shared" si="3"/>
        <v/>
      </c>
      <c r="Z33" s="95"/>
      <c r="AA33" s="126"/>
      <c r="AB33" s="127">
        <v>1</v>
      </c>
      <c r="AC33" s="5158"/>
      <c r="AD33" s="5153"/>
      <c r="AE33" s="5156"/>
      <c r="AF33" s="5157"/>
      <c r="AG33" s="1171"/>
      <c r="AH33" s="104"/>
      <c r="AI33" s="1172"/>
      <c r="AJ33" s="1172"/>
      <c r="AK33" s="1172"/>
      <c r="AL33" s="1173"/>
      <c r="AM33" s="1174"/>
      <c r="AN33" s="1175"/>
      <c r="AO33" s="1176"/>
      <c r="AP33" s="1177"/>
      <c r="AQ33" s="1547"/>
      <c r="AR33" s="1177"/>
      <c r="AS33" s="1548"/>
      <c r="AT33" s="1549"/>
      <c r="AU33" s="1178"/>
      <c r="AV33" s="1179"/>
      <c r="AY33" s="3">
        <v>1</v>
      </c>
    </row>
    <row r="34" spans="2:51" ht="27" customHeight="1">
      <c r="B34" s="104" t="str">
        <f t="shared" si="4"/>
        <v>A</v>
      </c>
      <c r="C34" s="32" t="str">
        <f>C16</f>
        <v>N NOTRE BOUDIN NOIR | | Auteur &gt; Guy KRENZE - Eric GODDYN - Arnaud NICOLAS - CEPROC 2002</v>
      </c>
      <c r="D34" s="33">
        <f>D16</f>
        <v>16.34</v>
      </c>
      <c r="E34" s="32" t="str">
        <f>E16</f>
        <v>Kg</v>
      </c>
      <c r="F34" s="34" t="str">
        <f>F16</f>
        <v>Recette mère ► le Boudin en 4 déclinaisons</v>
      </c>
      <c r="G34" s="92"/>
      <c r="H34" s="108"/>
      <c r="I34" s="94" t="str">
        <f t="shared" si="2"/>
        <v/>
      </c>
      <c r="J34" s="95"/>
      <c r="K34" s="126"/>
      <c r="L34" s="127">
        <v>1</v>
      </c>
      <c r="M34" s="5152" t="s">
        <v>13065</v>
      </c>
      <c r="N34" s="5153"/>
      <c r="O34" s="5127">
        <f>ROUND(SUM(O20:O30)*3/1000,3)</f>
        <v>1.4999999999999999E-2</v>
      </c>
      <c r="P34" s="5154">
        <f>O34*1000</f>
        <v>15</v>
      </c>
      <c r="Q34" s="1171"/>
      <c r="R34" s="104" t="str">
        <f t="shared" si="5"/>
        <v>A</v>
      </c>
      <c r="S34" s="32" t="str">
        <f>S16</f>
        <v>N NUESTRA MORCILLA | | Autor &gt; Guy KRENZE - Eric GODDYN - Arnaud NICOLAS - CEPROC 2002</v>
      </c>
      <c r="T34" s="33">
        <f>T16</f>
        <v>16.34</v>
      </c>
      <c r="U34" s="32" t="str">
        <f>U16</f>
        <v>Kg</v>
      </c>
      <c r="V34" s="34" t="str">
        <f>V16</f>
        <v>Receta madre ► Morcilla en 4 versiones</v>
      </c>
      <c r="W34" s="92"/>
      <c r="X34" s="108"/>
      <c r="Y34" s="94" t="str">
        <f t="shared" si="3"/>
        <v/>
      </c>
      <c r="Z34" s="95"/>
      <c r="AA34" s="126"/>
      <c r="AB34" s="127">
        <v>1</v>
      </c>
      <c r="AC34" s="5152" t="s">
        <v>13168</v>
      </c>
      <c r="AD34" s="5153"/>
      <c r="AE34" s="5127">
        <f>ROUND(SUM(AE20:AE30)*3/1000,3)</f>
        <v>1.4999999999999999E-2</v>
      </c>
      <c r="AF34" s="5154">
        <f>AE34*1000</f>
        <v>15</v>
      </c>
      <c r="AG34" s="1171"/>
      <c r="AH34" s="104"/>
      <c r="AI34" s="1172"/>
      <c r="AJ34" s="1172"/>
      <c r="AK34" s="1172"/>
      <c r="AL34" s="1173"/>
      <c r="AM34" s="1174"/>
      <c r="AN34" s="1175"/>
      <c r="AO34" s="1176"/>
      <c r="AP34" s="1177"/>
      <c r="AQ34" s="1547"/>
      <c r="AR34" s="1177"/>
      <c r="AS34" s="1548"/>
      <c r="AT34" s="1549"/>
      <c r="AU34" s="1178"/>
      <c r="AV34" s="1179"/>
      <c r="AY34" s="3">
        <v>1</v>
      </c>
    </row>
    <row r="35" spans="2:51" ht="27" customHeight="1">
      <c r="B35" s="104" t="str">
        <f t="shared" si="4"/>
        <v>A</v>
      </c>
      <c r="C35" s="32" t="str">
        <f>C16</f>
        <v>N NOTRE BOUDIN NOIR | | Auteur &gt; Guy KRENZE - Eric GODDYN - Arnaud NICOLAS - CEPROC 2002</v>
      </c>
      <c r="D35" s="33">
        <f>D16</f>
        <v>16.34</v>
      </c>
      <c r="E35" s="32" t="str">
        <f>E16</f>
        <v>Kg</v>
      </c>
      <c r="F35" s="34" t="str">
        <f>F16</f>
        <v>Recette mère ► le Boudin en 4 déclinaisons</v>
      </c>
      <c r="G35" s="92"/>
      <c r="H35" s="108"/>
      <c r="I35" s="94" t="str">
        <f t="shared" si="2"/>
        <v/>
      </c>
      <c r="J35" s="95"/>
      <c r="K35" s="126"/>
      <c r="L35" s="127">
        <v>1</v>
      </c>
      <c r="M35" s="5155" t="str">
        <f>"Total "&amp;TEXT(SUM(O20:O30),"#,##0.00")&amp;" kg × 3 g/kg = "&amp;TEXT(ROUND(SUM(O20:O30)*3,0),"0")&amp;" g"&amp;" d'épices"</f>
        <v>Total ,4.90 kg × 3 g/kg = 15 g d'épices</v>
      </c>
      <c r="N35" s="5153"/>
      <c r="O35" s="5156"/>
      <c r="P35" s="5157"/>
      <c r="Q35" s="1171"/>
      <c r="R35" s="104" t="str">
        <f t="shared" si="5"/>
        <v>A</v>
      </c>
      <c r="S35" s="32" t="str">
        <f>S16</f>
        <v>N NUESTRA MORCILLA | | Autor &gt; Guy KRENZE - Eric GODDYN - Arnaud NICOLAS - CEPROC 2002</v>
      </c>
      <c r="T35" s="33">
        <f>T16</f>
        <v>16.34</v>
      </c>
      <c r="U35" s="32" t="str">
        <f>U16</f>
        <v>Kg</v>
      </c>
      <c r="V35" s="34" t="str">
        <f>V16</f>
        <v>Receta madre ► Morcilla en 4 versiones</v>
      </c>
      <c r="W35" s="92"/>
      <c r="X35" s="108"/>
      <c r="Y35" s="94" t="str">
        <f t="shared" si="3"/>
        <v/>
      </c>
      <c r="Z35" s="95"/>
      <c r="AA35" s="126"/>
      <c r="AB35" s="127">
        <v>1</v>
      </c>
      <c r="AC35" s="5155" t="str">
        <f>"Total "&amp;TEXT(SUM(AE20:AE30),"#,##0.00")&amp;" kg × 3 g/kg = "&amp;TEXT(ROUND(SUM(AE20:AE30)*3,0),"0")&amp;" g"&amp;" de especias"</f>
        <v>Total ,4.90 kg × 3 g/kg = 15 g de especias</v>
      </c>
      <c r="AD35" s="5153"/>
      <c r="AE35" s="5156"/>
      <c r="AF35" s="5157"/>
      <c r="AG35" s="1171"/>
      <c r="AH35" s="104"/>
      <c r="AI35" s="1172"/>
      <c r="AJ35" s="1172"/>
      <c r="AK35" s="1172"/>
      <c r="AL35" s="1173"/>
      <c r="AM35" s="1174"/>
      <c r="AN35" s="1175"/>
      <c r="AO35" s="1176"/>
      <c r="AP35" s="1177"/>
      <c r="AQ35" s="1547"/>
      <c r="AR35" s="1177"/>
      <c r="AS35" s="1548"/>
      <c r="AT35" s="1549"/>
      <c r="AU35" s="1178"/>
      <c r="AV35" s="1179"/>
      <c r="AY35" s="3">
        <v>1</v>
      </c>
    </row>
    <row r="36" spans="2:51" ht="27" customHeight="1">
      <c r="B36" s="104" t="str">
        <f t="shared" si="4"/>
        <v>►</v>
      </c>
      <c r="C36" s="32" t="str">
        <f>C16</f>
        <v>N NOTRE BOUDIN NOIR | | Auteur &gt; Guy KRENZE - Eric GODDYN - Arnaud NICOLAS - CEPROC 2002</v>
      </c>
      <c r="D36" s="33">
        <f>D16</f>
        <v>16.34</v>
      </c>
      <c r="E36" s="32" t="str">
        <f>E16</f>
        <v>Kg</v>
      </c>
      <c r="F36" s="34" t="str">
        <f>F16</f>
        <v>Recette mère ► le Boudin en 4 déclinaisons</v>
      </c>
      <c r="G36" s="92"/>
      <c r="H36" s="108"/>
      <c r="I36" s="94" t="str">
        <f t="shared" si="2"/>
        <v/>
      </c>
      <c r="J36" s="95"/>
      <c r="K36" s="126"/>
      <c r="L36" s="127">
        <v>1</v>
      </c>
      <c r="M36" s="920"/>
      <c r="N36" s="1495">
        <f>IF(OR(ISBLANK(G14),N14=0),0,G36*L15)</f>
        <v>0</v>
      </c>
      <c r="O36" s="101">
        <f>IFERROR(_xlfn.LET(_xlpm.v,IFERROR(_xlfn.XLOOKUP(K36,G57:P57,G58:P58),_xlfn.XLOOKUP(K36,G59:P59,G60:P60)),_xlpm.v*J36*L36*L15*IF(ISBLANK(G36),1,G36)),0)</f>
        <v>0</v>
      </c>
      <c r="P36" s="1476" t="str">
        <f>_xlfn.LET(_xlpm.unite,SUBSTITUTE(TRIM(K36)," (s)",""),_xlpm.val,O36,_xlpm.estVol,COUNTIF(J57:P57,_xlpm.unite)+COUNTIF(J59:P59,_xlpm.unite)&gt;0,_xlpm.estPoids,COUNTIF(G57:I57,_xlpm.unite)+COUNTIF(G59:I59,_xlpm.unite)&gt;0,IF(_xlpm.estVol,IF(ROUND(_xlpm.val,3)&gt;=1,ROUND(_xlpm.val,3)&amp;" L",MAX(1,ROUND(_xlpm.val*100,0))&amp;" cl"),IF(_xlpm.estPoids,IF(ROUND(_xlpm.val,3)&gt;=1,ROUND(_xlpm.val,3)&amp;" Kg",MAX(1,ROUND(_xlpm.val*1000,0))&amp;" g"),"")))</f>
        <v/>
      </c>
      <c r="Q36" s="1171"/>
      <c r="R36" s="104" t="str">
        <f t="shared" si="5"/>
        <v>►</v>
      </c>
      <c r="S36" s="32" t="str">
        <f>S16</f>
        <v>N NUESTRA MORCILLA | | Autor &gt; Guy KRENZE - Eric GODDYN - Arnaud NICOLAS - CEPROC 2002</v>
      </c>
      <c r="T36" s="33">
        <f>T16</f>
        <v>16.34</v>
      </c>
      <c r="U36" s="32" t="str">
        <f>U16</f>
        <v>Kg</v>
      </c>
      <c r="V36" s="34" t="str">
        <f>V16</f>
        <v>Receta madre ► Morcilla en 4 versiones</v>
      </c>
      <c r="W36" s="92"/>
      <c r="X36" s="108"/>
      <c r="Y36" s="94" t="str">
        <f t="shared" si="3"/>
        <v/>
      </c>
      <c r="Z36" s="95"/>
      <c r="AA36" s="126"/>
      <c r="AB36" s="127">
        <v>1</v>
      </c>
      <c r="AC36" s="920"/>
      <c r="AD36" s="1495">
        <f>IF(OR(ISBLANK(W14),AD14=0),0,W36*AB15)</f>
        <v>0</v>
      </c>
      <c r="AE36" s="101">
        <f>IFERROR(_xlfn.LET(_xlpm.v,IFERROR(_xlfn.XLOOKUP(AA36,W57:AF57,W58:AF58),_xlfn.XLOOKUP(AA36,W59:AF59,W60:AF60)),_xlpm.v*Z36*AB36*AB15*IF(ISBLANK(W36),1,W36)),0)</f>
        <v>0</v>
      </c>
      <c r="AF36" s="1476" t="str">
        <f>_xlfn.LET(_xlpm.unite,SUBSTITUTE(TRIM(AA36)," (s)",""),_xlpm.val,AE36,_xlpm.estVol,COUNTIF(Z57:AF57,_xlpm.unite)+COUNTIF(Z59:AF59,_xlpm.unite)&gt;0,_xlpm.estPoids,COUNTIF(W57:Y57,_xlpm.unite)+COUNTIF(W59:Y59,_xlpm.unite)&gt;0,IF(_xlpm.estVol,IF(ROUND(_xlpm.val,3)&gt;=1,ROUND(_xlpm.val,3)&amp;" L",MAX(1,ROUND(_xlpm.val*100,0))&amp;" cl"),IF(_xlpm.estPoids,IF(ROUND(_xlpm.val,3)&gt;=1,ROUND(_xlpm.val,3)&amp;" Kg",MAX(1,ROUND(_xlpm.val*1000,0))&amp;" g"),"")))</f>
        <v/>
      </c>
      <c r="AG36" s="1171"/>
      <c r="AH36" s="104"/>
      <c r="AI36" s="1172"/>
      <c r="AJ36" s="1172"/>
      <c r="AK36" s="1172"/>
      <c r="AL36" s="1173"/>
      <c r="AM36" s="1174"/>
      <c r="AN36" s="1175"/>
      <c r="AO36" s="1176"/>
      <c r="AP36" s="1177"/>
      <c r="AQ36" s="1547"/>
      <c r="AR36" s="1177"/>
      <c r="AS36" s="1548"/>
      <c r="AT36" s="1549"/>
      <c r="AU36" s="1178"/>
      <c r="AV36" s="1179"/>
      <c r="AY36" s="3">
        <v>1</v>
      </c>
    </row>
    <row r="37" spans="2:51" ht="27" customHeight="1">
      <c r="B37" s="104" t="str">
        <f t="shared" si="4"/>
        <v>A</v>
      </c>
      <c r="C37" s="32" t="str">
        <f>C16</f>
        <v>N NOTRE BOUDIN NOIR | | Auteur &gt; Guy KRENZE - Eric GODDYN - Arnaud NICOLAS - CEPROC 2002</v>
      </c>
      <c r="D37" s="33">
        <f>D16</f>
        <v>16.34</v>
      </c>
      <c r="E37" s="32" t="str">
        <f>E16</f>
        <v>Kg</v>
      </c>
      <c r="F37" s="34" t="str">
        <f>F16</f>
        <v>Recette mère ► le Boudin en 4 déclinaisons</v>
      </c>
      <c r="G37" s="92"/>
      <c r="H37" s="108"/>
      <c r="I37" s="94" t="str">
        <f t="shared" si="2"/>
        <v/>
      </c>
      <c r="J37" s="95"/>
      <c r="K37" s="126"/>
      <c r="L37" s="127">
        <v>1</v>
      </c>
      <c r="M37" s="920" t="s">
        <v>13055</v>
      </c>
      <c r="N37" s="1495">
        <f>IF(OR(ISBLANK(G14),N14=0),0,G37*L15)</f>
        <v>0</v>
      </c>
      <c r="O37" s="101">
        <f>IFERROR(_xlfn.LET(_xlpm.v,IFERROR(_xlfn.XLOOKUP(K37,G57:P57,G58:P58),_xlfn.XLOOKUP(K37,G59:P59,G60:P60)),_xlpm.v*J37*L37*L15*IF(ISBLANK(G37),1,G37)),0)</f>
        <v>0</v>
      </c>
      <c r="P37" s="1475" t="str">
        <f>_xlfn.LET(_xlpm.unite,SUBSTITUTE(TRIM(K37)," (s)",""),_xlpm.val,O37,_xlpm.estVol,COUNTIF(J57:P57,_xlpm.unite)+COUNTIF(J59:P59,_xlpm.unite)&gt;0,_xlpm.estPoids,COUNTIF(G57:I57,_xlpm.unite)+COUNTIF(G59:I59,_xlpm.unite)&gt;0,IF(_xlpm.estVol,IF(ROUND(_xlpm.val,3)&gt;=1,ROUND(_xlpm.val,3)&amp;" L",MAX(1,ROUND(_xlpm.val*100,0))&amp;" cl"),IF(_xlpm.estPoids,IF(ROUND(_xlpm.val,3)&gt;=1,ROUND(_xlpm.val,3)&amp;" Kg",MAX(1,ROUND(_xlpm.val*1000,0))&amp;" g"),"")))</f>
        <v/>
      </c>
      <c r="Q37" s="1171"/>
      <c r="R37" s="104" t="str">
        <f t="shared" si="5"/>
        <v>A</v>
      </c>
      <c r="S37" s="32" t="str">
        <f>S16</f>
        <v>N NUESTRA MORCILLA | | Autor &gt; Guy KRENZE - Eric GODDYN - Arnaud NICOLAS - CEPROC 2002</v>
      </c>
      <c r="T37" s="33">
        <f>T16</f>
        <v>16.34</v>
      </c>
      <c r="U37" s="32" t="str">
        <f>U16</f>
        <v>Kg</v>
      </c>
      <c r="V37" s="34" t="str">
        <f>V16</f>
        <v>Receta madre ► Morcilla en 4 versiones</v>
      </c>
      <c r="W37" s="92"/>
      <c r="X37" s="108"/>
      <c r="Y37" s="94" t="str">
        <f t="shared" si="3"/>
        <v/>
      </c>
      <c r="Z37" s="95"/>
      <c r="AA37" s="126"/>
      <c r="AB37" s="127">
        <v>1</v>
      </c>
      <c r="AC37" s="920" t="s">
        <v>13170</v>
      </c>
      <c r="AD37" s="1495">
        <f>IF(OR(ISBLANK(W14),AD14=0),0,W37*AB15)</f>
        <v>0</v>
      </c>
      <c r="AE37" s="101">
        <f>IFERROR(_xlfn.LET(_xlpm.v,IFERROR(_xlfn.XLOOKUP(AA37,W57:AF57,W58:AF58),_xlfn.XLOOKUP(AA37,W59:AF59,W60:AF60)),_xlpm.v*Z37*AB37*AB15*IF(ISBLANK(W37),1,W37)),0)</f>
        <v>0</v>
      </c>
      <c r="AF37" s="1475" t="str">
        <f>_xlfn.LET(_xlpm.unite,SUBSTITUTE(TRIM(AA37)," (s)",""),_xlpm.val,AE37,_xlpm.estVol,COUNTIF(Z57:AF57,_xlpm.unite)+COUNTIF(Z59:AF59,_xlpm.unite)&gt;0,_xlpm.estPoids,COUNTIF(W57:Y57,_xlpm.unite)+COUNTIF(W59:Y59,_xlpm.unite)&gt;0,IF(_xlpm.estVol,IF(ROUND(_xlpm.val,3)&gt;=1,ROUND(_xlpm.val,3)&amp;" L",MAX(1,ROUND(_xlpm.val*100,0))&amp;" cl"),IF(_xlpm.estPoids,IF(ROUND(_xlpm.val,3)&gt;=1,ROUND(_xlpm.val,3)&amp;" Kg",MAX(1,ROUND(_xlpm.val*1000,0))&amp;" g"),"")))</f>
        <v/>
      </c>
      <c r="AG37" s="1171"/>
      <c r="AH37" s="104"/>
      <c r="AI37" s="1172"/>
      <c r="AJ37" s="1172"/>
      <c r="AK37" s="1172"/>
      <c r="AL37" s="1173"/>
      <c r="AM37" s="1174"/>
      <c r="AN37" s="1175"/>
      <c r="AO37" s="1176"/>
      <c r="AP37" s="1177"/>
      <c r="AQ37" s="1547"/>
      <c r="AR37" s="1177"/>
      <c r="AS37" s="1548"/>
      <c r="AT37" s="1549"/>
      <c r="AU37" s="1178"/>
      <c r="AV37" s="1179"/>
      <c r="AY37" s="3">
        <v>1</v>
      </c>
    </row>
    <row r="38" spans="2:51" ht="27" customHeight="1">
      <c r="B38" s="104" t="str">
        <f t="shared" si="4"/>
        <v>►</v>
      </c>
      <c r="C38" s="32" t="str">
        <f>C16</f>
        <v>N NOTRE BOUDIN NOIR | | Auteur &gt; Guy KRENZE - Eric GODDYN - Arnaud NICOLAS - CEPROC 2002</v>
      </c>
      <c r="D38" s="33">
        <f>D16</f>
        <v>16.34</v>
      </c>
      <c r="E38" s="32" t="str">
        <f>E16</f>
        <v>Kg</v>
      </c>
      <c r="F38" s="34" t="str">
        <f>F16</f>
        <v>Recette mère ► le Boudin en 4 déclinaisons</v>
      </c>
      <c r="G38" s="92"/>
      <c r="H38" s="108"/>
      <c r="I38" s="94" t="str">
        <f t="shared" si="2"/>
        <v/>
      </c>
      <c r="J38" s="95"/>
      <c r="K38" s="126"/>
      <c r="L38" s="127">
        <v>1</v>
      </c>
      <c r="M38" s="920"/>
      <c r="N38" s="1495">
        <f>IF(OR(ISBLANK(G14),N14=0),0,G38*L15)</f>
        <v>0</v>
      </c>
      <c r="O38" s="101">
        <f>IFERROR(_xlfn.LET(_xlpm.v,IFERROR(_xlfn.XLOOKUP(K38,G57:P57,G58:P58),_xlfn.XLOOKUP(K38,G59:P59,G60:P60)),_xlpm.v*J38*L38*L15*IF(ISBLANK(G38),1,G38)),0)</f>
        <v>0</v>
      </c>
      <c r="P38" s="1476" t="str">
        <f>_xlfn.LET(_xlpm.unite,SUBSTITUTE(TRIM(K38)," (s)",""),_xlpm.val,O38,_xlpm.estVol,COUNTIF(J57:P57,_xlpm.unite)+COUNTIF(J59:P59,_xlpm.unite)&gt;0,_xlpm.estPoids,COUNTIF(G57:I57,_xlpm.unite)+COUNTIF(G59:I59,_xlpm.unite)&gt;0,IF(_xlpm.estVol,IF(ROUND(_xlpm.val,3)&gt;=1,ROUND(_xlpm.val,3)&amp;" L",MAX(1,ROUND(_xlpm.val*100,0))&amp;" cl"),IF(_xlpm.estPoids,IF(ROUND(_xlpm.val,3)&gt;=1,ROUND(_xlpm.val,3)&amp;" Kg",MAX(1,ROUND(_xlpm.val*1000,0))&amp;" g"),"")))</f>
        <v/>
      </c>
      <c r="Q38" s="1171"/>
      <c r="R38" s="104" t="str">
        <f t="shared" si="5"/>
        <v>►</v>
      </c>
      <c r="S38" s="32" t="str">
        <f>S16</f>
        <v>N NUESTRA MORCILLA | | Autor &gt; Guy KRENZE - Eric GODDYN - Arnaud NICOLAS - CEPROC 2002</v>
      </c>
      <c r="T38" s="33">
        <f>T16</f>
        <v>16.34</v>
      </c>
      <c r="U38" s="32" t="str">
        <f>U16</f>
        <v>Kg</v>
      </c>
      <c r="V38" s="34" t="str">
        <f>V16</f>
        <v>Receta madre ► Morcilla en 4 versiones</v>
      </c>
      <c r="W38" s="92"/>
      <c r="X38" s="108"/>
      <c r="Y38" s="94" t="str">
        <f t="shared" si="3"/>
        <v/>
      </c>
      <c r="Z38" s="95"/>
      <c r="AA38" s="126"/>
      <c r="AB38" s="127">
        <v>1</v>
      </c>
      <c r="AC38" s="920"/>
      <c r="AD38" s="1495">
        <f>IF(OR(ISBLANK(W14),AD14=0),0,W38*AB15)</f>
        <v>0</v>
      </c>
      <c r="AE38" s="101">
        <f>IFERROR(_xlfn.LET(_xlpm.v,IFERROR(_xlfn.XLOOKUP(AA38,W57:AF57,W58:AF58),_xlfn.XLOOKUP(AA38,W59:AF59,W60:AF60)),_xlpm.v*Z38*AB38*AB15*IF(ISBLANK(W38),1,W38)),0)</f>
        <v>0</v>
      </c>
      <c r="AF38" s="1476" t="str">
        <f>_xlfn.LET(_xlpm.unite,SUBSTITUTE(TRIM(AA38)," (s)",""),_xlpm.val,AE38,_xlpm.estVol,COUNTIF(Z57:AF57,_xlpm.unite)+COUNTIF(Z59:AF59,_xlpm.unite)&gt;0,_xlpm.estPoids,COUNTIF(W57:Y57,_xlpm.unite)+COUNTIF(W59:Y59,_xlpm.unite)&gt;0,IF(_xlpm.estVol,IF(ROUND(_xlpm.val,3)&gt;=1,ROUND(_xlpm.val,3)&amp;" L",MAX(1,ROUND(_xlpm.val*100,0))&amp;" cl"),IF(_xlpm.estPoids,IF(ROUND(_xlpm.val,3)&gt;=1,ROUND(_xlpm.val,3)&amp;" Kg",MAX(1,ROUND(_xlpm.val*1000,0))&amp;" g"),"")))</f>
        <v/>
      </c>
      <c r="AG38" s="1171"/>
      <c r="AH38" s="104"/>
      <c r="AI38" s="1172"/>
      <c r="AJ38" s="1172"/>
      <c r="AK38" s="1172"/>
      <c r="AL38" s="1173"/>
      <c r="AM38" s="1174"/>
      <c r="AN38" s="1175"/>
      <c r="AO38" s="1176"/>
      <c r="AP38" s="1177"/>
      <c r="AQ38" s="1547"/>
      <c r="AR38" s="1177"/>
      <c r="AS38" s="1548"/>
      <c r="AT38" s="1549"/>
      <c r="AU38" s="1178"/>
      <c r="AV38" s="1179"/>
      <c r="AY38" s="3">
        <v>1</v>
      </c>
    </row>
    <row r="39" spans="2:51" ht="27" customHeight="1">
      <c r="B39" s="104" t="str">
        <f t="shared" si="4"/>
        <v>►</v>
      </c>
      <c r="C39" s="32" t="str">
        <f>C16</f>
        <v>N NOTRE BOUDIN NOIR | | Auteur &gt; Guy KRENZE - Eric GODDYN - Arnaud NICOLAS - CEPROC 2002</v>
      </c>
      <c r="D39" s="33">
        <f>D16</f>
        <v>16.34</v>
      </c>
      <c r="E39" s="32" t="str">
        <f>E16</f>
        <v>Kg</v>
      </c>
      <c r="F39" s="34" t="str">
        <f>F16</f>
        <v>Recette mère ► le Boudin en 4 déclinaisons</v>
      </c>
      <c r="G39" s="92"/>
      <c r="H39" s="108"/>
      <c r="I39" s="94" t="str">
        <f t="shared" si="2"/>
        <v/>
      </c>
      <c r="J39" s="95"/>
      <c r="K39" s="126"/>
      <c r="L39" s="127">
        <v>1</v>
      </c>
      <c r="M39" s="920"/>
      <c r="N39" s="1495">
        <f>IF(OR(ISBLANK(G14),N14=0),0,G39*L15)</f>
        <v>0</v>
      </c>
      <c r="O39" s="101">
        <f>IFERROR(_xlfn.LET(_xlpm.v,IFERROR(_xlfn.XLOOKUP(K39,G57:P57,G58:P58),_xlfn.XLOOKUP(K39,G59:P59,G60:P60)),_xlpm.v*J39*L39*L15*IF(ISBLANK(G39),1,G39)),0)</f>
        <v>0</v>
      </c>
      <c r="P39" s="1475" t="str">
        <f>_xlfn.LET(_xlpm.unite,SUBSTITUTE(TRIM(K39)," (s)",""),_xlpm.val,O39,_xlpm.estVol,COUNTIF(J57:P57,_xlpm.unite)+COUNTIF(J59:P59,_xlpm.unite)&gt;0,_xlpm.estPoids,COUNTIF(G57:I57,_xlpm.unite)+COUNTIF(G59:I59,_xlpm.unite)&gt;0,IF(_xlpm.estVol,IF(ROUND(_xlpm.val,3)&gt;=1,ROUND(_xlpm.val,3)&amp;" L",MAX(1,ROUND(_xlpm.val*100,0))&amp;" cl"),IF(_xlpm.estPoids,IF(ROUND(_xlpm.val,3)&gt;=1,ROUND(_xlpm.val,3)&amp;" Kg",MAX(1,ROUND(_xlpm.val*1000,0))&amp;" g"),"")))</f>
        <v/>
      </c>
      <c r="Q39" s="1171"/>
      <c r="R39" s="104" t="str">
        <f t="shared" si="5"/>
        <v>►</v>
      </c>
      <c r="S39" s="32" t="str">
        <f>S16</f>
        <v>N NUESTRA MORCILLA | | Autor &gt; Guy KRENZE - Eric GODDYN - Arnaud NICOLAS - CEPROC 2002</v>
      </c>
      <c r="T39" s="33">
        <f>T16</f>
        <v>16.34</v>
      </c>
      <c r="U39" s="32" t="str">
        <f>U16</f>
        <v>Kg</v>
      </c>
      <c r="V39" s="34" t="str">
        <f>V16</f>
        <v>Receta madre ► Morcilla en 4 versiones</v>
      </c>
      <c r="W39" s="92"/>
      <c r="X39" s="108"/>
      <c r="Y39" s="94" t="str">
        <f t="shared" si="3"/>
        <v/>
      </c>
      <c r="Z39" s="95"/>
      <c r="AA39" s="126"/>
      <c r="AB39" s="127">
        <v>1</v>
      </c>
      <c r="AC39" s="920"/>
      <c r="AD39" s="1495">
        <f>IF(OR(ISBLANK(W14),AD14=0),0,W39*AB15)</f>
        <v>0</v>
      </c>
      <c r="AE39" s="101">
        <f>IFERROR(_xlfn.LET(_xlpm.v,IFERROR(_xlfn.XLOOKUP(AA39,W57:AF57,W58:AF58),_xlfn.XLOOKUP(AA39,W59:AF59,W60:AF60)),_xlpm.v*Z39*AB39*AB15*IF(ISBLANK(W39),1,W39)),0)</f>
        <v>0</v>
      </c>
      <c r="AF39" s="1475" t="str">
        <f>_xlfn.LET(_xlpm.unite,SUBSTITUTE(TRIM(AA39)," (s)",""),_xlpm.val,AE39,_xlpm.estVol,COUNTIF(Z57:AF57,_xlpm.unite)+COUNTIF(Z59:AF59,_xlpm.unite)&gt;0,_xlpm.estPoids,COUNTIF(W57:Y57,_xlpm.unite)+COUNTIF(W59:Y59,_xlpm.unite)&gt;0,IF(_xlpm.estVol,IF(ROUND(_xlpm.val,3)&gt;=1,ROUND(_xlpm.val,3)&amp;" L",MAX(1,ROUND(_xlpm.val*100,0))&amp;" cl"),IF(_xlpm.estPoids,IF(ROUND(_xlpm.val,3)&gt;=1,ROUND(_xlpm.val,3)&amp;" Kg",MAX(1,ROUND(_xlpm.val*1000,0))&amp;" g"),"")))</f>
        <v/>
      </c>
      <c r="AG39" s="1171"/>
      <c r="AH39" s="104"/>
      <c r="AI39" s="1172"/>
      <c r="AJ39" s="1172"/>
      <c r="AK39" s="1172"/>
      <c r="AL39" s="1173"/>
      <c r="AM39" s="1174"/>
      <c r="AN39" s="1175"/>
      <c r="AO39" s="1176"/>
      <c r="AP39" s="1177"/>
      <c r="AQ39" s="1547"/>
      <c r="AR39" s="1177"/>
      <c r="AS39" s="1548"/>
      <c r="AT39" s="1549"/>
      <c r="AU39" s="1178"/>
      <c r="AV39" s="1179"/>
      <c r="AY39" s="3">
        <v>1</v>
      </c>
    </row>
    <row r="40" spans="2:51" ht="27" customHeight="1">
      <c r="B40" s="27" t="s">
        <v>11</v>
      </c>
      <c r="C40" s="32" t="str">
        <f>C16</f>
        <v>N NOTRE BOUDIN NOIR | | Auteur &gt; Guy KRENZE - Eric GODDYN - Arnaud NICOLAS - CEPROC 2002</v>
      </c>
      <c r="D40" s="33">
        <f>D16</f>
        <v>16.34</v>
      </c>
      <c r="E40" s="32" t="str">
        <f>E16</f>
        <v>Kg</v>
      </c>
      <c r="F40" s="34" t="str">
        <f>F16</f>
        <v>Recette mère ► le Boudin en 4 déclinaisons</v>
      </c>
      <c r="G40" s="907" t="s">
        <v>136</v>
      </c>
      <c r="H40" s="500"/>
      <c r="I40" s="500"/>
      <c r="J40" s="500"/>
      <c r="K40" s="500"/>
      <c r="L40" s="908"/>
      <c r="M40" s="909"/>
      <c r="N40" s="909"/>
      <c r="O40" s="5164">
        <f>SUM(O20:O39)</f>
        <v>5.0011028151774788</v>
      </c>
      <c r="P40" s="1489"/>
      <c r="Q40" s="1171"/>
      <c r="R40" s="27" t="s">
        <v>11</v>
      </c>
      <c r="S40" s="32" t="str">
        <f>S16</f>
        <v>N NUESTRA MORCILLA | | Autor &gt; Guy KRENZE - Eric GODDYN - Arnaud NICOLAS - CEPROC 2002</v>
      </c>
      <c r="T40" s="33">
        <f>T16</f>
        <v>16.34</v>
      </c>
      <c r="U40" s="32" t="str">
        <f>U16</f>
        <v>Kg</v>
      </c>
      <c r="V40" s="34" t="str">
        <f>V16</f>
        <v>Receta madre ► Morcilla en 4 versiones</v>
      </c>
      <c r="W40" s="907" t="s">
        <v>893</v>
      </c>
      <c r="X40" s="500"/>
      <c r="Y40" s="500"/>
      <c r="Z40" s="500"/>
      <c r="AA40" s="500"/>
      <c r="AB40" s="908"/>
      <c r="AC40" s="909"/>
      <c r="AD40" s="909"/>
      <c r="AE40" s="5164">
        <f>SUM(AE20:AE39)</f>
        <v>5.0011028151774788</v>
      </c>
      <c r="AF40" s="1489"/>
      <c r="AG40" s="1171"/>
      <c r="AH40" s="104"/>
      <c r="AI40" s="1172"/>
      <c r="AJ40" s="1172"/>
      <c r="AK40" s="1172"/>
      <c r="AL40" s="1173"/>
      <c r="AM40" s="1174"/>
      <c r="AN40" s="1175"/>
      <c r="AO40" s="1176"/>
      <c r="AP40" s="1177"/>
      <c r="AQ40" s="1547"/>
      <c r="AR40" s="1177"/>
      <c r="AS40" s="1548"/>
      <c r="AT40" s="1549"/>
      <c r="AU40" s="1178"/>
      <c r="AV40" s="1179"/>
      <c r="AY40" s="3">
        <v>1</v>
      </c>
    </row>
    <row r="41" spans="2:51" ht="27" customHeight="1">
      <c r="B41" s="27" t="s">
        <v>11</v>
      </c>
      <c r="C41" s="32" t="str">
        <f>C16</f>
        <v>N NOTRE BOUDIN NOIR | | Auteur &gt; Guy KRENZE - Eric GODDYN - Arnaud NICOLAS - CEPROC 2002</v>
      </c>
      <c r="D41" s="33">
        <f>D16</f>
        <v>16.34</v>
      </c>
      <c r="E41" s="32" t="str">
        <f>E16</f>
        <v>Kg</v>
      </c>
      <c r="F41" s="34" t="str">
        <f>F16</f>
        <v>Recette mère ► le Boudin en 4 déclinaisons</v>
      </c>
      <c r="G41" s="5142"/>
      <c r="H41" s="5450" t="s">
        <v>13070</v>
      </c>
      <c r="I41" s="5450"/>
      <c r="J41" s="5450"/>
      <c r="K41" s="5450"/>
      <c r="L41" s="5450"/>
      <c r="M41" s="5450"/>
      <c r="N41" s="5450"/>
      <c r="O41" s="5450"/>
      <c r="P41" s="5451"/>
      <c r="Q41" s="1171"/>
      <c r="R41" s="27" t="s">
        <v>11</v>
      </c>
      <c r="S41" s="32" t="str">
        <f>S16</f>
        <v>N NUESTRA MORCILLA | | Autor &gt; Guy KRENZE - Eric GODDYN - Arnaud NICOLAS - CEPROC 2002</v>
      </c>
      <c r="T41" s="33">
        <f>T16</f>
        <v>16.34</v>
      </c>
      <c r="U41" s="32" t="str">
        <f>U16</f>
        <v>Kg</v>
      </c>
      <c r="V41" s="34" t="str">
        <f>V16</f>
        <v>Receta madre ► Morcilla en 4 versiones</v>
      </c>
      <c r="W41" s="5142"/>
      <c r="X41" s="5450" t="s">
        <v>13183</v>
      </c>
      <c r="Y41" s="5450"/>
      <c r="Z41" s="5450"/>
      <c r="AA41" s="5450"/>
      <c r="AB41" s="5450"/>
      <c r="AC41" s="5450"/>
      <c r="AD41" s="5450"/>
      <c r="AE41" s="5450"/>
      <c r="AF41" s="5451"/>
      <c r="AG41" s="1171"/>
      <c r="AH41" s="104"/>
      <c r="AI41" s="1172"/>
      <c r="AJ41" s="1172"/>
      <c r="AK41" s="1172"/>
      <c r="AL41" s="1173"/>
      <c r="AM41" s="1174"/>
      <c r="AN41" s="1175"/>
      <c r="AO41" s="1176"/>
      <c r="AP41" s="1177"/>
      <c r="AQ41" s="1547"/>
      <c r="AR41" s="1177"/>
      <c r="AS41" s="1548"/>
      <c r="AT41" s="1549"/>
      <c r="AU41" s="1178"/>
      <c r="AV41" s="1179"/>
      <c r="AY41" s="3">
        <v>1</v>
      </c>
    </row>
    <row r="42" spans="2:51" ht="27" customHeight="1">
      <c r="B42" s="27" t="s">
        <v>11</v>
      </c>
      <c r="C42" s="32" t="str">
        <f>C16</f>
        <v>N NOTRE BOUDIN NOIR | | Auteur &gt; Guy KRENZE - Eric GODDYN - Arnaud NICOLAS - CEPROC 2002</v>
      </c>
      <c r="D42" s="33">
        <f>D16</f>
        <v>16.34</v>
      </c>
      <c r="E42" s="32" t="str">
        <f>E16</f>
        <v>Kg</v>
      </c>
      <c r="F42" s="34" t="str">
        <f>F16</f>
        <v>Recette mère ► le Boudin en 4 déclinaisons</v>
      </c>
      <c r="G42" s="5130">
        <v>0.40799999999999997</v>
      </c>
      <c r="H42" s="5053" t="s">
        <v>872</v>
      </c>
      <c r="I42" s="5131" t="s">
        <v>13096</v>
      </c>
      <c r="J42" s="42"/>
      <c r="K42" s="5129"/>
      <c r="L42" s="5129"/>
      <c r="M42" s="5162" t="str">
        <f>M34</f>
        <v>poivre et épices en mélange 3g/kg</v>
      </c>
      <c r="N42" s="5163">
        <f>O34</f>
        <v>1.4999999999999999E-2</v>
      </c>
      <c r="O42" s="5452" t="str">
        <f>H42</f>
        <v>Kg</v>
      </c>
      <c r="P42" s="5453"/>
      <c r="Q42" s="1171"/>
      <c r="R42" s="27" t="s">
        <v>11</v>
      </c>
      <c r="S42" s="32" t="str">
        <f>S16</f>
        <v>N NUESTRA MORCILLA | | Autor &gt; Guy KRENZE - Eric GODDYN - Arnaud NICOLAS - CEPROC 2002</v>
      </c>
      <c r="T42" s="33">
        <f>T16</f>
        <v>16.34</v>
      </c>
      <c r="U42" s="32" t="str">
        <f>U16</f>
        <v>Kg</v>
      </c>
      <c r="V42" s="34" t="str">
        <f>V16</f>
        <v>Receta madre ► Morcilla en 4 versiones</v>
      </c>
      <c r="W42" s="5130">
        <v>0.40799999999999997</v>
      </c>
      <c r="X42" s="5053" t="s">
        <v>872</v>
      </c>
      <c r="Y42" s="5131" t="s">
        <v>13239</v>
      </c>
      <c r="Z42" s="42"/>
      <c r="AA42" s="5129"/>
      <c r="AB42" s="5129"/>
      <c r="AC42" s="5162" t="str">
        <f>AC34</f>
        <v>mezcla de pimienta y especias 3 g/kg</v>
      </c>
      <c r="AD42" s="5163">
        <f>AE34</f>
        <v>1.4999999999999999E-2</v>
      </c>
      <c r="AE42" s="5452" t="str">
        <f>X42</f>
        <v>Kg</v>
      </c>
      <c r="AF42" s="5453"/>
      <c r="AG42" s="1171"/>
      <c r="AH42" s="104"/>
      <c r="AI42" s="1172"/>
      <c r="AJ42" s="1172"/>
      <c r="AK42" s="1172"/>
      <c r="AL42" s="1173"/>
      <c r="AM42" s="1174"/>
      <c r="AN42" s="1175"/>
      <c r="AO42" s="1176"/>
      <c r="AP42" s="1177"/>
      <c r="AQ42" s="1547"/>
      <c r="AR42" s="1177"/>
      <c r="AS42" s="1548"/>
      <c r="AT42" s="1549"/>
      <c r="AU42" s="1178"/>
      <c r="AV42" s="1179"/>
      <c r="AY42" s="3">
        <v>1</v>
      </c>
    </row>
    <row r="43" spans="2:51" ht="27" customHeight="1">
      <c r="B43" s="27" t="s">
        <v>11</v>
      </c>
      <c r="C43" s="32" t="str">
        <f>C16</f>
        <v>N NOTRE BOUDIN NOIR | | Auteur &gt; Guy KRENZE - Eric GODDYN - Arnaud NICOLAS - CEPROC 2002</v>
      </c>
      <c r="D43" s="33">
        <f>D16</f>
        <v>16.34</v>
      </c>
      <c r="E43" s="32" t="str">
        <f>E16</f>
        <v>Kg</v>
      </c>
      <c r="F43" s="34" t="str">
        <f>F16</f>
        <v>Recette mère ► le Boudin en 4 déclinaisons</v>
      </c>
      <c r="G43" s="5145" t="s">
        <v>50</v>
      </c>
      <c r="H43" s="5143">
        <f>O56/L43</f>
        <v>0.40750000000000003</v>
      </c>
      <c r="I43" s="5144" t="s">
        <v>13099</v>
      </c>
      <c r="J43" s="5044"/>
      <c r="K43" s="59"/>
      <c r="L43" s="1490">
        <f>IFERROR(N42/G42,0)</f>
        <v>3.6764705882352942E-2</v>
      </c>
      <c r="M43" s="5132"/>
      <c r="N43" s="5133"/>
      <c r="O43" s="5134"/>
      <c r="P43" s="5141"/>
      <c r="Q43" s="1171"/>
      <c r="R43" s="27" t="s">
        <v>11</v>
      </c>
      <c r="S43" s="32" t="str">
        <f>S16</f>
        <v>N NUESTRA MORCILLA | | Autor &gt; Guy KRENZE - Eric GODDYN - Arnaud NICOLAS - CEPROC 2002</v>
      </c>
      <c r="T43" s="33">
        <f>T16</f>
        <v>16.34</v>
      </c>
      <c r="U43" s="32" t="str">
        <f>U16</f>
        <v>Kg</v>
      </c>
      <c r="V43" s="34" t="str">
        <f>V16</f>
        <v>Receta madre ► Morcilla en 4 versiones</v>
      </c>
      <c r="W43" s="5145" t="s">
        <v>248</v>
      </c>
      <c r="X43" s="5143">
        <f>AE56/AB43</f>
        <v>0.40750000000000003</v>
      </c>
      <c r="Y43" s="5144" t="s">
        <v>13240</v>
      </c>
      <c r="Z43" s="5044"/>
      <c r="AA43" s="59"/>
      <c r="AB43" s="1490">
        <f>IFERROR(AD42/W42,0)</f>
        <v>3.6764705882352942E-2</v>
      </c>
      <c r="AC43" s="5132"/>
      <c r="AD43" s="5133"/>
      <c r="AE43" s="5134"/>
      <c r="AF43" s="5141"/>
      <c r="AG43" s="1171"/>
      <c r="AH43" s="104"/>
      <c r="AI43" s="1172"/>
      <c r="AJ43" s="1172"/>
      <c r="AK43" s="1172"/>
      <c r="AL43" s="1173"/>
      <c r="AM43" s="1174"/>
      <c r="AN43" s="1175"/>
      <c r="AO43" s="1176"/>
      <c r="AP43" s="1177"/>
      <c r="AQ43" s="1547"/>
      <c r="AR43" s="1177"/>
      <c r="AS43" s="1548"/>
      <c r="AT43" s="1549"/>
      <c r="AU43" s="1178"/>
      <c r="AV43" s="1179"/>
      <c r="AY43" s="3">
        <v>1</v>
      </c>
    </row>
    <row r="44" spans="2:51" ht="27" customHeight="1">
      <c r="B44" s="27" t="s">
        <v>11</v>
      </c>
      <c r="C44" s="32" t="str">
        <f>C16</f>
        <v>N NOTRE BOUDIN NOIR | | Auteur &gt; Guy KRENZE - Eric GODDYN - Arnaud NICOLAS - CEPROC 2002</v>
      </c>
      <c r="D44" s="33">
        <f>D16</f>
        <v>16.34</v>
      </c>
      <c r="E44" s="32" t="str">
        <f>E16</f>
        <v>Kg</v>
      </c>
      <c r="F44" s="34" t="str">
        <f>F16</f>
        <v>Recette mère ► le Boudin en 4 déclinaisons</v>
      </c>
      <c r="G44" s="81" t="s">
        <v>77</v>
      </c>
      <c r="H44" s="82" t="s">
        <v>78</v>
      </c>
      <c r="I44" s="83"/>
      <c r="J44" s="5470" t="s">
        <v>79</v>
      </c>
      <c r="K44" s="5480" t="s">
        <v>80</v>
      </c>
      <c r="L44" s="5481" t="s">
        <v>81</v>
      </c>
      <c r="M44" s="5138" t="s">
        <v>82</v>
      </c>
      <c r="N44" s="5482" t="s">
        <v>83</v>
      </c>
      <c r="O44" s="5483" t="s">
        <v>3297</v>
      </c>
      <c r="P44" s="5484" t="s">
        <v>86</v>
      </c>
      <c r="Q44" s="1171"/>
      <c r="R44" s="27" t="s">
        <v>11</v>
      </c>
      <c r="S44" s="32" t="str">
        <f>S16</f>
        <v>N NUESTRA MORCILLA | | Autor &gt; Guy KRENZE - Eric GODDYN - Arnaud NICOLAS - CEPROC 2002</v>
      </c>
      <c r="T44" s="33">
        <f>T16</f>
        <v>16.34</v>
      </c>
      <c r="U44" s="32" t="str">
        <f>U16</f>
        <v>Kg</v>
      </c>
      <c r="V44" s="34" t="str">
        <f>V16</f>
        <v>Receta madre ► Morcilla en 4 versiones</v>
      </c>
      <c r="W44" s="5180" t="s">
        <v>77</v>
      </c>
      <c r="X44" s="5181" t="s">
        <v>78</v>
      </c>
      <c r="Y44" s="310"/>
      <c r="Z44" s="5454" t="s">
        <v>229</v>
      </c>
      <c r="AA44" s="5456" t="s">
        <v>80</v>
      </c>
      <c r="AB44" s="5458" t="s">
        <v>396</v>
      </c>
      <c r="AC44" s="5182" t="s">
        <v>82</v>
      </c>
      <c r="AD44" s="5460" t="s">
        <v>249</v>
      </c>
      <c r="AE44" s="5446" t="s">
        <v>907</v>
      </c>
      <c r="AF44" s="5462" t="s">
        <v>252</v>
      </c>
      <c r="AG44" s="1171"/>
      <c r="AH44" s="104"/>
      <c r="AI44" s="1172"/>
      <c r="AJ44" s="1172"/>
      <c r="AK44" s="1172"/>
      <c r="AL44" s="1173"/>
      <c r="AM44" s="1174"/>
      <c r="AN44" s="1175"/>
      <c r="AO44" s="1176"/>
      <c r="AP44" s="1177"/>
      <c r="AQ44" s="1547"/>
      <c r="AR44" s="1177"/>
      <c r="AS44" s="1548"/>
      <c r="AT44" s="1549"/>
      <c r="AU44" s="1178"/>
      <c r="AV44" s="1179"/>
      <c r="AY44" s="3">
        <v>1</v>
      </c>
    </row>
    <row r="45" spans="2:51" ht="27" customHeight="1">
      <c r="B45" s="27" t="s">
        <v>11</v>
      </c>
      <c r="C45" s="32" t="str">
        <f>C16</f>
        <v>N NOTRE BOUDIN NOIR | | Auteur &gt; Guy KRENZE - Eric GODDYN - Arnaud NICOLAS - CEPROC 2002</v>
      </c>
      <c r="D45" s="33">
        <f>D16</f>
        <v>16.34</v>
      </c>
      <c r="E45" s="32" t="str">
        <f>E16</f>
        <v>Kg</v>
      </c>
      <c r="F45" s="34" t="str">
        <f>F16</f>
        <v>Recette mère ► le Boudin en 4 déclinaisons</v>
      </c>
      <c r="G45" s="5139" t="s">
        <v>91</v>
      </c>
      <c r="H45" s="88" t="s">
        <v>92</v>
      </c>
      <c r="I45" s="89" t="s">
        <v>93</v>
      </c>
      <c r="J45" s="5455"/>
      <c r="K45" s="5457"/>
      <c r="L45" s="5459"/>
      <c r="M45" s="5140" t="s">
        <v>94</v>
      </c>
      <c r="N45" s="5461"/>
      <c r="O45" s="5447"/>
      <c r="P45" s="5463"/>
      <c r="Q45" s="1171"/>
      <c r="R45" s="27" t="s">
        <v>11</v>
      </c>
      <c r="S45" s="32" t="str">
        <f>S16</f>
        <v>N NUESTRA MORCILLA | | Autor &gt; Guy KRENZE - Eric GODDYN - Arnaud NICOLAS - CEPROC 2002</v>
      </c>
      <c r="T45" s="33">
        <f>T16</f>
        <v>16.34</v>
      </c>
      <c r="U45" s="32" t="str">
        <f>U16</f>
        <v>Kg</v>
      </c>
      <c r="V45" s="34" t="str">
        <f>V16</f>
        <v>Receta madre ► Morcilla en 4 versiones</v>
      </c>
      <c r="W45" s="5139" t="s">
        <v>234</v>
      </c>
      <c r="X45" s="88" t="s">
        <v>235</v>
      </c>
      <c r="Y45" s="89" t="s">
        <v>93</v>
      </c>
      <c r="Z45" s="5455"/>
      <c r="AA45" s="5457"/>
      <c r="AB45" s="5459"/>
      <c r="AC45" s="5140" t="s">
        <v>869</v>
      </c>
      <c r="AD45" s="5461"/>
      <c r="AE45" s="5447"/>
      <c r="AF45" s="5463"/>
      <c r="AG45" s="1171"/>
      <c r="AH45" s="104"/>
      <c r="AI45" s="1172"/>
      <c r="AJ45" s="1172"/>
      <c r="AK45" s="1172"/>
      <c r="AL45" s="1173"/>
      <c r="AM45" s="1174"/>
      <c r="AN45" s="1175"/>
      <c r="AO45" s="1176"/>
      <c r="AP45" s="1177"/>
      <c r="AQ45" s="1547"/>
      <c r="AR45" s="1177"/>
      <c r="AS45" s="1548"/>
      <c r="AT45" s="1549"/>
      <c r="AU45" s="1178"/>
      <c r="AV45" s="1179"/>
      <c r="AY45" s="3">
        <v>1</v>
      </c>
    </row>
    <row r="46" spans="2:51" ht="27" customHeight="1">
      <c r="B46" s="104" t="str">
        <f t="shared" ref="B46:B55" si="6">IF(M46&lt;&gt;"","A","►")</f>
        <v>A</v>
      </c>
      <c r="C46" s="32" t="str">
        <f>C16</f>
        <v>N NOTRE BOUDIN NOIR | | Auteur &gt; Guy KRENZE - Eric GODDYN - Arnaud NICOLAS - CEPROC 2002</v>
      </c>
      <c r="D46" s="33">
        <f>D16</f>
        <v>16.34</v>
      </c>
      <c r="E46" s="32" t="str">
        <f>E16</f>
        <v>Kg</v>
      </c>
      <c r="F46" s="34" t="str">
        <f>F16</f>
        <v>Recette mère ► le Boudin en 4 déclinaisons</v>
      </c>
      <c r="G46" s="92"/>
      <c r="H46" s="108"/>
      <c r="I46" s="94" t="str">
        <f t="shared" ref="I46:I55" si="7">IF(OR(ISTEXT(G46), G46&lt;=0, J46&lt;=0), "", "de")</f>
        <v/>
      </c>
      <c r="J46" s="95"/>
      <c r="K46" s="126"/>
      <c r="L46" s="127">
        <v>1</v>
      </c>
      <c r="M46" s="920" t="s">
        <v>13056</v>
      </c>
      <c r="N46" s="100">
        <f>IF(OR(ISBLANK(G42),N42=0),0,G46*L43)</f>
        <v>0</v>
      </c>
      <c r="O46" s="101">
        <f>IFERROR(_xlfn.LET(_xlpm.v,IFERROR(_xlfn.XLOOKUP(K46,G57:P57,G58:P58),_xlfn.XLOOKUP(K46,G59:P59,G60:P60)),_xlpm.v*J46*L46*L43*IF(ISBLANK(G46),1,G46)),0)</f>
        <v>0</v>
      </c>
      <c r="P46" s="1476" t="str">
        <f>_xlfn.LET(_xlpm.unite,SUBSTITUTE(TRIM(K46)," (s)",""),_xlpm.val,O46,_xlpm.estVol,COUNTIF(J57:P57,_xlpm.unite)+COUNTIF(J59:P59,_xlpm.unite)&gt;0,_xlpm.estPoids,COUNTIF(G57:I57,_xlpm.unite)+COUNTIF(G59:I59,_xlpm.unite)&gt;0,IF(_xlpm.estVol,IF(ROUND(_xlpm.val,3)&gt;=1,ROUND(_xlpm.val,3)&amp;" L",MAX(1,ROUND(_xlpm.val*100,0))&amp;" cl"),IF(_xlpm.estPoids,IF(ROUND(_xlpm.val,3)&gt;=1,ROUND(_xlpm.val,3)&amp;" Kg",MAX(1,ROUND(_xlpm.val*1000,0))&amp;" g"),"")))</f>
        <v/>
      </c>
      <c r="Q46" s="1171"/>
      <c r="R46" s="104" t="str">
        <f t="shared" ref="R46:R55" si="8">IF(AC46&lt;&gt;"","A","►")</f>
        <v>A</v>
      </c>
      <c r="S46" s="32" t="str">
        <f>S16</f>
        <v>N NUESTRA MORCILLA | | Autor &gt; Guy KRENZE - Eric GODDYN - Arnaud NICOLAS - CEPROC 2002</v>
      </c>
      <c r="T46" s="33">
        <f>T16</f>
        <v>16.34</v>
      </c>
      <c r="U46" s="32" t="str">
        <f>U16</f>
        <v>Kg</v>
      </c>
      <c r="V46" s="34" t="str">
        <f>V16</f>
        <v>Receta madre ► Morcilla en 4 versiones</v>
      </c>
      <c r="W46" s="92"/>
      <c r="X46" s="108"/>
      <c r="Y46" s="94" t="str">
        <f t="shared" ref="Y46:Y55" si="9">IF(OR(ISTEXT(W46), W46&lt;=0, Z46&lt;=0), "", "de")</f>
        <v/>
      </c>
      <c r="Z46" s="95"/>
      <c r="AA46" s="126"/>
      <c r="AB46" s="127">
        <v>1</v>
      </c>
      <c r="AC46" s="920" t="s">
        <v>13184</v>
      </c>
      <c r="AD46" s="100">
        <f>IF(OR(ISBLANK(W42),AD42=0),0,W46*AB43)</f>
        <v>0</v>
      </c>
      <c r="AE46" s="101">
        <f>IFERROR(_xlfn.LET(_xlpm.v,IFERROR(_xlfn.XLOOKUP(AA46,W57:AF57,W58:AF58),_xlfn.XLOOKUP(AA46,W59:AF59,W60:AF60)),_xlpm.v*Z46*AB46*AB43*IF(ISBLANK(W46),1,W46)),0)</f>
        <v>0</v>
      </c>
      <c r="AF46" s="1476" t="str">
        <f>_xlfn.LET(_xlpm.unite,SUBSTITUTE(TRIM(AA46)," (s)",""),_xlpm.val,AE46,_xlpm.estVol,COUNTIF(Z57:AF57,_xlpm.unite)+COUNTIF(Z59:AF59,_xlpm.unite)&gt;0,_xlpm.estPoids,COUNTIF(W57:Y57,_xlpm.unite)+COUNTIF(W59:Y59,_xlpm.unite)&gt;0,IF(_xlpm.estVol,IF(ROUND(_xlpm.val,3)&gt;=1,ROUND(_xlpm.val,3)&amp;" L",MAX(1,ROUND(_xlpm.val*100,0))&amp;" cl"),IF(_xlpm.estPoids,IF(ROUND(_xlpm.val,3)&gt;=1,ROUND(_xlpm.val,3)&amp;" Kg",MAX(1,ROUND(_xlpm.val*1000,0))&amp;" g"),"")))</f>
        <v/>
      </c>
      <c r="AG46" s="1171"/>
      <c r="AH46" s="104"/>
      <c r="AI46" s="1172"/>
      <c r="AJ46" s="1172"/>
      <c r="AK46" s="1172"/>
      <c r="AL46" s="1173"/>
      <c r="AM46" s="1174"/>
      <c r="AN46" s="1175"/>
      <c r="AO46" s="1176"/>
      <c r="AP46" s="1177"/>
      <c r="AQ46" s="1547"/>
      <c r="AR46" s="1177"/>
      <c r="AS46" s="1548"/>
      <c r="AT46" s="1549"/>
      <c r="AU46" s="1178"/>
      <c r="AV46" s="1179"/>
      <c r="AY46" s="3">
        <v>1</v>
      </c>
    </row>
    <row r="47" spans="2:51" ht="27" customHeight="1">
      <c r="B47" s="104" t="str">
        <f t="shared" si="6"/>
        <v>A</v>
      </c>
      <c r="C47" s="32" t="str">
        <f>C16</f>
        <v>N NOTRE BOUDIN NOIR | | Auteur &gt; Guy KRENZE - Eric GODDYN - Arnaud NICOLAS - CEPROC 2002</v>
      </c>
      <c r="D47" s="33">
        <f>D16</f>
        <v>16.34</v>
      </c>
      <c r="E47" s="32" t="str">
        <f>E16</f>
        <v>Kg</v>
      </c>
      <c r="F47" s="34" t="str">
        <f>F16</f>
        <v>Recette mère ► le Boudin en 4 déclinaisons</v>
      </c>
      <c r="G47" s="92"/>
      <c r="H47" s="108"/>
      <c r="I47" s="94" t="str">
        <f t="shared" si="7"/>
        <v/>
      </c>
      <c r="J47" s="95">
        <v>200</v>
      </c>
      <c r="K47" s="105" t="s">
        <v>99</v>
      </c>
      <c r="L47" s="127">
        <v>1</v>
      </c>
      <c r="M47" s="920" t="s">
        <v>13057</v>
      </c>
      <c r="N47" s="1494">
        <f>IF(OR(ISBLANK(G42),N42=0),0,G47*L43)</f>
        <v>0</v>
      </c>
      <c r="O47" s="101">
        <f>IFERROR(_xlfn.LET(_xlpm.v,IFERROR(_xlfn.XLOOKUP(K47,G57:P57,G58:P58),_xlfn.XLOOKUP(K47,G59:P59,G60:P60)),_xlpm.v*J47*L47*L43*IF(ISBLANK(G47),1,G47)),0)</f>
        <v>7.352941176470589E-3</v>
      </c>
      <c r="P47" s="1475" t="str">
        <f>_xlfn.LET(_xlpm.unite,SUBSTITUTE(TRIM(K47)," (s)",""),_xlpm.val,O47,_xlpm.estVol,COUNTIF(J57:P57,_xlpm.unite)+COUNTIF(J59:P59,_xlpm.unite)&gt;0,_xlpm.estPoids,COUNTIF(G57:I57,_xlpm.unite)+COUNTIF(G59:I59,_xlpm.unite)&gt;0,IF(_xlpm.estVol,IF(ROUND(_xlpm.val,3)&gt;=1,ROUND(_xlpm.val,3)&amp;" L",MAX(1,ROUND(_xlpm.val*100,0))&amp;" cl"),IF(_xlpm.estPoids,IF(ROUND(_xlpm.val,3)&gt;=1,ROUND(_xlpm.val,3)&amp;" Kg",MAX(1,ROUND(_xlpm.val*1000,0))&amp;" g"),"")))</f>
        <v>7 g</v>
      </c>
      <c r="Q47" s="1171"/>
      <c r="R47" s="104" t="str">
        <f t="shared" si="8"/>
        <v>A</v>
      </c>
      <c r="S47" s="32" t="str">
        <f>S16</f>
        <v>N NUESTRA MORCILLA | | Autor &gt; Guy KRENZE - Eric GODDYN - Arnaud NICOLAS - CEPROC 2002</v>
      </c>
      <c r="T47" s="33">
        <f>T16</f>
        <v>16.34</v>
      </c>
      <c r="U47" s="32" t="str">
        <f>U16</f>
        <v>Kg</v>
      </c>
      <c r="V47" s="34" t="str">
        <f>V16</f>
        <v>Receta madre ► Morcilla en 4 versiones</v>
      </c>
      <c r="W47" s="92"/>
      <c r="X47" s="108"/>
      <c r="Y47" s="94" t="str">
        <f t="shared" si="9"/>
        <v/>
      </c>
      <c r="Z47" s="95">
        <v>200</v>
      </c>
      <c r="AA47" s="105" t="s">
        <v>99</v>
      </c>
      <c r="AB47" s="127">
        <v>1</v>
      </c>
      <c r="AC47" s="920" t="s">
        <v>13185</v>
      </c>
      <c r="AD47" s="1494">
        <f>IF(OR(ISBLANK(W42),AD42=0),0,W47*AB43)</f>
        <v>0</v>
      </c>
      <c r="AE47" s="101">
        <f>IFERROR(_xlfn.LET(_xlpm.v,IFERROR(_xlfn.XLOOKUP(AA47,W57:AF57,W58:AF58),_xlfn.XLOOKUP(AA47,W59:AF59,W60:AF60)),_xlpm.v*Z47*AB47*AB43*IF(ISBLANK(W47),1,W47)),0)</f>
        <v>7.352941176470589E-3</v>
      </c>
      <c r="AF47" s="1475" t="str">
        <f>_xlfn.LET(_xlpm.unite,SUBSTITUTE(TRIM(AA47)," (s)",""),_xlpm.val,AE47,_xlpm.estVol,COUNTIF(Z57:AF57,_xlpm.unite)+COUNTIF(Z59:AF59,_xlpm.unite)&gt;0,_xlpm.estPoids,COUNTIF(W57:Y57,_xlpm.unite)+COUNTIF(W59:Y59,_xlpm.unite)&gt;0,IF(_xlpm.estVol,IF(ROUND(_xlpm.val,3)&gt;=1,ROUND(_xlpm.val,3)&amp;" L",MAX(1,ROUND(_xlpm.val*100,0))&amp;" cl"),IF(_xlpm.estPoids,IF(ROUND(_xlpm.val,3)&gt;=1,ROUND(_xlpm.val,3)&amp;" Kg",MAX(1,ROUND(_xlpm.val*1000,0))&amp;" g"),"")))</f>
        <v>7 g</v>
      </c>
      <c r="AG47" s="1171"/>
      <c r="AH47" s="104"/>
      <c r="AI47" s="1172"/>
      <c r="AJ47" s="1172"/>
      <c r="AK47" s="1172"/>
      <c r="AL47" s="1173"/>
      <c r="AM47" s="1174"/>
      <c r="AN47" s="1175"/>
      <c r="AO47" s="1176"/>
      <c r="AP47" s="1177"/>
      <c r="AQ47" s="1547"/>
      <c r="AR47" s="1177"/>
      <c r="AS47" s="1548"/>
      <c r="AT47" s="1549"/>
      <c r="AU47" s="1178"/>
      <c r="AV47" s="1179"/>
      <c r="AY47" s="3">
        <v>1</v>
      </c>
    </row>
    <row r="48" spans="2:51" ht="27" customHeight="1">
      <c r="B48" s="104" t="str">
        <f t="shared" si="6"/>
        <v>A</v>
      </c>
      <c r="C48" s="32" t="str">
        <f>C16</f>
        <v>N NOTRE BOUDIN NOIR | | Auteur &gt; Guy KRENZE - Eric GODDYN - Arnaud NICOLAS - CEPROC 2002</v>
      </c>
      <c r="D48" s="33">
        <f>D16</f>
        <v>16.34</v>
      </c>
      <c r="E48" s="32" t="str">
        <f>E16</f>
        <v>Kg</v>
      </c>
      <c r="F48" s="34" t="str">
        <f>F16</f>
        <v>Recette mère ► le Boudin en 4 déclinaisons</v>
      </c>
      <c r="G48" s="92"/>
      <c r="H48" s="108"/>
      <c r="I48" s="94" t="str">
        <f t="shared" si="7"/>
        <v/>
      </c>
      <c r="J48" s="95">
        <v>50</v>
      </c>
      <c r="K48" s="105" t="s">
        <v>99</v>
      </c>
      <c r="L48" s="127">
        <v>1</v>
      </c>
      <c r="M48" s="920" t="s">
        <v>13058</v>
      </c>
      <c r="N48" s="1494">
        <f>IF(OR(ISBLANK(G42),N42=0),0,G48*L43)</f>
        <v>0</v>
      </c>
      <c r="O48" s="101">
        <f>IFERROR(_xlfn.LET(_xlpm.v,IFERROR(_xlfn.XLOOKUP(K48,G57:P57,G58:P58),_xlfn.XLOOKUP(K48,G59:P59,G60:P60)),_xlpm.v*J48*L48*L43*IF(ISBLANK(G48),1,G48)),0)</f>
        <v>1.8382352941176473E-3</v>
      </c>
      <c r="P48" s="1476" t="str">
        <f>_xlfn.LET(_xlpm.unite,SUBSTITUTE(TRIM(K48)," (s)",""),_xlpm.val,O48,_xlpm.estVol,COUNTIF(J57:P57,_xlpm.unite)+COUNTIF(J59:P59,_xlpm.unite)&gt;0,_xlpm.estPoids,COUNTIF(G57:I57,_xlpm.unite)+COUNTIF(G59:I59,_xlpm.unite)&gt;0,IF(_xlpm.estVol,IF(ROUND(_xlpm.val,3)&gt;=1,ROUND(_xlpm.val,3)&amp;" L",MAX(1,ROUND(_xlpm.val*100,0))&amp;" cl"),IF(_xlpm.estPoids,IF(ROUND(_xlpm.val,3)&gt;=1,ROUND(_xlpm.val,3)&amp;" Kg",MAX(1,ROUND(_xlpm.val*1000,0))&amp;" g"),"")))</f>
        <v>2 g</v>
      </c>
      <c r="Q48" s="1171"/>
      <c r="R48" s="104" t="str">
        <f t="shared" si="8"/>
        <v>A</v>
      </c>
      <c r="S48" s="32" t="str">
        <f>S16</f>
        <v>N NUESTRA MORCILLA | | Autor &gt; Guy KRENZE - Eric GODDYN - Arnaud NICOLAS - CEPROC 2002</v>
      </c>
      <c r="T48" s="33">
        <f>T16</f>
        <v>16.34</v>
      </c>
      <c r="U48" s="32" t="str">
        <f>U16</f>
        <v>Kg</v>
      </c>
      <c r="V48" s="34" t="str">
        <f>V16</f>
        <v>Receta madre ► Morcilla en 4 versiones</v>
      </c>
      <c r="W48" s="92"/>
      <c r="X48" s="108"/>
      <c r="Y48" s="94" t="str">
        <f t="shared" si="9"/>
        <v/>
      </c>
      <c r="Z48" s="95">
        <v>50</v>
      </c>
      <c r="AA48" s="105" t="s">
        <v>99</v>
      </c>
      <c r="AB48" s="127">
        <v>1</v>
      </c>
      <c r="AC48" s="920" t="s">
        <v>13186</v>
      </c>
      <c r="AD48" s="1494">
        <f>IF(OR(ISBLANK(W42),AD42=0),0,W48*AB43)</f>
        <v>0</v>
      </c>
      <c r="AE48" s="101">
        <f>IFERROR(_xlfn.LET(_xlpm.v,IFERROR(_xlfn.XLOOKUP(AA48,W57:AF57,W58:AF58),_xlfn.XLOOKUP(AA48,W59:AF59,W60:AF60)),_xlpm.v*Z48*AB48*AB43*IF(ISBLANK(W48),1,W48)),0)</f>
        <v>1.8382352941176473E-3</v>
      </c>
      <c r="AF48" s="1476" t="str">
        <f>_xlfn.LET(_xlpm.unite,SUBSTITUTE(TRIM(AA48)," (s)",""),_xlpm.val,AE48,_xlpm.estVol,COUNTIF(Z57:AF57,_xlpm.unite)+COUNTIF(Z59:AF59,_xlpm.unite)&gt;0,_xlpm.estPoids,COUNTIF(W57:Y57,_xlpm.unite)+COUNTIF(W59:Y59,_xlpm.unite)&gt;0,IF(_xlpm.estVol,IF(ROUND(_xlpm.val,3)&gt;=1,ROUND(_xlpm.val,3)&amp;" L",MAX(1,ROUND(_xlpm.val*100,0))&amp;" cl"),IF(_xlpm.estPoids,IF(ROUND(_xlpm.val,3)&gt;=1,ROUND(_xlpm.val,3)&amp;" Kg",MAX(1,ROUND(_xlpm.val*1000,0))&amp;" g"),"")))</f>
        <v>2 g</v>
      </c>
      <c r="AG48" s="1171"/>
      <c r="AH48" s="104"/>
      <c r="AI48" s="1172"/>
      <c r="AJ48" s="1172"/>
      <c r="AK48" s="1172"/>
      <c r="AL48" s="1173"/>
      <c r="AM48" s="1174"/>
      <c r="AN48" s="1175"/>
      <c r="AO48" s="1176"/>
      <c r="AP48" s="1177"/>
      <c r="AQ48" s="1547"/>
      <c r="AR48" s="1177"/>
      <c r="AS48" s="1548"/>
      <c r="AT48" s="1549"/>
      <c r="AU48" s="1178"/>
      <c r="AV48" s="1179"/>
      <c r="AY48" s="3">
        <v>1</v>
      </c>
    </row>
    <row r="49" spans="2:51" ht="27" customHeight="1">
      <c r="B49" s="104" t="str">
        <f>IF(M49&lt;&gt;"","A","►")</f>
        <v>A</v>
      </c>
      <c r="C49" s="32" t="str">
        <f>C16</f>
        <v>N NOTRE BOUDIN NOIR | | Auteur &gt; Guy KRENZE - Eric GODDYN - Arnaud NICOLAS - CEPROC 2002</v>
      </c>
      <c r="D49" s="33">
        <f>D16</f>
        <v>16.34</v>
      </c>
      <c r="E49" s="32" t="str">
        <f>E16</f>
        <v>Kg</v>
      </c>
      <c r="F49" s="34" t="str">
        <f>F16</f>
        <v>Recette mère ► le Boudin en 4 déclinaisons</v>
      </c>
      <c r="G49" s="92"/>
      <c r="H49" s="108"/>
      <c r="I49" s="94" t="str">
        <f t="shared" si="7"/>
        <v/>
      </c>
      <c r="J49" s="95">
        <v>60</v>
      </c>
      <c r="K49" s="105" t="s">
        <v>99</v>
      </c>
      <c r="L49" s="127">
        <v>1</v>
      </c>
      <c r="M49" s="920" t="s">
        <v>13059</v>
      </c>
      <c r="N49" s="1494">
        <f>IF(OR(ISBLANK(G42),N42=0),0,G49*L43)</f>
        <v>0</v>
      </c>
      <c r="O49" s="101">
        <f>IFERROR(_xlfn.LET(_xlpm.v,IFERROR(_xlfn.XLOOKUP(K49,G57:P57,G58:P58),_xlfn.XLOOKUP(K49,G59:P59,G60:P60)),_xlpm.v*J49*L49*L43*IF(ISBLANK(G49),1,G49)),0)</f>
        <v>2.2058823529411764E-3</v>
      </c>
      <c r="P49" s="1475" t="str">
        <f>_xlfn.LET(_xlpm.unite,SUBSTITUTE(TRIM(K49)," (s)",""),_xlpm.val,O49,_xlpm.estVol,COUNTIF(J57:P57,_xlpm.unite)+COUNTIF(J59:P59,_xlpm.unite)&gt;0,_xlpm.estPoids,COUNTIF(G57:I57,_xlpm.unite)+COUNTIF(G59:I59,_xlpm.unite)&gt;0,IF(_xlpm.estVol,IF(ROUND(_xlpm.val,3)&gt;=1,ROUND(_xlpm.val,3)&amp;" L",MAX(1,ROUND(_xlpm.val*100,0))&amp;" cl"),IF(_xlpm.estPoids,IF(ROUND(_xlpm.val,3)&gt;=1,ROUND(_xlpm.val,3)&amp;" Kg",MAX(1,ROUND(_xlpm.val*1000,0))&amp;" g"),"")))</f>
        <v>2 g</v>
      </c>
      <c r="Q49" s="1171"/>
      <c r="R49" s="104" t="str">
        <f>IF(AC49&lt;&gt;"","A","►")</f>
        <v>A</v>
      </c>
      <c r="S49" s="32" t="str">
        <f>S16</f>
        <v>N NUESTRA MORCILLA | | Autor &gt; Guy KRENZE - Eric GODDYN - Arnaud NICOLAS - CEPROC 2002</v>
      </c>
      <c r="T49" s="33">
        <f>T16</f>
        <v>16.34</v>
      </c>
      <c r="U49" s="32" t="str">
        <f>U16</f>
        <v>Kg</v>
      </c>
      <c r="V49" s="34" t="str">
        <f>V16</f>
        <v>Receta madre ► Morcilla en 4 versiones</v>
      </c>
      <c r="W49" s="92"/>
      <c r="X49" s="108"/>
      <c r="Y49" s="94" t="str">
        <f t="shared" si="9"/>
        <v/>
      </c>
      <c r="Z49" s="95">
        <v>60</v>
      </c>
      <c r="AA49" s="105" t="s">
        <v>99</v>
      </c>
      <c r="AB49" s="127">
        <v>1</v>
      </c>
      <c r="AC49" s="920" t="s">
        <v>13187</v>
      </c>
      <c r="AD49" s="1494">
        <f>IF(OR(ISBLANK(W42),AD42=0),0,W49*AB43)</f>
        <v>0</v>
      </c>
      <c r="AE49" s="101">
        <f>IFERROR(_xlfn.LET(_xlpm.v,IFERROR(_xlfn.XLOOKUP(AA49,W57:AF57,W58:AF58),_xlfn.XLOOKUP(AA49,W59:AF59,W60:AF60)),_xlpm.v*Z49*AB49*AB43*IF(ISBLANK(W49),1,W49)),0)</f>
        <v>2.2058823529411764E-3</v>
      </c>
      <c r="AF49" s="1475" t="str">
        <f>_xlfn.LET(_xlpm.unite,SUBSTITUTE(TRIM(AA49)," (s)",""),_xlpm.val,AE49,_xlpm.estVol,COUNTIF(Z57:AF57,_xlpm.unite)+COUNTIF(Z59:AF59,_xlpm.unite)&gt;0,_xlpm.estPoids,COUNTIF(W57:Y57,_xlpm.unite)+COUNTIF(W59:Y59,_xlpm.unite)&gt;0,IF(_xlpm.estVol,IF(ROUND(_xlpm.val,3)&gt;=1,ROUND(_xlpm.val,3)&amp;" L",MAX(1,ROUND(_xlpm.val*100,0))&amp;" cl"),IF(_xlpm.estPoids,IF(ROUND(_xlpm.val,3)&gt;=1,ROUND(_xlpm.val,3)&amp;" Kg",MAX(1,ROUND(_xlpm.val*1000,0))&amp;" g"),"")))</f>
        <v>2 g</v>
      </c>
      <c r="AG49" s="1171"/>
      <c r="AH49" s="104"/>
      <c r="AI49" s="1172"/>
      <c r="AJ49" s="1172"/>
      <c r="AK49" s="1172"/>
      <c r="AL49" s="1173"/>
      <c r="AM49" s="1174"/>
      <c r="AN49" s="1175"/>
      <c r="AO49" s="1176"/>
      <c r="AP49" s="1177"/>
      <c r="AQ49" s="1547"/>
      <c r="AR49" s="1177"/>
      <c r="AS49" s="1548"/>
      <c r="AT49" s="1549"/>
      <c r="AU49" s="1178"/>
      <c r="AV49" s="1179"/>
      <c r="AY49" s="3">
        <v>1</v>
      </c>
    </row>
    <row r="50" spans="2:51" ht="27" customHeight="1">
      <c r="B50" s="104" t="str">
        <f t="shared" si="6"/>
        <v>A</v>
      </c>
      <c r="C50" s="32" t="str">
        <f>C16</f>
        <v>N NOTRE BOUDIN NOIR | | Auteur &gt; Guy KRENZE - Eric GODDYN - Arnaud NICOLAS - CEPROC 2002</v>
      </c>
      <c r="D50" s="33">
        <f>D16</f>
        <v>16.34</v>
      </c>
      <c r="E50" s="32" t="str">
        <f>E16</f>
        <v>Kg</v>
      </c>
      <c r="F50" s="34" t="str">
        <f>F16</f>
        <v>Recette mère ► le Boudin en 4 déclinaisons</v>
      </c>
      <c r="G50" s="92"/>
      <c r="H50" s="108"/>
      <c r="I50" s="94" t="str">
        <f t="shared" si="7"/>
        <v/>
      </c>
      <c r="J50" s="95">
        <v>50</v>
      </c>
      <c r="K50" s="105" t="s">
        <v>99</v>
      </c>
      <c r="L50" s="127">
        <v>1</v>
      </c>
      <c r="M50" s="920" t="s">
        <v>13060</v>
      </c>
      <c r="N50" s="1494">
        <f>IF(OR(ISBLANK(G42),N42=0),0,G50*L43)</f>
        <v>0</v>
      </c>
      <c r="O50" s="101">
        <f>IFERROR(_xlfn.LET(_xlpm.v,IFERROR(_xlfn.XLOOKUP(K50,G57:P57,G58:P58),_xlfn.XLOOKUP(K50,G59:P59,G60:P60)),_xlpm.v*J50*L50*L43*IF(ISBLANK(G50),1,G50)),0)</f>
        <v>1.8382352941176473E-3</v>
      </c>
      <c r="P50" s="1476" t="str">
        <f>_xlfn.LET(_xlpm.unite,SUBSTITUTE(TRIM(K50)," (s)",""),_xlpm.val,O50,_xlpm.estVol,COUNTIF(J57:P57,_xlpm.unite)+COUNTIF(J59:P59,_xlpm.unite)&gt;0,_xlpm.estPoids,COUNTIF(G57:I57,_xlpm.unite)+COUNTIF(G59:I59,_xlpm.unite)&gt;0,IF(_xlpm.estVol,IF(ROUND(_xlpm.val,3)&gt;=1,ROUND(_xlpm.val,3)&amp;" L",MAX(1,ROUND(_xlpm.val*100,0))&amp;" cl"),IF(_xlpm.estPoids,IF(ROUND(_xlpm.val,3)&gt;=1,ROUND(_xlpm.val,3)&amp;" Kg",MAX(1,ROUND(_xlpm.val*1000,0))&amp;" g"),"")))</f>
        <v>2 g</v>
      </c>
      <c r="Q50" s="1171"/>
      <c r="R50" s="104" t="str">
        <f t="shared" si="8"/>
        <v>A</v>
      </c>
      <c r="S50" s="32" t="str">
        <f>S16</f>
        <v>N NUESTRA MORCILLA | | Autor &gt; Guy KRENZE - Eric GODDYN - Arnaud NICOLAS - CEPROC 2002</v>
      </c>
      <c r="T50" s="33">
        <f>T16</f>
        <v>16.34</v>
      </c>
      <c r="U50" s="32" t="str">
        <f>U16</f>
        <v>Kg</v>
      </c>
      <c r="V50" s="34" t="str">
        <f>V16</f>
        <v>Receta madre ► Morcilla en 4 versiones</v>
      </c>
      <c r="W50" s="92"/>
      <c r="X50" s="108"/>
      <c r="Y50" s="94" t="str">
        <f t="shared" si="9"/>
        <v/>
      </c>
      <c r="Z50" s="95">
        <v>50</v>
      </c>
      <c r="AA50" s="105" t="s">
        <v>99</v>
      </c>
      <c r="AB50" s="127">
        <v>1</v>
      </c>
      <c r="AC50" s="920" t="s">
        <v>13188</v>
      </c>
      <c r="AD50" s="1494">
        <f>IF(OR(ISBLANK(W42),AD42=0),0,W50*AB43)</f>
        <v>0</v>
      </c>
      <c r="AE50" s="101">
        <f>IFERROR(_xlfn.LET(_xlpm.v,IFERROR(_xlfn.XLOOKUP(AA50,W57:AF57,W58:AF58),_xlfn.XLOOKUP(AA50,W59:AF59,W60:AF60)),_xlpm.v*Z50*AB50*AB43*IF(ISBLANK(W50),1,W50)),0)</f>
        <v>1.8382352941176473E-3</v>
      </c>
      <c r="AF50" s="1476" t="str">
        <f>_xlfn.LET(_xlpm.unite,SUBSTITUTE(TRIM(AA50)," (s)",""),_xlpm.val,AE50,_xlpm.estVol,COUNTIF(Z57:AF57,_xlpm.unite)+COUNTIF(Z59:AF59,_xlpm.unite)&gt;0,_xlpm.estPoids,COUNTIF(W57:Y57,_xlpm.unite)+COUNTIF(W59:Y59,_xlpm.unite)&gt;0,IF(_xlpm.estVol,IF(ROUND(_xlpm.val,3)&gt;=1,ROUND(_xlpm.val,3)&amp;" L",MAX(1,ROUND(_xlpm.val*100,0))&amp;" cl"),IF(_xlpm.estPoids,IF(ROUND(_xlpm.val,3)&gt;=1,ROUND(_xlpm.val,3)&amp;" Kg",MAX(1,ROUND(_xlpm.val*1000,0))&amp;" g"),"")))</f>
        <v>2 g</v>
      </c>
      <c r="AG50" s="1171"/>
      <c r="AH50" s="104"/>
      <c r="AI50" s="1172"/>
      <c r="AJ50" s="1172"/>
      <c r="AK50" s="1172"/>
      <c r="AL50" s="1173"/>
      <c r="AM50" s="1174"/>
      <c r="AN50" s="1175"/>
      <c r="AO50" s="1176"/>
      <c r="AP50" s="1177"/>
      <c r="AQ50" s="1547"/>
      <c r="AR50" s="1177"/>
      <c r="AS50" s="1548"/>
      <c r="AT50" s="1549"/>
      <c r="AU50" s="1178"/>
      <c r="AV50" s="1179"/>
      <c r="AY50" s="3">
        <v>1</v>
      </c>
    </row>
    <row r="51" spans="2:51" ht="27" customHeight="1">
      <c r="B51" s="104" t="str">
        <f t="shared" si="6"/>
        <v>A</v>
      </c>
      <c r="C51" s="32" t="str">
        <f>C16</f>
        <v>N NOTRE BOUDIN NOIR | | Auteur &gt; Guy KRENZE - Eric GODDYN - Arnaud NICOLAS - CEPROC 2002</v>
      </c>
      <c r="D51" s="33">
        <f>D16</f>
        <v>16.34</v>
      </c>
      <c r="E51" s="32" t="str">
        <f>E16</f>
        <v>Kg</v>
      </c>
      <c r="F51" s="34" t="str">
        <f>F16</f>
        <v>Recette mère ► le Boudin en 4 déclinaisons</v>
      </c>
      <c r="G51" s="92">
        <v>5</v>
      </c>
      <c r="H51" s="108" t="s">
        <v>13066</v>
      </c>
      <c r="I51" s="94" t="str">
        <f t="shared" si="7"/>
        <v>de</v>
      </c>
      <c r="J51" s="5110">
        <v>0.5</v>
      </c>
      <c r="K51" s="105" t="s">
        <v>99</v>
      </c>
      <c r="L51" s="127">
        <v>1</v>
      </c>
      <c r="M51" s="920" t="s">
        <v>13061</v>
      </c>
      <c r="N51" s="1494">
        <f>IF(OR(ISBLANK(G42),N42=0),0,G51*L43)</f>
        <v>0.18382352941176472</v>
      </c>
      <c r="O51" s="101">
        <f>IFERROR(_xlfn.LET(_xlpm.v,IFERROR(_xlfn.XLOOKUP(K51,G57:P57,G58:P58),_xlfn.XLOOKUP(K51,G59:P59,G60:P60)),_xlpm.v*J51*L51*L43*IF(ISBLANK(G51),1,G51)),0)</f>
        <v>9.1911764705882365E-5</v>
      </c>
      <c r="P51" s="1475" t="str">
        <f>_xlfn.LET(_xlpm.unite,SUBSTITUTE(TRIM(K51)," (s)",""),_xlpm.val,O51,_xlpm.estVol,COUNTIF(J57:P57,_xlpm.unite)+COUNTIF(J59:P59,_xlpm.unite)&gt;0,_xlpm.estPoids,COUNTIF(G57:I57,_xlpm.unite)+COUNTIF(G59:I59,_xlpm.unite)&gt;0,IF(_xlpm.estVol,IF(ROUND(_xlpm.val,3)&gt;=1,ROUND(_xlpm.val,3)&amp;" L",MAX(1,ROUND(_xlpm.val*100,0))&amp;" cl"),IF(_xlpm.estPoids,IF(ROUND(_xlpm.val,3)&gt;=1,ROUND(_xlpm.val,3)&amp;" Kg",MAX(1,ROUND(_xlpm.val*1000,0))&amp;" g"),"")))</f>
        <v>1 g</v>
      </c>
      <c r="Q51" s="1171"/>
      <c r="R51" s="104" t="str">
        <f t="shared" si="8"/>
        <v>A</v>
      </c>
      <c r="S51" s="32" t="str">
        <f>S16</f>
        <v>N NUESTRA MORCILLA | | Autor &gt; Guy KRENZE - Eric GODDYN - Arnaud NICOLAS - CEPROC 2002</v>
      </c>
      <c r="T51" s="33">
        <f>T16</f>
        <v>16.34</v>
      </c>
      <c r="U51" s="32" t="str">
        <f>U16</f>
        <v>Kg</v>
      </c>
      <c r="V51" s="34" t="str">
        <f>V16</f>
        <v>Receta madre ► Morcilla en 4 versiones</v>
      </c>
      <c r="W51" s="92">
        <v>5</v>
      </c>
      <c r="X51" s="108" t="s">
        <v>13066</v>
      </c>
      <c r="Y51" s="94" t="str">
        <f t="shared" si="9"/>
        <v>de</v>
      </c>
      <c r="Z51" s="5110">
        <v>0.5</v>
      </c>
      <c r="AA51" s="105" t="s">
        <v>99</v>
      </c>
      <c r="AB51" s="127">
        <v>1</v>
      </c>
      <c r="AC51" s="920" t="s">
        <v>13189</v>
      </c>
      <c r="AD51" s="1494">
        <f>IF(OR(ISBLANK(W42),AD42=0),0,W51*AB43)</f>
        <v>0.18382352941176472</v>
      </c>
      <c r="AE51" s="101">
        <f>IFERROR(_xlfn.LET(_xlpm.v,IFERROR(_xlfn.XLOOKUP(AA51,W57:AF57,W58:AF58),_xlfn.XLOOKUP(AA51,W59:AF59,W60:AF60)),_xlpm.v*Z51*AB51*AB43*IF(ISBLANK(W51),1,W51)),0)</f>
        <v>9.1911764705882365E-5</v>
      </c>
      <c r="AF51" s="1475" t="str">
        <f>_xlfn.LET(_xlpm.unite,SUBSTITUTE(TRIM(AA51)," (s)",""),_xlpm.val,AE51,_xlpm.estVol,COUNTIF(Z57:AF57,_xlpm.unite)+COUNTIF(Z59:AF59,_xlpm.unite)&gt;0,_xlpm.estPoids,COUNTIF(W57:Y57,_xlpm.unite)+COUNTIF(W59:Y59,_xlpm.unite)&gt;0,IF(_xlpm.estVol,IF(ROUND(_xlpm.val,3)&gt;=1,ROUND(_xlpm.val,3)&amp;" L",MAX(1,ROUND(_xlpm.val*100,0))&amp;" cl"),IF(_xlpm.estPoids,IF(ROUND(_xlpm.val,3)&gt;=1,ROUND(_xlpm.val,3)&amp;" Kg",MAX(1,ROUND(_xlpm.val*1000,0))&amp;" g"),"")))</f>
        <v>1 g</v>
      </c>
      <c r="AG51" s="1171"/>
      <c r="AH51" s="104"/>
      <c r="AI51" s="1172"/>
      <c r="AJ51" s="1172"/>
      <c r="AK51" s="1172"/>
      <c r="AL51" s="1173"/>
      <c r="AM51" s="1174"/>
      <c r="AN51" s="1175"/>
      <c r="AO51" s="1176"/>
      <c r="AP51" s="1177"/>
      <c r="AQ51" s="1547"/>
      <c r="AR51" s="1177"/>
      <c r="AS51" s="1548"/>
      <c r="AT51" s="1549"/>
      <c r="AU51" s="1178"/>
      <c r="AV51" s="1179"/>
      <c r="AY51" s="3">
        <v>1</v>
      </c>
    </row>
    <row r="52" spans="2:51" ht="27" customHeight="1">
      <c r="B52" s="104" t="str">
        <f t="shared" si="6"/>
        <v>A</v>
      </c>
      <c r="C52" s="32" t="str">
        <f>C16</f>
        <v>N NOTRE BOUDIN NOIR | | Auteur &gt; Guy KRENZE - Eric GODDYN - Arnaud NICOLAS - CEPROC 2002</v>
      </c>
      <c r="D52" s="33">
        <f>D16</f>
        <v>16.34</v>
      </c>
      <c r="E52" s="32" t="str">
        <f>E16</f>
        <v>Kg</v>
      </c>
      <c r="F52" s="34" t="str">
        <f>F16</f>
        <v>Recette mère ► le Boudin en 4 déclinaisons</v>
      </c>
      <c r="G52" s="92"/>
      <c r="H52" s="108"/>
      <c r="I52" s="94" t="str">
        <f t="shared" si="7"/>
        <v/>
      </c>
      <c r="J52" s="95">
        <v>20</v>
      </c>
      <c r="K52" s="105" t="s">
        <v>99</v>
      </c>
      <c r="L52" s="127">
        <v>1</v>
      </c>
      <c r="M52" s="920" t="s">
        <v>13062</v>
      </c>
      <c r="N52" s="1494">
        <f>IF(OR(ISBLANK(G42),N42=0),0,G52*L43)</f>
        <v>0</v>
      </c>
      <c r="O52" s="101">
        <f>IFERROR(_xlfn.LET(_xlpm.v,IFERROR(_xlfn.XLOOKUP(K52,G57:P57,G58:P58),_xlfn.XLOOKUP(K52,G59:P59,G60:P60)),_xlpm.v*J52*L52*L43*IF(ISBLANK(G52),1,G52)),0)</f>
        <v>7.3529411764705881E-4</v>
      </c>
      <c r="P52" s="1476" t="str">
        <f>_xlfn.LET(_xlpm.unite,SUBSTITUTE(TRIM(K52)," (s)",""),_xlpm.val,O52,_xlpm.estVol,COUNTIF(J57:P57,_xlpm.unite)+COUNTIF(J59:P59,_xlpm.unite)&gt;0,_xlpm.estPoids,COUNTIF(G57:I57,_xlpm.unite)+COUNTIF(G59:I59,_xlpm.unite)&gt;0,IF(_xlpm.estVol,IF(ROUND(_xlpm.val,3)&gt;=1,ROUND(_xlpm.val,3)&amp;" L",MAX(1,ROUND(_xlpm.val*100,0))&amp;" cl"),IF(_xlpm.estPoids,IF(ROUND(_xlpm.val,3)&gt;=1,ROUND(_xlpm.val,3)&amp;" Kg",MAX(1,ROUND(_xlpm.val*1000,0))&amp;" g"),"")))</f>
        <v>1 g</v>
      </c>
      <c r="Q52" s="1171"/>
      <c r="R52" s="104" t="str">
        <f t="shared" si="8"/>
        <v>A</v>
      </c>
      <c r="S52" s="32" t="str">
        <f>S16</f>
        <v>N NUESTRA MORCILLA | | Autor &gt; Guy KRENZE - Eric GODDYN - Arnaud NICOLAS - CEPROC 2002</v>
      </c>
      <c r="T52" s="33">
        <f>T16</f>
        <v>16.34</v>
      </c>
      <c r="U52" s="32" t="str">
        <f>U16</f>
        <v>Kg</v>
      </c>
      <c r="V52" s="34" t="str">
        <f>V16</f>
        <v>Receta madre ► Morcilla en 4 versiones</v>
      </c>
      <c r="W52" s="92"/>
      <c r="X52" s="108"/>
      <c r="Y52" s="94" t="str">
        <f t="shared" si="9"/>
        <v/>
      </c>
      <c r="Z52" s="95">
        <v>20</v>
      </c>
      <c r="AA52" s="105" t="s">
        <v>99</v>
      </c>
      <c r="AB52" s="127">
        <v>1</v>
      </c>
      <c r="AC52" s="920" t="s">
        <v>13190</v>
      </c>
      <c r="AD52" s="1494">
        <f>IF(OR(ISBLANK(W42),AD42=0),0,W52*AB43)</f>
        <v>0</v>
      </c>
      <c r="AE52" s="101">
        <f>IFERROR(_xlfn.LET(_xlpm.v,IFERROR(_xlfn.XLOOKUP(AA52,W57:AF57,W58:AF58),_xlfn.XLOOKUP(AA52,W59:AF59,W60:AF60)),_xlpm.v*Z52*AB52*AB43*IF(ISBLANK(W52),1,W52)),0)</f>
        <v>7.3529411764705881E-4</v>
      </c>
      <c r="AF52" s="1476" t="str">
        <f>_xlfn.LET(_xlpm.unite,SUBSTITUTE(TRIM(AA52)," (s)",""),_xlpm.val,AE52,_xlpm.estVol,COUNTIF(Z57:AF57,_xlpm.unite)+COUNTIF(Z59:AF59,_xlpm.unite)&gt;0,_xlpm.estPoids,COUNTIF(W57:Y57,_xlpm.unite)+COUNTIF(W59:Y59,_xlpm.unite)&gt;0,IF(_xlpm.estVol,IF(ROUND(_xlpm.val,3)&gt;=1,ROUND(_xlpm.val,3)&amp;" L",MAX(1,ROUND(_xlpm.val*100,0))&amp;" cl"),IF(_xlpm.estPoids,IF(ROUND(_xlpm.val,3)&gt;=1,ROUND(_xlpm.val,3)&amp;" Kg",MAX(1,ROUND(_xlpm.val*1000,0))&amp;" g"),"")))</f>
        <v>1 g</v>
      </c>
      <c r="AG52" s="1171"/>
      <c r="AH52" s="104"/>
      <c r="AI52" s="1172"/>
      <c r="AJ52" s="1172"/>
      <c r="AK52" s="1172"/>
      <c r="AL52" s="1173"/>
      <c r="AM52" s="1174"/>
      <c r="AN52" s="1175"/>
      <c r="AO52" s="1176"/>
      <c r="AP52" s="1177"/>
      <c r="AQ52" s="1547"/>
      <c r="AR52" s="1177"/>
      <c r="AS52" s="1548"/>
      <c r="AT52" s="1549"/>
      <c r="AU52" s="1178"/>
      <c r="AV52" s="1179"/>
      <c r="AY52" s="3">
        <v>1</v>
      </c>
    </row>
    <row r="53" spans="2:51" ht="27" customHeight="1">
      <c r="B53" s="104" t="str">
        <f t="shared" si="6"/>
        <v>A</v>
      </c>
      <c r="C53" s="32" t="str">
        <f>C16</f>
        <v>N NOTRE BOUDIN NOIR | | Auteur &gt; Guy KRENZE - Eric GODDYN - Arnaud NICOLAS - CEPROC 2002</v>
      </c>
      <c r="D53" s="33">
        <f>D16</f>
        <v>16.34</v>
      </c>
      <c r="E53" s="32" t="str">
        <f>E16</f>
        <v>Kg</v>
      </c>
      <c r="F53" s="34" t="str">
        <f>F16</f>
        <v>Recette mère ► le Boudin en 4 déclinaisons</v>
      </c>
      <c r="G53" s="92"/>
      <c r="H53" s="108"/>
      <c r="I53" s="94" t="str">
        <f t="shared" si="7"/>
        <v/>
      </c>
      <c r="J53" s="95">
        <v>10</v>
      </c>
      <c r="K53" s="105" t="s">
        <v>99</v>
      </c>
      <c r="L53" s="127">
        <v>1</v>
      </c>
      <c r="M53" s="920" t="s">
        <v>13063</v>
      </c>
      <c r="N53" s="1494">
        <f>IF(OR(ISBLANK(G42),N42=0),0,G53*L43)</f>
        <v>0</v>
      </c>
      <c r="O53" s="101">
        <f>IFERROR(_xlfn.LET(_xlpm.v,IFERROR(_xlfn.XLOOKUP(K53,G57:P57,G58:P58),_xlfn.XLOOKUP(K53,G59:P59,G60:P60)),_xlpm.v*J53*L53*L43*IF(ISBLANK(G53),1,G53)),0)</f>
        <v>3.6764705882352941E-4</v>
      </c>
      <c r="P53" s="1475" t="str">
        <f>_xlfn.LET(_xlpm.unite,SUBSTITUTE(TRIM(K53)," (s)",""),_xlpm.val,O53,_xlpm.estVol,COUNTIF(J57:P57,_xlpm.unite)+COUNTIF(J59:P59,_xlpm.unite)&gt;0,_xlpm.estPoids,COUNTIF(G57:I57,_xlpm.unite)+COUNTIF(G59:I59,_xlpm.unite)&gt;0,IF(_xlpm.estVol,IF(ROUND(_xlpm.val,3)&gt;=1,ROUND(_xlpm.val,3)&amp;" L",MAX(1,ROUND(_xlpm.val*100,0))&amp;" cl"),IF(_xlpm.estPoids,IF(ROUND(_xlpm.val,3)&gt;=1,ROUND(_xlpm.val,3)&amp;" Kg",MAX(1,ROUND(_xlpm.val*1000,0))&amp;" g"),"")))</f>
        <v>1 g</v>
      </c>
      <c r="Q53" s="1171"/>
      <c r="R53" s="104" t="str">
        <f t="shared" si="8"/>
        <v>A</v>
      </c>
      <c r="S53" s="32" t="str">
        <f>S16</f>
        <v>N NUESTRA MORCILLA | | Autor &gt; Guy KRENZE - Eric GODDYN - Arnaud NICOLAS - CEPROC 2002</v>
      </c>
      <c r="T53" s="33">
        <f>T16</f>
        <v>16.34</v>
      </c>
      <c r="U53" s="32" t="str">
        <f>U16</f>
        <v>Kg</v>
      </c>
      <c r="V53" s="34" t="str">
        <f>V16</f>
        <v>Receta madre ► Morcilla en 4 versiones</v>
      </c>
      <c r="W53" s="92"/>
      <c r="X53" s="108"/>
      <c r="Y53" s="94" t="str">
        <f t="shared" si="9"/>
        <v/>
      </c>
      <c r="Z53" s="95">
        <v>10</v>
      </c>
      <c r="AA53" s="105" t="s">
        <v>99</v>
      </c>
      <c r="AB53" s="127">
        <v>1</v>
      </c>
      <c r="AC53" s="920" t="s">
        <v>13063</v>
      </c>
      <c r="AD53" s="1494">
        <f>IF(OR(ISBLANK(W42),AD42=0),0,W53*AB43)</f>
        <v>0</v>
      </c>
      <c r="AE53" s="101">
        <f>IFERROR(_xlfn.LET(_xlpm.v,IFERROR(_xlfn.XLOOKUP(AA53,W57:AF57,W58:AF58),_xlfn.XLOOKUP(AA53,W59:AF59,W60:AF60)),_xlpm.v*Z53*AB53*AB43*IF(ISBLANK(W53),1,W53)),0)</f>
        <v>3.6764705882352941E-4</v>
      </c>
      <c r="AF53" s="1475" t="str">
        <f>_xlfn.LET(_xlpm.unite,SUBSTITUTE(TRIM(AA53)," (s)",""),_xlpm.val,AE53,_xlpm.estVol,COUNTIF(Z57:AF57,_xlpm.unite)+COUNTIF(Z59:AF59,_xlpm.unite)&gt;0,_xlpm.estPoids,COUNTIF(W57:Y57,_xlpm.unite)+COUNTIF(W59:Y59,_xlpm.unite)&gt;0,IF(_xlpm.estVol,IF(ROUND(_xlpm.val,3)&gt;=1,ROUND(_xlpm.val,3)&amp;" L",MAX(1,ROUND(_xlpm.val*100,0))&amp;" cl"),IF(_xlpm.estPoids,IF(ROUND(_xlpm.val,3)&gt;=1,ROUND(_xlpm.val,3)&amp;" Kg",MAX(1,ROUND(_xlpm.val*1000,0))&amp;" g"),"")))</f>
        <v>1 g</v>
      </c>
      <c r="AG53" s="1171"/>
      <c r="AH53" s="104"/>
      <c r="AI53" s="1172"/>
      <c r="AJ53" s="1172"/>
      <c r="AK53" s="1172"/>
      <c r="AL53" s="1173"/>
      <c r="AM53" s="1174"/>
      <c r="AN53" s="1175"/>
      <c r="AO53" s="1176"/>
      <c r="AP53" s="1177"/>
      <c r="AQ53" s="1547"/>
      <c r="AR53" s="1177"/>
      <c r="AS53" s="1548"/>
      <c r="AT53" s="1549"/>
      <c r="AU53" s="1178"/>
      <c r="AV53" s="1179"/>
      <c r="AY53" s="3">
        <v>1</v>
      </c>
    </row>
    <row r="54" spans="2:51" ht="27" customHeight="1">
      <c r="B54" s="104" t="str">
        <f t="shared" si="6"/>
        <v>A</v>
      </c>
      <c r="C54" s="32" t="str">
        <f>C16</f>
        <v>N NOTRE BOUDIN NOIR | | Auteur &gt; Guy KRENZE - Eric GODDYN - Arnaud NICOLAS - CEPROC 2002</v>
      </c>
      <c r="D54" s="33">
        <f>D16</f>
        <v>16.34</v>
      </c>
      <c r="E54" s="32" t="str">
        <f>E16</f>
        <v>Kg</v>
      </c>
      <c r="F54" s="34" t="str">
        <f>F16</f>
        <v>Recette mère ► le Boudin en 4 déclinaisons</v>
      </c>
      <c r="G54" s="92"/>
      <c r="H54" s="108"/>
      <c r="I54" s="94" t="str">
        <f t="shared" si="7"/>
        <v/>
      </c>
      <c r="J54" s="95">
        <v>15</v>
      </c>
      <c r="K54" s="105" t="s">
        <v>99</v>
      </c>
      <c r="L54" s="127">
        <v>1</v>
      </c>
      <c r="M54" s="920" t="s">
        <v>13064</v>
      </c>
      <c r="N54" s="1494">
        <f>IF(OR(ISBLANK(G42),N42=0),0,G54*L43)</f>
        <v>0</v>
      </c>
      <c r="O54" s="101">
        <f>IFERROR(_xlfn.LET(_xlpm.v,IFERROR(_xlfn.XLOOKUP(K54,G57:P57,G58:P58),_xlfn.XLOOKUP(K54,G59:P59,G60:P60)),_xlpm.v*J54*L54*L43*IF(ISBLANK(G54),1,G54)),0)</f>
        <v>5.5147058823529411E-4</v>
      </c>
      <c r="P54" s="1476" t="str">
        <f>_xlfn.LET(_xlpm.unite,SUBSTITUTE(TRIM(K54)," (s)",""),_xlpm.val,O54,_xlpm.estVol,COUNTIF(J57:P57,_xlpm.unite)+COUNTIF(J59:P59,_xlpm.unite)&gt;0,_xlpm.estPoids,COUNTIF(G57:I57,_xlpm.unite)+COUNTIF(G59:I59,_xlpm.unite)&gt;0,IF(_xlpm.estVol,IF(ROUND(_xlpm.val,3)&gt;=1,ROUND(_xlpm.val,3)&amp;" L",MAX(1,ROUND(_xlpm.val*100,0))&amp;" cl"),IF(_xlpm.estPoids,IF(ROUND(_xlpm.val,3)&gt;=1,ROUND(_xlpm.val,3)&amp;" Kg",MAX(1,ROUND(_xlpm.val*1000,0))&amp;" g"),"")))</f>
        <v>1 g</v>
      </c>
      <c r="Q54" s="1171"/>
      <c r="R54" s="104" t="str">
        <f t="shared" si="8"/>
        <v>A</v>
      </c>
      <c r="S54" s="32" t="str">
        <f>S16</f>
        <v>N NUESTRA MORCILLA | | Autor &gt; Guy KRENZE - Eric GODDYN - Arnaud NICOLAS - CEPROC 2002</v>
      </c>
      <c r="T54" s="33">
        <f>T16</f>
        <v>16.34</v>
      </c>
      <c r="U54" s="32" t="str">
        <f>U16</f>
        <v>Kg</v>
      </c>
      <c r="V54" s="34" t="str">
        <f>V16</f>
        <v>Receta madre ► Morcilla en 4 versiones</v>
      </c>
      <c r="W54" s="92"/>
      <c r="X54" s="108"/>
      <c r="Y54" s="94" t="str">
        <f t="shared" si="9"/>
        <v/>
      </c>
      <c r="Z54" s="95">
        <v>15</v>
      </c>
      <c r="AA54" s="105" t="s">
        <v>99</v>
      </c>
      <c r="AB54" s="127">
        <v>1</v>
      </c>
      <c r="AC54" s="920" t="s">
        <v>13191</v>
      </c>
      <c r="AD54" s="1494">
        <f>IF(OR(ISBLANK(W42),AD42=0),0,W54*AB43)</f>
        <v>0</v>
      </c>
      <c r="AE54" s="101">
        <f>IFERROR(_xlfn.LET(_xlpm.v,IFERROR(_xlfn.XLOOKUP(AA54,W57:AF57,W58:AF58),_xlfn.XLOOKUP(AA54,W59:AF59,W60:AF60)),_xlpm.v*Z54*AB54*AB43*IF(ISBLANK(W54),1,W54)),0)</f>
        <v>5.5147058823529411E-4</v>
      </c>
      <c r="AF54" s="1476" t="str">
        <f>_xlfn.LET(_xlpm.unite,SUBSTITUTE(TRIM(AA54)," (s)",""),_xlpm.val,AE54,_xlpm.estVol,COUNTIF(Z57:AF57,_xlpm.unite)+COUNTIF(Z59:AF59,_xlpm.unite)&gt;0,_xlpm.estPoids,COUNTIF(W57:Y57,_xlpm.unite)+COUNTIF(W59:Y59,_xlpm.unite)&gt;0,IF(_xlpm.estVol,IF(ROUND(_xlpm.val,3)&gt;=1,ROUND(_xlpm.val,3)&amp;" L",MAX(1,ROUND(_xlpm.val*100,0))&amp;" cl"),IF(_xlpm.estPoids,IF(ROUND(_xlpm.val,3)&gt;=1,ROUND(_xlpm.val,3)&amp;" Kg",MAX(1,ROUND(_xlpm.val*1000,0))&amp;" g"),"")))</f>
        <v>1 g</v>
      </c>
      <c r="AG54" s="1171"/>
      <c r="AH54" s="104"/>
      <c r="AI54" s="1172"/>
      <c r="AJ54" s="1172"/>
      <c r="AK54" s="1172"/>
      <c r="AL54" s="1173"/>
      <c r="AM54" s="1174"/>
      <c r="AN54" s="1175"/>
      <c r="AO54" s="1176"/>
      <c r="AP54" s="1177"/>
      <c r="AQ54" s="1547"/>
      <c r="AR54" s="1177"/>
      <c r="AS54" s="1548"/>
      <c r="AT54" s="1549"/>
      <c r="AU54" s="1178"/>
      <c r="AV54" s="1179"/>
      <c r="AY54" s="3">
        <v>1</v>
      </c>
    </row>
    <row r="55" spans="2:51" ht="27" customHeight="1">
      <c r="B55" s="104" t="str">
        <f t="shared" si="6"/>
        <v>►</v>
      </c>
      <c r="C55" s="32" t="str">
        <f>C16</f>
        <v>N NOTRE BOUDIN NOIR | | Auteur &gt; Guy KRENZE - Eric GODDYN - Arnaud NICOLAS - CEPROC 2002</v>
      </c>
      <c r="D55" s="33">
        <f>D16</f>
        <v>16.34</v>
      </c>
      <c r="E55" s="32" t="str">
        <f>E16</f>
        <v>Kg</v>
      </c>
      <c r="F55" s="34" t="str">
        <f>F16</f>
        <v>Recette mère ► le Boudin en 4 déclinaisons</v>
      </c>
      <c r="G55" s="92"/>
      <c r="H55" s="108"/>
      <c r="I55" s="94" t="str">
        <f t="shared" si="7"/>
        <v/>
      </c>
      <c r="J55" s="95"/>
      <c r="K55" s="126"/>
      <c r="L55" s="127">
        <v>1</v>
      </c>
      <c r="M55" s="920"/>
      <c r="N55" s="1494">
        <f>IF(OR(ISBLANK(G42),N42=0),0,G55*L43)</f>
        <v>0</v>
      </c>
      <c r="O55" s="101">
        <f>IFERROR(_xlfn.LET(_xlpm.v,IFERROR(_xlfn.XLOOKUP(K55,G57:P57,G58:P58),_xlfn.XLOOKUP(K55,G59:P59,G60:P60)),_xlpm.v*J55*L55*L43*IF(ISBLANK(G55),1,G55)),0)</f>
        <v>0</v>
      </c>
      <c r="P55" s="1475" t="str">
        <f>_xlfn.LET(_xlpm.unite,SUBSTITUTE(TRIM(K55)," (s)",""),_xlpm.val,O55,_xlpm.estVol,COUNTIF(J57:P57,_xlpm.unite)+COUNTIF(J59:P59,_xlpm.unite)&gt;0,_xlpm.estPoids,COUNTIF(G57:I57,_xlpm.unite)+COUNTIF(G59:I59,_xlpm.unite)&gt;0,IF(_xlpm.estVol,IF(ROUND(_xlpm.val,3)&gt;=1,ROUND(_xlpm.val,3)&amp;" L",MAX(1,ROUND(_xlpm.val*100,0))&amp;" cl"),IF(_xlpm.estPoids,IF(ROUND(_xlpm.val,3)&gt;=1,ROUND(_xlpm.val,3)&amp;" Kg",MAX(1,ROUND(_xlpm.val*1000,0))&amp;" g"),"")))</f>
        <v/>
      </c>
      <c r="Q55" s="1171"/>
      <c r="R55" s="104" t="str">
        <f t="shared" si="8"/>
        <v>►</v>
      </c>
      <c r="S55" s="32" t="str">
        <f>S16</f>
        <v>N NUESTRA MORCILLA | | Autor &gt; Guy KRENZE - Eric GODDYN - Arnaud NICOLAS - CEPROC 2002</v>
      </c>
      <c r="T55" s="33">
        <f>T16</f>
        <v>16.34</v>
      </c>
      <c r="U55" s="32" t="str">
        <f>U16</f>
        <v>Kg</v>
      </c>
      <c r="V55" s="34" t="str">
        <f>V16</f>
        <v>Receta madre ► Morcilla en 4 versiones</v>
      </c>
      <c r="W55" s="92"/>
      <c r="X55" s="108"/>
      <c r="Y55" s="94" t="str">
        <f t="shared" si="9"/>
        <v/>
      </c>
      <c r="Z55" s="95"/>
      <c r="AA55" s="126"/>
      <c r="AB55" s="127">
        <v>1</v>
      </c>
      <c r="AC55" s="920"/>
      <c r="AD55" s="1494">
        <f>IF(OR(ISBLANK(W42),AD42=0),0,W55*AB43)</f>
        <v>0</v>
      </c>
      <c r="AE55" s="101">
        <f>IFERROR(_xlfn.LET(_xlpm.v,IFERROR(_xlfn.XLOOKUP(AA55,W57:AF57,W58:AF58),_xlfn.XLOOKUP(AA55,W59:AF59,W60:AF60)),_xlpm.v*Z55*AB55*AB43*IF(ISBLANK(W55),1,W55)),0)</f>
        <v>0</v>
      </c>
      <c r="AF55" s="1475" t="str">
        <f>_xlfn.LET(_xlpm.unite,SUBSTITUTE(TRIM(AA55)," (s)",""),_xlpm.val,AE55,_xlpm.estVol,COUNTIF(Z57:AF57,_xlpm.unite)+COUNTIF(Z59:AF59,_xlpm.unite)&gt;0,_xlpm.estPoids,COUNTIF(W57:Y57,_xlpm.unite)+COUNTIF(W59:Y59,_xlpm.unite)&gt;0,IF(_xlpm.estVol,IF(ROUND(_xlpm.val,3)&gt;=1,ROUND(_xlpm.val,3)&amp;" L",MAX(1,ROUND(_xlpm.val*100,0))&amp;" cl"),IF(_xlpm.estPoids,IF(ROUND(_xlpm.val,3)&gt;=1,ROUND(_xlpm.val,3)&amp;" Kg",MAX(1,ROUND(_xlpm.val*1000,0))&amp;" g"),"")))</f>
        <v/>
      </c>
      <c r="AG55" s="1171"/>
      <c r="AH55" s="104"/>
      <c r="AI55" s="1172"/>
      <c r="AJ55" s="1172"/>
      <c r="AK55" s="1172"/>
      <c r="AL55" s="1173"/>
      <c r="AM55" s="1174"/>
      <c r="AN55" s="1175"/>
      <c r="AO55" s="1176"/>
      <c r="AP55" s="1177"/>
      <c r="AQ55" s="1547"/>
      <c r="AR55" s="1177"/>
      <c r="AS55" s="1548"/>
      <c r="AT55" s="1549"/>
      <c r="AU55" s="1178"/>
      <c r="AV55" s="1179"/>
      <c r="AY55" s="3">
        <v>1</v>
      </c>
    </row>
    <row r="56" spans="2:51" ht="27" customHeight="1">
      <c r="B56" s="104" t="s">
        <v>11</v>
      </c>
      <c r="C56" s="32" t="str">
        <f>C16</f>
        <v>N NOTRE BOUDIN NOIR | | Auteur &gt; Guy KRENZE - Eric GODDYN - Arnaud NICOLAS - CEPROC 2002</v>
      </c>
      <c r="D56" s="33">
        <f>D16</f>
        <v>16.34</v>
      </c>
      <c r="E56" s="32" t="str">
        <f>E16</f>
        <v>Kg</v>
      </c>
      <c r="F56" s="34" t="str">
        <f>F16</f>
        <v>Recette mère ► le Boudin en 4 déclinaisons</v>
      </c>
      <c r="G56" s="907" t="s">
        <v>136</v>
      </c>
      <c r="H56" s="500"/>
      <c r="I56" s="500"/>
      <c r="J56" s="500"/>
      <c r="K56" s="500"/>
      <c r="L56" s="908"/>
      <c r="M56" s="909"/>
      <c r="N56" s="909"/>
      <c r="O56" s="5164">
        <f>SUM(O46:O55)</f>
        <v>1.4981617647058826E-2</v>
      </c>
      <c r="P56" s="1489"/>
      <c r="Q56" s="1171"/>
      <c r="R56" s="104" t="s">
        <v>11</v>
      </c>
      <c r="S56" s="32" t="str">
        <f>S16</f>
        <v>N NUESTRA MORCILLA | | Autor &gt; Guy KRENZE - Eric GODDYN - Arnaud NICOLAS - CEPROC 2002</v>
      </c>
      <c r="T56" s="33">
        <f>T16</f>
        <v>16.34</v>
      </c>
      <c r="U56" s="32" t="str">
        <f>U16</f>
        <v>Kg</v>
      </c>
      <c r="V56" s="34" t="str">
        <f>V16</f>
        <v>Receta madre ► Morcilla en 4 versiones</v>
      </c>
      <c r="W56" s="907" t="s">
        <v>136</v>
      </c>
      <c r="X56" s="500"/>
      <c r="Y56" s="500"/>
      <c r="Z56" s="500"/>
      <c r="AA56" s="500"/>
      <c r="AB56" s="908"/>
      <c r="AC56" s="909"/>
      <c r="AD56" s="909"/>
      <c r="AE56" s="5164">
        <f>SUM(AE46:AE55)</f>
        <v>1.4981617647058826E-2</v>
      </c>
      <c r="AF56" s="1489"/>
      <c r="AG56" s="1171"/>
      <c r="AH56" s="104"/>
      <c r="AI56" s="1172"/>
      <c r="AJ56" s="1172"/>
      <c r="AK56" s="1172"/>
      <c r="AL56" s="1173"/>
      <c r="AM56" s="1174"/>
      <c r="AN56" s="1175"/>
      <c r="AO56" s="1176"/>
      <c r="AP56" s="1177"/>
      <c r="AQ56" s="1547"/>
      <c r="AR56" s="1177"/>
      <c r="AS56" s="1548"/>
      <c r="AT56" s="1549"/>
      <c r="AU56" s="1178"/>
      <c r="AV56" s="1179"/>
      <c r="AY56" s="3">
        <v>1</v>
      </c>
    </row>
    <row r="57" spans="2:51" ht="27" customHeight="1">
      <c r="B57" s="104" t="s">
        <v>16</v>
      </c>
      <c r="C57" s="32" t="str">
        <f>C16</f>
        <v>N NOTRE BOUDIN NOIR | | Auteur &gt; Guy KRENZE - Eric GODDYN - Arnaud NICOLAS - CEPROC 2002</v>
      </c>
      <c r="D57" s="33">
        <f>D16</f>
        <v>16.34</v>
      </c>
      <c r="E57" s="32" t="str">
        <f>E16</f>
        <v>Kg</v>
      </c>
      <c r="F57" s="34" t="str">
        <f>F16</f>
        <v>Recette mère ► le Boudin en 4 déclinaisons</v>
      </c>
      <c r="G57" s="140" t="s">
        <v>143</v>
      </c>
      <c r="H57" s="105" t="s">
        <v>99</v>
      </c>
      <c r="I57" s="141" t="s">
        <v>144</v>
      </c>
      <c r="J57" s="96" t="s">
        <v>0</v>
      </c>
      <c r="K57" s="96" t="s">
        <v>96</v>
      </c>
      <c r="L57" s="96" t="s">
        <v>147</v>
      </c>
      <c r="M57" s="96" t="s">
        <v>148</v>
      </c>
      <c r="N57" s="109" t="s">
        <v>364</v>
      </c>
      <c r="O57" s="109" t="s">
        <v>102</v>
      </c>
      <c r="P57" s="109" t="s">
        <v>149</v>
      </c>
      <c r="Q57" s="1171"/>
      <c r="R57" s="104" t="s">
        <v>16</v>
      </c>
      <c r="S57" s="32" t="str">
        <f>S16</f>
        <v>N NUESTRA MORCILLA | | Autor &gt; Guy KRENZE - Eric GODDYN - Arnaud NICOLAS - CEPROC 2002</v>
      </c>
      <c r="T57" s="33">
        <f>T16</f>
        <v>16.34</v>
      </c>
      <c r="U57" s="32" t="str">
        <f>U16</f>
        <v>Kg</v>
      </c>
      <c r="V57" s="34" t="str">
        <f>V16</f>
        <v>Receta madre ► Morcilla en 4 versiones</v>
      </c>
      <c r="W57" s="140" t="s">
        <v>143</v>
      </c>
      <c r="X57" s="105" t="s">
        <v>99</v>
      </c>
      <c r="Y57" s="141" t="s">
        <v>144</v>
      </c>
      <c r="Z57" s="96" t="s">
        <v>0</v>
      </c>
      <c r="AA57" s="96" t="s">
        <v>96</v>
      </c>
      <c r="AB57" s="96" t="s">
        <v>147</v>
      </c>
      <c r="AC57" s="96" t="s">
        <v>148</v>
      </c>
      <c r="AD57" s="109" t="s">
        <v>1379</v>
      </c>
      <c r="AE57" s="109" t="s">
        <v>1341</v>
      </c>
      <c r="AF57" s="109" t="s">
        <v>1342</v>
      </c>
      <c r="AG57" s="1171"/>
      <c r="AH57" s="104"/>
      <c r="AI57" s="1172"/>
      <c r="AJ57" s="1172"/>
      <c r="AK57" s="1172"/>
      <c r="AL57" s="1173"/>
      <c r="AM57" s="1174"/>
      <c r="AN57" s="1175"/>
      <c r="AO57" s="1176"/>
      <c r="AP57" s="1177"/>
      <c r="AQ57" s="1547"/>
      <c r="AR57" s="1177"/>
      <c r="AS57" s="1548"/>
      <c r="AT57" s="1549"/>
      <c r="AU57" s="1178"/>
      <c r="AV57" s="1179"/>
      <c r="AY57" s="3">
        <v>1</v>
      </c>
    </row>
    <row r="58" spans="2:51" ht="27" customHeight="1">
      <c r="B58" s="104" t="s">
        <v>16</v>
      </c>
      <c r="C58" s="32" t="str">
        <f>C16</f>
        <v>N NOTRE BOUDIN NOIR | | Auteur &gt; Guy KRENZE - Eric GODDYN - Arnaud NICOLAS - CEPROC 2002</v>
      </c>
      <c r="D58" s="33">
        <f>D16</f>
        <v>16.34</v>
      </c>
      <c r="E58" s="32" t="str">
        <f>E16</f>
        <v>Kg</v>
      </c>
      <c r="F58" s="34" t="str">
        <f>F16</f>
        <v>Recette mère ► le Boudin en 4 déclinaisons</v>
      </c>
      <c r="G58" s="911">
        <v>1</v>
      </c>
      <c r="H58" s="912">
        <v>1E-3</v>
      </c>
      <c r="I58" s="913">
        <v>0</v>
      </c>
      <c r="J58" s="914">
        <v>1</v>
      </c>
      <c r="K58" s="914">
        <v>0.1</v>
      </c>
      <c r="L58" s="914">
        <v>0.01</v>
      </c>
      <c r="M58" s="914">
        <v>1E-3</v>
      </c>
      <c r="N58" s="914">
        <v>0.25</v>
      </c>
      <c r="O58" s="914">
        <v>0.5</v>
      </c>
      <c r="P58" s="914">
        <v>0.33300000000000002</v>
      </c>
      <c r="Q58" s="1171"/>
      <c r="R58" s="104" t="s">
        <v>16</v>
      </c>
      <c r="S58" s="32" t="str">
        <f>S16</f>
        <v>N NUESTRA MORCILLA | | Autor &gt; Guy KRENZE - Eric GODDYN - Arnaud NICOLAS - CEPROC 2002</v>
      </c>
      <c r="T58" s="33">
        <f>T16</f>
        <v>16.34</v>
      </c>
      <c r="U58" s="32" t="str">
        <f>U16</f>
        <v>Kg</v>
      </c>
      <c r="V58" s="34" t="str">
        <f>V16</f>
        <v>Receta madre ► Morcilla en 4 versiones</v>
      </c>
      <c r="W58" s="911">
        <v>1</v>
      </c>
      <c r="X58" s="912">
        <v>1E-3</v>
      </c>
      <c r="Y58" s="913">
        <v>0</v>
      </c>
      <c r="Z58" s="914">
        <v>1</v>
      </c>
      <c r="AA58" s="914">
        <v>0.1</v>
      </c>
      <c r="AB58" s="914">
        <v>0.01</v>
      </c>
      <c r="AC58" s="914">
        <v>1E-3</v>
      </c>
      <c r="AD58" s="914">
        <v>0.25</v>
      </c>
      <c r="AE58" s="914">
        <v>0.5</v>
      </c>
      <c r="AF58" s="914">
        <v>0.33300000000000002</v>
      </c>
      <c r="AG58" s="1171"/>
      <c r="AH58" s="104"/>
      <c r="AI58" s="1172"/>
      <c r="AJ58" s="1172"/>
      <c r="AK58" s="1172"/>
      <c r="AL58" s="1173"/>
      <c r="AM58" s="1174"/>
      <c r="AN58" s="1175"/>
      <c r="AO58" s="1176"/>
      <c r="AP58" s="1177"/>
      <c r="AQ58" s="1547"/>
      <c r="AR58" s="1177"/>
      <c r="AS58" s="1548"/>
      <c r="AT58" s="1549"/>
      <c r="AU58" s="1178"/>
      <c r="AV58" s="1179"/>
      <c r="AY58" s="3">
        <v>1</v>
      </c>
    </row>
    <row r="59" spans="2:51" ht="27" customHeight="1">
      <c r="B59" s="104" t="s">
        <v>16</v>
      </c>
      <c r="C59" s="32" t="str">
        <f>C16</f>
        <v>N NOTRE BOUDIN NOIR | | Auteur &gt; Guy KRENZE - Eric GODDYN - Arnaud NICOLAS - CEPROC 2002</v>
      </c>
      <c r="D59" s="33">
        <f>D16</f>
        <v>16.34</v>
      </c>
      <c r="E59" s="32" t="str">
        <f>E16</f>
        <v>Kg</v>
      </c>
      <c r="F59" s="34" t="str">
        <f>F16</f>
        <v>Recette mère ► le Boudin en 4 déclinaisons</v>
      </c>
      <c r="G59" s="142" t="s">
        <v>145</v>
      </c>
      <c r="H59" s="117" t="s">
        <v>107</v>
      </c>
      <c r="I59" s="141" t="s">
        <v>144</v>
      </c>
      <c r="J59" s="109" t="s">
        <v>150</v>
      </c>
      <c r="K59" s="109" t="s">
        <v>163</v>
      </c>
      <c r="L59" s="109" t="s">
        <v>103</v>
      </c>
      <c r="M59" s="109" t="s">
        <v>162</v>
      </c>
      <c r="N59" s="149" t="s">
        <v>160</v>
      </c>
      <c r="O59" s="149" t="s">
        <v>117</v>
      </c>
      <c r="P59" s="1061" t="s">
        <v>1831</v>
      </c>
      <c r="Q59" s="1171"/>
      <c r="R59" s="104" t="s">
        <v>16</v>
      </c>
      <c r="S59" s="32" t="str">
        <f>S16</f>
        <v>N NUESTRA MORCILLA | | Autor &gt; Guy KRENZE - Eric GODDYN - Arnaud NICOLAS - CEPROC 2002</v>
      </c>
      <c r="T59" s="33">
        <f>T16</f>
        <v>16.34</v>
      </c>
      <c r="U59" s="32" t="str">
        <f>U16</f>
        <v>Kg</v>
      </c>
      <c r="V59" s="34" t="str">
        <f>V16</f>
        <v>Receta madre ► Morcilla en 4 versiones</v>
      </c>
      <c r="W59" s="142" t="s">
        <v>145</v>
      </c>
      <c r="X59" s="117" t="s">
        <v>107</v>
      </c>
      <c r="Y59" s="141" t="s">
        <v>144</v>
      </c>
      <c r="Z59" s="143" t="s">
        <v>1343</v>
      </c>
      <c r="AA59" s="109" t="s">
        <v>1354</v>
      </c>
      <c r="AB59" s="109" t="s">
        <v>1355</v>
      </c>
      <c r="AC59" s="109" t="s">
        <v>1353</v>
      </c>
      <c r="AD59" s="149" t="s">
        <v>1351</v>
      </c>
      <c r="AE59" s="123" t="s">
        <v>1350</v>
      </c>
      <c r="AF59" s="1061" t="s">
        <v>1833</v>
      </c>
      <c r="AG59" s="1171"/>
      <c r="AH59" s="104"/>
      <c r="AI59" s="1172"/>
      <c r="AJ59" s="1172"/>
      <c r="AK59" s="1172"/>
      <c r="AL59" s="1173"/>
      <c r="AM59" s="1174"/>
      <c r="AN59" s="1175"/>
      <c r="AO59" s="1176"/>
      <c r="AP59" s="1177"/>
      <c r="AQ59" s="1547"/>
      <c r="AR59" s="1177"/>
      <c r="AS59" s="1548"/>
      <c r="AT59" s="1549"/>
      <c r="AU59" s="1178"/>
      <c r="AV59" s="1179"/>
      <c r="AY59" s="3">
        <v>1</v>
      </c>
    </row>
    <row r="60" spans="2:51" ht="27" customHeight="1">
      <c r="B60" s="104" t="s">
        <v>16</v>
      </c>
      <c r="C60" s="32" t="str">
        <f>C16</f>
        <v>N NOTRE BOUDIN NOIR | | Auteur &gt; Guy KRENZE - Eric GODDYN - Arnaud NICOLAS - CEPROC 2002</v>
      </c>
      <c r="D60" s="33">
        <f>D16</f>
        <v>16.34</v>
      </c>
      <c r="E60" s="32" t="str">
        <f>E16</f>
        <v>Kg</v>
      </c>
      <c r="F60" s="34" t="str">
        <f>F16</f>
        <v>Recette mère ► le Boudin en 4 déclinaisons</v>
      </c>
      <c r="G60" s="912">
        <v>0.25</v>
      </c>
      <c r="H60" s="912">
        <v>0.5</v>
      </c>
      <c r="I60" s="913">
        <v>0</v>
      </c>
      <c r="J60" s="914">
        <v>0.2</v>
      </c>
      <c r="K60" s="914">
        <v>0.1</v>
      </c>
      <c r="L60" s="914">
        <v>0.22500000000000001</v>
      </c>
      <c r="M60" s="914">
        <v>1.4999999999999999E-2</v>
      </c>
      <c r="N60" s="914">
        <v>4.9299999999999995E-3</v>
      </c>
      <c r="O60" s="914">
        <v>0.35</v>
      </c>
      <c r="P60" s="915">
        <v>0.25</v>
      </c>
      <c r="Q60" s="1171"/>
      <c r="R60" s="104" t="s">
        <v>16</v>
      </c>
      <c r="S60" s="32" t="str">
        <f>S16</f>
        <v>N NUESTRA MORCILLA | | Autor &gt; Guy KRENZE - Eric GODDYN - Arnaud NICOLAS - CEPROC 2002</v>
      </c>
      <c r="T60" s="33">
        <f>T16</f>
        <v>16.34</v>
      </c>
      <c r="U60" s="32" t="str">
        <f>U16</f>
        <v>Kg</v>
      </c>
      <c r="V60" s="34" t="str">
        <f>V16</f>
        <v>Receta madre ► Morcilla en 4 versiones</v>
      </c>
      <c r="W60" s="912">
        <v>0.25</v>
      </c>
      <c r="X60" s="912">
        <v>0.5</v>
      </c>
      <c r="Y60" s="913">
        <v>0</v>
      </c>
      <c r="Z60" s="914">
        <v>0.2</v>
      </c>
      <c r="AA60" s="914">
        <v>0.1</v>
      </c>
      <c r="AB60" s="914">
        <v>0.22500000000000001</v>
      </c>
      <c r="AC60" s="914">
        <v>1.4999999999999999E-2</v>
      </c>
      <c r="AD60" s="914">
        <v>4.9299999999999995E-3</v>
      </c>
      <c r="AE60" s="914">
        <v>0.35</v>
      </c>
      <c r="AF60" s="915">
        <v>0.25</v>
      </c>
      <c r="AG60" s="1171"/>
      <c r="AH60" s="104"/>
      <c r="AI60" s="1172"/>
      <c r="AJ60" s="1172"/>
      <c r="AK60" s="1172"/>
      <c r="AL60" s="1173"/>
      <c r="AM60" s="1174"/>
      <c r="AN60" s="1175"/>
      <c r="AO60" s="1176"/>
      <c r="AP60" s="1177"/>
      <c r="AQ60" s="1547"/>
      <c r="AR60" s="1177"/>
      <c r="AS60" s="1548"/>
      <c r="AT60" s="1549"/>
      <c r="AU60" s="1178"/>
      <c r="AV60" s="1179"/>
      <c r="AY60" s="3">
        <v>1</v>
      </c>
    </row>
    <row r="61" spans="2:51" ht="27" customHeight="1">
      <c r="B61" s="104" t="s">
        <v>16</v>
      </c>
      <c r="C61" s="32" t="str">
        <f>C16</f>
        <v>N NOTRE BOUDIN NOIR | | Auteur &gt; Guy KRENZE - Eric GODDYN - Arnaud NICOLAS - CEPROC 2002</v>
      </c>
      <c r="D61" s="33">
        <f>D16</f>
        <v>16.34</v>
      </c>
      <c r="E61" s="32" t="str">
        <f>E16</f>
        <v>Kg</v>
      </c>
      <c r="F61" s="34" t="str">
        <f>F16</f>
        <v>Recette mère ► le Boudin en 4 déclinaisons</v>
      </c>
      <c r="G61" s="5135" t="str">
        <f>G17</f>
        <v>Col.6</v>
      </c>
      <c r="H61" s="5135" t="str">
        <f>H17</f>
        <v>Col.7</v>
      </c>
      <c r="I61" s="5136" t="s">
        <v>3295</v>
      </c>
      <c r="J61" s="5136"/>
      <c r="K61" s="5136"/>
      <c r="L61" s="5136"/>
      <c r="M61" s="5136"/>
      <c r="N61" s="5136"/>
      <c r="O61" s="5136"/>
      <c r="P61" s="5137"/>
      <c r="Q61" s="1171"/>
      <c r="R61" s="104" t="s">
        <v>16</v>
      </c>
      <c r="S61" s="32" t="str">
        <f>S16</f>
        <v>N NUESTRA MORCILLA | | Autor &gt; Guy KRENZE - Eric GODDYN - Arnaud NICOLAS - CEPROC 2002</v>
      </c>
      <c r="T61" s="33">
        <f>T16</f>
        <v>16.34</v>
      </c>
      <c r="U61" s="32" t="str">
        <f>U16</f>
        <v>Kg</v>
      </c>
      <c r="V61" s="34" t="str">
        <f>V16</f>
        <v>Receta madre ► Morcilla en 4 versiones</v>
      </c>
      <c r="W61" s="5135" t="str">
        <f>W17</f>
        <v>Col.6</v>
      </c>
      <c r="X61" s="5135" t="str">
        <f>X17</f>
        <v>Col.7</v>
      </c>
      <c r="Y61" s="5136" t="s">
        <v>13212</v>
      </c>
      <c r="Z61" s="5136"/>
      <c r="AA61" s="5136"/>
      <c r="AB61" s="5136"/>
      <c r="AC61" s="5136"/>
      <c r="AD61" s="5136"/>
      <c r="AE61" s="5136"/>
      <c r="AF61" s="5137"/>
      <c r="AG61" s="1171"/>
      <c r="AH61" s="104"/>
      <c r="AI61" s="1172"/>
      <c r="AJ61" s="1172"/>
      <c r="AK61" s="1172"/>
      <c r="AL61" s="1173"/>
      <c r="AM61" s="1174"/>
      <c r="AN61" s="1175"/>
      <c r="AO61" s="1176"/>
      <c r="AP61" s="1177"/>
      <c r="AQ61" s="1547"/>
      <c r="AR61" s="1177"/>
      <c r="AS61" s="1548"/>
      <c r="AT61" s="1549"/>
      <c r="AU61" s="1178"/>
      <c r="AV61" s="1179"/>
      <c r="AY61" s="3">
        <v>1</v>
      </c>
    </row>
    <row r="62" spans="2:51" ht="27" customHeight="1">
      <c r="B62" s="104" t="s">
        <v>11</v>
      </c>
      <c r="C62" s="5146" t="str">
        <f>C16</f>
        <v>N NOTRE BOUDIN NOIR | | Auteur &gt; Guy KRENZE - Eric GODDYN - Arnaud NICOLAS - CEPROC 2002</v>
      </c>
      <c r="D62" s="5146">
        <f>D16</f>
        <v>16.34</v>
      </c>
      <c r="E62" s="5147" t="str">
        <f>E16</f>
        <v>Kg</v>
      </c>
      <c r="F62" s="5148" t="str">
        <f>F16</f>
        <v>Recette mère ► le Boudin en 4 déclinaisons</v>
      </c>
      <c r="G62" s="5149">
        <v>0</v>
      </c>
      <c r="H62" s="976" t="s">
        <v>3328</v>
      </c>
      <c r="I62" s="162"/>
      <c r="J62" s="162"/>
      <c r="K62" s="5150"/>
      <c r="L62" s="5150"/>
      <c r="M62" s="5150"/>
      <c r="N62" s="5150"/>
      <c r="O62" s="5151" t="s">
        <v>165</v>
      </c>
      <c r="P62" s="1484" t="s">
        <v>3276</v>
      </c>
      <c r="Q62" s="1171"/>
      <c r="R62" s="104" t="s">
        <v>11</v>
      </c>
      <c r="S62" s="5146" t="str">
        <f>S16</f>
        <v>N NUESTRA MORCILLA | | Autor &gt; Guy KRENZE - Eric GODDYN - Arnaud NICOLAS - CEPROC 2002</v>
      </c>
      <c r="T62" s="5146">
        <f>T16</f>
        <v>16.34</v>
      </c>
      <c r="U62" s="5147" t="str">
        <f>U16</f>
        <v>Kg</v>
      </c>
      <c r="V62" s="5148" t="str">
        <f>V16</f>
        <v>Receta madre ► Morcilla en 4 versiones</v>
      </c>
      <c r="W62" s="5149">
        <v>0</v>
      </c>
      <c r="X62" s="976" t="s">
        <v>3325</v>
      </c>
      <c r="Y62" s="162"/>
      <c r="Z62" s="162"/>
      <c r="AA62" s="5150"/>
      <c r="AB62" s="5150"/>
      <c r="AC62" s="5150"/>
      <c r="AD62" s="5150"/>
      <c r="AE62" s="5151" t="s">
        <v>908</v>
      </c>
      <c r="AF62" s="1484" t="s">
        <v>3276</v>
      </c>
      <c r="AG62" s="1171"/>
      <c r="AH62" s="104"/>
      <c r="AI62" s="1172"/>
      <c r="AJ62" s="1172"/>
      <c r="AK62" s="1172"/>
      <c r="AL62" s="1173"/>
      <c r="AM62" s="1174"/>
      <c r="AN62" s="1175"/>
      <c r="AO62" s="1176"/>
      <c r="AP62" s="1177"/>
      <c r="AQ62" s="1547"/>
      <c r="AR62" s="1177"/>
      <c r="AS62" s="1548"/>
      <c r="AT62" s="1549"/>
      <c r="AU62" s="1178"/>
      <c r="AV62" s="1179"/>
      <c r="AY62" s="3">
        <v>1</v>
      </c>
    </row>
    <row r="63" spans="2:51" ht="27" customHeight="1">
      <c r="B63" s="104" t="str">
        <f>IF(COUNTIF(H63:L63,"&lt;&gt;")&gt;0,"A","►")</f>
        <v>A</v>
      </c>
      <c r="C63" s="5146" t="str">
        <f>C16</f>
        <v>N NOTRE BOUDIN NOIR | | Auteur &gt; Guy KRENZE - Eric GODDYN - Arnaud NICOLAS - CEPROC 2002</v>
      </c>
      <c r="D63" s="5146">
        <f>D16</f>
        <v>16.34</v>
      </c>
      <c r="E63" s="5147" t="str">
        <f>E16</f>
        <v>Kg</v>
      </c>
      <c r="F63" s="5148" t="str">
        <f>F16</f>
        <v>Recette mère ► le Boudin en 4 déclinaisons</v>
      </c>
      <c r="G63" s="5128">
        <f>IF(ISBLANK(H63),"",LARGE(G62:G62,1)+1)</f>
        <v>1</v>
      </c>
      <c r="H63" s="5040" t="s">
        <v>13085</v>
      </c>
      <c r="I63" s="172"/>
      <c r="J63" s="172"/>
      <c r="K63" s="172"/>
      <c r="L63" s="172"/>
      <c r="M63" s="172"/>
      <c r="N63" s="172"/>
      <c r="O63" s="1474" t="s">
        <v>168</v>
      </c>
      <c r="P63" s="1482" t="s">
        <v>668</v>
      </c>
      <c r="Q63" s="1171"/>
      <c r="R63" s="104" t="str">
        <f>IF(COUNTIF(X63:AB63,"&lt;&gt;")&gt;0,"A","►")</f>
        <v>A</v>
      </c>
      <c r="S63" s="5146" t="str">
        <f>S16</f>
        <v>N NUESTRA MORCILLA | | Autor &gt; Guy KRENZE - Eric GODDYN - Arnaud NICOLAS - CEPROC 2002</v>
      </c>
      <c r="T63" s="5146">
        <f>T16</f>
        <v>16.34</v>
      </c>
      <c r="U63" s="5147" t="str">
        <f>U16</f>
        <v>Kg</v>
      </c>
      <c r="V63" s="5148" t="str">
        <f>V16</f>
        <v>Receta madre ► Morcilla en 4 versiones</v>
      </c>
      <c r="W63" s="5128">
        <f>IF(ISBLANK(X63),"",LARGE(W62:W62,1)+1)</f>
        <v>1</v>
      </c>
      <c r="X63" s="5040" t="s">
        <v>13214</v>
      </c>
      <c r="Y63" s="172"/>
      <c r="Z63" s="172"/>
      <c r="AA63" s="172"/>
      <c r="AB63" s="172"/>
      <c r="AC63" s="172"/>
      <c r="AD63" s="172"/>
      <c r="AE63" s="1474" t="s">
        <v>13213</v>
      </c>
      <c r="AF63" s="1482" t="s">
        <v>668</v>
      </c>
      <c r="AG63" s="1171"/>
      <c r="AH63" s="104"/>
      <c r="AI63" s="1172"/>
      <c r="AJ63" s="1172"/>
      <c r="AK63" s="1172"/>
      <c r="AL63" s="1173"/>
      <c r="AM63" s="1174"/>
      <c r="AN63" s="1175"/>
      <c r="AO63" s="1176"/>
      <c r="AP63" s="1177"/>
      <c r="AQ63" s="1547"/>
      <c r="AR63" s="1177"/>
      <c r="AS63" s="1548"/>
      <c r="AT63" s="1549"/>
      <c r="AU63" s="1178"/>
      <c r="AV63" s="1179"/>
      <c r="AY63" s="3">
        <v>1</v>
      </c>
    </row>
    <row r="64" spans="2:51" ht="27" customHeight="1">
      <c r="B64" s="104" t="str">
        <f t="shared" ref="B64:B96" si="10">IF(COUNTIF(H64:L64,"&lt;&gt;")&gt;0,"A","►")</f>
        <v>A</v>
      </c>
      <c r="C64" s="157" t="str">
        <f>C16</f>
        <v>N NOTRE BOUDIN NOIR | | Auteur &gt; Guy KRENZE - Eric GODDYN - Arnaud NICOLAS - CEPROC 2002</v>
      </c>
      <c r="D64" s="157">
        <f>D16</f>
        <v>16.34</v>
      </c>
      <c r="E64" s="158" t="str">
        <f>E16</f>
        <v>Kg</v>
      </c>
      <c r="F64" s="159" t="str">
        <f>F16</f>
        <v>Recette mère ► le Boudin en 4 déclinaisons</v>
      </c>
      <c r="G64" s="5128">
        <f>IF(ISBLANK(H64),"",LARGE(G62:G63,1)+1)</f>
        <v>2</v>
      </c>
      <c r="H64" s="5040" t="s">
        <v>13086</v>
      </c>
      <c r="I64" s="172"/>
      <c r="J64" s="172"/>
      <c r="K64" s="172"/>
      <c r="L64" s="172"/>
      <c r="M64" s="172"/>
      <c r="N64" s="172"/>
      <c r="O64" s="172"/>
      <c r="P64" s="555"/>
      <c r="Q64" s="1171"/>
      <c r="R64" s="104" t="str">
        <f t="shared" ref="R64:R96" si="11">IF(COUNTIF(X64:AB64,"&lt;&gt;")&gt;0,"A","►")</f>
        <v>A</v>
      </c>
      <c r="S64" s="157" t="str">
        <f>S16</f>
        <v>N NUESTRA MORCILLA | | Autor &gt; Guy KRENZE - Eric GODDYN - Arnaud NICOLAS - CEPROC 2002</v>
      </c>
      <c r="T64" s="157">
        <f>T16</f>
        <v>16.34</v>
      </c>
      <c r="U64" s="158" t="str">
        <f>U16</f>
        <v>Kg</v>
      </c>
      <c r="V64" s="159" t="str">
        <f>V16</f>
        <v>Receta madre ► Morcilla en 4 versiones</v>
      </c>
      <c r="W64" s="5128">
        <f>IF(ISBLANK(X64),"",LARGE(W62:W63,1)+1)</f>
        <v>2</v>
      </c>
      <c r="X64" s="5040" t="s">
        <v>13215</v>
      </c>
      <c r="Y64" s="172"/>
      <c r="Z64" s="172"/>
      <c r="AA64" s="172"/>
      <c r="AB64" s="172"/>
      <c r="AC64" s="172"/>
      <c r="AD64" s="172"/>
      <c r="AE64" s="172"/>
      <c r="AF64" s="555"/>
      <c r="AG64" s="1171"/>
      <c r="AH64" s="104"/>
      <c r="AI64" s="1172"/>
      <c r="AJ64" s="1172"/>
      <c r="AK64" s="1172"/>
      <c r="AL64" s="1173"/>
      <c r="AM64" s="1174"/>
      <c r="AN64" s="1175"/>
      <c r="AO64" s="1176"/>
      <c r="AP64" s="1177"/>
      <c r="AQ64" s="1547"/>
      <c r="AR64" s="1177"/>
      <c r="AS64" s="1548"/>
      <c r="AT64" s="1549"/>
      <c r="AU64" s="1178"/>
      <c r="AV64" s="1179"/>
      <c r="AY64" s="3">
        <v>1</v>
      </c>
    </row>
    <row r="65" spans="2:51" ht="27" customHeight="1">
      <c r="B65" s="104" t="str">
        <f t="shared" si="10"/>
        <v>A</v>
      </c>
      <c r="C65" s="157" t="str">
        <f>C16</f>
        <v>N NOTRE BOUDIN NOIR | | Auteur &gt; Guy KRENZE - Eric GODDYN - Arnaud NICOLAS - CEPROC 2002</v>
      </c>
      <c r="D65" s="157">
        <f>D16</f>
        <v>16.34</v>
      </c>
      <c r="E65" s="158" t="str">
        <f>E16</f>
        <v>Kg</v>
      </c>
      <c r="F65" s="159" t="str">
        <f>F16</f>
        <v>Recette mère ► le Boudin en 4 déclinaisons</v>
      </c>
      <c r="G65" s="5128">
        <f>IF(ISBLANK(H65),"",LARGE(G62:G64,1)+1)</f>
        <v>3</v>
      </c>
      <c r="H65" s="5040" t="s">
        <v>13087</v>
      </c>
      <c r="I65" s="172"/>
      <c r="J65" s="172"/>
      <c r="K65" s="172"/>
      <c r="L65" s="172"/>
      <c r="M65" s="172"/>
      <c r="N65" s="172"/>
      <c r="O65" s="170" t="s">
        <v>172</v>
      </c>
      <c r="P65" s="171">
        <v>3.472222222222222E-3</v>
      </c>
      <c r="Q65" s="1171"/>
      <c r="R65" s="104" t="str">
        <f t="shared" si="11"/>
        <v>A</v>
      </c>
      <c r="S65" s="157" t="str">
        <f>S16</f>
        <v>N NUESTRA MORCILLA | | Autor &gt; Guy KRENZE - Eric GODDYN - Arnaud NICOLAS - CEPROC 2002</v>
      </c>
      <c r="T65" s="157">
        <f>T16</f>
        <v>16.34</v>
      </c>
      <c r="U65" s="158" t="str">
        <f>U16</f>
        <v>Kg</v>
      </c>
      <c r="V65" s="159" t="str">
        <f>V16</f>
        <v>Receta madre ► Morcilla en 4 versiones</v>
      </c>
      <c r="W65" s="5128">
        <f>IF(ISBLANK(X65),"",LARGE(W62:W64,1)+1)</f>
        <v>3</v>
      </c>
      <c r="X65" s="5040" t="s">
        <v>13216</v>
      </c>
      <c r="Y65" s="172"/>
      <c r="Z65" s="172"/>
      <c r="AA65" s="172"/>
      <c r="AB65" s="172"/>
      <c r="AC65" s="172"/>
      <c r="AD65" s="172"/>
      <c r="AE65" s="170" t="s">
        <v>677</v>
      </c>
      <c r="AF65" s="171">
        <v>3.472222222222222E-3</v>
      </c>
      <c r="AG65" s="1171"/>
      <c r="AH65" s="104"/>
      <c r="AI65" s="1172"/>
      <c r="AJ65" s="1172"/>
      <c r="AK65" s="1172"/>
      <c r="AL65" s="1173"/>
      <c r="AM65" s="1174"/>
      <c r="AN65" s="1175"/>
      <c r="AO65" s="1176"/>
      <c r="AP65" s="1177"/>
      <c r="AQ65" s="1547"/>
      <c r="AR65" s="1177"/>
      <c r="AS65" s="1548"/>
      <c r="AT65" s="1549"/>
      <c r="AU65" s="1178"/>
      <c r="AV65" s="1179"/>
      <c r="AY65" s="3">
        <v>1</v>
      </c>
    </row>
    <row r="66" spans="2:51" ht="27" customHeight="1">
      <c r="B66" s="104" t="str">
        <f t="shared" si="10"/>
        <v>A</v>
      </c>
      <c r="C66" s="157" t="str">
        <f>C16</f>
        <v>N NOTRE BOUDIN NOIR | | Auteur &gt; Guy KRENZE - Eric GODDYN - Arnaud NICOLAS - CEPROC 2002</v>
      </c>
      <c r="D66" s="157">
        <f>D16</f>
        <v>16.34</v>
      </c>
      <c r="E66" s="158" t="str">
        <f>E16</f>
        <v>Kg</v>
      </c>
      <c r="F66" s="159" t="str">
        <f>F16</f>
        <v>Recette mère ► le Boudin en 4 déclinaisons</v>
      </c>
      <c r="G66" s="5128">
        <f>IF(ISBLANK(H66),"",LARGE(G62:G65,1)+1)</f>
        <v>4</v>
      </c>
      <c r="H66" s="5040" t="s">
        <v>13088</v>
      </c>
      <c r="I66" s="172"/>
      <c r="J66" s="172"/>
      <c r="K66" s="172"/>
      <c r="L66" s="172"/>
      <c r="M66" s="172"/>
      <c r="N66" s="172"/>
      <c r="O66" s="170" t="s">
        <v>174</v>
      </c>
      <c r="P66" s="174">
        <v>3.472222222222222E-3</v>
      </c>
      <c r="Q66" s="1171"/>
      <c r="R66" s="104" t="str">
        <f t="shared" si="11"/>
        <v>A</v>
      </c>
      <c r="S66" s="157" t="str">
        <f>S16</f>
        <v>N NUESTRA MORCILLA | | Autor &gt; Guy KRENZE - Eric GODDYN - Arnaud NICOLAS - CEPROC 2002</v>
      </c>
      <c r="T66" s="157">
        <f>T16</f>
        <v>16.34</v>
      </c>
      <c r="U66" s="158" t="str">
        <f>U16</f>
        <v>Kg</v>
      </c>
      <c r="V66" s="159" t="str">
        <f>V16</f>
        <v>Receta madre ► Morcilla en 4 versiones</v>
      </c>
      <c r="W66" s="5128">
        <f>IF(ISBLANK(X66),"",LARGE(W62:W65,1)+1)</f>
        <v>4</v>
      </c>
      <c r="X66" s="5040" t="s">
        <v>13217</v>
      </c>
      <c r="Y66" s="172"/>
      <c r="Z66" s="172"/>
      <c r="AA66" s="172"/>
      <c r="AB66" s="172"/>
      <c r="AC66" s="172"/>
      <c r="AD66" s="172"/>
      <c r="AE66" s="170" t="s">
        <v>683</v>
      </c>
      <c r="AF66" s="174">
        <v>3.472222222222222E-3</v>
      </c>
      <c r="AH66" s="104"/>
      <c r="AI66" s="1172"/>
      <c r="AJ66" s="1172"/>
      <c r="AK66" s="1172"/>
      <c r="AL66" s="1173"/>
      <c r="AM66" s="1174"/>
      <c r="AN66" s="1175"/>
      <c r="AO66" s="1176"/>
      <c r="AP66" s="1177"/>
      <c r="AQ66" s="1547"/>
      <c r="AR66" s="1177"/>
      <c r="AS66" s="1548"/>
      <c r="AT66" s="1549"/>
      <c r="AU66" s="1178"/>
      <c r="AV66" s="1179"/>
      <c r="AY66" s="3">
        <v>1</v>
      </c>
    </row>
    <row r="67" spans="2:51" ht="27" customHeight="1">
      <c r="B67" s="104" t="str">
        <f t="shared" si="10"/>
        <v>A</v>
      </c>
      <c r="C67" s="157" t="str">
        <f>C16</f>
        <v>N NOTRE BOUDIN NOIR | | Auteur &gt; Guy KRENZE - Eric GODDYN - Arnaud NICOLAS - CEPROC 2002</v>
      </c>
      <c r="D67" s="157">
        <f>D16</f>
        <v>16.34</v>
      </c>
      <c r="E67" s="158" t="str">
        <f>E16</f>
        <v>Kg</v>
      </c>
      <c r="F67" s="159" t="str">
        <f>F16</f>
        <v>Recette mère ► le Boudin en 4 déclinaisons</v>
      </c>
      <c r="G67" s="5128">
        <f>IF(ISBLANK(H67),"",LARGE(G62:G66,1)+1)</f>
        <v>5</v>
      </c>
      <c r="H67" s="5040" t="s">
        <v>13095</v>
      </c>
      <c r="I67" s="172"/>
      <c r="J67" s="172"/>
      <c r="K67" s="172"/>
      <c r="L67" s="172"/>
      <c r="M67" s="172"/>
      <c r="N67" s="172"/>
      <c r="O67" s="170" t="s">
        <v>182</v>
      </c>
      <c r="P67" s="175">
        <v>3.472222222222222E-3</v>
      </c>
      <c r="Q67" s="1171"/>
      <c r="R67" s="104" t="str">
        <f t="shared" si="11"/>
        <v>A</v>
      </c>
      <c r="S67" s="157" t="str">
        <f>S16</f>
        <v>N NUESTRA MORCILLA | | Autor &gt; Guy KRENZE - Eric GODDYN - Arnaud NICOLAS - CEPROC 2002</v>
      </c>
      <c r="T67" s="157">
        <f>T16</f>
        <v>16.34</v>
      </c>
      <c r="U67" s="158" t="str">
        <f>U16</f>
        <v>Kg</v>
      </c>
      <c r="V67" s="159" t="str">
        <f>V16</f>
        <v>Receta madre ► Morcilla en 4 versiones</v>
      </c>
      <c r="W67" s="5128">
        <f>IF(ISBLANK(X67),"",LARGE(W62:W66,1)+1)</f>
        <v>5</v>
      </c>
      <c r="X67" s="5040" t="s">
        <v>13218</v>
      </c>
      <c r="Y67" s="172"/>
      <c r="Z67" s="172"/>
      <c r="AA67" s="172"/>
      <c r="AB67" s="172"/>
      <c r="AC67" s="172"/>
      <c r="AD67" s="172"/>
      <c r="AE67" s="170" t="s">
        <v>685</v>
      </c>
      <c r="AF67" s="175">
        <v>3.472222222222222E-3</v>
      </c>
      <c r="AH67" s="104"/>
      <c r="AI67" s="1172"/>
      <c r="AJ67" s="1172"/>
      <c r="AK67" s="1172"/>
      <c r="AL67" s="1173"/>
      <c r="AM67" s="1174"/>
      <c r="AN67" s="1175"/>
      <c r="AO67" s="1176"/>
      <c r="AP67" s="1177"/>
      <c r="AQ67" s="1547"/>
      <c r="AR67" s="1177"/>
      <c r="AS67" s="1548"/>
      <c r="AT67" s="1549"/>
      <c r="AU67" s="1178"/>
      <c r="AV67" s="1179"/>
      <c r="AY67" s="3">
        <v>1</v>
      </c>
    </row>
    <row r="68" spans="2:51" ht="27" customHeight="1">
      <c r="B68" s="104" t="str">
        <f t="shared" si="10"/>
        <v>A</v>
      </c>
      <c r="C68" s="157" t="str">
        <f>C16</f>
        <v>N NOTRE BOUDIN NOIR | | Auteur &gt; Guy KRENZE - Eric GODDYN - Arnaud NICOLAS - CEPROC 2002</v>
      </c>
      <c r="D68" s="157">
        <f>D16</f>
        <v>16.34</v>
      </c>
      <c r="E68" s="158" t="str">
        <f>E16</f>
        <v>Kg</v>
      </c>
      <c r="F68" s="159" t="str">
        <f>F16</f>
        <v>Recette mère ► le Boudin en 4 déclinaisons</v>
      </c>
      <c r="G68" s="5128">
        <f>IF(ISBLANK(H68),"",LARGE(G62:G67,1)+1)</f>
        <v>6</v>
      </c>
      <c r="H68" s="5040" t="s">
        <v>13089</v>
      </c>
      <c r="I68" s="172"/>
      <c r="J68" s="172"/>
      <c r="K68" s="172"/>
      <c r="L68" s="172"/>
      <c r="M68" s="172"/>
      <c r="N68" s="172"/>
      <c r="O68" s="176" t="s">
        <v>183</v>
      </c>
      <c r="P68" s="177">
        <f>P65+P66+P67</f>
        <v>1.0416666666666666E-2</v>
      </c>
      <c r="Q68" s="1171"/>
      <c r="R68" s="104" t="str">
        <f t="shared" si="11"/>
        <v>A</v>
      </c>
      <c r="S68" s="157" t="str">
        <f>S16</f>
        <v>N NUESTRA MORCILLA | | Autor &gt; Guy KRENZE - Eric GODDYN - Arnaud NICOLAS - CEPROC 2002</v>
      </c>
      <c r="T68" s="157">
        <f>T16</f>
        <v>16.34</v>
      </c>
      <c r="U68" s="158" t="str">
        <f>U16</f>
        <v>Kg</v>
      </c>
      <c r="V68" s="159" t="str">
        <f>V16</f>
        <v>Receta madre ► Morcilla en 4 versiones</v>
      </c>
      <c r="W68" s="5128">
        <f>IF(ISBLANK(X68),"",LARGE(W62:W67,1)+1)</f>
        <v>6</v>
      </c>
      <c r="X68" s="5040" t="s">
        <v>13219</v>
      </c>
      <c r="Y68" s="172"/>
      <c r="Z68" s="172"/>
      <c r="AA68" s="172"/>
      <c r="AB68" s="172"/>
      <c r="AC68" s="172"/>
      <c r="AD68" s="172"/>
      <c r="AE68" s="176" t="s">
        <v>183</v>
      </c>
      <c r="AF68" s="177">
        <f>AF65+AF66+AF67</f>
        <v>1.0416666666666666E-2</v>
      </c>
      <c r="AH68" s="104"/>
      <c r="AI68" s="1172"/>
      <c r="AJ68" s="1172"/>
      <c r="AK68" s="1172"/>
      <c r="AL68" s="1173"/>
      <c r="AM68" s="1174"/>
      <c r="AN68" s="1175"/>
      <c r="AO68" s="1176"/>
      <c r="AP68" s="1177"/>
      <c r="AQ68" s="1547"/>
      <c r="AR68" s="1177"/>
      <c r="AS68" s="1548"/>
      <c r="AT68" s="1549"/>
      <c r="AU68" s="1178"/>
      <c r="AV68" s="1179"/>
      <c r="AY68" s="3">
        <v>1</v>
      </c>
    </row>
    <row r="69" spans="2:51" ht="27" customHeight="1">
      <c r="B69" s="104" t="str">
        <f t="shared" si="10"/>
        <v>A</v>
      </c>
      <c r="C69" s="157" t="str">
        <f>C16</f>
        <v>N NOTRE BOUDIN NOIR | | Auteur &gt; Guy KRENZE - Eric GODDYN - Arnaud NICOLAS - CEPROC 2002</v>
      </c>
      <c r="D69" s="157">
        <f>D16</f>
        <v>16.34</v>
      </c>
      <c r="E69" s="158" t="str">
        <f>E16</f>
        <v>Kg</v>
      </c>
      <c r="F69" s="159" t="str">
        <f>F16</f>
        <v>Recette mère ► le Boudin en 4 déclinaisons</v>
      </c>
      <c r="G69" s="5128">
        <f>IF(ISBLANK(H69),"",LARGE(G62:G68,1)+1)</f>
        <v>7</v>
      </c>
      <c r="H69" s="5040" t="s">
        <v>13090</v>
      </c>
      <c r="I69" s="172"/>
      <c r="J69" s="172"/>
      <c r="K69" s="172"/>
      <c r="L69" s="172"/>
      <c r="M69" s="172"/>
      <c r="N69" s="172"/>
      <c r="O69" s="172"/>
      <c r="P69" s="555"/>
      <c r="Q69" s="1171"/>
      <c r="R69" s="104" t="str">
        <f t="shared" si="11"/>
        <v>A</v>
      </c>
      <c r="S69" s="157" t="str">
        <f>S16</f>
        <v>N NUESTRA MORCILLA | | Autor &gt; Guy KRENZE - Eric GODDYN - Arnaud NICOLAS - CEPROC 2002</v>
      </c>
      <c r="T69" s="157">
        <f>T16</f>
        <v>16.34</v>
      </c>
      <c r="U69" s="158" t="str">
        <f>U16</f>
        <v>Kg</v>
      </c>
      <c r="V69" s="159" t="str">
        <f>V16</f>
        <v>Receta madre ► Morcilla en 4 versiones</v>
      </c>
      <c r="W69" s="5128">
        <f>IF(ISBLANK(X69),"",LARGE(W62:W68,1)+1)</f>
        <v>7</v>
      </c>
      <c r="X69" s="5040" t="s">
        <v>13220</v>
      </c>
      <c r="Y69" s="172"/>
      <c r="Z69" s="172"/>
      <c r="AA69" s="172"/>
      <c r="AB69" s="172"/>
      <c r="AC69" s="172"/>
      <c r="AD69" s="172"/>
      <c r="AE69" s="172"/>
      <c r="AF69" s="555"/>
      <c r="AG69" s="1171"/>
      <c r="AH69" s="104"/>
      <c r="AI69" s="1172"/>
      <c r="AJ69" s="1172"/>
      <c r="AK69" s="1172"/>
      <c r="AL69" s="1173"/>
      <c r="AM69" s="1174"/>
      <c r="AN69" s="1175"/>
      <c r="AO69" s="1176"/>
      <c r="AP69" s="1177"/>
      <c r="AQ69" s="1547"/>
      <c r="AR69" s="1177"/>
      <c r="AS69" s="1548"/>
      <c r="AT69" s="1549"/>
      <c r="AU69" s="1178"/>
      <c r="AV69" s="1179"/>
      <c r="AY69" s="3">
        <v>1</v>
      </c>
    </row>
    <row r="70" spans="2:51" ht="27" customHeight="1">
      <c r="B70" s="104" t="str">
        <f t="shared" si="10"/>
        <v>A</v>
      </c>
      <c r="C70" s="157" t="str">
        <f>C16</f>
        <v>N NOTRE BOUDIN NOIR | | Auteur &gt; Guy KRENZE - Eric GODDYN - Arnaud NICOLAS - CEPROC 2002</v>
      </c>
      <c r="D70" s="157">
        <f>D16</f>
        <v>16.34</v>
      </c>
      <c r="E70" s="158" t="str">
        <f>E16</f>
        <v>Kg</v>
      </c>
      <c r="F70" s="159" t="str">
        <f>F16</f>
        <v>Recette mère ► le Boudin en 4 déclinaisons</v>
      </c>
      <c r="G70" s="5128">
        <f>IF(ISBLANK(H70),"",LARGE(G62:G69,1)+1)</f>
        <v>8</v>
      </c>
      <c r="H70" s="5040" t="s">
        <v>13091</v>
      </c>
      <c r="I70" s="172"/>
      <c r="J70" s="172"/>
      <c r="K70" s="172"/>
      <c r="L70" s="172"/>
      <c r="M70" s="172"/>
      <c r="N70" s="172"/>
      <c r="O70" s="172"/>
      <c r="P70" s="555"/>
      <c r="Q70" s="1171"/>
      <c r="R70" s="104" t="str">
        <f t="shared" si="11"/>
        <v>A</v>
      </c>
      <c r="S70" s="157" t="str">
        <f>S16</f>
        <v>N NUESTRA MORCILLA | | Autor &gt; Guy KRENZE - Eric GODDYN - Arnaud NICOLAS - CEPROC 2002</v>
      </c>
      <c r="T70" s="157">
        <f>T16</f>
        <v>16.34</v>
      </c>
      <c r="U70" s="158" t="str">
        <f>U16</f>
        <v>Kg</v>
      </c>
      <c r="V70" s="159" t="str">
        <f>V16</f>
        <v>Receta madre ► Morcilla en 4 versiones</v>
      </c>
      <c r="W70" s="5128">
        <f>IF(ISBLANK(X70),"",LARGE(W62:W69,1)+1)</f>
        <v>8</v>
      </c>
      <c r="X70" s="5040" t="s">
        <v>13221</v>
      </c>
      <c r="Y70" s="172"/>
      <c r="Z70" s="172"/>
      <c r="AA70" s="172"/>
      <c r="AB70" s="172"/>
      <c r="AC70" s="172"/>
      <c r="AD70" s="172"/>
      <c r="AE70" s="172"/>
      <c r="AF70" s="555"/>
      <c r="AG70" s="1171"/>
      <c r="AH70" s="104"/>
      <c r="AI70" s="1172"/>
      <c r="AJ70" s="1172"/>
      <c r="AK70" s="1172"/>
      <c r="AL70" s="1173"/>
      <c r="AM70" s="1174"/>
      <c r="AN70" s="1175"/>
      <c r="AO70" s="1176"/>
      <c r="AP70" s="1177"/>
      <c r="AQ70" s="1547"/>
      <c r="AR70" s="1177"/>
      <c r="AS70" s="1548"/>
      <c r="AT70" s="1549"/>
      <c r="AU70" s="1178"/>
      <c r="AV70" s="1179"/>
      <c r="AY70" s="3">
        <v>1</v>
      </c>
    </row>
    <row r="71" spans="2:51" ht="27" customHeight="1">
      <c r="B71" s="104" t="str">
        <f t="shared" si="10"/>
        <v>A</v>
      </c>
      <c r="C71" s="157" t="str">
        <f>C16</f>
        <v>N NOTRE BOUDIN NOIR | | Auteur &gt; Guy KRENZE - Eric GODDYN - Arnaud NICOLAS - CEPROC 2002</v>
      </c>
      <c r="D71" s="157">
        <f>D16</f>
        <v>16.34</v>
      </c>
      <c r="E71" s="158" t="str">
        <f>E16</f>
        <v>Kg</v>
      </c>
      <c r="F71" s="159" t="str">
        <f>F16</f>
        <v>Recette mère ► le Boudin en 4 déclinaisons</v>
      </c>
      <c r="G71" s="5128">
        <f>IF(ISBLANK(H71),"",LARGE(G62:G70,1)+1)</f>
        <v>9</v>
      </c>
      <c r="H71" s="5040" t="s">
        <v>13092</v>
      </c>
      <c r="I71" s="172"/>
      <c r="J71" s="172"/>
      <c r="K71" s="172"/>
      <c r="L71" s="172"/>
      <c r="M71" s="172"/>
      <c r="N71" s="172"/>
      <c r="O71" s="172"/>
      <c r="P71" s="555"/>
      <c r="Q71" s="1171"/>
      <c r="R71" s="104" t="str">
        <f t="shared" si="11"/>
        <v>A</v>
      </c>
      <c r="S71" s="157" t="str">
        <f>S16</f>
        <v>N NUESTRA MORCILLA | | Autor &gt; Guy KRENZE - Eric GODDYN - Arnaud NICOLAS - CEPROC 2002</v>
      </c>
      <c r="T71" s="157">
        <f>T16</f>
        <v>16.34</v>
      </c>
      <c r="U71" s="158" t="str">
        <f>U16</f>
        <v>Kg</v>
      </c>
      <c r="V71" s="159" t="str">
        <f>V16</f>
        <v>Receta madre ► Morcilla en 4 versiones</v>
      </c>
      <c r="W71" s="5128">
        <f>IF(ISBLANK(X71),"",LARGE(W62:W70,1)+1)</f>
        <v>9</v>
      </c>
      <c r="X71" s="5040" t="s">
        <v>13222</v>
      </c>
      <c r="Y71" s="172"/>
      <c r="Z71" s="172"/>
      <c r="AA71" s="172"/>
      <c r="AB71" s="172"/>
      <c r="AC71" s="172"/>
      <c r="AD71" s="172"/>
      <c r="AE71" s="172"/>
      <c r="AF71" s="555"/>
      <c r="AG71" s="1171"/>
      <c r="AH71" s="104"/>
      <c r="AI71" s="1172"/>
      <c r="AJ71" s="1172"/>
      <c r="AK71" s="1172"/>
      <c r="AL71" s="1173"/>
      <c r="AM71" s="1174"/>
      <c r="AN71" s="1175"/>
      <c r="AO71" s="1176"/>
      <c r="AP71" s="1177"/>
      <c r="AQ71" s="1547"/>
      <c r="AR71" s="1177"/>
      <c r="AS71" s="1548"/>
      <c r="AT71" s="1549"/>
      <c r="AU71" s="1178"/>
      <c r="AV71" s="1179"/>
      <c r="AY71" s="3">
        <v>1</v>
      </c>
    </row>
    <row r="72" spans="2:51" ht="27" customHeight="1">
      <c r="B72" s="104" t="str">
        <f t="shared" si="10"/>
        <v>A</v>
      </c>
      <c r="C72" s="157" t="str">
        <f>C16</f>
        <v>N NOTRE BOUDIN NOIR | | Auteur &gt; Guy KRENZE - Eric GODDYN - Arnaud NICOLAS - CEPROC 2002</v>
      </c>
      <c r="D72" s="157">
        <f>D16</f>
        <v>16.34</v>
      </c>
      <c r="E72" s="158" t="str">
        <f>E16</f>
        <v>Kg</v>
      </c>
      <c r="F72" s="159" t="str">
        <f>F16</f>
        <v>Recette mère ► le Boudin en 4 déclinaisons</v>
      </c>
      <c r="G72" s="5128">
        <f>IF(ISBLANK(H72),"",LARGE(G62:G71,1)+1)</f>
        <v>10</v>
      </c>
      <c r="H72" s="5040" t="s">
        <v>13093</v>
      </c>
      <c r="I72" s="172"/>
      <c r="J72" s="172"/>
      <c r="K72" s="172"/>
      <c r="L72" s="172"/>
      <c r="M72" s="172"/>
      <c r="N72" s="172"/>
      <c r="O72" s="172"/>
      <c r="P72" s="555"/>
      <c r="Q72" s="1171"/>
      <c r="R72" s="104" t="str">
        <f t="shared" si="11"/>
        <v>A</v>
      </c>
      <c r="S72" s="157" t="str">
        <f>S16</f>
        <v>N NUESTRA MORCILLA | | Autor &gt; Guy KRENZE - Eric GODDYN - Arnaud NICOLAS - CEPROC 2002</v>
      </c>
      <c r="T72" s="157">
        <f>T16</f>
        <v>16.34</v>
      </c>
      <c r="U72" s="158" t="str">
        <f>U16</f>
        <v>Kg</v>
      </c>
      <c r="V72" s="159" t="str">
        <f>V16</f>
        <v>Receta madre ► Morcilla en 4 versiones</v>
      </c>
      <c r="W72" s="5128">
        <f>IF(ISBLANK(X72),"",LARGE(W62:W71,1)+1)</f>
        <v>10</v>
      </c>
      <c r="X72" s="5040" t="s">
        <v>13223</v>
      </c>
      <c r="Y72" s="172"/>
      <c r="Z72" s="172"/>
      <c r="AA72" s="172"/>
      <c r="AB72" s="172"/>
      <c r="AC72" s="172"/>
      <c r="AD72" s="172"/>
      <c r="AE72" s="172"/>
      <c r="AF72" s="555"/>
      <c r="AG72" s="1171"/>
      <c r="AH72" s="104"/>
      <c r="AI72" s="1172"/>
      <c r="AJ72" s="1172"/>
      <c r="AK72" s="1172"/>
      <c r="AL72" s="1173"/>
      <c r="AM72" s="1174"/>
      <c r="AN72" s="1175"/>
      <c r="AO72" s="1176"/>
      <c r="AP72" s="1177"/>
      <c r="AQ72" s="1547"/>
      <c r="AR72" s="1177"/>
      <c r="AS72" s="1548"/>
      <c r="AT72" s="1549"/>
      <c r="AU72" s="1178"/>
      <c r="AV72" s="1179"/>
      <c r="AY72" s="3">
        <v>1</v>
      </c>
    </row>
    <row r="73" spans="2:51" ht="27" customHeight="1">
      <c r="B73" s="104" t="str">
        <f t="shared" si="10"/>
        <v>A</v>
      </c>
      <c r="C73" s="157" t="str">
        <f>C16</f>
        <v>N NOTRE BOUDIN NOIR | | Auteur &gt; Guy KRENZE - Eric GODDYN - Arnaud NICOLAS - CEPROC 2002</v>
      </c>
      <c r="D73" s="157">
        <f>D16</f>
        <v>16.34</v>
      </c>
      <c r="E73" s="158" t="str">
        <f>E16</f>
        <v>Kg</v>
      </c>
      <c r="F73" s="159" t="str">
        <f>F16</f>
        <v>Recette mère ► le Boudin en 4 déclinaisons</v>
      </c>
      <c r="G73" s="5128">
        <f>IF(ISBLANK(H73),"",LARGE(G62:G72,1)+1)</f>
        <v>11</v>
      </c>
      <c r="H73" s="5040" t="s">
        <v>13094</v>
      </c>
      <c r="I73" s="172"/>
      <c r="J73" s="172"/>
      <c r="K73" s="172"/>
      <c r="L73" s="172"/>
      <c r="M73" s="172"/>
      <c r="N73" s="172"/>
      <c r="O73" s="172"/>
      <c r="P73" s="555"/>
      <c r="Q73" s="1171"/>
      <c r="R73" s="104" t="str">
        <f t="shared" si="11"/>
        <v>A</v>
      </c>
      <c r="S73" s="157" t="str">
        <f>S16</f>
        <v>N NUESTRA MORCILLA | | Autor &gt; Guy KRENZE - Eric GODDYN - Arnaud NICOLAS - CEPROC 2002</v>
      </c>
      <c r="T73" s="157">
        <f>T16</f>
        <v>16.34</v>
      </c>
      <c r="U73" s="158" t="str">
        <f>U16</f>
        <v>Kg</v>
      </c>
      <c r="V73" s="159" t="str">
        <f>V16</f>
        <v>Receta madre ► Morcilla en 4 versiones</v>
      </c>
      <c r="W73" s="5128">
        <f>IF(ISBLANK(X73),"",LARGE(W62:W72,1)+1)</f>
        <v>11</v>
      </c>
      <c r="X73" s="5040" t="s">
        <v>13224</v>
      </c>
      <c r="Y73" s="172"/>
      <c r="Z73" s="172"/>
      <c r="AA73" s="172"/>
      <c r="AB73" s="172"/>
      <c r="AC73" s="172"/>
      <c r="AD73" s="172"/>
      <c r="AE73" s="172"/>
      <c r="AF73" s="555"/>
      <c r="AG73" s="1171"/>
      <c r="AH73" s="104"/>
      <c r="AI73" s="1172"/>
      <c r="AJ73" s="1172"/>
      <c r="AK73" s="1172"/>
      <c r="AL73" s="1173"/>
      <c r="AM73" s="1174"/>
      <c r="AN73" s="1175"/>
      <c r="AO73" s="1176"/>
      <c r="AP73" s="1177"/>
      <c r="AQ73" s="1547"/>
      <c r="AR73" s="1177"/>
      <c r="AS73" s="1548"/>
      <c r="AT73" s="1549"/>
      <c r="AU73" s="1178"/>
      <c r="AV73" s="1179"/>
      <c r="AY73" s="3">
        <v>1</v>
      </c>
    </row>
    <row r="74" spans="2:51" ht="27" customHeight="1">
      <c r="B74" s="104" t="str">
        <f t="shared" si="10"/>
        <v>►</v>
      </c>
      <c r="C74" s="157" t="str">
        <f>C16</f>
        <v>N NOTRE BOUDIN NOIR | | Auteur &gt; Guy KRENZE - Eric GODDYN - Arnaud NICOLAS - CEPROC 2002</v>
      </c>
      <c r="D74" s="157">
        <f>D16</f>
        <v>16.34</v>
      </c>
      <c r="E74" s="158" t="str">
        <f>E16</f>
        <v>Kg</v>
      </c>
      <c r="F74" s="159" t="str">
        <f>F16</f>
        <v>Recette mère ► le Boudin en 4 déclinaisons</v>
      </c>
      <c r="G74" s="5128" t="str">
        <f>IF(ISBLANK(H74),"",LARGE(G62:G73,1)+1)</f>
        <v/>
      </c>
      <c r="H74" s="5040"/>
      <c r="I74" s="172"/>
      <c r="J74" s="172"/>
      <c r="K74" s="172"/>
      <c r="L74" s="172"/>
      <c r="M74" s="5179"/>
      <c r="N74" s="172"/>
      <c r="O74" s="172"/>
      <c r="P74" s="555"/>
      <c r="Q74" s="1171"/>
      <c r="R74" s="104" t="str">
        <f t="shared" si="11"/>
        <v>►</v>
      </c>
      <c r="S74" s="157" t="str">
        <f>S16</f>
        <v>N NUESTRA MORCILLA | | Autor &gt; Guy KRENZE - Eric GODDYN - Arnaud NICOLAS - CEPROC 2002</v>
      </c>
      <c r="T74" s="157">
        <f>T16</f>
        <v>16.34</v>
      </c>
      <c r="U74" s="158" t="str">
        <f>U16</f>
        <v>Kg</v>
      </c>
      <c r="V74" s="159" t="str">
        <f>V16</f>
        <v>Receta madre ► Morcilla en 4 versiones</v>
      </c>
      <c r="W74" s="5128" t="str">
        <f>IF(ISBLANK(X74),"",LARGE(W62:W73,1)+1)</f>
        <v/>
      </c>
      <c r="X74" s="5040"/>
      <c r="Y74" s="172"/>
      <c r="Z74" s="172"/>
      <c r="AA74" s="172"/>
      <c r="AB74" s="172"/>
      <c r="AC74" s="5179"/>
      <c r="AD74" s="172"/>
      <c r="AE74" s="172"/>
      <c r="AF74" s="555"/>
      <c r="AG74" s="1171"/>
      <c r="AH74" s="104"/>
      <c r="AI74" s="1172"/>
      <c r="AJ74" s="1172"/>
      <c r="AK74" s="1172"/>
      <c r="AL74" s="1173"/>
      <c r="AM74" s="1174"/>
      <c r="AN74" s="1175"/>
      <c r="AO74" s="1176"/>
      <c r="AP74" s="1177"/>
      <c r="AQ74" s="1547"/>
      <c r="AR74" s="1177"/>
      <c r="AS74" s="1548"/>
      <c r="AT74" s="1549"/>
      <c r="AU74" s="1178"/>
      <c r="AV74" s="1179"/>
      <c r="AY74" s="3">
        <v>1</v>
      </c>
    </row>
    <row r="75" spans="2:51" ht="27" customHeight="1">
      <c r="B75" s="104" t="str">
        <f t="shared" si="10"/>
        <v>►</v>
      </c>
      <c r="C75" s="157" t="str">
        <f>C16</f>
        <v>N NOTRE BOUDIN NOIR | | Auteur &gt; Guy KRENZE - Eric GODDYN - Arnaud NICOLAS - CEPROC 2002</v>
      </c>
      <c r="D75" s="157">
        <f>D16</f>
        <v>16.34</v>
      </c>
      <c r="E75" s="158" t="str">
        <f>E16</f>
        <v>Kg</v>
      </c>
      <c r="F75" s="159" t="str">
        <f>F16</f>
        <v>Recette mère ► le Boudin en 4 déclinaisons</v>
      </c>
      <c r="G75" s="5128" t="str">
        <f>IF(ISBLANK(H75),"",LARGE(G62:G74,1)+1)</f>
        <v/>
      </c>
      <c r="H75" s="5040"/>
      <c r="I75" s="172"/>
      <c r="J75" s="172"/>
      <c r="K75" s="172"/>
      <c r="L75" s="172"/>
      <c r="M75" s="172"/>
      <c r="N75" s="172"/>
      <c r="O75" s="172"/>
      <c r="P75" s="555"/>
      <c r="Q75" s="1171"/>
      <c r="R75" s="104" t="str">
        <f t="shared" si="11"/>
        <v>►</v>
      </c>
      <c r="S75" s="157" t="str">
        <f>S16</f>
        <v>N NUESTRA MORCILLA | | Autor &gt; Guy KRENZE - Eric GODDYN - Arnaud NICOLAS - CEPROC 2002</v>
      </c>
      <c r="T75" s="157">
        <f>T16</f>
        <v>16.34</v>
      </c>
      <c r="U75" s="158" t="str">
        <f>U16</f>
        <v>Kg</v>
      </c>
      <c r="V75" s="159" t="str">
        <f>V16</f>
        <v>Receta madre ► Morcilla en 4 versiones</v>
      </c>
      <c r="W75" s="5128" t="str">
        <f>IF(ISBLANK(X75),"",LARGE(W62:W74,1)+1)</f>
        <v/>
      </c>
      <c r="X75" s="5040"/>
      <c r="Y75" s="172"/>
      <c r="Z75" s="172"/>
      <c r="AA75" s="172"/>
      <c r="AB75" s="172"/>
      <c r="AC75" s="172"/>
      <c r="AD75" s="172"/>
      <c r="AE75" s="172"/>
      <c r="AF75" s="555"/>
      <c r="AG75" s="1171"/>
      <c r="AH75" s="104"/>
      <c r="AI75" s="1172"/>
      <c r="AJ75" s="1172"/>
      <c r="AK75" s="1172"/>
      <c r="AL75" s="1173"/>
      <c r="AM75" s="1174"/>
      <c r="AN75" s="1175"/>
      <c r="AO75" s="1176"/>
      <c r="AP75" s="1177"/>
      <c r="AQ75" s="1547"/>
      <c r="AR75" s="1177"/>
      <c r="AS75" s="1548"/>
      <c r="AT75" s="1549"/>
      <c r="AU75" s="1178"/>
      <c r="AV75" s="1179"/>
      <c r="AY75" s="3">
        <v>1</v>
      </c>
    </row>
    <row r="76" spans="2:51" ht="27" customHeight="1">
      <c r="B76" s="104" t="str">
        <f t="shared" si="10"/>
        <v>►</v>
      </c>
      <c r="C76" s="157" t="str">
        <f>C16</f>
        <v>N NOTRE BOUDIN NOIR | | Auteur &gt; Guy KRENZE - Eric GODDYN - Arnaud NICOLAS - CEPROC 2002</v>
      </c>
      <c r="D76" s="157">
        <f>D16</f>
        <v>16.34</v>
      </c>
      <c r="E76" s="158" t="str">
        <f>E16</f>
        <v>Kg</v>
      </c>
      <c r="F76" s="159" t="str">
        <f>F16</f>
        <v>Recette mère ► le Boudin en 4 déclinaisons</v>
      </c>
      <c r="G76" s="5128" t="str">
        <f>IF(ISBLANK(H76),"",LARGE(G62:G75,1)+1)</f>
        <v/>
      </c>
      <c r="H76" s="5040"/>
      <c r="I76" s="172"/>
      <c r="J76" s="172"/>
      <c r="K76" s="172"/>
      <c r="L76" s="172"/>
      <c r="M76" s="172"/>
      <c r="N76" s="172"/>
      <c r="O76" s="172"/>
      <c r="P76" s="555"/>
      <c r="Q76" s="1171"/>
      <c r="R76" s="104" t="str">
        <f t="shared" si="11"/>
        <v>►</v>
      </c>
      <c r="S76" s="157" t="str">
        <f>S16</f>
        <v>N NUESTRA MORCILLA | | Autor &gt; Guy KRENZE - Eric GODDYN - Arnaud NICOLAS - CEPROC 2002</v>
      </c>
      <c r="T76" s="157">
        <f>T16</f>
        <v>16.34</v>
      </c>
      <c r="U76" s="158" t="str">
        <f>U16</f>
        <v>Kg</v>
      </c>
      <c r="V76" s="159" t="str">
        <f>V16</f>
        <v>Receta madre ► Morcilla en 4 versiones</v>
      </c>
      <c r="W76" s="5128" t="str">
        <f>IF(ISBLANK(X76),"",LARGE(W62:W75,1)+1)</f>
        <v/>
      </c>
      <c r="X76" s="5040"/>
      <c r="Y76" s="172"/>
      <c r="Z76" s="172"/>
      <c r="AA76" s="172"/>
      <c r="AB76" s="172"/>
      <c r="AC76" s="172"/>
      <c r="AD76" s="172"/>
      <c r="AE76" s="172"/>
      <c r="AF76" s="555"/>
      <c r="AG76" s="1171"/>
      <c r="AH76" s="104"/>
      <c r="AI76" s="1172"/>
      <c r="AJ76" s="1172"/>
      <c r="AK76" s="1172"/>
      <c r="AL76" s="1173"/>
      <c r="AM76" s="1174"/>
      <c r="AN76" s="1175"/>
      <c r="AO76" s="1176"/>
      <c r="AP76" s="1177"/>
      <c r="AQ76" s="1547"/>
      <c r="AR76" s="1177"/>
      <c r="AS76" s="1548"/>
      <c r="AT76" s="1549"/>
      <c r="AU76" s="1178"/>
      <c r="AV76" s="1179"/>
      <c r="AY76" s="3">
        <v>1</v>
      </c>
    </row>
    <row r="77" spans="2:51" ht="27" customHeight="1">
      <c r="B77" s="104" t="str">
        <f t="shared" si="10"/>
        <v>►</v>
      </c>
      <c r="C77" s="157" t="str">
        <f>C16</f>
        <v>N NOTRE BOUDIN NOIR | | Auteur &gt; Guy KRENZE - Eric GODDYN - Arnaud NICOLAS - CEPROC 2002</v>
      </c>
      <c r="D77" s="157">
        <f>D16</f>
        <v>16.34</v>
      </c>
      <c r="E77" s="158" t="str">
        <f>E16</f>
        <v>Kg</v>
      </c>
      <c r="F77" s="159" t="str">
        <f>F16</f>
        <v>Recette mère ► le Boudin en 4 déclinaisons</v>
      </c>
      <c r="G77" s="5128" t="str">
        <f>IF(ISBLANK(H77),"",LARGE(G62:G76,1)+1)</f>
        <v/>
      </c>
      <c r="H77" s="5040"/>
      <c r="I77" s="172"/>
      <c r="J77" s="172"/>
      <c r="K77" s="172"/>
      <c r="L77" s="172"/>
      <c r="M77" s="172"/>
      <c r="N77" s="172"/>
      <c r="O77" s="172"/>
      <c r="P77" s="555"/>
      <c r="Q77" s="1171"/>
      <c r="R77" s="104" t="str">
        <f t="shared" si="11"/>
        <v>►</v>
      </c>
      <c r="S77" s="157" t="str">
        <f>S16</f>
        <v>N NUESTRA MORCILLA | | Autor &gt; Guy KRENZE - Eric GODDYN - Arnaud NICOLAS - CEPROC 2002</v>
      </c>
      <c r="T77" s="157">
        <f>T16</f>
        <v>16.34</v>
      </c>
      <c r="U77" s="158" t="str">
        <f>U16</f>
        <v>Kg</v>
      </c>
      <c r="V77" s="159" t="str">
        <f>V16</f>
        <v>Receta madre ► Morcilla en 4 versiones</v>
      </c>
      <c r="W77" s="5128" t="str">
        <f>IF(ISBLANK(X77),"",LARGE(W62:W76,1)+1)</f>
        <v/>
      </c>
      <c r="X77" s="5040"/>
      <c r="Y77" s="172"/>
      <c r="Z77" s="172"/>
      <c r="AA77" s="172"/>
      <c r="AB77" s="172"/>
      <c r="AC77" s="172"/>
      <c r="AD77" s="172"/>
      <c r="AE77" s="172"/>
      <c r="AF77" s="555"/>
      <c r="AG77" s="1171"/>
      <c r="AH77" s="104"/>
      <c r="AI77" s="1172"/>
      <c r="AJ77" s="1172"/>
      <c r="AK77" s="1172"/>
      <c r="AL77" s="1173"/>
      <c r="AM77" s="1174"/>
      <c r="AN77" s="1175"/>
      <c r="AO77" s="1176"/>
      <c r="AP77" s="1177"/>
      <c r="AQ77" s="1547"/>
      <c r="AR77" s="1177"/>
      <c r="AS77" s="1548"/>
      <c r="AT77" s="1549"/>
      <c r="AU77" s="1178"/>
      <c r="AV77" s="1179"/>
      <c r="AY77" s="3">
        <v>1</v>
      </c>
    </row>
    <row r="78" spans="2:51" ht="27" customHeight="1">
      <c r="B78" s="104" t="str">
        <f t="shared" si="10"/>
        <v>►</v>
      </c>
      <c r="C78" s="157" t="str">
        <f>C16</f>
        <v>N NOTRE BOUDIN NOIR | | Auteur &gt; Guy KRENZE - Eric GODDYN - Arnaud NICOLAS - CEPROC 2002</v>
      </c>
      <c r="D78" s="157">
        <f>D16</f>
        <v>16.34</v>
      </c>
      <c r="E78" s="158" t="str">
        <f>E16</f>
        <v>Kg</v>
      </c>
      <c r="F78" s="159" t="str">
        <f>F16</f>
        <v>Recette mère ► le Boudin en 4 déclinaisons</v>
      </c>
      <c r="G78" s="5128" t="str">
        <f>IF(ISBLANK(H78),"",LARGE(G62:G77,1)+1)</f>
        <v/>
      </c>
      <c r="H78" s="5040"/>
      <c r="I78" s="172"/>
      <c r="J78" s="172"/>
      <c r="K78" s="172"/>
      <c r="L78" s="172"/>
      <c r="M78" s="172"/>
      <c r="N78" s="172"/>
      <c r="O78" s="172"/>
      <c r="P78" s="555"/>
      <c r="Q78" s="1171"/>
      <c r="R78" s="104" t="str">
        <f t="shared" si="11"/>
        <v>►</v>
      </c>
      <c r="S78" s="157" t="str">
        <f>S16</f>
        <v>N NUESTRA MORCILLA | | Autor &gt; Guy KRENZE - Eric GODDYN - Arnaud NICOLAS - CEPROC 2002</v>
      </c>
      <c r="T78" s="157">
        <f>T16</f>
        <v>16.34</v>
      </c>
      <c r="U78" s="158" t="str">
        <f>U16</f>
        <v>Kg</v>
      </c>
      <c r="V78" s="159" t="str">
        <f>V16</f>
        <v>Receta madre ► Morcilla en 4 versiones</v>
      </c>
      <c r="W78" s="5128" t="str">
        <f>IF(ISBLANK(X78),"",LARGE(W62:W77,1)+1)</f>
        <v/>
      </c>
      <c r="X78" s="5040"/>
      <c r="Y78" s="172"/>
      <c r="Z78" s="172"/>
      <c r="AA78" s="172"/>
      <c r="AB78" s="172"/>
      <c r="AC78" s="172"/>
      <c r="AD78" s="172"/>
      <c r="AE78" s="172"/>
      <c r="AF78" s="555"/>
      <c r="AG78" s="1171"/>
      <c r="AH78" s="104"/>
      <c r="AI78" s="1172"/>
      <c r="AJ78" s="1172"/>
      <c r="AK78" s="1172"/>
      <c r="AL78" s="1173"/>
      <c r="AM78" s="1174"/>
      <c r="AN78" s="1175"/>
      <c r="AO78" s="1176"/>
      <c r="AP78" s="1177"/>
      <c r="AQ78" s="1547"/>
      <c r="AR78" s="1177"/>
      <c r="AS78" s="1548"/>
      <c r="AT78" s="1549"/>
      <c r="AU78" s="1178"/>
      <c r="AV78" s="1179"/>
      <c r="AY78" s="3">
        <v>1</v>
      </c>
    </row>
    <row r="79" spans="2:51" ht="27" customHeight="1">
      <c r="B79" s="104" t="str">
        <f t="shared" si="10"/>
        <v>A</v>
      </c>
      <c r="C79" s="157" t="str">
        <f>C16</f>
        <v>N NOTRE BOUDIN NOIR | | Auteur &gt; Guy KRENZE - Eric GODDYN - Arnaud NICOLAS - CEPROC 2002</v>
      </c>
      <c r="D79" s="157">
        <f>D16</f>
        <v>16.34</v>
      </c>
      <c r="E79" s="158" t="str">
        <f>E16</f>
        <v>Kg</v>
      </c>
      <c r="F79" s="159" t="str">
        <f>F16</f>
        <v>Recette mère ► le Boudin en 4 déclinaisons</v>
      </c>
      <c r="G79" s="5128">
        <f>IF(ISBLANK(H79),"",LARGE(G62:G78,1)+1)</f>
        <v>12</v>
      </c>
      <c r="H79" s="5040" t="s">
        <v>13132</v>
      </c>
      <c r="I79" s="172"/>
      <c r="J79" s="172"/>
      <c r="K79" s="172"/>
      <c r="L79" s="172"/>
      <c r="M79" s="172"/>
      <c r="N79" s="172"/>
      <c r="O79" s="172"/>
      <c r="P79" s="555"/>
      <c r="Q79" s="1171"/>
      <c r="R79" s="104" t="str">
        <f t="shared" si="11"/>
        <v>A</v>
      </c>
      <c r="S79" s="157" t="str">
        <f>S16</f>
        <v>N NUESTRA MORCILLA | | Autor &gt; Guy KRENZE - Eric GODDYN - Arnaud NICOLAS - CEPROC 2002</v>
      </c>
      <c r="T79" s="157">
        <f>T16</f>
        <v>16.34</v>
      </c>
      <c r="U79" s="158" t="str">
        <f>U16</f>
        <v>Kg</v>
      </c>
      <c r="V79" s="159" t="str">
        <f>V16</f>
        <v>Receta madre ► Morcilla en 4 versiones</v>
      </c>
      <c r="W79" s="5128">
        <f>IF(ISBLANK(X79),"",LARGE(W62:W78,1)+1)</f>
        <v>12</v>
      </c>
      <c r="X79" s="5040" t="s">
        <v>13225</v>
      </c>
      <c r="Y79" s="172"/>
      <c r="Z79" s="172"/>
      <c r="AA79" s="172"/>
      <c r="AB79" s="172"/>
      <c r="AC79" s="172"/>
      <c r="AD79" s="172"/>
      <c r="AE79" s="172"/>
      <c r="AF79" s="555"/>
      <c r="AG79" s="1171"/>
      <c r="AH79" s="104"/>
      <c r="AI79" s="1172"/>
      <c r="AJ79" s="1172"/>
      <c r="AK79" s="1172"/>
      <c r="AL79" s="1173"/>
      <c r="AM79" s="1174"/>
      <c r="AN79" s="1175"/>
      <c r="AO79" s="1176"/>
      <c r="AP79" s="1177"/>
      <c r="AQ79" s="1547"/>
      <c r="AR79" s="1177"/>
      <c r="AS79" s="1548"/>
      <c r="AT79" s="1549"/>
      <c r="AU79" s="1178"/>
      <c r="AV79" s="1179"/>
      <c r="AY79" s="3">
        <v>1</v>
      </c>
    </row>
    <row r="80" spans="2:51" ht="27" customHeight="1">
      <c r="B80" s="104" t="str">
        <f>IF(COUNTIF(H80:L80,"&lt;&gt;")&gt;0,"A","►")</f>
        <v>A</v>
      </c>
      <c r="C80" s="157" t="str">
        <f>C16</f>
        <v>N NOTRE BOUDIN NOIR | | Auteur &gt; Guy KRENZE - Eric GODDYN - Arnaud NICOLAS - CEPROC 2002</v>
      </c>
      <c r="D80" s="157">
        <f>D16</f>
        <v>16.34</v>
      </c>
      <c r="E80" s="158" t="str">
        <f>E16</f>
        <v>Kg</v>
      </c>
      <c r="F80" s="159" t="str">
        <f>F16</f>
        <v>Recette mère ► le Boudin en 4 déclinaisons</v>
      </c>
      <c r="G80" s="5128">
        <f>IF(ISBLANK(H80),"",LARGE(G62:G79,1)+1)</f>
        <v>13</v>
      </c>
      <c r="H80" s="5040" t="s">
        <v>13130</v>
      </c>
      <c r="I80" s="172"/>
      <c r="J80" s="172"/>
      <c r="K80" s="172"/>
      <c r="L80" s="172"/>
      <c r="M80" s="172"/>
      <c r="N80" s="172"/>
      <c r="O80" s="172"/>
      <c r="P80" s="555"/>
      <c r="Q80" s="1171"/>
      <c r="R80" s="104" t="str">
        <f>IF(COUNTIF(X80:AB80,"&lt;&gt;")&gt;0,"A","►")</f>
        <v>A</v>
      </c>
      <c r="S80" s="157" t="str">
        <f>S16</f>
        <v>N NUESTRA MORCILLA | | Autor &gt; Guy KRENZE - Eric GODDYN - Arnaud NICOLAS - CEPROC 2002</v>
      </c>
      <c r="T80" s="157">
        <f>T16</f>
        <v>16.34</v>
      </c>
      <c r="U80" s="158" t="str">
        <f>U16</f>
        <v>Kg</v>
      </c>
      <c r="V80" s="159" t="str">
        <f>V16</f>
        <v>Receta madre ► Morcilla en 4 versiones</v>
      </c>
      <c r="W80" s="5128">
        <f>IF(ISBLANK(X80),"",LARGE(W62:W79,1)+1)</f>
        <v>13</v>
      </c>
      <c r="X80" s="5040" t="s">
        <v>13226</v>
      </c>
      <c r="Y80" s="172"/>
      <c r="Z80" s="172"/>
      <c r="AA80" s="172"/>
      <c r="AB80" s="172"/>
      <c r="AC80" s="172"/>
      <c r="AD80" s="172"/>
      <c r="AE80" s="172"/>
      <c r="AF80" s="555"/>
      <c r="AG80" s="1171"/>
      <c r="AH80" s="104"/>
      <c r="AI80" s="1172"/>
      <c r="AJ80" s="1172"/>
      <c r="AK80" s="1172"/>
      <c r="AL80" s="1173"/>
      <c r="AM80" s="1174"/>
      <c r="AN80" s="1175"/>
      <c r="AO80" s="1176"/>
      <c r="AP80" s="1177"/>
      <c r="AQ80" s="1547"/>
      <c r="AR80" s="1177"/>
      <c r="AS80" s="1548"/>
      <c r="AT80" s="1549"/>
      <c r="AU80" s="1178"/>
      <c r="AV80" s="1179"/>
      <c r="AY80" s="3">
        <v>1</v>
      </c>
    </row>
    <row r="81" spans="2:51" ht="27" customHeight="1">
      <c r="B81" s="104" t="str">
        <f t="shared" si="10"/>
        <v>A</v>
      </c>
      <c r="C81" s="157" t="str">
        <f>C16</f>
        <v>N NOTRE BOUDIN NOIR | | Auteur &gt; Guy KRENZE - Eric GODDYN - Arnaud NICOLAS - CEPROC 2002</v>
      </c>
      <c r="D81" s="157">
        <f>D16</f>
        <v>16.34</v>
      </c>
      <c r="E81" s="158" t="str">
        <f>E16</f>
        <v>Kg</v>
      </c>
      <c r="F81" s="159" t="str">
        <f>F16</f>
        <v>Recette mère ► le Boudin en 4 déclinaisons</v>
      </c>
      <c r="G81" s="5128">
        <f>IF(ISBLANK(H81),"",LARGE(G62:G80,1)+1)</f>
        <v>14</v>
      </c>
      <c r="H81" s="5040" t="s">
        <v>13131</v>
      </c>
      <c r="I81" s="172"/>
      <c r="J81" s="172"/>
      <c r="K81" s="172"/>
      <c r="L81" s="172"/>
      <c r="M81" s="172"/>
      <c r="N81" s="172"/>
      <c r="O81" s="172"/>
      <c r="P81" s="555"/>
      <c r="Q81" s="1171"/>
      <c r="R81" s="104" t="str">
        <f t="shared" si="11"/>
        <v>A</v>
      </c>
      <c r="S81" s="157" t="str">
        <f>S16</f>
        <v>N NUESTRA MORCILLA | | Autor &gt; Guy KRENZE - Eric GODDYN - Arnaud NICOLAS - CEPROC 2002</v>
      </c>
      <c r="T81" s="157">
        <f>T16</f>
        <v>16.34</v>
      </c>
      <c r="U81" s="158" t="str">
        <f>U16</f>
        <v>Kg</v>
      </c>
      <c r="V81" s="159" t="str">
        <f>V16</f>
        <v>Receta madre ► Morcilla en 4 versiones</v>
      </c>
      <c r="W81" s="5128">
        <f>IF(ISBLANK(X81),"",LARGE(W62:W80,1)+1)</f>
        <v>14</v>
      </c>
      <c r="X81" s="5040" t="s">
        <v>13227</v>
      </c>
      <c r="Y81" s="172"/>
      <c r="Z81" s="172"/>
      <c r="AA81" s="172"/>
      <c r="AB81" s="172"/>
      <c r="AC81" s="172"/>
      <c r="AD81" s="172"/>
      <c r="AE81" s="172"/>
      <c r="AF81" s="555"/>
      <c r="AG81" s="1171"/>
      <c r="AH81" s="104"/>
      <c r="AI81" s="1172"/>
      <c r="AJ81" s="1172"/>
      <c r="AK81" s="1172"/>
      <c r="AL81" s="1173"/>
      <c r="AM81" s="1174"/>
      <c r="AN81" s="1175"/>
      <c r="AO81" s="1176"/>
      <c r="AP81" s="1177"/>
      <c r="AQ81" s="1547"/>
      <c r="AR81" s="1177"/>
      <c r="AS81" s="1548"/>
      <c r="AT81" s="1549"/>
      <c r="AU81" s="1178"/>
      <c r="AV81" s="1179"/>
      <c r="AY81" s="3">
        <v>1</v>
      </c>
    </row>
    <row r="82" spans="2:51" ht="27" customHeight="1">
      <c r="B82" s="104" t="str">
        <f>IF(COUNTIF(H82:L82,"&lt;&gt;")&gt;0,"A","►")</f>
        <v>►</v>
      </c>
      <c r="C82" s="157" t="str">
        <f>C16</f>
        <v>N NOTRE BOUDIN NOIR | | Auteur &gt; Guy KRENZE - Eric GODDYN - Arnaud NICOLAS - CEPROC 2002</v>
      </c>
      <c r="D82" s="157">
        <f>D16</f>
        <v>16.34</v>
      </c>
      <c r="E82" s="158" t="str">
        <f>E16</f>
        <v>Kg</v>
      </c>
      <c r="F82" s="159" t="str">
        <f>F16</f>
        <v>Recette mère ► le Boudin en 4 déclinaisons</v>
      </c>
      <c r="G82" s="160" t="s">
        <v>167</v>
      </c>
      <c r="H82" s="1536"/>
      <c r="I82" s="1536"/>
      <c r="J82" s="1536"/>
      <c r="K82" s="1536"/>
      <c r="L82" s="1536"/>
      <c r="M82" s="1536"/>
      <c r="N82" s="1536"/>
      <c r="O82" s="1536"/>
      <c r="P82" s="1537"/>
      <c r="Q82" s="1171"/>
      <c r="R82" s="104" t="str">
        <f>IF(COUNTIF(X82:AB82,"&lt;&gt;")&gt;0,"A","►")</f>
        <v>►</v>
      </c>
      <c r="S82" s="157" t="str">
        <f>S16</f>
        <v>N NUESTRA MORCILLA | | Autor &gt; Guy KRENZE - Eric GODDYN - Arnaud NICOLAS - CEPROC 2002</v>
      </c>
      <c r="T82" s="157">
        <f>T16</f>
        <v>16.34</v>
      </c>
      <c r="U82" s="158" t="str">
        <f>U16</f>
        <v>Kg</v>
      </c>
      <c r="V82" s="159" t="str">
        <f>V16</f>
        <v>Receta madre ► Morcilla en 4 versiones</v>
      </c>
      <c r="W82" s="160" t="s">
        <v>167</v>
      </c>
      <c r="X82" s="1536"/>
      <c r="Y82" s="1536"/>
      <c r="Z82" s="1536"/>
      <c r="AA82" s="1536"/>
      <c r="AB82" s="1536"/>
      <c r="AC82" s="1536"/>
      <c r="AD82" s="1536"/>
      <c r="AE82" s="1536"/>
      <c r="AF82" s="1537"/>
      <c r="AG82" s="1171"/>
      <c r="AH82" s="104"/>
      <c r="AI82" s="1172"/>
      <c r="AJ82" s="1172"/>
      <c r="AK82" s="1172"/>
      <c r="AL82" s="1173"/>
      <c r="AM82" s="1174"/>
      <c r="AN82" s="1175"/>
      <c r="AO82" s="1176"/>
      <c r="AP82" s="1177"/>
      <c r="AQ82" s="1547"/>
      <c r="AR82" s="1177"/>
      <c r="AS82" s="1548"/>
      <c r="AT82" s="1549"/>
      <c r="AU82" s="1178"/>
      <c r="AV82" s="1179"/>
      <c r="AY82" s="3">
        <v>1</v>
      </c>
    </row>
    <row r="83" spans="2:51" ht="27" customHeight="1">
      <c r="B83" s="104" t="str">
        <f t="shared" si="10"/>
        <v>A</v>
      </c>
      <c r="C83" s="157" t="str">
        <f>C16</f>
        <v>N NOTRE BOUDIN NOIR | | Auteur &gt; Guy KRENZE - Eric GODDYN - Arnaud NICOLAS - CEPROC 2002</v>
      </c>
      <c r="D83" s="157">
        <f>D16</f>
        <v>16.34</v>
      </c>
      <c r="E83" s="158" t="str">
        <f>E16</f>
        <v>Kg</v>
      </c>
      <c r="F83" s="159" t="str">
        <f>F16</f>
        <v>Recette mère ► le Boudin en 4 déclinaisons</v>
      </c>
      <c r="G83" s="5441" t="s">
        <v>13079</v>
      </c>
      <c r="H83" s="5442"/>
      <c r="I83" s="5442"/>
      <c r="J83" s="5442"/>
      <c r="K83" s="5443"/>
      <c r="L83" s="172" t="s">
        <v>13133</v>
      </c>
      <c r="M83" s="172"/>
      <c r="N83" s="172"/>
      <c r="O83" s="172"/>
      <c r="P83" s="555"/>
      <c r="Q83" s="1171"/>
      <c r="R83" s="104" t="str">
        <f t="shared" si="11"/>
        <v>A</v>
      </c>
      <c r="S83" s="157" t="str">
        <f>S16</f>
        <v>N NUESTRA MORCILLA | | Autor &gt; Guy KRENZE - Eric GODDYN - Arnaud NICOLAS - CEPROC 2002</v>
      </c>
      <c r="T83" s="157">
        <f>T16</f>
        <v>16.34</v>
      </c>
      <c r="U83" s="158" t="str">
        <f>U16</f>
        <v>Kg</v>
      </c>
      <c r="V83" s="159" t="str">
        <f>V16</f>
        <v>Receta madre ► Morcilla en 4 versiones</v>
      </c>
      <c r="W83" s="5441" t="s">
        <v>13237</v>
      </c>
      <c r="X83" s="5442"/>
      <c r="Y83" s="5442"/>
      <c r="Z83" s="5442"/>
      <c r="AA83" s="5443"/>
      <c r="AB83" s="172" t="s">
        <v>13133</v>
      </c>
      <c r="AC83" s="172"/>
      <c r="AD83" s="172"/>
      <c r="AE83" s="172"/>
      <c r="AF83" s="555"/>
      <c r="AG83" s="1171"/>
      <c r="AH83" s="104"/>
      <c r="AI83" s="1172"/>
      <c r="AJ83" s="1172"/>
      <c r="AK83" s="1172"/>
      <c r="AL83" s="1173"/>
      <c r="AM83" s="1174"/>
      <c r="AN83" s="1175"/>
      <c r="AO83" s="1176"/>
      <c r="AP83" s="1177"/>
      <c r="AQ83" s="1547"/>
      <c r="AR83" s="1177"/>
      <c r="AS83" s="1548"/>
      <c r="AT83" s="1549"/>
      <c r="AU83" s="1178"/>
      <c r="AV83" s="1179"/>
      <c r="AY83" s="3">
        <v>1</v>
      </c>
    </row>
    <row r="84" spans="2:51" ht="27" customHeight="1">
      <c r="B84" s="104" t="str">
        <f t="shared" ca="1" si="10"/>
        <v>A</v>
      </c>
      <c r="C84" s="157" t="str">
        <f>C16</f>
        <v>N NOTRE BOUDIN NOIR | | Auteur &gt; Guy KRENZE - Eric GODDYN - Arnaud NICOLAS - CEPROC 2002</v>
      </c>
      <c r="D84" s="157">
        <f>D16</f>
        <v>16.34</v>
      </c>
      <c r="E84" s="158" t="str">
        <f>E16</f>
        <v>Kg</v>
      </c>
      <c r="F84" s="159" t="str">
        <f>F16</f>
        <v>Recette mère ► le Boudin en 4 déclinaisons</v>
      </c>
      <c r="G84" s="5114" t="s">
        <v>748</v>
      </c>
      <c r="H84" s="5122">
        <v>12</v>
      </c>
      <c r="I84" s="197"/>
      <c r="J84" s="5116" t="s">
        <v>748</v>
      </c>
      <c r="K84" s="5115">
        <f>IF(AND(ISNUMBER(H84),H84&gt;0),H84,IF(OR(ISBLANK(H85),ISBLANK(H86),IF(H86&gt;1,H86/100,H86)&gt;=1),"",H85/(1-IF(H86&gt;1,H86/100,H86))))</f>
        <v>12</v>
      </c>
      <c r="L84" s="5178" t="str">
        <f ca="1">_xlfn.FORMULATEXT(K84)</f>
        <v>=SI(ET(ESTNUM(H84);H84&gt;0);H84;SI(OU(ESTVIDE(H85);ESTVIDE(H86);SI(H86&gt;1;H86/100;H86)&gt;=1);"";H85/(1-SI(H86&gt;1;H86/100;H86))))</v>
      </c>
      <c r="M84" s="172"/>
      <c r="N84" s="172"/>
      <c r="O84" s="172"/>
      <c r="P84" s="555"/>
      <c r="Q84" s="1171"/>
      <c r="R84" s="104" t="str">
        <f t="shared" ca="1" si="11"/>
        <v>A</v>
      </c>
      <c r="S84" s="157" t="str">
        <f>S16</f>
        <v>N NUESTRA MORCILLA | | Autor &gt; Guy KRENZE - Eric GODDYN - Arnaud NICOLAS - CEPROC 2002</v>
      </c>
      <c r="T84" s="157">
        <f>T16</f>
        <v>16.34</v>
      </c>
      <c r="U84" s="158" t="str">
        <f>U16</f>
        <v>Kg</v>
      </c>
      <c r="V84" s="159" t="str">
        <f>V16</f>
        <v>Receta madre ► Morcilla en 4 versiones</v>
      </c>
      <c r="W84" s="5114" t="s">
        <v>1653</v>
      </c>
      <c r="X84" s="5122">
        <v>12</v>
      </c>
      <c r="Y84" s="197"/>
      <c r="Z84" s="5116" t="s">
        <v>1653</v>
      </c>
      <c r="AA84" s="5115">
        <f>IF(AND(ISNUMBER(X84),X84&gt;0),X84,IF(OR(ISBLANK(X85),ISBLANK(X86),IF(X86&gt;1,X86/100,X86)&gt;=1),"",X85/(1-IF(X86&gt;1,X86/100,X86))))</f>
        <v>12</v>
      </c>
      <c r="AB84" s="5178" t="str">
        <f ca="1">_xlfn.FORMULATEXT(AA84)</f>
        <v>=SI(ET(ESTNUM(X84);X84&gt;0);X84;SI(OU(ESTVIDE(X85);ESTVIDE(X86);SI(X86&gt;1;X86/100;X86)&gt;=1);"";X85/(1-SI(X86&gt;1;X86/100;X86))))</v>
      </c>
      <c r="AC84" s="172"/>
      <c r="AD84" s="172"/>
      <c r="AE84" s="172"/>
      <c r="AF84" s="555"/>
      <c r="AG84" s="1171"/>
      <c r="AH84" s="104"/>
      <c r="AI84" s="1172"/>
      <c r="AJ84" s="1172"/>
      <c r="AK84" s="1172"/>
      <c r="AL84" s="1173"/>
      <c r="AM84" s="1174"/>
      <c r="AN84" s="1175"/>
      <c r="AO84" s="1176"/>
      <c r="AP84" s="1177"/>
      <c r="AQ84" s="1547"/>
      <c r="AR84" s="1177"/>
      <c r="AS84" s="1548"/>
      <c r="AT84" s="1549"/>
      <c r="AU84" s="1178"/>
      <c r="AV84" s="1179"/>
      <c r="AY84" s="3">
        <v>1</v>
      </c>
    </row>
    <row r="85" spans="2:51" ht="27" customHeight="1">
      <c r="B85" s="104" t="str">
        <f t="shared" ca="1" si="10"/>
        <v>A</v>
      </c>
      <c r="C85" s="157" t="str">
        <f>C16</f>
        <v>N NOTRE BOUDIN NOIR | | Auteur &gt; Guy KRENZE - Eric GODDYN - Arnaud NICOLAS - CEPROC 2002</v>
      </c>
      <c r="D85" s="157">
        <f>D16</f>
        <v>16.34</v>
      </c>
      <c r="E85" s="158" t="str">
        <f>E16</f>
        <v>Kg</v>
      </c>
      <c r="F85" s="159" t="str">
        <f>F16</f>
        <v>Recette mère ► le Boudin en 4 déclinaisons</v>
      </c>
      <c r="G85" s="5112" t="s">
        <v>750</v>
      </c>
      <c r="H85" s="5117">
        <v>9</v>
      </c>
      <c r="I85" s="197"/>
      <c r="J85" s="5116" t="s">
        <v>750</v>
      </c>
      <c r="K85" s="5115">
        <f>IF(AND(ISNUMBER(H85),H86&lt;=1,H85&gt;0),H85,IF(OR(ISBLANK(H84),ISBLANK(H86),NOT(ISNUMBER(H84)),NOT(ISNUMBER(H86))),"",MAX(0,H84*(1-IF(H86&gt;1,H86/100,H86)))))</f>
        <v>9</v>
      </c>
      <c r="L85" s="5178" t="str">
        <f ca="1">_xlfn.FORMULATEXT(K85)</f>
        <v>=SI(ET(ESTNUM(H85);H86&lt;=1;H85&gt;0);H85;SI(OU(ESTVIDE(H84);ESTVIDE(H86);NON(ESTNUM(H84));NON(ESTNUM(H86)));"";MAX(0;H84*(1-SI(H86&gt;1;H86/100;H86)))))</v>
      </c>
      <c r="M85" s="172"/>
      <c r="N85" s="172"/>
      <c r="O85" s="172"/>
      <c r="P85" s="555"/>
      <c r="Q85" s="1171"/>
      <c r="R85" s="104" t="str">
        <f t="shared" ca="1" si="11"/>
        <v>A</v>
      </c>
      <c r="S85" s="157" t="str">
        <f>S16</f>
        <v>N NUESTRA MORCILLA | | Autor &gt; Guy KRENZE - Eric GODDYN - Arnaud NICOLAS - CEPROC 2002</v>
      </c>
      <c r="T85" s="157">
        <f>T16</f>
        <v>16.34</v>
      </c>
      <c r="U85" s="158" t="str">
        <f>U16</f>
        <v>Kg</v>
      </c>
      <c r="V85" s="159" t="str">
        <f>V16</f>
        <v>Receta madre ► Morcilla en 4 versiones</v>
      </c>
      <c r="W85" s="5112" t="s">
        <v>1657</v>
      </c>
      <c r="X85" s="5117">
        <v>9</v>
      </c>
      <c r="Y85" s="197"/>
      <c r="Z85" s="5116" t="s">
        <v>1657</v>
      </c>
      <c r="AA85" s="5115">
        <f>IF(AND(ISNUMBER(X85),X86&lt;=1,X85&gt;0),X85,IF(OR(ISBLANK(X84),ISBLANK(X86),NOT(ISNUMBER(X84)),NOT(ISNUMBER(X86))),"",MAX(0,X84*(1-IF(X86&gt;1,X86/100,X86)))))</f>
        <v>9</v>
      </c>
      <c r="AB85" s="5178" t="str">
        <f ca="1">_xlfn.FORMULATEXT(AA85)</f>
        <v>=SI(ET(ESTNUM(X85);X86&lt;=1;X85&gt;0);X85;SI(OU(ESTVIDE(X84);ESTVIDE(X86);NON(ESTNUM(X84));NON(ESTNUM(X86)));"";MAX(0;X84*(1-SI(X86&gt;1;X86/100;X86)))))</v>
      </c>
      <c r="AC85" s="172"/>
      <c r="AD85" s="172"/>
      <c r="AE85" s="172"/>
      <c r="AF85" s="555"/>
      <c r="AG85" s="1171"/>
      <c r="AH85" s="104"/>
      <c r="AI85" s="1172"/>
      <c r="AJ85" s="1172"/>
      <c r="AK85" s="1172"/>
      <c r="AL85" s="1173"/>
      <c r="AM85" s="1174"/>
      <c r="AN85" s="1175"/>
      <c r="AO85" s="1176"/>
      <c r="AP85" s="1177"/>
      <c r="AQ85" s="1547"/>
      <c r="AR85" s="1177"/>
      <c r="AS85" s="1548"/>
      <c r="AT85" s="1549"/>
      <c r="AU85" s="1178"/>
      <c r="AV85" s="1179"/>
      <c r="AY85" s="3">
        <v>1</v>
      </c>
    </row>
    <row r="86" spans="2:51" ht="27" customHeight="1">
      <c r="B86" s="104" t="str">
        <f t="shared" ca="1" si="10"/>
        <v>A</v>
      </c>
      <c r="C86" s="157" t="str">
        <f>C16</f>
        <v>N NOTRE BOUDIN NOIR | | Auteur &gt; Guy KRENZE - Eric GODDYN - Arnaud NICOLAS - CEPROC 2002</v>
      </c>
      <c r="D86" s="157">
        <f>D16</f>
        <v>16.34</v>
      </c>
      <c r="E86" s="158" t="str">
        <f>E16</f>
        <v>Kg</v>
      </c>
      <c r="F86" s="159" t="str">
        <f>F16</f>
        <v>Recette mère ► le Boudin en 4 déclinaisons</v>
      </c>
      <c r="G86" s="5113" t="s">
        <v>764</v>
      </c>
      <c r="H86" s="5118"/>
      <c r="I86" s="197"/>
      <c r="J86" s="5116" t="s">
        <v>764</v>
      </c>
      <c r="K86" s="5177">
        <f>IF( H86 &gt; 0, H86, IF( OR(ISBLANK(H84), ISBLANK(H85), NOT(ISNUMBER(H84)), NOT(ISNUMBER(H85)), H84 = 0), "", (H84 - H85) / H84 * IF(H86 &gt; 1, H86 / 100, 1) ) )</f>
        <v>0.25</v>
      </c>
      <c r="L86" s="5178" t="str">
        <f t="shared" ref="L86:L89" ca="1" si="12">_xlfn.FORMULATEXT(K86)</f>
        <v>=SI( H86 &gt; 0; H86; SI( OU(ESTVIDE(H84); ESTVIDE(H85); NON(ESTNUM(H84)); NON(ESTNUM(H85)); H84 = 0); ""; (H84 - H85) / H84 * SI(H86 &gt; 1; H86 / 100; 1) ) )</v>
      </c>
      <c r="M86" s="172"/>
      <c r="N86" s="172"/>
      <c r="O86" s="172"/>
      <c r="P86" s="555"/>
      <c r="Q86" s="1171"/>
      <c r="R86" s="104" t="str">
        <f t="shared" ca="1" si="11"/>
        <v>A</v>
      </c>
      <c r="S86" s="157" t="str">
        <f>S16</f>
        <v>N NUESTRA MORCILLA | | Autor &gt; Guy KRENZE - Eric GODDYN - Arnaud NICOLAS - CEPROC 2002</v>
      </c>
      <c r="T86" s="157">
        <f>T16</f>
        <v>16.34</v>
      </c>
      <c r="U86" s="158" t="str">
        <f>U16</f>
        <v>Kg</v>
      </c>
      <c r="V86" s="159" t="str">
        <f>V16</f>
        <v>Receta madre ► Morcilla en 4 versiones</v>
      </c>
      <c r="W86" s="5113" t="s">
        <v>13231</v>
      </c>
      <c r="X86" s="5118"/>
      <c r="Y86" s="197"/>
      <c r="Z86" s="5116" t="s">
        <v>13231</v>
      </c>
      <c r="AA86" s="5177">
        <f>IF( X86 &gt; 0, X86, IF( OR(ISBLANK(X84), ISBLANK(X85), NOT(ISNUMBER(X84)), NOT(ISNUMBER(X85)), X84 = 0), "", (X84 - X85) / X84 * IF(X86 &gt; 1, X86 / 100, 1) ) )</f>
        <v>0.25</v>
      </c>
      <c r="AB86" s="5178" t="str">
        <f t="shared" ref="AB86:AB89" ca="1" si="13">_xlfn.FORMULATEXT(AA86)</f>
        <v>=SI( X86 &gt; 0; X86; SI( OU(ESTVIDE(X84); ESTVIDE(X85); NON(ESTNUM(X84)); NON(ESTNUM(X85)); X84 = 0); ""; (X84 - X85) / X84 * SI(X86 &gt; 1; X86 / 100; 1) ) )</v>
      </c>
      <c r="AC86" s="172"/>
      <c r="AD86" s="172"/>
      <c r="AE86" s="172"/>
      <c r="AF86" s="555"/>
      <c r="AG86" s="1171"/>
      <c r="AH86" s="104"/>
      <c r="AI86" s="1172"/>
      <c r="AJ86" s="1172"/>
      <c r="AK86" s="1172"/>
      <c r="AL86" s="1173"/>
      <c r="AM86" s="1174"/>
      <c r="AN86" s="1175"/>
      <c r="AO86" s="1176"/>
      <c r="AP86" s="1177"/>
      <c r="AQ86" s="1547"/>
      <c r="AR86" s="1177"/>
      <c r="AS86" s="1548"/>
      <c r="AT86" s="1549"/>
      <c r="AU86" s="1178"/>
      <c r="AV86" s="1179"/>
      <c r="AY86" s="3">
        <v>1</v>
      </c>
    </row>
    <row r="87" spans="2:51" ht="27" customHeight="1">
      <c r="B87" s="104" t="str">
        <f t="shared" ca="1" si="10"/>
        <v>A</v>
      </c>
      <c r="C87" s="157" t="str">
        <f>C16</f>
        <v>N NOTRE BOUDIN NOIR | | Auteur &gt; Guy KRENZE - Eric GODDYN - Arnaud NICOLAS - CEPROC 2002</v>
      </c>
      <c r="D87" s="157">
        <f>D16</f>
        <v>16.34</v>
      </c>
      <c r="E87" s="158" t="str">
        <f>E16</f>
        <v>Kg</v>
      </c>
      <c r="F87" s="159" t="str">
        <f>F16</f>
        <v>Recette mère ► le Boudin en 4 déclinaisons</v>
      </c>
      <c r="G87" s="5176"/>
      <c r="H87" s="172"/>
      <c r="I87" s="197"/>
      <c r="J87" s="5116" t="s">
        <v>13081</v>
      </c>
      <c r="K87" s="5115">
        <f>IF(AND(NOT(ISBLANK(H84)),NOT(ISBLANK(H85))),H84-H85,IF(NOT(ISBLANK(H86)),IF(NOT(ISBLANK(H84)),H84*IF(H86&gt;1,H86/100,H86),IF(NOT(ISBLANK(H85)),H85*IF(H86&gt;1,H86/100,H86)/(1-IF(H86&gt;1,H86/100,H86)),"")),""))</f>
        <v>3</v>
      </c>
      <c r="L87" s="5178" t="str">
        <f t="shared" ca="1" si="12"/>
        <v>=SI(ET(NON(ESTVIDE(H84));NON(ESTVIDE(H85)));H84-H85;SI(NON(ESTVIDE(H86));SI(NON(ESTVIDE(H84));H84*SI(H86&gt;1;H86/100;H86);SI(NON(ESTVIDE(H85));H85*SI(H86&gt;1;H86/100;H86)/(1-SI(H86&gt;1;H86/100;H86));""));""))</v>
      </c>
      <c r="M87" s="172"/>
      <c r="N87" s="172"/>
      <c r="O87" s="172"/>
      <c r="P87" s="555"/>
      <c r="Q87" s="1171"/>
      <c r="R87" s="104" t="str">
        <f t="shared" ca="1" si="11"/>
        <v>A</v>
      </c>
      <c r="S87" s="157" t="str">
        <f>S16</f>
        <v>N NUESTRA MORCILLA | | Autor &gt; Guy KRENZE - Eric GODDYN - Arnaud NICOLAS - CEPROC 2002</v>
      </c>
      <c r="T87" s="157">
        <f>T16</f>
        <v>16.34</v>
      </c>
      <c r="U87" s="158" t="str">
        <f>U16</f>
        <v>Kg</v>
      </c>
      <c r="V87" s="159" t="str">
        <f>V16</f>
        <v>Receta madre ► Morcilla en 4 versiones</v>
      </c>
      <c r="W87" s="5176"/>
      <c r="X87" s="172"/>
      <c r="Y87" s="197"/>
      <c r="Z87" s="5116" t="s">
        <v>13232</v>
      </c>
      <c r="AA87" s="5115">
        <f>IF(AND(NOT(ISBLANK(X84)),NOT(ISBLANK(X85))),X84-X85,IF(NOT(ISBLANK(X86)),IF(NOT(ISBLANK(X84)),X84*IF(X86&gt;1,X86/100,X86),IF(NOT(ISBLANK(X85)),X85*IF(X86&gt;1,X86/100,X86)/(1-IF(X86&gt;1,X86/100,X86)),"")),""))</f>
        <v>3</v>
      </c>
      <c r="AB87" s="5178" t="str">
        <f t="shared" ca="1" si="13"/>
        <v>=SI(ET(NON(ESTVIDE(X84));NON(ESTVIDE(X85)));X84-X85;SI(NON(ESTVIDE(X86));SI(NON(ESTVIDE(X84));X84*SI(X86&gt;1;X86/100;X86);SI(NON(ESTVIDE(X85));X85*SI(X86&gt;1;X86/100;X86)/(1-SI(X86&gt;1;X86/100;X86));""));""))</v>
      </c>
      <c r="AC87" s="172"/>
      <c r="AD87" s="172"/>
      <c r="AE87" s="172"/>
      <c r="AF87" s="555"/>
      <c r="AG87" s="1171"/>
      <c r="AH87" s="104"/>
      <c r="AI87" s="1172"/>
      <c r="AJ87" s="1172"/>
      <c r="AK87" s="1172"/>
      <c r="AL87" s="1173"/>
      <c r="AM87" s="1174"/>
      <c r="AN87" s="1175"/>
      <c r="AO87" s="1176"/>
      <c r="AP87" s="1177"/>
      <c r="AQ87" s="1547"/>
      <c r="AR87" s="1177"/>
      <c r="AS87" s="1548"/>
      <c r="AT87" s="1549"/>
      <c r="AU87" s="1178"/>
      <c r="AV87" s="1179"/>
      <c r="AY87" s="3">
        <v>1</v>
      </c>
    </row>
    <row r="88" spans="2:51" ht="27" customHeight="1">
      <c r="B88" s="104" t="str">
        <f t="shared" ca="1" si="10"/>
        <v>A</v>
      </c>
      <c r="C88" s="157" t="str">
        <f>C16</f>
        <v>N NOTRE BOUDIN NOIR | | Auteur &gt; Guy KRENZE - Eric GODDYN - Arnaud NICOLAS - CEPROC 2002</v>
      </c>
      <c r="D88" s="157">
        <f>D16</f>
        <v>16.34</v>
      </c>
      <c r="E88" s="158" t="str">
        <f>E16</f>
        <v>Kg</v>
      </c>
      <c r="F88" s="159" t="str">
        <f>F16</f>
        <v>Recette mère ► le Boudin en 4 déclinaisons</v>
      </c>
      <c r="G88" s="5175"/>
      <c r="H88" s="172"/>
      <c r="I88" s="172"/>
      <c r="J88" s="5120" t="s">
        <v>13082</v>
      </c>
      <c r="K88" s="5121">
        <f>IF(OR(ISBLANK(H84),ISBLANK(H85)),"",H84/H85)</f>
        <v>1.3333333333333333</v>
      </c>
      <c r="L88" s="5178" t="str">
        <f t="shared" ca="1" si="12"/>
        <v>=SI(OU(ESTVIDE(H84);ESTVIDE(H85));"";H84/H85)</v>
      </c>
      <c r="M88" s="172"/>
      <c r="N88" s="172"/>
      <c r="O88" s="172"/>
      <c r="P88" s="555"/>
      <c r="Q88" s="1171"/>
      <c r="R88" s="104" t="str">
        <f t="shared" ca="1" si="11"/>
        <v>A</v>
      </c>
      <c r="S88" s="157" t="str">
        <f>S16</f>
        <v>N NUESTRA MORCILLA | | Autor &gt; Guy KRENZE - Eric GODDYN - Arnaud NICOLAS - CEPROC 2002</v>
      </c>
      <c r="T88" s="157">
        <f>T16</f>
        <v>16.34</v>
      </c>
      <c r="U88" s="158" t="str">
        <f>U16</f>
        <v>Kg</v>
      </c>
      <c r="V88" s="159" t="str">
        <f>V16</f>
        <v>Receta madre ► Morcilla en 4 versiones</v>
      </c>
      <c r="W88" s="5175"/>
      <c r="X88" s="172"/>
      <c r="Y88" s="172"/>
      <c r="Z88" s="5120" t="s">
        <v>13233</v>
      </c>
      <c r="AA88" s="5121">
        <f>IF(OR(ISBLANK(X84),ISBLANK(X85)),"",X84/X85)</f>
        <v>1.3333333333333333</v>
      </c>
      <c r="AB88" s="5178" t="str">
        <f t="shared" ca="1" si="13"/>
        <v>=SI(OU(ESTVIDE(X84);ESTVIDE(X85));"";X84/X85)</v>
      </c>
      <c r="AC88" s="172"/>
      <c r="AD88" s="172"/>
      <c r="AE88" s="172"/>
      <c r="AF88" s="555"/>
      <c r="AG88" s="1171"/>
      <c r="AH88" s="104"/>
      <c r="AI88" s="1172"/>
      <c r="AJ88" s="1172"/>
      <c r="AK88" s="1172"/>
      <c r="AL88" s="1173"/>
      <c r="AM88" s="1174"/>
      <c r="AN88" s="1175"/>
      <c r="AO88" s="1176"/>
      <c r="AP88" s="1177"/>
      <c r="AQ88" s="1547"/>
      <c r="AR88" s="1177"/>
      <c r="AS88" s="1548"/>
      <c r="AT88" s="1549"/>
      <c r="AU88" s="1178"/>
      <c r="AV88" s="1179"/>
      <c r="AY88" s="3">
        <v>1</v>
      </c>
    </row>
    <row r="89" spans="2:51" ht="27" customHeight="1">
      <c r="B89" s="104" t="str">
        <f t="shared" ca="1" si="10"/>
        <v>A</v>
      </c>
      <c r="C89" s="157" t="str">
        <f>C16</f>
        <v>N NOTRE BOUDIN NOIR | | Auteur &gt; Guy KRENZE - Eric GODDYN - Arnaud NICOLAS - CEPROC 2002</v>
      </c>
      <c r="D89" s="157">
        <f>D16</f>
        <v>16.34</v>
      </c>
      <c r="E89" s="158" t="str">
        <f>E16</f>
        <v>Kg</v>
      </c>
      <c r="F89" s="159" t="str">
        <f>F16</f>
        <v>Recette mère ► le Boudin en 4 déclinaisons</v>
      </c>
      <c r="G89" s="5119"/>
      <c r="H89" s="172"/>
      <c r="I89" s="172"/>
      <c r="J89" s="5120" t="s">
        <v>13083</v>
      </c>
      <c r="K89" s="5123">
        <f>IF(OR(ISBLANK(H84),ISBLANK(H85)),"",H85/H84)</f>
        <v>0.75</v>
      </c>
      <c r="L89" s="5178" t="str">
        <f t="shared" ca="1" si="12"/>
        <v>=SI(OU(ESTVIDE(H84);ESTVIDE(H85));"";H85/H84)</v>
      </c>
      <c r="M89" s="172"/>
      <c r="N89" s="172"/>
      <c r="O89" s="172"/>
      <c r="P89" s="555"/>
      <c r="Q89" s="1171"/>
      <c r="R89" s="104" t="str">
        <f t="shared" ca="1" si="11"/>
        <v>A</v>
      </c>
      <c r="S89" s="157" t="str">
        <f>S16</f>
        <v>N NUESTRA MORCILLA | | Autor &gt; Guy KRENZE - Eric GODDYN - Arnaud NICOLAS - CEPROC 2002</v>
      </c>
      <c r="T89" s="157">
        <f>T16</f>
        <v>16.34</v>
      </c>
      <c r="U89" s="158" t="str">
        <f>U16</f>
        <v>Kg</v>
      </c>
      <c r="V89" s="159" t="str">
        <f>V16</f>
        <v>Receta madre ► Morcilla en 4 versiones</v>
      </c>
      <c r="W89" s="5119"/>
      <c r="X89" s="172"/>
      <c r="Y89" s="172"/>
      <c r="Z89" s="5120" t="s">
        <v>13234</v>
      </c>
      <c r="AA89" s="5123">
        <f>IF(OR(ISBLANK(X84),ISBLANK(X85)),"",X85/X84)</f>
        <v>0.75</v>
      </c>
      <c r="AB89" s="5178" t="str">
        <f t="shared" ca="1" si="13"/>
        <v>=SI(OU(ESTVIDE(X84);ESTVIDE(X85));"";X85/X84)</v>
      </c>
      <c r="AC89" s="172"/>
      <c r="AD89" s="172"/>
      <c r="AE89" s="172"/>
      <c r="AF89" s="555"/>
      <c r="AG89" s="1171"/>
      <c r="AH89" s="104"/>
      <c r="AI89" s="1172"/>
      <c r="AJ89" s="1172"/>
      <c r="AK89" s="1172"/>
      <c r="AL89" s="1173"/>
      <c r="AM89" s="1174"/>
      <c r="AN89" s="1175"/>
      <c r="AO89" s="1176"/>
      <c r="AP89" s="1177"/>
      <c r="AQ89" s="1547"/>
      <c r="AR89" s="1177"/>
      <c r="AS89" s="1548"/>
      <c r="AT89" s="1549"/>
      <c r="AU89" s="1178"/>
      <c r="AV89" s="1179"/>
      <c r="AY89" s="3">
        <v>1</v>
      </c>
    </row>
    <row r="90" spans="2:51" ht="27" customHeight="1">
      <c r="B90" s="104" t="str">
        <f t="shared" si="10"/>
        <v>►</v>
      </c>
      <c r="C90" s="157" t="str">
        <f>C16</f>
        <v>N NOTRE BOUDIN NOIR | | Auteur &gt; Guy KRENZE - Eric GODDYN - Arnaud NICOLAS - CEPROC 2002</v>
      </c>
      <c r="D90" s="157">
        <f>D16</f>
        <v>16.34</v>
      </c>
      <c r="E90" s="158" t="str">
        <f>E16</f>
        <v>Kg</v>
      </c>
      <c r="F90" s="159" t="str">
        <f>F16</f>
        <v>Recette mère ► le Boudin en 4 déclinaisons</v>
      </c>
      <c r="G90" s="5124" t="s">
        <v>9233</v>
      </c>
      <c r="H90" s="5125"/>
      <c r="I90" s="5125"/>
      <c r="J90" s="5125"/>
      <c r="K90" s="5126"/>
      <c r="L90" s="172"/>
      <c r="M90" s="172"/>
      <c r="N90" s="172"/>
      <c r="O90" s="172"/>
      <c r="P90" s="555"/>
      <c r="Q90" s="1171"/>
      <c r="R90" s="104" t="str">
        <f t="shared" si="11"/>
        <v>►</v>
      </c>
      <c r="S90" s="157" t="str">
        <f>S16</f>
        <v>N NUESTRA MORCILLA | | Autor &gt; Guy KRENZE - Eric GODDYN - Arnaud NICOLAS - CEPROC 2002</v>
      </c>
      <c r="T90" s="157">
        <f>T16</f>
        <v>16.34</v>
      </c>
      <c r="U90" s="158" t="str">
        <f>U16</f>
        <v>Kg</v>
      </c>
      <c r="V90" s="159" t="str">
        <f>V16</f>
        <v>Receta madre ► Morcilla en 4 versiones</v>
      </c>
      <c r="W90" s="5124" t="s">
        <v>13238</v>
      </c>
      <c r="X90" s="5125"/>
      <c r="Y90" s="5125"/>
      <c r="Z90" s="5125"/>
      <c r="AA90" s="5126"/>
      <c r="AB90" s="172"/>
      <c r="AC90" s="172"/>
      <c r="AD90" s="172"/>
      <c r="AE90" s="172"/>
      <c r="AF90" s="555"/>
      <c r="AG90" s="1171"/>
      <c r="AH90" s="104"/>
      <c r="AI90" s="1172"/>
      <c r="AJ90" s="1172"/>
      <c r="AK90" s="1172"/>
      <c r="AL90" s="1173"/>
      <c r="AM90" s="1174"/>
      <c r="AN90" s="1175"/>
      <c r="AO90" s="1176"/>
      <c r="AP90" s="1177"/>
      <c r="AQ90" s="1547"/>
      <c r="AR90" s="1177"/>
      <c r="AS90" s="1548"/>
      <c r="AT90" s="1549"/>
      <c r="AU90" s="1178"/>
      <c r="AV90" s="1179"/>
      <c r="AY90" s="3">
        <v>1</v>
      </c>
    </row>
    <row r="91" spans="2:51" ht="27" customHeight="1">
      <c r="B91" s="104" t="str">
        <f t="shared" si="10"/>
        <v>►</v>
      </c>
      <c r="C91" s="157" t="str">
        <f>C16</f>
        <v>N NOTRE BOUDIN NOIR | | Auteur &gt; Guy KRENZE - Eric GODDYN - Arnaud NICOLAS - CEPROC 2002</v>
      </c>
      <c r="D91" s="157">
        <f>D16</f>
        <v>16.34</v>
      </c>
      <c r="E91" s="158" t="str">
        <f>E16</f>
        <v>Kg</v>
      </c>
      <c r="F91" s="159" t="str">
        <f>F16</f>
        <v>Recette mère ► le Boudin en 4 déclinaisons</v>
      </c>
      <c r="G91" s="172" t="s">
        <v>13243</v>
      </c>
      <c r="H91" s="172"/>
      <c r="I91" s="172"/>
      <c r="J91" s="172"/>
      <c r="K91" s="172"/>
      <c r="L91" s="172"/>
      <c r="M91" s="172"/>
      <c r="N91" s="172"/>
      <c r="O91" s="172"/>
      <c r="P91" s="555"/>
      <c r="Q91" s="1171"/>
      <c r="R91" s="104" t="str">
        <f t="shared" si="11"/>
        <v>►</v>
      </c>
      <c r="S91" s="157" t="str">
        <f>S16</f>
        <v>N NUESTRA MORCILLA | | Autor &gt; Guy KRENZE - Eric GODDYN - Arnaud NICOLAS - CEPROC 2002</v>
      </c>
      <c r="T91" s="157">
        <f>T16</f>
        <v>16.34</v>
      </c>
      <c r="U91" s="158" t="str">
        <f>U16</f>
        <v>Kg</v>
      </c>
      <c r="V91" s="159" t="str">
        <f>V16</f>
        <v>Receta madre ► Morcilla en 4 versiones</v>
      </c>
      <c r="W91" s="172" t="s">
        <v>13242</v>
      </c>
      <c r="X91" s="172"/>
      <c r="Y91" s="172"/>
      <c r="Z91" s="172"/>
      <c r="AA91" s="172"/>
      <c r="AB91" s="172"/>
      <c r="AC91" s="172"/>
      <c r="AD91" s="172"/>
      <c r="AE91" s="172"/>
      <c r="AF91" s="555"/>
      <c r="AG91" s="1171"/>
      <c r="AH91" s="104"/>
      <c r="AI91" s="1172"/>
      <c r="AJ91" s="1172"/>
      <c r="AK91" s="1172"/>
      <c r="AL91" s="1173"/>
      <c r="AM91" s="1174"/>
      <c r="AN91" s="1175"/>
      <c r="AO91" s="1176"/>
      <c r="AP91" s="1177"/>
      <c r="AQ91" s="1547"/>
      <c r="AR91" s="1177"/>
      <c r="AS91" s="1548"/>
      <c r="AT91" s="1549"/>
      <c r="AU91" s="1178"/>
      <c r="AV91" s="1179"/>
      <c r="AY91" s="3">
        <v>1</v>
      </c>
    </row>
    <row r="92" spans="2:51" ht="27" customHeight="1">
      <c r="B92" s="104" t="str">
        <f t="shared" si="10"/>
        <v>►</v>
      </c>
      <c r="C92" s="157" t="str">
        <f>C16</f>
        <v>N NOTRE BOUDIN NOIR | | Auteur &gt; Guy KRENZE - Eric GODDYN - Arnaud NICOLAS - CEPROC 2002</v>
      </c>
      <c r="D92" s="157">
        <f>D16</f>
        <v>16.34</v>
      </c>
      <c r="E92" s="158" t="str">
        <f>E16</f>
        <v>Kg</v>
      </c>
      <c r="F92" s="159" t="str">
        <f>F16</f>
        <v>Recette mère ► le Boudin en 4 déclinaisons</v>
      </c>
      <c r="G92" s="172"/>
      <c r="H92" s="172"/>
      <c r="I92" s="172"/>
      <c r="J92" s="172"/>
      <c r="K92" s="172"/>
      <c r="L92" s="172"/>
      <c r="M92" s="172"/>
      <c r="N92" s="172"/>
      <c r="O92" s="172"/>
      <c r="P92" s="555"/>
      <c r="Q92" s="1171"/>
      <c r="R92" s="104" t="str">
        <f t="shared" si="11"/>
        <v>►</v>
      </c>
      <c r="S92" s="157" t="str">
        <f>S16</f>
        <v>N NUESTRA MORCILLA | | Autor &gt; Guy KRENZE - Eric GODDYN - Arnaud NICOLAS - CEPROC 2002</v>
      </c>
      <c r="T92" s="157">
        <f>T16</f>
        <v>16.34</v>
      </c>
      <c r="U92" s="158" t="str">
        <f>U16</f>
        <v>Kg</v>
      </c>
      <c r="V92" s="159" t="str">
        <f>V16</f>
        <v>Receta madre ► Morcilla en 4 versiones</v>
      </c>
      <c r="W92" s="172"/>
      <c r="X92" s="172"/>
      <c r="Y92" s="172"/>
      <c r="Z92" s="172"/>
      <c r="AA92" s="172"/>
      <c r="AB92" s="172"/>
      <c r="AC92" s="172"/>
      <c r="AD92" s="172"/>
      <c r="AE92" s="172"/>
      <c r="AF92" s="555"/>
      <c r="AG92" s="1171"/>
      <c r="AH92" s="104"/>
      <c r="AI92" s="1172"/>
      <c r="AJ92" s="1172"/>
      <c r="AK92" s="1172"/>
      <c r="AL92" s="1173"/>
      <c r="AM92" s="1174"/>
      <c r="AN92" s="1175"/>
      <c r="AO92" s="1176"/>
      <c r="AP92" s="1177"/>
      <c r="AQ92" s="1547"/>
      <c r="AR92" s="1177"/>
      <c r="AS92" s="1548"/>
      <c r="AT92" s="1549"/>
      <c r="AU92" s="1178"/>
      <c r="AV92" s="1179"/>
      <c r="AY92" s="3">
        <v>1</v>
      </c>
    </row>
    <row r="93" spans="2:51" ht="27" customHeight="1">
      <c r="B93" s="104" t="str">
        <f t="shared" si="10"/>
        <v>►</v>
      </c>
      <c r="C93" s="157" t="str">
        <f>C16</f>
        <v>N NOTRE BOUDIN NOIR | | Auteur &gt; Guy KRENZE - Eric GODDYN - Arnaud NICOLAS - CEPROC 2002</v>
      </c>
      <c r="D93" s="157">
        <f>D16</f>
        <v>16.34</v>
      </c>
      <c r="E93" s="158" t="str">
        <f>E16</f>
        <v>Kg</v>
      </c>
      <c r="F93" s="159" t="str">
        <f>F16</f>
        <v>Recette mère ► le Boudin en 4 déclinaisons</v>
      </c>
      <c r="G93" s="172"/>
      <c r="H93" s="172"/>
      <c r="I93" s="172"/>
      <c r="J93" s="172"/>
      <c r="K93" s="172"/>
      <c r="L93" s="172"/>
      <c r="M93" s="172"/>
      <c r="N93" s="172"/>
      <c r="O93" s="172"/>
      <c r="P93" s="555"/>
      <c r="Q93" s="1171"/>
      <c r="R93" s="104" t="str">
        <f t="shared" si="11"/>
        <v>►</v>
      </c>
      <c r="S93" s="157" t="str">
        <f>S16</f>
        <v>N NUESTRA MORCILLA | | Autor &gt; Guy KRENZE - Eric GODDYN - Arnaud NICOLAS - CEPROC 2002</v>
      </c>
      <c r="T93" s="157">
        <f>T16</f>
        <v>16.34</v>
      </c>
      <c r="U93" s="158" t="str">
        <f>U16</f>
        <v>Kg</v>
      </c>
      <c r="V93" s="159" t="str">
        <f>V16</f>
        <v>Receta madre ► Morcilla en 4 versiones</v>
      </c>
      <c r="W93" s="172"/>
      <c r="X93" s="172"/>
      <c r="Y93" s="172"/>
      <c r="Z93" s="172"/>
      <c r="AA93" s="172"/>
      <c r="AB93" s="172"/>
      <c r="AC93" s="172"/>
      <c r="AD93" s="172"/>
      <c r="AE93" s="172"/>
      <c r="AF93" s="555"/>
      <c r="AG93" s="1171"/>
      <c r="AH93" s="104"/>
      <c r="AI93" s="1172"/>
      <c r="AJ93" s="1172"/>
      <c r="AK93" s="1172"/>
      <c r="AL93" s="1173"/>
      <c r="AM93" s="1174"/>
      <c r="AN93" s="1175"/>
      <c r="AO93" s="1176"/>
      <c r="AP93" s="1177"/>
      <c r="AQ93" s="1547"/>
      <c r="AR93" s="1177"/>
      <c r="AS93" s="1548"/>
      <c r="AT93" s="1549"/>
      <c r="AU93" s="1178"/>
      <c r="AV93" s="1179"/>
      <c r="AY93" s="3">
        <v>1</v>
      </c>
    </row>
    <row r="94" spans="2:51" ht="27" customHeight="1">
      <c r="B94" s="104" t="str">
        <f t="shared" si="10"/>
        <v>►</v>
      </c>
      <c r="C94" s="157" t="str">
        <f>C16</f>
        <v>N NOTRE BOUDIN NOIR | | Auteur &gt; Guy KRENZE - Eric GODDYN - Arnaud NICOLAS - CEPROC 2002</v>
      </c>
      <c r="D94" s="157">
        <f>D16</f>
        <v>16.34</v>
      </c>
      <c r="E94" s="158" t="str">
        <f>E16</f>
        <v>Kg</v>
      </c>
      <c r="F94" s="159" t="str">
        <f>F16</f>
        <v>Recette mère ► le Boudin en 4 déclinaisons</v>
      </c>
      <c r="G94" s="172"/>
      <c r="H94" s="172"/>
      <c r="I94" s="172"/>
      <c r="J94" s="172"/>
      <c r="K94" s="172"/>
      <c r="L94" s="172"/>
      <c r="M94" s="172"/>
      <c r="N94" s="172"/>
      <c r="O94" s="172"/>
      <c r="P94" s="555"/>
      <c r="Q94" s="1171"/>
      <c r="R94" s="104" t="str">
        <f t="shared" si="11"/>
        <v>►</v>
      </c>
      <c r="S94" s="157" t="str">
        <f>S16</f>
        <v>N NUESTRA MORCILLA | | Autor &gt; Guy KRENZE - Eric GODDYN - Arnaud NICOLAS - CEPROC 2002</v>
      </c>
      <c r="T94" s="157">
        <f>T16</f>
        <v>16.34</v>
      </c>
      <c r="U94" s="158" t="str">
        <f>U16</f>
        <v>Kg</v>
      </c>
      <c r="V94" s="159" t="str">
        <f>V16</f>
        <v>Receta madre ► Morcilla en 4 versiones</v>
      </c>
      <c r="W94" s="172"/>
      <c r="X94" s="172"/>
      <c r="Y94" s="172"/>
      <c r="Z94" s="172"/>
      <c r="AA94" s="172"/>
      <c r="AB94" s="172"/>
      <c r="AC94" s="172"/>
      <c r="AD94" s="172"/>
      <c r="AE94" s="172"/>
      <c r="AF94" s="555"/>
      <c r="AG94" s="1171"/>
      <c r="AH94" s="104"/>
      <c r="AI94" s="1172"/>
      <c r="AJ94" s="1172"/>
      <c r="AK94" s="1172"/>
      <c r="AL94" s="1173"/>
      <c r="AM94" s="1174"/>
      <c r="AN94" s="1175"/>
      <c r="AO94" s="1176"/>
      <c r="AP94" s="1177"/>
      <c r="AQ94" s="1547"/>
      <c r="AR94" s="1177"/>
      <c r="AS94" s="1548"/>
      <c r="AT94" s="1549"/>
      <c r="AU94" s="1178"/>
      <c r="AV94" s="1179"/>
      <c r="AY94" s="3">
        <v>1</v>
      </c>
    </row>
    <row r="95" spans="2:51" ht="27" customHeight="1">
      <c r="B95" s="104" t="str">
        <f>IF(COUNTIF(H95:L95,"&lt;&gt;")&gt;0,"A","►")</f>
        <v>►</v>
      </c>
      <c r="C95" s="157" t="str">
        <f>C16</f>
        <v>N NOTRE BOUDIN NOIR | | Auteur &gt; Guy KRENZE - Eric GODDYN - Arnaud NICOLAS - CEPROC 2002</v>
      </c>
      <c r="D95" s="157">
        <f>D16</f>
        <v>16.34</v>
      </c>
      <c r="E95" s="158" t="str">
        <f>E16</f>
        <v>Kg</v>
      </c>
      <c r="F95" s="159" t="str">
        <f>F16</f>
        <v>Recette mère ► le Boudin en 4 déclinaisons</v>
      </c>
      <c r="G95" s="172"/>
      <c r="H95" s="172"/>
      <c r="I95" s="172"/>
      <c r="J95" s="172"/>
      <c r="K95" s="172"/>
      <c r="L95" s="172"/>
      <c r="M95" s="172"/>
      <c r="N95" s="172"/>
      <c r="O95" s="172"/>
      <c r="P95" s="555"/>
      <c r="Q95" s="1171"/>
      <c r="R95" s="104" t="str">
        <f>IF(COUNTIF(X95:AB95,"&lt;&gt;")&gt;0,"A","►")</f>
        <v>►</v>
      </c>
      <c r="S95" s="157" t="str">
        <f>S16</f>
        <v>N NUESTRA MORCILLA | | Autor &gt; Guy KRENZE - Eric GODDYN - Arnaud NICOLAS - CEPROC 2002</v>
      </c>
      <c r="T95" s="157">
        <f>T16</f>
        <v>16.34</v>
      </c>
      <c r="U95" s="158" t="str">
        <f>U16</f>
        <v>Kg</v>
      </c>
      <c r="V95" s="159" t="str">
        <f>V16</f>
        <v>Receta madre ► Morcilla en 4 versiones</v>
      </c>
      <c r="W95" s="172"/>
      <c r="X95" s="172"/>
      <c r="Y95" s="172"/>
      <c r="Z95" s="172"/>
      <c r="AA95" s="172"/>
      <c r="AB95" s="172"/>
      <c r="AC95" s="172"/>
      <c r="AD95" s="172"/>
      <c r="AE95" s="172"/>
      <c r="AF95" s="555"/>
      <c r="AG95" s="1171"/>
      <c r="AH95" s="104"/>
      <c r="AI95" s="1172"/>
      <c r="AJ95" s="1172"/>
      <c r="AK95" s="1172"/>
      <c r="AL95" s="1173"/>
      <c r="AM95" s="1174"/>
      <c r="AN95" s="1175"/>
      <c r="AO95" s="1176"/>
      <c r="AP95" s="1177"/>
      <c r="AQ95" s="1547"/>
      <c r="AR95" s="1177"/>
      <c r="AS95" s="1548"/>
      <c r="AT95" s="1549"/>
      <c r="AU95" s="1178"/>
      <c r="AV95" s="1179"/>
      <c r="AY95" s="3">
        <v>1</v>
      </c>
    </row>
    <row r="96" spans="2:51" ht="27" customHeight="1">
      <c r="B96" s="104" t="str">
        <f t="shared" si="10"/>
        <v>►</v>
      </c>
      <c r="C96" s="157" t="str">
        <f>C16</f>
        <v>N NOTRE BOUDIN NOIR | | Auteur &gt; Guy KRENZE - Eric GODDYN - Arnaud NICOLAS - CEPROC 2002</v>
      </c>
      <c r="D96" s="157">
        <f>D16</f>
        <v>16.34</v>
      </c>
      <c r="E96" s="158" t="str">
        <f>E16</f>
        <v>Kg</v>
      </c>
      <c r="F96" s="159" t="str">
        <f>F16</f>
        <v>Recette mère ► le Boudin en 4 déclinaisons</v>
      </c>
      <c r="G96" s="172"/>
      <c r="H96" s="172"/>
      <c r="I96" s="172"/>
      <c r="J96" s="172"/>
      <c r="K96" s="172"/>
      <c r="L96" s="172"/>
      <c r="M96" s="172"/>
      <c r="N96" s="172"/>
      <c r="O96" s="172"/>
      <c r="P96" s="555"/>
      <c r="Q96" s="1171"/>
      <c r="R96" s="104" t="str">
        <f t="shared" si="11"/>
        <v>►</v>
      </c>
      <c r="S96" s="157" t="str">
        <f>S16</f>
        <v>N NUESTRA MORCILLA | | Autor &gt; Guy KRENZE - Eric GODDYN - Arnaud NICOLAS - CEPROC 2002</v>
      </c>
      <c r="T96" s="157">
        <f>T16</f>
        <v>16.34</v>
      </c>
      <c r="U96" s="158" t="str">
        <f>U16</f>
        <v>Kg</v>
      </c>
      <c r="V96" s="159" t="str">
        <f>V16</f>
        <v>Receta madre ► Morcilla en 4 versiones</v>
      </c>
      <c r="W96" s="172"/>
      <c r="X96" s="172"/>
      <c r="Y96" s="172"/>
      <c r="Z96" s="172"/>
      <c r="AA96" s="172"/>
      <c r="AB96" s="172"/>
      <c r="AC96" s="172"/>
      <c r="AD96" s="172"/>
      <c r="AE96" s="172"/>
      <c r="AF96" s="555"/>
      <c r="AG96" s="1171"/>
      <c r="AH96" s="104"/>
      <c r="AI96" s="1172"/>
      <c r="AJ96" s="1172"/>
      <c r="AK96" s="1172"/>
      <c r="AL96" s="1173"/>
      <c r="AM96" s="1174"/>
      <c r="AN96" s="1175"/>
      <c r="AO96" s="1176"/>
      <c r="AP96" s="1177"/>
      <c r="AQ96" s="1547"/>
      <c r="AR96" s="1177"/>
      <c r="AS96" s="1548"/>
      <c r="AT96" s="1549"/>
      <c r="AU96" s="1178"/>
      <c r="AV96" s="1179"/>
      <c r="AY96" s="3">
        <v>1</v>
      </c>
    </row>
    <row r="97" spans="2:51" ht="27" customHeight="1">
      <c r="B97" s="196" t="s">
        <v>11</v>
      </c>
      <c r="C97" s="157" t="str">
        <f>C16</f>
        <v>N NOTRE BOUDIN NOIR | | Auteur &gt; Guy KRENZE - Eric GODDYN - Arnaud NICOLAS - CEPROC 2002</v>
      </c>
      <c r="D97" s="157">
        <f>D16</f>
        <v>16.34</v>
      </c>
      <c r="E97" s="158" t="str">
        <f>E16</f>
        <v>Kg</v>
      </c>
      <c r="F97" s="159" t="str">
        <f>F16</f>
        <v>Recette mère ► le Boudin en 4 déclinaisons</v>
      </c>
      <c r="G97" s="167"/>
      <c r="H97" s="172"/>
      <c r="I97" s="172"/>
      <c r="J97" s="172"/>
      <c r="K97" s="172"/>
      <c r="L97" s="172"/>
      <c r="M97" s="172"/>
      <c r="N97" s="172"/>
      <c r="O97" s="172"/>
      <c r="P97" s="1485" t="s">
        <v>197</v>
      </c>
      <c r="Q97" s="1171"/>
      <c r="R97" s="196" t="s">
        <v>11</v>
      </c>
      <c r="S97" s="157" t="str">
        <f>S16</f>
        <v>N NUESTRA MORCILLA | | Autor &gt; Guy KRENZE - Eric GODDYN - Arnaud NICOLAS - CEPROC 2002</v>
      </c>
      <c r="T97" s="157">
        <f>T16</f>
        <v>16.34</v>
      </c>
      <c r="U97" s="158" t="str">
        <f>U16</f>
        <v>Kg</v>
      </c>
      <c r="V97" s="159" t="str">
        <f>V16</f>
        <v>Receta madre ► Morcilla en 4 versiones</v>
      </c>
      <c r="W97" s="167"/>
      <c r="X97" s="172"/>
      <c r="Y97" s="172"/>
      <c r="Z97" s="172"/>
      <c r="AA97" s="172"/>
      <c r="AB97" s="172"/>
      <c r="AC97" s="172"/>
      <c r="AD97" s="172"/>
      <c r="AE97" s="172"/>
      <c r="AF97" s="1485" t="s">
        <v>197</v>
      </c>
      <c r="AG97" s="1171"/>
      <c r="AH97" s="104"/>
      <c r="AI97" s="1172"/>
      <c r="AJ97" s="1172"/>
      <c r="AK97" s="1172"/>
      <c r="AL97" s="1173"/>
      <c r="AM97" s="1174"/>
      <c r="AN97" s="1175"/>
      <c r="AO97" s="1176"/>
      <c r="AP97" s="1177"/>
      <c r="AQ97" s="1547"/>
      <c r="AR97" s="1177"/>
      <c r="AS97" s="1548"/>
      <c r="AT97" s="1549"/>
      <c r="AU97" s="1178"/>
      <c r="AV97" s="1179"/>
      <c r="AY97" s="3">
        <v>1</v>
      </c>
    </row>
    <row r="98" spans="2:51" ht="27" customHeight="1">
      <c r="B98" s="196" t="s">
        <v>11</v>
      </c>
      <c r="C98" s="157" t="str">
        <f>C16</f>
        <v>N NOTRE BOUDIN NOIR | | Auteur &gt; Guy KRENZE - Eric GODDYN - Arnaud NICOLAS - CEPROC 2002</v>
      </c>
      <c r="D98" s="157">
        <f>D16</f>
        <v>16.34</v>
      </c>
      <c r="E98" s="158" t="str">
        <f>E16</f>
        <v>Kg</v>
      </c>
      <c r="F98" s="159" t="str">
        <f>F16</f>
        <v>Recette mère ► le Boudin en 4 déclinaisons</v>
      </c>
      <c r="G98" s="204"/>
      <c r="H98" s="204"/>
      <c r="I98" s="204" t="s">
        <v>201</v>
      </c>
      <c r="J98" s="205"/>
      <c r="K98" s="206"/>
      <c r="L98" s="206"/>
      <c r="M98" s="206"/>
      <c r="N98" s="206"/>
      <c r="O98" s="206"/>
      <c r="P98" s="567"/>
      <c r="Q98" s="1171"/>
      <c r="R98" s="196" t="s">
        <v>11</v>
      </c>
      <c r="S98" s="157" t="str">
        <f>S16</f>
        <v>N NUESTRA MORCILLA | | Autor &gt; Guy KRENZE - Eric GODDYN - Arnaud NICOLAS - CEPROC 2002</v>
      </c>
      <c r="T98" s="157">
        <f>T16</f>
        <v>16.34</v>
      </c>
      <c r="U98" s="158" t="str">
        <f>U16</f>
        <v>Kg</v>
      </c>
      <c r="V98" s="159" t="str">
        <f>V16</f>
        <v>Receta madre ► Morcilla en 4 versiones</v>
      </c>
      <c r="W98" s="204"/>
      <c r="X98" s="204"/>
      <c r="Y98" s="204" t="s">
        <v>201</v>
      </c>
      <c r="Z98" s="205"/>
      <c r="AA98" s="206"/>
      <c r="AB98" s="206"/>
      <c r="AC98" s="206"/>
      <c r="AD98" s="206"/>
      <c r="AE98" s="206"/>
      <c r="AF98" s="567"/>
      <c r="AG98" s="1171"/>
      <c r="AH98" s="104"/>
      <c r="AI98" s="1172"/>
      <c r="AJ98" s="1172"/>
      <c r="AK98" s="1172"/>
      <c r="AL98" s="1173"/>
      <c r="AM98" s="1174"/>
      <c r="AN98" s="1175"/>
      <c r="AO98" s="1176"/>
      <c r="AP98" s="1177"/>
      <c r="AQ98" s="1547"/>
      <c r="AR98" s="1177"/>
      <c r="AS98" s="1548"/>
      <c r="AT98" s="1549"/>
      <c r="AU98" s="1178"/>
      <c r="AV98" s="1179"/>
      <c r="AY98" s="3">
        <v>1</v>
      </c>
    </row>
    <row r="99" spans="2:51" ht="27" customHeight="1">
      <c r="B99" s="196" t="s">
        <v>11</v>
      </c>
      <c r="C99" s="209" t="str">
        <f>C16</f>
        <v>N NOTRE BOUDIN NOIR | | Auteur &gt; Guy KRENZE - Eric GODDYN - Arnaud NICOLAS - CEPROC 2002</v>
      </c>
      <c r="D99" s="209">
        <f>D16</f>
        <v>16.34</v>
      </c>
      <c r="E99" s="210" t="str">
        <f>E16</f>
        <v>Kg</v>
      </c>
      <c r="F99" s="211" t="str">
        <f>F16</f>
        <v>Recette mère ► le Boudin en 4 déclinaisons</v>
      </c>
      <c r="G99" s="212"/>
      <c r="H99" s="213"/>
      <c r="I99" s="214"/>
      <c r="J99" s="215"/>
      <c r="K99" s="214"/>
      <c r="L99" s="214"/>
      <c r="M99" s="214"/>
      <c r="N99" s="214"/>
      <c r="O99" s="214"/>
      <c r="P99" s="582"/>
      <c r="Q99" s="1171"/>
      <c r="R99" s="196" t="s">
        <v>11</v>
      </c>
      <c r="S99" s="209" t="str">
        <f>S16</f>
        <v>N NUESTRA MORCILLA | | Autor &gt; Guy KRENZE - Eric GODDYN - Arnaud NICOLAS - CEPROC 2002</v>
      </c>
      <c r="T99" s="209">
        <f>T16</f>
        <v>16.34</v>
      </c>
      <c r="U99" s="210" t="str">
        <f>U16</f>
        <v>Kg</v>
      </c>
      <c r="V99" s="211" t="str">
        <f>V16</f>
        <v>Receta madre ► Morcilla en 4 versiones</v>
      </c>
      <c r="W99" s="212"/>
      <c r="X99" s="213"/>
      <c r="Y99" s="214"/>
      <c r="Z99" s="215"/>
      <c r="AA99" s="214"/>
      <c r="AB99" s="214"/>
      <c r="AC99" s="214"/>
      <c r="AD99" s="214"/>
      <c r="AE99" s="214"/>
      <c r="AF99" s="582"/>
      <c r="AG99" s="1171"/>
      <c r="AH99" s="104"/>
      <c r="AI99" s="1172"/>
      <c r="AJ99" s="1172"/>
      <c r="AK99" s="1172"/>
      <c r="AL99" s="1173"/>
      <c r="AM99" s="1174"/>
      <c r="AN99" s="1175"/>
      <c r="AO99" s="1176"/>
      <c r="AP99" s="1177"/>
      <c r="AQ99" s="1547"/>
      <c r="AR99" s="1177"/>
      <c r="AS99" s="1548"/>
      <c r="AT99" s="1549"/>
      <c r="AU99" s="1178"/>
      <c r="AV99" s="1179"/>
      <c r="AY99" s="3">
        <v>1</v>
      </c>
    </row>
    <row r="100" spans="2:51" ht="27" customHeight="1" thickBot="1">
      <c r="B100" s="216" t="s">
        <v>11</v>
      </c>
      <c r="C100" s="217"/>
      <c r="D100" s="217"/>
      <c r="E100" s="217"/>
      <c r="F100" s="218"/>
      <c r="G100" s="219" t="s">
        <v>208</v>
      </c>
      <c r="H100" s="1481" t="str">
        <f ca="1">CELL("nomfichier")</f>
        <v>D:\Données\1.UPRT\0-UPRT.fait\1-UPRT.FR-SITE-WEB\ff-fiches-fabrications\ff.fiches.fabrication.2023\ffr.restaurant.2023\[ff.FICHE.TRILINGUE.15.COLONNES.29.11.2025.xlsx]Notice.utilisateur</v>
      </c>
      <c r="I100" s="220"/>
      <c r="J100" s="220"/>
      <c r="K100" s="220"/>
      <c r="L100" s="220"/>
      <c r="M100" s="220"/>
      <c r="N100" s="220"/>
      <c r="O100" s="220"/>
      <c r="P100" s="221"/>
      <c r="Q100" s="1171"/>
      <c r="R100" s="216" t="s">
        <v>11</v>
      </c>
      <c r="S100" s="217"/>
      <c r="T100" s="217"/>
      <c r="U100" s="217"/>
      <c r="V100" s="218"/>
      <c r="W100" s="219" t="s">
        <v>208</v>
      </c>
      <c r="X100" s="1481" t="str">
        <f ca="1">CELL("nomfichier")</f>
        <v>D:\Données\1.UPRT\0-UPRT.fait\1-UPRT.FR-SITE-WEB\ff-fiches-fabrications\ff.fiches.fabrication.2023\ffr.restaurant.2023\[ff.FICHE.TRILINGUE.15.COLONNES.29.11.2025.xlsx]Notice.utilisateur</v>
      </c>
      <c r="Y100" s="220"/>
      <c r="Z100" s="220"/>
      <c r="AA100" s="220"/>
      <c r="AB100" s="220"/>
      <c r="AC100" s="220"/>
      <c r="AD100" s="220"/>
      <c r="AE100" s="220"/>
      <c r="AF100" s="221"/>
      <c r="AG100" s="1171"/>
      <c r="AH100" s="104"/>
      <c r="AI100" s="1172"/>
      <c r="AJ100" s="1172"/>
      <c r="AK100" s="1172"/>
      <c r="AL100" s="1173"/>
      <c r="AM100" s="1174"/>
      <c r="AN100" s="1175"/>
      <c r="AO100" s="1176"/>
      <c r="AP100" s="1177"/>
      <c r="AQ100" s="1547"/>
      <c r="AR100" s="1177"/>
      <c r="AS100" s="1548"/>
      <c r="AT100" s="1549"/>
      <c r="AU100" s="1178"/>
      <c r="AV100" s="1179"/>
      <c r="AY100" s="3">
        <v>1</v>
      </c>
    </row>
    <row r="101" spans="2:51" ht="27" customHeight="1" thickBot="1">
      <c r="B101" s="1478" t="s">
        <v>11</v>
      </c>
      <c r="C101" s="1479" t="s">
        <v>11</v>
      </c>
      <c r="D101" s="1479" t="s">
        <v>11</v>
      </c>
      <c r="E101" s="1479" t="s">
        <v>11</v>
      </c>
      <c r="F101" s="1479" t="s">
        <v>11</v>
      </c>
      <c r="G101" s="1480" t="s">
        <v>2613</v>
      </c>
      <c r="H101" s="1140"/>
      <c r="I101" s="1141"/>
      <c r="J101" s="1142"/>
      <c r="K101" s="1143"/>
      <c r="L101" s="1144"/>
      <c r="M101" s="1145"/>
      <c r="N101" s="1145"/>
      <c r="O101" s="1146"/>
      <c r="P101" s="1147"/>
      <c r="Q101" s="1171"/>
      <c r="R101" s="1478" t="s">
        <v>11</v>
      </c>
      <c r="S101" s="1479" t="s">
        <v>11</v>
      </c>
      <c r="T101" s="1479" t="s">
        <v>11</v>
      </c>
      <c r="U101" s="1479" t="s">
        <v>11</v>
      </c>
      <c r="V101" s="1479" t="s">
        <v>11</v>
      </c>
      <c r="W101" s="1480" t="s">
        <v>2613</v>
      </c>
      <c r="X101" s="1140"/>
      <c r="Y101" s="1141"/>
      <c r="Z101" s="1142"/>
      <c r="AA101" s="1143"/>
      <c r="AB101" s="1144"/>
      <c r="AC101" s="1145"/>
      <c r="AD101" s="1145"/>
      <c r="AE101" s="1146"/>
      <c r="AF101" s="1147"/>
      <c r="AG101" s="1171"/>
      <c r="AH101" s="104"/>
      <c r="AI101" s="1172"/>
      <c r="AJ101" s="1172"/>
      <c r="AK101" s="1172"/>
      <c r="AL101" s="1173"/>
      <c r="AM101" s="1174"/>
      <c r="AN101" s="1175"/>
      <c r="AO101" s="1176"/>
      <c r="AP101" s="1177"/>
      <c r="AQ101" s="1547"/>
      <c r="AR101" s="1177"/>
      <c r="AS101" s="1548"/>
      <c r="AT101" s="1549"/>
      <c r="AU101" s="1178"/>
      <c r="AV101" s="1179"/>
      <c r="AY101" s="3">
        <v>1</v>
      </c>
    </row>
    <row r="102" spans="2:51" ht="27" customHeight="1">
      <c r="B102" s="104"/>
      <c r="C102" s="1172"/>
      <c r="D102" s="1172"/>
      <c r="E102" s="1172"/>
      <c r="F102" s="1173"/>
      <c r="G102" s="1174"/>
      <c r="H102" s="1175"/>
      <c r="I102" s="1176"/>
      <c r="J102" s="1177"/>
      <c r="K102" s="1547"/>
      <c r="L102" s="1177"/>
      <c r="M102" s="1548"/>
      <c r="N102" s="1549"/>
      <c r="O102" s="1178"/>
      <c r="P102" s="1179"/>
      <c r="Q102" s="1171"/>
      <c r="R102" s="104"/>
      <c r="S102" s="1172"/>
      <c r="T102" s="1172"/>
      <c r="U102" s="1172"/>
      <c r="V102" s="1173"/>
      <c r="W102" s="1174"/>
      <c r="X102" s="1175"/>
      <c r="Y102" s="1176"/>
      <c r="Z102" s="1177"/>
      <c r="AA102" s="1547"/>
      <c r="AB102" s="1177"/>
      <c r="AC102" s="1548"/>
      <c r="AD102" s="1549"/>
      <c r="AE102" s="1178"/>
      <c r="AF102" s="1179"/>
      <c r="AG102" s="1171"/>
      <c r="AH102" s="104"/>
      <c r="AI102" s="1172"/>
      <c r="AJ102" s="1172"/>
      <c r="AK102" s="1172"/>
      <c r="AL102" s="1173"/>
      <c r="AM102" s="1174"/>
      <c r="AN102" s="1175"/>
      <c r="AO102" s="1176"/>
      <c r="AP102" s="1177"/>
      <c r="AQ102" s="1547"/>
      <c r="AR102" s="1177"/>
      <c r="AS102" s="1548"/>
      <c r="AT102" s="1549"/>
      <c r="AU102" s="1178"/>
      <c r="AV102" s="1179"/>
      <c r="AY102" s="3">
        <v>1</v>
      </c>
    </row>
    <row r="103" spans="2:51" ht="27" customHeight="1">
      <c r="B103" s="104"/>
      <c r="C103" s="1172"/>
      <c r="D103" s="1172"/>
      <c r="E103" s="1172"/>
      <c r="F103" s="1173"/>
      <c r="G103" s="1174"/>
      <c r="H103" s="1175"/>
      <c r="I103" s="1176"/>
      <c r="J103" s="1177"/>
      <c r="K103" s="1547"/>
      <c r="L103" s="1177"/>
      <c r="M103" s="1548"/>
      <c r="N103" s="1549"/>
      <c r="O103" s="1178"/>
      <c r="P103" s="1179"/>
      <c r="Q103" s="1171"/>
      <c r="R103" s="104"/>
      <c r="S103" s="1172"/>
      <c r="T103" s="1172"/>
      <c r="U103" s="1172"/>
      <c r="V103" s="1173"/>
      <c r="W103" s="1174"/>
      <c r="X103" s="1175"/>
      <c r="Y103" s="1176"/>
      <c r="Z103" s="1177"/>
      <c r="AA103" s="1547"/>
      <c r="AB103" s="1177"/>
      <c r="AC103" s="1548"/>
      <c r="AD103" s="1549"/>
      <c r="AE103" s="1178"/>
      <c r="AF103" s="1179"/>
      <c r="AG103" s="1171"/>
      <c r="AH103" s="104"/>
      <c r="AI103" s="1172"/>
      <c r="AJ103" s="1172"/>
      <c r="AK103" s="1172"/>
      <c r="AL103" s="1173"/>
      <c r="AM103" s="1174"/>
      <c r="AN103" s="1175"/>
      <c r="AO103" s="1176"/>
      <c r="AP103" s="1177"/>
      <c r="AQ103" s="1547"/>
      <c r="AR103" s="1177"/>
      <c r="AS103" s="1548"/>
      <c r="AT103" s="1549"/>
      <c r="AU103" s="1178"/>
      <c r="AV103" s="1179"/>
      <c r="AY103" s="3">
        <v>1</v>
      </c>
    </row>
    <row r="104" spans="2:51" ht="27" customHeight="1">
      <c r="B104" s="104"/>
      <c r="C104" s="1172"/>
      <c r="D104" s="1172"/>
      <c r="E104" s="1172"/>
      <c r="F104" s="1173"/>
      <c r="G104" s="1174"/>
      <c r="H104" s="1175"/>
      <c r="I104" s="1176"/>
      <c r="J104" s="1177"/>
      <c r="K104" s="1547"/>
      <c r="L104" s="1177"/>
      <c r="M104" s="1548"/>
      <c r="N104" s="1549"/>
      <c r="O104" s="1178"/>
      <c r="P104" s="1179"/>
      <c r="Q104" s="1171"/>
      <c r="R104" s="104"/>
      <c r="S104" s="1172"/>
      <c r="T104" s="1172"/>
      <c r="U104" s="1172"/>
      <c r="V104" s="1173"/>
      <c r="W104" s="1174"/>
      <c r="X104" s="1175"/>
      <c r="Y104" s="1176"/>
      <c r="Z104" s="1177"/>
      <c r="AA104" s="1547"/>
      <c r="AB104" s="1177"/>
      <c r="AC104" s="1548"/>
      <c r="AD104" s="1549"/>
      <c r="AE104" s="1178"/>
      <c r="AF104" s="1179"/>
      <c r="AG104" s="1171"/>
      <c r="AH104" s="104"/>
      <c r="AI104" s="1172"/>
      <c r="AJ104" s="1172"/>
      <c r="AK104" s="1172"/>
      <c r="AL104" s="1173"/>
      <c r="AM104" s="1174"/>
      <c r="AN104" s="1175"/>
      <c r="AO104" s="1176"/>
      <c r="AP104" s="1177"/>
      <c r="AQ104" s="1547"/>
      <c r="AR104" s="1177"/>
      <c r="AS104" s="1548"/>
      <c r="AT104" s="1549"/>
      <c r="AU104" s="1178"/>
      <c r="AV104" s="1179"/>
      <c r="AY104" s="3">
        <v>1</v>
      </c>
    </row>
    <row r="105" spans="2:51" ht="27" customHeight="1">
      <c r="B105" s="104"/>
      <c r="C105" s="1172"/>
      <c r="D105" s="1172"/>
      <c r="E105" s="1172"/>
      <c r="F105" s="1173"/>
      <c r="G105" s="1174"/>
      <c r="H105" s="1175"/>
      <c r="I105" s="1176"/>
      <c r="J105" s="1177"/>
      <c r="K105" s="1547"/>
      <c r="L105" s="1177"/>
      <c r="M105" s="1548"/>
      <c r="N105" s="1549"/>
      <c r="O105" s="1178"/>
      <c r="P105" s="1179"/>
      <c r="Q105" s="1171"/>
      <c r="R105" s="104"/>
      <c r="S105" s="1172"/>
      <c r="T105" s="1172"/>
      <c r="U105" s="1172"/>
      <c r="V105" s="1173"/>
      <c r="W105" s="1174"/>
      <c r="X105" s="1175"/>
      <c r="Y105" s="1176"/>
      <c r="Z105" s="1177"/>
      <c r="AA105" s="1547"/>
      <c r="AB105" s="1177"/>
      <c r="AC105" s="1548"/>
      <c r="AD105" s="1549"/>
      <c r="AE105" s="1178"/>
      <c r="AF105" s="1179"/>
      <c r="AG105" s="1171"/>
      <c r="AH105" s="104"/>
      <c r="AI105" s="1172"/>
      <c r="AJ105" s="1172"/>
      <c r="AK105" s="1172"/>
      <c r="AL105" s="1173"/>
      <c r="AM105" s="1174"/>
      <c r="AN105" s="1175"/>
      <c r="AO105" s="1176"/>
      <c r="AP105" s="1177"/>
      <c r="AQ105" s="1547"/>
      <c r="AR105" s="1177"/>
      <c r="AS105" s="1548"/>
      <c r="AT105" s="1549"/>
      <c r="AU105" s="1178"/>
      <c r="AV105" s="1179"/>
      <c r="AY105" s="3">
        <v>1</v>
      </c>
    </row>
    <row r="106" spans="2:51" ht="27" customHeight="1">
      <c r="B106" s="104"/>
      <c r="C106" s="1172"/>
      <c r="D106" s="1172"/>
      <c r="E106" s="1172"/>
      <c r="F106" s="1173"/>
      <c r="G106" s="1174"/>
      <c r="H106" s="1175"/>
      <c r="I106" s="1176"/>
      <c r="J106" s="1177"/>
      <c r="K106" s="1547"/>
      <c r="L106" s="1177"/>
      <c r="M106" s="1548"/>
      <c r="N106" s="1549"/>
      <c r="O106" s="1178"/>
      <c r="P106" s="1179"/>
      <c r="Q106" s="1171"/>
      <c r="R106" s="104"/>
      <c r="S106" s="1172"/>
      <c r="T106" s="1172"/>
      <c r="U106" s="1172"/>
      <c r="V106" s="1173"/>
      <c r="W106" s="1174"/>
      <c r="X106" s="1175"/>
      <c r="Y106" s="1176"/>
      <c r="Z106" s="1177"/>
      <c r="AA106" s="1547"/>
      <c r="AB106" s="1177"/>
      <c r="AC106" s="1548"/>
      <c r="AD106" s="1549"/>
      <c r="AE106" s="1178"/>
      <c r="AF106" s="1179"/>
      <c r="AG106" s="1171"/>
      <c r="AH106" s="104"/>
      <c r="AI106" s="1172"/>
      <c r="AJ106" s="1172"/>
      <c r="AK106" s="1172"/>
      <c r="AL106" s="1173"/>
      <c r="AM106" s="1174"/>
      <c r="AN106" s="1175"/>
      <c r="AO106" s="1176"/>
      <c r="AP106" s="1177"/>
      <c r="AQ106" s="1547"/>
      <c r="AR106" s="1177"/>
      <c r="AS106" s="1548"/>
      <c r="AT106" s="1549"/>
      <c r="AU106" s="1178"/>
      <c r="AV106" s="1179"/>
      <c r="AY106" s="3">
        <v>1</v>
      </c>
    </row>
    <row r="107" spans="2:51" ht="27" customHeight="1">
      <c r="B107" s="104"/>
      <c r="C107" s="1172"/>
      <c r="D107" s="1172"/>
      <c r="E107" s="1172"/>
      <c r="F107" s="1173"/>
      <c r="G107" s="1174"/>
      <c r="H107" s="1175"/>
      <c r="I107" s="1176"/>
      <c r="J107" s="1177"/>
      <c r="K107" s="1547"/>
      <c r="L107" s="1177"/>
      <c r="M107" s="1548"/>
      <c r="N107" s="1549"/>
      <c r="O107" s="1178"/>
      <c r="P107" s="1179"/>
      <c r="Q107" s="1171"/>
      <c r="R107" s="104"/>
      <c r="S107" s="1172"/>
      <c r="T107" s="1172"/>
      <c r="U107" s="1172"/>
      <c r="V107" s="1173"/>
      <c r="W107" s="1174"/>
      <c r="X107" s="1175"/>
      <c r="Y107" s="1176"/>
      <c r="Z107" s="1177"/>
      <c r="AA107" s="1547"/>
      <c r="AB107" s="1177"/>
      <c r="AC107" s="1548"/>
      <c r="AD107" s="1549"/>
      <c r="AE107" s="1178"/>
      <c r="AF107" s="1179"/>
      <c r="AG107" s="1171"/>
      <c r="AH107" s="104"/>
      <c r="AI107" s="1172"/>
      <c r="AJ107" s="1172"/>
      <c r="AK107" s="1172"/>
      <c r="AL107" s="1173"/>
      <c r="AM107" s="1174"/>
      <c r="AN107" s="1175"/>
      <c r="AO107" s="1176"/>
      <c r="AP107" s="1177"/>
      <c r="AQ107" s="1547"/>
      <c r="AR107" s="1177"/>
      <c r="AS107" s="1548"/>
      <c r="AT107" s="1549"/>
      <c r="AU107" s="1178"/>
      <c r="AV107" s="1179"/>
      <c r="AY107" s="3">
        <v>1</v>
      </c>
    </row>
    <row r="108" spans="2:51" ht="27" customHeight="1">
      <c r="B108" s="104"/>
      <c r="C108" s="1172"/>
      <c r="D108" s="1172"/>
      <c r="E108" s="1172"/>
      <c r="F108" s="1173"/>
      <c r="G108" s="1174"/>
      <c r="H108" s="1175"/>
      <c r="I108" s="1176"/>
      <c r="J108" s="1177"/>
      <c r="K108" s="1547"/>
      <c r="L108" s="1177"/>
      <c r="M108" s="1548"/>
      <c r="N108" s="1549"/>
      <c r="O108" s="1178"/>
      <c r="P108" s="1179"/>
      <c r="Q108" s="1171"/>
      <c r="R108" s="104"/>
      <c r="S108" s="1172"/>
      <c r="T108" s="1172"/>
      <c r="U108" s="1172"/>
      <c r="V108" s="1173"/>
      <c r="W108" s="1174"/>
      <c r="X108" s="1175"/>
      <c r="Y108" s="1176"/>
      <c r="Z108" s="1177"/>
      <c r="AA108" s="1547"/>
      <c r="AB108" s="1177"/>
      <c r="AC108" s="1548"/>
      <c r="AD108" s="1549"/>
      <c r="AE108" s="1178"/>
      <c r="AF108" s="1179"/>
      <c r="AG108" s="1171"/>
      <c r="AH108" s="104"/>
      <c r="AI108" s="1172"/>
      <c r="AJ108" s="1172"/>
      <c r="AK108" s="1172"/>
      <c r="AL108" s="1173"/>
      <c r="AM108" s="1174"/>
      <c r="AN108" s="1175"/>
      <c r="AO108" s="1176"/>
      <c r="AP108" s="1177"/>
      <c r="AQ108" s="1547"/>
      <c r="AR108" s="1177"/>
      <c r="AS108" s="1548"/>
      <c r="AT108" s="1549"/>
      <c r="AU108" s="1178"/>
      <c r="AV108" s="1179"/>
      <c r="AY108" s="3">
        <v>1</v>
      </c>
    </row>
    <row r="109" spans="2:51" ht="27" customHeight="1">
      <c r="B109" s="104"/>
      <c r="C109" s="1172"/>
      <c r="D109" s="1172"/>
      <c r="E109" s="1172"/>
      <c r="F109" s="1173"/>
      <c r="G109" s="1174"/>
      <c r="H109" s="1175"/>
      <c r="I109" s="1176"/>
      <c r="J109" s="1177"/>
      <c r="K109" s="1547"/>
      <c r="L109" s="1177"/>
      <c r="M109" s="1548"/>
      <c r="N109" s="1549"/>
      <c r="O109" s="1178"/>
      <c r="P109" s="1179"/>
      <c r="Q109" s="1171"/>
      <c r="R109" s="104"/>
      <c r="S109" s="1172"/>
      <c r="T109" s="1172"/>
      <c r="U109" s="1172"/>
      <c r="V109" s="1173"/>
      <c r="W109" s="1174"/>
      <c r="X109" s="1175"/>
      <c r="Y109" s="1176"/>
      <c r="Z109" s="1177"/>
      <c r="AA109" s="1547"/>
      <c r="AB109" s="1177"/>
      <c r="AC109" s="1548"/>
      <c r="AD109" s="1549"/>
      <c r="AE109" s="1178"/>
      <c r="AF109" s="1179"/>
      <c r="AG109" s="1171"/>
      <c r="AH109" s="104"/>
      <c r="AI109" s="1172"/>
      <c r="AJ109" s="1172"/>
      <c r="AK109" s="1172"/>
      <c r="AL109" s="1173"/>
      <c r="AM109" s="1174"/>
      <c r="AN109" s="1175"/>
      <c r="AO109" s="1176"/>
      <c r="AP109" s="1177"/>
      <c r="AQ109" s="1547"/>
      <c r="AR109" s="1177"/>
      <c r="AS109" s="1548"/>
      <c r="AT109" s="1549"/>
      <c r="AU109" s="1178"/>
      <c r="AV109" s="1179"/>
      <c r="AY109" s="3">
        <v>1</v>
      </c>
    </row>
    <row r="110" spans="2:51" ht="27" customHeight="1">
      <c r="B110" s="104"/>
      <c r="C110" s="1172"/>
      <c r="D110" s="1172"/>
      <c r="E110" s="1172"/>
      <c r="F110" s="1173"/>
      <c r="G110" s="1174"/>
      <c r="H110" s="1175"/>
      <c r="I110" s="1176"/>
      <c r="J110" s="1177"/>
      <c r="K110" s="1547"/>
      <c r="L110" s="1177"/>
      <c r="M110" s="1548"/>
      <c r="N110" s="1549"/>
      <c r="O110" s="1178"/>
      <c r="P110" s="1179"/>
      <c r="Q110" s="1171"/>
      <c r="R110" s="104"/>
      <c r="S110" s="1172"/>
      <c r="T110" s="1172"/>
      <c r="U110" s="1172"/>
      <c r="V110" s="1173"/>
      <c r="W110" s="1174"/>
      <c r="X110" s="1175"/>
      <c r="Y110" s="1176"/>
      <c r="Z110" s="1177"/>
      <c r="AA110" s="1547"/>
      <c r="AB110" s="1177"/>
      <c r="AC110" s="1548"/>
      <c r="AD110" s="1549"/>
      <c r="AE110" s="1178"/>
      <c r="AF110" s="1179"/>
      <c r="AG110" s="1171"/>
      <c r="AH110" s="104"/>
      <c r="AI110" s="1172"/>
      <c r="AJ110" s="1172"/>
      <c r="AK110" s="1172"/>
      <c r="AL110" s="1173"/>
      <c r="AM110" s="1174"/>
      <c r="AN110" s="1175"/>
      <c r="AO110" s="1176"/>
      <c r="AP110" s="1177"/>
      <c r="AQ110" s="1547"/>
      <c r="AR110" s="1177"/>
      <c r="AS110" s="1548"/>
      <c r="AT110" s="1549"/>
      <c r="AU110" s="1178"/>
      <c r="AV110" s="1179"/>
      <c r="AY110" s="3">
        <v>1</v>
      </c>
    </row>
    <row r="111" spans="2:51" ht="27" customHeight="1">
      <c r="B111" s="104"/>
      <c r="C111" s="1172"/>
      <c r="D111" s="1172"/>
      <c r="E111" s="1172"/>
      <c r="F111" s="1173"/>
      <c r="G111" s="1174"/>
      <c r="H111" s="1175"/>
      <c r="I111" s="1176"/>
      <c r="J111" s="1177"/>
      <c r="K111" s="1547"/>
      <c r="L111" s="1177"/>
      <c r="M111" s="1548"/>
      <c r="N111" s="1549"/>
      <c r="O111" s="1178"/>
      <c r="P111" s="1179"/>
      <c r="Q111" s="1171"/>
      <c r="R111" s="104"/>
      <c r="S111" s="1172"/>
      <c r="T111" s="1172"/>
      <c r="U111" s="1172"/>
      <c r="V111" s="1173"/>
      <c r="W111" s="1174"/>
      <c r="X111" s="1175"/>
      <c r="Y111" s="1176"/>
      <c r="Z111" s="1177"/>
      <c r="AA111" s="1547"/>
      <c r="AB111" s="1177"/>
      <c r="AC111" s="1548"/>
      <c r="AD111" s="1549"/>
      <c r="AE111" s="1178"/>
      <c r="AF111" s="1179"/>
      <c r="AG111" s="1171"/>
      <c r="AH111" s="104"/>
      <c r="AI111" s="1172"/>
      <c r="AJ111" s="1172"/>
      <c r="AK111" s="1172"/>
      <c r="AL111" s="1173"/>
      <c r="AM111" s="1174"/>
      <c r="AN111" s="1175"/>
      <c r="AO111" s="1176"/>
      <c r="AP111" s="1177"/>
      <c r="AQ111" s="1547"/>
      <c r="AR111" s="1177"/>
      <c r="AS111" s="1548"/>
      <c r="AT111" s="1549"/>
      <c r="AU111" s="1178"/>
      <c r="AV111" s="1179"/>
      <c r="AY111" s="3">
        <v>1</v>
      </c>
    </row>
    <row r="112" spans="2:51" ht="27" customHeight="1">
      <c r="B112" s="104"/>
      <c r="C112" s="1172"/>
      <c r="D112" s="1172"/>
      <c r="E112" s="1172"/>
      <c r="F112" s="1173"/>
      <c r="G112" s="1174"/>
      <c r="H112" s="1175"/>
      <c r="I112" s="1176"/>
      <c r="J112" s="1177"/>
      <c r="K112" s="1547"/>
      <c r="L112" s="1177"/>
      <c r="M112" s="1548"/>
      <c r="N112" s="1549"/>
      <c r="O112" s="1178"/>
      <c r="P112" s="1179"/>
      <c r="Q112" s="1171"/>
      <c r="R112" s="104"/>
      <c r="S112" s="1172"/>
      <c r="T112" s="1172"/>
      <c r="U112" s="1172"/>
      <c r="V112" s="1173"/>
      <c r="W112" s="1174"/>
      <c r="X112" s="1175"/>
      <c r="Y112" s="1176"/>
      <c r="Z112" s="1177"/>
      <c r="AA112" s="1547"/>
      <c r="AB112" s="1177"/>
      <c r="AC112" s="1548"/>
      <c r="AD112" s="1549"/>
      <c r="AE112" s="1178"/>
      <c r="AF112" s="1179"/>
      <c r="AG112" s="1171"/>
      <c r="AH112" s="104"/>
      <c r="AI112" s="1172"/>
      <c r="AJ112" s="1172"/>
      <c r="AK112" s="1172"/>
      <c r="AL112" s="1173"/>
      <c r="AM112" s="1174"/>
      <c r="AN112" s="1175"/>
      <c r="AO112" s="1176"/>
      <c r="AP112" s="1177"/>
      <c r="AQ112" s="1547"/>
      <c r="AR112" s="1177"/>
      <c r="AS112" s="1548"/>
      <c r="AT112" s="1549"/>
      <c r="AU112" s="1178"/>
      <c r="AV112" s="1179"/>
      <c r="AY112" s="3">
        <v>1</v>
      </c>
    </row>
    <row r="113" spans="2:51" ht="27" customHeight="1">
      <c r="B113" s="104"/>
      <c r="C113" s="1172"/>
      <c r="D113" s="1172"/>
      <c r="E113" s="1172"/>
      <c r="F113" s="1173"/>
      <c r="G113" s="1174"/>
      <c r="H113" s="1175"/>
      <c r="I113" s="1176"/>
      <c r="J113" s="1177"/>
      <c r="K113" s="1547"/>
      <c r="L113" s="1177"/>
      <c r="M113" s="1548"/>
      <c r="N113" s="1549"/>
      <c r="O113" s="1178"/>
      <c r="P113" s="1179"/>
      <c r="Q113" s="1171"/>
      <c r="R113" s="104"/>
      <c r="S113" s="1172"/>
      <c r="T113" s="1172"/>
      <c r="U113" s="1172"/>
      <c r="V113" s="1173"/>
      <c r="W113" s="1174"/>
      <c r="X113" s="1175"/>
      <c r="Y113" s="1176"/>
      <c r="Z113" s="1177"/>
      <c r="AA113" s="1547"/>
      <c r="AB113" s="1177"/>
      <c r="AC113" s="1548"/>
      <c r="AD113" s="1549"/>
      <c r="AE113" s="1178"/>
      <c r="AF113" s="1179"/>
      <c r="AG113" s="1171"/>
      <c r="AH113" s="104"/>
      <c r="AI113" s="1172"/>
      <c r="AJ113" s="1172"/>
      <c r="AK113" s="1172"/>
      <c r="AL113" s="1173"/>
      <c r="AM113" s="1174"/>
      <c r="AN113" s="1175"/>
      <c r="AO113" s="1176"/>
      <c r="AP113" s="1177"/>
      <c r="AQ113" s="1547"/>
      <c r="AR113" s="1177"/>
      <c r="AS113" s="1548"/>
      <c r="AT113" s="1549"/>
      <c r="AU113" s="1178"/>
      <c r="AV113" s="1179"/>
      <c r="AY113" s="3">
        <v>1</v>
      </c>
    </row>
    <row r="114" spans="2:51" ht="27" customHeight="1">
      <c r="B114" s="104"/>
      <c r="C114" s="1172"/>
      <c r="D114" s="1172"/>
      <c r="E114" s="1172"/>
      <c r="F114" s="1173"/>
      <c r="G114" s="1174"/>
      <c r="H114" s="1175"/>
      <c r="I114" s="1176"/>
      <c r="J114" s="1177"/>
      <c r="K114" s="1547"/>
      <c r="L114" s="1177"/>
      <c r="M114" s="1548"/>
      <c r="N114" s="1549"/>
      <c r="O114" s="1178"/>
      <c r="P114" s="1179"/>
      <c r="Q114" s="1171"/>
      <c r="R114" s="104"/>
      <c r="S114" s="1172"/>
      <c r="T114" s="1172"/>
      <c r="U114" s="1172"/>
      <c r="V114" s="1173"/>
      <c r="W114" s="1174"/>
      <c r="X114" s="1175"/>
      <c r="Y114" s="1176"/>
      <c r="Z114" s="1177"/>
      <c r="AA114" s="1547"/>
      <c r="AB114" s="1177"/>
      <c r="AC114" s="1548"/>
      <c r="AD114" s="1549"/>
      <c r="AE114" s="1178"/>
      <c r="AF114" s="1179"/>
      <c r="AG114" s="1171"/>
      <c r="AH114" s="104"/>
      <c r="AI114" s="1172"/>
      <c r="AJ114" s="1172"/>
      <c r="AK114" s="1172"/>
      <c r="AL114" s="1173"/>
      <c r="AM114" s="1174"/>
      <c r="AN114" s="1175"/>
      <c r="AO114" s="1176"/>
      <c r="AP114" s="1177"/>
      <c r="AQ114" s="1547"/>
      <c r="AR114" s="1177"/>
      <c r="AS114" s="1548"/>
      <c r="AT114" s="1549"/>
      <c r="AU114" s="1178"/>
      <c r="AV114" s="1179"/>
      <c r="AY114" s="3">
        <v>1</v>
      </c>
    </row>
    <row r="115" spans="2:51" ht="27" customHeight="1">
      <c r="B115" s="104"/>
      <c r="C115" s="1172"/>
      <c r="D115" s="1172"/>
      <c r="E115" s="1172"/>
      <c r="F115" s="1173"/>
      <c r="G115" s="1174"/>
      <c r="H115" s="1175"/>
      <c r="I115" s="1176"/>
      <c r="J115" s="1177"/>
      <c r="K115" s="1547"/>
      <c r="L115" s="1177"/>
      <c r="M115" s="1548"/>
      <c r="N115" s="1549"/>
      <c r="O115" s="1178"/>
      <c r="P115" s="1179"/>
      <c r="Q115" s="1171"/>
      <c r="R115" s="104"/>
      <c r="S115" s="1172"/>
      <c r="T115" s="1172"/>
      <c r="U115" s="1172"/>
      <c r="V115" s="1173"/>
      <c r="W115" s="1174"/>
      <c r="X115" s="1175"/>
      <c r="Y115" s="1176"/>
      <c r="Z115" s="1177"/>
      <c r="AA115" s="1547"/>
      <c r="AB115" s="1177"/>
      <c r="AC115" s="1548"/>
      <c r="AD115" s="1549"/>
      <c r="AE115" s="1178"/>
      <c r="AF115" s="1179"/>
      <c r="AG115" s="1171"/>
      <c r="AH115" s="104"/>
      <c r="AI115" s="1172"/>
      <c r="AJ115" s="1172"/>
      <c r="AK115" s="1172"/>
      <c r="AL115" s="1173"/>
      <c r="AM115" s="1174"/>
      <c r="AN115" s="1175"/>
      <c r="AO115" s="1176"/>
      <c r="AP115" s="1177"/>
      <c r="AQ115" s="1547"/>
      <c r="AR115" s="1177"/>
      <c r="AS115" s="1548"/>
      <c r="AT115" s="1549"/>
      <c r="AU115" s="1178"/>
      <c r="AV115" s="1179"/>
      <c r="AY115" s="3">
        <v>1</v>
      </c>
    </row>
    <row r="116" spans="2:51" ht="27" customHeight="1">
      <c r="B116" s="104"/>
      <c r="C116" s="1172"/>
      <c r="D116" s="1172"/>
      <c r="E116" s="1172"/>
      <c r="F116" s="1173"/>
      <c r="G116" s="1174"/>
      <c r="H116" s="1175"/>
      <c r="I116" s="1176"/>
      <c r="J116" s="1177"/>
      <c r="K116" s="1547"/>
      <c r="L116" s="1177"/>
      <c r="M116" s="1548"/>
      <c r="N116" s="1549"/>
      <c r="O116" s="1178"/>
      <c r="P116" s="1179"/>
      <c r="Q116" s="1171"/>
      <c r="R116" s="104"/>
      <c r="S116" s="1172"/>
      <c r="T116" s="1172"/>
      <c r="U116" s="1172"/>
      <c r="V116" s="1173"/>
      <c r="W116" s="1174"/>
      <c r="X116" s="1175"/>
      <c r="Y116" s="1176"/>
      <c r="Z116" s="1177"/>
      <c r="AA116" s="1547"/>
      <c r="AB116" s="1177"/>
      <c r="AC116" s="1548"/>
      <c r="AD116" s="1549"/>
      <c r="AE116" s="1178"/>
      <c r="AF116" s="1179"/>
      <c r="AG116" s="1171"/>
      <c r="AH116" s="104"/>
      <c r="AI116" s="1172"/>
      <c r="AJ116" s="1172"/>
      <c r="AK116" s="1172"/>
      <c r="AL116" s="1173"/>
      <c r="AM116" s="1174"/>
      <c r="AN116" s="1175"/>
      <c r="AO116" s="1176"/>
      <c r="AP116" s="1177"/>
      <c r="AQ116" s="1547"/>
      <c r="AR116" s="1177"/>
      <c r="AS116" s="1548"/>
      <c r="AT116" s="1549"/>
      <c r="AU116" s="1178"/>
      <c r="AV116" s="1179"/>
      <c r="AY116" s="3">
        <v>1</v>
      </c>
    </row>
    <row r="117" spans="2:51" ht="27" customHeight="1">
      <c r="B117" s="104"/>
      <c r="C117" s="1172"/>
      <c r="D117" s="1172"/>
      <c r="E117" s="1172"/>
      <c r="F117" s="1173"/>
      <c r="G117" s="1174"/>
      <c r="H117" s="1175"/>
      <c r="I117" s="1176"/>
      <c r="J117" s="1177"/>
      <c r="K117" s="1547"/>
      <c r="L117" s="1177"/>
      <c r="M117" s="1548"/>
      <c r="N117" s="1549"/>
      <c r="O117" s="1178"/>
      <c r="P117" s="1179"/>
      <c r="Q117" s="1171"/>
      <c r="R117" s="104"/>
      <c r="S117" s="1172"/>
      <c r="T117" s="1172"/>
      <c r="U117" s="1172"/>
      <c r="V117" s="1173"/>
      <c r="W117" s="1174"/>
      <c r="X117" s="1175"/>
      <c r="Y117" s="1176"/>
      <c r="Z117" s="1177"/>
      <c r="AA117" s="1547"/>
      <c r="AB117" s="1177"/>
      <c r="AC117" s="1548"/>
      <c r="AD117" s="1549"/>
      <c r="AE117" s="1178"/>
      <c r="AF117" s="1179"/>
      <c r="AG117" s="1171"/>
      <c r="AH117" s="104"/>
      <c r="AI117" s="1172"/>
      <c r="AJ117" s="1172"/>
      <c r="AK117" s="1172"/>
      <c r="AL117" s="1173"/>
      <c r="AM117" s="1174"/>
      <c r="AN117" s="1175"/>
      <c r="AO117" s="1176"/>
      <c r="AP117" s="1177"/>
      <c r="AQ117" s="1547"/>
      <c r="AR117" s="1177"/>
      <c r="AS117" s="1548"/>
      <c r="AT117" s="1549"/>
      <c r="AU117" s="1178"/>
      <c r="AV117" s="1179"/>
      <c r="AY117" s="3">
        <v>1</v>
      </c>
    </row>
    <row r="118" spans="2:51" ht="27" customHeight="1">
      <c r="B118" s="104"/>
      <c r="C118" s="1172"/>
      <c r="D118" s="1172"/>
      <c r="E118" s="1172"/>
      <c r="F118" s="1173"/>
      <c r="G118" s="1174"/>
      <c r="H118" s="1175"/>
      <c r="I118" s="1176"/>
      <c r="J118" s="1177"/>
      <c r="K118" s="1547"/>
      <c r="L118" s="1177"/>
      <c r="M118" s="1548"/>
      <c r="N118" s="1549"/>
      <c r="O118" s="1178"/>
      <c r="P118" s="1179"/>
      <c r="Q118" s="1171"/>
      <c r="R118" s="104"/>
      <c r="S118" s="1172"/>
      <c r="T118" s="1172"/>
      <c r="U118" s="1172"/>
      <c r="V118" s="1173"/>
      <c r="W118" s="1174"/>
      <c r="X118" s="1175"/>
      <c r="Y118" s="1176"/>
      <c r="Z118" s="1177"/>
      <c r="AA118" s="1547"/>
      <c r="AB118" s="1177"/>
      <c r="AC118" s="1548"/>
      <c r="AD118" s="1549"/>
      <c r="AE118" s="1178"/>
      <c r="AF118" s="1179"/>
      <c r="AG118" s="1171"/>
      <c r="AH118" s="104"/>
      <c r="AI118" s="1172"/>
      <c r="AJ118" s="1172"/>
      <c r="AK118" s="1172"/>
      <c r="AL118" s="1173"/>
      <c r="AM118" s="1174"/>
      <c r="AN118" s="1175"/>
      <c r="AO118" s="1176"/>
      <c r="AP118" s="1177"/>
      <c r="AQ118" s="1547"/>
      <c r="AR118" s="1177"/>
      <c r="AS118" s="1548"/>
      <c r="AT118" s="1549"/>
      <c r="AU118" s="1178"/>
      <c r="AV118" s="1179"/>
      <c r="AY118" s="3">
        <v>1</v>
      </c>
    </row>
    <row r="119" spans="2:51" ht="27" customHeight="1">
      <c r="B119" s="104"/>
      <c r="C119" s="1172"/>
      <c r="D119" s="1172"/>
      <c r="E119" s="1172"/>
      <c r="F119" s="1173"/>
      <c r="G119" s="1174"/>
      <c r="H119" s="1175"/>
      <c r="I119" s="1176"/>
      <c r="J119" s="1177"/>
      <c r="K119" s="1547"/>
      <c r="L119" s="1177"/>
      <c r="M119" s="1548"/>
      <c r="N119" s="1549"/>
      <c r="O119" s="1178"/>
      <c r="P119" s="1179"/>
      <c r="Q119" s="1171"/>
      <c r="R119" s="104"/>
      <c r="S119" s="1172"/>
      <c r="T119" s="1172"/>
      <c r="U119" s="1172"/>
      <c r="V119" s="1173"/>
      <c r="W119" s="1174"/>
      <c r="X119" s="1175"/>
      <c r="Y119" s="1176"/>
      <c r="Z119" s="1177"/>
      <c r="AA119" s="1547"/>
      <c r="AB119" s="1177"/>
      <c r="AC119" s="1548"/>
      <c r="AD119" s="1549"/>
      <c r="AE119" s="1178"/>
      <c r="AF119" s="1179"/>
      <c r="AG119" s="1171"/>
      <c r="AH119" s="104"/>
      <c r="AI119" s="1172"/>
      <c r="AJ119" s="1172"/>
      <c r="AK119" s="1172"/>
      <c r="AL119" s="1173"/>
      <c r="AM119" s="1174"/>
      <c r="AN119" s="1175"/>
      <c r="AO119" s="1176"/>
      <c r="AP119" s="1177"/>
      <c r="AQ119" s="1547"/>
      <c r="AR119" s="1177"/>
      <c r="AS119" s="1548"/>
      <c r="AT119" s="1549"/>
      <c r="AU119" s="1178"/>
      <c r="AV119" s="1179"/>
      <c r="AY119" s="3">
        <v>1</v>
      </c>
    </row>
    <row r="120" spans="2:51" ht="27" customHeight="1">
      <c r="B120" s="104"/>
      <c r="C120" s="1172"/>
      <c r="D120" s="1172"/>
      <c r="E120" s="1172"/>
      <c r="F120" s="1173"/>
      <c r="G120" s="1174"/>
      <c r="H120" s="1175"/>
      <c r="I120" s="1176"/>
      <c r="J120" s="1177"/>
      <c r="K120" s="1547"/>
      <c r="L120" s="1177"/>
      <c r="M120" s="1548"/>
      <c r="N120" s="1549"/>
      <c r="O120" s="1178"/>
      <c r="P120" s="1179"/>
      <c r="Q120" s="1171"/>
      <c r="R120" s="104"/>
      <c r="S120" s="1172"/>
      <c r="T120" s="1172"/>
      <c r="U120" s="1172"/>
      <c r="V120" s="1173"/>
      <c r="W120" s="1174"/>
      <c r="X120" s="1175"/>
      <c r="Y120" s="1176"/>
      <c r="Z120" s="1177"/>
      <c r="AA120" s="1547"/>
      <c r="AB120" s="1177"/>
      <c r="AC120" s="1548"/>
      <c r="AD120" s="1549"/>
      <c r="AE120" s="1178"/>
      <c r="AF120" s="1179"/>
      <c r="AG120" s="1171"/>
      <c r="AH120" s="104"/>
      <c r="AI120" s="1172"/>
      <c r="AJ120" s="1172"/>
      <c r="AK120" s="1172"/>
      <c r="AL120" s="1173"/>
      <c r="AM120" s="1174"/>
      <c r="AN120" s="1175"/>
      <c r="AO120" s="1176"/>
      <c r="AP120" s="1177"/>
      <c r="AQ120" s="1547"/>
      <c r="AR120" s="1177"/>
      <c r="AS120" s="1548"/>
      <c r="AT120" s="1549"/>
      <c r="AU120" s="1178"/>
      <c r="AV120" s="1179"/>
      <c r="AY120" s="3">
        <v>1</v>
      </c>
    </row>
    <row r="121" spans="2:51" ht="27" customHeight="1">
      <c r="B121" s="104"/>
      <c r="C121" s="1172"/>
      <c r="D121" s="1172"/>
      <c r="E121" s="1172"/>
      <c r="F121" s="1173"/>
      <c r="G121" s="1174"/>
      <c r="H121" s="1175"/>
      <c r="I121" s="1176"/>
      <c r="J121" s="1177"/>
      <c r="K121" s="1547"/>
      <c r="L121" s="1177"/>
      <c r="M121" s="1548"/>
      <c r="N121" s="1549"/>
      <c r="O121" s="1178"/>
      <c r="P121" s="1179"/>
      <c r="Q121" s="1171"/>
      <c r="R121" s="104"/>
      <c r="S121" s="1172"/>
      <c r="T121" s="1172"/>
      <c r="U121" s="1172"/>
      <c r="V121" s="1173"/>
      <c r="W121" s="1174"/>
      <c r="X121" s="1175"/>
      <c r="Y121" s="1176"/>
      <c r="Z121" s="1177"/>
      <c r="AA121" s="1547"/>
      <c r="AB121" s="1177"/>
      <c r="AC121" s="1548"/>
      <c r="AD121" s="1549"/>
      <c r="AE121" s="1178"/>
      <c r="AF121" s="1179"/>
      <c r="AH121" s="104"/>
      <c r="AI121" s="1172"/>
      <c r="AJ121" s="1172"/>
      <c r="AK121" s="1172"/>
      <c r="AL121" s="1173"/>
      <c r="AM121" s="1174"/>
      <c r="AN121" s="1175"/>
      <c r="AO121" s="1176"/>
      <c r="AP121" s="1177"/>
      <c r="AQ121" s="1547"/>
      <c r="AR121" s="1177"/>
      <c r="AS121" s="1548"/>
      <c r="AT121" s="1549"/>
      <c r="AU121" s="1178"/>
      <c r="AV121" s="1179"/>
      <c r="AY121" s="3">
        <v>1</v>
      </c>
    </row>
    <row r="122" spans="2:51" ht="27" customHeight="1">
      <c r="B122" s="104"/>
      <c r="C122" s="1172"/>
      <c r="D122" s="1172"/>
      <c r="E122" s="1172"/>
      <c r="F122" s="1173"/>
      <c r="G122" s="1174"/>
      <c r="H122" s="1175"/>
      <c r="I122" s="1176"/>
      <c r="J122" s="1177"/>
      <c r="K122" s="1547"/>
      <c r="L122" s="1177"/>
      <c r="M122" s="1548"/>
      <c r="N122" s="1549"/>
      <c r="O122" s="1178"/>
      <c r="P122" s="1179"/>
      <c r="Q122" s="1171"/>
      <c r="R122" s="104"/>
      <c r="S122" s="1172"/>
      <c r="T122" s="1172"/>
      <c r="U122" s="1172"/>
      <c r="V122" s="1173"/>
      <c r="W122" s="1174"/>
      <c r="X122" s="1175"/>
      <c r="Y122" s="1176"/>
      <c r="Z122" s="1177"/>
      <c r="AA122" s="1547"/>
      <c r="AB122" s="1177"/>
      <c r="AC122" s="1548"/>
      <c r="AD122" s="1549"/>
      <c r="AE122" s="1178"/>
      <c r="AF122" s="1179"/>
      <c r="AH122" s="104"/>
      <c r="AI122" s="1172"/>
      <c r="AJ122" s="1172"/>
      <c r="AK122" s="1172"/>
      <c r="AL122" s="1173"/>
      <c r="AM122" s="1174"/>
      <c r="AN122" s="1175"/>
      <c r="AO122" s="1176"/>
      <c r="AP122" s="1177"/>
      <c r="AQ122" s="1547"/>
      <c r="AR122" s="1177"/>
      <c r="AS122" s="1548"/>
      <c r="AT122" s="1549"/>
      <c r="AU122" s="1178"/>
      <c r="AV122" s="1179"/>
      <c r="AY122" s="3">
        <v>1</v>
      </c>
    </row>
    <row r="123" spans="2:51" ht="27" customHeight="1">
      <c r="B123" s="104"/>
      <c r="C123" s="1172"/>
      <c r="D123" s="1172"/>
      <c r="E123" s="1172"/>
      <c r="F123" s="1173"/>
      <c r="G123" s="1174"/>
      <c r="H123" s="1175"/>
      <c r="I123" s="1176"/>
      <c r="J123" s="1177"/>
      <c r="K123" s="1547"/>
      <c r="L123" s="1177"/>
      <c r="M123" s="1548"/>
      <c r="N123" s="1549"/>
      <c r="O123" s="1178"/>
      <c r="P123" s="1179"/>
      <c r="Q123" s="1171"/>
      <c r="R123" s="104"/>
      <c r="S123" s="1172"/>
      <c r="T123" s="1172"/>
      <c r="U123" s="1172"/>
      <c r="V123" s="1173"/>
      <c r="W123" s="1174"/>
      <c r="X123" s="1175"/>
      <c r="Y123" s="1176"/>
      <c r="Z123" s="1177"/>
      <c r="AA123" s="1547"/>
      <c r="AB123" s="1177"/>
      <c r="AC123" s="1548"/>
      <c r="AD123" s="1549"/>
      <c r="AE123" s="1178"/>
      <c r="AF123" s="1179"/>
      <c r="AH123" s="104"/>
      <c r="AI123" s="1172"/>
      <c r="AJ123" s="1172"/>
      <c r="AK123" s="1172"/>
      <c r="AL123" s="1173"/>
      <c r="AM123" s="1174"/>
      <c r="AN123" s="1175"/>
      <c r="AO123" s="1176"/>
      <c r="AP123" s="1177"/>
      <c r="AQ123" s="1547"/>
      <c r="AR123" s="1177"/>
      <c r="AS123" s="1548"/>
      <c r="AT123" s="1549"/>
      <c r="AU123" s="1178"/>
      <c r="AV123" s="1179"/>
      <c r="AY123" s="3">
        <v>1</v>
      </c>
    </row>
    <row r="124" spans="2:51" ht="27" customHeight="1">
      <c r="B124" s="104"/>
      <c r="C124" s="1172"/>
      <c r="D124" s="1172"/>
      <c r="E124" s="1172"/>
      <c r="F124" s="1173"/>
      <c r="G124" s="1174"/>
      <c r="H124" s="1175"/>
      <c r="I124" s="1176"/>
      <c r="J124" s="1177"/>
      <c r="K124" s="1547"/>
      <c r="L124" s="1177"/>
      <c r="M124" s="1548"/>
      <c r="N124" s="1549"/>
      <c r="O124" s="1178"/>
      <c r="P124" s="1179"/>
      <c r="Q124" s="1171"/>
      <c r="R124" s="104"/>
      <c r="S124" s="1172"/>
      <c r="T124" s="1172"/>
      <c r="U124" s="1172"/>
      <c r="V124" s="1173"/>
      <c r="W124" s="1174"/>
      <c r="X124" s="1175"/>
      <c r="Y124" s="1176"/>
      <c r="Z124" s="1177"/>
      <c r="AA124" s="1547"/>
      <c r="AB124" s="1177"/>
      <c r="AC124" s="1548"/>
      <c r="AD124" s="1549"/>
      <c r="AE124" s="1178"/>
      <c r="AF124" s="1179"/>
      <c r="AG124" s="1171"/>
      <c r="AH124" s="104"/>
      <c r="AI124" s="1172"/>
      <c r="AJ124" s="1172"/>
      <c r="AK124" s="1172"/>
      <c r="AL124" s="1173"/>
      <c r="AM124" s="1174"/>
      <c r="AN124" s="1175"/>
      <c r="AO124" s="1176"/>
      <c r="AP124" s="1177"/>
      <c r="AQ124" s="1547"/>
      <c r="AR124" s="1177"/>
      <c r="AS124" s="1548"/>
      <c r="AT124" s="1549"/>
      <c r="AU124" s="1178"/>
      <c r="AV124" s="1179"/>
      <c r="AY124" s="3">
        <v>1</v>
      </c>
    </row>
    <row r="125" spans="2:51" ht="27" customHeight="1">
      <c r="B125" s="104"/>
      <c r="C125" s="1172"/>
      <c r="D125" s="1172"/>
      <c r="E125" s="1172"/>
      <c r="F125" s="1173"/>
      <c r="G125" s="1174"/>
      <c r="H125" s="1175"/>
      <c r="I125" s="1176"/>
      <c r="J125" s="1177"/>
      <c r="K125" s="1547"/>
      <c r="L125" s="1177"/>
      <c r="M125" s="1548"/>
      <c r="N125" s="1549"/>
      <c r="O125" s="1178"/>
      <c r="P125" s="1179"/>
      <c r="Q125" s="1171"/>
      <c r="R125" s="104"/>
      <c r="S125" s="1172"/>
      <c r="T125" s="1172"/>
      <c r="U125" s="1172"/>
      <c r="V125" s="1173"/>
      <c r="W125" s="1174"/>
      <c r="X125" s="1175"/>
      <c r="Y125" s="1176"/>
      <c r="Z125" s="1177"/>
      <c r="AA125" s="1547"/>
      <c r="AB125" s="1177"/>
      <c r="AC125" s="1548"/>
      <c r="AD125" s="1549"/>
      <c r="AE125" s="1178"/>
      <c r="AF125" s="1179"/>
      <c r="AG125" s="1171"/>
      <c r="AH125" s="104"/>
      <c r="AI125" s="1172"/>
      <c r="AJ125" s="1172"/>
      <c r="AK125" s="1172"/>
      <c r="AL125" s="1173"/>
      <c r="AM125" s="1174"/>
      <c r="AN125" s="1175"/>
      <c r="AO125" s="1176"/>
      <c r="AP125" s="1177"/>
      <c r="AQ125" s="1547"/>
      <c r="AR125" s="1177"/>
      <c r="AS125" s="1548"/>
      <c r="AT125" s="1549"/>
      <c r="AU125" s="1178"/>
      <c r="AV125" s="1179"/>
      <c r="AY125" s="3">
        <v>1</v>
      </c>
    </row>
    <row r="126" spans="2:51" ht="27" customHeight="1">
      <c r="B126" s="104"/>
      <c r="C126" s="1172"/>
      <c r="D126" s="1172"/>
      <c r="E126" s="1172"/>
      <c r="F126" s="1173"/>
      <c r="G126" s="1174"/>
      <c r="H126" s="1175"/>
      <c r="I126" s="1176"/>
      <c r="J126" s="1177"/>
      <c r="K126" s="1547"/>
      <c r="L126" s="1177"/>
      <c r="M126" s="1548"/>
      <c r="N126" s="1549"/>
      <c r="O126" s="1178"/>
      <c r="P126" s="1179"/>
      <c r="Q126" s="1171"/>
      <c r="R126" s="104"/>
      <c r="S126" s="1172"/>
      <c r="T126" s="1172"/>
      <c r="U126" s="1172"/>
      <c r="V126" s="1173"/>
      <c r="W126" s="1174"/>
      <c r="X126" s="1175"/>
      <c r="Y126" s="1176"/>
      <c r="Z126" s="1177"/>
      <c r="AA126" s="1547"/>
      <c r="AB126" s="1177"/>
      <c r="AC126" s="1548"/>
      <c r="AD126" s="1549"/>
      <c r="AE126" s="1178"/>
      <c r="AF126" s="1179"/>
      <c r="AG126" s="1171"/>
      <c r="AH126" s="104"/>
      <c r="AI126" s="1172"/>
      <c r="AJ126" s="1172"/>
      <c r="AK126" s="1172"/>
      <c r="AL126" s="1173"/>
      <c r="AM126" s="1174"/>
      <c r="AN126" s="1175"/>
      <c r="AO126" s="1176"/>
      <c r="AP126" s="1177"/>
      <c r="AQ126" s="1547"/>
      <c r="AR126" s="1177"/>
      <c r="AS126" s="1548"/>
      <c r="AT126" s="1549"/>
      <c r="AU126" s="1178"/>
      <c r="AV126" s="1179"/>
      <c r="AY126" s="3">
        <v>1</v>
      </c>
    </row>
    <row r="127" spans="2:51" ht="27" customHeight="1">
      <c r="B127" s="104"/>
      <c r="C127" s="1172"/>
      <c r="D127" s="1172"/>
      <c r="E127" s="1172"/>
      <c r="F127" s="1173"/>
      <c r="G127" s="1174"/>
      <c r="H127" s="1175"/>
      <c r="I127" s="1176"/>
      <c r="J127" s="1177"/>
      <c r="K127" s="1547"/>
      <c r="L127" s="1177"/>
      <c r="M127" s="1548"/>
      <c r="N127" s="1549"/>
      <c r="O127" s="1178"/>
      <c r="P127" s="1179"/>
      <c r="Q127" s="1171"/>
      <c r="R127" s="104"/>
      <c r="S127" s="1172"/>
      <c r="T127" s="1172"/>
      <c r="U127" s="1172"/>
      <c r="V127" s="1173"/>
      <c r="W127" s="1174"/>
      <c r="X127" s="1175"/>
      <c r="Y127" s="1176"/>
      <c r="Z127" s="1177"/>
      <c r="AA127" s="1547"/>
      <c r="AB127" s="1177"/>
      <c r="AC127" s="1548"/>
      <c r="AD127" s="1549"/>
      <c r="AE127" s="1178"/>
      <c r="AF127" s="1179"/>
      <c r="AG127" s="1171"/>
      <c r="AH127" s="104"/>
      <c r="AI127" s="1172"/>
      <c r="AJ127" s="1172"/>
      <c r="AK127" s="1172"/>
      <c r="AL127" s="1173"/>
      <c r="AM127" s="1174"/>
      <c r="AN127" s="1175"/>
      <c r="AO127" s="1176"/>
      <c r="AP127" s="1177"/>
      <c r="AQ127" s="1547"/>
      <c r="AR127" s="1177"/>
      <c r="AS127" s="1548"/>
      <c r="AT127" s="1549"/>
      <c r="AU127" s="1178"/>
      <c r="AV127" s="1179"/>
      <c r="AY127" s="3">
        <v>1</v>
      </c>
    </row>
    <row r="128" spans="2:51" ht="27" customHeight="1">
      <c r="B128" s="104"/>
      <c r="C128" s="1172"/>
      <c r="D128" s="1172"/>
      <c r="E128" s="1172"/>
      <c r="F128" s="1173"/>
      <c r="G128" s="1174"/>
      <c r="H128" s="1175"/>
      <c r="I128" s="1176"/>
      <c r="J128" s="1177"/>
      <c r="K128" s="1547"/>
      <c r="L128" s="1177"/>
      <c r="M128" s="1548"/>
      <c r="N128" s="1549"/>
      <c r="O128" s="1178"/>
      <c r="P128" s="1179"/>
      <c r="Q128" s="1171"/>
      <c r="R128" s="104"/>
      <c r="S128" s="1172"/>
      <c r="T128" s="1172"/>
      <c r="U128" s="1172"/>
      <c r="V128" s="1173"/>
      <c r="W128" s="1174"/>
      <c r="X128" s="1175"/>
      <c r="Y128" s="1176"/>
      <c r="Z128" s="1177"/>
      <c r="AA128" s="1547"/>
      <c r="AB128" s="1177"/>
      <c r="AC128" s="1548"/>
      <c r="AD128" s="1549"/>
      <c r="AE128" s="1178"/>
      <c r="AF128" s="1179"/>
      <c r="AG128" s="1171"/>
      <c r="AH128" s="104"/>
      <c r="AI128" s="1172"/>
      <c r="AJ128" s="1172"/>
      <c r="AK128" s="1172"/>
      <c r="AL128" s="1173"/>
      <c r="AM128" s="1174"/>
      <c r="AN128" s="1175"/>
      <c r="AO128" s="1176"/>
      <c r="AP128" s="1177"/>
      <c r="AQ128" s="1547"/>
      <c r="AR128" s="1177"/>
      <c r="AS128" s="1548"/>
      <c r="AT128" s="1549"/>
      <c r="AU128" s="1178"/>
      <c r="AV128" s="1179"/>
      <c r="AY128" s="3">
        <v>1</v>
      </c>
    </row>
    <row r="129" spans="2:51" ht="27" customHeight="1">
      <c r="B129" s="104"/>
      <c r="C129" s="1172"/>
      <c r="D129" s="1172"/>
      <c r="E129" s="1172"/>
      <c r="F129" s="1173"/>
      <c r="G129" s="1174"/>
      <c r="H129" s="1175"/>
      <c r="I129" s="1176"/>
      <c r="J129" s="1177"/>
      <c r="K129" s="1547"/>
      <c r="L129" s="1177"/>
      <c r="M129" s="1548"/>
      <c r="N129" s="1549"/>
      <c r="O129" s="1178"/>
      <c r="P129" s="1179"/>
      <c r="Q129" s="1171"/>
      <c r="R129" s="104"/>
      <c r="S129" s="1172"/>
      <c r="T129" s="1172"/>
      <c r="U129" s="1172"/>
      <c r="V129" s="1173"/>
      <c r="W129" s="1174"/>
      <c r="X129" s="1175"/>
      <c r="Y129" s="1176"/>
      <c r="Z129" s="1177"/>
      <c r="AA129" s="1547"/>
      <c r="AB129" s="1177"/>
      <c r="AC129" s="1548"/>
      <c r="AD129" s="1549"/>
      <c r="AE129" s="1178"/>
      <c r="AF129" s="1179"/>
      <c r="AG129" s="1171"/>
      <c r="AH129" s="104"/>
      <c r="AI129" s="1172"/>
      <c r="AJ129" s="1172"/>
      <c r="AK129" s="1172"/>
      <c r="AL129" s="1173"/>
      <c r="AM129" s="1174"/>
      <c r="AN129" s="1175"/>
      <c r="AO129" s="1176"/>
      <c r="AP129" s="1177"/>
      <c r="AQ129" s="1547"/>
      <c r="AR129" s="1177"/>
      <c r="AS129" s="1548"/>
      <c r="AT129" s="1549"/>
      <c r="AU129" s="1178"/>
      <c r="AV129" s="1179"/>
      <c r="AY129" s="3">
        <v>1</v>
      </c>
    </row>
    <row r="130" spans="2:51" ht="27" customHeight="1">
      <c r="B130" s="104"/>
      <c r="C130" s="1172"/>
      <c r="D130" s="1172"/>
      <c r="E130" s="1172"/>
      <c r="F130" s="1173"/>
      <c r="G130" s="1174"/>
      <c r="H130" s="1175"/>
      <c r="I130" s="1176"/>
      <c r="J130" s="1177"/>
      <c r="K130" s="1547"/>
      <c r="L130" s="1177"/>
      <c r="M130" s="1548"/>
      <c r="N130" s="1549"/>
      <c r="O130" s="1178"/>
      <c r="P130" s="1179"/>
      <c r="Q130" s="1171"/>
      <c r="R130" s="104"/>
      <c r="S130" s="1172"/>
      <c r="T130" s="1172"/>
      <c r="U130" s="1172"/>
      <c r="V130" s="1173"/>
      <c r="W130" s="1174"/>
      <c r="X130" s="1175"/>
      <c r="Y130" s="1176"/>
      <c r="Z130" s="1177"/>
      <c r="AA130" s="1547"/>
      <c r="AB130" s="1177"/>
      <c r="AC130" s="1548"/>
      <c r="AD130" s="1549"/>
      <c r="AE130" s="1178"/>
      <c r="AF130" s="1179"/>
      <c r="AG130" s="1171"/>
      <c r="AH130" s="104"/>
      <c r="AI130" s="1172"/>
      <c r="AJ130" s="1172"/>
      <c r="AK130" s="1172"/>
      <c r="AL130" s="1173"/>
      <c r="AM130" s="1174"/>
      <c r="AN130" s="1175"/>
      <c r="AO130" s="1176"/>
      <c r="AP130" s="1177"/>
      <c r="AQ130" s="1547"/>
      <c r="AR130" s="1177"/>
      <c r="AS130" s="1548"/>
      <c r="AT130" s="1549"/>
      <c r="AU130" s="1178"/>
      <c r="AV130" s="1179"/>
      <c r="AY130" s="3">
        <v>1</v>
      </c>
    </row>
    <row r="131" spans="2:51" ht="27" customHeight="1">
      <c r="B131" s="104"/>
      <c r="C131" s="1172"/>
      <c r="D131" s="1172"/>
      <c r="E131" s="1172"/>
      <c r="F131" s="1173"/>
      <c r="G131" s="1174"/>
      <c r="H131" s="1175"/>
      <c r="I131" s="1176"/>
      <c r="J131" s="1177"/>
      <c r="K131" s="1547"/>
      <c r="L131" s="1177"/>
      <c r="M131" s="1548"/>
      <c r="N131" s="1549"/>
      <c r="O131" s="1178"/>
      <c r="P131" s="1179"/>
      <c r="Q131" s="1171"/>
      <c r="R131" s="104"/>
      <c r="S131" s="1172"/>
      <c r="T131" s="1172"/>
      <c r="U131" s="1172"/>
      <c r="V131" s="1173"/>
      <c r="W131" s="1174"/>
      <c r="X131" s="1175"/>
      <c r="Y131" s="1176"/>
      <c r="Z131" s="1177"/>
      <c r="AA131" s="1547"/>
      <c r="AB131" s="1177"/>
      <c r="AC131" s="1548"/>
      <c r="AD131" s="1549"/>
      <c r="AE131" s="1178"/>
      <c r="AF131" s="1179"/>
      <c r="AG131" s="1171"/>
      <c r="AH131" s="104"/>
      <c r="AI131" s="1172"/>
      <c r="AJ131" s="1172"/>
      <c r="AK131" s="1172"/>
      <c r="AL131" s="1173"/>
      <c r="AM131" s="1174"/>
      <c r="AN131" s="1175"/>
      <c r="AO131" s="1176"/>
      <c r="AP131" s="1177"/>
      <c r="AQ131" s="1547"/>
      <c r="AR131" s="1177"/>
      <c r="AS131" s="1548"/>
      <c r="AT131" s="1549"/>
      <c r="AU131" s="1178"/>
      <c r="AV131" s="1179"/>
      <c r="AY131" s="3">
        <v>1</v>
      </c>
    </row>
    <row r="132" spans="2:51" ht="27" customHeight="1">
      <c r="B132" s="104"/>
      <c r="C132" s="1172"/>
      <c r="D132" s="1172"/>
      <c r="E132" s="1172"/>
      <c r="F132" s="1173"/>
      <c r="G132" s="1174"/>
      <c r="H132" s="1175"/>
      <c r="I132" s="1176"/>
      <c r="J132" s="1177"/>
      <c r="K132" s="1547"/>
      <c r="L132" s="1177"/>
      <c r="M132" s="1548"/>
      <c r="N132" s="1549"/>
      <c r="O132" s="1178"/>
      <c r="P132" s="1179"/>
      <c r="Q132" s="1171"/>
      <c r="R132" s="104"/>
      <c r="S132" s="1172"/>
      <c r="T132" s="1172"/>
      <c r="U132" s="1172"/>
      <c r="V132" s="1173"/>
      <c r="W132" s="1174"/>
      <c r="X132" s="1175"/>
      <c r="Y132" s="1176"/>
      <c r="Z132" s="1177"/>
      <c r="AA132" s="1547"/>
      <c r="AB132" s="1177"/>
      <c r="AC132" s="1548"/>
      <c r="AD132" s="1549"/>
      <c r="AE132" s="1178"/>
      <c r="AF132" s="1179"/>
      <c r="AG132" s="1171"/>
      <c r="AH132" s="104"/>
      <c r="AI132" s="1172"/>
      <c r="AJ132" s="1172"/>
      <c r="AK132" s="1172"/>
      <c r="AL132" s="1173"/>
      <c r="AM132" s="1174"/>
      <c r="AN132" s="1175"/>
      <c r="AO132" s="1176"/>
      <c r="AP132" s="1177"/>
      <c r="AQ132" s="1547"/>
      <c r="AR132" s="1177"/>
      <c r="AS132" s="1548"/>
      <c r="AT132" s="1549"/>
      <c r="AU132" s="1178"/>
      <c r="AV132" s="1179"/>
      <c r="AY132" s="3">
        <v>1</v>
      </c>
    </row>
    <row r="133" spans="2:51" ht="27" customHeight="1">
      <c r="B133" s="104"/>
      <c r="C133" s="1172"/>
      <c r="D133" s="1172"/>
      <c r="E133" s="1172"/>
      <c r="F133" s="1173"/>
      <c r="G133" s="1174"/>
      <c r="H133" s="1175"/>
      <c r="I133" s="1176"/>
      <c r="J133" s="1177"/>
      <c r="K133" s="1547"/>
      <c r="L133" s="1177"/>
      <c r="M133" s="1548"/>
      <c r="N133" s="1549"/>
      <c r="O133" s="1178"/>
      <c r="P133" s="1179"/>
      <c r="Q133" s="1171"/>
      <c r="R133" s="104"/>
      <c r="S133" s="1172"/>
      <c r="T133" s="1172"/>
      <c r="U133" s="1172"/>
      <c r="V133" s="1173"/>
      <c r="W133" s="1174"/>
      <c r="X133" s="1175"/>
      <c r="Y133" s="1176"/>
      <c r="Z133" s="1177"/>
      <c r="AA133" s="1547"/>
      <c r="AB133" s="1177"/>
      <c r="AC133" s="1548"/>
      <c r="AD133" s="1549"/>
      <c r="AE133" s="1178"/>
      <c r="AF133" s="1179"/>
      <c r="AG133" s="1171"/>
      <c r="AH133" s="104"/>
      <c r="AI133" s="1172"/>
      <c r="AJ133" s="1172"/>
      <c r="AK133" s="1172"/>
      <c r="AL133" s="1173"/>
      <c r="AM133" s="1174"/>
      <c r="AN133" s="1175"/>
      <c r="AO133" s="1176"/>
      <c r="AP133" s="1177"/>
      <c r="AQ133" s="1547"/>
      <c r="AR133" s="1177"/>
      <c r="AS133" s="1548"/>
      <c r="AT133" s="1549"/>
      <c r="AU133" s="1178"/>
      <c r="AV133" s="1179"/>
      <c r="AY133" s="3">
        <v>1</v>
      </c>
    </row>
    <row r="134" spans="2:51" ht="27" customHeight="1">
      <c r="B134" s="104"/>
      <c r="C134" s="1172"/>
      <c r="D134" s="1172"/>
      <c r="E134" s="1172"/>
      <c r="F134" s="1173"/>
      <c r="G134" s="1174"/>
      <c r="H134" s="1175"/>
      <c r="I134" s="1176"/>
      <c r="J134" s="1177"/>
      <c r="K134" s="1547"/>
      <c r="L134" s="1177"/>
      <c r="M134" s="1548"/>
      <c r="N134" s="1549"/>
      <c r="O134" s="1178"/>
      <c r="P134" s="1179"/>
      <c r="Q134" s="1171"/>
      <c r="R134" s="104"/>
      <c r="S134" s="1172"/>
      <c r="T134" s="1172"/>
      <c r="U134" s="1172"/>
      <c r="V134" s="1173"/>
      <c r="W134" s="1174"/>
      <c r="X134" s="1175"/>
      <c r="Y134" s="1176"/>
      <c r="Z134" s="1177"/>
      <c r="AA134" s="1547"/>
      <c r="AB134" s="1177"/>
      <c r="AC134" s="1548"/>
      <c r="AD134" s="1549"/>
      <c r="AE134" s="1178"/>
      <c r="AF134" s="1179"/>
      <c r="AG134" s="1171"/>
      <c r="AH134" s="104"/>
      <c r="AI134" s="1172"/>
      <c r="AJ134" s="1172"/>
      <c r="AK134" s="1172"/>
      <c r="AL134" s="1173"/>
      <c r="AM134" s="1174"/>
      <c r="AN134" s="1175"/>
      <c r="AO134" s="1176"/>
      <c r="AP134" s="1177"/>
      <c r="AQ134" s="1547"/>
      <c r="AR134" s="1177"/>
      <c r="AS134" s="1548"/>
      <c r="AT134" s="1549"/>
      <c r="AU134" s="1178"/>
      <c r="AV134" s="1179"/>
      <c r="AY134" s="3">
        <v>1</v>
      </c>
    </row>
    <row r="135" spans="2:51" ht="27" customHeight="1">
      <c r="B135" s="104"/>
      <c r="C135" s="1172"/>
      <c r="D135" s="1172"/>
      <c r="E135" s="1172"/>
      <c r="F135" s="1173"/>
      <c r="G135" s="1174"/>
      <c r="H135" s="1175"/>
      <c r="I135" s="1176"/>
      <c r="J135" s="1177"/>
      <c r="K135" s="1547"/>
      <c r="L135" s="1177"/>
      <c r="M135" s="1548"/>
      <c r="N135" s="1549"/>
      <c r="O135" s="1178"/>
      <c r="P135" s="1179"/>
      <c r="Q135" s="1171"/>
      <c r="R135" s="104"/>
      <c r="S135" s="1172"/>
      <c r="T135" s="1172"/>
      <c r="U135" s="1172"/>
      <c r="V135" s="1173"/>
      <c r="W135" s="1174"/>
      <c r="X135" s="1175"/>
      <c r="Y135" s="1176"/>
      <c r="Z135" s="1177"/>
      <c r="AA135" s="1547"/>
      <c r="AB135" s="1177"/>
      <c r="AC135" s="1548"/>
      <c r="AD135" s="1549"/>
      <c r="AE135" s="1178"/>
      <c r="AF135" s="1179"/>
      <c r="AG135" s="1171"/>
      <c r="AH135" s="104"/>
      <c r="AI135" s="1172"/>
      <c r="AJ135" s="1172"/>
      <c r="AK135" s="1172"/>
      <c r="AL135" s="1173"/>
      <c r="AM135" s="1174"/>
      <c r="AN135" s="1175"/>
      <c r="AO135" s="1176"/>
      <c r="AP135" s="1177"/>
      <c r="AQ135" s="1547"/>
      <c r="AR135" s="1177"/>
      <c r="AS135" s="1548"/>
      <c r="AT135" s="1549"/>
      <c r="AU135" s="1178"/>
      <c r="AV135" s="1179"/>
      <c r="AY135" s="3">
        <v>1</v>
      </c>
    </row>
    <row r="136" spans="2:51" ht="27" customHeight="1">
      <c r="B136" s="104"/>
      <c r="C136" s="1172"/>
      <c r="D136" s="1172"/>
      <c r="E136" s="1172"/>
      <c r="F136" s="1173"/>
      <c r="G136" s="1174"/>
      <c r="H136" s="1175"/>
      <c r="I136" s="1176"/>
      <c r="J136" s="1177"/>
      <c r="K136" s="1547"/>
      <c r="L136" s="1177"/>
      <c r="M136" s="1548"/>
      <c r="N136" s="1549"/>
      <c r="O136" s="1178"/>
      <c r="P136" s="1179"/>
      <c r="Q136" s="1171"/>
      <c r="R136" s="104"/>
      <c r="S136" s="1172"/>
      <c r="T136" s="1172"/>
      <c r="U136" s="1172"/>
      <c r="V136" s="1173"/>
      <c r="W136" s="1174"/>
      <c r="X136" s="1175"/>
      <c r="Y136" s="1176"/>
      <c r="Z136" s="1177"/>
      <c r="AA136" s="1547"/>
      <c r="AB136" s="1177"/>
      <c r="AC136" s="1548"/>
      <c r="AD136" s="1549"/>
      <c r="AE136" s="1178"/>
      <c r="AF136" s="1179"/>
      <c r="AG136" s="1171"/>
      <c r="AH136" s="104"/>
      <c r="AI136" s="1172"/>
      <c r="AJ136" s="1172"/>
      <c r="AK136" s="1172"/>
      <c r="AL136" s="1173"/>
      <c r="AM136" s="1174"/>
      <c r="AN136" s="1175"/>
      <c r="AO136" s="1176"/>
      <c r="AP136" s="1177"/>
      <c r="AQ136" s="1547"/>
      <c r="AR136" s="1177"/>
      <c r="AS136" s="1548"/>
      <c r="AT136" s="1549"/>
      <c r="AU136" s="1178"/>
      <c r="AV136" s="1179"/>
      <c r="AY136" s="3">
        <v>1</v>
      </c>
    </row>
    <row r="137" spans="2:51" ht="27" customHeight="1">
      <c r="B137" s="104"/>
      <c r="C137" s="1172"/>
      <c r="D137" s="1172"/>
      <c r="E137" s="1172"/>
      <c r="F137" s="1173"/>
      <c r="G137" s="1174"/>
      <c r="H137" s="1175"/>
      <c r="I137" s="1176"/>
      <c r="J137" s="1177"/>
      <c r="K137" s="1547"/>
      <c r="L137" s="1177"/>
      <c r="M137" s="1548"/>
      <c r="N137" s="1549"/>
      <c r="O137" s="1178"/>
      <c r="P137" s="1179"/>
      <c r="Q137" s="1171"/>
      <c r="R137" s="104"/>
      <c r="S137" s="1172"/>
      <c r="T137" s="1172"/>
      <c r="U137" s="1172"/>
      <c r="V137" s="1173"/>
      <c r="W137" s="1174"/>
      <c r="X137" s="1175"/>
      <c r="Y137" s="1176"/>
      <c r="Z137" s="1177"/>
      <c r="AA137" s="1547"/>
      <c r="AB137" s="1177"/>
      <c r="AC137" s="1548"/>
      <c r="AD137" s="1549"/>
      <c r="AE137" s="1178"/>
      <c r="AF137" s="1179"/>
      <c r="AG137" s="1171"/>
      <c r="AH137" s="104"/>
      <c r="AI137" s="1172"/>
      <c r="AJ137" s="1172"/>
      <c r="AK137" s="1172"/>
      <c r="AL137" s="1173"/>
      <c r="AM137" s="1174"/>
      <c r="AN137" s="1175"/>
      <c r="AO137" s="1176"/>
      <c r="AP137" s="1177"/>
      <c r="AQ137" s="1547"/>
      <c r="AR137" s="1177"/>
      <c r="AS137" s="1548"/>
      <c r="AT137" s="1549"/>
      <c r="AU137" s="1178"/>
      <c r="AV137" s="1179"/>
      <c r="AY137" s="3">
        <v>1</v>
      </c>
    </row>
    <row r="138" spans="2:51" ht="27" customHeight="1">
      <c r="B138" s="104"/>
      <c r="C138" s="1172"/>
      <c r="D138" s="1172"/>
      <c r="E138" s="1172"/>
      <c r="F138" s="1173"/>
      <c r="G138" s="1174"/>
      <c r="H138" s="1175"/>
      <c r="I138" s="1176"/>
      <c r="J138" s="1177"/>
      <c r="K138" s="1547"/>
      <c r="L138" s="1177"/>
      <c r="M138" s="1548"/>
      <c r="N138" s="1549"/>
      <c r="O138" s="1178"/>
      <c r="P138" s="1179"/>
      <c r="Q138" s="1171"/>
      <c r="R138" s="104"/>
      <c r="S138" s="1172"/>
      <c r="T138" s="1172"/>
      <c r="U138" s="1172"/>
      <c r="V138" s="1173"/>
      <c r="W138" s="1174"/>
      <c r="X138" s="1175"/>
      <c r="Y138" s="1176"/>
      <c r="Z138" s="1177"/>
      <c r="AA138" s="1547"/>
      <c r="AB138" s="1177"/>
      <c r="AC138" s="1548"/>
      <c r="AD138" s="1549"/>
      <c r="AE138" s="1178"/>
      <c r="AF138" s="1179"/>
      <c r="AG138" s="1171"/>
      <c r="AH138" s="104"/>
      <c r="AI138" s="1172"/>
      <c r="AJ138" s="1172"/>
      <c r="AK138" s="1172"/>
      <c r="AL138" s="1173"/>
      <c r="AM138" s="1174"/>
      <c r="AN138" s="1175"/>
      <c r="AO138" s="1176"/>
      <c r="AP138" s="1177"/>
      <c r="AQ138" s="1547"/>
      <c r="AR138" s="1177"/>
      <c r="AS138" s="1548"/>
      <c r="AT138" s="1549"/>
      <c r="AU138" s="1178"/>
      <c r="AV138" s="1179"/>
      <c r="AY138" s="3">
        <v>1</v>
      </c>
    </row>
    <row r="139" spans="2:51" ht="27" customHeight="1">
      <c r="B139" s="104"/>
      <c r="C139" s="1172"/>
      <c r="D139" s="1172"/>
      <c r="E139" s="1172"/>
      <c r="F139" s="1173"/>
      <c r="G139" s="1174"/>
      <c r="H139" s="1175"/>
      <c r="I139" s="1176"/>
      <c r="J139" s="1177"/>
      <c r="K139" s="1547"/>
      <c r="L139" s="1177"/>
      <c r="M139" s="1548"/>
      <c r="N139" s="1549"/>
      <c r="O139" s="1178"/>
      <c r="P139" s="1179"/>
      <c r="Q139" s="1171"/>
      <c r="R139" s="104"/>
      <c r="S139" s="1172"/>
      <c r="T139" s="1172"/>
      <c r="U139" s="1172"/>
      <c r="V139" s="1173"/>
      <c r="W139" s="1174"/>
      <c r="X139" s="1175"/>
      <c r="Y139" s="1176"/>
      <c r="Z139" s="1177"/>
      <c r="AA139" s="1547"/>
      <c r="AB139" s="1177"/>
      <c r="AC139" s="1548"/>
      <c r="AD139" s="1549"/>
      <c r="AE139" s="1178"/>
      <c r="AF139" s="1179"/>
      <c r="AG139" s="1171"/>
      <c r="AH139" s="104"/>
      <c r="AI139" s="1172"/>
      <c r="AJ139" s="1172"/>
      <c r="AK139" s="1172"/>
      <c r="AL139" s="1173"/>
      <c r="AM139" s="1174"/>
      <c r="AN139" s="1175"/>
      <c r="AO139" s="1176"/>
      <c r="AP139" s="1177"/>
      <c r="AQ139" s="1547"/>
      <c r="AR139" s="1177"/>
      <c r="AS139" s="1548"/>
      <c r="AT139" s="1549"/>
      <c r="AU139" s="1178"/>
      <c r="AV139" s="1179"/>
      <c r="AY139" s="3">
        <v>1</v>
      </c>
    </row>
    <row r="140" spans="2:51" ht="27" customHeight="1">
      <c r="B140" s="104"/>
      <c r="C140" s="1172"/>
      <c r="D140" s="1172"/>
      <c r="E140" s="1172"/>
      <c r="F140" s="1173"/>
      <c r="G140" s="1174"/>
      <c r="H140" s="1175"/>
      <c r="I140" s="1176"/>
      <c r="J140" s="1177"/>
      <c r="K140" s="1547"/>
      <c r="L140" s="1177"/>
      <c r="M140" s="1548"/>
      <c r="N140" s="1549"/>
      <c r="O140" s="1178"/>
      <c r="P140" s="1179"/>
      <c r="Q140" s="1171"/>
      <c r="R140" s="104"/>
      <c r="S140" s="1172"/>
      <c r="T140" s="1172"/>
      <c r="U140" s="1172"/>
      <c r="V140" s="1173"/>
      <c r="W140" s="1174"/>
      <c r="X140" s="1175"/>
      <c r="Y140" s="1176"/>
      <c r="Z140" s="1177"/>
      <c r="AA140" s="1547"/>
      <c r="AB140" s="1177"/>
      <c r="AC140" s="1548"/>
      <c r="AD140" s="1549"/>
      <c r="AE140" s="1178"/>
      <c r="AF140" s="1179"/>
      <c r="AG140" s="1171"/>
      <c r="AH140" s="104"/>
      <c r="AI140" s="1172"/>
      <c r="AJ140" s="1172"/>
      <c r="AK140" s="1172"/>
      <c r="AL140" s="1173"/>
      <c r="AM140" s="1174"/>
      <c r="AN140" s="1175"/>
      <c r="AO140" s="1176"/>
      <c r="AP140" s="1177"/>
      <c r="AQ140" s="1547"/>
      <c r="AR140" s="1177"/>
      <c r="AS140" s="1548"/>
      <c r="AT140" s="1549"/>
      <c r="AU140" s="1178"/>
      <c r="AV140" s="1179"/>
      <c r="AY140" s="3">
        <v>1</v>
      </c>
    </row>
    <row r="141" spans="2:51" ht="27" customHeight="1">
      <c r="B141" s="104"/>
      <c r="C141" s="1172"/>
      <c r="D141" s="1172"/>
      <c r="E141" s="1172"/>
      <c r="F141" s="1173"/>
      <c r="G141" s="1174"/>
      <c r="H141" s="1175"/>
      <c r="I141" s="1176"/>
      <c r="J141" s="1177"/>
      <c r="K141" s="1547"/>
      <c r="L141" s="1177"/>
      <c r="M141" s="1548"/>
      <c r="N141" s="1549"/>
      <c r="O141" s="1178"/>
      <c r="P141" s="1179"/>
      <c r="Q141" s="1171"/>
      <c r="R141" s="104"/>
      <c r="S141" s="1172"/>
      <c r="T141" s="1172"/>
      <c r="U141" s="1172"/>
      <c r="V141" s="1173"/>
      <c r="W141" s="1174"/>
      <c r="X141" s="1175"/>
      <c r="Y141" s="1176"/>
      <c r="Z141" s="1177"/>
      <c r="AA141" s="1547"/>
      <c r="AB141" s="1177"/>
      <c r="AC141" s="1548"/>
      <c r="AD141" s="1549"/>
      <c r="AE141" s="1178"/>
      <c r="AF141" s="1179"/>
      <c r="AG141" s="1171"/>
      <c r="AH141" s="104"/>
      <c r="AI141" s="1172"/>
      <c r="AJ141" s="1172"/>
      <c r="AK141" s="1172"/>
      <c r="AL141" s="1173"/>
      <c r="AM141" s="1174"/>
      <c r="AN141" s="1175"/>
      <c r="AO141" s="1176"/>
      <c r="AP141" s="1177"/>
      <c r="AQ141" s="1547"/>
      <c r="AR141" s="1177"/>
      <c r="AS141" s="1548"/>
      <c r="AT141" s="1549"/>
      <c r="AU141" s="1178"/>
      <c r="AV141" s="1179"/>
      <c r="AY141" s="3">
        <v>1</v>
      </c>
    </row>
    <row r="142" spans="2:51" ht="27" customHeight="1">
      <c r="B142" s="104"/>
      <c r="C142" s="1172"/>
      <c r="D142" s="1172"/>
      <c r="E142" s="1172"/>
      <c r="F142" s="1173"/>
      <c r="G142" s="1174"/>
      <c r="H142" s="1175"/>
      <c r="I142" s="1176"/>
      <c r="J142" s="1177"/>
      <c r="K142" s="1547"/>
      <c r="L142" s="1177"/>
      <c r="M142" s="1548"/>
      <c r="N142" s="1549"/>
      <c r="O142" s="1178"/>
      <c r="P142" s="1179"/>
      <c r="Q142" s="1171"/>
      <c r="R142" s="104"/>
      <c r="S142" s="1172"/>
      <c r="T142" s="1172"/>
      <c r="U142" s="1172"/>
      <c r="V142" s="1173"/>
      <c r="W142" s="1174"/>
      <c r="X142" s="1175"/>
      <c r="Y142" s="1176"/>
      <c r="Z142" s="1177"/>
      <c r="AA142" s="1547"/>
      <c r="AB142" s="1177"/>
      <c r="AC142" s="1548"/>
      <c r="AD142" s="1549"/>
      <c r="AE142" s="1178"/>
      <c r="AF142" s="1179"/>
      <c r="AG142" s="1171"/>
      <c r="AH142" s="104"/>
      <c r="AI142" s="1172"/>
      <c r="AJ142" s="1172"/>
      <c r="AK142" s="1172"/>
      <c r="AL142" s="1173"/>
      <c r="AM142" s="1174"/>
      <c r="AN142" s="1175"/>
      <c r="AO142" s="1176"/>
      <c r="AP142" s="1177"/>
      <c r="AQ142" s="1547"/>
      <c r="AR142" s="1177"/>
      <c r="AS142" s="1548"/>
      <c r="AT142" s="1549"/>
      <c r="AU142" s="1178"/>
      <c r="AV142" s="1179"/>
      <c r="AY142" s="3">
        <v>1</v>
      </c>
    </row>
    <row r="143" spans="2:51" ht="27" customHeight="1">
      <c r="B143" s="104"/>
      <c r="C143" s="1172"/>
      <c r="D143" s="1172"/>
      <c r="E143" s="1172"/>
      <c r="F143" s="1173"/>
      <c r="G143" s="1174"/>
      <c r="H143" s="1175"/>
      <c r="I143" s="1176"/>
      <c r="J143" s="1177"/>
      <c r="K143" s="1547"/>
      <c r="L143" s="1177"/>
      <c r="M143" s="1548"/>
      <c r="N143" s="1549"/>
      <c r="O143" s="1178"/>
      <c r="P143" s="1179"/>
      <c r="Q143" s="1171"/>
      <c r="R143" s="104"/>
      <c r="S143" s="1172"/>
      <c r="T143" s="1172"/>
      <c r="U143" s="1172"/>
      <c r="V143" s="1173"/>
      <c r="W143" s="1174"/>
      <c r="X143" s="1175"/>
      <c r="Y143" s="1176"/>
      <c r="Z143" s="1177"/>
      <c r="AA143" s="1547"/>
      <c r="AB143" s="1177"/>
      <c r="AC143" s="1548"/>
      <c r="AD143" s="1549"/>
      <c r="AE143" s="1178"/>
      <c r="AF143" s="1179"/>
      <c r="AG143" s="1171"/>
      <c r="AH143" s="104"/>
      <c r="AI143" s="1172"/>
      <c r="AJ143" s="1172"/>
      <c r="AK143" s="1172"/>
      <c r="AL143" s="1173"/>
      <c r="AM143" s="1174"/>
      <c r="AN143" s="1175"/>
      <c r="AO143" s="1176"/>
      <c r="AP143" s="1177"/>
      <c r="AQ143" s="1547"/>
      <c r="AR143" s="1177"/>
      <c r="AS143" s="1548"/>
      <c r="AT143" s="1549"/>
      <c r="AU143" s="1178"/>
      <c r="AV143" s="1179"/>
      <c r="AY143" s="3">
        <v>1</v>
      </c>
    </row>
    <row r="144" spans="2:51" ht="27" customHeight="1">
      <c r="B144" s="104"/>
      <c r="C144" s="1172"/>
      <c r="D144" s="1172"/>
      <c r="E144" s="1172"/>
      <c r="F144" s="1173"/>
      <c r="G144" s="1174"/>
      <c r="H144" s="1175"/>
      <c r="I144" s="1176"/>
      <c r="J144" s="1177"/>
      <c r="K144" s="1547"/>
      <c r="L144" s="1177"/>
      <c r="M144" s="1548"/>
      <c r="N144" s="1549"/>
      <c r="O144" s="1178"/>
      <c r="P144" s="1179"/>
      <c r="Q144" s="1171"/>
      <c r="R144" s="104"/>
      <c r="S144" s="1172"/>
      <c r="T144" s="1172"/>
      <c r="U144" s="1172"/>
      <c r="V144" s="1173"/>
      <c r="W144" s="1174"/>
      <c r="X144" s="1175"/>
      <c r="Y144" s="1176"/>
      <c r="Z144" s="1177"/>
      <c r="AA144" s="1547"/>
      <c r="AB144" s="1177"/>
      <c r="AC144" s="1548"/>
      <c r="AD144" s="1549"/>
      <c r="AE144" s="1178"/>
      <c r="AF144" s="1179"/>
      <c r="AG144" s="1171"/>
      <c r="AH144" s="104"/>
      <c r="AI144" s="1172"/>
      <c r="AJ144" s="1172"/>
      <c r="AK144" s="1172"/>
      <c r="AL144" s="1173"/>
      <c r="AM144" s="1174"/>
      <c r="AN144" s="1175"/>
      <c r="AO144" s="1176"/>
      <c r="AP144" s="1177"/>
      <c r="AQ144" s="1547"/>
      <c r="AR144" s="1177"/>
      <c r="AS144" s="1548"/>
      <c r="AT144" s="1549"/>
      <c r="AU144" s="1178"/>
      <c r="AV144" s="1179"/>
      <c r="AY144" s="3">
        <v>1</v>
      </c>
    </row>
    <row r="145" spans="2:51" ht="27" customHeight="1">
      <c r="B145" s="104"/>
      <c r="C145" s="1172"/>
      <c r="D145" s="1172"/>
      <c r="E145" s="1172"/>
      <c r="F145" s="1173"/>
      <c r="G145" s="1174"/>
      <c r="H145" s="1175"/>
      <c r="I145" s="1176"/>
      <c r="J145" s="1177"/>
      <c r="K145" s="1547"/>
      <c r="L145" s="1177"/>
      <c r="M145" s="1548"/>
      <c r="N145" s="1549"/>
      <c r="O145" s="1178"/>
      <c r="P145" s="1179"/>
      <c r="Q145" s="1171"/>
      <c r="R145" s="104"/>
      <c r="S145" s="1172"/>
      <c r="T145" s="1172"/>
      <c r="U145" s="1172"/>
      <c r="V145" s="1173"/>
      <c r="W145" s="1174"/>
      <c r="X145" s="1175"/>
      <c r="Y145" s="1176"/>
      <c r="Z145" s="1177"/>
      <c r="AA145" s="1547"/>
      <c r="AB145" s="1177"/>
      <c r="AC145" s="1548"/>
      <c r="AD145" s="1549"/>
      <c r="AE145" s="1178"/>
      <c r="AF145" s="1179"/>
      <c r="AG145" s="1171"/>
      <c r="AH145" s="104"/>
      <c r="AI145" s="1172"/>
      <c r="AJ145" s="1172"/>
      <c r="AK145" s="1172"/>
      <c r="AL145" s="1173"/>
      <c r="AM145" s="1174"/>
      <c r="AN145" s="1175"/>
      <c r="AO145" s="1176"/>
      <c r="AP145" s="1177"/>
      <c r="AQ145" s="1547"/>
      <c r="AR145" s="1177"/>
      <c r="AS145" s="1548"/>
      <c r="AT145" s="1549"/>
      <c r="AU145" s="1178"/>
      <c r="AV145" s="1179"/>
      <c r="AY145" s="3">
        <v>1</v>
      </c>
    </row>
    <row r="146" spans="2:51" ht="27" customHeight="1">
      <c r="B146" s="104"/>
      <c r="C146" s="1172"/>
      <c r="D146" s="1172"/>
      <c r="E146" s="1172"/>
      <c r="F146" s="1173"/>
      <c r="G146" s="1174"/>
      <c r="H146" s="1175"/>
      <c r="I146" s="1176"/>
      <c r="J146" s="1177"/>
      <c r="K146" s="1547"/>
      <c r="L146" s="1177"/>
      <c r="M146" s="1548"/>
      <c r="N146" s="1549"/>
      <c r="O146" s="1178"/>
      <c r="P146" s="1179"/>
      <c r="Q146" s="1171"/>
      <c r="R146" s="104"/>
      <c r="S146" s="1172"/>
      <c r="T146" s="1172"/>
      <c r="U146" s="1172"/>
      <c r="V146" s="1173"/>
      <c r="W146" s="1174"/>
      <c r="X146" s="1175"/>
      <c r="Y146" s="1176"/>
      <c r="Z146" s="1177"/>
      <c r="AA146" s="1547"/>
      <c r="AB146" s="1177"/>
      <c r="AC146" s="1548"/>
      <c r="AD146" s="1549"/>
      <c r="AE146" s="1178"/>
      <c r="AF146" s="1179"/>
      <c r="AG146" s="1171"/>
      <c r="AH146" s="104"/>
      <c r="AI146" s="1172"/>
      <c r="AJ146" s="1172"/>
      <c r="AK146" s="1172"/>
      <c r="AL146" s="1173"/>
      <c r="AM146" s="1174"/>
      <c r="AN146" s="1175"/>
      <c r="AO146" s="1176"/>
      <c r="AP146" s="1177"/>
      <c r="AQ146" s="1547"/>
      <c r="AR146" s="1177"/>
      <c r="AS146" s="1548"/>
      <c r="AT146" s="1549"/>
      <c r="AU146" s="1178"/>
      <c r="AV146" s="1179"/>
      <c r="AY146" s="3">
        <v>1</v>
      </c>
    </row>
    <row r="147" spans="2:51" ht="27" customHeight="1">
      <c r="B147" s="104"/>
      <c r="C147" s="1172"/>
      <c r="D147" s="1172"/>
      <c r="E147" s="1172"/>
      <c r="F147" s="1173"/>
      <c r="G147" s="1174"/>
      <c r="H147" s="1175"/>
      <c r="I147" s="1176"/>
      <c r="J147" s="1177"/>
      <c r="K147" s="1547"/>
      <c r="L147" s="1177"/>
      <c r="M147" s="1548"/>
      <c r="N147" s="1549"/>
      <c r="O147" s="1178"/>
      <c r="P147" s="1179"/>
      <c r="Q147" s="1171"/>
      <c r="R147" s="104"/>
      <c r="S147" s="1172"/>
      <c r="T147" s="1172"/>
      <c r="U147" s="1172"/>
      <c r="V147" s="1173"/>
      <c r="W147" s="1174"/>
      <c r="X147" s="1175"/>
      <c r="Y147" s="1176"/>
      <c r="Z147" s="1177"/>
      <c r="AA147" s="1547"/>
      <c r="AB147" s="1177"/>
      <c r="AC147" s="1548"/>
      <c r="AD147" s="1549"/>
      <c r="AE147" s="1178"/>
      <c r="AF147" s="1179"/>
      <c r="AG147" s="1171"/>
      <c r="AH147" s="104"/>
      <c r="AI147" s="1172"/>
      <c r="AJ147" s="1172"/>
      <c r="AK147" s="1172"/>
      <c r="AL147" s="1173"/>
      <c r="AM147" s="1174"/>
      <c r="AN147" s="1175"/>
      <c r="AO147" s="1176"/>
      <c r="AP147" s="1177"/>
      <c r="AQ147" s="1547"/>
      <c r="AR147" s="1177"/>
      <c r="AS147" s="1548"/>
      <c r="AT147" s="1549"/>
      <c r="AU147" s="1178"/>
      <c r="AV147" s="1179"/>
      <c r="AY147" s="3">
        <v>1</v>
      </c>
    </row>
    <row r="148" spans="2:51" ht="27" customHeight="1">
      <c r="B148" s="104"/>
      <c r="C148" s="1172"/>
      <c r="D148" s="1172"/>
      <c r="E148" s="1172"/>
      <c r="F148" s="1173"/>
      <c r="G148" s="1174"/>
      <c r="H148" s="1175"/>
      <c r="I148" s="1176"/>
      <c r="J148" s="1177"/>
      <c r="K148" s="1547"/>
      <c r="L148" s="1177"/>
      <c r="M148" s="1548"/>
      <c r="N148" s="1549"/>
      <c r="O148" s="1178"/>
      <c r="P148" s="1179"/>
      <c r="Q148" s="1171"/>
      <c r="R148" s="104"/>
      <c r="S148" s="1172"/>
      <c r="T148" s="1172"/>
      <c r="U148" s="1172"/>
      <c r="V148" s="1173"/>
      <c r="W148" s="1174"/>
      <c r="X148" s="1175"/>
      <c r="Y148" s="1176"/>
      <c r="Z148" s="1177"/>
      <c r="AA148" s="1547"/>
      <c r="AB148" s="1177"/>
      <c r="AC148" s="1548"/>
      <c r="AD148" s="1549"/>
      <c r="AE148" s="1178"/>
      <c r="AF148" s="1179"/>
      <c r="AG148" s="1171"/>
      <c r="AH148" s="104"/>
      <c r="AI148" s="1172"/>
      <c r="AJ148" s="1172"/>
      <c r="AK148" s="1172"/>
      <c r="AL148" s="1173"/>
      <c r="AM148" s="1174"/>
      <c r="AN148" s="1175"/>
      <c r="AO148" s="1176"/>
      <c r="AP148" s="1177"/>
      <c r="AQ148" s="1547"/>
      <c r="AR148" s="1177"/>
      <c r="AS148" s="1548"/>
      <c r="AT148" s="1549"/>
      <c r="AU148" s="1178"/>
      <c r="AV148" s="1179"/>
      <c r="AY148" s="3">
        <v>1</v>
      </c>
    </row>
    <row r="149" spans="2:51" ht="27" customHeight="1">
      <c r="B149" s="104"/>
      <c r="C149" s="1172"/>
      <c r="D149" s="1172"/>
      <c r="E149" s="1172"/>
      <c r="F149" s="1173"/>
      <c r="G149" s="1174"/>
      <c r="H149" s="1175"/>
      <c r="I149" s="1176"/>
      <c r="J149" s="1177"/>
      <c r="K149" s="1547"/>
      <c r="L149" s="1177"/>
      <c r="M149" s="1548"/>
      <c r="N149" s="1549"/>
      <c r="O149" s="1178"/>
      <c r="P149" s="1179"/>
      <c r="Q149" s="1171"/>
      <c r="R149" s="104"/>
      <c r="S149" s="1172"/>
      <c r="T149" s="1172"/>
      <c r="U149" s="1172"/>
      <c r="V149" s="1173"/>
      <c r="W149" s="1174"/>
      <c r="X149" s="1175"/>
      <c r="Y149" s="1176"/>
      <c r="Z149" s="1177"/>
      <c r="AA149" s="1547"/>
      <c r="AB149" s="1177"/>
      <c r="AC149" s="1548"/>
      <c r="AD149" s="1549"/>
      <c r="AE149" s="1178"/>
      <c r="AF149" s="1179"/>
      <c r="AG149" s="1171"/>
      <c r="AH149" s="104"/>
      <c r="AI149" s="1172"/>
      <c r="AJ149" s="1172"/>
      <c r="AK149" s="1172"/>
      <c r="AL149" s="1173"/>
      <c r="AM149" s="1174"/>
      <c r="AN149" s="1175"/>
      <c r="AO149" s="1176"/>
      <c r="AP149" s="1177"/>
      <c r="AQ149" s="1547"/>
      <c r="AR149" s="1177"/>
      <c r="AS149" s="1548"/>
      <c r="AT149" s="1549"/>
      <c r="AU149" s="1178"/>
      <c r="AV149" s="1179"/>
      <c r="AY149" s="3">
        <v>1</v>
      </c>
    </row>
    <row r="150" spans="2:51" ht="27" customHeight="1">
      <c r="B150" s="104"/>
      <c r="C150" s="1172"/>
      <c r="D150" s="1172"/>
      <c r="E150" s="1172"/>
      <c r="F150" s="1173"/>
      <c r="G150" s="1174"/>
      <c r="H150" s="1175"/>
      <c r="I150" s="1176"/>
      <c r="J150" s="1177"/>
      <c r="K150" s="1547"/>
      <c r="L150" s="1177"/>
      <c r="M150" s="1548"/>
      <c r="N150" s="1549"/>
      <c r="O150" s="1178"/>
      <c r="P150" s="1179"/>
      <c r="Q150" s="1171"/>
      <c r="R150" s="104"/>
      <c r="S150" s="1172"/>
      <c r="T150" s="1172"/>
      <c r="U150" s="1172"/>
      <c r="V150" s="1173"/>
      <c r="W150" s="1174"/>
      <c r="X150" s="1175"/>
      <c r="Y150" s="1176"/>
      <c r="Z150" s="1177"/>
      <c r="AA150" s="1547"/>
      <c r="AB150" s="1177"/>
      <c r="AC150" s="1548"/>
      <c r="AD150" s="1549"/>
      <c r="AE150" s="1178"/>
      <c r="AF150" s="1179"/>
      <c r="AG150" s="1171"/>
      <c r="AH150" s="104"/>
      <c r="AI150" s="1172"/>
      <c r="AJ150" s="1172"/>
      <c r="AK150" s="1172"/>
      <c r="AL150" s="1173"/>
      <c r="AM150" s="1174"/>
      <c r="AN150" s="1175"/>
      <c r="AO150" s="1176"/>
      <c r="AP150" s="1177"/>
      <c r="AQ150" s="1547"/>
      <c r="AR150" s="1177"/>
      <c r="AS150" s="1548"/>
      <c r="AT150" s="1549"/>
      <c r="AU150" s="1178"/>
      <c r="AV150" s="1179"/>
      <c r="AY150" s="3">
        <v>1</v>
      </c>
    </row>
    <row r="151" spans="2:51" ht="27" customHeight="1">
      <c r="B151" s="104"/>
      <c r="C151" s="1172"/>
      <c r="D151" s="1172"/>
      <c r="E151" s="1172"/>
      <c r="F151" s="1173"/>
      <c r="G151" s="1174"/>
      <c r="H151" s="1175"/>
      <c r="I151" s="1176"/>
      <c r="J151" s="1177"/>
      <c r="K151" s="1547"/>
      <c r="L151" s="1177"/>
      <c r="M151" s="1548"/>
      <c r="N151" s="1549"/>
      <c r="O151" s="1178"/>
      <c r="P151" s="1179"/>
      <c r="Q151" s="1171"/>
      <c r="R151" s="104"/>
      <c r="S151" s="1172"/>
      <c r="T151" s="1172"/>
      <c r="U151" s="1172"/>
      <c r="V151" s="1173"/>
      <c r="W151" s="1174"/>
      <c r="X151" s="1175"/>
      <c r="Y151" s="1176"/>
      <c r="Z151" s="1177"/>
      <c r="AA151" s="1547"/>
      <c r="AB151" s="1177"/>
      <c r="AC151" s="1548"/>
      <c r="AD151" s="1549"/>
      <c r="AE151" s="1178"/>
      <c r="AF151" s="1179"/>
      <c r="AG151" s="1171"/>
      <c r="AH151" s="104"/>
      <c r="AI151" s="1172"/>
      <c r="AJ151" s="1172"/>
      <c r="AK151" s="1172"/>
      <c r="AL151" s="1173"/>
      <c r="AM151" s="1174"/>
      <c r="AN151" s="1175"/>
      <c r="AO151" s="1176"/>
      <c r="AP151" s="1177"/>
      <c r="AQ151" s="1547"/>
      <c r="AR151" s="1177"/>
      <c r="AS151" s="1548"/>
      <c r="AT151" s="1549"/>
      <c r="AU151" s="1178"/>
      <c r="AV151" s="1179"/>
      <c r="AY151" s="3">
        <v>1</v>
      </c>
    </row>
    <row r="152" spans="2:51" ht="27" customHeight="1">
      <c r="B152" s="104"/>
      <c r="C152" s="1172"/>
      <c r="D152" s="1172"/>
      <c r="E152" s="1172"/>
      <c r="F152" s="1173"/>
      <c r="G152" s="1174"/>
      <c r="H152" s="1175"/>
      <c r="I152" s="1176"/>
      <c r="J152" s="1177"/>
      <c r="K152" s="1547"/>
      <c r="L152" s="1177"/>
      <c r="M152" s="1548"/>
      <c r="N152" s="1549"/>
      <c r="O152" s="1178"/>
      <c r="P152" s="1179"/>
      <c r="Q152" s="1171"/>
      <c r="R152" s="104"/>
      <c r="S152" s="1172"/>
      <c r="T152" s="1172"/>
      <c r="U152" s="1172"/>
      <c r="V152" s="1173"/>
      <c r="W152" s="1174"/>
      <c r="X152" s="1175"/>
      <c r="Y152" s="1176"/>
      <c r="Z152" s="1177"/>
      <c r="AA152" s="1547"/>
      <c r="AB152" s="1177"/>
      <c r="AC152" s="1548"/>
      <c r="AD152" s="1549"/>
      <c r="AE152" s="1178"/>
      <c r="AF152" s="1179"/>
      <c r="AG152" s="1171"/>
      <c r="AH152" s="104"/>
      <c r="AI152" s="1172"/>
      <c r="AJ152" s="1172"/>
      <c r="AK152" s="1172"/>
      <c r="AL152" s="1173"/>
      <c r="AM152" s="1174"/>
      <c r="AN152" s="1175"/>
      <c r="AO152" s="1176"/>
      <c r="AP152" s="1177"/>
      <c r="AQ152" s="1547"/>
      <c r="AR152" s="1177"/>
      <c r="AS152" s="1548"/>
      <c r="AT152" s="1549"/>
      <c r="AU152" s="1178"/>
      <c r="AV152" s="1179"/>
      <c r="AY152" s="3">
        <v>1</v>
      </c>
    </row>
    <row r="153" spans="2:51" ht="27" customHeight="1">
      <c r="B153" s="104"/>
      <c r="C153" s="1172"/>
      <c r="D153" s="1172"/>
      <c r="E153" s="1172"/>
      <c r="F153" s="1173"/>
      <c r="G153" s="1174"/>
      <c r="H153" s="1175"/>
      <c r="I153" s="1176"/>
      <c r="J153" s="1177"/>
      <c r="K153" s="1547"/>
      <c r="L153" s="1177"/>
      <c r="M153" s="1548"/>
      <c r="N153" s="1549"/>
      <c r="O153" s="1178"/>
      <c r="P153" s="1179"/>
      <c r="Q153" s="1171"/>
      <c r="R153" s="104"/>
      <c r="S153" s="1172"/>
      <c r="T153" s="1172"/>
      <c r="U153" s="1172"/>
      <c r="V153" s="1173"/>
      <c r="W153" s="1174"/>
      <c r="X153" s="1175"/>
      <c r="Y153" s="1176"/>
      <c r="Z153" s="1177"/>
      <c r="AA153" s="1547"/>
      <c r="AB153" s="1177"/>
      <c r="AC153" s="1548"/>
      <c r="AD153" s="1549"/>
      <c r="AE153" s="1178"/>
      <c r="AF153" s="1179"/>
      <c r="AG153" s="1171"/>
      <c r="AH153" s="104"/>
      <c r="AI153" s="1172"/>
      <c r="AJ153" s="1172"/>
      <c r="AK153" s="1172"/>
      <c r="AL153" s="1173"/>
      <c r="AM153" s="1174"/>
      <c r="AN153" s="1175"/>
      <c r="AO153" s="1176"/>
      <c r="AP153" s="1177"/>
      <c r="AQ153" s="1547"/>
      <c r="AR153" s="1177"/>
      <c r="AS153" s="1548"/>
      <c r="AT153" s="1549"/>
      <c r="AU153" s="1178"/>
      <c r="AV153" s="1179"/>
      <c r="AY153" s="3">
        <v>1</v>
      </c>
    </row>
    <row r="154" spans="2:51" ht="27" customHeight="1">
      <c r="B154" s="104"/>
      <c r="C154" s="1172"/>
      <c r="D154" s="1172"/>
      <c r="E154" s="1172"/>
      <c r="F154" s="1173"/>
      <c r="G154" s="1174"/>
      <c r="H154" s="1175"/>
      <c r="I154" s="1176"/>
      <c r="J154" s="1177"/>
      <c r="K154" s="1547"/>
      <c r="L154" s="1177"/>
      <c r="M154" s="1548"/>
      <c r="N154" s="1549"/>
      <c r="O154" s="1178"/>
      <c r="P154" s="1179"/>
      <c r="Q154" s="1171"/>
      <c r="R154" s="104"/>
      <c r="S154" s="1172"/>
      <c r="T154" s="1172"/>
      <c r="U154" s="1172"/>
      <c r="V154" s="1173"/>
      <c r="W154" s="1174"/>
      <c r="X154" s="1175"/>
      <c r="Y154" s="1176"/>
      <c r="Z154" s="1177"/>
      <c r="AA154" s="1547"/>
      <c r="AB154" s="1177"/>
      <c r="AC154" s="1548"/>
      <c r="AD154" s="1549"/>
      <c r="AE154" s="1178"/>
      <c r="AF154" s="1179"/>
      <c r="AG154" s="1171"/>
      <c r="AH154" s="104"/>
      <c r="AI154" s="1172"/>
      <c r="AJ154" s="1172"/>
      <c r="AK154" s="1172"/>
      <c r="AL154" s="1173"/>
      <c r="AM154" s="1174"/>
      <c r="AN154" s="1175"/>
      <c r="AO154" s="1176"/>
      <c r="AP154" s="1177"/>
      <c r="AQ154" s="1547"/>
      <c r="AR154" s="1177"/>
      <c r="AS154" s="1548"/>
      <c r="AT154" s="1549"/>
      <c r="AU154" s="1178"/>
      <c r="AV154" s="1179"/>
      <c r="AY154" s="3">
        <v>1</v>
      </c>
    </row>
    <row r="155" spans="2:51" ht="27" customHeight="1">
      <c r="B155" s="104"/>
      <c r="C155" s="1172"/>
      <c r="D155" s="1172"/>
      <c r="E155" s="1172"/>
      <c r="F155" s="1173"/>
      <c r="G155" s="1174"/>
      <c r="H155" s="1175"/>
      <c r="I155" s="1176"/>
      <c r="J155" s="1177"/>
      <c r="K155" s="1547"/>
      <c r="L155" s="1177"/>
      <c r="M155" s="1548"/>
      <c r="N155" s="1549"/>
      <c r="O155" s="1178"/>
      <c r="P155" s="1179"/>
      <c r="Q155" s="1171"/>
      <c r="R155" s="104"/>
      <c r="S155" s="1172"/>
      <c r="T155" s="1172"/>
      <c r="U155" s="1172"/>
      <c r="V155" s="1173"/>
      <c r="W155" s="1174"/>
      <c r="X155" s="1175"/>
      <c r="Y155" s="1176"/>
      <c r="Z155" s="1177"/>
      <c r="AA155" s="1547"/>
      <c r="AB155" s="1177"/>
      <c r="AC155" s="1548"/>
      <c r="AD155" s="1549"/>
      <c r="AE155" s="1178"/>
      <c r="AF155" s="1179"/>
      <c r="AG155" s="1171"/>
      <c r="AH155" s="104"/>
      <c r="AI155" s="1172"/>
      <c r="AJ155" s="1172"/>
      <c r="AK155" s="1172"/>
      <c r="AL155" s="1173"/>
      <c r="AM155" s="1174"/>
      <c r="AN155" s="1175"/>
      <c r="AO155" s="1176"/>
      <c r="AP155" s="1177"/>
      <c r="AQ155" s="1547"/>
      <c r="AR155" s="1177"/>
      <c r="AS155" s="1548"/>
      <c r="AT155" s="1549"/>
      <c r="AU155" s="1178"/>
      <c r="AV155" s="1179"/>
      <c r="AY155" s="3">
        <v>1</v>
      </c>
    </row>
    <row r="156" spans="2:51" ht="27" customHeight="1">
      <c r="B156" s="104"/>
      <c r="C156" s="1172"/>
      <c r="D156" s="1172"/>
      <c r="E156" s="1172"/>
      <c r="F156" s="1173"/>
      <c r="G156" s="1174"/>
      <c r="H156" s="1175"/>
      <c r="I156" s="1176"/>
      <c r="J156" s="1177"/>
      <c r="K156" s="1547"/>
      <c r="L156" s="1177"/>
      <c r="M156" s="1548"/>
      <c r="N156" s="1549"/>
      <c r="O156" s="1178"/>
      <c r="P156" s="1179"/>
      <c r="Q156" s="1171"/>
      <c r="R156" s="104"/>
      <c r="S156" s="1172"/>
      <c r="T156" s="1172"/>
      <c r="U156" s="1172"/>
      <c r="V156" s="1173"/>
      <c r="W156" s="1174"/>
      <c r="X156" s="1175"/>
      <c r="Y156" s="1176"/>
      <c r="Z156" s="1177"/>
      <c r="AA156" s="1547"/>
      <c r="AB156" s="1177"/>
      <c r="AC156" s="1548"/>
      <c r="AD156" s="1549"/>
      <c r="AE156" s="1178"/>
      <c r="AF156" s="1179"/>
      <c r="AG156" s="1171"/>
      <c r="AH156" s="104"/>
      <c r="AI156" s="1172"/>
      <c r="AJ156" s="1172"/>
      <c r="AK156" s="1172"/>
      <c r="AL156" s="1173"/>
      <c r="AM156" s="1174"/>
      <c r="AN156" s="1175"/>
      <c r="AO156" s="1176"/>
      <c r="AP156" s="1177"/>
      <c r="AQ156" s="1547"/>
      <c r="AR156" s="1177"/>
      <c r="AS156" s="1548"/>
      <c r="AT156" s="1549"/>
      <c r="AU156" s="1178"/>
      <c r="AV156" s="1179"/>
      <c r="AY156" s="3">
        <v>1</v>
      </c>
    </row>
    <row r="157" spans="2:51" ht="27" customHeight="1">
      <c r="B157" s="104"/>
      <c r="C157" s="1172"/>
      <c r="D157" s="1172"/>
      <c r="E157" s="1172"/>
      <c r="F157" s="1173"/>
      <c r="G157" s="1174"/>
      <c r="H157" s="1175"/>
      <c r="I157" s="1176"/>
      <c r="J157" s="1177"/>
      <c r="K157" s="1547"/>
      <c r="L157" s="1177"/>
      <c r="M157" s="1548"/>
      <c r="N157" s="1549"/>
      <c r="O157" s="1178"/>
      <c r="P157" s="1179"/>
      <c r="Q157" s="1171"/>
      <c r="R157" s="104"/>
      <c r="S157" s="1172"/>
      <c r="T157" s="1172"/>
      <c r="U157" s="1172"/>
      <c r="V157" s="1173"/>
      <c r="W157" s="1174"/>
      <c r="X157" s="1175"/>
      <c r="Y157" s="1176"/>
      <c r="Z157" s="1177"/>
      <c r="AA157" s="1547"/>
      <c r="AB157" s="1177"/>
      <c r="AC157" s="1548"/>
      <c r="AD157" s="1549"/>
      <c r="AE157" s="1178"/>
      <c r="AF157" s="1179"/>
      <c r="AG157" s="1171"/>
      <c r="AH157" s="104"/>
      <c r="AI157" s="1172"/>
      <c r="AJ157" s="1172"/>
      <c r="AK157" s="1172"/>
      <c r="AL157" s="1173"/>
      <c r="AM157" s="1174"/>
      <c r="AN157" s="1175"/>
      <c r="AO157" s="1176"/>
      <c r="AP157" s="1177"/>
      <c r="AQ157" s="1547"/>
      <c r="AR157" s="1177"/>
      <c r="AS157" s="1548"/>
      <c r="AT157" s="1549"/>
      <c r="AU157" s="1178"/>
      <c r="AV157" s="1179"/>
      <c r="AY157" s="3">
        <v>1</v>
      </c>
    </row>
    <row r="158" spans="2:51" ht="27" customHeight="1">
      <c r="B158" s="104"/>
      <c r="C158" s="1172"/>
      <c r="D158" s="1172"/>
      <c r="E158" s="1172"/>
      <c r="F158" s="1173"/>
      <c r="G158" s="1174"/>
      <c r="H158" s="1175"/>
      <c r="I158" s="1176"/>
      <c r="J158" s="1177"/>
      <c r="K158" s="1547"/>
      <c r="L158" s="1177"/>
      <c r="M158" s="1548"/>
      <c r="N158" s="1549"/>
      <c r="O158" s="1178"/>
      <c r="P158" s="1179"/>
      <c r="Q158" s="1171"/>
      <c r="R158" s="104"/>
      <c r="S158" s="1172"/>
      <c r="T158" s="1172"/>
      <c r="U158" s="1172"/>
      <c r="V158" s="1173"/>
      <c r="W158" s="1174"/>
      <c r="X158" s="1175"/>
      <c r="Y158" s="1176"/>
      <c r="Z158" s="1177"/>
      <c r="AA158" s="1547"/>
      <c r="AB158" s="1177"/>
      <c r="AC158" s="1548"/>
      <c r="AD158" s="1549"/>
      <c r="AE158" s="1178"/>
      <c r="AF158" s="1179"/>
      <c r="AG158" s="1171"/>
      <c r="AH158" s="104"/>
      <c r="AI158" s="1172"/>
      <c r="AJ158" s="1172"/>
      <c r="AK158" s="1172"/>
      <c r="AL158" s="1173"/>
      <c r="AM158" s="1174"/>
      <c r="AN158" s="1175"/>
      <c r="AO158" s="1176"/>
      <c r="AP158" s="1177"/>
      <c r="AQ158" s="1547"/>
      <c r="AR158" s="1177"/>
      <c r="AS158" s="1548"/>
      <c r="AT158" s="1549"/>
      <c r="AU158" s="1178"/>
      <c r="AV158" s="1179"/>
      <c r="AY158" s="3">
        <v>1</v>
      </c>
    </row>
    <row r="159" spans="2:51" ht="27" customHeight="1">
      <c r="B159" s="104"/>
      <c r="C159" s="1172"/>
      <c r="D159" s="1172"/>
      <c r="E159" s="1172"/>
      <c r="F159" s="1173"/>
      <c r="G159" s="1174"/>
      <c r="H159" s="1175"/>
      <c r="I159" s="1176"/>
      <c r="J159" s="1177"/>
      <c r="K159" s="1547"/>
      <c r="L159" s="1177"/>
      <c r="M159" s="1548"/>
      <c r="N159" s="1549"/>
      <c r="O159" s="1178"/>
      <c r="P159" s="1179"/>
      <c r="Q159" s="1171"/>
      <c r="R159" s="104"/>
      <c r="S159" s="1172"/>
      <c r="T159" s="1172"/>
      <c r="U159" s="1172"/>
      <c r="V159" s="1173"/>
      <c r="W159" s="1174"/>
      <c r="X159" s="1175"/>
      <c r="Y159" s="1176"/>
      <c r="Z159" s="1177"/>
      <c r="AA159" s="1547"/>
      <c r="AB159" s="1177"/>
      <c r="AC159" s="1548"/>
      <c r="AD159" s="1549"/>
      <c r="AE159" s="1178"/>
      <c r="AF159" s="1179"/>
      <c r="AG159" s="1171"/>
      <c r="AH159" s="104"/>
      <c r="AI159" s="1172"/>
      <c r="AJ159" s="1172"/>
      <c r="AK159" s="1172"/>
      <c r="AL159" s="1173"/>
      <c r="AM159" s="1174"/>
      <c r="AN159" s="1175"/>
      <c r="AO159" s="1176"/>
      <c r="AP159" s="1177"/>
      <c r="AQ159" s="1547"/>
      <c r="AR159" s="1177"/>
      <c r="AS159" s="1548"/>
      <c r="AT159" s="1549"/>
      <c r="AU159" s="1178"/>
      <c r="AV159" s="1179"/>
      <c r="AY159" s="3">
        <v>1</v>
      </c>
    </row>
    <row r="160" spans="2:51" ht="27" customHeight="1">
      <c r="B160" s="104"/>
      <c r="C160" s="1172"/>
      <c r="D160" s="1172"/>
      <c r="E160" s="1172"/>
      <c r="F160" s="1173"/>
      <c r="G160" s="1174"/>
      <c r="H160" s="1175"/>
      <c r="I160" s="1176"/>
      <c r="J160" s="1177"/>
      <c r="K160" s="1547"/>
      <c r="L160" s="1177"/>
      <c r="M160" s="1548"/>
      <c r="N160" s="1549"/>
      <c r="O160" s="1178"/>
      <c r="P160" s="1179"/>
      <c r="Q160" s="1171"/>
      <c r="R160" s="104"/>
      <c r="S160" s="1172"/>
      <c r="T160" s="1172"/>
      <c r="U160" s="1172"/>
      <c r="V160" s="1173"/>
      <c r="W160" s="1174"/>
      <c r="X160" s="1175"/>
      <c r="Y160" s="1176"/>
      <c r="Z160" s="1177"/>
      <c r="AA160" s="1547"/>
      <c r="AB160" s="1177"/>
      <c r="AC160" s="1548"/>
      <c r="AD160" s="1549"/>
      <c r="AE160" s="1178"/>
      <c r="AF160" s="1179"/>
      <c r="AG160" s="1171"/>
      <c r="AH160" s="104"/>
      <c r="AI160" s="1172"/>
      <c r="AJ160" s="1172"/>
      <c r="AK160" s="1172"/>
      <c r="AL160" s="1173"/>
      <c r="AM160" s="1174"/>
      <c r="AN160" s="1175"/>
      <c r="AO160" s="1176"/>
      <c r="AP160" s="1177"/>
      <c r="AQ160" s="1547"/>
      <c r="AR160" s="1177"/>
      <c r="AS160" s="1548"/>
      <c r="AT160" s="1549"/>
      <c r="AU160" s="1178"/>
      <c r="AV160" s="1179"/>
      <c r="AY160" s="3">
        <v>1</v>
      </c>
    </row>
    <row r="161" spans="2:51" ht="27" customHeight="1">
      <c r="B161" s="104"/>
      <c r="C161" s="1172"/>
      <c r="D161" s="1172"/>
      <c r="E161" s="1172"/>
      <c r="F161" s="1173"/>
      <c r="G161" s="1174"/>
      <c r="H161" s="1175"/>
      <c r="I161" s="1176"/>
      <c r="J161" s="1177"/>
      <c r="K161" s="1547"/>
      <c r="L161" s="1177"/>
      <c r="M161" s="1548"/>
      <c r="N161" s="1549"/>
      <c r="O161" s="1178"/>
      <c r="P161" s="1179"/>
      <c r="Q161" s="1171"/>
      <c r="R161" s="104"/>
      <c r="S161" s="1172"/>
      <c r="T161" s="1172"/>
      <c r="U161" s="1172"/>
      <c r="V161" s="1173"/>
      <c r="W161" s="1174"/>
      <c r="X161" s="1175"/>
      <c r="Y161" s="1176"/>
      <c r="Z161" s="1177"/>
      <c r="AA161" s="1547"/>
      <c r="AB161" s="1177"/>
      <c r="AC161" s="1548"/>
      <c r="AD161" s="1549"/>
      <c r="AE161" s="1178"/>
      <c r="AF161" s="1179"/>
      <c r="AG161" s="1171"/>
      <c r="AH161" s="104"/>
      <c r="AI161" s="1172"/>
      <c r="AJ161" s="1172"/>
      <c r="AK161" s="1172"/>
      <c r="AL161" s="1173"/>
      <c r="AM161" s="1174"/>
      <c r="AN161" s="1175"/>
      <c r="AO161" s="1176"/>
      <c r="AP161" s="1177"/>
      <c r="AQ161" s="1547"/>
      <c r="AR161" s="1177"/>
      <c r="AS161" s="1548"/>
      <c r="AT161" s="1549"/>
      <c r="AU161" s="1178"/>
      <c r="AV161" s="1179"/>
      <c r="AY161" s="3">
        <v>1</v>
      </c>
    </row>
    <row r="162" spans="2:51" ht="27" customHeight="1">
      <c r="B162" s="104"/>
      <c r="C162" s="1172"/>
      <c r="D162" s="1172"/>
      <c r="E162" s="1172"/>
      <c r="F162" s="1173"/>
      <c r="G162" s="1174"/>
      <c r="H162" s="1175"/>
      <c r="I162" s="1176"/>
      <c r="J162" s="1177"/>
      <c r="K162" s="1547"/>
      <c r="L162" s="1177"/>
      <c r="M162" s="1548"/>
      <c r="N162" s="1549"/>
      <c r="O162" s="1178"/>
      <c r="P162" s="1179"/>
      <c r="Q162" s="1171"/>
      <c r="R162" s="104"/>
      <c r="S162" s="1172"/>
      <c r="T162" s="1172"/>
      <c r="U162" s="1172"/>
      <c r="V162" s="1173"/>
      <c r="W162" s="1174"/>
      <c r="X162" s="1175"/>
      <c r="Y162" s="1176"/>
      <c r="Z162" s="1177"/>
      <c r="AA162" s="1547"/>
      <c r="AB162" s="1177"/>
      <c r="AC162" s="1548"/>
      <c r="AD162" s="1549"/>
      <c r="AE162" s="1178"/>
      <c r="AF162" s="1179"/>
      <c r="AG162" s="1171"/>
      <c r="AH162" s="104"/>
      <c r="AI162" s="1172"/>
      <c r="AJ162" s="1172"/>
      <c r="AK162" s="1172"/>
      <c r="AL162" s="1173"/>
      <c r="AM162" s="1174"/>
      <c r="AN162" s="1175"/>
      <c r="AO162" s="1176"/>
      <c r="AP162" s="1177"/>
      <c r="AQ162" s="1547"/>
      <c r="AR162" s="1177"/>
      <c r="AS162" s="1548"/>
      <c r="AT162" s="1549"/>
      <c r="AU162" s="1178"/>
      <c r="AV162" s="1179"/>
      <c r="AY162" s="3">
        <v>1</v>
      </c>
    </row>
    <row r="163" spans="2:51" ht="27" customHeight="1">
      <c r="B163" s="104"/>
      <c r="C163" s="1172"/>
      <c r="D163" s="1172"/>
      <c r="E163" s="1172"/>
      <c r="F163" s="1173"/>
      <c r="G163" s="1174"/>
      <c r="H163" s="1175"/>
      <c r="I163" s="1176"/>
      <c r="J163" s="1177"/>
      <c r="K163" s="1547"/>
      <c r="L163" s="1177"/>
      <c r="M163" s="1548"/>
      <c r="N163" s="1549"/>
      <c r="O163" s="1178"/>
      <c r="P163" s="1179"/>
      <c r="Q163" s="1171"/>
      <c r="R163" s="104"/>
      <c r="S163" s="1172"/>
      <c r="T163" s="1172"/>
      <c r="U163" s="1172"/>
      <c r="V163" s="1173"/>
      <c r="W163" s="1174"/>
      <c r="X163" s="1175"/>
      <c r="Y163" s="1176"/>
      <c r="Z163" s="1177"/>
      <c r="AA163" s="1547"/>
      <c r="AB163" s="1177"/>
      <c r="AC163" s="1548"/>
      <c r="AD163" s="1549"/>
      <c r="AE163" s="1178"/>
      <c r="AF163" s="1179"/>
      <c r="AG163" s="1171"/>
      <c r="AH163" s="104"/>
      <c r="AI163" s="1172"/>
      <c r="AJ163" s="1172"/>
      <c r="AK163" s="1172"/>
      <c r="AL163" s="1173"/>
      <c r="AM163" s="1174"/>
      <c r="AN163" s="1175"/>
      <c r="AO163" s="1176"/>
      <c r="AP163" s="1177"/>
      <c r="AQ163" s="1547"/>
      <c r="AR163" s="1177"/>
      <c r="AS163" s="1548"/>
      <c r="AT163" s="1549"/>
      <c r="AU163" s="1178"/>
      <c r="AV163" s="1179"/>
      <c r="AY163" s="3">
        <v>1</v>
      </c>
    </row>
    <row r="164" spans="2:51" ht="27" customHeight="1">
      <c r="B164" s="104"/>
      <c r="C164" s="1172"/>
      <c r="D164" s="1172"/>
      <c r="E164" s="1172"/>
      <c r="F164" s="1173"/>
      <c r="G164" s="1174"/>
      <c r="H164" s="1175"/>
      <c r="I164" s="1176"/>
      <c r="J164" s="1177"/>
      <c r="K164" s="1547"/>
      <c r="L164" s="1177"/>
      <c r="M164" s="1548"/>
      <c r="N164" s="1549"/>
      <c r="O164" s="1178"/>
      <c r="P164" s="1179"/>
      <c r="Q164" s="1171"/>
      <c r="R164" s="104"/>
      <c r="S164" s="1172"/>
      <c r="T164" s="1172"/>
      <c r="U164" s="1172"/>
      <c r="V164" s="1173"/>
      <c r="W164" s="1174"/>
      <c r="X164" s="1175"/>
      <c r="Y164" s="1176"/>
      <c r="Z164" s="1177"/>
      <c r="AA164" s="1547"/>
      <c r="AB164" s="1177"/>
      <c r="AC164" s="1548"/>
      <c r="AD164" s="1549"/>
      <c r="AE164" s="1178"/>
      <c r="AF164" s="1179"/>
      <c r="AG164" s="1171"/>
      <c r="AH164" s="104"/>
      <c r="AI164" s="1172"/>
      <c r="AJ164" s="1172"/>
      <c r="AK164" s="1172"/>
      <c r="AL164" s="1173"/>
      <c r="AM164" s="1174"/>
      <c r="AN164" s="1175"/>
      <c r="AO164" s="1176"/>
      <c r="AP164" s="1177"/>
      <c r="AQ164" s="1547"/>
      <c r="AR164" s="1177"/>
      <c r="AS164" s="1548"/>
      <c r="AT164" s="1549"/>
      <c r="AU164" s="1178"/>
      <c r="AV164" s="1179"/>
      <c r="AY164" s="3">
        <v>1</v>
      </c>
    </row>
    <row r="165" spans="2:51" ht="27" customHeight="1">
      <c r="B165" s="104"/>
      <c r="C165" s="1172"/>
      <c r="D165" s="1172"/>
      <c r="E165" s="1172"/>
      <c r="F165" s="1173"/>
      <c r="G165" s="1174"/>
      <c r="H165" s="1175"/>
      <c r="I165" s="1176"/>
      <c r="J165" s="1177"/>
      <c r="K165" s="1547"/>
      <c r="L165" s="1177"/>
      <c r="M165" s="1548"/>
      <c r="N165" s="1549"/>
      <c r="O165" s="1178"/>
      <c r="P165" s="1179"/>
      <c r="Q165" s="1171"/>
      <c r="R165" s="104"/>
      <c r="S165" s="1172"/>
      <c r="T165" s="1172"/>
      <c r="U165" s="1172"/>
      <c r="V165" s="1173"/>
      <c r="W165" s="1174"/>
      <c r="X165" s="1175"/>
      <c r="Y165" s="1176"/>
      <c r="Z165" s="1177"/>
      <c r="AA165" s="1547"/>
      <c r="AB165" s="1177"/>
      <c r="AC165" s="1548"/>
      <c r="AD165" s="1549"/>
      <c r="AE165" s="1178"/>
      <c r="AF165" s="1179"/>
      <c r="AG165" s="1171"/>
      <c r="AH165" s="104"/>
      <c r="AI165" s="1172"/>
      <c r="AJ165" s="1172"/>
      <c r="AK165" s="1172"/>
      <c r="AL165" s="1173"/>
      <c r="AM165" s="1174"/>
      <c r="AN165" s="1175"/>
      <c r="AO165" s="1176"/>
      <c r="AP165" s="1177"/>
      <c r="AQ165" s="1547"/>
      <c r="AR165" s="1177"/>
      <c r="AS165" s="1548"/>
      <c r="AT165" s="1549"/>
      <c r="AU165" s="1178"/>
      <c r="AV165" s="1179"/>
      <c r="AY165" s="3">
        <v>1</v>
      </c>
    </row>
    <row r="166" spans="2:51" ht="27" customHeight="1">
      <c r="B166" s="104"/>
      <c r="C166" s="1172"/>
      <c r="D166" s="1172"/>
      <c r="E166" s="1172"/>
      <c r="F166" s="1173"/>
      <c r="G166" s="1174"/>
      <c r="H166" s="1175"/>
      <c r="I166" s="1176"/>
      <c r="J166" s="1177"/>
      <c r="K166" s="1547"/>
      <c r="L166" s="1177"/>
      <c r="M166" s="1548"/>
      <c r="N166" s="1549"/>
      <c r="O166" s="1178"/>
      <c r="P166" s="1179"/>
      <c r="Q166" s="1171"/>
      <c r="R166" s="104"/>
      <c r="S166" s="1172"/>
      <c r="T166" s="1172"/>
      <c r="U166" s="1172"/>
      <c r="V166" s="1173"/>
      <c r="W166" s="1174"/>
      <c r="X166" s="1175"/>
      <c r="Y166" s="1176"/>
      <c r="Z166" s="1177"/>
      <c r="AA166" s="1547"/>
      <c r="AB166" s="1177"/>
      <c r="AC166" s="1548"/>
      <c r="AD166" s="1549"/>
      <c r="AE166" s="1178"/>
      <c r="AF166" s="1179"/>
      <c r="AG166" s="1171"/>
      <c r="AH166" s="104"/>
      <c r="AI166" s="1172"/>
      <c r="AJ166" s="1172"/>
      <c r="AK166" s="1172"/>
      <c r="AL166" s="1173"/>
      <c r="AM166" s="1174"/>
      <c r="AN166" s="1175"/>
      <c r="AO166" s="1176"/>
      <c r="AP166" s="1177"/>
      <c r="AQ166" s="1547"/>
      <c r="AR166" s="1177"/>
      <c r="AS166" s="1548"/>
      <c r="AT166" s="1549"/>
      <c r="AU166" s="1178"/>
      <c r="AV166" s="1179"/>
      <c r="AY166" s="3">
        <v>1</v>
      </c>
    </row>
    <row r="167" spans="2:51" ht="27" customHeight="1">
      <c r="B167" s="104"/>
      <c r="C167" s="1172"/>
      <c r="D167" s="1172"/>
      <c r="E167" s="1172"/>
      <c r="F167" s="1173"/>
      <c r="G167" s="1174"/>
      <c r="H167" s="1175"/>
      <c r="I167" s="1176"/>
      <c r="J167" s="1177"/>
      <c r="K167" s="1547"/>
      <c r="L167" s="1177"/>
      <c r="M167" s="1548"/>
      <c r="N167" s="1549"/>
      <c r="O167" s="1178"/>
      <c r="P167" s="1179"/>
      <c r="Q167" s="1171"/>
      <c r="R167" s="104"/>
      <c r="S167" s="1172"/>
      <c r="T167" s="1172"/>
      <c r="U167" s="1172"/>
      <c r="V167" s="1173"/>
      <c r="W167" s="1174"/>
      <c r="X167" s="1175"/>
      <c r="Y167" s="1176"/>
      <c r="Z167" s="1177"/>
      <c r="AA167" s="1547"/>
      <c r="AB167" s="1177"/>
      <c r="AC167" s="1548"/>
      <c r="AD167" s="1549"/>
      <c r="AE167" s="1178"/>
      <c r="AF167" s="1179"/>
      <c r="AG167" s="1171"/>
      <c r="AH167" s="104"/>
      <c r="AI167" s="1172"/>
      <c r="AJ167" s="1172"/>
      <c r="AK167" s="1172"/>
      <c r="AL167" s="1173"/>
      <c r="AM167" s="1174"/>
      <c r="AN167" s="1175"/>
      <c r="AO167" s="1176"/>
      <c r="AP167" s="1177"/>
      <c r="AQ167" s="1547"/>
      <c r="AR167" s="1177"/>
      <c r="AS167" s="1548"/>
      <c r="AT167" s="1549"/>
      <c r="AU167" s="1178"/>
      <c r="AV167" s="1179"/>
      <c r="AY167" s="3">
        <v>1</v>
      </c>
    </row>
    <row r="168" spans="2:51" ht="27" customHeight="1">
      <c r="B168" s="104"/>
      <c r="C168" s="1172"/>
      <c r="D168" s="1172"/>
      <c r="E168" s="1172"/>
      <c r="F168" s="1173"/>
      <c r="G168" s="1174"/>
      <c r="H168" s="1175"/>
      <c r="I168" s="1176"/>
      <c r="J168" s="1177"/>
      <c r="K168" s="1547"/>
      <c r="L168" s="1177"/>
      <c r="M168" s="1548"/>
      <c r="N168" s="1549"/>
      <c r="O168" s="1178"/>
      <c r="P168" s="1179"/>
      <c r="Q168" s="1171"/>
      <c r="R168" s="104"/>
      <c r="S168" s="1172"/>
      <c r="T168" s="1172"/>
      <c r="U168" s="1172"/>
      <c r="V168" s="1173"/>
      <c r="W168" s="1174"/>
      <c r="X168" s="1175"/>
      <c r="Y168" s="1176"/>
      <c r="Z168" s="1177"/>
      <c r="AA168" s="1547"/>
      <c r="AB168" s="1177"/>
      <c r="AC168" s="1548"/>
      <c r="AD168" s="1549"/>
      <c r="AE168" s="1178"/>
      <c r="AF168" s="1179"/>
      <c r="AG168" s="1171"/>
      <c r="AH168" s="104"/>
      <c r="AI168" s="1172"/>
      <c r="AJ168" s="1172"/>
      <c r="AK168" s="1172"/>
      <c r="AL168" s="1173"/>
      <c r="AM168" s="1174"/>
      <c r="AN168" s="1175"/>
      <c r="AO168" s="1176"/>
      <c r="AP168" s="1177"/>
      <c r="AQ168" s="1547"/>
      <c r="AR168" s="1177"/>
      <c r="AS168" s="1548"/>
      <c r="AT168" s="1549"/>
      <c r="AU168" s="1178"/>
      <c r="AV168" s="1179"/>
      <c r="AY168" s="3">
        <v>1</v>
      </c>
    </row>
    <row r="169" spans="2:51" ht="27" customHeight="1">
      <c r="B169" s="104"/>
      <c r="C169" s="1172"/>
      <c r="D169" s="1172"/>
      <c r="E169" s="1172"/>
      <c r="F169" s="1173"/>
      <c r="G169" s="1174"/>
      <c r="H169" s="1175"/>
      <c r="I169" s="1176"/>
      <c r="J169" s="1177"/>
      <c r="K169" s="1547"/>
      <c r="L169" s="1177"/>
      <c r="M169" s="1548"/>
      <c r="N169" s="1549"/>
      <c r="O169" s="1178"/>
      <c r="P169" s="1179"/>
      <c r="Q169" s="1171"/>
      <c r="R169" s="104"/>
      <c r="S169" s="1172"/>
      <c r="T169" s="1172"/>
      <c r="U169" s="1172"/>
      <c r="V169" s="1173"/>
      <c r="W169" s="1174"/>
      <c r="X169" s="1175"/>
      <c r="Y169" s="1176"/>
      <c r="Z169" s="1177"/>
      <c r="AA169" s="1547"/>
      <c r="AB169" s="1177"/>
      <c r="AC169" s="1548"/>
      <c r="AD169" s="1549"/>
      <c r="AE169" s="1178"/>
      <c r="AF169" s="1179"/>
      <c r="AG169" s="1171"/>
      <c r="AH169" s="104"/>
      <c r="AI169" s="1172"/>
      <c r="AJ169" s="1172"/>
      <c r="AK169" s="1172"/>
      <c r="AL169" s="1173"/>
      <c r="AM169" s="1174"/>
      <c r="AN169" s="1175"/>
      <c r="AO169" s="1176"/>
      <c r="AP169" s="1177"/>
      <c r="AQ169" s="1547"/>
      <c r="AR169" s="1177"/>
      <c r="AS169" s="1548"/>
      <c r="AT169" s="1549"/>
      <c r="AU169" s="1178"/>
      <c r="AV169" s="1179"/>
      <c r="AY169" s="3">
        <v>1</v>
      </c>
    </row>
    <row r="170" spans="2:51" ht="27" customHeight="1">
      <c r="B170" s="104"/>
      <c r="C170" s="1172"/>
      <c r="D170" s="1172"/>
      <c r="E170" s="1172"/>
      <c r="F170" s="1173"/>
      <c r="G170" s="1174"/>
      <c r="H170" s="1175"/>
      <c r="I170" s="1176"/>
      <c r="J170" s="1177"/>
      <c r="K170" s="1547"/>
      <c r="L170" s="1177"/>
      <c r="M170" s="1548"/>
      <c r="N170" s="1549"/>
      <c r="O170" s="1178"/>
      <c r="P170" s="1179"/>
      <c r="Q170" s="1171"/>
      <c r="R170" s="104"/>
      <c r="S170" s="1172"/>
      <c r="T170" s="1172"/>
      <c r="U170" s="1172"/>
      <c r="V170" s="1173"/>
      <c r="W170" s="1174"/>
      <c r="X170" s="1175"/>
      <c r="Y170" s="1176"/>
      <c r="Z170" s="1177"/>
      <c r="AA170" s="1547"/>
      <c r="AB170" s="1177"/>
      <c r="AC170" s="1548"/>
      <c r="AD170" s="1549"/>
      <c r="AE170" s="1178"/>
      <c r="AF170" s="1179"/>
      <c r="AG170" s="1171"/>
      <c r="AH170" s="104"/>
      <c r="AI170" s="1172"/>
      <c r="AJ170" s="1172"/>
      <c r="AK170" s="1172"/>
      <c r="AL170" s="1173"/>
      <c r="AM170" s="1174"/>
      <c r="AN170" s="1175"/>
      <c r="AO170" s="1176"/>
      <c r="AP170" s="1177"/>
      <c r="AQ170" s="1547"/>
      <c r="AR170" s="1177"/>
      <c r="AS170" s="1548"/>
      <c r="AT170" s="1549"/>
      <c r="AU170" s="1178"/>
      <c r="AV170" s="1179"/>
      <c r="AY170" s="3">
        <v>1</v>
      </c>
    </row>
    <row r="171" spans="2:51" ht="27" customHeight="1">
      <c r="B171" s="104"/>
      <c r="C171" s="1172"/>
      <c r="D171" s="1172"/>
      <c r="E171" s="1172"/>
      <c r="F171" s="1173"/>
      <c r="G171" s="1174"/>
      <c r="H171" s="1175"/>
      <c r="I171" s="1176"/>
      <c r="J171" s="1177"/>
      <c r="K171" s="1547"/>
      <c r="L171" s="1177"/>
      <c r="M171" s="1548"/>
      <c r="N171" s="1549"/>
      <c r="O171" s="1178"/>
      <c r="P171" s="1179"/>
      <c r="Q171" s="1171"/>
      <c r="R171" s="104"/>
      <c r="S171" s="1172"/>
      <c r="T171" s="1172"/>
      <c r="U171" s="1172"/>
      <c r="V171" s="1173"/>
      <c r="W171" s="1174"/>
      <c r="X171" s="1175"/>
      <c r="Y171" s="1176"/>
      <c r="Z171" s="1177"/>
      <c r="AA171" s="1547"/>
      <c r="AB171" s="1177"/>
      <c r="AC171" s="1548"/>
      <c r="AD171" s="1549"/>
      <c r="AE171" s="1178"/>
      <c r="AF171" s="1179"/>
      <c r="AG171" s="1171"/>
      <c r="AH171" s="104"/>
      <c r="AI171" s="1172"/>
      <c r="AJ171" s="1172"/>
      <c r="AK171" s="1172"/>
      <c r="AL171" s="1173"/>
      <c r="AM171" s="1174"/>
      <c r="AN171" s="1175"/>
      <c r="AO171" s="1176"/>
      <c r="AP171" s="1177"/>
      <c r="AQ171" s="1547"/>
      <c r="AR171" s="1177"/>
      <c r="AS171" s="1548"/>
      <c r="AT171" s="1549"/>
      <c r="AU171" s="1178"/>
      <c r="AV171" s="1179"/>
      <c r="AY171" s="3">
        <v>1</v>
      </c>
    </row>
    <row r="172" spans="2:51" ht="27" customHeight="1">
      <c r="B172" s="104"/>
      <c r="C172" s="1172"/>
      <c r="D172" s="1172"/>
      <c r="E172" s="1172"/>
      <c r="F172" s="1173"/>
      <c r="G172" s="1174"/>
      <c r="H172" s="1175"/>
      <c r="I172" s="1176"/>
      <c r="J172" s="1177"/>
      <c r="K172" s="1547"/>
      <c r="L172" s="1177"/>
      <c r="M172" s="1548"/>
      <c r="N172" s="1549"/>
      <c r="O172" s="1178"/>
      <c r="P172" s="1179"/>
      <c r="Q172" s="1171"/>
      <c r="R172" s="104"/>
      <c r="S172" s="1172"/>
      <c r="T172" s="1172"/>
      <c r="U172" s="1172"/>
      <c r="V172" s="1173"/>
      <c r="W172" s="1174"/>
      <c r="X172" s="1175"/>
      <c r="Y172" s="1176"/>
      <c r="Z172" s="1177"/>
      <c r="AA172" s="1547"/>
      <c r="AB172" s="1177"/>
      <c r="AC172" s="1548"/>
      <c r="AD172" s="1549"/>
      <c r="AE172" s="1178"/>
      <c r="AF172" s="1179"/>
      <c r="AG172" s="1171"/>
      <c r="AH172" s="104"/>
      <c r="AI172" s="1172"/>
      <c r="AJ172" s="1172"/>
      <c r="AK172" s="1172"/>
      <c r="AL172" s="1173"/>
      <c r="AM172" s="1174"/>
      <c r="AN172" s="1175"/>
      <c r="AO172" s="1176"/>
      <c r="AP172" s="1177"/>
      <c r="AQ172" s="1547"/>
      <c r="AR172" s="1177"/>
      <c r="AS172" s="1548"/>
      <c r="AT172" s="1549"/>
      <c r="AU172" s="1178"/>
      <c r="AV172" s="1179"/>
      <c r="AY172" s="3">
        <v>1</v>
      </c>
    </row>
    <row r="173" spans="2:51" ht="27" customHeight="1">
      <c r="B173" s="104"/>
      <c r="C173" s="1172"/>
      <c r="D173" s="1172"/>
      <c r="E173" s="1172"/>
      <c r="F173" s="1173"/>
      <c r="G173" s="1174"/>
      <c r="H173" s="1175"/>
      <c r="I173" s="1176"/>
      <c r="J173" s="1177"/>
      <c r="K173" s="1547"/>
      <c r="L173" s="1177"/>
      <c r="M173" s="1548"/>
      <c r="N173" s="1549"/>
      <c r="O173" s="1178"/>
      <c r="P173" s="1179"/>
      <c r="Q173" s="1171"/>
      <c r="R173" s="104"/>
      <c r="S173" s="1172"/>
      <c r="T173" s="1172"/>
      <c r="U173" s="1172"/>
      <c r="V173" s="1173"/>
      <c r="W173" s="1174"/>
      <c r="X173" s="1175"/>
      <c r="Y173" s="1176"/>
      <c r="Z173" s="1177"/>
      <c r="AA173" s="1547"/>
      <c r="AB173" s="1177"/>
      <c r="AC173" s="1548"/>
      <c r="AD173" s="1549"/>
      <c r="AE173" s="1178"/>
      <c r="AF173" s="1179"/>
      <c r="AG173" s="1171"/>
      <c r="AH173" s="104"/>
      <c r="AI173" s="1172"/>
      <c r="AJ173" s="1172"/>
      <c r="AK173" s="1172"/>
      <c r="AL173" s="1173"/>
      <c r="AM173" s="1174"/>
      <c r="AN173" s="1175"/>
      <c r="AO173" s="1176"/>
      <c r="AP173" s="1177"/>
      <c r="AQ173" s="1547"/>
      <c r="AR173" s="1177"/>
      <c r="AS173" s="1548"/>
      <c r="AT173" s="1549"/>
      <c r="AU173" s="1178"/>
      <c r="AV173" s="1179"/>
      <c r="AY173" s="3">
        <v>1</v>
      </c>
    </row>
    <row r="174" spans="2:51" ht="27" customHeight="1">
      <c r="B174" s="104"/>
      <c r="C174" s="1172"/>
      <c r="D174" s="1172"/>
      <c r="E174" s="1172"/>
      <c r="F174" s="1173"/>
      <c r="G174" s="1174"/>
      <c r="H174" s="1175"/>
      <c r="I174" s="1176"/>
      <c r="J174" s="1177"/>
      <c r="K174" s="1547"/>
      <c r="L174" s="1177"/>
      <c r="M174" s="1548"/>
      <c r="N174" s="1549"/>
      <c r="O174" s="1178"/>
      <c r="P174" s="1179"/>
      <c r="Q174" s="1171"/>
      <c r="R174" s="104"/>
      <c r="S174" s="1172"/>
      <c r="T174" s="1172"/>
      <c r="U174" s="1172"/>
      <c r="V174" s="1173"/>
      <c r="W174" s="1174"/>
      <c r="X174" s="1175"/>
      <c r="Y174" s="1176"/>
      <c r="Z174" s="1177"/>
      <c r="AA174" s="1547"/>
      <c r="AB174" s="1177"/>
      <c r="AC174" s="1548"/>
      <c r="AD174" s="1549"/>
      <c r="AE174" s="1178"/>
      <c r="AF174" s="1179"/>
      <c r="AG174" s="1171"/>
      <c r="AH174" s="104"/>
      <c r="AI174" s="1172"/>
      <c r="AJ174" s="1172"/>
      <c r="AK174" s="1172"/>
      <c r="AL174" s="1173"/>
      <c r="AM174" s="1174"/>
      <c r="AN174" s="1175"/>
      <c r="AO174" s="1176"/>
      <c r="AP174" s="1177"/>
      <c r="AQ174" s="1547"/>
      <c r="AR174" s="1177"/>
      <c r="AS174" s="1548"/>
      <c r="AT174" s="1549"/>
      <c r="AU174" s="1178"/>
      <c r="AV174" s="1179"/>
      <c r="AY174" s="3">
        <v>1</v>
      </c>
    </row>
    <row r="175" spans="2:51" ht="27" customHeight="1">
      <c r="B175" s="104"/>
      <c r="C175" s="1172"/>
      <c r="D175" s="1172"/>
      <c r="E175" s="1172"/>
      <c r="F175" s="1173"/>
      <c r="G175" s="1174"/>
      <c r="H175" s="1175"/>
      <c r="I175" s="1176"/>
      <c r="J175" s="1177"/>
      <c r="K175" s="1547"/>
      <c r="L175" s="1177"/>
      <c r="M175" s="1548"/>
      <c r="N175" s="1549"/>
      <c r="O175" s="1178"/>
      <c r="P175" s="1179"/>
      <c r="Q175" s="1171"/>
      <c r="R175" s="104"/>
      <c r="S175" s="1172"/>
      <c r="T175" s="1172"/>
      <c r="U175" s="1172"/>
      <c r="V175" s="1173"/>
      <c r="W175" s="1174"/>
      <c r="X175" s="1175"/>
      <c r="Y175" s="1176"/>
      <c r="Z175" s="1177"/>
      <c r="AA175" s="1547"/>
      <c r="AB175" s="1177"/>
      <c r="AC175" s="1548"/>
      <c r="AD175" s="1549"/>
      <c r="AE175" s="1178"/>
      <c r="AF175" s="1179"/>
      <c r="AG175" s="1171"/>
      <c r="AH175" s="104"/>
      <c r="AI175" s="1172"/>
      <c r="AJ175" s="1172"/>
      <c r="AK175" s="1172"/>
      <c r="AL175" s="1173"/>
      <c r="AM175" s="1174"/>
      <c r="AN175" s="1175"/>
      <c r="AO175" s="1176"/>
      <c r="AP175" s="1177"/>
      <c r="AQ175" s="1547"/>
      <c r="AR175" s="1177"/>
      <c r="AS175" s="1548"/>
      <c r="AT175" s="1549"/>
      <c r="AU175" s="1178"/>
      <c r="AV175" s="1179"/>
      <c r="AY175" s="3">
        <v>1</v>
      </c>
    </row>
    <row r="176" spans="2:51" ht="27" customHeight="1">
      <c r="B176" s="104"/>
      <c r="C176" s="1172"/>
      <c r="D176" s="1172"/>
      <c r="E176" s="1172"/>
      <c r="F176" s="1173"/>
      <c r="G176" s="1174"/>
      <c r="H176" s="1175"/>
      <c r="I176" s="1176"/>
      <c r="J176" s="1177"/>
      <c r="K176" s="1547"/>
      <c r="L176" s="1177"/>
      <c r="M176" s="1548"/>
      <c r="N176" s="1549"/>
      <c r="O176" s="1178"/>
      <c r="P176" s="1179"/>
      <c r="Q176" s="1171"/>
      <c r="R176" s="104"/>
      <c r="S176" s="1172"/>
      <c r="T176" s="1172"/>
      <c r="U176" s="1172"/>
      <c r="V176" s="1173"/>
      <c r="W176" s="1174"/>
      <c r="X176" s="1175"/>
      <c r="Y176" s="1176"/>
      <c r="Z176" s="1177"/>
      <c r="AA176" s="1547"/>
      <c r="AB176" s="1177"/>
      <c r="AC176" s="1548"/>
      <c r="AD176" s="1549"/>
      <c r="AE176" s="1178"/>
      <c r="AF176" s="1179"/>
      <c r="AG176" s="1171"/>
      <c r="AH176" s="104"/>
      <c r="AI176" s="1172"/>
      <c r="AJ176" s="1172"/>
      <c r="AK176" s="1172"/>
      <c r="AL176" s="1173"/>
      <c r="AM176" s="1174"/>
      <c r="AN176" s="1175"/>
      <c r="AO176" s="1176"/>
      <c r="AP176" s="1177"/>
      <c r="AQ176" s="1547"/>
      <c r="AR176" s="1177"/>
      <c r="AS176" s="1548"/>
      <c r="AT176" s="1549"/>
      <c r="AU176" s="1178"/>
      <c r="AV176" s="1179"/>
      <c r="AY176" s="3">
        <v>1</v>
      </c>
    </row>
    <row r="177" spans="2:51" ht="27" customHeight="1">
      <c r="B177" s="104"/>
      <c r="C177" s="1172"/>
      <c r="D177" s="1172"/>
      <c r="E177" s="1172"/>
      <c r="F177" s="1173"/>
      <c r="G177" s="1174"/>
      <c r="H177" s="1175"/>
      <c r="I177" s="1176"/>
      <c r="J177" s="1177"/>
      <c r="K177" s="1547"/>
      <c r="L177" s="1177"/>
      <c r="M177" s="1548"/>
      <c r="N177" s="1549"/>
      <c r="O177" s="1178"/>
      <c r="P177" s="1179"/>
      <c r="Q177" s="1171"/>
      <c r="R177" s="104"/>
      <c r="S177" s="1172"/>
      <c r="T177" s="1172"/>
      <c r="U177" s="1172"/>
      <c r="V177" s="1173"/>
      <c r="W177" s="1174"/>
      <c r="X177" s="1175"/>
      <c r="Y177" s="1176"/>
      <c r="Z177" s="1177"/>
      <c r="AA177" s="1547"/>
      <c r="AB177" s="1177"/>
      <c r="AC177" s="1548"/>
      <c r="AD177" s="1549"/>
      <c r="AE177" s="1178"/>
      <c r="AF177" s="1179"/>
      <c r="AG177" s="1171"/>
      <c r="AH177" s="104"/>
      <c r="AI177" s="1172"/>
      <c r="AJ177" s="1172"/>
      <c r="AK177" s="1172"/>
      <c r="AL177" s="1173"/>
      <c r="AM177" s="1174"/>
      <c r="AN177" s="1175"/>
      <c r="AO177" s="1176"/>
      <c r="AP177" s="1177"/>
      <c r="AQ177" s="1547"/>
      <c r="AR177" s="1177"/>
      <c r="AS177" s="1548"/>
      <c r="AT177" s="1549"/>
      <c r="AU177" s="1178"/>
      <c r="AV177" s="1179"/>
      <c r="AY177" s="3">
        <v>1</v>
      </c>
    </row>
    <row r="178" spans="2:51" ht="27" customHeight="1">
      <c r="B178" s="104"/>
      <c r="C178" s="1172"/>
      <c r="D178" s="1172"/>
      <c r="E178" s="1172"/>
      <c r="F178" s="1173"/>
      <c r="G178" s="1174"/>
      <c r="H178" s="1175"/>
      <c r="I178" s="1176"/>
      <c r="J178" s="1177"/>
      <c r="K178" s="1547"/>
      <c r="L178" s="1177"/>
      <c r="M178" s="1548"/>
      <c r="N178" s="1549"/>
      <c r="O178" s="1178"/>
      <c r="P178" s="1179"/>
      <c r="Q178" s="1171"/>
      <c r="R178" s="104"/>
      <c r="S178" s="1172"/>
      <c r="T178" s="1172"/>
      <c r="U178" s="1172"/>
      <c r="V178" s="1173"/>
      <c r="W178" s="1174"/>
      <c r="X178" s="1175"/>
      <c r="Y178" s="1176"/>
      <c r="Z178" s="1177"/>
      <c r="AA178" s="1547"/>
      <c r="AB178" s="1177"/>
      <c r="AC178" s="1548"/>
      <c r="AD178" s="1549"/>
      <c r="AE178" s="1178"/>
      <c r="AF178" s="1179"/>
      <c r="AG178" s="1171"/>
      <c r="AH178" s="104"/>
      <c r="AI178" s="1172"/>
      <c r="AJ178" s="1172"/>
      <c r="AK178" s="1172"/>
      <c r="AL178" s="1173"/>
      <c r="AM178" s="1174"/>
      <c r="AN178" s="1175"/>
      <c r="AO178" s="1176"/>
      <c r="AP178" s="1177"/>
      <c r="AQ178" s="1547"/>
      <c r="AR178" s="1177"/>
      <c r="AS178" s="1548"/>
      <c r="AT178" s="1549"/>
      <c r="AU178" s="1178"/>
      <c r="AV178" s="1179"/>
      <c r="AY178" s="3">
        <v>1</v>
      </c>
    </row>
    <row r="179" spans="2:51" ht="27" customHeight="1">
      <c r="B179" s="104"/>
      <c r="C179" s="1172"/>
      <c r="D179" s="1172"/>
      <c r="E179" s="1172"/>
      <c r="F179" s="1173"/>
      <c r="G179" s="1174"/>
      <c r="H179" s="1175"/>
      <c r="I179" s="1176"/>
      <c r="J179" s="1177"/>
      <c r="K179" s="1547"/>
      <c r="L179" s="1177"/>
      <c r="M179" s="1548"/>
      <c r="N179" s="1549"/>
      <c r="O179" s="1178"/>
      <c r="P179" s="1179"/>
      <c r="Q179" s="1171"/>
      <c r="R179" s="104"/>
      <c r="S179" s="1172"/>
      <c r="T179" s="1172"/>
      <c r="U179" s="1172"/>
      <c r="V179" s="1173"/>
      <c r="W179" s="1174"/>
      <c r="X179" s="1175"/>
      <c r="Y179" s="1176"/>
      <c r="Z179" s="1177"/>
      <c r="AA179" s="1547"/>
      <c r="AB179" s="1177"/>
      <c r="AC179" s="1548"/>
      <c r="AD179" s="1549"/>
      <c r="AE179" s="1178"/>
      <c r="AF179" s="1179"/>
      <c r="AG179" s="1171"/>
      <c r="AH179" s="104"/>
      <c r="AI179" s="1172"/>
      <c r="AJ179" s="1172"/>
      <c r="AK179" s="1172"/>
      <c r="AL179" s="1173"/>
      <c r="AM179" s="1174"/>
      <c r="AN179" s="1175"/>
      <c r="AO179" s="1176"/>
      <c r="AP179" s="1177"/>
      <c r="AQ179" s="1547"/>
      <c r="AR179" s="1177"/>
      <c r="AS179" s="1548"/>
      <c r="AT179" s="1549"/>
      <c r="AU179" s="1178"/>
      <c r="AV179" s="1179"/>
      <c r="AY179" s="3">
        <v>1</v>
      </c>
    </row>
    <row r="180" spans="2:51" ht="27" customHeight="1">
      <c r="B180" s="104"/>
      <c r="C180" s="1172"/>
      <c r="D180" s="1172"/>
      <c r="E180" s="1172"/>
      <c r="F180" s="1173"/>
      <c r="G180" s="1174"/>
      <c r="H180" s="1175"/>
      <c r="I180" s="1176"/>
      <c r="J180" s="1177"/>
      <c r="K180" s="1547"/>
      <c r="L180" s="1177"/>
      <c r="M180" s="1548"/>
      <c r="N180" s="1549"/>
      <c r="O180" s="1178"/>
      <c r="P180" s="1179"/>
      <c r="Q180" s="1171"/>
      <c r="R180" s="104"/>
      <c r="S180" s="1172"/>
      <c r="T180" s="1172"/>
      <c r="U180" s="1172"/>
      <c r="V180" s="1173"/>
      <c r="W180" s="1174"/>
      <c r="X180" s="1175"/>
      <c r="Y180" s="1176"/>
      <c r="Z180" s="1177"/>
      <c r="AA180" s="1547"/>
      <c r="AB180" s="1177"/>
      <c r="AC180" s="1548"/>
      <c r="AD180" s="1549"/>
      <c r="AE180" s="1178"/>
      <c r="AF180" s="1179"/>
      <c r="AG180" s="1171"/>
      <c r="AH180" s="104"/>
      <c r="AI180" s="1172"/>
      <c r="AJ180" s="1172"/>
      <c r="AK180" s="1172"/>
      <c r="AL180" s="1173"/>
      <c r="AM180" s="1174"/>
      <c r="AN180" s="1175"/>
      <c r="AO180" s="1176"/>
      <c r="AP180" s="1177"/>
      <c r="AQ180" s="1547"/>
      <c r="AR180" s="1177"/>
      <c r="AS180" s="1548"/>
      <c r="AT180" s="1549"/>
      <c r="AU180" s="1178"/>
      <c r="AV180" s="1179"/>
      <c r="AY180" s="3">
        <v>1</v>
      </c>
    </row>
    <row r="181" spans="2:51" ht="27" customHeight="1">
      <c r="B181" s="104"/>
      <c r="C181" s="1172"/>
      <c r="D181" s="1172"/>
      <c r="E181" s="1172"/>
      <c r="F181" s="1173"/>
      <c r="G181" s="1174"/>
      <c r="H181" s="1175"/>
      <c r="I181" s="1176"/>
      <c r="J181" s="1177"/>
      <c r="K181" s="1547"/>
      <c r="L181" s="1177"/>
      <c r="M181" s="1548"/>
      <c r="N181" s="1549"/>
      <c r="O181" s="1178"/>
      <c r="P181" s="1179"/>
      <c r="Q181" s="1171"/>
      <c r="R181" s="104"/>
      <c r="S181" s="1172"/>
      <c r="T181" s="1172"/>
      <c r="U181" s="1172"/>
      <c r="V181" s="1173"/>
      <c r="W181" s="1174"/>
      <c r="X181" s="1175"/>
      <c r="Y181" s="1176"/>
      <c r="Z181" s="1177"/>
      <c r="AA181" s="1547"/>
      <c r="AB181" s="1177"/>
      <c r="AC181" s="1548"/>
      <c r="AD181" s="1549"/>
      <c r="AE181" s="1178"/>
      <c r="AF181" s="1179"/>
      <c r="AG181" s="1171"/>
      <c r="AH181" s="104"/>
      <c r="AI181" s="1172"/>
      <c r="AJ181" s="1172"/>
      <c r="AK181" s="1172"/>
      <c r="AL181" s="1173"/>
      <c r="AM181" s="1174"/>
      <c r="AN181" s="1175"/>
      <c r="AO181" s="1176"/>
      <c r="AP181" s="1177"/>
      <c r="AQ181" s="1547"/>
      <c r="AR181" s="1177"/>
      <c r="AS181" s="1548"/>
      <c r="AT181" s="1549"/>
      <c r="AU181" s="1178"/>
      <c r="AV181" s="1179"/>
      <c r="AY181" s="3">
        <v>1</v>
      </c>
    </row>
    <row r="182" spans="2:51" ht="27" customHeight="1">
      <c r="B182" s="104"/>
      <c r="C182" s="1172"/>
      <c r="D182" s="1172"/>
      <c r="E182" s="1172"/>
      <c r="F182" s="1173"/>
      <c r="G182" s="1174"/>
      <c r="H182" s="1175"/>
      <c r="I182" s="1176"/>
      <c r="J182" s="1177"/>
      <c r="K182" s="1547"/>
      <c r="L182" s="1177"/>
      <c r="M182" s="1548"/>
      <c r="N182" s="1549"/>
      <c r="O182" s="1178"/>
      <c r="P182" s="1179"/>
      <c r="Q182" s="1171"/>
      <c r="R182" s="104"/>
      <c r="S182" s="1172"/>
      <c r="T182" s="1172"/>
      <c r="U182" s="1172"/>
      <c r="V182" s="1173"/>
      <c r="W182" s="1174"/>
      <c r="X182" s="1175"/>
      <c r="Y182" s="1176"/>
      <c r="Z182" s="1177"/>
      <c r="AA182" s="1547"/>
      <c r="AB182" s="1177"/>
      <c r="AC182" s="1548"/>
      <c r="AD182" s="1549"/>
      <c r="AE182" s="1178"/>
      <c r="AF182" s="1179"/>
      <c r="AG182" s="1171"/>
      <c r="AH182" s="104"/>
      <c r="AI182" s="1172"/>
      <c r="AJ182" s="1172"/>
      <c r="AK182" s="1172"/>
      <c r="AL182" s="1173"/>
      <c r="AM182" s="1174"/>
      <c r="AN182" s="1175"/>
      <c r="AO182" s="1176"/>
      <c r="AP182" s="1177"/>
      <c r="AQ182" s="1547"/>
      <c r="AR182" s="1177"/>
      <c r="AS182" s="1548"/>
      <c r="AT182" s="1549"/>
      <c r="AU182" s="1178"/>
      <c r="AV182" s="1179"/>
      <c r="AY182" s="3">
        <v>1</v>
      </c>
    </row>
    <row r="183" spans="2:51" ht="27" customHeight="1">
      <c r="B183" s="104"/>
      <c r="C183" s="1172"/>
      <c r="D183" s="1172"/>
      <c r="E183" s="1172"/>
      <c r="F183" s="1173"/>
      <c r="G183" s="1174"/>
      <c r="H183" s="1175"/>
      <c r="I183" s="1176"/>
      <c r="J183" s="1177"/>
      <c r="K183" s="1547"/>
      <c r="L183" s="1177"/>
      <c r="M183" s="1548"/>
      <c r="N183" s="1549"/>
      <c r="O183" s="1178"/>
      <c r="P183" s="1179"/>
      <c r="Q183" s="1171"/>
      <c r="R183" s="104"/>
      <c r="S183" s="1172"/>
      <c r="T183" s="1172"/>
      <c r="U183" s="1172"/>
      <c r="V183" s="1173"/>
      <c r="W183" s="1174"/>
      <c r="X183" s="1175"/>
      <c r="Y183" s="1176"/>
      <c r="Z183" s="1177"/>
      <c r="AA183" s="1547"/>
      <c r="AB183" s="1177"/>
      <c r="AC183" s="1548"/>
      <c r="AD183" s="1549"/>
      <c r="AE183" s="1178"/>
      <c r="AF183" s="1179"/>
      <c r="AG183" s="1171"/>
      <c r="AH183" s="104"/>
      <c r="AI183" s="1172"/>
      <c r="AJ183" s="1172"/>
      <c r="AK183" s="1172"/>
      <c r="AL183" s="1173"/>
      <c r="AM183" s="1174"/>
      <c r="AN183" s="1175"/>
      <c r="AO183" s="1176"/>
      <c r="AP183" s="1177"/>
      <c r="AQ183" s="1547"/>
      <c r="AR183" s="1177"/>
      <c r="AS183" s="1548"/>
      <c r="AT183" s="1549"/>
      <c r="AU183" s="1178"/>
      <c r="AV183" s="1179"/>
      <c r="AY183" s="3">
        <v>1</v>
      </c>
    </row>
    <row r="184" spans="2:51" ht="27" customHeight="1">
      <c r="B184" s="104"/>
      <c r="C184" s="1172"/>
      <c r="D184" s="1172"/>
      <c r="E184" s="1172"/>
      <c r="F184" s="1173"/>
      <c r="G184" s="1174"/>
      <c r="H184" s="1175"/>
      <c r="I184" s="1176"/>
      <c r="J184" s="1177"/>
      <c r="K184" s="1547"/>
      <c r="L184" s="1177"/>
      <c r="M184" s="1548"/>
      <c r="N184" s="1549"/>
      <c r="O184" s="1178"/>
      <c r="P184" s="1179"/>
      <c r="Q184" s="1171"/>
      <c r="R184" s="104"/>
      <c r="S184" s="1172"/>
      <c r="T184" s="1172"/>
      <c r="U184" s="1172"/>
      <c r="V184" s="1173"/>
      <c r="W184" s="1174"/>
      <c r="X184" s="1175"/>
      <c r="Y184" s="1176"/>
      <c r="Z184" s="1177"/>
      <c r="AA184" s="1547"/>
      <c r="AB184" s="1177"/>
      <c r="AC184" s="1548"/>
      <c r="AD184" s="1549"/>
      <c r="AE184" s="1178"/>
      <c r="AF184" s="1179"/>
      <c r="AG184" s="1171"/>
      <c r="AH184" s="104"/>
      <c r="AI184" s="1172"/>
      <c r="AJ184" s="1172"/>
      <c r="AK184" s="1172"/>
      <c r="AL184" s="1173"/>
      <c r="AM184" s="1174"/>
      <c r="AN184" s="1175"/>
      <c r="AO184" s="1176"/>
      <c r="AP184" s="1177"/>
      <c r="AQ184" s="1547"/>
      <c r="AR184" s="1177"/>
      <c r="AS184" s="1548"/>
      <c r="AT184" s="1549"/>
      <c r="AU184" s="1178"/>
      <c r="AV184" s="1179"/>
      <c r="AY184" s="3">
        <v>1</v>
      </c>
    </row>
    <row r="185" spans="2:51" ht="27" customHeight="1">
      <c r="B185" s="104"/>
      <c r="C185" s="1172"/>
      <c r="D185" s="1172"/>
      <c r="E185" s="1172"/>
      <c r="F185" s="1173"/>
      <c r="G185" s="1174"/>
      <c r="H185" s="1175"/>
      <c r="I185" s="1176"/>
      <c r="J185" s="1177"/>
      <c r="K185" s="1547"/>
      <c r="L185" s="1177"/>
      <c r="M185" s="1548"/>
      <c r="N185" s="1549"/>
      <c r="O185" s="1178"/>
      <c r="P185" s="1179"/>
      <c r="Q185" s="1171"/>
      <c r="R185" s="104"/>
      <c r="S185" s="1172"/>
      <c r="T185" s="1172"/>
      <c r="U185" s="1172"/>
      <c r="V185" s="1173"/>
      <c r="W185" s="1174"/>
      <c r="X185" s="1175"/>
      <c r="Y185" s="1176"/>
      <c r="Z185" s="1177"/>
      <c r="AA185" s="1547"/>
      <c r="AB185" s="1177"/>
      <c r="AC185" s="1548"/>
      <c r="AD185" s="1549"/>
      <c r="AE185" s="1178"/>
      <c r="AF185" s="1179"/>
      <c r="AG185" s="1171"/>
      <c r="AH185" s="104"/>
      <c r="AI185" s="1172"/>
      <c r="AJ185" s="1172"/>
      <c r="AK185" s="1172"/>
      <c r="AL185" s="1173"/>
      <c r="AM185" s="1174"/>
      <c r="AN185" s="1175"/>
      <c r="AO185" s="1176"/>
      <c r="AP185" s="1177"/>
      <c r="AQ185" s="1547"/>
      <c r="AR185" s="1177"/>
      <c r="AS185" s="1548"/>
      <c r="AT185" s="1549"/>
      <c r="AU185" s="1178"/>
      <c r="AV185" s="1179"/>
      <c r="AY185" s="3">
        <v>1</v>
      </c>
    </row>
    <row r="186" spans="2:51" ht="27" customHeight="1">
      <c r="B186" s="104"/>
      <c r="C186" s="1172"/>
      <c r="D186" s="1172"/>
      <c r="E186" s="1172"/>
      <c r="F186" s="1173"/>
      <c r="G186" s="1174"/>
      <c r="H186" s="1175"/>
      <c r="I186" s="1176"/>
      <c r="J186" s="1177"/>
      <c r="K186" s="1547"/>
      <c r="L186" s="1177"/>
      <c r="M186" s="1548"/>
      <c r="N186" s="1549"/>
      <c r="O186" s="1178"/>
      <c r="P186" s="1179"/>
      <c r="Q186" s="1171"/>
      <c r="R186" s="104"/>
      <c r="S186" s="1172"/>
      <c r="T186" s="1172"/>
      <c r="U186" s="1172"/>
      <c r="V186" s="1173"/>
      <c r="W186" s="1174"/>
      <c r="X186" s="1175"/>
      <c r="Y186" s="1176"/>
      <c r="Z186" s="1177"/>
      <c r="AA186" s="1547"/>
      <c r="AB186" s="1177"/>
      <c r="AC186" s="1548"/>
      <c r="AD186" s="1549"/>
      <c r="AE186" s="1178"/>
      <c r="AF186" s="1179"/>
      <c r="AG186" s="1171"/>
      <c r="AH186" s="104"/>
      <c r="AI186" s="1172"/>
      <c r="AJ186" s="1172"/>
      <c r="AK186" s="1172"/>
      <c r="AL186" s="1173"/>
      <c r="AM186" s="1174"/>
      <c r="AN186" s="1175"/>
      <c r="AO186" s="1176"/>
      <c r="AP186" s="1177"/>
      <c r="AQ186" s="1547"/>
      <c r="AR186" s="1177"/>
      <c r="AS186" s="1548"/>
      <c r="AT186" s="1549"/>
      <c r="AU186" s="1178"/>
      <c r="AV186" s="1179"/>
      <c r="AY186" s="3">
        <v>1</v>
      </c>
    </row>
    <row r="187" spans="2:51" ht="27" customHeight="1">
      <c r="B187" s="104"/>
      <c r="C187" s="1172"/>
      <c r="D187" s="1172"/>
      <c r="E187" s="1172"/>
      <c r="F187" s="1173"/>
      <c r="G187" s="1174"/>
      <c r="H187" s="1175"/>
      <c r="I187" s="1176"/>
      <c r="J187" s="1177"/>
      <c r="K187" s="1547"/>
      <c r="L187" s="1177"/>
      <c r="M187" s="1548"/>
      <c r="N187" s="1549"/>
      <c r="O187" s="1178"/>
      <c r="P187" s="1179"/>
      <c r="Q187" s="1171"/>
      <c r="R187" s="104"/>
      <c r="S187" s="1172"/>
      <c r="T187" s="1172"/>
      <c r="U187" s="1172"/>
      <c r="V187" s="1173"/>
      <c r="W187" s="1174"/>
      <c r="X187" s="1175"/>
      <c r="Y187" s="1176"/>
      <c r="Z187" s="1177"/>
      <c r="AA187" s="1547"/>
      <c r="AB187" s="1177"/>
      <c r="AC187" s="1548"/>
      <c r="AD187" s="1549"/>
      <c r="AE187" s="1178"/>
      <c r="AF187" s="1179"/>
      <c r="AG187" s="1171"/>
      <c r="AH187" s="104"/>
      <c r="AI187" s="1172"/>
      <c r="AJ187" s="1172"/>
      <c r="AK187" s="1172"/>
      <c r="AL187" s="1173"/>
      <c r="AM187" s="1174"/>
      <c r="AN187" s="1175"/>
      <c r="AO187" s="1176"/>
      <c r="AP187" s="1177"/>
      <c r="AQ187" s="1547"/>
      <c r="AR187" s="1177"/>
      <c r="AS187" s="1548"/>
      <c r="AT187" s="1549"/>
      <c r="AU187" s="1178"/>
      <c r="AV187" s="1179"/>
      <c r="AY187" s="3">
        <v>1</v>
      </c>
    </row>
    <row r="188" spans="2:51" ht="27" customHeight="1">
      <c r="B188" s="104"/>
      <c r="C188" s="1172"/>
      <c r="D188" s="1172"/>
      <c r="E188" s="1172"/>
      <c r="F188" s="1173"/>
      <c r="G188" s="1174"/>
      <c r="H188" s="1175"/>
      <c r="I188" s="1176"/>
      <c r="J188" s="1177"/>
      <c r="K188" s="1547"/>
      <c r="L188" s="1177"/>
      <c r="M188" s="1548"/>
      <c r="N188" s="1549"/>
      <c r="O188" s="1178"/>
      <c r="P188" s="1179"/>
      <c r="Q188" s="1171"/>
      <c r="R188" s="104"/>
      <c r="S188" s="1172"/>
      <c r="T188" s="1172"/>
      <c r="U188" s="1172"/>
      <c r="V188" s="1173"/>
      <c r="W188" s="1174"/>
      <c r="X188" s="1175"/>
      <c r="Y188" s="1176"/>
      <c r="Z188" s="1177"/>
      <c r="AA188" s="1547"/>
      <c r="AB188" s="1177"/>
      <c r="AC188" s="1548"/>
      <c r="AD188" s="1549"/>
      <c r="AE188" s="1178"/>
      <c r="AF188" s="1179"/>
      <c r="AG188" s="1171"/>
      <c r="AH188" s="104"/>
      <c r="AI188" s="1172"/>
      <c r="AJ188" s="1172"/>
      <c r="AK188" s="1172"/>
      <c r="AL188" s="1173"/>
      <c r="AM188" s="1174"/>
      <c r="AN188" s="1175"/>
      <c r="AO188" s="1176"/>
      <c r="AP188" s="1177"/>
      <c r="AQ188" s="1547"/>
      <c r="AR188" s="1177"/>
      <c r="AS188" s="1548"/>
      <c r="AT188" s="1549"/>
      <c r="AU188" s="1178"/>
      <c r="AV188" s="1179"/>
      <c r="AY188" s="3">
        <v>1</v>
      </c>
    </row>
    <row r="189" spans="2:51" ht="27" customHeight="1">
      <c r="B189" s="104"/>
      <c r="C189" s="1172"/>
      <c r="D189" s="1172"/>
      <c r="E189" s="1172"/>
      <c r="F189" s="1173"/>
      <c r="G189" s="1174"/>
      <c r="H189" s="1175"/>
      <c r="I189" s="1176"/>
      <c r="J189" s="1177"/>
      <c r="K189" s="1547"/>
      <c r="L189" s="1177"/>
      <c r="M189" s="1548"/>
      <c r="N189" s="1549"/>
      <c r="O189" s="1178"/>
      <c r="P189" s="1179"/>
      <c r="Q189" s="1171"/>
      <c r="R189" s="104"/>
      <c r="S189" s="1172"/>
      <c r="T189" s="1172"/>
      <c r="U189" s="1172"/>
      <c r="V189" s="1173"/>
      <c r="W189" s="1174"/>
      <c r="X189" s="1175"/>
      <c r="Y189" s="1176"/>
      <c r="Z189" s="1177"/>
      <c r="AA189" s="1547"/>
      <c r="AB189" s="1177"/>
      <c r="AC189" s="1548"/>
      <c r="AD189" s="1549"/>
      <c r="AE189" s="1178"/>
      <c r="AF189" s="1179"/>
      <c r="AG189" s="1171"/>
      <c r="AH189" s="104"/>
      <c r="AI189" s="1172"/>
      <c r="AJ189" s="1172"/>
      <c r="AK189" s="1172"/>
      <c r="AL189" s="1173"/>
      <c r="AM189" s="1174"/>
      <c r="AN189" s="1175"/>
      <c r="AO189" s="1176"/>
      <c r="AP189" s="1177"/>
      <c r="AQ189" s="1547"/>
      <c r="AR189" s="1177"/>
      <c r="AS189" s="1548"/>
      <c r="AT189" s="1549"/>
      <c r="AU189" s="1178"/>
      <c r="AV189" s="1179"/>
      <c r="AY189" s="3">
        <v>1</v>
      </c>
    </row>
    <row r="190" spans="2:51" ht="27" customHeight="1">
      <c r="B190" s="104"/>
      <c r="C190" s="1172"/>
      <c r="D190" s="1172"/>
      <c r="E190" s="1172"/>
      <c r="F190" s="1173"/>
      <c r="G190" s="1174"/>
      <c r="H190" s="1175"/>
      <c r="I190" s="1176"/>
      <c r="J190" s="1177"/>
      <c r="K190" s="1547"/>
      <c r="L190" s="1177"/>
      <c r="M190" s="1548"/>
      <c r="N190" s="1549"/>
      <c r="O190" s="1178"/>
      <c r="P190" s="1179"/>
      <c r="Q190" s="1171"/>
      <c r="R190" s="104"/>
      <c r="S190" s="1172"/>
      <c r="T190" s="1172"/>
      <c r="U190" s="1172"/>
      <c r="V190" s="1173"/>
      <c r="W190" s="1174"/>
      <c r="X190" s="1175"/>
      <c r="Y190" s="1176"/>
      <c r="Z190" s="1177"/>
      <c r="AA190" s="1547"/>
      <c r="AB190" s="1177"/>
      <c r="AC190" s="1548"/>
      <c r="AD190" s="1549"/>
      <c r="AE190" s="1178"/>
      <c r="AF190" s="1179"/>
      <c r="AG190" s="1171"/>
      <c r="AH190" s="104"/>
      <c r="AI190" s="1172"/>
      <c r="AJ190" s="1172"/>
      <c r="AK190" s="1172"/>
      <c r="AL190" s="1173"/>
      <c r="AM190" s="1174"/>
      <c r="AN190" s="1175"/>
      <c r="AO190" s="1176"/>
      <c r="AP190" s="1177"/>
      <c r="AQ190" s="1547"/>
      <c r="AR190" s="1177"/>
      <c r="AS190" s="1548"/>
      <c r="AT190" s="1549"/>
      <c r="AU190" s="1178"/>
      <c r="AV190" s="1179"/>
      <c r="AY190" s="3">
        <v>1</v>
      </c>
    </row>
    <row r="191" spans="2:51" ht="27" customHeight="1">
      <c r="B191" s="104"/>
      <c r="C191" s="1172"/>
      <c r="D191" s="1172"/>
      <c r="E191" s="1172"/>
      <c r="F191" s="1173"/>
      <c r="G191" s="1174"/>
      <c r="H191" s="1175"/>
      <c r="I191" s="1176"/>
      <c r="J191" s="1177"/>
      <c r="K191" s="1547"/>
      <c r="L191" s="1177"/>
      <c r="M191" s="1548"/>
      <c r="N191" s="1549"/>
      <c r="O191" s="1178"/>
      <c r="P191" s="1179"/>
      <c r="Q191" s="1171"/>
      <c r="R191" s="104"/>
      <c r="S191" s="1172"/>
      <c r="T191" s="1172"/>
      <c r="U191" s="1172"/>
      <c r="V191" s="1173"/>
      <c r="W191" s="1174"/>
      <c r="X191" s="1175"/>
      <c r="Y191" s="1176"/>
      <c r="Z191" s="1177"/>
      <c r="AA191" s="1547"/>
      <c r="AB191" s="1177"/>
      <c r="AC191" s="1548"/>
      <c r="AD191" s="1549"/>
      <c r="AE191" s="1178"/>
      <c r="AF191" s="1179"/>
      <c r="AG191" s="1171"/>
      <c r="AH191" s="104"/>
      <c r="AI191" s="1172"/>
      <c r="AJ191" s="1172"/>
      <c r="AK191" s="1172"/>
      <c r="AL191" s="1173"/>
      <c r="AM191" s="1174"/>
      <c r="AN191" s="1175"/>
      <c r="AO191" s="1176"/>
      <c r="AP191" s="1177"/>
      <c r="AQ191" s="1547"/>
      <c r="AR191" s="1177"/>
      <c r="AS191" s="1548"/>
      <c r="AT191" s="1549"/>
      <c r="AU191" s="1178"/>
      <c r="AV191" s="1179"/>
      <c r="AY191" s="3">
        <v>1</v>
      </c>
    </row>
    <row r="192" spans="2:51" ht="27" customHeight="1">
      <c r="B192" s="104"/>
      <c r="C192" s="1172"/>
      <c r="D192" s="1172"/>
      <c r="E192" s="1172"/>
      <c r="F192" s="1173"/>
      <c r="G192" s="1174"/>
      <c r="H192" s="1175"/>
      <c r="I192" s="1176"/>
      <c r="J192" s="1177"/>
      <c r="K192" s="1547"/>
      <c r="L192" s="1177"/>
      <c r="M192" s="1548"/>
      <c r="N192" s="1549"/>
      <c r="O192" s="1178"/>
      <c r="P192" s="1179"/>
      <c r="Q192" s="1171"/>
      <c r="R192" s="104"/>
      <c r="S192" s="1172"/>
      <c r="T192" s="1172"/>
      <c r="U192" s="1172"/>
      <c r="V192" s="1173"/>
      <c r="W192" s="1174"/>
      <c r="X192" s="1175"/>
      <c r="Y192" s="1176"/>
      <c r="Z192" s="1177"/>
      <c r="AA192" s="1547"/>
      <c r="AB192" s="1177"/>
      <c r="AC192" s="1548"/>
      <c r="AD192" s="1549"/>
      <c r="AE192" s="1178"/>
      <c r="AF192" s="1179"/>
      <c r="AG192" s="1171"/>
      <c r="AH192" s="104"/>
      <c r="AI192" s="1172"/>
      <c r="AJ192" s="1172"/>
      <c r="AK192" s="1172"/>
      <c r="AL192" s="1173"/>
      <c r="AM192" s="1174"/>
      <c r="AN192" s="1175"/>
      <c r="AO192" s="1176"/>
      <c r="AP192" s="1177"/>
      <c r="AQ192" s="1547"/>
      <c r="AR192" s="1177"/>
      <c r="AS192" s="1548"/>
      <c r="AT192" s="1549"/>
      <c r="AU192" s="1178"/>
      <c r="AV192" s="1179"/>
      <c r="AY192" s="3">
        <v>1</v>
      </c>
    </row>
    <row r="193" spans="2:51" ht="27" customHeight="1">
      <c r="B193" s="104"/>
      <c r="C193" s="1172"/>
      <c r="D193" s="1172"/>
      <c r="E193" s="1172"/>
      <c r="F193" s="1173"/>
      <c r="G193" s="1174"/>
      <c r="H193" s="1175"/>
      <c r="I193" s="1176"/>
      <c r="J193" s="1177"/>
      <c r="K193" s="1547"/>
      <c r="L193" s="1177"/>
      <c r="M193" s="1548"/>
      <c r="N193" s="1549"/>
      <c r="O193" s="1178"/>
      <c r="P193" s="1179"/>
      <c r="Q193" s="1171"/>
      <c r="R193" s="104"/>
      <c r="S193" s="1172"/>
      <c r="T193" s="1172"/>
      <c r="U193" s="1172"/>
      <c r="V193" s="1173"/>
      <c r="W193" s="1174"/>
      <c r="X193" s="1175"/>
      <c r="Y193" s="1176"/>
      <c r="Z193" s="1177"/>
      <c r="AA193" s="1547"/>
      <c r="AB193" s="1177"/>
      <c r="AC193" s="1548"/>
      <c r="AD193" s="1549"/>
      <c r="AE193" s="1178"/>
      <c r="AF193" s="1179"/>
      <c r="AG193" s="1171"/>
      <c r="AH193" s="104"/>
      <c r="AI193" s="1172"/>
      <c r="AJ193" s="1172"/>
      <c r="AK193" s="1172"/>
      <c r="AL193" s="1173"/>
      <c r="AM193" s="1174"/>
      <c r="AN193" s="1175"/>
      <c r="AO193" s="1176"/>
      <c r="AP193" s="1177"/>
      <c r="AQ193" s="1547"/>
      <c r="AR193" s="1177"/>
      <c r="AS193" s="1548"/>
      <c r="AT193" s="1549"/>
      <c r="AU193" s="1178"/>
      <c r="AV193" s="1179"/>
      <c r="AY193" s="3">
        <v>1</v>
      </c>
    </row>
    <row r="194" spans="2:51" ht="27" customHeight="1">
      <c r="B194" s="104"/>
      <c r="C194" s="1172"/>
      <c r="D194" s="1172"/>
      <c r="E194" s="1172"/>
      <c r="F194" s="1173"/>
      <c r="G194" s="1174"/>
      <c r="H194" s="1175"/>
      <c r="I194" s="1176"/>
      <c r="J194" s="1177"/>
      <c r="K194" s="1547"/>
      <c r="L194" s="1177"/>
      <c r="M194" s="1548"/>
      <c r="N194" s="1549"/>
      <c r="O194" s="1178"/>
      <c r="P194" s="1179"/>
      <c r="Q194" s="1171"/>
      <c r="R194" s="104"/>
      <c r="S194" s="1172"/>
      <c r="T194" s="1172"/>
      <c r="U194" s="1172"/>
      <c r="V194" s="1173"/>
      <c r="W194" s="1174"/>
      <c r="X194" s="1175"/>
      <c r="Y194" s="1176"/>
      <c r="Z194" s="1177"/>
      <c r="AA194" s="1547"/>
      <c r="AB194" s="1177"/>
      <c r="AC194" s="1548"/>
      <c r="AD194" s="1549"/>
      <c r="AE194" s="1178"/>
      <c r="AF194" s="1179"/>
      <c r="AG194" s="1171"/>
      <c r="AH194" s="104"/>
      <c r="AI194" s="1172"/>
      <c r="AJ194" s="1172"/>
      <c r="AK194" s="1172"/>
      <c r="AL194" s="1173"/>
      <c r="AM194" s="1174"/>
      <c r="AN194" s="1175"/>
      <c r="AO194" s="1176"/>
      <c r="AP194" s="1177"/>
      <c r="AQ194" s="1547"/>
      <c r="AR194" s="1177"/>
      <c r="AS194" s="1548"/>
      <c r="AT194" s="1549"/>
      <c r="AU194" s="1178"/>
      <c r="AV194" s="1179"/>
      <c r="AY194" s="3">
        <v>1</v>
      </c>
    </row>
    <row r="195" spans="2:51" ht="27" customHeight="1">
      <c r="B195" s="104"/>
      <c r="C195" s="1172"/>
      <c r="D195" s="1172"/>
      <c r="E195" s="1172"/>
      <c r="F195" s="1173"/>
      <c r="G195" s="1174"/>
      <c r="H195" s="1175"/>
      <c r="I195" s="1176"/>
      <c r="J195" s="1177"/>
      <c r="K195" s="1547"/>
      <c r="L195" s="1177"/>
      <c r="M195" s="1548"/>
      <c r="N195" s="1549"/>
      <c r="O195" s="1178"/>
      <c r="P195" s="1179"/>
      <c r="Q195" s="1171"/>
      <c r="R195" s="104"/>
      <c r="S195" s="1172"/>
      <c r="T195" s="1172"/>
      <c r="U195" s="1172"/>
      <c r="V195" s="1173"/>
      <c r="W195" s="1174"/>
      <c r="X195" s="1175"/>
      <c r="Y195" s="1176"/>
      <c r="Z195" s="1177"/>
      <c r="AA195" s="1547"/>
      <c r="AB195" s="1177"/>
      <c r="AC195" s="1548"/>
      <c r="AD195" s="1549"/>
      <c r="AE195" s="1178"/>
      <c r="AF195" s="1179"/>
      <c r="AG195" s="1171"/>
      <c r="AH195" s="104"/>
      <c r="AI195" s="1172"/>
      <c r="AJ195" s="1172"/>
      <c r="AK195" s="1172"/>
      <c r="AL195" s="1173"/>
      <c r="AM195" s="1174"/>
      <c r="AN195" s="1175"/>
      <c r="AO195" s="1176"/>
      <c r="AP195" s="1177"/>
      <c r="AQ195" s="1547"/>
      <c r="AR195" s="1177"/>
      <c r="AS195" s="1548"/>
      <c r="AT195" s="1549"/>
      <c r="AU195" s="1178"/>
      <c r="AV195" s="1179"/>
      <c r="AY195" s="3">
        <v>1</v>
      </c>
    </row>
    <row r="196" spans="2:51" ht="27" customHeight="1">
      <c r="B196" s="104"/>
      <c r="C196" s="1172"/>
      <c r="D196" s="1172"/>
      <c r="E196" s="1172"/>
      <c r="F196" s="1173"/>
      <c r="G196" s="1174"/>
      <c r="H196" s="1175"/>
      <c r="I196" s="1176"/>
      <c r="J196" s="1177"/>
      <c r="K196" s="1547"/>
      <c r="L196" s="1177"/>
      <c r="M196" s="1548"/>
      <c r="N196" s="1549"/>
      <c r="O196" s="1178"/>
      <c r="P196" s="1179"/>
      <c r="Q196" s="1171"/>
      <c r="R196" s="104"/>
      <c r="S196" s="1172"/>
      <c r="T196" s="1172"/>
      <c r="U196" s="1172"/>
      <c r="V196" s="1173"/>
      <c r="W196" s="1174"/>
      <c r="X196" s="1175"/>
      <c r="Y196" s="1176"/>
      <c r="Z196" s="1177"/>
      <c r="AA196" s="1547"/>
      <c r="AB196" s="1177"/>
      <c r="AC196" s="1548"/>
      <c r="AD196" s="1549"/>
      <c r="AE196" s="1178"/>
      <c r="AF196" s="1179"/>
      <c r="AG196" s="1171"/>
      <c r="AH196" s="104"/>
      <c r="AI196" s="1172"/>
      <c r="AJ196" s="1172"/>
      <c r="AK196" s="1172"/>
      <c r="AL196" s="1173"/>
      <c r="AM196" s="1174"/>
      <c r="AN196" s="1175"/>
      <c r="AO196" s="1176"/>
      <c r="AP196" s="1177"/>
      <c r="AQ196" s="1547"/>
      <c r="AR196" s="1177"/>
      <c r="AS196" s="1548"/>
      <c r="AT196" s="1549"/>
      <c r="AU196" s="1178"/>
      <c r="AV196" s="1179"/>
      <c r="AY196" s="3">
        <v>1</v>
      </c>
    </row>
    <row r="197" spans="2:51" ht="27" customHeight="1">
      <c r="B197" s="104"/>
      <c r="C197" s="1172"/>
      <c r="D197" s="1172"/>
      <c r="E197" s="1172"/>
      <c r="F197" s="1173"/>
      <c r="G197" s="1174"/>
      <c r="H197" s="1175"/>
      <c r="I197" s="1176"/>
      <c r="J197" s="1177"/>
      <c r="K197" s="1547"/>
      <c r="L197" s="1177"/>
      <c r="M197" s="1548"/>
      <c r="N197" s="1549"/>
      <c r="O197" s="1178"/>
      <c r="P197" s="1179"/>
      <c r="Q197" s="1171"/>
      <c r="R197" s="104"/>
      <c r="S197" s="1172"/>
      <c r="T197" s="1172"/>
      <c r="U197" s="1172"/>
      <c r="V197" s="1173"/>
      <c r="W197" s="1174"/>
      <c r="X197" s="1175"/>
      <c r="Y197" s="1176"/>
      <c r="Z197" s="1177"/>
      <c r="AA197" s="1547"/>
      <c r="AB197" s="1177"/>
      <c r="AC197" s="1548"/>
      <c r="AD197" s="1549"/>
      <c r="AE197" s="1178"/>
      <c r="AF197" s="1179"/>
      <c r="AG197" s="1171"/>
      <c r="AH197" s="104"/>
      <c r="AI197" s="1172"/>
      <c r="AJ197" s="1172"/>
      <c r="AK197" s="1172"/>
      <c r="AL197" s="1173"/>
      <c r="AM197" s="1174"/>
      <c r="AN197" s="1175"/>
      <c r="AO197" s="1176"/>
      <c r="AP197" s="1177"/>
      <c r="AQ197" s="1547"/>
      <c r="AR197" s="1177"/>
      <c r="AS197" s="1548"/>
      <c r="AT197" s="1549"/>
      <c r="AU197" s="1178"/>
      <c r="AV197" s="1179"/>
      <c r="AY197" s="3">
        <v>1</v>
      </c>
    </row>
    <row r="198" spans="2:51" ht="27" customHeight="1">
      <c r="B198" s="104"/>
      <c r="C198" s="1172"/>
      <c r="D198" s="1172"/>
      <c r="E198" s="1172"/>
      <c r="F198" s="1173"/>
      <c r="G198" s="1174"/>
      <c r="H198" s="1175"/>
      <c r="I198" s="1176"/>
      <c r="J198" s="1177"/>
      <c r="K198" s="1547"/>
      <c r="L198" s="1177"/>
      <c r="M198" s="1548"/>
      <c r="N198" s="1549"/>
      <c r="O198" s="1178"/>
      <c r="P198" s="1179"/>
      <c r="Q198" s="1171"/>
      <c r="R198" s="104"/>
      <c r="S198" s="1172"/>
      <c r="T198" s="1172"/>
      <c r="U198" s="1172"/>
      <c r="V198" s="1173"/>
      <c r="W198" s="1174"/>
      <c r="X198" s="1175"/>
      <c r="Y198" s="1176"/>
      <c r="Z198" s="1177"/>
      <c r="AA198" s="1547"/>
      <c r="AB198" s="1177"/>
      <c r="AC198" s="1548"/>
      <c r="AD198" s="1549"/>
      <c r="AE198" s="1178"/>
      <c r="AF198" s="1179"/>
      <c r="AG198" s="1171"/>
      <c r="AH198" s="104"/>
      <c r="AI198" s="1172"/>
      <c r="AJ198" s="1172"/>
      <c r="AK198" s="1172"/>
      <c r="AL198" s="1173"/>
      <c r="AM198" s="1174"/>
      <c r="AN198" s="1175"/>
      <c r="AO198" s="1176"/>
      <c r="AP198" s="1177"/>
      <c r="AQ198" s="1547"/>
      <c r="AR198" s="1177"/>
      <c r="AS198" s="1548"/>
      <c r="AT198" s="1549"/>
      <c r="AU198" s="1178"/>
      <c r="AV198" s="1179"/>
      <c r="AY198" s="3">
        <v>1</v>
      </c>
    </row>
    <row r="199" spans="2:51" ht="27" customHeight="1">
      <c r="B199" s="104"/>
      <c r="C199" s="1172"/>
      <c r="D199" s="1172"/>
      <c r="E199" s="1172"/>
      <c r="F199" s="1173"/>
      <c r="G199" s="1174"/>
      <c r="H199" s="1175"/>
      <c r="I199" s="1176"/>
      <c r="J199" s="1177"/>
      <c r="K199" s="1547"/>
      <c r="L199" s="1177"/>
      <c r="M199" s="1548"/>
      <c r="N199" s="1549"/>
      <c r="O199" s="1178"/>
      <c r="P199" s="1179"/>
      <c r="Q199" s="1171"/>
      <c r="R199" s="104"/>
      <c r="S199" s="1172"/>
      <c r="T199" s="1172"/>
      <c r="U199" s="1172"/>
      <c r="V199" s="1173"/>
      <c r="W199" s="1174"/>
      <c r="X199" s="1175"/>
      <c r="Y199" s="1176"/>
      <c r="Z199" s="1177"/>
      <c r="AA199" s="1547"/>
      <c r="AB199" s="1177"/>
      <c r="AC199" s="1548"/>
      <c r="AD199" s="1549"/>
      <c r="AE199" s="1178"/>
      <c r="AF199" s="1179"/>
      <c r="AG199" s="1171"/>
      <c r="AH199" s="104"/>
      <c r="AI199" s="1172"/>
      <c r="AJ199" s="1172"/>
      <c r="AK199" s="1172"/>
      <c r="AL199" s="1173"/>
      <c r="AM199" s="1174"/>
      <c r="AN199" s="1175"/>
      <c r="AO199" s="1176"/>
      <c r="AP199" s="1177"/>
      <c r="AQ199" s="1547"/>
      <c r="AR199" s="1177"/>
      <c r="AS199" s="1548"/>
      <c r="AT199" s="1549"/>
      <c r="AU199" s="1178"/>
      <c r="AV199" s="1179"/>
      <c r="AY199" s="3">
        <v>1</v>
      </c>
    </row>
    <row r="200" spans="2:51" ht="27" customHeight="1">
      <c r="B200" s="104"/>
      <c r="C200" s="1172"/>
      <c r="D200" s="1172"/>
      <c r="E200" s="1172"/>
      <c r="F200" s="1173"/>
      <c r="G200" s="1174"/>
      <c r="H200" s="1175"/>
      <c r="I200" s="1176"/>
      <c r="J200" s="1177"/>
      <c r="K200" s="1547"/>
      <c r="L200" s="1177"/>
      <c r="M200" s="1548"/>
      <c r="N200" s="1549"/>
      <c r="O200" s="1178"/>
      <c r="P200" s="1179"/>
      <c r="Q200" s="1171"/>
      <c r="R200" s="104"/>
      <c r="S200" s="1172"/>
      <c r="T200" s="1172"/>
      <c r="U200" s="1172"/>
      <c r="V200" s="1173"/>
      <c r="W200" s="1174"/>
      <c r="X200" s="1175"/>
      <c r="Y200" s="1176"/>
      <c r="Z200" s="1177"/>
      <c r="AA200" s="1547"/>
      <c r="AB200" s="1177"/>
      <c r="AC200" s="1548"/>
      <c r="AD200" s="1549"/>
      <c r="AE200" s="1178"/>
      <c r="AF200" s="1179"/>
      <c r="AG200" s="1171"/>
      <c r="AH200" s="104"/>
      <c r="AI200" s="1172"/>
      <c r="AJ200" s="1172"/>
      <c r="AK200" s="1172"/>
      <c r="AL200" s="1173"/>
      <c r="AM200" s="1174"/>
      <c r="AN200" s="1175"/>
      <c r="AO200" s="1176"/>
      <c r="AP200" s="1177"/>
      <c r="AQ200" s="1547"/>
      <c r="AR200" s="1177"/>
      <c r="AS200" s="1548"/>
      <c r="AT200" s="1549"/>
      <c r="AU200" s="1178"/>
      <c r="AV200" s="1179"/>
      <c r="AY200" s="3">
        <v>1</v>
      </c>
    </row>
    <row r="201" spans="2:51" ht="27" customHeight="1">
      <c r="B201" s="104"/>
      <c r="C201" s="1172"/>
      <c r="D201" s="1172"/>
      <c r="E201" s="1172"/>
      <c r="F201" s="1173"/>
      <c r="G201" s="1174"/>
      <c r="H201" s="1175"/>
      <c r="I201" s="1176"/>
      <c r="J201" s="1177"/>
      <c r="K201" s="1547"/>
      <c r="L201" s="1177"/>
      <c r="M201" s="1548"/>
      <c r="N201" s="1549"/>
      <c r="O201" s="1178"/>
      <c r="P201" s="1179"/>
      <c r="Q201" s="1171"/>
      <c r="R201" s="104"/>
      <c r="S201" s="1172"/>
      <c r="T201" s="1172"/>
      <c r="U201" s="1172"/>
      <c r="V201" s="1173"/>
      <c r="W201" s="1174"/>
      <c r="X201" s="1175"/>
      <c r="Y201" s="1176"/>
      <c r="Z201" s="1177"/>
      <c r="AA201" s="1547"/>
      <c r="AB201" s="1177"/>
      <c r="AC201" s="1548"/>
      <c r="AD201" s="1549"/>
      <c r="AE201" s="1178"/>
      <c r="AF201" s="1179"/>
      <c r="AG201" s="1171"/>
      <c r="AH201" s="104"/>
      <c r="AI201" s="1172"/>
      <c r="AJ201" s="1172"/>
      <c r="AK201" s="1172"/>
      <c r="AL201" s="1173"/>
      <c r="AM201" s="1174"/>
      <c r="AN201" s="1175"/>
      <c r="AO201" s="1176"/>
      <c r="AP201" s="1177"/>
      <c r="AQ201" s="1547"/>
      <c r="AR201" s="1177"/>
      <c r="AS201" s="1548"/>
      <c r="AT201" s="1549"/>
      <c r="AU201" s="1178"/>
      <c r="AV201" s="1179"/>
      <c r="AY201" s="3">
        <v>1</v>
      </c>
    </row>
    <row r="202" spans="2:51" ht="27" customHeight="1">
      <c r="B202" s="104"/>
      <c r="C202" s="1172"/>
      <c r="D202" s="1172"/>
      <c r="E202" s="1172"/>
      <c r="F202" s="1173"/>
      <c r="G202" s="1174"/>
      <c r="H202" s="1175"/>
      <c r="I202" s="1176"/>
      <c r="J202" s="1177"/>
      <c r="K202" s="1547"/>
      <c r="L202" s="1177"/>
      <c r="M202" s="1548"/>
      <c r="N202" s="1549"/>
      <c r="O202" s="1178"/>
      <c r="P202" s="1179"/>
      <c r="Q202" s="1171"/>
      <c r="R202" s="104"/>
      <c r="S202" s="1172"/>
      <c r="T202" s="1172"/>
      <c r="U202" s="1172"/>
      <c r="V202" s="1173"/>
      <c r="W202" s="1174"/>
      <c r="X202" s="1175"/>
      <c r="Y202" s="1176"/>
      <c r="Z202" s="1177"/>
      <c r="AA202" s="1547"/>
      <c r="AB202" s="1177"/>
      <c r="AC202" s="1548"/>
      <c r="AD202" s="1549"/>
      <c r="AE202" s="1178"/>
      <c r="AF202" s="1179"/>
      <c r="AG202" s="1171"/>
      <c r="AH202" s="104"/>
      <c r="AI202" s="1172"/>
      <c r="AJ202" s="1172"/>
      <c r="AK202" s="1172"/>
      <c r="AL202" s="1173"/>
      <c r="AM202" s="1174"/>
      <c r="AN202" s="1175"/>
      <c r="AO202" s="1176"/>
      <c r="AP202" s="1177"/>
      <c r="AQ202" s="1547"/>
      <c r="AR202" s="1177"/>
      <c r="AS202" s="1548"/>
      <c r="AT202" s="1549"/>
      <c r="AU202" s="1178"/>
      <c r="AV202" s="1179"/>
      <c r="AY202" s="3">
        <v>1</v>
      </c>
    </row>
    <row r="203" spans="2:51" ht="27" customHeight="1">
      <c r="B203" s="104"/>
      <c r="C203" s="1172"/>
      <c r="D203" s="1172"/>
      <c r="E203" s="1172"/>
      <c r="F203" s="1173"/>
      <c r="G203" s="1174"/>
      <c r="H203" s="1175"/>
      <c r="I203" s="1176"/>
      <c r="J203" s="1177"/>
      <c r="K203" s="1547"/>
      <c r="L203" s="1177"/>
      <c r="M203" s="1548"/>
      <c r="N203" s="1549"/>
      <c r="O203" s="1178"/>
      <c r="P203" s="1179"/>
      <c r="Q203" s="1171"/>
      <c r="R203" s="104"/>
      <c r="S203" s="1172"/>
      <c r="T203" s="1172"/>
      <c r="U203" s="1172"/>
      <c r="V203" s="1173"/>
      <c r="W203" s="1174"/>
      <c r="X203" s="1175"/>
      <c r="Y203" s="1176"/>
      <c r="Z203" s="1177"/>
      <c r="AA203" s="1547"/>
      <c r="AB203" s="1177"/>
      <c r="AC203" s="1548"/>
      <c r="AD203" s="1549"/>
      <c r="AE203" s="1178"/>
      <c r="AF203" s="1179"/>
      <c r="AG203" s="1171"/>
      <c r="AH203" s="104"/>
      <c r="AI203" s="1172"/>
      <c r="AJ203" s="1172"/>
      <c r="AK203" s="1172"/>
      <c r="AL203" s="1173"/>
      <c r="AM203" s="1174"/>
      <c r="AN203" s="1175"/>
      <c r="AO203" s="1176"/>
      <c r="AP203" s="1177"/>
      <c r="AQ203" s="1547"/>
      <c r="AR203" s="1177"/>
      <c r="AS203" s="1548"/>
      <c r="AT203" s="1549"/>
      <c r="AU203" s="1178"/>
      <c r="AV203" s="1179"/>
      <c r="AY203" s="3">
        <v>1</v>
      </c>
    </row>
    <row r="204" spans="2:51" ht="27" customHeight="1">
      <c r="B204" s="104"/>
      <c r="C204" s="1172"/>
      <c r="D204" s="1172"/>
      <c r="E204" s="1172"/>
      <c r="F204" s="1173"/>
      <c r="G204" s="1174"/>
      <c r="H204" s="1175"/>
      <c r="I204" s="1176"/>
      <c r="J204" s="1177"/>
      <c r="K204" s="1547"/>
      <c r="L204" s="1177"/>
      <c r="M204" s="1548"/>
      <c r="N204" s="1549"/>
      <c r="O204" s="1178"/>
      <c r="P204" s="1179"/>
      <c r="Q204" s="1171"/>
      <c r="R204" s="104"/>
      <c r="S204" s="1172"/>
      <c r="T204" s="1172"/>
      <c r="U204" s="1172"/>
      <c r="V204" s="1173"/>
      <c r="W204" s="1174"/>
      <c r="X204" s="1175"/>
      <c r="Y204" s="1176"/>
      <c r="Z204" s="1177"/>
      <c r="AA204" s="1547"/>
      <c r="AB204" s="1177"/>
      <c r="AC204" s="1548"/>
      <c r="AD204" s="1549"/>
      <c r="AE204" s="1178"/>
      <c r="AF204" s="1179"/>
      <c r="AG204" s="1171"/>
      <c r="AH204" s="104"/>
      <c r="AI204" s="1172"/>
      <c r="AJ204" s="1172"/>
      <c r="AK204" s="1172"/>
      <c r="AL204" s="1173"/>
      <c r="AM204" s="1174"/>
      <c r="AN204" s="1175"/>
      <c r="AO204" s="1176"/>
      <c r="AP204" s="1177"/>
      <c r="AQ204" s="1547"/>
      <c r="AR204" s="1177"/>
      <c r="AS204" s="1548"/>
      <c r="AT204" s="1549"/>
      <c r="AU204" s="1178"/>
      <c r="AV204" s="1179"/>
      <c r="AY204" s="3">
        <v>1</v>
      </c>
    </row>
    <row r="205" spans="2:51" ht="27" customHeight="1">
      <c r="B205" s="104"/>
      <c r="C205" s="1172"/>
      <c r="D205" s="1172"/>
      <c r="E205" s="1172"/>
      <c r="F205" s="1173"/>
      <c r="G205" s="1174"/>
      <c r="H205" s="1175"/>
      <c r="I205" s="1176"/>
      <c r="J205" s="1177"/>
      <c r="K205" s="1547"/>
      <c r="L205" s="1177"/>
      <c r="M205" s="1548"/>
      <c r="N205" s="1549"/>
      <c r="O205" s="1178"/>
      <c r="P205" s="1179"/>
      <c r="Q205" s="1171"/>
      <c r="R205" s="104"/>
      <c r="S205" s="1172"/>
      <c r="T205" s="1172"/>
      <c r="U205" s="1172"/>
      <c r="V205" s="1173"/>
      <c r="W205" s="1174"/>
      <c r="X205" s="1175"/>
      <c r="Y205" s="1176"/>
      <c r="Z205" s="1177"/>
      <c r="AA205" s="1547"/>
      <c r="AB205" s="1177"/>
      <c r="AC205" s="1548"/>
      <c r="AD205" s="1549"/>
      <c r="AE205" s="1178"/>
      <c r="AF205" s="1179"/>
      <c r="AG205" s="1171"/>
      <c r="AH205" s="104"/>
      <c r="AI205" s="1172"/>
      <c r="AJ205" s="1172"/>
      <c r="AK205" s="1172"/>
      <c r="AL205" s="1173"/>
      <c r="AM205" s="1174"/>
      <c r="AN205" s="1175"/>
      <c r="AO205" s="1176"/>
      <c r="AP205" s="1177"/>
      <c r="AQ205" s="1547"/>
      <c r="AR205" s="1177"/>
      <c r="AS205" s="1548"/>
      <c r="AT205" s="1549"/>
      <c r="AU205" s="1178"/>
      <c r="AV205" s="1179"/>
      <c r="AY205" s="3">
        <v>1</v>
      </c>
    </row>
    <row r="206" spans="2:51" ht="27" customHeight="1">
      <c r="B206" s="104"/>
      <c r="C206" s="1172"/>
      <c r="D206" s="1172"/>
      <c r="E206" s="1172"/>
      <c r="F206" s="1173"/>
      <c r="G206" s="1174"/>
      <c r="H206" s="1175"/>
      <c r="I206" s="1176"/>
      <c r="J206" s="1177"/>
      <c r="K206" s="1547"/>
      <c r="L206" s="1177"/>
      <c r="M206" s="1548"/>
      <c r="N206" s="1549"/>
      <c r="O206" s="1178"/>
      <c r="P206" s="1179"/>
      <c r="Q206" s="1171"/>
      <c r="R206" s="104"/>
      <c r="S206" s="1172"/>
      <c r="T206" s="1172"/>
      <c r="U206" s="1172"/>
      <c r="V206" s="1173"/>
      <c r="W206" s="1174"/>
      <c r="X206" s="1175"/>
      <c r="Y206" s="1176"/>
      <c r="Z206" s="1177"/>
      <c r="AA206" s="1547"/>
      <c r="AB206" s="1177"/>
      <c r="AC206" s="1548"/>
      <c r="AD206" s="1549"/>
      <c r="AE206" s="1178"/>
      <c r="AF206" s="1179"/>
      <c r="AG206" s="1171"/>
      <c r="AH206" s="104"/>
      <c r="AI206" s="1172"/>
      <c r="AJ206" s="1172"/>
      <c r="AK206" s="1172"/>
      <c r="AL206" s="1173"/>
      <c r="AM206" s="1174"/>
      <c r="AN206" s="1175"/>
      <c r="AO206" s="1176"/>
      <c r="AP206" s="1177"/>
      <c r="AQ206" s="1547"/>
      <c r="AR206" s="1177"/>
      <c r="AS206" s="1548"/>
      <c r="AT206" s="1549"/>
      <c r="AU206" s="1178"/>
      <c r="AV206" s="1179"/>
      <c r="AY206" s="3">
        <v>1</v>
      </c>
    </row>
    <row r="207" spans="2:51" ht="27" customHeight="1">
      <c r="B207" s="104"/>
      <c r="C207" s="1172"/>
      <c r="D207" s="1172"/>
      <c r="E207" s="1172"/>
      <c r="F207" s="1173"/>
      <c r="G207" s="1174"/>
      <c r="H207" s="1175"/>
      <c r="I207" s="1176"/>
      <c r="J207" s="1177"/>
      <c r="K207" s="1547"/>
      <c r="L207" s="1177"/>
      <c r="M207" s="1548"/>
      <c r="N207" s="1549"/>
      <c r="O207" s="1178"/>
      <c r="P207" s="1179"/>
      <c r="Q207" s="1171"/>
      <c r="R207" s="104"/>
      <c r="S207" s="1172"/>
      <c r="T207" s="1172"/>
      <c r="U207" s="1172"/>
      <c r="V207" s="1173"/>
      <c r="W207" s="1174"/>
      <c r="X207" s="1175"/>
      <c r="Y207" s="1176"/>
      <c r="Z207" s="1177"/>
      <c r="AA207" s="1547"/>
      <c r="AB207" s="1177"/>
      <c r="AC207" s="1548"/>
      <c r="AD207" s="1549"/>
      <c r="AE207" s="1178"/>
      <c r="AF207" s="1179"/>
      <c r="AG207" s="1171"/>
      <c r="AH207" s="104"/>
      <c r="AI207" s="1172"/>
      <c r="AJ207" s="1172"/>
      <c r="AK207" s="1172"/>
      <c r="AL207" s="1173"/>
      <c r="AM207" s="1174"/>
      <c r="AN207" s="1175"/>
      <c r="AO207" s="1176"/>
      <c r="AP207" s="1177"/>
      <c r="AQ207" s="1547"/>
      <c r="AR207" s="1177"/>
      <c r="AS207" s="1548"/>
      <c r="AT207" s="1549"/>
      <c r="AU207" s="1178"/>
      <c r="AV207" s="1179"/>
      <c r="AY207" s="3">
        <v>1</v>
      </c>
    </row>
    <row r="208" spans="2:51" ht="27" customHeight="1">
      <c r="B208" s="104"/>
      <c r="C208" s="1172"/>
      <c r="D208" s="1172"/>
      <c r="E208" s="1172"/>
      <c r="F208" s="1173"/>
      <c r="G208" s="1174"/>
      <c r="H208" s="1175"/>
      <c r="I208" s="1176"/>
      <c r="J208" s="1177"/>
      <c r="K208" s="1547"/>
      <c r="L208" s="1177"/>
      <c r="M208" s="1548"/>
      <c r="N208" s="1549"/>
      <c r="O208" s="1178"/>
      <c r="P208" s="1179"/>
      <c r="Q208" s="1171"/>
      <c r="R208" s="104"/>
      <c r="S208" s="1172"/>
      <c r="T208" s="1172"/>
      <c r="U208" s="1172"/>
      <c r="V208" s="1173"/>
      <c r="W208" s="1174"/>
      <c r="X208" s="1175"/>
      <c r="Y208" s="1176"/>
      <c r="Z208" s="1177"/>
      <c r="AA208" s="1547"/>
      <c r="AB208" s="1177"/>
      <c r="AC208" s="1548"/>
      <c r="AD208" s="1549"/>
      <c r="AE208" s="1178"/>
      <c r="AF208" s="1179"/>
      <c r="AG208" s="1171"/>
      <c r="AH208" s="104"/>
      <c r="AI208" s="1172"/>
      <c r="AJ208" s="1172"/>
      <c r="AK208" s="1172"/>
      <c r="AL208" s="1173"/>
      <c r="AM208" s="1174"/>
      <c r="AN208" s="1175"/>
      <c r="AO208" s="1176"/>
      <c r="AP208" s="1177"/>
      <c r="AQ208" s="1547"/>
      <c r="AR208" s="1177"/>
      <c r="AS208" s="1548"/>
      <c r="AT208" s="1549"/>
      <c r="AU208" s="1178"/>
      <c r="AV208" s="1179"/>
      <c r="AY208" s="3">
        <v>1</v>
      </c>
    </row>
    <row r="209" spans="2:51" ht="27" customHeight="1">
      <c r="B209" s="104"/>
      <c r="C209" s="1172"/>
      <c r="D209" s="1172"/>
      <c r="E209" s="1172"/>
      <c r="F209" s="1173"/>
      <c r="G209" s="1174"/>
      <c r="H209" s="1175"/>
      <c r="I209" s="1176"/>
      <c r="J209" s="1177"/>
      <c r="K209" s="1547"/>
      <c r="L209" s="1177"/>
      <c r="M209" s="1548"/>
      <c r="N209" s="1549"/>
      <c r="O209" s="1178"/>
      <c r="P209" s="1179"/>
      <c r="Q209" s="1171"/>
      <c r="R209" s="104"/>
      <c r="S209" s="1172"/>
      <c r="T209" s="1172"/>
      <c r="U209" s="1172"/>
      <c r="V209" s="1173"/>
      <c r="W209" s="1174"/>
      <c r="X209" s="1175"/>
      <c r="Y209" s="1176"/>
      <c r="Z209" s="1177"/>
      <c r="AA209" s="1547"/>
      <c r="AB209" s="1177"/>
      <c r="AC209" s="1548"/>
      <c r="AD209" s="1549"/>
      <c r="AE209" s="1178"/>
      <c r="AF209" s="1179"/>
      <c r="AG209" s="1171"/>
      <c r="AH209" s="104"/>
      <c r="AI209" s="1172"/>
      <c r="AJ209" s="1172"/>
      <c r="AK209" s="1172"/>
      <c r="AL209" s="1173"/>
      <c r="AM209" s="1174"/>
      <c r="AN209" s="1175"/>
      <c r="AO209" s="1176"/>
      <c r="AP209" s="1177"/>
      <c r="AQ209" s="1547"/>
      <c r="AR209" s="1177"/>
      <c r="AS209" s="1548"/>
      <c r="AT209" s="1549"/>
      <c r="AU209" s="1178"/>
      <c r="AV209" s="1179"/>
      <c r="AY209" s="3">
        <v>1</v>
      </c>
    </row>
    <row r="210" spans="2:51" ht="27" customHeight="1">
      <c r="B210" s="104"/>
      <c r="C210" s="1172"/>
      <c r="D210" s="1172"/>
      <c r="E210" s="1172"/>
      <c r="F210" s="1173"/>
      <c r="G210" s="1174"/>
      <c r="H210" s="1175"/>
      <c r="I210" s="1176"/>
      <c r="J210" s="1177"/>
      <c r="K210" s="1547"/>
      <c r="L210" s="1177"/>
      <c r="M210" s="1548"/>
      <c r="N210" s="1549"/>
      <c r="O210" s="1178"/>
      <c r="P210" s="1179"/>
      <c r="Q210" s="1171"/>
      <c r="R210" s="104"/>
      <c r="S210" s="1172"/>
      <c r="T210" s="1172"/>
      <c r="U210" s="1172"/>
      <c r="V210" s="1173"/>
      <c r="W210" s="1174"/>
      <c r="X210" s="1175"/>
      <c r="Y210" s="1176"/>
      <c r="Z210" s="1177"/>
      <c r="AA210" s="1547"/>
      <c r="AB210" s="1177"/>
      <c r="AC210" s="1548"/>
      <c r="AD210" s="1549"/>
      <c r="AE210" s="1178"/>
      <c r="AF210" s="1179"/>
      <c r="AG210" s="1171"/>
      <c r="AH210" s="104"/>
      <c r="AI210" s="1172"/>
      <c r="AJ210" s="1172"/>
      <c r="AK210" s="1172"/>
      <c r="AL210" s="1173"/>
      <c r="AM210" s="1174"/>
      <c r="AN210" s="1175"/>
      <c r="AO210" s="1176"/>
      <c r="AP210" s="1177"/>
      <c r="AQ210" s="1547"/>
      <c r="AR210" s="1177"/>
      <c r="AS210" s="1548"/>
      <c r="AT210" s="1549"/>
      <c r="AU210" s="1178"/>
      <c r="AV210" s="1179"/>
      <c r="AY210" s="3">
        <v>1</v>
      </c>
    </row>
    <row r="211" spans="2:51" ht="27" customHeight="1">
      <c r="B211" s="104"/>
      <c r="C211" s="1172"/>
      <c r="D211" s="1172"/>
      <c r="E211" s="1172"/>
      <c r="F211" s="1173"/>
      <c r="G211" s="1174"/>
      <c r="H211" s="1175"/>
      <c r="I211" s="1176"/>
      <c r="J211" s="1177"/>
      <c r="K211" s="1547"/>
      <c r="L211" s="1177"/>
      <c r="M211" s="1548"/>
      <c r="N211" s="1549"/>
      <c r="O211" s="1178"/>
      <c r="P211" s="1179"/>
      <c r="Q211" s="1171"/>
      <c r="R211" s="104"/>
      <c r="S211" s="1172"/>
      <c r="T211" s="1172"/>
      <c r="U211" s="1172"/>
      <c r="V211" s="1173"/>
      <c r="W211" s="1174"/>
      <c r="X211" s="1175"/>
      <c r="Y211" s="1176"/>
      <c r="Z211" s="1177"/>
      <c r="AA211" s="1547"/>
      <c r="AB211" s="1177"/>
      <c r="AC211" s="1548"/>
      <c r="AD211" s="1549"/>
      <c r="AE211" s="1178"/>
      <c r="AF211" s="1179"/>
      <c r="AG211" s="1171"/>
      <c r="AH211" s="104"/>
      <c r="AI211" s="1172"/>
      <c r="AJ211" s="1172"/>
      <c r="AK211" s="1172"/>
      <c r="AL211" s="1173"/>
      <c r="AM211" s="1174"/>
      <c r="AN211" s="1175"/>
      <c r="AO211" s="1176"/>
      <c r="AP211" s="1177"/>
      <c r="AQ211" s="1547"/>
      <c r="AR211" s="1177"/>
      <c r="AS211" s="1548"/>
      <c r="AT211" s="1549"/>
      <c r="AU211" s="1178"/>
      <c r="AV211" s="1179"/>
      <c r="AY211" s="3">
        <v>1</v>
      </c>
    </row>
    <row r="212" spans="2:51" ht="27" customHeight="1">
      <c r="B212" s="104"/>
      <c r="C212" s="1172"/>
      <c r="D212" s="1172"/>
      <c r="E212" s="1172"/>
      <c r="F212" s="1173"/>
      <c r="G212" s="1174"/>
      <c r="H212" s="1175"/>
      <c r="I212" s="1176"/>
      <c r="J212" s="1177"/>
      <c r="K212" s="1547"/>
      <c r="L212" s="1177"/>
      <c r="M212" s="1548"/>
      <c r="N212" s="1549"/>
      <c r="O212" s="1178"/>
      <c r="P212" s="1179"/>
      <c r="Q212" s="1171"/>
      <c r="R212" s="104"/>
      <c r="S212" s="1172"/>
      <c r="T212" s="1172"/>
      <c r="U212" s="1172"/>
      <c r="V212" s="1173"/>
      <c r="W212" s="1174"/>
      <c r="X212" s="1175"/>
      <c r="Y212" s="1176"/>
      <c r="Z212" s="1177"/>
      <c r="AA212" s="1547"/>
      <c r="AB212" s="1177"/>
      <c r="AC212" s="1548"/>
      <c r="AD212" s="1549"/>
      <c r="AE212" s="1178"/>
      <c r="AF212" s="1179"/>
      <c r="AG212" s="1171"/>
      <c r="AH212" s="104"/>
      <c r="AI212" s="1172"/>
      <c r="AJ212" s="1172"/>
      <c r="AK212" s="1172"/>
      <c r="AL212" s="1173"/>
      <c r="AM212" s="1174"/>
      <c r="AN212" s="1175"/>
      <c r="AO212" s="1176"/>
      <c r="AP212" s="1177"/>
      <c r="AQ212" s="1547"/>
      <c r="AR212" s="1177"/>
      <c r="AS212" s="1548"/>
      <c r="AT212" s="1549"/>
      <c r="AU212" s="1178"/>
      <c r="AV212" s="1179"/>
      <c r="AY212" s="3">
        <v>1</v>
      </c>
    </row>
    <row r="213" spans="2:51" ht="27" customHeight="1">
      <c r="B213" s="104"/>
      <c r="C213" s="1172"/>
      <c r="D213" s="1172"/>
      <c r="E213" s="1172"/>
      <c r="F213" s="1173"/>
      <c r="G213" s="1174"/>
      <c r="H213" s="1175"/>
      <c r="I213" s="1176"/>
      <c r="J213" s="1177"/>
      <c r="K213" s="1547"/>
      <c r="L213" s="1177"/>
      <c r="M213" s="1548"/>
      <c r="N213" s="1549"/>
      <c r="O213" s="1178"/>
      <c r="P213" s="1179"/>
      <c r="Q213" s="1171"/>
      <c r="R213" s="104"/>
      <c r="S213" s="1172"/>
      <c r="T213" s="1172"/>
      <c r="U213" s="1172"/>
      <c r="V213" s="1173"/>
      <c r="W213" s="1174"/>
      <c r="X213" s="1175"/>
      <c r="Y213" s="1176"/>
      <c r="Z213" s="1177"/>
      <c r="AA213" s="1547"/>
      <c r="AB213" s="1177"/>
      <c r="AC213" s="1548"/>
      <c r="AD213" s="1549"/>
      <c r="AE213" s="1178"/>
      <c r="AF213" s="1179"/>
      <c r="AG213" s="1171"/>
      <c r="AH213" s="104"/>
      <c r="AI213" s="1172"/>
      <c r="AJ213" s="1172"/>
      <c r="AK213" s="1172"/>
      <c r="AL213" s="1173"/>
      <c r="AM213" s="1174"/>
      <c r="AN213" s="1175"/>
      <c r="AO213" s="1176"/>
      <c r="AP213" s="1177"/>
      <c r="AQ213" s="1547"/>
      <c r="AR213" s="1177"/>
      <c r="AS213" s="1548"/>
      <c r="AT213" s="1549"/>
      <c r="AU213" s="1178"/>
      <c r="AV213" s="1179"/>
      <c r="AY213" s="3">
        <v>1</v>
      </c>
    </row>
    <row r="214" spans="2:51" ht="27" customHeight="1">
      <c r="B214" s="104"/>
      <c r="C214" s="1172"/>
      <c r="D214" s="1172"/>
      <c r="E214" s="1172"/>
      <c r="F214" s="1173"/>
      <c r="G214" s="1174"/>
      <c r="H214" s="1175"/>
      <c r="I214" s="1176"/>
      <c r="J214" s="1177"/>
      <c r="K214" s="1547"/>
      <c r="L214" s="1177"/>
      <c r="M214" s="1548"/>
      <c r="N214" s="1549"/>
      <c r="O214" s="1178"/>
      <c r="P214" s="1179"/>
      <c r="Q214" s="1171"/>
      <c r="R214" s="104"/>
      <c r="S214" s="1172"/>
      <c r="T214" s="1172"/>
      <c r="U214" s="1172"/>
      <c r="V214" s="1173"/>
      <c r="W214" s="1174"/>
      <c r="X214" s="1175"/>
      <c r="Y214" s="1176"/>
      <c r="Z214" s="1177"/>
      <c r="AA214" s="1547"/>
      <c r="AB214" s="1177"/>
      <c r="AC214" s="1548"/>
      <c r="AD214" s="1549"/>
      <c r="AE214" s="1178"/>
      <c r="AF214" s="1179"/>
      <c r="AG214" s="1171"/>
      <c r="AH214" s="104"/>
      <c r="AI214" s="1172"/>
      <c r="AJ214" s="1172"/>
      <c r="AK214" s="1172"/>
      <c r="AL214" s="1173"/>
      <c r="AM214" s="1174"/>
      <c r="AN214" s="1175"/>
      <c r="AO214" s="1176"/>
      <c r="AP214" s="1177"/>
      <c r="AQ214" s="1547"/>
      <c r="AR214" s="1177"/>
      <c r="AS214" s="1548"/>
      <c r="AT214" s="1549"/>
      <c r="AU214" s="1178"/>
      <c r="AV214" s="1179"/>
      <c r="AY214" s="3">
        <v>1</v>
      </c>
    </row>
    <row r="215" spans="2:51" ht="27" customHeight="1">
      <c r="B215" s="104"/>
      <c r="C215" s="1172"/>
      <c r="D215" s="1172"/>
      <c r="E215" s="1172"/>
      <c r="F215" s="1173"/>
      <c r="G215" s="1174"/>
      <c r="H215" s="1175"/>
      <c r="I215" s="1176"/>
      <c r="J215" s="1177"/>
      <c r="K215" s="1547"/>
      <c r="L215" s="1177"/>
      <c r="M215" s="1548"/>
      <c r="N215" s="1549"/>
      <c r="O215" s="1178"/>
      <c r="P215" s="1179"/>
      <c r="Q215" s="1171"/>
      <c r="R215" s="104"/>
      <c r="S215" s="1172"/>
      <c r="T215" s="1172"/>
      <c r="U215" s="1172"/>
      <c r="V215" s="1173"/>
      <c r="W215" s="1174"/>
      <c r="X215" s="1175"/>
      <c r="Y215" s="1176"/>
      <c r="Z215" s="1177"/>
      <c r="AA215" s="1547"/>
      <c r="AB215" s="1177"/>
      <c r="AC215" s="1548"/>
      <c r="AD215" s="1549"/>
      <c r="AE215" s="1178"/>
      <c r="AF215" s="1179"/>
      <c r="AG215" s="1171"/>
      <c r="AH215" s="104"/>
      <c r="AI215" s="1172"/>
      <c r="AJ215" s="1172"/>
      <c r="AK215" s="1172"/>
      <c r="AL215" s="1173"/>
      <c r="AM215" s="1174"/>
      <c r="AN215" s="1175"/>
      <c r="AO215" s="1176"/>
      <c r="AP215" s="1177"/>
      <c r="AQ215" s="1547"/>
      <c r="AR215" s="1177"/>
      <c r="AS215" s="1548"/>
      <c r="AT215" s="1549"/>
      <c r="AU215" s="1178"/>
      <c r="AV215" s="1179"/>
      <c r="AY215" s="3">
        <v>1</v>
      </c>
    </row>
    <row r="216" spans="2:51" ht="27" customHeight="1">
      <c r="B216" s="104"/>
      <c r="C216" s="1172"/>
      <c r="D216" s="1172"/>
      <c r="E216" s="1172"/>
      <c r="F216" s="1173"/>
      <c r="G216" s="1174"/>
      <c r="H216" s="1175"/>
      <c r="I216" s="1176"/>
      <c r="J216" s="1177"/>
      <c r="K216" s="1547"/>
      <c r="L216" s="1177"/>
      <c r="M216" s="1548"/>
      <c r="N216" s="1549"/>
      <c r="O216" s="1178"/>
      <c r="P216" s="1179"/>
      <c r="Q216" s="1171"/>
      <c r="R216" s="104"/>
      <c r="S216" s="1172"/>
      <c r="T216" s="1172"/>
      <c r="U216" s="1172"/>
      <c r="V216" s="1173"/>
      <c r="W216" s="1174"/>
      <c r="X216" s="1175"/>
      <c r="Y216" s="1176"/>
      <c r="Z216" s="1177"/>
      <c r="AA216" s="1547"/>
      <c r="AB216" s="1177"/>
      <c r="AC216" s="1548"/>
      <c r="AD216" s="1549"/>
      <c r="AE216" s="1178"/>
      <c r="AF216" s="1179"/>
      <c r="AG216" s="1171"/>
      <c r="AH216" s="104"/>
      <c r="AI216" s="1172"/>
      <c r="AJ216" s="1172"/>
      <c r="AK216" s="1172"/>
      <c r="AL216" s="1173"/>
      <c r="AM216" s="1174"/>
      <c r="AN216" s="1175"/>
      <c r="AO216" s="1176"/>
      <c r="AP216" s="1177"/>
      <c r="AQ216" s="1547"/>
      <c r="AR216" s="1177"/>
      <c r="AS216" s="1548"/>
      <c r="AT216" s="1549"/>
      <c r="AU216" s="1178"/>
      <c r="AV216" s="1179"/>
      <c r="AY216" s="3">
        <v>1</v>
      </c>
    </row>
    <row r="217" spans="2:51" ht="27" customHeight="1">
      <c r="B217" s="104"/>
      <c r="C217" s="1172"/>
      <c r="D217" s="1172"/>
      <c r="E217" s="1172"/>
      <c r="F217" s="1173"/>
      <c r="G217" s="1174"/>
      <c r="H217" s="1175"/>
      <c r="I217" s="1176"/>
      <c r="J217" s="1177"/>
      <c r="K217" s="1547"/>
      <c r="L217" s="1177"/>
      <c r="M217" s="1548"/>
      <c r="N217" s="1549"/>
      <c r="O217" s="1178"/>
      <c r="P217" s="1179"/>
      <c r="Q217" s="1171"/>
      <c r="R217" s="104"/>
      <c r="S217" s="1172"/>
      <c r="T217" s="1172"/>
      <c r="U217" s="1172"/>
      <c r="V217" s="1173"/>
      <c r="W217" s="1174"/>
      <c r="X217" s="1175"/>
      <c r="Y217" s="1176"/>
      <c r="Z217" s="1177"/>
      <c r="AA217" s="1547"/>
      <c r="AB217" s="1177"/>
      <c r="AC217" s="1548"/>
      <c r="AD217" s="1549"/>
      <c r="AE217" s="1178"/>
      <c r="AF217" s="1179"/>
      <c r="AG217" s="1171"/>
      <c r="AH217" s="104"/>
      <c r="AI217" s="1172"/>
      <c r="AJ217" s="1172"/>
      <c r="AK217" s="1172"/>
      <c r="AL217" s="1173"/>
      <c r="AM217" s="1174"/>
      <c r="AN217" s="1175"/>
      <c r="AO217" s="1176"/>
      <c r="AP217" s="1177"/>
      <c r="AQ217" s="1547"/>
      <c r="AR217" s="1177"/>
      <c r="AS217" s="1548"/>
      <c r="AT217" s="1549"/>
      <c r="AU217" s="1178"/>
      <c r="AV217" s="1179"/>
      <c r="AY217" s="3">
        <v>1</v>
      </c>
    </row>
    <row r="218" spans="2:51" ht="27" customHeight="1">
      <c r="B218" s="104"/>
      <c r="C218" s="1172"/>
      <c r="D218" s="1172"/>
      <c r="E218" s="1172"/>
      <c r="F218" s="1173"/>
      <c r="G218" s="1174"/>
      <c r="H218" s="1175"/>
      <c r="I218" s="1176"/>
      <c r="J218" s="1177"/>
      <c r="K218" s="1547"/>
      <c r="L218" s="1177"/>
      <c r="M218" s="1548"/>
      <c r="N218" s="1549"/>
      <c r="O218" s="1178"/>
      <c r="P218" s="1179"/>
      <c r="Q218" s="1171"/>
      <c r="R218" s="104"/>
      <c r="S218" s="1172"/>
      <c r="T218" s="1172"/>
      <c r="U218" s="1172"/>
      <c r="V218" s="1173"/>
      <c r="W218" s="1174"/>
      <c r="X218" s="1175"/>
      <c r="Y218" s="1176"/>
      <c r="Z218" s="1177"/>
      <c r="AA218" s="1547"/>
      <c r="AB218" s="1177"/>
      <c r="AC218" s="1548"/>
      <c r="AD218" s="1549"/>
      <c r="AE218" s="1178"/>
      <c r="AF218" s="1179"/>
      <c r="AG218" s="1171"/>
      <c r="AH218" s="104"/>
      <c r="AI218" s="1172"/>
      <c r="AJ218" s="1172"/>
      <c r="AK218" s="1172"/>
      <c r="AL218" s="1173"/>
      <c r="AM218" s="1174"/>
      <c r="AN218" s="1175"/>
      <c r="AO218" s="1176"/>
      <c r="AP218" s="1177"/>
      <c r="AQ218" s="1547"/>
      <c r="AR218" s="1177"/>
      <c r="AS218" s="1548"/>
      <c r="AT218" s="1549"/>
      <c r="AU218" s="1178"/>
      <c r="AV218" s="1179"/>
      <c r="AY218" s="3">
        <v>1</v>
      </c>
    </row>
    <row r="219" spans="2:51" ht="27" customHeight="1">
      <c r="B219" s="104"/>
      <c r="C219" s="1172"/>
      <c r="D219" s="1172"/>
      <c r="E219" s="1172"/>
      <c r="F219" s="1173"/>
      <c r="G219" s="1174"/>
      <c r="H219" s="1175"/>
      <c r="I219" s="1176"/>
      <c r="J219" s="1177"/>
      <c r="K219" s="1547"/>
      <c r="L219" s="1177"/>
      <c r="M219" s="1548"/>
      <c r="N219" s="1549"/>
      <c r="O219" s="1178"/>
      <c r="P219" s="1179"/>
      <c r="Q219" s="1171"/>
      <c r="R219" s="104"/>
      <c r="S219" s="1172"/>
      <c r="T219" s="1172"/>
      <c r="U219" s="1172"/>
      <c r="V219" s="1173"/>
      <c r="W219" s="1174"/>
      <c r="X219" s="1175"/>
      <c r="Y219" s="1176"/>
      <c r="Z219" s="1177"/>
      <c r="AA219" s="1547"/>
      <c r="AB219" s="1177"/>
      <c r="AC219" s="1548"/>
      <c r="AD219" s="1549"/>
      <c r="AE219" s="1178"/>
      <c r="AF219" s="1179"/>
      <c r="AG219" s="1171"/>
      <c r="AH219" s="104"/>
      <c r="AI219" s="1172"/>
      <c r="AJ219" s="1172"/>
      <c r="AK219" s="1172"/>
      <c r="AL219" s="1173"/>
      <c r="AM219" s="1174"/>
      <c r="AN219" s="1175"/>
      <c r="AO219" s="1176"/>
      <c r="AP219" s="1177"/>
      <c r="AQ219" s="1547"/>
      <c r="AR219" s="1177"/>
      <c r="AS219" s="1548"/>
      <c r="AT219" s="1549"/>
      <c r="AU219" s="1178"/>
      <c r="AV219" s="1179"/>
      <c r="AY219" s="3">
        <v>1</v>
      </c>
    </row>
    <row r="220" spans="2:51" ht="27" customHeight="1">
      <c r="B220" s="104"/>
      <c r="C220" s="1172"/>
      <c r="D220" s="1172"/>
      <c r="E220" s="1172"/>
      <c r="F220" s="1173"/>
      <c r="G220" s="1174"/>
      <c r="H220" s="1175"/>
      <c r="I220" s="1176"/>
      <c r="J220" s="1177"/>
      <c r="K220" s="1547"/>
      <c r="L220" s="1177"/>
      <c r="M220" s="1548"/>
      <c r="N220" s="1549"/>
      <c r="O220" s="1178"/>
      <c r="P220" s="1179"/>
      <c r="Q220" s="1171"/>
      <c r="R220" s="104"/>
      <c r="S220" s="1172"/>
      <c r="T220" s="1172"/>
      <c r="U220" s="1172"/>
      <c r="V220" s="1173"/>
      <c r="W220" s="1174"/>
      <c r="X220" s="1175"/>
      <c r="Y220" s="1176"/>
      <c r="Z220" s="1177"/>
      <c r="AA220" s="1547"/>
      <c r="AB220" s="1177"/>
      <c r="AC220" s="1548"/>
      <c r="AD220" s="1549"/>
      <c r="AE220" s="1178"/>
      <c r="AF220" s="1179"/>
      <c r="AG220" s="1171"/>
      <c r="AH220" s="104"/>
      <c r="AI220" s="1172"/>
      <c r="AJ220" s="1172"/>
      <c r="AK220" s="1172"/>
      <c r="AL220" s="1173"/>
      <c r="AM220" s="1174"/>
      <c r="AN220" s="1175"/>
      <c r="AO220" s="1176"/>
      <c r="AP220" s="1177"/>
      <c r="AQ220" s="1547"/>
      <c r="AR220" s="1177"/>
      <c r="AS220" s="1548"/>
      <c r="AT220" s="1549"/>
      <c r="AU220" s="1178"/>
      <c r="AV220" s="1179"/>
      <c r="AY220" s="3">
        <v>1</v>
      </c>
    </row>
    <row r="221" spans="2:51" ht="27" customHeight="1">
      <c r="B221" s="104"/>
      <c r="C221" s="1172"/>
      <c r="D221" s="1172"/>
      <c r="E221" s="1172"/>
      <c r="F221" s="1173"/>
      <c r="G221" s="1174"/>
      <c r="H221" s="1175"/>
      <c r="I221" s="1176"/>
      <c r="J221" s="1177"/>
      <c r="K221" s="1547"/>
      <c r="L221" s="1177"/>
      <c r="M221" s="1548"/>
      <c r="N221" s="1549"/>
      <c r="O221" s="1178"/>
      <c r="P221" s="1179"/>
      <c r="Q221" s="1171"/>
      <c r="R221" s="104"/>
      <c r="S221" s="1172"/>
      <c r="T221" s="1172"/>
      <c r="U221" s="1172"/>
      <c r="V221" s="1173"/>
      <c r="W221" s="1174"/>
      <c r="X221" s="1175"/>
      <c r="Y221" s="1176"/>
      <c r="Z221" s="1177"/>
      <c r="AA221" s="1547"/>
      <c r="AB221" s="1177"/>
      <c r="AC221" s="1548"/>
      <c r="AD221" s="1549"/>
      <c r="AE221" s="1178"/>
      <c r="AF221" s="1179"/>
      <c r="AG221" s="1171"/>
      <c r="AH221" s="104"/>
      <c r="AI221" s="1172"/>
      <c r="AJ221" s="1172"/>
      <c r="AK221" s="1172"/>
      <c r="AL221" s="1173"/>
      <c r="AM221" s="1174"/>
      <c r="AN221" s="1175"/>
      <c r="AO221" s="1176"/>
      <c r="AP221" s="1177"/>
      <c r="AQ221" s="1547"/>
      <c r="AR221" s="1177"/>
      <c r="AS221" s="1548"/>
      <c r="AT221" s="1549"/>
      <c r="AU221" s="1178"/>
      <c r="AV221" s="1179"/>
      <c r="AY221" s="3">
        <v>1</v>
      </c>
    </row>
    <row r="222" spans="2:51" ht="27" customHeight="1">
      <c r="B222" s="104"/>
      <c r="C222" s="1172"/>
      <c r="D222" s="1172"/>
      <c r="E222" s="1172"/>
      <c r="F222" s="1173"/>
      <c r="G222" s="1174"/>
      <c r="H222" s="1175"/>
      <c r="I222" s="1176"/>
      <c r="J222" s="1177"/>
      <c r="K222" s="1547"/>
      <c r="L222" s="1177"/>
      <c r="M222" s="1548"/>
      <c r="N222" s="1549"/>
      <c r="O222" s="1178"/>
      <c r="P222" s="1179"/>
      <c r="Q222" s="1171"/>
      <c r="R222" s="104"/>
      <c r="S222" s="1172"/>
      <c r="T222" s="1172"/>
      <c r="U222" s="1172"/>
      <c r="V222" s="1173"/>
      <c r="W222" s="1174"/>
      <c r="X222" s="1175"/>
      <c r="Y222" s="1176"/>
      <c r="Z222" s="1177"/>
      <c r="AA222" s="1547"/>
      <c r="AB222" s="1177"/>
      <c r="AC222" s="1548"/>
      <c r="AD222" s="1549"/>
      <c r="AE222" s="1178"/>
      <c r="AF222" s="1179"/>
      <c r="AG222" s="1171"/>
      <c r="AH222" s="104"/>
      <c r="AI222" s="1172"/>
      <c r="AJ222" s="1172"/>
      <c r="AK222" s="1172"/>
      <c r="AL222" s="1173"/>
      <c r="AM222" s="1174"/>
      <c r="AN222" s="1175"/>
      <c r="AO222" s="1176"/>
      <c r="AP222" s="1177"/>
      <c r="AQ222" s="1547"/>
      <c r="AR222" s="1177"/>
      <c r="AS222" s="1548"/>
      <c r="AT222" s="1549"/>
      <c r="AU222" s="1178"/>
      <c r="AV222" s="1179"/>
      <c r="AY222" s="3">
        <v>1</v>
      </c>
    </row>
    <row r="223" spans="2:51" ht="27" customHeight="1">
      <c r="B223" s="104"/>
      <c r="C223" s="1172"/>
      <c r="D223" s="1172"/>
      <c r="E223" s="1172"/>
      <c r="F223" s="1173"/>
      <c r="G223" s="1174"/>
      <c r="H223" s="1175"/>
      <c r="I223" s="1176"/>
      <c r="J223" s="1177"/>
      <c r="K223" s="1547"/>
      <c r="L223" s="1177"/>
      <c r="M223" s="1548"/>
      <c r="N223" s="1549"/>
      <c r="O223" s="1178"/>
      <c r="P223" s="1179"/>
      <c r="Q223" s="1171"/>
      <c r="R223" s="104"/>
      <c r="S223" s="1172"/>
      <c r="T223" s="1172"/>
      <c r="U223" s="1172"/>
      <c r="V223" s="1173"/>
      <c r="W223" s="1174"/>
      <c r="X223" s="1175"/>
      <c r="Y223" s="1176"/>
      <c r="Z223" s="1177"/>
      <c r="AA223" s="1547"/>
      <c r="AB223" s="1177"/>
      <c r="AC223" s="1548"/>
      <c r="AD223" s="1549"/>
      <c r="AE223" s="1178"/>
      <c r="AF223" s="1179"/>
      <c r="AG223" s="1171"/>
      <c r="AH223" s="104"/>
      <c r="AI223" s="1172"/>
      <c r="AJ223" s="1172"/>
      <c r="AK223" s="1172"/>
      <c r="AL223" s="1173"/>
      <c r="AM223" s="1174"/>
      <c r="AN223" s="1175"/>
      <c r="AO223" s="1176"/>
      <c r="AP223" s="1177"/>
      <c r="AQ223" s="1547"/>
      <c r="AR223" s="1177"/>
      <c r="AS223" s="1548"/>
      <c r="AT223" s="1549"/>
      <c r="AU223" s="1178"/>
      <c r="AV223" s="1179"/>
      <c r="AY223" s="3">
        <v>1</v>
      </c>
    </row>
    <row r="224" spans="2:51" ht="27" customHeight="1">
      <c r="B224" s="104"/>
      <c r="C224" s="1172"/>
      <c r="D224" s="1172"/>
      <c r="E224" s="1172"/>
      <c r="F224" s="1173"/>
      <c r="G224" s="1174"/>
      <c r="H224" s="1175"/>
      <c r="I224" s="1176"/>
      <c r="J224" s="1177"/>
      <c r="K224" s="1547"/>
      <c r="L224" s="1177"/>
      <c r="M224" s="1548"/>
      <c r="N224" s="1549"/>
      <c r="O224" s="1178"/>
      <c r="P224" s="1179"/>
      <c r="Q224" s="1171"/>
      <c r="R224" s="104"/>
      <c r="S224" s="1172"/>
      <c r="T224" s="1172"/>
      <c r="U224" s="1172"/>
      <c r="V224" s="1173"/>
      <c r="W224" s="1174"/>
      <c r="X224" s="1175"/>
      <c r="Y224" s="1176"/>
      <c r="Z224" s="1177"/>
      <c r="AA224" s="1547"/>
      <c r="AB224" s="1177"/>
      <c r="AC224" s="1548"/>
      <c r="AD224" s="1549"/>
      <c r="AE224" s="1178"/>
      <c r="AF224" s="1179"/>
      <c r="AG224" s="1171"/>
      <c r="AH224" s="104"/>
      <c r="AI224" s="1172"/>
      <c r="AJ224" s="1172"/>
      <c r="AK224" s="1172"/>
      <c r="AL224" s="1173"/>
      <c r="AM224" s="1174"/>
      <c r="AN224" s="1175"/>
      <c r="AO224" s="1176"/>
      <c r="AP224" s="1177"/>
      <c r="AQ224" s="1547"/>
      <c r="AR224" s="1177"/>
      <c r="AS224" s="1548"/>
      <c r="AT224" s="1549"/>
      <c r="AU224" s="1178"/>
      <c r="AV224" s="1179"/>
      <c r="AY224" s="3">
        <v>1</v>
      </c>
    </row>
    <row r="225" spans="2:51" ht="27" customHeight="1">
      <c r="B225" s="104"/>
      <c r="C225" s="1172"/>
      <c r="D225" s="1172"/>
      <c r="E225" s="1172"/>
      <c r="F225" s="1173"/>
      <c r="G225" s="1174"/>
      <c r="H225" s="1175"/>
      <c r="I225" s="1176"/>
      <c r="J225" s="1177"/>
      <c r="K225" s="1547"/>
      <c r="L225" s="1177"/>
      <c r="M225" s="1548"/>
      <c r="N225" s="1549"/>
      <c r="O225" s="1178"/>
      <c r="P225" s="1179"/>
      <c r="Q225" s="1171"/>
      <c r="R225" s="104"/>
      <c r="S225" s="1172"/>
      <c r="T225" s="1172"/>
      <c r="U225" s="1172"/>
      <c r="V225" s="1173"/>
      <c r="W225" s="1174"/>
      <c r="X225" s="1175"/>
      <c r="Y225" s="1176"/>
      <c r="Z225" s="1177"/>
      <c r="AA225" s="1547"/>
      <c r="AB225" s="1177"/>
      <c r="AC225" s="1548"/>
      <c r="AD225" s="1549"/>
      <c r="AE225" s="1178"/>
      <c r="AF225" s="1179"/>
      <c r="AG225" s="1171"/>
      <c r="AH225" s="104"/>
      <c r="AI225" s="1172"/>
      <c r="AJ225" s="1172"/>
      <c r="AK225" s="1172"/>
      <c r="AL225" s="1173"/>
      <c r="AM225" s="1174"/>
      <c r="AN225" s="1175"/>
      <c r="AO225" s="1176"/>
      <c r="AP225" s="1177"/>
      <c r="AQ225" s="1547"/>
      <c r="AR225" s="1177"/>
      <c r="AS225" s="1548"/>
      <c r="AT225" s="1549"/>
      <c r="AU225" s="1178"/>
      <c r="AV225" s="1179"/>
      <c r="AY225" s="3">
        <v>1</v>
      </c>
    </row>
    <row r="226" spans="2:51" ht="27" customHeight="1">
      <c r="B226" s="104"/>
      <c r="C226" s="1172"/>
      <c r="D226" s="1172"/>
      <c r="E226" s="1172"/>
      <c r="F226" s="1173"/>
      <c r="G226" s="1174"/>
      <c r="H226" s="1175"/>
      <c r="I226" s="1176"/>
      <c r="J226" s="1177"/>
      <c r="K226" s="1547"/>
      <c r="L226" s="1177"/>
      <c r="M226" s="1548"/>
      <c r="N226" s="1549"/>
      <c r="O226" s="1178"/>
      <c r="P226" s="1179"/>
      <c r="Q226" s="1171"/>
      <c r="R226" s="104"/>
      <c r="S226" s="1172"/>
      <c r="T226" s="1172"/>
      <c r="U226" s="1172"/>
      <c r="V226" s="1173"/>
      <c r="W226" s="1174"/>
      <c r="X226" s="1175"/>
      <c r="Y226" s="1176"/>
      <c r="Z226" s="1177"/>
      <c r="AA226" s="1547"/>
      <c r="AB226" s="1177"/>
      <c r="AC226" s="1548"/>
      <c r="AD226" s="1549"/>
      <c r="AE226" s="1178"/>
      <c r="AF226" s="1179"/>
      <c r="AG226" s="1171"/>
      <c r="AH226" s="104"/>
      <c r="AI226" s="1172"/>
      <c r="AJ226" s="1172"/>
      <c r="AK226" s="1172"/>
      <c r="AL226" s="1173"/>
      <c r="AM226" s="1174"/>
      <c r="AN226" s="1175"/>
      <c r="AO226" s="1176"/>
      <c r="AP226" s="1177"/>
      <c r="AQ226" s="1547"/>
      <c r="AR226" s="1177"/>
      <c r="AS226" s="1548"/>
      <c r="AT226" s="1549"/>
      <c r="AU226" s="1178"/>
      <c r="AV226" s="1179"/>
      <c r="AY226" s="3">
        <v>1</v>
      </c>
    </row>
    <row r="227" spans="2:51" ht="27" customHeight="1">
      <c r="B227" s="104"/>
      <c r="C227" s="1172"/>
      <c r="D227" s="1172"/>
      <c r="E227" s="1172"/>
      <c r="F227" s="1173"/>
      <c r="G227" s="1174"/>
      <c r="H227" s="1175"/>
      <c r="I227" s="1176"/>
      <c r="J227" s="1177"/>
      <c r="K227" s="1547"/>
      <c r="L227" s="1177"/>
      <c r="M227" s="1548"/>
      <c r="N227" s="1549"/>
      <c r="O227" s="1178"/>
      <c r="P227" s="1179"/>
      <c r="Q227" s="1171"/>
      <c r="R227" s="104"/>
      <c r="S227" s="1172"/>
      <c r="T227" s="1172"/>
      <c r="U227" s="1172"/>
      <c r="V227" s="1173"/>
      <c r="W227" s="1174"/>
      <c r="X227" s="1175"/>
      <c r="Y227" s="1176"/>
      <c r="Z227" s="1177"/>
      <c r="AA227" s="1547"/>
      <c r="AB227" s="1177"/>
      <c r="AC227" s="1548"/>
      <c r="AD227" s="1549"/>
      <c r="AE227" s="1178"/>
      <c r="AF227" s="1179"/>
      <c r="AG227" s="1171"/>
      <c r="AH227" s="104"/>
      <c r="AI227" s="1172"/>
      <c r="AJ227" s="1172"/>
      <c r="AK227" s="1172"/>
      <c r="AL227" s="1173"/>
      <c r="AM227" s="1174"/>
      <c r="AN227" s="1175"/>
      <c r="AO227" s="1176"/>
      <c r="AP227" s="1177"/>
      <c r="AQ227" s="1547"/>
      <c r="AR227" s="1177"/>
      <c r="AS227" s="1548"/>
      <c r="AT227" s="1549"/>
      <c r="AU227" s="1178"/>
      <c r="AV227" s="1179"/>
      <c r="AY227" s="3">
        <v>1</v>
      </c>
    </row>
    <row r="228" spans="2:51" ht="27" customHeight="1">
      <c r="B228" s="104"/>
      <c r="C228" s="1172"/>
      <c r="D228" s="1172"/>
      <c r="E228" s="1172"/>
      <c r="F228" s="1173"/>
      <c r="G228" s="1174"/>
      <c r="H228" s="1175"/>
      <c r="I228" s="1176"/>
      <c r="J228" s="1177"/>
      <c r="K228" s="1547"/>
      <c r="L228" s="1177"/>
      <c r="M228" s="1548"/>
      <c r="N228" s="1549"/>
      <c r="O228" s="1178"/>
      <c r="P228" s="1179"/>
      <c r="Q228" s="1180"/>
      <c r="R228" s="104"/>
      <c r="S228" s="1172"/>
      <c r="T228" s="1172"/>
      <c r="U228" s="1172"/>
      <c r="V228" s="1173"/>
      <c r="W228" s="1174"/>
      <c r="X228" s="1175"/>
      <c r="Y228" s="1176"/>
      <c r="Z228" s="1177"/>
      <c r="AA228" s="1547"/>
      <c r="AB228" s="1177"/>
      <c r="AC228" s="1548"/>
      <c r="AD228" s="1549"/>
      <c r="AE228" s="1178"/>
      <c r="AF228" s="1179"/>
      <c r="AG228" s="1171"/>
      <c r="AH228" s="104"/>
      <c r="AI228" s="1172"/>
      <c r="AJ228" s="1172"/>
      <c r="AK228" s="1172"/>
      <c r="AL228" s="1173"/>
      <c r="AM228" s="1174"/>
      <c r="AN228" s="1175"/>
      <c r="AO228" s="1176"/>
      <c r="AP228" s="1177"/>
      <c r="AQ228" s="1547"/>
      <c r="AR228" s="1177"/>
      <c r="AS228" s="1548"/>
      <c r="AT228" s="1549"/>
      <c r="AU228" s="1178"/>
      <c r="AV228" s="1179"/>
      <c r="AY228" s="3">
        <v>1</v>
      </c>
    </row>
    <row r="229" spans="2:51" ht="27" customHeight="1">
      <c r="B229" s="104"/>
      <c r="C229" s="1172"/>
      <c r="D229" s="1172"/>
      <c r="E229" s="1172"/>
      <c r="F229" s="1173"/>
      <c r="G229" s="1174"/>
      <c r="H229" s="1175"/>
      <c r="I229" s="1176"/>
      <c r="J229" s="1177"/>
      <c r="K229" s="1547"/>
      <c r="L229" s="1177"/>
      <c r="M229" s="1548"/>
      <c r="N229" s="1549"/>
      <c r="O229" s="1178"/>
      <c r="P229" s="1179"/>
      <c r="Q229" s="1180"/>
      <c r="R229" s="104"/>
      <c r="S229" s="1172"/>
      <c r="T229" s="1172"/>
      <c r="U229" s="1172"/>
      <c r="V229" s="1173"/>
      <c r="W229" s="1174"/>
      <c r="X229" s="1175"/>
      <c r="Y229" s="1176"/>
      <c r="Z229" s="1177"/>
      <c r="AA229" s="1547"/>
      <c r="AB229" s="1177"/>
      <c r="AC229" s="1548"/>
      <c r="AD229" s="1549"/>
      <c r="AE229" s="1178"/>
      <c r="AF229" s="1179"/>
      <c r="AG229" s="1171"/>
      <c r="AH229" s="104"/>
      <c r="AI229" s="1172"/>
      <c r="AJ229" s="1172"/>
      <c r="AK229" s="1172"/>
      <c r="AL229" s="1173"/>
      <c r="AM229" s="1174"/>
      <c r="AN229" s="1175"/>
      <c r="AO229" s="1176"/>
      <c r="AP229" s="1177"/>
      <c r="AQ229" s="1547"/>
      <c r="AR229" s="1177"/>
      <c r="AS229" s="1548"/>
      <c r="AT229" s="1549"/>
      <c r="AU229" s="1178"/>
      <c r="AV229" s="1179"/>
      <c r="AY229" s="3">
        <v>1</v>
      </c>
    </row>
    <row r="230" spans="2:51" ht="27" customHeight="1">
      <c r="B230" s="104"/>
      <c r="C230" s="1172"/>
      <c r="D230" s="1172"/>
      <c r="E230" s="1172"/>
      <c r="F230" s="1173"/>
      <c r="G230" s="1174"/>
      <c r="H230" s="1175"/>
      <c r="I230" s="1176"/>
      <c r="J230" s="1177"/>
      <c r="K230" s="1547"/>
      <c r="L230" s="1177"/>
      <c r="M230" s="1548"/>
      <c r="N230" s="1549"/>
      <c r="O230" s="1178"/>
      <c r="P230" s="1179"/>
      <c r="R230" s="104"/>
      <c r="S230" s="1172"/>
      <c r="T230" s="1172"/>
      <c r="U230" s="1172"/>
      <c r="V230" s="1173"/>
      <c r="W230" s="1174"/>
      <c r="X230" s="1175"/>
      <c r="Y230" s="1176"/>
      <c r="Z230" s="1177"/>
      <c r="AA230" s="1547"/>
      <c r="AB230" s="1177"/>
      <c r="AC230" s="1548"/>
      <c r="AD230" s="1549"/>
      <c r="AE230" s="1178"/>
      <c r="AF230" s="1179"/>
      <c r="AH230" s="104"/>
      <c r="AI230" s="1172"/>
      <c r="AJ230" s="1172"/>
      <c r="AK230" s="1172"/>
      <c r="AL230" s="1173"/>
      <c r="AM230" s="1174"/>
      <c r="AN230" s="1175"/>
      <c r="AO230" s="1176"/>
      <c r="AP230" s="1177"/>
      <c r="AQ230" s="1547"/>
      <c r="AR230" s="1177"/>
      <c r="AS230" s="1548"/>
      <c r="AT230" s="1549"/>
      <c r="AU230" s="1178"/>
      <c r="AV230" s="1179"/>
      <c r="AY230" s="3">
        <v>1</v>
      </c>
    </row>
    <row r="231" spans="2:51" ht="27" customHeight="1">
      <c r="B231" s="104"/>
      <c r="C231" s="1172"/>
      <c r="D231" s="1172"/>
      <c r="E231" s="1172"/>
      <c r="F231" s="1173"/>
      <c r="G231" s="1174"/>
      <c r="H231" s="1175"/>
      <c r="I231" s="1176"/>
      <c r="J231" s="1177"/>
      <c r="K231" s="1547"/>
      <c r="L231" s="1177"/>
      <c r="M231" s="1548"/>
      <c r="N231" s="1549"/>
      <c r="O231" s="1178"/>
      <c r="P231" s="1179"/>
      <c r="R231" s="104"/>
      <c r="S231" s="1172"/>
      <c r="T231" s="1172"/>
      <c r="U231" s="1172"/>
      <c r="V231" s="1173"/>
      <c r="W231" s="1174"/>
      <c r="X231" s="1175"/>
      <c r="Y231" s="1176"/>
      <c r="Z231" s="1177"/>
      <c r="AA231" s="1547"/>
      <c r="AB231" s="1177"/>
      <c r="AC231" s="1548"/>
      <c r="AD231" s="1549"/>
      <c r="AE231" s="1178"/>
      <c r="AF231" s="1179"/>
      <c r="AH231" s="104"/>
      <c r="AI231" s="1172"/>
      <c r="AJ231" s="1172"/>
      <c r="AK231" s="1172"/>
      <c r="AL231" s="1173"/>
      <c r="AM231" s="1174"/>
      <c r="AN231" s="1175"/>
      <c r="AO231" s="1176"/>
      <c r="AP231" s="1177"/>
      <c r="AQ231" s="1547"/>
      <c r="AR231" s="1177"/>
      <c r="AS231" s="1548"/>
      <c r="AT231" s="1549"/>
      <c r="AU231" s="1178"/>
      <c r="AV231" s="1179"/>
      <c r="AY231" s="3">
        <v>1</v>
      </c>
    </row>
    <row r="232" spans="2:51" ht="27" customHeight="1">
      <c r="B232" s="104"/>
      <c r="C232" s="1172"/>
      <c r="D232" s="1172"/>
      <c r="E232" s="1172"/>
      <c r="F232" s="1173"/>
      <c r="G232" s="1174"/>
      <c r="H232" s="1175"/>
      <c r="I232" s="1176"/>
      <c r="J232" s="1177"/>
      <c r="K232" s="1547"/>
      <c r="L232" s="1177"/>
      <c r="M232" s="1548"/>
      <c r="N232" s="1549"/>
      <c r="O232" s="1178"/>
      <c r="P232" s="1179"/>
      <c r="R232" s="104"/>
      <c r="S232" s="1172"/>
      <c r="T232" s="1172"/>
      <c r="U232" s="1172"/>
      <c r="V232" s="1173"/>
      <c r="W232" s="1174"/>
      <c r="X232" s="1175"/>
      <c r="Y232" s="1176"/>
      <c r="Z232" s="1177"/>
      <c r="AA232" s="1547"/>
      <c r="AB232" s="1177"/>
      <c r="AC232" s="1548"/>
      <c r="AD232" s="1549"/>
      <c r="AE232" s="1178"/>
      <c r="AF232" s="1179"/>
      <c r="AH232" s="104"/>
      <c r="AI232" s="1172"/>
      <c r="AJ232" s="1172"/>
      <c r="AK232" s="1172"/>
      <c r="AL232" s="1173"/>
      <c r="AM232" s="1174"/>
      <c r="AN232" s="1175"/>
      <c r="AO232" s="1176"/>
      <c r="AP232" s="1177"/>
      <c r="AQ232" s="1547"/>
      <c r="AR232" s="1177"/>
      <c r="AS232" s="1548"/>
      <c r="AT232" s="1549"/>
      <c r="AU232" s="1178"/>
      <c r="AV232" s="1179"/>
      <c r="AY232" s="3">
        <v>1</v>
      </c>
    </row>
    <row r="233" spans="2:51" ht="27" customHeight="1">
      <c r="B233" s="104"/>
      <c r="C233" s="1172"/>
      <c r="D233" s="1172"/>
      <c r="E233" s="1172"/>
      <c r="F233" s="1173"/>
      <c r="G233" s="1174"/>
      <c r="H233" s="1175"/>
      <c r="I233" s="1176"/>
      <c r="J233" s="1177"/>
      <c r="K233" s="1547"/>
      <c r="L233" s="1177"/>
      <c r="M233" s="1548"/>
      <c r="N233" s="1549"/>
      <c r="O233" s="1178"/>
      <c r="P233" s="1179"/>
      <c r="R233" s="104"/>
      <c r="S233" s="1172"/>
      <c r="T233" s="1172"/>
      <c r="U233" s="1172"/>
      <c r="V233" s="1173"/>
      <c r="W233" s="1174"/>
      <c r="X233" s="1175"/>
      <c r="Y233" s="1176"/>
      <c r="Z233" s="1177"/>
      <c r="AA233" s="1547"/>
      <c r="AB233" s="1177"/>
      <c r="AC233" s="1548"/>
      <c r="AD233" s="1549"/>
      <c r="AE233" s="1178"/>
      <c r="AF233" s="1179"/>
      <c r="AH233" s="104"/>
      <c r="AI233" s="1172"/>
      <c r="AJ233" s="1172"/>
      <c r="AK233" s="1172"/>
      <c r="AL233" s="1173"/>
      <c r="AM233" s="1174"/>
      <c r="AN233" s="1175"/>
      <c r="AO233" s="1176"/>
      <c r="AP233" s="1177"/>
      <c r="AQ233" s="1547"/>
      <c r="AR233" s="1177"/>
      <c r="AS233" s="1548"/>
      <c r="AT233" s="1549"/>
      <c r="AU233" s="1178"/>
      <c r="AV233" s="1179"/>
      <c r="AY233" s="3">
        <v>1</v>
      </c>
    </row>
    <row r="234" spans="2:51" ht="27" customHeight="1">
      <c r="B234" s="104"/>
      <c r="C234" s="1172"/>
      <c r="D234" s="1172"/>
      <c r="E234" s="1172"/>
      <c r="F234" s="1173"/>
      <c r="G234" s="1174"/>
      <c r="H234" s="1175"/>
      <c r="I234" s="1176"/>
      <c r="J234" s="1177"/>
      <c r="K234" s="1547"/>
      <c r="L234" s="1177"/>
      <c r="M234" s="1548"/>
      <c r="N234" s="1549"/>
      <c r="O234" s="1178"/>
      <c r="P234" s="1179"/>
      <c r="R234" s="104"/>
      <c r="S234" s="1172"/>
      <c r="T234" s="1172"/>
      <c r="U234" s="1172"/>
      <c r="V234" s="1173"/>
      <c r="W234" s="1174"/>
      <c r="X234" s="1175"/>
      <c r="Y234" s="1176"/>
      <c r="Z234" s="1177"/>
      <c r="AA234" s="1547"/>
      <c r="AB234" s="1177"/>
      <c r="AC234" s="1548"/>
      <c r="AD234" s="1549"/>
      <c r="AE234" s="1178"/>
      <c r="AF234" s="1179"/>
      <c r="AH234" s="104"/>
      <c r="AI234" s="1172"/>
      <c r="AJ234" s="1172"/>
      <c r="AK234" s="1172"/>
      <c r="AL234" s="1173"/>
      <c r="AM234" s="1174"/>
      <c r="AN234" s="1175"/>
      <c r="AO234" s="1176"/>
      <c r="AP234" s="1177"/>
      <c r="AQ234" s="1547"/>
      <c r="AR234" s="1177"/>
      <c r="AS234" s="1548"/>
      <c r="AT234" s="1549"/>
      <c r="AU234" s="1178"/>
      <c r="AV234" s="1179"/>
      <c r="AY234" s="3">
        <v>1</v>
      </c>
    </row>
    <row r="235" spans="2:51" ht="27" customHeight="1">
      <c r="B235" s="104"/>
      <c r="C235" s="1172"/>
      <c r="D235" s="1172"/>
      <c r="E235" s="1172"/>
      <c r="F235" s="1173"/>
      <c r="G235" s="1174"/>
      <c r="H235" s="1175"/>
      <c r="I235" s="1176"/>
      <c r="J235" s="1177"/>
      <c r="K235" s="1547"/>
      <c r="L235" s="1177"/>
      <c r="M235" s="1548"/>
      <c r="N235" s="1549"/>
      <c r="O235" s="1178"/>
      <c r="P235" s="1179"/>
      <c r="R235" s="104"/>
      <c r="S235" s="1172"/>
      <c r="T235" s="1172"/>
      <c r="U235" s="1172"/>
      <c r="V235" s="1173"/>
      <c r="W235" s="1174"/>
      <c r="X235" s="1175"/>
      <c r="Y235" s="1176"/>
      <c r="Z235" s="1177"/>
      <c r="AA235" s="1547"/>
      <c r="AB235" s="1177"/>
      <c r="AC235" s="1548"/>
      <c r="AD235" s="1549"/>
      <c r="AE235" s="1178"/>
      <c r="AF235" s="1179"/>
      <c r="AH235" s="104"/>
      <c r="AI235" s="1172"/>
      <c r="AJ235" s="1172"/>
      <c r="AK235" s="1172"/>
      <c r="AL235" s="1173"/>
      <c r="AM235" s="1174"/>
      <c r="AN235" s="1175"/>
      <c r="AO235" s="1176"/>
      <c r="AP235" s="1177"/>
      <c r="AQ235" s="1547"/>
      <c r="AR235" s="1177"/>
      <c r="AS235" s="1548"/>
      <c r="AT235" s="1549"/>
      <c r="AU235" s="1178"/>
      <c r="AV235" s="1179"/>
      <c r="AY235" s="3">
        <v>1</v>
      </c>
    </row>
    <row r="236" spans="2:51" ht="27" customHeight="1">
      <c r="B236" s="104"/>
      <c r="C236" s="1172"/>
      <c r="D236" s="1172"/>
      <c r="E236" s="1172"/>
      <c r="F236" s="1173"/>
      <c r="G236" s="1174"/>
      <c r="H236" s="1175"/>
      <c r="I236" s="1176"/>
      <c r="J236" s="1177"/>
      <c r="K236" s="1547"/>
      <c r="L236" s="1177"/>
      <c r="M236" s="1548"/>
      <c r="N236" s="1549"/>
      <c r="O236" s="1178"/>
      <c r="P236" s="1179"/>
      <c r="R236" s="104"/>
      <c r="S236" s="1172"/>
      <c r="T236" s="1172"/>
      <c r="U236" s="1172"/>
      <c r="V236" s="1173"/>
      <c r="W236" s="1174"/>
      <c r="X236" s="1175"/>
      <c r="Y236" s="1176"/>
      <c r="Z236" s="1177"/>
      <c r="AA236" s="1547"/>
      <c r="AB236" s="1177"/>
      <c r="AC236" s="1548"/>
      <c r="AD236" s="1549"/>
      <c r="AE236" s="1178"/>
      <c r="AF236" s="1179"/>
      <c r="AH236" s="104"/>
      <c r="AI236" s="1172"/>
      <c r="AJ236" s="1172"/>
      <c r="AK236" s="1172"/>
      <c r="AL236" s="1173"/>
      <c r="AM236" s="1174"/>
      <c r="AN236" s="1175"/>
      <c r="AO236" s="1176"/>
      <c r="AP236" s="1177"/>
      <c r="AQ236" s="1547"/>
      <c r="AR236" s="1177"/>
      <c r="AS236" s="1548"/>
      <c r="AT236" s="1549"/>
      <c r="AU236" s="1178"/>
      <c r="AV236" s="1179"/>
      <c r="AY236" s="3">
        <v>1</v>
      </c>
    </row>
    <row r="237" spans="2:51" ht="27" customHeight="1">
      <c r="B237" s="104"/>
      <c r="C237" s="1172"/>
      <c r="D237" s="1172"/>
      <c r="E237" s="1172"/>
      <c r="F237" s="1173"/>
      <c r="G237" s="1174"/>
      <c r="H237" s="1175"/>
      <c r="I237" s="1176"/>
      <c r="J237" s="1177"/>
      <c r="K237" s="1547"/>
      <c r="L237" s="1177"/>
      <c r="M237" s="1548"/>
      <c r="N237" s="1549"/>
      <c r="O237" s="1178"/>
      <c r="P237" s="1179"/>
      <c r="R237" s="104"/>
      <c r="S237" s="1172"/>
      <c r="T237" s="1172"/>
      <c r="U237" s="1172"/>
      <c r="V237" s="1173"/>
      <c r="W237" s="1174"/>
      <c r="X237" s="1175"/>
      <c r="Y237" s="1176"/>
      <c r="Z237" s="1177"/>
      <c r="AA237" s="1547"/>
      <c r="AB237" s="1177"/>
      <c r="AC237" s="1548"/>
      <c r="AD237" s="1549"/>
      <c r="AE237" s="1178"/>
      <c r="AF237" s="1179"/>
      <c r="AH237" s="104"/>
      <c r="AI237" s="1172"/>
      <c r="AJ237" s="1172"/>
      <c r="AK237" s="1172"/>
      <c r="AL237" s="1173"/>
      <c r="AM237" s="1174"/>
      <c r="AN237" s="1175"/>
      <c r="AO237" s="1176"/>
      <c r="AP237" s="1177"/>
      <c r="AQ237" s="1547"/>
      <c r="AR237" s="1177"/>
      <c r="AS237" s="1548"/>
      <c r="AT237" s="1549"/>
      <c r="AU237" s="1178"/>
      <c r="AV237" s="1179"/>
      <c r="AY237" s="3">
        <v>1</v>
      </c>
    </row>
    <row r="238" spans="2:51" ht="27" customHeight="1">
      <c r="B238" s="104"/>
      <c r="C238" s="1172"/>
      <c r="D238" s="1172"/>
      <c r="E238" s="1172"/>
      <c r="F238" s="1173"/>
      <c r="G238" s="1174"/>
      <c r="H238" s="1175"/>
      <c r="I238" s="1176"/>
      <c r="J238" s="1177"/>
      <c r="K238" s="1547"/>
      <c r="L238" s="1177"/>
      <c r="M238" s="1548"/>
      <c r="N238" s="1549"/>
      <c r="O238" s="1178"/>
      <c r="P238" s="1179"/>
      <c r="R238" s="104"/>
      <c r="S238" s="1172"/>
      <c r="T238" s="1172"/>
      <c r="U238" s="1172"/>
      <c r="V238" s="1173"/>
      <c r="W238" s="1174"/>
      <c r="X238" s="1175"/>
      <c r="Y238" s="1176"/>
      <c r="Z238" s="1177"/>
      <c r="AA238" s="1547"/>
      <c r="AB238" s="1177"/>
      <c r="AC238" s="1548"/>
      <c r="AD238" s="1549"/>
      <c r="AE238" s="1178"/>
      <c r="AF238" s="1179"/>
      <c r="AH238" s="104"/>
      <c r="AI238" s="1172"/>
      <c r="AJ238" s="1172"/>
      <c r="AK238" s="1172"/>
      <c r="AL238" s="1173"/>
      <c r="AM238" s="1174"/>
      <c r="AN238" s="1175"/>
      <c r="AO238" s="1176"/>
      <c r="AP238" s="1177"/>
      <c r="AQ238" s="1547"/>
      <c r="AR238" s="1177"/>
      <c r="AS238" s="1548"/>
      <c r="AT238" s="1549"/>
      <c r="AU238" s="1178"/>
      <c r="AV238" s="1179"/>
      <c r="AY238" s="3">
        <v>1</v>
      </c>
    </row>
    <row r="239" spans="2:51" ht="27" customHeight="1">
      <c r="B239" s="104"/>
      <c r="C239" s="1172"/>
      <c r="D239" s="1172"/>
      <c r="E239" s="1172"/>
      <c r="F239" s="1173"/>
      <c r="G239" s="1174"/>
      <c r="H239" s="1175"/>
      <c r="I239" s="1176"/>
      <c r="J239" s="1177"/>
      <c r="K239" s="1547"/>
      <c r="L239" s="1177"/>
      <c r="M239" s="1548"/>
      <c r="N239" s="1549"/>
      <c r="O239" s="1178"/>
      <c r="P239" s="1179"/>
      <c r="R239" s="104"/>
      <c r="S239" s="1172"/>
      <c r="T239" s="1172"/>
      <c r="U239" s="1172"/>
      <c r="V239" s="1173"/>
      <c r="W239" s="1174"/>
      <c r="X239" s="1175"/>
      <c r="Y239" s="1176"/>
      <c r="Z239" s="1177"/>
      <c r="AA239" s="1547"/>
      <c r="AB239" s="1177"/>
      <c r="AC239" s="1548"/>
      <c r="AD239" s="1549"/>
      <c r="AE239" s="1178"/>
      <c r="AF239" s="1179"/>
      <c r="AH239" s="104"/>
      <c r="AI239" s="1172"/>
      <c r="AJ239" s="1172"/>
      <c r="AK239" s="1172"/>
      <c r="AL239" s="1173"/>
      <c r="AM239" s="1174"/>
      <c r="AN239" s="1175"/>
      <c r="AO239" s="1176"/>
      <c r="AP239" s="1177"/>
      <c r="AQ239" s="1547"/>
      <c r="AR239" s="1177"/>
      <c r="AS239" s="1548"/>
      <c r="AT239" s="1549"/>
      <c r="AU239" s="1178"/>
      <c r="AV239" s="1179"/>
      <c r="AY239" s="3">
        <v>1</v>
      </c>
    </row>
    <row r="240" spans="2:51" ht="27" customHeight="1">
      <c r="B240" s="104"/>
      <c r="C240" s="1172"/>
      <c r="D240" s="1172"/>
      <c r="E240" s="1172"/>
      <c r="F240" s="1173"/>
      <c r="G240" s="1174"/>
      <c r="H240" s="1175"/>
      <c r="I240" s="1176"/>
      <c r="J240" s="1177"/>
      <c r="K240" s="1547"/>
      <c r="L240" s="1177"/>
      <c r="M240" s="1548"/>
      <c r="N240" s="1549"/>
      <c r="O240" s="1178"/>
      <c r="P240" s="1179"/>
      <c r="R240" s="104"/>
      <c r="S240" s="1172"/>
      <c r="T240" s="1172"/>
      <c r="U240" s="1172"/>
      <c r="V240" s="1173"/>
      <c r="W240" s="1174"/>
      <c r="X240" s="1175"/>
      <c r="Y240" s="1176"/>
      <c r="Z240" s="1177"/>
      <c r="AA240" s="1547"/>
      <c r="AB240" s="1177"/>
      <c r="AC240" s="1548"/>
      <c r="AD240" s="1549"/>
      <c r="AE240" s="1178"/>
      <c r="AF240" s="1179"/>
      <c r="AH240" s="104"/>
      <c r="AI240" s="1172"/>
      <c r="AJ240" s="1172"/>
      <c r="AK240" s="1172"/>
      <c r="AL240" s="1173"/>
      <c r="AM240" s="1174"/>
      <c r="AN240" s="1175"/>
      <c r="AO240" s="1176"/>
      <c r="AP240" s="1177"/>
      <c r="AQ240" s="1547"/>
      <c r="AR240" s="1177"/>
      <c r="AS240" s="1548"/>
      <c r="AT240" s="1549"/>
      <c r="AU240" s="1178"/>
      <c r="AV240" s="1179"/>
      <c r="AY240" s="3">
        <v>1</v>
      </c>
    </row>
    <row r="241" spans="2:51" ht="27" customHeight="1">
      <c r="B241" s="104"/>
      <c r="C241" s="1172"/>
      <c r="D241" s="1172"/>
      <c r="E241" s="1172"/>
      <c r="F241" s="1173"/>
      <c r="G241" s="1174"/>
      <c r="H241" s="1175"/>
      <c r="I241" s="1176"/>
      <c r="J241" s="1177"/>
      <c r="K241" s="1547"/>
      <c r="L241" s="1177"/>
      <c r="M241" s="1548"/>
      <c r="N241" s="1549"/>
      <c r="O241" s="1178"/>
      <c r="P241" s="1179"/>
      <c r="R241" s="104"/>
      <c r="S241" s="1172"/>
      <c r="T241" s="1172"/>
      <c r="U241" s="1172"/>
      <c r="V241" s="1173"/>
      <c r="W241" s="1174"/>
      <c r="X241" s="1175"/>
      <c r="Y241" s="1176"/>
      <c r="Z241" s="1177"/>
      <c r="AA241" s="1547"/>
      <c r="AB241" s="1177"/>
      <c r="AC241" s="1548"/>
      <c r="AD241" s="1549"/>
      <c r="AE241" s="1178"/>
      <c r="AF241" s="1179"/>
      <c r="AH241" s="104"/>
      <c r="AI241" s="1172"/>
      <c r="AJ241" s="1172"/>
      <c r="AK241" s="1172"/>
      <c r="AL241" s="1173"/>
      <c r="AM241" s="1174"/>
      <c r="AN241" s="1175"/>
      <c r="AO241" s="1176"/>
      <c r="AP241" s="1177"/>
      <c r="AQ241" s="1547"/>
      <c r="AR241" s="1177"/>
      <c r="AS241" s="1548"/>
      <c r="AT241" s="1549"/>
      <c r="AU241" s="1178"/>
      <c r="AV241" s="1179"/>
      <c r="AY241" s="3">
        <v>1</v>
      </c>
    </row>
    <row r="242" spans="2:51" ht="27" customHeight="1">
      <c r="B242" s="104"/>
      <c r="C242" s="1172"/>
      <c r="D242" s="1172"/>
      <c r="E242" s="1172"/>
      <c r="F242" s="1173"/>
      <c r="G242" s="1174"/>
      <c r="H242" s="1175"/>
      <c r="I242" s="1176"/>
      <c r="J242" s="1177"/>
      <c r="K242" s="1547"/>
      <c r="L242" s="1177"/>
      <c r="M242" s="1548"/>
      <c r="N242" s="1549"/>
      <c r="O242" s="1178"/>
      <c r="P242" s="1179"/>
      <c r="R242" s="104"/>
      <c r="S242" s="1172"/>
      <c r="T242" s="1172"/>
      <c r="U242" s="1172"/>
      <c r="V242" s="1173"/>
      <c r="W242" s="1174"/>
      <c r="X242" s="1175"/>
      <c r="Y242" s="1176"/>
      <c r="Z242" s="1177"/>
      <c r="AA242" s="1547"/>
      <c r="AB242" s="1177"/>
      <c r="AC242" s="1548"/>
      <c r="AD242" s="1549"/>
      <c r="AE242" s="1178"/>
      <c r="AF242" s="1179"/>
      <c r="AH242" s="104"/>
      <c r="AI242" s="1172"/>
      <c r="AJ242" s="1172"/>
      <c r="AK242" s="1172"/>
      <c r="AL242" s="1173"/>
      <c r="AM242" s="1174"/>
      <c r="AN242" s="1175"/>
      <c r="AO242" s="1176"/>
      <c r="AP242" s="1177"/>
      <c r="AQ242" s="1547"/>
      <c r="AR242" s="1177"/>
      <c r="AS242" s="1548"/>
      <c r="AT242" s="1549"/>
      <c r="AU242" s="1178"/>
      <c r="AV242" s="1179"/>
      <c r="AY242" s="3">
        <v>1</v>
      </c>
    </row>
    <row r="243" spans="2:51" ht="27" customHeight="1">
      <c r="B243" s="104"/>
      <c r="C243" s="1172"/>
      <c r="D243" s="1172"/>
      <c r="E243" s="1172"/>
      <c r="F243" s="1173"/>
      <c r="G243" s="1174"/>
      <c r="H243" s="1175"/>
      <c r="I243" s="1176"/>
      <c r="J243" s="1177"/>
      <c r="K243" s="1547"/>
      <c r="L243" s="1177"/>
      <c r="M243" s="1548"/>
      <c r="N243" s="1549"/>
      <c r="O243" s="1178"/>
      <c r="P243" s="1179"/>
      <c r="R243" s="104"/>
      <c r="S243" s="1172"/>
      <c r="T243" s="1172"/>
      <c r="U243" s="1172"/>
      <c r="V243" s="1173"/>
      <c r="W243" s="1174"/>
      <c r="X243" s="1175"/>
      <c r="Y243" s="1176"/>
      <c r="Z243" s="1177"/>
      <c r="AA243" s="1547"/>
      <c r="AB243" s="1177"/>
      <c r="AC243" s="1548"/>
      <c r="AD243" s="1549"/>
      <c r="AE243" s="1178"/>
      <c r="AF243" s="1179"/>
      <c r="AH243" s="104"/>
      <c r="AI243" s="1172"/>
      <c r="AJ243" s="1172"/>
      <c r="AK243" s="1172"/>
      <c r="AL243" s="1173"/>
      <c r="AM243" s="1174"/>
      <c r="AN243" s="1175"/>
      <c r="AO243" s="1176"/>
      <c r="AP243" s="1177"/>
      <c r="AQ243" s="1547"/>
      <c r="AR243" s="1177"/>
      <c r="AS243" s="1548"/>
      <c r="AT243" s="1549"/>
      <c r="AU243" s="1178"/>
      <c r="AV243" s="1179"/>
      <c r="AY243" s="3">
        <v>1</v>
      </c>
    </row>
    <row r="244" spans="2:51" ht="27" customHeight="1">
      <c r="B244" s="104"/>
      <c r="C244" s="1172"/>
      <c r="D244" s="1172"/>
      <c r="E244" s="1172"/>
      <c r="F244" s="1173"/>
      <c r="G244" s="1174"/>
      <c r="H244" s="1175"/>
      <c r="I244" s="1176"/>
      <c r="J244" s="1177"/>
      <c r="K244" s="1547"/>
      <c r="L244" s="1177"/>
      <c r="M244" s="1548"/>
      <c r="N244" s="1549"/>
      <c r="O244" s="1178"/>
      <c r="P244" s="1179"/>
      <c r="R244" s="104"/>
      <c r="S244" s="1172"/>
      <c r="T244" s="1172"/>
      <c r="U244" s="1172"/>
      <c r="V244" s="1173"/>
      <c r="W244" s="1174"/>
      <c r="X244" s="1175"/>
      <c r="Y244" s="1176"/>
      <c r="Z244" s="1177"/>
      <c r="AA244" s="1547"/>
      <c r="AB244" s="1177"/>
      <c r="AC244" s="1548"/>
      <c r="AD244" s="1549"/>
      <c r="AE244" s="1178"/>
      <c r="AF244" s="1179"/>
      <c r="AH244" s="104"/>
      <c r="AI244" s="1172"/>
      <c r="AJ244" s="1172"/>
      <c r="AK244" s="1172"/>
      <c r="AL244" s="1173"/>
      <c r="AM244" s="1174"/>
      <c r="AN244" s="1175"/>
      <c r="AO244" s="1176"/>
      <c r="AP244" s="1177"/>
      <c r="AQ244" s="1547"/>
      <c r="AR244" s="1177"/>
      <c r="AS244" s="1548"/>
      <c r="AT244" s="1549"/>
      <c r="AU244" s="1178"/>
      <c r="AV244" s="1179"/>
      <c r="AY244" s="3">
        <v>1</v>
      </c>
    </row>
    <row r="245" spans="2:51" ht="27" customHeight="1">
      <c r="B245" s="104"/>
      <c r="C245" s="1172"/>
      <c r="D245" s="1172"/>
      <c r="E245" s="1172"/>
      <c r="F245" s="1173"/>
      <c r="G245" s="1174"/>
      <c r="H245" s="1175"/>
      <c r="I245" s="1176"/>
      <c r="J245" s="1177"/>
      <c r="K245" s="1547"/>
      <c r="L245" s="1177"/>
      <c r="M245" s="1548"/>
      <c r="N245" s="1549"/>
      <c r="O245" s="1178"/>
      <c r="P245" s="1179"/>
      <c r="R245" s="104"/>
      <c r="S245" s="1172"/>
      <c r="T245" s="1172"/>
      <c r="U245" s="1172"/>
      <c r="V245" s="1173"/>
      <c r="W245" s="1174"/>
      <c r="X245" s="1175"/>
      <c r="Y245" s="1176"/>
      <c r="Z245" s="1177"/>
      <c r="AA245" s="1547"/>
      <c r="AB245" s="1177"/>
      <c r="AC245" s="1548"/>
      <c r="AD245" s="1549"/>
      <c r="AE245" s="1178"/>
      <c r="AF245" s="1179"/>
      <c r="AH245" s="104"/>
      <c r="AI245" s="1172"/>
      <c r="AJ245" s="1172"/>
      <c r="AK245" s="1172"/>
      <c r="AL245" s="1173"/>
      <c r="AM245" s="1174"/>
      <c r="AN245" s="1175"/>
      <c r="AO245" s="1176"/>
      <c r="AP245" s="1177"/>
      <c r="AQ245" s="1547"/>
      <c r="AR245" s="1177"/>
      <c r="AS245" s="1548"/>
      <c r="AT245" s="1549"/>
      <c r="AU245" s="1178"/>
      <c r="AV245" s="1179"/>
      <c r="AY245" s="3"/>
    </row>
    <row r="246" spans="2:51" ht="27" customHeight="1">
      <c r="B246" s="104"/>
      <c r="C246" s="1172"/>
      <c r="D246" s="1172"/>
      <c r="E246" s="1172"/>
      <c r="F246" s="1173"/>
      <c r="G246" s="1174"/>
      <c r="H246" s="1175"/>
      <c r="I246" s="1176"/>
      <c r="J246" s="1177"/>
      <c r="K246" s="1547"/>
      <c r="L246" s="1177"/>
      <c r="M246" s="1548"/>
      <c r="N246" s="1549"/>
      <c r="O246" s="1178"/>
      <c r="P246" s="1179"/>
      <c r="R246" s="104"/>
      <c r="S246" s="1172"/>
      <c r="T246" s="1172"/>
      <c r="U246" s="1172"/>
      <c r="V246" s="1173"/>
      <c r="W246" s="1174"/>
      <c r="X246" s="1175"/>
      <c r="Y246" s="1176"/>
      <c r="Z246" s="1177"/>
      <c r="AA246" s="1547"/>
      <c r="AB246" s="1177"/>
      <c r="AC246" s="1548"/>
      <c r="AD246" s="1549"/>
      <c r="AE246" s="1178"/>
      <c r="AF246" s="1179"/>
      <c r="AH246" s="104"/>
      <c r="AI246" s="1172"/>
      <c r="AJ246" s="1172"/>
      <c r="AK246" s="1172"/>
      <c r="AL246" s="1173"/>
      <c r="AM246" s="1174"/>
      <c r="AN246" s="1175"/>
      <c r="AO246" s="1176"/>
      <c r="AP246" s="1177"/>
      <c r="AQ246" s="1547"/>
      <c r="AR246" s="1177"/>
      <c r="AS246" s="1548"/>
      <c r="AT246" s="1549"/>
      <c r="AU246" s="1178"/>
      <c r="AV246" s="1179"/>
      <c r="AY246" s="3"/>
    </row>
    <row r="247" spans="2:51" ht="27" customHeight="1">
      <c r="B247" s="104"/>
      <c r="C247" s="1172"/>
      <c r="D247" s="1172"/>
      <c r="E247" s="1172"/>
      <c r="F247" s="1173"/>
      <c r="G247" s="1174"/>
      <c r="H247" s="1175"/>
      <c r="I247" s="1176"/>
      <c r="J247" s="1177"/>
      <c r="K247" s="1547"/>
      <c r="L247" s="1177"/>
      <c r="M247" s="1548"/>
      <c r="N247" s="1549"/>
      <c r="O247" s="1178"/>
      <c r="P247" s="1179"/>
      <c r="R247" s="104"/>
      <c r="S247" s="1172"/>
      <c r="T247" s="1172"/>
      <c r="U247" s="1172"/>
      <c r="V247" s="1173"/>
      <c r="W247" s="1174"/>
      <c r="X247" s="1175"/>
      <c r="Y247" s="1176"/>
      <c r="Z247" s="1177"/>
      <c r="AA247" s="1547"/>
      <c r="AB247" s="1177"/>
      <c r="AC247" s="1548"/>
      <c r="AD247" s="1549"/>
      <c r="AE247" s="1178"/>
      <c r="AF247" s="1179"/>
      <c r="AH247" s="104"/>
      <c r="AI247" s="1172"/>
      <c r="AJ247" s="1172"/>
      <c r="AK247" s="1172"/>
      <c r="AL247" s="1173"/>
      <c r="AM247" s="1174"/>
      <c r="AN247" s="1175"/>
      <c r="AO247" s="1176"/>
      <c r="AP247" s="1177"/>
      <c r="AQ247" s="1547"/>
      <c r="AR247" s="1177"/>
      <c r="AS247" s="1548"/>
      <c r="AT247" s="1549"/>
      <c r="AU247" s="1178"/>
      <c r="AV247" s="1179"/>
      <c r="AY247" s="3"/>
    </row>
    <row r="248" spans="2:51" ht="27" customHeight="1">
      <c r="B248" s="104"/>
      <c r="C248" s="1172"/>
      <c r="D248" s="1172"/>
      <c r="E248" s="1172"/>
      <c r="F248" s="1173"/>
      <c r="G248" s="1174"/>
      <c r="H248" s="1175"/>
      <c r="I248" s="1176"/>
      <c r="J248" s="1177"/>
      <c r="K248" s="1547"/>
      <c r="L248" s="1177"/>
      <c r="M248" s="1548"/>
      <c r="N248" s="1549"/>
      <c r="O248" s="1178"/>
      <c r="P248" s="1179"/>
      <c r="R248" s="104"/>
      <c r="S248" s="1172"/>
      <c r="T248" s="1172"/>
      <c r="U248" s="1172"/>
      <c r="V248" s="1173"/>
      <c r="W248" s="1174"/>
      <c r="X248" s="1175"/>
      <c r="Y248" s="1176"/>
      <c r="Z248" s="1177"/>
      <c r="AA248" s="1547"/>
      <c r="AB248" s="1177"/>
      <c r="AC248" s="1548"/>
      <c r="AD248" s="1549"/>
      <c r="AE248" s="1178"/>
      <c r="AF248" s="1179"/>
      <c r="AH248" s="104"/>
      <c r="AI248" s="1172"/>
      <c r="AJ248" s="1172"/>
      <c r="AK248" s="1172"/>
      <c r="AL248" s="1173"/>
      <c r="AM248" s="1174"/>
      <c r="AN248" s="1175"/>
      <c r="AO248" s="1176"/>
      <c r="AP248" s="1177"/>
      <c r="AQ248" s="1547"/>
      <c r="AR248" s="1177"/>
      <c r="AS248" s="1548"/>
      <c r="AT248" s="1549"/>
      <c r="AU248" s="1178"/>
      <c r="AV248" s="1179"/>
      <c r="AY248" s="3">
        <v>1</v>
      </c>
    </row>
    <row r="249" spans="2:51" ht="27" customHeight="1">
      <c r="B249" s="104"/>
      <c r="C249" s="1172"/>
      <c r="D249" s="1172"/>
      <c r="E249" s="1172"/>
      <c r="F249" s="1173"/>
      <c r="G249" s="1174"/>
      <c r="H249" s="1175"/>
      <c r="I249" s="1176"/>
      <c r="J249" s="1177"/>
      <c r="K249" s="1547"/>
      <c r="L249" s="1177"/>
      <c r="M249" s="1548"/>
      <c r="N249" s="1549"/>
      <c r="O249" s="1178"/>
      <c r="P249" s="1179"/>
      <c r="R249" s="104"/>
      <c r="S249" s="1172"/>
      <c r="T249" s="1172"/>
      <c r="U249" s="1172"/>
      <c r="V249" s="1173"/>
      <c r="W249" s="1174"/>
      <c r="X249" s="1175"/>
      <c r="Y249" s="1176"/>
      <c r="Z249" s="1177"/>
      <c r="AA249" s="1547"/>
      <c r="AB249" s="1177"/>
      <c r="AC249" s="1548"/>
      <c r="AD249" s="1549"/>
      <c r="AE249" s="1178"/>
      <c r="AF249" s="1179"/>
      <c r="AH249" s="104"/>
      <c r="AI249" s="1172"/>
      <c r="AJ249" s="1172"/>
      <c r="AK249" s="1172"/>
      <c r="AL249" s="1173"/>
      <c r="AM249" s="1174"/>
      <c r="AN249" s="1175"/>
      <c r="AO249" s="1176"/>
      <c r="AP249" s="1177"/>
      <c r="AQ249" s="1547"/>
      <c r="AR249" s="1177"/>
      <c r="AS249" s="1548"/>
      <c r="AT249" s="1549"/>
      <c r="AU249" s="1178"/>
      <c r="AV249" s="1179"/>
      <c r="AY249" s="3">
        <v>1</v>
      </c>
    </row>
    <row r="250" spans="2:51" ht="27" customHeight="1">
      <c r="B250" s="104"/>
      <c r="C250" s="1172"/>
      <c r="D250" s="1172"/>
      <c r="E250" s="1172"/>
      <c r="F250" s="1173"/>
      <c r="G250" s="1174"/>
      <c r="H250" s="1175"/>
      <c r="I250" s="1176"/>
      <c r="J250" s="1177"/>
      <c r="K250" s="1547"/>
      <c r="L250" s="1177"/>
      <c r="M250" s="1548"/>
      <c r="N250" s="1549"/>
      <c r="O250" s="1178"/>
      <c r="P250" s="1179"/>
      <c r="R250" s="104"/>
      <c r="S250" s="1172"/>
      <c r="T250" s="1172"/>
      <c r="U250" s="1172"/>
      <c r="V250" s="1173"/>
      <c r="W250" s="1174"/>
      <c r="X250" s="1175"/>
      <c r="Y250" s="1176"/>
      <c r="Z250" s="1177"/>
      <c r="AA250" s="1547"/>
      <c r="AB250" s="1177"/>
      <c r="AC250" s="1548"/>
      <c r="AD250" s="1549"/>
      <c r="AE250" s="1178"/>
      <c r="AF250" s="1179"/>
      <c r="AH250" s="104"/>
      <c r="AI250" s="1172"/>
      <c r="AJ250" s="1172"/>
      <c r="AK250" s="1172"/>
      <c r="AL250" s="1173"/>
      <c r="AM250" s="1174"/>
      <c r="AN250" s="1175"/>
      <c r="AO250" s="1176"/>
      <c r="AP250" s="1177"/>
      <c r="AQ250" s="1547"/>
      <c r="AR250" s="1177"/>
      <c r="AS250" s="1548"/>
      <c r="AT250" s="1549"/>
      <c r="AU250" s="1178"/>
      <c r="AV250" s="1179"/>
      <c r="AY250" s="3">
        <v>1</v>
      </c>
    </row>
    <row r="251" spans="2:51" ht="27" customHeight="1">
      <c r="B251" s="104"/>
      <c r="C251" s="1172"/>
      <c r="D251" s="1172"/>
      <c r="E251" s="1172"/>
      <c r="F251" s="1173"/>
      <c r="G251" s="1174"/>
      <c r="H251" s="1175"/>
      <c r="I251" s="1176"/>
      <c r="J251" s="1177"/>
      <c r="K251" s="1547"/>
      <c r="L251" s="1177"/>
      <c r="M251" s="1548"/>
      <c r="N251" s="1549"/>
      <c r="O251" s="1178"/>
      <c r="P251" s="1179"/>
      <c r="R251" s="104"/>
      <c r="S251" s="1172"/>
      <c r="T251" s="1172"/>
      <c r="U251" s="1172"/>
      <c r="V251" s="1173"/>
      <c r="W251" s="1174"/>
      <c r="X251" s="1175"/>
      <c r="Y251" s="1176"/>
      <c r="Z251" s="1177"/>
      <c r="AA251" s="1547"/>
      <c r="AB251" s="1177"/>
      <c r="AC251" s="1548"/>
      <c r="AD251" s="1549"/>
      <c r="AE251" s="1178"/>
      <c r="AF251" s="1179"/>
      <c r="AH251" s="104"/>
      <c r="AI251" s="1172"/>
      <c r="AJ251" s="1172"/>
      <c r="AK251" s="1172"/>
      <c r="AL251" s="1173"/>
      <c r="AM251" s="1174"/>
      <c r="AN251" s="1175"/>
      <c r="AO251" s="1176"/>
      <c r="AP251" s="1177"/>
      <c r="AQ251" s="1547"/>
      <c r="AR251" s="1177"/>
      <c r="AS251" s="1548"/>
      <c r="AT251" s="1549"/>
      <c r="AU251" s="1178"/>
      <c r="AV251" s="1179"/>
      <c r="AY251" s="3">
        <v>1</v>
      </c>
    </row>
    <row r="252" spans="2:51" ht="27" customHeight="1">
      <c r="B252" s="104"/>
      <c r="C252" s="1172"/>
      <c r="D252" s="1172"/>
      <c r="E252" s="1172"/>
      <c r="F252" s="1173"/>
      <c r="G252" s="1174"/>
      <c r="H252" s="1175"/>
      <c r="I252" s="1176"/>
      <c r="J252" s="1177"/>
      <c r="K252" s="1547"/>
      <c r="L252" s="1177"/>
      <c r="M252" s="1548"/>
      <c r="N252" s="1549"/>
      <c r="O252" s="1178"/>
      <c r="P252" s="1179"/>
      <c r="R252" s="104"/>
      <c r="S252" s="1172"/>
      <c r="T252" s="1172"/>
      <c r="U252" s="1172"/>
      <c r="V252" s="1173"/>
      <c r="W252" s="1174"/>
      <c r="X252" s="1175"/>
      <c r="Y252" s="1176"/>
      <c r="Z252" s="1177"/>
      <c r="AA252" s="1547"/>
      <c r="AB252" s="1177"/>
      <c r="AC252" s="1548"/>
      <c r="AD252" s="1549"/>
      <c r="AE252" s="1178"/>
      <c r="AF252" s="1179"/>
      <c r="AH252" s="104"/>
      <c r="AI252" s="1172"/>
      <c r="AJ252" s="1172"/>
      <c r="AK252" s="1172"/>
      <c r="AL252" s="1173"/>
      <c r="AM252" s="1174"/>
      <c r="AN252" s="1175"/>
      <c r="AO252" s="1176"/>
      <c r="AP252" s="1177"/>
      <c r="AQ252" s="1547"/>
      <c r="AR252" s="1177"/>
      <c r="AS252" s="1548"/>
      <c r="AT252" s="1549"/>
      <c r="AU252" s="1178"/>
      <c r="AV252" s="1179"/>
      <c r="AY252" s="3">
        <v>1</v>
      </c>
    </row>
    <row r="253" spans="2:51" ht="27" customHeight="1">
      <c r="B253" s="104"/>
      <c r="C253" s="1172"/>
      <c r="D253" s="1172"/>
      <c r="E253" s="1172"/>
      <c r="F253" s="1173"/>
      <c r="G253" s="1174"/>
      <c r="H253" s="1175"/>
      <c r="I253" s="1176"/>
      <c r="J253" s="1177"/>
      <c r="K253" s="1547"/>
      <c r="L253" s="1177"/>
      <c r="M253" s="1548"/>
      <c r="N253" s="1549"/>
      <c r="O253" s="1178"/>
      <c r="P253" s="1179"/>
      <c r="R253" s="104"/>
      <c r="S253" s="1172"/>
      <c r="T253" s="1172"/>
      <c r="U253" s="1172"/>
      <c r="V253" s="1173"/>
      <c r="W253" s="1174"/>
      <c r="X253" s="1175"/>
      <c r="Y253" s="1176"/>
      <c r="Z253" s="1177"/>
      <c r="AA253" s="1547"/>
      <c r="AB253" s="1177"/>
      <c r="AC253" s="1548"/>
      <c r="AD253" s="1549"/>
      <c r="AE253" s="1178"/>
      <c r="AF253" s="1179"/>
      <c r="AH253" s="104"/>
      <c r="AI253" s="1172"/>
      <c r="AJ253" s="1172"/>
      <c r="AK253" s="1172"/>
      <c r="AL253" s="1173"/>
      <c r="AM253" s="1174"/>
      <c r="AN253" s="1175"/>
      <c r="AO253" s="1176"/>
      <c r="AP253" s="1177"/>
      <c r="AQ253" s="1547"/>
      <c r="AR253" s="1177"/>
      <c r="AS253" s="1548"/>
      <c r="AT253" s="1549"/>
      <c r="AU253" s="1178"/>
      <c r="AV253" s="1179"/>
      <c r="AY253" s="3">
        <v>1</v>
      </c>
    </row>
    <row r="254" spans="2:51" ht="27" customHeight="1">
      <c r="B254" s="104"/>
      <c r="C254" s="1172"/>
      <c r="D254" s="1172"/>
      <c r="E254" s="1172"/>
      <c r="F254" s="1173"/>
      <c r="G254" s="1174"/>
      <c r="H254" s="1175"/>
      <c r="I254" s="1176"/>
      <c r="J254" s="1177"/>
      <c r="K254" s="1547"/>
      <c r="L254" s="1177"/>
      <c r="M254" s="1548"/>
      <c r="N254" s="1549"/>
      <c r="O254" s="1178"/>
      <c r="P254" s="1179"/>
      <c r="R254" s="104"/>
      <c r="S254" s="1172"/>
      <c r="T254" s="1172"/>
      <c r="U254" s="1172"/>
      <c r="V254" s="1173"/>
      <c r="W254" s="1174"/>
      <c r="X254" s="1175"/>
      <c r="Y254" s="1176"/>
      <c r="Z254" s="1177"/>
      <c r="AA254" s="1547"/>
      <c r="AB254" s="1177"/>
      <c r="AC254" s="1548"/>
      <c r="AD254" s="1549"/>
      <c r="AE254" s="1178"/>
      <c r="AF254" s="1179"/>
      <c r="AH254" s="104"/>
      <c r="AI254" s="1172"/>
      <c r="AJ254" s="1172"/>
      <c r="AK254" s="1172"/>
      <c r="AL254" s="1173"/>
      <c r="AM254" s="1174"/>
      <c r="AN254" s="1175"/>
      <c r="AO254" s="1176"/>
      <c r="AP254" s="1177"/>
      <c r="AQ254" s="1547"/>
      <c r="AR254" s="1177"/>
      <c r="AS254" s="1548"/>
      <c r="AT254" s="1549"/>
      <c r="AU254" s="1178"/>
      <c r="AV254" s="1179"/>
      <c r="AY254" s="3">
        <v>1</v>
      </c>
    </row>
    <row r="255" spans="2:51" ht="18.75">
      <c r="B255" s="104"/>
      <c r="C255" s="1172"/>
      <c r="D255" s="1172"/>
      <c r="E255" s="1172"/>
      <c r="F255" s="1173"/>
      <c r="G255" s="1174"/>
      <c r="H255" s="1175"/>
      <c r="I255" s="1176"/>
      <c r="J255" s="1177"/>
      <c r="K255" s="1547"/>
      <c r="L255" s="1177"/>
      <c r="M255" s="1548"/>
      <c r="N255" s="1549"/>
      <c r="O255" s="1178"/>
      <c r="P255" s="1179"/>
      <c r="R255" s="104"/>
      <c r="S255" s="1172"/>
      <c r="T255" s="1172"/>
      <c r="U255" s="1172"/>
      <c r="V255" s="1173"/>
      <c r="W255" s="1174"/>
      <c r="X255" s="1175"/>
      <c r="Y255" s="1176"/>
      <c r="Z255" s="1177"/>
      <c r="AA255" s="1547"/>
      <c r="AB255" s="1177"/>
      <c r="AC255" s="1548"/>
      <c r="AD255" s="1549"/>
      <c r="AE255" s="1178"/>
      <c r="AF255" s="1179"/>
      <c r="AH255" s="104"/>
      <c r="AI255" s="1172"/>
      <c r="AJ255" s="1172"/>
      <c r="AK255" s="1172"/>
      <c r="AL255" s="1173"/>
      <c r="AM255" s="1174"/>
      <c r="AN255" s="1175"/>
      <c r="AO255" s="1176"/>
      <c r="AP255" s="1177"/>
      <c r="AQ255" s="1547"/>
      <c r="AR255" s="1177"/>
      <c r="AS255" s="1548"/>
      <c r="AT255" s="1549"/>
      <c r="AU255" s="1178"/>
      <c r="AV255" s="1179"/>
      <c r="AY255" s="3">
        <v>1</v>
      </c>
    </row>
    <row r="256" spans="2:51" ht="18.75">
      <c r="B256" s="104"/>
      <c r="C256" s="1172"/>
      <c r="D256" s="1172"/>
      <c r="E256" s="1172"/>
      <c r="F256" s="1173"/>
      <c r="G256" s="1174"/>
      <c r="H256" s="1175"/>
      <c r="I256" s="1176"/>
      <c r="J256" s="1177"/>
      <c r="K256" s="1547"/>
      <c r="L256" s="1177"/>
      <c r="M256" s="1548"/>
      <c r="N256" s="1549"/>
      <c r="O256" s="1178"/>
      <c r="P256" s="1179"/>
      <c r="R256" s="104"/>
      <c r="S256" s="1172"/>
      <c r="T256" s="1172"/>
      <c r="U256" s="1172"/>
      <c r="V256" s="1173"/>
      <c r="W256" s="1174"/>
      <c r="X256" s="1175"/>
      <c r="Y256" s="1176"/>
      <c r="Z256" s="1177"/>
      <c r="AA256" s="1547"/>
      <c r="AB256" s="1177"/>
      <c r="AC256" s="1548"/>
      <c r="AD256" s="1549"/>
      <c r="AE256" s="1178"/>
      <c r="AF256" s="1179"/>
      <c r="AH256" s="104"/>
      <c r="AI256" s="1172"/>
      <c r="AJ256" s="1172"/>
      <c r="AK256" s="1172"/>
      <c r="AL256" s="1173"/>
      <c r="AM256" s="1174"/>
      <c r="AN256" s="1175"/>
      <c r="AO256" s="1176"/>
      <c r="AP256" s="1177"/>
      <c r="AQ256" s="1547"/>
      <c r="AR256" s="1177"/>
      <c r="AS256" s="1548"/>
      <c r="AT256" s="1549"/>
      <c r="AU256" s="1178"/>
      <c r="AV256" s="1179"/>
      <c r="AY256" s="3">
        <v>1</v>
      </c>
    </row>
    <row r="257" spans="2:51" ht="18.75">
      <c r="B257" s="104"/>
      <c r="C257" s="1172"/>
      <c r="D257" s="1172"/>
      <c r="E257" s="1172"/>
      <c r="F257" s="1173"/>
      <c r="G257" s="1174"/>
      <c r="H257" s="1175"/>
      <c r="I257" s="1176"/>
      <c r="J257" s="1177"/>
      <c r="K257" s="1547"/>
      <c r="L257" s="1177"/>
      <c r="M257" s="1548"/>
      <c r="N257" s="1549"/>
      <c r="O257" s="1178"/>
      <c r="P257" s="1179"/>
      <c r="R257" s="104"/>
      <c r="S257" s="1172"/>
      <c r="T257" s="1172"/>
      <c r="U257" s="1172"/>
      <c r="V257" s="1173"/>
      <c r="W257" s="1174"/>
      <c r="X257" s="1175"/>
      <c r="Y257" s="1176"/>
      <c r="Z257" s="1177"/>
      <c r="AA257" s="1547"/>
      <c r="AB257" s="1177"/>
      <c r="AC257" s="1548"/>
      <c r="AD257" s="1549"/>
      <c r="AE257" s="1178"/>
      <c r="AF257" s="1179"/>
      <c r="AH257" s="104"/>
      <c r="AI257" s="1172"/>
      <c r="AJ257" s="1172"/>
      <c r="AK257" s="1172"/>
      <c r="AL257" s="1173"/>
      <c r="AM257" s="1174"/>
      <c r="AN257" s="1175"/>
      <c r="AO257" s="1176"/>
      <c r="AP257" s="1177"/>
      <c r="AQ257" s="1547"/>
      <c r="AR257" s="1177"/>
      <c r="AS257" s="1548"/>
      <c r="AT257" s="1549"/>
      <c r="AU257" s="1178"/>
      <c r="AV257" s="1179"/>
      <c r="AY257" s="3">
        <v>1</v>
      </c>
    </row>
    <row r="258" spans="2:51" ht="18.75">
      <c r="B258" s="104"/>
      <c r="C258" s="1172"/>
      <c r="D258" s="1172"/>
      <c r="E258" s="1172"/>
      <c r="F258" s="1173"/>
      <c r="G258" s="1174"/>
      <c r="H258" s="1175"/>
      <c r="I258" s="1176"/>
      <c r="J258" s="1177"/>
      <c r="K258" s="1547"/>
      <c r="L258" s="1177"/>
      <c r="M258" s="1548"/>
      <c r="N258" s="1549"/>
      <c r="O258" s="1178"/>
      <c r="P258" s="1179"/>
      <c r="R258" s="104"/>
      <c r="S258" s="1172"/>
      <c r="T258" s="1172"/>
      <c r="U258" s="1172"/>
      <c r="V258" s="1173"/>
      <c r="W258" s="1174"/>
      <c r="X258" s="1175"/>
      <c r="Y258" s="1176"/>
      <c r="Z258" s="1177"/>
      <c r="AA258" s="1547"/>
      <c r="AB258" s="1177"/>
      <c r="AC258" s="1548"/>
      <c r="AD258" s="1549"/>
      <c r="AE258" s="1178"/>
      <c r="AF258" s="1179"/>
      <c r="AH258" s="104"/>
      <c r="AI258" s="1172"/>
      <c r="AJ258" s="1172"/>
      <c r="AK258" s="1172"/>
      <c r="AL258" s="1173"/>
      <c r="AM258" s="1174"/>
      <c r="AN258" s="1175"/>
      <c r="AO258" s="1176"/>
      <c r="AP258" s="1177"/>
      <c r="AQ258" s="1547"/>
      <c r="AR258" s="1177"/>
      <c r="AS258" s="1548"/>
      <c r="AT258" s="1549"/>
      <c r="AU258" s="1178"/>
      <c r="AV258" s="1179"/>
      <c r="AY258" s="3">
        <v>1</v>
      </c>
    </row>
    <row r="259" spans="2:51" ht="18.75">
      <c r="B259" s="104"/>
      <c r="C259" s="1172"/>
      <c r="D259" s="1172"/>
      <c r="E259" s="1172"/>
      <c r="F259" s="1173"/>
      <c r="G259" s="1174"/>
      <c r="H259" s="1175"/>
      <c r="I259" s="1176"/>
      <c r="J259" s="1177"/>
      <c r="K259" s="1547"/>
      <c r="L259" s="1177"/>
      <c r="M259" s="1548"/>
      <c r="N259" s="1549"/>
      <c r="O259" s="1178"/>
      <c r="P259" s="1179"/>
      <c r="R259" s="104"/>
      <c r="S259" s="1172"/>
      <c r="T259" s="1172"/>
      <c r="U259" s="1172"/>
      <c r="V259" s="1173"/>
      <c r="W259" s="1174"/>
      <c r="X259" s="1175"/>
      <c r="Y259" s="1176"/>
      <c r="Z259" s="1177"/>
      <c r="AA259" s="1547"/>
      <c r="AB259" s="1177"/>
      <c r="AC259" s="1548"/>
      <c r="AD259" s="1549"/>
      <c r="AE259" s="1178"/>
      <c r="AF259" s="1179"/>
      <c r="AH259" s="104"/>
      <c r="AI259" s="1172"/>
      <c r="AJ259" s="1172"/>
      <c r="AK259" s="1172"/>
      <c r="AL259" s="1173"/>
      <c r="AM259" s="1174"/>
      <c r="AN259" s="1175"/>
      <c r="AO259" s="1176"/>
      <c r="AP259" s="1177"/>
      <c r="AQ259" s="1547"/>
      <c r="AR259" s="1177"/>
      <c r="AS259" s="1548"/>
      <c r="AT259" s="1549"/>
      <c r="AU259" s="1178"/>
      <c r="AV259" s="1179"/>
      <c r="AY259" s="3">
        <v>1</v>
      </c>
    </row>
    <row r="260" spans="2:51" ht="18.75">
      <c r="B260" s="104"/>
      <c r="C260" s="1172"/>
      <c r="D260" s="1172"/>
      <c r="E260" s="1172"/>
      <c r="F260" s="1173"/>
      <c r="G260" s="1174"/>
      <c r="H260" s="1175"/>
      <c r="I260" s="1176"/>
      <c r="J260" s="1177"/>
      <c r="K260" s="1547"/>
      <c r="L260" s="1177"/>
      <c r="M260" s="1548"/>
      <c r="N260" s="1549"/>
      <c r="O260" s="1178"/>
      <c r="P260" s="1179"/>
      <c r="R260" s="104"/>
      <c r="S260" s="1172"/>
      <c r="T260" s="1172"/>
      <c r="U260" s="1172"/>
      <c r="V260" s="1173"/>
      <c r="W260" s="1174"/>
      <c r="X260" s="1175"/>
      <c r="Y260" s="1176"/>
      <c r="Z260" s="1177"/>
      <c r="AA260" s="1547"/>
      <c r="AB260" s="1177"/>
      <c r="AC260" s="1548"/>
      <c r="AD260" s="1549"/>
      <c r="AE260" s="1178"/>
      <c r="AF260" s="1179"/>
      <c r="AH260" s="104"/>
      <c r="AI260" s="1172"/>
      <c r="AJ260" s="1172"/>
      <c r="AK260" s="1172"/>
      <c r="AL260" s="1173"/>
      <c r="AM260" s="1174"/>
      <c r="AN260" s="1175"/>
      <c r="AO260" s="1176"/>
      <c r="AP260" s="1177"/>
      <c r="AQ260" s="1547"/>
      <c r="AR260" s="1177"/>
      <c r="AS260" s="1548"/>
      <c r="AT260" s="1549"/>
      <c r="AU260" s="1178"/>
      <c r="AV260" s="1179"/>
      <c r="AY260" s="3">
        <v>1</v>
      </c>
    </row>
    <row r="261" spans="2:51" ht="18.75">
      <c r="B261" s="104"/>
      <c r="C261" s="1172"/>
      <c r="D261" s="1172"/>
      <c r="E261" s="1172"/>
      <c r="F261" s="1173"/>
      <c r="G261" s="1174"/>
      <c r="H261" s="1175"/>
      <c r="I261" s="1176"/>
      <c r="J261" s="1177"/>
      <c r="K261" s="1547"/>
      <c r="L261" s="1177"/>
      <c r="M261" s="1548"/>
      <c r="N261" s="1549"/>
      <c r="O261" s="1178"/>
      <c r="P261" s="1179"/>
      <c r="R261" s="104"/>
      <c r="S261" s="1172"/>
      <c r="T261" s="1172"/>
      <c r="U261" s="1172"/>
      <c r="V261" s="1173"/>
      <c r="W261" s="1174"/>
      <c r="X261" s="1175"/>
      <c r="Y261" s="1176"/>
      <c r="Z261" s="1177"/>
      <c r="AA261" s="1547"/>
      <c r="AB261" s="1177"/>
      <c r="AC261" s="1548"/>
      <c r="AD261" s="1549"/>
      <c r="AE261" s="1178"/>
      <c r="AF261" s="1179"/>
      <c r="AH261" s="104"/>
      <c r="AI261" s="1172"/>
      <c r="AJ261" s="1172"/>
      <c r="AK261" s="1172"/>
      <c r="AL261" s="1173"/>
      <c r="AM261" s="1174"/>
      <c r="AN261" s="1175"/>
      <c r="AO261" s="1176"/>
      <c r="AP261" s="1177"/>
      <c r="AQ261" s="1547"/>
      <c r="AR261" s="1177"/>
      <c r="AS261" s="1548"/>
      <c r="AT261" s="1549"/>
      <c r="AU261" s="1178"/>
      <c r="AV261" s="1179"/>
      <c r="AY261" s="3">
        <v>1</v>
      </c>
    </row>
    <row r="262" spans="2:51" ht="18.75">
      <c r="B262" s="104"/>
      <c r="C262" s="1172"/>
      <c r="D262" s="1172"/>
      <c r="E262" s="1172"/>
      <c r="F262" s="1173"/>
      <c r="G262" s="1174"/>
      <c r="H262" s="1175"/>
      <c r="I262" s="1176"/>
      <c r="J262" s="1177"/>
      <c r="K262" s="1547"/>
      <c r="L262" s="1177"/>
      <c r="M262" s="1548"/>
      <c r="N262" s="1549"/>
      <c r="O262" s="1178"/>
      <c r="P262" s="1179"/>
      <c r="R262" s="104"/>
      <c r="S262" s="1172"/>
      <c r="T262" s="1172"/>
      <c r="U262" s="1172"/>
      <c r="V262" s="1173"/>
      <c r="W262" s="1174"/>
      <c r="X262" s="1175"/>
      <c r="Y262" s="1176"/>
      <c r="Z262" s="1177"/>
      <c r="AA262" s="1547"/>
      <c r="AB262" s="1177"/>
      <c r="AC262" s="1548"/>
      <c r="AD262" s="1549"/>
      <c r="AE262" s="1178"/>
      <c r="AF262" s="1179"/>
      <c r="AH262" s="104"/>
      <c r="AI262" s="1172"/>
      <c r="AJ262" s="1172"/>
      <c r="AK262" s="1172"/>
      <c r="AL262" s="1173"/>
      <c r="AM262" s="1174"/>
      <c r="AN262" s="1175"/>
      <c r="AO262" s="1176"/>
      <c r="AP262" s="1177"/>
      <c r="AQ262" s="1547"/>
      <c r="AR262" s="1177"/>
      <c r="AS262" s="1548"/>
      <c r="AT262" s="1549"/>
      <c r="AU262" s="1178"/>
      <c r="AV262" s="1179"/>
      <c r="AY262" s="3">
        <v>1</v>
      </c>
    </row>
    <row r="263" spans="2:51" ht="18.75">
      <c r="B263" s="104"/>
      <c r="C263" s="1172"/>
      <c r="D263" s="1172"/>
      <c r="E263" s="1172"/>
      <c r="F263" s="1173"/>
      <c r="G263" s="1174"/>
      <c r="H263" s="1175"/>
      <c r="I263" s="1176"/>
      <c r="J263" s="1177"/>
      <c r="K263" s="1547"/>
      <c r="L263" s="1177"/>
      <c r="M263" s="1548"/>
      <c r="N263" s="1549"/>
      <c r="O263" s="1178"/>
      <c r="P263" s="1179"/>
      <c r="R263" s="104"/>
      <c r="S263" s="1172"/>
      <c r="T263" s="1172"/>
      <c r="U263" s="1172"/>
      <c r="V263" s="1173"/>
      <c r="W263" s="1174"/>
      <c r="X263" s="1175"/>
      <c r="Y263" s="1176"/>
      <c r="Z263" s="1177"/>
      <c r="AA263" s="1547"/>
      <c r="AB263" s="1177"/>
      <c r="AC263" s="1548"/>
      <c r="AD263" s="1549"/>
      <c r="AE263" s="1178"/>
      <c r="AF263" s="1179"/>
      <c r="AH263" s="104"/>
      <c r="AI263" s="1172"/>
      <c r="AJ263" s="1172"/>
      <c r="AK263" s="1172"/>
      <c r="AL263" s="1173"/>
      <c r="AM263" s="1174"/>
      <c r="AN263" s="1175"/>
      <c r="AO263" s="1176"/>
      <c r="AP263" s="1177"/>
      <c r="AQ263" s="1547"/>
      <c r="AR263" s="1177"/>
      <c r="AS263" s="1548"/>
      <c r="AT263" s="1549"/>
      <c r="AU263" s="1178"/>
      <c r="AV263" s="1179"/>
      <c r="AY263" s="3">
        <v>1</v>
      </c>
    </row>
    <row r="264" spans="2:51" ht="18.75">
      <c r="B264" s="104"/>
      <c r="C264" s="1172"/>
      <c r="D264" s="1172"/>
      <c r="E264" s="1172"/>
      <c r="F264" s="1173"/>
      <c r="G264" s="1174"/>
      <c r="H264" s="1175"/>
      <c r="I264" s="1176"/>
      <c r="J264" s="1177"/>
      <c r="K264" s="1547"/>
      <c r="L264" s="1177"/>
      <c r="M264" s="1548"/>
      <c r="N264" s="1549"/>
      <c r="O264" s="1178"/>
      <c r="P264" s="1179"/>
      <c r="R264" s="104"/>
      <c r="S264" s="1172"/>
      <c r="T264" s="1172"/>
      <c r="U264" s="1172"/>
      <c r="V264" s="1173"/>
      <c r="W264" s="1174"/>
      <c r="X264" s="1175"/>
      <c r="Y264" s="1176"/>
      <c r="Z264" s="1177"/>
      <c r="AA264" s="1547"/>
      <c r="AB264" s="1177"/>
      <c r="AC264" s="1548"/>
      <c r="AD264" s="1549"/>
      <c r="AE264" s="1178"/>
      <c r="AF264" s="1179"/>
      <c r="AH264" s="104"/>
      <c r="AI264" s="1172"/>
      <c r="AJ264" s="1172"/>
      <c r="AK264" s="1172"/>
      <c r="AL264" s="1173"/>
      <c r="AM264" s="1174"/>
      <c r="AN264" s="1175"/>
      <c r="AO264" s="1176"/>
      <c r="AP264" s="1177"/>
      <c r="AQ264" s="1547"/>
      <c r="AR264" s="1177"/>
      <c r="AS264" s="1548"/>
      <c r="AT264" s="1549"/>
      <c r="AU264" s="1178"/>
      <c r="AV264" s="1179"/>
      <c r="AY264" s="3">
        <v>1</v>
      </c>
    </row>
    <row r="265" spans="2:51" ht="18.75">
      <c r="B265" s="104"/>
      <c r="C265" s="1172"/>
      <c r="D265" s="1172"/>
      <c r="E265" s="1172"/>
      <c r="F265" s="1173"/>
      <c r="G265" s="1174"/>
      <c r="H265" s="1175"/>
      <c r="I265" s="1176"/>
      <c r="J265" s="1177"/>
      <c r="K265" s="1547"/>
      <c r="L265" s="1177"/>
      <c r="M265" s="1548"/>
      <c r="N265" s="1549"/>
      <c r="O265" s="1178"/>
      <c r="P265" s="1179"/>
      <c r="R265" s="104"/>
      <c r="S265" s="1172"/>
      <c r="T265" s="1172"/>
      <c r="U265" s="1172"/>
      <c r="V265" s="1173"/>
      <c r="W265" s="1174"/>
      <c r="X265" s="1175"/>
      <c r="Y265" s="1176"/>
      <c r="Z265" s="1177"/>
      <c r="AA265" s="1547"/>
      <c r="AB265" s="1177"/>
      <c r="AC265" s="1548"/>
      <c r="AD265" s="1549"/>
      <c r="AE265" s="1178"/>
      <c r="AF265" s="1179"/>
      <c r="AH265" s="104"/>
      <c r="AI265" s="1172"/>
      <c r="AJ265" s="1172"/>
      <c r="AK265" s="1172"/>
      <c r="AL265" s="1173"/>
      <c r="AM265" s="1174"/>
      <c r="AN265" s="1175"/>
      <c r="AO265" s="1176"/>
      <c r="AP265" s="1177"/>
      <c r="AQ265" s="1547"/>
      <c r="AR265" s="1177"/>
      <c r="AS265" s="1548"/>
      <c r="AT265" s="1549"/>
      <c r="AU265" s="1178"/>
      <c r="AV265" s="1179"/>
      <c r="AY265" s="3">
        <v>1</v>
      </c>
    </row>
    <row r="266" spans="2:51" ht="18.75">
      <c r="B266" s="104"/>
      <c r="C266" s="1172"/>
      <c r="D266" s="1172"/>
      <c r="E266" s="1172"/>
      <c r="F266" s="1173"/>
      <c r="G266" s="1174"/>
      <c r="H266" s="1175"/>
      <c r="I266" s="1176"/>
      <c r="J266" s="1177"/>
      <c r="K266" s="1547"/>
      <c r="L266" s="1177"/>
      <c r="M266" s="1548"/>
      <c r="N266" s="1549"/>
      <c r="O266" s="1178"/>
      <c r="P266" s="1179"/>
      <c r="R266" s="104"/>
      <c r="S266" s="1172"/>
      <c r="T266" s="1172"/>
      <c r="U266" s="1172"/>
      <c r="V266" s="1173"/>
      <c r="W266" s="1174"/>
      <c r="X266" s="1175"/>
      <c r="Y266" s="1176"/>
      <c r="Z266" s="1177"/>
      <c r="AA266" s="1547"/>
      <c r="AB266" s="1177"/>
      <c r="AC266" s="1548"/>
      <c r="AD266" s="1549"/>
      <c r="AE266" s="1178"/>
      <c r="AF266" s="1179"/>
      <c r="AH266" s="104"/>
      <c r="AI266" s="1172"/>
      <c r="AJ266" s="1172"/>
      <c r="AK266" s="1172"/>
      <c r="AL266" s="1173"/>
      <c r="AM266" s="1174"/>
      <c r="AN266" s="1175"/>
      <c r="AO266" s="1176"/>
      <c r="AP266" s="1177"/>
      <c r="AQ266" s="1547"/>
      <c r="AR266" s="1177"/>
      <c r="AS266" s="1548"/>
      <c r="AT266" s="1549"/>
      <c r="AU266" s="1178"/>
      <c r="AV266" s="1179"/>
      <c r="AY266" s="3">
        <v>1</v>
      </c>
    </row>
    <row r="267" spans="2:51" ht="18.75">
      <c r="B267" s="104"/>
      <c r="C267" s="1172"/>
      <c r="D267" s="1172"/>
      <c r="E267" s="1172"/>
      <c r="F267" s="1173"/>
      <c r="G267" s="1174"/>
      <c r="H267" s="1175"/>
      <c r="I267" s="1176"/>
      <c r="J267" s="1177"/>
      <c r="K267" s="1547"/>
      <c r="L267" s="1177"/>
      <c r="M267" s="1548"/>
      <c r="N267" s="1549"/>
      <c r="O267" s="1178"/>
      <c r="P267" s="1179"/>
      <c r="R267" s="104"/>
      <c r="S267" s="1172"/>
      <c r="T267" s="1172"/>
      <c r="U267" s="1172"/>
      <c r="V267" s="1173"/>
      <c r="W267" s="1174"/>
      <c r="X267" s="1175"/>
      <c r="Y267" s="1176"/>
      <c r="Z267" s="1177"/>
      <c r="AA267" s="1547"/>
      <c r="AB267" s="1177"/>
      <c r="AC267" s="1548"/>
      <c r="AD267" s="1549"/>
      <c r="AE267" s="1178"/>
      <c r="AF267" s="1179"/>
      <c r="AH267" s="104"/>
      <c r="AI267" s="1172"/>
      <c r="AJ267" s="1172"/>
      <c r="AK267" s="1172"/>
      <c r="AL267" s="1173"/>
      <c r="AM267" s="1174"/>
      <c r="AN267" s="1175"/>
      <c r="AO267" s="1176"/>
      <c r="AP267" s="1177"/>
      <c r="AQ267" s="1547"/>
      <c r="AR267" s="1177"/>
      <c r="AS267" s="1548"/>
      <c r="AT267" s="1549"/>
      <c r="AU267" s="1178"/>
      <c r="AV267" s="1179"/>
      <c r="AY267" s="3">
        <v>1</v>
      </c>
    </row>
    <row r="268" spans="2:51" ht="18.75">
      <c r="B268" s="104"/>
      <c r="C268" s="1172"/>
      <c r="D268" s="1172"/>
      <c r="E268" s="1172"/>
      <c r="F268" s="1173"/>
      <c r="G268" s="1174"/>
      <c r="H268" s="1175"/>
      <c r="I268" s="1176"/>
      <c r="J268" s="1177"/>
      <c r="K268" s="1547"/>
      <c r="L268" s="1177"/>
      <c r="M268" s="1548"/>
      <c r="N268" s="1549"/>
      <c r="O268" s="1178"/>
      <c r="P268" s="1179"/>
      <c r="R268" s="104"/>
      <c r="S268" s="1172"/>
      <c r="T268" s="1172"/>
      <c r="U268" s="1172"/>
      <c r="V268" s="1173"/>
      <c r="W268" s="1174"/>
      <c r="X268" s="1175"/>
      <c r="Y268" s="1176"/>
      <c r="Z268" s="1177"/>
      <c r="AA268" s="1547"/>
      <c r="AB268" s="1177"/>
      <c r="AC268" s="1548"/>
      <c r="AD268" s="1549"/>
      <c r="AE268" s="1178"/>
      <c r="AF268" s="1179"/>
      <c r="AH268" s="104"/>
      <c r="AI268" s="1172"/>
      <c r="AJ268" s="1172"/>
      <c r="AK268" s="1172"/>
      <c r="AL268" s="1173"/>
      <c r="AM268" s="1174"/>
      <c r="AN268" s="1175"/>
      <c r="AO268" s="1176"/>
      <c r="AP268" s="1177"/>
      <c r="AQ268" s="1547"/>
      <c r="AR268" s="1177"/>
      <c r="AS268" s="1548"/>
      <c r="AT268" s="1549"/>
      <c r="AU268" s="1178"/>
      <c r="AV268" s="1179"/>
      <c r="AY268" s="3">
        <v>1</v>
      </c>
    </row>
    <row r="269" spans="2:51" ht="18.75">
      <c r="B269" s="104"/>
      <c r="C269" s="1172"/>
      <c r="D269" s="1172"/>
      <c r="E269" s="1172"/>
      <c r="F269" s="1173"/>
      <c r="G269" s="1174"/>
      <c r="H269" s="1175"/>
      <c r="I269" s="1176"/>
      <c r="J269" s="1177"/>
      <c r="K269" s="1547"/>
      <c r="L269" s="1177"/>
      <c r="M269" s="1548"/>
      <c r="N269" s="1549"/>
      <c r="O269" s="1178"/>
      <c r="P269" s="1179"/>
      <c r="R269" s="104"/>
      <c r="S269" s="1172"/>
      <c r="T269" s="1172"/>
      <c r="U269" s="1172"/>
      <c r="V269" s="1173"/>
      <c r="W269" s="1174"/>
      <c r="X269" s="1175"/>
      <c r="Y269" s="1176"/>
      <c r="Z269" s="1177"/>
      <c r="AA269" s="1547"/>
      <c r="AB269" s="1177"/>
      <c r="AC269" s="1548"/>
      <c r="AD269" s="1549"/>
      <c r="AE269" s="1178"/>
      <c r="AF269" s="1179"/>
      <c r="AH269" s="104"/>
      <c r="AI269" s="1172"/>
      <c r="AJ269" s="1172"/>
      <c r="AK269" s="1172"/>
      <c r="AL269" s="1173"/>
      <c r="AM269" s="1174"/>
      <c r="AN269" s="1175"/>
      <c r="AO269" s="1176"/>
      <c r="AP269" s="1177"/>
      <c r="AQ269" s="1547"/>
      <c r="AR269" s="1177"/>
      <c r="AS269" s="1548"/>
      <c r="AT269" s="1549"/>
      <c r="AU269" s="1178"/>
      <c r="AV269" s="1179"/>
      <c r="AY269" s="3">
        <v>1</v>
      </c>
    </row>
    <row r="270" spans="2:51" ht="18.75">
      <c r="B270" s="104"/>
      <c r="C270" s="1172"/>
      <c r="D270" s="1172"/>
      <c r="E270" s="1172"/>
      <c r="F270" s="1173"/>
      <c r="G270" s="1174"/>
      <c r="H270" s="1175"/>
      <c r="I270" s="1176"/>
      <c r="J270" s="1177"/>
      <c r="K270" s="1547"/>
      <c r="L270" s="1177"/>
      <c r="M270" s="1548"/>
      <c r="N270" s="1549"/>
      <c r="O270" s="1178"/>
      <c r="P270" s="1179"/>
      <c r="R270" s="104"/>
      <c r="S270" s="1172"/>
      <c r="T270" s="1172"/>
      <c r="U270" s="1172"/>
      <c r="V270" s="1173"/>
      <c r="W270" s="1174"/>
      <c r="X270" s="1175"/>
      <c r="Y270" s="1176"/>
      <c r="Z270" s="1177"/>
      <c r="AA270" s="1547"/>
      <c r="AB270" s="1177"/>
      <c r="AC270" s="1548"/>
      <c r="AD270" s="1549"/>
      <c r="AE270" s="1178"/>
      <c r="AF270" s="1179"/>
      <c r="AH270" s="104"/>
      <c r="AI270" s="1172"/>
      <c r="AJ270" s="1172"/>
      <c r="AK270" s="1172"/>
      <c r="AL270" s="1173"/>
      <c r="AM270" s="1174"/>
      <c r="AN270" s="1175"/>
      <c r="AO270" s="1176"/>
      <c r="AP270" s="1177"/>
      <c r="AQ270" s="1547"/>
      <c r="AR270" s="1177"/>
      <c r="AS270" s="1548"/>
      <c r="AT270" s="1549"/>
      <c r="AU270" s="1178"/>
      <c r="AV270" s="1179"/>
      <c r="AY270" s="3">
        <v>1</v>
      </c>
    </row>
    <row r="271" spans="2:51" ht="18.75">
      <c r="B271" s="104"/>
      <c r="C271" s="1172"/>
      <c r="D271" s="1172"/>
      <c r="E271" s="1172"/>
      <c r="F271" s="1173"/>
      <c r="G271" s="1174"/>
      <c r="H271" s="1175"/>
      <c r="I271" s="1176"/>
      <c r="J271" s="1177"/>
      <c r="K271" s="1547"/>
      <c r="L271" s="1177"/>
      <c r="M271" s="1548"/>
      <c r="N271" s="1549"/>
      <c r="O271" s="1178"/>
      <c r="P271" s="1179"/>
      <c r="R271" s="104"/>
      <c r="S271" s="1172"/>
      <c r="T271" s="1172"/>
      <c r="U271" s="1172"/>
      <c r="V271" s="1173"/>
      <c r="W271" s="1174"/>
      <c r="X271" s="1175"/>
      <c r="Y271" s="1176"/>
      <c r="Z271" s="1177"/>
      <c r="AA271" s="1547"/>
      <c r="AB271" s="1177"/>
      <c r="AC271" s="1548"/>
      <c r="AD271" s="1549"/>
      <c r="AE271" s="1178"/>
      <c r="AF271" s="1179"/>
      <c r="AH271" s="104"/>
      <c r="AI271" s="1172"/>
      <c r="AJ271" s="1172"/>
      <c r="AK271" s="1172"/>
      <c r="AL271" s="1173"/>
      <c r="AM271" s="1174"/>
      <c r="AN271" s="1175"/>
      <c r="AO271" s="1176"/>
      <c r="AP271" s="1177"/>
      <c r="AQ271" s="1547"/>
      <c r="AR271" s="1177"/>
      <c r="AS271" s="1548"/>
      <c r="AT271" s="1549"/>
      <c r="AU271" s="1178"/>
      <c r="AV271" s="1179"/>
      <c r="AY271" s="3">
        <v>1</v>
      </c>
    </row>
    <row r="272" spans="2:51" ht="18.75">
      <c r="B272" s="104"/>
      <c r="C272" s="1172"/>
      <c r="D272" s="1172"/>
      <c r="E272" s="1172"/>
      <c r="F272" s="1173"/>
      <c r="G272" s="1174"/>
      <c r="H272" s="1175"/>
      <c r="I272" s="1176"/>
      <c r="J272" s="1177"/>
      <c r="K272" s="1547"/>
      <c r="L272" s="1177"/>
      <c r="M272" s="1548"/>
      <c r="N272" s="1549"/>
      <c r="O272" s="1178"/>
      <c r="P272" s="1179"/>
      <c r="R272" s="104"/>
      <c r="S272" s="1172"/>
      <c r="T272" s="1172"/>
      <c r="U272" s="1172"/>
      <c r="V272" s="1173"/>
      <c r="W272" s="1174"/>
      <c r="X272" s="1175"/>
      <c r="Y272" s="1176"/>
      <c r="Z272" s="1177"/>
      <c r="AA272" s="1547"/>
      <c r="AB272" s="1177"/>
      <c r="AC272" s="1548"/>
      <c r="AD272" s="1549"/>
      <c r="AE272" s="1178"/>
      <c r="AF272" s="1179"/>
      <c r="AH272" s="104"/>
      <c r="AI272" s="1172"/>
      <c r="AJ272" s="1172"/>
      <c r="AK272" s="1172"/>
      <c r="AL272" s="1173"/>
      <c r="AM272" s="1174"/>
      <c r="AN272" s="1175"/>
      <c r="AO272" s="1176"/>
      <c r="AP272" s="1177"/>
      <c r="AQ272" s="1547"/>
      <c r="AR272" s="1177"/>
      <c r="AS272" s="1548"/>
      <c r="AT272" s="1549"/>
      <c r="AU272" s="1178"/>
      <c r="AV272" s="1179"/>
      <c r="AY272" s="3">
        <v>1</v>
      </c>
    </row>
    <row r="273" spans="2:51" ht="18.75">
      <c r="B273" s="104"/>
      <c r="C273" s="1172"/>
      <c r="D273" s="1172"/>
      <c r="E273" s="1172"/>
      <c r="F273" s="1173"/>
      <c r="G273" s="1174"/>
      <c r="H273" s="1175"/>
      <c r="I273" s="1176"/>
      <c r="J273" s="1177"/>
      <c r="K273" s="1547"/>
      <c r="L273" s="1177"/>
      <c r="M273" s="1548"/>
      <c r="N273" s="1549"/>
      <c r="O273" s="1178"/>
      <c r="P273" s="1179"/>
      <c r="R273" s="104"/>
      <c r="S273" s="1172"/>
      <c r="T273" s="1172"/>
      <c r="U273" s="1172"/>
      <c r="V273" s="1173"/>
      <c r="W273" s="1174"/>
      <c r="X273" s="1175"/>
      <c r="Y273" s="1176"/>
      <c r="Z273" s="1177"/>
      <c r="AA273" s="1547"/>
      <c r="AB273" s="1177"/>
      <c r="AC273" s="1548"/>
      <c r="AD273" s="1549"/>
      <c r="AE273" s="1178"/>
      <c r="AF273" s="1179"/>
      <c r="AH273" s="104"/>
      <c r="AI273" s="1172"/>
      <c r="AJ273" s="1172"/>
      <c r="AK273" s="1172"/>
      <c r="AL273" s="1173"/>
      <c r="AM273" s="1174"/>
      <c r="AN273" s="1175"/>
      <c r="AO273" s="1176"/>
      <c r="AP273" s="1177"/>
      <c r="AQ273" s="1547"/>
      <c r="AR273" s="1177"/>
      <c r="AS273" s="1548"/>
      <c r="AT273" s="1549"/>
      <c r="AU273" s="1178"/>
      <c r="AV273" s="1179"/>
      <c r="AY273" s="3">
        <v>1</v>
      </c>
    </row>
    <row r="274" spans="2:51" ht="18.75">
      <c r="B274" s="104"/>
      <c r="C274" s="1172"/>
      <c r="D274" s="1172"/>
      <c r="E274" s="1172"/>
      <c r="F274" s="1173"/>
      <c r="G274" s="1174"/>
      <c r="H274" s="1175"/>
      <c r="I274" s="1176"/>
      <c r="J274" s="1177"/>
      <c r="K274" s="1547"/>
      <c r="L274" s="1177"/>
      <c r="M274" s="1548"/>
      <c r="N274" s="1549"/>
      <c r="O274" s="1178"/>
      <c r="P274" s="1179"/>
      <c r="R274" s="104"/>
      <c r="S274" s="1172"/>
      <c r="T274" s="1172"/>
      <c r="U274" s="1172"/>
      <c r="V274" s="1173"/>
      <c r="W274" s="1174"/>
      <c r="X274" s="1175"/>
      <c r="Y274" s="1176"/>
      <c r="Z274" s="1177"/>
      <c r="AA274" s="1547"/>
      <c r="AB274" s="1177"/>
      <c r="AC274" s="1548"/>
      <c r="AD274" s="1549"/>
      <c r="AE274" s="1178"/>
      <c r="AF274" s="1179"/>
      <c r="AH274" s="104"/>
      <c r="AI274" s="1172"/>
      <c r="AJ274" s="1172"/>
      <c r="AK274" s="1172"/>
      <c r="AL274" s="1173"/>
      <c r="AM274" s="1174"/>
      <c r="AN274" s="1175"/>
      <c r="AO274" s="1176"/>
      <c r="AP274" s="1177"/>
      <c r="AQ274" s="1547"/>
      <c r="AR274" s="1177"/>
      <c r="AS274" s="1548"/>
      <c r="AT274" s="1549"/>
      <c r="AU274" s="1178"/>
      <c r="AV274" s="1179"/>
      <c r="AY274" s="3">
        <v>1</v>
      </c>
    </row>
    <row r="275" spans="2:51" ht="18.75">
      <c r="B275" s="104"/>
      <c r="C275" s="1172"/>
      <c r="D275" s="1172"/>
      <c r="E275" s="1172"/>
      <c r="F275" s="1173"/>
      <c r="G275" s="1174"/>
      <c r="H275" s="1175"/>
      <c r="I275" s="1176"/>
      <c r="J275" s="1177"/>
      <c r="K275" s="1547"/>
      <c r="L275" s="1177"/>
      <c r="M275" s="1548"/>
      <c r="N275" s="1549"/>
      <c r="O275" s="1178"/>
      <c r="P275" s="1179"/>
      <c r="R275" s="104"/>
      <c r="S275" s="1172"/>
      <c r="T275" s="1172"/>
      <c r="U275" s="1172"/>
      <c r="V275" s="1173"/>
      <c r="W275" s="1174"/>
      <c r="X275" s="1175"/>
      <c r="Y275" s="1176"/>
      <c r="Z275" s="1177"/>
      <c r="AA275" s="1547"/>
      <c r="AB275" s="1177"/>
      <c r="AC275" s="1548"/>
      <c r="AD275" s="1549"/>
      <c r="AE275" s="1178"/>
      <c r="AF275" s="1179"/>
      <c r="AH275" s="104"/>
      <c r="AI275" s="1172"/>
      <c r="AJ275" s="1172"/>
      <c r="AK275" s="1172"/>
      <c r="AL275" s="1173"/>
      <c r="AM275" s="1174"/>
      <c r="AN275" s="1175"/>
      <c r="AO275" s="1176"/>
      <c r="AP275" s="1177"/>
      <c r="AQ275" s="1547"/>
      <c r="AR275" s="1177"/>
      <c r="AS275" s="1548"/>
      <c r="AT275" s="1549"/>
      <c r="AU275" s="1178"/>
      <c r="AV275" s="1179"/>
      <c r="AY275" s="3">
        <v>1</v>
      </c>
    </row>
    <row r="276" spans="2:51" ht="18.75">
      <c r="B276" s="104"/>
      <c r="C276" s="1172"/>
      <c r="D276" s="1172"/>
      <c r="E276" s="1172"/>
      <c r="F276" s="1173"/>
      <c r="G276" s="1174"/>
      <c r="H276" s="1175"/>
      <c r="I276" s="1176"/>
      <c r="J276" s="1177"/>
      <c r="K276" s="1547"/>
      <c r="L276" s="1177"/>
      <c r="M276" s="1548"/>
      <c r="N276" s="1549"/>
      <c r="O276" s="1178"/>
      <c r="P276" s="1179"/>
      <c r="R276" s="104"/>
      <c r="S276" s="1172"/>
      <c r="T276" s="1172"/>
      <c r="U276" s="1172"/>
      <c r="V276" s="1173"/>
      <c r="W276" s="1174"/>
      <c r="X276" s="1175"/>
      <c r="Y276" s="1176"/>
      <c r="Z276" s="1177"/>
      <c r="AA276" s="1547"/>
      <c r="AB276" s="1177"/>
      <c r="AC276" s="1548"/>
      <c r="AD276" s="1549"/>
      <c r="AE276" s="1178"/>
      <c r="AF276" s="1179"/>
      <c r="AH276" s="104"/>
      <c r="AI276" s="1172"/>
      <c r="AJ276" s="1172"/>
      <c r="AK276" s="1172"/>
      <c r="AL276" s="1173"/>
      <c r="AM276" s="1174"/>
      <c r="AN276" s="1175"/>
      <c r="AO276" s="1176"/>
      <c r="AP276" s="1177"/>
      <c r="AQ276" s="1547"/>
      <c r="AR276" s="1177"/>
      <c r="AS276" s="1548"/>
      <c r="AT276" s="1549"/>
      <c r="AU276" s="1178"/>
      <c r="AV276" s="1179"/>
      <c r="AY276" s="3">
        <v>1</v>
      </c>
    </row>
    <row r="277" spans="2:51" ht="18.75">
      <c r="B277" s="104"/>
      <c r="C277" s="1172"/>
      <c r="D277" s="1172"/>
      <c r="E277" s="1172"/>
      <c r="F277" s="1173"/>
      <c r="G277" s="1174"/>
      <c r="H277" s="1175"/>
      <c r="I277" s="1176"/>
      <c r="J277" s="1177"/>
      <c r="K277" s="1547"/>
      <c r="L277" s="1177"/>
      <c r="M277" s="1548"/>
      <c r="N277" s="1549"/>
      <c r="O277" s="1178"/>
      <c r="P277" s="1179"/>
      <c r="R277" s="104"/>
      <c r="S277" s="1172"/>
      <c r="T277" s="1172"/>
      <c r="U277" s="1172"/>
      <c r="V277" s="1173"/>
      <c r="W277" s="1174"/>
      <c r="X277" s="1175"/>
      <c r="Y277" s="1176"/>
      <c r="Z277" s="1177"/>
      <c r="AA277" s="1547"/>
      <c r="AB277" s="1177"/>
      <c r="AC277" s="1548"/>
      <c r="AD277" s="1549"/>
      <c r="AE277" s="1178"/>
      <c r="AF277" s="1179"/>
      <c r="AH277" s="104"/>
      <c r="AI277" s="1172"/>
      <c r="AJ277" s="1172"/>
      <c r="AK277" s="1172"/>
      <c r="AL277" s="1173"/>
      <c r="AM277" s="1174"/>
      <c r="AN277" s="1175"/>
      <c r="AO277" s="1176"/>
      <c r="AP277" s="1177"/>
      <c r="AQ277" s="1547"/>
      <c r="AR277" s="1177"/>
      <c r="AS277" s="1548"/>
      <c r="AT277" s="1549"/>
      <c r="AU277" s="1178"/>
      <c r="AV277" s="1179"/>
      <c r="AY277" s="3">
        <v>1</v>
      </c>
    </row>
    <row r="278" spans="2:51" ht="18.75">
      <c r="B278" s="104"/>
      <c r="C278" s="1172"/>
      <c r="D278" s="1172"/>
      <c r="E278" s="1172"/>
      <c r="F278" s="1173"/>
      <c r="G278" s="1174"/>
      <c r="H278" s="1175"/>
      <c r="I278" s="1176"/>
      <c r="J278" s="1177"/>
      <c r="K278" s="1547"/>
      <c r="L278" s="1177"/>
      <c r="M278" s="1548"/>
      <c r="N278" s="1549"/>
      <c r="O278" s="1178"/>
      <c r="P278" s="1179"/>
      <c r="R278" s="104"/>
      <c r="S278" s="1172"/>
      <c r="T278" s="1172"/>
      <c r="U278" s="1172"/>
      <c r="V278" s="1173"/>
      <c r="W278" s="1174"/>
      <c r="X278" s="1175"/>
      <c r="Y278" s="1176"/>
      <c r="Z278" s="1177"/>
      <c r="AA278" s="1547"/>
      <c r="AB278" s="1177"/>
      <c r="AC278" s="1548"/>
      <c r="AD278" s="1549"/>
      <c r="AE278" s="1178"/>
      <c r="AF278" s="1179"/>
      <c r="AH278" s="104"/>
      <c r="AI278" s="1172"/>
      <c r="AJ278" s="1172"/>
      <c r="AK278" s="1172"/>
      <c r="AL278" s="1173"/>
      <c r="AM278" s="1174"/>
      <c r="AN278" s="1175"/>
      <c r="AO278" s="1176"/>
      <c r="AP278" s="1177"/>
      <c r="AQ278" s="1547"/>
      <c r="AR278" s="1177"/>
      <c r="AS278" s="1548"/>
      <c r="AT278" s="1549"/>
      <c r="AU278" s="1178"/>
      <c r="AV278" s="1179"/>
      <c r="AY278" s="3">
        <v>1</v>
      </c>
    </row>
    <row r="279" spans="2:51" ht="18.75">
      <c r="B279" s="104"/>
      <c r="C279" s="1172"/>
      <c r="D279" s="1172"/>
      <c r="E279" s="1172"/>
      <c r="F279" s="1173"/>
      <c r="G279" s="1174"/>
      <c r="H279" s="1175"/>
      <c r="I279" s="1176"/>
      <c r="J279" s="1177"/>
      <c r="K279" s="1547"/>
      <c r="L279" s="1177"/>
      <c r="M279" s="1548"/>
      <c r="N279" s="1549"/>
      <c r="O279" s="1178"/>
      <c r="P279" s="1179"/>
      <c r="R279" s="104"/>
      <c r="S279" s="1172"/>
      <c r="T279" s="1172"/>
      <c r="U279" s="1172"/>
      <c r="V279" s="1173"/>
      <c r="W279" s="1174"/>
      <c r="X279" s="1175"/>
      <c r="Y279" s="1176"/>
      <c r="Z279" s="1177"/>
      <c r="AA279" s="1547"/>
      <c r="AB279" s="1177"/>
      <c r="AC279" s="1548"/>
      <c r="AD279" s="1549"/>
      <c r="AE279" s="1178"/>
      <c r="AF279" s="1179"/>
      <c r="AH279" s="104"/>
      <c r="AI279" s="1172"/>
      <c r="AJ279" s="1172"/>
      <c r="AK279" s="1172"/>
      <c r="AL279" s="1173"/>
      <c r="AM279" s="1174"/>
      <c r="AN279" s="1175"/>
      <c r="AO279" s="1176"/>
      <c r="AP279" s="1177"/>
      <c r="AQ279" s="1547"/>
      <c r="AR279" s="1177"/>
      <c r="AS279" s="1548"/>
      <c r="AT279" s="1549"/>
      <c r="AU279" s="1178"/>
      <c r="AV279" s="1179"/>
      <c r="AY279" s="3">
        <v>1</v>
      </c>
    </row>
    <row r="280" spans="2:51" ht="18.75">
      <c r="B280" s="104"/>
      <c r="C280" s="1172"/>
      <c r="D280" s="1172"/>
      <c r="E280" s="1172"/>
      <c r="F280" s="1173"/>
      <c r="G280" s="1174"/>
      <c r="H280" s="1175"/>
      <c r="I280" s="1176"/>
      <c r="J280" s="1177"/>
      <c r="K280" s="1547"/>
      <c r="L280" s="1177"/>
      <c r="M280" s="1548"/>
      <c r="N280" s="1549"/>
      <c r="O280" s="1178"/>
      <c r="P280" s="1179"/>
      <c r="R280" s="104"/>
      <c r="S280" s="1172"/>
      <c r="T280" s="1172"/>
      <c r="U280" s="1172"/>
      <c r="V280" s="1173"/>
      <c r="W280" s="1174"/>
      <c r="X280" s="1175"/>
      <c r="Y280" s="1176"/>
      <c r="Z280" s="1177"/>
      <c r="AA280" s="1547"/>
      <c r="AB280" s="1177"/>
      <c r="AC280" s="1548"/>
      <c r="AD280" s="1549"/>
      <c r="AE280" s="1178"/>
      <c r="AF280" s="1179"/>
      <c r="AH280" s="104"/>
      <c r="AI280" s="1172"/>
      <c r="AJ280" s="1172"/>
      <c r="AK280" s="1172"/>
      <c r="AL280" s="1173"/>
      <c r="AM280" s="1174"/>
      <c r="AN280" s="1175"/>
      <c r="AO280" s="1176"/>
      <c r="AP280" s="1177"/>
      <c r="AQ280" s="1547"/>
      <c r="AR280" s="1177"/>
      <c r="AS280" s="1548"/>
      <c r="AT280" s="1549"/>
      <c r="AU280" s="1178"/>
      <c r="AV280" s="1179"/>
      <c r="AY280" s="3">
        <v>1</v>
      </c>
    </row>
    <row r="281" spans="2:51" ht="18.75">
      <c r="B281" s="104"/>
      <c r="C281" s="1172"/>
      <c r="D281" s="1172"/>
      <c r="E281" s="1172"/>
      <c r="F281" s="1173"/>
      <c r="G281" s="1174"/>
      <c r="H281" s="1175"/>
      <c r="I281" s="1176"/>
      <c r="J281" s="1177"/>
      <c r="K281" s="1547"/>
      <c r="L281" s="1177"/>
      <c r="M281" s="1548"/>
      <c r="N281" s="1549"/>
      <c r="O281" s="1178"/>
      <c r="P281" s="1179"/>
      <c r="R281" s="104"/>
      <c r="S281" s="1172"/>
      <c r="T281" s="1172"/>
      <c r="U281" s="1172"/>
      <c r="V281" s="1173"/>
      <c r="W281" s="1174"/>
      <c r="X281" s="1175"/>
      <c r="Y281" s="1176"/>
      <c r="Z281" s="1177"/>
      <c r="AA281" s="1547"/>
      <c r="AB281" s="1177"/>
      <c r="AC281" s="1548"/>
      <c r="AD281" s="1549"/>
      <c r="AE281" s="1178"/>
      <c r="AF281" s="1179"/>
      <c r="AH281" s="104"/>
      <c r="AI281" s="1172"/>
      <c r="AJ281" s="1172"/>
      <c r="AK281" s="1172"/>
      <c r="AL281" s="1173"/>
      <c r="AM281" s="1174"/>
      <c r="AN281" s="1175"/>
      <c r="AO281" s="1176"/>
      <c r="AP281" s="1177"/>
      <c r="AQ281" s="1547"/>
      <c r="AR281" s="1177"/>
      <c r="AS281" s="1548"/>
      <c r="AT281" s="1549"/>
      <c r="AU281" s="1178"/>
      <c r="AV281" s="1179"/>
      <c r="AY281" s="3">
        <v>1</v>
      </c>
    </row>
    <row r="282" spans="2:51" ht="18.75">
      <c r="B282" s="104"/>
      <c r="C282" s="1172"/>
      <c r="D282" s="1172"/>
      <c r="E282" s="1172"/>
      <c r="F282" s="1173"/>
      <c r="G282" s="1174"/>
      <c r="H282" s="1175"/>
      <c r="I282" s="1176"/>
      <c r="J282" s="1177"/>
      <c r="K282" s="1547"/>
      <c r="L282" s="1177"/>
      <c r="M282" s="1548"/>
      <c r="N282" s="1549"/>
      <c r="O282" s="1178"/>
      <c r="P282" s="1179"/>
      <c r="R282" s="104"/>
      <c r="S282" s="1172"/>
      <c r="T282" s="1172"/>
      <c r="U282" s="1172"/>
      <c r="V282" s="1173"/>
      <c r="W282" s="1174"/>
      <c r="X282" s="1175"/>
      <c r="Y282" s="1176"/>
      <c r="Z282" s="1177"/>
      <c r="AA282" s="1547"/>
      <c r="AB282" s="1177"/>
      <c r="AC282" s="1548"/>
      <c r="AD282" s="1549"/>
      <c r="AE282" s="1178"/>
      <c r="AF282" s="1179"/>
      <c r="AH282" s="104"/>
      <c r="AI282" s="1172"/>
      <c r="AJ282" s="1172"/>
      <c r="AK282" s="1172"/>
      <c r="AL282" s="1173"/>
      <c r="AM282" s="1174"/>
      <c r="AN282" s="1175"/>
      <c r="AO282" s="1176"/>
      <c r="AP282" s="1177"/>
      <c r="AQ282" s="1547"/>
      <c r="AR282" s="1177"/>
      <c r="AS282" s="1548"/>
      <c r="AT282" s="1549"/>
      <c r="AU282" s="1178"/>
      <c r="AV282" s="1179"/>
      <c r="AY282" s="3">
        <v>1</v>
      </c>
    </row>
    <row r="283" spans="2:51" ht="18.75">
      <c r="B283" s="104"/>
      <c r="C283" s="1172"/>
      <c r="D283" s="1172"/>
      <c r="E283" s="1172"/>
      <c r="F283" s="1173"/>
      <c r="G283" s="1174"/>
      <c r="H283" s="1175"/>
      <c r="I283" s="1176"/>
      <c r="J283" s="1177"/>
      <c r="K283" s="1547"/>
      <c r="L283" s="1177"/>
      <c r="M283" s="1548"/>
      <c r="N283" s="1549"/>
      <c r="O283" s="1178"/>
      <c r="P283" s="1179"/>
      <c r="R283" s="104"/>
      <c r="S283" s="1172"/>
      <c r="T283" s="1172"/>
      <c r="U283" s="1172"/>
      <c r="V283" s="1173"/>
      <c r="W283" s="1174"/>
      <c r="X283" s="1175"/>
      <c r="Y283" s="1176"/>
      <c r="Z283" s="1177"/>
      <c r="AA283" s="1547"/>
      <c r="AB283" s="1177"/>
      <c r="AC283" s="1548"/>
      <c r="AD283" s="1549"/>
      <c r="AE283" s="1178"/>
      <c r="AF283" s="1179"/>
      <c r="AH283" s="104"/>
      <c r="AI283" s="1172"/>
      <c r="AJ283" s="1172"/>
      <c r="AK283" s="1172"/>
      <c r="AL283" s="1173"/>
      <c r="AM283" s="1174"/>
      <c r="AN283" s="1175"/>
      <c r="AO283" s="1176"/>
      <c r="AP283" s="1177"/>
      <c r="AQ283" s="1547"/>
      <c r="AR283" s="1177"/>
      <c r="AS283" s="1548"/>
      <c r="AT283" s="1549"/>
      <c r="AU283" s="1178"/>
      <c r="AV283" s="1179"/>
      <c r="AY283" s="3">
        <v>1</v>
      </c>
    </row>
    <row r="284" spans="2:51" ht="18.75">
      <c r="B284" s="104"/>
      <c r="C284" s="1172"/>
      <c r="D284" s="1172"/>
      <c r="E284" s="1172"/>
      <c r="F284" s="1173"/>
      <c r="G284" s="1174"/>
      <c r="H284" s="1175"/>
      <c r="I284" s="1176"/>
      <c r="J284" s="1177"/>
      <c r="K284" s="1547"/>
      <c r="L284" s="1177"/>
      <c r="M284" s="1548"/>
      <c r="N284" s="1549"/>
      <c r="O284" s="1178"/>
      <c r="P284" s="1179"/>
      <c r="R284" s="104"/>
      <c r="S284" s="1172"/>
      <c r="T284" s="1172"/>
      <c r="U284" s="1172"/>
      <c r="V284" s="1173"/>
      <c r="W284" s="1174"/>
      <c r="X284" s="1175"/>
      <c r="Y284" s="1176"/>
      <c r="Z284" s="1177"/>
      <c r="AA284" s="1547"/>
      <c r="AB284" s="1177"/>
      <c r="AC284" s="1548"/>
      <c r="AD284" s="1549"/>
      <c r="AE284" s="1178"/>
      <c r="AF284" s="1179"/>
      <c r="AH284" s="104"/>
      <c r="AI284" s="1172"/>
      <c r="AJ284" s="1172"/>
      <c r="AK284" s="1172"/>
      <c r="AL284" s="1173"/>
      <c r="AM284" s="1174"/>
      <c r="AN284" s="1175"/>
      <c r="AO284" s="1176"/>
      <c r="AP284" s="1177"/>
      <c r="AQ284" s="1547"/>
      <c r="AR284" s="1177"/>
      <c r="AS284" s="1548"/>
      <c r="AT284" s="1549"/>
      <c r="AU284" s="1178"/>
      <c r="AV284" s="1179"/>
      <c r="AY284" s="3">
        <v>1</v>
      </c>
    </row>
    <row r="285" spans="2:51" ht="18.75">
      <c r="B285" s="104"/>
      <c r="C285" s="1172"/>
      <c r="D285" s="1172"/>
      <c r="E285" s="1172"/>
      <c r="F285" s="1173"/>
      <c r="G285" s="1174"/>
      <c r="H285" s="1175"/>
      <c r="I285" s="1176"/>
      <c r="J285" s="1177"/>
      <c r="K285" s="1547"/>
      <c r="L285" s="1177"/>
      <c r="M285" s="1548"/>
      <c r="N285" s="1549"/>
      <c r="O285" s="1178"/>
      <c r="P285" s="1179"/>
      <c r="R285" s="104"/>
      <c r="S285" s="1172"/>
      <c r="T285" s="1172"/>
      <c r="U285" s="1172"/>
      <c r="V285" s="1173"/>
      <c r="W285" s="1174"/>
      <c r="X285" s="1175"/>
      <c r="Y285" s="1176"/>
      <c r="Z285" s="1177"/>
      <c r="AA285" s="1547"/>
      <c r="AB285" s="1177"/>
      <c r="AC285" s="1548"/>
      <c r="AD285" s="1549"/>
      <c r="AE285" s="1178"/>
      <c r="AF285" s="1179"/>
      <c r="AH285" s="104"/>
      <c r="AI285" s="1172"/>
      <c r="AJ285" s="1172"/>
      <c r="AK285" s="1172"/>
      <c r="AL285" s="1173"/>
      <c r="AM285" s="1174"/>
      <c r="AN285" s="1175"/>
      <c r="AO285" s="1176"/>
      <c r="AP285" s="1177"/>
      <c r="AQ285" s="1547"/>
      <c r="AR285" s="1177"/>
      <c r="AS285" s="1548"/>
      <c r="AT285" s="1549"/>
      <c r="AU285" s="1178"/>
      <c r="AV285" s="1179"/>
      <c r="AY285" s="3">
        <v>1</v>
      </c>
    </row>
    <row r="286" spans="2:51" ht="18.75">
      <c r="B286" s="104"/>
      <c r="C286" s="1172"/>
      <c r="D286" s="1172"/>
      <c r="E286" s="1172"/>
      <c r="F286" s="1173"/>
      <c r="G286" s="1174"/>
      <c r="H286" s="1175"/>
      <c r="I286" s="1176"/>
      <c r="J286" s="1177"/>
      <c r="K286" s="1547"/>
      <c r="L286" s="1177"/>
      <c r="M286" s="1548"/>
      <c r="N286" s="1549"/>
      <c r="O286" s="1178"/>
      <c r="P286" s="1179"/>
      <c r="R286" s="104"/>
      <c r="S286" s="1172"/>
      <c r="T286" s="1172"/>
      <c r="U286" s="1172"/>
      <c r="V286" s="1173"/>
      <c r="W286" s="1174"/>
      <c r="X286" s="1175"/>
      <c r="Y286" s="1176"/>
      <c r="Z286" s="1177"/>
      <c r="AA286" s="1547"/>
      <c r="AB286" s="1177"/>
      <c r="AC286" s="1548"/>
      <c r="AD286" s="1549"/>
      <c r="AE286" s="1178"/>
      <c r="AF286" s="1179"/>
      <c r="AH286" s="104"/>
      <c r="AI286" s="1172"/>
      <c r="AJ286" s="1172"/>
      <c r="AK286" s="1172"/>
      <c r="AL286" s="1173"/>
      <c r="AM286" s="1174"/>
      <c r="AN286" s="1175"/>
      <c r="AO286" s="1176"/>
      <c r="AP286" s="1177"/>
      <c r="AQ286" s="1547"/>
      <c r="AR286" s="1177"/>
      <c r="AS286" s="1548"/>
      <c r="AT286" s="1549"/>
      <c r="AU286" s="1178"/>
      <c r="AV286" s="1179"/>
      <c r="AY286" s="3">
        <v>1</v>
      </c>
    </row>
    <row r="287" spans="2:51" ht="18.75">
      <c r="B287" s="104"/>
      <c r="C287" s="1172"/>
      <c r="D287" s="1172"/>
      <c r="E287" s="1172"/>
      <c r="F287" s="1173"/>
      <c r="G287" s="1174"/>
      <c r="H287" s="1175"/>
      <c r="I287" s="1176"/>
      <c r="J287" s="1177"/>
      <c r="K287" s="1547"/>
      <c r="L287" s="1177"/>
      <c r="M287" s="1548"/>
      <c r="N287" s="1549"/>
      <c r="O287" s="1178"/>
      <c r="P287" s="1179"/>
      <c r="R287" s="104"/>
      <c r="S287" s="1172"/>
      <c r="T287" s="1172"/>
      <c r="U287" s="1172"/>
      <c r="V287" s="1173"/>
      <c r="W287" s="1174"/>
      <c r="X287" s="1175"/>
      <c r="Y287" s="1176"/>
      <c r="Z287" s="1177"/>
      <c r="AA287" s="1547"/>
      <c r="AB287" s="1177"/>
      <c r="AC287" s="1548"/>
      <c r="AD287" s="1549"/>
      <c r="AE287" s="1178"/>
      <c r="AF287" s="1179"/>
      <c r="AH287" s="104"/>
      <c r="AI287" s="1172"/>
      <c r="AJ287" s="1172"/>
      <c r="AK287" s="1172"/>
      <c r="AL287" s="1173"/>
      <c r="AM287" s="1174"/>
      <c r="AN287" s="1175"/>
      <c r="AO287" s="1176"/>
      <c r="AP287" s="1177"/>
      <c r="AQ287" s="1547"/>
      <c r="AR287" s="1177"/>
      <c r="AS287" s="1548"/>
      <c r="AT287" s="1549"/>
      <c r="AU287" s="1178"/>
      <c r="AV287" s="1179"/>
      <c r="AY287" s="3">
        <v>1</v>
      </c>
    </row>
    <row r="288" spans="2:51" ht="18.75">
      <c r="B288" s="104"/>
      <c r="C288" s="1172"/>
      <c r="D288" s="1172"/>
      <c r="E288" s="1172"/>
      <c r="F288" s="1173"/>
      <c r="G288" s="1174"/>
      <c r="H288" s="1175"/>
      <c r="I288" s="1176"/>
      <c r="J288" s="1177"/>
      <c r="K288" s="1547"/>
      <c r="L288" s="1177"/>
      <c r="M288" s="1548"/>
      <c r="N288" s="1549"/>
      <c r="O288" s="1178"/>
      <c r="P288" s="1179"/>
      <c r="R288" s="104"/>
      <c r="S288" s="1172"/>
      <c r="T288" s="1172"/>
      <c r="U288" s="1172"/>
      <c r="V288" s="1173"/>
      <c r="W288" s="1174"/>
      <c r="X288" s="1175"/>
      <c r="Y288" s="1176"/>
      <c r="Z288" s="1177"/>
      <c r="AA288" s="1547"/>
      <c r="AB288" s="1177"/>
      <c r="AC288" s="1548"/>
      <c r="AD288" s="1549"/>
      <c r="AE288" s="1178"/>
      <c r="AF288" s="1179"/>
      <c r="AH288" s="104"/>
      <c r="AI288" s="1172"/>
      <c r="AJ288" s="1172"/>
      <c r="AK288" s="1172"/>
      <c r="AL288" s="1173"/>
      <c r="AM288" s="1174"/>
      <c r="AN288" s="1175"/>
      <c r="AO288" s="1176"/>
      <c r="AP288" s="1177"/>
      <c r="AQ288" s="1547"/>
      <c r="AR288" s="1177"/>
      <c r="AS288" s="1548"/>
      <c r="AT288" s="1549"/>
      <c r="AU288" s="1178"/>
      <c r="AV288" s="1179"/>
      <c r="AY288" s="3">
        <v>1</v>
      </c>
    </row>
    <row r="289" spans="2:51" ht="18.75">
      <c r="B289" s="104"/>
      <c r="C289" s="1172"/>
      <c r="D289" s="1172"/>
      <c r="E289" s="1172"/>
      <c r="F289" s="1173"/>
      <c r="G289" s="1174"/>
      <c r="H289" s="1175"/>
      <c r="I289" s="1176"/>
      <c r="J289" s="1177"/>
      <c r="K289" s="1547"/>
      <c r="L289" s="1177"/>
      <c r="M289" s="1548"/>
      <c r="N289" s="1549"/>
      <c r="O289" s="1178"/>
      <c r="P289" s="1179"/>
      <c r="R289" s="104"/>
      <c r="S289" s="1172"/>
      <c r="T289" s="1172"/>
      <c r="U289" s="1172"/>
      <c r="V289" s="1173"/>
      <c r="W289" s="1174"/>
      <c r="X289" s="1175"/>
      <c r="Y289" s="1176"/>
      <c r="Z289" s="1177"/>
      <c r="AA289" s="1547"/>
      <c r="AB289" s="1177"/>
      <c r="AC289" s="1548"/>
      <c r="AD289" s="1549"/>
      <c r="AE289" s="1178"/>
      <c r="AF289" s="1179"/>
      <c r="AH289" s="104"/>
      <c r="AI289" s="1172"/>
      <c r="AJ289" s="1172"/>
      <c r="AK289" s="1172"/>
      <c r="AL289" s="1173"/>
      <c r="AM289" s="1174"/>
      <c r="AN289" s="1175"/>
      <c r="AO289" s="1176"/>
      <c r="AP289" s="1177"/>
      <c r="AQ289" s="1547"/>
      <c r="AR289" s="1177"/>
      <c r="AS289" s="1548"/>
      <c r="AT289" s="1549"/>
      <c r="AU289" s="1178"/>
      <c r="AV289" s="1179"/>
      <c r="AY289" s="3">
        <v>1</v>
      </c>
    </row>
    <row r="290" spans="2:51" ht="18.75">
      <c r="B290" s="104"/>
      <c r="C290" s="1172"/>
      <c r="D290" s="1172"/>
      <c r="E290" s="1172"/>
      <c r="F290" s="1173"/>
      <c r="G290" s="1174"/>
      <c r="H290" s="1175"/>
      <c r="I290" s="1176"/>
      <c r="J290" s="1177"/>
      <c r="K290" s="1547"/>
      <c r="L290" s="1177"/>
      <c r="M290" s="1548"/>
      <c r="N290" s="1549"/>
      <c r="O290" s="1178"/>
      <c r="P290" s="1179"/>
      <c r="R290" s="104"/>
      <c r="S290" s="1172"/>
      <c r="T290" s="1172"/>
      <c r="U290" s="1172"/>
      <c r="V290" s="1173"/>
      <c r="W290" s="1174"/>
      <c r="X290" s="1175"/>
      <c r="Y290" s="1176"/>
      <c r="Z290" s="1177"/>
      <c r="AA290" s="1547"/>
      <c r="AB290" s="1177"/>
      <c r="AC290" s="1548"/>
      <c r="AD290" s="1549"/>
      <c r="AE290" s="1178"/>
      <c r="AF290" s="1179"/>
      <c r="AH290" s="104"/>
      <c r="AI290" s="1172"/>
      <c r="AJ290" s="1172"/>
      <c r="AK290" s="1172"/>
      <c r="AL290" s="1173"/>
      <c r="AM290" s="1174"/>
      <c r="AN290" s="1175"/>
      <c r="AO290" s="1176"/>
      <c r="AP290" s="1177"/>
      <c r="AQ290" s="1547"/>
      <c r="AR290" s="1177"/>
      <c r="AS290" s="1548"/>
      <c r="AT290" s="1549"/>
      <c r="AU290" s="1178"/>
      <c r="AV290" s="1179"/>
      <c r="AY290" s="3">
        <v>1</v>
      </c>
    </row>
    <row r="291" spans="2:51" ht="18.75">
      <c r="B291" s="104"/>
      <c r="C291" s="1172"/>
      <c r="D291" s="1172"/>
      <c r="E291" s="1172"/>
      <c r="F291" s="1173"/>
      <c r="G291" s="1174"/>
      <c r="H291" s="1175"/>
      <c r="I291" s="1176"/>
      <c r="J291" s="1177"/>
      <c r="K291" s="1547"/>
      <c r="L291" s="1177"/>
      <c r="M291" s="1548"/>
      <c r="N291" s="1549"/>
      <c r="O291" s="1178"/>
      <c r="P291" s="1179"/>
      <c r="R291" s="104"/>
      <c r="S291" s="1172"/>
      <c r="T291" s="1172"/>
      <c r="U291" s="1172"/>
      <c r="V291" s="1173"/>
      <c r="W291" s="1174"/>
      <c r="X291" s="1175"/>
      <c r="Y291" s="1176"/>
      <c r="Z291" s="1177"/>
      <c r="AA291" s="1547"/>
      <c r="AB291" s="1177"/>
      <c r="AC291" s="1548"/>
      <c r="AD291" s="1549"/>
      <c r="AE291" s="1178"/>
      <c r="AF291" s="1179"/>
      <c r="AH291" s="104"/>
      <c r="AI291" s="1172"/>
      <c r="AJ291" s="1172"/>
      <c r="AK291" s="1172"/>
      <c r="AL291" s="1173"/>
      <c r="AM291" s="1174"/>
      <c r="AN291" s="1175"/>
      <c r="AO291" s="1176"/>
      <c r="AP291" s="1177"/>
      <c r="AQ291" s="1547"/>
      <c r="AR291" s="1177"/>
      <c r="AS291" s="1548"/>
      <c r="AT291" s="1549"/>
      <c r="AU291" s="1178"/>
      <c r="AV291" s="1179"/>
      <c r="AY291" s="3">
        <v>1</v>
      </c>
    </row>
    <row r="292" spans="2:51" ht="18.75">
      <c r="B292" s="104"/>
      <c r="C292" s="1172"/>
      <c r="D292" s="1172"/>
      <c r="E292" s="1172"/>
      <c r="F292" s="1173"/>
      <c r="G292" s="1174"/>
      <c r="H292" s="1175"/>
      <c r="I292" s="1176"/>
      <c r="J292" s="1177"/>
      <c r="K292" s="1547"/>
      <c r="L292" s="1177"/>
      <c r="M292" s="1548"/>
      <c r="N292" s="1549"/>
      <c r="O292" s="1178"/>
      <c r="P292" s="1179"/>
      <c r="R292" s="104"/>
      <c r="S292" s="1172"/>
      <c r="T292" s="1172"/>
      <c r="U292" s="1172"/>
      <c r="V292" s="1173"/>
      <c r="W292" s="1174"/>
      <c r="X292" s="1175"/>
      <c r="Y292" s="1176"/>
      <c r="Z292" s="1177"/>
      <c r="AA292" s="1547"/>
      <c r="AB292" s="1177"/>
      <c r="AC292" s="1548"/>
      <c r="AD292" s="1549"/>
      <c r="AE292" s="1178"/>
      <c r="AF292" s="1179"/>
      <c r="AH292" s="104"/>
      <c r="AI292" s="1172"/>
      <c r="AJ292" s="1172"/>
      <c r="AK292" s="1172"/>
      <c r="AL292" s="1173"/>
      <c r="AM292" s="1174"/>
      <c r="AN292" s="1175"/>
      <c r="AO292" s="1176"/>
      <c r="AP292" s="1177"/>
      <c r="AQ292" s="1547"/>
      <c r="AR292" s="1177"/>
      <c r="AS292" s="1548"/>
      <c r="AT292" s="1549"/>
      <c r="AU292" s="1178"/>
      <c r="AV292" s="1179"/>
      <c r="AY292" s="3">
        <v>1</v>
      </c>
    </row>
    <row r="293" spans="2:51" ht="18.75">
      <c r="B293" s="104"/>
      <c r="C293" s="1172"/>
      <c r="D293" s="1172"/>
      <c r="E293" s="1172"/>
      <c r="F293" s="1173"/>
      <c r="G293" s="1174"/>
      <c r="H293" s="1175"/>
      <c r="I293" s="1176"/>
      <c r="J293" s="1177"/>
      <c r="K293" s="1547"/>
      <c r="L293" s="1177"/>
      <c r="M293" s="1548"/>
      <c r="N293" s="1549"/>
      <c r="O293" s="1178"/>
      <c r="P293" s="1179"/>
      <c r="R293" s="104"/>
      <c r="S293" s="1172"/>
      <c r="T293" s="1172"/>
      <c r="U293" s="1172"/>
      <c r="V293" s="1173"/>
      <c r="W293" s="1174"/>
      <c r="X293" s="1175"/>
      <c r="Y293" s="1176"/>
      <c r="Z293" s="1177"/>
      <c r="AA293" s="1547"/>
      <c r="AB293" s="1177"/>
      <c r="AC293" s="1548"/>
      <c r="AD293" s="1549"/>
      <c r="AE293" s="1178"/>
      <c r="AF293" s="1179"/>
      <c r="AH293" s="104"/>
      <c r="AI293" s="1172"/>
      <c r="AJ293" s="1172"/>
      <c r="AK293" s="1172"/>
      <c r="AL293" s="1173"/>
      <c r="AM293" s="1174"/>
      <c r="AN293" s="1175"/>
      <c r="AO293" s="1176"/>
      <c r="AP293" s="1177"/>
      <c r="AQ293" s="1547"/>
      <c r="AR293" s="1177"/>
      <c r="AS293" s="1548"/>
      <c r="AT293" s="1549"/>
      <c r="AU293" s="1178"/>
      <c r="AV293" s="1179"/>
      <c r="AY293" s="3">
        <v>1</v>
      </c>
    </row>
    <row r="294" spans="2:51" ht="18.75">
      <c r="B294" s="104"/>
      <c r="C294" s="1172"/>
      <c r="D294" s="1172"/>
      <c r="E294" s="1172"/>
      <c r="F294" s="1173"/>
      <c r="G294" s="1174"/>
      <c r="H294" s="1175"/>
      <c r="I294" s="1176"/>
      <c r="J294" s="1177"/>
      <c r="K294" s="1547"/>
      <c r="L294" s="1177"/>
      <c r="M294" s="1548"/>
      <c r="N294" s="1549"/>
      <c r="O294" s="1178"/>
      <c r="P294" s="1179"/>
      <c r="R294" s="104"/>
      <c r="S294" s="1172"/>
      <c r="T294" s="1172"/>
      <c r="U294" s="1172"/>
      <c r="V294" s="1173"/>
      <c r="W294" s="1174"/>
      <c r="X294" s="1175"/>
      <c r="Y294" s="1176"/>
      <c r="Z294" s="1177"/>
      <c r="AA294" s="1547"/>
      <c r="AB294" s="1177"/>
      <c r="AC294" s="1548"/>
      <c r="AD294" s="1549"/>
      <c r="AE294" s="1178"/>
      <c r="AF294" s="1179"/>
      <c r="AH294" s="104"/>
      <c r="AI294" s="1172"/>
      <c r="AJ294" s="1172"/>
      <c r="AK294" s="1172"/>
      <c r="AL294" s="1173"/>
      <c r="AM294" s="1174"/>
      <c r="AN294" s="1175"/>
      <c r="AO294" s="1176"/>
      <c r="AP294" s="1177"/>
      <c r="AQ294" s="1547"/>
      <c r="AR294" s="1177"/>
      <c r="AS294" s="1548"/>
      <c r="AT294" s="1549"/>
      <c r="AU294" s="1178"/>
      <c r="AV294" s="1179"/>
      <c r="AY294" s="3">
        <v>1</v>
      </c>
    </row>
    <row r="295" spans="2:51" ht="18.75">
      <c r="B295" s="104"/>
      <c r="C295" s="1172"/>
      <c r="D295" s="1172"/>
      <c r="E295" s="1172"/>
      <c r="F295" s="1173"/>
      <c r="G295" s="1174"/>
      <c r="H295" s="1175"/>
      <c r="I295" s="1176"/>
      <c r="J295" s="1177"/>
      <c r="K295" s="1547"/>
      <c r="L295" s="1177"/>
      <c r="M295" s="1548"/>
      <c r="N295" s="1549"/>
      <c r="O295" s="1178"/>
      <c r="P295" s="1179"/>
      <c r="R295" s="104"/>
      <c r="S295" s="1172"/>
      <c r="T295" s="1172"/>
      <c r="U295" s="1172"/>
      <c r="V295" s="1173"/>
      <c r="W295" s="1174"/>
      <c r="X295" s="1175"/>
      <c r="Y295" s="1176"/>
      <c r="Z295" s="1177"/>
      <c r="AA295" s="1547"/>
      <c r="AB295" s="1177"/>
      <c r="AC295" s="1548"/>
      <c r="AD295" s="1549"/>
      <c r="AE295" s="1178"/>
      <c r="AF295" s="1179"/>
      <c r="AH295" s="104"/>
      <c r="AI295" s="1172"/>
      <c r="AJ295" s="1172"/>
      <c r="AK295" s="1172"/>
      <c r="AL295" s="1173"/>
      <c r="AM295" s="1174"/>
      <c r="AN295" s="1175"/>
      <c r="AO295" s="1176"/>
      <c r="AP295" s="1177"/>
      <c r="AQ295" s="1547"/>
      <c r="AR295" s="1177"/>
      <c r="AS295" s="1548"/>
      <c r="AT295" s="1549"/>
      <c r="AU295" s="1178"/>
      <c r="AV295" s="1179"/>
      <c r="AY295" s="3">
        <v>1</v>
      </c>
    </row>
    <row r="296" spans="2:51" ht="18.75">
      <c r="B296" s="104"/>
      <c r="C296" s="1172"/>
      <c r="D296" s="1172"/>
      <c r="E296" s="1172"/>
      <c r="F296" s="1173"/>
      <c r="G296" s="1174"/>
      <c r="H296" s="1175"/>
      <c r="I296" s="1176"/>
      <c r="J296" s="1177"/>
      <c r="K296" s="1547"/>
      <c r="L296" s="1177"/>
      <c r="M296" s="1548"/>
      <c r="N296" s="1549"/>
      <c r="O296" s="1178"/>
      <c r="P296" s="1179"/>
      <c r="R296" s="104"/>
      <c r="S296" s="1172"/>
      <c r="T296" s="1172"/>
      <c r="U296" s="1172"/>
      <c r="V296" s="1173"/>
      <c r="W296" s="1174"/>
      <c r="X296" s="1175"/>
      <c r="Y296" s="1176"/>
      <c r="Z296" s="1177"/>
      <c r="AA296" s="1547"/>
      <c r="AB296" s="1177"/>
      <c r="AC296" s="1548"/>
      <c r="AD296" s="1549"/>
      <c r="AE296" s="1178"/>
      <c r="AF296" s="1179"/>
      <c r="AH296" s="104"/>
      <c r="AI296" s="1172"/>
      <c r="AJ296" s="1172"/>
      <c r="AK296" s="1172"/>
      <c r="AL296" s="1173"/>
      <c r="AM296" s="1174"/>
      <c r="AN296" s="1175"/>
      <c r="AO296" s="1176"/>
      <c r="AP296" s="1177"/>
      <c r="AQ296" s="1547"/>
      <c r="AR296" s="1177"/>
      <c r="AS296" s="1548"/>
      <c r="AT296" s="1549"/>
      <c r="AU296" s="1178"/>
      <c r="AV296" s="1179"/>
      <c r="AY296" s="3">
        <v>1</v>
      </c>
    </row>
    <row r="297" spans="2:51" ht="18.75">
      <c r="B297" s="104"/>
      <c r="C297" s="1172"/>
      <c r="D297" s="1172"/>
      <c r="E297" s="1172"/>
      <c r="F297" s="1173"/>
      <c r="G297" s="1174"/>
      <c r="H297" s="1175"/>
      <c r="I297" s="1176"/>
      <c r="J297" s="1177"/>
      <c r="K297" s="1547"/>
      <c r="L297" s="1177"/>
      <c r="M297" s="1548"/>
      <c r="N297" s="1549"/>
      <c r="O297" s="1178"/>
      <c r="P297" s="1179"/>
      <c r="R297" s="104"/>
      <c r="S297" s="1172"/>
      <c r="T297" s="1172"/>
      <c r="U297" s="1172"/>
      <c r="V297" s="1173"/>
      <c r="W297" s="1174"/>
      <c r="X297" s="1175"/>
      <c r="Y297" s="1176"/>
      <c r="Z297" s="1177"/>
      <c r="AA297" s="1547"/>
      <c r="AB297" s="1177"/>
      <c r="AC297" s="1548"/>
      <c r="AD297" s="1549"/>
      <c r="AE297" s="1178"/>
      <c r="AF297" s="1179"/>
      <c r="AH297" s="104"/>
      <c r="AI297" s="1172"/>
      <c r="AJ297" s="1172"/>
      <c r="AK297" s="1172"/>
      <c r="AL297" s="1173"/>
      <c r="AM297" s="1174"/>
      <c r="AN297" s="1175"/>
      <c r="AO297" s="1176"/>
      <c r="AP297" s="1177"/>
      <c r="AQ297" s="1547"/>
      <c r="AR297" s="1177"/>
      <c r="AS297" s="1548"/>
      <c r="AT297" s="1549"/>
      <c r="AU297" s="1178"/>
      <c r="AV297" s="1179"/>
      <c r="AY297" s="3">
        <v>1</v>
      </c>
    </row>
    <row r="298" spans="2:51" ht="18.75">
      <c r="B298" s="104"/>
      <c r="C298" s="1172"/>
      <c r="D298" s="1172"/>
      <c r="E298" s="1172"/>
      <c r="F298" s="1173"/>
      <c r="G298" s="1174"/>
      <c r="H298" s="1175"/>
      <c r="I298" s="1176"/>
      <c r="J298" s="1177"/>
      <c r="K298" s="1547"/>
      <c r="L298" s="1177"/>
      <c r="M298" s="1548"/>
      <c r="N298" s="1549"/>
      <c r="O298" s="1178"/>
      <c r="P298" s="1179"/>
      <c r="R298" s="104"/>
      <c r="S298" s="1172"/>
      <c r="T298" s="1172"/>
      <c r="U298" s="1172"/>
      <c r="V298" s="1173"/>
      <c r="W298" s="1174"/>
      <c r="X298" s="1175"/>
      <c r="Y298" s="1176"/>
      <c r="Z298" s="1177"/>
      <c r="AA298" s="1547"/>
      <c r="AB298" s="1177"/>
      <c r="AC298" s="1548"/>
      <c r="AD298" s="1549"/>
      <c r="AE298" s="1178"/>
      <c r="AF298" s="1179"/>
      <c r="AH298" s="104"/>
      <c r="AI298" s="1172"/>
      <c r="AJ298" s="1172"/>
      <c r="AK298" s="1172"/>
      <c r="AL298" s="1173"/>
      <c r="AM298" s="1174"/>
      <c r="AN298" s="1175"/>
      <c r="AO298" s="1176"/>
      <c r="AP298" s="1177"/>
      <c r="AQ298" s="1547"/>
      <c r="AR298" s="1177"/>
      <c r="AS298" s="1548"/>
      <c r="AT298" s="1549"/>
      <c r="AU298" s="1178"/>
      <c r="AV298" s="1179"/>
      <c r="AY298" s="3">
        <v>1</v>
      </c>
    </row>
    <row r="299" spans="2:51" ht="18.75">
      <c r="B299" s="104"/>
      <c r="C299" s="1172"/>
      <c r="D299" s="1172"/>
      <c r="E299" s="1172"/>
      <c r="F299" s="1173"/>
      <c r="G299" s="1174"/>
      <c r="H299" s="1175"/>
      <c r="I299" s="1176"/>
      <c r="J299" s="1177"/>
      <c r="K299" s="1547"/>
      <c r="L299" s="1177"/>
      <c r="M299" s="1548"/>
      <c r="N299" s="1549"/>
      <c r="O299" s="1178"/>
      <c r="P299" s="1179"/>
      <c r="R299" s="104"/>
      <c r="S299" s="1172"/>
      <c r="T299" s="1172"/>
      <c r="U299" s="1172"/>
      <c r="V299" s="1173"/>
      <c r="W299" s="1174"/>
      <c r="X299" s="1175"/>
      <c r="Y299" s="1176"/>
      <c r="Z299" s="1177"/>
      <c r="AA299" s="1547"/>
      <c r="AB299" s="1177"/>
      <c r="AC299" s="1548"/>
      <c r="AD299" s="1549"/>
      <c r="AE299" s="1178"/>
      <c r="AF299" s="1179"/>
      <c r="AH299" s="104"/>
      <c r="AI299" s="1172"/>
      <c r="AJ299" s="1172"/>
      <c r="AK299" s="1172"/>
      <c r="AL299" s="1173"/>
      <c r="AM299" s="1174"/>
      <c r="AN299" s="1175"/>
      <c r="AO299" s="1176"/>
      <c r="AP299" s="1177"/>
      <c r="AQ299" s="1547"/>
      <c r="AR299" s="1177"/>
      <c r="AS299" s="1548"/>
      <c r="AT299" s="1549"/>
      <c r="AU299" s="1178"/>
      <c r="AV299" s="1179"/>
      <c r="AY299" s="3">
        <v>1</v>
      </c>
    </row>
    <row r="300" spans="2:51" ht="18.75">
      <c r="B300" s="104"/>
      <c r="C300" s="1172"/>
      <c r="D300" s="1172"/>
      <c r="E300" s="1172"/>
      <c r="F300" s="1173"/>
      <c r="G300" s="1174"/>
      <c r="H300" s="1175"/>
      <c r="I300" s="1176"/>
      <c r="J300" s="1177"/>
      <c r="K300" s="1547"/>
      <c r="L300" s="1177"/>
      <c r="M300" s="1548"/>
      <c r="N300" s="1549"/>
      <c r="O300" s="1178"/>
      <c r="P300" s="1179"/>
      <c r="R300" s="104"/>
      <c r="S300" s="1172"/>
      <c r="T300" s="1172"/>
      <c r="U300" s="1172"/>
      <c r="V300" s="1173"/>
      <c r="W300" s="1174"/>
      <c r="X300" s="1175"/>
      <c r="Y300" s="1176"/>
      <c r="Z300" s="1177"/>
      <c r="AA300" s="1547"/>
      <c r="AB300" s="1177"/>
      <c r="AC300" s="1548"/>
      <c r="AD300" s="1549"/>
      <c r="AE300" s="1178"/>
      <c r="AF300" s="1179"/>
      <c r="AH300" s="104"/>
      <c r="AI300" s="1172"/>
      <c r="AJ300" s="1172"/>
      <c r="AK300" s="1172"/>
      <c r="AL300" s="1173"/>
      <c r="AM300" s="1174"/>
      <c r="AN300" s="1175"/>
      <c r="AO300" s="1176"/>
      <c r="AP300" s="1177"/>
      <c r="AQ300" s="1547"/>
      <c r="AR300" s="1177"/>
      <c r="AS300" s="1548"/>
      <c r="AT300" s="1549"/>
      <c r="AU300" s="1178"/>
      <c r="AV300" s="1179"/>
      <c r="AY300" s="3">
        <v>1</v>
      </c>
    </row>
    <row r="301" spans="2:51" ht="18.75">
      <c r="B301" s="104"/>
      <c r="C301" s="1172"/>
      <c r="D301" s="1172"/>
      <c r="E301" s="1172"/>
      <c r="F301" s="1173"/>
      <c r="G301" s="1174"/>
      <c r="H301" s="1175"/>
      <c r="I301" s="1176"/>
      <c r="J301" s="1177"/>
      <c r="K301" s="1547"/>
      <c r="L301" s="1177"/>
      <c r="M301" s="1548"/>
      <c r="N301" s="1549"/>
      <c r="O301" s="1178"/>
      <c r="P301" s="1179"/>
      <c r="R301" s="104"/>
      <c r="S301" s="1172"/>
      <c r="T301" s="1172"/>
      <c r="U301" s="1172"/>
      <c r="V301" s="1173"/>
      <c r="W301" s="1174"/>
      <c r="X301" s="1175"/>
      <c r="Y301" s="1176"/>
      <c r="Z301" s="1177"/>
      <c r="AA301" s="1547"/>
      <c r="AB301" s="1177"/>
      <c r="AC301" s="1548"/>
      <c r="AD301" s="1549"/>
      <c r="AE301" s="1178"/>
      <c r="AF301" s="1179"/>
      <c r="AH301" s="104"/>
      <c r="AI301" s="1172"/>
      <c r="AJ301" s="1172"/>
      <c r="AK301" s="1172"/>
      <c r="AL301" s="1173"/>
      <c r="AM301" s="1174"/>
      <c r="AN301" s="1175"/>
      <c r="AO301" s="1176"/>
      <c r="AP301" s="1177"/>
      <c r="AQ301" s="1547"/>
      <c r="AR301" s="1177"/>
      <c r="AS301" s="1548"/>
      <c r="AT301" s="1549"/>
      <c r="AU301" s="1178"/>
      <c r="AV301" s="1179"/>
      <c r="AY301" s="3">
        <v>1</v>
      </c>
    </row>
    <row r="302" spans="2:51" ht="18.75">
      <c r="B302" s="104"/>
      <c r="C302" s="1172"/>
      <c r="D302" s="1172"/>
      <c r="E302" s="1172"/>
      <c r="F302" s="1173"/>
      <c r="G302" s="1174"/>
      <c r="H302" s="1175"/>
      <c r="I302" s="1176"/>
      <c r="J302" s="1177"/>
      <c r="K302" s="1547"/>
      <c r="L302" s="1177"/>
      <c r="M302" s="1548"/>
      <c r="N302" s="1549"/>
      <c r="O302" s="1178"/>
      <c r="P302" s="1179"/>
      <c r="R302" s="104"/>
      <c r="S302" s="1172"/>
      <c r="T302" s="1172"/>
      <c r="U302" s="1172"/>
      <c r="V302" s="1173"/>
      <c r="W302" s="1174"/>
      <c r="X302" s="1175"/>
      <c r="Y302" s="1176"/>
      <c r="Z302" s="1177"/>
      <c r="AA302" s="1547"/>
      <c r="AB302" s="1177"/>
      <c r="AC302" s="1548"/>
      <c r="AD302" s="1549"/>
      <c r="AE302" s="1178"/>
      <c r="AF302" s="1179"/>
      <c r="AH302" s="104"/>
      <c r="AI302" s="1172"/>
      <c r="AJ302" s="1172"/>
      <c r="AK302" s="1172"/>
      <c r="AL302" s="1173"/>
      <c r="AM302" s="1174"/>
      <c r="AN302" s="1175"/>
      <c r="AO302" s="1176"/>
      <c r="AP302" s="1177"/>
      <c r="AQ302" s="1547"/>
      <c r="AR302" s="1177"/>
      <c r="AS302" s="1548"/>
      <c r="AT302" s="1549"/>
      <c r="AU302" s="1178"/>
      <c r="AV302" s="1179"/>
      <c r="AY302" s="3">
        <v>1</v>
      </c>
    </row>
    <row r="303" spans="2:51" ht="18.75">
      <c r="B303" s="104"/>
      <c r="C303" s="1172"/>
      <c r="D303" s="1172"/>
      <c r="E303" s="1172"/>
      <c r="F303" s="1173"/>
      <c r="G303" s="1174"/>
      <c r="H303" s="1175"/>
      <c r="I303" s="1176"/>
      <c r="J303" s="1177"/>
      <c r="K303" s="1547"/>
      <c r="L303" s="1177"/>
      <c r="M303" s="1548"/>
      <c r="N303" s="1549"/>
      <c r="O303" s="1178"/>
      <c r="P303" s="1179"/>
      <c r="R303" s="104"/>
      <c r="S303" s="1172"/>
      <c r="T303" s="1172"/>
      <c r="U303" s="1172"/>
      <c r="V303" s="1173"/>
      <c r="W303" s="1174"/>
      <c r="X303" s="1175"/>
      <c r="Y303" s="1176"/>
      <c r="Z303" s="1177"/>
      <c r="AA303" s="1547"/>
      <c r="AB303" s="1177"/>
      <c r="AC303" s="1548"/>
      <c r="AD303" s="1549"/>
      <c r="AE303" s="1178"/>
      <c r="AF303" s="1179"/>
      <c r="AH303" s="104"/>
      <c r="AI303" s="1172"/>
      <c r="AJ303" s="1172"/>
      <c r="AK303" s="1172"/>
      <c r="AL303" s="1173"/>
      <c r="AM303" s="1174"/>
      <c r="AN303" s="1175"/>
      <c r="AO303" s="1176"/>
      <c r="AP303" s="1177"/>
      <c r="AQ303" s="1547"/>
      <c r="AR303" s="1177"/>
      <c r="AS303" s="1548"/>
      <c r="AT303" s="1549"/>
      <c r="AU303" s="1178"/>
      <c r="AV303" s="1179"/>
      <c r="AY303" s="3">
        <v>1</v>
      </c>
    </row>
    <row r="304" spans="2:51" ht="18.75">
      <c r="B304" s="104"/>
      <c r="C304" s="1172"/>
      <c r="D304" s="1172"/>
      <c r="E304" s="1172"/>
      <c r="F304" s="1173"/>
      <c r="G304" s="1174"/>
      <c r="H304" s="1175"/>
      <c r="I304" s="1176"/>
      <c r="J304" s="1177"/>
      <c r="K304" s="1547"/>
      <c r="L304" s="1177"/>
      <c r="M304" s="1548"/>
      <c r="N304" s="1549"/>
      <c r="O304" s="1178"/>
      <c r="P304" s="1179"/>
      <c r="R304" s="104"/>
      <c r="S304" s="1172"/>
      <c r="T304" s="1172"/>
      <c r="U304" s="1172"/>
      <c r="V304" s="1173"/>
      <c r="W304" s="1174"/>
      <c r="X304" s="1175"/>
      <c r="Y304" s="1176"/>
      <c r="Z304" s="1177"/>
      <c r="AA304" s="1547"/>
      <c r="AB304" s="1177"/>
      <c r="AC304" s="1548"/>
      <c r="AD304" s="1549"/>
      <c r="AE304" s="1178"/>
      <c r="AF304" s="1179"/>
      <c r="AH304" s="104"/>
      <c r="AI304" s="1172"/>
      <c r="AJ304" s="1172"/>
      <c r="AK304" s="1172"/>
      <c r="AL304" s="1173"/>
      <c r="AM304" s="1174"/>
      <c r="AN304" s="1175"/>
      <c r="AO304" s="1176"/>
      <c r="AP304" s="1177"/>
      <c r="AQ304" s="1547"/>
      <c r="AR304" s="1177"/>
      <c r="AS304" s="1548"/>
      <c r="AT304" s="1549"/>
      <c r="AU304" s="1178"/>
      <c r="AV304" s="1179"/>
      <c r="AY304" s="3">
        <v>1</v>
      </c>
    </row>
    <row r="305" spans="2:51" ht="18.75">
      <c r="B305" s="104"/>
      <c r="C305" s="1172"/>
      <c r="D305" s="1172"/>
      <c r="E305" s="1172"/>
      <c r="F305" s="1173"/>
      <c r="G305" s="1174"/>
      <c r="H305" s="1175"/>
      <c r="I305" s="1176"/>
      <c r="J305" s="1177"/>
      <c r="K305" s="1547"/>
      <c r="L305" s="1177"/>
      <c r="M305" s="1548"/>
      <c r="N305" s="1549"/>
      <c r="O305" s="1178"/>
      <c r="P305" s="1179"/>
      <c r="R305" s="104"/>
      <c r="S305" s="1172"/>
      <c r="T305" s="1172"/>
      <c r="U305" s="1172"/>
      <c r="V305" s="1173"/>
      <c r="W305" s="1174"/>
      <c r="X305" s="1175"/>
      <c r="Y305" s="1176"/>
      <c r="Z305" s="1177"/>
      <c r="AA305" s="1547"/>
      <c r="AB305" s="1177"/>
      <c r="AC305" s="1548"/>
      <c r="AD305" s="1549"/>
      <c r="AE305" s="1178"/>
      <c r="AF305" s="1179"/>
      <c r="AH305" s="104"/>
      <c r="AI305" s="1172"/>
      <c r="AJ305" s="1172"/>
      <c r="AK305" s="1172"/>
      <c r="AL305" s="1173"/>
      <c r="AM305" s="1174"/>
      <c r="AN305" s="1175"/>
      <c r="AO305" s="1176"/>
      <c r="AP305" s="1177"/>
      <c r="AQ305" s="1547"/>
      <c r="AR305" s="1177"/>
      <c r="AS305" s="1548"/>
      <c r="AT305" s="1549"/>
      <c r="AU305" s="1178"/>
      <c r="AV305" s="1179"/>
      <c r="AY305" s="3">
        <v>1</v>
      </c>
    </row>
    <row r="306" spans="2:51" ht="18.75">
      <c r="B306" s="104"/>
      <c r="C306" s="1172"/>
      <c r="D306" s="1172"/>
      <c r="E306" s="1172"/>
      <c r="F306" s="1173"/>
      <c r="G306" s="1174"/>
      <c r="H306" s="1175"/>
      <c r="I306" s="1176"/>
      <c r="J306" s="1177"/>
      <c r="K306" s="1547"/>
      <c r="L306" s="1177"/>
      <c r="M306" s="1548"/>
      <c r="N306" s="1549"/>
      <c r="O306" s="1178"/>
      <c r="P306" s="1179"/>
      <c r="R306" s="104"/>
      <c r="S306" s="1172"/>
      <c r="T306" s="1172"/>
      <c r="U306" s="1172"/>
      <c r="V306" s="1173"/>
      <c r="W306" s="1174"/>
      <c r="X306" s="1175"/>
      <c r="Y306" s="1176"/>
      <c r="Z306" s="1177"/>
      <c r="AA306" s="1547"/>
      <c r="AB306" s="1177"/>
      <c r="AC306" s="1548"/>
      <c r="AD306" s="1549"/>
      <c r="AE306" s="1178"/>
      <c r="AF306" s="1179"/>
      <c r="AH306" s="104"/>
      <c r="AI306" s="1172"/>
      <c r="AJ306" s="1172"/>
      <c r="AK306" s="1172"/>
      <c r="AL306" s="1173"/>
      <c r="AM306" s="1174"/>
      <c r="AN306" s="1175"/>
      <c r="AO306" s="1176"/>
      <c r="AP306" s="1177"/>
      <c r="AQ306" s="1547"/>
      <c r="AR306" s="1177"/>
      <c r="AS306" s="1548"/>
      <c r="AT306" s="1549"/>
      <c r="AU306" s="1178"/>
      <c r="AV306" s="1179"/>
      <c r="AY306" s="3">
        <v>1</v>
      </c>
    </row>
    <row r="307" spans="2:51" ht="18.75">
      <c r="B307" s="104"/>
      <c r="C307" s="1172"/>
      <c r="D307" s="1172"/>
      <c r="E307" s="1172"/>
      <c r="F307" s="1173"/>
      <c r="G307" s="1174"/>
      <c r="H307" s="1175"/>
      <c r="I307" s="1176"/>
      <c r="J307" s="1177"/>
      <c r="K307" s="1547"/>
      <c r="L307" s="1177"/>
      <c r="M307" s="1548"/>
      <c r="N307" s="1549"/>
      <c r="O307" s="1178"/>
      <c r="P307" s="1179"/>
      <c r="R307" s="104"/>
      <c r="S307" s="1172"/>
      <c r="T307" s="1172"/>
      <c r="U307" s="1172"/>
      <c r="V307" s="1173"/>
      <c r="W307" s="1174"/>
      <c r="X307" s="1175"/>
      <c r="Y307" s="1176"/>
      <c r="Z307" s="1177"/>
      <c r="AA307" s="1547"/>
      <c r="AB307" s="1177"/>
      <c r="AC307" s="1548"/>
      <c r="AD307" s="1549"/>
      <c r="AE307" s="1178"/>
      <c r="AF307" s="1179"/>
      <c r="AH307" s="104"/>
      <c r="AI307" s="1172"/>
      <c r="AJ307" s="1172"/>
      <c r="AK307" s="1172"/>
      <c r="AL307" s="1173"/>
      <c r="AM307" s="1174"/>
      <c r="AN307" s="1175"/>
      <c r="AO307" s="1176"/>
      <c r="AP307" s="1177"/>
      <c r="AQ307" s="1547"/>
      <c r="AR307" s="1177"/>
      <c r="AS307" s="1548"/>
      <c r="AT307" s="1549"/>
      <c r="AU307" s="1178"/>
      <c r="AV307" s="1179"/>
      <c r="AY307" s="3">
        <v>1</v>
      </c>
    </row>
    <row r="308" spans="2:51" ht="18.75">
      <c r="B308" s="104"/>
      <c r="C308" s="1172"/>
      <c r="D308" s="1172"/>
      <c r="E308" s="1172"/>
      <c r="F308" s="1173"/>
      <c r="G308" s="1174"/>
      <c r="H308" s="1175"/>
      <c r="I308" s="1176"/>
      <c r="J308" s="1177"/>
      <c r="K308" s="1547"/>
      <c r="L308" s="1177"/>
      <c r="M308" s="1548"/>
      <c r="N308" s="1549"/>
      <c r="O308" s="1178"/>
      <c r="P308" s="1179"/>
      <c r="R308" s="104"/>
      <c r="S308" s="1172"/>
      <c r="T308" s="1172"/>
      <c r="U308" s="1172"/>
      <c r="V308" s="1173"/>
      <c r="W308" s="1174"/>
      <c r="X308" s="1175"/>
      <c r="Y308" s="1176"/>
      <c r="Z308" s="1177"/>
      <c r="AA308" s="1547"/>
      <c r="AB308" s="1177"/>
      <c r="AC308" s="1548"/>
      <c r="AD308" s="1549"/>
      <c r="AE308" s="1178"/>
      <c r="AF308" s="1179"/>
      <c r="AH308" s="104"/>
      <c r="AI308" s="1172"/>
      <c r="AJ308" s="1172"/>
      <c r="AK308" s="1172"/>
      <c r="AL308" s="1173"/>
      <c r="AM308" s="1174"/>
      <c r="AN308" s="1175"/>
      <c r="AO308" s="1176"/>
      <c r="AP308" s="1177"/>
      <c r="AQ308" s="1547"/>
      <c r="AR308" s="1177"/>
      <c r="AS308" s="1548"/>
      <c r="AT308" s="1549"/>
      <c r="AU308" s="1178"/>
      <c r="AV308" s="1179"/>
      <c r="AY308" s="3">
        <v>1</v>
      </c>
    </row>
    <row r="309" spans="2:51" ht="18.75">
      <c r="B309" s="104"/>
      <c r="C309" s="1172"/>
      <c r="D309" s="1172"/>
      <c r="E309" s="1172"/>
      <c r="F309" s="1173"/>
      <c r="G309" s="1174"/>
      <c r="H309" s="1175"/>
      <c r="I309" s="1176"/>
      <c r="J309" s="1177"/>
      <c r="K309" s="1547"/>
      <c r="L309" s="1177"/>
      <c r="M309" s="1548"/>
      <c r="N309" s="1549"/>
      <c r="O309" s="1178"/>
      <c r="P309" s="1179"/>
      <c r="R309" s="104"/>
      <c r="S309" s="1172"/>
      <c r="T309" s="1172"/>
      <c r="U309" s="1172"/>
      <c r="V309" s="1173"/>
      <c r="W309" s="1174"/>
      <c r="X309" s="1175"/>
      <c r="Y309" s="1176"/>
      <c r="Z309" s="1177"/>
      <c r="AA309" s="1547"/>
      <c r="AB309" s="1177"/>
      <c r="AC309" s="1548"/>
      <c r="AD309" s="1549"/>
      <c r="AE309" s="1178"/>
      <c r="AF309" s="1179"/>
      <c r="AH309" s="104"/>
      <c r="AI309" s="1172"/>
      <c r="AJ309" s="1172"/>
      <c r="AK309" s="1172"/>
      <c r="AL309" s="1173"/>
      <c r="AM309" s="1174"/>
      <c r="AN309" s="1175"/>
      <c r="AO309" s="1176"/>
      <c r="AP309" s="1177"/>
      <c r="AQ309" s="1547"/>
      <c r="AR309" s="1177"/>
      <c r="AS309" s="1548"/>
      <c r="AT309" s="1549"/>
      <c r="AU309" s="1178"/>
      <c r="AV309" s="1179"/>
      <c r="AY309" s="3">
        <v>1</v>
      </c>
    </row>
    <row r="310" spans="2:51" ht="18.75">
      <c r="B310" s="104"/>
      <c r="C310" s="1172"/>
      <c r="D310" s="1172"/>
      <c r="E310" s="1172"/>
      <c r="F310" s="1173"/>
      <c r="G310" s="1174"/>
      <c r="H310" s="1175"/>
      <c r="I310" s="1176"/>
      <c r="J310" s="1177"/>
      <c r="K310" s="1547"/>
      <c r="L310" s="1177"/>
      <c r="M310" s="1548"/>
      <c r="N310" s="1549"/>
      <c r="O310" s="1178"/>
      <c r="P310" s="1179"/>
      <c r="R310" s="104"/>
      <c r="S310" s="1172"/>
      <c r="T310" s="1172"/>
      <c r="U310" s="1172"/>
      <c r="V310" s="1173"/>
      <c r="W310" s="1174"/>
      <c r="X310" s="1175"/>
      <c r="Y310" s="1176"/>
      <c r="Z310" s="1177"/>
      <c r="AA310" s="1547"/>
      <c r="AB310" s="1177"/>
      <c r="AC310" s="1548"/>
      <c r="AD310" s="1549"/>
      <c r="AE310" s="1178"/>
      <c r="AF310" s="1179"/>
      <c r="AH310" s="104"/>
      <c r="AI310" s="1172"/>
      <c r="AJ310" s="1172"/>
      <c r="AK310" s="1172"/>
      <c r="AL310" s="1173"/>
      <c r="AM310" s="1174"/>
      <c r="AN310" s="1175"/>
      <c r="AO310" s="1176"/>
      <c r="AP310" s="1177"/>
      <c r="AQ310" s="1547"/>
      <c r="AR310" s="1177"/>
      <c r="AS310" s="1548"/>
      <c r="AT310" s="1549"/>
      <c r="AU310" s="1178"/>
      <c r="AV310" s="1179"/>
      <c r="AY310" s="3">
        <v>1</v>
      </c>
    </row>
    <row r="311" spans="2:51" ht="18.75">
      <c r="B311" s="104"/>
      <c r="C311" s="1172"/>
      <c r="D311" s="1172"/>
      <c r="E311" s="1172"/>
      <c r="F311" s="1173"/>
      <c r="G311" s="1174"/>
      <c r="H311" s="1175"/>
      <c r="I311" s="1176"/>
      <c r="J311" s="1177"/>
      <c r="K311" s="1547"/>
      <c r="L311" s="1177"/>
      <c r="M311" s="1548"/>
      <c r="N311" s="1549"/>
      <c r="O311" s="1178"/>
      <c r="P311" s="1179"/>
      <c r="R311" s="104"/>
      <c r="S311" s="1172"/>
      <c r="T311" s="1172"/>
      <c r="U311" s="1172"/>
      <c r="V311" s="1173"/>
      <c r="W311" s="1174"/>
      <c r="X311" s="1175"/>
      <c r="Y311" s="1176"/>
      <c r="Z311" s="1177"/>
      <c r="AA311" s="1547"/>
      <c r="AB311" s="1177"/>
      <c r="AC311" s="1548"/>
      <c r="AD311" s="1549"/>
      <c r="AE311" s="1178"/>
      <c r="AF311" s="1179"/>
      <c r="AH311" s="104"/>
      <c r="AI311" s="1172"/>
      <c r="AJ311" s="1172"/>
      <c r="AK311" s="1172"/>
      <c r="AL311" s="1173"/>
      <c r="AM311" s="1174"/>
      <c r="AN311" s="1175"/>
      <c r="AO311" s="1176"/>
      <c r="AP311" s="1177"/>
      <c r="AQ311" s="1547"/>
      <c r="AR311" s="1177"/>
      <c r="AS311" s="1548"/>
      <c r="AT311" s="1549"/>
      <c r="AU311" s="1178"/>
      <c r="AV311" s="1179"/>
      <c r="AY311" s="3">
        <v>1</v>
      </c>
    </row>
    <row r="312" spans="2:51" ht="18.75">
      <c r="B312" s="104"/>
      <c r="C312" s="1172"/>
      <c r="D312" s="1172"/>
      <c r="E312" s="1172"/>
      <c r="F312" s="1173"/>
      <c r="G312" s="1174"/>
      <c r="H312" s="1175"/>
      <c r="I312" s="1176"/>
      <c r="J312" s="1177"/>
      <c r="K312" s="1547"/>
      <c r="L312" s="1177"/>
      <c r="M312" s="1548"/>
      <c r="N312" s="1549"/>
      <c r="O312" s="1178"/>
      <c r="P312" s="1179"/>
      <c r="R312" s="104"/>
      <c r="S312" s="1172"/>
      <c r="T312" s="1172"/>
      <c r="U312" s="1172"/>
      <c r="V312" s="1173"/>
      <c r="W312" s="1174"/>
      <c r="X312" s="1175"/>
      <c r="Y312" s="1176"/>
      <c r="Z312" s="1177"/>
      <c r="AA312" s="1547"/>
      <c r="AB312" s="1177"/>
      <c r="AC312" s="1548"/>
      <c r="AD312" s="1549"/>
      <c r="AE312" s="1178"/>
      <c r="AF312" s="1179"/>
      <c r="AH312" s="104"/>
      <c r="AI312" s="1172"/>
      <c r="AJ312" s="1172"/>
      <c r="AK312" s="1172"/>
      <c r="AL312" s="1173"/>
      <c r="AM312" s="1174"/>
      <c r="AN312" s="1175"/>
      <c r="AO312" s="1176"/>
      <c r="AP312" s="1177"/>
      <c r="AQ312" s="1547"/>
      <c r="AR312" s="1177"/>
      <c r="AS312" s="1548"/>
      <c r="AT312" s="1549"/>
      <c r="AU312" s="1178"/>
      <c r="AV312" s="1179"/>
      <c r="AY312" s="3">
        <v>1</v>
      </c>
    </row>
    <row r="313" spans="2:51" ht="18.75">
      <c r="B313" s="104"/>
      <c r="C313" s="1172"/>
      <c r="D313" s="1172"/>
      <c r="E313" s="1172"/>
      <c r="F313" s="1173"/>
      <c r="G313" s="1174"/>
      <c r="H313" s="1175"/>
      <c r="I313" s="1176"/>
      <c r="J313" s="1177"/>
      <c r="K313" s="1547"/>
      <c r="L313" s="1177"/>
      <c r="M313" s="1548"/>
      <c r="N313" s="1549"/>
      <c r="O313" s="1178"/>
      <c r="P313" s="1179"/>
      <c r="R313" s="104"/>
      <c r="S313" s="1172"/>
      <c r="T313" s="1172"/>
      <c r="U313" s="1172"/>
      <c r="V313" s="1173"/>
      <c r="W313" s="1174"/>
      <c r="X313" s="1175"/>
      <c r="Y313" s="1176"/>
      <c r="Z313" s="1177"/>
      <c r="AA313" s="1547"/>
      <c r="AB313" s="1177"/>
      <c r="AC313" s="1548"/>
      <c r="AD313" s="1549"/>
      <c r="AE313" s="1178"/>
      <c r="AF313" s="1179"/>
      <c r="AH313" s="104"/>
      <c r="AI313" s="1172"/>
      <c r="AJ313" s="1172"/>
      <c r="AK313" s="1172"/>
      <c r="AL313" s="1173"/>
      <c r="AM313" s="1174"/>
      <c r="AN313" s="1175"/>
      <c r="AO313" s="1176"/>
      <c r="AP313" s="1177"/>
      <c r="AQ313" s="1547"/>
      <c r="AR313" s="1177"/>
      <c r="AS313" s="1548"/>
      <c r="AT313" s="1549"/>
      <c r="AU313" s="1178"/>
      <c r="AV313" s="1179"/>
      <c r="AY313" s="3">
        <v>1</v>
      </c>
    </row>
    <row r="314" spans="2:51" ht="18.75">
      <c r="B314" s="104"/>
      <c r="C314" s="1172"/>
      <c r="D314" s="1172"/>
      <c r="E314" s="1172"/>
      <c r="F314" s="1173"/>
      <c r="G314" s="1174"/>
      <c r="H314" s="1175"/>
      <c r="I314" s="1176"/>
      <c r="J314" s="1177"/>
      <c r="K314" s="1547"/>
      <c r="L314" s="1177"/>
      <c r="M314" s="1548"/>
      <c r="N314" s="1549"/>
      <c r="O314" s="1178"/>
      <c r="P314" s="1179"/>
      <c r="R314" s="104"/>
      <c r="S314" s="1172"/>
      <c r="T314" s="1172"/>
      <c r="U314" s="1172"/>
      <c r="V314" s="1173"/>
      <c r="W314" s="1174"/>
      <c r="X314" s="1175"/>
      <c r="Y314" s="1176"/>
      <c r="Z314" s="1177"/>
      <c r="AA314" s="1547"/>
      <c r="AB314" s="1177"/>
      <c r="AC314" s="1548"/>
      <c r="AD314" s="1549"/>
      <c r="AE314" s="1178"/>
      <c r="AF314" s="1179"/>
      <c r="AH314" s="104"/>
      <c r="AI314" s="1172"/>
      <c r="AJ314" s="1172"/>
      <c r="AK314" s="1172"/>
      <c r="AL314" s="1173"/>
      <c r="AM314" s="1174"/>
      <c r="AN314" s="1175"/>
      <c r="AO314" s="1176"/>
      <c r="AP314" s="1177"/>
      <c r="AQ314" s="1547"/>
      <c r="AR314" s="1177"/>
      <c r="AS314" s="1548"/>
      <c r="AT314" s="1549"/>
      <c r="AU314" s="1178"/>
      <c r="AV314" s="1179"/>
      <c r="AY314" s="3">
        <v>1</v>
      </c>
    </row>
    <row r="315" spans="2:51" ht="18.75">
      <c r="B315" s="104"/>
      <c r="C315" s="1172"/>
      <c r="D315" s="1172"/>
      <c r="E315" s="1172"/>
      <c r="F315" s="1173"/>
      <c r="G315" s="1174"/>
      <c r="H315" s="1175"/>
      <c r="I315" s="1176"/>
      <c r="J315" s="1177"/>
      <c r="K315" s="1547"/>
      <c r="L315" s="1177"/>
      <c r="M315" s="1548"/>
      <c r="N315" s="1549"/>
      <c r="O315" s="1178"/>
      <c r="P315" s="1179"/>
      <c r="R315" s="104"/>
      <c r="S315" s="1172"/>
      <c r="T315" s="1172"/>
      <c r="U315" s="1172"/>
      <c r="V315" s="1173"/>
      <c r="W315" s="1174"/>
      <c r="X315" s="1175"/>
      <c r="Y315" s="1176"/>
      <c r="Z315" s="1177"/>
      <c r="AA315" s="1547"/>
      <c r="AB315" s="1177"/>
      <c r="AC315" s="1548"/>
      <c r="AD315" s="1549"/>
      <c r="AE315" s="1178"/>
      <c r="AF315" s="1179"/>
      <c r="AH315" s="104"/>
      <c r="AI315" s="1172"/>
      <c r="AJ315" s="1172"/>
      <c r="AK315" s="1172"/>
      <c r="AL315" s="1173"/>
      <c r="AM315" s="1174"/>
      <c r="AN315" s="1175"/>
      <c r="AO315" s="1176"/>
      <c r="AP315" s="1177"/>
      <c r="AQ315" s="1547"/>
      <c r="AR315" s="1177"/>
      <c r="AS315" s="1548"/>
      <c r="AT315" s="1549"/>
      <c r="AU315" s="1178"/>
      <c r="AV315" s="1179"/>
      <c r="AY315" s="3">
        <v>1</v>
      </c>
    </row>
    <row r="316" spans="2:51" ht="18.75">
      <c r="B316" s="104"/>
      <c r="C316" s="1172"/>
      <c r="D316" s="1172"/>
      <c r="E316" s="1172"/>
      <c r="F316" s="1173"/>
      <c r="G316" s="1174"/>
      <c r="H316" s="1175"/>
      <c r="I316" s="1176"/>
      <c r="J316" s="1177"/>
      <c r="K316" s="1547"/>
      <c r="L316" s="1177"/>
      <c r="M316" s="1548"/>
      <c r="N316" s="1549"/>
      <c r="O316" s="1178"/>
      <c r="P316" s="1179"/>
      <c r="R316" s="104"/>
      <c r="S316" s="1172"/>
      <c r="T316" s="1172"/>
      <c r="U316" s="1172"/>
      <c r="V316" s="1173"/>
      <c r="W316" s="1174"/>
      <c r="X316" s="1175"/>
      <c r="Y316" s="1176"/>
      <c r="Z316" s="1177"/>
      <c r="AA316" s="1547"/>
      <c r="AB316" s="1177"/>
      <c r="AC316" s="1548"/>
      <c r="AD316" s="1549"/>
      <c r="AE316" s="1178"/>
      <c r="AF316" s="1179"/>
      <c r="AH316" s="104"/>
      <c r="AI316" s="1172"/>
      <c r="AJ316" s="1172"/>
      <c r="AK316" s="1172"/>
      <c r="AL316" s="1173"/>
      <c r="AM316" s="1174"/>
      <c r="AN316" s="1175"/>
      <c r="AO316" s="1176"/>
      <c r="AP316" s="1177"/>
      <c r="AQ316" s="1547"/>
      <c r="AR316" s="1177"/>
      <c r="AS316" s="1548"/>
      <c r="AT316" s="1549"/>
      <c r="AU316" s="1178"/>
      <c r="AV316" s="1179"/>
      <c r="AY316" s="3">
        <v>1</v>
      </c>
    </row>
    <row r="317" spans="2:51" ht="18.75">
      <c r="B317" s="104"/>
      <c r="C317" s="1172"/>
      <c r="D317" s="1172"/>
      <c r="E317" s="1172"/>
      <c r="F317" s="1173"/>
      <c r="G317" s="1174"/>
      <c r="H317" s="1175"/>
      <c r="I317" s="1176"/>
      <c r="J317" s="1177"/>
      <c r="K317" s="1547"/>
      <c r="L317" s="1177"/>
      <c r="M317" s="1548"/>
      <c r="N317" s="1549"/>
      <c r="O317" s="1178"/>
      <c r="P317" s="1179"/>
      <c r="R317" s="104"/>
      <c r="S317" s="1172"/>
      <c r="T317" s="1172"/>
      <c r="U317" s="1172"/>
      <c r="V317" s="1173"/>
      <c r="W317" s="1174"/>
      <c r="X317" s="1175"/>
      <c r="Y317" s="1176"/>
      <c r="Z317" s="1177"/>
      <c r="AA317" s="1547"/>
      <c r="AB317" s="1177"/>
      <c r="AC317" s="1548"/>
      <c r="AD317" s="1549"/>
      <c r="AE317" s="1178"/>
      <c r="AF317" s="1179"/>
      <c r="AH317" s="104"/>
      <c r="AI317" s="1172"/>
      <c r="AJ317" s="1172"/>
      <c r="AK317" s="1172"/>
      <c r="AL317" s="1173"/>
      <c r="AM317" s="1174"/>
      <c r="AN317" s="1175"/>
      <c r="AO317" s="1176"/>
      <c r="AP317" s="1177"/>
      <c r="AQ317" s="1547"/>
      <c r="AR317" s="1177"/>
      <c r="AS317" s="1548"/>
      <c r="AT317" s="1549"/>
      <c r="AU317" s="1178"/>
      <c r="AV317" s="1179"/>
      <c r="AY317" s="3">
        <v>1</v>
      </c>
    </row>
    <row r="318" spans="2:51" ht="18.75">
      <c r="B318" s="104"/>
      <c r="C318" s="1172"/>
      <c r="D318" s="1172"/>
      <c r="E318" s="1172"/>
      <c r="F318" s="1173"/>
      <c r="G318" s="1174"/>
      <c r="H318" s="1175"/>
      <c r="I318" s="1176"/>
      <c r="J318" s="1177"/>
      <c r="K318" s="1547"/>
      <c r="L318" s="1177"/>
      <c r="M318" s="1548"/>
      <c r="N318" s="1549"/>
      <c r="O318" s="1178"/>
      <c r="P318" s="1179"/>
      <c r="R318" s="104"/>
      <c r="S318" s="1172"/>
      <c r="T318" s="1172"/>
      <c r="U318" s="1172"/>
      <c r="V318" s="1173"/>
      <c r="W318" s="1174"/>
      <c r="X318" s="1175"/>
      <c r="Y318" s="1176"/>
      <c r="Z318" s="1177"/>
      <c r="AA318" s="1547"/>
      <c r="AB318" s="1177"/>
      <c r="AC318" s="1548"/>
      <c r="AD318" s="1549"/>
      <c r="AE318" s="1178"/>
      <c r="AF318" s="1179"/>
      <c r="AH318" s="104"/>
      <c r="AI318" s="1172"/>
      <c r="AJ318" s="1172"/>
      <c r="AK318" s="1172"/>
      <c r="AL318" s="1173"/>
      <c r="AM318" s="1174"/>
      <c r="AN318" s="1175"/>
      <c r="AO318" s="1176"/>
      <c r="AP318" s="1177"/>
      <c r="AQ318" s="1547"/>
      <c r="AR318" s="1177"/>
      <c r="AS318" s="1548"/>
      <c r="AT318" s="1549"/>
      <c r="AU318" s="1178"/>
      <c r="AV318" s="1179"/>
      <c r="AY318" s="3">
        <v>1</v>
      </c>
    </row>
    <row r="319" spans="2:51" ht="18.75">
      <c r="B319" s="104"/>
      <c r="C319" s="1172"/>
      <c r="D319" s="1172"/>
      <c r="E319" s="1172"/>
      <c r="F319" s="1173"/>
      <c r="G319" s="1174"/>
      <c r="H319" s="1175"/>
      <c r="I319" s="1176"/>
      <c r="J319" s="1177"/>
      <c r="K319" s="1547"/>
      <c r="L319" s="1177"/>
      <c r="M319" s="1548"/>
      <c r="N319" s="1549"/>
      <c r="O319" s="1178"/>
      <c r="P319" s="1179"/>
      <c r="R319" s="104"/>
      <c r="S319" s="1172"/>
      <c r="T319" s="1172"/>
      <c r="U319" s="1172"/>
      <c r="V319" s="1173"/>
      <c r="W319" s="1174"/>
      <c r="X319" s="1175"/>
      <c r="Y319" s="1176"/>
      <c r="Z319" s="1177"/>
      <c r="AA319" s="1547"/>
      <c r="AB319" s="1177"/>
      <c r="AC319" s="1548"/>
      <c r="AD319" s="1549"/>
      <c r="AE319" s="1178"/>
      <c r="AF319" s="1179"/>
      <c r="AH319" s="104"/>
      <c r="AI319" s="1172"/>
      <c r="AJ319" s="1172"/>
      <c r="AK319" s="1172"/>
      <c r="AL319" s="1173"/>
      <c r="AM319" s="1174"/>
      <c r="AN319" s="1175"/>
      <c r="AO319" s="1176"/>
      <c r="AP319" s="1177"/>
      <c r="AQ319" s="1547"/>
      <c r="AR319" s="1177"/>
      <c r="AS319" s="1548"/>
      <c r="AT319" s="1549"/>
      <c r="AU319" s="1178"/>
      <c r="AV319" s="1179"/>
      <c r="AY319" s="3">
        <v>1</v>
      </c>
    </row>
    <row r="320" spans="2:51" ht="18.75">
      <c r="B320" s="104"/>
      <c r="C320" s="1172"/>
      <c r="D320" s="1172"/>
      <c r="E320" s="1172"/>
      <c r="F320" s="1173"/>
      <c r="G320" s="1174"/>
      <c r="H320" s="1175"/>
      <c r="I320" s="1176"/>
      <c r="J320" s="1177"/>
      <c r="K320" s="1547"/>
      <c r="L320" s="1177"/>
      <c r="M320" s="1548"/>
      <c r="N320" s="1549"/>
      <c r="O320" s="1178"/>
      <c r="P320" s="1179"/>
      <c r="R320" s="104"/>
      <c r="S320" s="1172"/>
      <c r="T320" s="1172"/>
      <c r="U320" s="1172"/>
      <c r="V320" s="1173"/>
      <c r="W320" s="1174"/>
      <c r="X320" s="1175"/>
      <c r="Y320" s="1176"/>
      <c r="Z320" s="1177"/>
      <c r="AA320" s="1547"/>
      <c r="AB320" s="1177"/>
      <c r="AC320" s="1548"/>
      <c r="AD320" s="1549"/>
      <c r="AE320" s="1178"/>
      <c r="AF320" s="1179"/>
      <c r="AH320" s="104"/>
      <c r="AI320" s="1172"/>
      <c r="AJ320" s="1172"/>
      <c r="AK320" s="1172"/>
      <c r="AL320" s="1173"/>
      <c r="AM320" s="1174"/>
      <c r="AN320" s="1175"/>
      <c r="AO320" s="1176"/>
      <c r="AP320" s="1177"/>
      <c r="AQ320" s="1547"/>
      <c r="AR320" s="1177"/>
      <c r="AS320" s="1548"/>
      <c r="AT320" s="1549"/>
      <c r="AU320" s="1178"/>
      <c r="AV320" s="1179"/>
      <c r="AY320" s="3">
        <v>1</v>
      </c>
    </row>
    <row r="321" spans="2:51" ht="18.75">
      <c r="B321" s="104"/>
      <c r="C321" s="1172"/>
      <c r="D321" s="1172"/>
      <c r="E321" s="1172"/>
      <c r="F321" s="1173"/>
      <c r="G321" s="1174"/>
      <c r="H321" s="1175"/>
      <c r="I321" s="1176"/>
      <c r="J321" s="1177"/>
      <c r="K321" s="1547"/>
      <c r="L321" s="1177"/>
      <c r="M321" s="1548"/>
      <c r="N321" s="1549"/>
      <c r="O321" s="1178"/>
      <c r="P321" s="1179"/>
      <c r="R321" s="104"/>
      <c r="S321" s="1172"/>
      <c r="T321" s="1172"/>
      <c r="U321" s="1172"/>
      <c r="V321" s="1173"/>
      <c r="W321" s="1174"/>
      <c r="X321" s="1175"/>
      <c r="Y321" s="1176"/>
      <c r="Z321" s="1177"/>
      <c r="AA321" s="1547"/>
      <c r="AB321" s="1177"/>
      <c r="AC321" s="1548"/>
      <c r="AD321" s="1549"/>
      <c r="AE321" s="1178"/>
      <c r="AF321" s="1179"/>
      <c r="AH321" s="104"/>
      <c r="AI321" s="1172"/>
      <c r="AJ321" s="1172"/>
      <c r="AK321" s="1172"/>
      <c r="AL321" s="1173"/>
      <c r="AM321" s="1174"/>
      <c r="AN321" s="1175"/>
      <c r="AO321" s="1176"/>
      <c r="AP321" s="1177"/>
      <c r="AQ321" s="1547"/>
      <c r="AR321" s="1177"/>
      <c r="AS321" s="1548"/>
      <c r="AT321" s="1549"/>
      <c r="AU321" s="1178"/>
      <c r="AV321" s="1179"/>
      <c r="AY321" s="3">
        <v>1</v>
      </c>
    </row>
    <row r="322" spans="2:51" ht="18.75">
      <c r="B322" s="104"/>
      <c r="C322" s="1172"/>
      <c r="D322" s="1172"/>
      <c r="E322" s="1172"/>
      <c r="F322" s="1173"/>
      <c r="G322" s="1174"/>
      <c r="H322" s="1175"/>
      <c r="I322" s="1176"/>
      <c r="J322" s="1177"/>
      <c r="K322" s="1547"/>
      <c r="L322" s="1177"/>
      <c r="M322" s="1548"/>
      <c r="N322" s="1549"/>
      <c r="O322" s="1178"/>
      <c r="P322" s="1179"/>
      <c r="R322" s="104"/>
      <c r="S322" s="1172"/>
      <c r="T322" s="1172"/>
      <c r="U322" s="1172"/>
      <c r="V322" s="1173"/>
      <c r="W322" s="1174"/>
      <c r="X322" s="1175"/>
      <c r="Y322" s="1176"/>
      <c r="Z322" s="1177"/>
      <c r="AA322" s="1547"/>
      <c r="AB322" s="1177"/>
      <c r="AC322" s="1548"/>
      <c r="AD322" s="1549"/>
      <c r="AE322" s="1178"/>
      <c r="AF322" s="1179"/>
      <c r="AH322" s="104"/>
      <c r="AI322" s="1172"/>
      <c r="AJ322" s="1172"/>
      <c r="AK322" s="1172"/>
      <c r="AL322" s="1173"/>
      <c r="AM322" s="1174"/>
      <c r="AN322" s="1175"/>
      <c r="AO322" s="1176"/>
      <c r="AP322" s="1177"/>
      <c r="AQ322" s="1547"/>
      <c r="AR322" s="1177"/>
      <c r="AS322" s="1548"/>
      <c r="AT322" s="1549"/>
      <c r="AU322" s="1178"/>
      <c r="AV322" s="1179"/>
      <c r="AY322" s="3">
        <v>1</v>
      </c>
    </row>
    <row r="323" spans="2:51" ht="18.75">
      <c r="B323" s="104"/>
      <c r="C323" s="1172"/>
      <c r="D323" s="1172"/>
      <c r="E323" s="1172"/>
      <c r="F323" s="1173"/>
      <c r="G323" s="1174"/>
      <c r="H323" s="1175"/>
      <c r="I323" s="1176"/>
      <c r="J323" s="1177"/>
      <c r="K323" s="1547"/>
      <c r="L323" s="1177"/>
      <c r="M323" s="1548"/>
      <c r="N323" s="1549"/>
      <c r="O323" s="1178"/>
      <c r="P323" s="1179"/>
      <c r="R323" s="104"/>
      <c r="S323" s="1172"/>
      <c r="T323" s="1172"/>
      <c r="U323" s="1172"/>
      <c r="V323" s="1173"/>
      <c r="W323" s="1174"/>
      <c r="X323" s="1175"/>
      <c r="Y323" s="1176"/>
      <c r="Z323" s="1177"/>
      <c r="AA323" s="1547"/>
      <c r="AB323" s="1177"/>
      <c r="AC323" s="1548"/>
      <c r="AD323" s="1549"/>
      <c r="AE323" s="1178"/>
      <c r="AF323" s="1179"/>
      <c r="AH323" s="104"/>
      <c r="AI323" s="1172"/>
      <c r="AJ323" s="1172"/>
      <c r="AK323" s="1172"/>
      <c r="AL323" s="1173"/>
      <c r="AM323" s="1174"/>
      <c r="AN323" s="1175"/>
      <c r="AO323" s="1176"/>
      <c r="AP323" s="1177"/>
      <c r="AQ323" s="1547"/>
      <c r="AR323" s="1177"/>
      <c r="AS323" s="1548"/>
      <c r="AT323" s="1549"/>
      <c r="AU323" s="1178"/>
      <c r="AV323" s="1179"/>
      <c r="AY323" s="3">
        <v>1</v>
      </c>
    </row>
    <row r="324" spans="2:51" ht="18.75">
      <c r="B324" s="104"/>
      <c r="C324" s="1172"/>
      <c r="D324" s="1172"/>
      <c r="E324" s="1172"/>
      <c r="F324" s="1173"/>
      <c r="G324" s="1174"/>
      <c r="H324" s="1175"/>
      <c r="I324" s="1176"/>
      <c r="J324" s="1177"/>
      <c r="K324" s="1547"/>
      <c r="L324" s="1177"/>
      <c r="M324" s="1548"/>
      <c r="N324" s="1549"/>
      <c r="O324" s="1178"/>
      <c r="P324" s="1179"/>
      <c r="R324" s="104"/>
      <c r="S324" s="1172"/>
      <c r="T324" s="1172"/>
      <c r="U324" s="1172"/>
      <c r="V324" s="1173"/>
      <c r="W324" s="1174"/>
      <c r="X324" s="1175"/>
      <c r="Y324" s="1176"/>
      <c r="Z324" s="1177"/>
      <c r="AA324" s="1547"/>
      <c r="AB324" s="1177"/>
      <c r="AC324" s="1548"/>
      <c r="AD324" s="1549"/>
      <c r="AE324" s="1178"/>
      <c r="AF324" s="1179"/>
      <c r="AH324" s="104"/>
      <c r="AI324" s="1172"/>
      <c r="AJ324" s="1172"/>
      <c r="AK324" s="1172"/>
      <c r="AL324" s="1173"/>
      <c r="AM324" s="1174"/>
      <c r="AN324" s="1175"/>
      <c r="AO324" s="1176"/>
      <c r="AP324" s="1177"/>
      <c r="AQ324" s="1547"/>
      <c r="AR324" s="1177"/>
      <c r="AS324" s="1548"/>
      <c r="AT324" s="1549"/>
      <c r="AU324" s="1178"/>
      <c r="AV324" s="1179"/>
      <c r="AY324" s="3">
        <v>1</v>
      </c>
    </row>
    <row r="325" spans="2:51" ht="18.75">
      <c r="B325" s="104"/>
      <c r="C325" s="1172"/>
      <c r="D325" s="1172"/>
      <c r="E325" s="1172"/>
      <c r="F325" s="1173"/>
      <c r="G325" s="1174"/>
      <c r="H325" s="1175"/>
      <c r="I325" s="1176"/>
      <c r="J325" s="1177"/>
      <c r="K325" s="1547"/>
      <c r="L325" s="1177"/>
      <c r="M325" s="1548"/>
      <c r="N325" s="1549"/>
      <c r="O325" s="1178"/>
      <c r="P325" s="1179"/>
      <c r="R325" s="104"/>
      <c r="S325" s="1172"/>
      <c r="T325" s="1172"/>
      <c r="U325" s="1172"/>
      <c r="V325" s="1173"/>
      <c r="W325" s="1174"/>
      <c r="X325" s="1175"/>
      <c r="Y325" s="1176"/>
      <c r="Z325" s="1177"/>
      <c r="AA325" s="1547"/>
      <c r="AB325" s="1177"/>
      <c r="AC325" s="1548"/>
      <c r="AD325" s="1549"/>
      <c r="AE325" s="1178"/>
      <c r="AF325" s="1179"/>
      <c r="AH325" s="104"/>
      <c r="AI325" s="1172"/>
      <c r="AJ325" s="1172"/>
      <c r="AK325" s="1172"/>
      <c r="AL325" s="1173"/>
      <c r="AM325" s="1174"/>
      <c r="AN325" s="1175"/>
      <c r="AO325" s="1176"/>
      <c r="AP325" s="1177"/>
      <c r="AQ325" s="1547"/>
      <c r="AR325" s="1177"/>
      <c r="AS325" s="1548"/>
      <c r="AT325" s="1549"/>
      <c r="AU325" s="1178"/>
      <c r="AV325" s="1179"/>
      <c r="AY325" s="3">
        <v>1</v>
      </c>
    </row>
    <row r="326" spans="2:51" ht="18.75">
      <c r="B326" s="104"/>
      <c r="C326" s="1172"/>
      <c r="D326" s="1172"/>
      <c r="E326" s="1172"/>
      <c r="F326" s="1173"/>
      <c r="G326" s="1174"/>
      <c r="H326" s="1175"/>
      <c r="I326" s="1176"/>
      <c r="J326" s="1177"/>
      <c r="K326" s="1547"/>
      <c r="L326" s="1177"/>
      <c r="M326" s="1548"/>
      <c r="N326" s="1549"/>
      <c r="O326" s="1178"/>
      <c r="P326" s="1179"/>
      <c r="R326" s="104"/>
      <c r="S326" s="1172"/>
      <c r="T326" s="1172"/>
      <c r="U326" s="1172"/>
      <c r="V326" s="1173"/>
      <c r="W326" s="1174"/>
      <c r="X326" s="1175"/>
      <c r="Y326" s="1176"/>
      <c r="Z326" s="1177"/>
      <c r="AA326" s="1547"/>
      <c r="AB326" s="1177"/>
      <c r="AC326" s="1548"/>
      <c r="AD326" s="1549"/>
      <c r="AE326" s="1178"/>
      <c r="AF326" s="1179"/>
      <c r="AH326" s="104"/>
      <c r="AI326" s="1172"/>
      <c r="AJ326" s="1172"/>
      <c r="AK326" s="1172"/>
      <c r="AL326" s="1173"/>
      <c r="AM326" s="1174"/>
      <c r="AN326" s="1175"/>
      <c r="AO326" s="1176"/>
      <c r="AP326" s="1177"/>
      <c r="AQ326" s="1547"/>
      <c r="AR326" s="1177"/>
      <c r="AS326" s="1548"/>
      <c r="AT326" s="1549"/>
      <c r="AU326" s="1178"/>
      <c r="AV326" s="1179"/>
      <c r="AY326" s="3">
        <v>1</v>
      </c>
    </row>
    <row r="327" spans="2:51" ht="18.75">
      <c r="B327" s="104"/>
      <c r="C327" s="1172"/>
      <c r="D327" s="1172"/>
      <c r="E327" s="1172"/>
      <c r="F327" s="1173"/>
      <c r="G327" s="1174"/>
      <c r="H327" s="1175"/>
      <c r="I327" s="1176"/>
      <c r="J327" s="1177"/>
      <c r="K327" s="1547"/>
      <c r="L327" s="1177"/>
      <c r="M327" s="1548"/>
      <c r="N327" s="1549"/>
      <c r="O327" s="1178"/>
      <c r="P327" s="1179"/>
      <c r="R327" s="104"/>
      <c r="S327" s="1172"/>
      <c r="T327" s="1172"/>
      <c r="U327" s="1172"/>
      <c r="V327" s="1173"/>
      <c r="W327" s="1174"/>
      <c r="X327" s="1175"/>
      <c r="Y327" s="1176"/>
      <c r="Z327" s="1177"/>
      <c r="AA327" s="1547"/>
      <c r="AB327" s="1177"/>
      <c r="AC327" s="1548"/>
      <c r="AD327" s="1549"/>
      <c r="AE327" s="1178"/>
      <c r="AF327" s="1179"/>
      <c r="AH327" s="104"/>
      <c r="AI327" s="1172"/>
      <c r="AJ327" s="1172"/>
      <c r="AK327" s="1172"/>
      <c r="AL327" s="1173"/>
      <c r="AM327" s="1174"/>
      <c r="AN327" s="1175"/>
      <c r="AO327" s="1176"/>
      <c r="AP327" s="1177"/>
      <c r="AQ327" s="1547"/>
      <c r="AR327" s="1177"/>
      <c r="AS327" s="1548"/>
      <c r="AT327" s="1549"/>
      <c r="AU327" s="1178"/>
      <c r="AV327" s="1179"/>
      <c r="AY327" s="3">
        <v>1</v>
      </c>
    </row>
    <row r="328" spans="2:51" ht="18.75">
      <c r="B328" s="104"/>
      <c r="C328" s="1172"/>
      <c r="D328" s="1172"/>
      <c r="E328" s="1172"/>
      <c r="F328" s="1173"/>
      <c r="G328" s="1174"/>
      <c r="H328" s="1175"/>
      <c r="I328" s="1176"/>
      <c r="J328" s="1177"/>
      <c r="K328" s="1547"/>
      <c r="L328" s="1177"/>
      <c r="M328" s="1548"/>
      <c r="N328" s="1549"/>
      <c r="O328" s="1178"/>
      <c r="P328" s="1179"/>
      <c r="R328" s="104"/>
      <c r="S328" s="1172"/>
      <c r="T328" s="1172"/>
      <c r="U328" s="1172"/>
      <c r="V328" s="1173"/>
      <c r="W328" s="1174"/>
      <c r="X328" s="1175"/>
      <c r="Y328" s="1176"/>
      <c r="Z328" s="1177"/>
      <c r="AA328" s="1547"/>
      <c r="AB328" s="1177"/>
      <c r="AC328" s="1548"/>
      <c r="AD328" s="1549"/>
      <c r="AE328" s="1178"/>
      <c r="AF328" s="1179"/>
      <c r="AH328" s="104"/>
      <c r="AI328" s="1172"/>
      <c r="AJ328" s="1172"/>
      <c r="AK328" s="1172"/>
      <c r="AL328" s="1173"/>
      <c r="AM328" s="1174"/>
      <c r="AN328" s="1175"/>
      <c r="AO328" s="1176"/>
      <c r="AP328" s="1177"/>
      <c r="AQ328" s="1547"/>
      <c r="AR328" s="1177"/>
      <c r="AS328" s="1548"/>
      <c r="AT328" s="1549"/>
      <c r="AU328" s="1178"/>
      <c r="AV328" s="1179"/>
      <c r="AY328" s="3">
        <v>1</v>
      </c>
    </row>
    <row r="329" spans="2:51" ht="18.75">
      <c r="B329" s="104"/>
      <c r="C329" s="1172"/>
      <c r="D329" s="1172"/>
      <c r="E329" s="1172"/>
      <c r="F329" s="1173"/>
      <c r="G329" s="1174"/>
      <c r="H329" s="1175"/>
      <c r="I329" s="1176"/>
      <c r="J329" s="1177"/>
      <c r="K329" s="1547"/>
      <c r="L329" s="1177"/>
      <c r="M329" s="1548"/>
      <c r="N329" s="1549"/>
      <c r="O329" s="1178"/>
      <c r="P329" s="1179"/>
      <c r="R329" s="104"/>
      <c r="S329" s="1172"/>
      <c r="T329" s="1172"/>
      <c r="U329" s="1172"/>
      <c r="V329" s="1173"/>
      <c r="W329" s="1174"/>
      <c r="X329" s="1175"/>
      <c r="Y329" s="1176"/>
      <c r="Z329" s="1177"/>
      <c r="AA329" s="1547"/>
      <c r="AB329" s="1177"/>
      <c r="AC329" s="1548"/>
      <c r="AD329" s="1549"/>
      <c r="AE329" s="1178"/>
      <c r="AF329" s="1179"/>
      <c r="AH329" s="104"/>
      <c r="AI329" s="1172"/>
      <c r="AJ329" s="1172"/>
      <c r="AK329" s="1172"/>
      <c r="AL329" s="1173"/>
      <c r="AM329" s="1174"/>
      <c r="AN329" s="1175"/>
      <c r="AO329" s="1176"/>
      <c r="AP329" s="1177"/>
      <c r="AQ329" s="1547"/>
      <c r="AR329" s="1177"/>
      <c r="AS329" s="1548"/>
      <c r="AT329" s="1549"/>
      <c r="AU329" s="1178"/>
      <c r="AV329" s="1179"/>
      <c r="AY329" s="3">
        <v>1</v>
      </c>
    </row>
    <row r="330" spans="2:51" ht="18.75">
      <c r="B330" s="104"/>
      <c r="C330" s="1172"/>
      <c r="D330" s="1172"/>
      <c r="E330" s="1172"/>
      <c r="F330" s="1173"/>
      <c r="G330" s="1174"/>
      <c r="H330" s="1175"/>
      <c r="I330" s="1176"/>
      <c r="J330" s="1177"/>
      <c r="K330" s="1547"/>
      <c r="L330" s="1177"/>
      <c r="M330" s="1548"/>
      <c r="N330" s="1549"/>
      <c r="O330" s="1178"/>
      <c r="P330" s="1179"/>
      <c r="R330" s="104"/>
      <c r="S330" s="1172"/>
      <c r="T330" s="1172"/>
      <c r="U330" s="1172"/>
      <c r="V330" s="1173"/>
      <c r="W330" s="1174"/>
      <c r="X330" s="1175"/>
      <c r="Y330" s="1176"/>
      <c r="Z330" s="1177"/>
      <c r="AA330" s="1547"/>
      <c r="AB330" s="1177"/>
      <c r="AC330" s="1548"/>
      <c r="AD330" s="1549"/>
      <c r="AE330" s="1178"/>
      <c r="AF330" s="1179"/>
      <c r="AH330" s="104"/>
      <c r="AI330" s="1172"/>
      <c r="AJ330" s="1172"/>
      <c r="AK330" s="1172"/>
      <c r="AL330" s="1173"/>
      <c r="AM330" s="1174"/>
      <c r="AN330" s="1175"/>
      <c r="AO330" s="1176"/>
      <c r="AP330" s="1177"/>
      <c r="AQ330" s="1547"/>
      <c r="AR330" s="1177"/>
      <c r="AS330" s="1548"/>
      <c r="AT330" s="1549"/>
      <c r="AU330" s="1178"/>
      <c r="AV330" s="1179"/>
      <c r="AY330" s="3">
        <v>1</v>
      </c>
    </row>
    <row r="331" spans="2:51" ht="18.75">
      <c r="B331" s="104"/>
      <c r="C331" s="1172"/>
      <c r="D331" s="1172"/>
      <c r="E331" s="1172"/>
      <c r="F331" s="1173"/>
      <c r="G331" s="1174"/>
      <c r="H331" s="1175"/>
      <c r="I331" s="1176"/>
      <c r="J331" s="1177"/>
      <c r="K331" s="1547"/>
      <c r="L331" s="1177"/>
      <c r="M331" s="1548"/>
      <c r="N331" s="1549"/>
      <c r="O331" s="1178"/>
      <c r="P331" s="1179"/>
      <c r="R331" s="104"/>
      <c r="S331" s="1172"/>
      <c r="T331" s="1172"/>
      <c r="U331" s="1172"/>
      <c r="V331" s="1173"/>
      <c r="W331" s="1174"/>
      <c r="X331" s="1175"/>
      <c r="Y331" s="1176"/>
      <c r="Z331" s="1177"/>
      <c r="AA331" s="1547"/>
      <c r="AB331" s="1177"/>
      <c r="AC331" s="1548"/>
      <c r="AD331" s="1549"/>
      <c r="AE331" s="1178"/>
      <c r="AF331" s="1179"/>
      <c r="AH331" s="104"/>
      <c r="AI331" s="1172"/>
      <c r="AJ331" s="1172"/>
      <c r="AK331" s="1172"/>
      <c r="AL331" s="1173"/>
      <c r="AM331" s="1174"/>
      <c r="AN331" s="1175"/>
      <c r="AO331" s="1176"/>
      <c r="AP331" s="1177"/>
      <c r="AQ331" s="1547"/>
      <c r="AR331" s="1177"/>
      <c r="AS331" s="1548"/>
      <c r="AT331" s="1549"/>
      <c r="AU331" s="1178"/>
      <c r="AV331" s="1179"/>
      <c r="AY331" s="3">
        <v>1</v>
      </c>
    </row>
    <row r="332" spans="2:51" ht="18.75">
      <c r="B332" s="104"/>
      <c r="C332" s="1172"/>
      <c r="D332" s="1172"/>
      <c r="E332" s="1172"/>
      <c r="F332" s="1173"/>
      <c r="G332" s="1174"/>
      <c r="H332" s="1175"/>
      <c r="I332" s="1176"/>
      <c r="J332" s="1177"/>
      <c r="K332" s="1547"/>
      <c r="L332" s="1177"/>
      <c r="M332" s="1548"/>
      <c r="N332" s="1549"/>
      <c r="O332" s="1178"/>
      <c r="P332" s="1179"/>
      <c r="R332" s="104"/>
      <c r="S332" s="1172"/>
      <c r="T332" s="1172"/>
      <c r="U332" s="1172"/>
      <c r="V332" s="1173"/>
      <c r="W332" s="1174"/>
      <c r="X332" s="1175"/>
      <c r="Y332" s="1176"/>
      <c r="Z332" s="1177"/>
      <c r="AA332" s="1547"/>
      <c r="AB332" s="1177"/>
      <c r="AC332" s="1548"/>
      <c r="AD332" s="1549"/>
      <c r="AE332" s="1178"/>
      <c r="AF332" s="1179"/>
      <c r="AH332" s="104"/>
      <c r="AI332" s="1172"/>
      <c r="AJ332" s="1172"/>
      <c r="AK332" s="1172"/>
      <c r="AL332" s="1173"/>
      <c r="AM332" s="1174"/>
      <c r="AN332" s="1175"/>
      <c r="AO332" s="1176"/>
      <c r="AP332" s="1177"/>
      <c r="AQ332" s="1547"/>
      <c r="AR332" s="1177"/>
      <c r="AS332" s="1548"/>
      <c r="AT332" s="1549"/>
      <c r="AU332" s="1178"/>
      <c r="AV332" s="1179"/>
      <c r="AY332" s="3">
        <v>1</v>
      </c>
    </row>
    <row r="333" spans="2:51" ht="18.75">
      <c r="B333" s="104"/>
      <c r="C333" s="1172"/>
      <c r="D333" s="1172"/>
      <c r="E333" s="1172"/>
      <c r="F333" s="1173"/>
      <c r="G333" s="1174"/>
      <c r="H333" s="1175"/>
      <c r="I333" s="1176"/>
      <c r="J333" s="1177"/>
      <c r="K333" s="1547"/>
      <c r="L333" s="1177"/>
      <c r="M333" s="1548"/>
      <c r="N333" s="1549"/>
      <c r="O333" s="1178"/>
      <c r="P333" s="1179"/>
      <c r="R333" s="104"/>
      <c r="S333" s="1172"/>
      <c r="T333" s="1172"/>
      <c r="U333" s="1172"/>
      <c r="V333" s="1173"/>
      <c r="W333" s="1174"/>
      <c r="X333" s="1175"/>
      <c r="Y333" s="1176"/>
      <c r="Z333" s="1177"/>
      <c r="AA333" s="1547"/>
      <c r="AB333" s="1177"/>
      <c r="AC333" s="1548"/>
      <c r="AD333" s="1549"/>
      <c r="AE333" s="1178"/>
      <c r="AF333" s="1179"/>
      <c r="AH333" s="104"/>
      <c r="AI333" s="1172"/>
      <c r="AJ333" s="1172"/>
      <c r="AK333" s="1172"/>
      <c r="AL333" s="1173"/>
      <c r="AM333" s="1174"/>
      <c r="AN333" s="1175"/>
      <c r="AO333" s="1176"/>
      <c r="AP333" s="1177"/>
      <c r="AQ333" s="1547"/>
      <c r="AR333" s="1177"/>
      <c r="AS333" s="1548"/>
      <c r="AT333" s="1549"/>
      <c r="AU333" s="1178"/>
      <c r="AV333" s="1179"/>
      <c r="AY333" s="3">
        <v>1</v>
      </c>
    </row>
    <row r="334" spans="2:51" ht="18.75">
      <c r="B334" s="104"/>
      <c r="C334" s="1172"/>
      <c r="D334" s="1172"/>
      <c r="E334" s="1172"/>
      <c r="F334" s="1173"/>
      <c r="G334" s="1174"/>
      <c r="H334" s="1175"/>
      <c r="I334" s="1176"/>
      <c r="J334" s="1177"/>
      <c r="K334" s="1547"/>
      <c r="L334" s="1177"/>
      <c r="M334" s="1548"/>
      <c r="N334" s="1549"/>
      <c r="O334" s="1178"/>
      <c r="P334" s="1179"/>
      <c r="R334" s="104"/>
      <c r="S334" s="1172"/>
      <c r="T334" s="1172"/>
      <c r="U334" s="1172"/>
      <c r="V334" s="1173"/>
      <c r="W334" s="1174"/>
      <c r="X334" s="1175"/>
      <c r="Y334" s="1176"/>
      <c r="Z334" s="1177"/>
      <c r="AA334" s="1547"/>
      <c r="AB334" s="1177"/>
      <c r="AC334" s="1548"/>
      <c r="AD334" s="1549"/>
      <c r="AE334" s="1178"/>
      <c r="AF334" s="1179"/>
      <c r="AH334" s="104"/>
      <c r="AI334" s="1172"/>
      <c r="AJ334" s="1172"/>
      <c r="AK334" s="1172"/>
      <c r="AL334" s="1173"/>
      <c r="AM334" s="1174"/>
      <c r="AN334" s="1175"/>
      <c r="AO334" s="1176"/>
      <c r="AP334" s="1177"/>
      <c r="AQ334" s="1547"/>
      <c r="AR334" s="1177"/>
      <c r="AS334" s="1548"/>
      <c r="AT334" s="1549"/>
      <c r="AU334" s="1178"/>
      <c r="AV334" s="1179"/>
      <c r="AY334" s="3">
        <v>1</v>
      </c>
    </row>
    <row r="335" spans="2:51" ht="18.75">
      <c r="B335" s="104"/>
      <c r="C335" s="1172"/>
      <c r="D335" s="1172"/>
      <c r="E335" s="1172"/>
      <c r="F335" s="1173"/>
      <c r="G335" s="1174"/>
      <c r="H335" s="1175"/>
      <c r="I335" s="1176"/>
      <c r="J335" s="1177"/>
      <c r="K335" s="1547"/>
      <c r="L335" s="1177"/>
      <c r="M335" s="1548"/>
      <c r="N335" s="1549"/>
      <c r="O335" s="1178"/>
      <c r="P335" s="1179"/>
      <c r="R335" s="104"/>
      <c r="S335" s="1172"/>
      <c r="T335" s="1172"/>
      <c r="U335" s="1172"/>
      <c r="V335" s="1173"/>
      <c r="W335" s="1174"/>
      <c r="X335" s="1175"/>
      <c r="Y335" s="1176"/>
      <c r="Z335" s="1177"/>
      <c r="AA335" s="1547"/>
      <c r="AB335" s="1177"/>
      <c r="AC335" s="1548"/>
      <c r="AD335" s="1549"/>
      <c r="AE335" s="1178"/>
      <c r="AF335" s="1179"/>
      <c r="AH335" s="104"/>
      <c r="AI335" s="1172"/>
      <c r="AJ335" s="1172"/>
      <c r="AK335" s="1172"/>
      <c r="AL335" s="1173"/>
      <c r="AM335" s="1174"/>
      <c r="AN335" s="1175"/>
      <c r="AO335" s="1176"/>
      <c r="AP335" s="1177"/>
      <c r="AQ335" s="1547"/>
      <c r="AR335" s="1177"/>
      <c r="AS335" s="1548"/>
      <c r="AT335" s="1549"/>
      <c r="AU335" s="1178"/>
      <c r="AV335" s="1179"/>
      <c r="AY335" s="3">
        <v>1</v>
      </c>
    </row>
    <row r="336" spans="2:51" ht="18.75">
      <c r="B336" s="104"/>
      <c r="C336" s="1172"/>
      <c r="D336" s="1172"/>
      <c r="E336" s="1172"/>
      <c r="F336" s="1173"/>
      <c r="G336" s="1174"/>
      <c r="H336" s="1175"/>
      <c r="I336" s="1176"/>
      <c r="J336" s="1177"/>
      <c r="K336" s="1547"/>
      <c r="L336" s="1177"/>
      <c r="M336" s="1548"/>
      <c r="N336" s="1549"/>
      <c r="O336" s="1178"/>
      <c r="P336" s="1179"/>
      <c r="R336" s="104"/>
      <c r="S336" s="1172"/>
      <c r="T336" s="1172"/>
      <c r="U336" s="1172"/>
      <c r="V336" s="1173"/>
      <c r="W336" s="1174"/>
      <c r="X336" s="1175"/>
      <c r="Y336" s="1176"/>
      <c r="Z336" s="1177"/>
      <c r="AA336" s="1547"/>
      <c r="AB336" s="1177"/>
      <c r="AC336" s="1548"/>
      <c r="AD336" s="1549"/>
      <c r="AE336" s="1178"/>
      <c r="AF336" s="1179"/>
      <c r="AH336" s="104"/>
      <c r="AI336" s="1172"/>
      <c r="AJ336" s="1172"/>
      <c r="AK336" s="1172"/>
      <c r="AL336" s="1173"/>
      <c r="AM336" s="1174"/>
      <c r="AN336" s="1175"/>
      <c r="AO336" s="1176"/>
      <c r="AP336" s="1177"/>
      <c r="AQ336" s="1547"/>
      <c r="AR336" s="1177"/>
      <c r="AS336" s="1548"/>
      <c r="AT336" s="1549"/>
      <c r="AU336" s="1178"/>
      <c r="AV336" s="1179"/>
      <c r="AY336" s="3">
        <v>1</v>
      </c>
    </row>
    <row r="337" spans="1:53" ht="18.75">
      <c r="B337" s="104"/>
      <c r="C337" s="1172"/>
      <c r="D337" s="1172"/>
      <c r="E337" s="1172"/>
      <c r="F337" s="1173"/>
      <c r="G337" s="1174"/>
      <c r="H337" s="1175"/>
      <c r="I337" s="1176"/>
      <c r="J337" s="1177"/>
      <c r="K337" s="1547"/>
      <c r="L337" s="1177"/>
      <c r="M337" s="1548"/>
      <c r="N337" s="1549"/>
      <c r="O337" s="1178"/>
      <c r="P337" s="1179"/>
      <c r="R337" s="104"/>
      <c r="S337" s="1172"/>
      <c r="T337" s="1172"/>
      <c r="U337" s="1172"/>
      <c r="V337" s="1173"/>
      <c r="W337" s="1174"/>
      <c r="X337" s="1175"/>
      <c r="Y337" s="1176"/>
      <c r="Z337" s="1177"/>
      <c r="AA337" s="1547"/>
      <c r="AB337" s="1177"/>
      <c r="AC337" s="1548"/>
      <c r="AD337" s="1549"/>
      <c r="AE337" s="1178"/>
      <c r="AF337" s="1179"/>
      <c r="AH337" s="104"/>
      <c r="AI337" s="1172"/>
      <c r="AJ337" s="1172"/>
      <c r="AK337" s="1172"/>
      <c r="AL337" s="1173"/>
      <c r="AM337" s="1174"/>
      <c r="AN337" s="1175"/>
      <c r="AO337" s="1176"/>
      <c r="AP337" s="1177"/>
      <c r="AQ337" s="1547"/>
      <c r="AR337" s="1177"/>
      <c r="AS337" s="1548"/>
      <c r="AT337" s="1549"/>
      <c r="AU337" s="1178"/>
      <c r="AV337" s="1179"/>
      <c r="AY337" s="3">
        <v>1</v>
      </c>
    </row>
    <row r="338" spans="1:53" ht="18.75">
      <c r="B338" s="104"/>
      <c r="C338" s="1172"/>
      <c r="D338" s="1172"/>
      <c r="E338" s="1172"/>
      <c r="F338" s="1173"/>
      <c r="G338" s="1174"/>
      <c r="H338" s="1175"/>
      <c r="I338" s="1176"/>
      <c r="J338" s="1177"/>
      <c r="K338" s="1547"/>
      <c r="L338" s="1177"/>
      <c r="M338" s="1548"/>
      <c r="N338" s="1549"/>
      <c r="O338" s="1178"/>
      <c r="P338" s="1179"/>
      <c r="R338" s="104"/>
      <c r="S338" s="1172"/>
      <c r="T338" s="1172"/>
      <c r="U338" s="1172"/>
      <c r="V338" s="1173"/>
      <c r="W338" s="1174"/>
      <c r="X338" s="1175"/>
      <c r="Y338" s="1176"/>
      <c r="Z338" s="1177"/>
      <c r="AA338" s="1547"/>
      <c r="AB338" s="1177"/>
      <c r="AC338" s="1548"/>
      <c r="AD338" s="1549"/>
      <c r="AE338" s="1178"/>
      <c r="AF338" s="1179"/>
      <c r="AH338" s="104"/>
      <c r="AI338" s="1172"/>
      <c r="AJ338" s="1172"/>
      <c r="AK338" s="1172"/>
      <c r="AL338" s="1173"/>
      <c r="AM338" s="1174"/>
      <c r="AN338" s="1175"/>
      <c r="AO338" s="1176"/>
      <c r="AP338" s="1177"/>
      <c r="AQ338" s="1547"/>
      <c r="AR338" s="1177"/>
      <c r="AS338" s="1548"/>
      <c r="AT338" s="1549"/>
      <c r="AU338" s="1178"/>
      <c r="AV338" s="1179"/>
      <c r="AY338" s="3">
        <v>1</v>
      </c>
    </row>
    <row r="339" spans="1:53" ht="18.75">
      <c r="B339" s="104"/>
      <c r="C339" s="1172"/>
      <c r="D339" s="1172"/>
      <c r="E339" s="1172"/>
      <c r="F339" s="1173"/>
      <c r="G339" s="1174"/>
      <c r="H339" s="1175"/>
      <c r="I339" s="1176"/>
      <c r="J339" s="1177"/>
      <c r="K339" s="1547"/>
      <c r="L339" s="1177"/>
      <c r="M339" s="1548"/>
      <c r="N339" s="1549"/>
      <c r="O339" s="1178"/>
      <c r="P339" s="1179"/>
      <c r="R339" s="104"/>
      <c r="S339" s="1172"/>
      <c r="T339" s="1172"/>
      <c r="U339" s="1172"/>
      <c r="V339" s="1173"/>
      <c r="W339" s="1174"/>
      <c r="X339" s="1175"/>
      <c r="Y339" s="1176"/>
      <c r="Z339" s="1177"/>
      <c r="AA339" s="1547"/>
      <c r="AB339" s="1177"/>
      <c r="AC339" s="1548"/>
      <c r="AD339" s="1549"/>
      <c r="AE339" s="1178"/>
      <c r="AF339" s="1179"/>
      <c r="AH339" s="104"/>
      <c r="AI339" s="1172"/>
      <c r="AJ339" s="1172"/>
      <c r="AK339" s="1172"/>
      <c r="AL339" s="1173"/>
      <c r="AM339" s="1174"/>
      <c r="AN339" s="1175"/>
      <c r="AO339" s="1176"/>
      <c r="AP339" s="1177"/>
      <c r="AQ339" s="1547"/>
      <c r="AR339" s="1177"/>
      <c r="AS339" s="1548"/>
      <c r="AT339" s="1549"/>
      <c r="AU339" s="1178"/>
      <c r="AV339" s="1179"/>
      <c r="AY339" s="3">
        <v>1</v>
      </c>
    </row>
    <row r="340" spans="1:53" ht="18.75">
      <c r="B340" s="104"/>
      <c r="C340" s="1172"/>
      <c r="D340" s="1172"/>
      <c r="E340" s="1172"/>
      <c r="F340" s="1173"/>
      <c r="G340" s="1174"/>
      <c r="H340" s="1175"/>
      <c r="I340" s="1176"/>
      <c r="J340" s="1177"/>
      <c r="K340" s="1547"/>
      <c r="L340" s="1177"/>
      <c r="M340" s="1548"/>
      <c r="N340" s="1549"/>
      <c r="O340" s="1178"/>
      <c r="P340" s="1179"/>
      <c r="R340" s="104"/>
      <c r="S340" s="1172"/>
      <c r="T340" s="1172"/>
      <c r="U340" s="1172"/>
      <c r="V340" s="1173"/>
      <c r="W340" s="1174"/>
      <c r="X340" s="1175"/>
      <c r="Y340" s="1176"/>
      <c r="Z340" s="1177"/>
      <c r="AA340" s="1547"/>
      <c r="AB340" s="1177"/>
      <c r="AC340" s="1548"/>
      <c r="AD340" s="1549"/>
      <c r="AE340" s="1178"/>
      <c r="AF340" s="1179"/>
      <c r="AH340" s="104"/>
      <c r="AI340" s="1172"/>
      <c r="AJ340" s="1172"/>
      <c r="AK340" s="1172"/>
      <c r="AL340" s="1173"/>
      <c r="AM340" s="1174"/>
      <c r="AN340" s="1175"/>
      <c r="AO340" s="1176"/>
      <c r="AP340" s="1177"/>
      <c r="AQ340" s="1547"/>
      <c r="AR340" s="1177"/>
      <c r="AS340" s="1548"/>
      <c r="AT340" s="1549"/>
      <c r="AU340" s="1178"/>
      <c r="AV340" s="1179"/>
      <c r="AY340" s="3">
        <v>1</v>
      </c>
    </row>
    <row r="341" spans="1:53" ht="18.75">
      <c r="B341" s="104"/>
      <c r="C341" s="1172"/>
      <c r="D341" s="1172"/>
      <c r="E341" s="1172"/>
      <c r="F341" s="1173"/>
      <c r="G341" s="1174"/>
      <c r="H341" s="1175"/>
      <c r="I341" s="1176"/>
      <c r="J341" s="1177"/>
      <c r="K341" s="1547"/>
      <c r="L341" s="1177"/>
      <c r="M341" s="1548"/>
      <c r="N341" s="1549"/>
      <c r="O341" s="1178"/>
      <c r="P341" s="1179"/>
      <c r="R341" s="104"/>
      <c r="S341" s="1172"/>
      <c r="T341" s="1172"/>
      <c r="U341" s="1172"/>
      <c r="V341" s="1173"/>
      <c r="W341" s="1174"/>
      <c r="X341" s="1175"/>
      <c r="Y341" s="1176"/>
      <c r="Z341" s="1177"/>
      <c r="AA341" s="1547"/>
      <c r="AB341" s="1177"/>
      <c r="AC341" s="1548"/>
      <c r="AD341" s="1549"/>
      <c r="AE341" s="1178"/>
      <c r="AF341" s="1179"/>
      <c r="AH341" s="104"/>
      <c r="AI341" s="1172"/>
      <c r="AJ341" s="1172"/>
      <c r="AK341" s="1172"/>
      <c r="AL341" s="1173"/>
      <c r="AM341" s="1174"/>
      <c r="AN341" s="1175"/>
      <c r="AO341" s="1176"/>
      <c r="AP341" s="1177"/>
      <c r="AQ341" s="1547"/>
      <c r="AR341" s="1177"/>
      <c r="AS341" s="1548"/>
      <c r="AT341" s="1549"/>
      <c r="AU341" s="1178"/>
      <c r="AV341" s="1179"/>
      <c r="AY341" s="3">
        <v>1</v>
      </c>
    </row>
    <row r="342" spans="1:53" ht="27" customHeight="1">
      <c r="B342" s="224" t="s">
        <v>11</v>
      </c>
      <c r="C342" s="224"/>
      <c r="D342" s="224"/>
      <c r="E342" s="224"/>
      <c r="F342" s="224"/>
      <c r="G342" s="224"/>
      <c r="H342" s="224"/>
      <c r="I342" s="224"/>
      <c r="J342" s="224"/>
      <c r="K342" s="224"/>
      <c r="L342" s="224"/>
      <c r="M342" s="224"/>
      <c r="N342" s="224"/>
      <c r="O342" s="224"/>
      <c r="P342" s="224"/>
      <c r="R342" s="224" t="s">
        <v>11</v>
      </c>
      <c r="S342" s="224"/>
      <c r="T342" s="224"/>
      <c r="U342" s="224"/>
      <c r="V342" s="224"/>
      <c r="W342" s="224"/>
      <c r="X342" s="224"/>
      <c r="Y342" s="224"/>
      <c r="Z342" s="224"/>
      <c r="AA342" s="224"/>
      <c r="AB342" s="224"/>
      <c r="AC342" s="224"/>
      <c r="AD342" s="224"/>
      <c r="AE342" s="224"/>
      <c r="AF342" s="224"/>
      <c r="AH342" s="224" t="s">
        <v>11</v>
      </c>
      <c r="AI342" s="224"/>
      <c r="AJ342" s="224"/>
      <c r="AK342" s="224"/>
      <c r="AL342" s="224"/>
      <c r="AM342" s="224"/>
      <c r="AN342" s="224"/>
      <c r="AO342" s="224"/>
      <c r="AP342" s="224"/>
      <c r="AQ342" s="224"/>
      <c r="AR342" s="224"/>
      <c r="AS342" s="224"/>
      <c r="AT342" s="224"/>
      <c r="AU342" s="224"/>
      <c r="AV342" s="224"/>
      <c r="AY342" s="708" t="s">
        <v>823</v>
      </c>
    </row>
    <row r="343" spans="1:53">
      <c r="A343" s="3">
        <v>1</v>
      </c>
      <c r="B343" s="3">
        <v>1</v>
      </c>
      <c r="C343" s="3">
        <v>1</v>
      </c>
      <c r="D343" s="3">
        <v>1</v>
      </c>
      <c r="E343" s="3">
        <v>1</v>
      </c>
      <c r="F343" s="3">
        <v>1</v>
      </c>
      <c r="G343" s="3">
        <v>1</v>
      </c>
      <c r="H343" s="3">
        <v>1</v>
      </c>
      <c r="I343" s="3">
        <v>1</v>
      </c>
      <c r="J343" s="3">
        <v>1</v>
      </c>
      <c r="K343" s="3">
        <v>1</v>
      </c>
      <c r="L343" s="3">
        <v>1</v>
      </c>
      <c r="M343" s="3">
        <v>1</v>
      </c>
      <c r="N343" s="3">
        <v>1</v>
      </c>
      <c r="O343" s="3">
        <v>1</v>
      </c>
      <c r="P343" s="3">
        <v>1</v>
      </c>
      <c r="Q343" s="3">
        <v>1</v>
      </c>
      <c r="R343" s="3">
        <v>1</v>
      </c>
      <c r="S343" s="3">
        <v>1</v>
      </c>
      <c r="T343" s="3">
        <v>1</v>
      </c>
      <c r="U343" s="3">
        <v>1</v>
      </c>
      <c r="V343" s="3">
        <v>1</v>
      </c>
      <c r="W343" s="3">
        <v>1</v>
      </c>
      <c r="X343" s="3">
        <v>1</v>
      </c>
      <c r="Y343" s="3">
        <v>1</v>
      </c>
      <c r="Z343" s="3">
        <v>1</v>
      </c>
      <c r="AA343" s="3">
        <v>1</v>
      </c>
      <c r="AB343" s="3">
        <v>1</v>
      </c>
      <c r="AC343" s="3">
        <v>1</v>
      </c>
      <c r="AD343" s="3">
        <v>1</v>
      </c>
      <c r="AE343" s="3">
        <v>1</v>
      </c>
      <c r="AF343" s="3">
        <v>1</v>
      </c>
      <c r="AG343" s="3">
        <v>1</v>
      </c>
      <c r="AH343" s="3">
        <v>1</v>
      </c>
      <c r="AI343" s="3">
        <v>1</v>
      </c>
      <c r="AJ343" s="3">
        <v>1</v>
      </c>
      <c r="AK343" s="3">
        <v>1</v>
      </c>
      <c r="AL343" s="3">
        <v>1</v>
      </c>
      <c r="AM343" s="3">
        <v>1</v>
      </c>
      <c r="AN343" s="3">
        <v>1</v>
      </c>
      <c r="AO343" s="3">
        <v>1</v>
      </c>
      <c r="AP343" s="3">
        <v>1</v>
      </c>
      <c r="AQ343" s="3">
        <v>1</v>
      </c>
      <c r="AR343" s="3">
        <v>1</v>
      </c>
      <c r="AS343" s="3">
        <v>1</v>
      </c>
      <c r="AT343" s="3">
        <v>1</v>
      </c>
      <c r="AU343" s="3">
        <v>1</v>
      </c>
      <c r="AV343" s="3">
        <v>1</v>
      </c>
      <c r="AW343" s="3">
        <v>1</v>
      </c>
      <c r="AX343" s="3">
        <v>1</v>
      </c>
      <c r="AY343" s="1" t="str">
        <f>ADDRESS(ROW(),COLUMN(),4)</f>
        <v>AY343</v>
      </c>
      <c r="AZ343" s="710"/>
      <c r="BA343" s="711" t="str">
        <f>ADDRESS(ROW(),COLUMN(),4)</f>
        <v>BA343</v>
      </c>
    </row>
  </sheetData>
  <mergeCells count="45">
    <mergeCell ref="AT4:AV7"/>
    <mergeCell ref="H10:M11"/>
    <mergeCell ref="N10:O11"/>
    <mergeCell ref="P10:P11"/>
    <mergeCell ref="K13:M14"/>
    <mergeCell ref="O14:P14"/>
    <mergeCell ref="L44:L45"/>
    <mergeCell ref="N44:N45"/>
    <mergeCell ref="O44:O45"/>
    <mergeCell ref="P44:P45"/>
    <mergeCell ref="I15:J15"/>
    <mergeCell ref="I16:K16"/>
    <mergeCell ref="J18:J19"/>
    <mergeCell ref="K18:K19"/>
    <mergeCell ref="L18:L19"/>
    <mergeCell ref="N18:N19"/>
    <mergeCell ref="G83:K83"/>
    <mergeCell ref="X10:AC11"/>
    <mergeCell ref="AD10:AE11"/>
    <mergeCell ref="AF10:AF11"/>
    <mergeCell ref="AA13:AC14"/>
    <mergeCell ref="AE14:AF14"/>
    <mergeCell ref="Y15:Z15"/>
    <mergeCell ref="Y16:AA16"/>
    <mergeCell ref="Z18:Z19"/>
    <mergeCell ref="AA18:AA19"/>
    <mergeCell ref="O18:O19"/>
    <mergeCell ref="P18:P19"/>
    <mergeCell ref="H41:P41"/>
    <mergeCell ref="O42:P42"/>
    <mergeCell ref="J44:J45"/>
    <mergeCell ref="K44:K45"/>
    <mergeCell ref="AE44:AE45"/>
    <mergeCell ref="AF44:AF45"/>
    <mergeCell ref="AB18:AB19"/>
    <mergeCell ref="AD18:AD19"/>
    <mergeCell ref="AE18:AE19"/>
    <mergeCell ref="AF18:AF19"/>
    <mergeCell ref="X41:AF41"/>
    <mergeCell ref="AE42:AF42"/>
    <mergeCell ref="W83:AA83"/>
    <mergeCell ref="Z44:Z45"/>
    <mergeCell ref="AA44:AA45"/>
    <mergeCell ref="AB44:AB45"/>
    <mergeCell ref="AD44:AD45"/>
  </mergeCells>
  <conditionalFormatting sqref="L20:L39">
    <cfRule type="cellIs" dxfId="54" priority="4" operator="notEqual">
      <formula>1</formula>
    </cfRule>
  </conditionalFormatting>
  <conditionalFormatting sqref="L46:L55">
    <cfRule type="cellIs" dxfId="53" priority="3" operator="notEqual">
      <formula>1</formula>
    </cfRule>
  </conditionalFormatting>
  <conditionalFormatting sqref="AB20:AB39">
    <cfRule type="cellIs" dxfId="52" priority="2" operator="notEqual">
      <formula>1</formula>
    </cfRule>
  </conditionalFormatting>
  <conditionalFormatting sqref="AB46:AB55">
    <cfRule type="cellIs" dxfId="51" priority="1" operator="notEqual">
      <formula>1</formula>
    </cfRule>
  </conditionalFormatting>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D7B631-CFAC-47EC-8122-D8E6EFE64425}">
  <dimension ref="A1:BA343"/>
  <sheetViews>
    <sheetView showZeros="0" workbookViewId="0">
      <selection activeCell="B9" sqref="B9"/>
    </sheetView>
  </sheetViews>
  <sheetFormatPr baseColWidth="10" defaultRowHeight="15"/>
  <cols>
    <col min="1" max="1" width="2.85546875" customWidth="1"/>
    <col min="2" max="6" width="3.7109375" customWidth="1"/>
    <col min="7" max="8" width="12.7109375" customWidth="1"/>
    <col min="9" max="9" width="3.7109375" customWidth="1"/>
    <col min="10" max="10" width="9.7109375" customWidth="1"/>
    <col min="11" max="11" width="12.7109375" customWidth="1"/>
    <col min="12" max="12" width="13.7109375" customWidth="1"/>
    <col min="13" max="13" width="40.7109375" customWidth="1"/>
    <col min="14" max="14" width="10.7109375" customWidth="1"/>
    <col min="15" max="15" width="9.7109375" customWidth="1"/>
    <col min="16" max="16" width="13.7109375" customWidth="1"/>
    <col min="17" max="17" width="6.140625" customWidth="1"/>
    <col min="18" max="22" width="3.7109375" customWidth="1"/>
    <col min="23" max="24" width="12.7109375" customWidth="1"/>
    <col min="25" max="25" width="3.7109375" customWidth="1"/>
    <col min="26" max="26" width="9.7109375" customWidth="1"/>
    <col min="27" max="27" width="12.7109375" customWidth="1"/>
    <col min="28" max="28" width="13.7109375" customWidth="1"/>
    <col min="29" max="29" width="40.7109375" customWidth="1"/>
    <col min="30" max="30" width="10.7109375" customWidth="1"/>
    <col min="31" max="31" width="9.7109375" customWidth="1"/>
    <col min="32" max="32" width="13.7109375" customWidth="1"/>
    <col min="33" max="33" width="5.7109375" customWidth="1"/>
    <col min="34" max="38" width="3.7109375" customWidth="1"/>
    <col min="39" max="40" width="12.7109375" customWidth="1"/>
    <col min="41" max="41" width="3.7109375" customWidth="1"/>
    <col min="42" max="42" width="9.7109375" customWidth="1"/>
    <col min="43" max="43" width="12.7109375" customWidth="1"/>
    <col min="44" max="44" width="13.7109375" customWidth="1"/>
    <col min="45" max="45" width="40.7109375" customWidth="1"/>
    <col min="46" max="46" width="10.7109375" customWidth="1"/>
    <col min="47" max="47" width="9.7109375" customWidth="1"/>
    <col min="48" max="48" width="13.7109375" customWidth="1"/>
    <col min="51" max="51" width="5.42578125" customWidth="1"/>
    <col min="53" max="53" width="86" customWidth="1"/>
  </cols>
  <sheetData>
    <row r="1" spans="1:53" ht="15.75" thickTop="1">
      <c r="A1" s="1" t="str">
        <f>ADDRESS(ROW(),COLUMN(),4)</f>
        <v>A1</v>
      </c>
      <c r="B1" s="2" t="str">
        <f t="shared" ref="B1:AV1" si="0">SUBSTITUTE(ADDRESS(1,COLUMN(),4),"1","")</f>
        <v>B</v>
      </c>
      <c r="C1" s="2" t="str">
        <f t="shared" si="0"/>
        <v>C</v>
      </c>
      <c r="D1" s="2" t="str">
        <f t="shared" si="0"/>
        <v>D</v>
      </c>
      <c r="E1" s="2" t="str">
        <f t="shared" si="0"/>
        <v>E</v>
      </c>
      <c r="F1" s="2" t="str">
        <f t="shared" si="0"/>
        <v>F</v>
      </c>
      <c r="G1" s="2" t="str">
        <f t="shared" si="0"/>
        <v>G</v>
      </c>
      <c r="H1" s="2" t="str">
        <f t="shared" si="0"/>
        <v>H</v>
      </c>
      <c r="I1" s="2" t="str">
        <f t="shared" si="0"/>
        <v>I</v>
      </c>
      <c r="J1" s="2" t="str">
        <f t="shared" si="0"/>
        <v>J</v>
      </c>
      <c r="K1" s="2" t="str">
        <f t="shared" si="0"/>
        <v>K</v>
      </c>
      <c r="L1" s="2" t="str">
        <f t="shared" si="0"/>
        <v>L</v>
      </c>
      <c r="M1" s="2" t="str">
        <f t="shared" si="0"/>
        <v>M</v>
      </c>
      <c r="N1" s="2" t="str">
        <f t="shared" si="0"/>
        <v>N</v>
      </c>
      <c r="O1" s="2" t="str">
        <f t="shared" si="0"/>
        <v>O</v>
      </c>
      <c r="P1" s="2" t="str">
        <f t="shared" si="0"/>
        <v>P</v>
      </c>
      <c r="R1" s="2" t="str">
        <f t="shared" si="0"/>
        <v>R</v>
      </c>
      <c r="S1" s="2" t="str">
        <f t="shared" si="0"/>
        <v>S</v>
      </c>
      <c r="T1" s="2" t="str">
        <f t="shared" si="0"/>
        <v>T</v>
      </c>
      <c r="U1" s="2" t="str">
        <f t="shared" si="0"/>
        <v>U</v>
      </c>
      <c r="V1" s="2" t="str">
        <f t="shared" si="0"/>
        <v>V</v>
      </c>
      <c r="W1" s="2" t="str">
        <f t="shared" si="0"/>
        <v>W</v>
      </c>
      <c r="X1" s="2" t="str">
        <f t="shared" si="0"/>
        <v>X</v>
      </c>
      <c r="Y1" s="2" t="str">
        <f t="shared" si="0"/>
        <v>Y</v>
      </c>
      <c r="Z1" s="2" t="str">
        <f t="shared" si="0"/>
        <v>Z</v>
      </c>
      <c r="AA1" s="2" t="str">
        <f t="shared" si="0"/>
        <v>AA</v>
      </c>
      <c r="AB1" s="2" t="str">
        <f t="shared" si="0"/>
        <v>AB</v>
      </c>
      <c r="AC1" s="2" t="str">
        <f t="shared" si="0"/>
        <v>AC</v>
      </c>
      <c r="AD1" s="2" t="str">
        <f t="shared" si="0"/>
        <v>AD</v>
      </c>
      <c r="AE1" s="2" t="str">
        <f t="shared" si="0"/>
        <v>AE</v>
      </c>
      <c r="AF1" s="2" t="str">
        <f t="shared" si="0"/>
        <v>AF</v>
      </c>
      <c r="AH1" s="2" t="str">
        <f t="shared" si="0"/>
        <v>AH</v>
      </c>
      <c r="AI1" s="2" t="str">
        <f t="shared" si="0"/>
        <v>AI</v>
      </c>
      <c r="AJ1" s="2" t="str">
        <f t="shared" si="0"/>
        <v>AJ</v>
      </c>
      <c r="AK1" s="2" t="str">
        <f t="shared" si="0"/>
        <v>AK</v>
      </c>
      <c r="AL1" s="2" t="str">
        <f t="shared" si="0"/>
        <v>AL</v>
      </c>
      <c r="AM1" s="2" t="str">
        <f t="shared" si="0"/>
        <v>AM</v>
      </c>
      <c r="AN1" s="2" t="str">
        <f t="shared" si="0"/>
        <v>AN</v>
      </c>
      <c r="AO1" s="2" t="str">
        <f t="shared" si="0"/>
        <v>AO</v>
      </c>
      <c r="AP1" s="2" t="str">
        <f t="shared" si="0"/>
        <v>AP</v>
      </c>
      <c r="AQ1" s="2" t="str">
        <f t="shared" si="0"/>
        <v>AQ</v>
      </c>
      <c r="AR1" s="2" t="str">
        <f t="shared" si="0"/>
        <v>AR</v>
      </c>
      <c r="AS1" s="2" t="str">
        <f t="shared" si="0"/>
        <v>AS</v>
      </c>
      <c r="AT1" s="2" t="str">
        <f t="shared" si="0"/>
        <v>AT</v>
      </c>
      <c r="AU1" s="2" t="str">
        <f t="shared" si="0"/>
        <v>AU</v>
      </c>
      <c r="AV1" s="2" t="str">
        <f t="shared" si="0"/>
        <v>AV</v>
      </c>
      <c r="AY1" s="3">
        <v>1</v>
      </c>
      <c r="AZ1" s="4" t="str">
        <f>SUBSTITUTE(ADDRESS(1,COLUMN(),4),"1","")</f>
        <v>AZ</v>
      </c>
      <c r="BA1" s="5" t="str">
        <f>SUBSTITUTE(ADDRESS(1,COLUMN(),4),"1","")</f>
        <v>BA</v>
      </c>
    </row>
    <row r="2" spans="1:53">
      <c r="B2" s="922">
        <f t="shared" ref="B2:AV2" ca="1" si="1">CELL("largeur",B2)</f>
        <v>3</v>
      </c>
      <c r="C2" s="922">
        <f t="shared" ca="1" si="1"/>
        <v>3</v>
      </c>
      <c r="D2" s="922">
        <f t="shared" ca="1" si="1"/>
        <v>3</v>
      </c>
      <c r="E2" s="922">
        <f t="shared" ca="1" si="1"/>
        <v>3</v>
      </c>
      <c r="F2" s="922">
        <f t="shared" ca="1" si="1"/>
        <v>3</v>
      </c>
      <c r="G2" s="922">
        <f t="shared" ca="1" si="1"/>
        <v>12</v>
      </c>
      <c r="H2" s="922">
        <f t="shared" ca="1" si="1"/>
        <v>12</v>
      </c>
      <c r="I2" s="922">
        <f t="shared" ca="1" si="1"/>
        <v>3</v>
      </c>
      <c r="J2" s="922">
        <f t="shared" ca="1" si="1"/>
        <v>9</v>
      </c>
      <c r="K2" s="922">
        <f t="shared" ca="1" si="1"/>
        <v>12</v>
      </c>
      <c r="L2" s="922">
        <f t="shared" ca="1" si="1"/>
        <v>13</v>
      </c>
      <c r="M2" s="922">
        <f t="shared" ca="1" si="1"/>
        <v>40</v>
      </c>
      <c r="N2" s="922">
        <f t="shared" ca="1" si="1"/>
        <v>10</v>
      </c>
      <c r="O2" s="922">
        <f t="shared" ca="1" si="1"/>
        <v>9</v>
      </c>
      <c r="P2" s="922">
        <f t="shared" ca="1" si="1"/>
        <v>13</v>
      </c>
      <c r="R2" s="922">
        <f t="shared" ca="1" si="1"/>
        <v>3</v>
      </c>
      <c r="S2" s="922">
        <f t="shared" ca="1" si="1"/>
        <v>3</v>
      </c>
      <c r="T2" s="922">
        <f t="shared" ca="1" si="1"/>
        <v>3</v>
      </c>
      <c r="U2" s="922">
        <f t="shared" ca="1" si="1"/>
        <v>3</v>
      </c>
      <c r="V2" s="922">
        <f t="shared" ca="1" si="1"/>
        <v>3</v>
      </c>
      <c r="W2" s="922">
        <f t="shared" ca="1" si="1"/>
        <v>12</v>
      </c>
      <c r="X2" s="922">
        <f t="shared" ca="1" si="1"/>
        <v>12</v>
      </c>
      <c r="Y2" s="922">
        <f t="shared" ca="1" si="1"/>
        <v>3</v>
      </c>
      <c r="Z2" s="922">
        <f t="shared" ca="1" si="1"/>
        <v>9</v>
      </c>
      <c r="AA2" s="922">
        <f t="shared" ca="1" si="1"/>
        <v>12</v>
      </c>
      <c r="AB2" s="922">
        <f t="shared" ca="1" si="1"/>
        <v>13</v>
      </c>
      <c r="AC2" s="922">
        <f t="shared" ca="1" si="1"/>
        <v>40</v>
      </c>
      <c r="AD2" s="922">
        <f t="shared" ca="1" si="1"/>
        <v>10</v>
      </c>
      <c r="AE2" s="922">
        <f t="shared" ca="1" si="1"/>
        <v>9</v>
      </c>
      <c r="AF2" s="922">
        <f t="shared" ca="1" si="1"/>
        <v>13</v>
      </c>
      <c r="AH2" s="922">
        <f t="shared" ca="1" si="1"/>
        <v>3</v>
      </c>
      <c r="AI2" s="922">
        <f t="shared" ca="1" si="1"/>
        <v>3</v>
      </c>
      <c r="AJ2" s="922">
        <f t="shared" ca="1" si="1"/>
        <v>3</v>
      </c>
      <c r="AK2" s="922">
        <f t="shared" ca="1" si="1"/>
        <v>3</v>
      </c>
      <c r="AL2" s="922">
        <f t="shared" ca="1" si="1"/>
        <v>3</v>
      </c>
      <c r="AM2" s="922">
        <f t="shared" ca="1" si="1"/>
        <v>12</v>
      </c>
      <c r="AN2" s="922">
        <f t="shared" ca="1" si="1"/>
        <v>12</v>
      </c>
      <c r="AO2" s="922">
        <f t="shared" ca="1" si="1"/>
        <v>3</v>
      </c>
      <c r="AP2" s="922">
        <f t="shared" ca="1" si="1"/>
        <v>9</v>
      </c>
      <c r="AQ2" s="922">
        <f t="shared" ca="1" si="1"/>
        <v>12</v>
      </c>
      <c r="AR2" s="922">
        <f t="shared" ca="1" si="1"/>
        <v>13</v>
      </c>
      <c r="AS2" s="922">
        <f t="shared" ca="1" si="1"/>
        <v>40</v>
      </c>
      <c r="AT2" s="922">
        <f t="shared" ca="1" si="1"/>
        <v>10</v>
      </c>
      <c r="AU2" s="922">
        <f t="shared" ca="1" si="1"/>
        <v>9</v>
      </c>
      <c r="AV2" s="922">
        <f t="shared" ca="1" si="1"/>
        <v>13</v>
      </c>
      <c r="AW2" s="1127" t="s">
        <v>1978</v>
      </c>
      <c r="AY2" s="3">
        <v>1</v>
      </c>
      <c r="AZ2" s="7" t="s">
        <v>3</v>
      </c>
      <c r="BA2" s="8"/>
    </row>
    <row r="3" spans="1:53" ht="19.5" customHeight="1" thickBot="1">
      <c r="B3" s="923">
        <v>3</v>
      </c>
      <c r="C3" s="923">
        <v>3</v>
      </c>
      <c r="D3" s="923">
        <v>3</v>
      </c>
      <c r="E3" s="923">
        <v>3</v>
      </c>
      <c r="F3" s="923">
        <v>3</v>
      </c>
      <c r="G3" s="923">
        <v>12</v>
      </c>
      <c r="H3" s="923">
        <v>12</v>
      </c>
      <c r="I3" s="923">
        <v>3</v>
      </c>
      <c r="J3" s="923">
        <v>9</v>
      </c>
      <c r="K3" s="923">
        <v>12</v>
      </c>
      <c r="L3" s="923">
        <v>13</v>
      </c>
      <c r="M3" s="923">
        <v>40</v>
      </c>
      <c r="N3" s="923">
        <v>10</v>
      </c>
      <c r="O3" s="923">
        <v>9</v>
      </c>
      <c r="P3" s="923">
        <v>13</v>
      </c>
      <c r="Q3" s="1149">
        <v>1</v>
      </c>
      <c r="R3" s="923">
        <v>3</v>
      </c>
      <c r="S3" s="923">
        <v>3</v>
      </c>
      <c r="T3" s="923">
        <v>3</v>
      </c>
      <c r="U3" s="923">
        <v>3</v>
      </c>
      <c r="V3" s="923">
        <v>3</v>
      </c>
      <c r="W3" s="923">
        <v>12</v>
      </c>
      <c r="X3" s="923">
        <v>12</v>
      </c>
      <c r="Y3" s="923">
        <v>3</v>
      </c>
      <c r="Z3" s="923">
        <v>9</v>
      </c>
      <c r="AA3" s="923">
        <v>12</v>
      </c>
      <c r="AB3" s="923">
        <v>13</v>
      </c>
      <c r="AC3" s="923">
        <v>40</v>
      </c>
      <c r="AD3" s="923">
        <v>10</v>
      </c>
      <c r="AE3" s="923">
        <v>9</v>
      </c>
      <c r="AF3" s="923">
        <v>13</v>
      </c>
      <c r="AG3" s="1149"/>
      <c r="AH3" s="923">
        <v>3</v>
      </c>
      <c r="AI3" s="923">
        <v>3</v>
      </c>
      <c r="AJ3" s="923">
        <v>3</v>
      </c>
      <c r="AK3" s="923">
        <v>3</v>
      </c>
      <c r="AL3" s="923">
        <v>3</v>
      </c>
      <c r="AM3" s="923">
        <v>12</v>
      </c>
      <c r="AN3" s="923">
        <v>12</v>
      </c>
      <c r="AO3" s="923">
        <v>3</v>
      </c>
      <c r="AP3" s="923">
        <v>9</v>
      </c>
      <c r="AQ3" s="923">
        <v>12</v>
      </c>
      <c r="AR3" s="923">
        <v>13</v>
      </c>
      <c r="AS3" s="923">
        <v>40</v>
      </c>
      <c r="AT3" s="923">
        <v>10</v>
      </c>
      <c r="AU3" s="923">
        <v>9</v>
      </c>
      <c r="AV3" s="923">
        <v>13</v>
      </c>
      <c r="AW3" s="1127" t="s">
        <v>1381</v>
      </c>
      <c r="AY3" s="3">
        <v>1</v>
      </c>
      <c r="AZ3" s="11">
        <f ca="1">COUNTA(A1:AX343) + COUNTBLANK(A1:AX343)</f>
        <v>17191</v>
      </c>
      <c r="BA3" s="12" t="str">
        <f>"cellules entre -cells -celdas  "&amp;" " &amp;A1&amp;" et  "&amp;AY343</f>
        <v>cellules entre -cells -celdas   A1 et  AY343</v>
      </c>
    </row>
    <row r="4" spans="1:53" s="1150" customFormat="1" ht="27" customHeight="1">
      <c r="B4" s="1550" t="s">
        <v>2623</v>
      </c>
      <c r="C4" s="1551"/>
      <c r="D4" s="1551"/>
      <c r="E4" s="1551"/>
      <c r="F4" s="1551"/>
      <c r="G4" s="1551"/>
      <c r="H4" s="1551"/>
      <c r="I4" s="1551"/>
      <c r="J4" s="1551"/>
      <c r="K4" s="1551"/>
      <c r="L4" s="1551"/>
      <c r="M4" s="1551"/>
      <c r="N4" s="1551"/>
      <c r="O4" s="1551"/>
      <c r="P4" s="1551"/>
      <c r="Q4" s="1551"/>
      <c r="R4" s="1551"/>
      <c r="S4" s="1551"/>
      <c r="T4" s="1551"/>
      <c r="U4" s="1551"/>
      <c r="V4" s="1551"/>
      <c r="W4" s="1551"/>
      <c r="X4" s="1551"/>
      <c r="Y4" s="1551"/>
      <c r="Z4" s="1551"/>
      <c r="AA4" s="1551"/>
      <c r="AB4" s="1551"/>
      <c r="AC4" s="1551"/>
      <c r="AD4" s="1551"/>
      <c r="AE4" s="1551"/>
      <c r="AF4" s="1551"/>
      <c r="AG4" s="1551"/>
      <c r="AH4" s="1551"/>
      <c r="AI4" s="1551"/>
      <c r="AJ4" s="1551"/>
      <c r="AK4" s="1551"/>
      <c r="AL4" s="1551"/>
      <c r="AM4" s="1551"/>
      <c r="AN4" s="1551"/>
      <c r="AO4" s="1551"/>
      <c r="AP4" s="1551"/>
      <c r="AQ4" s="1551"/>
      <c r="AR4" s="1551"/>
      <c r="AS4" s="1551"/>
      <c r="AT4" s="5740" t="s">
        <v>3681</v>
      </c>
      <c r="AU4" s="5740"/>
      <c r="AV4" s="5741"/>
      <c r="AY4" s="3">
        <v>1</v>
      </c>
      <c r="AZ4" s="11">
        <f ca="1">COUNTA(A1:AX343)</f>
        <v>1066</v>
      </c>
      <c r="BA4" s="12" t="s">
        <v>10</v>
      </c>
    </row>
    <row r="5" spans="1:53" ht="27" customHeight="1">
      <c r="B5" s="1552"/>
      <c r="C5" s="1553"/>
      <c r="D5" s="5306" t="str">
        <f>IF(ISNUMBER(IFERROR(VALUE("0,5"),"")),"sur cet ordi.saisissez une VIRGULE comme séparateur décimal",IF(ISNUMBER(IFERROR(VALUE("0.5"),"")),"sur cet ordi.saisissez un POINT comme séparateur décimal","Impossible de déterminer le séparateur décimal"))</f>
        <v>sur cet ordi.saisissez un POINT comme séparateur décimal</v>
      </c>
      <c r="E5" s="1553"/>
      <c r="F5" s="1553"/>
      <c r="G5" s="1553"/>
      <c r="H5" s="1553"/>
      <c r="I5" s="1553"/>
      <c r="J5" s="1553"/>
      <c r="K5" s="1553"/>
      <c r="L5" s="1553"/>
      <c r="M5" s="1553"/>
      <c r="N5" s="5307" t="str">
        <f>IF(ISNUMBER(IFERROR(VALUE("0,5"),"")),"On this computer, type a COMMA as the decimal separator",IF(ISNUMBER(IFERROR(VALUE("0.5"),"")),"On this computer, type a POINT as the decimal separator","Unable to determine the decimal separator"))</f>
        <v>On this computer, type a POINT as the decimal separator</v>
      </c>
      <c r="O5" s="1553"/>
      <c r="P5" s="1553"/>
      <c r="Q5" s="1553"/>
      <c r="R5" s="1553"/>
      <c r="S5" s="1553"/>
      <c r="T5" s="1553"/>
      <c r="U5" s="1553"/>
      <c r="V5" s="1553"/>
      <c r="W5" s="1553"/>
      <c r="X5" s="1553"/>
      <c r="Y5" s="1553"/>
      <c r="Z5" s="1553"/>
      <c r="AA5" s="1553"/>
      <c r="AB5" s="1553"/>
      <c r="AC5" s="5307" t="str">
        <f>IF(ISNUMBER(IFERROR(VALUE("0,5"),""))," En este ordenador, escriba una COMA como separador decimal",IF(ISNUMBER(IFERROR(VALUE("0.5"),"")),"En este ordenador, escriba un PUNTO como separador decimal","No es posible determinar el separador decimal"))</f>
        <v>En este ordenador, escriba un PUNTO como separador decimal</v>
      </c>
      <c r="AD5" s="1553"/>
      <c r="AE5" s="1553"/>
      <c r="AF5" s="1553"/>
      <c r="AG5" s="1553"/>
      <c r="AH5" s="1553"/>
      <c r="AI5" s="1553"/>
      <c r="AJ5" s="1553"/>
      <c r="AK5" s="1553"/>
      <c r="AL5" s="1553"/>
      <c r="AM5" s="1553"/>
      <c r="AN5" s="1553"/>
      <c r="AO5" s="1553"/>
      <c r="AP5" s="1553"/>
      <c r="AQ5" s="1553"/>
      <c r="AR5" s="1553"/>
      <c r="AS5" s="1553"/>
      <c r="AT5" s="5742"/>
      <c r="AU5" s="5742"/>
      <c r="AV5" s="5743"/>
      <c r="AY5" s="3">
        <v>1</v>
      </c>
      <c r="AZ5" s="11">
        <f ca="1">COUNTBLANK(A1:AX343)</f>
        <v>16125</v>
      </c>
      <c r="BA5" s="12" t="s">
        <v>13</v>
      </c>
    </row>
    <row r="6" spans="1:53" ht="27" customHeight="1">
      <c r="B6" s="1153" t="s">
        <v>13494</v>
      </c>
      <c r="C6" s="1154"/>
      <c r="D6" s="1154"/>
      <c r="E6" s="1154"/>
      <c r="F6" s="1154"/>
      <c r="G6" s="1154"/>
      <c r="H6" s="1154"/>
      <c r="I6" s="1154"/>
      <c r="J6" s="1154"/>
      <c r="K6" s="1154"/>
      <c r="L6" s="1154"/>
      <c r="M6" s="1154"/>
      <c r="N6" s="1154" t="s">
        <v>13495</v>
      </c>
      <c r="O6" s="1154"/>
      <c r="P6" s="1154"/>
      <c r="Q6" s="1154"/>
      <c r="R6" s="1154"/>
      <c r="S6" s="1154"/>
      <c r="T6" s="1154"/>
      <c r="U6" s="1154"/>
      <c r="V6" s="1154"/>
      <c r="W6" s="1154"/>
      <c r="X6" s="1154"/>
      <c r="Y6" s="1154"/>
      <c r="Z6" s="1154"/>
      <c r="AA6" s="1154"/>
      <c r="AB6" s="1154" t="s">
        <v>13496</v>
      </c>
      <c r="AC6" s="1154"/>
      <c r="AD6" s="1154"/>
      <c r="AE6" s="1154"/>
      <c r="AF6" s="1154"/>
      <c r="AG6" s="1154"/>
      <c r="AH6" s="1154"/>
      <c r="AI6" s="1154"/>
      <c r="AJ6" s="1154"/>
      <c r="AK6" s="1155"/>
      <c r="AL6" s="1155"/>
      <c r="AM6" s="1155"/>
      <c r="AN6" s="1155"/>
      <c r="AO6" s="1155"/>
      <c r="AP6" s="1155"/>
      <c r="AQ6" s="1155"/>
      <c r="AR6" s="1155"/>
      <c r="AS6" s="1155"/>
      <c r="AT6" s="5742"/>
      <c r="AU6" s="5742"/>
      <c r="AV6" s="5743"/>
      <c r="AY6" s="3">
        <v>1</v>
      </c>
      <c r="AZ6" s="11">
        <f>SUM(AY1:AY341)+2</f>
        <v>340</v>
      </c>
      <c r="BA6" s="12" t="s">
        <v>15</v>
      </c>
    </row>
    <row r="7" spans="1:53" ht="27" customHeight="1" thickBot="1">
      <c r="B7" s="1153" t="s">
        <v>2624</v>
      </c>
      <c r="C7" s="1156"/>
      <c r="D7" s="1156"/>
      <c r="E7" s="1156"/>
      <c r="F7" s="1156"/>
      <c r="G7" s="1156"/>
      <c r="H7" s="1156"/>
      <c r="I7" s="1156"/>
      <c r="J7" s="1156"/>
      <c r="K7" s="1156"/>
      <c r="L7" s="1156"/>
      <c r="M7" s="1156"/>
      <c r="N7" s="1156" t="s">
        <v>2625</v>
      </c>
      <c r="O7" s="1156"/>
      <c r="P7" s="1156"/>
      <c r="Q7" s="1156"/>
      <c r="R7" s="1156"/>
      <c r="S7" s="1156"/>
      <c r="T7" s="1156"/>
      <c r="U7" s="1156"/>
      <c r="V7" s="1156"/>
      <c r="W7" s="1156"/>
      <c r="X7" s="1156"/>
      <c r="Y7" s="1156"/>
      <c r="Z7" s="1156" t="s">
        <v>2626</v>
      </c>
      <c r="AA7" s="1156"/>
      <c r="AB7" s="1156"/>
      <c r="AC7" s="1156"/>
      <c r="AD7" s="1156"/>
      <c r="AE7" s="1156"/>
      <c r="AF7" s="1156"/>
      <c r="AG7" s="1156"/>
      <c r="AH7" s="1156"/>
      <c r="AI7" s="1156"/>
      <c r="AJ7" s="1156"/>
      <c r="AK7" s="1157"/>
      <c r="AL7" s="1157"/>
      <c r="AM7" s="1157"/>
      <c r="AN7" s="1158" t="s">
        <v>2627</v>
      </c>
      <c r="AO7" s="1157"/>
      <c r="AP7" s="1157"/>
      <c r="AQ7" s="1157"/>
      <c r="AR7" s="1157"/>
      <c r="AS7" s="1158"/>
      <c r="AT7" s="5744"/>
      <c r="AU7" s="5744"/>
      <c r="AV7" s="5745"/>
      <c r="AY7" s="3">
        <v>1</v>
      </c>
      <c r="AZ7" s="11">
        <f>SUM(A343:AX343)+1</f>
        <v>51</v>
      </c>
      <c r="BA7" s="12" t="s">
        <v>18</v>
      </c>
    </row>
    <row r="8" spans="1:53" ht="27" customHeight="1">
      <c r="B8" s="1159" t="s">
        <v>208</v>
      </c>
      <c r="C8" s="1160" t="str">
        <f ca="1">CELL("nomfichier")</f>
        <v>D:\Données\1.UPRT\0-UPRT.fait\1-UPRT.FR-SITE-WEB\ff-fiches-fabrications\ff.fiches.fabrication.2023\ffr.restaurant.2023\[ff.FICHE.TRILINGUE.15.COLONNES.29.11.2025.xlsx]Notice.utilisateur</v>
      </c>
      <c r="D8" s="1160"/>
      <c r="E8" s="1151"/>
      <c r="F8" s="1151"/>
      <c r="G8" s="1151"/>
      <c r="H8" s="1151"/>
      <c r="I8" s="1151"/>
      <c r="J8" s="1151"/>
      <c r="K8" s="1151"/>
      <c r="L8" s="1151"/>
      <c r="M8" s="1151"/>
      <c r="N8" s="1151"/>
      <c r="O8" s="1151"/>
      <c r="P8" s="1151"/>
      <c r="Q8" s="1151"/>
      <c r="R8" s="1151"/>
      <c r="S8" s="1151"/>
      <c r="T8" s="1151"/>
      <c r="U8" s="1151"/>
      <c r="V8" s="1151"/>
      <c r="W8" s="1151"/>
      <c r="X8" s="1151"/>
      <c r="Y8" s="1151"/>
      <c r="Z8" s="1151"/>
      <c r="AA8" s="1151"/>
      <c r="AB8" s="1151"/>
      <c r="AC8" s="1151"/>
      <c r="AD8" s="1151"/>
      <c r="AE8" s="1151"/>
      <c r="AF8" s="1151"/>
      <c r="AG8" s="1151"/>
      <c r="AH8" s="1161"/>
      <c r="AI8" s="1161"/>
      <c r="AJ8" s="1161"/>
      <c r="AK8" s="1161"/>
      <c r="AL8" s="1161"/>
      <c r="AM8" s="1161"/>
      <c r="AN8" s="1161"/>
      <c r="AO8" s="1161"/>
      <c r="AP8" s="1161"/>
      <c r="AQ8" s="1161"/>
      <c r="AR8" s="1161"/>
      <c r="AS8" s="1161"/>
      <c r="AT8" s="1161"/>
      <c r="AU8" s="1161"/>
      <c r="AV8" s="1161"/>
      <c r="AY8" s="3">
        <v>1</v>
      </c>
    </row>
    <row r="9" spans="1:53" ht="27" customHeight="1" thickBot="1">
      <c r="B9" s="1162"/>
      <c r="C9" s="1163" t="s">
        <v>1704</v>
      </c>
      <c r="D9" s="1162"/>
      <c r="E9" s="1164"/>
      <c r="F9" s="1162"/>
      <c r="G9" s="1164"/>
      <c r="H9" s="1162"/>
      <c r="I9" s="1164"/>
      <c r="J9" s="1162"/>
      <c r="K9" s="1164"/>
      <c r="L9" s="1162"/>
      <c r="M9" s="1164"/>
      <c r="N9" s="1162"/>
      <c r="O9" s="1164"/>
      <c r="P9" s="1162"/>
      <c r="Q9" s="1152"/>
      <c r="R9" s="1162"/>
      <c r="S9" s="1164"/>
      <c r="T9" s="1162"/>
      <c r="U9" s="1164"/>
      <c r="V9" s="1162"/>
      <c r="W9" s="1164"/>
      <c r="X9" s="1162"/>
      <c r="Y9" s="1164"/>
      <c r="Z9" s="1162"/>
      <c r="AA9" s="1164"/>
      <c r="AB9" s="1162"/>
      <c r="AC9" s="1164"/>
      <c r="AD9" s="1162"/>
      <c r="AE9" s="1164"/>
      <c r="AF9" s="1162"/>
      <c r="AG9" s="1152"/>
      <c r="AH9" s="1162"/>
      <c r="AI9" s="1164"/>
      <c r="AJ9" s="1162"/>
      <c r="AK9" s="1164"/>
      <c r="AL9" s="1162"/>
      <c r="AM9" s="1164"/>
      <c r="AN9" s="1162"/>
      <c r="AO9" s="1164"/>
      <c r="AP9" s="1162"/>
      <c r="AQ9" s="1164"/>
      <c r="AR9" s="1162"/>
      <c r="AS9" s="1164"/>
      <c r="AT9" s="1162"/>
      <c r="AU9" s="1164"/>
      <c r="AV9" s="1162"/>
      <c r="AY9" s="3">
        <v>1</v>
      </c>
    </row>
    <row r="10" spans="1:53" ht="27" customHeight="1">
      <c r="B10" s="22" t="s">
        <v>11</v>
      </c>
      <c r="C10" s="23" t="str">
        <f>C16</f>
        <v>O OUR BLACK PUDDING | |  Author &gt; Guy KRENZE - Eric GODDYN - Arnaud NICOLAS - CEPROC 2002</v>
      </c>
      <c r="D10" s="24">
        <f>D16</f>
        <v>16.34</v>
      </c>
      <c r="E10" s="24" t="str">
        <f>E16</f>
        <v>Kg</v>
      </c>
      <c r="F10" s="25" t="str">
        <f>F16</f>
        <v>Master recipe ► Black pudding in 4 variations</v>
      </c>
      <c r="G10" s="26" t="s">
        <v>23</v>
      </c>
      <c r="H10" s="5471" t="s">
        <v>13138</v>
      </c>
      <c r="I10" s="5471"/>
      <c r="J10" s="5471"/>
      <c r="K10" s="5471"/>
      <c r="L10" s="5471"/>
      <c r="M10" s="5471"/>
      <c r="N10" s="5473" t="s">
        <v>13134</v>
      </c>
      <c r="O10" s="5473"/>
      <c r="P10" s="5475" t="str">
        <f>UPPER(LEFT(H10,1))</f>
        <v>O</v>
      </c>
      <c r="Q10" s="1171"/>
      <c r="R10" s="1165"/>
      <c r="S10" s="1166"/>
      <c r="T10" s="1166"/>
      <c r="U10" s="1166"/>
      <c r="V10" s="1167"/>
      <c r="W10" s="1168"/>
      <c r="X10" s="54"/>
      <c r="Y10" s="54"/>
      <c r="Z10" s="54"/>
      <c r="AA10" s="54"/>
      <c r="AB10" s="54"/>
      <c r="AC10" s="54"/>
      <c r="AD10" s="1169"/>
      <c r="AE10" s="1169"/>
      <c r="AF10" s="1170"/>
      <c r="AG10" s="1171"/>
      <c r="AH10" s="1165"/>
      <c r="AI10" s="1166"/>
      <c r="AJ10" s="1166"/>
      <c r="AK10" s="1166"/>
      <c r="AL10" s="1167"/>
      <c r="AM10" s="1168"/>
      <c r="AN10" s="54"/>
      <c r="AO10" s="54"/>
      <c r="AP10" s="54"/>
      <c r="AQ10" s="54"/>
      <c r="AR10" s="54"/>
      <c r="AS10" s="54"/>
      <c r="AT10" s="1169"/>
      <c r="AU10" s="1169"/>
      <c r="AV10" s="1170"/>
      <c r="AY10" s="3">
        <v>1</v>
      </c>
    </row>
    <row r="11" spans="1:53" ht="27" customHeight="1">
      <c r="B11" s="27" t="s">
        <v>11</v>
      </c>
      <c r="C11" s="28" t="str">
        <f>C16</f>
        <v>O OUR BLACK PUDDING | |  Author &gt; Guy KRENZE - Eric GODDYN - Arnaud NICOLAS - CEPROC 2002</v>
      </c>
      <c r="D11" s="29">
        <f>D16</f>
        <v>16.34</v>
      </c>
      <c r="E11" s="29" t="str">
        <f>E16</f>
        <v>Kg</v>
      </c>
      <c r="F11" s="30" t="str">
        <f>F16</f>
        <v>Master recipe ► Black pudding in 4 variations</v>
      </c>
      <c r="G11" s="31" t="s">
        <v>29</v>
      </c>
      <c r="H11" s="5472"/>
      <c r="I11" s="5472"/>
      <c r="J11" s="5472"/>
      <c r="K11" s="5472"/>
      <c r="L11" s="5472"/>
      <c r="M11" s="5472"/>
      <c r="N11" s="5474"/>
      <c r="O11" s="5474"/>
      <c r="P11" s="5476"/>
      <c r="Q11" s="1171"/>
      <c r="R11" s="104"/>
      <c r="S11" s="1172"/>
      <c r="T11" s="1172"/>
      <c r="U11" s="1172"/>
      <c r="V11" s="1173"/>
      <c r="W11" s="1174"/>
      <c r="X11" s="1175"/>
      <c r="Y11" s="1176"/>
      <c r="Z11" s="1177"/>
      <c r="AA11" s="1547"/>
      <c r="AB11" s="1177"/>
      <c r="AC11" s="1548"/>
      <c r="AD11" s="1549"/>
      <c r="AE11" s="1178"/>
      <c r="AF11" s="1179"/>
      <c r="AG11" s="1171"/>
      <c r="AH11" s="104"/>
      <c r="AI11" s="1172"/>
      <c r="AJ11" s="1172"/>
      <c r="AK11" s="1172"/>
      <c r="AL11" s="1173"/>
      <c r="AM11" s="1174"/>
      <c r="AN11" s="1175"/>
      <c r="AO11" s="1176"/>
      <c r="AP11" s="1177"/>
      <c r="AQ11" s="1547"/>
      <c r="AR11" s="1177"/>
      <c r="AS11" s="1548"/>
      <c r="AT11" s="1549"/>
      <c r="AU11" s="1178"/>
      <c r="AV11" s="1179"/>
      <c r="AY11" s="3">
        <v>1</v>
      </c>
    </row>
    <row r="12" spans="1:53" ht="27" customHeight="1">
      <c r="B12" s="27" t="s">
        <v>11</v>
      </c>
      <c r="C12" s="5310" t="str">
        <f>C16</f>
        <v>O OUR BLACK PUDDING | |  Author &gt; Guy KRENZE - Eric GODDYN - Arnaud NICOLAS - CEPROC 2002</v>
      </c>
      <c r="D12" s="5310">
        <f>D16</f>
        <v>16.34</v>
      </c>
      <c r="E12" s="5311" t="str">
        <f>E16</f>
        <v>Kg</v>
      </c>
      <c r="F12" s="5312" t="str">
        <f>F16</f>
        <v>Master recipe ► Black pudding in 4 variations</v>
      </c>
      <c r="G12" s="5313"/>
      <c r="H12" s="5314" t="s">
        <v>888</v>
      </c>
      <c r="I12" s="37"/>
      <c r="J12" s="38" t="s">
        <v>889</v>
      </c>
      <c r="K12" s="39" t="s">
        <v>12835</v>
      </c>
      <c r="L12" s="9"/>
      <c r="M12" s="39"/>
      <c r="N12" s="39"/>
      <c r="O12" s="40"/>
      <c r="P12" s="41"/>
      <c r="Q12" s="1171"/>
      <c r="R12" s="104"/>
      <c r="S12" s="1172"/>
      <c r="T12" s="1172"/>
      <c r="U12" s="1172"/>
      <c r="V12" s="1173"/>
      <c r="W12" s="1174"/>
      <c r="X12" s="1175"/>
      <c r="Y12" s="1176"/>
      <c r="Z12" s="1177"/>
      <c r="AA12" s="1547"/>
      <c r="AB12" s="1177"/>
      <c r="AC12" s="1548"/>
      <c r="AD12" s="1549"/>
      <c r="AE12" s="1178"/>
      <c r="AF12" s="1179"/>
      <c r="AG12" s="1171"/>
      <c r="AH12" s="104"/>
      <c r="AI12" s="1172"/>
      <c r="AJ12" s="1172"/>
      <c r="AK12" s="1172"/>
      <c r="AL12" s="1173"/>
      <c r="AM12" s="1174"/>
      <c r="AN12" s="1175"/>
      <c r="AO12" s="1176"/>
      <c r="AP12" s="1177"/>
      <c r="AQ12" s="1547"/>
      <c r="AR12" s="1177"/>
      <c r="AS12" s="1548"/>
      <c r="AT12" s="1549"/>
      <c r="AU12" s="1178"/>
      <c r="AV12" s="1179"/>
      <c r="AY12" s="3">
        <v>1</v>
      </c>
    </row>
    <row r="13" spans="1:53" ht="27" customHeight="1">
      <c r="B13" s="27" t="s">
        <v>11</v>
      </c>
      <c r="C13" s="32" t="str">
        <f>C16</f>
        <v>O OUR BLACK PUDDING | |  Author &gt; Guy KRENZE - Eric GODDYN - Arnaud NICOLAS - CEPROC 2002</v>
      </c>
      <c r="D13" s="33">
        <f>D16</f>
        <v>16.34</v>
      </c>
      <c r="E13" s="33" t="str">
        <f>E16</f>
        <v>Kg</v>
      </c>
      <c r="F13" s="34" t="str">
        <f>F16</f>
        <v>Master recipe ► Black pudding in 4 variations</v>
      </c>
      <c r="G13" s="42" t="s">
        <v>137</v>
      </c>
      <c r="H13" s="43"/>
      <c r="I13" s="43"/>
      <c r="J13" s="44" t="s">
        <v>13136</v>
      </c>
      <c r="K13" s="5477" t="str">
        <f>L16&amp;" "&amp;M16&amp;" ► category = "&amp;N10&amp;" ► "&amp;H10&amp;" "&amp; "pour "&amp;N14&amp;" "&amp;O14</f>
        <v>Master recipe ► Black pudding in 4 variations ► category = charcuterie-BLACK-PUDDING ► OUR BLACK PUDDING pour 5 Kg</v>
      </c>
      <c r="L13" s="5477"/>
      <c r="M13" s="5477"/>
      <c r="N13" s="5039" t="s">
        <v>3324</v>
      </c>
      <c r="O13" s="40"/>
      <c r="P13" s="1472"/>
      <c r="Q13" s="1171"/>
      <c r="R13" s="104"/>
      <c r="S13" s="1172"/>
      <c r="T13" s="1172"/>
      <c r="U13" s="1172"/>
      <c r="V13" s="1173"/>
      <c r="W13" s="1174"/>
      <c r="X13" s="1175"/>
      <c r="Y13" s="1176"/>
      <c r="Z13" s="1177"/>
      <c r="AA13" s="1547"/>
      <c r="AB13" s="1177"/>
      <c r="AC13" s="1548"/>
      <c r="AD13" s="1549"/>
      <c r="AE13" s="1178"/>
      <c r="AF13" s="1179"/>
      <c r="AG13" s="1171"/>
      <c r="AH13" s="104"/>
      <c r="AI13" s="1172"/>
      <c r="AJ13" s="1172"/>
      <c r="AK13" s="1172"/>
      <c r="AL13" s="1173"/>
      <c r="AM13" s="1174"/>
      <c r="AN13" s="1175"/>
      <c r="AO13" s="1176"/>
      <c r="AP13" s="1177"/>
      <c r="AQ13" s="1547"/>
      <c r="AR13" s="1177"/>
      <c r="AS13" s="1548"/>
      <c r="AT13" s="1549"/>
      <c r="AU13" s="1178"/>
      <c r="AV13" s="1179"/>
      <c r="AY13" s="3">
        <v>1</v>
      </c>
    </row>
    <row r="14" spans="1:53" ht="27" customHeight="1">
      <c r="B14" s="27" t="s">
        <v>11</v>
      </c>
      <c r="C14" s="32" t="str">
        <f>C16</f>
        <v>O OUR BLACK PUDDING | |  Author &gt; Guy KRENZE - Eric GODDYN - Arnaud NICOLAS - CEPROC 2002</v>
      </c>
      <c r="D14" s="33">
        <f>D16</f>
        <v>16.34</v>
      </c>
      <c r="E14" s="33" t="str">
        <f>E16</f>
        <v>Kg</v>
      </c>
      <c r="F14" s="34" t="str">
        <f>F16</f>
        <v>Master recipe ► Black pudding in 4 variations</v>
      </c>
      <c r="G14" s="50">
        <v>16.34</v>
      </c>
      <c r="H14" s="5053" t="s">
        <v>872</v>
      </c>
      <c r="I14" s="42"/>
      <c r="J14" s="42"/>
      <c r="K14" s="5477"/>
      <c r="L14" s="5477"/>
      <c r="M14" s="5477"/>
      <c r="N14" s="46">
        <v>5</v>
      </c>
      <c r="O14" s="5478" t="str">
        <f>H14</f>
        <v>Kg</v>
      </c>
      <c r="P14" s="5479"/>
      <c r="Q14" s="1171"/>
      <c r="R14" s="104"/>
      <c r="S14" s="1172"/>
      <c r="T14" s="1172"/>
      <c r="U14" s="1172"/>
      <c r="V14" s="1173"/>
      <c r="W14" s="1174"/>
      <c r="X14" s="1175"/>
      <c r="Y14" s="1176"/>
      <c r="Z14" s="1177"/>
      <c r="AA14" s="1547"/>
      <c r="AB14" s="1177"/>
      <c r="AC14" s="1548"/>
      <c r="AD14" s="1549"/>
      <c r="AE14" s="1178"/>
      <c r="AF14" s="1179"/>
      <c r="AG14" s="1171"/>
      <c r="AH14" s="104"/>
      <c r="AI14" s="1172"/>
      <c r="AJ14" s="1172"/>
      <c r="AK14" s="1172"/>
      <c r="AL14" s="1173"/>
      <c r="AM14" s="1174"/>
      <c r="AN14" s="1175"/>
      <c r="AO14" s="1176"/>
      <c r="AP14" s="1177"/>
      <c r="AQ14" s="1547"/>
      <c r="AR14" s="1177"/>
      <c r="AS14" s="1548"/>
      <c r="AT14" s="1549"/>
      <c r="AU14" s="1178"/>
      <c r="AV14" s="1179"/>
      <c r="AY14" s="3">
        <v>1</v>
      </c>
    </row>
    <row r="15" spans="1:53" ht="27" customHeight="1">
      <c r="B15" s="27" t="s">
        <v>16</v>
      </c>
      <c r="C15" s="32" t="str">
        <f>C16</f>
        <v>O OUR BLACK PUDDING | |  Author &gt; Guy KRENZE - Eric GODDYN - Arnaud NICOLAS - CEPROC 2002</v>
      </c>
      <c r="D15" s="33">
        <f>D16</f>
        <v>16.34</v>
      </c>
      <c r="E15" s="33" t="str">
        <f>E16</f>
        <v>Kg</v>
      </c>
      <c r="F15" s="34" t="str">
        <f>F16</f>
        <v>Master recipe ► Black pudding in 4 variations</v>
      </c>
      <c r="G15" s="56"/>
      <c r="H15" s="5165" t="s">
        <v>13100</v>
      </c>
      <c r="I15" s="5468">
        <f>O40/L15</f>
        <v>16.343603999999999</v>
      </c>
      <c r="J15" s="5468"/>
      <c r="K15" s="5054" t="str" cm="1">
        <f t="array" ref="K15">"1= "&amp;IF(OR(G14&lt;=0,I15=""),"",_xlfn.LET(_xlpm.kg,IF(ISNUMBER(I15),I15,VALEUR(SUBSTITUTE(SUBSTITUTE(SUBSTITUTE(LOWER(I15),"kg",""),",",".")," ",""))),TEXT(ROUND(_xlpm.kg*1000/G14,2),"0.##")&amp;" g"))</f>
        <v>1= 1000.22 g</v>
      </c>
      <c r="L15" s="1490">
        <f>IFERROR(N14/G14,0)</f>
        <v>0.30599755201958384</v>
      </c>
      <c r="M15" s="45"/>
      <c r="N15" s="5041" t="s">
        <v>153</v>
      </c>
      <c r="O15" s="5042">
        <f>O40</f>
        <v>5.0011028151774788</v>
      </c>
      <c r="P15" s="5043"/>
      <c r="Q15" s="1171"/>
      <c r="R15" s="104"/>
      <c r="S15" s="1172"/>
      <c r="T15" s="1172"/>
      <c r="U15" s="1172"/>
      <c r="V15" s="1173"/>
      <c r="W15" s="1174"/>
      <c r="X15" s="1175"/>
      <c r="Y15" s="1176"/>
      <c r="Z15" s="1177"/>
      <c r="AA15" s="1547"/>
      <c r="AB15" s="1177"/>
      <c r="AC15" s="1548"/>
      <c r="AD15" s="1549"/>
      <c r="AE15" s="1178"/>
      <c r="AF15" s="1179"/>
      <c r="AG15" s="1171"/>
      <c r="AH15" s="104"/>
      <c r="AI15" s="1172"/>
      <c r="AJ15" s="1172"/>
      <c r="AK15" s="1172"/>
      <c r="AL15" s="1173"/>
      <c r="AM15" s="1174"/>
      <c r="AN15" s="1175"/>
      <c r="AO15" s="1176"/>
      <c r="AP15" s="1177"/>
      <c r="AQ15" s="1547"/>
      <c r="AR15" s="1177"/>
      <c r="AS15" s="1548"/>
      <c r="AT15" s="1549"/>
      <c r="AU15" s="1178"/>
      <c r="AV15" s="1179"/>
      <c r="AY15" s="3">
        <v>1</v>
      </c>
    </row>
    <row r="16" spans="1:53" ht="27" customHeight="1">
      <c r="B16" s="64" t="s">
        <v>16</v>
      </c>
      <c r="C16" s="65" t="str">
        <f>G16</f>
        <v>O OUR BLACK PUDDING | |  Author &gt; Guy KRENZE - Eric GODDYN - Arnaud NICOLAS - CEPROC 2002</v>
      </c>
      <c r="D16" s="66">
        <f>G14</f>
        <v>16.34</v>
      </c>
      <c r="E16" s="65" t="str">
        <f>H14</f>
        <v>Kg</v>
      </c>
      <c r="F16" s="67" t="str">
        <f>L16&amp;" "&amp;M16</f>
        <v>Master recipe ► Black pudding in 4 variations</v>
      </c>
      <c r="G16" s="68" t="str">
        <f>UPPER(LEFT(H10,1))&amp;" "&amp;H10&amp;" | "&amp;O10&amp;"| "&amp;J12&amp;" "&amp;K12</f>
        <v>O OUR BLACK PUDDING | |  Author &gt; Guy KRENZE - Eric GODDYN - Arnaud NICOLAS - CEPROC 2002</v>
      </c>
      <c r="H16" s="69" t="s">
        <v>3315</v>
      </c>
      <c r="I16" s="5469" t="s">
        <v>3316</v>
      </c>
      <c r="J16" s="5469"/>
      <c r="K16" s="5469"/>
      <c r="L16" s="70" t="str">
        <f>IF(ISTEXT(M16),"Master recipe ►",H16)</f>
        <v>Master recipe ►</v>
      </c>
      <c r="M16" s="71" t="s">
        <v>12924</v>
      </c>
      <c r="N16" s="71"/>
      <c r="O16" s="72"/>
      <c r="P16" s="1473"/>
      <c r="Q16" s="1171"/>
      <c r="R16" s="104"/>
      <c r="S16" s="1172"/>
      <c r="T16" s="1172"/>
      <c r="U16" s="1172"/>
      <c r="V16" s="1173"/>
      <c r="W16" s="1174"/>
      <c r="X16" s="1175"/>
      <c r="Y16" s="1176"/>
      <c r="Z16" s="1177"/>
      <c r="AA16" s="1547"/>
      <c r="AB16" s="1177"/>
      <c r="AC16" s="1548"/>
      <c r="AD16" s="1549"/>
      <c r="AE16" s="1178"/>
      <c r="AF16" s="1179"/>
      <c r="AG16" s="1171"/>
      <c r="AH16" s="104"/>
      <c r="AI16" s="1172"/>
      <c r="AJ16" s="1172"/>
      <c r="AK16" s="1172"/>
      <c r="AL16" s="1173"/>
      <c r="AM16" s="1174"/>
      <c r="AN16" s="1175"/>
      <c r="AO16" s="1176"/>
      <c r="AP16" s="1177"/>
      <c r="AQ16" s="1547"/>
      <c r="AR16" s="1177"/>
      <c r="AS16" s="1548"/>
      <c r="AT16" s="1549"/>
      <c r="AU16" s="1178"/>
      <c r="AV16" s="1179"/>
      <c r="AY16" s="3">
        <v>1</v>
      </c>
    </row>
    <row r="17" spans="2:51" ht="27" customHeight="1">
      <c r="B17" s="74" t="s">
        <v>16</v>
      </c>
      <c r="C17" s="75" t="str">
        <f>C16</f>
        <v>O OUR BLACK PUDDING | |  Author &gt; Guy KRENZE - Eric GODDYN - Arnaud NICOLAS - CEPROC 2002</v>
      </c>
      <c r="D17" s="75">
        <f>D16</f>
        <v>16.34</v>
      </c>
      <c r="E17" s="75" t="str">
        <f>E16</f>
        <v>Kg</v>
      </c>
      <c r="F17" s="76" t="str">
        <f>F16</f>
        <v>Master recipe ► Black pudding in 4 variations</v>
      </c>
      <c r="G17" s="13" t="s">
        <v>66</v>
      </c>
      <c r="H17" s="13" t="s">
        <v>67</v>
      </c>
      <c r="I17" s="13" t="s">
        <v>68</v>
      </c>
      <c r="J17" s="13" t="s">
        <v>69</v>
      </c>
      <c r="K17" s="77" t="s">
        <v>70</v>
      </c>
      <c r="L17" s="78" t="s">
        <v>71</v>
      </c>
      <c r="M17" s="79" t="s">
        <v>72</v>
      </c>
      <c r="N17" s="1496" t="s">
        <v>73</v>
      </c>
      <c r="O17" s="13" t="s">
        <v>74</v>
      </c>
      <c r="P17" s="518" t="s">
        <v>75</v>
      </c>
      <c r="Q17" s="1171"/>
      <c r="R17" s="104"/>
      <c r="S17" s="1172"/>
      <c r="T17" s="1172"/>
      <c r="U17" s="1172"/>
      <c r="V17" s="1173"/>
      <c r="W17" s="1174"/>
      <c r="X17" s="1175"/>
      <c r="Y17" s="1176"/>
      <c r="Z17" s="1177"/>
      <c r="AA17" s="1547"/>
      <c r="AB17" s="1177"/>
      <c r="AC17" s="1548"/>
      <c r="AD17" s="1549"/>
      <c r="AE17" s="1178"/>
      <c r="AF17" s="1179"/>
      <c r="AG17" s="1171"/>
      <c r="AH17" s="104"/>
      <c r="AI17" s="1172"/>
      <c r="AJ17" s="1172"/>
      <c r="AK17" s="1172"/>
      <c r="AL17" s="1173"/>
      <c r="AM17" s="1174"/>
      <c r="AN17" s="1175"/>
      <c r="AO17" s="1176"/>
      <c r="AP17" s="1177"/>
      <c r="AQ17" s="1547"/>
      <c r="AR17" s="1177"/>
      <c r="AS17" s="1548"/>
      <c r="AT17" s="1549"/>
      <c r="AU17" s="1178"/>
      <c r="AV17" s="1179"/>
      <c r="AY17" s="3">
        <v>1</v>
      </c>
    </row>
    <row r="18" spans="2:51" ht="27" customHeight="1">
      <c r="B18" s="27" t="s">
        <v>11</v>
      </c>
      <c r="C18" s="32" t="str">
        <f>C16</f>
        <v>O OUR BLACK PUDDING | |  Author &gt; Guy KRENZE - Eric GODDYN - Arnaud NICOLAS - CEPROC 2002</v>
      </c>
      <c r="D18" s="33">
        <f>D16</f>
        <v>16.34</v>
      </c>
      <c r="E18" s="32" t="str">
        <f>E16</f>
        <v>Kg</v>
      </c>
      <c r="F18" s="34" t="str">
        <f>F16</f>
        <v>Master recipe ► Black pudding in 4 variations</v>
      </c>
      <c r="G18" s="81" t="s">
        <v>77</v>
      </c>
      <c r="H18" s="82" t="s">
        <v>78</v>
      </c>
      <c r="I18" s="83"/>
      <c r="J18" s="5454" t="s">
        <v>228</v>
      </c>
      <c r="K18" s="5464" t="s">
        <v>80</v>
      </c>
      <c r="L18" s="5466" t="s">
        <v>81</v>
      </c>
      <c r="M18" s="84" t="s">
        <v>82</v>
      </c>
      <c r="N18" s="5444" t="s">
        <v>244</v>
      </c>
      <c r="O18" s="5446" t="s">
        <v>890</v>
      </c>
      <c r="P18" s="5448" t="s">
        <v>247</v>
      </c>
      <c r="Q18" s="1171"/>
      <c r="R18" s="104"/>
      <c r="S18" s="1172"/>
      <c r="T18" s="1172"/>
      <c r="U18" s="1172"/>
      <c r="V18" s="1173"/>
      <c r="W18" s="1174"/>
      <c r="X18" s="1175"/>
      <c r="Y18" s="1176"/>
      <c r="Z18" s="1177"/>
      <c r="AA18" s="1547"/>
      <c r="AB18" s="1177"/>
      <c r="AC18" s="1548"/>
      <c r="AD18" s="1549"/>
      <c r="AE18" s="1178"/>
      <c r="AF18" s="1179"/>
      <c r="AG18" s="1171"/>
      <c r="AH18" s="104"/>
      <c r="AI18" s="1172"/>
      <c r="AJ18" s="1172"/>
      <c r="AK18" s="1172"/>
      <c r="AL18" s="1173"/>
      <c r="AM18" s="1174"/>
      <c r="AN18" s="1175"/>
      <c r="AO18" s="1176"/>
      <c r="AP18" s="1177"/>
      <c r="AQ18" s="1547"/>
      <c r="AR18" s="1177"/>
      <c r="AS18" s="1548"/>
      <c r="AT18" s="1549"/>
      <c r="AU18" s="1178"/>
      <c r="AV18" s="1179"/>
      <c r="AY18" s="3">
        <v>1</v>
      </c>
    </row>
    <row r="19" spans="2:51" ht="27" customHeight="1">
      <c r="B19" s="27" t="s">
        <v>11</v>
      </c>
      <c r="C19" s="32" t="str">
        <f>C16</f>
        <v>O OUR BLACK PUDDING | |  Author &gt; Guy KRENZE - Eric GODDYN - Arnaud NICOLAS - CEPROC 2002</v>
      </c>
      <c r="D19" s="33">
        <f>D16</f>
        <v>16.34</v>
      </c>
      <c r="E19" s="32" t="str">
        <f>E16</f>
        <v>Kg</v>
      </c>
      <c r="F19" s="34" t="str">
        <f>F16</f>
        <v>Master recipe ► Black pudding in 4 variations</v>
      </c>
      <c r="G19" s="87" t="s">
        <v>231</v>
      </c>
      <c r="H19" s="88" t="s">
        <v>232</v>
      </c>
      <c r="I19" s="89" t="s">
        <v>891</v>
      </c>
      <c r="J19" s="5455"/>
      <c r="K19" s="5465"/>
      <c r="L19" s="5467"/>
      <c r="M19" s="90" t="s">
        <v>867</v>
      </c>
      <c r="N19" s="5445"/>
      <c r="O19" s="5447"/>
      <c r="P19" s="5449"/>
      <c r="Q19" s="1171"/>
      <c r="R19" s="104"/>
      <c r="S19" s="1172"/>
      <c r="T19" s="1172"/>
      <c r="U19" s="1172"/>
      <c r="V19" s="1173"/>
      <c r="W19" s="1174"/>
      <c r="X19" s="1175"/>
      <c r="Y19" s="1176"/>
      <c r="Z19" s="1177"/>
      <c r="AA19" s="1547"/>
      <c r="AB19" s="1177"/>
      <c r="AC19" s="1548"/>
      <c r="AD19" s="1549"/>
      <c r="AE19" s="1178"/>
      <c r="AF19" s="1179"/>
      <c r="AG19" s="1171"/>
      <c r="AH19" s="104"/>
      <c r="AI19" s="1172"/>
      <c r="AJ19" s="1172"/>
      <c r="AK19" s="1172"/>
      <c r="AL19" s="1173"/>
      <c r="AM19" s="1174"/>
      <c r="AN19" s="1175"/>
      <c r="AO19" s="1176"/>
      <c r="AP19" s="1177"/>
      <c r="AQ19" s="1547"/>
      <c r="AR19" s="1177"/>
      <c r="AS19" s="1548"/>
      <c r="AT19" s="1549"/>
      <c r="AU19" s="1178"/>
      <c r="AV19" s="1179"/>
      <c r="AY19" s="3">
        <v>1</v>
      </c>
    </row>
    <row r="20" spans="2:51" ht="27" customHeight="1">
      <c r="B20" s="27" t="s">
        <v>11</v>
      </c>
      <c r="C20" s="32" t="str">
        <f>C16</f>
        <v>O OUR BLACK PUDDING | |  Author &gt; Guy KRENZE - Eric GODDYN - Arnaud NICOLAS - CEPROC 2002</v>
      </c>
      <c r="D20" s="33">
        <f>D16</f>
        <v>16.34</v>
      </c>
      <c r="E20" s="32" t="str">
        <f>E16</f>
        <v>Kg</v>
      </c>
      <c r="F20" s="34" t="str">
        <f>F16</f>
        <v>Master recipe ► Black pudding in 4 variations</v>
      </c>
      <c r="G20" s="92"/>
      <c r="H20" s="93"/>
      <c r="I20" s="94" t="str">
        <f t="shared" ref="I20:I39" si="2">IF(OR(ISTEXT(G20), G20&lt;=0, J20&lt;=0), "", "de")</f>
        <v/>
      </c>
      <c r="J20" s="95">
        <v>3</v>
      </c>
      <c r="K20" s="96" t="s">
        <v>0</v>
      </c>
      <c r="L20" s="127">
        <v>1</v>
      </c>
      <c r="M20" s="919" t="s">
        <v>13139</v>
      </c>
      <c r="N20" s="100">
        <f>IF(OR(ISBLANK(G14),N14=0),0,G20*L15)</f>
        <v>0</v>
      </c>
      <c r="O20" s="101">
        <f>IFERROR(_xlfn.LET(_xlpm.v,IFERROR(_xlfn.XLOOKUP(K20,G57:P57,G58:P58),_xlfn.XLOOKUP(K20,G59:P59,G60:P60)),_xlpm.v*J20*L20*L15*IF(ISBLANK(G20),1,G20)),0)</f>
        <v>0.91799265605875147</v>
      </c>
      <c r="P20" s="1476" t="str">
        <f>_xlfn.LET(_xlpm.unite,SUBSTITUTE(TRIM(K20)," (s)",""),_xlpm.val,O20,_xlpm.estVol,COUNTIF(J57:P57,_xlpm.unite)+COUNTIF(J59:P59,_xlpm.unite)&gt;0,_xlpm.estPoids,COUNTIF(G57:I57,_xlpm.unite)+COUNTIF(G59:I59,_xlpm.unite)&gt;0,IF(_xlpm.estVol,IF(ROUND(_xlpm.val,3)&gt;=1,ROUND(_xlpm.val,3)&amp;" L",MAX(1,ROUND(_xlpm.val*100,0))&amp;" cl"),IF(_xlpm.estPoids,IF(ROUND(_xlpm.val,3)&gt;=1,ROUND(_xlpm.val,3)&amp;" Kg",MAX(1,ROUND(_xlpm.val*1000,0))&amp;" g"),"")))</f>
        <v>92 cl</v>
      </c>
      <c r="Q20" s="1171"/>
      <c r="R20" s="104"/>
      <c r="S20" s="1172"/>
      <c r="T20" s="1172"/>
      <c r="U20" s="1172"/>
      <c r="V20" s="1173"/>
      <c r="W20" s="1174"/>
      <c r="X20" s="1175"/>
      <c r="Y20" s="1176"/>
      <c r="Z20" s="1177"/>
      <c r="AA20" s="1547"/>
      <c r="AB20" s="1177"/>
      <c r="AC20" s="1548"/>
      <c r="AD20" s="1549"/>
      <c r="AE20" s="1178"/>
      <c r="AF20" s="1179"/>
      <c r="AG20" s="1171"/>
      <c r="AH20" s="104"/>
      <c r="AI20" s="1172"/>
      <c r="AJ20" s="1172"/>
      <c r="AK20" s="1172"/>
      <c r="AL20" s="1173"/>
      <c r="AM20" s="1174"/>
      <c r="AN20" s="1175"/>
      <c r="AO20" s="1176"/>
      <c r="AP20" s="1177"/>
      <c r="AQ20" s="1547"/>
      <c r="AR20" s="1177"/>
      <c r="AS20" s="1548"/>
      <c r="AT20" s="1549"/>
      <c r="AU20" s="1178"/>
      <c r="AV20" s="1179"/>
      <c r="AY20" s="3">
        <v>1</v>
      </c>
    </row>
    <row r="21" spans="2:51" ht="27" customHeight="1">
      <c r="B21" s="104" t="str">
        <f t="shared" ref="B21:B39" si="3">IF(M21&lt;&gt;"","A","►")</f>
        <v>A</v>
      </c>
      <c r="C21" s="32" t="str">
        <f>C16</f>
        <v>O OUR BLACK PUDDING | |  Author &gt; Guy KRENZE - Eric GODDYN - Arnaud NICOLAS - CEPROC 2002</v>
      </c>
      <c r="D21" s="33">
        <f>D16</f>
        <v>16.34</v>
      </c>
      <c r="E21" s="32" t="str">
        <f>E16</f>
        <v>Kg</v>
      </c>
      <c r="F21" s="34" t="str">
        <f>F16</f>
        <v>Master recipe ► Black pudding in 4 variations</v>
      </c>
      <c r="G21" s="92"/>
      <c r="H21" s="93"/>
      <c r="I21" s="94" t="str">
        <f t="shared" si="2"/>
        <v/>
      </c>
      <c r="J21" s="95">
        <v>9</v>
      </c>
      <c r="K21" s="140" t="s">
        <v>143</v>
      </c>
      <c r="L21" s="127">
        <v>1</v>
      </c>
      <c r="M21" s="920" t="s">
        <v>13140</v>
      </c>
      <c r="N21" s="1495">
        <f>IF(OR(ISBLANK(G14),N14=0),0,G21*L15)</f>
        <v>0</v>
      </c>
      <c r="O21" s="101">
        <f>IFERROR(_xlfn.LET(_xlpm.v,IFERROR(_xlfn.XLOOKUP(K21,G57:P57,G58:P58),_xlfn.XLOOKUP(K21,G59:P59,G60:P60)),_xlpm.v*J21*L21*L15*IF(ISBLANK(G21),1,G21)),0)</f>
        <v>2.7539779681762546</v>
      </c>
      <c r="P21" s="1475" t="str">
        <f>_xlfn.LET(_xlpm.unite,SUBSTITUTE(TRIM(K21)," (s)",""),_xlpm.val,O21,_xlpm.estVol,COUNTIF(J57:P57,_xlpm.unite)+COUNTIF(J59:P59,_xlpm.unite)&gt;0,_xlpm.estPoids,COUNTIF(G57:I57,_xlpm.unite)+COUNTIF(G59:I59,_xlpm.unite)&gt;0,IF(_xlpm.estVol,IF(ROUND(_xlpm.val,3)&gt;=1,ROUND(_xlpm.val,3)&amp;" L",MAX(1,ROUND(_xlpm.val*100,0))&amp;" cl"),IF(_xlpm.estPoids,IF(ROUND(_xlpm.val,3)&gt;=1,ROUND(_xlpm.val,3)&amp;" Kg",MAX(1,ROUND(_xlpm.val*1000,0))&amp;" g"),"")))</f>
        <v>2.754 Kg</v>
      </c>
      <c r="Q21" s="1171"/>
      <c r="R21" s="104"/>
      <c r="S21" s="1172"/>
      <c r="T21" s="1172"/>
      <c r="U21" s="1172"/>
      <c r="V21" s="1173"/>
      <c r="W21" s="1174"/>
      <c r="X21" s="1175"/>
      <c r="Y21" s="1176"/>
      <c r="Z21" s="1177"/>
      <c r="AA21" s="1547"/>
      <c r="AB21" s="1177"/>
      <c r="AC21" s="1548"/>
      <c r="AD21" s="1549"/>
      <c r="AE21" s="1178"/>
      <c r="AF21" s="1179"/>
      <c r="AG21" s="1171"/>
      <c r="AH21" s="104"/>
      <c r="AI21" s="1172"/>
      <c r="AJ21" s="1172"/>
      <c r="AK21" s="1172"/>
      <c r="AL21" s="1173"/>
      <c r="AM21" s="1174"/>
      <c r="AN21" s="1175"/>
      <c r="AO21" s="1176"/>
      <c r="AP21" s="1177"/>
      <c r="AQ21" s="1547"/>
      <c r="AR21" s="1177"/>
      <c r="AS21" s="1548"/>
      <c r="AT21" s="1549"/>
      <c r="AU21" s="1178"/>
      <c r="AV21" s="1179"/>
      <c r="AY21" s="3">
        <v>1</v>
      </c>
    </row>
    <row r="22" spans="2:51" ht="27" customHeight="1">
      <c r="B22" s="104" t="str">
        <f t="shared" si="3"/>
        <v>A</v>
      </c>
      <c r="C22" s="32" t="str">
        <f>C16</f>
        <v>O OUR BLACK PUDDING | |  Author &gt; Guy KRENZE - Eric GODDYN - Arnaud NICOLAS - CEPROC 2002</v>
      </c>
      <c r="D22" s="33">
        <f>D16</f>
        <v>16.34</v>
      </c>
      <c r="E22" s="32" t="str">
        <f>E16</f>
        <v>Kg</v>
      </c>
      <c r="F22" s="34" t="str">
        <f>F16</f>
        <v>Master recipe ► Black pudding in 4 variations</v>
      </c>
      <c r="G22" s="92"/>
      <c r="H22" s="108"/>
      <c r="I22" s="94" t="str">
        <f t="shared" si="2"/>
        <v/>
      </c>
      <c r="J22" s="95"/>
      <c r="K22" s="126"/>
      <c r="L22" s="127">
        <v>1</v>
      </c>
      <c r="M22" s="5152" t="str">
        <f>"x by 1.33 = fresh onions &gt; "&amp;ROUND(O21*1.33,2)&amp;" Kg"</f>
        <v>x by 1.33 = fresh onions &gt; 3.66 Kg</v>
      </c>
      <c r="N22" s="5159">
        <f>IF(OR(ISBLANK(G14),N14=0),0,G22*L15)</f>
        <v>0</v>
      </c>
      <c r="O22" s="5160">
        <f>IFERROR(_xlfn.LET(_xlpm.v,IFERROR(_xlfn.XLOOKUP(K22,G57:P57,G58:P58),_xlfn.XLOOKUP(K22,G59:P59,G60:P60)),_xlpm.v*J22*L22*L15*IF(ISBLANK(G22),1,G22)),0)</f>
        <v>0</v>
      </c>
      <c r="P22" s="5161" t="str">
        <f>_xlfn.LET(_xlpm.unite,SUBSTITUTE(TRIM(K22)," (s)",""),_xlpm.val,O22,_xlpm.estVol,COUNTIF(J57:P57,_xlpm.unite)+COUNTIF(J59:P59,_xlpm.unite)&gt;0,_xlpm.estPoids,COUNTIF(G57:I57,_xlpm.unite)+COUNTIF(G59:I59,_xlpm.unite)&gt;0,IF(_xlpm.estVol,IF(ROUND(_xlpm.val,3)&gt;=1,ROUND(_xlpm.val,3)&amp;" L",MAX(1,ROUND(_xlpm.val*100,0))&amp;" cl"),IF(_xlpm.estPoids,IF(ROUND(_xlpm.val,3)&gt;=1,ROUND(_xlpm.val,3)&amp;" Kg",MAX(1,ROUND(_xlpm.val*1000,0))&amp;" g"),"")))</f>
        <v/>
      </c>
      <c r="Q22" s="1171"/>
      <c r="R22" s="104"/>
      <c r="S22" s="1172"/>
      <c r="T22" s="1172"/>
      <c r="U22" s="1172"/>
      <c r="V22" s="1173"/>
      <c r="W22" s="1174"/>
      <c r="X22" s="1175"/>
      <c r="Y22" s="1176"/>
      <c r="Z22" s="1177"/>
      <c r="AA22" s="1547"/>
      <c r="AB22" s="1177"/>
      <c r="AC22" s="1548"/>
      <c r="AD22" s="1549"/>
      <c r="AE22" s="1178"/>
      <c r="AF22" s="1179"/>
      <c r="AG22" s="1171"/>
      <c r="AH22" s="104"/>
      <c r="AI22" s="1172"/>
      <c r="AJ22" s="1172"/>
      <c r="AK22" s="1172"/>
      <c r="AL22" s="1173"/>
      <c r="AM22" s="1174"/>
      <c r="AN22" s="1175"/>
      <c r="AO22" s="1176"/>
      <c r="AP22" s="1177"/>
      <c r="AQ22" s="1547"/>
      <c r="AR22" s="1177"/>
      <c r="AS22" s="1548"/>
      <c r="AT22" s="1549"/>
      <c r="AU22" s="1178"/>
      <c r="AV22" s="1179"/>
      <c r="AY22" s="3">
        <v>1</v>
      </c>
    </row>
    <row r="23" spans="2:51" ht="27" customHeight="1">
      <c r="B23" s="104" t="str">
        <f t="shared" si="3"/>
        <v>A</v>
      </c>
      <c r="C23" s="32" t="str">
        <f>C16</f>
        <v>O OUR BLACK PUDDING | |  Author &gt; Guy KRENZE - Eric GODDYN - Arnaud NICOLAS - CEPROC 2002</v>
      </c>
      <c r="D23" s="33">
        <f>D16</f>
        <v>16.34</v>
      </c>
      <c r="E23" s="32" t="str">
        <f>E16</f>
        <v>Kg</v>
      </c>
      <c r="F23" s="34" t="str">
        <f>F16</f>
        <v>Master recipe ► Black pudding in 4 variations</v>
      </c>
      <c r="G23" s="92"/>
      <c r="H23" s="108"/>
      <c r="I23" s="94" t="str">
        <f t="shared" si="2"/>
        <v/>
      </c>
      <c r="J23" s="5110">
        <v>1.5</v>
      </c>
      <c r="K23" s="140" t="s">
        <v>143</v>
      </c>
      <c r="L23" s="127">
        <v>1</v>
      </c>
      <c r="M23" s="920" t="s">
        <v>13142</v>
      </c>
      <c r="N23" s="1495">
        <f>IF(OR(ISBLANK(G14),N14=0),0,G23*L15)</f>
        <v>0</v>
      </c>
      <c r="O23" s="101">
        <f>IFERROR(_xlfn.LET(_xlpm.v,IFERROR(_xlfn.XLOOKUP(K23,G57:P57,G58:P58),_xlfn.XLOOKUP(K23,G59:P59,G60:P60)),_xlpm.v*J23*L23*L15*IF(ISBLANK(G23),1,G23)),0)</f>
        <v>0.45899632802937573</v>
      </c>
      <c r="P23" s="1475" t="str">
        <f>_xlfn.LET(_xlpm.unite,SUBSTITUTE(TRIM(K23)," (s)",""),_xlpm.val,O23,_xlpm.estVol,COUNTIF(J57:P57,_xlpm.unite)+COUNTIF(J59:P59,_xlpm.unite)&gt;0,_xlpm.estPoids,COUNTIF(G57:I57,_xlpm.unite)+COUNTIF(G59:I59,_xlpm.unite)&gt;0,IF(_xlpm.estVol,IF(ROUND(_xlpm.val,3)&gt;=1,ROUND(_xlpm.val,3)&amp;" L",MAX(1,ROUND(_xlpm.val*100,0))&amp;" cl"),IF(_xlpm.estPoids,IF(ROUND(_xlpm.val,3)&gt;=1,ROUND(_xlpm.val,3)&amp;" Kg",MAX(1,ROUND(_xlpm.val*1000,0))&amp;" g"),"")))</f>
        <v>459 g</v>
      </c>
      <c r="Q23" s="1171"/>
      <c r="R23" s="104"/>
      <c r="S23" s="1172"/>
      <c r="T23" s="1172"/>
      <c r="U23" s="1172"/>
      <c r="V23" s="1173"/>
      <c r="W23" s="1174"/>
      <c r="X23" s="1175"/>
      <c r="Y23" s="1176"/>
      <c r="Z23" s="1177"/>
      <c r="AA23" s="1547"/>
      <c r="AB23" s="1177"/>
      <c r="AC23" s="1548"/>
      <c r="AD23" s="1549"/>
      <c r="AE23" s="1178"/>
      <c r="AF23" s="1179"/>
      <c r="AG23" s="1171"/>
      <c r="AH23" s="104"/>
      <c r="AI23" s="1172"/>
      <c r="AJ23" s="1172"/>
      <c r="AK23" s="1172"/>
      <c r="AL23" s="1173"/>
      <c r="AM23" s="1174"/>
      <c r="AN23" s="1175"/>
      <c r="AO23" s="1176"/>
      <c r="AP23" s="1177"/>
      <c r="AQ23" s="1547"/>
      <c r="AR23" s="1177"/>
      <c r="AS23" s="1548"/>
      <c r="AT23" s="1549"/>
      <c r="AU23" s="1178"/>
      <c r="AV23" s="1179"/>
      <c r="AY23" s="3">
        <v>1</v>
      </c>
    </row>
    <row r="24" spans="2:51" ht="27" customHeight="1">
      <c r="B24" s="104" t="str">
        <f t="shared" si="3"/>
        <v>A</v>
      </c>
      <c r="C24" s="32" t="str">
        <f>C16</f>
        <v>O OUR BLACK PUDDING | |  Author &gt; Guy KRENZE - Eric GODDYN - Arnaud NICOLAS - CEPROC 2002</v>
      </c>
      <c r="D24" s="33">
        <f>D16</f>
        <v>16.34</v>
      </c>
      <c r="E24" s="32" t="str">
        <f>E16</f>
        <v>Kg</v>
      </c>
      <c r="F24" s="34" t="str">
        <f>F16</f>
        <v>Master recipe ► Black pudding in 4 variations</v>
      </c>
      <c r="G24" s="92"/>
      <c r="H24" s="108"/>
      <c r="I24" s="94" t="str">
        <f t="shared" si="2"/>
        <v/>
      </c>
      <c r="J24" s="5110">
        <v>1.5</v>
      </c>
      <c r="K24" s="140" t="s">
        <v>143</v>
      </c>
      <c r="L24" s="127">
        <v>1</v>
      </c>
      <c r="M24" s="920" t="s">
        <v>13143</v>
      </c>
      <c r="N24" s="1495">
        <f>IF(OR(ISBLANK(G14),N14=0),0,G24*L15)</f>
        <v>0</v>
      </c>
      <c r="O24" s="101">
        <f>IFERROR(_xlfn.LET(_xlpm.v,IFERROR(_xlfn.XLOOKUP(K24,G57:P57,G58:P58),_xlfn.XLOOKUP(K24,G59:P59,G60:P60)),_xlpm.v*J24*L24*L15*IF(ISBLANK(G24),1,G24)),0)</f>
        <v>0.45899632802937573</v>
      </c>
      <c r="P24" s="1476" t="str">
        <f>_xlfn.LET(_xlpm.unite,SUBSTITUTE(TRIM(K24)," (s)",""),_xlpm.val,O24,_xlpm.estVol,COUNTIF(J57:P57,_xlpm.unite)+COUNTIF(J59:P59,_xlpm.unite)&gt;0,_xlpm.estPoids,COUNTIF(G57:I57,_xlpm.unite)+COUNTIF(G59:I59,_xlpm.unite)&gt;0,IF(_xlpm.estVol,IF(ROUND(_xlpm.val,3)&gt;=1,ROUND(_xlpm.val,3)&amp;" L",MAX(1,ROUND(_xlpm.val*100,0))&amp;" cl"),IF(_xlpm.estPoids,IF(ROUND(_xlpm.val,3)&gt;=1,ROUND(_xlpm.val,3)&amp;" Kg",MAX(1,ROUND(_xlpm.val*1000,0))&amp;" g"),"")))</f>
        <v>459 g</v>
      </c>
      <c r="Q24" s="1171"/>
      <c r="R24" s="104"/>
      <c r="S24" s="1172"/>
      <c r="T24" s="1172"/>
      <c r="U24" s="1172"/>
      <c r="V24" s="1173"/>
      <c r="W24" s="1174"/>
      <c r="X24" s="1175"/>
      <c r="Y24" s="1176"/>
      <c r="Z24" s="1177"/>
      <c r="AA24" s="1547"/>
      <c r="AB24" s="1177"/>
      <c r="AC24" s="1548"/>
      <c r="AD24" s="1549"/>
      <c r="AE24" s="1178"/>
      <c r="AF24" s="1179"/>
      <c r="AG24" s="1171"/>
      <c r="AH24" s="104"/>
      <c r="AI24" s="1172"/>
      <c r="AJ24" s="1172"/>
      <c r="AK24" s="1172"/>
      <c r="AL24" s="1173"/>
      <c r="AM24" s="1174"/>
      <c r="AN24" s="1175"/>
      <c r="AO24" s="1176"/>
      <c r="AP24" s="1177"/>
      <c r="AQ24" s="1547"/>
      <c r="AR24" s="1177"/>
      <c r="AS24" s="1548"/>
      <c r="AT24" s="1549"/>
      <c r="AU24" s="1178"/>
      <c r="AV24" s="1179"/>
      <c r="AY24" s="3">
        <v>1</v>
      </c>
    </row>
    <row r="25" spans="2:51" ht="27" customHeight="1">
      <c r="B25" s="104" t="str">
        <f t="shared" si="3"/>
        <v>A</v>
      </c>
      <c r="C25" s="32" t="str">
        <f>C16</f>
        <v>O OUR BLACK PUDDING | |  Author &gt; Guy KRENZE - Eric GODDYN - Arnaud NICOLAS - CEPROC 2002</v>
      </c>
      <c r="D25" s="33">
        <f>D16</f>
        <v>16.34</v>
      </c>
      <c r="E25" s="32" t="str">
        <f>E16</f>
        <v>Kg</v>
      </c>
      <c r="F25" s="34" t="str">
        <f>F16</f>
        <v>Master recipe ► Black pudding in 4 variations</v>
      </c>
      <c r="G25" s="92"/>
      <c r="H25" s="108"/>
      <c r="I25" s="94" t="str">
        <f t="shared" si="2"/>
        <v/>
      </c>
      <c r="J25" s="95">
        <v>500</v>
      </c>
      <c r="K25" s="105" t="s">
        <v>99</v>
      </c>
      <c r="L25" s="127">
        <v>1</v>
      </c>
      <c r="M25" s="920" t="s">
        <v>13144</v>
      </c>
      <c r="N25" s="1495">
        <f>IF(OR(ISBLANK(G14),N14=0),0,G25*L15)</f>
        <v>0</v>
      </c>
      <c r="O25" s="101">
        <f>IFERROR(_xlfn.LET(_xlpm.v,IFERROR(_xlfn.XLOOKUP(K25,G57:P57,G58:P58),_xlfn.XLOOKUP(K25,G59:P59,G60:P60)),_xlpm.v*J25*L25*L15*IF(ISBLANK(G25),1,G25)),0)</f>
        <v>0.15299877600979192</v>
      </c>
      <c r="P25" s="1475" t="str">
        <f>_xlfn.LET(_xlpm.unite,SUBSTITUTE(TRIM(K25)," (s)",""),_xlpm.val,O25,_xlpm.estVol,COUNTIF(J57:P57,_xlpm.unite)+COUNTIF(J59:P59,_xlpm.unite)&gt;0,_xlpm.estPoids,COUNTIF(G57:I57,_xlpm.unite)+COUNTIF(G59:I59,_xlpm.unite)&gt;0,IF(_xlpm.estVol,IF(ROUND(_xlpm.val,3)&gt;=1,ROUND(_xlpm.val,3)&amp;" L",MAX(1,ROUND(_xlpm.val*100,0))&amp;" cl"),IF(_xlpm.estPoids,IF(ROUND(_xlpm.val,3)&gt;=1,ROUND(_xlpm.val,3)&amp;" Kg",MAX(1,ROUND(_xlpm.val*1000,0))&amp;" g"),"")))</f>
        <v>153 g</v>
      </c>
      <c r="Q25" s="1171"/>
      <c r="R25" s="104"/>
      <c r="S25" s="1172"/>
      <c r="T25" s="1172"/>
      <c r="U25" s="1172"/>
      <c r="V25" s="1173"/>
      <c r="W25" s="1174"/>
      <c r="X25" s="1175"/>
      <c r="Y25" s="1176"/>
      <c r="Z25" s="1177"/>
      <c r="AA25" s="1547"/>
      <c r="AB25" s="1177"/>
      <c r="AC25" s="1548"/>
      <c r="AD25" s="1549"/>
      <c r="AE25" s="1178"/>
      <c r="AF25" s="1179"/>
      <c r="AG25" s="1171"/>
      <c r="AH25" s="104"/>
      <c r="AI25" s="1172"/>
      <c r="AJ25" s="1172"/>
      <c r="AK25" s="1172"/>
      <c r="AL25" s="1173"/>
      <c r="AM25" s="1174"/>
      <c r="AN25" s="1175"/>
      <c r="AO25" s="1176"/>
      <c r="AP25" s="1177"/>
      <c r="AQ25" s="1547"/>
      <c r="AR25" s="1177"/>
      <c r="AS25" s="1548"/>
      <c r="AT25" s="1549"/>
      <c r="AU25" s="1178"/>
      <c r="AV25" s="1179"/>
      <c r="AY25" s="3">
        <v>1</v>
      </c>
    </row>
    <row r="26" spans="2:51" ht="27" customHeight="1">
      <c r="B26" s="104" t="str">
        <f t="shared" si="3"/>
        <v>A</v>
      </c>
      <c r="C26" s="32" t="str">
        <f>C16</f>
        <v>O OUR BLACK PUDDING | |  Author &gt; Guy KRENZE - Eric GODDYN - Arnaud NICOLAS - CEPROC 2002</v>
      </c>
      <c r="D26" s="33">
        <f>D16</f>
        <v>16.34</v>
      </c>
      <c r="E26" s="32" t="str">
        <f>E16</f>
        <v>Kg</v>
      </c>
      <c r="F26" s="34" t="str">
        <f>F16</f>
        <v>Master recipe ► Black pudding in 4 variations</v>
      </c>
      <c r="G26" s="92"/>
      <c r="H26" s="108"/>
      <c r="I26" s="94" t="str">
        <f t="shared" si="2"/>
        <v/>
      </c>
      <c r="J26" s="95">
        <v>80</v>
      </c>
      <c r="K26" s="105" t="s">
        <v>99</v>
      </c>
      <c r="L26" s="127">
        <v>1</v>
      </c>
      <c r="M26" s="920" t="s">
        <v>13145</v>
      </c>
      <c r="N26" s="1495">
        <f>IF(OR(ISBLANK(G14),N14=0),0,G26*L15)</f>
        <v>0</v>
      </c>
      <c r="O26" s="101">
        <f>IFERROR(_xlfn.LET(_xlpm.v,IFERROR(_xlfn.XLOOKUP(K26,G57:P57,G58:P58),_xlfn.XLOOKUP(K26,G59:P59,G60:P60)),_xlpm.v*J26*L26*L15*IF(ISBLANK(G26),1,G26)),0)</f>
        <v>2.4479804161566709E-2</v>
      </c>
      <c r="P26" s="1476" t="str">
        <f>_xlfn.LET(_xlpm.unite,SUBSTITUTE(TRIM(K26)," (s)",""),_xlpm.val,O26,_xlpm.estVol,COUNTIF(J57:P57,_xlpm.unite)+COUNTIF(J59:P59,_xlpm.unite)&gt;0,_xlpm.estPoids,COUNTIF(G57:I57,_xlpm.unite)+COUNTIF(G59:I59,_xlpm.unite)&gt;0,IF(_xlpm.estVol,IF(ROUND(_xlpm.val,3)&gt;=1,ROUND(_xlpm.val,3)&amp;" L",MAX(1,ROUND(_xlpm.val*100,0))&amp;" cl"),IF(_xlpm.estPoids,IF(ROUND(_xlpm.val,3)&gt;=1,ROUND(_xlpm.val,3)&amp;" Kg",MAX(1,ROUND(_xlpm.val*1000,0))&amp;" g"),"")))</f>
        <v>24 g</v>
      </c>
      <c r="Q26" s="1171"/>
      <c r="R26" s="104"/>
      <c r="S26" s="1172"/>
      <c r="T26" s="1172"/>
      <c r="U26" s="1172"/>
      <c r="V26" s="1173"/>
      <c r="W26" s="1174"/>
      <c r="X26" s="1175"/>
      <c r="Y26" s="1176"/>
      <c r="Z26" s="1177"/>
      <c r="AA26" s="1547"/>
      <c r="AB26" s="1177"/>
      <c r="AC26" s="1548"/>
      <c r="AD26" s="1549"/>
      <c r="AE26" s="1178"/>
      <c r="AF26" s="1179"/>
      <c r="AG26" s="1171"/>
      <c r="AH26" s="104"/>
      <c r="AI26" s="1172"/>
      <c r="AJ26" s="1172"/>
      <c r="AK26" s="1172"/>
      <c r="AL26" s="1173"/>
      <c r="AM26" s="1174"/>
      <c r="AN26" s="1175"/>
      <c r="AO26" s="1176"/>
      <c r="AP26" s="1177"/>
      <c r="AQ26" s="1547"/>
      <c r="AR26" s="1177"/>
      <c r="AS26" s="1548"/>
      <c r="AT26" s="1549"/>
      <c r="AU26" s="1178"/>
      <c r="AV26" s="1179"/>
      <c r="AY26" s="3">
        <v>1</v>
      </c>
    </row>
    <row r="27" spans="2:51" ht="27" customHeight="1">
      <c r="B27" s="104" t="str">
        <f t="shared" si="3"/>
        <v>A</v>
      </c>
      <c r="C27" s="32" t="str">
        <f>C16</f>
        <v>O OUR BLACK PUDDING | |  Author &gt; Guy KRENZE - Eric GODDYN - Arnaud NICOLAS - CEPROC 2002</v>
      </c>
      <c r="D27" s="33">
        <f>D16</f>
        <v>16.34</v>
      </c>
      <c r="E27" s="32" t="str">
        <f>E16</f>
        <v>Kg</v>
      </c>
      <c r="F27" s="34" t="str">
        <f>F16</f>
        <v>Master recipe ► Black pudding in 4 variations</v>
      </c>
      <c r="G27" s="92"/>
      <c r="H27" s="108"/>
      <c r="I27" s="94" t="str">
        <f t="shared" si="2"/>
        <v/>
      </c>
      <c r="J27" s="95">
        <v>50</v>
      </c>
      <c r="K27" s="105" t="s">
        <v>99</v>
      </c>
      <c r="L27" s="127">
        <v>1</v>
      </c>
      <c r="M27" s="920" t="s">
        <v>13146</v>
      </c>
      <c r="N27" s="1495">
        <f>IF(OR(ISBLANK(G14),N14=0),0,G27*L15)</f>
        <v>0</v>
      </c>
      <c r="O27" s="101">
        <f>IFERROR(_xlfn.LET(_xlpm.v,IFERROR(_xlfn.XLOOKUP(K27,G57:P57,G58:P58),_xlfn.XLOOKUP(K27,G59:P59,G60:P60)),_xlpm.v*J27*L27*L15*IF(ISBLANK(G27),1,G27)),0)</f>
        <v>1.5299877600979193E-2</v>
      </c>
      <c r="P27" s="1475" t="str">
        <f>_xlfn.LET(_xlpm.unite,SUBSTITUTE(TRIM(K27)," (s)",""),_xlpm.val,O27,_xlpm.estVol,COUNTIF(J57:P57,_xlpm.unite)+COUNTIF(J59:P59,_xlpm.unite)&gt;0,_xlpm.estPoids,COUNTIF(G57:I57,_xlpm.unite)+COUNTIF(G59:I59,_xlpm.unite)&gt;0,IF(_xlpm.estVol,IF(ROUND(_xlpm.val,3)&gt;=1,ROUND(_xlpm.val,3)&amp;" L",MAX(1,ROUND(_xlpm.val*100,0))&amp;" cl"),IF(_xlpm.estPoids,IF(ROUND(_xlpm.val,3)&gt;=1,ROUND(_xlpm.val,3)&amp;" Kg",MAX(1,ROUND(_xlpm.val*1000,0))&amp;" g"),"")))</f>
        <v>15 g</v>
      </c>
      <c r="Q27" s="1171"/>
      <c r="R27" s="104"/>
      <c r="S27" s="1172"/>
      <c r="T27" s="1172"/>
      <c r="U27" s="1172"/>
      <c r="V27" s="1173"/>
      <c r="W27" s="1174"/>
      <c r="X27" s="1175"/>
      <c r="Y27" s="1176"/>
      <c r="Z27" s="1177"/>
      <c r="AA27" s="1547"/>
      <c r="AB27" s="1177"/>
      <c r="AC27" s="1548"/>
      <c r="AD27" s="1549"/>
      <c r="AE27" s="1178"/>
      <c r="AF27" s="1179"/>
      <c r="AG27" s="1171"/>
      <c r="AH27" s="104"/>
      <c r="AI27" s="1172"/>
      <c r="AJ27" s="1172"/>
      <c r="AK27" s="1172"/>
      <c r="AL27" s="1173"/>
      <c r="AM27" s="1174"/>
      <c r="AN27" s="1175"/>
      <c r="AO27" s="1176"/>
      <c r="AP27" s="1177"/>
      <c r="AQ27" s="1547"/>
      <c r="AR27" s="1177"/>
      <c r="AS27" s="1548"/>
      <c r="AT27" s="1549"/>
      <c r="AU27" s="1178"/>
      <c r="AV27" s="1179"/>
      <c r="AY27" s="3">
        <v>1</v>
      </c>
    </row>
    <row r="28" spans="2:51" ht="27" customHeight="1">
      <c r="B28" s="104" t="str">
        <f t="shared" si="3"/>
        <v>A</v>
      </c>
      <c r="C28" s="32" t="str">
        <f>C16</f>
        <v>O OUR BLACK PUDDING | |  Author &gt; Guy KRENZE - Eric GODDYN - Arnaud NICOLAS - CEPROC 2002</v>
      </c>
      <c r="D28" s="33">
        <f>D16</f>
        <v>16.34</v>
      </c>
      <c r="E28" s="32" t="str">
        <f>E16</f>
        <v>Kg</v>
      </c>
      <c r="F28" s="34" t="str">
        <f>F16</f>
        <v>Master recipe ► Black pudding in 4 variations</v>
      </c>
      <c r="G28" s="92"/>
      <c r="H28" s="108"/>
      <c r="I28" s="94" t="str">
        <f t="shared" si="2"/>
        <v/>
      </c>
      <c r="J28" s="95">
        <v>7</v>
      </c>
      <c r="K28" s="105" t="s">
        <v>99</v>
      </c>
      <c r="L28" s="127">
        <v>1</v>
      </c>
      <c r="M28" s="920" t="s">
        <v>13147</v>
      </c>
      <c r="N28" s="1495">
        <f>IF(OR(ISBLANK(G14),N14=0),0,G28*L15)</f>
        <v>0</v>
      </c>
      <c r="O28" s="101">
        <f>IFERROR(_xlfn.LET(_xlpm.v,IFERROR(_xlfn.XLOOKUP(K28,G57:P57,G58:P58),_xlfn.XLOOKUP(K28,G59:P59,G60:P60)),_xlpm.v*J28*L28*L15*IF(ISBLANK(G28),1,G28)),0)</f>
        <v>2.1419828641370867E-3</v>
      </c>
      <c r="P28" s="1476" t="str">
        <f>_xlfn.LET(_xlpm.unite,SUBSTITUTE(TRIM(K28)," (s)",""),_xlpm.val,O28,_xlpm.estVol,COUNTIF(J57:P57,_xlpm.unite)+COUNTIF(J59:P59,_xlpm.unite)&gt;0,_xlpm.estPoids,COUNTIF(G57:I57,_xlpm.unite)+COUNTIF(G59:I59,_xlpm.unite)&gt;0,IF(_xlpm.estVol,IF(ROUND(_xlpm.val,3)&gt;=1,ROUND(_xlpm.val,3)&amp;" L",MAX(1,ROUND(_xlpm.val*100,0))&amp;" cl"),IF(_xlpm.estPoids,IF(ROUND(_xlpm.val,3)&gt;=1,ROUND(_xlpm.val,3)&amp;" Kg",MAX(1,ROUND(_xlpm.val*1000,0))&amp;" g"),"")))</f>
        <v>2 g</v>
      </c>
      <c r="Q28" s="1171"/>
      <c r="R28" s="104"/>
      <c r="S28" s="1172"/>
      <c r="T28" s="1172"/>
      <c r="U28" s="1172"/>
      <c r="V28" s="1173"/>
      <c r="W28" s="1174"/>
      <c r="X28" s="1175"/>
      <c r="Y28" s="1176"/>
      <c r="Z28" s="1177"/>
      <c r="AA28" s="1547"/>
      <c r="AB28" s="1177"/>
      <c r="AC28" s="1548"/>
      <c r="AD28" s="1549"/>
      <c r="AE28" s="1178"/>
      <c r="AF28" s="1179"/>
      <c r="AG28" s="1171"/>
      <c r="AH28" s="104"/>
      <c r="AI28" s="1172"/>
      <c r="AJ28" s="1172"/>
      <c r="AK28" s="1172"/>
      <c r="AL28" s="1173"/>
      <c r="AM28" s="1174"/>
      <c r="AN28" s="1175"/>
      <c r="AO28" s="1176"/>
      <c r="AP28" s="1177"/>
      <c r="AQ28" s="1547"/>
      <c r="AR28" s="1177"/>
      <c r="AS28" s="1548"/>
      <c r="AT28" s="1549"/>
      <c r="AU28" s="1178"/>
      <c r="AV28" s="1179"/>
      <c r="AY28" s="3">
        <v>1</v>
      </c>
    </row>
    <row r="29" spans="2:51" ht="27" customHeight="1">
      <c r="B29" s="104" t="str">
        <f t="shared" si="3"/>
        <v>A</v>
      </c>
      <c r="C29" s="32" t="str">
        <f>C16</f>
        <v>O OUR BLACK PUDDING | |  Author &gt; Guy KRENZE - Eric GODDYN - Arnaud NICOLAS - CEPROC 2002</v>
      </c>
      <c r="D29" s="33">
        <f>D16</f>
        <v>16.34</v>
      </c>
      <c r="E29" s="32" t="str">
        <f>E16</f>
        <v>Kg</v>
      </c>
      <c r="F29" s="34" t="str">
        <f>F16</f>
        <v>Master recipe ► Black pudding in 4 variations</v>
      </c>
      <c r="G29" s="92"/>
      <c r="H29" s="108"/>
      <c r="I29" s="94" t="str">
        <f t="shared" si="2"/>
        <v/>
      </c>
      <c r="J29" s="95">
        <v>150</v>
      </c>
      <c r="K29" s="105" t="s">
        <v>99</v>
      </c>
      <c r="L29" s="127">
        <v>1</v>
      </c>
      <c r="M29" s="920" t="s">
        <v>13148</v>
      </c>
      <c r="N29" s="1495">
        <f>IF(OR(ISBLANK(G14),N14=0),0,G29*L15)</f>
        <v>0</v>
      </c>
      <c r="O29" s="101">
        <f>IFERROR(_xlfn.LET(_xlpm.v,IFERROR(_xlfn.XLOOKUP(K29,G57:P57,G58:P58),_xlfn.XLOOKUP(K29,G59:P59,G60:P60)),_xlpm.v*J29*L29*L15*IF(ISBLANK(G29),1,G29)),0)</f>
        <v>4.5899632802937573E-2</v>
      </c>
      <c r="P29" s="1475" t="str">
        <f>_xlfn.LET(_xlpm.unite,SUBSTITUTE(TRIM(K29)," (s)",""),_xlpm.val,O29,_xlpm.estVol,COUNTIF(J57:P57,_xlpm.unite)+COUNTIF(J59:P59,_xlpm.unite)&gt;0,_xlpm.estPoids,COUNTIF(G57:I57,_xlpm.unite)+COUNTIF(G59:I59,_xlpm.unite)&gt;0,IF(_xlpm.estVol,IF(ROUND(_xlpm.val,3)&gt;=1,ROUND(_xlpm.val,3)&amp;" L",MAX(1,ROUND(_xlpm.val*100,0))&amp;" cl"),IF(_xlpm.estPoids,IF(ROUND(_xlpm.val,3)&gt;=1,ROUND(_xlpm.val,3)&amp;" Kg",MAX(1,ROUND(_xlpm.val*1000,0))&amp;" g"),"")))</f>
        <v>46 g</v>
      </c>
      <c r="Q29" s="1171"/>
      <c r="R29" s="104"/>
      <c r="S29" s="1172"/>
      <c r="T29" s="1172"/>
      <c r="U29" s="1172"/>
      <c r="V29" s="1173"/>
      <c r="W29" s="1174"/>
      <c r="X29" s="1175"/>
      <c r="Y29" s="1176"/>
      <c r="Z29" s="1177"/>
      <c r="AA29" s="1547"/>
      <c r="AB29" s="1177"/>
      <c r="AC29" s="1548"/>
      <c r="AD29" s="1549"/>
      <c r="AE29" s="1178"/>
      <c r="AF29" s="1179"/>
      <c r="AG29" s="1171"/>
      <c r="AH29" s="104"/>
      <c r="AI29" s="1172"/>
      <c r="AJ29" s="1172"/>
      <c r="AK29" s="1172"/>
      <c r="AL29" s="1173"/>
      <c r="AM29" s="1174"/>
      <c r="AN29" s="1175"/>
      <c r="AO29" s="1176"/>
      <c r="AP29" s="1177"/>
      <c r="AQ29" s="1547"/>
      <c r="AR29" s="1177"/>
      <c r="AS29" s="1548"/>
      <c r="AT29" s="1549"/>
      <c r="AU29" s="1178"/>
      <c r="AV29" s="1179"/>
      <c r="AY29" s="3">
        <v>1</v>
      </c>
    </row>
    <row r="30" spans="2:51" ht="27" customHeight="1">
      <c r="B30" s="104" t="str">
        <f t="shared" si="3"/>
        <v>A</v>
      </c>
      <c r="C30" s="32" t="str">
        <f>C16</f>
        <v>O OUR BLACK PUDDING | |  Author &gt; Guy KRENZE - Eric GODDYN - Arnaud NICOLAS - CEPROC 2002</v>
      </c>
      <c r="D30" s="33">
        <f>D16</f>
        <v>16.34</v>
      </c>
      <c r="E30" s="32" t="str">
        <f>E16</f>
        <v>Kg</v>
      </c>
      <c r="F30" s="34" t="str">
        <f>F16</f>
        <v>Master recipe ► Black pudding in 4 variations</v>
      </c>
      <c r="G30" s="92"/>
      <c r="H30" s="108"/>
      <c r="I30" s="94" t="str">
        <f t="shared" si="2"/>
        <v/>
      </c>
      <c r="J30" s="95">
        <v>220</v>
      </c>
      <c r="K30" s="105" t="s">
        <v>99</v>
      </c>
      <c r="L30" s="127">
        <v>1</v>
      </c>
      <c r="M30" s="920" t="s">
        <v>13149</v>
      </c>
      <c r="N30" s="1495">
        <f>IF(OR(ISBLANK(G14),N14=0),0,G30*L15)</f>
        <v>0</v>
      </c>
      <c r="O30" s="101">
        <f>IFERROR(_xlfn.LET(_xlpm.v,IFERROR(_xlfn.XLOOKUP(K30,G57:P57,G58:P58),_xlfn.XLOOKUP(K30,G59:P59,G60:P60)),_xlpm.v*J30*L30*L15*IF(ISBLANK(G30),1,G30)),0)</f>
        <v>6.7319461444308448E-2</v>
      </c>
      <c r="P30" s="1476" t="str">
        <f>_xlfn.LET(_xlpm.unite,SUBSTITUTE(TRIM(K30)," (s)",""),_xlpm.val,O30,_xlpm.estVol,COUNTIF(J57:P57,_xlpm.unite)+COUNTIF(J59:P59,_xlpm.unite)&gt;0,_xlpm.estPoids,COUNTIF(G57:I57,_xlpm.unite)+COUNTIF(G59:I59,_xlpm.unite)&gt;0,IF(_xlpm.estVol,IF(ROUND(_xlpm.val,3)&gt;=1,ROUND(_xlpm.val,3)&amp;" L",MAX(1,ROUND(_xlpm.val*100,0))&amp;" cl"),IF(_xlpm.estPoids,IF(ROUND(_xlpm.val,3)&gt;=1,ROUND(_xlpm.val,3)&amp;" Kg",MAX(1,ROUND(_xlpm.val*1000,0))&amp;" g"),"")))</f>
        <v>67 g</v>
      </c>
      <c r="Q30" s="1171"/>
      <c r="R30" s="104"/>
      <c r="S30" s="1172"/>
      <c r="T30" s="1172"/>
      <c r="U30" s="1172"/>
      <c r="V30" s="1173"/>
      <c r="W30" s="1174"/>
      <c r="X30" s="1175"/>
      <c r="Y30" s="1176"/>
      <c r="Z30" s="1177"/>
      <c r="AA30" s="1547"/>
      <c r="AB30" s="1177"/>
      <c r="AC30" s="1548"/>
      <c r="AD30" s="1549"/>
      <c r="AE30" s="1178"/>
      <c r="AF30" s="1179"/>
      <c r="AG30" s="1171"/>
      <c r="AH30" s="104"/>
      <c r="AI30" s="1172"/>
      <c r="AJ30" s="1172"/>
      <c r="AK30" s="1172"/>
      <c r="AL30" s="1173"/>
      <c r="AM30" s="1174"/>
      <c r="AN30" s="1175"/>
      <c r="AO30" s="1176"/>
      <c r="AP30" s="1177"/>
      <c r="AQ30" s="1547"/>
      <c r="AR30" s="1177"/>
      <c r="AS30" s="1548"/>
      <c r="AT30" s="1549"/>
      <c r="AU30" s="1178"/>
      <c r="AV30" s="1179"/>
      <c r="AY30" s="3">
        <v>1</v>
      </c>
    </row>
    <row r="31" spans="2:51" ht="27" customHeight="1">
      <c r="B31" s="104" t="str">
        <f t="shared" si="3"/>
        <v>A</v>
      </c>
      <c r="C31" s="32" t="str">
        <f>C16</f>
        <v>O OUR BLACK PUDDING | |  Author &gt; Guy KRENZE - Eric GODDYN - Arnaud NICOLAS - CEPROC 2002</v>
      </c>
      <c r="D31" s="33">
        <f>D16</f>
        <v>16.34</v>
      </c>
      <c r="E31" s="32" t="str">
        <f>E16</f>
        <v>Kg</v>
      </c>
      <c r="F31" s="34" t="str">
        <f>F16</f>
        <v>Master recipe ► Black pudding in 4 variations</v>
      </c>
      <c r="G31" s="92"/>
      <c r="H31" s="108"/>
      <c r="I31" s="94" t="str">
        <f t="shared" si="2"/>
        <v/>
      </c>
      <c r="J31" s="95"/>
      <c r="K31" s="5111"/>
      <c r="L31" s="127">
        <v>1</v>
      </c>
      <c r="M31" s="5152" t="s">
        <v>13172</v>
      </c>
      <c r="N31" s="5153"/>
      <c r="O31" s="5127">
        <f>ROUND(SUM(O20:O30)*18/1000,3)</f>
        <v>8.7999999999999995E-2</v>
      </c>
      <c r="P31" s="5154">
        <f>O31*1000</f>
        <v>88</v>
      </c>
      <c r="Q31" s="1171"/>
      <c r="R31" s="104"/>
      <c r="S31" s="1172"/>
      <c r="T31" s="1172"/>
      <c r="U31" s="1172"/>
      <c r="V31" s="1173"/>
      <c r="W31" s="1174"/>
      <c r="X31" s="1175"/>
      <c r="Y31" s="1176"/>
      <c r="Z31" s="1177"/>
      <c r="AA31" s="1547"/>
      <c r="AB31" s="1177"/>
      <c r="AC31" s="1548"/>
      <c r="AD31" s="1549"/>
      <c r="AE31" s="1178"/>
      <c r="AF31" s="1179"/>
      <c r="AG31" s="1171"/>
      <c r="AH31" s="104"/>
      <c r="AI31" s="1172"/>
      <c r="AJ31" s="1172"/>
      <c r="AK31" s="1172"/>
      <c r="AL31" s="1173"/>
      <c r="AM31" s="1174"/>
      <c r="AN31" s="1175"/>
      <c r="AO31" s="1176"/>
      <c r="AP31" s="1177"/>
      <c r="AQ31" s="1547"/>
      <c r="AR31" s="1177"/>
      <c r="AS31" s="1548"/>
      <c r="AT31" s="1549"/>
      <c r="AU31" s="1178"/>
      <c r="AV31" s="1179"/>
      <c r="AY31" s="3">
        <v>1</v>
      </c>
    </row>
    <row r="32" spans="2:51" ht="27" customHeight="1">
      <c r="B32" s="104" t="str">
        <f t="shared" si="3"/>
        <v>A</v>
      </c>
      <c r="C32" s="32" t="str">
        <f>C16</f>
        <v>O OUR BLACK PUDDING | |  Author &gt; Guy KRENZE - Eric GODDYN - Arnaud NICOLAS - CEPROC 2002</v>
      </c>
      <c r="D32" s="33">
        <f>D16</f>
        <v>16.34</v>
      </c>
      <c r="E32" s="32" t="str">
        <f>E16</f>
        <v>Kg</v>
      </c>
      <c r="F32" s="34" t="str">
        <f>F16</f>
        <v>Master recipe ► Black pudding in 4 variations</v>
      </c>
      <c r="G32" s="92"/>
      <c r="H32" s="108"/>
      <c r="I32" s="94" t="str">
        <f t="shared" si="2"/>
        <v/>
      </c>
      <c r="J32" s="95"/>
      <c r="K32" s="126"/>
      <c r="L32" s="127">
        <v>1</v>
      </c>
      <c r="M32" s="5155" t="str">
        <f>"Total "&amp;TEXT(SUM(O20:O30),"#,##0.00")&amp;" kg × 18 g/kg = "&amp;TEXT(ROUND(SUM(O20:O30)*18,0),"0")&amp;" g"&amp;" de sel"</f>
        <v>Total ,4.90 kg × 18 g/kg = 88 g de sel</v>
      </c>
      <c r="N32" s="5153"/>
      <c r="O32" s="5156"/>
      <c r="P32" s="5157"/>
      <c r="Q32" s="1171"/>
      <c r="R32" s="104"/>
      <c r="S32" s="1172"/>
      <c r="T32" s="1172"/>
      <c r="U32" s="1172"/>
      <c r="V32" s="1173"/>
      <c r="W32" s="1174"/>
      <c r="X32" s="1175"/>
      <c r="Y32" s="1176"/>
      <c r="Z32" s="1177"/>
      <c r="AA32" s="1547"/>
      <c r="AB32" s="1177"/>
      <c r="AC32" s="1548"/>
      <c r="AD32" s="1549"/>
      <c r="AE32" s="1178"/>
      <c r="AF32" s="1179"/>
      <c r="AG32" s="1171"/>
      <c r="AH32" s="104"/>
      <c r="AI32" s="1172"/>
      <c r="AJ32" s="1172"/>
      <c r="AK32" s="1172"/>
      <c r="AL32" s="1173"/>
      <c r="AM32" s="1174"/>
      <c r="AN32" s="1175"/>
      <c r="AO32" s="1176"/>
      <c r="AP32" s="1177"/>
      <c r="AQ32" s="1547"/>
      <c r="AR32" s="1177"/>
      <c r="AS32" s="1548"/>
      <c r="AT32" s="1549"/>
      <c r="AU32" s="1178"/>
      <c r="AV32" s="1179"/>
      <c r="AY32" s="3">
        <v>1</v>
      </c>
    </row>
    <row r="33" spans="2:51" ht="27" customHeight="1">
      <c r="B33" s="104" t="str">
        <f t="shared" si="3"/>
        <v>►</v>
      </c>
      <c r="C33" s="32" t="str">
        <f>C16</f>
        <v>O OUR BLACK PUDDING | |  Author &gt; Guy KRENZE - Eric GODDYN - Arnaud NICOLAS - CEPROC 2002</v>
      </c>
      <c r="D33" s="33">
        <f>D16</f>
        <v>16.34</v>
      </c>
      <c r="E33" s="32" t="str">
        <f>E16</f>
        <v>Kg</v>
      </c>
      <c r="F33" s="34" t="str">
        <f>F16</f>
        <v>Master recipe ► Black pudding in 4 variations</v>
      </c>
      <c r="G33" s="92"/>
      <c r="H33" s="108"/>
      <c r="I33" s="94" t="str">
        <f t="shared" si="2"/>
        <v/>
      </c>
      <c r="J33" s="95"/>
      <c r="K33" s="126"/>
      <c r="L33" s="127">
        <v>1</v>
      </c>
      <c r="M33" s="5158"/>
      <c r="N33" s="5153"/>
      <c r="O33" s="5156"/>
      <c r="P33" s="5157"/>
      <c r="Q33" s="1171"/>
      <c r="R33" s="104"/>
      <c r="S33" s="1172"/>
      <c r="T33" s="1172"/>
      <c r="U33" s="1172"/>
      <c r="V33" s="1173"/>
      <c r="W33" s="1174"/>
      <c r="X33" s="1175"/>
      <c r="Y33" s="1176"/>
      <c r="Z33" s="1177"/>
      <c r="AA33" s="1547"/>
      <c r="AB33" s="1177"/>
      <c r="AC33" s="1548"/>
      <c r="AD33" s="1549"/>
      <c r="AE33" s="1178"/>
      <c r="AF33" s="1179"/>
      <c r="AG33" s="1171"/>
      <c r="AH33" s="104"/>
      <c r="AI33" s="1172"/>
      <c r="AJ33" s="1172"/>
      <c r="AK33" s="1172"/>
      <c r="AL33" s="1173"/>
      <c r="AM33" s="1174"/>
      <c r="AN33" s="1175"/>
      <c r="AO33" s="1176"/>
      <c r="AP33" s="1177"/>
      <c r="AQ33" s="1547"/>
      <c r="AR33" s="1177"/>
      <c r="AS33" s="1548"/>
      <c r="AT33" s="1549"/>
      <c r="AU33" s="1178"/>
      <c r="AV33" s="1179"/>
      <c r="AY33" s="3">
        <v>1</v>
      </c>
    </row>
    <row r="34" spans="2:51" ht="27" customHeight="1">
      <c r="B34" s="104" t="str">
        <f t="shared" si="3"/>
        <v>A</v>
      </c>
      <c r="C34" s="32" t="str">
        <f>C16</f>
        <v>O OUR BLACK PUDDING | |  Author &gt; Guy KRENZE - Eric GODDYN - Arnaud NICOLAS - CEPROC 2002</v>
      </c>
      <c r="D34" s="33">
        <f>D16</f>
        <v>16.34</v>
      </c>
      <c r="E34" s="32" t="str">
        <f>E16</f>
        <v>Kg</v>
      </c>
      <c r="F34" s="34" t="str">
        <f>F16</f>
        <v>Master recipe ► Black pudding in 4 variations</v>
      </c>
      <c r="G34" s="92"/>
      <c r="H34" s="108"/>
      <c r="I34" s="94" t="str">
        <f t="shared" si="2"/>
        <v/>
      </c>
      <c r="J34" s="95"/>
      <c r="K34" s="126"/>
      <c r="L34" s="127">
        <v>1</v>
      </c>
      <c r="M34" s="5152" t="s">
        <v>13152</v>
      </c>
      <c r="N34" s="5153"/>
      <c r="O34" s="5127">
        <f>ROUND(SUM(O20:O30)*3/1000,3)</f>
        <v>1.4999999999999999E-2</v>
      </c>
      <c r="P34" s="5154">
        <f>O34*1000</f>
        <v>15</v>
      </c>
      <c r="Q34" s="1171"/>
      <c r="R34" s="104"/>
      <c r="S34" s="1172"/>
      <c r="T34" s="1172"/>
      <c r="U34" s="1172"/>
      <c r="V34" s="1173"/>
      <c r="W34" s="1174"/>
      <c r="X34" s="1175"/>
      <c r="Y34" s="1176"/>
      <c r="Z34" s="1177"/>
      <c r="AA34" s="1547"/>
      <c r="AB34" s="1177"/>
      <c r="AC34" s="1548"/>
      <c r="AD34" s="1549"/>
      <c r="AE34" s="1178"/>
      <c r="AF34" s="1179"/>
      <c r="AG34" s="1171"/>
      <c r="AH34" s="104"/>
      <c r="AI34" s="1172"/>
      <c r="AJ34" s="1172"/>
      <c r="AK34" s="1172"/>
      <c r="AL34" s="1173"/>
      <c r="AM34" s="1174"/>
      <c r="AN34" s="1175"/>
      <c r="AO34" s="1176"/>
      <c r="AP34" s="1177"/>
      <c r="AQ34" s="1547"/>
      <c r="AR34" s="1177"/>
      <c r="AS34" s="1548"/>
      <c r="AT34" s="1549"/>
      <c r="AU34" s="1178"/>
      <c r="AV34" s="1179"/>
      <c r="AY34" s="3">
        <v>1</v>
      </c>
    </row>
    <row r="35" spans="2:51" ht="27" customHeight="1">
      <c r="B35" s="104" t="str">
        <f t="shared" si="3"/>
        <v>A</v>
      </c>
      <c r="C35" s="32" t="str">
        <f>C16</f>
        <v>O OUR BLACK PUDDING | |  Author &gt; Guy KRENZE - Eric GODDYN - Arnaud NICOLAS - CEPROC 2002</v>
      </c>
      <c r="D35" s="33">
        <f>D16</f>
        <v>16.34</v>
      </c>
      <c r="E35" s="32" t="str">
        <f>E16</f>
        <v>Kg</v>
      </c>
      <c r="F35" s="34" t="str">
        <f>F16</f>
        <v>Master recipe ► Black pudding in 4 variations</v>
      </c>
      <c r="G35" s="92"/>
      <c r="H35" s="108"/>
      <c r="I35" s="94" t="str">
        <f t="shared" si="2"/>
        <v/>
      </c>
      <c r="J35" s="95"/>
      <c r="K35" s="126"/>
      <c r="L35" s="127">
        <v>1</v>
      </c>
      <c r="M35" s="5155" t="str">
        <f>"Total "&amp;TEXT(SUM(O20:O30),"#,##0.00")&amp;" kg × 3 g/kg = "&amp;TEXT(ROUND(SUM(O20:O30)*3,0),"0")&amp;" g"&amp;" d'épices"</f>
        <v>Total ,4.90 kg × 3 g/kg = 15 g d'épices</v>
      </c>
      <c r="N35" s="5153"/>
      <c r="O35" s="5156"/>
      <c r="P35" s="5157"/>
      <c r="Q35" s="1171"/>
      <c r="R35" s="104"/>
      <c r="S35" s="1172"/>
      <c r="T35" s="1172"/>
      <c r="U35" s="1172"/>
      <c r="V35" s="1173"/>
      <c r="W35" s="1174"/>
      <c r="X35" s="1175"/>
      <c r="Y35" s="1176"/>
      <c r="Z35" s="1177"/>
      <c r="AA35" s="1547"/>
      <c r="AB35" s="1177"/>
      <c r="AC35" s="1548"/>
      <c r="AD35" s="1549"/>
      <c r="AE35" s="1178"/>
      <c r="AF35" s="1179"/>
      <c r="AG35" s="1171"/>
      <c r="AH35" s="104"/>
      <c r="AI35" s="1172"/>
      <c r="AJ35" s="1172"/>
      <c r="AK35" s="1172"/>
      <c r="AL35" s="1173"/>
      <c r="AM35" s="1174"/>
      <c r="AN35" s="1175"/>
      <c r="AO35" s="1176"/>
      <c r="AP35" s="1177"/>
      <c r="AQ35" s="1547"/>
      <c r="AR35" s="1177"/>
      <c r="AS35" s="1548"/>
      <c r="AT35" s="1549"/>
      <c r="AU35" s="1178"/>
      <c r="AV35" s="1179"/>
      <c r="AY35" s="3">
        <v>1</v>
      </c>
    </row>
    <row r="36" spans="2:51" ht="27" customHeight="1">
      <c r="B36" s="104" t="str">
        <f t="shared" si="3"/>
        <v>►</v>
      </c>
      <c r="C36" s="32" t="str">
        <f>C16</f>
        <v>O OUR BLACK PUDDING | |  Author &gt; Guy KRENZE - Eric GODDYN - Arnaud NICOLAS - CEPROC 2002</v>
      </c>
      <c r="D36" s="33">
        <f>D16</f>
        <v>16.34</v>
      </c>
      <c r="E36" s="32" t="str">
        <f>E16</f>
        <v>Kg</v>
      </c>
      <c r="F36" s="34" t="str">
        <f>F16</f>
        <v>Master recipe ► Black pudding in 4 variations</v>
      </c>
      <c r="G36" s="92"/>
      <c r="H36" s="108"/>
      <c r="I36" s="94" t="str">
        <f t="shared" si="2"/>
        <v/>
      </c>
      <c r="J36" s="95"/>
      <c r="K36" s="126"/>
      <c r="L36" s="127">
        <v>1</v>
      </c>
      <c r="M36" s="920"/>
      <c r="N36" s="1495">
        <f>IF(OR(ISBLANK(G14),N14=0),0,G36*L15)</f>
        <v>0</v>
      </c>
      <c r="O36" s="101">
        <f>IFERROR(_xlfn.LET(_xlpm.v,IFERROR(_xlfn.XLOOKUP(K36,G57:P57,G58:P58),_xlfn.XLOOKUP(K36,G59:P59,G60:P60)),_xlpm.v*J36*L36*L15*IF(ISBLANK(G36),1,G36)),0)</f>
        <v>0</v>
      </c>
      <c r="P36" s="1476" t="str">
        <f>_xlfn.LET(_xlpm.unite,SUBSTITUTE(TRIM(K36)," (s)",""),_xlpm.val,O36,_xlpm.estVol,COUNTIF(J57:P57,_xlpm.unite)+COUNTIF(J59:P59,_xlpm.unite)&gt;0,_xlpm.estPoids,COUNTIF(G57:I57,_xlpm.unite)+COUNTIF(G59:I59,_xlpm.unite)&gt;0,IF(_xlpm.estVol,IF(ROUND(_xlpm.val,3)&gt;=1,ROUND(_xlpm.val,3)&amp;" L",MAX(1,ROUND(_xlpm.val*100,0))&amp;" cl"),IF(_xlpm.estPoids,IF(ROUND(_xlpm.val,3)&gt;=1,ROUND(_xlpm.val,3)&amp;" Kg",MAX(1,ROUND(_xlpm.val*1000,0))&amp;" g"),"")))</f>
        <v/>
      </c>
      <c r="Q36" s="1171"/>
      <c r="R36" s="104"/>
      <c r="S36" s="1172"/>
      <c r="T36" s="1172"/>
      <c r="U36" s="1172"/>
      <c r="V36" s="1173"/>
      <c r="W36" s="1174"/>
      <c r="X36" s="1175"/>
      <c r="Y36" s="1176"/>
      <c r="Z36" s="1177"/>
      <c r="AA36" s="1547"/>
      <c r="AB36" s="1177"/>
      <c r="AC36" s="1548"/>
      <c r="AD36" s="1549"/>
      <c r="AE36" s="1178"/>
      <c r="AF36" s="1179"/>
      <c r="AG36" s="1171"/>
      <c r="AH36" s="104"/>
      <c r="AI36" s="1172"/>
      <c r="AJ36" s="1172"/>
      <c r="AK36" s="1172"/>
      <c r="AL36" s="1173"/>
      <c r="AM36" s="1174"/>
      <c r="AN36" s="1175"/>
      <c r="AO36" s="1176"/>
      <c r="AP36" s="1177"/>
      <c r="AQ36" s="1547"/>
      <c r="AR36" s="1177"/>
      <c r="AS36" s="1548"/>
      <c r="AT36" s="1549"/>
      <c r="AU36" s="1178"/>
      <c r="AV36" s="1179"/>
      <c r="AY36" s="3">
        <v>1</v>
      </c>
    </row>
    <row r="37" spans="2:51" ht="27" customHeight="1">
      <c r="B37" s="104" t="str">
        <f t="shared" si="3"/>
        <v>A</v>
      </c>
      <c r="C37" s="32" t="str">
        <f>C16</f>
        <v>O OUR BLACK PUDDING | |  Author &gt; Guy KRENZE - Eric GODDYN - Arnaud NICOLAS - CEPROC 2002</v>
      </c>
      <c r="D37" s="33">
        <f>D16</f>
        <v>16.34</v>
      </c>
      <c r="E37" s="32" t="str">
        <f>E16</f>
        <v>Kg</v>
      </c>
      <c r="F37" s="34" t="str">
        <f>F16</f>
        <v>Master recipe ► Black pudding in 4 variations</v>
      </c>
      <c r="G37" s="92"/>
      <c r="H37" s="108"/>
      <c r="I37" s="94" t="str">
        <f t="shared" si="2"/>
        <v/>
      </c>
      <c r="J37" s="95"/>
      <c r="K37" s="126"/>
      <c r="L37" s="127">
        <v>1</v>
      </c>
      <c r="M37" s="920" t="s">
        <v>13154</v>
      </c>
      <c r="N37" s="1495">
        <f>IF(OR(ISBLANK(G14),N14=0),0,G37*L15)</f>
        <v>0</v>
      </c>
      <c r="O37" s="101">
        <f>IFERROR(_xlfn.LET(_xlpm.v,IFERROR(_xlfn.XLOOKUP(K37,G57:P57,G58:P58),_xlfn.XLOOKUP(K37,G59:P59,G60:P60)),_xlpm.v*J37*L37*L15*IF(ISBLANK(G37),1,G37)),0)</f>
        <v>0</v>
      </c>
      <c r="P37" s="1475" t="str">
        <f>_xlfn.LET(_xlpm.unite,SUBSTITUTE(TRIM(K37)," (s)",""),_xlpm.val,O37,_xlpm.estVol,COUNTIF(J57:P57,_xlpm.unite)+COUNTIF(J59:P59,_xlpm.unite)&gt;0,_xlpm.estPoids,COUNTIF(G57:I57,_xlpm.unite)+COUNTIF(G59:I59,_xlpm.unite)&gt;0,IF(_xlpm.estVol,IF(ROUND(_xlpm.val,3)&gt;=1,ROUND(_xlpm.val,3)&amp;" L",MAX(1,ROUND(_xlpm.val*100,0))&amp;" cl"),IF(_xlpm.estPoids,IF(ROUND(_xlpm.val,3)&gt;=1,ROUND(_xlpm.val,3)&amp;" Kg",MAX(1,ROUND(_xlpm.val*1000,0))&amp;" g"),"")))</f>
        <v/>
      </c>
      <c r="Q37" s="1171"/>
      <c r="R37" s="104"/>
      <c r="S37" s="1172"/>
      <c r="T37" s="1172"/>
      <c r="U37" s="1172"/>
      <c r="V37" s="1173"/>
      <c r="W37" s="1174"/>
      <c r="X37" s="1175"/>
      <c r="Y37" s="1176"/>
      <c r="Z37" s="1177"/>
      <c r="AA37" s="1547"/>
      <c r="AB37" s="1177"/>
      <c r="AC37" s="1548"/>
      <c r="AD37" s="1549"/>
      <c r="AE37" s="1178"/>
      <c r="AF37" s="1179"/>
      <c r="AG37" s="1171"/>
      <c r="AH37" s="104"/>
      <c r="AI37" s="1172"/>
      <c r="AJ37" s="1172"/>
      <c r="AK37" s="1172"/>
      <c r="AL37" s="1173"/>
      <c r="AM37" s="1174"/>
      <c r="AN37" s="1175"/>
      <c r="AO37" s="1176"/>
      <c r="AP37" s="1177"/>
      <c r="AQ37" s="1547"/>
      <c r="AR37" s="1177"/>
      <c r="AS37" s="1548"/>
      <c r="AT37" s="1549"/>
      <c r="AU37" s="1178"/>
      <c r="AV37" s="1179"/>
      <c r="AY37" s="3">
        <v>1</v>
      </c>
    </row>
    <row r="38" spans="2:51" ht="27" customHeight="1">
      <c r="B38" s="104" t="str">
        <f t="shared" si="3"/>
        <v>►</v>
      </c>
      <c r="C38" s="32" t="str">
        <f>C16</f>
        <v>O OUR BLACK PUDDING | |  Author &gt; Guy KRENZE - Eric GODDYN - Arnaud NICOLAS - CEPROC 2002</v>
      </c>
      <c r="D38" s="33">
        <f>D16</f>
        <v>16.34</v>
      </c>
      <c r="E38" s="32" t="str">
        <f>E16</f>
        <v>Kg</v>
      </c>
      <c r="F38" s="34" t="str">
        <f>F16</f>
        <v>Master recipe ► Black pudding in 4 variations</v>
      </c>
      <c r="G38" s="92"/>
      <c r="H38" s="108"/>
      <c r="I38" s="94" t="str">
        <f t="shared" si="2"/>
        <v/>
      </c>
      <c r="J38" s="95"/>
      <c r="K38" s="126"/>
      <c r="L38" s="127">
        <v>1</v>
      </c>
      <c r="M38" s="920"/>
      <c r="N38" s="1495">
        <f>IF(OR(ISBLANK(G14),N14=0),0,G38*L15)</f>
        <v>0</v>
      </c>
      <c r="O38" s="101">
        <f>IFERROR(_xlfn.LET(_xlpm.v,IFERROR(_xlfn.XLOOKUP(K38,G57:P57,G58:P58),_xlfn.XLOOKUP(K38,G59:P59,G60:P60)),_xlpm.v*J38*L38*L15*IF(ISBLANK(G38),1,G38)),0)</f>
        <v>0</v>
      </c>
      <c r="P38" s="1476" t="str">
        <f>_xlfn.LET(_xlpm.unite,SUBSTITUTE(TRIM(K38)," (s)",""),_xlpm.val,O38,_xlpm.estVol,COUNTIF(J57:P57,_xlpm.unite)+COUNTIF(J59:P59,_xlpm.unite)&gt;0,_xlpm.estPoids,COUNTIF(G57:I57,_xlpm.unite)+COUNTIF(G59:I59,_xlpm.unite)&gt;0,IF(_xlpm.estVol,IF(ROUND(_xlpm.val,3)&gt;=1,ROUND(_xlpm.val,3)&amp;" L",MAX(1,ROUND(_xlpm.val*100,0))&amp;" cl"),IF(_xlpm.estPoids,IF(ROUND(_xlpm.val,3)&gt;=1,ROUND(_xlpm.val,3)&amp;" Kg",MAX(1,ROUND(_xlpm.val*1000,0))&amp;" g"),"")))</f>
        <v/>
      </c>
      <c r="Q38" s="1171"/>
      <c r="R38" s="104"/>
      <c r="S38" s="1172"/>
      <c r="T38" s="1172"/>
      <c r="U38" s="1172"/>
      <c r="V38" s="1173"/>
      <c r="W38" s="1174"/>
      <c r="X38" s="1175"/>
      <c r="Y38" s="1176"/>
      <c r="Z38" s="1177"/>
      <c r="AA38" s="1547"/>
      <c r="AB38" s="1177"/>
      <c r="AC38" s="1548"/>
      <c r="AD38" s="1549"/>
      <c r="AE38" s="1178"/>
      <c r="AF38" s="1179"/>
      <c r="AG38" s="1171"/>
      <c r="AH38" s="104"/>
      <c r="AI38" s="1172"/>
      <c r="AJ38" s="1172"/>
      <c r="AK38" s="1172"/>
      <c r="AL38" s="1173"/>
      <c r="AM38" s="1174"/>
      <c r="AN38" s="1175"/>
      <c r="AO38" s="1176"/>
      <c r="AP38" s="1177"/>
      <c r="AQ38" s="1547"/>
      <c r="AR38" s="1177"/>
      <c r="AS38" s="1548"/>
      <c r="AT38" s="1549"/>
      <c r="AU38" s="1178"/>
      <c r="AV38" s="1179"/>
      <c r="AY38" s="3">
        <v>1</v>
      </c>
    </row>
    <row r="39" spans="2:51" ht="27" customHeight="1">
      <c r="B39" s="104" t="str">
        <f t="shared" si="3"/>
        <v>►</v>
      </c>
      <c r="C39" s="32" t="str">
        <f>C16</f>
        <v>O OUR BLACK PUDDING | |  Author &gt; Guy KRENZE - Eric GODDYN - Arnaud NICOLAS - CEPROC 2002</v>
      </c>
      <c r="D39" s="33">
        <f>D16</f>
        <v>16.34</v>
      </c>
      <c r="E39" s="32" t="str">
        <f>E16</f>
        <v>Kg</v>
      </c>
      <c r="F39" s="34" t="str">
        <f>F16</f>
        <v>Master recipe ► Black pudding in 4 variations</v>
      </c>
      <c r="G39" s="92"/>
      <c r="H39" s="108"/>
      <c r="I39" s="94" t="str">
        <f t="shared" si="2"/>
        <v/>
      </c>
      <c r="J39" s="95"/>
      <c r="K39" s="126"/>
      <c r="L39" s="127">
        <v>1</v>
      </c>
      <c r="M39" s="920"/>
      <c r="N39" s="1495">
        <f>IF(OR(ISBLANK(G14),N14=0),0,G39*L15)</f>
        <v>0</v>
      </c>
      <c r="O39" s="101">
        <f>IFERROR(_xlfn.LET(_xlpm.v,IFERROR(_xlfn.XLOOKUP(K39,G57:P57,G58:P58),_xlfn.XLOOKUP(K39,G59:P59,G60:P60)),_xlpm.v*J39*L39*L15*IF(ISBLANK(G39),1,G39)),0)</f>
        <v>0</v>
      </c>
      <c r="P39" s="1475" t="str">
        <f>_xlfn.LET(_xlpm.unite,SUBSTITUTE(TRIM(K39)," (s)",""),_xlpm.val,O39,_xlpm.estVol,COUNTIF(J57:P57,_xlpm.unite)+COUNTIF(J59:P59,_xlpm.unite)&gt;0,_xlpm.estPoids,COUNTIF(G57:I57,_xlpm.unite)+COUNTIF(G59:I59,_xlpm.unite)&gt;0,IF(_xlpm.estVol,IF(ROUND(_xlpm.val,3)&gt;=1,ROUND(_xlpm.val,3)&amp;" L",MAX(1,ROUND(_xlpm.val*100,0))&amp;" cl"),IF(_xlpm.estPoids,IF(ROUND(_xlpm.val,3)&gt;=1,ROUND(_xlpm.val,3)&amp;" Kg",MAX(1,ROUND(_xlpm.val*1000,0))&amp;" g"),"")))</f>
        <v/>
      </c>
      <c r="Q39" s="1171"/>
      <c r="R39" s="104"/>
      <c r="S39" s="1172"/>
      <c r="T39" s="1172"/>
      <c r="U39" s="1172"/>
      <c r="V39" s="1173"/>
      <c r="W39" s="1174"/>
      <c r="X39" s="1175"/>
      <c r="Y39" s="1176"/>
      <c r="Z39" s="1177"/>
      <c r="AA39" s="1547"/>
      <c r="AB39" s="1177"/>
      <c r="AC39" s="1548"/>
      <c r="AD39" s="1549"/>
      <c r="AE39" s="1178"/>
      <c r="AF39" s="1179"/>
      <c r="AG39" s="1171"/>
      <c r="AH39" s="104"/>
      <c r="AI39" s="1172"/>
      <c r="AJ39" s="1172"/>
      <c r="AK39" s="1172"/>
      <c r="AL39" s="1173"/>
      <c r="AM39" s="1174"/>
      <c r="AN39" s="1175"/>
      <c r="AO39" s="1176"/>
      <c r="AP39" s="1177"/>
      <c r="AQ39" s="1547"/>
      <c r="AR39" s="1177"/>
      <c r="AS39" s="1548"/>
      <c r="AT39" s="1549"/>
      <c r="AU39" s="1178"/>
      <c r="AV39" s="1179"/>
      <c r="AY39" s="3">
        <v>1</v>
      </c>
    </row>
    <row r="40" spans="2:51" ht="27" customHeight="1">
      <c r="B40" s="27" t="s">
        <v>11</v>
      </c>
      <c r="C40" s="32" t="str">
        <f>C16</f>
        <v>O OUR BLACK PUDDING | |  Author &gt; Guy KRENZE - Eric GODDYN - Arnaud NICOLAS - CEPROC 2002</v>
      </c>
      <c r="D40" s="33">
        <f>D16</f>
        <v>16.34</v>
      </c>
      <c r="E40" s="32" t="str">
        <f>E16</f>
        <v>Kg</v>
      </c>
      <c r="F40" s="34" t="str">
        <f>F16</f>
        <v>Master recipe ► Black pudding in 4 variations</v>
      </c>
      <c r="G40" s="907" t="s">
        <v>136</v>
      </c>
      <c r="H40" s="500"/>
      <c r="I40" s="500"/>
      <c r="J40" s="500"/>
      <c r="K40" s="500"/>
      <c r="L40" s="908"/>
      <c r="M40" s="909"/>
      <c r="N40" s="909"/>
      <c r="O40" s="5164">
        <f>SUM(O20:O39)</f>
        <v>5.0011028151774788</v>
      </c>
      <c r="P40" s="1489"/>
      <c r="Q40" s="1171"/>
      <c r="R40" s="104"/>
      <c r="S40" s="1172"/>
      <c r="T40" s="1172"/>
      <c r="U40" s="1172"/>
      <c r="V40" s="1173"/>
      <c r="W40" s="1174"/>
      <c r="X40" s="1175"/>
      <c r="Y40" s="1176"/>
      <c r="Z40" s="1177"/>
      <c r="AA40" s="1547"/>
      <c r="AB40" s="1177"/>
      <c r="AC40" s="1548"/>
      <c r="AD40" s="1549"/>
      <c r="AE40" s="1178"/>
      <c r="AF40" s="1179"/>
      <c r="AG40" s="1171"/>
      <c r="AH40" s="104"/>
      <c r="AI40" s="1172"/>
      <c r="AJ40" s="1172"/>
      <c r="AK40" s="1172"/>
      <c r="AL40" s="1173"/>
      <c r="AM40" s="1174"/>
      <c r="AN40" s="1175"/>
      <c r="AO40" s="1176"/>
      <c r="AP40" s="1177"/>
      <c r="AQ40" s="1547"/>
      <c r="AR40" s="1177"/>
      <c r="AS40" s="1548"/>
      <c r="AT40" s="1549"/>
      <c r="AU40" s="1178"/>
      <c r="AV40" s="1179"/>
      <c r="AY40" s="3">
        <v>1</v>
      </c>
    </row>
    <row r="41" spans="2:51" ht="27" customHeight="1">
      <c r="B41" s="27" t="s">
        <v>11</v>
      </c>
      <c r="C41" s="32" t="str">
        <f>C16</f>
        <v>O OUR BLACK PUDDING | |  Author &gt; Guy KRENZE - Eric GODDYN - Arnaud NICOLAS - CEPROC 2002</v>
      </c>
      <c r="D41" s="33">
        <f>D16</f>
        <v>16.34</v>
      </c>
      <c r="E41" s="32" t="str">
        <f>E16</f>
        <v>Kg</v>
      </c>
      <c r="F41" s="34" t="str">
        <f>F16</f>
        <v>Master recipe ► Black pudding in 4 variations</v>
      </c>
      <c r="G41" s="5142"/>
      <c r="H41" s="5450" t="s">
        <v>13173</v>
      </c>
      <c r="I41" s="5450"/>
      <c r="J41" s="5450"/>
      <c r="K41" s="5450"/>
      <c r="L41" s="5450"/>
      <c r="M41" s="5450"/>
      <c r="N41" s="5450"/>
      <c r="O41" s="5450"/>
      <c r="P41" s="5451"/>
      <c r="Q41" s="1171"/>
      <c r="R41" s="104"/>
      <c r="S41" s="1172"/>
      <c r="T41" s="1172"/>
      <c r="U41" s="1172"/>
      <c r="V41" s="1173"/>
      <c r="W41" s="1174"/>
      <c r="X41" s="1175"/>
      <c r="Y41" s="1176"/>
      <c r="Z41" s="1177"/>
      <c r="AA41" s="1547"/>
      <c r="AB41" s="1177"/>
      <c r="AC41" s="1548"/>
      <c r="AD41" s="1549"/>
      <c r="AE41" s="1178"/>
      <c r="AF41" s="1179"/>
      <c r="AG41" s="1171"/>
      <c r="AH41" s="104"/>
      <c r="AI41" s="1172"/>
      <c r="AJ41" s="1172"/>
      <c r="AK41" s="1172"/>
      <c r="AL41" s="1173"/>
      <c r="AM41" s="1174"/>
      <c r="AN41" s="1175"/>
      <c r="AO41" s="1176"/>
      <c r="AP41" s="1177"/>
      <c r="AQ41" s="1547"/>
      <c r="AR41" s="1177"/>
      <c r="AS41" s="1548"/>
      <c r="AT41" s="1549"/>
      <c r="AU41" s="1178"/>
      <c r="AV41" s="1179"/>
      <c r="AY41" s="3">
        <v>1</v>
      </c>
    </row>
    <row r="42" spans="2:51" ht="27" customHeight="1">
      <c r="B42" s="27" t="s">
        <v>11</v>
      </c>
      <c r="C42" s="32" t="str">
        <f>C16</f>
        <v>O OUR BLACK PUDDING | |  Author &gt; Guy KRENZE - Eric GODDYN - Arnaud NICOLAS - CEPROC 2002</v>
      </c>
      <c r="D42" s="33">
        <f>D16</f>
        <v>16.34</v>
      </c>
      <c r="E42" s="32" t="str">
        <f>E16</f>
        <v>Kg</v>
      </c>
      <c r="F42" s="34" t="str">
        <f>F16</f>
        <v>Master recipe ► Black pudding in 4 variations</v>
      </c>
      <c r="G42" s="5130">
        <v>0.40799999999999997</v>
      </c>
      <c r="H42" s="5053" t="s">
        <v>872</v>
      </c>
      <c r="I42" s="5131" t="s">
        <v>13096</v>
      </c>
      <c r="J42" s="42"/>
      <c r="K42" s="5129"/>
      <c r="L42" s="5129"/>
      <c r="M42" s="5162" t="str">
        <f>M34</f>
        <v>mixed pepper and spices 3 g/kg</v>
      </c>
      <c r="N42" s="5163">
        <f>O34</f>
        <v>1.4999999999999999E-2</v>
      </c>
      <c r="O42" s="5452" t="str">
        <f>H42</f>
        <v>Kg</v>
      </c>
      <c r="P42" s="5453"/>
      <c r="Q42" s="1171"/>
      <c r="R42" s="104"/>
      <c r="S42" s="1172"/>
      <c r="T42" s="1172"/>
      <c r="U42" s="1172"/>
      <c r="V42" s="1173"/>
      <c r="W42" s="1174"/>
      <c r="X42" s="1175"/>
      <c r="Y42" s="1176"/>
      <c r="Z42" s="1177"/>
      <c r="AA42" s="1547"/>
      <c r="AB42" s="1177"/>
      <c r="AC42" s="1548"/>
      <c r="AD42" s="1549"/>
      <c r="AE42" s="1178"/>
      <c r="AF42" s="1179"/>
      <c r="AG42" s="1171"/>
      <c r="AH42" s="104"/>
      <c r="AI42" s="1172"/>
      <c r="AJ42" s="1172"/>
      <c r="AK42" s="1172"/>
      <c r="AL42" s="1173"/>
      <c r="AM42" s="1174"/>
      <c r="AN42" s="1175"/>
      <c r="AO42" s="1176"/>
      <c r="AP42" s="1177"/>
      <c r="AQ42" s="1547"/>
      <c r="AR42" s="1177"/>
      <c r="AS42" s="1548"/>
      <c r="AT42" s="1549"/>
      <c r="AU42" s="1178"/>
      <c r="AV42" s="1179"/>
      <c r="AY42" s="3">
        <v>1</v>
      </c>
    </row>
    <row r="43" spans="2:51" ht="27" customHeight="1">
      <c r="B43" s="27" t="s">
        <v>11</v>
      </c>
      <c r="C43" s="32" t="str">
        <f>C16</f>
        <v>O OUR BLACK PUDDING | |  Author &gt; Guy KRENZE - Eric GODDYN - Arnaud NICOLAS - CEPROC 2002</v>
      </c>
      <c r="D43" s="33">
        <f>D16</f>
        <v>16.34</v>
      </c>
      <c r="E43" s="32" t="str">
        <f>E16</f>
        <v>Kg</v>
      </c>
      <c r="F43" s="34" t="str">
        <f>F16</f>
        <v>Master recipe ► Black pudding in 4 variations</v>
      </c>
      <c r="G43" s="5145" t="s">
        <v>13193</v>
      </c>
      <c r="H43" s="5143">
        <f>O56/L43</f>
        <v>0.40750000000000003</v>
      </c>
      <c r="I43" s="5144" t="s">
        <v>13192</v>
      </c>
      <c r="J43" s="5044"/>
      <c r="K43" s="59"/>
      <c r="L43" s="1490">
        <f>IFERROR(N42/G42,0)</f>
        <v>3.6764705882352942E-2</v>
      </c>
      <c r="M43" s="5132"/>
      <c r="N43" s="5133"/>
      <c r="O43" s="5134"/>
      <c r="P43" s="5141"/>
      <c r="Q43" s="1171"/>
      <c r="R43" s="104"/>
      <c r="S43" s="1172"/>
      <c r="T43" s="1172"/>
      <c r="U43" s="1172"/>
      <c r="V43" s="1173"/>
      <c r="W43" s="1174"/>
      <c r="X43" s="1175"/>
      <c r="Y43" s="1176"/>
      <c r="Z43" s="1177"/>
      <c r="AA43" s="1547"/>
      <c r="AB43" s="1177"/>
      <c r="AC43" s="1548"/>
      <c r="AD43" s="1549"/>
      <c r="AE43" s="1178"/>
      <c r="AF43" s="1179"/>
      <c r="AG43" s="1171"/>
      <c r="AH43" s="104"/>
      <c r="AI43" s="1172"/>
      <c r="AJ43" s="1172"/>
      <c r="AK43" s="1172"/>
      <c r="AL43" s="1173"/>
      <c r="AM43" s="1174"/>
      <c r="AN43" s="1175"/>
      <c r="AO43" s="1176"/>
      <c r="AP43" s="1177"/>
      <c r="AQ43" s="1547"/>
      <c r="AR43" s="1177"/>
      <c r="AS43" s="1548"/>
      <c r="AT43" s="1549"/>
      <c r="AU43" s="1178"/>
      <c r="AV43" s="1179"/>
      <c r="AY43" s="3">
        <v>1</v>
      </c>
    </row>
    <row r="44" spans="2:51" ht="27" customHeight="1">
      <c r="B44" s="27" t="s">
        <v>11</v>
      </c>
      <c r="C44" s="32" t="str">
        <f>C16</f>
        <v>O OUR BLACK PUDDING | |  Author &gt; Guy KRENZE - Eric GODDYN - Arnaud NICOLAS - CEPROC 2002</v>
      </c>
      <c r="D44" s="33">
        <f>D16</f>
        <v>16.34</v>
      </c>
      <c r="E44" s="32" t="str">
        <f>E16</f>
        <v>Kg</v>
      </c>
      <c r="F44" s="34" t="str">
        <f>F16</f>
        <v>Master recipe ► Black pudding in 4 variations</v>
      </c>
      <c r="G44" s="81" t="s">
        <v>77</v>
      </c>
      <c r="H44" s="82" t="s">
        <v>78</v>
      </c>
      <c r="I44" s="83"/>
      <c r="J44" s="5454" t="s">
        <v>228</v>
      </c>
      <c r="K44" s="5464" t="s">
        <v>80</v>
      </c>
      <c r="L44" s="5466" t="s">
        <v>81</v>
      </c>
      <c r="M44" s="84" t="s">
        <v>82</v>
      </c>
      <c r="N44" s="5444" t="s">
        <v>244</v>
      </c>
      <c r="O44" s="5446" t="s">
        <v>890</v>
      </c>
      <c r="P44" s="5448" t="s">
        <v>247</v>
      </c>
      <c r="Q44" s="1171"/>
      <c r="R44" s="104"/>
      <c r="S44" s="1172"/>
      <c r="T44" s="1172"/>
      <c r="U44" s="1172"/>
      <c r="V44" s="1173"/>
      <c r="W44" s="1174"/>
      <c r="X44" s="1175"/>
      <c r="Y44" s="1176"/>
      <c r="Z44" s="1177"/>
      <c r="AA44" s="1547"/>
      <c r="AB44" s="1177"/>
      <c r="AC44" s="1548"/>
      <c r="AD44" s="1549"/>
      <c r="AE44" s="1178"/>
      <c r="AF44" s="1179"/>
      <c r="AG44" s="1171"/>
      <c r="AH44" s="104"/>
      <c r="AI44" s="1172"/>
      <c r="AJ44" s="1172"/>
      <c r="AK44" s="1172"/>
      <c r="AL44" s="1173"/>
      <c r="AM44" s="1174"/>
      <c r="AN44" s="1175"/>
      <c r="AO44" s="1176"/>
      <c r="AP44" s="1177"/>
      <c r="AQ44" s="1547"/>
      <c r="AR44" s="1177"/>
      <c r="AS44" s="1548"/>
      <c r="AT44" s="1549"/>
      <c r="AU44" s="1178"/>
      <c r="AV44" s="1179"/>
      <c r="AY44" s="3">
        <v>1</v>
      </c>
    </row>
    <row r="45" spans="2:51" ht="27" customHeight="1">
      <c r="B45" s="27" t="s">
        <v>11</v>
      </c>
      <c r="C45" s="32" t="str">
        <f>C16</f>
        <v>O OUR BLACK PUDDING | |  Author &gt; Guy KRENZE - Eric GODDYN - Arnaud NICOLAS - CEPROC 2002</v>
      </c>
      <c r="D45" s="33">
        <f>D16</f>
        <v>16.34</v>
      </c>
      <c r="E45" s="32" t="str">
        <f>E16</f>
        <v>Kg</v>
      </c>
      <c r="F45" s="34" t="str">
        <f>F16</f>
        <v>Master recipe ► Black pudding in 4 variations</v>
      </c>
      <c r="G45" s="87" t="s">
        <v>231</v>
      </c>
      <c r="H45" s="88" t="s">
        <v>232</v>
      </c>
      <c r="I45" s="89" t="s">
        <v>891</v>
      </c>
      <c r="J45" s="5455"/>
      <c r="K45" s="5465"/>
      <c r="L45" s="5467"/>
      <c r="M45" s="90" t="s">
        <v>867</v>
      </c>
      <c r="N45" s="5445"/>
      <c r="O45" s="5447"/>
      <c r="P45" s="5449"/>
      <c r="Q45" s="1171"/>
      <c r="R45" s="104"/>
      <c r="S45" s="1172"/>
      <c r="T45" s="1172"/>
      <c r="U45" s="1172"/>
      <c r="V45" s="1173"/>
      <c r="W45" s="1174"/>
      <c r="X45" s="1175"/>
      <c r="Y45" s="1176"/>
      <c r="Z45" s="1177"/>
      <c r="AA45" s="1547"/>
      <c r="AB45" s="1177"/>
      <c r="AC45" s="1548"/>
      <c r="AD45" s="1549"/>
      <c r="AE45" s="1178"/>
      <c r="AF45" s="1179"/>
      <c r="AG45" s="1171"/>
      <c r="AH45" s="104"/>
      <c r="AI45" s="1172"/>
      <c r="AJ45" s="1172"/>
      <c r="AK45" s="1172"/>
      <c r="AL45" s="1173"/>
      <c r="AM45" s="1174"/>
      <c r="AN45" s="1175"/>
      <c r="AO45" s="1176"/>
      <c r="AP45" s="1177"/>
      <c r="AQ45" s="1547"/>
      <c r="AR45" s="1177"/>
      <c r="AS45" s="1548"/>
      <c r="AT45" s="1549"/>
      <c r="AU45" s="1178"/>
      <c r="AV45" s="1179"/>
      <c r="AY45" s="3">
        <v>1</v>
      </c>
    </row>
    <row r="46" spans="2:51" ht="27" customHeight="1">
      <c r="B46" s="104" t="str">
        <f t="shared" ref="B46:B48" si="4">IF(M46&lt;&gt;"","A","►")</f>
        <v>A</v>
      </c>
      <c r="C46" s="32" t="str">
        <f>C16</f>
        <v>O OUR BLACK PUDDING | |  Author &gt; Guy KRENZE - Eric GODDYN - Arnaud NICOLAS - CEPROC 2002</v>
      </c>
      <c r="D46" s="33">
        <f>D16</f>
        <v>16.34</v>
      </c>
      <c r="E46" s="32" t="str">
        <f>E16</f>
        <v>Kg</v>
      </c>
      <c r="F46" s="34" t="str">
        <f>F16</f>
        <v>Master recipe ► Black pudding in 4 variations</v>
      </c>
      <c r="G46" s="92"/>
      <c r="H46" s="108"/>
      <c r="I46" s="94" t="str">
        <f t="shared" ref="I46:I55" si="5">IF(OR(ISTEXT(G46), G46&lt;=0, J46&lt;=0), "", "de")</f>
        <v/>
      </c>
      <c r="J46" s="95"/>
      <c r="K46" s="126"/>
      <c r="L46" s="127">
        <v>1</v>
      </c>
      <c r="M46" s="920" t="s">
        <v>13174</v>
      </c>
      <c r="N46" s="100">
        <f>IF(OR(ISBLANK(G42),N42=0),0,G46*L43)</f>
        <v>0</v>
      </c>
      <c r="O46" s="101">
        <f>IFERROR(_xlfn.LET(_xlpm.v,IFERROR(_xlfn.XLOOKUP(K46,G57:P57,G58:P58),_xlfn.XLOOKUP(K46,G59:P59,G60:P60)),_xlpm.v*J46*L46*L43*IF(ISBLANK(G46),1,G46)),0)</f>
        <v>0</v>
      </c>
      <c r="P46" s="1476" t="str">
        <f>_xlfn.LET(_xlpm.unite,SUBSTITUTE(TRIM(K46)," (s)",""),_xlpm.val,O46,_xlpm.estVol,COUNTIF(J57:P57,_xlpm.unite)+COUNTIF(J59:P59,_xlpm.unite)&gt;0,_xlpm.estPoids,COUNTIF(G57:I57,_xlpm.unite)+COUNTIF(G59:I59,_xlpm.unite)&gt;0,IF(_xlpm.estVol,IF(ROUND(_xlpm.val,3)&gt;=1,ROUND(_xlpm.val,3)&amp;" L",MAX(1,ROUND(_xlpm.val*100,0))&amp;" cl"),IF(_xlpm.estPoids,IF(ROUND(_xlpm.val,3)&gt;=1,ROUND(_xlpm.val,3)&amp;" Kg",MAX(1,ROUND(_xlpm.val*1000,0))&amp;" g"),"")))</f>
        <v/>
      </c>
      <c r="Q46" s="1171"/>
      <c r="R46" s="104"/>
      <c r="S46" s="1172"/>
      <c r="T46" s="1172"/>
      <c r="U46" s="1172"/>
      <c r="V46" s="1173"/>
      <c r="W46" s="1174"/>
      <c r="X46" s="1175"/>
      <c r="Y46" s="1176"/>
      <c r="Z46" s="1177"/>
      <c r="AA46" s="1547"/>
      <c r="AB46" s="1177"/>
      <c r="AC46" s="1548"/>
      <c r="AD46" s="1549"/>
      <c r="AE46" s="1178"/>
      <c r="AF46" s="1179"/>
      <c r="AG46" s="1171"/>
      <c r="AH46" s="104"/>
      <c r="AI46" s="1172"/>
      <c r="AJ46" s="1172"/>
      <c r="AK46" s="1172"/>
      <c r="AL46" s="1173"/>
      <c r="AM46" s="1174"/>
      <c r="AN46" s="1175"/>
      <c r="AO46" s="1176"/>
      <c r="AP46" s="1177"/>
      <c r="AQ46" s="1547"/>
      <c r="AR46" s="1177"/>
      <c r="AS46" s="1548"/>
      <c r="AT46" s="1549"/>
      <c r="AU46" s="1178"/>
      <c r="AV46" s="1179"/>
      <c r="AY46" s="3">
        <v>1</v>
      </c>
    </row>
    <row r="47" spans="2:51" ht="27" customHeight="1">
      <c r="B47" s="104" t="str">
        <f t="shared" si="4"/>
        <v>A</v>
      </c>
      <c r="C47" s="32" t="str">
        <f>C16</f>
        <v>O OUR BLACK PUDDING | |  Author &gt; Guy KRENZE - Eric GODDYN - Arnaud NICOLAS - CEPROC 2002</v>
      </c>
      <c r="D47" s="33">
        <f>D16</f>
        <v>16.34</v>
      </c>
      <c r="E47" s="32" t="str">
        <f>E16</f>
        <v>Kg</v>
      </c>
      <c r="F47" s="34" t="str">
        <f>F16</f>
        <v>Master recipe ► Black pudding in 4 variations</v>
      </c>
      <c r="G47" s="92"/>
      <c r="H47" s="108"/>
      <c r="I47" s="94" t="str">
        <f t="shared" si="5"/>
        <v/>
      </c>
      <c r="J47" s="95">
        <v>200</v>
      </c>
      <c r="K47" s="105" t="s">
        <v>99</v>
      </c>
      <c r="L47" s="127">
        <v>1</v>
      </c>
      <c r="M47" s="920" t="s">
        <v>13175</v>
      </c>
      <c r="N47" s="1494">
        <f>IF(OR(ISBLANK(G42),N42=0),0,G47*L43)</f>
        <v>0</v>
      </c>
      <c r="O47" s="101">
        <f>IFERROR(_xlfn.LET(_xlpm.v,IFERROR(_xlfn.XLOOKUP(K47,G57:P57,G58:P58),_xlfn.XLOOKUP(K47,G59:P59,G60:P60)),_xlpm.v*J47*L47*L43*IF(ISBLANK(G47),1,G47)),0)</f>
        <v>7.352941176470589E-3</v>
      </c>
      <c r="P47" s="1475" t="str">
        <f>_xlfn.LET(_xlpm.unite,SUBSTITUTE(TRIM(K47)," (s)",""),_xlpm.val,O47,_xlpm.estVol,COUNTIF(J57:P57,_xlpm.unite)+COUNTIF(J59:P59,_xlpm.unite)&gt;0,_xlpm.estPoids,COUNTIF(G57:I57,_xlpm.unite)+COUNTIF(G59:I59,_xlpm.unite)&gt;0,IF(_xlpm.estVol,IF(ROUND(_xlpm.val,3)&gt;=1,ROUND(_xlpm.val,3)&amp;" L",MAX(1,ROUND(_xlpm.val*100,0))&amp;" cl"),IF(_xlpm.estPoids,IF(ROUND(_xlpm.val,3)&gt;=1,ROUND(_xlpm.val,3)&amp;" Kg",MAX(1,ROUND(_xlpm.val*1000,0))&amp;" g"),"")))</f>
        <v>7 g</v>
      </c>
      <c r="Q47" s="1171"/>
      <c r="R47" s="104"/>
      <c r="S47" s="1172"/>
      <c r="T47" s="1172"/>
      <c r="U47" s="1172"/>
      <c r="V47" s="1173"/>
      <c r="W47" s="1174"/>
      <c r="X47" s="1175"/>
      <c r="Y47" s="1176"/>
      <c r="Z47" s="1177"/>
      <c r="AA47" s="1547"/>
      <c r="AB47" s="1177"/>
      <c r="AC47" s="1548"/>
      <c r="AD47" s="1549"/>
      <c r="AE47" s="1178"/>
      <c r="AF47" s="1179"/>
      <c r="AG47" s="1171"/>
      <c r="AH47" s="104"/>
      <c r="AI47" s="1172"/>
      <c r="AJ47" s="1172"/>
      <c r="AK47" s="1172"/>
      <c r="AL47" s="1173"/>
      <c r="AM47" s="1174"/>
      <c r="AN47" s="1175"/>
      <c r="AO47" s="1176"/>
      <c r="AP47" s="1177"/>
      <c r="AQ47" s="1547"/>
      <c r="AR47" s="1177"/>
      <c r="AS47" s="1548"/>
      <c r="AT47" s="1549"/>
      <c r="AU47" s="1178"/>
      <c r="AV47" s="1179"/>
      <c r="AY47" s="3">
        <v>1</v>
      </c>
    </row>
    <row r="48" spans="2:51" ht="27" customHeight="1">
      <c r="B48" s="104" t="str">
        <f t="shared" si="4"/>
        <v>A</v>
      </c>
      <c r="C48" s="32" t="str">
        <f>C16</f>
        <v>O OUR BLACK PUDDING | |  Author &gt; Guy KRENZE - Eric GODDYN - Arnaud NICOLAS - CEPROC 2002</v>
      </c>
      <c r="D48" s="33">
        <f>D16</f>
        <v>16.34</v>
      </c>
      <c r="E48" s="32" t="str">
        <f>E16</f>
        <v>Kg</v>
      </c>
      <c r="F48" s="34" t="str">
        <f>F16</f>
        <v>Master recipe ► Black pudding in 4 variations</v>
      </c>
      <c r="G48" s="92"/>
      <c r="H48" s="108"/>
      <c r="I48" s="94" t="str">
        <f t="shared" si="5"/>
        <v/>
      </c>
      <c r="J48" s="95">
        <v>50</v>
      </c>
      <c r="K48" s="105" t="s">
        <v>99</v>
      </c>
      <c r="L48" s="127">
        <v>1</v>
      </c>
      <c r="M48" s="920" t="s">
        <v>13176</v>
      </c>
      <c r="N48" s="1494">
        <f>IF(OR(ISBLANK(G42),N42=0),0,G48*L43)</f>
        <v>0</v>
      </c>
      <c r="O48" s="101">
        <f>IFERROR(_xlfn.LET(_xlpm.v,IFERROR(_xlfn.XLOOKUP(K48,G57:P57,G58:P58),_xlfn.XLOOKUP(K48,G59:P59,G60:P60)),_xlpm.v*J48*L48*L43*IF(ISBLANK(G48),1,G48)),0)</f>
        <v>1.8382352941176473E-3</v>
      </c>
      <c r="P48" s="1476" t="str">
        <f>_xlfn.LET(_xlpm.unite,SUBSTITUTE(TRIM(K48)," (s)",""),_xlpm.val,O48,_xlpm.estVol,COUNTIF(J57:P57,_xlpm.unite)+COUNTIF(J59:P59,_xlpm.unite)&gt;0,_xlpm.estPoids,COUNTIF(G57:I57,_xlpm.unite)+COUNTIF(G59:I59,_xlpm.unite)&gt;0,IF(_xlpm.estVol,IF(ROUND(_xlpm.val,3)&gt;=1,ROUND(_xlpm.val,3)&amp;" L",MAX(1,ROUND(_xlpm.val*100,0))&amp;" cl"),IF(_xlpm.estPoids,IF(ROUND(_xlpm.val,3)&gt;=1,ROUND(_xlpm.val,3)&amp;" Kg",MAX(1,ROUND(_xlpm.val*1000,0))&amp;" g"),"")))</f>
        <v>2 g</v>
      </c>
      <c r="Q48" s="1171"/>
      <c r="R48" s="104"/>
      <c r="S48" s="1172"/>
      <c r="T48" s="1172"/>
      <c r="U48" s="1172"/>
      <c r="V48" s="1173"/>
      <c r="W48" s="1174"/>
      <c r="X48" s="1175"/>
      <c r="Y48" s="1176"/>
      <c r="Z48" s="1177"/>
      <c r="AA48" s="1547"/>
      <c r="AB48" s="1177"/>
      <c r="AC48" s="1548"/>
      <c r="AD48" s="1549"/>
      <c r="AE48" s="1178"/>
      <c r="AF48" s="1179"/>
      <c r="AG48" s="1171"/>
      <c r="AH48" s="104"/>
      <c r="AI48" s="1172"/>
      <c r="AJ48" s="1172"/>
      <c r="AK48" s="1172"/>
      <c r="AL48" s="1173"/>
      <c r="AM48" s="1174"/>
      <c r="AN48" s="1175"/>
      <c r="AO48" s="1176"/>
      <c r="AP48" s="1177"/>
      <c r="AQ48" s="1547"/>
      <c r="AR48" s="1177"/>
      <c r="AS48" s="1548"/>
      <c r="AT48" s="1549"/>
      <c r="AU48" s="1178"/>
      <c r="AV48" s="1179"/>
      <c r="AY48" s="3">
        <v>1</v>
      </c>
    </row>
    <row r="49" spans="2:51" ht="27" customHeight="1">
      <c r="B49" s="104" t="str">
        <f>IF(M49&lt;&gt;"","A","►")</f>
        <v>A</v>
      </c>
      <c r="C49" s="32" t="str">
        <f>C16</f>
        <v>O OUR BLACK PUDDING | |  Author &gt; Guy KRENZE - Eric GODDYN - Arnaud NICOLAS - CEPROC 2002</v>
      </c>
      <c r="D49" s="33">
        <f>D16</f>
        <v>16.34</v>
      </c>
      <c r="E49" s="32" t="str">
        <f>E16</f>
        <v>Kg</v>
      </c>
      <c r="F49" s="34" t="str">
        <f>F16</f>
        <v>Master recipe ► Black pudding in 4 variations</v>
      </c>
      <c r="G49" s="92"/>
      <c r="H49" s="108"/>
      <c r="I49" s="94" t="str">
        <f t="shared" si="5"/>
        <v/>
      </c>
      <c r="J49" s="95">
        <v>60</v>
      </c>
      <c r="K49" s="105" t="s">
        <v>99</v>
      </c>
      <c r="L49" s="127">
        <v>1</v>
      </c>
      <c r="M49" s="920" t="s">
        <v>13177</v>
      </c>
      <c r="N49" s="1494">
        <f>IF(OR(ISBLANK(G42),N42=0),0,G49*L43)</f>
        <v>0</v>
      </c>
      <c r="O49" s="101">
        <f>IFERROR(_xlfn.LET(_xlpm.v,IFERROR(_xlfn.XLOOKUP(K49,G57:P57,G58:P58),_xlfn.XLOOKUP(K49,G59:P59,G60:P60)),_xlpm.v*J49*L49*L43*IF(ISBLANK(G49),1,G49)),0)</f>
        <v>2.2058823529411764E-3</v>
      </c>
      <c r="P49" s="1475" t="str">
        <f>_xlfn.LET(_xlpm.unite,SUBSTITUTE(TRIM(K49)," (s)",""),_xlpm.val,O49,_xlpm.estVol,COUNTIF(J57:P57,_xlpm.unite)+COUNTIF(J59:P59,_xlpm.unite)&gt;0,_xlpm.estPoids,COUNTIF(G57:I57,_xlpm.unite)+COUNTIF(G59:I59,_xlpm.unite)&gt;0,IF(_xlpm.estVol,IF(ROUND(_xlpm.val,3)&gt;=1,ROUND(_xlpm.val,3)&amp;" L",MAX(1,ROUND(_xlpm.val*100,0))&amp;" cl"),IF(_xlpm.estPoids,IF(ROUND(_xlpm.val,3)&gt;=1,ROUND(_xlpm.val,3)&amp;" Kg",MAX(1,ROUND(_xlpm.val*1000,0))&amp;" g"),"")))</f>
        <v>2 g</v>
      </c>
      <c r="Q49" s="1171"/>
      <c r="R49" s="104"/>
      <c r="S49" s="1172"/>
      <c r="T49" s="1172"/>
      <c r="U49" s="1172"/>
      <c r="V49" s="1173"/>
      <c r="W49" s="1174"/>
      <c r="X49" s="1175"/>
      <c r="Y49" s="1176"/>
      <c r="Z49" s="1177"/>
      <c r="AA49" s="1547"/>
      <c r="AB49" s="1177"/>
      <c r="AC49" s="1548"/>
      <c r="AD49" s="1549"/>
      <c r="AE49" s="1178"/>
      <c r="AF49" s="1179"/>
      <c r="AG49" s="1171"/>
      <c r="AH49" s="104"/>
      <c r="AI49" s="1172"/>
      <c r="AJ49" s="1172"/>
      <c r="AK49" s="1172"/>
      <c r="AL49" s="1173"/>
      <c r="AM49" s="1174"/>
      <c r="AN49" s="1175"/>
      <c r="AO49" s="1176"/>
      <c r="AP49" s="1177"/>
      <c r="AQ49" s="1547"/>
      <c r="AR49" s="1177"/>
      <c r="AS49" s="1548"/>
      <c r="AT49" s="1549"/>
      <c r="AU49" s="1178"/>
      <c r="AV49" s="1179"/>
      <c r="AY49" s="3">
        <v>1</v>
      </c>
    </row>
    <row r="50" spans="2:51" ht="27" customHeight="1">
      <c r="B50" s="104" t="str">
        <f t="shared" ref="B50:B55" si="6">IF(M50&lt;&gt;"","A","►")</f>
        <v>A</v>
      </c>
      <c r="C50" s="32" t="str">
        <f>C16</f>
        <v>O OUR BLACK PUDDING | |  Author &gt; Guy KRENZE - Eric GODDYN - Arnaud NICOLAS - CEPROC 2002</v>
      </c>
      <c r="D50" s="33">
        <f>D16</f>
        <v>16.34</v>
      </c>
      <c r="E50" s="32" t="str">
        <f>E16</f>
        <v>Kg</v>
      </c>
      <c r="F50" s="34" t="str">
        <f>F16</f>
        <v>Master recipe ► Black pudding in 4 variations</v>
      </c>
      <c r="G50" s="92"/>
      <c r="H50" s="108"/>
      <c r="I50" s="94" t="str">
        <f t="shared" si="5"/>
        <v/>
      </c>
      <c r="J50" s="95">
        <v>50</v>
      </c>
      <c r="K50" s="105" t="s">
        <v>99</v>
      </c>
      <c r="L50" s="127">
        <v>1</v>
      </c>
      <c r="M50" s="920" t="s">
        <v>13178</v>
      </c>
      <c r="N50" s="1494">
        <f>IF(OR(ISBLANK(G42),N42=0),0,G50*L43)</f>
        <v>0</v>
      </c>
      <c r="O50" s="101">
        <f>IFERROR(_xlfn.LET(_xlpm.v,IFERROR(_xlfn.XLOOKUP(K50,G57:P57,G58:P58),_xlfn.XLOOKUP(K50,G59:P59,G60:P60)),_xlpm.v*J50*L50*L43*IF(ISBLANK(G50),1,G50)),0)</f>
        <v>1.8382352941176473E-3</v>
      </c>
      <c r="P50" s="1476" t="str">
        <f>_xlfn.LET(_xlpm.unite,SUBSTITUTE(TRIM(K50)," (s)",""),_xlpm.val,O50,_xlpm.estVol,COUNTIF(J57:P57,_xlpm.unite)+COUNTIF(J59:P59,_xlpm.unite)&gt;0,_xlpm.estPoids,COUNTIF(G57:I57,_xlpm.unite)+COUNTIF(G59:I59,_xlpm.unite)&gt;0,IF(_xlpm.estVol,IF(ROUND(_xlpm.val,3)&gt;=1,ROUND(_xlpm.val,3)&amp;" L",MAX(1,ROUND(_xlpm.val*100,0))&amp;" cl"),IF(_xlpm.estPoids,IF(ROUND(_xlpm.val,3)&gt;=1,ROUND(_xlpm.val,3)&amp;" Kg",MAX(1,ROUND(_xlpm.val*1000,0))&amp;" g"),"")))</f>
        <v>2 g</v>
      </c>
      <c r="Q50" s="1171"/>
      <c r="R50" s="104"/>
      <c r="S50" s="1172"/>
      <c r="T50" s="1172"/>
      <c r="U50" s="1172"/>
      <c r="V50" s="1173"/>
      <c r="W50" s="1174"/>
      <c r="X50" s="1175"/>
      <c r="Y50" s="1176"/>
      <c r="Z50" s="1177"/>
      <c r="AA50" s="1547"/>
      <c r="AB50" s="1177"/>
      <c r="AC50" s="1548"/>
      <c r="AD50" s="1549"/>
      <c r="AE50" s="1178"/>
      <c r="AF50" s="1179"/>
      <c r="AG50" s="1171"/>
      <c r="AH50" s="104"/>
      <c r="AI50" s="1172"/>
      <c r="AJ50" s="1172"/>
      <c r="AK50" s="1172"/>
      <c r="AL50" s="1173"/>
      <c r="AM50" s="1174"/>
      <c r="AN50" s="1175"/>
      <c r="AO50" s="1176"/>
      <c r="AP50" s="1177"/>
      <c r="AQ50" s="1547"/>
      <c r="AR50" s="1177"/>
      <c r="AS50" s="1548"/>
      <c r="AT50" s="1549"/>
      <c r="AU50" s="1178"/>
      <c r="AV50" s="1179"/>
      <c r="AY50" s="3">
        <v>1</v>
      </c>
    </row>
    <row r="51" spans="2:51" ht="27" customHeight="1">
      <c r="B51" s="104" t="str">
        <f t="shared" si="6"/>
        <v>A</v>
      </c>
      <c r="C51" s="32" t="str">
        <f>C16</f>
        <v>O OUR BLACK PUDDING | |  Author &gt; Guy KRENZE - Eric GODDYN - Arnaud NICOLAS - CEPROC 2002</v>
      </c>
      <c r="D51" s="33">
        <f>D16</f>
        <v>16.34</v>
      </c>
      <c r="E51" s="32" t="str">
        <f>E16</f>
        <v>Kg</v>
      </c>
      <c r="F51" s="34" t="str">
        <f>F16</f>
        <v>Master recipe ► Black pudding in 4 variations</v>
      </c>
      <c r="G51" s="92">
        <v>5</v>
      </c>
      <c r="H51" s="108" t="s">
        <v>13066</v>
      </c>
      <c r="I51" s="94" t="str">
        <f t="shared" si="5"/>
        <v>de</v>
      </c>
      <c r="J51" s="5110">
        <v>0.5</v>
      </c>
      <c r="K51" s="105" t="s">
        <v>99</v>
      </c>
      <c r="L51" s="127">
        <v>1</v>
      </c>
      <c r="M51" s="920" t="s">
        <v>13179</v>
      </c>
      <c r="N51" s="1494">
        <f>IF(OR(ISBLANK(G42),N42=0),0,G51*L43)</f>
        <v>0.18382352941176472</v>
      </c>
      <c r="O51" s="101">
        <f>IFERROR(_xlfn.LET(_xlpm.v,IFERROR(_xlfn.XLOOKUP(K51,G57:P57,G58:P58),_xlfn.XLOOKUP(K51,G59:P59,G60:P60)),_xlpm.v*J51*L51*L43*IF(ISBLANK(G51),1,G51)),0)</f>
        <v>9.1911764705882365E-5</v>
      </c>
      <c r="P51" s="1475" t="str">
        <f>_xlfn.LET(_xlpm.unite,SUBSTITUTE(TRIM(K51)," (s)",""),_xlpm.val,O51,_xlpm.estVol,COUNTIF(J57:P57,_xlpm.unite)+COUNTIF(J59:P59,_xlpm.unite)&gt;0,_xlpm.estPoids,COUNTIF(G57:I57,_xlpm.unite)+COUNTIF(G59:I59,_xlpm.unite)&gt;0,IF(_xlpm.estVol,IF(ROUND(_xlpm.val,3)&gt;=1,ROUND(_xlpm.val,3)&amp;" L",MAX(1,ROUND(_xlpm.val*100,0))&amp;" cl"),IF(_xlpm.estPoids,IF(ROUND(_xlpm.val,3)&gt;=1,ROUND(_xlpm.val,3)&amp;" Kg",MAX(1,ROUND(_xlpm.val*1000,0))&amp;" g"),"")))</f>
        <v>1 g</v>
      </c>
      <c r="Q51" s="1171"/>
      <c r="R51" s="104"/>
      <c r="S51" s="1172"/>
      <c r="T51" s="1172"/>
      <c r="U51" s="1172"/>
      <c r="V51" s="1173"/>
      <c r="W51" s="1174"/>
      <c r="X51" s="1175"/>
      <c r="Y51" s="1176"/>
      <c r="Z51" s="1177"/>
      <c r="AA51" s="1547"/>
      <c r="AB51" s="1177"/>
      <c r="AC51" s="1548"/>
      <c r="AD51" s="1549"/>
      <c r="AE51" s="1178"/>
      <c r="AF51" s="1179"/>
      <c r="AG51" s="1171"/>
      <c r="AH51" s="104"/>
      <c r="AI51" s="1172"/>
      <c r="AJ51" s="1172"/>
      <c r="AK51" s="1172"/>
      <c r="AL51" s="1173"/>
      <c r="AM51" s="1174"/>
      <c r="AN51" s="1175"/>
      <c r="AO51" s="1176"/>
      <c r="AP51" s="1177"/>
      <c r="AQ51" s="1547"/>
      <c r="AR51" s="1177"/>
      <c r="AS51" s="1548"/>
      <c r="AT51" s="1549"/>
      <c r="AU51" s="1178"/>
      <c r="AV51" s="1179"/>
      <c r="AY51" s="3">
        <v>1</v>
      </c>
    </row>
    <row r="52" spans="2:51" ht="27" customHeight="1">
      <c r="B52" s="104" t="str">
        <f t="shared" si="6"/>
        <v>A</v>
      </c>
      <c r="C52" s="32" t="str">
        <f>C16</f>
        <v>O OUR BLACK PUDDING | |  Author &gt; Guy KRENZE - Eric GODDYN - Arnaud NICOLAS - CEPROC 2002</v>
      </c>
      <c r="D52" s="33">
        <f>D16</f>
        <v>16.34</v>
      </c>
      <c r="E52" s="32" t="str">
        <f>E16</f>
        <v>Kg</v>
      </c>
      <c r="F52" s="34" t="str">
        <f>F16</f>
        <v>Master recipe ► Black pudding in 4 variations</v>
      </c>
      <c r="G52" s="92"/>
      <c r="H52" s="108"/>
      <c r="I52" s="94" t="str">
        <f t="shared" si="5"/>
        <v/>
      </c>
      <c r="J52" s="95">
        <v>20</v>
      </c>
      <c r="K52" s="105" t="s">
        <v>99</v>
      </c>
      <c r="L52" s="127">
        <v>1</v>
      </c>
      <c r="M52" s="920" t="s">
        <v>13180</v>
      </c>
      <c r="N52" s="1494">
        <f>IF(OR(ISBLANK(G42),N42=0),0,G52*L43)</f>
        <v>0</v>
      </c>
      <c r="O52" s="101">
        <f>IFERROR(_xlfn.LET(_xlpm.v,IFERROR(_xlfn.XLOOKUP(K52,G57:P57,G58:P58),_xlfn.XLOOKUP(K52,G59:P59,G60:P60)),_xlpm.v*J52*L52*L43*IF(ISBLANK(G52),1,G52)),0)</f>
        <v>7.3529411764705881E-4</v>
      </c>
      <c r="P52" s="1476" t="str">
        <f>_xlfn.LET(_xlpm.unite,SUBSTITUTE(TRIM(K52)," (s)",""),_xlpm.val,O52,_xlpm.estVol,COUNTIF(J57:P57,_xlpm.unite)+COUNTIF(J59:P59,_xlpm.unite)&gt;0,_xlpm.estPoids,COUNTIF(G57:I57,_xlpm.unite)+COUNTIF(G59:I59,_xlpm.unite)&gt;0,IF(_xlpm.estVol,IF(ROUND(_xlpm.val,3)&gt;=1,ROUND(_xlpm.val,3)&amp;" L",MAX(1,ROUND(_xlpm.val*100,0))&amp;" cl"),IF(_xlpm.estPoids,IF(ROUND(_xlpm.val,3)&gt;=1,ROUND(_xlpm.val,3)&amp;" Kg",MAX(1,ROUND(_xlpm.val*1000,0))&amp;" g"),"")))</f>
        <v>1 g</v>
      </c>
      <c r="Q52" s="1171"/>
      <c r="R52" s="104"/>
      <c r="S52" s="1172"/>
      <c r="T52" s="1172"/>
      <c r="U52" s="1172"/>
      <c r="V52" s="1173"/>
      <c r="W52" s="1174"/>
      <c r="X52" s="1175"/>
      <c r="Y52" s="1176"/>
      <c r="Z52" s="1177"/>
      <c r="AA52" s="1547"/>
      <c r="AB52" s="1177"/>
      <c r="AC52" s="1548"/>
      <c r="AD52" s="1549"/>
      <c r="AE52" s="1178"/>
      <c r="AF52" s="1179"/>
      <c r="AG52" s="1171"/>
      <c r="AH52" s="104"/>
      <c r="AI52" s="1172"/>
      <c r="AJ52" s="1172"/>
      <c r="AK52" s="1172"/>
      <c r="AL52" s="1173"/>
      <c r="AM52" s="1174"/>
      <c r="AN52" s="1175"/>
      <c r="AO52" s="1176"/>
      <c r="AP52" s="1177"/>
      <c r="AQ52" s="1547"/>
      <c r="AR52" s="1177"/>
      <c r="AS52" s="1548"/>
      <c r="AT52" s="1549"/>
      <c r="AU52" s="1178"/>
      <c r="AV52" s="1179"/>
      <c r="AY52" s="3">
        <v>1</v>
      </c>
    </row>
    <row r="53" spans="2:51" ht="27" customHeight="1">
      <c r="B53" s="104" t="str">
        <f t="shared" si="6"/>
        <v>A</v>
      </c>
      <c r="C53" s="32" t="str">
        <f>C16</f>
        <v>O OUR BLACK PUDDING | |  Author &gt; Guy KRENZE - Eric GODDYN - Arnaud NICOLAS - CEPROC 2002</v>
      </c>
      <c r="D53" s="33">
        <f>D16</f>
        <v>16.34</v>
      </c>
      <c r="E53" s="32" t="str">
        <f>E16</f>
        <v>Kg</v>
      </c>
      <c r="F53" s="34" t="str">
        <f>F16</f>
        <v>Master recipe ► Black pudding in 4 variations</v>
      </c>
      <c r="G53" s="92"/>
      <c r="H53" s="108"/>
      <c r="I53" s="94" t="str">
        <f t="shared" si="5"/>
        <v/>
      </c>
      <c r="J53" s="95">
        <v>10</v>
      </c>
      <c r="K53" s="105" t="s">
        <v>99</v>
      </c>
      <c r="L53" s="127">
        <v>1</v>
      </c>
      <c r="M53" s="920" t="s">
        <v>13181</v>
      </c>
      <c r="N53" s="1494">
        <f>IF(OR(ISBLANK(G42),N42=0),0,G53*L43)</f>
        <v>0</v>
      </c>
      <c r="O53" s="101">
        <f>IFERROR(_xlfn.LET(_xlpm.v,IFERROR(_xlfn.XLOOKUP(K53,G57:P57,G58:P58),_xlfn.XLOOKUP(K53,G59:P59,G60:P60)),_xlpm.v*J53*L53*L43*IF(ISBLANK(G53),1,G53)),0)</f>
        <v>3.6764705882352941E-4</v>
      </c>
      <c r="P53" s="1475" t="str">
        <f>_xlfn.LET(_xlpm.unite,SUBSTITUTE(TRIM(K53)," (s)",""),_xlpm.val,O53,_xlpm.estVol,COUNTIF(J57:P57,_xlpm.unite)+COUNTIF(J59:P59,_xlpm.unite)&gt;0,_xlpm.estPoids,COUNTIF(G57:I57,_xlpm.unite)+COUNTIF(G59:I59,_xlpm.unite)&gt;0,IF(_xlpm.estVol,IF(ROUND(_xlpm.val,3)&gt;=1,ROUND(_xlpm.val,3)&amp;" L",MAX(1,ROUND(_xlpm.val*100,0))&amp;" cl"),IF(_xlpm.estPoids,IF(ROUND(_xlpm.val,3)&gt;=1,ROUND(_xlpm.val,3)&amp;" Kg",MAX(1,ROUND(_xlpm.val*1000,0))&amp;" g"),"")))</f>
        <v>1 g</v>
      </c>
      <c r="Q53" s="1171"/>
      <c r="R53" s="104"/>
      <c r="S53" s="1172"/>
      <c r="T53" s="1172"/>
      <c r="U53" s="1172"/>
      <c r="V53" s="1173"/>
      <c r="W53" s="1174"/>
      <c r="X53" s="1175"/>
      <c r="Y53" s="1176"/>
      <c r="Z53" s="1177"/>
      <c r="AA53" s="1547"/>
      <c r="AB53" s="1177"/>
      <c r="AC53" s="1548"/>
      <c r="AD53" s="1549"/>
      <c r="AE53" s="1178"/>
      <c r="AF53" s="1179"/>
      <c r="AG53" s="1171"/>
      <c r="AH53" s="104"/>
      <c r="AI53" s="1172"/>
      <c r="AJ53" s="1172"/>
      <c r="AK53" s="1172"/>
      <c r="AL53" s="1173"/>
      <c r="AM53" s="1174"/>
      <c r="AN53" s="1175"/>
      <c r="AO53" s="1176"/>
      <c r="AP53" s="1177"/>
      <c r="AQ53" s="1547"/>
      <c r="AR53" s="1177"/>
      <c r="AS53" s="1548"/>
      <c r="AT53" s="1549"/>
      <c r="AU53" s="1178"/>
      <c r="AV53" s="1179"/>
      <c r="AY53" s="3">
        <v>1</v>
      </c>
    </row>
    <row r="54" spans="2:51" ht="27" customHeight="1">
      <c r="B54" s="104" t="str">
        <f t="shared" si="6"/>
        <v>A</v>
      </c>
      <c r="C54" s="32" t="str">
        <f>C16</f>
        <v>O OUR BLACK PUDDING | |  Author &gt; Guy KRENZE - Eric GODDYN - Arnaud NICOLAS - CEPROC 2002</v>
      </c>
      <c r="D54" s="33">
        <f>D16</f>
        <v>16.34</v>
      </c>
      <c r="E54" s="32" t="str">
        <f>E16</f>
        <v>Kg</v>
      </c>
      <c r="F54" s="34" t="str">
        <f>F16</f>
        <v>Master recipe ► Black pudding in 4 variations</v>
      </c>
      <c r="G54" s="92"/>
      <c r="H54" s="108"/>
      <c r="I54" s="94" t="str">
        <f t="shared" si="5"/>
        <v/>
      </c>
      <c r="J54" s="95">
        <v>15</v>
      </c>
      <c r="K54" s="105" t="s">
        <v>99</v>
      </c>
      <c r="L54" s="127">
        <v>1</v>
      </c>
      <c r="M54" s="920" t="s">
        <v>13182</v>
      </c>
      <c r="N54" s="1494">
        <f>IF(OR(ISBLANK(G42),N42=0),0,G54*L43)</f>
        <v>0</v>
      </c>
      <c r="O54" s="101">
        <f>IFERROR(_xlfn.LET(_xlpm.v,IFERROR(_xlfn.XLOOKUP(K54,G57:P57,G58:P58),_xlfn.XLOOKUP(K54,G59:P59,G60:P60)),_xlpm.v*J54*L54*L43*IF(ISBLANK(G54),1,G54)),0)</f>
        <v>5.5147058823529411E-4</v>
      </c>
      <c r="P54" s="1476" t="str">
        <f>_xlfn.LET(_xlpm.unite,SUBSTITUTE(TRIM(K54)," (s)",""),_xlpm.val,O54,_xlpm.estVol,COUNTIF(J57:P57,_xlpm.unite)+COUNTIF(J59:P59,_xlpm.unite)&gt;0,_xlpm.estPoids,COUNTIF(G57:I57,_xlpm.unite)+COUNTIF(G59:I59,_xlpm.unite)&gt;0,IF(_xlpm.estVol,IF(ROUND(_xlpm.val,3)&gt;=1,ROUND(_xlpm.val,3)&amp;" L",MAX(1,ROUND(_xlpm.val*100,0))&amp;" cl"),IF(_xlpm.estPoids,IF(ROUND(_xlpm.val,3)&gt;=1,ROUND(_xlpm.val,3)&amp;" Kg",MAX(1,ROUND(_xlpm.val*1000,0))&amp;" g"),"")))</f>
        <v>1 g</v>
      </c>
      <c r="Q54" s="1171"/>
      <c r="R54" s="104"/>
      <c r="S54" s="1172"/>
      <c r="T54" s="1172"/>
      <c r="U54" s="1172"/>
      <c r="V54" s="1173"/>
      <c r="W54" s="1174"/>
      <c r="X54" s="1175"/>
      <c r="Y54" s="1176"/>
      <c r="Z54" s="1177"/>
      <c r="AA54" s="1547"/>
      <c r="AB54" s="1177"/>
      <c r="AC54" s="1548"/>
      <c r="AD54" s="1549"/>
      <c r="AE54" s="1178"/>
      <c r="AF54" s="1179"/>
      <c r="AG54" s="1171"/>
      <c r="AH54" s="104"/>
      <c r="AI54" s="1172"/>
      <c r="AJ54" s="1172"/>
      <c r="AK54" s="1172"/>
      <c r="AL54" s="1173"/>
      <c r="AM54" s="1174"/>
      <c r="AN54" s="1175"/>
      <c r="AO54" s="1176"/>
      <c r="AP54" s="1177"/>
      <c r="AQ54" s="1547"/>
      <c r="AR54" s="1177"/>
      <c r="AS54" s="1548"/>
      <c r="AT54" s="1549"/>
      <c r="AU54" s="1178"/>
      <c r="AV54" s="1179"/>
      <c r="AY54" s="3">
        <v>1</v>
      </c>
    </row>
    <row r="55" spans="2:51" ht="27" customHeight="1">
      <c r="B55" s="104" t="str">
        <f t="shared" si="6"/>
        <v>►</v>
      </c>
      <c r="C55" s="32" t="str">
        <f>C16</f>
        <v>O OUR BLACK PUDDING | |  Author &gt; Guy KRENZE - Eric GODDYN - Arnaud NICOLAS - CEPROC 2002</v>
      </c>
      <c r="D55" s="33">
        <f>D16</f>
        <v>16.34</v>
      </c>
      <c r="E55" s="32" t="str">
        <f>E16</f>
        <v>Kg</v>
      </c>
      <c r="F55" s="34" t="str">
        <f>F16</f>
        <v>Master recipe ► Black pudding in 4 variations</v>
      </c>
      <c r="G55" s="92"/>
      <c r="H55" s="108"/>
      <c r="I55" s="94" t="str">
        <f t="shared" si="5"/>
        <v/>
      </c>
      <c r="J55" s="95"/>
      <c r="K55" s="126"/>
      <c r="L55" s="127">
        <v>1</v>
      </c>
      <c r="M55" s="920"/>
      <c r="N55" s="1494">
        <f>IF(OR(ISBLANK(G42),N42=0),0,G55*L43)</f>
        <v>0</v>
      </c>
      <c r="O55" s="101">
        <f>IFERROR(_xlfn.LET(_xlpm.v,IFERROR(_xlfn.XLOOKUP(K55,G57:P57,G58:P58),_xlfn.XLOOKUP(K55,G59:P59,G60:P60)),_xlpm.v*J55*L55*L43*IF(ISBLANK(G55),1,G55)),0)</f>
        <v>0</v>
      </c>
      <c r="P55" s="1475" t="str">
        <f>_xlfn.LET(_xlpm.unite,SUBSTITUTE(TRIM(K55)," (s)",""),_xlpm.val,O55,_xlpm.estVol,COUNTIF(J57:P57,_xlpm.unite)+COUNTIF(J59:P59,_xlpm.unite)&gt;0,_xlpm.estPoids,COUNTIF(G57:I57,_xlpm.unite)+COUNTIF(G59:I59,_xlpm.unite)&gt;0,IF(_xlpm.estVol,IF(ROUND(_xlpm.val,3)&gt;=1,ROUND(_xlpm.val,3)&amp;" L",MAX(1,ROUND(_xlpm.val*100,0))&amp;" cl"),IF(_xlpm.estPoids,IF(ROUND(_xlpm.val,3)&gt;=1,ROUND(_xlpm.val,3)&amp;" Kg",MAX(1,ROUND(_xlpm.val*1000,0))&amp;" g"),"")))</f>
        <v/>
      </c>
      <c r="Q55" s="1171"/>
      <c r="R55" s="104"/>
      <c r="S55" s="1172"/>
      <c r="T55" s="1172"/>
      <c r="U55" s="1172"/>
      <c r="V55" s="1173"/>
      <c r="W55" s="1174"/>
      <c r="X55" s="1175"/>
      <c r="Y55" s="1176"/>
      <c r="Z55" s="1177"/>
      <c r="AA55" s="1547"/>
      <c r="AB55" s="1177"/>
      <c r="AC55" s="1548"/>
      <c r="AD55" s="1549"/>
      <c r="AE55" s="1178"/>
      <c r="AF55" s="1179"/>
      <c r="AG55" s="1171"/>
      <c r="AH55" s="104"/>
      <c r="AI55" s="1172"/>
      <c r="AJ55" s="1172"/>
      <c r="AK55" s="1172"/>
      <c r="AL55" s="1173"/>
      <c r="AM55" s="1174"/>
      <c r="AN55" s="1175"/>
      <c r="AO55" s="1176"/>
      <c r="AP55" s="1177"/>
      <c r="AQ55" s="1547"/>
      <c r="AR55" s="1177"/>
      <c r="AS55" s="1548"/>
      <c r="AT55" s="1549"/>
      <c r="AU55" s="1178"/>
      <c r="AV55" s="1179"/>
      <c r="AY55" s="3">
        <v>1</v>
      </c>
    </row>
    <row r="56" spans="2:51" ht="27" customHeight="1">
      <c r="B56" s="104" t="s">
        <v>11</v>
      </c>
      <c r="C56" s="32" t="str">
        <f>C16</f>
        <v>O OUR BLACK PUDDING | |  Author &gt; Guy KRENZE - Eric GODDYN - Arnaud NICOLAS - CEPROC 2002</v>
      </c>
      <c r="D56" s="33">
        <f>D16</f>
        <v>16.34</v>
      </c>
      <c r="E56" s="32" t="str">
        <f>E16</f>
        <v>Kg</v>
      </c>
      <c r="F56" s="34" t="str">
        <f>F16</f>
        <v>Master recipe ► Black pudding in 4 variations</v>
      </c>
      <c r="G56" s="907" t="s">
        <v>136</v>
      </c>
      <c r="H56" s="500"/>
      <c r="I56" s="500"/>
      <c r="J56" s="500"/>
      <c r="K56" s="500"/>
      <c r="L56" s="908"/>
      <c r="M56" s="909"/>
      <c r="N56" s="909"/>
      <c r="O56" s="5164">
        <f>SUM(O46:O55)</f>
        <v>1.4981617647058826E-2</v>
      </c>
      <c r="P56" s="1489"/>
      <c r="Q56" s="1171"/>
      <c r="R56" s="104"/>
      <c r="S56" s="1172"/>
      <c r="T56" s="1172"/>
      <c r="U56" s="1172"/>
      <c r="V56" s="1173"/>
      <c r="W56" s="1174"/>
      <c r="X56" s="1175"/>
      <c r="Y56" s="1176"/>
      <c r="Z56" s="1177"/>
      <c r="AA56" s="1547"/>
      <c r="AB56" s="1177"/>
      <c r="AC56" s="1548"/>
      <c r="AD56" s="1549"/>
      <c r="AE56" s="1178"/>
      <c r="AF56" s="1179"/>
      <c r="AG56" s="1171"/>
      <c r="AH56" s="104"/>
      <c r="AI56" s="1172"/>
      <c r="AJ56" s="1172"/>
      <c r="AK56" s="1172"/>
      <c r="AL56" s="1173"/>
      <c r="AM56" s="1174"/>
      <c r="AN56" s="1175"/>
      <c r="AO56" s="1176"/>
      <c r="AP56" s="1177"/>
      <c r="AQ56" s="1547"/>
      <c r="AR56" s="1177"/>
      <c r="AS56" s="1548"/>
      <c r="AT56" s="1549"/>
      <c r="AU56" s="1178"/>
      <c r="AV56" s="1179"/>
      <c r="AY56" s="3">
        <v>1</v>
      </c>
    </row>
    <row r="57" spans="2:51" ht="27" customHeight="1">
      <c r="B57" s="104" t="s">
        <v>16</v>
      </c>
      <c r="C57" s="32" t="str">
        <f>C16</f>
        <v>O OUR BLACK PUDDING | |  Author &gt; Guy KRENZE - Eric GODDYN - Arnaud NICOLAS - CEPROC 2002</v>
      </c>
      <c r="D57" s="33">
        <f>D16</f>
        <v>16.34</v>
      </c>
      <c r="E57" s="32" t="str">
        <f>E16</f>
        <v>Kg</v>
      </c>
      <c r="F57" s="34" t="str">
        <f>F16</f>
        <v>Master recipe ► Black pudding in 4 variations</v>
      </c>
      <c r="G57" s="140" t="s">
        <v>143</v>
      </c>
      <c r="H57" s="105" t="s">
        <v>99</v>
      </c>
      <c r="I57" s="141" t="s">
        <v>144</v>
      </c>
      <c r="J57" s="96" t="s">
        <v>0</v>
      </c>
      <c r="K57" s="96" t="s">
        <v>96</v>
      </c>
      <c r="L57" s="96" t="s">
        <v>147</v>
      </c>
      <c r="M57" s="96" t="s">
        <v>148</v>
      </c>
      <c r="N57" s="109" t="s">
        <v>1378</v>
      </c>
      <c r="O57" s="109" t="s">
        <v>1360</v>
      </c>
      <c r="P57" s="109" t="s">
        <v>1361</v>
      </c>
      <c r="Q57" s="1171"/>
      <c r="R57" s="104"/>
      <c r="S57" s="1172"/>
      <c r="T57" s="1172"/>
      <c r="U57" s="1172"/>
      <c r="V57" s="1173"/>
      <c r="W57" s="1174"/>
      <c r="X57" s="1175"/>
      <c r="Y57" s="1176"/>
      <c r="Z57" s="1177"/>
      <c r="AA57" s="1547"/>
      <c r="AB57" s="1177"/>
      <c r="AC57" s="1548"/>
      <c r="AD57" s="1549"/>
      <c r="AE57" s="1178"/>
      <c r="AF57" s="1179"/>
      <c r="AG57" s="1171"/>
      <c r="AH57" s="104"/>
      <c r="AI57" s="1172"/>
      <c r="AJ57" s="1172"/>
      <c r="AK57" s="1172"/>
      <c r="AL57" s="1173"/>
      <c r="AM57" s="1174"/>
      <c r="AN57" s="1175"/>
      <c r="AO57" s="1176"/>
      <c r="AP57" s="1177"/>
      <c r="AQ57" s="1547"/>
      <c r="AR57" s="1177"/>
      <c r="AS57" s="1548"/>
      <c r="AT57" s="1549"/>
      <c r="AU57" s="1178"/>
      <c r="AV57" s="1179"/>
      <c r="AY57" s="3">
        <v>1</v>
      </c>
    </row>
    <row r="58" spans="2:51" ht="27" customHeight="1">
      <c r="B58" s="104" t="s">
        <v>16</v>
      </c>
      <c r="C58" s="32" t="str">
        <f>C16</f>
        <v>O OUR BLACK PUDDING | |  Author &gt; Guy KRENZE - Eric GODDYN - Arnaud NICOLAS - CEPROC 2002</v>
      </c>
      <c r="D58" s="33">
        <f>D16</f>
        <v>16.34</v>
      </c>
      <c r="E58" s="32" t="str">
        <f>E16</f>
        <v>Kg</v>
      </c>
      <c r="F58" s="34" t="str">
        <f>F16</f>
        <v>Master recipe ► Black pudding in 4 variations</v>
      </c>
      <c r="G58" s="911">
        <v>1</v>
      </c>
      <c r="H58" s="912">
        <v>1E-3</v>
      </c>
      <c r="I58" s="913">
        <v>0</v>
      </c>
      <c r="J58" s="914">
        <v>1</v>
      </c>
      <c r="K58" s="914">
        <v>0.1</v>
      </c>
      <c r="L58" s="914">
        <v>0.01</v>
      </c>
      <c r="M58" s="914">
        <v>1E-3</v>
      </c>
      <c r="N58" s="914">
        <v>0.25</v>
      </c>
      <c r="O58" s="914">
        <v>0.5</v>
      </c>
      <c r="P58" s="914">
        <v>0.33300000000000002</v>
      </c>
      <c r="Q58" s="1171"/>
      <c r="R58" s="104"/>
      <c r="S58" s="1172"/>
      <c r="T58" s="1172"/>
      <c r="U58" s="1172"/>
      <c r="V58" s="1173"/>
      <c r="W58" s="1174"/>
      <c r="X58" s="1175"/>
      <c r="Y58" s="1176"/>
      <c r="Z58" s="1177"/>
      <c r="AA58" s="1547"/>
      <c r="AB58" s="1177"/>
      <c r="AC58" s="1548"/>
      <c r="AD58" s="1549"/>
      <c r="AE58" s="1178"/>
      <c r="AF58" s="1179"/>
      <c r="AG58" s="1171"/>
      <c r="AH58" s="104"/>
      <c r="AI58" s="1172"/>
      <c r="AJ58" s="1172"/>
      <c r="AK58" s="1172"/>
      <c r="AL58" s="1173"/>
      <c r="AM58" s="1174"/>
      <c r="AN58" s="1175"/>
      <c r="AO58" s="1176"/>
      <c r="AP58" s="1177"/>
      <c r="AQ58" s="1547"/>
      <c r="AR58" s="1177"/>
      <c r="AS58" s="1548"/>
      <c r="AT58" s="1549"/>
      <c r="AU58" s="1178"/>
      <c r="AV58" s="1179"/>
      <c r="AY58" s="3">
        <v>1</v>
      </c>
    </row>
    <row r="59" spans="2:51" ht="27" customHeight="1">
      <c r="B59" s="104" t="s">
        <v>16</v>
      </c>
      <c r="C59" s="32" t="str">
        <f>C16</f>
        <v>O OUR BLACK PUDDING | |  Author &gt; Guy KRENZE - Eric GODDYN - Arnaud NICOLAS - CEPROC 2002</v>
      </c>
      <c r="D59" s="33">
        <f>D16</f>
        <v>16.34</v>
      </c>
      <c r="E59" s="32" t="str">
        <f>E16</f>
        <v>Kg</v>
      </c>
      <c r="F59" s="34" t="str">
        <f>F16</f>
        <v>Master recipe ► Black pudding in 4 variations</v>
      </c>
      <c r="G59" s="142" t="s">
        <v>1357</v>
      </c>
      <c r="H59" s="117" t="s">
        <v>1359</v>
      </c>
      <c r="I59" s="141" t="s">
        <v>144</v>
      </c>
      <c r="J59" s="109" t="s">
        <v>1362</v>
      </c>
      <c r="K59" s="109" t="s">
        <v>1371</v>
      </c>
      <c r="L59" s="109" t="s">
        <v>1372</v>
      </c>
      <c r="M59" s="109" t="s">
        <v>1370</v>
      </c>
      <c r="N59" s="149" t="s">
        <v>1368</v>
      </c>
      <c r="O59" s="149" t="s">
        <v>1367</v>
      </c>
      <c r="P59" s="1061" t="s">
        <v>1832</v>
      </c>
      <c r="Q59" s="1171"/>
      <c r="R59" s="104"/>
      <c r="S59" s="1172"/>
      <c r="T59" s="1172"/>
      <c r="U59" s="1172"/>
      <c r="V59" s="1173"/>
      <c r="W59" s="1174"/>
      <c r="X59" s="1175"/>
      <c r="Y59" s="1176"/>
      <c r="Z59" s="1177"/>
      <c r="AA59" s="1547"/>
      <c r="AB59" s="1177"/>
      <c r="AC59" s="1548"/>
      <c r="AD59" s="1549"/>
      <c r="AE59" s="1178"/>
      <c r="AF59" s="1179"/>
      <c r="AG59" s="1171"/>
      <c r="AH59" s="104"/>
      <c r="AI59" s="1172"/>
      <c r="AJ59" s="1172"/>
      <c r="AK59" s="1172"/>
      <c r="AL59" s="1173"/>
      <c r="AM59" s="1174"/>
      <c r="AN59" s="1175"/>
      <c r="AO59" s="1176"/>
      <c r="AP59" s="1177"/>
      <c r="AQ59" s="1547"/>
      <c r="AR59" s="1177"/>
      <c r="AS59" s="1548"/>
      <c r="AT59" s="1549"/>
      <c r="AU59" s="1178"/>
      <c r="AV59" s="1179"/>
      <c r="AY59" s="3">
        <v>1</v>
      </c>
    </row>
    <row r="60" spans="2:51" ht="27" customHeight="1">
      <c r="B60" s="104" t="s">
        <v>16</v>
      </c>
      <c r="C60" s="32" t="str">
        <f>C16</f>
        <v>O OUR BLACK PUDDING | |  Author &gt; Guy KRENZE - Eric GODDYN - Arnaud NICOLAS - CEPROC 2002</v>
      </c>
      <c r="D60" s="33">
        <f>D16</f>
        <v>16.34</v>
      </c>
      <c r="E60" s="32" t="str">
        <f>E16</f>
        <v>Kg</v>
      </c>
      <c r="F60" s="34" t="str">
        <f>F16</f>
        <v>Master recipe ► Black pudding in 4 variations</v>
      </c>
      <c r="G60" s="912">
        <v>0.25</v>
      </c>
      <c r="H60" s="912">
        <v>0.5</v>
      </c>
      <c r="I60" s="913">
        <v>0</v>
      </c>
      <c r="J60" s="914">
        <v>0.2</v>
      </c>
      <c r="K60" s="914">
        <v>0.1</v>
      </c>
      <c r="L60" s="914">
        <v>0.22500000000000001</v>
      </c>
      <c r="M60" s="914">
        <v>1.4999999999999999E-2</v>
      </c>
      <c r="N60" s="914">
        <v>4.9299999999999995E-3</v>
      </c>
      <c r="O60" s="914">
        <v>0.35</v>
      </c>
      <c r="P60" s="915">
        <v>0.25</v>
      </c>
      <c r="Q60" s="1171"/>
      <c r="R60" s="104"/>
      <c r="S60" s="1172"/>
      <c r="T60" s="1172"/>
      <c r="U60" s="1172"/>
      <c r="V60" s="1173"/>
      <c r="W60" s="1174"/>
      <c r="X60" s="1175"/>
      <c r="Y60" s="1176"/>
      <c r="Z60" s="1177"/>
      <c r="AA60" s="1547"/>
      <c r="AB60" s="1177"/>
      <c r="AC60" s="1548"/>
      <c r="AD60" s="1549"/>
      <c r="AE60" s="1178"/>
      <c r="AF60" s="1179"/>
      <c r="AG60" s="1171"/>
      <c r="AH60" s="104"/>
      <c r="AI60" s="1172"/>
      <c r="AJ60" s="1172"/>
      <c r="AK60" s="1172"/>
      <c r="AL60" s="1173"/>
      <c r="AM60" s="1174"/>
      <c r="AN60" s="1175"/>
      <c r="AO60" s="1176"/>
      <c r="AP60" s="1177"/>
      <c r="AQ60" s="1547"/>
      <c r="AR60" s="1177"/>
      <c r="AS60" s="1548"/>
      <c r="AT60" s="1549"/>
      <c r="AU60" s="1178"/>
      <c r="AV60" s="1179"/>
      <c r="AY60" s="3">
        <v>1</v>
      </c>
    </row>
    <row r="61" spans="2:51" ht="27" customHeight="1">
      <c r="B61" s="104" t="s">
        <v>16</v>
      </c>
      <c r="C61" s="32" t="str">
        <f>C16</f>
        <v>O OUR BLACK PUDDING | |  Author &gt; Guy KRENZE - Eric GODDYN - Arnaud NICOLAS - CEPROC 2002</v>
      </c>
      <c r="D61" s="33">
        <f>D16</f>
        <v>16.34</v>
      </c>
      <c r="E61" s="32" t="str">
        <f>E16</f>
        <v>Kg</v>
      </c>
      <c r="F61" s="34" t="str">
        <f>F16</f>
        <v>Master recipe ► Black pudding in 4 variations</v>
      </c>
      <c r="G61" s="5135" t="str">
        <f>G17</f>
        <v>Col.6</v>
      </c>
      <c r="H61" s="5135" t="str">
        <f>H17</f>
        <v>Col.7</v>
      </c>
      <c r="I61" s="5136">
        <f>S61</f>
        <v>0</v>
      </c>
      <c r="J61" s="5136"/>
      <c r="K61" s="5136"/>
      <c r="L61" s="5136"/>
      <c r="M61" s="5136"/>
      <c r="N61" s="5136"/>
      <c r="O61" s="5136"/>
      <c r="P61" s="5137"/>
      <c r="Q61" s="1171"/>
      <c r="R61" s="104"/>
      <c r="S61" s="1172"/>
      <c r="T61" s="1172"/>
      <c r="U61" s="1172"/>
      <c r="V61" s="1173"/>
      <c r="W61" s="1174"/>
      <c r="X61" s="1175"/>
      <c r="Y61" s="1176"/>
      <c r="Z61" s="1177"/>
      <c r="AA61" s="1547"/>
      <c r="AB61" s="1177"/>
      <c r="AC61" s="1548"/>
      <c r="AD61" s="1549"/>
      <c r="AE61" s="1178"/>
      <c r="AF61" s="1179"/>
      <c r="AG61" s="1171"/>
      <c r="AH61" s="104"/>
      <c r="AI61" s="1172"/>
      <c r="AJ61" s="1172"/>
      <c r="AK61" s="1172"/>
      <c r="AL61" s="1173"/>
      <c r="AM61" s="1174"/>
      <c r="AN61" s="1175"/>
      <c r="AO61" s="1176"/>
      <c r="AP61" s="1177"/>
      <c r="AQ61" s="1547"/>
      <c r="AR61" s="1177"/>
      <c r="AS61" s="1548"/>
      <c r="AT61" s="1549"/>
      <c r="AU61" s="1178"/>
      <c r="AV61" s="1179"/>
      <c r="AY61" s="3">
        <v>1</v>
      </c>
    </row>
    <row r="62" spans="2:51" ht="27" customHeight="1">
      <c r="B62" s="104" t="s">
        <v>11</v>
      </c>
      <c r="C62" s="5146" t="str">
        <f>C16</f>
        <v>O OUR BLACK PUDDING | |  Author &gt; Guy KRENZE - Eric GODDYN - Arnaud NICOLAS - CEPROC 2002</v>
      </c>
      <c r="D62" s="5146">
        <f>D16</f>
        <v>16.34</v>
      </c>
      <c r="E62" s="5147" t="str">
        <f>E16</f>
        <v>Kg</v>
      </c>
      <c r="F62" s="5148" t="str">
        <f>F16</f>
        <v>Master recipe ► Black pudding in 4 variations</v>
      </c>
      <c r="G62" s="5149">
        <v>0</v>
      </c>
      <c r="H62" s="976" t="s">
        <v>13197</v>
      </c>
      <c r="I62" s="162"/>
      <c r="J62" s="162"/>
      <c r="K62" s="5150"/>
      <c r="L62" s="5150"/>
      <c r="M62" s="5150"/>
      <c r="N62" s="5150"/>
      <c r="O62" s="156" t="s">
        <v>894</v>
      </c>
      <c r="P62" s="1484" t="s">
        <v>3276</v>
      </c>
      <c r="Q62" s="1171"/>
      <c r="R62" s="104"/>
      <c r="S62" s="1172"/>
      <c r="T62" s="1172"/>
      <c r="U62" s="1172"/>
      <c r="V62" s="1173"/>
      <c r="W62" s="1174"/>
      <c r="X62" s="1175"/>
      <c r="Y62" s="1176"/>
      <c r="Z62" s="1177"/>
      <c r="AA62" s="1547"/>
      <c r="AB62" s="1177"/>
      <c r="AC62" s="1548"/>
      <c r="AD62" s="1549"/>
      <c r="AE62" s="1178"/>
      <c r="AF62" s="1179"/>
      <c r="AG62" s="1171"/>
      <c r="AH62" s="104"/>
      <c r="AI62" s="1172"/>
      <c r="AJ62" s="1172"/>
      <c r="AK62" s="1172"/>
      <c r="AL62" s="1173"/>
      <c r="AM62" s="1174"/>
      <c r="AN62" s="1175"/>
      <c r="AO62" s="1176"/>
      <c r="AP62" s="1177"/>
      <c r="AQ62" s="1547"/>
      <c r="AR62" s="1177"/>
      <c r="AS62" s="1548"/>
      <c r="AT62" s="1549"/>
      <c r="AU62" s="1178"/>
      <c r="AV62" s="1179"/>
      <c r="AY62" s="3">
        <v>1</v>
      </c>
    </row>
    <row r="63" spans="2:51" ht="27" customHeight="1">
      <c r="B63" s="104" t="str">
        <f>IF(COUNTIF(H63:L63,"&lt;&gt;")&gt;0,"A","►")</f>
        <v>A</v>
      </c>
      <c r="C63" s="5146" t="str">
        <f>C16</f>
        <v>O OUR BLACK PUDDING | |  Author &gt; Guy KRENZE - Eric GODDYN - Arnaud NICOLAS - CEPROC 2002</v>
      </c>
      <c r="D63" s="5146">
        <f>D16</f>
        <v>16.34</v>
      </c>
      <c r="E63" s="5147" t="str">
        <f>E16</f>
        <v>Kg</v>
      </c>
      <c r="F63" s="5148" t="str">
        <f>F16</f>
        <v>Master recipe ► Black pudding in 4 variations</v>
      </c>
      <c r="G63" s="5128">
        <f>IF(ISBLANK(H63),"",LARGE(G62:G62,1)+1)</f>
        <v>1</v>
      </c>
      <c r="H63" s="5040" t="s">
        <v>13198</v>
      </c>
      <c r="I63" s="172"/>
      <c r="J63" s="172"/>
      <c r="K63" s="172"/>
      <c r="L63" s="172"/>
      <c r="M63" s="172"/>
      <c r="N63" s="172"/>
      <c r="O63" s="1474" t="s">
        <v>895</v>
      </c>
      <c r="P63" s="1482" t="s">
        <v>668</v>
      </c>
      <c r="Q63" s="1171"/>
      <c r="R63" s="104"/>
      <c r="S63" s="1172"/>
      <c r="T63" s="1172"/>
      <c r="U63" s="1172"/>
      <c r="V63" s="1173"/>
      <c r="W63" s="1174"/>
      <c r="X63" s="1175"/>
      <c r="Y63" s="1176"/>
      <c r="Z63" s="1177"/>
      <c r="AA63" s="1547"/>
      <c r="AB63" s="1177"/>
      <c r="AC63" s="1548"/>
      <c r="AD63" s="1549"/>
      <c r="AE63" s="1178"/>
      <c r="AF63" s="1179"/>
      <c r="AG63" s="1171"/>
      <c r="AH63" s="104"/>
      <c r="AI63" s="1172"/>
      <c r="AJ63" s="1172"/>
      <c r="AK63" s="1172"/>
      <c r="AL63" s="1173"/>
      <c r="AM63" s="1174"/>
      <c r="AN63" s="1175"/>
      <c r="AO63" s="1176"/>
      <c r="AP63" s="1177"/>
      <c r="AQ63" s="1547"/>
      <c r="AR63" s="1177"/>
      <c r="AS63" s="1548"/>
      <c r="AT63" s="1549"/>
      <c r="AU63" s="1178"/>
      <c r="AV63" s="1179"/>
      <c r="AY63" s="3">
        <v>1</v>
      </c>
    </row>
    <row r="64" spans="2:51" ht="27" customHeight="1">
      <c r="B64" s="104" t="str">
        <f t="shared" ref="B64:B79" si="7">IF(COUNTIF(H64:L64,"&lt;&gt;")&gt;0,"A","►")</f>
        <v>A</v>
      </c>
      <c r="C64" s="157" t="str">
        <f>C16</f>
        <v>O OUR BLACK PUDDING | |  Author &gt; Guy KRENZE - Eric GODDYN - Arnaud NICOLAS - CEPROC 2002</v>
      </c>
      <c r="D64" s="157">
        <f>D16</f>
        <v>16.34</v>
      </c>
      <c r="E64" s="158" t="str">
        <f>E16</f>
        <v>Kg</v>
      </c>
      <c r="F64" s="159" t="str">
        <f>F16</f>
        <v>Master recipe ► Black pudding in 4 variations</v>
      </c>
      <c r="G64" s="5128">
        <f>IF(ISBLANK(H64),"",LARGE(G62:G63,1)+1)</f>
        <v>2</v>
      </c>
      <c r="H64" s="5040" t="s">
        <v>13199</v>
      </c>
      <c r="I64" s="172"/>
      <c r="J64" s="172"/>
      <c r="K64" s="172"/>
      <c r="L64" s="172"/>
      <c r="M64" s="172"/>
      <c r="N64" s="172"/>
      <c r="O64" s="172"/>
      <c r="P64" s="555"/>
      <c r="Q64" s="1171"/>
      <c r="R64" s="104"/>
      <c r="S64" s="1172"/>
      <c r="T64" s="1172"/>
      <c r="U64" s="1172"/>
      <c r="V64" s="1173"/>
      <c r="W64" s="1174"/>
      <c r="X64" s="1175"/>
      <c r="Y64" s="1176"/>
      <c r="Z64" s="1177"/>
      <c r="AA64" s="1547"/>
      <c r="AB64" s="1177"/>
      <c r="AC64" s="1548"/>
      <c r="AD64" s="1549"/>
      <c r="AE64" s="1178"/>
      <c r="AF64" s="1179"/>
      <c r="AG64" s="1171"/>
      <c r="AH64" s="104"/>
      <c r="AI64" s="1172"/>
      <c r="AJ64" s="1172"/>
      <c r="AK64" s="1172"/>
      <c r="AL64" s="1173"/>
      <c r="AM64" s="1174"/>
      <c r="AN64" s="1175"/>
      <c r="AO64" s="1176"/>
      <c r="AP64" s="1177"/>
      <c r="AQ64" s="1547"/>
      <c r="AR64" s="1177"/>
      <c r="AS64" s="1548"/>
      <c r="AT64" s="1549"/>
      <c r="AU64" s="1178"/>
      <c r="AV64" s="1179"/>
      <c r="AY64" s="3">
        <v>1</v>
      </c>
    </row>
    <row r="65" spans="2:51" ht="27" customHeight="1">
      <c r="B65" s="104" t="str">
        <f t="shared" si="7"/>
        <v>A</v>
      </c>
      <c r="C65" s="157" t="str">
        <f>C16</f>
        <v>O OUR BLACK PUDDING | |  Author &gt; Guy KRENZE - Eric GODDYN - Arnaud NICOLAS - CEPROC 2002</v>
      </c>
      <c r="D65" s="157">
        <f>D16</f>
        <v>16.34</v>
      </c>
      <c r="E65" s="158" t="str">
        <f>E16</f>
        <v>Kg</v>
      </c>
      <c r="F65" s="159" t="str">
        <f>F16</f>
        <v>Master recipe ► Black pudding in 4 variations</v>
      </c>
      <c r="G65" s="5128">
        <f>IF(ISBLANK(H65),"",LARGE(G62:G64,1)+1)</f>
        <v>3</v>
      </c>
      <c r="H65" s="5040" t="s">
        <v>13200</v>
      </c>
      <c r="I65" s="172"/>
      <c r="J65" s="172"/>
      <c r="K65" s="172"/>
      <c r="L65" s="172"/>
      <c r="M65" s="172"/>
      <c r="N65" s="172"/>
      <c r="O65" s="170" t="s">
        <v>676</v>
      </c>
      <c r="P65" s="171">
        <v>3.472222222222222E-3</v>
      </c>
      <c r="Q65" s="1171"/>
      <c r="R65" s="104"/>
      <c r="S65" s="1172"/>
      <c r="T65" s="1172"/>
      <c r="U65" s="1172"/>
      <c r="V65" s="1173"/>
      <c r="W65" s="1174"/>
      <c r="X65" s="1175"/>
      <c r="Y65" s="1176"/>
      <c r="Z65" s="1177"/>
      <c r="AA65" s="1547"/>
      <c r="AB65" s="1177"/>
      <c r="AC65" s="1548"/>
      <c r="AD65" s="1549"/>
      <c r="AE65" s="1178"/>
      <c r="AF65" s="1179"/>
      <c r="AG65" s="1171"/>
      <c r="AH65" s="104"/>
      <c r="AI65" s="1172"/>
      <c r="AJ65" s="1172"/>
      <c r="AK65" s="1172"/>
      <c r="AL65" s="1173"/>
      <c r="AM65" s="1174"/>
      <c r="AN65" s="1175"/>
      <c r="AO65" s="1176"/>
      <c r="AP65" s="1177"/>
      <c r="AQ65" s="1547"/>
      <c r="AR65" s="1177"/>
      <c r="AS65" s="1548"/>
      <c r="AT65" s="1549"/>
      <c r="AU65" s="1178"/>
      <c r="AV65" s="1179"/>
      <c r="AY65" s="3">
        <v>1</v>
      </c>
    </row>
    <row r="66" spans="2:51" ht="27" customHeight="1">
      <c r="B66" s="104" t="str">
        <f t="shared" si="7"/>
        <v>A</v>
      </c>
      <c r="C66" s="157" t="str">
        <f>C16</f>
        <v>O OUR BLACK PUDDING | |  Author &gt; Guy KRENZE - Eric GODDYN - Arnaud NICOLAS - CEPROC 2002</v>
      </c>
      <c r="D66" s="157">
        <f>D16</f>
        <v>16.34</v>
      </c>
      <c r="E66" s="158" t="str">
        <f>E16</f>
        <v>Kg</v>
      </c>
      <c r="F66" s="159" t="str">
        <f>F16</f>
        <v>Master recipe ► Black pudding in 4 variations</v>
      </c>
      <c r="G66" s="5128">
        <f>IF(ISBLANK(H66),"",LARGE(G62:G65,1)+1)</f>
        <v>4</v>
      </c>
      <c r="H66" s="5040" t="s">
        <v>13201</v>
      </c>
      <c r="I66" s="172"/>
      <c r="J66" s="172"/>
      <c r="K66" s="172"/>
      <c r="L66" s="172"/>
      <c r="M66" s="172"/>
      <c r="N66" s="172"/>
      <c r="O66" s="170" t="s">
        <v>682</v>
      </c>
      <c r="P66" s="174">
        <v>3.472222222222222E-3</v>
      </c>
      <c r="Q66" s="1171"/>
      <c r="R66" s="104"/>
      <c r="S66" s="1172"/>
      <c r="T66" s="1172"/>
      <c r="U66" s="1172"/>
      <c r="V66" s="1173"/>
      <c r="W66" s="1174"/>
      <c r="X66" s="1175"/>
      <c r="Y66" s="1176"/>
      <c r="Z66" s="1177"/>
      <c r="AA66" s="1547"/>
      <c r="AB66" s="1177"/>
      <c r="AC66" s="1548"/>
      <c r="AD66" s="1549"/>
      <c r="AE66" s="1178"/>
      <c r="AF66" s="1179"/>
      <c r="AH66" s="104"/>
      <c r="AI66" s="1172"/>
      <c r="AJ66" s="1172"/>
      <c r="AK66" s="1172"/>
      <c r="AL66" s="1173"/>
      <c r="AM66" s="1174"/>
      <c r="AN66" s="1175"/>
      <c r="AO66" s="1176"/>
      <c r="AP66" s="1177"/>
      <c r="AQ66" s="1547"/>
      <c r="AR66" s="1177"/>
      <c r="AS66" s="1548"/>
      <c r="AT66" s="1549"/>
      <c r="AU66" s="1178"/>
      <c r="AV66" s="1179"/>
      <c r="AY66" s="3">
        <v>1</v>
      </c>
    </row>
    <row r="67" spans="2:51" ht="27" customHeight="1">
      <c r="B67" s="104" t="str">
        <f t="shared" si="7"/>
        <v>A</v>
      </c>
      <c r="C67" s="157" t="str">
        <f>C16</f>
        <v>O OUR BLACK PUDDING | |  Author &gt; Guy KRENZE - Eric GODDYN - Arnaud NICOLAS - CEPROC 2002</v>
      </c>
      <c r="D67" s="157">
        <f>D16</f>
        <v>16.34</v>
      </c>
      <c r="E67" s="158" t="str">
        <f>E16</f>
        <v>Kg</v>
      </c>
      <c r="F67" s="159" t="str">
        <f>F16</f>
        <v>Master recipe ► Black pudding in 4 variations</v>
      </c>
      <c r="G67" s="5128">
        <f>IF(ISBLANK(H67),"",LARGE(G62:G66,1)+1)</f>
        <v>5</v>
      </c>
      <c r="H67" s="5040" t="s">
        <v>13202</v>
      </c>
      <c r="I67" s="172"/>
      <c r="J67" s="172"/>
      <c r="K67" s="172"/>
      <c r="L67" s="172"/>
      <c r="M67" s="172"/>
      <c r="N67" s="172"/>
      <c r="O67" s="170" t="s">
        <v>684</v>
      </c>
      <c r="P67" s="175">
        <v>3.472222222222222E-3</v>
      </c>
      <c r="Q67" s="1171"/>
      <c r="R67" s="104"/>
      <c r="S67" s="1172"/>
      <c r="T67" s="1172"/>
      <c r="U67" s="1172"/>
      <c r="V67" s="1173"/>
      <c r="W67" s="1174"/>
      <c r="X67" s="1175"/>
      <c r="Y67" s="1176"/>
      <c r="Z67" s="1177"/>
      <c r="AA67" s="1547"/>
      <c r="AB67" s="1177"/>
      <c r="AC67" s="1548"/>
      <c r="AD67" s="1549"/>
      <c r="AE67" s="1178"/>
      <c r="AF67" s="1179"/>
      <c r="AH67" s="104"/>
      <c r="AI67" s="1172"/>
      <c r="AJ67" s="1172"/>
      <c r="AK67" s="1172"/>
      <c r="AL67" s="1173"/>
      <c r="AM67" s="1174"/>
      <c r="AN67" s="1175"/>
      <c r="AO67" s="1176"/>
      <c r="AP67" s="1177"/>
      <c r="AQ67" s="1547"/>
      <c r="AR67" s="1177"/>
      <c r="AS67" s="1548"/>
      <c r="AT67" s="1549"/>
      <c r="AU67" s="1178"/>
      <c r="AV67" s="1179"/>
      <c r="AY67" s="3">
        <v>1</v>
      </c>
    </row>
    <row r="68" spans="2:51" ht="27" customHeight="1">
      <c r="B68" s="104" t="str">
        <f t="shared" si="7"/>
        <v>A</v>
      </c>
      <c r="C68" s="157" t="str">
        <f>C16</f>
        <v>O OUR BLACK PUDDING | |  Author &gt; Guy KRENZE - Eric GODDYN - Arnaud NICOLAS - CEPROC 2002</v>
      </c>
      <c r="D68" s="157">
        <f>D16</f>
        <v>16.34</v>
      </c>
      <c r="E68" s="158" t="str">
        <f>E16</f>
        <v>Kg</v>
      </c>
      <c r="F68" s="159" t="str">
        <f>F16</f>
        <v>Master recipe ► Black pudding in 4 variations</v>
      </c>
      <c r="G68" s="5128">
        <f>IF(ISBLANK(H68),"",LARGE(G62:G67,1)+1)</f>
        <v>6</v>
      </c>
      <c r="H68" s="5040" t="s">
        <v>13203</v>
      </c>
      <c r="I68" s="172"/>
      <c r="J68" s="172"/>
      <c r="K68" s="172"/>
      <c r="L68" s="172"/>
      <c r="M68" s="172"/>
      <c r="N68" s="172"/>
      <c r="O68" s="176" t="s">
        <v>183</v>
      </c>
      <c r="P68" s="177">
        <f>P65+P66+P67</f>
        <v>1.0416666666666666E-2</v>
      </c>
      <c r="Q68" s="1171"/>
      <c r="R68" s="104"/>
      <c r="S68" s="1172"/>
      <c r="T68" s="1172"/>
      <c r="U68" s="1172"/>
      <c r="V68" s="1173"/>
      <c r="W68" s="1174"/>
      <c r="X68" s="1175"/>
      <c r="Y68" s="1176"/>
      <c r="Z68" s="1177"/>
      <c r="AA68" s="1547"/>
      <c r="AB68" s="1177"/>
      <c r="AC68" s="1548"/>
      <c r="AD68" s="1549"/>
      <c r="AE68" s="1178"/>
      <c r="AF68" s="1179"/>
      <c r="AH68" s="104"/>
      <c r="AI68" s="1172"/>
      <c r="AJ68" s="1172"/>
      <c r="AK68" s="1172"/>
      <c r="AL68" s="1173"/>
      <c r="AM68" s="1174"/>
      <c r="AN68" s="1175"/>
      <c r="AO68" s="1176"/>
      <c r="AP68" s="1177"/>
      <c r="AQ68" s="1547"/>
      <c r="AR68" s="1177"/>
      <c r="AS68" s="1548"/>
      <c r="AT68" s="1549"/>
      <c r="AU68" s="1178"/>
      <c r="AV68" s="1179"/>
      <c r="AY68" s="3">
        <v>1</v>
      </c>
    </row>
    <row r="69" spans="2:51" ht="27" customHeight="1">
      <c r="B69" s="104" t="str">
        <f t="shared" si="7"/>
        <v>A</v>
      </c>
      <c r="C69" s="157" t="str">
        <f>C16</f>
        <v>O OUR BLACK PUDDING | |  Author &gt; Guy KRENZE - Eric GODDYN - Arnaud NICOLAS - CEPROC 2002</v>
      </c>
      <c r="D69" s="157">
        <f>D16</f>
        <v>16.34</v>
      </c>
      <c r="E69" s="158" t="str">
        <f>E16</f>
        <v>Kg</v>
      </c>
      <c r="F69" s="159" t="str">
        <f>F16</f>
        <v>Master recipe ► Black pudding in 4 variations</v>
      </c>
      <c r="G69" s="5128">
        <f>IF(ISBLANK(H69),"",LARGE(G62:G68,1)+1)</f>
        <v>7</v>
      </c>
      <c r="H69" s="5040" t="s">
        <v>13204</v>
      </c>
      <c r="I69" s="172"/>
      <c r="J69" s="172"/>
      <c r="K69" s="172"/>
      <c r="L69" s="172"/>
      <c r="M69" s="172"/>
      <c r="N69" s="172"/>
      <c r="O69" s="172"/>
      <c r="P69" s="555"/>
      <c r="Q69" s="1171"/>
      <c r="R69" s="104"/>
      <c r="S69" s="1172"/>
      <c r="T69" s="1172"/>
      <c r="U69" s="1172"/>
      <c r="V69" s="1173"/>
      <c r="W69" s="1174"/>
      <c r="X69" s="1175"/>
      <c r="Y69" s="1176"/>
      <c r="Z69" s="1177"/>
      <c r="AA69" s="1547"/>
      <c r="AB69" s="1177"/>
      <c r="AC69" s="1548"/>
      <c r="AD69" s="1549"/>
      <c r="AE69" s="1178"/>
      <c r="AF69" s="1179"/>
      <c r="AG69" s="1171"/>
      <c r="AH69" s="104"/>
      <c r="AI69" s="1172"/>
      <c r="AJ69" s="1172"/>
      <c r="AK69" s="1172"/>
      <c r="AL69" s="1173"/>
      <c r="AM69" s="1174"/>
      <c r="AN69" s="1175"/>
      <c r="AO69" s="1176"/>
      <c r="AP69" s="1177"/>
      <c r="AQ69" s="1547"/>
      <c r="AR69" s="1177"/>
      <c r="AS69" s="1548"/>
      <c r="AT69" s="1549"/>
      <c r="AU69" s="1178"/>
      <c r="AV69" s="1179"/>
      <c r="AY69" s="3">
        <v>1</v>
      </c>
    </row>
    <row r="70" spans="2:51" ht="27" customHeight="1">
      <c r="B70" s="104" t="str">
        <f t="shared" si="7"/>
        <v>A</v>
      </c>
      <c r="C70" s="157" t="str">
        <f>C16</f>
        <v>O OUR BLACK PUDDING | |  Author &gt; Guy KRENZE - Eric GODDYN - Arnaud NICOLAS - CEPROC 2002</v>
      </c>
      <c r="D70" s="157">
        <f>D16</f>
        <v>16.34</v>
      </c>
      <c r="E70" s="158" t="str">
        <f>E16</f>
        <v>Kg</v>
      </c>
      <c r="F70" s="159" t="str">
        <f>F16</f>
        <v>Master recipe ► Black pudding in 4 variations</v>
      </c>
      <c r="G70" s="5128">
        <f>IF(ISBLANK(H70),"",LARGE(G62:G69,1)+1)</f>
        <v>8</v>
      </c>
      <c r="H70" s="5040" t="s">
        <v>13205</v>
      </c>
      <c r="I70" s="172"/>
      <c r="J70" s="172"/>
      <c r="K70" s="172"/>
      <c r="L70" s="172"/>
      <c r="M70" s="172"/>
      <c r="N70" s="172"/>
      <c r="O70" s="172"/>
      <c r="P70" s="555"/>
      <c r="Q70" s="1171"/>
      <c r="R70" s="104"/>
      <c r="S70" s="1172"/>
      <c r="T70" s="1172"/>
      <c r="U70" s="1172"/>
      <c r="V70" s="1173"/>
      <c r="W70" s="1174"/>
      <c r="X70" s="1175"/>
      <c r="Y70" s="1176"/>
      <c r="Z70" s="1177"/>
      <c r="AA70" s="1547"/>
      <c r="AB70" s="1177"/>
      <c r="AC70" s="1548"/>
      <c r="AD70" s="1549"/>
      <c r="AE70" s="1178"/>
      <c r="AF70" s="1179"/>
      <c r="AG70" s="1171"/>
      <c r="AH70" s="104"/>
      <c r="AI70" s="1172"/>
      <c r="AJ70" s="1172"/>
      <c r="AK70" s="1172"/>
      <c r="AL70" s="1173"/>
      <c r="AM70" s="1174"/>
      <c r="AN70" s="1175"/>
      <c r="AO70" s="1176"/>
      <c r="AP70" s="1177"/>
      <c r="AQ70" s="1547"/>
      <c r="AR70" s="1177"/>
      <c r="AS70" s="1548"/>
      <c r="AT70" s="1549"/>
      <c r="AU70" s="1178"/>
      <c r="AV70" s="1179"/>
      <c r="AY70" s="3">
        <v>1</v>
      </c>
    </row>
    <row r="71" spans="2:51" ht="27" customHeight="1">
      <c r="B71" s="104" t="str">
        <f t="shared" si="7"/>
        <v>A</v>
      </c>
      <c r="C71" s="157" t="str">
        <f>C16</f>
        <v>O OUR BLACK PUDDING | |  Author &gt; Guy KRENZE - Eric GODDYN - Arnaud NICOLAS - CEPROC 2002</v>
      </c>
      <c r="D71" s="157">
        <f>D16</f>
        <v>16.34</v>
      </c>
      <c r="E71" s="158" t="str">
        <f>E16</f>
        <v>Kg</v>
      </c>
      <c r="F71" s="159" t="str">
        <f>F16</f>
        <v>Master recipe ► Black pudding in 4 variations</v>
      </c>
      <c r="G71" s="5128">
        <f>IF(ISBLANK(H71),"",LARGE(G62:G70,1)+1)</f>
        <v>9</v>
      </c>
      <c r="H71" s="5040" t="s">
        <v>13206</v>
      </c>
      <c r="I71" s="172"/>
      <c r="J71" s="172"/>
      <c r="K71" s="172"/>
      <c r="L71" s="172"/>
      <c r="M71" s="172"/>
      <c r="N71" s="172"/>
      <c r="O71" s="172"/>
      <c r="P71" s="555"/>
      <c r="Q71" s="1171"/>
      <c r="R71" s="104"/>
      <c r="S71" s="1172"/>
      <c r="T71" s="1172"/>
      <c r="U71" s="1172"/>
      <c r="V71" s="1173"/>
      <c r="W71" s="1174"/>
      <c r="X71" s="1175"/>
      <c r="Y71" s="1176"/>
      <c r="Z71" s="1177"/>
      <c r="AA71" s="1547"/>
      <c r="AB71" s="1177"/>
      <c r="AC71" s="1548"/>
      <c r="AD71" s="1549"/>
      <c r="AE71" s="1178"/>
      <c r="AF71" s="1179"/>
      <c r="AG71" s="1171"/>
      <c r="AH71" s="104"/>
      <c r="AI71" s="1172"/>
      <c r="AJ71" s="1172"/>
      <c r="AK71" s="1172"/>
      <c r="AL71" s="1173"/>
      <c r="AM71" s="1174"/>
      <c r="AN71" s="1175"/>
      <c r="AO71" s="1176"/>
      <c r="AP71" s="1177"/>
      <c r="AQ71" s="1547"/>
      <c r="AR71" s="1177"/>
      <c r="AS71" s="1548"/>
      <c r="AT71" s="1549"/>
      <c r="AU71" s="1178"/>
      <c r="AV71" s="1179"/>
      <c r="AY71" s="3">
        <v>1</v>
      </c>
    </row>
    <row r="72" spans="2:51" ht="27" customHeight="1">
      <c r="B72" s="104" t="str">
        <f t="shared" si="7"/>
        <v>A</v>
      </c>
      <c r="C72" s="157" t="str">
        <f>C16</f>
        <v>O OUR BLACK PUDDING | |  Author &gt; Guy KRENZE - Eric GODDYN - Arnaud NICOLAS - CEPROC 2002</v>
      </c>
      <c r="D72" s="157">
        <f>D16</f>
        <v>16.34</v>
      </c>
      <c r="E72" s="158" t="str">
        <f>E16</f>
        <v>Kg</v>
      </c>
      <c r="F72" s="159" t="str">
        <f>F16</f>
        <v>Master recipe ► Black pudding in 4 variations</v>
      </c>
      <c r="G72" s="5128">
        <f>IF(ISBLANK(H72),"",LARGE(G62:G71,1)+1)</f>
        <v>10</v>
      </c>
      <c r="H72" s="5040" t="s">
        <v>13207</v>
      </c>
      <c r="I72" s="172"/>
      <c r="J72" s="172"/>
      <c r="K72" s="172"/>
      <c r="L72" s="172"/>
      <c r="M72" s="172"/>
      <c r="N72" s="172"/>
      <c r="O72" s="172"/>
      <c r="P72" s="555"/>
      <c r="Q72" s="1171"/>
      <c r="R72" s="104"/>
      <c r="S72" s="1172"/>
      <c r="T72" s="1172"/>
      <c r="U72" s="1172"/>
      <c r="V72" s="1173"/>
      <c r="W72" s="1174"/>
      <c r="X72" s="1175"/>
      <c r="Y72" s="1176"/>
      <c r="Z72" s="1177"/>
      <c r="AA72" s="1547"/>
      <c r="AB72" s="1177"/>
      <c r="AC72" s="1548"/>
      <c r="AD72" s="1549"/>
      <c r="AE72" s="1178"/>
      <c r="AF72" s="1179"/>
      <c r="AG72" s="1171"/>
      <c r="AH72" s="104"/>
      <c r="AI72" s="1172"/>
      <c r="AJ72" s="1172"/>
      <c r="AK72" s="1172"/>
      <c r="AL72" s="1173"/>
      <c r="AM72" s="1174"/>
      <c r="AN72" s="1175"/>
      <c r="AO72" s="1176"/>
      <c r="AP72" s="1177"/>
      <c r="AQ72" s="1547"/>
      <c r="AR72" s="1177"/>
      <c r="AS72" s="1548"/>
      <c r="AT72" s="1549"/>
      <c r="AU72" s="1178"/>
      <c r="AV72" s="1179"/>
      <c r="AY72" s="3">
        <v>1</v>
      </c>
    </row>
    <row r="73" spans="2:51" ht="27" customHeight="1">
      <c r="B73" s="104" t="str">
        <f t="shared" si="7"/>
        <v>A</v>
      </c>
      <c r="C73" s="157" t="str">
        <f>C16</f>
        <v>O OUR BLACK PUDDING | |  Author &gt; Guy KRENZE - Eric GODDYN - Arnaud NICOLAS - CEPROC 2002</v>
      </c>
      <c r="D73" s="157">
        <f>D16</f>
        <v>16.34</v>
      </c>
      <c r="E73" s="158" t="str">
        <f>E16</f>
        <v>Kg</v>
      </c>
      <c r="F73" s="159" t="str">
        <f>F16</f>
        <v>Master recipe ► Black pudding in 4 variations</v>
      </c>
      <c r="G73" s="5128">
        <f>IF(ISBLANK(H73),"",LARGE(G62:G72,1)+1)</f>
        <v>11</v>
      </c>
      <c r="H73" s="5040" t="s">
        <v>13208</v>
      </c>
      <c r="I73" s="172"/>
      <c r="J73" s="172"/>
      <c r="K73" s="172"/>
      <c r="L73" s="172"/>
      <c r="M73" s="172"/>
      <c r="N73" s="172"/>
      <c r="O73" s="172"/>
      <c r="P73" s="555"/>
      <c r="Q73" s="1171"/>
      <c r="R73" s="104"/>
      <c r="S73" s="1172"/>
      <c r="T73" s="1172"/>
      <c r="U73" s="1172"/>
      <c r="V73" s="1173"/>
      <c r="W73" s="1174"/>
      <c r="X73" s="1175"/>
      <c r="Y73" s="1176"/>
      <c r="Z73" s="1177"/>
      <c r="AA73" s="1547"/>
      <c r="AB73" s="1177"/>
      <c r="AC73" s="1548"/>
      <c r="AD73" s="1549"/>
      <c r="AE73" s="1178"/>
      <c r="AF73" s="1179"/>
      <c r="AG73" s="1171"/>
      <c r="AH73" s="104"/>
      <c r="AI73" s="1172"/>
      <c r="AJ73" s="1172"/>
      <c r="AK73" s="1172"/>
      <c r="AL73" s="1173"/>
      <c r="AM73" s="1174"/>
      <c r="AN73" s="1175"/>
      <c r="AO73" s="1176"/>
      <c r="AP73" s="1177"/>
      <c r="AQ73" s="1547"/>
      <c r="AR73" s="1177"/>
      <c r="AS73" s="1548"/>
      <c r="AT73" s="1549"/>
      <c r="AU73" s="1178"/>
      <c r="AV73" s="1179"/>
      <c r="AY73" s="3">
        <v>1</v>
      </c>
    </row>
    <row r="74" spans="2:51" ht="27" customHeight="1">
      <c r="B74" s="104" t="str">
        <f t="shared" si="7"/>
        <v>►</v>
      </c>
      <c r="C74" s="157" t="str">
        <f>C16</f>
        <v>O OUR BLACK PUDDING | |  Author &gt; Guy KRENZE - Eric GODDYN - Arnaud NICOLAS - CEPROC 2002</v>
      </c>
      <c r="D74" s="157">
        <f>D16</f>
        <v>16.34</v>
      </c>
      <c r="E74" s="158" t="str">
        <f>E16</f>
        <v>Kg</v>
      </c>
      <c r="F74" s="159" t="str">
        <f>F16</f>
        <v>Master recipe ► Black pudding in 4 variations</v>
      </c>
      <c r="G74" s="5128" t="str">
        <f>IF(ISBLANK(H74),"",LARGE(G62:G73,1)+1)</f>
        <v/>
      </c>
      <c r="H74" s="5040"/>
      <c r="I74" s="172"/>
      <c r="J74" s="172"/>
      <c r="K74" s="172"/>
      <c r="L74" s="172"/>
      <c r="M74" s="5179"/>
      <c r="N74" s="172"/>
      <c r="O74" s="172"/>
      <c r="P74" s="555"/>
      <c r="Q74" s="1171"/>
      <c r="R74" s="104"/>
      <c r="S74" s="1172"/>
      <c r="T74" s="1172"/>
      <c r="U74" s="1172"/>
      <c r="V74" s="1173"/>
      <c r="W74" s="1174"/>
      <c r="X74" s="1175"/>
      <c r="Y74" s="1176"/>
      <c r="Z74" s="1177"/>
      <c r="AA74" s="1547"/>
      <c r="AB74" s="1177"/>
      <c r="AC74" s="1548"/>
      <c r="AD74" s="1549"/>
      <c r="AE74" s="1178"/>
      <c r="AF74" s="1179"/>
      <c r="AG74" s="1171"/>
      <c r="AH74" s="104"/>
      <c r="AI74" s="1172"/>
      <c r="AJ74" s="1172"/>
      <c r="AK74" s="1172"/>
      <c r="AL74" s="1173"/>
      <c r="AM74" s="1174"/>
      <c r="AN74" s="1175"/>
      <c r="AO74" s="1176"/>
      <c r="AP74" s="1177"/>
      <c r="AQ74" s="1547"/>
      <c r="AR74" s="1177"/>
      <c r="AS74" s="1548"/>
      <c r="AT74" s="1549"/>
      <c r="AU74" s="1178"/>
      <c r="AV74" s="1179"/>
      <c r="AY74" s="3">
        <v>1</v>
      </c>
    </row>
    <row r="75" spans="2:51" ht="27" customHeight="1">
      <c r="B75" s="104" t="str">
        <f t="shared" si="7"/>
        <v>►</v>
      </c>
      <c r="C75" s="157" t="str">
        <f>C16</f>
        <v>O OUR BLACK PUDDING | |  Author &gt; Guy KRENZE - Eric GODDYN - Arnaud NICOLAS - CEPROC 2002</v>
      </c>
      <c r="D75" s="157">
        <f>D16</f>
        <v>16.34</v>
      </c>
      <c r="E75" s="158" t="str">
        <f>E16</f>
        <v>Kg</v>
      </c>
      <c r="F75" s="159" t="str">
        <f>F16</f>
        <v>Master recipe ► Black pudding in 4 variations</v>
      </c>
      <c r="G75" s="5128" t="str">
        <f>IF(ISBLANK(H75),"",LARGE(G62:G74,1)+1)</f>
        <v/>
      </c>
      <c r="H75" s="5040"/>
      <c r="I75" s="172"/>
      <c r="J75" s="172"/>
      <c r="K75" s="172"/>
      <c r="L75" s="172"/>
      <c r="M75" s="172"/>
      <c r="N75" s="172"/>
      <c r="O75" s="172"/>
      <c r="P75" s="555"/>
      <c r="Q75" s="1171"/>
      <c r="R75" s="104"/>
      <c r="S75" s="1172"/>
      <c r="T75" s="1172"/>
      <c r="U75" s="1172"/>
      <c r="V75" s="1173"/>
      <c r="W75" s="1174"/>
      <c r="X75" s="1175"/>
      <c r="Y75" s="1176"/>
      <c r="Z75" s="1177"/>
      <c r="AA75" s="1547"/>
      <c r="AB75" s="1177"/>
      <c r="AC75" s="1548"/>
      <c r="AD75" s="1549"/>
      <c r="AE75" s="1178"/>
      <c r="AF75" s="1179"/>
      <c r="AG75" s="1171"/>
      <c r="AH75" s="104"/>
      <c r="AI75" s="1172"/>
      <c r="AJ75" s="1172"/>
      <c r="AK75" s="1172"/>
      <c r="AL75" s="1173"/>
      <c r="AM75" s="1174"/>
      <c r="AN75" s="1175"/>
      <c r="AO75" s="1176"/>
      <c r="AP75" s="1177"/>
      <c r="AQ75" s="1547"/>
      <c r="AR75" s="1177"/>
      <c r="AS75" s="1548"/>
      <c r="AT75" s="1549"/>
      <c r="AU75" s="1178"/>
      <c r="AV75" s="1179"/>
      <c r="AY75" s="3">
        <v>1</v>
      </c>
    </row>
    <row r="76" spans="2:51" ht="27" customHeight="1">
      <c r="B76" s="104" t="str">
        <f t="shared" si="7"/>
        <v>►</v>
      </c>
      <c r="C76" s="157" t="str">
        <f>C16</f>
        <v>O OUR BLACK PUDDING | |  Author &gt; Guy KRENZE - Eric GODDYN - Arnaud NICOLAS - CEPROC 2002</v>
      </c>
      <c r="D76" s="157">
        <f>D16</f>
        <v>16.34</v>
      </c>
      <c r="E76" s="158" t="str">
        <f>E16</f>
        <v>Kg</v>
      </c>
      <c r="F76" s="159" t="str">
        <f>F16</f>
        <v>Master recipe ► Black pudding in 4 variations</v>
      </c>
      <c r="G76" s="5128" t="str">
        <f>IF(ISBLANK(H76),"",LARGE(G62:G75,1)+1)</f>
        <v/>
      </c>
      <c r="H76" s="5040"/>
      <c r="I76" s="172"/>
      <c r="J76" s="172"/>
      <c r="K76" s="172"/>
      <c r="L76" s="172"/>
      <c r="M76" s="172"/>
      <c r="N76" s="172"/>
      <c r="O76" s="172"/>
      <c r="P76" s="555"/>
      <c r="Q76" s="1171"/>
      <c r="R76" s="104"/>
      <c r="S76" s="1172"/>
      <c r="T76" s="1172"/>
      <c r="U76" s="1172"/>
      <c r="V76" s="1173"/>
      <c r="W76" s="1174"/>
      <c r="X76" s="1175"/>
      <c r="Y76" s="1176"/>
      <c r="Z76" s="1177"/>
      <c r="AA76" s="1547"/>
      <c r="AB76" s="1177"/>
      <c r="AC76" s="1548"/>
      <c r="AD76" s="1549"/>
      <c r="AE76" s="1178"/>
      <c r="AF76" s="1179"/>
      <c r="AG76" s="1171"/>
      <c r="AH76" s="104"/>
      <c r="AI76" s="1172"/>
      <c r="AJ76" s="1172"/>
      <c r="AK76" s="1172"/>
      <c r="AL76" s="1173"/>
      <c r="AM76" s="1174"/>
      <c r="AN76" s="1175"/>
      <c r="AO76" s="1176"/>
      <c r="AP76" s="1177"/>
      <c r="AQ76" s="1547"/>
      <c r="AR76" s="1177"/>
      <c r="AS76" s="1548"/>
      <c r="AT76" s="1549"/>
      <c r="AU76" s="1178"/>
      <c r="AV76" s="1179"/>
      <c r="AY76" s="3">
        <v>1</v>
      </c>
    </row>
    <row r="77" spans="2:51" ht="27" customHeight="1">
      <c r="B77" s="104" t="str">
        <f t="shared" si="7"/>
        <v>►</v>
      </c>
      <c r="C77" s="157" t="str">
        <f>C16</f>
        <v>O OUR BLACK PUDDING | |  Author &gt; Guy KRENZE - Eric GODDYN - Arnaud NICOLAS - CEPROC 2002</v>
      </c>
      <c r="D77" s="157">
        <f>D16</f>
        <v>16.34</v>
      </c>
      <c r="E77" s="158" t="str">
        <f>E16</f>
        <v>Kg</v>
      </c>
      <c r="F77" s="159" t="str">
        <f>F16</f>
        <v>Master recipe ► Black pudding in 4 variations</v>
      </c>
      <c r="G77" s="5128" t="str">
        <f>IF(ISBLANK(H77),"",LARGE(G62:G76,1)+1)</f>
        <v/>
      </c>
      <c r="H77" s="5040"/>
      <c r="I77" s="172"/>
      <c r="J77" s="172"/>
      <c r="K77" s="172"/>
      <c r="L77" s="172"/>
      <c r="M77" s="172"/>
      <c r="N77" s="172"/>
      <c r="O77" s="172"/>
      <c r="P77" s="555"/>
      <c r="Q77" s="1171"/>
      <c r="R77" s="104"/>
      <c r="S77" s="1172"/>
      <c r="T77" s="1172"/>
      <c r="U77" s="1172"/>
      <c r="V77" s="1173"/>
      <c r="W77" s="1174"/>
      <c r="X77" s="1175"/>
      <c r="Y77" s="1176"/>
      <c r="Z77" s="1177"/>
      <c r="AA77" s="1547"/>
      <c r="AB77" s="1177"/>
      <c r="AC77" s="1548"/>
      <c r="AD77" s="1549"/>
      <c r="AE77" s="1178"/>
      <c r="AF77" s="1179"/>
      <c r="AG77" s="1171"/>
      <c r="AH77" s="104"/>
      <c r="AI77" s="1172"/>
      <c r="AJ77" s="1172"/>
      <c r="AK77" s="1172"/>
      <c r="AL77" s="1173"/>
      <c r="AM77" s="1174"/>
      <c r="AN77" s="1175"/>
      <c r="AO77" s="1176"/>
      <c r="AP77" s="1177"/>
      <c r="AQ77" s="1547"/>
      <c r="AR77" s="1177"/>
      <c r="AS77" s="1548"/>
      <c r="AT77" s="1549"/>
      <c r="AU77" s="1178"/>
      <c r="AV77" s="1179"/>
      <c r="AY77" s="3">
        <v>1</v>
      </c>
    </row>
    <row r="78" spans="2:51" ht="27" customHeight="1">
      <c r="B78" s="104" t="str">
        <f t="shared" si="7"/>
        <v>►</v>
      </c>
      <c r="C78" s="157" t="str">
        <f>C16</f>
        <v>O OUR BLACK PUDDING | |  Author &gt; Guy KRENZE - Eric GODDYN - Arnaud NICOLAS - CEPROC 2002</v>
      </c>
      <c r="D78" s="157">
        <f>D16</f>
        <v>16.34</v>
      </c>
      <c r="E78" s="158" t="str">
        <f>E16</f>
        <v>Kg</v>
      </c>
      <c r="F78" s="159" t="str">
        <f>F16</f>
        <v>Master recipe ► Black pudding in 4 variations</v>
      </c>
      <c r="G78" s="5128" t="str">
        <f>IF(ISBLANK(H78),"",LARGE(G62:G77,1)+1)</f>
        <v/>
      </c>
      <c r="H78" s="5040"/>
      <c r="I78" s="172"/>
      <c r="J78" s="172"/>
      <c r="K78" s="172"/>
      <c r="L78" s="172"/>
      <c r="M78" s="172"/>
      <c r="N78" s="172"/>
      <c r="O78" s="172"/>
      <c r="P78" s="555"/>
      <c r="Q78" s="1171"/>
      <c r="R78" s="104"/>
      <c r="S78" s="1172"/>
      <c r="T78" s="1172"/>
      <c r="U78" s="1172"/>
      <c r="V78" s="1173"/>
      <c r="W78" s="1174"/>
      <c r="X78" s="1175"/>
      <c r="Y78" s="1176"/>
      <c r="Z78" s="1177"/>
      <c r="AA78" s="1547"/>
      <c r="AB78" s="1177"/>
      <c r="AC78" s="1548"/>
      <c r="AD78" s="1549"/>
      <c r="AE78" s="1178"/>
      <c r="AF78" s="1179"/>
      <c r="AG78" s="1171"/>
      <c r="AH78" s="104"/>
      <c r="AI78" s="1172"/>
      <c r="AJ78" s="1172"/>
      <c r="AK78" s="1172"/>
      <c r="AL78" s="1173"/>
      <c r="AM78" s="1174"/>
      <c r="AN78" s="1175"/>
      <c r="AO78" s="1176"/>
      <c r="AP78" s="1177"/>
      <c r="AQ78" s="1547"/>
      <c r="AR78" s="1177"/>
      <c r="AS78" s="1548"/>
      <c r="AT78" s="1549"/>
      <c r="AU78" s="1178"/>
      <c r="AV78" s="1179"/>
      <c r="AY78" s="3">
        <v>1</v>
      </c>
    </row>
    <row r="79" spans="2:51" ht="27" customHeight="1">
      <c r="B79" s="104" t="str">
        <f t="shared" si="7"/>
        <v>A</v>
      </c>
      <c r="C79" s="157" t="str">
        <f>C16</f>
        <v>O OUR BLACK PUDDING | |  Author &gt; Guy KRENZE - Eric GODDYN - Arnaud NICOLAS - CEPROC 2002</v>
      </c>
      <c r="D79" s="157">
        <f>D16</f>
        <v>16.34</v>
      </c>
      <c r="E79" s="158" t="str">
        <f>E16</f>
        <v>Kg</v>
      </c>
      <c r="F79" s="159" t="str">
        <f>F16</f>
        <v>Master recipe ► Black pudding in 4 variations</v>
      </c>
      <c r="G79" s="5128">
        <f>IF(ISBLANK(H79),"",LARGE(G62:G78,1)+1)</f>
        <v>12</v>
      </c>
      <c r="H79" s="5040" t="s">
        <v>13209</v>
      </c>
      <c r="I79" s="172"/>
      <c r="J79" s="172"/>
      <c r="K79" s="172"/>
      <c r="L79" s="172"/>
      <c r="M79" s="172"/>
      <c r="N79" s="172"/>
      <c r="O79" s="172"/>
      <c r="P79" s="555"/>
      <c r="Q79" s="1171"/>
      <c r="R79" s="104"/>
      <c r="S79" s="1172"/>
      <c r="T79" s="1172"/>
      <c r="U79" s="1172"/>
      <c r="V79" s="1173"/>
      <c r="W79" s="1174"/>
      <c r="X79" s="1175"/>
      <c r="Y79" s="1176"/>
      <c r="Z79" s="1177"/>
      <c r="AA79" s="1547"/>
      <c r="AB79" s="1177"/>
      <c r="AC79" s="1548"/>
      <c r="AD79" s="1549"/>
      <c r="AE79" s="1178"/>
      <c r="AF79" s="1179"/>
      <c r="AG79" s="1171"/>
      <c r="AH79" s="104"/>
      <c r="AI79" s="1172"/>
      <c r="AJ79" s="1172"/>
      <c r="AK79" s="1172"/>
      <c r="AL79" s="1173"/>
      <c r="AM79" s="1174"/>
      <c r="AN79" s="1175"/>
      <c r="AO79" s="1176"/>
      <c r="AP79" s="1177"/>
      <c r="AQ79" s="1547"/>
      <c r="AR79" s="1177"/>
      <c r="AS79" s="1548"/>
      <c r="AT79" s="1549"/>
      <c r="AU79" s="1178"/>
      <c r="AV79" s="1179"/>
      <c r="AY79" s="3">
        <v>1</v>
      </c>
    </row>
    <row r="80" spans="2:51" ht="27" customHeight="1">
      <c r="B80" s="104" t="str">
        <f>IF(COUNTIF(H80:L80,"&lt;&gt;")&gt;0,"A","►")</f>
        <v>A</v>
      </c>
      <c r="C80" s="157" t="str">
        <f>C16</f>
        <v>O OUR BLACK PUDDING | |  Author &gt; Guy KRENZE - Eric GODDYN - Arnaud NICOLAS - CEPROC 2002</v>
      </c>
      <c r="D80" s="157">
        <f>D16</f>
        <v>16.34</v>
      </c>
      <c r="E80" s="158" t="str">
        <f>E16</f>
        <v>Kg</v>
      </c>
      <c r="F80" s="159" t="str">
        <f>F16</f>
        <v>Master recipe ► Black pudding in 4 variations</v>
      </c>
      <c r="G80" s="5128">
        <f>IF(ISBLANK(H80),"",LARGE(G62:G79,1)+1)</f>
        <v>13</v>
      </c>
      <c r="H80" s="5040" t="s">
        <v>13210</v>
      </c>
      <c r="I80" s="172"/>
      <c r="J80" s="172"/>
      <c r="K80" s="172"/>
      <c r="L80" s="172"/>
      <c r="M80" s="172"/>
      <c r="N80" s="172"/>
      <c r="O80" s="172"/>
      <c r="P80" s="555"/>
      <c r="Q80" s="1171"/>
      <c r="R80" s="104"/>
      <c r="S80" s="1172"/>
      <c r="T80" s="1172"/>
      <c r="U80" s="1172"/>
      <c r="V80" s="1173"/>
      <c r="W80" s="1174"/>
      <c r="X80" s="1175"/>
      <c r="Y80" s="1176"/>
      <c r="Z80" s="1177"/>
      <c r="AA80" s="1547"/>
      <c r="AB80" s="1177"/>
      <c r="AC80" s="1548"/>
      <c r="AD80" s="1549"/>
      <c r="AE80" s="1178"/>
      <c r="AF80" s="1179"/>
      <c r="AG80" s="1171"/>
      <c r="AH80" s="104"/>
      <c r="AI80" s="1172"/>
      <c r="AJ80" s="1172"/>
      <c r="AK80" s="1172"/>
      <c r="AL80" s="1173"/>
      <c r="AM80" s="1174"/>
      <c r="AN80" s="1175"/>
      <c r="AO80" s="1176"/>
      <c r="AP80" s="1177"/>
      <c r="AQ80" s="1547"/>
      <c r="AR80" s="1177"/>
      <c r="AS80" s="1548"/>
      <c r="AT80" s="1549"/>
      <c r="AU80" s="1178"/>
      <c r="AV80" s="1179"/>
      <c r="AY80" s="3">
        <v>1</v>
      </c>
    </row>
    <row r="81" spans="2:51" ht="27" customHeight="1">
      <c r="B81" s="104" t="str">
        <f t="shared" ref="B81" si="8">IF(COUNTIF(H81:L81,"&lt;&gt;")&gt;0,"A","►")</f>
        <v>A</v>
      </c>
      <c r="C81" s="157" t="str">
        <f>C16</f>
        <v>O OUR BLACK PUDDING | |  Author &gt; Guy KRENZE - Eric GODDYN - Arnaud NICOLAS - CEPROC 2002</v>
      </c>
      <c r="D81" s="157">
        <f>D16</f>
        <v>16.34</v>
      </c>
      <c r="E81" s="158" t="str">
        <f>E16</f>
        <v>Kg</v>
      </c>
      <c r="F81" s="159" t="str">
        <f>F16</f>
        <v>Master recipe ► Black pudding in 4 variations</v>
      </c>
      <c r="G81" s="5128">
        <f>IF(ISBLANK(H81),"",LARGE(G62:G80,1)+1)</f>
        <v>14</v>
      </c>
      <c r="H81" s="5040" t="s">
        <v>13211</v>
      </c>
      <c r="I81" s="172"/>
      <c r="J81" s="172"/>
      <c r="K81" s="172"/>
      <c r="L81" s="172"/>
      <c r="M81" s="172"/>
      <c r="N81" s="172"/>
      <c r="O81" s="172"/>
      <c r="P81" s="555"/>
      <c r="Q81" s="1171"/>
      <c r="R81" s="104"/>
      <c r="S81" s="1172"/>
      <c r="T81" s="1172"/>
      <c r="U81" s="1172"/>
      <c r="V81" s="1173"/>
      <c r="W81" s="1174"/>
      <c r="X81" s="1175"/>
      <c r="Y81" s="1176"/>
      <c r="Z81" s="1177"/>
      <c r="AA81" s="1547"/>
      <c r="AB81" s="1177"/>
      <c r="AC81" s="1548"/>
      <c r="AD81" s="1549"/>
      <c r="AE81" s="1178"/>
      <c r="AF81" s="1179"/>
      <c r="AG81" s="1171"/>
      <c r="AH81" s="104"/>
      <c r="AI81" s="1172"/>
      <c r="AJ81" s="1172"/>
      <c r="AK81" s="1172"/>
      <c r="AL81" s="1173"/>
      <c r="AM81" s="1174"/>
      <c r="AN81" s="1175"/>
      <c r="AO81" s="1176"/>
      <c r="AP81" s="1177"/>
      <c r="AQ81" s="1547"/>
      <c r="AR81" s="1177"/>
      <c r="AS81" s="1548"/>
      <c r="AT81" s="1549"/>
      <c r="AU81" s="1178"/>
      <c r="AV81" s="1179"/>
      <c r="AY81" s="3">
        <v>1</v>
      </c>
    </row>
    <row r="82" spans="2:51" ht="27" customHeight="1">
      <c r="B82" s="104" t="str">
        <f>IF(COUNTIF(H82:L82,"&lt;&gt;")&gt;0,"A","►")</f>
        <v>►</v>
      </c>
      <c r="C82" s="157" t="str">
        <f>C16</f>
        <v>O OUR BLACK PUDDING | |  Author &gt; Guy KRENZE - Eric GODDYN - Arnaud NICOLAS - CEPROC 2002</v>
      </c>
      <c r="D82" s="157">
        <f>D16</f>
        <v>16.34</v>
      </c>
      <c r="E82" s="158" t="str">
        <f>E16</f>
        <v>Kg</v>
      </c>
      <c r="F82" s="159" t="str">
        <f>F16</f>
        <v>Master recipe ► Black pudding in 4 variations</v>
      </c>
      <c r="G82" s="160" t="s">
        <v>167</v>
      </c>
      <c r="H82" s="1536"/>
      <c r="I82" s="1536"/>
      <c r="J82" s="1536"/>
      <c r="K82" s="1536"/>
      <c r="L82" s="1536"/>
      <c r="M82" s="1536"/>
      <c r="N82" s="1536"/>
      <c r="O82" s="1536"/>
      <c r="P82" s="1537"/>
      <c r="Q82" s="1171"/>
      <c r="R82" s="104"/>
      <c r="S82" s="1172"/>
      <c r="T82" s="1172"/>
      <c r="U82" s="1172"/>
      <c r="V82" s="1173"/>
      <c r="W82" s="1174"/>
      <c r="X82" s="1175"/>
      <c r="Y82" s="1176"/>
      <c r="Z82" s="1177"/>
      <c r="AA82" s="1547"/>
      <c r="AB82" s="1177"/>
      <c r="AC82" s="1548"/>
      <c r="AD82" s="1549"/>
      <c r="AE82" s="1178"/>
      <c r="AF82" s="1179"/>
      <c r="AG82" s="1171"/>
      <c r="AH82" s="104"/>
      <c r="AI82" s="1172"/>
      <c r="AJ82" s="1172"/>
      <c r="AK82" s="1172"/>
      <c r="AL82" s="1173"/>
      <c r="AM82" s="1174"/>
      <c r="AN82" s="1175"/>
      <c r="AO82" s="1176"/>
      <c r="AP82" s="1177"/>
      <c r="AQ82" s="1547"/>
      <c r="AR82" s="1177"/>
      <c r="AS82" s="1548"/>
      <c r="AT82" s="1549"/>
      <c r="AU82" s="1178"/>
      <c r="AV82" s="1179"/>
      <c r="AY82" s="3">
        <v>1</v>
      </c>
    </row>
    <row r="83" spans="2:51" ht="27" customHeight="1">
      <c r="B83" s="104" t="str">
        <f t="shared" ref="B83:B94" si="9">IF(COUNTIF(H83:L83,"&lt;&gt;")&gt;0,"A","►")</f>
        <v>A</v>
      </c>
      <c r="C83" s="157" t="str">
        <f>C16</f>
        <v>O OUR BLACK PUDDING | |  Author &gt; Guy KRENZE - Eric GODDYN - Arnaud NICOLAS - CEPROC 2002</v>
      </c>
      <c r="D83" s="157">
        <f>D16</f>
        <v>16.34</v>
      </c>
      <c r="E83" s="158" t="str">
        <f>E16</f>
        <v>Kg</v>
      </c>
      <c r="F83" s="159" t="str">
        <f>F16</f>
        <v>Master recipe ► Black pudding in 4 variations</v>
      </c>
      <c r="G83" s="5441" t="s">
        <v>13235</v>
      </c>
      <c r="H83" s="5442"/>
      <c r="I83" s="5442"/>
      <c r="J83" s="5442"/>
      <c r="K83" s="5443"/>
      <c r="L83" s="172" t="s">
        <v>13133</v>
      </c>
      <c r="M83" s="172"/>
      <c r="N83" s="172"/>
      <c r="O83" s="172"/>
      <c r="P83" s="555"/>
      <c r="Q83" s="1171"/>
      <c r="R83" s="104"/>
      <c r="S83" s="1172"/>
      <c r="T83" s="1172"/>
      <c r="U83" s="1172"/>
      <c r="V83" s="1173"/>
      <c r="W83" s="1174"/>
      <c r="X83" s="1175"/>
      <c r="Y83" s="1176"/>
      <c r="Z83" s="1177"/>
      <c r="AA83" s="1547"/>
      <c r="AB83" s="1177"/>
      <c r="AC83" s="1548"/>
      <c r="AD83" s="1549"/>
      <c r="AE83" s="1178"/>
      <c r="AF83" s="1179"/>
      <c r="AG83" s="1171"/>
      <c r="AH83" s="104"/>
      <c r="AI83" s="1172"/>
      <c r="AJ83" s="1172"/>
      <c r="AK83" s="1172"/>
      <c r="AL83" s="1173"/>
      <c r="AM83" s="1174"/>
      <c r="AN83" s="1175"/>
      <c r="AO83" s="1176"/>
      <c r="AP83" s="1177"/>
      <c r="AQ83" s="1547"/>
      <c r="AR83" s="1177"/>
      <c r="AS83" s="1548"/>
      <c r="AT83" s="1549"/>
      <c r="AU83" s="1178"/>
      <c r="AV83" s="1179"/>
      <c r="AY83" s="3">
        <v>1</v>
      </c>
    </row>
    <row r="84" spans="2:51" ht="27" customHeight="1">
      <c r="B84" s="104" t="str">
        <f t="shared" ca="1" si="9"/>
        <v>A</v>
      </c>
      <c r="C84" s="157" t="str">
        <f>C16</f>
        <v>O OUR BLACK PUDDING | |  Author &gt; Guy KRENZE - Eric GODDYN - Arnaud NICOLAS - CEPROC 2002</v>
      </c>
      <c r="D84" s="157">
        <f>D16</f>
        <v>16.34</v>
      </c>
      <c r="E84" s="158" t="str">
        <f>E16</f>
        <v>Kg</v>
      </c>
      <c r="F84" s="159" t="str">
        <f>F16</f>
        <v>Master recipe ► Black pudding in 4 variations</v>
      </c>
      <c r="G84" s="5183" t="s">
        <v>1651</v>
      </c>
      <c r="H84" s="5122">
        <v>12</v>
      </c>
      <c r="I84" s="197"/>
      <c r="J84" s="5116" t="s">
        <v>1651</v>
      </c>
      <c r="K84" s="5115">
        <f>IF(AND(ISNUMBER(H84),H84&gt;0),H84,IF(OR(ISBLANK(H85),ISBLANK(H86),IF(H86&gt;1,H86/100,H86)&gt;=1),"",H85/(1-IF(H86&gt;1,H86/100,H86))))</f>
        <v>12</v>
      </c>
      <c r="L84" s="5178" t="str">
        <f ca="1">_xlfn.FORMULATEXT(K84)</f>
        <v>=SI(ET(ESTNUM(H84);H84&gt;0);H84;SI(OU(ESTVIDE(H85);ESTVIDE(H86);SI(H86&gt;1;H86/100;H86)&gt;=1);"";H85/(1-SI(H86&gt;1;H86/100;H86))))</v>
      </c>
      <c r="M84" s="172"/>
      <c r="N84" s="172"/>
      <c r="O84" s="172"/>
      <c r="P84" s="555"/>
      <c r="Q84" s="1171"/>
      <c r="R84" s="104"/>
      <c r="S84" s="1172"/>
      <c r="T84" s="1172"/>
      <c r="U84" s="1172"/>
      <c r="V84" s="1173"/>
      <c r="W84" s="1174"/>
      <c r="X84" s="1175"/>
      <c r="Y84" s="1176"/>
      <c r="Z84" s="1177"/>
      <c r="AA84" s="1547"/>
      <c r="AB84" s="1177"/>
      <c r="AC84" s="1548"/>
      <c r="AD84" s="1549"/>
      <c r="AE84" s="1178"/>
      <c r="AF84" s="1179"/>
      <c r="AG84" s="1171"/>
      <c r="AH84" s="104"/>
      <c r="AI84" s="1172"/>
      <c r="AJ84" s="1172"/>
      <c r="AK84" s="1172"/>
      <c r="AL84" s="1173"/>
      <c r="AM84" s="1174"/>
      <c r="AN84" s="1175"/>
      <c r="AO84" s="1176"/>
      <c r="AP84" s="1177"/>
      <c r="AQ84" s="1547"/>
      <c r="AR84" s="1177"/>
      <c r="AS84" s="1548"/>
      <c r="AT84" s="1549"/>
      <c r="AU84" s="1178"/>
      <c r="AV84" s="1179"/>
      <c r="AY84" s="3">
        <v>1</v>
      </c>
    </row>
    <row r="85" spans="2:51" ht="27" customHeight="1">
      <c r="B85" s="104" t="str">
        <f t="shared" ca="1" si="9"/>
        <v>A</v>
      </c>
      <c r="C85" s="157" t="str">
        <f>C16</f>
        <v>O OUR BLACK PUDDING | |  Author &gt; Guy KRENZE - Eric GODDYN - Arnaud NICOLAS - CEPROC 2002</v>
      </c>
      <c r="D85" s="157">
        <f>D16</f>
        <v>16.34</v>
      </c>
      <c r="E85" s="158" t="str">
        <f>E16</f>
        <v>Kg</v>
      </c>
      <c r="F85" s="159" t="str">
        <f>F16</f>
        <v>Master recipe ► Black pudding in 4 variations</v>
      </c>
      <c r="G85" s="5112" t="s">
        <v>1655</v>
      </c>
      <c r="H85" s="5117">
        <v>9</v>
      </c>
      <c r="I85" s="197"/>
      <c r="J85" s="5116" t="s">
        <v>1655</v>
      </c>
      <c r="K85" s="5115">
        <f>IF(AND(ISNUMBER(H85),H86&lt;=1,H85&gt;0),H85,IF(OR(ISBLANK(H84),ISBLANK(H86),NOT(ISNUMBER(H84)),NOT(ISNUMBER(H86))),"",MAX(0,H84*(1-IF(H86&gt;1,H86/100,H86)))))</f>
        <v>9</v>
      </c>
      <c r="L85" s="5178" t="str">
        <f ca="1">_xlfn.FORMULATEXT(K85)</f>
        <v>=SI(ET(ESTNUM(H85);H86&lt;=1;H85&gt;0);H85;SI(OU(ESTVIDE(H84);ESTVIDE(H86);NON(ESTNUM(H84));NON(ESTNUM(H86)));"";MAX(0;H84*(1-SI(H86&gt;1;H86/100;H86)))))</v>
      </c>
      <c r="M85" s="172"/>
      <c r="N85" s="172"/>
      <c r="O85" s="172"/>
      <c r="P85" s="555"/>
      <c r="Q85" s="1171"/>
      <c r="R85" s="104"/>
      <c r="S85" s="1172"/>
      <c r="T85" s="1172"/>
      <c r="U85" s="1172"/>
      <c r="V85" s="1173"/>
      <c r="W85" s="1174"/>
      <c r="X85" s="1175"/>
      <c r="Y85" s="1176"/>
      <c r="Z85" s="1177"/>
      <c r="AA85" s="1547"/>
      <c r="AB85" s="1177"/>
      <c r="AC85" s="1548"/>
      <c r="AD85" s="1549"/>
      <c r="AE85" s="1178"/>
      <c r="AF85" s="1179"/>
      <c r="AG85" s="1171"/>
      <c r="AH85" s="104"/>
      <c r="AI85" s="1172"/>
      <c r="AJ85" s="1172"/>
      <c r="AK85" s="1172"/>
      <c r="AL85" s="1173"/>
      <c r="AM85" s="1174"/>
      <c r="AN85" s="1175"/>
      <c r="AO85" s="1176"/>
      <c r="AP85" s="1177"/>
      <c r="AQ85" s="1547"/>
      <c r="AR85" s="1177"/>
      <c r="AS85" s="1548"/>
      <c r="AT85" s="1549"/>
      <c r="AU85" s="1178"/>
      <c r="AV85" s="1179"/>
      <c r="AY85" s="3">
        <v>1</v>
      </c>
    </row>
    <row r="86" spans="2:51" ht="27" customHeight="1">
      <c r="B86" s="104" t="str">
        <f t="shared" ca="1" si="9"/>
        <v>A</v>
      </c>
      <c r="C86" s="157" t="str">
        <f>C16</f>
        <v>O OUR BLACK PUDDING | |  Author &gt; Guy KRENZE - Eric GODDYN - Arnaud NICOLAS - CEPROC 2002</v>
      </c>
      <c r="D86" s="157">
        <f>D16</f>
        <v>16.34</v>
      </c>
      <c r="E86" s="158" t="str">
        <f>E16</f>
        <v>Kg</v>
      </c>
      <c r="F86" s="159" t="str">
        <f>F16</f>
        <v>Master recipe ► Black pudding in 4 variations</v>
      </c>
      <c r="G86" s="5113" t="s">
        <v>1667</v>
      </c>
      <c r="H86" s="5118"/>
      <c r="I86" s="197"/>
      <c r="J86" s="5116" t="s">
        <v>1667</v>
      </c>
      <c r="K86" s="5177">
        <f>IF( H86 &gt; 0, H86, IF( OR(ISBLANK(H84), ISBLANK(H85), NOT(ISNUMBER(H84)), NOT(ISNUMBER(H85)), H84 = 0), "", (H84 - H85) / H84 * IF(H86 &gt; 1, H86 / 100, 1) ) )</f>
        <v>0.25</v>
      </c>
      <c r="L86" s="5178" t="str">
        <f t="shared" ref="L86:L89" ca="1" si="10">_xlfn.FORMULATEXT(K86)</f>
        <v>=SI( H86 &gt; 0; H86; SI( OU(ESTVIDE(H84); ESTVIDE(H85); NON(ESTNUM(H84)); NON(ESTNUM(H85)); H84 = 0); ""; (H84 - H85) / H84 * SI(H86 &gt; 1; H86 / 100; 1) ) )</v>
      </c>
      <c r="M86" s="172"/>
      <c r="N86" s="172"/>
      <c r="O86" s="172"/>
      <c r="P86" s="555"/>
      <c r="Q86" s="1171"/>
      <c r="R86" s="104"/>
      <c r="S86" s="1172"/>
      <c r="T86" s="1172"/>
      <c r="U86" s="1172"/>
      <c r="V86" s="1173"/>
      <c r="W86" s="1174"/>
      <c r="X86" s="1175"/>
      <c r="Y86" s="1176"/>
      <c r="Z86" s="1177"/>
      <c r="AA86" s="1547"/>
      <c r="AB86" s="1177"/>
      <c r="AC86" s="1548"/>
      <c r="AD86" s="1549"/>
      <c r="AE86" s="1178"/>
      <c r="AF86" s="1179"/>
      <c r="AG86" s="1171"/>
      <c r="AH86" s="104"/>
      <c r="AI86" s="1172"/>
      <c r="AJ86" s="1172"/>
      <c r="AK86" s="1172"/>
      <c r="AL86" s="1173"/>
      <c r="AM86" s="1174"/>
      <c r="AN86" s="1175"/>
      <c r="AO86" s="1176"/>
      <c r="AP86" s="1177"/>
      <c r="AQ86" s="1547"/>
      <c r="AR86" s="1177"/>
      <c r="AS86" s="1548"/>
      <c r="AT86" s="1549"/>
      <c r="AU86" s="1178"/>
      <c r="AV86" s="1179"/>
      <c r="AY86" s="3">
        <v>1</v>
      </c>
    </row>
    <row r="87" spans="2:51" ht="27" customHeight="1">
      <c r="B87" s="104" t="str">
        <f t="shared" ca="1" si="9"/>
        <v>A</v>
      </c>
      <c r="C87" s="157" t="str">
        <f>C16</f>
        <v>O OUR BLACK PUDDING | |  Author &gt; Guy KRENZE - Eric GODDYN - Arnaud NICOLAS - CEPROC 2002</v>
      </c>
      <c r="D87" s="157">
        <f>D16</f>
        <v>16.34</v>
      </c>
      <c r="E87" s="158" t="str">
        <f>E16</f>
        <v>Kg</v>
      </c>
      <c r="F87" s="159" t="str">
        <f>F16</f>
        <v>Master recipe ► Black pudding in 4 variations</v>
      </c>
      <c r="G87" s="5176"/>
      <c r="H87" s="172"/>
      <c r="I87" s="197"/>
      <c r="J87" s="5116" t="s">
        <v>13228</v>
      </c>
      <c r="K87" s="5115">
        <f>IF(AND(NOT(ISBLANK(H84)),NOT(ISBLANK(H85))),H84-H85,IF(NOT(ISBLANK(H86)),IF(NOT(ISBLANK(H84)),H84*IF(H86&gt;1,H86/100,H86),IF(NOT(ISBLANK(H85)),H85*IF(H86&gt;1,H86/100,H86)/(1-IF(H86&gt;1,H86/100,H86)),"")),""))</f>
        <v>3</v>
      </c>
      <c r="L87" s="5178" t="str">
        <f t="shared" ca="1" si="10"/>
        <v>=SI(ET(NON(ESTVIDE(H84));NON(ESTVIDE(H85)));H84-H85;SI(NON(ESTVIDE(H86));SI(NON(ESTVIDE(H84));H84*SI(H86&gt;1;H86/100;H86);SI(NON(ESTVIDE(H85));H85*SI(H86&gt;1;H86/100;H86)/(1-SI(H86&gt;1;H86/100;H86));""));""))</v>
      </c>
      <c r="M87" s="172"/>
      <c r="N87" s="172"/>
      <c r="O87" s="172"/>
      <c r="P87" s="555"/>
      <c r="Q87" s="1171"/>
      <c r="R87" s="104"/>
      <c r="S87" s="1172"/>
      <c r="T87" s="1172"/>
      <c r="U87" s="1172"/>
      <c r="V87" s="1173"/>
      <c r="W87" s="1174"/>
      <c r="X87" s="1175"/>
      <c r="Y87" s="1176"/>
      <c r="Z87" s="1177"/>
      <c r="AA87" s="1547"/>
      <c r="AB87" s="1177"/>
      <c r="AC87" s="1548"/>
      <c r="AD87" s="1549"/>
      <c r="AE87" s="1178"/>
      <c r="AF87" s="1179"/>
      <c r="AG87" s="1171"/>
      <c r="AH87" s="104"/>
      <c r="AI87" s="1172"/>
      <c r="AJ87" s="1172"/>
      <c r="AK87" s="1172"/>
      <c r="AL87" s="1173"/>
      <c r="AM87" s="1174"/>
      <c r="AN87" s="1175"/>
      <c r="AO87" s="1176"/>
      <c r="AP87" s="1177"/>
      <c r="AQ87" s="1547"/>
      <c r="AR87" s="1177"/>
      <c r="AS87" s="1548"/>
      <c r="AT87" s="1549"/>
      <c r="AU87" s="1178"/>
      <c r="AV87" s="1179"/>
      <c r="AY87" s="3">
        <v>1</v>
      </c>
    </row>
    <row r="88" spans="2:51" ht="27" customHeight="1">
      <c r="B88" s="104" t="str">
        <f t="shared" ca="1" si="9"/>
        <v>A</v>
      </c>
      <c r="C88" s="157" t="str">
        <f>C16</f>
        <v>O OUR BLACK PUDDING | |  Author &gt; Guy KRENZE - Eric GODDYN - Arnaud NICOLAS - CEPROC 2002</v>
      </c>
      <c r="D88" s="157">
        <f>D16</f>
        <v>16.34</v>
      </c>
      <c r="E88" s="158" t="str">
        <f>E16</f>
        <v>Kg</v>
      </c>
      <c r="F88" s="159" t="str">
        <f>F16</f>
        <v>Master recipe ► Black pudding in 4 variations</v>
      </c>
      <c r="G88" s="5175"/>
      <c r="H88" s="172"/>
      <c r="I88" s="172"/>
      <c r="J88" s="5120" t="s">
        <v>13229</v>
      </c>
      <c r="K88" s="5121">
        <f>IF(OR(ISBLANK(H84),ISBLANK(H85)),"",H84/H85)</f>
        <v>1.3333333333333333</v>
      </c>
      <c r="L88" s="5178" t="str">
        <f t="shared" ca="1" si="10"/>
        <v>=SI(OU(ESTVIDE(H84);ESTVIDE(H85));"";H84/H85)</v>
      </c>
      <c r="M88" s="172"/>
      <c r="N88" s="172"/>
      <c r="O88" s="172"/>
      <c r="P88" s="555"/>
      <c r="Q88" s="1171"/>
      <c r="R88" s="104"/>
      <c r="S88" s="1172"/>
      <c r="T88" s="1172"/>
      <c r="U88" s="1172"/>
      <c r="V88" s="1173"/>
      <c r="W88" s="1174"/>
      <c r="X88" s="1175"/>
      <c r="Y88" s="1176"/>
      <c r="Z88" s="1177"/>
      <c r="AA88" s="1547"/>
      <c r="AB88" s="1177"/>
      <c r="AC88" s="1548"/>
      <c r="AD88" s="1549"/>
      <c r="AE88" s="1178"/>
      <c r="AF88" s="1179"/>
      <c r="AG88" s="1171"/>
      <c r="AH88" s="104"/>
      <c r="AI88" s="1172"/>
      <c r="AJ88" s="1172"/>
      <c r="AK88" s="1172"/>
      <c r="AL88" s="1173"/>
      <c r="AM88" s="1174"/>
      <c r="AN88" s="1175"/>
      <c r="AO88" s="1176"/>
      <c r="AP88" s="1177"/>
      <c r="AQ88" s="1547"/>
      <c r="AR88" s="1177"/>
      <c r="AS88" s="1548"/>
      <c r="AT88" s="1549"/>
      <c r="AU88" s="1178"/>
      <c r="AV88" s="1179"/>
      <c r="AY88" s="3">
        <v>1</v>
      </c>
    </row>
    <row r="89" spans="2:51" ht="27" customHeight="1">
      <c r="B89" s="104" t="str">
        <f t="shared" ca="1" si="9"/>
        <v>A</v>
      </c>
      <c r="C89" s="157" t="str">
        <f>C16</f>
        <v>O OUR BLACK PUDDING | |  Author &gt; Guy KRENZE - Eric GODDYN - Arnaud NICOLAS - CEPROC 2002</v>
      </c>
      <c r="D89" s="157">
        <f>D16</f>
        <v>16.34</v>
      </c>
      <c r="E89" s="158" t="str">
        <f>E16</f>
        <v>Kg</v>
      </c>
      <c r="F89" s="159" t="str">
        <f>F16</f>
        <v>Master recipe ► Black pudding in 4 variations</v>
      </c>
      <c r="G89" s="5119"/>
      <c r="H89" s="172"/>
      <c r="I89" s="172"/>
      <c r="J89" s="5120" t="s">
        <v>13230</v>
      </c>
      <c r="K89" s="5123">
        <f>IF(OR(ISBLANK(H84),ISBLANK(H85)),"",H85/H84)</f>
        <v>0.75</v>
      </c>
      <c r="L89" s="5178" t="str">
        <f t="shared" ca="1" si="10"/>
        <v>=SI(OU(ESTVIDE(H84);ESTVIDE(H85));"";H85/H84)</v>
      </c>
      <c r="M89" s="172"/>
      <c r="N89" s="172"/>
      <c r="O89" s="172"/>
      <c r="P89" s="555"/>
      <c r="Q89" s="1171"/>
      <c r="R89" s="104"/>
      <c r="S89" s="1172"/>
      <c r="T89" s="1172"/>
      <c r="U89" s="1172"/>
      <c r="V89" s="1173"/>
      <c r="W89" s="1174"/>
      <c r="X89" s="1175"/>
      <c r="Y89" s="1176"/>
      <c r="Z89" s="1177"/>
      <c r="AA89" s="1547"/>
      <c r="AB89" s="1177"/>
      <c r="AC89" s="1548"/>
      <c r="AD89" s="1549"/>
      <c r="AE89" s="1178"/>
      <c r="AF89" s="1179"/>
      <c r="AG89" s="1171"/>
      <c r="AH89" s="104"/>
      <c r="AI89" s="1172"/>
      <c r="AJ89" s="1172"/>
      <c r="AK89" s="1172"/>
      <c r="AL89" s="1173"/>
      <c r="AM89" s="1174"/>
      <c r="AN89" s="1175"/>
      <c r="AO89" s="1176"/>
      <c r="AP89" s="1177"/>
      <c r="AQ89" s="1547"/>
      <c r="AR89" s="1177"/>
      <c r="AS89" s="1548"/>
      <c r="AT89" s="1549"/>
      <c r="AU89" s="1178"/>
      <c r="AV89" s="1179"/>
      <c r="AY89" s="3">
        <v>1</v>
      </c>
    </row>
    <row r="90" spans="2:51" ht="27" customHeight="1">
      <c r="B90" s="104" t="str">
        <f t="shared" si="9"/>
        <v>►</v>
      </c>
      <c r="C90" s="157" t="str">
        <f>C16</f>
        <v>O OUR BLACK PUDDING | |  Author &gt; Guy KRENZE - Eric GODDYN - Arnaud NICOLAS - CEPROC 2002</v>
      </c>
      <c r="D90" s="157">
        <f>D16</f>
        <v>16.34</v>
      </c>
      <c r="E90" s="158" t="str">
        <f>E16</f>
        <v>Kg</v>
      </c>
      <c r="F90" s="159" t="str">
        <f>F16</f>
        <v>Master recipe ► Black pudding in 4 variations</v>
      </c>
      <c r="G90" s="5124" t="s">
        <v>13236</v>
      </c>
      <c r="H90" s="5125"/>
      <c r="I90" s="5125"/>
      <c r="J90" s="5125"/>
      <c r="K90" s="5126"/>
      <c r="L90" s="172"/>
      <c r="M90" s="172"/>
      <c r="N90" s="172"/>
      <c r="O90" s="172"/>
      <c r="P90" s="555"/>
      <c r="Q90" s="1171"/>
      <c r="R90" s="104"/>
      <c r="S90" s="1172"/>
      <c r="T90" s="1172"/>
      <c r="U90" s="1172"/>
      <c r="V90" s="1173"/>
      <c r="W90" s="1174"/>
      <c r="X90" s="1175"/>
      <c r="Y90" s="1176"/>
      <c r="Z90" s="1177"/>
      <c r="AA90" s="1547"/>
      <c r="AB90" s="1177"/>
      <c r="AC90" s="1548"/>
      <c r="AD90" s="1549"/>
      <c r="AE90" s="1178"/>
      <c r="AF90" s="1179"/>
      <c r="AG90" s="1171"/>
      <c r="AH90" s="104"/>
      <c r="AI90" s="1172"/>
      <c r="AJ90" s="1172"/>
      <c r="AK90" s="1172"/>
      <c r="AL90" s="1173"/>
      <c r="AM90" s="1174"/>
      <c r="AN90" s="1175"/>
      <c r="AO90" s="1176"/>
      <c r="AP90" s="1177"/>
      <c r="AQ90" s="1547"/>
      <c r="AR90" s="1177"/>
      <c r="AS90" s="1548"/>
      <c r="AT90" s="1549"/>
      <c r="AU90" s="1178"/>
      <c r="AV90" s="1179"/>
      <c r="AY90" s="3">
        <v>1</v>
      </c>
    </row>
    <row r="91" spans="2:51" ht="27" customHeight="1">
      <c r="B91" s="104" t="str">
        <f t="shared" si="9"/>
        <v>►</v>
      </c>
      <c r="C91" s="157" t="str">
        <f>C16</f>
        <v>O OUR BLACK PUDDING | |  Author &gt; Guy KRENZE - Eric GODDYN - Arnaud NICOLAS - CEPROC 2002</v>
      </c>
      <c r="D91" s="157">
        <f>D16</f>
        <v>16.34</v>
      </c>
      <c r="E91" s="158" t="str">
        <f>E16</f>
        <v>Kg</v>
      </c>
      <c r="F91" s="159" t="str">
        <f>F16</f>
        <v>Master recipe ► Black pudding in 4 variations</v>
      </c>
      <c r="G91" s="172" t="s">
        <v>13241</v>
      </c>
      <c r="H91" s="172"/>
      <c r="I91" s="172"/>
      <c r="J91" s="172"/>
      <c r="K91" s="172"/>
      <c r="L91" s="172"/>
      <c r="M91" s="172"/>
      <c r="N91" s="172"/>
      <c r="O91" s="172"/>
      <c r="P91" s="555"/>
      <c r="Q91" s="1171"/>
      <c r="R91" s="104"/>
      <c r="S91" s="1172"/>
      <c r="T91" s="1172"/>
      <c r="U91" s="1172"/>
      <c r="V91" s="1173"/>
      <c r="W91" s="1174"/>
      <c r="X91" s="1175"/>
      <c r="Y91" s="1176"/>
      <c r="Z91" s="1177"/>
      <c r="AA91" s="1547"/>
      <c r="AB91" s="1177"/>
      <c r="AC91" s="1548"/>
      <c r="AD91" s="1549"/>
      <c r="AE91" s="1178"/>
      <c r="AF91" s="1179"/>
      <c r="AG91" s="1171"/>
      <c r="AH91" s="104"/>
      <c r="AI91" s="1172"/>
      <c r="AJ91" s="1172"/>
      <c r="AK91" s="1172"/>
      <c r="AL91" s="1173"/>
      <c r="AM91" s="1174"/>
      <c r="AN91" s="1175"/>
      <c r="AO91" s="1176"/>
      <c r="AP91" s="1177"/>
      <c r="AQ91" s="1547"/>
      <c r="AR91" s="1177"/>
      <c r="AS91" s="1548"/>
      <c r="AT91" s="1549"/>
      <c r="AU91" s="1178"/>
      <c r="AV91" s="1179"/>
      <c r="AY91" s="3">
        <v>1</v>
      </c>
    </row>
    <row r="92" spans="2:51" ht="27" customHeight="1">
      <c r="B92" s="104" t="str">
        <f t="shared" si="9"/>
        <v>►</v>
      </c>
      <c r="C92" s="157" t="str">
        <f>C16</f>
        <v>O OUR BLACK PUDDING | |  Author &gt; Guy KRENZE - Eric GODDYN - Arnaud NICOLAS - CEPROC 2002</v>
      </c>
      <c r="D92" s="157">
        <f>D16</f>
        <v>16.34</v>
      </c>
      <c r="E92" s="158" t="str">
        <f>E16</f>
        <v>Kg</v>
      </c>
      <c r="F92" s="159" t="str">
        <f>F16</f>
        <v>Master recipe ► Black pudding in 4 variations</v>
      </c>
      <c r="G92" s="172"/>
      <c r="H92" s="172"/>
      <c r="I92" s="172"/>
      <c r="J92" s="172"/>
      <c r="K92" s="172"/>
      <c r="L92" s="172"/>
      <c r="M92" s="172"/>
      <c r="N92" s="172"/>
      <c r="O92" s="172"/>
      <c r="P92" s="555"/>
      <c r="Q92" s="1171"/>
      <c r="R92" s="104"/>
      <c r="S92" s="1172"/>
      <c r="T92" s="1172"/>
      <c r="U92" s="1172"/>
      <c r="V92" s="1173"/>
      <c r="W92" s="1174"/>
      <c r="X92" s="1175"/>
      <c r="Y92" s="1176"/>
      <c r="Z92" s="1177"/>
      <c r="AA92" s="1547"/>
      <c r="AB92" s="1177"/>
      <c r="AC92" s="1548"/>
      <c r="AD92" s="1549"/>
      <c r="AE92" s="1178"/>
      <c r="AF92" s="1179"/>
      <c r="AG92" s="1171"/>
      <c r="AH92" s="104"/>
      <c r="AI92" s="1172"/>
      <c r="AJ92" s="1172"/>
      <c r="AK92" s="1172"/>
      <c r="AL92" s="1173"/>
      <c r="AM92" s="1174"/>
      <c r="AN92" s="1175"/>
      <c r="AO92" s="1176"/>
      <c r="AP92" s="1177"/>
      <c r="AQ92" s="1547"/>
      <c r="AR92" s="1177"/>
      <c r="AS92" s="1548"/>
      <c r="AT92" s="1549"/>
      <c r="AU92" s="1178"/>
      <c r="AV92" s="1179"/>
      <c r="AY92" s="3">
        <v>1</v>
      </c>
    </row>
    <row r="93" spans="2:51" ht="27" customHeight="1">
      <c r="B93" s="104" t="str">
        <f t="shared" si="9"/>
        <v>►</v>
      </c>
      <c r="C93" s="157" t="str">
        <f>C16</f>
        <v>O OUR BLACK PUDDING | |  Author &gt; Guy KRENZE - Eric GODDYN - Arnaud NICOLAS - CEPROC 2002</v>
      </c>
      <c r="D93" s="157">
        <f>D16</f>
        <v>16.34</v>
      </c>
      <c r="E93" s="158" t="str">
        <f>E16</f>
        <v>Kg</v>
      </c>
      <c r="F93" s="159" t="str">
        <f>F16</f>
        <v>Master recipe ► Black pudding in 4 variations</v>
      </c>
      <c r="G93" s="172"/>
      <c r="H93" s="172"/>
      <c r="I93" s="172"/>
      <c r="J93" s="172"/>
      <c r="K93" s="172"/>
      <c r="L93" s="172"/>
      <c r="M93" s="172"/>
      <c r="N93" s="172"/>
      <c r="O93" s="172"/>
      <c r="P93" s="555"/>
      <c r="Q93" s="1171"/>
      <c r="R93" s="104"/>
      <c r="S93" s="1172"/>
      <c r="T93" s="1172"/>
      <c r="U93" s="1172"/>
      <c r="V93" s="1173"/>
      <c r="W93" s="1174"/>
      <c r="X93" s="1175"/>
      <c r="Y93" s="1176"/>
      <c r="Z93" s="1177"/>
      <c r="AA93" s="1547"/>
      <c r="AB93" s="1177"/>
      <c r="AC93" s="1548"/>
      <c r="AD93" s="1549"/>
      <c r="AE93" s="1178"/>
      <c r="AF93" s="1179"/>
      <c r="AG93" s="1171"/>
      <c r="AH93" s="104"/>
      <c r="AI93" s="1172"/>
      <c r="AJ93" s="1172"/>
      <c r="AK93" s="1172"/>
      <c r="AL93" s="1173"/>
      <c r="AM93" s="1174"/>
      <c r="AN93" s="1175"/>
      <c r="AO93" s="1176"/>
      <c r="AP93" s="1177"/>
      <c r="AQ93" s="1547"/>
      <c r="AR93" s="1177"/>
      <c r="AS93" s="1548"/>
      <c r="AT93" s="1549"/>
      <c r="AU93" s="1178"/>
      <c r="AV93" s="1179"/>
      <c r="AY93" s="3">
        <v>1</v>
      </c>
    </row>
    <row r="94" spans="2:51" ht="27" customHeight="1">
      <c r="B94" s="104" t="str">
        <f t="shared" si="9"/>
        <v>►</v>
      </c>
      <c r="C94" s="157" t="str">
        <f>C16</f>
        <v>O OUR BLACK PUDDING | |  Author &gt; Guy KRENZE - Eric GODDYN - Arnaud NICOLAS - CEPROC 2002</v>
      </c>
      <c r="D94" s="157">
        <f>D16</f>
        <v>16.34</v>
      </c>
      <c r="E94" s="158" t="str">
        <f>E16</f>
        <v>Kg</v>
      </c>
      <c r="F94" s="159" t="str">
        <f>F16</f>
        <v>Master recipe ► Black pudding in 4 variations</v>
      </c>
      <c r="G94" s="172"/>
      <c r="H94" s="172"/>
      <c r="I94" s="172"/>
      <c r="J94" s="172"/>
      <c r="K94" s="172"/>
      <c r="L94" s="172"/>
      <c r="M94" s="172"/>
      <c r="N94" s="172"/>
      <c r="O94" s="172"/>
      <c r="P94" s="555"/>
      <c r="Q94" s="1171"/>
      <c r="R94" s="104"/>
      <c r="S94" s="1172"/>
      <c r="T94" s="1172"/>
      <c r="U94" s="1172"/>
      <c r="V94" s="1173"/>
      <c r="W94" s="1174"/>
      <c r="X94" s="1175"/>
      <c r="Y94" s="1176"/>
      <c r="Z94" s="1177"/>
      <c r="AA94" s="1547"/>
      <c r="AB94" s="1177"/>
      <c r="AC94" s="1548"/>
      <c r="AD94" s="1549"/>
      <c r="AE94" s="1178"/>
      <c r="AF94" s="1179"/>
      <c r="AG94" s="1171"/>
      <c r="AH94" s="104"/>
      <c r="AI94" s="1172"/>
      <c r="AJ94" s="1172"/>
      <c r="AK94" s="1172"/>
      <c r="AL94" s="1173"/>
      <c r="AM94" s="1174"/>
      <c r="AN94" s="1175"/>
      <c r="AO94" s="1176"/>
      <c r="AP94" s="1177"/>
      <c r="AQ94" s="1547"/>
      <c r="AR94" s="1177"/>
      <c r="AS94" s="1548"/>
      <c r="AT94" s="1549"/>
      <c r="AU94" s="1178"/>
      <c r="AV94" s="1179"/>
      <c r="AY94" s="3">
        <v>1</v>
      </c>
    </row>
    <row r="95" spans="2:51" ht="27" customHeight="1">
      <c r="B95" s="104" t="str">
        <f>IF(COUNTIF(H95:L95,"&lt;&gt;")&gt;0,"A","►")</f>
        <v>►</v>
      </c>
      <c r="C95" s="157" t="str">
        <f>C16</f>
        <v>O OUR BLACK PUDDING | |  Author &gt; Guy KRENZE - Eric GODDYN - Arnaud NICOLAS - CEPROC 2002</v>
      </c>
      <c r="D95" s="157">
        <f>D16</f>
        <v>16.34</v>
      </c>
      <c r="E95" s="158" t="str">
        <f>E16</f>
        <v>Kg</v>
      </c>
      <c r="F95" s="159" t="str">
        <f>F16</f>
        <v>Master recipe ► Black pudding in 4 variations</v>
      </c>
      <c r="G95" s="172"/>
      <c r="H95" s="172"/>
      <c r="I95" s="172"/>
      <c r="J95" s="172"/>
      <c r="K95" s="172"/>
      <c r="L95" s="172"/>
      <c r="M95" s="172"/>
      <c r="N95" s="172"/>
      <c r="O95" s="172"/>
      <c r="P95" s="555"/>
      <c r="Q95" s="1171"/>
      <c r="R95" s="104"/>
      <c r="S95" s="1172"/>
      <c r="T95" s="1172"/>
      <c r="U95" s="1172"/>
      <c r="V95" s="1173"/>
      <c r="W95" s="1174"/>
      <c r="X95" s="1175"/>
      <c r="Y95" s="1176"/>
      <c r="Z95" s="1177"/>
      <c r="AA95" s="1547"/>
      <c r="AB95" s="1177"/>
      <c r="AC95" s="1548"/>
      <c r="AD95" s="1549"/>
      <c r="AE95" s="1178"/>
      <c r="AF95" s="1179"/>
      <c r="AG95" s="1171"/>
      <c r="AH95" s="104"/>
      <c r="AI95" s="1172"/>
      <c r="AJ95" s="1172"/>
      <c r="AK95" s="1172"/>
      <c r="AL95" s="1173"/>
      <c r="AM95" s="1174"/>
      <c r="AN95" s="1175"/>
      <c r="AO95" s="1176"/>
      <c r="AP95" s="1177"/>
      <c r="AQ95" s="1547"/>
      <c r="AR95" s="1177"/>
      <c r="AS95" s="1548"/>
      <c r="AT95" s="1549"/>
      <c r="AU95" s="1178"/>
      <c r="AV95" s="1179"/>
      <c r="AY95" s="3">
        <v>1</v>
      </c>
    </row>
    <row r="96" spans="2:51" ht="27" customHeight="1">
      <c r="B96" s="104" t="str">
        <f t="shared" ref="B96" si="11">IF(COUNTIF(H96:L96,"&lt;&gt;")&gt;0,"A","►")</f>
        <v>►</v>
      </c>
      <c r="C96" s="157" t="str">
        <f>C16</f>
        <v>O OUR BLACK PUDDING | |  Author &gt; Guy KRENZE - Eric GODDYN - Arnaud NICOLAS - CEPROC 2002</v>
      </c>
      <c r="D96" s="157">
        <f>D16</f>
        <v>16.34</v>
      </c>
      <c r="E96" s="158" t="str">
        <f>E16</f>
        <v>Kg</v>
      </c>
      <c r="F96" s="159" t="str">
        <f>F16</f>
        <v>Master recipe ► Black pudding in 4 variations</v>
      </c>
      <c r="G96" s="172"/>
      <c r="H96" s="172"/>
      <c r="I96" s="172"/>
      <c r="J96" s="172"/>
      <c r="K96" s="172"/>
      <c r="L96" s="172"/>
      <c r="M96" s="172"/>
      <c r="N96" s="172"/>
      <c r="O96" s="172"/>
      <c r="P96" s="555"/>
      <c r="Q96" s="1171"/>
      <c r="R96" s="104"/>
      <c r="S96" s="1172"/>
      <c r="T96" s="1172"/>
      <c r="U96" s="1172"/>
      <c r="V96" s="1173"/>
      <c r="W96" s="1174"/>
      <c r="X96" s="1175"/>
      <c r="Y96" s="1176"/>
      <c r="Z96" s="1177"/>
      <c r="AA96" s="1547"/>
      <c r="AB96" s="1177"/>
      <c r="AC96" s="1548"/>
      <c r="AD96" s="1549"/>
      <c r="AE96" s="1178"/>
      <c r="AF96" s="1179"/>
      <c r="AG96" s="1171"/>
      <c r="AH96" s="104"/>
      <c r="AI96" s="1172"/>
      <c r="AJ96" s="1172"/>
      <c r="AK96" s="1172"/>
      <c r="AL96" s="1173"/>
      <c r="AM96" s="1174"/>
      <c r="AN96" s="1175"/>
      <c r="AO96" s="1176"/>
      <c r="AP96" s="1177"/>
      <c r="AQ96" s="1547"/>
      <c r="AR96" s="1177"/>
      <c r="AS96" s="1548"/>
      <c r="AT96" s="1549"/>
      <c r="AU96" s="1178"/>
      <c r="AV96" s="1179"/>
      <c r="AY96" s="3">
        <v>1</v>
      </c>
    </row>
    <row r="97" spans="2:51" ht="27" customHeight="1">
      <c r="B97" s="196" t="s">
        <v>11</v>
      </c>
      <c r="C97" s="157" t="str">
        <f>C16</f>
        <v>O OUR BLACK PUDDING | |  Author &gt; Guy KRENZE - Eric GODDYN - Arnaud NICOLAS - CEPROC 2002</v>
      </c>
      <c r="D97" s="157">
        <f>D16</f>
        <v>16.34</v>
      </c>
      <c r="E97" s="158" t="str">
        <f>E16</f>
        <v>Kg</v>
      </c>
      <c r="F97" s="159" t="str">
        <f>F16</f>
        <v>Master recipe ► Black pudding in 4 variations</v>
      </c>
      <c r="G97" s="167"/>
      <c r="H97" s="172"/>
      <c r="I97" s="172"/>
      <c r="J97" s="172"/>
      <c r="K97" s="172"/>
      <c r="L97" s="172"/>
      <c r="M97" s="172"/>
      <c r="N97" s="172"/>
      <c r="O97" s="172"/>
      <c r="P97" s="1485" t="s">
        <v>197</v>
      </c>
      <c r="Q97" s="1171"/>
      <c r="R97" s="104"/>
      <c r="S97" s="1172"/>
      <c r="T97" s="1172"/>
      <c r="U97" s="1172"/>
      <c r="V97" s="1173"/>
      <c r="W97" s="1174"/>
      <c r="X97" s="1175"/>
      <c r="Y97" s="1176"/>
      <c r="Z97" s="1177"/>
      <c r="AA97" s="1547"/>
      <c r="AB97" s="1177"/>
      <c r="AC97" s="1548"/>
      <c r="AD97" s="1549"/>
      <c r="AE97" s="1178"/>
      <c r="AF97" s="1179"/>
      <c r="AG97" s="1171"/>
      <c r="AH97" s="104"/>
      <c r="AI97" s="1172"/>
      <c r="AJ97" s="1172"/>
      <c r="AK97" s="1172"/>
      <c r="AL97" s="1173"/>
      <c r="AM97" s="1174"/>
      <c r="AN97" s="1175"/>
      <c r="AO97" s="1176"/>
      <c r="AP97" s="1177"/>
      <c r="AQ97" s="1547"/>
      <c r="AR97" s="1177"/>
      <c r="AS97" s="1548"/>
      <c r="AT97" s="1549"/>
      <c r="AU97" s="1178"/>
      <c r="AV97" s="1179"/>
      <c r="AY97" s="3">
        <v>1</v>
      </c>
    </row>
    <row r="98" spans="2:51" ht="27" customHeight="1">
      <c r="B98" s="196" t="s">
        <v>11</v>
      </c>
      <c r="C98" s="157" t="str">
        <f>C16</f>
        <v>O OUR BLACK PUDDING | |  Author &gt; Guy KRENZE - Eric GODDYN - Arnaud NICOLAS - CEPROC 2002</v>
      </c>
      <c r="D98" s="157">
        <f>D16</f>
        <v>16.34</v>
      </c>
      <c r="E98" s="158" t="str">
        <f>E16</f>
        <v>Kg</v>
      </c>
      <c r="F98" s="159" t="str">
        <f>F16</f>
        <v>Master recipe ► Black pudding in 4 variations</v>
      </c>
      <c r="G98" s="204"/>
      <c r="H98" s="204"/>
      <c r="I98" s="204" t="s">
        <v>201</v>
      </c>
      <c r="J98" s="205"/>
      <c r="K98" s="206"/>
      <c r="L98" s="206"/>
      <c r="M98" s="206"/>
      <c r="N98" s="206"/>
      <c r="O98" s="206"/>
      <c r="P98" s="567"/>
      <c r="Q98" s="1171"/>
      <c r="R98" s="104"/>
      <c r="S98" s="1172"/>
      <c r="T98" s="1172"/>
      <c r="U98" s="1172"/>
      <c r="V98" s="1173"/>
      <c r="W98" s="1174"/>
      <c r="X98" s="1175"/>
      <c r="Y98" s="1176"/>
      <c r="Z98" s="1177"/>
      <c r="AA98" s="1547"/>
      <c r="AB98" s="1177"/>
      <c r="AC98" s="1548"/>
      <c r="AD98" s="1549"/>
      <c r="AE98" s="1178"/>
      <c r="AF98" s="1179"/>
      <c r="AG98" s="1171"/>
      <c r="AH98" s="104"/>
      <c r="AI98" s="1172"/>
      <c r="AJ98" s="1172"/>
      <c r="AK98" s="1172"/>
      <c r="AL98" s="1173"/>
      <c r="AM98" s="1174"/>
      <c r="AN98" s="1175"/>
      <c r="AO98" s="1176"/>
      <c r="AP98" s="1177"/>
      <c r="AQ98" s="1547"/>
      <c r="AR98" s="1177"/>
      <c r="AS98" s="1548"/>
      <c r="AT98" s="1549"/>
      <c r="AU98" s="1178"/>
      <c r="AV98" s="1179"/>
      <c r="AY98" s="3">
        <v>1</v>
      </c>
    </row>
    <row r="99" spans="2:51" ht="27" customHeight="1">
      <c r="B99" s="196" t="s">
        <v>11</v>
      </c>
      <c r="C99" s="209" t="str">
        <f>C16</f>
        <v>O OUR BLACK PUDDING | |  Author &gt; Guy KRENZE - Eric GODDYN - Arnaud NICOLAS - CEPROC 2002</v>
      </c>
      <c r="D99" s="209">
        <f>D16</f>
        <v>16.34</v>
      </c>
      <c r="E99" s="210" t="str">
        <f>E16</f>
        <v>Kg</v>
      </c>
      <c r="F99" s="211" t="str">
        <f>F16</f>
        <v>Master recipe ► Black pudding in 4 variations</v>
      </c>
      <c r="G99" s="212"/>
      <c r="H99" s="213"/>
      <c r="I99" s="214"/>
      <c r="J99" s="215"/>
      <c r="K99" s="214"/>
      <c r="L99" s="214"/>
      <c r="M99" s="214"/>
      <c r="N99" s="214"/>
      <c r="O99" s="214"/>
      <c r="P99" s="582"/>
      <c r="Q99" s="1171"/>
      <c r="R99" s="104"/>
      <c r="S99" s="1172"/>
      <c r="T99" s="1172"/>
      <c r="U99" s="1172"/>
      <c r="V99" s="1173"/>
      <c r="W99" s="1174"/>
      <c r="X99" s="1175"/>
      <c r="Y99" s="1176"/>
      <c r="Z99" s="1177"/>
      <c r="AA99" s="1547"/>
      <c r="AB99" s="1177"/>
      <c r="AC99" s="1548"/>
      <c r="AD99" s="1549"/>
      <c r="AE99" s="1178"/>
      <c r="AF99" s="1179"/>
      <c r="AG99" s="1171"/>
      <c r="AH99" s="104"/>
      <c r="AI99" s="1172"/>
      <c r="AJ99" s="1172"/>
      <c r="AK99" s="1172"/>
      <c r="AL99" s="1173"/>
      <c r="AM99" s="1174"/>
      <c r="AN99" s="1175"/>
      <c r="AO99" s="1176"/>
      <c r="AP99" s="1177"/>
      <c r="AQ99" s="1547"/>
      <c r="AR99" s="1177"/>
      <c r="AS99" s="1548"/>
      <c r="AT99" s="1549"/>
      <c r="AU99" s="1178"/>
      <c r="AV99" s="1179"/>
      <c r="AY99" s="3">
        <v>1</v>
      </c>
    </row>
    <row r="100" spans="2:51" ht="27" customHeight="1" thickBot="1">
      <c r="B100" s="216" t="s">
        <v>11</v>
      </c>
      <c r="C100" s="217"/>
      <c r="D100" s="217"/>
      <c r="E100" s="217"/>
      <c r="F100" s="218"/>
      <c r="G100" s="219" t="s">
        <v>208</v>
      </c>
      <c r="H100" s="1481" t="str">
        <f ca="1">CELL("nomfichier")</f>
        <v>D:\Données\1.UPRT\0-UPRT.fait\1-UPRT.FR-SITE-WEB\ff-fiches-fabrications\ff.fiches.fabrication.2023\ffr.restaurant.2023\[ff.FICHE.TRILINGUE.15.COLONNES.29.11.2025.xlsx]Notice.utilisateur</v>
      </c>
      <c r="I100" s="220"/>
      <c r="J100" s="220"/>
      <c r="K100" s="220"/>
      <c r="L100" s="220"/>
      <c r="M100" s="220"/>
      <c r="N100" s="220"/>
      <c r="O100" s="220"/>
      <c r="P100" s="221"/>
      <c r="Q100" s="1171"/>
      <c r="R100" s="104"/>
      <c r="S100" s="1172"/>
      <c r="T100" s="1172"/>
      <c r="U100" s="1172"/>
      <c r="V100" s="1173"/>
      <c r="W100" s="1174"/>
      <c r="X100" s="1175"/>
      <c r="Y100" s="1176"/>
      <c r="Z100" s="1177"/>
      <c r="AA100" s="1547"/>
      <c r="AB100" s="1177"/>
      <c r="AC100" s="1548"/>
      <c r="AD100" s="1549"/>
      <c r="AE100" s="1178"/>
      <c r="AF100" s="1179"/>
      <c r="AG100" s="1171"/>
      <c r="AH100" s="104"/>
      <c r="AI100" s="1172"/>
      <c r="AJ100" s="1172"/>
      <c r="AK100" s="1172"/>
      <c r="AL100" s="1173"/>
      <c r="AM100" s="1174"/>
      <c r="AN100" s="1175"/>
      <c r="AO100" s="1176"/>
      <c r="AP100" s="1177"/>
      <c r="AQ100" s="1547"/>
      <c r="AR100" s="1177"/>
      <c r="AS100" s="1548"/>
      <c r="AT100" s="1549"/>
      <c r="AU100" s="1178"/>
      <c r="AV100" s="1179"/>
      <c r="AY100" s="3">
        <v>1</v>
      </c>
    </row>
    <row r="101" spans="2:51" ht="27" customHeight="1" thickBot="1">
      <c r="B101" s="1478" t="s">
        <v>11</v>
      </c>
      <c r="C101" s="1479" t="s">
        <v>11</v>
      </c>
      <c r="D101" s="1479" t="s">
        <v>11</v>
      </c>
      <c r="E101" s="1479" t="s">
        <v>11</v>
      </c>
      <c r="F101" s="1479" t="s">
        <v>11</v>
      </c>
      <c r="G101" s="1480" t="s">
        <v>2613</v>
      </c>
      <c r="H101" s="1140"/>
      <c r="I101" s="1141"/>
      <c r="J101" s="1142"/>
      <c r="K101" s="1143"/>
      <c r="L101" s="1144"/>
      <c r="M101" s="1145"/>
      <c r="N101" s="1145"/>
      <c r="O101" s="1146"/>
      <c r="P101" s="1147"/>
      <c r="Q101" s="1171"/>
      <c r="R101" s="104"/>
      <c r="S101" s="1172"/>
      <c r="T101" s="1172"/>
      <c r="U101" s="1172"/>
      <c r="V101" s="1173"/>
      <c r="W101" s="1174"/>
      <c r="X101" s="1175"/>
      <c r="Y101" s="1176"/>
      <c r="Z101" s="1177"/>
      <c r="AA101" s="1547"/>
      <c r="AB101" s="1177"/>
      <c r="AC101" s="1548"/>
      <c r="AD101" s="1549"/>
      <c r="AE101" s="1178"/>
      <c r="AF101" s="1179"/>
      <c r="AG101" s="1171"/>
      <c r="AH101" s="104"/>
      <c r="AI101" s="1172"/>
      <c r="AJ101" s="1172"/>
      <c r="AK101" s="1172"/>
      <c r="AL101" s="1173"/>
      <c r="AM101" s="1174"/>
      <c r="AN101" s="1175"/>
      <c r="AO101" s="1176"/>
      <c r="AP101" s="1177"/>
      <c r="AQ101" s="1547"/>
      <c r="AR101" s="1177"/>
      <c r="AS101" s="1548"/>
      <c r="AT101" s="1549"/>
      <c r="AU101" s="1178"/>
      <c r="AV101" s="1179"/>
      <c r="AY101" s="3">
        <v>1</v>
      </c>
    </row>
    <row r="102" spans="2:51" ht="27" customHeight="1">
      <c r="B102" s="104"/>
      <c r="C102" s="1172"/>
      <c r="D102" s="1172"/>
      <c r="E102" s="1172"/>
      <c r="F102" s="1173"/>
      <c r="G102" s="1174"/>
      <c r="H102" s="1175"/>
      <c r="I102" s="1176"/>
      <c r="J102" s="1177"/>
      <c r="K102" s="1547"/>
      <c r="L102" s="1177"/>
      <c r="M102" s="1548"/>
      <c r="N102" s="1549"/>
      <c r="O102" s="1178"/>
      <c r="P102" s="1179"/>
      <c r="Q102" s="1171"/>
      <c r="R102" s="104"/>
      <c r="S102" s="1172"/>
      <c r="T102" s="1172"/>
      <c r="U102" s="1172"/>
      <c r="V102" s="1173"/>
      <c r="W102" s="1174"/>
      <c r="X102" s="1175"/>
      <c r="Y102" s="1176"/>
      <c r="Z102" s="1177"/>
      <c r="AA102" s="1547"/>
      <c r="AB102" s="1177"/>
      <c r="AC102" s="1548"/>
      <c r="AD102" s="1549"/>
      <c r="AE102" s="1178"/>
      <c r="AF102" s="1179"/>
      <c r="AG102" s="1171"/>
      <c r="AH102" s="104"/>
      <c r="AI102" s="1172"/>
      <c r="AJ102" s="1172"/>
      <c r="AK102" s="1172"/>
      <c r="AL102" s="1173"/>
      <c r="AM102" s="1174"/>
      <c r="AN102" s="1175"/>
      <c r="AO102" s="1176"/>
      <c r="AP102" s="1177"/>
      <c r="AQ102" s="1547"/>
      <c r="AR102" s="1177"/>
      <c r="AS102" s="1548"/>
      <c r="AT102" s="1549"/>
      <c r="AU102" s="1178"/>
      <c r="AV102" s="1179"/>
      <c r="AY102" s="3">
        <v>1</v>
      </c>
    </row>
    <row r="103" spans="2:51" ht="27" customHeight="1">
      <c r="B103" s="104"/>
      <c r="C103" s="1172"/>
      <c r="D103" s="1172"/>
      <c r="E103" s="1172"/>
      <c r="F103" s="1173"/>
      <c r="G103" s="1174"/>
      <c r="H103" s="1175"/>
      <c r="I103" s="1176"/>
      <c r="J103" s="1177"/>
      <c r="K103" s="1547"/>
      <c r="L103" s="1177"/>
      <c r="M103" s="1548"/>
      <c r="N103" s="1549"/>
      <c r="O103" s="1178"/>
      <c r="P103" s="1179"/>
      <c r="Q103" s="1171"/>
      <c r="R103" s="104"/>
      <c r="S103" s="1172"/>
      <c r="T103" s="1172"/>
      <c r="U103" s="1172"/>
      <c r="V103" s="1173"/>
      <c r="W103" s="1174"/>
      <c r="X103" s="1175"/>
      <c r="Y103" s="1176"/>
      <c r="Z103" s="1177"/>
      <c r="AA103" s="1547"/>
      <c r="AB103" s="1177"/>
      <c r="AC103" s="1548"/>
      <c r="AD103" s="1549"/>
      <c r="AE103" s="1178"/>
      <c r="AF103" s="1179"/>
      <c r="AG103" s="1171"/>
      <c r="AH103" s="104"/>
      <c r="AI103" s="1172"/>
      <c r="AJ103" s="1172"/>
      <c r="AK103" s="1172"/>
      <c r="AL103" s="1173"/>
      <c r="AM103" s="1174"/>
      <c r="AN103" s="1175"/>
      <c r="AO103" s="1176"/>
      <c r="AP103" s="1177"/>
      <c r="AQ103" s="1547"/>
      <c r="AR103" s="1177"/>
      <c r="AS103" s="1548"/>
      <c r="AT103" s="1549"/>
      <c r="AU103" s="1178"/>
      <c r="AV103" s="1179"/>
      <c r="AY103" s="3">
        <v>1</v>
      </c>
    </row>
    <row r="104" spans="2:51" ht="27" customHeight="1">
      <c r="B104" s="104"/>
      <c r="C104" s="1172"/>
      <c r="D104" s="1172"/>
      <c r="E104" s="1172"/>
      <c r="F104" s="1173"/>
      <c r="G104" s="1174"/>
      <c r="H104" s="1175"/>
      <c r="I104" s="1176"/>
      <c r="J104" s="1177"/>
      <c r="K104" s="1547"/>
      <c r="L104" s="1177"/>
      <c r="M104" s="1548"/>
      <c r="N104" s="1549"/>
      <c r="O104" s="1178"/>
      <c r="P104" s="1179"/>
      <c r="Q104" s="1171"/>
      <c r="R104" s="104"/>
      <c r="S104" s="1172"/>
      <c r="T104" s="1172"/>
      <c r="U104" s="1172"/>
      <c r="V104" s="1173"/>
      <c r="W104" s="1174"/>
      <c r="X104" s="1175"/>
      <c r="Y104" s="1176"/>
      <c r="Z104" s="1177"/>
      <c r="AA104" s="1547"/>
      <c r="AB104" s="1177"/>
      <c r="AC104" s="1548"/>
      <c r="AD104" s="1549"/>
      <c r="AE104" s="1178"/>
      <c r="AF104" s="1179"/>
      <c r="AG104" s="1171"/>
      <c r="AH104" s="104"/>
      <c r="AI104" s="1172"/>
      <c r="AJ104" s="1172"/>
      <c r="AK104" s="1172"/>
      <c r="AL104" s="1173"/>
      <c r="AM104" s="1174"/>
      <c r="AN104" s="1175"/>
      <c r="AO104" s="1176"/>
      <c r="AP104" s="1177"/>
      <c r="AQ104" s="1547"/>
      <c r="AR104" s="1177"/>
      <c r="AS104" s="1548"/>
      <c r="AT104" s="1549"/>
      <c r="AU104" s="1178"/>
      <c r="AV104" s="1179"/>
      <c r="AY104" s="3">
        <v>1</v>
      </c>
    </row>
    <row r="105" spans="2:51" ht="27" customHeight="1">
      <c r="B105" s="104"/>
      <c r="C105" s="1172"/>
      <c r="D105" s="1172"/>
      <c r="E105" s="1172"/>
      <c r="F105" s="1173"/>
      <c r="G105" s="1174"/>
      <c r="H105" s="1175"/>
      <c r="I105" s="1176"/>
      <c r="J105" s="1177"/>
      <c r="K105" s="1547"/>
      <c r="L105" s="1177"/>
      <c r="M105" s="1548"/>
      <c r="N105" s="1549"/>
      <c r="O105" s="1178"/>
      <c r="P105" s="1179"/>
      <c r="Q105" s="1171"/>
      <c r="R105" s="104"/>
      <c r="S105" s="1172"/>
      <c r="T105" s="1172"/>
      <c r="U105" s="1172"/>
      <c r="V105" s="1173"/>
      <c r="W105" s="1174"/>
      <c r="X105" s="1175"/>
      <c r="Y105" s="1176"/>
      <c r="Z105" s="1177"/>
      <c r="AA105" s="1547"/>
      <c r="AB105" s="1177"/>
      <c r="AC105" s="1548"/>
      <c r="AD105" s="1549"/>
      <c r="AE105" s="1178"/>
      <c r="AF105" s="1179"/>
      <c r="AG105" s="1171"/>
      <c r="AH105" s="104"/>
      <c r="AI105" s="1172"/>
      <c r="AJ105" s="1172"/>
      <c r="AK105" s="1172"/>
      <c r="AL105" s="1173"/>
      <c r="AM105" s="1174"/>
      <c r="AN105" s="1175"/>
      <c r="AO105" s="1176"/>
      <c r="AP105" s="1177"/>
      <c r="AQ105" s="1547"/>
      <c r="AR105" s="1177"/>
      <c r="AS105" s="1548"/>
      <c r="AT105" s="1549"/>
      <c r="AU105" s="1178"/>
      <c r="AV105" s="1179"/>
      <c r="AY105" s="3">
        <v>1</v>
      </c>
    </row>
    <row r="106" spans="2:51" ht="27" customHeight="1">
      <c r="B106" s="104"/>
      <c r="C106" s="1172"/>
      <c r="D106" s="1172"/>
      <c r="E106" s="1172"/>
      <c r="F106" s="1173"/>
      <c r="G106" s="1174"/>
      <c r="H106" s="1175"/>
      <c r="I106" s="1176"/>
      <c r="J106" s="1177"/>
      <c r="K106" s="1547"/>
      <c r="L106" s="1177"/>
      <c r="M106" s="1548"/>
      <c r="N106" s="1549"/>
      <c r="O106" s="1178"/>
      <c r="P106" s="1179"/>
      <c r="Q106" s="1171"/>
      <c r="R106" s="104"/>
      <c r="S106" s="1172"/>
      <c r="T106" s="1172"/>
      <c r="U106" s="1172"/>
      <c r="V106" s="1173"/>
      <c r="W106" s="1174"/>
      <c r="X106" s="1175"/>
      <c r="Y106" s="1176"/>
      <c r="Z106" s="1177"/>
      <c r="AA106" s="1547"/>
      <c r="AB106" s="1177"/>
      <c r="AC106" s="1548"/>
      <c r="AD106" s="1549"/>
      <c r="AE106" s="1178"/>
      <c r="AF106" s="1179"/>
      <c r="AG106" s="1171"/>
      <c r="AH106" s="104"/>
      <c r="AI106" s="1172"/>
      <c r="AJ106" s="1172"/>
      <c r="AK106" s="1172"/>
      <c r="AL106" s="1173"/>
      <c r="AM106" s="1174"/>
      <c r="AN106" s="1175"/>
      <c r="AO106" s="1176"/>
      <c r="AP106" s="1177"/>
      <c r="AQ106" s="1547"/>
      <c r="AR106" s="1177"/>
      <c r="AS106" s="1548"/>
      <c r="AT106" s="1549"/>
      <c r="AU106" s="1178"/>
      <c r="AV106" s="1179"/>
      <c r="AY106" s="3">
        <v>1</v>
      </c>
    </row>
    <row r="107" spans="2:51" ht="27" customHeight="1">
      <c r="B107" s="104"/>
      <c r="C107" s="1172"/>
      <c r="D107" s="1172"/>
      <c r="E107" s="1172"/>
      <c r="F107" s="1173"/>
      <c r="G107" s="1174"/>
      <c r="H107" s="1175"/>
      <c r="I107" s="1176"/>
      <c r="J107" s="1177"/>
      <c r="K107" s="1547"/>
      <c r="L107" s="1177"/>
      <c r="M107" s="1548"/>
      <c r="N107" s="1549"/>
      <c r="O107" s="1178"/>
      <c r="P107" s="1179"/>
      <c r="Q107" s="1171"/>
      <c r="R107" s="104"/>
      <c r="S107" s="1172"/>
      <c r="T107" s="1172"/>
      <c r="U107" s="1172"/>
      <c r="V107" s="1173"/>
      <c r="W107" s="1174"/>
      <c r="X107" s="1175"/>
      <c r="Y107" s="1176"/>
      <c r="Z107" s="1177"/>
      <c r="AA107" s="1547"/>
      <c r="AB107" s="1177"/>
      <c r="AC107" s="1548"/>
      <c r="AD107" s="1549"/>
      <c r="AE107" s="1178"/>
      <c r="AF107" s="1179"/>
      <c r="AG107" s="1171"/>
      <c r="AH107" s="104"/>
      <c r="AI107" s="1172"/>
      <c r="AJ107" s="1172"/>
      <c r="AK107" s="1172"/>
      <c r="AL107" s="1173"/>
      <c r="AM107" s="1174"/>
      <c r="AN107" s="1175"/>
      <c r="AO107" s="1176"/>
      <c r="AP107" s="1177"/>
      <c r="AQ107" s="1547"/>
      <c r="AR107" s="1177"/>
      <c r="AS107" s="1548"/>
      <c r="AT107" s="1549"/>
      <c r="AU107" s="1178"/>
      <c r="AV107" s="1179"/>
      <c r="AY107" s="3">
        <v>1</v>
      </c>
    </row>
    <row r="108" spans="2:51" ht="27" customHeight="1">
      <c r="B108" s="104"/>
      <c r="C108" s="1172"/>
      <c r="D108" s="1172"/>
      <c r="E108" s="1172"/>
      <c r="F108" s="1173"/>
      <c r="G108" s="1174"/>
      <c r="H108" s="1175"/>
      <c r="I108" s="1176"/>
      <c r="J108" s="1177"/>
      <c r="K108" s="1547"/>
      <c r="L108" s="1177"/>
      <c r="M108" s="1548"/>
      <c r="N108" s="1549"/>
      <c r="O108" s="1178"/>
      <c r="P108" s="1179"/>
      <c r="Q108" s="1171"/>
      <c r="R108" s="104"/>
      <c r="S108" s="1172"/>
      <c r="T108" s="1172"/>
      <c r="U108" s="1172"/>
      <c r="V108" s="1173"/>
      <c r="W108" s="1174"/>
      <c r="X108" s="1175"/>
      <c r="Y108" s="1176"/>
      <c r="Z108" s="1177"/>
      <c r="AA108" s="1547"/>
      <c r="AB108" s="1177"/>
      <c r="AC108" s="1548"/>
      <c r="AD108" s="1549"/>
      <c r="AE108" s="1178"/>
      <c r="AF108" s="1179"/>
      <c r="AG108" s="1171"/>
      <c r="AH108" s="104"/>
      <c r="AI108" s="1172"/>
      <c r="AJ108" s="1172"/>
      <c r="AK108" s="1172"/>
      <c r="AL108" s="1173"/>
      <c r="AM108" s="1174"/>
      <c r="AN108" s="1175"/>
      <c r="AO108" s="1176"/>
      <c r="AP108" s="1177"/>
      <c r="AQ108" s="1547"/>
      <c r="AR108" s="1177"/>
      <c r="AS108" s="1548"/>
      <c r="AT108" s="1549"/>
      <c r="AU108" s="1178"/>
      <c r="AV108" s="1179"/>
      <c r="AY108" s="3">
        <v>1</v>
      </c>
    </row>
    <row r="109" spans="2:51" ht="27" customHeight="1">
      <c r="B109" s="104"/>
      <c r="C109" s="1172"/>
      <c r="D109" s="1172"/>
      <c r="E109" s="1172"/>
      <c r="F109" s="1173"/>
      <c r="G109" s="1174"/>
      <c r="H109" s="1175"/>
      <c r="I109" s="1176"/>
      <c r="J109" s="1177"/>
      <c r="K109" s="1547"/>
      <c r="L109" s="1177"/>
      <c r="M109" s="1548"/>
      <c r="N109" s="1549"/>
      <c r="O109" s="1178"/>
      <c r="P109" s="1179"/>
      <c r="Q109" s="1171"/>
      <c r="R109" s="104"/>
      <c r="S109" s="1172"/>
      <c r="T109" s="1172"/>
      <c r="U109" s="1172"/>
      <c r="V109" s="1173"/>
      <c r="W109" s="1174"/>
      <c r="X109" s="1175"/>
      <c r="Y109" s="1176"/>
      <c r="Z109" s="1177"/>
      <c r="AA109" s="1547"/>
      <c r="AB109" s="1177"/>
      <c r="AC109" s="1548"/>
      <c r="AD109" s="1549"/>
      <c r="AE109" s="1178"/>
      <c r="AF109" s="1179"/>
      <c r="AG109" s="1171"/>
      <c r="AH109" s="104"/>
      <c r="AI109" s="1172"/>
      <c r="AJ109" s="1172"/>
      <c r="AK109" s="1172"/>
      <c r="AL109" s="1173"/>
      <c r="AM109" s="1174"/>
      <c r="AN109" s="1175"/>
      <c r="AO109" s="1176"/>
      <c r="AP109" s="1177"/>
      <c r="AQ109" s="1547"/>
      <c r="AR109" s="1177"/>
      <c r="AS109" s="1548"/>
      <c r="AT109" s="1549"/>
      <c r="AU109" s="1178"/>
      <c r="AV109" s="1179"/>
      <c r="AY109" s="3">
        <v>1</v>
      </c>
    </row>
    <row r="110" spans="2:51" ht="27" customHeight="1">
      <c r="B110" s="104"/>
      <c r="C110" s="1172"/>
      <c r="D110" s="1172"/>
      <c r="E110" s="1172"/>
      <c r="F110" s="1173"/>
      <c r="G110" s="1174"/>
      <c r="H110" s="1175"/>
      <c r="I110" s="1176"/>
      <c r="J110" s="1177"/>
      <c r="K110" s="1547"/>
      <c r="L110" s="1177"/>
      <c r="M110" s="1548"/>
      <c r="N110" s="1549"/>
      <c r="O110" s="1178"/>
      <c r="P110" s="1179"/>
      <c r="Q110" s="1171"/>
      <c r="R110" s="104"/>
      <c r="S110" s="1172"/>
      <c r="T110" s="1172"/>
      <c r="U110" s="1172"/>
      <c r="V110" s="1173"/>
      <c r="W110" s="1174"/>
      <c r="X110" s="1175"/>
      <c r="Y110" s="1176"/>
      <c r="Z110" s="1177"/>
      <c r="AA110" s="1547"/>
      <c r="AB110" s="1177"/>
      <c r="AC110" s="1548"/>
      <c r="AD110" s="1549"/>
      <c r="AE110" s="1178"/>
      <c r="AF110" s="1179"/>
      <c r="AG110" s="1171"/>
      <c r="AH110" s="104"/>
      <c r="AI110" s="1172"/>
      <c r="AJ110" s="1172"/>
      <c r="AK110" s="1172"/>
      <c r="AL110" s="1173"/>
      <c r="AM110" s="1174"/>
      <c r="AN110" s="1175"/>
      <c r="AO110" s="1176"/>
      <c r="AP110" s="1177"/>
      <c r="AQ110" s="1547"/>
      <c r="AR110" s="1177"/>
      <c r="AS110" s="1548"/>
      <c r="AT110" s="1549"/>
      <c r="AU110" s="1178"/>
      <c r="AV110" s="1179"/>
      <c r="AY110" s="3">
        <v>1</v>
      </c>
    </row>
    <row r="111" spans="2:51" ht="27" customHeight="1">
      <c r="B111" s="104"/>
      <c r="C111" s="1172"/>
      <c r="D111" s="1172"/>
      <c r="E111" s="1172"/>
      <c r="F111" s="1173"/>
      <c r="G111" s="1174"/>
      <c r="H111" s="1175"/>
      <c r="I111" s="1176"/>
      <c r="J111" s="1177"/>
      <c r="K111" s="1547"/>
      <c r="L111" s="1177"/>
      <c r="M111" s="1548"/>
      <c r="N111" s="1549"/>
      <c r="O111" s="1178"/>
      <c r="P111" s="1179"/>
      <c r="Q111" s="1171"/>
      <c r="R111" s="104"/>
      <c r="S111" s="1172"/>
      <c r="T111" s="1172"/>
      <c r="U111" s="1172"/>
      <c r="V111" s="1173"/>
      <c r="W111" s="1174"/>
      <c r="X111" s="1175"/>
      <c r="Y111" s="1176"/>
      <c r="Z111" s="1177"/>
      <c r="AA111" s="1547"/>
      <c r="AB111" s="1177"/>
      <c r="AC111" s="1548"/>
      <c r="AD111" s="1549"/>
      <c r="AE111" s="1178"/>
      <c r="AF111" s="1179"/>
      <c r="AG111" s="1171"/>
      <c r="AH111" s="104"/>
      <c r="AI111" s="1172"/>
      <c r="AJ111" s="1172"/>
      <c r="AK111" s="1172"/>
      <c r="AL111" s="1173"/>
      <c r="AM111" s="1174"/>
      <c r="AN111" s="1175"/>
      <c r="AO111" s="1176"/>
      <c r="AP111" s="1177"/>
      <c r="AQ111" s="1547"/>
      <c r="AR111" s="1177"/>
      <c r="AS111" s="1548"/>
      <c r="AT111" s="1549"/>
      <c r="AU111" s="1178"/>
      <c r="AV111" s="1179"/>
      <c r="AY111" s="3">
        <v>1</v>
      </c>
    </row>
    <row r="112" spans="2:51" ht="27" customHeight="1">
      <c r="B112" s="104"/>
      <c r="C112" s="1172"/>
      <c r="D112" s="1172"/>
      <c r="E112" s="1172"/>
      <c r="F112" s="1173"/>
      <c r="G112" s="1174"/>
      <c r="H112" s="1175"/>
      <c r="I112" s="1176"/>
      <c r="J112" s="1177"/>
      <c r="K112" s="1547"/>
      <c r="L112" s="1177"/>
      <c r="M112" s="1548"/>
      <c r="N112" s="1549"/>
      <c r="O112" s="1178"/>
      <c r="P112" s="1179"/>
      <c r="Q112" s="1171"/>
      <c r="R112" s="104"/>
      <c r="S112" s="1172"/>
      <c r="T112" s="1172"/>
      <c r="U112" s="1172"/>
      <c r="V112" s="1173"/>
      <c r="W112" s="1174"/>
      <c r="X112" s="1175"/>
      <c r="Y112" s="1176"/>
      <c r="Z112" s="1177"/>
      <c r="AA112" s="1547"/>
      <c r="AB112" s="1177"/>
      <c r="AC112" s="1548"/>
      <c r="AD112" s="1549"/>
      <c r="AE112" s="1178"/>
      <c r="AF112" s="1179"/>
      <c r="AG112" s="1171"/>
      <c r="AH112" s="104"/>
      <c r="AI112" s="1172"/>
      <c r="AJ112" s="1172"/>
      <c r="AK112" s="1172"/>
      <c r="AL112" s="1173"/>
      <c r="AM112" s="1174"/>
      <c r="AN112" s="1175"/>
      <c r="AO112" s="1176"/>
      <c r="AP112" s="1177"/>
      <c r="AQ112" s="1547"/>
      <c r="AR112" s="1177"/>
      <c r="AS112" s="1548"/>
      <c r="AT112" s="1549"/>
      <c r="AU112" s="1178"/>
      <c r="AV112" s="1179"/>
      <c r="AY112" s="3">
        <v>1</v>
      </c>
    </row>
    <row r="113" spans="2:51" ht="27" customHeight="1">
      <c r="B113" s="104"/>
      <c r="C113" s="1172"/>
      <c r="D113" s="1172"/>
      <c r="E113" s="1172"/>
      <c r="F113" s="1173"/>
      <c r="G113" s="1174"/>
      <c r="H113" s="1175"/>
      <c r="I113" s="1176"/>
      <c r="J113" s="1177"/>
      <c r="K113" s="1547"/>
      <c r="L113" s="1177"/>
      <c r="M113" s="1548"/>
      <c r="N113" s="1549"/>
      <c r="O113" s="1178"/>
      <c r="P113" s="1179"/>
      <c r="Q113" s="1171"/>
      <c r="R113" s="104"/>
      <c r="S113" s="1172"/>
      <c r="T113" s="1172"/>
      <c r="U113" s="1172"/>
      <c r="V113" s="1173"/>
      <c r="W113" s="1174"/>
      <c r="X113" s="1175"/>
      <c r="Y113" s="1176"/>
      <c r="Z113" s="1177"/>
      <c r="AA113" s="1547"/>
      <c r="AB113" s="1177"/>
      <c r="AC113" s="1548"/>
      <c r="AD113" s="1549"/>
      <c r="AE113" s="1178"/>
      <c r="AF113" s="1179"/>
      <c r="AG113" s="1171"/>
      <c r="AH113" s="104"/>
      <c r="AI113" s="1172"/>
      <c r="AJ113" s="1172"/>
      <c r="AK113" s="1172"/>
      <c r="AL113" s="1173"/>
      <c r="AM113" s="1174"/>
      <c r="AN113" s="1175"/>
      <c r="AO113" s="1176"/>
      <c r="AP113" s="1177"/>
      <c r="AQ113" s="1547"/>
      <c r="AR113" s="1177"/>
      <c r="AS113" s="1548"/>
      <c r="AT113" s="1549"/>
      <c r="AU113" s="1178"/>
      <c r="AV113" s="1179"/>
      <c r="AY113" s="3">
        <v>1</v>
      </c>
    </row>
    <row r="114" spans="2:51" ht="27" customHeight="1">
      <c r="B114" s="104"/>
      <c r="C114" s="1172"/>
      <c r="D114" s="1172"/>
      <c r="E114" s="1172"/>
      <c r="F114" s="1173"/>
      <c r="G114" s="1174"/>
      <c r="H114" s="1175"/>
      <c r="I114" s="1176"/>
      <c r="J114" s="1177"/>
      <c r="K114" s="1547"/>
      <c r="L114" s="1177"/>
      <c r="M114" s="1548"/>
      <c r="N114" s="1549"/>
      <c r="O114" s="1178"/>
      <c r="P114" s="1179"/>
      <c r="Q114" s="1171"/>
      <c r="R114" s="104"/>
      <c r="S114" s="1172"/>
      <c r="T114" s="1172"/>
      <c r="U114" s="1172"/>
      <c r="V114" s="1173"/>
      <c r="W114" s="1174"/>
      <c r="X114" s="1175"/>
      <c r="Y114" s="1176"/>
      <c r="Z114" s="1177"/>
      <c r="AA114" s="1547"/>
      <c r="AB114" s="1177"/>
      <c r="AC114" s="1548"/>
      <c r="AD114" s="1549"/>
      <c r="AE114" s="1178"/>
      <c r="AF114" s="1179"/>
      <c r="AG114" s="1171"/>
      <c r="AH114" s="104"/>
      <c r="AI114" s="1172"/>
      <c r="AJ114" s="1172"/>
      <c r="AK114" s="1172"/>
      <c r="AL114" s="1173"/>
      <c r="AM114" s="1174"/>
      <c r="AN114" s="1175"/>
      <c r="AO114" s="1176"/>
      <c r="AP114" s="1177"/>
      <c r="AQ114" s="1547"/>
      <c r="AR114" s="1177"/>
      <c r="AS114" s="1548"/>
      <c r="AT114" s="1549"/>
      <c r="AU114" s="1178"/>
      <c r="AV114" s="1179"/>
      <c r="AY114" s="3">
        <v>1</v>
      </c>
    </row>
    <row r="115" spans="2:51" ht="27" customHeight="1">
      <c r="B115" s="104"/>
      <c r="C115" s="1172"/>
      <c r="D115" s="1172"/>
      <c r="E115" s="1172"/>
      <c r="F115" s="1173"/>
      <c r="G115" s="1174"/>
      <c r="H115" s="1175"/>
      <c r="I115" s="1176"/>
      <c r="J115" s="1177"/>
      <c r="K115" s="1547"/>
      <c r="L115" s="1177"/>
      <c r="M115" s="1548"/>
      <c r="N115" s="1549"/>
      <c r="O115" s="1178"/>
      <c r="P115" s="1179"/>
      <c r="Q115" s="1171"/>
      <c r="R115" s="104"/>
      <c r="S115" s="1172"/>
      <c r="T115" s="1172"/>
      <c r="U115" s="1172"/>
      <c r="V115" s="1173"/>
      <c r="W115" s="1174"/>
      <c r="X115" s="1175"/>
      <c r="Y115" s="1176"/>
      <c r="Z115" s="1177"/>
      <c r="AA115" s="1547"/>
      <c r="AB115" s="1177"/>
      <c r="AC115" s="1548"/>
      <c r="AD115" s="1549"/>
      <c r="AE115" s="1178"/>
      <c r="AF115" s="1179"/>
      <c r="AG115" s="1171"/>
      <c r="AH115" s="104"/>
      <c r="AI115" s="1172"/>
      <c r="AJ115" s="1172"/>
      <c r="AK115" s="1172"/>
      <c r="AL115" s="1173"/>
      <c r="AM115" s="1174"/>
      <c r="AN115" s="1175"/>
      <c r="AO115" s="1176"/>
      <c r="AP115" s="1177"/>
      <c r="AQ115" s="1547"/>
      <c r="AR115" s="1177"/>
      <c r="AS115" s="1548"/>
      <c r="AT115" s="1549"/>
      <c r="AU115" s="1178"/>
      <c r="AV115" s="1179"/>
      <c r="AY115" s="3">
        <v>1</v>
      </c>
    </row>
    <row r="116" spans="2:51" ht="27" customHeight="1">
      <c r="B116" s="104"/>
      <c r="C116" s="1172"/>
      <c r="D116" s="1172"/>
      <c r="E116" s="1172"/>
      <c r="F116" s="1173"/>
      <c r="G116" s="1174"/>
      <c r="H116" s="1175"/>
      <c r="I116" s="1176"/>
      <c r="J116" s="1177"/>
      <c r="K116" s="1547"/>
      <c r="L116" s="1177"/>
      <c r="M116" s="1548"/>
      <c r="N116" s="1549"/>
      <c r="O116" s="1178"/>
      <c r="P116" s="1179"/>
      <c r="Q116" s="1171"/>
      <c r="R116" s="104"/>
      <c r="S116" s="1172"/>
      <c r="T116" s="1172"/>
      <c r="U116" s="1172"/>
      <c r="V116" s="1173"/>
      <c r="W116" s="1174"/>
      <c r="X116" s="1175"/>
      <c r="Y116" s="1176"/>
      <c r="Z116" s="1177"/>
      <c r="AA116" s="1547"/>
      <c r="AB116" s="1177"/>
      <c r="AC116" s="1548"/>
      <c r="AD116" s="1549"/>
      <c r="AE116" s="1178"/>
      <c r="AF116" s="1179"/>
      <c r="AG116" s="1171"/>
      <c r="AH116" s="104"/>
      <c r="AI116" s="1172"/>
      <c r="AJ116" s="1172"/>
      <c r="AK116" s="1172"/>
      <c r="AL116" s="1173"/>
      <c r="AM116" s="1174"/>
      <c r="AN116" s="1175"/>
      <c r="AO116" s="1176"/>
      <c r="AP116" s="1177"/>
      <c r="AQ116" s="1547"/>
      <c r="AR116" s="1177"/>
      <c r="AS116" s="1548"/>
      <c r="AT116" s="1549"/>
      <c r="AU116" s="1178"/>
      <c r="AV116" s="1179"/>
      <c r="AY116" s="3">
        <v>1</v>
      </c>
    </row>
    <row r="117" spans="2:51" ht="27" customHeight="1">
      <c r="B117" s="104"/>
      <c r="C117" s="1172"/>
      <c r="D117" s="1172"/>
      <c r="E117" s="1172"/>
      <c r="F117" s="1173"/>
      <c r="G117" s="1174"/>
      <c r="H117" s="1175"/>
      <c r="I117" s="1176"/>
      <c r="J117" s="1177"/>
      <c r="K117" s="1547"/>
      <c r="L117" s="1177"/>
      <c r="M117" s="1548"/>
      <c r="N117" s="1549"/>
      <c r="O117" s="1178"/>
      <c r="P117" s="1179"/>
      <c r="Q117" s="1171"/>
      <c r="R117" s="104"/>
      <c r="S117" s="1172"/>
      <c r="T117" s="1172"/>
      <c r="U117" s="1172"/>
      <c r="V117" s="1173"/>
      <c r="W117" s="1174"/>
      <c r="X117" s="1175"/>
      <c r="Y117" s="1176"/>
      <c r="Z117" s="1177"/>
      <c r="AA117" s="1547"/>
      <c r="AB117" s="1177"/>
      <c r="AC117" s="1548"/>
      <c r="AD117" s="1549"/>
      <c r="AE117" s="1178"/>
      <c r="AF117" s="1179"/>
      <c r="AG117" s="1171"/>
      <c r="AH117" s="104"/>
      <c r="AI117" s="1172"/>
      <c r="AJ117" s="1172"/>
      <c r="AK117" s="1172"/>
      <c r="AL117" s="1173"/>
      <c r="AM117" s="1174"/>
      <c r="AN117" s="1175"/>
      <c r="AO117" s="1176"/>
      <c r="AP117" s="1177"/>
      <c r="AQ117" s="1547"/>
      <c r="AR117" s="1177"/>
      <c r="AS117" s="1548"/>
      <c r="AT117" s="1549"/>
      <c r="AU117" s="1178"/>
      <c r="AV117" s="1179"/>
      <c r="AY117" s="3">
        <v>1</v>
      </c>
    </row>
    <row r="118" spans="2:51" ht="27" customHeight="1">
      <c r="B118" s="104"/>
      <c r="C118" s="1172"/>
      <c r="D118" s="1172"/>
      <c r="E118" s="1172"/>
      <c r="F118" s="1173"/>
      <c r="G118" s="1174"/>
      <c r="H118" s="1175"/>
      <c r="I118" s="1176"/>
      <c r="J118" s="1177"/>
      <c r="K118" s="1547"/>
      <c r="L118" s="1177"/>
      <c r="M118" s="1548"/>
      <c r="N118" s="1549"/>
      <c r="O118" s="1178"/>
      <c r="P118" s="1179"/>
      <c r="Q118" s="1171"/>
      <c r="R118" s="104"/>
      <c r="S118" s="1172"/>
      <c r="T118" s="1172"/>
      <c r="U118" s="1172"/>
      <c r="V118" s="1173"/>
      <c r="W118" s="1174"/>
      <c r="X118" s="1175"/>
      <c r="Y118" s="1176"/>
      <c r="Z118" s="1177"/>
      <c r="AA118" s="1547"/>
      <c r="AB118" s="1177"/>
      <c r="AC118" s="1548"/>
      <c r="AD118" s="1549"/>
      <c r="AE118" s="1178"/>
      <c r="AF118" s="1179"/>
      <c r="AG118" s="1171"/>
      <c r="AH118" s="104"/>
      <c r="AI118" s="1172"/>
      <c r="AJ118" s="1172"/>
      <c r="AK118" s="1172"/>
      <c r="AL118" s="1173"/>
      <c r="AM118" s="1174"/>
      <c r="AN118" s="1175"/>
      <c r="AO118" s="1176"/>
      <c r="AP118" s="1177"/>
      <c r="AQ118" s="1547"/>
      <c r="AR118" s="1177"/>
      <c r="AS118" s="1548"/>
      <c r="AT118" s="1549"/>
      <c r="AU118" s="1178"/>
      <c r="AV118" s="1179"/>
      <c r="AY118" s="3">
        <v>1</v>
      </c>
    </row>
    <row r="119" spans="2:51" ht="27" customHeight="1">
      <c r="B119" s="104"/>
      <c r="C119" s="1172"/>
      <c r="D119" s="1172"/>
      <c r="E119" s="1172"/>
      <c r="F119" s="1173"/>
      <c r="G119" s="1174"/>
      <c r="H119" s="1175"/>
      <c r="I119" s="1176"/>
      <c r="J119" s="1177"/>
      <c r="K119" s="1547"/>
      <c r="L119" s="1177"/>
      <c r="M119" s="1548"/>
      <c r="N119" s="1549"/>
      <c r="O119" s="1178"/>
      <c r="P119" s="1179"/>
      <c r="Q119" s="1171"/>
      <c r="R119" s="104"/>
      <c r="S119" s="1172"/>
      <c r="T119" s="1172"/>
      <c r="U119" s="1172"/>
      <c r="V119" s="1173"/>
      <c r="W119" s="1174"/>
      <c r="X119" s="1175"/>
      <c r="Y119" s="1176"/>
      <c r="Z119" s="1177"/>
      <c r="AA119" s="1547"/>
      <c r="AB119" s="1177"/>
      <c r="AC119" s="1548"/>
      <c r="AD119" s="1549"/>
      <c r="AE119" s="1178"/>
      <c r="AF119" s="1179"/>
      <c r="AG119" s="1171"/>
      <c r="AH119" s="104"/>
      <c r="AI119" s="1172"/>
      <c r="AJ119" s="1172"/>
      <c r="AK119" s="1172"/>
      <c r="AL119" s="1173"/>
      <c r="AM119" s="1174"/>
      <c r="AN119" s="1175"/>
      <c r="AO119" s="1176"/>
      <c r="AP119" s="1177"/>
      <c r="AQ119" s="1547"/>
      <c r="AR119" s="1177"/>
      <c r="AS119" s="1548"/>
      <c r="AT119" s="1549"/>
      <c r="AU119" s="1178"/>
      <c r="AV119" s="1179"/>
      <c r="AY119" s="3">
        <v>1</v>
      </c>
    </row>
    <row r="120" spans="2:51" ht="27" customHeight="1">
      <c r="B120" s="104"/>
      <c r="C120" s="1172"/>
      <c r="D120" s="1172"/>
      <c r="E120" s="1172"/>
      <c r="F120" s="1173"/>
      <c r="G120" s="1174"/>
      <c r="H120" s="1175"/>
      <c r="I120" s="1176"/>
      <c r="J120" s="1177"/>
      <c r="K120" s="1547"/>
      <c r="L120" s="1177"/>
      <c r="M120" s="1548"/>
      <c r="N120" s="1549"/>
      <c r="O120" s="1178"/>
      <c r="P120" s="1179"/>
      <c r="Q120" s="1171"/>
      <c r="R120" s="104"/>
      <c r="S120" s="1172"/>
      <c r="T120" s="1172"/>
      <c r="U120" s="1172"/>
      <c r="V120" s="1173"/>
      <c r="W120" s="1174"/>
      <c r="X120" s="1175"/>
      <c r="Y120" s="1176"/>
      <c r="Z120" s="1177"/>
      <c r="AA120" s="1547"/>
      <c r="AB120" s="1177"/>
      <c r="AC120" s="1548"/>
      <c r="AD120" s="1549"/>
      <c r="AE120" s="1178"/>
      <c r="AF120" s="1179"/>
      <c r="AG120" s="1171"/>
      <c r="AH120" s="104"/>
      <c r="AI120" s="1172"/>
      <c r="AJ120" s="1172"/>
      <c r="AK120" s="1172"/>
      <c r="AL120" s="1173"/>
      <c r="AM120" s="1174"/>
      <c r="AN120" s="1175"/>
      <c r="AO120" s="1176"/>
      <c r="AP120" s="1177"/>
      <c r="AQ120" s="1547"/>
      <c r="AR120" s="1177"/>
      <c r="AS120" s="1548"/>
      <c r="AT120" s="1549"/>
      <c r="AU120" s="1178"/>
      <c r="AV120" s="1179"/>
      <c r="AY120" s="3">
        <v>1</v>
      </c>
    </row>
    <row r="121" spans="2:51" ht="27" customHeight="1">
      <c r="B121" s="104"/>
      <c r="C121" s="1172"/>
      <c r="D121" s="1172"/>
      <c r="E121" s="1172"/>
      <c r="F121" s="1173"/>
      <c r="G121" s="1174"/>
      <c r="H121" s="1175"/>
      <c r="I121" s="1176"/>
      <c r="J121" s="1177"/>
      <c r="K121" s="1547"/>
      <c r="L121" s="1177"/>
      <c r="M121" s="1548"/>
      <c r="N121" s="1549"/>
      <c r="O121" s="1178"/>
      <c r="P121" s="1179"/>
      <c r="Q121" s="1171"/>
      <c r="R121" s="104"/>
      <c r="S121" s="1172"/>
      <c r="T121" s="1172"/>
      <c r="U121" s="1172"/>
      <c r="V121" s="1173"/>
      <c r="W121" s="1174"/>
      <c r="X121" s="1175"/>
      <c r="Y121" s="1176"/>
      <c r="Z121" s="1177"/>
      <c r="AA121" s="1547"/>
      <c r="AB121" s="1177"/>
      <c r="AC121" s="1548"/>
      <c r="AD121" s="1549"/>
      <c r="AE121" s="1178"/>
      <c r="AF121" s="1179"/>
      <c r="AH121" s="104"/>
      <c r="AI121" s="1172"/>
      <c r="AJ121" s="1172"/>
      <c r="AK121" s="1172"/>
      <c r="AL121" s="1173"/>
      <c r="AM121" s="1174"/>
      <c r="AN121" s="1175"/>
      <c r="AO121" s="1176"/>
      <c r="AP121" s="1177"/>
      <c r="AQ121" s="1547"/>
      <c r="AR121" s="1177"/>
      <c r="AS121" s="1548"/>
      <c r="AT121" s="1549"/>
      <c r="AU121" s="1178"/>
      <c r="AV121" s="1179"/>
      <c r="AY121" s="3">
        <v>1</v>
      </c>
    </row>
    <row r="122" spans="2:51" ht="27" customHeight="1">
      <c r="B122" s="104"/>
      <c r="C122" s="1172"/>
      <c r="D122" s="1172"/>
      <c r="E122" s="1172"/>
      <c r="F122" s="1173"/>
      <c r="G122" s="1174"/>
      <c r="H122" s="1175"/>
      <c r="I122" s="1176"/>
      <c r="J122" s="1177"/>
      <c r="K122" s="1547"/>
      <c r="L122" s="1177"/>
      <c r="M122" s="1548"/>
      <c r="N122" s="1549"/>
      <c r="O122" s="1178"/>
      <c r="P122" s="1179"/>
      <c r="Q122" s="1171"/>
      <c r="R122" s="104"/>
      <c r="S122" s="1172"/>
      <c r="T122" s="1172"/>
      <c r="U122" s="1172"/>
      <c r="V122" s="1173"/>
      <c r="W122" s="1174"/>
      <c r="X122" s="1175"/>
      <c r="Y122" s="1176"/>
      <c r="Z122" s="1177"/>
      <c r="AA122" s="1547"/>
      <c r="AB122" s="1177"/>
      <c r="AC122" s="1548"/>
      <c r="AD122" s="1549"/>
      <c r="AE122" s="1178"/>
      <c r="AF122" s="1179"/>
      <c r="AH122" s="104"/>
      <c r="AI122" s="1172"/>
      <c r="AJ122" s="1172"/>
      <c r="AK122" s="1172"/>
      <c r="AL122" s="1173"/>
      <c r="AM122" s="1174"/>
      <c r="AN122" s="1175"/>
      <c r="AO122" s="1176"/>
      <c r="AP122" s="1177"/>
      <c r="AQ122" s="1547"/>
      <c r="AR122" s="1177"/>
      <c r="AS122" s="1548"/>
      <c r="AT122" s="1549"/>
      <c r="AU122" s="1178"/>
      <c r="AV122" s="1179"/>
      <c r="AY122" s="3">
        <v>1</v>
      </c>
    </row>
    <row r="123" spans="2:51" ht="27" customHeight="1">
      <c r="B123" s="104"/>
      <c r="C123" s="1172"/>
      <c r="D123" s="1172"/>
      <c r="E123" s="1172"/>
      <c r="F123" s="1173"/>
      <c r="G123" s="1174"/>
      <c r="H123" s="1175"/>
      <c r="I123" s="1176"/>
      <c r="J123" s="1177"/>
      <c r="K123" s="1547"/>
      <c r="L123" s="1177"/>
      <c r="M123" s="1548"/>
      <c r="N123" s="1549"/>
      <c r="O123" s="1178"/>
      <c r="P123" s="1179"/>
      <c r="Q123" s="1171"/>
      <c r="R123" s="104"/>
      <c r="S123" s="1172"/>
      <c r="T123" s="1172"/>
      <c r="U123" s="1172"/>
      <c r="V123" s="1173"/>
      <c r="W123" s="1174"/>
      <c r="X123" s="1175"/>
      <c r="Y123" s="1176"/>
      <c r="Z123" s="1177"/>
      <c r="AA123" s="1547"/>
      <c r="AB123" s="1177"/>
      <c r="AC123" s="1548"/>
      <c r="AD123" s="1549"/>
      <c r="AE123" s="1178"/>
      <c r="AF123" s="1179"/>
      <c r="AH123" s="104"/>
      <c r="AI123" s="1172"/>
      <c r="AJ123" s="1172"/>
      <c r="AK123" s="1172"/>
      <c r="AL123" s="1173"/>
      <c r="AM123" s="1174"/>
      <c r="AN123" s="1175"/>
      <c r="AO123" s="1176"/>
      <c r="AP123" s="1177"/>
      <c r="AQ123" s="1547"/>
      <c r="AR123" s="1177"/>
      <c r="AS123" s="1548"/>
      <c r="AT123" s="1549"/>
      <c r="AU123" s="1178"/>
      <c r="AV123" s="1179"/>
      <c r="AY123" s="3">
        <v>1</v>
      </c>
    </row>
    <row r="124" spans="2:51" ht="27" customHeight="1">
      <c r="B124" s="104"/>
      <c r="C124" s="1172"/>
      <c r="D124" s="1172"/>
      <c r="E124" s="1172"/>
      <c r="F124" s="1173"/>
      <c r="G124" s="1174"/>
      <c r="H124" s="1175"/>
      <c r="I124" s="1176"/>
      <c r="J124" s="1177"/>
      <c r="K124" s="1547"/>
      <c r="L124" s="1177"/>
      <c r="M124" s="1548"/>
      <c r="N124" s="1549"/>
      <c r="O124" s="1178"/>
      <c r="P124" s="1179"/>
      <c r="Q124" s="1171"/>
      <c r="R124" s="104"/>
      <c r="S124" s="1172"/>
      <c r="T124" s="1172"/>
      <c r="U124" s="1172"/>
      <c r="V124" s="1173"/>
      <c r="W124" s="1174"/>
      <c r="X124" s="1175"/>
      <c r="Y124" s="1176"/>
      <c r="Z124" s="1177"/>
      <c r="AA124" s="1547"/>
      <c r="AB124" s="1177"/>
      <c r="AC124" s="1548"/>
      <c r="AD124" s="1549"/>
      <c r="AE124" s="1178"/>
      <c r="AF124" s="1179"/>
      <c r="AG124" s="1171"/>
      <c r="AH124" s="104"/>
      <c r="AI124" s="1172"/>
      <c r="AJ124" s="1172"/>
      <c r="AK124" s="1172"/>
      <c r="AL124" s="1173"/>
      <c r="AM124" s="1174"/>
      <c r="AN124" s="1175"/>
      <c r="AO124" s="1176"/>
      <c r="AP124" s="1177"/>
      <c r="AQ124" s="1547"/>
      <c r="AR124" s="1177"/>
      <c r="AS124" s="1548"/>
      <c r="AT124" s="1549"/>
      <c r="AU124" s="1178"/>
      <c r="AV124" s="1179"/>
      <c r="AY124" s="3">
        <v>1</v>
      </c>
    </row>
    <row r="125" spans="2:51" ht="27" customHeight="1">
      <c r="B125" s="104"/>
      <c r="C125" s="1172"/>
      <c r="D125" s="1172"/>
      <c r="E125" s="1172"/>
      <c r="F125" s="1173"/>
      <c r="G125" s="1174"/>
      <c r="H125" s="1175"/>
      <c r="I125" s="1176"/>
      <c r="J125" s="1177"/>
      <c r="K125" s="1547"/>
      <c r="L125" s="1177"/>
      <c r="M125" s="1548"/>
      <c r="N125" s="1549"/>
      <c r="O125" s="1178"/>
      <c r="P125" s="1179"/>
      <c r="Q125" s="1171"/>
      <c r="R125" s="104"/>
      <c r="S125" s="1172"/>
      <c r="T125" s="1172"/>
      <c r="U125" s="1172"/>
      <c r="V125" s="1173"/>
      <c r="W125" s="1174"/>
      <c r="X125" s="1175"/>
      <c r="Y125" s="1176"/>
      <c r="Z125" s="1177"/>
      <c r="AA125" s="1547"/>
      <c r="AB125" s="1177"/>
      <c r="AC125" s="1548"/>
      <c r="AD125" s="1549"/>
      <c r="AE125" s="1178"/>
      <c r="AF125" s="1179"/>
      <c r="AG125" s="1171"/>
      <c r="AH125" s="104"/>
      <c r="AI125" s="1172"/>
      <c r="AJ125" s="1172"/>
      <c r="AK125" s="1172"/>
      <c r="AL125" s="1173"/>
      <c r="AM125" s="1174"/>
      <c r="AN125" s="1175"/>
      <c r="AO125" s="1176"/>
      <c r="AP125" s="1177"/>
      <c r="AQ125" s="1547"/>
      <c r="AR125" s="1177"/>
      <c r="AS125" s="1548"/>
      <c r="AT125" s="1549"/>
      <c r="AU125" s="1178"/>
      <c r="AV125" s="1179"/>
      <c r="AY125" s="3">
        <v>1</v>
      </c>
    </row>
    <row r="126" spans="2:51" ht="27" customHeight="1">
      <c r="B126" s="104"/>
      <c r="C126" s="1172"/>
      <c r="D126" s="1172"/>
      <c r="E126" s="1172"/>
      <c r="F126" s="1173"/>
      <c r="G126" s="1174"/>
      <c r="H126" s="1175"/>
      <c r="I126" s="1176"/>
      <c r="J126" s="1177"/>
      <c r="K126" s="1547"/>
      <c r="L126" s="1177"/>
      <c r="M126" s="1548"/>
      <c r="N126" s="1549"/>
      <c r="O126" s="1178"/>
      <c r="P126" s="1179"/>
      <c r="Q126" s="1171"/>
      <c r="R126" s="104"/>
      <c r="S126" s="1172"/>
      <c r="T126" s="1172"/>
      <c r="U126" s="1172"/>
      <c r="V126" s="1173"/>
      <c r="W126" s="1174"/>
      <c r="X126" s="1175"/>
      <c r="Y126" s="1176"/>
      <c r="Z126" s="1177"/>
      <c r="AA126" s="1547"/>
      <c r="AB126" s="1177"/>
      <c r="AC126" s="1548"/>
      <c r="AD126" s="1549"/>
      <c r="AE126" s="1178"/>
      <c r="AF126" s="1179"/>
      <c r="AG126" s="1171"/>
      <c r="AH126" s="104"/>
      <c r="AI126" s="1172"/>
      <c r="AJ126" s="1172"/>
      <c r="AK126" s="1172"/>
      <c r="AL126" s="1173"/>
      <c r="AM126" s="1174"/>
      <c r="AN126" s="1175"/>
      <c r="AO126" s="1176"/>
      <c r="AP126" s="1177"/>
      <c r="AQ126" s="1547"/>
      <c r="AR126" s="1177"/>
      <c r="AS126" s="1548"/>
      <c r="AT126" s="1549"/>
      <c r="AU126" s="1178"/>
      <c r="AV126" s="1179"/>
      <c r="AY126" s="3">
        <v>1</v>
      </c>
    </row>
    <row r="127" spans="2:51" ht="27" customHeight="1">
      <c r="B127" s="104"/>
      <c r="C127" s="1172"/>
      <c r="D127" s="1172"/>
      <c r="E127" s="1172"/>
      <c r="F127" s="1173"/>
      <c r="G127" s="1174"/>
      <c r="H127" s="1175"/>
      <c r="I127" s="1176"/>
      <c r="J127" s="1177"/>
      <c r="K127" s="1547"/>
      <c r="L127" s="1177"/>
      <c r="M127" s="1548"/>
      <c r="N127" s="1549"/>
      <c r="O127" s="1178"/>
      <c r="P127" s="1179"/>
      <c r="Q127" s="1171"/>
      <c r="R127" s="104"/>
      <c r="S127" s="1172"/>
      <c r="T127" s="1172"/>
      <c r="U127" s="1172"/>
      <c r="V127" s="1173"/>
      <c r="W127" s="1174"/>
      <c r="X127" s="1175"/>
      <c r="Y127" s="1176"/>
      <c r="Z127" s="1177"/>
      <c r="AA127" s="1547"/>
      <c r="AB127" s="1177"/>
      <c r="AC127" s="1548"/>
      <c r="AD127" s="1549"/>
      <c r="AE127" s="1178"/>
      <c r="AF127" s="1179"/>
      <c r="AG127" s="1171"/>
      <c r="AH127" s="104"/>
      <c r="AI127" s="1172"/>
      <c r="AJ127" s="1172"/>
      <c r="AK127" s="1172"/>
      <c r="AL127" s="1173"/>
      <c r="AM127" s="1174"/>
      <c r="AN127" s="1175"/>
      <c r="AO127" s="1176"/>
      <c r="AP127" s="1177"/>
      <c r="AQ127" s="1547"/>
      <c r="AR127" s="1177"/>
      <c r="AS127" s="1548"/>
      <c r="AT127" s="1549"/>
      <c r="AU127" s="1178"/>
      <c r="AV127" s="1179"/>
      <c r="AY127" s="3">
        <v>1</v>
      </c>
    </row>
    <row r="128" spans="2:51" ht="27" customHeight="1">
      <c r="B128" s="104"/>
      <c r="C128" s="1172"/>
      <c r="D128" s="1172"/>
      <c r="E128" s="1172"/>
      <c r="F128" s="1173"/>
      <c r="G128" s="1174"/>
      <c r="H128" s="1175"/>
      <c r="I128" s="1176"/>
      <c r="J128" s="1177"/>
      <c r="K128" s="1547"/>
      <c r="L128" s="1177"/>
      <c r="M128" s="1548"/>
      <c r="N128" s="1549"/>
      <c r="O128" s="1178"/>
      <c r="P128" s="1179"/>
      <c r="Q128" s="1171"/>
      <c r="R128" s="104"/>
      <c r="S128" s="1172"/>
      <c r="T128" s="1172"/>
      <c r="U128" s="1172"/>
      <c r="V128" s="1173"/>
      <c r="W128" s="1174"/>
      <c r="X128" s="1175"/>
      <c r="Y128" s="1176"/>
      <c r="Z128" s="1177"/>
      <c r="AA128" s="1547"/>
      <c r="AB128" s="1177"/>
      <c r="AC128" s="1548"/>
      <c r="AD128" s="1549"/>
      <c r="AE128" s="1178"/>
      <c r="AF128" s="1179"/>
      <c r="AG128" s="1171"/>
      <c r="AH128" s="104"/>
      <c r="AI128" s="1172"/>
      <c r="AJ128" s="1172"/>
      <c r="AK128" s="1172"/>
      <c r="AL128" s="1173"/>
      <c r="AM128" s="1174"/>
      <c r="AN128" s="1175"/>
      <c r="AO128" s="1176"/>
      <c r="AP128" s="1177"/>
      <c r="AQ128" s="1547"/>
      <c r="AR128" s="1177"/>
      <c r="AS128" s="1548"/>
      <c r="AT128" s="1549"/>
      <c r="AU128" s="1178"/>
      <c r="AV128" s="1179"/>
      <c r="AY128" s="3">
        <v>1</v>
      </c>
    </row>
    <row r="129" spans="2:51" ht="27" customHeight="1">
      <c r="B129" s="104"/>
      <c r="C129" s="1172"/>
      <c r="D129" s="1172"/>
      <c r="E129" s="1172"/>
      <c r="F129" s="1173"/>
      <c r="G129" s="1174"/>
      <c r="H129" s="1175"/>
      <c r="I129" s="1176"/>
      <c r="J129" s="1177"/>
      <c r="K129" s="1547"/>
      <c r="L129" s="1177"/>
      <c r="M129" s="1548"/>
      <c r="N129" s="1549"/>
      <c r="O129" s="1178"/>
      <c r="P129" s="1179"/>
      <c r="Q129" s="1171"/>
      <c r="R129" s="104"/>
      <c r="S129" s="1172"/>
      <c r="T129" s="1172"/>
      <c r="U129" s="1172"/>
      <c r="V129" s="1173"/>
      <c r="W129" s="1174"/>
      <c r="X129" s="1175"/>
      <c r="Y129" s="1176"/>
      <c r="Z129" s="1177"/>
      <c r="AA129" s="1547"/>
      <c r="AB129" s="1177"/>
      <c r="AC129" s="1548"/>
      <c r="AD129" s="1549"/>
      <c r="AE129" s="1178"/>
      <c r="AF129" s="1179"/>
      <c r="AG129" s="1171"/>
      <c r="AH129" s="104"/>
      <c r="AI129" s="1172"/>
      <c r="AJ129" s="1172"/>
      <c r="AK129" s="1172"/>
      <c r="AL129" s="1173"/>
      <c r="AM129" s="1174"/>
      <c r="AN129" s="1175"/>
      <c r="AO129" s="1176"/>
      <c r="AP129" s="1177"/>
      <c r="AQ129" s="1547"/>
      <c r="AR129" s="1177"/>
      <c r="AS129" s="1548"/>
      <c r="AT129" s="1549"/>
      <c r="AU129" s="1178"/>
      <c r="AV129" s="1179"/>
      <c r="AY129" s="3">
        <v>1</v>
      </c>
    </row>
    <row r="130" spans="2:51" ht="27" customHeight="1">
      <c r="B130" s="104"/>
      <c r="C130" s="1172"/>
      <c r="D130" s="1172"/>
      <c r="E130" s="1172"/>
      <c r="F130" s="1173"/>
      <c r="G130" s="1174"/>
      <c r="H130" s="1175"/>
      <c r="I130" s="1176"/>
      <c r="J130" s="1177"/>
      <c r="K130" s="1547"/>
      <c r="L130" s="1177"/>
      <c r="M130" s="1548"/>
      <c r="N130" s="1549"/>
      <c r="O130" s="1178"/>
      <c r="P130" s="1179"/>
      <c r="Q130" s="1171"/>
      <c r="R130" s="104"/>
      <c r="S130" s="1172"/>
      <c r="T130" s="1172"/>
      <c r="U130" s="1172"/>
      <c r="V130" s="1173"/>
      <c r="W130" s="1174"/>
      <c r="X130" s="1175"/>
      <c r="Y130" s="1176"/>
      <c r="Z130" s="1177"/>
      <c r="AA130" s="1547"/>
      <c r="AB130" s="1177"/>
      <c r="AC130" s="1548"/>
      <c r="AD130" s="1549"/>
      <c r="AE130" s="1178"/>
      <c r="AF130" s="1179"/>
      <c r="AG130" s="1171"/>
      <c r="AH130" s="104"/>
      <c r="AI130" s="1172"/>
      <c r="AJ130" s="1172"/>
      <c r="AK130" s="1172"/>
      <c r="AL130" s="1173"/>
      <c r="AM130" s="1174"/>
      <c r="AN130" s="1175"/>
      <c r="AO130" s="1176"/>
      <c r="AP130" s="1177"/>
      <c r="AQ130" s="1547"/>
      <c r="AR130" s="1177"/>
      <c r="AS130" s="1548"/>
      <c r="AT130" s="1549"/>
      <c r="AU130" s="1178"/>
      <c r="AV130" s="1179"/>
      <c r="AY130" s="3">
        <v>1</v>
      </c>
    </row>
    <row r="131" spans="2:51" ht="27" customHeight="1">
      <c r="B131" s="104"/>
      <c r="C131" s="1172"/>
      <c r="D131" s="1172"/>
      <c r="E131" s="1172"/>
      <c r="F131" s="1173"/>
      <c r="G131" s="1174"/>
      <c r="H131" s="1175"/>
      <c r="I131" s="1176"/>
      <c r="J131" s="1177"/>
      <c r="K131" s="1547"/>
      <c r="L131" s="1177"/>
      <c r="M131" s="1548"/>
      <c r="N131" s="1549"/>
      <c r="O131" s="1178"/>
      <c r="P131" s="1179"/>
      <c r="Q131" s="1171"/>
      <c r="R131" s="104"/>
      <c r="S131" s="1172"/>
      <c r="T131" s="1172"/>
      <c r="U131" s="1172"/>
      <c r="V131" s="1173"/>
      <c r="W131" s="1174"/>
      <c r="X131" s="1175"/>
      <c r="Y131" s="1176"/>
      <c r="Z131" s="1177"/>
      <c r="AA131" s="1547"/>
      <c r="AB131" s="1177"/>
      <c r="AC131" s="1548"/>
      <c r="AD131" s="1549"/>
      <c r="AE131" s="1178"/>
      <c r="AF131" s="1179"/>
      <c r="AG131" s="1171"/>
      <c r="AH131" s="104"/>
      <c r="AI131" s="1172"/>
      <c r="AJ131" s="1172"/>
      <c r="AK131" s="1172"/>
      <c r="AL131" s="1173"/>
      <c r="AM131" s="1174"/>
      <c r="AN131" s="1175"/>
      <c r="AO131" s="1176"/>
      <c r="AP131" s="1177"/>
      <c r="AQ131" s="1547"/>
      <c r="AR131" s="1177"/>
      <c r="AS131" s="1548"/>
      <c r="AT131" s="1549"/>
      <c r="AU131" s="1178"/>
      <c r="AV131" s="1179"/>
      <c r="AY131" s="3">
        <v>1</v>
      </c>
    </row>
    <row r="132" spans="2:51" ht="27" customHeight="1">
      <c r="B132" s="104"/>
      <c r="C132" s="1172"/>
      <c r="D132" s="1172"/>
      <c r="E132" s="1172"/>
      <c r="F132" s="1173"/>
      <c r="G132" s="1174"/>
      <c r="H132" s="1175"/>
      <c r="I132" s="1176"/>
      <c r="J132" s="1177"/>
      <c r="K132" s="1547"/>
      <c r="L132" s="1177"/>
      <c r="M132" s="1548"/>
      <c r="N132" s="1549"/>
      <c r="O132" s="1178"/>
      <c r="P132" s="1179"/>
      <c r="Q132" s="1171"/>
      <c r="R132" s="104"/>
      <c r="S132" s="1172"/>
      <c r="T132" s="1172"/>
      <c r="U132" s="1172"/>
      <c r="V132" s="1173"/>
      <c r="W132" s="1174"/>
      <c r="X132" s="1175"/>
      <c r="Y132" s="1176"/>
      <c r="Z132" s="1177"/>
      <c r="AA132" s="1547"/>
      <c r="AB132" s="1177"/>
      <c r="AC132" s="1548"/>
      <c r="AD132" s="1549"/>
      <c r="AE132" s="1178"/>
      <c r="AF132" s="1179"/>
      <c r="AG132" s="1171"/>
      <c r="AH132" s="104"/>
      <c r="AI132" s="1172"/>
      <c r="AJ132" s="1172"/>
      <c r="AK132" s="1172"/>
      <c r="AL132" s="1173"/>
      <c r="AM132" s="1174"/>
      <c r="AN132" s="1175"/>
      <c r="AO132" s="1176"/>
      <c r="AP132" s="1177"/>
      <c r="AQ132" s="1547"/>
      <c r="AR132" s="1177"/>
      <c r="AS132" s="1548"/>
      <c r="AT132" s="1549"/>
      <c r="AU132" s="1178"/>
      <c r="AV132" s="1179"/>
      <c r="AY132" s="3">
        <v>1</v>
      </c>
    </row>
    <row r="133" spans="2:51" ht="27" customHeight="1">
      <c r="B133" s="104"/>
      <c r="C133" s="1172"/>
      <c r="D133" s="1172"/>
      <c r="E133" s="1172"/>
      <c r="F133" s="1173"/>
      <c r="G133" s="1174"/>
      <c r="H133" s="1175"/>
      <c r="I133" s="1176"/>
      <c r="J133" s="1177"/>
      <c r="K133" s="1547"/>
      <c r="L133" s="1177"/>
      <c r="M133" s="1548"/>
      <c r="N133" s="1549"/>
      <c r="O133" s="1178"/>
      <c r="P133" s="1179"/>
      <c r="Q133" s="1171"/>
      <c r="R133" s="104"/>
      <c r="S133" s="1172"/>
      <c r="T133" s="1172"/>
      <c r="U133" s="1172"/>
      <c r="V133" s="1173"/>
      <c r="W133" s="1174"/>
      <c r="X133" s="1175"/>
      <c r="Y133" s="1176"/>
      <c r="Z133" s="1177"/>
      <c r="AA133" s="1547"/>
      <c r="AB133" s="1177"/>
      <c r="AC133" s="1548"/>
      <c r="AD133" s="1549"/>
      <c r="AE133" s="1178"/>
      <c r="AF133" s="1179"/>
      <c r="AG133" s="1171"/>
      <c r="AH133" s="104"/>
      <c r="AI133" s="1172"/>
      <c r="AJ133" s="1172"/>
      <c r="AK133" s="1172"/>
      <c r="AL133" s="1173"/>
      <c r="AM133" s="1174"/>
      <c r="AN133" s="1175"/>
      <c r="AO133" s="1176"/>
      <c r="AP133" s="1177"/>
      <c r="AQ133" s="1547"/>
      <c r="AR133" s="1177"/>
      <c r="AS133" s="1548"/>
      <c r="AT133" s="1549"/>
      <c r="AU133" s="1178"/>
      <c r="AV133" s="1179"/>
      <c r="AY133" s="3">
        <v>1</v>
      </c>
    </row>
    <row r="134" spans="2:51" ht="27" customHeight="1">
      <c r="B134" s="104"/>
      <c r="C134" s="1172"/>
      <c r="D134" s="1172"/>
      <c r="E134" s="1172"/>
      <c r="F134" s="1173"/>
      <c r="G134" s="1174"/>
      <c r="H134" s="1175"/>
      <c r="I134" s="1176"/>
      <c r="J134" s="1177"/>
      <c r="K134" s="1547"/>
      <c r="L134" s="1177"/>
      <c r="M134" s="1548"/>
      <c r="N134" s="1549"/>
      <c r="O134" s="1178"/>
      <c r="P134" s="1179"/>
      <c r="Q134" s="1171"/>
      <c r="R134" s="104"/>
      <c r="S134" s="1172"/>
      <c r="T134" s="1172"/>
      <c r="U134" s="1172"/>
      <c r="V134" s="1173"/>
      <c r="W134" s="1174"/>
      <c r="X134" s="1175"/>
      <c r="Y134" s="1176"/>
      <c r="Z134" s="1177"/>
      <c r="AA134" s="1547"/>
      <c r="AB134" s="1177"/>
      <c r="AC134" s="1548"/>
      <c r="AD134" s="1549"/>
      <c r="AE134" s="1178"/>
      <c r="AF134" s="1179"/>
      <c r="AG134" s="1171"/>
      <c r="AH134" s="104"/>
      <c r="AI134" s="1172"/>
      <c r="AJ134" s="1172"/>
      <c r="AK134" s="1172"/>
      <c r="AL134" s="1173"/>
      <c r="AM134" s="1174"/>
      <c r="AN134" s="1175"/>
      <c r="AO134" s="1176"/>
      <c r="AP134" s="1177"/>
      <c r="AQ134" s="1547"/>
      <c r="AR134" s="1177"/>
      <c r="AS134" s="1548"/>
      <c r="AT134" s="1549"/>
      <c r="AU134" s="1178"/>
      <c r="AV134" s="1179"/>
      <c r="AY134" s="3">
        <v>1</v>
      </c>
    </row>
    <row r="135" spans="2:51" ht="27" customHeight="1">
      <c r="B135" s="104"/>
      <c r="C135" s="1172"/>
      <c r="D135" s="1172"/>
      <c r="E135" s="1172"/>
      <c r="F135" s="1173"/>
      <c r="G135" s="1174"/>
      <c r="H135" s="1175"/>
      <c r="I135" s="1176"/>
      <c r="J135" s="1177"/>
      <c r="K135" s="1547"/>
      <c r="L135" s="1177"/>
      <c r="M135" s="1548"/>
      <c r="N135" s="1549"/>
      <c r="O135" s="1178"/>
      <c r="P135" s="1179"/>
      <c r="Q135" s="1171"/>
      <c r="R135" s="104"/>
      <c r="S135" s="1172"/>
      <c r="T135" s="1172"/>
      <c r="U135" s="1172"/>
      <c r="V135" s="1173"/>
      <c r="W135" s="1174"/>
      <c r="X135" s="1175"/>
      <c r="Y135" s="1176"/>
      <c r="Z135" s="1177"/>
      <c r="AA135" s="1547"/>
      <c r="AB135" s="1177"/>
      <c r="AC135" s="1548"/>
      <c r="AD135" s="1549"/>
      <c r="AE135" s="1178"/>
      <c r="AF135" s="1179"/>
      <c r="AG135" s="1171"/>
      <c r="AH135" s="104"/>
      <c r="AI135" s="1172"/>
      <c r="AJ135" s="1172"/>
      <c r="AK135" s="1172"/>
      <c r="AL135" s="1173"/>
      <c r="AM135" s="1174"/>
      <c r="AN135" s="1175"/>
      <c r="AO135" s="1176"/>
      <c r="AP135" s="1177"/>
      <c r="AQ135" s="1547"/>
      <c r="AR135" s="1177"/>
      <c r="AS135" s="1548"/>
      <c r="AT135" s="1549"/>
      <c r="AU135" s="1178"/>
      <c r="AV135" s="1179"/>
      <c r="AY135" s="3">
        <v>1</v>
      </c>
    </row>
    <row r="136" spans="2:51" ht="27" customHeight="1">
      <c r="B136" s="104"/>
      <c r="C136" s="1172"/>
      <c r="D136" s="1172"/>
      <c r="E136" s="1172"/>
      <c r="F136" s="1173"/>
      <c r="G136" s="1174"/>
      <c r="H136" s="1175"/>
      <c r="I136" s="1176"/>
      <c r="J136" s="1177"/>
      <c r="K136" s="1547"/>
      <c r="L136" s="1177"/>
      <c r="M136" s="1548"/>
      <c r="N136" s="1549"/>
      <c r="O136" s="1178"/>
      <c r="P136" s="1179"/>
      <c r="Q136" s="1171"/>
      <c r="R136" s="104"/>
      <c r="S136" s="1172"/>
      <c r="T136" s="1172"/>
      <c r="U136" s="1172"/>
      <c r="V136" s="1173"/>
      <c r="W136" s="1174"/>
      <c r="X136" s="1175"/>
      <c r="Y136" s="1176"/>
      <c r="Z136" s="1177"/>
      <c r="AA136" s="1547"/>
      <c r="AB136" s="1177"/>
      <c r="AC136" s="1548"/>
      <c r="AD136" s="1549"/>
      <c r="AE136" s="1178"/>
      <c r="AF136" s="1179"/>
      <c r="AG136" s="1171"/>
      <c r="AH136" s="104"/>
      <c r="AI136" s="1172"/>
      <c r="AJ136" s="1172"/>
      <c r="AK136" s="1172"/>
      <c r="AL136" s="1173"/>
      <c r="AM136" s="1174"/>
      <c r="AN136" s="1175"/>
      <c r="AO136" s="1176"/>
      <c r="AP136" s="1177"/>
      <c r="AQ136" s="1547"/>
      <c r="AR136" s="1177"/>
      <c r="AS136" s="1548"/>
      <c r="AT136" s="1549"/>
      <c r="AU136" s="1178"/>
      <c r="AV136" s="1179"/>
      <c r="AY136" s="3">
        <v>1</v>
      </c>
    </row>
    <row r="137" spans="2:51" ht="27" customHeight="1">
      <c r="B137" s="104"/>
      <c r="C137" s="1172"/>
      <c r="D137" s="1172"/>
      <c r="E137" s="1172"/>
      <c r="F137" s="1173"/>
      <c r="G137" s="1174"/>
      <c r="H137" s="1175"/>
      <c r="I137" s="1176"/>
      <c r="J137" s="1177"/>
      <c r="K137" s="1547"/>
      <c r="L137" s="1177"/>
      <c r="M137" s="1548"/>
      <c r="N137" s="1549"/>
      <c r="O137" s="1178"/>
      <c r="P137" s="1179"/>
      <c r="Q137" s="1171"/>
      <c r="R137" s="104"/>
      <c r="S137" s="1172"/>
      <c r="T137" s="1172"/>
      <c r="U137" s="1172"/>
      <c r="V137" s="1173"/>
      <c r="W137" s="1174"/>
      <c r="X137" s="1175"/>
      <c r="Y137" s="1176"/>
      <c r="Z137" s="1177"/>
      <c r="AA137" s="1547"/>
      <c r="AB137" s="1177"/>
      <c r="AC137" s="1548"/>
      <c r="AD137" s="1549"/>
      <c r="AE137" s="1178"/>
      <c r="AF137" s="1179"/>
      <c r="AG137" s="1171"/>
      <c r="AH137" s="104"/>
      <c r="AI137" s="1172"/>
      <c r="AJ137" s="1172"/>
      <c r="AK137" s="1172"/>
      <c r="AL137" s="1173"/>
      <c r="AM137" s="1174"/>
      <c r="AN137" s="1175"/>
      <c r="AO137" s="1176"/>
      <c r="AP137" s="1177"/>
      <c r="AQ137" s="1547"/>
      <c r="AR137" s="1177"/>
      <c r="AS137" s="1548"/>
      <c r="AT137" s="1549"/>
      <c r="AU137" s="1178"/>
      <c r="AV137" s="1179"/>
      <c r="AY137" s="3">
        <v>1</v>
      </c>
    </row>
    <row r="138" spans="2:51" ht="27" customHeight="1">
      <c r="B138" s="104"/>
      <c r="C138" s="1172"/>
      <c r="D138" s="1172"/>
      <c r="E138" s="1172"/>
      <c r="F138" s="1173"/>
      <c r="G138" s="1174"/>
      <c r="H138" s="1175"/>
      <c r="I138" s="1176"/>
      <c r="J138" s="1177"/>
      <c r="K138" s="1547"/>
      <c r="L138" s="1177"/>
      <c r="M138" s="1548"/>
      <c r="N138" s="1549"/>
      <c r="O138" s="1178"/>
      <c r="P138" s="1179"/>
      <c r="Q138" s="1171"/>
      <c r="R138" s="104"/>
      <c r="S138" s="1172"/>
      <c r="T138" s="1172"/>
      <c r="U138" s="1172"/>
      <c r="V138" s="1173"/>
      <c r="W138" s="1174"/>
      <c r="X138" s="1175"/>
      <c r="Y138" s="1176"/>
      <c r="Z138" s="1177"/>
      <c r="AA138" s="1547"/>
      <c r="AB138" s="1177"/>
      <c r="AC138" s="1548"/>
      <c r="AD138" s="1549"/>
      <c r="AE138" s="1178"/>
      <c r="AF138" s="1179"/>
      <c r="AG138" s="1171"/>
      <c r="AH138" s="104"/>
      <c r="AI138" s="1172"/>
      <c r="AJ138" s="1172"/>
      <c r="AK138" s="1172"/>
      <c r="AL138" s="1173"/>
      <c r="AM138" s="1174"/>
      <c r="AN138" s="1175"/>
      <c r="AO138" s="1176"/>
      <c r="AP138" s="1177"/>
      <c r="AQ138" s="1547"/>
      <c r="AR138" s="1177"/>
      <c r="AS138" s="1548"/>
      <c r="AT138" s="1549"/>
      <c r="AU138" s="1178"/>
      <c r="AV138" s="1179"/>
      <c r="AY138" s="3">
        <v>1</v>
      </c>
    </row>
    <row r="139" spans="2:51" ht="27" customHeight="1">
      <c r="B139" s="104"/>
      <c r="C139" s="1172"/>
      <c r="D139" s="1172"/>
      <c r="E139" s="1172"/>
      <c r="F139" s="1173"/>
      <c r="G139" s="1174"/>
      <c r="H139" s="1175"/>
      <c r="I139" s="1176"/>
      <c r="J139" s="1177"/>
      <c r="K139" s="1547"/>
      <c r="L139" s="1177"/>
      <c r="M139" s="1548"/>
      <c r="N139" s="1549"/>
      <c r="O139" s="1178"/>
      <c r="P139" s="1179"/>
      <c r="Q139" s="1171"/>
      <c r="R139" s="104"/>
      <c r="S139" s="1172"/>
      <c r="T139" s="1172"/>
      <c r="U139" s="1172"/>
      <c r="V139" s="1173"/>
      <c r="W139" s="1174"/>
      <c r="X139" s="1175"/>
      <c r="Y139" s="1176"/>
      <c r="Z139" s="1177"/>
      <c r="AA139" s="1547"/>
      <c r="AB139" s="1177"/>
      <c r="AC139" s="1548"/>
      <c r="AD139" s="1549"/>
      <c r="AE139" s="1178"/>
      <c r="AF139" s="1179"/>
      <c r="AG139" s="1171"/>
      <c r="AH139" s="104"/>
      <c r="AI139" s="1172"/>
      <c r="AJ139" s="1172"/>
      <c r="AK139" s="1172"/>
      <c r="AL139" s="1173"/>
      <c r="AM139" s="1174"/>
      <c r="AN139" s="1175"/>
      <c r="AO139" s="1176"/>
      <c r="AP139" s="1177"/>
      <c r="AQ139" s="1547"/>
      <c r="AR139" s="1177"/>
      <c r="AS139" s="1548"/>
      <c r="AT139" s="1549"/>
      <c r="AU139" s="1178"/>
      <c r="AV139" s="1179"/>
      <c r="AY139" s="3">
        <v>1</v>
      </c>
    </row>
    <row r="140" spans="2:51" ht="27" customHeight="1">
      <c r="B140" s="104"/>
      <c r="C140" s="1172"/>
      <c r="D140" s="1172"/>
      <c r="E140" s="1172"/>
      <c r="F140" s="1173"/>
      <c r="G140" s="1174"/>
      <c r="H140" s="1175"/>
      <c r="I140" s="1176"/>
      <c r="J140" s="1177"/>
      <c r="K140" s="1547"/>
      <c r="L140" s="1177"/>
      <c r="M140" s="1548"/>
      <c r="N140" s="1549"/>
      <c r="O140" s="1178"/>
      <c r="P140" s="1179"/>
      <c r="Q140" s="1171"/>
      <c r="R140" s="104"/>
      <c r="S140" s="1172"/>
      <c r="T140" s="1172"/>
      <c r="U140" s="1172"/>
      <c r="V140" s="1173"/>
      <c r="W140" s="1174"/>
      <c r="X140" s="1175"/>
      <c r="Y140" s="1176"/>
      <c r="Z140" s="1177"/>
      <c r="AA140" s="1547"/>
      <c r="AB140" s="1177"/>
      <c r="AC140" s="1548"/>
      <c r="AD140" s="1549"/>
      <c r="AE140" s="1178"/>
      <c r="AF140" s="1179"/>
      <c r="AG140" s="1171"/>
      <c r="AH140" s="104"/>
      <c r="AI140" s="1172"/>
      <c r="AJ140" s="1172"/>
      <c r="AK140" s="1172"/>
      <c r="AL140" s="1173"/>
      <c r="AM140" s="1174"/>
      <c r="AN140" s="1175"/>
      <c r="AO140" s="1176"/>
      <c r="AP140" s="1177"/>
      <c r="AQ140" s="1547"/>
      <c r="AR140" s="1177"/>
      <c r="AS140" s="1548"/>
      <c r="AT140" s="1549"/>
      <c r="AU140" s="1178"/>
      <c r="AV140" s="1179"/>
      <c r="AY140" s="3">
        <v>1</v>
      </c>
    </row>
    <row r="141" spans="2:51" ht="27" customHeight="1">
      <c r="B141" s="104"/>
      <c r="C141" s="1172"/>
      <c r="D141" s="1172"/>
      <c r="E141" s="1172"/>
      <c r="F141" s="1173"/>
      <c r="G141" s="1174"/>
      <c r="H141" s="1175"/>
      <c r="I141" s="1176"/>
      <c r="J141" s="1177"/>
      <c r="K141" s="1547"/>
      <c r="L141" s="1177"/>
      <c r="M141" s="1548"/>
      <c r="N141" s="1549"/>
      <c r="O141" s="1178"/>
      <c r="P141" s="1179"/>
      <c r="Q141" s="1171"/>
      <c r="R141" s="104"/>
      <c r="S141" s="1172"/>
      <c r="T141" s="1172"/>
      <c r="U141" s="1172"/>
      <c r="V141" s="1173"/>
      <c r="W141" s="1174"/>
      <c r="X141" s="1175"/>
      <c r="Y141" s="1176"/>
      <c r="Z141" s="1177"/>
      <c r="AA141" s="1547"/>
      <c r="AB141" s="1177"/>
      <c r="AC141" s="1548"/>
      <c r="AD141" s="1549"/>
      <c r="AE141" s="1178"/>
      <c r="AF141" s="1179"/>
      <c r="AG141" s="1171"/>
      <c r="AH141" s="104"/>
      <c r="AI141" s="1172"/>
      <c r="AJ141" s="1172"/>
      <c r="AK141" s="1172"/>
      <c r="AL141" s="1173"/>
      <c r="AM141" s="1174"/>
      <c r="AN141" s="1175"/>
      <c r="AO141" s="1176"/>
      <c r="AP141" s="1177"/>
      <c r="AQ141" s="1547"/>
      <c r="AR141" s="1177"/>
      <c r="AS141" s="1548"/>
      <c r="AT141" s="1549"/>
      <c r="AU141" s="1178"/>
      <c r="AV141" s="1179"/>
      <c r="AY141" s="3">
        <v>1</v>
      </c>
    </row>
    <row r="142" spans="2:51" ht="27" customHeight="1">
      <c r="B142" s="104"/>
      <c r="C142" s="1172"/>
      <c r="D142" s="1172"/>
      <c r="E142" s="1172"/>
      <c r="F142" s="1173"/>
      <c r="G142" s="1174"/>
      <c r="H142" s="1175"/>
      <c r="I142" s="1176"/>
      <c r="J142" s="1177"/>
      <c r="K142" s="1547"/>
      <c r="L142" s="1177"/>
      <c r="M142" s="1548"/>
      <c r="N142" s="1549"/>
      <c r="O142" s="1178"/>
      <c r="P142" s="1179"/>
      <c r="Q142" s="1171"/>
      <c r="R142" s="104"/>
      <c r="S142" s="1172"/>
      <c r="T142" s="1172"/>
      <c r="U142" s="1172"/>
      <c r="V142" s="1173"/>
      <c r="W142" s="1174"/>
      <c r="X142" s="1175"/>
      <c r="Y142" s="1176"/>
      <c r="Z142" s="1177"/>
      <c r="AA142" s="1547"/>
      <c r="AB142" s="1177"/>
      <c r="AC142" s="1548"/>
      <c r="AD142" s="1549"/>
      <c r="AE142" s="1178"/>
      <c r="AF142" s="1179"/>
      <c r="AG142" s="1171"/>
      <c r="AH142" s="104"/>
      <c r="AI142" s="1172"/>
      <c r="AJ142" s="1172"/>
      <c r="AK142" s="1172"/>
      <c r="AL142" s="1173"/>
      <c r="AM142" s="1174"/>
      <c r="AN142" s="1175"/>
      <c r="AO142" s="1176"/>
      <c r="AP142" s="1177"/>
      <c r="AQ142" s="1547"/>
      <c r="AR142" s="1177"/>
      <c r="AS142" s="1548"/>
      <c r="AT142" s="1549"/>
      <c r="AU142" s="1178"/>
      <c r="AV142" s="1179"/>
      <c r="AY142" s="3">
        <v>1</v>
      </c>
    </row>
    <row r="143" spans="2:51" ht="27" customHeight="1">
      <c r="B143" s="104"/>
      <c r="C143" s="1172"/>
      <c r="D143" s="1172"/>
      <c r="E143" s="1172"/>
      <c r="F143" s="1173"/>
      <c r="G143" s="1174"/>
      <c r="H143" s="1175"/>
      <c r="I143" s="1176"/>
      <c r="J143" s="1177"/>
      <c r="K143" s="1547"/>
      <c r="L143" s="1177"/>
      <c r="M143" s="1548"/>
      <c r="N143" s="1549"/>
      <c r="O143" s="1178"/>
      <c r="P143" s="1179"/>
      <c r="Q143" s="1171"/>
      <c r="R143" s="104"/>
      <c r="S143" s="1172"/>
      <c r="T143" s="1172"/>
      <c r="U143" s="1172"/>
      <c r="V143" s="1173"/>
      <c r="W143" s="1174"/>
      <c r="X143" s="1175"/>
      <c r="Y143" s="1176"/>
      <c r="Z143" s="1177"/>
      <c r="AA143" s="1547"/>
      <c r="AB143" s="1177"/>
      <c r="AC143" s="1548"/>
      <c r="AD143" s="1549"/>
      <c r="AE143" s="1178"/>
      <c r="AF143" s="1179"/>
      <c r="AG143" s="1171"/>
      <c r="AH143" s="104"/>
      <c r="AI143" s="1172"/>
      <c r="AJ143" s="1172"/>
      <c r="AK143" s="1172"/>
      <c r="AL143" s="1173"/>
      <c r="AM143" s="1174"/>
      <c r="AN143" s="1175"/>
      <c r="AO143" s="1176"/>
      <c r="AP143" s="1177"/>
      <c r="AQ143" s="1547"/>
      <c r="AR143" s="1177"/>
      <c r="AS143" s="1548"/>
      <c r="AT143" s="1549"/>
      <c r="AU143" s="1178"/>
      <c r="AV143" s="1179"/>
      <c r="AY143" s="3">
        <v>1</v>
      </c>
    </row>
    <row r="144" spans="2:51" ht="27" customHeight="1">
      <c r="B144" s="104"/>
      <c r="C144" s="1172"/>
      <c r="D144" s="1172"/>
      <c r="E144" s="1172"/>
      <c r="F144" s="1173"/>
      <c r="G144" s="1174"/>
      <c r="H144" s="1175"/>
      <c r="I144" s="1176"/>
      <c r="J144" s="1177"/>
      <c r="K144" s="1547"/>
      <c r="L144" s="1177"/>
      <c r="M144" s="1548"/>
      <c r="N144" s="1549"/>
      <c r="O144" s="1178"/>
      <c r="P144" s="1179"/>
      <c r="Q144" s="1171"/>
      <c r="R144" s="104"/>
      <c r="S144" s="1172"/>
      <c r="T144" s="1172"/>
      <c r="U144" s="1172"/>
      <c r="V144" s="1173"/>
      <c r="W144" s="1174"/>
      <c r="X144" s="1175"/>
      <c r="Y144" s="1176"/>
      <c r="Z144" s="1177"/>
      <c r="AA144" s="1547"/>
      <c r="AB144" s="1177"/>
      <c r="AC144" s="1548"/>
      <c r="AD144" s="1549"/>
      <c r="AE144" s="1178"/>
      <c r="AF144" s="1179"/>
      <c r="AG144" s="1171"/>
      <c r="AH144" s="104"/>
      <c r="AI144" s="1172"/>
      <c r="AJ144" s="1172"/>
      <c r="AK144" s="1172"/>
      <c r="AL144" s="1173"/>
      <c r="AM144" s="1174"/>
      <c r="AN144" s="1175"/>
      <c r="AO144" s="1176"/>
      <c r="AP144" s="1177"/>
      <c r="AQ144" s="1547"/>
      <c r="AR144" s="1177"/>
      <c r="AS144" s="1548"/>
      <c r="AT144" s="1549"/>
      <c r="AU144" s="1178"/>
      <c r="AV144" s="1179"/>
      <c r="AY144" s="3">
        <v>1</v>
      </c>
    </row>
    <row r="145" spans="2:51" ht="27" customHeight="1">
      <c r="B145" s="104"/>
      <c r="C145" s="1172"/>
      <c r="D145" s="1172"/>
      <c r="E145" s="1172"/>
      <c r="F145" s="1173"/>
      <c r="G145" s="1174"/>
      <c r="H145" s="1175"/>
      <c r="I145" s="1176"/>
      <c r="J145" s="1177"/>
      <c r="K145" s="1547"/>
      <c r="L145" s="1177"/>
      <c r="M145" s="1548"/>
      <c r="N145" s="1549"/>
      <c r="O145" s="1178"/>
      <c r="P145" s="1179"/>
      <c r="Q145" s="1171"/>
      <c r="R145" s="104"/>
      <c r="S145" s="1172"/>
      <c r="T145" s="1172"/>
      <c r="U145" s="1172"/>
      <c r="V145" s="1173"/>
      <c r="W145" s="1174"/>
      <c r="X145" s="1175"/>
      <c r="Y145" s="1176"/>
      <c r="Z145" s="1177"/>
      <c r="AA145" s="1547"/>
      <c r="AB145" s="1177"/>
      <c r="AC145" s="1548"/>
      <c r="AD145" s="1549"/>
      <c r="AE145" s="1178"/>
      <c r="AF145" s="1179"/>
      <c r="AG145" s="1171"/>
      <c r="AH145" s="104"/>
      <c r="AI145" s="1172"/>
      <c r="AJ145" s="1172"/>
      <c r="AK145" s="1172"/>
      <c r="AL145" s="1173"/>
      <c r="AM145" s="1174"/>
      <c r="AN145" s="1175"/>
      <c r="AO145" s="1176"/>
      <c r="AP145" s="1177"/>
      <c r="AQ145" s="1547"/>
      <c r="AR145" s="1177"/>
      <c r="AS145" s="1548"/>
      <c r="AT145" s="1549"/>
      <c r="AU145" s="1178"/>
      <c r="AV145" s="1179"/>
      <c r="AY145" s="3">
        <v>1</v>
      </c>
    </row>
    <row r="146" spans="2:51" ht="27" customHeight="1">
      <c r="B146" s="104"/>
      <c r="C146" s="1172"/>
      <c r="D146" s="1172"/>
      <c r="E146" s="1172"/>
      <c r="F146" s="1173"/>
      <c r="G146" s="1174"/>
      <c r="H146" s="1175"/>
      <c r="I146" s="1176"/>
      <c r="J146" s="1177"/>
      <c r="K146" s="1547"/>
      <c r="L146" s="1177"/>
      <c r="M146" s="1548"/>
      <c r="N146" s="1549"/>
      <c r="O146" s="1178"/>
      <c r="P146" s="1179"/>
      <c r="Q146" s="1171"/>
      <c r="R146" s="104"/>
      <c r="S146" s="1172"/>
      <c r="T146" s="1172"/>
      <c r="U146" s="1172"/>
      <c r="V146" s="1173"/>
      <c r="W146" s="1174"/>
      <c r="X146" s="1175"/>
      <c r="Y146" s="1176"/>
      <c r="Z146" s="1177"/>
      <c r="AA146" s="1547"/>
      <c r="AB146" s="1177"/>
      <c r="AC146" s="1548"/>
      <c r="AD146" s="1549"/>
      <c r="AE146" s="1178"/>
      <c r="AF146" s="1179"/>
      <c r="AG146" s="1171"/>
      <c r="AH146" s="104"/>
      <c r="AI146" s="1172"/>
      <c r="AJ146" s="1172"/>
      <c r="AK146" s="1172"/>
      <c r="AL146" s="1173"/>
      <c r="AM146" s="1174"/>
      <c r="AN146" s="1175"/>
      <c r="AO146" s="1176"/>
      <c r="AP146" s="1177"/>
      <c r="AQ146" s="1547"/>
      <c r="AR146" s="1177"/>
      <c r="AS146" s="1548"/>
      <c r="AT146" s="1549"/>
      <c r="AU146" s="1178"/>
      <c r="AV146" s="1179"/>
      <c r="AY146" s="3">
        <v>1</v>
      </c>
    </row>
    <row r="147" spans="2:51" ht="27" customHeight="1">
      <c r="B147" s="104"/>
      <c r="C147" s="1172"/>
      <c r="D147" s="1172"/>
      <c r="E147" s="1172"/>
      <c r="F147" s="1173"/>
      <c r="G147" s="1174"/>
      <c r="H147" s="1175"/>
      <c r="I147" s="1176"/>
      <c r="J147" s="1177"/>
      <c r="K147" s="1547"/>
      <c r="L147" s="1177"/>
      <c r="M147" s="1548"/>
      <c r="N147" s="1549"/>
      <c r="O147" s="1178"/>
      <c r="P147" s="1179"/>
      <c r="Q147" s="1171"/>
      <c r="R147" s="104"/>
      <c r="S147" s="1172"/>
      <c r="T147" s="1172"/>
      <c r="U147" s="1172"/>
      <c r="V147" s="1173"/>
      <c r="W147" s="1174"/>
      <c r="X147" s="1175"/>
      <c r="Y147" s="1176"/>
      <c r="Z147" s="1177"/>
      <c r="AA147" s="1547"/>
      <c r="AB147" s="1177"/>
      <c r="AC147" s="1548"/>
      <c r="AD147" s="1549"/>
      <c r="AE147" s="1178"/>
      <c r="AF147" s="1179"/>
      <c r="AG147" s="1171"/>
      <c r="AH147" s="104"/>
      <c r="AI147" s="1172"/>
      <c r="AJ147" s="1172"/>
      <c r="AK147" s="1172"/>
      <c r="AL147" s="1173"/>
      <c r="AM147" s="1174"/>
      <c r="AN147" s="1175"/>
      <c r="AO147" s="1176"/>
      <c r="AP147" s="1177"/>
      <c r="AQ147" s="1547"/>
      <c r="AR147" s="1177"/>
      <c r="AS147" s="1548"/>
      <c r="AT147" s="1549"/>
      <c r="AU147" s="1178"/>
      <c r="AV147" s="1179"/>
      <c r="AY147" s="3">
        <v>1</v>
      </c>
    </row>
    <row r="148" spans="2:51" ht="27" customHeight="1">
      <c r="B148" s="104"/>
      <c r="C148" s="1172"/>
      <c r="D148" s="1172"/>
      <c r="E148" s="1172"/>
      <c r="F148" s="1173"/>
      <c r="G148" s="1174"/>
      <c r="H148" s="1175"/>
      <c r="I148" s="1176"/>
      <c r="J148" s="1177"/>
      <c r="K148" s="1547"/>
      <c r="L148" s="1177"/>
      <c r="M148" s="1548"/>
      <c r="N148" s="1549"/>
      <c r="O148" s="1178"/>
      <c r="P148" s="1179"/>
      <c r="Q148" s="1171"/>
      <c r="R148" s="104"/>
      <c r="S148" s="1172"/>
      <c r="T148" s="1172"/>
      <c r="U148" s="1172"/>
      <c r="V148" s="1173"/>
      <c r="W148" s="1174"/>
      <c r="X148" s="1175"/>
      <c r="Y148" s="1176"/>
      <c r="Z148" s="1177"/>
      <c r="AA148" s="1547"/>
      <c r="AB148" s="1177"/>
      <c r="AC148" s="1548"/>
      <c r="AD148" s="1549"/>
      <c r="AE148" s="1178"/>
      <c r="AF148" s="1179"/>
      <c r="AG148" s="1171"/>
      <c r="AH148" s="104"/>
      <c r="AI148" s="1172"/>
      <c r="AJ148" s="1172"/>
      <c r="AK148" s="1172"/>
      <c r="AL148" s="1173"/>
      <c r="AM148" s="1174"/>
      <c r="AN148" s="1175"/>
      <c r="AO148" s="1176"/>
      <c r="AP148" s="1177"/>
      <c r="AQ148" s="1547"/>
      <c r="AR148" s="1177"/>
      <c r="AS148" s="1548"/>
      <c r="AT148" s="1549"/>
      <c r="AU148" s="1178"/>
      <c r="AV148" s="1179"/>
      <c r="AY148" s="3">
        <v>1</v>
      </c>
    </row>
    <row r="149" spans="2:51" ht="27" customHeight="1">
      <c r="B149" s="104"/>
      <c r="C149" s="1172"/>
      <c r="D149" s="1172"/>
      <c r="E149" s="1172"/>
      <c r="F149" s="1173"/>
      <c r="G149" s="1174"/>
      <c r="H149" s="1175"/>
      <c r="I149" s="1176"/>
      <c r="J149" s="1177"/>
      <c r="K149" s="1547"/>
      <c r="L149" s="1177"/>
      <c r="M149" s="1548"/>
      <c r="N149" s="1549"/>
      <c r="O149" s="1178"/>
      <c r="P149" s="1179"/>
      <c r="Q149" s="1171"/>
      <c r="R149" s="104"/>
      <c r="S149" s="1172"/>
      <c r="T149" s="1172"/>
      <c r="U149" s="1172"/>
      <c r="V149" s="1173"/>
      <c r="W149" s="1174"/>
      <c r="X149" s="1175"/>
      <c r="Y149" s="1176"/>
      <c r="Z149" s="1177"/>
      <c r="AA149" s="1547"/>
      <c r="AB149" s="1177"/>
      <c r="AC149" s="1548"/>
      <c r="AD149" s="1549"/>
      <c r="AE149" s="1178"/>
      <c r="AF149" s="1179"/>
      <c r="AG149" s="1171"/>
      <c r="AH149" s="104"/>
      <c r="AI149" s="1172"/>
      <c r="AJ149" s="1172"/>
      <c r="AK149" s="1172"/>
      <c r="AL149" s="1173"/>
      <c r="AM149" s="1174"/>
      <c r="AN149" s="1175"/>
      <c r="AO149" s="1176"/>
      <c r="AP149" s="1177"/>
      <c r="AQ149" s="1547"/>
      <c r="AR149" s="1177"/>
      <c r="AS149" s="1548"/>
      <c r="AT149" s="1549"/>
      <c r="AU149" s="1178"/>
      <c r="AV149" s="1179"/>
      <c r="AY149" s="3">
        <v>1</v>
      </c>
    </row>
    <row r="150" spans="2:51" ht="27" customHeight="1">
      <c r="B150" s="104"/>
      <c r="C150" s="1172"/>
      <c r="D150" s="1172"/>
      <c r="E150" s="1172"/>
      <c r="F150" s="1173"/>
      <c r="G150" s="1174"/>
      <c r="H150" s="1175"/>
      <c r="I150" s="1176"/>
      <c r="J150" s="1177"/>
      <c r="K150" s="1547"/>
      <c r="L150" s="1177"/>
      <c r="M150" s="1548"/>
      <c r="N150" s="1549"/>
      <c r="O150" s="1178"/>
      <c r="P150" s="1179"/>
      <c r="Q150" s="1171"/>
      <c r="R150" s="104"/>
      <c r="S150" s="1172"/>
      <c r="T150" s="1172"/>
      <c r="U150" s="1172"/>
      <c r="V150" s="1173"/>
      <c r="W150" s="1174"/>
      <c r="X150" s="1175"/>
      <c r="Y150" s="1176"/>
      <c r="Z150" s="1177"/>
      <c r="AA150" s="1547"/>
      <c r="AB150" s="1177"/>
      <c r="AC150" s="1548"/>
      <c r="AD150" s="1549"/>
      <c r="AE150" s="1178"/>
      <c r="AF150" s="1179"/>
      <c r="AG150" s="1171"/>
      <c r="AH150" s="104"/>
      <c r="AI150" s="1172"/>
      <c r="AJ150" s="1172"/>
      <c r="AK150" s="1172"/>
      <c r="AL150" s="1173"/>
      <c r="AM150" s="1174"/>
      <c r="AN150" s="1175"/>
      <c r="AO150" s="1176"/>
      <c r="AP150" s="1177"/>
      <c r="AQ150" s="1547"/>
      <c r="AR150" s="1177"/>
      <c r="AS150" s="1548"/>
      <c r="AT150" s="1549"/>
      <c r="AU150" s="1178"/>
      <c r="AV150" s="1179"/>
      <c r="AY150" s="3">
        <v>1</v>
      </c>
    </row>
    <row r="151" spans="2:51" ht="27" customHeight="1">
      <c r="B151" s="104"/>
      <c r="C151" s="1172"/>
      <c r="D151" s="1172"/>
      <c r="E151" s="1172"/>
      <c r="F151" s="1173"/>
      <c r="G151" s="1174"/>
      <c r="H151" s="1175"/>
      <c r="I151" s="1176"/>
      <c r="J151" s="1177"/>
      <c r="K151" s="1547"/>
      <c r="L151" s="1177"/>
      <c r="M151" s="1548"/>
      <c r="N151" s="1549"/>
      <c r="O151" s="1178"/>
      <c r="P151" s="1179"/>
      <c r="Q151" s="1171"/>
      <c r="R151" s="104"/>
      <c r="S151" s="1172"/>
      <c r="T151" s="1172"/>
      <c r="U151" s="1172"/>
      <c r="V151" s="1173"/>
      <c r="W151" s="1174"/>
      <c r="X151" s="1175"/>
      <c r="Y151" s="1176"/>
      <c r="Z151" s="1177"/>
      <c r="AA151" s="1547"/>
      <c r="AB151" s="1177"/>
      <c r="AC151" s="1548"/>
      <c r="AD151" s="1549"/>
      <c r="AE151" s="1178"/>
      <c r="AF151" s="1179"/>
      <c r="AG151" s="1171"/>
      <c r="AH151" s="104"/>
      <c r="AI151" s="1172"/>
      <c r="AJ151" s="1172"/>
      <c r="AK151" s="1172"/>
      <c r="AL151" s="1173"/>
      <c r="AM151" s="1174"/>
      <c r="AN151" s="1175"/>
      <c r="AO151" s="1176"/>
      <c r="AP151" s="1177"/>
      <c r="AQ151" s="1547"/>
      <c r="AR151" s="1177"/>
      <c r="AS151" s="1548"/>
      <c r="AT151" s="1549"/>
      <c r="AU151" s="1178"/>
      <c r="AV151" s="1179"/>
      <c r="AY151" s="3">
        <v>1</v>
      </c>
    </row>
    <row r="152" spans="2:51" ht="27" customHeight="1">
      <c r="B152" s="104"/>
      <c r="C152" s="1172"/>
      <c r="D152" s="1172"/>
      <c r="E152" s="1172"/>
      <c r="F152" s="1173"/>
      <c r="G152" s="1174"/>
      <c r="H152" s="1175"/>
      <c r="I152" s="1176"/>
      <c r="J152" s="1177"/>
      <c r="K152" s="1547"/>
      <c r="L152" s="1177"/>
      <c r="M152" s="1548"/>
      <c r="N152" s="1549"/>
      <c r="O152" s="1178"/>
      <c r="P152" s="1179"/>
      <c r="Q152" s="1171"/>
      <c r="R152" s="104"/>
      <c r="S152" s="1172"/>
      <c r="T152" s="1172"/>
      <c r="U152" s="1172"/>
      <c r="V152" s="1173"/>
      <c r="W152" s="1174"/>
      <c r="X152" s="1175"/>
      <c r="Y152" s="1176"/>
      <c r="Z152" s="1177"/>
      <c r="AA152" s="1547"/>
      <c r="AB152" s="1177"/>
      <c r="AC152" s="1548"/>
      <c r="AD152" s="1549"/>
      <c r="AE152" s="1178"/>
      <c r="AF152" s="1179"/>
      <c r="AG152" s="1171"/>
      <c r="AH152" s="104"/>
      <c r="AI152" s="1172"/>
      <c r="AJ152" s="1172"/>
      <c r="AK152" s="1172"/>
      <c r="AL152" s="1173"/>
      <c r="AM152" s="1174"/>
      <c r="AN152" s="1175"/>
      <c r="AO152" s="1176"/>
      <c r="AP152" s="1177"/>
      <c r="AQ152" s="1547"/>
      <c r="AR152" s="1177"/>
      <c r="AS152" s="1548"/>
      <c r="AT152" s="1549"/>
      <c r="AU152" s="1178"/>
      <c r="AV152" s="1179"/>
      <c r="AY152" s="3">
        <v>1</v>
      </c>
    </row>
    <row r="153" spans="2:51" ht="27" customHeight="1">
      <c r="B153" s="104"/>
      <c r="C153" s="1172"/>
      <c r="D153" s="1172"/>
      <c r="E153" s="1172"/>
      <c r="F153" s="1173"/>
      <c r="G153" s="1174"/>
      <c r="H153" s="1175"/>
      <c r="I153" s="1176"/>
      <c r="J153" s="1177"/>
      <c r="K153" s="1547"/>
      <c r="L153" s="1177"/>
      <c r="M153" s="1548"/>
      <c r="N153" s="1549"/>
      <c r="O153" s="1178"/>
      <c r="P153" s="1179"/>
      <c r="Q153" s="1171"/>
      <c r="R153" s="104"/>
      <c r="S153" s="1172"/>
      <c r="T153" s="1172"/>
      <c r="U153" s="1172"/>
      <c r="V153" s="1173"/>
      <c r="W153" s="1174"/>
      <c r="X153" s="1175"/>
      <c r="Y153" s="1176"/>
      <c r="Z153" s="1177"/>
      <c r="AA153" s="1547"/>
      <c r="AB153" s="1177"/>
      <c r="AC153" s="1548"/>
      <c r="AD153" s="1549"/>
      <c r="AE153" s="1178"/>
      <c r="AF153" s="1179"/>
      <c r="AG153" s="1171"/>
      <c r="AH153" s="104"/>
      <c r="AI153" s="1172"/>
      <c r="AJ153" s="1172"/>
      <c r="AK153" s="1172"/>
      <c r="AL153" s="1173"/>
      <c r="AM153" s="1174"/>
      <c r="AN153" s="1175"/>
      <c r="AO153" s="1176"/>
      <c r="AP153" s="1177"/>
      <c r="AQ153" s="1547"/>
      <c r="AR153" s="1177"/>
      <c r="AS153" s="1548"/>
      <c r="AT153" s="1549"/>
      <c r="AU153" s="1178"/>
      <c r="AV153" s="1179"/>
      <c r="AY153" s="3">
        <v>1</v>
      </c>
    </row>
    <row r="154" spans="2:51" ht="27" customHeight="1">
      <c r="B154" s="104"/>
      <c r="C154" s="1172"/>
      <c r="D154" s="1172"/>
      <c r="E154" s="1172"/>
      <c r="F154" s="1173"/>
      <c r="G154" s="1174"/>
      <c r="H154" s="1175"/>
      <c r="I154" s="1176"/>
      <c r="J154" s="1177"/>
      <c r="K154" s="1547"/>
      <c r="L154" s="1177"/>
      <c r="M154" s="1548"/>
      <c r="N154" s="1549"/>
      <c r="O154" s="1178"/>
      <c r="P154" s="1179"/>
      <c r="Q154" s="1171"/>
      <c r="R154" s="104"/>
      <c r="S154" s="1172"/>
      <c r="T154" s="1172"/>
      <c r="U154" s="1172"/>
      <c r="V154" s="1173"/>
      <c r="W154" s="1174"/>
      <c r="X154" s="1175"/>
      <c r="Y154" s="1176"/>
      <c r="Z154" s="1177"/>
      <c r="AA154" s="1547"/>
      <c r="AB154" s="1177"/>
      <c r="AC154" s="1548"/>
      <c r="AD154" s="1549"/>
      <c r="AE154" s="1178"/>
      <c r="AF154" s="1179"/>
      <c r="AG154" s="1171"/>
      <c r="AH154" s="104"/>
      <c r="AI154" s="1172"/>
      <c r="AJ154" s="1172"/>
      <c r="AK154" s="1172"/>
      <c r="AL154" s="1173"/>
      <c r="AM154" s="1174"/>
      <c r="AN154" s="1175"/>
      <c r="AO154" s="1176"/>
      <c r="AP154" s="1177"/>
      <c r="AQ154" s="1547"/>
      <c r="AR154" s="1177"/>
      <c r="AS154" s="1548"/>
      <c r="AT154" s="1549"/>
      <c r="AU154" s="1178"/>
      <c r="AV154" s="1179"/>
      <c r="AY154" s="3">
        <v>1</v>
      </c>
    </row>
    <row r="155" spans="2:51" ht="27" customHeight="1">
      <c r="B155" s="104"/>
      <c r="C155" s="1172"/>
      <c r="D155" s="1172"/>
      <c r="E155" s="1172"/>
      <c r="F155" s="1173"/>
      <c r="G155" s="1174"/>
      <c r="H155" s="1175"/>
      <c r="I155" s="1176"/>
      <c r="J155" s="1177"/>
      <c r="K155" s="1547"/>
      <c r="L155" s="1177"/>
      <c r="M155" s="1548"/>
      <c r="N155" s="1549"/>
      <c r="O155" s="1178"/>
      <c r="P155" s="1179"/>
      <c r="Q155" s="1171"/>
      <c r="R155" s="104"/>
      <c r="S155" s="1172"/>
      <c r="T155" s="1172"/>
      <c r="U155" s="1172"/>
      <c r="V155" s="1173"/>
      <c r="W155" s="1174"/>
      <c r="X155" s="1175"/>
      <c r="Y155" s="1176"/>
      <c r="Z155" s="1177"/>
      <c r="AA155" s="1547"/>
      <c r="AB155" s="1177"/>
      <c r="AC155" s="1548"/>
      <c r="AD155" s="1549"/>
      <c r="AE155" s="1178"/>
      <c r="AF155" s="1179"/>
      <c r="AG155" s="1171"/>
      <c r="AH155" s="104"/>
      <c r="AI155" s="1172"/>
      <c r="AJ155" s="1172"/>
      <c r="AK155" s="1172"/>
      <c r="AL155" s="1173"/>
      <c r="AM155" s="1174"/>
      <c r="AN155" s="1175"/>
      <c r="AO155" s="1176"/>
      <c r="AP155" s="1177"/>
      <c r="AQ155" s="1547"/>
      <c r="AR155" s="1177"/>
      <c r="AS155" s="1548"/>
      <c r="AT155" s="1549"/>
      <c r="AU155" s="1178"/>
      <c r="AV155" s="1179"/>
      <c r="AY155" s="3">
        <v>1</v>
      </c>
    </row>
    <row r="156" spans="2:51" ht="27" customHeight="1">
      <c r="B156" s="104"/>
      <c r="C156" s="1172"/>
      <c r="D156" s="1172"/>
      <c r="E156" s="1172"/>
      <c r="F156" s="1173"/>
      <c r="G156" s="1174"/>
      <c r="H156" s="1175"/>
      <c r="I156" s="1176"/>
      <c r="J156" s="1177"/>
      <c r="K156" s="1547"/>
      <c r="L156" s="1177"/>
      <c r="M156" s="1548"/>
      <c r="N156" s="1549"/>
      <c r="O156" s="1178"/>
      <c r="P156" s="1179"/>
      <c r="Q156" s="1171"/>
      <c r="R156" s="104"/>
      <c r="S156" s="1172"/>
      <c r="T156" s="1172"/>
      <c r="U156" s="1172"/>
      <c r="V156" s="1173"/>
      <c r="W156" s="1174"/>
      <c r="X156" s="1175"/>
      <c r="Y156" s="1176"/>
      <c r="Z156" s="1177"/>
      <c r="AA156" s="1547"/>
      <c r="AB156" s="1177"/>
      <c r="AC156" s="1548"/>
      <c r="AD156" s="1549"/>
      <c r="AE156" s="1178"/>
      <c r="AF156" s="1179"/>
      <c r="AG156" s="1171"/>
      <c r="AH156" s="104"/>
      <c r="AI156" s="1172"/>
      <c r="AJ156" s="1172"/>
      <c r="AK156" s="1172"/>
      <c r="AL156" s="1173"/>
      <c r="AM156" s="1174"/>
      <c r="AN156" s="1175"/>
      <c r="AO156" s="1176"/>
      <c r="AP156" s="1177"/>
      <c r="AQ156" s="1547"/>
      <c r="AR156" s="1177"/>
      <c r="AS156" s="1548"/>
      <c r="AT156" s="1549"/>
      <c r="AU156" s="1178"/>
      <c r="AV156" s="1179"/>
      <c r="AY156" s="3">
        <v>1</v>
      </c>
    </row>
    <row r="157" spans="2:51" ht="27" customHeight="1">
      <c r="B157" s="104"/>
      <c r="C157" s="1172"/>
      <c r="D157" s="1172"/>
      <c r="E157" s="1172"/>
      <c r="F157" s="1173"/>
      <c r="G157" s="1174"/>
      <c r="H157" s="1175"/>
      <c r="I157" s="1176"/>
      <c r="J157" s="1177"/>
      <c r="K157" s="1547"/>
      <c r="L157" s="1177"/>
      <c r="M157" s="1548"/>
      <c r="N157" s="1549"/>
      <c r="O157" s="1178"/>
      <c r="P157" s="1179"/>
      <c r="Q157" s="1171"/>
      <c r="R157" s="104"/>
      <c r="S157" s="1172"/>
      <c r="T157" s="1172"/>
      <c r="U157" s="1172"/>
      <c r="V157" s="1173"/>
      <c r="W157" s="1174"/>
      <c r="X157" s="1175"/>
      <c r="Y157" s="1176"/>
      <c r="Z157" s="1177"/>
      <c r="AA157" s="1547"/>
      <c r="AB157" s="1177"/>
      <c r="AC157" s="1548"/>
      <c r="AD157" s="1549"/>
      <c r="AE157" s="1178"/>
      <c r="AF157" s="1179"/>
      <c r="AG157" s="1171"/>
      <c r="AH157" s="104"/>
      <c r="AI157" s="1172"/>
      <c r="AJ157" s="1172"/>
      <c r="AK157" s="1172"/>
      <c r="AL157" s="1173"/>
      <c r="AM157" s="1174"/>
      <c r="AN157" s="1175"/>
      <c r="AO157" s="1176"/>
      <c r="AP157" s="1177"/>
      <c r="AQ157" s="1547"/>
      <c r="AR157" s="1177"/>
      <c r="AS157" s="1548"/>
      <c r="AT157" s="1549"/>
      <c r="AU157" s="1178"/>
      <c r="AV157" s="1179"/>
      <c r="AY157" s="3">
        <v>1</v>
      </c>
    </row>
    <row r="158" spans="2:51" ht="27" customHeight="1">
      <c r="B158" s="104"/>
      <c r="C158" s="1172"/>
      <c r="D158" s="1172"/>
      <c r="E158" s="1172"/>
      <c r="F158" s="1173"/>
      <c r="G158" s="1174"/>
      <c r="H158" s="1175"/>
      <c r="I158" s="1176"/>
      <c r="J158" s="1177"/>
      <c r="K158" s="1547"/>
      <c r="L158" s="1177"/>
      <c r="M158" s="1548"/>
      <c r="N158" s="1549"/>
      <c r="O158" s="1178"/>
      <c r="P158" s="1179"/>
      <c r="Q158" s="1171"/>
      <c r="R158" s="104"/>
      <c r="S158" s="1172"/>
      <c r="T158" s="1172"/>
      <c r="U158" s="1172"/>
      <c r="V158" s="1173"/>
      <c r="W158" s="1174"/>
      <c r="X158" s="1175"/>
      <c r="Y158" s="1176"/>
      <c r="Z158" s="1177"/>
      <c r="AA158" s="1547"/>
      <c r="AB158" s="1177"/>
      <c r="AC158" s="1548"/>
      <c r="AD158" s="1549"/>
      <c r="AE158" s="1178"/>
      <c r="AF158" s="1179"/>
      <c r="AG158" s="1171"/>
      <c r="AH158" s="104"/>
      <c r="AI158" s="1172"/>
      <c r="AJ158" s="1172"/>
      <c r="AK158" s="1172"/>
      <c r="AL158" s="1173"/>
      <c r="AM158" s="1174"/>
      <c r="AN158" s="1175"/>
      <c r="AO158" s="1176"/>
      <c r="AP158" s="1177"/>
      <c r="AQ158" s="1547"/>
      <c r="AR158" s="1177"/>
      <c r="AS158" s="1548"/>
      <c r="AT158" s="1549"/>
      <c r="AU158" s="1178"/>
      <c r="AV158" s="1179"/>
      <c r="AY158" s="3">
        <v>1</v>
      </c>
    </row>
    <row r="159" spans="2:51" ht="27" customHeight="1">
      <c r="B159" s="104"/>
      <c r="C159" s="1172"/>
      <c r="D159" s="1172"/>
      <c r="E159" s="1172"/>
      <c r="F159" s="1173"/>
      <c r="G159" s="1174"/>
      <c r="H159" s="1175"/>
      <c r="I159" s="1176"/>
      <c r="J159" s="1177"/>
      <c r="K159" s="1547"/>
      <c r="L159" s="1177"/>
      <c r="M159" s="1548"/>
      <c r="N159" s="1549"/>
      <c r="O159" s="1178"/>
      <c r="P159" s="1179"/>
      <c r="Q159" s="1171"/>
      <c r="R159" s="104"/>
      <c r="S159" s="1172"/>
      <c r="T159" s="1172"/>
      <c r="U159" s="1172"/>
      <c r="V159" s="1173"/>
      <c r="W159" s="1174"/>
      <c r="X159" s="1175"/>
      <c r="Y159" s="1176"/>
      <c r="Z159" s="1177"/>
      <c r="AA159" s="1547"/>
      <c r="AB159" s="1177"/>
      <c r="AC159" s="1548"/>
      <c r="AD159" s="1549"/>
      <c r="AE159" s="1178"/>
      <c r="AF159" s="1179"/>
      <c r="AG159" s="1171"/>
      <c r="AH159" s="104"/>
      <c r="AI159" s="1172"/>
      <c r="AJ159" s="1172"/>
      <c r="AK159" s="1172"/>
      <c r="AL159" s="1173"/>
      <c r="AM159" s="1174"/>
      <c r="AN159" s="1175"/>
      <c r="AO159" s="1176"/>
      <c r="AP159" s="1177"/>
      <c r="AQ159" s="1547"/>
      <c r="AR159" s="1177"/>
      <c r="AS159" s="1548"/>
      <c r="AT159" s="1549"/>
      <c r="AU159" s="1178"/>
      <c r="AV159" s="1179"/>
      <c r="AY159" s="3">
        <v>1</v>
      </c>
    </row>
    <row r="160" spans="2:51" ht="27" customHeight="1">
      <c r="B160" s="104"/>
      <c r="C160" s="1172"/>
      <c r="D160" s="1172"/>
      <c r="E160" s="1172"/>
      <c r="F160" s="1173"/>
      <c r="G160" s="1174"/>
      <c r="H160" s="1175"/>
      <c r="I160" s="1176"/>
      <c r="J160" s="1177"/>
      <c r="K160" s="1547"/>
      <c r="L160" s="1177"/>
      <c r="M160" s="1548"/>
      <c r="N160" s="1549"/>
      <c r="O160" s="1178"/>
      <c r="P160" s="1179"/>
      <c r="Q160" s="1171"/>
      <c r="R160" s="104"/>
      <c r="S160" s="1172"/>
      <c r="T160" s="1172"/>
      <c r="U160" s="1172"/>
      <c r="V160" s="1173"/>
      <c r="W160" s="1174"/>
      <c r="X160" s="1175"/>
      <c r="Y160" s="1176"/>
      <c r="Z160" s="1177"/>
      <c r="AA160" s="1547"/>
      <c r="AB160" s="1177"/>
      <c r="AC160" s="1548"/>
      <c r="AD160" s="1549"/>
      <c r="AE160" s="1178"/>
      <c r="AF160" s="1179"/>
      <c r="AG160" s="1171"/>
      <c r="AH160" s="104"/>
      <c r="AI160" s="1172"/>
      <c r="AJ160" s="1172"/>
      <c r="AK160" s="1172"/>
      <c r="AL160" s="1173"/>
      <c r="AM160" s="1174"/>
      <c r="AN160" s="1175"/>
      <c r="AO160" s="1176"/>
      <c r="AP160" s="1177"/>
      <c r="AQ160" s="1547"/>
      <c r="AR160" s="1177"/>
      <c r="AS160" s="1548"/>
      <c r="AT160" s="1549"/>
      <c r="AU160" s="1178"/>
      <c r="AV160" s="1179"/>
      <c r="AY160" s="3">
        <v>1</v>
      </c>
    </row>
    <row r="161" spans="2:51" ht="27" customHeight="1">
      <c r="B161" s="104"/>
      <c r="C161" s="1172"/>
      <c r="D161" s="1172"/>
      <c r="E161" s="1172"/>
      <c r="F161" s="1173"/>
      <c r="G161" s="1174"/>
      <c r="H161" s="1175"/>
      <c r="I161" s="1176"/>
      <c r="J161" s="1177"/>
      <c r="K161" s="1547"/>
      <c r="L161" s="1177"/>
      <c r="M161" s="1548"/>
      <c r="N161" s="1549"/>
      <c r="O161" s="1178"/>
      <c r="P161" s="1179"/>
      <c r="Q161" s="1171"/>
      <c r="R161" s="104"/>
      <c r="S161" s="1172"/>
      <c r="T161" s="1172"/>
      <c r="U161" s="1172"/>
      <c r="V161" s="1173"/>
      <c r="W161" s="1174"/>
      <c r="X161" s="1175"/>
      <c r="Y161" s="1176"/>
      <c r="Z161" s="1177"/>
      <c r="AA161" s="1547"/>
      <c r="AB161" s="1177"/>
      <c r="AC161" s="1548"/>
      <c r="AD161" s="1549"/>
      <c r="AE161" s="1178"/>
      <c r="AF161" s="1179"/>
      <c r="AG161" s="1171"/>
      <c r="AH161" s="104"/>
      <c r="AI161" s="1172"/>
      <c r="AJ161" s="1172"/>
      <c r="AK161" s="1172"/>
      <c r="AL161" s="1173"/>
      <c r="AM161" s="1174"/>
      <c r="AN161" s="1175"/>
      <c r="AO161" s="1176"/>
      <c r="AP161" s="1177"/>
      <c r="AQ161" s="1547"/>
      <c r="AR161" s="1177"/>
      <c r="AS161" s="1548"/>
      <c r="AT161" s="1549"/>
      <c r="AU161" s="1178"/>
      <c r="AV161" s="1179"/>
      <c r="AY161" s="3">
        <v>1</v>
      </c>
    </row>
    <row r="162" spans="2:51" ht="27" customHeight="1">
      <c r="B162" s="104"/>
      <c r="C162" s="1172"/>
      <c r="D162" s="1172"/>
      <c r="E162" s="1172"/>
      <c r="F162" s="1173"/>
      <c r="G162" s="1174"/>
      <c r="H162" s="1175"/>
      <c r="I162" s="1176"/>
      <c r="J162" s="1177"/>
      <c r="K162" s="1547"/>
      <c r="L162" s="1177"/>
      <c r="M162" s="1548"/>
      <c r="N162" s="1549"/>
      <c r="O162" s="1178"/>
      <c r="P162" s="1179"/>
      <c r="Q162" s="1171"/>
      <c r="R162" s="104"/>
      <c r="S162" s="1172"/>
      <c r="T162" s="1172"/>
      <c r="U162" s="1172"/>
      <c r="V162" s="1173"/>
      <c r="W162" s="1174"/>
      <c r="X162" s="1175"/>
      <c r="Y162" s="1176"/>
      <c r="Z162" s="1177"/>
      <c r="AA162" s="1547"/>
      <c r="AB162" s="1177"/>
      <c r="AC162" s="1548"/>
      <c r="AD162" s="1549"/>
      <c r="AE162" s="1178"/>
      <c r="AF162" s="1179"/>
      <c r="AG162" s="1171"/>
      <c r="AH162" s="104"/>
      <c r="AI162" s="1172"/>
      <c r="AJ162" s="1172"/>
      <c r="AK162" s="1172"/>
      <c r="AL162" s="1173"/>
      <c r="AM162" s="1174"/>
      <c r="AN162" s="1175"/>
      <c r="AO162" s="1176"/>
      <c r="AP162" s="1177"/>
      <c r="AQ162" s="1547"/>
      <c r="AR162" s="1177"/>
      <c r="AS162" s="1548"/>
      <c r="AT162" s="1549"/>
      <c r="AU162" s="1178"/>
      <c r="AV162" s="1179"/>
      <c r="AY162" s="3">
        <v>1</v>
      </c>
    </row>
    <row r="163" spans="2:51" ht="27" customHeight="1">
      <c r="B163" s="104"/>
      <c r="C163" s="1172"/>
      <c r="D163" s="1172"/>
      <c r="E163" s="1172"/>
      <c r="F163" s="1173"/>
      <c r="G163" s="1174"/>
      <c r="H163" s="1175"/>
      <c r="I163" s="1176"/>
      <c r="J163" s="1177"/>
      <c r="K163" s="1547"/>
      <c r="L163" s="1177"/>
      <c r="M163" s="1548"/>
      <c r="N163" s="1549"/>
      <c r="O163" s="1178"/>
      <c r="P163" s="1179"/>
      <c r="Q163" s="1171"/>
      <c r="R163" s="104"/>
      <c r="S163" s="1172"/>
      <c r="T163" s="1172"/>
      <c r="U163" s="1172"/>
      <c r="V163" s="1173"/>
      <c r="W163" s="1174"/>
      <c r="X163" s="1175"/>
      <c r="Y163" s="1176"/>
      <c r="Z163" s="1177"/>
      <c r="AA163" s="1547"/>
      <c r="AB163" s="1177"/>
      <c r="AC163" s="1548"/>
      <c r="AD163" s="1549"/>
      <c r="AE163" s="1178"/>
      <c r="AF163" s="1179"/>
      <c r="AG163" s="1171"/>
      <c r="AH163" s="104"/>
      <c r="AI163" s="1172"/>
      <c r="AJ163" s="1172"/>
      <c r="AK163" s="1172"/>
      <c r="AL163" s="1173"/>
      <c r="AM163" s="1174"/>
      <c r="AN163" s="1175"/>
      <c r="AO163" s="1176"/>
      <c r="AP163" s="1177"/>
      <c r="AQ163" s="1547"/>
      <c r="AR163" s="1177"/>
      <c r="AS163" s="1548"/>
      <c r="AT163" s="1549"/>
      <c r="AU163" s="1178"/>
      <c r="AV163" s="1179"/>
      <c r="AY163" s="3">
        <v>1</v>
      </c>
    </row>
    <row r="164" spans="2:51" ht="27" customHeight="1">
      <c r="B164" s="104"/>
      <c r="C164" s="1172"/>
      <c r="D164" s="1172"/>
      <c r="E164" s="1172"/>
      <c r="F164" s="1173"/>
      <c r="G164" s="1174"/>
      <c r="H164" s="1175"/>
      <c r="I164" s="1176"/>
      <c r="J164" s="1177"/>
      <c r="K164" s="1547"/>
      <c r="L164" s="1177"/>
      <c r="M164" s="1548"/>
      <c r="N164" s="1549"/>
      <c r="O164" s="1178"/>
      <c r="P164" s="1179"/>
      <c r="Q164" s="1171"/>
      <c r="R164" s="104"/>
      <c r="S164" s="1172"/>
      <c r="T164" s="1172"/>
      <c r="U164" s="1172"/>
      <c r="V164" s="1173"/>
      <c r="W164" s="1174"/>
      <c r="X164" s="1175"/>
      <c r="Y164" s="1176"/>
      <c r="Z164" s="1177"/>
      <c r="AA164" s="1547"/>
      <c r="AB164" s="1177"/>
      <c r="AC164" s="1548"/>
      <c r="AD164" s="1549"/>
      <c r="AE164" s="1178"/>
      <c r="AF164" s="1179"/>
      <c r="AG164" s="1171"/>
      <c r="AH164" s="104"/>
      <c r="AI164" s="1172"/>
      <c r="AJ164" s="1172"/>
      <c r="AK164" s="1172"/>
      <c r="AL164" s="1173"/>
      <c r="AM164" s="1174"/>
      <c r="AN164" s="1175"/>
      <c r="AO164" s="1176"/>
      <c r="AP164" s="1177"/>
      <c r="AQ164" s="1547"/>
      <c r="AR164" s="1177"/>
      <c r="AS164" s="1548"/>
      <c r="AT164" s="1549"/>
      <c r="AU164" s="1178"/>
      <c r="AV164" s="1179"/>
      <c r="AY164" s="3">
        <v>1</v>
      </c>
    </row>
    <row r="165" spans="2:51" ht="27" customHeight="1">
      <c r="B165" s="104"/>
      <c r="C165" s="1172"/>
      <c r="D165" s="1172"/>
      <c r="E165" s="1172"/>
      <c r="F165" s="1173"/>
      <c r="G165" s="1174"/>
      <c r="H165" s="1175"/>
      <c r="I165" s="1176"/>
      <c r="J165" s="1177"/>
      <c r="K165" s="1547"/>
      <c r="L165" s="1177"/>
      <c r="M165" s="1548"/>
      <c r="N165" s="1549"/>
      <c r="O165" s="1178"/>
      <c r="P165" s="1179"/>
      <c r="Q165" s="1171"/>
      <c r="R165" s="104"/>
      <c r="S165" s="1172"/>
      <c r="T165" s="1172"/>
      <c r="U165" s="1172"/>
      <c r="V165" s="1173"/>
      <c r="W165" s="1174"/>
      <c r="X165" s="1175"/>
      <c r="Y165" s="1176"/>
      <c r="Z165" s="1177"/>
      <c r="AA165" s="1547"/>
      <c r="AB165" s="1177"/>
      <c r="AC165" s="1548"/>
      <c r="AD165" s="1549"/>
      <c r="AE165" s="1178"/>
      <c r="AF165" s="1179"/>
      <c r="AG165" s="1171"/>
      <c r="AH165" s="104"/>
      <c r="AI165" s="1172"/>
      <c r="AJ165" s="1172"/>
      <c r="AK165" s="1172"/>
      <c r="AL165" s="1173"/>
      <c r="AM165" s="1174"/>
      <c r="AN165" s="1175"/>
      <c r="AO165" s="1176"/>
      <c r="AP165" s="1177"/>
      <c r="AQ165" s="1547"/>
      <c r="AR165" s="1177"/>
      <c r="AS165" s="1548"/>
      <c r="AT165" s="1549"/>
      <c r="AU165" s="1178"/>
      <c r="AV165" s="1179"/>
      <c r="AY165" s="3">
        <v>1</v>
      </c>
    </row>
    <row r="166" spans="2:51" ht="27" customHeight="1">
      <c r="B166" s="104"/>
      <c r="C166" s="1172"/>
      <c r="D166" s="1172"/>
      <c r="E166" s="1172"/>
      <c r="F166" s="1173"/>
      <c r="G166" s="1174"/>
      <c r="H166" s="1175"/>
      <c r="I166" s="1176"/>
      <c r="J166" s="1177"/>
      <c r="K166" s="1547"/>
      <c r="L166" s="1177"/>
      <c r="M166" s="1548"/>
      <c r="N166" s="1549"/>
      <c r="O166" s="1178"/>
      <c r="P166" s="1179"/>
      <c r="Q166" s="1171"/>
      <c r="R166" s="104"/>
      <c r="S166" s="1172"/>
      <c r="T166" s="1172"/>
      <c r="U166" s="1172"/>
      <c r="V166" s="1173"/>
      <c r="W166" s="1174"/>
      <c r="X166" s="1175"/>
      <c r="Y166" s="1176"/>
      <c r="Z166" s="1177"/>
      <c r="AA166" s="1547"/>
      <c r="AB166" s="1177"/>
      <c r="AC166" s="1548"/>
      <c r="AD166" s="1549"/>
      <c r="AE166" s="1178"/>
      <c r="AF166" s="1179"/>
      <c r="AG166" s="1171"/>
      <c r="AH166" s="104"/>
      <c r="AI166" s="1172"/>
      <c r="AJ166" s="1172"/>
      <c r="AK166" s="1172"/>
      <c r="AL166" s="1173"/>
      <c r="AM166" s="1174"/>
      <c r="AN166" s="1175"/>
      <c r="AO166" s="1176"/>
      <c r="AP166" s="1177"/>
      <c r="AQ166" s="1547"/>
      <c r="AR166" s="1177"/>
      <c r="AS166" s="1548"/>
      <c r="AT166" s="1549"/>
      <c r="AU166" s="1178"/>
      <c r="AV166" s="1179"/>
      <c r="AY166" s="3">
        <v>1</v>
      </c>
    </row>
    <row r="167" spans="2:51" ht="27" customHeight="1">
      <c r="B167" s="104"/>
      <c r="C167" s="1172"/>
      <c r="D167" s="1172"/>
      <c r="E167" s="1172"/>
      <c r="F167" s="1173"/>
      <c r="G167" s="1174"/>
      <c r="H167" s="1175"/>
      <c r="I167" s="1176"/>
      <c r="J167" s="1177"/>
      <c r="K167" s="1547"/>
      <c r="L167" s="1177"/>
      <c r="M167" s="1548"/>
      <c r="N167" s="1549"/>
      <c r="O167" s="1178"/>
      <c r="P167" s="1179"/>
      <c r="Q167" s="1171"/>
      <c r="R167" s="104"/>
      <c r="S167" s="1172"/>
      <c r="T167" s="1172"/>
      <c r="U167" s="1172"/>
      <c r="V167" s="1173"/>
      <c r="W167" s="1174"/>
      <c r="X167" s="1175"/>
      <c r="Y167" s="1176"/>
      <c r="Z167" s="1177"/>
      <c r="AA167" s="1547"/>
      <c r="AB167" s="1177"/>
      <c r="AC167" s="1548"/>
      <c r="AD167" s="1549"/>
      <c r="AE167" s="1178"/>
      <c r="AF167" s="1179"/>
      <c r="AG167" s="1171"/>
      <c r="AH167" s="104"/>
      <c r="AI167" s="1172"/>
      <c r="AJ167" s="1172"/>
      <c r="AK167" s="1172"/>
      <c r="AL167" s="1173"/>
      <c r="AM167" s="1174"/>
      <c r="AN167" s="1175"/>
      <c r="AO167" s="1176"/>
      <c r="AP167" s="1177"/>
      <c r="AQ167" s="1547"/>
      <c r="AR167" s="1177"/>
      <c r="AS167" s="1548"/>
      <c r="AT167" s="1549"/>
      <c r="AU167" s="1178"/>
      <c r="AV167" s="1179"/>
      <c r="AY167" s="3">
        <v>1</v>
      </c>
    </row>
    <row r="168" spans="2:51" ht="27" customHeight="1">
      <c r="B168" s="104"/>
      <c r="C168" s="1172"/>
      <c r="D168" s="1172"/>
      <c r="E168" s="1172"/>
      <c r="F168" s="1173"/>
      <c r="G168" s="1174"/>
      <c r="H168" s="1175"/>
      <c r="I168" s="1176"/>
      <c r="J168" s="1177"/>
      <c r="K168" s="1547"/>
      <c r="L168" s="1177"/>
      <c r="M168" s="1548"/>
      <c r="N168" s="1549"/>
      <c r="O168" s="1178"/>
      <c r="P168" s="1179"/>
      <c r="Q168" s="1171"/>
      <c r="R168" s="104"/>
      <c r="S168" s="1172"/>
      <c r="T168" s="1172"/>
      <c r="U168" s="1172"/>
      <c r="V168" s="1173"/>
      <c r="W168" s="1174"/>
      <c r="X168" s="1175"/>
      <c r="Y168" s="1176"/>
      <c r="Z168" s="1177"/>
      <c r="AA168" s="1547"/>
      <c r="AB168" s="1177"/>
      <c r="AC168" s="1548"/>
      <c r="AD168" s="1549"/>
      <c r="AE168" s="1178"/>
      <c r="AF168" s="1179"/>
      <c r="AG168" s="1171"/>
      <c r="AH168" s="104"/>
      <c r="AI168" s="1172"/>
      <c r="AJ168" s="1172"/>
      <c r="AK168" s="1172"/>
      <c r="AL168" s="1173"/>
      <c r="AM168" s="1174"/>
      <c r="AN168" s="1175"/>
      <c r="AO168" s="1176"/>
      <c r="AP168" s="1177"/>
      <c r="AQ168" s="1547"/>
      <c r="AR168" s="1177"/>
      <c r="AS168" s="1548"/>
      <c r="AT168" s="1549"/>
      <c r="AU168" s="1178"/>
      <c r="AV168" s="1179"/>
      <c r="AY168" s="3">
        <v>1</v>
      </c>
    </row>
    <row r="169" spans="2:51" ht="27" customHeight="1">
      <c r="B169" s="104"/>
      <c r="C169" s="1172"/>
      <c r="D169" s="1172"/>
      <c r="E169" s="1172"/>
      <c r="F169" s="1173"/>
      <c r="G169" s="1174"/>
      <c r="H169" s="1175"/>
      <c r="I169" s="1176"/>
      <c r="J169" s="1177"/>
      <c r="K169" s="1547"/>
      <c r="L169" s="1177"/>
      <c r="M169" s="1548"/>
      <c r="N169" s="1549"/>
      <c r="O169" s="1178"/>
      <c r="P169" s="1179"/>
      <c r="Q169" s="1171"/>
      <c r="R169" s="104"/>
      <c r="S169" s="1172"/>
      <c r="T169" s="1172"/>
      <c r="U169" s="1172"/>
      <c r="V169" s="1173"/>
      <c r="W169" s="1174"/>
      <c r="X169" s="1175"/>
      <c r="Y169" s="1176"/>
      <c r="Z169" s="1177"/>
      <c r="AA169" s="1547"/>
      <c r="AB169" s="1177"/>
      <c r="AC169" s="1548"/>
      <c r="AD169" s="1549"/>
      <c r="AE169" s="1178"/>
      <c r="AF169" s="1179"/>
      <c r="AG169" s="1171"/>
      <c r="AH169" s="104"/>
      <c r="AI169" s="1172"/>
      <c r="AJ169" s="1172"/>
      <c r="AK169" s="1172"/>
      <c r="AL169" s="1173"/>
      <c r="AM169" s="1174"/>
      <c r="AN169" s="1175"/>
      <c r="AO169" s="1176"/>
      <c r="AP169" s="1177"/>
      <c r="AQ169" s="1547"/>
      <c r="AR169" s="1177"/>
      <c r="AS169" s="1548"/>
      <c r="AT169" s="1549"/>
      <c r="AU169" s="1178"/>
      <c r="AV169" s="1179"/>
      <c r="AY169" s="3">
        <v>1</v>
      </c>
    </row>
    <row r="170" spans="2:51" ht="27" customHeight="1">
      <c r="B170" s="104"/>
      <c r="C170" s="1172"/>
      <c r="D170" s="1172"/>
      <c r="E170" s="1172"/>
      <c r="F170" s="1173"/>
      <c r="G170" s="1174"/>
      <c r="H170" s="1175"/>
      <c r="I170" s="1176"/>
      <c r="J170" s="1177"/>
      <c r="K170" s="1547"/>
      <c r="L170" s="1177"/>
      <c r="M170" s="1548"/>
      <c r="N170" s="1549"/>
      <c r="O170" s="1178"/>
      <c r="P170" s="1179"/>
      <c r="Q170" s="1171"/>
      <c r="R170" s="104"/>
      <c r="S170" s="1172"/>
      <c r="T170" s="1172"/>
      <c r="U170" s="1172"/>
      <c r="V170" s="1173"/>
      <c r="W170" s="1174"/>
      <c r="X170" s="1175"/>
      <c r="Y170" s="1176"/>
      <c r="Z170" s="1177"/>
      <c r="AA170" s="1547"/>
      <c r="AB170" s="1177"/>
      <c r="AC170" s="1548"/>
      <c r="AD170" s="1549"/>
      <c r="AE170" s="1178"/>
      <c r="AF170" s="1179"/>
      <c r="AG170" s="1171"/>
      <c r="AH170" s="104"/>
      <c r="AI170" s="1172"/>
      <c r="AJ170" s="1172"/>
      <c r="AK170" s="1172"/>
      <c r="AL170" s="1173"/>
      <c r="AM170" s="1174"/>
      <c r="AN170" s="1175"/>
      <c r="AO170" s="1176"/>
      <c r="AP170" s="1177"/>
      <c r="AQ170" s="1547"/>
      <c r="AR170" s="1177"/>
      <c r="AS170" s="1548"/>
      <c r="AT170" s="1549"/>
      <c r="AU170" s="1178"/>
      <c r="AV170" s="1179"/>
      <c r="AY170" s="3">
        <v>1</v>
      </c>
    </row>
    <row r="171" spans="2:51" ht="27" customHeight="1">
      <c r="B171" s="104"/>
      <c r="C171" s="1172"/>
      <c r="D171" s="1172"/>
      <c r="E171" s="1172"/>
      <c r="F171" s="1173"/>
      <c r="G171" s="1174"/>
      <c r="H171" s="1175"/>
      <c r="I171" s="1176"/>
      <c r="J171" s="1177"/>
      <c r="K171" s="1547"/>
      <c r="L171" s="1177"/>
      <c r="M171" s="1548"/>
      <c r="N171" s="1549"/>
      <c r="O171" s="1178"/>
      <c r="P171" s="1179"/>
      <c r="Q171" s="1171"/>
      <c r="R171" s="104"/>
      <c r="S171" s="1172"/>
      <c r="T171" s="1172"/>
      <c r="U171" s="1172"/>
      <c r="V171" s="1173"/>
      <c r="W171" s="1174"/>
      <c r="X171" s="1175"/>
      <c r="Y171" s="1176"/>
      <c r="Z171" s="1177"/>
      <c r="AA171" s="1547"/>
      <c r="AB171" s="1177"/>
      <c r="AC171" s="1548"/>
      <c r="AD171" s="1549"/>
      <c r="AE171" s="1178"/>
      <c r="AF171" s="1179"/>
      <c r="AG171" s="1171"/>
      <c r="AH171" s="104"/>
      <c r="AI171" s="1172"/>
      <c r="AJ171" s="1172"/>
      <c r="AK171" s="1172"/>
      <c r="AL171" s="1173"/>
      <c r="AM171" s="1174"/>
      <c r="AN171" s="1175"/>
      <c r="AO171" s="1176"/>
      <c r="AP171" s="1177"/>
      <c r="AQ171" s="1547"/>
      <c r="AR171" s="1177"/>
      <c r="AS171" s="1548"/>
      <c r="AT171" s="1549"/>
      <c r="AU171" s="1178"/>
      <c r="AV171" s="1179"/>
      <c r="AY171" s="3">
        <v>1</v>
      </c>
    </row>
    <row r="172" spans="2:51" ht="27" customHeight="1">
      <c r="B172" s="104"/>
      <c r="C172" s="1172"/>
      <c r="D172" s="1172"/>
      <c r="E172" s="1172"/>
      <c r="F172" s="1173"/>
      <c r="G172" s="1174"/>
      <c r="H172" s="1175"/>
      <c r="I172" s="1176"/>
      <c r="J172" s="1177"/>
      <c r="K172" s="1547"/>
      <c r="L172" s="1177"/>
      <c r="M172" s="1548"/>
      <c r="N172" s="1549"/>
      <c r="O172" s="1178"/>
      <c r="P172" s="1179"/>
      <c r="Q172" s="1171"/>
      <c r="R172" s="104"/>
      <c r="S172" s="1172"/>
      <c r="T172" s="1172"/>
      <c r="U172" s="1172"/>
      <c r="V172" s="1173"/>
      <c r="W172" s="1174"/>
      <c r="X172" s="1175"/>
      <c r="Y172" s="1176"/>
      <c r="Z172" s="1177"/>
      <c r="AA172" s="1547"/>
      <c r="AB172" s="1177"/>
      <c r="AC172" s="1548"/>
      <c r="AD172" s="1549"/>
      <c r="AE172" s="1178"/>
      <c r="AF172" s="1179"/>
      <c r="AG172" s="1171"/>
      <c r="AH172" s="104"/>
      <c r="AI172" s="1172"/>
      <c r="AJ172" s="1172"/>
      <c r="AK172" s="1172"/>
      <c r="AL172" s="1173"/>
      <c r="AM172" s="1174"/>
      <c r="AN172" s="1175"/>
      <c r="AO172" s="1176"/>
      <c r="AP172" s="1177"/>
      <c r="AQ172" s="1547"/>
      <c r="AR172" s="1177"/>
      <c r="AS172" s="1548"/>
      <c r="AT172" s="1549"/>
      <c r="AU172" s="1178"/>
      <c r="AV172" s="1179"/>
      <c r="AY172" s="3">
        <v>1</v>
      </c>
    </row>
    <row r="173" spans="2:51" ht="27" customHeight="1">
      <c r="B173" s="104"/>
      <c r="C173" s="1172"/>
      <c r="D173" s="1172"/>
      <c r="E173" s="1172"/>
      <c r="F173" s="1173"/>
      <c r="G173" s="1174"/>
      <c r="H173" s="1175"/>
      <c r="I173" s="1176"/>
      <c r="J173" s="1177"/>
      <c r="K173" s="1547"/>
      <c r="L173" s="1177"/>
      <c r="M173" s="1548"/>
      <c r="N173" s="1549"/>
      <c r="O173" s="1178"/>
      <c r="P173" s="1179"/>
      <c r="Q173" s="1171"/>
      <c r="R173" s="104"/>
      <c r="S173" s="1172"/>
      <c r="T173" s="1172"/>
      <c r="U173" s="1172"/>
      <c r="V173" s="1173"/>
      <c r="W173" s="1174"/>
      <c r="X173" s="1175"/>
      <c r="Y173" s="1176"/>
      <c r="Z173" s="1177"/>
      <c r="AA173" s="1547"/>
      <c r="AB173" s="1177"/>
      <c r="AC173" s="1548"/>
      <c r="AD173" s="1549"/>
      <c r="AE173" s="1178"/>
      <c r="AF173" s="1179"/>
      <c r="AG173" s="1171"/>
      <c r="AH173" s="104"/>
      <c r="AI173" s="1172"/>
      <c r="AJ173" s="1172"/>
      <c r="AK173" s="1172"/>
      <c r="AL173" s="1173"/>
      <c r="AM173" s="1174"/>
      <c r="AN173" s="1175"/>
      <c r="AO173" s="1176"/>
      <c r="AP173" s="1177"/>
      <c r="AQ173" s="1547"/>
      <c r="AR173" s="1177"/>
      <c r="AS173" s="1548"/>
      <c r="AT173" s="1549"/>
      <c r="AU173" s="1178"/>
      <c r="AV173" s="1179"/>
      <c r="AY173" s="3">
        <v>1</v>
      </c>
    </row>
    <row r="174" spans="2:51" ht="27" customHeight="1">
      <c r="B174" s="104"/>
      <c r="C174" s="1172"/>
      <c r="D174" s="1172"/>
      <c r="E174" s="1172"/>
      <c r="F174" s="1173"/>
      <c r="G174" s="1174"/>
      <c r="H174" s="1175"/>
      <c r="I174" s="1176"/>
      <c r="J174" s="1177"/>
      <c r="K174" s="1547"/>
      <c r="L174" s="1177"/>
      <c r="M174" s="1548"/>
      <c r="N174" s="1549"/>
      <c r="O174" s="1178"/>
      <c r="P174" s="1179"/>
      <c r="Q174" s="1171"/>
      <c r="R174" s="104"/>
      <c r="S174" s="1172"/>
      <c r="T174" s="1172"/>
      <c r="U174" s="1172"/>
      <c r="V174" s="1173"/>
      <c r="W174" s="1174"/>
      <c r="X174" s="1175"/>
      <c r="Y174" s="1176"/>
      <c r="Z174" s="1177"/>
      <c r="AA174" s="1547"/>
      <c r="AB174" s="1177"/>
      <c r="AC174" s="1548"/>
      <c r="AD174" s="1549"/>
      <c r="AE174" s="1178"/>
      <c r="AF174" s="1179"/>
      <c r="AG174" s="1171"/>
      <c r="AH174" s="104"/>
      <c r="AI174" s="1172"/>
      <c r="AJ174" s="1172"/>
      <c r="AK174" s="1172"/>
      <c r="AL174" s="1173"/>
      <c r="AM174" s="1174"/>
      <c r="AN174" s="1175"/>
      <c r="AO174" s="1176"/>
      <c r="AP174" s="1177"/>
      <c r="AQ174" s="1547"/>
      <c r="AR174" s="1177"/>
      <c r="AS174" s="1548"/>
      <c r="AT174" s="1549"/>
      <c r="AU174" s="1178"/>
      <c r="AV174" s="1179"/>
      <c r="AY174" s="3">
        <v>1</v>
      </c>
    </row>
    <row r="175" spans="2:51" ht="27" customHeight="1">
      <c r="B175" s="104"/>
      <c r="C175" s="1172"/>
      <c r="D175" s="1172"/>
      <c r="E175" s="1172"/>
      <c r="F175" s="1173"/>
      <c r="G175" s="1174"/>
      <c r="H175" s="1175"/>
      <c r="I175" s="1176"/>
      <c r="J175" s="1177"/>
      <c r="K175" s="1547"/>
      <c r="L175" s="1177"/>
      <c r="M175" s="1548"/>
      <c r="N175" s="1549"/>
      <c r="O175" s="1178"/>
      <c r="P175" s="1179"/>
      <c r="Q175" s="1171"/>
      <c r="R175" s="104"/>
      <c r="S175" s="1172"/>
      <c r="T175" s="1172"/>
      <c r="U175" s="1172"/>
      <c r="V175" s="1173"/>
      <c r="W175" s="1174"/>
      <c r="X175" s="1175"/>
      <c r="Y175" s="1176"/>
      <c r="Z175" s="1177"/>
      <c r="AA175" s="1547"/>
      <c r="AB175" s="1177"/>
      <c r="AC175" s="1548"/>
      <c r="AD175" s="1549"/>
      <c r="AE175" s="1178"/>
      <c r="AF175" s="1179"/>
      <c r="AG175" s="1171"/>
      <c r="AH175" s="104"/>
      <c r="AI175" s="1172"/>
      <c r="AJ175" s="1172"/>
      <c r="AK175" s="1172"/>
      <c r="AL175" s="1173"/>
      <c r="AM175" s="1174"/>
      <c r="AN175" s="1175"/>
      <c r="AO175" s="1176"/>
      <c r="AP175" s="1177"/>
      <c r="AQ175" s="1547"/>
      <c r="AR175" s="1177"/>
      <c r="AS175" s="1548"/>
      <c r="AT175" s="1549"/>
      <c r="AU175" s="1178"/>
      <c r="AV175" s="1179"/>
      <c r="AY175" s="3">
        <v>1</v>
      </c>
    </row>
    <row r="176" spans="2:51" ht="27" customHeight="1">
      <c r="B176" s="104"/>
      <c r="C176" s="1172"/>
      <c r="D176" s="1172"/>
      <c r="E176" s="1172"/>
      <c r="F176" s="1173"/>
      <c r="G176" s="1174"/>
      <c r="H176" s="1175"/>
      <c r="I176" s="1176"/>
      <c r="J176" s="1177"/>
      <c r="K176" s="1547"/>
      <c r="L176" s="1177"/>
      <c r="M176" s="1548"/>
      <c r="N176" s="1549"/>
      <c r="O176" s="1178"/>
      <c r="P176" s="1179"/>
      <c r="Q176" s="1171"/>
      <c r="R176" s="104"/>
      <c r="S176" s="1172"/>
      <c r="T176" s="1172"/>
      <c r="U176" s="1172"/>
      <c r="V176" s="1173"/>
      <c r="W176" s="1174"/>
      <c r="X176" s="1175"/>
      <c r="Y176" s="1176"/>
      <c r="Z176" s="1177"/>
      <c r="AA176" s="1547"/>
      <c r="AB176" s="1177"/>
      <c r="AC176" s="1548"/>
      <c r="AD176" s="1549"/>
      <c r="AE176" s="1178"/>
      <c r="AF176" s="1179"/>
      <c r="AG176" s="1171"/>
      <c r="AH176" s="104"/>
      <c r="AI176" s="1172"/>
      <c r="AJ176" s="1172"/>
      <c r="AK176" s="1172"/>
      <c r="AL176" s="1173"/>
      <c r="AM176" s="1174"/>
      <c r="AN176" s="1175"/>
      <c r="AO176" s="1176"/>
      <c r="AP176" s="1177"/>
      <c r="AQ176" s="1547"/>
      <c r="AR176" s="1177"/>
      <c r="AS176" s="1548"/>
      <c r="AT176" s="1549"/>
      <c r="AU176" s="1178"/>
      <c r="AV176" s="1179"/>
      <c r="AY176" s="3">
        <v>1</v>
      </c>
    </row>
    <row r="177" spans="2:51" ht="27" customHeight="1">
      <c r="B177" s="104"/>
      <c r="C177" s="1172"/>
      <c r="D177" s="1172"/>
      <c r="E177" s="1172"/>
      <c r="F177" s="1173"/>
      <c r="G177" s="1174"/>
      <c r="H177" s="1175"/>
      <c r="I177" s="1176"/>
      <c r="J177" s="1177"/>
      <c r="K177" s="1547"/>
      <c r="L177" s="1177"/>
      <c r="M177" s="1548"/>
      <c r="N177" s="1549"/>
      <c r="O177" s="1178"/>
      <c r="P177" s="1179"/>
      <c r="Q177" s="1171"/>
      <c r="R177" s="104"/>
      <c r="S177" s="1172"/>
      <c r="T177" s="1172"/>
      <c r="U177" s="1172"/>
      <c r="V177" s="1173"/>
      <c r="W177" s="1174"/>
      <c r="X177" s="1175"/>
      <c r="Y177" s="1176"/>
      <c r="Z177" s="1177"/>
      <c r="AA177" s="1547"/>
      <c r="AB177" s="1177"/>
      <c r="AC177" s="1548"/>
      <c r="AD177" s="1549"/>
      <c r="AE177" s="1178"/>
      <c r="AF177" s="1179"/>
      <c r="AG177" s="1171"/>
      <c r="AH177" s="104"/>
      <c r="AI177" s="1172"/>
      <c r="AJ177" s="1172"/>
      <c r="AK177" s="1172"/>
      <c r="AL177" s="1173"/>
      <c r="AM177" s="1174"/>
      <c r="AN177" s="1175"/>
      <c r="AO177" s="1176"/>
      <c r="AP177" s="1177"/>
      <c r="AQ177" s="1547"/>
      <c r="AR177" s="1177"/>
      <c r="AS177" s="1548"/>
      <c r="AT177" s="1549"/>
      <c r="AU177" s="1178"/>
      <c r="AV177" s="1179"/>
      <c r="AY177" s="3">
        <v>1</v>
      </c>
    </row>
    <row r="178" spans="2:51" ht="27" customHeight="1">
      <c r="B178" s="104"/>
      <c r="C178" s="1172"/>
      <c r="D178" s="1172"/>
      <c r="E178" s="1172"/>
      <c r="F178" s="1173"/>
      <c r="G178" s="1174"/>
      <c r="H178" s="1175"/>
      <c r="I178" s="1176"/>
      <c r="J178" s="1177"/>
      <c r="K178" s="1547"/>
      <c r="L178" s="1177"/>
      <c r="M178" s="1548"/>
      <c r="N178" s="1549"/>
      <c r="O178" s="1178"/>
      <c r="P178" s="1179"/>
      <c r="Q178" s="1171"/>
      <c r="R178" s="104"/>
      <c r="S178" s="1172"/>
      <c r="T178" s="1172"/>
      <c r="U178" s="1172"/>
      <c r="V178" s="1173"/>
      <c r="W178" s="1174"/>
      <c r="X178" s="1175"/>
      <c r="Y178" s="1176"/>
      <c r="Z178" s="1177"/>
      <c r="AA178" s="1547"/>
      <c r="AB178" s="1177"/>
      <c r="AC178" s="1548"/>
      <c r="AD178" s="1549"/>
      <c r="AE178" s="1178"/>
      <c r="AF178" s="1179"/>
      <c r="AG178" s="1171"/>
      <c r="AH178" s="104"/>
      <c r="AI178" s="1172"/>
      <c r="AJ178" s="1172"/>
      <c r="AK178" s="1172"/>
      <c r="AL178" s="1173"/>
      <c r="AM178" s="1174"/>
      <c r="AN178" s="1175"/>
      <c r="AO178" s="1176"/>
      <c r="AP178" s="1177"/>
      <c r="AQ178" s="1547"/>
      <c r="AR178" s="1177"/>
      <c r="AS178" s="1548"/>
      <c r="AT178" s="1549"/>
      <c r="AU178" s="1178"/>
      <c r="AV178" s="1179"/>
      <c r="AY178" s="3">
        <v>1</v>
      </c>
    </row>
    <row r="179" spans="2:51" ht="27" customHeight="1">
      <c r="B179" s="104"/>
      <c r="C179" s="1172"/>
      <c r="D179" s="1172"/>
      <c r="E179" s="1172"/>
      <c r="F179" s="1173"/>
      <c r="G179" s="1174"/>
      <c r="H179" s="1175"/>
      <c r="I179" s="1176"/>
      <c r="J179" s="1177"/>
      <c r="K179" s="1547"/>
      <c r="L179" s="1177"/>
      <c r="M179" s="1548"/>
      <c r="N179" s="1549"/>
      <c r="O179" s="1178"/>
      <c r="P179" s="1179"/>
      <c r="Q179" s="1171"/>
      <c r="R179" s="104"/>
      <c r="S179" s="1172"/>
      <c r="T179" s="1172"/>
      <c r="U179" s="1172"/>
      <c r="V179" s="1173"/>
      <c r="W179" s="1174"/>
      <c r="X179" s="1175"/>
      <c r="Y179" s="1176"/>
      <c r="Z179" s="1177"/>
      <c r="AA179" s="1547"/>
      <c r="AB179" s="1177"/>
      <c r="AC179" s="1548"/>
      <c r="AD179" s="1549"/>
      <c r="AE179" s="1178"/>
      <c r="AF179" s="1179"/>
      <c r="AG179" s="1171"/>
      <c r="AH179" s="104"/>
      <c r="AI179" s="1172"/>
      <c r="AJ179" s="1172"/>
      <c r="AK179" s="1172"/>
      <c r="AL179" s="1173"/>
      <c r="AM179" s="1174"/>
      <c r="AN179" s="1175"/>
      <c r="AO179" s="1176"/>
      <c r="AP179" s="1177"/>
      <c r="AQ179" s="1547"/>
      <c r="AR179" s="1177"/>
      <c r="AS179" s="1548"/>
      <c r="AT179" s="1549"/>
      <c r="AU179" s="1178"/>
      <c r="AV179" s="1179"/>
      <c r="AY179" s="3">
        <v>1</v>
      </c>
    </row>
    <row r="180" spans="2:51" ht="27" customHeight="1">
      <c r="B180" s="104"/>
      <c r="C180" s="1172"/>
      <c r="D180" s="1172"/>
      <c r="E180" s="1172"/>
      <c r="F180" s="1173"/>
      <c r="G180" s="1174"/>
      <c r="H180" s="1175"/>
      <c r="I180" s="1176"/>
      <c r="J180" s="1177"/>
      <c r="K180" s="1547"/>
      <c r="L180" s="1177"/>
      <c r="M180" s="1548"/>
      <c r="N180" s="1549"/>
      <c r="O180" s="1178"/>
      <c r="P180" s="1179"/>
      <c r="Q180" s="1171"/>
      <c r="R180" s="104"/>
      <c r="S180" s="1172"/>
      <c r="T180" s="1172"/>
      <c r="U180" s="1172"/>
      <c r="V180" s="1173"/>
      <c r="W180" s="1174"/>
      <c r="X180" s="1175"/>
      <c r="Y180" s="1176"/>
      <c r="Z180" s="1177"/>
      <c r="AA180" s="1547"/>
      <c r="AB180" s="1177"/>
      <c r="AC180" s="1548"/>
      <c r="AD180" s="1549"/>
      <c r="AE180" s="1178"/>
      <c r="AF180" s="1179"/>
      <c r="AG180" s="1171"/>
      <c r="AH180" s="104"/>
      <c r="AI180" s="1172"/>
      <c r="AJ180" s="1172"/>
      <c r="AK180" s="1172"/>
      <c r="AL180" s="1173"/>
      <c r="AM180" s="1174"/>
      <c r="AN180" s="1175"/>
      <c r="AO180" s="1176"/>
      <c r="AP180" s="1177"/>
      <c r="AQ180" s="1547"/>
      <c r="AR180" s="1177"/>
      <c r="AS180" s="1548"/>
      <c r="AT180" s="1549"/>
      <c r="AU180" s="1178"/>
      <c r="AV180" s="1179"/>
      <c r="AY180" s="3">
        <v>1</v>
      </c>
    </row>
    <row r="181" spans="2:51" ht="27" customHeight="1">
      <c r="B181" s="104"/>
      <c r="C181" s="1172"/>
      <c r="D181" s="1172"/>
      <c r="E181" s="1172"/>
      <c r="F181" s="1173"/>
      <c r="G181" s="1174"/>
      <c r="H181" s="1175"/>
      <c r="I181" s="1176"/>
      <c r="J181" s="1177"/>
      <c r="K181" s="1547"/>
      <c r="L181" s="1177"/>
      <c r="M181" s="1548"/>
      <c r="N181" s="1549"/>
      <c r="O181" s="1178"/>
      <c r="P181" s="1179"/>
      <c r="Q181" s="1171"/>
      <c r="R181" s="104"/>
      <c r="S181" s="1172"/>
      <c r="T181" s="1172"/>
      <c r="U181" s="1172"/>
      <c r="V181" s="1173"/>
      <c r="W181" s="1174"/>
      <c r="X181" s="1175"/>
      <c r="Y181" s="1176"/>
      <c r="Z181" s="1177"/>
      <c r="AA181" s="1547"/>
      <c r="AB181" s="1177"/>
      <c r="AC181" s="1548"/>
      <c r="AD181" s="1549"/>
      <c r="AE181" s="1178"/>
      <c r="AF181" s="1179"/>
      <c r="AG181" s="1171"/>
      <c r="AH181" s="104"/>
      <c r="AI181" s="1172"/>
      <c r="AJ181" s="1172"/>
      <c r="AK181" s="1172"/>
      <c r="AL181" s="1173"/>
      <c r="AM181" s="1174"/>
      <c r="AN181" s="1175"/>
      <c r="AO181" s="1176"/>
      <c r="AP181" s="1177"/>
      <c r="AQ181" s="1547"/>
      <c r="AR181" s="1177"/>
      <c r="AS181" s="1548"/>
      <c r="AT181" s="1549"/>
      <c r="AU181" s="1178"/>
      <c r="AV181" s="1179"/>
      <c r="AY181" s="3">
        <v>1</v>
      </c>
    </row>
    <row r="182" spans="2:51" ht="27" customHeight="1">
      <c r="B182" s="104"/>
      <c r="C182" s="1172"/>
      <c r="D182" s="1172"/>
      <c r="E182" s="1172"/>
      <c r="F182" s="1173"/>
      <c r="G182" s="1174"/>
      <c r="H182" s="1175"/>
      <c r="I182" s="1176"/>
      <c r="J182" s="1177"/>
      <c r="K182" s="1547"/>
      <c r="L182" s="1177"/>
      <c r="M182" s="1548"/>
      <c r="N182" s="1549"/>
      <c r="O182" s="1178"/>
      <c r="P182" s="1179"/>
      <c r="Q182" s="1171"/>
      <c r="R182" s="104"/>
      <c r="S182" s="1172"/>
      <c r="T182" s="1172"/>
      <c r="U182" s="1172"/>
      <c r="V182" s="1173"/>
      <c r="W182" s="1174"/>
      <c r="X182" s="1175"/>
      <c r="Y182" s="1176"/>
      <c r="Z182" s="1177"/>
      <c r="AA182" s="1547"/>
      <c r="AB182" s="1177"/>
      <c r="AC182" s="1548"/>
      <c r="AD182" s="1549"/>
      <c r="AE182" s="1178"/>
      <c r="AF182" s="1179"/>
      <c r="AG182" s="1171"/>
      <c r="AH182" s="104"/>
      <c r="AI182" s="1172"/>
      <c r="AJ182" s="1172"/>
      <c r="AK182" s="1172"/>
      <c r="AL182" s="1173"/>
      <c r="AM182" s="1174"/>
      <c r="AN182" s="1175"/>
      <c r="AO182" s="1176"/>
      <c r="AP182" s="1177"/>
      <c r="AQ182" s="1547"/>
      <c r="AR182" s="1177"/>
      <c r="AS182" s="1548"/>
      <c r="AT182" s="1549"/>
      <c r="AU182" s="1178"/>
      <c r="AV182" s="1179"/>
      <c r="AY182" s="3">
        <v>1</v>
      </c>
    </row>
    <row r="183" spans="2:51" ht="27" customHeight="1">
      <c r="B183" s="104"/>
      <c r="C183" s="1172"/>
      <c r="D183" s="1172"/>
      <c r="E183" s="1172"/>
      <c r="F183" s="1173"/>
      <c r="G183" s="1174"/>
      <c r="H183" s="1175"/>
      <c r="I183" s="1176"/>
      <c r="J183" s="1177"/>
      <c r="K183" s="1547"/>
      <c r="L183" s="1177"/>
      <c r="M183" s="1548"/>
      <c r="N183" s="1549"/>
      <c r="O183" s="1178"/>
      <c r="P183" s="1179"/>
      <c r="Q183" s="1171"/>
      <c r="R183" s="104"/>
      <c r="S183" s="1172"/>
      <c r="T183" s="1172"/>
      <c r="U183" s="1172"/>
      <c r="V183" s="1173"/>
      <c r="W183" s="1174"/>
      <c r="X183" s="1175"/>
      <c r="Y183" s="1176"/>
      <c r="Z183" s="1177"/>
      <c r="AA183" s="1547"/>
      <c r="AB183" s="1177"/>
      <c r="AC183" s="1548"/>
      <c r="AD183" s="1549"/>
      <c r="AE183" s="1178"/>
      <c r="AF183" s="1179"/>
      <c r="AG183" s="1171"/>
      <c r="AH183" s="104"/>
      <c r="AI183" s="1172"/>
      <c r="AJ183" s="1172"/>
      <c r="AK183" s="1172"/>
      <c r="AL183" s="1173"/>
      <c r="AM183" s="1174"/>
      <c r="AN183" s="1175"/>
      <c r="AO183" s="1176"/>
      <c r="AP183" s="1177"/>
      <c r="AQ183" s="1547"/>
      <c r="AR183" s="1177"/>
      <c r="AS183" s="1548"/>
      <c r="AT183" s="1549"/>
      <c r="AU183" s="1178"/>
      <c r="AV183" s="1179"/>
      <c r="AY183" s="3">
        <v>1</v>
      </c>
    </row>
    <row r="184" spans="2:51" ht="27" customHeight="1">
      <c r="B184" s="104"/>
      <c r="C184" s="1172"/>
      <c r="D184" s="1172"/>
      <c r="E184" s="1172"/>
      <c r="F184" s="1173"/>
      <c r="G184" s="1174"/>
      <c r="H184" s="1175"/>
      <c r="I184" s="1176"/>
      <c r="J184" s="1177"/>
      <c r="K184" s="1547"/>
      <c r="L184" s="1177"/>
      <c r="M184" s="1548"/>
      <c r="N184" s="1549"/>
      <c r="O184" s="1178"/>
      <c r="P184" s="1179"/>
      <c r="Q184" s="1171"/>
      <c r="R184" s="104"/>
      <c r="S184" s="1172"/>
      <c r="T184" s="1172"/>
      <c r="U184" s="1172"/>
      <c r="V184" s="1173"/>
      <c r="W184" s="1174"/>
      <c r="X184" s="1175"/>
      <c r="Y184" s="1176"/>
      <c r="Z184" s="1177"/>
      <c r="AA184" s="1547"/>
      <c r="AB184" s="1177"/>
      <c r="AC184" s="1548"/>
      <c r="AD184" s="1549"/>
      <c r="AE184" s="1178"/>
      <c r="AF184" s="1179"/>
      <c r="AG184" s="1171"/>
      <c r="AH184" s="104"/>
      <c r="AI184" s="1172"/>
      <c r="AJ184" s="1172"/>
      <c r="AK184" s="1172"/>
      <c r="AL184" s="1173"/>
      <c r="AM184" s="1174"/>
      <c r="AN184" s="1175"/>
      <c r="AO184" s="1176"/>
      <c r="AP184" s="1177"/>
      <c r="AQ184" s="1547"/>
      <c r="AR184" s="1177"/>
      <c r="AS184" s="1548"/>
      <c r="AT184" s="1549"/>
      <c r="AU184" s="1178"/>
      <c r="AV184" s="1179"/>
      <c r="AY184" s="3">
        <v>1</v>
      </c>
    </row>
    <row r="185" spans="2:51" ht="27" customHeight="1">
      <c r="B185" s="104"/>
      <c r="C185" s="1172"/>
      <c r="D185" s="1172"/>
      <c r="E185" s="1172"/>
      <c r="F185" s="1173"/>
      <c r="G185" s="1174"/>
      <c r="H185" s="1175"/>
      <c r="I185" s="1176"/>
      <c r="J185" s="1177"/>
      <c r="K185" s="1547"/>
      <c r="L185" s="1177"/>
      <c r="M185" s="1548"/>
      <c r="N185" s="1549"/>
      <c r="O185" s="1178"/>
      <c r="P185" s="1179"/>
      <c r="Q185" s="1171"/>
      <c r="R185" s="104"/>
      <c r="S185" s="1172"/>
      <c r="T185" s="1172"/>
      <c r="U185" s="1172"/>
      <c r="V185" s="1173"/>
      <c r="W185" s="1174"/>
      <c r="X185" s="1175"/>
      <c r="Y185" s="1176"/>
      <c r="Z185" s="1177"/>
      <c r="AA185" s="1547"/>
      <c r="AB185" s="1177"/>
      <c r="AC185" s="1548"/>
      <c r="AD185" s="1549"/>
      <c r="AE185" s="1178"/>
      <c r="AF185" s="1179"/>
      <c r="AG185" s="1171"/>
      <c r="AH185" s="104"/>
      <c r="AI185" s="1172"/>
      <c r="AJ185" s="1172"/>
      <c r="AK185" s="1172"/>
      <c r="AL185" s="1173"/>
      <c r="AM185" s="1174"/>
      <c r="AN185" s="1175"/>
      <c r="AO185" s="1176"/>
      <c r="AP185" s="1177"/>
      <c r="AQ185" s="1547"/>
      <c r="AR185" s="1177"/>
      <c r="AS185" s="1548"/>
      <c r="AT185" s="1549"/>
      <c r="AU185" s="1178"/>
      <c r="AV185" s="1179"/>
      <c r="AY185" s="3">
        <v>1</v>
      </c>
    </row>
    <row r="186" spans="2:51" ht="27" customHeight="1">
      <c r="B186" s="104"/>
      <c r="C186" s="1172"/>
      <c r="D186" s="1172"/>
      <c r="E186" s="1172"/>
      <c r="F186" s="1173"/>
      <c r="G186" s="1174"/>
      <c r="H186" s="1175"/>
      <c r="I186" s="1176"/>
      <c r="J186" s="1177"/>
      <c r="K186" s="1547"/>
      <c r="L186" s="1177"/>
      <c r="M186" s="1548"/>
      <c r="N186" s="1549"/>
      <c r="O186" s="1178"/>
      <c r="P186" s="1179"/>
      <c r="Q186" s="1171"/>
      <c r="R186" s="104"/>
      <c r="S186" s="1172"/>
      <c r="T186" s="1172"/>
      <c r="U186" s="1172"/>
      <c r="V186" s="1173"/>
      <c r="W186" s="1174"/>
      <c r="X186" s="1175"/>
      <c r="Y186" s="1176"/>
      <c r="Z186" s="1177"/>
      <c r="AA186" s="1547"/>
      <c r="AB186" s="1177"/>
      <c r="AC186" s="1548"/>
      <c r="AD186" s="1549"/>
      <c r="AE186" s="1178"/>
      <c r="AF186" s="1179"/>
      <c r="AG186" s="1171"/>
      <c r="AH186" s="104"/>
      <c r="AI186" s="1172"/>
      <c r="AJ186" s="1172"/>
      <c r="AK186" s="1172"/>
      <c r="AL186" s="1173"/>
      <c r="AM186" s="1174"/>
      <c r="AN186" s="1175"/>
      <c r="AO186" s="1176"/>
      <c r="AP186" s="1177"/>
      <c r="AQ186" s="1547"/>
      <c r="AR186" s="1177"/>
      <c r="AS186" s="1548"/>
      <c r="AT186" s="1549"/>
      <c r="AU186" s="1178"/>
      <c r="AV186" s="1179"/>
      <c r="AY186" s="3">
        <v>1</v>
      </c>
    </row>
    <row r="187" spans="2:51" ht="27" customHeight="1">
      <c r="B187" s="104"/>
      <c r="C187" s="1172"/>
      <c r="D187" s="1172"/>
      <c r="E187" s="1172"/>
      <c r="F187" s="1173"/>
      <c r="G187" s="1174"/>
      <c r="H187" s="1175"/>
      <c r="I187" s="1176"/>
      <c r="J187" s="1177"/>
      <c r="K187" s="1547"/>
      <c r="L187" s="1177"/>
      <c r="M187" s="1548"/>
      <c r="N187" s="1549"/>
      <c r="O187" s="1178"/>
      <c r="P187" s="1179"/>
      <c r="Q187" s="1171"/>
      <c r="R187" s="104"/>
      <c r="S187" s="1172"/>
      <c r="T187" s="1172"/>
      <c r="U187" s="1172"/>
      <c r="V187" s="1173"/>
      <c r="W187" s="1174"/>
      <c r="X187" s="1175"/>
      <c r="Y187" s="1176"/>
      <c r="Z187" s="1177"/>
      <c r="AA187" s="1547"/>
      <c r="AB187" s="1177"/>
      <c r="AC187" s="1548"/>
      <c r="AD187" s="1549"/>
      <c r="AE187" s="1178"/>
      <c r="AF187" s="1179"/>
      <c r="AG187" s="1171"/>
      <c r="AH187" s="104"/>
      <c r="AI187" s="1172"/>
      <c r="AJ187" s="1172"/>
      <c r="AK187" s="1172"/>
      <c r="AL187" s="1173"/>
      <c r="AM187" s="1174"/>
      <c r="AN187" s="1175"/>
      <c r="AO187" s="1176"/>
      <c r="AP187" s="1177"/>
      <c r="AQ187" s="1547"/>
      <c r="AR187" s="1177"/>
      <c r="AS187" s="1548"/>
      <c r="AT187" s="1549"/>
      <c r="AU187" s="1178"/>
      <c r="AV187" s="1179"/>
      <c r="AY187" s="3">
        <v>1</v>
      </c>
    </row>
    <row r="188" spans="2:51" ht="27" customHeight="1">
      <c r="B188" s="104"/>
      <c r="C188" s="1172"/>
      <c r="D188" s="1172"/>
      <c r="E188" s="1172"/>
      <c r="F188" s="1173"/>
      <c r="G188" s="1174"/>
      <c r="H188" s="1175"/>
      <c r="I188" s="1176"/>
      <c r="J188" s="1177"/>
      <c r="K188" s="1547"/>
      <c r="L188" s="1177"/>
      <c r="M188" s="1548"/>
      <c r="N188" s="1549"/>
      <c r="O188" s="1178"/>
      <c r="P188" s="1179"/>
      <c r="Q188" s="1171"/>
      <c r="R188" s="104"/>
      <c r="S188" s="1172"/>
      <c r="T188" s="1172"/>
      <c r="U188" s="1172"/>
      <c r="V188" s="1173"/>
      <c r="W188" s="1174"/>
      <c r="X188" s="1175"/>
      <c r="Y188" s="1176"/>
      <c r="Z188" s="1177"/>
      <c r="AA188" s="1547"/>
      <c r="AB188" s="1177"/>
      <c r="AC188" s="1548"/>
      <c r="AD188" s="1549"/>
      <c r="AE188" s="1178"/>
      <c r="AF188" s="1179"/>
      <c r="AG188" s="1171"/>
      <c r="AH188" s="104"/>
      <c r="AI188" s="1172"/>
      <c r="AJ188" s="1172"/>
      <c r="AK188" s="1172"/>
      <c r="AL188" s="1173"/>
      <c r="AM188" s="1174"/>
      <c r="AN188" s="1175"/>
      <c r="AO188" s="1176"/>
      <c r="AP188" s="1177"/>
      <c r="AQ188" s="1547"/>
      <c r="AR188" s="1177"/>
      <c r="AS188" s="1548"/>
      <c r="AT188" s="1549"/>
      <c r="AU188" s="1178"/>
      <c r="AV188" s="1179"/>
      <c r="AY188" s="3">
        <v>1</v>
      </c>
    </row>
    <row r="189" spans="2:51" ht="27" customHeight="1">
      <c r="B189" s="104"/>
      <c r="C189" s="1172"/>
      <c r="D189" s="1172"/>
      <c r="E189" s="1172"/>
      <c r="F189" s="1173"/>
      <c r="G189" s="1174"/>
      <c r="H189" s="1175"/>
      <c r="I189" s="1176"/>
      <c r="J189" s="1177"/>
      <c r="K189" s="1547"/>
      <c r="L189" s="1177"/>
      <c r="M189" s="1548"/>
      <c r="N189" s="1549"/>
      <c r="O189" s="1178"/>
      <c r="P189" s="1179"/>
      <c r="Q189" s="1171"/>
      <c r="R189" s="104"/>
      <c r="S189" s="1172"/>
      <c r="T189" s="1172"/>
      <c r="U189" s="1172"/>
      <c r="V189" s="1173"/>
      <c r="W189" s="1174"/>
      <c r="X189" s="1175"/>
      <c r="Y189" s="1176"/>
      <c r="Z189" s="1177"/>
      <c r="AA189" s="1547"/>
      <c r="AB189" s="1177"/>
      <c r="AC189" s="1548"/>
      <c r="AD189" s="1549"/>
      <c r="AE189" s="1178"/>
      <c r="AF189" s="1179"/>
      <c r="AG189" s="1171"/>
      <c r="AH189" s="104"/>
      <c r="AI189" s="1172"/>
      <c r="AJ189" s="1172"/>
      <c r="AK189" s="1172"/>
      <c r="AL189" s="1173"/>
      <c r="AM189" s="1174"/>
      <c r="AN189" s="1175"/>
      <c r="AO189" s="1176"/>
      <c r="AP189" s="1177"/>
      <c r="AQ189" s="1547"/>
      <c r="AR189" s="1177"/>
      <c r="AS189" s="1548"/>
      <c r="AT189" s="1549"/>
      <c r="AU189" s="1178"/>
      <c r="AV189" s="1179"/>
      <c r="AY189" s="3">
        <v>1</v>
      </c>
    </row>
    <row r="190" spans="2:51" ht="27" customHeight="1">
      <c r="B190" s="104"/>
      <c r="C190" s="1172"/>
      <c r="D190" s="1172"/>
      <c r="E190" s="1172"/>
      <c r="F190" s="1173"/>
      <c r="G190" s="1174"/>
      <c r="H190" s="1175"/>
      <c r="I190" s="1176"/>
      <c r="J190" s="1177"/>
      <c r="K190" s="1547"/>
      <c r="L190" s="1177"/>
      <c r="M190" s="1548"/>
      <c r="N190" s="1549"/>
      <c r="O190" s="1178"/>
      <c r="P190" s="1179"/>
      <c r="Q190" s="1171"/>
      <c r="R190" s="104"/>
      <c r="S190" s="1172"/>
      <c r="T190" s="1172"/>
      <c r="U190" s="1172"/>
      <c r="V190" s="1173"/>
      <c r="W190" s="1174"/>
      <c r="X190" s="1175"/>
      <c r="Y190" s="1176"/>
      <c r="Z190" s="1177"/>
      <c r="AA190" s="1547"/>
      <c r="AB190" s="1177"/>
      <c r="AC190" s="1548"/>
      <c r="AD190" s="1549"/>
      <c r="AE190" s="1178"/>
      <c r="AF190" s="1179"/>
      <c r="AG190" s="1171"/>
      <c r="AH190" s="104"/>
      <c r="AI190" s="1172"/>
      <c r="AJ190" s="1172"/>
      <c r="AK190" s="1172"/>
      <c r="AL190" s="1173"/>
      <c r="AM190" s="1174"/>
      <c r="AN190" s="1175"/>
      <c r="AO190" s="1176"/>
      <c r="AP190" s="1177"/>
      <c r="AQ190" s="1547"/>
      <c r="AR190" s="1177"/>
      <c r="AS190" s="1548"/>
      <c r="AT190" s="1549"/>
      <c r="AU190" s="1178"/>
      <c r="AV190" s="1179"/>
      <c r="AY190" s="3">
        <v>1</v>
      </c>
    </row>
    <row r="191" spans="2:51" ht="27" customHeight="1">
      <c r="B191" s="104"/>
      <c r="C191" s="1172"/>
      <c r="D191" s="1172"/>
      <c r="E191" s="1172"/>
      <c r="F191" s="1173"/>
      <c r="G191" s="1174"/>
      <c r="H191" s="1175"/>
      <c r="I191" s="1176"/>
      <c r="J191" s="1177"/>
      <c r="K191" s="1547"/>
      <c r="L191" s="1177"/>
      <c r="M191" s="1548"/>
      <c r="N191" s="1549"/>
      <c r="O191" s="1178"/>
      <c r="P191" s="1179"/>
      <c r="Q191" s="1171"/>
      <c r="R191" s="104"/>
      <c r="S191" s="1172"/>
      <c r="T191" s="1172"/>
      <c r="U191" s="1172"/>
      <c r="V191" s="1173"/>
      <c r="W191" s="1174"/>
      <c r="X191" s="1175"/>
      <c r="Y191" s="1176"/>
      <c r="Z191" s="1177"/>
      <c r="AA191" s="1547"/>
      <c r="AB191" s="1177"/>
      <c r="AC191" s="1548"/>
      <c r="AD191" s="1549"/>
      <c r="AE191" s="1178"/>
      <c r="AF191" s="1179"/>
      <c r="AG191" s="1171"/>
      <c r="AH191" s="104"/>
      <c r="AI191" s="1172"/>
      <c r="AJ191" s="1172"/>
      <c r="AK191" s="1172"/>
      <c r="AL191" s="1173"/>
      <c r="AM191" s="1174"/>
      <c r="AN191" s="1175"/>
      <c r="AO191" s="1176"/>
      <c r="AP191" s="1177"/>
      <c r="AQ191" s="1547"/>
      <c r="AR191" s="1177"/>
      <c r="AS191" s="1548"/>
      <c r="AT191" s="1549"/>
      <c r="AU191" s="1178"/>
      <c r="AV191" s="1179"/>
      <c r="AY191" s="3">
        <v>1</v>
      </c>
    </row>
    <row r="192" spans="2:51" ht="27" customHeight="1">
      <c r="B192" s="104"/>
      <c r="C192" s="1172"/>
      <c r="D192" s="1172"/>
      <c r="E192" s="1172"/>
      <c r="F192" s="1173"/>
      <c r="G192" s="1174"/>
      <c r="H192" s="1175"/>
      <c r="I192" s="1176"/>
      <c r="J192" s="1177"/>
      <c r="K192" s="1547"/>
      <c r="L192" s="1177"/>
      <c r="M192" s="1548"/>
      <c r="N192" s="1549"/>
      <c r="O192" s="1178"/>
      <c r="P192" s="1179"/>
      <c r="Q192" s="1171"/>
      <c r="R192" s="104"/>
      <c r="S192" s="1172"/>
      <c r="T192" s="1172"/>
      <c r="U192" s="1172"/>
      <c r="V192" s="1173"/>
      <c r="W192" s="1174"/>
      <c r="X192" s="1175"/>
      <c r="Y192" s="1176"/>
      <c r="Z192" s="1177"/>
      <c r="AA192" s="1547"/>
      <c r="AB192" s="1177"/>
      <c r="AC192" s="1548"/>
      <c r="AD192" s="1549"/>
      <c r="AE192" s="1178"/>
      <c r="AF192" s="1179"/>
      <c r="AG192" s="1171"/>
      <c r="AH192" s="104"/>
      <c r="AI192" s="1172"/>
      <c r="AJ192" s="1172"/>
      <c r="AK192" s="1172"/>
      <c r="AL192" s="1173"/>
      <c r="AM192" s="1174"/>
      <c r="AN192" s="1175"/>
      <c r="AO192" s="1176"/>
      <c r="AP192" s="1177"/>
      <c r="AQ192" s="1547"/>
      <c r="AR192" s="1177"/>
      <c r="AS192" s="1548"/>
      <c r="AT192" s="1549"/>
      <c r="AU192" s="1178"/>
      <c r="AV192" s="1179"/>
      <c r="AY192" s="3">
        <v>1</v>
      </c>
    </row>
    <row r="193" spans="2:51" ht="27" customHeight="1">
      <c r="B193" s="104"/>
      <c r="C193" s="1172"/>
      <c r="D193" s="1172"/>
      <c r="E193" s="1172"/>
      <c r="F193" s="1173"/>
      <c r="G193" s="1174"/>
      <c r="H193" s="1175"/>
      <c r="I193" s="1176"/>
      <c r="J193" s="1177"/>
      <c r="K193" s="1547"/>
      <c r="L193" s="1177"/>
      <c r="M193" s="1548"/>
      <c r="N193" s="1549"/>
      <c r="O193" s="1178"/>
      <c r="P193" s="1179"/>
      <c r="Q193" s="1171"/>
      <c r="R193" s="104"/>
      <c r="S193" s="1172"/>
      <c r="T193" s="1172"/>
      <c r="U193" s="1172"/>
      <c r="V193" s="1173"/>
      <c r="W193" s="1174"/>
      <c r="X193" s="1175"/>
      <c r="Y193" s="1176"/>
      <c r="Z193" s="1177"/>
      <c r="AA193" s="1547"/>
      <c r="AB193" s="1177"/>
      <c r="AC193" s="1548"/>
      <c r="AD193" s="1549"/>
      <c r="AE193" s="1178"/>
      <c r="AF193" s="1179"/>
      <c r="AG193" s="1171"/>
      <c r="AH193" s="104"/>
      <c r="AI193" s="1172"/>
      <c r="AJ193" s="1172"/>
      <c r="AK193" s="1172"/>
      <c r="AL193" s="1173"/>
      <c r="AM193" s="1174"/>
      <c r="AN193" s="1175"/>
      <c r="AO193" s="1176"/>
      <c r="AP193" s="1177"/>
      <c r="AQ193" s="1547"/>
      <c r="AR193" s="1177"/>
      <c r="AS193" s="1548"/>
      <c r="AT193" s="1549"/>
      <c r="AU193" s="1178"/>
      <c r="AV193" s="1179"/>
      <c r="AY193" s="3">
        <v>1</v>
      </c>
    </row>
    <row r="194" spans="2:51" ht="27" customHeight="1">
      <c r="B194" s="104"/>
      <c r="C194" s="1172"/>
      <c r="D194" s="1172"/>
      <c r="E194" s="1172"/>
      <c r="F194" s="1173"/>
      <c r="G194" s="1174"/>
      <c r="H194" s="1175"/>
      <c r="I194" s="1176"/>
      <c r="J194" s="1177"/>
      <c r="K194" s="1547"/>
      <c r="L194" s="1177"/>
      <c r="M194" s="1548"/>
      <c r="N194" s="1549"/>
      <c r="O194" s="1178"/>
      <c r="P194" s="1179"/>
      <c r="Q194" s="1171"/>
      <c r="R194" s="104"/>
      <c r="S194" s="1172"/>
      <c r="T194" s="1172"/>
      <c r="U194" s="1172"/>
      <c r="V194" s="1173"/>
      <c r="W194" s="1174"/>
      <c r="X194" s="1175"/>
      <c r="Y194" s="1176"/>
      <c r="Z194" s="1177"/>
      <c r="AA194" s="1547"/>
      <c r="AB194" s="1177"/>
      <c r="AC194" s="1548"/>
      <c r="AD194" s="1549"/>
      <c r="AE194" s="1178"/>
      <c r="AF194" s="1179"/>
      <c r="AG194" s="1171"/>
      <c r="AH194" s="104"/>
      <c r="AI194" s="1172"/>
      <c r="AJ194" s="1172"/>
      <c r="AK194" s="1172"/>
      <c r="AL194" s="1173"/>
      <c r="AM194" s="1174"/>
      <c r="AN194" s="1175"/>
      <c r="AO194" s="1176"/>
      <c r="AP194" s="1177"/>
      <c r="AQ194" s="1547"/>
      <c r="AR194" s="1177"/>
      <c r="AS194" s="1548"/>
      <c r="AT194" s="1549"/>
      <c r="AU194" s="1178"/>
      <c r="AV194" s="1179"/>
      <c r="AY194" s="3">
        <v>1</v>
      </c>
    </row>
    <row r="195" spans="2:51" ht="27" customHeight="1">
      <c r="B195" s="104"/>
      <c r="C195" s="1172"/>
      <c r="D195" s="1172"/>
      <c r="E195" s="1172"/>
      <c r="F195" s="1173"/>
      <c r="G195" s="1174"/>
      <c r="H195" s="1175"/>
      <c r="I195" s="1176"/>
      <c r="J195" s="1177"/>
      <c r="K195" s="1547"/>
      <c r="L195" s="1177"/>
      <c r="M195" s="1548"/>
      <c r="N195" s="1549"/>
      <c r="O195" s="1178"/>
      <c r="P195" s="1179"/>
      <c r="Q195" s="1171"/>
      <c r="R195" s="104"/>
      <c r="S195" s="1172"/>
      <c r="T195" s="1172"/>
      <c r="U195" s="1172"/>
      <c r="V195" s="1173"/>
      <c r="W195" s="1174"/>
      <c r="X195" s="1175"/>
      <c r="Y195" s="1176"/>
      <c r="Z195" s="1177"/>
      <c r="AA195" s="1547"/>
      <c r="AB195" s="1177"/>
      <c r="AC195" s="1548"/>
      <c r="AD195" s="1549"/>
      <c r="AE195" s="1178"/>
      <c r="AF195" s="1179"/>
      <c r="AG195" s="1171"/>
      <c r="AH195" s="104"/>
      <c r="AI195" s="1172"/>
      <c r="AJ195" s="1172"/>
      <c r="AK195" s="1172"/>
      <c r="AL195" s="1173"/>
      <c r="AM195" s="1174"/>
      <c r="AN195" s="1175"/>
      <c r="AO195" s="1176"/>
      <c r="AP195" s="1177"/>
      <c r="AQ195" s="1547"/>
      <c r="AR195" s="1177"/>
      <c r="AS195" s="1548"/>
      <c r="AT195" s="1549"/>
      <c r="AU195" s="1178"/>
      <c r="AV195" s="1179"/>
      <c r="AY195" s="3">
        <v>1</v>
      </c>
    </row>
    <row r="196" spans="2:51" ht="27" customHeight="1">
      <c r="B196" s="104"/>
      <c r="C196" s="1172"/>
      <c r="D196" s="1172"/>
      <c r="E196" s="1172"/>
      <c r="F196" s="1173"/>
      <c r="G196" s="1174"/>
      <c r="H196" s="1175"/>
      <c r="I196" s="1176"/>
      <c r="J196" s="1177"/>
      <c r="K196" s="1547"/>
      <c r="L196" s="1177"/>
      <c r="M196" s="1548"/>
      <c r="N196" s="1549"/>
      <c r="O196" s="1178"/>
      <c r="P196" s="1179"/>
      <c r="Q196" s="1171"/>
      <c r="R196" s="104"/>
      <c r="S196" s="1172"/>
      <c r="T196" s="1172"/>
      <c r="U196" s="1172"/>
      <c r="V196" s="1173"/>
      <c r="W196" s="1174"/>
      <c r="X196" s="1175"/>
      <c r="Y196" s="1176"/>
      <c r="Z196" s="1177"/>
      <c r="AA196" s="1547"/>
      <c r="AB196" s="1177"/>
      <c r="AC196" s="1548"/>
      <c r="AD196" s="1549"/>
      <c r="AE196" s="1178"/>
      <c r="AF196" s="1179"/>
      <c r="AG196" s="1171"/>
      <c r="AH196" s="104"/>
      <c r="AI196" s="1172"/>
      <c r="AJ196" s="1172"/>
      <c r="AK196" s="1172"/>
      <c r="AL196" s="1173"/>
      <c r="AM196" s="1174"/>
      <c r="AN196" s="1175"/>
      <c r="AO196" s="1176"/>
      <c r="AP196" s="1177"/>
      <c r="AQ196" s="1547"/>
      <c r="AR196" s="1177"/>
      <c r="AS196" s="1548"/>
      <c r="AT196" s="1549"/>
      <c r="AU196" s="1178"/>
      <c r="AV196" s="1179"/>
      <c r="AY196" s="3">
        <v>1</v>
      </c>
    </row>
    <row r="197" spans="2:51" ht="27" customHeight="1">
      <c r="B197" s="104"/>
      <c r="C197" s="1172"/>
      <c r="D197" s="1172"/>
      <c r="E197" s="1172"/>
      <c r="F197" s="1173"/>
      <c r="G197" s="1174"/>
      <c r="H197" s="1175"/>
      <c r="I197" s="1176"/>
      <c r="J197" s="1177"/>
      <c r="K197" s="1547"/>
      <c r="L197" s="1177"/>
      <c r="M197" s="1548"/>
      <c r="N197" s="1549"/>
      <c r="O197" s="1178"/>
      <c r="P197" s="1179"/>
      <c r="Q197" s="1171"/>
      <c r="R197" s="104"/>
      <c r="S197" s="1172"/>
      <c r="T197" s="1172"/>
      <c r="U197" s="1172"/>
      <c r="V197" s="1173"/>
      <c r="W197" s="1174"/>
      <c r="X197" s="1175"/>
      <c r="Y197" s="1176"/>
      <c r="Z197" s="1177"/>
      <c r="AA197" s="1547"/>
      <c r="AB197" s="1177"/>
      <c r="AC197" s="1548"/>
      <c r="AD197" s="1549"/>
      <c r="AE197" s="1178"/>
      <c r="AF197" s="1179"/>
      <c r="AG197" s="1171"/>
      <c r="AH197" s="104"/>
      <c r="AI197" s="1172"/>
      <c r="AJ197" s="1172"/>
      <c r="AK197" s="1172"/>
      <c r="AL197" s="1173"/>
      <c r="AM197" s="1174"/>
      <c r="AN197" s="1175"/>
      <c r="AO197" s="1176"/>
      <c r="AP197" s="1177"/>
      <c r="AQ197" s="1547"/>
      <c r="AR197" s="1177"/>
      <c r="AS197" s="1548"/>
      <c r="AT197" s="1549"/>
      <c r="AU197" s="1178"/>
      <c r="AV197" s="1179"/>
      <c r="AY197" s="3">
        <v>1</v>
      </c>
    </row>
    <row r="198" spans="2:51" ht="27" customHeight="1">
      <c r="B198" s="104"/>
      <c r="C198" s="1172"/>
      <c r="D198" s="1172"/>
      <c r="E198" s="1172"/>
      <c r="F198" s="1173"/>
      <c r="G198" s="1174"/>
      <c r="H198" s="1175"/>
      <c r="I198" s="1176"/>
      <c r="J198" s="1177"/>
      <c r="K198" s="1547"/>
      <c r="L198" s="1177"/>
      <c r="M198" s="1548"/>
      <c r="N198" s="1549"/>
      <c r="O198" s="1178"/>
      <c r="P198" s="1179"/>
      <c r="Q198" s="1171"/>
      <c r="R198" s="104"/>
      <c r="S198" s="1172"/>
      <c r="T198" s="1172"/>
      <c r="U198" s="1172"/>
      <c r="V198" s="1173"/>
      <c r="W198" s="1174"/>
      <c r="X198" s="1175"/>
      <c r="Y198" s="1176"/>
      <c r="Z198" s="1177"/>
      <c r="AA198" s="1547"/>
      <c r="AB198" s="1177"/>
      <c r="AC198" s="1548"/>
      <c r="AD198" s="1549"/>
      <c r="AE198" s="1178"/>
      <c r="AF198" s="1179"/>
      <c r="AG198" s="1171"/>
      <c r="AH198" s="104"/>
      <c r="AI198" s="1172"/>
      <c r="AJ198" s="1172"/>
      <c r="AK198" s="1172"/>
      <c r="AL198" s="1173"/>
      <c r="AM198" s="1174"/>
      <c r="AN198" s="1175"/>
      <c r="AO198" s="1176"/>
      <c r="AP198" s="1177"/>
      <c r="AQ198" s="1547"/>
      <c r="AR198" s="1177"/>
      <c r="AS198" s="1548"/>
      <c r="AT198" s="1549"/>
      <c r="AU198" s="1178"/>
      <c r="AV198" s="1179"/>
      <c r="AY198" s="3">
        <v>1</v>
      </c>
    </row>
    <row r="199" spans="2:51" ht="27" customHeight="1">
      <c r="B199" s="104"/>
      <c r="C199" s="1172"/>
      <c r="D199" s="1172"/>
      <c r="E199" s="1172"/>
      <c r="F199" s="1173"/>
      <c r="G199" s="1174"/>
      <c r="H199" s="1175"/>
      <c r="I199" s="1176"/>
      <c r="J199" s="1177"/>
      <c r="K199" s="1547"/>
      <c r="L199" s="1177"/>
      <c r="M199" s="1548"/>
      <c r="N199" s="1549"/>
      <c r="O199" s="1178"/>
      <c r="P199" s="1179"/>
      <c r="Q199" s="1171"/>
      <c r="R199" s="104"/>
      <c r="S199" s="1172"/>
      <c r="T199" s="1172"/>
      <c r="U199" s="1172"/>
      <c r="V199" s="1173"/>
      <c r="W199" s="1174"/>
      <c r="X199" s="1175"/>
      <c r="Y199" s="1176"/>
      <c r="Z199" s="1177"/>
      <c r="AA199" s="1547"/>
      <c r="AB199" s="1177"/>
      <c r="AC199" s="1548"/>
      <c r="AD199" s="1549"/>
      <c r="AE199" s="1178"/>
      <c r="AF199" s="1179"/>
      <c r="AG199" s="1171"/>
      <c r="AH199" s="104"/>
      <c r="AI199" s="1172"/>
      <c r="AJ199" s="1172"/>
      <c r="AK199" s="1172"/>
      <c r="AL199" s="1173"/>
      <c r="AM199" s="1174"/>
      <c r="AN199" s="1175"/>
      <c r="AO199" s="1176"/>
      <c r="AP199" s="1177"/>
      <c r="AQ199" s="1547"/>
      <c r="AR199" s="1177"/>
      <c r="AS199" s="1548"/>
      <c r="AT199" s="1549"/>
      <c r="AU199" s="1178"/>
      <c r="AV199" s="1179"/>
      <c r="AY199" s="3">
        <v>1</v>
      </c>
    </row>
    <row r="200" spans="2:51" ht="27" customHeight="1">
      <c r="B200" s="104"/>
      <c r="C200" s="1172"/>
      <c r="D200" s="1172"/>
      <c r="E200" s="1172"/>
      <c r="F200" s="1173"/>
      <c r="G200" s="1174"/>
      <c r="H200" s="1175"/>
      <c r="I200" s="1176"/>
      <c r="J200" s="1177"/>
      <c r="K200" s="1547"/>
      <c r="L200" s="1177"/>
      <c r="M200" s="1548"/>
      <c r="N200" s="1549"/>
      <c r="O200" s="1178"/>
      <c r="P200" s="1179"/>
      <c r="Q200" s="1171"/>
      <c r="R200" s="104"/>
      <c r="S200" s="1172"/>
      <c r="T200" s="1172"/>
      <c r="U200" s="1172"/>
      <c r="V200" s="1173"/>
      <c r="W200" s="1174"/>
      <c r="X200" s="1175"/>
      <c r="Y200" s="1176"/>
      <c r="Z200" s="1177"/>
      <c r="AA200" s="1547"/>
      <c r="AB200" s="1177"/>
      <c r="AC200" s="1548"/>
      <c r="AD200" s="1549"/>
      <c r="AE200" s="1178"/>
      <c r="AF200" s="1179"/>
      <c r="AG200" s="1171"/>
      <c r="AH200" s="104"/>
      <c r="AI200" s="1172"/>
      <c r="AJ200" s="1172"/>
      <c r="AK200" s="1172"/>
      <c r="AL200" s="1173"/>
      <c r="AM200" s="1174"/>
      <c r="AN200" s="1175"/>
      <c r="AO200" s="1176"/>
      <c r="AP200" s="1177"/>
      <c r="AQ200" s="1547"/>
      <c r="AR200" s="1177"/>
      <c r="AS200" s="1548"/>
      <c r="AT200" s="1549"/>
      <c r="AU200" s="1178"/>
      <c r="AV200" s="1179"/>
      <c r="AY200" s="3">
        <v>1</v>
      </c>
    </row>
    <row r="201" spans="2:51" ht="27" customHeight="1">
      <c r="B201" s="104"/>
      <c r="C201" s="1172"/>
      <c r="D201" s="1172"/>
      <c r="E201" s="1172"/>
      <c r="F201" s="1173"/>
      <c r="G201" s="1174"/>
      <c r="H201" s="1175"/>
      <c r="I201" s="1176"/>
      <c r="J201" s="1177"/>
      <c r="K201" s="1547"/>
      <c r="L201" s="1177"/>
      <c r="M201" s="1548"/>
      <c r="N201" s="1549"/>
      <c r="O201" s="1178"/>
      <c r="P201" s="1179"/>
      <c r="Q201" s="1171"/>
      <c r="R201" s="104"/>
      <c r="S201" s="1172"/>
      <c r="T201" s="1172"/>
      <c r="U201" s="1172"/>
      <c r="V201" s="1173"/>
      <c r="W201" s="1174"/>
      <c r="X201" s="1175"/>
      <c r="Y201" s="1176"/>
      <c r="Z201" s="1177"/>
      <c r="AA201" s="1547"/>
      <c r="AB201" s="1177"/>
      <c r="AC201" s="1548"/>
      <c r="AD201" s="1549"/>
      <c r="AE201" s="1178"/>
      <c r="AF201" s="1179"/>
      <c r="AG201" s="1171"/>
      <c r="AH201" s="104"/>
      <c r="AI201" s="1172"/>
      <c r="AJ201" s="1172"/>
      <c r="AK201" s="1172"/>
      <c r="AL201" s="1173"/>
      <c r="AM201" s="1174"/>
      <c r="AN201" s="1175"/>
      <c r="AO201" s="1176"/>
      <c r="AP201" s="1177"/>
      <c r="AQ201" s="1547"/>
      <c r="AR201" s="1177"/>
      <c r="AS201" s="1548"/>
      <c r="AT201" s="1549"/>
      <c r="AU201" s="1178"/>
      <c r="AV201" s="1179"/>
      <c r="AY201" s="3">
        <v>1</v>
      </c>
    </row>
    <row r="202" spans="2:51" ht="27" customHeight="1">
      <c r="B202" s="104"/>
      <c r="C202" s="1172"/>
      <c r="D202" s="1172"/>
      <c r="E202" s="1172"/>
      <c r="F202" s="1173"/>
      <c r="G202" s="1174"/>
      <c r="H202" s="1175"/>
      <c r="I202" s="1176"/>
      <c r="J202" s="1177"/>
      <c r="K202" s="1547"/>
      <c r="L202" s="1177"/>
      <c r="M202" s="1548"/>
      <c r="N202" s="1549"/>
      <c r="O202" s="1178"/>
      <c r="P202" s="1179"/>
      <c r="Q202" s="1171"/>
      <c r="R202" s="104"/>
      <c r="S202" s="1172"/>
      <c r="T202" s="1172"/>
      <c r="U202" s="1172"/>
      <c r="V202" s="1173"/>
      <c r="W202" s="1174"/>
      <c r="X202" s="1175"/>
      <c r="Y202" s="1176"/>
      <c r="Z202" s="1177"/>
      <c r="AA202" s="1547"/>
      <c r="AB202" s="1177"/>
      <c r="AC202" s="1548"/>
      <c r="AD202" s="1549"/>
      <c r="AE202" s="1178"/>
      <c r="AF202" s="1179"/>
      <c r="AG202" s="1171"/>
      <c r="AH202" s="104"/>
      <c r="AI202" s="1172"/>
      <c r="AJ202" s="1172"/>
      <c r="AK202" s="1172"/>
      <c r="AL202" s="1173"/>
      <c r="AM202" s="1174"/>
      <c r="AN202" s="1175"/>
      <c r="AO202" s="1176"/>
      <c r="AP202" s="1177"/>
      <c r="AQ202" s="1547"/>
      <c r="AR202" s="1177"/>
      <c r="AS202" s="1548"/>
      <c r="AT202" s="1549"/>
      <c r="AU202" s="1178"/>
      <c r="AV202" s="1179"/>
      <c r="AY202" s="3">
        <v>1</v>
      </c>
    </row>
    <row r="203" spans="2:51" ht="27" customHeight="1">
      <c r="B203" s="104"/>
      <c r="C203" s="1172"/>
      <c r="D203" s="1172"/>
      <c r="E203" s="1172"/>
      <c r="F203" s="1173"/>
      <c r="G203" s="1174"/>
      <c r="H203" s="1175"/>
      <c r="I203" s="1176"/>
      <c r="J203" s="1177"/>
      <c r="K203" s="1547"/>
      <c r="L203" s="1177"/>
      <c r="M203" s="1548"/>
      <c r="N203" s="1549"/>
      <c r="O203" s="1178"/>
      <c r="P203" s="1179"/>
      <c r="Q203" s="1171"/>
      <c r="R203" s="104"/>
      <c r="S203" s="1172"/>
      <c r="T203" s="1172"/>
      <c r="U203" s="1172"/>
      <c r="V203" s="1173"/>
      <c r="W203" s="1174"/>
      <c r="X203" s="1175"/>
      <c r="Y203" s="1176"/>
      <c r="Z203" s="1177"/>
      <c r="AA203" s="1547"/>
      <c r="AB203" s="1177"/>
      <c r="AC203" s="1548"/>
      <c r="AD203" s="1549"/>
      <c r="AE203" s="1178"/>
      <c r="AF203" s="1179"/>
      <c r="AG203" s="1171"/>
      <c r="AH203" s="104"/>
      <c r="AI203" s="1172"/>
      <c r="AJ203" s="1172"/>
      <c r="AK203" s="1172"/>
      <c r="AL203" s="1173"/>
      <c r="AM203" s="1174"/>
      <c r="AN203" s="1175"/>
      <c r="AO203" s="1176"/>
      <c r="AP203" s="1177"/>
      <c r="AQ203" s="1547"/>
      <c r="AR203" s="1177"/>
      <c r="AS203" s="1548"/>
      <c r="AT203" s="1549"/>
      <c r="AU203" s="1178"/>
      <c r="AV203" s="1179"/>
      <c r="AY203" s="3">
        <v>1</v>
      </c>
    </row>
    <row r="204" spans="2:51" ht="27" customHeight="1">
      <c r="B204" s="104"/>
      <c r="C204" s="1172"/>
      <c r="D204" s="1172"/>
      <c r="E204" s="1172"/>
      <c r="F204" s="1173"/>
      <c r="G204" s="1174"/>
      <c r="H204" s="1175"/>
      <c r="I204" s="1176"/>
      <c r="J204" s="1177"/>
      <c r="K204" s="1547"/>
      <c r="L204" s="1177"/>
      <c r="M204" s="1548"/>
      <c r="N204" s="1549"/>
      <c r="O204" s="1178"/>
      <c r="P204" s="1179"/>
      <c r="Q204" s="1171"/>
      <c r="R204" s="104"/>
      <c r="S204" s="1172"/>
      <c r="T204" s="1172"/>
      <c r="U204" s="1172"/>
      <c r="V204" s="1173"/>
      <c r="W204" s="1174"/>
      <c r="X204" s="1175"/>
      <c r="Y204" s="1176"/>
      <c r="Z204" s="1177"/>
      <c r="AA204" s="1547"/>
      <c r="AB204" s="1177"/>
      <c r="AC204" s="1548"/>
      <c r="AD204" s="1549"/>
      <c r="AE204" s="1178"/>
      <c r="AF204" s="1179"/>
      <c r="AG204" s="1171"/>
      <c r="AH204" s="104"/>
      <c r="AI204" s="1172"/>
      <c r="AJ204" s="1172"/>
      <c r="AK204" s="1172"/>
      <c r="AL204" s="1173"/>
      <c r="AM204" s="1174"/>
      <c r="AN204" s="1175"/>
      <c r="AO204" s="1176"/>
      <c r="AP204" s="1177"/>
      <c r="AQ204" s="1547"/>
      <c r="AR204" s="1177"/>
      <c r="AS204" s="1548"/>
      <c r="AT204" s="1549"/>
      <c r="AU204" s="1178"/>
      <c r="AV204" s="1179"/>
      <c r="AY204" s="3">
        <v>1</v>
      </c>
    </row>
    <row r="205" spans="2:51" ht="27" customHeight="1">
      <c r="B205" s="104"/>
      <c r="C205" s="1172"/>
      <c r="D205" s="1172"/>
      <c r="E205" s="1172"/>
      <c r="F205" s="1173"/>
      <c r="G205" s="1174"/>
      <c r="H205" s="1175"/>
      <c r="I205" s="1176"/>
      <c r="J205" s="1177"/>
      <c r="K205" s="1547"/>
      <c r="L205" s="1177"/>
      <c r="M205" s="1548"/>
      <c r="N205" s="1549"/>
      <c r="O205" s="1178"/>
      <c r="P205" s="1179"/>
      <c r="Q205" s="1171"/>
      <c r="R205" s="104"/>
      <c r="S205" s="1172"/>
      <c r="T205" s="1172"/>
      <c r="U205" s="1172"/>
      <c r="V205" s="1173"/>
      <c r="W205" s="1174"/>
      <c r="X205" s="1175"/>
      <c r="Y205" s="1176"/>
      <c r="Z205" s="1177"/>
      <c r="AA205" s="1547"/>
      <c r="AB205" s="1177"/>
      <c r="AC205" s="1548"/>
      <c r="AD205" s="1549"/>
      <c r="AE205" s="1178"/>
      <c r="AF205" s="1179"/>
      <c r="AG205" s="1171"/>
      <c r="AH205" s="104"/>
      <c r="AI205" s="1172"/>
      <c r="AJ205" s="1172"/>
      <c r="AK205" s="1172"/>
      <c r="AL205" s="1173"/>
      <c r="AM205" s="1174"/>
      <c r="AN205" s="1175"/>
      <c r="AO205" s="1176"/>
      <c r="AP205" s="1177"/>
      <c r="AQ205" s="1547"/>
      <c r="AR205" s="1177"/>
      <c r="AS205" s="1548"/>
      <c r="AT205" s="1549"/>
      <c r="AU205" s="1178"/>
      <c r="AV205" s="1179"/>
      <c r="AY205" s="3">
        <v>1</v>
      </c>
    </row>
    <row r="206" spans="2:51" ht="27" customHeight="1">
      <c r="B206" s="104"/>
      <c r="C206" s="1172"/>
      <c r="D206" s="1172"/>
      <c r="E206" s="1172"/>
      <c r="F206" s="1173"/>
      <c r="G206" s="1174"/>
      <c r="H206" s="1175"/>
      <c r="I206" s="1176"/>
      <c r="J206" s="1177"/>
      <c r="K206" s="1547"/>
      <c r="L206" s="1177"/>
      <c r="M206" s="1548"/>
      <c r="N206" s="1549"/>
      <c r="O206" s="1178"/>
      <c r="P206" s="1179"/>
      <c r="Q206" s="1171"/>
      <c r="R206" s="104"/>
      <c r="S206" s="1172"/>
      <c r="T206" s="1172"/>
      <c r="U206" s="1172"/>
      <c r="V206" s="1173"/>
      <c r="W206" s="1174"/>
      <c r="X206" s="1175"/>
      <c r="Y206" s="1176"/>
      <c r="Z206" s="1177"/>
      <c r="AA206" s="1547"/>
      <c r="AB206" s="1177"/>
      <c r="AC206" s="1548"/>
      <c r="AD206" s="1549"/>
      <c r="AE206" s="1178"/>
      <c r="AF206" s="1179"/>
      <c r="AG206" s="1171"/>
      <c r="AH206" s="104"/>
      <c r="AI206" s="1172"/>
      <c r="AJ206" s="1172"/>
      <c r="AK206" s="1172"/>
      <c r="AL206" s="1173"/>
      <c r="AM206" s="1174"/>
      <c r="AN206" s="1175"/>
      <c r="AO206" s="1176"/>
      <c r="AP206" s="1177"/>
      <c r="AQ206" s="1547"/>
      <c r="AR206" s="1177"/>
      <c r="AS206" s="1548"/>
      <c r="AT206" s="1549"/>
      <c r="AU206" s="1178"/>
      <c r="AV206" s="1179"/>
      <c r="AY206" s="3">
        <v>1</v>
      </c>
    </row>
    <row r="207" spans="2:51" ht="27" customHeight="1">
      <c r="B207" s="104"/>
      <c r="C207" s="1172"/>
      <c r="D207" s="1172"/>
      <c r="E207" s="1172"/>
      <c r="F207" s="1173"/>
      <c r="G207" s="1174"/>
      <c r="H207" s="1175"/>
      <c r="I207" s="1176"/>
      <c r="J207" s="1177"/>
      <c r="K207" s="1547"/>
      <c r="L207" s="1177"/>
      <c r="M207" s="1548"/>
      <c r="N207" s="1549"/>
      <c r="O207" s="1178"/>
      <c r="P207" s="1179"/>
      <c r="Q207" s="1171"/>
      <c r="R207" s="104"/>
      <c r="S207" s="1172"/>
      <c r="T207" s="1172"/>
      <c r="U207" s="1172"/>
      <c r="V207" s="1173"/>
      <c r="W207" s="1174"/>
      <c r="X207" s="1175"/>
      <c r="Y207" s="1176"/>
      <c r="Z207" s="1177"/>
      <c r="AA207" s="1547"/>
      <c r="AB207" s="1177"/>
      <c r="AC207" s="1548"/>
      <c r="AD207" s="1549"/>
      <c r="AE207" s="1178"/>
      <c r="AF207" s="1179"/>
      <c r="AG207" s="1171"/>
      <c r="AH207" s="104"/>
      <c r="AI207" s="1172"/>
      <c r="AJ207" s="1172"/>
      <c r="AK207" s="1172"/>
      <c r="AL207" s="1173"/>
      <c r="AM207" s="1174"/>
      <c r="AN207" s="1175"/>
      <c r="AO207" s="1176"/>
      <c r="AP207" s="1177"/>
      <c r="AQ207" s="1547"/>
      <c r="AR207" s="1177"/>
      <c r="AS207" s="1548"/>
      <c r="AT207" s="1549"/>
      <c r="AU207" s="1178"/>
      <c r="AV207" s="1179"/>
      <c r="AY207" s="3">
        <v>1</v>
      </c>
    </row>
    <row r="208" spans="2:51" ht="27" customHeight="1">
      <c r="B208" s="104"/>
      <c r="C208" s="1172"/>
      <c r="D208" s="1172"/>
      <c r="E208" s="1172"/>
      <c r="F208" s="1173"/>
      <c r="G208" s="1174"/>
      <c r="H208" s="1175"/>
      <c r="I208" s="1176"/>
      <c r="J208" s="1177"/>
      <c r="K208" s="1547"/>
      <c r="L208" s="1177"/>
      <c r="M208" s="1548"/>
      <c r="N208" s="1549"/>
      <c r="O208" s="1178"/>
      <c r="P208" s="1179"/>
      <c r="Q208" s="1171"/>
      <c r="R208" s="104"/>
      <c r="S208" s="1172"/>
      <c r="T208" s="1172"/>
      <c r="U208" s="1172"/>
      <c r="V208" s="1173"/>
      <c r="W208" s="1174"/>
      <c r="X208" s="1175"/>
      <c r="Y208" s="1176"/>
      <c r="Z208" s="1177"/>
      <c r="AA208" s="1547"/>
      <c r="AB208" s="1177"/>
      <c r="AC208" s="1548"/>
      <c r="AD208" s="1549"/>
      <c r="AE208" s="1178"/>
      <c r="AF208" s="1179"/>
      <c r="AG208" s="1171"/>
      <c r="AH208" s="104"/>
      <c r="AI208" s="1172"/>
      <c r="AJ208" s="1172"/>
      <c r="AK208" s="1172"/>
      <c r="AL208" s="1173"/>
      <c r="AM208" s="1174"/>
      <c r="AN208" s="1175"/>
      <c r="AO208" s="1176"/>
      <c r="AP208" s="1177"/>
      <c r="AQ208" s="1547"/>
      <c r="AR208" s="1177"/>
      <c r="AS208" s="1548"/>
      <c r="AT208" s="1549"/>
      <c r="AU208" s="1178"/>
      <c r="AV208" s="1179"/>
      <c r="AY208" s="3">
        <v>1</v>
      </c>
    </row>
    <row r="209" spans="2:51" ht="27" customHeight="1">
      <c r="B209" s="104"/>
      <c r="C209" s="1172"/>
      <c r="D209" s="1172"/>
      <c r="E209" s="1172"/>
      <c r="F209" s="1173"/>
      <c r="G209" s="1174"/>
      <c r="H209" s="1175"/>
      <c r="I209" s="1176"/>
      <c r="J209" s="1177"/>
      <c r="K209" s="1547"/>
      <c r="L209" s="1177"/>
      <c r="M209" s="1548"/>
      <c r="N209" s="1549"/>
      <c r="O209" s="1178"/>
      <c r="P209" s="1179"/>
      <c r="Q209" s="1171"/>
      <c r="R209" s="104"/>
      <c r="S209" s="1172"/>
      <c r="T209" s="1172"/>
      <c r="U209" s="1172"/>
      <c r="V209" s="1173"/>
      <c r="W209" s="1174"/>
      <c r="X209" s="1175"/>
      <c r="Y209" s="1176"/>
      <c r="Z209" s="1177"/>
      <c r="AA209" s="1547"/>
      <c r="AB209" s="1177"/>
      <c r="AC209" s="1548"/>
      <c r="AD209" s="1549"/>
      <c r="AE209" s="1178"/>
      <c r="AF209" s="1179"/>
      <c r="AG209" s="1171"/>
      <c r="AH209" s="104"/>
      <c r="AI209" s="1172"/>
      <c r="AJ209" s="1172"/>
      <c r="AK209" s="1172"/>
      <c r="AL209" s="1173"/>
      <c r="AM209" s="1174"/>
      <c r="AN209" s="1175"/>
      <c r="AO209" s="1176"/>
      <c r="AP209" s="1177"/>
      <c r="AQ209" s="1547"/>
      <c r="AR209" s="1177"/>
      <c r="AS209" s="1548"/>
      <c r="AT209" s="1549"/>
      <c r="AU209" s="1178"/>
      <c r="AV209" s="1179"/>
      <c r="AY209" s="3">
        <v>1</v>
      </c>
    </row>
    <row r="210" spans="2:51" ht="27" customHeight="1">
      <c r="B210" s="104"/>
      <c r="C210" s="1172"/>
      <c r="D210" s="1172"/>
      <c r="E210" s="1172"/>
      <c r="F210" s="1173"/>
      <c r="G210" s="1174"/>
      <c r="H210" s="1175"/>
      <c r="I210" s="1176"/>
      <c r="J210" s="1177"/>
      <c r="K210" s="1547"/>
      <c r="L210" s="1177"/>
      <c r="M210" s="1548"/>
      <c r="N210" s="1549"/>
      <c r="O210" s="1178"/>
      <c r="P210" s="1179"/>
      <c r="Q210" s="1171"/>
      <c r="R210" s="104"/>
      <c r="S210" s="1172"/>
      <c r="T210" s="1172"/>
      <c r="U210" s="1172"/>
      <c r="V210" s="1173"/>
      <c r="W210" s="1174"/>
      <c r="X210" s="1175"/>
      <c r="Y210" s="1176"/>
      <c r="Z210" s="1177"/>
      <c r="AA210" s="1547"/>
      <c r="AB210" s="1177"/>
      <c r="AC210" s="1548"/>
      <c r="AD210" s="1549"/>
      <c r="AE210" s="1178"/>
      <c r="AF210" s="1179"/>
      <c r="AG210" s="1171"/>
      <c r="AH210" s="104"/>
      <c r="AI210" s="1172"/>
      <c r="AJ210" s="1172"/>
      <c r="AK210" s="1172"/>
      <c r="AL210" s="1173"/>
      <c r="AM210" s="1174"/>
      <c r="AN210" s="1175"/>
      <c r="AO210" s="1176"/>
      <c r="AP210" s="1177"/>
      <c r="AQ210" s="1547"/>
      <c r="AR210" s="1177"/>
      <c r="AS210" s="1548"/>
      <c r="AT210" s="1549"/>
      <c r="AU210" s="1178"/>
      <c r="AV210" s="1179"/>
      <c r="AY210" s="3">
        <v>1</v>
      </c>
    </row>
    <row r="211" spans="2:51" ht="27" customHeight="1">
      <c r="B211" s="104"/>
      <c r="C211" s="1172"/>
      <c r="D211" s="1172"/>
      <c r="E211" s="1172"/>
      <c r="F211" s="1173"/>
      <c r="G211" s="1174"/>
      <c r="H211" s="1175"/>
      <c r="I211" s="1176"/>
      <c r="J211" s="1177"/>
      <c r="K211" s="1547"/>
      <c r="L211" s="1177"/>
      <c r="M211" s="1548"/>
      <c r="N211" s="1549"/>
      <c r="O211" s="1178"/>
      <c r="P211" s="1179"/>
      <c r="Q211" s="1171"/>
      <c r="R211" s="104"/>
      <c r="S211" s="1172"/>
      <c r="T211" s="1172"/>
      <c r="U211" s="1172"/>
      <c r="V211" s="1173"/>
      <c r="W211" s="1174"/>
      <c r="X211" s="1175"/>
      <c r="Y211" s="1176"/>
      <c r="Z211" s="1177"/>
      <c r="AA211" s="1547"/>
      <c r="AB211" s="1177"/>
      <c r="AC211" s="1548"/>
      <c r="AD211" s="1549"/>
      <c r="AE211" s="1178"/>
      <c r="AF211" s="1179"/>
      <c r="AG211" s="1171"/>
      <c r="AH211" s="104"/>
      <c r="AI211" s="1172"/>
      <c r="AJ211" s="1172"/>
      <c r="AK211" s="1172"/>
      <c r="AL211" s="1173"/>
      <c r="AM211" s="1174"/>
      <c r="AN211" s="1175"/>
      <c r="AO211" s="1176"/>
      <c r="AP211" s="1177"/>
      <c r="AQ211" s="1547"/>
      <c r="AR211" s="1177"/>
      <c r="AS211" s="1548"/>
      <c r="AT211" s="1549"/>
      <c r="AU211" s="1178"/>
      <c r="AV211" s="1179"/>
      <c r="AY211" s="3">
        <v>1</v>
      </c>
    </row>
    <row r="212" spans="2:51" ht="27" customHeight="1">
      <c r="B212" s="104"/>
      <c r="C212" s="1172"/>
      <c r="D212" s="1172"/>
      <c r="E212" s="1172"/>
      <c r="F212" s="1173"/>
      <c r="G212" s="1174"/>
      <c r="H212" s="1175"/>
      <c r="I212" s="1176"/>
      <c r="J212" s="1177"/>
      <c r="K212" s="1547"/>
      <c r="L212" s="1177"/>
      <c r="M212" s="1548"/>
      <c r="N212" s="1549"/>
      <c r="O212" s="1178"/>
      <c r="P212" s="1179"/>
      <c r="Q212" s="1171"/>
      <c r="R212" s="104"/>
      <c r="S212" s="1172"/>
      <c r="T212" s="1172"/>
      <c r="U212" s="1172"/>
      <c r="V212" s="1173"/>
      <c r="W212" s="1174"/>
      <c r="X212" s="1175"/>
      <c r="Y212" s="1176"/>
      <c r="Z212" s="1177"/>
      <c r="AA212" s="1547"/>
      <c r="AB212" s="1177"/>
      <c r="AC212" s="1548"/>
      <c r="AD212" s="1549"/>
      <c r="AE212" s="1178"/>
      <c r="AF212" s="1179"/>
      <c r="AG212" s="1171"/>
      <c r="AH212" s="104"/>
      <c r="AI212" s="1172"/>
      <c r="AJ212" s="1172"/>
      <c r="AK212" s="1172"/>
      <c r="AL212" s="1173"/>
      <c r="AM212" s="1174"/>
      <c r="AN212" s="1175"/>
      <c r="AO212" s="1176"/>
      <c r="AP212" s="1177"/>
      <c r="AQ212" s="1547"/>
      <c r="AR212" s="1177"/>
      <c r="AS212" s="1548"/>
      <c r="AT212" s="1549"/>
      <c r="AU212" s="1178"/>
      <c r="AV212" s="1179"/>
      <c r="AY212" s="3">
        <v>1</v>
      </c>
    </row>
    <row r="213" spans="2:51" ht="27" customHeight="1">
      <c r="B213" s="104"/>
      <c r="C213" s="1172"/>
      <c r="D213" s="1172"/>
      <c r="E213" s="1172"/>
      <c r="F213" s="1173"/>
      <c r="G213" s="1174"/>
      <c r="H213" s="1175"/>
      <c r="I213" s="1176"/>
      <c r="J213" s="1177"/>
      <c r="K213" s="1547"/>
      <c r="L213" s="1177"/>
      <c r="M213" s="1548"/>
      <c r="N213" s="1549"/>
      <c r="O213" s="1178"/>
      <c r="P213" s="1179"/>
      <c r="Q213" s="1171"/>
      <c r="R213" s="104"/>
      <c r="S213" s="1172"/>
      <c r="T213" s="1172"/>
      <c r="U213" s="1172"/>
      <c r="V213" s="1173"/>
      <c r="W213" s="1174"/>
      <c r="X213" s="1175"/>
      <c r="Y213" s="1176"/>
      <c r="Z213" s="1177"/>
      <c r="AA213" s="1547"/>
      <c r="AB213" s="1177"/>
      <c r="AC213" s="1548"/>
      <c r="AD213" s="1549"/>
      <c r="AE213" s="1178"/>
      <c r="AF213" s="1179"/>
      <c r="AG213" s="1171"/>
      <c r="AH213" s="104"/>
      <c r="AI213" s="1172"/>
      <c r="AJ213" s="1172"/>
      <c r="AK213" s="1172"/>
      <c r="AL213" s="1173"/>
      <c r="AM213" s="1174"/>
      <c r="AN213" s="1175"/>
      <c r="AO213" s="1176"/>
      <c r="AP213" s="1177"/>
      <c r="AQ213" s="1547"/>
      <c r="AR213" s="1177"/>
      <c r="AS213" s="1548"/>
      <c r="AT213" s="1549"/>
      <c r="AU213" s="1178"/>
      <c r="AV213" s="1179"/>
      <c r="AY213" s="3">
        <v>1</v>
      </c>
    </row>
    <row r="214" spans="2:51" ht="27" customHeight="1">
      <c r="B214" s="104"/>
      <c r="C214" s="1172"/>
      <c r="D214" s="1172"/>
      <c r="E214" s="1172"/>
      <c r="F214" s="1173"/>
      <c r="G214" s="1174"/>
      <c r="H214" s="1175"/>
      <c r="I214" s="1176"/>
      <c r="J214" s="1177"/>
      <c r="K214" s="1547"/>
      <c r="L214" s="1177"/>
      <c r="M214" s="1548"/>
      <c r="N214" s="1549"/>
      <c r="O214" s="1178"/>
      <c r="P214" s="1179"/>
      <c r="Q214" s="1171"/>
      <c r="R214" s="104"/>
      <c r="S214" s="1172"/>
      <c r="T214" s="1172"/>
      <c r="U214" s="1172"/>
      <c r="V214" s="1173"/>
      <c r="W214" s="1174"/>
      <c r="X214" s="1175"/>
      <c r="Y214" s="1176"/>
      <c r="Z214" s="1177"/>
      <c r="AA214" s="1547"/>
      <c r="AB214" s="1177"/>
      <c r="AC214" s="1548"/>
      <c r="AD214" s="1549"/>
      <c r="AE214" s="1178"/>
      <c r="AF214" s="1179"/>
      <c r="AG214" s="1171"/>
      <c r="AH214" s="104"/>
      <c r="AI214" s="1172"/>
      <c r="AJ214" s="1172"/>
      <c r="AK214" s="1172"/>
      <c r="AL214" s="1173"/>
      <c r="AM214" s="1174"/>
      <c r="AN214" s="1175"/>
      <c r="AO214" s="1176"/>
      <c r="AP214" s="1177"/>
      <c r="AQ214" s="1547"/>
      <c r="AR214" s="1177"/>
      <c r="AS214" s="1548"/>
      <c r="AT214" s="1549"/>
      <c r="AU214" s="1178"/>
      <c r="AV214" s="1179"/>
      <c r="AY214" s="3">
        <v>1</v>
      </c>
    </row>
    <row r="215" spans="2:51" ht="27" customHeight="1">
      <c r="B215" s="104"/>
      <c r="C215" s="1172"/>
      <c r="D215" s="1172"/>
      <c r="E215" s="1172"/>
      <c r="F215" s="1173"/>
      <c r="G215" s="1174"/>
      <c r="H215" s="1175"/>
      <c r="I215" s="1176"/>
      <c r="J215" s="1177"/>
      <c r="K215" s="1547"/>
      <c r="L215" s="1177"/>
      <c r="M215" s="1548"/>
      <c r="N215" s="1549"/>
      <c r="O215" s="1178"/>
      <c r="P215" s="1179"/>
      <c r="Q215" s="1171"/>
      <c r="R215" s="104"/>
      <c r="S215" s="1172"/>
      <c r="T215" s="1172"/>
      <c r="U215" s="1172"/>
      <c r="V215" s="1173"/>
      <c r="W215" s="1174"/>
      <c r="X215" s="1175"/>
      <c r="Y215" s="1176"/>
      <c r="Z215" s="1177"/>
      <c r="AA215" s="1547"/>
      <c r="AB215" s="1177"/>
      <c r="AC215" s="1548"/>
      <c r="AD215" s="1549"/>
      <c r="AE215" s="1178"/>
      <c r="AF215" s="1179"/>
      <c r="AG215" s="1171"/>
      <c r="AH215" s="104"/>
      <c r="AI215" s="1172"/>
      <c r="AJ215" s="1172"/>
      <c r="AK215" s="1172"/>
      <c r="AL215" s="1173"/>
      <c r="AM215" s="1174"/>
      <c r="AN215" s="1175"/>
      <c r="AO215" s="1176"/>
      <c r="AP215" s="1177"/>
      <c r="AQ215" s="1547"/>
      <c r="AR215" s="1177"/>
      <c r="AS215" s="1548"/>
      <c r="AT215" s="1549"/>
      <c r="AU215" s="1178"/>
      <c r="AV215" s="1179"/>
      <c r="AY215" s="3">
        <v>1</v>
      </c>
    </row>
    <row r="216" spans="2:51" ht="27" customHeight="1">
      <c r="B216" s="104"/>
      <c r="C216" s="1172"/>
      <c r="D216" s="1172"/>
      <c r="E216" s="1172"/>
      <c r="F216" s="1173"/>
      <c r="G216" s="1174"/>
      <c r="H216" s="1175"/>
      <c r="I216" s="1176"/>
      <c r="J216" s="1177"/>
      <c r="K216" s="1547"/>
      <c r="L216" s="1177"/>
      <c r="M216" s="1548"/>
      <c r="N216" s="1549"/>
      <c r="O216" s="1178"/>
      <c r="P216" s="1179"/>
      <c r="Q216" s="1171"/>
      <c r="R216" s="104"/>
      <c r="S216" s="1172"/>
      <c r="T216" s="1172"/>
      <c r="U216" s="1172"/>
      <c r="V216" s="1173"/>
      <c r="W216" s="1174"/>
      <c r="X216" s="1175"/>
      <c r="Y216" s="1176"/>
      <c r="Z216" s="1177"/>
      <c r="AA216" s="1547"/>
      <c r="AB216" s="1177"/>
      <c r="AC216" s="1548"/>
      <c r="AD216" s="1549"/>
      <c r="AE216" s="1178"/>
      <c r="AF216" s="1179"/>
      <c r="AG216" s="1171"/>
      <c r="AH216" s="104"/>
      <c r="AI216" s="1172"/>
      <c r="AJ216" s="1172"/>
      <c r="AK216" s="1172"/>
      <c r="AL216" s="1173"/>
      <c r="AM216" s="1174"/>
      <c r="AN216" s="1175"/>
      <c r="AO216" s="1176"/>
      <c r="AP216" s="1177"/>
      <c r="AQ216" s="1547"/>
      <c r="AR216" s="1177"/>
      <c r="AS216" s="1548"/>
      <c r="AT216" s="1549"/>
      <c r="AU216" s="1178"/>
      <c r="AV216" s="1179"/>
      <c r="AY216" s="3">
        <v>1</v>
      </c>
    </row>
    <row r="217" spans="2:51" ht="27" customHeight="1">
      <c r="B217" s="104"/>
      <c r="C217" s="1172"/>
      <c r="D217" s="1172"/>
      <c r="E217" s="1172"/>
      <c r="F217" s="1173"/>
      <c r="G217" s="1174"/>
      <c r="H217" s="1175"/>
      <c r="I217" s="1176"/>
      <c r="J217" s="1177"/>
      <c r="K217" s="1547"/>
      <c r="L217" s="1177"/>
      <c r="M217" s="1548"/>
      <c r="N217" s="1549"/>
      <c r="O217" s="1178"/>
      <c r="P217" s="1179"/>
      <c r="Q217" s="1171"/>
      <c r="R217" s="104"/>
      <c r="S217" s="1172"/>
      <c r="T217" s="1172"/>
      <c r="U217" s="1172"/>
      <c r="V217" s="1173"/>
      <c r="W217" s="1174"/>
      <c r="X217" s="1175"/>
      <c r="Y217" s="1176"/>
      <c r="Z217" s="1177"/>
      <c r="AA217" s="1547"/>
      <c r="AB217" s="1177"/>
      <c r="AC217" s="1548"/>
      <c r="AD217" s="1549"/>
      <c r="AE217" s="1178"/>
      <c r="AF217" s="1179"/>
      <c r="AG217" s="1171"/>
      <c r="AH217" s="104"/>
      <c r="AI217" s="1172"/>
      <c r="AJ217" s="1172"/>
      <c r="AK217" s="1172"/>
      <c r="AL217" s="1173"/>
      <c r="AM217" s="1174"/>
      <c r="AN217" s="1175"/>
      <c r="AO217" s="1176"/>
      <c r="AP217" s="1177"/>
      <c r="AQ217" s="1547"/>
      <c r="AR217" s="1177"/>
      <c r="AS217" s="1548"/>
      <c r="AT217" s="1549"/>
      <c r="AU217" s="1178"/>
      <c r="AV217" s="1179"/>
      <c r="AY217" s="3">
        <v>1</v>
      </c>
    </row>
    <row r="218" spans="2:51" ht="27" customHeight="1">
      <c r="B218" s="104"/>
      <c r="C218" s="1172"/>
      <c r="D218" s="1172"/>
      <c r="E218" s="1172"/>
      <c r="F218" s="1173"/>
      <c r="G218" s="1174"/>
      <c r="H218" s="1175"/>
      <c r="I218" s="1176"/>
      <c r="J218" s="1177"/>
      <c r="K218" s="1547"/>
      <c r="L218" s="1177"/>
      <c r="M218" s="1548"/>
      <c r="N218" s="1549"/>
      <c r="O218" s="1178"/>
      <c r="P218" s="1179"/>
      <c r="Q218" s="1171"/>
      <c r="R218" s="104"/>
      <c r="S218" s="1172"/>
      <c r="T218" s="1172"/>
      <c r="U218" s="1172"/>
      <c r="V218" s="1173"/>
      <c r="W218" s="1174"/>
      <c r="X218" s="1175"/>
      <c r="Y218" s="1176"/>
      <c r="Z218" s="1177"/>
      <c r="AA218" s="1547"/>
      <c r="AB218" s="1177"/>
      <c r="AC218" s="1548"/>
      <c r="AD218" s="1549"/>
      <c r="AE218" s="1178"/>
      <c r="AF218" s="1179"/>
      <c r="AG218" s="1171"/>
      <c r="AH218" s="104"/>
      <c r="AI218" s="1172"/>
      <c r="AJ218" s="1172"/>
      <c r="AK218" s="1172"/>
      <c r="AL218" s="1173"/>
      <c r="AM218" s="1174"/>
      <c r="AN218" s="1175"/>
      <c r="AO218" s="1176"/>
      <c r="AP218" s="1177"/>
      <c r="AQ218" s="1547"/>
      <c r="AR218" s="1177"/>
      <c r="AS218" s="1548"/>
      <c r="AT218" s="1549"/>
      <c r="AU218" s="1178"/>
      <c r="AV218" s="1179"/>
      <c r="AY218" s="3">
        <v>1</v>
      </c>
    </row>
    <row r="219" spans="2:51" ht="27" customHeight="1">
      <c r="B219" s="104"/>
      <c r="C219" s="1172"/>
      <c r="D219" s="1172"/>
      <c r="E219" s="1172"/>
      <c r="F219" s="1173"/>
      <c r="G219" s="1174"/>
      <c r="H219" s="1175"/>
      <c r="I219" s="1176"/>
      <c r="J219" s="1177"/>
      <c r="K219" s="1547"/>
      <c r="L219" s="1177"/>
      <c r="M219" s="1548"/>
      <c r="N219" s="1549"/>
      <c r="O219" s="1178"/>
      <c r="P219" s="1179"/>
      <c r="Q219" s="1171"/>
      <c r="R219" s="104"/>
      <c r="S219" s="1172"/>
      <c r="T219" s="1172"/>
      <c r="U219" s="1172"/>
      <c r="V219" s="1173"/>
      <c r="W219" s="1174"/>
      <c r="X219" s="1175"/>
      <c r="Y219" s="1176"/>
      <c r="Z219" s="1177"/>
      <c r="AA219" s="1547"/>
      <c r="AB219" s="1177"/>
      <c r="AC219" s="1548"/>
      <c r="AD219" s="1549"/>
      <c r="AE219" s="1178"/>
      <c r="AF219" s="1179"/>
      <c r="AG219" s="1171"/>
      <c r="AH219" s="104"/>
      <c r="AI219" s="1172"/>
      <c r="AJ219" s="1172"/>
      <c r="AK219" s="1172"/>
      <c r="AL219" s="1173"/>
      <c r="AM219" s="1174"/>
      <c r="AN219" s="1175"/>
      <c r="AO219" s="1176"/>
      <c r="AP219" s="1177"/>
      <c r="AQ219" s="1547"/>
      <c r="AR219" s="1177"/>
      <c r="AS219" s="1548"/>
      <c r="AT219" s="1549"/>
      <c r="AU219" s="1178"/>
      <c r="AV219" s="1179"/>
      <c r="AY219" s="3">
        <v>1</v>
      </c>
    </row>
    <row r="220" spans="2:51" ht="27" customHeight="1">
      <c r="B220" s="104"/>
      <c r="C220" s="1172"/>
      <c r="D220" s="1172"/>
      <c r="E220" s="1172"/>
      <c r="F220" s="1173"/>
      <c r="G220" s="1174"/>
      <c r="H220" s="1175"/>
      <c r="I220" s="1176"/>
      <c r="J220" s="1177"/>
      <c r="K220" s="1547"/>
      <c r="L220" s="1177"/>
      <c r="M220" s="1548"/>
      <c r="N220" s="1549"/>
      <c r="O220" s="1178"/>
      <c r="P220" s="1179"/>
      <c r="Q220" s="1171"/>
      <c r="R220" s="104"/>
      <c r="S220" s="1172"/>
      <c r="T220" s="1172"/>
      <c r="U220" s="1172"/>
      <c r="V220" s="1173"/>
      <c r="W220" s="1174"/>
      <c r="X220" s="1175"/>
      <c r="Y220" s="1176"/>
      <c r="Z220" s="1177"/>
      <c r="AA220" s="1547"/>
      <c r="AB220" s="1177"/>
      <c r="AC220" s="1548"/>
      <c r="AD220" s="1549"/>
      <c r="AE220" s="1178"/>
      <c r="AF220" s="1179"/>
      <c r="AG220" s="1171"/>
      <c r="AH220" s="104"/>
      <c r="AI220" s="1172"/>
      <c r="AJ220" s="1172"/>
      <c r="AK220" s="1172"/>
      <c r="AL220" s="1173"/>
      <c r="AM220" s="1174"/>
      <c r="AN220" s="1175"/>
      <c r="AO220" s="1176"/>
      <c r="AP220" s="1177"/>
      <c r="AQ220" s="1547"/>
      <c r="AR220" s="1177"/>
      <c r="AS220" s="1548"/>
      <c r="AT220" s="1549"/>
      <c r="AU220" s="1178"/>
      <c r="AV220" s="1179"/>
      <c r="AY220" s="3">
        <v>1</v>
      </c>
    </row>
    <row r="221" spans="2:51" ht="27" customHeight="1">
      <c r="B221" s="104"/>
      <c r="C221" s="1172"/>
      <c r="D221" s="1172"/>
      <c r="E221" s="1172"/>
      <c r="F221" s="1173"/>
      <c r="G221" s="1174"/>
      <c r="H221" s="1175"/>
      <c r="I221" s="1176"/>
      <c r="J221" s="1177"/>
      <c r="K221" s="1547"/>
      <c r="L221" s="1177"/>
      <c r="M221" s="1548"/>
      <c r="N221" s="1549"/>
      <c r="O221" s="1178"/>
      <c r="P221" s="1179"/>
      <c r="Q221" s="1171"/>
      <c r="R221" s="104"/>
      <c r="S221" s="1172"/>
      <c r="T221" s="1172"/>
      <c r="U221" s="1172"/>
      <c r="V221" s="1173"/>
      <c r="W221" s="1174"/>
      <c r="X221" s="1175"/>
      <c r="Y221" s="1176"/>
      <c r="Z221" s="1177"/>
      <c r="AA221" s="1547"/>
      <c r="AB221" s="1177"/>
      <c r="AC221" s="1548"/>
      <c r="AD221" s="1549"/>
      <c r="AE221" s="1178"/>
      <c r="AF221" s="1179"/>
      <c r="AG221" s="1171"/>
      <c r="AH221" s="104"/>
      <c r="AI221" s="1172"/>
      <c r="AJ221" s="1172"/>
      <c r="AK221" s="1172"/>
      <c r="AL221" s="1173"/>
      <c r="AM221" s="1174"/>
      <c r="AN221" s="1175"/>
      <c r="AO221" s="1176"/>
      <c r="AP221" s="1177"/>
      <c r="AQ221" s="1547"/>
      <c r="AR221" s="1177"/>
      <c r="AS221" s="1548"/>
      <c r="AT221" s="1549"/>
      <c r="AU221" s="1178"/>
      <c r="AV221" s="1179"/>
      <c r="AY221" s="3">
        <v>1</v>
      </c>
    </row>
    <row r="222" spans="2:51" ht="27" customHeight="1">
      <c r="B222" s="104"/>
      <c r="C222" s="1172"/>
      <c r="D222" s="1172"/>
      <c r="E222" s="1172"/>
      <c r="F222" s="1173"/>
      <c r="G222" s="1174"/>
      <c r="H222" s="1175"/>
      <c r="I222" s="1176"/>
      <c r="J222" s="1177"/>
      <c r="K222" s="1547"/>
      <c r="L222" s="1177"/>
      <c r="M222" s="1548"/>
      <c r="N222" s="1549"/>
      <c r="O222" s="1178"/>
      <c r="P222" s="1179"/>
      <c r="Q222" s="1171"/>
      <c r="R222" s="104"/>
      <c r="S222" s="1172"/>
      <c r="T222" s="1172"/>
      <c r="U222" s="1172"/>
      <c r="V222" s="1173"/>
      <c r="W222" s="1174"/>
      <c r="X222" s="1175"/>
      <c r="Y222" s="1176"/>
      <c r="Z222" s="1177"/>
      <c r="AA222" s="1547"/>
      <c r="AB222" s="1177"/>
      <c r="AC222" s="1548"/>
      <c r="AD222" s="1549"/>
      <c r="AE222" s="1178"/>
      <c r="AF222" s="1179"/>
      <c r="AG222" s="1171"/>
      <c r="AH222" s="104"/>
      <c r="AI222" s="1172"/>
      <c r="AJ222" s="1172"/>
      <c r="AK222" s="1172"/>
      <c r="AL222" s="1173"/>
      <c r="AM222" s="1174"/>
      <c r="AN222" s="1175"/>
      <c r="AO222" s="1176"/>
      <c r="AP222" s="1177"/>
      <c r="AQ222" s="1547"/>
      <c r="AR222" s="1177"/>
      <c r="AS222" s="1548"/>
      <c r="AT222" s="1549"/>
      <c r="AU222" s="1178"/>
      <c r="AV222" s="1179"/>
      <c r="AY222" s="3">
        <v>1</v>
      </c>
    </row>
    <row r="223" spans="2:51" ht="27" customHeight="1">
      <c r="B223" s="104"/>
      <c r="C223" s="1172"/>
      <c r="D223" s="1172"/>
      <c r="E223" s="1172"/>
      <c r="F223" s="1173"/>
      <c r="G223" s="1174"/>
      <c r="H223" s="1175"/>
      <c r="I223" s="1176"/>
      <c r="J223" s="1177"/>
      <c r="K223" s="1547"/>
      <c r="L223" s="1177"/>
      <c r="M223" s="1548"/>
      <c r="N223" s="1549"/>
      <c r="O223" s="1178"/>
      <c r="P223" s="1179"/>
      <c r="Q223" s="1171"/>
      <c r="R223" s="104"/>
      <c r="S223" s="1172"/>
      <c r="T223" s="1172"/>
      <c r="U223" s="1172"/>
      <c r="V223" s="1173"/>
      <c r="W223" s="1174"/>
      <c r="X223" s="1175"/>
      <c r="Y223" s="1176"/>
      <c r="Z223" s="1177"/>
      <c r="AA223" s="1547"/>
      <c r="AB223" s="1177"/>
      <c r="AC223" s="1548"/>
      <c r="AD223" s="1549"/>
      <c r="AE223" s="1178"/>
      <c r="AF223" s="1179"/>
      <c r="AG223" s="1171"/>
      <c r="AH223" s="104"/>
      <c r="AI223" s="1172"/>
      <c r="AJ223" s="1172"/>
      <c r="AK223" s="1172"/>
      <c r="AL223" s="1173"/>
      <c r="AM223" s="1174"/>
      <c r="AN223" s="1175"/>
      <c r="AO223" s="1176"/>
      <c r="AP223" s="1177"/>
      <c r="AQ223" s="1547"/>
      <c r="AR223" s="1177"/>
      <c r="AS223" s="1548"/>
      <c r="AT223" s="1549"/>
      <c r="AU223" s="1178"/>
      <c r="AV223" s="1179"/>
      <c r="AY223" s="3">
        <v>1</v>
      </c>
    </row>
    <row r="224" spans="2:51" ht="27" customHeight="1">
      <c r="B224" s="104"/>
      <c r="C224" s="1172"/>
      <c r="D224" s="1172"/>
      <c r="E224" s="1172"/>
      <c r="F224" s="1173"/>
      <c r="G224" s="1174"/>
      <c r="H224" s="1175"/>
      <c r="I224" s="1176"/>
      <c r="J224" s="1177"/>
      <c r="K224" s="1547"/>
      <c r="L224" s="1177"/>
      <c r="M224" s="1548"/>
      <c r="N224" s="1549"/>
      <c r="O224" s="1178"/>
      <c r="P224" s="1179"/>
      <c r="Q224" s="1171"/>
      <c r="R224" s="104"/>
      <c r="S224" s="1172"/>
      <c r="T224" s="1172"/>
      <c r="U224" s="1172"/>
      <c r="V224" s="1173"/>
      <c r="W224" s="1174"/>
      <c r="X224" s="1175"/>
      <c r="Y224" s="1176"/>
      <c r="Z224" s="1177"/>
      <c r="AA224" s="1547"/>
      <c r="AB224" s="1177"/>
      <c r="AC224" s="1548"/>
      <c r="AD224" s="1549"/>
      <c r="AE224" s="1178"/>
      <c r="AF224" s="1179"/>
      <c r="AG224" s="1171"/>
      <c r="AH224" s="104"/>
      <c r="AI224" s="1172"/>
      <c r="AJ224" s="1172"/>
      <c r="AK224" s="1172"/>
      <c r="AL224" s="1173"/>
      <c r="AM224" s="1174"/>
      <c r="AN224" s="1175"/>
      <c r="AO224" s="1176"/>
      <c r="AP224" s="1177"/>
      <c r="AQ224" s="1547"/>
      <c r="AR224" s="1177"/>
      <c r="AS224" s="1548"/>
      <c r="AT224" s="1549"/>
      <c r="AU224" s="1178"/>
      <c r="AV224" s="1179"/>
      <c r="AY224" s="3">
        <v>1</v>
      </c>
    </row>
    <row r="225" spans="2:51" ht="27" customHeight="1">
      <c r="B225" s="104"/>
      <c r="C225" s="1172"/>
      <c r="D225" s="1172"/>
      <c r="E225" s="1172"/>
      <c r="F225" s="1173"/>
      <c r="G225" s="1174"/>
      <c r="H225" s="1175"/>
      <c r="I225" s="1176"/>
      <c r="J225" s="1177"/>
      <c r="K225" s="1547"/>
      <c r="L225" s="1177"/>
      <c r="M225" s="1548"/>
      <c r="N225" s="1549"/>
      <c r="O225" s="1178"/>
      <c r="P225" s="1179"/>
      <c r="Q225" s="1171"/>
      <c r="R225" s="104"/>
      <c r="S225" s="1172"/>
      <c r="T225" s="1172"/>
      <c r="U225" s="1172"/>
      <c r="V225" s="1173"/>
      <c r="W225" s="1174"/>
      <c r="X225" s="1175"/>
      <c r="Y225" s="1176"/>
      <c r="Z225" s="1177"/>
      <c r="AA225" s="1547"/>
      <c r="AB225" s="1177"/>
      <c r="AC225" s="1548"/>
      <c r="AD225" s="1549"/>
      <c r="AE225" s="1178"/>
      <c r="AF225" s="1179"/>
      <c r="AG225" s="1171"/>
      <c r="AH225" s="104"/>
      <c r="AI225" s="1172"/>
      <c r="AJ225" s="1172"/>
      <c r="AK225" s="1172"/>
      <c r="AL225" s="1173"/>
      <c r="AM225" s="1174"/>
      <c r="AN225" s="1175"/>
      <c r="AO225" s="1176"/>
      <c r="AP225" s="1177"/>
      <c r="AQ225" s="1547"/>
      <c r="AR225" s="1177"/>
      <c r="AS225" s="1548"/>
      <c r="AT225" s="1549"/>
      <c r="AU225" s="1178"/>
      <c r="AV225" s="1179"/>
      <c r="AY225" s="3">
        <v>1</v>
      </c>
    </row>
    <row r="226" spans="2:51" ht="27" customHeight="1">
      <c r="B226" s="104"/>
      <c r="C226" s="1172"/>
      <c r="D226" s="1172"/>
      <c r="E226" s="1172"/>
      <c r="F226" s="1173"/>
      <c r="G226" s="1174"/>
      <c r="H226" s="1175"/>
      <c r="I226" s="1176"/>
      <c r="J226" s="1177"/>
      <c r="K226" s="1547"/>
      <c r="L226" s="1177"/>
      <c r="M226" s="1548"/>
      <c r="N226" s="1549"/>
      <c r="O226" s="1178"/>
      <c r="P226" s="1179"/>
      <c r="Q226" s="1171"/>
      <c r="R226" s="104"/>
      <c r="S226" s="1172"/>
      <c r="T226" s="1172"/>
      <c r="U226" s="1172"/>
      <c r="V226" s="1173"/>
      <c r="W226" s="1174"/>
      <c r="X226" s="1175"/>
      <c r="Y226" s="1176"/>
      <c r="Z226" s="1177"/>
      <c r="AA226" s="1547"/>
      <c r="AB226" s="1177"/>
      <c r="AC226" s="1548"/>
      <c r="AD226" s="1549"/>
      <c r="AE226" s="1178"/>
      <c r="AF226" s="1179"/>
      <c r="AG226" s="1171"/>
      <c r="AH226" s="104"/>
      <c r="AI226" s="1172"/>
      <c r="AJ226" s="1172"/>
      <c r="AK226" s="1172"/>
      <c r="AL226" s="1173"/>
      <c r="AM226" s="1174"/>
      <c r="AN226" s="1175"/>
      <c r="AO226" s="1176"/>
      <c r="AP226" s="1177"/>
      <c r="AQ226" s="1547"/>
      <c r="AR226" s="1177"/>
      <c r="AS226" s="1548"/>
      <c r="AT226" s="1549"/>
      <c r="AU226" s="1178"/>
      <c r="AV226" s="1179"/>
      <c r="AY226" s="3">
        <v>1</v>
      </c>
    </row>
    <row r="227" spans="2:51" ht="27" customHeight="1">
      <c r="B227" s="104"/>
      <c r="C227" s="1172"/>
      <c r="D227" s="1172"/>
      <c r="E227" s="1172"/>
      <c r="F227" s="1173"/>
      <c r="G227" s="1174"/>
      <c r="H227" s="1175"/>
      <c r="I227" s="1176"/>
      <c r="J227" s="1177"/>
      <c r="K227" s="1547"/>
      <c r="L227" s="1177"/>
      <c r="M227" s="1548"/>
      <c r="N227" s="1549"/>
      <c r="O227" s="1178"/>
      <c r="P227" s="1179"/>
      <c r="Q227" s="1171"/>
      <c r="R227" s="104"/>
      <c r="S227" s="1172"/>
      <c r="T227" s="1172"/>
      <c r="U227" s="1172"/>
      <c r="V227" s="1173"/>
      <c r="W227" s="1174"/>
      <c r="X227" s="1175"/>
      <c r="Y227" s="1176"/>
      <c r="Z227" s="1177"/>
      <c r="AA227" s="1547"/>
      <c r="AB227" s="1177"/>
      <c r="AC227" s="1548"/>
      <c r="AD227" s="1549"/>
      <c r="AE227" s="1178"/>
      <c r="AF227" s="1179"/>
      <c r="AG227" s="1171"/>
      <c r="AH227" s="104"/>
      <c r="AI227" s="1172"/>
      <c r="AJ227" s="1172"/>
      <c r="AK227" s="1172"/>
      <c r="AL227" s="1173"/>
      <c r="AM227" s="1174"/>
      <c r="AN227" s="1175"/>
      <c r="AO227" s="1176"/>
      <c r="AP227" s="1177"/>
      <c r="AQ227" s="1547"/>
      <c r="AR227" s="1177"/>
      <c r="AS227" s="1548"/>
      <c r="AT227" s="1549"/>
      <c r="AU227" s="1178"/>
      <c r="AV227" s="1179"/>
      <c r="AY227" s="3">
        <v>1</v>
      </c>
    </row>
    <row r="228" spans="2:51" ht="27" customHeight="1">
      <c r="B228" s="104"/>
      <c r="C228" s="1172"/>
      <c r="D228" s="1172"/>
      <c r="E228" s="1172"/>
      <c r="F228" s="1173"/>
      <c r="G228" s="1174"/>
      <c r="H228" s="1175"/>
      <c r="I228" s="1176"/>
      <c r="J228" s="1177"/>
      <c r="K228" s="1547"/>
      <c r="L228" s="1177"/>
      <c r="M228" s="1548"/>
      <c r="N228" s="1549"/>
      <c r="O228" s="1178"/>
      <c r="P228" s="1179"/>
      <c r="Q228" s="1180"/>
      <c r="R228" s="104"/>
      <c r="S228" s="1172"/>
      <c r="T228" s="1172"/>
      <c r="U228" s="1172"/>
      <c r="V228" s="1173"/>
      <c r="W228" s="1174"/>
      <c r="X228" s="1175"/>
      <c r="Y228" s="1176"/>
      <c r="Z228" s="1177"/>
      <c r="AA228" s="1547"/>
      <c r="AB228" s="1177"/>
      <c r="AC228" s="1548"/>
      <c r="AD228" s="1549"/>
      <c r="AE228" s="1178"/>
      <c r="AF228" s="1179"/>
      <c r="AG228" s="1171"/>
      <c r="AH228" s="104"/>
      <c r="AI228" s="1172"/>
      <c r="AJ228" s="1172"/>
      <c r="AK228" s="1172"/>
      <c r="AL228" s="1173"/>
      <c r="AM228" s="1174"/>
      <c r="AN228" s="1175"/>
      <c r="AO228" s="1176"/>
      <c r="AP228" s="1177"/>
      <c r="AQ228" s="1547"/>
      <c r="AR228" s="1177"/>
      <c r="AS228" s="1548"/>
      <c r="AT228" s="1549"/>
      <c r="AU228" s="1178"/>
      <c r="AV228" s="1179"/>
      <c r="AY228" s="3">
        <v>1</v>
      </c>
    </row>
    <row r="229" spans="2:51" ht="27" customHeight="1">
      <c r="B229" s="104"/>
      <c r="C229" s="1172"/>
      <c r="D229" s="1172"/>
      <c r="E229" s="1172"/>
      <c r="F229" s="1173"/>
      <c r="G229" s="1174"/>
      <c r="H229" s="1175"/>
      <c r="I229" s="1176"/>
      <c r="J229" s="1177"/>
      <c r="K229" s="1547"/>
      <c r="L229" s="1177"/>
      <c r="M229" s="1548"/>
      <c r="N229" s="1549"/>
      <c r="O229" s="1178"/>
      <c r="P229" s="1179"/>
      <c r="Q229" s="1180"/>
      <c r="R229" s="104"/>
      <c r="S229" s="1172"/>
      <c r="T229" s="1172"/>
      <c r="U229" s="1172"/>
      <c r="V229" s="1173"/>
      <c r="W229" s="1174"/>
      <c r="X229" s="1175"/>
      <c r="Y229" s="1176"/>
      <c r="Z229" s="1177"/>
      <c r="AA229" s="1547"/>
      <c r="AB229" s="1177"/>
      <c r="AC229" s="1548"/>
      <c r="AD229" s="1549"/>
      <c r="AE229" s="1178"/>
      <c r="AF229" s="1179"/>
      <c r="AG229" s="1171"/>
      <c r="AH229" s="104"/>
      <c r="AI229" s="1172"/>
      <c r="AJ229" s="1172"/>
      <c r="AK229" s="1172"/>
      <c r="AL229" s="1173"/>
      <c r="AM229" s="1174"/>
      <c r="AN229" s="1175"/>
      <c r="AO229" s="1176"/>
      <c r="AP229" s="1177"/>
      <c r="AQ229" s="1547"/>
      <c r="AR229" s="1177"/>
      <c r="AS229" s="1548"/>
      <c r="AT229" s="1549"/>
      <c r="AU229" s="1178"/>
      <c r="AV229" s="1179"/>
      <c r="AY229" s="3">
        <v>1</v>
      </c>
    </row>
    <row r="230" spans="2:51" ht="27" customHeight="1">
      <c r="B230" s="104"/>
      <c r="C230" s="1172"/>
      <c r="D230" s="1172"/>
      <c r="E230" s="1172"/>
      <c r="F230" s="1173"/>
      <c r="G230" s="1174"/>
      <c r="H230" s="1175"/>
      <c r="I230" s="1176"/>
      <c r="J230" s="1177"/>
      <c r="K230" s="1547"/>
      <c r="L230" s="1177"/>
      <c r="M230" s="1548"/>
      <c r="N230" s="1549"/>
      <c r="O230" s="1178"/>
      <c r="P230" s="1179"/>
      <c r="R230" s="104"/>
      <c r="S230" s="1172"/>
      <c r="T230" s="1172"/>
      <c r="U230" s="1172"/>
      <c r="V230" s="1173"/>
      <c r="W230" s="1174"/>
      <c r="X230" s="1175"/>
      <c r="Y230" s="1176"/>
      <c r="Z230" s="1177"/>
      <c r="AA230" s="1547"/>
      <c r="AB230" s="1177"/>
      <c r="AC230" s="1548"/>
      <c r="AD230" s="1549"/>
      <c r="AE230" s="1178"/>
      <c r="AF230" s="1179"/>
      <c r="AH230" s="104"/>
      <c r="AI230" s="1172"/>
      <c r="AJ230" s="1172"/>
      <c r="AK230" s="1172"/>
      <c r="AL230" s="1173"/>
      <c r="AM230" s="1174"/>
      <c r="AN230" s="1175"/>
      <c r="AO230" s="1176"/>
      <c r="AP230" s="1177"/>
      <c r="AQ230" s="1547"/>
      <c r="AR230" s="1177"/>
      <c r="AS230" s="1548"/>
      <c r="AT230" s="1549"/>
      <c r="AU230" s="1178"/>
      <c r="AV230" s="1179"/>
      <c r="AY230" s="3">
        <v>1</v>
      </c>
    </row>
    <row r="231" spans="2:51" ht="27" customHeight="1">
      <c r="B231" s="104"/>
      <c r="C231" s="1172"/>
      <c r="D231" s="1172"/>
      <c r="E231" s="1172"/>
      <c r="F231" s="1173"/>
      <c r="G231" s="1174"/>
      <c r="H231" s="1175"/>
      <c r="I231" s="1176"/>
      <c r="J231" s="1177"/>
      <c r="K231" s="1547"/>
      <c r="L231" s="1177"/>
      <c r="M231" s="1548"/>
      <c r="N231" s="1549"/>
      <c r="O231" s="1178"/>
      <c r="P231" s="1179"/>
      <c r="R231" s="104"/>
      <c r="S231" s="1172"/>
      <c r="T231" s="1172"/>
      <c r="U231" s="1172"/>
      <c r="V231" s="1173"/>
      <c r="W231" s="1174"/>
      <c r="X231" s="1175"/>
      <c r="Y231" s="1176"/>
      <c r="Z231" s="1177"/>
      <c r="AA231" s="1547"/>
      <c r="AB231" s="1177"/>
      <c r="AC231" s="1548"/>
      <c r="AD231" s="1549"/>
      <c r="AE231" s="1178"/>
      <c r="AF231" s="1179"/>
      <c r="AH231" s="104"/>
      <c r="AI231" s="1172"/>
      <c r="AJ231" s="1172"/>
      <c r="AK231" s="1172"/>
      <c r="AL231" s="1173"/>
      <c r="AM231" s="1174"/>
      <c r="AN231" s="1175"/>
      <c r="AO231" s="1176"/>
      <c r="AP231" s="1177"/>
      <c r="AQ231" s="1547"/>
      <c r="AR231" s="1177"/>
      <c r="AS231" s="1548"/>
      <c r="AT231" s="1549"/>
      <c r="AU231" s="1178"/>
      <c r="AV231" s="1179"/>
      <c r="AY231" s="3">
        <v>1</v>
      </c>
    </row>
    <row r="232" spans="2:51" ht="27" customHeight="1">
      <c r="B232" s="104"/>
      <c r="C232" s="1172"/>
      <c r="D232" s="1172"/>
      <c r="E232" s="1172"/>
      <c r="F232" s="1173"/>
      <c r="G232" s="1174"/>
      <c r="H232" s="1175"/>
      <c r="I232" s="1176"/>
      <c r="J232" s="1177"/>
      <c r="K232" s="1547"/>
      <c r="L232" s="1177"/>
      <c r="M232" s="1548"/>
      <c r="N232" s="1549"/>
      <c r="O232" s="1178"/>
      <c r="P232" s="1179"/>
      <c r="R232" s="104"/>
      <c r="S232" s="1172"/>
      <c r="T232" s="1172"/>
      <c r="U232" s="1172"/>
      <c r="V232" s="1173"/>
      <c r="W232" s="1174"/>
      <c r="X232" s="1175"/>
      <c r="Y232" s="1176"/>
      <c r="Z232" s="1177"/>
      <c r="AA232" s="1547"/>
      <c r="AB232" s="1177"/>
      <c r="AC232" s="1548"/>
      <c r="AD232" s="1549"/>
      <c r="AE232" s="1178"/>
      <c r="AF232" s="1179"/>
      <c r="AH232" s="104"/>
      <c r="AI232" s="1172"/>
      <c r="AJ232" s="1172"/>
      <c r="AK232" s="1172"/>
      <c r="AL232" s="1173"/>
      <c r="AM232" s="1174"/>
      <c r="AN232" s="1175"/>
      <c r="AO232" s="1176"/>
      <c r="AP232" s="1177"/>
      <c r="AQ232" s="1547"/>
      <c r="AR232" s="1177"/>
      <c r="AS232" s="1548"/>
      <c r="AT232" s="1549"/>
      <c r="AU232" s="1178"/>
      <c r="AV232" s="1179"/>
      <c r="AY232" s="3">
        <v>1</v>
      </c>
    </row>
    <row r="233" spans="2:51" ht="27" customHeight="1">
      <c r="B233" s="104"/>
      <c r="C233" s="1172"/>
      <c r="D233" s="1172"/>
      <c r="E233" s="1172"/>
      <c r="F233" s="1173"/>
      <c r="G233" s="1174"/>
      <c r="H233" s="1175"/>
      <c r="I233" s="1176"/>
      <c r="J233" s="1177"/>
      <c r="K233" s="1547"/>
      <c r="L233" s="1177"/>
      <c r="M233" s="1548"/>
      <c r="N233" s="1549"/>
      <c r="O233" s="1178"/>
      <c r="P233" s="1179"/>
      <c r="R233" s="104"/>
      <c r="S233" s="1172"/>
      <c r="T233" s="1172"/>
      <c r="U233" s="1172"/>
      <c r="V233" s="1173"/>
      <c r="W233" s="1174"/>
      <c r="X233" s="1175"/>
      <c r="Y233" s="1176"/>
      <c r="Z233" s="1177"/>
      <c r="AA233" s="1547"/>
      <c r="AB233" s="1177"/>
      <c r="AC233" s="1548"/>
      <c r="AD233" s="1549"/>
      <c r="AE233" s="1178"/>
      <c r="AF233" s="1179"/>
      <c r="AH233" s="104"/>
      <c r="AI233" s="1172"/>
      <c r="AJ233" s="1172"/>
      <c r="AK233" s="1172"/>
      <c r="AL233" s="1173"/>
      <c r="AM233" s="1174"/>
      <c r="AN233" s="1175"/>
      <c r="AO233" s="1176"/>
      <c r="AP233" s="1177"/>
      <c r="AQ233" s="1547"/>
      <c r="AR233" s="1177"/>
      <c r="AS233" s="1548"/>
      <c r="AT233" s="1549"/>
      <c r="AU233" s="1178"/>
      <c r="AV233" s="1179"/>
      <c r="AY233" s="3">
        <v>1</v>
      </c>
    </row>
    <row r="234" spans="2:51" ht="27" customHeight="1">
      <c r="B234" s="104"/>
      <c r="C234" s="1172"/>
      <c r="D234" s="1172"/>
      <c r="E234" s="1172"/>
      <c r="F234" s="1173"/>
      <c r="G234" s="1174"/>
      <c r="H234" s="1175"/>
      <c r="I234" s="1176"/>
      <c r="J234" s="1177"/>
      <c r="K234" s="1547"/>
      <c r="L234" s="1177"/>
      <c r="M234" s="1548"/>
      <c r="N234" s="1549"/>
      <c r="O234" s="1178"/>
      <c r="P234" s="1179"/>
      <c r="R234" s="104"/>
      <c r="S234" s="1172"/>
      <c r="T234" s="1172"/>
      <c r="U234" s="1172"/>
      <c r="V234" s="1173"/>
      <c r="W234" s="1174"/>
      <c r="X234" s="1175"/>
      <c r="Y234" s="1176"/>
      <c r="Z234" s="1177"/>
      <c r="AA234" s="1547"/>
      <c r="AB234" s="1177"/>
      <c r="AC234" s="1548"/>
      <c r="AD234" s="1549"/>
      <c r="AE234" s="1178"/>
      <c r="AF234" s="1179"/>
      <c r="AH234" s="104"/>
      <c r="AI234" s="1172"/>
      <c r="AJ234" s="1172"/>
      <c r="AK234" s="1172"/>
      <c r="AL234" s="1173"/>
      <c r="AM234" s="1174"/>
      <c r="AN234" s="1175"/>
      <c r="AO234" s="1176"/>
      <c r="AP234" s="1177"/>
      <c r="AQ234" s="1547"/>
      <c r="AR234" s="1177"/>
      <c r="AS234" s="1548"/>
      <c r="AT234" s="1549"/>
      <c r="AU234" s="1178"/>
      <c r="AV234" s="1179"/>
      <c r="AY234" s="3">
        <v>1</v>
      </c>
    </row>
    <row r="235" spans="2:51" ht="27" customHeight="1">
      <c r="B235" s="104"/>
      <c r="C235" s="1172"/>
      <c r="D235" s="1172"/>
      <c r="E235" s="1172"/>
      <c r="F235" s="1173"/>
      <c r="G235" s="1174"/>
      <c r="H235" s="1175"/>
      <c r="I235" s="1176"/>
      <c r="J235" s="1177"/>
      <c r="K235" s="1547"/>
      <c r="L235" s="1177"/>
      <c r="M235" s="1548"/>
      <c r="N235" s="1549"/>
      <c r="O235" s="1178"/>
      <c r="P235" s="1179"/>
      <c r="R235" s="104"/>
      <c r="S235" s="1172"/>
      <c r="T235" s="1172"/>
      <c r="U235" s="1172"/>
      <c r="V235" s="1173"/>
      <c r="W235" s="1174"/>
      <c r="X235" s="1175"/>
      <c r="Y235" s="1176"/>
      <c r="Z235" s="1177"/>
      <c r="AA235" s="1547"/>
      <c r="AB235" s="1177"/>
      <c r="AC235" s="1548"/>
      <c r="AD235" s="1549"/>
      <c r="AE235" s="1178"/>
      <c r="AF235" s="1179"/>
      <c r="AH235" s="104"/>
      <c r="AI235" s="1172"/>
      <c r="AJ235" s="1172"/>
      <c r="AK235" s="1172"/>
      <c r="AL235" s="1173"/>
      <c r="AM235" s="1174"/>
      <c r="AN235" s="1175"/>
      <c r="AO235" s="1176"/>
      <c r="AP235" s="1177"/>
      <c r="AQ235" s="1547"/>
      <c r="AR235" s="1177"/>
      <c r="AS235" s="1548"/>
      <c r="AT235" s="1549"/>
      <c r="AU235" s="1178"/>
      <c r="AV235" s="1179"/>
      <c r="AY235" s="3">
        <v>1</v>
      </c>
    </row>
    <row r="236" spans="2:51" ht="27" customHeight="1">
      <c r="B236" s="104"/>
      <c r="C236" s="1172"/>
      <c r="D236" s="1172"/>
      <c r="E236" s="1172"/>
      <c r="F236" s="1173"/>
      <c r="G236" s="1174"/>
      <c r="H236" s="1175"/>
      <c r="I236" s="1176"/>
      <c r="J236" s="1177"/>
      <c r="K236" s="1547"/>
      <c r="L236" s="1177"/>
      <c r="M236" s="1548"/>
      <c r="N236" s="1549"/>
      <c r="O236" s="1178"/>
      <c r="P236" s="1179"/>
      <c r="R236" s="104"/>
      <c r="S236" s="1172"/>
      <c r="T236" s="1172"/>
      <c r="U236" s="1172"/>
      <c r="V236" s="1173"/>
      <c r="W236" s="1174"/>
      <c r="X236" s="1175"/>
      <c r="Y236" s="1176"/>
      <c r="Z236" s="1177"/>
      <c r="AA236" s="1547"/>
      <c r="AB236" s="1177"/>
      <c r="AC236" s="1548"/>
      <c r="AD236" s="1549"/>
      <c r="AE236" s="1178"/>
      <c r="AF236" s="1179"/>
      <c r="AH236" s="104"/>
      <c r="AI236" s="1172"/>
      <c r="AJ236" s="1172"/>
      <c r="AK236" s="1172"/>
      <c r="AL236" s="1173"/>
      <c r="AM236" s="1174"/>
      <c r="AN236" s="1175"/>
      <c r="AO236" s="1176"/>
      <c r="AP236" s="1177"/>
      <c r="AQ236" s="1547"/>
      <c r="AR236" s="1177"/>
      <c r="AS236" s="1548"/>
      <c r="AT236" s="1549"/>
      <c r="AU236" s="1178"/>
      <c r="AV236" s="1179"/>
      <c r="AY236" s="3">
        <v>1</v>
      </c>
    </row>
    <row r="237" spans="2:51" ht="27" customHeight="1">
      <c r="B237" s="104"/>
      <c r="C237" s="1172"/>
      <c r="D237" s="1172"/>
      <c r="E237" s="1172"/>
      <c r="F237" s="1173"/>
      <c r="G237" s="1174"/>
      <c r="H237" s="1175"/>
      <c r="I237" s="1176"/>
      <c r="J237" s="1177"/>
      <c r="K237" s="1547"/>
      <c r="L237" s="1177"/>
      <c r="M237" s="1548"/>
      <c r="N237" s="1549"/>
      <c r="O237" s="1178"/>
      <c r="P237" s="1179"/>
      <c r="R237" s="104"/>
      <c r="S237" s="1172"/>
      <c r="T237" s="1172"/>
      <c r="U237" s="1172"/>
      <c r="V237" s="1173"/>
      <c r="W237" s="1174"/>
      <c r="X237" s="1175"/>
      <c r="Y237" s="1176"/>
      <c r="Z237" s="1177"/>
      <c r="AA237" s="1547"/>
      <c r="AB237" s="1177"/>
      <c r="AC237" s="1548"/>
      <c r="AD237" s="1549"/>
      <c r="AE237" s="1178"/>
      <c r="AF237" s="1179"/>
      <c r="AH237" s="104"/>
      <c r="AI237" s="1172"/>
      <c r="AJ237" s="1172"/>
      <c r="AK237" s="1172"/>
      <c r="AL237" s="1173"/>
      <c r="AM237" s="1174"/>
      <c r="AN237" s="1175"/>
      <c r="AO237" s="1176"/>
      <c r="AP237" s="1177"/>
      <c r="AQ237" s="1547"/>
      <c r="AR237" s="1177"/>
      <c r="AS237" s="1548"/>
      <c r="AT237" s="1549"/>
      <c r="AU237" s="1178"/>
      <c r="AV237" s="1179"/>
      <c r="AY237" s="3">
        <v>1</v>
      </c>
    </row>
    <row r="238" spans="2:51" ht="27" customHeight="1">
      <c r="B238" s="104"/>
      <c r="C238" s="1172"/>
      <c r="D238" s="1172"/>
      <c r="E238" s="1172"/>
      <c r="F238" s="1173"/>
      <c r="G238" s="1174"/>
      <c r="H238" s="1175"/>
      <c r="I238" s="1176"/>
      <c r="J238" s="1177"/>
      <c r="K238" s="1547"/>
      <c r="L238" s="1177"/>
      <c r="M238" s="1548"/>
      <c r="N238" s="1549"/>
      <c r="O238" s="1178"/>
      <c r="P238" s="1179"/>
      <c r="R238" s="104"/>
      <c r="S238" s="1172"/>
      <c r="T238" s="1172"/>
      <c r="U238" s="1172"/>
      <c r="V238" s="1173"/>
      <c r="W238" s="1174"/>
      <c r="X238" s="1175"/>
      <c r="Y238" s="1176"/>
      <c r="Z238" s="1177"/>
      <c r="AA238" s="1547"/>
      <c r="AB238" s="1177"/>
      <c r="AC238" s="1548"/>
      <c r="AD238" s="1549"/>
      <c r="AE238" s="1178"/>
      <c r="AF238" s="1179"/>
      <c r="AH238" s="104"/>
      <c r="AI238" s="1172"/>
      <c r="AJ238" s="1172"/>
      <c r="AK238" s="1172"/>
      <c r="AL238" s="1173"/>
      <c r="AM238" s="1174"/>
      <c r="AN238" s="1175"/>
      <c r="AO238" s="1176"/>
      <c r="AP238" s="1177"/>
      <c r="AQ238" s="1547"/>
      <c r="AR238" s="1177"/>
      <c r="AS238" s="1548"/>
      <c r="AT238" s="1549"/>
      <c r="AU238" s="1178"/>
      <c r="AV238" s="1179"/>
      <c r="AY238" s="3">
        <v>1</v>
      </c>
    </row>
    <row r="239" spans="2:51" ht="27" customHeight="1">
      <c r="B239" s="104"/>
      <c r="C239" s="1172"/>
      <c r="D239" s="1172"/>
      <c r="E239" s="1172"/>
      <c r="F239" s="1173"/>
      <c r="G239" s="1174"/>
      <c r="H239" s="1175"/>
      <c r="I239" s="1176"/>
      <c r="J239" s="1177"/>
      <c r="K239" s="1547"/>
      <c r="L239" s="1177"/>
      <c r="M239" s="1548"/>
      <c r="N239" s="1549"/>
      <c r="O239" s="1178"/>
      <c r="P239" s="1179"/>
      <c r="R239" s="104"/>
      <c r="S239" s="1172"/>
      <c r="T239" s="1172"/>
      <c r="U239" s="1172"/>
      <c r="V239" s="1173"/>
      <c r="W239" s="1174"/>
      <c r="X239" s="1175"/>
      <c r="Y239" s="1176"/>
      <c r="Z239" s="1177"/>
      <c r="AA239" s="1547"/>
      <c r="AB239" s="1177"/>
      <c r="AC239" s="1548"/>
      <c r="AD239" s="1549"/>
      <c r="AE239" s="1178"/>
      <c r="AF239" s="1179"/>
      <c r="AH239" s="104"/>
      <c r="AI239" s="1172"/>
      <c r="AJ239" s="1172"/>
      <c r="AK239" s="1172"/>
      <c r="AL239" s="1173"/>
      <c r="AM239" s="1174"/>
      <c r="AN239" s="1175"/>
      <c r="AO239" s="1176"/>
      <c r="AP239" s="1177"/>
      <c r="AQ239" s="1547"/>
      <c r="AR239" s="1177"/>
      <c r="AS239" s="1548"/>
      <c r="AT239" s="1549"/>
      <c r="AU239" s="1178"/>
      <c r="AV239" s="1179"/>
      <c r="AY239" s="3">
        <v>1</v>
      </c>
    </row>
    <row r="240" spans="2:51" ht="27" customHeight="1">
      <c r="B240" s="104"/>
      <c r="C240" s="1172"/>
      <c r="D240" s="1172"/>
      <c r="E240" s="1172"/>
      <c r="F240" s="1173"/>
      <c r="G240" s="1174"/>
      <c r="H240" s="1175"/>
      <c r="I240" s="1176"/>
      <c r="J240" s="1177"/>
      <c r="K240" s="1547"/>
      <c r="L240" s="1177"/>
      <c r="M240" s="1548"/>
      <c r="N240" s="1549"/>
      <c r="O240" s="1178"/>
      <c r="P240" s="1179"/>
      <c r="R240" s="104"/>
      <c r="S240" s="1172"/>
      <c r="T240" s="1172"/>
      <c r="U240" s="1172"/>
      <c r="V240" s="1173"/>
      <c r="W240" s="1174"/>
      <c r="X240" s="1175"/>
      <c r="Y240" s="1176"/>
      <c r="Z240" s="1177"/>
      <c r="AA240" s="1547"/>
      <c r="AB240" s="1177"/>
      <c r="AC240" s="1548"/>
      <c r="AD240" s="1549"/>
      <c r="AE240" s="1178"/>
      <c r="AF240" s="1179"/>
      <c r="AH240" s="104"/>
      <c r="AI240" s="1172"/>
      <c r="AJ240" s="1172"/>
      <c r="AK240" s="1172"/>
      <c r="AL240" s="1173"/>
      <c r="AM240" s="1174"/>
      <c r="AN240" s="1175"/>
      <c r="AO240" s="1176"/>
      <c r="AP240" s="1177"/>
      <c r="AQ240" s="1547"/>
      <c r="AR240" s="1177"/>
      <c r="AS240" s="1548"/>
      <c r="AT240" s="1549"/>
      <c r="AU240" s="1178"/>
      <c r="AV240" s="1179"/>
      <c r="AY240" s="3">
        <v>1</v>
      </c>
    </row>
    <row r="241" spans="2:51" ht="27" customHeight="1">
      <c r="B241" s="104"/>
      <c r="C241" s="1172"/>
      <c r="D241" s="1172"/>
      <c r="E241" s="1172"/>
      <c r="F241" s="1173"/>
      <c r="G241" s="1174"/>
      <c r="H241" s="1175"/>
      <c r="I241" s="1176"/>
      <c r="J241" s="1177"/>
      <c r="K241" s="1547"/>
      <c r="L241" s="1177"/>
      <c r="M241" s="1548"/>
      <c r="N241" s="1549"/>
      <c r="O241" s="1178"/>
      <c r="P241" s="1179"/>
      <c r="R241" s="104"/>
      <c r="S241" s="1172"/>
      <c r="T241" s="1172"/>
      <c r="U241" s="1172"/>
      <c r="V241" s="1173"/>
      <c r="W241" s="1174"/>
      <c r="X241" s="1175"/>
      <c r="Y241" s="1176"/>
      <c r="Z241" s="1177"/>
      <c r="AA241" s="1547"/>
      <c r="AB241" s="1177"/>
      <c r="AC241" s="1548"/>
      <c r="AD241" s="1549"/>
      <c r="AE241" s="1178"/>
      <c r="AF241" s="1179"/>
      <c r="AH241" s="104"/>
      <c r="AI241" s="1172"/>
      <c r="AJ241" s="1172"/>
      <c r="AK241" s="1172"/>
      <c r="AL241" s="1173"/>
      <c r="AM241" s="1174"/>
      <c r="AN241" s="1175"/>
      <c r="AO241" s="1176"/>
      <c r="AP241" s="1177"/>
      <c r="AQ241" s="1547"/>
      <c r="AR241" s="1177"/>
      <c r="AS241" s="1548"/>
      <c r="AT241" s="1549"/>
      <c r="AU241" s="1178"/>
      <c r="AV241" s="1179"/>
      <c r="AY241" s="3">
        <v>1</v>
      </c>
    </row>
    <row r="242" spans="2:51" ht="27" customHeight="1">
      <c r="B242" s="104"/>
      <c r="C242" s="1172"/>
      <c r="D242" s="1172"/>
      <c r="E242" s="1172"/>
      <c r="F242" s="1173"/>
      <c r="G242" s="1174"/>
      <c r="H242" s="1175"/>
      <c r="I242" s="1176"/>
      <c r="J242" s="1177"/>
      <c r="K242" s="1547"/>
      <c r="L242" s="1177"/>
      <c r="M242" s="1548"/>
      <c r="N242" s="1549"/>
      <c r="O242" s="1178"/>
      <c r="P242" s="1179"/>
      <c r="R242" s="104"/>
      <c r="S242" s="1172"/>
      <c r="T242" s="1172"/>
      <c r="U242" s="1172"/>
      <c r="V242" s="1173"/>
      <c r="W242" s="1174"/>
      <c r="X242" s="1175"/>
      <c r="Y242" s="1176"/>
      <c r="Z242" s="1177"/>
      <c r="AA242" s="1547"/>
      <c r="AB242" s="1177"/>
      <c r="AC242" s="1548"/>
      <c r="AD242" s="1549"/>
      <c r="AE242" s="1178"/>
      <c r="AF242" s="1179"/>
      <c r="AH242" s="104"/>
      <c r="AI242" s="1172"/>
      <c r="AJ242" s="1172"/>
      <c r="AK242" s="1172"/>
      <c r="AL242" s="1173"/>
      <c r="AM242" s="1174"/>
      <c r="AN242" s="1175"/>
      <c r="AO242" s="1176"/>
      <c r="AP242" s="1177"/>
      <c r="AQ242" s="1547"/>
      <c r="AR242" s="1177"/>
      <c r="AS242" s="1548"/>
      <c r="AT242" s="1549"/>
      <c r="AU242" s="1178"/>
      <c r="AV242" s="1179"/>
      <c r="AY242" s="3">
        <v>1</v>
      </c>
    </row>
    <row r="243" spans="2:51" ht="27" customHeight="1">
      <c r="B243" s="104"/>
      <c r="C243" s="1172"/>
      <c r="D243" s="1172"/>
      <c r="E243" s="1172"/>
      <c r="F243" s="1173"/>
      <c r="G243" s="1174"/>
      <c r="H243" s="1175"/>
      <c r="I243" s="1176"/>
      <c r="J243" s="1177"/>
      <c r="K243" s="1547"/>
      <c r="L243" s="1177"/>
      <c r="M243" s="1548"/>
      <c r="N243" s="1549"/>
      <c r="O243" s="1178"/>
      <c r="P243" s="1179"/>
      <c r="R243" s="104"/>
      <c r="S243" s="1172"/>
      <c r="T243" s="1172"/>
      <c r="U243" s="1172"/>
      <c r="V243" s="1173"/>
      <c r="W243" s="1174"/>
      <c r="X243" s="1175"/>
      <c r="Y243" s="1176"/>
      <c r="Z243" s="1177"/>
      <c r="AA243" s="1547"/>
      <c r="AB243" s="1177"/>
      <c r="AC243" s="1548"/>
      <c r="AD243" s="1549"/>
      <c r="AE243" s="1178"/>
      <c r="AF243" s="1179"/>
      <c r="AH243" s="104"/>
      <c r="AI243" s="1172"/>
      <c r="AJ243" s="1172"/>
      <c r="AK243" s="1172"/>
      <c r="AL243" s="1173"/>
      <c r="AM243" s="1174"/>
      <c r="AN243" s="1175"/>
      <c r="AO243" s="1176"/>
      <c r="AP243" s="1177"/>
      <c r="AQ243" s="1547"/>
      <c r="AR243" s="1177"/>
      <c r="AS243" s="1548"/>
      <c r="AT243" s="1549"/>
      <c r="AU243" s="1178"/>
      <c r="AV243" s="1179"/>
      <c r="AY243" s="3">
        <v>1</v>
      </c>
    </row>
    <row r="244" spans="2:51" ht="27" customHeight="1">
      <c r="B244" s="104"/>
      <c r="C244" s="1172"/>
      <c r="D244" s="1172"/>
      <c r="E244" s="1172"/>
      <c r="F244" s="1173"/>
      <c r="G244" s="1174"/>
      <c r="H244" s="1175"/>
      <c r="I244" s="1176"/>
      <c r="J244" s="1177"/>
      <c r="K244" s="1547"/>
      <c r="L244" s="1177"/>
      <c r="M244" s="1548"/>
      <c r="N244" s="1549"/>
      <c r="O244" s="1178"/>
      <c r="P244" s="1179"/>
      <c r="R244" s="104"/>
      <c r="S244" s="1172"/>
      <c r="T244" s="1172"/>
      <c r="U244" s="1172"/>
      <c r="V244" s="1173"/>
      <c r="W244" s="1174"/>
      <c r="X244" s="1175"/>
      <c r="Y244" s="1176"/>
      <c r="Z244" s="1177"/>
      <c r="AA244" s="1547"/>
      <c r="AB244" s="1177"/>
      <c r="AC244" s="1548"/>
      <c r="AD244" s="1549"/>
      <c r="AE244" s="1178"/>
      <c r="AF244" s="1179"/>
      <c r="AH244" s="104"/>
      <c r="AI244" s="1172"/>
      <c r="AJ244" s="1172"/>
      <c r="AK244" s="1172"/>
      <c r="AL244" s="1173"/>
      <c r="AM244" s="1174"/>
      <c r="AN244" s="1175"/>
      <c r="AO244" s="1176"/>
      <c r="AP244" s="1177"/>
      <c r="AQ244" s="1547"/>
      <c r="AR244" s="1177"/>
      <c r="AS244" s="1548"/>
      <c r="AT244" s="1549"/>
      <c r="AU244" s="1178"/>
      <c r="AV244" s="1179"/>
      <c r="AY244" s="3">
        <v>1</v>
      </c>
    </row>
    <row r="245" spans="2:51" ht="27" customHeight="1">
      <c r="B245" s="104"/>
      <c r="C245" s="1172"/>
      <c r="D245" s="1172"/>
      <c r="E245" s="1172"/>
      <c r="F245" s="1173"/>
      <c r="G245" s="1174"/>
      <c r="H245" s="1175"/>
      <c r="I245" s="1176"/>
      <c r="J245" s="1177"/>
      <c r="K245" s="1547"/>
      <c r="L245" s="1177"/>
      <c r="M245" s="1548"/>
      <c r="N245" s="1549"/>
      <c r="O245" s="1178"/>
      <c r="P245" s="1179"/>
      <c r="R245" s="104"/>
      <c r="S245" s="1172"/>
      <c r="T245" s="1172"/>
      <c r="U245" s="1172"/>
      <c r="V245" s="1173"/>
      <c r="W245" s="1174"/>
      <c r="X245" s="1175"/>
      <c r="Y245" s="1176"/>
      <c r="Z245" s="1177"/>
      <c r="AA245" s="1547"/>
      <c r="AB245" s="1177"/>
      <c r="AC245" s="1548"/>
      <c r="AD245" s="1549"/>
      <c r="AE245" s="1178"/>
      <c r="AF245" s="1179"/>
      <c r="AH245" s="104"/>
      <c r="AI245" s="1172"/>
      <c r="AJ245" s="1172"/>
      <c r="AK245" s="1172"/>
      <c r="AL245" s="1173"/>
      <c r="AM245" s="1174"/>
      <c r="AN245" s="1175"/>
      <c r="AO245" s="1176"/>
      <c r="AP245" s="1177"/>
      <c r="AQ245" s="1547"/>
      <c r="AR245" s="1177"/>
      <c r="AS245" s="1548"/>
      <c r="AT245" s="1549"/>
      <c r="AU245" s="1178"/>
      <c r="AV245" s="1179"/>
      <c r="AY245" s="3"/>
    </row>
    <row r="246" spans="2:51" ht="27" customHeight="1">
      <c r="B246" s="104"/>
      <c r="C246" s="1172"/>
      <c r="D246" s="1172"/>
      <c r="E246" s="1172"/>
      <c r="F246" s="1173"/>
      <c r="G246" s="1174"/>
      <c r="H246" s="1175"/>
      <c r="I246" s="1176"/>
      <c r="J246" s="1177"/>
      <c r="K246" s="1547"/>
      <c r="L246" s="1177"/>
      <c r="M246" s="1548"/>
      <c r="N246" s="1549"/>
      <c r="O246" s="1178"/>
      <c r="P246" s="1179"/>
      <c r="R246" s="104"/>
      <c r="S246" s="1172"/>
      <c r="T246" s="1172"/>
      <c r="U246" s="1172"/>
      <c r="V246" s="1173"/>
      <c r="W246" s="1174"/>
      <c r="X246" s="1175"/>
      <c r="Y246" s="1176"/>
      <c r="Z246" s="1177"/>
      <c r="AA246" s="1547"/>
      <c r="AB246" s="1177"/>
      <c r="AC246" s="1548"/>
      <c r="AD246" s="1549"/>
      <c r="AE246" s="1178"/>
      <c r="AF246" s="1179"/>
      <c r="AH246" s="104"/>
      <c r="AI246" s="1172"/>
      <c r="AJ246" s="1172"/>
      <c r="AK246" s="1172"/>
      <c r="AL246" s="1173"/>
      <c r="AM246" s="1174"/>
      <c r="AN246" s="1175"/>
      <c r="AO246" s="1176"/>
      <c r="AP246" s="1177"/>
      <c r="AQ246" s="1547"/>
      <c r="AR246" s="1177"/>
      <c r="AS246" s="1548"/>
      <c r="AT246" s="1549"/>
      <c r="AU246" s="1178"/>
      <c r="AV246" s="1179"/>
      <c r="AY246" s="3"/>
    </row>
    <row r="247" spans="2:51" ht="27" customHeight="1">
      <c r="B247" s="104"/>
      <c r="C247" s="1172"/>
      <c r="D247" s="1172"/>
      <c r="E247" s="1172"/>
      <c r="F247" s="1173"/>
      <c r="G247" s="1174"/>
      <c r="H247" s="1175"/>
      <c r="I247" s="1176"/>
      <c r="J247" s="1177"/>
      <c r="K247" s="1547"/>
      <c r="L247" s="1177"/>
      <c r="M247" s="1548"/>
      <c r="N247" s="1549"/>
      <c r="O247" s="1178"/>
      <c r="P247" s="1179"/>
      <c r="R247" s="104"/>
      <c r="S247" s="1172"/>
      <c r="T247" s="1172"/>
      <c r="U247" s="1172"/>
      <c r="V247" s="1173"/>
      <c r="W247" s="1174"/>
      <c r="X247" s="1175"/>
      <c r="Y247" s="1176"/>
      <c r="Z247" s="1177"/>
      <c r="AA247" s="1547"/>
      <c r="AB247" s="1177"/>
      <c r="AC247" s="1548"/>
      <c r="AD247" s="1549"/>
      <c r="AE247" s="1178"/>
      <c r="AF247" s="1179"/>
      <c r="AH247" s="104"/>
      <c r="AI247" s="1172"/>
      <c r="AJ247" s="1172"/>
      <c r="AK247" s="1172"/>
      <c r="AL247" s="1173"/>
      <c r="AM247" s="1174"/>
      <c r="AN247" s="1175"/>
      <c r="AO247" s="1176"/>
      <c r="AP247" s="1177"/>
      <c r="AQ247" s="1547"/>
      <c r="AR247" s="1177"/>
      <c r="AS247" s="1548"/>
      <c r="AT247" s="1549"/>
      <c r="AU247" s="1178"/>
      <c r="AV247" s="1179"/>
      <c r="AY247" s="3"/>
    </row>
    <row r="248" spans="2:51" ht="27" customHeight="1">
      <c r="B248" s="104"/>
      <c r="C248" s="1172"/>
      <c r="D248" s="1172"/>
      <c r="E248" s="1172"/>
      <c r="F248" s="1173"/>
      <c r="G248" s="1174"/>
      <c r="H248" s="1175"/>
      <c r="I248" s="1176"/>
      <c r="J248" s="1177"/>
      <c r="K248" s="1547"/>
      <c r="L248" s="1177"/>
      <c r="M248" s="1548"/>
      <c r="N248" s="1549"/>
      <c r="O248" s="1178"/>
      <c r="P248" s="1179"/>
      <c r="R248" s="104"/>
      <c r="S248" s="1172"/>
      <c r="T248" s="1172"/>
      <c r="U248" s="1172"/>
      <c r="V248" s="1173"/>
      <c r="W248" s="1174"/>
      <c r="X248" s="1175"/>
      <c r="Y248" s="1176"/>
      <c r="Z248" s="1177"/>
      <c r="AA248" s="1547"/>
      <c r="AB248" s="1177"/>
      <c r="AC248" s="1548"/>
      <c r="AD248" s="1549"/>
      <c r="AE248" s="1178"/>
      <c r="AF248" s="1179"/>
      <c r="AH248" s="104"/>
      <c r="AI248" s="1172"/>
      <c r="AJ248" s="1172"/>
      <c r="AK248" s="1172"/>
      <c r="AL248" s="1173"/>
      <c r="AM248" s="1174"/>
      <c r="AN248" s="1175"/>
      <c r="AO248" s="1176"/>
      <c r="AP248" s="1177"/>
      <c r="AQ248" s="1547"/>
      <c r="AR248" s="1177"/>
      <c r="AS248" s="1548"/>
      <c r="AT248" s="1549"/>
      <c r="AU248" s="1178"/>
      <c r="AV248" s="1179"/>
      <c r="AY248" s="3">
        <v>1</v>
      </c>
    </row>
    <row r="249" spans="2:51" ht="27" customHeight="1">
      <c r="B249" s="104"/>
      <c r="C249" s="1172"/>
      <c r="D249" s="1172"/>
      <c r="E249" s="1172"/>
      <c r="F249" s="1173"/>
      <c r="G249" s="1174"/>
      <c r="H249" s="1175"/>
      <c r="I249" s="1176"/>
      <c r="J249" s="1177"/>
      <c r="K249" s="1547"/>
      <c r="L249" s="1177"/>
      <c r="M249" s="1548"/>
      <c r="N249" s="1549"/>
      <c r="O249" s="1178"/>
      <c r="P249" s="1179"/>
      <c r="R249" s="104"/>
      <c r="S249" s="1172"/>
      <c r="T249" s="1172"/>
      <c r="U249" s="1172"/>
      <c r="V249" s="1173"/>
      <c r="W249" s="1174"/>
      <c r="X249" s="1175"/>
      <c r="Y249" s="1176"/>
      <c r="Z249" s="1177"/>
      <c r="AA249" s="1547"/>
      <c r="AB249" s="1177"/>
      <c r="AC249" s="1548"/>
      <c r="AD249" s="1549"/>
      <c r="AE249" s="1178"/>
      <c r="AF249" s="1179"/>
      <c r="AH249" s="104"/>
      <c r="AI249" s="1172"/>
      <c r="AJ249" s="1172"/>
      <c r="AK249" s="1172"/>
      <c r="AL249" s="1173"/>
      <c r="AM249" s="1174"/>
      <c r="AN249" s="1175"/>
      <c r="AO249" s="1176"/>
      <c r="AP249" s="1177"/>
      <c r="AQ249" s="1547"/>
      <c r="AR249" s="1177"/>
      <c r="AS249" s="1548"/>
      <c r="AT249" s="1549"/>
      <c r="AU249" s="1178"/>
      <c r="AV249" s="1179"/>
      <c r="AY249" s="3">
        <v>1</v>
      </c>
    </row>
    <row r="250" spans="2:51" ht="27" customHeight="1">
      <c r="B250" s="104"/>
      <c r="C250" s="1172"/>
      <c r="D250" s="1172"/>
      <c r="E250" s="1172"/>
      <c r="F250" s="1173"/>
      <c r="G250" s="1174"/>
      <c r="H250" s="1175"/>
      <c r="I250" s="1176"/>
      <c r="J250" s="1177"/>
      <c r="K250" s="1547"/>
      <c r="L250" s="1177"/>
      <c r="M250" s="1548"/>
      <c r="N250" s="1549"/>
      <c r="O250" s="1178"/>
      <c r="P250" s="1179"/>
      <c r="R250" s="104"/>
      <c r="S250" s="1172"/>
      <c r="T250" s="1172"/>
      <c r="U250" s="1172"/>
      <c r="V250" s="1173"/>
      <c r="W250" s="1174"/>
      <c r="X250" s="1175"/>
      <c r="Y250" s="1176"/>
      <c r="Z250" s="1177"/>
      <c r="AA250" s="1547"/>
      <c r="AB250" s="1177"/>
      <c r="AC250" s="1548"/>
      <c r="AD250" s="1549"/>
      <c r="AE250" s="1178"/>
      <c r="AF250" s="1179"/>
      <c r="AH250" s="104"/>
      <c r="AI250" s="1172"/>
      <c r="AJ250" s="1172"/>
      <c r="AK250" s="1172"/>
      <c r="AL250" s="1173"/>
      <c r="AM250" s="1174"/>
      <c r="AN250" s="1175"/>
      <c r="AO250" s="1176"/>
      <c r="AP250" s="1177"/>
      <c r="AQ250" s="1547"/>
      <c r="AR250" s="1177"/>
      <c r="AS250" s="1548"/>
      <c r="AT250" s="1549"/>
      <c r="AU250" s="1178"/>
      <c r="AV250" s="1179"/>
      <c r="AY250" s="3">
        <v>1</v>
      </c>
    </row>
    <row r="251" spans="2:51" ht="27" customHeight="1">
      <c r="B251" s="104"/>
      <c r="C251" s="1172"/>
      <c r="D251" s="1172"/>
      <c r="E251" s="1172"/>
      <c r="F251" s="1173"/>
      <c r="G251" s="1174"/>
      <c r="H251" s="1175"/>
      <c r="I251" s="1176"/>
      <c r="J251" s="1177"/>
      <c r="K251" s="1547"/>
      <c r="L251" s="1177"/>
      <c r="M251" s="1548"/>
      <c r="N251" s="1549"/>
      <c r="O251" s="1178"/>
      <c r="P251" s="1179"/>
      <c r="R251" s="104"/>
      <c r="S251" s="1172"/>
      <c r="T251" s="1172"/>
      <c r="U251" s="1172"/>
      <c r="V251" s="1173"/>
      <c r="W251" s="1174"/>
      <c r="X251" s="1175"/>
      <c r="Y251" s="1176"/>
      <c r="Z251" s="1177"/>
      <c r="AA251" s="1547"/>
      <c r="AB251" s="1177"/>
      <c r="AC251" s="1548"/>
      <c r="AD251" s="1549"/>
      <c r="AE251" s="1178"/>
      <c r="AF251" s="1179"/>
      <c r="AH251" s="104"/>
      <c r="AI251" s="1172"/>
      <c r="AJ251" s="1172"/>
      <c r="AK251" s="1172"/>
      <c r="AL251" s="1173"/>
      <c r="AM251" s="1174"/>
      <c r="AN251" s="1175"/>
      <c r="AO251" s="1176"/>
      <c r="AP251" s="1177"/>
      <c r="AQ251" s="1547"/>
      <c r="AR251" s="1177"/>
      <c r="AS251" s="1548"/>
      <c r="AT251" s="1549"/>
      <c r="AU251" s="1178"/>
      <c r="AV251" s="1179"/>
      <c r="AY251" s="3">
        <v>1</v>
      </c>
    </row>
    <row r="252" spans="2:51" ht="27" customHeight="1">
      <c r="B252" s="104"/>
      <c r="C252" s="1172"/>
      <c r="D252" s="1172"/>
      <c r="E252" s="1172"/>
      <c r="F252" s="1173"/>
      <c r="G252" s="1174"/>
      <c r="H252" s="1175"/>
      <c r="I252" s="1176"/>
      <c r="J252" s="1177"/>
      <c r="K252" s="1547"/>
      <c r="L252" s="1177"/>
      <c r="M252" s="1548"/>
      <c r="N252" s="1549"/>
      <c r="O252" s="1178"/>
      <c r="P252" s="1179"/>
      <c r="R252" s="104"/>
      <c r="S252" s="1172"/>
      <c r="T252" s="1172"/>
      <c r="U252" s="1172"/>
      <c r="V252" s="1173"/>
      <c r="W252" s="1174"/>
      <c r="X252" s="1175"/>
      <c r="Y252" s="1176"/>
      <c r="Z252" s="1177"/>
      <c r="AA252" s="1547"/>
      <c r="AB252" s="1177"/>
      <c r="AC252" s="1548"/>
      <c r="AD252" s="1549"/>
      <c r="AE252" s="1178"/>
      <c r="AF252" s="1179"/>
      <c r="AH252" s="104"/>
      <c r="AI252" s="1172"/>
      <c r="AJ252" s="1172"/>
      <c r="AK252" s="1172"/>
      <c r="AL252" s="1173"/>
      <c r="AM252" s="1174"/>
      <c r="AN252" s="1175"/>
      <c r="AO252" s="1176"/>
      <c r="AP252" s="1177"/>
      <c r="AQ252" s="1547"/>
      <c r="AR252" s="1177"/>
      <c r="AS252" s="1548"/>
      <c r="AT252" s="1549"/>
      <c r="AU252" s="1178"/>
      <c r="AV252" s="1179"/>
      <c r="AY252" s="3">
        <v>1</v>
      </c>
    </row>
    <row r="253" spans="2:51" ht="27" customHeight="1">
      <c r="B253" s="104"/>
      <c r="C253" s="1172"/>
      <c r="D253" s="1172"/>
      <c r="E253" s="1172"/>
      <c r="F253" s="1173"/>
      <c r="G253" s="1174"/>
      <c r="H253" s="1175"/>
      <c r="I253" s="1176"/>
      <c r="J253" s="1177"/>
      <c r="K253" s="1547"/>
      <c r="L253" s="1177"/>
      <c r="M253" s="1548"/>
      <c r="N253" s="1549"/>
      <c r="O253" s="1178"/>
      <c r="P253" s="1179"/>
      <c r="R253" s="104"/>
      <c r="S253" s="1172"/>
      <c r="T253" s="1172"/>
      <c r="U253" s="1172"/>
      <c r="V253" s="1173"/>
      <c r="W253" s="1174"/>
      <c r="X253" s="1175"/>
      <c r="Y253" s="1176"/>
      <c r="Z253" s="1177"/>
      <c r="AA253" s="1547"/>
      <c r="AB253" s="1177"/>
      <c r="AC253" s="1548"/>
      <c r="AD253" s="1549"/>
      <c r="AE253" s="1178"/>
      <c r="AF253" s="1179"/>
      <c r="AH253" s="104"/>
      <c r="AI253" s="1172"/>
      <c r="AJ253" s="1172"/>
      <c r="AK253" s="1172"/>
      <c r="AL253" s="1173"/>
      <c r="AM253" s="1174"/>
      <c r="AN253" s="1175"/>
      <c r="AO253" s="1176"/>
      <c r="AP253" s="1177"/>
      <c r="AQ253" s="1547"/>
      <c r="AR253" s="1177"/>
      <c r="AS253" s="1548"/>
      <c r="AT253" s="1549"/>
      <c r="AU253" s="1178"/>
      <c r="AV253" s="1179"/>
      <c r="AY253" s="3">
        <v>1</v>
      </c>
    </row>
    <row r="254" spans="2:51" ht="27" customHeight="1">
      <c r="B254" s="104"/>
      <c r="C254" s="1172"/>
      <c r="D254" s="1172"/>
      <c r="E254" s="1172"/>
      <c r="F254" s="1173"/>
      <c r="G254" s="1174"/>
      <c r="H254" s="1175"/>
      <c r="I254" s="1176"/>
      <c r="J254" s="1177"/>
      <c r="K254" s="1547"/>
      <c r="L254" s="1177"/>
      <c r="M254" s="1548"/>
      <c r="N254" s="1549"/>
      <c r="O254" s="1178"/>
      <c r="P254" s="1179"/>
      <c r="R254" s="104"/>
      <c r="S254" s="1172"/>
      <c r="T254" s="1172"/>
      <c r="U254" s="1172"/>
      <c r="V254" s="1173"/>
      <c r="W254" s="1174"/>
      <c r="X254" s="1175"/>
      <c r="Y254" s="1176"/>
      <c r="Z254" s="1177"/>
      <c r="AA254" s="1547"/>
      <c r="AB254" s="1177"/>
      <c r="AC254" s="1548"/>
      <c r="AD254" s="1549"/>
      <c r="AE254" s="1178"/>
      <c r="AF254" s="1179"/>
      <c r="AH254" s="104"/>
      <c r="AI254" s="1172"/>
      <c r="AJ254" s="1172"/>
      <c r="AK254" s="1172"/>
      <c r="AL254" s="1173"/>
      <c r="AM254" s="1174"/>
      <c r="AN254" s="1175"/>
      <c r="AO254" s="1176"/>
      <c r="AP254" s="1177"/>
      <c r="AQ254" s="1547"/>
      <c r="AR254" s="1177"/>
      <c r="AS254" s="1548"/>
      <c r="AT254" s="1549"/>
      <c r="AU254" s="1178"/>
      <c r="AV254" s="1179"/>
      <c r="AY254" s="3">
        <v>1</v>
      </c>
    </row>
    <row r="255" spans="2:51" ht="18.75">
      <c r="B255" s="104"/>
      <c r="C255" s="1172"/>
      <c r="D255" s="1172"/>
      <c r="E255" s="1172"/>
      <c r="F255" s="1173"/>
      <c r="G255" s="1174"/>
      <c r="H255" s="1175"/>
      <c r="I255" s="1176"/>
      <c r="J255" s="1177"/>
      <c r="K255" s="1547"/>
      <c r="L255" s="1177"/>
      <c r="M255" s="1548"/>
      <c r="N255" s="1549"/>
      <c r="O255" s="1178"/>
      <c r="P255" s="1179"/>
      <c r="R255" s="104"/>
      <c r="S255" s="1172"/>
      <c r="T255" s="1172"/>
      <c r="U255" s="1172"/>
      <c r="V255" s="1173"/>
      <c r="W255" s="1174"/>
      <c r="X255" s="1175"/>
      <c r="Y255" s="1176"/>
      <c r="Z255" s="1177"/>
      <c r="AA255" s="1547"/>
      <c r="AB255" s="1177"/>
      <c r="AC255" s="1548"/>
      <c r="AD255" s="1549"/>
      <c r="AE255" s="1178"/>
      <c r="AF255" s="1179"/>
      <c r="AH255" s="104"/>
      <c r="AI255" s="1172"/>
      <c r="AJ255" s="1172"/>
      <c r="AK255" s="1172"/>
      <c r="AL255" s="1173"/>
      <c r="AM255" s="1174"/>
      <c r="AN255" s="1175"/>
      <c r="AO255" s="1176"/>
      <c r="AP255" s="1177"/>
      <c r="AQ255" s="1547"/>
      <c r="AR255" s="1177"/>
      <c r="AS255" s="1548"/>
      <c r="AT255" s="1549"/>
      <c r="AU255" s="1178"/>
      <c r="AV255" s="1179"/>
      <c r="AY255" s="3">
        <v>1</v>
      </c>
    </row>
    <row r="256" spans="2:51" ht="18.75">
      <c r="B256" s="104"/>
      <c r="C256" s="1172"/>
      <c r="D256" s="1172"/>
      <c r="E256" s="1172"/>
      <c r="F256" s="1173"/>
      <c r="G256" s="1174"/>
      <c r="H256" s="1175"/>
      <c r="I256" s="1176"/>
      <c r="J256" s="1177"/>
      <c r="K256" s="1547"/>
      <c r="L256" s="1177"/>
      <c r="M256" s="1548"/>
      <c r="N256" s="1549"/>
      <c r="O256" s="1178"/>
      <c r="P256" s="1179"/>
      <c r="R256" s="104"/>
      <c r="S256" s="1172"/>
      <c r="T256" s="1172"/>
      <c r="U256" s="1172"/>
      <c r="V256" s="1173"/>
      <c r="W256" s="1174"/>
      <c r="X256" s="1175"/>
      <c r="Y256" s="1176"/>
      <c r="Z256" s="1177"/>
      <c r="AA256" s="1547"/>
      <c r="AB256" s="1177"/>
      <c r="AC256" s="1548"/>
      <c r="AD256" s="1549"/>
      <c r="AE256" s="1178"/>
      <c r="AF256" s="1179"/>
      <c r="AH256" s="104"/>
      <c r="AI256" s="1172"/>
      <c r="AJ256" s="1172"/>
      <c r="AK256" s="1172"/>
      <c r="AL256" s="1173"/>
      <c r="AM256" s="1174"/>
      <c r="AN256" s="1175"/>
      <c r="AO256" s="1176"/>
      <c r="AP256" s="1177"/>
      <c r="AQ256" s="1547"/>
      <c r="AR256" s="1177"/>
      <c r="AS256" s="1548"/>
      <c r="AT256" s="1549"/>
      <c r="AU256" s="1178"/>
      <c r="AV256" s="1179"/>
      <c r="AY256" s="3">
        <v>1</v>
      </c>
    </row>
    <row r="257" spans="2:51" ht="18.75">
      <c r="B257" s="104"/>
      <c r="C257" s="1172"/>
      <c r="D257" s="1172"/>
      <c r="E257" s="1172"/>
      <c r="F257" s="1173"/>
      <c r="G257" s="1174"/>
      <c r="H257" s="1175"/>
      <c r="I257" s="1176"/>
      <c r="J257" s="1177"/>
      <c r="K257" s="1547"/>
      <c r="L257" s="1177"/>
      <c r="M257" s="1548"/>
      <c r="N257" s="1549"/>
      <c r="O257" s="1178"/>
      <c r="P257" s="1179"/>
      <c r="R257" s="104"/>
      <c r="S257" s="1172"/>
      <c r="T257" s="1172"/>
      <c r="U257" s="1172"/>
      <c r="V257" s="1173"/>
      <c r="W257" s="1174"/>
      <c r="X257" s="1175"/>
      <c r="Y257" s="1176"/>
      <c r="Z257" s="1177"/>
      <c r="AA257" s="1547"/>
      <c r="AB257" s="1177"/>
      <c r="AC257" s="1548"/>
      <c r="AD257" s="1549"/>
      <c r="AE257" s="1178"/>
      <c r="AF257" s="1179"/>
      <c r="AH257" s="104"/>
      <c r="AI257" s="1172"/>
      <c r="AJ257" s="1172"/>
      <c r="AK257" s="1172"/>
      <c r="AL257" s="1173"/>
      <c r="AM257" s="1174"/>
      <c r="AN257" s="1175"/>
      <c r="AO257" s="1176"/>
      <c r="AP257" s="1177"/>
      <c r="AQ257" s="1547"/>
      <c r="AR257" s="1177"/>
      <c r="AS257" s="1548"/>
      <c r="AT257" s="1549"/>
      <c r="AU257" s="1178"/>
      <c r="AV257" s="1179"/>
      <c r="AY257" s="3">
        <v>1</v>
      </c>
    </row>
    <row r="258" spans="2:51" ht="18.75">
      <c r="B258" s="104"/>
      <c r="C258" s="1172"/>
      <c r="D258" s="1172"/>
      <c r="E258" s="1172"/>
      <c r="F258" s="1173"/>
      <c r="G258" s="1174"/>
      <c r="H258" s="1175"/>
      <c r="I258" s="1176"/>
      <c r="J258" s="1177"/>
      <c r="K258" s="1547"/>
      <c r="L258" s="1177"/>
      <c r="M258" s="1548"/>
      <c r="N258" s="1549"/>
      <c r="O258" s="1178"/>
      <c r="P258" s="1179"/>
      <c r="R258" s="104"/>
      <c r="S258" s="1172"/>
      <c r="T258" s="1172"/>
      <c r="U258" s="1172"/>
      <c r="V258" s="1173"/>
      <c r="W258" s="1174"/>
      <c r="X258" s="1175"/>
      <c r="Y258" s="1176"/>
      <c r="Z258" s="1177"/>
      <c r="AA258" s="1547"/>
      <c r="AB258" s="1177"/>
      <c r="AC258" s="1548"/>
      <c r="AD258" s="1549"/>
      <c r="AE258" s="1178"/>
      <c r="AF258" s="1179"/>
      <c r="AH258" s="104"/>
      <c r="AI258" s="1172"/>
      <c r="AJ258" s="1172"/>
      <c r="AK258" s="1172"/>
      <c r="AL258" s="1173"/>
      <c r="AM258" s="1174"/>
      <c r="AN258" s="1175"/>
      <c r="AO258" s="1176"/>
      <c r="AP258" s="1177"/>
      <c r="AQ258" s="1547"/>
      <c r="AR258" s="1177"/>
      <c r="AS258" s="1548"/>
      <c r="AT258" s="1549"/>
      <c r="AU258" s="1178"/>
      <c r="AV258" s="1179"/>
      <c r="AY258" s="3">
        <v>1</v>
      </c>
    </row>
    <row r="259" spans="2:51" ht="18.75">
      <c r="B259" s="104"/>
      <c r="C259" s="1172"/>
      <c r="D259" s="1172"/>
      <c r="E259" s="1172"/>
      <c r="F259" s="1173"/>
      <c r="G259" s="1174"/>
      <c r="H259" s="1175"/>
      <c r="I259" s="1176"/>
      <c r="J259" s="1177"/>
      <c r="K259" s="1547"/>
      <c r="L259" s="1177"/>
      <c r="M259" s="1548"/>
      <c r="N259" s="1549"/>
      <c r="O259" s="1178"/>
      <c r="P259" s="1179"/>
      <c r="R259" s="104"/>
      <c r="S259" s="1172"/>
      <c r="T259" s="1172"/>
      <c r="U259" s="1172"/>
      <c r="V259" s="1173"/>
      <c r="W259" s="1174"/>
      <c r="X259" s="1175"/>
      <c r="Y259" s="1176"/>
      <c r="Z259" s="1177"/>
      <c r="AA259" s="1547"/>
      <c r="AB259" s="1177"/>
      <c r="AC259" s="1548"/>
      <c r="AD259" s="1549"/>
      <c r="AE259" s="1178"/>
      <c r="AF259" s="1179"/>
      <c r="AH259" s="104"/>
      <c r="AI259" s="1172"/>
      <c r="AJ259" s="1172"/>
      <c r="AK259" s="1172"/>
      <c r="AL259" s="1173"/>
      <c r="AM259" s="1174"/>
      <c r="AN259" s="1175"/>
      <c r="AO259" s="1176"/>
      <c r="AP259" s="1177"/>
      <c r="AQ259" s="1547"/>
      <c r="AR259" s="1177"/>
      <c r="AS259" s="1548"/>
      <c r="AT259" s="1549"/>
      <c r="AU259" s="1178"/>
      <c r="AV259" s="1179"/>
      <c r="AY259" s="3">
        <v>1</v>
      </c>
    </row>
    <row r="260" spans="2:51" ht="18.75">
      <c r="B260" s="104"/>
      <c r="C260" s="1172"/>
      <c r="D260" s="1172"/>
      <c r="E260" s="1172"/>
      <c r="F260" s="1173"/>
      <c r="G260" s="1174"/>
      <c r="H260" s="1175"/>
      <c r="I260" s="1176"/>
      <c r="J260" s="1177"/>
      <c r="K260" s="1547"/>
      <c r="L260" s="1177"/>
      <c r="M260" s="1548"/>
      <c r="N260" s="1549"/>
      <c r="O260" s="1178"/>
      <c r="P260" s="1179"/>
      <c r="R260" s="104"/>
      <c r="S260" s="1172"/>
      <c r="T260" s="1172"/>
      <c r="U260" s="1172"/>
      <c r="V260" s="1173"/>
      <c r="W260" s="1174"/>
      <c r="X260" s="1175"/>
      <c r="Y260" s="1176"/>
      <c r="Z260" s="1177"/>
      <c r="AA260" s="1547"/>
      <c r="AB260" s="1177"/>
      <c r="AC260" s="1548"/>
      <c r="AD260" s="1549"/>
      <c r="AE260" s="1178"/>
      <c r="AF260" s="1179"/>
      <c r="AH260" s="104"/>
      <c r="AI260" s="1172"/>
      <c r="AJ260" s="1172"/>
      <c r="AK260" s="1172"/>
      <c r="AL260" s="1173"/>
      <c r="AM260" s="1174"/>
      <c r="AN260" s="1175"/>
      <c r="AO260" s="1176"/>
      <c r="AP260" s="1177"/>
      <c r="AQ260" s="1547"/>
      <c r="AR260" s="1177"/>
      <c r="AS260" s="1548"/>
      <c r="AT260" s="1549"/>
      <c r="AU260" s="1178"/>
      <c r="AV260" s="1179"/>
      <c r="AY260" s="3">
        <v>1</v>
      </c>
    </row>
    <row r="261" spans="2:51" ht="18.75">
      <c r="B261" s="104"/>
      <c r="C261" s="1172"/>
      <c r="D261" s="1172"/>
      <c r="E261" s="1172"/>
      <c r="F261" s="1173"/>
      <c r="G261" s="1174"/>
      <c r="H261" s="1175"/>
      <c r="I261" s="1176"/>
      <c r="J261" s="1177"/>
      <c r="K261" s="1547"/>
      <c r="L261" s="1177"/>
      <c r="M261" s="1548"/>
      <c r="N261" s="1549"/>
      <c r="O261" s="1178"/>
      <c r="P261" s="1179"/>
      <c r="R261" s="104"/>
      <c r="S261" s="1172"/>
      <c r="T261" s="1172"/>
      <c r="U261" s="1172"/>
      <c r="V261" s="1173"/>
      <c r="W261" s="1174"/>
      <c r="X261" s="1175"/>
      <c r="Y261" s="1176"/>
      <c r="Z261" s="1177"/>
      <c r="AA261" s="1547"/>
      <c r="AB261" s="1177"/>
      <c r="AC261" s="1548"/>
      <c r="AD261" s="1549"/>
      <c r="AE261" s="1178"/>
      <c r="AF261" s="1179"/>
      <c r="AH261" s="104"/>
      <c r="AI261" s="1172"/>
      <c r="AJ261" s="1172"/>
      <c r="AK261" s="1172"/>
      <c r="AL261" s="1173"/>
      <c r="AM261" s="1174"/>
      <c r="AN261" s="1175"/>
      <c r="AO261" s="1176"/>
      <c r="AP261" s="1177"/>
      <c r="AQ261" s="1547"/>
      <c r="AR261" s="1177"/>
      <c r="AS261" s="1548"/>
      <c r="AT261" s="1549"/>
      <c r="AU261" s="1178"/>
      <c r="AV261" s="1179"/>
      <c r="AY261" s="3">
        <v>1</v>
      </c>
    </row>
    <row r="262" spans="2:51" ht="18.75">
      <c r="B262" s="104"/>
      <c r="C262" s="1172"/>
      <c r="D262" s="1172"/>
      <c r="E262" s="1172"/>
      <c r="F262" s="1173"/>
      <c r="G262" s="1174"/>
      <c r="H262" s="1175"/>
      <c r="I262" s="1176"/>
      <c r="J262" s="1177"/>
      <c r="K262" s="1547"/>
      <c r="L262" s="1177"/>
      <c r="M262" s="1548"/>
      <c r="N262" s="1549"/>
      <c r="O262" s="1178"/>
      <c r="P262" s="1179"/>
      <c r="R262" s="104"/>
      <c r="S262" s="1172"/>
      <c r="T262" s="1172"/>
      <c r="U262" s="1172"/>
      <c r="V262" s="1173"/>
      <c r="W262" s="1174"/>
      <c r="X262" s="1175"/>
      <c r="Y262" s="1176"/>
      <c r="Z262" s="1177"/>
      <c r="AA262" s="1547"/>
      <c r="AB262" s="1177"/>
      <c r="AC262" s="1548"/>
      <c r="AD262" s="1549"/>
      <c r="AE262" s="1178"/>
      <c r="AF262" s="1179"/>
      <c r="AH262" s="104"/>
      <c r="AI262" s="1172"/>
      <c r="AJ262" s="1172"/>
      <c r="AK262" s="1172"/>
      <c r="AL262" s="1173"/>
      <c r="AM262" s="1174"/>
      <c r="AN262" s="1175"/>
      <c r="AO262" s="1176"/>
      <c r="AP262" s="1177"/>
      <c r="AQ262" s="1547"/>
      <c r="AR262" s="1177"/>
      <c r="AS262" s="1548"/>
      <c r="AT262" s="1549"/>
      <c r="AU262" s="1178"/>
      <c r="AV262" s="1179"/>
      <c r="AY262" s="3">
        <v>1</v>
      </c>
    </row>
    <row r="263" spans="2:51" ht="18.75">
      <c r="B263" s="104"/>
      <c r="C263" s="1172"/>
      <c r="D263" s="1172"/>
      <c r="E263" s="1172"/>
      <c r="F263" s="1173"/>
      <c r="G263" s="1174"/>
      <c r="H263" s="1175"/>
      <c r="I263" s="1176"/>
      <c r="J263" s="1177"/>
      <c r="K263" s="1547"/>
      <c r="L263" s="1177"/>
      <c r="M263" s="1548"/>
      <c r="N263" s="1549"/>
      <c r="O263" s="1178"/>
      <c r="P263" s="1179"/>
      <c r="R263" s="104"/>
      <c r="S263" s="1172"/>
      <c r="T263" s="1172"/>
      <c r="U263" s="1172"/>
      <c r="V263" s="1173"/>
      <c r="W263" s="1174"/>
      <c r="X263" s="1175"/>
      <c r="Y263" s="1176"/>
      <c r="Z263" s="1177"/>
      <c r="AA263" s="1547"/>
      <c r="AB263" s="1177"/>
      <c r="AC263" s="1548"/>
      <c r="AD263" s="1549"/>
      <c r="AE263" s="1178"/>
      <c r="AF263" s="1179"/>
      <c r="AH263" s="104"/>
      <c r="AI263" s="1172"/>
      <c r="AJ263" s="1172"/>
      <c r="AK263" s="1172"/>
      <c r="AL263" s="1173"/>
      <c r="AM263" s="1174"/>
      <c r="AN263" s="1175"/>
      <c r="AO263" s="1176"/>
      <c r="AP263" s="1177"/>
      <c r="AQ263" s="1547"/>
      <c r="AR263" s="1177"/>
      <c r="AS263" s="1548"/>
      <c r="AT263" s="1549"/>
      <c r="AU263" s="1178"/>
      <c r="AV263" s="1179"/>
      <c r="AY263" s="3">
        <v>1</v>
      </c>
    </row>
    <row r="264" spans="2:51" ht="18.75">
      <c r="B264" s="104"/>
      <c r="C264" s="1172"/>
      <c r="D264" s="1172"/>
      <c r="E264" s="1172"/>
      <c r="F264" s="1173"/>
      <c r="G264" s="1174"/>
      <c r="H264" s="1175"/>
      <c r="I264" s="1176"/>
      <c r="J264" s="1177"/>
      <c r="K264" s="1547"/>
      <c r="L264" s="1177"/>
      <c r="M264" s="1548"/>
      <c r="N264" s="1549"/>
      <c r="O264" s="1178"/>
      <c r="P264" s="1179"/>
      <c r="R264" s="104"/>
      <c r="S264" s="1172"/>
      <c r="T264" s="1172"/>
      <c r="U264" s="1172"/>
      <c r="V264" s="1173"/>
      <c r="W264" s="1174"/>
      <c r="X264" s="1175"/>
      <c r="Y264" s="1176"/>
      <c r="Z264" s="1177"/>
      <c r="AA264" s="1547"/>
      <c r="AB264" s="1177"/>
      <c r="AC264" s="1548"/>
      <c r="AD264" s="1549"/>
      <c r="AE264" s="1178"/>
      <c r="AF264" s="1179"/>
      <c r="AH264" s="104"/>
      <c r="AI264" s="1172"/>
      <c r="AJ264" s="1172"/>
      <c r="AK264" s="1172"/>
      <c r="AL264" s="1173"/>
      <c r="AM264" s="1174"/>
      <c r="AN264" s="1175"/>
      <c r="AO264" s="1176"/>
      <c r="AP264" s="1177"/>
      <c r="AQ264" s="1547"/>
      <c r="AR264" s="1177"/>
      <c r="AS264" s="1548"/>
      <c r="AT264" s="1549"/>
      <c r="AU264" s="1178"/>
      <c r="AV264" s="1179"/>
      <c r="AY264" s="3">
        <v>1</v>
      </c>
    </row>
    <row r="265" spans="2:51" ht="18.75">
      <c r="B265" s="104"/>
      <c r="C265" s="1172"/>
      <c r="D265" s="1172"/>
      <c r="E265" s="1172"/>
      <c r="F265" s="1173"/>
      <c r="G265" s="1174"/>
      <c r="H265" s="1175"/>
      <c r="I265" s="1176"/>
      <c r="J265" s="1177"/>
      <c r="K265" s="1547"/>
      <c r="L265" s="1177"/>
      <c r="M265" s="1548"/>
      <c r="N265" s="1549"/>
      <c r="O265" s="1178"/>
      <c r="P265" s="1179"/>
      <c r="R265" s="104"/>
      <c r="S265" s="1172"/>
      <c r="T265" s="1172"/>
      <c r="U265" s="1172"/>
      <c r="V265" s="1173"/>
      <c r="W265" s="1174"/>
      <c r="X265" s="1175"/>
      <c r="Y265" s="1176"/>
      <c r="Z265" s="1177"/>
      <c r="AA265" s="1547"/>
      <c r="AB265" s="1177"/>
      <c r="AC265" s="1548"/>
      <c r="AD265" s="1549"/>
      <c r="AE265" s="1178"/>
      <c r="AF265" s="1179"/>
      <c r="AH265" s="104"/>
      <c r="AI265" s="1172"/>
      <c r="AJ265" s="1172"/>
      <c r="AK265" s="1172"/>
      <c r="AL265" s="1173"/>
      <c r="AM265" s="1174"/>
      <c r="AN265" s="1175"/>
      <c r="AO265" s="1176"/>
      <c r="AP265" s="1177"/>
      <c r="AQ265" s="1547"/>
      <c r="AR265" s="1177"/>
      <c r="AS265" s="1548"/>
      <c r="AT265" s="1549"/>
      <c r="AU265" s="1178"/>
      <c r="AV265" s="1179"/>
      <c r="AY265" s="3">
        <v>1</v>
      </c>
    </row>
    <row r="266" spans="2:51" ht="18.75">
      <c r="B266" s="104"/>
      <c r="C266" s="1172"/>
      <c r="D266" s="1172"/>
      <c r="E266" s="1172"/>
      <c r="F266" s="1173"/>
      <c r="G266" s="1174"/>
      <c r="H266" s="1175"/>
      <c r="I266" s="1176"/>
      <c r="J266" s="1177"/>
      <c r="K266" s="1547"/>
      <c r="L266" s="1177"/>
      <c r="M266" s="1548"/>
      <c r="N266" s="1549"/>
      <c r="O266" s="1178"/>
      <c r="P266" s="1179"/>
      <c r="R266" s="104"/>
      <c r="S266" s="1172"/>
      <c r="T266" s="1172"/>
      <c r="U266" s="1172"/>
      <c r="V266" s="1173"/>
      <c r="W266" s="1174"/>
      <c r="X266" s="1175"/>
      <c r="Y266" s="1176"/>
      <c r="Z266" s="1177"/>
      <c r="AA266" s="1547"/>
      <c r="AB266" s="1177"/>
      <c r="AC266" s="1548"/>
      <c r="AD266" s="1549"/>
      <c r="AE266" s="1178"/>
      <c r="AF266" s="1179"/>
      <c r="AH266" s="104"/>
      <c r="AI266" s="1172"/>
      <c r="AJ266" s="1172"/>
      <c r="AK266" s="1172"/>
      <c r="AL266" s="1173"/>
      <c r="AM266" s="1174"/>
      <c r="AN266" s="1175"/>
      <c r="AO266" s="1176"/>
      <c r="AP266" s="1177"/>
      <c r="AQ266" s="1547"/>
      <c r="AR266" s="1177"/>
      <c r="AS266" s="1548"/>
      <c r="AT266" s="1549"/>
      <c r="AU266" s="1178"/>
      <c r="AV266" s="1179"/>
      <c r="AY266" s="3">
        <v>1</v>
      </c>
    </row>
    <row r="267" spans="2:51" ht="18.75">
      <c r="B267" s="104"/>
      <c r="C267" s="1172"/>
      <c r="D267" s="1172"/>
      <c r="E267" s="1172"/>
      <c r="F267" s="1173"/>
      <c r="G267" s="1174"/>
      <c r="H267" s="1175"/>
      <c r="I267" s="1176"/>
      <c r="J267" s="1177"/>
      <c r="K267" s="1547"/>
      <c r="L267" s="1177"/>
      <c r="M267" s="1548"/>
      <c r="N267" s="1549"/>
      <c r="O267" s="1178"/>
      <c r="P267" s="1179"/>
      <c r="R267" s="104"/>
      <c r="S267" s="1172"/>
      <c r="T267" s="1172"/>
      <c r="U267" s="1172"/>
      <c r="V267" s="1173"/>
      <c r="W267" s="1174"/>
      <c r="X267" s="1175"/>
      <c r="Y267" s="1176"/>
      <c r="Z267" s="1177"/>
      <c r="AA267" s="1547"/>
      <c r="AB267" s="1177"/>
      <c r="AC267" s="1548"/>
      <c r="AD267" s="1549"/>
      <c r="AE267" s="1178"/>
      <c r="AF267" s="1179"/>
      <c r="AH267" s="104"/>
      <c r="AI267" s="1172"/>
      <c r="AJ267" s="1172"/>
      <c r="AK267" s="1172"/>
      <c r="AL267" s="1173"/>
      <c r="AM267" s="1174"/>
      <c r="AN267" s="1175"/>
      <c r="AO267" s="1176"/>
      <c r="AP267" s="1177"/>
      <c r="AQ267" s="1547"/>
      <c r="AR267" s="1177"/>
      <c r="AS267" s="1548"/>
      <c r="AT267" s="1549"/>
      <c r="AU267" s="1178"/>
      <c r="AV267" s="1179"/>
      <c r="AY267" s="3">
        <v>1</v>
      </c>
    </row>
    <row r="268" spans="2:51" ht="18.75">
      <c r="B268" s="104"/>
      <c r="C268" s="1172"/>
      <c r="D268" s="1172"/>
      <c r="E268" s="1172"/>
      <c r="F268" s="1173"/>
      <c r="G268" s="1174"/>
      <c r="H268" s="1175"/>
      <c r="I268" s="1176"/>
      <c r="J268" s="1177"/>
      <c r="K268" s="1547"/>
      <c r="L268" s="1177"/>
      <c r="M268" s="1548"/>
      <c r="N268" s="1549"/>
      <c r="O268" s="1178"/>
      <c r="P268" s="1179"/>
      <c r="R268" s="104"/>
      <c r="S268" s="1172"/>
      <c r="T268" s="1172"/>
      <c r="U268" s="1172"/>
      <c r="V268" s="1173"/>
      <c r="W268" s="1174"/>
      <c r="X268" s="1175"/>
      <c r="Y268" s="1176"/>
      <c r="Z268" s="1177"/>
      <c r="AA268" s="1547"/>
      <c r="AB268" s="1177"/>
      <c r="AC268" s="1548"/>
      <c r="AD268" s="1549"/>
      <c r="AE268" s="1178"/>
      <c r="AF268" s="1179"/>
      <c r="AH268" s="104"/>
      <c r="AI268" s="1172"/>
      <c r="AJ268" s="1172"/>
      <c r="AK268" s="1172"/>
      <c r="AL268" s="1173"/>
      <c r="AM268" s="1174"/>
      <c r="AN268" s="1175"/>
      <c r="AO268" s="1176"/>
      <c r="AP268" s="1177"/>
      <c r="AQ268" s="1547"/>
      <c r="AR268" s="1177"/>
      <c r="AS268" s="1548"/>
      <c r="AT268" s="1549"/>
      <c r="AU268" s="1178"/>
      <c r="AV268" s="1179"/>
      <c r="AY268" s="3">
        <v>1</v>
      </c>
    </row>
    <row r="269" spans="2:51" ht="18.75">
      <c r="B269" s="104"/>
      <c r="C269" s="1172"/>
      <c r="D269" s="1172"/>
      <c r="E269" s="1172"/>
      <c r="F269" s="1173"/>
      <c r="G269" s="1174"/>
      <c r="H269" s="1175"/>
      <c r="I269" s="1176"/>
      <c r="J269" s="1177"/>
      <c r="K269" s="1547"/>
      <c r="L269" s="1177"/>
      <c r="M269" s="1548"/>
      <c r="N269" s="1549"/>
      <c r="O269" s="1178"/>
      <c r="P269" s="1179"/>
      <c r="R269" s="104"/>
      <c r="S269" s="1172"/>
      <c r="T269" s="1172"/>
      <c r="U269" s="1172"/>
      <c r="V269" s="1173"/>
      <c r="W269" s="1174"/>
      <c r="X269" s="1175"/>
      <c r="Y269" s="1176"/>
      <c r="Z269" s="1177"/>
      <c r="AA269" s="1547"/>
      <c r="AB269" s="1177"/>
      <c r="AC269" s="1548"/>
      <c r="AD269" s="1549"/>
      <c r="AE269" s="1178"/>
      <c r="AF269" s="1179"/>
      <c r="AH269" s="104"/>
      <c r="AI269" s="1172"/>
      <c r="AJ269" s="1172"/>
      <c r="AK269" s="1172"/>
      <c r="AL269" s="1173"/>
      <c r="AM269" s="1174"/>
      <c r="AN269" s="1175"/>
      <c r="AO269" s="1176"/>
      <c r="AP269" s="1177"/>
      <c r="AQ269" s="1547"/>
      <c r="AR269" s="1177"/>
      <c r="AS269" s="1548"/>
      <c r="AT269" s="1549"/>
      <c r="AU269" s="1178"/>
      <c r="AV269" s="1179"/>
      <c r="AY269" s="3">
        <v>1</v>
      </c>
    </row>
    <row r="270" spans="2:51" ht="18.75">
      <c r="B270" s="104"/>
      <c r="C270" s="1172"/>
      <c r="D270" s="1172"/>
      <c r="E270" s="1172"/>
      <c r="F270" s="1173"/>
      <c r="G270" s="1174"/>
      <c r="H270" s="1175"/>
      <c r="I270" s="1176"/>
      <c r="J270" s="1177"/>
      <c r="K270" s="1547"/>
      <c r="L270" s="1177"/>
      <c r="M270" s="1548"/>
      <c r="N270" s="1549"/>
      <c r="O270" s="1178"/>
      <c r="P270" s="1179"/>
      <c r="R270" s="104"/>
      <c r="S270" s="1172"/>
      <c r="T270" s="1172"/>
      <c r="U270" s="1172"/>
      <c r="V270" s="1173"/>
      <c r="W270" s="1174"/>
      <c r="X270" s="1175"/>
      <c r="Y270" s="1176"/>
      <c r="Z270" s="1177"/>
      <c r="AA270" s="1547"/>
      <c r="AB270" s="1177"/>
      <c r="AC270" s="1548"/>
      <c r="AD270" s="1549"/>
      <c r="AE270" s="1178"/>
      <c r="AF270" s="1179"/>
      <c r="AH270" s="104"/>
      <c r="AI270" s="1172"/>
      <c r="AJ270" s="1172"/>
      <c r="AK270" s="1172"/>
      <c r="AL270" s="1173"/>
      <c r="AM270" s="1174"/>
      <c r="AN270" s="1175"/>
      <c r="AO270" s="1176"/>
      <c r="AP270" s="1177"/>
      <c r="AQ270" s="1547"/>
      <c r="AR270" s="1177"/>
      <c r="AS270" s="1548"/>
      <c r="AT270" s="1549"/>
      <c r="AU270" s="1178"/>
      <c r="AV270" s="1179"/>
      <c r="AY270" s="3">
        <v>1</v>
      </c>
    </row>
    <row r="271" spans="2:51" ht="18.75">
      <c r="B271" s="104"/>
      <c r="C271" s="1172"/>
      <c r="D271" s="1172"/>
      <c r="E271" s="1172"/>
      <c r="F271" s="1173"/>
      <c r="G271" s="1174"/>
      <c r="H271" s="1175"/>
      <c r="I271" s="1176"/>
      <c r="J271" s="1177"/>
      <c r="K271" s="1547"/>
      <c r="L271" s="1177"/>
      <c r="M271" s="1548"/>
      <c r="N271" s="1549"/>
      <c r="O271" s="1178"/>
      <c r="P271" s="1179"/>
      <c r="R271" s="104"/>
      <c r="S271" s="1172"/>
      <c r="T271" s="1172"/>
      <c r="U271" s="1172"/>
      <c r="V271" s="1173"/>
      <c r="W271" s="1174"/>
      <c r="X271" s="1175"/>
      <c r="Y271" s="1176"/>
      <c r="Z271" s="1177"/>
      <c r="AA271" s="1547"/>
      <c r="AB271" s="1177"/>
      <c r="AC271" s="1548"/>
      <c r="AD271" s="1549"/>
      <c r="AE271" s="1178"/>
      <c r="AF271" s="1179"/>
      <c r="AH271" s="104"/>
      <c r="AI271" s="1172"/>
      <c r="AJ271" s="1172"/>
      <c r="AK271" s="1172"/>
      <c r="AL271" s="1173"/>
      <c r="AM271" s="1174"/>
      <c r="AN271" s="1175"/>
      <c r="AO271" s="1176"/>
      <c r="AP271" s="1177"/>
      <c r="AQ271" s="1547"/>
      <c r="AR271" s="1177"/>
      <c r="AS271" s="1548"/>
      <c r="AT271" s="1549"/>
      <c r="AU271" s="1178"/>
      <c r="AV271" s="1179"/>
      <c r="AY271" s="3">
        <v>1</v>
      </c>
    </row>
    <row r="272" spans="2:51" ht="18.75">
      <c r="B272" s="104"/>
      <c r="C272" s="1172"/>
      <c r="D272" s="1172"/>
      <c r="E272" s="1172"/>
      <c r="F272" s="1173"/>
      <c r="G272" s="1174"/>
      <c r="H272" s="1175"/>
      <c r="I272" s="1176"/>
      <c r="J272" s="1177"/>
      <c r="K272" s="1547"/>
      <c r="L272" s="1177"/>
      <c r="M272" s="1548"/>
      <c r="N272" s="1549"/>
      <c r="O272" s="1178"/>
      <c r="P272" s="1179"/>
      <c r="R272" s="104"/>
      <c r="S272" s="1172"/>
      <c r="T272" s="1172"/>
      <c r="U272" s="1172"/>
      <c r="V272" s="1173"/>
      <c r="W272" s="1174"/>
      <c r="X272" s="1175"/>
      <c r="Y272" s="1176"/>
      <c r="Z272" s="1177"/>
      <c r="AA272" s="1547"/>
      <c r="AB272" s="1177"/>
      <c r="AC272" s="1548"/>
      <c r="AD272" s="1549"/>
      <c r="AE272" s="1178"/>
      <c r="AF272" s="1179"/>
      <c r="AH272" s="104"/>
      <c r="AI272" s="1172"/>
      <c r="AJ272" s="1172"/>
      <c r="AK272" s="1172"/>
      <c r="AL272" s="1173"/>
      <c r="AM272" s="1174"/>
      <c r="AN272" s="1175"/>
      <c r="AO272" s="1176"/>
      <c r="AP272" s="1177"/>
      <c r="AQ272" s="1547"/>
      <c r="AR272" s="1177"/>
      <c r="AS272" s="1548"/>
      <c r="AT272" s="1549"/>
      <c r="AU272" s="1178"/>
      <c r="AV272" s="1179"/>
      <c r="AY272" s="3">
        <v>1</v>
      </c>
    </row>
    <row r="273" spans="2:51" ht="18.75">
      <c r="B273" s="104"/>
      <c r="C273" s="1172"/>
      <c r="D273" s="1172"/>
      <c r="E273" s="1172"/>
      <c r="F273" s="1173"/>
      <c r="G273" s="1174"/>
      <c r="H273" s="1175"/>
      <c r="I273" s="1176"/>
      <c r="J273" s="1177"/>
      <c r="K273" s="1547"/>
      <c r="L273" s="1177"/>
      <c r="M273" s="1548"/>
      <c r="N273" s="1549"/>
      <c r="O273" s="1178"/>
      <c r="P273" s="1179"/>
      <c r="R273" s="104"/>
      <c r="S273" s="1172"/>
      <c r="T273" s="1172"/>
      <c r="U273" s="1172"/>
      <c r="V273" s="1173"/>
      <c r="W273" s="1174"/>
      <c r="X273" s="1175"/>
      <c r="Y273" s="1176"/>
      <c r="Z273" s="1177"/>
      <c r="AA273" s="1547"/>
      <c r="AB273" s="1177"/>
      <c r="AC273" s="1548"/>
      <c r="AD273" s="1549"/>
      <c r="AE273" s="1178"/>
      <c r="AF273" s="1179"/>
      <c r="AH273" s="104"/>
      <c r="AI273" s="1172"/>
      <c r="AJ273" s="1172"/>
      <c r="AK273" s="1172"/>
      <c r="AL273" s="1173"/>
      <c r="AM273" s="1174"/>
      <c r="AN273" s="1175"/>
      <c r="AO273" s="1176"/>
      <c r="AP273" s="1177"/>
      <c r="AQ273" s="1547"/>
      <c r="AR273" s="1177"/>
      <c r="AS273" s="1548"/>
      <c r="AT273" s="1549"/>
      <c r="AU273" s="1178"/>
      <c r="AV273" s="1179"/>
      <c r="AY273" s="3">
        <v>1</v>
      </c>
    </row>
    <row r="274" spans="2:51" ht="18.75">
      <c r="B274" s="104"/>
      <c r="C274" s="1172"/>
      <c r="D274" s="1172"/>
      <c r="E274" s="1172"/>
      <c r="F274" s="1173"/>
      <c r="G274" s="1174"/>
      <c r="H274" s="1175"/>
      <c r="I274" s="1176"/>
      <c r="J274" s="1177"/>
      <c r="K274" s="1547"/>
      <c r="L274" s="1177"/>
      <c r="M274" s="1548"/>
      <c r="N274" s="1549"/>
      <c r="O274" s="1178"/>
      <c r="P274" s="1179"/>
      <c r="R274" s="104"/>
      <c r="S274" s="1172"/>
      <c r="T274" s="1172"/>
      <c r="U274" s="1172"/>
      <c r="V274" s="1173"/>
      <c r="W274" s="1174"/>
      <c r="X274" s="1175"/>
      <c r="Y274" s="1176"/>
      <c r="Z274" s="1177"/>
      <c r="AA274" s="1547"/>
      <c r="AB274" s="1177"/>
      <c r="AC274" s="1548"/>
      <c r="AD274" s="1549"/>
      <c r="AE274" s="1178"/>
      <c r="AF274" s="1179"/>
      <c r="AH274" s="104"/>
      <c r="AI274" s="1172"/>
      <c r="AJ274" s="1172"/>
      <c r="AK274" s="1172"/>
      <c r="AL274" s="1173"/>
      <c r="AM274" s="1174"/>
      <c r="AN274" s="1175"/>
      <c r="AO274" s="1176"/>
      <c r="AP274" s="1177"/>
      <c r="AQ274" s="1547"/>
      <c r="AR274" s="1177"/>
      <c r="AS274" s="1548"/>
      <c r="AT274" s="1549"/>
      <c r="AU274" s="1178"/>
      <c r="AV274" s="1179"/>
      <c r="AY274" s="3">
        <v>1</v>
      </c>
    </row>
    <row r="275" spans="2:51" ht="18.75">
      <c r="B275" s="104"/>
      <c r="C275" s="1172"/>
      <c r="D275" s="1172"/>
      <c r="E275" s="1172"/>
      <c r="F275" s="1173"/>
      <c r="G275" s="1174"/>
      <c r="H275" s="1175"/>
      <c r="I275" s="1176"/>
      <c r="J275" s="1177"/>
      <c r="K275" s="1547"/>
      <c r="L275" s="1177"/>
      <c r="M275" s="1548"/>
      <c r="N275" s="1549"/>
      <c r="O275" s="1178"/>
      <c r="P275" s="1179"/>
      <c r="R275" s="104"/>
      <c r="S275" s="1172"/>
      <c r="T275" s="1172"/>
      <c r="U275" s="1172"/>
      <c r="V275" s="1173"/>
      <c r="W275" s="1174"/>
      <c r="X275" s="1175"/>
      <c r="Y275" s="1176"/>
      <c r="Z275" s="1177"/>
      <c r="AA275" s="1547"/>
      <c r="AB275" s="1177"/>
      <c r="AC275" s="1548"/>
      <c r="AD275" s="1549"/>
      <c r="AE275" s="1178"/>
      <c r="AF275" s="1179"/>
      <c r="AH275" s="104"/>
      <c r="AI275" s="1172"/>
      <c r="AJ275" s="1172"/>
      <c r="AK275" s="1172"/>
      <c r="AL275" s="1173"/>
      <c r="AM275" s="1174"/>
      <c r="AN275" s="1175"/>
      <c r="AO275" s="1176"/>
      <c r="AP275" s="1177"/>
      <c r="AQ275" s="1547"/>
      <c r="AR275" s="1177"/>
      <c r="AS275" s="1548"/>
      <c r="AT275" s="1549"/>
      <c r="AU275" s="1178"/>
      <c r="AV275" s="1179"/>
      <c r="AY275" s="3">
        <v>1</v>
      </c>
    </row>
    <row r="276" spans="2:51" ht="18.75">
      <c r="B276" s="104"/>
      <c r="C276" s="1172"/>
      <c r="D276" s="1172"/>
      <c r="E276" s="1172"/>
      <c r="F276" s="1173"/>
      <c r="G276" s="1174"/>
      <c r="H276" s="1175"/>
      <c r="I276" s="1176"/>
      <c r="J276" s="1177"/>
      <c r="K276" s="1547"/>
      <c r="L276" s="1177"/>
      <c r="M276" s="1548"/>
      <c r="N276" s="1549"/>
      <c r="O276" s="1178"/>
      <c r="P276" s="1179"/>
      <c r="R276" s="104"/>
      <c r="S276" s="1172"/>
      <c r="T276" s="1172"/>
      <c r="U276" s="1172"/>
      <c r="V276" s="1173"/>
      <c r="W276" s="1174"/>
      <c r="X276" s="1175"/>
      <c r="Y276" s="1176"/>
      <c r="Z276" s="1177"/>
      <c r="AA276" s="1547"/>
      <c r="AB276" s="1177"/>
      <c r="AC276" s="1548"/>
      <c r="AD276" s="1549"/>
      <c r="AE276" s="1178"/>
      <c r="AF276" s="1179"/>
      <c r="AH276" s="104"/>
      <c r="AI276" s="1172"/>
      <c r="AJ276" s="1172"/>
      <c r="AK276" s="1172"/>
      <c r="AL276" s="1173"/>
      <c r="AM276" s="1174"/>
      <c r="AN276" s="1175"/>
      <c r="AO276" s="1176"/>
      <c r="AP276" s="1177"/>
      <c r="AQ276" s="1547"/>
      <c r="AR276" s="1177"/>
      <c r="AS276" s="1548"/>
      <c r="AT276" s="1549"/>
      <c r="AU276" s="1178"/>
      <c r="AV276" s="1179"/>
      <c r="AY276" s="3">
        <v>1</v>
      </c>
    </row>
    <row r="277" spans="2:51" ht="18.75">
      <c r="B277" s="104"/>
      <c r="C277" s="1172"/>
      <c r="D277" s="1172"/>
      <c r="E277" s="1172"/>
      <c r="F277" s="1173"/>
      <c r="G277" s="1174"/>
      <c r="H277" s="1175"/>
      <c r="I277" s="1176"/>
      <c r="J277" s="1177"/>
      <c r="K277" s="1547"/>
      <c r="L277" s="1177"/>
      <c r="M277" s="1548"/>
      <c r="N277" s="1549"/>
      <c r="O277" s="1178"/>
      <c r="P277" s="1179"/>
      <c r="R277" s="104"/>
      <c r="S277" s="1172"/>
      <c r="T277" s="1172"/>
      <c r="U277" s="1172"/>
      <c r="V277" s="1173"/>
      <c r="W277" s="1174"/>
      <c r="X277" s="1175"/>
      <c r="Y277" s="1176"/>
      <c r="Z277" s="1177"/>
      <c r="AA277" s="1547"/>
      <c r="AB277" s="1177"/>
      <c r="AC277" s="1548"/>
      <c r="AD277" s="1549"/>
      <c r="AE277" s="1178"/>
      <c r="AF277" s="1179"/>
      <c r="AH277" s="104"/>
      <c r="AI277" s="1172"/>
      <c r="AJ277" s="1172"/>
      <c r="AK277" s="1172"/>
      <c r="AL277" s="1173"/>
      <c r="AM277" s="1174"/>
      <c r="AN277" s="1175"/>
      <c r="AO277" s="1176"/>
      <c r="AP277" s="1177"/>
      <c r="AQ277" s="1547"/>
      <c r="AR277" s="1177"/>
      <c r="AS277" s="1548"/>
      <c r="AT277" s="1549"/>
      <c r="AU277" s="1178"/>
      <c r="AV277" s="1179"/>
      <c r="AY277" s="3">
        <v>1</v>
      </c>
    </row>
    <row r="278" spans="2:51" ht="18.75">
      <c r="B278" s="104"/>
      <c r="C278" s="1172"/>
      <c r="D278" s="1172"/>
      <c r="E278" s="1172"/>
      <c r="F278" s="1173"/>
      <c r="G278" s="1174"/>
      <c r="H278" s="1175"/>
      <c r="I278" s="1176"/>
      <c r="J278" s="1177"/>
      <c r="K278" s="1547"/>
      <c r="L278" s="1177"/>
      <c r="M278" s="1548"/>
      <c r="N278" s="1549"/>
      <c r="O278" s="1178"/>
      <c r="P278" s="1179"/>
      <c r="R278" s="104"/>
      <c r="S278" s="1172"/>
      <c r="T278" s="1172"/>
      <c r="U278" s="1172"/>
      <c r="V278" s="1173"/>
      <c r="W278" s="1174"/>
      <c r="X278" s="1175"/>
      <c r="Y278" s="1176"/>
      <c r="Z278" s="1177"/>
      <c r="AA278" s="1547"/>
      <c r="AB278" s="1177"/>
      <c r="AC278" s="1548"/>
      <c r="AD278" s="1549"/>
      <c r="AE278" s="1178"/>
      <c r="AF278" s="1179"/>
      <c r="AH278" s="104"/>
      <c r="AI278" s="1172"/>
      <c r="AJ278" s="1172"/>
      <c r="AK278" s="1172"/>
      <c r="AL278" s="1173"/>
      <c r="AM278" s="1174"/>
      <c r="AN278" s="1175"/>
      <c r="AO278" s="1176"/>
      <c r="AP278" s="1177"/>
      <c r="AQ278" s="1547"/>
      <c r="AR278" s="1177"/>
      <c r="AS278" s="1548"/>
      <c r="AT278" s="1549"/>
      <c r="AU278" s="1178"/>
      <c r="AV278" s="1179"/>
      <c r="AY278" s="3">
        <v>1</v>
      </c>
    </row>
    <row r="279" spans="2:51" ht="18.75">
      <c r="B279" s="104"/>
      <c r="C279" s="1172"/>
      <c r="D279" s="1172"/>
      <c r="E279" s="1172"/>
      <c r="F279" s="1173"/>
      <c r="G279" s="1174"/>
      <c r="H279" s="1175"/>
      <c r="I279" s="1176"/>
      <c r="J279" s="1177"/>
      <c r="K279" s="1547"/>
      <c r="L279" s="1177"/>
      <c r="M279" s="1548"/>
      <c r="N279" s="1549"/>
      <c r="O279" s="1178"/>
      <c r="P279" s="1179"/>
      <c r="R279" s="104"/>
      <c r="S279" s="1172"/>
      <c r="T279" s="1172"/>
      <c r="U279" s="1172"/>
      <c r="V279" s="1173"/>
      <c r="W279" s="1174"/>
      <c r="X279" s="1175"/>
      <c r="Y279" s="1176"/>
      <c r="Z279" s="1177"/>
      <c r="AA279" s="1547"/>
      <c r="AB279" s="1177"/>
      <c r="AC279" s="1548"/>
      <c r="AD279" s="1549"/>
      <c r="AE279" s="1178"/>
      <c r="AF279" s="1179"/>
      <c r="AH279" s="104"/>
      <c r="AI279" s="1172"/>
      <c r="AJ279" s="1172"/>
      <c r="AK279" s="1172"/>
      <c r="AL279" s="1173"/>
      <c r="AM279" s="1174"/>
      <c r="AN279" s="1175"/>
      <c r="AO279" s="1176"/>
      <c r="AP279" s="1177"/>
      <c r="AQ279" s="1547"/>
      <c r="AR279" s="1177"/>
      <c r="AS279" s="1548"/>
      <c r="AT279" s="1549"/>
      <c r="AU279" s="1178"/>
      <c r="AV279" s="1179"/>
      <c r="AY279" s="3">
        <v>1</v>
      </c>
    </row>
    <row r="280" spans="2:51" ht="18.75">
      <c r="B280" s="104"/>
      <c r="C280" s="1172"/>
      <c r="D280" s="1172"/>
      <c r="E280" s="1172"/>
      <c r="F280" s="1173"/>
      <c r="G280" s="1174"/>
      <c r="H280" s="1175"/>
      <c r="I280" s="1176"/>
      <c r="J280" s="1177"/>
      <c r="K280" s="1547"/>
      <c r="L280" s="1177"/>
      <c r="M280" s="1548"/>
      <c r="N280" s="1549"/>
      <c r="O280" s="1178"/>
      <c r="P280" s="1179"/>
      <c r="R280" s="104"/>
      <c r="S280" s="1172"/>
      <c r="T280" s="1172"/>
      <c r="U280" s="1172"/>
      <c r="V280" s="1173"/>
      <c r="W280" s="1174"/>
      <c r="X280" s="1175"/>
      <c r="Y280" s="1176"/>
      <c r="Z280" s="1177"/>
      <c r="AA280" s="1547"/>
      <c r="AB280" s="1177"/>
      <c r="AC280" s="1548"/>
      <c r="AD280" s="1549"/>
      <c r="AE280" s="1178"/>
      <c r="AF280" s="1179"/>
      <c r="AH280" s="104"/>
      <c r="AI280" s="1172"/>
      <c r="AJ280" s="1172"/>
      <c r="AK280" s="1172"/>
      <c r="AL280" s="1173"/>
      <c r="AM280" s="1174"/>
      <c r="AN280" s="1175"/>
      <c r="AO280" s="1176"/>
      <c r="AP280" s="1177"/>
      <c r="AQ280" s="1547"/>
      <c r="AR280" s="1177"/>
      <c r="AS280" s="1548"/>
      <c r="AT280" s="1549"/>
      <c r="AU280" s="1178"/>
      <c r="AV280" s="1179"/>
      <c r="AY280" s="3">
        <v>1</v>
      </c>
    </row>
    <row r="281" spans="2:51" ht="18.75">
      <c r="B281" s="104"/>
      <c r="C281" s="1172"/>
      <c r="D281" s="1172"/>
      <c r="E281" s="1172"/>
      <c r="F281" s="1173"/>
      <c r="G281" s="1174"/>
      <c r="H281" s="1175"/>
      <c r="I281" s="1176"/>
      <c r="J281" s="1177"/>
      <c r="K281" s="1547"/>
      <c r="L281" s="1177"/>
      <c r="M281" s="1548"/>
      <c r="N281" s="1549"/>
      <c r="O281" s="1178"/>
      <c r="P281" s="1179"/>
      <c r="R281" s="104"/>
      <c r="S281" s="1172"/>
      <c r="T281" s="1172"/>
      <c r="U281" s="1172"/>
      <c r="V281" s="1173"/>
      <c r="W281" s="1174"/>
      <c r="X281" s="1175"/>
      <c r="Y281" s="1176"/>
      <c r="Z281" s="1177"/>
      <c r="AA281" s="1547"/>
      <c r="AB281" s="1177"/>
      <c r="AC281" s="1548"/>
      <c r="AD281" s="1549"/>
      <c r="AE281" s="1178"/>
      <c r="AF281" s="1179"/>
      <c r="AH281" s="104"/>
      <c r="AI281" s="1172"/>
      <c r="AJ281" s="1172"/>
      <c r="AK281" s="1172"/>
      <c r="AL281" s="1173"/>
      <c r="AM281" s="1174"/>
      <c r="AN281" s="1175"/>
      <c r="AO281" s="1176"/>
      <c r="AP281" s="1177"/>
      <c r="AQ281" s="1547"/>
      <c r="AR281" s="1177"/>
      <c r="AS281" s="1548"/>
      <c r="AT281" s="1549"/>
      <c r="AU281" s="1178"/>
      <c r="AV281" s="1179"/>
      <c r="AY281" s="3">
        <v>1</v>
      </c>
    </row>
    <row r="282" spans="2:51" ht="18.75">
      <c r="B282" s="104"/>
      <c r="C282" s="1172"/>
      <c r="D282" s="1172"/>
      <c r="E282" s="1172"/>
      <c r="F282" s="1173"/>
      <c r="G282" s="1174"/>
      <c r="H282" s="1175"/>
      <c r="I282" s="1176"/>
      <c r="J282" s="1177"/>
      <c r="K282" s="1547"/>
      <c r="L282" s="1177"/>
      <c r="M282" s="1548"/>
      <c r="N282" s="1549"/>
      <c r="O282" s="1178"/>
      <c r="P282" s="1179"/>
      <c r="R282" s="104"/>
      <c r="S282" s="1172"/>
      <c r="T282" s="1172"/>
      <c r="U282" s="1172"/>
      <c r="V282" s="1173"/>
      <c r="W282" s="1174"/>
      <c r="X282" s="1175"/>
      <c r="Y282" s="1176"/>
      <c r="Z282" s="1177"/>
      <c r="AA282" s="1547"/>
      <c r="AB282" s="1177"/>
      <c r="AC282" s="1548"/>
      <c r="AD282" s="1549"/>
      <c r="AE282" s="1178"/>
      <c r="AF282" s="1179"/>
      <c r="AH282" s="104"/>
      <c r="AI282" s="1172"/>
      <c r="AJ282" s="1172"/>
      <c r="AK282" s="1172"/>
      <c r="AL282" s="1173"/>
      <c r="AM282" s="1174"/>
      <c r="AN282" s="1175"/>
      <c r="AO282" s="1176"/>
      <c r="AP282" s="1177"/>
      <c r="AQ282" s="1547"/>
      <c r="AR282" s="1177"/>
      <c r="AS282" s="1548"/>
      <c r="AT282" s="1549"/>
      <c r="AU282" s="1178"/>
      <c r="AV282" s="1179"/>
      <c r="AY282" s="3">
        <v>1</v>
      </c>
    </row>
    <row r="283" spans="2:51" ht="18.75">
      <c r="B283" s="104"/>
      <c r="C283" s="1172"/>
      <c r="D283" s="1172"/>
      <c r="E283" s="1172"/>
      <c r="F283" s="1173"/>
      <c r="G283" s="1174"/>
      <c r="H283" s="1175"/>
      <c r="I283" s="1176"/>
      <c r="J283" s="1177"/>
      <c r="K283" s="1547"/>
      <c r="L283" s="1177"/>
      <c r="M283" s="1548"/>
      <c r="N283" s="1549"/>
      <c r="O283" s="1178"/>
      <c r="P283" s="1179"/>
      <c r="R283" s="104"/>
      <c r="S283" s="1172"/>
      <c r="T283" s="1172"/>
      <c r="U283" s="1172"/>
      <c r="V283" s="1173"/>
      <c r="W283" s="1174"/>
      <c r="X283" s="1175"/>
      <c r="Y283" s="1176"/>
      <c r="Z283" s="1177"/>
      <c r="AA283" s="1547"/>
      <c r="AB283" s="1177"/>
      <c r="AC283" s="1548"/>
      <c r="AD283" s="1549"/>
      <c r="AE283" s="1178"/>
      <c r="AF283" s="1179"/>
      <c r="AH283" s="104"/>
      <c r="AI283" s="1172"/>
      <c r="AJ283" s="1172"/>
      <c r="AK283" s="1172"/>
      <c r="AL283" s="1173"/>
      <c r="AM283" s="1174"/>
      <c r="AN283" s="1175"/>
      <c r="AO283" s="1176"/>
      <c r="AP283" s="1177"/>
      <c r="AQ283" s="1547"/>
      <c r="AR283" s="1177"/>
      <c r="AS283" s="1548"/>
      <c r="AT283" s="1549"/>
      <c r="AU283" s="1178"/>
      <c r="AV283" s="1179"/>
      <c r="AY283" s="3">
        <v>1</v>
      </c>
    </row>
    <row r="284" spans="2:51" ht="18.75">
      <c r="B284" s="104"/>
      <c r="C284" s="1172"/>
      <c r="D284" s="1172"/>
      <c r="E284" s="1172"/>
      <c r="F284" s="1173"/>
      <c r="G284" s="1174"/>
      <c r="H284" s="1175"/>
      <c r="I284" s="1176"/>
      <c r="J284" s="1177"/>
      <c r="K284" s="1547"/>
      <c r="L284" s="1177"/>
      <c r="M284" s="1548"/>
      <c r="N284" s="1549"/>
      <c r="O284" s="1178"/>
      <c r="P284" s="1179"/>
      <c r="R284" s="104"/>
      <c r="S284" s="1172"/>
      <c r="T284" s="1172"/>
      <c r="U284" s="1172"/>
      <c r="V284" s="1173"/>
      <c r="W284" s="1174"/>
      <c r="X284" s="1175"/>
      <c r="Y284" s="1176"/>
      <c r="Z284" s="1177"/>
      <c r="AA284" s="1547"/>
      <c r="AB284" s="1177"/>
      <c r="AC284" s="1548"/>
      <c r="AD284" s="1549"/>
      <c r="AE284" s="1178"/>
      <c r="AF284" s="1179"/>
      <c r="AH284" s="104"/>
      <c r="AI284" s="1172"/>
      <c r="AJ284" s="1172"/>
      <c r="AK284" s="1172"/>
      <c r="AL284" s="1173"/>
      <c r="AM284" s="1174"/>
      <c r="AN284" s="1175"/>
      <c r="AO284" s="1176"/>
      <c r="AP284" s="1177"/>
      <c r="AQ284" s="1547"/>
      <c r="AR284" s="1177"/>
      <c r="AS284" s="1548"/>
      <c r="AT284" s="1549"/>
      <c r="AU284" s="1178"/>
      <c r="AV284" s="1179"/>
      <c r="AY284" s="3">
        <v>1</v>
      </c>
    </row>
    <row r="285" spans="2:51" ht="18.75">
      <c r="B285" s="104"/>
      <c r="C285" s="1172"/>
      <c r="D285" s="1172"/>
      <c r="E285" s="1172"/>
      <c r="F285" s="1173"/>
      <c r="G285" s="1174"/>
      <c r="H285" s="1175"/>
      <c r="I285" s="1176"/>
      <c r="J285" s="1177"/>
      <c r="K285" s="1547"/>
      <c r="L285" s="1177"/>
      <c r="M285" s="1548"/>
      <c r="N285" s="1549"/>
      <c r="O285" s="1178"/>
      <c r="P285" s="1179"/>
      <c r="R285" s="104"/>
      <c r="S285" s="1172"/>
      <c r="T285" s="1172"/>
      <c r="U285" s="1172"/>
      <c r="V285" s="1173"/>
      <c r="W285" s="1174"/>
      <c r="X285" s="1175"/>
      <c r="Y285" s="1176"/>
      <c r="Z285" s="1177"/>
      <c r="AA285" s="1547"/>
      <c r="AB285" s="1177"/>
      <c r="AC285" s="1548"/>
      <c r="AD285" s="1549"/>
      <c r="AE285" s="1178"/>
      <c r="AF285" s="1179"/>
      <c r="AH285" s="104"/>
      <c r="AI285" s="1172"/>
      <c r="AJ285" s="1172"/>
      <c r="AK285" s="1172"/>
      <c r="AL285" s="1173"/>
      <c r="AM285" s="1174"/>
      <c r="AN285" s="1175"/>
      <c r="AO285" s="1176"/>
      <c r="AP285" s="1177"/>
      <c r="AQ285" s="1547"/>
      <c r="AR285" s="1177"/>
      <c r="AS285" s="1548"/>
      <c r="AT285" s="1549"/>
      <c r="AU285" s="1178"/>
      <c r="AV285" s="1179"/>
      <c r="AY285" s="3">
        <v>1</v>
      </c>
    </row>
    <row r="286" spans="2:51" ht="18.75">
      <c r="B286" s="104"/>
      <c r="C286" s="1172"/>
      <c r="D286" s="1172"/>
      <c r="E286" s="1172"/>
      <c r="F286" s="1173"/>
      <c r="G286" s="1174"/>
      <c r="H286" s="1175"/>
      <c r="I286" s="1176"/>
      <c r="J286" s="1177"/>
      <c r="K286" s="1547"/>
      <c r="L286" s="1177"/>
      <c r="M286" s="1548"/>
      <c r="N286" s="1549"/>
      <c r="O286" s="1178"/>
      <c r="P286" s="1179"/>
      <c r="R286" s="104"/>
      <c r="S286" s="1172"/>
      <c r="T286" s="1172"/>
      <c r="U286" s="1172"/>
      <c r="V286" s="1173"/>
      <c r="W286" s="1174"/>
      <c r="X286" s="1175"/>
      <c r="Y286" s="1176"/>
      <c r="Z286" s="1177"/>
      <c r="AA286" s="1547"/>
      <c r="AB286" s="1177"/>
      <c r="AC286" s="1548"/>
      <c r="AD286" s="1549"/>
      <c r="AE286" s="1178"/>
      <c r="AF286" s="1179"/>
      <c r="AH286" s="104"/>
      <c r="AI286" s="1172"/>
      <c r="AJ286" s="1172"/>
      <c r="AK286" s="1172"/>
      <c r="AL286" s="1173"/>
      <c r="AM286" s="1174"/>
      <c r="AN286" s="1175"/>
      <c r="AO286" s="1176"/>
      <c r="AP286" s="1177"/>
      <c r="AQ286" s="1547"/>
      <c r="AR286" s="1177"/>
      <c r="AS286" s="1548"/>
      <c r="AT286" s="1549"/>
      <c r="AU286" s="1178"/>
      <c r="AV286" s="1179"/>
      <c r="AY286" s="3">
        <v>1</v>
      </c>
    </row>
    <row r="287" spans="2:51" ht="18.75">
      <c r="B287" s="104"/>
      <c r="C287" s="1172"/>
      <c r="D287" s="1172"/>
      <c r="E287" s="1172"/>
      <c r="F287" s="1173"/>
      <c r="G287" s="1174"/>
      <c r="H287" s="1175"/>
      <c r="I287" s="1176"/>
      <c r="J287" s="1177"/>
      <c r="K287" s="1547"/>
      <c r="L287" s="1177"/>
      <c r="M287" s="1548"/>
      <c r="N287" s="1549"/>
      <c r="O287" s="1178"/>
      <c r="P287" s="1179"/>
      <c r="R287" s="104"/>
      <c r="S287" s="1172"/>
      <c r="T287" s="1172"/>
      <c r="U287" s="1172"/>
      <c r="V287" s="1173"/>
      <c r="W287" s="1174"/>
      <c r="X287" s="1175"/>
      <c r="Y287" s="1176"/>
      <c r="Z287" s="1177"/>
      <c r="AA287" s="1547"/>
      <c r="AB287" s="1177"/>
      <c r="AC287" s="1548"/>
      <c r="AD287" s="1549"/>
      <c r="AE287" s="1178"/>
      <c r="AF287" s="1179"/>
      <c r="AH287" s="104"/>
      <c r="AI287" s="1172"/>
      <c r="AJ287" s="1172"/>
      <c r="AK287" s="1172"/>
      <c r="AL287" s="1173"/>
      <c r="AM287" s="1174"/>
      <c r="AN287" s="1175"/>
      <c r="AO287" s="1176"/>
      <c r="AP287" s="1177"/>
      <c r="AQ287" s="1547"/>
      <c r="AR287" s="1177"/>
      <c r="AS287" s="1548"/>
      <c r="AT287" s="1549"/>
      <c r="AU287" s="1178"/>
      <c r="AV287" s="1179"/>
      <c r="AY287" s="3">
        <v>1</v>
      </c>
    </row>
    <row r="288" spans="2:51" ht="18.75">
      <c r="B288" s="104"/>
      <c r="C288" s="1172"/>
      <c r="D288" s="1172"/>
      <c r="E288" s="1172"/>
      <c r="F288" s="1173"/>
      <c r="G288" s="1174"/>
      <c r="H288" s="1175"/>
      <c r="I288" s="1176"/>
      <c r="J288" s="1177"/>
      <c r="K288" s="1547"/>
      <c r="L288" s="1177"/>
      <c r="M288" s="1548"/>
      <c r="N288" s="1549"/>
      <c r="O288" s="1178"/>
      <c r="P288" s="1179"/>
      <c r="R288" s="104"/>
      <c r="S288" s="1172"/>
      <c r="T288" s="1172"/>
      <c r="U288" s="1172"/>
      <c r="V288" s="1173"/>
      <c r="W288" s="1174"/>
      <c r="X288" s="1175"/>
      <c r="Y288" s="1176"/>
      <c r="Z288" s="1177"/>
      <c r="AA288" s="1547"/>
      <c r="AB288" s="1177"/>
      <c r="AC288" s="1548"/>
      <c r="AD288" s="1549"/>
      <c r="AE288" s="1178"/>
      <c r="AF288" s="1179"/>
      <c r="AH288" s="104"/>
      <c r="AI288" s="1172"/>
      <c r="AJ288" s="1172"/>
      <c r="AK288" s="1172"/>
      <c r="AL288" s="1173"/>
      <c r="AM288" s="1174"/>
      <c r="AN288" s="1175"/>
      <c r="AO288" s="1176"/>
      <c r="AP288" s="1177"/>
      <c r="AQ288" s="1547"/>
      <c r="AR288" s="1177"/>
      <c r="AS288" s="1548"/>
      <c r="AT288" s="1549"/>
      <c r="AU288" s="1178"/>
      <c r="AV288" s="1179"/>
      <c r="AY288" s="3">
        <v>1</v>
      </c>
    </row>
    <row r="289" spans="2:51" ht="18.75">
      <c r="B289" s="104"/>
      <c r="C289" s="1172"/>
      <c r="D289" s="1172"/>
      <c r="E289" s="1172"/>
      <c r="F289" s="1173"/>
      <c r="G289" s="1174"/>
      <c r="H289" s="1175"/>
      <c r="I289" s="1176"/>
      <c r="J289" s="1177"/>
      <c r="K289" s="1547"/>
      <c r="L289" s="1177"/>
      <c r="M289" s="1548"/>
      <c r="N289" s="1549"/>
      <c r="O289" s="1178"/>
      <c r="P289" s="1179"/>
      <c r="R289" s="104"/>
      <c r="S289" s="1172"/>
      <c r="T289" s="1172"/>
      <c r="U289" s="1172"/>
      <c r="V289" s="1173"/>
      <c r="W289" s="1174"/>
      <c r="X289" s="1175"/>
      <c r="Y289" s="1176"/>
      <c r="Z289" s="1177"/>
      <c r="AA289" s="1547"/>
      <c r="AB289" s="1177"/>
      <c r="AC289" s="1548"/>
      <c r="AD289" s="1549"/>
      <c r="AE289" s="1178"/>
      <c r="AF289" s="1179"/>
      <c r="AH289" s="104"/>
      <c r="AI289" s="1172"/>
      <c r="AJ289" s="1172"/>
      <c r="AK289" s="1172"/>
      <c r="AL289" s="1173"/>
      <c r="AM289" s="1174"/>
      <c r="AN289" s="1175"/>
      <c r="AO289" s="1176"/>
      <c r="AP289" s="1177"/>
      <c r="AQ289" s="1547"/>
      <c r="AR289" s="1177"/>
      <c r="AS289" s="1548"/>
      <c r="AT289" s="1549"/>
      <c r="AU289" s="1178"/>
      <c r="AV289" s="1179"/>
      <c r="AY289" s="3">
        <v>1</v>
      </c>
    </row>
    <row r="290" spans="2:51" ht="18.75">
      <c r="B290" s="104"/>
      <c r="C290" s="1172"/>
      <c r="D290" s="1172"/>
      <c r="E290" s="1172"/>
      <c r="F290" s="1173"/>
      <c r="G290" s="1174"/>
      <c r="H290" s="1175"/>
      <c r="I290" s="1176"/>
      <c r="J290" s="1177"/>
      <c r="K290" s="1547"/>
      <c r="L290" s="1177"/>
      <c r="M290" s="1548"/>
      <c r="N290" s="1549"/>
      <c r="O290" s="1178"/>
      <c r="P290" s="1179"/>
      <c r="R290" s="104"/>
      <c r="S290" s="1172"/>
      <c r="T290" s="1172"/>
      <c r="U290" s="1172"/>
      <c r="V290" s="1173"/>
      <c r="W290" s="1174"/>
      <c r="X290" s="1175"/>
      <c r="Y290" s="1176"/>
      <c r="Z290" s="1177"/>
      <c r="AA290" s="1547"/>
      <c r="AB290" s="1177"/>
      <c r="AC290" s="1548"/>
      <c r="AD290" s="1549"/>
      <c r="AE290" s="1178"/>
      <c r="AF290" s="1179"/>
      <c r="AH290" s="104"/>
      <c r="AI290" s="1172"/>
      <c r="AJ290" s="1172"/>
      <c r="AK290" s="1172"/>
      <c r="AL290" s="1173"/>
      <c r="AM290" s="1174"/>
      <c r="AN290" s="1175"/>
      <c r="AO290" s="1176"/>
      <c r="AP290" s="1177"/>
      <c r="AQ290" s="1547"/>
      <c r="AR290" s="1177"/>
      <c r="AS290" s="1548"/>
      <c r="AT290" s="1549"/>
      <c r="AU290" s="1178"/>
      <c r="AV290" s="1179"/>
      <c r="AY290" s="3">
        <v>1</v>
      </c>
    </row>
    <row r="291" spans="2:51" ht="18.75">
      <c r="B291" s="104"/>
      <c r="C291" s="1172"/>
      <c r="D291" s="1172"/>
      <c r="E291" s="1172"/>
      <c r="F291" s="1173"/>
      <c r="G291" s="1174"/>
      <c r="H291" s="1175"/>
      <c r="I291" s="1176"/>
      <c r="J291" s="1177"/>
      <c r="K291" s="1547"/>
      <c r="L291" s="1177"/>
      <c r="M291" s="1548"/>
      <c r="N291" s="1549"/>
      <c r="O291" s="1178"/>
      <c r="P291" s="1179"/>
      <c r="R291" s="104"/>
      <c r="S291" s="1172"/>
      <c r="T291" s="1172"/>
      <c r="U291" s="1172"/>
      <c r="V291" s="1173"/>
      <c r="W291" s="1174"/>
      <c r="X291" s="1175"/>
      <c r="Y291" s="1176"/>
      <c r="Z291" s="1177"/>
      <c r="AA291" s="1547"/>
      <c r="AB291" s="1177"/>
      <c r="AC291" s="1548"/>
      <c r="AD291" s="1549"/>
      <c r="AE291" s="1178"/>
      <c r="AF291" s="1179"/>
      <c r="AH291" s="104"/>
      <c r="AI291" s="1172"/>
      <c r="AJ291" s="1172"/>
      <c r="AK291" s="1172"/>
      <c r="AL291" s="1173"/>
      <c r="AM291" s="1174"/>
      <c r="AN291" s="1175"/>
      <c r="AO291" s="1176"/>
      <c r="AP291" s="1177"/>
      <c r="AQ291" s="1547"/>
      <c r="AR291" s="1177"/>
      <c r="AS291" s="1548"/>
      <c r="AT291" s="1549"/>
      <c r="AU291" s="1178"/>
      <c r="AV291" s="1179"/>
      <c r="AY291" s="3">
        <v>1</v>
      </c>
    </row>
    <row r="292" spans="2:51" ht="18.75">
      <c r="B292" s="104"/>
      <c r="C292" s="1172"/>
      <c r="D292" s="1172"/>
      <c r="E292" s="1172"/>
      <c r="F292" s="1173"/>
      <c r="G292" s="1174"/>
      <c r="H292" s="1175"/>
      <c r="I292" s="1176"/>
      <c r="J292" s="1177"/>
      <c r="K292" s="1547"/>
      <c r="L292" s="1177"/>
      <c r="M292" s="1548"/>
      <c r="N292" s="1549"/>
      <c r="O292" s="1178"/>
      <c r="P292" s="1179"/>
      <c r="R292" s="104"/>
      <c r="S292" s="1172"/>
      <c r="T292" s="1172"/>
      <c r="U292" s="1172"/>
      <c r="V292" s="1173"/>
      <c r="W292" s="1174"/>
      <c r="X292" s="1175"/>
      <c r="Y292" s="1176"/>
      <c r="Z292" s="1177"/>
      <c r="AA292" s="1547"/>
      <c r="AB292" s="1177"/>
      <c r="AC292" s="1548"/>
      <c r="AD292" s="1549"/>
      <c r="AE292" s="1178"/>
      <c r="AF292" s="1179"/>
      <c r="AH292" s="104"/>
      <c r="AI292" s="1172"/>
      <c r="AJ292" s="1172"/>
      <c r="AK292" s="1172"/>
      <c r="AL292" s="1173"/>
      <c r="AM292" s="1174"/>
      <c r="AN292" s="1175"/>
      <c r="AO292" s="1176"/>
      <c r="AP292" s="1177"/>
      <c r="AQ292" s="1547"/>
      <c r="AR292" s="1177"/>
      <c r="AS292" s="1548"/>
      <c r="AT292" s="1549"/>
      <c r="AU292" s="1178"/>
      <c r="AV292" s="1179"/>
      <c r="AY292" s="3">
        <v>1</v>
      </c>
    </row>
    <row r="293" spans="2:51" ht="18.75">
      <c r="B293" s="104"/>
      <c r="C293" s="1172"/>
      <c r="D293" s="1172"/>
      <c r="E293" s="1172"/>
      <c r="F293" s="1173"/>
      <c r="G293" s="1174"/>
      <c r="H293" s="1175"/>
      <c r="I293" s="1176"/>
      <c r="J293" s="1177"/>
      <c r="K293" s="1547"/>
      <c r="L293" s="1177"/>
      <c r="M293" s="1548"/>
      <c r="N293" s="1549"/>
      <c r="O293" s="1178"/>
      <c r="P293" s="1179"/>
      <c r="R293" s="104"/>
      <c r="S293" s="1172"/>
      <c r="T293" s="1172"/>
      <c r="U293" s="1172"/>
      <c r="V293" s="1173"/>
      <c r="W293" s="1174"/>
      <c r="X293" s="1175"/>
      <c r="Y293" s="1176"/>
      <c r="Z293" s="1177"/>
      <c r="AA293" s="1547"/>
      <c r="AB293" s="1177"/>
      <c r="AC293" s="1548"/>
      <c r="AD293" s="1549"/>
      <c r="AE293" s="1178"/>
      <c r="AF293" s="1179"/>
      <c r="AH293" s="104"/>
      <c r="AI293" s="1172"/>
      <c r="AJ293" s="1172"/>
      <c r="AK293" s="1172"/>
      <c r="AL293" s="1173"/>
      <c r="AM293" s="1174"/>
      <c r="AN293" s="1175"/>
      <c r="AO293" s="1176"/>
      <c r="AP293" s="1177"/>
      <c r="AQ293" s="1547"/>
      <c r="AR293" s="1177"/>
      <c r="AS293" s="1548"/>
      <c r="AT293" s="1549"/>
      <c r="AU293" s="1178"/>
      <c r="AV293" s="1179"/>
      <c r="AY293" s="3">
        <v>1</v>
      </c>
    </row>
    <row r="294" spans="2:51" ht="18.75">
      <c r="B294" s="104"/>
      <c r="C294" s="1172"/>
      <c r="D294" s="1172"/>
      <c r="E294" s="1172"/>
      <c r="F294" s="1173"/>
      <c r="G294" s="1174"/>
      <c r="H294" s="1175"/>
      <c r="I294" s="1176"/>
      <c r="J294" s="1177"/>
      <c r="K294" s="1547"/>
      <c r="L294" s="1177"/>
      <c r="M294" s="1548"/>
      <c r="N294" s="1549"/>
      <c r="O294" s="1178"/>
      <c r="P294" s="1179"/>
      <c r="R294" s="104"/>
      <c r="S294" s="1172"/>
      <c r="T294" s="1172"/>
      <c r="U294" s="1172"/>
      <c r="V294" s="1173"/>
      <c r="W294" s="1174"/>
      <c r="X294" s="1175"/>
      <c r="Y294" s="1176"/>
      <c r="Z294" s="1177"/>
      <c r="AA294" s="1547"/>
      <c r="AB294" s="1177"/>
      <c r="AC294" s="1548"/>
      <c r="AD294" s="1549"/>
      <c r="AE294" s="1178"/>
      <c r="AF294" s="1179"/>
      <c r="AH294" s="104"/>
      <c r="AI294" s="1172"/>
      <c r="AJ294" s="1172"/>
      <c r="AK294" s="1172"/>
      <c r="AL294" s="1173"/>
      <c r="AM294" s="1174"/>
      <c r="AN294" s="1175"/>
      <c r="AO294" s="1176"/>
      <c r="AP294" s="1177"/>
      <c r="AQ294" s="1547"/>
      <c r="AR294" s="1177"/>
      <c r="AS294" s="1548"/>
      <c r="AT294" s="1549"/>
      <c r="AU294" s="1178"/>
      <c r="AV294" s="1179"/>
      <c r="AY294" s="3">
        <v>1</v>
      </c>
    </row>
    <row r="295" spans="2:51" ht="18.75">
      <c r="B295" s="104"/>
      <c r="C295" s="1172"/>
      <c r="D295" s="1172"/>
      <c r="E295" s="1172"/>
      <c r="F295" s="1173"/>
      <c r="G295" s="1174"/>
      <c r="H295" s="1175"/>
      <c r="I295" s="1176"/>
      <c r="J295" s="1177"/>
      <c r="K295" s="1547"/>
      <c r="L295" s="1177"/>
      <c r="M295" s="1548"/>
      <c r="N295" s="1549"/>
      <c r="O295" s="1178"/>
      <c r="P295" s="1179"/>
      <c r="R295" s="104"/>
      <c r="S295" s="1172"/>
      <c r="T295" s="1172"/>
      <c r="U295" s="1172"/>
      <c r="V295" s="1173"/>
      <c r="W295" s="1174"/>
      <c r="X295" s="1175"/>
      <c r="Y295" s="1176"/>
      <c r="Z295" s="1177"/>
      <c r="AA295" s="1547"/>
      <c r="AB295" s="1177"/>
      <c r="AC295" s="1548"/>
      <c r="AD295" s="1549"/>
      <c r="AE295" s="1178"/>
      <c r="AF295" s="1179"/>
      <c r="AH295" s="104"/>
      <c r="AI295" s="1172"/>
      <c r="AJ295" s="1172"/>
      <c r="AK295" s="1172"/>
      <c r="AL295" s="1173"/>
      <c r="AM295" s="1174"/>
      <c r="AN295" s="1175"/>
      <c r="AO295" s="1176"/>
      <c r="AP295" s="1177"/>
      <c r="AQ295" s="1547"/>
      <c r="AR295" s="1177"/>
      <c r="AS295" s="1548"/>
      <c r="AT295" s="1549"/>
      <c r="AU295" s="1178"/>
      <c r="AV295" s="1179"/>
      <c r="AY295" s="3">
        <v>1</v>
      </c>
    </row>
    <row r="296" spans="2:51" ht="18.75">
      <c r="B296" s="104"/>
      <c r="C296" s="1172"/>
      <c r="D296" s="1172"/>
      <c r="E296" s="1172"/>
      <c r="F296" s="1173"/>
      <c r="G296" s="1174"/>
      <c r="H296" s="1175"/>
      <c r="I296" s="1176"/>
      <c r="J296" s="1177"/>
      <c r="K296" s="1547"/>
      <c r="L296" s="1177"/>
      <c r="M296" s="1548"/>
      <c r="N296" s="1549"/>
      <c r="O296" s="1178"/>
      <c r="P296" s="1179"/>
      <c r="R296" s="104"/>
      <c r="S296" s="1172"/>
      <c r="T296" s="1172"/>
      <c r="U296" s="1172"/>
      <c r="V296" s="1173"/>
      <c r="W296" s="1174"/>
      <c r="X296" s="1175"/>
      <c r="Y296" s="1176"/>
      <c r="Z296" s="1177"/>
      <c r="AA296" s="1547"/>
      <c r="AB296" s="1177"/>
      <c r="AC296" s="1548"/>
      <c r="AD296" s="1549"/>
      <c r="AE296" s="1178"/>
      <c r="AF296" s="1179"/>
      <c r="AH296" s="104"/>
      <c r="AI296" s="1172"/>
      <c r="AJ296" s="1172"/>
      <c r="AK296" s="1172"/>
      <c r="AL296" s="1173"/>
      <c r="AM296" s="1174"/>
      <c r="AN296" s="1175"/>
      <c r="AO296" s="1176"/>
      <c r="AP296" s="1177"/>
      <c r="AQ296" s="1547"/>
      <c r="AR296" s="1177"/>
      <c r="AS296" s="1548"/>
      <c r="AT296" s="1549"/>
      <c r="AU296" s="1178"/>
      <c r="AV296" s="1179"/>
      <c r="AY296" s="3">
        <v>1</v>
      </c>
    </row>
    <row r="297" spans="2:51" ht="18.75">
      <c r="B297" s="104"/>
      <c r="C297" s="1172"/>
      <c r="D297" s="1172"/>
      <c r="E297" s="1172"/>
      <c r="F297" s="1173"/>
      <c r="G297" s="1174"/>
      <c r="H297" s="1175"/>
      <c r="I297" s="1176"/>
      <c r="J297" s="1177"/>
      <c r="K297" s="1547"/>
      <c r="L297" s="1177"/>
      <c r="M297" s="1548"/>
      <c r="N297" s="1549"/>
      <c r="O297" s="1178"/>
      <c r="P297" s="1179"/>
      <c r="R297" s="104"/>
      <c r="S297" s="1172"/>
      <c r="T297" s="1172"/>
      <c r="U297" s="1172"/>
      <c r="V297" s="1173"/>
      <c r="W297" s="1174"/>
      <c r="X297" s="1175"/>
      <c r="Y297" s="1176"/>
      <c r="Z297" s="1177"/>
      <c r="AA297" s="1547"/>
      <c r="AB297" s="1177"/>
      <c r="AC297" s="1548"/>
      <c r="AD297" s="1549"/>
      <c r="AE297" s="1178"/>
      <c r="AF297" s="1179"/>
      <c r="AH297" s="104"/>
      <c r="AI297" s="1172"/>
      <c r="AJ297" s="1172"/>
      <c r="AK297" s="1172"/>
      <c r="AL297" s="1173"/>
      <c r="AM297" s="1174"/>
      <c r="AN297" s="1175"/>
      <c r="AO297" s="1176"/>
      <c r="AP297" s="1177"/>
      <c r="AQ297" s="1547"/>
      <c r="AR297" s="1177"/>
      <c r="AS297" s="1548"/>
      <c r="AT297" s="1549"/>
      <c r="AU297" s="1178"/>
      <c r="AV297" s="1179"/>
      <c r="AY297" s="3">
        <v>1</v>
      </c>
    </row>
    <row r="298" spans="2:51" ht="18.75">
      <c r="B298" s="104"/>
      <c r="C298" s="1172"/>
      <c r="D298" s="1172"/>
      <c r="E298" s="1172"/>
      <c r="F298" s="1173"/>
      <c r="G298" s="1174"/>
      <c r="H298" s="1175"/>
      <c r="I298" s="1176"/>
      <c r="J298" s="1177"/>
      <c r="K298" s="1547"/>
      <c r="L298" s="1177"/>
      <c r="M298" s="1548"/>
      <c r="N298" s="1549"/>
      <c r="O298" s="1178"/>
      <c r="P298" s="1179"/>
      <c r="R298" s="104"/>
      <c r="S298" s="1172"/>
      <c r="T298" s="1172"/>
      <c r="U298" s="1172"/>
      <c r="V298" s="1173"/>
      <c r="W298" s="1174"/>
      <c r="X298" s="1175"/>
      <c r="Y298" s="1176"/>
      <c r="Z298" s="1177"/>
      <c r="AA298" s="1547"/>
      <c r="AB298" s="1177"/>
      <c r="AC298" s="1548"/>
      <c r="AD298" s="1549"/>
      <c r="AE298" s="1178"/>
      <c r="AF298" s="1179"/>
      <c r="AH298" s="104"/>
      <c r="AI298" s="1172"/>
      <c r="AJ298" s="1172"/>
      <c r="AK298" s="1172"/>
      <c r="AL298" s="1173"/>
      <c r="AM298" s="1174"/>
      <c r="AN298" s="1175"/>
      <c r="AO298" s="1176"/>
      <c r="AP298" s="1177"/>
      <c r="AQ298" s="1547"/>
      <c r="AR298" s="1177"/>
      <c r="AS298" s="1548"/>
      <c r="AT298" s="1549"/>
      <c r="AU298" s="1178"/>
      <c r="AV298" s="1179"/>
      <c r="AY298" s="3">
        <v>1</v>
      </c>
    </row>
    <row r="299" spans="2:51" ht="18.75">
      <c r="B299" s="104"/>
      <c r="C299" s="1172"/>
      <c r="D299" s="1172"/>
      <c r="E299" s="1172"/>
      <c r="F299" s="1173"/>
      <c r="G299" s="1174"/>
      <c r="H299" s="1175"/>
      <c r="I299" s="1176"/>
      <c r="J299" s="1177"/>
      <c r="K299" s="1547"/>
      <c r="L299" s="1177"/>
      <c r="M299" s="1548"/>
      <c r="N299" s="1549"/>
      <c r="O299" s="1178"/>
      <c r="P299" s="1179"/>
      <c r="R299" s="104"/>
      <c r="S299" s="1172"/>
      <c r="T299" s="1172"/>
      <c r="U299" s="1172"/>
      <c r="V299" s="1173"/>
      <c r="W299" s="1174"/>
      <c r="X299" s="1175"/>
      <c r="Y299" s="1176"/>
      <c r="Z299" s="1177"/>
      <c r="AA299" s="1547"/>
      <c r="AB299" s="1177"/>
      <c r="AC299" s="1548"/>
      <c r="AD299" s="1549"/>
      <c r="AE299" s="1178"/>
      <c r="AF299" s="1179"/>
      <c r="AH299" s="104"/>
      <c r="AI299" s="1172"/>
      <c r="AJ299" s="1172"/>
      <c r="AK299" s="1172"/>
      <c r="AL299" s="1173"/>
      <c r="AM299" s="1174"/>
      <c r="AN299" s="1175"/>
      <c r="AO299" s="1176"/>
      <c r="AP299" s="1177"/>
      <c r="AQ299" s="1547"/>
      <c r="AR299" s="1177"/>
      <c r="AS299" s="1548"/>
      <c r="AT299" s="1549"/>
      <c r="AU299" s="1178"/>
      <c r="AV299" s="1179"/>
      <c r="AY299" s="3">
        <v>1</v>
      </c>
    </row>
    <row r="300" spans="2:51" ht="18.75">
      <c r="B300" s="104"/>
      <c r="C300" s="1172"/>
      <c r="D300" s="1172"/>
      <c r="E300" s="1172"/>
      <c r="F300" s="1173"/>
      <c r="G300" s="1174"/>
      <c r="H300" s="1175"/>
      <c r="I300" s="1176"/>
      <c r="J300" s="1177"/>
      <c r="K300" s="1547"/>
      <c r="L300" s="1177"/>
      <c r="M300" s="1548"/>
      <c r="N300" s="1549"/>
      <c r="O300" s="1178"/>
      <c r="P300" s="1179"/>
      <c r="R300" s="104"/>
      <c r="S300" s="1172"/>
      <c r="T300" s="1172"/>
      <c r="U300" s="1172"/>
      <c r="V300" s="1173"/>
      <c r="W300" s="1174"/>
      <c r="X300" s="1175"/>
      <c r="Y300" s="1176"/>
      <c r="Z300" s="1177"/>
      <c r="AA300" s="1547"/>
      <c r="AB300" s="1177"/>
      <c r="AC300" s="1548"/>
      <c r="AD300" s="1549"/>
      <c r="AE300" s="1178"/>
      <c r="AF300" s="1179"/>
      <c r="AH300" s="104"/>
      <c r="AI300" s="1172"/>
      <c r="AJ300" s="1172"/>
      <c r="AK300" s="1172"/>
      <c r="AL300" s="1173"/>
      <c r="AM300" s="1174"/>
      <c r="AN300" s="1175"/>
      <c r="AO300" s="1176"/>
      <c r="AP300" s="1177"/>
      <c r="AQ300" s="1547"/>
      <c r="AR300" s="1177"/>
      <c r="AS300" s="1548"/>
      <c r="AT300" s="1549"/>
      <c r="AU300" s="1178"/>
      <c r="AV300" s="1179"/>
      <c r="AY300" s="3">
        <v>1</v>
      </c>
    </row>
    <row r="301" spans="2:51" ht="18.75">
      <c r="B301" s="104"/>
      <c r="C301" s="1172"/>
      <c r="D301" s="1172"/>
      <c r="E301" s="1172"/>
      <c r="F301" s="1173"/>
      <c r="G301" s="1174"/>
      <c r="H301" s="1175"/>
      <c r="I301" s="1176"/>
      <c r="J301" s="1177"/>
      <c r="K301" s="1547"/>
      <c r="L301" s="1177"/>
      <c r="M301" s="1548"/>
      <c r="N301" s="1549"/>
      <c r="O301" s="1178"/>
      <c r="P301" s="1179"/>
      <c r="R301" s="104"/>
      <c r="S301" s="1172"/>
      <c r="T301" s="1172"/>
      <c r="U301" s="1172"/>
      <c r="V301" s="1173"/>
      <c r="W301" s="1174"/>
      <c r="X301" s="1175"/>
      <c r="Y301" s="1176"/>
      <c r="Z301" s="1177"/>
      <c r="AA301" s="1547"/>
      <c r="AB301" s="1177"/>
      <c r="AC301" s="1548"/>
      <c r="AD301" s="1549"/>
      <c r="AE301" s="1178"/>
      <c r="AF301" s="1179"/>
      <c r="AH301" s="104"/>
      <c r="AI301" s="1172"/>
      <c r="AJ301" s="1172"/>
      <c r="AK301" s="1172"/>
      <c r="AL301" s="1173"/>
      <c r="AM301" s="1174"/>
      <c r="AN301" s="1175"/>
      <c r="AO301" s="1176"/>
      <c r="AP301" s="1177"/>
      <c r="AQ301" s="1547"/>
      <c r="AR301" s="1177"/>
      <c r="AS301" s="1548"/>
      <c r="AT301" s="1549"/>
      <c r="AU301" s="1178"/>
      <c r="AV301" s="1179"/>
      <c r="AY301" s="3">
        <v>1</v>
      </c>
    </row>
    <row r="302" spans="2:51" ht="18.75">
      <c r="B302" s="104"/>
      <c r="C302" s="1172"/>
      <c r="D302" s="1172"/>
      <c r="E302" s="1172"/>
      <c r="F302" s="1173"/>
      <c r="G302" s="1174"/>
      <c r="H302" s="1175"/>
      <c r="I302" s="1176"/>
      <c r="J302" s="1177"/>
      <c r="K302" s="1547"/>
      <c r="L302" s="1177"/>
      <c r="M302" s="1548"/>
      <c r="N302" s="1549"/>
      <c r="O302" s="1178"/>
      <c r="P302" s="1179"/>
      <c r="R302" s="104"/>
      <c r="S302" s="1172"/>
      <c r="T302" s="1172"/>
      <c r="U302" s="1172"/>
      <c r="V302" s="1173"/>
      <c r="W302" s="1174"/>
      <c r="X302" s="1175"/>
      <c r="Y302" s="1176"/>
      <c r="Z302" s="1177"/>
      <c r="AA302" s="1547"/>
      <c r="AB302" s="1177"/>
      <c r="AC302" s="1548"/>
      <c r="AD302" s="1549"/>
      <c r="AE302" s="1178"/>
      <c r="AF302" s="1179"/>
      <c r="AH302" s="104"/>
      <c r="AI302" s="1172"/>
      <c r="AJ302" s="1172"/>
      <c r="AK302" s="1172"/>
      <c r="AL302" s="1173"/>
      <c r="AM302" s="1174"/>
      <c r="AN302" s="1175"/>
      <c r="AO302" s="1176"/>
      <c r="AP302" s="1177"/>
      <c r="AQ302" s="1547"/>
      <c r="AR302" s="1177"/>
      <c r="AS302" s="1548"/>
      <c r="AT302" s="1549"/>
      <c r="AU302" s="1178"/>
      <c r="AV302" s="1179"/>
      <c r="AY302" s="3">
        <v>1</v>
      </c>
    </row>
    <row r="303" spans="2:51" ht="18.75">
      <c r="B303" s="104"/>
      <c r="C303" s="1172"/>
      <c r="D303" s="1172"/>
      <c r="E303" s="1172"/>
      <c r="F303" s="1173"/>
      <c r="G303" s="1174"/>
      <c r="H303" s="1175"/>
      <c r="I303" s="1176"/>
      <c r="J303" s="1177"/>
      <c r="K303" s="1547"/>
      <c r="L303" s="1177"/>
      <c r="M303" s="1548"/>
      <c r="N303" s="1549"/>
      <c r="O303" s="1178"/>
      <c r="P303" s="1179"/>
      <c r="R303" s="104"/>
      <c r="S303" s="1172"/>
      <c r="T303" s="1172"/>
      <c r="U303" s="1172"/>
      <c r="V303" s="1173"/>
      <c r="W303" s="1174"/>
      <c r="X303" s="1175"/>
      <c r="Y303" s="1176"/>
      <c r="Z303" s="1177"/>
      <c r="AA303" s="1547"/>
      <c r="AB303" s="1177"/>
      <c r="AC303" s="1548"/>
      <c r="AD303" s="1549"/>
      <c r="AE303" s="1178"/>
      <c r="AF303" s="1179"/>
      <c r="AH303" s="104"/>
      <c r="AI303" s="1172"/>
      <c r="AJ303" s="1172"/>
      <c r="AK303" s="1172"/>
      <c r="AL303" s="1173"/>
      <c r="AM303" s="1174"/>
      <c r="AN303" s="1175"/>
      <c r="AO303" s="1176"/>
      <c r="AP303" s="1177"/>
      <c r="AQ303" s="1547"/>
      <c r="AR303" s="1177"/>
      <c r="AS303" s="1548"/>
      <c r="AT303" s="1549"/>
      <c r="AU303" s="1178"/>
      <c r="AV303" s="1179"/>
      <c r="AY303" s="3">
        <v>1</v>
      </c>
    </row>
    <row r="304" spans="2:51" ht="18.75">
      <c r="B304" s="104"/>
      <c r="C304" s="1172"/>
      <c r="D304" s="1172"/>
      <c r="E304" s="1172"/>
      <c r="F304" s="1173"/>
      <c r="G304" s="1174"/>
      <c r="H304" s="1175"/>
      <c r="I304" s="1176"/>
      <c r="J304" s="1177"/>
      <c r="K304" s="1547"/>
      <c r="L304" s="1177"/>
      <c r="M304" s="1548"/>
      <c r="N304" s="1549"/>
      <c r="O304" s="1178"/>
      <c r="P304" s="1179"/>
      <c r="R304" s="104"/>
      <c r="S304" s="1172"/>
      <c r="T304" s="1172"/>
      <c r="U304" s="1172"/>
      <c r="V304" s="1173"/>
      <c r="W304" s="1174"/>
      <c r="X304" s="1175"/>
      <c r="Y304" s="1176"/>
      <c r="Z304" s="1177"/>
      <c r="AA304" s="1547"/>
      <c r="AB304" s="1177"/>
      <c r="AC304" s="1548"/>
      <c r="AD304" s="1549"/>
      <c r="AE304" s="1178"/>
      <c r="AF304" s="1179"/>
      <c r="AH304" s="104"/>
      <c r="AI304" s="1172"/>
      <c r="AJ304" s="1172"/>
      <c r="AK304" s="1172"/>
      <c r="AL304" s="1173"/>
      <c r="AM304" s="1174"/>
      <c r="AN304" s="1175"/>
      <c r="AO304" s="1176"/>
      <c r="AP304" s="1177"/>
      <c r="AQ304" s="1547"/>
      <c r="AR304" s="1177"/>
      <c r="AS304" s="1548"/>
      <c r="AT304" s="1549"/>
      <c r="AU304" s="1178"/>
      <c r="AV304" s="1179"/>
      <c r="AY304" s="3">
        <v>1</v>
      </c>
    </row>
    <row r="305" spans="2:51" ht="18.75">
      <c r="B305" s="104"/>
      <c r="C305" s="1172"/>
      <c r="D305" s="1172"/>
      <c r="E305" s="1172"/>
      <c r="F305" s="1173"/>
      <c r="G305" s="1174"/>
      <c r="H305" s="1175"/>
      <c r="I305" s="1176"/>
      <c r="J305" s="1177"/>
      <c r="K305" s="1547"/>
      <c r="L305" s="1177"/>
      <c r="M305" s="1548"/>
      <c r="N305" s="1549"/>
      <c r="O305" s="1178"/>
      <c r="P305" s="1179"/>
      <c r="R305" s="104"/>
      <c r="S305" s="1172"/>
      <c r="T305" s="1172"/>
      <c r="U305" s="1172"/>
      <c r="V305" s="1173"/>
      <c r="W305" s="1174"/>
      <c r="X305" s="1175"/>
      <c r="Y305" s="1176"/>
      <c r="Z305" s="1177"/>
      <c r="AA305" s="1547"/>
      <c r="AB305" s="1177"/>
      <c r="AC305" s="1548"/>
      <c r="AD305" s="1549"/>
      <c r="AE305" s="1178"/>
      <c r="AF305" s="1179"/>
      <c r="AH305" s="104"/>
      <c r="AI305" s="1172"/>
      <c r="AJ305" s="1172"/>
      <c r="AK305" s="1172"/>
      <c r="AL305" s="1173"/>
      <c r="AM305" s="1174"/>
      <c r="AN305" s="1175"/>
      <c r="AO305" s="1176"/>
      <c r="AP305" s="1177"/>
      <c r="AQ305" s="1547"/>
      <c r="AR305" s="1177"/>
      <c r="AS305" s="1548"/>
      <c r="AT305" s="1549"/>
      <c r="AU305" s="1178"/>
      <c r="AV305" s="1179"/>
      <c r="AY305" s="3">
        <v>1</v>
      </c>
    </row>
    <row r="306" spans="2:51" ht="18.75">
      <c r="B306" s="104"/>
      <c r="C306" s="1172"/>
      <c r="D306" s="1172"/>
      <c r="E306" s="1172"/>
      <c r="F306" s="1173"/>
      <c r="G306" s="1174"/>
      <c r="H306" s="1175"/>
      <c r="I306" s="1176"/>
      <c r="J306" s="1177"/>
      <c r="K306" s="1547"/>
      <c r="L306" s="1177"/>
      <c r="M306" s="1548"/>
      <c r="N306" s="1549"/>
      <c r="O306" s="1178"/>
      <c r="P306" s="1179"/>
      <c r="R306" s="104"/>
      <c r="S306" s="1172"/>
      <c r="T306" s="1172"/>
      <c r="U306" s="1172"/>
      <c r="V306" s="1173"/>
      <c r="W306" s="1174"/>
      <c r="X306" s="1175"/>
      <c r="Y306" s="1176"/>
      <c r="Z306" s="1177"/>
      <c r="AA306" s="1547"/>
      <c r="AB306" s="1177"/>
      <c r="AC306" s="1548"/>
      <c r="AD306" s="1549"/>
      <c r="AE306" s="1178"/>
      <c r="AF306" s="1179"/>
      <c r="AH306" s="104"/>
      <c r="AI306" s="1172"/>
      <c r="AJ306" s="1172"/>
      <c r="AK306" s="1172"/>
      <c r="AL306" s="1173"/>
      <c r="AM306" s="1174"/>
      <c r="AN306" s="1175"/>
      <c r="AO306" s="1176"/>
      <c r="AP306" s="1177"/>
      <c r="AQ306" s="1547"/>
      <c r="AR306" s="1177"/>
      <c r="AS306" s="1548"/>
      <c r="AT306" s="1549"/>
      <c r="AU306" s="1178"/>
      <c r="AV306" s="1179"/>
      <c r="AY306" s="3">
        <v>1</v>
      </c>
    </row>
    <row r="307" spans="2:51" ht="18.75">
      <c r="B307" s="104"/>
      <c r="C307" s="1172"/>
      <c r="D307" s="1172"/>
      <c r="E307" s="1172"/>
      <c r="F307" s="1173"/>
      <c r="G307" s="1174"/>
      <c r="H307" s="1175"/>
      <c r="I307" s="1176"/>
      <c r="J307" s="1177"/>
      <c r="K307" s="1547"/>
      <c r="L307" s="1177"/>
      <c r="M307" s="1548"/>
      <c r="N307" s="1549"/>
      <c r="O307" s="1178"/>
      <c r="P307" s="1179"/>
      <c r="R307" s="104"/>
      <c r="S307" s="1172"/>
      <c r="T307" s="1172"/>
      <c r="U307" s="1172"/>
      <c r="V307" s="1173"/>
      <c r="W307" s="1174"/>
      <c r="X307" s="1175"/>
      <c r="Y307" s="1176"/>
      <c r="Z307" s="1177"/>
      <c r="AA307" s="1547"/>
      <c r="AB307" s="1177"/>
      <c r="AC307" s="1548"/>
      <c r="AD307" s="1549"/>
      <c r="AE307" s="1178"/>
      <c r="AF307" s="1179"/>
      <c r="AH307" s="104"/>
      <c r="AI307" s="1172"/>
      <c r="AJ307" s="1172"/>
      <c r="AK307" s="1172"/>
      <c r="AL307" s="1173"/>
      <c r="AM307" s="1174"/>
      <c r="AN307" s="1175"/>
      <c r="AO307" s="1176"/>
      <c r="AP307" s="1177"/>
      <c r="AQ307" s="1547"/>
      <c r="AR307" s="1177"/>
      <c r="AS307" s="1548"/>
      <c r="AT307" s="1549"/>
      <c r="AU307" s="1178"/>
      <c r="AV307" s="1179"/>
      <c r="AY307" s="3">
        <v>1</v>
      </c>
    </row>
    <row r="308" spans="2:51" ht="18.75">
      <c r="B308" s="104"/>
      <c r="C308" s="1172"/>
      <c r="D308" s="1172"/>
      <c r="E308" s="1172"/>
      <c r="F308" s="1173"/>
      <c r="G308" s="1174"/>
      <c r="H308" s="1175"/>
      <c r="I308" s="1176"/>
      <c r="J308" s="1177"/>
      <c r="K308" s="1547"/>
      <c r="L308" s="1177"/>
      <c r="M308" s="1548"/>
      <c r="N308" s="1549"/>
      <c r="O308" s="1178"/>
      <c r="P308" s="1179"/>
      <c r="R308" s="104"/>
      <c r="S308" s="1172"/>
      <c r="T308" s="1172"/>
      <c r="U308" s="1172"/>
      <c r="V308" s="1173"/>
      <c r="W308" s="1174"/>
      <c r="X308" s="1175"/>
      <c r="Y308" s="1176"/>
      <c r="Z308" s="1177"/>
      <c r="AA308" s="1547"/>
      <c r="AB308" s="1177"/>
      <c r="AC308" s="1548"/>
      <c r="AD308" s="1549"/>
      <c r="AE308" s="1178"/>
      <c r="AF308" s="1179"/>
      <c r="AH308" s="104"/>
      <c r="AI308" s="1172"/>
      <c r="AJ308" s="1172"/>
      <c r="AK308" s="1172"/>
      <c r="AL308" s="1173"/>
      <c r="AM308" s="1174"/>
      <c r="AN308" s="1175"/>
      <c r="AO308" s="1176"/>
      <c r="AP308" s="1177"/>
      <c r="AQ308" s="1547"/>
      <c r="AR308" s="1177"/>
      <c r="AS308" s="1548"/>
      <c r="AT308" s="1549"/>
      <c r="AU308" s="1178"/>
      <c r="AV308" s="1179"/>
      <c r="AY308" s="3">
        <v>1</v>
      </c>
    </row>
    <row r="309" spans="2:51" ht="18.75">
      <c r="B309" s="104"/>
      <c r="C309" s="1172"/>
      <c r="D309" s="1172"/>
      <c r="E309" s="1172"/>
      <c r="F309" s="1173"/>
      <c r="G309" s="1174"/>
      <c r="H309" s="1175"/>
      <c r="I309" s="1176"/>
      <c r="J309" s="1177"/>
      <c r="K309" s="1547"/>
      <c r="L309" s="1177"/>
      <c r="M309" s="1548"/>
      <c r="N309" s="1549"/>
      <c r="O309" s="1178"/>
      <c r="P309" s="1179"/>
      <c r="R309" s="104"/>
      <c r="S309" s="1172"/>
      <c r="T309" s="1172"/>
      <c r="U309" s="1172"/>
      <c r="V309" s="1173"/>
      <c r="W309" s="1174"/>
      <c r="X309" s="1175"/>
      <c r="Y309" s="1176"/>
      <c r="Z309" s="1177"/>
      <c r="AA309" s="1547"/>
      <c r="AB309" s="1177"/>
      <c r="AC309" s="1548"/>
      <c r="AD309" s="1549"/>
      <c r="AE309" s="1178"/>
      <c r="AF309" s="1179"/>
      <c r="AH309" s="104"/>
      <c r="AI309" s="1172"/>
      <c r="AJ309" s="1172"/>
      <c r="AK309" s="1172"/>
      <c r="AL309" s="1173"/>
      <c r="AM309" s="1174"/>
      <c r="AN309" s="1175"/>
      <c r="AO309" s="1176"/>
      <c r="AP309" s="1177"/>
      <c r="AQ309" s="1547"/>
      <c r="AR309" s="1177"/>
      <c r="AS309" s="1548"/>
      <c r="AT309" s="1549"/>
      <c r="AU309" s="1178"/>
      <c r="AV309" s="1179"/>
      <c r="AY309" s="3">
        <v>1</v>
      </c>
    </row>
    <row r="310" spans="2:51" ht="18.75">
      <c r="B310" s="104"/>
      <c r="C310" s="1172"/>
      <c r="D310" s="1172"/>
      <c r="E310" s="1172"/>
      <c r="F310" s="1173"/>
      <c r="G310" s="1174"/>
      <c r="H310" s="1175"/>
      <c r="I310" s="1176"/>
      <c r="J310" s="1177"/>
      <c r="K310" s="1547"/>
      <c r="L310" s="1177"/>
      <c r="M310" s="1548"/>
      <c r="N310" s="1549"/>
      <c r="O310" s="1178"/>
      <c r="P310" s="1179"/>
      <c r="R310" s="104"/>
      <c r="S310" s="1172"/>
      <c r="T310" s="1172"/>
      <c r="U310" s="1172"/>
      <c r="V310" s="1173"/>
      <c r="W310" s="1174"/>
      <c r="X310" s="1175"/>
      <c r="Y310" s="1176"/>
      <c r="Z310" s="1177"/>
      <c r="AA310" s="1547"/>
      <c r="AB310" s="1177"/>
      <c r="AC310" s="1548"/>
      <c r="AD310" s="1549"/>
      <c r="AE310" s="1178"/>
      <c r="AF310" s="1179"/>
      <c r="AH310" s="104"/>
      <c r="AI310" s="1172"/>
      <c r="AJ310" s="1172"/>
      <c r="AK310" s="1172"/>
      <c r="AL310" s="1173"/>
      <c r="AM310" s="1174"/>
      <c r="AN310" s="1175"/>
      <c r="AO310" s="1176"/>
      <c r="AP310" s="1177"/>
      <c r="AQ310" s="1547"/>
      <c r="AR310" s="1177"/>
      <c r="AS310" s="1548"/>
      <c r="AT310" s="1549"/>
      <c r="AU310" s="1178"/>
      <c r="AV310" s="1179"/>
      <c r="AY310" s="3">
        <v>1</v>
      </c>
    </row>
    <row r="311" spans="2:51" ht="18.75">
      <c r="B311" s="104"/>
      <c r="C311" s="1172"/>
      <c r="D311" s="1172"/>
      <c r="E311" s="1172"/>
      <c r="F311" s="1173"/>
      <c r="G311" s="1174"/>
      <c r="H311" s="1175"/>
      <c r="I311" s="1176"/>
      <c r="J311" s="1177"/>
      <c r="K311" s="1547"/>
      <c r="L311" s="1177"/>
      <c r="M311" s="1548"/>
      <c r="N311" s="1549"/>
      <c r="O311" s="1178"/>
      <c r="P311" s="1179"/>
      <c r="R311" s="104"/>
      <c r="S311" s="1172"/>
      <c r="T311" s="1172"/>
      <c r="U311" s="1172"/>
      <c r="V311" s="1173"/>
      <c r="W311" s="1174"/>
      <c r="X311" s="1175"/>
      <c r="Y311" s="1176"/>
      <c r="Z311" s="1177"/>
      <c r="AA311" s="1547"/>
      <c r="AB311" s="1177"/>
      <c r="AC311" s="1548"/>
      <c r="AD311" s="1549"/>
      <c r="AE311" s="1178"/>
      <c r="AF311" s="1179"/>
      <c r="AH311" s="104"/>
      <c r="AI311" s="1172"/>
      <c r="AJ311" s="1172"/>
      <c r="AK311" s="1172"/>
      <c r="AL311" s="1173"/>
      <c r="AM311" s="1174"/>
      <c r="AN311" s="1175"/>
      <c r="AO311" s="1176"/>
      <c r="AP311" s="1177"/>
      <c r="AQ311" s="1547"/>
      <c r="AR311" s="1177"/>
      <c r="AS311" s="1548"/>
      <c r="AT311" s="1549"/>
      <c r="AU311" s="1178"/>
      <c r="AV311" s="1179"/>
      <c r="AY311" s="3">
        <v>1</v>
      </c>
    </row>
    <row r="312" spans="2:51" ht="18.75">
      <c r="B312" s="104"/>
      <c r="C312" s="1172"/>
      <c r="D312" s="1172"/>
      <c r="E312" s="1172"/>
      <c r="F312" s="1173"/>
      <c r="G312" s="1174"/>
      <c r="H312" s="1175"/>
      <c r="I312" s="1176"/>
      <c r="J312" s="1177"/>
      <c r="K312" s="1547"/>
      <c r="L312" s="1177"/>
      <c r="M312" s="1548"/>
      <c r="N312" s="1549"/>
      <c r="O312" s="1178"/>
      <c r="P312" s="1179"/>
      <c r="R312" s="104"/>
      <c r="S312" s="1172"/>
      <c r="T312" s="1172"/>
      <c r="U312" s="1172"/>
      <c r="V312" s="1173"/>
      <c r="W312" s="1174"/>
      <c r="X312" s="1175"/>
      <c r="Y312" s="1176"/>
      <c r="Z312" s="1177"/>
      <c r="AA312" s="1547"/>
      <c r="AB312" s="1177"/>
      <c r="AC312" s="1548"/>
      <c r="AD312" s="1549"/>
      <c r="AE312" s="1178"/>
      <c r="AF312" s="1179"/>
      <c r="AH312" s="104"/>
      <c r="AI312" s="1172"/>
      <c r="AJ312" s="1172"/>
      <c r="AK312" s="1172"/>
      <c r="AL312" s="1173"/>
      <c r="AM312" s="1174"/>
      <c r="AN312" s="1175"/>
      <c r="AO312" s="1176"/>
      <c r="AP312" s="1177"/>
      <c r="AQ312" s="1547"/>
      <c r="AR312" s="1177"/>
      <c r="AS312" s="1548"/>
      <c r="AT312" s="1549"/>
      <c r="AU312" s="1178"/>
      <c r="AV312" s="1179"/>
      <c r="AY312" s="3">
        <v>1</v>
      </c>
    </row>
    <row r="313" spans="2:51" ht="18.75">
      <c r="B313" s="104"/>
      <c r="C313" s="1172"/>
      <c r="D313" s="1172"/>
      <c r="E313" s="1172"/>
      <c r="F313" s="1173"/>
      <c r="G313" s="1174"/>
      <c r="H313" s="1175"/>
      <c r="I313" s="1176"/>
      <c r="J313" s="1177"/>
      <c r="K313" s="1547"/>
      <c r="L313" s="1177"/>
      <c r="M313" s="1548"/>
      <c r="N313" s="1549"/>
      <c r="O313" s="1178"/>
      <c r="P313" s="1179"/>
      <c r="R313" s="104"/>
      <c r="S313" s="1172"/>
      <c r="T313" s="1172"/>
      <c r="U313" s="1172"/>
      <c r="V313" s="1173"/>
      <c r="W313" s="1174"/>
      <c r="X313" s="1175"/>
      <c r="Y313" s="1176"/>
      <c r="Z313" s="1177"/>
      <c r="AA313" s="1547"/>
      <c r="AB313" s="1177"/>
      <c r="AC313" s="1548"/>
      <c r="AD313" s="1549"/>
      <c r="AE313" s="1178"/>
      <c r="AF313" s="1179"/>
      <c r="AH313" s="104"/>
      <c r="AI313" s="1172"/>
      <c r="AJ313" s="1172"/>
      <c r="AK313" s="1172"/>
      <c r="AL313" s="1173"/>
      <c r="AM313" s="1174"/>
      <c r="AN313" s="1175"/>
      <c r="AO313" s="1176"/>
      <c r="AP313" s="1177"/>
      <c r="AQ313" s="1547"/>
      <c r="AR313" s="1177"/>
      <c r="AS313" s="1548"/>
      <c r="AT313" s="1549"/>
      <c r="AU313" s="1178"/>
      <c r="AV313" s="1179"/>
      <c r="AY313" s="3">
        <v>1</v>
      </c>
    </row>
    <row r="314" spans="2:51" ht="18.75">
      <c r="B314" s="104"/>
      <c r="C314" s="1172"/>
      <c r="D314" s="1172"/>
      <c r="E314" s="1172"/>
      <c r="F314" s="1173"/>
      <c r="G314" s="1174"/>
      <c r="H314" s="1175"/>
      <c r="I314" s="1176"/>
      <c r="J314" s="1177"/>
      <c r="K314" s="1547"/>
      <c r="L314" s="1177"/>
      <c r="M314" s="1548"/>
      <c r="N314" s="1549"/>
      <c r="O314" s="1178"/>
      <c r="P314" s="1179"/>
      <c r="R314" s="104"/>
      <c r="S314" s="1172"/>
      <c r="T314" s="1172"/>
      <c r="U314" s="1172"/>
      <c r="V314" s="1173"/>
      <c r="W314" s="1174"/>
      <c r="X314" s="1175"/>
      <c r="Y314" s="1176"/>
      <c r="Z314" s="1177"/>
      <c r="AA314" s="1547"/>
      <c r="AB314" s="1177"/>
      <c r="AC314" s="1548"/>
      <c r="AD314" s="1549"/>
      <c r="AE314" s="1178"/>
      <c r="AF314" s="1179"/>
      <c r="AH314" s="104"/>
      <c r="AI314" s="1172"/>
      <c r="AJ314" s="1172"/>
      <c r="AK314" s="1172"/>
      <c r="AL314" s="1173"/>
      <c r="AM314" s="1174"/>
      <c r="AN314" s="1175"/>
      <c r="AO314" s="1176"/>
      <c r="AP314" s="1177"/>
      <c r="AQ314" s="1547"/>
      <c r="AR314" s="1177"/>
      <c r="AS314" s="1548"/>
      <c r="AT314" s="1549"/>
      <c r="AU314" s="1178"/>
      <c r="AV314" s="1179"/>
      <c r="AY314" s="3">
        <v>1</v>
      </c>
    </row>
    <row r="315" spans="2:51" ht="18.75">
      <c r="B315" s="104"/>
      <c r="C315" s="1172"/>
      <c r="D315" s="1172"/>
      <c r="E315" s="1172"/>
      <c r="F315" s="1173"/>
      <c r="G315" s="1174"/>
      <c r="H315" s="1175"/>
      <c r="I315" s="1176"/>
      <c r="J315" s="1177"/>
      <c r="K315" s="1547"/>
      <c r="L315" s="1177"/>
      <c r="M315" s="1548"/>
      <c r="N315" s="1549"/>
      <c r="O315" s="1178"/>
      <c r="P315" s="1179"/>
      <c r="R315" s="104"/>
      <c r="S315" s="1172"/>
      <c r="T315" s="1172"/>
      <c r="U315" s="1172"/>
      <c r="V315" s="1173"/>
      <c r="W315" s="1174"/>
      <c r="X315" s="1175"/>
      <c r="Y315" s="1176"/>
      <c r="Z315" s="1177"/>
      <c r="AA315" s="1547"/>
      <c r="AB315" s="1177"/>
      <c r="AC315" s="1548"/>
      <c r="AD315" s="1549"/>
      <c r="AE315" s="1178"/>
      <c r="AF315" s="1179"/>
      <c r="AH315" s="104"/>
      <c r="AI315" s="1172"/>
      <c r="AJ315" s="1172"/>
      <c r="AK315" s="1172"/>
      <c r="AL315" s="1173"/>
      <c r="AM315" s="1174"/>
      <c r="AN315" s="1175"/>
      <c r="AO315" s="1176"/>
      <c r="AP315" s="1177"/>
      <c r="AQ315" s="1547"/>
      <c r="AR315" s="1177"/>
      <c r="AS315" s="1548"/>
      <c r="AT315" s="1549"/>
      <c r="AU315" s="1178"/>
      <c r="AV315" s="1179"/>
      <c r="AY315" s="3">
        <v>1</v>
      </c>
    </row>
    <row r="316" spans="2:51" ht="18.75">
      <c r="B316" s="104"/>
      <c r="C316" s="1172"/>
      <c r="D316" s="1172"/>
      <c r="E316" s="1172"/>
      <c r="F316" s="1173"/>
      <c r="G316" s="1174"/>
      <c r="H316" s="1175"/>
      <c r="I316" s="1176"/>
      <c r="J316" s="1177"/>
      <c r="K316" s="1547"/>
      <c r="L316" s="1177"/>
      <c r="M316" s="1548"/>
      <c r="N316" s="1549"/>
      <c r="O316" s="1178"/>
      <c r="P316" s="1179"/>
      <c r="R316" s="104"/>
      <c r="S316" s="1172"/>
      <c r="T316" s="1172"/>
      <c r="U316" s="1172"/>
      <c r="V316" s="1173"/>
      <c r="W316" s="1174"/>
      <c r="X316" s="1175"/>
      <c r="Y316" s="1176"/>
      <c r="Z316" s="1177"/>
      <c r="AA316" s="1547"/>
      <c r="AB316" s="1177"/>
      <c r="AC316" s="1548"/>
      <c r="AD316" s="1549"/>
      <c r="AE316" s="1178"/>
      <c r="AF316" s="1179"/>
      <c r="AH316" s="104"/>
      <c r="AI316" s="1172"/>
      <c r="AJ316" s="1172"/>
      <c r="AK316" s="1172"/>
      <c r="AL316" s="1173"/>
      <c r="AM316" s="1174"/>
      <c r="AN316" s="1175"/>
      <c r="AO316" s="1176"/>
      <c r="AP316" s="1177"/>
      <c r="AQ316" s="1547"/>
      <c r="AR316" s="1177"/>
      <c r="AS316" s="1548"/>
      <c r="AT316" s="1549"/>
      <c r="AU316" s="1178"/>
      <c r="AV316" s="1179"/>
      <c r="AY316" s="3">
        <v>1</v>
      </c>
    </row>
    <row r="317" spans="2:51" ht="18.75">
      <c r="B317" s="104"/>
      <c r="C317" s="1172"/>
      <c r="D317" s="1172"/>
      <c r="E317" s="1172"/>
      <c r="F317" s="1173"/>
      <c r="G317" s="1174"/>
      <c r="H317" s="1175"/>
      <c r="I317" s="1176"/>
      <c r="J317" s="1177"/>
      <c r="K317" s="1547"/>
      <c r="L317" s="1177"/>
      <c r="M317" s="1548"/>
      <c r="N317" s="1549"/>
      <c r="O317" s="1178"/>
      <c r="P317" s="1179"/>
      <c r="R317" s="104"/>
      <c r="S317" s="1172"/>
      <c r="T317" s="1172"/>
      <c r="U317" s="1172"/>
      <c r="V317" s="1173"/>
      <c r="W317" s="1174"/>
      <c r="X317" s="1175"/>
      <c r="Y317" s="1176"/>
      <c r="Z317" s="1177"/>
      <c r="AA317" s="1547"/>
      <c r="AB317" s="1177"/>
      <c r="AC317" s="1548"/>
      <c r="AD317" s="1549"/>
      <c r="AE317" s="1178"/>
      <c r="AF317" s="1179"/>
      <c r="AH317" s="104"/>
      <c r="AI317" s="1172"/>
      <c r="AJ317" s="1172"/>
      <c r="AK317" s="1172"/>
      <c r="AL317" s="1173"/>
      <c r="AM317" s="1174"/>
      <c r="AN317" s="1175"/>
      <c r="AO317" s="1176"/>
      <c r="AP317" s="1177"/>
      <c r="AQ317" s="1547"/>
      <c r="AR317" s="1177"/>
      <c r="AS317" s="1548"/>
      <c r="AT317" s="1549"/>
      <c r="AU317" s="1178"/>
      <c r="AV317" s="1179"/>
      <c r="AY317" s="3">
        <v>1</v>
      </c>
    </row>
    <row r="318" spans="2:51" ht="18.75">
      <c r="B318" s="104"/>
      <c r="C318" s="1172"/>
      <c r="D318" s="1172"/>
      <c r="E318" s="1172"/>
      <c r="F318" s="1173"/>
      <c r="G318" s="1174"/>
      <c r="H318" s="1175"/>
      <c r="I318" s="1176"/>
      <c r="J318" s="1177"/>
      <c r="K318" s="1547"/>
      <c r="L318" s="1177"/>
      <c r="M318" s="1548"/>
      <c r="N318" s="1549"/>
      <c r="O318" s="1178"/>
      <c r="P318" s="1179"/>
      <c r="R318" s="104"/>
      <c r="S318" s="1172"/>
      <c r="T318" s="1172"/>
      <c r="U318" s="1172"/>
      <c r="V318" s="1173"/>
      <c r="W318" s="1174"/>
      <c r="X318" s="1175"/>
      <c r="Y318" s="1176"/>
      <c r="Z318" s="1177"/>
      <c r="AA318" s="1547"/>
      <c r="AB318" s="1177"/>
      <c r="AC318" s="1548"/>
      <c r="AD318" s="1549"/>
      <c r="AE318" s="1178"/>
      <c r="AF318" s="1179"/>
      <c r="AH318" s="104"/>
      <c r="AI318" s="1172"/>
      <c r="AJ318" s="1172"/>
      <c r="AK318" s="1172"/>
      <c r="AL318" s="1173"/>
      <c r="AM318" s="1174"/>
      <c r="AN318" s="1175"/>
      <c r="AO318" s="1176"/>
      <c r="AP318" s="1177"/>
      <c r="AQ318" s="1547"/>
      <c r="AR318" s="1177"/>
      <c r="AS318" s="1548"/>
      <c r="AT318" s="1549"/>
      <c r="AU318" s="1178"/>
      <c r="AV318" s="1179"/>
      <c r="AY318" s="3">
        <v>1</v>
      </c>
    </row>
    <row r="319" spans="2:51" ht="18.75">
      <c r="B319" s="104"/>
      <c r="C319" s="1172"/>
      <c r="D319" s="1172"/>
      <c r="E319" s="1172"/>
      <c r="F319" s="1173"/>
      <c r="G319" s="1174"/>
      <c r="H319" s="1175"/>
      <c r="I319" s="1176"/>
      <c r="J319" s="1177"/>
      <c r="K319" s="1547"/>
      <c r="L319" s="1177"/>
      <c r="M319" s="1548"/>
      <c r="N319" s="1549"/>
      <c r="O319" s="1178"/>
      <c r="P319" s="1179"/>
      <c r="R319" s="104"/>
      <c r="S319" s="1172"/>
      <c r="T319" s="1172"/>
      <c r="U319" s="1172"/>
      <c r="V319" s="1173"/>
      <c r="W319" s="1174"/>
      <c r="X319" s="1175"/>
      <c r="Y319" s="1176"/>
      <c r="Z319" s="1177"/>
      <c r="AA319" s="1547"/>
      <c r="AB319" s="1177"/>
      <c r="AC319" s="1548"/>
      <c r="AD319" s="1549"/>
      <c r="AE319" s="1178"/>
      <c r="AF319" s="1179"/>
      <c r="AH319" s="104"/>
      <c r="AI319" s="1172"/>
      <c r="AJ319" s="1172"/>
      <c r="AK319" s="1172"/>
      <c r="AL319" s="1173"/>
      <c r="AM319" s="1174"/>
      <c r="AN319" s="1175"/>
      <c r="AO319" s="1176"/>
      <c r="AP319" s="1177"/>
      <c r="AQ319" s="1547"/>
      <c r="AR319" s="1177"/>
      <c r="AS319" s="1548"/>
      <c r="AT319" s="1549"/>
      <c r="AU319" s="1178"/>
      <c r="AV319" s="1179"/>
      <c r="AY319" s="3">
        <v>1</v>
      </c>
    </row>
    <row r="320" spans="2:51" ht="18.75">
      <c r="B320" s="104"/>
      <c r="C320" s="1172"/>
      <c r="D320" s="1172"/>
      <c r="E320" s="1172"/>
      <c r="F320" s="1173"/>
      <c r="G320" s="1174"/>
      <c r="H320" s="1175"/>
      <c r="I320" s="1176"/>
      <c r="J320" s="1177"/>
      <c r="K320" s="1547"/>
      <c r="L320" s="1177"/>
      <c r="M320" s="1548"/>
      <c r="N320" s="1549"/>
      <c r="O320" s="1178"/>
      <c r="P320" s="1179"/>
      <c r="R320" s="104"/>
      <c r="S320" s="1172"/>
      <c r="T320" s="1172"/>
      <c r="U320" s="1172"/>
      <c r="V320" s="1173"/>
      <c r="W320" s="1174"/>
      <c r="X320" s="1175"/>
      <c r="Y320" s="1176"/>
      <c r="Z320" s="1177"/>
      <c r="AA320" s="1547"/>
      <c r="AB320" s="1177"/>
      <c r="AC320" s="1548"/>
      <c r="AD320" s="1549"/>
      <c r="AE320" s="1178"/>
      <c r="AF320" s="1179"/>
      <c r="AH320" s="104"/>
      <c r="AI320" s="1172"/>
      <c r="AJ320" s="1172"/>
      <c r="AK320" s="1172"/>
      <c r="AL320" s="1173"/>
      <c r="AM320" s="1174"/>
      <c r="AN320" s="1175"/>
      <c r="AO320" s="1176"/>
      <c r="AP320" s="1177"/>
      <c r="AQ320" s="1547"/>
      <c r="AR320" s="1177"/>
      <c r="AS320" s="1548"/>
      <c r="AT320" s="1549"/>
      <c r="AU320" s="1178"/>
      <c r="AV320" s="1179"/>
      <c r="AY320" s="3">
        <v>1</v>
      </c>
    </row>
    <row r="321" spans="2:51" ht="18.75">
      <c r="B321" s="104"/>
      <c r="C321" s="1172"/>
      <c r="D321" s="1172"/>
      <c r="E321" s="1172"/>
      <c r="F321" s="1173"/>
      <c r="G321" s="1174"/>
      <c r="H321" s="1175"/>
      <c r="I321" s="1176"/>
      <c r="J321" s="1177"/>
      <c r="K321" s="1547"/>
      <c r="L321" s="1177"/>
      <c r="M321" s="1548"/>
      <c r="N321" s="1549"/>
      <c r="O321" s="1178"/>
      <c r="P321" s="1179"/>
      <c r="R321" s="104"/>
      <c r="S321" s="1172"/>
      <c r="T321" s="1172"/>
      <c r="U321" s="1172"/>
      <c r="V321" s="1173"/>
      <c r="W321" s="1174"/>
      <c r="X321" s="1175"/>
      <c r="Y321" s="1176"/>
      <c r="Z321" s="1177"/>
      <c r="AA321" s="1547"/>
      <c r="AB321" s="1177"/>
      <c r="AC321" s="1548"/>
      <c r="AD321" s="1549"/>
      <c r="AE321" s="1178"/>
      <c r="AF321" s="1179"/>
      <c r="AH321" s="104"/>
      <c r="AI321" s="1172"/>
      <c r="AJ321" s="1172"/>
      <c r="AK321" s="1172"/>
      <c r="AL321" s="1173"/>
      <c r="AM321" s="1174"/>
      <c r="AN321" s="1175"/>
      <c r="AO321" s="1176"/>
      <c r="AP321" s="1177"/>
      <c r="AQ321" s="1547"/>
      <c r="AR321" s="1177"/>
      <c r="AS321" s="1548"/>
      <c r="AT321" s="1549"/>
      <c r="AU321" s="1178"/>
      <c r="AV321" s="1179"/>
      <c r="AY321" s="3">
        <v>1</v>
      </c>
    </row>
    <row r="322" spans="2:51" ht="18.75">
      <c r="B322" s="104"/>
      <c r="C322" s="1172"/>
      <c r="D322" s="1172"/>
      <c r="E322" s="1172"/>
      <c r="F322" s="1173"/>
      <c r="G322" s="1174"/>
      <c r="H322" s="1175"/>
      <c r="I322" s="1176"/>
      <c r="J322" s="1177"/>
      <c r="K322" s="1547"/>
      <c r="L322" s="1177"/>
      <c r="M322" s="1548"/>
      <c r="N322" s="1549"/>
      <c r="O322" s="1178"/>
      <c r="P322" s="1179"/>
      <c r="R322" s="104"/>
      <c r="S322" s="1172"/>
      <c r="T322" s="1172"/>
      <c r="U322" s="1172"/>
      <c r="V322" s="1173"/>
      <c r="W322" s="1174"/>
      <c r="X322" s="1175"/>
      <c r="Y322" s="1176"/>
      <c r="Z322" s="1177"/>
      <c r="AA322" s="1547"/>
      <c r="AB322" s="1177"/>
      <c r="AC322" s="1548"/>
      <c r="AD322" s="1549"/>
      <c r="AE322" s="1178"/>
      <c r="AF322" s="1179"/>
      <c r="AH322" s="104"/>
      <c r="AI322" s="1172"/>
      <c r="AJ322" s="1172"/>
      <c r="AK322" s="1172"/>
      <c r="AL322" s="1173"/>
      <c r="AM322" s="1174"/>
      <c r="AN322" s="1175"/>
      <c r="AO322" s="1176"/>
      <c r="AP322" s="1177"/>
      <c r="AQ322" s="1547"/>
      <c r="AR322" s="1177"/>
      <c r="AS322" s="1548"/>
      <c r="AT322" s="1549"/>
      <c r="AU322" s="1178"/>
      <c r="AV322" s="1179"/>
      <c r="AY322" s="3">
        <v>1</v>
      </c>
    </row>
    <row r="323" spans="2:51" ht="18.75">
      <c r="B323" s="104"/>
      <c r="C323" s="1172"/>
      <c r="D323" s="1172"/>
      <c r="E323" s="1172"/>
      <c r="F323" s="1173"/>
      <c r="G323" s="1174"/>
      <c r="H323" s="1175"/>
      <c r="I323" s="1176"/>
      <c r="J323" s="1177"/>
      <c r="K323" s="1547"/>
      <c r="L323" s="1177"/>
      <c r="M323" s="1548"/>
      <c r="N323" s="1549"/>
      <c r="O323" s="1178"/>
      <c r="P323" s="1179"/>
      <c r="R323" s="104"/>
      <c r="S323" s="1172"/>
      <c r="T323" s="1172"/>
      <c r="U323" s="1172"/>
      <c r="V323" s="1173"/>
      <c r="W323" s="1174"/>
      <c r="X323" s="1175"/>
      <c r="Y323" s="1176"/>
      <c r="Z323" s="1177"/>
      <c r="AA323" s="1547"/>
      <c r="AB323" s="1177"/>
      <c r="AC323" s="1548"/>
      <c r="AD323" s="1549"/>
      <c r="AE323" s="1178"/>
      <c r="AF323" s="1179"/>
      <c r="AH323" s="104"/>
      <c r="AI323" s="1172"/>
      <c r="AJ323" s="1172"/>
      <c r="AK323" s="1172"/>
      <c r="AL323" s="1173"/>
      <c r="AM323" s="1174"/>
      <c r="AN323" s="1175"/>
      <c r="AO323" s="1176"/>
      <c r="AP323" s="1177"/>
      <c r="AQ323" s="1547"/>
      <c r="AR323" s="1177"/>
      <c r="AS323" s="1548"/>
      <c r="AT323" s="1549"/>
      <c r="AU323" s="1178"/>
      <c r="AV323" s="1179"/>
      <c r="AY323" s="3">
        <v>1</v>
      </c>
    </row>
    <row r="324" spans="2:51" ht="18.75">
      <c r="B324" s="104"/>
      <c r="C324" s="1172"/>
      <c r="D324" s="1172"/>
      <c r="E324" s="1172"/>
      <c r="F324" s="1173"/>
      <c r="G324" s="1174"/>
      <c r="H324" s="1175"/>
      <c r="I324" s="1176"/>
      <c r="J324" s="1177"/>
      <c r="K324" s="1547"/>
      <c r="L324" s="1177"/>
      <c r="M324" s="1548"/>
      <c r="N324" s="1549"/>
      <c r="O324" s="1178"/>
      <c r="P324" s="1179"/>
      <c r="R324" s="104"/>
      <c r="S324" s="1172"/>
      <c r="T324" s="1172"/>
      <c r="U324" s="1172"/>
      <c r="V324" s="1173"/>
      <c r="W324" s="1174"/>
      <c r="X324" s="1175"/>
      <c r="Y324" s="1176"/>
      <c r="Z324" s="1177"/>
      <c r="AA324" s="1547"/>
      <c r="AB324" s="1177"/>
      <c r="AC324" s="1548"/>
      <c r="AD324" s="1549"/>
      <c r="AE324" s="1178"/>
      <c r="AF324" s="1179"/>
      <c r="AH324" s="104"/>
      <c r="AI324" s="1172"/>
      <c r="AJ324" s="1172"/>
      <c r="AK324" s="1172"/>
      <c r="AL324" s="1173"/>
      <c r="AM324" s="1174"/>
      <c r="AN324" s="1175"/>
      <c r="AO324" s="1176"/>
      <c r="AP324" s="1177"/>
      <c r="AQ324" s="1547"/>
      <c r="AR324" s="1177"/>
      <c r="AS324" s="1548"/>
      <c r="AT324" s="1549"/>
      <c r="AU324" s="1178"/>
      <c r="AV324" s="1179"/>
      <c r="AY324" s="3">
        <v>1</v>
      </c>
    </row>
    <row r="325" spans="2:51" ht="18.75">
      <c r="B325" s="104"/>
      <c r="C325" s="1172"/>
      <c r="D325" s="1172"/>
      <c r="E325" s="1172"/>
      <c r="F325" s="1173"/>
      <c r="G325" s="1174"/>
      <c r="H325" s="1175"/>
      <c r="I325" s="1176"/>
      <c r="J325" s="1177"/>
      <c r="K325" s="1547"/>
      <c r="L325" s="1177"/>
      <c r="M325" s="1548"/>
      <c r="N325" s="1549"/>
      <c r="O325" s="1178"/>
      <c r="P325" s="1179"/>
      <c r="R325" s="104"/>
      <c r="S325" s="1172"/>
      <c r="T325" s="1172"/>
      <c r="U325" s="1172"/>
      <c r="V325" s="1173"/>
      <c r="W325" s="1174"/>
      <c r="X325" s="1175"/>
      <c r="Y325" s="1176"/>
      <c r="Z325" s="1177"/>
      <c r="AA325" s="1547"/>
      <c r="AB325" s="1177"/>
      <c r="AC325" s="1548"/>
      <c r="AD325" s="1549"/>
      <c r="AE325" s="1178"/>
      <c r="AF325" s="1179"/>
      <c r="AH325" s="104"/>
      <c r="AI325" s="1172"/>
      <c r="AJ325" s="1172"/>
      <c r="AK325" s="1172"/>
      <c r="AL325" s="1173"/>
      <c r="AM325" s="1174"/>
      <c r="AN325" s="1175"/>
      <c r="AO325" s="1176"/>
      <c r="AP325" s="1177"/>
      <c r="AQ325" s="1547"/>
      <c r="AR325" s="1177"/>
      <c r="AS325" s="1548"/>
      <c r="AT325" s="1549"/>
      <c r="AU325" s="1178"/>
      <c r="AV325" s="1179"/>
      <c r="AY325" s="3">
        <v>1</v>
      </c>
    </row>
    <row r="326" spans="2:51" ht="18.75">
      <c r="B326" s="104"/>
      <c r="C326" s="1172"/>
      <c r="D326" s="1172"/>
      <c r="E326" s="1172"/>
      <c r="F326" s="1173"/>
      <c r="G326" s="1174"/>
      <c r="H326" s="1175"/>
      <c r="I326" s="1176"/>
      <c r="J326" s="1177"/>
      <c r="K326" s="1547"/>
      <c r="L326" s="1177"/>
      <c r="M326" s="1548"/>
      <c r="N326" s="1549"/>
      <c r="O326" s="1178"/>
      <c r="P326" s="1179"/>
      <c r="R326" s="104"/>
      <c r="S326" s="1172"/>
      <c r="T326" s="1172"/>
      <c r="U326" s="1172"/>
      <c r="V326" s="1173"/>
      <c r="W326" s="1174"/>
      <c r="X326" s="1175"/>
      <c r="Y326" s="1176"/>
      <c r="Z326" s="1177"/>
      <c r="AA326" s="1547"/>
      <c r="AB326" s="1177"/>
      <c r="AC326" s="1548"/>
      <c r="AD326" s="1549"/>
      <c r="AE326" s="1178"/>
      <c r="AF326" s="1179"/>
      <c r="AH326" s="104"/>
      <c r="AI326" s="1172"/>
      <c r="AJ326" s="1172"/>
      <c r="AK326" s="1172"/>
      <c r="AL326" s="1173"/>
      <c r="AM326" s="1174"/>
      <c r="AN326" s="1175"/>
      <c r="AO326" s="1176"/>
      <c r="AP326" s="1177"/>
      <c r="AQ326" s="1547"/>
      <c r="AR326" s="1177"/>
      <c r="AS326" s="1548"/>
      <c r="AT326" s="1549"/>
      <c r="AU326" s="1178"/>
      <c r="AV326" s="1179"/>
      <c r="AY326" s="3">
        <v>1</v>
      </c>
    </row>
    <row r="327" spans="2:51" ht="18.75">
      <c r="B327" s="104"/>
      <c r="C327" s="1172"/>
      <c r="D327" s="1172"/>
      <c r="E327" s="1172"/>
      <c r="F327" s="1173"/>
      <c r="G327" s="1174"/>
      <c r="H327" s="1175"/>
      <c r="I327" s="1176"/>
      <c r="J327" s="1177"/>
      <c r="K327" s="1547"/>
      <c r="L327" s="1177"/>
      <c r="M327" s="1548"/>
      <c r="N327" s="1549"/>
      <c r="O327" s="1178"/>
      <c r="P327" s="1179"/>
      <c r="R327" s="104"/>
      <c r="S327" s="1172"/>
      <c r="T327" s="1172"/>
      <c r="U327" s="1172"/>
      <c r="V327" s="1173"/>
      <c r="W327" s="1174"/>
      <c r="X327" s="1175"/>
      <c r="Y327" s="1176"/>
      <c r="Z327" s="1177"/>
      <c r="AA327" s="1547"/>
      <c r="AB327" s="1177"/>
      <c r="AC327" s="1548"/>
      <c r="AD327" s="1549"/>
      <c r="AE327" s="1178"/>
      <c r="AF327" s="1179"/>
      <c r="AH327" s="104"/>
      <c r="AI327" s="1172"/>
      <c r="AJ327" s="1172"/>
      <c r="AK327" s="1172"/>
      <c r="AL327" s="1173"/>
      <c r="AM327" s="1174"/>
      <c r="AN327" s="1175"/>
      <c r="AO327" s="1176"/>
      <c r="AP327" s="1177"/>
      <c r="AQ327" s="1547"/>
      <c r="AR327" s="1177"/>
      <c r="AS327" s="1548"/>
      <c r="AT327" s="1549"/>
      <c r="AU327" s="1178"/>
      <c r="AV327" s="1179"/>
      <c r="AY327" s="3">
        <v>1</v>
      </c>
    </row>
    <row r="328" spans="2:51" ht="18.75">
      <c r="B328" s="104"/>
      <c r="C328" s="1172"/>
      <c r="D328" s="1172"/>
      <c r="E328" s="1172"/>
      <c r="F328" s="1173"/>
      <c r="G328" s="1174"/>
      <c r="H328" s="1175"/>
      <c r="I328" s="1176"/>
      <c r="J328" s="1177"/>
      <c r="K328" s="1547"/>
      <c r="L328" s="1177"/>
      <c r="M328" s="1548"/>
      <c r="N328" s="1549"/>
      <c r="O328" s="1178"/>
      <c r="P328" s="1179"/>
      <c r="R328" s="104"/>
      <c r="S328" s="1172"/>
      <c r="T328" s="1172"/>
      <c r="U328" s="1172"/>
      <c r="V328" s="1173"/>
      <c r="W328" s="1174"/>
      <c r="X328" s="1175"/>
      <c r="Y328" s="1176"/>
      <c r="Z328" s="1177"/>
      <c r="AA328" s="1547"/>
      <c r="AB328" s="1177"/>
      <c r="AC328" s="1548"/>
      <c r="AD328" s="1549"/>
      <c r="AE328" s="1178"/>
      <c r="AF328" s="1179"/>
      <c r="AH328" s="104"/>
      <c r="AI328" s="1172"/>
      <c r="AJ328" s="1172"/>
      <c r="AK328" s="1172"/>
      <c r="AL328" s="1173"/>
      <c r="AM328" s="1174"/>
      <c r="AN328" s="1175"/>
      <c r="AO328" s="1176"/>
      <c r="AP328" s="1177"/>
      <c r="AQ328" s="1547"/>
      <c r="AR328" s="1177"/>
      <c r="AS328" s="1548"/>
      <c r="AT328" s="1549"/>
      <c r="AU328" s="1178"/>
      <c r="AV328" s="1179"/>
      <c r="AY328" s="3">
        <v>1</v>
      </c>
    </row>
    <row r="329" spans="2:51" ht="18.75">
      <c r="B329" s="104"/>
      <c r="C329" s="1172"/>
      <c r="D329" s="1172"/>
      <c r="E329" s="1172"/>
      <c r="F329" s="1173"/>
      <c r="G329" s="1174"/>
      <c r="H329" s="1175"/>
      <c r="I329" s="1176"/>
      <c r="J329" s="1177"/>
      <c r="K329" s="1547"/>
      <c r="L329" s="1177"/>
      <c r="M329" s="1548"/>
      <c r="N329" s="1549"/>
      <c r="O329" s="1178"/>
      <c r="P329" s="1179"/>
      <c r="R329" s="104"/>
      <c r="S329" s="1172"/>
      <c r="T329" s="1172"/>
      <c r="U329" s="1172"/>
      <c r="V329" s="1173"/>
      <c r="W329" s="1174"/>
      <c r="X329" s="1175"/>
      <c r="Y329" s="1176"/>
      <c r="Z329" s="1177"/>
      <c r="AA329" s="1547"/>
      <c r="AB329" s="1177"/>
      <c r="AC329" s="1548"/>
      <c r="AD329" s="1549"/>
      <c r="AE329" s="1178"/>
      <c r="AF329" s="1179"/>
      <c r="AH329" s="104"/>
      <c r="AI329" s="1172"/>
      <c r="AJ329" s="1172"/>
      <c r="AK329" s="1172"/>
      <c r="AL329" s="1173"/>
      <c r="AM329" s="1174"/>
      <c r="AN329" s="1175"/>
      <c r="AO329" s="1176"/>
      <c r="AP329" s="1177"/>
      <c r="AQ329" s="1547"/>
      <c r="AR329" s="1177"/>
      <c r="AS329" s="1548"/>
      <c r="AT329" s="1549"/>
      <c r="AU329" s="1178"/>
      <c r="AV329" s="1179"/>
      <c r="AY329" s="3">
        <v>1</v>
      </c>
    </row>
    <row r="330" spans="2:51" ht="18.75">
      <c r="B330" s="104"/>
      <c r="C330" s="1172"/>
      <c r="D330" s="1172"/>
      <c r="E330" s="1172"/>
      <c r="F330" s="1173"/>
      <c r="G330" s="1174"/>
      <c r="H330" s="1175"/>
      <c r="I330" s="1176"/>
      <c r="J330" s="1177"/>
      <c r="K330" s="1547"/>
      <c r="L330" s="1177"/>
      <c r="M330" s="1548"/>
      <c r="N330" s="1549"/>
      <c r="O330" s="1178"/>
      <c r="P330" s="1179"/>
      <c r="R330" s="104"/>
      <c r="S330" s="1172"/>
      <c r="T330" s="1172"/>
      <c r="U330" s="1172"/>
      <c r="V330" s="1173"/>
      <c r="W330" s="1174"/>
      <c r="X330" s="1175"/>
      <c r="Y330" s="1176"/>
      <c r="Z330" s="1177"/>
      <c r="AA330" s="1547"/>
      <c r="AB330" s="1177"/>
      <c r="AC330" s="1548"/>
      <c r="AD330" s="1549"/>
      <c r="AE330" s="1178"/>
      <c r="AF330" s="1179"/>
      <c r="AH330" s="104"/>
      <c r="AI330" s="1172"/>
      <c r="AJ330" s="1172"/>
      <c r="AK330" s="1172"/>
      <c r="AL330" s="1173"/>
      <c r="AM330" s="1174"/>
      <c r="AN330" s="1175"/>
      <c r="AO330" s="1176"/>
      <c r="AP330" s="1177"/>
      <c r="AQ330" s="1547"/>
      <c r="AR330" s="1177"/>
      <c r="AS330" s="1548"/>
      <c r="AT330" s="1549"/>
      <c r="AU330" s="1178"/>
      <c r="AV330" s="1179"/>
      <c r="AY330" s="3">
        <v>1</v>
      </c>
    </row>
    <row r="331" spans="2:51" ht="18.75">
      <c r="B331" s="104"/>
      <c r="C331" s="1172"/>
      <c r="D331" s="1172"/>
      <c r="E331" s="1172"/>
      <c r="F331" s="1173"/>
      <c r="G331" s="1174"/>
      <c r="H331" s="1175"/>
      <c r="I331" s="1176"/>
      <c r="J331" s="1177"/>
      <c r="K331" s="1547"/>
      <c r="L331" s="1177"/>
      <c r="M331" s="1548"/>
      <c r="N331" s="1549"/>
      <c r="O331" s="1178"/>
      <c r="P331" s="1179"/>
      <c r="R331" s="104"/>
      <c r="S331" s="1172"/>
      <c r="T331" s="1172"/>
      <c r="U331" s="1172"/>
      <c r="V331" s="1173"/>
      <c r="W331" s="1174"/>
      <c r="X331" s="1175"/>
      <c r="Y331" s="1176"/>
      <c r="Z331" s="1177"/>
      <c r="AA331" s="1547"/>
      <c r="AB331" s="1177"/>
      <c r="AC331" s="1548"/>
      <c r="AD331" s="1549"/>
      <c r="AE331" s="1178"/>
      <c r="AF331" s="1179"/>
      <c r="AH331" s="104"/>
      <c r="AI331" s="1172"/>
      <c r="AJ331" s="1172"/>
      <c r="AK331" s="1172"/>
      <c r="AL331" s="1173"/>
      <c r="AM331" s="1174"/>
      <c r="AN331" s="1175"/>
      <c r="AO331" s="1176"/>
      <c r="AP331" s="1177"/>
      <c r="AQ331" s="1547"/>
      <c r="AR331" s="1177"/>
      <c r="AS331" s="1548"/>
      <c r="AT331" s="1549"/>
      <c r="AU331" s="1178"/>
      <c r="AV331" s="1179"/>
      <c r="AY331" s="3">
        <v>1</v>
      </c>
    </row>
    <row r="332" spans="2:51" ht="18.75">
      <c r="B332" s="104"/>
      <c r="C332" s="1172"/>
      <c r="D332" s="1172"/>
      <c r="E332" s="1172"/>
      <c r="F332" s="1173"/>
      <c r="G332" s="1174"/>
      <c r="H332" s="1175"/>
      <c r="I332" s="1176"/>
      <c r="J332" s="1177"/>
      <c r="K332" s="1547"/>
      <c r="L332" s="1177"/>
      <c r="M332" s="1548"/>
      <c r="N332" s="1549"/>
      <c r="O332" s="1178"/>
      <c r="P332" s="1179"/>
      <c r="R332" s="104"/>
      <c r="S332" s="1172"/>
      <c r="T332" s="1172"/>
      <c r="U332" s="1172"/>
      <c r="V332" s="1173"/>
      <c r="W332" s="1174"/>
      <c r="X332" s="1175"/>
      <c r="Y332" s="1176"/>
      <c r="Z332" s="1177"/>
      <c r="AA332" s="1547"/>
      <c r="AB332" s="1177"/>
      <c r="AC332" s="1548"/>
      <c r="AD332" s="1549"/>
      <c r="AE332" s="1178"/>
      <c r="AF332" s="1179"/>
      <c r="AH332" s="104"/>
      <c r="AI332" s="1172"/>
      <c r="AJ332" s="1172"/>
      <c r="AK332" s="1172"/>
      <c r="AL332" s="1173"/>
      <c r="AM332" s="1174"/>
      <c r="AN332" s="1175"/>
      <c r="AO332" s="1176"/>
      <c r="AP332" s="1177"/>
      <c r="AQ332" s="1547"/>
      <c r="AR332" s="1177"/>
      <c r="AS332" s="1548"/>
      <c r="AT332" s="1549"/>
      <c r="AU332" s="1178"/>
      <c r="AV332" s="1179"/>
      <c r="AY332" s="3">
        <v>1</v>
      </c>
    </row>
    <row r="333" spans="2:51" ht="18.75">
      <c r="B333" s="104"/>
      <c r="C333" s="1172"/>
      <c r="D333" s="1172"/>
      <c r="E333" s="1172"/>
      <c r="F333" s="1173"/>
      <c r="G333" s="1174"/>
      <c r="H333" s="1175"/>
      <c r="I333" s="1176"/>
      <c r="J333" s="1177"/>
      <c r="K333" s="1547"/>
      <c r="L333" s="1177"/>
      <c r="M333" s="1548"/>
      <c r="N333" s="1549"/>
      <c r="O333" s="1178"/>
      <c r="P333" s="1179"/>
      <c r="R333" s="104"/>
      <c r="S333" s="1172"/>
      <c r="T333" s="1172"/>
      <c r="U333" s="1172"/>
      <c r="V333" s="1173"/>
      <c r="W333" s="1174"/>
      <c r="X333" s="1175"/>
      <c r="Y333" s="1176"/>
      <c r="Z333" s="1177"/>
      <c r="AA333" s="1547"/>
      <c r="AB333" s="1177"/>
      <c r="AC333" s="1548"/>
      <c r="AD333" s="1549"/>
      <c r="AE333" s="1178"/>
      <c r="AF333" s="1179"/>
      <c r="AH333" s="104"/>
      <c r="AI333" s="1172"/>
      <c r="AJ333" s="1172"/>
      <c r="AK333" s="1172"/>
      <c r="AL333" s="1173"/>
      <c r="AM333" s="1174"/>
      <c r="AN333" s="1175"/>
      <c r="AO333" s="1176"/>
      <c r="AP333" s="1177"/>
      <c r="AQ333" s="1547"/>
      <c r="AR333" s="1177"/>
      <c r="AS333" s="1548"/>
      <c r="AT333" s="1549"/>
      <c r="AU333" s="1178"/>
      <c r="AV333" s="1179"/>
      <c r="AY333" s="3">
        <v>1</v>
      </c>
    </row>
    <row r="334" spans="2:51" ht="18.75">
      <c r="B334" s="104"/>
      <c r="C334" s="1172"/>
      <c r="D334" s="1172"/>
      <c r="E334" s="1172"/>
      <c r="F334" s="1173"/>
      <c r="G334" s="1174"/>
      <c r="H334" s="1175"/>
      <c r="I334" s="1176"/>
      <c r="J334" s="1177"/>
      <c r="K334" s="1547"/>
      <c r="L334" s="1177"/>
      <c r="M334" s="1548"/>
      <c r="N334" s="1549"/>
      <c r="O334" s="1178"/>
      <c r="P334" s="1179"/>
      <c r="R334" s="104"/>
      <c r="S334" s="1172"/>
      <c r="T334" s="1172"/>
      <c r="U334" s="1172"/>
      <c r="V334" s="1173"/>
      <c r="W334" s="1174"/>
      <c r="X334" s="1175"/>
      <c r="Y334" s="1176"/>
      <c r="Z334" s="1177"/>
      <c r="AA334" s="1547"/>
      <c r="AB334" s="1177"/>
      <c r="AC334" s="1548"/>
      <c r="AD334" s="1549"/>
      <c r="AE334" s="1178"/>
      <c r="AF334" s="1179"/>
      <c r="AH334" s="104"/>
      <c r="AI334" s="1172"/>
      <c r="AJ334" s="1172"/>
      <c r="AK334" s="1172"/>
      <c r="AL334" s="1173"/>
      <c r="AM334" s="1174"/>
      <c r="AN334" s="1175"/>
      <c r="AO334" s="1176"/>
      <c r="AP334" s="1177"/>
      <c r="AQ334" s="1547"/>
      <c r="AR334" s="1177"/>
      <c r="AS334" s="1548"/>
      <c r="AT334" s="1549"/>
      <c r="AU334" s="1178"/>
      <c r="AV334" s="1179"/>
      <c r="AY334" s="3">
        <v>1</v>
      </c>
    </row>
    <row r="335" spans="2:51" ht="18.75">
      <c r="B335" s="104"/>
      <c r="C335" s="1172"/>
      <c r="D335" s="1172"/>
      <c r="E335" s="1172"/>
      <c r="F335" s="1173"/>
      <c r="G335" s="1174"/>
      <c r="H335" s="1175"/>
      <c r="I335" s="1176"/>
      <c r="J335" s="1177"/>
      <c r="K335" s="1547"/>
      <c r="L335" s="1177"/>
      <c r="M335" s="1548"/>
      <c r="N335" s="1549"/>
      <c r="O335" s="1178"/>
      <c r="P335" s="1179"/>
      <c r="R335" s="104"/>
      <c r="S335" s="1172"/>
      <c r="T335" s="1172"/>
      <c r="U335" s="1172"/>
      <c r="V335" s="1173"/>
      <c r="W335" s="1174"/>
      <c r="X335" s="1175"/>
      <c r="Y335" s="1176"/>
      <c r="Z335" s="1177"/>
      <c r="AA335" s="1547"/>
      <c r="AB335" s="1177"/>
      <c r="AC335" s="1548"/>
      <c r="AD335" s="1549"/>
      <c r="AE335" s="1178"/>
      <c r="AF335" s="1179"/>
      <c r="AH335" s="104"/>
      <c r="AI335" s="1172"/>
      <c r="AJ335" s="1172"/>
      <c r="AK335" s="1172"/>
      <c r="AL335" s="1173"/>
      <c r="AM335" s="1174"/>
      <c r="AN335" s="1175"/>
      <c r="AO335" s="1176"/>
      <c r="AP335" s="1177"/>
      <c r="AQ335" s="1547"/>
      <c r="AR335" s="1177"/>
      <c r="AS335" s="1548"/>
      <c r="AT335" s="1549"/>
      <c r="AU335" s="1178"/>
      <c r="AV335" s="1179"/>
      <c r="AY335" s="3">
        <v>1</v>
      </c>
    </row>
    <row r="336" spans="2:51" ht="18.75">
      <c r="B336" s="104"/>
      <c r="C336" s="1172"/>
      <c r="D336" s="1172"/>
      <c r="E336" s="1172"/>
      <c r="F336" s="1173"/>
      <c r="G336" s="1174"/>
      <c r="H336" s="1175"/>
      <c r="I336" s="1176"/>
      <c r="J336" s="1177"/>
      <c r="K336" s="1547"/>
      <c r="L336" s="1177"/>
      <c r="M336" s="1548"/>
      <c r="N336" s="1549"/>
      <c r="O336" s="1178"/>
      <c r="P336" s="1179"/>
      <c r="R336" s="104"/>
      <c r="S336" s="1172"/>
      <c r="T336" s="1172"/>
      <c r="U336" s="1172"/>
      <c r="V336" s="1173"/>
      <c r="W336" s="1174"/>
      <c r="X336" s="1175"/>
      <c r="Y336" s="1176"/>
      <c r="Z336" s="1177"/>
      <c r="AA336" s="1547"/>
      <c r="AB336" s="1177"/>
      <c r="AC336" s="1548"/>
      <c r="AD336" s="1549"/>
      <c r="AE336" s="1178"/>
      <c r="AF336" s="1179"/>
      <c r="AH336" s="104"/>
      <c r="AI336" s="1172"/>
      <c r="AJ336" s="1172"/>
      <c r="AK336" s="1172"/>
      <c r="AL336" s="1173"/>
      <c r="AM336" s="1174"/>
      <c r="AN336" s="1175"/>
      <c r="AO336" s="1176"/>
      <c r="AP336" s="1177"/>
      <c r="AQ336" s="1547"/>
      <c r="AR336" s="1177"/>
      <c r="AS336" s="1548"/>
      <c r="AT336" s="1549"/>
      <c r="AU336" s="1178"/>
      <c r="AV336" s="1179"/>
      <c r="AY336" s="3">
        <v>1</v>
      </c>
    </row>
    <row r="337" spans="1:53" ht="18.75">
      <c r="B337" s="104"/>
      <c r="C337" s="1172"/>
      <c r="D337" s="1172"/>
      <c r="E337" s="1172"/>
      <c r="F337" s="1173"/>
      <c r="G337" s="1174"/>
      <c r="H337" s="1175"/>
      <c r="I337" s="1176"/>
      <c r="J337" s="1177"/>
      <c r="K337" s="1547"/>
      <c r="L337" s="1177"/>
      <c r="M337" s="1548"/>
      <c r="N337" s="1549"/>
      <c r="O337" s="1178"/>
      <c r="P337" s="1179"/>
      <c r="R337" s="104"/>
      <c r="S337" s="1172"/>
      <c r="T337" s="1172"/>
      <c r="U337" s="1172"/>
      <c r="V337" s="1173"/>
      <c r="W337" s="1174"/>
      <c r="X337" s="1175"/>
      <c r="Y337" s="1176"/>
      <c r="Z337" s="1177"/>
      <c r="AA337" s="1547"/>
      <c r="AB337" s="1177"/>
      <c r="AC337" s="1548"/>
      <c r="AD337" s="1549"/>
      <c r="AE337" s="1178"/>
      <c r="AF337" s="1179"/>
      <c r="AH337" s="104"/>
      <c r="AI337" s="1172"/>
      <c r="AJ337" s="1172"/>
      <c r="AK337" s="1172"/>
      <c r="AL337" s="1173"/>
      <c r="AM337" s="1174"/>
      <c r="AN337" s="1175"/>
      <c r="AO337" s="1176"/>
      <c r="AP337" s="1177"/>
      <c r="AQ337" s="1547"/>
      <c r="AR337" s="1177"/>
      <c r="AS337" s="1548"/>
      <c r="AT337" s="1549"/>
      <c r="AU337" s="1178"/>
      <c r="AV337" s="1179"/>
      <c r="AY337" s="3">
        <v>1</v>
      </c>
    </row>
    <row r="338" spans="1:53" ht="18.75">
      <c r="B338" s="104"/>
      <c r="C338" s="1172"/>
      <c r="D338" s="1172"/>
      <c r="E338" s="1172"/>
      <c r="F338" s="1173"/>
      <c r="G338" s="1174"/>
      <c r="H338" s="1175"/>
      <c r="I338" s="1176"/>
      <c r="J338" s="1177"/>
      <c r="K338" s="1547"/>
      <c r="L338" s="1177"/>
      <c r="M338" s="1548"/>
      <c r="N338" s="1549"/>
      <c r="O338" s="1178"/>
      <c r="P338" s="1179"/>
      <c r="R338" s="104"/>
      <c r="S338" s="1172"/>
      <c r="T338" s="1172"/>
      <c r="U338" s="1172"/>
      <c r="V338" s="1173"/>
      <c r="W338" s="1174"/>
      <c r="X338" s="1175"/>
      <c r="Y338" s="1176"/>
      <c r="Z338" s="1177"/>
      <c r="AA338" s="1547"/>
      <c r="AB338" s="1177"/>
      <c r="AC338" s="1548"/>
      <c r="AD338" s="1549"/>
      <c r="AE338" s="1178"/>
      <c r="AF338" s="1179"/>
      <c r="AH338" s="104"/>
      <c r="AI338" s="1172"/>
      <c r="AJ338" s="1172"/>
      <c r="AK338" s="1172"/>
      <c r="AL338" s="1173"/>
      <c r="AM338" s="1174"/>
      <c r="AN338" s="1175"/>
      <c r="AO338" s="1176"/>
      <c r="AP338" s="1177"/>
      <c r="AQ338" s="1547"/>
      <c r="AR338" s="1177"/>
      <c r="AS338" s="1548"/>
      <c r="AT338" s="1549"/>
      <c r="AU338" s="1178"/>
      <c r="AV338" s="1179"/>
      <c r="AY338" s="3">
        <v>1</v>
      </c>
    </row>
    <row r="339" spans="1:53" ht="18.75">
      <c r="B339" s="104"/>
      <c r="C339" s="1172"/>
      <c r="D339" s="1172"/>
      <c r="E339" s="1172"/>
      <c r="F339" s="1173"/>
      <c r="G339" s="1174"/>
      <c r="H339" s="1175"/>
      <c r="I339" s="1176"/>
      <c r="J339" s="1177"/>
      <c r="K339" s="1547"/>
      <c r="L339" s="1177"/>
      <c r="M339" s="1548"/>
      <c r="N339" s="1549"/>
      <c r="O339" s="1178"/>
      <c r="P339" s="1179"/>
      <c r="R339" s="104"/>
      <c r="S339" s="1172"/>
      <c r="T339" s="1172"/>
      <c r="U339" s="1172"/>
      <c r="V339" s="1173"/>
      <c r="W339" s="1174"/>
      <c r="X339" s="1175"/>
      <c r="Y339" s="1176"/>
      <c r="Z339" s="1177"/>
      <c r="AA339" s="1547"/>
      <c r="AB339" s="1177"/>
      <c r="AC339" s="1548"/>
      <c r="AD339" s="1549"/>
      <c r="AE339" s="1178"/>
      <c r="AF339" s="1179"/>
      <c r="AH339" s="104"/>
      <c r="AI339" s="1172"/>
      <c r="AJ339" s="1172"/>
      <c r="AK339" s="1172"/>
      <c r="AL339" s="1173"/>
      <c r="AM339" s="1174"/>
      <c r="AN339" s="1175"/>
      <c r="AO339" s="1176"/>
      <c r="AP339" s="1177"/>
      <c r="AQ339" s="1547"/>
      <c r="AR339" s="1177"/>
      <c r="AS339" s="1548"/>
      <c r="AT339" s="1549"/>
      <c r="AU339" s="1178"/>
      <c r="AV339" s="1179"/>
      <c r="AY339" s="3">
        <v>1</v>
      </c>
    </row>
    <row r="340" spans="1:53" ht="18.75">
      <c r="B340" s="104"/>
      <c r="C340" s="1172"/>
      <c r="D340" s="1172"/>
      <c r="E340" s="1172"/>
      <c r="F340" s="1173"/>
      <c r="G340" s="1174"/>
      <c r="H340" s="1175"/>
      <c r="I340" s="1176"/>
      <c r="J340" s="1177"/>
      <c r="K340" s="1547"/>
      <c r="L340" s="1177"/>
      <c r="M340" s="1548"/>
      <c r="N340" s="1549"/>
      <c r="O340" s="1178"/>
      <c r="P340" s="1179"/>
      <c r="R340" s="104"/>
      <c r="S340" s="1172"/>
      <c r="T340" s="1172"/>
      <c r="U340" s="1172"/>
      <c r="V340" s="1173"/>
      <c r="W340" s="1174"/>
      <c r="X340" s="1175"/>
      <c r="Y340" s="1176"/>
      <c r="Z340" s="1177"/>
      <c r="AA340" s="1547"/>
      <c r="AB340" s="1177"/>
      <c r="AC340" s="1548"/>
      <c r="AD340" s="1549"/>
      <c r="AE340" s="1178"/>
      <c r="AF340" s="1179"/>
      <c r="AH340" s="104"/>
      <c r="AI340" s="1172"/>
      <c r="AJ340" s="1172"/>
      <c r="AK340" s="1172"/>
      <c r="AL340" s="1173"/>
      <c r="AM340" s="1174"/>
      <c r="AN340" s="1175"/>
      <c r="AO340" s="1176"/>
      <c r="AP340" s="1177"/>
      <c r="AQ340" s="1547"/>
      <c r="AR340" s="1177"/>
      <c r="AS340" s="1548"/>
      <c r="AT340" s="1549"/>
      <c r="AU340" s="1178"/>
      <c r="AV340" s="1179"/>
      <c r="AY340" s="3">
        <v>1</v>
      </c>
    </row>
    <row r="341" spans="1:53" ht="18.75">
      <c r="B341" s="104"/>
      <c r="C341" s="1172"/>
      <c r="D341" s="1172"/>
      <c r="E341" s="1172"/>
      <c r="F341" s="1173"/>
      <c r="G341" s="1174"/>
      <c r="H341" s="1175"/>
      <c r="I341" s="1176"/>
      <c r="J341" s="1177"/>
      <c r="K341" s="1547"/>
      <c r="L341" s="1177"/>
      <c r="M341" s="1548"/>
      <c r="N341" s="1549"/>
      <c r="O341" s="1178"/>
      <c r="P341" s="1179"/>
      <c r="R341" s="104"/>
      <c r="S341" s="1172"/>
      <c r="T341" s="1172"/>
      <c r="U341" s="1172"/>
      <c r="V341" s="1173"/>
      <c r="W341" s="1174"/>
      <c r="X341" s="1175"/>
      <c r="Y341" s="1176"/>
      <c r="Z341" s="1177"/>
      <c r="AA341" s="1547"/>
      <c r="AB341" s="1177"/>
      <c r="AC341" s="1548"/>
      <c r="AD341" s="1549"/>
      <c r="AE341" s="1178"/>
      <c r="AF341" s="1179"/>
      <c r="AH341" s="104"/>
      <c r="AI341" s="1172"/>
      <c r="AJ341" s="1172"/>
      <c r="AK341" s="1172"/>
      <c r="AL341" s="1173"/>
      <c r="AM341" s="1174"/>
      <c r="AN341" s="1175"/>
      <c r="AO341" s="1176"/>
      <c r="AP341" s="1177"/>
      <c r="AQ341" s="1547"/>
      <c r="AR341" s="1177"/>
      <c r="AS341" s="1548"/>
      <c r="AT341" s="1549"/>
      <c r="AU341" s="1178"/>
      <c r="AV341" s="1179"/>
      <c r="AY341" s="3">
        <v>1</v>
      </c>
    </row>
    <row r="342" spans="1:53" ht="27" customHeight="1">
      <c r="B342" s="224" t="s">
        <v>11</v>
      </c>
      <c r="C342" s="224"/>
      <c r="D342" s="224"/>
      <c r="E342" s="224"/>
      <c r="F342" s="224"/>
      <c r="G342" s="224"/>
      <c r="H342" s="224"/>
      <c r="I342" s="224"/>
      <c r="J342" s="224"/>
      <c r="K342" s="224"/>
      <c r="L342" s="224"/>
      <c r="M342" s="224"/>
      <c r="N342" s="224"/>
      <c r="O342" s="224"/>
      <c r="P342" s="224"/>
      <c r="R342" s="224" t="s">
        <v>11</v>
      </c>
      <c r="S342" s="224"/>
      <c r="T342" s="224"/>
      <c r="U342" s="224"/>
      <c r="V342" s="224"/>
      <c r="W342" s="224"/>
      <c r="X342" s="224"/>
      <c r="Y342" s="224"/>
      <c r="Z342" s="224"/>
      <c r="AA342" s="224"/>
      <c r="AB342" s="224"/>
      <c r="AC342" s="224"/>
      <c r="AD342" s="224"/>
      <c r="AE342" s="224"/>
      <c r="AF342" s="224"/>
      <c r="AH342" s="224" t="s">
        <v>11</v>
      </c>
      <c r="AI342" s="224"/>
      <c r="AJ342" s="224"/>
      <c r="AK342" s="224"/>
      <c r="AL342" s="224"/>
      <c r="AM342" s="224"/>
      <c r="AN342" s="224"/>
      <c r="AO342" s="224"/>
      <c r="AP342" s="224"/>
      <c r="AQ342" s="224"/>
      <c r="AR342" s="224"/>
      <c r="AS342" s="224"/>
      <c r="AT342" s="224"/>
      <c r="AU342" s="224"/>
      <c r="AV342" s="224"/>
      <c r="AY342" s="708" t="s">
        <v>823</v>
      </c>
    </row>
    <row r="343" spans="1:53">
      <c r="A343" s="3">
        <v>1</v>
      </c>
      <c r="B343" s="3">
        <v>1</v>
      </c>
      <c r="C343" s="3">
        <v>1</v>
      </c>
      <c r="D343" s="3">
        <v>1</v>
      </c>
      <c r="E343" s="3">
        <v>1</v>
      </c>
      <c r="F343" s="3">
        <v>1</v>
      </c>
      <c r="G343" s="3">
        <v>1</v>
      </c>
      <c r="H343" s="3">
        <v>1</v>
      </c>
      <c r="I343" s="3">
        <v>1</v>
      </c>
      <c r="J343" s="3">
        <v>1</v>
      </c>
      <c r="K343" s="3">
        <v>1</v>
      </c>
      <c r="L343" s="3">
        <v>1</v>
      </c>
      <c r="M343" s="3">
        <v>1</v>
      </c>
      <c r="N343" s="3">
        <v>1</v>
      </c>
      <c r="O343" s="3">
        <v>1</v>
      </c>
      <c r="P343" s="3">
        <v>1</v>
      </c>
      <c r="Q343" s="3">
        <v>1</v>
      </c>
      <c r="R343" s="3">
        <v>1</v>
      </c>
      <c r="S343" s="3">
        <v>1</v>
      </c>
      <c r="T343" s="3">
        <v>1</v>
      </c>
      <c r="U343" s="3">
        <v>1</v>
      </c>
      <c r="V343" s="3">
        <v>1</v>
      </c>
      <c r="W343" s="3">
        <v>1</v>
      </c>
      <c r="X343" s="3">
        <v>1</v>
      </c>
      <c r="Y343" s="3">
        <v>1</v>
      </c>
      <c r="Z343" s="3">
        <v>1</v>
      </c>
      <c r="AA343" s="3">
        <v>1</v>
      </c>
      <c r="AB343" s="3">
        <v>1</v>
      </c>
      <c r="AC343" s="3">
        <v>1</v>
      </c>
      <c r="AD343" s="3">
        <v>1</v>
      </c>
      <c r="AE343" s="3">
        <v>1</v>
      </c>
      <c r="AF343" s="3">
        <v>1</v>
      </c>
      <c r="AG343" s="3">
        <v>1</v>
      </c>
      <c r="AH343" s="3">
        <v>1</v>
      </c>
      <c r="AI343" s="3">
        <v>1</v>
      </c>
      <c r="AJ343" s="3">
        <v>1</v>
      </c>
      <c r="AK343" s="3">
        <v>1</v>
      </c>
      <c r="AL343" s="3">
        <v>1</v>
      </c>
      <c r="AM343" s="3">
        <v>1</v>
      </c>
      <c r="AN343" s="3">
        <v>1</v>
      </c>
      <c r="AO343" s="3">
        <v>1</v>
      </c>
      <c r="AP343" s="3">
        <v>1</v>
      </c>
      <c r="AQ343" s="3">
        <v>1</v>
      </c>
      <c r="AR343" s="3">
        <v>1</v>
      </c>
      <c r="AS343" s="3">
        <v>1</v>
      </c>
      <c r="AT343" s="3">
        <v>1</v>
      </c>
      <c r="AU343" s="3">
        <v>1</v>
      </c>
      <c r="AV343" s="3">
        <v>1</v>
      </c>
      <c r="AW343" s="3">
        <v>1</v>
      </c>
      <c r="AX343" s="3">
        <v>1</v>
      </c>
      <c r="AY343" s="1" t="str">
        <f>ADDRESS(ROW(),COLUMN(),4)</f>
        <v>AY343</v>
      </c>
      <c r="AZ343" s="710"/>
      <c r="BA343" s="711" t="str">
        <f>ADDRESS(ROW(),COLUMN(),4)</f>
        <v>BA343</v>
      </c>
    </row>
  </sheetData>
  <mergeCells count="23">
    <mergeCell ref="AT4:AV7"/>
    <mergeCell ref="H10:M11"/>
    <mergeCell ref="N10:O11"/>
    <mergeCell ref="P10:P11"/>
    <mergeCell ref="K13:M14"/>
    <mergeCell ref="O14:P14"/>
    <mergeCell ref="I15:J15"/>
    <mergeCell ref="I16:K16"/>
    <mergeCell ref="J18:J19"/>
    <mergeCell ref="K18:K19"/>
    <mergeCell ref="L18:L19"/>
    <mergeCell ref="G83:K83"/>
    <mergeCell ref="O18:O19"/>
    <mergeCell ref="P18:P19"/>
    <mergeCell ref="H41:P41"/>
    <mergeCell ref="O42:P42"/>
    <mergeCell ref="J44:J45"/>
    <mergeCell ref="K44:K45"/>
    <mergeCell ref="L44:L45"/>
    <mergeCell ref="N44:N45"/>
    <mergeCell ref="O44:O45"/>
    <mergeCell ref="P44:P45"/>
    <mergeCell ref="N18:N19"/>
  </mergeCells>
  <conditionalFormatting sqref="L20:L39">
    <cfRule type="cellIs" dxfId="50" priority="2" operator="notEqual">
      <formula>1</formula>
    </cfRule>
  </conditionalFormatting>
  <conditionalFormatting sqref="L46:L55">
    <cfRule type="cellIs" dxfId="49" priority="1" operator="notEqual">
      <formula>1</formula>
    </cfRule>
  </conditionalFormatting>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20B6B4-E23D-4B28-8CE2-45288506F0C9}">
  <dimension ref="A1:BA343"/>
  <sheetViews>
    <sheetView showZeros="0" workbookViewId="0">
      <selection activeCell="B9" sqref="B9"/>
    </sheetView>
  </sheetViews>
  <sheetFormatPr baseColWidth="10" defaultRowHeight="15"/>
  <cols>
    <col min="1" max="1" width="2.85546875" customWidth="1"/>
    <col min="2" max="6" width="3.7109375" customWidth="1"/>
    <col min="7" max="8" width="12.7109375" customWidth="1"/>
    <col min="9" max="9" width="3.7109375" customWidth="1"/>
    <col min="10" max="10" width="9.7109375" customWidth="1"/>
    <col min="11" max="11" width="12.7109375" customWidth="1"/>
    <col min="12" max="12" width="13.7109375" customWidth="1"/>
    <col min="13" max="13" width="40.7109375" customWidth="1"/>
    <col min="14" max="14" width="10.7109375" customWidth="1"/>
    <col min="15" max="15" width="9.7109375" customWidth="1"/>
    <col min="16" max="16" width="13.7109375" customWidth="1"/>
    <col min="17" max="17" width="6.140625" customWidth="1"/>
    <col min="18" max="22" width="3.7109375" customWidth="1"/>
    <col min="23" max="24" width="12.7109375" customWidth="1"/>
    <col min="25" max="25" width="3.7109375" customWidth="1"/>
    <col min="26" max="26" width="9.7109375" customWidth="1"/>
    <col min="27" max="27" width="12.7109375" customWidth="1"/>
    <col min="28" max="28" width="13.7109375" customWidth="1"/>
    <col min="29" max="29" width="40.7109375" customWidth="1"/>
    <col min="30" max="30" width="10.7109375" customWidth="1"/>
    <col min="31" max="31" width="9.7109375" customWidth="1"/>
    <col min="32" max="32" width="13.7109375" customWidth="1"/>
    <col min="33" max="33" width="5.7109375" customWidth="1"/>
    <col min="34" max="38" width="3.7109375" customWidth="1"/>
    <col min="39" max="40" width="12.7109375" customWidth="1"/>
    <col min="41" max="41" width="3.7109375" customWidth="1"/>
    <col min="42" max="42" width="9.7109375" customWidth="1"/>
    <col min="43" max="43" width="12.7109375" customWidth="1"/>
    <col min="44" max="44" width="13.7109375" customWidth="1"/>
    <col min="45" max="45" width="40.7109375" customWidth="1"/>
    <col min="46" max="46" width="10.7109375" customWidth="1"/>
    <col min="47" max="47" width="9.7109375" customWidth="1"/>
    <col min="48" max="48" width="13.7109375" customWidth="1"/>
    <col min="51" max="51" width="5.42578125" customWidth="1"/>
    <col min="53" max="53" width="86" customWidth="1"/>
  </cols>
  <sheetData>
    <row r="1" spans="1:53" ht="15.75" thickTop="1">
      <c r="A1" s="1" t="str">
        <f>ADDRESS(ROW(),COLUMN(),4)</f>
        <v>A1</v>
      </c>
      <c r="B1" s="2" t="str">
        <f t="shared" ref="B1:AV1" si="0">SUBSTITUTE(ADDRESS(1,COLUMN(),4),"1","")</f>
        <v>B</v>
      </c>
      <c r="C1" s="2" t="str">
        <f t="shared" si="0"/>
        <v>C</v>
      </c>
      <c r="D1" s="2" t="str">
        <f t="shared" si="0"/>
        <v>D</v>
      </c>
      <c r="E1" s="2" t="str">
        <f t="shared" si="0"/>
        <v>E</v>
      </c>
      <c r="F1" s="2" t="str">
        <f t="shared" si="0"/>
        <v>F</v>
      </c>
      <c r="G1" s="2" t="str">
        <f t="shared" si="0"/>
        <v>G</v>
      </c>
      <c r="H1" s="2" t="str">
        <f t="shared" si="0"/>
        <v>H</v>
      </c>
      <c r="I1" s="2" t="str">
        <f t="shared" si="0"/>
        <v>I</v>
      </c>
      <c r="J1" s="2" t="str">
        <f t="shared" si="0"/>
        <v>J</v>
      </c>
      <c r="K1" s="2" t="str">
        <f t="shared" si="0"/>
        <v>K</v>
      </c>
      <c r="L1" s="2" t="str">
        <f t="shared" si="0"/>
        <v>L</v>
      </c>
      <c r="M1" s="2" t="str">
        <f t="shared" si="0"/>
        <v>M</v>
      </c>
      <c r="N1" s="2" t="str">
        <f t="shared" si="0"/>
        <v>N</v>
      </c>
      <c r="O1" s="2" t="str">
        <f t="shared" si="0"/>
        <v>O</v>
      </c>
      <c r="P1" s="2" t="str">
        <f t="shared" si="0"/>
        <v>P</v>
      </c>
      <c r="R1" s="2" t="str">
        <f t="shared" si="0"/>
        <v>R</v>
      </c>
      <c r="S1" s="2" t="str">
        <f t="shared" si="0"/>
        <v>S</v>
      </c>
      <c r="T1" s="2" t="str">
        <f t="shared" si="0"/>
        <v>T</v>
      </c>
      <c r="U1" s="2" t="str">
        <f t="shared" si="0"/>
        <v>U</v>
      </c>
      <c r="V1" s="2" t="str">
        <f t="shared" si="0"/>
        <v>V</v>
      </c>
      <c r="W1" s="2" t="str">
        <f t="shared" si="0"/>
        <v>W</v>
      </c>
      <c r="X1" s="2" t="str">
        <f t="shared" si="0"/>
        <v>X</v>
      </c>
      <c r="Y1" s="2" t="str">
        <f t="shared" si="0"/>
        <v>Y</v>
      </c>
      <c r="Z1" s="2" t="str">
        <f t="shared" si="0"/>
        <v>Z</v>
      </c>
      <c r="AA1" s="2" t="str">
        <f t="shared" si="0"/>
        <v>AA</v>
      </c>
      <c r="AB1" s="2" t="str">
        <f t="shared" si="0"/>
        <v>AB</v>
      </c>
      <c r="AC1" s="2" t="str">
        <f t="shared" si="0"/>
        <v>AC</v>
      </c>
      <c r="AD1" s="2" t="str">
        <f t="shared" si="0"/>
        <v>AD</v>
      </c>
      <c r="AE1" s="2" t="str">
        <f t="shared" si="0"/>
        <v>AE</v>
      </c>
      <c r="AF1" s="2" t="str">
        <f t="shared" si="0"/>
        <v>AF</v>
      </c>
      <c r="AH1" s="2" t="str">
        <f t="shared" si="0"/>
        <v>AH</v>
      </c>
      <c r="AI1" s="2" t="str">
        <f t="shared" si="0"/>
        <v>AI</v>
      </c>
      <c r="AJ1" s="2" t="str">
        <f t="shared" si="0"/>
        <v>AJ</v>
      </c>
      <c r="AK1" s="2" t="str">
        <f t="shared" si="0"/>
        <v>AK</v>
      </c>
      <c r="AL1" s="2" t="str">
        <f t="shared" si="0"/>
        <v>AL</v>
      </c>
      <c r="AM1" s="2" t="str">
        <f t="shared" si="0"/>
        <v>AM</v>
      </c>
      <c r="AN1" s="2" t="str">
        <f t="shared" si="0"/>
        <v>AN</v>
      </c>
      <c r="AO1" s="2" t="str">
        <f t="shared" si="0"/>
        <v>AO</v>
      </c>
      <c r="AP1" s="2" t="str">
        <f t="shared" si="0"/>
        <v>AP</v>
      </c>
      <c r="AQ1" s="2" t="str">
        <f t="shared" si="0"/>
        <v>AQ</v>
      </c>
      <c r="AR1" s="2" t="str">
        <f t="shared" si="0"/>
        <v>AR</v>
      </c>
      <c r="AS1" s="2" t="str">
        <f t="shared" si="0"/>
        <v>AS</v>
      </c>
      <c r="AT1" s="2" t="str">
        <f t="shared" si="0"/>
        <v>AT</v>
      </c>
      <c r="AU1" s="2" t="str">
        <f t="shared" si="0"/>
        <v>AU</v>
      </c>
      <c r="AV1" s="2" t="str">
        <f t="shared" si="0"/>
        <v>AV</v>
      </c>
      <c r="AY1" s="3">
        <v>1</v>
      </c>
      <c r="AZ1" s="4" t="str">
        <f>SUBSTITUTE(ADDRESS(1,COLUMN(),4),"1","")</f>
        <v>AZ</v>
      </c>
      <c r="BA1" s="5" t="str">
        <f>SUBSTITUTE(ADDRESS(1,COLUMN(),4),"1","")</f>
        <v>BA</v>
      </c>
    </row>
    <row r="2" spans="1:53">
      <c r="B2" s="922">
        <f t="shared" ref="B2:AV2" ca="1" si="1">CELL("largeur",B2)</f>
        <v>3</v>
      </c>
      <c r="C2" s="922">
        <f t="shared" ca="1" si="1"/>
        <v>3</v>
      </c>
      <c r="D2" s="922">
        <f t="shared" ca="1" si="1"/>
        <v>3</v>
      </c>
      <c r="E2" s="922">
        <f t="shared" ca="1" si="1"/>
        <v>3</v>
      </c>
      <c r="F2" s="922">
        <f t="shared" ca="1" si="1"/>
        <v>3</v>
      </c>
      <c r="G2" s="922">
        <f t="shared" ca="1" si="1"/>
        <v>12</v>
      </c>
      <c r="H2" s="922">
        <f t="shared" ca="1" si="1"/>
        <v>12</v>
      </c>
      <c r="I2" s="922">
        <f t="shared" ca="1" si="1"/>
        <v>3</v>
      </c>
      <c r="J2" s="922">
        <f t="shared" ca="1" si="1"/>
        <v>9</v>
      </c>
      <c r="K2" s="922">
        <f t="shared" ca="1" si="1"/>
        <v>12</v>
      </c>
      <c r="L2" s="922">
        <f t="shared" ca="1" si="1"/>
        <v>13</v>
      </c>
      <c r="M2" s="922">
        <f t="shared" ca="1" si="1"/>
        <v>40</v>
      </c>
      <c r="N2" s="922">
        <f t="shared" ca="1" si="1"/>
        <v>10</v>
      </c>
      <c r="O2" s="922">
        <f t="shared" ca="1" si="1"/>
        <v>9</v>
      </c>
      <c r="P2" s="922">
        <f t="shared" ca="1" si="1"/>
        <v>13</v>
      </c>
      <c r="R2" s="922">
        <f t="shared" ca="1" si="1"/>
        <v>3</v>
      </c>
      <c r="S2" s="922">
        <f t="shared" ca="1" si="1"/>
        <v>3</v>
      </c>
      <c r="T2" s="922">
        <f t="shared" ca="1" si="1"/>
        <v>3</v>
      </c>
      <c r="U2" s="922">
        <f t="shared" ca="1" si="1"/>
        <v>3</v>
      </c>
      <c r="V2" s="922">
        <f t="shared" ca="1" si="1"/>
        <v>3</v>
      </c>
      <c r="W2" s="922">
        <f t="shared" ca="1" si="1"/>
        <v>12</v>
      </c>
      <c r="X2" s="922">
        <f t="shared" ca="1" si="1"/>
        <v>12</v>
      </c>
      <c r="Y2" s="922">
        <f t="shared" ca="1" si="1"/>
        <v>3</v>
      </c>
      <c r="Z2" s="922">
        <f t="shared" ca="1" si="1"/>
        <v>9</v>
      </c>
      <c r="AA2" s="922">
        <f t="shared" ca="1" si="1"/>
        <v>12</v>
      </c>
      <c r="AB2" s="922">
        <f t="shared" ca="1" si="1"/>
        <v>13</v>
      </c>
      <c r="AC2" s="922">
        <f t="shared" ca="1" si="1"/>
        <v>40</v>
      </c>
      <c r="AD2" s="922">
        <f t="shared" ca="1" si="1"/>
        <v>10</v>
      </c>
      <c r="AE2" s="922">
        <f t="shared" ca="1" si="1"/>
        <v>9</v>
      </c>
      <c r="AF2" s="922">
        <f t="shared" ca="1" si="1"/>
        <v>13</v>
      </c>
      <c r="AH2" s="922">
        <f t="shared" ca="1" si="1"/>
        <v>3</v>
      </c>
      <c r="AI2" s="922">
        <f t="shared" ca="1" si="1"/>
        <v>3</v>
      </c>
      <c r="AJ2" s="922">
        <f t="shared" ca="1" si="1"/>
        <v>3</v>
      </c>
      <c r="AK2" s="922">
        <f t="shared" ca="1" si="1"/>
        <v>3</v>
      </c>
      <c r="AL2" s="922">
        <f t="shared" ca="1" si="1"/>
        <v>3</v>
      </c>
      <c r="AM2" s="922">
        <f t="shared" ca="1" si="1"/>
        <v>12</v>
      </c>
      <c r="AN2" s="922">
        <f t="shared" ca="1" si="1"/>
        <v>12</v>
      </c>
      <c r="AO2" s="922">
        <f t="shared" ca="1" si="1"/>
        <v>3</v>
      </c>
      <c r="AP2" s="922">
        <f t="shared" ca="1" si="1"/>
        <v>9</v>
      </c>
      <c r="AQ2" s="922">
        <f t="shared" ca="1" si="1"/>
        <v>12</v>
      </c>
      <c r="AR2" s="922">
        <f t="shared" ca="1" si="1"/>
        <v>13</v>
      </c>
      <c r="AS2" s="922">
        <f t="shared" ca="1" si="1"/>
        <v>40</v>
      </c>
      <c r="AT2" s="922">
        <f t="shared" ca="1" si="1"/>
        <v>10</v>
      </c>
      <c r="AU2" s="922">
        <f t="shared" ca="1" si="1"/>
        <v>9</v>
      </c>
      <c r="AV2" s="922">
        <f t="shared" ca="1" si="1"/>
        <v>13</v>
      </c>
      <c r="AW2" s="1127" t="s">
        <v>1978</v>
      </c>
      <c r="AY2" s="3">
        <v>1</v>
      </c>
      <c r="AZ2" s="7" t="s">
        <v>3</v>
      </c>
      <c r="BA2" s="8"/>
    </row>
    <row r="3" spans="1:53" ht="19.5" customHeight="1" thickBot="1">
      <c r="B3" s="923">
        <v>3</v>
      </c>
      <c r="C3" s="923">
        <v>3</v>
      </c>
      <c r="D3" s="923">
        <v>3</v>
      </c>
      <c r="E3" s="923">
        <v>3</v>
      </c>
      <c r="F3" s="923">
        <v>3</v>
      </c>
      <c r="G3" s="923">
        <v>12</v>
      </c>
      <c r="H3" s="923">
        <v>12</v>
      </c>
      <c r="I3" s="923">
        <v>3</v>
      </c>
      <c r="J3" s="923">
        <v>9</v>
      </c>
      <c r="K3" s="923">
        <v>12</v>
      </c>
      <c r="L3" s="923">
        <v>13</v>
      </c>
      <c r="M3" s="923">
        <v>40</v>
      </c>
      <c r="N3" s="923">
        <v>10</v>
      </c>
      <c r="O3" s="923">
        <v>9</v>
      </c>
      <c r="P3" s="923">
        <v>13</v>
      </c>
      <c r="Q3" s="1149">
        <v>1</v>
      </c>
      <c r="R3" s="923">
        <v>3</v>
      </c>
      <c r="S3" s="923">
        <v>3</v>
      </c>
      <c r="T3" s="923">
        <v>3</v>
      </c>
      <c r="U3" s="923">
        <v>3</v>
      </c>
      <c r="V3" s="923">
        <v>3</v>
      </c>
      <c r="W3" s="923">
        <v>12</v>
      </c>
      <c r="X3" s="923">
        <v>12</v>
      </c>
      <c r="Y3" s="923">
        <v>3</v>
      </c>
      <c r="Z3" s="923">
        <v>9</v>
      </c>
      <c r="AA3" s="923">
        <v>12</v>
      </c>
      <c r="AB3" s="923">
        <v>13</v>
      </c>
      <c r="AC3" s="923">
        <v>40</v>
      </c>
      <c r="AD3" s="923">
        <v>10</v>
      </c>
      <c r="AE3" s="923">
        <v>9</v>
      </c>
      <c r="AF3" s="923">
        <v>13</v>
      </c>
      <c r="AG3" s="1149"/>
      <c r="AH3" s="923">
        <v>3</v>
      </c>
      <c r="AI3" s="923">
        <v>3</v>
      </c>
      <c r="AJ3" s="923">
        <v>3</v>
      </c>
      <c r="AK3" s="923">
        <v>3</v>
      </c>
      <c r="AL3" s="923">
        <v>3</v>
      </c>
      <c r="AM3" s="923">
        <v>12</v>
      </c>
      <c r="AN3" s="923">
        <v>12</v>
      </c>
      <c r="AO3" s="923">
        <v>3</v>
      </c>
      <c r="AP3" s="923">
        <v>9</v>
      </c>
      <c r="AQ3" s="923">
        <v>12</v>
      </c>
      <c r="AR3" s="923">
        <v>13</v>
      </c>
      <c r="AS3" s="923">
        <v>40</v>
      </c>
      <c r="AT3" s="923">
        <v>10</v>
      </c>
      <c r="AU3" s="923">
        <v>9</v>
      </c>
      <c r="AV3" s="923">
        <v>13</v>
      </c>
      <c r="AW3" s="1127" t="s">
        <v>1381</v>
      </c>
      <c r="AY3" s="3">
        <v>1</v>
      </c>
      <c r="AZ3" s="11">
        <f ca="1">COUNTA(A1:AX343) + COUNTBLANK(A1:AX343)</f>
        <v>17271</v>
      </c>
      <c r="BA3" s="12" t="str">
        <f>"cellules entre -cells -celdas  "&amp;" " &amp;A1&amp;" et  "&amp;AY343</f>
        <v>cellules entre -cells -celdas   A1 et  AY343</v>
      </c>
    </row>
    <row r="4" spans="1:53" s="1150" customFormat="1" ht="27" customHeight="1">
      <c r="B4" s="1550" t="s">
        <v>2623</v>
      </c>
      <c r="C4" s="1551"/>
      <c r="D4" s="1551"/>
      <c r="E4" s="1551"/>
      <c r="F4" s="1551"/>
      <c r="G4" s="1551"/>
      <c r="H4" s="1551"/>
      <c r="I4" s="1551"/>
      <c r="J4" s="1551"/>
      <c r="K4" s="1551"/>
      <c r="L4" s="1551"/>
      <c r="M4" s="1551"/>
      <c r="N4" s="1551"/>
      <c r="O4" s="1551"/>
      <c r="P4" s="1551"/>
      <c r="Q4" s="1551"/>
      <c r="R4" s="1551"/>
      <c r="S4" s="1551"/>
      <c r="T4" s="1551"/>
      <c r="U4" s="1551"/>
      <c r="V4" s="1551"/>
      <c r="W4" s="1551"/>
      <c r="X4" s="1551"/>
      <c r="Y4" s="1551"/>
      <c r="Z4" s="1551"/>
      <c r="AA4" s="1551"/>
      <c r="AB4" s="1551"/>
      <c r="AC4" s="1551"/>
      <c r="AD4" s="1551"/>
      <c r="AE4" s="1551"/>
      <c r="AF4" s="1551"/>
      <c r="AG4" s="1551"/>
      <c r="AH4" s="1551"/>
      <c r="AI4" s="1551"/>
      <c r="AJ4" s="1551"/>
      <c r="AK4" s="1551"/>
      <c r="AL4" s="1551"/>
      <c r="AM4" s="1551"/>
      <c r="AN4" s="1551"/>
      <c r="AO4" s="1551"/>
      <c r="AP4" s="1551"/>
      <c r="AQ4" s="1551"/>
      <c r="AR4" s="1551"/>
      <c r="AS4" s="1551"/>
      <c r="AT4" s="5740" t="s">
        <v>2</v>
      </c>
      <c r="AU4" s="5740"/>
      <c r="AV4" s="5741"/>
      <c r="AY4" s="3">
        <v>1</v>
      </c>
      <c r="AZ4" s="11">
        <f ca="1">COUNTA(A1:AX343)</f>
        <v>2556</v>
      </c>
      <c r="BA4" s="12" t="s">
        <v>10</v>
      </c>
    </row>
    <row r="5" spans="1:53" ht="27" customHeight="1">
      <c r="B5" s="1552"/>
      <c r="C5" s="1553"/>
      <c r="D5" s="5306" t="str">
        <f>IF(ISNUMBER(IFERROR(VALUE("0,5"),"")),"sur cet ordi.saisissez une VIRGULE comme séparateur décimal",IF(ISNUMBER(IFERROR(VALUE("0.5"),"")),"sur cet ordi.saisissez un POINT comme séparateur décimal","Impossible de déterminer le séparateur décimal"))</f>
        <v>sur cet ordi.saisissez un POINT comme séparateur décimal</v>
      </c>
      <c r="E5" s="1553"/>
      <c r="F5" s="1553"/>
      <c r="G5" s="1553"/>
      <c r="H5" s="1553"/>
      <c r="I5" s="1553"/>
      <c r="J5" s="1553"/>
      <c r="K5" s="1553"/>
      <c r="L5" s="1553"/>
      <c r="M5" s="1553"/>
      <c r="N5" s="5307" t="str">
        <f>IF(ISNUMBER(IFERROR(VALUE("0,5"),"")),"On this computer, type a COMMA as the decimal separator",IF(ISNUMBER(IFERROR(VALUE("0.5"),"")),"On this computer, type a POINT as the decimal separator","Unable to determine the decimal separator"))</f>
        <v>On this computer, type a POINT as the decimal separator</v>
      </c>
      <c r="O5" s="1553"/>
      <c r="P5" s="1553"/>
      <c r="Q5" s="1553"/>
      <c r="R5" s="1553"/>
      <c r="S5" s="1553"/>
      <c r="T5" s="1553"/>
      <c r="U5" s="1553"/>
      <c r="V5" s="1553"/>
      <c r="W5" s="1553"/>
      <c r="X5" s="1553"/>
      <c r="Y5" s="1553"/>
      <c r="Z5" s="1553"/>
      <c r="AA5" s="1553"/>
      <c r="AB5" s="1553"/>
      <c r="AC5" s="5307" t="str">
        <f>IF(ISNUMBER(IFERROR(VALUE("0,5"),""))," En este ordenador, escriba una COMA como separador decimal",IF(ISNUMBER(IFERROR(VALUE("0.5"),"")),"En este ordenador, escriba un PUNTO como separador decimal","No es posible determinar el separador decimal"))</f>
        <v>En este ordenador, escriba un PUNTO como separador decimal</v>
      </c>
      <c r="AD5" s="1553"/>
      <c r="AE5" s="1553"/>
      <c r="AF5" s="1553"/>
      <c r="AG5" s="1553"/>
      <c r="AH5" s="1553"/>
      <c r="AI5" s="1553"/>
      <c r="AJ5" s="1553"/>
      <c r="AK5" s="1553"/>
      <c r="AL5" s="1553"/>
      <c r="AM5" s="1553"/>
      <c r="AN5" s="1553"/>
      <c r="AO5" s="1553"/>
      <c r="AP5" s="1553"/>
      <c r="AQ5" s="1553"/>
      <c r="AR5" s="1553"/>
      <c r="AS5" s="1553"/>
      <c r="AT5" s="5742"/>
      <c r="AU5" s="5742"/>
      <c r="AV5" s="5743"/>
      <c r="AY5" s="3">
        <v>1</v>
      </c>
      <c r="AZ5" s="11">
        <f ca="1">COUNTBLANK(A1:AX343)</f>
        <v>14715</v>
      </c>
      <c r="BA5" s="12" t="s">
        <v>13</v>
      </c>
    </row>
    <row r="6" spans="1:53" ht="27" customHeight="1">
      <c r="B6" s="1153" t="s">
        <v>13494</v>
      </c>
      <c r="C6" s="1154"/>
      <c r="D6" s="1154"/>
      <c r="E6" s="1154"/>
      <c r="F6" s="1154"/>
      <c r="G6" s="1154"/>
      <c r="H6" s="1154"/>
      <c r="I6" s="1154"/>
      <c r="J6" s="1154"/>
      <c r="K6" s="1154"/>
      <c r="L6" s="1154"/>
      <c r="M6" s="1154"/>
      <c r="N6" s="1154" t="s">
        <v>13495</v>
      </c>
      <c r="O6" s="1154"/>
      <c r="P6" s="1154"/>
      <c r="Q6" s="1154"/>
      <c r="R6" s="1154"/>
      <c r="S6" s="1154"/>
      <c r="T6" s="1154"/>
      <c r="U6" s="1154"/>
      <c r="V6" s="1154"/>
      <c r="W6" s="1154"/>
      <c r="X6" s="1154"/>
      <c r="Y6" s="1154"/>
      <c r="Z6" s="1154"/>
      <c r="AA6" s="1154"/>
      <c r="AB6" s="1154" t="s">
        <v>13496</v>
      </c>
      <c r="AC6" s="1154"/>
      <c r="AD6" s="1154"/>
      <c r="AE6" s="1154"/>
      <c r="AF6" s="1154"/>
      <c r="AG6" s="1154"/>
      <c r="AH6" s="1154"/>
      <c r="AI6" s="1154"/>
      <c r="AJ6" s="1154"/>
      <c r="AK6" s="1155"/>
      <c r="AL6" s="1155"/>
      <c r="AM6" s="1155"/>
      <c r="AN6" s="1155"/>
      <c r="AO6" s="1155"/>
      <c r="AP6" s="1155"/>
      <c r="AQ6" s="1155"/>
      <c r="AR6" s="1155"/>
      <c r="AS6" s="1155"/>
      <c r="AT6" s="5742"/>
      <c r="AU6" s="5742"/>
      <c r="AV6" s="5743"/>
      <c r="AY6" s="3">
        <v>1</v>
      </c>
      <c r="AZ6" s="11">
        <f>SUM(AY1:AY341)+2</f>
        <v>340</v>
      </c>
      <c r="BA6" s="12" t="s">
        <v>15</v>
      </c>
    </row>
    <row r="7" spans="1:53" ht="27" customHeight="1" thickBot="1">
      <c r="B7" s="1153" t="s">
        <v>2624</v>
      </c>
      <c r="C7" s="1156"/>
      <c r="D7" s="1156"/>
      <c r="E7" s="1156"/>
      <c r="F7" s="1156"/>
      <c r="G7" s="1156"/>
      <c r="H7" s="1156"/>
      <c r="I7" s="1156"/>
      <c r="J7" s="1156"/>
      <c r="K7" s="1156"/>
      <c r="L7" s="1156"/>
      <c r="M7" s="1156"/>
      <c r="N7" s="1156" t="s">
        <v>2625</v>
      </c>
      <c r="O7" s="1156"/>
      <c r="P7" s="1156"/>
      <c r="Q7" s="1156"/>
      <c r="R7" s="1156"/>
      <c r="S7" s="1156"/>
      <c r="T7" s="1156"/>
      <c r="U7" s="1156"/>
      <c r="V7" s="1156"/>
      <c r="W7" s="1156"/>
      <c r="X7" s="1156"/>
      <c r="Y7" s="1156"/>
      <c r="Z7" s="1156" t="s">
        <v>2626</v>
      </c>
      <c r="AA7" s="1156"/>
      <c r="AB7" s="1156"/>
      <c r="AC7" s="1156"/>
      <c r="AD7" s="1156"/>
      <c r="AE7" s="1156"/>
      <c r="AF7" s="1156"/>
      <c r="AG7" s="1156"/>
      <c r="AH7" s="1156"/>
      <c r="AI7" s="1156"/>
      <c r="AJ7" s="1156"/>
      <c r="AK7" s="1157"/>
      <c r="AL7" s="1157"/>
      <c r="AM7" s="1157"/>
      <c r="AN7" s="1158" t="s">
        <v>2627</v>
      </c>
      <c r="AO7" s="1157"/>
      <c r="AP7" s="1157"/>
      <c r="AQ7" s="1157"/>
      <c r="AR7" s="1157"/>
      <c r="AS7" s="1158"/>
      <c r="AT7" s="5744"/>
      <c r="AU7" s="5744"/>
      <c r="AV7" s="5745"/>
      <c r="AY7" s="3">
        <v>1</v>
      </c>
      <c r="AZ7" s="11">
        <f>SUM(A343:AX343)+1</f>
        <v>51</v>
      </c>
      <c r="BA7" s="12" t="s">
        <v>18</v>
      </c>
    </row>
    <row r="8" spans="1:53" ht="27" customHeight="1">
      <c r="B8" s="1159" t="s">
        <v>208</v>
      </c>
      <c r="C8" s="1160" t="str">
        <f ca="1">CELL("nomfichier")</f>
        <v>D:\Données\1.UPRT\0-UPRT.fait\1-UPRT.FR-SITE-WEB\ff-fiches-fabrications\ff.fiches.fabrication.2023\ffr.restaurant.2023\[ff.FICHE.TRILINGUE.15.COLONNES.29.11.2025.xlsx]Notice.utilisateur</v>
      </c>
      <c r="D8" s="1160"/>
      <c r="E8" s="1151"/>
      <c r="F8" s="1151"/>
      <c r="G8" s="1151"/>
      <c r="H8" s="1151"/>
      <c r="I8" s="1151"/>
      <c r="J8" s="1151"/>
      <c r="K8" s="1151"/>
      <c r="L8" s="1151"/>
      <c r="M8" s="1151"/>
      <c r="N8" s="1151"/>
      <c r="O8" s="1151"/>
      <c r="P8" s="1151"/>
      <c r="Q8" s="1151"/>
      <c r="R8" s="1151"/>
      <c r="S8" s="1151"/>
      <c r="T8" s="1151"/>
      <c r="U8" s="1151"/>
      <c r="V8" s="1151"/>
      <c r="W8" s="1151"/>
      <c r="X8" s="1151"/>
      <c r="Y8" s="1151"/>
      <c r="Z8" s="1151"/>
      <c r="AA8" s="1151"/>
      <c r="AB8" s="1151"/>
      <c r="AC8" s="1151"/>
      <c r="AD8" s="1151"/>
      <c r="AE8" s="1151"/>
      <c r="AF8" s="1151"/>
      <c r="AG8" s="1151"/>
      <c r="AH8" s="1161"/>
      <c r="AI8" s="1161"/>
      <c r="AJ8" s="1161"/>
      <c r="AK8" s="1161"/>
      <c r="AL8" s="1161"/>
      <c r="AM8" s="1161"/>
      <c r="AN8" s="1161"/>
      <c r="AO8" s="1161"/>
      <c r="AP8" s="1161"/>
      <c r="AQ8" s="1161"/>
      <c r="AR8" s="1161"/>
      <c r="AS8" s="1161"/>
      <c r="AT8" s="1161"/>
      <c r="AU8" s="1161"/>
      <c r="AV8" s="1161"/>
      <c r="AY8" s="3">
        <v>1</v>
      </c>
    </row>
    <row r="9" spans="1:53" ht="27" customHeight="1" thickBot="1">
      <c r="B9" s="1162"/>
      <c r="C9" s="1163" t="s">
        <v>1704</v>
      </c>
      <c r="D9" s="1162"/>
      <c r="E9" s="1164"/>
      <c r="F9" s="1162"/>
      <c r="G9" s="1164"/>
      <c r="H9" s="1162"/>
      <c r="I9" s="1164"/>
      <c r="J9" s="1162"/>
      <c r="K9" s="1164"/>
      <c r="L9" s="1162"/>
      <c r="M9" s="1164"/>
      <c r="N9" s="1162"/>
      <c r="O9" s="1164"/>
      <c r="P9" s="1162"/>
      <c r="Q9" s="1152"/>
      <c r="R9" s="1162"/>
      <c r="S9" s="1164"/>
      <c r="T9" s="1162"/>
      <c r="U9" s="1164"/>
      <c r="V9" s="1162"/>
      <c r="W9" s="1164"/>
      <c r="X9" s="1162"/>
      <c r="Y9" s="1164"/>
      <c r="Z9" s="1162"/>
      <c r="AA9" s="1164"/>
      <c r="AB9" s="1162"/>
      <c r="AC9" s="1164"/>
      <c r="AD9" s="1162"/>
      <c r="AE9" s="1164"/>
      <c r="AF9" s="1162"/>
      <c r="AG9" s="1152"/>
      <c r="AH9" s="1162"/>
      <c r="AI9" s="1164"/>
      <c r="AJ9" s="1162"/>
      <c r="AK9" s="1164"/>
      <c r="AL9" s="1162"/>
      <c r="AM9" s="1164"/>
      <c r="AN9" s="1162"/>
      <c r="AO9" s="1164"/>
      <c r="AP9" s="1162"/>
      <c r="AQ9" s="1164"/>
      <c r="AR9" s="1162"/>
      <c r="AS9" s="1164"/>
      <c r="AT9" s="1162"/>
      <c r="AU9" s="1164"/>
      <c r="AV9" s="1162"/>
      <c r="AY9" s="3">
        <v>1</v>
      </c>
    </row>
    <row r="10" spans="1:53" ht="27" customHeight="1">
      <c r="B10" s="22" t="s">
        <v>11</v>
      </c>
      <c r="C10" s="23" t="str">
        <f>C16</f>
        <v>P PRESSÉ DE BOUDIN NOIR | | Auteur &gt; Guy KRENZE - Eric GODDYN - Arnaud NICOLAS - CEPROC 2002</v>
      </c>
      <c r="D10" s="24">
        <f>D16</f>
        <v>20</v>
      </c>
      <c r="E10" s="24" t="str">
        <f>E16</f>
        <v>pressés de boudin</v>
      </c>
      <c r="F10" s="25" t="str">
        <f>F16</f>
        <v>Recette mère ► le Boudin en 4 déclinaisons</v>
      </c>
      <c r="G10" s="26" t="s">
        <v>23</v>
      </c>
      <c r="H10" s="5471" t="s">
        <v>13006</v>
      </c>
      <c r="I10" s="5471"/>
      <c r="J10" s="5471"/>
      <c r="K10" s="5471"/>
      <c r="L10" s="5471"/>
      <c r="M10" s="5471"/>
      <c r="N10" s="5473" t="s">
        <v>1031</v>
      </c>
      <c r="O10" s="5473"/>
      <c r="P10" s="5475" t="str">
        <f>UPPER(LEFT(H10,1))</f>
        <v>P</v>
      </c>
      <c r="R10" s="22" t="s">
        <v>11</v>
      </c>
      <c r="S10" s="23" t="str">
        <f>S16</f>
        <v>P PRESSED BLACK PUDDING TERRINE | |  Author &gt; Guy KRENZE - Eric GODDYN - Arnaud NICOLAS - CEPROC 2002</v>
      </c>
      <c r="T10" s="24">
        <f>T16</f>
        <v>20</v>
      </c>
      <c r="U10" s="24" t="str">
        <f>U16</f>
        <v>pressés de boudin</v>
      </c>
      <c r="V10" s="25" t="str">
        <f>V16</f>
        <v>Master recipe ► Black pudding in 4 variations</v>
      </c>
      <c r="W10" s="26" t="s">
        <v>23</v>
      </c>
      <c r="X10" s="5471" t="s">
        <v>13012</v>
      </c>
      <c r="Y10" s="5471"/>
      <c r="Z10" s="5471"/>
      <c r="AA10" s="5471"/>
      <c r="AB10" s="5471"/>
      <c r="AC10" s="5471"/>
      <c r="AD10" s="5473" t="s">
        <v>13134</v>
      </c>
      <c r="AE10" s="5473"/>
      <c r="AF10" s="5475" t="str">
        <f>UPPER(LEFT(X10,1))</f>
        <v>P</v>
      </c>
      <c r="AH10" s="22" t="s">
        <v>11</v>
      </c>
      <c r="AI10" s="23" t="str">
        <f>AI16</f>
        <v>P PRENSADO DE MORCILLA (TERRINA) | | Autor &gt; Guy KRENZE - Eric GODDYN - Arnaud NICOLAS - CEPROC 2002</v>
      </c>
      <c r="AJ10" s="24">
        <f>AJ16</f>
        <v>20</v>
      </c>
      <c r="AK10" s="24" t="str">
        <f>AK16</f>
        <v>pressés de boudin</v>
      </c>
      <c r="AL10" s="25" t="str">
        <f>AL16</f>
        <v>Receta madre ► Morcilla en 4 versiones</v>
      </c>
      <c r="AM10" s="26" t="s">
        <v>23</v>
      </c>
      <c r="AN10" s="5471" t="s">
        <v>13013</v>
      </c>
      <c r="AO10" s="5471"/>
      <c r="AP10" s="5471"/>
      <c r="AQ10" s="5471"/>
      <c r="AR10" s="5471"/>
      <c r="AS10" s="5471"/>
      <c r="AT10" s="5473" t="s">
        <v>13135</v>
      </c>
      <c r="AU10" s="5473"/>
      <c r="AV10" s="5475" t="str">
        <f>UPPER(LEFT(AN10,1))</f>
        <v>P</v>
      </c>
      <c r="AY10" s="3">
        <v>1</v>
      </c>
    </row>
    <row r="11" spans="1:53" ht="27" customHeight="1">
      <c r="B11" s="27" t="s">
        <v>11</v>
      </c>
      <c r="C11" s="28" t="str">
        <f>C16</f>
        <v>P PRESSÉ DE BOUDIN NOIR | | Auteur &gt; Guy KRENZE - Eric GODDYN - Arnaud NICOLAS - CEPROC 2002</v>
      </c>
      <c r="D11" s="29">
        <f>D16</f>
        <v>20</v>
      </c>
      <c r="E11" s="29" t="str">
        <f>E16</f>
        <v>pressés de boudin</v>
      </c>
      <c r="F11" s="30" t="str">
        <f>F16</f>
        <v>Recette mère ► le Boudin en 4 déclinaisons</v>
      </c>
      <c r="G11" s="31" t="s">
        <v>29</v>
      </c>
      <c r="H11" s="5472"/>
      <c r="I11" s="5472"/>
      <c r="J11" s="5472"/>
      <c r="K11" s="5472"/>
      <c r="L11" s="5472"/>
      <c r="M11" s="5472"/>
      <c r="N11" s="5474"/>
      <c r="O11" s="5474"/>
      <c r="P11" s="5476"/>
      <c r="R11" s="27" t="s">
        <v>11</v>
      </c>
      <c r="S11" s="28" t="str">
        <f>S16</f>
        <v>P PRESSED BLACK PUDDING TERRINE | |  Author &gt; Guy KRENZE - Eric GODDYN - Arnaud NICOLAS - CEPROC 2002</v>
      </c>
      <c r="T11" s="29">
        <f>T16</f>
        <v>20</v>
      </c>
      <c r="U11" s="29" t="str">
        <f>U16</f>
        <v>pressés de boudin</v>
      </c>
      <c r="V11" s="30" t="str">
        <f>V16</f>
        <v>Master recipe ► Black pudding in 4 variations</v>
      </c>
      <c r="W11" s="31" t="s">
        <v>29</v>
      </c>
      <c r="X11" s="5472"/>
      <c r="Y11" s="5472"/>
      <c r="Z11" s="5472"/>
      <c r="AA11" s="5472"/>
      <c r="AB11" s="5472"/>
      <c r="AC11" s="5472"/>
      <c r="AD11" s="5474"/>
      <c r="AE11" s="5474"/>
      <c r="AF11" s="5476"/>
      <c r="AH11" s="27" t="s">
        <v>11</v>
      </c>
      <c r="AI11" s="28" t="str">
        <f>AI16</f>
        <v>P PRENSADO DE MORCILLA (TERRINA) | | Autor &gt; Guy KRENZE - Eric GODDYN - Arnaud NICOLAS - CEPROC 2002</v>
      </c>
      <c r="AJ11" s="29">
        <f>AJ16</f>
        <v>20</v>
      </c>
      <c r="AK11" s="29" t="str">
        <f>AK16</f>
        <v>pressés de boudin</v>
      </c>
      <c r="AL11" s="30" t="str">
        <f>AL16</f>
        <v>Receta madre ► Morcilla en 4 versiones</v>
      </c>
      <c r="AM11" s="31" t="s">
        <v>29</v>
      </c>
      <c r="AN11" s="5472"/>
      <c r="AO11" s="5472"/>
      <c r="AP11" s="5472"/>
      <c r="AQ11" s="5472"/>
      <c r="AR11" s="5472"/>
      <c r="AS11" s="5472"/>
      <c r="AT11" s="5474" t="s">
        <v>116</v>
      </c>
      <c r="AU11" s="5474"/>
      <c r="AV11" s="5476"/>
      <c r="AY11" s="3">
        <v>1</v>
      </c>
    </row>
    <row r="12" spans="1:53" ht="27" customHeight="1">
      <c r="B12" s="27" t="s">
        <v>11</v>
      </c>
      <c r="C12" s="5310" t="str">
        <f>C16</f>
        <v>P PRESSÉ DE BOUDIN NOIR | | Auteur &gt; Guy KRENZE - Eric GODDYN - Arnaud NICOLAS - CEPROC 2002</v>
      </c>
      <c r="D12" s="5310">
        <f>D16</f>
        <v>20</v>
      </c>
      <c r="E12" s="5311" t="str">
        <f>E16</f>
        <v>pressés de boudin</v>
      </c>
      <c r="F12" s="5312" t="str">
        <f>F16</f>
        <v>Recette mère ► le Boudin en 4 déclinaisons</v>
      </c>
      <c r="G12" s="5313"/>
      <c r="H12" s="5314" t="s">
        <v>30</v>
      </c>
      <c r="I12" s="37"/>
      <c r="J12" s="38" t="s">
        <v>31</v>
      </c>
      <c r="K12" s="39" t="s">
        <v>12835</v>
      </c>
      <c r="L12" s="9"/>
      <c r="M12" s="39"/>
      <c r="N12" s="39"/>
      <c r="O12" s="40"/>
      <c r="P12" s="41"/>
      <c r="R12" s="27" t="s">
        <v>11</v>
      </c>
      <c r="S12" s="5310" t="str">
        <f>S16</f>
        <v>P PRESSED BLACK PUDDING TERRINE | |  Author &gt; Guy KRENZE - Eric GODDYN - Arnaud NICOLAS - CEPROC 2002</v>
      </c>
      <c r="T12" s="5310">
        <f>T16</f>
        <v>20</v>
      </c>
      <c r="U12" s="5311" t="str">
        <f>U16</f>
        <v>pressés de boudin</v>
      </c>
      <c r="V12" s="5312" t="str">
        <f>V16</f>
        <v>Master recipe ► Black pudding in 4 variations</v>
      </c>
      <c r="W12" s="5313"/>
      <c r="X12" s="5314" t="s">
        <v>888</v>
      </c>
      <c r="Y12" s="37"/>
      <c r="Z12" s="38" t="s">
        <v>889</v>
      </c>
      <c r="AA12" s="39" t="s">
        <v>12835</v>
      </c>
      <c r="AB12" s="9"/>
      <c r="AC12" s="39"/>
      <c r="AD12" s="39"/>
      <c r="AE12" s="40"/>
      <c r="AF12" s="41"/>
      <c r="AH12" s="27" t="s">
        <v>11</v>
      </c>
      <c r="AI12" s="5310" t="str">
        <f>AI16</f>
        <v>P PRENSADO DE MORCILLA (TERRINA) | | Autor &gt; Guy KRENZE - Eric GODDYN - Arnaud NICOLAS - CEPROC 2002</v>
      </c>
      <c r="AJ12" s="5310">
        <f>AJ16</f>
        <v>20</v>
      </c>
      <c r="AK12" s="5311" t="str">
        <f>AK16</f>
        <v>pressés de boudin</v>
      </c>
      <c r="AL12" s="5312" t="str">
        <f>AL16</f>
        <v>Receta madre ► Morcilla en 4 versiones</v>
      </c>
      <c r="AM12" s="5313"/>
      <c r="AN12" s="5314" t="s">
        <v>903</v>
      </c>
      <c r="AO12" s="37"/>
      <c r="AP12" s="38" t="s">
        <v>904</v>
      </c>
      <c r="AQ12" s="39" t="s">
        <v>12835</v>
      </c>
      <c r="AR12" s="9"/>
      <c r="AS12" s="39"/>
      <c r="AT12" s="39"/>
      <c r="AU12" s="40"/>
      <c r="AV12" s="41"/>
      <c r="AY12" s="3">
        <v>1</v>
      </c>
    </row>
    <row r="13" spans="1:53" ht="27" customHeight="1">
      <c r="B13" s="27" t="s">
        <v>11</v>
      </c>
      <c r="C13" s="32" t="str">
        <f>C16</f>
        <v>P PRESSÉ DE BOUDIN NOIR | | Auteur &gt; Guy KRENZE - Eric GODDYN - Arnaud NICOLAS - CEPROC 2002</v>
      </c>
      <c r="D13" s="33">
        <f>D16</f>
        <v>20</v>
      </c>
      <c r="E13" s="33" t="str">
        <f>E16</f>
        <v>pressés de boudin</v>
      </c>
      <c r="F13" s="34" t="str">
        <f>F16</f>
        <v>Recette mère ► le Boudin en 4 déclinaisons</v>
      </c>
      <c r="G13" s="42" t="s">
        <v>32</v>
      </c>
      <c r="H13" s="43"/>
      <c r="I13" s="43"/>
      <c r="J13" s="44" t="s">
        <v>33</v>
      </c>
      <c r="K13" s="5477" t="str">
        <f>L16&amp;" "&amp;M16&amp;" ► Famille = "&amp;N10&amp;" ► "&amp;H10&amp;" "&amp; "pour "&amp;N14&amp;" "&amp;O14</f>
        <v>Recette mère ► le Boudin en 4 déclinaisons ► Famille =  charcuterie-BOUDIN-NOIR ► PRESSÉ DE BOUDIN NOIR pour 20 pressés de boudin</v>
      </c>
      <c r="L13" s="5477"/>
      <c r="M13" s="5477"/>
      <c r="N13" s="5039" t="s">
        <v>3306</v>
      </c>
      <c r="O13" s="40"/>
      <c r="P13" s="1472"/>
      <c r="R13" s="27" t="s">
        <v>11</v>
      </c>
      <c r="S13" s="32" t="str">
        <f>S16</f>
        <v>P PRESSED BLACK PUDDING TERRINE | |  Author &gt; Guy KRENZE - Eric GODDYN - Arnaud NICOLAS - CEPROC 2002</v>
      </c>
      <c r="T13" s="33">
        <f>T16</f>
        <v>20</v>
      </c>
      <c r="U13" s="33" t="str">
        <f>U16</f>
        <v>pressés de boudin</v>
      </c>
      <c r="V13" s="34" t="str">
        <f>V16</f>
        <v>Master recipe ► Black pudding in 4 variations</v>
      </c>
      <c r="W13" s="42" t="s">
        <v>137</v>
      </c>
      <c r="X13" s="43"/>
      <c r="Y13" s="43"/>
      <c r="Z13" s="44" t="s">
        <v>33</v>
      </c>
      <c r="AA13" s="5477" t="str">
        <f>AB16&amp;" "&amp;AC16&amp;" ► category = "&amp;AD10&amp;" ► "&amp;X10&amp;" "&amp; "pour "&amp;AD14&amp;" "&amp;AE14</f>
        <v>Master recipe ► Black pudding in 4 variations ► category = charcuterie-BLACK-PUDDING ► PRESSED BLACK PUDDING TERRINE pour 36 pressés de boudin</v>
      </c>
      <c r="AB13" s="5477"/>
      <c r="AC13" s="5477"/>
      <c r="AD13" s="5039" t="s">
        <v>3324</v>
      </c>
      <c r="AE13" s="40"/>
      <c r="AF13" s="1472"/>
      <c r="AH13" s="27" t="s">
        <v>11</v>
      </c>
      <c r="AI13" s="32" t="str">
        <f>AI16</f>
        <v>P PRENSADO DE MORCILLA (TERRINA) | | Autor &gt; Guy KRENZE - Eric GODDYN - Arnaud NICOLAS - CEPROC 2002</v>
      </c>
      <c r="AJ13" s="33">
        <f>AJ16</f>
        <v>20</v>
      </c>
      <c r="AK13" s="33" t="str">
        <f>AK16</f>
        <v>pressés de boudin</v>
      </c>
      <c r="AL13" s="34" t="str">
        <f>AL16</f>
        <v>Receta madre ► Morcilla en 4 versiones</v>
      </c>
      <c r="AM13" s="42" t="s">
        <v>905</v>
      </c>
      <c r="AN13" s="43"/>
      <c r="AO13" s="43"/>
      <c r="AP13" s="44" t="s">
        <v>33</v>
      </c>
      <c r="AQ13" s="5477" t="str">
        <f>AR16&amp;" "&amp;AS16&amp;" ► Famille = "&amp;AT10&amp;" ► "&amp;AN10&amp;" "&amp; "pour "&amp;AT14&amp;" "&amp;AU14</f>
        <v>Receta madre ► Morcilla en 4 versiones ► Famille = charcutería--MORCILLA ► PRENSADO DE MORCILLA (TERRINA) pour 36 pressés de boudin</v>
      </c>
      <c r="AR13" s="5477"/>
      <c r="AS13" s="5477"/>
      <c r="AT13" s="5039" t="s">
        <v>3326</v>
      </c>
      <c r="AU13" s="40"/>
      <c r="AV13" s="1472"/>
      <c r="AY13" s="3">
        <v>1</v>
      </c>
    </row>
    <row r="14" spans="1:53" ht="27" customHeight="1">
      <c r="B14" s="27" t="s">
        <v>11</v>
      </c>
      <c r="C14" s="32" t="str">
        <f>C16</f>
        <v>P PRESSÉ DE BOUDIN NOIR | | Auteur &gt; Guy KRENZE - Eric GODDYN - Arnaud NICOLAS - CEPROC 2002</v>
      </c>
      <c r="D14" s="33">
        <f>D16</f>
        <v>20</v>
      </c>
      <c r="E14" s="33" t="str">
        <f>E16</f>
        <v>pressés de boudin</v>
      </c>
      <c r="F14" s="34" t="str">
        <f>F16</f>
        <v>Recette mère ► le Boudin en 4 déclinaisons</v>
      </c>
      <c r="G14" s="50">
        <v>20</v>
      </c>
      <c r="H14" s="5038" t="s">
        <v>13001</v>
      </c>
      <c r="I14" s="42"/>
      <c r="J14" s="42"/>
      <c r="K14" s="5477"/>
      <c r="L14" s="5477"/>
      <c r="M14" s="5477"/>
      <c r="N14" s="46">
        <v>20</v>
      </c>
      <c r="O14" s="5478" t="str">
        <f>H14</f>
        <v>pressés de boudin</v>
      </c>
      <c r="P14" s="5479"/>
      <c r="R14" s="27" t="s">
        <v>11</v>
      </c>
      <c r="S14" s="32" t="str">
        <f>S16</f>
        <v>P PRESSED BLACK PUDDING TERRINE | |  Author &gt; Guy KRENZE - Eric GODDYN - Arnaud NICOLAS - CEPROC 2002</v>
      </c>
      <c r="T14" s="33">
        <f>T16</f>
        <v>20</v>
      </c>
      <c r="U14" s="33" t="str">
        <f>U16</f>
        <v>pressés de boudin</v>
      </c>
      <c r="V14" s="34" t="str">
        <f>V16</f>
        <v>Master recipe ► Black pudding in 4 variations</v>
      </c>
      <c r="W14" s="50">
        <v>20</v>
      </c>
      <c r="X14" s="5038" t="s">
        <v>13001</v>
      </c>
      <c r="Y14" s="42"/>
      <c r="Z14" s="42"/>
      <c r="AA14" s="5477"/>
      <c r="AB14" s="5477"/>
      <c r="AC14" s="5477"/>
      <c r="AD14" s="46">
        <v>36</v>
      </c>
      <c r="AE14" s="5478" t="str">
        <f>X14</f>
        <v>pressés de boudin</v>
      </c>
      <c r="AF14" s="5479"/>
      <c r="AH14" s="27" t="s">
        <v>11</v>
      </c>
      <c r="AI14" s="32" t="str">
        <f>AI16</f>
        <v>P PRENSADO DE MORCILLA (TERRINA) | | Autor &gt; Guy KRENZE - Eric GODDYN - Arnaud NICOLAS - CEPROC 2002</v>
      </c>
      <c r="AJ14" s="33">
        <f>AJ16</f>
        <v>20</v>
      </c>
      <c r="AK14" s="33" t="str">
        <f>AK16</f>
        <v>pressés de boudin</v>
      </c>
      <c r="AL14" s="34" t="str">
        <f>AL16</f>
        <v>Receta madre ► Morcilla en 4 versiones</v>
      </c>
      <c r="AM14" s="50">
        <v>20</v>
      </c>
      <c r="AN14" s="5038" t="s">
        <v>13001</v>
      </c>
      <c r="AO14" s="42"/>
      <c r="AP14" s="42"/>
      <c r="AQ14" s="5477"/>
      <c r="AR14" s="5477"/>
      <c r="AS14" s="5477"/>
      <c r="AT14" s="46">
        <v>36</v>
      </c>
      <c r="AU14" s="5478" t="str">
        <f>AN14</f>
        <v>pressés de boudin</v>
      </c>
      <c r="AV14" s="5479"/>
      <c r="AY14" s="3">
        <v>1</v>
      </c>
    </row>
    <row r="15" spans="1:53" ht="27" customHeight="1">
      <c r="B15" s="27" t="s">
        <v>16</v>
      </c>
      <c r="C15" s="32" t="str">
        <f>C16</f>
        <v>P PRESSÉ DE BOUDIN NOIR | | Auteur &gt; Guy KRENZE - Eric GODDYN - Arnaud NICOLAS - CEPROC 2002</v>
      </c>
      <c r="D15" s="33">
        <f>D16</f>
        <v>20</v>
      </c>
      <c r="E15" s="33" t="str">
        <f>E16</f>
        <v>pressés de boudin</v>
      </c>
      <c r="F15" s="34" t="str">
        <f>F16</f>
        <v>Recette mère ► le Boudin en 4 déclinaisons</v>
      </c>
      <c r="G15" s="56"/>
      <c r="H15" s="5165" t="s">
        <v>13098</v>
      </c>
      <c r="I15" s="5468">
        <f>O50/L15</f>
        <v>2.5619999999999998</v>
      </c>
      <c r="J15" s="5468"/>
      <c r="K15" s="5054" t="str" cm="1">
        <f t="array" ref="K15">"1= "&amp;IF(OR(G14&lt;=0,I15=""),"",_xlfn.LET(_xlpm.kg,IF(ISNUMBER(I15),I15,VALEUR(SUBSTITUTE(SUBSTITUTE(SUBSTITUTE(LOWER(I15),"kg",""),",",".")," ",""))),TEXT(ROUND(_xlpm.kg*1000/G14,2),"0.##")&amp;" g"))</f>
        <v>1= 128.1 g</v>
      </c>
      <c r="L15" s="1490">
        <f>IFERROR(N14/G14,0)</f>
        <v>1</v>
      </c>
      <c r="M15" s="45"/>
      <c r="N15" s="5041" t="s">
        <v>50</v>
      </c>
      <c r="O15" s="5042">
        <f>O50</f>
        <v>2.5619999999999998</v>
      </c>
      <c r="P15" s="5043"/>
      <c r="R15" s="27" t="s">
        <v>16</v>
      </c>
      <c r="S15" s="32"/>
      <c r="T15" s="33">
        <f>T16</f>
        <v>20</v>
      </c>
      <c r="U15" s="33" t="str">
        <f>U16</f>
        <v>pressés de boudin</v>
      </c>
      <c r="V15" s="34" t="str">
        <f>V16</f>
        <v>Master recipe ► Black pudding in 4 variations</v>
      </c>
      <c r="W15" s="56"/>
      <c r="X15" s="5165" t="s">
        <v>13100</v>
      </c>
      <c r="Y15" s="5468">
        <f>AE50/AB15</f>
        <v>2.5619999999999998</v>
      </c>
      <c r="Z15" s="5468"/>
      <c r="AA15" s="5054" t="str" cm="1">
        <f t="array" ref="AA15">"1= "&amp;IF(OR(W14&lt;=0,Y15=""),"",_xlfn.LET(_xlpm.kg,IF(ISNUMBER(Y15),Y15,VALEUR(SUBSTITUTE(SUBSTITUTE(SUBSTITUTE(LOWER(Y15),"kg",""),",",".")," ",""))),TEXT(ROUND(_xlpm.kg*1000/W14,2),"0.##")&amp;" g"))</f>
        <v>1= 128.1 g</v>
      </c>
      <c r="AB15" s="1490">
        <f>IFERROR(AD14/W14,0)</f>
        <v>1.8</v>
      </c>
      <c r="AC15" s="45"/>
      <c r="AD15" s="5041" t="s">
        <v>153</v>
      </c>
      <c r="AE15" s="5042">
        <f>AE50</f>
        <v>4.6116000000000001</v>
      </c>
      <c r="AF15" s="5043"/>
      <c r="AH15" s="27" t="s">
        <v>16</v>
      </c>
      <c r="AI15" s="32" t="str">
        <f>AI16</f>
        <v>P PRENSADO DE MORCILLA (TERRINA) | | Autor &gt; Guy KRENZE - Eric GODDYN - Arnaud NICOLAS - CEPROC 2002</v>
      </c>
      <c r="AJ15" s="33">
        <f>AJ16</f>
        <v>20</v>
      </c>
      <c r="AK15" s="33" t="str">
        <f>AK16</f>
        <v>pressés de boudin</v>
      </c>
      <c r="AL15" s="34" t="str">
        <f>AL16</f>
        <v>Receta madre ► Morcilla en 4 versiones</v>
      </c>
      <c r="AM15" s="56"/>
      <c r="AN15" s="5165" t="s">
        <v>13101</v>
      </c>
      <c r="AO15" s="5468">
        <f>AU50/AR15</f>
        <v>2.5619999999999998</v>
      </c>
      <c r="AP15" s="5468"/>
      <c r="AQ15" s="5054" t="str" cm="1">
        <f t="array" ref="AQ15">"1= "&amp;IF(OR(AM14&lt;=0,AO15=""),"",_xlfn.LET(_xlpm.kg,IF(ISNUMBER(AO15),AO15,VALEUR(SUBSTITUTE(SUBSTITUTE(SUBSTITUTE(LOWER(AO15),"kg",""),",",".")," ",""))),TEXT(ROUND(_xlpm.kg*1000/AM14,2),"0.##")&amp;" g"))</f>
        <v>1= 128.1 g</v>
      </c>
      <c r="AR15" s="1490">
        <f>IFERROR(AT14/AM14,0)</f>
        <v>1.8</v>
      </c>
      <c r="AS15" s="45"/>
      <c r="AT15" s="5041" t="s">
        <v>248</v>
      </c>
      <c r="AU15" s="5042">
        <f>AU50</f>
        <v>4.6116000000000001</v>
      </c>
      <c r="AV15" s="5043"/>
      <c r="AY15" s="3">
        <v>1</v>
      </c>
    </row>
    <row r="16" spans="1:53" ht="27" customHeight="1">
      <c r="B16" s="64" t="s">
        <v>16</v>
      </c>
      <c r="C16" s="65" t="str">
        <f>G16</f>
        <v>P PRESSÉ DE BOUDIN NOIR | | Auteur &gt; Guy KRENZE - Eric GODDYN - Arnaud NICOLAS - CEPROC 2002</v>
      </c>
      <c r="D16" s="66">
        <f>G14</f>
        <v>20</v>
      </c>
      <c r="E16" s="65" t="str">
        <f>H14</f>
        <v>pressés de boudin</v>
      </c>
      <c r="F16" s="67" t="str">
        <f>L16&amp;" "&amp;M16</f>
        <v>Recette mère ► le Boudin en 4 déclinaisons</v>
      </c>
      <c r="G16" s="68" t="str">
        <f>UPPER(LEFT(H10,1))&amp;" "&amp;H10&amp;" | "&amp;O10&amp;"| "&amp;J12&amp;" "&amp;K12</f>
        <v>P PRESSÉ DE BOUDIN NOIR | | Auteur &gt; Guy KRENZE - Eric GODDYN - Arnaud NICOLAS - CEPROC 2002</v>
      </c>
      <c r="H16" s="69" t="s">
        <v>54</v>
      </c>
      <c r="I16" s="5469" t="s">
        <v>55</v>
      </c>
      <c r="J16" s="5469"/>
      <c r="K16" s="5469"/>
      <c r="L16" s="70" t="str">
        <f>IF(ISTEXT(M16),"Recette mère ►",H16)</f>
        <v>Recette mère ►</v>
      </c>
      <c r="M16" s="71" t="s">
        <v>12836</v>
      </c>
      <c r="N16" s="71"/>
      <c r="O16" s="72"/>
      <c r="P16" s="1473"/>
      <c r="R16" s="64" t="s">
        <v>16</v>
      </c>
      <c r="S16" s="65" t="str">
        <f>W16</f>
        <v>P PRESSED BLACK PUDDING TERRINE | |  Author &gt; Guy KRENZE - Eric GODDYN - Arnaud NICOLAS - CEPROC 2002</v>
      </c>
      <c r="T16" s="66">
        <f>W14</f>
        <v>20</v>
      </c>
      <c r="U16" s="65" t="str">
        <f>X14</f>
        <v>pressés de boudin</v>
      </c>
      <c r="V16" s="67" t="str">
        <f>AB16&amp;" "&amp;AC16</f>
        <v>Master recipe ► Black pudding in 4 variations</v>
      </c>
      <c r="W16" s="68" t="str">
        <f>UPPER(LEFT(X10,1))&amp;" "&amp;X10&amp;" | "&amp;AE10&amp;"| "&amp;Z12&amp;" "&amp;AA12</f>
        <v>P PRESSED BLACK PUDDING TERRINE | |  Author &gt; Guy KRENZE - Eric GODDYN - Arnaud NICOLAS - CEPROC 2002</v>
      </c>
      <c r="X16" s="69" t="s">
        <v>3315</v>
      </c>
      <c r="Y16" s="5469" t="s">
        <v>3316</v>
      </c>
      <c r="Z16" s="5469"/>
      <c r="AA16" s="5469"/>
      <c r="AB16" s="70" t="str">
        <f>IF(ISTEXT(AC16),"Master recipe ►",X16)</f>
        <v>Master recipe ►</v>
      </c>
      <c r="AC16" s="71" t="s">
        <v>12924</v>
      </c>
      <c r="AD16" s="71"/>
      <c r="AE16" s="72"/>
      <c r="AF16" s="1473"/>
      <c r="AH16" s="64" t="s">
        <v>16</v>
      </c>
      <c r="AI16" s="65" t="str">
        <f>AM16</f>
        <v>P PRENSADO DE MORCILLA (TERRINA) | | Autor &gt; Guy KRENZE - Eric GODDYN - Arnaud NICOLAS - CEPROC 2002</v>
      </c>
      <c r="AJ16" s="66">
        <f>AM14</f>
        <v>20</v>
      </c>
      <c r="AK16" s="65" t="str">
        <f>AN14</f>
        <v>pressés de boudin</v>
      </c>
      <c r="AL16" s="67" t="str">
        <f>AR16&amp;" "&amp;AS16</f>
        <v>Receta madre ► Morcilla en 4 versiones</v>
      </c>
      <c r="AM16" s="68" t="str">
        <f>UPPER(LEFT(AN10,1))&amp;" "&amp;AN10&amp;" | "&amp;AU10&amp;"| "&amp;AP12&amp;" "&amp;AQ12</f>
        <v>P PRENSADO DE MORCILLA (TERRINA) | | Autor &gt; Guy KRENZE - Eric GODDYN - Arnaud NICOLAS - CEPROC 2002</v>
      </c>
      <c r="AN16" s="69" t="s">
        <v>3319</v>
      </c>
      <c r="AO16" s="5469" t="s">
        <v>906</v>
      </c>
      <c r="AP16" s="5469"/>
      <c r="AQ16" s="5469"/>
      <c r="AR16" s="70" t="str">
        <f>IF(ISTEXT(AS16),"Receta madre ►",AN16)</f>
        <v>Receta madre ►</v>
      </c>
      <c r="AS16" s="71" t="s">
        <v>12925</v>
      </c>
      <c r="AT16" s="71"/>
      <c r="AU16" s="72"/>
      <c r="AV16" s="1473"/>
      <c r="AY16" s="3">
        <v>1</v>
      </c>
    </row>
    <row r="17" spans="2:51" ht="27" customHeight="1">
      <c r="B17" s="74" t="s">
        <v>16</v>
      </c>
      <c r="C17" s="75" t="str">
        <f>C16</f>
        <v>P PRESSÉ DE BOUDIN NOIR | | Auteur &gt; Guy KRENZE - Eric GODDYN - Arnaud NICOLAS - CEPROC 2002</v>
      </c>
      <c r="D17" s="75">
        <f>D16</f>
        <v>20</v>
      </c>
      <c r="E17" s="75" t="str">
        <f>E16</f>
        <v>pressés de boudin</v>
      </c>
      <c r="F17" s="76" t="str">
        <f>F16</f>
        <v>Recette mère ► le Boudin en 4 déclinaisons</v>
      </c>
      <c r="G17" s="13" t="s">
        <v>66</v>
      </c>
      <c r="H17" s="13" t="s">
        <v>67</v>
      </c>
      <c r="I17" s="13" t="s">
        <v>68</v>
      </c>
      <c r="J17" s="13" t="s">
        <v>69</v>
      </c>
      <c r="K17" s="77" t="s">
        <v>70</v>
      </c>
      <c r="L17" s="78" t="s">
        <v>71</v>
      </c>
      <c r="M17" s="79" t="s">
        <v>72</v>
      </c>
      <c r="N17" s="1496" t="s">
        <v>73</v>
      </c>
      <c r="O17" s="13" t="s">
        <v>74</v>
      </c>
      <c r="P17" s="518" t="s">
        <v>75</v>
      </c>
      <c r="R17" s="74" t="s">
        <v>16</v>
      </c>
      <c r="S17" s="75" t="str">
        <f>S16</f>
        <v>P PRESSED BLACK PUDDING TERRINE | |  Author &gt; Guy KRENZE - Eric GODDYN - Arnaud NICOLAS - CEPROC 2002</v>
      </c>
      <c r="T17" s="75">
        <f>T16</f>
        <v>20</v>
      </c>
      <c r="U17" s="75" t="str">
        <f>U16</f>
        <v>pressés de boudin</v>
      </c>
      <c r="V17" s="76" t="str">
        <f>V16</f>
        <v>Master recipe ► Black pudding in 4 variations</v>
      </c>
      <c r="W17" s="13" t="s">
        <v>66</v>
      </c>
      <c r="X17" s="13" t="s">
        <v>67</v>
      </c>
      <c r="Y17" s="13" t="s">
        <v>68</v>
      </c>
      <c r="Z17" s="13" t="s">
        <v>69</v>
      </c>
      <c r="AA17" s="77" t="s">
        <v>70</v>
      </c>
      <c r="AB17" s="78" t="s">
        <v>71</v>
      </c>
      <c r="AC17" s="79" t="s">
        <v>72</v>
      </c>
      <c r="AD17" s="1496" t="s">
        <v>73</v>
      </c>
      <c r="AE17" s="13" t="s">
        <v>75</v>
      </c>
      <c r="AF17" s="518" t="s">
        <v>76</v>
      </c>
      <c r="AH17" s="74" t="s">
        <v>16</v>
      </c>
      <c r="AI17" s="75" t="str">
        <f>AI16</f>
        <v>P PRENSADO DE MORCILLA (TERRINA) | | Autor &gt; Guy KRENZE - Eric GODDYN - Arnaud NICOLAS - CEPROC 2002</v>
      </c>
      <c r="AJ17" s="75">
        <f>AJ16</f>
        <v>20</v>
      </c>
      <c r="AK17" s="75" t="str">
        <f>AK16</f>
        <v>pressés de boudin</v>
      </c>
      <c r="AL17" s="76" t="str">
        <f>AL16</f>
        <v>Receta madre ► Morcilla en 4 versiones</v>
      </c>
      <c r="AM17" s="13" t="s">
        <v>66</v>
      </c>
      <c r="AN17" s="13" t="s">
        <v>67</v>
      </c>
      <c r="AO17" s="13" t="s">
        <v>68</v>
      </c>
      <c r="AP17" s="13" t="s">
        <v>69</v>
      </c>
      <c r="AQ17" s="77" t="s">
        <v>70</v>
      </c>
      <c r="AR17" s="78" t="s">
        <v>71</v>
      </c>
      <c r="AS17" s="79" t="s">
        <v>72</v>
      </c>
      <c r="AT17" s="1496" t="s">
        <v>73</v>
      </c>
      <c r="AU17" s="13" t="s">
        <v>74</v>
      </c>
      <c r="AV17" s="518" t="s">
        <v>75</v>
      </c>
      <c r="AY17" s="3">
        <v>1</v>
      </c>
    </row>
    <row r="18" spans="2:51" ht="27" customHeight="1">
      <c r="B18" s="27" t="s">
        <v>11</v>
      </c>
      <c r="C18" s="32" t="str">
        <f>C16</f>
        <v>P PRESSÉ DE BOUDIN NOIR | | Auteur &gt; Guy KRENZE - Eric GODDYN - Arnaud NICOLAS - CEPROC 2002</v>
      </c>
      <c r="D18" s="33">
        <f>D16</f>
        <v>20</v>
      </c>
      <c r="E18" s="32" t="str">
        <f>E16</f>
        <v>pressés de boudin</v>
      </c>
      <c r="F18" s="34" t="str">
        <f>F16</f>
        <v>Recette mère ► le Boudin en 4 déclinaisons</v>
      </c>
      <c r="G18" s="81" t="s">
        <v>77</v>
      </c>
      <c r="H18" s="82" t="s">
        <v>78</v>
      </c>
      <c r="I18" s="83"/>
      <c r="J18" s="5454" t="s">
        <v>79</v>
      </c>
      <c r="K18" s="5464" t="s">
        <v>80</v>
      </c>
      <c r="L18" s="5466" t="s">
        <v>81</v>
      </c>
      <c r="M18" s="84" t="s">
        <v>82</v>
      </c>
      <c r="N18" s="5444" t="s">
        <v>83</v>
      </c>
      <c r="O18" s="5446" t="s">
        <v>3297</v>
      </c>
      <c r="P18" s="5448" t="s">
        <v>86</v>
      </c>
      <c r="R18" s="27" t="s">
        <v>11</v>
      </c>
      <c r="S18" s="32" t="str">
        <f>S16</f>
        <v>P PRESSED BLACK PUDDING TERRINE | |  Author &gt; Guy KRENZE - Eric GODDYN - Arnaud NICOLAS - CEPROC 2002</v>
      </c>
      <c r="T18" s="33">
        <f>T16</f>
        <v>20</v>
      </c>
      <c r="U18" s="32" t="str">
        <f>U16</f>
        <v>pressés de boudin</v>
      </c>
      <c r="V18" s="34" t="str">
        <f>V16</f>
        <v>Master recipe ► Black pudding in 4 variations</v>
      </c>
      <c r="W18" s="81" t="s">
        <v>77</v>
      </c>
      <c r="X18" s="82" t="s">
        <v>78</v>
      </c>
      <c r="Y18" s="83"/>
      <c r="Z18" s="5454" t="s">
        <v>228</v>
      </c>
      <c r="AA18" s="5464" t="s">
        <v>80</v>
      </c>
      <c r="AB18" s="5466" t="s">
        <v>81</v>
      </c>
      <c r="AC18" s="84" t="s">
        <v>82</v>
      </c>
      <c r="AD18" s="5444" t="s">
        <v>244</v>
      </c>
      <c r="AE18" s="5446" t="s">
        <v>890</v>
      </c>
      <c r="AF18" s="5448" t="s">
        <v>247</v>
      </c>
      <c r="AH18" s="27" t="s">
        <v>11</v>
      </c>
      <c r="AI18" s="32" t="str">
        <f>AI16</f>
        <v>P PRENSADO DE MORCILLA (TERRINA) | | Autor &gt; Guy KRENZE - Eric GODDYN - Arnaud NICOLAS - CEPROC 2002</v>
      </c>
      <c r="AJ18" s="33">
        <f>AJ16</f>
        <v>20</v>
      </c>
      <c r="AK18" s="32" t="str">
        <f>AK16</f>
        <v>pressés de boudin</v>
      </c>
      <c r="AL18" s="34" t="str">
        <f>AL16</f>
        <v>Receta madre ► Morcilla en 4 versiones</v>
      </c>
      <c r="AM18" s="81" t="s">
        <v>77</v>
      </c>
      <c r="AN18" s="82" t="s">
        <v>78</v>
      </c>
      <c r="AO18" s="83"/>
      <c r="AP18" s="5470" t="s">
        <v>229</v>
      </c>
      <c r="AQ18" s="5495" t="s">
        <v>80</v>
      </c>
      <c r="AR18" s="5481" t="s">
        <v>396</v>
      </c>
      <c r="AS18" s="84" t="s">
        <v>82</v>
      </c>
      <c r="AT18" s="5444" t="s">
        <v>249</v>
      </c>
      <c r="AU18" s="5446" t="s">
        <v>907</v>
      </c>
      <c r="AV18" s="5448" t="s">
        <v>252</v>
      </c>
      <c r="AY18" s="3">
        <v>1</v>
      </c>
    </row>
    <row r="19" spans="2:51" ht="27" customHeight="1">
      <c r="B19" s="27" t="s">
        <v>11</v>
      </c>
      <c r="C19" s="32" t="str">
        <f>C16</f>
        <v>P PRESSÉ DE BOUDIN NOIR | | Auteur &gt; Guy KRENZE - Eric GODDYN - Arnaud NICOLAS - CEPROC 2002</v>
      </c>
      <c r="D19" s="33">
        <f>D16</f>
        <v>20</v>
      </c>
      <c r="E19" s="32" t="str">
        <f>E16</f>
        <v>pressés de boudin</v>
      </c>
      <c r="F19" s="34" t="str">
        <f>F16</f>
        <v>Recette mère ► le Boudin en 4 déclinaisons</v>
      </c>
      <c r="G19" s="87" t="s">
        <v>91</v>
      </c>
      <c r="H19" s="88" t="s">
        <v>92</v>
      </c>
      <c r="I19" s="89" t="s">
        <v>93</v>
      </c>
      <c r="J19" s="5455"/>
      <c r="K19" s="5465"/>
      <c r="L19" s="5467"/>
      <c r="M19" s="90" t="s">
        <v>94</v>
      </c>
      <c r="N19" s="5445"/>
      <c r="O19" s="5447"/>
      <c r="P19" s="5449"/>
      <c r="R19" s="27" t="s">
        <v>11</v>
      </c>
      <c r="S19" s="32" t="str">
        <f>S16</f>
        <v>P PRESSED BLACK PUDDING TERRINE | |  Author &gt; Guy KRENZE - Eric GODDYN - Arnaud NICOLAS - CEPROC 2002</v>
      </c>
      <c r="T19" s="33">
        <f>T16</f>
        <v>20</v>
      </c>
      <c r="U19" s="32" t="str">
        <f>U16</f>
        <v>pressés de boudin</v>
      </c>
      <c r="V19" s="34" t="str">
        <f>V16</f>
        <v>Master recipe ► Black pudding in 4 variations</v>
      </c>
      <c r="W19" s="87" t="s">
        <v>231</v>
      </c>
      <c r="X19" s="88" t="s">
        <v>232</v>
      </c>
      <c r="Y19" s="89" t="s">
        <v>891</v>
      </c>
      <c r="Z19" s="5455"/>
      <c r="AA19" s="5465"/>
      <c r="AB19" s="5467"/>
      <c r="AC19" s="90" t="s">
        <v>867</v>
      </c>
      <c r="AD19" s="5445"/>
      <c r="AE19" s="5447"/>
      <c r="AF19" s="5449"/>
      <c r="AH19" s="27" t="s">
        <v>11</v>
      </c>
      <c r="AI19" s="32" t="str">
        <f>AI16</f>
        <v>P PRENSADO DE MORCILLA (TERRINA) | | Autor &gt; Guy KRENZE - Eric GODDYN - Arnaud NICOLAS - CEPROC 2002</v>
      </c>
      <c r="AJ19" s="33">
        <f>AJ16</f>
        <v>20</v>
      </c>
      <c r="AK19" s="32" t="str">
        <f>AK16</f>
        <v>pressés de boudin</v>
      </c>
      <c r="AL19" s="34" t="str">
        <f>AL16</f>
        <v>Receta madre ► Morcilla en 4 versiones</v>
      </c>
      <c r="AM19" s="87" t="s">
        <v>234</v>
      </c>
      <c r="AN19" s="88" t="s">
        <v>235</v>
      </c>
      <c r="AO19" s="89" t="s">
        <v>93</v>
      </c>
      <c r="AP19" s="5455"/>
      <c r="AQ19" s="5465"/>
      <c r="AR19" s="5467"/>
      <c r="AS19" s="90" t="s">
        <v>869</v>
      </c>
      <c r="AT19" s="5445"/>
      <c r="AU19" s="5447"/>
      <c r="AV19" s="5449"/>
      <c r="AY19" s="3">
        <v>1</v>
      </c>
    </row>
    <row r="20" spans="2:51" ht="27" customHeight="1">
      <c r="B20" s="27" t="s">
        <v>11</v>
      </c>
      <c r="C20" s="32" t="str">
        <f>C16</f>
        <v>P PRESSÉ DE BOUDIN NOIR | | Auteur &gt; Guy KRENZE - Eric GODDYN - Arnaud NICOLAS - CEPROC 2002</v>
      </c>
      <c r="D20" s="33">
        <f>D16</f>
        <v>20</v>
      </c>
      <c r="E20" s="32" t="str">
        <f>E16</f>
        <v>pressés de boudin</v>
      </c>
      <c r="F20" s="34" t="str">
        <f>F16</f>
        <v>Recette mère ► le Boudin en 4 déclinaisons</v>
      </c>
      <c r="G20" s="92"/>
      <c r="H20" s="93"/>
      <c r="I20" s="94" t="str">
        <f t="shared" ref="I20:I49" si="2">IF(OR(ISTEXT(G20), G20&lt;=0, J20&lt;=0), "", "de")</f>
        <v/>
      </c>
      <c r="J20" s="95"/>
      <c r="K20" s="126"/>
      <c r="L20" s="127">
        <v>1</v>
      </c>
      <c r="M20" s="5037" t="s">
        <v>12854</v>
      </c>
      <c r="N20" s="100">
        <f>IF(OR(ISBLANK(G14),N14=0),0,G20*L15)</f>
        <v>0</v>
      </c>
      <c r="O20" s="101">
        <f>IFERROR(_xlfn.LET(_xlpm.v,IFERROR(_xlfn.XLOOKUP(K20,G51:P51,G52:P52),_xlfn.XLOOKUP(K20,G53:P53,G54:P54)),_xlpm.v*J20*L20*L15*IF(ISBLANK(G20),1,G20)),0)</f>
        <v>0</v>
      </c>
      <c r="P20" s="1476" t="str">
        <f>_xlfn.LET(_xlpm.unite,SUBSTITUTE(TRIM(K20)," (s)",""),_xlpm.val,O20,_xlpm.estVol,COUNTIF(J51:P51,_xlpm.unite)+COUNTIF(J53:P53,_xlpm.unite)&gt;0,_xlpm.estPoids,COUNTIF(G51:I51,_xlpm.unite)+COUNTIF(G53:I53,_xlpm.unite)&gt;0,IF(_xlpm.estVol,IF(ROUND(_xlpm.val,3)&gt;=1,ROUND(_xlpm.val,3)&amp;" L",MAX(1,ROUND(_xlpm.val*100,0))&amp;" cl"),IF(_xlpm.estPoids,IF(ROUND(_xlpm.val,3)&gt;=1,ROUND(_xlpm.val,3)&amp;" Kg",MAX(1,ROUND(_xlpm.val*1000,0))&amp;" g"),"")))</f>
        <v/>
      </c>
      <c r="R20" s="27" t="s">
        <v>11</v>
      </c>
      <c r="S20" s="32" t="str">
        <f>S16</f>
        <v>P PRESSED BLACK PUDDING TERRINE | |  Author &gt; Guy KRENZE - Eric GODDYN - Arnaud NICOLAS - CEPROC 2002</v>
      </c>
      <c r="T20" s="33">
        <f>T16</f>
        <v>20</v>
      </c>
      <c r="U20" s="32" t="str">
        <f>U16</f>
        <v>pressés de boudin</v>
      </c>
      <c r="V20" s="34" t="str">
        <f>V16</f>
        <v>Master recipe ► Black pudding in 4 variations</v>
      </c>
      <c r="W20" s="92"/>
      <c r="X20" s="93"/>
      <c r="Y20" s="94" t="str">
        <f t="shared" ref="Y20:Y49" si="3">IF(OR(ISTEXT(W20), W20&lt;=0, Z20&lt;=0), "", "de")</f>
        <v/>
      </c>
      <c r="Z20" s="95"/>
      <c r="AA20" s="126"/>
      <c r="AB20" s="127">
        <v>1</v>
      </c>
      <c r="AC20" s="5037" t="s">
        <v>12999</v>
      </c>
      <c r="AD20" s="100">
        <f>IF(OR(ISBLANK(W14),AD14=0),0,W20*AB15)</f>
        <v>0</v>
      </c>
      <c r="AE20" s="101">
        <f>IFERROR(_xlfn.LET(_xlpm.v,IFERROR(_xlfn.XLOOKUP(AA20,W51:AF51,W52:AF52),_xlfn.XLOOKUP(AA20,W53:AF53,W54:AF54)),_xlpm.v*Z20*AB20*AB15*IF(ISBLANK(W20),1,W20)),0)</f>
        <v>0</v>
      </c>
      <c r="AF20" s="1476" t="str">
        <f>_xlfn.LET(_xlpm.unite,SUBSTITUTE(TRIM(AA20)," (s)",""),_xlpm.val,AE20,_xlpm.estVol,COUNTIF(Z51:AF51,_xlpm.unite)+COUNTIF(Z53:AF53,_xlpm.unite)&gt;0,_xlpm.estPoids,COUNTIF(W51:Y51,_xlpm.unite)+COUNTIF(W53:Y53,_xlpm.unite)&gt;0,IF(_xlpm.estVol,IF(ROUND(_xlpm.val,3)&gt;=1,ROUND(_xlpm.val,3)&amp;" L",MAX(1,ROUND(_xlpm.val*100,0))&amp;" cl"),IF(_xlpm.estPoids,IF(ROUND(_xlpm.val,3)&gt;=1,ROUND(_xlpm.val,3)&amp;" Kg",MAX(1,ROUND(_xlpm.val*1000,0))&amp;" g"),"")))</f>
        <v/>
      </c>
      <c r="AH20" s="27" t="s">
        <v>11</v>
      </c>
      <c r="AI20" s="32" t="str">
        <f>AI16</f>
        <v>P PRENSADO DE MORCILLA (TERRINA) | | Autor &gt; Guy KRENZE - Eric GODDYN - Arnaud NICOLAS - CEPROC 2002</v>
      </c>
      <c r="AJ20" s="33">
        <f>AJ16</f>
        <v>20</v>
      </c>
      <c r="AK20" s="32" t="str">
        <f>AK16</f>
        <v>pressés de boudin</v>
      </c>
      <c r="AL20" s="34" t="str">
        <f>AL16</f>
        <v>Receta madre ► Morcilla en 4 versiones</v>
      </c>
      <c r="AM20" s="92"/>
      <c r="AN20" s="93"/>
      <c r="AO20" s="94" t="str">
        <f t="shared" ref="AO20:AO49" si="4">IF(OR(ISTEXT(AM20), AM20&lt;=0, AP20&lt;=0), "", "de")</f>
        <v/>
      </c>
      <c r="AP20" s="95"/>
      <c r="AQ20" s="126"/>
      <c r="AR20" s="127">
        <v>1</v>
      </c>
      <c r="AS20" s="5037" t="s">
        <v>13000</v>
      </c>
      <c r="AT20" s="100">
        <f>IF(OR(ISBLANK(AM14),AT14=0),0,AM20*AR15)</f>
        <v>0</v>
      </c>
      <c r="AU20" s="101">
        <f>IFERROR(_xlfn.LET(_xlpm.v,IFERROR(_xlfn.XLOOKUP(AQ20,AM51:AV51,AM52:AV52),_xlfn.XLOOKUP(AQ20,AM53:AV53,AM54:AV54)),_xlpm.v*AP20*AR20*AR15*IF(ISBLANK(AM20),1,AM20)),0)</f>
        <v>0</v>
      </c>
      <c r="AV20" s="1476" t="str">
        <f>_xlfn.LET(_xlpm.unite,SUBSTITUTE(TRIM(AQ20)," (s)",""),_xlpm.val,AU20,_xlpm.estVol,COUNTIF(AP51:AV51,_xlpm.unite)+COUNTIF(AP53:AV53,_xlpm.unite)&gt;0,_xlpm.estPoids,COUNTIF(AM51:AO51,_xlpm.unite)+COUNTIF(AM53:AO53,_xlpm.unite)&gt;0,IF(_xlpm.estVol,IF(ROUND(_xlpm.val,3)&gt;=1,ROUND(_xlpm.val,3)&amp;" L",MAX(1,ROUND(_xlpm.val*100,0))&amp;" cl"),IF(_xlpm.estPoids,IF(ROUND(_xlpm.val,3)&gt;=1,ROUND(_xlpm.val,3)&amp;" Kg",MAX(1,ROUND(_xlpm.val*1000,0))&amp;" g"),"")))</f>
        <v/>
      </c>
      <c r="AY20" s="3">
        <v>1</v>
      </c>
    </row>
    <row r="21" spans="2:51" ht="27" customHeight="1">
      <c r="B21" s="104" t="str">
        <f t="shared" ref="B21:B49" si="5">IF(M21&lt;&gt;"","A","►")</f>
        <v>A</v>
      </c>
      <c r="C21" s="32" t="str">
        <f>C16</f>
        <v>P PRESSÉ DE BOUDIN NOIR | | Auteur &gt; Guy KRENZE - Eric GODDYN - Arnaud NICOLAS - CEPROC 2002</v>
      </c>
      <c r="D21" s="33">
        <f>D16</f>
        <v>20</v>
      </c>
      <c r="E21" s="32" t="str">
        <f>E16</f>
        <v>pressés de boudin</v>
      </c>
      <c r="F21" s="34" t="str">
        <f>F16</f>
        <v>Recette mère ► le Boudin en 4 déclinaisons</v>
      </c>
      <c r="G21" s="92"/>
      <c r="H21" s="93"/>
      <c r="I21" s="94" t="str">
        <f t="shared" si="2"/>
        <v/>
      </c>
      <c r="J21" s="95">
        <v>300</v>
      </c>
      <c r="K21" s="105" t="s">
        <v>99</v>
      </c>
      <c r="L21" s="127">
        <v>1</v>
      </c>
      <c r="M21" s="920" t="s">
        <v>12848</v>
      </c>
      <c r="N21" s="1495">
        <f>IF(OR(ISBLANK(G14),N14=0),0,G21*L15)</f>
        <v>0</v>
      </c>
      <c r="O21" s="101">
        <f>IFERROR(_xlfn.LET(_xlpm.v,IFERROR(_xlfn.XLOOKUP(K21,G51:P51,G52:P52),_xlfn.XLOOKUP(K21,G53:P53,G54:P54)),_xlpm.v*J21*L21*L15*IF(ISBLANK(G21),1,G21)),0)</f>
        <v>0.3</v>
      </c>
      <c r="P21" s="1475" t="str">
        <f>_xlfn.LET(_xlpm.unite,SUBSTITUTE(TRIM(K21)," (s)",""),_xlpm.val,O21,_xlpm.estVol,COUNTIF(J51:P51,_xlpm.unite)+COUNTIF(J53:P53,_xlpm.unite)&gt;0,_xlpm.estPoids,COUNTIF(G51:I51,_xlpm.unite)+COUNTIF(G53:I53,_xlpm.unite)&gt;0,IF(_xlpm.estVol,IF(ROUND(_xlpm.val,3)&gt;=1,ROUND(_xlpm.val,3)&amp;" L",MAX(1,ROUND(_xlpm.val*100,0))&amp;" cl"),IF(_xlpm.estPoids,IF(ROUND(_xlpm.val,3)&gt;=1,ROUND(_xlpm.val,3)&amp;" Kg",MAX(1,ROUND(_xlpm.val*1000,0))&amp;" g"),"")))</f>
        <v>300 g</v>
      </c>
      <c r="R21" s="104" t="str">
        <f t="shared" ref="R21:R49" si="6">IF(AC21&lt;&gt;"","A","►")</f>
        <v>A</v>
      </c>
      <c r="S21" s="32" t="str">
        <f>S16</f>
        <v>P PRESSED BLACK PUDDING TERRINE | |  Author &gt; Guy KRENZE - Eric GODDYN - Arnaud NICOLAS - CEPROC 2002</v>
      </c>
      <c r="T21" s="33">
        <f>T16</f>
        <v>20</v>
      </c>
      <c r="U21" s="32" t="str">
        <f>U16</f>
        <v>pressés de boudin</v>
      </c>
      <c r="V21" s="34" t="str">
        <f>V16</f>
        <v>Master recipe ► Black pudding in 4 variations</v>
      </c>
      <c r="W21" s="92"/>
      <c r="X21" s="93"/>
      <c r="Y21" s="94" t="str">
        <f t="shared" si="3"/>
        <v/>
      </c>
      <c r="Z21" s="95">
        <v>300</v>
      </c>
      <c r="AA21" s="105" t="s">
        <v>99</v>
      </c>
      <c r="AB21" s="127">
        <v>1</v>
      </c>
      <c r="AC21" s="920" t="s">
        <v>12952</v>
      </c>
      <c r="AD21" s="1495">
        <f>IF(OR(ISBLANK(W14),AD14=0),0,W21*AB15)</f>
        <v>0</v>
      </c>
      <c r="AE21" s="101">
        <f>IFERROR(_xlfn.LET(_xlpm.v,IFERROR(_xlfn.XLOOKUP(AA21,W51:AF51,W52:AF52),_xlfn.XLOOKUP(AA21,W53:AF53,W54:AF54)),_xlpm.v*Z21*AB21*AB15*IF(ISBLANK(W21),1,W21)),0)</f>
        <v>0.54</v>
      </c>
      <c r="AF21" s="1475" t="str">
        <f>_xlfn.LET(_xlpm.unite,SUBSTITUTE(TRIM(AA21)," (s)",""),_xlpm.val,AE21,_xlpm.estVol,COUNTIF(Z51:AF51,_xlpm.unite)+COUNTIF(Z53:AF53,_xlpm.unite)&gt;0,_xlpm.estPoids,COUNTIF(W51:Y51,_xlpm.unite)+COUNTIF(W53:Y53,_xlpm.unite)&gt;0,IF(_xlpm.estVol,IF(ROUND(_xlpm.val,3)&gt;=1,ROUND(_xlpm.val,3)&amp;" L",MAX(1,ROUND(_xlpm.val*100,0))&amp;" cl"),IF(_xlpm.estPoids,IF(ROUND(_xlpm.val,3)&gt;=1,ROUND(_xlpm.val,3)&amp;" Kg",MAX(1,ROUND(_xlpm.val*1000,0))&amp;" g"),"")))</f>
        <v>540 g</v>
      </c>
      <c r="AH21" s="104" t="str">
        <f t="shared" ref="AH21:AH49" si="7">IF(AS21&lt;&gt;"","A","►")</f>
        <v>A</v>
      </c>
      <c r="AI21" s="32" t="str">
        <f>AI16</f>
        <v>P PRENSADO DE MORCILLA (TERRINA) | | Autor &gt; Guy KRENZE - Eric GODDYN - Arnaud NICOLAS - CEPROC 2002</v>
      </c>
      <c r="AJ21" s="33">
        <f>AJ16</f>
        <v>20</v>
      </c>
      <c r="AK21" s="32" t="str">
        <f>AK16</f>
        <v>pressés de boudin</v>
      </c>
      <c r="AL21" s="34" t="str">
        <f>AL16</f>
        <v>Receta madre ► Morcilla en 4 versiones</v>
      </c>
      <c r="AM21" s="92"/>
      <c r="AN21" s="93"/>
      <c r="AO21" s="94" t="str">
        <f t="shared" si="4"/>
        <v/>
      </c>
      <c r="AP21" s="95">
        <v>300</v>
      </c>
      <c r="AQ21" s="105" t="s">
        <v>99</v>
      </c>
      <c r="AR21" s="127">
        <v>1</v>
      </c>
      <c r="AS21" s="920" t="s">
        <v>12953</v>
      </c>
      <c r="AT21" s="1495">
        <f>IF(OR(ISBLANK(AM14),AT14=0),0,AM21*AR15)</f>
        <v>0</v>
      </c>
      <c r="AU21" s="101">
        <f>IFERROR(_xlfn.LET(_xlpm.v,IFERROR(_xlfn.XLOOKUP(AQ21,AM51:AV51,AM52:AV52),_xlfn.XLOOKUP(AQ21,AM53:AV53,AM54:AV54)),_xlpm.v*AP21*AR21*AR15*IF(ISBLANK(AM21),1,AM21)),0)</f>
        <v>0.54</v>
      </c>
      <c r="AV21" s="1475" t="str">
        <f>_xlfn.LET(_xlpm.unite,SUBSTITUTE(TRIM(AQ21)," (s)",""),_xlpm.val,AU21,_xlpm.estVol,COUNTIF(AP51:AV51,_xlpm.unite)+COUNTIF(AP53:AV53,_xlpm.unite)&gt;0,_xlpm.estPoids,COUNTIF(AM51:AO51,_xlpm.unite)+COUNTIF(AM53:AO53,_xlpm.unite)&gt;0,IF(_xlpm.estVol,IF(ROUND(_xlpm.val,3)&gt;=1,ROUND(_xlpm.val,3)&amp;" L",MAX(1,ROUND(_xlpm.val*100,0))&amp;" cl"),IF(_xlpm.estPoids,IF(ROUND(_xlpm.val,3)&gt;=1,ROUND(_xlpm.val,3)&amp;" Kg",MAX(1,ROUND(_xlpm.val*1000,0))&amp;" g"),"")))</f>
        <v>540 g</v>
      </c>
      <c r="AY21" s="3">
        <v>1</v>
      </c>
    </row>
    <row r="22" spans="2:51" ht="27" customHeight="1">
      <c r="B22" s="104" t="str">
        <f t="shared" si="5"/>
        <v>A</v>
      </c>
      <c r="C22" s="32" t="str">
        <f>C16</f>
        <v>P PRESSÉ DE BOUDIN NOIR | | Auteur &gt; Guy KRENZE - Eric GODDYN - Arnaud NICOLAS - CEPROC 2002</v>
      </c>
      <c r="D22" s="33">
        <f>D16</f>
        <v>20</v>
      </c>
      <c r="E22" s="32" t="str">
        <f>E16</f>
        <v>pressés de boudin</v>
      </c>
      <c r="F22" s="34" t="str">
        <f>F16</f>
        <v>Recette mère ► le Boudin en 4 déclinaisons</v>
      </c>
      <c r="G22" s="92"/>
      <c r="H22" s="108"/>
      <c r="I22" s="94" t="str">
        <f t="shared" si="2"/>
        <v/>
      </c>
      <c r="J22" s="95">
        <v>300</v>
      </c>
      <c r="K22" s="105" t="s">
        <v>99</v>
      </c>
      <c r="L22" s="127">
        <v>1</v>
      </c>
      <c r="M22" s="920" t="s">
        <v>12849</v>
      </c>
      <c r="N22" s="1495">
        <f>IF(OR(ISBLANK(G14),N14=0),0,G22*L15)</f>
        <v>0</v>
      </c>
      <c r="O22" s="101">
        <f>IFERROR(_xlfn.LET(_xlpm.v,IFERROR(_xlfn.XLOOKUP(K22,G51:P51,G52:P52),_xlfn.XLOOKUP(K22,G53:P53,G54:P54)),_xlpm.v*J22*L22*L15*IF(ISBLANK(G22),1,G22)),0)</f>
        <v>0.3</v>
      </c>
      <c r="P22" s="1476" t="str">
        <f>_xlfn.LET(_xlpm.unite,SUBSTITUTE(TRIM(K22)," (s)",""),_xlpm.val,O22,_xlpm.estVol,COUNTIF(J51:P51,_xlpm.unite)+COUNTIF(J53:P53,_xlpm.unite)&gt;0,_xlpm.estPoids,COUNTIF(G51:I51,_xlpm.unite)+COUNTIF(G53:I53,_xlpm.unite)&gt;0,IF(_xlpm.estVol,IF(ROUND(_xlpm.val,3)&gt;=1,ROUND(_xlpm.val,3)&amp;" L",MAX(1,ROUND(_xlpm.val*100,0))&amp;" cl"),IF(_xlpm.estPoids,IF(ROUND(_xlpm.val,3)&gt;=1,ROUND(_xlpm.val,3)&amp;" Kg",MAX(1,ROUND(_xlpm.val*1000,0))&amp;" g"),"")))</f>
        <v>300 g</v>
      </c>
      <c r="R22" s="104" t="str">
        <f t="shared" si="6"/>
        <v>A</v>
      </c>
      <c r="S22" s="32" t="str">
        <f>S16</f>
        <v>P PRESSED BLACK PUDDING TERRINE | |  Author &gt; Guy KRENZE - Eric GODDYN - Arnaud NICOLAS - CEPROC 2002</v>
      </c>
      <c r="T22" s="33">
        <f>T16</f>
        <v>20</v>
      </c>
      <c r="U22" s="32" t="str">
        <f>U16</f>
        <v>pressés de boudin</v>
      </c>
      <c r="V22" s="34" t="str">
        <f>V16</f>
        <v>Master recipe ► Black pudding in 4 variations</v>
      </c>
      <c r="W22" s="92"/>
      <c r="X22" s="108"/>
      <c r="Y22" s="94" t="str">
        <f t="shared" si="3"/>
        <v/>
      </c>
      <c r="Z22" s="95">
        <v>300</v>
      </c>
      <c r="AA22" s="105" t="s">
        <v>99</v>
      </c>
      <c r="AB22" s="127">
        <v>1</v>
      </c>
      <c r="AC22" s="920" t="s">
        <v>12955</v>
      </c>
      <c r="AD22" s="1495">
        <f>IF(OR(ISBLANK(W14),AD14=0),0,W22*AB15)</f>
        <v>0</v>
      </c>
      <c r="AE22" s="101">
        <f>IFERROR(_xlfn.LET(_xlpm.v,IFERROR(_xlfn.XLOOKUP(AA22,W51:AF51,W52:AF52),_xlfn.XLOOKUP(AA22,W53:AF53,W54:AF54)),_xlpm.v*Z22*AB22*AB15*IF(ISBLANK(W22),1,W22)),0)</f>
        <v>0.54</v>
      </c>
      <c r="AF22" s="1476" t="str">
        <f>_xlfn.LET(_xlpm.unite,SUBSTITUTE(TRIM(AA22)," (s)",""),_xlpm.val,AE22,_xlpm.estVol,COUNTIF(Z51:AF51,_xlpm.unite)+COUNTIF(Z53:AF53,_xlpm.unite)&gt;0,_xlpm.estPoids,COUNTIF(W51:Y51,_xlpm.unite)+COUNTIF(W53:Y53,_xlpm.unite)&gt;0,IF(_xlpm.estVol,IF(ROUND(_xlpm.val,3)&gt;=1,ROUND(_xlpm.val,3)&amp;" L",MAX(1,ROUND(_xlpm.val*100,0))&amp;" cl"),IF(_xlpm.estPoids,IF(ROUND(_xlpm.val,3)&gt;=1,ROUND(_xlpm.val,3)&amp;" Kg",MAX(1,ROUND(_xlpm.val*1000,0))&amp;" g"),"")))</f>
        <v>540 g</v>
      </c>
      <c r="AH22" s="104" t="str">
        <f t="shared" si="7"/>
        <v>A</v>
      </c>
      <c r="AI22" s="32" t="str">
        <f>AI16</f>
        <v>P PRENSADO DE MORCILLA (TERRINA) | | Autor &gt; Guy KRENZE - Eric GODDYN - Arnaud NICOLAS - CEPROC 2002</v>
      </c>
      <c r="AJ22" s="33">
        <f>AJ16</f>
        <v>20</v>
      </c>
      <c r="AK22" s="32" t="str">
        <f>AK16</f>
        <v>pressés de boudin</v>
      </c>
      <c r="AL22" s="34" t="str">
        <f>AL16</f>
        <v>Receta madre ► Morcilla en 4 versiones</v>
      </c>
      <c r="AM22" s="92"/>
      <c r="AN22" s="108"/>
      <c r="AO22" s="94" t="str">
        <f t="shared" si="4"/>
        <v/>
      </c>
      <c r="AP22" s="95">
        <v>300</v>
      </c>
      <c r="AQ22" s="105" t="s">
        <v>99</v>
      </c>
      <c r="AR22" s="127">
        <v>1</v>
      </c>
      <c r="AS22" s="920" t="s">
        <v>12956</v>
      </c>
      <c r="AT22" s="1495">
        <f>IF(OR(ISBLANK(AM14),AT14=0),0,AM22*AR15)</f>
        <v>0</v>
      </c>
      <c r="AU22" s="101">
        <f>IFERROR(_xlfn.LET(_xlpm.v,IFERROR(_xlfn.XLOOKUP(AQ22,AM51:AV51,AM52:AV52),_xlfn.XLOOKUP(AQ22,AM53:AV53,AM54:AV54)),_xlpm.v*AP22*AR22*AR15*IF(ISBLANK(AM22),1,AM22)),0)</f>
        <v>0.54</v>
      </c>
      <c r="AV22" s="1476" t="str">
        <f>_xlfn.LET(_xlpm.unite,SUBSTITUTE(TRIM(AQ22)," (s)",""),_xlpm.val,AU22,_xlpm.estVol,COUNTIF(AP51:AV51,_xlpm.unite)+COUNTIF(AP53:AV53,_xlpm.unite)&gt;0,_xlpm.estPoids,COUNTIF(AM51:AO51,_xlpm.unite)+COUNTIF(AM53:AO53,_xlpm.unite)&gt;0,IF(_xlpm.estVol,IF(ROUND(_xlpm.val,3)&gt;=1,ROUND(_xlpm.val,3)&amp;" L",MAX(1,ROUND(_xlpm.val*100,0))&amp;" cl"),IF(_xlpm.estPoids,IF(ROUND(_xlpm.val,3)&gt;=1,ROUND(_xlpm.val,3)&amp;" Kg",MAX(1,ROUND(_xlpm.val*1000,0))&amp;" g"),"")))</f>
        <v>540 g</v>
      </c>
      <c r="AY22" s="3">
        <v>1</v>
      </c>
    </row>
    <row r="23" spans="2:51" ht="27" customHeight="1">
      <c r="B23" s="104" t="str">
        <f t="shared" si="5"/>
        <v>A</v>
      </c>
      <c r="C23" s="32" t="str">
        <f>C16</f>
        <v>P PRESSÉ DE BOUDIN NOIR | | Auteur &gt; Guy KRENZE - Eric GODDYN - Arnaud NICOLAS - CEPROC 2002</v>
      </c>
      <c r="D23" s="33">
        <f>D16</f>
        <v>20</v>
      </c>
      <c r="E23" s="32" t="str">
        <f>E16</f>
        <v>pressés de boudin</v>
      </c>
      <c r="F23" s="34" t="str">
        <f>F16</f>
        <v>Recette mère ► le Boudin en 4 déclinaisons</v>
      </c>
      <c r="G23" s="92"/>
      <c r="H23" s="108"/>
      <c r="I23" s="94" t="str">
        <f t="shared" si="2"/>
        <v/>
      </c>
      <c r="J23" s="95">
        <v>45</v>
      </c>
      <c r="K23" s="105" t="s">
        <v>99</v>
      </c>
      <c r="L23" s="127">
        <v>1</v>
      </c>
      <c r="M23" s="920" t="s">
        <v>12850</v>
      </c>
      <c r="N23" s="1495">
        <f>IF(OR(ISBLANK(G14),N14=0),0,G23*L15)</f>
        <v>0</v>
      </c>
      <c r="O23" s="101">
        <f>IFERROR(_xlfn.LET(_xlpm.v,IFERROR(_xlfn.XLOOKUP(K23,G51:P51,G52:P52),_xlfn.XLOOKUP(K23,G53:P53,G54:P54)),_xlpm.v*J23*L23*L15*IF(ISBLANK(G23),1,G23)),0)</f>
        <v>4.4999999999999998E-2</v>
      </c>
      <c r="P23" s="1475" t="str">
        <f>_xlfn.LET(_xlpm.unite,SUBSTITUTE(TRIM(K23)," (s)",""),_xlpm.val,O23,_xlpm.estVol,COUNTIF(J51:P51,_xlpm.unite)+COUNTIF(J53:P53,_xlpm.unite)&gt;0,_xlpm.estPoids,COUNTIF(G51:I51,_xlpm.unite)+COUNTIF(G53:I53,_xlpm.unite)&gt;0,IF(_xlpm.estVol,IF(ROUND(_xlpm.val,3)&gt;=1,ROUND(_xlpm.val,3)&amp;" L",MAX(1,ROUND(_xlpm.val*100,0))&amp;" cl"),IF(_xlpm.estPoids,IF(ROUND(_xlpm.val,3)&gt;=1,ROUND(_xlpm.val,3)&amp;" Kg",MAX(1,ROUND(_xlpm.val*1000,0))&amp;" g"),"")))</f>
        <v>45 g</v>
      </c>
      <c r="R23" s="104" t="str">
        <f t="shared" si="6"/>
        <v>A</v>
      </c>
      <c r="S23" s="32" t="str">
        <f>S16</f>
        <v>P PRESSED BLACK PUDDING TERRINE | |  Author &gt; Guy KRENZE - Eric GODDYN - Arnaud NICOLAS - CEPROC 2002</v>
      </c>
      <c r="T23" s="33">
        <f>T16</f>
        <v>20</v>
      </c>
      <c r="U23" s="32" t="str">
        <f>U16</f>
        <v>pressés de boudin</v>
      </c>
      <c r="V23" s="34" t="str">
        <f>V16</f>
        <v>Master recipe ► Black pudding in 4 variations</v>
      </c>
      <c r="W23" s="92"/>
      <c r="X23" s="108"/>
      <c r="Y23" s="94" t="str">
        <f t="shared" si="3"/>
        <v/>
      </c>
      <c r="Z23" s="95">
        <v>45</v>
      </c>
      <c r="AA23" s="105" t="s">
        <v>99</v>
      </c>
      <c r="AB23" s="127">
        <v>1</v>
      </c>
      <c r="AC23" s="920" t="s">
        <v>12957</v>
      </c>
      <c r="AD23" s="1495">
        <f>IF(OR(ISBLANK(W14),AD14=0),0,W23*AB15)</f>
        <v>0</v>
      </c>
      <c r="AE23" s="101">
        <f>IFERROR(_xlfn.LET(_xlpm.v,IFERROR(_xlfn.XLOOKUP(AA23,W51:AF51,W52:AF52),_xlfn.XLOOKUP(AA23,W53:AF53,W54:AF54)),_xlpm.v*Z23*AB23*AB15*IF(ISBLANK(W23),1,W23)),0)</f>
        <v>8.1000000000000003E-2</v>
      </c>
      <c r="AF23" s="1475" t="str">
        <f>_xlfn.LET(_xlpm.unite,SUBSTITUTE(TRIM(AA23)," (s)",""),_xlpm.val,AE23,_xlpm.estVol,COUNTIF(Z51:AF51,_xlpm.unite)+COUNTIF(Z53:AF53,_xlpm.unite)&gt;0,_xlpm.estPoids,COUNTIF(W51:Y51,_xlpm.unite)+COUNTIF(W53:Y53,_xlpm.unite)&gt;0,IF(_xlpm.estVol,IF(ROUND(_xlpm.val,3)&gt;=1,ROUND(_xlpm.val,3)&amp;" L",MAX(1,ROUND(_xlpm.val*100,0))&amp;" cl"),IF(_xlpm.estPoids,IF(ROUND(_xlpm.val,3)&gt;=1,ROUND(_xlpm.val,3)&amp;" Kg",MAX(1,ROUND(_xlpm.val*1000,0))&amp;" g"),"")))</f>
        <v>81 g</v>
      </c>
      <c r="AH23" s="104" t="str">
        <f t="shared" si="7"/>
        <v>A</v>
      </c>
      <c r="AI23" s="32" t="str">
        <f>AI16</f>
        <v>P PRENSADO DE MORCILLA (TERRINA) | | Autor &gt; Guy KRENZE - Eric GODDYN - Arnaud NICOLAS - CEPROC 2002</v>
      </c>
      <c r="AJ23" s="33">
        <f>AJ16</f>
        <v>20</v>
      </c>
      <c r="AK23" s="32" t="str">
        <f>AK16</f>
        <v>pressés de boudin</v>
      </c>
      <c r="AL23" s="34" t="str">
        <f>AL16</f>
        <v>Receta madre ► Morcilla en 4 versiones</v>
      </c>
      <c r="AM23" s="92"/>
      <c r="AN23" s="108"/>
      <c r="AO23" s="94" t="str">
        <f t="shared" si="4"/>
        <v/>
      </c>
      <c r="AP23" s="95">
        <v>45</v>
      </c>
      <c r="AQ23" s="105" t="s">
        <v>99</v>
      </c>
      <c r="AR23" s="127">
        <v>1</v>
      </c>
      <c r="AS23" s="920" t="s">
        <v>12958</v>
      </c>
      <c r="AT23" s="1495">
        <f>IF(OR(ISBLANK(AM14),AT14=0),0,AM23*AR15)</f>
        <v>0</v>
      </c>
      <c r="AU23" s="101">
        <f>IFERROR(_xlfn.LET(_xlpm.v,IFERROR(_xlfn.XLOOKUP(AQ23,AM51:AV51,AM52:AV52),_xlfn.XLOOKUP(AQ23,AM53:AV53,AM54:AV54)),_xlpm.v*AP23*AR23*AR15*IF(ISBLANK(AM23),1,AM23)),0)</f>
        <v>8.1000000000000003E-2</v>
      </c>
      <c r="AV23" s="1475" t="str">
        <f>_xlfn.LET(_xlpm.unite,SUBSTITUTE(TRIM(AQ23)," (s)",""),_xlpm.val,AU23,_xlpm.estVol,COUNTIF(AP51:AV51,_xlpm.unite)+COUNTIF(AP53:AV53,_xlpm.unite)&gt;0,_xlpm.estPoids,COUNTIF(AM51:AO51,_xlpm.unite)+COUNTIF(AM53:AO53,_xlpm.unite)&gt;0,IF(_xlpm.estVol,IF(ROUND(_xlpm.val,3)&gt;=1,ROUND(_xlpm.val,3)&amp;" L",MAX(1,ROUND(_xlpm.val*100,0))&amp;" cl"),IF(_xlpm.estPoids,IF(ROUND(_xlpm.val,3)&gt;=1,ROUND(_xlpm.val,3)&amp;" Kg",MAX(1,ROUND(_xlpm.val*1000,0))&amp;" g"),"")))</f>
        <v>81 g</v>
      </c>
      <c r="AY23" s="3">
        <v>1</v>
      </c>
    </row>
    <row r="24" spans="2:51" ht="27" customHeight="1">
      <c r="B24" s="104" t="str">
        <f t="shared" si="5"/>
        <v>A</v>
      </c>
      <c r="C24" s="32" t="str">
        <f>C16</f>
        <v>P PRESSÉ DE BOUDIN NOIR | | Auteur &gt; Guy KRENZE - Eric GODDYN - Arnaud NICOLAS - CEPROC 2002</v>
      </c>
      <c r="D24" s="33">
        <f>D16</f>
        <v>20</v>
      </c>
      <c r="E24" s="32" t="str">
        <f>E16</f>
        <v>pressés de boudin</v>
      </c>
      <c r="F24" s="34" t="str">
        <f>F16</f>
        <v>Recette mère ► le Boudin en 4 déclinaisons</v>
      </c>
      <c r="G24" s="92"/>
      <c r="H24" s="108"/>
      <c r="I24" s="94" t="str">
        <f t="shared" si="2"/>
        <v/>
      </c>
      <c r="J24" s="95">
        <v>50</v>
      </c>
      <c r="K24" s="105" t="s">
        <v>99</v>
      </c>
      <c r="L24" s="127">
        <v>1</v>
      </c>
      <c r="M24" s="920" t="s">
        <v>12831</v>
      </c>
      <c r="N24" s="1495">
        <f>IF(OR(ISBLANK(G14),N14=0),0,G24*L15)</f>
        <v>0</v>
      </c>
      <c r="O24" s="101">
        <f>IFERROR(_xlfn.LET(_xlpm.v,IFERROR(_xlfn.XLOOKUP(K24,G51:P51,G52:P52),_xlfn.XLOOKUP(K24,G53:P53,G54:P54)),_xlpm.v*J24*L24*L15*IF(ISBLANK(G24),1,G24)),0)</f>
        <v>0.05</v>
      </c>
      <c r="P24" s="1476" t="str">
        <f>_xlfn.LET(_xlpm.unite,SUBSTITUTE(TRIM(K24)," (s)",""),_xlpm.val,O24,_xlpm.estVol,COUNTIF(J51:P51,_xlpm.unite)+COUNTIF(J53:P53,_xlpm.unite)&gt;0,_xlpm.estPoids,COUNTIF(G51:I51,_xlpm.unite)+COUNTIF(G53:I53,_xlpm.unite)&gt;0,IF(_xlpm.estVol,IF(ROUND(_xlpm.val,3)&gt;=1,ROUND(_xlpm.val,3)&amp;" L",MAX(1,ROUND(_xlpm.val*100,0))&amp;" cl"),IF(_xlpm.estPoids,IF(ROUND(_xlpm.val,3)&gt;=1,ROUND(_xlpm.val,3)&amp;" Kg",MAX(1,ROUND(_xlpm.val*1000,0))&amp;" g"),"")))</f>
        <v>50 g</v>
      </c>
      <c r="R24" s="104" t="str">
        <f t="shared" si="6"/>
        <v>A</v>
      </c>
      <c r="S24" s="32" t="str">
        <f>S16</f>
        <v>P PRESSED BLACK PUDDING TERRINE | |  Author &gt; Guy KRENZE - Eric GODDYN - Arnaud NICOLAS - CEPROC 2002</v>
      </c>
      <c r="T24" s="33">
        <f>T16</f>
        <v>20</v>
      </c>
      <c r="U24" s="32" t="str">
        <f>U16</f>
        <v>pressés de boudin</v>
      </c>
      <c r="V24" s="34" t="str">
        <f>V16</f>
        <v>Master recipe ► Black pudding in 4 variations</v>
      </c>
      <c r="W24" s="92"/>
      <c r="X24" s="108"/>
      <c r="Y24" s="94" t="str">
        <f t="shared" si="3"/>
        <v/>
      </c>
      <c r="Z24" s="95">
        <v>50</v>
      </c>
      <c r="AA24" s="105" t="s">
        <v>99</v>
      </c>
      <c r="AB24" s="127">
        <v>1</v>
      </c>
      <c r="AC24" s="920" t="s">
        <v>12891</v>
      </c>
      <c r="AD24" s="1495">
        <f>IF(OR(ISBLANK(W14),AD14=0),0,W24*AB15)</f>
        <v>0</v>
      </c>
      <c r="AE24" s="101">
        <f>IFERROR(_xlfn.LET(_xlpm.v,IFERROR(_xlfn.XLOOKUP(AA24,W51:AF51,W52:AF52),_xlfn.XLOOKUP(AA24,W53:AF53,W54:AF54)),_xlpm.v*Z24*AB24*AB15*IF(ISBLANK(W24),1,W24)),0)</f>
        <v>9.0000000000000011E-2</v>
      </c>
      <c r="AF24" s="1476" t="str">
        <f>_xlfn.LET(_xlpm.unite,SUBSTITUTE(TRIM(AA24)," (s)",""),_xlpm.val,AE24,_xlpm.estVol,COUNTIF(Z51:AF51,_xlpm.unite)+COUNTIF(Z53:AF53,_xlpm.unite)&gt;0,_xlpm.estPoids,COUNTIF(W51:Y51,_xlpm.unite)+COUNTIF(W53:Y53,_xlpm.unite)&gt;0,IF(_xlpm.estVol,IF(ROUND(_xlpm.val,3)&gt;=1,ROUND(_xlpm.val,3)&amp;" L",MAX(1,ROUND(_xlpm.val*100,0))&amp;" cl"),IF(_xlpm.estPoids,IF(ROUND(_xlpm.val,3)&gt;=1,ROUND(_xlpm.val,3)&amp;" Kg",MAX(1,ROUND(_xlpm.val*1000,0))&amp;" g"),"")))</f>
        <v>90 g</v>
      </c>
      <c r="AH24" s="104" t="str">
        <f t="shared" si="7"/>
        <v>A</v>
      </c>
      <c r="AI24" s="32" t="str">
        <f>AI16</f>
        <v>P PRENSADO DE MORCILLA (TERRINA) | | Autor &gt; Guy KRENZE - Eric GODDYN - Arnaud NICOLAS - CEPROC 2002</v>
      </c>
      <c r="AJ24" s="33">
        <f>AJ16</f>
        <v>20</v>
      </c>
      <c r="AK24" s="32" t="str">
        <f>AK16</f>
        <v>pressés de boudin</v>
      </c>
      <c r="AL24" s="34" t="str">
        <f>AL16</f>
        <v>Receta madre ► Morcilla en 4 versiones</v>
      </c>
      <c r="AM24" s="92"/>
      <c r="AN24" s="108"/>
      <c r="AO24" s="94" t="str">
        <f t="shared" si="4"/>
        <v/>
      </c>
      <c r="AP24" s="95">
        <v>50</v>
      </c>
      <c r="AQ24" s="105" t="s">
        <v>99</v>
      </c>
      <c r="AR24" s="127">
        <v>1</v>
      </c>
      <c r="AS24" s="920" t="s">
        <v>12892</v>
      </c>
      <c r="AT24" s="1495">
        <f>IF(OR(ISBLANK(AM14),AT14=0),0,AM24*AR15)</f>
        <v>0</v>
      </c>
      <c r="AU24" s="101">
        <f>IFERROR(_xlfn.LET(_xlpm.v,IFERROR(_xlfn.XLOOKUP(AQ24,AM51:AV51,AM52:AV52),_xlfn.XLOOKUP(AQ24,AM53:AV53,AM54:AV54)),_xlpm.v*AP24*AR24*AR15*IF(ISBLANK(AM24),1,AM24)),0)</f>
        <v>9.0000000000000011E-2</v>
      </c>
      <c r="AV24" s="1476" t="str">
        <f>_xlfn.LET(_xlpm.unite,SUBSTITUTE(TRIM(AQ24)," (s)",""),_xlpm.val,AU24,_xlpm.estVol,COUNTIF(AP51:AV51,_xlpm.unite)+COUNTIF(AP53:AV53,_xlpm.unite)&gt;0,_xlpm.estPoids,COUNTIF(AM51:AO51,_xlpm.unite)+COUNTIF(AM53:AO53,_xlpm.unite)&gt;0,IF(_xlpm.estVol,IF(ROUND(_xlpm.val,3)&gt;=1,ROUND(_xlpm.val,3)&amp;" L",MAX(1,ROUND(_xlpm.val*100,0))&amp;" cl"),IF(_xlpm.estPoids,IF(ROUND(_xlpm.val,3)&gt;=1,ROUND(_xlpm.val,3)&amp;" Kg",MAX(1,ROUND(_xlpm.val*1000,0))&amp;" g"),"")))</f>
        <v>90 g</v>
      </c>
      <c r="AY24" s="3">
        <v>1</v>
      </c>
    </row>
    <row r="25" spans="2:51" ht="27" customHeight="1">
      <c r="B25" s="104" t="str">
        <f t="shared" si="5"/>
        <v>A</v>
      </c>
      <c r="C25" s="32" t="str">
        <f>C16</f>
        <v>P PRESSÉ DE BOUDIN NOIR | | Auteur &gt; Guy KRENZE - Eric GODDYN - Arnaud NICOLAS - CEPROC 2002</v>
      </c>
      <c r="D25" s="33">
        <f>D16</f>
        <v>20</v>
      </c>
      <c r="E25" s="32" t="str">
        <f>E16</f>
        <v>pressés de boudin</v>
      </c>
      <c r="F25" s="34" t="str">
        <f>F16</f>
        <v>Recette mère ► le Boudin en 4 déclinaisons</v>
      </c>
      <c r="G25" s="92"/>
      <c r="H25" s="108"/>
      <c r="I25" s="94" t="str">
        <f t="shared" si="2"/>
        <v/>
      </c>
      <c r="J25" s="95">
        <v>7</v>
      </c>
      <c r="K25" s="105" t="s">
        <v>99</v>
      </c>
      <c r="L25" s="127">
        <v>1</v>
      </c>
      <c r="M25" s="920" t="s">
        <v>12851</v>
      </c>
      <c r="N25" s="1495">
        <f>IF(OR(ISBLANK(G14),N14=0),0,G25*L15)</f>
        <v>0</v>
      </c>
      <c r="O25" s="101">
        <f>IFERROR(_xlfn.LET(_xlpm.v,IFERROR(_xlfn.XLOOKUP(K25,G51:P51,G52:P52),_xlfn.XLOOKUP(K25,G53:P53,G54:P54)),_xlpm.v*J25*L25*L15*IF(ISBLANK(G25),1,G25)),0)</f>
        <v>7.0000000000000001E-3</v>
      </c>
      <c r="P25" s="1475" t="str">
        <f>_xlfn.LET(_xlpm.unite,SUBSTITUTE(TRIM(K25)," (s)",""),_xlpm.val,O25,_xlpm.estVol,COUNTIF(J51:P51,_xlpm.unite)+COUNTIF(J53:P53,_xlpm.unite)&gt;0,_xlpm.estPoids,COUNTIF(G51:I51,_xlpm.unite)+COUNTIF(G53:I53,_xlpm.unite)&gt;0,IF(_xlpm.estVol,IF(ROUND(_xlpm.val,3)&gt;=1,ROUND(_xlpm.val,3)&amp;" L",MAX(1,ROUND(_xlpm.val*100,0))&amp;" cl"),IF(_xlpm.estPoids,IF(ROUND(_xlpm.val,3)&gt;=1,ROUND(_xlpm.val,3)&amp;" Kg",MAX(1,ROUND(_xlpm.val*1000,0))&amp;" g"),"")))</f>
        <v>7 g</v>
      </c>
      <c r="R25" s="104" t="str">
        <f t="shared" si="6"/>
        <v>A</v>
      </c>
      <c r="S25" s="32" t="str">
        <f>S16</f>
        <v>P PRESSED BLACK PUDDING TERRINE | |  Author &gt; Guy KRENZE - Eric GODDYN - Arnaud NICOLAS - CEPROC 2002</v>
      </c>
      <c r="T25" s="33">
        <f>T16</f>
        <v>20</v>
      </c>
      <c r="U25" s="32" t="str">
        <f>U16</f>
        <v>pressés de boudin</v>
      </c>
      <c r="V25" s="34" t="str">
        <f>V16</f>
        <v>Master recipe ► Black pudding in 4 variations</v>
      </c>
      <c r="W25" s="92"/>
      <c r="X25" s="108"/>
      <c r="Y25" s="94" t="str">
        <f t="shared" si="3"/>
        <v/>
      </c>
      <c r="Z25" s="95">
        <v>7</v>
      </c>
      <c r="AA25" s="105" t="s">
        <v>99</v>
      </c>
      <c r="AB25" s="127">
        <v>1</v>
      </c>
      <c r="AC25" s="920" t="s">
        <v>12959</v>
      </c>
      <c r="AD25" s="1495">
        <f>IF(OR(ISBLANK(W14),AD14=0),0,W25*AB15)</f>
        <v>0</v>
      </c>
      <c r="AE25" s="101">
        <f>IFERROR(_xlfn.LET(_xlpm.v,IFERROR(_xlfn.XLOOKUP(AA25,W51:AF51,W52:AF52),_xlfn.XLOOKUP(AA25,W53:AF53,W54:AF54)),_xlpm.v*Z25*AB25*AB15*IF(ISBLANK(W25),1,W25)),0)</f>
        <v>1.26E-2</v>
      </c>
      <c r="AF25" s="1475" t="str">
        <f>_xlfn.LET(_xlpm.unite,SUBSTITUTE(TRIM(AA25)," (s)",""),_xlpm.val,AE25,_xlpm.estVol,COUNTIF(Z51:AF51,_xlpm.unite)+COUNTIF(Z53:AF53,_xlpm.unite)&gt;0,_xlpm.estPoids,COUNTIF(W51:Y51,_xlpm.unite)+COUNTIF(W53:Y53,_xlpm.unite)&gt;0,IF(_xlpm.estVol,IF(ROUND(_xlpm.val,3)&gt;=1,ROUND(_xlpm.val,3)&amp;" L",MAX(1,ROUND(_xlpm.val*100,0))&amp;" cl"),IF(_xlpm.estPoids,IF(ROUND(_xlpm.val,3)&gt;=1,ROUND(_xlpm.val,3)&amp;" Kg",MAX(1,ROUND(_xlpm.val*1000,0))&amp;" g"),"")))</f>
        <v>13 g</v>
      </c>
      <c r="AH25" s="104" t="str">
        <f t="shared" si="7"/>
        <v>A</v>
      </c>
      <c r="AI25" s="32" t="str">
        <f>AI16</f>
        <v>P PRENSADO DE MORCILLA (TERRINA) | | Autor &gt; Guy KRENZE - Eric GODDYN - Arnaud NICOLAS - CEPROC 2002</v>
      </c>
      <c r="AJ25" s="33">
        <f>AJ16</f>
        <v>20</v>
      </c>
      <c r="AK25" s="32" t="str">
        <f>AK16</f>
        <v>pressés de boudin</v>
      </c>
      <c r="AL25" s="34" t="str">
        <f>AL16</f>
        <v>Receta madre ► Morcilla en 4 versiones</v>
      </c>
      <c r="AM25" s="92"/>
      <c r="AN25" s="108"/>
      <c r="AO25" s="94" t="str">
        <f t="shared" si="4"/>
        <v/>
      </c>
      <c r="AP25" s="95">
        <v>7</v>
      </c>
      <c r="AQ25" s="105" t="s">
        <v>99</v>
      </c>
      <c r="AR25" s="127">
        <v>1</v>
      </c>
      <c r="AS25" s="920" t="s">
        <v>12960</v>
      </c>
      <c r="AT25" s="1495">
        <f>IF(OR(ISBLANK(AM14),AT14=0),0,AM25*AR15)</f>
        <v>0</v>
      </c>
      <c r="AU25" s="101">
        <f>IFERROR(_xlfn.LET(_xlpm.v,IFERROR(_xlfn.XLOOKUP(AQ25,AM51:AV51,AM52:AV52),_xlfn.XLOOKUP(AQ25,AM53:AV53,AM54:AV54)),_xlpm.v*AP25*AR25*AR15*IF(ISBLANK(AM25),1,AM25)),0)</f>
        <v>1.26E-2</v>
      </c>
      <c r="AV25" s="1475" t="str">
        <f>_xlfn.LET(_xlpm.unite,SUBSTITUTE(TRIM(AQ25)," (s)",""),_xlpm.val,AU25,_xlpm.estVol,COUNTIF(AP51:AV51,_xlpm.unite)+COUNTIF(AP53:AV53,_xlpm.unite)&gt;0,_xlpm.estPoids,COUNTIF(AM51:AO51,_xlpm.unite)+COUNTIF(AM53:AO53,_xlpm.unite)&gt;0,IF(_xlpm.estVol,IF(ROUND(_xlpm.val,3)&gt;=1,ROUND(_xlpm.val,3)&amp;" L",MAX(1,ROUND(_xlpm.val*100,0))&amp;" cl"),IF(_xlpm.estPoids,IF(ROUND(_xlpm.val,3)&gt;=1,ROUND(_xlpm.val,3)&amp;" Kg",MAX(1,ROUND(_xlpm.val*1000,0))&amp;" g"),"")))</f>
        <v>13 g</v>
      </c>
      <c r="AY25" s="3">
        <v>1</v>
      </c>
    </row>
    <row r="26" spans="2:51" ht="27" customHeight="1">
      <c r="B26" s="104" t="str">
        <f t="shared" si="5"/>
        <v>A</v>
      </c>
      <c r="C26" s="32" t="str">
        <f>C16</f>
        <v>P PRESSÉ DE BOUDIN NOIR | | Auteur &gt; Guy KRENZE - Eric GODDYN - Arnaud NICOLAS - CEPROC 2002</v>
      </c>
      <c r="D26" s="33">
        <f>D16</f>
        <v>20</v>
      </c>
      <c r="E26" s="32" t="str">
        <f>E16</f>
        <v>pressés de boudin</v>
      </c>
      <c r="F26" s="34" t="str">
        <f>F16</f>
        <v>Recette mère ► le Boudin en 4 déclinaisons</v>
      </c>
      <c r="G26" s="92"/>
      <c r="H26" s="108"/>
      <c r="I26" s="94" t="str">
        <f t="shared" si="2"/>
        <v/>
      </c>
      <c r="J26" s="95">
        <v>20</v>
      </c>
      <c r="K26" s="105" t="s">
        <v>99</v>
      </c>
      <c r="L26" s="127">
        <v>1</v>
      </c>
      <c r="M26" s="920" t="s">
        <v>12852</v>
      </c>
      <c r="N26" s="1495">
        <f>IF(OR(ISBLANK(G14),N14=0),0,G26*L15)</f>
        <v>0</v>
      </c>
      <c r="O26" s="101">
        <f>IFERROR(_xlfn.LET(_xlpm.v,IFERROR(_xlfn.XLOOKUP(K26,G51:P51,G52:P52),_xlfn.XLOOKUP(K26,G53:P53,G54:P54)),_xlpm.v*J26*L26*L15*IF(ISBLANK(G26),1,G26)),0)</f>
        <v>0.02</v>
      </c>
      <c r="P26" s="1476" t="str">
        <f>_xlfn.LET(_xlpm.unite,SUBSTITUTE(TRIM(K26)," (s)",""),_xlpm.val,O26,_xlpm.estVol,COUNTIF(J51:P51,_xlpm.unite)+COUNTIF(J53:P53,_xlpm.unite)&gt;0,_xlpm.estPoids,COUNTIF(G51:I51,_xlpm.unite)+COUNTIF(G53:I53,_xlpm.unite)&gt;0,IF(_xlpm.estVol,IF(ROUND(_xlpm.val,3)&gt;=1,ROUND(_xlpm.val,3)&amp;" L",MAX(1,ROUND(_xlpm.val*100,0))&amp;" cl"),IF(_xlpm.estPoids,IF(ROUND(_xlpm.val,3)&gt;=1,ROUND(_xlpm.val,3)&amp;" Kg",MAX(1,ROUND(_xlpm.val*1000,0))&amp;" g"),"")))</f>
        <v>20 g</v>
      </c>
      <c r="R26" s="104" t="str">
        <f t="shared" si="6"/>
        <v>A</v>
      </c>
      <c r="S26" s="32" t="str">
        <f>S16</f>
        <v>P PRESSED BLACK PUDDING TERRINE | |  Author &gt; Guy KRENZE - Eric GODDYN - Arnaud NICOLAS - CEPROC 2002</v>
      </c>
      <c r="T26" s="33">
        <f>T16</f>
        <v>20</v>
      </c>
      <c r="U26" s="32" t="str">
        <f>U16</f>
        <v>pressés de boudin</v>
      </c>
      <c r="V26" s="34" t="str">
        <f>V16</f>
        <v>Master recipe ► Black pudding in 4 variations</v>
      </c>
      <c r="W26" s="92"/>
      <c r="X26" s="108"/>
      <c r="Y26" s="94" t="str">
        <f t="shared" si="3"/>
        <v/>
      </c>
      <c r="Z26" s="95">
        <v>20</v>
      </c>
      <c r="AA26" s="105" t="s">
        <v>99</v>
      </c>
      <c r="AB26" s="127">
        <v>1</v>
      </c>
      <c r="AC26" s="920" t="s">
        <v>12961</v>
      </c>
      <c r="AD26" s="1495">
        <f>IF(OR(ISBLANK(W14),AD14=0),0,W26*AB15)</f>
        <v>0</v>
      </c>
      <c r="AE26" s="101">
        <f>IFERROR(_xlfn.LET(_xlpm.v,IFERROR(_xlfn.XLOOKUP(AA26,W51:AF51,W52:AF52),_xlfn.XLOOKUP(AA26,W53:AF53,W54:AF54)),_xlpm.v*Z26*AB26*AB15*IF(ISBLANK(W26),1,W26)),0)</f>
        <v>3.6000000000000004E-2</v>
      </c>
      <c r="AF26" s="1476" t="str">
        <f>_xlfn.LET(_xlpm.unite,SUBSTITUTE(TRIM(AA26)," (s)",""),_xlpm.val,AE26,_xlpm.estVol,COUNTIF(Z51:AF51,_xlpm.unite)+COUNTIF(Z53:AF53,_xlpm.unite)&gt;0,_xlpm.estPoids,COUNTIF(W51:Y51,_xlpm.unite)+COUNTIF(W53:Y53,_xlpm.unite)&gt;0,IF(_xlpm.estVol,IF(ROUND(_xlpm.val,3)&gt;=1,ROUND(_xlpm.val,3)&amp;" L",MAX(1,ROUND(_xlpm.val*100,0))&amp;" cl"),IF(_xlpm.estPoids,IF(ROUND(_xlpm.val,3)&gt;=1,ROUND(_xlpm.val,3)&amp;" Kg",MAX(1,ROUND(_xlpm.val*1000,0))&amp;" g"),"")))</f>
        <v>36 g</v>
      </c>
      <c r="AH26" s="104" t="str">
        <f t="shared" si="7"/>
        <v>A</v>
      </c>
      <c r="AI26" s="32" t="str">
        <f>AI16</f>
        <v>P PRENSADO DE MORCILLA (TERRINA) | | Autor &gt; Guy KRENZE - Eric GODDYN - Arnaud NICOLAS - CEPROC 2002</v>
      </c>
      <c r="AJ26" s="33">
        <f>AJ16</f>
        <v>20</v>
      </c>
      <c r="AK26" s="32" t="str">
        <f>AK16</f>
        <v>pressés de boudin</v>
      </c>
      <c r="AL26" s="34" t="str">
        <f>AL16</f>
        <v>Receta madre ► Morcilla en 4 versiones</v>
      </c>
      <c r="AM26" s="92"/>
      <c r="AN26" s="108"/>
      <c r="AO26" s="94" t="str">
        <f t="shared" si="4"/>
        <v/>
      </c>
      <c r="AP26" s="95">
        <v>20</v>
      </c>
      <c r="AQ26" s="105" t="s">
        <v>99</v>
      </c>
      <c r="AR26" s="127">
        <v>1</v>
      </c>
      <c r="AS26" s="920" t="s">
        <v>12962</v>
      </c>
      <c r="AT26" s="1495">
        <f>IF(OR(ISBLANK(AM14),AT14=0),0,AM26*AR15)</f>
        <v>0</v>
      </c>
      <c r="AU26" s="101">
        <f>IFERROR(_xlfn.LET(_xlpm.v,IFERROR(_xlfn.XLOOKUP(AQ26,AM51:AV51,AM52:AV52),_xlfn.XLOOKUP(AQ26,AM53:AV53,AM54:AV54)),_xlpm.v*AP26*AR26*AR15*IF(ISBLANK(AM26),1,AM26)),0)</f>
        <v>3.6000000000000004E-2</v>
      </c>
      <c r="AV26" s="1476" t="str">
        <f>_xlfn.LET(_xlpm.unite,SUBSTITUTE(TRIM(AQ26)," (s)",""),_xlpm.val,AU26,_xlpm.estVol,COUNTIF(AP51:AV51,_xlpm.unite)+COUNTIF(AP53:AV53,_xlpm.unite)&gt;0,_xlpm.estPoids,COUNTIF(AM51:AO51,_xlpm.unite)+COUNTIF(AM53:AO53,_xlpm.unite)&gt;0,IF(_xlpm.estVol,IF(ROUND(_xlpm.val,3)&gt;=1,ROUND(_xlpm.val,3)&amp;" L",MAX(1,ROUND(_xlpm.val*100,0))&amp;" cl"),IF(_xlpm.estPoids,IF(ROUND(_xlpm.val,3)&gt;=1,ROUND(_xlpm.val,3)&amp;" Kg",MAX(1,ROUND(_xlpm.val*1000,0))&amp;" g"),"")))</f>
        <v>36 g</v>
      </c>
      <c r="AY26" s="3">
        <v>1</v>
      </c>
    </row>
    <row r="27" spans="2:51" ht="27" customHeight="1">
      <c r="B27" s="104" t="str">
        <f t="shared" si="5"/>
        <v>A</v>
      </c>
      <c r="C27" s="32" t="str">
        <f>C16</f>
        <v>P PRESSÉ DE BOUDIN NOIR | | Auteur &gt; Guy KRENZE - Eric GODDYN - Arnaud NICOLAS - CEPROC 2002</v>
      </c>
      <c r="D27" s="33">
        <f>D16</f>
        <v>20</v>
      </c>
      <c r="E27" s="32" t="str">
        <f>E16</f>
        <v>pressés de boudin</v>
      </c>
      <c r="F27" s="34" t="str">
        <f>F16</f>
        <v>Recette mère ► le Boudin en 4 déclinaisons</v>
      </c>
      <c r="G27" s="92"/>
      <c r="H27" s="108"/>
      <c r="I27" s="94" t="str">
        <f t="shared" si="2"/>
        <v/>
      </c>
      <c r="J27" s="95">
        <v>300</v>
      </c>
      <c r="K27" s="105" t="s">
        <v>99</v>
      </c>
      <c r="L27" s="127">
        <v>1</v>
      </c>
      <c r="M27" s="920" t="s">
        <v>12853</v>
      </c>
      <c r="N27" s="1495">
        <f>IF(OR(ISBLANK(G14),N14=0),0,G27*L15)</f>
        <v>0</v>
      </c>
      <c r="O27" s="101">
        <f>IFERROR(_xlfn.LET(_xlpm.v,IFERROR(_xlfn.XLOOKUP(K27,G51:P51,G52:P52),_xlfn.XLOOKUP(K27,G53:P53,G54:P54)),_xlpm.v*J27*L27*L15*IF(ISBLANK(G27),1,G27)),0)</f>
        <v>0.3</v>
      </c>
      <c r="P27" s="1475" t="str">
        <f>_xlfn.LET(_xlpm.unite,SUBSTITUTE(TRIM(K27)," (s)",""),_xlpm.val,O27,_xlpm.estVol,COUNTIF(J51:P51,_xlpm.unite)+COUNTIF(J53:P53,_xlpm.unite)&gt;0,_xlpm.estPoids,COUNTIF(G51:I51,_xlpm.unite)+COUNTIF(G53:I53,_xlpm.unite)&gt;0,IF(_xlpm.estVol,IF(ROUND(_xlpm.val,3)&gt;=1,ROUND(_xlpm.val,3)&amp;" L",MAX(1,ROUND(_xlpm.val*100,0))&amp;" cl"),IF(_xlpm.estPoids,IF(ROUND(_xlpm.val,3)&gt;=1,ROUND(_xlpm.val,3)&amp;" Kg",MAX(1,ROUND(_xlpm.val*1000,0))&amp;" g"),"")))</f>
        <v>300 g</v>
      </c>
      <c r="R27" s="104" t="str">
        <f t="shared" si="6"/>
        <v>A</v>
      </c>
      <c r="S27" s="32" t="str">
        <f>S16</f>
        <v>P PRESSED BLACK PUDDING TERRINE | |  Author &gt; Guy KRENZE - Eric GODDYN - Arnaud NICOLAS - CEPROC 2002</v>
      </c>
      <c r="T27" s="33">
        <f>T16</f>
        <v>20</v>
      </c>
      <c r="U27" s="32" t="str">
        <f>U16</f>
        <v>pressés de boudin</v>
      </c>
      <c r="V27" s="34" t="str">
        <f>V16</f>
        <v>Master recipe ► Black pudding in 4 variations</v>
      </c>
      <c r="W27" s="92"/>
      <c r="X27" s="108"/>
      <c r="Y27" s="94" t="str">
        <f t="shared" si="3"/>
        <v/>
      </c>
      <c r="Z27" s="95">
        <v>300</v>
      </c>
      <c r="AA27" s="105" t="s">
        <v>99</v>
      </c>
      <c r="AB27" s="127">
        <v>1</v>
      </c>
      <c r="AC27" s="920" t="s">
        <v>12963</v>
      </c>
      <c r="AD27" s="1495">
        <f>IF(OR(ISBLANK(W14),AD14=0),0,W27*AB15)</f>
        <v>0</v>
      </c>
      <c r="AE27" s="101">
        <f>IFERROR(_xlfn.LET(_xlpm.v,IFERROR(_xlfn.XLOOKUP(AA27,W51:AF51,W52:AF52),_xlfn.XLOOKUP(AA27,W53:AF53,W54:AF54)),_xlpm.v*Z27*AB27*AB15*IF(ISBLANK(W27),1,W27)),0)</f>
        <v>0.54</v>
      </c>
      <c r="AF27" s="1475" t="str">
        <f>_xlfn.LET(_xlpm.unite,SUBSTITUTE(TRIM(AA27)," (s)",""),_xlpm.val,AE27,_xlpm.estVol,COUNTIF(Z51:AF51,_xlpm.unite)+COUNTIF(Z53:AF53,_xlpm.unite)&gt;0,_xlpm.estPoids,COUNTIF(W51:Y51,_xlpm.unite)+COUNTIF(W53:Y53,_xlpm.unite)&gt;0,IF(_xlpm.estVol,IF(ROUND(_xlpm.val,3)&gt;=1,ROUND(_xlpm.val,3)&amp;" L",MAX(1,ROUND(_xlpm.val*100,0))&amp;" cl"),IF(_xlpm.estPoids,IF(ROUND(_xlpm.val,3)&gt;=1,ROUND(_xlpm.val,3)&amp;" Kg",MAX(1,ROUND(_xlpm.val*1000,0))&amp;" g"),"")))</f>
        <v>540 g</v>
      </c>
      <c r="AH27" s="104" t="str">
        <f t="shared" si="7"/>
        <v>A</v>
      </c>
      <c r="AI27" s="32" t="str">
        <f>AI16</f>
        <v>P PRENSADO DE MORCILLA (TERRINA) | | Autor &gt; Guy KRENZE - Eric GODDYN - Arnaud NICOLAS - CEPROC 2002</v>
      </c>
      <c r="AJ27" s="33">
        <f>AJ16</f>
        <v>20</v>
      </c>
      <c r="AK27" s="32" t="str">
        <f>AK16</f>
        <v>pressés de boudin</v>
      </c>
      <c r="AL27" s="34" t="str">
        <f>AL16</f>
        <v>Receta madre ► Morcilla en 4 versiones</v>
      </c>
      <c r="AM27" s="92"/>
      <c r="AN27" s="108"/>
      <c r="AO27" s="94" t="str">
        <f t="shared" si="4"/>
        <v/>
      </c>
      <c r="AP27" s="95">
        <v>300</v>
      </c>
      <c r="AQ27" s="105" t="s">
        <v>99</v>
      </c>
      <c r="AR27" s="127">
        <v>1</v>
      </c>
      <c r="AS27" s="920" t="s">
        <v>12964</v>
      </c>
      <c r="AT27" s="1495">
        <f>IF(OR(ISBLANK(AM14),AT14=0),0,AM27*AR15)</f>
        <v>0</v>
      </c>
      <c r="AU27" s="101">
        <f>IFERROR(_xlfn.LET(_xlpm.v,IFERROR(_xlfn.XLOOKUP(AQ27,AM51:AV51,AM52:AV52),_xlfn.XLOOKUP(AQ27,AM53:AV53,AM54:AV54)),_xlpm.v*AP27*AR27*AR15*IF(ISBLANK(AM27),1,AM27)),0)</f>
        <v>0.54</v>
      </c>
      <c r="AV27" s="1475" t="str">
        <f>_xlfn.LET(_xlpm.unite,SUBSTITUTE(TRIM(AQ27)," (s)",""),_xlpm.val,AU27,_xlpm.estVol,COUNTIF(AP51:AV51,_xlpm.unite)+COUNTIF(AP53:AV53,_xlpm.unite)&gt;0,_xlpm.estPoids,COUNTIF(AM51:AO51,_xlpm.unite)+COUNTIF(AM53:AO53,_xlpm.unite)&gt;0,IF(_xlpm.estVol,IF(ROUND(_xlpm.val,3)&gt;=1,ROUND(_xlpm.val,3)&amp;" L",MAX(1,ROUND(_xlpm.val*100,0))&amp;" cl"),IF(_xlpm.estPoids,IF(ROUND(_xlpm.val,3)&gt;=1,ROUND(_xlpm.val,3)&amp;" Kg",MAX(1,ROUND(_xlpm.val*1000,0))&amp;" g"),"")))</f>
        <v>540 g</v>
      </c>
      <c r="AY27" s="3">
        <v>1</v>
      </c>
    </row>
    <row r="28" spans="2:51" ht="27" customHeight="1">
      <c r="B28" s="104" t="str">
        <f t="shared" si="5"/>
        <v>A</v>
      </c>
      <c r="C28" s="32" t="str">
        <f>C16</f>
        <v>P PRESSÉ DE BOUDIN NOIR | | Auteur &gt; Guy KRENZE - Eric GODDYN - Arnaud NICOLAS - CEPROC 2002</v>
      </c>
      <c r="D28" s="33">
        <f>D16</f>
        <v>20</v>
      </c>
      <c r="E28" s="32" t="str">
        <f>E16</f>
        <v>pressés de boudin</v>
      </c>
      <c r="F28" s="34" t="str">
        <f>F16</f>
        <v>Recette mère ► le Boudin en 4 déclinaisons</v>
      </c>
      <c r="G28" s="92"/>
      <c r="H28" s="108"/>
      <c r="I28" s="94" t="str">
        <f t="shared" si="2"/>
        <v/>
      </c>
      <c r="J28" s="95">
        <v>2</v>
      </c>
      <c r="K28" s="105" t="s">
        <v>99</v>
      </c>
      <c r="L28" s="127">
        <v>1</v>
      </c>
      <c r="M28" s="920" t="s">
        <v>12827</v>
      </c>
      <c r="N28" s="1495">
        <f>IF(OR(ISBLANK(G14),N14=0),0,G28*L15)</f>
        <v>0</v>
      </c>
      <c r="O28" s="101">
        <f>IFERROR(_xlfn.LET(_xlpm.v,IFERROR(_xlfn.XLOOKUP(K28,G51:P51,G52:P52),_xlfn.XLOOKUP(K28,G53:P53,G54:P54)),_xlpm.v*J28*L28*L15*IF(ISBLANK(G28),1,G28)),0)</f>
        <v>2E-3</v>
      </c>
      <c r="P28" s="1476" t="str">
        <f>_xlfn.LET(_xlpm.unite,SUBSTITUTE(TRIM(K28)," (s)",""),_xlpm.val,O28,_xlpm.estVol,COUNTIF(J51:P51,_xlpm.unite)+COUNTIF(J53:P53,_xlpm.unite)&gt;0,_xlpm.estPoids,COUNTIF(G51:I51,_xlpm.unite)+COUNTIF(G53:I53,_xlpm.unite)&gt;0,IF(_xlpm.estVol,IF(ROUND(_xlpm.val,3)&gt;=1,ROUND(_xlpm.val,3)&amp;" L",MAX(1,ROUND(_xlpm.val*100,0))&amp;" cl"),IF(_xlpm.estPoids,IF(ROUND(_xlpm.val,3)&gt;=1,ROUND(_xlpm.val,3)&amp;" Kg",MAX(1,ROUND(_xlpm.val*1000,0))&amp;" g"),"")))</f>
        <v>2 g</v>
      </c>
      <c r="R28" s="104" t="str">
        <f t="shared" si="6"/>
        <v>A</v>
      </c>
      <c r="S28" s="32" t="str">
        <f>S16</f>
        <v>P PRESSED BLACK PUDDING TERRINE | |  Author &gt; Guy KRENZE - Eric GODDYN - Arnaud NICOLAS - CEPROC 2002</v>
      </c>
      <c r="T28" s="33">
        <f>T16</f>
        <v>20</v>
      </c>
      <c r="U28" s="32" t="str">
        <f>U16</f>
        <v>pressés de boudin</v>
      </c>
      <c r="V28" s="34" t="str">
        <f>V16</f>
        <v>Master recipe ► Black pudding in 4 variations</v>
      </c>
      <c r="W28" s="92"/>
      <c r="X28" s="108"/>
      <c r="Y28" s="94" t="str">
        <f t="shared" si="3"/>
        <v/>
      </c>
      <c r="Z28" s="95">
        <v>2</v>
      </c>
      <c r="AA28" s="105" t="s">
        <v>99</v>
      </c>
      <c r="AB28" s="127">
        <v>1</v>
      </c>
      <c r="AC28" s="920" t="s">
        <v>12882</v>
      </c>
      <c r="AD28" s="1495">
        <f>IF(OR(ISBLANK(W14),AD14=0),0,W28*AB15)</f>
        <v>0</v>
      </c>
      <c r="AE28" s="101">
        <f>IFERROR(_xlfn.LET(_xlpm.v,IFERROR(_xlfn.XLOOKUP(AA28,W51:AF51,W52:AF52),_xlfn.XLOOKUP(AA28,W53:AF53,W54:AF54)),_xlpm.v*Z28*AB28*AB15*IF(ISBLANK(W28),1,W28)),0)</f>
        <v>3.6000000000000003E-3</v>
      </c>
      <c r="AF28" s="1476" t="str">
        <f>_xlfn.LET(_xlpm.unite,SUBSTITUTE(TRIM(AA28)," (s)",""),_xlpm.val,AE28,_xlpm.estVol,COUNTIF(Z51:AF51,_xlpm.unite)+COUNTIF(Z53:AF53,_xlpm.unite)&gt;0,_xlpm.estPoids,COUNTIF(W51:Y51,_xlpm.unite)+COUNTIF(W53:Y53,_xlpm.unite)&gt;0,IF(_xlpm.estVol,IF(ROUND(_xlpm.val,3)&gt;=1,ROUND(_xlpm.val,3)&amp;" L",MAX(1,ROUND(_xlpm.val*100,0))&amp;" cl"),IF(_xlpm.estPoids,IF(ROUND(_xlpm.val,3)&gt;=1,ROUND(_xlpm.val,3)&amp;" Kg",MAX(1,ROUND(_xlpm.val*1000,0))&amp;" g"),"")))</f>
        <v>4 g</v>
      </c>
      <c r="AH28" s="104" t="str">
        <f t="shared" si="7"/>
        <v>A</v>
      </c>
      <c r="AI28" s="32" t="str">
        <f>AI16</f>
        <v>P PRENSADO DE MORCILLA (TERRINA) | | Autor &gt; Guy KRENZE - Eric GODDYN - Arnaud NICOLAS - CEPROC 2002</v>
      </c>
      <c r="AJ28" s="33">
        <f>AJ16</f>
        <v>20</v>
      </c>
      <c r="AK28" s="32" t="str">
        <f>AK16</f>
        <v>pressés de boudin</v>
      </c>
      <c r="AL28" s="34" t="str">
        <f>AL16</f>
        <v>Receta madre ► Morcilla en 4 versiones</v>
      </c>
      <c r="AM28" s="92"/>
      <c r="AN28" s="108"/>
      <c r="AO28" s="94" t="str">
        <f t="shared" si="4"/>
        <v/>
      </c>
      <c r="AP28" s="95">
        <v>2</v>
      </c>
      <c r="AQ28" s="105" t="s">
        <v>99</v>
      </c>
      <c r="AR28" s="127">
        <v>1</v>
      </c>
      <c r="AS28" s="920" t="s">
        <v>12883</v>
      </c>
      <c r="AT28" s="1495">
        <f>IF(OR(ISBLANK(AM14),AT14=0),0,AM28*AR15)</f>
        <v>0</v>
      </c>
      <c r="AU28" s="101">
        <f>IFERROR(_xlfn.LET(_xlpm.v,IFERROR(_xlfn.XLOOKUP(AQ28,AM51:AV51,AM52:AV52),_xlfn.XLOOKUP(AQ28,AM53:AV53,AM54:AV54)),_xlpm.v*AP28*AR28*AR15*IF(ISBLANK(AM28),1,AM28)),0)</f>
        <v>3.6000000000000003E-3</v>
      </c>
      <c r="AV28" s="1476" t="str">
        <f>_xlfn.LET(_xlpm.unite,SUBSTITUTE(TRIM(AQ28)," (s)",""),_xlpm.val,AU28,_xlpm.estVol,COUNTIF(AP51:AV51,_xlpm.unite)+COUNTIF(AP53:AV53,_xlpm.unite)&gt;0,_xlpm.estPoids,COUNTIF(AM51:AO51,_xlpm.unite)+COUNTIF(AM53:AO53,_xlpm.unite)&gt;0,IF(_xlpm.estVol,IF(ROUND(_xlpm.val,3)&gt;=1,ROUND(_xlpm.val,3)&amp;" L",MAX(1,ROUND(_xlpm.val*100,0))&amp;" cl"),IF(_xlpm.estPoids,IF(ROUND(_xlpm.val,3)&gt;=1,ROUND(_xlpm.val,3)&amp;" Kg",MAX(1,ROUND(_xlpm.val*1000,0))&amp;" g"),"")))</f>
        <v>4 g</v>
      </c>
      <c r="AY28" s="3">
        <v>1</v>
      </c>
    </row>
    <row r="29" spans="2:51" ht="27" customHeight="1">
      <c r="B29" s="104" t="str">
        <f t="shared" si="5"/>
        <v>A</v>
      </c>
      <c r="C29" s="32" t="str">
        <f>C16</f>
        <v>P PRESSÉ DE BOUDIN NOIR | | Auteur &gt; Guy KRENZE - Eric GODDYN - Arnaud NICOLAS - CEPROC 2002</v>
      </c>
      <c r="D29" s="33">
        <f>D16</f>
        <v>20</v>
      </c>
      <c r="E29" s="32" t="str">
        <f>E16</f>
        <v>pressés de boudin</v>
      </c>
      <c r="F29" s="34" t="str">
        <f>F16</f>
        <v>Recette mère ► le Boudin en 4 déclinaisons</v>
      </c>
      <c r="G29" s="92"/>
      <c r="H29" s="108"/>
      <c r="I29" s="94" t="str">
        <f t="shared" si="2"/>
        <v/>
      </c>
      <c r="J29" s="95">
        <v>7</v>
      </c>
      <c r="K29" s="105" t="s">
        <v>99</v>
      </c>
      <c r="L29" s="127">
        <v>1</v>
      </c>
      <c r="M29" s="920" t="s">
        <v>8947</v>
      </c>
      <c r="N29" s="1495">
        <f>IF(OR(ISBLANK(G14),N14=0),0,G29*L15)</f>
        <v>0</v>
      </c>
      <c r="O29" s="101">
        <f>IFERROR(_xlfn.LET(_xlpm.v,IFERROR(_xlfn.XLOOKUP(K29,G51:P51,G52:P52),_xlfn.XLOOKUP(K29,G53:P53,G54:P54)),_xlpm.v*J29*L29*L15*IF(ISBLANK(G29),1,G29)),0)</f>
        <v>7.0000000000000001E-3</v>
      </c>
      <c r="P29" s="1475" t="str">
        <f>_xlfn.LET(_xlpm.unite,SUBSTITUTE(TRIM(K29)," (s)",""),_xlpm.val,O29,_xlpm.estVol,COUNTIF(J51:P51,_xlpm.unite)+COUNTIF(J53:P53,_xlpm.unite)&gt;0,_xlpm.estPoids,COUNTIF(G51:I51,_xlpm.unite)+COUNTIF(G53:I53,_xlpm.unite)&gt;0,IF(_xlpm.estVol,IF(ROUND(_xlpm.val,3)&gt;=1,ROUND(_xlpm.val,3)&amp;" L",MAX(1,ROUND(_xlpm.val*100,0))&amp;" cl"),IF(_xlpm.estPoids,IF(ROUND(_xlpm.val,3)&gt;=1,ROUND(_xlpm.val,3)&amp;" Kg",MAX(1,ROUND(_xlpm.val*1000,0))&amp;" g"),"")))</f>
        <v>7 g</v>
      </c>
      <c r="R29" s="104" t="str">
        <f t="shared" si="6"/>
        <v>A</v>
      </c>
      <c r="S29" s="32" t="str">
        <f>S16</f>
        <v>P PRESSED BLACK PUDDING TERRINE | |  Author &gt; Guy KRENZE - Eric GODDYN - Arnaud NICOLAS - CEPROC 2002</v>
      </c>
      <c r="T29" s="33">
        <f>T16</f>
        <v>20</v>
      </c>
      <c r="U29" s="32" t="str">
        <f>U16</f>
        <v>pressés de boudin</v>
      </c>
      <c r="V29" s="34" t="str">
        <f>V16</f>
        <v>Master recipe ► Black pudding in 4 variations</v>
      </c>
      <c r="W29" s="92"/>
      <c r="X29" s="108"/>
      <c r="Y29" s="94" t="str">
        <f t="shared" si="3"/>
        <v/>
      </c>
      <c r="Z29" s="95">
        <v>7</v>
      </c>
      <c r="AA29" s="105" t="s">
        <v>99</v>
      </c>
      <c r="AB29" s="127">
        <v>1</v>
      </c>
      <c r="AC29" s="920" t="s">
        <v>12884</v>
      </c>
      <c r="AD29" s="1495">
        <f>IF(OR(ISBLANK(W14),AD14=0),0,W29*AB15)</f>
        <v>0</v>
      </c>
      <c r="AE29" s="101">
        <f>IFERROR(_xlfn.LET(_xlpm.v,IFERROR(_xlfn.XLOOKUP(AA29,W51:AF51,W52:AF52),_xlfn.XLOOKUP(AA29,W53:AF53,W54:AF54)),_xlpm.v*Z29*AB29*AB15*IF(ISBLANK(W29),1,W29)),0)</f>
        <v>1.26E-2</v>
      </c>
      <c r="AF29" s="1475" t="str">
        <f>_xlfn.LET(_xlpm.unite,SUBSTITUTE(TRIM(AA29)," (s)",""),_xlpm.val,AE29,_xlpm.estVol,COUNTIF(Z51:AF51,_xlpm.unite)+COUNTIF(Z53:AF53,_xlpm.unite)&gt;0,_xlpm.estPoids,COUNTIF(W51:Y51,_xlpm.unite)+COUNTIF(W53:Y53,_xlpm.unite)&gt;0,IF(_xlpm.estVol,IF(ROUND(_xlpm.val,3)&gt;=1,ROUND(_xlpm.val,3)&amp;" L",MAX(1,ROUND(_xlpm.val*100,0))&amp;" cl"),IF(_xlpm.estPoids,IF(ROUND(_xlpm.val,3)&gt;=1,ROUND(_xlpm.val,3)&amp;" Kg",MAX(1,ROUND(_xlpm.val*1000,0))&amp;" g"),"")))</f>
        <v>13 g</v>
      </c>
      <c r="AH29" s="104" t="str">
        <f t="shared" si="7"/>
        <v>A</v>
      </c>
      <c r="AI29" s="32" t="str">
        <f>AI16</f>
        <v>P PRENSADO DE MORCILLA (TERRINA) | | Autor &gt; Guy KRENZE - Eric GODDYN - Arnaud NICOLAS - CEPROC 2002</v>
      </c>
      <c r="AJ29" s="33">
        <f>AJ16</f>
        <v>20</v>
      </c>
      <c r="AK29" s="32" t="str">
        <f>AK16</f>
        <v>pressés de boudin</v>
      </c>
      <c r="AL29" s="34" t="str">
        <f>AL16</f>
        <v>Receta madre ► Morcilla en 4 versiones</v>
      </c>
      <c r="AM29" s="92"/>
      <c r="AN29" s="108"/>
      <c r="AO29" s="94" t="str">
        <f t="shared" si="4"/>
        <v/>
      </c>
      <c r="AP29" s="95">
        <v>7</v>
      </c>
      <c r="AQ29" s="105" t="s">
        <v>99</v>
      </c>
      <c r="AR29" s="127">
        <v>1</v>
      </c>
      <c r="AS29" s="920" t="s">
        <v>12885</v>
      </c>
      <c r="AT29" s="1495">
        <f>IF(OR(ISBLANK(AM14),AT14=0),0,AM29*AR15)</f>
        <v>0</v>
      </c>
      <c r="AU29" s="101">
        <f>IFERROR(_xlfn.LET(_xlpm.v,IFERROR(_xlfn.XLOOKUP(AQ29,AM51:AV51,AM52:AV52),_xlfn.XLOOKUP(AQ29,AM53:AV53,AM54:AV54)),_xlpm.v*AP29*AR29*AR15*IF(ISBLANK(AM29),1,AM29)),0)</f>
        <v>1.26E-2</v>
      </c>
      <c r="AV29" s="1475" t="str">
        <f>_xlfn.LET(_xlpm.unite,SUBSTITUTE(TRIM(AQ29)," (s)",""),_xlpm.val,AU29,_xlpm.estVol,COUNTIF(AP51:AV51,_xlpm.unite)+COUNTIF(AP53:AV53,_xlpm.unite)&gt;0,_xlpm.estPoids,COUNTIF(AM51:AO51,_xlpm.unite)+COUNTIF(AM53:AO53,_xlpm.unite)&gt;0,IF(_xlpm.estVol,IF(ROUND(_xlpm.val,3)&gt;=1,ROUND(_xlpm.val,3)&amp;" L",MAX(1,ROUND(_xlpm.val*100,0))&amp;" cl"),IF(_xlpm.estPoids,IF(ROUND(_xlpm.val,3)&gt;=1,ROUND(_xlpm.val,3)&amp;" Kg",MAX(1,ROUND(_xlpm.val*1000,0))&amp;" g"),"")))</f>
        <v>13 g</v>
      </c>
      <c r="AY29" s="3">
        <v>1</v>
      </c>
    </row>
    <row r="30" spans="2:51" ht="27" customHeight="1">
      <c r="B30" s="104" t="str">
        <f t="shared" si="5"/>
        <v>A</v>
      </c>
      <c r="C30" s="32" t="str">
        <f>C16</f>
        <v>P PRESSÉ DE BOUDIN NOIR | | Auteur &gt; Guy KRENZE - Eric GODDYN - Arnaud NICOLAS - CEPROC 2002</v>
      </c>
      <c r="D30" s="33">
        <f>D16</f>
        <v>20</v>
      </c>
      <c r="E30" s="32" t="str">
        <f>E16</f>
        <v>pressés de boudin</v>
      </c>
      <c r="F30" s="34" t="str">
        <f>F16</f>
        <v>Recette mère ► le Boudin en 4 déclinaisons</v>
      </c>
      <c r="G30" s="92"/>
      <c r="H30" s="108"/>
      <c r="I30" s="94" t="str">
        <f t="shared" si="2"/>
        <v/>
      </c>
      <c r="J30" s="95"/>
      <c r="K30" s="126"/>
      <c r="L30" s="127">
        <v>1</v>
      </c>
      <c r="M30" s="920" t="s">
        <v>12828</v>
      </c>
      <c r="N30" s="1495">
        <f>IF(OR(ISBLANK(G14),N14=0),0,G30*L15)</f>
        <v>0</v>
      </c>
      <c r="O30" s="101">
        <f>IFERROR(_xlfn.LET(_xlpm.v,IFERROR(_xlfn.XLOOKUP(K30,G51:P51,G52:P52),_xlfn.XLOOKUP(K30,G53:P53,G54:P54)),_xlpm.v*J30*L30*L15*IF(ISBLANK(G30),1,G30)),0)</f>
        <v>0</v>
      </c>
      <c r="P30" s="1476" t="str">
        <f>_xlfn.LET(_xlpm.unite,SUBSTITUTE(TRIM(K30)," (s)",""),_xlpm.val,O30,_xlpm.estVol,COUNTIF(J51:P51,_xlpm.unite)+COUNTIF(J53:P53,_xlpm.unite)&gt;0,_xlpm.estPoids,COUNTIF(G51:I51,_xlpm.unite)+COUNTIF(G53:I53,_xlpm.unite)&gt;0,IF(_xlpm.estVol,IF(ROUND(_xlpm.val,3)&gt;=1,ROUND(_xlpm.val,3)&amp;" L",MAX(1,ROUND(_xlpm.val*100,0))&amp;" cl"),IF(_xlpm.estPoids,IF(ROUND(_xlpm.val,3)&gt;=1,ROUND(_xlpm.val,3)&amp;" Kg",MAX(1,ROUND(_xlpm.val*1000,0))&amp;" g"),"")))</f>
        <v/>
      </c>
      <c r="R30" s="104" t="str">
        <f t="shared" si="6"/>
        <v>A</v>
      </c>
      <c r="S30" s="32" t="str">
        <f>S16</f>
        <v>P PRESSED BLACK PUDDING TERRINE | |  Author &gt; Guy KRENZE - Eric GODDYN - Arnaud NICOLAS - CEPROC 2002</v>
      </c>
      <c r="T30" s="33">
        <f>T16</f>
        <v>20</v>
      </c>
      <c r="U30" s="32" t="str">
        <f>U16</f>
        <v>pressés de boudin</v>
      </c>
      <c r="V30" s="34" t="str">
        <f>V16</f>
        <v>Master recipe ► Black pudding in 4 variations</v>
      </c>
      <c r="W30" s="92"/>
      <c r="X30" s="108"/>
      <c r="Y30" s="94" t="str">
        <f t="shared" si="3"/>
        <v/>
      </c>
      <c r="Z30" s="95"/>
      <c r="AA30" s="126"/>
      <c r="AB30" s="127">
        <v>1</v>
      </c>
      <c r="AC30" s="920" t="s">
        <v>12886</v>
      </c>
      <c r="AD30" s="1495">
        <f>IF(OR(ISBLANK(W14),AD14=0),0,W30*AB15)</f>
        <v>0</v>
      </c>
      <c r="AE30" s="101">
        <f>IFERROR(_xlfn.LET(_xlpm.v,IFERROR(_xlfn.XLOOKUP(AA30,W51:AF51,W52:AF52),_xlfn.XLOOKUP(AA30,W53:AF53,W54:AF54)),_xlpm.v*Z30*AB30*AB15*IF(ISBLANK(W30),1,W30)),0)</f>
        <v>0</v>
      </c>
      <c r="AF30" s="1476" t="str">
        <f>_xlfn.LET(_xlpm.unite,SUBSTITUTE(TRIM(AA30)," (s)",""),_xlpm.val,AE30,_xlpm.estVol,COUNTIF(Z51:AF51,_xlpm.unite)+COUNTIF(Z53:AF53,_xlpm.unite)&gt;0,_xlpm.estPoids,COUNTIF(W51:Y51,_xlpm.unite)+COUNTIF(W53:Y53,_xlpm.unite)&gt;0,IF(_xlpm.estVol,IF(ROUND(_xlpm.val,3)&gt;=1,ROUND(_xlpm.val,3)&amp;" L",MAX(1,ROUND(_xlpm.val*100,0))&amp;" cl"),IF(_xlpm.estPoids,IF(ROUND(_xlpm.val,3)&gt;=1,ROUND(_xlpm.val,3)&amp;" Kg",MAX(1,ROUND(_xlpm.val*1000,0))&amp;" g"),"")))</f>
        <v/>
      </c>
      <c r="AH30" s="104" t="str">
        <f t="shared" si="7"/>
        <v>A</v>
      </c>
      <c r="AI30" s="32" t="str">
        <f>AI16</f>
        <v>P PRENSADO DE MORCILLA (TERRINA) | | Autor &gt; Guy KRENZE - Eric GODDYN - Arnaud NICOLAS - CEPROC 2002</v>
      </c>
      <c r="AJ30" s="33">
        <f>AJ16</f>
        <v>20</v>
      </c>
      <c r="AK30" s="32" t="str">
        <f>AK16</f>
        <v>pressés de boudin</v>
      </c>
      <c r="AL30" s="34" t="str">
        <f>AL16</f>
        <v>Receta madre ► Morcilla en 4 versiones</v>
      </c>
      <c r="AM30" s="92"/>
      <c r="AN30" s="108"/>
      <c r="AO30" s="94" t="str">
        <f t="shared" si="4"/>
        <v/>
      </c>
      <c r="AP30" s="95"/>
      <c r="AQ30" s="126"/>
      <c r="AR30" s="127">
        <v>1</v>
      </c>
      <c r="AS30" s="920" t="s">
        <v>12887</v>
      </c>
      <c r="AT30" s="1495">
        <f>IF(OR(ISBLANK(AM14),AT14=0),0,AM30*AR15)</f>
        <v>0</v>
      </c>
      <c r="AU30" s="101">
        <f>IFERROR(_xlfn.LET(_xlpm.v,IFERROR(_xlfn.XLOOKUP(AQ30,AM51:AV51,AM52:AV52),_xlfn.XLOOKUP(AQ30,AM53:AV53,AM54:AV54)),_xlpm.v*AP30*AR30*AR15*IF(ISBLANK(AM30),1,AM30)),0)</f>
        <v>0</v>
      </c>
      <c r="AV30" s="1476" t="str">
        <f>_xlfn.LET(_xlpm.unite,SUBSTITUTE(TRIM(AQ30)," (s)",""),_xlpm.val,AU30,_xlpm.estVol,COUNTIF(AP51:AV51,_xlpm.unite)+COUNTIF(AP53:AV53,_xlpm.unite)&gt;0,_xlpm.estPoids,COUNTIF(AM51:AO51,_xlpm.unite)+COUNTIF(AM53:AO53,_xlpm.unite)&gt;0,IF(_xlpm.estVol,IF(ROUND(_xlpm.val,3)&gt;=1,ROUND(_xlpm.val,3)&amp;" L",MAX(1,ROUND(_xlpm.val*100,0))&amp;" cl"),IF(_xlpm.estPoids,IF(ROUND(_xlpm.val,3)&gt;=1,ROUND(_xlpm.val,3)&amp;" Kg",MAX(1,ROUND(_xlpm.val*1000,0))&amp;" g"),"")))</f>
        <v/>
      </c>
      <c r="AY30" s="3">
        <v>1</v>
      </c>
    </row>
    <row r="31" spans="2:51" ht="27" customHeight="1">
      <c r="B31" s="104" t="str">
        <f t="shared" si="5"/>
        <v>►</v>
      </c>
      <c r="C31" s="32" t="str">
        <f>C16</f>
        <v>P PRESSÉ DE BOUDIN NOIR | | Auteur &gt; Guy KRENZE - Eric GODDYN - Arnaud NICOLAS - CEPROC 2002</v>
      </c>
      <c r="D31" s="33">
        <f>D16</f>
        <v>20</v>
      </c>
      <c r="E31" s="32" t="str">
        <f>E16</f>
        <v>pressés de boudin</v>
      </c>
      <c r="F31" s="34" t="str">
        <f>F16</f>
        <v>Recette mère ► le Boudin en 4 déclinaisons</v>
      </c>
      <c r="G31" s="92"/>
      <c r="H31" s="108"/>
      <c r="I31" s="94" t="str">
        <f t="shared" si="2"/>
        <v/>
      </c>
      <c r="J31" s="95"/>
      <c r="K31" s="126"/>
      <c r="L31" s="127">
        <v>1</v>
      </c>
      <c r="M31" s="920"/>
      <c r="N31" s="1495">
        <f>IF(OR(ISBLANK(G14),N14=0),0,G31*L15)</f>
        <v>0</v>
      </c>
      <c r="O31" s="101">
        <f>IFERROR(_xlfn.LET(_xlpm.v,IFERROR(_xlfn.XLOOKUP(K31,G51:P51,G52:P52),_xlfn.XLOOKUP(K31,G53:P53,G54:P54)),_xlpm.v*J31*L31*L15*IF(ISBLANK(G31),1,G31)),0)</f>
        <v>0</v>
      </c>
      <c r="P31" s="1475" t="str">
        <f>_xlfn.LET(_xlpm.unite,SUBSTITUTE(TRIM(K31)," (s)",""),_xlpm.val,O31,_xlpm.estVol,COUNTIF(J51:P51,_xlpm.unite)+COUNTIF(J53:P53,_xlpm.unite)&gt;0,_xlpm.estPoids,COUNTIF(G51:I51,_xlpm.unite)+COUNTIF(G53:I53,_xlpm.unite)&gt;0,IF(_xlpm.estVol,IF(ROUND(_xlpm.val,3)&gt;=1,ROUND(_xlpm.val,3)&amp;" L",MAX(1,ROUND(_xlpm.val*100,0))&amp;" cl"),IF(_xlpm.estPoids,IF(ROUND(_xlpm.val,3)&gt;=1,ROUND(_xlpm.val,3)&amp;" Kg",MAX(1,ROUND(_xlpm.val*1000,0))&amp;" g"),"")))</f>
        <v/>
      </c>
      <c r="R31" s="104" t="str">
        <f t="shared" si="6"/>
        <v>►</v>
      </c>
      <c r="S31" s="32" t="str">
        <f>S16</f>
        <v>P PRESSED BLACK PUDDING TERRINE | |  Author &gt; Guy KRENZE - Eric GODDYN - Arnaud NICOLAS - CEPROC 2002</v>
      </c>
      <c r="T31" s="33">
        <f>T16</f>
        <v>20</v>
      </c>
      <c r="U31" s="32" t="str">
        <f>U16</f>
        <v>pressés de boudin</v>
      </c>
      <c r="V31" s="34" t="str">
        <f>V16</f>
        <v>Master recipe ► Black pudding in 4 variations</v>
      </c>
      <c r="W31" s="92"/>
      <c r="X31" s="108"/>
      <c r="Y31" s="94" t="str">
        <f t="shared" si="3"/>
        <v/>
      </c>
      <c r="Z31" s="95"/>
      <c r="AA31" s="126"/>
      <c r="AB31" s="127">
        <v>1</v>
      </c>
      <c r="AC31" s="920"/>
      <c r="AD31" s="1495">
        <f>IF(OR(ISBLANK(W14),AD14=0),0,W31*AB15)</f>
        <v>0</v>
      </c>
      <c r="AE31" s="101">
        <f>IFERROR(_xlfn.LET(_xlpm.v,IFERROR(_xlfn.XLOOKUP(AA31,W51:AF51,W52:AF52),_xlfn.XLOOKUP(AA31,W53:AF53,W54:AF54)),_xlpm.v*Z31*AB31*AB15*IF(ISBLANK(W31),1,W31)),0)</f>
        <v>0</v>
      </c>
      <c r="AF31" s="1475" t="str">
        <f>_xlfn.LET(_xlpm.unite,SUBSTITUTE(TRIM(AA31)," (s)",""),_xlpm.val,AE31,_xlpm.estVol,COUNTIF(Z51:AF51,_xlpm.unite)+COUNTIF(Z53:AF53,_xlpm.unite)&gt;0,_xlpm.estPoids,COUNTIF(W51:Y51,_xlpm.unite)+COUNTIF(W53:Y53,_xlpm.unite)&gt;0,IF(_xlpm.estVol,IF(ROUND(_xlpm.val,3)&gt;=1,ROUND(_xlpm.val,3)&amp;" L",MAX(1,ROUND(_xlpm.val*100,0))&amp;" cl"),IF(_xlpm.estPoids,IF(ROUND(_xlpm.val,3)&gt;=1,ROUND(_xlpm.val,3)&amp;" Kg",MAX(1,ROUND(_xlpm.val*1000,0))&amp;" g"),"")))</f>
        <v/>
      </c>
      <c r="AH31" s="104" t="str">
        <f t="shared" si="7"/>
        <v>►</v>
      </c>
      <c r="AI31" s="32" t="str">
        <f>AI16</f>
        <v>P PRENSADO DE MORCILLA (TERRINA) | | Autor &gt; Guy KRENZE - Eric GODDYN - Arnaud NICOLAS - CEPROC 2002</v>
      </c>
      <c r="AJ31" s="33">
        <f>AJ16</f>
        <v>20</v>
      </c>
      <c r="AK31" s="32" t="str">
        <f>AK16</f>
        <v>pressés de boudin</v>
      </c>
      <c r="AL31" s="34" t="str">
        <f>AL16</f>
        <v>Receta madre ► Morcilla en 4 versiones</v>
      </c>
      <c r="AM31" s="92"/>
      <c r="AN31" s="108"/>
      <c r="AO31" s="94" t="str">
        <f t="shared" si="4"/>
        <v/>
      </c>
      <c r="AP31" s="95"/>
      <c r="AQ31" s="126"/>
      <c r="AR31" s="127">
        <v>1</v>
      </c>
      <c r="AS31" s="920"/>
      <c r="AT31" s="1495">
        <f>IF(OR(ISBLANK(AM14),AT14=0),0,AM31*AR15)</f>
        <v>0</v>
      </c>
      <c r="AU31" s="101">
        <f>IFERROR(_xlfn.LET(_xlpm.v,IFERROR(_xlfn.XLOOKUP(AQ31,AM51:AV51,AM52:AV52),_xlfn.XLOOKUP(AQ31,AM53:AV53,AM54:AV54)),_xlpm.v*AP31*AR31*AR15*IF(ISBLANK(AM31),1,AM31)),0)</f>
        <v>0</v>
      </c>
      <c r="AV31" s="1475" t="str">
        <f>_xlfn.LET(_xlpm.unite,SUBSTITUTE(TRIM(AQ31)," (s)",""),_xlpm.val,AU31,_xlpm.estVol,COUNTIF(AP51:AV51,_xlpm.unite)+COUNTIF(AP53:AV53,_xlpm.unite)&gt;0,_xlpm.estPoids,COUNTIF(AM51:AO51,_xlpm.unite)+COUNTIF(AM53:AO53,_xlpm.unite)&gt;0,IF(_xlpm.estVol,IF(ROUND(_xlpm.val,3)&gt;=1,ROUND(_xlpm.val,3)&amp;" L",MAX(1,ROUND(_xlpm.val*100,0))&amp;" cl"),IF(_xlpm.estPoids,IF(ROUND(_xlpm.val,3)&gt;=1,ROUND(_xlpm.val,3)&amp;" Kg",MAX(1,ROUND(_xlpm.val*1000,0))&amp;" g"),"")))</f>
        <v/>
      </c>
      <c r="AY31" s="3">
        <v>1</v>
      </c>
    </row>
    <row r="32" spans="2:51" ht="27" customHeight="1">
      <c r="B32" s="104" t="str">
        <f t="shared" si="5"/>
        <v>A</v>
      </c>
      <c r="C32" s="32" t="str">
        <f>C16</f>
        <v>P PRESSÉ DE BOUDIN NOIR | | Auteur &gt; Guy KRENZE - Eric GODDYN - Arnaud NICOLAS - CEPROC 2002</v>
      </c>
      <c r="D32" s="33">
        <f>D16</f>
        <v>20</v>
      </c>
      <c r="E32" s="32" t="str">
        <f>E16</f>
        <v>pressés de boudin</v>
      </c>
      <c r="F32" s="34" t="str">
        <f>F16</f>
        <v>Recette mère ► le Boudin en 4 déclinaisons</v>
      </c>
      <c r="G32" s="92"/>
      <c r="H32" s="108"/>
      <c r="I32" s="94" t="str">
        <f t="shared" si="2"/>
        <v/>
      </c>
      <c r="J32" s="95"/>
      <c r="K32" s="126"/>
      <c r="L32" s="127">
        <v>1</v>
      </c>
      <c r="M32" s="920" t="s">
        <v>12856</v>
      </c>
      <c r="N32" s="1495">
        <f>IF(OR(ISBLANK(G14),N14=0),0,G32*L15)</f>
        <v>0</v>
      </c>
      <c r="O32" s="101">
        <f>IFERROR(_xlfn.LET(_xlpm.v,IFERROR(_xlfn.XLOOKUP(K32,G51:P51,G52:P52),_xlfn.XLOOKUP(K32,G53:P53,G54:P54)),_xlpm.v*J32*L32*L15*IF(ISBLANK(G32),1,G32)),0)</f>
        <v>0</v>
      </c>
      <c r="P32" s="1476" t="str">
        <f>_xlfn.LET(_xlpm.unite,SUBSTITUTE(TRIM(K32)," (s)",""),_xlpm.val,O32,_xlpm.estVol,COUNTIF(J51:P51,_xlpm.unite)+COUNTIF(J53:P53,_xlpm.unite)&gt;0,_xlpm.estPoids,COUNTIF(G51:I51,_xlpm.unite)+COUNTIF(G53:I53,_xlpm.unite)&gt;0,IF(_xlpm.estVol,IF(ROUND(_xlpm.val,3)&gt;=1,ROUND(_xlpm.val,3)&amp;" L",MAX(1,ROUND(_xlpm.val*100,0))&amp;" cl"),IF(_xlpm.estPoids,IF(ROUND(_xlpm.val,3)&gt;=1,ROUND(_xlpm.val,3)&amp;" Kg",MAX(1,ROUND(_xlpm.val*1000,0))&amp;" g"),"")))</f>
        <v/>
      </c>
      <c r="R32" s="104" t="str">
        <f t="shared" si="6"/>
        <v>A</v>
      </c>
      <c r="S32" s="32" t="str">
        <f>S16</f>
        <v>P PRESSED BLACK PUDDING TERRINE | |  Author &gt; Guy KRENZE - Eric GODDYN - Arnaud NICOLAS - CEPROC 2002</v>
      </c>
      <c r="T32" s="33">
        <f>T16</f>
        <v>20</v>
      </c>
      <c r="U32" s="32" t="str">
        <f>U16</f>
        <v>pressés de boudin</v>
      </c>
      <c r="V32" s="34" t="str">
        <f>V16</f>
        <v>Master recipe ► Black pudding in 4 variations</v>
      </c>
      <c r="W32" s="92"/>
      <c r="X32" s="108"/>
      <c r="Y32" s="94" t="str">
        <f t="shared" si="3"/>
        <v/>
      </c>
      <c r="Z32" s="95"/>
      <c r="AA32" s="126"/>
      <c r="AB32" s="127">
        <v>1</v>
      </c>
      <c r="AC32" s="920" t="s">
        <v>12998</v>
      </c>
      <c r="AD32" s="1495">
        <f>IF(OR(ISBLANK(W14),AD14=0),0,W32*AB15)</f>
        <v>0</v>
      </c>
      <c r="AE32" s="101">
        <f>IFERROR(_xlfn.LET(_xlpm.v,IFERROR(_xlfn.XLOOKUP(AA32,W51:AF51,W52:AF52),_xlfn.XLOOKUP(AA32,W53:AF53,W54:AF54)),_xlpm.v*Z32*AB32*AB15*IF(ISBLANK(W32),1,W32)),0)</f>
        <v>0</v>
      </c>
      <c r="AF32" s="1476" t="str">
        <f>_xlfn.LET(_xlpm.unite,SUBSTITUTE(TRIM(AA32)," (s)",""),_xlpm.val,AE32,_xlpm.estVol,COUNTIF(Z51:AF51,_xlpm.unite)+COUNTIF(Z53:AF53,_xlpm.unite)&gt;0,_xlpm.estPoids,COUNTIF(W51:Y51,_xlpm.unite)+COUNTIF(W53:Y53,_xlpm.unite)&gt;0,IF(_xlpm.estVol,IF(ROUND(_xlpm.val,3)&gt;=1,ROUND(_xlpm.val,3)&amp;" L",MAX(1,ROUND(_xlpm.val*100,0))&amp;" cl"),IF(_xlpm.estPoids,IF(ROUND(_xlpm.val,3)&gt;=1,ROUND(_xlpm.val,3)&amp;" Kg",MAX(1,ROUND(_xlpm.val*1000,0))&amp;" g"),"")))</f>
        <v/>
      </c>
      <c r="AH32" s="104" t="str">
        <f t="shared" si="7"/>
        <v>A</v>
      </c>
      <c r="AI32" s="32" t="str">
        <f>AI16</f>
        <v>P PRENSADO DE MORCILLA (TERRINA) | | Autor &gt; Guy KRENZE - Eric GODDYN - Arnaud NICOLAS - CEPROC 2002</v>
      </c>
      <c r="AJ32" s="33">
        <f>AJ16</f>
        <v>20</v>
      </c>
      <c r="AK32" s="32" t="str">
        <f>AK16</f>
        <v>pressés de boudin</v>
      </c>
      <c r="AL32" s="34" t="str">
        <f>AL16</f>
        <v>Receta madre ► Morcilla en 4 versiones</v>
      </c>
      <c r="AM32" s="92"/>
      <c r="AN32" s="108"/>
      <c r="AO32" s="94" t="str">
        <f t="shared" si="4"/>
        <v/>
      </c>
      <c r="AP32" s="95"/>
      <c r="AQ32" s="126"/>
      <c r="AR32" s="127">
        <v>1</v>
      </c>
      <c r="AS32" s="920" t="s">
        <v>12997</v>
      </c>
      <c r="AT32" s="1495">
        <f>IF(OR(ISBLANK(AM14),AT14=0),0,AM32*AR15)</f>
        <v>0</v>
      </c>
      <c r="AU32" s="101">
        <f>IFERROR(_xlfn.LET(_xlpm.v,IFERROR(_xlfn.XLOOKUP(AQ32,AM51:AV51,AM52:AV52),_xlfn.XLOOKUP(AQ32,AM53:AV53,AM54:AV54)),_xlpm.v*AP32*AR32*AR15*IF(ISBLANK(AM32),1,AM32)),0)</f>
        <v>0</v>
      </c>
      <c r="AV32" s="1476" t="str">
        <f>_xlfn.LET(_xlpm.unite,SUBSTITUTE(TRIM(AQ32)," (s)",""),_xlpm.val,AU32,_xlpm.estVol,COUNTIF(AP51:AV51,_xlpm.unite)+COUNTIF(AP53:AV53,_xlpm.unite)&gt;0,_xlpm.estPoids,COUNTIF(AM51:AO51,_xlpm.unite)+COUNTIF(AM53:AO53,_xlpm.unite)&gt;0,IF(_xlpm.estVol,IF(ROUND(_xlpm.val,3)&gt;=1,ROUND(_xlpm.val,3)&amp;" L",MAX(1,ROUND(_xlpm.val*100,0))&amp;" cl"),IF(_xlpm.estPoids,IF(ROUND(_xlpm.val,3)&gt;=1,ROUND(_xlpm.val,3)&amp;" Kg",MAX(1,ROUND(_xlpm.val*1000,0))&amp;" g"),"")))</f>
        <v/>
      </c>
      <c r="AY32" s="3">
        <v>1</v>
      </c>
    </row>
    <row r="33" spans="2:51" ht="27" customHeight="1">
      <c r="B33" s="104" t="str">
        <f t="shared" si="5"/>
        <v>A</v>
      </c>
      <c r="C33" s="32" t="str">
        <f>C16</f>
        <v>P PRESSÉ DE BOUDIN NOIR | | Auteur &gt; Guy KRENZE - Eric GODDYN - Arnaud NICOLAS - CEPROC 2002</v>
      </c>
      <c r="D33" s="33">
        <f>D16</f>
        <v>20</v>
      </c>
      <c r="E33" s="32" t="str">
        <f>E16</f>
        <v>pressés de boudin</v>
      </c>
      <c r="F33" s="34" t="str">
        <f>F16</f>
        <v>Recette mère ► le Boudin en 4 déclinaisons</v>
      </c>
      <c r="G33" s="92"/>
      <c r="H33" s="108"/>
      <c r="I33" s="94" t="str">
        <f t="shared" si="2"/>
        <v/>
      </c>
      <c r="J33" s="95">
        <v>300</v>
      </c>
      <c r="K33" s="105" t="s">
        <v>99</v>
      </c>
      <c r="L33" s="127">
        <v>1</v>
      </c>
      <c r="M33" s="920" t="s">
        <v>12848</v>
      </c>
      <c r="N33" s="1495">
        <f>IF(OR(ISBLANK(G14),N14=0),0,G33*L15)</f>
        <v>0</v>
      </c>
      <c r="O33" s="101">
        <f>IFERROR(_xlfn.LET(_xlpm.v,IFERROR(_xlfn.XLOOKUP(K33,G51:P51,G52:P52),_xlfn.XLOOKUP(K33,G53:P53,G54:P54)),_xlpm.v*J33*L33*L15*IF(ISBLANK(G33),1,G33)),0)</f>
        <v>0.3</v>
      </c>
      <c r="P33" s="1475" t="str">
        <f>_xlfn.LET(_xlpm.unite,SUBSTITUTE(TRIM(K33)," (s)",""),_xlpm.val,O33,_xlpm.estVol,COUNTIF(J51:P51,_xlpm.unite)+COUNTIF(J53:P53,_xlpm.unite)&gt;0,_xlpm.estPoids,COUNTIF(G51:I51,_xlpm.unite)+COUNTIF(G53:I53,_xlpm.unite)&gt;0,IF(_xlpm.estVol,IF(ROUND(_xlpm.val,3)&gt;=1,ROUND(_xlpm.val,3)&amp;" L",MAX(1,ROUND(_xlpm.val*100,0))&amp;" cl"),IF(_xlpm.estPoids,IF(ROUND(_xlpm.val,3)&gt;=1,ROUND(_xlpm.val,3)&amp;" Kg",MAX(1,ROUND(_xlpm.val*1000,0))&amp;" g"),"")))</f>
        <v>300 g</v>
      </c>
      <c r="R33" s="104" t="str">
        <f t="shared" si="6"/>
        <v>A</v>
      </c>
      <c r="S33" s="32" t="str">
        <f>S16</f>
        <v>P PRESSED BLACK PUDDING TERRINE | |  Author &gt; Guy KRENZE - Eric GODDYN - Arnaud NICOLAS - CEPROC 2002</v>
      </c>
      <c r="T33" s="33">
        <f>T16</f>
        <v>20</v>
      </c>
      <c r="U33" s="32" t="str">
        <f>U16</f>
        <v>pressés de boudin</v>
      </c>
      <c r="V33" s="34" t="str">
        <f>V16</f>
        <v>Master recipe ► Black pudding in 4 variations</v>
      </c>
      <c r="W33" s="92"/>
      <c r="X33" s="108"/>
      <c r="Y33" s="94" t="str">
        <f t="shared" si="3"/>
        <v/>
      </c>
      <c r="Z33" s="95">
        <v>300</v>
      </c>
      <c r="AA33" s="105" t="s">
        <v>99</v>
      </c>
      <c r="AB33" s="127">
        <v>1</v>
      </c>
      <c r="AC33" s="920" t="s">
        <v>12952</v>
      </c>
      <c r="AD33" s="1495">
        <f>IF(OR(ISBLANK(W14),AD14=0),0,W33*AB15)</f>
        <v>0</v>
      </c>
      <c r="AE33" s="101">
        <f>IFERROR(_xlfn.LET(_xlpm.v,IFERROR(_xlfn.XLOOKUP(AA33,W51:AF51,W52:AF52),_xlfn.XLOOKUP(AA33,W53:AF53,W54:AF54)),_xlpm.v*Z33*AB33*AB15*IF(ISBLANK(W33),1,W33)),0)</f>
        <v>0.54</v>
      </c>
      <c r="AF33" s="1475" t="str">
        <f>_xlfn.LET(_xlpm.unite,SUBSTITUTE(TRIM(AA33)," (s)",""),_xlpm.val,AE33,_xlpm.estVol,COUNTIF(Z51:AF51,_xlpm.unite)+COUNTIF(Z53:AF53,_xlpm.unite)&gt;0,_xlpm.estPoids,COUNTIF(W51:Y51,_xlpm.unite)+COUNTIF(W53:Y53,_xlpm.unite)&gt;0,IF(_xlpm.estVol,IF(ROUND(_xlpm.val,3)&gt;=1,ROUND(_xlpm.val,3)&amp;" L",MAX(1,ROUND(_xlpm.val*100,0))&amp;" cl"),IF(_xlpm.estPoids,IF(ROUND(_xlpm.val,3)&gt;=1,ROUND(_xlpm.val,3)&amp;" Kg",MAX(1,ROUND(_xlpm.val*1000,0))&amp;" g"),"")))</f>
        <v>540 g</v>
      </c>
      <c r="AH33" s="104" t="str">
        <f t="shared" si="7"/>
        <v>A</v>
      </c>
      <c r="AI33" s="32" t="str">
        <f>AI16</f>
        <v>P PRENSADO DE MORCILLA (TERRINA) | | Autor &gt; Guy KRENZE - Eric GODDYN - Arnaud NICOLAS - CEPROC 2002</v>
      </c>
      <c r="AJ33" s="33">
        <f>AJ16</f>
        <v>20</v>
      </c>
      <c r="AK33" s="32" t="str">
        <f>AK16</f>
        <v>pressés de boudin</v>
      </c>
      <c r="AL33" s="34" t="str">
        <f>AL16</f>
        <v>Receta madre ► Morcilla en 4 versiones</v>
      </c>
      <c r="AM33" s="92"/>
      <c r="AN33" s="108"/>
      <c r="AO33" s="94" t="str">
        <f t="shared" si="4"/>
        <v/>
      </c>
      <c r="AP33" s="95">
        <v>300</v>
      </c>
      <c r="AQ33" s="105" t="s">
        <v>99</v>
      </c>
      <c r="AR33" s="127">
        <v>1</v>
      </c>
      <c r="AS33" s="920" t="s">
        <v>12953</v>
      </c>
      <c r="AT33" s="1495">
        <f>IF(OR(ISBLANK(AM14),AT14=0),0,AM33*AR15)</f>
        <v>0</v>
      </c>
      <c r="AU33" s="101">
        <f>IFERROR(_xlfn.LET(_xlpm.v,IFERROR(_xlfn.XLOOKUP(AQ33,AM51:AV51,AM52:AV52),_xlfn.XLOOKUP(AQ33,AM53:AV53,AM54:AV54)),_xlpm.v*AP33*AR33*AR15*IF(ISBLANK(AM33),1,AM33)),0)</f>
        <v>0.54</v>
      </c>
      <c r="AV33" s="1475" t="str">
        <f>_xlfn.LET(_xlpm.unite,SUBSTITUTE(TRIM(AQ33)," (s)",""),_xlpm.val,AU33,_xlpm.estVol,COUNTIF(AP51:AV51,_xlpm.unite)+COUNTIF(AP53:AV53,_xlpm.unite)&gt;0,_xlpm.estPoids,COUNTIF(AM51:AO51,_xlpm.unite)+COUNTIF(AM53:AO53,_xlpm.unite)&gt;0,IF(_xlpm.estVol,IF(ROUND(_xlpm.val,3)&gt;=1,ROUND(_xlpm.val,3)&amp;" L",MAX(1,ROUND(_xlpm.val*100,0))&amp;" cl"),IF(_xlpm.estPoids,IF(ROUND(_xlpm.val,3)&gt;=1,ROUND(_xlpm.val,3)&amp;" Kg",MAX(1,ROUND(_xlpm.val*1000,0))&amp;" g"),"")))</f>
        <v>540 g</v>
      </c>
      <c r="AY33" s="3">
        <v>1</v>
      </c>
    </row>
    <row r="34" spans="2:51" ht="27" customHeight="1">
      <c r="B34" s="104" t="str">
        <f t="shared" si="5"/>
        <v>A</v>
      </c>
      <c r="C34" s="32" t="str">
        <f>C16</f>
        <v>P PRESSÉ DE BOUDIN NOIR | | Auteur &gt; Guy KRENZE - Eric GODDYN - Arnaud NICOLAS - CEPROC 2002</v>
      </c>
      <c r="D34" s="33">
        <f>D16</f>
        <v>20</v>
      </c>
      <c r="E34" s="32" t="str">
        <f>E16</f>
        <v>pressés de boudin</v>
      </c>
      <c r="F34" s="34" t="str">
        <f>F16</f>
        <v>Recette mère ► le Boudin en 4 déclinaisons</v>
      </c>
      <c r="G34" s="92"/>
      <c r="H34" s="108"/>
      <c r="I34" s="94" t="str">
        <f t="shared" si="2"/>
        <v/>
      </c>
      <c r="J34" s="95">
        <v>300</v>
      </c>
      <c r="K34" s="105" t="s">
        <v>99</v>
      </c>
      <c r="L34" s="127">
        <v>1</v>
      </c>
      <c r="M34" s="920" t="s">
        <v>12849</v>
      </c>
      <c r="N34" s="1495">
        <f>IF(OR(ISBLANK(G14),N14=0),0,G34*L15)</f>
        <v>0</v>
      </c>
      <c r="O34" s="101">
        <f>IFERROR(_xlfn.LET(_xlpm.v,IFERROR(_xlfn.XLOOKUP(K34,G51:P51,G52:P52),_xlfn.XLOOKUP(K34,G53:P53,G54:P54)),_xlpm.v*J34*L34*L15*IF(ISBLANK(G34),1,G34)),0)</f>
        <v>0.3</v>
      </c>
      <c r="P34" s="1476" t="str">
        <f>_xlfn.LET(_xlpm.unite,SUBSTITUTE(TRIM(K34)," (s)",""),_xlpm.val,O34,_xlpm.estVol,COUNTIF(J51:P51,_xlpm.unite)+COUNTIF(J53:P53,_xlpm.unite)&gt;0,_xlpm.estPoids,COUNTIF(G51:I51,_xlpm.unite)+COUNTIF(G53:I53,_xlpm.unite)&gt;0,IF(_xlpm.estVol,IF(ROUND(_xlpm.val,3)&gt;=1,ROUND(_xlpm.val,3)&amp;" L",MAX(1,ROUND(_xlpm.val*100,0))&amp;" cl"),IF(_xlpm.estPoids,IF(ROUND(_xlpm.val,3)&gt;=1,ROUND(_xlpm.val,3)&amp;" Kg",MAX(1,ROUND(_xlpm.val*1000,0))&amp;" g"),"")))</f>
        <v>300 g</v>
      </c>
      <c r="R34" s="104" t="str">
        <f t="shared" si="6"/>
        <v>A</v>
      </c>
      <c r="S34" s="32" t="str">
        <f>S16</f>
        <v>P PRESSED BLACK PUDDING TERRINE | |  Author &gt; Guy KRENZE - Eric GODDYN - Arnaud NICOLAS - CEPROC 2002</v>
      </c>
      <c r="T34" s="33">
        <f>T16</f>
        <v>20</v>
      </c>
      <c r="U34" s="32" t="str">
        <f>U16</f>
        <v>pressés de boudin</v>
      </c>
      <c r="V34" s="34" t="str">
        <f>V16</f>
        <v>Master recipe ► Black pudding in 4 variations</v>
      </c>
      <c r="W34" s="92"/>
      <c r="X34" s="108"/>
      <c r="Y34" s="94" t="str">
        <f t="shared" si="3"/>
        <v/>
      </c>
      <c r="Z34" s="95">
        <v>300</v>
      </c>
      <c r="AA34" s="105" t="s">
        <v>99</v>
      </c>
      <c r="AB34" s="127">
        <v>1</v>
      </c>
      <c r="AC34" s="920" t="s">
        <v>12955</v>
      </c>
      <c r="AD34" s="1495">
        <f>IF(OR(ISBLANK(W14),AD14=0),0,W34*AB15)</f>
        <v>0</v>
      </c>
      <c r="AE34" s="101">
        <f>IFERROR(_xlfn.LET(_xlpm.v,IFERROR(_xlfn.XLOOKUP(AA34,W51:AF51,W52:AF52),_xlfn.XLOOKUP(AA34,W53:AF53,W54:AF54)),_xlpm.v*Z34*AB34*AB15*IF(ISBLANK(W34),1,W34)),0)</f>
        <v>0.54</v>
      </c>
      <c r="AF34" s="1476" t="str">
        <f>_xlfn.LET(_xlpm.unite,SUBSTITUTE(TRIM(AA34)," (s)",""),_xlpm.val,AE34,_xlpm.estVol,COUNTIF(Z51:AF51,_xlpm.unite)+COUNTIF(Z53:AF53,_xlpm.unite)&gt;0,_xlpm.estPoids,COUNTIF(W51:Y51,_xlpm.unite)+COUNTIF(W53:Y53,_xlpm.unite)&gt;0,IF(_xlpm.estVol,IF(ROUND(_xlpm.val,3)&gt;=1,ROUND(_xlpm.val,3)&amp;" L",MAX(1,ROUND(_xlpm.val*100,0))&amp;" cl"),IF(_xlpm.estPoids,IF(ROUND(_xlpm.val,3)&gt;=1,ROUND(_xlpm.val,3)&amp;" Kg",MAX(1,ROUND(_xlpm.val*1000,0))&amp;" g"),"")))</f>
        <v>540 g</v>
      </c>
      <c r="AH34" s="104" t="str">
        <f t="shared" si="7"/>
        <v>A</v>
      </c>
      <c r="AI34" s="32" t="str">
        <f>AI16</f>
        <v>P PRENSADO DE MORCILLA (TERRINA) | | Autor &gt; Guy KRENZE - Eric GODDYN - Arnaud NICOLAS - CEPROC 2002</v>
      </c>
      <c r="AJ34" s="33">
        <f>AJ16</f>
        <v>20</v>
      </c>
      <c r="AK34" s="32" t="str">
        <f>AK16</f>
        <v>pressés de boudin</v>
      </c>
      <c r="AL34" s="34" t="str">
        <f>AL16</f>
        <v>Receta madre ► Morcilla en 4 versiones</v>
      </c>
      <c r="AM34" s="92"/>
      <c r="AN34" s="108"/>
      <c r="AO34" s="94" t="str">
        <f t="shared" si="4"/>
        <v/>
      </c>
      <c r="AP34" s="95">
        <v>300</v>
      </c>
      <c r="AQ34" s="105" t="s">
        <v>99</v>
      </c>
      <c r="AR34" s="127">
        <v>1</v>
      </c>
      <c r="AS34" s="920" t="s">
        <v>12956</v>
      </c>
      <c r="AT34" s="1495">
        <f>IF(OR(ISBLANK(AM14),AT14=0),0,AM34*AR15)</f>
        <v>0</v>
      </c>
      <c r="AU34" s="101">
        <f>IFERROR(_xlfn.LET(_xlpm.v,IFERROR(_xlfn.XLOOKUP(AQ34,AM51:AV51,AM52:AV52),_xlfn.XLOOKUP(AQ34,AM53:AV53,AM54:AV54)),_xlpm.v*AP34*AR34*AR15*IF(ISBLANK(AM34),1,AM34)),0)</f>
        <v>0.54</v>
      </c>
      <c r="AV34" s="1476" t="str">
        <f>_xlfn.LET(_xlpm.unite,SUBSTITUTE(TRIM(AQ34)," (s)",""),_xlpm.val,AU34,_xlpm.estVol,COUNTIF(AP51:AV51,_xlpm.unite)+COUNTIF(AP53:AV53,_xlpm.unite)&gt;0,_xlpm.estPoids,COUNTIF(AM51:AO51,_xlpm.unite)+COUNTIF(AM53:AO53,_xlpm.unite)&gt;0,IF(_xlpm.estVol,IF(ROUND(_xlpm.val,3)&gt;=1,ROUND(_xlpm.val,3)&amp;" L",MAX(1,ROUND(_xlpm.val*100,0))&amp;" cl"),IF(_xlpm.estPoids,IF(ROUND(_xlpm.val,3)&gt;=1,ROUND(_xlpm.val,3)&amp;" Kg",MAX(1,ROUND(_xlpm.val*1000,0))&amp;" g"),"")))</f>
        <v>540 g</v>
      </c>
      <c r="AY34" s="3">
        <v>1</v>
      </c>
    </row>
    <row r="35" spans="2:51" ht="27" customHeight="1">
      <c r="B35" s="104" t="str">
        <f t="shared" si="5"/>
        <v>A</v>
      </c>
      <c r="C35" s="32" t="str">
        <f>C16</f>
        <v>P PRESSÉ DE BOUDIN NOIR | | Auteur &gt; Guy KRENZE - Eric GODDYN - Arnaud NICOLAS - CEPROC 2002</v>
      </c>
      <c r="D35" s="33">
        <f>D16</f>
        <v>20</v>
      </c>
      <c r="E35" s="32" t="str">
        <f>E16</f>
        <v>pressés de boudin</v>
      </c>
      <c r="F35" s="34" t="str">
        <f>F16</f>
        <v>Recette mère ► le Boudin en 4 déclinaisons</v>
      </c>
      <c r="G35" s="92"/>
      <c r="H35" s="108"/>
      <c r="I35" s="94" t="str">
        <f t="shared" si="2"/>
        <v/>
      </c>
      <c r="J35" s="95">
        <v>45</v>
      </c>
      <c r="K35" s="105" t="s">
        <v>99</v>
      </c>
      <c r="L35" s="127">
        <v>1</v>
      </c>
      <c r="M35" s="920" t="s">
        <v>12850</v>
      </c>
      <c r="N35" s="1495">
        <f>IF(OR(ISBLANK(G14),N14=0),0,G35*L15)</f>
        <v>0</v>
      </c>
      <c r="O35" s="101">
        <f>IFERROR(_xlfn.LET(_xlpm.v,IFERROR(_xlfn.XLOOKUP(K35,G51:P51,G52:P52),_xlfn.XLOOKUP(K35,G53:P53,G54:P54)),_xlpm.v*J35*L35*L15*IF(ISBLANK(G35),1,G35)),0)</f>
        <v>4.4999999999999998E-2</v>
      </c>
      <c r="P35" s="1475" t="str">
        <f>_xlfn.LET(_xlpm.unite,SUBSTITUTE(TRIM(K35)," (s)",""),_xlpm.val,O35,_xlpm.estVol,COUNTIF(J51:P51,_xlpm.unite)+COUNTIF(J53:P53,_xlpm.unite)&gt;0,_xlpm.estPoids,COUNTIF(G51:I51,_xlpm.unite)+COUNTIF(G53:I53,_xlpm.unite)&gt;0,IF(_xlpm.estVol,IF(ROUND(_xlpm.val,3)&gt;=1,ROUND(_xlpm.val,3)&amp;" L",MAX(1,ROUND(_xlpm.val*100,0))&amp;" cl"),IF(_xlpm.estPoids,IF(ROUND(_xlpm.val,3)&gt;=1,ROUND(_xlpm.val,3)&amp;" Kg",MAX(1,ROUND(_xlpm.val*1000,0))&amp;" g"),"")))</f>
        <v>45 g</v>
      </c>
      <c r="R35" s="104" t="str">
        <f t="shared" si="6"/>
        <v>A</v>
      </c>
      <c r="S35" s="32" t="str">
        <f>S16</f>
        <v>P PRESSED BLACK PUDDING TERRINE | |  Author &gt; Guy KRENZE - Eric GODDYN - Arnaud NICOLAS - CEPROC 2002</v>
      </c>
      <c r="T35" s="33">
        <f>T16</f>
        <v>20</v>
      </c>
      <c r="U35" s="32" t="str">
        <f>U16</f>
        <v>pressés de boudin</v>
      </c>
      <c r="V35" s="34" t="str">
        <f>V16</f>
        <v>Master recipe ► Black pudding in 4 variations</v>
      </c>
      <c r="W35" s="92"/>
      <c r="X35" s="108"/>
      <c r="Y35" s="94" t="str">
        <f t="shared" si="3"/>
        <v/>
      </c>
      <c r="Z35" s="95">
        <v>45</v>
      </c>
      <c r="AA35" s="105" t="s">
        <v>99</v>
      </c>
      <c r="AB35" s="127">
        <v>1</v>
      </c>
      <c r="AC35" s="920" t="s">
        <v>12957</v>
      </c>
      <c r="AD35" s="1495">
        <f>IF(OR(ISBLANK(W14),AD14=0),0,W35*AB15)</f>
        <v>0</v>
      </c>
      <c r="AE35" s="101">
        <f>IFERROR(_xlfn.LET(_xlpm.v,IFERROR(_xlfn.XLOOKUP(AA35,W51:AF51,W52:AF52),_xlfn.XLOOKUP(AA35,W53:AF53,W54:AF54)),_xlpm.v*Z35*AB35*AB15*IF(ISBLANK(W35),1,W35)),0)</f>
        <v>8.1000000000000003E-2</v>
      </c>
      <c r="AF35" s="1475" t="str">
        <f>_xlfn.LET(_xlpm.unite,SUBSTITUTE(TRIM(AA35)," (s)",""),_xlpm.val,AE35,_xlpm.estVol,COUNTIF(Z51:AF51,_xlpm.unite)+COUNTIF(Z53:AF53,_xlpm.unite)&gt;0,_xlpm.estPoids,COUNTIF(W51:Y51,_xlpm.unite)+COUNTIF(W53:Y53,_xlpm.unite)&gt;0,IF(_xlpm.estVol,IF(ROUND(_xlpm.val,3)&gt;=1,ROUND(_xlpm.val,3)&amp;" L",MAX(1,ROUND(_xlpm.val*100,0))&amp;" cl"),IF(_xlpm.estPoids,IF(ROUND(_xlpm.val,3)&gt;=1,ROUND(_xlpm.val,3)&amp;" Kg",MAX(1,ROUND(_xlpm.val*1000,0))&amp;" g"),"")))</f>
        <v>81 g</v>
      </c>
      <c r="AH35" s="104" t="str">
        <f t="shared" si="7"/>
        <v>A</v>
      </c>
      <c r="AI35" s="32" t="str">
        <f>AI16</f>
        <v>P PRENSADO DE MORCILLA (TERRINA) | | Autor &gt; Guy KRENZE - Eric GODDYN - Arnaud NICOLAS - CEPROC 2002</v>
      </c>
      <c r="AJ35" s="33">
        <f>AJ16</f>
        <v>20</v>
      </c>
      <c r="AK35" s="32" t="str">
        <f>AK16</f>
        <v>pressés de boudin</v>
      </c>
      <c r="AL35" s="34" t="str">
        <f>AL16</f>
        <v>Receta madre ► Morcilla en 4 versiones</v>
      </c>
      <c r="AM35" s="92"/>
      <c r="AN35" s="108"/>
      <c r="AO35" s="94" t="str">
        <f t="shared" si="4"/>
        <v/>
      </c>
      <c r="AP35" s="95">
        <v>45</v>
      </c>
      <c r="AQ35" s="105" t="s">
        <v>99</v>
      </c>
      <c r="AR35" s="127">
        <v>1</v>
      </c>
      <c r="AS35" s="920" t="s">
        <v>12958</v>
      </c>
      <c r="AT35" s="1495">
        <f>IF(OR(ISBLANK(AM14),AT14=0),0,AM35*AR15)</f>
        <v>0</v>
      </c>
      <c r="AU35" s="101">
        <f>IFERROR(_xlfn.LET(_xlpm.v,IFERROR(_xlfn.XLOOKUP(AQ35,AM51:AV51,AM52:AV52),_xlfn.XLOOKUP(AQ35,AM53:AV53,AM54:AV54)),_xlpm.v*AP35*AR35*AR15*IF(ISBLANK(AM35),1,AM35)),0)</f>
        <v>8.1000000000000003E-2</v>
      </c>
      <c r="AV35" s="1475" t="str">
        <f>_xlfn.LET(_xlpm.unite,SUBSTITUTE(TRIM(AQ35)," (s)",""),_xlpm.val,AU35,_xlpm.estVol,COUNTIF(AP51:AV51,_xlpm.unite)+COUNTIF(AP53:AV53,_xlpm.unite)&gt;0,_xlpm.estPoids,COUNTIF(AM51:AO51,_xlpm.unite)+COUNTIF(AM53:AO53,_xlpm.unite)&gt;0,IF(_xlpm.estVol,IF(ROUND(_xlpm.val,3)&gt;=1,ROUND(_xlpm.val,3)&amp;" L",MAX(1,ROUND(_xlpm.val*100,0))&amp;" cl"),IF(_xlpm.estPoids,IF(ROUND(_xlpm.val,3)&gt;=1,ROUND(_xlpm.val,3)&amp;" Kg",MAX(1,ROUND(_xlpm.val*1000,0))&amp;" g"),"")))</f>
        <v>81 g</v>
      </c>
      <c r="AY35" s="3">
        <v>1</v>
      </c>
    </row>
    <row r="36" spans="2:51" ht="27" customHeight="1">
      <c r="B36" s="104" t="str">
        <f t="shared" si="5"/>
        <v>A</v>
      </c>
      <c r="C36" s="32" t="str">
        <f>C16</f>
        <v>P PRESSÉ DE BOUDIN NOIR | | Auteur &gt; Guy KRENZE - Eric GODDYN - Arnaud NICOLAS - CEPROC 2002</v>
      </c>
      <c r="D36" s="33">
        <f>D16</f>
        <v>20</v>
      </c>
      <c r="E36" s="32" t="str">
        <f>E16</f>
        <v>pressés de boudin</v>
      </c>
      <c r="F36" s="34" t="str">
        <f>F16</f>
        <v>Recette mère ► le Boudin en 4 déclinaisons</v>
      </c>
      <c r="G36" s="92"/>
      <c r="H36" s="108"/>
      <c r="I36" s="94" t="str">
        <f t="shared" si="2"/>
        <v/>
      </c>
      <c r="J36" s="95">
        <v>50</v>
      </c>
      <c r="K36" s="105" t="s">
        <v>99</v>
      </c>
      <c r="L36" s="127">
        <v>1</v>
      </c>
      <c r="M36" s="920" t="s">
        <v>12831</v>
      </c>
      <c r="N36" s="1495">
        <f>IF(OR(ISBLANK(G14),N14=0),0,G36*L15)</f>
        <v>0</v>
      </c>
      <c r="O36" s="101">
        <f>IFERROR(_xlfn.LET(_xlpm.v,IFERROR(_xlfn.XLOOKUP(K36,G51:P51,G52:P52),_xlfn.XLOOKUP(K36,G53:P53,G54:P54)),_xlpm.v*J36*L36*L15*IF(ISBLANK(G36),1,G36)),0)</f>
        <v>0.05</v>
      </c>
      <c r="P36" s="1476" t="str">
        <f>_xlfn.LET(_xlpm.unite,SUBSTITUTE(TRIM(K36)," (s)",""),_xlpm.val,O36,_xlpm.estVol,COUNTIF(J51:P51,_xlpm.unite)+COUNTIF(J53:P53,_xlpm.unite)&gt;0,_xlpm.estPoids,COUNTIF(G51:I51,_xlpm.unite)+COUNTIF(G53:I53,_xlpm.unite)&gt;0,IF(_xlpm.estVol,IF(ROUND(_xlpm.val,3)&gt;=1,ROUND(_xlpm.val,3)&amp;" L",MAX(1,ROUND(_xlpm.val*100,0))&amp;" cl"),IF(_xlpm.estPoids,IF(ROUND(_xlpm.val,3)&gt;=1,ROUND(_xlpm.val,3)&amp;" Kg",MAX(1,ROUND(_xlpm.val*1000,0))&amp;" g"),"")))</f>
        <v>50 g</v>
      </c>
      <c r="R36" s="104" t="str">
        <f t="shared" si="6"/>
        <v>A</v>
      </c>
      <c r="S36" s="32" t="str">
        <f>S16</f>
        <v>P PRESSED BLACK PUDDING TERRINE | |  Author &gt; Guy KRENZE - Eric GODDYN - Arnaud NICOLAS - CEPROC 2002</v>
      </c>
      <c r="T36" s="33">
        <f>T16</f>
        <v>20</v>
      </c>
      <c r="U36" s="32" t="str">
        <f>U16</f>
        <v>pressés de boudin</v>
      </c>
      <c r="V36" s="34" t="str">
        <f>V16</f>
        <v>Master recipe ► Black pudding in 4 variations</v>
      </c>
      <c r="W36" s="92"/>
      <c r="X36" s="108"/>
      <c r="Y36" s="94" t="str">
        <f t="shared" si="3"/>
        <v/>
      </c>
      <c r="Z36" s="95">
        <v>50</v>
      </c>
      <c r="AA36" s="105" t="s">
        <v>99</v>
      </c>
      <c r="AB36" s="127">
        <v>1</v>
      </c>
      <c r="AC36" s="920" t="s">
        <v>12891</v>
      </c>
      <c r="AD36" s="1495">
        <f>IF(OR(ISBLANK(W14),AD14=0),0,W36*AB15)</f>
        <v>0</v>
      </c>
      <c r="AE36" s="101">
        <f>IFERROR(_xlfn.LET(_xlpm.v,IFERROR(_xlfn.XLOOKUP(AA36,W51:AF51,W52:AF52),_xlfn.XLOOKUP(AA36,W53:AF53,W54:AF54)),_xlpm.v*Z36*AB36*AB15*IF(ISBLANK(W36),1,W36)),0)</f>
        <v>9.0000000000000011E-2</v>
      </c>
      <c r="AF36" s="1476" t="str">
        <f>_xlfn.LET(_xlpm.unite,SUBSTITUTE(TRIM(AA36)," (s)",""),_xlpm.val,AE36,_xlpm.estVol,COUNTIF(Z51:AF51,_xlpm.unite)+COUNTIF(Z53:AF53,_xlpm.unite)&gt;0,_xlpm.estPoids,COUNTIF(W51:Y51,_xlpm.unite)+COUNTIF(W53:Y53,_xlpm.unite)&gt;0,IF(_xlpm.estVol,IF(ROUND(_xlpm.val,3)&gt;=1,ROUND(_xlpm.val,3)&amp;" L",MAX(1,ROUND(_xlpm.val*100,0))&amp;" cl"),IF(_xlpm.estPoids,IF(ROUND(_xlpm.val,3)&gt;=1,ROUND(_xlpm.val,3)&amp;" Kg",MAX(1,ROUND(_xlpm.val*1000,0))&amp;" g"),"")))</f>
        <v>90 g</v>
      </c>
      <c r="AH36" s="104" t="str">
        <f t="shared" si="7"/>
        <v>A</v>
      </c>
      <c r="AI36" s="32" t="str">
        <f>AI16</f>
        <v>P PRENSADO DE MORCILLA (TERRINA) | | Autor &gt; Guy KRENZE - Eric GODDYN - Arnaud NICOLAS - CEPROC 2002</v>
      </c>
      <c r="AJ36" s="33">
        <f>AJ16</f>
        <v>20</v>
      </c>
      <c r="AK36" s="32" t="str">
        <f>AK16</f>
        <v>pressés de boudin</v>
      </c>
      <c r="AL36" s="34" t="str">
        <f>AL16</f>
        <v>Receta madre ► Morcilla en 4 versiones</v>
      </c>
      <c r="AM36" s="92"/>
      <c r="AN36" s="108"/>
      <c r="AO36" s="94" t="str">
        <f t="shared" si="4"/>
        <v/>
      </c>
      <c r="AP36" s="95">
        <v>50</v>
      </c>
      <c r="AQ36" s="105" t="s">
        <v>99</v>
      </c>
      <c r="AR36" s="127">
        <v>1</v>
      </c>
      <c r="AS36" s="920" t="s">
        <v>12892</v>
      </c>
      <c r="AT36" s="1495">
        <f>IF(OR(ISBLANK(AM14),AT14=0),0,AM36*AR15)</f>
        <v>0</v>
      </c>
      <c r="AU36" s="101">
        <f>IFERROR(_xlfn.LET(_xlpm.v,IFERROR(_xlfn.XLOOKUP(AQ36,AM51:AV51,AM52:AV52),_xlfn.XLOOKUP(AQ36,AM53:AV53,AM54:AV54)),_xlpm.v*AP36*AR36*AR15*IF(ISBLANK(AM36),1,AM36)),0)</f>
        <v>9.0000000000000011E-2</v>
      </c>
      <c r="AV36" s="1476" t="str">
        <f>_xlfn.LET(_xlpm.unite,SUBSTITUTE(TRIM(AQ36)," (s)",""),_xlpm.val,AU36,_xlpm.estVol,COUNTIF(AP51:AV51,_xlpm.unite)+COUNTIF(AP53:AV53,_xlpm.unite)&gt;0,_xlpm.estPoids,COUNTIF(AM51:AO51,_xlpm.unite)+COUNTIF(AM53:AO53,_xlpm.unite)&gt;0,IF(_xlpm.estVol,IF(ROUND(_xlpm.val,3)&gt;=1,ROUND(_xlpm.val,3)&amp;" L",MAX(1,ROUND(_xlpm.val*100,0))&amp;" cl"),IF(_xlpm.estPoids,IF(ROUND(_xlpm.val,3)&gt;=1,ROUND(_xlpm.val,3)&amp;" Kg",MAX(1,ROUND(_xlpm.val*1000,0))&amp;" g"),"")))</f>
        <v>90 g</v>
      </c>
      <c r="AY36" s="3">
        <v>1</v>
      </c>
    </row>
    <row r="37" spans="2:51" ht="27" customHeight="1">
      <c r="B37" s="104" t="str">
        <f t="shared" si="5"/>
        <v>A</v>
      </c>
      <c r="C37" s="32" t="str">
        <f>C16</f>
        <v>P PRESSÉ DE BOUDIN NOIR | | Auteur &gt; Guy KRENZE - Eric GODDYN - Arnaud NICOLAS - CEPROC 2002</v>
      </c>
      <c r="D37" s="33">
        <f>D16</f>
        <v>20</v>
      </c>
      <c r="E37" s="32" t="str">
        <f>E16</f>
        <v>pressés de boudin</v>
      </c>
      <c r="F37" s="34" t="str">
        <f>F16</f>
        <v>Recette mère ► le Boudin en 4 déclinaisons</v>
      </c>
      <c r="G37" s="92"/>
      <c r="H37" s="108"/>
      <c r="I37" s="94" t="str">
        <f t="shared" si="2"/>
        <v/>
      </c>
      <c r="J37" s="95">
        <v>7</v>
      </c>
      <c r="K37" s="105" t="s">
        <v>99</v>
      </c>
      <c r="L37" s="127">
        <v>1</v>
      </c>
      <c r="M37" s="920" t="s">
        <v>12851</v>
      </c>
      <c r="N37" s="1495">
        <f>IF(OR(ISBLANK(G14),N14=0),0,G37*L15)</f>
        <v>0</v>
      </c>
      <c r="O37" s="101">
        <f>IFERROR(_xlfn.LET(_xlpm.v,IFERROR(_xlfn.XLOOKUP(K37,G51:P51,G52:P52),_xlfn.XLOOKUP(K37,G53:P53,G54:P54)),_xlpm.v*J37*L37*L15*IF(ISBLANK(G37),1,G37)),0)</f>
        <v>7.0000000000000001E-3</v>
      </c>
      <c r="P37" s="1475" t="str">
        <f>_xlfn.LET(_xlpm.unite,SUBSTITUTE(TRIM(K37)," (s)",""),_xlpm.val,O37,_xlpm.estVol,COUNTIF(J51:P51,_xlpm.unite)+COUNTIF(J53:P53,_xlpm.unite)&gt;0,_xlpm.estPoids,COUNTIF(G51:I51,_xlpm.unite)+COUNTIF(G53:I53,_xlpm.unite)&gt;0,IF(_xlpm.estVol,IF(ROUND(_xlpm.val,3)&gt;=1,ROUND(_xlpm.val,3)&amp;" L",MAX(1,ROUND(_xlpm.val*100,0))&amp;" cl"),IF(_xlpm.estPoids,IF(ROUND(_xlpm.val,3)&gt;=1,ROUND(_xlpm.val,3)&amp;" Kg",MAX(1,ROUND(_xlpm.val*1000,0))&amp;" g"),"")))</f>
        <v>7 g</v>
      </c>
      <c r="R37" s="104" t="str">
        <f t="shared" si="6"/>
        <v>A</v>
      </c>
      <c r="S37" s="32" t="str">
        <f>S16</f>
        <v>P PRESSED BLACK PUDDING TERRINE | |  Author &gt; Guy KRENZE - Eric GODDYN - Arnaud NICOLAS - CEPROC 2002</v>
      </c>
      <c r="T37" s="33">
        <f>T16</f>
        <v>20</v>
      </c>
      <c r="U37" s="32" t="str">
        <f>U16</f>
        <v>pressés de boudin</v>
      </c>
      <c r="V37" s="34" t="str">
        <f>V16</f>
        <v>Master recipe ► Black pudding in 4 variations</v>
      </c>
      <c r="W37" s="92"/>
      <c r="X37" s="108"/>
      <c r="Y37" s="94" t="str">
        <f t="shared" si="3"/>
        <v/>
      </c>
      <c r="Z37" s="95">
        <v>7</v>
      </c>
      <c r="AA37" s="105" t="s">
        <v>99</v>
      </c>
      <c r="AB37" s="127">
        <v>1</v>
      </c>
      <c r="AC37" s="920" t="s">
        <v>12959</v>
      </c>
      <c r="AD37" s="1495">
        <f>IF(OR(ISBLANK(W14),AD14=0),0,W37*AB15)</f>
        <v>0</v>
      </c>
      <c r="AE37" s="101">
        <f>IFERROR(_xlfn.LET(_xlpm.v,IFERROR(_xlfn.XLOOKUP(AA37,W51:AF51,W52:AF52),_xlfn.XLOOKUP(AA37,W53:AF53,W54:AF54)),_xlpm.v*Z37*AB37*AB15*IF(ISBLANK(W37),1,W37)),0)</f>
        <v>1.26E-2</v>
      </c>
      <c r="AF37" s="1475" t="str">
        <f>_xlfn.LET(_xlpm.unite,SUBSTITUTE(TRIM(AA37)," (s)",""),_xlpm.val,AE37,_xlpm.estVol,COUNTIF(Z51:AF51,_xlpm.unite)+COUNTIF(Z53:AF53,_xlpm.unite)&gt;0,_xlpm.estPoids,COUNTIF(W51:Y51,_xlpm.unite)+COUNTIF(W53:Y53,_xlpm.unite)&gt;0,IF(_xlpm.estVol,IF(ROUND(_xlpm.val,3)&gt;=1,ROUND(_xlpm.val,3)&amp;" L",MAX(1,ROUND(_xlpm.val*100,0))&amp;" cl"),IF(_xlpm.estPoids,IF(ROUND(_xlpm.val,3)&gt;=1,ROUND(_xlpm.val,3)&amp;" Kg",MAX(1,ROUND(_xlpm.val*1000,0))&amp;" g"),"")))</f>
        <v>13 g</v>
      </c>
      <c r="AH37" s="104" t="str">
        <f t="shared" si="7"/>
        <v>A</v>
      </c>
      <c r="AI37" s="32" t="str">
        <f>AI16</f>
        <v>P PRENSADO DE MORCILLA (TERRINA) | | Autor &gt; Guy KRENZE - Eric GODDYN - Arnaud NICOLAS - CEPROC 2002</v>
      </c>
      <c r="AJ37" s="33">
        <f>AJ16</f>
        <v>20</v>
      </c>
      <c r="AK37" s="32" t="str">
        <f>AK16</f>
        <v>pressés de boudin</v>
      </c>
      <c r="AL37" s="34" t="str">
        <f>AL16</f>
        <v>Receta madre ► Morcilla en 4 versiones</v>
      </c>
      <c r="AM37" s="92"/>
      <c r="AN37" s="108"/>
      <c r="AO37" s="94" t="str">
        <f t="shared" si="4"/>
        <v/>
      </c>
      <c r="AP37" s="95">
        <v>7</v>
      </c>
      <c r="AQ37" s="105" t="s">
        <v>99</v>
      </c>
      <c r="AR37" s="127">
        <v>1</v>
      </c>
      <c r="AS37" s="920" t="s">
        <v>12960</v>
      </c>
      <c r="AT37" s="1495">
        <f>IF(OR(ISBLANK(AM14),AT14=0),0,AM37*AR15)</f>
        <v>0</v>
      </c>
      <c r="AU37" s="101">
        <f>IFERROR(_xlfn.LET(_xlpm.v,IFERROR(_xlfn.XLOOKUP(AQ37,AM51:AV51,AM52:AV52),_xlfn.XLOOKUP(AQ37,AM53:AV53,AM54:AV54)),_xlpm.v*AP37*AR37*AR15*IF(ISBLANK(AM37),1,AM37)),0)</f>
        <v>1.26E-2</v>
      </c>
      <c r="AV37" s="1475" t="str">
        <f>_xlfn.LET(_xlpm.unite,SUBSTITUTE(TRIM(AQ37)," (s)",""),_xlpm.val,AU37,_xlpm.estVol,COUNTIF(AP51:AV51,_xlpm.unite)+COUNTIF(AP53:AV53,_xlpm.unite)&gt;0,_xlpm.estPoids,COUNTIF(AM51:AO51,_xlpm.unite)+COUNTIF(AM53:AO53,_xlpm.unite)&gt;0,IF(_xlpm.estVol,IF(ROUND(_xlpm.val,3)&gt;=1,ROUND(_xlpm.val,3)&amp;" L",MAX(1,ROUND(_xlpm.val*100,0))&amp;" cl"),IF(_xlpm.estPoids,IF(ROUND(_xlpm.val,3)&gt;=1,ROUND(_xlpm.val,3)&amp;" Kg",MAX(1,ROUND(_xlpm.val*1000,0))&amp;" g"),"")))</f>
        <v>13 g</v>
      </c>
      <c r="AY37" s="3">
        <v>1</v>
      </c>
    </row>
    <row r="38" spans="2:51" ht="27" customHeight="1">
      <c r="B38" s="104" t="str">
        <f t="shared" si="5"/>
        <v>A</v>
      </c>
      <c r="C38" s="32" t="str">
        <f>C16</f>
        <v>P PRESSÉ DE BOUDIN NOIR | | Auteur &gt; Guy KRENZE - Eric GODDYN - Arnaud NICOLAS - CEPROC 2002</v>
      </c>
      <c r="D38" s="33">
        <f>D16</f>
        <v>20</v>
      </c>
      <c r="E38" s="32" t="str">
        <f>E16</f>
        <v>pressés de boudin</v>
      </c>
      <c r="F38" s="34" t="str">
        <f>F16</f>
        <v>Recette mère ► le Boudin en 4 déclinaisons</v>
      </c>
      <c r="G38" s="92"/>
      <c r="H38" s="108"/>
      <c r="I38" s="94" t="str">
        <f t="shared" si="2"/>
        <v/>
      </c>
      <c r="J38" s="95">
        <v>20</v>
      </c>
      <c r="K38" s="105" t="s">
        <v>99</v>
      </c>
      <c r="L38" s="127">
        <v>1</v>
      </c>
      <c r="M38" s="920" t="s">
        <v>12852</v>
      </c>
      <c r="N38" s="1495">
        <f>IF(OR(ISBLANK(G14),N14=0),0,G38*L15)</f>
        <v>0</v>
      </c>
      <c r="O38" s="101">
        <f>IFERROR(_xlfn.LET(_xlpm.v,IFERROR(_xlfn.XLOOKUP(K38,G51:P51,G52:P52),_xlfn.XLOOKUP(K38,G53:P53,G54:P54)),_xlpm.v*J38*L38*L15*IF(ISBLANK(G38),1,G38)),0)</f>
        <v>0.02</v>
      </c>
      <c r="P38" s="1476" t="str">
        <f>_xlfn.LET(_xlpm.unite,SUBSTITUTE(TRIM(K38)," (s)",""),_xlpm.val,O38,_xlpm.estVol,COUNTIF(J51:P51,_xlpm.unite)+COUNTIF(J53:P53,_xlpm.unite)&gt;0,_xlpm.estPoids,COUNTIF(G51:I51,_xlpm.unite)+COUNTIF(G53:I53,_xlpm.unite)&gt;0,IF(_xlpm.estVol,IF(ROUND(_xlpm.val,3)&gt;=1,ROUND(_xlpm.val,3)&amp;" L",MAX(1,ROUND(_xlpm.val*100,0))&amp;" cl"),IF(_xlpm.estPoids,IF(ROUND(_xlpm.val,3)&gt;=1,ROUND(_xlpm.val,3)&amp;" Kg",MAX(1,ROUND(_xlpm.val*1000,0))&amp;" g"),"")))</f>
        <v>20 g</v>
      </c>
      <c r="R38" s="104" t="str">
        <f t="shared" si="6"/>
        <v>A</v>
      </c>
      <c r="S38" s="32" t="str">
        <f>S16</f>
        <v>P PRESSED BLACK PUDDING TERRINE | |  Author &gt; Guy KRENZE - Eric GODDYN - Arnaud NICOLAS - CEPROC 2002</v>
      </c>
      <c r="T38" s="33">
        <f>T16</f>
        <v>20</v>
      </c>
      <c r="U38" s="32" t="str">
        <f>U16</f>
        <v>pressés de boudin</v>
      </c>
      <c r="V38" s="34" t="str">
        <f>V16</f>
        <v>Master recipe ► Black pudding in 4 variations</v>
      </c>
      <c r="W38" s="92"/>
      <c r="X38" s="108"/>
      <c r="Y38" s="94" t="str">
        <f t="shared" si="3"/>
        <v/>
      </c>
      <c r="Z38" s="95">
        <v>20</v>
      </c>
      <c r="AA38" s="105" t="s">
        <v>99</v>
      </c>
      <c r="AB38" s="127">
        <v>1</v>
      </c>
      <c r="AC38" s="920" t="s">
        <v>12961</v>
      </c>
      <c r="AD38" s="1495">
        <f>IF(OR(ISBLANK(W14),AD14=0),0,W38*AB15)</f>
        <v>0</v>
      </c>
      <c r="AE38" s="101">
        <f>IFERROR(_xlfn.LET(_xlpm.v,IFERROR(_xlfn.XLOOKUP(AA38,W51:AF51,W52:AF52),_xlfn.XLOOKUP(AA38,W53:AF53,W54:AF54)),_xlpm.v*Z38*AB38*AB15*IF(ISBLANK(W38),1,W38)),0)</f>
        <v>3.6000000000000004E-2</v>
      </c>
      <c r="AF38" s="1476" t="str">
        <f>_xlfn.LET(_xlpm.unite,SUBSTITUTE(TRIM(AA38)," (s)",""),_xlpm.val,AE38,_xlpm.estVol,COUNTIF(Z51:AF51,_xlpm.unite)+COUNTIF(Z53:AF53,_xlpm.unite)&gt;0,_xlpm.estPoids,COUNTIF(W51:Y51,_xlpm.unite)+COUNTIF(W53:Y53,_xlpm.unite)&gt;0,IF(_xlpm.estVol,IF(ROUND(_xlpm.val,3)&gt;=1,ROUND(_xlpm.val,3)&amp;" L",MAX(1,ROUND(_xlpm.val*100,0))&amp;" cl"),IF(_xlpm.estPoids,IF(ROUND(_xlpm.val,3)&gt;=1,ROUND(_xlpm.val,3)&amp;" Kg",MAX(1,ROUND(_xlpm.val*1000,0))&amp;" g"),"")))</f>
        <v>36 g</v>
      </c>
      <c r="AH38" s="104" t="str">
        <f t="shared" si="7"/>
        <v>A</v>
      </c>
      <c r="AI38" s="32" t="str">
        <f>AI16</f>
        <v>P PRENSADO DE MORCILLA (TERRINA) | | Autor &gt; Guy KRENZE - Eric GODDYN - Arnaud NICOLAS - CEPROC 2002</v>
      </c>
      <c r="AJ38" s="33">
        <f>AJ16</f>
        <v>20</v>
      </c>
      <c r="AK38" s="32" t="str">
        <f>AK16</f>
        <v>pressés de boudin</v>
      </c>
      <c r="AL38" s="34" t="str">
        <f>AL16</f>
        <v>Receta madre ► Morcilla en 4 versiones</v>
      </c>
      <c r="AM38" s="92"/>
      <c r="AN38" s="108"/>
      <c r="AO38" s="94" t="str">
        <f t="shared" si="4"/>
        <v/>
      </c>
      <c r="AP38" s="95">
        <v>20</v>
      </c>
      <c r="AQ38" s="105" t="s">
        <v>99</v>
      </c>
      <c r="AR38" s="127">
        <v>1</v>
      </c>
      <c r="AS38" s="920" t="s">
        <v>12962</v>
      </c>
      <c r="AT38" s="1495">
        <f>IF(OR(ISBLANK(AM14),AT14=0),0,AM38*AR15)</f>
        <v>0</v>
      </c>
      <c r="AU38" s="101">
        <f>IFERROR(_xlfn.LET(_xlpm.v,IFERROR(_xlfn.XLOOKUP(AQ38,AM51:AV51,AM52:AV52),_xlfn.XLOOKUP(AQ38,AM53:AV53,AM54:AV54)),_xlpm.v*AP38*AR38*AR15*IF(ISBLANK(AM38),1,AM38)),0)</f>
        <v>3.6000000000000004E-2</v>
      </c>
      <c r="AV38" s="1476" t="str">
        <f>_xlfn.LET(_xlpm.unite,SUBSTITUTE(TRIM(AQ38)," (s)",""),_xlpm.val,AU38,_xlpm.estVol,COUNTIF(AP51:AV51,_xlpm.unite)+COUNTIF(AP53:AV53,_xlpm.unite)&gt;0,_xlpm.estPoids,COUNTIF(AM51:AO51,_xlpm.unite)+COUNTIF(AM53:AO53,_xlpm.unite)&gt;0,IF(_xlpm.estVol,IF(ROUND(_xlpm.val,3)&gt;=1,ROUND(_xlpm.val,3)&amp;" L",MAX(1,ROUND(_xlpm.val*100,0))&amp;" cl"),IF(_xlpm.estPoids,IF(ROUND(_xlpm.val,3)&gt;=1,ROUND(_xlpm.val,3)&amp;" Kg",MAX(1,ROUND(_xlpm.val*1000,0))&amp;" g"),"")))</f>
        <v>36 g</v>
      </c>
      <c r="AY38" s="3">
        <v>1</v>
      </c>
    </row>
    <row r="39" spans="2:51" ht="27" customHeight="1">
      <c r="B39" s="104" t="str">
        <f t="shared" si="5"/>
        <v>A</v>
      </c>
      <c r="C39" s="32" t="str">
        <f>C16</f>
        <v>P PRESSÉ DE BOUDIN NOIR | | Auteur &gt; Guy KRENZE - Eric GODDYN - Arnaud NICOLAS - CEPROC 2002</v>
      </c>
      <c r="D39" s="33">
        <f>D16</f>
        <v>20</v>
      </c>
      <c r="E39" s="32" t="str">
        <f>E16</f>
        <v>pressés de boudin</v>
      </c>
      <c r="F39" s="34" t="str">
        <f>F16</f>
        <v>Recette mère ► le Boudin en 4 déclinaisons</v>
      </c>
      <c r="G39" s="92"/>
      <c r="H39" s="108"/>
      <c r="I39" s="94" t="str">
        <f t="shared" si="2"/>
        <v/>
      </c>
      <c r="J39" s="95">
        <v>300</v>
      </c>
      <c r="K39" s="105" t="s">
        <v>99</v>
      </c>
      <c r="L39" s="127">
        <v>1</v>
      </c>
      <c r="M39" s="920" t="s">
        <v>12853</v>
      </c>
      <c r="N39" s="1495">
        <f>IF(OR(ISBLANK(G14),N14=0),0,G39*L15)</f>
        <v>0</v>
      </c>
      <c r="O39" s="101">
        <f>IFERROR(_xlfn.LET(_xlpm.v,IFERROR(_xlfn.XLOOKUP(K39,G51:P51,G52:P52),_xlfn.XLOOKUP(K39,G53:P53,G54:P54)),_xlpm.v*J39*L39*L15*IF(ISBLANK(G39),1,G39)),0)</f>
        <v>0.3</v>
      </c>
      <c r="P39" s="1475" t="str">
        <f>_xlfn.LET(_xlpm.unite,SUBSTITUTE(TRIM(K39)," (s)",""),_xlpm.val,O39,_xlpm.estVol,COUNTIF(J51:P51,_xlpm.unite)+COUNTIF(J53:P53,_xlpm.unite)&gt;0,_xlpm.estPoids,COUNTIF(G51:I51,_xlpm.unite)+COUNTIF(G53:I53,_xlpm.unite)&gt;0,IF(_xlpm.estVol,IF(ROUND(_xlpm.val,3)&gt;=1,ROUND(_xlpm.val,3)&amp;" L",MAX(1,ROUND(_xlpm.val*100,0))&amp;" cl"),IF(_xlpm.estPoids,IF(ROUND(_xlpm.val,3)&gt;=1,ROUND(_xlpm.val,3)&amp;" Kg",MAX(1,ROUND(_xlpm.val*1000,0))&amp;" g"),"")))</f>
        <v>300 g</v>
      </c>
      <c r="R39" s="104" t="str">
        <f t="shared" si="6"/>
        <v>A</v>
      </c>
      <c r="S39" s="32" t="str">
        <f>S16</f>
        <v>P PRESSED BLACK PUDDING TERRINE | |  Author &gt; Guy KRENZE - Eric GODDYN - Arnaud NICOLAS - CEPROC 2002</v>
      </c>
      <c r="T39" s="33">
        <f>T16</f>
        <v>20</v>
      </c>
      <c r="U39" s="32" t="str">
        <f>U16</f>
        <v>pressés de boudin</v>
      </c>
      <c r="V39" s="34" t="str">
        <f>V16</f>
        <v>Master recipe ► Black pudding in 4 variations</v>
      </c>
      <c r="W39" s="92"/>
      <c r="X39" s="108"/>
      <c r="Y39" s="94" t="str">
        <f t="shared" si="3"/>
        <v/>
      </c>
      <c r="Z39" s="95">
        <v>300</v>
      </c>
      <c r="AA39" s="105" t="s">
        <v>99</v>
      </c>
      <c r="AB39" s="127">
        <v>1</v>
      </c>
      <c r="AC39" s="920" t="s">
        <v>12963</v>
      </c>
      <c r="AD39" s="1495">
        <f>IF(OR(ISBLANK(W14),AD14=0),0,W39*AB15)</f>
        <v>0</v>
      </c>
      <c r="AE39" s="101">
        <f>IFERROR(_xlfn.LET(_xlpm.v,IFERROR(_xlfn.XLOOKUP(AA39,W51:AF51,W52:AF52),_xlfn.XLOOKUP(AA39,W53:AF53,W54:AF54)),_xlpm.v*Z39*AB39*AB15*IF(ISBLANK(W39),1,W39)),0)</f>
        <v>0.54</v>
      </c>
      <c r="AF39" s="1475" t="str">
        <f>_xlfn.LET(_xlpm.unite,SUBSTITUTE(TRIM(AA39)," (s)",""),_xlpm.val,AE39,_xlpm.estVol,COUNTIF(Z51:AF51,_xlpm.unite)+COUNTIF(Z53:AF53,_xlpm.unite)&gt;0,_xlpm.estPoids,COUNTIF(W51:Y51,_xlpm.unite)+COUNTIF(W53:Y53,_xlpm.unite)&gt;0,IF(_xlpm.estVol,IF(ROUND(_xlpm.val,3)&gt;=1,ROUND(_xlpm.val,3)&amp;" L",MAX(1,ROUND(_xlpm.val*100,0))&amp;" cl"),IF(_xlpm.estPoids,IF(ROUND(_xlpm.val,3)&gt;=1,ROUND(_xlpm.val,3)&amp;" Kg",MAX(1,ROUND(_xlpm.val*1000,0))&amp;" g"),"")))</f>
        <v>540 g</v>
      </c>
      <c r="AH39" s="104" t="str">
        <f t="shared" si="7"/>
        <v>A</v>
      </c>
      <c r="AI39" s="32" t="str">
        <f>AI16</f>
        <v>P PRENSADO DE MORCILLA (TERRINA) | | Autor &gt; Guy KRENZE - Eric GODDYN - Arnaud NICOLAS - CEPROC 2002</v>
      </c>
      <c r="AJ39" s="33">
        <f>AJ16</f>
        <v>20</v>
      </c>
      <c r="AK39" s="32" t="str">
        <f>AK16</f>
        <v>pressés de boudin</v>
      </c>
      <c r="AL39" s="34" t="str">
        <f>AL16</f>
        <v>Receta madre ► Morcilla en 4 versiones</v>
      </c>
      <c r="AM39" s="92"/>
      <c r="AN39" s="108"/>
      <c r="AO39" s="94" t="str">
        <f t="shared" si="4"/>
        <v/>
      </c>
      <c r="AP39" s="95">
        <v>300</v>
      </c>
      <c r="AQ39" s="105" t="s">
        <v>99</v>
      </c>
      <c r="AR39" s="127">
        <v>1</v>
      </c>
      <c r="AS39" s="920" t="s">
        <v>12964</v>
      </c>
      <c r="AT39" s="1495">
        <f>IF(OR(ISBLANK(AM14),AT14=0),0,AM39*AR15)</f>
        <v>0</v>
      </c>
      <c r="AU39" s="101">
        <f>IFERROR(_xlfn.LET(_xlpm.v,IFERROR(_xlfn.XLOOKUP(AQ39,AM51:AV51,AM52:AV52),_xlfn.XLOOKUP(AQ39,AM53:AV53,AM54:AV54)),_xlpm.v*AP39*AR39*AR15*IF(ISBLANK(AM39),1,AM39)),0)</f>
        <v>0.54</v>
      </c>
      <c r="AV39" s="1475" t="str">
        <f>_xlfn.LET(_xlpm.unite,SUBSTITUTE(TRIM(AQ39)," (s)",""),_xlpm.val,AU39,_xlpm.estVol,COUNTIF(AP51:AV51,_xlpm.unite)+COUNTIF(AP53:AV53,_xlpm.unite)&gt;0,_xlpm.estPoids,COUNTIF(AM51:AO51,_xlpm.unite)+COUNTIF(AM53:AO53,_xlpm.unite)&gt;0,IF(_xlpm.estVol,IF(ROUND(_xlpm.val,3)&gt;=1,ROUND(_xlpm.val,3)&amp;" L",MAX(1,ROUND(_xlpm.val*100,0))&amp;" cl"),IF(_xlpm.estPoids,IF(ROUND(_xlpm.val,3)&gt;=1,ROUND(_xlpm.val,3)&amp;" Kg",MAX(1,ROUND(_xlpm.val*1000,0))&amp;" g"),"")))</f>
        <v>540 g</v>
      </c>
      <c r="AY39" s="3">
        <v>1</v>
      </c>
    </row>
    <row r="40" spans="2:51" ht="27" customHeight="1">
      <c r="B40" s="104" t="str">
        <f t="shared" si="5"/>
        <v>A</v>
      </c>
      <c r="C40" s="32" t="str">
        <f>C16</f>
        <v>P PRESSÉ DE BOUDIN NOIR | | Auteur &gt; Guy KRENZE - Eric GODDYN - Arnaud NICOLAS - CEPROC 2002</v>
      </c>
      <c r="D40" s="33">
        <f>D16</f>
        <v>20</v>
      </c>
      <c r="E40" s="32" t="str">
        <f>E16</f>
        <v>pressés de boudin</v>
      </c>
      <c r="F40" s="34" t="str">
        <f>F16</f>
        <v>Recette mère ► le Boudin en 4 déclinaisons</v>
      </c>
      <c r="G40" s="92"/>
      <c r="H40" s="108"/>
      <c r="I40" s="94" t="str">
        <f t="shared" si="2"/>
        <v/>
      </c>
      <c r="J40" s="95">
        <v>2</v>
      </c>
      <c r="K40" s="105" t="s">
        <v>99</v>
      </c>
      <c r="L40" s="127">
        <v>1</v>
      </c>
      <c r="M40" s="920" t="s">
        <v>12827</v>
      </c>
      <c r="N40" s="1495">
        <f>IF(OR(ISBLANK(G14),N14=0),0,G40*L15)</f>
        <v>0</v>
      </c>
      <c r="O40" s="101">
        <f>IFERROR(_xlfn.LET(_xlpm.v,IFERROR(_xlfn.XLOOKUP(K40,G51:P51,G52:P52),_xlfn.XLOOKUP(K40,G53:P53,G54:P54)),_xlpm.v*J40*L40*L15*IF(ISBLANK(G40),1,G40)),0)</f>
        <v>2E-3</v>
      </c>
      <c r="P40" s="1476" t="str">
        <f>_xlfn.LET(_xlpm.unite,SUBSTITUTE(TRIM(K40)," (s)",""),_xlpm.val,O40,_xlpm.estVol,COUNTIF(J51:P51,_xlpm.unite)+COUNTIF(J53:P53,_xlpm.unite)&gt;0,_xlpm.estPoids,COUNTIF(G51:I51,_xlpm.unite)+COUNTIF(G53:I53,_xlpm.unite)&gt;0,IF(_xlpm.estVol,IF(ROUND(_xlpm.val,3)&gt;=1,ROUND(_xlpm.val,3)&amp;" L",MAX(1,ROUND(_xlpm.val*100,0))&amp;" cl"),IF(_xlpm.estPoids,IF(ROUND(_xlpm.val,3)&gt;=1,ROUND(_xlpm.val,3)&amp;" Kg",MAX(1,ROUND(_xlpm.val*1000,0))&amp;" g"),"")))</f>
        <v>2 g</v>
      </c>
      <c r="R40" s="104" t="str">
        <f t="shared" si="6"/>
        <v>A</v>
      </c>
      <c r="S40" s="32" t="str">
        <f>S16</f>
        <v>P PRESSED BLACK PUDDING TERRINE | |  Author &gt; Guy KRENZE - Eric GODDYN - Arnaud NICOLAS - CEPROC 2002</v>
      </c>
      <c r="T40" s="33">
        <f>T16</f>
        <v>20</v>
      </c>
      <c r="U40" s="32" t="str">
        <f>U16</f>
        <v>pressés de boudin</v>
      </c>
      <c r="V40" s="34" t="str">
        <f>V16</f>
        <v>Master recipe ► Black pudding in 4 variations</v>
      </c>
      <c r="W40" s="92"/>
      <c r="X40" s="108"/>
      <c r="Y40" s="94" t="str">
        <f t="shared" si="3"/>
        <v/>
      </c>
      <c r="Z40" s="95">
        <v>2</v>
      </c>
      <c r="AA40" s="105" t="s">
        <v>99</v>
      </c>
      <c r="AB40" s="127">
        <v>1</v>
      </c>
      <c r="AC40" s="920" t="s">
        <v>12882</v>
      </c>
      <c r="AD40" s="1495">
        <f>IF(OR(ISBLANK(W14),AD14=0),0,W40*AB15)</f>
        <v>0</v>
      </c>
      <c r="AE40" s="101">
        <f>IFERROR(_xlfn.LET(_xlpm.v,IFERROR(_xlfn.XLOOKUP(AA40,W51:AF51,W52:AF52),_xlfn.XLOOKUP(AA40,W53:AF53,W54:AF54)),_xlpm.v*Z40*AB40*AB15*IF(ISBLANK(W40),1,W40)),0)</f>
        <v>3.6000000000000003E-3</v>
      </c>
      <c r="AF40" s="1476" t="str">
        <f>_xlfn.LET(_xlpm.unite,SUBSTITUTE(TRIM(AA40)," (s)",""),_xlpm.val,AE40,_xlpm.estVol,COUNTIF(Z51:AF51,_xlpm.unite)+COUNTIF(Z53:AF53,_xlpm.unite)&gt;0,_xlpm.estPoids,COUNTIF(W51:Y51,_xlpm.unite)+COUNTIF(W53:Y53,_xlpm.unite)&gt;0,IF(_xlpm.estVol,IF(ROUND(_xlpm.val,3)&gt;=1,ROUND(_xlpm.val,3)&amp;" L",MAX(1,ROUND(_xlpm.val*100,0))&amp;" cl"),IF(_xlpm.estPoids,IF(ROUND(_xlpm.val,3)&gt;=1,ROUND(_xlpm.val,3)&amp;" Kg",MAX(1,ROUND(_xlpm.val*1000,0))&amp;" g"),"")))</f>
        <v>4 g</v>
      </c>
      <c r="AH40" s="104" t="str">
        <f t="shared" si="7"/>
        <v>A</v>
      </c>
      <c r="AI40" s="32" t="str">
        <f>AI16</f>
        <v>P PRENSADO DE MORCILLA (TERRINA) | | Autor &gt; Guy KRENZE - Eric GODDYN - Arnaud NICOLAS - CEPROC 2002</v>
      </c>
      <c r="AJ40" s="33">
        <f>AJ16</f>
        <v>20</v>
      </c>
      <c r="AK40" s="32" t="str">
        <f>AK16</f>
        <v>pressés de boudin</v>
      </c>
      <c r="AL40" s="34" t="str">
        <f>AL16</f>
        <v>Receta madre ► Morcilla en 4 versiones</v>
      </c>
      <c r="AM40" s="92"/>
      <c r="AN40" s="108"/>
      <c r="AO40" s="94" t="str">
        <f t="shared" si="4"/>
        <v/>
      </c>
      <c r="AP40" s="95">
        <v>2</v>
      </c>
      <c r="AQ40" s="105" t="s">
        <v>99</v>
      </c>
      <c r="AR40" s="127">
        <v>1</v>
      </c>
      <c r="AS40" s="920" t="s">
        <v>12883</v>
      </c>
      <c r="AT40" s="1495">
        <f>IF(OR(ISBLANK(AM14),AT14=0),0,AM40*AR15)</f>
        <v>0</v>
      </c>
      <c r="AU40" s="101">
        <f>IFERROR(_xlfn.LET(_xlpm.v,IFERROR(_xlfn.XLOOKUP(AQ40,AM51:AV51,AM52:AV52),_xlfn.XLOOKUP(AQ40,AM53:AV53,AM54:AV54)),_xlpm.v*AP40*AR40*AR15*IF(ISBLANK(AM40),1,AM40)),0)</f>
        <v>3.6000000000000003E-3</v>
      </c>
      <c r="AV40" s="1476" t="str">
        <f>_xlfn.LET(_xlpm.unite,SUBSTITUTE(TRIM(AQ40)," (s)",""),_xlpm.val,AU40,_xlpm.estVol,COUNTIF(AP51:AV51,_xlpm.unite)+COUNTIF(AP53:AV53,_xlpm.unite)&gt;0,_xlpm.estPoids,COUNTIF(AM51:AO51,_xlpm.unite)+COUNTIF(AM53:AO53,_xlpm.unite)&gt;0,IF(_xlpm.estVol,IF(ROUND(_xlpm.val,3)&gt;=1,ROUND(_xlpm.val,3)&amp;" L",MAX(1,ROUND(_xlpm.val*100,0))&amp;" cl"),IF(_xlpm.estPoids,IF(ROUND(_xlpm.val,3)&gt;=1,ROUND(_xlpm.val,3)&amp;" Kg",MAX(1,ROUND(_xlpm.val*1000,0))&amp;" g"),"")))</f>
        <v>4 g</v>
      </c>
      <c r="AY40" s="3">
        <v>1</v>
      </c>
    </row>
    <row r="41" spans="2:51" ht="27" customHeight="1">
      <c r="B41" s="104" t="str">
        <f t="shared" si="5"/>
        <v>A</v>
      </c>
      <c r="C41" s="32" t="str">
        <f>C16</f>
        <v>P PRESSÉ DE BOUDIN NOIR | | Auteur &gt; Guy KRENZE - Eric GODDYN - Arnaud NICOLAS - CEPROC 2002</v>
      </c>
      <c r="D41" s="33">
        <f>D16</f>
        <v>20</v>
      </c>
      <c r="E41" s="32" t="str">
        <f>E16</f>
        <v>pressés de boudin</v>
      </c>
      <c r="F41" s="34" t="str">
        <f>F16</f>
        <v>Recette mère ► le Boudin en 4 déclinaisons</v>
      </c>
      <c r="G41" s="92"/>
      <c r="H41" s="108"/>
      <c r="I41" s="94" t="str">
        <f t="shared" si="2"/>
        <v/>
      </c>
      <c r="J41" s="95">
        <v>7</v>
      </c>
      <c r="K41" s="105" t="s">
        <v>99</v>
      </c>
      <c r="L41" s="127">
        <v>1</v>
      </c>
      <c r="M41" s="920" t="s">
        <v>8947</v>
      </c>
      <c r="N41" s="1495">
        <f>IF(OR(ISBLANK(G14),N14=0),0,G41*L15)</f>
        <v>0</v>
      </c>
      <c r="O41" s="101">
        <f>IFERROR(_xlfn.LET(_xlpm.v,IFERROR(_xlfn.XLOOKUP(K41,G51:P51,G52:P52),_xlfn.XLOOKUP(K41,G53:P53,G54:P54)),_xlpm.v*J41*L41*L15*IF(ISBLANK(G41),1,G41)),0)</f>
        <v>7.0000000000000001E-3</v>
      </c>
      <c r="P41" s="1475" t="str">
        <f>_xlfn.LET(_xlpm.unite,SUBSTITUTE(TRIM(K41)," (s)",""),_xlpm.val,O41,_xlpm.estVol,COUNTIF(J51:P51,_xlpm.unite)+COUNTIF(J53:P53,_xlpm.unite)&gt;0,_xlpm.estPoids,COUNTIF(G51:I51,_xlpm.unite)+COUNTIF(G53:I53,_xlpm.unite)&gt;0,IF(_xlpm.estVol,IF(ROUND(_xlpm.val,3)&gt;=1,ROUND(_xlpm.val,3)&amp;" L",MAX(1,ROUND(_xlpm.val*100,0))&amp;" cl"),IF(_xlpm.estPoids,IF(ROUND(_xlpm.val,3)&gt;=1,ROUND(_xlpm.val,3)&amp;" Kg",MAX(1,ROUND(_xlpm.val*1000,0))&amp;" g"),"")))</f>
        <v>7 g</v>
      </c>
      <c r="R41" s="104" t="str">
        <f t="shared" si="6"/>
        <v>A</v>
      </c>
      <c r="S41" s="32" t="str">
        <f>S16</f>
        <v>P PRESSED BLACK PUDDING TERRINE | |  Author &gt; Guy KRENZE - Eric GODDYN - Arnaud NICOLAS - CEPROC 2002</v>
      </c>
      <c r="T41" s="33">
        <f>T16</f>
        <v>20</v>
      </c>
      <c r="U41" s="32" t="str">
        <f>U16</f>
        <v>pressés de boudin</v>
      </c>
      <c r="V41" s="34" t="str">
        <f>V16</f>
        <v>Master recipe ► Black pudding in 4 variations</v>
      </c>
      <c r="W41" s="92"/>
      <c r="X41" s="108"/>
      <c r="Y41" s="94" t="str">
        <f t="shared" si="3"/>
        <v/>
      </c>
      <c r="Z41" s="95">
        <v>7</v>
      </c>
      <c r="AA41" s="105" t="s">
        <v>99</v>
      </c>
      <c r="AB41" s="127">
        <v>1</v>
      </c>
      <c r="AC41" s="920" t="s">
        <v>12884</v>
      </c>
      <c r="AD41" s="1495">
        <f>IF(OR(ISBLANK(W14),AD14=0),0,W41*AB15)</f>
        <v>0</v>
      </c>
      <c r="AE41" s="101">
        <f>IFERROR(_xlfn.LET(_xlpm.v,IFERROR(_xlfn.XLOOKUP(AA41,W51:AF51,W52:AF52),_xlfn.XLOOKUP(AA41,W53:AF53,W54:AF54)),_xlpm.v*Z41*AB41*AB15*IF(ISBLANK(W41),1,W41)),0)</f>
        <v>1.26E-2</v>
      </c>
      <c r="AF41" s="1475" t="str">
        <f>_xlfn.LET(_xlpm.unite,SUBSTITUTE(TRIM(AA41)," (s)",""),_xlpm.val,AE41,_xlpm.estVol,COUNTIF(Z51:AF51,_xlpm.unite)+COUNTIF(Z53:AF53,_xlpm.unite)&gt;0,_xlpm.estPoids,COUNTIF(W51:Y51,_xlpm.unite)+COUNTIF(W53:Y53,_xlpm.unite)&gt;0,IF(_xlpm.estVol,IF(ROUND(_xlpm.val,3)&gt;=1,ROUND(_xlpm.val,3)&amp;" L",MAX(1,ROUND(_xlpm.val*100,0))&amp;" cl"),IF(_xlpm.estPoids,IF(ROUND(_xlpm.val,3)&gt;=1,ROUND(_xlpm.val,3)&amp;" Kg",MAX(1,ROUND(_xlpm.val*1000,0))&amp;" g"),"")))</f>
        <v>13 g</v>
      </c>
      <c r="AH41" s="104" t="str">
        <f t="shared" si="7"/>
        <v>A</v>
      </c>
      <c r="AI41" s="32" t="str">
        <f>AI16</f>
        <v>P PRENSADO DE MORCILLA (TERRINA) | | Autor &gt; Guy KRENZE - Eric GODDYN - Arnaud NICOLAS - CEPROC 2002</v>
      </c>
      <c r="AJ41" s="33">
        <f>AJ16</f>
        <v>20</v>
      </c>
      <c r="AK41" s="32" t="str">
        <f>AK16</f>
        <v>pressés de boudin</v>
      </c>
      <c r="AL41" s="34" t="str">
        <f>AL16</f>
        <v>Receta madre ► Morcilla en 4 versiones</v>
      </c>
      <c r="AM41" s="92"/>
      <c r="AN41" s="108"/>
      <c r="AO41" s="94" t="str">
        <f t="shared" si="4"/>
        <v/>
      </c>
      <c r="AP41" s="95">
        <v>7</v>
      </c>
      <c r="AQ41" s="105" t="s">
        <v>99</v>
      </c>
      <c r="AR41" s="127">
        <v>1</v>
      </c>
      <c r="AS41" s="920" t="s">
        <v>12885</v>
      </c>
      <c r="AT41" s="1495">
        <f>IF(OR(ISBLANK(AM14),AT14=0),0,AM41*AR15)</f>
        <v>0</v>
      </c>
      <c r="AU41" s="101">
        <f>IFERROR(_xlfn.LET(_xlpm.v,IFERROR(_xlfn.XLOOKUP(AQ41,AM51:AV51,AM52:AV52),_xlfn.XLOOKUP(AQ41,AM53:AV53,AM54:AV54)),_xlpm.v*AP41*AR41*AR15*IF(ISBLANK(AM41),1,AM41)),0)</f>
        <v>1.26E-2</v>
      </c>
      <c r="AV41" s="1475" t="str">
        <f>_xlfn.LET(_xlpm.unite,SUBSTITUTE(TRIM(AQ41)," (s)",""),_xlpm.val,AU41,_xlpm.estVol,COUNTIF(AP51:AV51,_xlpm.unite)+COUNTIF(AP53:AV53,_xlpm.unite)&gt;0,_xlpm.estPoids,COUNTIF(AM51:AO51,_xlpm.unite)+COUNTIF(AM53:AO53,_xlpm.unite)&gt;0,IF(_xlpm.estVol,IF(ROUND(_xlpm.val,3)&gt;=1,ROUND(_xlpm.val,3)&amp;" L",MAX(1,ROUND(_xlpm.val*100,0))&amp;" cl"),IF(_xlpm.estPoids,IF(ROUND(_xlpm.val,3)&gt;=1,ROUND(_xlpm.val,3)&amp;" Kg",MAX(1,ROUND(_xlpm.val*1000,0))&amp;" g"),"")))</f>
        <v>13 g</v>
      </c>
      <c r="AY41" s="3">
        <v>1</v>
      </c>
    </row>
    <row r="42" spans="2:51" ht="27" customHeight="1">
      <c r="B42" s="104" t="str">
        <f t="shared" si="5"/>
        <v>►</v>
      </c>
      <c r="C42" s="32" t="str">
        <f>C16</f>
        <v>P PRESSÉ DE BOUDIN NOIR | | Auteur &gt; Guy KRENZE - Eric GODDYN - Arnaud NICOLAS - CEPROC 2002</v>
      </c>
      <c r="D42" s="33">
        <f>D16</f>
        <v>20</v>
      </c>
      <c r="E42" s="32" t="str">
        <f>E16</f>
        <v>pressés de boudin</v>
      </c>
      <c r="F42" s="34" t="str">
        <f>F16</f>
        <v>Recette mère ► le Boudin en 4 déclinaisons</v>
      </c>
      <c r="G42" s="92"/>
      <c r="H42" s="108"/>
      <c r="I42" s="94" t="str">
        <f t="shared" si="2"/>
        <v/>
      </c>
      <c r="J42" s="95"/>
      <c r="K42" s="126"/>
      <c r="L42" s="127">
        <v>1</v>
      </c>
      <c r="M42" s="920"/>
      <c r="N42" s="1495">
        <f>IF(OR(ISBLANK(G14),N14=0),0,G42*L15)</f>
        <v>0</v>
      </c>
      <c r="O42" s="101">
        <f>IFERROR(_xlfn.LET(_xlpm.v,IFERROR(_xlfn.XLOOKUP(K42,G51:P51,G52:P52),_xlfn.XLOOKUP(K42,G53:P53,G54:P54)),_xlpm.v*J42*L42*L15*IF(ISBLANK(G42),1,G42)),0)</f>
        <v>0</v>
      </c>
      <c r="P42" s="1476" t="str">
        <f>_xlfn.LET(_xlpm.unite,SUBSTITUTE(TRIM(K42)," (s)",""),_xlpm.val,O42,_xlpm.estVol,COUNTIF(J51:P51,_xlpm.unite)+COUNTIF(J53:P53,_xlpm.unite)&gt;0,_xlpm.estPoids,COUNTIF(G51:I51,_xlpm.unite)+COUNTIF(G53:I53,_xlpm.unite)&gt;0,IF(_xlpm.estVol,IF(ROUND(_xlpm.val,3)&gt;=1,ROUND(_xlpm.val,3)&amp;" L",MAX(1,ROUND(_xlpm.val*100,0))&amp;" cl"),IF(_xlpm.estPoids,IF(ROUND(_xlpm.val,3)&gt;=1,ROUND(_xlpm.val,3)&amp;" Kg",MAX(1,ROUND(_xlpm.val*1000,0))&amp;" g"),"")))</f>
        <v/>
      </c>
      <c r="R42" s="104" t="str">
        <f t="shared" si="6"/>
        <v>►</v>
      </c>
      <c r="S42" s="32" t="str">
        <f>S16</f>
        <v>P PRESSED BLACK PUDDING TERRINE | |  Author &gt; Guy KRENZE - Eric GODDYN - Arnaud NICOLAS - CEPROC 2002</v>
      </c>
      <c r="T42" s="33">
        <f>T16</f>
        <v>20</v>
      </c>
      <c r="U42" s="32" t="str">
        <f>U16</f>
        <v>pressés de boudin</v>
      </c>
      <c r="V42" s="34" t="str">
        <f>V16</f>
        <v>Master recipe ► Black pudding in 4 variations</v>
      </c>
      <c r="W42" s="92"/>
      <c r="X42" s="108"/>
      <c r="Y42" s="94" t="str">
        <f t="shared" si="3"/>
        <v/>
      </c>
      <c r="Z42" s="95"/>
      <c r="AA42" s="126"/>
      <c r="AB42" s="127">
        <v>1</v>
      </c>
      <c r="AC42" s="920"/>
      <c r="AD42" s="1495">
        <f>IF(OR(ISBLANK(W14),AD14=0),0,W42*AB15)</f>
        <v>0</v>
      </c>
      <c r="AE42" s="101">
        <f>IFERROR(_xlfn.LET(_xlpm.v,IFERROR(_xlfn.XLOOKUP(AA42,W51:AF51,W52:AF52),_xlfn.XLOOKUP(AA42,W53:AF53,W54:AF54)),_xlpm.v*Z42*AB42*AB15*IF(ISBLANK(W42),1,W42)),0)</f>
        <v>0</v>
      </c>
      <c r="AF42" s="1476" t="str">
        <f>_xlfn.LET(_xlpm.unite,SUBSTITUTE(TRIM(AA42)," (s)",""),_xlpm.val,AE42,_xlpm.estVol,COUNTIF(Z51:AF51,_xlpm.unite)+COUNTIF(Z53:AF53,_xlpm.unite)&gt;0,_xlpm.estPoids,COUNTIF(W51:Y51,_xlpm.unite)+COUNTIF(W53:Y53,_xlpm.unite)&gt;0,IF(_xlpm.estVol,IF(ROUND(_xlpm.val,3)&gt;=1,ROUND(_xlpm.val,3)&amp;" L",MAX(1,ROUND(_xlpm.val*100,0))&amp;" cl"),IF(_xlpm.estPoids,IF(ROUND(_xlpm.val,3)&gt;=1,ROUND(_xlpm.val,3)&amp;" Kg",MAX(1,ROUND(_xlpm.val*1000,0))&amp;" g"),"")))</f>
        <v/>
      </c>
      <c r="AH42" s="104" t="str">
        <f t="shared" si="7"/>
        <v>►</v>
      </c>
      <c r="AI42" s="32" t="str">
        <f>AI16</f>
        <v>P PRENSADO DE MORCILLA (TERRINA) | | Autor &gt; Guy KRENZE - Eric GODDYN - Arnaud NICOLAS - CEPROC 2002</v>
      </c>
      <c r="AJ42" s="33">
        <f>AJ16</f>
        <v>20</v>
      </c>
      <c r="AK42" s="32" t="str">
        <f>AK16</f>
        <v>pressés de boudin</v>
      </c>
      <c r="AL42" s="34" t="str">
        <f>AL16</f>
        <v>Receta madre ► Morcilla en 4 versiones</v>
      </c>
      <c r="AM42" s="92"/>
      <c r="AN42" s="108"/>
      <c r="AO42" s="94" t="str">
        <f t="shared" si="4"/>
        <v/>
      </c>
      <c r="AP42" s="95"/>
      <c r="AQ42" s="126"/>
      <c r="AR42" s="127">
        <v>1</v>
      </c>
      <c r="AS42" s="920"/>
      <c r="AT42" s="1495">
        <f>IF(OR(ISBLANK(AM14),AT14=0),0,AM42*AR15)</f>
        <v>0</v>
      </c>
      <c r="AU42" s="101">
        <f>IFERROR(_xlfn.LET(_xlpm.v,IFERROR(_xlfn.XLOOKUP(AQ42,AM51:AV51,AM52:AV52),_xlfn.XLOOKUP(AQ42,AM53:AV53,AM54:AV54)),_xlpm.v*AP42*AR42*AR15*IF(ISBLANK(AM42),1,AM42)),0)</f>
        <v>0</v>
      </c>
      <c r="AV42" s="1476" t="str">
        <f>_xlfn.LET(_xlpm.unite,SUBSTITUTE(TRIM(AQ42)," (s)",""),_xlpm.val,AU42,_xlpm.estVol,COUNTIF(AP51:AV51,_xlpm.unite)+COUNTIF(AP53:AV53,_xlpm.unite)&gt;0,_xlpm.estPoids,COUNTIF(AM51:AO51,_xlpm.unite)+COUNTIF(AM53:AO53,_xlpm.unite)&gt;0,IF(_xlpm.estVol,IF(ROUND(_xlpm.val,3)&gt;=1,ROUND(_xlpm.val,3)&amp;" L",MAX(1,ROUND(_xlpm.val*100,0))&amp;" cl"),IF(_xlpm.estPoids,IF(ROUND(_xlpm.val,3)&gt;=1,ROUND(_xlpm.val,3)&amp;" Kg",MAX(1,ROUND(_xlpm.val*1000,0))&amp;" g"),"")))</f>
        <v/>
      </c>
      <c r="AY42" s="3">
        <v>1</v>
      </c>
    </row>
    <row r="43" spans="2:51" ht="27" customHeight="1">
      <c r="B43" s="104" t="str">
        <f t="shared" si="5"/>
        <v>A</v>
      </c>
      <c r="C43" s="32" t="str">
        <f>C16</f>
        <v>P PRESSÉ DE BOUDIN NOIR | | Auteur &gt; Guy KRENZE - Eric GODDYN - Arnaud NICOLAS - CEPROC 2002</v>
      </c>
      <c r="D43" s="33">
        <f>D16</f>
        <v>20</v>
      </c>
      <c r="E43" s="32" t="str">
        <f>E16</f>
        <v>pressés de boudin</v>
      </c>
      <c r="F43" s="34" t="str">
        <f>F16</f>
        <v>Recette mère ► le Boudin en 4 déclinaisons</v>
      </c>
      <c r="G43" s="92"/>
      <c r="H43" s="108"/>
      <c r="I43" s="94" t="str">
        <f t="shared" si="2"/>
        <v/>
      </c>
      <c r="J43" s="95"/>
      <c r="K43" s="126"/>
      <c r="L43" s="127">
        <v>1</v>
      </c>
      <c r="M43" s="920" t="s">
        <v>12888</v>
      </c>
      <c r="N43" s="1495">
        <f>IF(OR(ISBLANK(G14),N14=0),0,G43*L15)</f>
        <v>0</v>
      </c>
      <c r="O43" s="101">
        <f>IFERROR(_xlfn.LET(_xlpm.v,IFERROR(_xlfn.XLOOKUP(K43,G51:P51,G52:P52),_xlfn.XLOOKUP(K43,G53:P53,G54:P54)),_xlpm.v*J43*L43*L15*IF(ISBLANK(G43),1,G43)),0)</f>
        <v>0</v>
      </c>
      <c r="P43" s="1475" t="str">
        <f>_xlfn.LET(_xlpm.unite,SUBSTITUTE(TRIM(K43)," (s)",""),_xlpm.val,O43,_xlpm.estVol,COUNTIF(J51:P51,_xlpm.unite)+COUNTIF(J53:P53,_xlpm.unite)&gt;0,_xlpm.estPoids,COUNTIF(G51:I51,_xlpm.unite)+COUNTIF(G53:I53,_xlpm.unite)&gt;0,IF(_xlpm.estVol,IF(ROUND(_xlpm.val,3)&gt;=1,ROUND(_xlpm.val,3)&amp;" L",MAX(1,ROUND(_xlpm.val*100,0))&amp;" cl"),IF(_xlpm.estPoids,IF(ROUND(_xlpm.val,3)&gt;=1,ROUND(_xlpm.val,3)&amp;" Kg",MAX(1,ROUND(_xlpm.val*1000,0))&amp;" g"),"")))</f>
        <v/>
      </c>
      <c r="R43" s="104" t="str">
        <f t="shared" si="6"/>
        <v>A</v>
      </c>
      <c r="S43" s="32" t="str">
        <f>S16</f>
        <v>P PRESSED BLACK PUDDING TERRINE | |  Author &gt; Guy KRENZE - Eric GODDYN - Arnaud NICOLAS - CEPROC 2002</v>
      </c>
      <c r="T43" s="33">
        <f>T16</f>
        <v>20</v>
      </c>
      <c r="U43" s="32" t="str">
        <f>U16</f>
        <v>pressés de boudin</v>
      </c>
      <c r="V43" s="34" t="str">
        <f>V16</f>
        <v>Master recipe ► Black pudding in 4 variations</v>
      </c>
      <c r="W43" s="92"/>
      <c r="X43" s="108"/>
      <c r="Y43" s="94" t="str">
        <f t="shared" si="3"/>
        <v/>
      </c>
      <c r="Z43" s="95"/>
      <c r="AA43" s="126"/>
      <c r="AB43" s="127">
        <v>1</v>
      </c>
      <c r="AC43" s="920" t="s">
        <v>12888</v>
      </c>
      <c r="AD43" s="1495">
        <f>IF(OR(ISBLANK(W14),AD14=0),0,W43*AB15)</f>
        <v>0</v>
      </c>
      <c r="AE43" s="101">
        <f>IFERROR(_xlfn.LET(_xlpm.v,IFERROR(_xlfn.XLOOKUP(AA43,W51:AF51,W52:AF52),_xlfn.XLOOKUP(AA43,W53:AF53,W54:AF54)),_xlpm.v*Z43*AB43*AB15*IF(ISBLANK(W43),1,W43)),0)</f>
        <v>0</v>
      </c>
      <c r="AF43" s="1475" t="str">
        <f>_xlfn.LET(_xlpm.unite,SUBSTITUTE(TRIM(AA43)," (s)",""),_xlpm.val,AE43,_xlpm.estVol,COUNTIF(Z51:AF51,_xlpm.unite)+COUNTIF(Z53:AF53,_xlpm.unite)&gt;0,_xlpm.estPoids,COUNTIF(W51:Y51,_xlpm.unite)+COUNTIF(W53:Y53,_xlpm.unite)&gt;0,IF(_xlpm.estVol,IF(ROUND(_xlpm.val,3)&gt;=1,ROUND(_xlpm.val,3)&amp;" L",MAX(1,ROUND(_xlpm.val*100,0))&amp;" cl"),IF(_xlpm.estPoids,IF(ROUND(_xlpm.val,3)&gt;=1,ROUND(_xlpm.val,3)&amp;" Kg",MAX(1,ROUND(_xlpm.val*1000,0))&amp;" g"),"")))</f>
        <v/>
      </c>
      <c r="AH43" s="104" t="str">
        <f t="shared" si="7"/>
        <v>A</v>
      </c>
      <c r="AI43" s="32" t="str">
        <f>AI16</f>
        <v>P PRENSADO DE MORCILLA (TERRINA) | | Autor &gt; Guy KRENZE - Eric GODDYN - Arnaud NICOLAS - CEPROC 2002</v>
      </c>
      <c r="AJ43" s="33">
        <f>AJ16</f>
        <v>20</v>
      </c>
      <c r="AK43" s="32" t="str">
        <f>AK16</f>
        <v>pressés de boudin</v>
      </c>
      <c r="AL43" s="34" t="str">
        <f>AL16</f>
        <v>Receta madre ► Morcilla en 4 versiones</v>
      </c>
      <c r="AM43" s="92"/>
      <c r="AN43" s="108"/>
      <c r="AO43" s="94" t="str">
        <f t="shared" si="4"/>
        <v/>
      </c>
      <c r="AP43" s="95"/>
      <c r="AQ43" s="126"/>
      <c r="AR43" s="127">
        <v>1</v>
      </c>
      <c r="AS43" s="920" t="s">
        <v>12888</v>
      </c>
      <c r="AT43" s="1495">
        <f>IF(OR(ISBLANK(AM14),AT14=0),0,AM43*AR15)</f>
        <v>0</v>
      </c>
      <c r="AU43" s="101">
        <f>IFERROR(_xlfn.LET(_xlpm.v,IFERROR(_xlfn.XLOOKUP(AQ43,AM51:AV51,AM52:AV52),_xlfn.XLOOKUP(AQ43,AM53:AV53,AM54:AV54)),_xlpm.v*AP43*AR43*AR15*IF(ISBLANK(AM43),1,AM43)),0)</f>
        <v>0</v>
      </c>
      <c r="AV43" s="1475" t="str">
        <f>_xlfn.LET(_xlpm.unite,SUBSTITUTE(TRIM(AQ43)," (s)",""),_xlpm.val,AU43,_xlpm.estVol,COUNTIF(AP51:AV51,_xlpm.unite)+COUNTIF(AP53:AV53,_xlpm.unite)&gt;0,_xlpm.estPoids,COUNTIF(AM51:AO51,_xlpm.unite)+COUNTIF(AM53:AO53,_xlpm.unite)&gt;0,IF(_xlpm.estVol,IF(ROUND(_xlpm.val,3)&gt;=1,ROUND(_xlpm.val,3)&amp;" L",MAX(1,ROUND(_xlpm.val*100,0))&amp;" cl"),IF(_xlpm.estPoids,IF(ROUND(_xlpm.val,3)&gt;=1,ROUND(_xlpm.val,3)&amp;" Kg",MAX(1,ROUND(_xlpm.val*1000,0))&amp;" g"),"")))</f>
        <v/>
      </c>
      <c r="AY43" s="3">
        <v>1</v>
      </c>
    </row>
    <row r="44" spans="2:51" ht="27" customHeight="1">
      <c r="B44" s="104" t="str">
        <f t="shared" si="5"/>
        <v>A</v>
      </c>
      <c r="C44" s="32" t="str">
        <f>C16</f>
        <v>P PRESSÉ DE BOUDIN NOIR | | Auteur &gt; Guy KRENZE - Eric GODDYN - Arnaud NICOLAS - CEPROC 2002</v>
      </c>
      <c r="D44" s="33">
        <f>D16</f>
        <v>20</v>
      </c>
      <c r="E44" s="32" t="str">
        <f>E16</f>
        <v>pressés de boudin</v>
      </c>
      <c r="F44" s="34" t="str">
        <f>F16</f>
        <v>Recette mère ► le Boudin en 4 déclinaisons</v>
      </c>
      <c r="G44" s="92"/>
      <c r="H44" s="108"/>
      <c r="I44" s="94" t="str">
        <f t="shared" si="2"/>
        <v/>
      </c>
      <c r="J44" s="95">
        <v>250</v>
      </c>
      <c r="K44" s="105" t="s">
        <v>99</v>
      </c>
      <c r="L44" s="127">
        <v>1</v>
      </c>
      <c r="M44" s="920" t="s">
        <v>12831</v>
      </c>
      <c r="N44" s="1495">
        <f>IF(OR(ISBLANK(G14),N14=0),0,G44*L15)</f>
        <v>0</v>
      </c>
      <c r="O44" s="101">
        <f>IFERROR(_xlfn.LET(_xlpm.v,IFERROR(_xlfn.XLOOKUP(K44,G51:P51,G52:P52),_xlfn.XLOOKUP(K44,G53:P53,G54:P54)),_xlpm.v*J44*L44*L15*IF(ISBLANK(G44),1,G44)),0)</f>
        <v>0.25</v>
      </c>
      <c r="P44" s="1476" t="str">
        <f>_xlfn.LET(_xlpm.unite,SUBSTITUTE(TRIM(K44)," (s)",""),_xlpm.val,O44,_xlpm.estVol,COUNTIF(J51:P51,_xlpm.unite)+COUNTIF(J53:P53,_xlpm.unite)&gt;0,_xlpm.estPoids,COUNTIF(G51:I51,_xlpm.unite)+COUNTIF(G53:I53,_xlpm.unite)&gt;0,IF(_xlpm.estVol,IF(ROUND(_xlpm.val,3)&gt;=1,ROUND(_xlpm.val,3)&amp;" L",MAX(1,ROUND(_xlpm.val*100,0))&amp;" cl"),IF(_xlpm.estPoids,IF(ROUND(_xlpm.val,3)&gt;=1,ROUND(_xlpm.val,3)&amp;" Kg",MAX(1,ROUND(_xlpm.val*1000,0))&amp;" g"),"")))</f>
        <v>250 g</v>
      </c>
      <c r="R44" s="104" t="str">
        <f t="shared" si="6"/>
        <v>A</v>
      </c>
      <c r="S44" s="32" t="str">
        <f>S16</f>
        <v>P PRESSED BLACK PUDDING TERRINE | |  Author &gt; Guy KRENZE - Eric GODDYN - Arnaud NICOLAS - CEPROC 2002</v>
      </c>
      <c r="T44" s="33">
        <f>T16</f>
        <v>20</v>
      </c>
      <c r="U44" s="32" t="str">
        <f>U16</f>
        <v>pressés de boudin</v>
      </c>
      <c r="V44" s="34" t="str">
        <f>V16</f>
        <v>Master recipe ► Black pudding in 4 variations</v>
      </c>
      <c r="W44" s="92"/>
      <c r="X44" s="108"/>
      <c r="Y44" s="94" t="str">
        <f t="shared" si="3"/>
        <v/>
      </c>
      <c r="Z44" s="95">
        <v>250</v>
      </c>
      <c r="AA44" s="105" t="s">
        <v>99</v>
      </c>
      <c r="AB44" s="127">
        <v>1</v>
      </c>
      <c r="AC44" s="920" t="s">
        <v>12831</v>
      </c>
      <c r="AD44" s="1495">
        <f>IF(OR(ISBLANK(W14),AD14=0),0,W44*AB15)</f>
        <v>0</v>
      </c>
      <c r="AE44" s="101">
        <f>IFERROR(_xlfn.LET(_xlpm.v,IFERROR(_xlfn.XLOOKUP(AA44,W51:AF51,W52:AF52),_xlfn.XLOOKUP(AA44,W53:AF53,W54:AF54)),_xlpm.v*Z44*AB44*AB15*IF(ISBLANK(W44),1,W44)),0)</f>
        <v>0.45</v>
      </c>
      <c r="AF44" s="1476" t="str">
        <f>_xlfn.LET(_xlpm.unite,SUBSTITUTE(TRIM(AA44)," (s)",""),_xlpm.val,AE44,_xlpm.estVol,COUNTIF(Z51:AF51,_xlpm.unite)+COUNTIF(Z53:AF53,_xlpm.unite)&gt;0,_xlpm.estPoids,COUNTIF(W51:Y51,_xlpm.unite)+COUNTIF(W53:Y53,_xlpm.unite)&gt;0,IF(_xlpm.estVol,IF(ROUND(_xlpm.val,3)&gt;=1,ROUND(_xlpm.val,3)&amp;" L",MAX(1,ROUND(_xlpm.val*100,0))&amp;" cl"),IF(_xlpm.estPoids,IF(ROUND(_xlpm.val,3)&gt;=1,ROUND(_xlpm.val,3)&amp;" Kg",MAX(1,ROUND(_xlpm.val*1000,0))&amp;" g"),"")))</f>
        <v>450 g</v>
      </c>
      <c r="AH44" s="104" t="str">
        <f t="shared" si="7"/>
        <v>A</v>
      </c>
      <c r="AI44" s="32" t="str">
        <f>AI16</f>
        <v>P PRENSADO DE MORCILLA (TERRINA) | | Autor &gt; Guy KRENZE - Eric GODDYN - Arnaud NICOLAS - CEPROC 2002</v>
      </c>
      <c r="AJ44" s="33">
        <f>AJ16</f>
        <v>20</v>
      </c>
      <c r="AK44" s="32" t="str">
        <f>AK16</f>
        <v>pressés de boudin</v>
      </c>
      <c r="AL44" s="34" t="str">
        <f>AL16</f>
        <v>Receta madre ► Morcilla en 4 versiones</v>
      </c>
      <c r="AM44" s="92"/>
      <c r="AN44" s="108"/>
      <c r="AO44" s="94" t="str">
        <f t="shared" si="4"/>
        <v/>
      </c>
      <c r="AP44" s="95">
        <v>250</v>
      </c>
      <c r="AQ44" s="105" t="s">
        <v>99</v>
      </c>
      <c r="AR44" s="127">
        <v>1</v>
      </c>
      <c r="AS44" s="920" t="s">
        <v>12831</v>
      </c>
      <c r="AT44" s="1495">
        <f>IF(OR(ISBLANK(AM14),AT14=0),0,AM44*AR15)</f>
        <v>0</v>
      </c>
      <c r="AU44" s="101">
        <f>IFERROR(_xlfn.LET(_xlpm.v,IFERROR(_xlfn.XLOOKUP(AQ44,AM51:AV51,AM52:AV52),_xlfn.XLOOKUP(AQ44,AM53:AV53,AM54:AV54)),_xlpm.v*AP44*AR44*AR15*IF(ISBLANK(AM44),1,AM44)),0)</f>
        <v>0.45</v>
      </c>
      <c r="AV44" s="1476" t="str">
        <f>_xlfn.LET(_xlpm.unite,SUBSTITUTE(TRIM(AQ44)," (s)",""),_xlpm.val,AU44,_xlpm.estVol,COUNTIF(AP51:AV51,_xlpm.unite)+COUNTIF(AP53:AV53,_xlpm.unite)&gt;0,_xlpm.estPoids,COUNTIF(AM51:AO51,_xlpm.unite)+COUNTIF(AM53:AO53,_xlpm.unite)&gt;0,IF(_xlpm.estVol,IF(ROUND(_xlpm.val,3)&gt;=1,ROUND(_xlpm.val,3)&amp;" L",MAX(1,ROUND(_xlpm.val*100,0))&amp;" cl"),IF(_xlpm.estPoids,IF(ROUND(_xlpm.val,3)&gt;=1,ROUND(_xlpm.val,3)&amp;" Kg",MAX(1,ROUND(_xlpm.val*1000,0))&amp;" g"),"")))</f>
        <v>450 g</v>
      </c>
      <c r="AY44" s="3">
        <v>1</v>
      </c>
    </row>
    <row r="45" spans="2:51" ht="27" customHeight="1">
      <c r="B45" s="104" t="str">
        <f t="shared" si="5"/>
        <v>A</v>
      </c>
      <c r="C45" s="32" t="str">
        <f>C16</f>
        <v>P PRESSÉ DE BOUDIN NOIR | | Auteur &gt; Guy KRENZE - Eric GODDYN - Arnaud NICOLAS - CEPROC 2002</v>
      </c>
      <c r="D45" s="33">
        <f>D16</f>
        <v>20</v>
      </c>
      <c r="E45" s="32" t="str">
        <f>E16</f>
        <v>pressés de boudin</v>
      </c>
      <c r="F45" s="34" t="str">
        <f>F16</f>
        <v>Recette mère ► le Boudin en 4 déclinaisons</v>
      </c>
      <c r="G45" s="92"/>
      <c r="H45" s="108"/>
      <c r="I45" s="94" t="str">
        <f t="shared" si="2"/>
        <v/>
      </c>
      <c r="J45" s="95">
        <v>250</v>
      </c>
      <c r="K45" s="105" t="s">
        <v>99</v>
      </c>
      <c r="L45" s="127">
        <v>1</v>
      </c>
      <c r="M45" s="920" t="s">
        <v>12832</v>
      </c>
      <c r="N45" s="1495">
        <f>IF(OR(ISBLANK(G14),N14=0),0,G45*L15)</f>
        <v>0</v>
      </c>
      <c r="O45" s="101">
        <f>IFERROR(_xlfn.LET(_xlpm.v,IFERROR(_xlfn.XLOOKUP(K45,G51:P51,G52:P52),_xlfn.XLOOKUP(K45,G53:P53,G54:P54)),_xlpm.v*J45*L45*L15*IF(ISBLANK(G45),1,G45)),0)</f>
        <v>0.25</v>
      </c>
      <c r="P45" s="1475" t="str">
        <f>_xlfn.LET(_xlpm.unite,SUBSTITUTE(TRIM(K45)," (s)",""),_xlpm.val,O45,_xlpm.estVol,COUNTIF(J51:P51,_xlpm.unite)+COUNTIF(J53:P53,_xlpm.unite)&gt;0,_xlpm.estPoids,COUNTIF(G51:I51,_xlpm.unite)+COUNTIF(G53:I53,_xlpm.unite)&gt;0,IF(_xlpm.estVol,IF(ROUND(_xlpm.val,3)&gt;=1,ROUND(_xlpm.val,3)&amp;" L",MAX(1,ROUND(_xlpm.val*100,0))&amp;" cl"),IF(_xlpm.estPoids,IF(ROUND(_xlpm.val,3)&gt;=1,ROUND(_xlpm.val,3)&amp;" Kg",MAX(1,ROUND(_xlpm.val*1000,0))&amp;" g"),"")))</f>
        <v>250 g</v>
      </c>
      <c r="R45" s="104" t="str">
        <f t="shared" si="6"/>
        <v>A</v>
      </c>
      <c r="S45" s="32" t="str">
        <f>S16</f>
        <v>P PRESSED BLACK PUDDING TERRINE | |  Author &gt; Guy KRENZE - Eric GODDYN - Arnaud NICOLAS - CEPROC 2002</v>
      </c>
      <c r="T45" s="33">
        <f>T16</f>
        <v>20</v>
      </c>
      <c r="U45" s="32" t="str">
        <f>U16</f>
        <v>pressés de boudin</v>
      </c>
      <c r="V45" s="34" t="str">
        <f>V16</f>
        <v>Master recipe ► Black pudding in 4 variations</v>
      </c>
      <c r="W45" s="92"/>
      <c r="X45" s="108"/>
      <c r="Y45" s="94" t="str">
        <f t="shared" si="3"/>
        <v/>
      </c>
      <c r="Z45" s="95">
        <v>250</v>
      </c>
      <c r="AA45" s="105" t="s">
        <v>99</v>
      </c>
      <c r="AB45" s="127">
        <v>1</v>
      </c>
      <c r="AC45" s="920" t="s">
        <v>12832</v>
      </c>
      <c r="AD45" s="1495">
        <f>IF(OR(ISBLANK(W14),AD14=0),0,W45*AB15)</f>
        <v>0</v>
      </c>
      <c r="AE45" s="101">
        <f>IFERROR(_xlfn.LET(_xlpm.v,IFERROR(_xlfn.XLOOKUP(AA45,W51:AF51,W52:AF52),_xlfn.XLOOKUP(AA45,W53:AF53,W54:AF54)),_xlpm.v*Z45*AB45*AB15*IF(ISBLANK(W45),1,W45)),0)</f>
        <v>0.45</v>
      </c>
      <c r="AF45" s="1475" t="str">
        <f>_xlfn.LET(_xlpm.unite,SUBSTITUTE(TRIM(AA45)," (s)",""),_xlpm.val,AE45,_xlpm.estVol,COUNTIF(Z51:AF51,_xlpm.unite)+COUNTIF(Z53:AF53,_xlpm.unite)&gt;0,_xlpm.estPoids,COUNTIF(W51:Y51,_xlpm.unite)+COUNTIF(W53:Y53,_xlpm.unite)&gt;0,IF(_xlpm.estVol,IF(ROUND(_xlpm.val,3)&gt;=1,ROUND(_xlpm.val,3)&amp;" L",MAX(1,ROUND(_xlpm.val*100,0))&amp;" cl"),IF(_xlpm.estPoids,IF(ROUND(_xlpm.val,3)&gt;=1,ROUND(_xlpm.val,3)&amp;" Kg",MAX(1,ROUND(_xlpm.val*1000,0))&amp;" g"),"")))</f>
        <v>450 g</v>
      </c>
      <c r="AH45" s="104" t="str">
        <f t="shared" si="7"/>
        <v>A</v>
      </c>
      <c r="AI45" s="32" t="str">
        <f>AI16</f>
        <v>P PRENSADO DE MORCILLA (TERRINA) | | Autor &gt; Guy KRENZE - Eric GODDYN - Arnaud NICOLAS - CEPROC 2002</v>
      </c>
      <c r="AJ45" s="33">
        <f>AJ16</f>
        <v>20</v>
      </c>
      <c r="AK45" s="32" t="str">
        <f>AK16</f>
        <v>pressés de boudin</v>
      </c>
      <c r="AL45" s="34" t="str">
        <f>AL16</f>
        <v>Receta madre ► Morcilla en 4 versiones</v>
      </c>
      <c r="AM45" s="92"/>
      <c r="AN45" s="108"/>
      <c r="AO45" s="94" t="str">
        <f t="shared" si="4"/>
        <v/>
      </c>
      <c r="AP45" s="95">
        <v>250</v>
      </c>
      <c r="AQ45" s="105" t="s">
        <v>99</v>
      </c>
      <c r="AR45" s="127">
        <v>1</v>
      </c>
      <c r="AS45" s="920" t="s">
        <v>12832</v>
      </c>
      <c r="AT45" s="1495">
        <f>IF(OR(ISBLANK(AM14),AT14=0),0,AM45*AR15)</f>
        <v>0</v>
      </c>
      <c r="AU45" s="101">
        <f>IFERROR(_xlfn.LET(_xlpm.v,IFERROR(_xlfn.XLOOKUP(AQ45,AM51:AV51,AM52:AV52),_xlfn.XLOOKUP(AQ45,AM53:AV53,AM54:AV54)),_xlpm.v*AP45*AR45*AR15*IF(ISBLANK(AM45),1,AM45)),0)</f>
        <v>0.45</v>
      </c>
      <c r="AV45" s="1475" t="str">
        <f>_xlfn.LET(_xlpm.unite,SUBSTITUTE(TRIM(AQ45)," (s)",""),_xlpm.val,AU45,_xlpm.estVol,COUNTIF(AP51:AV51,_xlpm.unite)+COUNTIF(AP53:AV53,_xlpm.unite)&gt;0,_xlpm.estPoids,COUNTIF(AM51:AO51,_xlpm.unite)+COUNTIF(AM53:AO53,_xlpm.unite)&gt;0,IF(_xlpm.estVol,IF(ROUND(_xlpm.val,3)&gt;=1,ROUND(_xlpm.val,3)&amp;" L",MAX(1,ROUND(_xlpm.val*100,0))&amp;" cl"),IF(_xlpm.estPoids,IF(ROUND(_xlpm.val,3)&gt;=1,ROUND(_xlpm.val,3)&amp;" Kg",MAX(1,ROUND(_xlpm.val*1000,0))&amp;" g"),"")))</f>
        <v>450 g</v>
      </c>
      <c r="AY45" s="3">
        <v>1</v>
      </c>
    </row>
    <row r="46" spans="2:51" ht="27" customHeight="1">
      <c r="B46" s="104" t="str">
        <f t="shared" si="5"/>
        <v>A</v>
      </c>
      <c r="C46" s="32" t="str">
        <f>C16</f>
        <v>P PRESSÉ DE BOUDIN NOIR | | Auteur &gt; Guy KRENZE - Eric GODDYN - Arnaud NICOLAS - CEPROC 2002</v>
      </c>
      <c r="D46" s="33">
        <f>D16</f>
        <v>20</v>
      </c>
      <c r="E46" s="32" t="str">
        <f>E16</f>
        <v>pressés de boudin</v>
      </c>
      <c r="F46" s="34" t="str">
        <f>F16</f>
        <v>Recette mère ► le Boudin en 4 déclinaisons</v>
      </c>
      <c r="G46" s="92"/>
      <c r="H46" s="108"/>
      <c r="I46" s="94" t="str">
        <f t="shared" si="2"/>
        <v/>
      </c>
      <c r="J46" s="95"/>
      <c r="K46" s="126"/>
      <c r="L46" s="127">
        <v>1</v>
      </c>
      <c r="M46" s="920" t="s">
        <v>12833</v>
      </c>
      <c r="N46" s="1495">
        <f>IF(OR(ISBLANK(G14),N14=0),0,G46*L15)</f>
        <v>0</v>
      </c>
      <c r="O46" s="101">
        <f>IFERROR(_xlfn.LET(_xlpm.v,IFERROR(_xlfn.XLOOKUP(K46,G51:P51,G52:P52),_xlfn.XLOOKUP(K46,G53:P53,G54:P54)),_xlpm.v*J46*L46*L15*IF(ISBLANK(G46),1,G46)),0)</f>
        <v>0</v>
      </c>
      <c r="P46" s="1476" t="str">
        <f>_xlfn.LET(_xlpm.unite,SUBSTITUTE(TRIM(K46)," (s)",""),_xlpm.val,O46,_xlpm.estVol,COUNTIF(J51:P51,_xlpm.unite)+COUNTIF(J53:P53,_xlpm.unite)&gt;0,_xlpm.estPoids,COUNTIF(G51:I51,_xlpm.unite)+COUNTIF(G53:I53,_xlpm.unite)&gt;0,IF(_xlpm.estVol,IF(ROUND(_xlpm.val,3)&gt;=1,ROUND(_xlpm.val,3)&amp;" L",MAX(1,ROUND(_xlpm.val*100,0))&amp;" cl"),IF(_xlpm.estPoids,IF(ROUND(_xlpm.val,3)&gt;=1,ROUND(_xlpm.val,3)&amp;" Kg",MAX(1,ROUND(_xlpm.val*1000,0))&amp;" g"),"")))</f>
        <v/>
      </c>
      <c r="R46" s="104" t="str">
        <f t="shared" si="6"/>
        <v>A</v>
      </c>
      <c r="S46" s="32" t="str">
        <f>S16</f>
        <v>P PRESSED BLACK PUDDING TERRINE | |  Author &gt; Guy KRENZE - Eric GODDYN - Arnaud NICOLAS - CEPROC 2002</v>
      </c>
      <c r="T46" s="33">
        <f>T16</f>
        <v>20</v>
      </c>
      <c r="U46" s="32" t="str">
        <f>U16</f>
        <v>pressés de boudin</v>
      </c>
      <c r="V46" s="34" t="str">
        <f>V16</f>
        <v>Master recipe ► Black pudding in 4 variations</v>
      </c>
      <c r="W46" s="92"/>
      <c r="X46" s="108"/>
      <c r="Y46" s="94" t="str">
        <f t="shared" si="3"/>
        <v/>
      </c>
      <c r="Z46" s="95"/>
      <c r="AA46" s="126"/>
      <c r="AB46" s="127">
        <v>1</v>
      </c>
      <c r="AC46" s="920" t="s">
        <v>12833</v>
      </c>
      <c r="AD46" s="1495">
        <f>IF(OR(ISBLANK(W14),AD14=0),0,W46*AB15)</f>
        <v>0</v>
      </c>
      <c r="AE46" s="101">
        <f>IFERROR(_xlfn.LET(_xlpm.v,IFERROR(_xlfn.XLOOKUP(AA46,W51:AF51,W52:AF52),_xlfn.XLOOKUP(AA46,W53:AF53,W54:AF54)),_xlpm.v*Z46*AB46*AB15*IF(ISBLANK(W46),1,W46)),0)</f>
        <v>0</v>
      </c>
      <c r="AF46" s="1476" t="str">
        <f>_xlfn.LET(_xlpm.unite,SUBSTITUTE(TRIM(AA46)," (s)",""),_xlpm.val,AE46,_xlpm.estVol,COUNTIF(Z51:AF51,_xlpm.unite)+COUNTIF(Z53:AF53,_xlpm.unite)&gt;0,_xlpm.estPoids,COUNTIF(W51:Y51,_xlpm.unite)+COUNTIF(W53:Y53,_xlpm.unite)&gt;0,IF(_xlpm.estVol,IF(ROUND(_xlpm.val,3)&gt;=1,ROUND(_xlpm.val,3)&amp;" L",MAX(1,ROUND(_xlpm.val*100,0))&amp;" cl"),IF(_xlpm.estPoids,IF(ROUND(_xlpm.val,3)&gt;=1,ROUND(_xlpm.val,3)&amp;" Kg",MAX(1,ROUND(_xlpm.val*1000,0))&amp;" g"),"")))</f>
        <v/>
      </c>
      <c r="AH46" s="104" t="str">
        <f t="shared" si="7"/>
        <v>A</v>
      </c>
      <c r="AI46" s="32" t="str">
        <f>AI16</f>
        <v>P PRENSADO DE MORCILLA (TERRINA) | | Autor &gt; Guy KRENZE - Eric GODDYN - Arnaud NICOLAS - CEPROC 2002</v>
      </c>
      <c r="AJ46" s="33">
        <f>AJ16</f>
        <v>20</v>
      </c>
      <c r="AK46" s="32" t="str">
        <f>AK16</f>
        <v>pressés de boudin</v>
      </c>
      <c r="AL46" s="34" t="str">
        <f>AL16</f>
        <v>Receta madre ► Morcilla en 4 versiones</v>
      </c>
      <c r="AM46" s="92"/>
      <c r="AN46" s="108"/>
      <c r="AO46" s="94" t="str">
        <f t="shared" si="4"/>
        <v/>
      </c>
      <c r="AP46" s="95"/>
      <c r="AQ46" s="126"/>
      <c r="AR46" s="127">
        <v>1</v>
      </c>
      <c r="AS46" s="920" t="s">
        <v>12833</v>
      </c>
      <c r="AT46" s="1495">
        <f>IF(OR(ISBLANK(AM14),AT14=0),0,AM46*AR15)</f>
        <v>0</v>
      </c>
      <c r="AU46" s="101">
        <f>IFERROR(_xlfn.LET(_xlpm.v,IFERROR(_xlfn.XLOOKUP(AQ46,AM51:AV51,AM52:AV52),_xlfn.XLOOKUP(AQ46,AM53:AV53,AM54:AV54)),_xlpm.v*AP46*AR46*AR15*IF(ISBLANK(AM46),1,AM46)),0)</f>
        <v>0</v>
      </c>
      <c r="AV46" s="1476" t="str">
        <f>_xlfn.LET(_xlpm.unite,SUBSTITUTE(TRIM(AQ46)," (s)",""),_xlpm.val,AU46,_xlpm.estVol,COUNTIF(AP51:AV51,_xlpm.unite)+COUNTIF(AP53:AV53,_xlpm.unite)&gt;0,_xlpm.estPoids,COUNTIF(AM51:AO51,_xlpm.unite)+COUNTIF(AM53:AO53,_xlpm.unite)&gt;0,IF(_xlpm.estVol,IF(ROUND(_xlpm.val,3)&gt;=1,ROUND(_xlpm.val,3)&amp;" L",MAX(1,ROUND(_xlpm.val*100,0))&amp;" cl"),IF(_xlpm.estPoids,IF(ROUND(_xlpm.val,3)&gt;=1,ROUND(_xlpm.val,3)&amp;" Kg",MAX(1,ROUND(_xlpm.val*1000,0))&amp;" g"),"")))</f>
        <v/>
      </c>
      <c r="AY46" s="3">
        <v>1</v>
      </c>
    </row>
    <row r="47" spans="2:51" ht="27" customHeight="1">
      <c r="B47" s="104" t="str">
        <f t="shared" si="5"/>
        <v>►</v>
      </c>
      <c r="C47" s="32" t="str">
        <f>C16</f>
        <v>P PRESSÉ DE BOUDIN NOIR | | Auteur &gt; Guy KRENZE - Eric GODDYN - Arnaud NICOLAS - CEPROC 2002</v>
      </c>
      <c r="D47" s="33">
        <f>D16</f>
        <v>20</v>
      </c>
      <c r="E47" s="32" t="str">
        <f>E16</f>
        <v>pressés de boudin</v>
      </c>
      <c r="F47" s="34" t="str">
        <f>F16</f>
        <v>Recette mère ► le Boudin en 4 déclinaisons</v>
      </c>
      <c r="G47" s="92"/>
      <c r="H47" s="108"/>
      <c r="I47" s="94" t="str">
        <f t="shared" si="2"/>
        <v/>
      </c>
      <c r="J47" s="95"/>
      <c r="K47" s="126"/>
      <c r="L47" s="127">
        <v>1</v>
      </c>
      <c r="M47" s="920"/>
      <c r="N47" s="1495">
        <f>IF(OR(ISBLANK(G14),N14=0),0,G47*L15)</f>
        <v>0</v>
      </c>
      <c r="O47" s="101">
        <f>IFERROR(_xlfn.LET(_xlpm.v,IFERROR(_xlfn.XLOOKUP(K47,G51:P51,G52:P52),_xlfn.XLOOKUP(K47,G53:P53,G54:P54)),_xlpm.v*J47*L47*L15*IF(ISBLANK(G47),1,G47)),0)</f>
        <v>0</v>
      </c>
      <c r="P47" s="1475" t="str">
        <f>_xlfn.LET(_xlpm.unite,SUBSTITUTE(TRIM(K47)," (s)",""),_xlpm.val,O47,_xlpm.estVol,COUNTIF(J51:P51,_xlpm.unite)+COUNTIF(J53:P53,_xlpm.unite)&gt;0,_xlpm.estPoids,COUNTIF(G51:I51,_xlpm.unite)+COUNTIF(G53:I53,_xlpm.unite)&gt;0,IF(_xlpm.estVol,IF(ROUND(_xlpm.val,3)&gt;=1,ROUND(_xlpm.val,3)&amp;" L",MAX(1,ROUND(_xlpm.val*100,0))&amp;" cl"),IF(_xlpm.estPoids,IF(ROUND(_xlpm.val,3)&gt;=1,ROUND(_xlpm.val,3)&amp;" Kg",MAX(1,ROUND(_xlpm.val*1000,0))&amp;" g"),"")))</f>
        <v/>
      </c>
      <c r="R47" s="104" t="str">
        <f t="shared" si="6"/>
        <v>►</v>
      </c>
      <c r="S47" s="32" t="str">
        <f>S16</f>
        <v>P PRESSED BLACK PUDDING TERRINE | |  Author &gt; Guy KRENZE - Eric GODDYN - Arnaud NICOLAS - CEPROC 2002</v>
      </c>
      <c r="T47" s="33">
        <f>T16</f>
        <v>20</v>
      </c>
      <c r="U47" s="32" t="str">
        <f>U16</f>
        <v>pressés de boudin</v>
      </c>
      <c r="V47" s="34" t="str">
        <f>V16</f>
        <v>Master recipe ► Black pudding in 4 variations</v>
      </c>
      <c r="W47" s="92"/>
      <c r="X47" s="108"/>
      <c r="Y47" s="94" t="str">
        <f t="shared" si="3"/>
        <v/>
      </c>
      <c r="Z47" s="95"/>
      <c r="AA47" s="126"/>
      <c r="AB47" s="127">
        <v>1</v>
      </c>
      <c r="AC47" s="920"/>
      <c r="AD47" s="1495">
        <f>IF(OR(ISBLANK(W14),AD14=0),0,W47*AB15)</f>
        <v>0</v>
      </c>
      <c r="AE47" s="101">
        <f>IFERROR(_xlfn.LET(_xlpm.v,IFERROR(_xlfn.XLOOKUP(AA47,W51:AF51,W52:AF52),_xlfn.XLOOKUP(AA47,W53:AF53,W54:AF54)),_xlpm.v*Z47*AB47*AB15*IF(ISBLANK(W47),1,W47)),0)</f>
        <v>0</v>
      </c>
      <c r="AF47" s="1475" t="str">
        <f>_xlfn.LET(_xlpm.unite,SUBSTITUTE(TRIM(AA47)," (s)",""),_xlpm.val,AE47,_xlpm.estVol,COUNTIF(Z51:AF51,_xlpm.unite)+COUNTIF(Z53:AF53,_xlpm.unite)&gt;0,_xlpm.estPoids,COUNTIF(W51:Y51,_xlpm.unite)+COUNTIF(W53:Y53,_xlpm.unite)&gt;0,IF(_xlpm.estVol,IF(ROUND(_xlpm.val,3)&gt;=1,ROUND(_xlpm.val,3)&amp;" L",MAX(1,ROUND(_xlpm.val*100,0))&amp;" cl"),IF(_xlpm.estPoids,IF(ROUND(_xlpm.val,3)&gt;=1,ROUND(_xlpm.val,3)&amp;" Kg",MAX(1,ROUND(_xlpm.val*1000,0))&amp;" g"),"")))</f>
        <v/>
      </c>
      <c r="AH47" s="104" t="str">
        <f t="shared" si="7"/>
        <v>►</v>
      </c>
      <c r="AI47" s="32" t="str">
        <f>AI16</f>
        <v>P PRENSADO DE MORCILLA (TERRINA) | | Autor &gt; Guy KRENZE - Eric GODDYN - Arnaud NICOLAS - CEPROC 2002</v>
      </c>
      <c r="AJ47" s="33">
        <f>AJ16</f>
        <v>20</v>
      </c>
      <c r="AK47" s="32" t="str">
        <f>AK16</f>
        <v>pressés de boudin</v>
      </c>
      <c r="AL47" s="34" t="str">
        <f>AL16</f>
        <v>Receta madre ► Morcilla en 4 versiones</v>
      </c>
      <c r="AM47" s="92"/>
      <c r="AN47" s="108"/>
      <c r="AO47" s="94" t="str">
        <f t="shared" si="4"/>
        <v/>
      </c>
      <c r="AP47" s="95"/>
      <c r="AQ47" s="126"/>
      <c r="AR47" s="127">
        <v>1</v>
      </c>
      <c r="AS47" s="920"/>
      <c r="AT47" s="1495">
        <f>IF(OR(ISBLANK(AM14),AT14=0),0,AM47*AR15)</f>
        <v>0</v>
      </c>
      <c r="AU47" s="101">
        <f>IFERROR(_xlfn.LET(_xlpm.v,IFERROR(_xlfn.XLOOKUP(AQ47,AM51:AV51,AM52:AV52),_xlfn.XLOOKUP(AQ47,AM53:AV53,AM54:AV54)),_xlpm.v*AP47*AR47*AR15*IF(ISBLANK(AM47),1,AM47)),0)</f>
        <v>0</v>
      </c>
      <c r="AV47" s="1475" t="str">
        <f>_xlfn.LET(_xlpm.unite,SUBSTITUTE(TRIM(AQ47)," (s)",""),_xlpm.val,AU47,_xlpm.estVol,COUNTIF(AP51:AV51,_xlpm.unite)+COUNTIF(AP53:AV53,_xlpm.unite)&gt;0,_xlpm.estPoids,COUNTIF(AM51:AO51,_xlpm.unite)+COUNTIF(AM53:AO53,_xlpm.unite)&gt;0,IF(_xlpm.estVol,IF(ROUND(_xlpm.val,3)&gt;=1,ROUND(_xlpm.val,3)&amp;" L",MAX(1,ROUND(_xlpm.val*100,0))&amp;" cl"),IF(_xlpm.estPoids,IF(ROUND(_xlpm.val,3)&gt;=1,ROUND(_xlpm.val,3)&amp;" Kg",MAX(1,ROUND(_xlpm.val*1000,0))&amp;" g"),"")))</f>
        <v/>
      </c>
      <c r="AY47" s="3">
        <v>1</v>
      </c>
    </row>
    <row r="48" spans="2:51" ht="27" customHeight="1">
      <c r="B48" s="104" t="str">
        <f t="shared" si="5"/>
        <v>►</v>
      </c>
      <c r="C48" s="32" t="str">
        <f>C16</f>
        <v>P PRESSÉ DE BOUDIN NOIR | | Auteur &gt; Guy KRENZE - Eric GODDYN - Arnaud NICOLAS - CEPROC 2002</v>
      </c>
      <c r="D48" s="33">
        <f>D16</f>
        <v>20</v>
      </c>
      <c r="E48" s="32" t="str">
        <f>E16</f>
        <v>pressés de boudin</v>
      </c>
      <c r="F48" s="34" t="str">
        <f>F16</f>
        <v>Recette mère ► le Boudin en 4 déclinaisons</v>
      </c>
      <c r="G48" s="92"/>
      <c r="H48" s="108"/>
      <c r="I48" s="94" t="str">
        <f t="shared" si="2"/>
        <v/>
      </c>
      <c r="J48" s="95"/>
      <c r="K48" s="126"/>
      <c r="L48" s="127">
        <v>1</v>
      </c>
      <c r="M48" s="920"/>
      <c r="N48" s="1495">
        <f>IF(OR(ISBLANK(G14),N14=0),0,G48*L15)</f>
        <v>0</v>
      </c>
      <c r="O48" s="101">
        <f>IFERROR(_xlfn.LET(_xlpm.v,IFERROR(_xlfn.XLOOKUP(K48,G51:P51,G52:P52),_xlfn.XLOOKUP(K48,G53:P53,G54:P54)),_xlpm.v*J48*L48*L15*IF(ISBLANK(G48),1,G48)),0)</f>
        <v>0</v>
      </c>
      <c r="P48" s="1476" t="str">
        <f>_xlfn.LET(_xlpm.unite,SUBSTITUTE(TRIM(K48)," (s)",""),_xlpm.val,O48,_xlpm.estVol,COUNTIF(J51:P51,_xlpm.unite)+COUNTIF(J53:P53,_xlpm.unite)&gt;0,_xlpm.estPoids,COUNTIF(G51:I51,_xlpm.unite)+COUNTIF(G53:I53,_xlpm.unite)&gt;0,IF(_xlpm.estVol,IF(ROUND(_xlpm.val,3)&gt;=1,ROUND(_xlpm.val,3)&amp;" L",MAX(1,ROUND(_xlpm.val*100,0))&amp;" cl"),IF(_xlpm.estPoids,IF(ROUND(_xlpm.val,3)&gt;=1,ROUND(_xlpm.val,3)&amp;" Kg",MAX(1,ROUND(_xlpm.val*1000,0))&amp;" g"),"")))</f>
        <v/>
      </c>
      <c r="R48" s="104" t="str">
        <f t="shared" si="6"/>
        <v>►</v>
      </c>
      <c r="S48" s="32" t="str">
        <f>S16</f>
        <v>P PRESSED BLACK PUDDING TERRINE | |  Author &gt; Guy KRENZE - Eric GODDYN - Arnaud NICOLAS - CEPROC 2002</v>
      </c>
      <c r="T48" s="33">
        <f>T16</f>
        <v>20</v>
      </c>
      <c r="U48" s="32" t="str">
        <f>U16</f>
        <v>pressés de boudin</v>
      </c>
      <c r="V48" s="34" t="str">
        <f>V16</f>
        <v>Master recipe ► Black pudding in 4 variations</v>
      </c>
      <c r="W48" s="92"/>
      <c r="X48" s="108"/>
      <c r="Y48" s="94" t="str">
        <f t="shared" si="3"/>
        <v/>
      </c>
      <c r="Z48" s="95"/>
      <c r="AA48" s="126"/>
      <c r="AB48" s="127">
        <v>1</v>
      </c>
      <c r="AC48" s="920"/>
      <c r="AD48" s="1495">
        <f>IF(OR(ISBLANK(W14),AD14=0),0,W48*AB15)</f>
        <v>0</v>
      </c>
      <c r="AE48" s="101">
        <f>IFERROR(_xlfn.LET(_xlpm.v,IFERROR(_xlfn.XLOOKUP(AA48,W51:AF51,W52:AF52),_xlfn.XLOOKUP(AA48,W53:AF53,W54:AF54)),_xlpm.v*Z48*AB48*AB15*IF(ISBLANK(W48),1,W48)),0)</f>
        <v>0</v>
      </c>
      <c r="AF48" s="1476" t="str">
        <f>_xlfn.LET(_xlpm.unite,SUBSTITUTE(TRIM(AA48)," (s)",""),_xlpm.val,AE48,_xlpm.estVol,COUNTIF(Z51:AF51,_xlpm.unite)+COUNTIF(Z53:AF53,_xlpm.unite)&gt;0,_xlpm.estPoids,COUNTIF(W51:Y51,_xlpm.unite)+COUNTIF(W53:Y53,_xlpm.unite)&gt;0,IF(_xlpm.estVol,IF(ROUND(_xlpm.val,3)&gt;=1,ROUND(_xlpm.val,3)&amp;" L",MAX(1,ROUND(_xlpm.val*100,0))&amp;" cl"),IF(_xlpm.estPoids,IF(ROUND(_xlpm.val,3)&gt;=1,ROUND(_xlpm.val,3)&amp;" Kg",MAX(1,ROUND(_xlpm.val*1000,0))&amp;" g"),"")))</f>
        <v/>
      </c>
      <c r="AH48" s="104" t="str">
        <f t="shared" si="7"/>
        <v>►</v>
      </c>
      <c r="AI48" s="32" t="str">
        <f>AI16</f>
        <v>P PRENSADO DE MORCILLA (TERRINA) | | Autor &gt; Guy KRENZE - Eric GODDYN - Arnaud NICOLAS - CEPROC 2002</v>
      </c>
      <c r="AJ48" s="33">
        <f>AJ16</f>
        <v>20</v>
      </c>
      <c r="AK48" s="32" t="str">
        <f>AK16</f>
        <v>pressés de boudin</v>
      </c>
      <c r="AL48" s="34" t="str">
        <f>AL16</f>
        <v>Receta madre ► Morcilla en 4 versiones</v>
      </c>
      <c r="AM48" s="92"/>
      <c r="AN48" s="108"/>
      <c r="AO48" s="94" t="str">
        <f t="shared" si="4"/>
        <v/>
      </c>
      <c r="AP48" s="95"/>
      <c r="AQ48" s="126"/>
      <c r="AR48" s="127">
        <v>1</v>
      </c>
      <c r="AS48" s="920"/>
      <c r="AT48" s="1495">
        <f>IF(OR(ISBLANK(AM14),AT14=0),0,AM48*AR15)</f>
        <v>0</v>
      </c>
      <c r="AU48" s="101">
        <f>IFERROR(_xlfn.LET(_xlpm.v,IFERROR(_xlfn.XLOOKUP(AQ48,AM51:AV51,AM52:AV52),_xlfn.XLOOKUP(AQ48,AM53:AV53,AM54:AV54)),_xlpm.v*AP48*AR48*AR15*IF(ISBLANK(AM48),1,AM48)),0)</f>
        <v>0</v>
      </c>
      <c r="AV48" s="1476" t="str">
        <f>_xlfn.LET(_xlpm.unite,SUBSTITUTE(TRIM(AQ48)," (s)",""),_xlpm.val,AU48,_xlpm.estVol,COUNTIF(AP51:AV51,_xlpm.unite)+COUNTIF(AP53:AV53,_xlpm.unite)&gt;0,_xlpm.estPoids,COUNTIF(AM51:AO51,_xlpm.unite)+COUNTIF(AM53:AO53,_xlpm.unite)&gt;0,IF(_xlpm.estVol,IF(ROUND(_xlpm.val,3)&gt;=1,ROUND(_xlpm.val,3)&amp;" L",MAX(1,ROUND(_xlpm.val*100,0))&amp;" cl"),IF(_xlpm.estPoids,IF(ROUND(_xlpm.val,3)&gt;=1,ROUND(_xlpm.val,3)&amp;" Kg",MAX(1,ROUND(_xlpm.val*1000,0))&amp;" g"),"")))</f>
        <v/>
      </c>
      <c r="AY48" s="3">
        <v>1</v>
      </c>
    </row>
    <row r="49" spans="2:51" ht="27" customHeight="1">
      <c r="B49" s="104" t="str">
        <f t="shared" si="5"/>
        <v>►</v>
      </c>
      <c r="C49" s="32" t="str">
        <f>C16</f>
        <v>P PRESSÉ DE BOUDIN NOIR | | Auteur &gt; Guy KRENZE - Eric GODDYN - Arnaud NICOLAS - CEPROC 2002</v>
      </c>
      <c r="D49" s="33">
        <f>D16</f>
        <v>20</v>
      </c>
      <c r="E49" s="32" t="str">
        <f>E16</f>
        <v>pressés de boudin</v>
      </c>
      <c r="F49" s="34" t="str">
        <f>F16</f>
        <v>Recette mère ► le Boudin en 4 déclinaisons</v>
      </c>
      <c r="G49" s="92"/>
      <c r="H49" s="108"/>
      <c r="I49" s="94" t="str">
        <f t="shared" si="2"/>
        <v/>
      </c>
      <c r="J49" s="95"/>
      <c r="K49" s="126"/>
      <c r="L49" s="127">
        <v>1</v>
      </c>
      <c r="M49" s="920"/>
      <c r="N49" s="1495">
        <f>IF(OR(ISBLANK(G14),N14=0),0,G49*L15)</f>
        <v>0</v>
      </c>
      <c r="O49" s="101">
        <f>IFERROR(_xlfn.LET(_xlpm.v,IFERROR(_xlfn.XLOOKUP(K49,G51:P51,G52:P52),_xlfn.XLOOKUP(K49,G53:P53,G54:P54)),_xlpm.v*J49*L49*L15*IF(ISBLANK(G49),1,G49)),0)</f>
        <v>0</v>
      </c>
      <c r="P49" s="1475" t="str">
        <f>_xlfn.LET(_xlpm.unite,SUBSTITUTE(TRIM(K49)," (s)",""),_xlpm.val,O49,_xlpm.estVol,COUNTIF(J51:P51,_xlpm.unite)+COUNTIF(J53:P53,_xlpm.unite)&gt;0,_xlpm.estPoids,COUNTIF(G51:I51,_xlpm.unite)+COUNTIF(G53:I53,_xlpm.unite)&gt;0,IF(_xlpm.estVol,IF(ROUND(_xlpm.val,3)&gt;=1,ROUND(_xlpm.val,3)&amp;" L",MAX(1,ROUND(_xlpm.val*100,0))&amp;" cl"),IF(_xlpm.estPoids,IF(ROUND(_xlpm.val,3)&gt;=1,ROUND(_xlpm.val,3)&amp;" Kg",MAX(1,ROUND(_xlpm.val*1000,0))&amp;" g"),"")))</f>
        <v/>
      </c>
      <c r="R49" s="104" t="str">
        <f t="shared" si="6"/>
        <v>►</v>
      </c>
      <c r="S49" s="32" t="str">
        <f>S16</f>
        <v>P PRESSED BLACK PUDDING TERRINE | |  Author &gt; Guy KRENZE - Eric GODDYN - Arnaud NICOLAS - CEPROC 2002</v>
      </c>
      <c r="T49" s="33">
        <f>T16</f>
        <v>20</v>
      </c>
      <c r="U49" s="32" t="str">
        <f>U16</f>
        <v>pressés de boudin</v>
      </c>
      <c r="V49" s="34" t="str">
        <f>V16</f>
        <v>Master recipe ► Black pudding in 4 variations</v>
      </c>
      <c r="W49" s="92"/>
      <c r="X49" s="108"/>
      <c r="Y49" s="94" t="str">
        <f t="shared" si="3"/>
        <v/>
      </c>
      <c r="Z49" s="95"/>
      <c r="AA49" s="126"/>
      <c r="AB49" s="127">
        <v>1</v>
      </c>
      <c r="AC49" s="920"/>
      <c r="AD49" s="1495">
        <f>IF(OR(ISBLANK(W14),AD14=0),0,W49*AB15)</f>
        <v>0</v>
      </c>
      <c r="AE49" s="101">
        <f>IFERROR(_xlfn.LET(_xlpm.v,IFERROR(_xlfn.XLOOKUP(AA49,W51:AF51,W52:AF52),_xlfn.XLOOKUP(AA49,W53:AF53,W54:AF54)),_xlpm.v*Z49*AB49*AB15*IF(ISBLANK(W49),1,W49)),0)</f>
        <v>0</v>
      </c>
      <c r="AF49" s="1475" t="str">
        <f>_xlfn.LET(_xlpm.unite,SUBSTITUTE(TRIM(AA49)," (s)",""),_xlpm.val,AE49,_xlpm.estVol,COUNTIF(Z51:AF51,_xlpm.unite)+COUNTIF(Z53:AF53,_xlpm.unite)&gt;0,_xlpm.estPoids,COUNTIF(W51:Y51,_xlpm.unite)+COUNTIF(W53:Y53,_xlpm.unite)&gt;0,IF(_xlpm.estVol,IF(ROUND(_xlpm.val,3)&gt;=1,ROUND(_xlpm.val,3)&amp;" L",MAX(1,ROUND(_xlpm.val*100,0))&amp;" cl"),IF(_xlpm.estPoids,IF(ROUND(_xlpm.val,3)&gt;=1,ROUND(_xlpm.val,3)&amp;" Kg",MAX(1,ROUND(_xlpm.val*1000,0))&amp;" g"),"")))</f>
        <v/>
      </c>
      <c r="AH49" s="104" t="str">
        <f t="shared" si="7"/>
        <v>►</v>
      </c>
      <c r="AI49" s="32" t="str">
        <f>AI16</f>
        <v>P PRENSADO DE MORCILLA (TERRINA) | | Autor &gt; Guy KRENZE - Eric GODDYN - Arnaud NICOLAS - CEPROC 2002</v>
      </c>
      <c r="AJ49" s="33">
        <f>AJ16</f>
        <v>20</v>
      </c>
      <c r="AK49" s="32" t="str">
        <f>AK16</f>
        <v>pressés de boudin</v>
      </c>
      <c r="AL49" s="34" t="str">
        <f>AL16</f>
        <v>Receta madre ► Morcilla en 4 versiones</v>
      </c>
      <c r="AM49" s="92"/>
      <c r="AN49" s="108"/>
      <c r="AO49" s="94" t="str">
        <f t="shared" si="4"/>
        <v/>
      </c>
      <c r="AP49" s="95"/>
      <c r="AQ49" s="126"/>
      <c r="AR49" s="127">
        <v>1</v>
      </c>
      <c r="AS49" s="920"/>
      <c r="AT49" s="1495">
        <f>IF(OR(ISBLANK(AM14),AT14=0),0,AM49*AR15)</f>
        <v>0</v>
      </c>
      <c r="AU49" s="101">
        <f>IFERROR(_xlfn.LET(_xlpm.v,IFERROR(_xlfn.XLOOKUP(AQ49,AM51:AV51,AM52:AV52),_xlfn.XLOOKUP(AQ49,AM53:AV53,AM54:AV54)),_xlpm.v*AP49*AR49*AR15*IF(ISBLANK(AM49),1,AM49)),0)</f>
        <v>0</v>
      </c>
      <c r="AV49" s="1475" t="str">
        <f>_xlfn.LET(_xlpm.unite,SUBSTITUTE(TRIM(AQ49)," (s)",""),_xlpm.val,AU49,_xlpm.estVol,COUNTIF(AP51:AV51,_xlpm.unite)+COUNTIF(AP53:AV53,_xlpm.unite)&gt;0,_xlpm.estPoids,COUNTIF(AM51:AO51,_xlpm.unite)+COUNTIF(AM53:AO53,_xlpm.unite)&gt;0,IF(_xlpm.estVol,IF(ROUND(_xlpm.val,3)&gt;=1,ROUND(_xlpm.val,3)&amp;" L",MAX(1,ROUND(_xlpm.val*100,0))&amp;" cl"),IF(_xlpm.estPoids,IF(ROUND(_xlpm.val,3)&gt;=1,ROUND(_xlpm.val,3)&amp;" Kg",MAX(1,ROUND(_xlpm.val*1000,0))&amp;" g"),"")))</f>
        <v/>
      </c>
      <c r="AY49" s="3">
        <v>1</v>
      </c>
    </row>
    <row r="50" spans="2:51" ht="27" customHeight="1">
      <c r="B50" s="104" t="s">
        <v>11</v>
      </c>
      <c r="C50" s="32" t="str">
        <f>C16</f>
        <v>P PRESSÉ DE BOUDIN NOIR | | Auteur &gt; Guy KRENZE - Eric GODDYN - Arnaud NICOLAS - CEPROC 2002</v>
      </c>
      <c r="D50" s="33">
        <f>D16</f>
        <v>20</v>
      </c>
      <c r="E50" s="32" t="str">
        <f>E16</f>
        <v>pressés de boudin</v>
      </c>
      <c r="F50" s="34" t="str">
        <f>F16</f>
        <v>Recette mère ► le Boudin en 4 déclinaisons</v>
      </c>
      <c r="G50" s="907" t="s">
        <v>136</v>
      </c>
      <c r="H50" s="500"/>
      <c r="I50" s="500"/>
      <c r="J50" s="500"/>
      <c r="K50" s="500"/>
      <c r="L50" s="908"/>
      <c r="M50" s="909"/>
      <c r="N50" s="909"/>
      <c r="O50" s="910">
        <f>SUM(O20:O49)</f>
        <v>2.5619999999999998</v>
      </c>
      <c r="P50" s="1489"/>
      <c r="R50" s="104" t="s">
        <v>11</v>
      </c>
      <c r="S50" s="32" t="str">
        <f>S16</f>
        <v>P PRESSED BLACK PUDDING TERRINE | |  Author &gt; Guy KRENZE - Eric GODDYN - Arnaud NICOLAS - CEPROC 2002</v>
      </c>
      <c r="T50" s="33">
        <f>T16</f>
        <v>20</v>
      </c>
      <c r="U50" s="32" t="str">
        <f>U16</f>
        <v>pressés de boudin</v>
      </c>
      <c r="V50" s="34" t="str">
        <f>V16</f>
        <v>Master recipe ► Black pudding in 4 variations</v>
      </c>
      <c r="W50" s="907" t="s">
        <v>893</v>
      </c>
      <c r="X50" s="500"/>
      <c r="Y50" s="500"/>
      <c r="Z50" s="500"/>
      <c r="AA50" s="500"/>
      <c r="AB50" s="908"/>
      <c r="AC50" s="909"/>
      <c r="AD50" s="909"/>
      <c r="AE50" s="910">
        <f>SUM(AE20:AE49)</f>
        <v>4.6116000000000001</v>
      </c>
      <c r="AF50" s="1489"/>
      <c r="AH50" s="104" t="s">
        <v>11</v>
      </c>
      <c r="AI50" s="32" t="str">
        <f>AI16</f>
        <v>P PRENSADO DE MORCILLA (TERRINA) | | Autor &gt; Guy KRENZE - Eric GODDYN - Arnaud NICOLAS - CEPROC 2002</v>
      </c>
      <c r="AJ50" s="33">
        <f>AJ16</f>
        <v>20</v>
      </c>
      <c r="AK50" s="32" t="str">
        <f>AK16</f>
        <v>pressés de boudin</v>
      </c>
      <c r="AL50" s="34" t="str">
        <f>AL16</f>
        <v>Receta madre ► Morcilla en 4 versiones</v>
      </c>
      <c r="AM50" s="907" t="s">
        <v>893</v>
      </c>
      <c r="AN50" s="500"/>
      <c r="AO50" s="500"/>
      <c r="AP50" s="500"/>
      <c r="AQ50" s="500"/>
      <c r="AR50" s="908"/>
      <c r="AS50" s="909"/>
      <c r="AT50" s="909"/>
      <c r="AU50" s="910">
        <f>SUM(AU20:AU49)</f>
        <v>4.6116000000000001</v>
      </c>
      <c r="AV50" s="1489"/>
      <c r="AY50" s="3">
        <v>1</v>
      </c>
    </row>
    <row r="51" spans="2:51" ht="27" customHeight="1">
      <c r="B51" s="104" t="s">
        <v>16</v>
      </c>
      <c r="C51" s="32" t="str">
        <f>C16</f>
        <v>P PRESSÉ DE BOUDIN NOIR | | Auteur &gt; Guy KRENZE - Eric GODDYN - Arnaud NICOLAS - CEPROC 2002</v>
      </c>
      <c r="D51" s="33">
        <f>D16</f>
        <v>20</v>
      </c>
      <c r="E51" s="32" t="str">
        <f>E16</f>
        <v>pressés de boudin</v>
      </c>
      <c r="F51" s="34" t="str">
        <f>F16</f>
        <v>Recette mère ► le Boudin en 4 déclinaisons</v>
      </c>
      <c r="G51" s="140" t="s">
        <v>143</v>
      </c>
      <c r="H51" s="105" t="s">
        <v>99</v>
      </c>
      <c r="I51" s="141" t="s">
        <v>144</v>
      </c>
      <c r="J51" s="96" t="s">
        <v>0</v>
      </c>
      <c r="K51" s="96" t="s">
        <v>96</v>
      </c>
      <c r="L51" s="96" t="s">
        <v>147</v>
      </c>
      <c r="M51" s="96" t="s">
        <v>148</v>
      </c>
      <c r="N51" s="109" t="s">
        <v>364</v>
      </c>
      <c r="O51" s="109" t="s">
        <v>102</v>
      </c>
      <c r="P51" s="109" t="s">
        <v>149</v>
      </c>
      <c r="R51" s="104" t="s">
        <v>16</v>
      </c>
      <c r="S51" s="32" t="str">
        <f>S16</f>
        <v>P PRESSED BLACK PUDDING TERRINE | |  Author &gt; Guy KRENZE - Eric GODDYN - Arnaud NICOLAS - CEPROC 2002</v>
      </c>
      <c r="T51" s="33">
        <f>T16</f>
        <v>20</v>
      </c>
      <c r="U51" s="32" t="str">
        <f>U16</f>
        <v>pressés de boudin</v>
      </c>
      <c r="V51" s="34" t="str">
        <f>V16</f>
        <v>Master recipe ► Black pudding in 4 variations</v>
      </c>
      <c r="W51" s="140" t="s">
        <v>143</v>
      </c>
      <c r="X51" s="105" t="s">
        <v>99</v>
      </c>
      <c r="Y51" s="141" t="s">
        <v>144</v>
      </c>
      <c r="Z51" s="96" t="s">
        <v>0</v>
      </c>
      <c r="AA51" s="96" t="s">
        <v>96</v>
      </c>
      <c r="AB51" s="96" t="s">
        <v>147</v>
      </c>
      <c r="AC51" s="96" t="s">
        <v>148</v>
      </c>
      <c r="AD51" s="109" t="s">
        <v>1378</v>
      </c>
      <c r="AE51" s="109" t="s">
        <v>1360</v>
      </c>
      <c r="AF51" s="109" t="s">
        <v>1361</v>
      </c>
      <c r="AH51" s="104" t="s">
        <v>16</v>
      </c>
      <c r="AI51" s="32" t="str">
        <f>AI16</f>
        <v>P PRENSADO DE MORCILLA (TERRINA) | | Autor &gt; Guy KRENZE - Eric GODDYN - Arnaud NICOLAS - CEPROC 2002</v>
      </c>
      <c r="AJ51" s="33">
        <f>AJ16</f>
        <v>20</v>
      </c>
      <c r="AK51" s="32" t="str">
        <f>AK16</f>
        <v>pressés de boudin</v>
      </c>
      <c r="AL51" s="34" t="str">
        <f>AL16</f>
        <v>Receta madre ► Morcilla en 4 versiones</v>
      </c>
      <c r="AM51" s="140" t="s">
        <v>143</v>
      </c>
      <c r="AN51" s="105" t="s">
        <v>99</v>
      </c>
      <c r="AO51" s="141" t="s">
        <v>144</v>
      </c>
      <c r="AP51" s="96" t="s">
        <v>0</v>
      </c>
      <c r="AQ51" s="96" t="s">
        <v>96</v>
      </c>
      <c r="AR51" s="96" t="s">
        <v>147</v>
      </c>
      <c r="AS51" s="96" t="s">
        <v>148</v>
      </c>
      <c r="AT51" s="109" t="s">
        <v>1379</v>
      </c>
      <c r="AU51" s="109" t="s">
        <v>1341</v>
      </c>
      <c r="AV51" s="109" t="s">
        <v>1342</v>
      </c>
      <c r="AY51" s="3">
        <v>1</v>
      </c>
    </row>
    <row r="52" spans="2:51" ht="27" customHeight="1">
      <c r="B52" s="104" t="s">
        <v>16</v>
      </c>
      <c r="C52" s="32" t="str">
        <f>C16</f>
        <v>P PRESSÉ DE BOUDIN NOIR | | Auteur &gt; Guy KRENZE - Eric GODDYN - Arnaud NICOLAS - CEPROC 2002</v>
      </c>
      <c r="D52" s="33">
        <f>D16</f>
        <v>20</v>
      </c>
      <c r="E52" s="32" t="str">
        <f>E16</f>
        <v>pressés de boudin</v>
      </c>
      <c r="F52" s="34" t="str">
        <f>F16</f>
        <v>Recette mère ► le Boudin en 4 déclinaisons</v>
      </c>
      <c r="G52" s="911">
        <v>1</v>
      </c>
      <c r="H52" s="912">
        <v>1E-3</v>
      </c>
      <c r="I52" s="913">
        <v>0</v>
      </c>
      <c r="J52" s="914">
        <v>1</v>
      </c>
      <c r="K52" s="914">
        <v>0.1</v>
      </c>
      <c r="L52" s="914">
        <v>0.01</v>
      </c>
      <c r="M52" s="914">
        <v>1E-3</v>
      </c>
      <c r="N52" s="914">
        <v>0.25</v>
      </c>
      <c r="O52" s="914">
        <v>0.5</v>
      </c>
      <c r="P52" s="914">
        <v>0.33300000000000002</v>
      </c>
      <c r="R52" s="104" t="s">
        <v>16</v>
      </c>
      <c r="S52" s="32" t="str">
        <f>S16</f>
        <v>P PRESSED BLACK PUDDING TERRINE | |  Author &gt; Guy KRENZE - Eric GODDYN - Arnaud NICOLAS - CEPROC 2002</v>
      </c>
      <c r="T52" s="33">
        <f>T16</f>
        <v>20</v>
      </c>
      <c r="U52" s="32" t="str">
        <f>U16</f>
        <v>pressés de boudin</v>
      </c>
      <c r="V52" s="34" t="str">
        <f>V16</f>
        <v>Master recipe ► Black pudding in 4 variations</v>
      </c>
      <c r="W52" s="911">
        <v>1</v>
      </c>
      <c r="X52" s="912">
        <v>1E-3</v>
      </c>
      <c r="Y52" s="913">
        <v>0</v>
      </c>
      <c r="Z52" s="914">
        <v>1</v>
      </c>
      <c r="AA52" s="914">
        <v>0.1</v>
      </c>
      <c r="AB52" s="914">
        <v>0.01</v>
      </c>
      <c r="AC52" s="914">
        <v>1E-3</v>
      </c>
      <c r="AD52" s="914">
        <v>0.25</v>
      </c>
      <c r="AE52" s="914">
        <v>0.5</v>
      </c>
      <c r="AF52" s="914">
        <v>0.33300000000000002</v>
      </c>
      <c r="AH52" s="104" t="s">
        <v>16</v>
      </c>
      <c r="AI52" s="32" t="str">
        <f>AI16</f>
        <v>P PRENSADO DE MORCILLA (TERRINA) | | Autor &gt; Guy KRENZE - Eric GODDYN - Arnaud NICOLAS - CEPROC 2002</v>
      </c>
      <c r="AJ52" s="33">
        <f>AJ16</f>
        <v>20</v>
      </c>
      <c r="AK52" s="32" t="str">
        <f>AK16</f>
        <v>pressés de boudin</v>
      </c>
      <c r="AL52" s="34" t="str">
        <f>AL16</f>
        <v>Receta madre ► Morcilla en 4 versiones</v>
      </c>
      <c r="AM52" s="911">
        <v>1</v>
      </c>
      <c r="AN52" s="912">
        <v>1E-3</v>
      </c>
      <c r="AO52" s="913">
        <v>0</v>
      </c>
      <c r="AP52" s="914">
        <v>1</v>
      </c>
      <c r="AQ52" s="914">
        <v>0.1</v>
      </c>
      <c r="AR52" s="914">
        <v>0.01</v>
      </c>
      <c r="AS52" s="914">
        <v>1E-3</v>
      </c>
      <c r="AT52" s="914">
        <v>0.25</v>
      </c>
      <c r="AU52" s="914">
        <v>0.5</v>
      </c>
      <c r="AV52" s="914">
        <v>0.33300000000000002</v>
      </c>
      <c r="AY52" s="3">
        <v>1</v>
      </c>
    </row>
    <row r="53" spans="2:51" ht="27" customHeight="1">
      <c r="B53" s="104" t="s">
        <v>16</v>
      </c>
      <c r="C53" s="32" t="str">
        <f>C16</f>
        <v>P PRESSÉ DE BOUDIN NOIR | | Auteur &gt; Guy KRENZE - Eric GODDYN - Arnaud NICOLAS - CEPROC 2002</v>
      </c>
      <c r="D53" s="33">
        <f>D16</f>
        <v>20</v>
      </c>
      <c r="E53" s="32" t="str">
        <f>E16</f>
        <v>pressés de boudin</v>
      </c>
      <c r="F53" s="34" t="str">
        <f>F16</f>
        <v>Recette mère ► le Boudin en 4 déclinaisons</v>
      </c>
      <c r="G53" s="142" t="s">
        <v>145</v>
      </c>
      <c r="H53" s="117" t="s">
        <v>107</v>
      </c>
      <c r="I53" s="141" t="s">
        <v>144</v>
      </c>
      <c r="J53" s="109" t="s">
        <v>150</v>
      </c>
      <c r="K53" s="109" t="s">
        <v>163</v>
      </c>
      <c r="L53" s="109" t="s">
        <v>103</v>
      </c>
      <c r="M53" s="109" t="s">
        <v>162</v>
      </c>
      <c r="N53" s="149" t="s">
        <v>160</v>
      </c>
      <c r="O53" s="149" t="s">
        <v>117</v>
      </c>
      <c r="P53" s="1061" t="s">
        <v>1831</v>
      </c>
      <c r="R53" s="104" t="s">
        <v>16</v>
      </c>
      <c r="S53" s="32" t="str">
        <f>S16</f>
        <v>P PRESSED BLACK PUDDING TERRINE | |  Author &gt; Guy KRENZE - Eric GODDYN - Arnaud NICOLAS - CEPROC 2002</v>
      </c>
      <c r="T53" s="33">
        <f>T16</f>
        <v>20</v>
      </c>
      <c r="U53" s="32" t="str">
        <f>U16</f>
        <v>pressés de boudin</v>
      </c>
      <c r="V53" s="34" t="str">
        <f>V16</f>
        <v>Master recipe ► Black pudding in 4 variations</v>
      </c>
      <c r="W53" s="142" t="s">
        <v>1357</v>
      </c>
      <c r="X53" s="117" t="s">
        <v>1359</v>
      </c>
      <c r="Y53" s="141" t="s">
        <v>144</v>
      </c>
      <c r="Z53" s="109" t="s">
        <v>1362</v>
      </c>
      <c r="AA53" s="109" t="s">
        <v>1371</v>
      </c>
      <c r="AB53" s="109" t="s">
        <v>1372</v>
      </c>
      <c r="AC53" s="109" t="s">
        <v>1370</v>
      </c>
      <c r="AD53" s="149" t="s">
        <v>1368</v>
      </c>
      <c r="AE53" s="149" t="s">
        <v>1367</v>
      </c>
      <c r="AF53" s="1061" t="s">
        <v>1832</v>
      </c>
      <c r="AH53" s="104" t="s">
        <v>16</v>
      </c>
      <c r="AI53" s="32" t="str">
        <f>AI16</f>
        <v>P PRENSADO DE MORCILLA (TERRINA) | | Autor &gt; Guy KRENZE - Eric GODDYN - Arnaud NICOLAS - CEPROC 2002</v>
      </c>
      <c r="AJ53" s="33">
        <f>AJ16</f>
        <v>20</v>
      </c>
      <c r="AK53" s="32" t="str">
        <f>AK16</f>
        <v>pressés de boudin</v>
      </c>
      <c r="AL53" s="34" t="str">
        <f>AL16</f>
        <v>Receta madre ► Morcilla en 4 versiones</v>
      </c>
      <c r="AM53" s="142" t="s">
        <v>145</v>
      </c>
      <c r="AN53" s="117" t="s">
        <v>107</v>
      </c>
      <c r="AO53" s="141" t="s">
        <v>144</v>
      </c>
      <c r="AP53" s="143" t="s">
        <v>1343</v>
      </c>
      <c r="AQ53" s="109" t="s">
        <v>1354</v>
      </c>
      <c r="AR53" s="109" t="s">
        <v>1355</v>
      </c>
      <c r="AS53" s="109" t="s">
        <v>1353</v>
      </c>
      <c r="AT53" s="149" t="s">
        <v>1351</v>
      </c>
      <c r="AU53" s="123" t="s">
        <v>1350</v>
      </c>
      <c r="AV53" s="1061" t="s">
        <v>1833</v>
      </c>
      <c r="AY53" s="3">
        <v>1</v>
      </c>
    </row>
    <row r="54" spans="2:51" ht="27" customHeight="1">
      <c r="B54" s="104" t="s">
        <v>16</v>
      </c>
      <c r="C54" s="32" t="str">
        <f>C16</f>
        <v>P PRESSÉ DE BOUDIN NOIR | | Auteur &gt; Guy KRENZE - Eric GODDYN - Arnaud NICOLAS - CEPROC 2002</v>
      </c>
      <c r="D54" s="33">
        <f>D16</f>
        <v>20</v>
      </c>
      <c r="E54" s="32" t="str">
        <f>E16</f>
        <v>pressés de boudin</v>
      </c>
      <c r="F54" s="34" t="str">
        <f>F16</f>
        <v>Recette mère ► le Boudin en 4 déclinaisons</v>
      </c>
      <c r="G54" s="912">
        <v>0.25</v>
      </c>
      <c r="H54" s="912">
        <v>0.5</v>
      </c>
      <c r="I54" s="913">
        <v>0</v>
      </c>
      <c r="J54" s="914">
        <v>0.2</v>
      </c>
      <c r="K54" s="914">
        <v>0.1</v>
      </c>
      <c r="L54" s="914">
        <v>0.22500000000000001</v>
      </c>
      <c r="M54" s="914">
        <v>1.4999999999999999E-2</v>
      </c>
      <c r="N54" s="914">
        <v>4.9299999999999995E-3</v>
      </c>
      <c r="O54" s="914">
        <v>0.35</v>
      </c>
      <c r="P54" s="915">
        <v>0.25</v>
      </c>
      <c r="R54" s="104" t="s">
        <v>16</v>
      </c>
      <c r="S54" s="32" t="str">
        <f>S16</f>
        <v>P PRESSED BLACK PUDDING TERRINE | |  Author &gt; Guy KRENZE - Eric GODDYN - Arnaud NICOLAS - CEPROC 2002</v>
      </c>
      <c r="T54" s="33">
        <f>T16</f>
        <v>20</v>
      </c>
      <c r="U54" s="32" t="str">
        <f>U16</f>
        <v>pressés de boudin</v>
      </c>
      <c r="V54" s="34" t="str">
        <f>V16</f>
        <v>Master recipe ► Black pudding in 4 variations</v>
      </c>
      <c r="W54" s="912">
        <v>0.25</v>
      </c>
      <c r="X54" s="912">
        <v>0.5</v>
      </c>
      <c r="Y54" s="913">
        <v>0</v>
      </c>
      <c r="Z54" s="914">
        <v>0.2</v>
      </c>
      <c r="AA54" s="914">
        <v>0.1</v>
      </c>
      <c r="AB54" s="914">
        <v>0.22500000000000001</v>
      </c>
      <c r="AC54" s="914">
        <v>1.4999999999999999E-2</v>
      </c>
      <c r="AD54" s="914">
        <v>4.9299999999999995E-3</v>
      </c>
      <c r="AE54" s="914">
        <v>0.35</v>
      </c>
      <c r="AF54" s="915">
        <v>0.25</v>
      </c>
      <c r="AH54" s="104" t="s">
        <v>16</v>
      </c>
      <c r="AI54" s="32" t="str">
        <f>AI16</f>
        <v>P PRENSADO DE MORCILLA (TERRINA) | | Autor &gt; Guy KRENZE - Eric GODDYN - Arnaud NICOLAS - CEPROC 2002</v>
      </c>
      <c r="AJ54" s="33">
        <f>AJ16</f>
        <v>20</v>
      </c>
      <c r="AK54" s="32" t="str">
        <f>AK16</f>
        <v>pressés de boudin</v>
      </c>
      <c r="AL54" s="34" t="str">
        <f>AL16</f>
        <v>Receta madre ► Morcilla en 4 versiones</v>
      </c>
      <c r="AM54" s="912">
        <v>0.25</v>
      </c>
      <c r="AN54" s="912">
        <v>0.5</v>
      </c>
      <c r="AO54" s="913">
        <v>0</v>
      </c>
      <c r="AP54" s="914">
        <v>0.2</v>
      </c>
      <c r="AQ54" s="914">
        <v>0.1</v>
      </c>
      <c r="AR54" s="914">
        <v>0.22500000000000001</v>
      </c>
      <c r="AS54" s="914">
        <v>1.4999999999999999E-2</v>
      </c>
      <c r="AT54" s="914">
        <v>4.9299999999999995E-3</v>
      </c>
      <c r="AU54" s="914">
        <v>0.35</v>
      </c>
      <c r="AV54" s="915">
        <v>0.25</v>
      </c>
      <c r="AY54" s="3">
        <v>1</v>
      </c>
    </row>
    <row r="55" spans="2:51" ht="27" customHeight="1">
      <c r="B55" s="104" t="s">
        <v>16</v>
      </c>
      <c r="C55" s="32" t="str">
        <f>C16</f>
        <v>P PRESSÉ DE BOUDIN NOIR | | Auteur &gt; Guy KRENZE - Eric GODDYN - Arnaud NICOLAS - CEPROC 2002</v>
      </c>
      <c r="D55" s="33">
        <f>D16</f>
        <v>20</v>
      </c>
      <c r="E55" s="32" t="str">
        <f>E16</f>
        <v>pressés de boudin</v>
      </c>
      <c r="F55" s="34" t="str">
        <f>F16</f>
        <v>Recette mère ► le Boudin en 4 déclinaisons</v>
      </c>
      <c r="G55" s="154" t="str">
        <f>G17</f>
        <v>Col.6</v>
      </c>
      <c r="H55" s="154" t="str">
        <f>H17</f>
        <v>Col.7</v>
      </c>
      <c r="I55" s="155" t="s">
        <v>3295</v>
      </c>
      <c r="J55" s="155"/>
      <c r="K55" s="155"/>
      <c r="L55" s="155"/>
      <c r="M55" s="155"/>
      <c r="N55" s="155"/>
      <c r="O55" s="155"/>
      <c r="P55" s="1477"/>
      <c r="R55" s="104" t="s">
        <v>16</v>
      </c>
      <c r="S55" s="32" t="str">
        <f>S16</f>
        <v>P PRESSED BLACK PUDDING TERRINE | |  Author &gt; Guy KRENZE - Eric GODDYN - Arnaud NICOLAS - CEPROC 2002</v>
      </c>
      <c r="T55" s="33">
        <f>T16</f>
        <v>20</v>
      </c>
      <c r="U55" s="32" t="str">
        <f>U16</f>
        <v>pressés de boudin</v>
      </c>
      <c r="V55" s="34" t="str">
        <f>V16</f>
        <v>Master recipe ► Black pudding in 4 variations</v>
      </c>
      <c r="W55" s="154" t="str">
        <f>W17</f>
        <v>Col.6</v>
      </c>
      <c r="X55" s="154" t="str">
        <f>X17</f>
        <v>Col.7</v>
      </c>
      <c r="Y55" s="155" t="s">
        <v>3296</v>
      </c>
      <c r="Z55" s="155"/>
      <c r="AA55" s="155"/>
      <c r="AB55" s="155"/>
      <c r="AC55" s="155"/>
      <c r="AD55" s="155"/>
      <c r="AE55" s="155"/>
      <c r="AF55" s="1477"/>
      <c r="AH55" s="104" t="s">
        <v>16</v>
      </c>
      <c r="AI55" s="32" t="str">
        <f>AI16</f>
        <v>P PRENSADO DE MORCILLA (TERRINA) | | Autor &gt; Guy KRENZE - Eric GODDYN - Arnaud NICOLAS - CEPROC 2002</v>
      </c>
      <c r="AJ55" s="33">
        <f>AJ16</f>
        <v>20</v>
      </c>
      <c r="AK55" s="32" t="str">
        <f>AK16</f>
        <v>pressés de boudin</v>
      </c>
      <c r="AL55" s="34" t="str">
        <f>AL16</f>
        <v>Receta madre ► Morcilla en 4 versiones</v>
      </c>
      <c r="AM55" s="154" t="str">
        <f>AM17</f>
        <v>Col.6</v>
      </c>
      <c r="AN55" s="154" t="str">
        <f>AN17</f>
        <v>Col.7</v>
      </c>
      <c r="AO55" s="155" t="s">
        <v>3298</v>
      </c>
      <c r="AP55" s="155"/>
      <c r="AQ55" s="155"/>
      <c r="AR55" s="155"/>
      <c r="AS55" s="155"/>
      <c r="AT55" s="155"/>
      <c r="AU55" s="155"/>
      <c r="AV55" s="1477"/>
      <c r="AY55" s="3">
        <v>1</v>
      </c>
    </row>
    <row r="56" spans="2:51" ht="27" customHeight="1">
      <c r="B56" s="104" t="s">
        <v>16</v>
      </c>
      <c r="C56" s="157" t="str">
        <f>C16</f>
        <v>P PRESSÉ DE BOUDIN NOIR | | Auteur &gt; Guy KRENZE - Eric GODDYN - Arnaud NICOLAS - CEPROC 2002</v>
      </c>
      <c r="D56" s="157">
        <f>D16</f>
        <v>20</v>
      </c>
      <c r="E56" s="158" t="str">
        <f>E16</f>
        <v>pressés de boudin</v>
      </c>
      <c r="F56" s="159" t="str">
        <f>F16</f>
        <v>Recette mère ► le Boudin en 4 déclinaisons</v>
      </c>
      <c r="G56" s="160" t="s">
        <v>167</v>
      </c>
      <c r="H56" s="1483" t="s">
        <v>3328</v>
      </c>
      <c r="I56" s="162"/>
      <c r="J56" s="162"/>
      <c r="K56" s="172"/>
      <c r="L56" s="172"/>
      <c r="M56" s="172"/>
      <c r="N56" s="172"/>
      <c r="O56" s="156" t="s">
        <v>165</v>
      </c>
      <c r="P56" s="1484" t="s">
        <v>3276</v>
      </c>
      <c r="R56" s="104" t="s">
        <v>16</v>
      </c>
      <c r="S56" s="157" t="str">
        <f>S16</f>
        <v>P PRESSED BLACK PUDDING TERRINE | |  Author &gt; Guy KRENZE - Eric GODDYN - Arnaud NICOLAS - CEPROC 2002</v>
      </c>
      <c r="T56" s="157">
        <f>T16</f>
        <v>20</v>
      </c>
      <c r="U56" s="158" t="str">
        <f>U16</f>
        <v>pressés de boudin</v>
      </c>
      <c r="V56" s="159" t="str">
        <f>V16</f>
        <v>Master recipe ► Black pudding in 4 variations</v>
      </c>
      <c r="W56" s="232" t="s">
        <v>752</v>
      </c>
      <c r="X56" s="161" t="s">
        <v>3327</v>
      </c>
      <c r="Y56" s="162"/>
      <c r="Z56" s="162"/>
      <c r="AA56" s="172"/>
      <c r="AB56" s="172"/>
      <c r="AC56" s="172"/>
      <c r="AD56" s="172"/>
      <c r="AE56" s="156" t="s">
        <v>894</v>
      </c>
      <c r="AF56" s="1484" t="s">
        <v>3276</v>
      </c>
      <c r="AH56" s="104" t="s">
        <v>16</v>
      </c>
      <c r="AI56" s="157" t="str">
        <f>AI16</f>
        <v>P PRENSADO DE MORCILLA (TERRINA) | | Autor &gt; Guy KRENZE - Eric GODDYN - Arnaud NICOLAS - CEPROC 2002</v>
      </c>
      <c r="AJ56" s="157">
        <f>AJ16</f>
        <v>20</v>
      </c>
      <c r="AK56" s="158" t="str">
        <f>AK16</f>
        <v>pressés de boudin</v>
      </c>
      <c r="AL56" s="159" t="str">
        <f>AL16</f>
        <v>Receta madre ► Morcilla en 4 versiones</v>
      </c>
      <c r="AM56" s="232" t="s">
        <v>754</v>
      </c>
      <c r="AN56" s="161" t="s">
        <v>3325</v>
      </c>
      <c r="AO56" s="162"/>
      <c r="AP56" s="162"/>
      <c r="AQ56" s="172"/>
      <c r="AR56" s="172"/>
      <c r="AS56" s="172"/>
      <c r="AT56" s="172"/>
      <c r="AU56" s="905" t="s">
        <v>908</v>
      </c>
      <c r="AV56" s="1484" t="s">
        <v>3276</v>
      </c>
      <c r="AY56" s="3">
        <v>1</v>
      </c>
    </row>
    <row r="57" spans="2:51" ht="27" customHeight="1">
      <c r="B57" s="104" t="s">
        <v>16</v>
      </c>
      <c r="C57" s="157" t="str">
        <f>C16</f>
        <v>P PRESSÉ DE BOUDIN NOIR | | Auteur &gt; Guy KRENZE - Eric GODDYN - Arnaud NICOLAS - CEPROC 2002</v>
      </c>
      <c r="D57" s="157">
        <f>D16</f>
        <v>20</v>
      </c>
      <c r="E57" s="158" t="str">
        <f>E16</f>
        <v>pressés de boudin</v>
      </c>
      <c r="F57" s="159" t="str">
        <f>F16</f>
        <v>Recette mère ► le Boudin en 4 déclinaisons</v>
      </c>
      <c r="G57" s="5063" t="s">
        <v>2881</v>
      </c>
      <c r="H57" s="172"/>
      <c r="I57" s="172"/>
      <c r="J57" s="172"/>
      <c r="K57" s="172"/>
      <c r="L57" s="172"/>
      <c r="M57" s="172"/>
      <c r="N57" s="172"/>
      <c r="O57" s="1474" t="s">
        <v>168</v>
      </c>
      <c r="P57" s="1482" t="s">
        <v>668</v>
      </c>
      <c r="R57" s="104" t="s">
        <v>16</v>
      </c>
      <c r="S57" s="157" t="str">
        <f>S16</f>
        <v>P PRESSED BLACK PUDDING TERRINE | |  Author &gt; Guy KRENZE - Eric GODDYN - Arnaud NICOLAS - CEPROC 2002</v>
      </c>
      <c r="T57" s="157">
        <f>T16</f>
        <v>20</v>
      </c>
      <c r="U57" s="158" t="str">
        <f>U16</f>
        <v>pressés de boudin</v>
      </c>
      <c r="V57" s="159" t="str">
        <f>V16</f>
        <v>Master recipe ► Black pudding in 4 variations</v>
      </c>
      <c r="W57" s="5063" t="s">
        <v>2881</v>
      </c>
      <c r="X57" s="172"/>
      <c r="Y57" s="172"/>
      <c r="Z57" s="172"/>
      <c r="AA57" s="172"/>
      <c r="AB57" s="172"/>
      <c r="AC57" s="172"/>
      <c r="AD57" s="172"/>
      <c r="AE57" s="1474" t="s">
        <v>895</v>
      </c>
      <c r="AF57" s="1482" t="s">
        <v>668</v>
      </c>
      <c r="AH57" s="104" t="s">
        <v>16</v>
      </c>
      <c r="AI57" s="157" t="str">
        <f>AI16</f>
        <v>P PRENSADO DE MORCILLA (TERRINA) | | Autor &gt; Guy KRENZE - Eric GODDYN - Arnaud NICOLAS - CEPROC 2002</v>
      </c>
      <c r="AJ57" s="157">
        <f>AJ16</f>
        <v>20</v>
      </c>
      <c r="AK57" s="158" t="str">
        <f>AK16</f>
        <v>pressés de boudin</v>
      </c>
      <c r="AL57" s="159" t="str">
        <f>AL16</f>
        <v>Receta madre ► Morcilla en 4 versiones</v>
      </c>
      <c r="AM57" s="5063" t="s">
        <v>2881</v>
      </c>
      <c r="AN57" s="172"/>
      <c r="AO57" s="172"/>
      <c r="AP57" s="172"/>
      <c r="AQ57" s="172"/>
      <c r="AR57" s="172"/>
      <c r="AS57" s="172"/>
      <c r="AT57" s="172"/>
      <c r="AU57" s="1474" t="s">
        <v>909</v>
      </c>
      <c r="AV57" s="1482" t="s">
        <v>668</v>
      </c>
      <c r="AY57" s="3">
        <v>1</v>
      </c>
    </row>
    <row r="58" spans="2:51" ht="27" customHeight="1">
      <c r="B58" s="104" t="s">
        <v>16</v>
      </c>
      <c r="C58" s="157" t="str">
        <f>C16</f>
        <v>P PRESSÉ DE BOUDIN NOIR | | Auteur &gt; Guy KRENZE - Eric GODDYN - Arnaud NICOLAS - CEPROC 2002</v>
      </c>
      <c r="D58" s="157">
        <f>D16</f>
        <v>20</v>
      </c>
      <c r="E58" s="158" t="str">
        <f>E16</f>
        <v>pressés de boudin</v>
      </c>
      <c r="F58" s="159" t="str">
        <f>F16</f>
        <v>Recette mère ► le Boudin en 4 déclinaisons</v>
      </c>
      <c r="G58" s="172" t="s">
        <v>12856</v>
      </c>
      <c r="H58" s="172"/>
      <c r="I58" s="172"/>
      <c r="J58" s="172"/>
      <c r="K58" s="172"/>
      <c r="L58" s="172"/>
      <c r="M58" s="172"/>
      <c r="N58" s="172"/>
      <c r="O58" s="172"/>
      <c r="P58" s="555"/>
      <c r="R58" s="104" t="s">
        <v>16</v>
      </c>
      <c r="S58" s="157" t="str">
        <f>S16</f>
        <v>P PRESSED BLACK PUDDING TERRINE | |  Author &gt; Guy KRENZE - Eric GODDYN - Arnaud NICOLAS - CEPROC 2002</v>
      </c>
      <c r="T58" s="157">
        <f>T16</f>
        <v>20</v>
      </c>
      <c r="U58" s="158" t="str">
        <f>U16</f>
        <v>pressés de boudin</v>
      </c>
      <c r="V58" s="159" t="str">
        <f>V16</f>
        <v>Master recipe ► Black pudding in 4 variations</v>
      </c>
      <c r="W58" s="172" t="s">
        <v>12998</v>
      </c>
      <c r="X58" s="172"/>
      <c r="Y58" s="172"/>
      <c r="Z58" s="172"/>
      <c r="AA58" s="172"/>
      <c r="AB58" s="172"/>
      <c r="AC58" s="172"/>
      <c r="AD58" s="172"/>
      <c r="AE58" s="172"/>
      <c r="AF58" s="555"/>
      <c r="AH58" s="104" t="s">
        <v>16</v>
      </c>
      <c r="AI58" s="157" t="str">
        <f>AI16</f>
        <v>P PRENSADO DE MORCILLA (TERRINA) | | Autor &gt; Guy KRENZE - Eric GODDYN - Arnaud NICOLAS - CEPROC 2002</v>
      </c>
      <c r="AJ58" s="157">
        <f>AJ16</f>
        <v>20</v>
      </c>
      <c r="AK58" s="158" t="str">
        <f>AK16</f>
        <v>pressés de boudin</v>
      </c>
      <c r="AL58" s="159" t="str">
        <f>AL16</f>
        <v>Receta madre ► Morcilla en 4 versiones</v>
      </c>
      <c r="AM58" s="172" t="s">
        <v>13040</v>
      </c>
      <c r="AN58" s="172"/>
      <c r="AO58" s="172"/>
      <c r="AP58" s="172"/>
      <c r="AQ58" s="172"/>
      <c r="AR58" s="172"/>
      <c r="AS58" s="172"/>
      <c r="AT58" s="172"/>
      <c r="AU58" s="172"/>
      <c r="AV58" s="555"/>
      <c r="AY58" s="3">
        <v>1</v>
      </c>
    </row>
    <row r="59" spans="2:51" ht="27" customHeight="1">
      <c r="B59" s="104" t="s">
        <v>16</v>
      </c>
      <c r="C59" s="157" t="str">
        <f>C16</f>
        <v>P PRESSÉ DE BOUDIN NOIR | | Auteur &gt; Guy KRENZE - Eric GODDYN - Arnaud NICOLAS - CEPROC 2002</v>
      </c>
      <c r="D59" s="157">
        <f>D16</f>
        <v>20</v>
      </c>
      <c r="E59" s="158" t="str">
        <f>E16</f>
        <v>pressés de boudin</v>
      </c>
      <c r="F59" s="159" t="str">
        <f>F16</f>
        <v>Recette mère ► le Boudin en 4 déclinaisons</v>
      </c>
      <c r="G59" s="172" t="s">
        <v>12857</v>
      </c>
      <c r="H59" s="172"/>
      <c r="I59" s="172"/>
      <c r="J59" s="172"/>
      <c r="K59" s="172"/>
      <c r="L59" s="172"/>
      <c r="M59" s="172"/>
      <c r="N59" s="172"/>
      <c r="O59" s="170" t="s">
        <v>172</v>
      </c>
      <c r="P59" s="171">
        <v>3.472222222222222E-3</v>
      </c>
      <c r="R59" s="104" t="s">
        <v>16</v>
      </c>
      <c r="S59" s="157" t="str">
        <f>S16</f>
        <v>P PRESSED BLACK PUDDING TERRINE | |  Author &gt; Guy KRENZE - Eric GODDYN - Arnaud NICOLAS - CEPROC 2002</v>
      </c>
      <c r="T59" s="157">
        <f>T16</f>
        <v>20</v>
      </c>
      <c r="U59" s="158" t="str">
        <f>U16</f>
        <v>pressés de boudin</v>
      </c>
      <c r="V59" s="159" t="str">
        <f>V16</f>
        <v>Master recipe ► Black pudding in 4 variations</v>
      </c>
      <c r="W59" s="172" t="s">
        <v>12970</v>
      </c>
      <c r="X59" s="172"/>
      <c r="Y59" s="172"/>
      <c r="Z59" s="172"/>
      <c r="AA59" s="172"/>
      <c r="AB59" s="172"/>
      <c r="AC59" s="172"/>
      <c r="AD59" s="172"/>
      <c r="AE59" s="170" t="s">
        <v>676</v>
      </c>
      <c r="AF59" s="171">
        <v>3.472222222222222E-3</v>
      </c>
      <c r="AH59" s="104" t="s">
        <v>16</v>
      </c>
      <c r="AI59" s="157" t="str">
        <f>AI16</f>
        <v>P PRENSADO DE MORCILLA (TERRINA) | | Autor &gt; Guy KRENZE - Eric GODDYN - Arnaud NICOLAS - CEPROC 2002</v>
      </c>
      <c r="AJ59" s="157">
        <f>AJ16</f>
        <v>20</v>
      </c>
      <c r="AK59" s="158" t="str">
        <f>AK16</f>
        <v>pressés de boudin</v>
      </c>
      <c r="AL59" s="159" t="str">
        <f>AL16</f>
        <v>Receta madre ► Morcilla en 4 versiones</v>
      </c>
      <c r="AM59" s="172" t="s">
        <v>12971</v>
      </c>
      <c r="AN59" s="172"/>
      <c r="AO59" s="172"/>
      <c r="AP59" s="172"/>
      <c r="AQ59" s="172"/>
      <c r="AR59" s="172"/>
      <c r="AS59" s="172"/>
      <c r="AT59" s="172"/>
      <c r="AU59" s="170" t="s">
        <v>677</v>
      </c>
      <c r="AV59" s="171">
        <v>3.472222222222222E-3</v>
      </c>
      <c r="AY59" s="3">
        <v>1</v>
      </c>
    </row>
    <row r="60" spans="2:51" ht="27" customHeight="1">
      <c r="B60" s="104" t="s">
        <v>16</v>
      </c>
      <c r="C60" s="157" t="str">
        <f>C16</f>
        <v>P PRESSÉ DE BOUDIN NOIR | | Auteur &gt; Guy KRENZE - Eric GODDYN - Arnaud NICOLAS - CEPROC 2002</v>
      </c>
      <c r="D60" s="157">
        <f>D16</f>
        <v>20</v>
      </c>
      <c r="E60" s="158" t="str">
        <f>E16</f>
        <v>pressés de boudin</v>
      </c>
      <c r="F60" s="159" t="str">
        <f>F16</f>
        <v>Recette mère ► le Boudin en 4 déclinaisons</v>
      </c>
      <c r="G60" s="172" t="s">
        <v>12858</v>
      </c>
      <c r="H60" s="172"/>
      <c r="I60" s="172"/>
      <c r="J60" s="172"/>
      <c r="K60" s="172"/>
      <c r="L60" s="172"/>
      <c r="M60" s="172"/>
      <c r="N60" s="172"/>
      <c r="O60" s="170" t="s">
        <v>174</v>
      </c>
      <c r="P60" s="174">
        <v>3.472222222222222E-3</v>
      </c>
      <c r="R60" s="104" t="s">
        <v>16</v>
      </c>
      <c r="S60" s="157" t="str">
        <f>S16</f>
        <v>P PRESSED BLACK PUDDING TERRINE | |  Author &gt; Guy KRENZE - Eric GODDYN - Arnaud NICOLAS - CEPROC 2002</v>
      </c>
      <c r="T60" s="157">
        <f>T16</f>
        <v>20</v>
      </c>
      <c r="U60" s="158" t="str">
        <f>U16</f>
        <v>pressés de boudin</v>
      </c>
      <c r="V60" s="159" t="str">
        <f>V16</f>
        <v>Master recipe ► Black pudding in 4 variations</v>
      </c>
      <c r="W60" s="172" t="s">
        <v>13014</v>
      </c>
      <c r="X60" s="172"/>
      <c r="Y60" s="172"/>
      <c r="Z60" s="172"/>
      <c r="AA60" s="172"/>
      <c r="AB60" s="172"/>
      <c r="AC60" s="172"/>
      <c r="AD60" s="172"/>
      <c r="AE60" s="170" t="s">
        <v>682</v>
      </c>
      <c r="AF60" s="174">
        <v>3.472222222222222E-3</v>
      </c>
      <c r="AH60" s="104" t="s">
        <v>16</v>
      </c>
      <c r="AI60" s="157" t="str">
        <f>AI16</f>
        <v>P PRENSADO DE MORCILLA (TERRINA) | | Autor &gt; Guy KRENZE - Eric GODDYN - Arnaud NICOLAS - CEPROC 2002</v>
      </c>
      <c r="AJ60" s="157">
        <f>AJ16</f>
        <v>20</v>
      </c>
      <c r="AK60" s="158" t="str">
        <f>AK16</f>
        <v>pressés de boudin</v>
      </c>
      <c r="AL60" s="159" t="str">
        <f>AL16</f>
        <v>Receta madre ► Morcilla en 4 versiones</v>
      </c>
      <c r="AM60" s="172" t="s">
        <v>12973</v>
      </c>
      <c r="AN60" s="172"/>
      <c r="AO60" s="172"/>
      <c r="AP60" s="172"/>
      <c r="AQ60" s="172"/>
      <c r="AR60" s="172"/>
      <c r="AS60" s="172"/>
      <c r="AT60" s="172"/>
      <c r="AU60" s="170" t="s">
        <v>683</v>
      </c>
      <c r="AV60" s="174">
        <v>3.472222222222222E-3</v>
      </c>
      <c r="AY60" s="3">
        <v>1</v>
      </c>
    </row>
    <row r="61" spans="2:51" ht="27" customHeight="1">
      <c r="B61" s="104" t="s">
        <v>16</v>
      </c>
      <c r="C61" s="157" t="str">
        <f>C16</f>
        <v>P PRESSÉ DE BOUDIN NOIR | | Auteur &gt; Guy KRENZE - Eric GODDYN - Arnaud NICOLAS - CEPROC 2002</v>
      </c>
      <c r="D61" s="157">
        <f>D16</f>
        <v>20</v>
      </c>
      <c r="E61" s="158" t="str">
        <f>E16</f>
        <v>pressés de boudin</v>
      </c>
      <c r="F61" s="159" t="str">
        <f>F16</f>
        <v>Recette mère ► le Boudin en 4 déclinaisons</v>
      </c>
      <c r="G61" s="172" t="s">
        <v>12859</v>
      </c>
      <c r="H61" s="172"/>
      <c r="I61" s="172"/>
      <c r="J61" s="172"/>
      <c r="K61" s="172"/>
      <c r="L61" s="172"/>
      <c r="M61" s="172"/>
      <c r="N61" s="172"/>
      <c r="O61" s="170" t="s">
        <v>182</v>
      </c>
      <c r="P61" s="175">
        <v>3.472222222222222E-3</v>
      </c>
      <c r="R61" s="104" t="s">
        <v>16</v>
      </c>
      <c r="S61" s="157" t="str">
        <f>S16</f>
        <v>P PRESSED BLACK PUDDING TERRINE | |  Author &gt; Guy KRENZE - Eric GODDYN - Arnaud NICOLAS - CEPROC 2002</v>
      </c>
      <c r="T61" s="157">
        <f>T16</f>
        <v>20</v>
      </c>
      <c r="U61" s="158" t="str">
        <f>U16</f>
        <v>pressés de boudin</v>
      </c>
      <c r="V61" s="159" t="str">
        <f>V16</f>
        <v>Master recipe ► Black pudding in 4 variations</v>
      </c>
      <c r="W61" s="172" t="s">
        <v>13015</v>
      </c>
      <c r="X61" s="172"/>
      <c r="Y61" s="172"/>
      <c r="Z61" s="172"/>
      <c r="AA61" s="172"/>
      <c r="AB61" s="172"/>
      <c r="AC61" s="172"/>
      <c r="AD61" s="172"/>
      <c r="AE61" s="170" t="s">
        <v>684</v>
      </c>
      <c r="AF61" s="175">
        <v>3.472222222222222E-3</v>
      </c>
      <c r="AH61" s="104" t="s">
        <v>16</v>
      </c>
      <c r="AI61" s="157" t="str">
        <f>AI16</f>
        <v>P PRENSADO DE MORCILLA (TERRINA) | | Autor &gt; Guy KRENZE - Eric GODDYN - Arnaud NICOLAS - CEPROC 2002</v>
      </c>
      <c r="AJ61" s="157">
        <f>AJ16</f>
        <v>20</v>
      </c>
      <c r="AK61" s="158" t="str">
        <f>AK16</f>
        <v>pressés de boudin</v>
      </c>
      <c r="AL61" s="159" t="str">
        <f>AL16</f>
        <v>Receta madre ► Morcilla en 4 versiones</v>
      </c>
      <c r="AM61" s="172" t="s">
        <v>13016</v>
      </c>
      <c r="AN61" s="172"/>
      <c r="AO61" s="172"/>
      <c r="AP61" s="172"/>
      <c r="AQ61" s="172"/>
      <c r="AR61" s="172"/>
      <c r="AS61" s="172"/>
      <c r="AT61" s="172"/>
      <c r="AU61" s="170" t="s">
        <v>911</v>
      </c>
      <c r="AV61" s="175">
        <v>3.472222222222222E-3</v>
      </c>
      <c r="AY61" s="3">
        <v>1</v>
      </c>
    </row>
    <row r="62" spans="2:51" ht="27" customHeight="1">
      <c r="B62" s="104" t="s">
        <v>16</v>
      </c>
      <c r="C62" s="157" t="str">
        <f>C16</f>
        <v>P PRESSÉ DE BOUDIN NOIR | | Auteur &gt; Guy KRENZE - Eric GODDYN - Arnaud NICOLAS - CEPROC 2002</v>
      </c>
      <c r="D62" s="157">
        <f>D16</f>
        <v>20</v>
      </c>
      <c r="E62" s="158" t="str">
        <f>E16</f>
        <v>pressés de boudin</v>
      </c>
      <c r="F62" s="159" t="str">
        <f>F16</f>
        <v>Recette mère ► le Boudin en 4 déclinaisons</v>
      </c>
      <c r="G62" s="172" t="s">
        <v>12860</v>
      </c>
      <c r="H62" s="172"/>
      <c r="I62" s="172"/>
      <c r="J62" s="172"/>
      <c r="K62" s="172"/>
      <c r="L62" s="172"/>
      <c r="M62" s="172"/>
      <c r="N62" s="172"/>
      <c r="O62" s="176" t="s">
        <v>183</v>
      </c>
      <c r="P62" s="177">
        <f>P59+P60+P61</f>
        <v>1.0416666666666666E-2</v>
      </c>
      <c r="R62" s="104" t="s">
        <v>16</v>
      </c>
      <c r="S62" s="157" t="str">
        <f>S16</f>
        <v>P PRESSED BLACK PUDDING TERRINE | |  Author &gt; Guy KRENZE - Eric GODDYN - Arnaud NICOLAS - CEPROC 2002</v>
      </c>
      <c r="T62" s="157">
        <f>T16</f>
        <v>20</v>
      </c>
      <c r="U62" s="158" t="str">
        <f>U16</f>
        <v>pressés de boudin</v>
      </c>
      <c r="V62" s="159" t="str">
        <f>V16</f>
        <v>Master recipe ► Black pudding in 4 variations</v>
      </c>
      <c r="W62" s="172" t="s">
        <v>12976</v>
      </c>
      <c r="X62" s="172"/>
      <c r="Y62" s="172"/>
      <c r="Z62" s="172"/>
      <c r="AA62" s="172"/>
      <c r="AB62" s="172"/>
      <c r="AC62" s="172"/>
      <c r="AD62" s="172"/>
      <c r="AE62" s="176" t="s">
        <v>183</v>
      </c>
      <c r="AF62" s="177">
        <f>AF59+AF60+AF61</f>
        <v>1.0416666666666666E-2</v>
      </c>
      <c r="AH62" s="104" t="s">
        <v>16</v>
      </c>
      <c r="AI62" s="157" t="str">
        <f>AI16</f>
        <v>P PRENSADO DE MORCILLA (TERRINA) | | Autor &gt; Guy KRENZE - Eric GODDYN - Arnaud NICOLAS - CEPROC 2002</v>
      </c>
      <c r="AJ62" s="157">
        <f>AJ16</f>
        <v>20</v>
      </c>
      <c r="AK62" s="158" t="str">
        <f>AK16</f>
        <v>pressés de boudin</v>
      </c>
      <c r="AL62" s="159" t="str">
        <f>AL16</f>
        <v>Receta madre ► Morcilla en 4 versiones</v>
      </c>
      <c r="AM62" s="172" t="s">
        <v>12977</v>
      </c>
      <c r="AN62" s="172"/>
      <c r="AO62" s="172"/>
      <c r="AP62" s="172"/>
      <c r="AQ62" s="172"/>
      <c r="AR62" s="172"/>
      <c r="AS62" s="172"/>
      <c r="AT62" s="172"/>
      <c r="AU62" s="176" t="s">
        <v>183</v>
      </c>
      <c r="AV62" s="177">
        <f>AV59+AV60+AV61</f>
        <v>1.0416666666666666E-2</v>
      </c>
      <c r="AY62" s="3">
        <v>1</v>
      </c>
    </row>
    <row r="63" spans="2:51" ht="27" customHeight="1">
      <c r="B63" s="104" t="s">
        <v>16</v>
      </c>
      <c r="C63" s="157" t="str">
        <f>C16</f>
        <v>P PRESSÉ DE BOUDIN NOIR | | Auteur &gt; Guy KRENZE - Eric GODDYN - Arnaud NICOLAS - CEPROC 2002</v>
      </c>
      <c r="D63" s="157">
        <f>D16</f>
        <v>20</v>
      </c>
      <c r="E63" s="158" t="str">
        <f>E16</f>
        <v>pressés de boudin</v>
      </c>
      <c r="F63" s="159" t="str">
        <f>F16</f>
        <v>Recette mère ► le Boudin en 4 déclinaisons</v>
      </c>
      <c r="G63" s="172" t="s">
        <v>12978</v>
      </c>
      <c r="H63" s="172"/>
      <c r="I63" s="172"/>
      <c r="J63" s="172"/>
      <c r="K63" s="172"/>
      <c r="L63" s="172"/>
      <c r="M63" s="172"/>
      <c r="N63" s="172"/>
      <c r="O63" s="172"/>
      <c r="P63" s="555"/>
      <c r="R63" s="104" t="s">
        <v>16</v>
      </c>
      <c r="S63" s="157" t="str">
        <f>S16</f>
        <v>P PRESSED BLACK PUDDING TERRINE | |  Author &gt; Guy KRENZE - Eric GODDYN - Arnaud NICOLAS - CEPROC 2002</v>
      </c>
      <c r="T63" s="157">
        <f>T16</f>
        <v>20</v>
      </c>
      <c r="U63" s="158" t="str">
        <f>U16</f>
        <v>pressés de boudin</v>
      </c>
      <c r="V63" s="159" t="str">
        <f>V16</f>
        <v>Master recipe ► Black pudding in 4 variations</v>
      </c>
      <c r="W63" s="172" t="s">
        <v>12979</v>
      </c>
      <c r="X63" s="172"/>
      <c r="Y63" s="172"/>
      <c r="Z63" s="172"/>
      <c r="AA63" s="172"/>
      <c r="AB63" s="172"/>
      <c r="AC63" s="172"/>
      <c r="AD63" s="172"/>
      <c r="AE63" s="172"/>
      <c r="AF63" s="555"/>
      <c r="AH63" s="104" t="s">
        <v>16</v>
      </c>
      <c r="AI63" s="157" t="str">
        <f>AI16</f>
        <v>P PRENSADO DE MORCILLA (TERRINA) | | Autor &gt; Guy KRENZE - Eric GODDYN - Arnaud NICOLAS - CEPROC 2002</v>
      </c>
      <c r="AJ63" s="157">
        <f>AJ16</f>
        <v>20</v>
      </c>
      <c r="AK63" s="158" t="str">
        <f>AK16</f>
        <v>pressés de boudin</v>
      </c>
      <c r="AL63" s="159" t="str">
        <f>AL16</f>
        <v>Receta madre ► Morcilla en 4 versiones</v>
      </c>
      <c r="AM63" s="172" t="s">
        <v>12980</v>
      </c>
      <c r="AN63" s="172"/>
      <c r="AO63" s="172"/>
      <c r="AP63" s="172"/>
      <c r="AQ63" s="172"/>
      <c r="AR63" s="172"/>
      <c r="AS63" s="172"/>
      <c r="AT63" s="172"/>
      <c r="AU63" s="172"/>
      <c r="AV63" s="555"/>
      <c r="AY63" s="3">
        <v>1</v>
      </c>
    </row>
    <row r="64" spans="2:51" ht="27" customHeight="1">
      <c r="B64" s="104" t="s">
        <v>16</v>
      </c>
      <c r="C64" s="157" t="str">
        <f>C16</f>
        <v>P PRESSÉ DE BOUDIN NOIR | | Auteur &gt; Guy KRENZE - Eric GODDYN - Arnaud NICOLAS - CEPROC 2002</v>
      </c>
      <c r="D64" s="157">
        <f>D16</f>
        <v>20</v>
      </c>
      <c r="E64" s="158" t="str">
        <f>E16</f>
        <v>pressés de boudin</v>
      </c>
      <c r="F64" s="159" t="str">
        <f>F16</f>
        <v>Recette mère ► le Boudin en 4 déclinaisons</v>
      </c>
      <c r="G64" s="172" t="s">
        <v>12861</v>
      </c>
      <c r="H64" s="172"/>
      <c r="I64" s="172"/>
      <c r="J64" s="172"/>
      <c r="K64" s="172"/>
      <c r="L64" s="172"/>
      <c r="M64" s="172"/>
      <c r="N64" s="172"/>
      <c r="O64" s="172"/>
      <c r="P64" s="555"/>
      <c r="R64" s="104" t="s">
        <v>16</v>
      </c>
      <c r="S64" s="157" t="str">
        <f>S16</f>
        <v>P PRESSED BLACK PUDDING TERRINE | |  Author &gt; Guy KRENZE - Eric GODDYN - Arnaud NICOLAS - CEPROC 2002</v>
      </c>
      <c r="T64" s="157">
        <f>T16</f>
        <v>20</v>
      </c>
      <c r="U64" s="158" t="str">
        <f>U16</f>
        <v>pressés de boudin</v>
      </c>
      <c r="V64" s="159" t="str">
        <f>V16</f>
        <v>Master recipe ► Black pudding in 4 variations</v>
      </c>
      <c r="W64" s="172" t="s">
        <v>13017</v>
      </c>
      <c r="X64" s="172"/>
      <c r="Y64" s="172"/>
      <c r="Z64" s="172"/>
      <c r="AA64" s="172"/>
      <c r="AB64" s="172"/>
      <c r="AC64" s="172"/>
      <c r="AD64" s="172"/>
      <c r="AE64" s="172"/>
      <c r="AF64" s="555"/>
      <c r="AH64" s="104" t="s">
        <v>16</v>
      </c>
      <c r="AI64" s="157" t="str">
        <f>AI16</f>
        <v>P PRENSADO DE MORCILLA (TERRINA) | | Autor &gt; Guy KRENZE - Eric GODDYN - Arnaud NICOLAS - CEPROC 2002</v>
      </c>
      <c r="AJ64" s="157">
        <f>AJ16</f>
        <v>20</v>
      </c>
      <c r="AK64" s="158" t="str">
        <f>AK16</f>
        <v>pressés de boudin</v>
      </c>
      <c r="AL64" s="159" t="str">
        <f>AL16</f>
        <v>Receta madre ► Morcilla en 4 versiones</v>
      </c>
      <c r="AM64" s="172" t="s">
        <v>13018</v>
      </c>
      <c r="AN64" s="172"/>
      <c r="AO64" s="172"/>
      <c r="AP64" s="172"/>
      <c r="AQ64" s="172"/>
      <c r="AR64" s="172"/>
      <c r="AS64" s="172"/>
      <c r="AT64" s="172"/>
      <c r="AU64" s="172"/>
      <c r="AV64" s="555"/>
      <c r="AY64" s="3">
        <v>1</v>
      </c>
    </row>
    <row r="65" spans="2:51" ht="27" customHeight="1">
      <c r="B65" s="104" t="s">
        <v>16</v>
      </c>
      <c r="C65" s="157" t="str">
        <f>C16</f>
        <v>P PRESSÉ DE BOUDIN NOIR | | Auteur &gt; Guy KRENZE - Eric GODDYN - Arnaud NICOLAS - CEPROC 2002</v>
      </c>
      <c r="D65" s="157">
        <f>D16</f>
        <v>20</v>
      </c>
      <c r="E65" s="158" t="str">
        <f>E16</f>
        <v>pressés de boudin</v>
      </c>
      <c r="F65" s="159" t="str">
        <f>F16</f>
        <v>Recette mère ► le Boudin en 4 déclinaisons</v>
      </c>
      <c r="G65" s="172" t="s">
        <v>12862</v>
      </c>
      <c r="H65" s="172"/>
      <c r="I65" s="172"/>
      <c r="J65" s="172"/>
      <c r="K65" s="172"/>
      <c r="L65" s="172"/>
      <c r="M65" s="172"/>
      <c r="N65" s="172"/>
      <c r="O65" s="172"/>
      <c r="P65" s="555"/>
      <c r="R65" s="104" t="s">
        <v>16</v>
      </c>
      <c r="S65" s="157" t="str">
        <f>S16</f>
        <v>P PRESSED BLACK PUDDING TERRINE | |  Author &gt; Guy KRENZE - Eric GODDYN - Arnaud NICOLAS - CEPROC 2002</v>
      </c>
      <c r="T65" s="157">
        <f>T16</f>
        <v>20</v>
      </c>
      <c r="U65" s="158" t="str">
        <f>U16</f>
        <v>pressés de boudin</v>
      </c>
      <c r="V65" s="159" t="str">
        <f>V16</f>
        <v>Master recipe ► Black pudding in 4 variations</v>
      </c>
      <c r="W65" s="172" t="s">
        <v>12983</v>
      </c>
      <c r="X65" s="172"/>
      <c r="Y65" s="172"/>
      <c r="Z65" s="172"/>
      <c r="AA65" s="172"/>
      <c r="AB65" s="172"/>
      <c r="AC65" s="172"/>
      <c r="AD65" s="172"/>
      <c r="AE65" s="172"/>
      <c r="AF65" s="555"/>
      <c r="AH65" s="104" t="s">
        <v>16</v>
      </c>
      <c r="AI65" s="157" t="str">
        <f>AI16</f>
        <v>P PRENSADO DE MORCILLA (TERRINA) | | Autor &gt; Guy KRENZE - Eric GODDYN - Arnaud NICOLAS - CEPROC 2002</v>
      </c>
      <c r="AJ65" s="157">
        <f>AJ16</f>
        <v>20</v>
      </c>
      <c r="AK65" s="158" t="str">
        <f>AK16</f>
        <v>pressés de boudin</v>
      </c>
      <c r="AL65" s="159" t="str">
        <f>AL16</f>
        <v>Receta madre ► Morcilla en 4 versiones</v>
      </c>
      <c r="AM65" s="172" t="s">
        <v>12984</v>
      </c>
      <c r="AN65" s="172"/>
      <c r="AO65" s="172"/>
      <c r="AP65" s="172"/>
      <c r="AQ65" s="172"/>
      <c r="AR65" s="172"/>
      <c r="AS65" s="172"/>
      <c r="AT65" s="172"/>
      <c r="AU65" s="172"/>
      <c r="AV65" s="555"/>
      <c r="AY65" s="3">
        <v>1</v>
      </c>
    </row>
    <row r="66" spans="2:51" ht="27" customHeight="1">
      <c r="B66" s="104" t="s">
        <v>16</v>
      </c>
      <c r="C66" s="157" t="str">
        <f>C16</f>
        <v>P PRESSÉ DE BOUDIN NOIR | | Auteur &gt; Guy KRENZE - Eric GODDYN - Arnaud NICOLAS - CEPROC 2002</v>
      </c>
      <c r="D66" s="157">
        <f>D16</f>
        <v>20</v>
      </c>
      <c r="E66" s="158" t="str">
        <f>E16</f>
        <v>pressés de boudin</v>
      </c>
      <c r="F66" s="159" t="str">
        <f>F16</f>
        <v>Recette mère ► le Boudin en 4 déclinaisons</v>
      </c>
      <c r="G66" s="172" t="s">
        <v>12985</v>
      </c>
      <c r="H66" s="172"/>
      <c r="I66" s="172"/>
      <c r="J66" s="172"/>
      <c r="K66" s="172"/>
      <c r="L66" s="172"/>
      <c r="M66" s="172"/>
      <c r="N66" s="172"/>
      <c r="O66" s="172"/>
      <c r="P66" s="555"/>
      <c r="R66" s="104" t="s">
        <v>16</v>
      </c>
      <c r="S66" s="157" t="str">
        <f>S16</f>
        <v>P PRESSED BLACK PUDDING TERRINE | |  Author &gt; Guy KRENZE - Eric GODDYN - Arnaud NICOLAS - CEPROC 2002</v>
      </c>
      <c r="T66" s="157">
        <f>T16</f>
        <v>20</v>
      </c>
      <c r="U66" s="158" t="str">
        <f>U16</f>
        <v>pressés de boudin</v>
      </c>
      <c r="V66" s="159" t="str">
        <f>V16</f>
        <v>Master recipe ► Black pudding in 4 variations</v>
      </c>
      <c r="W66" s="172" t="s">
        <v>13019</v>
      </c>
      <c r="X66" s="172"/>
      <c r="Y66" s="172"/>
      <c r="Z66" s="172"/>
      <c r="AA66" s="172"/>
      <c r="AB66" s="172"/>
      <c r="AC66" s="172"/>
      <c r="AD66" s="172"/>
      <c r="AE66" s="172"/>
      <c r="AF66" s="555"/>
      <c r="AH66" s="104" t="s">
        <v>16</v>
      </c>
      <c r="AI66" s="157" t="str">
        <f>AI16</f>
        <v>P PRENSADO DE MORCILLA (TERRINA) | | Autor &gt; Guy KRENZE - Eric GODDYN - Arnaud NICOLAS - CEPROC 2002</v>
      </c>
      <c r="AJ66" s="157">
        <f>AJ16</f>
        <v>20</v>
      </c>
      <c r="AK66" s="158" t="str">
        <f>AK16</f>
        <v>pressés de boudin</v>
      </c>
      <c r="AL66" s="159" t="str">
        <f>AL16</f>
        <v>Receta madre ► Morcilla en 4 versiones</v>
      </c>
      <c r="AM66" s="172" t="s">
        <v>13020</v>
      </c>
      <c r="AN66" s="172"/>
      <c r="AO66" s="172"/>
      <c r="AP66" s="172"/>
      <c r="AQ66" s="172"/>
      <c r="AR66" s="172"/>
      <c r="AS66" s="172"/>
      <c r="AT66" s="172"/>
      <c r="AU66" s="172"/>
      <c r="AV66" s="555"/>
      <c r="AY66" s="3">
        <v>1</v>
      </c>
    </row>
    <row r="67" spans="2:51" ht="27" customHeight="1">
      <c r="B67" s="104" t="s">
        <v>16</v>
      </c>
      <c r="C67" s="157" t="str">
        <f>C16</f>
        <v>P PRESSÉ DE BOUDIN NOIR | | Auteur &gt; Guy KRENZE - Eric GODDYN - Arnaud NICOLAS - CEPROC 2002</v>
      </c>
      <c r="D67" s="157">
        <f>D16</f>
        <v>20</v>
      </c>
      <c r="E67" s="158" t="str">
        <f>E16</f>
        <v>pressés de boudin</v>
      </c>
      <c r="F67" s="159" t="str">
        <f>F16</f>
        <v>Recette mère ► le Boudin en 4 déclinaisons</v>
      </c>
      <c r="G67" s="172" t="s">
        <v>12863</v>
      </c>
      <c r="H67" s="172"/>
      <c r="I67" s="172"/>
      <c r="J67" s="172"/>
      <c r="K67" s="172"/>
      <c r="L67" s="172"/>
      <c r="M67" s="172"/>
      <c r="N67" s="172"/>
      <c r="O67" s="172"/>
      <c r="P67" s="555"/>
      <c r="R67" s="104" t="s">
        <v>16</v>
      </c>
      <c r="S67" s="157" t="str">
        <f>S16</f>
        <v>P PRESSED BLACK PUDDING TERRINE | |  Author &gt; Guy KRENZE - Eric GODDYN - Arnaud NICOLAS - CEPROC 2002</v>
      </c>
      <c r="T67" s="157">
        <f>T16</f>
        <v>20</v>
      </c>
      <c r="U67" s="158" t="str">
        <f>U16</f>
        <v>pressés de boudin</v>
      </c>
      <c r="V67" s="159" t="str">
        <f>V16</f>
        <v>Master recipe ► Black pudding in 4 variations</v>
      </c>
      <c r="W67" s="172" t="s">
        <v>12988</v>
      </c>
      <c r="X67" s="172"/>
      <c r="Y67" s="172"/>
      <c r="Z67" s="172"/>
      <c r="AA67" s="172"/>
      <c r="AB67" s="172"/>
      <c r="AC67" s="172"/>
      <c r="AD67" s="172"/>
      <c r="AE67" s="172"/>
      <c r="AF67" s="555"/>
      <c r="AH67" s="104" t="s">
        <v>16</v>
      </c>
      <c r="AI67" s="157" t="str">
        <f>AI16</f>
        <v>P PRENSADO DE MORCILLA (TERRINA) | | Autor &gt; Guy KRENZE - Eric GODDYN - Arnaud NICOLAS - CEPROC 2002</v>
      </c>
      <c r="AJ67" s="157">
        <f>AJ16</f>
        <v>20</v>
      </c>
      <c r="AK67" s="158" t="str">
        <f>AK16</f>
        <v>pressés de boudin</v>
      </c>
      <c r="AL67" s="159" t="str">
        <f>AL16</f>
        <v>Receta madre ► Morcilla en 4 versiones</v>
      </c>
      <c r="AM67" s="172" t="s">
        <v>12989</v>
      </c>
      <c r="AN67" s="172"/>
      <c r="AO67" s="172"/>
      <c r="AP67" s="172"/>
      <c r="AQ67" s="172"/>
      <c r="AR67" s="172"/>
      <c r="AS67" s="172"/>
      <c r="AT67" s="172"/>
      <c r="AU67" s="172"/>
      <c r="AV67" s="555"/>
      <c r="AY67" s="3">
        <v>1</v>
      </c>
    </row>
    <row r="68" spans="2:51" ht="27" customHeight="1">
      <c r="B68" s="104" t="s">
        <v>16</v>
      </c>
      <c r="C68" s="157" t="str">
        <f>C16</f>
        <v>P PRESSÉ DE BOUDIN NOIR | | Auteur &gt; Guy KRENZE - Eric GODDYN - Arnaud NICOLAS - CEPROC 2002</v>
      </c>
      <c r="D68" s="157">
        <f>D16</f>
        <v>20</v>
      </c>
      <c r="E68" s="158" t="str">
        <f>E16</f>
        <v>pressés de boudin</v>
      </c>
      <c r="F68" s="159" t="str">
        <f>F16</f>
        <v>Recette mère ► le Boudin en 4 déclinaisons</v>
      </c>
      <c r="G68" s="5063" t="s">
        <v>2882</v>
      </c>
      <c r="H68" s="172"/>
      <c r="I68" s="172"/>
      <c r="J68" s="172"/>
      <c r="K68" s="172"/>
      <c r="L68" s="172"/>
      <c r="M68" s="172"/>
      <c r="N68" s="172"/>
      <c r="O68" s="172"/>
      <c r="P68" s="555"/>
      <c r="R68" s="104" t="s">
        <v>16</v>
      </c>
      <c r="S68" s="157" t="str">
        <f>S16</f>
        <v>P PRESSED BLACK PUDDING TERRINE | |  Author &gt; Guy KRENZE - Eric GODDYN - Arnaud NICOLAS - CEPROC 2002</v>
      </c>
      <c r="T68" s="157">
        <f>T16</f>
        <v>20</v>
      </c>
      <c r="U68" s="158" t="str">
        <f>U16</f>
        <v>pressés de boudin</v>
      </c>
      <c r="V68" s="159" t="str">
        <f>V16</f>
        <v>Master recipe ► Black pudding in 4 variations</v>
      </c>
      <c r="W68" s="5063" t="s">
        <v>2882</v>
      </c>
      <c r="X68" s="172"/>
      <c r="Y68" s="172"/>
      <c r="Z68" s="172"/>
      <c r="AA68" s="172"/>
      <c r="AB68" s="172"/>
      <c r="AC68" s="172"/>
      <c r="AD68" s="172"/>
      <c r="AE68" s="172"/>
      <c r="AF68" s="555"/>
      <c r="AH68" s="104" t="s">
        <v>16</v>
      </c>
      <c r="AI68" s="157" t="str">
        <f>AI16</f>
        <v>P PRENSADO DE MORCILLA (TERRINA) | | Autor &gt; Guy KRENZE - Eric GODDYN - Arnaud NICOLAS - CEPROC 2002</v>
      </c>
      <c r="AJ68" s="157">
        <f>AJ16</f>
        <v>20</v>
      </c>
      <c r="AK68" s="158" t="str">
        <f>AK16</f>
        <v>pressés de boudin</v>
      </c>
      <c r="AL68" s="159" t="str">
        <f>AL16</f>
        <v>Receta madre ► Morcilla en 4 versiones</v>
      </c>
      <c r="AM68" s="5063" t="s">
        <v>2882</v>
      </c>
      <c r="AN68" s="172"/>
      <c r="AO68" s="172"/>
      <c r="AP68" s="172"/>
      <c r="AQ68" s="172"/>
      <c r="AR68" s="172"/>
      <c r="AS68" s="172"/>
      <c r="AT68" s="172"/>
      <c r="AU68" s="172"/>
      <c r="AV68" s="555"/>
      <c r="AY68" s="3">
        <v>1</v>
      </c>
    </row>
    <row r="69" spans="2:51" ht="27" customHeight="1">
      <c r="B69" s="104" t="s">
        <v>16</v>
      </c>
      <c r="C69" s="157" t="str">
        <f>C16</f>
        <v>P PRESSÉ DE BOUDIN NOIR | | Auteur &gt; Guy KRENZE - Eric GODDYN - Arnaud NICOLAS - CEPROC 2002</v>
      </c>
      <c r="D69" s="157">
        <f>D16</f>
        <v>20</v>
      </c>
      <c r="E69" s="158" t="str">
        <f>E16</f>
        <v>pressés de boudin</v>
      </c>
      <c r="F69" s="159" t="str">
        <f>F16</f>
        <v>Recette mère ► le Boudin en 4 déclinaisons</v>
      </c>
      <c r="G69" s="172" t="s">
        <v>13021</v>
      </c>
      <c r="H69" s="172"/>
      <c r="I69" s="172"/>
      <c r="J69" s="172"/>
      <c r="K69" s="172"/>
      <c r="L69" s="172"/>
      <c r="M69" s="172"/>
      <c r="N69" s="172"/>
      <c r="O69" s="172"/>
      <c r="P69" s="555"/>
      <c r="R69" s="104" t="s">
        <v>16</v>
      </c>
      <c r="S69" s="157" t="str">
        <f>S16</f>
        <v>P PRESSED BLACK PUDDING TERRINE | |  Author &gt; Guy KRENZE - Eric GODDYN - Arnaud NICOLAS - CEPROC 2002</v>
      </c>
      <c r="T69" s="157">
        <f>T16</f>
        <v>20</v>
      </c>
      <c r="U69" s="158" t="str">
        <f>U16</f>
        <v>pressés de boudin</v>
      </c>
      <c r="V69" s="159" t="str">
        <f>V16</f>
        <v>Master recipe ► Black pudding in 4 variations</v>
      </c>
      <c r="W69" s="172" t="s">
        <v>13022</v>
      </c>
      <c r="X69" s="172"/>
      <c r="Y69" s="172"/>
      <c r="Z69" s="172"/>
      <c r="AA69" s="172"/>
      <c r="AB69" s="172"/>
      <c r="AC69" s="172"/>
      <c r="AD69" s="172"/>
      <c r="AE69" s="172"/>
      <c r="AF69" s="555"/>
      <c r="AH69" s="104" t="s">
        <v>16</v>
      </c>
      <c r="AI69" s="157" t="str">
        <f>AI16</f>
        <v>P PRENSADO DE MORCILLA (TERRINA) | | Autor &gt; Guy KRENZE - Eric GODDYN - Arnaud NICOLAS - CEPROC 2002</v>
      </c>
      <c r="AJ69" s="157">
        <f>AJ16</f>
        <v>20</v>
      </c>
      <c r="AK69" s="158" t="str">
        <f>AK16</f>
        <v>pressés de boudin</v>
      </c>
      <c r="AL69" s="159" t="str">
        <f>AL16</f>
        <v>Receta madre ► Morcilla en 4 versiones</v>
      </c>
      <c r="AM69" s="172" t="s">
        <v>13023</v>
      </c>
      <c r="AN69" s="172"/>
      <c r="AO69" s="172"/>
      <c r="AP69" s="172"/>
      <c r="AQ69" s="172"/>
      <c r="AR69" s="172"/>
      <c r="AS69" s="172"/>
      <c r="AT69" s="172"/>
      <c r="AU69" s="172"/>
      <c r="AV69" s="555"/>
      <c r="AY69" s="3">
        <v>1</v>
      </c>
    </row>
    <row r="70" spans="2:51" ht="27" customHeight="1">
      <c r="B70" s="104" t="s">
        <v>16</v>
      </c>
      <c r="C70" s="157" t="str">
        <f>C16</f>
        <v>P PRESSÉ DE BOUDIN NOIR | | Auteur &gt; Guy KRENZE - Eric GODDYN - Arnaud NICOLAS - CEPROC 2002</v>
      </c>
      <c r="D70" s="157">
        <f>D16</f>
        <v>20</v>
      </c>
      <c r="E70" s="158" t="str">
        <f>E16</f>
        <v>pressés de boudin</v>
      </c>
      <c r="F70" s="159" t="str">
        <f>F16</f>
        <v>Recette mère ► le Boudin en 4 déclinaisons</v>
      </c>
      <c r="G70" s="172" t="s">
        <v>13009</v>
      </c>
      <c r="H70" s="172"/>
      <c r="I70" s="172"/>
      <c r="J70" s="172"/>
      <c r="K70" s="172"/>
      <c r="L70" s="172"/>
      <c r="M70" s="172"/>
      <c r="N70" s="172"/>
      <c r="O70" s="172"/>
      <c r="P70" s="555"/>
      <c r="R70" s="104" t="s">
        <v>16</v>
      </c>
      <c r="S70" s="157" t="str">
        <f>S16</f>
        <v>P PRESSED BLACK PUDDING TERRINE | |  Author &gt; Guy KRENZE - Eric GODDYN - Arnaud NICOLAS - CEPROC 2002</v>
      </c>
      <c r="T70" s="157">
        <f>T16</f>
        <v>20</v>
      </c>
      <c r="U70" s="158" t="str">
        <f>U16</f>
        <v>pressés de boudin</v>
      </c>
      <c r="V70" s="159" t="str">
        <f>V16</f>
        <v>Master recipe ► Black pudding in 4 variations</v>
      </c>
      <c r="W70" s="172" t="s">
        <v>13024</v>
      </c>
      <c r="X70" s="172"/>
      <c r="Y70" s="172"/>
      <c r="Z70" s="172"/>
      <c r="AA70" s="172"/>
      <c r="AB70" s="172"/>
      <c r="AC70" s="172"/>
      <c r="AD70" s="172"/>
      <c r="AE70" s="172"/>
      <c r="AF70" s="555"/>
      <c r="AH70" s="104" t="s">
        <v>16</v>
      </c>
      <c r="AI70" s="157" t="str">
        <f>AI16</f>
        <v>P PRENSADO DE MORCILLA (TERRINA) | | Autor &gt; Guy KRENZE - Eric GODDYN - Arnaud NICOLAS - CEPROC 2002</v>
      </c>
      <c r="AJ70" s="157">
        <f>AJ16</f>
        <v>20</v>
      </c>
      <c r="AK70" s="158" t="str">
        <f>AK16</f>
        <v>pressés de boudin</v>
      </c>
      <c r="AL70" s="159" t="str">
        <f>AL16</f>
        <v>Receta madre ► Morcilla en 4 versiones</v>
      </c>
      <c r="AM70" s="172" t="s">
        <v>13025</v>
      </c>
      <c r="AN70" s="172"/>
      <c r="AO70" s="172"/>
      <c r="AP70" s="172"/>
      <c r="AQ70" s="172"/>
      <c r="AR70" s="172"/>
      <c r="AS70" s="172"/>
      <c r="AT70" s="172"/>
      <c r="AU70" s="172"/>
      <c r="AV70" s="555"/>
      <c r="AY70" s="3">
        <v>1</v>
      </c>
    </row>
    <row r="71" spans="2:51" ht="27" customHeight="1">
      <c r="B71" s="104" t="s">
        <v>16</v>
      </c>
      <c r="C71" s="157" t="str">
        <f>C16</f>
        <v>P PRESSÉ DE BOUDIN NOIR | | Auteur &gt; Guy KRENZE - Eric GODDYN - Arnaud NICOLAS - CEPROC 2002</v>
      </c>
      <c r="D71" s="157">
        <f>D16</f>
        <v>20</v>
      </c>
      <c r="E71" s="158" t="str">
        <f>E16</f>
        <v>pressés de boudin</v>
      </c>
      <c r="F71" s="159" t="str">
        <f>F16</f>
        <v>Recette mère ► le Boudin en 4 déclinaisons</v>
      </c>
      <c r="G71" s="172" t="s">
        <v>13010</v>
      </c>
      <c r="H71" s="172"/>
      <c r="I71" s="172"/>
      <c r="J71" s="172"/>
      <c r="K71" s="172"/>
      <c r="L71" s="172"/>
      <c r="M71" s="172"/>
      <c r="N71" s="172"/>
      <c r="O71" s="172"/>
      <c r="P71" s="555"/>
      <c r="R71" s="104" t="s">
        <v>16</v>
      </c>
      <c r="S71" s="157" t="str">
        <f>S16</f>
        <v>P PRESSED BLACK PUDDING TERRINE | |  Author &gt; Guy KRENZE - Eric GODDYN - Arnaud NICOLAS - CEPROC 2002</v>
      </c>
      <c r="T71" s="157">
        <f>T16</f>
        <v>20</v>
      </c>
      <c r="U71" s="158" t="str">
        <f>U16</f>
        <v>pressés de boudin</v>
      </c>
      <c r="V71" s="159" t="str">
        <f>V16</f>
        <v>Master recipe ► Black pudding in 4 variations</v>
      </c>
      <c r="W71" s="172" t="s">
        <v>13026</v>
      </c>
      <c r="X71" s="172"/>
      <c r="Y71" s="172"/>
      <c r="Z71" s="172"/>
      <c r="AA71" s="172"/>
      <c r="AB71" s="172"/>
      <c r="AC71" s="172"/>
      <c r="AD71" s="172"/>
      <c r="AE71" s="172"/>
      <c r="AF71" s="555"/>
      <c r="AH71" s="104" t="s">
        <v>16</v>
      </c>
      <c r="AI71" s="157" t="str">
        <f>AI16</f>
        <v>P PRENSADO DE MORCILLA (TERRINA) | | Autor &gt; Guy KRENZE - Eric GODDYN - Arnaud NICOLAS - CEPROC 2002</v>
      </c>
      <c r="AJ71" s="157">
        <f>AJ16</f>
        <v>20</v>
      </c>
      <c r="AK71" s="158" t="str">
        <f>AK16</f>
        <v>pressés de boudin</v>
      </c>
      <c r="AL71" s="159" t="str">
        <f>AL16</f>
        <v>Receta madre ► Morcilla en 4 versiones</v>
      </c>
      <c r="AM71" s="172" t="s">
        <v>13027</v>
      </c>
      <c r="AN71" s="172"/>
      <c r="AO71" s="172"/>
      <c r="AP71" s="172"/>
      <c r="AQ71" s="172"/>
      <c r="AR71" s="172"/>
      <c r="AS71" s="172"/>
      <c r="AT71" s="172"/>
      <c r="AU71" s="172"/>
      <c r="AV71" s="555"/>
      <c r="AY71" s="3">
        <v>1</v>
      </c>
    </row>
    <row r="72" spans="2:51" ht="27" customHeight="1">
      <c r="B72" s="104" t="s">
        <v>16</v>
      </c>
      <c r="C72" s="157" t="str">
        <f>C16</f>
        <v>P PRESSÉ DE BOUDIN NOIR | | Auteur &gt; Guy KRENZE - Eric GODDYN - Arnaud NICOLAS - CEPROC 2002</v>
      </c>
      <c r="D72" s="157">
        <f>D16</f>
        <v>20</v>
      </c>
      <c r="E72" s="158" t="str">
        <f>E16</f>
        <v>pressés de boudin</v>
      </c>
      <c r="F72" s="159" t="str">
        <f>F16</f>
        <v>Recette mère ► le Boudin en 4 déclinaisons</v>
      </c>
      <c r="G72" s="172" t="s">
        <v>12864</v>
      </c>
      <c r="H72" s="172"/>
      <c r="I72" s="172"/>
      <c r="J72" s="172"/>
      <c r="K72" s="172"/>
      <c r="L72" s="172"/>
      <c r="M72" s="172"/>
      <c r="N72" s="172"/>
      <c r="O72" s="172"/>
      <c r="P72" s="555"/>
      <c r="R72" s="104" t="s">
        <v>16</v>
      </c>
      <c r="S72" s="157" t="str">
        <f>S16</f>
        <v>P PRESSED BLACK PUDDING TERRINE | |  Author &gt; Guy KRENZE - Eric GODDYN - Arnaud NICOLAS - CEPROC 2002</v>
      </c>
      <c r="T72" s="157">
        <f>T16</f>
        <v>20</v>
      </c>
      <c r="U72" s="158" t="str">
        <f>U16</f>
        <v>pressés de boudin</v>
      </c>
      <c r="V72" s="159" t="str">
        <f>V16</f>
        <v>Master recipe ► Black pudding in 4 variations</v>
      </c>
      <c r="W72" s="172" t="s">
        <v>12993</v>
      </c>
      <c r="X72" s="172"/>
      <c r="Y72" s="172"/>
      <c r="Z72" s="172"/>
      <c r="AA72" s="172"/>
      <c r="AB72" s="172"/>
      <c r="AC72" s="172"/>
      <c r="AD72" s="172"/>
      <c r="AE72" s="172"/>
      <c r="AF72" s="555"/>
      <c r="AH72" s="104" t="s">
        <v>16</v>
      </c>
      <c r="AI72" s="157" t="str">
        <f>AI16</f>
        <v>P PRENSADO DE MORCILLA (TERRINA) | | Autor &gt; Guy KRENZE - Eric GODDYN - Arnaud NICOLAS - CEPROC 2002</v>
      </c>
      <c r="AJ72" s="157">
        <f>AJ16</f>
        <v>20</v>
      </c>
      <c r="AK72" s="158" t="str">
        <f>AK16</f>
        <v>pressés de boudin</v>
      </c>
      <c r="AL72" s="159" t="str">
        <f>AL16</f>
        <v>Receta madre ► Morcilla en 4 versiones</v>
      </c>
      <c r="AM72" s="172" t="s">
        <v>12994</v>
      </c>
      <c r="AN72" s="172"/>
      <c r="AO72" s="172"/>
      <c r="AP72" s="172"/>
      <c r="AQ72" s="172"/>
      <c r="AR72" s="172"/>
      <c r="AS72" s="172"/>
      <c r="AT72" s="172"/>
      <c r="AU72" s="172"/>
      <c r="AV72" s="555"/>
      <c r="AY72" s="3">
        <v>1</v>
      </c>
    </row>
    <row r="73" spans="2:51" ht="27" customHeight="1">
      <c r="B73" s="104" t="s">
        <v>16</v>
      </c>
      <c r="C73" s="157" t="str">
        <f>C16</f>
        <v>P PRESSÉ DE BOUDIN NOIR | | Auteur &gt; Guy KRENZE - Eric GODDYN - Arnaud NICOLAS - CEPROC 2002</v>
      </c>
      <c r="D73" s="157">
        <f>D16</f>
        <v>20</v>
      </c>
      <c r="E73" s="158" t="str">
        <f>E16</f>
        <v>pressés de boudin</v>
      </c>
      <c r="F73" s="159" t="str">
        <f>F16</f>
        <v>Recette mère ► le Boudin en 4 déclinaisons</v>
      </c>
      <c r="G73" s="172"/>
      <c r="H73" s="172"/>
      <c r="I73" s="172"/>
      <c r="J73" s="172"/>
      <c r="K73" s="172"/>
      <c r="L73" s="172"/>
      <c r="M73" s="172"/>
      <c r="N73" s="172"/>
      <c r="O73" s="172"/>
      <c r="P73" s="555"/>
      <c r="R73" s="104" t="s">
        <v>16</v>
      </c>
      <c r="S73" s="157" t="str">
        <f>S16</f>
        <v>P PRESSED BLACK PUDDING TERRINE | |  Author &gt; Guy KRENZE - Eric GODDYN - Arnaud NICOLAS - CEPROC 2002</v>
      </c>
      <c r="T73" s="157">
        <f>T16</f>
        <v>20</v>
      </c>
      <c r="U73" s="158" t="str">
        <f>U16</f>
        <v>pressés de boudin</v>
      </c>
      <c r="V73" s="159" t="str">
        <f>V16</f>
        <v>Master recipe ► Black pudding in 4 variations</v>
      </c>
      <c r="W73" s="172"/>
      <c r="X73" s="172"/>
      <c r="Y73" s="172"/>
      <c r="Z73" s="172"/>
      <c r="AA73" s="172"/>
      <c r="AB73" s="172"/>
      <c r="AC73" s="172"/>
      <c r="AD73" s="172"/>
      <c r="AE73" s="172"/>
      <c r="AF73" s="555"/>
      <c r="AH73" s="104" t="s">
        <v>16</v>
      </c>
      <c r="AI73" s="157" t="str">
        <f>AI16</f>
        <v>P PRENSADO DE MORCILLA (TERRINA) | | Autor &gt; Guy KRENZE - Eric GODDYN - Arnaud NICOLAS - CEPROC 2002</v>
      </c>
      <c r="AJ73" s="157">
        <f>AJ16</f>
        <v>20</v>
      </c>
      <c r="AK73" s="158" t="str">
        <f>AK16</f>
        <v>pressés de boudin</v>
      </c>
      <c r="AL73" s="159" t="str">
        <f>AL16</f>
        <v>Receta madre ► Morcilla en 4 versiones</v>
      </c>
      <c r="AM73" s="172"/>
      <c r="AN73" s="172"/>
      <c r="AO73" s="172"/>
      <c r="AP73" s="172"/>
      <c r="AQ73" s="172"/>
      <c r="AR73" s="172"/>
      <c r="AS73" s="172"/>
      <c r="AT73" s="172"/>
      <c r="AU73" s="172"/>
      <c r="AV73" s="555"/>
      <c r="AY73" s="3">
        <v>1</v>
      </c>
    </row>
    <row r="74" spans="2:51" ht="27" customHeight="1">
      <c r="B74" s="104" t="s">
        <v>16</v>
      </c>
      <c r="C74" s="157" t="str">
        <f>C16</f>
        <v>P PRESSÉ DE BOUDIN NOIR | | Auteur &gt; Guy KRENZE - Eric GODDYN - Arnaud NICOLAS - CEPROC 2002</v>
      </c>
      <c r="D74" s="157">
        <f>D16</f>
        <v>20</v>
      </c>
      <c r="E74" s="158" t="str">
        <f>E16</f>
        <v>pressés de boudin</v>
      </c>
      <c r="F74" s="159" t="str">
        <f>F16</f>
        <v>Recette mère ► le Boudin en 4 déclinaisons</v>
      </c>
      <c r="G74" s="172"/>
      <c r="H74" s="172"/>
      <c r="I74" s="172"/>
      <c r="J74" s="172"/>
      <c r="K74" s="172"/>
      <c r="L74" s="172"/>
      <c r="M74" s="172"/>
      <c r="N74" s="172"/>
      <c r="O74" s="172"/>
      <c r="P74" s="555"/>
      <c r="R74" s="104" t="s">
        <v>16</v>
      </c>
      <c r="S74" s="157" t="str">
        <f>S16</f>
        <v>P PRESSED BLACK PUDDING TERRINE | |  Author &gt; Guy KRENZE - Eric GODDYN - Arnaud NICOLAS - CEPROC 2002</v>
      </c>
      <c r="T74" s="157">
        <f>T16</f>
        <v>20</v>
      </c>
      <c r="U74" s="158" t="str">
        <f>U16</f>
        <v>pressés de boudin</v>
      </c>
      <c r="V74" s="159" t="str">
        <f>V16</f>
        <v>Master recipe ► Black pudding in 4 variations</v>
      </c>
      <c r="W74" s="172"/>
      <c r="X74" s="172"/>
      <c r="Y74" s="172"/>
      <c r="Z74" s="172"/>
      <c r="AA74" s="172"/>
      <c r="AB74" s="172"/>
      <c r="AC74" s="172"/>
      <c r="AD74" s="172"/>
      <c r="AE74" s="172"/>
      <c r="AF74" s="555"/>
      <c r="AH74" s="104" t="s">
        <v>16</v>
      </c>
      <c r="AI74" s="157" t="str">
        <f>AI16</f>
        <v>P PRENSADO DE MORCILLA (TERRINA) | | Autor &gt; Guy KRENZE - Eric GODDYN - Arnaud NICOLAS - CEPROC 2002</v>
      </c>
      <c r="AJ74" s="157">
        <f>AJ16</f>
        <v>20</v>
      </c>
      <c r="AK74" s="158" t="str">
        <f>AK16</f>
        <v>pressés de boudin</v>
      </c>
      <c r="AL74" s="159" t="str">
        <f>AL16</f>
        <v>Receta madre ► Morcilla en 4 versiones</v>
      </c>
      <c r="AM74" s="172"/>
      <c r="AN74" s="172"/>
      <c r="AO74" s="172"/>
      <c r="AP74" s="172"/>
      <c r="AQ74" s="172"/>
      <c r="AR74" s="172"/>
      <c r="AS74" s="172"/>
      <c r="AT74" s="172"/>
      <c r="AU74" s="172"/>
      <c r="AV74" s="555"/>
      <c r="AY74" s="3">
        <v>1</v>
      </c>
    </row>
    <row r="75" spans="2:51" ht="27" customHeight="1">
      <c r="B75" s="104" t="s">
        <v>16</v>
      </c>
      <c r="C75" s="157" t="str">
        <f>C16</f>
        <v>P PRESSÉ DE BOUDIN NOIR | | Auteur &gt; Guy KRENZE - Eric GODDYN - Arnaud NICOLAS - CEPROC 2002</v>
      </c>
      <c r="D75" s="157">
        <f>D16</f>
        <v>20</v>
      </c>
      <c r="E75" s="158" t="str">
        <f>E16</f>
        <v>pressés de boudin</v>
      </c>
      <c r="F75" s="159" t="str">
        <f>F16</f>
        <v>Recette mère ► le Boudin en 4 déclinaisons</v>
      </c>
      <c r="G75" s="5063" t="s">
        <v>82</v>
      </c>
      <c r="H75" s="172"/>
      <c r="I75" s="172"/>
      <c r="J75" s="172"/>
      <c r="K75" s="172"/>
      <c r="L75" s="172"/>
      <c r="M75" s="172"/>
      <c r="N75" s="172"/>
      <c r="O75" s="172"/>
      <c r="P75" s="555"/>
      <c r="R75" s="104" t="s">
        <v>16</v>
      </c>
      <c r="S75" s="157" t="str">
        <f>S16</f>
        <v>P PRESSED BLACK PUDDING TERRINE | |  Author &gt; Guy KRENZE - Eric GODDYN - Arnaud NICOLAS - CEPROC 2002</v>
      </c>
      <c r="T75" s="157">
        <f>T16</f>
        <v>20</v>
      </c>
      <c r="U75" s="158" t="str">
        <f>U16</f>
        <v>pressés de boudin</v>
      </c>
      <c r="V75" s="159" t="str">
        <f>V16</f>
        <v>Master recipe ► Black pudding in 4 variations</v>
      </c>
      <c r="W75" s="5063" t="s">
        <v>82</v>
      </c>
      <c r="X75" s="172"/>
      <c r="Y75" s="172"/>
      <c r="Z75" s="172"/>
      <c r="AA75" s="172"/>
      <c r="AB75" s="172"/>
      <c r="AC75" s="172"/>
      <c r="AD75" s="172"/>
      <c r="AE75" s="172"/>
      <c r="AF75" s="555"/>
      <c r="AH75" s="104" t="s">
        <v>16</v>
      </c>
      <c r="AI75" s="157" t="str">
        <f>AI16</f>
        <v>P PRENSADO DE MORCILLA (TERRINA) | | Autor &gt; Guy KRENZE - Eric GODDYN - Arnaud NICOLAS - CEPROC 2002</v>
      </c>
      <c r="AJ75" s="157">
        <f>AJ16</f>
        <v>20</v>
      </c>
      <c r="AK75" s="158" t="str">
        <f>AK16</f>
        <v>pressés de boudin</v>
      </c>
      <c r="AL75" s="159" t="str">
        <f>AL16</f>
        <v>Receta madre ► Morcilla en 4 versiones</v>
      </c>
      <c r="AM75" s="5063" t="s">
        <v>82</v>
      </c>
      <c r="AN75" s="172"/>
      <c r="AO75" s="172"/>
      <c r="AP75" s="172"/>
      <c r="AQ75" s="172"/>
      <c r="AR75" s="172"/>
      <c r="AS75" s="172"/>
      <c r="AT75" s="172"/>
      <c r="AU75" s="172"/>
      <c r="AV75" s="555"/>
      <c r="AY75" s="3">
        <v>1</v>
      </c>
    </row>
    <row r="76" spans="2:51" ht="27" customHeight="1">
      <c r="B76" s="104" t="s">
        <v>16</v>
      </c>
      <c r="C76" s="157" t="str">
        <f>C16</f>
        <v>P PRESSÉ DE BOUDIN NOIR | | Auteur &gt; Guy KRENZE - Eric GODDYN - Arnaud NICOLAS - CEPROC 2002</v>
      </c>
      <c r="D76" s="157">
        <f>D16</f>
        <v>20</v>
      </c>
      <c r="E76" s="158" t="str">
        <f>E16</f>
        <v>pressés de boudin</v>
      </c>
      <c r="F76" s="159" t="str">
        <f>F16</f>
        <v>Recette mère ► le Boudin en 4 déclinaisons</v>
      </c>
      <c r="G76" s="172" t="s">
        <v>13008</v>
      </c>
      <c r="H76" s="1536"/>
      <c r="I76" s="1536"/>
      <c r="J76" s="1536"/>
      <c r="K76" s="1536"/>
      <c r="L76" s="1536"/>
      <c r="M76" s="1536"/>
      <c r="N76" s="1536"/>
      <c r="O76" s="1536"/>
      <c r="P76" s="1537"/>
      <c r="R76" s="104" t="s">
        <v>16</v>
      </c>
      <c r="S76" s="157" t="str">
        <f>S16</f>
        <v>P PRESSED BLACK PUDDING TERRINE | |  Author &gt; Guy KRENZE - Eric GODDYN - Arnaud NICOLAS - CEPROC 2002</v>
      </c>
      <c r="T76" s="157">
        <f>T16</f>
        <v>20</v>
      </c>
      <c r="U76" s="158" t="str">
        <f>U16</f>
        <v>pressés de boudin</v>
      </c>
      <c r="V76" s="159" t="str">
        <f>V16</f>
        <v>Master recipe ► Black pudding in 4 variations</v>
      </c>
      <c r="W76" s="172" t="s">
        <v>12999</v>
      </c>
      <c r="X76" s="1536"/>
      <c r="Y76" s="1536"/>
      <c r="Z76" s="1536"/>
      <c r="AA76" s="1536"/>
      <c r="AB76" s="1536"/>
      <c r="AC76" s="1536"/>
      <c r="AD76" s="1536"/>
      <c r="AE76" s="1536"/>
      <c r="AF76" s="1537"/>
      <c r="AH76" s="104" t="s">
        <v>16</v>
      </c>
      <c r="AI76" s="157" t="str">
        <f>AI16</f>
        <v>P PRENSADO DE MORCILLA (TERRINA) | | Autor &gt; Guy KRENZE - Eric GODDYN - Arnaud NICOLAS - CEPROC 2002</v>
      </c>
      <c r="AJ76" s="157">
        <f>AJ16</f>
        <v>20</v>
      </c>
      <c r="AK76" s="158" t="str">
        <f>AK16</f>
        <v>pressés de boudin</v>
      </c>
      <c r="AL76" s="159" t="str">
        <f>AL16</f>
        <v>Receta madre ► Morcilla en 4 versiones</v>
      </c>
      <c r="AM76" s="172" t="s">
        <v>13041</v>
      </c>
      <c r="AN76" s="1536"/>
      <c r="AO76" s="1536"/>
      <c r="AP76" s="1536"/>
      <c r="AQ76" s="1536"/>
      <c r="AR76" s="1536"/>
      <c r="AS76" s="1536"/>
      <c r="AT76" s="1536"/>
      <c r="AU76" s="1536"/>
      <c r="AV76" s="1537"/>
      <c r="AY76" s="3">
        <v>1</v>
      </c>
    </row>
    <row r="77" spans="2:51" ht="27" customHeight="1">
      <c r="B77" s="104" t="s">
        <v>16</v>
      </c>
      <c r="C77" s="157" t="str">
        <f>C16</f>
        <v>P PRESSÉ DE BOUDIN NOIR | | Auteur &gt; Guy KRENZE - Eric GODDYN - Arnaud NICOLAS - CEPROC 2002</v>
      </c>
      <c r="D77" s="157">
        <f>D16</f>
        <v>20</v>
      </c>
      <c r="E77" s="158" t="str">
        <f>E16</f>
        <v>pressés de boudin</v>
      </c>
      <c r="F77" s="159" t="str">
        <f>F16</f>
        <v>Recette mère ► le Boudin en 4 déclinaisons</v>
      </c>
      <c r="G77" s="172" t="s">
        <v>12837</v>
      </c>
      <c r="H77" s="172"/>
      <c r="I77" s="172"/>
      <c r="J77" s="172"/>
      <c r="K77" s="172"/>
      <c r="L77" s="172"/>
      <c r="M77" s="172"/>
      <c r="N77" s="172"/>
      <c r="O77" s="172"/>
      <c r="P77" s="555"/>
      <c r="R77" s="104" t="s">
        <v>16</v>
      </c>
      <c r="S77" s="157" t="str">
        <f>S16</f>
        <v>P PRESSED BLACK PUDDING TERRINE | |  Author &gt; Guy KRENZE - Eric GODDYN - Arnaud NICOLAS - CEPROC 2002</v>
      </c>
      <c r="T77" s="157">
        <f>T16</f>
        <v>20</v>
      </c>
      <c r="U77" s="158" t="str">
        <f>U16</f>
        <v>pressés de boudin</v>
      </c>
      <c r="V77" s="159" t="str">
        <f>V16</f>
        <v>Master recipe ► Black pudding in 4 variations</v>
      </c>
      <c r="W77" s="172" t="s">
        <v>13028</v>
      </c>
      <c r="X77" s="172"/>
      <c r="Y77" s="172"/>
      <c r="Z77" s="172"/>
      <c r="AA77" s="172"/>
      <c r="AB77" s="172"/>
      <c r="AC77" s="172"/>
      <c r="AD77" s="172"/>
      <c r="AE77" s="172"/>
      <c r="AF77" s="555"/>
      <c r="AH77" s="104" t="s">
        <v>16</v>
      </c>
      <c r="AI77" s="157" t="str">
        <f>AI16</f>
        <v>P PRENSADO DE MORCILLA (TERRINA) | | Autor &gt; Guy KRENZE - Eric GODDYN - Arnaud NICOLAS - CEPROC 2002</v>
      </c>
      <c r="AJ77" s="157">
        <f>AJ16</f>
        <v>20</v>
      </c>
      <c r="AK77" s="158" t="str">
        <f>AK16</f>
        <v>pressés de boudin</v>
      </c>
      <c r="AL77" s="159" t="str">
        <f>AL16</f>
        <v>Receta madre ► Morcilla en 4 versiones</v>
      </c>
      <c r="AM77" s="172" t="s">
        <v>13029</v>
      </c>
      <c r="AN77" s="172"/>
      <c r="AO77" s="172"/>
      <c r="AP77" s="172"/>
      <c r="AQ77" s="172"/>
      <c r="AR77" s="172"/>
      <c r="AS77" s="172"/>
      <c r="AT77" s="172"/>
      <c r="AU77" s="172"/>
      <c r="AV77" s="555"/>
      <c r="AY77" s="3">
        <v>1</v>
      </c>
    </row>
    <row r="78" spans="2:51" ht="27" customHeight="1">
      <c r="B78" s="104" t="s">
        <v>16</v>
      </c>
      <c r="C78" s="157" t="str">
        <f>C16</f>
        <v>P PRESSÉ DE BOUDIN NOIR | | Auteur &gt; Guy KRENZE - Eric GODDYN - Arnaud NICOLAS - CEPROC 2002</v>
      </c>
      <c r="D78" s="157">
        <f>D16</f>
        <v>20</v>
      </c>
      <c r="E78" s="158" t="str">
        <f>E16</f>
        <v>pressés de boudin</v>
      </c>
      <c r="F78" s="159" t="str">
        <f>F16</f>
        <v>Recette mère ► le Boudin en 4 déclinaisons</v>
      </c>
      <c r="G78" s="172" t="s">
        <v>12838</v>
      </c>
      <c r="H78" s="172"/>
      <c r="I78" s="172"/>
      <c r="J78" s="172"/>
      <c r="K78" s="172"/>
      <c r="L78" s="172"/>
      <c r="M78" s="172"/>
      <c r="N78" s="172"/>
      <c r="O78" s="172"/>
      <c r="P78" s="555"/>
      <c r="R78" s="104" t="s">
        <v>16</v>
      </c>
      <c r="S78" s="157" t="str">
        <f>S16</f>
        <v>P PRESSED BLACK PUDDING TERRINE | |  Author &gt; Guy KRENZE - Eric GODDYN - Arnaud NICOLAS - CEPROC 2002</v>
      </c>
      <c r="T78" s="157">
        <f>T16</f>
        <v>20</v>
      </c>
      <c r="U78" s="158" t="str">
        <f>U16</f>
        <v>pressés de boudin</v>
      </c>
      <c r="V78" s="159" t="str">
        <f>V16</f>
        <v>Master recipe ► Black pudding in 4 variations</v>
      </c>
      <c r="W78" s="172" t="s">
        <v>13030</v>
      </c>
      <c r="X78" s="172"/>
      <c r="Y78" s="172"/>
      <c r="Z78" s="172"/>
      <c r="AA78" s="172"/>
      <c r="AB78" s="172"/>
      <c r="AC78" s="172"/>
      <c r="AD78" s="172"/>
      <c r="AE78" s="172"/>
      <c r="AF78" s="555"/>
      <c r="AH78" s="104" t="s">
        <v>16</v>
      </c>
      <c r="AI78" s="157" t="str">
        <f>AI16</f>
        <v>P PRENSADO DE MORCILLA (TERRINA) | | Autor &gt; Guy KRENZE - Eric GODDYN - Arnaud NICOLAS - CEPROC 2002</v>
      </c>
      <c r="AJ78" s="157">
        <f>AJ16</f>
        <v>20</v>
      </c>
      <c r="AK78" s="158" t="str">
        <f>AK16</f>
        <v>pressés de boudin</v>
      </c>
      <c r="AL78" s="159" t="str">
        <f>AL16</f>
        <v>Receta madre ► Morcilla en 4 versiones</v>
      </c>
      <c r="AM78" s="172" t="s">
        <v>13031</v>
      </c>
      <c r="AN78" s="172"/>
      <c r="AO78" s="172"/>
      <c r="AP78" s="172"/>
      <c r="AQ78" s="172"/>
      <c r="AR78" s="172"/>
      <c r="AS78" s="172"/>
      <c r="AT78" s="172"/>
      <c r="AU78" s="172"/>
      <c r="AV78" s="555"/>
      <c r="AY78" s="3">
        <v>1</v>
      </c>
    </row>
    <row r="79" spans="2:51" ht="27" customHeight="1">
      <c r="B79" s="104" t="s">
        <v>16</v>
      </c>
      <c r="C79" s="157" t="str">
        <f>C16</f>
        <v>P PRESSÉ DE BOUDIN NOIR | | Auteur &gt; Guy KRENZE - Eric GODDYN - Arnaud NICOLAS - CEPROC 2002</v>
      </c>
      <c r="D79" s="157">
        <f>D16</f>
        <v>20</v>
      </c>
      <c r="E79" s="158" t="str">
        <f>E16</f>
        <v>pressés de boudin</v>
      </c>
      <c r="F79" s="159" t="str">
        <f>F16</f>
        <v>Recette mère ► le Boudin en 4 déclinaisons</v>
      </c>
      <c r="G79" s="172" t="s">
        <v>12839</v>
      </c>
      <c r="H79" s="172"/>
      <c r="I79" s="172"/>
      <c r="J79" s="172"/>
      <c r="K79" s="172"/>
      <c r="L79" s="172"/>
      <c r="M79" s="172"/>
      <c r="N79" s="172"/>
      <c r="O79" s="172"/>
      <c r="P79" s="555"/>
      <c r="R79" s="104" t="s">
        <v>16</v>
      </c>
      <c r="S79" s="157" t="str">
        <f>S16</f>
        <v>P PRESSED BLACK PUDDING TERRINE | |  Author &gt; Guy KRENZE - Eric GODDYN - Arnaud NICOLAS - CEPROC 2002</v>
      </c>
      <c r="T79" s="157">
        <f>T16</f>
        <v>20</v>
      </c>
      <c r="U79" s="158" t="str">
        <f>U16</f>
        <v>pressés de boudin</v>
      </c>
      <c r="V79" s="159" t="str">
        <f>V16</f>
        <v>Master recipe ► Black pudding in 4 variations</v>
      </c>
      <c r="W79" s="172" t="s">
        <v>12901</v>
      </c>
      <c r="X79" s="172"/>
      <c r="Y79" s="172"/>
      <c r="Z79" s="172"/>
      <c r="AA79" s="172"/>
      <c r="AB79" s="172"/>
      <c r="AC79" s="172"/>
      <c r="AD79" s="172"/>
      <c r="AE79" s="172"/>
      <c r="AF79" s="555"/>
      <c r="AH79" s="104" t="s">
        <v>16</v>
      </c>
      <c r="AI79" s="157" t="str">
        <f>AI16</f>
        <v>P PRENSADO DE MORCILLA (TERRINA) | | Autor &gt; Guy KRENZE - Eric GODDYN - Arnaud NICOLAS - CEPROC 2002</v>
      </c>
      <c r="AJ79" s="157">
        <f>AJ16</f>
        <v>20</v>
      </c>
      <c r="AK79" s="158" t="str">
        <f>AK16</f>
        <v>pressés de boudin</v>
      </c>
      <c r="AL79" s="159" t="str">
        <f>AL16</f>
        <v>Receta madre ► Morcilla en 4 versiones</v>
      </c>
      <c r="AM79" s="172" t="s">
        <v>12902</v>
      </c>
      <c r="AN79" s="172"/>
      <c r="AO79" s="172"/>
      <c r="AP79" s="172"/>
      <c r="AQ79" s="172"/>
      <c r="AR79" s="172"/>
      <c r="AS79" s="172"/>
      <c r="AT79" s="172"/>
      <c r="AU79" s="172"/>
      <c r="AV79" s="555"/>
      <c r="AY79" s="3">
        <v>1</v>
      </c>
    </row>
    <row r="80" spans="2:51" ht="27" customHeight="1">
      <c r="B80" s="104" t="s">
        <v>16</v>
      </c>
      <c r="C80" s="157" t="str">
        <f>C16</f>
        <v>P PRESSÉ DE BOUDIN NOIR | | Auteur &gt; Guy KRENZE - Eric GODDYN - Arnaud NICOLAS - CEPROC 2002</v>
      </c>
      <c r="D80" s="157">
        <f>D16</f>
        <v>20</v>
      </c>
      <c r="E80" s="158" t="str">
        <f>E16</f>
        <v>pressés de boudin</v>
      </c>
      <c r="F80" s="159" t="str">
        <f>F16</f>
        <v>Recette mère ► le Boudin en 4 déclinaisons</v>
      </c>
      <c r="G80" s="172" t="s">
        <v>12903</v>
      </c>
      <c r="H80" s="172"/>
      <c r="I80" s="172"/>
      <c r="J80" s="172"/>
      <c r="K80" s="172"/>
      <c r="L80" s="172"/>
      <c r="M80" s="172"/>
      <c r="N80" s="172"/>
      <c r="O80" s="172"/>
      <c r="P80" s="555"/>
      <c r="R80" s="104" t="s">
        <v>16</v>
      </c>
      <c r="S80" s="157" t="str">
        <f>S16</f>
        <v>P PRESSED BLACK PUDDING TERRINE | |  Author &gt; Guy KRENZE - Eric GODDYN - Arnaud NICOLAS - CEPROC 2002</v>
      </c>
      <c r="T80" s="157">
        <f>T16</f>
        <v>20</v>
      </c>
      <c r="U80" s="158" t="str">
        <f>U16</f>
        <v>pressés de boudin</v>
      </c>
      <c r="V80" s="159" t="str">
        <f>V16</f>
        <v>Master recipe ► Black pudding in 4 variations</v>
      </c>
      <c r="W80" s="172" t="s">
        <v>12904</v>
      </c>
      <c r="X80" s="172"/>
      <c r="Y80" s="172"/>
      <c r="Z80" s="172"/>
      <c r="AA80" s="172"/>
      <c r="AB80" s="172"/>
      <c r="AC80" s="172"/>
      <c r="AD80" s="172"/>
      <c r="AE80" s="172"/>
      <c r="AF80" s="555"/>
      <c r="AH80" s="104" t="s">
        <v>16</v>
      </c>
      <c r="AI80" s="157" t="str">
        <f>AI16</f>
        <v>P PRENSADO DE MORCILLA (TERRINA) | | Autor &gt; Guy KRENZE - Eric GODDYN - Arnaud NICOLAS - CEPROC 2002</v>
      </c>
      <c r="AJ80" s="157">
        <f>AJ16</f>
        <v>20</v>
      </c>
      <c r="AK80" s="158" t="str">
        <f>AK16</f>
        <v>pressés de boudin</v>
      </c>
      <c r="AL80" s="159" t="str">
        <f>AL16</f>
        <v>Receta madre ► Morcilla en 4 versiones</v>
      </c>
      <c r="AM80" s="172" t="s">
        <v>12905</v>
      </c>
      <c r="AN80" s="172"/>
      <c r="AO80" s="172"/>
      <c r="AP80" s="172"/>
      <c r="AQ80" s="172"/>
      <c r="AR80" s="172"/>
      <c r="AS80" s="172"/>
      <c r="AT80" s="172"/>
      <c r="AU80" s="172"/>
      <c r="AV80" s="555"/>
      <c r="AY80" s="3">
        <v>1</v>
      </c>
    </row>
    <row r="81" spans="2:51" ht="27" customHeight="1">
      <c r="B81" s="104" t="s">
        <v>16</v>
      </c>
      <c r="C81" s="157" t="str">
        <f>C16</f>
        <v>P PRESSÉ DE BOUDIN NOIR | | Auteur &gt; Guy KRENZE - Eric GODDYN - Arnaud NICOLAS - CEPROC 2002</v>
      </c>
      <c r="D81" s="157">
        <f>D16</f>
        <v>20</v>
      </c>
      <c r="E81" s="158" t="str">
        <f>E16</f>
        <v>pressés de boudin</v>
      </c>
      <c r="F81" s="159" t="str">
        <f>F16</f>
        <v>Recette mère ► le Boudin en 4 déclinaisons</v>
      </c>
      <c r="G81" s="172" t="s">
        <v>12906</v>
      </c>
      <c r="H81" s="172"/>
      <c r="I81" s="172"/>
      <c r="J81" s="172"/>
      <c r="K81" s="172"/>
      <c r="L81" s="172"/>
      <c r="M81" s="172"/>
      <c r="N81" s="172"/>
      <c r="O81" s="172"/>
      <c r="P81" s="555"/>
      <c r="R81" s="104" t="s">
        <v>16</v>
      </c>
      <c r="S81" s="157" t="str">
        <f>S16</f>
        <v>P PRESSED BLACK PUDDING TERRINE | |  Author &gt; Guy KRENZE - Eric GODDYN - Arnaud NICOLAS - CEPROC 2002</v>
      </c>
      <c r="T81" s="157">
        <f>T16</f>
        <v>20</v>
      </c>
      <c r="U81" s="158" t="str">
        <f>U16</f>
        <v>pressés de boudin</v>
      </c>
      <c r="V81" s="159" t="str">
        <f>V16</f>
        <v>Master recipe ► Black pudding in 4 variations</v>
      </c>
      <c r="W81" s="172" t="s">
        <v>12907</v>
      </c>
      <c r="X81" s="172"/>
      <c r="Y81" s="172"/>
      <c r="Z81" s="172"/>
      <c r="AA81" s="172"/>
      <c r="AB81" s="172"/>
      <c r="AC81" s="172"/>
      <c r="AD81" s="172"/>
      <c r="AE81" s="172"/>
      <c r="AF81" s="555"/>
      <c r="AH81" s="104" t="s">
        <v>16</v>
      </c>
      <c r="AI81" s="157" t="str">
        <f>AI16</f>
        <v>P PRENSADO DE MORCILLA (TERRINA) | | Autor &gt; Guy KRENZE - Eric GODDYN - Arnaud NICOLAS - CEPROC 2002</v>
      </c>
      <c r="AJ81" s="157">
        <f>AJ16</f>
        <v>20</v>
      </c>
      <c r="AK81" s="158" t="str">
        <f>AK16</f>
        <v>pressés de boudin</v>
      </c>
      <c r="AL81" s="159" t="str">
        <f>AL16</f>
        <v>Receta madre ► Morcilla en 4 versiones</v>
      </c>
      <c r="AM81" s="172" t="s">
        <v>12908</v>
      </c>
      <c r="AN81" s="172"/>
      <c r="AO81" s="172"/>
      <c r="AP81" s="172"/>
      <c r="AQ81" s="172"/>
      <c r="AR81" s="172"/>
      <c r="AS81" s="172"/>
      <c r="AT81" s="172"/>
      <c r="AU81" s="172"/>
      <c r="AV81" s="555"/>
      <c r="AY81" s="3">
        <v>1</v>
      </c>
    </row>
    <row r="82" spans="2:51" ht="27" customHeight="1">
      <c r="B82" s="104" t="s">
        <v>16</v>
      </c>
      <c r="C82" s="157" t="str">
        <f>C16</f>
        <v>P PRESSÉ DE BOUDIN NOIR | | Auteur &gt; Guy KRENZE - Eric GODDYN - Arnaud NICOLAS - CEPROC 2002</v>
      </c>
      <c r="D82" s="157">
        <f>D16</f>
        <v>20</v>
      </c>
      <c r="E82" s="158" t="str">
        <f>E16</f>
        <v>pressés de boudin</v>
      </c>
      <c r="F82" s="159" t="str">
        <f>F16</f>
        <v>Recette mère ► le Boudin en 4 déclinaisons</v>
      </c>
      <c r="G82" s="172" t="s">
        <v>13011</v>
      </c>
      <c r="H82" s="172"/>
      <c r="I82" s="172"/>
      <c r="J82" s="172"/>
      <c r="K82" s="172"/>
      <c r="L82" s="172"/>
      <c r="M82" s="172"/>
      <c r="N82" s="172"/>
      <c r="O82" s="172"/>
      <c r="P82" s="555"/>
      <c r="R82" s="104" t="s">
        <v>16</v>
      </c>
      <c r="S82" s="157" t="str">
        <f>S16</f>
        <v>P PRESSED BLACK PUDDING TERRINE | |  Author &gt; Guy KRENZE - Eric GODDYN - Arnaud NICOLAS - CEPROC 2002</v>
      </c>
      <c r="T82" s="157">
        <f>T16</f>
        <v>20</v>
      </c>
      <c r="U82" s="158" t="str">
        <f>U16</f>
        <v>pressés de boudin</v>
      </c>
      <c r="V82" s="159" t="str">
        <f>V16</f>
        <v>Master recipe ► Black pudding in 4 variations</v>
      </c>
      <c r="W82" s="172" t="s">
        <v>13032</v>
      </c>
      <c r="X82" s="172"/>
      <c r="Y82" s="172"/>
      <c r="Z82" s="172"/>
      <c r="AA82" s="172"/>
      <c r="AB82" s="172"/>
      <c r="AC82" s="172"/>
      <c r="AD82" s="172"/>
      <c r="AE82" s="172"/>
      <c r="AF82" s="555"/>
      <c r="AH82" s="104" t="s">
        <v>16</v>
      </c>
      <c r="AI82" s="157" t="str">
        <f>AI16</f>
        <v>P PRENSADO DE MORCILLA (TERRINA) | | Autor &gt; Guy KRENZE - Eric GODDYN - Arnaud NICOLAS - CEPROC 2002</v>
      </c>
      <c r="AJ82" s="157">
        <f>AJ16</f>
        <v>20</v>
      </c>
      <c r="AK82" s="158" t="str">
        <f>AK16</f>
        <v>pressés de boudin</v>
      </c>
      <c r="AL82" s="159" t="str">
        <f>AL16</f>
        <v>Receta madre ► Morcilla en 4 versiones</v>
      </c>
      <c r="AM82" s="172" t="s">
        <v>13033</v>
      </c>
      <c r="AN82" s="172"/>
      <c r="AO82" s="172"/>
      <c r="AP82" s="172"/>
      <c r="AQ82" s="172"/>
      <c r="AR82" s="172"/>
      <c r="AS82" s="172"/>
      <c r="AT82" s="172"/>
      <c r="AU82" s="172"/>
      <c r="AV82" s="555"/>
      <c r="AY82" s="3">
        <v>1</v>
      </c>
    </row>
    <row r="83" spans="2:51" ht="27" customHeight="1">
      <c r="B83" s="104" t="s">
        <v>16</v>
      </c>
      <c r="C83" s="157" t="str">
        <f>C16</f>
        <v>P PRESSÉ DE BOUDIN NOIR | | Auteur &gt; Guy KRENZE - Eric GODDYN - Arnaud NICOLAS - CEPROC 2002</v>
      </c>
      <c r="D83" s="157">
        <f>D16</f>
        <v>20</v>
      </c>
      <c r="E83" s="158" t="str">
        <f>E16</f>
        <v>pressés de boudin</v>
      </c>
      <c r="F83" s="159" t="str">
        <f>F16</f>
        <v>Recette mère ► le Boudin en 4 déclinaisons</v>
      </c>
      <c r="G83" s="172" t="s">
        <v>13034</v>
      </c>
      <c r="H83" s="172"/>
      <c r="I83" s="172"/>
      <c r="J83" s="172"/>
      <c r="K83" s="172"/>
      <c r="L83" s="172"/>
      <c r="M83" s="172"/>
      <c r="N83" s="172"/>
      <c r="O83" s="172"/>
      <c r="P83" s="555"/>
      <c r="R83" s="104" t="s">
        <v>16</v>
      </c>
      <c r="S83" s="157" t="str">
        <f>S16</f>
        <v>P PRESSED BLACK PUDDING TERRINE | |  Author &gt; Guy KRENZE - Eric GODDYN - Arnaud NICOLAS - CEPROC 2002</v>
      </c>
      <c r="T83" s="157">
        <f>T16</f>
        <v>20</v>
      </c>
      <c r="U83" s="158" t="str">
        <f>U16</f>
        <v>pressés de boudin</v>
      </c>
      <c r="V83" s="159" t="str">
        <f>V16</f>
        <v>Master recipe ► Black pudding in 4 variations</v>
      </c>
      <c r="W83" s="172" t="s">
        <v>13035</v>
      </c>
      <c r="X83" s="172"/>
      <c r="Y83" s="172"/>
      <c r="Z83" s="172"/>
      <c r="AA83" s="172"/>
      <c r="AB83" s="172"/>
      <c r="AC83" s="172"/>
      <c r="AD83" s="172"/>
      <c r="AE83" s="172"/>
      <c r="AF83" s="555"/>
      <c r="AH83" s="104" t="s">
        <v>16</v>
      </c>
      <c r="AI83" s="157" t="str">
        <f>AI16</f>
        <v>P PRENSADO DE MORCILLA (TERRINA) | | Autor &gt; Guy KRENZE - Eric GODDYN - Arnaud NICOLAS - CEPROC 2002</v>
      </c>
      <c r="AJ83" s="157">
        <f>AJ16</f>
        <v>20</v>
      </c>
      <c r="AK83" s="158" t="str">
        <f>AK16</f>
        <v>pressés de boudin</v>
      </c>
      <c r="AL83" s="159" t="str">
        <f>AL16</f>
        <v>Receta madre ► Morcilla en 4 versiones</v>
      </c>
      <c r="AM83" s="172" t="s">
        <v>13036</v>
      </c>
      <c r="AN83" s="172"/>
      <c r="AO83" s="172"/>
      <c r="AP83" s="172"/>
      <c r="AQ83" s="172"/>
      <c r="AR83" s="172"/>
      <c r="AS83" s="172"/>
      <c r="AT83" s="172"/>
      <c r="AU83" s="172"/>
      <c r="AV83" s="555"/>
      <c r="AY83" s="3">
        <v>1</v>
      </c>
    </row>
    <row r="84" spans="2:51" ht="27" customHeight="1">
      <c r="B84" s="104" t="s">
        <v>16</v>
      </c>
      <c r="C84" s="157" t="str">
        <f>C16</f>
        <v>P PRESSÉ DE BOUDIN NOIR | | Auteur &gt; Guy KRENZE - Eric GODDYN - Arnaud NICOLAS - CEPROC 2002</v>
      </c>
      <c r="D84" s="157">
        <f>D16</f>
        <v>20</v>
      </c>
      <c r="E84" s="158" t="str">
        <f>E16</f>
        <v>pressés de boudin</v>
      </c>
      <c r="F84" s="159" t="str">
        <f>F16</f>
        <v>Recette mère ► le Boudin en 4 déclinaisons</v>
      </c>
      <c r="G84" s="172" t="s">
        <v>12911</v>
      </c>
      <c r="H84" s="172"/>
      <c r="I84" s="172"/>
      <c r="J84" s="172"/>
      <c r="K84" s="172"/>
      <c r="L84" s="172"/>
      <c r="M84" s="172"/>
      <c r="N84" s="172"/>
      <c r="O84" s="172"/>
      <c r="P84" s="555"/>
      <c r="R84" s="104" t="s">
        <v>16</v>
      </c>
      <c r="S84" s="157" t="str">
        <f>S16</f>
        <v>P PRESSED BLACK PUDDING TERRINE | |  Author &gt; Guy KRENZE - Eric GODDYN - Arnaud NICOLAS - CEPROC 2002</v>
      </c>
      <c r="T84" s="157">
        <f>T16</f>
        <v>20</v>
      </c>
      <c r="U84" s="158" t="str">
        <f>U16</f>
        <v>pressés de boudin</v>
      </c>
      <c r="V84" s="159" t="str">
        <f>V16</f>
        <v>Master recipe ► Black pudding in 4 variations</v>
      </c>
      <c r="W84" s="172" t="s">
        <v>13037</v>
      </c>
      <c r="X84" s="172"/>
      <c r="Y84" s="172"/>
      <c r="Z84" s="172"/>
      <c r="AA84" s="172"/>
      <c r="AB84" s="172"/>
      <c r="AC84" s="172"/>
      <c r="AD84" s="172"/>
      <c r="AE84" s="172"/>
      <c r="AF84" s="555"/>
      <c r="AH84" s="104" t="s">
        <v>16</v>
      </c>
      <c r="AI84" s="157" t="str">
        <f>AI16</f>
        <v>P PRENSADO DE MORCILLA (TERRINA) | | Autor &gt; Guy KRENZE - Eric GODDYN - Arnaud NICOLAS - CEPROC 2002</v>
      </c>
      <c r="AJ84" s="157">
        <f>AJ16</f>
        <v>20</v>
      </c>
      <c r="AK84" s="158" t="str">
        <f>AK16</f>
        <v>pressés de boudin</v>
      </c>
      <c r="AL84" s="159" t="str">
        <f>AL16</f>
        <v>Receta madre ► Morcilla en 4 versiones</v>
      </c>
      <c r="AM84" s="172" t="s">
        <v>13038</v>
      </c>
      <c r="AN84" s="172"/>
      <c r="AO84" s="172"/>
      <c r="AP84" s="172"/>
      <c r="AQ84" s="172"/>
      <c r="AR84" s="172"/>
      <c r="AS84" s="172"/>
      <c r="AT84" s="172"/>
      <c r="AU84" s="172"/>
      <c r="AV84" s="555"/>
      <c r="AY84" s="3">
        <v>1</v>
      </c>
    </row>
    <row r="85" spans="2:51" ht="27" customHeight="1">
      <c r="B85" s="104" t="str">
        <f>IF(OR(G85&lt;&gt;"",H85&lt;&gt; "",I85&lt;&gt;"",J85&lt;&gt;""),"A", "►")</f>
        <v>A</v>
      </c>
      <c r="C85" s="157" t="str">
        <f>C16</f>
        <v>P PRESSÉ DE BOUDIN NOIR | | Auteur &gt; Guy KRENZE - Eric GODDYN - Arnaud NICOLAS - CEPROC 2002</v>
      </c>
      <c r="D85" s="157">
        <f>D16</f>
        <v>20</v>
      </c>
      <c r="E85" s="158" t="str">
        <f>E16</f>
        <v>pressés de boudin</v>
      </c>
      <c r="F85" s="159" t="str">
        <f>F16</f>
        <v>Recette mère ► le Boudin en 4 déclinaisons</v>
      </c>
      <c r="G85" s="172" t="s">
        <v>12914</v>
      </c>
      <c r="H85" s="172"/>
      <c r="I85" s="172"/>
      <c r="J85" s="172"/>
      <c r="K85" s="172"/>
      <c r="L85" s="172"/>
      <c r="M85" s="172"/>
      <c r="N85" s="172"/>
      <c r="O85" s="172"/>
      <c r="P85" s="555"/>
      <c r="R85" s="104" t="str">
        <f>IF(OR(W85&lt;&gt;"",X85&lt;&gt; "",Y85&lt;&gt;"",Z85&lt;&gt;""),"A", "►")</f>
        <v>A</v>
      </c>
      <c r="S85" s="157" t="str">
        <f>S16</f>
        <v>P PRESSED BLACK PUDDING TERRINE | |  Author &gt; Guy KRENZE - Eric GODDYN - Arnaud NICOLAS - CEPROC 2002</v>
      </c>
      <c r="T85" s="157">
        <f>T16</f>
        <v>20</v>
      </c>
      <c r="U85" s="158" t="str">
        <f>U16</f>
        <v>pressés de boudin</v>
      </c>
      <c r="V85" s="159" t="str">
        <f>V16</f>
        <v>Master recipe ► Black pudding in 4 variations</v>
      </c>
      <c r="W85" s="172" t="s">
        <v>12915</v>
      </c>
      <c r="X85" s="172"/>
      <c r="Y85" s="172"/>
      <c r="Z85" s="172"/>
      <c r="AA85" s="172"/>
      <c r="AB85" s="172"/>
      <c r="AC85" s="172"/>
      <c r="AD85" s="172"/>
      <c r="AE85" s="172"/>
      <c r="AF85" s="555"/>
      <c r="AH85" s="104" t="str">
        <f>IF(OR(AM85&lt;&gt;"",AN85&lt;&gt; "",AO85&lt;&gt;"",AP85&lt;&gt;""),"A", "►")</f>
        <v>A</v>
      </c>
      <c r="AI85" s="157" t="str">
        <f>AI16</f>
        <v>P PRENSADO DE MORCILLA (TERRINA) | | Autor &gt; Guy KRENZE - Eric GODDYN - Arnaud NICOLAS - CEPROC 2002</v>
      </c>
      <c r="AJ85" s="157">
        <f>AJ16</f>
        <v>20</v>
      </c>
      <c r="AK85" s="158" t="str">
        <f>AK16</f>
        <v>pressés de boudin</v>
      </c>
      <c r="AL85" s="159" t="str">
        <f>AL16</f>
        <v>Receta madre ► Morcilla en 4 versiones</v>
      </c>
      <c r="AM85" s="172" t="s">
        <v>12916</v>
      </c>
      <c r="AN85" s="172"/>
      <c r="AO85" s="172"/>
      <c r="AP85" s="172"/>
      <c r="AQ85" s="172"/>
      <c r="AR85" s="172"/>
      <c r="AS85" s="172"/>
      <c r="AT85" s="172"/>
      <c r="AU85" s="172"/>
      <c r="AV85" s="555"/>
      <c r="AY85" s="3">
        <v>1</v>
      </c>
    </row>
    <row r="86" spans="2:51" ht="27" customHeight="1">
      <c r="B86" s="104" t="str">
        <f>IF(OR(G86&lt;&gt;"",H86&lt;&gt; "",I86&lt;&gt;"",J86&lt;&gt;""),"A", "►")</f>
        <v>►</v>
      </c>
      <c r="C86" s="157" t="str">
        <f>C16</f>
        <v>P PRESSÉ DE BOUDIN NOIR | | Auteur &gt; Guy KRENZE - Eric GODDYN - Arnaud NICOLAS - CEPROC 2002</v>
      </c>
      <c r="D86" s="157">
        <f>D16</f>
        <v>20</v>
      </c>
      <c r="E86" s="158" t="str">
        <f>E16</f>
        <v>pressés de boudin</v>
      </c>
      <c r="F86" s="159" t="str">
        <f>F16</f>
        <v>Recette mère ► le Boudin en 4 déclinaisons</v>
      </c>
      <c r="G86" s="172"/>
      <c r="H86" s="172"/>
      <c r="I86" s="172"/>
      <c r="J86" s="172"/>
      <c r="K86" s="172"/>
      <c r="L86" s="172"/>
      <c r="M86" s="172"/>
      <c r="N86" s="172"/>
      <c r="O86" s="172"/>
      <c r="P86" s="555"/>
      <c r="R86" s="104" t="str">
        <f>IF(OR(W86&lt;&gt;"",X86&lt;&gt; "",Y86&lt;&gt;"",Z86&lt;&gt;""),"A", "►")</f>
        <v>►</v>
      </c>
      <c r="S86" s="157" t="str">
        <f>S16</f>
        <v>P PRESSED BLACK PUDDING TERRINE | |  Author &gt; Guy KRENZE - Eric GODDYN - Arnaud NICOLAS - CEPROC 2002</v>
      </c>
      <c r="T86" s="157">
        <f>T16</f>
        <v>20</v>
      </c>
      <c r="U86" s="158" t="str">
        <f>U16</f>
        <v>pressés de boudin</v>
      </c>
      <c r="V86" s="159" t="str">
        <f>V16</f>
        <v>Master recipe ► Black pudding in 4 variations</v>
      </c>
      <c r="W86" s="172"/>
      <c r="X86" s="172"/>
      <c r="Y86" s="172"/>
      <c r="Z86" s="172"/>
      <c r="AA86" s="172"/>
      <c r="AB86" s="172"/>
      <c r="AC86" s="172"/>
      <c r="AD86" s="172"/>
      <c r="AE86" s="172"/>
      <c r="AF86" s="555"/>
      <c r="AH86" s="104" t="str">
        <f>IF(OR(AM86&lt;&gt;"",AN86&lt;&gt; "",AO86&lt;&gt;"",AP86&lt;&gt;""),"A", "►")</f>
        <v>►</v>
      </c>
      <c r="AI86" s="157" t="str">
        <f>AI16</f>
        <v>P PRENSADO DE MORCILLA (TERRINA) | | Autor &gt; Guy KRENZE - Eric GODDYN - Arnaud NICOLAS - CEPROC 2002</v>
      </c>
      <c r="AJ86" s="157">
        <f>AJ16</f>
        <v>20</v>
      </c>
      <c r="AK86" s="158" t="str">
        <f>AK16</f>
        <v>pressés de boudin</v>
      </c>
      <c r="AL86" s="159" t="str">
        <f>AL16</f>
        <v>Receta madre ► Morcilla en 4 versiones</v>
      </c>
      <c r="AM86" s="172"/>
      <c r="AN86" s="172"/>
      <c r="AO86" s="172"/>
      <c r="AP86" s="172"/>
      <c r="AQ86" s="172"/>
      <c r="AR86" s="172"/>
      <c r="AS86" s="172"/>
      <c r="AT86" s="172"/>
      <c r="AU86" s="172"/>
      <c r="AV86" s="555"/>
      <c r="AY86" s="3">
        <v>1</v>
      </c>
    </row>
    <row r="87" spans="2:51" ht="27" customHeight="1">
      <c r="B87" s="104" t="str">
        <f>IF(OR(G87&lt;&gt;"",H87&lt;&gt; "",I87&lt;&gt;"",J87&lt;&gt;""),"A", "►")</f>
        <v>►</v>
      </c>
      <c r="C87" s="157" t="str">
        <f>C16</f>
        <v>P PRESSÉ DE BOUDIN NOIR | | Auteur &gt; Guy KRENZE - Eric GODDYN - Arnaud NICOLAS - CEPROC 2002</v>
      </c>
      <c r="D87" s="157">
        <f>D16</f>
        <v>20</v>
      </c>
      <c r="E87" s="158" t="str">
        <f>E16</f>
        <v>pressés de boudin</v>
      </c>
      <c r="F87" s="159" t="str">
        <f>F16</f>
        <v>Recette mère ► le Boudin en 4 déclinaisons</v>
      </c>
      <c r="G87" s="172"/>
      <c r="H87" s="172"/>
      <c r="I87" s="172"/>
      <c r="J87" s="172"/>
      <c r="K87" s="172"/>
      <c r="L87" s="172"/>
      <c r="M87" s="172"/>
      <c r="N87" s="172"/>
      <c r="O87" s="172"/>
      <c r="P87" s="555"/>
      <c r="R87" s="104" t="str">
        <f>IF(OR(W87&lt;&gt;"",X87&lt;&gt; "",Y87&lt;&gt;"",Z87&lt;&gt;""),"A", "►")</f>
        <v>►</v>
      </c>
      <c r="S87" s="157" t="str">
        <f>S16</f>
        <v>P PRESSED BLACK PUDDING TERRINE | |  Author &gt; Guy KRENZE - Eric GODDYN - Arnaud NICOLAS - CEPROC 2002</v>
      </c>
      <c r="T87" s="157">
        <f>T16</f>
        <v>20</v>
      </c>
      <c r="U87" s="158" t="str">
        <f>U16</f>
        <v>pressés de boudin</v>
      </c>
      <c r="V87" s="159" t="str">
        <f>V16</f>
        <v>Master recipe ► Black pudding in 4 variations</v>
      </c>
      <c r="W87" s="172"/>
      <c r="X87" s="172"/>
      <c r="Y87" s="172"/>
      <c r="Z87" s="172"/>
      <c r="AA87" s="172"/>
      <c r="AB87" s="172"/>
      <c r="AC87" s="172"/>
      <c r="AD87" s="172"/>
      <c r="AE87" s="172"/>
      <c r="AF87" s="555"/>
      <c r="AH87" s="104" t="str">
        <f>IF(OR(AM87&lt;&gt;"",AN87&lt;&gt; "",AO87&lt;&gt;"",AP87&lt;&gt;""),"A", "►")</f>
        <v>►</v>
      </c>
      <c r="AI87" s="157" t="str">
        <f>AI16</f>
        <v>P PRENSADO DE MORCILLA (TERRINA) | | Autor &gt; Guy KRENZE - Eric GODDYN - Arnaud NICOLAS - CEPROC 2002</v>
      </c>
      <c r="AJ87" s="157">
        <f>AJ16</f>
        <v>20</v>
      </c>
      <c r="AK87" s="158" t="str">
        <f>AK16</f>
        <v>pressés de boudin</v>
      </c>
      <c r="AL87" s="159" t="str">
        <f>AL16</f>
        <v>Receta madre ► Morcilla en 4 versiones</v>
      </c>
      <c r="AM87" s="172"/>
      <c r="AN87" s="172"/>
      <c r="AO87" s="172"/>
      <c r="AP87" s="172"/>
      <c r="AQ87" s="172"/>
      <c r="AR87" s="172"/>
      <c r="AS87" s="172"/>
      <c r="AT87" s="172"/>
      <c r="AU87" s="172"/>
      <c r="AV87" s="555"/>
      <c r="AY87" s="3">
        <v>1</v>
      </c>
    </row>
    <row r="88" spans="2:51" ht="27" customHeight="1">
      <c r="B88" s="104" t="str">
        <f>IF(OR(G88&lt;&gt;"",H88&lt;&gt; "",I88&lt;&gt;"",J88&lt;&gt;""),"A", "►")</f>
        <v>A</v>
      </c>
      <c r="C88" s="157" t="str">
        <f>C16</f>
        <v>P PRESSÉ DE BOUDIN NOIR | | Auteur &gt; Guy KRENZE - Eric GODDYN - Arnaud NICOLAS - CEPROC 2002</v>
      </c>
      <c r="D88" s="157">
        <f>D16</f>
        <v>20</v>
      </c>
      <c r="E88" s="158" t="str">
        <f>E16</f>
        <v>pressés de boudin</v>
      </c>
      <c r="F88" s="159" t="str">
        <f>F16</f>
        <v>Recette mère ► le Boudin en 4 déclinaisons</v>
      </c>
      <c r="G88" s="172" t="s">
        <v>13039</v>
      </c>
      <c r="H88" s="172"/>
      <c r="I88" s="172"/>
      <c r="J88" s="172"/>
      <c r="K88" s="172"/>
      <c r="L88" s="172"/>
      <c r="M88" s="172"/>
      <c r="N88" s="172"/>
      <c r="O88" s="172"/>
      <c r="P88" s="555"/>
      <c r="R88" s="104" t="str">
        <f>IF(OR(W88&lt;&gt;"",X88&lt;&gt; "",Y88&lt;&gt;"",Z88&lt;&gt;""),"A", "►")</f>
        <v>A</v>
      </c>
      <c r="S88" s="157" t="str">
        <f>S16</f>
        <v>P PRESSED BLACK PUDDING TERRINE | |  Author &gt; Guy KRENZE - Eric GODDYN - Arnaud NICOLAS - CEPROC 2002</v>
      </c>
      <c r="T88" s="157">
        <f>T16</f>
        <v>20</v>
      </c>
      <c r="U88" s="158" t="str">
        <f>U16</f>
        <v>pressés de boudin</v>
      </c>
      <c r="V88" s="159" t="str">
        <f>V16</f>
        <v>Master recipe ► Black pudding in 4 variations</v>
      </c>
      <c r="W88" s="172" t="s">
        <v>13039</v>
      </c>
      <c r="X88" s="172"/>
      <c r="Y88" s="172"/>
      <c r="Z88" s="172"/>
      <c r="AA88" s="172"/>
      <c r="AB88" s="172"/>
      <c r="AC88" s="172"/>
      <c r="AD88" s="172"/>
      <c r="AE88" s="172"/>
      <c r="AF88" s="555"/>
      <c r="AH88" s="104" t="str">
        <f>IF(OR(AM88&lt;&gt;"",AN88&lt;&gt; "",AO88&lt;&gt;"",AP88&lt;&gt;""),"A", "►")</f>
        <v>A</v>
      </c>
      <c r="AI88" s="157" t="str">
        <f>AI16</f>
        <v>P PRENSADO DE MORCILLA (TERRINA) | | Autor &gt; Guy KRENZE - Eric GODDYN - Arnaud NICOLAS - CEPROC 2002</v>
      </c>
      <c r="AJ88" s="157">
        <f>AJ16</f>
        <v>20</v>
      </c>
      <c r="AK88" s="158" t="str">
        <f>AK16</f>
        <v>pressés de boudin</v>
      </c>
      <c r="AL88" s="159" t="str">
        <f>AL16</f>
        <v>Receta madre ► Morcilla en 4 versiones</v>
      </c>
      <c r="AM88" s="172" t="s">
        <v>13039</v>
      </c>
      <c r="AN88" s="172"/>
      <c r="AO88" s="172"/>
      <c r="AP88" s="172"/>
      <c r="AQ88" s="172"/>
      <c r="AR88" s="172"/>
      <c r="AS88" s="172"/>
      <c r="AT88" s="172"/>
      <c r="AU88" s="172"/>
      <c r="AV88" s="555"/>
      <c r="AY88" s="3">
        <v>1</v>
      </c>
    </row>
    <row r="89" spans="2:51" ht="27" customHeight="1">
      <c r="B89" s="196" t="s">
        <v>16</v>
      </c>
      <c r="C89" s="157" t="str">
        <f>C16</f>
        <v>P PRESSÉ DE BOUDIN NOIR | | Auteur &gt; Guy KRENZE - Eric GODDYN - Arnaud NICOLAS - CEPROC 2002</v>
      </c>
      <c r="D89" s="157">
        <f>D16</f>
        <v>20</v>
      </c>
      <c r="E89" s="158" t="str">
        <f>E16</f>
        <v>pressés de boudin</v>
      </c>
      <c r="F89" s="159" t="str">
        <f>F16</f>
        <v>Recette mère ► le Boudin en 4 déclinaisons</v>
      </c>
      <c r="G89" s="172"/>
      <c r="H89" s="172"/>
      <c r="I89" s="172"/>
      <c r="J89" s="172"/>
      <c r="K89" s="172"/>
      <c r="L89" s="172"/>
      <c r="M89" s="172"/>
      <c r="N89" s="172"/>
      <c r="O89" s="172"/>
      <c r="P89" s="555"/>
      <c r="R89" s="196" t="s">
        <v>16</v>
      </c>
      <c r="S89" s="157" t="str">
        <f>S16</f>
        <v>P PRESSED BLACK PUDDING TERRINE | |  Author &gt; Guy KRENZE - Eric GODDYN - Arnaud NICOLAS - CEPROC 2002</v>
      </c>
      <c r="T89" s="157">
        <f>T16</f>
        <v>20</v>
      </c>
      <c r="U89" s="158" t="str">
        <f>U16</f>
        <v>pressés de boudin</v>
      </c>
      <c r="V89" s="159" t="str">
        <f>V16</f>
        <v>Master recipe ► Black pudding in 4 variations</v>
      </c>
      <c r="W89" s="172"/>
      <c r="X89" s="172"/>
      <c r="Y89" s="172"/>
      <c r="Z89" s="172"/>
      <c r="AA89" s="172"/>
      <c r="AB89" s="172"/>
      <c r="AC89" s="172"/>
      <c r="AD89" s="172"/>
      <c r="AE89" s="172"/>
      <c r="AF89" s="555"/>
      <c r="AH89" s="196" t="s">
        <v>16</v>
      </c>
      <c r="AI89" s="157" t="str">
        <f>AI16</f>
        <v>P PRENSADO DE MORCILLA (TERRINA) | | Autor &gt; Guy KRENZE - Eric GODDYN - Arnaud NICOLAS - CEPROC 2002</v>
      </c>
      <c r="AJ89" s="157">
        <f>AJ16</f>
        <v>20</v>
      </c>
      <c r="AK89" s="158" t="str">
        <f>AK16</f>
        <v>pressés de boudin</v>
      </c>
      <c r="AL89" s="159" t="str">
        <f>AL16</f>
        <v>Receta madre ► Morcilla en 4 versiones</v>
      </c>
      <c r="AM89" s="172"/>
      <c r="AN89" s="172"/>
      <c r="AO89" s="172"/>
      <c r="AP89" s="172"/>
      <c r="AQ89" s="172"/>
      <c r="AR89" s="172"/>
      <c r="AS89" s="172"/>
      <c r="AT89" s="172"/>
      <c r="AU89" s="172"/>
      <c r="AV89" s="555"/>
      <c r="AY89" s="3">
        <v>1</v>
      </c>
    </row>
    <row r="90" spans="2:51" ht="27" customHeight="1">
      <c r="B90" s="196" t="s">
        <v>11</v>
      </c>
      <c r="C90" s="157" t="str">
        <f>C16</f>
        <v>P PRESSÉ DE BOUDIN NOIR | | Auteur &gt; Guy KRENZE - Eric GODDYN - Arnaud NICOLAS - CEPROC 2002</v>
      </c>
      <c r="D90" s="157">
        <f>D16</f>
        <v>20</v>
      </c>
      <c r="E90" s="158" t="str">
        <f>E16</f>
        <v>pressés de boudin</v>
      </c>
      <c r="F90" s="159" t="str">
        <f>F16</f>
        <v>Recette mère ► le Boudin en 4 déclinaisons</v>
      </c>
      <c r="G90" s="172"/>
      <c r="H90" s="172"/>
      <c r="I90" s="172"/>
      <c r="J90" s="172"/>
      <c r="K90" s="172"/>
      <c r="L90" s="172"/>
      <c r="M90" s="172"/>
      <c r="N90" s="172"/>
      <c r="O90" s="172"/>
      <c r="P90" s="555"/>
      <c r="R90" s="196" t="s">
        <v>11</v>
      </c>
      <c r="S90" s="157" t="str">
        <f>S16</f>
        <v>P PRESSED BLACK PUDDING TERRINE | |  Author &gt; Guy KRENZE - Eric GODDYN - Arnaud NICOLAS - CEPROC 2002</v>
      </c>
      <c r="T90" s="157">
        <f>T16</f>
        <v>20</v>
      </c>
      <c r="U90" s="158" t="str">
        <f>U16</f>
        <v>pressés de boudin</v>
      </c>
      <c r="V90" s="159" t="str">
        <f>V16</f>
        <v>Master recipe ► Black pudding in 4 variations</v>
      </c>
      <c r="W90" s="172"/>
      <c r="X90" s="172"/>
      <c r="Y90" s="172"/>
      <c r="Z90" s="172"/>
      <c r="AA90" s="172"/>
      <c r="AB90" s="172"/>
      <c r="AC90" s="172"/>
      <c r="AD90" s="172"/>
      <c r="AE90" s="172"/>
      <c r="AF90" s="555"/>
      <c r="AH90" s="196" t="s">
        <v>11</v>
      </c>
      <c r="AI90" s="157" t="str">
        <f>AI16</f>
        <v>P PRENSADO DE MORCILLA (TERRINA) | | Autor &gt; Guy KRENZE - Eric GODDYN - Arnaud NICOLAS - CEPROC 2002</v>
      </c>
      <c r="AJ90" s="157">
        <f>AJ16</f>
        <v>20</v>
      </c>
      <c r="AK90" s="158" t="str">
        <f>AK16</f>
        <v>pressés de boudin</v>
      </c>
      <c r="AL90" s="159" t="str">
        <f>AL16</f>
        <v>Receta madre ► Morcilla en 4 versiones</v>
      </c>
      <c r="AM90" s="172"/>
      <c r="AN90" s="172"/>
      <c r="AO90" s="172"/>
      <c r="AP90" s="172"/>
      <c r="AQ90" s="172"/>
      <c r="AR90" s="172"/>
      <c r="AS90" s="172"/>
      <c r="AT90" s="172"/>
      <c r="AU90" s="172"/>
      <c r="AV90" s="555"/>
      <c r="AY90" s="3">
        <v>1</v>
      </c>
    </row>
    <row r="91" spans="2:51" ht="27" customHeight="1">
      <c r="B91" s="196" t="s">
        <v>11</v>
      </c>
      <c r="C91" s="157" t="str">
        <f>C16</f>
        <v>P PRESSÉ DE BOUDIN NOIR | | Auteur &gt; Guy KRENZE - Eric GODDYN - Arnaud NICOLAS - CEPROC 2002</v>
      </c>
      <c r="D91" s="157">
        <f>D16</f>
        <v>20</v>
      </c>
      <c r="E91" s="158" t="str">
        <f>E16</f>
        <v>pressés de boudin</v>
      </c>
      <c r="F91" s="159" t="str">
        <f>F16</f>
        <v>Recette mère ► le Boudin en 4 déclinaisons</v>
      </c>
      <c r="G91" s="167"/>
      <c r="H91" s="172"/>
      <c r="I91" s="172"/>
      <c r="J91" s="172"/>
      <c r="K91" s="172"/>
      <c r="L91" s="172"/>
      <c r="M91" s="172"/>
      <c r="N91" s="172"/>
      <c r="O91" s="172"/>
      <c r="P91" s="1485" t="s">
        <v>197</v>
      </c>
      <c r="R91" s="196" t="s">
        <v>11</v>
      </c>
      <c r="S91" s="157" t="str">
        <f>S16</f>
        <v>P PRESSED BLACK PUDDING TERRINE | |  Author &gt; Guy KRENZE - Eric GODDYN - Arnaud NICOLAS - CEPROC 2002</v>
      </c>
      <c r="T91" s="157">
        <f>T16</f>
        <v>20</v>
      </c>
      <c r="U91" s="158" t="str">
        <f>U16</f>
        <v>pressés de boudin</v>
      </c>
      <c r="V91" s="159" t="str">
        <f>V16</f>
        <v>Master recipe ► Black pudding in 4 variations</v>
      </c>
      <c r="W91" s="167"/>
      <c r="X91" s="172"/>
      <c r="Y91" s="172"/>
      <c r="Z91" s="172"/>
      <c r="AA91" s="172"/>
      <c r="AB91" s="172"/>
      <c r="AC91" s="172"/>
      <c r="AD91" s="172"/>
      <c r="AE91" s="172"/>
      <c r="AF91" s="1486" t="s">
        <v>899</v>
      </c>
      <c r="AH91" s="196" t="s">
        <v>11</v>
      </c>
      <c r="AI91" s="157" t="str">
        <f>AI16</f>
        <v>P PRENSADO DE MORCILLA (TERRINA) | | Autor &gt; Guy KRENZE - Eric GODDYN - Arnaud NICOLAS - CEPROC 2002</v>
      </c>
      <c r="AJ91" s="157">
        <f>AJ16</f>
        <v>20</v>
      </c>
      <c r="AK91" s="158" t="str">
        <f>AK16</f>
        <v>pressés de boudin</v>
      </c>
      <c r="AL91" s="159" t="str">
        <f>AL16</f>
        <v>Receta madre ► Morcilla en 4 versiones</v>
      </c>
      <c r="AM91" s="167"/>
      <c r="AN91" s="172"/>
      <c r="AO91" s="172"/>
      <c r="AP91" s="172"/>
      <c r="AQ91" s="172"/>
      <c r="AR91" s="172"/>
      <c r="AS91" s="172"/>
      <c r="AT91" s="172"/>
      <c r="AU91" s="172"/>
      <c r="AV91" s="1486" t="s">
        <v>913</v>
      </c>
      <c r="AY91" s="3">
        <v>1</v>
      </c>
    </row>
    <row r="92" spans="2:51" ht="27" customHeight="1">
      <c r="B92" s="196" t="s">
        <v>11</v>
      </c>
      <c r="C92" s="157" t="str">
        <f>C16</f>
        <v>P PRESSÉ DE BOUDIN NOIR | | Auteur &gt; Guy KRENZE - Eric GODDYN - Arnaud NICOLAS - CEPROC 2002</v>
      </c>
      <c r="D92" s="157">
        <f>D16</f>
        <v>20</v>
      </c>
      <c r="E92" s="158" t="str">
        <f>E16</f>
        <v>pressés de boudin</v>
      </c>
      <c r="F92" s="159" t="str">
        <f>F16</f>
        <v>Recette mère ► le Boudin en 4 déclinaisons</v>
      </c>
      <c r="G92" s="204"/>
      <c r="H92" s="204"/>
      <c r="I92" s="204" t="s">
        <v>201</v>
      </c>
      <c r="J92" s="205"/>
      <c r="K92" s="206"/>
      <c r="L92" s="206"/>
      <c r="M92" s="206"/>
      <c r="N92" s="206"/>
      <c r="O92" s="206"/>
      <c r="P92" s="567"/>
      <c r="R92" s="196" t="s">
        <v>11</v>
      </c>
      <c r="S92" s="157" t="str">
        <f>S16</f>
        <v>P PRESSED BLACK PUDDING TERRINE | |  Author &gt; Guy KRENZE - Eric GODDYN - Arnaud NICOLAS - CEPROC 2002</v>
      </c>
      <c r="T92" s="157">
        <f>T16</f>
        <v>20</v>
      </c>
      <c r="U92" s="158" t="str">
        <f>U16</f>
        <v>pressés de boudin</v>
      </c>
      <c r="V92" s="159" t="str">
        <f>V16</f>
        <v>Master recipe ► Black pudding in 4 variations</v>
      </c>
      <c r="W92" s="204"/>
      <c r="X92" s="204"/>
      <c r="Y92" s="204" t="s">
        <v>661</v>
      </c>
      <c r="Z92" s="205"/>
      <c r="AA92" s="206"/>
      <c r="AB92" s="206"/>
      <c r="AC92" s="206"/>
      <c r="AD92" s="206"/>
      <c r="AE92" s="206"/>
      <c r="AF92" s="567"/>
      <c r="AH92" s="196" t="s">
        <v>11</v>
      </c>
      <c r="AI92" s="157" t="str">
        <f>AI16</f>
        <v>P PRENSADO DE MORCILLA (TERRINA) | | Autor &gt; Guy KRENZE - Eric GODDYN - Arnaud NICOLAS - CEPROC 2002</v>
      </c>
      <c r="AJ92" s="157">
        <f>AJ16</f>
        <v>20</v>
      </c>
      <c r="AK92" s="158" t="str">
        <f>AK16</f>
        <v>pressés de boudin</v>
      </c>
      <c r="AL92" s="159" t="str">
        <f>AL16</f>
        <v>Receta madre ► Morcilla en 4 versiones</v>
      </c>
      <c r="AM92" s="204"/>
      <c r="AN92" s="204"/>
      <c r="AO92" s="204" t="s">
        <v>915</v>
      </c>
      <c r="AP92" s="205"/>
      <c r="AQ92" s="206"/>
      <c r="AR92" s="206"/>
      <c r="AS92" s="206"/>
      <c r="AT92" s="206"/>
      <c r="AU92" s="206"/>
      <c r="AV92" s="567"/>
      <c r="AY92" s="3">
        <v>1</v>
      </c>
    </row>
    <row r="93" spans="2:51" ht="27" customHeight="1">
      <c r="B93" s="196" t="s">
        <v>11</v>
      </c>
      <c r="C93" s="209" t="str">
        <f>C16</f>
        <v>P PRESSÉ DE BOUDIN NOIR | | Auteur &gt; Guy KRENZE - Eric GODDYN - Arnaud NICOLAS - CEPROC 2002</v>
      </c>
      <c r="D93" s="209">
        <f>D16</f>
        <v>20</v>
      </c>
      <c r="E93" s="210" t="str">
        <f>E16</f>
        <v>pressés de boudin</v>
      </c>
      <c r="F93" s="211" t="str">
        <f>F16</f>
        <v>Recette mère ► le Boudin en 4 déclinaisons</v>
      </c>
      <c r="G93" s="212"/>
      <c r="H93" s="213"/>
      <c r="I93" s="214"/>
      <c r="J93" s="215"/>
      <c r="K93" s="214"/>
      <c r="L93" s="214"/>
      <c r="M93" s="214"/>
      <c r="N93" s="214"/>
      <c r="O93" s="214"/>
      <c r="P93" s="582"/>
      <c r="R93" s="196" t="s">
        <v>11</v>
      </c>
      <c r="S93" s="209" t="str">
        <f>S16</f>
        <v>P PRESSED BLACK PUDDING TERRINE | |  Author &gt; Guy KRENZE - Eric GODDYN - Arnaud NICOLAS - CEPROC 2002</v>
      </c>
      <c r="T93" s="209">
        <f>T16</f>
        <v>20</v>
      </c>
      <c r="U93" s="210" t="str">
        <f>U16</f>
        <v>pressés de boudin</v>
      </c>
      <c r="V93" s="211" t="str">
        <f>V16</f>
        <v>Master recipe ► Black pudding in 4 variations</v>
      </c>
      <c r="W93" s="212"/>
      <c r="X93" s="213"/>
      <c r="Y93" s="214"/>
      <c r="Z93" s="215"/>
      <c r="AA93" s="214"/>
      <c r="AB93" s="214"/>
      <c r="AC93" s="214"/>
      <c r="AD93" s="214"/>
      <c r="AE93" s="214"/>
      <c r="AF93" s="582"/>
      <c r="AH93" s="196" t="s">
        <v>11</v>
      </c>
      <c r="AI93" s="209" t="str">
        <f>AI16</f>
        <v>P PRENSADO DE MORCILLA (TERRINA) | | Autor &gt; Guy KRENZE - Eric GODDYN - Arnaud NICOLAS - CEPROC 2002</v>
      </c>
      <c r="AJ93" s="209">
        <f>AJ16</f>
        <v>20</v>
      </c>
      <c r="AK93" s="210" t="str">
        <f>AK16</f>
        <v>pressés de boudin</v>
      </c>
      <c r="AL93" s="211" t="str">
        <f>AL16</f>
        <v>Receta madre ► Morcilla en 4 versiones</v>
      </c>
      <c r="AM93" s="212"/>
      <c r="AN93" s="213"/>
      <c r="AO93" s="214"/>
      <c r="AP93" s="215"/>
      <c r="AQ93" s="214"/>
      <c r="AR93" s="214"/>
      <c r="AS93" s="214"/>
      <c r="AT93" s="214"/>
      <c r="AU93" s="214"/>
      <c r="AV93" s="582"/>
      <c r="AY93" s="3">
        <v>1</v>
      </c>
    </row>
    <row r="94" spans="2:51" ht="27" customHeight="1" thickBot="1">
      <c r="B94" s="216" t="s">
        <v>11</v>
      </c>
      <c r="C94" s="217"/>
      <c r="D94" s="217"/>
      <c r="E94" s="217"/>
      <c r="F94" s="218"/>
      <c r="G94" s="219" t="s">
        <v>208</v>
      </c>
      <c r="H94" s="1481" t="str">
        <f ca="1">CELL("nomfichier")</f>
        <v>D:\Données\1.UPRT\0-UPRT.fait\1-UPRT.FR-SITE-WEB\ff-fiches-fabrications\ff.fiches.fabrication.2023\ffr.restaurant.2023\[ff.FICHE.TRILINGUE.15.COLONNES.29.11.2025.xlsx]Notice.utilisateur</v>
      </c>
      <c r="I94" s="220"/>
      <c r="J94" s="220"/>
      <c r="K94" s="220"/>
      <c r="L94" s="220"/>
      <c r="M94" s="220"/>
      <c r="N94" s="220"/>
      <c r="O94" s="220"/>
      <c r="P94" s="221"/>
      <c r="R94" s="216" t="s">
        <v>11</v>
      </c>
      <c r="S94" s="217"/>
      <c r="T94" s="217"/>
      <c r="U94" s="217"/>
      <c r="V94" s="218"/>
      <c r="W94" s="219" t="s">
        <v>208</v>
      </c>
      <c r="X94" s="1481" t="str">
        <f ca="1">CELL("nomfichier")</f>
        <v>D:\Données\1.UPRT\0-UPRT.fait\1-UPRT.FR-SITE-WEB\ff-fiches-fabrications\ff.fiches.fabrication.2023\ffr.restaurant.2023\[ff.FICHE.TRILINGUE.15.COLONNES.29.11.2025.xlsx]Notice.utilisateur</v>
      </c>
      <c r="Y94" s="220"/>
      <c r="Z94" s="220"/>
      <c r="AA94" s="220"/>
      <c r="AB94" s="220"/>
      <c r="AC94" s="220"/>
      <c r="AD94" s="220"/>
      <c r="AE94" s="220"/>
      <c r="AF94" s="221"/>
      <c r="AH94" s="216" t="s">
        <v>11</v>
      </c>
      <c r="AI94" s="217"/>
      <c r="AJ94" s="217"/>
      <c r="AK94" s="217"/>
      <c r="AL94" s="218"/>
      <c r="AM94" s="219" t="s">
        <v>208</v>
      </c>
      <c r="AN94" s="1481" t="str">
        <f ca="1">CELL("nomfichier")</f>
        <v>D:\Données\1.UPRT\0-UPRT.fait\1-UPRT.FR-SITE-WEB\ff-fiches-fabrications\ff.fiches.fabrication.2023\ffr.restaurant.2023\[ff.FICHE.TRILINGUE.15.COLONNES.29.11.2025.xlsx]Notice.utilisateur</v>
      </c>
      <c r="AO94" s="220"/>
      <c r="AP94" s="220"/>
      <c r="AQ94" s="220"/>
      <c r="AR94" s="220"/>
      <c r="AS94" s="220"/>
      <c r="AT94" s="220"/>
      <c r="AU94" s="220"/>
      <c r="AV94" s="221"/>
      <c r="AY94" s="3">
        <v>1</v>
      </c>
    </row>
    <row r="95" spans="2:51" ht="27" customHeight="1" thickBot="1">
      <c r="B95" s="1478" t="s">
        <v>11</v>
      </c>
      <c r="C95" s="1479" t="s">
        <v>11</v>
      </c>
      <c r="D95" s="1479" t="s">
        <v>11</v>
      </c>
      <c r="E95" s="1479" t="s">
        <v>11</v>
      </c>
      <c r="F95" s="1479" t="s">
        <v>11</v>
      </c>
      <c r="G95" s="1480" t="s">
        <v>2613</v>
      </c>
      <c r="H95" s="1140"/>
      <c r="I95" s="1141"/>
      <c r="J95" s="1142"/>
      <c r="K95" s="1143"/>
      <c r="L95" s="1144"/>
      <c r="M95" s="1145"/>
      <c r="N95" s="1145"/>
      <c r="O95" s="1146"/>
      <c r="P95" s="1147"/>
      <c r="R95" s="1478" t="s">
        <v>11</v>
      </c>
      <c r="S95" s="1479" t="s">
        <v>11</v>
      </c>
      <c r="T95" s="1479" t="s">
        <v>11</v>
      </c>
      <c r="U95" s="1479" t="s">
        <v>11</v>
      </c>
      <c r="V95" s="1479" t="s">
        <v>11</v>
      </c>
      <c r="W95" s="1480" t="s">
        <v>2613</v>
      </c>
      <c r="X95" s="1140"/>
      <c r="Y95" s="1141"/>
      <c r="Z95" s="1142"/>
      <c r="AA95" s="1143"/>
      <c r="AB95" s="1144"/>
      <c r="AC95" s="1145"/>
      <c r="AD95" s="1145"/>
      <c r="AE95" s="1146"/>
      <c r="AF95" s="1147"/>
      <c r="AH95" s="1478" t="s">
        <v>11</v>
      </c>
      <c r="AI95" s="1479" t="s">
        <v>11</v>
      </c>
      <c r="AJ95" s="1479" t="s">
        <v>11</v>
      </c>
      <c r="AK95" s="1479" t="s">
        <v>11</v>
      </c>
      <c r="AL95" s="1479" t="s">
        <v>11</v>
      </c>
      <c r="AM95" s="1480" t="s">
        <v>2613</v>
      </c>
      <c r="AN95" s="1140"/>
      <c r="AO95" s="1141"/>
      <c r="AP95" s="1142"/>
      <c r="AQ95" s="1143"/>
      <c r="AR95" s="1144"/>
      <c r="AS95" s="1145"/>
      <c r="AT95" s="1145"/>
      <c r="AU95" s="1146"/>
      <c r="AV95" s="1147"/>
      <c r="AY95" s="3">
        <v>1</v>
      </c>
    </row>
    <row r="96" spans="2:51" ht="27" customHeight="1">
      <c r="B96" s="104"/>
      <c r="C96" s="1172"/>
      <c r="D96" s="1172"/>
      <c r="E96" s="1172"/>
      <c r="F96" s="1173"/>
      <c r="G96" s="1174"/>
      <c r="H96" s="1175"/>
      <c r="I96" s="1176"/>
      <c r="J96" s="1177"/>
      <c r="K96" s="1547"/>
      <c r="L96" s="1177"/>
      <c r="M96" s="1548"/>
      <c r="N96" s="1549"/>
      <c r="O96" s="1178"/>
      <c r="P96" s="1179"/>
      <c r="Q96" s="1171"/>
      <c r="R96" s="104"/>
      <c r="S96" s="1172"/>
      <c r="T96" s="1172"/>
      <c r="U96" s="1172"/>
      <c r="V96" s="1173"/>
      <c r="W96" s="1174"/>
      <c r="X96" s="1175"/>
      <c r="Y96" s="1176"/>
      <c r="Z96" s="1177"/>
      <c r="AA96" s="1547"/>
      <c r="AB96" s="1177"/>
      <c r="AC96" s="1548"/>
      <c r="AD96" s="1549"/>
      <c r="AE96" s="1178"/>
      <c r="AF96" s="1179"/>
      <c r="AG96" s="1171"/>
      <c r="AH96" s="104"/>
      <c r="AI96" s="1172"/>
      <c r="AJ96" s="1172"/>
      <c r="AK96" s="1172"/>
      <c r="AL96" s="1173"/>
      <c r="AM96" s="1174"/>
      <c r="AN96" s="1175"/>
      <c r="AO96" s="1176"/>
      <c r="AP96" s="1177"/>
      <c r="AQ96" s="1547"/>
      <c r="AR96" s="1177"/>
      <c r="AS96" s="1548"/>
      <c r="AT96" s="1549"/>
      <c r="AU96" s="1178"/>
      <c r="AV96" s="1179"/>
      <c r="AY96" s="3">
        <v>1</v>
      </c>
    </row>
    <row r="97" spans="2:51" ht="27" customHeight="1">
      <c r="B97" s="104"/>
      <c r="C97" s="1172"/>
      <c r="D97" s="1172"/>
      <c r="E97" s="1172"/>
      <c r="F97" s="1173"/>
      <c r="G97" s="1174"/>
      <c r="H97" s="1175"/>
      <c r="I97" s="1176"/>
      <c r="J97" s="1177"/>
      <c r="K97" s="1547"/>
      <c r="L97" s="1177"/>
      <c r="M97" s="1548"/>
      <c r="N97" s="1549"/>
      <c r="O97" s="1178"/>
      <c r="P97" s="1179"/>
      <c r="Q97" s="1171"/>
      <c r="R97" s="104"/>
      <c r="S97" s="1172"/>
      <c r="T97" s="1172"/>
      <c r="U97" s="1172"/>
      <c r="V97" s="1173"/>
      <c r="W97" s="1174"/>
      <c r="X97" s="1175"/>
      <c r="Y97" s="1176"/>
      <c r="Z97" s="1177"/>
      <c r="AA97" s="1547"/>
      <c r="AB97" s="1177"/>
      <c r="AC97" s="1548"/>
      <c r="AD97" s="1549"/>
      <c r="AE97" s="1178"/>
      <c r="AF97" s="1179"/>
      <c r="AG97" s="1171"/>
      <c r="AH97" s="104"/>
      <c r="AI97" s="1172"/>
      <c r="AJ97" s="1172"/>
      <c r="AK97" s="1172"/>
      <c r="AL97" s="1173"/>
      <c r="AM97" s="1174"/>
      <c r="AN97" s="1175"/>
      <c r="AO97" s="1176"/>
      <c r="AP97" s="1177"/>
      <c r="AQ97" s="1547"/>
      <c r="AR97" s="1177"/>
      <c r="AS97" s="1548"/>
      <c r="AT97" s="1549"/>
      <c r="AU97" s="1178"/>
      <c r="AV97" s="1179"/>
      <c r="AY97" s="3">
        <v>1</v>
      </c>
    </row>
    <row r="98" spans="2:51" ht="27" customHeight="1">
      <c r="B98" s="104"/>
      <c r="C98" s="1172"/>
      <c r="D98" s="1172"/>
      <c r="E98" s="1172"/>
      <c r="F98" s="1173"/>
      <c r="G98" s="1174"/>
      <c r="H98" s="1175"/>
      <c r="I98" s="1176"/>
      <c r="J98" s="1177"/>
      <c r="K98" s="1547"/>
      <c r="L98" s="1177"/>
      <c r="M98" s="1548"/>
      <c r="N98" s="1549"/>
      <c r="O98" s="1178"/>
      <c r="P98" s="1179"/>
      <c r="Q98" s="1171"/>
      <c r="R98" s="104"/>
      <c r="S98" s="1172"/>
      <c r="T98" s="1172"/>
      <c r="U98" s="1172"/>
      <c r="V98" s="1173"/>
      <c r="W98" s="1174"/>
      <c r="X98" s="1175"/>
      <c r="Y98" s="1176"/>
      <c r="Z98" s="1177"/>
      <c r="AA98" s="1547"/>
      <c r="AB98" s="1177"/>
      <c r="AC98" s="1548"/>
      <c r="AD98" s="1549"/>
      <c r="AE98" s="1178"/>
      <c r="AF98" s="1179"/>
      <c r="AG98" s="1171"/>
      <c r="AH98" s="104"/>
      <c r="AI98" s="1172"/>
      <c r="AJ98" s="1172"/>
      <c r="AK98" s="1172"/>
      <c r="AL98" s="1173"/>
      <c r="AM98" s="1174"/>
      <c r="AN98" s="1175"/>
      <c r="AO98" s="1176"/>
      <c r="AP98" s="1177"/>
      <c r="AQ98" s="1547"/>
      <c r="AR98" s="1177"/>
      <c r="AS98" s="1548"/>
      <c r="AT98" s="1549"/>
      <c r="AU98" s="1178"/>
      <c r="AV98" s="1179"/>
      <c r="AY98" s="3">
        <v>1</v>
      </c>
    </row>
    <row r="99" spans="2:51" ht="27" customHeight="1">
      <c r="B99" s="104"/>
      <c r="C99" s="1172"/>
      <c r="D99" s="1172"/>
      <c r="E99" s="1172"/>
      <c r="F99" s="1173"/>
      <c r="G99" s="1174"/>
      <c r="H99" s="1175"/>
      <c r="I99" s="1176"/>
      <c r="J99" s="1177"/>
      <c r="K99" s="1547"/>
      <c r="L99" s="1177"/>
      <c r="M99" s="1548"/>
      <c r="N99" s="1549"/>
      <c r="O99" s="1178"/>
      <c r="P99" s="1179"/>
      <c r="Q99" s="1171"/>
      <c r="R99" s="104"/>
      <c r="S99" s="1172"/>
      <c r="T99" s="1172"/>
      <c r="U99" s="1172"/>
      <c r="V99" s="1173"/>
      <c r="W99" s="1174"/>
      <c r="X99" s="1175"/>
      <c r="Y99" s="1176"/>
      <c r="Z99" s="1177"/>
      <c r="AA99" s="1547"/>
      <c r="AB99" s="1177"/>
      <c r="AC99" s="1548"/>
      <c r="AD99" s="1549"/>
      <c r="AE99" s="1178"/>
      <c r="AF99" s="1179"/>
      <c r="AG99" s="1171"/>
      <c r="AH99" s="104"/>
      <c r="AI99" s="1172"/>
      <c r="AJ99" s="1172"/>
      <c r="AK99" s="1172"/>
      <c r="AL99" s="1173"/>
      <c r="AM99" s="1174"/>
      <c r="AN99" s="1175"/>
      <c r="AO99" s="1176"/>
      <c r="AP99" s="1177"/>
      <c r="AQ99" s="1547"/>
      <c r="AR99" s="1177"/>
      <c r="AS99" s="1548"/>
      <c r="AT99" s="1549"/>
      <c r="AU99" s="1178"/>
      <c r="AV99" s="1179"/>
      <c r="AY99" s="3">
        <v>1</v>
      </c>
    </row>
    <row r="100" spans="2:51" ht="27" customHeight="1">
      <c r="B100" s="104"/>
      <c r="C100" s="1172"/>
      <c r="D100" s="1172"/>
      <c r="E100" s="1172"/>
      <c r="F100" s="1173"/>
      <c r="G100" s="1174"/>
      <c r="H100" s="1175"/>
      <c r="I100" s="1176"/>
      <c r="J100" s="1177"/>
      <c r="K100" s="1547"/>
      <c r="L100" s="1177"/>
      <c r="M100" s="1548"/>
      <c r="N100" s="1549"/>
      <c r="O100" s="1178"/>
      <c r="P100" s="1179"/>
      <c r="Q100" s="1171"/>
      <c r="R100" s="104"/>
      <c r="S100" s="1172"/>
      <c r="T100" s="1172"/>
      <c r="U100" s="1172"/>
      <c r="V100" s="1173"/>
      <c r="W100" s="1174"/>
      <c r="X100" s="1175"/>
      <c r="Y100" s="1176"/>
      <c r="Z100" s="1177"/>
      <c r="AA100" s="1547"/>
      <c r="AB100" s="1177"/>
      <c r="AC100" s="1548"/>
      <c r="AD100" s="1549"/>
      <c r="AE100" s="1178"/>
      <c r="AF100" s="1179"/>
      <c r="AG100" s="1171"/>
      <c r="AH100" s="104"/>
      <c r="AI100" s="1172"/>
      <c r="AJ100" s="1172"/>
      <c r="AK100" s="1172"/>
      <c r="AL100" s="1173"/>
      <c r="AM100" s="1174"/>
      <c r="AN100" s="1175"/>
      <c r="AO100" s="1176"/>
      <c r="AP100" s="1177"/>
      <c r="AQ100" s="1547"/>
      <c r="AR100" s="1177"/>
      <c r="AS100" s="1548"/>
      <c r="AT100" s="1549"/>
      <c r="AU100" s="1178"/>
      <c r="AV100" s="1179"/>
      <c r="AY100" s="3">
        <v>1</v>
      </c>
    </row>
    <row r="101" spans="2:51" ht="27" customHeight="1">
      <c r="B101" s="104"/>
      <c r="C101" s="1172"/>
      <c r="D101" s="1172"/>
      <c r="E101" s="1172"/>
      <c r="F101" s="1173"/>
      <c r="G101" s="1174"/>
      <c r="H101" s="1175"/>
      <c r="I101" s="1176"/>
      <c r="J101" s="1177"/>
      <c r="K101" s="1547"/>
      <c r="L101" s="1177"/>
      <c r="M101" s="1548"/>
      <c r="N101" s="1549"/>
      <c r="O101" s="1178"/>
      <c r="P101" s="1179"/>
      <c r="Q101" s="1171"/>
      <c r="R101" s="104"/>
      <c r="S101" s="1172"/>
      <c r="T101" s="1172"/>
      <c r="U101" s="1172"/>
      <c r="V101" s="1173"/>
      <c r="W101" s="1174"/>
      <c r="X101" s="1175"/>
      <c r="Y101" s="1176"/>
      <c r="Z101" s="1177"/>
      <c r="AA101" s="1547"/>
      <c r="AB101" s="1177"/>
      <c r="AC101" s="1548"/>
      <c r="AD101" s="1549"/>
      <c r="AE101" s="1178"/>
      <c r="AF101" s="1179"/>
      <c r="AG101" s="1171"/>
      <c r="AH101" s="104"/>
      <c r="AI101" s="1172"/>
      <c r="AJ101" s="1172"/>
      <c r="AK101" s="1172"/>
      <c r="AL101" s="1173"/>
      <c r="AM101" s="1174"/>
      <c r="AN101" s="1175"/>
      <c r="AO101" s="1176"/>
      <c r="AP101" s="1177"/>
      <c r="AQ101" s="1547"/>
      <c r="AR101" s="1177"/>
      <c r="AS101" s="1548"/>
      <c r="AT101" s="1549"/>
      <c r="AU101" s="1178"/>
      <c r="AV101" s="1179"/>
      <c r="AY101" s="3">
        <v>1</v>
      </c>
    </row>
    <row r="102" spans="2:51" ht="27" customHeight="1">
      <c r="B102" s="104"/>
      <c r="C102" s="1172"/>
      <c r="D102" s="1172"/>
      <c r="E102" s="1172"/>
      <c r="F102" s="1173"/>
      <c r="G102" s="1174"/>
      <c r="H102" s="1175"/>
      <c r="I102" s="1176"/>
      <c r="J102" s="1177"/>
      <c r="K102" s="1547"/>
      <c r="L102" s="1177"/>
      <c r="M102" s="1548"/>
      <c r="N102" s="1549"/>
      <c r="O102" s="1178"/>
      <c r="P102" s="1179"/>
      <c r="Q102" s="1171"/>
      <c r="R102" s="104"/>
      <c r="S102" s="1172"/>
      <c r="T102" s="1172"/>
      <c r="U102" s="1172"/>
      <c r="V102" s="1173"/>
      <c r="W102" s="1174"/>
      <c r="X102" s="1175"/>
      <c r="Y102" s="1176"/>
      <c r="Z102" s="1177"/>
      <c r="AA102" s="1547"/>
      <c r="AB102" s="1177"/>
      <c r="AC102" s="1548"/>
      <c r="AD102" s="1549"/>
      <c r="AE102" s="1178"/>
      <c r="AF102" s="1179"/>
      <c r="AG102" s="1171"/>
      <c r="AH102" s="104"/>
      <c r="AI102" s="1172"/>
      <c r="AJ102" s="1172"/>
      <c r="AK102" s="1172"/>
      <c r="AL102" s="1173"/>
      <c r="AM102" s="1174"/>
      <c r="AN102" s="1175"/>
      <c r="AO102" s="1176"/>
      <c r="AP102" s="1177"/>
      <c r="AQ102" s="1547"/>
      <c r="AR102" s="1177"/>
      <c r="AS102" s="1548"/>
      <c r="AT102" s="1549"/>
      <c r="AU102" s="1178"/>
      <c r="AV102" s="1179"/>
      <c r="AY102" s="3">
        <v>1</v>
      </c>
    </row>
    <row r="103" spans="2:51" ht="27" customHeight="1">
      <c r="B103" s="104"/>
      <c r="C103" s="1172"/>
      <c r="D103" s="1172"/>
      <c r="E103" s="1172"/>
      <c r="F103" s="1173"/>
      <c r="G103" s="1174"/>
      <c r="H103" s="1175"/>
      <c r="I103" s="1176"/>
      <c r="J103" s="1177"/>
      <c r="K103" s="1547"/>
      <c r="L103" s="1177"/>
      <c r="M103" s="1548"/>
      <c r="N103" s="1549"/>
      <c r="O103" s="1178"/>
      <c r="P103" s="1179"/>
      <c r="Q103" s="1171"/>
      <c r="R103" s="104"/>
      <c r="S103" s="1172"/>
      <c r="T103" s="1172"/>
      <c r="U103" s="1172"/>
      <c r="V103" s="1173"/>
      <c r="W103" s="1174"/>
      <c r="X103" s="1175"/>
      <c r="Y103" s="1176"/>
      <c r="Z103" s="1177"/>
      <c r="AA103" s="1547"/>
      <c r="AB103" s="1177"/>
      <c r="AC103" s="1548"/>
      <c r="AD103" s="1549"/>
      <c r="AE103" s="1178"/>
      <c r="AF103" s="1179"/>
      <c r="AG103" s="1171"/>
      <c r="AH103" s="104"/>
      <c r="AI103" s="1172"/>
      <c r="AJ103" s="1172"/>
      <c r="AK103" s="1172"/>
      <c r="AL103" s="1173"/>
      <c r="AM103" s="1174"/>
      <c r="AN103" s="1175"/>
      <c r="AO103" s="1176"/>
      <c r="AP103" s="1177"/>
      <c r="AQ103" s="1547"/>
      <c r="AR103" s="1177"/>
      <c r="AS103" s="1548"/>
      <c r="AT103" s="1549"/>
      <c r="AU103" s="1178"/>
      <c r="AV103" s="1179"/>
      <c r="AY103" s="3">
        <v>1</v>
      </c>
    </row>
    <row r="104" spans="2:51" ht="27" customHeight="1">
      <c r="B104" s="104"/>
      <c r="C104" s="1172"/>
      <c r="D104" s="1172"/>
      <c r="E104" s="1172"/>
      <c r="F104" s="1173"/>
      <c r="G104" s="1174"/>
      <c r="H104" s="1175"/>
      <c r="I104" s="1176"/>
      <c r="J104" s="1177"/>
      <c r="K104" s="1547"/>
      <c r="L104" s="1177"/>
      <c r="M104" s="1548"/>
      <c r="N104" s="1549"/>
      <c r="O104" s="1178"/>
      <c r="P104" s="1179"/>
      <c r="Q104" s="1171"/>
      <c r="R104" s="104"/>
      <c r="S104" s="1172"/>
      <c r="T104" s="1172"/>
      <c r="U104" s="1172"/>
      <c r="V104" s="1173"/>
      <c r="W104" s="1174"/>
      <c r="X104" s="1175"/>
      <c r="Y104" s="1176"/>
      <c r="Z104" s="1177"/>
      <c r="AA104" s="1547"/>
      <c r="AB104" s="1177"/>
      <c r="AC104" s="1548"/>
      <c r="AD104" s="1549"/>
      <c r="AE104" s="1178"/>
      <c r="AF104" s="1179"/>
      <c r="AG104" s="1171"/>
      <c r="AH104" s="104"/>
      <c r="AI104" s="1172"/>
      <c r="AJ104" s="1172"/>
      <c r="AK104" s="1172"/>
      <c r="AL104" s="1173"/>
      <c r="AM104" s="1174"/>
      <c r="AN104" s="1175"/>
      <c r="AO104" s="1176"/>
      <c r="AP104" s="1177"/>
      <c r="AQ104" s="1547"/>
      <c r="AR104" s="1177"/>
      <c r="AS104" s="1548"/>
      <c r="AT104" s="1549"/>
      <c r="AU104" s="1178"/>
      <c r="AV104" s="1179"/>
      <c r="AY104" s="3">
        <v>1</v>
      </c>
    </row>
    <row r="105" spans="2:51" ht="27" customHeight="1">
      <c r="B105" s="104"/>
      <c r="C105" s="1172"/>
      <c r="D105" s="1172"/>
      <c r="E105" s="1172"/>
      <c r="F105" s="1173"/>
      <c r="G105" s="1174"/>
      <c r="H105" s="1175"/>
      <c r="I105" s="1176"/>
      <c r="J105" s="1177"/>
      <c r="K105" s="1547"/>
      <c r="L105" s="1177"/>
      <c r="M105" s="1548"/>
      <c r="N105" s="1549"/>
      <c r="O105" s="1178"/>
      <c r="P105" s="1179"/>
      <c r="Q105" s="1171"/>
      <c r="R105" s="104"/>
      <c r="S105" s="1172"/>
      <c r="T105" s="1172"/>
      <c r="U105" s="1172"/>
      <c r="V105" s="1173"/>
      <c r="W105" s="1174"/>
      <c r="X105" s="1175"/>
      <c r="Y105" s="1176"/>
      <c r="Z105" s="1177"/>
      <c r="AA105" s="1547"/>
      <c r="AB105" s="1177"/>
      <c r="AC105" s="1548"/>
      <c r="AD105" s="1549"/>
      <c r="AE105" s="1178"/>
      <c r="AF105" s="1179"/>
      <c r="AG105" s="1171"/>
      <c r="AH105" s="104"/>
      <c r="AI105" s="1172"/>
      <c r="AJ105" s="1172"/>
      <c r="AK105" s="1172"/>
      <c r="AL105" s="1173"/>
      <c r="AM105" s="1174"/>
      <c r="AN105" s="1175"/>
      <c r="AO105" s="1176"/>
      <c r="AP105" s="1177"/>
      <c r="AQ105" s="1547"/>
      <c r="AR105" s="1177"/>
      <c r="AS105" s="1548"/>
      <c r="AT105" s="1549"/>
      <c r="AU105" s="1178"/>
      <c r="AV105" s="1179"/>
      <c r="AY105" s="3">
        <v>1</v>
      </c>
    </row>
    <row r="106" spans="2:51" ht="27" customHeight="1">
      <c r="B106" s="104"/>
      <c r="C106" s="1172"/>
      <c r="D106" s="1172"/>
      <c r="E106" s="1172"/>
      <c r="F106" s="1173"/>
      <c r="G106" s="1174"/>
      <c r="H106" s="1175"/>
      <c r="I106" s="1176"/>
      <c r="J106" s="1177"/>
      <c r="K106" s="1547"/>
      <c r="L106" s="1177"/>
      <c r="M106" s="1548"/>
      <c r="N106" s="1549"/>
      <c r="O106" s="1178"/>
      <c r="P106" s="1179"/>
      <c r="Q106" s="1171"/>
      <c r="R106" s="104"/>
      <c r="S106" s="1172"/>
      <c r="T106" s="1172"/>
      <c r="U106" s="1172"/>
      <c r="V106" s="1173"/>
      <c r="W106" s="1174"/>
      <c r="X106" s="1175"/>
      <c r="Y106" s="1176"/>
      <c r="Z106" s="1177"/>
      <c r="AA106" s="1547"/>
      <c r="AB106" s="1177"/>
      <c r="AC106" s="1548"/>
      <c r="AD106" s="1549"/>
      <c r="AE106" s="1178"/>
      <c r="AF106" s="1179"/>
      <c r="AG106" s="1171"/>
      <c r="AH106" s="104"/>
      <c r="AI106" s="1172"/>
      <c r="AJ106" s="1172"/>
      <c r="AK106" s="1172"/>
      <c r="AL106" s="1173"/>
      <c r="AM106" s="1174"/>
      <c r="AN106" s="1175"/>
      <c r="AO106" s="1176"/>
      <c r="AP106" s="1177"/>
      <c r="AQ106" s="1547"/>
      <c r="AR106" s="1177"/>
      <c r="AS106" s="1548"/>
      <c r="AT106" s="1549"/>
      <c r="AU106" s="1178"/>
      <c r="AV106" s="1179"/>
      <c r="AY106" s="3">
        <v>1</v>
      </c>
    </row>
    <row r="107" spans="2:51" ht="27" customHeight="1">
      <c r="B107" s="104"/>
      <c r="C107" s="1172"/>
      <c r="D107" s="1172"/>
      <c r="E107" s="1172"/>
      <c r="F107" s="1173"/>
      <c r="G107" s="1174"/>
      <c r="H107" s="1175"/>
      <c r="I107" s="1176"/>
      <c r="J107" s="1177"/>
      <c r="K107" s="1547"/>
      <c r="L107" s="1177"/>
      <c r="M107" s="1548"/>
      <c r="N107" s="1549"/>
      <c r="O107" s="1178"/>
      <c r="P107" s="1179"/>
      <c r="Q107" s="1171"/>
      <c r="R107" s="104"/>
      <c r="S107" s="1172"/>
      <c r="T107" s="1172"/>
      <c r="U107" s="1172"/>
      <c r="V107" s="1173"/>
      <c r="W107" s="1174"/>
      <c r="X107" s="1175"/>
      <c r="Y107" s="1176"/>
      <c r="Z107" s="1177"/>
      <c r="AA107" s="1547"/>
      <c r="AB107" s="1177"/>
      <c r="AC107" s="1548"/>
      <c r="AD107" s="1549"/>
      <c r="AE107" s="1178"/>
      <c r="AF107" s="1179"/>
      <c r="AG107" s="1171"/>
      <c r="AH107" s="104"/>
      <c r="AI107" s="1172"/>
      <c r="AJ107" s="1172"/>
      <c r="AK107" s="1172"/>
      <c r="AL107" s="1173"/>
      <c r="AM107" s="1174"/>
      <c r="AN107" s="1175"/>
      <c r="AO107" s="1176"/>
      <c r="AP107" s="1177"/>
      <c r="AQ107" s="1547"/>
      <c r="AR107" s="1177"/>
      <c r="AS107" s="1548"/>
      <c r="AT107" s="1549"/>
      <c r="AU107" s="1178"/>
      <c r="AV107" s="1179"/>
      <c r="AY107" s="3">
        <v>1</v>
      </c>
    </row>
    <row r="108" spans="2:51" ht="27" customHeight="1">
      <c r="B108" s="104"/>
      <c r="C108" s="1172"/>
      <c r="D108" s="1172"/>
      <c r="E108" s="1172"/>
      <c r="F108" s="1173"/>
      <c r="G108" s="1174"/>
      <c r="H108" s="1175"/>
      <c r="I108" s="1176"/>
      <c r="J108" s="1177"/>
      <c r="K108" s="1547"/>
      <c r="L108" s="1177"/>
      <c r="M108" s="1548"/>
      <c r="N108" s="1549"/>
      <c r="O108" s="1178"/>
      <c r="P108" s="1179"/>
      <c r="Q108" s="1171"/>
      <c r="R108" s="104"/>
      <c r="S108" s="1172"/>
      <c r="T108" s="1172"/>
      <c r="U108" s="1172"/>
      <c r="V108" s="1173"/>
      <c r="W108" s="1174"/>
      <c r="X108" s="1175"/>
      <c r="Y108" s="1176"/>
      <c r="Z108" s="1177"/>
      <c r="AA108" s="1547"/>
      <c r="AB108" s="1177"/>
      <c r="AC108" s="1548"/>
      <c r="AD108" s="1549"/>
      <c r="AE108" s="1178"/>
      <c r="AF108" s="1179"/>
      <c r="AG108" s="1171"/>
      <c r="AH108" s="104"/>
      <c r="AI108" s="1172"/>
      <c r="AJ108" s="1172"/>
      <c r="AK108" s="1172"/>
      <c r="AL108" s="1173"/>
      <c r="AM108" s="1174"/>
      <c r="AN108" s="1175"/>
      <c r="AO108" s="1176"/>
      <c r="AP108" s="1177"/>
      <c r="AQ108" s="1547"/>
      <c r="AR108" s="1177"/>
      <c r="AS108" s="1548"/>
      <c r="AT108" s="1549"/>
      <c r="AU108" s="1178"/>
      <c r="AV108" s="1179"/>
      <c r="AY108" s="3">
        <v>1</v>
      </c>
    </row>
    <row r="109" spans="2:51" ht="27" customHeight="1">
      <c r="B109" s="104"/>
      <c r="C109" s="1172"/>
      <c r="D109" s="1172"/>
      <c r="E109" s="1172"/>
      <c r="F109" s="1173"/>
      <c r="G109" s="1174"/>
      <c r="H109" s="1175"/>
      <c r="I109" s="1176"/>
      <c r="J109" s="1177"/>
      <c r="K109" s="1547"/>
      <c r="L109" s="1177"/>
      <c r="M109" s="1548"/>
      <c r="N109" s="1549"/>
      <c r="O109" s="1178"/>
      <c r="P109" s="1179"/>
      <c r="Q109" s="1171"/>
      <c r="R109" s="104"/>
      <c r="S109" s="1172"/>
      <c r="T109" s="1172"/>
      <c r="U109" s="1172"/>
      <c r="V109" s="1173"/>
      <c r="W109" s="1174"/>
      <c r="X109" s="1175"/>
      <c r="Y109" s="1176"/>
      <c r="Z109" s="1177"/>
      <c r="AA109" s="1547"/>
      <c r="AB109" s="1177"/>
      <c r="AC109" s="1548"/>
      <c r="AD109" s="1549"/>
      <c r="AE109" s="1178"/>
      <c r="AF109" s="1179"/>
      <c r="AG109" s="1171"/>
      <c r="AH109" s="104"/>
      <c r="AI109" s="1172"/>
      <c r="AJ109" s="1172"/>
      <c r="AK109" s="1172"/>
      <c r="AL109" s="1173"/>
      <c r="AM109" s="1174"/>
      <c r="AN109" s="1175"/>
      <c r="AO109" s="1176"/>
      <c r="AP109" s="1177"/>
      <c r="AQ109" s="1547"/>
      <c r="AR109" s="1177"/>
      <c r="AS109" s="1548"/>
      <c r="AT109" s="1549"/>
      <c r="AU109" s="1178"/>
      <c r="AV109" s="1179"/>
      <c r="AY109" s="3">
        <v>1</v>
      </c>
    </row>
    <row r="110" spans="2:51" ht="27" customHeight="1">
      <c r="B110" s="104"/>
      <c r="C110" s="1172"/>
      <c r="D110" s="1172"/>
      <c r="E110" s="1172"/>
      <c r="F110" s="1173"/>
      <c r="G110" s="1174"/>
      <c r="H110" s="1175"/>
      <c r="I110" s="1176"/>
      <c r="J110" s="1177"/>
      <c r="K110" s="1547"/>
      <c r="L110" s="1177"/>
      <c r="M110" s="1548"/>
      <c r="N110" s="1549"/>
      <c r="O110" s="1178"/>
      <c r="P110" s="1179"/>
      <c r="Q110" s="1171"/>
      <c r="R110" s="104"/>
      <c r="S110" s="1172"/>
      <c r="T110" s="1172"/>
      <c r="U110" s="1172"/>
      <c r="V110" s="1173"/>
      <c r="W110" s="1174"/>
      <c r="X110" s="1175"/>
      <c r="Y110" s="1176"/>
      <c r="Z110" s="1177"/>
      <c r="AA110" s="1547"/>
      <c r="AB110" s="1177"/>
      <c r="AC110" s="1548"/>
      <c r="AD110" s="1549"/>
      <c r="AE110" s="1178"/>
      <c r="AF110" s="1179"/>
      <c r="AG110" s="1171"/>
      <c r="AH110" s="104"/>
      <c r="AI110" s="1172"/>
      <c r="AJ110" s="1172"/>
      <c r="AK110" s="1172"/>
      <c r="AL110" s="1173"/>
      <c r="AM110" s="1174"/>
      <c r="AN110" s="1175"/>
      <c r="AO110" s="1176"/>
      <c r="AP110" s="1177"/>
      <c r="AQ110" s="1547"/>
      <c r="AR110" s="1177"/>
      <c r="AS110" s="1548"/>
      <c r="AT110" s="1549"/>
      <c r="AU110" s="1178"/>
      <c r="AV110" s="1179"/>
      <c r="AY110" s="3">
        <v>1</v>
      </c>
    </row>
    <row r="111" spans="2:51" ht="27" customHeight="1">
      <c r="B111" s="104"/>
      <c r="C111" s="1172"/>
      <c r="D111" s="1172"/>
      <c r="E111" s="1172"/>
      <c r="F111" s="1173"/>
      <c r="G111" s="1174"/>
      <c r="H111" s="1175"/>
      <c r="I111" s="1176"/>
      <c r="J111" s="1177"/>
      <c r="K111" s="1547"/>
      <c r="L111" s="1177"/>
      <c r="M111" s="1548"/>
      <c r="N111" s="1549"/>
      <c r="O111" s="1178"/>
      <c r="P111" s="1179"/>
      <c r="Q111" s="1171"/>
      <c r="R111" s="104"/>
      <c r="S111" s="1172"/>
      <c r="T111" s="1172"/>
      <c r="U111" s="1172"/>
      <c r="V111" s="1173"/>
      <c r="W111" s="1174"/>
      <c r="X111" s="1175"/>
      <c r="Y111" s="1176"/>
      <c r="Z111" s="1177"/>
      <c r="AA111" s="1547"/>
      <c r="AB111" s="1177"/>
      <c r="AC111" s="1548"/>
      <c r="AD111" s="1549"/>
      <c r="AE111" s="1178"/>
      <c r="AF111" s="1179"/>
      <c r="AG111" s="1171"/>
      <c r="AH111" s="104"/>
      <c r="AI111" s="1172"/>
      <c r="AJ111" s="1172"/>
      <c r="AK111" s="1172"/>
      <c r="AL111" s="1173"/>
      <c r="AM111" s="1174"/>
      <c r="AN111" s="1175"/>
      <c r="AO111" s="1176"/>
      <c r="AP111" s="1177"/>
      <c r="AQ111" s="1547"/>
      <c r="AR111" s="1177"/>
      <c r="AS111" s="1548"/>
      <c r="AT111" s="1549"/>
      <c r="AU111" s="1178"/>
      <c r="AV111" s="1179"/>
      <c r="AY111" s="3">
        <v>1</v>
      </c>
    </row>
    <row r="112" spans="2:51" ht="27" customHeight="1">
      <c r="B112" s="104"/>
      <c r="C112" s="1172"/>
      <c r="D112" s="1172"/>
      <c r="E112" s="1172"/>
      <c r="F112" s="1173"/>
      <c r="G112" s="1174"/>
      <c r="H112" s="1175"/>
      <c r="I112" s="1176"/>
      <c r="J112" s="1177"/>
      <c r="K112" s="1547"/>
      <c r="L112" s="1177"/>
      <c r="M112" s="1548"/>
      <c r="N112" s="1549"/>
      <c r="O112" s="1178"/>
      <c r="P112" s="1179"/>
      <c r="Q112" s="1171"/>
      <c r="R112" s="104"/>
      <c r="S112" s="1172"/>
      <c r="T112" s="1172"/>
      <c r="U112" s="1172"/>
      <c r="V112" s="1173"/>
      <c r="W112" s="1174"/>
      <c r="X112" s="1175"/>
      <c r="Y112" s="1176"/>
      <c r="Z112" s="1177"/>
      <c r="AA112" s="1547"/>
      <c r="AB112" s="1177"/>
      <c r="AC112" s="1548"/>
      <c r="AD112" s="1549"/>
      <c r="AE112" s="1178"/>
      <c r="AF112" s="1179"/>
      <c r="AG112" s="1171"/>
      <c r="AH112" s="104"/>
      <c r="AI112" s="1172"/>
      <c r="AJ112" s="1172"/>
      <c r="AK112" s="1172"/>
      <c r="AL112" s="1173"/>
      <c r="AM112" s="1174"/>
      <c r="AN112" s="1175"/>
      <c r="AO112" s="1176"/>
      <c r="AP112" s="1177"/>
      <c r="AQ112" s="1547"/>
      <c r="AR112" s="1177"/>
      <c r="AS112" s="1548"/>
      <c r="AT112" s="1549"/>
      <c r="AU112" s="1178"/>
      <c r="AV112" s="1179"/>
      <c r="AY112" s="3">
        <v>1</v>
      </c>
    </row>
    <row r="113" spans="2:51" ht="27" customHeight="1">
      <c r="B113" s="104"/>
      <c r="C113" s="1172"/>
      <c r="D113" s="1172"/>
      <c r="E113" s="1172"/>
      <c r="F113" s="1173"/>
      <c r="G113" s="1174"/>
      <c r="H113" s="1175"/>
      <c r="I113" s="1176"/>
      <c r="J113" s="1177"/>
      <c r="K113" s="1547"/>
      <c r="L113" s="1177"/>
      <c r="M113" s="1548"/>
      <c r="N113" s="1549"/>
      <c r="O113" s="1178"/>
      <c r="P113" s="1179"/>
      <c r="Q113" s="1171"/>
      <c r="R113" s="104"/>
      <c r="S113" s="1172"/>
      <c r="T113" s="1172"/>
      <c r="U113" s="1172"/>
      <c r="V113" s="1173"/>
      <c r="W113" s="1174"/>
      <c r="X113" s="1175"/>
      <c r="Y113" s="1176"/>
      <c r="Z113" s="1177"/>
      <c r="AA113" s="1547"/>
      <c r="AB113" s="1177"/>
      <c r="AC113" s="1548"/>
      <c r="AD113" s="1549"/>
      <c r="AE113" s="1178"/>
      <c r="AF113" s="1179"/>
      <c r="AG113" s="1171"/>
      <c r="AH113" s="104"/>
      <c r="AI113" s="1172"/>
      <c r="AJ113" s="1172"/>
      <c r="AK113" s="1172"/>
      <c r="AL113" s="1173"/>
      <c r="AM113" s="1174"/>
      <c r="AN113" s="1175"/>
      <c r="AO113" s="1176"/>
      <c r="AP113" s="1177"/>
      <c r="AQ113" s="1547"/>
      <c r="AR113" s="1177"/>
      <c r="AS113" s="1548"/>
      <c r="AT113" s="1549"/>
      <c r="AU113" s="1178"/>
      <c r="AV113" s="1179"/>
      <c r="AY113" s="3">
        <v>1</v>
      </c>
    </row>
    <row r="114" spans="2:51" ht="27" customHeight="1">
      <c r="B114" s="104"/>
      <c r="C114" s="1172"/>
      <c r="D114" s="1172"/>
      <c r="E114" s="1172"/>
      <c r="F114" s="1173"/>
      <c r="G114" s="1174"/>
      <c r="H114" s="1175"/>
      <c r="I114" s="1176"/>
      <c r="J114" s="1177"/>
      <c r="K114" s="1547"/>
      <c r="L114" s="1177"/>
      <c r="M114" s="1548"/>
      <c r="N114" s="1549"/>
      <c r="O114" s="1178"/>
      <c r="P114" s="1179"/>
      <c r="Q114" s="1171"/>
      <c r="R114" s="104"/>
      <c r="S114" s="1172"/>
      <c r="T114" s="1172"/>
      <c r="U114" s="1172"/>
      <c r="V114" s="1173"/>
      <c r="W114" s="1174"/>
      <c r="X114" s="1175"/>
      <c r="Y114" s="1176"/>
      <c r="Z114" s="1177"/>
      <c r="AA114" s="1547"/>
      <c r="AB114" s="1177"/>
      <c r="AC114" s="1548"/>
      <c r="AD114" s="1549"/>
      <c r="AE114" s="1178"/>
      <c r="AF114" s="1179"/>
      <c r="AG114" s="1171"/>
      <c r="AH114" s="104"/>
      <c r="AI114" s="1172"/>
      <c r="AJ114" s="1172"/>
      <c r="AK114" s="1172"/>
      <c r="AL114" s="1173"/>
      <c r="AM114" s="1174"/>
      <c r="AN114" s="1175"/>
      <c r="AO114" s="1176"/>
      <c r="AP114" s="1177"/>
      <c r="AQ114" s="1547"/>
      <c r="AR114" s="1177"/>
      <c r="AS114" s="1548"/>
      <c r="AT114" s="1549"/>
      <c r="AU114" s="1178"/>
      <c r="AV114" s="1179"/>
      <c r="AY114" s="3">
        <v>1</v>
      </c>
    </row>
    <row r="115" spans="2:51" ht="27" customHeight="1">
      <c r="B115" s="104"/>
      <c r="C115" s="1172"/>
      <c r="D115" s="1172"/>
      <c r="E115" s="1172"/>
      <c r="F115" s="1173"/>
      <c r="G115" s="1174"/>
      <c r="H115" s="1175"/>
      <c r="I115" s="1176"/>
      <c r="J115" s="1177"/>
      <c r="K115" s="1547"/>
      <c r="L115" s="1177"/>
      <c r="M115" s="1548"/>
      <c r="N115" s="1549"/>
      <c r="O115" s="1178"/>
      <c r="P115" s="1179"/>
      <c r="Q115" s="1171"/>
      <c r="R115" s="104"/>
      <c r="S115" s="1172"/>
      <c r="T115" s="1172"/>
      <c r="U115" s="1172"/>
      <c r="V115" s="1173"/>
      <c r="W115" s="1174"/>
      <c r="X115" s="1175"/>
      <c r="Y115" s="1176"/>
      <c r="Z115" s="1177"/>
      <c r="AA115" s="1547"/>
      <c r="AB115" s="1177"/>
      <c r="AC115" s="1548"/>
      <c r="AD115" s="1549"/>
      <c r="AE115" s="1178"/>
      <c r="AF115" s="1179"/>
      <c r="AG115" s="1171"/>
      <c r="AH115" s="104"/>
      <c r="AI115" s="1172"/>
      <c r="AJ115" s="1172"/>
      <c r="AK115" s="1172"/>
      <c r="AL115" s="1173"/>
      <c r="AM115" s="1174"/>
      <c r="AN115" s="1175"/>
      <c r="AO115" s="1176"/>
      <c r="AP115" s="1177"/>
      <c r="AQ115" s="1547"/>
      <c r="AR115" s="1177"/>
      <c r="AS115" s="1548"/>
      <c r="AT115" s="1549"/>
      <c r="AU115" s="1178"/>
      <c r="AV115" s="1179"/>
      <c r="AY115" s="3">
        <v>1</v>
      </c>
    </row>
    <row r="116" spans="2:51" ht="27" customHeight="1">
      <c r="B116" s="104"/>
      <c r="C116" s="1172"/>
      <c r="D116" s="1172"/>
      <c r="E116" s="1172"/>
      <c r="F116" s="1173"/>
      <c r="G116" s="1174"/>
      <c r="H116" s="1175"/>
      <c r="I116" s="1176"/>
      <c r="J116" s="1177"/>
      <c r="K116" s="1547"/>
      <c r="L116" s="1177"/>
      <c r="M116" s="1548"/>
      <c r="N116" s="1549"/>
      <c r="O116" s="1178"/>
      <c r="P116" s="1179"/>
      <c r="Q116" s="1171"/>
      <c r="R116" s="104"/>
      <c r="S116" s="1172"/>
      <c r="T116" s="1172"/>
      <c r="U116" s="1172"/>
      <c r="V116" s="1173"/>
      <c r="W116" s="1174"/>
      <c r="X116" s="1175"/>
      <c r="Y116" s="1176"/>
      <c r="Z116" s="1177"/>
      <c r="AA116" s="1547"/>
      <c r="AB116" s="1177"/>
      <c r="AC116" s="1548"/>
      <c r="AD116" s="1549"/>
      <c r="AE116" s="1178"/>
      <c r="AF116" s="1179"/>
      <c r="AG116" s="1171"/>
      <c r="AH116" s="104"/>
      <c r="AI116" s="1172"/>
      <c r="AJ116" s="1172"/>
      <c r="AK116" s="1172"/>
      <c r="AL116" s="1173"/>
      <c r="AM116" s="1174"/>
      <c r="AN116" s="1175"/>
      <c r="AO116" s="1176"/>
      <c r="AP116" s="1177"/>
      <c r="AQ116" s="1547"/>
      <c r="AR116" s="1177"/>
      <c r="AS116" s="1548"/>
      <c r="AT116" s="1549"/>
      <c r="AU116" s="1178"/>
      <c r="AV116" s="1179"/>
      <c r="AY116" s="3">
        <v>1</v>
      </c>
    </row>
    <row r="117" spans="2:51" ht="27" customHeight="1">
      <c r="B117" s="104"/>
      <c r="C117" s="1172"/>
      <c r="D117" s="1172"/>
      <c r="E117" s="1172"/>
      <c r="F117" s="1173"/>
      <c r="G117" s="1174"/>
      <c r="H117" s="1175"/>
      <c r="I117" s="1176"/>
      <c r="J117" s="1177"/>
      <c r="K117" s="1547"/>
      <c r="L117" s="1177"/>
      <c r="M117" s="1548"/>
      <c r="N117" s="1549"/>
      <c r="O117" s="1178"/>
      <c r="P117" s="1179"/>
      <c r="Q117" s="1171"/>
      <c r="R117" s="104"/>
      <c r="S117" s="1172"/>
      <c r="T117" s="1172"/>
      <c r="U117" s="1172"/>
      <c r="V117" s="1173"/>
      <c r="W117" s="1174"/>
      <c r="X117" s="1175"/>
      <c r="Y117" s="1176"/>
      <c r="Z117" s="1177"/>
      <c r="AA117" s="1547"/>
      <c r="AB117" s="1177"/>
      <c r="AC117" s="1548"/>
      <c r="AD117" s="1549"/>
      <c r="AE117" s="1178"/>
      <c r="AF117" s="1179"/>
      <c r="AG117" s="1171"/>
      <c r="AH117" s="104"/>
      <c r="AI117" s="1172"/>
      <c r="AJ117" s="1172"/>
      <c r="AK117" s="1172"/>
      <c r="AL117" s="1173"/>
      <c r="AM117" s="1174"/>
      <c r="AN117" s="1175"/>
      <c r="AO117" s="1176"/>
      <c r="AP117" s="1177"/>
      <c r="AQ117" s="1547"/>
      <c r="AR117" s="1177"/>
      <c r="AS117" s="1548"/>
      <c r="AT117" s="1549"/>
      <c r="AU117" s="1178"/>
      <c r="AV117" s="1179"/>
      <c r="AY117" s="3">
        <v>1</v>
      </c>
    </row>
    <row r="118" spans="2:51" ht="27" customHeight="1">
      <c r="B118" s="104"/>
      <c r="C118" s="1172"/>
      <c r="D118" s="1172"/>
      <c r="E118" s="1172"/>
      <c r="F118" s="1173"/>
      <c r="G118" s="1174"/>
      <c r="H118" s="1175"/>
      <c r="I118" s="1176"/>
      <c r="J118" s="1177"/>
      <c r="K118" s="1547"/>
      <c r="L118" s="1177"/>
      <c r="M118" s="1548"/>
      <c r="N118" s="1549"/>
      <c r="O118" s="1178"/>
      <c r="P118" s="1179"/>
      <c r="Q118" s="1171"/>
      <c r="R118" s="104"/>
      <c r="S118" s="1172"/>
      <c r="T118" s="1172"/>
      <c r="U118" s="1172"/>
      <c r="V118" s="1173"/>
      <c r="W118" s="1174"/>
      <c r="X118" s="1175"/>
      <c r="Y118" s="1176"/>
      <c r="Z118" s="1177"/>
      <c r="AA118" s="1547"/>
      <c r="AB118" s="1177"/>
      <c r="AC118" s="1548"/>
      <c r="AD118" s="1549"/>
      <c r="AE118" s="1178"/>
      <c r="AF118" s="1179"/>
      <c r="AG118" s="1171"/>
      <c r="AH118" s="104"/>
      <c r="AI118" s="1172"/>
      <c r="AJ118" s="1172"/>
      <c r="AK118" s="1172"/>
      <c r="AL118" s="1173"/>
      <c r="AM118" s="1174"/>
      <c r="AN118" s="1175"/>
      <c r="AO118" s="1176"/>
      <c r="AP118" s="1177"/>
      <c r="AQ118" s="1547"/>
      <c r="AR118" s="1177"/>
      <c r="AS118" s="1548"/>
      <c r="AT118" s="1549"/>
      <c r="AU118" s="1178"/>
      <c r="AV118" s="1179"/>
      <c r="AY118" s="3">
        <v>1</v>
      </c>
    </row>
    <row r="119" spans="2:51" ht="27" customHeight="1">
      <c r="B119" s="104"/>
      <c r="C119" s="1172"/>
      <c r="D119" s="1172"/>
      <c r="E119" s="1172"/>
      <c r="F119" s="1173"/>
      <c r="G119" s="1174"/>
      <c r="H119" s="1175"/>
      <c r="I119" s="1176"/>
      <c r="J119" s="1177"/>
      <c r="K119" s="1547"/>
      <c r="L119" s="1177"/>
      <c r="M119" s="1548"/>
      <c r="N119" s="1549"/>
      <c r="O119" s="1178"/>
      <c r="P119" s="1179"/>
      <c r="Q119" s="1171"/>
      <c r="R119" s="104"/>
      <c r="S119" s="1172"/>
      <c r="T119" s="1172"/>
      <c r="U119" s="1172"/>
      <c r="V119" s="1173"/>
      <c r="W119" s="1174"/>
      <c r="X119" s="1175"/>
      <c r="Y119" s="1176"/>
      <c r="Z119" s="1177"/>
      <c r="AA119" s="1547"/>
      <c r="AB119" s="1177"/>
      <c r="AC119" s="1548"/>
      <c r="AD119" s="1549"/>
      <c r="AE119" s="1178"/>
      <c r="AF119" s="1179"/>
      <c r="AG119" s="1171"/>
      <c r="AH119" s="104"/>
      <c r="AI119" s="1172"/>
      <c r="AJ119" s="1172"/>
      <c r="AK119" s="1172"/>
      <c r="AL119" s="1173"/>
      <c r="AM119" s="1174"/>
      <c r="AN119" s="1175"/>
      <c r="AO119" s="1176"/>
      <c r="AP119" s="1177"/>
      <c r="AQ119" s="1547"/>
      <c r="AR119" s="1177"/>
      <c r="AS119" s="1548"/>
      <c r="AT119" s="1549"/>
      <c r="AU119" s="1178"/>
      <c r="AV119" s="1179"/>
      <c r="AY119" s="3">
        <v>1</v>
      </c>
    </row>
    <row r="120" spans="2:51" ht="27" customHeight="1">
      <c r="B120" s="104"/>
      <c r="C120" s="1172"/>
      <c r="D120" s="1172"/>
      <c r="E120" s="1172"/>
      <c r="F120" s="1173"/>
      <c r="G120" s="1174"/>
      <c r="H120" s="1175"/>
      <c r="I120" s="1176"/>
      <c r="J120" s="1177"/>
      <c r="K120" s="1547"/>
      <c r="L120" s="1177"/>
      <c r="M120" s="1548"/>
      <c r="N120" s="1549"/>
      <c r="O120" s="1178"/>
      <c r="P120" s="1179"/>
      <c r="Q120" s="1171"/>
      <c r="R120" s="104"/>
      <c r="S120" s="1172"/>
      <c r="T120" s="1172"/>
      <c r="U120" s="1172"/>
      <c r="V120" s="1173"/>
      <c r="W120" s="1174"/>
      <c r="X120" s="1175"/>
      <c r="Y120" s="1176"/>
      <c r="Z120" s="1177"/>
      <c r="AA120" s="1547"/>
      <c r="AB120" s="1177"/>
      <c r="AC120" s="1548"/>
      <c r="AD120" s="1549"/>
      <c r="AE120" s="1178"/>
      <c r="AF120" s="1179"/>
      <c r="AG120" s="1171"/>
      <c r="AH120" s="104"/>
      <c r="AI120" s="1172"/>
      <c r="AJ120" s="1172"/>
      <c r="AK120" s="1172"/>
      <c r="AL120" s="1173"/>
      <c r="AM120" s="1174"/>
      <c r="AN120" s="1175"/>
      <c r="AO120" s="1176"/>
      <c r="AP120" s="1177"/>
      <c r="AQ120" s="1547"/>
      <c r="AR120" s="1177"/>
      <c r="AS120" s="1548"/>
      <c r="AT120" s="1549"/>
      <c r="AU120" s="1178"/>
      <c r="AV120" s="1179"/>
      <c r="AY120" s="3">
        <v>1</v>
      </c>
    </row>
    <row r="121" spans="2:51" ht="27" customHeight="1">
      <c r="B121" s="104"/>
      <c r="C121" s="1172"/>
      <c r="D121" s="1172"/>
      <c r="E121" s="1172"/>
      <c r="F121" s="1173"/>
      <c r="G121" s="1174"/>
      <c r="H121" s="1175"/>
      <c r="I121" s="1176"/>
      <c r="J121" s="1177"/>
      <c r="K121" s="1547"/>
      <c r="L121" s="1177"/>
      <c r="M121" s="1548"/>
      <c r="N121" s="1549"/>
      <c r="O121" s="1178"/>
      <c r="P121" s="1179"/>
      <c r="Q121" s="1171"/>
      <c r="R121" s="104"/>
      <c r="S121" s="1172"/>
      <c r="T121" s="1172"/>
      <c r="U121" s="1172"/>
      <c r="V121" s="1173"/>
      <c r="W121" s="1174"/>
      <c r="X121" s="1175"/>
      <c r="Y121" s="1176"/>
      <c r="Z121" s="1177"/>
      <c r="AA121" s="1547"/>
      <c r="AB121" s="1177"/>
      <c r="AC121" s="1548"/>
      <c r="AD121" s="1549"/>
      <c r="AE121" s="1178"/>
      <c r="AF121" s="1179"/>
      <c r="AH121" s="104"/>
      <c r="AI121" s="1172"/>
      <c r="AJ121" s="1172"/>
      <c r="AK121" s="1172"/>
      <c r="AL121" s="1173"/>
      <c r="AM121" s="1174"/>
      <c r="AN121" s="1175"/>
      <c r="AO121" s="1176"/>
      <c r="AP121" s="1177"/>
      <c r="AQ121" s="1547"/>
      <c r="AR121" s="1177"/>
      <c r="AS121" s="1548"/>
      <c r="AT121" s="1549"/>
      <c r="AU121" s="1178"/>
      <c r="AV121" s="1179"/>
      <c r="AY121" s="3">
        <v>1</v>
      </c>
    </row>
    <row r="122" spans="2:51" ht="27" customHeight="1">
      <c r="B122" s="104"/>
      <c r="C122" s="1172"/>
      <c r="D122" s="1172"/>
      <c r="E122" s="1172"/>
      <c r="F122" s="1173"/>
      <c r="G122" s="1174"/>
      <c r="H122" s="1175"/>
      <c r="I122" s="1176"/>
      <c r="J122" s="1177"/>
      <c r="K122" s="1547"/>
      <c r="L122" s="1177"/>
      <c r="M122" s="1548"/>
      <c r="N122" s="1549"/>
      <c r="O122" s="1178"/>
      <c r="P122" s="1179"/>
      <c r="Q122" s="1171"/>
      <c r="R122" s="104"/>
      <c r="S122" s="1172"/>
      <c r="T122" s="1172"/>
      <c r="U122" s="1172"/>
      <c r="V122" s="1173"/>
      <c r="W122" s="1174"/>
      <c r="X122" s="1175"/>
      <c r="Y122" s="1176"/>
      <c r="Z122" s="1177"/>
      <c r="AA122" s="1547"/>
      <c r="AB122" s="1177"/>
      <c r="AC122" s="1548"/>
      <c r="AD122" s="1549"/>
      <c r="AE122" s="1178"/>
      <c r="AF122" s="1179"/>
      <c r="AH122" s="104"/>
      <c r="AI122" s="1172"/>
      <c r="AJ122" s="1172"/>
      <c r="AK122" s="1172"/>
      <c r="AL122" s="1173"/>
      <c r="AM122" s="1174"/>
      <c r="AN122" s="1175"/>
      <c r="AO122" s="1176"/>
      <c r="AP122" s="1177"/>
      <c r="AQ122" s="1547"/>
      <c r="AR122" s="1177"/>
      <c r="AS122" s="1548"/>
      <c r="AT122" s="1549"/>
      <c r="AU122" s="1178"/>
      <c r="AV122" s="1179"/>
      <c r="AY122" s="3">
        <v>1</v>
      </c>
    </row>
    <row r="123" spans="2:51" ht="27" customHeight="1">
      <c r="B123" s="104"/>
      <c r="C123" s="1172"/>
      <c r="D123" s="1172"/>
      <c r="E123" s="1172"/>
      <c r="F123" s="1173"/>
      <c r="G123" s="1174"/>
      <c r="H123" s="1175"/>
      <c r="I123" s="1176"/>
      <c r="J123" s="1177"/>
      <c r="K123" s="1547"/>
      <c r="L123" s="1177"/>
      <c r="M123" s="1548"/>
      <c r="N123" s="1549"/>
      <c r="O123" s="1178"/>
      <c r="P123" s="1179"/>
      <c r="Q123" s="1171"/>
      <c r="R123" s="104"/>
      <c r="S123" s="1172"/>
      <c r="T123" s="1172"/>
      <c r="U123" s="1172"/>
      <c r="V123" s="1173"/>
      <c r="W123" s="1174"/>
      <c r="X123" s="1175"/>
      <c r="Y123" s="1176"/>
      <c r="Z123" s="1177"/>
      <c r="AA123" s="1547"/>
      <c r="AB123" s="1177"/>
      <c r="AC123" s="1548"/>
      <c r="AD123" s="1549"/>
      <c r="AE123" s="1178"/>
      <c r="AF123" s="1179"/>
      <c r="AH123" s="104"/>
      <c r="AI123" s="1172"/>
      <c r="AJ123" s="1172"/>
      <c r="AK123" s="1172"/>
      <c r="AL123" s="1173"/>
      <c r="AM123" s="1174"/>
      <c r="AN123" s="1175"/>
      <c r="AO123" s="1176"/>
      <c r="AP123" s="1177"/>
      <c r="AQ123" s="1547"/>
      <c r="AR123" s="1177"/>
      <c r="AS123" s="1548"/>
      <c r="AT123" s="1549"/>
      <c r="AU123" s="1178"/>
      <c r="AV123" s="1179"/>
      <c r="AY123" s="3">
        <v>1</v>
      </c>
    </row>
    <row r="124" spans="2:51" ht="27" customHeight="1">
      <c r="B124" s="104"/>
      <c r="C124" s="1172"/>
      <c r="D124" s="1172"/>
      <c r="E124" s="1172"/>
      <c r="F124" s="1173"/>
      <c r="G124" s="1174"/>
      <c r="H124" s="1175"/>
      <c r="I124" s="1176"/>
      <c r="J124" s="1177"/>
      <c r="K124" s="1547"/>
      <c r="L124" s="1177"/>
      <c r="M124" s="1548"/>
      <c r="N124" s="1549"/>
      <c r="O124" s="1178"/>
      <c r="P124" s="1179"/>
      <c r="Q124" s="1171"/>
      <c r="R124" s="104"/>
      <c r="S124" s="1172"/>
      <c r="T124" s="1172"/>
      <c r="U124" s="1172"/>
      <c r="V124" s="1173"/>
      <c r="W124" s="1174"/>
      <c r="X124" s="1175"/>
      <c r="Y124" s="1176"/>
      <c r="Z124" s="1177"/>
      <c r="AA124" s="1547"/>
      <c r="AB124" s="1177"/>
      <c r="AC124" s="1548"/>
      <c r="AD124" s="1549"/>
      <c r="AE124" s="1178"/>
      <c r="AF124" s="1179"/>
      <c r="AG124" s="1171"/>
      <c r="AH124" s="104"/>
      <c r="AI124" s="1172"/>
      <c r="AJ124" s="1172"/>
      <c r="AK124" s="1172"/>
      <c r="AL124" s="1173"/>
      <c r="AM124" s="1174"/>
      <c r="AN124" s="1175"/>
      <c r="AO124" s="1176"/>
      <c r="AP124" s="1177"/>
      <c r="AQ124" s="1547"/>
      <c r="AR124" s="1177"/>
      <c r="AS124" s="1548"/>
      <c r="AT124" s="1549"/>
      <c r="AU124" s="1178"/>
      <c r="AV124" s="1179"/>
      <c r="AY124" s="3">
        <v>1</v>
      </c>
    </row>
    <row r="125" spans="2:51" ht="27" customHeight="1">
      <c r="B125" s="104"/>
      <c r="C125" s="1172"/>
      <c r="D125" s="1172"/>
      <c r="E125" s="1172"/>
      <c r="F125" s="1173"/>
      <c r="G125" s="1174"/>
      <c r="H125" s="1175"/>
      <c r="I125" s="1176"/>
      <c r="J125" s="1177"/>
      <c r="K125" s="1547"/>
      <c r="L125" s="1177"/>
      <c r="M125" s="1548"/>
      <c r="N125" s="1549"/>
      <c r="O125" s="1178"/>
      <c r="P125" s="1179"/>
      <c r="Q125" s="1171"/>
      <c r="R125" s="104"/>
      <c r="S125" s="1172"/>
      <c r="T125" s="1172"/>
      <c r="U125" s="1172"/>
      <c r="V125" s="1173"/>
      <c r="W125" s="1174"/>
      <c r="X125" s="1175"/>
      <c r="Y125" s="1176"/>
      <c r="Z125" s="1177"/>
      <c r="AA125" s="1547"/>
      <c r="AB125" s="1177"/>
      <c r="AC125" s="1548"/>
      <c r="AD125" s="1549"/>
      <c r="AE125" s="1178"/>
      <c r="AF125" s="1179"/>
      <c r="AG125" s="1171"/>
      <c r="AH125" s="104"/>
      <c r="AI125" s="1172"/>
      <c r="AJ125" s="1172"/>
      <c r="AK125" s="1172"/>
      <c r="AL125" s="1173"/>
      <c r="AM125" s="1174"/>
      <c r="AN125" s="1175"/>
      <c r="AO125" s="1176"/>
      <c r="AP125" s="1177"/>
      <c r="AQ125" s="1547"/>
      <c r="AR125" s="1177"/>
      <c r="AS125" s="1548"/>
      <c r="AT125" s="1549"/>
      <c r="AU125" s="1178"/>
      <c r="AV125" s="1179"/>
      <c r="AY125" s="3">
        <v>1</v>
      </c>
    </row>
    <row r="126" spans="2:51" ht="27" customHeight="1">
      <c r="B126" s="104"/>
      <c r="C126" s="1172"/>
      <c r="D126" s="1172"/>
      <c r="E126" s="1172"/>
      <c r="F126" s="1173"/>
      <c r="G126" s="1174"/>
      <c r="H126" s="1175"/>
      <c r="I126" s="1176"/>
      <c r="J126" s="1177"/>
      <c r="K126" s="1547"/>
      <c r="L126" s="1177"/>
      <c r="M126" s="1548"/>
      <c r="N126" s="1549"/>
      <c r="O126" s="1178"/>
      <c r="P126" s="1179"/>
      <c r="Q126" s="1171"/>
      <c r="R126" s="104"/>
      <c r="S126" s="1172"/>
      <c r="T126" s="1172"/>
      <c r="U126" s="1172"/>
      <c r="V126" s="1173"/>
      <c r="W126" s="1174"/>
      <c r="X126" s="1175"/>
      <c r="Y126" s="1176"/>
      <c r="Z126" s="1177"/>
      <c r="AA126" s="1547"/>
      <c r="AB126" s="1177"/>
      <c r="AC126" s="1548"/>
      <c r="AD126" s="1549"/>
      <c r="AE126" s="1178"/>
      <c r="AF126" s="1179"/>
      <c r="AG126" s="1171"/>
      <c r="AH126" s="104"/>
      <c r="AI126" s="1172"/>
      <c r="AJ126" s="1172"/>
      <c r="AK126" s="1172"/>
      <c r="AL126" s="1173"/>
      <c r="AM126" s="1174"/>
      <c r="AN126" s="1175"/>
      <c r="AO126" s="1176"/>
      <c r="AP126" s="1177"/>
      <c r="AQ126" s="1547"/>
      <c r="AR126" s="1177"/>
      <c r="AS126" s="1548"/>
      <c r="AT126" s="1549"/>
      <c r="AU126" s="1178"/>
      <c r="AV126" s="1179"/>
      <c r="AY126" s="3">
        <v>1</v>
      </c>
    </row>
    <row r="127" spans="2:51" ht="27" customHeight="1">
      <c r="B127" s="104"/>
      <c r="C127" s="1172"/>
      <c r="D127" s="1172"/>
      <c r="E127" s="1172"/>
      <c r="F127" s="1173"/>
      <c r="G127" s="1174"/>
      <c r="H127" s="1175"/>
      <c r="I127" s="1176"/>
      <c r="J127" s="1177"/>
      <c r="K127" s="1547"/>
      <c r="L127" s="1177"/>
      <c r="M127" s="1548"/>
      <c r="N127" s="1549"/>
      <c r="O127" s="1178"/>
      <c r="P127" s="1179"/>
      <c r="Q127" s="1171"/>
      <c r="R127" s="104"/>
      <c r="S127" s="1172"/>
      <c r="T127" s="1172"/>
      <c r="U127" s="1172"/>
      <c r="V127" s="1173"/>
      <c r="W127" s="1174"/>
      <c r="X127" s="1175"/>
      <c r="Y127" s="1176"/>
      <c r="Z127" s="1177"/>
      <c r="AA127" s="1547"/>
      <c r="AB127" s="1177"/>
      <c r="AC127" s="1548"/>
      <c r="AD127" s="1549"/>
      <c r="AE127" s="1178"/>
      <c r="AF127" s="1179"/>
      <c r="AG127" s="1171"/>
      <c r="AH127" s="104"/>
      <c r="AI127" s="1172"/>
      <c r="AJ127" s="1172"/>
      <c r="AK127" s="1172"/>
      <c r="AL127" s="1173"/>
      <c r="AM127" s="1174"/>
      <c r="AN127" s="1175"/>
      <c r="AO127" s="1176"/>
      <c r="AP127" s="1177"/>
      <c r="AQ127" s="1547"/>
      <c r="AR127" s="1177"/>
      <c r="AS127" s="1548"/>
      <c r="AT127" s="1549"/>
      <c r="AU127" s="1178"/>
      <c r="AV127" s="1179"/>
      <c r="AY127" s="3">
        <v>1</v>
      </c>
    </row>
    <row r="128" spans="2:51" ht="27" customHeight="1">
      <c r="B128" s="104"/>
      <c r="C128" s="1172"/>
      <c r="D128" s="1172"/>
      <c r="E128" s="1172"/>
      <c r="F128" s="1173"/>
      <c r="G128" s="1174"/>
      <c r="H128" s="1175"/>
      <c r="I128" s="1176"/>
      <c r="J128" s="1177"/>
      <c r="K128" s="1547"/>
      <c r="L128" s="1177"/>
      <c r="M128" s="1548"/>
      <c r="N128" s="1549"/>
      <c r="O128" s="1178"/>
      <c r="P128" s="1179"/>
      <c r="Q128" s="1171"/>
      <c r="R128" s="104"/>
      <c r="S128" s="1172"/>
      <c r="T128" s="1172"/>
      <c r="U128" s="1172"/>
      <c r="V128" s="1173"/>
      <c r="W128" s="1174"/>
      <c r="X128" s="1175"/>
      <c r="Y128" s="1176"/>
      <c r="Z128" s="1177"/>
      <c r="AA128" s="1547"/>
      <c r="AB128" s="1177"/>
      <c r="AC128" s="1548"/>
      <c r="AD128" s="1549"/>
      <c r="AE128" s="1178"/>
      <c r="AF128" s="1179"/>
      <c r="AG128" s="1171"/>
      <c r="AH128" s="104"/>
      <c r="AI128" s="1172"/>
      <c r="AJ128" s="1172"/>
      <c r="AK128" s="1172"/>
      <c r="AL128" s="1173"/>
      <c r="AM128" s="1174"/>
      <c r="AN128" s="1175"/>
      <c r="AO128" s="1176"/>
      <c r="AP128" s="1177"/>
      <c r="AQ128" s="1547"/>
      <c r="AR128" s="1177"/>
      <c r="AS128" s="1548"/>
      <c r="AT128" s="1549"/>
      <c r="AU128" s="1178"/>
      <c r="AV128" s="1179"/>
      <c r="AY128" s="3">
        <v>1</v>
      </c>
    </row>
    <row r="129" spans="2:51" ht="27" customHeight="1">
      <c r="B129" s="104"/>
      <c r="C129" s="1172"/>
      <c r="D129" s="1172"/>
      <c r="E129" s="1172"/>
      <c r="F129" s="1173"/>
      <c r="G129" s="1174"/>
      <c r="H129" s="1175"/>
      <c r="I129" s="1176"/>
      <c r="J129" s="1177"/>
      <c r="K129" s="1547"/>
      <c r="L129" s="1177"/>
      <c r="M129" s="1548"/>
      <c r="N129" s="1549"/>
      <c r="O129" s="1178"/>
      <c r="P129" s="1179"/>
      <c r="Q129" s="1171"/>
      <c r="R129" s="104"/>
      <c r="S129" s="1172"/>
      <c r="T129" s="1172"/>
      <c r="U129" s="1172"/>
      <c r="V129" s="1173"/>
      <c r="W129" s="1174"/>
      <c r="X129" s="1175"/>
      <c r="Y129" s="1176"/>
      <c r="Z129" s="1177"/>
      <c r="AA129" s="1547"/>
      <c r="AB129" s="1177"/>
      <c r="AC129" s="1548"/>
      <c r="AD129" s="1549"/>
      <c r="AE129" s="1178"/>
      <c r="AF129" s="1179"/>
      <c r="AG129" s="1171"/>
      <c r="AH129" s="104"/>
      <c r="AI129" s="1172"/>
      <c r="AJ129" s="1172"/>
      <c r="AK129" s="1172"/>
      <c r="AL129" s="1173"/>
      <c r="AM129" s="1174"/>
      <c r="AN129" s="1175"/>
      <c r="AO129" s="1176"/>
      <c r="AP129" s="1177"/>
      <c r="AQ129" s="1547"/>
      <c r="AR129" s="1177"/>
      <c r="AS129" s="1548"/>
      <c r="AT129" s="1549"/>
      <c r="AU129" s="1178"/>
      <c r="AV129" s="1179"/>
      <c r="AY129" s="3">
        <v>1</v>
      </c>
    </row>
    <row r="130" spans="2:51" ht="27" customHeight="1">
      <c r="B130" s="104"/>
      <c r="C130" s="1172"/>
      <c r="D130" s="1172"/>
      <c r="E130" s="1172"/>
      <c r="F130" s="1173"/>
      <c r="G130" s="1174"/>
      <c r="H130" s="1175"/>
      <c r="I130" s="1176"/>
      <c r="J130" s="1177"/>
      <c r="K130" s="1547"/>
      <c r="L130" s="1177"/>
      <c r="M130" s="1548"/>
      <c r="N130" s="1549"/>
      <c r="O130" s="1178"/>
      <c r="P130" s="1179"/>
      <c r="Q130" s="1171"/>
      <c r="R130" s="104"/>
      <c r="S130" s="1172"/>
      <c r="T130" s="1172"/>
      <c r="U130" s="1172"/>
      <c r="V130" s="1173"/>
      <c r="W130" s="1174"/>
      <c r="X130" s="1175"/>
      <c r="Y130" s="1176"/>
      <c r="Z130" s="1177"/>
      <c r="AA130" s="1547"/>
      <c r="AB130" s="1177"/>
      <c r="AC130" s="1548"/>
      <c r="AD130" s="1549"/>
      <c r="AE130" s="1178"/>
      <c r="AF130" s="1179"/>
      <c r="AG130" s="1171"/>
      <c r="AH130" s="104"/>
      <c r="AI130" s="1172"/>
      <c r="AJ130" s="1172"/>
      <c r="AK130" s="1172"/>
      <c r="AL130" s="1173"/>
      <c r="AM130" s="1174"/>
      <c r="AN130" s="1175"/>
      <c r="AO130" s="1176"/>
      <c r="AP130" s="1177"/>
      <c r="AQ130" s="1547"/>
      <c r="AR130" s="1177"/>
      <c r="AS130" s="1548"/>
      <c r="AT130" s="1549"/>
      <c r="AU130" s="1178"/>
      <c r="AV130" s="1179"/>
      <c r="AY130" s="3">
        <v>1</v>
      </c>
    </row>
    <row r="131" spans="2:51" ht="27" customHeight="1">
      <c r="B131" s="104"/>
      <c r="C131" s="1172"/>
      <c r="D131" s="1172"/>
      <c r="E131" s="1172"/>
      <c r="F131" s="1173"/>
      <c r="G131" s="1174"/>
      <c r="H131" s="1175"/>
      <c r="I131" s="1176"/>
      <c r="J131" s="1177"/>
      <c r="K131" s="1547"/>
      <c r="L131" s="1177"/>
      <c r="M131" s="1548"/>
      <c r="N131" s="1549"/>
      <c r="O131" s="1178"/>
      <c r="P131" s="1179"/>
      <c r="Q131" s="1171"/>
      <c r="R131" s="104"/>
      <c r="S131" s="1172"/>
      <c r="T131" s="1172"/>
      <c r="U131" s="1172"/>
      <c r="V131" s="1173"/>
      <c r="W131" s="1174"/>
      <c r="X131" s="1175"/>
      <c r="Y131" s="1176"/>
      <c r="Z131" s="1177"/>
      <c r="AA131" s="1547"/>
      <c r="AB131" s="1177"/>
      <c r="AC131" s="1548"/>
      <c r="AD131" s="1549"/>
      <c r="AE131" s="1178"/>
      <c r="AF131" s="1179"/>
      <c r="AG131" s="1171"/>
      <c r="AH131" s="104"/>
      <c r="AI131" s="1172"/>
      <c r="AJ131" s="1172"/>
      <c r="AK131" s="1172"/>
      <c r="AL131" s="1173"/>
      <c r="AM131" s="1174"/>
      <c r="AN131" s="1175"/>
      <c r="AO131" s="1176"/>
      <c r="AP131" s="1177"/>
      <c r="AQ131" s="1547"/>
      <c r="AR131" s="1177"/>
      <c r="AS131" s="1548"/>
      <c r="AT131" s="1549"/>
      <c r="AU131" s="1178"/>
      <c r="AV131" s="1179"/>
      <c r="AY131" s="3">
        <v>1</v>
      </c>
    </row>
    <row r="132" spans="2:51" ht="27" customHeight="1">
      <c r="B132" s="104"/>
      <c r="C132" s="1172"/>
      <c r="D132" s="1172"/>
      <c r="E132" s="1172"/>
      <c r="F132" s="1173"/>
      <c r="G132" s="1174"/>
      <c r="H132" s="1175"/>
      <c r="I132" s="1176"/>
      <c r="J132" s="1177"/>
      <c r="K132" s="1547"/>
      <c r="L132" s="1177"/>
      <c r="M132" s="1548"/>
      <c r="N132" s="1549"/>
      <c r="O132" s="1178"/>
      <c r="P132" s="1179"/>
      <c r="Q132" s="1171"/>
      <c r="R132" s="104"/>
      <c r="S132" s="1172"/>
      <c r="T132" s="1172"/>
      <c r="U132" s="1172"/>
      <c r="V132" s="1173"/>
      <c r="W132" s="1174"/>
      <c r="X132" s="1175"/>
      <c r="Y132" s="1176"/>
      <c r="Z132" s="1177"/>
      <c r="AA132" s="1547"/>
      <c r="AB132" s="1177"/>
      <c r="AC132" s="1548"/>
      <c r="AD132" s="1549"/>
      <c r="AE132" s="1178"/>
      <c r="AF132" s="1179"/>
      <c r="AG132" s="1171"/>
      <c r="AH132" s="104"/>
      <c r="AI132" s="1172"/>
      <c r="AJ132" s="1172"/>
      <c r="AK132" s="1172"/>
      <c r="AL132" s="1173"/>
      <c r="AM132" s="1174"/>
      <c r="AN132" s="1175"/>
      <c r="AO132" s="1176"/>
      <c r="AP132" s="1177"/>
      <c r="AQ132" s="1547"/>
      <c r="AR132" s="1177"/>
      <c r="AS132" s="1548"/>
      <c r="AT132" s="1549"/>
      <c r="AU132" s="1178"/>
      <c r="AV132" s="1179"/>
      <c r="AY132" s="3">
        <v>1</v>
      </c>
    </row>
    <row r="133" spans="2:51" ht="27" customHeight="1">
      <c r="B133" s="104"/>
      <c r="C133" s="1172"/>
      <c r="D133" s="1172"/>
      <c r="E133" s="1172"/>
      <c r="F133" s="1173"/>
      <c r="G133" s="1174"/>
      <c r="H133" s="1175"/>
      <c r="I133" s="1176"/>
      <c r="J133" s="1177"/>
      <c r="K133" s="1547"/>
      <c r="L133" s="1177"/>
      <c r="M133" s="1548"/>
      <c r="N133" s="1549"/>
      <c r="O133" s="1178"/>
      <c r="P133" s="1179"/>
      <c r="Q133" s="1171"/>
      <c r="R133" s="104"/>
      <c r="S133" s="1172"/>
      <c r="T133" s="1172"/>
      <c r="U133" s="1172"/>
      <c r="V133" s="1173"/>
      <c r="W133" s="1174"/>
      <c r="X133" s="1175"/>
      <c r="Y133" s="1176"/>
      <c r="Z133" s="1177"/>
      <c r="AA133" s="1547"/>
      <c r="AB133" s="1177"/>
      <c r="AC133" s="1548"/>
      <c r="AD133" s="1549"/>
      <c r="AE133" s="1178"/>
      <c r="AF133" s="1179"/>
      <c r="AG133" s="1171"/>
      <c r="AH133" s="104"/>
      <c r="AI133" s="1172"/>
      <c r="AJ133" s="1172"/>
      <c r="AK133" s="1172"/>
      <c r="AL133" s="1173"/>
      <c r="AM133" s="1174"/>
      <c r="AN133" s="1175"/>
      <c r="AO133" s="1176"/>
      <c r="AP133" s="1177"/>
      <c r="AQ133" s="1547"/>
      <c r="AR133" s="1177"/>
      <c r="AS133" s="1548"/>
      <c r="AT133" s="1549"/>
      <c r="AU133" s="1178"/>
      <c r="AV133" s="1179"/>
      <c r="AY133" s="3">
        <v>1</v>
      </c>
    </row>
    <row r="134" spans="2:51" ht="27" customHeight="1">
      <c r="B134" s="104"/>
      <c r="C134" s="1172"/>
      <c r="D134" s="1172"/>
      <c r="E134" s="1172"/>
      <c r="F134" s="1173"/>
      <c r="G134" s="1174"/>
      <c r="H134" s="1175"/>
      <c r="I134" s="1176"/>
      <c r="J134" s="1177"/>
      <c r="K134" s="1547"/>
      <c r="L134" s="1177"/>
      <c r="M134" s="1548"/>
      <c r="N134" s="1549"/>
      <c r="O134" s="1178"/>
      <c r="P134" s="1179"/>
      <c r="Q134" s="1171"/>
      <c r="R134" s="104"/>
      <c r="S134" s="1172"/>
      <c r="T134" s="1172"/>
      <c r="U134" s="1172"/>
      <c r="V134" s="1173"/>
      <c r="W134" s="1174"/>
      <c r="X134" s="1175"/>
      <c r="Y134" s="1176"/>
      <c r="Z134" s="1177"/>
      <c r="AA134" s="1547"/>
      <c r="AB134" s="1177"/>
      <c r="AC134" s="1548"/>
      <c r="AD134" s="1549"/>
      <c r="AE134" s="1178"/>
      <c r="AF134" s="1179"/>
      <c r="AG134" s="1171"/>
      <c r="AH134" s="104"/>
      <c r="AI134" s="1172"/>
      <c r="AJ134" s="1172"/>
      <c r="AK134" s="1172"/>
      <c r="AL134" s="1173"/>
      <c r="AM134" s="1174"/>
      <c r="AN134" s="1175"/>
      <c r="AO134" s="1176"/>
      <c r="AP134" s="1177"/>
      <c r="AQ134" s="1547"/>
      <c r="AR134" s="1177"/>
      <c r="AS134" s="1548"/>
      <c r="AT134" s="1549"/>
      <c r="AU134" s="1178"/>
      <c r="AV134" s="1179"/>
      <c r="AY134" s="3">
        <v>1</v>
      </c>
    </row>
    <row r="135" spans="2:51" ht="27" customHeight="1">
      <c r="B135" s="104"/>
      <c r="C135" s="1172"/>
      <c r="D135" s="1172"/>
      <c r="E135" s="1172"/>
      <c r="F135" s="1173"/>
      <c r="G135" s="1174"/>
      <c r="H135" s="1175"/>
      <c r="I135" s="1176"/>
      <c r="J135" s="1177"/>
      <c r="K135" s="1547"/>
      <c r="L135" s="1177"/>
      <c r="M135" s="1548"/>
      <c r="N135" s="1549"/>
      <c r="O135" s="1178"/>
      <c r="P135" s="1179"/>
      <c r="Q135" s="1171"/>
      <c r="R135" s="104"/>
      <c r="S135" s="1172"/>
      <c r="T135" s="1172"/>
      <c r="U135" s="1172"/>
      <c r="V135" s="1173"/>
      <c r="W135" s="1174"/>
      <c r="X135" s="1175"/>
      <c r="Y135" s="1176"/>
      <c r="Z135" s="1177"/>
      <c r="AA135" s="1547"/>
      <c r="AB135" s="1177"/>
      <c r="AC135" s="1548"/>
      <c r="AD135" s="1549"/>
      <c r="AE135" s="1178"/>
      <c r="AF135" s="1179"/>
      <c r="AG135" s="1171"/>
      <c r="AH135" s="104"/>
      <c r="AI135" s="1172"/>
      <c r="AJ135" s="1172"/>
      <c r="AK135" s="1172"/>
      <c r="AL135" s="1173"/>
      <c r="AM135" s="1174"/>
      <c r="AN135" s="1175"/>
      <c r="AO135" s="1176"/>
      <c r="AP135" s="1177"/>
      <c r="AQ135" s="1547"/>
      <c r="AR135" s="1177"/>
      <c r="AS135" s="1548"/>
      <c r="AT135" s="1549"/>
      <c r="AU135" s="1178"/>
      <c r="AV135" s="1179"/>
      <c r="AY135" s="3">
        <v>1</v>
      </c>
    </row>
    <row r="136" spans="2:51" ht="27" customHeight="1">
      <c r="B136" s="104"/>
      <c r="C136" s="1172"/>
      <c r="D136" s="1172"/>
      <c r="E136" s="1172"/>
      <c r="F136" s="1173"/>
      <c r="G136" s="1174"/>
      <c r="H136" s="1175"/>
      <c r="I136" s="1176"/>
      <c r="J136" s="1177"/>
      <c r="K136" s="1547"/>
      <c r="L136" s="1177"/>
      <c r="M136" s="1548"/>
      <c r="N136" s="1549"/>
      <c r="O136" s="1178"/>
      <c r="P136" s="1179"/>
      <c r="Q136" s="1171"/>
      <c r="R136" s="104"/>
      <c r="S136" s="1172"/>
      <c r="T136" s="1172"/>
      <c r="U136" s="1172"/>
      <c r="V136" s="1173"/>
      <c r="W136" s="1174"/>
      <c r="X136" s="1175"/>
      <c r="Y136" s="1176"/>
      <c r="Z136" s="1177"/>
      <c r="AA136" s="1547"/>
      <c r="AB136" s="1177"/>
      <c r="AC136" s="1548"/>
      <c r="AD136" s="1549"/>
      <c r="AE136" s="1178"/>
      <c r="AF136" s="1179"/>
      <c r="AG136" s="1171"/>
      <c r="AH136" s="104"/>
      <c r="AI136" s="1172"/>
      <c r="AJ136" s="1172"/>
      <c r="AK136" s="1172"/>
      <c r="AL136" s="1173"/>
      <c r="AM136" s="1174"/>
      <c r="AN136" s="1175"/>
      <c r="AO136" s="1176"/>
      <c r="AP136" s="1177"/>
      <c r="AQ136" s="1547"/>
      <c r="AR136" s="1177"/>
      <c r="AS136" s="1548"/>
      <c r="AT136" s="1549"/>
      <c r="AU136" s="1178"/>
      <c r="AV136" s="1179"/>
      <c r="AY136" s="3">
        <v>1</v>
      </c>
    </row>
    <row r="137" spans="2:51" ht="27" customHeight="1">
      <c r="B137" s="104"/>
      <c r="C137" s="1172"/>
      <c r="D137" s="1172"/>
      <c r="E137" s="1172"/>
      <c r="F137" s="1173"/>
      <c r="G137" s="1174"/>
      <c r="H137" s="1175"/>
      <c r="I137" s="1176"/>
      <c r="J137" s="1177"/>
      <c r="K137" s="1547"/>
      <c r="L137" s="1177"/>
      <c r="M137" s="1548"/>
      <c r="N137" s="1549"/>
      <c r="O137" s="1178"/>
      <c r="P137" s="1179"/>
      <c r="Q137" s="1171"/>
      <c r="R137" s="104"/>
      <c r="S137" s="1172"/>
      <c r="T137" s="1172"/>
      <c r="U137" s="1172"/>
      <c r="V137" s="1173"/>
      <c r="W137" s="1174"/>
      <c r="X137" s="1175"/>
      <c r="Y137" s="1176"/>
      <c r="Z137" s="1177"/>
      <c r="AA137" s="1547"/>
      <c r="AB137" s="1177"/>
      <c r="AC137" s="1548"/>
      <c r="AD137" s="1549"/>
      <c r="AE137" s="1178"/>
      <c r="AF137" s="1179"/>
      <c r="AG137" s="1171"/>
      <c r="AH137" s="104"/>
      <c r="AI137" s="1172"/>
      <c r="AJ137" s="1172"/>
      <c r="AK137" s="1172"/>
      <c r="AL137" s="1173"/>
      <c r="AM137" s="1174"/>
      <c r="AN137" s="1175"/>
      <c r="AO137" s="1176"/>
      <c r="AP137" s="1177"/>
      <c r="AQ137" s="1547"/>
      <c r="AR137" s="1177"/>
      <c r="AS137" s="1548"/>
      <c r="AT137" s="1549"/>
      <c r="AU137" s="1178"/>
      <c r="AV137" s="1179"/>
      <c r="AY137" s="3">
        <v>1</v>
      </c>
    </row>
    <row r="138" spans="2:51" ht="27" customHeight="1">
      <c r="B138" s="104"/>
      <c r="C138" s="1172"/>
      <c r="D138" s="1172"/>
      <c r="E138" s="1172"/>
      <c r="F138" s="1173"/>
      <c r="G138" s="1174"/>
      <c r="H138" s="1175"/>
      <c r="I138" s="1176"/>
      <c r="J138" s="1177"/>
      <c r="K138" s="1547"/>
      <c r="L138" s="1177"/>
      <c r="M138" s="1548"/>
      <c r="N138" s="1549"/>
      <c r="O138" s="1178"/>
      <c r="P138" s="1179"/>
      <c r="Q138" s="1171"/>
      <c r="R138" s="104"/>
      <c r="S138" s="1172"/>
      <c r="T138" s="1172"/>
      <c r="U138" s="1172"/>
      <c r="V138" s="1173"/>
      <c r="W138" s="1174"/>
      <c r="X138" s="1175"/>
      <c r="Y138" s="1176"/>
      <c r="Z138" s="1177"/>
      <c r="AA138" s="1547"/>
      <c r="AB138" s="1177"/>
      <c r="AC138" s="1548"/>
      <c r="AD138" s="1549"/>
      <c r="AE138" s="1178"/>
      <c r="AF138" s="1179"/>
      <c r="AG138" s="1171"/>
      <c r="AH138" s="104"/>
      <c r="AI138" s="1172"/>
      <c r="AJ138" s="1172"/>
      <c r="AK138" s="1172"/>
      <c r="AL138" s="1173"/>
      <c r="AM138" s="1174"/>
      <c r="AN138" s="1175"/>
      <c r="AO138" s="1176"/>
      <c r="AP138" s="1177"/>
      <c r="AQ138" s="1547"/>
      <c r="AR138" s="1177"/>
      <c r="AS138" s="1548"/>
      <c r="AT138" s="1549"/>
      <c r="AU138" s="1178"/>
      <c r="AV138" s="1179"/>
      <c r="AY138" s="3">
        <v>1</v>
      </c>
    </row>
    <row r="139" spans="2:51" ht="27" customHeight="1">
      <c r="B139" s="104"/>
      <c r="C139" s="1172"/>
      <c r="D139" s="1172"/>
      <c r="E139" s="1172"/>
      <c r="F139" s="1173"/>
      <c r="G139" s="1174"/>
      <c r="H139" s="1175"/>
      <c r="I139" s="1176"/>
      <c r="J139" s="1177"/>
      <c r="K139" s="1547"/>
      <c r="L139" s="1177"/>
      <c r="M139" s="1548"/>
      <c r="N139" s="1549"/>
      <c r="O139" s="1178"/>
      <c r="P139" s="1179"/>
      <c r="Q139" s="1171"/>
      <c r="R139" s="104"/>
      <c r="S139" s="1172"/>
      <c r="T139" s="1172"/>
      <c r="U139" s="1172"/>
      <c r="V139" s="1173"/>
      <c r="W139" s="1174"/>
      <c r="X139" s="1175"/>
      <c r="Y139" s="1176"/>
      <c r="Z139" s="1177"/>
      <c r="AA139" s="1547"/>
      <c r="AB139" s="1177"/>
      <c r="AC139" s="1548"/>
      <c r="AD139" s="1549"/>
      <c r="AE139" s="1178"/>
      <c r="AF139" s="1179"/>
      <c r="AG139" s="1171"/>
      <c r="AH139" s="104"/>
      <c r="AI139" s="1172"/>
      <c r="AJ139" s="1172"/>
      <c r="AK139" s="1172"/>
      <c r="AL139" s="1173"/>
      <c r="AM139" s="1174"/>
      <c r="AN139" s="1175"/>
      <c r="AO139" s="1176"/>
      <c r="AP139" s="1177"/>
      <c r="AQ139" s="1547"/>
      <c r="AR139" s="1177"/>
      <c r="AS139" s="1548"/>
      <c r="AT139" s="1549"/>
      <c r="AU139" s="1178"/>
      <c r="AV139" s="1179"/>
      <c r="AY139" s="3">
        <v>1</v>
      </c>
    </row>
    <row r="140" spans="2:51" ht="27" customHeight="1">
      <c r="B140" s="104"/>
      <c r="C140" s="1172"/>
      <c r="D140" s="1172"/>
      <c r="E140" s="1172"/>
      <c r="F140" s="1173"/>
      <c r="G140" s="1174"/>
      <c r="H140" s="1175"/>
      <c r="I140" s="1176"/>
      <c r="J140" s="1177"/>
      <c r="K140" s="1547"/>
      <c r="L140" s="1177"/>
      <c r="M140" s="1548"/>
      <c r="N140" s="1549"/>
      <c r="O140" s="1178"/>
      <c r="P140" s="1179"/>
      <c r="Q140" s="1171"/>
      <c r="R140" s="104"/>
      <c r="S140" s="1172"/>
      <c r="T140" s="1172"/>
      <c r="U140" s="1172"/>
      <c r="V140" s="1173"/>
      <c r="W140" s="1174"/>
      <c r="X140" s="1175"/>
      <c r="Y140" s="1176"/>
      <c r="Z140" s="1177"/>
      <c r="AA140" s="1547"/>
      <c r="AB140" s="1177"/>
      <c r="AC140" s="1548"/>
      <c r="AD140" s="1549"/>
      <c r="AE140" s="1178"/>
      <c r="AF140" s="1179"/>
      <c r="AG140" s="1171"/>
      <c r="AH140" s="104"/>
      <c r="AI140" s="1172"/>
      <c r="AJ140" s="1172"/>
      <c r="AK140" s="1172"/>
      <c r="AL140" s="1173"/>
      <c r="AM140" s="1174"/>
      <c r="AN140" s="1175"/>
      <c r="AO140" s="1176"/>
      <c r="AP140" s="1177"/>
      <c r="AQ140" s="1547"/>
      <c r="AR140" s="1177"/>
      <c r="AS140" s="1548"/>
      <c r="AT140" s="1549"/>
      <c r="AU140" s="1178"/>
      <c r="AV140" s="1179"/>
      <c r="AY140" s="3">
        <v>1</v>
      </c>
    </row>
    <row r="141" spans="2:51" ht="27" customHeight="1">
      <c r="B141" s="104"/>
      <c r="C141" s="1172"/>
      <c r="D141" s="1172"/>
      <c r="E141" s="1172"/>
      <c r="F141" s="1173"/>
      <c r="G141" s="1174"/>
      <c r="H141" s="1175"/>
      <c r="I141" s="1176"/>
      <c r="J141" s="1177"/>
      <c r="K141" s="1547"/>
      <c r="L141" s="1177"/>
      <c r="M141" s="1548"/>
      <c r="N141" s="1549"/>
      <c r="O141" s="1178"/>
      <c r="P141" s="1179"/>
      <c r="Q141" s="1171"/>
      <c r="R141" s="104"/>
      <c r="S141" s="1172"/>
      <c r="T141" s="1172"/>
      <c r="U141" s="1172"/>
      <c r="V141" s="1173"/>
      <c r="W141" s="1174"/>
      <c r="X141" s="1175"/>
      <c r="Y141" s="1176"/>
      <c r="Z141" s="1177"/>
      <c r="AA141" s="1547"/>
      <c r="AB141" s="1177"/>
      <c r="AC141" s="1548"/>
      <c r="AD141" s="1549"/>
      <c r="AE141" s="1178"/>
      <c r="AF141" s="1179"/>
      <c r="AG141" s="1171"/>
      <c r="AH141" s="104"/>
      <c r="AI141" s="1172"/>
      <c r="AJ141" s="1172"/>
      <c r="AK141" s="1172"/>
      <c r="AL141" s="1173"/>
      <c r="AM141" s="1174"/>
      <c r="AN141" s="1175"/>
      <c r="AO141" s="1176"/>
      <c r="AP141" s="1177"/>
      <c r="AQ141" s="1547"/>
      <c r="AR141" s="1177"/>
      <c r="AS141" s="1548"/>
      <c r="AT141" s="1549"/>
      <c r="AU141" s="1178"/>
      <c r="AV141" s="1179"/>
      <c r="AY141" s="3">
        <v>1</v>
      </c>
    </row>
    <row r="142" spans="2:51" ht="27" customHeight="1">
      <c r="B142" s="104"/>
      <c r="C142" s="1172"/>
      <c r="D142" s="1172"/>
      <c r="E142" s="1172"/>
      <c r="F142" s="1173"/>
      <c r="G142" s="1174"/>
      <c r="H142" s="1175"/>
      <c r="I142" s="1176"/>
      <c r="J142" s="1177"/>
      <c r="K142" s="1547"/>
      <c r="L142" s="1177"/>
      <c r="M142" s="1548"/>
      <c r="N142" s="1549"/>
      <c r="O142" s="1178"/>
      <c r="P142" s="1179"/>
      <c r="Q142" s="1171"/>
      <c r="R142" s="104"/>
      <c r="S142" s="1172"/>
      <c r="T142" s="1172"/>
      <c r="U142" s="1172"/>
      <c r="V142" s="1173"/>
      <c r="W142" s="1174"/>
      <c r="X142" s="1175"/>
      <c r="Y142" s="1176"/>
      <c r="Z142" s="1177"/>
      <c r="AA142" s="1547"/>
      <c r="AB142" s="1177"/>
      <c r="AC142" s="1548"/>
      <c r="AD142" s="1549"/>
      <c r="AE142" s="1178"/>
      <c r="AF142" s="1179"/>
      <c r="AG142" s="1171"/>
      <c r="AH142" s="104"/>
      <c r="AI142" s="1172"/>
      <c r="AJ142" s="1172"/>
      <c r="AK142" s="1172"/>
      <c r="AL142" s="1173"/>
      <c r="AM142" s="1174"/>
      <c r="AN142" s="1175"/>
      <c r="AO142" s="1176"/>
      <c r="AP142" s="1177"/>
      <c r="AQ142" s="1547"/>
      <c r="AR142" s="1177"/>
      <c r="AS142" s="1548"/>
      <c r="AT142" s="1549"/>
      <c r="AU142" s="1178"/>
      <c r="AV142" s="1179"/>
      <c r="AY142" s="3">
        <v>1</v>
      </c>
    </row>
    <row r="143" spans="2:51" ht="27" customHeight="1">
      <c r="B143" s="104"/>
      <c r="C143" s="1172"/>
      <c r="D143" s="1172"/>
      <c r="E143" s="1172"/>
      <c r="F143" s="1173"/>
      <c r="G143" s="1174"/>
      <c r="H143" s="1175"/>
      <c r="I143" s="1176"/>
      <c r="J143" s="1177"/>
      <c r="K143" s="1547"/>
      <c r="L143" s="1177"/>
      <c r="M143" s="1548"/>
      <c r="N143" s="1549"/>
      <c r="O143" s="1178"/>
      <c r="P143" s="1179"/>
      <c r="Q143" s="1171"/>
      <c r="R143" s="104"/>
      <c r="S143" s="1172"/>
      <c r="T143" s="1172"/>
      <c r="U143" s="1172"/>
      <c r="V143" s="1173"/>
      <c r="W143" s="1174"/>
      <c r="X143" s="1175"/>
      <c r="Y143" s="1176"/>
      <c r="Z143" s="1177"/>
      <c r="AA143" s="1547"/>
      <c r="AB143" s="1177"/>
      <c r="AC143" s="1548"/>
      <c r="AD143" s="1549"/>
      <c r="AE143" s="1178"/>
      <c r="AF143" s="1179"/>
      <c r="AG143" s="1171"/>
      <c r="AH143" s="104"/>
      <c r="AI143" s="1172"/>
      <c r="AJ143" s="1172"/>
      <c r="AK143" s="1172"/>
      <c r="AL143" s="1173"/>
      <c r="AM143" s="1174"/>
      <c r="AN143" s="1175"/>
      <c r="AO143" s="1176"/>
      <c r="AP143" s="1177"/>
      <c r="AQ143" s="1547"/>
      <c r="AR143" s="1177"/>
      <c r="AS143" s="1548"/>
      <c r="AT143" s="1549"/>
      <c r="AU143" s="1178"/>
      <c r="AV143" s="1179"/>
      <c r="AY143" s="3">
        <v>1</v>
      </c>
    </row>
    <row r="144" spans="2:51" ht="27" customHeight="1">
      <c r="B144" s="104"/>
      <c r="C144" s="1172"/>
      <c r="D144" s="1172"/>
      <c r="E144" s="1172"/>
      <c r="F144" s="1173"/>
      <c r="G144" s="1174"/>
      <c r="H144" s="1175"/>
      <c r="I144" s="1176"/>
      <c r="J144" s="1177"/>
      <c r="K144" s="1547"/>
      <c r="L144" s="1177"/>
      <c r="M144" s="1548"/>
      <c r="N144" s="1549"/>
      <c r="O144" s="1178"/>
      <c r="P144" s="1179"/>
      <c r="Q144" s="1171"/>
      <c r="R144" s="104"/>
      <c r="S144" s="1172"/>
      <c r="T144" s="1172"/>
      <c r="U144" s="1172"/>
      <c r="V144" s="1173"/>
      <c r="W144" s="1174"/>
      <c r="X144" s="1175"/>
      <c r="Y144" s="1176"/>
      <c r="Z144" s="1177"/>
      <c r="AA144" s="1547"/>
      <c r="AB144" s="1177"/>
      <c r="AC144" s="1548"/>
      <c r="AD144" s="1549"/>
      <c r="AE144" s="1178"/>
      <c r="AF144" s="1179"/>
      <c r="AG144" s="1171"/>
      <c r="AH144" s="104"/>
      <c r="AI144" s="1172"/>
      <c r="AJ144" s="1172"/>
      <c r="AK144" s="1172"/>
      <c r="AL144" s="1173"/>
      <c r="AM144" s="1174"/>
      <c r="AN144" s="1175"/>
      <c r="AO144" s="1176"/>
      <c r="AP144" s="1177"/>
      <c r="AQ144" s="1547"/>
      <c r="AR144" s="1177"/>
      <c r="AS144" s="1548"/>
      <c r="AT144" s="1549"/>
      <c r="AU144" s="1178"/>
      <c r="AV144" s="1179"/>
      <c r="AY144" s="3">
        <v>1</v>
      </c>
    </row>
    <row r="145" spans="2:51" ht="27" customHeight="1">
      <c r="B145" s="104"/>
      <c r="C145" s="1172"/>
      <c r="D145" s="1172"/>
      <c r="E145" s="1172"/>
      <c r="F145" s="1173"/>
      <c r="G145" s="1174"/>
      <c r="H145" s="1175"/>
      <c r="I145" s="1176"/>
      <c r="J145" s="1177"/>
      <c r="K145" s="1547"/>
      <c r="L145" s="1177"/>
      <c r="M145" s="1548"/>
      <c r="N145" s="1549"/>
      <c r="O145" s="1178"/>
      <c r="P145" s="1179"/>
      <c r="Q145" s="1171"/>
      <c r="R145" s="104"/>
      <c r="S145" s="1172"/>
      <c r="T145" s="1172"/>
      <c r="U145" s="1172"/>
      <c r="V145" s="1173"/>
      <c r="W145" s="1174"/>
      <c r="X145" s="1175"/>
      <c r="Y145" s="1176"/>
      <c r="Z145" s="1177"/>
      <c r="AA145" s="1547"/>
      <c r="AB145" s="1177"/>
      <c r="AC145" s="1548"/>
      <c r="AD145" s="1549"/>
      <c r="AE145" s="1178"/>
      <c r="AF145" s="1179"/>
      <c r="AG145" s="1171"/>
      <c r="AH145" s="104"/>
      <c r="AI145" s="1172"/>
      <c r="AJ145" s="1172"/>
      <c r="AK145" s="1172"/>
      <c r="AL145" s="1173"/>
      <c r="AM145" s="1174"/>
      <c r="AN145" s="1175"/>
      <c r="AO145" s="1176"/>
      <c r="AP145" s="1177"/>
      <c r="AQ145" s="1547"/>
      <c r="AR145" s="1177"/>
      <c r="AS145" s="1548"/>
      <c r="AT145" s="1549"/>
      <c r="AU145" s="1178"/>
      <c r="AV145" s="1179"/>
      <c r="AY145" s="3">
        <v>1</v>
      </c>
    </row>
    <row r="146" spans="2:51" ht="27" customHeight="1">
      <c r="B146" s="104"/>
      <c r="C146" s="1172"/>
      <c r="D146" s="1172"/>
      <c r="E146" s="1172"/>
      <c r="F146" s="1173"/>
      <c r="G146" s="1174"/>
      <c r="H146" s="1175"/>
      <c r="I146" s="1176"/>
      <c r="J146" s="1177"/>
      <c r="K146" s="1547"/>
      <c r="L146" s="1177"/>
      <c r="M146" s="1548"/>
      <c r="N146" s="1549"/>
      <c r="O146" s="1178"/>
      <c r="P146" s="1179"/>
      <c r="Q146" s="1171"/>
      <c r="R146" s="104"/>
      <c r="S146" s="1172"/>
      <c r="T146" s="1172"/>
      <c r="U146" s="1172"/>
      <c r="V146" s="1173"/>
      <c r="W146" s="1174"/>
      <c r="X146" s="1175"/>
      <c r="Y146" s="1176"/>
      <c r="Z146" s="1177"/>
      <c r="AA146" s="1547"/>
      <c r="AB146" s="1177"/>
      <c r="AC146" s="1548"/>
      <c r="AD146" s="1549"/>
      <c r="AE146" s="1178"/>
      <c r="AF146" s="1179"/>
      <c r="AG146" s="1171"/>
      <c r="AH146" s="104"/>
      <c r="AI146" s="1172"/>
      <c r="AJ146" s="1172"/>
      <c r="AK146" s="1172"/>
      <c r="AL146" s="1173"/>
      <c r="AM146" s="1174"/>
      <c r="AN146" s="1175"/>
      <c r="AO146" s="1176"/>
      <c r="AP146" s="1177"/>
      <c r="AQ146" s="1547"/>
      <c r="AR146" s="1177"/>
      <c r="AS146" s="1548"/>
      <c r="AT146" s="1549"/>
      <c r="AU146" s="1178"/>
      <c r="AV146" s="1179"/>
      <c r="AY146" s="3">
        <v>1</v>
      </c>
    </row>
    <row r="147" spans="2:51" ht="27" customHeight="1">
      <c r="B147" s="104"/>
      <c r="C147" s="1172"/>
      <c r="D147" s="1172"/>
      <c r="E147" s="1172"/>
      <c r="F147" s="1173"/>
      <c r="G147" s="1174"/>
      <c r="H147" s="1175"/>
      <c r="I147" s="1176"/>
      <c r="J147" s="1177"/>
      <c r="K147" s="1547"/>
      <c r="L147" s="1177"/>
      <c r="M147" s="1548"/>
      <c r="N147" s="1549"/>
      <c r="O147" s="1178"/>
      <c r="P147" s="1179"/>
      <c r="Q147" s="1171"/>
      <c r="R147" s="104"/>
      <c r="S147" s="1172"/>
      <c r="T147" s="1172"/>
      <c r="U147" s="1172"/>
      <c r="V147" s="1173"/>
      <c r="W147" s="1174"/>
      <c r="X147" s="1175"/>
      <c r="Y147" s="1176"/>
      <c r="Z147" s="1177"/>
      <c r="AA147" s="1547"/>
      <c r="AB147" s="1177"/>
      <c r="AC147" s="1548"/>
      <c r="AD147" s="1549"/>
      <c r="AE147" s="1178"/>
      <c r="AF147" s="1179"/>
      <c r="AG147" s="1171"/>
      <c r="AH147" s="104"/>
      <c r="AI147" s="1172"/>
      <c r="AJ147" s="1172"/>
      <c r="AK147" s="1172"/>
      <c r="AL147" s="1173"/>
      <c r="AM147" s="1174"/>
      <c r="AN147" s="1175"/>
      <c r="AO147" s="1176"/>
      <c r="AP147" s="1177"/>
      <c r="AQ147" s="1547"/>
      <c r="AR147" s="1177"/>
      <c r="AS147" s="1548"/>
      <c r="AT147" s="1549"/>
      <c r="AU147" s="1178"/>
      <c r="AV147" s="1179"/>
      <c r="AY147" s="3">
        <v>1</v>
      </c>
    </row>
    <row r="148" spans="2:51" ht="27" customHeight="1">
      <c r="B148" s="104"/>
      <c r="C148" s="1172"/>
      <c r="D148" s="1172"/>
      <c r="E148" s="1172"/>
      <c r="F148" s="1173"/>
      <c r="G148" s="1174"/>
      <c r="H148" s="1175"/>
      <c r="I148" s="1176"/>
      <c r="J148" s="1177"/>
      <c r="K148" s="1547"/>
      <c r="L148" s="1177"/>
      <c r="M148" s="1548"/>
      <c r="N148" s="1549"/>
      <c r="O148" s="1178"/>
      <c r="P148" s="1179"/>
      <c r="Q148" s="1171"/>
      <c r="R148" s="104"/>
      <c r="S148" s="1172"/>
      <c r="T148" s="1172"/>
      <c r="U148" s="1172"/>
      <c r="V148" s="1173"/>
      <c r="W148" s="1174"/>
      <c r="X148" s="1175"/>
      <c r="Y148" s="1176"/>
      <c r="Z148" s="1177"/>
      <c r="AA148" s="1547"/>
      <c r="AB148" s="1177"/>
      <c r="AC148" s="1548"/>
      <c r="AD148" s="1549"/>
      <c r="AE148" s="1178"/>
      <c r="AF148" s="1179"/>
      <c r="AG148" s="1171"/>
      <c r="AH148" s="104"/>
      <c r="AI148" s="1172"/>
      <c r="AJ148" s="1172"/>
      <c r="AK148" s="1172"/>
      <c r="AL148" s="1173"/>
      <c r="AM148" s="1174"/>
      <c r="AN148" s="1175"/>
      <c r="AO148" s="1176"/>
      <c r="AP148" s="1177"/>
      <c r="AQ148" s="1547"/>
      <c r="AR148" s="1177"/>
      <c r="AS148" s="1548"/>
      <c r="AT148" s="1549"/>
      <c r="AU148" s="1178"/>
      <c r="AV148" s="1179"/>
      <c r="AY148" s="3">
        <v>1</v>
      </c>
    </row>
    <row r="149" spans="2:51" ht="27" customHeight="1">
      <c r="B149" s="104"/>
      <c r="C149" s="1172"/>
      <c r="D149" s="1172"/>
      <c r="E149" s="1172"/>
      <c r="F149" s="1173"/>
      <c r="G149" s="1174"/>
      <c r="H149" s="1175"/>
      <c r="I149" s="1176"/>
      <c r="J149" s="1177"/>
      <c r="K149" s="1547"/>
      <c r="L149" s="1177"/>
      <c r="M149" s="1548"/>
      <c r="N149" s="1549"/>
      <c r="O149" s="1178"/>
      <c r="P149" s="1179"/>
      <c r="Q149" s="1171"/>
      <c r="R149" s="104"/>
      <c r="S149" s="1172"/>
      <c r="T149" s="1172"/>
      <c r="U149" s="1172"/>
      <c r="V149" s="1173"/>
      <c r="W149" s="1174"/>
      <c r="X149" s="1175"/>
      <c r="Y149" s="1176"/>
      <c r="Z149" s="1177"/>
      <c r="AA149" s="1547"/>
      <c r="AB149" s="1177"/>
      <c r="AC149" s="1548"/>
      <c r="AD149" s="1549"/>
      <c r="AE149" s="1178"/>
      <c r="AF149" s="1179"/>
      <c r="AG149" s="1171"/>
      <c r="AH149" s="104"/>
      <c r="AI149" s="1172"/>
      <c r="AJ149" s="1172"/>
      <c r="AK149" s="1172"/>
      <c r="AL149" s="1173"/>
      <c r="AM149" s="1174"/>
      <c r="AN149" s="1175"/>
      <c r="AO149" s="1176"/>
      <c r="AP149" s="1177"/>
      <c r="AQ149" s="1547"/>
      <c r="AR149" s="1177"/>
      <c r="AS149" s="1548"/>
      <c r="AT149" s="1549"/>
      <c r="AU149" s="1178"/>
      <c r="AV149" s="1179"/>
      <c r="AY149" s="3">
        <v>1</v>
      </c>
    </row>
    <row r="150" spans="2:51" ht="27" customHeight="1">
      <c r="B150" s="104"/>
      <c r="C150" s="1172"/>
      <c r="D150" s="1172"/>
      <c r="E150" s="1172"/>
      <c r="F150" s="1173"/>
      <c r="G150" s="1174"/>
      <c r="H150" s="1175"/>
      <c r="I150" s="1176"/>
      <c r="J150" s="1177"/>
      <c r="K150" s="1547"/>
      <c r="L150" s="1177"/>
      <c r="M150" s="1548"/>
      <c r="N150" s="1549"/>
      <c r="O150" s="1178"/>
      <c r="P150" s="1179"/>
      <c r="Q150" s="1171"/>
      <c r="R150" s="104"/>
      <c r="S150" s="1172"/>
      <c r="T150" s="1172"/>
      <c r="U150" s="1172"/>
      <c r="V150" s="1173"/>
      <c r="W150" s="1174"/>
      <c r="X150" s="1175"/>
      <c r="Y150" s="1176"/>
      <c r="Z150" s="1177"/>
      <c r="AA150" s="1547"/>
      <c r="AB150" s="1177"/>
      <c r="AC150" s="1548"/>
      <c r="AD150" s="1549"/>
      <c r="AE150" s="1178"/>
      <c r="AF150" s="1179"/>
      <c r="AG150" s="1171"/>
      <c r="AH150" s="104"/>
      <c r="AI150" s="1172"/>
      <c r="AJ150" s="1172"/>
      <c r="AK150" s="1172"/>
      <c r="AL150" s="1173"/>
      <c r="AM150" s="1174"/>
      <c r="AN150" s="1175"/>
      <c r="AO150" s="1176"/>
      <c r="AP150" s="1177"/>
      <c r="AQ150" s="1547"/>
      <c r="AR150" s="1177"/>
      <c r="AS150" s="1548"/>
      <c r="AT150" s="1549"/>
      <c r="AU150" s="1178"/>
      <c r="AV150" s="1179"/>
      <c r="AY150" s="3">
        <v>1</v>
      </c>
    </row>
    <row r="151" spans="2:51" ht="27" customHeight="1">
      <c r="B151" s="104"/>
      <c r="C151" s="1172"/>
      <c r="D151" s="1172"/>
      <c r="E151" s="1172"/>
      <c r="F151" s="1173"/>
      <c r="G151" s="1174"/>
      <c r="H151" s="1175"/>
      <c r="I151" s="1176"/>
      <c r="J151" s="1177"/>
      <c r="K151" s="1547"/>
      <c r="L151" s="1177"/>
      <c r="M151" s="1548"/>
      <c r="N151" s="1549"/>
      <c r="O151" s="1178"/>
      <c r="P151" s="1179"/>
      <c r="Q151" s="1171"/>
      <c r="R151" s="104"/>
      <c r="S151" s="1172"/>
      <c r="T151" s="1172"/>
      <c r="U151" s="1172"/>
      <c r="V151" s="1173"/>
      <c r="W151" s="1174"/>
      <c r="X151" s="1175"/>
      <c r="Y151" s="1176"/>
      <c r="Z151" s="1177"/>
      <c r="AA151" s="1547"/>
      <c r="AB151" s="1177"/>
      <c r="AC151" s="1548"/>
      <c r="AD151" s="1549"/>
      <c r="AE151" s="1178"/>
      <c r="AF151" s="1179"/>
      <c r="AG151" s="1171"/>
      <c r="AH151" s="104"/>
      <c r="AI151" s="1172"/>
      <c r="AJ151" s="1172"/>
      <c r="AK151" s="1172"/>
      <c r="AL151" s="1173"/>
      <c r="AM151" s="1174"/>
      <c r="AN151" s="1175"/>
      <c r="AO151" s="1176"/>
      <c r="AP151" s="1177"/>
      <c r="AQ151" s="1547"/>
      <c r="AR151" s="1177"/>
      <c r="AS151" s="1548"/>
      <c r="AT151" s="1549"/>
      <c r="AU151" s="1178"/>
      <c r="AV151" s="1179"/>
      <c r="AY151" s="3">
        <v>1</v>
      </c>
    </row>
    <row r="152" spans="2:51" ht="27" customHeight="1">
      <c r="B152" s="104"/>
      <c r="C152" s="1172"/>
      <c r="D152" s="1172"/>
      <c r="E152" s="1172"/>
      <c r="F152" s="1173"/>
      <c r="G152" s="1174"/>
      <c r="H152" s="1175"/>
      <c r="I152" s="1176"/>
      <c r="J152" s="1177"/>
      <c r="K152" s="1547"/>
      <c r="L152" s="1177"/>
      <c r="M152" s="1548"/>
      <c r="N152" s="1549"/>
      <c r="O152" s="1178"/>
      <c r="P152" s="1179"/>
      <c r="Q152" s="1171"/>
      <c r="R152" s="104"/>
      <c r="S152" s="1172"/>
      <c r="T152" s="1172"/>
      <c r="U152" s="1172"/>
      <c r="V152" s="1173"/>
      <c r="W152" s="1174"/>
      <c r="X152" s="1175"/>
      <c r="Y152" s="1176"/>
      <c r="Z152" s="1177"/>
      <c r="AA152" s="1547"/>
      <c r="AB152" s="1177"/>
      <c r="AC152" s="1548"/>
      <c r="AD152" s="1549"/>
      <c r="AE152" s="1178"/>
      <c r="AF152" s="1179"/>
      <c r="AG152" s="1171"/>
      <c r="AH152" s="104"/>
      <c r="AI152" s="1172"/>
      <c r="AJ152" s="1172"/>
      <c r="AK152" s="1172"/>
      <c r="AL152" s="1173"/>
      <c r="AM152" s="1174"/>
      <c r="AN152" s="1175"/>
      <c r="AO152" s="1176"/>
      <c r="AP152" s="1177"/>
      <c r="AQ152" s="1547"/>
      <c r="AR152" s="1177"/>
      <c r="AS152" s="1548"/>
      <c r="AT152" s="1549"/>
      <c r="AU152" s="1178"/>
      <c r="AV152" s="1179"/>
      <c r="AY152" s="3">
        <v>1</v>
      </c>
    </row>
    <row r="153" spans="2:51" ht="27" customHeight="1">
      <c r="B153" s="104"/>
      <c r="C153" s="1172"/>
      <c r="D153" s="1172"/>
      <c r="E153" s="1172"/>
      <c r="F153" s="1173"/>
      <c r="G153" s="1174"/>
      <c r="H153" s="1175"/>
      <c r="I153" s="1176"/>
      <c r="J153" s="1177"/>
      <c r="K153" s="1547"/>
      <c r="L153" s="1177"/>
      <c r="M153" s="1548"/>
      <c r="N153" s="1549"/>
      <c r="O153" s="1178"/>
      <c r="P153" s="1179"/>
      <c r="Q153" s="1171"/>
      <c r="R153" s="104"/>
      <c r="S153" s="1172"/>
      <c r="T153" s="1172"/>
      <c r="U153" s="1172"/>
      <c r="V153" s="1173"/>
      <c r="W153" s="1174"/>
      <c r="X153" s="1175"/>
      <c r="Y153" s="1176"/>
      <c r="Z153" s="1177"/>
      <c r="AA153" s="1547"/>
      <c r="AB153" s="1177"/>
      <c r="AC153" s="1548"/>
      <c r="AD153" s="1549"/>
      <c r="AE153" s="1178"/>
      <c r="AF153" s="1179"/>
      <c r="AG153" s="1171"/>
      <c r="AH153" s="104"/>
      <c r="AI153" s="1172"/>
      <c r="AJ153" s="1172"/>
      <c r="AK153" s="1172"/>
      <c r="AL153" s="1173"/>
      <c r="AM153" s="1174"/>
      <c r="AN153" s="1175"/>
      <c r="AO153" s="1176"/>
      <c r="AP153" s="1177"/>
      <c r="AQ153" s="1547"/>
      <c r="AR153" s="1177"/>
      <c r="AS153" s="1548"/>
      <c r="AT153" s="1549"/>
      <c r="AU153" s="1178"/>
      <c r="AV153" s="1179"/>
      <c r="AY153" s="3">
        <v>1</v>
      </c>
    </row>
    <row r="154" spans="2:51" ht="27" customHeight="1">
      <c r="B154" s="104"/>
      <c r="C154" s="1172"/>
      <c r="D154" s="1172"/>
      <c r="E154" s="1172"/>
      <c r="F154" s="1173"/>
      <c r="G154" s="1174"/>
      <c r="H154" s="1175"/>
      <c r="I154" s="1176"/>
      <c r="J154" s="1177"/>
      <c r="K154" s="1547"/>
      <c r="L154" s="1177"/>
      <c r="M154" s="1548"/>
      <c r="N154" s="1549"/>
      <c r="O154" s="1178"/>
      <c r="P154" s="1179"/>
      <c r="Q154" s="1171"/>
      <c r="R154" s="104"/>
      <c r="S154" s="1172"/>
      <c r="T154" s="1172"/>
      <c r="U154" s="1172"/>
      <c r="V154" s="1173"/>
      <c r="W154" s="1174"/>
      <c r="X154" s="1175"/>
      <c r="Y154" s="1176"/>
      <c r="Z154" s="1177"/>
      <c r="AA154" s="1547"/>
      <c r="AB154" s="1177"/>
      <c r="AC154" s="1548"/>
      <c r="AD154" s="1549"/>
      <c r="AE154" s="1178"/>
      <c r="AF154" s="1179"/>
      <c r="AG154" s="1171"/>
      <c r="AH154" s="104"/>
      <c r="AI154" s="1172"/>
      <c r="AJ154" s="1172"/>
      <c r="AK154" s="1172"/>
      <c r="AL154" s="1173"/>
      <c r="AM154" s="1174"/>
      <c r="AN154" s="1175"/>
      <c r="AO154" s="1176"/>
      <c r="AP154" s="1177"/>
      <c r="AQ154" s="1547"/>
      <c r="AR154" s="1177"/>
      <c r="AS154" s="1548"/>
      <c r="AT154" s="1549"/>
      <c r="AU154" s="1178"/>
      <c r="AV154" s="1179"/>
      <c r="AY154" s="3">
        <v>1</v>
      </c>
    </row>
    <row r="155" spans="2:51" ht="27" customHeight="1">
      <c r="B155" s="104"/>
      <c r="C155" s="1172"/>
      <c r="D155" s="1172"/>
      <c r="E155" s="1172"/>
      <c r="F155" s="1173"/>
      <c r="G155" s="1174"/>
      <c r="H155" s="1175"/>
      <c r="I155" s="1176"/>
      <c r="J155" s="1177"/>
      <c r="K155" s="1547"/>
      <c r="L155" s="1177"/>
      <c r="M155" s="1548"/>
      <c r="N155" s="1549"/>
      <c r="O155" s="1178"/>
      <c r="P155" s="1179"/>
      <c r="Q155" s="1171"/>
      <c r="R155" s="104"/>
      <c r="S155" s="1172"/>
      <c r="T155" s="1172"/>
      <c r="U155" s="1172"/>
      <c r="V155" s="1173"/>
      <c r="W155" s="1174"/>
      <c r="X155" s="1175"/>
      <c r="Y155" s="1176"/>
      <c r="Z155" s="1177"/>
      <c r="AA155" s="1547"/>
      <c r="AB155" s="1177"/>
      <c r="AC155" s="1548"/>
      <c r="AD155" s="1549"/>
      <c r="AE155" s="1178"/>
      <c r="AF155" s="1179"/>
      <c r="AG155" s="1171"/>
      <c r="AH155" s="104"/>
      <c r="AI155" s="1172"/>
      <c r="AJ155" s="1172"/>
      <c r="AK155" s="1172"/>
      <c r="AL155" s="1173"/>
      <c r="AM155" s="1174"/>
      <c r="AN155" s="1175"/>
      <c r="AO155" s="1176"/>
      <c r="AP155" s="1177"/>
      <c r="AQ155" s="1547"/>
      <c r="AR155" s="1177"/>
      <c r="AS155" s="1548"/>
      <c r="AT155" s="1549"/>
      <c r="AU155" s="1178"/>
      <c r="AV155" s="1179"/>
      <c r="AY155" s="3">
        <v>1</v>
      </c>
    </row>
    <row r="156" spans="2:51" ht="27" customHeight="1">
      <c r="B156" s="104"/>
      <c r="C156" s="1172"/>
      <c r="D156" s="1172"/>
      <c r="E156" s="1172"/>
      <c r="F156" s="1173"/>
      <c r="G156" s="1174"/>
      <c r="H156" s="1175"/>
      <c r="I156" s="1176"/>
      <c r="J156" s="1177"/>
      <c r="K156" s="1547"/>
      <c r="L156" s="1177"/>
      <c r="M156" s="1548"/>
      <c r="N156" s="1549"/>
      <c r="O156" s="1178"/>
      <c r="P156" s="1179"/>
      <c r="Q156" s="1171"/>
      <c r="R156" s="104"/>
      <c r="S156" s="1172"/>
      <c r="T156" s="1172"/>
      <c r="U156" s="1172"/>
      <c r="V156" s="1173"/>
      <c r="W156" s="1174"/>
      <c r="X156" s="1175"/>
      <c r="Y156" s="1176"/>
      <c r="Z156" s="1177"/>
      <c r="AA156" s="1547"/>
      <c r="AB156" s="1177"/>
      <c r="AC156" s="1548"/>
      <c r="AD156" s="1549"/>
      <c r="AE156" s="1178"/>
      <c r="AF156" s="1179"/>
      <c r="AG156" s="1171"/>
      <c r="AH156" s="104"/>
      <c r="AI156" s="1172"/>
      <c r="AJ156" s="1172"/>
      <c r="AK156" s="1172"/>
      <c r="AL156" s="1173"/>
      <c r="AM156" s="1174"/>
      <c r="AN156" s="1175"/>
      <c r="AO156" s="1176"/>
      <c r="AP156" s="1177"/>
      <c r="AQ156" s="1547"/>
      <c r="AR156" s="1177"/>
      <c r="AS156" s="1548"/>
      <c r="AT156" s="1549"/>
      <c r="AU156" s="1178"/>
      <c r="AV156" s="1179"/>
      <c r="AY156" s="3">
        <v>1</v>
      </c>
    </row>
    <row r="157" spans="2:51" ht="27" customHeight="1">
      <c r="B157" s="104"/>
      <c r="C157" s="1172"/>
      <c r="D157" s="1172"/>
      <c r="E157" s="1172"/>
      <c r="F157" s="1173"/>
      <c r="G157" s="1174"/>
      <c r="H157" s="1175"/>
      <c r="I157" s="1176"/>
      <c r="J157" s="1177"/>
      <c r="K157" s="1547"/>
      <c r="L157" s="1177"/>
      <c r="M157" s="1548"/>
      <c r="N157" s="1549"/>
      <c r="O157" s="1178"/>
      <c r="P157" s="1179"/>
      <c r="Q157" s="1171"/>
      <c r="R157" s="104"/>
      <c r="S157" s="1172"/>
      <c r="T157" s="1172"/>
      <c r="U157" s="1172"/>
      <c r="V157" s="1173"/>
      <c r="W157" s="1174"/>
      <c r="X157" s="1175"/>
      <c r="Y157" s="1176"/>
      <c r="Z157" s="1177"/>
      <c r="AA157" s="1547"/>
      <c r="AB157" s="1177"/>
      <c r="AC157" s="1548"/>
      <c r="AD157" s="1549"/>
      <c r="AE157" s="1178"/>
      <c r="AF157" s="1179"/>
      <c r="AG157" s="1171"/>
      <c r="AH157" s="104"/>
      <c r="AI157" s="1172"/>
      <c r="AJ157" s="1172"/>
      <c r="AK157" s="1172"/>
      <c r="AL157" s="1173"/>
      <c r="AM157" s="1174"/>
      <c r="AN157" s="1175"/>
      <c r="AO157" s="1176"/>
      <c r="AP157" s="1177"/>
      <c r="AQ157" s="1547"/>
      <c r="AR157" s="1177"/>
      <c r="AS157" s="1548"/>
      <c r="AT157" s="1549"/>
      <c r="AU157" s="1178"/>
      <c r="AV157" s="1179"/>
      <c r="AY157" s="3">
        <v>1</v>
      </c>
    </row>
    <row r="158" spans="2:51" ht="27" customHeight="1">
      <c r="B158" s="104"/>
      <c r="C158" s="1172"/>
      <c r="D158" s="1172"/>
      <c r="E158" s="1172"/>
      <c r="F158" s="1173"/>
      <c r="G158" s="1174"/>
      <c r="H158" s="1175"/>
      <c r="I158" s="1176"/>
      <c r="J158" s="1177"/>
      <c r="K158" s="1547"/>
      <c r="L158" s="1177"/>
      <c r="M158" s="1548"/>
      <c r="N158" s="1549"/>
      <c r="O158" s="1178"/>
      <c r="P158" s="1179"/>
      <c r="Q158" s="1171"/>
      <c r="R158" s="104"/>
      <c r="S158" s="1172"/>
      <c r="T158" s="1172"/>
      <c r="U158" s="1172"/>
      <c r="V158" s="1173"/>
      <c r="W158" s="1174"/>
      <c r="X158" s="1175"/>
      <c r="Y158" s="1176"/>
      <c r="Z158" s="1177"/>
      <c r="AA158" s="1547"/>
      <c r="AB158" s="1177"/>
      <c r="AC158" s="1548"/>
      <c r="AD158" s="1549"/>
      <c r="AE158" s="1178"/>
      <c r="AF158" s="1179"/>
      <c r="AG158" s="1171"/>
      <c r="AH158" s="104"/>
      <c r="AI158" s="1172"/>
      <c r="AJ158" s="1172"/>
      <c r="AK158" s="1172"/>
      <c r="AL158" s="1173"/>
      <c r="AM158" s="1174"/>
      <c r="AN158" s="1175"/>
      <c r="AO158" s="1176"/>
      <c r="AP158" s="1177"/>
      <c r="AQ158" s="1547"/>
      <c r="AR158" s="1177"/>
      <c r="AS158" s="1548"/>
      <c r="AT158" s="1549"/>
      <c r="AU158" s="1178"/>
      <c r="AV158" s="1179"/>
      <c r="AY158" s="3">
        <v>1</v>
      </c>
    </row>
    <row r="159" spans="2:51" ht="27" customHeight="1">
      <c r="B159" s="104"/>
      <c r="C159" s="1172"/>
      <c r="D159" s="1172"/>
      <c r="E159" s="1172"/>
      <c r="F159" s="1173"/>
      <c r="G159" s="1174"/>
      <c r="H159" s="1175"/>
      <c r="I159" s="1176"/>
      <c r="J159" s="1177"/>
      <c r="K159" s="1547"/>
      <c r="L159" s="1177"/>
      <c r="M159" s="1548"/>
      <c r="N159" s="1549"/>
      <c r="O159" s="1178"/>
      <c r="P159" s="1179"/>
      <c r="Q159" s="1171"/>
      <c r="R159" s="104"/>
      <c r="S159" s="1172"/>
      <c r="T159" s="1172"/>
      <c r="U159" s="1172"/>
      <c r="V159" s="1173"/>
      <c r="W159" s="1174"/>
      <c r="X159" s="1175"/>
      <c r="Y159" s="1176"/>
      <c r="Z159" s="1177"/>
      <c r="AA159" s="1547"/>
      <c r="AB159" s="1177"/>
      <c r="AC159" s="1548"/>
      <c r="AD159" s="1549"/>
      <c r="AE159" s="1178"/>
      <c r="AF159" s="1179"/>
      <c r="AG159" s="1171"/>
      <c r="AH159" s="104"/>
      <c r="AI159" s="1172"/>
      <c r="AJ159" s="1172"/>
      <c r="AK159" s="1172"/>
      <c r="AL159" s="1173"/>
      <c r="AM159" s="1174"/>
      <c r="AN159" s="1175"/>
      <c r="AO159" s="1176"/>
      <c r="AP159" s="1177"/>
      <c r="AQ159" s="1547"/>
      <c r="AR159" s="1177"/>
      <c r="AS159" s="1548"/>
      <c r="AT159" s="1549"/>
      <c r="AU159" s="1178"/>
      <c r="AV159" s="1179"/>
      <c r="AY159" s="3">
        <v>1</v>
      </c>
    </row>
    <row r="160" spans="2:51" ht="27" customHeight="1">
      <c r="B160" s="104"/>
      <c r="C160" s="1172"/>
      <c r="D160" s="1172"/>
      <c r="E160" s="1172"/>
      <c r="F160" s="1173"/>
      <c r="G160" s="1174"/>
      <c r="H160" s="1175"/>
      <c r="I160" s="1176"/>
      <c r="J160" s="1177"/>
      <c r="K160" s="1547"/>
      <c r="L160" s="1177"/>
      <c r="M160" s="1548"/>
      <c r="N160" s="1549"/>
      <c r="O160" s="1178"/>
      <c r="P160" s="1179"/>
      <c r="Q160" s="1171"/>
      <c r="R160" s="104"/>
      <c r="S160" s="1172"/>
      <c r="T160" s="1172"/>
      <c r="U160" s="1172"/>
      <c r="V160" s="1173"/>
      <c r="W160" s="1174"/>
      <c r="X160" s="1175"/>
      <c r="Y160" s="1176"/>
      <c r="Z160" s="1177"/>
      <c r="AA160" s="1547"/>
      <c r="AB160" s="1177"/>
      <c r="AC160" s="1548"/>
      <c r="AD160" s="1549"/>
      <c r="AE160" s="1178"/>
      <c r="AF160" s="1179"/>
      <c r="AG160" s="1171"/>
      <c r="AH160" s="104"/>
      <c r="AI160" s="1172"/>
      <c r="AJ160" s="1172"/>
      <c r="AK160" s="1172"/>
      <c r="AL160" s="1173"/>
      <c r="AM160" s="1174"/>
      <c r="AN160" s="1175"/>
      <c r="AO160" s="1176"/>
      <c r="AP160" s="1177"/>
      <c r="AQ160" s="1547"/>
      <c r="AR160" s="1177"/>
      <c r="AS160" s="1548"/>
      <c r="AT160" s="1549"/>
      <c r="AU160" s="1178"/>
      <c r="AV160" s="1179"/>
      <c r="AY160" s="3">
        <v>1</v>
      </c>
    </row>
    <row r="161" spans="2:51" ht="27" customHeight="1">
      <c r="B161" s="104"/>
      <c r="C161" s="1172"/>
      <c r="D161" s="1172"/>
      <c r="E161" s="1172"/>
      <c r="F161" s="1173"/>
      <c r="G161" s="1174"/>
      <c r="H161" s="1175"/>
      <c r="I161" s="1176"/>
      <c r="J161" s="1177"/>
      <c r="K161" s="1547"/>
      <c r="L161" s="1177"/>
      <c r="M161" s="1548"/>
      <c r="N161" s="1549"/>
      <c r="O161" s="1178"/>
      <c r="P161" s="1179"/>
      <c r="Q161" s="1171"/>
      <c r="R161" s="104"/>
      <c r="S161" s="1172"/>
      <c r="T161" s="1172"/>
      <c r="U161" s="1172"/>
      <c r="V161" s="1173"/>
      <c r="W161" s="1174"/>
      <c r="X161" s="1175"/>
      <c r="Y161" s="1176"/>
      <c r="Z161" s="1177"/>
      <c r="AA161" s="1547"/>
      <c r="AB161" s="1177"/>
      <c r="AC161" s="1548"/>
      <c r="AD161" s="1549"/>
      <c r="AE161" s="1178"/>
      <c r="AF161" s="1179"/>
      <c r="AG161" s="1171"/>
      <c r="AH161" s="104"/>
      <c r="AI161" s="1172"/>
      <c r="AJ161" s="1172"/>
      <c r="AK161" s="1172"/>
      <c r="AL161" s="1173"/>
      <c r="AM161" s="1174"/>
      <c r="AN161" s="1175"/>
      <c r="AO161" s="1176"/>
      <c r="AP161" s="1177"/>
      <c r="AQ161" s="1547"/>
      <c r="AR161" s="1177"/>
      <c r="AS161" s="1548"/>
      <c r="AT161" s="1549"/>
      <c r="AU161" s="1178"/>
      <c r="AV161" s="1179"/>
      <c r="AY161" s="3">
        <v>1</v>
      </c>
    </row>
    <row r="162" spans="2:51" ht="27" customHeight="1">
      <c r="B162" s="104"/>
      <c r="C162" s="1172"/>
      <c r="D162" s="1172"/>
      <c r="E162" s="1172"/>
      <c r="F162" s="1173"/>
      <c r="G162" s="1174"/>
      <c r="H162" s="1175"/>
      <c r="I162" s="1176"/>
      <c r="J162" s="1177"/>
      <c r="K162" s="1547"/>
      <c r="L162" s="1177"/>
      <c r="M162" s="1548"/>
      <c r="N162" s="1549"/>
      <c r="O162" s="1178"/>
      <c r="P162" s="1179"/>
      <c r="Q162" s="1171"/>
      <c r="R162" s="104"/>
      <c r="S162" s="1172"/>
      <c r="T162" s="1172"/>
      <c r="U162" s="1172"/>
      <c r="V162" s="1173"/>
      <c r="W162" s="1174"/>
      <c r="X162" s="1175"/>
      <c r="Y162" s="1176"/>
      <c r="Z162" s="1177"/>
      <c r="AA162" s="1547"/>
      <c r="AB162" s="1177"/>
      <c r="AC162" s="1548"/>
      <c r="AD162" s="1549"/>
      <c r="AE162" s="1178"/>
      <c r="AF162" s="1179"/>
      <c r="AG162" s="1171"/>
      <c r="AH162" s="104"/>
      <c r="AI162" s="1172"/>
      <c r="AJ162" s="1172"/>
      <c r="AK162" s="1172"/>
      <c r="AL162" s="1173"/>
      <c r="AM162" s="1174"/>
      <c r="AN162" s="1175"/>
      <c r="AO162" s="1176"/>
      <c r="AP162" s="1177"/>
      <c r="AQ162" s="1547"/>
      <c r="AR162" s="1177"/>
      <c r="AS162" s="1548"/>
      <c r="AT162" s="1549"/>
      <c r="AU162" s="1178"/>
      <c r="AV162" s="1179"/>
      <c r="AY162" s="3">
        <v>1</v>
      </c>
    </row>
    <row r="163" spans="2:51" ht="27" customHeight="1">
      <c r="B163" s="104"/>
      <c r="C163" s="1172"/>
      <c r="D163" s="1172"/>
      <c r="E163" s="1172"/>
      <c r="F163" s="1173"/>
      <c r="G163" s="1174"/>
      <c r="H163" s="1175"/>
      <c r="I163" s="1176"/>
      <c r="J163" s="1177"/>
      <c r="K163" s="1547"/>
      <c r="L163" s="1177"/>
      <c r="M163" s="1548"/>
      <c r="N163" s="1549"/>
      <c r="O163" s="1178"/>
      <c r="P163" s="1179"/>
      <c r="Q163" s="1171"/>
      <c r="R163" s="104"/>
      <c r="S163" s="1172"/>
      <c r="T163" s="1172"/>
      <c r="U163" s="1172"/>
      <c r="V163" s="1173"/>
      <c r="W163" s="1174"/>
      <c r="X163" s="1175"/>
      <c r="Y163" s="1176"/>
      <c r="Z163" s="1177"/>
      <c r="AA163" s="1547"/>
      <c r="AB163" s="1177"/>
      <c r="AC163" s="1548"/>
      <c r="AD163" s="1549"/>
      <c r="AE163" s="1178"/>
      <c r="AF163" s="1179"/>
      <c r="AG163" s="1171"/>
      <c r="AH163" s="104"/>
      <c r="AI163" s="1172"/>
      <c r="AJ163" s="1172"/>
      <c r="AK163" s="1172"/>
      <c r="AL163" s="1173"/>
      <c r="AM163" s="1174"/>
      <c r="AN163" s="1175"/>
      <c r="AO163" s="1176"/>
      <c r="AP163" s="1177"/>
      <c r="AQ163" s="1547"/>
      <c r="AR163" s="1177"/>
      <c r="AS163" s="1548"/>
      <c r="AT163" s="1549"/>
      <c r="AU163" s="1178"/>
      <c r="AV163" s="1179"/>
      <c r="AY163" s="3">
        <v>1</v>
      </c>
    </row>
    <row r="164" spans="2:51" ht="27" customHeight="1">
      <c r="B164" s="104"/>
      <c r="C164" s="1172"/>
      <c r="D164" s="1172"/>
      <c r="E164" s="1172"/>
      <c r="F164" s="1173"/>
      <c r="G164" s="1174"/>
      <c r="H164" s="1175"/>
      <c r="I164" s="1176"/>
      <c r="J164" s="1177"/>
      <c r="K164" s="1547"/>
      <c r="L164" s="1177"/>
      <c r="M164" s="1548"/>
      <c r="N164" s="1549"/>
      <c r="O164" s="1178"/>
      <c r="P164" s="1179"/>
      <c r="Q164" s="1171"/>
      <c r="R164" s="104"/>
      <c r="S164" s="1172"/>
      <c r="T164" s="1172"/>
      <c r="U164" s="1172"/>
      <c r="V164" s="1173"/>
      <c r="W164" s="1174"/>
      <c r="X164" s="1175"/>
      <c r="Y164" s="1176"/>
      <c r="Z164" s="1177"/>
      <c r="AA164" s="1547"/>
      <c r="AB164" s="1177"/>
      <c r="AC164" s="1548"/>
      <c r="AD164" s="1549"/>
      <c r="AE164" s="1178"/>
      <c r="AF164" s="1179"/>
      <c r="AG164" s="1171"/>
      <c r="AH164" s="104"/>
      <c r="AI164" s="1172"/>
      <c r="AJ164" s="1172"/>
      <c r="AK164" s="1172"/>
      <c r="AL164" s="1173"/>
      <c r="AM164" s="1174"/>
      <c r="AN164" s="1175"/>
      <c r="AO164" s="1176"/>
      <c r="AP164" s="1177"/>
      <c r="AQ164" s="1547"/>
      <c r="AR164" s="1177"/>
      <c r="AS164" s="1548"/>
      <c r="AT164" s="1549"/>
      <c r="AU164" s="1178"/>
      <c r="AV164" s="1179"/>
      <c r="AY164" s="3">
        <v>1</v>
      </c>
    </row>
    <row r="165" spans="2:51" ht="27" customHeight="1">
      <c r="B165" s="104"/>
      <c r="C165" s="1172"/>
      <c r="D165" s="1172"/>
      <c r="E165" s="1172"/>
      <c r="F165" s="1173"/>
      <c r="G165" s="1174"/>
      <c r="H165" s="1175"/>
      <c r="I165" s="1176"/>
      <c r="J165" s="1177"/>
      <c r="K165" s="1547"/>
      <c r="L165" s="1177"/>
      <c r="M165" s="1548"/>
      <c r="N165" s="1549"/>
      <c r="O165" s="1178"/>
      <c r="P165" s="1179"/>
      <c r="Q165" s="1171"/>
      <c r="R165" s="104"/>
      <c r="S165" s="1172"/>
      <c r="T165" s="1172"/>
      <c r="U165" s="1172"/>
      <c r="V165" s="1173"/>
      <c r="W165" s="1174"/>
      <c r="X165" s="1175"/>
      <c r="Y165" s="1176"/>
      <c r="Z165" s="1177"/>
      <c r="AA165" s="1547"/>
      <c r="AB165" s="1177"/>
      <c r="AC165" s="1548"/>
      <c r="AD165" s="1549"/>
      <c r="AE165" s="1178"/>
      <c r="AF165" s="1179"/>
      <c r="AG165" s="1171"/>
      <c r="AH165" s="104"/>
      <c r="AI165" s="1172"/>
      <c r="AJ165" s="1172"/>
      <c r="AK165" s="1172"/>
      <c r="AL165" s="1173"/>
      <c r="AM165" s="1174"/>
      <c r="AN165" s="1175"/>
      <c r="AO165" s="1176"/>
      <c r="AP165" s="1177"/>
      <c r="AQ165" s="1547"/>
      <c r="AR165" s="1177"/>
      <c r="AS165" s="1548"/>
      <c r="AT165" s="1549"/>
      <c r="AU165" s="1178"/>
      <c r="AV165" s="1179"/>
      <c r="AY165" s="3">
        <v>1</v>
      </c>
    </row>
    <row r="166" spans="2:51" ht="27" customHeight="1">
      <c r="B166" s="104"/>
      <c r="C166" s="1172"/>
      <c r="D166" s="1172"/>
      <c r="E166" s="1172"/>
      <c r="F166" s="1173"/>
      <c r="G166" s="1174"/>
      <c r="H166" s="1175"/>
      <c r="I166" s="1176"/>
      <c r="J166" s="1177"/>
      <c r="K166" s="1547"/>
      <c r="L166" s="1177"/>
      <c r="M166" s="1548"/>
      <c r="N166" s="1549"/>
      <c r="O166" s="1178"/>
      <c r="P166" s="1179"/>
      <c r="Q166" s="1171"/>
      <c r="R166" s="104"/>
      <c r="S166" s="1172"/>
      <c r="T166" s="1172"/>
      <c r="U166" s="1172"/>
      <c r="V166" s="1173"/>
      <c r="W166" s="1174"/>
      <c r="X166" s="1175"/>
      <c r="Y166" s="1176"/>
      <c r="Z166" s="1177"/>
      <c r="AA166" s="1547"/>
      <c r="AB166" s="1177"/>
      <c r="AC166" s="1548"/>
      <c r="AD166" s="1549"/>
      <c r="AE166" s="1178"/>
      <c r="AF166" s="1179"/>
      <c r="AG166" s="1171"/>
      <c r="AH166" s="104"/>
      <c r="AI166" s="1172"/>
      <c r="AJ166" s="1172"/>
      <c r="AK166" s="1172"/>
      <c r="AL166" s="1173"/>
      <c r="AM166" s="1174"/>
      <c r="AN166" s="1175"/>
      <c r="AO166" s="1176"/>
      <c r="AP166" s="1177"/>
      <c r="AQ166" s="1547"/>
      <c r="AR166" s="1177"/>
      <c r="AS166" s="1548"/>
      <c r="AT166" s="1549"/>
      <c r="AU166" s="1178"/>
      <c r="AV166" s="1179"/>
      <c r="AY166" s="3">
        <v>1</v>
      </c>
    </row>
    <row r="167" spans="2:51" ht="27" customHeight="1">
      <c r="B167" s="104"/>
      <c r="C167" s="1172"/>
      <c r="D167" s="1172"/>
      <c r="E167" s="1172"/>
      <c r="F167" s="1173"/>
      <c r="G167" s="1174"/>
      <c r="H167" s="1175"/>
      <c r="I167" s="1176"/>
      <c r="J167" s="1177"/>
      <c r="K167" s="1547"/>
      <c r="L167" s="1177"/>
      <c r="M167" s="1548"/>
      <c r="N167" s="1549"/>
      <c r="O167" s="1178"/>
      <c r="P167" s="1179"/>
      <c r="Q167" s="1171"/>
      <c r="R167" s="104"/>
      <c r="S167" s="1172"/>
      <c r="T167" s="1172"/>
      <c r="U167" s="1172"/>
      <c r="V167" s="1173"/>
      <c r="W167" s="1174"/>
      <c r="X167" s="1175"/>
      <c r="Y167" s="1176"/>
      <c r="Z167" s="1177"/>
      <c r="AA167" s="1547"/>
      <c r="AB167" s="1177"/>
      <c r="AC167" s="1548"/>
      <c r="AD167" s="1549"/>
      <c r="AE167" s="1178"/>
      <c r="AF167" s="1179"/>
      <c r="AG167" s="1171"/>
      <c r="AH167" s="104"/>
      <c r="AI167" s="1172"/>
      <c r="AJ167" s="1172"/>
      <c r="AK167" s="1172"/>
      <c r="AL167" s="1173"/>
      <c r="AM167" s="1174"/>
      <c r="AN167" s="1175"/>
      <c r="AO167" s="1176"/>
      <c r="AP167" s="1177"/>
      <c r="AQ167" s="1547"/>
      <c r="AR167" s="1177"/>
      <c r="AS167" s="1548"/>
      <c r="AT167" s="1549"/>
      <c r="AU167" s="1178"/>
      <c r="AV167" s="1179"/>
      <c r="AY167" s="3">
        <v>1</v>
      </c>
    </row>
    <row r="168" spans="2:51" ht="27" customHeight="1">
      <c r="B168" s="104"/>
      <c r="C168" s="1172"/>
      <c r="D168" s="1172"/>
      <c r="E168" s="1172"/>
      <c r="F168" s="1173"/>
      <c r="G168" s="1174"/>
      <c r="H168" s="1175"/>
      <c r="I168" s="1176"/>
      <c r="J168" s="1177"/>
      <c r="K168" s="1547"/>
      <c r="L168" s="1177"/>
      <c r="M168" s="1548"/>
      <c r="N168" s="1549"/>
      <c r="O168" s="1178"/>
      <c r="P168" s="1179"/>
      <c r="Q168" s="1171"/>
      <c r="R168" s="104"/>
      <c r="S168" s="1172"/>
      <c r="T168" s="1172"/>
      <c r="U168" s="1172"/>
      <c r="V168" s="1173"/>
      <c r="W168" s="1174"/>
      <c r="X168" s="1175"/>
      <c r="Y168" s="1176"/>
      <c r="Z168" s="1177"/>
      <c r="AA168" s="1547"/>
      <c r="AB168" s="1177"/>
      <c r="AC168" s="1548"/>
      <c r="AD168" s="1549"/>
      <c r="AE168" s="1178"/>
      <c r="AF168" s="1179"/>
      <c r="AG168" s="1171"/>
      <c r="AH168" s="104"/>
      <c r="AI168" s="1172"/>
      <c r="AJ168" s="1172"/>
      <c r="AK168" s="1172"/>
      <c r="AL168" s="1173"/>
      <c r="AM168" s="1174"/>
      <c r="AN168" s="1175"/>
      <c r="AO168" s="1176"/>
      <c r="AP168" s="1177"/>
      <c r="AQ168" s="1547"/>
      <c r="AR168" s="1177"/>
      <c r="AS168" s="1548"/>
      <c r="AT168" s="1549"/>
      <c r="AU168" s="1178"/>
      <c r="AV168" s="1179"/>
      <c r="AY168" s="3">
        <v>1</v>
      </c>
    </row>
    <row r="169" spans="2:51" ht="27" customHeight="1">
      <c r="B169" s="104"/>
      <c r="C169" s="1172"/>
      <c r="D169" s="1172"/>
      <c r="E169" s="1172"/>
      <c r="F169" s="1173"/>
      <c r="G169" s="1174"/>
      <c r="H169" s="1175"/>
      <c r="I169" s="1176"/>
      <c r="J169" s="1177"/>
      <c r="K169" s="1547"/>
      <c r="L169" s="1177"/>
      <c r="M169" s="1548"/>
      <c r="N169" s="1549"/>
      <c r="O169" s="1178"/>
      <c r="P169" s="1179"/>
      <c r="Q169" s="1171"/>
      <c r="R169" s="104"/>
      <c r="S169" s="1172"/>
      <c r="T169" s="1172"/>
      <c r="U169" s="1172"/>
      <c r="V169" s="1173"/>
      <c r="W169" s="1174"/>
      <c r="X169" s="1175"/>
      <c r="Y169" s="1176"/>
      <c r="Z169" s="1177"/>
      <c r="AA169" s="1547"/>
      <c r="AB169" s="1177"/>
      <c r="AC169" s="1548"/>
      <c r="AD169" s="1549"/>
      <c r="AE169" s="1178"/>
      <c r="AF169" s="1179"/>
      <c r="AG169" s="1171"/>
      <c r="AH169" s="104"/>
      <c r="AI169" s="1172"/>
      <c r="AJ169" s="1172"/>
      <c r="AK169" s="1172"/>
      <c r="AL169" s="1173"/>
      <c r="AM169" s="1174"/>
      <c r="AN169" s="1175"/>
      <c r="AO169" s="1176"/>
      <c r="AP169" s="1177"/>
      <c r="AQ169" s="1547"/>
      <c r="AR169" s="1177"/>
      <c r="AS169" s="1548"/>
      <c r="AT169" s="1549"/>
      <c r="AU169" s="1178"/>
      <c r="AV169" s="1179"/>
      <c r="AY169" s="3">
        <v>1</v>
      </c>
    </row>
    <row r="170" spans="2:51" ht="27" customHeight="1">
      <c r="B170" s="104"/>
      <c r="C170" s="1172"/>
      <c r="D170" s="1172"/>
      <c r="E170" s="1172"/>
      <c r="F170" s="1173"/>
      <c r="G170" s="1174"/>
      <c r="H170" s="1175"/>
      <c r="I170" s="1176"/>
      <c r="J170" s="1177"/>
      <c r="K170" s="1547"/>
      <c r="L170" s="1177"/>
      <c r="M170" s="1548"/>
      <c r="N170" s="1549"/>
      <c r="O170" s="1178"/>
      <c r="P170" s="1179"/>
      <c r="Q170" s="1171"/>
      <c r="R170" s="104"/>
      <c r="S170" s="1172"/>
      <c r="T170" s="1172"/>
      <c r="U170" s="1172"/>
      <c r="V170" s="1173"/>
      <c r="W170" s="1174"/>
      <c r="X170" s="1175"/>
      <c r="Y170" s="1176"/>
      <c r="Z170" s="1177"/>
      <c r="AA170" s="1547"/>
      <c r="AB170" s="1177"/>
      <c r="AC170" s="1548"/>
      <c r="AD170" s="1549"/>
      <c r="AE170" s="1178"/>
      <c r="AF170" s="1179"/>
      <c r="AG170" s="1171"/>
      <c r="AH170" s="104"/>
      <c r="AI170" s="1172"/>
      <c r="AJ170" s="1172"/>
      <c r="AK170" s="1172"/>
      <c r="AL170" s="1173"/>
      <c r="AM170" s="1174"/>
      <c r="AN170" s="1175"/>
      <c r="AO170" s="1176"/>
      <c r="AP170" s="1177"/>
      <c r="AQ170" s="1547"/>
      <c r="AR170" s="1177"/>
      <c r="AS170" s="1548"/>
      <c r="AT170" s="1549"/>
      <c r="AU170" s="1178"/>
      <c r="AV170" s="1179"/>
      <c r="AY170" s="3">
        <v>1</v>
      </c>
    </row>
    <row r="171" spans="2:51" ht="27" customHeight="1">
      <c r="B171" s="104"/>
      <c r="C171" s="1172"/>
      <c r="D171" s="1172"/>
      <c r="E171" s="1172"/>
      <c r="F171" s="1173"/>
      <c r="G171" s="1174"/>
      <c r="H171" s="1175"/>
      <c r="I171" s="1176"/>
      <c r="J171" s="1177"/>
      <c r="K171" s="1547"/>
      <c r="L171" s="1177"/>
      <c r="M171" s="1548"/>
      <c r="N171" s="1549"/>
      <c r="O171" s="1178"/>
      <c r="P171" s="1179"/>
      <c r="Q171" s="1171"/>
      <c r="R171" s="104"/>
      <c r="S171" s="1172"/>
      <c r="T171" s="1172"/>
      <c r="U171" s="1172"/>
      <c r="V171" s="1173"/>
      <c r="W171" s="1174"/>
      <c r="X171" s="1175"/>
      <c r="Y171" s="1176"/>
      <c r="Z171" s="1177"/>
      <c r="AA171" s="1547"/>
      <c r="AB171" s="1177"/>
      <c r="AC171" s="1548"/>
      <c r="AD171" s="1549"/>
      <c r="AE171" s="1178"/>
      <c r="AF171" s="1179"/>
      <c r="AG171" s="1171"/>
      <c r="AH171" s="104"/>
      <c r="AI171" s="1172"/>
      <c r="AJ171" s="1172"/>
      <c r="AK171" s="1172"/>
      <c r="AL171" s="1173"/>
      <c r="AM171" s="1174"/>
      <c r="AN171" s="1175"/>
      <c r="AO171" s="1176"/>
      <c r="AP171" s="1177"/>
      <c r="AQ171" s="1547"/>
      <c r="AR171" s="1177"/>
      <c r="AS171" s="1548"/>
      <c r="AT171" s="1549"/>
      <c r="AU171" s="1178"/>
      <c r="AV171" s="1179"/>
      <c r="AY171" s="3">
        <v>1</v>
      </c>
    </row>
    <row r="172" spans="2:51" ht="27" customHeight="1">
      <c r="B172" s="104"/>
      <c r="C172" s="1172"/>
      <c r="D172" s="1172"/>
      <c r="E172" s="1172"/>
      <c r="F172" s="1173"/>
      <c r="G172" s="1174"/>
      <c r="H172" s="1175"/>
      <c r="I172" s="1176"/>
      <c r="J172" s="1177"/>
      <c r="K172" s="1547"/>
      <c r="L172" s="1177"/>
      <c r="M172" s="1548"/>
      <c r="N172" s="1549"/>
      <c r="O172" s="1178"/>
      <c r="P172" s="1179"/>
      <c r="Q172" s="1171"/>
      <c r="R172" s="104"/>
      <c r="S172" s="1172"/>
      <c r="T172" s="1172"/>
      <c r="U172" s="1172"/>
      <c r="V172" s="1173"/>
      <c r="W172" s="1174"/>
      <c r="X172" s="1175"/>
      <c r="Y172" s="1176"/>
      <c r="Z172" s="1177"/>
      <c r="AA172" s="1547"/>
      <c r="AB172" s="1177"/>
      <c r="AC172" s="1548"/>
      <c r="AD172" s="1549"/>
      <c r="AE172" s="1178"/>
      <c r="AF172" s="1179"/>
      <c r="AG172" s="1171"/>
      <c r="AH172" s="104"/>
      <c r="AI172" s="1172"/>
      <c r="AJ172" s="1172"/>
      <c r="AK172" s="1172"/>
      <c r="AL172" s="1173"/>
      <c r="AM172" s="1174"/>
      <c r="AN172" s="1175"/>
      <c r="AO172" s="1176"/>
      <c r="AP172" s="1177"/>
      <c r="AQ172" s="1547"/>
      <c r="AR172" s="1177"/>
      <c r="AS172" s="1548"/>
      <c r="AT172" s="1549"/>
      <c r="AU172" s="1178"/>
      <c r="AV172" s="1179"/>
      <c r="AY172" s="3">
        <v>1</v>
      </c>
    </row>
    <row r="173" spans="2:51" ht="27" customHeight="1">
      <c r="B173" s="104"/>
      <c r="C173" s="1172"/>
      <c r="D173" s="1172"/>
      <c r="E173" s="1172"/>
      <c r="F173" s="1173"/>
      <c r="G173" s="1174"/>
      <c r="H173" s="1175"/>
      <c r="I173" s="1176"/>
      <c r="J173" s="1177"/>
      <c r="K173" s="1547"/>
      <c r="L173" s="1177"/>
      <c r="M173" s="1548"/>
      <c r="N173" s="1549"/>
      <c r="O173" s="1178"/>
      <c r="P173" s="1179"/>
      <c r="Q173" s="1171"/>
      <c r="R173" s="104"/>
      <c r="S173" s="1172"/>
      <c r="T173" s="1172"/>
      <c r="U173" s="1172"/>
      <c r="V173" s="1173"/>
      <c r="W173" s="1174"/>
      <c r="X173" s="1175"/>
      <c r="Y173" s="1176"/>
      <c r="Z173" s="1177"/>
      <c r="AA173" s="1547"/>
      <c r="AB173" s="1177"/>
      <c r="AC173" s="1548"/>
      <c r="AD173" s="1549"/>
      <c r="AE173" s="1178"/>
      <c r="AF173" s="1179"/>
      <c r="AG173" s="1171"/>
      <c r="AH173" s="104"/>
      <c r="AI173" s="1172"/>
      <c r="AJ173" s="1172"/>
      <c r="AK173" s="1172"/>
      <c r="AL173" s="1173"/>
      <c r="AM173" s="1174"/>
      <c r="AN173" s="1175"/>
      <c r="AO173" s="1176"/>
      <c r="AP173" s="1177"/>
      <c r="AQ173" s="1547"/>
      <c r="AR173" s="1177"/>
      <c r="AS173" s="1548"/>
      <c r="AT173" s="1549"/>
      <c r="AU173" s="1178"/>
      <c r="AV173" s="1179"/>
      <c r="AY173" s="3">
        <v>1</v>
      </c>
    </row>
    <row r="174" spans="2:51" ht="27" customHeight="1">
      <c r="B174" s="104"/>
      <c r="C174" s="1172"/>
      <c r="D174" s="1172"/>
      <c r="E174" s="1172"/>
      <c r="F174" s="1173"/>
      <c r="G174" s="1174"/>
      <c r="H174" s="1175"/>
      <c r="I174" s="1176"/>
      <c r="J174" s="1177"/>
      <c r="K174" s="1547"/>
      <c r="L174" s="1177"/>
      <c r="M174" s="1548"/>
      <c r="N174" s="1549"/>
      <c r="O174" s="1178"/>
      <c r="P174" s="1179"/>
      <c r="Q174" s="1171"/>
      <c r="R174" s="104"/>
      <c r="S174" s="1172"/>
      <c r="T174" s="1172"/>
      <c r="U174" s="1172"/>
      <c r="V174" s="1173"/>
      <c r="W174" s="1174"/>
      <c r="X174" s="1175"/>
      <c r="Y174" s="1176"/>
      <c r="Z174" s="1177"/>
      <c r="AA174" s="1547"/>
      <c r="AB174" s="1177"/>
      <c r="AC174" s="1548"/>
      <c r="AD174" s="1549"/>
      <c r="AE174" s="1178"/>
      <c r="AF174" s="1179"/>
      <c r="AG174" s="1171"/>
      <c r="AH174" s="104"/>
      <c r="AI174" s="1172"/>
      <c r="AJ174" s="1172"/>
      <c r="AK174" s="1172"/>
      <c r="AL174" s="1173"/>
      <c r="AM174" s="1174"/>
      <c r="AN174" s="1175"/>
      <c r="AO174" s="1176"/>
      <c r="AP174" s="1177"/>
      <c r="AQ174" s="1547"/>
      <c r="AR174" s="1177"/>
      <c r="AS174" s="1548"/>
      <c r="AT174" s="1549"/>
      <c r="AU174" s="1178"/>
      <c r="AV174" s="1179"/>
      <c r="AY174" s="3">
        <v>1</v>
      </c>
    </row>
    <row r="175" spans="2:51" ht="27" customHeight="1">
      <c r="B175" s="104"/>
      <c r="C175" s="1172"/>
      <c r="D175" s="1172"/>
      <c r="E175" s="1172"/>
      <c r="F175" s="1173"/>
      <c r="G175" s="1174"/>
      <c r="H175" s="1175"/>
      <c r="I175" s="1176"/>
      <c r="J175" s="1177"/>
      <c r="K175" s="1547"/>
      <c r="L175" s="1177"/>
      <c r="M175" s="1548"/>
      <c r="N175" s="1549"/>
      <c r="O175" s="1178"/>
      <c r="P175" s="1179"/>
      <c r="Q175" s="1171"/>
      <c r="R175" s="104"/>
      <c r="S175" s="1172"/>
      <c r="T175" s="1172"/>
      <c r="U175" s="1172"/>
      <c r="V175" s="1173"/>
      <c r="W175" s="1174"/>
      <c r="X175" s="1175"/>
      <c r="Y175" s="1176"/>
      <c r="Z175" s="1177"/>
      <c r="AA175" s="1547"/>
      <c r="AB175" s="1177"/>
      <c r="AC175" s="1548"/>
      <c r="AD175" s="1549"/>
      <c r="AE175" s="1178"/>
      <c r="AF175" s="1179"/>
      <c r="AG175" s="1171"/>
      <c r="AH175" s="104"/>
      <c r="AI175" s="1172"/>
      <c r="AJ175" s="1172"/>
      <c r="AK175" s="1172"/>
      <c r="AL175" s="1173"/>
      <c r="AM175" s="1174"/>
      <c r="AN175" s="1175"/>
      <c r="AO175" s="1176"/>
      <c r="AP175" s="1177"/>
      <c r="AQ175" s="1547"/>
      <c r="AR175" s="1177"/>
      <c r="AS175" s="1548"/>
      <c r="AT175" s="1549"/>
      <c r="AU175" s="1178"/>
      <c r="AV175" s="1179"/>
      <c r="AY175" s="3">
        <v>1</v>
      </c>
    </row>
    <row r="176" spans="2:51" ht="27" customHeight="1">
      <c r="B176" s="104"/>
      <c r="C176" s="1172"/>
      <c r="D176" s="1172"/>
      <c r="E176" s="1172"/>
      <c r="F176" s="1173"/>
      <c r="G176" s="1174"/>
      <c r="H176" s="1175"/>
      <c r="I176" s="1176"/>
      <c r="J176" s="1177"/>
      <c r="K176" s="1547"/>
      <c r="L176" s="1177"/>
      <c r="M176" s="1548"/>
      <c r="N176" s="1549"/>
      <c r="O176" s="1178"/>
      <c r="P176" s="1179"/>
      <c r="Q176" s="1171"/>
      <c r="R176" s="104"/>
      <c r="S176" s="1172"/>
      <c r="T176" s="1172"/>
      <c r="U176" s="1172"/>
      <c r="V176" s="1173"/>
      <c r="W176" s="1174"/>
      <c r="X176" s="1175"/>
      <c r="Y176" s="1176"/>
      <c r="Z176" s="1177"/>
      <c r="AA176" s="1547"/>
      <c r="AB176" s="1177"/>
      <c r="AC176" s="1548"/>
      <c r="AD176" s="1549"/>
      <c r="AE176" s="1178"/>
      <c r="AF176" s="1179"/>
      <c r="AG176" s="1171"/>
      <c r="AH176" s="104"/>
      <c r="AI176" s="1172"/>
      <c r="AJ176" s="1172"/>
      <c r="AK176" s="1172"/>
      <c r="AL176" s="1173"/>
      <c r="AM176" s="1174"/>
      <c r="AN176" s="1175"/>
      <c r="AO176" s="1176"/>
      <c r="AP176" s="1177"/>
      <c r="AQ176" s="1547"/>
      <c r="AR176" s="1177"/>
      <c r="AS176" s="1548"/>
      <c r="AT176" s="1549"/>
      <c r="AU176" s="1178"/>
      <c r="AV176" s="1179"/>
      <c r="AY176" s="3">
        <v>1</v>
      </c>
    </row>
    <row r="177" spans="2:51" ht="27" customHeight="1">
      <c r="B177" s="104"/>
      <c r="C177" s="1172"/>
      <c r="D177" s="1172"/>
      <c r="E177" s="1172"/>
      <c r="F177" s="1173"/>
      <c r="G177" s="1174"/>
      <c r="H177" s="1175"/>
      <c r="I177" s="1176"/>
      <c r="J177" s="1177"/>
      <c r="K177" s="1547"/>
      <c r="L177" s="1177"/>
      <c r="M177" s="1548"/>
      <c r="N177" s="1549"/>
      <c r="O177" s="1178"/>
      <c r="P177" s="1179"/>
      <c r="Q177" s="1171"/>
      <c r="R177" s="104"/>
      <c r="S177" s="1172"/>
      <c r="T177" s="1172"/>
      <c r="U177" s="1172"/>
      <c r="V177" s="1173"/>
      <c r="W177" s="1174"/>
      <c r="X177" s="1175"/>
      <c r="Y177" s="1176"/>
      <c r="Z177" s="1177"/>
      <c r="AA177" s="1547"/>
      <c r="AB177" s="1177"/>
      <c r="AC177" s="1548"/>
      <c r="AD177" s="1549"/>
      <c r="AE177" s="1178"/>
      <c r="AF177" s="1179"/>
      <c r="AG177" s="1171"/>
      <c r="AH177" s="104"/>
      <c r="AI177" s="1172"/>
      <c r="AJ177" s="1172"/>
      <c r="AK177" s="1172"/>
      <c r="AL177" s="1173"/>
      <c r="AM177" s="1174"/>
      <c r="AN177" s="1175"/>
      <c r="AO177" s="1176"/>
      <c r="AP177" s="1177"/>
      <c r="AQ177" s="1547"/>
      <c r="AR177" s="1177"/>
      <c r="AS177" s="1548"/>
      <c r="AT177" s="1549"/>
      <c r="AU177" s="1178"/>
      <c r="AV177" s="1179"/>
      <c r="AY177" s="3">
        <v>1</v>
      </c>
    </row>
    <row r="178" spans="2:51" ht="27" customHeight="1">
      <c r="B178" s="104"/>
      <c r="C178" s="1172"/>
      <c r="D178" s="1172"/>
      <c r="E178" s="1172"/>
      <c r="F178" s="1173"/>
      <c r="G178" s="1174"/>
      <c r="H178" s="1175"/>
      <c r="I178" s="1176"/>
      <c r="J178" s="1177"/>
      <c r="K178" s="1547"/>
      <c r="L178" s="1177"/>
      <c r="M178" s="1548"/>
      <c r="N178" s="1549"/>
      <c r="O178" s="1178"/>
      <c r="P178" s="1179"/>
      <c r="Q178" s="1171"/>
      <c r="R178" s="104"/>
      <c r="S178" s="1172"/>
      <c r="T178" s="1172"/>
      <c r="U178" s="1172"/>
      <c r="V178" s="1173"/>
      <c r="W178" s="1174"/>
      <c r="X178" s="1175"/>
      <c r="Y178" s="1176"/>
      <c r="Z178" s="1177"/>
      <c r="AA178" s="1547"/>
      <c r="AB178" s="1177"/>
      <c r="AC178" s="1548"/>
      <c r="AD178" s="1549"/>
      <c r="AE178" s="1178"/>
      <c r="AF178" s="1179"/>
      <c r="AG178" s="1171"/>
      <c r="AH178" s="104"/>
      <c r="AI178" s="1172"/>
      <c r="AJ178" s="1172"/>
      <c r="AK178" s="1172"/>
      <c r="AL178" s="1173"/>
      <c r="AM178" s="1174"/>
      <c r="AN178" s="1175"/>
      <c r="AO178" s="1176"/>
      <c r="AP178" s="1177"/>
      <c r="AQ178" s="1547"/>
      <c r="AR178" s="1177"/>
      <c r="AS178" s="1548"/>
      <c r="AT178" s="1549"/>
      <c r="AU178" s="1178"/>
      <c r="AV178" s="1179"/>
      <c r="AY178" s="3">
        <v>1</v>
      </c>
    </row>
    <row r="179" spans="2:51" ht="27" customHeight="1">
      <c r="B179" s="104"/>
      <c r="C179" s="1172"/>
      <c r="D179" s="1172"/>
      <c r="E179" s="1172"/>
      <c r="F179" s="1173"/>
      <c r="G179" s="1174"/>
      <c r="H179" s="1175"/>
      <c r="I179" s="1176"/>
      <c r="J179" s="1177"/>
      <c r="K179" s="1547"/>
      <c r="L179" s="1177"/>
      <c r="M179" s="1548"/>
      <c r="N179" s="1549"/>
      <c r="O179" s="1178"/>
      <c r="P179" s="1179"/>
      <c r="Q179" s="1171"/>
      <c r="R179" s="104"/>
      <c r="S179" s="1172"/>
      <c r="T179" s="1172"/>
      <c r="U179" s="1172"/>
      <c r="V179" s="1173"/>
      <c r="W179" s="1174"/>
      <c r="X179" s="1175"/>
      <c r="Y179" s="1176"/>
      <c r="Z179" s="1177"/>
      <c r="AA179" s="1547"/>
      <c r="AB179" s="1177"/>
      <c r="AC179" s="1548"/>
      <c r="AD179" s="1549"/>
      <c r="AE179" s="1178"/>
      <c r="AF179" s="1179"/>
      <c r="AG179" s="1171"/>
      <c r="AH179" s="104"/>
      <c r="AI179" s="1172"/>
      <c r="AJ179" s="1172"/>
      <c r="AK179" s="1172"/>
      <c r="AL179" s="1173"/>
      <c r="AM179" s="1174"/>
      <c r="AN179" s="1175"/>
      <c r="AO179" s="1176"/>
      <c r="AP179" s="1177"/>
      <c r="AQ179" s="1547"/>
      <c r="AR179" s="1177"/>
      <c r="AS179" s="1548"/>
      <c r="AT179" s="1549"/>
      <c r="AU179" s="1178"/>
      <c r="AV179" s="1179"/>
      <c r="AY179" s="3">
        <v>1</v>
      </c>
    </row>
    <row r="180" spans="2:51" ht="27" customHeight="1">
      <c r="B180" s="104"/>
      <c r="C180" s="1172"/>
      <c r="D180" s="1172"/>
      <c r="E180" s="1172"/>
      <c r="F180" s="1173"/>
      <c r="G180" s="1174"/>
      <c r="H180" s="1175"/>
      <c r="I180" s="1176"/>
      <c r="J180" s="1177"/>
      <c r="K180" s="1547"/>
      <c r="L180" s="1177"/>
      <c r="M180" s="1548"/>
      <c r="N180" s="1549"/>
      <c r="O180" s="1178"/>
      <c r="P180" s="1179"/>
      <c r="Q180" s="1171"/>
      <c r="R180" s="104"/>
      <c r="S180" s="1172"/>
      <c r="T180" s="1172"/>
      <c r="U180" s="1172"/>
      <c r="V180" s="1173"/>
      <c r="W180" s="1174"/>
      <c r="X180" s="1175"/>
      <c r="Y180" s="1176"/>
      <c r="Z180" s="1177"/>
      <c r="AA180" s="1547"/>
      <c r="AB180" s="1177"/>
      <c r="AC180" s="1548"/>
      <c r="AD180" s="1549"/>
      <c r="AE180" s="1178"/>
      <c r="AF180" s="1179"/>
      <c r="AG180" s="1171"/>
      <c r="AH180" s="104"/>
      <c r="AI180" s="1172"/>
      <c r="AJ180" s="1172"/>
      <c r="AK180" s="1172"/>
      <c r="AL180" s="1173"/>
      <c r="AM180" s="1174"/>
      <c r="AN180" s="1175"/>
      <c r="AO180" s="1176"/>
      <c r="AP180" s="1177"/>
      <c r="AQ180" s="1547"/>
      <c r="AR180" s="1177"/>
      <c r="AS180" s="1548"/>
      <c r="AT180" s="1549"/>
      <c r="AU180" s="1178"/>
      <c r="AV180" s="1179"/>
      <c r="AY180" s="3">
        <v>1</v>
      </c>
    </row>
    <row r="181" spans="2:51" ht="27" customHeight="1">
      <c r="B181" s="104"/>
      <c r="C181" s="1172"/>
      <c r="D181" s="1172"/>
      <c r="E181" s="1172"/>
      <c r="F181" s="1173"/>
      <c r="G181" s="1174"/>
      <c r="H181" s="1175"/>
      <c r="I181" s="1176"/>
      <c r="J181" s="1177"/>
      <c r="K181" s="1547"/>
      <c r="L181" s="1177"/>
      <c r="M181" s="1548"/>
      <c r="N181" s="1549"/>
      <c r="O181" s="1178"/>
      <c r="P181" s="1179"/>
      <c r="Q181" s="1171"/>
      <c r="R181" s="104"/>
      <c r="S181" s="1172"/>
      <c r="T181" s="1172"/>
      <c r="U181" s="1172"/>
      <c r="V181" s="1173"/>
      <c r="W181" s="1174"/>
      <c r="X181" s="1175"/>
      <c r="Y181" s="1176"/>
      <c r="Z181" s="1177"/>
      <c r="AA181" s="1547"/>
      <c r="AB181" s="1177"/>
      <c r="AC181" s="1548"/>
      <c r="AD181" s="1549"/>
      <c r="AE181" s="1178"/>
      <c r="AF181" s="1179"/>
      <c r="AG181" s="1171"/>
      <c r="AH181" s="104"/>
      <c r="AI181" s="1172"/>
      <c r="AJ181" s="1172"/>
      <c r="AK181" s="1172"/>
      <c r="AL181" s="1173"/>
      <c r="AM181" s="1174"/>
      <c r="AN181" s="1175"/>
      <c r="AO181" s="1176"/>
      <c r="AP181" s="1177"/>
      <c r="AQ181" s="1547"/>
      <c r="AR181" s="1177"/>
      <c r="AS181" s="1548"/>
      <c r="AT181" s="1549"/>
      <c r="AU181" s="1178"/>
      <c r="AV181" s="1179"/>
      <c r="AY181" s="3">
        <v>1</v>
      </c>
    </row>
    <row r="182" spans="2:51" ht="27" customHeight="1">
      <c r="B182" s="104"/>
      <c r="C182" s="1172"/>
      <c r="D182" s="1172"/>
      <c r="E182" s="1172"/>
      <c r="F182" s="1173"/>
      <c r="G182" s="1174"/>
      <c r="H182" s="1175"/>
      <c r="I182" s="1176"/>
      <c r="J182" s="1177"/>
      <c r="K182" s="1547"/>
      <c r="L182" s="1177"/>
      <c r="M182" s="1548"/>
      <c r="N182" s="1549"/>
      <c r="O182" s="1178"/>
      <c r="P182" s="1179"/>
      <c r="Q182" s="1171"/>
      <c r="R182" s="104"/>
      <c r="S182" s="1172"/>
      <c r="T182" s="1172"/>
      <c r="U182" s="1172"/>
      <c r="V182" s="1173"/>
      <c r="W182" s="1174"/>
      <c r="X182" s="1175"/>
      <c r="Y182" s="1176"/>
      <c r="Z182" s="1177"/>
      <c r="AA182" s="1547"/>
      <c r="AB182" s="1177"/>
      <c r="AC182" s="1548"/>
      <c r="AD182" s="1549"/>
      <c r="AE182" s="1178"/>
      <c r="AF182" s="1179"/>
      <c r="AG182" s="1171"/>
      <c r="AH182" s="104"/>
      <c r="AI182" s="1172"/>
      <c r="AJ182" s="1172"/>
      <c r="AK182" s="1172"/>
      <c r="AL182" s="1173"/>
      <c r="AM182" s="1174"/>
      <c r="AN182" s="1175"/>
      <c r="AO182" s="1176"/>
      <c r="AP182" s="1177"/>
      <c r="AQ182" s="1547"/>
      <c r="AR182" s="1177"/>
      <c r="AS182" s="1548"/>
      <c r="AT182" s="1549"/>
      <c r="AU182" s="1178"/>
      <c r="AV182" s="1179"/>
      <c r="AY182" s="3">
        <v>1</v>
      </c>
    </row>
    <row r="183" spans="2:51" ht="27" customHeight="1">
      <c r="B183" s="104"/>
      <c r="C183" s="1172"/>
      <c r="D183" s="1172"/>
      <c r="E183" s="1172"/>
      <c r="F183" s="1173"/>
      <c r="G183" s="1174"/>
      <c r="H183" s="1175"/>
      <c r="I183" s="1176"/>
      <c r="J183" s="1177"/>
      <c r="K183" s="1547"/>
      <c r="L183" s="1177"/>
      <c r="M183" s="1548"/>
      <c r="N183" s="1549"/>
      <c r="O183" s="1178"/>
      <c r="P183" s="1179"/>
      <c r="Q183" s="1171"/>
      <c r="R183" s="104"/>
      <c r="S183" s="1172"/>
      <c r="T183" s="1172"/>
      <c r="U183" s="1172"/>
      <c r="V183" s="1173"/>
      <c r="W183" s="1174"/>
      <c r="X183" s="1175"/>
      <c r="Y183" s="1176"/>
      <c r="Z183" s="1177"/>
      <c r="AA183" s="1547"/>
      <c r="AB183" s="1177"/>
      <c r="AC183" s="1548"/>
      <c r="AD183" s="1549"/>
      <c r="AE183" s="1178"/>
      <c r="AF183" s="1179"/>
      <c r="AG183" s="1171"/>
      <c r="AH183" s="104"/>
      <c r="AI183" s="1172"/>
      <c r="AJ183" s="1172"/>
      <c r="AK183" s="1172"/>
      <c r="AL183" s="1173"/>
      <c r="AM183" s="1174"/>
      <c r="AN183" s="1175"/>
      <c r="AO183" s="1176"/>
      <c r="AP183" s="1177"/>
      <c r="AQ183" s="1547"/>
      <c r="AR183" s="1177"/>
      <c r="AS183" s="1548"/>
      <c r="AT183" s="1549"/>
      <c r="AU183" s="1178"/>
      <c r="AV183" s="1179"/>
      <c r="AY183" s="3">
        <v>1</v>
      </c>
    </row>
    <row r="184" spans="2:51" ht="27" customHeight="1">
      <c r="B184" s="104"/>
      <c r="C184" s="1172"/>
      <c r="D184" s="1172"/>
      <c r="E184" s="1172"/>
      <c r="F184" s="1173"/>
      <c r="G184" s="1174"/>
      <c r="H184" s="1175"/>
      <c r="I184" s="1176"/>
      <c r="J184" s="1177"/>
      <c r="K184" s="1547"/>
      <c r="L184" s="1177"/>
      <c r="M184" s="1548"/>
      <c r="N184" s="1549"/>
      <c r="O184" s="1178"/>
      <c r="P184" s="1179"/>
      <c r="Q184" s="1171"/>
      <c r="R184" s="104"/>
      <c r="S184" s="1172"/>
      <c r="T184" s="1172"/>
      <c r="U184" s="1172"/>
      <c r="V184" s="1173"/>
      <c r="W184" s="1174"/>
      <c r="X184" s="1175"/>
      <c r="Y184" s="1176"/>
      <c r="Z184" s="1177"/>
      <c r="AA184" s="1547"/>
      <c r="AB184" s="1177"/>
      <c r="AC184" s="1548"/>
      <c r="AD184" s="1549"/>
      <c r="AE184" s="1178"/>
      <c r="AF184" s="1179"/>
      <c r="AG184" s="1171"/>
      <c r="AH184" s="104"/>
      <c r="AI184" s="1172"/>
      <c r="AJ184" s="1172"/>
      <c r="AK184" s="1172"/>
      <c r="AL184" s="1173"/>
      <c r="AM184" s="1174"/>
      <c r="AN184" s="1175"/>
      <c r="AO184" s="1176"/>
      <c r="AP184" s="1177"/>
      <c r="AQ184" s="1547"/>
      <c r="AR184" s="1177"/>
      <c r="AS184" s="1548"/>
      <c r="AT184" s="1549"/>
      <c r="AU184" s="1178"/>
      <c r="AV184" s="1179"/>
      <c r="AY184" s="3">
        <v>1</v>
      </c>
    </row>
    <row r="185" spans="2:51" ht="27" customHeight="1">
      <c r="B185" s="104"/>
      <c r="C185" s="1172"/>
      <c r="D185" s="1172"/>
      <c r="E185" s="1172"/>
      <c r="F185" s="1173"/>
      <c r="G185" s="1174"/>
      <c r="H185" s="1175"/>
      <c r="I185" s="1176"/>
      <c r="J185" s="1177"/>
      <c r="K185" s="1547"/>
      <c r="L185" s="1177"/>
      <c r="M185" s="1548"/>
      <c r="N185" s="1549"/>
      <c r="O185" s="1178"/>
      <c r="P185" s="1179"/>
      <c r="Q185" s="1171"/>
      <c r="R185" s="104"/>
      <c r="S185" s="1172"/>
      <c r="T185" s="1172"/>
      <c r="U185" s="1172"/>
      <c r="V185" s="1173"/>
      <c r="W185" s="1174"/>
      <c r="X185" s="1175"/>
      <c r="Y185" s="1176"/>
      <c r="Z185" s="1177"/>
      <c r="AA185" s="1547"/>
      <c r="AB185" s="1177"/>
      <c r="AC185" s="1548"/>
      <c r="AD185" s="1549"/>
      <c r="AE185" s="1178"/>
      <c r="AF185" s="1179"/>
      <c r="AG185" s="1171"/>
      <c r="AH185" s="104"/>
      <c r="AI185" s="1172"/>
      <c r="AJ185" s="1172"/>
      <c r="AK185" s="1172"/>
      <c r="AL185" s="1173"/>
      <c r="AM185" s="1174"/>
      <c r="AN185" s="1175"/>
      <c r="AO185" s="1176"/>
      <c r="AP185" s="1177"/>
      <c r="AQ185" s="1547"/>
      <c r="AR185" s="1177"/>
      <c r="AS185" s="1548"/>
      <c r="AT185" s="1549"/>
      <c r="AU185" s="1178"/>
      <c r="AV185" s="1179"/>
      <c r="AY185" s="3">
        <v>1</v>
      </c>
    </row>
    <row r="186" spans="2:51" ht="27" customHeight="1">
      <c r="B186" s="104"/>
      <c r="C186" s="1172"/>
      <c r="D186" s="1172"/>
      <c r="E186" s="1172"/>
      <c r="F186" s="1173"/>
      <c r="G186" s="1174"/>
      <c r="H186" s="1175"/>
      <c r="I186" s="1176"/>
      <c r="J186" s="1177"/>
      <c r="K186" s="1547"/>
      <c r="L186" s="1177"/>
      <c r="M186" s="1548"/>
      <c r="N186" s="1549"/>
      <c r="O186" s="1178"/>
      <c r="P186" s="1179"/>
      <c r="Q186" s="1171"/>
      <c r="R186" s="104"/>
      <c r="S186" s="1172"/>
      <c r="T186" s="1172"/>
      <c r="U186" s="1172"/>
      <c r="V186" s="1173"/>
      <c r="W186" s="1174"/>
      <c r="X186" s="1175"/>
      <c r="Y186" s="1176"/>
      <c r="Z186" s="1177"/>
      <c r="AA186" s="1547"/>
      <c r="AB186" s="1177"/>
      <c r="AC186" s="1548"/>
      <c r="AD186" s="1549"/>
      <c r="AE186" s="1178"/>
      <c r="AF186" s="1179"/>
      <c r="AG186" s="1171"/>
      <c r="AH186" s="104"/>
      <c r="AI186" s="1172"/>
      <c r="AJ186" s="1172"/>
      <c r="AK186" s="1172"/>
      <c r="AL186" s="1173"/>
      <c r="AM186" s="1174"/>
      <c r="AN186" s="1175"/>
      <c r="AO186" s="1176"/>
      <c r="AP186" s="1177"/>
      <c r="AQ186" s="1547"/>
      <c r="AR186" s="1177"/>
      <c r="AS186" s="1548"/>
      <c r="AT186" s="1549"/>
      <c r="AU186" s="1178"/>
      <c r="AV186" s="1179"/>
      <c r="AY186" s="3">
        <v>1</v>
      </c>
    </row>
    <row r="187" spans="2:51" ht="27" customHeight="1">
      <c r="B187" s="104"/>
      <c r="C187" s="1172"/>
      <c r="D187" s="1172"/>
      <c r="E187" s="1172"/>
      <c r="F187" s="1173"/>
      <c r="G187" s="1174"/>
      <c r="H187" s="1175"/>
      <c r="I187" s="1176"/>
      <c r="J187" s="1177"/>
      <c r="K187" s="1547"/>
      <c r="L187" s="1177"/>
      <c r="M187" s="1548"/>
      <c r="N187" s="1549"/>
      <c r="O187" s="1178"/>
      <c r="P187" s="1179"/>
      <c r="Q187" s="1171"/>
      <c r="R187" s="104"/>
      <c r="S187" s="1172"/>
      <c r="T187" s="1172"/>
      <c r="U187" s="1172"/>
      <c r="V187" s="1173"/>
      <c r="W187" s="1174"/>
      <c r="X187" s="1175"/>
      <c r="Y187" s="1176"/>
      <c r="Z187" s="1177"/>
      <c r="AA187" s="1547"/>
      <c r="AB187" s="1177"/>
      <c r="AC187" s="1548"/>
      <c r="AD187" s="1549"/>
      <c r="AE187" s="1178"/>
      <c r="AF187" s="1179"/>
      <c r="AG187" s="1171"/>
      <c r="AH187" s="104"/>
      <c r="AI187" s="1172"/>
      <c r="AJ187" s="1172"/>
      <c r="AK187" s="1172"/>
      <c r="AL187" s="1173"/>
      <c r="AM187" s="1174"/>
      <c r="AN187" s="1175"/>
      <c r="AO187" s="1176"/>
      <c r="AP187" s="1177"/>
      <c r="AQ187" s="1547"/>
      <c r="AR187" s="1177"/>
      <c r="AS187" s="1548"/>
      <c r="AT187" s="1549"/>
      <c r="AU187" s="1178"/>
      <c r="AV187" s="1179"/>
      <c r="AY187" s="3">
        <v>1</v>
      </c>
    </row>
    <row r="188" spans="2:51" ht="27" customHeight="1">
      <c r="B188" s="104"/>
      <c r="C188" s="1172"/>
      <c r="D188" s="1172"/>
      <c r="E188" s="1172"/>
      <c r="F188" s="1173"/>
      <c r="G188" s="1174"/>
      <c r="H188" s="1175"/>
      <c r="I188" s="1176"/>
      <c r="J188" s="1177"/>
      <c r="K188" s="1547"/>
      <c r="L188" s="1177"/>
      <c r="M188" s="1548"/>
      <c r="N188" s="1549"/>
      <c r="O188" s="1178"/>
      <c r="P188" s="1179"/>
      <c r="Q188" s="1171"/>
      <c r="R188" s="104"/>
      <c r="S188" s="1172"/>
      <c r="T188" s="1172"/>
      <c r="U188" s="1172"/>
      <c r="V188" s="1173"/>
      <c r="W188" s="1174"/>
      <c r="X188" s="1175"/>
      <c r="Y188" s="1176"/>
      <c r="Z188" s="1177"/>
      <c r="AA188" s="1547"/>
      <c r="AB188" s="1177"/>
      <c r="AC188" s="1548"/>
      <c r="AD188" s="1549"/>
      <c r="AE188" s="1178"/>
      <c r="AF188" s="1179"/>
      <c r="AG188" s="1171"/>
      <c r="AH188" s="104"/>
      <c r="AI188" s="1172"/>
      <c r="AJ188" s="1172"/>
      <c r="AK188" s="1172"/>
      <c r="AL188" s="1173"/>
      <c r="AM188" s="1174"/>
      <c r="AN188" s="1175"/>
      <c r="AO188" s="1176"/>
      <c r="AP188" s="1177"/>
      <c r="AQ188" s="1547"/>
      <c r="AR188" s="1177"/>
      <c r="AS188" s="1548"/>
      <c r="AT188" s="1549"/>
      <c r="AU188" s="1178"/>
      <c r="AV188" s="1179"/>
      <c r="AY188" s="3">
        <v>1</v>
      </c>
    </row>
    <row r="189" spans="2:51" ht="27" customHeight="1">
      <c r="B189" s="104"/>
      <c r="C189" s="1172"/>
      <c r="D189" s="1172"/>
      <c r="E189" s="1172"/>
      <c r="F189" s="1173"/>
      <c r="G189" s="1174"/>
      <c r="H189" s="1175"/>
      <c r="I189" s="1176"/>
      <c r="J189" s="1177"/>
      <c r="K189" s="1547"/>
      <c r="L189" s="1177"/>
      <c r="M189" s="1548"/>
      <c r="N189" s="1549"/>
      <c r="O189" s="1178"/>
      <c r="P189" s="1179"/>
      <c r="Q189" s="1171"/>
      <c r="R189" s="104"/>
      <c r="S189" s="1172"/>
      <c r="T189" s="1172"/>
      <c r="U189" s="1172"/>
      <c r="V189" s="1173"/>
      <c r="W189" s="1174"/>
      <c r="X189" s="1175"/>
      <c r="Y189" s="1176"/>
      <c r="Z189" s="1177"/>
      <c r="AA189" s="1547"/>
      <c r="AB189" s="1177"/>
      <c r="AC189" s="1548"/>
      <c r="AD189" s="1549"/>
      <c r="AE189" s="1178"/>
      <c r="AF189" s="1179"/>
      <c r="AG189" s="1171"/>
      <c r="AH189" s="104"/>
      <c r="AI189" s="1172"/>
      <c r="AJ189" s="1172"/>
      <c r="AK189" s="1172"/>
      <c r="AL189" s="1173"/>
      <c r="AM189" s="1174"/>
      <c r="AN189" s="1175"/>
      <c r="AO189" s="1176"/>
      <c r="AP189" s="1177"/>
      <c r="AQ189" s="1547"/>
      <c r="AR189" s="1177"/>
      <c r="AS189" s="1548"/>
      <c r="AT189" s="1549"/>
      <c r="AU189" s="1178"/>
      <c r="AV189" s="1179"/>
      <c r="AY189" s="3">
        <v>1</v>
      </c>
    </row>
    <row r="190" spans="2:51" ht="27" customHeight="1">
      <c r="B190" s="104"/>
      <c r="C190" s="1172"/>
      <c r="D190" s="1172"/>
      <c r="E190" s="1172"/>
      <c r="F190" s="1173"/>
      <c r="G190" s="1174"/>
      <c r="H190" s="1175"/>
      <c r="I190" s="1176"/>
      <c r="J190" s="1177"/>
      <c r="K190" s="1547"/>
      <c r="L190" s="1177"/>
      <c r="M190" s="1548"/>
      <c r="N190" s="1549"/>
      <c r="O190" s="1178"/>
      <c r="P190" s="1179"/>
      <c r="Q190" s="1171"/>
      <c r="R190" s="104"/>
      <c r="S190" s="1172"/>
      <c r="T190" s="1172"/>
      <c r="U190" s="1172"/>
      <c r="V190" s="1173"/>
      <c r="W190" s="1174"/>
      <c r="X190" s="1175"/>
      <c r="Y190" s="1176"/>
      <c r="Z190" s="1177"/>
      <c r="AA190" s="1547"/>
      <c r="AB190" s="1177"/>
      <c r="AC190" s="1548"/>
      <c r="AD190" s="1549"/>
      <c r="AE190" s="1178"/>
      <c r="AF190" s="1179"/>
      <c r="AG190" s="1171"/>
      <c r="AH190" s="104"/>
      <c r="AI190" s="1172"/>
      <c r="AJ190" s="1172"/>
      <c r="AK190" s="1172"/>
      <c r="AL190" s="1173"/>
      <c r="AM190" s="1174"/>
      <c r="AN190" s="1175"/>
      <c r="AO190" s="1176"/>
      <c r="AP190" s="1177"/>
      <c r="AQ190" s="1547"/>
      <c r="AR190" s="1177"/>
      <c r="AS190" s="1548"/>
      <c r="AT190" s="1549"/>
      <c r="AU190" s="1178"/>
      <c r="AV190" s="1179"/>
      <c r="AY190" s="3">
        <v>1</v>
      </c>
    </row>
    <row r="191" spans="2:51" ht="27" customHeight="1">
      <c r="B191" s="104"/>
      <c r="C191" s="1172"/>
      <c r="D191" s="1172"/>
      <c r="E191" s="1172"/>
      <c r="F191" s="1173"/>
      <c r="G191" s="1174"/>
      <c r="H191" s="1175"/>
      <c r="I191" s="1176"/>
      <c r="J191" s="1177"/>
      <c r="K191" s="1547"/>
      <c r="L191" s="1177"/>
      <c r="M191" s="1548"/>
      <c r="N191" s="1549"/>
      <c r="O191" s="1178"/>
      <c r="P191" s="1179"/>
      <c r="Q191" s="1171"/>
      <c r="R191" s="104"/>
      <c r="S191" s="1172"/>
      <c r="T191" s="1172"/>
      <c r="U191" s="1172"/>
      <c r="V191" s="1173"/>
      <c r="W191" s="1174"/>
      <c r="X191" s="1175"/>
      <c r="Y191" s="1176"/>
      <c r="Z191" s="1177"/>
      <c r="AA191" s="1547"/>
      <c r="AB191" s="1177"/>
      <c r="AC191" s="1548"/>
      <c r="AD191" s="1549"/>
      <c r="AE191" s="1178"/>
      <c r="AF191" s="1179"/>
      <c r="AG191" s="1171"/>
      <c r="AH191" s="104"/>
      <c r="AI191" s="1172"/>
      <c r="AJ191" s="1172"/>
      <c r="AK191" s="1172"/>
      <c r="AL191" s="1173"/>
      <c r="AM191" s="1174"/>
      <c r="AN191" s="1175"/>
      <c r="AO191" s="1176"/>
      <c r="AP191" s="1177"/>
      <c r="AQ191" s="1547"/>
      <c r="AR191" s="1177"/>
      <c r="AS191" s="1548"/>
      <c r="AT191" s="1549"/>
      <c r="AU191" s="1178"/>
      <c r="AV191" s="1179"/>
      <c r="AY191" s="3">
        <v>1</v>
      </c>
    </row>
    <row r="192" spans="2:51" ht="27" customHeight="1">
      <c r="B192" s="104"/>
      <c r="C192" s="1172"/>
      <c r="D192" s="1172"/>
      <c r="E192" s="1172"/>
      <c r="F192" s="1173"/>
      <c r="G192" s="1174"/>
      <c r="H192" s="1175"/>
      <c r="I192" s="1176"/>
      <c r="J192" s="1177"/>
      <c r="K192" s="1547"/>
      <c r="L192" s="1177"/>
      <c r="M192" s="1548"/>
      <c r="N192" s="1549"/>
      <c r="O192" s="1178"/>
      <c r="P192" s="1179"/>
      <c r="Q192" s="1171"/>
      <c r="R192" s="104"/>
      <c r="S192" s="1172"/>
      <c r="T192" s="1172"/>
      <c r="U192" s="1172"/>
      <c r="V192" s="1173"/>
      <c r="W192" s="1174"/>
      <c r="X192" s="1175"/>
      <c r="Y192" s="1176"/>
      <c r="Z192" s="1177"/>
      <c r="AA192" s="1547"/>
      <c r="AB192" s="1177"/>
      <c r="AC192" s="1548"/>
      <c r="AD192" s="1549"/>
      <c r="AE192" s="1178"/>
      <c r="AF192" s="1179"/>
      <c r="AG192" s="1171"/>
      <c r="AH192" s="104"/>
      <c r="AI192" s="1172"/>
      <c r="AJ192" s="1172"/>
      <c r="AK192" s="1172"/>
      <c r="AL192" s="1173"/>
      <c r="AM192" s="1174"/>
      <c r="AN192" s="1175"/>
      <c r="AO192" s="1176"/>
      <c r="AP192" s="1177"/>
      <c r="AQ192" s="1547"/>
      <c r="AR192" s="1177"/>
      <c r="AS192" s="1548"/>
      <c r="AT192" s="1549"/>
      <c r="AU192" s="1178"/>
      <c r="AV192" s="1179"/>
      <c r="AY192" s="3">
        <v>1</v>
      </c>
    </row>
    <row r="193" spans="2:51" ht="27" customHeight="1">
      <c r="B193" s="104"/>
      <c r="C193" s="1172"/>
      <c r="D193" s="1172"/>
      <c r="E193" s="1172"/>
      <c r="F193" s="1173"/>
      <c r="G193" s="1174"/>
      <c r="H193" s="1175"/>
      <c r="I193" s="1176"/>
      <c r="J193" s="1177"/>
      <c r="K193" s="1547"/>
      <c r="L193" s="1177"/>
      <c r="M193" s="1548"/>
      <c r="N193" s="1549"/>
      <c r="O193" s="1178"/>
      <c r="P193" s="1179"/>
      <c r="Q193" s="1171"/>
      <c r="R193" s="104"/>
      <c r="S193" s="1172"/>
      <c r="T193" s="1172"/>
      <c r="U193" s="1172"/>
      <c r="V193" s="1173"/>
      <c r="W193" s="1174"/>
      <c r="X193" s="1175"/>
      <c r="Y193" s="1176"/>
      <c r="Z193" s="1177"/>
      <c r="AA193" s="1547"/>
      <c r="AB193" s="1177"/>
      <c r="AC193" s="1548"/>
      <c r="AD193" s="1549"/>
      <c r="AE193" s="1178"/>
      <c r="AF193" s="1179"/>
      <c r="AG193" s="1171"/>
      <c r="AH193" s="104"/>
      <c r="AI193" s="1172"/>
      <c r="AJ193" s="1172"/>
      <c r="AK193" s="1172"/>
      <c r="AL193" s="1173"/>
      <c r="AM193" s="1174"/>
      <c r="AN193" s="1175"/>
      <c r="AO193" s="1176"/>
      <c r="AP193" s="1177"/>
      <c r="AQ193" s="1547"/>
      <c r="AR193" s="1177"/>
      <c r="AS193" s="1548"/>
      <c r="AT193" s="1549"/>
      <c r="AU193" s="1178"/>
      <c r="AV193" s="1179"/>
      <c r="AY193" s="3">
        <v>1</v>
      </c>
    </row>
    <row r="194" spans="2:51" ht="27" customHeight="1">
      <c r="B194" s="104"/>
      <c r="C194" s="1172"/>
      <c r="D194" s="1172"/>
      <c r="E194" s="1172"/>
      <c r="F194" s="1173"/>
      <c r="G194" s="1174"/>
      <c r="H194" s="1175"/>
      <c r="I194" s="1176"/>
      <c r="J194" s="1177"/>
      <c r="K194" s="1547"/>
      <c r="L194" s="1177"/>
      <c r="M194" s="1548"/>
      <c r="N194" s="1549"/>
      <c r="O194" s="1178"/>
      <c r="P194" s="1179"/>
      <c r="Q194" s="1171"/>
      <c r="R194" s="104"/>
      <c r="S194" s="1172"/>
      <c r="T194" s="1172"/>
      <c r="U194" s="1172"/>
      <c r="V194" s="1173"/>
      <c r="W194" s="1174"/>
      <c r="X194" s="1175"/>
      <c r="Y194" s="1176"/>
      <c r="Z194" s="1177"/>
      <c r="AA194" s="1547"/>
      <c r="AB194" s="1177"/>
      <c r="AC194" s="1548"/>
      <c r="AD194" s="1549"/>
      <c r="AE194" s="1178"/>
      <c r="AF194" s="1179"/>
      <c r="AG194" s="1171"/>
      <c r="AH194" s="104"/>
      <c r="AI194" s="1172"/>
      <c r="AJ194" s="1172"/>
      <c r="AK194" s="1172"/>
      <c r="AL194" s="1173"/>
      <c r="AM194" s="1174"/>
      <c r="AN194" s="1175"/>
      <c r="AO194" s="1176"/>
      <c r="AP194" s="1177"/>
      <c r="AQ194" s="1547"/>
      <c r="AR194" s="1177"/>
      <c r="AS194" s="1548"/>
      <c r="AT194" s="1549"/>
      <c r="AU194" s="1178"/>
      <c r="AV194" s="1179"/>
      <c r="AY194" s="3">
        <v>1</v>
      </c>
    </row>
    <row r="195" spans="2:51" ht="27" customHeight="1">
      <c r="B195" s="104"/>
      <c r="C195" s="1172"/>
      <c r="D195" s="1172"/>
      <c r="E195" s="1172"/>
      <c r="F195" s="1173"/>
      <c r="G195" s="1174"/>
      <c r="H195" s="1175"/>
      <c r="I195" s="1176"/>
      <c r="J195" s="1177"/>
      <c r="K195" s="1547"/>
      <c r="L195" s="1177"/>
      <c r="M195" s="1548"/>
      <c r="N195" s="1549"/>
      <c r="O195" s="1178"/>
      <c r="P195" s="1179"/>
      <c r="Q195" s="1171"/>
      <c r="R195" s="104"/>
      <c r="S195" s="1172"/>
      <c r="T195" s="1172"/>
      <c r="U195" s="1172"/>
      <c r="V195" s="1173"/>
      <c r="W195" s="1174"/>
      <c r="X195" s="1175"/>
      <c r="Y195" s="1176"/>
      <c r="Z195" s="1177"/>
      <c r="AA195" s="1547"/>
      <c r="AB195" s="1177"/>
      <c r="AC195" s="1548"/>
      <c r="AD195" s="1549"/>
      <c r="AE195" s="1178"/>
      <c r="AF195" s="1179"/>
      <c r="AG195" s="1171"/>
      <c r="AH195" s="104"/>
      <c r="AI195" s="1172"/>
      <c r="AJ195" s="1172"/>
      <c r="AK195" s="1172"/>
      <c r="AL195" s="1173"/>
      <c r="AM195" s="1174"/>
      <c r="AN195" s="1175"/>
      <c r="AO195" s="1176"/>
      <c r="AP195" s="1177"/>
      <c r="AQ195" s="1547"/>
      <c r="AR195" s="1177"/>
      <c r="AS195" s="1548"/>
      <c r="AT195" s="1549"/>
      <c r="AU195" s="1178"/>
      <c r="AV195" s="1179"/>
      <c r="AY195" s="3">
        <v>1</v>
      </c>
    </row>
    <row r="196" spans="2:51" ht="27" customHeight="1">
      <c r="B196" s="104"/>
      <c r="C196" s="1172"/>
      <c r="D196" s="1172"/>
      <c r="E196" s="1172"/>
      <c r="F196" s="1173"/>
      <c r="G196" s="1174"/>
      <c r="H196" s="1175"/>
      <c r="I196" s="1176"/>
      <c r="J196" s="1177"/>
      <c r="K196" s="1547"/>
      <c r="L196" s="1177"/>
      <c r="M196" s="1548"/>
      <c r="N196" s="1549"/>
      <c r="O196" s="1178"/>
      <c r="P196" s="1179"/>
      <c r="Q196" s="1171"/>
      <c r="R196" s="104"/>
      <c r="S196" s="1172"/>
      <c r="T196" s="1172"/>
      <c r="U196" s="1172"/>
      <c r="V196" s="1173"/>
      <c r="W196" s="1174"/>
      <c r="X196" s="1175"/>
      <c r="Y196" s="1176"/>
      <c r="Z196" s="1177"/>
      <c r="AA196" s="1547"/>
      <c r="AB196" s="1177"/>
      <c r="AC196" s="1548"/>
      <c r="AD196" s="1549"/>
      <c r="AE196" s="1178"/>
      <c r="AF196" s="1179"/>
      <c r="AG196" s="1171"/>
      <c r="AH196" s="104"/>
      <c r="AI196" s="1172"/>
      <c r="AJ196" s="1172"/>
      <c r="AK196" s="1172"/>
      <c r="AL196" s="1173"/>
      <c r="AM196" s="1174"/>
      <c r="AN196" s="1175"/>
      <c r="AO196" s="1176"/>
      <c r="AP196" s="1177"/>
      <c r="AQ196" s="1547"/>
      <c r="AR196" s="1177"/>
      <c r="AS196" s="1548"/>
      <c r="AT196" s="1549"/>
      <c r="AU196" s="1178"/>
      <c r="AV196" s="1179"/>
      <c r="AY196" s="3">
        <v>1</v>
      </c>
    </row>
    <row r="197" spans="2:51" ht="27" customHeight="1">
      <c r="B197" s="104"/>
      <c r="C197" s="1172"/>
      <c r="D197" s="1172"/>
      <c r="E197" s="1172"/>
      <c r="F197" s="1173"/>
      <c r="G197" s="1174"/>
      <c r="H197" s="1175"/>
      <c r="I197" s="1176"/>
      <c r="J197" s="1177"/>
      <c r="K197" s="1547"/>
      <c r="L197" s="1177"/>
      <c r="M197" s="1548"/>
      <c r="N197" s="1549"/>
      <c r="O197" s="1178"/>
      <c r="P197" s="1179"/>
      <c r="Q197" s="1171"/>
      <c r="R197" s="104"/>
      <c r="S197" s="1172"/>
      <c r="T197" s="1172"/>
      <c r="U197" s="1172"/>
      <c r="V197" s="1173"/>
      <c r="W197" s="1174"/>
      <c r="X197" s="1175"/>
      <c r="Y197" s="1176"/>
      <c r="Z197" s="1177"/>
      <c r="AA197" s="1547"/>
      <c r="AB197" s="1177"/>
      <c r="AC197" s="1548"/>
      <c r="AD197" s="1549"/>
      <c r="AE197" s="1178"/>
      <c r="AF197" s="1179"/>
      <c r="AG197" s="1171"/>
      <c r="AH197" s="104"/>
      <c r="AI197" s="1172"/>
      <c r="AJ197" s="1172"/>
      <c r="AK197" s="1172"/>
      <c r="AL197" s="1173"/>
      <c r="AM197" s="1174"/>
      <c r="AN197" s="1175"/>
      <c r="AO197" s="1176"/>
      <c r="AP197" s="1177"/>
      <c r="AQ197" s="1547"/>
      <c r="AR197" s="1177"/>
      <c r="AS197" s="1548"/>
      <c r="AT197" s="1549"/>
      <c r="AU197" s="1178"/>
      <c r="AV197" s="1179"/>
      <c r="AY197" s="3">
        <v>1</v>
      </c>
    </row>
    <row r="198" spans="2:51" ht="27" customHeight="1">
      <c r="B198" s="104"/>
      <c r="C198" s="1172"/>
      <c r="D198" s="1172"/>
      <c r="E198" s="1172"/>
      <c r="F198" s="1173"/>
      <c r="G198" s="1174"/>
      <c r="H198" s="1175"/>
      <c r="I198" s="1176"/>
      <c r="J198" s="1177"/>
      <c r="K198" s="1547"/>
      <c r="L198" s="1177"/>
      <c r="M198" s="1548"/>
      <c r="N198" s="1549"/>
      <c r="O198" s="1178"/>
      <c r="P198" s="1179"/>
      <c r="Q198" s="1171"/>
      <c r="R198" s="104"/>
      <c r="S198" s="1172"/>
      <c r="T198" s="1172"/>
      <c r="U198" s="1172"/>
      <c r="V198" s="1173"/>
      <c r="W198" s="1174"/>
      <c r="X198" s="1175"/>
      <c r="Y198" s="1176"/>
      <c r="Z198" s="1177"/>
      <c r="AA198" s="1547"/>
      <c r="AB198" s="1177"/>
      <c r="AC198" s="1548"/>
      <c r="AD198" s="1549"/>
      <c r="AE198" s="1178"/>
      <c r="AF198" s="1179"/>
      <c r="AG198" s="1171"/>
      <c r="AH198" s="104"/>
      <c r="AI198" s="1172"/>
      <c r="AJ198" s="1172"/>
      <c r="AK198" s="1172"/>
      <c r="AL198" s="1173"/>
      <c r="AM198" s="1174"/>
      <c r="AN198" s="1175"/>
      <c r="AO198" s="1176"/>
      <c r="AP198" s="1177"/>
      <c r="AQ198" s="1547"/>
      <c r="AR198" s="1177"/>
      <c r="AS198" s="1548"/>
      <c r="AT198" s="1549"/>
      <c r="AU198" s="1178"/>
      <c r="AV198" s="1179"/>
      <c r="AY198" s="3">
        <v>1</v>
      </c>
    </row>
    <row r="199" spans="2:51" ht="27" customHeight="1">
      <c r="B199" s="104"/>
      <c r="C199" s="1172"/>
      <c r="D199" s="1172"/>
      <c r="E199" s="1172"/>
      <c r="F199" s="1173"/>
      <c r="G199" s="1174"/>
      <c r="H199" s="1175"/>
      <c r="I199" s="1176"/>
      <c r="J199" s="1177"/>
      <c r="K199" s="1547"/>
      <c r="L199" s="1177"/>
      <c r="M199" s="1548"/>
      <c r="N199" s="1549"/>
      <c r="O199" s="1178"/>
      <c r="P199" s="1179"/>
      <c r="Q199" s="1171"/>
      <c r="R199" s="104"/>
      <c r="S199" s="1172"/>
      <c r="T199" s="1172"/>
      <c r="U199" s="1172"/>
      <c r="V199" s="1173"/>
      <c r="W199" s="1174"/>
      <c r="X199" s="1175"/>
      <c r="Y199" s="1176"/>
      <c r="Z199" s="1177"/>
      <c r="AA199" s="1547"/>
      <c r="AB199" s="1177"/>
      <c r="AC199" s="1548"/>
      <c r="AD199" s="1549"/>
      <c r="AE199" s="1178"/>
      <c r="AF199" s="1179"/>
      <c r="AG199" s="1171"/>
      <c r="AH199" s="104"/>
      <c r="AI199" s="1172"/>
      <c r="AJ199" s="1172"/>
      <c r="AK199" s="1172"/>
      <c r="AL199" s="1173"/>
      <c r="AM199" s="1174"/>
      <c r="AN199" s="1175"/>
      <c r="AO199" s="1176"/>
      <c r="AP199" s="1177"/>
      <c r="AQ199" s="1547"/>
      <c r="AR199" s="1177"/>
      <c r="AS199" s="1548"/>
      <c r="AT199" s="1549"/>
      <c r="AU199" s="1178"/>
      <c r="AV199" s="1179"/>
      <c r="AY199" s="3">
        <v>1</v>
      </c>
    </row>
    <row r="200" spans="2:51" ht="27" customHeight="1">
      <c r="B200" s="104"/>
      <c r="C200" s="1172"/>
      <c r="D200" s="1172"/>
      <c r="E200" s="1172"/>
      <c r="F200" s="1173"/>
      <c r="G200" s="1174"/>
      <c r="H200" s="1175"/>
      <c r="I200" s="1176"/>
      <c r="J200" s="1177"/>
      <c r="K200" s="1547"/>
      <c r="L200" s="1177"/>
      <c r="M200" s="1548"/>
      <c r="N200" s="1549"/>
      <c r="O200" s="1178"/>
      <c r="P200" s="1179"/>
      <c r="Q200" s="1171"/>
      <c r="R200" s="104"/>
      <c r="S200" s="1172"/>
      <c r="T200" s="1172"/>
      <c r="U200" s="1172"/>
      <c r="V200" s="1173"/>
      <c r="W200" s="1174"/>
      <c r="X200" s="1175"/>
      <c r="Y200" s="1176"/>
      <c r="Z200" s="1177"/>
      <c r="AA200" s="1547"/>
      <c r="AB200" s="1177"/>
      <c r="AC200" s="1548"/>
      <c r="AD200" s="1549"/>
      <c r="AE200" s="1178"/>
      <c r="AF200" s="1179"/>
      <c r="AG200" s="1171"/>
      <c r="AH200" s="104"/>
      <c r="AI200" s="1172"/>
      <c r="AJ200" s="1172"/>
      <c r="AK200" s="1172"/>
      <c r="AL200" s="1173"/>
      <c r="AM200" s="1174"/>
      <c r="AN200" s="1175"/>
      <c r="AO200" s="1176"/>
      <c r="AP200" s="1177"/>
      <c r="AQ200" s="1547"/>
      <c r="AR200" s="1177"/>
      <c r="AS200" s="1548"/>
      <c r="AT200" s="1549"/>
      <c r="AU200" s="1178"/>
      <c r="AV200" s="1179"/>
      <c r="AY200" s="3">
        <v>1</v>
      </c>
    </row>
    <row r="201" spans="2:51" ht="27" customHeight="1">
      <c r="B201" s="104"/>
      <c r="C201" s="1172"/>
      <c r="D201" s="1172"/>
      <c r="E201" s="1172"/>
      <c r="F201" s="1173"/>
      <c r="G201" s="1174"/>
      <c r="H201" s="1175"/>
      <c r="I201" s="1176"/>
      <c r="J201" s="1177"/>
      <c r="K201" s="1547"/>
      <c r="L201" s="1177"/>
      <c r="M201" s="1548"/>
      <c r="N201" s="1549"/>
      <c r="O201" s="1178"/>
      <c r="P201" s="1179"/>
      <c r="Q201" s="1171"/>
      <c r="R201" s="104"/>
      <c r="S201" s="1172"/>
      <c r="T201" s="1172"/>
      <c r="U201" s="1172"/>
      <c r="V201" s="1173"/>
      <c r="W201" s="1174"/>
      <c r="X201" s="1175"/>
      <c r="Y201" s="1176"/>
      <c r="Z201" s="1177"/>
      <c r="AA201" s="1547"/>
      <c r="AB201" s="1177"/>
      <c r="AC201" s="1548"/>
      <c r="AD201" s="1549"/>
      <c r="AE201" s="1178"/>
      <c r="AF201" s="1179"/>
      <c r="AG201" s="1171"/>
      <c r="AH201" s="104"/>
      <c r="AI201" s="1172"/>
      <c r="AJ201" s="1172"/>
      <c r="AK201" s="1172"/>
      <c r="AL201" s="1173"/>
      <c r="AM201" s="1174"/>
      <c r="AN201" s="1175"/>
      <c r="AO201" s="1176"/>
      <c r="AP201" s="1177"/>
      <c r="AQ201" s="1547"/>
      <c r="AR201" s="1177"/>
      <c r="AS201" s="1548"/>
      <c r="AT201" s="1549"/>
      <c r="AU201" s="1178"/>
      <c r="AV201" s="1179"/>
      <c r="AY201" s="3">
        <v>1</v>
      </c>
    </row>
    <row r="202" spans="2:51" ht="27" customHeight="1">
      <c r="B202" s="104"/>
      <c r="C202" s="1172"/>
      <c r="D202" s="1172"/>
      <c r="E202" s="1172"/>
      <c r="F202" s="1173"/>
      <c r="G202" s="1174"/>
      <c r="H202" s="1175"/>
      <c r="I202" s="1176"/>
      <c r="J202" s="1177"/>
      <c r="K202" s="1547"/>
      <c r="L202" s="1177"/>
      <c r="M202" s="1548"/>
      <c r="N202" s="1549"/>
      <c r="O202" s="1178"/>
      <c r="P202" s="1179"/>
      <c r="Q202" s="1171"/>
      <c r="R202" s="104"/>
      <c r="S202" s="1172"/>
      <c r="T202" s="1172"/>
      <c r="U202" s="1172"/>
      <c r="V202" s="1173"/>
      <c r="W202" s="1174"/>
      <c r="X202" s="1175"/>
      <c r="Y202" s="1176"/>
      <c r="Z202" s="1177"/>
      <c r="AA202" s="1547"/>
      <c r="AB202" s="1177"/>
      <c r="AC202" s="1548"/>
      <c r="AD202" s="1549"/>
      <c r="AE202" s="1178"/>
      <c r="AF202" s="1179"/>
      <c r="AG202" s="1171"/>
      <c r="AH202" s="104"/>
      <c r="AI202" s="1172"/>
      <c r="AJ202" s="1172"/>
      <c r="AK202" s="1172"/>
      <c r="AL202" s="1173"/>
      <c r="AM202" s="1174"/>
      <c r="AN202" s="1175"/>
      <c r="AO202" s="1176"/>
      <c r="AP202" s="1177"/>
      <c r="AQ202" s="1547"/>
      <c r="AR202" s="1177"/>
      <c r="AS202" s="1548"/>
      <c r="AT202" s="1549"/>
      <c r="AU202" s="1178"/>
      <c r="AV202" s="1179"/>
      <c r="AY202" s="3">
        <v>1</v>
      </c>
    </row>
    <row r="203" spans="2:51" ht="27" customHeight="1">
      <c r="B203" s="104"/>
      <c r="C203" s="1172"/>
      <c r="D203" s="1172"/>
      <c r="E203" s="1172"/>
      <c r="F203" s="1173"/>
      <c r="G203" s="1174"/>
      <c r="H203" s="1175"/>
      <c r="I203" s="1176"/>
      <c r="J203" s="1177"/>
      <c r="K203" s="1547"/>
      <c r="L203" s="1177"/>
      <c r="M203" s="1548"/>
      <c r="N203" s="1549"/>
      <c r="O203" s="1178"/>
      <c r="P203" s="1179"/>
      <c r="Q203" s="1171"/>
      <c r="R203" s="104"/>
      <c r="S203" s="1172"/>
      <c r="T203" s="1172"/>
      <c r="U203" s="1172"/>
      <c r="V203" s="1173"/>
      <c r="W203" s="1174"/>
      <c r="X203" s="1175"/>
      <c r="Y203" s="1176"/>
      <c r="Z203" s="1177"/>
      <c r="AA203" s="1547"/>
      <c r="AB203" s="1177"/>
      <c r="AC203" s="1548"/>
      <c r="AD203" s="1549"/>
      <c r="AE203" s="1178"/>
      <c r="AF203" s="1179"/>
      <c r="AG203" s="1171"/>
      <c r="AH203" s="104"/>
      <c r="AI203" s="1172"/>
      <c r="AJ203" s="1172"/>
      <c r="AK203" s="1172"/>
      <c r="AL203" s="1173"/>
      <c r="AM203" s="1174"/>
      <c r="AN203" s="1175"/>
      <c r="AO203" s="1176"/>
      <c r="AP203" s="1177"/>
      <c r="AQ203" s="1547"/>
      <c r="AR203" s="1177"/>
      <c r="AS203" s="1548"/>
      <c r="AT203" s="1549"/>
      <c r="AU203" s="1178"/>
      <c r="AV203" s="1179"/>
      <c r="AY203" s="3">
        <v>1</v>
      </c>
    </row>
    <row r="204" spans="2:51" ht="27" customHeight="1">
      <c r="B204" s="104"/>
      <c r="C204" s="1172"/>
      <c r="D204" s="1172"/>
      <c r="E204" s="1172"/>
      <c r="F204" s="1173"/>
      <c r="G204" s="1174"/>
      <c r="H204" s="1175"/>
      <c r="I204" s="1176"/>
      <c r="J204" s="1177"/>
      <c r="K204" s="1547"/>
      <c r="L204" s="1177"/>
      <c r="M204" s="1548"/>
      <c r="N204" s="1549"/>
      <c r="O204" s="1178"/>
      <c r="P204" s="1179"/>
      <c r="Q204" s="1171"/>
      <c r="R204" s="104"/>
      <c r="S204" s="1172"/>
      <c r="T204" s="1172"/>
      <c r="U204" s="1172"/>
      <c r="V204" s="1173"/>
      <c r="W204" s="1174"/>
      <c r="X204" s="1175"/>
      <c r="Y204" s="1176"/>
      <c r="Z204" s="1177"/>
      <c r="AA204" s="1547"/>
      <c r="AB204" s="1177"/>
      <c r="AC204" s="1548"/>
      <c r="AD204" s="1549"/>
      <c r="AE204" s="1178"/>
      <c r="AF204" s="1179"/>
      <c r="AG204" s="1171"/>
      <c r="AH204" s="104"/>
      <c r="AI204" s="1172"/>
      <c r="AJ204" s="1172"/>
      <c r="AK204" s="1172"/>
      <c r="AL204" s="1173"/>
      <c r="AM204" s="1174"/>
      <c r="AN204" s="1175"/>
      <c r="AO204" s="1176"/>
      <c r="AP204" s="1177"/>
      <c r="AQ204" s="1547"/>
      <c r="AR204" s="1177"/>
      <c r="AS204" s="1548"/>
      <c r="AT204" s="1549"/>
      <c r="AU204" s="1178"/>
      <c r="AV204" s="1179"/>
      <c r="AY204" s="3">
        <v>1</v>
      </c>
    </row>
    <row r="205" spans="2:51" ht="27" customHeight="1">
      <c r="B205" s="104"/>
      <c r="C205" s="1172"/>
      <c r="D205" s="1172"/>
      <c r="E205" s="1172"/>
      <c r="F205" s="1173"/>
      <c r="G205" s="1174"/>
      <c r="H205" s="1175"/>
      <c r="I205" s="1176"/>
      <c r="J205" s="1177"/>
      <c r="K205" s="1547"/>
      <c r="L205" s="1177"/>
      <c r="M205" s="1548"/>
      <c r="N205" s="1549"/>
      <c r="O205" s="1178"/>
      <c r="P205" s="1179"/>
      <c r="Q205" s="1171"/>
      <c r="R205" s="104"/>
      <c r="S205" s="1172"/>
      <c r="T205" s="1172"/>
      <c r="U205" s="1172"/>
      <c r="V205" s="1173"/>
      <c r="W205" s="1174"/>
      <c r="X205" s="1175"/>
      <c r="Y205" s="1176"/>
      <c r="Z205" s="1177"/>
      <c r="AA205" s="1547"/>
      <c r="AB205" s="1177"/>
      <c r="AC205" s="1548"/>
      <c r="AD205" s="1549"/>
      <c r="AE205" s="1178"/>
      <c r="AF205" s="1179"/>
      <c r="AG205" s="1171"/>
      <c r="AH205" s="104"/>
      <c r="AI205" s="1172"/>
      <c r="AJ205" s="1172"/>
      <c r="AK205" s="1172"/>
      <c r="AL205" s="1173"/>
      <c r="AM205" s="1174"/>
      <c r="AN205" s="1175"/>
      <c r="AO205" s="1176"/>
      <c r="AP205" s="1177"/>
      <c r="AQ205" s="1547"/>
      <c r="AR205" s="1177"/>
      <c r="AS205" s="1548"/>
      <c r="AT205" s="1549"/>
      <c r="AU205" s="1178"/>
      <c r="AV205" s="1179"/>
      <c r="AY205" s="3">
        <v>1</v>
      </c>
    </row>
    <row r="206" spans="2:51" ht="27" customHeight="1">
      <c r="B206" s="104"/>
      <c r="C206" s="1172"/>
      <c r="D206" s="1172"/>
      <c r="E206" s="1172"/>
      <c r="F206" s="1173"/>
      <c r="G206" s="1174"/>
      <c r="H206" s="1175"/>
      <c r="I206" s="1176"/>
      <c r="J206" s="1177"/>
      <c r="K206" s="1547"/>
      <c r="L206" s="1177"/>
      <c r="M206" s="1548"/>
      <c r="N206" s="1549"/>
      <c r="O206" s="1178"/>
      <c r="P206" s="1179"/>
      <c r="Q206" s="1171"/>
      <c r="R206" s="104"/>
      <c r="S206" s="1172"/>
      <c r="T206" s="1172"/>
      <c r="U206" s="1172"/>
      <c r="V206" s="1173"/>
      <c r="W206" s="1174"/>
      <c r="X206" s="1175"/>
      <c r="Y206" s="1176"/>
      <c r="Z206" s="1177"/>
      <c r="AA206" s="1547"/>
      <c r="AB206" s="1177"/>
      <c r="AC206" s="1548"/>
      <c r="AD206" s="1549"/>
      <c r="AE206" s="1178"/>
      <c r="AF206" s="1179"/>
      <c r="AG206" s="1171"/>
      <c r="AH206" s="104"/>
      <c r="AI206" s="1172"/>
      <c r="AJ206" s="1172"/>
      <c r="AK206" s="1172"/>
      <c r="AL206" s="1173"/>
      <c r="AM206" s="1174"/>
      <c r="AN206" s="1175"/>
      <c r="AO206" s="1176"/>
      <c r="AP206" s="1177"/>
      <c r="AQ206" s="1547"/>
      <c r="AR206" s="1177"/>
      <c r="AS206" s="1548"/>
      <c r="AT206" s="1549"/>
      <c r="AU206" s="1178"/>
      <c r="AV206" s="1179"/>
      <c r="AY206" s="3">
        <v>1</v>
      </c>
    </row>
    <row r="207" spans="2:51" ht="27" customHeight="1">
      <c r="B207" s="104"/>
      <c r="C207" s="1172"/>
      <c r="D207" s="1172"/>
      <c r="E207" s="1172"/>
      <c r="F207" s="1173"/>
      <c r="G207" s="1174"/>
      <c r="H207" s="1175"/>
      <c r="I207" s="1176"/>
      <c r="J207" s="1177"/>
      <c r="K207" s="1547"/>
      <c r="L207" s="1177"/>
      <c r="M207" s="1548"/>
      <c r="N207" s="1549"/>
      <c r="O207" s="1178"/>
      <c r="P207" s="1179"/>
      <c r="Q207" s="1171"/>
      <c r="R207" s="104"/>
      <c r="S207" s="1172"/>
      <c r="T207" s="1172"/>
      <c r="U207" s="1172"/>
      <c r="V207" s="1173"/>
      <c r="W207" s="1174"/>
      <c r="X207" s="1175"/>
      <c r="Y207" s="1176"/>
      <c r="Z207" s="1177"/>
      <c r="AA207" s="1547"/>
      <c r="AB207" s="1177"/>
      <c r="AC207" s="1548"/>
      <c r="AD207" s="1549"/>
      <c r="AE207" s="1178"/>
      <c r="AF207" s="1179"/>
      <c r="AG207" s="1171"/>
      <c r="AH207" s="104"/>
      <c r="AI207" s="1172"/>
      <c r="AJ207" s="1172"/>
      <c r="AK207" s="1172"/>
      <c r="AL207" s="1173"/>
      <c r="AM207" s="1174"/>
      <c r="AN207" s="1175"/>
      <c r="AO207" s="1176"/>
      <c r="AP207" s="1177"/>
      <c r="AQ207" s="1547"/>
      <c r="AR207" s="1177"/>
      <c r="AS207" s="1548"/>
      <c r="AT207" s="1549"/>
      <c r="AU207" s="1178"/>
      <c r="AV207" s="1179"/>
      <c r="AY207" s="3">
        <v>1</v>
      </c>
    </row>
    <row r="208" spans="2:51" ht="27" customHeight="1">
      <c r="B208" s="104"/>
      <c r="C208" s="1172"/>
      <c r="D208" s="1172"/>
      <c r="E208" s="1172"/>
      <c r="F208" s="1173"/>
      <c r="G208" s="1174"/>
      <c r="H208" s="1175"/>
      <c r="I208" s="1176"/>
      <c r="J208" s="1177"/>
      <c r="K208" s="1547"/>
      <c r="L208" s="1177"/>
      <c r="M208" s="1548"/>
      <c r="N208" s="1549"/>
      <c r="O208" s="1178"/>
      <c r="P208" s="1179"/>
      <c r="Q208" s="1171"/>
      <c r="R208" s="104"/>
      <c r="S208" s="1172"/>
      <c r="T208" s="1172"/>
      <c r="U208" s="1172"/>
      <c r="V208" s="1173"/>
      <c r="W208" s="1174"/>
      <c r="X208" s="1175"/>
      <c r="Y208" s="1176"/>
      <c r="Z208" s="1177"/>
      <c r="AA208" s="1547"/>
      <c r="AB208" s="1177"/>
      <c r="AC208" s="1548"/>
      <c r="AD208" s="1549"/>
      <c r="AE208" s="1178"/>
      <c r="AF208" s="1179"/>
      <c r="AG208" s="1171"/>
      <c r="AH208" s="104"/>
      <c r="AI208" s="1172"/>
      <c r="AJ208" s="1172"/>
      <c r="AK208" s="1172"/>
      <c r="AL208" s="1173"/>
      <c r="AM208" s="1174"/>
      <c r="AN208" s="1175"/>
      <c r="AO208" s="1176"/>
      <c r="AP208" s="1177"/>
      <c r="AQ208" s="1547"/>
      <c r="AR208" s="1177"/>
      <c r="AS208" s="1548"/>
      <c r="AT208" s="1549"/>
      <c r="AU208" s="1178"/>
      <c r="AV208" s="1179"/>
      <c r="AY208" s="3">
        <v>1</v>
      </c>
    </row>
    <row r="209" spans="2:51" ht="27" customHeight="1">
      <c r="B209" s="104"/>
      <c r="C209" s="1172"/>
      <c r="D209" s="1172"/>
      <c r="E209" s="1172"/>
      <c r="F209" s="1173"/>
      <c r="G209" s="1174"/>
      <c r="H209" s="1175"/>
      <c r="I209" s="1176"/>
      <c r="J209" s="1177"/>
      <c r="K209" s="1547"/>
      <c r="L209" s="1177"/>
      <c r="M209" s="1548"/>
      <c r="N209" s="1549"/>
      <c r="O209" s="1178"/>
      <c r="P209" s="1179"/>
      <c r="Q209" s="1171"/>
      <c r="R209" s="104"/>
      <c r="S209" s="1172"/>
      <c r="T209" s="1172"/>
      <c r="U209" s="1172"/>
      <c r="V209" s="1173"/>
      <c r="W209" s="1174"/>
      <c r="X209" s="1175"/>
      <c r="Y209" s="1176"/>
      <c r="Z209" s="1177"/>
      <c r="AA209" s="1547"/>
      <c r="AB209" s="1177"/>
      <c r="AC209" s="1548"/>
      <c r="AD209" s="1549"/>
      <c r="AE209" s="1178"/>
      <c r="AF209" s="1179"/>
      <c r="AG209" s="1171"/>
      <c r="AH209" s="104"/>
      <c r="AI209" s="1172"/>
      <c r="AJ209" s="1172"/>
      <c r="AK209" s="1172"/>
      <c r="AL209" s="1173"/>
      <c r="AM209" s="1174"/>
      <c r="AN209" s="1175"/>
      <c r="AO209" s="1176"/>
      <c r="AP209" s="1177"/>
      <c r="AQ209" s="1547"/>
      <c r="AR209" s="1177"/>
      <c r="AS209" s="1548"/>
      <c r="AT209" s="1549"/>
      <c r="AU209" s="1178"/>
      <c r="AV209" s="1179"/>
      <c r="AY209" s="3">
        <v>1</v>
      </c>
    </row>
    <row r="210" spans="2:51" ht="27" customHeight="1">
      <c r="B210" s="104"/>
      <c r="C210" s="1172"/>
      <c r="D210" s="1172"/>
      <c r="E210" s="1172"/>
      <c r="F210" s="1173"/>
      <c r="G210" s="1174"/>
      <c r="H210" s="1175"/>
      <c r="I210" s="1176"/>
      <c r="J210" s="1177"/>
      <c r="K210" s="1547"/>
      <c r="L210" s="1177"/>
      <c r="M210" s="1548"/>
      <c r="N210" s="1549"/>
      <c r="O210" s="1178"/>
      <c r="P210" s="1179"/>
      <c r="Q210" s="1171"/>
      <c r="R210" s="104"/>
      <c r="S210" s="1172"/>
      <c r="T210" s="1172"/>
      <c r="U210" s="1172"/>
      <c r="V210" s="1173"/>
      <c r="W210" s="1174"/>
      <c r="X210" s="1175"/>
      <c r="Y210" s="1176"/>
      <c r="Z210" s="1177"/>
      <c r="AA210" s="1547"/>
      <c r="AB210" s="1177"/>
      <c r="AC210" s="1548"/>
      <c r="AD210" s="1549"/>
      <c r="AE210" s="1178"/>
      <c r="AF210" s="1179"/>
      <c r="AG210" s="1171"/>
      <c r="AH210" s="104"/>
      <c r="AI210" s="1172"/>
      <c r="AJ210" s="1172"/>
      <c r="AK210" s="1172"/>
      <c r="AL210" s="1173"/>
      <c r="AM210" s="1174"/>
      <c r="AN210" s="1175"/>
      <c r="AO210" s="1176"/>
      <c r="AP210" s="1177"/>
      <c r="AQ210" s="1547"/>
      <c r="AR210" s="1177"/>
      <c r="AS210" s="1548"/>
      <c r="AT210" s="1549"/>
      <c r="AU210" s="1178"/>
      <c r="AV210" s="1179"/>
      <c r="AY210" s="3">
        <v>1</v>
      </c>
    </row>
    <row r="211" spans="2:51" ht="27" customHeight="1">
      <c r="B211" s="104"/>
      <c r="C211" s="1172"/>
      <c r="D211" s="1172"/>
      <c r="E211" s="1172"/>
      <c r="F211" s="1173"/>
      <c r="G211" s="1174"/>
      <c r="H211" s="1175"/>
      <c r="I211" s="1176"/>
      <c r="J211" s="1177"/>
      <c r="K211" s="1547"/>
      <c r="L211" s="1177"/>
      <c r="M211" s="1548"/>
      <c r="N211" s="1549"/>
      <c r="O211" s="1178"/>
      <c r="P211" s="1179"/>
      <c r="Q211" s="1171"/>
      <c r="R211" s="104"/>
      <c r="S211" s="1172"/>
      <c r="T211" s="1172"/>
      <c r="U211" s="1172"/>
      <c r="V211" s="1173"/>
      <c r="W211" s="1174"/>
      <c r="X211" s="1175"/>
      <c r="Y211" s="1176"/>
      <c r="Z211" s="1177"/>
      <c r="AA211" s="1547"/>
      <c r="AB211" s="1177"/>
      <c r="AC211" s="1548"/>
      <c r="AD211" s="1549"/>
      <c r="AE211" s="1178"/>
      <c r="AF211" s="1179"/>
      <c r="AG211" s="1171"/>
      <c r="AH211" s="104"/>
      <c r="AI211" s="1172"/>
      <c r="AJ211" s="1172"/>
      <c r="AK211" s="1172"/>
      <c r="AL211" s="1173"/>
      <c r="AM211" s="1174"/>
      <c r="AN211" s="1175"/>
      <c r="AO211" s="1176"/>
      <c r="AP211" s="1177"/>
      <c r="AQ211" s="1547"/>
      <c r="AR211" s="1177"/>
      <c r="AS211" s="1548"/>
      <c r="AT211" s="1549"/>
      <c r="AU211" s="1178"/>
      <c r="AV211" s="1179"/>
      <c r="AY211" s="3">
        <v>1</v>
      </c>
    </row>
    <row r="212" spans="2:51" ht="27" customHeight="1">
      <c r="B212" s="104"/>
      <c r="C212" s="1172"/>
      <c r="D212" s="1172"/>
      <c r="E212" s="1172"/>
      <c r="F212" s="1173"/>
      <c r="G212" s="1174"/>
      <c r="H212" s="1175"/>
      <c r="I212" s="1176"/>
      <c r="J212" s="1177"/>
      <c r="K212" s="1547"/>
      <c r="L212" s="1177"/>
      <c r="M212" s="1548"/>
      <c r="N212" s="1549"/>
      <c r="O212" s="1178"/>
      <c r="P212" s="1179"/>
      <c r="Q212" s="1171"/>
      <c r="R212" s="104"/>
      <c r="S212" s="1172"/>
      <c r="T212" s="1172"/>
      <c r="U212" s="1172"/>
      <c r="V212" s="1173"/>
      <c r="W212" s="1174"/>
      <c r="X212" s="1175"/>
      <c r="Y212" s="1176"/>
      <c r="Z212" s="1177"/>
      <c r="AA212" s="1547"/>
      <c r="AB212" s="1177"/>
      <c r="AC212" s="1548"/>
      <c r="AD212" s="1549"/>
      <c r="AE212" s="1178"/>
      <c r="AF212" s="1179"/>
      <c r="AG212" s="1171"/>
      <c r="AH212" s="104"/>
      <c r="AI212" s="1172"/>
      <c r="AJ212" s="1172"/>
      <c r="AK212" s="1172"/>
      <c r="AL212" s="1173"/>
      <c r="AM212" s="1174"/>
      <c r="AN212" s="1175"/>
      <c r="AO212" s="1176"/>
      <c r="AP212" s="1177"/>
      <c r="AQ212" s="1547"/>
      <c r="AR212" s="1177"/>
      <c r="AS212" s="1548"/>
      <c r="AT212" s="1549"/>
      <c r="AU212" s="1178"/>
      <c r="AV212" s="1179"/>
      <c r="AY212" s="3">
        <v>1</v>
      </c>
    </row>
    <row r="213" spans="2:51" ht="27" customHeight="1">
      <c r="B213" s="104"/>
      <c r="C213" s="1172"/>
      <c r="D213" s="1172"/>
      <c r="E213" s="1172"/>
      <c r="F213" s="1173"/>
      <c r="G213" s="1174"/>
      <c r="H213" s="1175"/>
      <c r="I213" s="1176"/>
      <c r="J213" s="1177"/>
      <c r="K213" s="1547"/>
      <c r="L213" s="1177"/>
      <c r="M213" s="1548"/>
      <c r="N213" s="1549"/>
      <c r="O213" s="1178"/>
      <c r="P213" s="1179"/>
      <c r="Q213" s="1171"/>
      <c r="R213" s="104"/>
      <c r="S213" s="1172"/>
      <c r="T213" s="1172"/>
      <c r="U213" s="1172"/>
      <c r="V213" s="1173"/>
      <c r="W213" s="1174"/>
      <c r="X213" s="1175"/>
      <c r="Y213" s="1176"/>
      <c r="Z213" s="1177"/>
      <c r="AA213" s="1547"/>
      <c r="AB213" s="1177"/>
      <c r="AC213" s="1548"/>
      <c r="AD213" s="1549"/>
      <c r="AE213" s="1178"/>
      <c r="AF213" s="1179"/>
      <c r="AG213" s="1171"/>
      <c r="AH213" s="104"/>
      <c r="AI213" s="1172"/>
      <c r="AJ213" s="1172"/>
      <c r="AK213" s="1172"/>
      <c r="AL213" s="1173"/>
      <c r="AM213" s="1174"/>
      <c r="AN213" s="1175"/>
      <c r="AO213" s="1176"/>
      <c r="AP213" s="1177"/>
      <c r="AQ213" s="1547"/>
      <c r="AR213" s="1177"/>
      <c r="AS213" s="1548"/>
      <c r="AT213" s="1549"/>
      <c r="AU213" s="1178"/>
      <c r="AV213" s="1179"/>
      <c r="AY213" s="3">
        <v>1</v>
      </c>
    </row>
    <row r="214" spans="2:51" ht="27" customHeight="1">
      <c r="B214" s="104"/>
      <c r="C214" s="1172"/>
      <c r="D214" s="1172"/>
      <c r="E214" s="1172"/>
      <c r="F214" s="1173"/>
      <c r="G214" s="1174"/>
      <c r="H214" s="1175"/>
      <c r="I214" s="1176"/>
      <c r="J214" s="1177"/>
      <c r="K214" s="1547"/>
      <c r="L214" s="1177"/>
      <c r="M214" s="1548"/>
      <c r="N214" s="1549"/>
      <c r="O214" s="1178"/>
      <c r="P214" s="1179"/>
      <c r="Q214" s="1171"/>
      <c r="R214" s="104"/>
      <c r="S214" s="1172"/>
      <c r="T214" s="1172"/>
      <c r="U214" s="1172"/>
      <c r="V214" s="1173"/>
      <c r="W214" s="1174"/>
      <c r="X214" s="1175"/>
      <c r="Y214" s="1176"/>
      <c r="Z214" s="1177"/>
      <c r="AA214" s="1547"/>
      <c r="AB214" s="1177"/>
      <c r="AC214" s="1548"/>
      <c r="AD214" s="1549"/>
      <c r="AE214" s="1178"/>
      <c r="AF214" s="1179"/>
      <c r="AG214" s="1171"/>
      <c r="AH214" s="104"/>
      <c r="AI214" s="1172"/>
      <c r="AJ214" s="1172"/>
      <c r="AK214" s="1172"/>
      <c r="AL214" s="1173"/>
      <c r="AM214" s="1174"/>
      <c r="AN214" s="1175"/>
      <c r="AO214" s="1176"/>
      <c r="AP214" s="1177"/>
      <c r="AQ214" s="1547"/>
      <c r="AR214" s="1177"/>
      <c r="AS214" s="1548"/>
      <c r="AT214" s="1549"/>
      <c r="AU214" s="1178"/>
      <c r="AV214" s="1179"/>
      <c r="AY214" s="3">
        <v>1</v>
      </c>
    </row>
    <row r="215" spans="2:51" ht="27" customHeight="1">
      <c r="B215" s="104"/>
      <c r="C215" s="1172"/>
      <c r="D215" s="1172"/>
      <c r="E215" s="1172"/>
      <c r="F215" s="1173"/>
      <c r="G215" s="1174"/>
      <c r="H215" s="1175"/>
      <c r="I215" s="1176"/>
      <c r="J215" s="1177"/>
      <c r="K215" s="1547"/>
      <c r="L215" s="1177"/>
      <c r="M215" s="1548"/>
      <c r="N215" s="1549"/>
      <c r="O215" s="1178"/>
      <c r="P215" s="1179"/>
      <c r="Q215" s="1171"/>
      <c r="R215" s="104"/>
      <c r="S215" s="1172"/>
      <c r="T215" s="1172"/>
      <c r="U215" s="1172"/>
      <c r="V215" s="1173"/>
      <c r="W215" s="1174"/>
      <c r="X215" s="1175"/>
      <c r="Y215" s="1176"/>
      <c r="Z215" s="1177"/>
      <c r="AA215" s="1547"/>
      <c r="AB215" s="1177"/>
      <c r="AC215" s="1548"/>
      <c r="AD215" s="1549"/>
      <c r="AE215" s="1178"/>
      <c r="AF215" s="1179"/>
      <c r="AG215" s="1171"/>
      <c r="AH215" s="104"/>
      <c r="AI215" s="1172"/>
      <c r="AJ215" s="1172"/>
      <c r="AK215" s="1172"/>
      <c r="AL215" s="1173"/>
      <c r="AM215" s="1174"/>
      <c r="AN215" s="1175"/>
      <c r="AO215" s="1176"/>
      <c r="AP215" s="1177"/>
      <c r="AQ215" s="1547"/>
      <c r="AR215" s="1177"/>
      <c r="AS215" s="1548"/>
      <c r="AT215" s="1549"/>
      <c r="AU215" s="1178"/>
      <c r="AV215" s="1179"/>
      <c r="AY215" s="3">
        <v>1</v>
      </c>
    </row>
    <row r="216" spans="2:51" ht="27" customHeight="1">
      <c r="B216" s="104"/>
      <c r="C216" s="1172"/>
      <c r="D216" s="1172"/>
      <c r="E216" s="1172"/>
      <c r="F216" s="1173"/>
      <c r="G216" s="1174"/>
      <c r="H216" s="1175"/>
      <c r="I216" s="1176"/>
      <c r="J216" s="1177"/>
      <c r="K216" s="1547"/>
      <c r="L216" s="1177"/>
      <c r="M216" s="1548"/>
      <c r="N216" s="1549"/>
      <c r="O216" s="1178"/>
      <c r="P216" s="1179"/>
      <c r="Q216" s="1171"/>
      <c r="R216" s="104"/>
      <c r="S216" s="1172"/>
      <c r="T216" s="1172"/>
      <c r="U216" s="1172"/>
      <c r="V216" s="1173"/>
      <c r="W216" s="1174"/>
      <c r="X216" s="1175"/>
      <c r="Y216" s="1176"/>
      <c r="Z216" s="1177"/>
      <c r="AA216" s="1547"/>
      <c r="AB216" s="1177"/>
      <c r="AC216" s="1548"/>
      <c r="AD216" s="1549"/>
      <c r="AE216" s="1178"/>
      <c r="AF216" s="1179"/>
      <c r="AG216" s="1171"/>
      <c r="AH216" s="104"/>
      <c r="AI216" s="1172"/>
      <c r="AJ216" s="1172"/>
      <c r="AK216" s="1172"/>
      <c r="AL216" s="1173"/>
      <c r="AM216" s="1174"/>
      <c r="AN216" s="1175"/>
      <c r="AO216" s="1176"/>
      <c r="AP216" s="1177"/>
      <c r="AQ216" s="1547"/>
      <c r="AR216" s="1177"/>
      <c r="AS216" s="1548"/>
      <c r="AT216" s="1549"/>
      <c r="AU216" s="1178"/>
      <c r="AV216" s="1179"/>
      <c r="AY216" s="3">
        <v>1</v>
      </c>
    </row>
    <row r="217" spans="2:51" ht="27" customHeight="1">
      <c r="B217" s="104"/>
      <c r="C217" s="1172"/>
      <c r="D217" s="1172"/>
      <c r="E217" s="1172"/>
      <c r="F217" s="1173"/>
      <c r="G217" s="1174"/>
      <c r="H217" s="1175"/>
      <c r="I217" s="1176"/>
      <c r="J217" s="1177"/>
      <c r="K217" s="1547"/>
      <c r="L217" s="1177"/>
      <c r="M217" s="1548"/>
      <c r="N217" s="1549"/>
      <c r="O217" s="1178"/>
      <c r="P217" s="1179"/>
      <c r="Q217" s="1171"/>
      <c r="R217" s="104"/>
      <c r="S217" s="1172"/>
      <c r="T217" s="1172"/>
      <c r="U217" s="1172"/>
      <c r="V217" s="1173"/>
      <c r="W217" s="1174"/>
      <c r="X217" s="1175"/>
      <c r="Y217" s="1176"/>
      <c r="Z217" s="1177"/>
      <c r="AA217" s="1547"/>
      <c r="AB217" s="1177"/>
      <c r="AC217" s="1548"/>
      <c r="AD217" s="1549"/>
      <c r="AE217" s="1178"/>
      <c r="AF217" s="1179"/>
      <c r="AG217" s="1171"/>
      <c r="AH217" s="104"/>
      <c r="AI217" s="1172"/>
      <c r="AJ217" s="1172"/>
      <c r="AK217" s="1172"/>
      <c r="AL217" s="1173"/>
      <c r="AM217" s="1174"/>
      <c r="AN217" s="1175"/>
      <c r="AO217" s="1176"/>
      <c r="AP217" s="1177"/>
      <c r="AQ217" s="1547"/>
      <c r="AR217" s="1177"/>
      <c r="AS217" s="1548"/>
      <c r="AT217" s="1549"/>
      <c r="AU217" s="1178"/>
      <c r="AV217" s="1179"/>
      <c r="AY217" s="3">
        <v>1</v>
      </c>
    </row>
    <row r="218" spans="2:51" ht="27" customHeight="1">
      <c r="B218" s="104"/>
      <c r="C218" s="1172"/>
      <c r="D218" s="1172"/>
      <c r="E218" s="1172"/>
      <c r="F218" s="1173"/>
      <c r="G218" s="1174"/>
      <c r="H218" s="1175"/>
      <c r="I218" s="1176"/>
      <c r="J218" s="1177"/>
      <c r="K218" s="1547"/>
      <c r="L218" s="1177"/>
      <c r="M218" s="1548"/>
      <c r="N218" s="1549"/>
      <c r="O218" s="1178"/>
      <c r="P218" s="1179"/>
      <c r="Q218" s="1171"/>
      <c r="R218" s="104"/>
      <c r="S218" s="1172"/>
      <c r="T218" s="1172"/>
      <c r="U218" s="1172"/>
      <c r="V218" s="1173"/>
      <c r="W218" s="1174"/>
      <c r="X218" s="1175"/>
      <c r="Y218" s="1176"/>
      <c r="Z218" s="1177"/>
      <c r="AA218" s="1547"/>
      <c r="AB218" s="1177"/>
      <c r="AC218" s="1548"/>
      <c r="AD218" s="1549"/>
      <c r="AE218" s="1178"/>
      <c r="AF218" s="1179"/>
      <c r="AG218" s="1171"/>
      <c r="AH218" s="104"/>
      <c r="AI218" s="1172"/>
      <c r="AJ218" s="1172"/>
      <c r="AK218" s="1172"/>
      <c r="AL218" s="1173"/>
      <c r="AM218" s="1174"/>
      <c r="AN218" s="1175"/>
      <c r="AO218" s="1176"/>
      <c r="AP218" s="1177"/>
      <c r="AQ218" s="1547"/>
      <c r="AR218" s="1177"/>
      <c r="AS218" s="1548"/>
      <c r="AT218" s="1549"/>
      <c r="AU218" s="1178"/>
      <c r="AV218" s="1179"/>
      <c r="AY218" s="3">
        <v>1</v>
      </c>
    </row>
    <row r="219" spans="2:51" ht="27" customHeight="1">
      <c r="B219" s="104"/>
      <c r="C219" s="1172"/>
      <c r="D219" s="1172"/>
      <c r="E219" s="1172"/>
      <c r="F219" s="1173"/>
      <c r="G219" s="1174"/>
      <c r="H219" s="1175"/>
      <c r="I219" s="1176"/>
      <c r="J219" s="1177"/>
      <c r="K219" s="1547"/>
      <c r="L219" s="1177"/>
      <c r="M219" s="1548"/>
      <c r="N219" s="1549"/>
      <c r="O219" s="1178"/>
      <c r="P219" s="1179"/>
      <c r="Q219" s="1171"/>
      <c r="R219" s="104"/>
      <c r="S219" s="1172"/>
      <c r="T219" s="1172"/>
      <c r="U219" s="1172"/>
      <c r="V219" s="1173"/>
      <c r="W219" s="1174"/>
      <c r="X219" s="1175"/>
      <c r="Y219" s="1176"/>
      <c r="Z219" s="1177"/>
      <c r="AA219" s="1547"/>
      <c r="AB219" s="1177"/>
      <c r="AC219" s="1548"/>
      <c r="AD219" s="1549"/>
      <c r="AE219" s="1178"/>
      <c r="AF219" s="1179"/>
      <c r="AG219" s="1171"/>
      <c r="AH219" s="104"/>
      <c r="AI219" s="1172"/>
      <c r="AJ219" s="1172"/>
      <c r="AK219" s="1172"/>
      <c r="AL219" s="1173"/>
      <c r="AM219" s="1174"/>
      <c r="AN219" s="1175"/>
      <c r="AO219" s="1176"/>
      <c r="AP219" s="1177"/>
      <c r="AQ219" s="1547"/>
      <c r="AR219" s="1177"/>
      <c r="AS219" s="1548"/>
      <c r="AT219" s="1549"/>
      <c r="AU219" s="1178"/>
      <c r="AV219" s="1179"/>
      <c r="AY219" s="3">
        <v>1</v>
      </c>
    </row>
    <row r="220" spans="2:51" ht="27" customHeight="1">
      <c r="B220" s="104"/>
      <c r="C220" s="1172"/>
      <c r="D220" s="1172"/>
      <c r="E220" s="1172"/>
      <c r="F220" s="1173"/>
      <c r="G220" s="1174"/>
      <c r="H220" s="1175"/>
      <c r="I220" s="1176"/>
      <c r="J220" s="1177"/>
      <c r="K220" s="1547"/>
      <c r="L220" s="1177"/>
      <c r="M220" s="1548"/>
      <c r="N220" s="1549"/>
      <c r="O220" s="1178"/>
      <c r="P220" s="1179"/>
      <c r="Q220" s="1171"/>
      <c r="R220" s="104"/>
      <c r="S220" s="1172"/>
      <c r="T220" s="1172"/>
      <c r="U220" s="1172"/>
      <c r="V220" s="1173"/>
      <c r="W220" s="1174"/>
      <c r="X220" s="1175"/>
      <c r="Y220" s="1176"/>
      <c r="Z220" s="1177"/>
      <c r="AA220" s="1547"/>
      <c r="AB220" s="1177"/>
      <c r="AC220" s="1548"/>
      <c r="AD220" s="1549"/>
      <c r="AE220" s="1178"/>
      <c r="AF220" s="1179"/>
      <c r="AG220" s="1171"/>
      <c r="AH220" s="104"/>
      <c r="AI220" s="1172"/>
      <c r="AJ220" s="1172"/>
      <c r="AK220" s="1172"/>
      <c r="AL220" s="1173"/>
      <c r="AM220" s="1174"/>
      <c r="AN220" s="1175"/>
      <c r="AO220" s="1176"/>
      <c r="AP220" s="1177"/>
      <c r="AQ220" s="1547"/>
      <c r="AR220" s="1177"/>
      <c r="AS220" s="1548"/>
      <c r="AT220" s="1549"/>
      <c r="AU220" s="1178"/>
      <c r="AV220" s="1179"/>
      <c r="AY220" s="3">
        <v>1</v>
      </c>
    </row>
    <row r="221" spans="2:51" ht="27" customHeight="1">
      <c r="B221" s="104"/>
      <c r="C221" s="1172"/>
      <c r="D221" s="1172"/>
      <c r="E221" s="1172"/>
      <c r="F221" s="1173"/>
      <c r="G221" s="1174"/>
      <c r="H221" s="1175"/>
      <c r="I221" s="1176"/>
      <c r="J221" s="1177"/>
      <c r="K221" s="1547"/>
      <c r="L221" s="1177"/>
      <c r="M221" s="1548"/>
      <c r="N221" s="1549"/>
      <c r="O221" s="1178"/>
      <c r="P221" s="1179"/>
      <c r="Q221" s="1171"/>
      <c r="R221" s="104"/>
      <c r="S221" s="1172"/>
      <c r="T221" s="1172"/>
      <c r="U221" s="1172"/>
      <c r="V221" s="1173"/>
      <c r="W221" s="1174"/>
      <c r="X221" s="1175"/>
      <c r="Y221" s="1176"/>
      <c r="Z221" s="1177"/>
      <c r="AA221" s="1547"/>
      <c r="AB221" s="1177"/>
      <c r="AC221" s="1548"/>
      <c r="AD221" s="1549"/>
      <c r="AE221" s="1178"/>
      <c r="AF221" s="1179"/>
      <c r="AG221" s="1171"/>
      <c r="AH221" s="104"/>
      <c r="AI221" s="1172"/>
      <c r="AJ221" s="1172"/>
      <c r="AK221" s="1172"/>
      <c r="AL221" s="1173"/>
      <c r="AM221" s="1174"/>
      <c r="AN221" s="1175"/>
      <c r="AO221" s="1176"/>
      <c r="AP221" s="1177"/>
      <c r="AQ221" s="1547"/>
      <c r="AR221" s="1177"/>
      <c r="AS221" s="1548"/>
      <c r="AT221" s="1549"/>
      <c r="AU221" s="1178"/>
      <c r="AV221" s="1179"/>
      <c r="AY221" s="3">
        <v>1</v>
      </c>
    </row>
    <row r="222" spans="2:51" ht="27" customHeight="1">
      <c r="B222" s="104"/>
      <c r="C222" s="1172"/>
      <c r="D222" s="1172"/>
      <c r="E222" s="1172"/>
      <c r="F222" s="1173"/>
      <c r="G222" s="1174"/>
      <c r="H222" s="1175"/>
      <c r="I222" s="1176"/>
      <c r="J222" s="1177"/>
      <c r="K222" s="1547"/>
      <c r="L222" s="1177"/>
      <c r="M222" s="1548"/>
      <c r="N222" s="1549"/>
      <c r="O222" s="1178"/>
      <c r="P222" s="1179"/>
      <c r="Q222" s="1171"/>
      <c r="R222" s="104"/>
      <c r="S222" s="1172"/>
      <c r="T222" s="1172"/>
      <c r="U222" s="1172"/>
      <c r="V222" s="1173"/>
      <c r="W222" s="1174"/>
      <c r="X222" s="1175"/>
      <c r="Y222" s="1176"/>
      <c r="Z222" s="1177"/>
      <c r="AA222" s="1547"/>
      <c r="AB222" s="1177"/>
      <c r="AC222" s="1548"/>
      <c r="AD222" s="1549"/>
      <c r="AE222" s="1178"/>
      <c r="AF222" s="1179"/>
      <c r="AG222" s="1171"/>
      <c r="AH222" s="104"/>
      <c r="AI222" s="1172"/>
      <c r="AJ222" s="1172"/>
      <c r="AK222" s="1172"/>
      <c r="AL222" s="1173"/>
      <c r="AM222" s="1174"/>
      <c r="AN222" s="1175"/>
      <c r="AO222" s="1176"/>
      <c r="AP222" s="1177"/>
      <c r="AQ222" s="1547"/>
      <c r="AR222" s="1177"/>
      <c r="AS222" s="1548"/>
      <c r="AT222" s="1549"/>
      <c r="AU222" s="1178"/>
      <c r="AV222" s="1179"/>
      <c r="AY222" s="3">
        <v>1</v>
      </c>
    </row>
    <row r="223" spans="2:51" ht="27" customHeight="1">
      <c r="B223" s="104"/>
      <c r="C223" s="1172"/>
      <c r="D223" s="1172"/>
      <c r="E223" s="1172"/>
      <c r="F223" s="1173"/>
      <c r="G223" s="1174"/>
      <c r="H223" s="1175"/>
      <c r="I223" s="1176"/>
      <c r="J223" s="1177"/>
      <c r="K223" s="1547"/>
      <c r="L223" s="1177"/>
      <c r="M223" s="1548"/>
      <c r="N223" s="1549"/>
      <c r="O223" s="1178"/>
      <c r="P223" s="1179"/>
      <c r="Q223" s="1171"/>
      <c r="R223" s="104"/>
      <c r="S223" s="1172"/>
      <c r="T223" s="1172"/>
      <c r="U223" s="1172"/>
      <c r="V223" s="1173"/>
      <c r="W223" s="1174"/>
      <c r="X223" s="1175"/>
      <c r="Y223" s="1176"/>
      <c r="Z223" s="1177"/>
      <c r="AA223" s="1547"/>
      <c r="AB223" s="1177"/>
      <c r="AC223" s="1548"/>
      <c r="AD223" s="1549"/>
      <c r="AE223" s="1178"/>
      <c r="AF223" s="1179"/>
      <c r="AG223" s="1171"/>
      <c r="AH223" s="104"/>
      <c r="AI223" s="1172"/>
      <c r="AJ223" s="1172"/>
      <c r="AK223" s="1172"/>
      <c r="AL223" s="1173"/>
      <c r="AM223" s="1174"/>
      <c r="AN223" s="1175"/>
      <c r="AO223" s="1176"/>
      <c r="AP223" s="1177"/>
      <c r="AQ223" s="1547"/>
      <c r="AR223" s="1177"/>
      <c r="AS223" s="1548"/>
      <c r="AT223" s="1549"/>
      <c r="AU223" s="1178"/>
      <c r="AV223" s="1179"/>
      <c r="AY223" s="3">
        <v>1</v>
      </c>
    </row>
    <row r="224" spans="2:51" ht="27" customHeight="1">
      <c r="B224" s="104"/>
      <c r="C224" s="1172"/>
      <c r="D224" s="1172"/>
      <c r="E224" s="1172"/>
      <c r="F224" s="1173"/>
      <c r="G224" s="1174"/>
      <c r="H224" s="1175"/>
      <c r="I224" s="1176"/>
      <c r="J224" s="1177"/>
      <c r="K224" s="1547"/>
      <c r="L224" s="1177"/>
      <c r="M224" s="1548"/>
      <c r="N224" s="1549"/>
      <c r="O224" s="1178"/>
      <c r="P224" s="1179"/>
      <c r="Q224" s="1171"/>
      <c r="R224" s="104"/>
      <c r="S224" s="1172"/>
      <c r="T224" s="1172"/>
      <c r="U224" s="1172"/>
      <c r="V224" s="1173"/>
      <c r="W224" s="1174"/>
      <c r="X224" s="1175"/>
      <c r="Y224" s="1176"/>
      <c r="Z224" s="1177"/>
      <c r="AA224" s="1547"/>
      <c r="AB224" s="1177"/>
      <c r="AC224" s="1548"/>
      <c r="AD224" s="1549"/>
      <c r="AE224" s="1178"/>
      <c r="AF224" s="1179"/>
      <c r="AG224" s="1171"/>
      <c r="AH224" s="104"/>
      <c r="AI224" s="1172"/>
      <c r="AJ224" s="1172"/>
      <c r="AK224" s="1172"/>
      <c r="AL224" s="1173"/>
      <c r="AM224" s="1174"/>
      <c r="AN224" s="1175"/>
      <c r="AO224" s="1176"/>
      <c r="AP224" s="1177"/>
      <c r="AQ224" s="1547"/>
      <c r="AR224" s="1177"/>
      <c r="AS224" s="1548"/>
      <c r="AT224" s="1549"/>
      <c r="AU224" s="1178"/>
      <c r="AV224" s="1179"/>
      <c r="AY224" s="3">
        <v>1</v>
      </c>
    </row>
    <row r="225" spans="2:51" ht="27" customHeight="1">
      <c r="B225" s="104"/>
      <c r="C225" s="1172"/>
      <c r="D225" s="1172"/>
      <c r="E225" s="1172"/>
      <c r="F225" s="1173"/>
      <c r="G225" s="1174"/>
      <c r="H225" s="1175"/>
      <c r="I225" s="1176"/>
      <c r="J225" s="1177"/>
      <c r="K225" s="1547"/>
      <c r="L225" s="1177"/>
      <c r="M225" s="1548"/>
      <c r="N225" s="1549"/>
      <c r="O225" s="1178"/>
      <c r="P225" s="1179"/>
      <c r="Q225" s="1171"/>
      <c r="R225" s="104"/>
      <c r="S225" s="1172"/>
      <c r="T225" s="1172"/>
      <c r="U225" s="1172"/>
      <c r="V225" s="1173"/>
      <c r="W225" s="1174"/>
      <c r="X225" s="1175"/>
      <c r="Y225" s="1176"/>
      <c r="Z225" s="1177"/>
      <c r="AA225" s="1547"/>
      <c r="AB225" s="1177"/>
      <c r="AC225" s="1548"/>
      <c r="AD225" s="1549"/>
      <c r="AE225" s="1178"/>
      <c r="AF225" s="1179"/>
      <c r="AG225" s="1171"/>
      <c r="AH225" s="104"/>
      <c r="AI225" s="1172"/>
      <c r="AJ225" s="1172"/>
      <c r="AK225" s="1172"/>
      <c r="AL225" s="1173"/>
      <c r="AM225" s="1174"/>
      <c r="AN225" s="1175"/>
      <c r="AO225" s="1176"/>
      <c r="AP225" s="1177"/>
      <c r="AQ225" s="1547"/>
      <c r="AR225" s="1177"/>
      <c r="AS225" s="1548"/>
      <c r="AT225" s="1549"/>
      <c r="AU225" s="1178"/>
      <c r="AV225" s="1179"/>
      <c r="AY225" s="3">
        <v>1</v>
      </c>
    </row>
    <row r="226" spans="2:51" ht="27" customHeight="1">
      <c r="B226" s="104"/>
      <c r="C226" s="1172"/>
      <c r="D226" s="1172"/>
      <c r="E226" s="1172"/>
      <c r="F226" s="1173"/>
      <c r="G226" s="1174"/>
      <c r="H226" s="1175"/>
      <c r="I226" s="1176"/>
      <c r="J226" s="1177"/>
      <c r="K226" s="1547"/>
      <c r="L226" s="1177"/>
      <c r="M226" s="1548"/>
      <c r="N226" s="1549"/>
      <c r="O226" s="1178"/>
      <c r="P226" s="1179"/>
      <c r="Q226" s="1171"/>
      <c r="R226" s="104"/>
      <c r="S226" s="1172"/>
      <c r="T226" s="1172"/>
      <c r="U226" s="1172"/>
      <c r="V226" s="1173"/>
      <c r="W226" s="1174"/>
      <c r="X226" s="1175"/>
      <c r="Y226" s="1176"/>
      <c r="Z226" s="1177"/>
      <c r="AA226" s="1547"/>
      <c r="AB226" s="1177"/>
      <c r="AC226" s="1548"/>
      <c r="AD226" s="1549"/>
      <c r="AE226" s="1178"/>
      <c r="AF226" s="1179"/>
      <c r="AG226" s="1171"/>
      <c r="AH226" s="104"/>
      <c r="AI226" s="1172"/>
      <c r="AJ226" s="1172"/>
      <c r="AK226" s="1172"/>
      <c r="AL226" s="1173"/>
      <c r="AM226" s="1174"/>
      <c r="AN226" s="1175"/>
      <c r="AO226" s="1176"/>
      <c r="AP226" s="1177"/>
      <c r="AQ226" s="1547"/>
      <c r="AR226" s="1177"/>
      <c r="AS226" s="1548"/>
      <c r="AT226" s="1549"/>
      <c r="AU226" s="1178"/>
      <c r="AV226" s="1179"/>
      <c r="AY226" s="3">
        <v>1</v>
      </c>
    </row>
    <row r="227" spans="2:51" ht="27" customHeight="1">
      <c r="B227" s="104"/>
      <c r="C227" s="1172"/>
      <c r="D227" s="1172"/>
      <c r="E227" s="1172"/>
      <c r="F227" s="1173"/>
      <c r="G227" s="1174"/>
      <c r="H227" s="1175"/>
      <c r="I227" s="1176"/>
      <c r="J227" s="1177"/>
      <c r="K227" s="1547"/>
      <c r="L227" s="1177"/>
      <c r="M227" s="1548"/>
      <c r="N227" s="1549"/>
      <c r="O227" s="1178"/>
      <c r="P227" s="1179"/>
      <c r="Q227" s="1171"/>
      <c r="R227" s="104"/>
      <c r="S227" s="1172"/>
      <c r="T227" s="1172"/>
      <c r="U227" s="1172"/>
      <c r="V227" s="1173"/>
      <c r="W227" s="1174"/>
      <c r="X227" s="1175"/>
      <c r="Y227" s="1176"/>
      <c r="Z227" s="1177"/>
      <c r="AA227" s="1547"/>
      <c r="AB227" s="1177"/>
      <c r="AC227" s="1548"/>
      <c r="AD227" s="1549"/>
      <c r="AE227" s="1178"/>
      <c r="AF227" s="1179"/>
      <c r="AG227" s="1171"/>
      <c r="AH227" s="104"/>
      <c r="AI227" s="1172"/>
      <c r="AJ227" s="1172"/>
      <c r="AK227" s="1172"/>
      <c r="AL227" s="1173"/>
      <c r="AM227" s="1174"/>
      <c r="AN227" s="1175"/>
      <c r="AO227" s="1176"/>
      <c r="AP227" s="1177"/>
      <c r="AQ227" s="1547"/>
      <c r="AR227" s="1177"/>
      <c r="AS227" s="1548"/>
      <c r="AT227" s="1549"/>
      <c r="AU227" s="1178"/>
      <c r="AV227" s="1179"/>
      <c r="AY227" s="3">
        <v>1</v>
      </c>
    </row>
    <row r="228" spans="2:51" ht="27" customHeight="1">
      <c r="B228" s="104"/>
      <c r="C228" s="1172"/>
      <c r="D228" s="1172"/>
      <c r="E228" s="1172"/>
      <c r="F228" s="1173"/>
      <c r="G228" s="1174"/>
      <c r="H228" s="1175"/>
      <c r="I228" s="1176"/>
      <c r="J228" s="1177"/>
      <c r="K228" s="1547"/>
      <c r="L228" s="1177"/>
      <c r="M228" s="1548"/>
      <c r="N228" s="1549"/>
      <c r="O228" s="1178"/>
      <c r="P228" s="1179"/>
      <c r="Q228" s="1180"/>
      <c r="R228" s="104"/>
      <c r="S228" s="1172"/>
      <c r="T228" s="1172"/>
      <c r="U228" s="1172"/>
      <c r="V228" s="1173"/>
      <c r="W228" s="1174"/>
      <c r="X228" s="1175"/>
      <c r="Y228" s="1176"/>
      <c r="Z228" s="1177"/>
      <c r="AA228" s="1547"/>
      <c r="AB228" s="1177"/>
      <c r="AC228" s="1548"/>
      <c r="AD228" s="1549"/>
      <c r="AE228" s="1178"/>
      <c r="AF228" s="1179"/>
      <c r="AG228" s="1171"/>
      <c r="AH228" s="104"/>
      <c r="AI228" s="1172"/>
      <c r="AJ228" s="1172"/>
      <c r="AK228" s="1172"/>
      <c r="AL228" s="1173"/>
      <c r="AM228" s="1174"/>
      <c r="AN228" s="1175"/>
      <c r="AO228" s="1176"/>
      <c r="AP228" s="1177"/>
      <c r="AQ228" s="1547"/>
      <c r="AR228" s="1177"/>
      <c r="AS228" s="1548"/>
      <c r="AT228" s="1549"/>
      <c r="AU228" s="1178"/>
      <c r="AV228" s="1179"/>
      <c r="AY228" s="3">
        <v>1</v>
      </c>
    </row>
    <row r="229" spans="2:51" ht="27" customHeight="1">
      <c r="B229" s="104"/>
      <c r="C229" s="1172"/>
      <c r="D229" s="1172"/>
      <c r="E229" s="1172"/>
      <c r="F229" s="1173"/>
      <c r="G229" s="1174"/>
      <c r="H229" s="1175"/>
      <c r="I229" s="1176"/>
      <c r="J229" s="1177"/>
      <c r="K229" s="1547"/>
      <c r="L229" s="1177"/>
      <c r="M229" s="1548"/>
      <c r="N229" s="1549"/>
      <c r="O229" s="1178"/>
      <c r="P229" s="1179"/>
      <c r="Q229" s="1180"/>
      <c r="R229" s="104"/>
      <c r="S229" s="1172"/>
      <c r="T229" s="1172"/>
      <c r="U229" s="1172"/>
      <c r="V229" s="1173"/>
      <c r="W229" s="1174"/>
      <c r="X229" s="1175"/>
      <c r="Y229" s="1176"/>
      <c r="Z229" s="1177"/>
      <c r="AA229" s="1547"/>
      <c r="AB229" s="1177"/>
      <c r="AC229" s="1548"/>
      <c r="AD229" s="1549"/>
      <c r="AE229" s="1178"/>
      <c r="AF229" s="1179"/>
      <c r="AG229" s="1171"/>
      <c r="AH229" s="104"/>
      <c r="AI229" s="1172"/>
      <c r="AJ229" s="1172"/>
      <c r="AK229" s="1172"/>
      <c r="AL229" s="1173"/>
      <c r="AM229" s="1174"/>
      <c r="AN229" s="1175"/>
      <c r="AO229" s="1176"/>
      <c r="AP229" s="1177"/>
      <c r="AQ229" s="1547"/>
      <c r="AR229" s="1177"/>
      <c r="AS229" s="1548"/>
      <c r="AT229" s="1549"/>
      <c r="AU229" s="1178"/>
      <c r="AV229" s="1179"/>
      <c r="AY229" s="3">
        <v>1</v>
      </c>
    </row>
    <row r="230" spans="2:51" ht="27" customHeight="1">
      <c r="B230" s="104"/>
      <c r="C230" s="1172"/>
      <c r="D230" s="1172"/>
      <c r="E230" s="1172"/>
      <c r="F230" s="1173"/>
      <c r="G230" s="1174"/>
      <c r="H230" s="1175"/>
      <c r="I230" s="1176"/>
      <c r="J230" s="1177"/>
      <c r="K230" s="1547"/>
      <c r="L230" s="1177"/>
      <c r="M230" s="1548"/>
      <c r="N230" s="1549"/>
      <c r="O230" s="1178"/>
      <c r="P230" s="1179"/>
      <c r="R230" s="104"/>
      <c r="S230" s="1172"/>
      <c r="T230" s="1172"/>
      <c r="U230" s="1172"/>
      <c r="V230" s="1173"/>
      <c r="W230" s="1174"/>
      <c r="X230" s="1175"/>
      <c r="Y230" s="1176"/>
      <c r="Z230" s="1177"/>
      <c r="AA230" s="1547"/>
      <c r="AB230" s="1177"/>
      <c r="AC230" s="1548"/>
      <c r="AD230" s="1549"/>
      <c r="AE230" s="1178"/>
      <c r="AF230" s="1179"/>
      <c r="AH230" s="104"/>
      <c r="AI230" s="1172"/>
      <c r="AJ230" s="1172"/>
      <c r="AK230" s="1172"/>
      <c r="AL230" s="1173"/>
      <c r="AM230" s="1174"/>
      <c r="AN230" s="1175"/>
      <c r="AO230" s="1176"/>
      <c r="AP230" s="1177"/>
      <c r="AQ230" s="1547"/>
      <c r="AR230" s="1177"/>
      <c r="AS230" s="1548"/>
      <c r="AT230" s="1549"/>
      <c r="AU230" s="1178"/>
      <c r="AV230" s="1179"/>
      <c r="AY230" s="3">
        <v>1</v>
      </c>
    </row>
    <row r="231" spans="2:51" ht="27" customHeight="1">
      <c r="B231" s="104"/>
      <c r="C231" s="1172"/>
      <c r="D231" s="1172"/>
      <c r="E231" s="1172"/>
      <c r="F231" s="1173"/>
      <c r="G231" s="1174"/>
      <c r="H231" s="1175"/>
      <c r="I231" s="1176"/>
      <c r="J231" s="1177"/>
      <c r="K231" s="1547"/>
      <c r="L231" s="1177"/>
      <c r="M231" s="1548"/>
      <c r="N231" s="1549"/>
      <c r="O231" s="1178"/>
      <c r="P231" s="1179"/>
      <c r="R231" s="104"/>
      <c r="S231" s="1172"/>
      <c r="T231" s="1172"/>
      <c r="U231" s="1172"/>
      <c r="V231" s="1173"/>
      <c r="W231" s="1174"/>
      <c r="X231" s="1175"/>
      <c r="Y231" s="1176"/>
      <c r="Z231" s="1177"/>
      <c r="AA231" s="1547"/>
      <c r="AB231" s="1177"/>
      <c r="AC231" s="1548"/>
      <c r="AD231" s="1549"/>
      <c r="AE231" s="1178"/>
      <c r="AF231" s="1179"/>
      <c r="AH231" s="104"/>
      <c r="AI231" s="1172"/>
      <c r="AJ231" s="1172"/>
      <c r="AK231" s="1172"/>
      <c r="AL231" s="1173"/>
      <c r="AM231" s="1174"/>
      <c r="AN231" s="1175"/>
      <c r="AO231" s="1176"/>
      <c r="AP231" s="1177"/>
      <c r="AQ231" s="1547"/>
      <c r="AR231" s="1177"/>
      <c r="AS231" s="1548"/>
      <c r="AT231" s="1549"/>
      <c r="AU231" s="1178"/>
      <c r="AV231" s="1179"/>
      <c r="AY231" s="3">
        <v>1</v>
      </c>
    </row>
    <row r="232" spans="2:51" ht="27" customHeight="1">
      <c r="B232" s="104"/>
      <c r="C232" s="1172"/>
      <c r="D232" s="1172"/>
      <c r="E232" s="1172"/>
      <c r="F232" s="1173"/>
      <c r="G232" s="1174"/>
      <c r="H232" s="1175"/>
      <c r="I232" s="1176"/>
      <c r="J232" s="1177"/>
      <c r="K232" s="1547"/>
      <c r="L232" s="1177"/>
      <c r="M232" s="1548"/>
      <c r="N232" s="1549"/>
      <c r="O232" s="1178"/>
      <c r="P232" s="1179"/>
      <c r="R232" s="104"/>
      <c r="S232" s="1172"/>
      <c r="T232" s="1172"/>
      <c r="U232" s="1172"/>
      <c r="V232" s="1173"/>
      <c r="W232" s="1174"/>
      <c r="X232" s="1175"/>
      <c r="Y232" s="1176"/>
      <c r="Z232" s="1177"/>
      <c r="AA232" s="1547"/>
      <c r="AB232" s="1177"/>
      <c r="AC232" s="1548"/>
      <c r="AD232" s="1549"/>
      <c r="AE232" s="1178"/>
      <c r="AF232" s="1179"/>
      <c r="AH232" s="104"/>
      <c r="AI232" s="1172"/>
      <c r="AJ232" s="1172"/>
      <c r="AK232" s="1172"/>
      <c r="AL232" s="1173"/>
      <c r="AM232" s="1174"/>
      <c r="AN232" s="1175"/>
      <c r="AO232" s="1176"/>
      <c r="AP232" s="1177"/>
      <c r="AQ232" s="1547"/>
      <c r="AR232" s="1177"/>
      <c r="AS232" s="1548"/>
      <c r="AT232" s="1549"/>
      <c r="AU232" s="1178"/>
      <c r="AV232" s="1179"/>
      <c r="AY232" s="3">
        <v>1</v>
      </c>
    </row>
    <row r="233" spans="2:51" ht="27" customHeight="1">
      <c r="B233" s="104"/>
      <c r="C233" s="1172"/>
      <c r="D233" s="1172"/>
      <c r="E233" s="1172"/>
      <c r="F233" s="1173"/>
      <c r="G233" s="1174"/>
      <c r="H233" s="1175"/>
      <c r="I233" s="1176"/>
      <c r="J233" s="1177"/>
      <c r="K233" s="1547"/>
      <c r="L233" s="1177"/>
      <c r="M233" s="1548"/>
      <c r="N233" s="1549"/>
      <c r="O233" s="1178"/>
      <c r="P233" s="1179"/>
      <c r="R233" s="104"/>
      <c r="S233" s="1172"/>
      <c r="T233" s="1172"/>
      <c r="U233" s="1172"/>
      <c r="V233" s="1173"/>
      <c r="W233" s="1174"/>
      <c r="X233" s="1175"/>
      <c r="Y233" s="1176"/>
      <c r="Z233" s="1177"/>
      <c r="AA233" s="1547"/>
      <c r="AB233" s="1177"/>
      <c r="AC233" s="1548"/>
      <c r="AD233" s="1549"/>
      <c r="AE233" s="1178"/>
      <c r="AF233" s="1179"/>
      <c r="AH233" s="104"/>
      <c r="AI233" s="1172"/>
      <c r="AJ233" s="1172"/>
      <c r="AK233" s="1172"/>
      <c r="AL233" s="1173"/>
      <c r="AM233" s="1174"/>
      <c r="AN233" s="1175"/>
      <c r="AO233" s="1176"/>
      <c r="AP233" s="1177"/>
      <c r="AQ233" s="1547"/>
      <c r="AR233" s="1177"/>
      <c r="AS233" s="1548"/>
      <c r="AT233" s="1549"/>
      <c r="AU233" s="1178"/>
      <c r="AV233" s="1179"/>
      <c r="AY233" s="3">
        <v>1</v>
      </c>
    </row>
    <row r="234" spans="2:51" ht="27" customHeight="1">
      <c r="B234" s="104"/>
      <c r="C234" s="1172"/>
      <c r="D234" s="1172"/>
      <c r="E234" s="1172"/>
      <c r="F234" s="1173"/>
      <c r="G234" s="1174"/>
      <c r="H234" s="1175"/>
      <c r="I234" s="1176"/>
      <c r="J234" s="1177"/>
      <c r="K234" s="1547"/>
      <c r="L234" s="1177"/>
      <c r="M234" s="1548"/>
      <c r="N234" s="1549"/>
      <c r="O234" s="1178"/>
      <c r="P234" s="1179"/>
      <c r="R234" s="104"/>
      <c r="S234" s="1172"/>
      <c r="T234" s="1172"/>
      <c r="U234" s="1172"/>
      <c r="V234" s="1173"/>
      <c r="W234" s="1174"/>
      <c r="X234" s="1175"/>
      <c r="Y234" s="1176"/>
      <c r="Z234" s="1177"/>
      <c r="AA234" s="1547"/>
      <c r="AB234" s="1177"/>
      <c r="AC234" s="1548"/>
      <c r="AD234" s="1549"/>
      <c r="AE234" s="1178"/>
      <c r="AF234" s="1179"/>
      <c r="AH234" s="104"/>
      <c r="AI234" s="1172"/>
      <c r="AJ234" s="1172"/>
      <c r="AK234" s="1172"/>
      <c r="AL234" s="1173"/>
      <c r="AM234" s="1174"/>
      <c r="AN234" s="1175"/>
      <c r="AO234" s="1176"/>
      <c r="AP234" s="1177"/>
      <c r="AQ234" s="1547"/>
      <c r="AR234" s="1177"/>
      <c r="AS234" s="1548"/>
      <c r="AT234" s="1549"/>
      <c r="AU234" s="1178"/>
      <c r="AV234" s="1179"/>
      <c r="AY234" s="3">
        <v>1</v>
      </c>
    </row>
    <row r="235" spans="2:51" ht="27" customHeight="1">
      <c r="B235" s="104"/>
      <c r="C235" s="1172"/>
      <c r="D235" s="1172"/>
      <c r="E235" s="1172"/>
      <c r="F235" s="1173"/>
      <c r="G235" s="1174"/>
      <c r="H235" s="1175"/>
      <c r="I235" s="1176"/>
      <c r="J235" s="1177"/>
      <c r="K235" s="1547"/>
      <c r="L235" s="1177"/>
      <c r="M235" s="1548"/>
      <c r="N235" s="1549"/>
      <c r="O235" s="1178"/>
      <c r="P235" s="1179"/>
      <c r="R235" s="104"/>
      <c r="S235" s="1172"/>
      <c r="T235" s="1172"/>
      <c r="U235" s="1172"/>
      <c r="V235" s="1173"/>
      <c r="W235" s="1174"/>
      <c r="X235" s="1175"/>
      <c r="Y235" s="1176"/>
      <c r="Z235" s="1177"/>
      <c r="AA235" s="1547"/>
      <c r="AB235" s="1177"/>
      <c r="AC235" s="1548"/>
      <c r="AD235" s="1549"/>
      <c r="AE235" s="1178"/>
      <c r="AF235" s="1179"/>
      <c r="AH235" s="104"/>
      <c r="AI235" s="1172"/>
      <c r="AJ235" s="1172"/>
      <c r="AK235" s="1172"/>
      <c r="AL235" s="1173"/>
      <c r="AM235" s="1174"/>
      <c r="AN235" s="1175"/>
      <c r="AO235" s="1176"/>
      <c r="AP235" s="1177"/>
      <c r="AQ235" s="1547"/>
      <c r="AR235" s="1177"/>
      <c r="AS235" s="1548"/>
      <c r="AT235" s="1549"/>
      <c r="AU235" s="1178"/>
      <c r="AV235" s="1179"/>
      <c r="AY235" s="3">
        <v>1</v>
      </c>
    </row>
    <row r="236" spans="2:51" ht="27" customHeight="1">
      <c r="B236" s="104"/>
      <c r="C236" s="1172"/>
      <c r="D236" s="1172"/>
      <c r="E236" s="1172"/>
      <c r="F236" s="1173"/>
      <c r="G236" s="1174"/>
      <c r="H236" s="1175"/>
      <c r="I236" s="1176"/>
      <c r="J236" s="1177"/>
      <c r="K236" s="1547"/>
      <c r="L236" s="1177"/>
      <c r="M236" s="1548"/>
      <c r="N236" s="1549"/>
      <c r="O236" s="1178"/>
      <c r="P236" s="1179"/>
      <c r="R236" s="104"/>
      <c r="S236" s="1172"/>
      <c r="T236" s="1172"/>
      <c r="U236" s="1172"/>
      <c r="V236" s="1173"/>
      <c r="W236" s="1174"/>
      <c r="X236" s="1175"/>
      <c r="Y236" s="1176"/>
      <c r="Z236" s="1177"/>
      <c r="AA236" s="1547"/>
      <c r="AB236" s="1177"/>
      <c r="AC236" s="1548"/>
      <c r="AD236" s="1549"/>
      <c r="AE236" s="1178"/>
      <c r="AF236" s="1179"/>
      <c r="AH236" s="104"/>
      <c r="AI236" s="1172"/>
      <c r="AJ236" s="1172"/>
      <c r="AK236" s="1172"/>
      <c r="AL236" s="1173"/>
      <c r="AM236" s="1174"/>
      <c r="AN236" s="1175"/>
      <c r="AO236" s="1176"/>
      <c r="AP236" s="1177"/>
      <c r="AQ236" s="1547"/>
      <c r="AR236" s="1177"/>
      <c r="AS236" s="1548"/>
      <c r="AT236" s="1549"/>
      <c r="AU236" s="1178"/>
      <c r="AV236" s="1179"/>
      <c r="AY236" s="3">
        <v>1</v>
      </c>
    </row>
    <row r="237" spans="2:51" ht="27" customHeight="1">
      <c r="B237" s="104"/>
      <c r="C237" s="1172"/>
      <c r="D237" s="1172"/>
      <c r="E237" s="1172"/>
      <c r="F237" s="1173"/>
      <c r="G237" s="1174"/>
      <c r="H237" s="1175"/>
      <c r="I237" s="1176"/>
      <c r="J237" s="1177"/>
      <c r="K237" s="1547"/>
      <c r="L237" s="1177"/>
      <c r="M237" s="1548"/>
      <c r="N237" s="1549"/>
      <c r="O237" s="1178"/>
      <c r="P237" s="1179"/>
      <c r="R237" s="104"/>
      <c r="S237" s="1172"/>
      <c r="T237" s="1172"/>
      <c r="U237" s="1172"/>
      <c r="V237" s="1173"/>
      <c r="W237" s="1174"/>
      <c r="X237" s="1175"/>
      <c r="Y237" s="1176"/>
      <c r="Z237" s="1177"/>
      <c r="AA237" s="1547"/>
      <c r="AB237" s="1177"/>
      <c r="AC237" s="1548"/>
      <c r="AD237" s="1549"/>
      <c r="AE237" s="1178"/>
      <c r="AF237" s="1179"/>
      <c r="AH237" s="104"/>
      <c r="AI237" s="1172"/>
      <c r="AJ237" s="1172"/>
      <c r="AK237" s="1172"/>
      <c r="AL237" s="1173"/>
      <c r="AM237" s="1174"/>
      <c r="AN237" s="1175"/>
      <c r="AO237" s="1176"/>
      <c r="AP237" s="1177"/>
      <c r="AQ237" s="1547"/>
      <c r="AR237" s="1177"/>
      <c r="AS237" s="1548"/>
      <c r="AT237" s="1549"/>
      <c r="AU237" s="1178"/>
      <c r="AV237" s="1179"/>
      <c r="AY237" s="3">
        <v>1</v>
      </c>
    </row>
    <row r="238" spans="2:51" ht="27" customHeight="1">
      <c r="B238" s="104"/>
      <c r="C238" s="1172"/>
      <c r="D238" s="1172"/>
      <c r="E238" s="1172"/>
      <c r="F238" s="1173"/>
      <c r="G238" s="1174"/>
      <c r="H238" s="1175"/>
      <c r="I238" s="1176"/>
      <c r="J238" s="1177"/>
      <c r="K238" s="1547"/>
      <c r="L238" s="1177"/>
      <c r="M238" s="1548"/>
      <c r="N238" s="1549"/>
      <c r="O238" s="1178"/>
      <c r="P238" s="1179"/>
      <c r="R238" s="104"/>
      <c r="S238" s="1172"/>
      <c r="T238" s="1172"/>
      <c r="U238" s="1172"/>
      <c r="V238" s="1173"/>
      <c r="W238" s="1174"/>
      <c r="X238" s="1175"/>
      <c r="Y238" s="1176"/>
      <c r="Z238" s="1177"/>
      <c r="AA238" s="1547"/>
      <c r="AB238" s="1177"/>
      <c r="AC238" s="1548"/>
      <c r="AD238" s="1549"/>
      <c r="AE238" s="1178"/>
      <c r="AF238" s="1179"/>
      <c r="AH238" s="104"/>
      <c r="AI238" s="1172"/>
      <c r="AJ238" s="1172"/>
      <c r="AK238" s="1172"/>
      <c r="AL238" s="1173"/>
      <c r="AM238" s="1174"/>
      <c r="AN238" s="1175"/>
      <c r="AO238" s="1176"/>
      <c r="AP238" s="1177"/>
      <c r="AQ238" s="1547"/>
      <c r="AR238" s="1177"/>
      <c r="AS238" s="1548"/>
      <c r="AT238" s="1549"/>
      <c r="AU238" s="1178"/>
      <c r="AV238" s="1179"/>
      <c r="AY238" s="3">
        <v>1</v>
      </c>
    </row>
    <row r="239" spans="2:51" ht="27" customHeight="1">
      <c r="B239" s="104"/>
      <c r="C239" s="1172"/>
      <c r="D239" s="1172"/>
      <c r="E239" s="1172"/>
      <c r="F239" s="1173"/>
      <c r="G239" s="1174"/>
      <c r="H239" s="1175"/>
      <c r="I239" s="1176"/>
      <c r="J239" s="1177"/>
      <c r="K239" s="1547"/>
      <c r="L239" s="1177"/>
      <c r="M239" s="1548"/>
      <c r="N239" s="1549"/>
      <c r="O239" s="1178"/>
      <c r="P239" s="1179"/>
      <c r="R239" s="104"/>
      <c r="S239" s="1172"/>
      <c r="T239" s="1172"/>
      <c r="U239" s="1172"/>
      <c r="V239" s="1173"/>
      <c r="W239" s="1174"/>
      <c r="X239" s="1175"/>
      <c r="Y239" s="1176"/>
      <c r="Z239" s="1177"/>
      <c r="AA239" s="1547"/>
      <c r="AB239" s="1177"/>
      <c r="AC239" s="1548"/>
      <c r="AD239" s="1549"/>
      <c r="AE239" s="1178"/>
      <c r="AF239" s="1179"/>
      <c r="AH239" s="104"/>
      <c r="AI239" s="1172"/>
      <c r="AJ239" s="1172"/>
      <c r="AK239" s="1172"/>
      <c r="AL239" s="1173"/>
      <c r="AM239" s="1174"/>
      <c r="AN239" s="1175"/>
      <c r="AO239" s="1176"/>
      <c r="AP239" s="1177"/>
      <c r="AQ239" s="1547"/>
      <c r="AR239" s="1177"/>
      <c r="AS239" s="1548"/>
      <c r="AT239" s="1549"/>
      <c r="AU239" s="1178"/>
      <c r="AV239" s="1179"/>
      <c r="AY239" s="3">
        <v>1</v>
      </c>
    </row>
    <row r="240" spans="2:51" ht="27" customHeight="1">
      <c r="B240" s="104"/>
      <c r="C240" s="1172"/>
      <c r="D240" s="1172"/>
      <c r="E240" s="1172"/>
      <c r="F240" s="1173"/>
      <c r="G240" s="1174"/>
      <c r="H240" s="1175"/>
      <c r="I240" s="1176"/>
      <c r="J240" s="1177"/>
      <c r="K240" s="1547"/>
      <c r="L240" s="1177"/>
      <c r="M240" s="1548"/>
      <c r="N240" s="1549"/>
      <c r="O240" s="1178"/>
      <c r="P240" s="1179"/>
      <c r="R240" s="104"/>
      <c r="S240" s="1172"/>
      <c r="T240" s="1172"/>
      <c r="U240" s="1172"/>
      <c r="V240" s="1173"/>
      <c r="W240" s="1174"/>
      <c r="X240" s="1175"/>
      <c r="Y240" s="1176"/>
      <c r="Z240" s="1177"/>
      <c r="AA240" s="1547"/>
      <c r="AB240" s="1177"/>
      <c r="AC240" s="1548"/>
      <c r="AD240" s="1549"/>
      <c r="AE240" s="1178"/>
      <c r="AF240" s="1179"/>
      <c r="AH240" s="104"/>
      <c r="AI240" s="1172"/>
      <c r="AJ240" s="1172"/>
      <c r="AK240" s="1172"/>
      <c r="AL240" s="1173"/>
      <c r="AM240" s="1174"/>
      <c r="AN240" s="1175"/>
      <c r="AO240" s="1176"/>
      <c r="AP240" s="1177"/>
      <c r="AQ240" s="1547"/>
      <c r="AR240" s="1177"/>
      <c r="AS240" s="1548"/>
      <c r="AT240" s="1549"/>
      <c r="AU240" s="1178"/>
      <c r="AV240" s="1179"/>
      <c r="AY240" s="3">
        <v>1</v>
      </c>
    </row>
    <row r="241" spans="2:51" ht="27" customHeight="1">
      <c r="B241" s="104"/>
      <c r="C241" s="1172"/>
      <c r="D241" s="1172"/>
      <c r="E241" s="1172"/>
      <c r="F241" s="1173"/>
      <c r="G241" s="1174"/>
      <c r="H241" s="1175"/>
      <c r="I241" s="1176"/>
      <c r="J241" s="1177"/>
      <c r="K241" s="1547"/>
      <c r="L241" s="1177"/>
      <c r="M241" s="1548"/>
      <c r="N241" s="1549"/>
      <c r="O241" s="1178"/>
      <c r="P241" s="1179"/>
      <c r="R241" s="104"/>
      <c r="S241" s="1172"/>
      <c r="T241" s="1172"/>
      <c r="U241" s="1172"/>
      <c r="V241" s="1173"/>
      <c r="W241" s="1174"/>
      <c r="X241" s="1175"/>
      <c r="Y241" s="1176"/>
      <c r="Z241" s="1177"/>
      <c r="AA241" s="1547"/>
      <c r="AB241" s="1177"/>
      <c r="AC241" s="1548"/>
      <c r="AD241" s="1549"/>
      <c r="AE241" s="1178"/>
      <c r="AF241" s="1179"/>
      <c r="AH241" s="104"/>
      <c r="AI241" s="1172"/>
      <c r="AJ241" s="1172"/>
      <c r="AK241" s="1172"/>
      <c r="AL241" s="1173"/>
      <c r="AM241" s="1174"/>
      <c r="AN241" s="1175"/>
      <c r="AO241" s="1176"/>
      <c r="AP241" s="1177"/>
      <c r="AQ241" s="1547"/>
      <c r="AR241" s="1177"/>
      <c r="AS241" s="1548"/>
      <c r="AT241" s="1549"/>
      <c r="AU241" s="1178"/>
      <c r="AV241" s="1179"/>
      <c r="AY241" s="3">
        <v>1</v>
      </c>
    </row>
    <row r="242" spans="2:51" ht="27" customHeight="1">
      <c r="B242" s="104"/>
      <c r="C242" s="1172"/>
      <c r="D242" s="1172"/>
      <c r="E242" s="1172"/>
      <c r="F242" s="1173"/>
      <c r="G242" s="1174"/>
      <c r="H242" s="1175"/>
      <c r="I242" s="1176"/>
      <c r="J242" s="1177"/>
      <c r="K242" s="1547"/>
      <c r="L242" s="1177"/>
      <c r="M242" s="1548"/>
      <c r="N242" s="1549"/>
      <c r="O242" s="1178"/>
      <c r="P242" s="1179"/>
      <c r="R242" s="104"/>
      <c r="S242" s="1172"/>
      <c r="T242" s="1172"/>
      <c r="U242" s="1172"/>
      <c r="V242" s="1173"/>
      <c r="W242" s="1174"/>
      <c r="X242" s="1175"/>
      <c r="Y242" s="1176"/>
      <c r="Z242" s="1177"/>
      <c r="AA242" s="1547"/>
      <c r="AB242" s="1177"/>
      <c r="AC242" s="1548"/>
      <c r="AD242" s="1549"/>
      <c r="AE242" s="1178"/>
      <c r="AF242" s="1179"/>
      <c r="AH242" s="104"/>
      <c r="AI242" s="1172"/>
      <c r="AJ242" s="1172"/>
      <c r="AK242" s="1172"/>
      <c r="AL242" s="1173"/>
      <c r="AM242" s="1174"/>
      <c r="AN242" s="1175"/>
      <c r="AO242" s="1176"/>
      <c r="AP242" s="1177"/>
      <c r="AQ242" s="1547"/>
      <c r="AR242" s="1177"/>
      <c r="AS242" s="1548"/>
      <c r="AT242" s="1549"/>
      <c r="AU242" s="1178"/>
      <c r="AV242" s="1179"/>
      <c r="AY242" s="3">
        <v>1</v>
      </c>
    </row>
    <row r="243" spans="2:51" ht="27" customHeight="1">
      <c r="B243" s="104"/>
      <c r="C243" s="1172"/>
      <c r="D243" s="1172"/>
      <c r="E243" s="1172"/>
      <c r="F243" s="1173"/>
      <c r="G243" s="1174"/>
      <c r="H243" s="1175"/>
      <c r="I243" s="1176"/>
      <c r="J243" s="1177"/>
      <c r="K243" s="1547"/>
      <c r="L243" s="1177"/>
      <c r="M243" s="1548"/>
      <c r="N243" s="1549"/>
      <c r="O243" s="1178"/>
      <c r="P243" s="1179"/>
      <c r="R243" s="104"/>
      <c r="S243" s="1172"/>
      <c r="T243" s="1172"/>
      <c r="U243" s="1172"/>
      <c r="V243" s="1173"/>
      <c r="W243" s="1174"/>
      <c r="X243" s="1175"/>
      <c r="Y243" s="1176"/>
      <c r="Z243" s="1177"/>
      <c r="AA243" s="1547"/>
      <c r="AB243" s="1177"/>
      <c r="AC243" s="1548"/>
      <c r="AD243" s="1549"/>
      <c r="AE243" s="1178"/>
      <c r="AF243" s="1179"/>
      <c r="AH243" s="104"/>
      <c r="AI243" s="1172"/>
      <c r="AJ243" s="1172"/>
      <c r="AK243" s="1172"/>
      <c r="AL243" s="1173"/>
      <c r="AM243" s="1174"/>
      <c r="AN243" s="1175"/>
      <c r="AO243" s="1176"/>
      <c r="AP243" s="1177"/>
      <c r="AQ243" s="1547"/>
      <c r="AR243" s="1177"/>
      <c r="AS243" s="1548"/>
      <c r="AT243" s="1549"/>
      <c r="AU243" s="1178"/>
      <c r="AV243" s="1179"/>
      <c r="AY243" s="3">
        <v>1</v>
      </c>
    </row>
    <row r="244" spans="2:51" ht="27" customHeight="1">
      <c r="B244" s="104"/>
      <c r="C244" s="1172"/>
      <c r="D244" s="1172"/>
      <c r="E244" s="1172"/>
      <c r="F244" s="1173"/>
      <c r="G244" s="1174"/>
      <c r="H244" s="1175"/>
      <c r="I244" s="1176"/>
      <c r="J244" s="1177"/>
      <c r="K244" s="1547"/>
      <c r="L244" s="1177"/>
      <c r="M244" s="1548"/>
      <c r="N244" s="1549"/>
      <c r="O244" s="1178"/>
      <c r="P244" s="1179"/>
      <c r="R244" s="104"/>
      <c r="S244" s="1172"/>
      <c r="T244" s="1172"/>
      <c r="U244" s="1172"/>
      <c r="V244" s="1173"/>
      <c r="W244" s="1174"/>
      <c r="X244" s="1175"/>
      <c r="Y244" s="1176"/>
      <c r="Z244" s="1177"/>
      <c r="AA244" s="1547"/>
      <c r="AB244" s="1177"/>
      <c r="AC244" s="1548"/>
      <c r="AD244" s="1549"/>
      <c r="AE244" s="1178"/>
      <c r="AF244" s="1179"/>
      <c r="AH244" s="104"/>
      <c r="AI244" s="1172"/>
      <c r="AJ244" s="1172"/>
      <c r="AK244" s="1172"/>
      <c r="AL244" s="1173"/>
      <c r="AM244" s="1174"/>
      <c r="AN244" s="1175"/>
      <c r="AO244" s="1176"/>
      <c r="AP244" s="1177"/>
      <c r="AQ244" s="1547"/>
      <c r="AR244" s="1177"/>
      <c r="AS244" s="1548"/>
      <c r="AT244" s="1549"/>
      <c r="AU244" s="1178"/>
      <c r="AV244" s="1179"/>
      <c r="AY244" s="3">
        <v>1</v>
      </c>
    </row>
    <row r="245" spans="2:51" ht="27" customHeight="1">
      <c r="B245" s="104"/>
      <c r="C245" s="1172"/>
      <c r="D245" s="1172"/>
      <c r="E245" s="1172"/>
      <c r="F245" s="1173"/>
      <c r="G245" s="1174"/>
      <c r="H245" s="1175"/>
      <c r="I245" s="1176"/>
      <c r="J245" s="1177"/>
      <c r="K245" s="1547"/>
      <c r="L245" s="1177"/>
      <c r="M245" s="1548"/>
      <c r="N245" s="1549"/>
      <c r="O245" s="1178"/>
      <c r="P245" s="1179"/>
      <c r="R245" s="104"/>
      <c r="S245" s="1172"/>
      <c r="T245" s="1172"/>
      <c r="U245" s="1172"/>
      <c r="V245" s="1173"/>
      <c r="W245" s="1174"/>
      <c r="X245" s="1175"/>
      <c r="Y245" s="1176"/>
      <c r="Z245" s="1177"/>
      <c r="AA245" s="1547"/>
      <c r="AB245" s="1177"/>
      <c r="AC245" s="1548"/>
      <c r="AD245" s="1549"/>
      <c r="AE245" s="1178"/>
      <c r="AF245" s="1179"/>
      <c r="AH245" s="104"/>
      <c r="AI245" s="1172"/>
      <c r="AJ245" s="1172"/>
      <c r="AK245" s="1172"/>
      <c r="AL245" s="1173"/>
      <c r="AM245" s="1174"/>
      <c r="AN245" s="1175"/>
      <c r="AO245" s="1176"/>
      <c r="AP245" s="1177"/>
      <c r="AQ245" s="1547"/>
      <c r="AR245" s="1177"/>
      <c r="AS245" s="1548"/>
      <c r="AT245" s="1549"/>
      <c r="AU245" s="1178"/>
      <c r="AV245" s="1179"/>
      <c r="AY245" s="3"/>
    </row>
    <row r="246" spans="2:51" ht="27" customHeight="1">
      <c r="B246" s="104"/>
      <c r="C246" s="1172"/>
      <c r="D246" s="1172"/>
      <c r="E246" s="1172"/>
      <c r="F246" s="1173"/>
      <c r="G246" s="1174"/>
      <c r="H246" s="1175"/>
      <c r="I246" s="1176"/>
      <c r="J246" s="1177"/>
      <c r="K246" s="1547"/>
      <c r="L246" s="1177"/>
      <c r="M246" s="1548"/>
      <c r="N246" s="1549"/>
      <c r="O246" s="1178"/>
      <c r="P246" s="1179"/>
      <c r="R246" s="104"/>
      <c r="S246" s="1172"/>
      <c r="T246" s="1172"/>
      <c r="U246" s="1172"/>
      <c r="V246" s="1173"/>
      <c r="W246" s="1174"/>
      <c r="X246" s="1175"/>
      <c r="Y246" s="1176"/>
      <c r="Z246" s="1177"/>
      <c r="AA246" s="1547"/>
      <c r="AB246" s="1177"/>
      <c r="AC246" s="1548"/>
      <c r="AD246" s="1549"/>
      <c r="AE246" s="1178"/>
      <c r="AF246" s="1179"/>
      <c r="AH246" s="104"/>
      <c r="AI246" s="1172"/>
      <c r="AJ246" s="1172"/>
      <c r="AK246" s="1172"/>
      <c r="AL246" s="1173"/>
      <c r="AM246" s="1174"/>
      <c r="AN246" s="1175"/>
      <c r="AO246" s="1176"/>
      <c r="AP246" s="1177"/>
      <c r="AQ246" s="1547"/>
      <c r="AR246" s="1177"/>
      <c r="AS246" s="1548"/>
      <c r="AT246" s="1549"/>
      <c r="AU246" s="1178"/>
      <c r="AV246" s="1179"/>
      <c r="AY246" s="3"/>
    </row>
    <row r="247" spans="2:51" ht="27" customHeight="1">
      <c r="B247" s="104"/>
      <c r="C247" s="1172"/>
      <c r="D247" s="1172"/>
      <c r="E247" s="1172"/>
      <c r="F247" s="1173"/>
      <c r="G247" s="1174"/>
      <c r="H247" s="1175"/>
      <c r="I247" s="1176"/>
      <c r="J247" s="1177"/>
      <c r="K247" s="1547"/>
      <c r="L247" s="1177"/>
      <c r="M247" s="1548"/>
      <c r="N247" s="1549"/>
      <c r="O247" s="1178"/>
      <c r="P247" s="1179"/>
      <c r="R247" s="104"/>
      <c r="S247" s="1172"/>
      <c r="T247" s="1172"/>
      <c r="U247" s="1172"/>
      <c r="V247" s="1173"/>
      <c r="W247" s="1174"/>
      <c r="X247" s="1175"/>
      <c r="Y247" s="1176"/>
      <c r="Z247" s="1177"/>
      <c r="AA247" s="1547"/>
      <c r="AB247" s="1177"/>
      <c r="AC247" s="1548"/>
      <c r="AD247" s="1549"/>
      <c r="AE247" s="1178"/>
      <c r="AF247" s="1179"/>
      <c r="AH247" s="104"/>
      <c r="AI247" s="1172"/>
      <c r="AJ247" s="1172"/>
      <c r="AK247" s="1172"/>
      <c r="AL247" s="1173"/>
      <c r="AM247" s="1174"/>
      <c r="AN247" s="1175"/>
      <c r="AO247" s="1176"/>
      <c r="AP247" s="1177"/>
      <c r="AQ247" s="1547"/>
      <c r="AR247" s="1177"/>
      <c r="AS247" s="1548"/>
      <c r="AT247" s="1549"/>
      <c r="AU247" s="1178"/>
      <c r="AV247" s="1179"/>
      <c r="AY247" s="3"/>
    </row>
    <row r="248" spans="2:51" ht="27" customHeight="1">
      <c r="B248" s="104"/>
      <c r="C248" s="1172"/>
      <c r="D248" s="1172"/>
      <c r="E248" s="1172"/>
      <c r="F248" s="1173"/>
      <c r="G248" s="1174"/>
      <c r="H248" s="1175"/>
      <c r="I248" s="1176"/>
      <c r="J248" s="1177"/>
      <c r="K248" s="1547"/>
      <c r="L248" s="1177"/>
      <c r="M248" s="1548"/>
      <c r="N248" s="1549"/>
      <c r="O248" s="1178"/>
      <c r="P248" s="1179"/>
      <c r="R248" s="104"/>
      <c r="S248" s="1172"/>
      <c r="T248" s="1172"/>
      <c r="U248" s="1172"/>
      <c r="V248" s="1173"/>
      <c r="W248" s="1174"/>
      <c r="X248" s="1175"/>
      <c r="Y248" s="1176"/>
      <c r="Z248" s="1177"/>
      <c r="AA248" s="1547"/>
      <c r="AB248" s="1177"/>
      <c r="AC248" s="1548"/>
      <c r="AD248" s="1549"/>
      <c r="AE248" s="1178"/>
      <c r="AF248" s="1179"/>
      <c r="AH248" s="104"/>
      <c r="AI248" s="1172"/>
      <c r="AJ248" s="1172"/>
      <c r="AK248" s="1172"/>
      <c r="AL248" s="1173"/>
      <c r="AM248" s="1174"/>
      <c r="AN248" s="1175"/>
      <c r="AO248" s="1176"/>
      <c r="AP248" s="1177"/>
      <c r="AQ248" s="1547"/>
      <c r="AR248" s="1177"/>
      <c r="AS248" s="1548"/>
      <c r="AT248" s="1549"/>
      <c r="AU248" s="1178"/>
      <c r="AV248" s="1179"/>
      <c r="AY248" s="3">
        <v>1</v>
      </c>
    </row>
    <row r="249" spans="2:51" ht="27" customHeight="1">
      <c r="B249" s="104"/>
      <c r="C249" s="1172"/>
      <c r="D249" s="1172"/>
      <c r="E249" s="1172"/>
      <c r="F249" s="1173"/>
      <c r="G249" s="1174"/>
      <c r="H249" s="1175"/>
      <c r="I249" s="1176"/>
      <c r="J249" s="1177"/>
      <c r="K249" s="1547"/>
      <c r="L249" s="1177"/>
      <c r="M249" s="1548"/>
      <c r="N249" s="1549"/>
      <c r="O249" s="1178"/>
      <c r="P249" s="1179"/>
      <c r="R249" s="104"/>
      <c r="S249" s="1172"/>
      <c r="T249" s="1172"/>
      <c r="U249" s="1172"/>
      <c r="V249" s="1173"/>
      <c r="W249" s="1174"/>
      <c r="X249" s="1175"/>
      <c r="Y249" s="1176"/>
      <c r="Z249" s="1177"/>
      <c r="AA249" s="1547"/>
      <c r="AB249" s="1177"/>
      <c r="AC249" s="1548"/>
      <c r="AD249" s="1549"/>
      <c r="AE249" s="1178"/>
      <c r="AF249" s="1179"/>
      <c r="AH249" s="104"/>
      <c r="AI249" s="1172"/>
      <c r="AJ249" s="1172"/>
      <c r="AK249" s="1172"/>
      <c r="AL249" s="1173"/>
      <c r="AM249" s="1174"/>
      <c r="AN249" s="1175"/>
      <c r="AO249" s="1176"/>
      <c r="AP249" s="1177"/>
      <c r="AQ249" s="1547"/>
      <c r="AR249" s="1177"/>
      <c r="AS249" s="1548"/>
      <c r="AT249" s="1549"/>
      <c r="AU249" s="1178"/>
      <c r="AV249" s="1179"/>
      <c r="AY249" s="3">
        <v>1</v>
      </c>
    </row>
    <row r="250" spans="2:51" ht="27" customHeight="1">
      <c r="B250" s="104"/>
      <c r="C250" s="1172"/>
      <c r="D250" s="1172"/>
      <c r="E250" s="1172"/>
      <c r="F250" s="1173"/>
      <c r="G250" s="1174"/>
      <c r="H250" s="1175"/>
      <c r="I250" s="1176"/>
      <c r="J250" s="1177"/>
      <c r="K250" s="1547"/>
      <c r="L250" s="1177"/>
      <c r="M250" s="1548"/>
      <c r="N250" s="1549"/>
      <c r="O250" s="1178"/>
      <c r="P250" s="1179"/>
      <c r="R250" s="104"/>
      <c r="S250" s="1172"/>
      <c r="T250" s="1172"/>
      <c r="U250" s="1172"/>
      <c r="V250" s="1173"/>
      <c r="W250" s="1174"/>
      <c r="X250" s="1175"/>
      <c r="Y250" s="1176"/>
      <c r="Z250" s="1177"/>
      <c r="AA250" s="1547"/>
      <c r="AB250" s="1177"/>
      <c r="AC250" s="1548"/>
      <c r="AD250" s="1549"/>
      <c r="AE250" s="1178"/>
      <c r="AF250" s="1179"/>
      <c r="AH250" s="104"/>
      <c r="AI250" s="1172"/>
      <c r="AJ250" s="1172"/>
      <c r="AK250" s="1172"/>
      <c r="AL250" s="1173"/>
      <c r="AM250" s="1174"/>
      <c r="AN250" s="1175"/>
      <c r="AO250" s="1176"/>
      <c r="AP250" s="1177"/>
      <c r="AQ250" s="1547"/>
      <c r="AR250" s="1177"/>
      <c r="AS250" s="1548"/>
      <c r="AT250" s="1549"/>
      <c r="AU250" s="1178"/>
      <c r="AV250" s="1179"/>
      <c r="AY250" s="3">
        <v>1</v>
      </c>
    </row>
    <row r="251" spans="2:51" ht="27" customHeight="1">
      <c r="B251" s="104"/>
      <c r="C251" s="1172"/>
      <c r="D251" s="1172"/>
      <c r="E251" s="1172"/>
      <c r="F251" s="1173"/>
      <c r="G251" s="1174"/>
      <c r="H251" s="1175"/>
      <c r="I251" s="1176"/>
      <c r="J251" s="1177"/>
      <c r="K251" s="1547"/>
      <c r="L251" s="1177"/>
      <c r="M251" s="1548"/>
      <c r="N251" s="1549"/>
      <c r="O251" s="1178"/>
      <c r="P251" s="1179"/>
      <c r="R251" s="104"/>
      <c r="S251" s="1172"/>
      <c r="T251" s="1172"/>
      <c r="U251" s="1172"/>
      <c r="V251" s="1173"/>
      <c r="W251" s="1174"/>
      <c r="X251" s="1175"/>
      <c r="Y251" s="1176"/>
      <c r="Z251" s="1177"/>
      <c r="AA251" s="1547"/>
      <c r="AB251" s="1177"/>
      <c r="AC251" s="1548"/>
      <c r="AD251" s="1549"/>
      <c r="AE251" s="1178"/>
      <c r="AF251" s="1179"/>
      <c r="AH251" s="104"/>
      <c r="AI251" s="1172"/>
      <c r="AJ251" s="1172"/>
      <c r="AK251" s="1172"/>
      <c r="AL251" s="1173"/>
      <c r="AM251" s="1174"/>
      <c r="AN251" s="1175"/>
      <c r="AO251" s="1176"/>
      <c r="AP251" s="1177"/>
      <c r="AQ251" s="1547"/>
      <c r="AR251" s="1177"/>
      <c r="AS251" s="1548"/>
      <c r="AT251" s="1549"/>
      <c r="AU251" s="1178"/>
      <c r="AV251" s="1179"/>
      <c r="AY251" s="3">
        <v>1</v>
      </c>
    </row>
    <row r="252" spans="2:51" ht="27" customHeight="1">
      <c r="B252" s="104"/>
      <c r="C252" s="1172"/>
      <c r="D252" s="1172"/>
      <c r="E252" s="1172"/>
      <c r="F252" s="1173"/>
      <c r="G252" s="1174"/>
      <c r="H252" s="1175"/>
      <c r="I252" s="1176"/>
      <c r="J252" s="1177"/>
      <c r="K252" s="1547"/>
      <c r="L252" s="1177"/>
      <c r="M252" s="1548"/>
      <c r="N252" s="1549"/>
      <c r="O252" s="1178"/>
      <c r="P252" s="1179"/>
      <c r="R252" s="104"/>
      <c r="S252" s="1172"/>
      <c r="T252" s="1172"/>
      <c r="U252" s="1172"/>
      <c r="V252" s="1173"/>
      <c r="W252" s="1174"/>
      <c r="X252" s="1175"/>
      <c r="Y252" s="1176"/>
      <c r="Z252" s="1177"/>
      <c r="AA252" s="1547"/>
      <c r="AB252" s="1177"/>
      <c r="AC252" s="1548"/>
      <c r="AD252" s="1549"/>
      <c r="AE252" s="1178"/>
      <c r="AF252" s="1179"/>
      <c r="AH252" s="104"/>
      <c r="AI252" s="1172"/>
      <c r="AJ252" s="1172"/>
      <c r="AK252" s="1172"/>
      <c r="AL252" s="1173"/>
      <c r="AM252" s="1174"/>
      <c r="AN252" s="1175"/>
      <c r="AO252" s="1176"/>
      <c r="AP252" s="1177"/>
      <c r="AQ252" s="1547"/>
      <c r="AR252" s="1177"/>
      <c r="AS252" s="1548"/>
      <c r="AT252" s="1549"/>
      <c r="AU252" s="1178"/>
      <c r="AV252" s="1179"/>
      <c r="AY252" s="3">
        <v>1</v>
      </c>
    </row>
    <row r="253" spans="2:51" ht="27" customHeight="1">
      <c r="B253" s="104"/>
      <c r="C253" s="1172"/>
      <c r="D253" s="1172"/>
      <c r="E253" s="1172"/>
      <c r="F253" s="1173"/>
      <c r="G253" s="1174"/>
      <c r="H253" s="1175"/>
      <c r="I253" s="1176"/>
      <c r="J253" s="1177"/>
      <c r="K253" s="1547"/>
      <c r="L253" s="1177"/>
      <c r="M253" s="1548"/>
      <c r="N253" s="1549"/>
      <c r="O253" s="1178"/>
      <c r="P253" s="1179"/>
      <c r="R253" s="104"/>
      <c r="S253" s="1172"/>
      <c r="T253" s="1172"/>
      <c r="U253" s="1172"/>
      <c r="V253" s="1173"/>
      <c r="W253" s="1174"/>
      <c r="X253" s="1175"/>
      <c r="Y253" s="1176"/>
      <c r="Z253" s="1177"/>
      <c r="AA253" s="1547"/>
      <c r="AB253" s="1177"/>
      <c r="AC253" s="1548"/>
      <c r="AD253" s="1549"/>
      <c r="AE253" s="1178"/>
      <c r="AF253" s="1179"/>
      <c r="AH253" s="104"/>
      <c r="AI253" s="1172"/>
      <c r="AJ253" s="1172"/>
      <c r="AK253" s="1172"/>
      <c r="AL253" s="1173"/>
      <c r="AM253" s="1174"/>
      <c r="AN253" s="1175"/>
      <c r="AO253" s="1176"/>
      <c r="AP253" s="1177"/>
      <c r="AQ253" s="1547"/>
      <c r="AR253" s="1177"/>
      <c r="AS253" s="1548"/>
      <c r="AT253" s="1549"/>
      <c r="AU253" s="1178"/>
      <c r="AV253" s="1179"/>
      <c r="AY253" s="3">
        <v>1</v>
      </c>
    </row>
    <row r="254" spans="2:51" ht="27" customHeight="1">
      <c r="B254" s="104"/>
      <c r="C254" s="1172"/>
      <c r="D254" s="1172"/>
      <c r="E254" s="1172"/>
      <c r="F254" s="1173"/>
      <c r="G254" s="1174"/>
      <c r="H254" s="1175"/>
      <c r="I254" s="1176"/>
      <c r="J254" s="1177"/>
      <c r="K254" s="1547"/>
      <c r="L254" s="1177"/>
      <c r="M254" s="1548"/>
      <c r="N254" s="1549"/>
      <c r="O254" s="1178"/>
      <c r="P254" s="1179"/>
      <c r="R254" s="104"/>
      <c r="S254" s="1172"/>
      <c r="T254" s="1172"/>
      <c r="U254" s="1172"/>
      <c r="V254" s="1173"/>
      <c r="W254" s="1174"/>
      <c r="X254" s="1175"/>
      <c r="Y254" s="1176"/>
      <c r="Z254" s="1177"/>
      <c r="AA254" s="1547"/>
      <c r="AB254" s="1177"/>
      <c r="AC254" s="1548"/>
      <c r="AD254" s="1549"/>
      <c r="AE254" s="1178"/>
      <c r="AF254" s="1179"/>
      <c r="AH254" s="104"/>
      <c r="AI254" s="1172"/>
      <c r="AJ254" s="1172"/>
      <c r="AK254" s="1172"/>
      <c r="AL254" s="1173"/>
      <c r="AM254" s="1174"/>
      <c r="AN254" s="1175"/>
      <c r="AO254" s="1176"/>
      <c r="AP254" s="1177"/>
      <c r="AQ254" s="1547"/>
      <c r="AR254" s="1177"/>
      <c r="AS254" s="1548"/>
      <c r="AT254" s="1549"/>
      <c r="AU254" s="1178"/>
      <c r="AV254" s="1179"/>
      <c r="AY254" s="3">
        <v>1</v>
      </c>
    </row>
    <row r="255" spans="2:51" ht="18.75">
      <c r="B255" s="104"/>
      <c r="C255" s="1172"/>
      <c r="D255" s="1172"/>
      <c r="E255" s="1172"/>
      <c r="F255" s="1173"/>
      <c r="G255" s="1174"/>
      <c r="H255" s="1175"/>
      <c r="I255" s="1176"/>
      <c r="J255" s="1177"/>
      <c r="K255" s="1547"/>
      <c r="L255" s="1177"/>
      <c r="M255" s="1548"/>
      <c r="N255" s="1549"/>
      <c r="O255" s="1178"/>
      <c r="P255" s="1179"/>
      <c r="R255" s="104"/>
      <c r="S255" s="1172"/>
      <c r="T255" s="1172"/>
      <c r="U255" s="1172"/>
      <c r="V255" s="1173"/>
      <c r="W255" s="1174"/>
      <c r="X255" s="1175"/>
      <c r="Y255" s="1176"/>
      <c r="Z255" s="1177"/>
      <c r="AA255" s="1547"/>
      <c r="AB255" s="1177"/>
      <c r="AC255" s="1548"/>
      <c r="AD255" s="1549"/>
      <c r="AE255" s="1178"/>
      <c r="AF255" s="1179"/>
      <c r="AH255" s="104"/>
      <c r="AI255" s="1172"/>
      <c r="AJ255" s="1172"/>
      <c r="AK255" s="1172"/>
      <c r="AL255" s="1173"/>
      <c r="AM255" s="1174"/>
      <c r="AN255" s="1175"/>
      <c r="AO255" s="1176"/>
      <c r="AP255" s="1177"/>
      <c r="AQ255" s="1547"/>
      <c r="AR255" s="1177"/>
      <c r="AS255" s="1548"/>
      <c r="AT255" s="1549"/>
      <c r="AU255" s="1178"/>
      <c r="AV255" s="1179"/>
      <c r="AY255" s="3">
        <v>1</v>
      </c>
    </row>
    <row r="256" spans="2:51" ht="18.75">
      <c r="B256" s="104"/>
      <c r="C256" s="1172"/>
      <c r="D256" s="1172"/>
      <c r="E256" s="1172"/>
      <c r="F256" s="1173"/>
      <c r="G256" s="1174"/>
      <c r="H256" s="1175"/>
      <c r="I256" s="1176"/>
      <c r="J256" s="1177"/>
      <c r="K256" s="1547"/>
      <c r="L256" s="1177"/>
      <c r="M256" s="1548"/>
      <c r="N256" s="1549"/>
      <c r="O256" s="1178"/>
      <c r="P256" s="1179"/>
      <c r="R256" s="104"/>
      <c r="S256" s="1172"/>
      <c r="T256" s="1172"/>
      <c r="U256" s="1172"/>
      <c r="V256" s="1173"/>
      <c r="W256" s="1174"/>
      <c r="X256" s="1175"/>
      <c r="Y256" s="1176"/>
      <c r="Z256" s="1177"/>
      <c r="AA256" s="1547"/>
      <c r="AB256" s="1177"/>
      <c r="AC256" s="1548"/>
      <c r="AD256" s="1549"/>
      <c r="AE256" s="1178"/>
      <c r="AF256" s="1179"/>
      <c r="AH256" s="104"/>
      <c r="AI256" s="1172"/>
      <c r="AJ256" s="1172"/>
      <c r="AK256" s="1172"/>
      <c r="AL256" s="1173"/>
      <c r="AM256" s="1174"/>
      <c r="AN256" s="1175"/>
      <c r="AO256" s="1176"/>
      <c r="AP256" s="1177"/>
      <c r="AQ256" s="1547"/>
      <c r="AR256" s="1177"/>
      <c r="AS256" s="1548"/>
      <c r="AT256" s="1549"/>
      <c r="AU256" s="1178"/>
      <c r="AV256" s="1179"/>
      <c r="AY256" s="3">
        <v>1</v>
      </c>
    </row>
    <row r="257" spans="2:51" ht="18.75">
      <c r="B257" s="104"/>
      <c r="C257" s="1172"/>
      <c r="D257" s="1172"/>
      <c r="E257" s="1172"/>
      <c r="F257" s="1173"/>
      <c r="G257" s="1174"/>
      <c r="H257" s="1175"/>
      <c r="I257" s="1176"/>
      <c r="J257" s="1177"/>
      <c r="K257" s="1547"/>
      <c r="L257" s="1177"/>
      <c r="M257" s="1548"/>
      <c r="N257" s="1549"/>
      <c r="O257" s="1178"/>
      <c r="P257" s="1179"/>
      <c r="R257" s="104"/>
      <c r="S257" s="1172"/>
      <c r="T257" s="1172"/>
      <c r="U257" s="1172"/>
      <c r="V257" s="1173"/>
      <c r="W257" s="1174"/>
      <c r="X257" s="1175"/>
      <c r="Y257" s="1176"/>
      <c r="Z257" s="1177"/>
      <c r="AA257" s="1547"/>
      <c r="AB257" s="1177"/>
      <c r="AC257" s="1548"/>
      <c r="AD257" s="1549"/>
      <c r="AE257" s="1178"/>
      <c r="AF257" s="1179"/>
      <c r="AH257" s="104"/>
      <c r="AI257" s="1172"/>
      <c r="AJ257" s="1172"/>
      <c r="AK257" s="1172"/>
      <c r="AL257" s="1173"/>
      <c r="AM257" s="1174"/>
      <c r="AN257" s="1175"/>
      <c r="AO257" s="1176"/>
      <c r="AP257" s="1177"/>
      <c r="AQ257" s="1547"/>
      <c r="AR257" s="1177"/>
      <c r="AS257" s="1548"/>
      <c r="AT257" s="1549"/>
      <c r="AU257" s="1178"/>
      <c r="AV257" s="1179"/>
      <c r="AY257" s="3">
        <v>1</v>
      </c>
    </row>
    <row r="258" spans="2:51" ht="18.75">
      <c r="B258" s="104"/>
      <c r="C258" s="1172"/>
      <c r="D258" s="1172"/>
      <c r="E258" s="1172"/>
      <c r="F258" s="1173"/>
      <c r="G258" s="1174"/>
      <c r="H258" s="1175"/>
      <c r="I258" s="1176"/>
      <c r="J258" s="1177"/>
      <c r="K258" s="1547"/>
      <c r="L258" s="1177"/>
      <c r="M258" s="1548"/>
      <c r="N258" s="1549"/>
      <c r="O258" s="1178"/>
      <c r="P258" s="1179"/>
      <c r="R258" s="104"/>
      <c r="S258" s="1172"/>
      <c r="T258" s="1172"/>
      <c r="U258" s="1172"/>
      <c r="V258" s="1173"/>
      <c r="W258" s="1174"/>
      <c r="X258" s="1175"/>
      <c r="Y258" s="1176"/>
      <c r="Z258" s="1177"/>
      <c r="AA258" s="1547"/>
      <c r="AB258" s="1177"/>
      <c r="AC258" s="1548"/>
      <c r="AD258" s="1549"/>
      <c r="AE258" s="1178"/>
      <c r="AF258" s="1179"/>
      <c r="AH258" s="104"/>
      <c r="AI258" s="1172"/>
      <c r="AJ258" s="1172"/>
      <c r="AK258" s="1172"/>
      <c r="AL258" s="1173"/>
      <c r="AM258" s="1174"/>
      <c r="AN258" s="1175"/>
      <c r="AO258" s="1176"/>
      <c r="AP258" s="1177"/>
      <c r="AQ258" s="1547"/>
      <c r="AR258" s="1177"/>
      <c r="AS258" s="1548"/>
      <c r="AT258" s="1549"/>
      <c r="AU258" s="1178"/>
      <c r="AV258" s="1179"/>
      <c r="AY258" s="3">
        <v>1</v>
      </c>
    </row>
    <row r="259" spans="2:51" ht="18.75">
      <c r="B259" s="104"/>
      <c r="C259" s="1172"/>
      <c r="D259" s="1172"/>
      <c r="E259" s="1172"/>
      <c r="F259" s="1173"/>
      <c r="G259" s="1174"/>
      <c r="H259" s="1175"/>
      <c r="I259" s="1176"/>
      <c r="J259" s="1177"/>
      <c r="K259" s="1547"/>
      <c r="L259" s="1177"/>
      <c r="M259" s="1548"/>
      <c r="N259" s="1549"/>
      <c r="O259" s="1178"/>
      <c r="P259" s="1179"/>
      <c r="R259" s="104"/>
      <c r="S259" s="1172"/>
      <c r="T259" s="1172"/>
      <c r="U259" s="1172"/>
      <c r="V259" s="1173"/>
      <c r="W259" s="1174"/>
      <c r="X259" s="1175"/>
      <c r="Y259" s="1176"/>
      <c r="Z259" s="1177"/>
      <c r="AA259" s="1547"/>
      <c r="AB259" s="1177"/>
      <c r="AC259" s="1548"/>
      <c r="AD259" s="1549"/>
      <c r="AE259" s="1178"/>
      <c r="AF259" s="1179"/>
      <c r="AH259" s="104"/>
      <c r="AI259" s="1172"/>
      <c r="AJ259" s="1172"/>
      <c r="AK259" s="1172"/>
      <c r="AL259" s="1173"/>
      <c r="AM259" s="1174"/>
      <c r="AN259" s="1175"/>
      <c r="AO259" s="1176"/>
      <c r="AP259" s="1177"/>
      <c r="AQ259" s="1547"/>
      <c r="AR259" s="1177"/>
      <c r="AS259" s="1548"/>
      <c r="AT259" s="1549"/>
      <c r="AU259" s="1178"/>
      <c r="AV259" s="1179"/>
      <c r="AY259" s="3">
        <v>1</v>
      </c>
    </row>
    <row r="260" spans="2:51" ht="18.75">
      <c r="B260" s="104"/>
      <c r="C260" s="1172"/>
      <c r="D260" s="1172"/>
      <c r="E260" s="1172"/>
      <c r="F260" s="1173"/>
      <c r="G260" s="1174"/>
      <c r="H260" s="1175"/>
      <c r="I260" s="1176"/>
      <c r="J260" s="1177"/>
      <c r="K260" s="1547"/>
      <c r="L260" s="1177"/>
      <c r="M260" s="1548"/>
      <c r="N260" s="1549"/>
      <c r="O260" s="1178"/>
      <c r="P260" s="1179"/>
      <c r="R260" s="104"/>
      <c r="S260" s="1172"/>
      <c r="T260" s="1172"/>
      <c r="U260" s="1172"/>
      <c r="V260" s="1173"/>
      <c r="W260" s="1174"/>
      <c r="X260" s="1175"/>
      <c r="Y260" s="1176"/>
      <c r="Z260" s="1177"/>
      <c r="AA260" s="1547"/>
      <c r="AB260" s="1177"/>
      <c r="AC260" s="1548"/>
      <c r="AD260" s="1549"/>
      <c r="AE260" s="1178"/>
      <c r="AF260" s="1179"/>
      <c r="AH260" s="104"/>
      <c r="AI260" s="1172"/>
      <c r="AJ260" s="1172"/>
      <c r="AK260" s="1172"/>
      <c r="AL260" s="1173"/>
      <c r="AM260" s="1174"/>
      <c r="AN260" s="1175"/>
      <c r="AO260" s="1176"/>
      <c r="AP260" s="1177"/>
      <c r="AQ260" s="1547"/>
      <c r="AR260" s="1177"/>
      <c r="AS260" s="1548"/>
      <c r="AT260" s="1549"/>
      <c r="AU260" s="1178"/>
      <c r="AV260" s="1179"/>
      <c r="AY260" s="3">
        <v>1</v>
      </c>
    </row>
    <row r="261" spans="2:51" ht="18.75">
      <c r="B261" s="104"/>
      <c r="C261" s="1172"/>
      <c r="D261" s="1172"/>
      <c r="E261" s="1172"/>
      <c r="F261" s="1173"/>
      <c r="G261" s="1174"/>
      <c r="H261" s="1175"/>
      <c r="I261" s="1176"/>
      <c r="J261" s="1177"/>
      <c r="K261" s="1547"/>
      <c r="L261" s="1177"/>
      <c r="M261" s="1548"/>
      <c r="N261" s="1549"/>
      <c r="O261" s="1178"/>
      <c r="P261" s="1179"/>
      <c r="R261" s="104"/>
      <c r="S261" s="1172"/>
      <c r="T261" s="1172"/>
      <c r="U261" s="1172"/>
      <c r="V261" s="1173"/>
      <c r="W261" s="1174"/>
      <c r="X261" s="1175"/>
      <c r="Y261" s="1176"/>
      <c r="Z261" s="1177"/>
      <c r="AA261" s="1547"/>
      <c r="AB261" s="1177"/>
      <c r="AC261" s="1548"/>
      <c r="AD261" s="1549"/>
      <c r="AE261" s="1178"/>
      <c r="AF261" s="1179"/>
      <c r="AH261" s="104"/>
      <c r="AI261" s="1172"/>
      <c r="AJ261" s="1172"/>
      <c r="AK261" s="1172"/>
      <c r="AL261" s="1173"/>
      <c r="AM261" s="1174"/>
      <c r="AN261" s="1175"/>
      <c r="AO261" s="1176"/>
      <c r="AP261" s="1177"/>
      <c r="AQ261" s="1547"/>
      <c r="AR261" s="1177"/>
      <c r="AS261" s="1548"/>
      <c r="AT261" s="1549"/>
      <c r="AU261" s="1178"/>
      <c r="AV261" s="1179"/>
      <c r="AY261" s="3">
        <v>1</v>
      </c>
    </row>
    <row r="262" spans="2:51" ht="18.75">
      <c r="B262" s="104"/>
      <c r="C262" s="1172"/>
      <c r="D262" s="1172"/>
      <c r="E262" s="1172"/>
      <c r="F262" s="1173"/>
      <c r="G262" s="1174"/>
      <c r="H262" s="1175"/>
      <c r="I262" s="1176"/>
      <c r="J262" s="1177"/>
      <c r="K262" s="1547"/>
      <c r="L262" s="1177"/>
      <c r="M262" s="1548"/>
      <c r="N262" s="1549"/>
      <c r="O262" s="1178"/>
      <c r="P262" s="1179"/>
      <c r="R262" s="104"/>
      <c r="S262" s="1172"/>
      <c r="T262" s="1172"/>
      <c r="U262" s="1172"/>
      <c r="V262" s="1173"/>
      <c r="W262" s="1174"/>
      <c r="X262" s="1175"/>
      <c r="Y262" s="1176"/>
      <c r="Z262" s="1177"/>
      <c r="AA262" s="1547"/>
      <c r="AB262" s="1177"/>
      <c r="AC262" s="1548"/>
      <c r="AD262" s="1549"/>
      <c r="AE262" s="1178"/>
      <c r="AF262" s="1179"/>
      <c r="AH262" s="104"/>
      <c r="AI262" s="1172"/>
      <c r="AJ262" s="1172"/>
      <c r="AK262" s="1172"/>
      <c r="AL262" s="1173"/>
      <c r="AM262" s="1174"/>
      <c r="AN262" s="1175"/>
      <c r="AO262" s="1176"/>
      <c r="AP262" s="1177"/>
      <c r="AQ262" s="1547"/>
      <c r="AR262" s="1177"/>
      <c r="AS262" s="1548"/>
      <c r="AT262" s="1549"/>
      <c r="AU262" s="1178"/>
      <c r="AV262" s="1179"/>
      <c r="AY262" s="3">
        <v>1</v>
      </c>
    </row>
    <row r="263" spans="2:51" ht="18.75">
      <c r="B263" s="104"/>
      <c r="C263" s="1172"/>
      <c r="D263" s="1172"/>
      <c r="E263" s="1172"/>
      <c r="F263" s="1173"/>
      <c r="G263" s="1174"/>
      <c r="H263" s="1175"/>
      <c r="I263" s="1176"/>
      <c r="J263" s="1177"/>
      <c r="K263" s="1547"/>
      <c r="L263" s="1177"/>
      <c r="M263" s="1548"/>
      <c r="N263" s="1549"/>
      <c r="O263" s="1178"/>
      <c r="P263" s="1179"/>
      <c r="R263" s="104"/>
      <c r="S263" s="1172"/>
      <c r="T263" s="1172"/>
      <c r="U263" s="1172"/>
      <c r="V263" s="1173"/>
      <c r="W263" s="1174"/>
      <c r="X263" s="1175"/>
      <c r="Y263" s="1176"/>
      <c r="Z263" s="1177"/>
      <c r="AA263" s="1547"/>
      <c r="AB263" s="1177"/>
      <c r="AC263" s="1548"/>
      <c r="AD263" s="1549"/>
      <c r="AE263" s="1178"/>
      <c r="AF263" s="1179"/>
      <c r="AH263" s="104"/>
      <c r="AI263" s="1172"/>
      <c r="AJ263" s="1172"/>
      <c r="AK263" s="1172"/>
      <c r="AL263" s="1173"/>
      <c r="AM263" s="1174"/>
      <c r="AN263" s="1175"/>
      <c r="AO263" s="1176"/>
      <c r="AP263" s="1177"/>
      <c r="AQ263" s="1547"/>
      <c r="AR263" s="1177"/>
      <c r="AS263" s="1548"/>
      <c r="AT263" s="1549"/>
      <c r="AU263" s="1178"/>
      <c r="AV263" s="1179"/>
      <c r="AY263" s="3">
        <v>1</v>
      </c>
    </row>
    <row r="264" spans="2:51" ht="18.75">
      <c r="B264" s="104"/>
      <c r="C264" s="1172"/>
      <c r="D264" s="1172"/>
      <c r="E264" s="1172"/>
      <c r="F264" s="1173"/>
      <c r="G264" s="1174"/>
      <c r="H264" s="1175"/>
      <c r="I264" s="1176"/>
      <c r="J264" s="1177"/>
      <c r="K264" s="1547"/>
      <c r="L264" s="1177"/>
      <c r="M264" s="1548"/>
      <c r="N264" s="1549"/>
      <c r="O264" s="1178"/>
      <c r="P264" s="1179"/>
      <c r="R264" s="104"/>
      <c r="S264" s="1172"/>
      <c r="T264" s="1172"/>
      <c r="U264" s="1172"/>
      <c r="V264" s="1173"/>
      <c r="W264" s="1174"/>
      <c r="X264" s="1175"/>
      <c r="Y264" s="1176"/>
      <c r="Z264" s="1177"/>
      <c r="AA264" s="1547"/>
      <c r="AB264" s="1177"/>
      <c r="AC264" s="1548"/>
      <c r="AD264" s="1549"/>
      <c r="AE264" s="1178"/>
      <c r="AF264" s="1179"/>
      <c r="AH264" s="104"/>
      <c r="AI264" s="1172"/>
      <c r="AJ264" s="1172"/>
      <c r="AK264" s="1172"/>
      <c r="AL264" s="1173"/>
      <c r="AM264" s="1174"/>
      <c r="AN264" s="1175"/>
      <c r="AO264" s="1176"/>
      <c r="AP264" s="1177"/>
      <c r="AQ264" s="1547"/>
      <c r="AR264" s="1177"/>
      <c r="AS264" s="1548"/>
      <c r="AT264" s="1549"/>
      <c r="AU264" s="1178"/>
      <c r="AV264" s="1179"/>
      <c r="AY264" s="3">
        <v>1</v>
      </c>
    </row>
    <row r="265" spans="2:51" ht="18.75">
      <c r="B265" s="104"/>
      <c r="C265" s="1172"/>
      <c r="D265" s="1172"/>
      <c r="E265" s="1172"/>
      <c r="F265" s="1173"/>
      <c r="G265" s="1174"/>
      <c r="H265" s="1175"/>
      <c r="I265" s="1176"/>
      <c r="J265" s="1177"/>
      <c r="K265" s="1547"/>
      <c r="L265" s="1177"/>
      <c r="M265" s="1548"/>
      <c r="N265" s="1549"/>
      <c r="O265" s="1178"/>
      <c r="P265" s="1179"/>
      <c r="R265" s="104"/>
      <c r="S265" s="1172"/>
      <c r="T265" s="1172"/>
      <c r="U265" s="1172"/>
      <c r="V265" s="1173"/>
      <c r="W265" s="1174"/>
      <c r="X265" s="1175"/>
      <c r="Y265" s="1176"/>
      <c r="Z265" s="1177"/>
      <c r="AA265" s="1547"/>
      <c r="AB265" s="1177"/>
      <c r="AC265" s="1548"/>
      <c r="AD265" s="1549"/>
      <c r="AE265" s="1178"/>
      <c r="AF265" s="1179"/>
      <c r="AH265" s="104"/>
      <c r="AI265" s="1172"/>
      <c r="AJ265" s="1172"/>
      <c r="AK265" s="1172"/>
      <c r="AL265" s="1173"/>
      <c r="AM265" s="1174"/>
      <c r="AN265" s="1175"/>
      <c r="AO265" s="1176"/>
      <c r="AP265" s="1177"/>
      <c r="AQ265" s="1547"/>
      <c r="AR265" s="1177"/>
      <c r="AS265" s="1548"/>
      <c r="AT265" s="1549"/>
      <c r="AU265" s="1178"/>
      <c r="AV265" s="1179"/>
      <c r="AY265" s="3">
        <v>1</v>
      </c>
    </row>
    <row r="266" spans="2:51" ht="18.75">
      <c r="B266" s="104"/>
      <c r="C266" s="1172"/>
      <c r="D266" s="1172"/>
      <c r="E266" s="1172"/>
      <c r="F266" s="1173"/>
      <c r="G266" s="1174"/>
      <c r="H266" s="1175"/>
      <c r="I266" s="1176"/>
      <c r="J266" s="1177"/>
      <c r="K266" s="1547"/>
      <c r="L266" s="1177"/>
      <c r="M266" s="1548"/>
      <c r="N266" s="1549"/>
      <c r="O266" s="1178"/>
      <c r="P266" s="1179"/>
      <c r="R266" s="104"/>
      <c r="S266" s="1172"/>
      <c r="T266" s="1172"/>
      <c r="U266" s="1172"/>
      <c r="V266" s="1173"/>
      <c r="W266" s="1174"/>
      <c r="X266" s="1175"/>
      <c r="Y266" s="1176"/>
      <c r="Z266" s="1177"/>
      <c r="AA266" s="1547"/>
      <c r="AB266" s="1177"/>
      <c r="AC266" s="1548"/>
      <c r="AD266" s="1549"/>
      <c r="AE266" s="1178"/>
      <c r="AF266" s="1179"/>
      <c r="AH266" s="104"/>
      <c r="AI266" s="1172"/>
      <c r="AJ266" s="1172"/>
      <c r="AK266" s="1172"/>
      <c r="AL266" s="1173"/>
      <c r="AM266" s="1174"/>
      <c r="AN266" s="1175"/>
      <c r="AO266" s="1176"/>
      <c r="AP266" s="1177"/>
      <c r="AQ266" s="1547"/>
      <c r="AR266" s="1177"/>
      <c r="AS266" s="1548"/>
      <c r="AT266" s="1549"/>
      <c r="AU266" s="1178"/>
      <c r="AV266" s="1179"/>
      <c r="AY266" s="3">
        <v>1</v>
      </c>
    </row>
    <row r="267" spans="2:51" ht="18.75">
      <c r="B267" s="104"/>
      <c r="C267" s="1172"/>
      <c r="D267" s="1172"/>
      <c r="E267" s="1172"/>
      <c r="F267" s="1173"/>
      <c r="G267" s="1174"/>
      <c r="H267" s="1175"/>
      <c r="I267" s="1176"/>
      <c r="J267" s="1177"/>
      <c r="K267" s="1547"/>
      <c r="L267" s="1177"/>
      <c r="M267" s="1548"/>
      <c r="N267" s="1549"/>
      <c r="O267" s="1178"/>
      <c r="P267" s="1179"/>
      <c r="R267" s="104"/>
      <c r="S267" s="1172"/>
      <c r="T267" s="1172"/>
      <c r="U267" s="1172"/>
      <c r="V267" s="1173"/>
      <c r="W267" s="1174"/>
      <c r="X267" s="1175"/>
      <c r="Y267" s="1176"/>
      <c r="Z267" s="1177"/>
      <c r="AA267" s="1547"/>
      <c r="AB267" s="1177"/>
      <c r="AC267" s="1548"/>
      <c r="AD267" s="1549"/>
      <c r="AE267" s="1178"/>
      <c r="AF267" s="1179"/>
      <c r="AH267" s="104"/>
      <c r="AI267" s="1172"/>
      <c r="AJ267" s="1172"/>
      <c r="AK267" s="1172"/>
      <c r="AL267" s="1173"/>
      <c r="AM267" s="1174"/>
      <c r="AN267" s="1175"/>
      <c r="AO267" s="1176"/>
      <c r="AP267" s="1177"/>
      <c r="AQ267" s="1547"/>
      <c r="AR267" s="1177"/>
      <c r="AS267" s="1548"/>
      <c r="AT267" s="1549"/>
      <c r="AU267" s="1178"/>
      <c r="AV267" s="1179"/>
      <c r="AY267" s="3">
        <v>1</v>
      </c>
    </row>
    <row r="268" spans="2:51" ht="18.75">
      <c r="B268" s="104"/>
      <c r="C268" s="1172"/>
      <c r="D268" s="1172"/>
      <c r="E268" s="1172"/>
      <c r="F268" s="1173"/>
      <c r="G268" s="1174"/>
      <c r="H268" s="1175"/>
      <c r="I268" s="1176"/>
      <c r="J268" s="1177"/>
      <c r="K268" s="1547"/>
      <c r="L268" s="1177"/>
      <c r="M268" s="1548"/>
      <c r="N268" s="1549"/>
      <c r="O268" s="1178"/>
      <c r="P268" s="1179"/>
      <c r="R268" s="104"/>
      <c r="S268" s="1172"/>
      <c r="T268" s="1172"/>
      <c r="U268" s="1172"/>
      <c r="V268" s="1173"/>
      <c r="W268" s="1174"/>
      <c r="X268" s="1175"/>
      <c r="Y268" s="1176"/>
      <c r="Z268" s="1177"/>
      <c r="AA268" s="1547"/>
      <c r="AB268" s="1177"/>
      <c r="AC268" s="1548"/>
      <c r="AD268" s="1549"/>
      <c r="AE268" s="1178"/>
      <c r="AF268" s="1179"/>
      <c r="AH268" s="104"/>
      <c r="AI268" s="1172"/>
      <c r="AJ268" s="1172"/>
      <c r="AK268" s="1172"/>
      <c r="AL268" s="1173"/>
      <c r="AM268" s="1174"/>
      <c r="AN268" s="1175"/>
      <c r="AO268" s="1176"/>
      <c r="AP268" s="1177"/>
      <c r="AQ268" s="1547"/>
      <c r="AR268" s="1177"/>
      <c r="AS268" s="1548"/>
      <c r="AT268" s="1549"/>
      <c r="AU268" s="1178"/>
      <c r="AV268" s="1179"/>
      <c r="AY268" s="3">
        <v>1</v>
      </c>
    </row>
    <row r="269" spans="2:51" ht="18.75">
      <c r="B269" s="104"/>
      <c r="C269" s="1172"/>
      <c r="D269" s="1172"/>
      <c r="E269" s="1172"/>
      <c r="F269" s="1173"/>
      <c r="G269" s="1174"/>
      <c r="H269" s="1175"/>
      <c r="I269" s="1176"/>
      <c r="J269" s="1177"/>
      <c r="K269" s="1547"/>
      <c r="L269" s="1177"/>
      <c r="M269" s="1548"/>
      <c r="N269" s="1549"/>
      <c r="O269" s="1178"/>
      <c r="P269" s="1179"/>
      <c r="R269" s="104"/>
      <c r="S269" s="1172"/>
      <c r="T269" s="1172"/>
      <c r="U269" s="1172"/>
      <c r="V269" s="1173"/>
      <c r="W269" s="1174"/>
      <c r="X269" s="1175"/>
      <c r="Y269" s="1176"/>
      <c r="Z269" s="1177"/>
      <c r="AA269" s="1547"/>
      <c r="AB269" s="1177"/>
      <c r="AC269" s="1548"/>
      <c r="AD269" s="1549"/>
      <c r="AE269" s="1178"/>
      <c r="AF269" s="1179"/>
      <c r="AH269" s="104"/>
      <c r="AI269" s="1172"/>
      <c r="AJ269" s="1172"/>
      <c r="AK269" s="1172"/>
      <c r="AL269" s="1173"/>
      <c r="AM269" s="1174"/>
      <c r="AN269" s="1175"/>
      <c r="AO269" s="1176"/>
      <c r="AP269" s="1177"/>
      <c r="AQ269" s="1547"/>
      <c r="AR269" s="1177"/>
      <c r="AS269" s="1548"/>
      <c r="AT269" s="1549"/>
      <c r="AU269" s="1178"/>
      <c r="AV269" s="1179"/>
      <c r="AY269" s="3">
        <v>1</v>
      </c>
    </row>
    <row r="270" spans="2:51" ht="18.75">
      <c r="B270" s="104"/>
      <c r="C270" s="1172"/>
      <c r="D270" s="1172"/>
      <c r="E270" s="1172"/>
      <c r="F270" s="1173"/>
      <c r="G270" s="1174"/>
      <c r="H270" s="1175"/>
      <c r="I270" s="1176"/>
      <c r="J270" s="1177"/>
      <c r="K270" s="1547"/>
      <c r="L270" s="1177"/>
      <c r="M270" s="1548"/>
      <c r="N270" s="1549"/>
      <c r="O270" s="1178"/>
      <c r="P270" s="1179"/>
      <c r="R270" s="104"/>
      <c r="S270" s="1172"/>
      <c r="T270" s="1172"/>
      <c r="U270" s="1172"/>
      <c r="V270" s="1173"/>
      <c r="W270" s="1174"/>
      <c r="X270" s="1175"/>
      <c r="Y270" s="1176"/>
      <c r="Z270" s="1177"/>
      <c r="AA270" s="1547"/>
      <c r="AB270" s="1177"/>
      <c r="AC270" s="1548"/>
      <c r="AD270" s="1549"/>
      <c r="AE270" s="1178"/>
      <c r="AF270" s="1179"/>
      <c r="AH270" s="104"/>
      <c r="AI270" s="1172"/>
      <c r="AJ270" s="1172"/>
      <c r="AK270" s="1172"/>
      <c r="AL270" s="1173"/>
      <c r="AM270" s="1174"/>
      <c r="AN270" s="1175"/>
      <c r="AO270" s="1176"/>
      <c r="AP270" s="1177"/>
      <c r="AQ270" s="1547"/>
      <c r="AR270" s="1177"/>
      <c r="AS270" s="1548"/>
      <c r="AT270" s="1549"/>
      <c r="AU270" s="1178"/>
      <c r="AV270" s="1179"/>
      <c r="AY270" s="3">
        <v>1</v>
      </c>
    </row>
    <row r="271" spans="2:51" ht="18.75">
      <c r="B271" s="104"/>
      <c r="C271" s="1172"/>
      <c r="D271" s="1172"/>
      <c r="E271" s="1172"/>
      <c r="F271" s="1173"/>
      <c r="G271" s="1174"/>
      <c r="H271" s="1175"/>
      <c r="I271" s="1176"/>
      <c r="J271" s="1177"/>
      <c r="K271" s="1547"/>
      <c r="L271" s="1177"/>
      <c r="M271" s="1548"/>
      <c r="N271" s="1549"/>
      <c r="O271" s="1178"/>
      <c r="P271" s="1179"/>
      <c r="R271" s="104"/>
      <c r="S271" s="1172"/>
      <c r="T271" s="1172"/>
      <c r="U271" s="1172"/>
      <c r="V271" s="1173"/>
      <c r="W271" s="1174"/>
      <c r="X271" s="1175"/>
      <c r="Y271" s="1176"/>
      <c r="Z271" s="1177"/>
      <c r="AA271" s="1547"/>
      <c r="AB271" s="1177"/>
      <c r="AC271" s="1548"/>
      <c r="AD271" s="1549"/>
      <c r="AE271" s="1178"/>
      <c r="AF271" s="1179"/>
      <c r="AH271" s="104"/>
      <c r="AI271" s="1172"/>
      <c r="AJ271" s="1172"/>
      <c r="AK271" s="1172"/>
      <c r="AL271" s="1173"/>
      <c r="AM271" s="1174"/>
      <c r="AN271" s="1175"/>
      <c r="AO271" s="1176"/>
      <c r="AP271" s="1177"/>
      <c r="AQ271" s="1547"/>
      <c r="AR271" s="1177"/>
      <c r="AS271" s="1548"/>
      <c r="AT271" s="1549"/>
      <c r="AU271" s="1178"/>
      <c r="AV271" s="1179"/>
      <c r="AY271" s="3">
        <v>1</v>
      </c>
    </row>
    <row r="272" spans="2:51" ht="18.75">
      <c r="B272" s="104"/>
      <c r="C272" s="1172"/>
      <c r="D272" s="1172"/>
      <c r="E272" s="1172"/>
      <c r="F272" s="1173"/>
      <c r="G272" s="1174"/>
      <c r="H272" s="1175"/>
      <c r="I272" s="1176"/>
      <c r="J272" s="1177"/>
      <c r="K272" s="1547"/>
      <c r="L272" s="1177"/>
      <c r="M272" s="1548"/>
      <c r="N272" s="1549"/>
      <c r="O272" s="1178"/>
      <c r="P272" s="1179"/>
      <c r="R272" s="104"/>
      <c r="S272" s="1172"/>
      <c r="T272" s="1172"/>
      <c r="U272" s="1172"/>
      <c r="V272" s="1173"/>
      <c r="W272" s="1174"/>
      <c r="X272" s="1175"/>
      <c r="Y272" s="1176"/>
      <c r="Z272" s="1177"/>
      <c r="AA272" s="1547"/>
      <c r="AB272" s="1177"/>
      <c r="AC272" s="1548"/>
      <c r="AD272" s="1549"/>
      <c r="AE272" s="1178"/>
      <c r="AF272" s="1179"/>
      <c r="AH272" s="104"/>
      <c r="AI272" s="1172"/>
      <c r="AJ272" s="1172"/>
      <c r="AK272" s="1172"/>
      <c r="AL272" s="1173"/>
      <c r="AM272" s="1174"/>
      <c r="AN272" s="1175"/>
      <c r="AO272" s="1176"/>
      <c r="AP272" s="1177"/>
      <c r="AQ272" s="1547"/>
      <c r="AR272" s="1177"/>
      <c r="AS272" s="1548"/>
      <c r="AT272" s="1549"/>
      <c r="AU272" s="1178"/>
      <c r="AV272" s="1179"/>
      <c r="AY272" s="3">
        <v>1</v>
      </c>
    </row>
    <row r="273" spans="2:51" ht="18.75">
      <c r="B273" s="104"/>
      <c r="C273" s="1172"/>
      <c r="D273" s="1172"/>
      <c r="E273" s="1172"/>
      <c r="F273" s="1173"/>
      <c r="G273" s="1174"/>
      <c r="H273" s="1175"/>
      <c r="I273" s="1176"/>
      <c r="J273" s="1177"/>
      <c r="K273" s="1547"/>
      <c r="L273" s="1177"/>
      <c r="M273" s="1548"/>
      <c r="N273" s="1549"/>
      <c r="O273" s="1178"/>
      <c r="P273" s="1179"/>
      <c r="R273" s="104"/>
      <c r="S273" s="1172"/>
      <c r="T273" s="1172"/>
      <c r="U273" s="1172"/>
      <c r="V273" s="1173"/>
      <c r="W273" s="1174"/>
      <c r="X273" s="1175"/>
      <c r="Y273" s="1176"/>
      <c r="Z273" s="1177"/>
      <c r="AA273" s="1547"/>
      <c r="AB273" s="1177"/>
      <c r="AC273" s="1548"/>
      <c r="AD273" s="1549"/>
      <c r="AE273" s="1178"/>
      <c r="AF273" s="1179"/>
      <c r="AH273" s="104"/>
      <c r="AI273" s="1172"/>
      <c r="AJ273" s="1172"/>
      <c r="AK273" s="1172"/>
      <c r="AL273" s="1173"/>
      <c r="AM273" s="1174"/>
      <c r="AN273" s="1175"/>
      <c r="AO273" s="1176"/>
      <c r="AP273" s="1177"/>
      <c r="AQ273" s="1547"/>
      <c r="AR273" s="1177"/>
      <c r="AS273" s="1548"/>
      <c r="AT273" s="1549"/>
      <c r="AU273" s="1178"/>
      <c r="AV273" s="1179"/>
      <c r="AY273" s="3">
        <v>1</v>
      </c>
    </row>
    <row r="274" spans="2:51" ht="18.75">
      <c r="B274" s="104"/>
      <c r="C274" s="1172"/>
      <c r="D274" s="1172"/>
      <c r="E274" s="1172"/>
      <c r="F274" s="1173"/>
      <c r="G274" s="1174"/>
      <c r="H274" s="1175"/>
      <c r="I274" s="1176"/>
      <c r="J274" s="1177"/>
      <c r="K274" s="1547"/>
      <c r="L274" s="1177"/>
      <c r="M274" s="1548"/>
      <c r="N274" s="1549"/>
      <c r="O274" s="1178"/>
      <c r="P274" s="1179"/>
      <c r="R274" s="104"/>
      <c r="S274" s="1172"/>
      <c r="T274" s="1172"/>
      <c r="U274" s="1172"/>
      <c r="V274" s="1173"/>
      <c r="W274" s="1174"/>
      <c r="X274" s="1175"/>
      <c r="Y274" s="1176"/>
      <c r="Z274" s="1177"/>
      <c r="AA274" s="1547"/>
      <c r="AB274" s="1177"/>
      <c r="AC274" s="1548"/>
      <c r="AD274" s="1549"/>
      <c r="AE274" s="1178"/>
      <c r="AF274" s="1179"/>
      <c r="AH274" s="104"/>
      <c r="AI274" s="1172"/>
      <c r="AJ274" s="1172"/>
      <c r="AK274" s="1172"/>
      <c r="AL274" s="1173"/>
      <c r="AM274" s="1174"/>
      <c r="AN274" s="1175"/>
      <c r="AO274" s="1176"/>
      <c r="AP274" s="1177"/>
      <c r="AQ274" s="1547"/>
      <c r="AR274" s="1177"/>
      <c r="AS274" s="1548"/>
      <c r="AT274" s="1549"/>
      <c r="AU274" s="1178"/>
      <c r="AV274" s="1179"/>
      <c r="AY274" s="3">
        <v>1</v>
      </c>
    </row>
    <row r="275" spans="2:51" ht="18.75">
      <c r="B275" s="104"/>
      <c r="C275" s="1172"/>
      <c r="D275" s="1172"/>
      <c r="E275" s="1172"/>
      <c r="F275" s="1173"/>
      <c r="G275" s="1174"/>
      <c r="H275" s="1175"/>
      <c r="I275" s="1176"/>
      <c r="J275" s="1177"/>
      <c r="K275" s="1547"/>
      <c r="L275" s="1177"/>
      <c r="M275" s="1548"/>
      <c r="N275" s="1549"/>
      <c r="O275" s="1178"/>
      <c r="P275" s="1179"/>
      <c r="R275" s="104"/>
      <c r="S275" s="1172"/>
      <c r="T275" s="1172"/>
      <c r="U275" s="1172"/>
      <c r="V275" s="1173"/>
      <c r="W275" s="1174"/>
      <c r="X275" s="1175"/>
      <c r="Y275" s="1176"/>
      <c r="Z275" s="1177"/>
      <c r="AA275" s="1547"/>
      <c r="AB275" s="1177"/>
      <c r="AC275" s="1548"/>
      <c r="AD275" s="1549"/>
      <c r="AE275" s="1178"/>
      <c r="AF275" s="1179"/>
      <c r="AH275" s="104"/>
      <c r="AI275" s="1172"/>
      <c r="AJ275" s="1172"/>
      <c r="AK275" s="1172"/>
      <c r="AL275" s="1173"/>
      <c r="AM275" s="1174"/>
      <c r="AN275" s="1175"/>
      <c r="AO275" s="1176"/>
      <c r="AP275" s="1177"/>
      <c r="AQ275" s="1547"/>
      <c r="AR275" s="1177"/>
      <c r="AS275" s="1548"/>
      <c r="AT275" s="1549"/>
      <c r="AU275" s="1178"/>
      <c r="AV275" s="1179"/>
      <c r="AY275" s="3">
        <v>1</v>
      </c>
    </row>
    <row r="276" spans="2:51" ht="18.75">
      <c r="B276" s="104"/>
      <c r="C276" s="1172"/>
      <c r="D276" s="1172"/>
      <c r="E276" s="1172"/>
      <c r="F276" s="1173"/>
      <c r="G276" s="1174"/>
      <c r="H276" s="1175"/>
      <c r="I276" s="1176"/>
      <c r="J276" s="1177"/>
      <c r="K276" s="1547"/>
      <c r="L276" s="1177"/>
      <c r="M276" s="1548"/>
      <c r="N276" s="1549"/>
      <c r="O276" s="1178"/>
      <c r="P276" s="1179"/>
      <c r="R276" s="104"/>
      <c r="S276" s="1172"/>
      <c r="T276" s="1172"/>
      <c r="U276" s="1172"/>
      <c r="V276" s="1173"/>
      <c r="W276" s="1174"/>
      <c r="X276" s="1175"/>
      <c r="Y276" s="1176"/>
      <c r="Z276" s="1177"/>
      <c r="AA276" s="1547"/>
      <c r="AB276" s="1177"/>
      <c r="AC276" s="1548"/>
      <c r="AD276" s="1549"/>
      <c r="AE276" s="1178"/>
      <c r="AF276" s="1179"/>
      <c r="AH276" s="104"/>
      <c r="AI276" s="1172"/>
      <c r="AJ276" s="1172"/>
      <c r="AK276" s="1172"/>
      <c r="AL276" s="1173"/>
      <c r="AM276" s="1174"/>
      <c r="AN276" s="1175"/>
      <c r="AO276" s="1176"/>
      <c r="AP276" s="1177"/>
      <c r="AQ276" s="1547"/>
      <c r="AR276" s="1177"/>
      <c r="AS276" s="1548"/>
      <c r="AT276" s="1549"/>
      <c r="AU276" s="1178"/>
      <c r="AV276" s="1179"/>
      <c r="AY276" s="3">
        <v>1</v>
      </c>
    </row>
    <row r="277" spans="2:51" ht="18.75">
      <c r="B277" s="104"/>
      <c r="C277" s="1172"/>
      <c r="D277" s="1172"/>
      <c r="E277" s="1172"/>
      <c r="F277" s="1173"/>
      <c r="G277" s="1174"/>
      <c r="H277" s="1175"/>
      <c r="I277" s="1176"/>
      <c r="J277" s="1177"/>
      <c r="K277" s="1547"/>
      <c r="L277" s="1177"/>
      <c r="M277" s="1548"/>
      <c r="N277" s="1549"/>
      <c r="O277" s="1178"/>
      <c r="P277" s="1179"/>
      <c r="R277" s="104"/>
      <c r="S277" s="1172"/>
      <c r="T277" s="1172"/>
      <c r="U277" s="1172"/>
      <c r="V277" s="1173"/>
      <c r="W277" s="1174"/>
      <c r="X277" s="1175"/>
      <c r="Y277" s="1176"/>
      <c r="Z277" s="1177"/>
      <c r="AA277" s="1547"/>
      <c r="AB277" s="1177"/>
      <c r="AC277" s="1548"/>
      <c r="AD277" s="1549"/>
      <c r="AE277" s="1178"/>
      <c r="AF277" s="1179"/>
      <c r="AH277" s="104"/>
      <c r="AI277" s="1172"/>
      <c r="AJ277" s="1172"/>
      <c r="AK277" s="1172"/>
      <c r="AL277" s="1173"/>
      <c r="AM277" s="1174"/>
      <c r="AN277" s="1175"/>
      <c r="AO277" s="1176"/>
      <c r="AP277" s="1177"/>
      <c r="AQ277" s="1547"/>
      <c r="AR277" s="1177"/>
      <c r="AS277" s="1548"/>
      <c r="AT277" s="1549"/>
      <c r="AU277" s="1178"/>
      <c r="AV277" s="1179"/>
      <c r="AY277" s="3">
        <v>1</v>
      </c>
    </row>
    <row r="278" spans="2:51" ht="18.75">
      <c r="B278" s="104"/>
      <c r="C278" s="1172"/>
      <c r="D278" s="1172"/>
      <c r="E278" s="1172"/>
      <c r="F278" s="1173"/>
      <c r="G278" s="1174"/>
      <c r="H278" s="1175"/>
      <c r="I278" s="1176"/>
      <c r="J278" s="1177"/>
      <c r="K278" s="1547"/>
      <c r="L278" s="1177"/>
      <c r="M278" s="1548"/>
      <c r="N278" s="1549"/>
      <c r="O278" s="1178"/>
      <c r="P278" s="1179"/>
      <c r="R278" s="104"/>
      <c r="S278" s="1172"/>
      <c r="T278" s="1172"/>
      <c r="U278" s="1172"/>
      <c r="V278" s="1173"/>
      <c r="W278" s="1174"/>
      <c r="X278" s="1175"/>
      <c r="Y278" s="1176"/>
      <c r="Z278" s="1177"/>
      <c r="AA278" s="1547"/>
      <c r="AB278" s="1177"/>
      <c r="AC278" s="1548"/>
      <c r="AD278" s="1549"/>
      <c r="AE278" s="1178"/>
      <c r="AF278" s="1179"/>
      <c r="AH278" s="104"/>
      <c r="AI278" s="1172"/>
      <c r="AJ278" s="1172"/>
      <c r="AK278" s="1172"/>
      <c r="AL278" s="1173"/>
      <c r="AM278" s="1174"/>
      <c r="AN278" s="1175"/>
      <c r="AO278" s="1176"/>
      <c r="AP278" s="1177"/>
      <c r="AQ278" s="1547"/>
      <c r="AR278" s="1177"/>
      <c r="AS278" s="1548"/>
      <c r="AT278" s="1549"/>
      <c r="AU278" s="1178"/>
      <c r="AV278" s="1179"/>
      <c r="AY278" s="3">
        <v>1</v>
      </c>
    </row>
    <row r="279" spans="2:51" ht="18.75">
      <c r="B279" s="104"/>
      <c r="C279" s="1172"/>
      <c r="D279" s="1172"/>
      <c r="E279" s="1172"/>
      <c r="F279" s="1173"/>
      <c r="G279" s="1174"/>
      <c r="H279" s="1175"/>
      <c r="I279" s="1176"/>
      <c r="J279" s="1177"/>
      <c r="K279" s="1547"/>
      <c r="L279" s="1177"/>
      <c r="M279" s="1548"/>
      <c r="N279" s="1549"/>
      <c r="O279" s="1178"/>
      <c r="P279" s="1179"/>
      <c r="R279" s="104"/>
      <c r="S279" s="1172"/>
      <c r="T279" s="1172"/>
      <c r="U279" s="1172"/>
      <c r="V279" s="1173"/>
      <c r="W279" s="1174"/>
      <c r="X279" s="1175"/>
      <c r="Y279" s="1176"/>
      <c r="Z279" s="1177"/>
      <c r="AA279" s="1547"/>
      <c r="AB279" s="1177"/>
      <c r="AC279" s="1548"/>
      <c r="AD279" s="1549"/>
      <c r="AE279" s="1178"/>
      <c r="AF279" s="1179"/>
      <c r="AH279" s="104"/>
      <c r="AI279" s="1172"/>
      <c r="AJ279" s="1172"/>
      <c r="AK279" s="1172"/>
      <c r="AL279" s="1173"/>
      <c r="AM279" s="1174"/>
      <c r="AN279" s="1175"/>
      <c r="AO279" s="1176"/>
      <c r="AP279" s="1177"/>
      <c r="AQ279" s="1547"/>
      <c r="AR279" s="1177"/>
      <c r="AS279" s="1548"/>
      <c r="AT279" s="1549"/>
      <c r="AU279" s="1178"/>
      <c r="AV279" s="1179"/>
      <c r="AY279" s="3">
        <v>1</v>
      </c>
    </row>
    <row r="280" spans="2:51" ht="18.75">
      <c r="B280" s="104"/>
      <c r="C280" s="1172"/>
      <c r="D280" s="1172"/>
      <c r="E280" s="1172"/>
      <c r="F280" s="1173"/>
      <c r="G280" s="1174"/>
      <c r="H280" s="1175"/>
      <c r="I280" s="1176"/>
      <c r="J280" s="1177"/>
      <c r="K280" s="1547"/>
      <c r="L280" s="1177"/>
      <c r="M280" s="1548"/>
      <c r="N280" s="1549"/>
      <c r="O280" s="1178"/>
      <c r="P280" s="1179"/>
      <c r="R280" s="104"/>
      <c r="S280" s="1172"/>
      <c r="T280" s="1172"/>
      <c r="U280" s="1172"/>
      <c r="V280" s="1173"/>
      <c r="W280" s="1174"/>
      <c r="X280" s="1175"/>
      <c r="Y280" s="1176"/>
      <c r="Z280" s="1177"/>
      <c r="AA280" s="1547"/>
      <c r="AB280" s="1177"/>
      <c r="AC280" s="1548"/>
      <c r="AD280" s="1549"/>
      <c r="AE280" s="1178"/>
      <c r="AF280" s="1179"/>
      <c r="AH280" s="104"/>
      <c r="AI280" s="1172"/>
      <c r="AJ280" s="1172"/>
      <c r="AK280" s="1172"/>
      <c r="AL280" s="1173"/>
      <c r="AM280" s="1174"/>
      <c r="AN280" s="1175"/>
      <c r="AO280" s="1176"/>
      <c r="AP280" s="1177"/>
      <c r="AQ280" s="1547"/>
      <c r="AR280" s="1177"/>
      <c r="AS280" s="1548"/>
      <c r="AT280" s="1549"/>
      <c r="AU280" s="1178"/>
      <c r="AV280" s="1179"/>
      <c r="AY280" s="3">
        <v>1</v>
      </c>
    </row>
    <row r="281" spans="2:51" ht="18.75">
      <c r="B281" s="104"/>
      <c r="C281" s="1172"/>
      <c r="D281" s="1172"/>
      <c r="E281" s="1172"/>
      <c r="F281" s="1173"/>
      <c r="G281" s="1174"/>
      <c r="H281" s="1175"/>
      <c r="I281" s="1176"/>
      <c r="J281" s="1177"/>
      <c r="K281" s="1547"/>
      <c r="L281" s="1177"/>
      <c r="M281" s="1548"/>
      <c r="N281" s="1549"/>
      <c r="O281" s="1178"/>
      <c r="P281" s="1179"/>
      <c r="R281" s="104"/>
      <c r="S281" s="1172"/>
      <c r="T281" s="1172"/>
      <c r="U281" s="1172"/>
      <c r="V281" s="1173"/>
      <c r="W281" s="1174"/>
      <c r="X281" s="1175"/>
      <c r="Y281" s="1176"/>
      <c r="Z281" s="1177"/>
      <c r="AA281" s="1547"/>
      <c r="AB281" s="1177"/>
      <c r="AC281" s="1548"/>
      <c r="AD281" s="1549"/>
      <c r="AE281" s="1178"/>
      <c r="AF281" s="1179"/>
      <c r="AH281" s="104"/>
      <c r="AI281" s="1172"/>
      <c r="AJ281" s="1172"/>
      <c r="AK281" s="1172"/>
      <c r="AL281" s="1173"/>
      <c r="AM281" s="1174"/>
      <c r="AN281" s="1175"/>
      <c r="AO281" s="1176"/>
      <c r="AP281" s="1177"/>
      <c r="AQ281" s="1547"/>
      <c r="AR281" s="1177"/>
      <c r="AS281" s="1548"/>
      <c r="AT281" s="1549"/>
      <c r="AU281" s="1178"/>
      <c r="AV281" s="1179"/>
      <c r="AY281" s="3">
        <v>1</v>
      </c>
    </row>
    <row r="282" spans="2:51" ht="18.75">
      <c r="B282" s="104"/>
      <c r="C282" s="1172"/>
      <c r="D282" s="1172"/>
      <c r="E282" s="1172"/>
      <c r="F282" s="1173"/>
      <c r="G282" s="1174"/>
      <c r="H282" s="1175"/>
      <c r="I282" s="1176"/>
      <c r="J282" s="1177"/>
      <c r="K282" s="1547"/>
      <c r="L282" s="1177"/>
      <c r="M282" s="1548"/>
      <c r="N282" s="1549"/>
      <c r="O282" s="1178"/>
      <c r="P282" s="1179"/>
      <c r="R282" s="104"/>
      <c r="S282" s="1172"/>
      <c r="T282" s="1172"/>
      <c r="U282" s="1172"/>
      <c r="V282" s="1173"/>
      <c r="W282" s="1174"/>
      <c r="X282" s="1175"/>
      <c r="Y282" s="1176"/>
      <c r="Z282" s="1177"/>
      <c r="AA282" s="1547"/>
      <c r="AB282" s="1177"/>
      <c r="AC282" s="1548"/>
      <c r="AD282" s="1549"/>
      <c r="AE282" s="1178"/>
      <c r="AF282" s="1179"/>
      <c r="AH282" s="104"/>
      <c r="AI282" s="1172"/>
      <c r="AJ282" s="1172"/>
      <c r="AK282" s="1172"/>
      <c r="AL282" s="1173"/>
      <c r="AM282" s="1174"/>
      <c r="AN282" s="1175"/>
      <c r="AO282" s="1176"/>
      <c r="AP282" s="1177"/>
      <c r="AQ282" s="1547"/>
      <c r="AR282" s="1177"/>
      <c r="AS282" s="1548"/>
      <c r="AT282" s="1549"/>
      <c r="AU282" s="1178"/>
      <c r="AV282" s="1179"/>
      <c r="AY282" s="3">
        <v>1</v>
      </c>
    </row>
    <row r="283" spans="2:51" ht="18.75">
      <c r="B283" s="104"/>
      <c r="C283" s="1172"/>
      <c r="D283" s="1172"/>
      <c r="E283" s="1172"/>
      <c r="F283" s="1173"/>
      <c r="G283" s="1174"/>
      <c r="H283" s="1175"/>
      <c r="I283" s="1176"/>
      <c r="J283" s="1177"/>
      <c r="K283" s="1547"/>
      <c r="L283" s="1177"/>
      <c r="M283" s="1548"/>
      <c r="N283" s="1549"/>
      <c r="O283" s="1178"/>
      <c r="P283" s="1179"/>
      <c r="R283" s="104"/>
      <c r="S283" s="1172"/>
      <c r="T283" s="1172"/>
      <c r="U283" s="1172"/>
      <c r="V283" s="1173"/>
      <c r="W283" s="1174"/>
      <c r="X283" s="1175"/>
      <c r="Y283" s="1176"/>
      <c r="Z283" s="1177"/>
      <c r="AA283" s="1547"/>
      <c r="AB283" s="1177"/>
      <c r="AC283" s="1548"/>
      <c r="AD283" s="1549"/>
      <c r="AE283" s="1178"/>
      <c r="AF283" s="1179"/>
      <c r="AH283" s="104"/>
      <c r="AI283" s="1172"/>
      <c r="AJ283" s="1172"/>
      <c r="AK283" s="1172"/>
      <c r="AL283" s="1173"/>
      <c r="AM283" s="1174"/>
      <c r="AN283" s="1175"/>
      <c r="AO283" s="1176"/>
      <c r="AP283" s="1177"/>
      <c r="AQ283" s="1547"/>
      <c r="AR283" s="1177"/>
      <c r="AS283" s="1548"/>
      <c r="AT283" s="1549"/>
      <c r="AU283" s="1178"/>
      <c r="AV283" s="1179"/>
      <c r="AY283" s="3">
        <v>1</v>
      </c>
    </row>
    <row r="284" spans="2:51" ht="18.75">
      <c r="B284" s="104"/>
      <c r="C284" s="1172"/>
      <c r="D284" s="1172"/>
      <c r="E284" s="1172"/>
      <c r="F284" s="1173"/>
      <c r="G284" s="1174"/>
      <c r="H284" s="1175"/>
      <c r="I284" s="1176"/>
      <c r="J284" s="1177"/>
      <c r="K284" s="1547"/>
      <c r="L284" s="1177"/>
      <c r="M284" s="1548"/>
      <c r="N284" s="1549"/>
      <c r="O284" s="1178"/>
      <c r="P284" s="1179"/>
      <c r="R284" s="104"/>
      <c r="S284" s="1172"/>
      <c r="T284" s="1172"/>
      <c r="U284" s="1172"/>
      <c r="V284" s="1173"/>
      <c r="W284" s="1174"/>
      <c r="X284" s="1175"/>
      <c r="Y284" s="1176"/>
      <c r="Z284" s="1177"/>
      <c r="AA284" s="1547"/>
      <c r="AB284" s="1177"/>
      <c r="AC284" s="1548"/>
      <c r="AD284" s="1549"/>
      <c r="AE284" s="1178"/>
      <c r="AF284" s="1179"/>
      <c r="AH284" s="104"/>
      <c r="AI284" s="1172"/>
      <c r="AJ284" s="1172"/>
      <c r="AK284" s="1172"/>
      <c r="AL284" s="1173"/>
      <c r="AM284" s="1174"/>
      <c r="AN284" s="1175"/>
      <c r="AO284" s="1176"/>
      <c r="AP284" s="1177"/>
      <c r="AQ284" s="1547"/>
      <c r="AR284" s="1177"/>
      <c r="AS284" s="1548"/>
      <c r="AT284" s="1549"/>
      <c r="AU284" s="1178"/>
      <c r="AV284" s="1179"/>
      <c r="AY284" s="3">
        <v>1</v>
      </c>
    </row>
    <row r="285" spans="2:51" ht="18.75">
      <c r="B285" s="104"/>
      <c r="C285" s="1172"/>
      <c r="D285" s="1172"/>
      <c r="E285" s="1172"/>
      <c r="F285" s="1173"/>
      <c r="G285" s="1174"/>
      <c r="H285" s="1175"/>
      <c r="I285" s="1176"/>
      <c r="J285" s="1177"/>
      <c r="K285" s="1547"/>
      <c r="L285" s="1177"/>
      <c r="M285" s="1548"/>
      <c r="N285" s="1549"/>
      <c r="O285" s="1178"/>
      <c r="P285" s="1179"/>
      <c r="R285" s="104"/>
      <c r="S285" s="1172"/>
      <c r="T285" s="1172"/>
      <c r="U285" s="1172"/>
      <c r="V285" s="1173"/>
      <c r="W285" s="1174"/>
      <c r="X285" s="1175"/>
      <c r="Y285" s="1176"/>
      <c r="Z285" s="1177"/>
      <c r="AA285" s="1547"/>
      <c r="AB285" s="1177"/>
      <c r="AC285" s="1548"/>
      <c r="AD285" s="1549"/>
      <c r="AE285" s="1178"/>
      <c r="AF285" s="1179"/>
      <c r="AH285" s="104"/>
      <c r="AI285" s="1172"/>
      <c r="AJ285" s="1172"/>
      <c r="AK285" s="1172"/>
      <c r="AL285" s="1173"/>
      <c r="AM285" s="1174"/>
      <c r="AN285" s="1175"/>
      <c r="AO285" s="1176"/>
      <c r="AP285" s="1177"/>
      <c r="AQ285" s="1547"/>
      <c r="AR285" s="1177"/>
      <c r="AS285" s="1548"/>
      <c r="AT285" s="1549"/>
      <c r="AU285" s="1178"/>
      <c r="AV285" s="1179"/>
      <c r="AY285" s="3">
        <v>1</v>
      </c>
    </row>
    <row r="286" spans="2:51" ht="18.75">
      <c r="B286" s="104"/>
      <c r="C286" s="1172"/>
      <c r="D286" s="1172"/>
      <c r="E286" s="1172"/>
      <c r="F286" s="1173"/>
      <c r="G286" s="1174"/>
      <c r="H286" s="1175"/>
      <c r="I286" s="1176"/>
      <c r="J286" s="1177"/>
      <c r="K286" s="1547"/>
      <c r="L286" s="1177"/>
      <c r="M286" s="1548"/>
      <c r="N286" s="1549"/>
      <c r="O286" s="1178"/>
      <c r="P286" s="1179"/>
      <c r="R286" s="104"/>
      <c r="S286" s="1172"/>
      <c r="T286" s="1172"/>
      <c r="U286" s="1172"/>
      <c r="V286" s="1173"/>
      <c r="W286" s="1174"/>
      <c r="X286" s="1175"/>
      <c r="Y286" s="1176"/>
      <c r="Z286" s="1177"/>
      <c r="AA286" s="1547"/>
      <c r="AB286" s="1177"/>
      <c r="AC286" s="1548"/>
      <c r="AD286" s="1549"/>
      <c r="AE286" s="1178"/>
      <c r="AF286" s="1179"/>
      <c r="AH286" s="104"/>
      <c r="AI286" s="1172"/>
      <c r="AJ286" s="1172"/>
      <c r="AK286" s="1172"/>
      <c r="AL286" s="1173"/>
      <c r="AM286" s="1174"/>
      <c r="AN286" s="1175"/>
      <c r="AO286" s="1176"/>
      <c r="AP286" s="1177"/>
      <c r="AQ286" s="1547"/>
      <c r="AR286" s="1177"/>
      <c r="AS286" s="1548"/>
      <c r="AT286" s="1549"/>
      <c r="AU286" s="1178"/>
      <c r="AV286" s="1179"/>
      <c r="AY286" s="3">
        <v>1</v>
      </c>
    </row>
    <row r="287" spans="2:51" ht="18.75">
      <c r="B287" s="104"/>
      <c r="C287" s="1172"/>
      <c r="D287" s="1172"/>
      <c r="E287" s="1172"/>
      <c r="F287" s="1173"/>
      <c r="G287" s="1174"/>
      <c r="H287" s="1175"/>
      <c r="I287" s="1176"/>
      <c r="J287" s="1177"/>
      <c r="K287" s="1547"/>
      <c r="L287" s="1177"/>
      <c r="M287" s="1548"/>
      <c r="N287" s="1549"/>
      <c r="O287" s="1178"/>
      <c r="P287" s="1179"/>
      <c r="R287" s="104"/>
      <c r="S287" s="1172"/>
      <c r="T287" s="1172"/>
      <c r="U287" s="1172"/>
      <c r="V287" s="1173"/>
      <c r="W287" s="1174"/>
      <c r="X287" s="1175"/>
      <c r="Y287" s="1176"/>
      <c r="Z287" s="1177"/>
      <c r="AA287" s="1547"/>
      <c r="AB287" s="1177"/>
      <c r="AC287" s="1548"/>
      <c r="AD287" s="1549"/>
      <c r="AE287" s="1178"/>
      <c r="AF287" s="1179"/>
      <c r="AH287" s="104"/>
      <c r="AI287" s="1172"/>
      <c r="AJ287" s="1172"/>
      <c r="AK287" s="1172"/>
      <c r="AL287" s="1173"/>
      <c r="AM287" s="1174"/>
      <c r="AN287" s="1175"/>
      <c r="AO287" s="1176"/>
      <c r="AP287" s="1177"/>
      <c r="AQ287" s="1547"/>
      <c r="AR287" s="1177"/>
      <c r="AS287" s="1548"/>
      <c r="AT287" s="1549"/>
      <c r="AU287" s="1178"/>
      <c r="AV287" s="1179"/>
      <c r="AY287" s="3">
        <v>1</v>
      </c>
    </row>
    <row r="288" spans="2:51" ht="18.75">
      <c r="B288" s="104"/>
      <c r="C288" s="1172"/>
      <c r="D288" s="1172"/>
      <c r="E288" s="1172"/>
      <c r="F288" s="1173"/>
      <c r="G288" s="1174"/>
      <c r="H288" s="1175"/>
      <c r="I288" s="1176"/>
      <c r="J288" s="1177"/>
      <c r="K288" s="1547"/>
      <c r="L288" s="1177"/>
      <c r="M288" s="1548"/>
      <c r="N288" s="1549"/>
      <c r="O288" s="1178"/>
      <c r="P288" s="1179"/>
      <c r="R288" s="104"/>
      <c r="S288" s="1172"/>
      <c r="T288" s="1172"/>
      <c r="U288" s="1172"/>
      <c r="V288" s="1173"/>
      <c r="W288" s="1174"/>
      <c r="X288" s="1175"/>
      <c r="Y288" s="1176"/>
      <c r="Z288" s="1177"/>
      <c r="AA288" s="1547"/>
      <c r="AB288" s="1177"/>
      <c r="AC288" s="1548"/>
      <c r="AD288" s="1549"/>
      <c r="AE288" s="1178"/>
      <c r="AF288" s="1179"/>
      <c r="AH288" s="104"/>
      <c r="AI288" s="1172"/>
      <c r="AJ288" s="1172"/>
      <c r="AK288" s="1172"/>
      <c r="AL288" s="1173"/>
      <c r="AM288" s="1174"/>
      <c r="AN288" s="1175"/>
      <c r="AO288" s="1176"/>
      <c r="AP288" s="1177"/>
      <c r="AQ288" s="1547"/>
      <c r="AR288" s="1177"/>
      <c r="AS288" s="1548"/>
      <c r="AT288" s="1549"/>
      <c r="AU288" s="1178"/>
      <c r="AV288" s="1179"/>
      <c r="AY288" s="3">
        <v>1</v>
      </c>
    </row>
    <row r="289" spans="2:51" ht="18.75">
      <c r="B289" s="104"/>
      <c r="C289" s="1172"/>
      <c r="D289" s="1172"/>
      <c r="E289" s="1172"/>
      <c r="F289" s="1173"/>
      <c r="G289" s="1174"/>
      <c r="H289" s="1175"/>
      <c r="I289" s="1176"/>
      <c r="J289" s="1177"/>
      <c r="K289" s="1547"/>
      <c r="L289" s="1177"/>
      <c r="M289" s="1548"/>
      <c r="N289" s="1549"/>
      <c r="O289" s="1178"/>
      <c r="P289" s="1179"/>
      <c r="R289" s="104"/>
      <c r="S289" s="1172"/>
      <c r="T289" s="1172"/>
      <c r="U289" s="1172"/>
      <c r="V289" s="1173"/>
      <c r="W289" s="1174"/>
      <c r="X289" s="1175"/>
      <c r="Y289" s="1176"/>
      <c r="Z289" s="1177"/>
      <c r="AA289" s="1547"/>
      <c r="AB289" s="1177"/>
      <c r="AC289" s="1548"/>
      <c r="AD289" s="1549"/>
      <c r="AE289" s="1178"/>
      <c r="AF289" s="1179"/>
      <c r="AH289" s="104"/>
      <c r="AI289" s="1172"/>
      <c r="AJ289" s="1172"/>
      <c r="AK289" s="1172"/>
      <c r="AL289" s="1173"/>
      <c r="AM289" s="1174"/>
      <c r="AN289" s="1175"/>
      <c r="AO289" s="1176"/>
      <c r="AP289" s="1177"/>
      <c r="AQ289" s="1547"/>
      <c r="AR289" s="1177"/>
      <c r="AS289" s="1548"/>
      <c r="AT289" s="1549"/>
      <c r="AU289" s="1178"/>
      <c r="AV289" s="1179"/>
      <c r="AY289" s="3">
        <v>1</v>
      </c>
    </row>
    <row r="290" spans="2:51" ht="18.75">
      <c r="B290" s="104"/>
      <c r="C290" s="1172"/>
      <c r="D290" s="1172"/>
      <c r="E290" s="1172"/>
      <c r="F290" s="1173"/>
      <c r="G290" s="1174"/>
      <c r="H290" s="1175"/>
      <c r="I290" s="1176"/>
      <c r="J290" s="1177"/>
      <c r="K290" s="1547"/>
      <c r="L290" s="1177"/>
      <c r="M290" s="1548"/>
      <c r="N290" s="1549"/>
      <c r="O290" s="1178"/>
      <c r="P290" s="1179"/>
      <c r="R290" s="104"/>
      <c r="S290" s="1172"/>
      <c r="T290" s="1172"/>
      <c r="U290" s="1172"/>
      <c r="V290" s="1173"/>
      <c r="W290" s="1174"/>
      <c r="X290" s="1175"/>
      <c r="Y290" s="1176"/>
      <c r="Z290" s="1177"/>
      <c r="AA290" s="1547"/>
      <c r="AB290" s="1177"/>
      <c r="AC290" s="1548"/>
      <c r="AD290" s="1549"/>
      <c r="AE290" s="1178"/>
      <c r="AF290" s="1179"/>
      <c r="AH290" s="104"/>
      <c r="AI290" s="1172"/>
      <c r="AJ290" s="1172"/>
      <c r="AK290" s="1172"/>
      <c r="AL290" s="1173"/>
      <c r="AM290" s="1174"/>
      <c r="AN290" s="1175"/>
      <c r="AO290" s="1176"/>
      <c r="AP290" s="1177"/>
      <c r="AQ290" s="1547"/>
      <c r="AR290" s="1177"/>
      <c r="AS290" s="1548"/>
      <c r="AT290" s="1549"/>
      <c r="AU290" s="1178"/>
      <c r="AV290" s="1179"/>
      <c r="AY290" s="3">
        <v>1</v>
      </c>
    </row>
    <row r="291" spans="2:51" ht="18.75">
      <c r="B291" s="104"/>
      <c r="C291" s="1172"/>
      <c r="D291" s="1172"/>
      <c r="E291" s="1172"/>
      <c r="F291" s="1173"/>
      <c r="G291" s="1174"/>
      <c r="H291" s="1175"/>
      <c r="I291" s="1176"/>
      <c r="J291" s="1177"/>
      <c r="K291" s="1547"/>
      <c r="L291" s="1177"/>
      <c r="M291" s="1548"/>
      <c r="N291" s="1549"/>
      <c r="O291" s="1178"/>
      <c r="P291" s="1179"/>
      <c r="R291" s="104"/>
      <c r="S291" s="1172"/>
      <c r="T291" s="1172"/>
      <c r="U291" s="1172"/>
      <c r="V291" s="1173"/>
      <c r="W291" s="1174"/>
      <c r="X291" s="1175"/>
      <c r="Y291" s="1176"/>
      <c r="Z291" s="1177"/>
      <c r="AA291" s="1547"/>
      <c r="AB291" s="1177"/>
      <c r="AC291" s="1548"/>
      <c r="AD291" s="1549"/>
      <c r="AE291" s="1178"/>
      <c r="AF291" s="1179"/>
      <c r="AH291" s="104"/>
      <c r="AI291" s="1172"/>
      <c r="AJ291" s="1172"/>
      <c r="AK291" s="1172"/>
      <c r="AL291" s="1173"/>
      <c r="AM291" s="1174"/>
      <c r="AN291" s="1175"/>
      <c r="AO291" s="1176"/>
      <c r="AP291" s="1177"/>
      <c r="AQ291" s="1547"/>
      <c r="AR291" s="1177"/>
      <c r="AS291" s="1548"/>
      <c r="AT291" s="1549"/>
      <c r="AU291" s="1178"/>
      <c r="AV291" s="1179"/>
      <c r="AY291" s="3">
        <v>1</v>
      </c>
    </row>
    <row r="292" spans="2:51" ht="18.75">
      <c r="B292" s="104"/>
      <c r="C292" s="1172"/>
      <c r="D292" s="1172"/>
      <c r="E292" s="1172"/>
      <c r="F292" s="1173"/>
      <c r="G292" s="1174"/>
      <c r="H292" s="1175"/>
      <c r="I292" s="1176"/>
      <c r="J292" s="1177"/>
      <c r="K292" s="1547"/>
      <c r="L292" s="1177"/>
      <c r="M292" s="1548"/>
      <c r="N292" s="1549"/>
      <c r="O292" s="1178"/>
      <c r="P292" s="1179"/>
      <c r="R292" s="104"/>
      <c r="S292" s="1172"/>
      <c r="T292" s="1172"/>
      <c r="U292" s="1172"/>
      <c r="V292" s="1173"/>
      <c r="W292" s="1174"/>
      <c r="X292" s="1175"/>
      <c r="Y292" s="1176"/>
      <c r="Z292" s="1177"/>
      <c r="AA292" s="1547"/>
      <c r="AB292" s="1177"/>
      <c r="AC292" s="1548"/>
      <c r="AD292" s="1549"/>
      <c r="AE292" s="1178"/>
      <c r="AF292" s="1179"/>
      <c r="AH292" s="104"/>
      <c r="AI292" s="1172"/>
      <c r="AJ292" s="1172"/>
      <c r="AK292" s="1172"/>
      <c r="AL292" s="1173"/>
      <c r="AM292" s="1174"/>
      <c r="AN292" s="1175"/>
      <c r="AO292" s="1176"/>
      <c r="AP292" s="1177"/>
      <c r="AQ292" s="1547"/>
      <c r="AR292" s="1177"/>
      <c r="AS292" s="1548"/>
      <c r="AT292" s="1549"/>
      <c r="AU292" s="1178"/>
      <c r="AV292" s="1179"/>
      <c r="AY292" s="3">
        <v>1</v>
      </c>
    </row>
    <row r="293" spans="2:51" ht="18.75">
      <c r="B293" s="104"/>
      <c r="C293" s="1172"/>
      <c r="D293" s="1172"/>
      <c r="E293" s="1172"/>
      <c r="F293" s="1173"/>
      <c r="G293" s="1174"/>
      <c r="H293" s="1175"/>
      <c r="I293" s="1176"/>
      <c r="J293" s="1177"/>
      <c r="K293" s="1547"/>
      <c r="L293" s="1177"/>
      <c r="M293" s="1548"/>
      <c r="N293" s="1549"/>
      <c r="O293" s="1178"/>
      <c r="P293" s="1179"/>
      <c r="R293" s="104"/>
      <c r="S293" s="1172"/>
      <c r="T293" s="1172"/>
      <c r="U293" s="1172"/>
      <c r="V293" s="1173"/>
      <c r="W293" s="1174"/>
      <c r="X293" s="1175"/>
      <c r="Y293" s="1176"/>
      <c r="Z293" s="1177"/>
      <c r="AA293" s="1547"/>
      <c r="AB293" s="1177"/>
      <c r="AC293" s="1548"/>
      <c r="AD293" s="1549"/>
      <c r="AE293" s="1178"/>
      <c r="AF293" s="1179"/>
      <c r="AH293" s="104"/>
      <c r="AI293" s="1172"/>
      <c r="AJ293" s="1172"/>
      <c r="AK293" s="1172"/>
      <c r="AL293" s="1173"/>
      <c r="AM293" s="1174"/>
      <c r="AN293" s="1175"/>
      <c r="AO293" s="1176"/>
      <c r="AP293" s="1177"/>
      <c r="AQ293" s="1547"/>
      <c r="AR293" s="1177"/>
      <c r="AS293" s="1548"/>
      <c r="AT293" s="1549"/>
      <c r="AU293" s="1178"/>
      <c r="AV293" s="1179"/>
      <c r="AY293" s="3">
        <v>1</v>
      </c>
    </row>
    <row r="294" spans="2:51" ht="18.75">
      <c r="B294" s="104"/>
      <c r="C294" s="1172"/>
      <c r="D294" s="1172"/>
      <c r="E294" s="1172"/>
      <c r="F294" s="1173"/>
      <c r="G294" s="1174"/>
      <c r="H294" s="1175"/>
      <c r="I294" s="1176"/>
      <c r="J294" s="1177"/>
      <c r="K294" s="1547"/>
      <c r="L294" s="1177"/>
      <c r="M294" s="1548"/>
      <c r="N294" s="1549"/>
      <c r="O294" s="1178"/>
      <c r="P294" s="1179"/>
      <c r="R294" s="104"/>
      <c r="S294" s="1172"/>
      <c r="T294" s="1172"/>
      <c r="U294" s="1172"/>
      <c r="V294" s="1173"/>
      <c r="W294" s="1174"/>
      <c r="X294" s="1175"/>
      <c r="Y294" s="1176"/>
      <c r="Z294" s="1177"/>
      <c r="AA294" s="1547"/>
      <c r="AB294" s="1177"/>
      <c r="AC294" s="1548"/>
      <c r="AD294" s="1549"/>
      <c r="AE294" s="1178"/>
      <c r="AF294" s="1179"/>
      <c r="AH294" s="104"/>
      <c r="AI294" s="1172"/>
      <c r="AJ294" s="1172"/>
      <c r="AK294" s="1172"/>
      <c r="AL294" s="1173"/>
      <c r="AM294" s="1174"/>
      <c r="AN294" s="1175"/>
      <c r="AO294" s="1176"/>
      <c r="AP294" s="1177"/>
      <c r="AQ294" s="1547"/>
      <c r="AR294" s="1177"/>
      <c r="AS294" s="1548"/>
      <c r="AT294" s="1549"/>
      <c r="AU294" s="1178"/>
      <c r="AV294" s="1179"/>
      <c r="AY294" s="3">
        <v>1</v>
      </c>
    </row>
    <row r="295" spans="2:51" ht="18.75">
      <c r="B295" s="104"/>
      <c r="C295" s="1172"/>
      <c r="D295" s="1172"/>
      <c r="E295" s="1172"/>
      <c r="F295" s="1173"/>
      <c r="G295" s="1174"/>
      <c r="H295" s="1175"/>
      <c r="I295" s="1176"/>
      <c r="J295" s="1177"/>
      <c r="K295" s="1547"/>
      <c r="L295" s="1177"/>
      <c r="M295" s="1548"/>
      <c r="N295" s="1549"/>
      <c r="O295" s="1178"/>
      <c r="P295" s="1179"/>
      <c r="R295" s="104"/>
      <c r="S295" s="1172"/>
      <c r="T295" s="1172"/>
      <c r="U295" s="1172"/>
      <c r="V295" s="1173"/>
      <c r="W295" s="1174"/>
      <c r="X295" s="1175"/>
      <c r="Y295" s="1176"/>
      <c r="Z295" s="1177"/>
      <c r="AA295" s="1547"/>
      <c r="AB295" s="1177"/>
      <c r="AC295" s="1548"/>
      <c r="AD295" s="1549"/>
      <c r="AE295" s="1178"/>
      <c r="AF295" s="1179"/>
      <c r="AH295" s="104"/>
      <c r="AI295" s="1172"/>
      <c r="AJ295" s="1172"/>
      <c r="AK295" s="1172"/>
      <c r="AL295" s="1173"/>
      <c r="AM295" s="1174"/>
      <c r="AN295" s="1175"/>
      <c r="AO295" s="1176"/>
      <c r="AP295" s="1177"/>
      <c r="AQ295" s="1547"/>
      <c r="AR295" s="1177"/>
      <c r="AS295" s="1548"/>
      <c r="AT295" s="1549"/>
      <c r="AU295" s="1178"/>
      <c r="AV295" s="1179"/>
      <c r="AY295" s="3">
        <v>1</v>
      </c>
    </row>
    <row r="296" spans="2:51" ht="18.75">
      <c r="B296" s="104"/>
      <c r="C296" s="1172"/>
      <c r="D296" s="1172"/>
      <c r="E296" s="1172"/>
      <c r="F296" s="1173"/>
      <c r="G296" s="1174"/>
      <c r="H296" s="1175"/>
      <c r="I296" s="1176"/>
      <c r="J296" s="1177"/>
      <c r="K296" s="1547"/>
      <c r="L296" s="1177"/>
      <c r="M296" s="1548"/>
      <c r="N296" s="1549"/>
      <c r="O296" s="1178"/>
      <c r="P296" s="1179"/>
      <c r="R296" s="104"/>
      <c r="S296" s="1172"/>
      <c r="T296" s="1172"/>
      <c r="U296" s="1172"/>
      <c r="V296" s="1173"/>
      <c r="W296" s="1174"/>
      <c r="X296" s="1175"/>
      <c r="Y296" s="1176"/>
      <c r="Z296" s="1177"/>
      <c r="AA296" s="1547"/>
      <c r="AB296" s="1177"/>
      <c r="AC296" s="1548"/>
      <c r="AD296" s="1549"/>
      <c r="AE296" s="1178"/>
      <c r="AF296" s="1179"/>
      <c r="AH296" s="104"/>
      <c r="AI296" s="1172"/>
      <c r="AJ296" s="1172"/>
      <c r="AK296" s="1172"/>
      <c r="AL296" s="1173"/>
      <c r="AM296" s="1174"/>
      <c r="AN296" s="1175"/>
      <c r="AO296" s="1176"/>
      <c r="AP296" s="1177"/>
      <c r="AQ296" s="1547"/>
      <c r="AR296" s="1177"/>
      <c r="AS296" s="1548"/>
      <c r="AT296" s="1549"/>
      <c r="AU296" s="1178"/>
      <c r="AV296" s="1179"/>
      <c r="AY296" s="3">
        <v>1</v>
      </c>
    </row>
    <row r="297" spans="2:51" ht="18.75">
      <c r="B297" s="104"/>
      <c r="C297" s="1172"/>
      <c r="D297" s="1172"/>
      <c r="E297" s="1172"/>
      <c r="F297" s="1173"/>
      <c r="G297" s="1174"/>
      <c r="H297" s="1175"/>
      <c r="I297" s="1176"/>
      <c r="J297" s="1177"/>
      <c r="K297" s="1547"/>
      <c r="L297" s="1177"/>
      <c r="M297" s="1548"/>
      <c r="N297" s="1549"/>
      <c r="O297" s="1178"/>
      <c r="P297" s="1179"/>
      <c r="R297" s="104"/>
      <c r="S297" s="1172"/>
      <c r="T297" s="1172"/>
      <c r="U297" s="1172"/>
      <c r="V297" s="1173"/>
      <c r="W297" s="1174"/>
      <c r="X297" s="1175"/>
      <c r="Y297" s="1176"/>
      <c r="Z297" s="1177"/>
      <c r="AA297" s="1547"/>
      <c r="AB297" s="1177"/>
      <c r="AC297" s="1548"/>
      <c r="AD297" s="1549"/>
      <c r="AE297" s="1178"/>
      <c r="AF297" s="1179"/>
      <c r="AH297" s="104"/>
      <c r="AI297" s="1172"/>
      <c r="AJ297" s="1172"/>
      <c r="AK297" s="1172"/>
      <c r="AL297" s="1173"/>
      <c r="AM297" s="1174"/>
      <c r="AN297" s="1175"/>
      <c r="AO297" s="1176"/>
      <c r="AP297" s="1177"/>
      <c r="AQ297" s="1547"/>
      <c r="AR297" s="1177"/>
      <c r="AS297" s="1548"/>
      <c r="AT297" s="1549"/>
      <c r="AU297" s="1178"/>
      <c r="AV297" s="1179"/>
      <c r="AY297" s="3">
        <v>1</v>
      </c>
    </row>
    <row r="298" spans="2:51" ht="18.75">
      <c r="B298" s="104"/>
      <c r="C298" s="1172"/>
      <c r="D298" s="1172"/>
      <c r="E298" s="1172"/>
      <c r="F298" s="1173"/>
      <c r="G298" s="1174"/>
      <c r="H298" s="1175"/>
      <c r="I298" s="1176"/>
      <c r="J298" s="1177"/>
      <c r="K298" s="1547"/>
      <c r="L298" s="1177"/>
      <c r="M298" s="1548"/>
      <c r="N298" s="1549"/>
      <c r="O298" s="1178"/>
      <c r="P298" s="1179"/>
      <c r="R298" s="104"/>
      <c r="S298" s="1172"/>
      <c r="T298" s="1172"/>
      <c r="U298" s="1172"/>
      <c r="V298" s="1173"/>
      <c r="W298" s="1174"/>
      <c r="X298" s="1175"/>
      <c r="Y298" s="1176"/>
      <c r="Z298" s="1177"/>
      <c r="AA298" s="1547"/>
      <c r="AB298" s="1177"/>
      <c r="AC298" s="1548"/>
      <c r="AD298" s="1549"/>
      <c r="AE298" s="1178"/>
      <c r="AF298" s="1179"/>
      <c r="AH298" s="104"/>
      <c r="AI298" s="1172"/>
      <c r="AJ298" s="1172"/>
      <c r="AK298" s="1172"/>
      <c r="AL298" s="1173"/>
      <c r="AM298" s="1174"/>
      <c r="AN298" s="1175"/>
      <c r="AO298" s="1176"/>
      <c r="AP298" s="1177"/>
      <c r="AQ298" s="1547"/>
      <c r="AR298" s="1177"/>
      <c r="AS298" s="1548"/>
      <c r="AT298" s="1549"/>
      <c r="AU298" s="1178"/>
      <c r="AV298" s="1179"/>
      <c r="AY298" s="3">
        <v>1</v>
      </c>
    </row>
    <row r="299" spans="2:51" ht="18.75">
      <c r="B299" s="104"/>
      <c r="C299" s="1172"/>
      <c r="D299" s="1172"/>
      <c r="E299" s="1172"/>
      <c r="F299" s="1173"/>
      <c r="G299" s="1174"/>
      <c r="H299" s="1175"/>
      <c r="I299" s="1176"/>
      <c r="J299" s="1177"/>
      <c r="K299" s="1547"/>
      <c r="L299" s="1177"/>
      <c r="M299" s="1548"/>
      <c r="N299" s="1549"/>
      <c r="O299" s="1178"/>
      <c r="P299" s="1179"/>
      <c r="R299" s="104"/>
      <c r="S299" s="1172"/>
      <c r="T299" s="1172"/>
      <c r="U299" s="1172"/>
      <c r="V299" s="1173"/>
      <c r="W299" s="1174"/>
      <c r="X299" s="1175"/>
      <c r="Y299" s="1176"/>
      <c r="Z299" s="1177"/>
      <c r="AA299" s="1547"/>
      <c r="AB299" s="1177"/>
      <c r="AC299" s="1548"/>
      <c r="AD299" s="1549"/>
      <c r="AE299" s="1178"/>
      <c r="AF299" s="1179"/>
      <c r="AH299" s="104"/>
      <c r="AI299" s="1172"/>
      <c r="AJ299" s="1172"/>
      <c r="AK299" s="1172"/>
      <c r="AL299" s="1173"/>
      <c r="AM299" s="1174"/>
      <c r="AN299" s="1175"/>
      <c r="AO299" s="1176"/>
      <c r="AP299" s="1177"/>
      <c r="AQ299" s="1547"/>
      <c r="AR299" s="1177"/>
      <c r="AS299" s="1548"/>
      <c r="AT299" s="1549"/>
      <c r="AU299" s="1178"/>
      <c r="AV299" s="1179"/>
      <c r="AY299" s="3">
        <v>1</v>
      </c>
    </row>
    <row r="300" spans="2:51" ht="18.75">
      <c r="B300" s="104"/>
      <c r="C300" s="1172"/>
      <c r="D300" s="1172"/>
      <c r="E300" s="1172"/>
      <c r="F300" s="1173"/>
      <c r="G300" s="1174"/>
      <c r="H300" s="1175"/>
      <c r="I300" s="1176"/>
      <c r="J300" s="1177"/>
      <c r="K300" s="1547"/>
      <c r="L300" s="1177"/>
      <c r="M300" s="1548"/>
      <c r="N300" s="1549"/>
      <c r="O300" s="1178"/>
      <c r="P300" s="1179"/>
      <c r="R300" s="104"/>
      <c r="S300" s="1172"/>
      <c r="T300" s="1172"/>
      <c r="U300" s="1172"/>
      <c r="V300" s="1173"/>
      <c r="W300" s="1174"/>
      <c r="X300" s="1175"/>
      <c r="Y300" s="1176"/>
      <c r="Z300" s="1177"/>
      <c r="AA300" s="1547"/>
      <c r="AB300" s="1177"/>
      <c r="AC300" s="1548"/>
      <c r="AD300" s="1549"/>
      <c r="AE300" s="1178"/>
      <c r="AF300" s="1179"/>
      <c r="AH300" s="104"/>
      <c r="AI300" s="1172"/>
      <c r="AJ300" s="1172"/>
      <c r="AK300" s="1172"/>
      <c r="AL300" s="1173"/>
      <c r="AM300" s="1174"/>
      <c r="AN300" s="1175"/>
      <c r="AO300" s="1176"/>
      <c r="AP300" s="1177"/>
      <c r="AQ300" s="1547"/>
      <c r="AR300" s="1177"/>
      <c r="AS300" s="1548"/>
      <c r="AT300" s="1549"/>
      <c r="AU300" s="1178"/>
      <c r="AV300" s="1179"/>
      <c r="AY300" s="3">
        <v>1</v>
      </c>
    </row>
    <row r="301" spans="2:51" ht="18.75">
      <c r="B301" s="104"/>
      <c r="C301" s="1172"/>
      <c r="D301" s="1172"/>
      <c r="E301" s="1172"/>
      <c r="F301" s="1173"/>
      <c r="G301" s="1174"/>
      <c r="H301" s="1175"/>
      <c r="I301" s="1176"/>
      <c r="J301" s="1177"/>
      <c r="K301" s="1547"/>
      <c r="L301" s="1177"/>
      <c r="M301" s="1548"/>
      <c r="N301" s="1549"/>
      <c r="O301" s="1178"/>
      <c r="P301" s="1179"/>
      <c r="R301" s="104"/>
      <c r="S301" s="1172"/>
      <c r="T301" s="1172"/>
      <c r="U301" s="1172"/>
      <c r="V301" s="1173"/>
      <c r="W301" s="1174"/>
      <c r="X301" s="1175"/>
      <c r="Y301" s="1176"/>
      <c r="Z301" s="1177"/>
      <c r="AA301" s="1547"/>
      <c r="AB301" s="1177"/>
      <c r="AC301" s="1548"/>
      <c r="AD301" s="1549"/>
      <c r="AE301" s="1178"/>
      <c r="AF301" s="1179"/>
      <c r="AH301" s="104"/>
      <c r="AI301" s="1172"/>
      <c r="AJ301" s="1172"/>
      <c r="AK301" s="1172"/>
      <c r="AL301" s="1173"/>
      <c r="AM301" s="1174"/>
      <c r="AN301" s="1175"/>
      <c r="AO301" s="1176"/>
      <c r="AP301" s="1177"/>
      <c r="AQ301" s="1547"/>
      <c r="AR301" s="1177"/>
      <c r="AS301" s="1548"/>
      <c r="AT301" s="1549"/>
      <c r="AU301" s="1178"/>
      <c r="AV301" s="1179"/>
      <c r="AY301" s="3">
        <v>1</v>
      </c>
    </row>
    <row r="302" spans="2:51" ht="18.75">
      <c r="B302" s="104"/>
      <c r="C302" s="1172"/>
      <c r="D302" s="1172"/>
      <c r="E302" s="1172"/>
      <c r="F302" s="1173"/>
      <c r="G302" s="1174"/>
      <c r="H302" s="1175"/>
      <c r="I302" s="1176"/>
      <c r="J302" s="1177"/>
      <c r="K302" s="1547"/>
      <c r="L302" s="1177"/>
      <c r="M302" s="1548"/>
      <c r="N302" s="1549"/>
      <c r="O302" s="1178"/>
      <c r="P302" s="1179"/>
      <c r="R302" s="104"/>
      <c r="S302" s="1172"/>
      <c r="T302" s="1172"/>
      <c r="U302" s="1172"/>
      <c r="V302" s="1173"/>
      <c r="W302" s="1174"/>
      <c r="X302" s="1175"/>
      <c r="Y302" s="1176"/>
      <c r="Z302" s="1177"/>
      <c r="AA302" s="1547"/>
      <c r="AB302" s="1177"/>
      <c r="AC302" s="1548"/>
      <c r="AD302" s="1549"/>
      <c r="AE302" s="1178"/>
      <c r="AF302" s="1179"/>
      <c r="AH302" s="104"/>
      <c r="AI302" s="1172"/>
      <c r="AJ302" s="1172"/>
      <c r="AK302" s="1172"/>
      <c r="AL302" s="1173"/>
      <c r="AM302" s="1174"/>
      <c r="AN302" s="1175"/>
      <c r="AO302" s="1176"/>
      <c r="AP302" s="1177"/>
      <c r="AQ302" s="1547"/>
      <c r="AR302" s="1177"/>
      <c r="AS302" s="1548"/>
      <c r="AT302" s="1549"/>
      <c r="AU302" s="1178"/>
      <c r="AV302" s="1179"/>
      <c r="AY302" s="3">
        <v>1</v>
      </c>
    </row>
    <row r="303" spans="2:51" ht="18.75">
      <c r="B303" s="104"/>
      <c r="C303" s="1172"/>
      <c r="D303" s="1172"/>
      <c r="E303" s="1172"/>
      <c r="F303" s="1173"/>
      <c r="G303" s="1174"/>
      <c r="H303" s="1175"/>
      <c r="I303" s="1176"/>
      <c r="J303" s="1177"/>
      <c r="K303" s="1547"/>
      <c r="L303" s="1177"/>
      <c r="M303" s="1548"/>
      <c r="N303" s="1549"/>
      <c r="O303" s="1178"/>
      <c r="P303" s="1179"/>
      <c r="R303" s="104"/>
      <c r="S303" s="1172"/>
      <c r="T303" s="1172"/>
      <c r="U303" s="1172"/>
      <c r="V303" s="1173"/>
      <c r="W303" s="1174"/>
      <c r="X303" s="1175"/>
      <c r="Y303" s="1176"/>
      <c r="Z303" s="1177"/>
      <c r="AA303" s="1547"/>
      <c r="AB303" s="1177"/>
      <c r="AC303" s="1548"/>
      <c r="AD303" s="1549"/>
      <c r="AE303" s="1178"/>
      <c r="AF303" s="1179"/>
      <c r="AH303" s="104"/>
      <c r="AI303" s="1172"/>
      <c r="AJ303" s="1172"/>
      <c r="AK303" s="1172"/>
      <c r="AL303" s="1173"/>
      <c r="AM303" s="1174"/>
      <c r="AN303" s="1175"/>
      <c r="AO303" s="1176"/>
      <c r="AP303" s="1177"/>
      <c r="AQ303" s="1547"/>
      <c r="AR303" s="1177"/>
      <c r="AS303" s="1548"/>
      <c r="AT303" s="1549"/>
      <c r="AU303" s="1178"/>
      <c r="AV303" s="1179"/>
      <c r="AY303" s="3">
        <v>1</v>
      </c>
    </row>
    <row r="304" spans="2:51" ht="18.75">
      <c r="B304" s="104"/>
      <c r="C304" s="1172"/>
      <c r="D304" s="1172"/>
      <c r="E304" s="1172"/>
      <c r="F304" s="1173"/>
      <c r="G304" s="1174"/>
      <c r="H304" s="1175"/>
      <c r="I304" s="1176"/>
      <c r="J304" s="1177"/>
      <c r="K304" s="1547"/>
      <c r="L304" s="1177"/>
      <c r="M304" s="1548"/>
      <c r="N304" s="1549"/>
      <c r="O304" s="1178"/>
      <c r="P304" s="1179"/>
      <c r="R304" s="104"/>
      <c r="S304" s="1172"/>
      <c r="T304" s="1172"/>
      <c r="U304" s="1172"/>
      <c r="V304" s="1173"/>
      <c r="W304" s="1174"/>
      <c r="X304" s="1175"/>
      <c r="Y304" s="1176"/>
      <c r="Z304" s="1177"/>
      <c r="AA304" s="1547"/>
      <c r="AB304" s="1177"/>
      <c r="AC304" s="1548"/>
      <c r="AD304" s="1549"/>
      <c r="AE304" s="1178"/>
      <c r="AF304" s="1179"/>
      <c r="AH304" s="104"/>
      <c r="AI304" s="1172"/>
      <c r="AJ304" s="1172"/>
      <c r="AK304" s="1172"/>
      <c r="AL304" s="1173"/>
      <c r="AM304" s="1174"/>
      <c r="AN304" s="1175"/>
      <c r="AO304" s="1176"/>
      <c r="AP304" s="1177"/>
      <c r="AQ304" s="1547"/>
      <c r="AR304" s="1177"/>
      <c r="AS304" s="1548"/>
      <c r="AT304" s="1549"/>
      <c r="AU304" s="1178"/>
      <c r="AV304" s="1179"/>
      <c r="AY304" s="3">
        <v>1</v>
      </c>
    </row>
    <row r="305" spans="2:51" ht="18.75">
      <c r="B305" s="104"/>
      <c r="C305" s="1172"/>
      <c r="D305" s="1172"/>
      <c r="E305" s="1172"/>
      <c r="F305" s="1173"/>
      <c r="G305" s="1174"/>
      <c r="H305" s="1175"/>
      <c r="I305" s="1176"/>
      <c r="J305" s="1177"/>
      <c r="K305" s="1547"/>
      <c r="L305" s="1177"/>
      <c r="M305" s="1548"/>
      <c r="N305" s="1549"/>
      <c r="O305" s="1178"/>
      <c r="P305" s="1179"/>
      <c r="R305" s="104"/>
      <c r="S305" s="1172"/>
      <c r="T305" s="1172"/>
      <c r="U305" s="1172"/>
      <c r="V305" s="1173"/>
      <c r="W305" s="1174"/>
      <c r="X305" s="1175"/>
      <c r="Y305" s="1176"/>
      <c r="Z305" s="1177"/>
      <c r="AA305" s="1547"/>
      <c r="AB305" s="1177"/>
      <c r="AC305" s="1548"/>
      <c r="AD305" s="1549"/>
      <c r="AE305" s="1178"/>
      <c r="AF305" s="1179"/>
      <c r="AH305" s="104"/>
      <c r="AI305" s="1172"/>
      <c r="AJ305" s="1172"/>
      <c r="AK305" s="1172"/>
      <c r="AL305" s="1173"/>
      <c r="AM305" s="1174"/>
      <c r="AN305" s="1175"/>
      <c r="AO305" s="1176"/>
      <c r="AP305" s="1177"/>
      <c r="AQ305" s="1547"/>
      <c r="AR305" s="1177"/>
      <c r="AS305" s="1548"/>
      <c r="AT305" s="1549"/>
      <c r="AU305" s="1178"/>
      <c r="AV305" s="1179"/>
      <c r="AY305" s="3">
        <v>1</v>
      </c>
    </row>
    <row r="306" spans="2:51" ht="18.75">
      <c r="B306" s="104"/>
      <c r="C306" s="1172"/>
      <c r="D306" s="1172"/>
      <c r="E306" s="1172"/>
      <c r="F306" s="1173"/>
      <c r="G306" s="1174"/>
      <c r="H306" s="1175"/>
      <c r="I306" s="1176"/>
      <c r="J306" s="1177"/>
      <c r="K306" s="1547"/>
      <c r="L306" s="1177"/>
      <c r="M306" s="1548"/>
      <c r="N306" s="1549"/>
      <c r="O306" s="1178"/>
      <c r="P306" s="1179"/>
      <c r="R306" s="104"/>
      <c r="S306" s="1172"/>
      <c r="T306" s="1172"/>
      <c r="U306" s="1172"/>
      <c r="V306" s="1173"/>
      <c r="W306" s="1174"/>
      <c r="X306" s="1175"/>
      <c r="Y306" s="1176"/>
      <c r="Z306" s="1177"/>
      <c r="AA306" s="1547"/>
      <c r="AB306" s="1177"/>
      <c r="AC306" s="1548"/>
      <c r="AD306" s="1549"/>
      <c r="AE306" s="1178"/>
      <c r="AF306" s="1179"/>
      <c r="AH306" s="104"/>
      <c r="AI306" s="1172"/>
      <c r="AJ306" s="1172"/>
      <c r="AK306" s="1172"/>
      <c r="AL306" s="1173"/>
      <c r="AM306" s="1174"/>
      <c r="AN306" s="1175"/>
      <c r="AO306" s="1176"/>
      <c r="AP306" s="1177"/>
      <c r="AQ306" s="1547"/>
      <c r="AR306" s="1177"/>
      <c r="AS306" s="1548"/>
      <c r="AT306" s="1549"/>
      <c r="AU306" s="1178"/>
      <c r="AV306" s="1179"/>
      <c r="AY306" s="3">
        <v>1</v>
      </c>
    </row>
    <row r="307" spans="2:51" ht="18.75">
      <c r="B307" s="104"/>
      <c r="C307" s="1172"/>
      <c r="D307" s="1172"/>
      <c r="E307" s="1172"/>
      <c r="F307" s="1173"/>
      <c r="G307" s="1174"/>
      <c r="H307" s="1175"/>
      <c r="I307" s="1176"/>
      <c r="J307" s="1177"/>
      <c r="K307" s="1547"/>
      <c r="L307" s="1177"/>
      <c r="M307" s="1548"/>
      <c r="N307" s="1549"/>
      <c r="O307" s="1178"/>
      <c r="P307" s="1179"/>
      <c r="R307" s="104"/>
      <c r="S307" s="1172"/>
      <c r="T307" s="1172"/>
      <c r="U307" s="1172"/>
      <c r="V307" s="1173"/>
      <c r="W307" s="1174"/>
      <c r="X307" s="1175"/>
      <c r="Y307" s="1176"/>
      <c r="Z307" s="1177"/>
      <c r="AA307" s="1547"/>
      <c r="AB307" s="1177"/>
      <c r="AC307" s="1548"/>
      <c r="AD307" s="1549"/>
      <c r="AE307" s="1178"/>
      <c r="AF307" s="1179"/>
      <c r="AH307" s="104"/>
      <c r="AI307" s="1172"/>
      <c r="AJ307" s="1172"/>
      <c r="AK307" s="1172"/>
      <c r="AL307" s="1173"/>
      <c r="AM307" s="1174"/>
      <c r="AN307" s="1175"/>
      <c r="AO307" s="1176"/>
      <c r="AP307" s="1177"/>
      <c r="AQ307" s="1547"/>
      <c r="AR307" s="1177"/>
      <c r="AS307" s="1548"/>
      <c r="AT307" s="1549"/>
      <c r="AU307" s="1178"/>
      <c r="AV307" s="1179"/>
      <c r="AY307" s="3">
        <v>1</v>
      </c>
    </row>
    <row r="308" spans="2:51" ht="18.75">
      <c r="B308" s="104"/>
      <c r="C308" s="1172"/>
      <c r="D308" s="1172"/>
      <c r="E308" s="1172"/>
      <c r="F308" s="1173"/>
      <c r="G308" s="1174"/>
      <c r="H308" s="1175"/>
      <c r="I308" s="1176"/>
      <c r="J308" s="1177"/>
      <c r="K308" s="1547"/>
      <c r="L308" s="1177"/>
      <c r="M308" s="1548"/>
      <c r="N308" s="1549"/>
      <c r="O308" s="1178"/>
      <c r="P308" s="1179"/>
      <c r="R308" s="104"/>
      <c r="S308" s="1172"/>
      <c r="T308" s="1172"/>
      <c r="U308" s="1172"/>
      <c r="V308" s="1173"/>
      <c r="W308" s="1174"/>
      <c r="X308" s="1175"/>
      <c r="Y308" s="1176"/>
      <c r="Z308" s="1177"/>
      <c r="AA308" s="1547"/>
      <c r="AB308" s="1177"/>
      <c r="AC308" s="1548"/>
      <c r="AD308" s="1549"/>
      <c r="AE308" s="1178"/>
      <c r="AF308" s="1179"/>
      <c r="AH308" s="104"/>
      <c r="AI308" s="1172"/>
      <c r="AJ308" s="1172"/>
      <c r="AK308" s="1172"/>
      <c r="AL308" s="1173"/>
      <c r="AM308" s="1174"/>
      <c r="AN308" s="1175"/>
      <c r="AO308" s="1176"/>
      <c r="AP308" s="1177"/>
      <c r="AQ308" s="1547"/>
      <c r="AR308" s="1177"/>
      <c r="AS308" s="1548"/>
      <c r="AT308" s="1549"/>
      <c r="AU308" s="1178"/>
      <c r="AV308" s="1179"/>
      <c r="AY308" s="3">
        <v>1</v>
      </c>
    </row>
    <row r="309" spans="2:51" ht="18.75">
      <c r="B309" s="104"/>
      <c r="C309" s="1172"/>
      <c r="D309" s="1172"/>
      <c r="E309" s="1172"/>
      <c r="F309" s="1173"/>
      <c r="G309" s="1174"/>
      <c r="H309" s="1175"/>
      <c r="I309" s="1176"/>
      <c r="J309" s="1177"/>
      <c r="K309" s="1547"/>
      <c r="L309" s="1177"/>
      <c r="M309" s="1548"/>
      <c r="N309" s="1549"/>
      <c r="O309" s="1178"/>
      <c r="P309" s="1179"/>
      <c r="R309" s="104"/>
      <c r="S309" s="1172"/>
      <c r="T309" s="1172"/>
      <c r="U309" s="1172"/>
      <c r="V309" s="1173"/>
      <c r="W309" s="1174"/>
      <c r="X309" s="1175"/>
      <c r="Y309" s="1176"/>
      <c r="Z309" s="1177"/>
      <c r="AA309" s="1547"/>
      <c r="AB309" s="1177"/>
      <c r="AC309" s="1548"/>
      <c r="AD309" s="1549"/>
      <c r="AE309" s="1178"/>
      <c r="AF309" s="1179"/>
      <c r="AH309" s="104"/>
      <c r="AI309" s="1172"/>
      <c r="AJ309" s="1172"/>
      <c r="AK309" s="1172"/>
      <c r="AL309" s="1173"/>
      <c r="AM309" s="1174"/>
      <c r="AN309" s="1175"/>
      <c r="AO309" s="1176"/>
      <c r="AP309" s="1177"/>
      <c r="AQ309" s="1547"/>
      <c r="AR309" s="1177"/>
      <c r="AS309" s="1548"/>
      <c r="AT309" s="1549"/>
      <c r="AU309" s="1178"/>
      <c r="AV309" s="1179"/>
      <c r="AY309" s="3">
        <v>1</v>
      </c>
    </row>
    <row r="310" spans="2:51" ht="18.75">
      <c r="B310" s="104"/>
      <c r="C310" s="1172"/>
      <c r="D310" s="1172"/>
      <c r="E310" s="1172"/>
      <c r="F310" s="1173"/>
      <c r="G310" s="1174"/>
      <c r="H310" s="1175"/>
      <c r="I310" s="1176"/>
      <c r="J310" s="1177"/>
      <c r="K310" s="1547"/>
      <c r="L310" s="1177"/>
      <c r="M310" s="1548"/>
      <c r="N310" s="1549"/>
      <c r="O310" s="1178"/>
      <c r="P310" s="1179"/>
      <c r="R310" s="104"/>
      <c r="S310" s="1172"/>
      <c r="T310" s="1172"/>
      <c r="U310" s="1172"/>
      <c r="V310" s="1173"/>
      <c r="W310" s="1174"/>
      <c r="X310" s="1175"/>
      <c r="Y310" s="1176"/>
      <c r="Z310" s="1177"/>
      <c r="AA310" s="1547"/>
      <c r="AB310" s="1177"/>
      <c r="AC310" s="1548"/>
      <c r="AD310" s="1549"/>
      <c r="AE310" s="1178"/>
      <c r="AF310" s="1179"/>
      <c r="AH310" s="104"/>
      <c r="AI310" s="1172"/>
      <c r="AJ310" s="1172"/>
      <c r="AK310" s="1172"/>
      <c r="AL310" s="1173"/>
      <c r="AM310" s="1174"/>
      <c r="AN310" s="1175"/>
      <c r="AO310" s="1176"/>
      <c r="AP310" s="1177"/>
      <c r="AQ310" s="1547"/>
      <c r="AR310" s="1177"/>
      <c r="AS310" s="1548"/>
      <c r="AT310" s="1549"/>
      <c r="AU310" s="1178"/>
      <c r="AV310" s="1179"/>
      <c r="AY310" s="3">
        <v>1</v>
      </c>
    </row>
    <row r="311" spans="2:51" ht="18.75">
      <c r="B311" s="104"/>
      <c r="C311" s="1172"/>
      <c r="D311" s="1172"/>
      <c r="E311" s="1172"/>
      <c r="F311" s="1173"/>
      <c r="G311" s="1174"/>
      <c r="H311" s="1175"/>
      <c r="I311" s="1176"/>
      <c r="J311" s="1177"/>
      <c r="K311" s="1547"/>
      <c r="L311" s="1177"/>
      <c r="M311" s="1548"/>
      <c r="N311" s="1549"/>
      <c r="O311" s="1178"/>
      <c r="P311" s="1179"/>
      <c r="R311" s="104"/>
      <c r="S311" s="1172"/>
      <c r="T311" s="1172"/>
      <c r="U311" s="1172"/>
      <c r="V311" s="1173"/>
      <c r="W311" s="1174"/>
      <c r="X311" s="1175"/>
      <c r="Y311" s="1176"/>
      <c r="Z311" s="1177"/>
      <c r="AA311" s="1547"/>
      <c r="AB311" s="1177"/>
      <c r="AC311" s="1548"/>
      <c r="AD311" s="1549"/>
      <c r="AE311" s="1178"/>
      <c r="AF311" s="1179"/>
      <c r="AH311" s="104"/>
      <c r="AI311" s="1172"/>
      <c r="AJ311" s="1172"/>
      <c r="AK311" s="1172"/>
      <c r="AL311" s="1173"/>
      <c r="AM311" s="1174"/>
      <c r="AN311" s="1175"/>
      <c r="AO311" s="1176"/>
      <c r="AP311" s="1177"/>
      <c r="AQ311" s="1547"/>
      <c r="AR311" s="1177"/>
      <c r="AS311" s="1548"/>
      <c r="AT311" s="1549"/>
      <c r="AU311" s="1178"/>
      <c r="AV311" s="1179"/>
      <c r="AY311" s="3">
        <v>1</v>
      </c>
    </row>
    <row r="312" spans="2:51" ht="18.75">
      <c r="B312" s="104"/>
      <c r="C312" s="1172"/>
      <c r="D312" s="1172"/>
      <c r="E312" s="1172"/>
      <c r="F312" s="1173"/>
      <c r="G312" s="1174"/>
      <c r="H312" s="1175"/>
      <c r="I312" s="1176"/>
      <c r="J312" s="1177"/>
      <c r="K312" s="1547"/>
      <c r="L312" s="1177"/>
      <c r="M312" s="1548"/>
      <c r="N312" s="1549"/>
      <c r="O312" s="1178"/>
      <c r="P312" s="1179"/>
      <c r="R312" s="104"/>
      <c r="S312" s="1172"/>
      <c r="T312" s="1172"/>
      <c r="U312" s="1172"/>
      <c r="V312" s="1173"/>
      <c r="W312" s="1174"/>
      <c r="X312" s="1175"/>
      <c r="Y312" s="1176"/>
      <c r="Z312" s="1177"/>
      <c r="AA312" s="1547"/>
      <c r="AB312" s="1177"/>
      <c r="AC312" s="1548"/>
      <c r="AD312" s="1549"/>
      <c r="AE312" s="1178"/>
      <c r="AF312" s="1179"/>
      <c r="AH312" s="104"/>
      <c r="AI312" s="1172"/>
      <c r="AJ312" s="1172"/>
      <c r="AK312" s="1172"/>
      <c r="AL312" s="1173"/>
      <c r="AM312" s="1174"/>
      <c r="AN312" s="1175"/>
      <c r="AO312" s="1176"/>
      <c r="AP312" s="1177"/>
      <c r="AQ312" s="1547"/>
      <c r="AR312" s="1177"/>
      <c r="AS312" s="1548"/>
      <c r="AT312" s="1549"/>
      <c r="AU312" s="1178"/>
      <c r="AV312" s="1179"/>
      <c r="AY312" s="3">
        <v>1</v>
      </c>
    </row>
    <row r="313" spans="2:51" ht="18.75">
      <c r="B313" s="104"/>
      <c r="C313" s="1172"/>
      <c r="D313" s="1172"/>
      <c r="E313" s="1172"/>
      <c r="F313" s="1173"/>
      <c r="G313" s="1174"/>
      <c r="H313" s="1175"/>
      <c r="I313" s="1176"/>
      <c r="J313" s="1177"/>
      <c r="K313" s="1547"/>
      <c r="L313" s="1177"/>
      <c r="M313" s="1548"/>
      <c r="N313" s="1549"/>
      <c r="O313" s="1178"/>
      <c r="P313" s="1179"/>
      <c r="R313" s="104"/>
      <c r="S313" s="1172"/>
      <c r="T313" s="1172"/>
      <c r="U313" s="1172"/>
      <c r="V313" s="1173"/>
      <c r="W313" s="1174"/>
      <c r="X313" s="1175"/>
      <c r="Y313" s="1176"/>
      <c r="Z313" s="1177"/>
      <c r="AA313" s="1547"/>
      <c r="AB313" s="1177"/>
      <c r="AC313" s="1548"/>
      <c r="AD313" s="1549"/>
      <c r="AE313" s="1178"/>
      <c r="AF313" s="1179"/>
      <c r="AH313" s="104"/>
      <c r="AI313" s="1172"/>
      <c r="AJ313" s="1172"/>
      <c r="AK313" s="1172"/>
      <c r="AL313" s="1173"/>
      <c r="AM313" s="1174"/>
      <c r="AN313" s="1175"/>
      <c r="AO313" s="1176"/>
      <c r="AP313" s="1177"/>
      <c r="AQ313" s="1547"/>
      <c r="AR313" s="1177"/>
      <c r="AS313" s="1548"/>
      <c r="AT313" s="1549"/>
      <c r="AU313" s="1178"/>
      <c r="AV313" s="1179"/>
      <c r="AY313" s="3">
        <v>1</v>
      </c>
    </row>
    <row r="314" spans="2:51" ht="18.75">
      <c r="B314" s="104"/>
      <c r="C314" s="1172"/>
      <c r="D314" s="1172"/>
      <c r="E314" s="1172"/>
      <c r="F314" s="1173"/>
      <c r="G314" s="1174"/>
      <c r="H314" s="1175"/>
      <c r="I314" s="1176"/>
      <c r="J314" s="1177"/>
      <c r="K314" s="1547"/>
      <c r="L314" s="1177"/>
      <c r="M314" s="1548"/>
      <c r="N314" s="1549"/>
      <c r="O314" s="1178"/>
      <c r="P314" s="1179"/>
      <c r="R314" s="104"/>
      <c r="S314" s="1172"/>
      <c r="T314" s="1172"/>
      <c r="U314" s="1172"/>
      <c r="V314" s="1173"/>
      <c r="W314" s="1174"/>
      <c r="X314" s="1175"/>
      <c r="Y314" s="1176"/>
      <c r="Z314" s="1177"/>
      <c r="AA314" s="1547"/>
      <c r="AB314" s="1177"/>
      <c r="AC314" s="1548"/>
      <c r="AD314" s="1549"/>
      <c r="AE314" s="1178"/>
      <c r="AF314" s="1179"/>
      <c r="AH314" s="104"/>
      <c r="AI314" s="1172"/>
      <c r="AJ314" s="1172"/>
      <c r="AK314" s="1172"/>
      <c r="AL314" s="1173"/>
      <c r="AM314" s="1174"/>
      <c r="AN314" s="1175"/>
      <c r="AO314" s="1176"/>
      <c r="AP314" s="1177"/>
      <c r="AQ314" s="1547"/>
      <c r="AR314" s="1177"/>
      <c r="AS314" s="1548"/>
      <c r="AT314" s="1549"/>
      <c r="AU314" s="1178"/>
      <c r="AV314" s="1179"/>
      <c r="AY314" s="3">
        <v>1</v>
      </c>
    </row>
    <row r="315" spans="2:51" ht="18.75">
      <c r="B315" s="104"/>
      <c r="C315" s="1172"/>
      <c r="D315" s="1172"/>
      <c r="E315" s="1172"/>
      <c r="F315" s="1173"/>
      <c r="G315" s="1174"/>
      <c r="H315" s="1175"/>
      <c r="I315" s="1176"/>
      <c r="J315" s="1177"/>
      <c r="K315" s="1547"/>
      <c r="L315" s="1177"/>
      <c r="M315" s="1548"/>
      <c r="N315" s="1549"/>
      <c r="O315" s="1178"/>
      <c r="P315" s="1179"/>
      <c r="R315" s="104"/>
      <c r="S315" s="1172"/>
      <c r="T315" s="1172"/>
      <c r="U315" s="1172"/>
      <c r="V315" s="1173"/>
      <c r="W315" s="1174"/>
      <c r="X315" s="1175"/>
      <c r="Y315" s="1176"/>
      <c r="Z315" s="1177"/>
      <c r="AA315" s="1547"/>
      <c r="AB315" s="1177"/>
      <c r="AC315" s="1548"/>
      <c r="AD315" s="1549"/>
      <c r="AE315" s="1178"/>
      <c r="AF315" s="1179"/>
      <c r="AH315" s="104"/>
      <c r="AI315" s="1172"/>
      <c r="AJ315" s="1172"/>
      <c r="AK315" s="1172"/>
      <c r="AL315" s="1173"/>
      <c r="AM315" s="1174"/>
      <c r="AN315" s="1175"/>
      <c r="AO315" s="1176"/>
      <c r="AP315" s="1177"/>
      <c r="AQ315" s="1547"/>
      <c r="AR315" s="1177"/>
      <c r="AS315" s="1548"/>
      <c r="AT315" s="1549"/>
      <c r="AU315" s="1178"/>
      <c r="AV315" s="1179"/>
      <c r="AY315" s="3">
        <v>1</v>
      </c>
    </row>
    <row r="316" spans="2:51" ht="18.75">
      <c r="B316" s="104"/>
      <c r="C316" s="1172"/>
      <c r="D316" s="1172"/>
      <c r="E316" s="1172"/>
      <c r="F316" s="1173"/>
      <c r="G316" s="1174"/>
      <c r="H316" s="1175"/>
      <c r="I316" s="1176"/>
      <c r="J316" s="1177"/>
      <c r="K316" s="1547"/>
      <c r="L316" s="1177"/>
      <c r="M316" s="1548"/>
      <c r="N316" s="1549"/>
      <c r="O316" s="1178"/>
      <c r="P316" s="1179"/>
      <c r="R316" s="104"/>
      <c r="S316" s="1172"/>
      <c r="T316" s="1172"/>
      <c r="U316" s="1172"/>
      <c r="V316" s="1173"/>
      <c r="W316" s="1174"/>
      <c r="X316" s="1175"/>
      <c r="Y316" s="1176"/>
      <c r="Z316" s="1177"/>
      <c r="AA316" s="1547"/>
      <c r="AB316" s="1177"/>
      <c r="AC316" s="1548"/>
      <c r="AD316" s="1549"/>
      <c r="AE316" s="1178"/>
      <c r="AF316" s="1179"/>
      <c r="AH316" s="104"/>
      <c r="AI316" s="1172"/>
      <c r="AJ316" s="1172"/>
      <c r="AK316" s="1172"/>
      <c r="AL316" s="1173"/>
      <c r="AM316" s="1174"/>
      <c r="AN316" s="1175"/>
      <c r="AO316" s="1176"/>
      <c r="AP316" s="1177"/>
      <c r="AQ316" s="1547"/>
      <c r="AR316" s="1177"/>
      <c r="AS316" s="1548"/>
      <c r="AT316" s="1549"/>
      <c r="AU316" s="1178"/>
      <c r="AV316" s="1179"/>
      <c r="AY316" s="3">
        <v>1</v>
      </c>
    </row>
    <row r="317" spans="2:51" ht="18.75">
      <c r="B317" s="104"/>
      <c r="C317" s="1172"/>
      <c r="D317" s="1172"/>
      <c r="E317" s="1172"/>
      <c r="F317" s="1173"/>
      <c r="G317" s="1174"/>
      <c r="H317" s="1175"/>
      <c r="I317" s="1176"/>
      <c r="J317" s="1177"/>
      <c r="K317" s="1547"/>
      <c r="L317" s="1177"/>
      <c r="M317" s="1548"/>
      <c r="N317" s="1549"/>
      <c r="O317" s="1178"/>
      <c r="P317" s="1179"/>
      <c r="R317" s="104"/>
      <c r="S317" s="1172"/>
      <c r="T317" s="1172"/>
      <c r="U317" s="1172"/>
      <c r="V317" s="1173"/>
      <c r="W317" s="1174"/>
      <c r="X317" s="1175"/>
      <c r="Y317" s="1176"/>
      <c r="Z317" s="1177"/>
      <c r="AA317" s="1547"/>
      <c r="AB317" s="1177"/>
      <c r="AC317" s="1548"/>
      <c r="AD317" s="1549"/>
      <c r="AE317" s="1178"/>
      <c r="AF317" s="1179"/>
      <c r="AH317" s="104"/>
      <c r="AI317" s="1172"/>
      <c r="AJ317" s="1172"/>
      <c r="AK317" s="1172"/>
      <c r="AL317" s="1173"/>
      <c r="AM317" s="1174"/>
      <c r="AN317" s="1175"/>
      <c r="AO317" s="1176"/>
      <c r="AP317" s="1177"/>
      <c r="AQ317" s="1547"/>
      <c r="AR317" s="1177"/>
      <c r="AS317" s="1548"/>
      <c r="AT317" s="1549"/>
      <c r="AU317" s="1178"/>
      <c r="AV317" s="1179"/>
      <c r="AY317" s="3">
        <v>1</v>
      </c>
    </row>
    <row r="318" spans="2:51" ht="18.75">
      <c r="B318" s="104"/>
      <c r="C318" s="1172"/>
      <c r="D318" s="1172"/>
      <c r="E318" s="1172"/>
      <c r="F318" s="1173"/>
      <c r="G318" s="1174"/>
      <c r="H318" s="1175"/>
      <c r="I318" s="1176"/>
      <c r="J318" s="1177"/>
      <c r="K318" s="1547"/>
      <c r="L318" s="1177"/>
      <c r="M318" s="1548"/>
      <c r="N318" s="1549"/>
      <c r="O318" s="1178"/>
      <c r="P318" s="1179"/>
      <c r="R318" s="104"/>
      <c r="S318" s="1172"/>
      <c r="T318" s="1172"/>
      <c r="U318" s="1172"/>
      <c r="V318" s="1173"/>
      <c r="W318" s="1174"/>
      <c r="X318" s="1175"/>
      <c r="Y318" s="1176"/>
      <c r="Z318" s="1177"/>
      <c r="AA318" s="1547"/>
      <c r="AB318" s="1177"/>
      <c r="AC318" s="1548"/>
      <c r="AD318" s="1549"/>
      <c r="AE318" s="1178"/>
      <c r="AF318" s="1179"/>
      <c r="AH318" s="104"/>
      <c r="AI318" s="1172"/>
      <c r="AJ318" s="1172"/>
      <c r="AK318" s="1172"/>
      <c r="AL318" s="1173"/>
      <c r="AM318" s="1174"/>
      <c r="AN318" s="1175"/>
      <c r="AO318" s="1176"/>
      <c r="AP318" s="1177"/>
      <c r="AQ318" s="1547"/>
      <c r="AR318" s="1177"/>
      <c r="AS318" s="1548"/>
      <c r="AT318" s="1549"/>
      <c r="AU318" s="1178"/>
      <c r="AV318" s="1179"/>
      <c r="AY318" s="3">
        <v>1</v>
      </c>
    </row>
    <row r="319" spans="2:51" ht="18.75">
      <c r="B319" s="104"/>
      <c r="C319" s="1172"/>
      <c r="D319" s="1172"/>
      <c r="E319" s="1172"/>
      <c r="F319" s="1173"/>
      <c r="G319" s="1174"/>
      <c r="H319" s="1175"/>
      <c r="I319" s="1176"/>
      <c r="J319" s="1177"/>
      <c r="K319" s="1547"/>
      <c r="L319" s="1177"/>
      <c r="M319" s="1548"/>
      <c r="N319" s="1549"/>
      <c r="O319" s="1178"/>
      <c r="P319" s="1179"/>
      <c r="R319" s="104"/>
      <c r="S319" s="1172"/>
      <c r="T319" s="1172"/>
      <c r="U319" s="1172"/>
      <c r="V319" s="1173"/>
      <c r="W319" s="1174"/>
      <c r="X319" s="1175"/>
      <c r="Y319" s="1176"/>
      <c r="Z319" s="1177"/>
      <c r="AA319" s="1547"/>
      <c r="AB319" s="1177"/>
      <c r="AC319" s="1548"/>
      <c r="AD319" s="1549"/>
      <c r="AE319" s="1178"/>
      <c r="AF319" s="1179"/>
      <c r="AH319" s="104"/>
      <c r="AI319" s="1172"/>
      <c r="AJ319" s="1172"/>
      <c r="AK319" s="1172"/>
      <c r="AL319" s="1173"/>
      <c r="AM319" s="1174"/>
      <c r="AN319" s="1175"/>
      <c r="AO319" s="1176"/>
      <c r="AP319" s="1177"/>
      <c r="AQ319" s="1547"/>
      <c r="AR319" s="1177"/>
      <c r="AS319" s="1548"/>
      <c r="AT319" s="1549"/>
      <c r="AU319" s="1178"/>
      <c r="AV319" s="1179"/>
      <c r="AY319" s="3">
        <v>1</v>
      </c>
    </row>
    <row r="320" spans="2:51" ht="18.75">
      <c r="B320" s="104"/>
      <c r="C320" s="1172"/>
      <c r="D320" s="1172"/>
      <c r="E320" s="1172"/>
      <c r="F320" s="1173"/>
      <c r="G320" s="1174"/>
      <c r="H320" s="1175"/>
      <c r="I320" s="1176"/>
      <c r="J320" s="1177"/>
      <c r="K320" s="1547"/>
      <c r="L320" s="1177"/>
      <c r="M320" s="1548"/>
      <c r="N320" s="1549"/>
      <c r="O320" s="1178"/>
      <c r="P320" s="1179"/>
      <c r="R320" s="104"/>
      <c r="S320" s="1172"/>
      <c r="T320" s="1172"/>
      <c r="U320" s="1172"/>
      <c r="V320" s="1173"/>
      <c r="W320" s="1174"/>
      <c r="X320" s="1175"/>
      <c r="Y320" s="1176"/>
      <c r="Z320" s="1177"/>
      <c r="AA320" s="1547"/>
      <c r="AB320" s="1177"/>
      <c r="AC320" s="1548"/>
      <c r="AD320" s="1549"/>
      <c r="AE320" s="1178"/>
      <c r="AF320" s="1179"/>
      <c r="AH320" s="104"/>
      <c r="AI320" s="1172"/>
      <c r="AJ320" s="1172"/>
      <c r="AK320" s="1172"/>
      <c r="AL320" s="1173"/>
      <c r="AM320" s="1174"/>
      <c r="AN320" s="1175"/>
      <c r="AO320" s="1176"/>
      <c r="AP320" s="1177"/>
      <c r="AQ320" s="1547"/>
      <c r="AR320" s="1177"/>
      <c r="AS320" s="1548"/>
      <c r="AT320" s="1549"/>
      <c r="AU320" s="1178"/>
      <c r="AV320" s="1179"/>
      <c r="AY320" s="3">
        <v>1</v>
      </c>
    </row>
    <row r="321" spans="2:51" ht="18.75">
      <c r="B321" s="104"/>
      <c r="C321" s="1172"/>
      <c r="D321" s="1172"/>
      <c r="E321" s="1172"/>
      <c r="F321" s="1173"/>
      <c r="G321" s="1174"/>
      <c r="H321" s="1175"/>
      <c r="I321" s="1176"/>
      <c r="J321" s="1177"/>
      <c r="K321" s="1547"/>
      <c r="L321" s="1177"/>
      <c r="M321" s="1548"/>
      <c r="N321" s="1549"/>
      <c r="O321" s="1178"/>
      <c r="P321" s="1179"/>
      <c r="R321" s="104"/>
      <c r="S321" s="1172"/>
      <c r="T321" s="1172"/>
      <c r="U321" s="1172"/>
      <c r="V321" s="1173"/>
      <c r="W321" s="1174"/>
      <c r="X321" s="1175"/>
      <c r="Y321" s="1176"/>
      <c r="Z321" s="1177"/>
      <c r="AA321" s="1547"/>
      <c r="AB321" s="1177"/>
      <c r="AC321" s="1548"/>
      <c r="AD321" s="1549"/>
      <c r="AE321" s="1178"/>
      <c r="AF321" s="1179"/>
      <c r="AH321" s="104"/>
      <c r="AI321" s="1172"/>
      <c r="AJ321" s="1172"/>
      <c r="AK321" s="1172"/>
      <c r="AL321" s="1173"/>
      <c r="AM321" s="1174"/>
      <c r="AN321" s="1175"/>
      <c r="AO321" s="1176"/>
      <c r="AP321" s="1177"/>
      <c r="AQ321" s="1547"/>
      <c r="AR321" s="1177"/>
      <c r="AS321" s="1548"/>
      <c r="AT321" s="1549"/>
      <c r="AU321" s="1178"/>
      <c r="AV321" s="1179"/>
      <c r="AY321" s="3">
        <v>1</v>
      </c>
    </row>
    <row r="322" spans="2:51" ht="18.75">
      <c r="B322" s="104"/>
      <c r="C322" s="1172"/>
      <c r="D322" s="1172"/>
      <c r="E322" s="1172"/>
      <c r="F322" s="1173"/>
      <c r="G322" s="1174"/>
      <c r="H322" s="1175"/>
      <c r="I322" s="1176"/>
      <c r="J322" s="1177"/>
      <c r="K322" s="1547"/>
      <c r="L322" s="1177"/>
      <c r="M322" s="1548"/>
      <c r="N322" s="1549"/>
      <c r="O322" s="1178"/>
      <c r="P322" s="1179"/>
      <c r="R322" s="104"/>
      <c r="S322" s="1172"/>
      <c r="T322" s="1172"/>
      <c r="U322" s="1172"/>
      <c r="V322" s="1173"/>
      <c r="W322" s="1174"/>
      <c r="X322" s="1175"/>
      <c r="Y322" s="1176"/>
      <c r="Z322" s="1177"/>
      <c r="AA322" s="1547"/>
      <c r="AB322" s="1177"/>
      <c r="AC322" s="1548"/>
      <c r="AD322" s="1549"/>
      <c r="AE322" s="1178"/>
      <c r="AF322" s="1179"/>
      <c r="AH322" s="104"/>
      <c r="AI322" s="1172"/>
      <c r="AJ322" s="1172"/>
      <c r="AK322" s="1172"/>
      <c r="AL322" s="1173"/>
      <c r="AM322" s="1174"/>
      <c r="AN322" s="1175"/>
      <c r="AO322" s="1176"/>
      <c r="AP322" s="1177"/>
      <c r="AQ322" s="1547"/>
      <c r="AR322" s="1177"/>
      <c r="AS322" s="1548"/>
      <c r="AT322" s="1549"/>
      <c r="AU322" s="1178"/>
      <c r="AV322" s="1179"/>
      <c r="AY322" s="3">
        <v>1</v>
      </c>
    </row>
    <row r="323" spans="2:51" ht="18.75">
      <c r="B323" s="104"/>
      <c r="C323" s="1172"/>
      <c r="D323" s="1172"/>
      <c r="E323" s="1172"/>
      <c r="F323" s="1173"/>
      <c r="G323" s="1174"/>
      <c r="H323" s="1175"/>
      <c r="I323" s="1176"/>
      <c r="J323" s="1177"/>
      <c r="K323" s="1547"/>
      <c r="L323" s="1177"/>
      <c r="M323" s="1548"/>
      <c r="N323" s="1549"/>
      <c r="O323" s="1178"/>
      <c r="P323" s="1179"/>
      <c r="R323" s="104"/>
      <c r="S323" s="1172"/>
      <c r="T323" s="1172"/>
      <c r="U323" s="1172"/>
      <c r="V323" s="1173"/>
      <c r="W323" s="1174"/>
      <c r="X323" s="1175"/>
      <c r="Y323" s="1176"/>
      <c r="Z323" s="1177"/>
      <c r="AA323" s="1547"/>
      <c r="AB323" s="1177"/>
      <c r="AC323" s="1548"/>
      <c r="AD323" s="1549"/>
      <c r="AE323" s="1178"/>
      <c r="AF323" s="1179"/>
      <c r="AH323" s="104"/>
      <c r="AI323" s="1172"/>
      <c r="AJ323" s="1172"/>
      <c r="AK323" s="1172"/>
      <c r="AL323" s="1173"/>
      <c r="AM323" s="1174"/>
      <c r="AN323" s="1175"/>
      <c r="AO323" s="1176"/>
      <c r="AP323" s="1177"/>
      <c r="AQ323" s="1547"/>
      <c r="AR323" s="1177"/>
      <c r="AS323" s="1548"/>
      <c r="AT323" s="1549"/>
      <c r="AU323" s="1178"/>
      <c r="AV323" s="1179"/>
      <c r="AY323" s="3">
        <v>1</v>
      </c>
    </row>
    <row r="324" spans="2:51" ht="18.75">
      <c r="B324" s="104"/>
      <c r="C324" s="1172"/>
      <c r="D324" s="1172"/>
      <c r="E324" s="1172"/>
      <c r="F324" s="1173"/>
      <c r="G324" s="1174"/>
      <c r="H324" s="1175"/>
      <c r="I324" s="1176"/>
      <c r="J324" s="1177"/>
      <c r="K324" s="1547"/>
      <c r="L324" s="1177"/>
      <c r="M324" s="1548"/>
      <c r="N324" s="1549"/>
      <c r="O324" s="1178"/>
      <c r="P324" s="1179"/>
      <c r="R324" s="104"/>
      <c r="S324" s="1172"/>
      <c r="T324" s="1172"/>
      <c r="U324" s="1172"/>
      <c r="V324" s="1173"/>
      <c r="W324" s="1174"/>
      <c r="X324" s="1175"/>
      <c r="Y324" s="1176"/>
      <c r="Z324" s="1177"/>
      <c r="AA324" s="1547"/>
      <c r="AB324" s="1177"/>
      <c r="AC324" s="1548"/>
      <c r="AD324" s="1549"/>
      <c r="AE324" s="1178"/>
      <c r="AF324" s="1179"/>
      <c r="AH324" s="104"/>
      <c r="AI324" s="1172"/>
      <c r="AJ324" s="1172"/>
      <c r="AK324" s="1172"/>
      <c r="AL324" s="1173"/>
      <c r="AM324" s="1174"/>
      <c r="AN324" s="1175"/>
      <c r="AO324" s="1176"/>
      <c r="AP324" s="1177"/>
      <c r="AQ324" s="1547"/>
      <c r="AR324" s="1177"/>
      <c r="AS324" s="1548"/>
      <c r="AT324" s="1549"/>
      <c r="AU324" s="1178"/>
      <c r="AV324" s="1179"/>
      <c r="AY324" s="3">
        <v>1</v>
      </c>
    </row>
    <row r="325" spans="2:51" ht="18.75">
      <c r="B325" s="104"/>
      <c r="C325" s="1172"/>
      <c r="D325" s="1172"/>
      <c r="E325" s="1172"/>
      <c r="F325" s="1173"/>
      <c r="G325" s="1174"/>
      <c r="H325" s="1175"/>
      <c r="I325" s="1176"/>
      <c r="J325" s="1177"/>
      <c r="K325" s="1547"/>
      <c r="L325" s="1177"/>
      <c r="M325" s="1548"/>
      <c r="N325" s="1549"/>
      <c r="O325" s="1178"/>
      <c r="P325" s="1179"/>
      <c r="R325" s="104"/>
      <c r="S325" s="1172"/>
      <c r="T325" s="1172"/>
      <c r="U325" s="1172"/>
      <c r="V325" s="1173"/>
      <c r="W325" s="1174"/>
      <c r="X325" s="1175"/>
      <c r="Y325" s="1176"/>
      <c r="Z325" s="1177"/>
      <c r="AA325" s="1547"/>
      <c r="AB325" s="1177"/>
      <c r="AC325" s="1548"/>
      <c r="AD325" s="1549"/>
      <c r="AE325" s="1178"/>
      <c r="AF325" s="1179"/>
      <c r="AH325" s="104"/>
      <c r="AI325" s="1172"/>
      <c r="AJ325" s="1172"/>
      <c r="AK325" s="1172"/>
      <c r="AL325" s="1173"/>
      <c r="AM325" s="1174"/>
      <c r="AN325" s="1175"/>
      <c r="AO325" s="1176"/>
      <c r="AP325" s="1177"/>
      <c r="AQ325" s="1547"/>
      <c r="AR325" s="1177"/>
      <c r="AS325" s="1548"/>
      <c r="AT325" s="1549"/>
      <c r="AU325" s="1178"/>
      <c r="AV325" s="1179"/>
      <c r="AY325" s="3">
        <v>1</v>
      </c>
    </row>
    <row r="326" spans="2:51" ht="18.75">
      <c r="B326" s="104"/>
      <c r="C326" s="1172"/>
      <c r="D326" s="1172"/>
      <c r="E326" s="1172"/>
      <c r="F326" s="1173"/>
      <c r="G326" s="1174"/>
      <c r="H326" s="1175"/>
      <c r="I326" s="1176"/>
      <c r="J326" s="1177"/>
      <c r="K326" s="1547"/>
      <c r="L326" s="1177"/>
      <c r="M326" s="1548"/>
      <c r="N326" s="1549"/>
      <c r="O326" s="1178"/>
      <c r="P326" s="1179"/>
      <c r="R326" s="104"/>
      <c r="S326" s="1172"/>
      <c r="T326" s="1172"/>
      <c r="U326" s="1172"/>
      <c r="V326" s="1173"/>
      <c r="W326" s="1174"/>
      <c r="X326" s="1175"/>
      <c r="Y326" s="1176"/>
      <c r="Z326" s="1177"/>
      <c r="AA326" s="1547"/>
      <c r="AB326" s="1177"/>
      <c r="AC326" s="1548"/>
      <c r="AD326" s="1549"/>
      <c r="AE326" s="1178"/>
      <c r="AF326" s="1179"/>
      <c r="AH326" s="104"/>
      <c r="AI326" s="1172"/>
      <c r="AJ326" s="1172"/>
      <c r="AK326" s="1172"/>
      <c r="AL326" s="1173"/>
      <c r="AM326" s="1174"/>
      <c r="AN326" s="1175"/>
      <c r="AO326" s="1176"/>
      <c r="AP326" s="1177"/>
      <c r="AQ326" s="1547"/>
      <c r="AR326" s="1177"/>
      <c r="AS326" s="1548"/>
      <c r="AT326" s="1549"/>
      <c r="AU326" s="1178"/>
      <c r="AV326" s="1179"/>
      <c r="AY326" s="3">
        <v>1</v>
      </c>
    </row>
    <row r="327" spans="2:51" ht="18.75">
      <c r="B327" s="104"/>
      <c r="C327" s="1172"/>
      <c r="D327" s="1172"/>
      <c r="E327" s="1172"/>
      <c r="F327" s="1173"/>
      <c r="G327" s="1174"/>
      <c r="H327" s="1175"/>
      <c r="I327" s="1176"/>
      <c r="J327" s="1177"/>
      <c r="K327" s="1547"/>
      <c r="L327" s="1177"/>
      <c r="M327" s="1548"/>
      <c r="N327" s="1549"/>
      <c r="O327" s="1178"/>
      <c r="P327" s="1179"/>
      <c r="R327" s="104"/>
      <c r="S327" s="1172"/>
      <c r="T327" s="1172"/>
      <c r="U327" s="1172"/>
      <c r="V327" s="1173"/>
      <c r="W327" s="1174"/>
      <c r="X327" s="1175"/>
      <c r="Y327" s="1176"/>
      <c r="Z327" s="1177"/>
      <c r="AA327" s="1547"/>
      <c r="AB327" s="1177"/>
      <c r="AC327" s="1548"/>
      <c r="AD327" s="1549"/>
      <c r="AE327" s="1178"/>
      <c r="AF327" s="1179"/>
      <c r="AH327" s="104"/>
      <c r="AI327" s="1172"/>
      <c r="AJ327" s="1172"/>
      <c r="AK327" s="1172"/>
      <c r="AL327" s="1173"/>
      <c r="AM327" s="1174"/>
      <c r="AN327" s="1175"/>
      <c r="AO327" s="1176"/>
      <c r="AP327" s="1177"/>
      <c r="AQ327" s="1547"/>
      <c r="AR327" s="1177"/>
      <c r="AS327" s="1548"/>
      <c r="AT327" s="1549"/>
      <c r="AU327" s="1178"/>
      <c r="AV327" s="1179"/>
      <c r="AY327" s="3">
        <v>1</v>
      </c>
    </row>
    <row r="328" spans="2:51" ht="18.75">
      <c r="B328" s="104"/>
      <c r="C328" s="1172"/>
      <c r="D328" s="1172"/>
      <c r="E328" s="1172"/>
      <c r="F328" s="1173"/>
      <c r="G328" s="1174"/>
      <c r="H328" s="1175"/>
      <c r="I328" s="1176"/>
      <c r="J328" s="1177"/>
      <c r="K328" s="1547"/>
      <c r="L328" s="1177"/>
      <c r="M328" s="1548"/>
      <c r="N328" s="1549"/>
      <c r="O328" s="1178"/>
      <c r="P328" s="1179"/>
      <c r="R328" s="104"/>
      <c r="S328" s="1172"/>
      <c r="T328" s="1172"/>
      <c r="U328" s="1172"/>
      <c r="V328" s="1173"/>
      <c r="W328" s="1174"/>
      <c r="X328" s="1175"/>
      <c r="Y328" s="1176"/>
      <c r="Z328" s="1177"/>
      <c r="AA328" s="1547"/>
      <c r="AB328" s="1177"/>
      <c r="AC328" s="1548"/>
      <c r="AD328" s="1549"/>
      <c r="AE328" s="1178"/>
      <c r="AF328" s="1179"/>
      <c r="AH328" s="104"/>
      <c r="AI328" s="1172"/>
      <c r="AJ328" s="1172"/>
      <c r="AK328" s="1172"/>
      <c r="AL328" s="1173"/>
      <c r="AM328" s="1174"/>
      <c r="AN328" s="1175"/>
      <c r="AO328" s="1176"/>
      <c r="AP328" s="1177"/>
      <c r="AQ328" s="1547"/>
      <c r="AR328" s="1177"/>
      <c r="AS328" s="1548"/>
      <c r="AT328" s="1549"/>
      <c r="AU328" s="1178"/>
      <c r="AV328" s="1179"/>
      <c r="AY328" s="3">
        <v>1</v>
      </c>
    </row>
    <row r="329" spans="2:51" ht="18.75">
      <c r="B329" s="104"/>
      <c r="C329" s="1172"/>
      <c r="D329" s="1172"/>
      <c r="E329" s="1172"/>
      <c r="F329" s="1173"/>
      <c r="G329" s="1174"/>
      <c r="H329" s="1175"/>
      <c r="I329" s="1176"/>
      <c r="J329" s="1177"/>
      <c r="K329" s="1547"/>
      <c r="L329" s="1177"/>
      <c r="M329" s="1548"/>
      <c r="N329" s="1549"/>
      <c r="O329" s="1178"/>
      <c r="P329" s="1179"/>
      <c r="R329" s="104"/>
      <c r="S329" s="1172"/>
      <c r="T329" s="1172"/>
      <c r="U329" s="1172"/>
      <c r="V329" s="1173"/>
      <c r="W329" s="1174"/>
      <c r="X329" s="1175"/>
      <c r="Y329" s="1176"/>
      <c r="Z329" s="1177"/>
      <c r="AA329" s="1547"/>
      <c r="AB329" s="1177"/>
      <c r="AC329" s="1548"/>
      <c r="AD329" s="1549"/>
      <c r="AE329" s="1178"/>
      <c r="AF329" s="1179"/>
      <c r="AH329" s="104"/>
      <c r="AI329" s="1172"/>
      <c r="AJ329" s="1172"/>
      <c r="AK329" s="1172"/>
      <c r="AL329" s="1173"/>
      <c r="AM329" s="1174"/>
      <c r="AN329" s="1175"/>
      <c r="AO329" s="1176"/>
      <c r="AP329" s="1177"/>
      <c r="AQ329" s="1547"/>
      <c r="AR329" s="1177"/>
      <c r="AS329" s="1548"/>
      <c r="AT329" s="1549"/>
      <c r="AU329" s="1178"/>
      <c r="AV329" s="1179"/>
      <c r="AY329" s="3">
        <v>1</v>
      </c>
    </row>
    <row r="330" spans="2:51" ht="18.75">
      <c r="B330" s="104"/>
      <c r="C330" s="1172"/>
      <c r="D330" s="1172"/>
      <c r="E330" s="1172"/>
      <c r="F330" s="1173"/>
      <c r="G330" s="1174"/>
      <c r="H330" s="1175"/>
      <c r="I330" s="1176"/>
      <c r="J330" s="1177"/>
      <c r="K330" s="1547"/>
      <c r="L330" s="1177"/>
      <c r="M330" s="1548"/>
      <c r="N330" s="1549"/>
      <c r="O330" s="1178"/>
      <c r="P330" s="1179"/>
      <c r="R330" s="104"/>
      <c r="S330" s="1172"/>
      <c r="T330" s="1172"/>
      <c r="U330" s="1172"/>
      <c r="V330" s="1173"/>
      <c r="W330" s="1174"/>
      <c r="X330" s="1175"/>
      <c r="Y330" s="1176"/>
      <c r="Z330" s="1177"/>
      <c r="AA330" s="1547"/>
      <c r="AB330" s="1177"/>
      <c r="AC330" s="1548"/>
      <c r="AD330" s="1549"/>
      <c r="AE330" s="1178"/>
      <c r="AF330" s="1179"/>
      <c r="AH330" s="104"/>
      <c r="AI330" s="1172"/>
      <c r="AJ330" s="1172"/>
      <c r="AK330" s="1172"/>
      <c r="AL330" s="1173"/>
      <c r="AM330" s="1174"/>
      <c r="AN330" s="1175"/>
      <c r="AO330" s="1176"/>
      <c r="AP330" s="1177"/>
      <c r="AQ330" s="1547"/>
      <c r="AR330" s="1177"/>
      <c r="AS330" s="1548"/>
      <c r="AT330" s="1549"/>
      <c r="AU330" s="1178"/>
      <c r="AV330" s="1179"/>
      <c r="AY330" s="3">
        <v>1</v>
      </c>
    </row>
    <row r="331" spans="2:51" ht="18.75">
      <c r="B331" s="104"/>
      <c r="C331" s="1172"/>
      <c r="D331" s="1172"/>
      <c r="E331" s="1172"/>
      <c r="F331" s="1173"/>
      <c r="G331" s="1174"/>
      <c r="H331" s="1175"/>
      <c r="I331" s="1176"/>
      <c r="J331" s="1177"/>
      <c r="K331" s="1547"/>
      <c r="L331" s="1177"/>
      <c r="M331" s="1548"/>
      <c r="N331" s="1549"/>
      <c r="O331" s="1178"/>
      <c r="P331" s="1179"/>
      <c r="R331" s="104"/>
      <c r="S331" s="1172"/>
      <c r="T331" s="1172"/>
      <c r="U331" s="1172"/>
      <c r="V331" s="1173"/>
      <c r="W331" s="1174"/>
      <c r="X331" s="1175"/>
      <c r="Y331" s="1176"/>
      <c r="Z331" s="1177"/>
      <c r="AA331" s="1547"/>
      <c r="AB331" s="1177"/>
      <c r="AC331" s="1548"/>
      <c r="AD331" s="1549"/>
      <c r="AE331" s="1178"/>
      <c r="AF331" s="1179"/>
      <c r="AH331" s="104"/>
      <c r="AI331" s="1172"/>
      <c r="AJ331" s="1172"/>
      <c r="AK331" s="1172"/>
      <c r="AL331" s="1173"/>
      <c r="AM331" s="1174"/>
      <c r="AN331" s="1175"/>
      <c r="AO331" s="1176"/>
      <c r="AP331" s="1177"/>
      <c r="AQ331" s="1547"/>
      <c r="AR331" s="1177"/>
      <c r="AS331" s="1548"/>
      <c r="AT331" s="1549"/>
      <c r="AU331" s="1178"/>
      <c r="AV331" s="1179"/>
      <c r="AY331" s="3">
        <v>1</v>
      </c>
    </row>
    <row r="332" spans="2:51" ht="18.75">
      <c r="B332" s="104"/>
      <c r="C332" s="1172"/>
      <c r="D332" s="1172"/>
      <c r="E332" s="1172"/>
      <c r="F332" s="1173"/>
      <c r="G332" s="1174"/>
      <c r="H332" s="1175"/>
      <c r="I332" s="1176"/>
      <c r="J332" s="1177"/>
      <c r="K332" s="1547"/>
      <c r="L332" s="1177"/>
      <c r="M332" s="1548"/>
      <c r="N332" s="1549"/>
      <c r="O332" s="1178"/>
      <c r="P332" s="1179"/>
      <c r="R332" s="104"/>
      <c r="S332" s="1172"/>
      <c r="T332" s="1172"/>
      <c r="U332" s="1172"/>
      <c r="V332" s="1173"/>
      <c r="W332" s="1174"/>
      <c r="X332" s="1175"/>
      <c r="Y332" s="1176"/>
      <c r="Z332" s="1177"/>
      <c r="AA332" s="1547"/>
      <c r="AB332" s="1177"/>
      <c r="AC332" s="1548"/>
      <c r="AD332" s="1549"/>
      <c r="AE332" s="1178"/>
      <c r="AF332" s="1179"/>
      <c r="AH332" s="104"/>
      <c r="AI332" s="1172"/>
      <c r="AJ332" s="1172"/>
      <c r="AK332" s="1172"/>
      <c r="AL332" s="1173"/>
      <c r="AM332" s="1174"/>
      <c r="AN332" s="1175"/>
      <c r="AO332" s="1176"/>
      <c r="AP332" s="1177"/>
      <c r="AQ332" s="1547"/>
      <c r="AR332" s="1177"/>
      <c r="AS332" s="1548"/>
      <c r="AT332" s="1549"/>
      <c r="AU332" s="1178"/>
      <c r="AV332" s="1179"/>
      <c r="AY332" s="3">
        <v>1</v>
      </c>
    </row>
    <row r="333" spans="2:51" ht="18.75">
      <c r="B333" s="104"/>
      <c r="C333" s="1172"/>
      <c r="D333" s="1172"/>
      <c r="E333" s="1172"/>
      <c r="F333" s="1173"/>
      <c r="G333" s="1174"/>
      <c r="H333" s="1175"/>
      <c r="I333" s="1176"/>
      <c r="J333" s="1177"/>
      <c r="K333" s="1547"/>
      <c r="L333" s="1177"/>
      <c r="M333" s="1548"/>
      <c r="N333" s="1549"/>
      <c r="O333" s="1178"/>
      <c r="P333" s="1179"/>
      <c r="R333" s="104"/>
      <c r="S333" s="1172"/>
      <c r="T333" s="1172"/>
      <c r="U333" s="1172"/>
      <c r="V333" s="1173"/>
      <c r="W333" s="1174"/>
      <c r="X333" s="1175"/>
      <c r="Y333" s="1176"/>
      <c r="Z333" s="1177"/>
      <c r="AA333" s="1547"/>
      <c r="AB333" s="1177"/>
      <c r="AC333" s="1548"/>
      <c r="AD333" s="1549"/>
      <c r="AE333" s="1178"/>
      <c r="AF333" s="1179"/>
      <c r="AH333" s="104"/>
      <c r="AI333" s="1172"/>
      <c r="AJ333" s="1172"/>
      <c r="AK333" s="1172"/>
      <c r="AL333" s="1173"/>
      <c r="AM333" s="1174"/>
      <c r="AN333" s="1175"/>
      <c r="AO333" s="1176"/>
      <c r="AP333" s="1177"/>
      <c r="AQ333" s="1547"/>
      <c r="AR333" s="1177"/>
      <c r="AS333" s="1548"/>
      <c r="AT333" s="1549"/>
      <c r="AU333" s="1178"/>
      <c r="AV333" s="1179"/>
      <c r="AY333" s="3">
        <v>1</v>
      </c>
    </row>
    <row r="334" spans="2:51" ht="18.75">
      <c r="B334" s="104"/>
      <c r="C334" s="1172"/>
      <c r="D334" s="1172"/>
      <c r="E334" s="1172"/>
      <c r="F334" s="1173"/>
      <c r="G334" s="1174"/>
      <c r="H334" s="1175"/>
      <c r="I334" s="1176"/>
      <c r="J334" s="1177"/>
      <c r="K334" s="1547"/>
      <c r="L334" s="1177"/>
      <c r="M334" s="1548"/>
      <c r="N334" s="1549"/>
      <c r="O334" s="1178"/>
      <c r="P334" s="1179"/>
      <c r="R334" s="104"/>
      <c r="S334" s="1172"/>
      <c r="T334" s="1172"/>
      <c r="U334" s="1172"/>
      <c r="V334" s="1173"/>
      <c r="W334" s="1174"/>
      <c r="X334" s="1175"/>
      <c r="Y334" s="1176"/>
      <c r="Z334" s="1177"/>
      <c r="AA334" s="1547"/>
      <c r="AB334" s="1177"/>
      <c r="AC334" s="1548"/>
      <c r="AD334" s="1549"/>
      <c r="AE334" s="1178"/>
      <c r="AF334" s="1179"/>
      <c r="AH334" s="104"/>
      <c r="AI334" s="1172"/>
      <c r="AJ334" s="1172"/>
      <c r="AK334" s="1172"/>
      <c r="AL334" s="1173"/>
      <c r="AM334" s="1174"/>
      <c r="AN334" s="1175"/>
      <c r="AO334" s="1176"/>
      <c r="AP334" s="1177"/>
      <c r="AQ334" s="1547"/>
      <c r="AR334" s="1177"/>
      <c r="AS334" s="1548"/>
      <c r="AT334" s="1549"/>
      <c r="AU334" s="1178"/>
      <c r="AV334" s="1179"/>
      <c r="AY334" s="3">
        <v>1</v>
      </c>
    </row>
    <row r="335" spans="2:51" ht="18.75">
      <c r="B335" s="104"/>
      <c r="C335" s="1172"/>
      <c r="D335" s="1172"/>
      <c r="E335" s="1172"/>
      <c r="F335" s="1173"/>
      <c r="G335" s="1174"/>
      <c r="H335" s="1175"/>
      <c r="I335" s="1176"/>
      <c r="J335" s="1177"/>
      <c r="K335" s="1547"/>
      <c r="L335" s="1177"/>
      <c r="M335" s="1548"/>
      <c r="N335" s="1549"/>
      <c r="O335" s="1178"/>
      <c r="P335" s="1179"/>
      <c r="R335" s="104"/>
      <c r="S335" s="1172"/>
      <c r="T335" s="1172"/>
      <c r="U335" s="1172"/>
      <c r="V335" s="1173"/>
      <c r="W335" s="1174"/>
      <c r="X335" s="1175"/>
      <c r="Y335" s="1176"/>
      <c r="Z335" s="1177"/>
      <c r="AA335" s="1547"/>
      <c r="AB335" s="1177"/>
      <c r="AC335" s="1548"/>
      <c r="AD335" s="1549"/>
      <c r="AE335" s="1178"/>
      <c r="AF335" s="1179"/>
      <c r="AH335" s="104"/>
      <c r="AI335" s="1172"/>
      <c r="AJ335" s="1172"/>
      <c r="AK335" s="1172"/>
      <c r="AL335" s="1173"/>
      <c r="AM335" s="1174"/>
      <c r="AN335" s="1175"/>
      <c r="AO335" s="1176"/>
      <c r="AP335" s="1177"/>
      <c r="AQ335" s="1547"/>
      <c r="AR335" s="1177"/>
      <c r="AS335" s="1548"/>
      <c r="AT335" s="1549"/>
      <c r="AU335" s="1178"/>
      <c r="AV335" s="1179"/>
      <c r="AY335" s="3">
        <v>1</v>
      </c>
    </row>
    <row r="336" spans="2:51" ht="18.75">
      <c r="B336" s="104"/>
      <c r="C336" s="1172"/>
      <c r="D336" s="1172"/>
      <c r="E336" s="1172"/>
      <c r="F336" s="1173"/>
      <c r="G336" s="1174"/>
      <c r="H336" s="1175"/>
      <c r="I336" s="1176"/>
      <c r="J336" s="1177"/>
      <c r="K336" s="1547"/>
      <c r="L336" s="1177"/>
      <c r="M336" s="1548"/>
      <c r="N336" s="1549"/>
      <c r="O336" s="1178"/>
      <c r="P336" s="1179"/>
      <c r="R336" s="104"/>
      <c r="S336" s="1172"/>
      <c r="T336" s="1172"/>
      <c r="U336" s="1172"/>
      <c r="V336" s="1173"/>
      <c r="W336" s="1174"/>
      <c r="X336" s="1175"/>
      <c r="Y336" s="1176"/>
      <c r="Z336" s="1177"/>
      <c r="AA336" s="1547"/>
      <c r="AB336" s="1177"/>
      <c r="AC336" s="1548"/>
      <c r="AD336" s="1549"/>
      <c r="AE336" s="1178"/>
      <c r="AF336" s="1179"/>
      <c r="AH336" s="104"/>
      <c r="AI336" s="1172"/>
      <c r="AJ336" s="1172"/>
      <c r="AK336" s="1172"/>
      <c r="AL336" s="1173"/>
      <c r="AM336" s="1174"/>
      <c r="AN336" s="1175"/>
      <c r="AO336" s="1176"/>
      <c r="AP336" s="1177"/>
      <c r="AQ336" s="1547"/>
      <c r="AR336" s="1177"/>
      <c r="AS336" s="1548"/>
      <c r="AT336" s="1549"/>
      <c r="AU336" s="1178"/>
      <c r="AV336" s="1179"/>
      <c r="AY336" s="3">
        <v>1</v>
      </c>
    </row>
    <row r="337" spans="1:53" ht="18.75">
      <c r="B337" s="104"/>
      <c r="C337" s="1172"/>
      <c r="D337" s="1172"/>
      <c r="E337" s="1172"/>
      <c r="F337" s="1173"/>
      <c r="G337" s="1174"/>
      <c r="H337" s="1175"/>
      <c r="I337" s="1176"/>
      <c r="J337" s="1177"/>
      <c r="K337" s="1547"/>
      <c r="L337" s="1177"/>
      <c r="M337" s="1548"/>
      <c r="N337" s="1549"/>
      <c r="O337" s="1178"/>
      <c r="P337" s="1179"/>
      <c r="R337" s="104"/>
      <c r="S337" s="1172"/>
      <c r="T337" s="1172"/>
      <c r="U337" s="1172"/>
      <c r="V337" s="1173"/>
      <c r="W337" s="1174"/>
      <c r="X337" s="1175"/>
      <c r="Y337" s="1176"/>
      <c r="Z337" s="1177"/>
      <c r="AA337" s="1547"/>
      <c r="AB337" s="1177"/>
      <c r="AC337" s="1548"/>
      <c r="AD337" s="1549"/>
      <c r="AE337" s="1178"/>
      <c r="AF337" s="1179"/>
      <c r="AH337" s="104"/>
      <c r="AI337" s="1172"/>
      <c r="AJ337" s="1172"/>
      <c r="AK337" s="1172"/>
      <c r="AL337" s="1173"/>
      <c r="AM337" s="1174"/>
      <c r="AN337" s="1175"/>
      <c r="AO337" s="1176"/>
      <c r="AP337" s="1177"/>
      <c r="AQ337" s="1547"/>
      <c r="AR337" s="1177"/>
      <c r="AS337" s="1548"/>
      <c r="AT337" s="1549"/>
      <c r="AU337" s="1178"/>
      <c r="AV337" s="1179"/>
      <c r="AY337" s="3">
        <v>1</v>
      </c>
    </row>
    <row r="338" spans="1:53" ht="18.75">
      <c r="B338" s="104"/>
      <c r="C338" s="1172"/>
      <c r="D338" s="1172"/>
      <c r="E338" s="1172"/>
      <c r="F338" s="1173"/>
      <c r="G338" s="1174"/>
      <c r="H338" s="1175"/>
      <c r="I338" s="1176"/>
      <c r="J338" s="1177"/>
      <c r="K338" s="1547"/>
      <c r="L338" s="1177"/>
      <c r="M338" s="1548"/>
      <c r="N338" s="1549"/>
      <c r="O338" s="1178"/>
      <c r="P338" s="1179"/>
      <c r="R338" s="104"/>
      <c r="S338" s="1172"/>
      <c r="T338" s="1172"/>
      <c r="U338" s="1172"/>
      <c r="V338" s="1173"/>
      <c r="W338" s="1174"/>
      <c r="X338" s="1175"/>
      <c r="Y338" s="1176"/>
      <c r="Z338" s="1177"/>
      <c r="AA338" s="1547"/>
      <c r="AB338" s="1177"/>
      <c r="AC338" s="1548"/>
      <c r="AD338" s="1549"/>
      <c r="AE338" s="1178"/>
      <c r="AF338" s="1179"/>
      <c r="AH338" s="104"/>
      <c r="AI338" s="1172"/>
      <c r="AJ338" s="1172"/>
      <c r="AK338" s="1172"/>
      <c r="AL338" s="1173"/>
      <c r="AM338" s="1174"/>
      <c r="AN338" s="1175"/>
      <c r="AO338" s="1176"/>
      <c r="AP338" s="1177"/>
      <c r="AQ338" s="1547"/>
      <c r="AR338" s="1177"/>
      <c r="AS338" s="1548"/>
      <c r="AT338" s="1549"/>
      <c r="AU338" s="1178"/>
      <c r="AV338" s="1179"/>
      <c r="AY338" s="3">
        <v>1</v>
      </c>
    </row>
    <row r="339" spans="1:53" ht="18.75">
      <c r="B339" s="104"/>
      <c r="C339" s="1172"/>
      <c r="D339" s="1172"/>
      <c r="E339" s="1172"/>
      <c r="F339" s="1173"/>
      <c r="G339" s="1174"/>
      <c r="H339" s="1175"/>
      <c r="I339" s="1176"/>
      <c r="J339" s="1177"/>
      <c r="K339" s="1547"/>
      <c r="L339" s="1177"/>
      <c r="M339" s="1548"/>
      <c r="N339" s="1549"/>
      <c r="O339" s="1178"/>
      <c r="P339" s="1179"/>
      <c r="R339" s="104"/>
      <c r="S339" s="1172"/>
      <c r="T339" s="1172"/>
      <c r="U339" s="1172"/>
      <c r="V339" s="1173"/>
      <c r="W339" s="1174"/>
      <c r="X339" s="1175"/>
      <c r="Y339" s="1176"/>
      <c r="Z339" s="1177"/>
      <c r="AA339" s="1547"/>
      <c r="AB339" s="1177"/>
      <c r="AC339" s="1548"/>
      <c r="AD339" s="1549"/>
      <c r="AE339" s="1178"/>
      <c r="AF339" s="1179"/>
      <c r="AH339" s="104"/>
      <c r="AI339" s="1172"/>
      <c r="AJ339" s="1172"/>
      <c r="AK339" s="1172"/>
      <c r="AL339" s="1173"/>
      <c r="AM339" s="1174"/>
      <c r="AN339" s="1175"/>
      <c r="AO339" s="1176"/>
      <c r="AP339" s="1177"/>
      <c r="AQ339" s="1547"/>
      <c r="AR339" s="1177"/>
      <c r="AS339" s="1548"/>
      <c r="AT339" s="1549"/>
      <c r="AU339" s="1178"/>
      <c r="AV339" s="1179"/>
      <c r="AY339" s="3">
        <v>1</v>
      </c>
    </row>
    <row r="340" spans="1:53" ht="18.75">
      <c r="B340" s="104"/>
      <c r="C340" s="1172"/>
      <c r="D340" s="1172"/>
      <c r="E340" s="1172"/>
      <c r="F340" s="1173"/>
      <c r="G340" s="1174"/>
      <c r="H340" s="1175"/>
      <c r="I340" s="1176"/>
      <c r="J340" s="1177"/>
      <c r="K340" s="1547"/>
      <c r="L340" s="1177"/>
      <c r="M340" s="1548"/>
      <c r="N340" s="1549"/>
      <c r="O340" s="1178"/>
      <c r="P340" s="1179"/>
      <c r="R340" s="104"/>
      <c r="S340" s="1172"/>
      <c r="T340" s="1172"/>
      <c r="U340" s="1172"/>
      <c r="V340" s="1173"/>
      <c r="W340" s="1174"/>
      <c r="X340" s="1175"/>
      <c r="Y340" s="1176"/>
      <c r="Z340" s="1177"/>
      <c r="AA340" s="1547"/>
      <c r="AB340" s="1177"/>
      <c r="AC340" s="1548"/>
      <c r="AD340" s="1549"/>
      <c r="AE340" s="1178"/>
      <c r="AF340" s="1179"/>
      <c r="AH340" s="104"/>
      <c r="AI340" s="1172"/>
      <c r="AJ340" s="1172"/>
      <c r="AK340" s="1172"/>
      <c r="AL340" s="1173"/>
      <c r="AM340" s="1174"/>
      <c r="AN340" s="1175"/>
      <c r="AO340" s="1176"/>
      <c r="AP340" s="1177"/>
      <c r="AQ340" s="1547"/>
      <c r="AR340" s="1177"/>
      <c r="AS340" s="1548"/>
      <c r="AT340" s="1549"/>
      <c r="AU340" s="1178"/>
      <c r="AV340" s="1179"/>
      <c r="AY340" s="3">
        <v>1</v>
      </c>
    </row>
    <row r="341" spans="1:53" ht="18.75">
      <c r="B341" s="104"/>
      <c r="C341" s="1172"/>
      <c r="D341" s="1172"/>
      <c r="E341" s="1172"/>
      <c r="F341" s="1173"/>
      <c r="G341" s="1174"/>
      <c r="H341" s="1175"/>
      <c r="I341" s="1176"/>
      <c r="J341" s="1177"/>
      <c r="K341" s="1547"/>
      <c r="L341" s="1177"/>
      <c r="M341" s="1548"/>
      <c r="N341" s="1549"/>
      <c r="O341" s="1178"/>
      <c r="P341" s="1179"/>
      <c r="R341" s="104"/>
      <c r="S341" s="1172"/>
      <c r="T341" s="1172"/>
      <c r="U341" s="1172"/>
      <c r="V341" s="1173"/>
      <c r="W341" s="1174"/>
      <c r="X341" s="1175"/>
      <c r="Y341" s="1176"/>
      <c r="Z341" s="1177"/>
      <c r="AA341" s="1547"/>
      <c r="AB341" s="1177"/>
      <c r="AC341" s="1548"/>
      <c r="AD341" s="1549"/>
      <c r="AE341" s="1178"/>
      <c r="AF341" s="1179"/>
      <c r="AH341" s="104"/>
      <c r="AI341" s="1172"/>
      <c r="AJ341" s="1172"/>
      <c r="AK341" s="1172"/>
      <c r="AL341" s="1173"/>
      <c r="AM341" s="1174"/>
      <c r="AN341" s="1175"/>
      <c r="AO341" s="1176"/>
      <c r="AP341" s="1177"/>
      <c r="AQ341" s="1547"/>
      <c r="AR341" s="1177"/>
      <c r="AS341" s="1548"/>
      <c r="AT341" s="1549"/>
      <c r="AU341" s="1178"/>
      <c r="AV341" s="1179"/>
      <c r="AY341" s="3">
        <v>1</v>
      </c>
    </row>
    <row r="342" spans="1:53" ht="27" customHeight="1">
      <c r="B342" s="224" t="s">
        <v>11</v>
      </c>
      <c r="C342" s="224"/>
      <c r="D342" s="224"/>
      <c r="E342" s="224"/>
      <c r="F342" s="224"/>
      <c r="G342" s="224"/>
      <c r="H342" s="224"/>
      <c r="I342" s="224"/>
      <c r="J342" s="224"/>
      <c r="K342" s="224"/>
      <c r="L342" s="224"/>
      <c r="M342" s="224"/>
      <c r="N342" s="224"/>
      <c r="O342" s="224"/>
      <c r="P342" s="224"/>
      <c r="R342" s="224" t="s">
        <v>11</v>
      </c>
      <c r="S342" s="224"/>
      <c r="T342" s="224"/>
      <c r="U342" s="224"/>
      <c r="V342" s="224"/>
      <c r="W342" s="224"/>
      <c r="X342" s="224"/>
      <c r="Y342" s="224"/>
      <c r="Z342" s="224"/>
      <c r="AA342" s="224"/>
      <c r="AB342" s="224"/>
      <c r="AC342" s="224"/>
      <c r="AD342" s="224"/>
      <c r="AE342" s="224"/>
      <c r="AF342" s="224"/>
      <c r="AH342" s="224" t="s">
        <v>11</v>
      </c>
      <c r="AI342" s="224"/>
      <c r="AJ342" s="224"/>
      <c r="AK342" s="224"/>
      <c r="AL342" s="224"/>
      <c r="AM342" s="224"/>
      <c r="AN342" s="224"/>
      <c r="AO342" s="224"/>
      <c r="AP342" s="224"/>
      <c r="AQ342" s="224"/>
      <c r="AR342" s="224"/>
      <c r="AS342" s="224"/>
      <c r="AT342" s="224"/>
      <c r="AU342" s="224"/>
      <c r="AV342" s="224"/>
      <c r="AY342" s="708" t="s">
        <v>823</v>
      </c>
    </row>
    <row r="343" spans="1:53">
      <c r="A343" s="3">
        <v>1</v>
      </c>
      <c r="B343" s="3">
        <v>1</v>
      </c>
      <c r="C343" s="3">
        <v>1</v>
      </c>
      <c r="D343" s="3">
        <v>1</v>
      </c>
      <c r="E343" s="3">
        <v>1</v>
      </c>
      <c r="F343" s="3">
        <v>1</v>
      </c>
      <c r="G343" s="3">
        <v>1</v>
      </c>
      <c r="H343" s="3">
        <v>1</v>
      </c>
      <c r="I343" s="3">
        <v>1</v>
      </c>
      <c r="J343" s="3">
        <v>1</v>
      </c>
      <c r="K343" s="3">
        <v>1</v>
      </c>
      <c r="L343" s="3">
        <v>1</v>
      </c>
      <c r="M343" s="3">
        <v>1</v>
      </c>
      <c r="N343" s="3">
        <v>1</v>
      </c>
      <c r="O343" s="3">
        <v>1</v>
      </c>
      <c r="P343" s="3">
        <v>1</v>
      </c>
      <c r="Q343" s="3">
        <v>1</v>
      </c>
      <c r="R343" s="3">
        <v>1</v>
      </c>
      <c r="S343" s="3">
        <v>1</v>
      </c>
      <c r="T343" s="3">
        <v>1</v>
      </c>
      <c r="U343" s="3">
        <v>1</v>
      </c>
      <c r="V343" s="3">
        <v>1</v>
      </c>
      <c r="W343" s="3">
        <v>1</v>
      </c>
      <c r="X343" s="3">
        <v>1</v>
      </c>
      <c r="Y343" s="3">
        <v>1</v>
      </c>
      <c r="Z343" s="3">
        <v>1</v>
      </c>
      <c r="AA343" s="3">
        <v>1</v>
      </c>
      <c r="AB343" s="3">
        <v>1</v>
      </c>
      <c r="AC343" s="3">
        <v>1</v>
      </c>
      <c r="AD343" s="3">
        <v>1</v>
      </c>
      <c r="AE343" s="3">
        <v>1</v>
      </c>
      <c r="AF343" s="3">
        <v>1</v>
      </c>
      <c r="AG343" s="3">
        <v>1</v>
      </c>
      <c r="AH343" s="3">
        <v>1</v>
      </c>
      <c r="AI343" s="3">
        <v>1</v>
      </c>
      <c r="AJ343" s="3">
        <v>1</v>
      </c>
      <c r="AK343" s="3">
        <v>1</v>
      </c>
      <c r="AL343" s="3">
        <v>1</v>
      </c>
      <c r="AM343" s="3">
        <v>1</v>
      </c>
      <c r="AN343" s="3">
        <v>1</v>
      </c>
      <c r="AO343" s="3">
        <v>1</v>
      </c>
      <c r="AP343" s="3">
        <v>1</v>
      </c>
      <c r="AQ343" s="3">
        <v>1</v>
      </c>
      <c r="AR343" s="3">
        <v>1</v>
      </c>
      <c r="AS343" s="3">
        <v>1</v>
      </c>
      <c r="AT343" s="3">
        <v>1</v>
      </c>
      <c r="AU343" s="3">
        <v>1</v>
      </c>
      <c r="AV343" s="3">
        <v>1</v>
      </c>
      <c r="AW343" s="3">
        <v>1</v>
      </c>
      <c r="AX343" s="3">
        <v>1</v>
      </c>
      <c r="AY343" s="1" t="str">
        <f>ADDRESS(ROW(),COLUMN(),4)</f>
        <v>AY343</v>
      </c>
      <c r="AZ343" s="710"/>
      <c r="BA343" s="711" t="str">
        <f>ADDRESS(ROW(),COLUMN(),4)</f>
        <v>BA343</v>
      </c>
    </row>
  </sheetData>
  <mergeCells count="40">
    <mergeCell ref="AT4:AV7"/>
    <mergeCell ref="H10:M11"/>
    <mergeCell ref="N10:O11"/>
    <mergeCell ref="P10:P11"/>
    <mergeCell ref="X10:AC11"/>
    <mergeCell ref="AD10:AE11"/>
    <mergeCell ref="AF10:AF11"/>
    <mergeCell ref="AN10:AS11"/>
    <mergeCell ref="AT10:AU11"/>
    <mergeCell ref="AV10:AV11"/>
    <mergeCell ref="AU14:AV14"/>
    <mergeCell ref="I15:J15"/>
    <mergeCell ref="Y15:Z15"/>
    <mergeCell ref="AO15:AP15"/>
    <mergeCell ref="I16:K16"/>
    <mergeCell ref="Y16:AA16"/>
    <mergeCell ref="AO16:AQ16"/>
    <mergeCell ref="K13:M14"/>
    <mergeCell ref="AA13:AC14"/>
    <mergeCell ref="AQ13:AS14"/>
    <mergeCell ref="O14:P14"/>
    <mergeCell ref="AE14:AF14"/>
    <mergeCell ref="J18:J19"/>
    <mergeCell ref="K18:K19"/>
    <mergeCell ref="L18:L19"/>
    <mergeCell ref="N18:N19"/>
    <mergeCell ref="O18:O19"/>
    <mergeCell ref="P18:P19"/>
    <mergeCell ref="Z18:Z19"/>
    <mergeCell ref="AA18:AA19"/>
    <mergeCell ref="AB18:AB19"/>
    <mergeCell ref="AD18:AD19"/>
    <mergeCell ref="AT18:AT19"/>
    <mergeCell ref="AU18:AU19"/>
    <mergeCell ref="AV18:AV19"/>
    <mergeCell ref="AE18:AE19"/>
    <mergeCell ref="AF18:AF19"/>
    <mergeCell ref="AP18:AP19"/>
    <mergeCell ref="AQ18:AQ19"/>
    <mergeCell ref="AR18:AR19"/>
  </mergeCells>
  <conditionalFormatting sqref="L20:L49">
    <cfRule type="cellIs" dxfId="48" priority="3" operator="notEqual">
      <formula>1</formula>
    </cfRule>
  </conditionalFormatting>
  <conditionalFormatting sqref="AB20:AB49">
    <cfRule type="cellIs" dxfId="47" priority="2" operator="notEqual">
      <formula>1</formula>
    </cfRule>
  </conditionalFormatting>
  <conditionalFormatting sqref="AR20:AR49">
    <cfRule type="cellIs" dxfId="46" priority="1" operator="notEqual">
      <formula>1</formula>
    </cfRule>
  </conditionalFormatting>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9FF031-DD8D-4E29-BC2D-16239DE75F26}">
  <dimension ref="A1:BA343"/>
  <sheetViews>
    <sheetView showZeros="0" workbookViewId="0">
      <selection activeCell="A9" sqref="A9"/>
    </sheetView>
  </sheetViews>
  <sheetFormatPr baseColWidth="10" defaultRowHeight="15"/>
  <cols>
    <col min="1" max="1" width="2.85546875" customWidth="1"/>
    <col min="2" max="6" width="3.7109375" customWidth="1"/>
    <col min="7" max="8" width="12.7109375" customWidth="1"/>
    <col min="9" max="9" width="3.7109375" customWidth="1"/>
    <col min="10" max="10" width="9.7109375" customWidth="1"/>
    <col min="11" max="11" width="12.7109375" customWidth="1"/>
    <col min="12" max="12" width="13.7109375" customWidth="1"/>
    <col min="13" max="13" width="40.7109375" customWidth="1"/>
    <col min="14" max="14" width="10.7109375" customWidth="1"/>
    <col min="15" max="15" width="9.7109375" customWidth="1"/>
    <col min="16" max="16" width="13.7109375" customWidth="1"/>
    <col min="17" max="17" width="6.140625" customWidth="1"/>
    <col min="18" max="22" width="3.7109375" customWidth="1"/>
    <col min="23" max="24" width="12.7109375" customWidth="1"/>
    <col min="25" max="25" width="3.7109375" customWidth="1"/>
    <col min="26" max="26" width="9.7109375" customWidth="1"/>
    <col min="27" max="27" width="12.7109375" customWidth="1"/>
    <col min="28" max="28" width="13.7109375" customWidth="1"/>
    <col min="29" max="29" width="40.7109375" customWidth="1"/>
    <col min="30" max="30" width="10.7109375" customWidth="1"/>
    <col min="31" max="31" width="9.7109375" customWidth="1"/>
    <col min="32" max="32" width="13.7109375" customWidth="1"/>
    <col min="33" max="33" width="5.7109375" customWidth="1"/>
    <col min="34" max="38" width="3.7109375" customWidth="1"/>
    <col min="39" max="40" width="12.7109375" customWidth="1"/>
    <col min="41" max="41" width="3.7109375" customWidth="1"/>
    <col min="42" max="42" width="9.7109375" customWidth="1"/>
    <col min="43" max="43" width="12.7109375" customWidth="1"/>
    <col min="44" max="44" width="13.7109375" customWidth="1"/>
    <col min="45" max="45" width="40.7109375" customWidth="1"/>
    <col min="46" max="46" width="10.7109375" customWidth="1"/>
    <col min="47" max="47" width="9.7109375" customWidth="1"/>
    <col min="48" max="48" width="13.7109375" customWidth="1"/>
    <col min="51" max="51" width="5.42578125" customWidth="1"/>
    <col min="53" max="53" width="86" customWidth="1"/>
  </cols>
  <sheetData>
    <row r="1" spans="1:53" ht="15.75" thickTop="1">
      <c r="A1" s="1" t="str">
        <f>ADDRESS(ROW(),COLUMN(),4)</f>
        <v>A1</v>
      </c>
      <c r="B1" s="2" t="str">
        <f t="shared" ref="B1:AV1" si="0">SUBSTITUTE(ADDRESS(1,COLUMN(),4),"1","")</f>
        <v>B</v>
      </c>
      <c r="C1" s="2" t="str">
        <f t="shared" si="0"/>
        <v>C</v>
      </c>
      <c r="D1" s="2" t="str">
        <f t="shared" si="0"/>
        <v>D</v>
      </c>
      <c r="E1" s="2" t="str">
        <f t="shared" si="0"/>
        <v>E</v>
      </c>
      <c r="F1" s="2" t="str">
        <f t="shared" si="0"/>
        <v>F</v>
      </c>
      <c r="G1" s="2" t="str">
        <f t="shared" si="0"/>
        <v>G</v>
      </c>
      <c r="H1" s="2" t="str">
        <f t="shared" si="0"/>
        <v>H</v>
      </c>
      <c r="I1" s="2" t="str">
        <f t="shared" si="0"/>
        <v>I</v>
      </c>
      <c r="J1" s="2" t="str">
        <f t="shared" si="0"/>
        <v>J</v>
      </c>
      <c r="K1" s="2" t="str">
        <f t="shared" si="0"/>
        <v>K</v>
      </c>
      <c r="L1" s="2" t="str">
        <f t="shared" si="0"/>
        <v>L</v>
      </c>
      <c r="M1" s="2" t="str">
        <f t="shared" si="0"/>
        <v>M</v>
      </c>
      <c r="N1" s="2" t="str">
        <f t="shared" si="0"/>
        <v>N</v>
      </c>
      <c r="O1" s="2" t="str">
        <f t="shared" si="0"/>
        <v>O</v>
      </c>
      <c r="P1" s="2" t="str">
        <f t="shared" si="0"/>
        <v>P</v>
      </c>
      <c r="R1" s="2" t="str">
        <f t="shared" si="0"/>
        <v>R</v>
      </c>
      <c r="S1" s="2" t="str">
        <f t="shared" si="0"/>
        <v>S</v>
      </c>
      <c r="T1" s="2" t="str">
        <f t="shared" si="0"/>
        <v>T</v>
      </c>
      <c r="U1" s="2" t="str">
        <f t="shared" si="0"/>
        <v>U</v>
      </c>
      <c r="V1" s="2" t="str">
        <f t="shared" si="0"/>
        <v>V</v>
      </c>
      <c r="W1" s="2" t="str">
        <f t="shared" si="0"/>
        <v>W</v>
      </c>
      <c r="X1" s="2" t="str">
        <f t="shared" si="0"/>
        <v>X</v>
      </c>
      <c r="Y1" s="2" t="str">
        <f t="shared" si="0"/>
        <v>Y</v>
      </c>
      <c r="Z1" s="2" t="str">
        <f t="shared" si="0"/>
        <v>Z</v>
      </c>
      <c r="AA1" s="2" t="str">
        <f t="shared" si="0"/>
        <v>AA</v>
      </c>
      <c r="AB1" s="2" t="str">
        <f t="shared" si="0"/>
        <v>AB</v>
      </c>
      <c r="AC1" s="2" t="str">
        <f t="shared" si="0"/>
        <v>AC</v>
      </c>
      <c r="AD1" s="2" t="str">
        <f t="shared" si="0"/>
        <v>AD</v>
      </c>
      <c r="AE1" s="2" t="str">
        <f t="shared" si="0"/>
        <v>AE</v>
      </c>
      <c r="AF1" s="2" t="str">
        <f t="shared" si="0"/>
        <v>AF</v>
      </c>
      <c r="AH1" s="2" t="str">
        <f t="shared" si="0"/>
        <v>AH</v>
      </c>
      <c r="AI1" s="2" t="str">
        <f t="shared" si="0"/>
        <v>AI</v>
      </c>
      <c r="AJ1" s="2" t="str">
        <f t="shared" si="0"/>
        <v>AJ</v>
      </c>
      <c r="AK1" s="2" t="str">
        <f t="shared" si="0"/>
        <v>AK</v>
      </c>
      <c r="AL1" s="2" t="str">
        <f t="shared" si="0"/>
        <v>AL</v>
      </c>
      <c r="AM1" s="2" t="str">
        <f t="shared" si="0"/>
        <v>AM</v>
      </c>
      <c r="AN1" s="2" t="str">
        <f t="shared" si="0"/>
        <v>AN</v>
      </c>
      <c r="AO1" s="2" t="str">
        <f t="shared" si="0"/>
        <v>AO</v>
      </c>
      <c r="AP1" s="2" t="str">
        <f t="shared" si="0"/>
        <v>AP</v>
      </c>
      <c r="AQ1" s="2" t="str">
        <f t="shared" si="0"/>
        <v>AQ</v>
      </c>
      <c r="AR1" s="2" t="str">
        <f t="shared" si="0"/>
        <v>AR</v>
      </c>
      <c r="AS1" s="2" t="str">
        <f t="shared" si="0"/>
        <v>AS</v>
      </c>
      <c r="AT1" s="2" t="str">
        <f t="shared" si="0"/>
        <v>AT</v>
      </c>
      <c r="AU1" s="2" t="str">
        <f t="shared" si="0"/>
        <v>AU</v>
      </c>
      <c r="AV1" s="2" t="str">
        <f t="shared" si="0"/>
        <v>AV</v>
      </c>
      <c r="AY1" s="3">
        <v>1</v>
      </c>
      <c r="AZ1" s="4" t="str">
        <f>SUBSTITUTE(ADDRESS(1,COLUMN(),4),"1","")</f>
        <v>AZ</v>
      </c>
      <c r="BA1" s="5" t="str">
        <f>SUBSTITUTE(ADDRESS(1,COLUMN(),4),"1","")</f>
        <v>BA</v>
      </c>
    </row>
    <row r="2" spans="1:53">
      <c r="B2" s="922">
        <f t="shared" ref="B2:AV2" ca="1" si="1">CELL("largeur",B2)</f>
        <v>3</v>
      </c>
      <c r="C2" s="922">
        <f t="shared" ca="1" si="1"/>
        <v>3</v>
      </c>
      <c r="D2" s="922">
        <f t="shared" ca="1" si="1"/>
        <v>3</v>
      </c>
      <c r="E2" s="922">
        <f t="shared" ca="1" si="1"/>
        <v>3</v>
      </c>
      <c r="F2" s="922">
        <f t="shared" ca="1" si="1"/>
        <v>3</v>
      </c>
      <c r="G2" s="922">
        <f t="shared" ca="1" si="1"/>
        <v>12</v>
      </c>
      <c r="H2" s="922">
        <f t="shared" ca="1" si="1"/>
        <v>12</v>
      </c>
      <c r="I2" s="922">
        <f t="shared" ca="1" si="1"/>
        <v>3</v>
      </c>
      <c r="J2" s="922">
        <f t="shared" ca="1" si="1"/>
        <v>9</v>
      </c>
      <c r="K2" s="922">
        <f t="shared" ca="1" si="1"/>
        <v>12</v>
      </c>
      <c r="L2" s="922">
        <f t="shared" ca="1" si="1"/>
        <v>13</v>
      </c>
      <c r="M2" s="922">
        <f t="shared" ca="1" si="1"/>
        <v>40</v>
      </c>
      <c r="N2" s="922">
        <f t="shared" ca="1" si="1"/>
        <v>10</v>
      </c>
      <c r="O2" s="922">
        <f t="shared" ca="1" si="1"/>
        <v>9</v>
      </c>
      <c r="P2" s="922">
        <f t="shared" ca="1" si="1"/>
        <v>13</v>
      </c>
      <c r="R2" s="922">
        <f t="shared" ca="1" si="1"/>
        <v>3</v>
      </c>
      <c r="S2" s="922">
        <f t="shared" ca="1" si="1"/>
        <v>3</v>
      </c>
      <c r="T2" s="922">
        <f t="shared" ca="1" si="1"/>
        <v>3</v>
      </c>
      <c r="U2" s="922">
        <f t="shared" ca="1" si="1"/>
        <v>3</v>
      </c>
      <c r="V2" s="922">
        <f t="shared" ca="1" si="1"/>
        <v>3</v>
      </c>
      <c r="W2" s="922">
        <f t="shared" ca="1" si="1"/>
        <v>12</v>
      </c>
      <c r="X2" s="922">
        <f t="shared" ca="1" si="1"/>
        <v>12</v>
      </c>
      <c r="Y2" s="922">
        <f t="shared" ca="1" si="1"/>
        <v>3</v>
      </c>
      <c r="Z2" s="922">
        <f t="shared" ca="1" si="1"/>
        <v>9</v>
      </c>
      <c r="AA2" s="922">
        <f t="shared" ca="1" si="1"/>
        <v>12</v>
      </c>
      <c r="AB2" s="922">
        <f t="shared" ca="1" si="1"/>
        <v>13</v>
      </c>
      <c r="AC2" s="922">
        <f t="shared" ca="1" si="1"/>
        <v>40</v>
      </c>
      <c r="AD2" s="922">
        <f t="shared" ca="1" si="1"/>
        <v>10</v>
      </c>
      <c r="AE2" s="922">
        <f t="shared" ca="1" si="1"/>
        <v>9</v>
      </c>
      <c r="AF2" s="922">
        <f t="shared" ca="1" si="1"/>
        <v>13</v>
      </c>
      <c r="AH2" s="922">
        <f t="shared" ca="1" si="1"/>
        <v>3</v>
      </c>
      <c r="AI2" s="922">
        <f t="shared" ca="1" si="1"/>
        <v>3</v>
      </c>
      <c r="AJ2" s="922">
        <f t="shared" ca="1" si="1"/>
        <v>3</v>
      </c>
      <c r="AK2" s="922">
        <f t="shared" ca="1" si="1"/>
        <v>3</v>
      </c>
      <c r="AL2" s="922">
        <f t="shared" ca="1" si="1"/>
        <v>3</v>
      </c>
      <c r="AM2" s="922">
        <f t="shared" ca="1" si="1"/>
        <v>12</v>
      </c>
      <c r="AN2" s="922">
        <f t="shared" ca="1" si="1"/>
        <v>12</v>
      </c>
      <c r="AO2" s="922">
        <f t="shared" ca="1" si="1"/>
        <v>3</v>
      </c>
      <c r="AP2" s="922">
        <f t="shared" ca="1" si="1"/>
        <v>9</v>
      </c>
      <c r="AQ2" s="922">
        <f t="shared" ca="1" si="1"/>
        <v>12</v>
      </c>
      <c r="AR2" s="922">
        <f t="shared" ca="1" si="1"/>
        <v>13</v>
      </c>
      <c r="AS2" s="922">
        <f t="shared" ca="1" si="1"/>
        <v>40</v>
      </c>
      <c r="AT2" s="922">
        <f t="shared" ca="1" si="1"/>
        <v>10</v>
      </c>
      <c r="AU2" s="922">
        <f t="shared" ca="1" si="1"/>
        <v>9</v>
      </c>
      <c r="AV2" s="922">
        <f t="shared" ca="1" si="1"/>
        <v>13</v>
      </c>
      <c r="AW2" s="1127" t="s">
        <v>1978</v>
      </c>
      <c r="AY2" s="3">
        <v>1</v>
      </c>
      <c r="AZ2" s="7" t="s">
        <v>3</v>
      </c>
      <c r="BA2" s="8"/>
    </row>
    <row r="3" spans="1:53" ht="19.5" customHeight="1" thickBot="1">
      <c r="B3" s="923">
        <v>3</v>
      </c>
      <c r="C3" s="923">
        <v>3</v>
      </c>
      <c r="D3" s="923">
        <v>3</v>
      </c>
      <c r="E3" s="923">
        <v>3</v>
      </c>
      <c r="F3" s="923">
        <v>3</v>
      </c>
      <c r="G3" s="923">
        <v>12</v>
      </c>
      <c r="H3" s="923">
        <v>12</v>
      </c>
      <c r="I3" s="923">
        <v>3</v>
      </c>
      <c r="J3" s="923">
        <v>9</v>
      </c>
      <c r="K3" s="923">
        <v>12</v>
      </c>
      <c r="L3" s="923">
        <v>13</v>
      </c>
      <c r="M3" s="923">
        <v>40</v>
      </c>
      <c r="N3" s="923">
        <v>10</v>
      </c>
      <c r="O3" s="923">
        <v>9</v>
      </c>
      <c r="P3" s="923">
        <v>13</v>
      </c>
      <c r="Q3" s="1149">
        <v>1</v>
      </c>
      <c r="R3" s="923">
        <v>3</v>
      </c>
      <c r="S3" s="923">
        <v>3</v>
      </c>
      <c r="T3" s="923">
        <v>3</v>
      </c>
      <c r="U3" s="923">
        <v>3</v>
      </c>
      <c r="V3" s="923">
        <v>3</v>
      </c>
      <c r="W3" s="923">
        <v>12</v>
      </c>
      <c r="X3" s="923">
        <v>12</v>
      </c>
      <c r="Y3" s="923">
        <v>3</v>
      </c>
      <c r="Z3" s="923">
        <v>9</v>
      </c>
      <c r="AA3" s="923">
        <v>12</v>
      </c>
      <c r="AB3" s="923">
        <v>13</v>
      </c>
      <c r="AC3" s="923">
        <v>40</v>
      </c>
      <c r="AD3" s="923">
        <v>10</v>
      </c>
      <c r="AE3" s="923">
        <v>9</v>
      </c>
      <c r="AF3" s="923">
        <v>13</v>
      </c>
      <c r="AG3" s="1149"/>
      <c r="AH3" s="923">
        <v>3</v>
      </c>
      <c r="AI3" s="923">
        <v>3</v>
      </c>
      <c r="AJ3" s="923">
        <v>3</v>
      </c>
      <c r="AK3" s="923">
        <v>3</v>
      </c>
      <c r="AL3" s="923">
        <v>3</v>
      </c>
      <c r="AM3" s="923">
        <v>12</v>
      </c>
      <c r="AN3" s="923">
        <v>12</v>
      </c>
      <c r="AO3" s="923">
        <v>3</v>
      </c>
      <c r="AP3" s="923">
        <v>9</v>
      </c>
      <c r="AQ3" s="923">
        <v>12</v>
      </c>
      <c r="AR3" s="923">
        <v>13</v>
      </c>
      <c r="AS3" s="923">
        <v>40</v>
      </c>
      <c r="AT3" s="923">
        <v>10</v>
      </c>
      <c r="AU3" s="923">
        <v>9</v>
      </c>
      <c r="AV3" s="923">
        <v>13</v>
      </c>
      <c r="AW3" s="1127" t="s">
        <v>1381</v>
      </c>
      <c r="AY3" s="3">
        <v>1</v>
      </c>
      <c r="AZ3" s="11">
        <f ca="1">COUNTA(A1:AX343) + COUNTBLANK(A1:AX343)</f>
        <v>17162</v>
      </c>
      <c r="BA3" s="12" t="str">
        <f>"cellules entre -cells -celdas  "&amp;" " &amp;A1&amp;" et  "&amp;AY343</f>
        <v>cellules entre -cells -celdas   A1 et  AY343</v>
      </c>
    </row>
    <row r="4" spans="1:53" s="1150" customFormat="1" ht="27" customHeight="1">
      <c r="B4" s="1550" t="s">
        <v>2623</v>
      </c>
      <c r="C4" s="1551"/>
      <c r="D4" s="1551"/>
      <c r="E4" s="1551"/>
      <c r="F4" s="1551"/>
      <c r="G4" s="1551"/>
      <c r="H4" s="1551"/>
      <c r="I4" s="1551"/>
      <c r="J4" s="1551"/>
      <c r="K4" s="1551"/>
      <c r="L4" s="1551"/>
      <c r="M4" s="1551"/>
      <c r="N4" s="1551"/>
      <c r="O4" s="1551"/>
      <c r="P4" s="1551"/>
      <c r="Q4" s="1551"/>
      <c r="R4" s="1551"/>
      <c r="S4" s="1551"/>
      <c r="T4" s="1551"/>
      <c r="U4" s="1551"/>
      <c r="V4" s="1551"/>
      <c r="W4" s="1551"/>
      <c r="X4" s="1551"/>
      <c r="Y4" s="1551"/>
      <c r="Z4" s="1551"/>
      <c r="AA4" s="1551"/>
      <c r="AB4" s="1551"/>
      <c r="AC4" s="1551"/>
      <c r="AD4" s="1551"/>
      <c r="AE4" s="1551"/>
      <c r="AF4" s="1551"/>
      <c r="AG4" s="1551"/>
      <c r="AH4" s="1551"/>
      <c r="AI4" s="1551"/>
      <c r="AJ4" s="1551"/>
      <c r="AK4" s="1551"/>
      <c r="AL4" s="1551"/>
      <c r="AM4" s="1551"/>
      <c r="AN4" s="1551"/>
      <c r="AO4" s="1551"/>
      <c r="AP4" s="1551"/>
      <c r="AQ4" s="1551"/>
      <c r="AR4" s="1551"/>
      <c r="AS4" s="1551"/>
      <c r="AT4" s="5740" t="s">
        <v>3876</v>
      </c>
      <c r="AU4" s="5740"/>
      <c r="AV4" s="5741"/>
      <c r="AY4" s="3">
        <v>1</v>
      </c>
      <c r="AZ4" s="11">
        <f ca="1">COUNTA(A1:AX343)</f>
        <v>628</v>
      </c>
      <c r="BA4" s="12" t="s">
        <v>10</v>
      </c>
    </row>
    <row r="5" spans="1:53" ht="27" customHeight="1">
      <c r="B5" s="1552"/>
      <c r="C5" s="1553"/>
      <c r="D5" s="5306" t="str">
        <f>IF(ISNUMBER(IFERROR(VALUE("0,5"),"")),"sur cet ordi.saisissez une VIRGULE comme séparateur décimal",IF(ISNUMBER(IFERROR(VALUE("0.5"),"")),"sur cet ordi.saisissez un POINT comme séparateur décimal","Impossible de déterminer le séparateur décimal"))</f>
        <v>sur cet ordi.saisissez un POINT comme séparateur décimal</v>
      </c>
      <c r="E5" s="1553"/>
      <c r="F5" s="1553"/>
      <c r="G5" s="1553"/>
      <c r="H5" s="1553"/>
      <c r="I5" s="1553"/>
      <c r="J5" s="1553"/>
      <c r="K5" s="1553"/>
      <c r="L5" s="1553"/>
      <c r="M5" s="1553"/>
      <c r="N5" s="5307" t="str">
        <f>IF(ISNUMBER(IFERROR(VALUE("0,5"),"")),"On this computer, type a COMMA as the decimal separator",IF(ISNUMBER(IFERROR(VALUE("0.5"),"")),"On this computer, type a POINT as the decimal separator","Unable to determine the decimal separator"))</f>
        <v>On this computer, type a POINT as the decimal separator</v>
      </c>
      <c r="O5" s="1553"/>
      <c r="P5" s="1553"/>
      <c r="Q5" s="1553"/>
      <c r="R5" s="1553"/>
      <c r="S5" s="1553"/>
      <c r="T5" s="1553"/>
      <c r="U5" s="1553"/>
      <c r="V5" s="1553"/>
      <c r="W5" s="1553"/>
      <c r="X5" s="1553"/>
      <c r="Y5" s="1553"/>
      <c r="Z5" s="1553"/>
      <c r="AA5" s="1553"/>
      <c r="AB5" s="1553"/>
      <c r="AC5" s="5307" t="str">
        <f>IF(ISNUMBER(IFERROR(VALUE("0,5"),""))," En este ordenador, escriba una COMA como separador decimal",IF(ISNUMBER(IFERROR(VALUE("0.5"),"")),"En este ordenador, escriba un PUNTO como separador decimal","No es posible determinar el separador decimal"))</f>
        <v>En este ordenador, escriba un PUNTO como separador decimal</v>
      </c>
      <c r="AD5" s="1553"/>
      <c r="AE5" s="1553"/>
      <c r="AF5" s="1553"/>
      <c r="AG5" s="1553"/>
      <c r="AH5" s="1553"/>
      <c r="AI5" s="1553"/>
      <c r="AJ5" s="1553"/>
      <c r="AK5" s="1553"/>
      <c r="AL5" s="1553"/>
      <c r="AM5" s="1553"/>
      <c r="AN5" s="1553"/>
      <c r="AO5" s="1553"/>
      <c r="AP5" s="1553"/>
      <c r="AQ5" s="1553"/>
      <c r="AR5" s="1553"/>
      <c r="AS5" s="1553"/>
      <c r="AT5" s="5742"/>
      <c r="AU5" s="5742"/>
      <c r="AV5" s="5743"/>
      <c r="AY5" s="3">
        <v>1</v>
      </c>
      <c r="AZ5" s="11">
        <f ca="1">COUNTBLANK(A1:AX343)</f>
        <v>16534</v>
      </c>
      <c r="BA5" s="12" t="s">
        <v>13</v>
      </c>
    </row>
    <row r="6" spans="1:53" ht="27" customHeight="1">
      <c r="B6" s="1153" t="s">
        <v>13494</v>
      </c>
      <c r="C6" s="1154"/>
      <c r="D6" s="1154"/>
      <c r="E6" s="1154"/>
      <c r="F6" s="1154"/>
      <c r="G6" s="1154"/>
      <c r="H6" s="1154"/>
      <c r="I6" s="1154"/>
      <c r="J6" s="1154"/>
      <c r="K6" s="1154"/>
      <c r="L6" s="1154"/>
      <c r="M6" s="1154"/>
      <c r="N6" s="1154" t="s">
        <v>13495</v>
      </c>
      <c r="O6" s="1154"/>
      <c r="P6" s="1154"/>
      <c r="Q6" s="1154"/>
      <c r="R6" s="1154"/>
      <c r="S6" s="1154"/>
      <c r="T6" s="1154"/>
      <c r="U6" s="1154"/>
      <c r="V6" s="1154"/>
      <c r="W6" s="1154"/>
      <c r="X6" s="1154"/>
      <c r="Y6" s="1154"/>
      <c r="Z6" s="1154"/>
      <c r="AA6" s="1154"/>
      <c r="AB6" s="1154" t="s">
        <v>13496</v>
      </c>
      <c r="AC6" s="1154"/>
      <c r="AD6" s="1154"/>
      <c r="AE6" s="1154"/>
      <c r="AF6" s="1154"/>
      <c r="AG6" s="1154"/>
      <c r="AH6" s="1154"/>
      <c r="AI6" s="1154"/>
      <c r="AJ6" s="1154"/>
      <c r="AK6" s="1155"/>
      <c r="AL6" s="1155"/>
      <c r="AM6" s="1155"/>
      <c r="AN6" s="1155"/>
      <c r="AO6" s="1155"/>
      <c r="AP6" s="1155"/>
      <c r="AQ6" s="1155"/>
      <c r="AR6" s="1155"/>
      <c r="AS6" s="1155"/>
      <c r="AT6" s="5742"/>
      <c r="AU6" s="5742"/>
      <c r="AV6" s="5743"/>
      <c r="AY6" s="3">
        <v>1</v>
      </c>
      <c r="AZ6" s="11">
        <f>SUM(AY1:AY341)+2</f>
        <v>340</v>
      </c>
      <c r="BA6" s="12" t="s">
        <v>15</v>
      </c>
    </row>
    <row r="7" spans="1:53" ht="27" customHeight="1" thickBot="1">
      <c r="B7" s="1153" t="s">
        <v>2624</v>
      </c>
      <c r="C7" s="1156"/>
      <c r="D7" s="1156"/>
      <c r="E7" s="1156"/>
      <c r="F7" s="1156"/>
      <c r="G7" s="1156"/>
      <c r="H7" s="1156"/>
      <c r="I7" s="1156"/>
      <c r="J7" s="1156"/>
      <c r="K7" s="1156"/>
      <c r="L7" s="1156"/>
      <c r="M7" s="1156"/>
      <c r="N7" s="1156" t="s">
        <v>2625</v>
      </c>
      <c r="O7" s="1156"/>
      <c r="P7" s="1156"/>
      <c r="Q7" s="1156"/>
      <c r="R7" s="1156"/>
      <c r="S7" s="1156"/>
      <c r="T7" s="1156"/>
      <c r="U7" s="1156"/>
      <c r="V7" s="1156"/>
      <c r="W7" s="1156"/>
      <c r="X7" s="1156"/>
      <c r="Y7" s="1156"/>
      <c r="Z7" s="1156" t="s">
        <v>2626</v>
      </c>
      <c r="AA7" s="1156"/>
      <c r="AB7" s="1156"/>
      <c r="AC7" s="1156"/>
      <c r="AD7" s="1156"/>
      <c r="AE7" s="1156"/>
      <c r="AF7" s="1156"/>
      <c r="AG7" s="1156"/>
      <c r="AH7" s="1156"/>
      <c r="AI7" s="1156"/>
      <c r="AJ7" s="1156"/>
      <c r="AK7" s="1157"/>
      <c r="AL7" s="1157"/>
      <c r="AM7" s="1157"/>
      <c r="AN7" s="1158" t="s">
        <v>2627</v>
      </c>
      <c r="AO7" s="1157"/>
      <c r="AP7" s="1157"/>
      <c r="AQ7" s="1157"/>
      <c r="AR7" s="1157"/>
      <c r="AS7" s="1158"/>
      <c r="AT7" s="5744"/>
      <c r="AU7" s="5744"/>
      <c r="AV7" s="5745"/>
      <c r="AY7" s="3">
        <v>1</v>
      </c>
      <c r="AZ7" s="11">
        <f>SUM(A343:AX343)+1</f>
        <v>51</v>
      </c>
      <c r="BA7" s="12" t="s">
        <v>18</v>
      </c>
    </row>
    <row r="8" spans="1:53" ht="27" customHeight="1">
      <c r="B8" s="1159" t="s">
        <v>208</v>
      </c>
      <c r="C8" s="1160" t="str">
        <f ca="1">CELL("nomfichier")</f>
        <v>D:\Données\1.UPRT\0-UPRT.fait\1-UPRT.FR-SITE-WEB\ff-fiches-fabrications\ff.fiches.fabrication.2023\ffr.restaurant.2023\[ff.FICHE.TRILINGUE.15.COLONNES.29.11.2025.xlsx]Notice.utilisateur</v>
      </c>
      <c r="D8" s="1160"/>
      <c r="E8" s="1151"/>
      <c r="F8" s="1151"/>
      <c r="G8" s="1151"/>
      <c r="H8" s="1151"/>
      <c r="I8" s="1151"/>
      <c r="J8" s="1151"/>
      <c r="K8" s="1151"/>
      <c r="L8" s="1151"/>
      <c r="M8" s="1151"/>
      <c r="N8" s="1151"/>
      <c r="O8" s="1151"/>
      <c r="P8" s="1151"/>
      <c r="Q8" s="1151"/>
      <c r="R8" s="1151"/>
      <c r="S8" s="1151"/>
      <c r="T8" s="1151"/>
      <c r="U8" s="1151"/>
      <c r="V8" s="1151"/>
      <c r="W8" s="1151"/>
      <c r="X8" s="1151"/>
      <c r="Y8" s="1151"/>
      <c r="Z8" s="1151"/>
      <c r="AA8" s="1151"/>
      <c r="AB8" s="1151"/>
      <c r="AC8" s="1151"/>
      <c r="AD8" s="1151"/>
      <c r="AE8" s="1151"/>
      <c r="AF8" s="1151"/>
      <c r="AG8" s="1151"/>
      <c r="AH8" s="1161"/>
      <c r="AI8" s="1161"/>
      <c r="AJ8" s="1161"/>
      <c r="AK8" s="1161"/>
      <c r="AL8" s="1161"/>
      <c r="AM8" s="1161"/>
      <c r="AN8" s="1161"/>
      <c r="AO8" s="1161"/>
      <c r="AP8" s="1161"/>
      <c r="AQ8" s="1161"/>
      <c r="AR8" s="1161"/>
      <c r="AS8" s="1161"/>
      <c r="AT8" s="1161"/>
      <c r="AU8" s="1161"/>
      <c r="AV8" s="1161"/>
      <c r="AY8" s="3">
        <v>1</v>
      </c>
    </row>
    <row r="9" spans="1:53" ht="27" customHeight="1" thickBot="1">
      <c r="B9" s="1162"/>
      <c r="C9" s="1163" t="s">
        <v>1704</v>
      </c>
      <c r="D9" s="1162"/>
      <c r="E9" s="1164"/>
      <c r="F9" s="1162"/>
      <c r="G9" s="1164"/>
      <c r="H9" s="1162"/>
      <c r="I9" s="1164"/>
      <c r="J9" s="1162"/>
      <c r="K9" s="1164"/>
      <c r="L9" s="1162"/>
      <c r="M9" s="1164"/>
      <c r="N9" s="1162"/>
      <c r="O9" s="1164"/>
      <c r="P9" s="1162"/>
      <c r="Q9" s="1152"/>
      <c r="R9" s="1162"/>
      <c r="S9" s="1164"/>
      <c r="T9" s="1162"/>
      <c r="U9" s="1164"/>
      <c r="V9" s="1162"/>
      <c r="W9" s="1164"/>
      <c r="X9" s="1162"/>
      <c r="Y9" s="1164"/>
      <c r="Z9" s="1162"/>
      <c r="AA9" s="1164"/>
      <c r="AB9" s="1162"/>
      <c r="AC9" s="1164"/>
      <c r="AD9" s="1162"/>
      <c r="AE9" s="1164"/>
      <c r="AF9" s="1162"/>
      <c r="AG9" s="1152"/>
      <c r="AH9" s="1162"/>
      <c r="AI9" s="1164"/>
      <c r="AJ9" s="1162"/>
      <c r="AK9" s="1164"/>
      <c r="AL9" s="1162"/>
      <c r="AM9" s="1164"/>
      <c r="AN9" s="1162"/>
      <c r="AO9" s="1164"/>
      <c r="AP9" s="1162"/>
      <c r="AQ9" s="1164"/>
      <c r="AR9" s="1162"/>
      <c r="AS9" s="1164"/>
      <c r="AT9" s="1162"/>
      <c r="AU9" s="1164"/>
      <c r="AV9" s="1162"/>
      <c r="AY9" s="3">
        <v>1</v>
      </c>
    </row>
    <row r="10" spans="1:53" ht="27" customHeight="1">
      <c r="B10" s="22" t="s">
        <v>11</v>
      </c>
      <c r="C10" s="23" t="str">
        <f>C16</f>
        <v>S SPICES FOR BLOOD SAUSAGE | |  Author &gt; Guy KRENZE - Eric GODDYN - Arnaud NICOLAS - CEPROC 2002</v>
      </c>
      <c r="D10" s="24">
        <f>D16</f>
        <v>408</v>
      </c>
      <c r="E10" s="24" t="str">
        <f>E16</f>
        <v>g</v>
      </c>
      <c r="F10" s="25" t="str">
        <f>F16</f>
        <v>Master recipe ► Black pudding in 4 variations</v>
      </c>
      <c r="G10" s="26" t="s">
        <v>23</v>
      </c>
      <c r="H10" s="5471" t="s">
        <v>13173</v>
      </c>
      <c r="I10" s="5471"/>
      <c r="J10" s="5471"/>
      <c r="K10" s="5471"/>
      <c r="L10" s="5471"/>
      <c r="M10" s="5471"/>
      <c r="N10" s="5473" t="s">
        <v>13134</v>
      </c>
      <c r="O10" s="5473"/>
      <c r="P10" s="5475" t="str">
        <f>UPPER(LEFT(H10,1))</f>
        <v>S</v>
      </c>
      <c r="Q10" s="1171"/>
      <c r="R10" s="1165"/>
      <c r="S10" s="1166"/>
      <c r="T10" s="1166"/>
      <c r="U10" s="1166"/>
      <c r="V10" s="1167"/>
      <c r="W10" s="1168"/>
      <c r="X10" s="54"/>
      <c r="Y10" s="54"/>
      <c r="Z10" s="54"/>
      <c r="AA10" s="54"/>
      <c r="AB10" s="54"/>
      <c r="AC10" s="54"/>
      <c r="AD10" s="1169"/>
      <c r="AE10" s="1169"/>
      <c r="AF10" s="1170"/>
      <c r="AG10" s="1171"/>
      <c r="AH10" s="1165"/>
      <c r="AI10" s="1166"/>
      <c r="AJ10" s="1166"/>
      <c r="AK10" s="1166"/>
      <c r="AL10" s="1167"/>
      <c r="AM10" s="1168"/>
      <c r="AN10" s="54"/>
      <c r="AO10" s="54"/>
      <c r="AP10" s="54"/>
      <c r="AQ10" s="54"/>
      <c r="AR10" s="54"/>
      <c r="AS10" s="54"/>
      <c r="AT10" s="1169"/>
      <c r="AU10" s="1169"/>
      <c r="AV10" s="1170"/>
      <c r="AY10" s="3">
        <v>1</v>
      </c>
    </row>
    <row r="11" spans="1:53" ht="27" customHeight="1">
      <c r="B11" s="27" t="s">
        <v>11</v>
      </c>
      <c r="C11" s="28" t="str">
        <f>C16</f>
        <v>S SPICES FOR BLOOD SAUSAGE | |  Author &gt; Guy KRENZE - Eric GODDYN - Arnaud NICOLAS - CEPROC 2002</v>
      </c>
      <c r="D11" s="29">
        <f>D16</f>
        <v>408</v>
      </c>
      <c r="E11" s="29" t="str">
        <f>E16</f>
        <v>g</v>
      </c>
      <c r="F11" s="30" t="str">
        <f>F16</f>
        <v>Master recipe ► Black pudding in 4 variations</v>
      </c>
      <c r="G11" s="31" t="s">
        <v>29</v>
      </c>
      <c r="H11" s="5472"/>
      <c r="I11" s="5472"/>
      <c r="J11" s="5472"/>
      <c r="K11" s="5472"/>
      <c r="L11" s="5472"/>
      <c r="M11" s="5472"/>
      <c r="N11" s="5474" t="s">
        <v>116</v>
      </c>
      <c r="O11" s="5474"/>
      <c r="P11" s="5476"/>
      <c r="Q11" s="1171"/>
      <c r="R11" s="104"/>
      <c r="S11" s="1172"/>
      <c r="T11" s="1172"/>
      <c r="U11" s="1172"/>
      <c r="V11" s="1173"/>
      <c r="W11" s="1174"/>
      <c r="X11" s="1175"/>
      <c r="Y11" s="1176"/>
      <c r="Z11" s="1177"/>
      <c r="AA11" s="1547"/>
      <c r="AB11" s="1177"/>
      <c r="AC11" s="1548"/>
      <c r="AD11" s="1549"/>
      <c r="AE11" s="1178"/>
      <c r="AF11" s="1179"/>
      <c r="AG11" s="1171"/>
      <c r="AH11" s="104"/>
      <c r="AI11" s="1172"/>
      <c r="AJ11" s="1172"/>
      <c r="AK11" s="1172"/>
      <c r="AL11" s="1173"/>
      <c r="AM11" s="1174"/>
      <c r="AN11" s="1175"/>
      <c r="AO11" s="1176"/>
      <c r="AP11" s="1177"/>
      <c r="AQ11" s="1547"/>
      <c r="AR11" s="1177"/>
      <c r="AS11" s="1548"/>
      <c r="AT11" s="1549"/>
      <c r="AU11" s="1178"/>
      <c r="AV11" s="1179"/>
      <c r="AY11" s="3">
        <v>1</v>
      </c>
    </row>
    <row r="12" spans="1:53" ht="27" customHeight="1">
      <c r="B12" s="27" t="s">
        <v>11</v>
      </c>
      <c r="C12" s="5310" t="str">
        <f>C16</f>
        <v>S SPICES FOR BLOOD SAUSAGE | |  Author &gt; Guy KRENZE - Eric GODDYN - Arnaud NICOLAS - CEPROC 2002</v>
      </c>
      <c r="D12" s="5310">
        <f>D16</f>
        <v>408</v>
      </c>
      <c r="E12" s="5311" t="str">
        <f>E16</f>
        <v>g</v>
      </c>
      <c r="F12" s="5312" t="str">
        <f>F16</f>
        <v>Master recipe ► Black pudding in 4 variations</v>
      </c>
      <c r="G12" s="5313"/>
      <c r="H12" s="5314" t="s">
        <v>30</v>
      </c>
      <c r="I12" s="37"/>
      <c r="J12" s="38" t="s">
        <v>889</v>
      </c>
      <c r="K12" s="39" t="s">
        <v>12835</v>
      </c>
      <c r="L12" s="9"/>
      <c r="M12" s="39"/>
      <c r="N12" s="39"/>
      <c r="O12" s="40"/>
      <c r="P12" s="41"/>
      <c r="Q12" s="1171"/>
      <c r="R12" s="104"/>
      <c r="S12" s="1172"/>
      <c r="T12" s="1172"/>
      <c r="U12" s="1172"/>
      <c r="V12" s="1173"/>
      <c r="W12" s="1174"/>
      <c r="X12" s="1175"/>
      <c r="Y12" s="1176"/>
      <c r="Z12" s="1177"/>
      <c r="AA12" s="1547"/>
      <c r="AB12" s="1177"/>
      <c r="AC12" s="1548"/>
      <c r="AD12" s="1549"/>
      <c r="AE12" s="1178"/>
      <c r="AF12" s="1179"/>
      <c r="AG12" s="1171"/>
      <c r="AH12" s="104"/>
      <c r="AI12" s="1172"/>
      <c r="AJ12" s="1172"/>
      <c r="AK12" s="1172"/>
      <c r="AL12" s="1173"/>
      <c r="AM12" s="1174"/>
      <c r="AN12" s="1175"/>
      <c r="AO12" s="1176"/>
      <c r="AP12" s="1177"/>
      <c r="AQ12" s="1547"/>
      <c r="AR12" s="1177"/>
      <c r="AS12" s="1548"/>
      <c r="AT12" s="1549"/>
      <c r="AU12" s="1178"/>
      <c r="AV12" s="1179"/>
      <c r="AY12" s="3">
        <v>1</v>
      </c>
    </row>
    <row r="13" spans="1:53" ht="27" customHeight="1">
      <c r="B13" s="27" t="s">
        <v>11</v>
      </c>
      <c r="C13" s="32" t="str">
        <f>C16</f>
        <v>S SPICES FOR BLOOD SAUSAGE | |  Author &gt; Guy KRENZE - Eric GODDYN - Arnaud NICOLAS - CEPROC 2002</v>
      </c>
      <c r="D13" s="33">
        <f>D16</f>
        <v>408</v>
      </c>
      <c r="E13" s="33" t="str">
        <f>E16</f>
        <v>g</v>
      </c>
      <c r="F13" s="34" t="str">
        <f>F16</f>
        <v>Master recipe ► Black pudding in 4 variations</v>
      </c>
      <c r="G13" s="42" t="s">
        <v>137</v>
      </c>
      <c r="H13" s="43"/>
      <c r="I13" s="43"/>
      <c r="J13" s="44" t="s">
        <v>33</v>
      </c>
      <c r="K13" s="5477" t="str">
        <f>L16&amp;" "&amp;M16&amp;" ► category = "&amp;N10&amp;" ► "&amp;H10&amp;" "&amp; "pour "&amp;N14&amp;" "&amp;O14</f>
        <v>Master recipe ► Black pudding in 4 variations ► category = charcuterie-BLACK-PUDDING ► SPICES FOR BLOOD SAUSAGE pour 100 g</v>
      </c>
      <c r="L13" s="5477"/>
      <c r="M13" s="5477"/>
      <c r="N13" s="5039" t="s">
        <v>3324</v>
      </c>
      <c r="O13" s="40"/>
      <c r="P13" s="1472"/>
      <c r="Q13" s="1171"/>
      <c r="R13" s="104"/>
      <c r="S13" s="1172"/>
      <c r="T13" s="1172"/>
      <c r="U13" s="1172"/>
      <c r="V13" s="1173"/>
      <c r="W13" s="1174"/>
      <c r="X13" s="1175"/>
      <c r="Y13" s="1176"/>
      <c r="Z13" s="1177"/>
      <c r="AA13" s="1547"/>
      <c r="AB13" s="1177"/>
      <c r="AC13" s="1548"/>
      <c r="AD13" s="1549"/>
      <c r="AE13" s="1178"/>
      <c r="AF13" s="1179"/>
      <c r="AG13" s="1171"/>
      <c r="AH13" s="104"/>
      <c r="AI13" s="1172"/>
      <c r="AJ13" s="1172"/>
      <c r="AK13" s="1172"/>
      <c r="AL13" s="1173"/>
      <c r="AM13" s="1174"/>
      <c r="AN13" s="1175"/>
      <c r="AO13" s="1176"/>
      <c r="AP13" s="1177"/>
      <c r="AQ13" s="1547"/>
      <c r="AR13" s="1177"/>
      <c r="AS13" s="1548"/>
      <c r="AT13" s="1549"/>
      <c r="AU13" s="1178"/>
      <c r="AV13" s="1179"/>
      <c r="AY13" s="3">
        <v>1</v>
      </c>
    </row>
    <row r="14" spans="1:53" ht="27" customHeight="1">
      <c r="B14" s="27" t="s">
        <v>11</v>
      </c>
      <c r="C14" s="32" t="str">
        <f>C16</f>
        <v>S SPICES FOR BLOOD SAUSAGE | |  Author &gt; Guy KRENZE - Eric GODDYN - Arnaud NICOLAS - CEPROC 2002</v>
      </c>
      <c r="D14" s="33">
        <f>D16</f>
        <v>408</v>
      </c>
      <c r="E14" s="33" t="str">
        <f>E16</f>
        <v>g</v>
      </c>
      <c r="F14" s="34" t="str">
        <f>F16</f>
        <v>Master recipe ► Black pudding in 4 variations</v>
      </c>
      <c r="G14" s="50">
        <v>408</v>
      </c>
      <c r="H14" s="51" t="s">
        <v>99</v>
      </c>
      <c r="I14" s="42"/>
      <c r="J14" s="42"/>
      <c r="K14" s="5477"/>
      <c r="L14" s="5477"/>
      <c r="M14" s="5477"/>
      <c r="N14" s="46">
        <v>100</v>
      </c>
      <c r="O14" s="5478" t="str">
        <f>H14</f>
        <v>g</v>
      </c>
      <c r="P14" s="5479"/>
      <c r="Q14" s="1171"/>
      <c r="R14" s="104"/>
      <c r="S14" s="1172"/>
      <c r="T14" s="1172"/>
      <c r="U14" s="1172"/>
      <c r="V14" s="1173"/>
      <c r="W14" s="1174"/>
      <c r="X14" s="1175"/>
      <c r="Y14" s="1176"/>
      <c r="Z14" s="1177"/>
      <c r="AA14" s="1547"/>
      <c r="AB14" s="1177"/>
      <c r="AC14" s="1548"/>
      <c r="AD14" s="1549"/>
      <c r="AE14" s="1178"/>
      <c r="AF14" s="1179"/>
      <c r="AG14" s="1171"/>
      <c r="AH14" s="104"/>
      <c r="AI14" s="1172"/>
      <c r="AJ14" s="1172"/>
      <c r="AK14" s="1172"/>
      <c r="AL14" s="1173"/>
      <c r="AM14" s="1174"/>
      <c r="AN14" s="1175"/>
      <c r="AO14" s="1176"/>
      <c r="AP14" s="1177"/>
      <c r="AQ14" s="1547"/>
      <c r="AR14" s="1177"/>
      <c r="AS14" s="1548"/>
      <c r="AT14" s="1549"/>
      <c r="AU14" s="1178"/>
      <c r="AV14" s="1179"/>
      <c r="AY14" s="3">
        <v>1</v>
      </c>
    </row>
    <row r="15" spans="1:53" ht="27" customHeight="1">
      <c r="B15" s="27" t="s">
        <v>16</v>
      </c>
      <c r="C15" s="32" t="str">
        <f>C16</f>
        <v>S SPICES FOR BLOOD SAUSAGE | |  Author &gt; Guy KRENZE - Eric GODDYN - Arnaud NICOLAS - CEPROC 2002</v>
      </c>
      <c r="D15" s="33">
        <f>D16</f>
        <v>408</v>
      </c>
      <c r="E15" s="33" t="str">
        <f>E16</f>
        <v>g</v>
      </c>
      <c r="F15" s="34" t="str">
        <f>F16</f>
        <v>Master recipe ► Black pudding in 4 variations</v>
      </c>
      <c r="G15" s="56"/>
      <c r="H15" s="5165" t="s">
        <v>13100</v>
      </c>
      <c r="I15" s="5498">
        <f>O30/L15</f>
        <v>0.40749999999999997</v>
      </c>
      <c r="J15" s="5498"/>
      <c r="K15" s="5054" t="str" cm="1">
        <f t="array" ref="K15">"1= "&amp;IF(OR(G14&lt;=0,I15=""),"",_xlfn.LET(_xlpm.kg,IF(ISNUMBER(I15),I15,VALEUR(SUBSTITUTE(SUBSTITUTE(SUBSTITUTE(LOWER(I15),"kg",""),",",".")," ",""))),TEXT(ROUND(_xlpm.kg*1000/G14,2),"0.##")&amp;" g"))</f>
        <v>1= 1. g</v>
      </c>
      <c r="L15" s="1490">
        <f>IFERROR(N14/G14,0)</f>
        <v>0.24509803921568626</v>
      </c>
      <c r="M15" s="45"/>
      <c r="N15" s="5041" t="s">
        <v>153</v>
      </c>
      <c r="O15" s="5042">
        <f>O30</f>
        <v>9.9877450980392149E-2</v>
      </c>
      <c r="P15" s="5043"/>
      <c r="Q15" s="1171"/>
      <c r="R15" s="104"/>
      <c r="S15" s="1172"/>
      <c r="T15" s="1172"/>
      <c r="U15" s="1172"/>
      <c r="V15" s="1173"/>
      <c r="W15" s="1174"/>
      <c r="X15" s="1175"/>
      <c r="Y15" s="1176"/>
      <c r="Z15" s="1177"/>
      <c r="AA15" s="1547"/>
      <c r="AB15" s="1177"/>
      <c r="AC15" s="1548"/>
      <c r="AD15" s="1549"/>
      <c r="AE15" s="1178"/>
      <c r="AF15" s="1179"/>
      <c r="AG15" s="1171"/>
      <c r="AH15" s="104"/>
      <c r="AI15" s="1172"/>
      <c r="AJ15" s="1172"/>
      <c r="AK15" s="1172"/>
      <c r="AL15" s="1173"/>
      <c r="AM15" s="1174"/>
      <c r="AN15" s="1175"/>
      <c r="AO15" s="1176"/>
      <c r="AP15" s="1177"/>
      <c r="AQ15" s="1547"/>
      <c r="AR15" s="1177"/>
      <c r="AS15" s="1548"/>
      <c r="AT15" s="1549"/>
      <c r="AU15" s="1178"/>
      <c r="AV15" s="1179"/>
      <c r="AY15" s="3">
        <v>1</v>
      </c>
    </row>
    <row r="16" spans="1:53" ht="27" customHeight="1">
      <c r="B16" s="64" t="s">
        <v>16</v>
      </c>
      <c r="C16" s="65" t="str">
        <f>G16</f>
        <v>S SPICES FOR BLOOD SAUSAGE | |  Author &gt; Guy KRENZE - Eric GODDYN - Arnaud NICOLAS - CEPROC 2002</v>
      </c>
      <c r="D16" s="66">
        <f>G14</f>
        <v>408</v>
      </c>
      <c r="E16" s="65" t="str">
        <f>H14</f>
        <v>g</v>
      </c>
      <c r="F16" s="67" t="str">
        <f>L16&amp;" "&amp;M16</f>
        <v>Master recipe ► Black pudding in 4 variations</v>
      </c>
      <c r="G16" s="68" t="str">
        <f>UPPER(LEFT(H10,1))&amp;" "&amp;H10&amp;" | "&amp;O10&amp;"| "&amp;J12&amp;" "&amp;K12</f>
        <v>S SPICES FOR BLOOD SAUSAGE | |  Author &gt; Guy KRENZE - Eric GODDYN - Arnaud NICOLAS - CEPROC 2002</v>
      </c>
      <c r="H16" s="69" t="s">
        <v>3315</v>
      </c>
      <c r="I16" s="5469" t="s">
        <v>3316</v>
      </c>
      <c r="J16" s="5469"/>
      <c r="K16" s="5469"/>
      <c r="L16" s="70" t="str">
        <f>IF(ISTEXT(M16),"Master recipe ►",H16)</f>
        <v>Master recipe ►</v>
      </c>
      <c r="M16" s="71" t="s">
        <v>12924</v>
      </c>
      <c r="N16" s="71"/>
      <c r="O16" s="72"/>
      <c r="P16" s="1473"/>
      <c r="Q16" s="1171"/>
      <c r="R16" s="104"/>
      <c r="S16" s="1172"/>
      <c r="T16" s="1172"/>
      <c r="U16" s="1172"/>
      <c r="V16" s="1173"/>
      <c r="W16" s="1174"/>
      <c r="X16" s="1175"/>
      <c r="Y16" s="1176"/>
      <c r="Z16" s="1177"/>
      <c r="AA16" s="1547"/>
      <c r="AB16" s="1177"/>
      <c r="AC16" s="1548"/>
      <c r="AD16" s="1549"/>
      <c r="AE16" s="1178"/>
      <c r="AF16" s="1179"/>
      <c r="AG16" s="1171"/>
      <c r="AH16" s="104"/>
      <c r="AI16" s="1172"/>
      <c r="AJ16" s="1172"/>
      <c r="AK16" s="1172"/>
      <c r="AL16" s="1173"/>
      <c r="AM16" s="1174"/>
      <c r="AN16" s="1175"/>
      <c r="AO16" s="1176"/>
      <c r="AP16" s="1177"/>
      <c r="AQ16" s="1547"/>
      <c r="AR16" s="1177"/>
      <c r="AS16" s="1548"/>
      <c r="AT16" s="1549"/>
      <c r="AU16" s="1178"/>
      <c r="AV16" s="1179"/>
      <c r="AY16" s="3">
        <v>1</v>
      </c>
    </row>
    <row r="17" spans="2:51" ht="27" customHeight="1">
      <c r="B17" s="74" t="s">
        <v>16</v>
      </c>
      <c r="C17" s="75" t="str">
        <f>C16</f>
        <v>S SPICES FOR BLOOD SAUSAGE | |  Author &gt; Guy KRENZE - Eric GODDYN - Arnaud NICOLAS - CEPROC 2002</v>
      </c>
      <c r="D17" s="75">
        <f>D16</f>
        <v>408</v>
      </c>
      <c r="E17" s="75" t="str">
        <f>E16</f>
        <v>g</v>
      </c>
      <c r="F17" s="76" t="str">
        <f>F16</f>
        <v>Master recipe ► Black pudding in 4 variations</v>
      </c>
      <c r="G17" s="13" t="s">
        <v>66</v>
      </c>
      <c r="H17" s="13" t="s">
        <v>67</v>
      </c>
      <c r="I17" s="13" t="s">
        <v>68</v>
      </c>
      <c r="J17" s="13" t="s">
        <v>69</v>
      </c>
      <c r="K17" s="77" t="s">
        <v>70</v>
      </c>
      <c r="L17" s="78" t="s">
        <v>71</v>
      </c>
      <c r="M17" s="79" t="s">
        <v>72</v>
      </c>
      <c r="N17" s="1496" t="s">
        <v>73</v>
      </c>
      <c r="O17" s="13" t="s">
        <v>74</v>
      </c>
      <c r="P17" s="518" t="s">
        <v>75</v>
      </c>
      <c r="Q17" s="1171"/>
      <c r="R17" s="104"/>
      <c r="S17" s="1172"/>
      <c r="T17" s="1172"/>
      <c r="U17" s="1172"/>
      <c r="V17" s="1173"/>
      <c r="W17" s="1174"/>
      <c r="X17" s="1175"/>
      <c r="Y17" s="1176"/>
      <c r="Z17" s="1177"/>
      <c r="AA17" s="1547"/>
      <c r="AB17" s="1177"/>
      <c r="AC17" s="1548"/>
      <c r="AD17" s="1549"/>
      <c r="AE17" s="1178"/>
      <c r="AF17" s="1179"/>
      <c r="AG17" s="1171"/>
      <c r="AH17" s="104"/>
      <c r="AI17" s="1172"/>
      <c r="AJ17" s="1172"/>
      <c r="AK17" s="1172"/>
      <c r="AL17" s="1173"/>
      <c r="AM17" s="1174"/>
      <c r="AN17" s="1175"/>
      <c r="AO17" s="1176"/>
      <c r="AP17" s="1177"/>
      <c r="AQ17" s="1547"/>
      <c r="AR17" s="1177"/>
      <c r="AS17" s="1548"/>
      <c r="AT17" s="1549"/>
      <c r="AU17" s="1178"/>
      <c r="AV17" s="1179"/>
      <c r="AY17" s="3">
        <v>1</v>
      </c>
    </row>
    <row r="18" spans="2:51" ht="27" customHeight="1">
      <c r="B18" s="27" t="s">
        <v>11</v>
      </c>
      <c r="C18" s="32" t="str">
        <f>C16</f>
        <v>S SPICES FOR BLOOD SAUSAGE | |  Author &gt; Guy KRENZE - Eric GODDYN - Arnaud NICOLAS - CEPROC 2002</v>
      </c>
      <c r="D18" s="33">
        <f>D16</f>
        <v>408</v>
      </c>
      <c r="E18" s="32" t="str">
        <f>E16</f>
        <v>g</v>
      </c>
      <c r="F18" s="34" t="str">
        <f>F16</f>
        <v>Master recipe ► Black pudding in 4 variations</v>
      </c>
      <c r="G18" s="81" t="s">
        <v>77</v>
      </c>
      <c r="H18" s="82" t="s">
        <v>78</v>
      </c>
      <c r="I18" s="83"/>
      <c r="J18" s="5454" t="s">
        <v>228</v>
      </c>
      <c r="K18" s="5464" t="s">
        <v>80</v>
      </c>
      <c r="L18" s="5466" t="s">
        <v>81</v>
      </c>
      <c r="M18" s="84" t="s">
        <v>82</v>
      </c>
      <c r="N18" s="5444" t="s">
        <v>244</v>
      </c>
      <c r="O18" s="5446" t="s">
        <v>890</v>
      </c>
      <c r="P18" s="5448" t="s">
        <v>247</v>
      </c>
      <c r="Q18" s="1171"/>
      <c r="R18" s="104"/>
      <c r="S18" s="1172"/>
      <c r="T18" s="1172"/>
      <c r="U18" s="1172"/>
      <c r="V18" s="1173"/>
      <c r="W18" s="1174"/>
      <c r="X18" s="1175"/>
      <c r="Y18" s="1176"/>
      <c r="Z18" s="1177"/>
      <c r="AA18" s="1547"/>
      <c r="AB18" s="1177"/>
      <c r="AC18" s="1548"/>
      <c r="AD18" s="1549"/>
      <c r="AE18" s="1178"/>
      <c r="AF18" s="1179"/>
      <c r="AG18" s="1171"/>
      <c r="AH18" s="104"/>
      <c r="AI18" s="1172"/>
      <c r="AJ18" s="1172"/>
      <c r="AK18" s="1172"/>
      <c r="AL18" s="1173"/>
      <c r="AM18" s="1174"/>
      <c r="AN18" s="1175"/>
      <c r="AO18" s="1176"/>
      <c r="AP18" s="1177"/>
      <c r="AQ18" s="1547"/>
      <c r="AR18" s="1177"/>
      <c r="AS18" s="1548"/>
      <c r="AT18" s="1549"/>
      <c r="AU18" s="1178"/>
      <c r="AV18" s="1179"/>
      <c r="AY18" s="3">
        <v>1</v>
      </c>
    </row>
    <row r="19" spans="2:51" ht="27" customHeight="1">
      <c r="B19" s="27" t="s">
        <v>11</v>
      </c>
      <c r="C19" s="32" t="str">
        <f>C16</f>
        <v>S SPICES FOR BLOOD SAUSAGE | |  Author &gt; Guy KRENZE - Eric GODDYN - Arnaud NICOLAS - CEPROC 2002</v>
      </c>
      <c r="D19" s="33">
        <f>D16</f>
        <v>408</v>
      </c>
      <c r="E19" s="32" t="str">
        <f>E16</f>
        <v>g</v>
      </c>
      <c r="F19" s="34" t="str">
        <f>F16</f>
        <v>Master recipe ► Black pudding in 4 variations</v>
      </c>
      <c r="G19" s="87" t="s">
        <v>231</v>
      </c>
      <c r="H19" s="88" t="s">
        <v>232</v>
      </c>
      <c r="I19" s="89" t="s">
        <v>891</v>
      </c>
      <c r="J19" s="5455"/>
      <c r="K19" s="5465"/>
      <c r="L19" s="5467"/>
      <c r="M19" s="90" t="s">
        <v>867</v>
      </c>
      <c r="N19" s="5445"/>
      <c r="O19" s="5447"/>
      <c r="P19" s="5449"/>
      <c r="Q19" s="1171"/>
      <c r="R19" s="104"/>
      <c r="S19" s="1172"/>
      <c r="T19" s="1172"/>
      <c r="U19" s="1172"/>
      <c r="V19" s="1173"/>
      <c r="W19" s="1174"/>
      <c r="X19" s="1175"/>
      <c r="Y19" s="1176"/>
      <c r="Z19" s="1177"/>
      <c r="AA19" s="1547"/>
      <c r="AB19" s="1177"/>
      <c r="AC19" s="1548"/>
      <c r="AD19" s="1549"/>
      <c r="AE19" s="1178"/>
      <c r="AF19" s="1179"/>
      <c r="AG19" s="1171"/>
      <c r="AH19" s="104"/>
      <c r="AI19" s="1172"/>
      <c r="AJ19" s="1172"/>
      <c r="AK19" s="1172"/>
      <c r="AL19" s="1173"/>
      <c r="AM19" s="1174"/>
      <c r="AN19" s="1175"/>
      <c r="AO19" s="1176"/>
      <c r="AP19" s="1177"/>
      <c r="AQ19" s="1547"/>
      <c r="AR19" s="1177"/>
      <c r="AS19" s="1548"/>
      <c r="AT19" s="1549"/>
      <c r="AU19" s="1178"/>
      <c r="AV19" s="1179"/>
      <c r="AY19" s="3">
        <v>1</v>
      </c>
    </row>
    <row r="20" spans="2:51" ht="27" customHeight="1">
      <c r="B20" s="27" t="s">
        <v>11</v>
      </c>
      <c r="C20" s="32" t="str">
        <f>C16</f>
        <v>S SPICES FOR BLOOD SAUSAGE | |  Author &gt; Guy KRENZE - Eric GODDYN - Arnaud NICOLAS - CEPROC 2002</v>
      </c>
      <c r="D20" s="33">
        <f>D16</f>
        <v>408</v>
      </c>
      <c r="E20" s="32" t="str">
        <f>E16</f>
        <v>g</v>
      </c>
      <c r="F20" s="34" t="str">
        <f>F16</f>
        <v>Master recipe ► Black pudding in 4 variations</v>
      </c>
      <c r="G20" s="92"/>
      <c r="H20" s="108"/>
      <c r="I20" s="94" t="str">
        <f>IF(OR(ISTEXT(G20), G20&lt;=0, J20&lt;=0), "", "of")</f>
        <v/>
      </c>
      <c r="J20" s="95"/>
      <c r="K20" s="126"/>
      <c r="L20" s="127">
        <v>1</v>
      </c>
      <c r="M20" s="920" t="s">
        <v>13174</v>
      </c>
      <c r="N20" s="100">
        <f>IF(OR(ISBLANK(G14),N14=0),0,G20*L15)</f>
        <v>0</v>
      </c>
      <c r="O20" s="101" cm="1">
        <f t="array" ref="O20">IFERROR(_xlfn.LET(_xlpm.k,UPPER(TRIM(K20)),_xlpm.r,_xlfn.XLOOKUP(_xlpm.k,UPPER(TRIM(G31:P31)),G32:P32,_xlfn.XLOOKUP(_xlpm.k,UPPER(TRIM(G33:P33)),G34:P34)),_xlpm.r*J20*L20*L15*IF(ISBLANK(G20),1,G20)),0)</f>
        <v>0</v>
      </c>
      <c r="P20" s="1476" t="str">
        <f>_xlfn.LET(_xlpm.unite,SUBSTITUTE(TRIM(K20)," (s)",""),_xlpm.val,O20,_xlpm.estVol,COUNTIF(J31:P31,_xlpm.unite)+COUNTIF(J33:P33,_xlpm.unite)&gt;0,_xlpm.estPoids,COUNTIF(G31:I31,_xlpm.unite)+COUNTIF(G33:I33,_xlpm.unite)&gt;0,IF(_xlpm.estVol,IF(ROUND(_xlpm.val,3)&gt;=1,ROUND(_xlpm.val,3)&amp;" L",MAX(1,ROUND(_xlpm.val*100,0))&amp;" cl"),IF(_xlpm.estPoids,IF(ROUND(_xlpm.val,3)&gt;=1,ROUND(_xlpm.val,3)&amp;" Kg",MAX(1,ROUND(_xlpm.val*1000,0))&amp;" g"),"")))</f>
        <v/>
      </c>
      <c r="Q20" s="1171"/>
      <c r="R20" s="104"/>
      <c r="S20" s="1172"/>
      <c r="T20" s="1172"/>
      <c r="U20" s="1172"/>
      <c r="V20" s="1173"/>
      <c r="W20" s="1174"/>
      <c r="X20" s="1175"/>
      <c r="Y20" s="1176"/>
      <c r="Z20" s="1177"/>
      <c r="AA20" s="1547"/>
      <c r="AB20" s="1177"/>
      <c r="AC20" s="1548"/>
      <c r="AD20" s="1549"/>
      <c r="AE20" s="1178"/>
      <c r="AF20" s="1179"/>
      <c r="AG20" s="1171"/>
      <c r="AH20" s="104"/>
      <c r="AI20" s="1172"/>
      <c r="AJ20" s="1172"/>
      <c r="AK20" s="1172"/>
      <c r="AL20" s="1173"/>
      <c r="AM20" s="1174"/>
      <c r="AN20" s="1175"/>
      <c r="AO20" s="1176"/>
      <c r="AP20" s="1177"/>
      <c r="AQ20" s="1547"/>
      <c r="AR20" s="1177"/>
      <c r="AS20" s="1548"/>
      <c r="AT20" s="1549"/>
      <c r="AU20" s="1178"/>
      <c r="AV20" s="1179"/>
      <c r="AY20" s="3">
        <v>1</v>
      </c>
    </row>
    <row r="21" spans="2:51" ht="27" customHeight="1">
      <c r="B21" s="104" t="str">
        <f t="shared" ref="B21:B29" si="2">IF(M21&lt;&gt;"","A","►")</f>
        <v>A</v>
      </c>
      <c r="C21" s="32" t="str">
        <f>C16</f>
        <v>S SPICES FOR BLOOD SAUSAGE | |  Author &gt; Guy KRENZE - Eric GODDYN - Arnaud NICOLAS - CEPROC 2002</v>
      </c>
      <c r="D21" s="33">
        <f>D16</f>
        <v>408</v>
      </c>
      <c r="E21" s="32" t="str">
        <f>E16</f>
        <v>g</v>
      </c>
      <c r="F21" s="34" t="str">
        <f>F16</f>
        <v>Master recipe ► Black pudding in 4 variations</v>
      </c>
      <c r="G21" s="92"/>
      <c r="H21" s="108"/>
      <c r="I21" s="94" t="str">
        <f t="shared" ref="I21:I29" si="3">IF(OR(ISTEXT(G21), G21&lt;=0, J21&lt;=0), "", "of")</f>
        <v/>
      </c>
      <c r="J21" s="95">
        <v>200</v>
      </c>
      <c r="K21" s="105" t="s">
        <v>99</v>
      </c>
      <c r="L21" s="127">
        <v>1</v>
      </c>
      <c r="M21" s="920" t="s">
        <v>13175</v>
      </c>
      <c r="N21" s="1494">
        <f>IF(OR(ISBLANK(G14),N14=0),0,G21*L15)</f>
        <v>0</v>
      </c>
      <c r="O21" s="101" cm="1">
        <f t="array" ref="O21">IFERROR(_xlfn.LET(_xlpm.k,UPPER(TRIM(K21)),_xlpm.r,_xlfn.XLOOKUP(_xlpm.k,UPPER(TRIM(G31:P31)),G32:P32,_xlfn.XLOOKUP(_xlpm.k,UPPER(TRIM(G33:P33)),G34:P34)),_xlpm.r*J21*L21*L15*IF(ISBLANK(G21),1,G21)),0)</f>
        <v>4.9019607843137254E-2</v>
      </c>
      <c r="P21" s="1475" t="str">
        <f>_xlfn.LET(_xlpm.unite,SUBSTITUTE(TRIM(K21)," (s)",""),_xlpm.val,O21,_xlpm.estVol,COUNTIF(J31:P31,_xlpm.unite)+COUNTIF(J33:P33,_xlpm.unite)&gt;0,_xlpm.estPoids,COUNTIF(G31:I31,_xlpm.unite)+COUNTIF(G33:I33,_xlpm.unite)&gt;0,IF(_xlpm.estVol,IF(ROUND(_xlpm.val,3)&gt;=1,ROUND(_xlpm.val,3)&amp;" L",MAX(1,ROUND(_xlpm.val*100,0))&amp;" cl"),IF(_xlpm.estPoids,IF(ROUND(_xlpm.val,3)&gt;=1,ROUND(_xlpm.val,3)&amp;" Kg",MAX(1,ROUND(_xlpm.val*1000,0))&amp;" g"),"")))</f>
        <v>49 g</v>
      </c>
      <c r="Q21" s="1171"/>
      <c r="R21" s="104"/>
      <c r="S21" s="1172"/>
      <c r="T21" s="1172"/>
      <c r="U21" s="1172"/>
      <c r="V21" s="1173"/>
      <c r="W21" s="1174"/>
      <c r="X21" s="1175"/>
      <c r="Y21" s="1176"/>
      <c r="Z21" s="1177"/>
      <c r="AA21" s="1547"/>
      <c r="AB21" s="1177"/>
      <c r="AC21" s="1548"/>
      <c r="AD21" s="1549"/>
      <c r="AE21" s="1178"/>
      <c r="AF21" s="1179"/>
      <c r="AG21" s="1171"/>
      <c r="AH21" s="104"/>
      <c r="AI21" s="1172"/>
      <c r="AJ21" s="1172"/>
      <c r="AK21" s="1172"/>
      <c r="AL21" s="1173"/>
      <c r="AM21" s="1174"/>
      <c r="AN21" s="1175"/>
      <c r="AO21" s="1176"/>
      <c r="AP21" s="1177"/>
      <c r="AQ21" s="1547"/>
      <c r="AR21" s="1177"/>
      <c r="AS21" s="1548"/>
      <c r="AT21" s="1549"/>
      <c r="AU21" s="1178"/>
      <c r="AV21" s="1179"/>
      <c r="AY21" s="3">
        <v>1</v>
      </c>
    </row>
    <row r="22" spans="2:51" ht="27" customHeight="1">
      <c r="B22" s="104" t="str">
        <f t="shared" si="2"/>
        <v>A</v>
      </c>
      <c r="C22" s="32" t="str">
        <f>C16</f>
        <v>S SPICES FOR BLOOD SAUSAGE | |  Author &gt; Guy KRENZE - Eric GODDYN - Arnaud NICOLAS - CEPROC 2002</v>
      </c>
      <c r="D22" s="33">
        <f>D16</f>
        <v>408</v>
      </c>
      <c r="E22" s="32" t="str">
        <f>E16</f>
        <v>g</v>
      </c>
      <c r="F22" s="34" t="str">
        <f>F16</f>
        <v>Master recipe ► Black pudding in 4 variations</v>
      </c>
      <c r="G22" s="92"/>
      <c r="H22" s="108"/>
      <c r="I22" s="94" t="str">
        <f t="shared" si="3"/>
        <v/>
      </c>
      <c r="J22" s="95">
        <v>50</v>
      </c>
      <c r="K22" s="105" t="s">
        <v>99</v>
      </c>
      <c r="L22" s="127">
        <v>1</v>
      </c>
      <c r="M22" s="920" t="s">
        <v>13176</v>
      </c>
      <c r="N22" s="1494">
        <f>IF(OR(ISBLANK(G14),N14=0),0,G22*L15)</f>
        <v>0</v>
      </c>
      <c r="O22" s="101" cm="1">
        <f t="array" ref="O22">IFERROR(_xlfn.LET(_xlpm.k,UPPER(TRIM(K22)),_xlpm.r,_xlfn.XLOOKUP(_xlpm.k,UPPER(TRIM(G31:P31)),G32:P32,_xlfn.XLOOKUP(_xlpm.k,UPPER(TRIM(G33:P33)),G34:P34)),_xlpm.r*J22*L22*L15*IF(ISBLANK(G22),1,G22)),0)</f>
        <v>1.2254901960784314E-2</v>
      </c>
      <c r="P22" s="1476" t="str">
        <f>_xlfn.LET(_xlpm.unite,SUBSTITUTE(TRIM(K22)," (s)",""),_xlpm.val,O22,_xlpm.estVol,COUNTIF(J31:P31,_xlpm.unite)+COUNTIF(J33:P33,_xlpm.unite)&gt;0,_xlpm.estPoids,COUNTIF(G31:I31,_xlpm.unite)+COUNTIF(G33:I33,_xlpm.unite)&gt;0,IF(_xlpm.estVol,IF(ROUND(_xlpm.val,3)&gt;=1,ROUND(_xlpm.val,3)&amp;" L",MAX(1,ROUND(_xlpm.val*100,0))&amp;" cl"),IF(_xlpm.estPoids,IF(ROUND(_xlpm.val,3)&gt;=1,ROUND(_xlpm.val,3)&amp;" Kg",MAX(1,ROUND(_xlpm.val*1000,0))&amp;" g"),"")))</f>
        <v>12 g</v>
      </c>
      <c r="Q22" s="1171"/>
      <c r="R22" s="104"/>
      <c r="S22" s="1172"/>
      <c r="T22" s="1172"/>
      <c r="U22" s="1172"/>
      <c r="V22" s="1173"/>
      <c r="W22" s="1174"/>
      <c r="X22" s="1175"/>
      <c r="Y22" s="1176"/>
      <c r="Z22" s="1177"/>
      <c r="AA22" s="1547"/>
      <c r="AB22" s="1177"/>
      <c r="AC22" s="1548"/>
      <c r="AD22" s="1549"/>
      <c r="AE22" s="1178"/>
      <c r="AF22" s="1179"/>
      <c r="AG22" s="1171"/>
      <c r="AH22" s="104"/>
      <c r="AI22" s="1172"/>
      <c r="AJ22" s="1172"/>
      <c r="AK22" s="1172"/>
      <c r="AL22" s="1173"/>
      <c r="AM22" s="1174"/>
      <c r="AN22" s="1175"/>
      <c r="AO22" s="1176"/>
      <c r="AP22" s="1177"/>
      <c r="AQ22" s="1547"/>
      <c r="AR22" s="1177"/>
      <c r="AS22" s="1548"/>
      <c r="AT22" s="1549"/>
      <c r="AU22" s="1178"/>
      <c r="AV22" s="1179"/>
      <c r="AY22" s="3">
        <v>1</v>
      </c>
    </row>
    <row r="23" spans="2:51" ht="27" customHeight="1">
      <c r="B23" s="104" t="str">
        <f t="shared" si="2"/>
        <v>A</v>
      </c>
      <c r="C23" s="32" t="str">
        <f>C16</f>
        <v>S SPICES FOR BLOOD SAUSAGE | |  Author &gt; Guy KRENZE - Eric GODDYN - Arnaud NICOLAS - CEPROC 2002</v>
      </c>
      <c r="D23" s="33">
        <f>D16</f>
        <v>408</v>
      </c>
      <c r="E23" s="32" t="str">
        <f>E16</f>
        <v>g</v>
      </c>
      <c r="F23" s="34" t="str">
        <f>F16</f>
        <v>Master recipe ► Black pudding in 4 variations</v>
      </c>
      <c r="G23" s="92"/>
      <c r="H23" s="108"/>
      <c r="I23" s="94" t="str">
        <f t="shared" si="3"/>
        <v/>
      </c>
      <c r="J23" s="95">
        <v>60</v>
      </c>
      <c r="K23" s="105" t="s">
        <v>99</v>
      </c>
      <c r="L23" s="127">
        <v>1</v>
      </c>
      <c r="M23" s="920" t="s">
        <v>13177</v>
      </c>
      <c r="N23" s="1494">
        <f>IF(OR(ISBLANK(G14),N14=0),0,G23*L15)</f>
        <v>0</v>
      </c>
      <c r="O23" s="101" cm="1">
        <f t="array" ref="O23">IFERROR(_xlfn.LET(_xlpm.k,UPPER(TRIM(K23)),_xlpm.r,_xlfn.XLOOKUP(_xlpm.k,UPPER(TRIM(G31:P31)),G32:P32,_xlfn.XLOOKUP(_xlpm.k,UPPER(TRIM(G33:P33)),G34:P34)),_xlpm.r*J23*L23*L15*IF(ISBLANK(G23),1,G23)),0)</f>
        <v>1.4705882352941175E-2</v>
      </c>
      <c r="P23" s="1475" t="str">
        <f>_xlfn.LET(_xlpm.unite,SUBSTITUTE(TRIM(K23)," (s)",""),_xlpm.val,O23,_xlpm.estVol,COUNTIF(J31:P31,_xlpm.unite)+COUNTIF(J33:P33,_xlpm.unite)&gt;0,_xlpm.estPoids,COUNTIF(G31:I31,_xlpm.unite)+COUNTIF(G33:I33,_xlpm.unite)&gt;0,IF(_xlpm.estVol,IF(ROUND(_xlpm.val,3)&gt;=1,ROUND(_xlpm.val,3)&amp;" L",MAX(1,ROUND(_xlpm.val*100,0))&amp;" cl"),IF(_xlpm.estPoids,IF(ROUND(_xlpm.val,3)&gt;=1,ROUND(_xlpm.val,3)&amp;" Kg",MAX(1,ROUND(_xlpm.val*1000,0))&amp;" g"),"")))</f>
        <v>15 g</v>
      </c>
      <c r="Q23" s="1171"/>
      <c r="R23" s="104"/>
      <c r="S23" s="1172"/>
      <c r="T23" s="1172"/>
      <c r="U23" s="1172"/>
      <c r="V23" s="1173"/>
      <c r="W23" s="1174"/>
      <c r="X23" s="1175"/>
      <c r="Y23" s="1176"/>
      <c r="Z23" s="1177"/>
      <c r="AA23" s="1547"/>
      <c r="AB23" s="1177"/>
      <c r="AC23" s="1548"/>
      <c r="AD23" s="1549"/>
      <c r="AE23" s="1178"/>
      <c r="AF23" s="1179"/>
      <c r="AG23" s="1171"/>
      <c r="AH23" s="104"/>
      <c r="AI23" s="1172"/>
      <c r="AJ23" s="1172"/>
      <c r="AK23" s="1172"/>
      <c r="AL23" s="1173"/>
      <c r="AM23" s="1174"/>
      <c r="AN23" s="1175"/>
      <c r="AO23" s="1176"/>
      <c r="AP23" s="1177"/>
      <c r="AQ23" s="1547"/>
      <c r="AR23" s="1177"/>
      <c r="AS23" s="1548"/>
      <c r="AT23" s="1549"/>
      <c r="AU23" s="1178"/>
      <c r="AV23" s="1179"/>
      <c r="AY23" s="3">
        <v>1</v>
      </c>
    </row>
    <row r="24" spans="2:51" ht="27" customHeight="1">
      <c r="B24" s="104" t="str">
        <f t="shared" si="2"/>
        <v>A</v>
      </c>
      <c r="C24" s="32" t="str">
        <f>C16</f>
        <v>S SPICES FOR BLOOD SAUSAGE | |  Author &gt; Guy KRENZE - Eric GODDYN - Arnaud NICOLAS - CEPROC 2002</v>
      </c>
      <c r="D24" s="33">
        <f>D16</f>
        <v>408</v>
      </c>
      <c r="E24" s="32" t="str">
        <f>E16</f>
        <v>g</v>
      </c>
      <c r="F24" s="34" t="str">
        <f>F16</f>
        <v>Master recipe ► Black pudding in 4 variations</v>
      </c>
      <c r="G24" s="92"/>
      <c r="H24" s="108"/>
      <c r="I24" s="94" t="str">
        <f t="shared" si="3"/>
        <v/>
      </c>
      <c r="J24" s="95">
        <v>50</v>
      </c>
      <c r="K24" s="105" t="s">
        <v>99</v>
      </c>
      <c r="L24" s="127">
        <v>1</v>
      </c>
      <c r="M24" s="920" t="s">
        <v>13178</v>
      </c>
      <c r="N24" s="1494">
        <f>IF(OR(ISBLANK(G14),N14=0),0,G24*L15)</f>
        <v>0</v>
      </c>
      <c r="O24" s="101" cm="1">
        <f t="array" ref="O24">IFERROR(_xlfn.LET(_xlpm.k,UPPER(TRIM(K24)),_xlpm.r,_xlfn.XLOOKUP(_xlpm.k,UPPER(TRIM(G31:P31)),G32:P32,_xlfn.XLOOKUP(_xlpm.k,UPPER(TRIM(G33:P33)),G34:P34)),_xlpm.r*J24*L24*L15*IF(ISBLANK(G24),1,G24)),0)</f>
        <v>1.2254901960784314E-2</v>
      </c>
      <c r="P24" s="1476" t="str">
        <f>_xlfn.LET(_xlpm.unite,SUBSTITUTE(TRIM(K24)," (s)",""),_xlpm.val,O24,_xlpm.estVol,COUNTIF(J31:P31,_xlpm.unite)+COUNTIF(J33:P33,_xlpm.unite)&gt;0,_xlpm.estPoids,COUNTIF(G31:I31,_xlpm.unite)+COUNTIF(G33:I33,_xlpm.unite)&gt;0,IF(_xlpm.estVol,IF(ROUND(_xlpm.val,3)&gt;=1,ROUND(_xlpm.val,3)&amp;" L",MAX(1,ROUND(_xlpm.val*100,0))&amp;" cl"),IF(_xlpm.estPoids,IF(ROUND(_xlpm.val,3)&gt;=1,ROUND(_xlpm.val,3)&amp;" Kg",MAX(1,ROUND(_xlpm.val*1000,0))&amp;" g"),"")))</f>
        <v>12 g</v>
      </c>
      <c r="Q24" s="1171"/>
      <c r="R24" s="104"/>
      <c r="S24" s="1172"/>
      <c r="T24" s="1172"/>
      <c r="U24" s="1172"/>
      <c r="V24" s="1173"/>
      <c r="W24" s="1174"/>
      <c r="X24" s="1175"/>
      <c r="Y24" s="1176"/>
      <c r="Z24" s="1177"/>
      <c r="AA24" s="1547"/>
      <c r="AB24" s="1177"/>
      <c r="AC24" s="1548"/>
      <c r="AD24" s="1549"/>
      <c r="AE24" s="1178"/>
      <c r="AF24" s="1179"/>
      <c r="AG24" s="1171"/>
      <c r="AH24" s="104"/>
      <c r="AI24" s="1172"/>
      <c r="AJ24" s="1172"/>
      <c r="AK24" s="1172"/>
      <c r="AL24" s="1173"/>
      <c r="AM24" s="1174"/>
      <c r="AN24" s="1175"/>
      <c r="AO24" s="1176"/>
      <c r="AP24" s="1177"/>
      <c r="AQ24" s="1547"/>
      <c r="AR24" s="1177"/>
      <c r="AS24" s="1548"/>
      <c r="AT24" s="1549"/>
      <c r="AU24" s="1178"/>
      <c r="AV24" s="1179"/>
      <c r="AY24" s="3">
        <v>1</v>
      </c>
    </row>
    <row r="25" spans="2:51" ht="27" customHeight="1">
      <c r="B25" s="104" t="str">
        <f t="shared" si="2"/>
        <v>A</v>
      </c>
      <c r="C25" s="32" t="str">
        <f>C16</f>
        <v>S SPICES FOR BLOOD SAUSAGE | |  Author &gt; Guy KRENZE - Eric GODDYN - Arnaud NICOLAS - CEPROC 2002</v>
      </c>
      <c r="D25" s="33">
        <f>D16</f>
        <v>408</v>
      </c>
      <c r="E25" s="32" t="str">
        <f>E16</f>
        <v>g</v>
      </c>
      <c r="F25" s="34" t="str">
        <f>F16</f>
        <v>Master recipe ► Black pudding in 4 variations</v>
      </c>
      <c r="G25" s="92">
        <v>5</v>
      </c>
      <c r="H25" s="108" t="s">
        <v>13066</v>
      </c>
      <c r="I25" s="94" t="str">
        <f t="shared" si="3"/>
        <v>of</v>
      </c>
      <c r="J25" s="5110">
        <v>0.5</v>
      </c>
      <c r="K25" s="105" t="s">
        <v>99</v>
      </c>
      <c r="L25" s="127">
        <v>1</v>
      </c>
      <c r="M25" s="920" t="s">
        <v>13179</v>
      </c>
      <c r="N25" s="1494">
        <f>IF(OR(ISBLANK(G14),N14=0),0,G25*L15)</f>
        <v>1.2254901960784312</v>
      </c>
      <c r="O25" s="101" cm="1">
        <f t="array" ref="O25">IFERROR(_xlfn.LET(_xlpm.k,UPPER(TRIM(K25)),_xlpm.r,_xlfn.XLOOKUP(_xlpm.k,UPPER(TRIM(G31:P31)),G32:P32,_xlfn.XLOOKUP(_xlpm.k,UPPER(TRIM(G33:P33)),G34:P34)),_xlpm.r*J25*L25*L15*IF(ISBLANK(G25),1,G25)),0)</f>
        <v>6.1274509803921568E-4</v>
      </c>
      <c r="P25" s="1475" t="str">
        <f>_xlfn.LET(_xlpm.unite,SUBSTITUTE(TRIM(K25)," (s)",""),_xlpm.val,O25,_xlpm.estVol,COUNTIF(J31:P31,_xlpm.unite)+COUNTIF(J33:P33,_xlpm.unite)&gt;0,_xlpm.estPoids,COUNTIF(G31:I31,_xlpm.unite)+COUNTIF(G33:I33,_xlpm.unite)&gt;0,IF(_xlpm.estVol,IF(ROUND(_xlpm.val,3)&gt;=1,ROUND(_xlpm.val,3)&amp;" L",MAX(1,ROUND(_xlpm.val*100,0))&amp;" cl"),IF(_xlpm.estPoids,IF(ROUND(_xlpm.val,3)&gt;=1,ROUND(_xlpm.val,3)&amp;" Kg",MAX(1,ROUND(_xlpm.val*1000,0))&amp;" g"),"")))</f>
        <v>1 g</v>
      </c>
      <c r="Q25" s="1171"/>
      <c r="R25" s="104"/>
      <c r="S25" s="1172"/>
      <c r="T25" s="1172"/>
      <c r="U25" s="1172"/>
      <c r="V25" s="1173"/>
      <c r="W25" s="1174"/>
      <c r="X25" s="1175"/>
      <c r="Y25" s="1176"/>
      <c r="Z25" s="1177"/>
      <c r="AA25" s="1547"/>
      <c r="AB25" s="1177"/>
      <c r="AC25" s="1548"/>
      <c r="AD25" s="1549"/>
      <c r="AE25" s="1178"/>
      <c r="AF25" s="1179"/>
      <c r="AG25" s="1171"/>
      <c r="AH25" s="104"/>
      <c r="AI25" s="1172"/>
      <c r="AJ25" s="1172"/>
      <c r="AK25" s="1172"/>
      <c r="AL25" s="1173"/>
      <c r="AM25" s="1174"/>
      <c r="AN25" s="1175"/>
      <c r="AO25" s="1176"/>
      <c r="AP25" s="1177"/>
      <c r="AQ25" s="1547"/>
      <c r="AR25" s="1177"/>
      <c r="AS25" s="1548"/>
      <c r="AT25" s="1549"/>
      <c r="AU25" s="1178"/>
      <c r="AV25" s="1179"/>
      <c r="AY25" s="3">
        <v>1</v>
      </c>
    </row>
    <row r="26" spans="2:51" ht="27" customHeight="1">
      <c r="B26" s="104" t="str">
        <f t="shared" si="2"/>
        <v>A</v>
      </c>
      <c r="C26" s="32" t="str">
        <f>C16</f>
        <v>S SPICES FOR BLOOD SAUSAGE | |  Author &gt; Guy KRENZE - Eric GODDYN - Arnaud NICOLAS - CEPROC 2002</v>
      </c>
      <c r="D26" s="33">
        <f>D16</f>
        <v>408</v>
      </c>
      <c r="E26" s="32" t="str">
        <f>E16</f>
        <v>g</v>
      </c>
      <c r="F26" s="34" t="str">
        <f>F16</f>
        <v>Master recipe ► Black pudding in 4 variations</v>
      </c>
      <c r="G26" s="92"/>
      <c r="H26" s="108"/>
      <c r="I26" s="94" t="str">
        <f t="shared" si="3"/>
        <v/>
      </c>
      <c r="J26" s="95">
        <v>20</v>
      </c>
      <c r="K26" s="105" t="s">
        <v>99</v>
      </c>
      <c r="L26" s="127">
        <v>1</v>
      </c>
      <c r="M26" s="920" t="s">
        <v>13180</v>
      </c>
      <c r="N26" s="1494">
        <f>IF(OR(ISBLANK(G14),N14=0),0,G26*L15)</f>
        <v>0</v>
      </c>
      <c r="O26" s="101" cm="1">
        <f t="array" ref="O26">IFERROR(_xlfn.LET(_xlpm.k,UPPER(TRIM(K26)),_xlpm.r,_xlfn.XLOOKUP(_xlpm.k,UPPER(TRIM(G31:P31)),G32:P32,_xlfn.XLOOKUP(_xlpm.k,UPPER(TRIM(G33:P33)),G34:P34)),_xlpm.r*J26*L26*L15*IF(ISBLANK(G26),1,G26)),0)</f>
        <v>4.9019607843137254E-3</v>
      </c>
      <c r="P26" s="1476" t="str">
        <f>_xlfn.LET(_xlpm.unite,SUBSTITUTE(TRIM(K26)," (s)",""),_xlpm.val,O26,_xlpm.estVol,COUNTIF(J31:P31,_xlpm.unite)+COUNTIF(J33:P33,_xlpm.unite)&gt;0,_xlpm.estPoids,COUNTIF(G31:I31,_xlpm.unite)+COUNTIF(G33:I33,_xlpm.unite)&gt;0,IF(_xlpm.estVol,IF(ROUND(_xlpm.val,3)&gt;=1,ROUND(_xlpm.val,3)&amp;" L",MAX(1,ROUND(_xlpm.val*100,0))&amp;" cl"),IF(_xlpm.estPoids,IF(ROUND(_xlpm.val,3)&gt;=1,ROUND(_xlpm.val,3)&amp;" Kg",MAX(1,ROUND(_xlpm.val*1000,0))&amp;" g"),"")))</f>
        <v>5 g</v>
      </c>
      <c r="Q26" s="1171"/>
      <c r="R26" s="104"/>
      <c r="S26" s="1172"/>
      <c r="T26" s="1172"/>
      <c r="U26" s="1172"/>
      <c r="V26" s="1173"/>
      <c r="W26" s="1174"/>
      <c r="X26" s="1175"/>
      <c r="Y26" s="1176"/>
      <c r="Z26" s="1177"/>
      <c r="AA26" s="1547"/>
      <c r="AB26" s="1177"/>
      <c r="AC26" s="1548"/>
      <c r="AD26" s="1549"/>
      <c r="AE26" s="1178"/>
      <c r="AF26" s="1179"/>
      <c r="AG26" s="1171"/>
      <c r="AH26" s="104"/>
      <c r="AI26" s="1172"/>
      <c r="AJ26" s="1172"/>
      <c r="AK26" s="1172"/>
      <c r="AL26" s="1173"/>
      <c r="AM26" s="1174"/>
      <c r="AN26" s="1175"/>
      <c r="AO26" s="1176"/>
      <c r="AP26" s="1177"/>
      <c r="AQ26" s="1547"/>
      <c r="AR26" s="1177"/>
      <c r="AS26" s="1548"/>
      <c r="AT26" s="1549"/>
      <c r="AU26" s="1178"/>
      <c r="AV26" s="1179"/>
      <c r="AY26" s="3">
        <v>1</v>
      </c>
    </row>
    <row r="27" spans="2:51" ht="27" customHeight="1">
      <c r="B27" s="104" t="str">
        <f t="shared" si="2"/>
        <v>A</v>
      </c>
      <c r="C27" s="32" t="str">
        <f>C16</f>
        <v>S SPICES FOR BLOOD SAUSAGE | |  Author &gt; Guy KRENZE - Eric GODDYN - Arnaud NICOLAS - CEPROC 2002</v>
      </c>
      <c r="D27" s="33">
        <f>D16</f>
        <v>408</v>
      </c>
      <c r="E27" s="32" t="str">
        <f>E16</f>
        <v>g</v>
      </c>
      <c r="F27" s="34" t="str">
        <f>F16</f>
        <v>Master recipe ► Black pudding in 4 variations</v>
      </c>
      <c r="G27" s="92"/>
      <c r="H27" s="108"/>
      <c r="I27" s="94" t="str">
        <f t="shared" si="3"/>
        <v/>
      </c>
      <c r="J27" s="95">
        <v>10</v>
      </c>
      <c r="K27" s="105" t="s">
        <v>99</v>
      </c>
      <c r="L27" s="127">
        <v>1</v>
      </c>
      <c r="M27" s="920" t="s">
        <v>13181</v>
      </c>
      <c r="N27" s="1494">
        <f>IF(OR(ISBLANK(G14),N14=0),0,G27*L15)</f>
        <v>0</v>
      </c>
      <c r="O27" s="101" cm="1">
        <f t="array" ref="O27">IFERROR(_xlfn.LET(_xlpm.k,UPPER(TRIM(K27)),_xlpm.r,_xlfn.XLOOKUP(_xlpm.k,UPPER(TRIM(G31:P31)),G32:P32,_xlfn.XLOOKUP(_xlpm.k,UPPER(TRIM(G33:P33)),G34:P34)),_xlpm.r*J27*L27*L15*IF(ISBLANK(G27),1,G27)),0)</f>
        <v>2.4509803921568627E-3</v>
      </c>
      <c r="P27" s="1475" t="str">
        <f>_xlfn.LET(_xlpm.unite,SUBSTITUTE(TRIM(K27)," (s)",""),_xlpm.val,O27,_xlpm.estVol,COUNTIF(J31:P31,_xlpm.unite)+COUNTIF(J33:P33,_xlpm.unite)&gt;0,_xlpm.estPoids,COUNTIF(G31:I31,_xlpm.unite)+COUNTIF(G33:I33,_xlpm.unite)&gt;0,IF(_xlpm.estVol,IF(ROUND(_xlpm.val,3)&gt;=1,ROUND(_xlpm.val,3)&amp;" L",MAX(1,ROUND(_xlpm.val*100,0))&amp;" cl"),IF(_xlpm.estPoids,IF(ROUND(_xlpm.val,3)&gt;=1,ROUND(_xlpm.val,3)&amp;" Kg",MAX(1,ROUND(_xlpm.val*1000,0))&amp;" g"),"")))</f>
        <v>2 g</v>
      </c>
      <c r="Q27" s="1171"/>
      <c r="R27" s="104"/>
      <c r="S27" s="1172"/>
      <c r="T27" s="1172"/>
      <c r="U27" s="1172"/>
      <c r="V27" s="1173"/>
      <c r="W27" s="1174"/>
      <c r="X27" s="1175"/>
      <c r="Y27" s="1176"/>
      <c r="Z27" s="1177"/>
      <c r="AA27" s="1547"/>
      <c r="AB27" s="1177"/>
      <c r="AC27" s="1548"/>
      <c r="AD27" s="1549"/>
      <c r="AE27" s="1178"/>
      <c r="AF27" s="1179"/>
      <c r="AG27" s="1171"/>
      <c r="AH27" s="104"/>
      <c r="AI27" s="1172"/>
      <c r="AJ27" s="1172"/>
      <c r="AK27" s="1172"/>
      <c r="AL27" s="1173"/>
      <c r="AM27" s="1174"/>
      <c r="AN27" s="1175"/>
      <c r="AO27" s="1176"/>
      <c r="AP27" s="1177"/>
      <c r="AQ27" s="1547"/>
      <c r="AR27" s="1177"/>
      <c r="AS27" s="1548"/>
      <c r="AT27" s="1549"/>
      <c r="AU27" s="1178"/>
      <c r="AV27" s="1179"/>
      <c r="AY27" s="3">
        <v>1</v>
      </c>
    </row>
    <row r="28" spans="2:51" ht="27" customHeight="1">
      <c r="B28" s="104" t="str">
        <f t="shared" si="2"/>
        <v>A</v>
      </c>
      <c r="C28" s="32" t="str">
        <f>C16</f>
        <v>S SPICES FOR BLOOD SAUSAGE | |  Author &gt; Guy KRENZE - Eric GODDYN - Arnaud NICOLAS - CEPROC 2002</v>
      </c>
      <c r="D28" s="33">
        <f>D16</f>
        <v>408</v>
      </c>
      <c r="E28" s="32" t="str">
        <f>E16</f>
        <v>g</v>
      </c>
      <c r="F28" s="34" t="str">
        <f>F16</f>
        <v>Master recipe ► Black pudding in 4 variations</v>
      </c>
      <c r="G28" s="92"/>
      <c r="H28" s="108"/>
      <c r="I28" s="94" t="str">
        <f t="shared" si="3"/>
        <v/>
      </c>
      <c r="J28" s="95">
        <v>15</v>
      </c>
      <c r="K28" s="105" t="s">
        <v>99</v>
      </c>
      <c r="L28" s="127">
        <v>1</v>
      </c>
      <c r="M28" s="920" t="s">
        <v>13182</v>
      </c>
      <c r="N28" s="1494">
        <f>IF(OR(ISBLANK(G14),N14=0),0,G28*L15)</f>
        <v>0</v>
      </c>
      <c r="O28" s="101" cm="1">
        <f t="array" ref="O28">IFERROR(_xlfn.LET(_xlpm.k,UPPER(TRIM(K28)),_xlpm.r,_xlfn.XLOOKUP(_xlpm.k,UPPER(TRIM(G31:P31)),G32:P32,_xlfn.XLOOKUP(_xlpm.k,UPPER(TRIM(G33:P33)),G34:P34)),_xlpm.r*J28*L28*L15*IF(ISBLANK(G28),1,G28)),0)</f>
        <v>3.6764705882352936E-3</v>
      </c>
      <c r="P28" s="1476" t="str">
        <f>_xlfn.LET(_xlpm.unite,SUBSTITUTE(TRIM(K28)," (s)",""),_xlpm.val,O28,_xlpm.estVol,COUNTIF(J31:P31,_xlpm.unite)+COUNTIF(J33:P33,_xlpm.unite)&gt;0,_xlpm.estPoids,COUNTIF(G31:I31,_xlpm.unite)+COUNTIF(G33:I33,_xlpm.unite)&gt;0,IF(_xlpm.estVol,IF(ROUND(_xlpm.val,3)&gt;=1,ROUND(_xlpm.val,3)&amp;" L",MAX(1,ROUND(_xlpm.val*100,0))&amp;" cl"),IF(_xlpm.estPoids,IF(ROUND(_xlpm.val,3)&gt;=1,ROUND(_xlpm.val,3)&amp;" Kg",MAX(1,ROUND(_xlpm.val*1000,0))&amp;" g"),"")))</f>
        <v>4 g</v>
      </c>
      <c r="Q28" s="1171"/>
      <c r="R28" s="104"/>
      <c r="S28" s="1172"/>
      <c r="T28" s="1172"/>
      <c r="U28" s="1172"/>
      <c r="V28" s="1173"/>
      <c r="W28" s="1174"/>
      <c r="X28" s="1175"/>
      <c r="Y28" s="1176"/>
      <c r="Z28" s="1177"/>
      <c r="AA28" s="1547"/>
      <c r="AB28" s="1177"/>
      <c r="AC28" s="1548"/>
      <c r="AD28" s="1549"/>
      <c r="AE28" s="1178"/>
      <c r="AF28" s="1179"/>
      <c r="AG28" s="1171"/>
      <c r="AH28" s="104"/>
      <c r="AI28" s="1172"/>
      <c r="AJ28" s="1172"/>
      <c r="AK28" s="1172"/>
      <c r="AL28" s="1173"/>
      <c r="AM28" s="1174"/>
      <c r="AN28" s="1175"/>
      <c r="AO28" s="1176"/>
      <c r="AP28" s="1177"/>
      <c r="AQ28" s="1547"/>
      <c r="AR28" s="1177"/>
      <c r="AS28" s="1548"/>
      <c r="AT28" s="1549"/>
      <c r="AU28" s="1178"/>
      <c r="AV28" s="1179"/>
      <c r="AY28" s="3">
        <v>1</v>
      </c>
    </row>
    <row r="29" spans="2:51" ht="27" customHeight="1">
      <c r="B29" s="104" t="str">
        <f t="shared" si="2"/>
        <v>►</v>
      </c>
      <c r="C29" s="32" t="str">
        <f>C16</f>
        <v>S SPICES FOR BLOOD SAUSAGE | |  Author &gt; Guy KRENZE - Eric GODDYN - Arnaud NICOLAS - CEPROC 2002</v>
      </c>
      <c r="D29" s="33">
        <f>D16</f>
        <v>408</v>
      </c>
      <c r="E29" s="32" t="str">
        <f>E16</f>
        <v>g</v>
      </c>
      <c r="F29" s="34" t="str">
        <f>F16</f>
        <v>Master recipe ► Black pudding in 4 variations</v>
      </c>
      <c r="G29" s="92"/>
      <c r="H29" s="108"/>
      <c r="I29" s="94" t="str">
        <f t="shared" si="3"/>
        <v/>
      </c>
      <c r="J29" s="95"/>
      <c r="K29" s="126"/>
      <c r="L29" s="127">
        <v>1</v>
      </c>
      <c r="M29" s="920"/>
      <c r="N29" s="1494">
        <f>IF(OR(ISBLANK(G14),N14=0),0,G29*L15)</f>
        <v>0</v>
      </c>
      <c r="O29" s="101" cm="1">
        <f t="array" ref="O29">IFERROR(_xlfn.LET(_xlpm.k,UPPER(TRIM(K29)),_xlpm.r,_xlfn.XLOOKUP(_xlpm.k,UPPER(TRIM(G31:P31)),G32:P32,_xlfn.XLOOKUP(_xlpm.k,UPPER(TRIM(G33:P33)),G34:P34)),_xlpm.r*J29*L29*L15*IF(ISBLANK(G29),1,G29)),0)</f>
        <v>0</v>
      </c>
      <c r="P29" s="1475" t="str">
        <f>_xlfn.LET(_xlpm.unite,SUBSTITUTE(TRIM(K29)," (s)",""),_xlpm.val,O29,_xlpm.estVol,COUNTIF(J31:P31,_xlpm.unite)+COUNTIF(J33:P33,_xlpm.unite)&gt;0,_xlpm.estPoids,COUNTIF(G31:I31,_xlpm.unite)+COUNTIF(G33:I33,_xlpm.unite)&gt;0,IF(_xlpm.estVol,IF(ROUND(_xlpm.val,3)&gt;=1,ROUND(_xlpm.val,3)&amp;" L",MAX(1,ROUND(_xlpm.val*100,0))&amp;" cl"),IF(_xlpm.estPoids,IF(ROUND(_xlpm.val,3)&gt;=1,ROUND(_xlpm.val,3)&amp;" Kg",MAX(1,ROUND(_xlpm.val*1000,0))&amp;" g"),"")))</f>
        <v/>
      </c>
      <c r="Q29" s="1171"/>
      <c r="R29" s="104"/>
      <c r="S29" s="1172"/>
      <c r="T29" s="1172"/>
      <c r="U29" s="1172"/>
      <c r="V29" s="1173"/>
      <c r="W29" s="1174"/>
      <c r="X29" s="1175"/>
      <c r="Y29" s="1176"/>
      <c r="Z29" s="1177"/>
      <c r="AA29" s="1547"/>
      <c r="AB29" s="1177"/>
      <c r="AC29" s="1548"/>
      <c r="AD29" s="1549"/>
      <c r="AE29" s="1178"/>
      <c r="AF29" s="1179"/>
      <c r="AG29" s="1171"/>
      <c r="AH29" s="104"/>
      <c r="AI29" s="1172"/>
      <c r="AJ29" s="1172"/>
      <c r="AK29" s="1172"/>
      <c r="AL29" s="1173"/>
      <c r="AM29" s="1174"/>
      <c r="AN29" s="1175"/>
      <c r="AO29" s="1176"/>
      <c r="AP29" s="1177"/>
      <c r="AQ29" s="1547"/>
      <c r="AR29" s="1177"/>
      <c r="AS29" s="1548"/>
      <c r="AT29" s="1549"/>
      <c r="AU29" s="1178"/>
      <c r="AV29" s="1179"/>
      <c r="AY29" s="3">
        <v>1</v>
      </c>
    </row>
    <row r="30" spans="2:51" ht="27" customHeight="1">
      <c r="B30" s="104" t="s">
        <v>11</v>
      </c>
      <c r="C30" s="32" t="str">
        <f>C16</f>
        <v>S SPICES FOR BLOOD SAUSAGE | |  Author &gt; Guy KRENZE - Eric GODDYN - Arnaud NICOLAS - CEPROC 2002</v>
      </c>
      <c r="D30" s="33">
        <f>D16</f>
        <v>408</v>
      </c>
      <c r="E30" s="32" t="str">
        <f>E16</f>
        <v>g</v>
      </c>
      <c r="F30" s="34" t="str">
        <f>F16</f>
        <v>Master recipe ► Black pudding in 4 variations</v>
      </c>
      <c r="G30" s="907" t="s">
        <v>136</v>
      </c>
      <c r="H30" s="500"/>
      <c r="I30" s="500"/>
      <c r="J30" s="500"/>
      <c r="K30" s="500"/>
      <c r="L30" s="908"/>
      <c r="M30" s="909"/>
      <c r="N30" s="909"/>
      <c r="O30" s="5164">
        <f>SUM(O20:O29)</f>
        <v>9.9877450980392149E-2</v>
      </c>
      <c r="P30" s="1489"/>
      <c r="Q30" s="1171"/>
      <c r="R30" s="104"/>
      <c r="S30" s="1172"/>
      <c r="T30" s="1172"/>
      <c r="U30" s="1172"/>
      <c r="V30" s="1173"/>
      <c r="W30" s="1174"/>
      <c r="X30" s="1175"/>
      <c r="Y30" s="1176"/>
      <c r="Z30" s="1177"/>
      <c r="AA30" s="1547"/>
      <c r="AB30" s="1177"/>
      <c r="AC30" s="1548"/>
      <c r="AD30" s="1549"/>
      <c r="AE30" s="1178"/>
      <c r="AF30" s="1179"/>
      <c r="AG30" s="1171"/>
      <c r="AH30" s="104"/>
      <c r="AI30" s="1172"/>
      <c r="AJ30" s="1172"/>
      <c r="AK30" s="1172"/>
      <c r="AL30" s="1173"/>
      <c r="AM30" s="1174"/>
      <c r="AN30" s="1175"/>
      <c r="AO30" s="1176"/>
      <c r="AP30" s="1177"/>
      <c r="AQ30" s="1547"/>
      <c r="AR30" s="1177"/>
      <c r="AS30" s="1548"/>
      <c r="AT30" s="1549"/>
      <c r="AU30" s="1178"/>
      <c r="AV30" s="1179"/>
      <c r="AY30" s="3">
        <v>1</v>
      </c>
    </row>
    <row r="31" spans="2:51" ht="27" customHeight="1">
      <c r="B31" s="104" t="s">
        <v>16</v>
      </c>
      <c r="C31" s="32" t="str">
        <f>C16</f>
        <v>S SPICES FOR BLOOD SAUSAGE | |  Author &gt; Guy KRENZE - Eric GODDYN - Arnaud NICOLAS - CEPROC 2002</v>
      </c>
      <c r="D31" s="33">
        <f>D16</f>
        <v>408</v>
      </c>
      <c r="E31" s="32" t="str">
        <f>E16</f>
        <v>g</v>
      </c>
      <c r="F31" s="34" t="str">
        <f>F16</f>
        <v>Master recipe ► Black pudding in 4 variations</v>
      </c>
      <c r="G31" s="140" t="s">
        <v>143</v>
      </c>
      <c r="H31" s="105" t="s">
        <v>99</v>
      </c>
      <c r="I31" s="141" t="s">
        <v>144</v>
      </c>
      <c r="J31" s="96" t="s">
        <v>0</v>
      </c>
      <c r="K31" s="96" t="s">
        <v>96</v>
      </c>
      <c r="L31" s="96" t="s">
        <v>147</v>
      </c>
      <c r="M31" s="96" t="s">
        <v>148</v>
      </c>
      <c r="N31" s="109" t="s">
        <v>1378</v>
      </c>
      <c r="O31" s="109" t="s">
        <v>1360</v>
      </c>
      <c r="P31" s="109" t="s">
        <v>1361</v>
      </c>
      <c r="Q31" s="1171"/>
      <c r="R31" s="104"/>
      <c r="S31" s="1172"/>
      <c r="T31" s="1172"/>
      <c r="U31" s="1172"/>
      <c r="V31" s="1173"/>
      <c r="W31" s="1174"/>
      <c r="X31" s="1175"/>
      <c r="Y31" s="1176"/>
      <c r="Z31" s="1177"/>
      <c r="AA31" s="1547"/>
      <c r="AB31" s="1177"/>
      <c r="AC31" s="1548"/>
      <c r="AD31" s="1549"/>
      <c r="AE31" s="1178"/>
      <c r="AF31" s="1179"/>
      <c r="AG31" s="1171"/>
      <c r="AH31" s="104"/>
      <c r="AI31" s="1172"/>
      <c r="AJ31" s="1172"/>
      <c r="AK31" s="1172"/>
      <c r="AL31" s="1173"/>
      <c r="AM31" s="1174"/>
      <c r="AN31" s="1175"/>
      <c r="AO31" s="1176"/>
      <c r="AP31" s="1177"/>
      <c r="AQ31" s="1547"/>
      <c r="AR31" s="1177"/>
      <c r="AS31" s="1548"/>
      <c r="AT31" s="1549"/>
      <c r="AU31" s="1178"/>
      <c r="AV31" s="1179"/>
      <c r="AY31" s="3">
        <v>1</v>
      </c>
    </row>
    <row r="32" spans="2:51" ht="27" customHeight="1">
      <c r="B32" s="104" t="s">
        <v>16</v>
      </c>
      <c r="C32" s="32" t="str">
        <f>C16</f>
        <v>S SPICES FOR BLOOD SAUSAGE | |  Author &gt; Guy KRENZE - Eric GODDYN - Arnaud NICOLAS - CEPROC 2002</v>
      </c>
      <c r="D32" s="33">
        <f>D16</f>
        <v>408</v>
      </c>
      <c r="E32" s="32" t="str">
        <f>E16</f>
        <v>g</v>
      </c>
      <c r="F32" s="34" t="str">
        <f>F16</f>
        <v>Master recipe ► Black pudding in 4 variations</v>
      </c>
      <c r="G32" s="911">
        <v>1</v>
      </c>
      <c r="H32" s="912">
        <v>1E-3</v>
      </c>
      <c r="I32" s="913">
        <v>0</v>
      </c>
      <c r="J32" s="914">
        <v>1</v>
      </c>
      <c r="K32" s="914">
        <v>0.1</v>
      </c>
      <c r="L32" s="914">
        <v>0.01</v>
      </c>
      <c r="M32" s="914">
        <v>1E-3</v>
      </c>
      <c r="N32" s="914">
        <v>0.25</v>
      </c>
      <c r="O32" s="914">
        <v>0.5</v>
      </c>
      <c r="P32" s="914">
        <v>0.33300000000000002</v>
      </c>
      <c r="Q32" s="1171"/>
      <c r="R32" s="104"/>
      <c r="S32" s="1172"/>
      <c r="T32" s="1172"/>
      <c r="U32" s="1172"/>
      <c r="V32" s="1173"/>
      <c r="W32" s="1174"/>
      <c r="X32" s="1175"/>
      <c r="Y32" s="1176"/>
      <c r="Z32" s="1177"/>
      <c r="AA32" s="1547"/>
      <c r="AB32" s="1177"/>
      <c r="AC32" s="1548"/>
      <c r="AD32" s="1549"/>
      <c r="AE32" s="1178"/>
      <c r="AF32" s="1179"/>
      <c r="AG32" s="1171"/>
      <c r="AH32" s="104"/>
      <c r="AI32" s="1172"/>
      <c r="AJ32" s="1172"/>
      <c r="AK32" s="1172"/>
      <c r="AL32" s="1173"/>
      <c r="AM32" s="1174"/>
      <c r="AN32" s="1175"/>
      <c r="AO32" s="1176"/>
      <c r="AP32" s="1177"/>
      <c r="AQ32" s="1547"/>
      <c r="AR32" s="1177"/>
      <c r="AS32" s="1548"/>
      <c r="AT32" s="1549"/>
      <c r="AU32" s="1178"/>
      <c r="AV32" s="1179"/>
      <c r="AY32" s="3">
        <v>1</v>
      </c>
    </row>
    <row r="33" spans="2:51" ht="27" customHeight="1">
      <c r="B33" s="104" t="s">
        <v>16</v>
      </c>
      <c r="C33" s="32" t="str">
        <f>C16</f>
        <v>S SPICES FOR BLOOD SAUSAGE | |  Author &gt; Guy KRENZE - Eric GODDYN - Arnaud NICOLAS - CEPROC 2002</v>
      </c>
      <c r="D33" s="33">
        <f>D16</f>
        <v>408</v>
      </c>
      <c r="E33" s="32" t="str">
        <f>E16</f>
        <v>g</v>
      </c>
      <c r="F33" s="34" t="str">
        <f>F16</f>
        <v>Master recipe ► Black pudding in 4 variations</v>
      </c>
      <c r="G33" s="142" t="s">
        <v>1357</v>
      </c>
      <c r="H33" s="117" t="s">
        <v>1359</v>
      </c>
      <c r="I33" s="141" t="s">
        <v>144</v>
      </c>
      <c r="J33" s="109" t="s">
        <v>1362</v>
      </c>
      <c r="K33" s="109" t="s">
        <v>1371</v>
      </c>
      <c r="L33" s="109" t="s">
        <v>1372</v>
      </c>
      <c r="M33" s="109" t="s">
        <v>1370</v>
      </c>
      <c r="N33" s="149" t="s">
        <v>1368</v>
      </c>
      <c r="O33" s="149" t="s">
        <v>1367</v>
      </c>
      <c r="P33" s="1061" t="s">
        <v>1832</v>
      </c>
      <c r="Q33" s="1171"/>
      <c r="R33" s="104"/>
      <c r="S33" s="1172"/>
      <c r="T33" s="1172"/>
      <c r="U33" s="1172"/>
      <c r="V33" s="1173"/>
      <c r="W33" s="1174"/>
      <c r="X33" s="1175"/>
      <c r="Y33" s="1176"/>
      <c r="Z33" s="1177"/>
      <c r="AA33" s="1547"/>
      <c r="AB33" s="1177"/>
      <c r="AC33" s="1548"/>
      <c r="AD33" s="1549"/>
      <c r="AE33" s="1178"/>
      <c r="AF33" s="1179"/>
      <c r="AG33" s="1171"/>
      <c r="AH33" s="104"/>
      <c r="AI33" s="1172"/>
      <c r="AJ33" s="1172"/>
      <c r="AK33" s="1172"/>
      <c r="AL33" s="1173"/>
      <c r="AM33" s="1174"/>
      <c r="AN33" s="1175"/>
      <c r="AO33" s="1176"/>
      <c r="AP33" s="1177"/>
      <c r="AQ33" s="1547"/>
      <c r="AR33" s="1177"/>
      <c r="AS33" s="1548"/>
      <c r="AT33" s="1549"/>
      <c r="AU33" s="1178"/>
      <c r="AV33" s="1179"/>
      <c r="AY33" s="3">
        <v>1</v>
      </c>
    </row>
    <row r="34" spans="2:51" ht="27" customHeight="1">
      <c r="B34" s="104" t="s">
        <v>16</v>
      </c>
      <c r="C34" s="32" t="str">
        <f>C16</f>
        <v>S SPICES FOR BLOOD SAUSAGE | |  Author &gt; Guy KRENZE - Eric GODDYN - Arnaud NICOLAS - CEPROC 2002</v>
      </c>
      <c r="D34" s="33">
        <f>D16</f>
        <v>408</v>
      </c>
      <c r="E34" s="32" t="str">
        <f>E16</f>
        <v>g</v>
      </c>
      <c r="F34" s="34" t="str">
        <f>F16</f>
        <v>Master recipe ► Black pudding in 4 variations</v>
      </c>
      <c r="G34" s="912">
        <v>0.25</v>
      </c>
      <c r="H34" s="912">
        <v>0.5</v>
      </c>
      <c r="I34" s="913">
        <v>0</v>
      </c>
      <c r="J34" s="914">
        <v>0.2</v>
      </c>
      <c r="K34" s="914">
        <v>0.1</v>
      </c>
      <c r="L34" s="914">
        <v>0.22500000000000001</v>
      </c>
      <c r="M34" s="914">
        <v>1.4999999999999999E-2</v>
      </c>
      <c r="N34" s="914">
        <v>4.9299999999999995E-3</v>
      </c>
      <c r="O34" s="914">
        <v>0.35</v>
      </c>
      <c r="P34" s="915">
        <v>0.25</v>
      </c>
      <c r="Q34" s="1171"/>
      <c r="R34" s="104"/>
      <c r="S34" s="1172"/>
      <c r="T34" s="1172"/>
      <c r="U34" s="1172"/>
      <c r="V34" s="1173"/>
      <c r="W34" s="1174"/>
      <c r="X34" s="1175"/>
      <c r="Y34" s="1176"/>
      <c r="Z34" s="1177"/>
      <c r="AA34" s="1547"/>
      <c r="AB34" s="1177"/>
      <c r="AC34" s="1548"/>
      <c r="AD34" s="1549"/>
      <c r="AE34" s="1178"/>
      <c r="AF34" s="1179"/>
      <c r="AG34" s="1171"/>
      <c r="AH34" s="104"/>
      <c r="AI34" s="1172"/>
      <c r="AJ34" s="1172"/>
      <c r="AK34" s="1172"/>
      <c r="AL34" s="1173"/>
      <c r="AM34" s="1174"/>
      <c r="AN34" s="1175"/>
      <c r="AO34" s="1176"/>
      <c r="AP34" s="1177"/>
      <c r="AQ34" s="1547"/>
      <c r="AR34" s="1177"/>
      <c r="AS34" s="1548"/>
      <c r="AT34" s="1549"/>
      <c r="AU34" s="1178"/>
      <c r="AV34" s="1179"/>
      <c r="AY34" s="3">
        <v>1</v>
      </c>
    </row>
    <row r="35" spans="2:51" ht="27" customHeight="1">
      <c r="B35" s="104" t="s">
        <v>16</v>
      </c>
      <c r="C35" s="32" t="str">
        <f>C16</f>
        <v>S SPICES FOR BLOOD SAUSAGE | |  Author &gt; Guy KRENZE - Eric GODDYN - Arnaud NICOLAS - CEPROC 2002</v>
      </c>
      <c r="D35" s="33">
        <f>D16</f>
        <v>408</v>
      </c>
      <c r="E35" s="32" t="str">
        <f>E16</f>
        <v>g</v>
      </c>
      <c r="F35" s="34" t="str">
        <f>F16</f>
        <v>Master recipe ► Black pudding in 4 variations</v>
      </c>
      <c r="G35" s="154" t="str">
        <f>G17</f>
        <v>Col.6</v>
      </c>
      <c r="H35" s="154" t="str">
        <f>H17</f>
        <v>Col.7</v>
      </c>
      <c r="I35" s="155" t="s">
        <v>3295</v>
      </c>
      <c r="J35" s="155"/>
      <c r="K35" s="155"/>
      <c r="L35" s="155"/>
      <c r="M35" s="155"/>
      <c r="N35" s="155"/>
      <c r="O35" s="155"/>
      <c r="P35" s="1477"/>
      <c r="Q35" s="1171"/>
      <c r="R35" s="104"/>
      <c r="S35" s="1172"/>
      <c r="T35" s="1172"/>
      <c r="U35" s="1172"/>
      <c r="V35" s="1173"/>
      <c r="W35" s="1174"/>
      <c r="X35" s="1175"/>
      <c r="Y35" s="1176"/>
      <c r="Z35" s="1177"/>
      <c r="AA35" s="1547"/>
      <c r="AB35" s="1177"/>
      <c r="AC35" s="1548"/>
      <c r="AD35" s="1549"/>
      <c r="AE35" s="1178"/>
      <c r="AF35" s="1179"/>
      <c r="AG35" s="1171"/>
      <c r="AH35" s="104"/>
      <c r="AI35" s="1172"/>
      <c r="AJ35" s="1172"/>
      <c r="AK35" s="1172"/>
      <c r="AL35" s="1173"/>
      <c r="AM35" s="1174"/>
      <c r="AN35" s="1175"/>
      <c r="AO35" s="1176"/>
      <c r="AP35" s="1177"/>
      <c r="AQ35" s="1547"/>
      <c r="AR35" s="1177"/>
      <c r="AS35" s="1548"/>
      <c r="AT35" s="1549"/>
      <c r="AU35" s="1178"/>
      <c r="AV35" s="1179"/>
      <c r="AY35" s="3">
        <v>1</v>
      </c>
    </row>
    <row r="36" spans="2:51" ht="27" customHeight="1">
      <c r="B36" s="104" t="s">
        <v>16</v>
      </c>
      <c r="C36" s="157" t="str">
        <f>C16</f>
        <v>S SPICES FOR BLOOD SAUSAGE | |  Author &gt; Guy KRENZE - Eric GODDYN - Arnaud NICOLAS - CEPROC 2002</v>
      </c>
      <c r="D36" s="157">
        <f>D16</f>
        <v>408</v>
      </c>
      <c r="E36" s="158" t="str">
        <f>E16</f>
        <v>g</v>
      </c>
      <c r="F36" s="159" t="str">
        <f>F16</f>
        <v>Master recipe ► Black pudding in 4 variations</v>
      </c>
      <c r="G36" s="232" t="s">
        <v>752</v>
      </c>
      <c r="H36" s="161" t="s">
        <v>3327</v>
      </c>
      <c r="I36" s="162"/>
      <c r="J36" s="162"/>
      <c r="K36" s="172"/>
      <c r="L36" s="172"/>
      <c r="M36" s="172"/>
      <c r="N36" s="172"/>
      <c r="O36" s="156" t="s">
        <v>894</v>
      </c>
      <c r="P36" s="1484" t="s">
        <v>3276</v>
      </c>
      <c r="Q36" s="1171"/>
      <c r="R36" s="104"/>
      <c r="S36" s="1172"/>
      <c r="T36" s="1172"/>
      <c r="U36" s="1172"/>
      <c r="V36" s="1173"/>
      <c r="W36" s="1174"/>
      <c r="X36" s="1175"/>
      <c r="Y36" s="1176"/>
      <c r="Z36" s="1177"/>
      <c r="AA36" s="1547"/>
      <c r="AB36" s="1177"/>
      <c r="AC36" s="1548"/>
      <c r="AD36" s="1549"/>
      <c r="AE36" s="1178"/>
      <c r="AF36" s="1179"/>
      <c r="AG36" s="1171"/>
      <c r="AH36" s="104"/>
      <c r="AI36" s="1172"/>
      <c r="AJ36" s="1172"/>
      <c r="AK36" s="1172"/>
      <c r="AL36" s="1173"/>
      <c r="AM36" s="1174"/>
      <c r="AN36" s="1175"/>
      <c r="AO36" s="1176"/>
      <c r="AP36" s="1177"/>
      <c r="AQ36" s="1547"/>
      <c r="AR36" s="1177"/>
      <c r="AS36" s="1548"/>
      <c r="AT36" s="1549"/>
      <c r="AU36" s="1178"/>
      <c r="AV36" s="1179"/>
      <c r="AY36" s="3">
        <v>1</v>
      </c>
    </row>
    <row r="37" spans="2:51" ht="27" customHeight="1">
      <c r="B37" s="104" t="s">
        <v>16</v>
      </c>
      <c r="C37" s="157" t="str">
        <f>C16</f>
        <v>S SPICES FOR BLOOD SAUSAGE | |  Author &gt; Guy KRENZE - Eric GODDYN - Arnaud NICOLAS - CEPROC 2002</v>
      </c>
      <c r="D37" s="157">
        <f>D16</f>
        <v>408</v>
      </c>
      <c r="E37" s="158" t="str">
        <f>E16</f>
        <v>g</v>
      </c>
      <c r="F37" s="159" t="str">
        <f>F16</f>
        <v>Master recipe ► Black pudding in 4 variations</v>
      </c>
      <c r="G37" s="172"/>
      <c r="H37" s="172"/>
      <c r="I37" s="172"/>
      <c r="J37" s="172"/>
      <c r="K37" s="172"/>
      <c r="L37" s="172"/>
      <c r="M37" s="172"/>
      <c r="N37" s="172"/>
      <c r="O37" s="1474" t="s">
        <v>895</v>
      </c>
      <c r="P37" s="1482" t="s">
        <v>668</v>
      </c>
      <c r="Q37" s="1171"/>
      <c r="R37" s="104"/>
      <c r="S37" s="1172"/>
      <c r="T37" s="1172"/>
      <c r="U37" s="1172"/>
      <c r="V37" s="1173"/>
      <c r="W37" s="1174"/>
      <c r="X37" s="1175"/>
      <c r="Y37" s="1176"/>
      <c r="Z37" s="1177"/>
      <c r="AA37" s="1547"/>
      <c r="AB37" s="1177"/>
      <c r="AC37" s="1548"/>
      <c r="AD37" s="1549"/>
      <c r="AE37" s="1178"/>
      <c r="AF37" s="1179"/>
      <c r="AG37" s="1171"/>
      <c r="AH37" s="104"/>
      <c r="AI37" s="1172"/>
      <c r="AJ37" s="1172"/>
      <c r="AK37" s="1172"/>
      <c r="AL37" s="1173"/>
      <c r="AM37" s="1174"/>
      <c r="AN37" s="1175"/>
      <c r="AO37" s="1176"/>
      <c r="AP37" s="1177"/>
      <c r="AQ37" s="1547"/>
      <c r="AR37" s="1177"/>
      <c r="AS37" s="1548"/>
      <c r="AT37" s="1549"/>
      <c r="AU37" s="1178"/>
      <c r="AV37" s="1179"/>
      <c r="AY37" s="3">
        <v>1</v>
      </c>
    </row>
    <row r="38" spans="2:51" ht="27" customHeight="1">
      <c r="B38" s="104" t="s">
        <v>16</v>
      </c>
      <c r="C38" s="157" t="str">
        <f>C16</f>
        <v>S SPICES FOR BLOOD SAUSAGE | |  Author &gt; Guy KRENZE - Eric GODDYN - Arnaud NICOLAS - CEPROC 2002</v>
      </c>
      <c r="D38" s="157">
        <f>D16</f>
        <v>408</v>
      </c>
      <c r="E38" s="158" t="str">
        <f>E16</f>
        <v>g</v>
      </c>
      <c r="F38" s="159" t="str">
        <f>F16</f>
        <v>Master recipe ► Black pudding in 4 variations</v>
      </c>
      <c r="G38" s="172" t="s">
        <v>13253</v>
      </c>
      <c r="H38" s="172"/>
      <c r="I38" s="172"/>
      <c r="J38" s="172"/>
      <c r="K38" s="172"/>
      <c r="L38" s="172"/>
      <c r="M38" s="172"/>
      <c r="N38" s="172"/>
      <c r="O38" s="172"/>
      <c r="P38" s="555"/>
      <c r="Q38" s="1171"/>
      <c r="R38" s="104"/>
      <c r="S38" s="1172"/>
      <c r="T38" s="1172"/>
      <c r="U38" s="1172"/>
      <c r="V38" s="1173"/>
      <c r="W38" s="1174"/>
      <c r="X38" s="1175"/>
      <c r="Y38" s="1176"/>
      <c r="Z38" s="1177"/>
      <c r="AA38" s="1547"/>
      <c r="AB38" s="1177"/>
      <c r="AC38" s="1548"/>
      <c r="AD38" s="1549"/>
      <c r="AE38" s="1178"/>
      <c r="AF38" s="1179"/>
      <c r="AG38" s="1171"/>
      <c r="AH38" s="104"/>
      <c r="AI38" s="1172"/>
      <c r="AJ38" s="1172"/>
      <c r="AK38" s="1172"/>
      <c r="AL38" s="1173"/>
      <c r="AM38" s="1174"/>
      <c r="AN38" s="1175"/>
      <c r="AO38" s="1176"/>
      <c r="AP38" s="1177"/>
      <c r="AQ38" s="1547"/>
      <c r="AR38" s="1177"/>
      <c r="AS38" s="1548"/>
      <c r="AT38" s="1549"/>
      <c r="AU38" s="1178"/>
      <c r="AV38" s="1179"/>
      <c r="AY38" s="3">
        <v>1</v>
      </c>
    </row>
    <row r="39" spans="2:51" ht="27" customHeight="1">
      <c r="B39" s="104" t="s">
        <v>16</v>
      </c>
      <c r="C39" s="157" t="str">
        <f>C16</f>
        <v>S SPICES FOR BLOOD SAUSAGE | |  Author &gt; Guy KRENZE - Eric GODDYN - Arnaud NICOLAS - CEPROC 2002</v>
      </c>
      <c r="D39" s="157">
        <f>D16</f>
        <v>408</v>
      </c>
      <c r="E39" s="158" t="str">
        <f>E16</f>
        <v>g</v>
      </c>
      <c r="F39" s="159" t="str">
        <f>F16</f>
        <v>Master recipe ► Black pudding in 4 variations</v>
      </c>
      <c r="G39" s="172" t="s">
        <v>13254</v>
      </c>
      <c r="H39" s="172"/>
      <c r="I39" s="172"/>
      <c r="J39" s="172"/>
      <c r="K39" s="172"/>
      <c r="L39" s="172"/>
      <c r="M39" s="172"/>
      <c r="N39" s="172"/>
      <c r="O39" s="170" t="s">
        <v>676</v>
      </c>
      <c r="P39" s="171">
        <v>3.472222222222222E-3</v>
      </c>
      <c r="Q39" s="1171"/>
      <c r="R39" s="104"/>
      <c r="S39" s="1172"/>
      <c r="T39" s="1172"/>
      <c r="U39" s="1172"/>
      <c r="V39" s="1173"/>
      <c r="W39" s="1174"/>
      <c r="X39" s="1175"/>
      <c r="Y39" s="1176"/>
      <c r="Z39" s="1177"/>
      <c r="AA39" s="1547"/>
      <c r="AB39" s="1177"/>
      <c r="AC39" s="1548"/>
      <c r="AD39" s="1549"/>
      <c r="AE39" s="1178"/>
      <c r="AF39" s="1179"/>
      <c r="AG39" s="1171"/>
      <c r="AH39" s="104"/>
      <c r="AI39" s="1172"/>
      <c r="AJ39" s="1172"/>
      <c r="AK39" s="1172"/>
      <c r="AL39" s="1173"/>
      <c r="AM39" s="1174"/>
      <c r="AN39" s="1175"/>
      <c r="AO39" s="1176"/>
      <c r="AP39" s="1177"/>
      <c r="AQ39" s="1547"/>
      <c r="AR39" s="1177"/>
      <c r="AS39" s="1548"/>
      <c r="AT39" s="1549"/>
      <c r="AU39" s="1178"/>
      <c r="AV39" s="1179"/>
      <c r="AY39" s="3">
        <v>1</v>
      </c>
    </row>
    <row r="40" spans="2:51" ht="27" customHeight="1">
      <c r="B40" s="104" t="s">
        <v>16</v>
      </c>
      <c r="C40" s="157" t="str">
        <f>C16</f>
        <v>S SPICES FOR BLOOD SAUSAGE | |  Author &gt; Guy KRENZE - Eric GODDYN - Arnaud NICOLAS - CEPROC 2002</v>
      </c>
      <c r="D40" s="157">
        <f>D16</f>
        <v>408</v>
      </c>
      <c r="E40" s="158" t="str">
        <f>E16</f>
        <v>g</v>
      </c>
      <c r="F40" s="159" t="str">
        <f>F16</f>
        <v>Master recipe ► Black pudding in 4 variations</v>
      </c>
      <c r="G40" s="172" t="s">
        <v>13255</v>
      </c>
      <c r="H40" s="172"/>
      <c r="I40" s="172"/>
      <c r="J40" s="172"/>
      <c r="K40" s="172"/>
      <c r="L40" s="172"/>
      <c r="M40" s="172"/>
      <c r="N40" s="172"/>
      <c r="O40" s="170" t="s">
        <v>682</v>
      </c>
      <c r="P40" s="174">
        <v>3.472222222222222E-3</v>
      </c>
      <c r="Q40" s="1171"/>
      <c r="R40" s="104"/>
      <c r="S40" s="1172"/>
      <c r="T40" s="1172"/>
      <c r="U40" s="1172"/>
      <c r="V40" s="1173"/>
      <c r="W40" s="1174"/>
      <c r="X40" s="1175"/>
      <c r="Y40" s="1176"/>
      <c r="Z40" s="1177"/>
      <c r="AA40" s="1547"/>
      <c r="AB40" s="1177"/>
      <c r="AC40" s="1548"/>
      <c r="AD40" s="1549"/>
      <c r="AE40" s="1178"/>
      <c r="AF40" s="1179"/>
      <c r="AG40" s="1171"/>
      <c r="AH40" s="104"/>
      <c r="AI40" s="1172"/>
      <c r="AJ40" s="1172"/>
      <c r="AK40" s="1172"/>
      <c r="AL40" s="1173"/>
      <c r="AM40" s="1174"/>
      <c r="AN40" s="1175"/>
      <c r="AO40" s="1176"/>
      <c r="AP40" s="1177"/>
      <c r="AQ40" s="1547"/>
      <c r="AR40" s="1177"/>
      <c r="AS40" s="1548"/>
      <c r="AT40" s="1549"/>
      <c r="AU40" s="1178"/>
      <c r="AV40" s="1179"/>
      <c r="AY40" s="3">
        <v>1</v>
      </c>
    </row>
    <row r="41" spans="2:51" ht="27" customHeight="1">
      <c r="B41" s="104" t="s">
        <v>16</v>
      </c>
      <c r="C41" s="157" t="str">
        <f>C16</f>
        <v>S SPICES FOR BLOOD SAUSAGE | |  Author &gt; Guy KRENZE - Eric GODDYN - Arnaud NICOLAS - CEPROC 2002</v>
      </c>
      <c r="D41" s="157">
        <f>D16</f>
        <v>408</v>
      </c>
      <c r="E41" s="158" t="str">
        <f>E16</f>
        <v>g</v>
      </c>
      <c r="F41" s="159" t="str">
        <f>F16</f>
        <v>Master recipe ► Black pudding in 4 variations</v>
      </c>
      <c r="G41" s="172" t="s">
        <v>13256</v>
      </c>
      <c r="H41" s="172"/>
      <c r="I41" s="172"/>
      <c r="J41" s="172"/>
      <c r="K41" s="172"/>
      <c r="L41" s="172"/>
      <c r="M41" s="172"/>
      <c r="N41" s="172"/>
      <c r="O41" s="170" t="s">
        <v>684</v>
      </c>
      <c r="P41" s="175">
        <v>3.472222222222222E-3</v>
      </c>
      <c r="Q41" s="1171"/>
      <c r="R41" s="104"/>
      <c r="S41" s="1172"/>
      <c r="T41" s="1172"/>
      <c r="U41" s="1172"/>
      <c r="V41" s="1173"/>
      <c r="W41" s="1174"/>
      <c r="X41" s="1175"/>
      <c r="Y41" s="1176"/>
      <c r="Z41" s="1177"/>
      <c r="AA41" s="1547"/>
      <c r="AB41" s="1177"/>
      <c r="AC41" s="1548"/>
      <c r="AD41" s="1549"/>
      <c r="AE41" s="1178"/>
      <c r="AF41" s="1179"/>
      <c r="AG41" s="1171"/>
      <c r="AH41" s="104"/>
      <c r="AI41" s="1172"/>
      <c r="AJ41" s="1172"/>
      <c r="AK41" s="1172"/>
      <c r="AL41" s="1173"/>
      <c r="AM41" s="1174"/>
      <c r="AN41" s="1175"/>
      <c r="AO41" s="1176"/>
      <c r="AP41" s="1177"/>
      <c r="AQ41" s="1547"/>
      <c r="AR41" s="1177"/>
      <c r="AS41" s="1548"/>
      <c r="AT41" s="1549"/>
      <c r="AU41" s="1178"/>
      <c r="AV41" s="1179"/>
      <c r="AY41" s="3">
        <v>1</v>
      </c>
    </row>
    <row r="42" spans="2:51" ht="27" customHeight="1">
      <c r="B42" s="104" t="s">
        <v>16</v>
      </c>
      <c r="C42" s="157" t="str">
        <f>C16</f>
        <v>S SPICES FOR BLOOD SAUSAGE | |  Author &gt; Guy KRENZE - Eric GODDYN - Arnaud NICOLAS - CEPROC 2002</v>
      </c>
      <c r="D42" s="157">
        <f>D16</f>
        <v>408</v>
      </c>
      <c r="E42" s="158" t="str">
        <f>E16</f>
        <v>g</v>
      </c>
      <c r="F42" s="159" t="str">
        <f>F16</f>
        <v>Master recipe ► Black pudding in 4 variations</v>
      </c>
      <c r="G42" s="172" t="s">
        <v>13257</v>
      </c>
      <c r="H42" s="172"/>
      <c r="I42" s="172"/>
      <c r="J42" s="172"/>
      <c r="K42" s="172"/>
      <c r="L42" s="172"/>
      <c r="M42" s="172"/>
      <c r="N42" s="172"/>
      <c r="O42" s="176" t="s">
        <v>183</v>
      </c>
      <c r="P42" s="177">
        <f>P39+P40+P41</f>
        <v>1.0416666666666666E-2</v>
      </c>
      <c r="Q42" s="1171"/>
      <c r="R42" s="104"/>
      <c r="S42" s="1172"/>
      <c r="T42" s="1172"/>
      <c r="U42" s="1172"/>
      <c r="V42" s="1173"/>
      <c r="W42" s="1174"/>
      <c r="X42" s="1175"/>
      <c r="Y42" s="1176"/>
      <c r="Z42" s="1177"/>
      <c r="AA42" s="1547"/>
      <c r="AB42" s="1177"/>
      <c r="AC42" s="1548"/>
      <c r="AD42" s="1549"/>
      <c r="AE42" s="1178"/>
      <c r="AF42" s="1179"/>
      <c r="AG42" s="1171"/>
      <c r="AH42" s="104"/>
      <c r="AI42" s="1172"/>
      <c r="AJ42" s="1172"/>
      <c r="AK42" s="1172"/>
      <c r="AL42" s="1173"/>
      <c r="AM42" s="1174"/>
      <c r="AN42" s="1175"/>
      <c r="AO42" s="1176"/>
      <c r="AP42" s="1177"/>
      <c r="AQ42" s="1547"/>
      <c r="AR42" s="1177"/>
      <c r="AS42" s="1548"/>
      <c r="AT42" s="1549"/>
      <c r="AU42" s="1178"/>
      <c r="AV42" s="1179"/>
      <c r="AY42" s="3">
        <v>1</v>
      </c>
    </row>
    <row r="43" spans="2:51" ht="27" customHeight="1">
      <c r="B43" s="104" t="str">
        <f>IF(OR(G43&lt;&gt;"",H43&lt;&gt; "",I43&lt;&gt;"",J43&lt;&gt;""),"A", "►")</f>
        <v>A</v>
      </c>
      <c r="C43" s="157" t="str">
        <f>C16</f>
        <v>S SPICES FOR BLOOD SAUSAGE | |  Author &gt; Guy KRENZE - Eric GODDYN - Arnaud NICOLAS - CEPROC 2002</v>
      </c>
      <c r="D43" s="157">
        <f>D16</f>
        <v>408</v>
      </c>
      <c r="E43" s="158" t="str">
        <f>E16</f>
        <v>g</v>
      </c>
      <c r="F43" s="159" t="str">
        <f>F16</f>
        <v>Master recipe ► Black pudding in 4 variations</v>
      </c>
      <c r="G43" s="172" t="s">
        <v>13258</v>
      </c>
      <c r="H43" s="172"/>
      <c r="I43" s="172"/>
      <c r="J43" s="172"/>
      <c r="K43" s="172"/>
      <c r="L43" s="172"/>
      <c r="M43" s="172"/>
      <c r="N43" s="172"/>
      <c r="O43" s="172"/>
      <c r="P43" s="555"/>
      <c r="Q43" s="1171"/>
      <c r="R43" s="104"/>
      <c r="S43" s="1172"/>
      <c r="T43" s="1172"/>
      <c r="U43" s="1172"/>
      <c r="V43" s="1173"/>
      <c r="W43" s="1174"/>
      <c r="X43" s="1175"/>
      <c r="Y43" s="1176"/>
      <c r="Z43" s="1177"/>
      <c r="AA43" s="1547"/>
      <c r="AB43" s="1177"/>
      <c r="AC43" s="1548"/>
      <c r="AD43" s="1549"/>
      <c r="AE43" s="1178"/>
      <c r="AF43" s="1179"/>
      <c r="AG43" s="1171"/>
      <c r="AH43" s="104"/>
      <c r="AI43" s="1172"/>
      <c r="AJ43" s="1172"/>
      <c r="AK43" s="1172"/>
      <c r="AL43" s="1173"/>
      <c r="AM43" s="1174"/>
      <c r="AN43" s="1175"/>
      <c r="AO43" s="1176"/>
      <c r="AP43" s="1177"/>
      <c r="AQ43" s="1547"/>
      <c r="AR43" s="1177"/>
      <c r="AS43" s="1548"/>
      <c r="AT43" s="1549"/>
      <c r="AU43" s="1178"/>
      <c r="AV43" s="1179"/>
      <c r="AY43" s="3">
        <v>1</v>
      </c>
    </row>
    <row r="44" spans="2:51" ht="27" customHeight="1">
      <c r="B44" s="104" t="str">
        <f>IF(OR(G44&lt;&gt;"",H44&lt;&gt; "",I44&lt;&gt;"",J44&lt;&gt;""),"A", "►")</f>
        <v>A</v>
      </c>
      <c r="C44" s="157" t="str">
        <f>C16</f>
        <v>S SPICES FOR BLOOD SAUSAGE | |  Author &gt; Guy KRENZE - Eric GODDYN - Arnaud NICOLAS - CEPROC 2002</v>
      </c>
      <c r="D44" s="157">
        <f>D16</f>
        <v>408</v>
      </c>
      <c r="E44" s="158" t="str">
        <f>E16</f>
        <v>g</v>
      </c>
      <c r="F44" s="159" t="str">
        <f>F16</f>
        <v>Master recipe ► Black pudding in 4 variations</v>
      </c>
      <c r="G44" s="172" t="s">
        <v>13260</v>
      </c>
      <c r="H44" s="172"/>
      <c r="I44" s="172"/>
      <c r="J44" s="172"/>
      <c r="K44" s="172"/>
      <c r="L44" s="172"/>
      <c r="M44" s="172"/>
      <c r="N44" s="172"/>
      <c r="O44" s="172"/>
      <c r="P44" s="555"/>
      <c r="Q44" s="1171"/>
      <c r="R44" s="104"/>
      <c r="S44" s="1172"/>
      <c r="T44" s="1172"/>
      <c r="U44" s="1172"/>
      <c r="V44" s="1173"/>
      <c r="W44" s="1174"/>
      <c r="X44" s="1175"/>
      <c r="Y44" s="1176"/>
      <c r="Z44" s="1177"/>
      <c r="AA44" s="1547"/>
      <c r="AB44" s="1177"/>
      <c r="AC44" s="1548"/>
      <c r="AD44" s="1549"/>
      <c r="AE44" s="1178"/>
      <c r="AF44" s="1179"/>
      <c r="AG44" s="1171"/>
      <c r="AH44" s="104"/>
      <c r="AI44" s="1172"/>
      <c r="AJ44" s="1172"/>
      <c r="AK44" s="1172"/>
      <c r="AL44" s="1173"/>
      <c r="AM44" s="1174"/>
      <c r="AN44" s="1175"/>
      <c r="AO44" s="1176"/>
      <c r="AP44" s="1177"/>
      <c r="AQ44" s="1547"/>
      <c r="AR44" s="1177"/>
      <c r="AS44" s="1548"/>
      <c r="AT44" s="1549"/>
      <c r="AU44" s="1178"/>
      <c r="AV44" s="1179"/>
      <c r="AY44" s="3">
        <v>1</v>
      </c>
    </row>
    <row r="45" spans="2:51" ht="27" customHeight="1">
      <c r="B45" s="104" t="str">
        <f>IF(OR(G45&lt;&gt;"",H45&lt;&gt; "",I45&lt;&gt;"",J45&lt;&gt;""),"A", "►")</f>
        <v>A</v>
      </c>
      <c r="C45" s="157" t="str">
        <f>C16</f>
        <v>S SPICES FOR BLOOD SAUSAGE | |  Author &gt; Guy KRENZE - Eric GODDYN - Arnaud NICOLAS - CEPROC 2002</v>
      </c>
      <c r="D45" s="157">
        <f>D16</f>
        <v>408</v>
      </c>
      <c r="E45" s="158" t="str">
        <f>E16</f>
        <v>g</v>
      </c>
      <c r="F45" s="159" t="str">
        <f>F16</f>
        <v>Master recipe ► Black pudding in 4 variations</v>
      </c>
      <c r="G45" s="172" t="s">
        <v>13261</v>
      </c>
      <c r="H45" s="172"/>
      <c r="I45" s="172"/>
      <c r="J45" s="172"/>
      <c r="K45" s="172"/>
      <c r="L45" s="172"/>
      <c r="M45" s="172"/>
      <c r="N45" s="172"/>
      <c r="O45" s="172"/>
      <c r="P45" s="555"/>
      <c r="Q45" s="1171"/>
      <c r="R45" s="104"/>
      <c r="S45" s="1172"/>
      <c r="T45" s="1172"/>
      <c r="U45" s="1172"/>
      <c r="V45" s="1173"/>
      <c r="W45" s="1174"/>
      <c r="X45" s="1175"/>
      <c r="Y45" s="1176"/>
      <c r="Z45" s="1177"/>
      <c r="AA45" s="1547"/>
      <c r="AB45" s="1177"/>
      <c r="AC45" s="1548"/>
      <c r="AD45" s="1549"/>
      <c r="AE45" s="1178"/>
      <c r="AF45" s="1179"/>
      <c r="AG45" s="1171"/>
      <c r="AH45" s="104"/>
      <c r="AI45" s="1172"/>
      <c r="AJ45" s="1172"/>
      <c r="AK45" s="1172"/>
      <c r="AL45" s="1173"/>
      <c r="AM45" s="1174"/>
      <c r="AN45" s="1175"/>
      <c r="AO45" s="1176"/>
      <c r="AP45" s="1177"/>
      <c r="AQ45" s="1547"/>
      <c r="AR45" s="1177"/>
      <c r="AS45" s="1548"/>
      <c r="AT45" s="1549"/>
      <c r="AU45" s="1178"/>
      <c r="AV45" s="1179"/>
      <c r="AY45" s="3">
        <v>1</v>
      </c>
    </row>
    <row r="46" spans="2:51" ht="27" customHeight="1">
      <c r="B46" s="104" t="str">
        <f>IF(OR(G46&lt;&gt;"",H46&lt;&gt; "",I46&lt;&gt;"",J46&lt;&gt;""),"A", "►")</f>
        <v>►</v>
      </c>
      <c r="C46" s="157" t="str">
        <f>C16</f>
        <v>S SPICES FOR BLOOD SAUSAGE | |  Author &gt; Guy KRENZE - Eric GODDYN - Arnaud NICOLAS - CEPROC 2002</v>
      </c>
      <c r="D46" s="157">
        <f>D16</f>
        <v>408</v>
      </c>
      <c r="E46" s="158" t="str">
        <f>E16</f>
        <v>g</v>
      </c>
      <c r="F46" s="159" t="str">
        <f>F16</f>
        <v>Master recipe ► Black pudding in 4 variations</v>
      </c>
      <c r="G46" s="172"/>
      <c r="H46" s="172"/>
      <c r="I46" s="172"/>
      <c r="J46" s="172"/>
      <c r="K46" s="172"/>
      <c r="L46" s="172"/>
      <c r="M46" s="172"/>
      <c r="N46" s="172"/>
      <c r="O46" s="172"/>
      <c r="P46" s="555"/>
      <c r="Q46" s="1171"/>
      <c r="R46" s="104"/>
      <c r="S46" s="1172"/>
      <c r="T46" s="1172"/>
      <c r="U46" s="1172"/>
      <c r="V46" s="1173"/>
      <c r="W46" s="1174"/>
      <c r="X46" s="1175"/>
      <c r="Y46" s="1176"/>
      <c r="Z46" s="1177"/>
      <c r="AA46" s="1547"/>
      <c r="AB46" s="1177"/>
      <c r="AC46" s="1548"/>
      <c r="AD46" s="1549"/>
      <c r="AE46" s="1178"/>
      <c r="AF46" s="1179"/>
      <c r="AG46" s="1171"/>
      <c r="AH46" s="104"/>
      <c r="AI46" s="1172"/>
      <c r="AJ46" s="1172"/>
      <c r="AK46" s="1172"/>
      <c r="AL46" s="1173"/>
      <c r="AM46" s="1174"/>
      <c r="AN46" s="1175"/>
      <c r="AO46" s="1176"/>
      <c r="AP46" s="1177"/>
      <c r="AQ46" s="1547"/>
      <c r="AR46" s="1177"/>
      <c r="AS46" s="1548"/>
      <c r="AT46" s="1549"/>
      <c r="AU46" s="1178"/>
      <c r="AV46" s="1179"/>
      <c r="AY46" s="3">
        <v>1</v>
      </c>
    </row>
    <row r="47" spans="2:51" ht="27" customHeight="1">
      <c r="B47" s="104" t="str">
        <f>IF(OR(G47&lt;&gt;"",H47&lt;&gt; "",I47&lt;&gt;"",J47&lt;&gt;""),"A", "►")</f>
        <v>►</v>
      </c>
      <c r="C47" s="157" t="str">
        <f>C16</f>
        <v>S SPICES FOR BLOOD SAUSAGE | |  Author &gt; Guy KRENZE - Eric GODDYN - Arnaud NICOLAS - CEPROC 2002</v>
      </c>
      <c r="D47" s="157">
        <f>D16</f>
        <v>408</v>
      </c>
      <c r="E47" s="158" t="str">
        <f>E16</f>
        <v>g</v>
      </c>
      <c r="F47" s="159" t="str">
        <f>F16</f>
        <v>Master recipe ► Black pudding in 4 variations</v>
      </c>
      <c r="G47" s="172"/>
      <c r="H47" s="172"/>
      <c r="I47" s="172"/>
      <c r="J47" s="172"/>
      <c r="K47" s="172"/>
      <c r="L47" s="172"/>
      <c r="M47" s="172"/>
      <c r="N47" s="172"/>
      <c r="O47" s="172"/>
      <c r="P47" s="555"/>
      <c r="Q47" s="1171"/>
      <c r="R47" s="104"/>
      <c r="S47" s="1172"/>
      <c r="T47" s="1172"/>
      <c r="U47" s="1172"/>
      <c r="V47" s="1173"/>
      <c r="W47" s="1174"/>
      <c r="X47" s="1175"/>
      <c r="Y47" s="1176"/>
      <c r="Z47" s="1177"/>
      <c r="AA47" s="1547"/>
      <c r="AB47" s="1177"/>
      <c r="AC47" s="1548"/>
      <c r="AD47" s="1549"/>
      <c r="AE47" s="1178"/>
      <c r="AF47" s="1179"/>
      <c r="AG47" s="1171"/>
      <c r="AH47" s="104"/>
      <c r="AI47" s="1172"/>
      <c r="AJ47" s="1172"/>
      <c r="AK47" s="1172"/>
      <c r="AL47" s="1173"/>
      <c r="AM47" s="1174"/>
      <c r="AN47" s="1175"/>
      <c r="AO47" s="1176"/>
      <c r="AP47" s="1177"/>
      <c r="AQ47" s="1547"/>
      <c r="AR47" s="1177"/>
      <c r="AS47" s="1548"/>
      <c r="AT47" s="1549"/>
      <c r="AU47" s="1178"/>
      <c r="AV47" s="1179"/>
      <c r="AY47" s="3">
        <v>1</v>
      </c>
    </row>
    <row r="48" spans="2:51" ht="27" customHeight="1">
      <c r="B48" s="196" t="s">
        <v>16</v>
      </c>
      <c r="C48" s="157" t="str">
        <f>C16</f>
        <v>S SPICES FOR BLOOD SAUSAGE | |  Author &gt; Guy KRENZE - Eric GODDYN - Arnaud NICOLAS - CEPROC 2002</v>
      </c>
      <c r="D48" s="157">
        <f>D16</f>
        <v>408</v>
      </c>
      <c r="E48" s="158" t="str">
        <f>E16</f>
        <v>g</v>
      </c>
      <c r="F48" s="159" t="str">
        <f>F16</f>
        <v>Master recipe ► Black pudding in 4 variations</v>
      </c>
      <c r="G48" s="172"/>
      <c r="H48" s="172"/>
      <c r="I48" s="172"/>
      <c r="J48" s="172"/>
      <c r="K48" s="172"/>
      <c r="L48" s="172"/>
      <c r="M48" s="172"/>
      <c r="N48" s="172"/>
      <c r="O48" s="172"/>
      <c r="P48" s="555"/>
      <c r="Q48" s="1171"/>
      <c r="R48" s="104"/>
      <c r="S48" s="1172"/>
      <c r="T48" s="1172"/>
      <c r="U48" s="1172"/>
      <c r="V48" s="1173"/>
      <c r="W48" s="1174"/>
      <c r="X48" s="1175"/>
      <c r="Y48" s="1176"/>
      <c r="Z48" s="1177"/>
      <c r="AA48" s="1547"/>
      <c r="AB48" s="1177"/>
      <c r="AC48" s="1548"/>
      <c r="AD48" s="1549"/>
      <c r="AE48" s="1178"/>
      <c r="AF48" s="1179"/>
      <c r="AG48" s="1171"/>
      <c r="AH48" s="104"/>
      <c r="AI48" s="1172"/>
      <c r="AJ48" s="1172"/>
      <c r="AK48" s="1172"/>
      <c r="AL48" s="1173"/>
      <c r="AM48" s="1174"/>
      <c r="AN48" s="1175"/>
      <c r="AO48" s="1176"/>
      <c r="AP48" s="1177"/>
      <c r="AQ48" s="1547"/>
      <c r="AR48" s="1177"/>
      <c r="AS48" s="1548"/>
      <c r="AT48" s="1549"/>
      <c r="AU48" s="1178"/>
      <c r="AV48" s="1179"/>
      <c r="AY48" s="3">
        <v>1</v>
      </c>
    </row>
    <row r="49" spans="2:51" ht="27" customHeight="1">
      <c r="B49" s="196" t="s">
        <v>11</v>
      </c>
      <c r="C49" s="157" t="str">
        <f>C16</f>
        <v>S SPICES FOR BLOOD SAUSAGE | |  Author &gt; Guy KRENZE - Eric GODDYN - Arnaud NICOLAS - CEPROC 2002</v>
      </c>
      <c r="D49" s="157">
        <f>D16</f>
        <v>408</v>
      </c>
      <c r="E49" s="158" t="str">
        <f>E16</f>
        <v>g</v>
      </c>
      <c r="F49" s="159" t="str">
        <f>F16</f>
        <v>Master recipe ► Black pudding in 4 variations</v>
      </c>
      <c r="G49" s="172"/>
      <c r="H49" s="172"/>
      <c r="I49" s="172"/>
      <c r="J49" s="172"/>
      <c r="K49" s="172"/>
      <c r="L49" s="172"/>
      <c r="M49" s="172"/>
      <c r="N49" s="172"/>
      <c r="O49" s="172"/>
      <c r="P49" s="555"/>
      <c r="Q49" s="1171"/>
      <c r="R49" s="104"/>
      <c r="S49" s="1172"/>
      <c r="T49" s="1172"/>
      <c r="U49" s="1172"/>
      <c r="V49" s="1173"/>
      <c r="W49" s="1174"/>
      <c r="X49" s="1175"/>
      <c r="Y49" s="1176"/>
      <c r="Z49" s="1177"/>
      <c r="AA49" s="1547"/>
      <c r="AB49" s="1177"/>
      <c r="AC49" s="1548"/>
      <c r="AD49" s="1549"/>
      <c r="AE49" s="1178"/>
      <c r="AF49" s="1179"/>
      <c r="AG49" s="1171"/>
      <c r="AH49" s="104"/>
      <c r="AI49" s="1172"/>
      <c r="AJ49" s="1172"/>
      <c r="AK49" s="1172"/>
      <c r="AL49" s="1173"/>
      <c r="AM49" s="1174"/>
      <c r="AN49" s="1175"/>
      <c r="AO49" s="1176"/>
      <c r="AP49" s="1177"/>
      <c r="AQ49" s="1547"/>
      <c r="AR49" s="1177"/>
      <c r="AS49" s="1548"/>
      <c r="AT49" s="1549"/>
      <c r="AU49" s="1178"/>
      <c r="AV49" s="1179"/>
      <c r="AY49" s="3">
        <v>1</v>
      </c>
    </row>
    <row r="50" spans="2:51" ht="27" customHeight="1">
      <c r="B50" s="196" t="s">
        <v>11</v>
      </c>
      <c r="C50" s="157" t="str">
        <f>C16</f>
        <v>S SPICES FOR BLOOD SAUSAGE | |  Author &gt; Guy KRENZE - Eric GODDYN - Arnaud NICOLAS - CEPROC 2002</v>
      </c>
      <c r="D50" s="157">
        <f>D16</f>
        <v>408</v>
      </c>
      <c r="E50" s="158" t="str">
        <f>E16</f>
        <v>g</v>
      </c>
      <c r="F50" s="159" t="str">
        <f>F16</f>
        <v>Master recipe ► Black pudding in 4 variations</v>
      </c>
      <c r="G50" s="172"/>
      <c r="H50" s="172"/>
      <c r="I50" s="172"/>
      <c r="J50" s="172"/>
      <c r="K50" s="172"/>
      <c r="L50" s="172"/>
      <c r="M50" s="172"/>
      <c r="N50" s="172"/>
      <c r="O50" s="172"/>
      <c r="P50" s="1486" t="s">
        <v>899</v>
      </c>
      <c r="Q50" s="1171"/>
      <c r="R50" s="104"/>
      <c r="S50" s="1172"/>
      <c r="T50" s="1172"/>
      <c r="U50" s="1172"/>
      <c r="V50" s="1173"/>
      <c r="W50" s="1174"/>
      <c r="X50" s="1175"/>
      <c r="Y50" s="1176"/>
      <c r="Z50" s="1177"/>
      <c r="AA50" s="1547"/>
      <c r="AB50" s="1177"/>
      <c r="AC50" s="1548"/>
      <c r="AD50" s="1549"/>
      <c r="AE50" s="1178"/>
      <c r="AF50" s="1179"/>
      <c r="AG50" s="1171"/>
      <c r="AH50" s="104"/>
      <c r="AI50" s="1172"/>
      <c r="AJ50" s="1172"/>
      <c r="AK50" s="1172"/>
      <c r="AL50" s="1173"/>
      <c r="AM50" s="1174"/>
      <c r="AN50" s="1175"/>
      <c r="AO50" s="1176"/>
      <c r="AP50" s="1177"/>
      <c r="AQ50" s="1547"/>
      <c r="AR50" s="1177"/>
      <c r="AS50" s="1548"/>
      <c r="AT50" s="1549"/>
      <c r="AU50" s="1178"/>
      <c r="AV50" s="1179"/>
      <c r="AY50" s="3">
        <v>1</v>
      </c>
    </row>
    <row r="51" spans="2:51" ht="27" customHeight="1">
      <c r="B51" s="196" t="s">
        <v>11</v>
      </c>
      <c r="C51" s="157" t="str">
        <f>C16</f>
        <v>S SPICES FOR BLOOD SAUSAGE | |  Author &gt; Guy KRENZE - Eric GODDYN - Arnaud NICOLAS - CEPROC 2002</v>
      </c>
      <c r="D51" s="157">
        <f>D16</f>
        <v>408</v>
      </c>
      <c r="E51" s="158" t="str">
        <f>E16</f>
        <v>g</v>
      </c>
      <c r="F51" s="159" t="str">
        <f>F16</f>
        <v>Master recipe ► Black pudding in 4 variations</v>
      </c>
      <c r="G51" s="204"/>
      <c r="H51" s="204"/>
      <c r="I51" s="204" t="s">
        <v>661</v>
      </c>
      <c r="J51" s="205"/>
      <c r="K51" s="206"/>
      <c r="L51" s="206"/>
      <c r="M51" s="206"/>
      <c r="N51" s="206"/>
      <c r="O51" s="206"/>
      <c r="P51" s="567"/>
      <c r="Q51" s="1171"/>
      <c r="R51" s="104"/>
      <c r="S51" s="1172"/>
      <c r="T51" s="1172"/>
      <c r="U51" s="1172"/>
      <c r="V51" s="1173"/>
      <c r="W51" s="1174"/>
      <c r="X51" s="1175"/>
      <c r="Y51" s="1176"/>
      <c r="Z51" s="1177"/>
      <c r="AA51" s="1547"/>
      <c r="AB51" s="1177"/>
      <c r="AC51" s="1548"/>
      <c r="AD51" s="1549"/>
      <c r="AE51" s="1178"/>
      <c r="AF51" s="1179"/>
      <c r="AG51" s="1171"/>
      <c r="AH51" s="104"/>
      <c r="AI51" s="1172"/>
      <c r="AJ51" s="1172"/>
      <c r="AK51" s="1172"/>
      <c r="AL51" s="1173"/>
      <c r="AM51" s="1174"/>
      <c r="AN51" s="1175"/>
      <c r="AO51" s="1176"/>
      <c r="AP51" s="1177"/>
      <c r="AQ51" s="1547"/>
      <c r="AR51" s="1177"/>
      <c r="AS51" s="1548"/>
      <c r="AT51" s="1549"/>
      <c r="AU51" s="1178"/>
      <c r="AV51" s="1179"/>
      <c r="AY51" s="3">
        <v>1</v>
      </c>
    </row>
    <row r="52" spans="2:51" ht="27" customHeight="1">
      <c r="B52" s="196" t="s">
        <v>11</v>
      </c>
      <c r="C52" s="209" t="str">
        <f>C16</f>
        <v>S SPICES FOR BLOOD SAUSAGE | |  Author &gt; Guy KRENZE - Eric GODDYN - Arnaud NICOLAS - CEPROC 2002</v>
      </c>
      <c r="D52" s="209">
        <f>D16</f>
        <v>408</v>
      </c>
      <c r="E52" s="210" t="str">
        <f>E16</f>
        <v>g</v>
      </c>
      <c r="F52" s="211" t="str">
        <f>F16</f>
        <v>Master recipe ► Black pudding in 4 variations</v>
      </c>
      <c r="G52" s="212"/>
      <c r="H52" s="213"/>
      <c r="I52" s="214"/>
      <c r="J52" s="215"/>
      <c r="K52" s="214"/>
      <c r="L52" s="214"/>
      <c r="M52" s="214"/>
      <c r="N52" s="214"/>
      <c r="O52" s="214"/>
      <c r="P52" s="582"/>
      <c r="Q52" s="1171"/>
      <c r="R52" s="104"/>
      <c r="S52" s="1172"/>
      <c r="T52" s="1172"/>
      <c r="U52" s="1172"/>
      <c r="V52" s="1173"/>
      <c r="W52" s="1174"/>
      <c r="X52" s="1175"/>
      <c r="Y52" s="1176"/>
      <c r="Z52" s="1177"/>
      <c r="AA52" s="1547"/>
      <c r="AB52" s="1177"/>
      <c r="AC52" s="1548"/>
      <c r="AD52" s="1549"/>
      <c r="AE52" s="1178"/>
      <c r="AF52" s="1179"/>
      <c r="AG52" s="1171"/>
      <c r="AH52" s="104"/>
      <c r="AI52" s="1172"/>
      <c r="AJ52" s="1172"/>
      <c r="AK52" s="1172"/>
      <c r="AL52" s="1173"/>
      <c r="AM52" s="1174"/>
      <c r="AN52" s="1175"/>
      <c r="AO52" s="1176"/>
      <c r="AP52" s="1177"/>
      <c r="AQ52" s="1547"/>
      <c r="AR52" s="1177"/>
      <c r="AS52" s="1548"/>
      <c r="AT52" s="1549"/>
      <c r="AU52" s="1178"/>
      <c r="AV52" s="1179"/>
      <c r="AY52" s="3">
        <v>1</v>
      </c>
    </row>
    <row r="53" spans="2:51" ht="27" customHeight="1" thickBot="1">
      <c r="B53" s="216" t="s">
        <v>11</v>
      </c>
      <c r="C53" s="217"/>
      <c r="D53" s="217"/>
      <c r="E53" s="217"/>
      <c r="F53" s="218"/>
      <c r="G53" s="219" t="s">
        <v>208</v>
      </c>
      <c r="H53" s="1481" t="str">
        <f ca="1">CELL("nomfichier")</f>
        <v>D:\Données\1.UPRT\0-UPRT.fait\1-UPRT.FR-SITE-WEB\ff-fiches-fabrications\ff.fiches.fabrication.2023\ffr.restaurant.2023\[ff.FICHE.TRILINGUE.15.COLONNES.29.11.2025.xlsx]Notice.utilisateur</v>
      </c>
      <c r="I53" s="220"/>
      <c r="J53" s="220"/>
      <c r="K53" s="220"/>
      <c r="L53" s="220"/>
      <c r="M53" s="220"/>
      <c r="N53" s="220"/>
      <c r="O53" s="220"/>
      <c r="P53" s="221"/>
      <c r="Q53" s="1171"/>
      <c r="R53" s="104"/>
      <c r="S53" s="1172"/>
      <c r="T53" s="1172"/>
      <c r="U53" s="1172"/>
      <c r="V53" s="1173"/>
      <c r="W53" s="1174"/>
      <c r="X53" s="1175"/>
      <c r="Y53" s="1176"/>
      <c r="Z53" s="1177"/>
      <c r="AA53" s="1547"/>
      <c r="AB53" s="1177"/>
      <c r="AC53" s="1548"/>
      <c r="AD53" s="1549"/>
      <c r="AE53" s="1178"/>
      <c r="AF53" s="1179"/>
      <c r="AG53" s="1171"/>
      <c r="AH53" s="104"/>
      <c r="AI53" s="1172"/>
      <c r="AJ53" s="1172"/>
      <c r="AK53" s="1172"/>
      <c r="AL53" s="1173"/>
      <c r="AM53" s="1174"/>
      <c r="AN53" s="1175"/>
      <c r="AO53" s="1176"/>
      <c r="AP53" s="1177"/>
      <c r="AQ53" s="1547"/>
      <c r="AR53" s="1177"/>
      <c r="AS53" s="1548"/>
      <c r="AT53" s="1549"/>
      <c r="AU53" s="1178"/>
      <c r="AV53" s="1179"/>
      <c r="AY53" s="3">
        <v>1</v>
      </c>
    </row>
    <row r="54" spans="2:51" ht="27" customHeight="1" thickBot="1">
      <c r="B54" s="1478" t="s">
        <v>11</v>
      </c>
      <c r="C54" s="1479" t="s">
        <v>11</v>
      </c>
      <c r="D54" s="1479" t="s">
        <v>11</v>
      </c>
      <c r="E54" s="1479" t="s">
        <v>11</v>
      </c>
      <c r="F54" s="1479" t="s">
        <v>11</v>
      </c>
      <c r="G54" s="1480" t="s">
        <v>2613</v>
      </c>
      <c r="H54" s="1140"/>
      <c r="I54" s="1141"/>
      <c r="J54" s="1142"/>
      <c r="K54" s="1143"/>
      <c r="L54" s="1144"/>
      <c r="M54" s="1145"/>
      <c r="N54" s="1145"/>
      <c r="O54" s="1146"/>
      <c r="P54" s="1147"/>
      <c r="Q54" s="1171"/>
      <c r="R54" s="104"/>
      <c r="S54" s="1172"/>
      <c r="T54" s="1172"/>
      <c r="U54" s="1172"/>
      <c r="V54" s="1173"/>
      <c r="W54" s="1174"/>
      <c r="X54" s="1175"/>
      <c r="Y54" s="1176"/>
      <c r="Z54" s="1177"/>
      <c r="AA54" s="1547"/>
      <c r="AB54" s="1177"/>
      <c r="AC54" s="1548"/>
      <c r="AD54" s="1549"/>
      <c r="AE54" s="1178"/>
      <c r="AF54" s="1179"/>
      <c r="AG54" s="1171"/>
      <c r="AH54" s="104"/>
      <c r="AI54" s="1172"/>
      <c r="AJ54" s="1172"/>
      <c r="AK54" s="1172"/>
      <c r="AL54" s="1173"/>
      <c r="AM54" s="1174"/>
      <c r="AN54" s="1175"/>
      <c r="AO54" s="1176"/>
      <c r="AP54" s="1177"/>
      <c r="AQ54" s="1547"/>
      <c r="AR54" s="1177"/>
      <c r="AS54" s="1548"/>
      <c r="AT54" s="1549"/>
      <c r="AU54" s="1178"/>
      <c r="AV54" s="1179"/>
      <c r="AY54" s="3">
        <v>1</v>
      </c>
    </row>
    <row r="55" spans="2:51" ht="27" customHeight="1">
      <c r="B55" s="104"/>
      <c r="C55" s="1172"/>
      <c r="D55" s="1172"/>
      <c r="E55" s="1172"/>
      <c r="F55" s="1173"/>
      <c r="G55" s="1174"/>
      <c r="H55" s="1175"/>
      <c r="I55" s="1176"/>
      <c r="J55" s="1177"/>
      <c r="K55" s="1547"/>
      <c r="L55" s="1177"/>
      <c r="M55" s="1548"/>
      <c r="N55" s="1549"/>
      <c r="O55" s="1178"/>
      <c r="P55" s="1179"/>
      <c r="Q55" s="1171"/>
      <c r="R55" s="104"/>
      <c r="S55" s="1172"/>
      <c r="T55" s="1172"/>
      <c r="U55" s="1172"/>
      <c r="V55" s="1173"/>
      <c r="W55" s="1174"/>
      <c r="X55" s="1175"/>
      <c r="Y55" s="1176"/>
      <c r="Z55" s="1177"/>
      <c r="AA55" s="1547"/>
      <c r="AB55" s="1177"/>
      <c r="AC55" s="1548"/>
      <c r="AD55" s="1549"/>
      <c r="AE55" s="1178"/>
      <c r="AF55" s="1179"/>
      <c r="AG55" s="1171"/>
      <c r="AH55" s="104"/>
      <c r="AI55" s="1172"/>
      <c r="AJ55" s="1172"/>
      <c r="AK55" s="1172"/>
      <c r="AL55" s="1173"/>
      <c r="AM55" s="1174"/>
      <c r="AN55" s="1175"/>
      <c r="AO55" s="1176"/>
      <c r="AP55" s="1177"/>
      <c r="AQ55" s="1547"/>
      <c r="AR55" s="1177"/>
      <c r="AS55" s="1548"/>
      <c r="AT55" s="1549"/>
      <c r="AU55" s="1178"/>
      <c r="AV55" s="1179"/>
      <c r="AY55" s="3">
        <v>1</v>
      </c>
    </row>
    <row r="56" spans="2:51" ht="27" customHeight="1">
      <c r="B56" s="104"/>
      <c r="C56" s="1172"/>
      <c r="D56" s="1172"/>
      <c r="E56" s="1172"/>
      <c r="F56" s="1173"/>
      <c r="G56" s="1174"/>
      <c r="H56" s="1175"/>
      <c r="I56" s="1176"/>
      <c r="J56" s="1177"/>
      <c r="K56" s="1547"/>
      <c r="L56" s="1177"/>
      <c r="M56" s="1548"/>
      <c r="N56" s="1549"/>
      <c r="O56" s="1178"/>
      <c r="P56" s="1179"/>
      <c r="Q56" s="1171"/>
      <c r="R56" s="104"/>
      <c r="S56" s="1172"/>
      <c r="T56" s="1172"/>
      <c r="U56" s="1172"/>
      <c r="V56" s="1173"/>
      <c r="W56" s="1174"/>
      <c r="X56" s="1175"/>
      <c r="Y56" s="1176"/>
      <c r="Z56" s="1177"/>
      <c r="AA56" s="1547"/>
      <c r="AB56" s="1177"/>
      <c r="AC56" s="1548"/>
      <c r="AD56" s="1549"/>
      <c r="AE56" s="1178"/>
      <c r="AF56" s="1179"/>
      <c r="AG56" s="1171"/>
      <c r="AH56" s="104"/>
      <c r="AI56" s="1172"/>
      <c r="AJ56" s="1172"/>
      <c r="AK56" s="1172"/>
      <c r="AL56" s="1173"/>
      <c r="AM56" s="1174"/>
      <c r="AN56" s="1175"/>
      <c r="AO56" s="1176"/>
      <c r="AP56" s="1177"/>
      <c r="AQ56" s="1547"/>
      <c r="AR56" s="1177"/>
      <c r="AS56" s="1548"/>
      <c r="AT56" s="1549"/>
      <c r="AU56" s="1178"/>
      <c r="AV56" s="1179"/>
      <c r="AY56" s="3">
        <v>1</v>
      </c>
    </row>
    <row r="57" spans="2:51" ht="27" customHeight="1">
      <c r="B57" s="104"/>
      <c r="C57" s="1172"/>
      <c r="D57" s="1172"/>
      <c r="E57" s="1172"/>
      <c r="F57" s="1173"/>
      <c r="G57" s="1174"/>
      <c r="H57" s="1175"/>
      <c r="I57" s="1176"/>
      <c r="J57" s="1177"/>
      <c r="K57" s="1547"/>
      <c r="L57" s="1177"/>
      <c r="M57" s="1548"/>
      <c r="N57" s="1549"/>
      <c r="O57" s="1178"/>
      <c r="P57" s="1179"/>
      <c r="Q57" s="1171"/>
      <c r="R57" s="104"/>
      <c r="S57" s="1172"/>
      <c r="T57" s="1172"/>
      <c r="U57" s="1172"/>
      <c r="V57" s="1173"/>
      <c r="W57" s="1174"/>
      <c r="X57" s="1175"/>
      <c r="Y57" s="1176"/>
      <c r="Z57" s="1177"/>
      <c r="AA57" s="1547"/>
      <c r="AB57" s="1177"/>
      <c r="AC57" s="1548"/>
      <c r="AD57" s="1549"/>
      <c r="AE57" s="1178"/>
      <c r="AF57" s="1179"/>
      <c r="AG57" s="1171"/>
      <c r="AH57" s="104"/>
      <c r="AI57" s="1172"/>
      <c r="AJ57" s="1172"/>
      <c r="AK57" s="1172"/>
      <c r="AL57" s="1173"/>
      <c r="AM57" s="1174"/>
      <c r="AN57" s="1175"/>
      <c r="AO57" s="1176"/>
      <c r="AP57" s="1177"/>
      <c r="AQ57" s="1547"/>
      <c r="AR57" s="1177"/>
      <c r="AS57" s="1548"/>
      <c r="AT57" s="1549"/>
      <c r="AU57" s="1178"/>
      <c r="AV57" s="1179"/>
      <c r="AY57" s="3">
        <v>1</v>
      </c>
    </row>
    <row r="58" spans="2:51" ht="27" customHeight="1">
      <c r="B58" s="104"/>
      <c r="C58" s="1172"/>
      <c r="D58" s="1172"/>
      <c r="E58" s="1172"/>
      <c r="F58" s="1173"/>
      <c r="G58" s="1174"/>
      <c r="H58" s="1175"/>
      <c r="I58" s="1176"/>
      <c r="J58" s="1177"/>
      <c r="K58" s="1547"/>
      <c r="L58" s="1177"/>
      <c r="M58" s="1548"/>
      <c r="N58" s="1549"/>
      <c r="O58" s="1178"/>
      <c r="P58" s="1179"/>
      <c r="Q58" s="1171"/>
      <c r="R58" s="104"/>
      <c r="S58" s="1172"/>
      <c r="T58" s="1172"/>
      <c r="U58" s="1172"/>
      <c r="V58" s="1173"/>
      <c r="W58" s="1174"/>
      <c r="X58" s="1175"/>
      <c r="Y58" s="1176"/>
      <c r="Z58" s="1177"/>
      <c r="AA58" s="1547"/>
      <c r="AB58" s="1177"/>
      <c r="AC58" s="1548"/>
      <c r="AD58" s="1549"/>
      <c r="AE58" s="1178"/>
      <c r="AF58" s="1179"/>
      <c r="AG58" s="1171"/>
      <c r="AH58" s="104"/>
      <c r="AI58" s="1172"/>
      <c r="AJ58" s="1172"/>
      <c r="AK58" s="1172"/>
      <c r="AL58" s="1173"/>
      <c r="AM58" s="1174"/>
      <c r="AN58" s="1175"/>
      <c r="AO58" s="1176"/>
      <c r="AP58" s="1177"/>
      <c r="AQ58" s="1547"/>
      <c r="AR58" s="1177"/>
      <c r="AS58" s="1548"/>
      <c r="AT58" s="1549"/>
      <c r="AU58" s="1178"/>
      <c r="AV58" s="1179"/>
      <c r="AY58" s="3">
        <v>1</v>
      </c>
    </row>
    <row r="59" spans="2:51" ht="27" customHeight="1">
      <c r="B59" s="104"/>
      <c r="C59" s="1172"/>
      <c r="D59" s="1172"/>
      <c r="E59" s="1172"/>
      <c r="F59" s="1173"/>
      <c r="G59" s="1174"/>
      <c r="H59" s="1175"/>
      <c r="I59" s="1176"/>
      <c r="J59" s="1177"/>
      <c r="K59" s="1547"/>
      <c r="L59" s="1177"/>
      <c r="M59" s="1548"/>
      <c r="N59" s="1549"/>
      <c r="O59" s="1178"/>
      <c r="P59" s="1179"/>
      <c r="Q59" s="1171"/>
      <c r="R59" s="104"/>
      <c r="S59" s="1172"/>
      <c r="T59" s="1172"/>
      <c r="U59" s="1172"/>
      <c r="V59" s="1173"/>
      <c r="W59" s="1174"/>
      <c r="X59" s="1175"/>
      <c r="Y59" s="1176"/>
      <c r="Z59" s="1177"/>
      <c r="AA59" s="1547"/>
      <c r="AB59" s="1177"/>
      <c r="AC59" s="1548"/>
      <c r="AD59" s="1549"/>
      <c r="AE59" s="1178"/>
      <c r="AF59" s="1179"/>
      <c r="AG59" s="1171"/>
      <c r="AH59" s="104"/>
      <c r="AI59" s="1172"/>
      <c r="AJ59" s="1172"/>
      <c r="AK59" s="1172"/>
      <c r="AL59" s="1173"/>
      <c r="AM59" s="1174"/>
      <c r="AN59" s="1175"/>
      <c r="AO59" s="1176"/>
      <c r="AP59" s="1177"/>
      <c r="AQ59" s="1547"/>
      <c r="AR59" s="1177"/>
      <c r="AS59" s="1548"/>
      <c r="AT59" s="1549"/>
      <c r="AU59" s="1178"/>
      <c r="AV59" s="1179"/>
      <c r="AY59" s="3">
        <v>1</v>
      </c>
    </row>
    <row r="60" spans="2:51" ht="27" customHeight="1">
      <c r="B60" s="104"/>
      <c r="C60" s="1172"/>
      <c r="D60" s="1172"/>
      <c r="E60" s="1172"/>
      <c r="F60" s="1173"/>
      <c r="G60" s="1174"/>
      <c r="H60" s="1175"/>
      <c r="I60" s="1176"/>
      <c r="J60" s="1177"/>
      <c r="K60" s="1547"/>
      <c r="L60" s="1177"/>
      <c r="M60" s="1548"/>
      <c r="N60" s="1549"/>
      <c r="O60" s="1178"/>
      <c r="P60" s="1179"/>
      <c r="Q60" s="1171"/>
      <c r="R60" s="104"/>
      <c r="S60" s="1172"/>
      <c r="T60" s="1172"/>
      <c r="U60" s="1172"/>
      <c r="V60" s="1173"/>
      <c r="W60" s="1174"/>
      <c r="X60" s="1175"/>
      <c r="Y60" s="1176"/>
      <c r="Z60" s="1177"/>
      <c r="AA60" s="1547"/>
      <c r="AB60" s="1177"/>
      <c r="AC60" s="1548"/>
      <c r="AD60" s="1549"/>
      <c r="AE60" s="1178"/>
      <c r="AF60" s="1179"/>
      <c r="AG60" s="1171"/>
      <c r="AH60" s="104"/>
      <c r="AI60" s="1172"/>
      <c r="AJ60" s="1172"/>
      <c r="AK60" s="1172"/>
      <c r="AL60" s="1173"/>
      <c r="AM60" s="1174"/>
      <c r="AN60" s="1175"/>
      <c r="AO60" s="1176"/>
      <c r="AP60" s="1177"/>
      <c r="AQ60" s="1547"/>
      <c r="AR60" s="1177"/>
      <c r="AS60" s="1548"/>
      <c r="AT60" s="1549"/>
      <c r="AU60" s="1178"/>
      <c r="AV60" s="1179"/>
      <c r="AY60" s="3">
        <v>1</v>
      </c>
    </row>
    <row r="61" spans="2:51" ht="27" customHeight="1">
      <c r="B61" s="104"/>
      <c r="C61" s="1172"/>
      <c r="D61" s="1172"/>
      <c r="E61" s="1172"/>
      <c r="F61" s="1173"/>
      <c r="G61" s="1174"/>
      <c r="H61" s="1175"/>
      <c r="I61" s="1176"/>
      <c r="J61" s="1177"/>
      <c r="K61" s="1547"/>
      <c r="L61" s="1177"/>
      <c r="M61" s="1548"/>
      <c r="N61" s="1549"/>
      <c r="O61" s="1178"/>
      <c r="P61" s="1179"/>
      <c r="Q61" s="1171"/>
      <c r="R61" s="104"/>
      <c r="S61" s="1172"/>
      <c r="T61" s="1172"/>
      <c r="U61" s="1172"/>
      <c r="V61" s="1173"/>
      <c r="W61" s="1174"/>
      <c r="X61" s="1175"/>
      <c r="Y61" s="1176"/>
      <c r="Z61" s="1177"/>
      <c r="AA61" s="1547"/>
      <c r="AB61" s="1177"/>
      <c r="AC61" s="1548"/>
      <c r="AD61" s="1549"/>
      <c r="AE61" s="1178"/>
      <c r="AF61" s="1179"/>
      <c r="AG61" s="1171"/>
      <c r="AH61" s="104"/>
      <c r="AI61" s="1172"/>
      <c r="AJ61" s="1172"/>
      <c r="AK61" s="1172"/>
      <c r="AL61" s="1173"/>
      <c r="AM61" s="1174"/>
      <c r="AN61" s="1175"/>
      <c r="AO61" s="1176"/>
      <c r="AP61" s="1177"/>
      <c r="AQ61" s="1547"/>
      <c r="AR61" s="1177"/>
      <c r="AS61" s="1548"/>
      <c r="AT61" s="1549"/>
      <c r="AU61" s="1178"/>
      <c r="AV61" s="1179"/>
      <c r="AY61" s="3">
        <v>1</v>
      </c>
    </row>
    <row r="62" spans="2:51" ht="27" customHeight="1">
      <c r="B62" s="104"/>
      <c r="C62" s="1172"/>
      <c r="D62" s="1172"/>
      <c r="E62" s="1172"/>
      <c r="F62" s="1173"/>
      <c r="G62" s="1174"/>
      <c r="H62" s="1175"/>
      <c r="I62" s="1176"/>
      <c r="J62" s="1177"/>
      <c r="K62" s="1547"/>
      <c r="L62" s="1177"/>
      <c r="M62" s="1548"/>
      <c r="N62" s="1549"/>
      <c r="O62" s="1178"/>
      <c r="P62" s="1179"/>
      <c r="Q62" s="1171"/>
      <c r="R62" s="104"/>
      <c r="S62" s="1172"/>
      <c r="T62" s="1172"/>
      <c r="U62" s="1172"/>
      <c r="V62" s="1173"/>
      <c r="W62" s="1174"/>
      <c r="X62" s="1175"/>
      <c r="Y62" s="1176"/>
      <c r="Z62" s="1177"/>
      <c r="AA62" s="1547"/>
      <c r="AB62" s="1177"/>
      <c r="AC62" s="1548"/>
      <c r="AD62" s="1549"/>
      <c r="AE62" s="1178"/>
      <c r="AF62" s="1179"/>
      <c r="AG62" s="1171"/>
      <c r="AH62" s="104"/>
      <c r="AI62" s="1172"/>
      <c r="AJ62" s="1172"/>
      <c r="AK62" s="1172"/>
      <c r="AL62" s="1173"/>
      <c r="AM62" s="1174"/>
      <c r="AN62" s="1175"/>
      <c r="AO62" s="1176"/>
      <c r="AP62" s="1177"/>
      <c r="AQ62" s="1547"/>
      <c r="AR62" s="1177"/>
      <c r="AS62" s="1548"/>
      <c r="AT62" s="1549"/>
      <c r="AU62" s="1178"/>
      <c r="AV62" s="1179"/>
      <c r="AY62" s="3">
        <v>1</v>
      </c>
    </row>
    <row r="63" spans="2:51" ht="27" customHeight="1">
      <c r="B63" s="104"/>
      <c r="C63" s="1172"/>
      <c r="D63" s="1172"/>
      <c r="E63" s="1172"/>
      <c r="F63" s="1173"/>
      <c r="G63" s="1174"/>
      <c r="H63" s="1175"/>
      <c r="I63" s="1176"/>
      <c r="J63" s="1177"/>
      <c r="K63" s="1547"/>
      <c r="L63" s="1177"/>
      <c r="M63" s="1548"/>
      <c r="N63" s="1549"/>
      <c r="O63" s="1178"/>
      <c r="P63" s="1179"/>
      <c r="Q63" s="1171"/>
      <c r="R63" s="104"/>
      <c r="S63" s="1172"/>
      <c r="T63" s="1172"/>
      <c r="U63" s="1172"/>
      <c r="V63" s="1173"/>
      <c r="W63" s="1174"/>
      <c r="X63" s="1175"/>
      <c r="Y63" s="1176"/>
      <c r="Z63" s="1177"/>
      <c r="AA63" s="1547"/>
      <c r="AB63" s="1177"/>
      <c r="AC63" s="1548"/>
      <c r="AD63" s="1549"/>
      <c r="AE63" s="1178"/>
      <c r="AF63" s="1179"/>
      <c r="AG63" s="1171"/>
      <c r="AH63" s="104"/>
      <c r="AI63" s="1172"/>
      <c r="AJ63" s="1172"/>
      <c r="AK63" s="1172"/>
      <c r="AL63" s="1173"/>
      <c r="AM63" s="1174"/>
      <c r="AN63" s="1175"/>
      <c r="AO63" s="1176"/>
      <c r="AP63" s="1177"/>
      <c r="AQ63" s="1547"/>
      <c r="AR63" s="1177"/>
      <c r="AS63" s="1548"/>
      <c r="AT63" s="1549"/>
      <c r="AU63" s="1178"/>
      <c r="AV63" s="1179"/>
      <c r="AY63" s="3">
        <v>1</v>
      </c>
    </row>
    <row r="64" spans="2:51" ht="27" customHeight="1">
      <c r="B64" s="104"/>
      <c r="C64" s="1172"/>
      <c r="D64" s="1172"/>
      <c r="E64" s="1172"/>
      <c r="F64" s="1173"/>
      <c r="G64" s="1174"/>
      <c r="H64" s="1175"/>
      <c r="I64" s="1176"/>
      <c r="J64" s="1177"/>
      <c r="K64" s="1547"/>
      <c r="L64" s="1177"/>
      <c r="M64" s="1548"/>
      <c r="N64" s="1549"/>
      <c r="O64" s="1178"/>
      <c r="P64" s="1179"/>
      <c r="Q64" s="1171"/>
      <c r="R64" s="104"/>
      <c r="S64" s="1172"/>
      <c r="T64" s="1172"/>
      <c r="U64" s="1172"/>
      <c r="V64" s="1173"/>
      <c r="W64" s="1174"/>
      <c r="X64" s="1175"/>
      <c r="Y64" s="1176"/>
      <c r="Z64" s="1177"/>
      <c r="AA64" s="1547"/>
      <c r="AB64" s="1177"/>
      <c r="AC64" s="1548"/>
      <c r="AD64" s="1549"/>
      <c r="AE64" s="1178"/>
      <c r="AF64" s="1179"/>
      <c r="AG64" s="1171"/>
      <c r="AH64" s="104"/>
      <c r="AI64" s="1172"/>
      <c r="AJ64" s="1172"/>
      <c r="AK64" s="1172"/>
      <c r="AL64" s="1173"/>
      <c r="AM64" s="1174"/>
      <c r="AN64" s="1175"/>
      <c r="AO64" s="1176"/>
      <c r="AP64" s="1177"/>
      <c r="AQ64" s="1547"/>
      <c r="AR64" s="1177"/>
      <c r="AS64" s="1548"/>
      <c r="AT64" s="1549"/>
      <c r="AU64" s="1178"/>
      <c r="AV64" s="1179"/>
      <c r="AY64" s="3">
        <v>1</v>
      </c>
    </row>
    <row r="65" spans="2:51" ht="27" customHeight="1">
      <c r="B65" s="104"/>
      <c r="C65" s="1172"/>
      <c r="D65" s="1172"/>
      <c r="E65" s="1172"/>
      <c r="F65" s="1173"/>
      <c r="G65" s="1174"/>
      <c r="H65" s="1175"/>
      <c r="I65" s="1176"/>
      <c r="J65" s="1177"/>
      <c r="K65" s="1547"/>
      <c r="L65" s="1177"/>
      <c r="M65" s="1548"/>
      <c r="N65" s="1549"/>
      <c r="O65" s="1178"/>
      <c r="P65" s="1179"/>
      <c r="Q65" s="1171"/>
      <c r="R65" s="104"/>
      <c r="S65" s="1172"/>
      <c r="T65" s="1172"/>
      <c r="U65" s="1172"/>
      <c r="V65" s="1173"/>
      <c r="W65" s="1174"/>
      <c r="X65" s="1175"/>
      <c r="Y65" s="1176"/>
      <c r="Z65" s="1177"/>
      <c r="AA65" s="1547"/>
      <c r="AB65" s="1177"/>
      <c r="AC65" s="1548"/>
      <c r="AD65" s="1549"/>
      <c r="AE65" s="1178"/>
      <c r="AF65" s="1179"/>
      <c r="AG65" s="1171"/>
      <c r="AH65" s="104"/>
      <c r="AI65" s="1172"/>
      <c r="AJ65" s="1172"/>
      <c r="AK65" s="1172"/>
      <c r="AL65" s="1173"/>
      <c r="AM65" s="1174"/>
      <c r="AN65" s="1175"/>
      <c r="AO65" s="1176"/>
      <c r="AP65" s="1177"/>
      <c r="AQ65" s="1547"/>
      <c r="AR65" s="1177"/>
      <c r="AS65" s="1548"/>
      <c r="AT65" s="1549"/>
      <c r="AU65" s="1178"/>
      <c r="AV65" s="1179"/>
      <c r="AY65" s="3">
        <v>1</v>
      </c>
    </row>
    <row r="66" spans="2:51" ht="27" customHeight="1">
      <c r="B66" s="104"/>
      <c r="C66" s="1172"/>
      <c r="D66" s="1172"/>
      <c r="E66" s="1172"/>
      <c r="F66" s="1173"/>
      <c r="G66" s="1174"/>
      <c r="H66" s="1175"/>
      <c r="I66" s="1176"/>
      <c r="J66" s="1177"/>
      <c r="K66" s="1547"/>
      <c r="L66" s="1177"/>
      <c r="M66" s="1548"/>
      <c r="N66" s="1549"/>
      <c r="O66" s="1178"/>
      <c r="P66" s="1179"/>
      <c r="Q66" s="1171"/>
      <c r="R66" s="104"/>
      <c r="S66" s="1172"/>
      <c r="T66" s="1172"/>
      <c r="U66" s="1172"/>
      <c r="V66" s="1173"/>
      <c r="W66" s="1174"/>
      <c r="X66" s="1175"/>
      <c r="Y66" s="1176"/>
      <c r="Z66" s="1177"/>
      <c r="AA66" s="1547"/>
      <c r="AB66" s="1177"/>
      <c r="AC66" s="1548"/>
      <c r="AD66" s="1549"/>
      <c r="AE66" s="1178"/>
      <c r="AF66" s="1179"/>
      <c r="AH66" s="104"/>
      <c r="AI66" s="1172"/>
      <c r="AJ66" s="1172"/>
      <c r="AK66" s="1172"/>
      <c r="AL66" s="1173"/>
      <c r="AM66" s="1174"/>
      <c r="AN66" s="1175"/>
      <c r="AO66" s="1176"/>
      <c r="AP66" s="1177"/>
      <c r="AQ66" s="1547"/>
      <c r="AR66" s="1177"/>
      <c r="AS66" s="1548"/>
      <c r="AT66" s="1549"/>
      <c r="AU66" s="1178"/>
      <c r="AV66" s="1179"/>
      <c r="AY66" s="3">
        <v>1</v>
      </c>
    </row>
    <row r="67" spans="2:51" ht="27" customHeight="1">
      <c r="B67" s="104"/>
      <c r="C67" s="1172"/>
      <c r="D67" s="1172"/>
      <c r="E67" s="1172"/>
      <c r="F67" s="1173"/>
      <c r="G67" s="1174"/>
      <c r="H67" s="1175"/>
      <c r="I67" s="1176"/>
      <c r="J67" s="1177"/>
      <c r="K67" s="1547"/>
      <c r="L67" s="1177"/>
      <c r="M67" s="1548"/>
      <c r="N67" s="1549"/>
      <c r="O67" s="1178"/>
      <c r="P67" s="1179"/>
      <c r="Q67" s="1171"/>
      <c r="R67" s="104"/>
      <c r="S67" s="1172"/>
      <c r="T67" s="1172"/>
      <c r="U67" s="1172"/>
      <c r="V67" s="1173"/>
      <c r="W67" s="1174"/>
      <c r="X67" s="1175"/>
      <c r="Y67" s="1176"/>
      <c r="Z67" s="1177"/>
      <c r="AA67" s="1547"/>
      <c r="AB67" s="1177"/>
      <c r="AC67" s="1548"/>
      <c r="AD67" s="1549"/>
      <c r="AE67" s="1178"/>
      <c r="AF67" s="1179"/>
      <c r="AH67" s="104"/>
      <c r="AI67" s="1172"/>
      <c r="AJ67" s="1172"/>
      <c r="AK67" s="1172"/>
      <c r="AL67" s="1173"/>
      <c r="AM67" s="1174"/>
      <c r="AN67" s="1175"/>
      <c r="AO67" s="1176"/>
      <c r="AP67" s="1177"/>
      <c r="AQ67" s="1547"/>
      <c r="AR67" s="1177"/>
      <c r="AS67" s="1548"/>
      <c r="AT67" s="1549"/>
      <c r="AU67" s="1178"/>
      <c r="AV67" s="1179"/>
      <c r="AY67" s="3">
        <v>1</v>
      </c>
    </row>
    <row r="68" spans="2:51" ht="27" customHeight="1">
      <c r="B68" s="104"/>
      <c r="C68" s="1172"/>
      <c r="D68" s="1172"/>
      <c r="E68" s="1172"/>
      <c r="F68" s="1173"/>
      <c r="G68" s="1174"/>
      <c r="H68" s="1175"/>
      <c r="I68" s="1176"/>
      <c r="J68" s="1177"/>
      <c r="K68" s="1547"/>
      <c r="L68" s="1177"/>
      <c r="M68" s="1548"/>
      <c r="N68" s="1549"/>
      <c r="O68" s="1178"/>
      <c r="P68" s="1179"/>
      <c r="Q68" s="1171"/>
      <c r="R68" s="104"/>
      <c r="S68" s="1172"/>
      <c r="T68" s="1172"/>
      <c r="U68" s="1172"/>
      <c r="V68" s="1173"/>
      <c r="W68" s="1174"/>
      <c r="X68" s="1175"/>
      <c r="Y68" s="1176"/>
      <c r="Z68" s="1177"/>
      <c r="AA68" s="1547"/>
      <c r="AB68" s="1177"/>
      <c r="AC68" s="1548"/>
      <c r="AD68" s="1549"/>
      <c r="AE68" s="1178"/>
      <c r="AF68" s="1179"/>
      <c r="AH68" s="104"/>
      <c r="AI68" s="1172"/>
      <c r="AJ68" s="1172"/>
      <c r="AK68" s="1172"/>
      <c r="AL68" s="1173"/>
      <c r="AM68" s="1174"/>
      <c r="AN68" s="1175"/>
      <c r="AO68" s="1176"/>
      <c r="AP68" s="1177"/>
      <c r="AQ68" s="1547"/>
      <c r="AR68" s="1177"/>
      <c r="AS68" s="1548"/>
      <c r="AT68" s="1549"/>
      <c r="AU68" s="1178"/>
      <c r="AV68" s="1179"/>
      <c r="AY68" s="3">
        <v>1</v>
      </c>
    </row>
    <row r="69" spans="2:51" ht="27" customHeight="1">
      <c r="B69" s="104"/>
      <c r="C69" s="1172"/>
      <c r="D69" s="1172"/>
      <c r="E69" s="1172"/>
      <c r="F69" s="1173"/>
      <c r="G69" s="1174"/>
      <c r="H69" s="1175"/>
      <c r="I69" s="1176"/>
      <c r="J69" s="1177"/>
      <c r="K69" s="1547"/>
      <c r="L69" s="1177"/>
      <c r="M69" s="1548"/>
      <c r="N69" s="1549"/>
      <c r="O69" s="1178"/>
      <c r="P69" s="1179"/>
      <c r="Q69" s="1171"/>
      <c r="R69" s="104"/>
      <c r="S69" s="1172"/>
      <c r="T69" s="1172"/>
      <c r="U69" s="1172"/>
      <c r="V69" s="1173"/>
      <c r="W69" s="1174"/>
      <c r="X69" s="1175"/>
      <c r="Y69" s="1176"/>
      <c r="Z69" s="1177"/>
      <c r="AA69" s="1547"/>
      <c r="AB69" s="1177"/>
      <c r="AC69" s="1548"/>
      <c r="AD69" s="1549"/>
      <c r="AE69" s="1178"/>
      <c r="AF69" s="1179"/>
      <c r="AG69" s="1171"/>
      <c r="AH69" s="104"/>
      <c r="AI69" s="1172"/>
      <c r="AJ69" s="1172"/>
      <c r="AK69" s="1172"/>
      <c r="AL69" s="1173"/>
      <c r="AM69" s="1174"/>
      <c r="AN69" s="1175"/>
      <c r="AO69" s="1176"/>
      <c r="AP69" s="1177"/>
      <c r="AQ69" s="1547"/>
      <c r="AR69" s="1177"/>
      <c r="AS69" s="1548"/>
      <c r="AT69" s="1549"/>
      <c r="AU69" s="1178"/>
      <c r="AV69" s="1179"/>
      <c r="AY69" s="3">
        <v>1</v>
      </c>
    </row>
    <row r="70" spans="2:51" ht="27" customHeight="1">
      <c r="B70" s="104"/>
      <c r="C70" s="1172"/>
      <c r="D70" s="1172"/>
      <c r="E70" s="1172"/>
      <c r="F70" s="1173"/>
      <c r="G70" s="1174"/>
      <c r="H70" s="1175"/>
      <c r="I70" s="1176"/>
      <c r="J70" s="1177"/>
      <c r="K70" s="1547"/>
      <c r="L70" s="1177"/>
      <c r="M70" s="1548"/>
      <c r="N70" s="1549"/>
      <c r="O70" s="1178"/>
      <c r="P70" s="1179"/>
      <c r="Q70" s="1171"/>
      <c r="R70" s="104"/>
      <c r="S70" s="1172"/>
      <c r="T70" s="1172"/>
      <c r="U70" s="1172"/>
      <c r="V70" s="1173"/>
      <c r="W70" s="1174"/>
      <c r="X70" s="1175"/>
      <c r="Y70" s="1176"/>
      <c r="Z70" s="1177"/>
      <c r="AA70" s="1547"/>
      <c r="AB70" s="1177"/>
      <c r="AC70" s="1548"/>
      <c r="AD70" s="1549"/>
      <c r="AE70" s="1178"/>
      <c r="AF70" s="1179"/>
      <c r="AG70" s="1171"/>
      <c r="AH70" s="104"/>
      <c r="AI70" s="1172"/>
      <c r="AJ70" s="1172"/>
      <c r="AK70" s="1172"/>
      <c r="AL70" s="1173"/>
      <c r="AM70" s="1174"/>
      <c r="AN70" s="1175"/>
      <c r="AO70" s="1176"/>
      <c r="AP70" s="1177"/>
      <c r="AQ70" s="1547"/>
      <c r="AR70" s="1177"/>
      <c r="AS70" s="1548"/>
      <c r="AT70" s="1549"/>
      <c r="AU70" s="1178"/>
      <c r="AV70" s="1179"/>
      <c r="AY70" s="3">
        <v>1</v>
      </c>
    </row>
    <row r="71" spans="2:51" ht="27" customHeight="1">
      <c r="B71" s="104"/>
      <c r="C71" s="1172"/>
      <c r="D71" s="1172"/>
      <c r="E71" s="1172"/>
      <c r="F71" s="1173"/>
      <c r="G71" s="1174"/>
      <c r="H71" s="1175"/>
      <c r="I71" s="1176"/>
      <c r="J71" s="1177"/>
      <c r="K71" s="1547"/>
      <c r="L71" s="1177"/>
      <c r="M71" s="1548"/>
      <c r="N71" s="1549"/>
      <c r="O71" s="1178"/>
      <c r="P71" s="1179"/>
      <c r="Q71" s="1171"/>
      <c r="R71" s="104"/>
      <c r="S71" s="1172"/>
      <c r="T71" s="1172"/>
      <c r="U71" s="1172"/>
      <c r="V71" s="1173"/>
      <c r="W71" s="1174"/>
      <c r="X71" s="1175"/>
      <c r="Y71" s="1176"/>
      <c r="Z71" s="1177"/>
      <c r="AA71" s="1547"/>
      <c r="AB71" s="1177"/>
      <c r="AC71" s="1548"/>
      <c r="AD71" s="1549"/>
      <c r="AE71" s="1178"/>
      <c r="AF71" s="1179"/>
      <c r="AG71" s="1171"/>
      <c r="AH71" s="104"/>
      <c r="AI71" s="1172"/>
      <c r="AJ71" s="1172"/>
      <c r="AK71" s="1172"/>
      <c r="AL71" s="1173"/>
      <c r="AM71" s="1174"/>
      <c r="AN71" s="1175"/>
      <c r="AO71" s="1176"/>
      <c r="AP71" s="1177"/>
      <c r="AQ71" s="1547"/>
      <c r="AR71" s="1177"/>
      <c r="AS71" s="1548"/>
      <c r="AT71" s="1549"/>
      <c r="AU71" s="1178"/>
      <c r="AV71" s="1179"/>
      <c r="AY71" s="3">
        <v>1</v>
      </c>
    </row>
    <row r="72" spans="2:51" ht="27" customHeight="1">
      <c r="B72" s="104"/>
      <c r="C72" s="1172"/>
      <c r="D72" s="1172"/>
      <c r="E72" s="1172"/>
      <c r="F72" s="1173"/>
      <c r="G72" s="1174"/>
      <c r="H72" s="1175"/>
      <c r="I72" s="1176"/>
      <c r="J72" s="1177"/>
      <c r="K72" s="1547"/>
      <c r="L72" s="1177"/>
      <c r="M72" s="1548"/>
      <c r="N72" s="1549"/>
      <c r="O72" s="1178"/>
      <c r="P72" s="1179"/>
      <c r="Q72" s="1171"/>
      <c r="R72" s="104"/>
      <c r="S72" s="1172"/>
      <c r="T72" s="1172"/>
      <c r="U72" s="1172"/>
      <c r="V72" s="1173"/>
      <c r="W72" s="1174"/>
      <c r="X72" s="1175"/>
      <c r="Y72" s="1176"/>
      <c r="Z72" s="1177"/>
      <c r="AA72" s="1547"/>
      <c r="AB72" s="1177"/>
      <c r="AC72" s="1548"/>
      <c r="AD72" s="1549"/>
      <c r="AE72" s="1178"/>
      <c r="AF72" s="1179"/>
      <c r="AG72" s="1171"/>
      <c r="AH72" s="104"/>
      <c r="AI72" s="1172"/>
      <c r="AJ72" s="1172"/>
      <c r="AK72" s="1172"/>
      <c r="AL72" s="1173"/>
      <c r="AM72" s="1174"/>
      <c r="AN72" s="1175"/>
      <c r="AO72" s="1176"/>
      <c r="AP72" s="1177"/>
      <c r="AQ72" s="1547"/>
      <c r="AR72" s="1177"/>
      <c r="AS72" s="1548"/>
      <c r="AT72" s="1549"/>
      <c r="AU72" s="1178"/>
      <c r="AV72" s="1179"/>
      <c r="AY72" s="3">
        <v>1</v>
      </c>
    </row>
    <row r="73" spans="2:51" ht="27" customHeight="1">
      <c r="B73" s="104"/>
      <c r="C73" s="1172"/>
      <c r="D73" s="1172"/>
      <c r="E73" s="1172"/>
      <c r="F73" s="1173"/>
      <c r="G73" s="1174"/>
      <c r="H73" s="1175"/>
      <c r="I73" s="1176"/>
      <c r="J73" s="1177"/>
      <c r="K73" s="1547"/>
      <c r="L73" s="1177"/>
      <c r="M73" s="1548"/>
      <c r="N73" s="1549"/>
      <c r="O73" s="1178"/>
      <c r="P73" s="1179"/>
      <c r="Q73" s="1171"/>
      <c r="R73" s="104"/>
      <c r="S73" s="1172"/>
      <c r="T73" s="1172"/>
      <c r="U73" s="1172"/>
      <c r="V73" s="1173"/>
      <c r="W73" s="1174"/>
      <c r="X73" s="1175"/>
      <c r="Y73" s="1176"/>
      <c r="Z73" s="1177"/>
      <c r="AA73" s="1547"/>
      <c r="AB73" s="1177"/>
      <c r="AC73" s="1548"/>
      <c r="AD73" s="1549"/>
      <c r="AE73" s="1178"/>
      <c r="AF73" s="1179"/>
      <c r="AG73" s="1171"/>
      <c r="AH73" s="104"/>
      <c r="AI73" s="1172"/>
      <c r="AJ73" s="1172"/>
      <c r="AK73" s="1172"/>
      <c r="AL73" s="1173"/>
      <c r="AM73" s="1174"/>
      <c r="AN73" s="1175"/>
      <c r="AO73" s="1176"/>
      <c r="AP73" s="1177"/>
      <c r="AQ73" s="1547"/>
      <c r="AR73" s="1177"/>
      <c r="AS73" s="1548"/>
      <c r="AT73" s="1549"/>
      <c r="AU73" s="1178"/>
      <c r="AV73" s="1179"/>
      <c r="AY73" s="3">
        <v>1</v>
      </c>
    </row>
    <row r="74" spans="2:51" ht="27" customHeight="1">
      <c r="B74" s="104"/>
      <c r="C74" s="1172"/>
      <c r="D74" s="1172"/>
      <c r="E74" s="1172"/>
      <c r="F74" s="1173"/>
      <c r="G74" s="1174"/>
      <c r="H74" s="1175"/>
      <c r="I74" s="1176"/>
      <c r="J74" s="1177"/>
      <c r="K74" s="1547"/>
      <c r="L74" s="1177"/>
      <c r="M74" s="1548"/>
      <c r="N74" s="1549"/>
      <c r="O74" s="1178"/>
      <c r="P74" s="1179"/>
      <c r="Q74" s="1171"/>
      <c r="R74" s="104"/>
      <c r="S74" s="1172"/>
      <c r="T74" s="1172"/>
      <c r="U74" s="1172"/>
      <c r="V74" s="1173"/>
      <c r="W74" s="1174"/>
      <c r="X74" s="1175"/>
      <c r="Y74" s="1176"/>
      <c r="Z74" s="1177"/>
      <c r="AA74" s="1547"/>
      <c r="AB74" s="1177"/>
      <c r="AC74" s="1548"/>
      <c r="AD74" s="1549"/>
      <c r="AE74" s="1178"/>
      <c r="AF74" s="1179"/>
      <c r="AG74" s="1171"/>
      <c r="AH74" s="104"/>
      <c r="AI74" s="1172"/>
      <c r="AJ74" s="1172"/>
      <c r="AK74" s="1172"/>
      <c r="AL74" s="1173"/>
      <c r="AM74" s="1174"/>
      <c r="AN74" s="1175"/>
      <c r="AO74" s="1176"/>
      <c r="AP74" s="1177"/>
      <c r="AQ74" s="1547"/>
      <c r="AR74" s="1177"/>
      <c r="AS74" s="1548"/>
      <c r="AT74" s="1549"/>
      <c r="AU74" s="1178"/>
      <c r="AV74" s="1179"/>
      <c r="AY74" s="3">
        <v>1</v>
      </c>
    </row>
    <row r="75" spans="2:51" ht="27" customHeight="1">
      <c r="B75" s="104"/>
      <c r="C75" s="1172"/>
      <c r="D75" s="1172"/>
      <c r="E75" s="1172"/>
      <c r="F75" s="1173"/>
      <c r="G75" s="1174"/>
      <c r="H75" s="1175"/>
      <c r="I75" s="1176"/>
      <c r="J75" s="1177"/>
      <c r="K75" s="1547"/>
      <c r="L75" s="1177"/>
      <c r="M75" s="1548"/>
      <c r="N75" s="1549"/>
      <c r="O75" s="1178"/>
      <c r="P75" s="1179"/>
      <c r="Q75" s="1171"/>
      <c r="R75" s="104"/>
      <c r="S75" s="1172"/>
      <c r="T75" s="1172"/>
      <c r="U75" s="1172"/>
      <c r="V75" s="1173"/>
      <c r="W75" s="1174"/>
      <c r="X75" s="1175"/>
      <c r="Y75" s="1176"/>
      <c r="Z75" s="1177"/>
      <c r="AA75" s="1547"/>
      <c r="AB75" s="1177"/>
      <c r="AC75" s="1548"/>
      <c r="AD75" s="1549"/>
      <c r="AE75" s="1178"/>
      <c r="AF75" s="1179"/>
      <c r="AG75" s="1171"/>
      <c r="AH75" s="104"/>
      <c r="AI75" s="1172"/>
      <c r="AJ75" s="1172"/>
      <c r="AK75" s="1172"/>
      <c r="AL75" s="1173"/>
      <c r="AM75" s="1174"/>
      <c r="AN75" s="1175"/>
      <c r="AO75" s="1176"/>
      <c r="AP75" s="1177"/>
      <c r="AQ75" s="1547"/>
      <c r="AR75" s="1177"/>
      <c r="AS75" s="1548"/>
      <c r="AT75" s="1549"/>
      <c r="AU75" s="1178"/>
      <c r="AV75" s="1179"/>
      <c r="AY75" s="3">
        <v>1</v>
      </c>
    </row>
    <row r="76" spans="2:51" ht="27" customHeight="1">
      <c r="B76" s="104"/>
      <c r="C76" s="1172"/>
      <c r="D76" s="1172"/>
      <c r="E76" s="1172"/>
      <c r="F76" s="1173"/>
      <c r="G76" s="1174"/>
      <c r="H76" s="1175"/>
      <c r="I76" s="1176"/>
      <c r="J76" s="1177"/>
      <c r="K76" s="1547"/>
      <c r="L76" s="1177"/>
      <c r="M76" s="1548"/>
      <c r="N76" s="1549"/>
      <c r="O76" s="1178"/>
      <c r="P76" s="1179"/>
      <c r="Q76" s="1171"/>
      <c r="R76" s="104"/>
      <c r="S76" s="1172"/>
      <c r="T76" s="1172"/>
      <c r="U76" s="1172"/>
      <c r="V76" s="1173"/>
      <c r="W76" s="1174"/>
      <c r="X76" s="1175"/>
      <c r="Y76" s="1176"/>
      <c r="Z76" s="1177"/>
      <c r="AA76" s="1547"/>
      <c r="AB76" s="1177"/>
      <c r="AC76" s="1548"/>
      <c r="AD76" s="1549"/>
      <c r="AE76" s="1178"/>
      <c r="AF76" s="1179"/>
      <c r="AG76" s="1171"/>
      <c r="AH76" s="104"/>
      <c r="AI76" s="1172"/>
      <c r="AJ76" s="1172"/>
      <c r="AK76" s="1172"/>
      <c r="AL76" s="1173"/>
      <c r="AM76" s="1174"/>
      <c r="AN76" s="1175"/>
      <c r="AO76" s="1176"/>
      <c r="AP76" s="1177"/>
      <c r="AQ76" s="1547"/>
      <c r="AR76" s="1177"/>
      <c r="AS76" s="1548"/>
      <c r="AT76" s="1549"/>
      <c r="AU76" s="1178"/>
      <c r="AV76" s="1179"/>
      <c r="AY76" s="3">
        <v>1</v>
      </c>
    </row>
    <row r="77" spans="2:51" ht="27" customHeight="1">
      <c r="B77" s="104"/>
      <c r="C77" s="1172"/>
      <c r="D77" s="1172"/>
      <c r="E77" s="1172"/>
      <c r="F77" s="1173"/>
      <c r="G77" s="1174"/>
      <c r="H77" s="1175"/>
      <c r="I77" s="1176"/>
      <c r="J77" s="1177"/>
      <c r="K77" s="1547"/>
      <c r="L77" s="1177"/>
      <c r="M77" s="1548"/>
      <c r="N77" s="1549"/>
      <c r="O77" s="1178"/>
      <c r="P77" s="1179"/>
      <c r="Q77" s="1171"/>
      <c r="R77" s="104"/>
      <c r="S77" s="1172"/>
      <c r="T77" s="1172"/>
      <c r="U77" s="1172"/>
      <c r="V77" s="1173"/>
      <c r="W77" s="1174"/>
      <c r="X77" s="1175"/>
      <c r="Y77" s="1176"/>
      <c r="Z77" s="1177"/>
      <c r="AA77" s="1547"/>
      <c r="AB77" s="1177"/>
      <c r="AC77" s="1548"/>
      <c r="AD77" s="1549"/>
      <c r="AE77" s="1178"/>
      <c r="AF77" s="1179"/>
      <c r="AG77" s="1171"/>
      <c r="AH77" s="104"/>
      <c r="AI77" s="1172"/>
      <c r="AJ77" s="1172"/>
      <c r="AK77" s="1172"/>
      <c r="AL77" s="1173"/>
      <c r="AM77" s="1174"/>
      <c r="AN77" s="1175"/>
      <c r="AO77" s="1176"/>
      <c r="AP77" s="1177"/>
      <c r="AQ77" s="1547"/>
      <c r="AR77" s="1177"/>
      <c r="AS77" s="1548"/>
      <c r="AT77" s="1549"/>
      <c r="AU77" s="1178"/>
      <c r="AV77" s="1179"/>
      <c r="AY77" s="3">
        <v>1</v>
      </c>
    </row>
    <row r="78" spans="2:51" ht="27" customHeight="1">
      <c r="B78" s="104"/>
      <c r="C78" s="1172"/>
      <c r="D78" s="1172"/>
      <c r="E78" s="1172"/>
      <c r="F78" s="1173"/>
      <c r="G78" s="1174"/>
      <c r="H78" s="1175"/>
      <c r="I78" s="1176"/>
      <c r="J78" s="1177"/>
      <c r="K78" s="1547"/>
      <c r="L78" s="1177"/>
      <c r="M78" s="1548"/>
      <c r="N78" s="1549"/>
      <c r="O78" s="1178"/>
      <c r="P78" s="1179"/>
      <c r="Q78" s="1171"/>
      <c r="R78" s="104"/>
      <c r="S78" s="1172"/>
      <c r="T78" s="1172"/>
      <c r="U78" s="1172"/>
      <c r="V78" s="1173"/>
      <c r="W78" s="1174"/>
      <c r="X78" s="1175"/>
      <c r="Y78" s="1176"/>
      <c r="Z78" s="1177"/>
      <c r="AA78" s="1547"/>
      <c r="AB78" s="1177"/>
      <c r="AC78" s="1548"/>
      <c r="AD78" s="1549"/>
      <c r="AE78" s="1178"/>
      <c r="AF78" s="1179"/>
      <c r="AG78" s="1171"/>
      <c r="AH78" s="104"/>
      <c r="AI78" s="1172"/>
      <c r="AJ78" s="1172"/>
      <c r="AK78" s="1172"/>
      <c r="AL78" s="1173"/>
      <c r="AM78" s="1174"/>
      <c r="AN78" s="1175"/>
      <c r="AO78" s="1176"/>
      <c r="AP78" s="1177"/>
      <c r="AQ78" s="1547"/>
      <c r="AR78" s="1177"/>
      <c r="AS78" s="1548"/>
      <c r="AT78" s="1549"/>
      <c r="AU78" s="1178"/>
      <c r="AV78" s="1179"/>
      <c r="AY78" s="3">
        <v>1</v>
      </c>
    </row>
    <row r="79" spans="2:51" ht="27" customHeight="1">
      <c r="B79" s="104"/>
      <c r="C79" s="1172"/>
      <c r="D79" s="1172"/>
      <c r="E79" s="1172"/>
      <c r="F79" s="1173"/>
      <c r="G79" s="1174"/>
      <c r="H79" s="1175"/>
      <c r="I79" s="1176"/>
      <c r="J79" s="1177"/>
      <c r="K79" s="1547"/>
      <c r="L79" s="1177"/>
      <c r="M79" s="1548"/>
      <c r="N79" s="1549"/>
      <c r="O79" s="1178"/>
      <c r="P79" s="1179"/>
      <c r="Q79" s="1171"/>
      <c r="R79" s="104"/>
      <c r="S79" s="1172"/>
      <c r="T79" s="1172"/>
      <c r="U79" s="1172"/>
      <c r="V79" s="1173"/>
      <c r="W79" s="1174"/>
      <c r="X79" s="1175"/>
      <c r="Y79" s="1176"/>
      <c r="Z79" s="1177"/>
      <c r="AA79" s="1547"/>
      <c r="AB79" s="1177"/>
      <c r="AC79" s="1548"/>
      <c r="AD79" s="1549"/>
      <c r="AE79" s="1178"/>
      <c r="AF79" s="1179"/>
      <c r="AG79" s="1171"/>
      <c r="AH79" s="104"/>
      <c r="AI79" s="1172"/>
      <c r="AJ79" s="1172"/>
      <c r="AK79" s="1172"/>
      <c r="AL79" s="1173"/>
      <c r="AM79" s="1174"/>
      <c r="AN79" s="1175"/>
      <c r="AO79" s="1176"/>
      <c r="AP79" s="1177"/>
      <c r="AQ79" s="1547"/>
      <c r="AR79" s="1177"/>
      <c r="AS79" s="1548"/>
      <c r="AT79" s="1549"/>
      <c r="AU79" s="1178"/>
      <c r="AV79" s="1179"/>
      <c r="AY79" s="3">
        <v>1</v>
      </c>
    </row>
    <row r="80" spans="2:51" ht="27" customHeight="1">
      <c r="B80" s="104"/>
      <c r="C80" s="1172"/>
      <c r="D80" s="1172"/>
      <c r="E80" s="1172"/>
      <c r="F80" s="1173"/>
      <c r="G80" s="1174"/>
      <c r="H80" s="1175"/>
      <c r="I80" s="1176"/>
      <c r="J80" s="1177"/>
      <c r="K80" s="1547"/>
      <c r="L80" s="1177"/>
      <c r="M80" s="1548"/>
      <c r="N80" s="1549"/>
      <c r="O80" s="1178"/>
      <c r="P80" s="1179"/>
      <c r="Q80" s="1171"/>
      <c r="R80" s="104"/>
      <c r="S80" s="1172"/>
      <c r="T80" s="1172"/>
      <c r="U80" s="1172"/>
      <c r="V80" s="1173"/>
      <c r="W80" s="1174"/>
      <c r="X80" s="1175"/>
      <c r="Y80" s="1176"/>
      <c r="Z80" s="1177"/>
      <c r="AA80" s="1547"/>
      <c r="AB80" s="1177"/>
      <c r="AC80" s="1548"/>
      <c r="AD80" s="1549"/>
      <c r="AE80" s="1178"/>
      <c r="AF80" s="1179"/>
      <c r="AG80" s="1171"/>
      <c r="AH80" s="104"/>
      <c r="AI80" s="1172"/>
      <c r="AJ80" s="1172"/>
      <c r="AK80" s="1172"/>
      <c r="AL80" s="1173"/>
      <c r="AM80" s="1174"/>
      <c r="AN80" s="1175"/>
      <c r="AO80" s="1176"/>
      <c r="AP80" s="1177"/>
      <c r="AQ80" s="1547"/>
      <c r="AR80" s="1177"/>
      <c r="AS80" s="1548"/>
      <c r="AT80" s="1549"/>
      <c r="AU80" s="1178"/>
      <c r="AV80" s="1179"/>
      <c r="AY80" s="3">
        <v>1</v>
      </c>
    </row>
    <row r="81" spans="2:51" ht="27" customHeight="1">
      <c r="B81" s="104"/>
      <c r="C81" s="1172"/>
      <c r="D81" s="1172"/>
      <c r="E81" s="1172"/>
      <c r="F81" s="1173"/>
      <c r="G81" s="1174"/>
      <c r="H81" s="1175"/>
      <c r="I81" s="1176"/>
      <c r="J81" s="1177"/>
      <c r="K81" s="1547"/>
      <c r="L81" s="1177"/>
      <c r="M81" s="1548"/>
      <c r="N81" s="1549"/>
      <c r="O81" s="1178"/>
      <c r="P81" s="1179"/>
      <c r="Q81" s="1171"/>
      <c r="R81" s="104"/>
      <c r="S81" s="1172"/>
      <c r="T81" s="1172"/>
      <c r="U81" s="1172"/>
      <c r="V81" s="1173"/>
      <c r="W81" s="1174"/>
      <c r="X81" s="1175"/>
      <c r="Y81" s="1176"/>
      <c r="Z81" s="1177"/>
      <c r="AA81" s="1547"/>
      <c r="AB81" s="1177"/>
      <c r="AC81" s="1548"/>
      <c r="AD81" s="1549"/>
      <c r="AE81" s="1178"/>
      <c r="AF81" s="1179"/>
      <c r="AG81" s="1171"/>
      <c r="AH81" s="104"/>
      <c r="AI81" s="1172"/>
      <c r="AJ81" s="1172"/>
      <c r="AK81" s="1172"/>
      <c r="AL81" s="1173"/>
      <c r="AM81" s="1174"/>
      <c r="AN81" s="1175"/>
      <c r="AO81" s="1176"/>
      <c r="AP81" s="1177"/>
      <c r="AQ81" s="1547"/>
      <c r="AR81" s="1177"/>
      <c r="AS81" s="1548"/>
      <c r="AT81" s="1549"/>
      <c r="AU81" s="1178"/>
      <c r="AV81" s="1179"/>
      <c r="AY81" s="3">
        <v>1</v>
      </c>
    </row>
    <row r="82" spans="2:51" ht="27" customHeight="1">
      <c r="B82" s="104"/>
      <c r="C82" s="1172"/>
      <c r="D82" s="1172"/>
      <c r="E82" s="1172"/>
      <c r="F82" s="1173"/>
      <c r="G82" s="1174"/>
      <c r="H82" s="1175"/>
      <c r="I82" s="1176"/>
      <c r="J82" s="1177"/>
      <c r="K82" s="1547"/>
      <c r="L82" s="1177"/>
      <c r="M82" s="1548"/>
      <c r="N82" s="1549"/>
      <c r="O82" s="1178"/>
      <c r="P82" s="1179"/>
      <c r="Q82" s="1171"/>
      <c r="R82" s="104"/>
      <c r="S82" s="1172"/>
      <c r="T82" s="1172"/>
      <c r="U82" s="1172"/>
      <c r="V82" s="1173"/>
      <c r="W82" s="1174"/>
      <c r="X82" s="1175"/>
      <c r="Y82" s="1176"/>
      <c r="Z82" s="1177"/>
      <c r="AA82" s="1547"/>
      <c r="AB82" s="1177"/>
      <c r="AC82" s="1548"/>
      <c r="AD82" s="1549"/>
      <c r="AE82" s="1178"/>
      <c r="AF82" s="1179"/>
      <c r="AG82" s="1171"/>
      <c r="AH82" s="104"/>
      <c r="AI82" s="1172"/>
      <c r="AJ82" s="1172"/>
      <c r="AK82" s="1172"/>
      <c r="AL82" s="1173"/>
      <c r="AM82" s="1174"/>
      <c r="AN82" s="1175"/>
      <c r="AO82" s="1176"/>
      <c r="AP82" s="1177"/>
      <c r="AQ82" s="1547"/>
      <c r="AR82" s="1177"/>
      <c r="AS82" s="1548"/>
      <c r="AT82" s="1549"/>
      <c r="AU82" s="1178"/>
      <c r="AV82" s="1179"/>
      <c r="AY82" s="3">
        <v>1</v>
      </c>
    </row>
    <row r="83" spans="2:51" ht="27" customHeight="1">
      <c r="B83" s="104"/>
      <c r="C83" s="1172"/>
      <c r="D83" s="1172"/>
      <c r="E83" s="1172"/>
      <c r="F83" s="1173"/>
      <c r="G83" s="1174"/>
      <c r="H83" s="1175"/>
      <c r="I83" s="1176"/>
      <c r="J83" s="1177"/>
      <c r="K83" s="1547"/>
      <c r="L83" s="1177"/>
      <c r="M83" s="1548"/>
      <c r="N83" s="1549"/>
      <c r="O83" s="1178"/>
      <c r="P83" s="1179"/>
      <c r="Q83" s="1171"/>
      <c r="R83" s="104"/>
      <c r="S83" s="1172"/>
      <c r="T83" s="1172"/>
      <c r="U83" s="1172"/>
      <c r="V83" s="1173"/>
      <c r="W83" s="1174"/>
      <c r="X83" s="1175"/>
      <c r="Y83" s="1176"/>
      <c r="Z83" s="1177"/>
      <c r="AA83" s="1547"/>
      <c r="AB83" s="1177"/>
      <c r="AC83" s="1548"/>
      <c r="AD83" s="1549"/>
      <c r="AE83" s="1178"/>
      <c r="AF83" s="1179"/>
      <c r="AG83" s="1171"/>
      <c r="AH83" s="104"/>
      <c r="AI83" s="1172"/>
      <c r="AJ83" s="1172"/>
      <c r="AK83" s="1172"/>
      <c r="AL83" s="1173"/>
      <c r="AM83" s="1174"/>
      <c r="AN83" s="1175"/>
      <c r="AO83" s="1176"/>
      <c r="AP83" s="1177"/>
      <c r="AQ83" s="1547"/>
      <c r="AR83" s="1177"/>
      <c r="AS83" s="1548"/>
      <c r="AT83" s="1549"/>
      <c r="AU83" s="1178"/>
      <c r="AV83" s="1179"/>
      <c r="AY83" s="3">
        <v>1</v>
      </c>
    </row>
    <row r="84" spans="2:51" ht="27" customHeight="1">
      <c r="B84" s="104"/>
      <c r="C84" s="1172"/>
      <c r="D84" s="1172"/>
      <c r="E84" s="1172"/>
      <c r="F84" s="1173"/>
      <c r="G84" s="1174"/>
      <c r="H84" s="1175"/>
      <c r="I84" s="1176"/>
      <c r="J84" s="1177"/>
      <c r="K84" s="1547"/>
      <c r="L84" s="1177"/>
      <c r="M84" s="1548"/>
      <c r="N84" s="1549"/>
      <c r="O84" s="1178"/>
      <c r="P84" s="1179"/>
      <c r="Q84" s="1171"/>
      <c r="R84" s="104"/>
      <c r="S84" s="1172"/>
      <c r="T84" s="1172"/>
      <c r="U84" s="1172"/>
      <c r="V84" s="1173"/>
      <c r="W84" s="1174"/>
      <c r="X84" s="1175"/>
      <c r="Y84" s="1176"/>
      <c r="Z84" s="1177"/>
      <c r="AA84" s="1547"/>
      <c r="AB84" s="1177"/>
      <c r="AC84" s="1548"/>
      <c r="AD84" s="1549"/>
      <c r="AE84" s="1178"/>
      <c r="AF84" s="1179"/>
      <c r="AG84" s="1171"/>
      <c r="AH84" s="104"/>
      <c r="AI84" s="1172"/>
      <c r="AJ84" s="1172"/>
      <c r="AK84" s="1172"/>
      <c r="AL84" s="1173"/>
      <c r="AM84" s="1174"/>
      <c r="AN84" s="1175"/>
      <c r="AO84" s="1176"/>
      <c r="AP84" s="1177"/>
      <c r="AQ84" s="1547"/>
      <c r="AR84" s="1177"/>
      <c r="AS84" s="1548"/>
      <c r="AT84" s="1549"/>
      <c r="AU84" s="1178"/>
      <c r="AV84" s="1179"/>
      <c r="AY84" s="3">
        <v>1</v>
      </c>
    </row>
    <row r="85" spans="2:51" ht="27" customHeight="1">
      <c r="B85" s="104"/>
      <c r="C85" s="1172"/>
      <c r="D85" s="1172"/>
      <c r="E85" s="1172"/>
      <c r="F85" s="1173"/>
      <c r="G85" s="1174"/>
      <c r="H85" s="1175"/>
      <c r="I85" s="1176"/>
      <c r="J85" s="1177"/>
      <c r="K85" s="1547"/>
      <c r="L85" s="1177"/>
      <c r="M85" s="1548"/>
      <c r="N85" s="1549"/>
      <c r="O85" s="1178"/>
      <c r="P85" s="1179"/>
      <c r="Q85" s="1171"/>
      <c r="R85" s="104"/>
      <c r="S85" s="1172"/>
      <c r="T85" s="1172"/>
      <c r="U85" s="1172"/>
      <c r="V85" s="1173"/>
      <c r="W85" s="1174"/>
      <c r="X85" s="1175"/>
      <c r="Y85" s="1176"/>
      <c r="Z85" s="1177"/>
      <c r="AA85" s="1547"/>
      <c r="AB85" s="1177"/>
      <c r="AC85" s="1548"/>
      <c r="AD85" s="1549"/>
      <c r="AE85" s="1178"/>
      <c r="AF85" s="1179"/>
      <c r="AG85" s="1171"/>
      <c r="AH85" s="104"/>
      <c r="AI85" s="1172"/>
      <c r="AJ85" s="1172"/>
      <c r="AK85" s="1172"/>
      <c r="AL85" s="1173"/>
      <c r="AM85" s="1174"/>
      <c r="AN85" s="1175"/>
      <c r="AO85" s="1176"/>
      <c r="AP85" s="1177"/>
      <c r="AQ85" s="1547"/>
      <c r="AR85" s="1177"/>
      <c r="AS85" s="1548"/>
      <c r="AT85" s="1549"/>
      <c r="AU85" s="1178"/>
      <c r="AV85" s="1179"/>
      <c r="AY85" s="3">
        <v>1</v>
      </c>
    </row>
    <row r="86" spans="2:51" ht="27" customHeight="1">
      <c r="B86" s="104"/>
      <c r="C86" s="1172"/>
      <c r="D86" s="1172"/>
      <c r="E86" s="1172"/>
      <c r="F86" s="1173"/>
      <c r="G86" s="1174"/>
      <c r="H86" s="1175"/>
      <c r="I86" s="1176"/>
      <c r="J86" s="1177"/>
      <c r="K86" s="1547"/>
      <c r="L86" s="1177"/>
      <c r="M86" s="1548"/>
      <c r="N86" s="1549"/>
      <c r="O86" s="1178"/>
      <c r="P86" s="1179"/>
      <c r="Q86" s="1171"/>
      <c r="R86" s="104"/>
      <c r="S86" s="1172"/>
      <c r="T86" s="1172"/>
      <c r="U86" s="1172"/>
      <c r="V86" s="1173"/>
      <c r="W86" s="1174"/>
      <c r="X86" s="1175"/>
      <c r="Y86" s="1176"/>
      <c r="Z86" s="1177"/>
      <c r="AA86" s="1547"/>
      <c r="AB86" s="1177"/>
      <c r="AC86" s="1548"/>
      <c r="AD86" s="1549"/>
      <c r="AE86" s="1178"/>
      <c r="AF86" s="1179"/>
      <c r="AG86" s="1171"/>
      <c r="AH86" s="104"/>
      <c r="AI86" s="1172"/>
      <c r="AJ86" s="1172"/>
      <c r="AK86" s="1172"/>
      <c r="AL86" s="1173"/>
      <c r="AM86" s="1174"/>
      <c r="AN86" s="1175"/>
      <c r="AO86" s="1176"/>
      <c r="AP86" s="1177"/>
      <c r="AQ86" s="1547"/>
      <c r="AR86" s="1177"/>
      <c r="AS86" s="1548"/>
      <c r="AT86" s="1549"/>
      <c r="AU86" s="1178"/>
      <c r="AV86" s="1179"/>
      <c r="AY86" s="3">
        <v>1</v>
      </c>
    </row>
    <row r="87" spans="2:51" ht="27" customHeight="1">
      <c r="B87" s="104"/>
      <c r="C87" s="1172"/>
      <c r="D87" s="1172"/>
      <c r="E87" s="1172"/>
      <c r="F87" s="1173"/>
      <c r="G87" s="1174"/>
      <c r="H87" s="1175"/>
      <c r="I87" s="1176"/>
      <c r="J87" s="1177"/>
      <c r="K87" s="1547"/>
      <c r="L87" s="1177"/>
      <c r="M87" s="1548"/>
      <c r="N87" s="1549"/>
      <c r="O87" s="1178"/>
      <c r="P87" s="1179"/>
      <c r="Q87" s="1171"/>
      <c r="R87" s="104"/>
      <c r="S87" s="1172"/>
      <c r="T87" s="1172"/>
      <c r="U87" s="1172"/>
      <c r="V87" s="1173"/>
      <c r="W87" s="1174"/>
      <c r="X87" s="1175"/>
      <c r="Y87" s="1176"/>
      <c r="Z87" s="1177"/>
      <c r="AA87" s="1547"/>
      <c r="AB87" s="1177"/>
      <c r="AC87" s="1548"/>
      <c r="AD87" s="1549"/>
      <c r="AE87" s="1178"/>
      <c r="AF87" s="1179"/>
      <c r="AG87" s="1171"/>
      <c r="AH87" s="104"/>
      <c r="AI87" s="1172"/>
      <c r="AJ87" s="1172"/>
      <c r="AK87" s="1172"/>
      <c r="AL87" s="1173"/>
      <c r="AM87" s="1174"/>
      <c r="AN87" s="1175"/>
      <c r="AO87" s="1176"/>
      <c r="AP87" s="1177"/>
      <c r="AQ87" s="1547"/>
      <c r="AR87" s="1177"/>
      <c r="AS87" s="1548"/>
      <c r="AT87" s="1549"/>
      <c r="AU87" s="1178"/>
      <c r="AV87" s="1179"/>
      <c r="AY87" s="3">
        <v>1</v>
      </c>
    </row>
    <row r="88" spans="2:51" ht="27" customHeight="1">
      <c r="B88" s="104"/>
      <c r="C88" s="1172"/>
      <c r="D88" s="1172"/>
      <c r="E88" s="1172"/>
      <c r="F88" s="1173"/>
      <c r="G88" s="1174"/>
      <c r="H88" s="1175"/>
      <c r="I88" s="1176"/>
      <c r="J88" s="1177"/>
      <c r="K88" s="1547"/>
      <c r="L88" s="1177"/>
      <c r="M88" s="1548"/>
      <c r="N88" s="1549"/>
      <c r="O88" s="1178"/>
      <c r="P88" s="1179"/>
      <c r="Q88" s="1171"/>
      <c r="R88" s="104"/>
      <c r="S88" s="1172"/>
      <c r="T88" s="1172"/>
      <c r="U88" s="1172"/>
      <c r="V88" s="1173"/>
      <c r="W88" s="1174"/>
      <c r="X88" s="1175"/>
      <c r="Y88" s="1176"/>
      <c r="Z88" s="1177"/>
      <c r="AA88" s="1547"/>
      <c r="AB88" s="1177"/>
      <c r="AC88" s="1548"/>
      <c r="AD88" s="1549"/>
      <c r="AE88" s="1178"/>
      <c r="AF88" s="1179"/>
      <c r="AG88" s="1171"/>
      <c r="AH88" s="104"/>
      <c r="AI88" s="1172"/>
      <c r="AJ88" s="1172"/>
      <c r="AK88" s="1172"/>
      <c r="AL88" s="1173"/>
      <c r="AM88" s="1174"/>
      <c r="AN88" s="1175"/>
      <c r="AO88" s="1176"/>
      <c r="AP88" s="1177"/>
      <c r="AQ88" s="1547"/>
      <c r="AR88" s="1177"/>
      <c r="AS88" s="1548"/>
      <c r="AT88" s="1549"/>
      <c r="AU88" s="1178"/>
      <c r="AV88" s="1179"/>
      <c r="AY88" s="3">
        <v>1</v>
      </c>
    </row>
    <row r="89" spans="2:51" ht="27" customHeight="1">
      <c r="B89" s="104"/>
      <c r="C89" s="1172"/>
      <c r="D89" s="1172"/>
      <c r="E89" s="1172"/>
      <c r="F89" s="1173"/>
      <c r="G89" s="1174"/>
      <c r="H89" s="1175"/>
      <c r="I89" s="1176"/>
      <c r="J89" s="1177"/>
      <c r="K89" s="1547"/>
      <c r="L89" s="1177"/>
      <c r="M89" s="1548"/>
      <c r="N89" s="1549"/>
      <c r="O89" s="1178"/>
      <c r="P89" s="1179"/>
      <c r="Q89" s="1171"/>
      <c r="R89" s="104"/>
      <c r="S89" s="1172"/>
      <c r="T89" s="1172"/>
      <c r="U89" s="1172"/>
      <c r="V89" s="1173"/>
      <c r="W89" s="1174"/>
      <c r="X89" s="1175"/>
      <c r="Y89" s="1176"/>
      <c r="Z89" s="1177"/>
      <c r="AA89" s="1547"/>
      <c r="AB89" s="1177"/>
      <c r="AC89" s="1548"/>
      <c r="AD89" s="1549"/>
      <c r="AE89" s="1178"/>
      <c r="AF89" s="1179"/>
      <c r="AG89" s="1171"/>
      <c r="AH89" s="104"/>
      <c r="AI89" s="1172"/>
      <c r="AJ89" s="1172"/>
      <c r="AK89" s="1172"/>
      <c r="AL89" s="1173"/>
      <c r="AM89" s="1174"/>
      <c r="AN89" s="1175"/>
      <c r="AO89" s="1176"/>
      <c r="AP89" s="1177"/>
      <c r="AQ89" s="1547"/>
      <c r="AR89" s="1177"/>
      <c r="AS89" s="1548"/>
      <c r="AT89" s="1549"/>
      <c r="AU89" s="1178"/>
      <c r="AV89" s="1179"/>
      <c r="AY89" s="3">
        <v>1</v>
      </c>
    </row>
    <row r="90" spans="2:51" ht="27" customHeight="1">
      <c r="B90" s="104"/>
      <c r="C90" s="1172"/>
      <c r="D90" s="1172"/>
      <c r="E90" s="1172"/>
      <c r="F90" s="1173"/>
      <c r="G90" s="1174"/>
      <c r="H90" s="1175"/>
      <c r="I90" s="1176"/>
      <c r="J90" s="1177"/>
      <c r="K90" s="1547"/>
      <c r="L90" s="1177"/>
      <c r="M90" s="1548"/>
      <c r="N90" s="1549"/>
      <c r="O90" s="1178"/>
      <c r="P90" s="1179"/>
      <c r="Q90" s="1171"/>
      <c r="R90" s="104"/>
      <c r="S90" s="1172"/>
      <c r="T90" s="1172"/>
      <c r="U90" s="1172"/>
      <c r="V90" s="1173"/>
      <c r="W90" s="1174"/>
      <c r="X90" s="1175"/>
      <c r="Y90" s="1176"/>
      <c r="Z90" s="1177"/>
      <c r="AA90" s="1547"/>
      <c r="AB90" s="1177"/>
      <c r="AC90" s="1548"/>
      <c r="AD90" s="1549"/>
      <c r="AE90" s="1178"/>
      <c r="AF90" s="1179"/>
      <c r="AG90" s="1171"/>
      <c r="AH90" s="104"/>
      <c r="AI90" s="1172"/>
      <c r="AJ90" s="1172"/>
      <c r="AK90" s="1172"/>
      <c r="AL90" s="1173"/>
      <c r="AM90" s="1174"/>
      <c r="AN90" s="1175"/>
      <c r="AO90" s="1176"/>
      <c r="AP90" s="1177"/>
      <c r="AQ90" s="1547"/>
      <c r="AR90" s="1177"/>
      <c r="AS90" s="1548"/>
      <c r="AT90" s="1549"/>
      <c r="AU90" s="1178"/>
      <c r="AV90" s="1179"/>
      <c r="AY90" s="3">
        <v>1</v>
      </c>
    </row>
    <row r="91" spans="2:51" ht="27" customHeight="1">
      <c r="B91" s="104"/>
      <c r="C91" s="1172"/>
      <c r="D91" s="1172"/>
      <c r="E91" s="1172"/>
      <c r="F91" s="1173"/>
      <c r="G91" s="1174"/>
      <c r="H91" s="1175"/>
      <c r="I91" s="1176"/>
      <c r="J91" s="1177"/>
      <c r="K91" s="1547"/>
      <c r="L91" s="1177"/>
      <c r="M91" s="1548"/>
      <c r="N91" s="1549"/>
      <c r="O91" s="1178"/>
      <c r="P91" s="1179"/>
      <c r="Q91" s="1171"/>
      <c r="R91" s="104"/>
      <c r="S91" s="1172"/>
      <c r="T91" s="1172"/>
      <c r="U91" s="1172"/>
      <c r="V91" s="1173"/>
      <c r="W91" s="1174"/>
      <c r="X91" s="1175"/>
      <c r="Y91" s="1176"/>
      <c r="Z91" s="1177"/>
      <c r="AA91" s="1547"/>
      <c r="AB91" s="1177"/>
      <c r="AC91" s="1548"/>
      <c r="AD91" s="1549"/>
      <c r="AE91" s="1178"/>
      <c r="AF91" s="1179"/>
      <c r="AG91" s="1171"/>
      <c r="AH91" s="104"/>
      <c r="AI91" s="1172"/>
      <c r="AJ91" s="1172"/>
      <c r="AK91" s="1172"/>
      <c r="AL91" s="1173"/>
      <c r="AM91" s="1174"/>
      <c r="AN91" s="1175"/>
      <c r="AO91" s="1176"/>
      <c r="AP91" s="1177"/>
      <c r="AQ91" s="1547"/>
      <c r="AR91" s="1177"/>
      <c r="AS91" s="1548"/>
      <c r="AT91" s="1549"/>
      <c r="AU91" s="1178"/>
      <c r="AV91" s="1179"/>
      <c r="AY91" s="3">
        <v>1</v>
      </c>
    </row>
    <row r="92" spans="2:51" ht="27" customHeight="1">
      <c r="B92" s="104"/>
      <c r="C92" s="1172"/>
      <c r="D92" s="1172"/>
      <c r="E92" s="1172"/>
      <c r="F92" s="1173"/>
      <c r="G92" s="1174"/>
      <c r="H92" s="1175"/>
      <c r="I92" s="1176"/>
      <c r="J92" s="1177"/>
      <c r="K92" s="1547"/>
      <c r="L92" s="1177"/>
      <c r="M92" s="1548"/>
      <c r="N92" s="1549"/>
      <c r="O92" s="1178"/>
      <c r="P92" s="1179"/>
      <c r="Q92" s="1171"/>
      <c r="R92" s="104"/>
      <c r="S92" s="1172"/>
      <c r="T92" s="1172"/>
      <c r="U92" s="1172"/>
      <c r="V92" s="1173"/>
      <c r="W92" s="1174"/>
      <c r="X92" s="1175"/>
      <c r="Y92" s="1176"/>
      <c r="Z92" s="1177"/>
      <c r="AA92" s="1547"/>
      <c r="AB92" s="1177"/>
      <c r="AC92" s="1548"/>
      <c r="AD92" s="1549"/>
      <c r="AE92" s="1178"/>
      <c r="AF92" s="1179"/>
      <c r="AG92" s="1171"/>
      <c r="AH92" s="104"/>
      <c r="AI92" s="1172"/>
      <c r="AJ92" s="1172"/>
      <c r="AK92" s="1172"/>
      <c r="AL92" s="1173"/>
      <c r="AM92" s="1174"/>
      <c r="AN92" s="1175"/>
      <c r="AO92" s="1176"/>
      <c r="AP92" s="1177"/>
      <c r="AQ92" s="1547"/>
      <c r="AR92" s="1177"/>
      <c r="AS92" s="1548"/>
      <c r="AT92" s="1549"/>
      <c r="AU92" s="1178"/>
      <c r="AV92" s="1179"/>
      <c r="AY92" s="3">
        <v>1</v>
      </c>
    </row>
    <row r="93" spans="2:51" ht="27" customHeight="1">
      <c r="B93" s="104"/>
      <c r="C93" s="1172"/>
      <c r="D93" s="1172"/>
      <c r="E93" s="1172"/>
      <c r="F93" s="1173"/>
      <c r="G93" s="1174"/>
      <c r="H93" s="1175"/>
      <c r="I93" s="1176"/>
      <c r="J93" s="1177"/>
      <c r="K93" s="1547"/>
      <c r="L93" s="1177"/>
      <c r="M93" s="1548"/>
      <c r="N93" s="1549"/>
      <c r="O93" s="1178"/>
      <c r="P93" s="1179"/>
      <c r="Q93" s="1171"/>
      <c r="R93" s="104"/>
      <c r="S93" s="1172"/>
      <c r="T93" s="1172"/>
      <c r="U93" s="1172"/>
      <c r="V93" s="1173"/>
      <c r="W93" s="1174"/>
      <c r="X93" s="1175"/>
      <c r="Y93" s="1176"/>
      <c r="Z93" s="1177"/>
      <c r="AA93" s="1547"/>
      <c r="AB93" s="1177"/>
      <c r="AC93" s="1548"/>
      <c r="AD93" s="1549"/>
      <c r="AE93" s="1178"/>
      <c r="AF93" s="1179"/>
      <c r="AG93" s="1171"/>
      <c r="AH93" s="104"/>
      <c r="AI93" s="1172"/>
      <c r="AJ93" s="1172"/>
      <c r="AK93" s="1172"/>
      <c r="AL93" s="1173"/>
      <c r="AM93" s="1174"/>
      <c r="AN93" s="1175"/>
      <c r="AO93" s="1176"/>
      <c r="AP93" s="1177"/>
      <c r="AQ93" s="1547"/>
      <c r="AR93" s="1177"/>
      <c r="AS93" s="1548"/>
      <c r="AT93" s="1549"/>
      <c r="AU93" s="1178"/>
      <c r="AV93" s="1179"/>
      <c r="AY93" s="3">
        <v>1</v>
      </c>
    </row>
    <row r="94" spans="2:51" ht="27" customHeight="1">
      <c r="B94" s="104"/>
      <c r="C94" s="1172"/>
      <c r="D94" s="1172"/>
      <c r="E94" s="1172"/>
      <c r="F94" s="1173"/>
      <c r="G94" s="1174"/>
      <c r="H94" s="1175"/>
      <c r="I94" s="1176"/>
      <c r="J94" s="1177"/>
      <c r="K94" s="1547"/>
      <c r="L94" s="1177"/>
      <c r="M94" s="1548"/>
      <c r="N94" s="1549"/>
      <c r="O94" s="1178"/>
      <c r="P94" s="1179"/>
      <c r="Q94" s="1171"/>
      <c r="R94" s="104"/>
      <c r="S94" s="1172"/>
      <c r="T94" s="1172"/>
      <c r="U94" s="1172"/>
      <c r="V94" s="1173"/>
      <c r="W94" s="1174"/>
      <c r="X94" s="1175"/>
      <c r="Y94" s="1176"/>
      <c r="Z94" s="1177"/>
      <c r="AA94" s="1547"/>
      <c r="AB94" s="1177"/>
      <c r="AC94" s="1548"/>
      <c r="AD94" s="1549"/>
      <c r="AE94" s="1178"/>
      <c r="AF94" s="1179"/>
      <c r="AG94" s="1171"/>
      <c r="AH94" s="104"/>
      <c r="AI94" s="1172"/>
      <c r="AJ94" s="1172"/>
      <c r="AK94" s="1172"/>
      <c r="AL94" s="1173"/>
      <c r="AM94" s="1174"/>
      <c r="AN94" s="1175"/>
      <c r="AO94" s="1176"/>
      <c r="AP94" s="1177"/>
      <c r="AQ94" s="1547"/>
      <c r="AR94" s="1177"/>
      <c r="AS94" s="1548"/>
      <c r="AT94" s="1549"/>
      <c r="AU94" s="1178"/>
      <c r="AV94" s="1179"/>
      <c r="AY94" s="3">
        <v>1</v>
      </c>
    </row>
    <row r="95" spans="2:51" ht="27" customHeight="1">
      <c r="B95" s="104"/>
      <c r="C95" s="1172"/>
      <c r="D95" s="1172"/>
      <c r="E95" s="1172"/>
      <c r="F95" s="1173"/>
      <c r="G95" s="1174"/>
      <c r="H95" s="1175"/>
      <c r="I95" s="1176"/>
      <c r="J95" s="1177"/>
      <c r="K95" s="1547"/>
      <c r="L95" s="1177"/>
      <c r="M95" s="1548"/>
      <c r="N95" s="1549"/>
      <c r="O95" s="1178"/>
      <c r="P95" s="1179"/>
      <c r="Q95" s="1171"/>
      <c r="R95" s="104"/>
      <c r="S95" s="1172"/>
      <c r="T95" s="1172"/>
      <c r="U95" s="1172"/>
      <c r="V95" s="1173"/>
      <c r="W95" s="1174"/>
      <c r="X95" s="1175"/>
      <c r="Y95" s="1176"/>
      <c r="Z95" s="1177"/>
      <c r="AA95" s="1547"/>
      <c r="AB95" s="1177"/>
      <c r="AC95" s="1548"/>
      <c r="AD95" s="1549"/>
      <c r="AE95" s="1178"/>
      <c r="AF95" s="1179"/>
      <c r="AG95" s="1171"/>
      <c r="AH95" s="104"/>
      <c r="AI95" s="1172"/>
      <c r="AJ95" s="1172"/>
      <c r="AK95" s="1172"/>
      <c r="AL95" s="1173"/>
      <c r="AM95" s="1174"/>
      <c r="AN95" s="1175"/>
      <c r="AO95" s="1176"/>
      <c r="AP95" s="1177"/>
      <c r="AQ95" s="1547"/>
      <c r="AR95" s="1177"/>
      <c r="AS95" s="1548"/>
      <c r="AT95" s="1549"/>
      <c r="AU95" s="1178"/>
      <c r="AV95" s="1179"/>
      <c r="AY95" s="3">
        <v>1</v>
      </c>
    </row>
    <row r="96" spans="2:51" ht="27" customHeight="1">
      <c r="B96" s="104"/>
      <c r="C96" s="1172"/>
      <c r="D96" s="1172"/>
      <c r="E96" s="1172"/>
      <c r="F96" s="1173"/>
      <c r="G96" s="1174"/>
      <c r="H96" s="1175"/>
      <c r="I96" s="1176"/>
      <c r="J96" s="1177"/>
      <c r="K96" s="1547"/>
      <c r="L96" s="1177"/>
      <c r="M96" s="1548"/>
      <c r="N96" s="1549"/>
      <c r="O96" s="1178"/>
      <c r="P96" s="1179"/>
      <c r="Q96" s="1171"/>
      <c r="R96" s="104"/>
      <c r="S96" s="1172"/>
      <c r="T96" s="1172"/>
      <c r="U96" s="1172"/>
      <c r="V96" s="1173"/>
      <c r="W96" s="1174"/>
      <c r="X96" s="1175"/>
      <c r="Y96" s="1176"/>
      <c r="Z96" s="1177"/>
      <c r="AA96" s="1547"/>
      <c r="AB96" s="1177"/>
      <c r="AC96" s="1548"/>
      <c r="AD96" s="1549"/>
      <c r="AE96" s="1178"/>
      <c r="AF96" s="1179"/>
      <c r="AG96" s="1171"/>
      <c r="AH96" s="104"/>
      <c r="AI96" s="1172"/>
      <c r="AJ96" s="1172"/>
      <c r="AK96" s="1172"/>
      <c r="AL96" s="1173"/>
      <c r="AM96" s="1174"/>
      <c r="AN96" s="1175"/>
      <c r="AO96" s="1176"/>
      <c r="AP96" s="1177"/>
      <c r="AQ96" s="1547"/>
      <c r="AR96" s="1177"/>
      <c r="AS96" s="1548"/>
      <c r="AT96" s="1549"/>
      <c r="AU96" s="1178"/>
      <c r="AV96" s="1179"/>
      <c r="AY96" s="3">
        <v>1</v>
      </c>
    </row>
    <row r="97" spans="2:51" ht="27" customHeight="1">
      <c r="B97" s="104"/>
      <c r="C97" s="1172"/>
      <c r="D97" s="1172"/>
      <c r="E97" s="1172"/>
      <c r="F97" s="1173"/>
      <c r="G97" s="1174"/>
      <c r="H97" s="1175"/>
      <c r="I97" s="1176"/>
      <c r="J97" s="1177"/>
      <c r="K97" s="1547"/>
      <c r="L97" s="1177"/>
      <c r="M97" s="1548"/>
      <c r="N97" s="1549"/>
      <c r="O97" s="1178"/>
      <c r="P97" s="1179"/>
      <c r="Q97" s="1171"/>
      <c r="R97" s="104"/>
      <c r="S97" s="1172"/>
      <c r="T97" s="1172"/>
      <c r="U97" s="1172"/>
      <c r="V97" s="1173"/>
      <c r="W97" s="1174"/>
      <c r="X97" s="1175"/>
      <c r="Y97" s="1176"/>
      <c r="Z97" s="1177"/>
      <c r="AA97" s="1547"/>
      <c r="AB97" s="1177"/>
      <c r="AC97" s="1548"/>
      <c r="AD97" s="1549"/>
      <c r="AE97" s="1178"/>
      <c r="AF97" s="1179"/>
      <c r="AG97" s="1171"/>
      <c r="AH97" s="104"/>
      <c r="AI97" s="1172"/>
      <c r="AJ97" s="1172"/>
      <c r="AK97" s="1172"/>
      <c r="AL97" s="1173"/>
      <c r="AM97" s="1174"/>
      <c r="AN97" s="1175"/>
      <c r="AO97" s="1176"/>
      <c r="AP97" s="1177"/>
      <c r="AQ97" s="1547"/>
      <c r="AR97" s="1177"/>
      <c r="AS97" s="1548"/>
      <c r="AT97" s="1549"/>
      <c r="AU97" s="1178"/>
      <c r="AV97" s="1179"/>
      <c r="AY97" s="3">
        <v>1</v>
      </c>
    </row>
    <row r="98" spans="2:51" ht="27" customHeight="1">
      <c r="B98" s="104"/>
      <c r="C98" s="1172"/>
      <c r="D98" s="1172"/>
      <c r="E98" s="1172"/>
      <c r="F98" s="1173"/>
      <c r="G98" s="1174"/>
      <c r="H98" s="1175"/>
      <c r="I98" s="1176"/>
      <c r="J98" s="1177"/>
      <c r="K98" s="1547"/>
      <c r="L98" s="1177"/>
      <c r="M98" s="1548"/>
      <c r="N98" s="1549"/>
      <c r="O98" s="1178"/>
      <c r="P98" s="1179"/>
      <c r="Q98" s="1171"/>
      <c r="R98" s="104"/>
      <c r="S98" s="1172"/>
      <c r="T98" s="1172"/>
      <c r="U98" s="1172"/>
      <c r="V98" s="1173"/>
      <c r="W98" s="1174"/>
      <c r="X98" s="1175"/>
      <c r="Y98" s="1176"/>
      <c r="Z98" s="1177"/>
      <c r="AA98" s="1547"/>
      <c r="AB98" s="1177"/>
      <c r="AC98" s="1548"/>
      <c r="AD98" s="1549"/>
      <c r="AE98" s="1178"/>
      <c r="AF98" s="1179"/>
      <c r="AG98" s="1171"/>
      <c r="AH98" s="104"/>
      <c r="AI98" s="1172"/>
      <c r="AJ98" s="1172"/>
      <c r="AK98" s="1172"/>
      <c r="AL98" s="1173"/>
      <c r="AM98" s="1174"/>
      <c r="AN98" s="1175"/>
      <c r="AO98" s="1176"/>
      <c r="AP98" s="1177"/>
      <c r="AQ98" s="1547"/>
      <c r="AR98" s="1177"/>
      <c r="AS98" s="1548"/>
      <c r="AT98" s="1549"/>
      <c r="AU98" s="1178"/>
      <c r="AV98" s="1179"/>
      <c r="AY98" s="3">
        <v>1</v>
      </c>
    </row>
    <row r="99" spans="2:51" ht="27" customHeight="1">
      <c r="B99" s="104"/>
      <c r="C99" s="1172"/>
      <c r="D99" s="1172"/>
      <c r="E99" s="1172"/>
      <c r="F99" s="1173"/>
      <c r="G99" s="1174"/>
      <c r="H99" s="1175"/>
      <c r="I99" s="1176"/>
      <c r="J99" s="1177"/>
      <c r="K99" s="1547"/>
      <c r="L99" s="1177"/>
      <c r="M99" s="1548"/>
      <c r="N99" s="1549"/>
      <c r="O99" s="1178"/>
      <c r="P99" s="1179"/>
      <c r="Q99" s="1171"/>
      <c r="R99" s="104"/>
      <c r="S99" s="1172"/>
      <c r="T99" s="1172"/>
      <c r="U99" s="1172"/>
      <c r="V99" s="1173"/>
      <c r="W99" s="1174"/>
      <c r="X99" s="1175"/>
      <c r="Y99" s="1176"/>
      <c r="Z99" s="1177"/>
      <c r="AA99" s="1547"/>
      <c r="AB99" s="1177"/>
      <c r="AC99" s="1548"/>
      <c r="AD99" s="1549"/>
      <c r="AE99" s="1178"/>
      <c r="AF99" s="1179"/>
      <c r="AG99" s="1171"/>
      <c r="AH99" s="104"/>
      <c r="AI99" s="1172"/>
      <c r="AJ99" s="1172"/>
      <c r="AK99" s="1172"/>
      <c r="AL99" s="1173"/>
      <c r="AM99" s="1174"/>
      <c r="AN99" s="1175"/>
      <c r="AO99" s="1176"/>
      <c r="AP99" s="1177"/>
      <c r="AQ99" s="1547"/>
      <c r="AR99" s="1177"/>
      <c r="AS99" s="1548"/>
      <c r="AT99" s="1549"/>
      <c r="AU99" s="1178"/>
      <c r="AV99" s="1179"/>
      <c r="AY99" s="3">
        <v>1</v>
      </c>
    </row>
    <row r="100" spans="2:51" ht="27" customHeight="1">
      <c r="B100" s="104"/>
      <c r="C100" s="1172"/>
      <c r="D100" s="1172"/>
      <c r="E100" s="1172"/>
      <c r="F100" s="1173"/>
      <c r="G100" s="1174"/>
      <c r="H100" s="1175"/>
      <c r="I100" s="1176"/>
      <c r="J100" s="1177"/>
      <c r="K100" s="1547"/>
      <c r="L100" s="1177"/>
      <c r="M100" s="1548"/>
      <c r="N100" s="1549"/>
      <c r="O100" s="1178"/>
      <c r="P100" s="1179"/>
      <c r="Q100" s="1171"/>
      <c r="R100" s="104"/>
      <c r="S100" s="1172"/>
      <c r="T100" s="1172"/>
      <c r="U100" s="1172"/>
      <c r="V100" s="1173"/>
      <c r="W100" s="1174"/>
      <c r="X100" s="1175"/>
      <c r="Y100" s="1176"/>
      <c r="Z100" s="1177"/>
      <c r="AA100" s="1547"/>
      <c r="AB100" s="1177"/>
      <c r="AC100" s="1548"/>
      <c r="AD100" s="1549"/>
      <c r="AE100" s="1178"/>
      <c r="AF100" s="1179"/>
      <c r="AG100" s="1171"/>
      <c r="AH100" s="104"/>
      <c r="AI100" s="1172"/>
      <c r="AJ100" s="1172"/>
      <c r="AK100" s="1172"/>
      <c r="AL100" s="1173"/>
      <c r="AM100" s="1174"/>
      <c r="AN100" s="1175"/>
      <c r="AO100" s="1176"/>
      <c r="AP100" s="1177"/>
      <c r="AQ100" s="1547"/>
      <c r="AR100" s="1177"/>
      <c r="AS100" s="1548"/>
      <c r="AT100" s="1549"/>
      <c r="AU100" s="1178"/>
      <c r="AV100" s="1179"/>
      <c r="AY100" s="3">
        <v>1</v>
      </c>
    </row>
    <row r="101" spans="2:51" ht="27" customHeight="1">
      <c r="B101" s="104"/>
      <c r="C101" s="1172"/>
      <c r="D101" s="1172"/>
      <c r="E101" s="1172"/>
      <c r="F101" s="1173"/>
      <c r="G101" s="1174"/>
      <c r="H101" s="1175"/>
      <c r="I101" s="1176"/>
      <c r="J101" s="1177"/>
      <c r="K101" s="1547"/>
      <c r="L101" s="1177"/>
      <c r="M101" s="1548"/>
      <c r="N101" s="1549"/>
      <c r="O101" s="1178"/>
      <c r="P101" s="1179"/>
      <c r="Q101" s="1171"/>
      <c r="R101" s="104"/>
      <c r="S101" s="1172"/>
      <c r="T101" s="1172"/>
      <c r="U101" s="1172"/>
      <c r="V101" s="1173"/>
      <c r="W101" s="1174"/>
      <c r="X101" s="1175"/>
      <c r="Y101" s="1176"/>
      <c r="Z101" s="1177"/>
      <c r="AA101" s="1547"/>
      <c r="AB101" s="1177"/>
      <c r="AC101" s="1548"/>
      <c r="AD101" s="1549"/>
      <c r="AE101" s="1178"/>
      <c r="AF101" s="1179"/>
      <c r="AG101" s="1171"/>
      <c r="AH101" s="104"/>
      <c r="AI101" s="1172"/>
      <c r="AJ101" s="1172"/>
      <c r="AK101" s="1172"/>
      <c r="AL101" s="1173"/>
      <c r="AM101" s="1174"/>
      <c r="AN101" s="1175"/>
      <c r="AO101" s="1176"/>
      <c r="AP101" s="1177"/>
      <c r="AQ101" s="1547"/>
      <c r="AR101" s="1177"/>
      <c r="AS101" s="1548"/>
      <c r="AT101" s="1549"/>
      <c r="AU101" s="1178"/>
      <c r="AV101" s="1179"/>
      <c r="AY101" s="3">
        <v>1</v>
      </c>
    </row>
    <row r="102" spans="2:51" ht="27" customHeight="1">
      <c r="B102" s="104"/>
      <c r="C102" s="1172"/>
      <c r="D102" s="1172"/>
      <c r="E102" s="1172"/>
      <c r="F102" s="1173"/>
      <c r="G102" s="1174"/>
      <c r="H102" s="1175"/>
      <c r="I102" s="1176"/>
      <c r="J102" s="1177"/>
      <c r="K102" s="1547"/>
      <c r="L102" s="1177"/>
      <c r="M102" s="1548"/>
      <c r="N102" s="1549"/>
      <c r="O102" s="1178"/>
      <c r="P102" s="1179"/>
      <c r="Q102" s="1171"/>
      <c r="R102" s="104"/>
      <c r="S102" s="1172"/>
      <c r="T102" s="1172"/>
      <c r="U102" s="1172"/>
      <c r="V102" s="1173"/>
      <c r="W102" s="1174"/>
      <c r="X102" s="1175"/>
      <c r="Y102" s="1176"/>
      <c r="Z102" s="1177"/>
      <c r="AA102" s="1547"/>
      <c r="AB102" s="1177"/>
      <c r="AC102" s="1548"/>
      <c r="AD102" s="1549"/>
      <c r="AE102" s="1178"/>
      <c r="AF102" s="1179"/>
      <c r="AG102" s="1171"/>
      <c r="AH102" s="104"/>
      <c r="AI102" s="1172"/>
      <c r="AJ102" s="1172"/>
      <c r="AK102" s="1172"/>
      <c r="AL102" s="1173"/>
      <c r="AM102" s="1174"/>
      <c r="AN102" s="1175"/>
      <c r="AO102" s="1176"/>
      <c r="AP102" s="1177"/>
      <c r="AQ102" s="1547"/>
      <c r="AR102" s="1177"/>
      <c r="AS102" s="1548"/>
      <c r="AT102" s="1549"/>
      <c r="AU102" s="1178"/>
      <c r="AV102" s="1179"/>
      <c r="AY102" s="3">
        <v>1</v>
      </c>
    </row>
    <row r="103" spans="2:51" ht="27" customHeight="1">
      <c r="B103" s="104"/>
      <c r="C103" s="1172"/>
      <c r="D103" s="1172"/>
      <c r="E103" s="1172"/>
      <c r="F103" s="1173"/>
      <c r="G103" s="1174"/>
      <c r="H103" s="1175"/>
      <c r="I103" s="1176"/>
      <c r="J103" s="1177"/>
      <c r="K103" s="1547"/>
      <c r="L103" s="1177"/>
      <c r="M103" s="1548"/>
      <c r="N103" s="1549"/>
      <c r="O103" s="1178"/>
      <c r="P103" s="1179"/>
      <c r="Q103" s="1171"/>
      <c r="R103" s="104"/>
      <c r="S103" s="1172"/>
      <c r="T103" s="1172"/>
      <c r="U103" s="1172"/>
      <c r="V103" s="1173"/>
      <c r="W103" s="1174"/>
      <c r="X103" s="1175"/>
      <c r="Y103" s="1176"/>
      <c r="Z103" s="1177"/>
      <c r="AA103" s="1547"/>
      <c r="AB103" s="1177"/>
      <c r="AC103" s="1548"/>
      <c r="AD103" s="1549"/>
      <c r="AE103" s="1178"/>
      <c r="AF103" s="1179"/>
      <c r="AG103" s="1171"/>
      <c r="AH103" s="104"/>
      <c r="AI103" s="1172"/>
      <c r="AJ103" s="1172"/>
      <c r="AK103" s="1172"/>
      <c r="AL103" s="1173"/>
      <c r="AM103" s="1174"/>
      <c r="AN103" s="1175"/>
      <c r="AO103" s="1176"/>
      <c r="AP103" s="1177"/>
      <c r="AQ103" s="1547"/>
      <c r="AR103" s="1177"/>
      <c r="AS103" s="1548"/>
      <c r="AT103" s="1549"/>
      <c r="AU103" s="1178"/>
      <c r="AV103" s="1179"/>
      <c r="AY103" s="3">
        <v>1</v>
      </c>
    </row>
    <row r="104" spans="2:51" ht="27" customHeight="1">
      <c r="B104" s="104"/>
      <c r="C104" s="1172"/>
      <c r="D104" s="1172"/>
      <c r="E104" s="1172"/>
      <c r="F104" s="1173"/>
      <c r="G104" s="1174"/>
      <c r="H104" s="1175"/>
      <c r="I104" s="1176"/>
      <c r="J104" s="1177"/>
      <c r="K104" s="1547"/>
      <c r="L104" s="1177"/>
      <c r="M104" s="1548"/>
      <c r="N104" s="1549"/>
      <c r="O104" s="1178"/>
      <c r="P104" s="1179"/>
      <c r="Q104" s="1171"/>
      <c r="R104" s="104"/>
      <c r="S104" s="1172"/>
      <c r="T104" s="1172"/>
      <c r="U104" s="1172"/>
      <c r="V104" s="1173"/>
      <c r="W104" s="1174"/>
      <c r="X104" s="1175"/>
      <c r="Y104" s="1176"/>
      <c r="Z104" s="1177"/>
      <c r="AA104" s="1547"/>
      <c r="AB104" s="1177"/>
      <c r="AC104" s="1548"/>
      <c r="AD104" s="1549"/>
      <c r="AE104" s="1178"/>
      <c r="AF104" s="1179"/>
      <c r="AG104" s="1171"/>
      <c r="AH104" s="104"/>
      <c r="AI104" s="1172"/>
      <c r="AJ104" s="1172"/>
      <c r="AK104" s="1172"/>
      <c r="AL104" s="1173"/>
      <c r="AM104" s="1174"/>
      <c r="AN104" s="1175"/>
      <c r="AO104" s="1176"/>
      <c r="AP104" s="1177"/>
      <c r="AQ104" s="1547"/>
      <c r="AR104" s="1177"/>
      <c r="AS104" s="1548"/>
      <c r="AT104" s="1549"/>
      <c r="AU104" s="1178"/>
      <c r="AV104" s="1179"/>
      <c r="AY104" s="3">
        <v>1</v>
      </c>
    </row>
    <row r="105" spans="2:51" ht="27" customHeight="1">
      <c r="B105" s="104"/>
      <c r="C105" s="1172"/>
      <c r="D105" s="1172"/>
      <c r="E105" s="1172"/>
      <c r="F105" s="1173"/>
      <c r="G105" s="1174"/>
      <c r="H105" s="1175"/>
      <c r="I105" s="1176"/>
      <c r="J105" s="1177"/>
      <c r="K105" s="1547"/>
      <c r="L105" s="1177"/>
      <c r="M105" s="1548"/>
      <c r="N105" s="1549"/>
      <c r="O105" s="1178"/>
      <c r="P105" s="1179"/>
      <c r="Q105" s="1171"/>
      <c r="R105" s="104"/>
      <c r="S105" s="1172"/>
      <c r="T105" s="1172"/>
      <c r="U105" s="1172"/>
      <c r="V105" s="1173"/>
      <c r="W105" s="1174"/>
      <c r="X105" s="1175"/>
      <c r="Y105" s="1176"/>
      <c r="Z105" s="1177"/>
      <c r="AA105" s="1547"/>
      <c r="AB105" s="1177"/>
      <c r="AC105" s="1548"/>
      <c r="AD105" s="1549"/>
      <c r="AE105" s="1178"/>
      <c r="AF105" s="1179"/>
      <c r="AG105" s="1171"/>
      <c r="AH105" s="104"/>
      <c r="AI105" s="1172"/>
      <c r="AJ105" s="1172"/>
      <c r="AK105" s="1172"/>
      <c r="AL105" s="1173"/>
      <c r="AM105" s="1174"/>
      <c r="AN105" s="1175"/>
      <c r="AO105" s="1176"/>
      <c r="AP105" s="1177"/>
      <c r="AQ105" s="1547"/>
      <c r="AR105" s="1177"/>
      <c r="AS105" s="1548"/>
      <c r="AT105" s="1549"/>
      <c r="AU105" s="1178"/>
      <c r="AV105" s="1179"/>
      <c r="AY105" s="3">
        <v>1</v>
      </c>
    </row>
    <row r="106" spans="2:51" ht="27" customHeight="1">
      <c r="B106" s="104"/>
      <c r="C106" s="1172"/>
      <c r="D106" s="1172"/>
      <c r="E106" s="1172"/>
      <c r="F106" s="1173"/>
      <c r="G106" s="1174"/>
      <c r="H106" s="1175"/>
      <c r="I106" s="1176"/>
      <c r="J106" s="1177"/>
      <c r="K106" s="1547"/>
      <c r="L106" s="1177"/>
      <c r="M106" s="1548"/>
      <c r="N106" s="1549"/>
      <c r="O106" s="1178"/>
      <c r="P106" s="1179"/>
      <c r="Q106" s="1171"/>
      <c r="R106" s="104"/>
      <c r="S106" s="1172"/>
      <c r="T106" s="1172"/>
      <c r="U106" s="1172"/>
      <c r="V106" s="1173"/>
      <c r="W106" s="1174"/>
      <c r="X106" s="1175"/>
      <c r="Y106" s="1176"/>
      <c r="Z106" s="1177"/>
      <c r="AA106" s="1547"/>
      <c r="AB106" s="1177"/>
      <c r="AC106" s="1548"/>
      <c r="AD106" s="1549"/>
      <c r="AE106" s="1178"/>
      <c r="AF106" s="1179"/>
      <c r="AG106" s="1171"/>
      <c r="AH106" s="104"/>
      <c r="AI106" s="1172"/>
      <c r="AJ106" s="1172"/>
      <c r="AK106" s="1172"/>
      <c r="AL106" s="1173"/>
      <c r="AM106" s="1174"/>
      <c r="AN106" s="1175"/>
      <c r="AO106" s="1176"/>
      <c r="AP106" s="1177"/>
      <c r="AQ106" s="1547"/>
      <c r="AR106" s="1177"/>
      <c r="AS106" s="1548"/>
      <c r="AT106" s="1549"/>
      <c r="AU106" s="1178"/>
      <c r="AV106" s="1179"/>
      <c r="AY106" s="3">
        <v>1</v>
      </c>
    </row>
    <row r="107" spans="2:51" ht="27" customHeight="1">
      <c r="B107" s="104"/>
      <c r="C107" s="1172"/>
      <c r="D107" s="1172"/>
      <c r="E107" s="1172"/>
      <c r="F107" s="1173"/>
      <c r="G107" s="1174"/>
      <c r="H107" s="1175"/>
      <c r="I107" s="1176"/>
      <c r="J107" s="1177"/>
      <c r="K107" s="1547"/>
      <c r="L107" s="1177"/>
      <c r="M107" s="1548"/>
      <c r="N107" s="1549"/>
      <c r="O107" s="1178"/>
      <c r="P107" s="1179"/>
      <c r="Q107" s="1171"/>
      <c r="R107" s="104"/>
      <c r="S107" s="1172"/>
      <c r="T107" s="1172"/>
      <c r="U107" s="1172"/>
      <c r="V107" s="1173"/>
      <c r="W107" s="1174"/>
      <c r="X107" s="1175"/>
      <c r="Y107" s="1176"/>
      <c r="Z107" s="1177"/>
      <c r="AA107" s="1547"/>
      <c r="AB107" s="1177"/>
      <c r="AC107" s="1548"/>
      <c r="AD107" s="1549"/>
      <c r="AE107" s="1178"/>
      <c r="AF107" s="1179"/>
      <c r="AG107" s="1171"/>
      <c r="AH107" s="104"/>
      <c r="AI107" s="1172"/>
      <c r="AJ107" s="1172"/>
      <c r="AK107" s="1172"/>
      <c r="AL107" s="1173"/>
      <c r="AM107" s="1174"/>
      <c r="AN107" s="1175"/>
      <c r="AO107" s="1176"/>
      <c r="AP107" s="1177"/>
      <c r="AQ107" s="1547"/>
      <c r="AR107" s="1177"/>
      <c r="AS107" s="1548"/>
      <c r="AT107" s="1549"/>
      <c r="AU107" s="1178"/>
      <c r="AV107" s="1179"/>
      <c r="AY107" s="3">
        <v>1</v>
      </c>
    </row>
    <row r="108" spans="2:51" ht="27" customHeight="1">
      <c r="B108" s="104"/>
      <c r="C108" s="1172"/>
      <c r="D108" s="1172"/>
      <c r="E108" s="1172"/>
      <c r="F108" s="1173"/>
      <c r="G108" s="1174"/>
      <c r="H108" s="1175"/>
      <c r="I108" s="1176"/>
      <c r="J108" s="1177"/>
      <c r="K108" s="1547"/>
      <c r="L108" s="1177"/>
      <c r="M108" s="1548"/>
      <c r="N108" s="1549"/>
      <c r="O108" s="1178"/>
      <c r="P108" s="1179"/>
      <c r="Q108" s="1171"/>
      <c r="R108" s="104"/>
      <c r="S108" s="1172"/>
      <c r="T108" s="1172"/>
      <c r="U108" s="1172"/>
      <c r="V108" s="1173"/>
      <c r="W108" s="1174"/>
      <c r="X108" s="1175"/>
      <c r="Y108" s="1176"/>
      <c r="Z108" s="1177"/>
      <c r="AA108" s="1547"/>
      <c r="AB108" s="1177"/>
      <c r="AC108" s="1548"/>
      <c r="AD108" s="1549"/>
      <c r="AE108" s="1178"/>
      <c r="AF108" s="1179"/>
      <c r="AG108" s="1171"/>
      <c r="AH108" s="104"/>
      <c r="AI108" s="1172"/>
      <c r="AJ108" s="1172"/>
      <c r="AK108" s="1172"/>
      <c r="AL108" s="1173"/>
      <c r="AM108" s="1174"/>
      <c r="AN108" s="1175"/>
      <c r="AO108" s="1176"/>
      <c r="AP108" s="1177"/>
      <c r="AQ108" s="1547"/>
      <c r="AR108" s="1177"/>
      <c r="AS108" s="1548"/>
      <c r="AT108" s="1549"/>
      <c r="AU108" s="1178"/>
      <c r="AV108" s="1179"/>
      <c r="AY108" s="3">
        <v>1</v>
      </c>
    </row>
    <row r="109" spans="2:51" ht="27" customHeight="1">
      <c r="B109" s="104"/>
      <c r="C109" s="1172"/>
      <c r="D109" s="1172"/>
      <c r="E109" s="1172"/>
      <c r="F109" s="1173"/>
      <c r="G109" s="1174"/>
      <c r="H109" s="1175"/>
      <c r="I109" s="1176"/>
      <c r="J109" s="1177"/>
      <c r="K109" s="1547"/>
      <c r="L109" s="1177"/>
      <c r="M109" s="1548"/>
      <c r="N109" s="1549"/>
      <c r="O109" s="1178"/>
      <c r="P109" s="1179"/>
      <c r="Q109" s="1171"/>
      <c r="R109" s="104"/>
      <c r="S109" s="1172"/>
      <c r="T109" s="1172"/>
      <c r="U109" s="1172"/>
      <c r="V109" s="1173"/>
      <c r="W109" s="1174"/>
      <c r="X109" s="1175"/>
      <c r="Y109" s="1176"/>
      <c r="Z109" s="1177"/>
      <c r="AA109" s="1547"/>
      <c r="AB109" s="1177"/>
      <c r="AC109" s="1548"/>
      <c r="AD109" s="1549"/>
      <c r="AE109" s="1178"/>
      <c r="AF109" s="1179"/>
      <c r="AG109" s="1171"/>
      <c r="AH109" s="104"/>
      <c r="AI109" s="1172"/>
      <c r="AJ109" s="1172"/>
      <c r="AK109" s="1172"/>
      <c r="AL109" s="1173"/>
      <c r="AM109" s="1174"/>
      <c r="AN109" s="1175"/>
      <c r="AO109" s="1176"/>
      <c r="AP109" s="1177"/>
      <c r="AQ109" s="1547"/>
      <c r="AR109" s="1177"/>
      <c r="AS109" s="1548"/>
      <c r="AT109" s="1549"/>
      <c r="AU109" s="1178"/>
      <c r="AV109" s="1179"/>
      <c r="AY109" s="3">
        <v>1</v>
      </c>
    </row>
    <row r="110" spans="2:51" ht="27" customHeight="1">
      <c r="B110" s="104"/>
      <c r="C110" s="1172"/>
      <c r="D110" s="1172"/>
      <c r="E110" s="1172"/>
      <c r="F110" s="1173"/>
      <c r="G110" s="1174"/>
      <c r="H110" s="1175"/>
      <c r="I110" s="1176"/>
      <c r="J110" s="1177"/>
      <c r="K110" s="1547"/>
      <c r="L110" s="1177"/>
      <c r="M110" s="1548"/>
      <c r="N110" s="1549"/>
      <c r="O110" s="1178"/>
      <c r="P110" s="1179"/>
      <c r="Q110" s="1171"/>
      <c r="R110" s="104"/>
      <c r="S110" s="1172"/>
      <c r="T110" s="1172"/>
      <c r="U110" s="1172"/>
      <c r="V110" s="1173"/>
      <c r="W110" s="1174"/>
      <c r="X110" s="1175"/>
      <c r="Y110" s="1176"/>
      <c r="Z110" s="1177"/>
      <c r="AA110" s="1547"/>
      <c r="AB110" s="1177"/>
      <c r="AC110" s="1548"/>
      <c r="AD110" s="1549"/>
      <c r="AE110" s="1178"/>
      <c r="AF110" s="1179"/>
      <c r="AG110" s="1171"/>
      <c r="AH110" s="104"/>
      <c r="AI110" s="1172"/>
      <c r="AJ110" s="1172"/>
      <c r="AK110" s="1172"/>
      <c r="AL110" s="1173"/>
      <c r="AM110" s="1174"/>
      <c r="AN110" s="1175"/>
      <c r="AO110" s="1176"/>
      <c r="AP110" s="1177"/>
      <c r="AQ110" s="1547"/>
      <c r="AR110" s="1177"/>
      <c r="AS110" s="1548"/>
      <c r="AT110" s="1549"/>
      <c r="AU110" s="1178"/>
      <c r="AV110" s="1179"/>
      <c r="AY110" s="3">
        <v>1</v>
      </c>
    </row>
    <row r="111" spans="2:51" ht="27" customHeight="1">
      <c r="B111" s="104"/>
      <c r="C111" s="1172"/>
      <c r="D111" s="1172"/>
      <c r="E111" s="1172"/>
      <c r="F111" s="1173"/>
      <c r="G111" s="1174"/>
      <c r="H111" s="1175"/>
      <c r="I111" s="1176"/>
      <c r="J111" s="1177"/>
      <c r="K111" s="1547"/>
      <c r="L111" s="1177"/>
      <c r="M111" s="1548"/>
      <c r="N111" s="1549"/>
      <c r="O111" s="1178"/>
      <c r="P111" s="1179"/>
      <c r="Q111" s="1171"/>
      <c r="R111" s="104"/>
      <c r="S111" s="1172"/>
      <c r="T111" s="1172"/>
      <c r="U111" s="1172"/>
      <c r="V111" s="1173"/>
      <c r="W111" s="1174"/>
      <c r="X111" s="1175"/>
      <c r="Y111" s="1176"/>
      <c r="Z111" s="1177"/>
      <c r="AA111" s="1547"/>
      <c r="AB111" s="1177"/>
      <c r="AC111" s="1548"/>
      <c r="AD111" s="1549"/>
      <c r="AE111" s="1178"/>
      <c r="AF111" s="1179"/>
      <c r="AG111" s="1171"/>
      <c r="AH111" s="104"/>
      <c r="AI111" s="1172"/>
      <c r="AJ111" s="1172"/>
      <c r="AK111" s="1172"/>
      <c r="AL111" s="1173"/>
      <c r="AM111" s="1174"/>
      <c r="AN111" s="1175"/>
      <c r="AO111" s="1176"/>
      <c r="AP111" s="1177"/>
      <c r="AQ111" s="1547"/>
      <c r="AR111" s="1177"/>
      <c r="AS111" s="1548"/>
      <c r="AT111" s="1549"/>
      <c r="AU111" s="1178"/>
      <c r="AV111" s="1179"/>
      <c r="AY111" s="3">
        <v>1</v>
      </c>
    </row>
    <row r="112" spans="2:51" ht="27" customHeight="1">
      <c r="B112" s="104"/>
      <c r="C112" s="1172"/>
      <c r="D112" s="1172"/>
      <c r="E112" s="1172"/>
      <c r="F112" s="1173"/>
      <c r="G112" s="1174"/>
      <c r="H112" s="1175"/>
      <c r="I112" s="1176"/>
      <c r="J112" s="1177"/>
      <c r="K112" s="1547"/>
      <c r="L112" s="1177"/>
      <c r="M112" s="1548"/>
      <c r="N112" s="1549"/>
      <c r="O112" s="1178"/>
      <c r="P112" s="1179"/>
      <c r="Q112" s="1171"/>
      <c r="R112" s="104"/>
      <c r="S112" s="1172"/>
      <c r="T112" s="1172"/>
      <c r="U112" s="1172"/>
      <c r="V112" s="1173"/>
      <c r="W112" s="1174"/>
      <c r="X112" s="1175"/>
      <c r="Y112" s="1176"/>
      <c r="Z112" s="1177"/>
      <c r="AA112" s="1547"/>
      <c r="AB112" s="1177"/>
      <c r="AC112" s="1548"/>
      <c r="AD112" s="1549"/>
      <c r="AE112" s="1178"/>
      <c r="AF112" s="1179"/>
      <c r="AG112" s="1171"/>
      <c r="AH112" s="104"/>
      <c r="AI112" s="1172"/>
      <c r="AJ112" s="1172"/>
      <c r="AK112" s="1172"/>
      <c r="AL112" s="1173"/>
      <c r="AM112" s="1174"/>
      <c r="AN112" s="1175"/>
      <c r="AO112" s="1176"/>
      <c r="AP112" s="1177"/>
      <c r="AQ112" s="1547"/>
      <c r="AR112" s="1177"/>
      <c r="AS112" s="1548"/>
      <c r="AT112" s="1549"/>
      <c r="AU112" s="1178"/>
      <c r="AV112" s="1179"/>
      <c r="AY112" s="3">
        <v>1</v>
      </c>
    </row>
    <row r="113" spans="2:51" ht="27" customHeight="1">
      <c r="B113" s="104"/>
      <c r="C113" s="1172"/>
      <c r="D113" s="1172"/>
      <c r="E113" s="1172"/>
      <c r="F113" s="1173"/>
      <c r="G113" s="1174"/>
      <c r="H113" s="1175"/>
      <c r="I113" s="1176"/>
      <c r="J113" s="1177"/>
      <c r="K113" s="1547"/>
      <c r="L113" s="1177"/>
      <c r="M113" s="1548"/>
      <c r="N113" s="1549"/>
      <c r="O113" s="1178"/>
      <c r="P113" s="1179"/>
      <c r="Q113" s="1171"/>
      <c r="R113" s="104"/>
      <c r="S113" s="1172"/>
      <c r="T113" s="1172"/>
      <c r="U113" s="1172"/>
      <c r="V113" s="1173"/>
      <c r="W113" s="1174"/>
      <c r="X113" s="1175"/>
      <c r="Y113" s="1176"/>
      <c r="Z113" s="1177"/>
      <c r="AA113" s="1547"/>
      <c r="AB113" s="1177"/>
      <c r="AC113" s="1548"/>
      <c r="AD113" s="1549"/>
      <c r="AE113" s="1178"/>
      <c r="AF113" s="1179"/>
      <c r="AG113" s="1171"/>
      <c r="AH113" s="104"/>
      <c r="AI113" s="1172"/>
      <c r="AJ113" s="1172"/>
      <c r="AK113" s="1172"/>
      <c r="AL113" s="1173"/>
      <c r="AM113" s="1174"/>
      <c r="AN113" s="1175"/>
      <c r="AO113" s="1176"/>
      <c r="AP113" s="1177"/>
      <c r="AQ113" s="1547"/>
      <c r="AR113" s="1177"/>
      <c r="AS113" s="1548"/>
      <c r="AT113" s="1549"/>
      <c r="AU113" s="1178"/>
      <c r="AV113" s="1179"/>
      <c r="AY113" s="3">
        <v>1</v>
      </c>
    </row>
    <row r="114" spans="2:51" ht="27" customHeight="1">
      <c r="B114" s="104"/>
      <c r="C114" s="1172"/>
      <c r="D114" s="1172"/>
      <c r="E114" s="1172"/>
      <c r="F114" s="1173"/>
      <c r="G114" s="1174"/>
      <c r="H114" s="1175"/>
      <c r="I114" s="1176"/>
      <c r="J114" s="1177"/>
      <c r="K114" s="1547"/>
      <c r="L114" s="1177"/>
      <c r="M114" s="1548"/>
      <c r="N114" s="1549"/>
      <c r="O114" s="1178"/>
      <c r="P114" s="1179"/>
      <c r="Q114" s="1171"/>
      <c r="R114" s="104"/>
      <c r="S114" s="1172"/>
      <c r="T114" s="1172"/>
      <c r="U114" s="1172"/>
      <c r="V114" s="1173"/>
      <c r="W114" s="1174"/>
      <c r="X114" s="1175"/>
      <c r="Y114" s="1176"/>
      <c r="Z114" s="1177"/>
      <c r="AA114" s="1547"/>
      <c r="AB114" s="1177"/>
      <c r="AC114" s="1548"/>
      <c r="AD114" s="1549"/>
      <c r="AE114" s="1178"/>
      <c r="AF114" s="1179"/>
      <c r="AG114" s="1171"/>
      <c r="AH114" s="104"/>
      <c r="AI114" s="1172"/>
      <c r="AJ114" s="1172"/>
      <c r="AK114" s="1172"/>
      <c r="AL114" s="1173"/>
      <c r="AM114" s="1174"/>
      <c r="AN114" s="1175"/>
      <c r="AO114" s="1176"/>
      <c r="AP114" s="1177"/>
      <c r="AQ114" s="1547"/>
      <c r="AR114" s="1177"/>
      <c r="AS114" s="1548"/>
      <c r="AT114" s="1549"/>
      <c r="AU114" s="1178"/>
      <c r="AV114" s="1179"/>
      <c r="AY114" s="3">
        <v>1</v>
      </c>
    </row>
    <row r="115" spans="2:51" ht="27" customHeight="1">
      <c r="B115" s="104"/>
      <c r="C115" s="1172"/>
      <c r="D115" s="1172"/>
      <c r="E115" s="1172"/>
      <c r="F115" s="1173"/>
      <c r="G115" s="1174"/>
      <c r="H115" s="1175"/>
      <c r="I115" s="1176"/>
      <c r="J115" s="1177"/>
      <c r="K115" s="1547"/>
      <c r="L115" s="1177"/>
      <c r="M115" s="1548"/>
      <c r="N115" s="1549"/>
      <c r="O115" s="1178"/>
      <c r="P115" s="1179"/>
      <c r="Q115" s="1171"/>
      <c r="R115" s="104"/>
      <c r="S115" s="1172"/>
      <c r="T115" s="1172"/>
      <c r="U115" s="1172"/>
      <c r="V115" s="1173"/>
      <c r="W115" s="1174"/>
      <c r="X115" s="1175"/>
      <c r="Y115" s="1176"/>
      <c r="Z115" s="1177"/>
      <c r="AA115" s="1547"/>
      <c r="AB115" s="1177"/>
      <c r="AC115" s="1548"/>
      <c r="AD115" s="1549"/>
      <c r="AE115" s="1178"/>
      <c r="AF115" s="1179"/>
      <c r="AG115" s="1171"/>
      <c r="AH115" s="104"/>
      <c r="AI115" s="1172"/>
      <c r="AJ115" s="1172"/>
      <c r="AK115" s="1172"/>
      <c r="AL115" s="1173"/>
      <c r="AM115" s="1174"/>
      <c r="AN115" s="1175"/>
      <c r="AO115" s="1176"/>
      <c r="AP115" s="1177"/>
      <c r="AQ115" s="1547"/>
      <c r="AR115" s="1177"/>
      <c r="AS115" s="1548"/>
      <c r="AT115" s="1549"/>
      <c r="AU115" s="1178"/>
      <c r="AV115" s="1179"/>
      <c r="AY115" s="3">
        <v>1</v>
      </c>
    </row>
    <row r="116" spans="2:51" ht="27" customHeight="1">
      <c r="B116" s="104"/>
      <c r="C116" s="1172"/>
      <c r="D116" s="1172"/>
      <c r="E116" s="1172"/>
      <c r="F116" s="1173"/>
      <c r="G116" s="1174"/>
      <c r="H116" s="1175"/>
      <c r="I116" s="1176"/>
      <c r="J116" s="1177"/>
      <c r="K116" s="1547"/>
      <c r="L116" s="1177"/>
      <c r="M116" s="1548"/>
      <c r="N116" s="1549"/>
      <c r="O116" s="1178"/>
      <c r="P116" s="1179"/>
      <c r="Q116" s="1171"/>
      <c r="R116" s="104"/>
      <c r="S116" s="1172"/>
      <c r="T116" s="1172"/>
      <c r="U116" s="1172"/>
      <c r="V116" s="1173"/>
      <c r="W116" s="1174"/>
      <c r="X116" s="1175"/>
      <c r="Y116" s="1176"/>
      <c r="Z116" s="1177"/>
      <c r="AA116" s="1547"/>
      <c r="AB116" s="1177"/>
      <c r="AC116" s="1548"/>
      <c r="AD116" s="1549"/>
      <c r="AE116" s="1178"/>
      <c r="AF116" s="1179"/>
      <c r="AG116" s="1171"/>
      <c r="AH116" s="104"/>
      <c r="AI116" s="1172"/>
      <c r="AJ116" s="1172"/>
      <c r="AK116" s="1172"/>
      <c r="AL116" s="1173"/>
      <c r="AM116" s="1174"/>
      <c r="AN116" s="1175"/>
      <c r="AO116" s="1176"/>
      <c r="AP116" s="1177"/>
      <c r="AQ116" s="1547"/>
      <c r="AR116" s="1177"/>
      <c r="AS116" s="1548"/>
      <c r="AT116" s="1549"/>
      <c r="AU116" s="1178"/>
      <c r="AV116" s="1179"/>
      <c r="AY116" s="3">
        <v>1</v>
      </c>
    </row>
    <row r="117" spans="2:51" ht="27" customHeight="1">
      <c r="B117" s="104"/>
      <c r="C117" s="1172"/>
      <c r="D117" s="1172"/>
      <c r="E117" s="1172"/>
      <c r="F117" s="1173"/>
      <c r="G117" s="1174"/>
      <c r="H117" s="1175"/>
      <c r="I117" s="1176"/>
      <c r="J117" s="1177"/>
      <c r="K117" s="1547"/>
      <c r="L117" s="1177"/>
      <c r="M117" s="1548"/>
      <c r="N117" s="1549"/>
      <c r="O117" s="1178"/>
      <c r="P117" s="1179"/>
      <c r="Q117" s="1171"/>
      <c r="R117" s="104"/>
      <c r="S117" s="1172"/>
      <c r="T117" s="1172"/>
      <c r="U117" s="1172"/>
      <c r="V117" s="1173"/>
      <c r="W117" s="1174"/>
      <c r="X117" s="1175"/>
      <c r="Y117" s="1176"/>
      <c r="Z117" s="1177"/>
      <c r="AA117" s="1547"/>
      <c r="AB117" s="1177"/>
      <c r="AC117" s="1548"/>
      <c r="AD117" s="1549"/>
      <c r="AE117" s="1178"/>
      <c r="AF117" s="1179"/>
      <c r="AG117" s="1171"/>
      <c r="AH117" s="104"/>
      <c r="AI117" s="1172"/>
      <c r="AJ117" s="1172"/>
      <c r="AK117" s="1172"/>
      <c r="AL117" s="1173"/>
      <c r="AM117" s="1174"/>
      <c r="AN117" s="1175"/>
      <c r="AO117" s="1176"/>
      <c r="AP117" s="1177"/>
      <c r="AQ117" s="1547"/>
      <c r="AR117" s="1177"/>
      <c r="AS117" s="1548"/>
      <c r="AT117" s="1549"/>
      <c r="AU117" s="1178"/>
      <c r="AV117" s="1179"/>
      <c r="AY117" s="3">
        <v>1</v>
      </c>
    </row>
    <row r="118" spans="2:51" ht="27" customHeight="1">
      <c r="B118" s="104"/>
      <c r="C118" s="1172"/>
      <c r="D118" s="1172"/>
      <c r="E118" s="1172"/>
      <c r="F118" s="1173"/>
      <c r="G118" s="1174"/>
      <c r="H118" s="1175"/>
      <c r="I118" s="1176"/>
      <c r="J118" s="1177"/>
      <c r="K118" s="1547"/>
      <c r="L118" s="1177"/>
      <c r="M118" s="1548"/>
      <c r="N118" s="1549"/>
      <c r="O118" s="1178"/>
      <c r="P118" s="1179"/>
      <c r="Q118" s="1171"/>
      <c r="R118" s="104"/>
      <c r="S118" s="1172"/>
      <c r="T118" s="1172"/>
      <c r="U118" s="1172"/>
      <c r="V118" s="1173"/>
      <c r="W118" s="1174"/>
      <c r="X118" s="1175"/>
      <c r="Y118" s="1176"/>
      <c r="Z118" s="1177"/>
      <c r="AA118" s="1547"/>
      <c r="AB118" s="1177"/>
      <c r="AC118" s="1548"/>
      <c r="AD118" s="1549"/>
      <c r="AE118" s="1178"/>
      <c r="AF118" s="1179"/>
      <c r="AG118" s="1171"/>
      <c r="AH118" s="104"/>
      <c r="AI118" s="1172"/>
      <c r="AJ118" s="1172"/>
      <c r="AK118" s="1172"/>
      <c r="AL118" s="1173"/>
      <c r="AM118" s="1174"/>
      <c r="AN118" s="1175"/>
      <c r="AO118" s="1176"/>
      <c r="AP118" s="1177"/>
      <c r="AQ118" s="1547"/>
      <c r="AR118" s="1177"/>
      <c r="AS118" s="1548"/>
      <c r="AT118" s="1549"/>
      <c r="AU118" s="1178"/>
      <c r="AV118" s="1179"/>
      <c r="AY118" s="3">
        <v>1</v>
      </c>
    </row>
    <row r="119" spans="2:51" ht="27" customHeight="1">
      <c r="B119" s="104"/>
      <c r="C119" s="1172"/>
      <c r="D119" s="1172"/>
      <c r="E119" s="1172"/>
      <c r="F119" s="1173"/>
      <c r="G119" s="1174"/>
      <c r="H119" s="1175"/>
      <c r="I119" s="1176"/>
      <c r="J119" s="1177"/>
      <c r="K119" s="1547"/>
      <c r="L119" s="1177"/>
      <c r="M119" s="1548"/>
      <c r="N119" s="1549"/>
      <c r="O119" s="1178"/>
      <c r="P119" s="1179"/>
      <c r="Q119" s="1171"/>
      <c r="R119" s="104"/>
      <c r="S119" s="1172"/>
      <c r="T119" s="1172"/>
      <c r="U119" s="1172"/>
      <c r="V119" s="1173"/>
      <c r="W119" s="1174"/>
      <c r="X119" s="1175"/>
      <c r="Y119" s="1176"/>
      <c r="Z119" s="1177"/>
      <c r="AA119" s="1547"/>
      <c r="AB119" s="1177"/>
      <c r="AC119" s="1548"/>
      <c r="AD119" s="1549"/>
      <c r="AE119" s="1178"/>
      <c r="AF119" s="1179"/>
      <c r="AG119" s="1171"/>
      <c r="AH119" s="104"/>
      <c r="AI119" s="1172"/>
      <c r="AJ119" s="1172"/>
      <c r="AK119" s="1172"/>
      <c r="AL119" s="1173"/>
      <c r="AM119" s="1174"/>
      <c r="AN119" s="1175"/>
      <c r="AO119" s="1176"/>
      <c r="AP119" s="1177"/>
      <c r="AQ119" s="1547"/>
      <c r="AR119" s="1177"/>
      <c r="AS119" s="1548"/>
      <c r="AT119" s="1549"/>
      <c r="AU119" s="1178"/>
      <c r="AV119" s="1179"/>
      <c r="AY119" s="3">
        <v>1</v>
      </c>
    </row>
    <row r="120" spans="2:51" ht="27" customHeight="1">
      <c r="B120" s="104"/>
      <c r="C120" s="1172"/>
      <c r="D120" s="1172"/>
      <c r="E120" s="1172"/>
      <c r="F120" s="1173"/>
      <c r="G120" s="1174"/>
      <c r="H120" s="1175"/>
      <c r="I120" s="1176"/>
      <c r="J120" s="1177"/>
      <c r="K120" s="1547"/>
      <c r="L120" s="1177"/>
      <c r="M120" s="1548"/>
      <c r="N120" s="1549"/>
      <c r="O120" s="1178"/>
      <c r="P120" s="1179"/>
      <c r="Q120" s="1171"/>
      <c r="R120" s="104"/>
      <c r="S120" s="1172"/>
      <c r="T120" s="1172"/>
      <c r="U120" s="1172"/>
      <c r="V120" s="1173"/>
      <c r="W120" s="1174"/>
      <c r="X120" s="1175"/>
      <c r="Y120" s="1176"/>
      <c r="Z120" s="1177"/>
      <c r="AA120" s="1547"/>
      <c r="AB120" s="1177"/>
      <c r="AC120" s="1548"/>
      <c r="AD120" s="1549"/>
      <c r="AE120" s="1178"/>
      <c r="AF120" s="1179"/>
      <c r="AG120" s="1171"/>
      <c r="AH120" s="104"/>
      <c r="AI120" s="1172"/>
      <c r="AJ120" s="1172"/>
      <c r="AK120" s="1172"/>
      <c r="AL120" s="1173"/>
      <c r="AM120" s="1174"/>
      <c r="AN120" s="1175"/>
      <c r="AO120" s="1176"/>
      <c r="AP120" s="1177"/>
      <c r="AQ120" s="1547"/>
      <c r="AR120" s="1177"/>
      <c r="AS120" s="1548"/>
      <c r="AT120" s="1549"/>
      <c r="AU120" s="1178"/>
      <c r="AV120" s="1179"/>
      <c r="AY120" s="3">
        <v>1</v>
      </c>
    </row>
    <row r="121" spans="2:51" ht="27" customHeight="1">
      <c r="B121" s="104"/>
      <c r="C121" s="1172"/>
      <c r="D121" s="1172"/>
      <c r="E121" s="1172"/>
      <c r="F121" s="1173"/>
      <c r="G121" s="1174"/>
      <c r="H121" s="1175"/>
      <c r="I121" s="1176"/>
      <c r="J121" s="1177"/>
      <c r="K121" s="1547"/>
      <c r="L121" s="1177"/>
      <c r="M121" s="1548"/>
      <c r="N121" s="1549"/>
      <c r="O121" s="1178"/>
      <c r="P121" s="1179"/>
      <c r="Q121" s="1171"/>
      <c r="R121" s="104"/>
      <c r="S121" s="1172"/>
      <c r="T121" s="1172"/>
      <c r="U121" s="1172"/>
      <c r="V121" s="1173"/>
      <c r="W121" s="1174"/>
      <c r="X121" s="1175"/>
      <c r="Y121" s="1176"/>
      <c r="Z121" s="1177"/>
      <c r="AA121" s="1547"/>
      <c r="AB121" s="1177"/>
      <c r="AC121" s="1548"/>
      <c r="AD121" s="1549"/>
      <c r="AE121" s="1178"/>
      <c r="AF121" s="1179"/>
      <c r="AH121" s="104"/>
      <c r="AI121" s="1172"/>
      <c r="AJ121" s="1172"/>
      <c r="AK121" s="1172"/>
      <c r="AL121" s="1173"/>
      <c r="AM121" s="1174"/>
      <c r="AN121" s="1175"/>
      <c r="AO121" s="1176"/>
      <c r="AP121" s="1177"/>
      <c r="AQ121" s="1547"/>
      <c r="AR121" s="1177"/>
      <c r="AS121" s="1548"/>
      <c r="AT121" s="1549"/>
      <c r="AU121" s="1178"/>
      <c r="AV121" s="1179"/>
      <c r="AY121" s="3">
        <v>1</v>
      </c>
    </row>
    <row r="122" spans="2:51" ht="27" customHeight="1">
      <c r="B122" s="104"/>
      <c r="C122" s="1172"/>
      <c r="D122" s="1172"/>
      <c r="E122" s="1172"/>
      <c r="F122" s="1173"/>
      <c r="G122" s="1174"/>
      <c r="H122" s="1175"/>
      <c r="I122" s="1176"/>
      <c r="J122" s="1177"/>
      <c r="K122" s="1547"/>
      <c r="L122" s="1177"/>
      <c r="M122" s="1548"/>
      <c r="N122" s="1549"/>
      <c r="O122" s="1178"/>
      <c r="P122" s="1179"/>
      <c r="Q122" s="1171"/>
      <c r="R122" s="104"/>
      <c r="S122" s="1172"/>
      <c r="T122" s="1172"/>
      <c r="U122" s="1172"/>
      <c r="V122" s="1173"/>
      <c r="W122" s="1174"/>
      <c r="X122" s="1175"/>
      <c r="Y122" s="1176"/>
      <c r="Z122" s="1177"/>
      <c r="AA122" s="1547"/>
      <c r="AB122" s="1177"/>
      <c r="AC122" s="1548"/>
      <c r="AD122" s="1549"/>
      <c r="AE122" s="1178"/>
      <c r="AF122" s="1179"/>
      <c r="AH122" s="104"/>
      <c r="AI122" s="1172"/>
      <c r="AJ122" s="1172"/>
      <c r="AK122" s="1172"/>
      <c r="AL122" s="1173"/>
      <c r="AM122" s="1174"/>
      <c r="AN122" s="1175"/>
      <c r="AO122" s="1176"/>
      <c r="AP122" s="1177"/>
      <c r="AQ122" s="1547"/>
      <c r="AR122" s="1177"/>
      <c r="AS122" s="1548"/>
      <c r="AT122" s="1549"/>
      <c r="AU122" s="1178"/>
      <c r="AV122" s="1179"/>
      <c r="AY122" s="3">
        <v>1</v>
      </c>
    </row>
    <row r="123" spans="2:51" ht="27" customHeight="1">
      <c r="B123" s="104"/>
      <c r="C123" s="1172"/>
      <c r="D123" s="1172"/>
      <c r="E123" s="1172"/>
      <c r="F123" s="1173"/>
      <c r="G123" s="1174"/>
      <c r="H123" s="1175"/>
      <c r="I123" s="1176"/>
      <c r="J123" s="1177"/>
      <c r="K123" s="1547"/>
      <c r="L123" s="1177"/>
      <c r="M123" s="1548"/>
      <c r="N123" s="1549"/>
      <c r="O123" s="1178"/>
      <c r="P123" s="1179"/>
      <c r="Q123" s="1171"/>
      <c r="R123" s="104"/>
      <c r="S123" s="1172"/>
      <c r="T123" s="1172"/>
      <c r="U123" s="1172"/>
      <c r="V123" s="1173"/>
      <c r="W123" s="1174"/>
      <c r="X123" s="1175"/>
      <c r="Y123" s="1176"/>
      <c r="Z123" s="1177"/>
      <c r="AA123" s="1547"/>
      <c r="AB123" s="1177"/>
      <c r="AC123" s="1548"/>
      <c r="AD123" s="1549"/>
      <c r="AE123" s="1178"/>
      <c r="AF123" s="1179"/>
      <c r="AH123" s="104"/>
      <c r="AI123" s="1172"/>
      <c r="AJ123" s="1172"/>
      <c r="AK123" s="1172"/>
      <c r="AL123" s="1173"/>
      <c r="AM123" s="1174"/>
      <c r="AN123" s="1175"/>
      <c r="AO123" s="1176"/>
      <c r="AP123" s="1177"/>
      <c r="AQ123" s="1547"/>
      <c r="AR123" s="1177"/>
      <c r="AS123" s="1548"/>
      <c r="AT123" s="1549"/>
      <c r="AU123" s="1178"/>
      <c r="AV123" s="1179"/>
      <c r="AY123" s="3">
        <v>1</v>
      </c>
    </row>
    <row r="124" spans="2:51" ht="27" customHeight="1">
      <c r="B124" s="104"/>
      <c r="C124" s="1172"/>
      <c r="D124" s="1172"/>
      <c r="E124" s="1172"/>
      <c r="F124" s="1173"/>
      <c r="G124" s="1174"/>
      <c r="H124" s="1175"/>
      <c r="I124" s="1176"/>
      <c r="J124" s="1177"/>
      <c r="K124" s="1547"/>
      <c r="L124" s="1177"/>
      <c r="M124" s="1548"/>
      <c r="N124" s="1549"/>
      <c r="O124" s="1178"/>
      <c r="P124" s="1179"/>
      <c r="Q124" s="1171"/>
      <c r="R124" s="104"/>
      <c r="S124" s="1172"/>
      <c r="T124" s="1172"/>
      <c r="U124" s="1172"/>
      <c r="V124" s="1173"/>
      <c r="W124" s="1174"/>
      <c r="X124" s="1175"/>
      <c r="Y124" s="1176"/>
      <c r="Z124" s="1177"/>
      <c r="AA124" s="1547"/>
      <c r="AB124" s="1177"/>
      <c r="AC124" s="1548"/>
      <c r="AD124" s="1549"/>
      <c r="AE124" s="1178"/>
      <c r="AF124" s="1179"/>
      <c r="AG124" s="1171"/>
      <c r="AH124" s="104"/>
      <c r="AI124" s="1172"/>
      <c r="AJ124" s="1172"/>
      <c r="AK124" s="1172"/>
      <c r="AL124" s="1173"/>
      <c r="AM124" s="1174"/>
      <c r="AN124" s="1175"/>
      <c r="AO124" s="1176"/>
      <c r="AP124" s="1177"/>
      <c r="AQ124" s="1547"/>
      <c r="AR124" s="1177"/>
      <c r="AS124" s="1548"/>
      <c r="AT124" s="1549"/>
      <c r="AU124" s="1178"/>
      <c r="AV124" s="1179"/>
      <c r="AY124" s="3">
        <v>1</v>
      </c>
    </row>
    <row r="125" spans="2:51" ht="27" customHeight="1">
      <c r="B125" s="104"/>
      <c r="C125" s="1172"/>
      <c r="D125" s="1172"/>
      <c r="E125" s="1172"/>
      <c r="F125" s="1173"/>
      <c r="G125" s="1174"/>
      <c r="H125" s="1175"/>
      <c r="I125" s="1176"/>
      <c r="J125" s="1177"/>
      <c r="K125" s="1547"/>
      <c r="L125" s="1177"/>
      <c r="M125" s="1548"/>
      <c r="N125" s="1549"/>
      <c r="O125" s="1178"/>
      <c r="P125" s="1179"/>
      <c r="Q125" s="1171"/>
      <c r="R125" s="104"/>
      <c r="S125" s="1172"/>
      <c r="T125" s="1172"/>
      <c r="U125" s="1172"/>
      <c r="V125" s="1173"/>
      <c r="W125" s="1174"/>
      <c r="X125" s="1175"/>
      <c r="Y125" s="1176"/>
      <c r="Z125" s="1177"/>
      <c r="AA125" s="1547"/>
      <c r="AB125" s="1177"/>
      <c r="AC125" s="1548"/>
      <c r="AD125" s="1549"/>
      <c r="AE125" s="1178"/>
      <c r="AF125" s="1179"/>
      <c r="AG125" s="1171"/>
      <c r="AH125" s="104"/>
      <c r="AI125" s="1172"/>
      <c r="AJ125" s="1172"/>
      <c r="AK125" s="1172"/>
      <c r="AL125" s="1173"/>
      <c r="AM125" s="1174"/>
      <c r="AN125" s="1175"/>
      <c r="AO125" s="1176"/>
      <c r="AP125" s="1177"/>
      <c r="AQ125" s="1547"/>
      <c r="AR125" s="1177"/>
      <c r="AS125" s="1548"/>
      <c r="AT125" s="1549"/>
      <c r="AU125" s="1178"/>
      <c r="AV125" s="1179"/>
      <c r="AY125" s="3">
        <v>1</v>
      </c>
    </row>
    <row r="126" spans="2:51" ht="27" customHeight="1">
      <c r="B126" s="104"/>
      <c r="C126" s="1172"/>
      <c r="D126" s="1172"/>
      <c r="E126" s="1172"/>
      <c r="F126" s="1173"/>
      <c r="G126" s="1174"/>
      <c r="H126" s="1175"/>
      <c r="I126" s="1176"/>
      <c r="J126" s="1177"/>
      <c r="K126" s="1547"/>
      <c r="L126" s="1177"/>
      <c r="M126" s="1548"/>
      <c r="N126" s="1549"/>
      <c r="O126" s="1178"/>
      <c r="P126" s="1179"/>
      <c r="Q126" s="1171"/>
      <c r="R126" s="104"/>
      <c r="S126" s="1172"/>
      <c r="T126" s="1172"/>
      <c r="U126" s="1172"/>
      <c r="V126" s="1173"/>
      <c r="W126" s="1174"/>
      <c r="X126" s="1175"/>
      <c r="Y126" s="1176"/>
      <c r="Z126" s="1177"/>
      <c r="AA126" s="1547"/>
      <c r="AB126" s="1177"/>
      <c r="AC126" s="1548"/>
      <c r="AD126" s="1549"/>
      <c r="AE126" s="1178"/>
      <c r="AF126" s="1179"/>
      <c r="AG126" s="1171"/>
      <c r="AH126" s="104"/>
      <c r="AI126" s="1172"/>
      <c r="AJ126" s="1172"/>
      <c r="AK126" s="1172"/>
      <c r="AL126" s="1173"/>
      <c r="AM126" s="1174"/>
      <c r="AN126" s="1175"/>
      <c r="AO126" s="1176"/>
      <c r="AP126" s="1177"/>
      <c r="AQ126" s="1547"/>
      <c r="AR126" s="1177"/>
      <c r="AS126" s="1548"/>
      <c r="AT126" s="1549"/>
      <c r="AU126" s="1178"/>
      <c r="AV126" s="1179"/>
      <c r="AY126" s="3">
        <v>1</v>
      </c>
    </row>
    <row r="127" spans="2:51" ht="27" customHeight="1">
      <c r="B127" s="104"/>
      <c r="C127" s="1172"/>
      <c r="D127" s="1172"/>
      <c r="E127" s="1172"/>
      <c r="F127" s="1173"/>
      <c r="G127" s="1174"/>
      <c r="H127" s="1175"/>
      <c r="I127" s="1176"/>
      <c r="J127" s="1177"/>
      <c r="K127" s="1547"/>
      <c r="L127" s="1177"/>
      <c r="M127" s="1548"/>
      <c r="N127" s="1549"/>
      <c r="O127" s="1178"/>
      <c r="P127" s="1179"/>
      <c r="Q127" s="1171"/>
      <c r="R127" s="104"/>
      <c r="S127" s="1172"/>
      <c r="T127" s="1172"/>
      <c r="U127" s="1172"/>
      <c r="V127" s="1173"/>
      <c r="W127" s="1174"/>
      <c r="X127" s="1175"/>
      <c r="Y127" s="1176"/>
      <c r="Z127" s="1177"/>
      <c r="AA127" s="1547"/>
      <c r="AB127" s="1177"/>
      <c r="AC127" s="1548"/>
      <c r="AD127" s="1549"/>
      <c r="AE127" s="1178"/>
      <c r="AF127" s="1179"/>
      <c r="AG127" s="1171"/>
      <c r="AH127" s="104"/>
      <c r="AI127" s="1172"/>
      <c r="AJ127" s="1172"/>
      <c r="AK127" s="1172"/>
      <c r="AL127" s="1173"/>
      <c r="AM127" s="1174"/>
      <c r="AN127" s="1175"/>
      <c r="AO127" s="1176"/>
      <c r="AP127" s="1177"/>
      <c r="AQ127" s="1547"/>
      <c r="AR127" s="1177"/>
      <c r="AS127" s="1548"/>
      <c r="AT127" s="1549"/>
      <c r="AU127" s="1178"/>
      <c r="AV127" s="1179"/>
      <c r="AY127" s="3">
        <v>1</v>
      </c>
    </row>
    <row r="128" spans="2:51" ht="27" customHeight="1">
      <c r="B128" s="104"/>
      <c r="C128" s="1172"/>
      <c r="D128" s="1172"/>
      <c r="E128" s="1172"/>
      <c r="F128" s="1173"/>
      <c r="G128" s="1174"/>
      <c r="H128" s="1175"/>
      <c r="I128" s="1176"/>
      <c r="J128" s="1177"/>
      <c r="K128" s="1547"/>
      <c r="L128" s="1177"/>
      <c r="M128" s="1548"/>
      <c r="N128" s="1549"/>
      <c r="O128" s="1178"/>
      <c r="P128" s="1179"/>
      <c r="Q128" s="1171"/>
      <c r="R128" s="104"/>
      <c r="S128" s="1172"/>
      <c r="T128" s="1172"/>
      <c r="U128" s="1172"/>
      <c r="V128" s="1173"/>
      <c r="W128" s="1174"/>
      <c r="X128" s="1175"/>
      <c r="Y128" s="1176"/>
      <c r="Z128" s="1177"/>
      <c r="AA128" s="1547"/>
      <c r="AB128" s="1177"/>
      <c r="AC128" s="1548"/>
      <c r="AD128" s="1549"/>
      <c r="AE128" s="1178"/>
      <c r="AF128" s="1179"/>
      <c r="AG128" s="1171"/>
      <c r="AH128" s="104"/>
      <c r="AI128" s="1172"/>
      <c r="AJ128" s="1172"/>
      <c r="AK128" s="1172"/>
      <c r="AL128" s="1173"/>
      <c r="AM128" s="1174"/>
      <c r="AN128" s="1175"/>
      <c r="AO128" s="1176"/>
      <c r="AP128" s="1177"/>
      <c r="AQ128" s="1547"/>
      <c r="AR128" s="1177"/>
      <c r="AS128" s="1548"/>
      <c r="AT128" s="1549"/>
      <c r="AU128" s="1178"/>
      <c r="AV128" s="1179"/>
      <c r="AY128" s="3">
        <v>1</v>
      </c>
    </row>
    <row r="129" spans="2:51" ht="27" customHeight="1">
      <c r="B129" s="104"/>
      <c r="C129" s="1172"/>
      <c r="D129" s="1172"/>
      <c r="E129" s="1172"/>
      <c r="F129" s="1173"/>
      <c r="G129" s="1174"/>
      <c r="H129" s="1175"/>
      <c r="I129" s="1176"/>
      <c r="J129" s="1177"/>
      <c r="K129" s="1547"/>
      <c r="L129" s="1177"/>
      <c r="M129" s="1548"/>
      <c r="N129" s="1549"/>
      <c r="O129" s="1178"/>
      <c r="P129" s="1179"/>
      <c r="Q129" s="1171"/>
      <c r="R129" s="104"/>
      <c r="S129" s="1172"/>
      <c r="T129" s="1172"/>
      <c r="U129" s="1172"/>
      <c r="V129" s="1173"/>
      <c r="W129" s="1174"/>
      <c r="X129" s="1175"/>
      <c r="Y129" s="1176"/>
      <c r="Z129" s="1177"/>
      <c r="AA129" s="1547"/>
      <c r="AB129" s="1177"/>
      <c r="AC129" s="1548"/>
      <c r="AD129" s="1549"/>
      <c r="AE129" s="1178"/>
      <c r="AF129" s="1179"/>
      <c r="AG129" s="1171"/>
      <c r="AH129" s="104"/>
      <c r="AI129" s="1172"/>
      <c r="AJ129" s="1172"/>
      <c r="AK129" s="1172"/>
      <c r="AL129" s="1173"/>
      <c r="AM129" s="1174"/>
      <c r="AN129" s="1175"/>
      <c r="AO129" s="1176"/>
      <c r="AP129" s="1177"/>
      <c r="AQ129" s="1547"/>
      <c r="AR129" s="1177"/>
      <c r="AS129" s="1548"/>
      <c r="AT129" s="1549"/>
      <c r="AU129" s="1178"/>
      <c r="AV129" s="1179"/>
      <c r="AY129" s="3">
        <v>1</v>
      </c>
    </row>
    <row r="130" spans="2:51" ht="27" customHeight="1">
      <c r="B130" s="104"/>
      <c r="C130" s="1172"/>
      <c r="D130" s="1172"/>
      <c r="E130" s="1172"/>
      <c r="F130" s="1173"/>
      <c r="G130" s="1174"/>
      <c r="H130" s="1175"/>
      <c r="I130" s="1176"/>
      <c r="J130" s="1177"/>
      <c r="K130" s="1547"/>
      <c r="L130" s="1177"/>
      <c r="M130" s="1548"/>
      <c r="N130" s="1549"/>
      <c r="O130" s="1178"/>
      <c r="P130" s="1179"/>
      <c r="Q130" s="1171"/>
      <c r="R130" s="104"/>
      <c r="S130" s="1172"/>
      <c r="T130" s="1172"/>
      <c r="U130" s="1172"/>
      <c r="V130" s="1173"/>
      <c r="W130" s="1174"/>
      <c r="X130" s="1175"/>
      <c r="Y130" s="1176"/>
      <c r="Z130" s="1177"/>
      <c r="AA130" s="1547"/>
      <c r="AB130" s="1177"/>
      <c r="AC130" s="1548"/>
      <c r="AD130" s="1549"/>
      <c r="AE130" s="1178"/>
      <c r="AF130" s="1179"/>
      <c r="AG130" s="1171"/>
      <c r="AH130" s="104"/>
      <c r="AI130" s="1172"/>
      <c r="AJ130" s="1172"/>
      <c r="AK130" s="1172"/>
      <c r="AL130" s="1173"/>
      <c r="AM130" s="1174"/>
      <c r="AN130" s="1175"/>
      <c r="AO130" s="1176"/>
      <c r="AP130" s="1177"/>
      <c r="AQ130" s="1547"/>
      <c r="AR130" s="1177"/>
      <c r="AS130" s="1548"/>
      <c r="AT130" s="1549"/>
      <c r="AU130" s="1178"/>
      <c r="AV130" s="1179"/>
      <c r="AY130" s="3">
        <v>1</v>
      </c>
    </row>
    <row r="131" spans="2:51" ht="27" customHeight="1">
      <c r="B131" s="104"/>
      <c r="C131" s="1172"/>
      <c r="D131" s="1172"/>
      <c r="E131" s="1172"/>
      <c r="F131" s="1173"/>
      <c r="G131" s="1174"/>
      <c r="H131" s="1175"/>
      <c r="I131" s="1176"/>
      <c r="J131" s="1177"/>
      <c r="K131" s="1547"/>
      <c r="L131" s="1177"/>
      <c r="M131" s="1548"/>
      <c r="N131" s="1549"/>
      <c r="O131" s="1178"/>
      <c r="P131" s="1179"/>
      <c r="Q131" s="1171"/>
      <c r="R131" s="104"/>
      <c r="S131" s="1172"/>
      <c r="T131" s="1172"/>
      <c r="U131" s="1172"/>
      <c r="V131" s="1173"/>
      <c r="W131" s="1174"/>
      <c r="X131" s="1175"/>
      <c r="Y131" s="1176"/>
      <c r="Z131" s="1177"/>
      <c r="AA131" s="1547"/>
      <c r="AB131" s="1177"/>
      <c r="AC131" s="1548"/>
      <c r="AD131" s="1549"/>
      <c r="AE131" s="1178"/>
      <c r="AF131" s="1179"/>
      <c r="AG131" s="1171"/>
      <c r="AH131" s="104"/>
      <c r="AI131" s="1172"/>
      <c r="AJ131" s="1172"/>
      <c r="AK131" s="1172"/>
      <c r="AL131" s="1173"/>
      <c r="AM131" s="1174"/>
      <c r="AN131" s="1175"/>
      <c r="AO131" s="1176"/>
      <c r="AP131" s="1177"/>
      <c r="AQ131" s="1547"/>
      <c r="AR131" s="1177"/>
      <c r="AS131" s="1548"/>
      <c r="AT131" s="1549"/>
      <c r="AU131" s="1178"/>
      <c r="AV131" s="1179"/>
      <c r="AY131" s="3">
        <v>1</v>
      </c>
    </row>
    <row r="132" spans="2:51" ht="27" customHeight="1">
      <c r="B132" s="104"/>
      <c r="C132" s="1172"/>
      <c r="D132" s="1172"/>
      <c r="E132" s="1172"/>
      <c r="F132" s="1173"/>
      <c r="G132" s="1174"/>
      <c r="H132" s="1175"/>
      <c r="I132" s="1176"/>
      <c r="J132" s="1177"/>
      <c r="K132" s="1547"/>
      <c r="L132" s="1177"/>
      <c r="M132" s="1548"/>
      <c r="N132" s="1549"/>
      <c r="O132" s="1178"/>
      <c r="P132" s="1179"/>
      <c r="Q132" s="1171"/>
      <c r="R132" s="104"/>
      <c r="S132" s="1172"/>
      <c r="T132" s="1172"/>
      <c r="U132" s="1172"/>
      <c r="V132" s="1173"/>
      <c r="W132" s="1174"/>
      <c r="X132" s="1175"/>
      <c r="Y132" s="1176"/>
      <c r="Z132" s="1177"/>
      <c r="AA132" s="1547"/>
      <c r="AB132" s="1177"/>
      <c r="AC132" s="1548"/>
      <c r="AD132" s="1549"/>
      <c r="AE132" s="1178"/>
      <c r="AF132" s="1179"/>
      <c r="AG132" s="1171"/>
      <c r="AH132" s="104"/>
      <c r="AI132" s="1172"/>
      <c r="AJ132" s="1172"/>
      <c r="AK132" s="1172"/>
      <c r="AL132" s="1173"/>
      <c r="AM132" s="1174"/>
      <c r="AN132" s="1175"/>
      <c r="AO132" s="1176"/>
      <c r="AP132" s="1177"/>
      <c r="AQ132" s="1547"/>
      <c r="AR132" s="1177"/>
      <c r="AS132" s="1548"/>
      <c r="AT132" s="1549"/>
      <c r="AU132" s="1178"/>
      <c r="AV132" s="1179"/>
      <c r="AY132" s="3">
        <v>1</v>
      </c>
    </row>
    <row r="133" spans="2:51" ht="27" customHeight="1">
      <c r="B133" s="104"/>
      <c r="C133" s="1172"/>
      <c r="D133" s="1172"/>
      <c r="E133" s="1172"/>
      <c r="F133" s="1173"/>
      <c r="G133" s="1174"/>
      <c r="H133" s="1175"/>
      <c r="I133" s="1176"/>
      <c r="J133" s="1177"/>
      <c r="K133" s="1547"/>
      <c r="L133" s="1177"/>
      <c r="M133" s="1548"/>
      <c r="N133" s="1549"/>
      <c r="O133" s="1178"/>
      <c r="P133" s="1179"/>
      <c r="Q133" s="1171"/>
      <c r="R133" s="104"/>
      <c r="S133" s="1172"/>
      <c r="T133" s="1172"/>
      <c r="U133" s="1172"/>
      <c r="V133" s="1173"/>
      <c r="W133" s="1174"/>
      <c r="X133" s="1175"/>
      <c r="Y133" s="1176"/>
      <c r="Z133" s="1177"/>
      <c r="AA133" s="1547"/>
      <c r="AB133" s="1177"/>
      <c r="AC133" s="1548"/>
      <c r="AD133" s="1549"/>
      <c r="AE133" s="1178"/>
      <c r="AF133" s="1179"/>
      <c r="AG133" s="1171"/>
      <c r="AH133" s="104"/>
      <c r="AI133" s="1172"/>
      <c r="AJ133" s="1172"/>
      <c r="AK133" s="1172"/>
      <c r="AL133" s="1173"/>
      <c r="AM133" s="1174"/>
      <c r="AN133" s="1175"/>
      <c r="AO133" s="1176"/>
      <c r="AP133" s="1177"/>
      <c r="AQ133" s="1547"/>
      <c r="AR133" s="1177"/>
      <c r="AS133" s="1548"/>
      <c r="AT133" s="1549"/>
      <c r="AU133" s="1178"/>
      <c r="AV133" s="1179"/>
      <c r="AY133" s="3">
        <v>1</v>
      </c>
    </row>
    <row r="134" spans="2:51" ht="27" customHeight="1">
      <c r="B134" s="104"/>
      <c r="C134" s="1172"/>
      <c r="D134" s="1172"/>
      <c r="E134" s="1172"/>
      <c r="F134" s="1173"/>
      <c r="G134" s="1174"/>
      <c r="H134" s="1175"/>
      <c r="I134" s="1176"/>
      <c r="J134" s="1177"/>
      <c r="K134" s="1547"/>
      <c r="L134" s="1177"/>
      <c r="M134" s="1548"/>
      <c r="N134" s="1549"/>
      <c r="O134" s="1178"/>
      <c r="P134" s="1179"/>
      <c r="Q134" s="1171"/>
      <c r="R134" s="104"/>
      <c r="S134" s="1172"/>
      <c r="T134" s="1172"/>
      <c r="U134" s="1172"/>
      <c r="V134" s="1173"/>
      <c r="W134" s="1174"/>
      <c r="X134" s="1175"/>
      <c r="Y134" s="1176"/>
      <c r="Z134" s="1177"/>
      <c r="AA134" s="1547"/>
      <c r="AB134" s="1177"/>
      <c r="AC134" s="1548"/>
      <c r="AD134" s="1549"/>
      <c r="AE134" s="1178"/>
      <c r="AF134" s="1179"/>
      <c r="AG134" s="1171"/>
      <c r="AH134" s="104"/>
      <c r="AI134" s="1172"/>
      <c r="AJ134" s="1172"/>
      <c r="AK134" s="1172"/>
      <c r="AL134" s="1173"/>
      <c r="AM134" s="1174"/>
      <c r="AN134" s="1175"/>
      <c r="AO134" s="1176"/>
      <c r="AP134" s="1177"/>
      <c r="AQ134" s="1547"/>
      <c r="AR134" s="1177"/>
      <c r="AS134" s="1548"/>
      <c r="AT134" s="1549"/>
      <c r="AU134" s="1178"/>
      <c r="AV134" s="1179"/>
      <c r="AY134" s="3">
        <v>1</v>
      </c>
    </row>
    <row r="135" spans="2:51" ht="27" customHeight="1">
      <c r="B135" s="104"/>
      <c r="C135" s="1172"/>
      <c r="D135" s="1172"/>
      <c r="E135" s="1172"/>
      <c r="F135" s="1173"/>
      <c r="G135" s="1174"/>
      <c r="H135" s="1175"/>
      <c r="I135" s="1176"/>
      <c r="J135" s="1177"/>
      <c r="K135" s="1547"/>
      <c r="L135" s="1177"/>
      <c r="M135" s="1548"/>
      <c r="N135" s="1549"/>
      <c r="O135" s="1178"/>
      <c r="P135" s="1179"/>
      <c r="Q135" s="1171"/>
      <c r="R135" s="104"/>
      <c r="S135" s="1172"/>
      <c r="T135" s="1172"/>
      <c r="U135" s="1172"/>
      <c r="V135" s="1173"/>
      <c r="W135" s="1174"/>
      <c r="X135" s="1175"/>
      <c r="Y135" s="1176"/>
      <c r="Z135" s="1177"/>
      <c r="AA135" s="1547"/>
      <c r="AB135" s="1177"/>
      <c r="AC135" s="1548"/>
      <c r="AD135" s="1549"/>
      <c r="AE135" s="1178"/>
      <c r="AF135" s="1179"/>
      <c r="AG135" s="1171"/>
      <c r="AH135" s="104"/>
      <c r="AI135" s="1172"/>
      <c r="AJ135" s="1172"/>
      <c r="AK135" s="1172"/>
      <c r="AL135" s="1173"/>
      <c r="AM135" s="1174"/>
      <c r="AN135" s="1175"/>
      <c r="AO135" s="1176"/>
      <c r="AP135" s="1177"/>
      <c r="AQ135" s="1547"/>
      <c r="AR135" s="1177"/>
      <c r="AS135" s="1548"/>
      <c r="AT135" s="1549"/>
      <c r="AU135" s="1178"/>
      <c r="AV135" s="1179"/>
      <c r="AY135" s="3">
        <v>1</v>
      </c>
    </row>
    <row r="136" spans="2:51" ht="27" customHeight="1">
      <c r="B136" s="104"/>
      <c r="C136" s="1172"/>
      <c r="D136" s="1172"/>
      <c r="E136" s="1172"/>
      <c r="F136" s="1173"/>
      <c r="G136" s="1174"/>
      <c r="H136" s="1175"/>
      <c r="I136" s="1176"/>
      <c r="J136" s="1177"/>
      <c r="K136" s="1547"/>
      <c r="L136" s="1177"/>
      <c r="M136" s="1548"/>
      <c r="N136" s="1549"/>
      <c r="O136" s="1178"/>
      <c r="P136" s="1179"/>
      <c r="Q136" s="1171"/>
      <c r="R136" s="104"/>
      <c r="S136" s="1172"/>
      <c r="T136" s="1172"/>
      <c r="U136" s="1172"/>
      <c r="V136" s="1173"/>
      <c r="W136" s="1174"/>
      <c r="X136" s="1175"/>
      <c r="Y136" s="1176"/>
      <c r="Z136" s="1177"/>
      <c r="AA136" s="1547"/>
      <c r="AB136" s="1177"/>
      <c r="AC136" s="1548"/>
      <c r="AD136" s="1549"/>
      <c r="AE136" s="1178"/>
      <c r="AF136" s="1179"/>
      <c r="AG136" s="1171"/>
      <c r="AH136" s="104"/>
      <c r="AI136" s="1172"/>
      <c r="AJ136" s="1172"/>
      <c r="AK136" s="1172"/>
      <c r="AL136" s="1173"/>
      <c r="AM136" s="1174"/>
      <c r="AN136" s="1175"/>
      <c r="AO136" s="1176"/>
      <c r="AP136" s="1177"/>
      <c r="AQ136" s="1547"/>
      <c r="AR136" s="1177"/>
      <c r="AS136" s="1548"/>
      <c r="AT136" s="1549"/>
      <c r="AU136" s="1178"/>
      <c r="AV136" s="1179"/>
      <c r="AY136" s="3">
        <v>1</v>
      </c>
    </row>
    <row r="137" spans="2:51" ht="27" customHeight="1">
      <c r="B137" s="104"/>
      <c r="C137" s="1172"/>
      <c r="D137" s="1172"/>
      <c r="E137" s="1172"/>
      <c r="F137" s="1173"/>
      <c r="G137" s="1174"/>
      <c r="H137" s="1175"/>
      <c r="I137" s="1176"/>
      <c r="J137" s="1177"/>
      <c r="K137" s="1547"/>
      <c r="L137" s="1177"/>
      <c r="M137" s="1548"/>
      <c r="N137" s="1549"/>
      <c r="O137" s="1178"/>
      <c r="P137" s="1179"/>
      <c r="Q137" s="1171"/>
      <c r="R137" s="104"/>
      <c r="S137" s="1172"/>
      <c r="T137" s="1172"/>
      <c r="U137" s="1172"/>
      <c r="V137" s="1173"/>
      <c r="W137" s="1174"/>
      <c r="X137" s="1175"/>
      <c r="Y137" s="1176"/>
      <c r="Z137" s="1177"/>
      <c r="AA137" s="1547"/>
      <c r="AB137" s="1177"/>
      <c r="AC137" s="1548"/>
      <c r="AD137" s="1549"/>
      <c r="AE137" s="1178"/>
      <c r="AF137" s="1179"/>
      <c r="AG137" s="1171"/>
      <c r="AH137" s="104"/>
      <c r="AI137" s="1172"/>
      <c r="AJ137" s="1172"/>
      <c r="AK137" s="1172"/>
      <c r="AL137" s="1173"/>
      <c r="AM137" s="1174"/>
      <c r="AN137" s="1175"/>
      <c r="AO137" s="1176"/>
      <c r="AP137" s="1177"/>
      <c r="AQ137" s="1547"/>
      <c r="AR137" s="1177"/>
      <c r="AS137" s="1548"/>
      <c r="AT137" s="1549"/>
      <c r="AU137" s="1178"/>
      <c r="AV137" s="1179"/>
      <c r="AY137" s="3">
        <v>1</v>
      </c>
    </row>
    <row r="138" spans="2:51" ht="27" customHeight="1">
      <c r="B138" s="104"/>
      <c r="C138" s="1172"/>
      <c r="D138" s="1172"/>
      <c r="E138" s="1172"/>
      <c r="F138" s="1173"/>
      <c r="G138" s="1174"/>
      <c r="H138" s="1175"/>
      <c r="I138" s="1176"/>
      <c r="J138" s="1177"/>
      <c r="K138" s="1547"/>
      <c r="L138" s="1177"/>
      <c r="M138" s="1548"/>
      <c r="N138" s="1549"/>
      <c r="O138" s="1178"/>
      <c r="P138" s="1179"/>
      <c r="Q138" s="1171"/>
      <c r="R138" s="104"/>
      <c r="S138" s="1172"/>
      <c r="T138" s="1172"/>
      <c r="U138" s="1172"/>
      <c r="V138" s="1173"/>
      <c r="W138" s="1174"/>
      <c r="X138" s="1175"/>
      <c r="Y138" s="1176"/>
      <c r="Z138" s="1177"/>
      <c r="AA138" s="1547"/>
      <c r="AB138" s="1177"/>
      <c r="AC138" s="1548"/>
      <c r="AD138" s="1549"/>
      <c r="AE138" s="1178"/>
      <c r="AF138" s="1179"/>
      <c r="AG138" s="1171"/>
      <c r="AH138" s="104"/>
      <c r="AI138" s="1172"/>
      <c r="AJ138" s="1172"/>
      <c r="AK138" s="1172"/>
      <c r="AL138" s="1173"/>
      <c r="AM138" s="1174"/>
      <c r="AN138" s="1175"/>
      <c r="AO138" s="1176"/>
      <c r="AP138" s="1177"/>
      <c r="AQ138" s="1547"/>
      <c r="AR138" s="1177"/>
      <c r="AS138" s="1548"/>
      <c r="AT138" s="1549"/>
      <c r="AU138" s="1178"/>
      <c r="AV138" s="1179"/>
      <c r="AY138" s="3">
        <v>1</v>
      </c>
    </row>
    <row r="139" spans="2:51" ht="27" customHeight="1">
      <c r="B139" s="104"/>
      <c r="C139" s="1172"/>
      <c r="D139" s="1172"/>
      <c r="E139" s="1172"/>
      <c r="F139" s="1173"/>
      <c r="G139" s="1174"/>
      <c r="H139" s="1175"/>
      <c r="I139" s="1176"/>
      <c r="J139" s="1177"/>
      <c r="K139" s="1547"/>
      <c r="L139" s="1177"/>
      <c r="M139" s="1548"/>
      <c r="N139" s="1549"/>
      <c r="O139" s="1178"/>
      <c r="P139" s="1179"/>
      <c r="Q139" s="1171"/>
      <c r="R139" s="104"/>
      <c r="S139" s="1172"/>
      <c r="T139" s="1172"/>
      <c r="U139" s="1172"/>
      <c r="V139" s="1173"/>
      <c r="W139" s="1174"/>
      <c r="X139" s="1175"/>
      <c r="Y139" s="1176"/>
      <c r="Z139" s="1177"/>
      <c r="AA139" s="1547"/>
      <c r="AB139" s="1177"/>
      <c r="AC139" s="1548"/>
      <c r="AD139" s="1549"/>
      <c r="AE139" s="1178"/>
      <c r="AF139" s="1179"/>
      <c r="AG139" s="1171"/>
      <c r="AH139" s="104"/>
      <c r="AI139" s="1172"/>
      <c r="AJ139" s="1172"/>
      <c r="AK139" s="1172"/>
      <c r="AL139" s="1173"/>
      <c r="AM139" s="1174"/>
      <c r="AN139" s="1175"/>
      <c r="AO139" s="1176"/>
      <c r="AP139" s="1177"/>
      <c r="AQ139" s="1547"/>
      <c r="AR139" s="1177"/>
      <c r="AS139" s="1548"/>
      <c r="AT139" s="1549"/>
      <c r="AU139" s="1178"/>
      <c r="AV139" s="1179"/>
      <c r="AY139" s="3">
        <v>1</v>
      </c>
    </row>
    <row r="140" spans="2:51" ht="27" customHeight="1">
      <c r="B140" s="104"/>
      <c r="C140" s="1172"/>
      <c r="D140" s="1172"/>
      <c r="E140" s="1172"/>
      <c r="F140" s="1173"/>
      <c r="G140" s="1174"/>
      <c r="H140" s="1175"/>
      <c r="I140" s="1176"/>
      <c r="J140" s="1177"/>
      <c r="K140" s="1547"/>
      <c r="L140" s="1177"/>
      <c r="M140" s="1548"/>
      <c r="N140" s="1549"/>
      <c r="O140" s="1178"/>
      <c r="P140" s="1179"/>
      <c r="Q140" s="1171"/>
      <c r="R140" s="104"/>
      <c r="S140" s="1172"/>
      <c r="T140" s="1172"/>
      <c r="U140" s="1172"/>
      <c r="V140" s="1173"/>
      <c r="W140" s="1174"/>
      <c r="X140" s="1175"/>
      <c r="Y140" s="1176"/>
      <c r="Z140" s="1177"/>
      <c r="AA140" s="1547"/>
      <c r="AB140" s="1177"/>
      <c r="AC140" s="1548"/>
      <c r="AD140" s="1549"/>
      <c r="AE140" s="1178"/>
      <c r="AF140" s="1179"/>
      <c r="AG140" s="1171"/>
      <c r="AH140" s="104"/>
      <c r="AI140" s="1172"/>
      <c r="AJ140" s="1172"/>
      <c r="AK140" s="1172"/>
      <c r="AL140" s="1173"/>
      <c r="AM140" s="1174"/>
      <c r="AN140" s="1175"/>
      <c r="AO140" s="1176"/>
      <c r="AP140" s="1177"/>
      <c r="AQ140" s="1547"/>
      <c r="AR140" s="1177"/>
      <c r="AS140" s="1548"/>
      <c r="AT140" s="1549"/>
      <c r="AU140" s="1178"/>
      <c r="AV140" s="1179"/>
      <c r="AY140" s="3">
        <v>1</v>
      </c>
    </row>
    <row r="141" spans="2:51" ht="27" customHeight="1">
      <c r="B141" s="104"/>
      <c r="C141" s="1172"/>
      <c r="D141" s="1172"/>
      <c r="E141" s="1172"/>
      <c r="F141" s="1173"/>
      <c r="G141" s="1174"/>
      <c r="H141" s="1175"/>
      <c r="I141" s="1176"/>
      <c r="J141" s="1177"/>
      <c r="K141" s="1547"/>
      <c r="L141" s="1177"/>
      <c r="M141" s="1548"/>
      <c r="N141" s="1549"/>
      <c r="O141" s="1178"/>
      <c r="P141" s="1179"/>
      <c r="Q141" s="1171"/>
      <c r="R141" s="104"/>
      <c r="S141" s="1172"/>
      <c r="T141" s="1172"/>
      <c r="U141" s="1172"/>
      <c r="V141" s="1173"/>
      <c r="W141" s="1174"/>
      <c r="X141" s="1175"/>
      <c r="Y141" s="1176"/>
      <c r="Z141" s="1177"/>
      <c r="AA141" s="1547"/>
      <c r="AB141" s="1177"/>
      <c r="AC141" s="1548"/>
      <c r="AD141" s="1549"/>
      <c r="AE141" s="1178"/>
      <c r="AF141" s="1179"/>
      <c r="AG141" s="1171"/>
      <c r="AH141" s="104"/>
      <c r="AI141" s="1172"/>
      <c r="AJ141" s="1172"/>
      <c r="AK141" s="1172"/>
      <c r="AL141" s="1173"/>
      <c r="AM141" s="1174"/>
      <c r="AN141" s="1175"/>
      <c r="AO141" s="1176"/>
      <c r="AP141" s="1177"/>
      <c r="AQ141" s="1547"/>
      <c r="AR141" s="1177"/>
      <c r="AS141" s="1548"/>
      <c r="AT141" s="1549"/>
      <c r="AU141" s="1178"/>
      <c r="AV141" s="1179"/>
      <c r="AY141" s="3">
        <v>1</v>
      </c>
    </row>
    <row r="142" spans="2:51" ht="27" customHeight="1">
      <c r="B142" s="104"/>
      <c r="C142" s="1172"/>
      <c r="D142" s="1172"/>
      <c r="E142" s="1172"/>
      <c r="F142" s="1173"/>
      <c r="G142" s="1174"/>
      <c r="H142" s="1175"/>
      <c r="I142" s="1176"/>
      <c r="J142" s="1177"/>
      <c r="K142" s="1547"/>
      <c r="L142" s="1177"/>
      <c r="M142" s="1548"/>
      <c r="N142" s="1549"/>
      <c r="O142" s="1178"/>
      <c r="P142" s="1179"/>
      <c r="Q142" s="1171"/>
      <c r="R142" s="104"/>
      <c r="S142" s="1172"/>
      <c r="T142" s="1172"/>
      <c r="U142" s="1172"/>
      <c r="V142" s="1173"/>
      <c r="W142" s="1174"/>
      <c r="X142" s="1175"/>
      <c r="Y142" s="1176"/>
      <c r="Z142" s="1177"/>
      <c r="AA142" s="1547"/>
      <c r="AB142" s="1177"/>
      <c r="AC142" s="1548"/>
      <c r="AD142" s="1549"/>
      <c r="AE142" s="1178"/>
      <c r="AF142" s="1179"/>
      <c r="AG142" s="1171"/>
      <c r="AH142" s="104"/>
      <c r="AI142" s="1172"/>
      <c r="AJ142" s="1172"/>
      <c r="AK142" s="1172"/>
      <c r="AL142" s="1173"/>
      <c r="AM142" s="1174"/>
      <c r="AN142" s="1175"/>
      <c r="AO142" s="1176"/>
      <c r="AP142" s="1177"/>
      <c r="AQ142" s="1547"/>
      <c r="AR142" s="1177"/>
      <c r="AS142" s="1548"/>
      <c r="AT142" s="1549"/>
      <c r="AU142" s="1178"/>
      <c r="AV142" s="1179"/>
      <c r="AY142" s="3">
        <v>1</v>
      </c>
    </row>
    <row r="143" spans="2:51" ht="27" customHeight="1">
      <c r="B143" s="104"/>
      <c r="C143" s="1172"/>
      <c r="D143" s="1172"/>
      <c r="E143" s="1172"/>
      <c r="F143" s="1173"/>
      <c r="G143" s="1174"/>
      <c r="H143" s="1175"/>
      <c r="I143" s="1176"/>
      <c r="J143" s="1177"/>
      <c r="K143" s="1547"/>
      <c r="L143" s="1177"/>
      <c r="M143" s="1548"/>
      <c r="N143" s="1549"/>
      <c r="O143" s="1178"/>
      <c r="P143" s="1179"/>
      <c r="Q143" s="1171"/>
      <c r="R143" s="104"/>
      <c r="S143" s="1172"/>
      <c r="T143" s="1172"/>
      <c r="U143" s="1172"/>
      <c r="V143" s="1173"/>
      <c r="W143" s="1174"/>
      <c r="X143" s="1175"/>
      <c r="Y143" s="1176"/>
      <c r="Z143" s="1177"/>
      <c r="AA143" s="1547"/>
      <c r="AB143" s="1177"/>
      <c r="AC143" s="1548"/>
      <c r="AD143" s="1549"/>
      <c r="AE143" s="1178"/>
      <c r="AF143" s="1179"/>
      <c r="AG143" s="1171"/>
      <c r="AH143" s="104"/>
      <c r="AI143" s="1172"/>
      <c r="AJ143" s="1172"/>
      <c r="AK143" s="1172"/>
      <c r="AL143" s="1173"/>
      <c r="AM143" s="1174"/>
      <c r="AN143" s="1175"/>
      <c r="AO143" s="1176"/>
      <c r="AP143" s="1177"/>
      <c r="AQ143" s="1547"/>
      <c r="AR143" s="1177"/>
      <c r="AS143" s="1548"/>
      <c r="AT143" s="1549"/>
      <c r="AU143" s="1178"/>
      <c r="AV143" s="1179"/>
      <c r="AY143" s="3">
        <v>1</v>
      </c>
    </row>
    <row r="144" spans="2:51" ht="27" customHeight="1">
      <c r="B144" s="104"/>
      <c r="C144" s="1172"/>
      <c r="D144" s="1172"/>
      <c r="E144" s="1172"/>
      <c r="F144" s="1173"/>
      <c r="G144" s="1174"/>
      <c r="H144" s="1175"/>
      <c r="I144" s="1176"/>
      <c r="J144" s="1177"/>
      <c r="K144" s="1547"/>
      <c r="L144" s="1177"/>
      <c r="M144" s="1548"/>
      <c r="N144" s="1549"/>
      <c r="O144" s="1178"/>
      <c r="P144" s="1179"/>
      <c r="Q144" s="1171"/>
      <c r="R144" s="104"/>
      <c r="S144" s="1172"/>
      <c r="T144" s="1172"/>
      <c r="U144" s="1172"/>
      <c r="V144" s="1173"/>
      <c r="W144" s="1174"/>
      <c r="X144" s="1175"/>
      <c r="Y144" s="1176"/>
      <c r="Z144" s="1177"/>
      <c r="AA144" s="1547"/>
      <c r="AB144" s="1177"/>
      <c r="AC144" s="1548"/>
      <c r="AD144" s="1549"/>
      <c r="AE144" s="1178"/>
      <c r="AF144" s="1179"/>
      <c r="AG144" s="1171"/>
      <c r="AH144" s="104"/>
      <c r="AI144" s="1172"/>
      <c r="AJ144" s="1172"/>
      <c r="AK144" s="1172"/>
      <c r="AL144" s="1173"/>
      <c r="AM144" s="1174"/>
      <c r="AN144" s="1175"/>
      <c r="AO144" s="1176"/>
      <c r="AP144" s="1177"/>
      <c r="AQ144" s="1547"/>
      <c r="AR144" s="1177"/>
      <c r="AS144" s="1548"/>
      <c r="AT144" s="1549"/>
      <c r="AU144" s="1178"/>
      <c r="AV144" s="1179"/>
      <c r="AY144" s="3">
        <v>1</v>
      </c>
    </row>
    <row r="145" spans="2:51" ht="27" customHeight="1">
      <c r="B145" s="104"/>
      <c r="C145" s="1172"/>
      <c r="D145" s="1172"/>
      <c r="E145" s="1172"/>
      <c r="F145" s="1173"/>
      <c r="G145" s="1174"/>
      <c r="H145" s="1175"/>
      <c r="I145" s="1176"/>
      <c r="J145" s="1177"/>
      <c r="K145" s="1547"/>
      <c r="L145" s="1177"/>
      <c r="M145" s="1548"/>
      <c r="N145" s="1549"/>
      <c r="O145" s="1178"/>
      <c r="P145" s="1179"/>
      <c r="Q145" s="1171"/>
      <c r="R145" s="104"/>
      <c r="S145" s="1172"/>
      <c r="T145" s="1172"/>
      <c r="U145" s="1172"/>
      <c r="V145" s="1173"/>
      <c r="W145" s="1174"/>
      <c r="X145" s="1175"/>
      <c r="Y145" s="1176"/>
      <c r="Z145" s="1177"/>
      <c r="AA145" s="1547"/>
      <c r="AB145" s="1177"/>
      <c r="AC145" s="1548"/>
      <c r="AD145" s="1549"/>
      <c r="AE145" s="1178"/>
      <c r="AF145" s="1179"/>
      <c r="AG145" s="1171"/>
      <c r="AH145" s="104"/>
      <c r="AI145" s="1172"/>
      <c r="AJ145" s="1172"/>
      <c r="AK145" s="1172"/>
      <c r="AL145" s="1173"/>
      <c r="AM145" s="1174"/>
      <c r="AN145" s="1175"/>
      <c r="AO145" s="1176"/>
      <c r="AP145" s="1177"/>
      <c r="AQ145" s="1547"/>
      <c r="AR145" s="1177"/>
      <c r="AS145" s="1548"/>
      <c r="AT145" s="1549"/>
      <c r="AU145" s="1178"/>
      <c r="AV145" s="1179"/>
      <c r="AY145" s="3">
        <v>1</v>
      </c>
    </row>
    <row r="146" spans="2:51" ht="27" customHeight="1">
      <c r="B146" s="104"/>
      <c r="C146" s="1172"/>
      <c r="D146" s="1172"/>
      <c r="E146" s="1172"/>
      <c r="F146" s="1173"/>
      <c r="G146" s="1174"/>
      <c r="H146" s="1175"/>
      <c r="I146" s="1176"/>
      <c r="J146" s="1177"/>
      <c r="K146" s="1547"/>
      <c r="L146" s="1177"/>
      <c r="M146" s="1548"/>
      <c r="N146" s="1549"/>
      <c r="O146" s="1178"/>
      <c r="P146" s="1179"/>
      <c r="Q146" s="1171"/>
      <c r="R146" s="104"/>
      <c r="S146" s="1172"/>
      <c r="T146" s="1172"/>
      <c r="U146" s="1172"/>
      <c r="V146" s="1173"/>
      <c r="W146" s="1174"/>
      <c r="X146" s="1175"/>
      <c r="Y146" s="1176"/>
      <c r="Z146" s="1177"/>
      <c r="AA146" s="1547"/>
      <c r="AB146" s="1177"/>
      <c r="AC146" s="1548"/>
      <c r="AD146" s="1549"/>
      <c r="AE146" s="1178"/>
      <c r="AF146" s="1179"/>
      <c r="AG146" s="1171"/>
      <c r="AH146" s="104"/>
      <c r="AI146" s="1172"/>
      <c r="AJ146" s="1172"/>
      <c r="AK146" s="1172"/>
      <c r="AL146" s="1173"/>
      <c r="AM146" s="1174"/>
      <c r="AN146" s="1175"/>
      <c r="AO146" s="1176"/>
      <c r="AP146" s="1177"/>
      <c r="AQ146" s="1547"/>
      <c r="AR146" s="1177"/>
      <c r="AS146" s="1548"/>
      <c r="AT146" s="1549"/>
      <c r="AU146" s="1178"/>
      <c r="AV146" s="1179"/>
      <c r="AY146" s="3">
        <v>1</v>
      </c>
    </row>
    <row r="147" spans="2:51" ht="27" customHeight="1">
      <c r="B147" s="104"/>
      <c r="C147" s="1172"/>
      <c r="D147" s="1172"/>
      <c r="E147" s="1172"/>
      <c r="F147" s="1173"/>
      <c r="G147" s="1174"/>
      <c r="H147" s="1175"/>
      <c r="I147" s="1176"/>
      <c r="J147" s="1177"/>
      <c r="K147" s="1547"/>
      <c r="L147" s="1177"/>
      <c r="M147" s="1548"/>
      <c r="N147" s="1549"/>
      <c r="O147" s="1178"/>
      <c r="P147" s="1179"/>
      <c r="Q147" s="1171"/>
      <c r="R147" s="104"/>
      <c r="S147" s="1172"/>
      <c r="T147" s="1172"/>
      <c r="U147" s="1172"/>
      <c r="V147" s="1173"/>
      <c r="W147" s="1174"/>
      <c r="X147" s="1175"/>
      <c r="Y147" s="1176"/>
      <c r="Z147" s="1177"/>
      <c r="AA147" s="1547"/>
      <c r="AB147" s="1177"/>
      <c r="AC147" s="1548"/>
      <c r="AD147" s="1549"/>
      <c r="AE147" s="1178"/>
      <c r="AF147" s="1179"/>
      <c r="AG147" s="1171"/>
      <c r="AH147" s="104"/>
      <c r="AI147" s="1172"/>
      <c r="AJ147" s="1172"/>
      <c r="AK147" s="1172"/>
      <c r="AL147" s="1173"/>
      <c r="AM147" s="1174"/>
      <c r="AN147" s="1175"/>
      <c r="AO147" s="1176"/>
      <c r="AP147" s="1177"/>
      <c r="AQ147" s="1547"/>
      <c r="AR147" s="1177"/>
      <c r="AS147" s="1548"/>
      <c r="AT147" s="1549"/>
      <c r="AU147" s="1178"/>
      <c r="AV147" s="1179"/>
      <c r="AY147" s="3">
        <v>1</v>
      </c>
    </row>
    <row r="148" spans="2:51" ht="27" customHeight="1">
      <c r="B148" s="104"/>
      <c r="C148" s="1172"/>
      <c r="D148" s="1172"/>
      <c r="E148" s="1172"/>
      <c r="F148" s="1173"/>
      <c r="G148" s="1174"/>
      <c r="H148" s="1175"/>
      <c r="I148" s="1176"/>
      <c r="J148" s="1177"/>
      <c r="K148" s="1547"/>
      <c r="L148" s="1177"/>
      <c r="M148" s="1548"/>
      <c r="N148" s="1549"/>
      <c r="O148" s="1178"/>
      <c r="P148" s="1179"/>
      <c r="Q148" s="1171"/>
      <c r="R148" s="104"/>
      <c r="S148" s="1172"/>
      <c r="T148" s="1172"/>
      <c r="U148" s="1172"/>
      <c r="V148" s="1173"/>
      <c r="W148" s="1174"/>
      <c r="X148" s="1175"/>
      <c r="Y148" s="1176"/>
      <c r="Z148" s="1177"/>
      <c r="AA148" s="1547"/>
      <c r="AB148" s="1177"/>
      <c r="AC148" s="1548"/>
      <c r="AD148" s="1549"/>
      <c r="AE148" s="1178"/>
      <c r="AF148" s="1179"/>
      <c r="AG148" s="1171"/>
      <c r="AH148" s="104"/>
      <c r="AI148" s="1172"/>
      <c r="AJ148" s="1172"/>
      <c r="AK148" s="1172"/>
      <c r="AL148" s="1173"/>
      <c r="AM148" s="1174"/>
      <c r="AN148" s="1175"/>
      <c r="AO148" s="1176"/>
      <c r="AP148" s="1177"/>
      <c r="AQ148" s="1547"/>
      <c r="AR148" s="1177"/>
      <c r="AS148" s="1548"/>
      <c r="AT148" s="1549"/>
      <c r="AU148" s="1178"/>
      <c r="AV148" s="1179"/>
      <c r="AY148" s="3">
        <v>1</v>
      </c>
    </row>
    <row r="149" spans="2:51" ht="27" customHeight="1">
      <c r="B149" s="104"/>
      <c r="C149" s="1172"/>
      <c r="D149" s="1172"/>
      <c r="E149" s="1172"/>
      <c r="F149" s="1173"/>
      <c r="G149" s="1174"/>
      <c r="H149" s="1175"/>
      <c r="I149" s="1176"/>
      <c r="J149" s="1177"/>
      <c r="K149" s="1547"/>
      <c r="L149" s="1177"/>
      <c r="M149" s="1548"/>
      <c r="N149" s="1549"/>
      <c r="O149" s="1178"/>
      <c r="P149" s="1179"/>
      <c r="Q149" s="1171"/>
      <c r="R149" s="104"/>
      <c r="S149" s="1172"/>
      <c r="T149" s="1172"/>
      <c r="U149" s="1172"/>
      <c r="V149" s="1173"/>
      <c r="W149" s="1174"/>
      <c r="X149" s="1175"/>
      <c r="Y149" s="1176"/>
      <c r="Z149" s="1177"/>
      <c r="AA149" s="1547"/>
      <c r="AB149" s="1177"/>
      <c r="AC149" s="1548"/>
      <c r="AD149" s="1549"/>
      <c r="AE149" s="1178"/>
      <c r="AF149" s="1179"/>
      <c r="AG149" s="1171"/>
      <c r="AH149" s="104"/>
      <c r="AI149" s="1172"/>
      <c r="AJ149" s="1172"/>
      <c r="AK149" s="1172"/>
      <c r="AL149" s="1173"/>
      <c r="AM149" s="1174"/>
      <c r="AN149" s="1175"/>
      <c r="AO149" s="1176"/>
      <c r="AP149" s="1177"/>
      <c r="AQ149" s="1547"/>
      <c r="AR149" s="1177"/>
      <c r="AS149" s="1548"/>
      <c r="AT149" s="1549"/>
      <c r="AU149" s="1178"/>
      <c r="AV149" s="1179"/>
      <c r="AY149" s="3">
        <v>1</v>
      </c>
    </row>
    <row r="150" spans="2:51" ht="27" customHeight="1">
      <c r="B150" s="104"/>
      <c r="C150" s="1172"/>
      <c r="D150" s="1172"/>
      <c r="E150" s="1172"/>
      <c r="F150" s="1173"/>
      <c r="G150" s="1174"/>
      <c r="H150" s="1175"/>
      <c r="I150" s="1176"/>
      <c r="J150" s="1177"/>
      <c r="K150" s="1547"/>
      <c r="L150" s="1177"/>
      <c r="M150" s="1548"/>
      <c r="N150" s="1549"/>
      <c r="O150" s="1178"/>
      <c r="P150" s="1179"/>
      <c r="Q150" s="1171"/>
      <c r="R150" s="104"/>
      <c r="S150" s="1172"/>
      <c r="T150" s="1172"/>
      <c r="U150" s="1172"/>
      <c r="V150" s="1173"/>
      <c r="W150" s="1174"/>
      <c r="X150" s="1175"/>
      <c r="Y150" s="1176"/>
      <c r="Z150" s="1177"/>
      <c r="AA150" s="1547"/>
      <c r="AB150" s="1177"/>
      <c r="AC150" s="1548"/>
      <c r="AD150" s="1549"/>
      <c r="AE150" s="1178"/>
      <c r="AF150" s="1179"/>
      <c r="AG150" s="1171"/>
      <c r="AH150" s="104"/>
      <c r="AI150" s="1172"/>
      <c r="AJ150" s="1172"/>
      <c r="AK150" s="1172"/>
      <c r="AL150" s="1173"/>
      <c r="AM150" s="1174"/>
      <c r="AN150" s="1175"/>
      <c r="AO150" s="1176"/>
      <c r="AP150" s="1177"/>
      <c r="AQ150" s="1547"/>
      <c r="AR150" s="1177"/>
      <c r="AS150" s="1548"/>
      <c r="AT150" s="1549"/>
      <c r="AU150" s="1178"/>
      <c r="AV150" s="1179"/>
      <c r="AY150" s="3">
        <v>1</v>
      </c>
    </row>
    <row r="151" spans="2:51" ht="27" customHeight="1">
      <c r="B151" s="104"/>
      <c r="C151" s="1172"/>
      <c r="D151" s="1172"/>
      <c r="E151" s="1172"/>
      <c r="F151" s="1173"/>
      <c r="G151" s="1174"/>
      <c r="H151" s="1175"/>
      <c r="I151" s="1176"/>
      <c r="J151" s="1177"/>
      <c r="K151" s="1547"/>
      <c r="L151" s="1177"/>
      <c r="M151" s="1548"/>
      <c r="N151" s="1549"/>
      <c r="O151" s="1178"/>
      <c r="P151" s="1179"/>
      <c r="Q151" s="1171"/>
      <c r="R151" s="104"/>
      <c r="S151" s="1172"/>
      <c r="T151" s="1172"/>
      <c r="U151" s="1172"/>
      <c r="V151" s="1173"/>
      <c r="W151" s="1174"/>
      <c r="X151" s="1175"/>
      <c r="Y151" s="1176"/>
      <c r="Z151" s="1177"/>
      <c r="AA151" s="1547"/>
      <c r="AB151" s="1177"/>
      <c r="AC151" s="1548"/>
      <c r="AD151" s="1549"/>
      <c r="AE151" s="1178"/>
      <c r="AF151" s="1179"/>
      <c r="AG151" s="1171"/>
      <c r="AH151" s="104"/>
      <c r="AI151" s="1172"/>
      <c r="AJ151" s="1172"/>
      <c r="AK151" s="1172"/>
      <c r="AL151" s="1173"/>
      <c r="AM151" s="1174"/>
      <c r="AN151" s="1175"/>
      <c r="AO151" s="1176"/>
      <c r="AP151" s="1177"/>
      <c r="AQ151" s="1547"/>
      <c r="AR151" s="1177"/>
      <c r="AS151" s="1548"/>
      <c r="AT151" s="1549"/>
      <c r="AU151" s="1178"/>
      <c r="AV151" s="1179"/>
      <c r="AY151" s="3">
        <v>1</v>
      </c>
    </row>
    <row r="152" spans="2:51" ht="27" customHeight="1">
      <c r="B152" s="104"/>
      <c r="C152" s="1172"/>
      <c r="D152" s="1172"/>
      <c r="E152" s="1172"/>
      <c r="F152" s="1173"/>
      <c r="G152" s="1174"/>
      <c r="H152" s="1175"/>
      <c r="I152" s="1176"/>
      <c r="J152" s="1177"/>
      <c r="K152" s="1547"/>
      <c r="L152" s="1177"/>
      <c r="M152" s="1548"/>
      <c r="N152" s="1549"/>
      <c r="O152" s="1178"/>
      <c r="P152" s="1179"/>
      <c r="Q152" s="1171"/>
      <c r="R152" s="104"/>
      <c r="S152" s="1172"/>
      <c r="T152" s="1172"/>
      <c r="U152" s="1172"/>
      <c r="V152" s="1173"/>
      <c r="W152" s="1174"/>
      <c r="X152" s="1175"/>
      <c r="Y152" s="1176"/>
      <c r="Z152" s="1177"/>
      <c r="AA152" s="1547"/>
      <c r="AB152" s="1177"/>
      <c r="AC152" s="1548"/>
      <c r="AD152" s="1549"/>
      <c r="AE152" s="1178"/>
      <c r="AF152" s="1179"/>
      <c r="AG152" s="1171"/>
      <c r="AH152" s="104"/>
      <c r="AI152" s="1172"/>
      <c r="AJ152" s="1172"/>
      <c r="AK152" s="1172"/>
      <c r="AL152" s="1173"/>
      <c r="AM152" s="1174"/>
      <c r="AN152" s="1175"/>
      <c r="AO152" s="1176"/>
      <c r="AP152" s="1177"/>
      <c r="AQ152" s="1547"/>
      <c r="AR152" s="1177"/>
      <c r="AS152" s="1548"/>
      <c r="AT152" s="1549"/>
      <c r="AU152" s="1178"/>
      <c r="AV152" s="1179"/>
      <c r="AY152" s="3">
        <v>1</v>
      </c>
    </row>
    <row r="153" spans="2:51" ht="27" customHeight="1">
      <c r="B153" s="104"/>
      <c r="C153" s="1172"/>
      <c r="D153" s="1172"/>
      <c r="E153" s="1172"/>
      <c r="F153" s="1173"/>
      <c r="G153" s="1174"/>
      <c r="H153" s="1175"/>
      <c r="I153" s="1176"/>
      <c r="J153" s="1177"/>
      <c r="K153" s="1547"/>
      <c r="L153" s="1177"/>
      <c r="M153" s="1548"/>
      <c r="N153" s="1549"/>
      <c r="O153" s="1178"/>
      <c r="P153" s="1179"/>
      <c r="Q153" s="1171"/>
      <c r="R153" s="104"/>
      <c r="S153" s="1172"/>
      <c r="T153" s="1172"/>
      <c r="U153" s="1172"/>
      <c r="V153" s="1173"/>
      <c r="W153" s="1174"/>
      <c r="X153" s="1175"/>
      <c r="Y153" s="1176"/>
      <c r="Z153" s="1177"/>
      <c r="AA153" s="1547"/>
      <c r="AB153" s="1177"/>
      <c r="AC153" s="1548"/>
      <c r="AD153" s="1549"/>
      <c r="AE153" s="1178"/>
      <c r="AF153" s="1179"/>
      <c r="AG153" s="1171"/>
      <c r="AH153" s="104"/>
      <c r="AI153" s="1172"/>
      <c r="AJ153" s="1172"/>
      <c r="AK153" s="1172"/>
      <c r="AL153" s="1173"/>
      <c r="AM153" s="1174"/>
      <c r="AN153" s="1175"/>
      <c r="AO153" s="1176"/>
      <c r="AP153" s="1177"/>
      <c r="AQ153" s="1547"/>
      <c r="AR153" s="1177"/>
      <c r="AS153" s="1548"/>
      <c r="AT153" s="1549"/>
      <c r="AU153" s="1178"/>
      <c r="AV153" s="1179"/>
      <c r="AY153" s="3">
        <v>1</v>
      </c>
    </row>
    <row r="154" spans="2:51" ht="27" customHeight="1">
      <c r="B154" s="104"/>
      <c r="C154" s="1172"/>
      <c r="D154" s="1172"/>
      <c r="E154" s="1172"/>
      <c r="F154" s="1173"/>
      <c r="G154" s="1174"/>
      <c r="H154" s="1175"/>
      <c r="I154" s="1176"/>
      <c r="J154" s="1177"/>
      <c r="K154" s="1547"/>
      <c r="L154" s="1177"/>
      <c r="M154" s="1548"/>
      <c r="N154" s="1549"/>
      <c r="O154" s="1178"/>
      <c r="P154" s="1179"/>
      <c r="Q154" s="1171"/>
      <c r="R154" s="104"/>
      <c r="S154" s="1172"/>
      <c r="T154" s="1172"/>
      <c r="U154" s="1172"/>
      <c r="V154" s="1173"/>
      <c r="W154" s="1174"/>
      <c r="X154" s="1175"/>
      <c r="Y154" s="1176"/>
      <c r="Z154" s="1177"/>
      <c r="AA154" s="1547"/>
      <c r="AB154" s="1177"/>
      <c r="AC154" s="1548"/>
      <c r="AD154" s="1549"/>
      <c r="AE154" s="1178"/>
      <c r="AF154" s="1179"/>
      <c r="AG154" s="1171"/>
      <c r="AH154" s="104"/>
      <c r="AI154" s="1172"/>
      <c r="AJ154" s="1172"/>
      <c r="AK154" s="1172"/>
      <c r="AL154" s="1173"/>
      <c r="AM154" s="1174"/>
      <c r="AN154" s="1175"/>
      <c r="AO154" s="1176"/>
      <c r="AP154" s="1177"/>
      <c r="AQ154" s="1547"/>
      <c r="AR154" s="1177"/>
      <c r="AS154" s="1548"/>
      <c r="AT154" s="1549"/>
      <c r="AU154" s="1178"/>
      <c r="AV154" s="1179"/>
      <c r="AY154" s="3">
        <v>1</v>
      </c>
    </row>
    <row r="155" spans="2:51" ht="27" customHeight="1">
      <c r="B155" s="104"/>
      <c r="C155" s="1172"/>
      <c r="D155" s="1172"/>
      <c r="E155" s="1172"/>
      <c r="F155" s="1173"/>
      <c r="G155" s="1174"/>
      <c r="H155" s="1175"/>
      <c r="I155" s="1176"/>
      <c r="J155" s="1177"/>
      <c r="K155" s="1547"/>
      <c r="L155" s="1177"/>
      <c r="M155" s="1548"/>
      <c r="N155" s="1549"/>
      <c r="O155" s="1178"/>
      <c r="P155" s="1179"/>
      <c r="Q155" s="1171"/>
      <c r="R155" s="104"/>
      <c r="S155" s="1172"/>
      <c r="T155" s="1172"/>
      <c r="U155" s="1172"/>
      <c r="V155" s="1173"/>
      <c r="W155" s="1174"/>
      <c r="X155" s="1175"/>
      <c r="Y155" s="1176"/>
      <c r="Z155" s="1177"/>
      <c r="AA155" s="1547"/>
      <c r="AB155" s="1177"/>
      <c r="AC155" s="1548"/>
      <c r="AD155" s="1549"/>
      <c r="AE155" s="1178"/>
      <c r="AF155" s="1179"/>
      <c r="AG155" s="1171"/>
      <c r="AH155" s="104"/>
      <c r="AI155" s="1172"/>
      <c r="AJ155" s="1172"/>
      <c r="AK155" s="1172"/>
      <c r="AL155" s="1173"/>
      <c r="AM155" s="1174"/>
      <c r="AN155" s="1175"/>
      <c r="AO155" s="1176"/>
      <c r="AP155" s="1177"/>
      <c r="AQ155" s="1547"/>
      <c r="AR155" s="1177"/>
      <c r="AS155" s="1548"/>
      <c r="AT155" s="1549"/>
      <c r="AU155" s="1178"/>
      <c r="AV155" s="1179"/>
      <c r="AY155" s="3">
        <v>1</v>
      </c>
    </row>
    <row r="156" spans="2:51" ht="27" customHeight="1">
      <c r="B156" s="104"/>
      <c r="C156" s="1172"/>
      <c r="D156" s="1172"/>
      <c r="E156" s="1172"/>
      <c r="F156" s="1173"/>
      <c r="G156" s="1174"/>
      <c r="H156" s="1175"/>
      <c r="I156" s="1176"/>
      <c r="J156" s="1177"/>
      <c r="K156" s="1547"/>
      <c r="L156" s="1177"/>
      <c r="M156" s="1548"/>
      <c r="N156" s="1549"/>
      <c r="O156" s="1178"/>
      <c r="P156" s="1179"/>
      <c r="Q156" s="1171"/>
      <c r="R156" s="104"/>
      <c r="S156" s="1172"/>
      <c r="T156" s="1172"/>
      <c r="U156" s="1172"/>
      <c r="V156" s="1173"/>
      <c r="W156" s="1174"/>
      <c r="X156" s="1175"/>
      <c r="Y156" s="1176"/>
      <c r="Z156" s="1177"/>
      <c r="AA156" s="1547"/>
      <c r="AB156" s="1177"/>
      <c r="AC156" s="1548"/>
      <c r="AD156" s="1549"/>
      <c r="AE156" s="1178"/>
      <c r="AF156" s="1179"/>
      <c r="AG156" s="1171"/>
      <c r="AH156" s="104"/>
      <c r="AI156" s="1172"/>
      <c r="AJ156" s="1172"/>
      <c r="AK156" s="1172"/>
      <c r="AL156" s="1173"/>
      <c r="AM156" s="1174"/>
      <c r="AN156" s="1175"/>
      <c r="AO156" s="1176"/>
      <c r="AP156" s="1177"/>
      <c r="AQ156" s="1547"/>
      <c r="AR156" s="1177"/>
      <c r="AS156" s="1548"/>
      <c r="AT156" s="1549"/>
      <c r="AU156" s="1178"/>
      <c r="AV156" s="1179"/>
      <c r="AY156" s="3">
        <v>1</v>
      </c>
    </row>
    <row r="157" spans="2:51" ht="27" customHeight="1">
      <c r="B157" s="104"/>
      <c r="C157" s="1172"/>
      <c r="D157" s="1172"/>
      <c r="E157" s="1172"/>
      <c r="F157" s="1173"/>
      <c r="G157" s="1174"/>
      <c r="H157" s="1175"/>
      <c r="I157" s="1176"/>
      <c r="J157" s="1177"/>
      <c r="K157" s="1547"/>
      <c r="L157" s="1177"/>
      <c r="M157" s="1548"/>
      <c r="N157" s="1549"/>
      <c r="O157" s="1178"/>
      <c r="P157" s="1179"/>
      <c r="Q157" s="1171"/>
      <c r="R157" s="104"/>
      <c r="S157" s="1172"/>
      <c r="T157" s="1172"/>
      <c r="U157" s="1172"/>
      <c r="V157" s="1173"/>
      <c r="W157" s="1174"/>
      <c r="X157" s="1175"/>
      <c r="Y157" s="1176"/>
      <c r="Z157" s="1177"/>
      <c r="AA157" s="1547"/>
      <c r="AB157" s="1177"/>
      <c r="AC157" s="1548"/>
      <c r="AD157" s="1549"/>
      <c r="AE157" s="1178"/>
      <c r="AF157" s="1179"/>
      <c r="AG157" s="1171"/>
      <c r="AH157" s="104"/>
      <c r="AI157" s="1172"/>
      <c r="AJ157" s="1172"/>
      <c r="AK157" s="1172"/>
      <c r="AL157" s="1173"/>
      <c r="AM157" s="1174"/>
      <c r="AN157" s="1175"/>
      <c r="AO157" s="1176"/>
      <c r="AP157" s="1177"/>
      <c r="AQ157" s="1547"/>
      <c r="AR157" s="1177"/>
      <c r="AS157" s="1548"/>
      <c r="AT157" s="1549"/>
      <c r="AU157" s="1178"/>
      <c r="AV157" s="1179"/>
      <c r="AY157" s="3">
        <v>1</v>
      </c>
    </row>
    <row r="158" spans="2:51" ht="27" customHeight="1">
      <c r="B158" s="104"/>
      <c r="C158" s="1172"/>
      <c r="D158" s="1172"/>
      <c r="E158" s="1172"/>
      <c r="F158" s="1173"/>
      <c r="G158" s="1174"/>
      <c r="H158" s="1175"/>
      <c r="I158" s="1176"/>
      <c r="J158" s="1177"/>
      <c r="K158" s="1547"/>
      <c r="L158" s="1177"/>
      <c r="M158" s="1548"/>
      <c r="N158" s="1549"/>
      <c r="O158" s="1178"/>
      <c r="P158" s="1179"/>
      <c r="Q158" s="1171"/>
      <c r="R158" s="104"/>
      <c r="S158" s="1172"/>
      <c r="T158" s="1172"/>
      <c r="U158" s="1172"/>
      <c r="V158" s="1173"/>
      <c r="W158" s="1174"/>
      <c r="X158" s="1175"/>
      <c r="Y158" s="1176"/>
      <c r="Z158" s="1177"/>
      <c r="AA158" s="1547"/>
      <c r="AB158" s="1177"/>
      <c r="AC158" s="1548"/>
      <c r="AD158" s="1549"/>
      <c r="AE158" s="1178"/>
      <c r="AF158" s="1179"/>
      <c r="AG158" s="1171"/>
      <c r="AH158" s="104"/>
      <c r="AI158" s="1172"/>
      <c r="AJ158" s="1172"/>
      <c r="AK158" s="1172"/>
      <c r="AL158" s="1173"/>
      <c r="AM158" s="1174"/>
      <c r="AN158" s="1175"/>
      <c r="AO158" s="1176"/>
      <c r="AP158" s="1177"/>
      <c r="AQ158" s="1547"/>
      <c r="AR158" s="1177"/>
      <c r="AS158" s="1548"/>
      <c r="AT158" s="1549"/>
      <c r="AU158" s="1178"/>
      <c r="AV158" s="1179"/>
      <c r="AY158" s="3">
        <v>1</v>
      </c>
    </row>
    <row r="159" spans="2:51" ht="27" customHeight="1">
      <c r="B159" s="104"/>
      <c r="C159" s="1172"/>
      <c r="D159" s="1172"/>
      <c r="E159" s="1172"/>
      <c r="F159" s="1173"/>
      <c r="G159" s="1174"/>
      <c r="H159" s="1175"/>
      <c r="I159" s="1176"/>
      <c r="J159" s="1177"/>
      <c r="K159" s="1547"/>
      <c r="L159" s="1177"/>
      <c r="M159" s="1548"/>
      <c r="N159" s="1549"/>
      <c r="O159" s="1178"/>
      <c r="P159" s="1179"/>
      <c r="Q159" s="1171"/>
      <c r="R159" s="104"/>
      <c r="S159" s="1172"/>
      <c r="T159" s="1172"/>
      <c r="U159" s="1172"/>
      <c r="V159" s="1173"/>
      <c r="W159" s="1174"/>
      <c r="X159" s="1175"/>
      <c r="Y159" s="1176"/>
      <c r="Z159" s="1177"/>
      <c r="AA159" s="1547"/>
      <c r="AB159" s="1177"/>
      <c r="AC159" s="1548"/>
      <c r="AD159" s="1549"/>
      <c r="AE159" s="1178"/>
      <c r="AF159" s="1179"/>
      <c r="AG159" s="1171"/>
      <c r="AH159" s="104"/>
      <c r="AI159" s="1172"/>
      <c r="AJ159" s="1172"/>
      <c r="AK159" s="1172"/>
      <c r="AL159" s="1173"/>
      <c r="AM159" s="1174"/>
      <c r="AN159" s="1175"/>
      <c r="AO159" s="1176"/>
      <c r="AP159" s="1177"/>
      <c r="AQ159" s="1547"/>
      <c r="AR159" s="1177"/>
      <c r="AS159" s="1548"/>
      <c r="AT159" s="1549"/>
      <c r="AU159" s="1178"/>
      <c r="AV159" s="1179"/>
      <c r="AY159" s="3">
        <v>1</v>
      </c>
    </row>
    <row r="160" spans="2:51" ht="27" customHeight="1">
      <c r="B160" s="104"/>
      <c r="C160" s="1172"/>
      <c r="D160" s="1172"/>
      <c r="E160" s="1172"/>
      <c r="F160" s="1173"/>
      <c r="G160" s="1174"/>
      <c r="H160" s="1175"/>
      <c r="I160" s="1176"/>
      <c r="J160" s="1177"/>
      <c r="K160" s="1547"/>
      <c r="L160" s="1177"/>
      <c r="M160" s="1548"/>
      <c r="N160" s="1549"/>
      <c r="O160" s="1178"/>
      <c r="P160" s="1179"/>
      <c r="Q160" s="1171"/>
      <c r="R160" s="104"/>
      <c r="S160" s="1172"/>
      <c r="T160" s="1172"/>
      <c r="U160" s="1172"/>
      <c r="V160" s="1173"/>
      <c r="W160" s="1174"/>
      <c r="X160" s="1175"/>
      <c r="Y160" s="1176"/>
      <c r="Z160" s="1177"/>
      <c r="AA160" s="1547"/>
      <c r="AB160" s="1177"/>
      <c r="AC160" s="1548"/>
      <c r="AD160" s="1549"/>
      <c r="AE160" s="1178"/>
      <c r="AF160" s="1179"/>
      <c r="AG160" s="1171"/>
      <c r="AH160" s="104"/>
      <c r="AI160" s="1172"/>
      <c r="AJ160" s="1172"/>
      <c r="AK160" s="1172"/>
      <c r="AL160" s="1173"/>
      <c r="AM160" s="1174"/>
      <c r="AN160" s="1175"/>
      <c r="AO160" s="1176"/>
      <c r="AP160" s="1177"/>
      <c r="AQ160" s="1547"/>
      <c r="AR160" s="1177"/>
      <c r="AS160" s="1548"/>
      <c r="AT160" s="1549"/>
      <c r="AU160" s="1178"/>
      <c r="AV160" s="1179"/>
      <c r="AY160" s="3">
        <v>1</v>
      </c>
    </row>
    <row r="161" spans="2:51" ht="27" customHeight="1">
      <c r="B161" s="104"/>
      <c r="C161" s="1172"/>
      <c r="D161" s="1172"/>
      <c r="E161" s="1172"/>
      <c r="F161" s="1173"/>
      <c r="G161" s="1174"/>
      <c r="H161" s="1175"/>
      <c r="I161" s="1176"/>
      <c r="J161" s="1177"/>
      <c r="K161" s="1547"/>
      <c r="L161" s="1177"/>
      <c r="M161" s="1548"/>
      <c r="N161" s="1549"/>
      <c r="O161" s="1178"/>
      <c r="P161" s="1179"/>
      <c r="Q161" s="1171"/>
      <c r="R161" s="104"/>
      <c r="S161" s="1172"/>
      <c r="T161" s="1172"/>
      <c r="U161" s="1172"/>
      <c r="V161" s="1173"/>
      <c r="W161" s="1174"/>
      <c r="X161" s="1175"/>
      <c r="Y161" s="1176"/>
      <c r="Z161" s="1177"/>
      <c r="AA161" s="1547"/>
      <c r="AB161" s="1177"/>
      <c r="AC161" s="1548"/>
      <c r="AD161" s="1549"/>
      <c r="AE161" s="1178"/>
      <c r="AF161" s="1179"/>
      <c r="AG161" s="1171"/>
      <c r="AH161" s="104"/>
      <c r="AI161" s="1172"/>
      <c r="AJ161" s="1172"/>
      <c r="AK161" s="1172"/>
      <c r="AL161" s="1173"/>
      <c r="AM161" s="1174"/>
      <c r="AN161" s="1175"/>
      <c r="AO161" s="1176"/>
      <c r="AP161" s="1177"/>
      <c r="AQ161" s="1547"/>
      <c r="AR161" s="1177"/>
      <c r="AS161" s="1548"/>
      <c r="AT161" s="1549"/>
      <c r="AU161" s="1178"/>
      <c r="AV161" s="1179"/>
      <c r="AY161" s="3">
        <v>1</v>
      </c>
    </row>
    <row r="162" spans="2:51" ht="27" customHeight="1">
      <c r="B162" s="104"/>
      <c r="C162" s="1172"/>
      <c r="D162" s="1172"/>
      <c r="E162" s="1172"/>
      <c r="F162" s="1173"/>
      <c r="G162" s="1174"/>
      <c r="H162" s="1175"/>
      <c r="I162" s="1176"/>
      <c r="J162" s="1177"/>
      <c r="K162" s="1547"/>
      <c r="L162" s="1177"/>
      <c r="M162" s="1548"/>
      <c r="N162" s="1549"/>
      <c r="O162" s="1178"/>
      <c r="P162" s="1179"/>
      <c r="Q162" s="1171"/>
      <c r="R162" s="104"/>
      <c r="S162" s="1172"/>
      <c r="T162" s="1172"/>
      <c r="U162" s="1172"/>
      <c r="V162" s="1173"/>
      <c r="W162" s="1174"/>
      <c r="X162" s="1175"/>
      <c r="Y162" s="1176"/>
      <c r="Z162" s="1177"/>
      <c r="AA162" s="1547"/>
      <c r="AB162" s="1177"/>
      <c r="AC162" s="1548"/>
      <c r="AD162" s="1549"/>
      <c r="AE162" s="1178"/>
      <c r="AF162" s="1179"/>
      <c r="AG162" s="1171"/>
      <c r="AH162" s="104"/>
      <c r="AI162" s="1172"/>
      <c r="AJ162" s="1172"/>
      <c r="AK162" s="1172"/>
      <c r="AL162" s="1173"/>
      <c r="AM162" s="1174"/>
      <c r="AN162" s="1175"/>
      <c r="AO162" s="1176"/>
      <c r="AP162" s="1177"/>
      <c r="AQ162" s="1547"/>
      <c r="AR162" s="1177"/>
      <c r="AS162" s="1548"/>
      <c r="AT162" s="1549"/>
      <c r="AU162" s="1178"/>
      <c r="AV162" s="1179"/>
      <c r="AY162" s="3">
        <v>1</v>
      </c>
    </row>
    <row r="163" spans="2:51" ht="27" customHeight="1">
      <c r="B163" s="104"/>
      <c r="C163" s="1172"/>
      <c r="D163" s="1172"/>
      <c r="E163" s="1172"/>
      <c r="F163" s="1173"/>
      <c r="G163" s="1174"/>
      <c r="H163" s="1175"/>
      <c r="I163" s="1176"/>
      <c r="J163" s="1177"/>
      <c r="K163" s="1547"/>
      <c r="L163" s="1177"/>
      <c r="M163" s="1548"/>
      <c r="N163" s="1549"/>
      <c r="O163" s="1178"/>
      <c r="P163" s="1179"/>
      <c r="Q163" s="1171"/>
      <c r="R163" s="104"/>
      <c r="S163" s="1172"/>
      <c r="T163" s="1172"/>
      <c r="U163" s="1172"/>
      <c r="V163" s="1173"/>
      <c r="W163" s="1174"/>
      <c r="X163" s="1175"/>
      <c r="Y163" s="1176"/>
      <c r="Z163" s="1177"/>
      <c r="AA163" s="1547"/>
      <c r="AB163" s="1177"/>
      <c r="AC163" s="1548"/>
      <c r="AD163" s="1549"/>
      <c r="AE163" s="1178"/>
      <c r="AF163" s="1179"/>
      <c r="AG163" s="1171"/>
      <c r="AH163" s="104"/>
      <c r="AI163" s="1172"/>
      <c r="AJ163" s="1172"/>
      <c r="AK163" s="1172"/>
      <c r="AL163" s="1173"/>
      <c r="AM163" s="1174"/>
      <c r="AN163" s="1175"/>
      <c r="AO163" s="1176"/>
      <c r="AP163" s="1177"/>
      <c r="AQ163" s="1547"/>
      <c r="AR163" s="1177"/>
      <c r="AS163" s="1548"/>
      <c r="AT163" s="1549"/>
      <c r="AU163" s="1178"/>
      <c r="AV163" s="1179"/>
      <c r="AY163" s="3">
        <v>1</v>
      </c>
    </row>
    <row r="164" spans="2:51" ht="27" customHeight="1">
      <c r="B164" s="104"/>
      <c r="C164" s="1172"/>
      <c r="D164" s="1172"/>
      <c r="E164" s="1172"/>
      <c r="F164" s="1173"/>
      <c r="G164" s="1174"/>
      <c r="H164" s="1175"/>
      <c r="I164" s="1176"/>
      <c r="J164" s="1177"/>
      <c r="K164" s="1547"/>
      <c r="L164" s="1177"/>
      <c r="M164" s="1548"/>
      <c r="N164" s="1549"/>
      <c r="O164" s="1178"/>
      <c r="P164" s="1179"/>
      <c r="Q164" s="1171"/>
      <c r="R164" s="104"/>
      <c r="S164" s="1172"/>
      <c r="T164" s="1172"/>
      <c r="U164" s="1172"/>
      <c r="V164" s="1173"/>
      <c r="W164" s="1174"/>
      <c r="X164" s="1175"/>
      <c r="Y164" s="1176"/>
      <c r="Z164" s="1177"/>
      <c r="AA164" s="1547"/>
      <c r="AB164" s="1177"/>
      <c r="AC164" s="1548"/>
      <c r="AD164" s="1549"/>
      <c r="AE164" s="1178"/>
      <c r="AF164" s="1179"/>
      <c r="AG164" s="1171"/>
      <c r="AH164" s="104"/>
      <c r="AI164" s="1172"/>
      <c r="AJ164" s="1172"/>
      <c r="AK164" s="1172"/>
      <c r="AL164" s="1173"/>
      <c r="AM164" s="1174"/>
      <c r="AN164" s="1175"/>
      <c r="AO164" s="1176"/>
      <c r="AP164" s="1177"/>
      <c r="AQ164" s="1547"/>
      <c r="AR164" s="1177"/>
      <c r="AS164" s="1548"/>
      <c r="AT164" s="1549"/>
      <c r="AU164" s="1178"/>
      <c r="AV164" s="1179"/>
      <c r="AY164" s="3">
        <v>1</v>
      </c>
    </row>
    <row r="165" spans="2:51" ht="27" customHeight="1">
      <c r="B165" s="104"/>
      <c r="C165" s="1172"/>
      <c r="D165" s="1172"/>
      <c r="E165" s="1172"/>
      <c r="F165" s="1173"/>
      <c r="G165" s="1174"/>
      <c r="H165" s="1175"/>
      <c r="I165" s="1176"/>
      <c r="J165" s="1177"/>
      <c r="K165" s="1547"/>
      <c r="L165" s="1177"/>
      <c r="M165" s="1548"/>
      <c r="N165" s="1549"/>
      <c r="O165" s="1178"/>
      <c r="P165" s="1179"/>
      <c r="Q165" s="1171"/>
      <c r="R165" s="104"/>
      <c r="S165" s="1172"/>
      <c r="T165" s="1172"/>
      <c r="U165" s="1172"/>
      <c r="V165" s="1173"/>
      <c r="W165" s="1174"/>
      <c r="X165" s="1175"/>
      <c r="Y165" s="1176"/>
      <c r="Z165" s="1177"/>
      <c r="AA165" s="1547"/>
      <c r="AB165" s="1177"/>
      <c r="AC165" s="1548"/>
      <c r="AD165" s="1549"/>
      <c r="AE165" s="1178"/>
      <c r="AF165" s="1179"/>
      <c r="AG165" s="1171"/>
      <c r="AH165" s="104"/>
      <c r="AI165" s="1172"/>
      <c r="AJ165" s="1172"/>
      <c r="AK165" s="1172"/>
      <c r="AL165" s="1173"/>
      <c r="AM165" s="1174"/>
      <c r="AN165" s="1175"/>
      <c r="AO165" s="1176"/>
      <c r="AP165" s="1177"/>
      <c r="AQ165" s="1547"/>
      <c r="AR165" s="1177"/>
      <c r="AS165" s="1548"/>
      <c r="AT165" s="1549"/>
      <c r="AU165" s="1178"/>
      <c r="AV165" s="1179"/>
      <c r="AY165" s="3">
        <v>1</v>
      </c>
    </row>
    <row r="166" spans="2:51" ht="27" customHeight="1">
      <c r="B166" s="104"/>
      <c r="C166" s="1172"/>
      <c r="D166" s="1172"/>
      <c r="E166" s="1172"/>
      <c r="F166" s="1173"/>
      <c r="G166" s="1174"/>
      <c r="H166" s="1175"/>
      <c r="I166" s="1176"/>
      <c r="J166" s="1177"/>
      <c r="K166" s="1547"/>
      <c r="L166" s="1177"/>
      <c r="M166" s="1548"/>
      <c r="N166" s="1549"/>
      <c r="O166" s="1178"/>
      <c r="P166" s="1179"/>
      <c r="Q166" s="1171"/>
      <c r="R166" s="104"/>
      <c r="S166" s="1172"/>
      <c r="T166" s="1172"/>
      <c r="U166" s="1172"/>
      <c r="V166" s="1173"/>
      <c r="W166" s="1174"/>
      <c r="X166" s="1175"/>
      <c r="Y166" s="1176"/>
      <c r="Z166" s="1177"/>
      <c r="AA166" s="1547"/>
      <c r="AB166" s="1177"/>
      <c r="AC166" s="1548"/>
      <c r="AD166" s="1549"/>
      <c r="AE166" s="1178"/>
      <c r="AF166" s="1179"/>
      <c r="AG166" s="1171"/>
      <c r="AH166" s="104"/>
      <c r="AI166" s="1172"/>
      <c r="AJ166" s="1172"/>
      <c r="AK166" s="1172"/>
      <c r="AL166" s="1173"/>
      <c r="AM166" s="1174"/>
      <c r="AN166" s="1175"/>
      <c r="AO166" s="1176"/>
      <c r="AP166" s="1177"/>
      <c r="AQ166" s="1547"/>
      <c r="AR166" s="1177"/>
      <c r="AS166" s="1548"/>
      <c r="AT166" s="1549"/>
      <c r="AU166" s="1178"/>
      <c r="AV166" s="1179"/>
      <c r="AY166" s="3">
        <v>1</v>
      </c>
    </row>
    <row r="167" spans="2:51" ht="27" customHeight="1">
      <c r="B167" s="104"/>
      <c r="C167" s="1172"/>
      <c r="D167" s="1172"/>
      <c r="E167" s="1172"/>
      <c r="F167" s="1173"/>
      <c r="G167" s="1174"/>
      <c r="H167" s="1175"/>
      <c r="I167" s="1176"/>
      <c r="J167" s="1177"/>
      <c r="K167" s="1547"/>
      <c r="L167" s="1177"/>
      <c r="M167" s="1548"/>
      <c r="N167" s="1549"/>
      <c r="O167" s="1178"/>
      <c r="P167" s="1179"/>
      <c r="Q167" s="1171"/>
      <c r="R167" s="104"/>
      <c r="S167" s="1172"/>
      <c r="T167" s="1172"/>
      <c r="U167" s="1172"/>
      <c r="V167" s="1173"/>
      <c r="W167" s="1174"/>
      <c r="X167" s="1175"/>
      <c r="Y167" s="1176"/>
      <c r="Z167" s="1177"/>
      <c r="AA167" s="1547"/>
      <c r="AB167" s="1177"/>
      <c r="AC167" s="1548"/>
      <c r="AD167" s="1549"/>
      <c r="AE167" s="1178"/>
      <c r="AF167" s="1179"/>
      <c r="AG167" s="1171"/>
      <c r="AH167" s="104"/>
      <c r="AI167" s="1172"/>
      <c r="AJ167" s="1172"/>
      <c r="AK167" s="1172"/>
      <c r="AL167" s="1173"/>
      <c r="AM167" s="1174"/>
      <c r="AN167" s="1175"/>
      <c r="AO167" s="1176"/>
      <c r="AP167" s="1177"/>
      <c r="AQ167" s="1547"/>
      <c r="AR167" s="1177"/>
      <c r="AS167" s="1548"/>
      <c r="AT167" s="1549"/>
      <c r="AU167" s="1178"/>
      <c r="AV167" s="1179"/>
      <c r="AY167" s="3">
        <v>1</v>
      </c>
    </row>
    <row r="168" spans="2:51" ht="27" customHeight="1">
      <c r="B168" s="104"/>
      <c r="C168" s="1172"/>
      <c r="D168" s="1172"/>
      <c r="E168" s="1172"/>
      <c r="F168" s="1173"/>
      <c r="G168" s="1174"/>
      <c r="H168" s="1175"/>
      <c r="I168" s="1176"/>
      <c r="J168" s="1177"/>
      <c r="K168" s="1547"/>
      <c r="L168" s="1177"/>
      <c r="M168" s="1548"/>
      <c r="N168" s="1549"/>
      <c r="O168" s="1178"/>
      <c r="P168" s="1179"/>
      <c r="Q168" s="1171"/>
      <c r="R168" s="104"/>
      <c r="S168" s="1172"/>
      <c r="T168" s="1172"/>
      <c r="U168" s="1172"/>
      <c r="V168" s="1173"/>
      <c r="W168" s="1174"/>
      <c r="X168" s="1175"/>
      <c r="Y168" s="1176"/>
      <c r="Z168" s="1177"/>
      <c r="AA168" s="1547"/>
      <c r="AB168" s="1177"/>
      <c r="AC168" s="1548"/>
      <c r="AD168" s="1549"/>
      <c r="AE168" s="1178"/>
      <c r="AF168" s="1179"/>
      <c r="AG168" s="1171"/>
      <c r="AH168" s="104"/>
      <c r="AI168" s="1172"/>
      <c r="AJ168" s="1172"/>
      <c r="AK168" s="1172"/>
      <c r="AL168" s="1173"/>
      <c r="AM168" s="1174"/>
      <c r="AN168" s="1175"/>
      <c r="AO168" s="1176"/>
      <c r="AP168" s="1177"/>
      <c r="AQ168" s="1547"/>
      <c r="AR168" s="1177"/>
      <c r="AS168" s="1548"/>
      <c r="AT168" s="1549"/>
      <c r="AU168" s="1178"/>
      <c r="AV168" s="1179"/>
      <c r="AY168" s="3">
        <v>1</v>
      </c>
    </row>
    <row r="169" spans="2:51" ht="27" customHeight="1">
      <c r="B169" s="104"/>
      <c r="C169" s="1172"/>
      <c r="D169" s="1172"/>
      <c r="E169" s="1172"/>
      <c r="F169" s="1173"/>
      <c r="G169" s="1174"/>
      <c r="H169" s="1175"/>
      <c r="I169" s="1176"/>
      <c r="J169" s="1177"/>
      <c r="K169" s="1547"/>
      <c r="L169" s="1177"/>
      <c r="M169" s="1548"/>
      <c r="N169" s="1549"/>
      <c r="O169" s="1178"/>
      <c r="P169" s="1179"/>
      <c r="Q169" s="1171"/>
      <c r="R169" s="104"/>
      <c r="S169" s="1172"/>
      <c r="T169" s="1172"/>
      <c r="U169" s="1172"/>
      <c r="V169" s="1173"/>
      <c r="W169" s="1174"/>
      <c r="X169" s="1175"/>
      <c r="Y169" s="1176"/>
      <c r="Z169" s="1177"/>
      <c r="AA169" s="1547"/>
      <c r="AB169" s="1177"/>
      <c r="AC169" s="1548"/>
      <c r="AD169" s="1549"/>
      <c r="AE169" s="1178"/>
      <c r="AF169" s="1179"/>
      <c r="AG169" s="1171"/>
      <c r="AH169" s="104"/>
      <c r="AI169" s="1172"/>
      <c r="AJ169" s="1172"/>
      <c r="AK169" s="1172"/>
      <c r="AL169" s="1173"/>
      <c r="AM169" s="1174"/>
      <c r="AN169" s="1175"/>
      <c r="AO169" s="1176"/>
      <c r="AP169" s="1177"/>
      <c r="AQ169" s="1547"/>
      <c r="AR169" s="1177"/>
      <c r="AS169" s="1548"/>
      <c r="AT169" s="1549"/>
      <c r="AU169" s="1178"/>
      <c r="AV169" s="1179"/>
      <c r="AY169" s="3">
        <v>1</v>
      </c>
    </row>
    <row r="170" spans="2:51" ht="27" customHeight="1">
      <c r="B170" s="104"/>
      <c r="C170" s="1172"/>
      <c r="D170" s="1172"/>
      <c r="E170" s="1172"/>
      <c r="F170" s="1173"/>
      <c r="G170" s="1174"/>
      <c r="H170" s="1175"/>
      <c r="I170" s="1176"/>
      <c r="J170" s="1177"/>
      <c r="K170" s="1547"/>
      <c r="L170" s="1177"/>
      <c r="M170" s="1548"/>
      <c r="N170" s="1549"/>
      <c r="O170" s="1178"/>
      <c r="P170" s="1179"/>
      <c r="Q170" s="1171"/>
      <c r="R170" s="104"/>
      <c r="S170" s="1172"/>
      <c r="T170" s="1172"/>
      <c r="U170" s="1172"/>
      <c r="V170" s="1173"/>
      <c r="W170" s="1174"/>
      <c r="X170" s="1175"/>
      <c r="Y170" s="1176"/>
      <c r="Z170" s="1177"/>
      <c r="AA170" s="1547"/>
      <c r="AB170" s="1177"/>
      <c r="AC170" s="1548"/>
      <c r="AD170" s="1549"/>
      <c r="AE170" s="1178"/>
      <c r="AF170" s="1179"/>
      <c r="AG170" s="1171"/>
      <c r="AH170" s="104"/>
      <c r="AI170" s="1172"/>
      <c r="AJ170" s="1172"/>
      <c r="AK170" s="1172"/>
      <c r="AL170" s="1173"/>
      <c r="AM170" s="1174"/>
      <c r="AN170" s="1175"/>
      <c r="AO170" s="1176"/>
      <c r="AP170" s="1177"/>
      <c r="AQ170" s="1547"/>
      <c r="AR170" s="1177"/>
      <c r="AS170" s="1548"/>
      <c r="AT170" s="1549"/>
      <c r="AU170" s="1178"/>
      <c r="AV170" s="1179"/>
      <c r="AY170" s="3">
        <v>1</v>
      </c>
    </row>
    <row r="171" spans="2:51" ht="27" customHeight="1">
      <c r="B171" s="104"/>
      <c r="C171" s="1172"/>
      <c r="D171" s="1172"/>
      <c r="E171" s="1172"/>
      <c r="F171" s="1173"/>
      <c r="G171" s="1174"/>
      <c r="H171" s="1175"/>
      <c r="I171" s="1176"/>
      <c r="J171" s="1177"/>
      <c r="K171" s="1547"/>
      <c r="L171" s="1177"/>
      <c r="M171" s="1548"/>
      <c r="N171" s="1549"/>
      <c r="O171" s="1178"/>
      <c r="P171" s="1179"/>
      <c r="Q171" s="1171"/>
      <c r="R171" s="104"/>
      <c r="S171" s="1172"/>
      <c r="T171" s="1172"/>
      <c r="U171" s="1172"/>
      <c r="V171" s="1173"/>
      <c r="W171" s="1174"/>
      <c r="X171" s="1175"/>
      <c r="Y171" s="1176"/>
      <c r="Z171" s="1177"/>
      <c r="AA171" s="1547"/>
      <c r="AB171" s="1177"/>
      <c r="AC171" s="1548"/>
      <c r="AD171" s="1549"/>
      <c r="AE171" s="1178"/>
      <c r="AF171" s="1179"/>
      <c r="AG171" s="1171"/>
      <c r="AH171" s="104"/>
      <c r="AI171" s="1172"/>
      <c r="AJ171" s="1172"/>
      <c r="AK171" s="1172"/>
      <c r="AL171" s="1173"/>
      <c r="AM171" s="1174"/>
      <c r="AN171" s="1175"/>
      <c r="AO171" s="1176"/>
      <c r="AP171" s="1177"/>
      <c r="AQ171" s="1547"/>
      <c r="AR171" s="1177"/>
      <c r="AS171" s="1548"/>
      <c r="AT171" s="1549"/>
      <c r="AU171" s="1178"/>
      <c r="AV171" s="1179"/>
      <c r="AY171" s="3">
        <v>1</v>
      </c>
    </row>
    <row r="172" spans="2:51" ht="27" customHeight="1">
      <c r="B172" s="104"/>
      <c r="C172" s="1172"/>
      <c r="D172" s="1172"/>
      <c r="E172" s="1172"/>
      <c r="F172" s="1173"/>
      <c r="G172" s="1174"/>
      <c r="H172" s="1175"/>
      <c r="I172" s="1176"/>
      <c r="J172" s="1177"/>
      <c r="K172" s="1547"/>
      <c r="L172" s="1177"/>
      <c r="M172" s="1548"/>
      <c r="N172" s="1549"/>
      <c r="O172" s="1178"/>
      <c r="P172" s="1179"/>
      <c r="Q172" s="1171"/>
      <c r="R172" s="104"/>
      <c r="S172" s="1172"/>
      <c r="T172" s="1172"/>
      <c r="U172" s="1172"/>
      <c r="V172" s="1173"/>
      <c r="W172" s="1174"/>
      <c r="X172" s="1175"/>
      <c r="Y172" s="1176"/>
      <c r="Z172" s="1177"/>
      <c r="AA172" s="1547"/>
      <c r="AB172" s="1177"/>
      <c r="AC172" s="1548"/>
      <c r="AD172" s="1549"/>
      <c r="AE172" s="1178"/>
      <c r="AF172" s="1179"/>
      <c r="AG172" s="1171"/>
      <c r="AH172" s="104"/>
      <c r="AI172" s="1172"/>
      <c r="AJ172" s="1172"/>
      <c r="AK172" s="1172"/>
      <c r="AL172" s="1173"/>
      <c r="AM172" s="1174"/>
      <c r="AN172" s="1175"/>
      <c r="AO172" s="1176"/>
      <c r="AP172" s="1177"/>
      <c r="AQ172" s="1547"/>
      <c r="AR172" s="1177"/>
      <c r="AS172" s="1548"/>
      <c r="AT172" s="1549"/>
      <c r="AU172" s="1178"/>
      <c r="AV172" s="1179"/>
      <c r="AY172" s="3">
        <v>1</v>
      </c>
    </row>
    <row r="173" spans="2:51" ht="27" customHeight="1">
      <c r="B173" s="104"/>
      <c r="C173" s="1172"/>
      <c r="D173" s="1172"/>
      <c r="E173" s="1172"/>
      <c r="F173" s="1173"/>
      <c r="G173" s="1174"/>
      <c r="H173" s="1175"/>
      <c r="I173" s="1176"/>
      <c r="J173" s="1177"/>
      <c r="K173" s="1547"/>
      <c r="L173" s="1177"/>
      <c r="M173" s="1548"/>
      <c r="N173" s="1549"/>
      <c r="O173" s="1178"/>
      <c r="P173" s="1179"/>
      <c r="Q173" s="1171"/>
      <c r="R173" s="104"/>
      <c r="S173" s="1172"/>
      <c r="T173" s="1172"/>
      <c r="U173" s="1172"/>
      <c r="V173" s="1173"/>
      <c r="W173" s="1174"/>
      <c r="X173" s="1175"/>
      <c r="Y173" s="1176"/>
      <c r="Z173" s="1177"/>
      <c r="AA173" s="1547"/>
      <c r="AB173" s="1177"/>
      <c r="AC173" s="1548"/>
      <c r="AD173" s="1549"/>
      <c r="AE173" s="1178"/>
      <c r="AF173" s="1179"/>
      <c r="AG173" s="1171"/>
      <c r="AH173" s="104"/>
      <c r="AI173" s="1172"/>
      <c r="AJ173" s="1172"/>
      <c r="AK173" s="1172"/>
      <c r="AL173" s="1173"/>
      <c r="AM173" s="1174"/>
      <c r="AN173" s="1175"/>
      <c r="AO173" s="1176"/>
      <c r="AP173" s="1177"/>
      <c r="AQ173" s="1547"/>
      <c r="AR173" s="1177"/>
      <c r="AS173" s="1548"/>
      <c r="AT173" s="1549"/>
      <c r="AU173" s="1178"/>
      <c r="AV173" s="1179"/>
      <c r="AY173" s="3">
        <v>1</v>
      </c>
    </row>
    <row r="174" spans="2:51" ht="27" customHeight="1">
      <c r="B174" s="104"/>
      <c r="C174" s="1172"/>
      <c r="D174" s="1172"/>
      <c r="E174" s="1172"/>
      <c r="F174" s="1173"/>
      <c r="G174" s="1174"/>
      <c r="H174" s="1175"/>
      <c r="I174" s="1176"/>
      <c r="J174" s="1177"/>
      <c r="K174" s="1547"/>
      <c r="L174" s="1177"/>
      <c r="M174" s="1548"/>
      <c r="N174" s="1549"/>
      <c r="O174" s="1178"/>
      <c r="P174" s="1179"/>
      <c r="Q174" s="1171"/>
      <c r="R174" s="104"/>
      <c r="S174" s="1172"/>
      <c r="T174" s="1172"/>
      <c r="U174" s="1172"/>
      <c r="V174" s="1173"/>
      <c r="W174" s="1174"/>
      <c r="X174" s="1175"/>
      <c r="Y174" s="1176"/>
      <c r="Z174" s="1177"/>
      <c r="AA174" s="1547"/>
      <c r="AB174" s="1177"/>
      <c r="AC174" s="1548"/>
      <c r="AD174" s="1549"/>
      <c r="AE174" s="1178"/>
      <c r="AF174" s="1179"/>
      <c r="AG174" s="1171"/>
      <c r="AH174" s="104"/>
      <c r="AI174" s="1172"/>
      <c r="AJ174" s="1172"/>
      <c r="AK174" s="1172"/>
      <c r="AL174" s="1173"/>
      <c r="AM174" s="1174"/>
      <c r="AN174" s="1175"/>
      <c r="AO174" s="1176"/>
      <c r="AP174" s="1177"/>
      <c r="AQ174" s="1547"/>
      <c r="AR174" s="1177"/>
      <c r="AS174" s="1548"/>
      <c r="AT174" s="1549"/>
      <c r="AU174" s="1178"/>
      <c r="AV174" s="1179"/>
      <c r="AY174" s="3">
        <v>1</v>
      </c>
    </row>
    <row r="175" spans="2:51" ht="27" customHeight="1">
      <c r="B175" s="104"/>
      <c r="C175" s="1172"/>
      <c r="D175" s="1172"/>
      <c r="E175" s="1172"/>
      <c r="F175" s="1173"/>
      <c r="G175" s="1174"/>
      <c r="H175" s="1175"/>
      <c r="I175" s="1176"/>
      <c r="J175" s="1177"/>
      <c r="K175" s="1547"/>
      <c r="L175" s="1177"/>
      <c r="M175" s="1548"/>
      <c r="N175" s="1549"/>
      <c r="O175" s="1178"/>
      <c r="P175" s="1179"/>
      <c r="Q175" s="1171"/>
      <c r="R175" s="104"/>
      <c r="S175" s="1172"/>
      <c r="T175" s="1172"/>
      <c r="U175" s="1172"/>
      <c r="V175" s="1173"/>
      <c r="W175" s="1174"/>
      <c r="X175" s="1175"/>
      <c r="Y175" s="1176"/>
      <c r="Z175" s="1177"/>
      <c r="AA175" s="1547"/>
      <c r="AB175" s="1177"/>
      <c r="AC175" s="1548"/>
      <c r="AD175" s="1549"/>
      <c r="AE175" s="1178"/>
      <c r="AF175" s="1179"/>
      <c r="AG175" s="1171"/>
      <c r="AH175" s="104"/>
      <c r="AI175" s="1172"/>
      <c r="AJ175" s="1172"/>
      <c r="AK175" s="1172"/>
      <c r="AL175" s="1173"/>
      <c r="AM175" s="1174"/>
      <c r="AN175" s="1175"/>
      <c r="AO175" s="1176"/>
      <c r="AP175" s="1177"/>
      <c r="AQ175" s="1547"/>
      <c r="AR175" s="1177"/>
      <c r="AS175" s="1548"/>
      <c r="AT175" s="1549"/>
      <c r="AU175" s="1178"/>
      <c r="AV175" s="1179"/>
      <c r="AY175" s="3">
        <v>1</v>
      </c>
    </row>
    <row r="176" spans="2:51" ht="27" customHeight="1">
      <c r="B176" s="104"/>
      <c r="C176" s="1172"/>
      <c r="D176" s="1172"/>
      <c r="E176" s="1172"/>
      <c r="F176" s="1173"/>
      <c r="G176" s="1174"/>
      <c r="H176" s="1175"/>
      <c r="I176" s="1176"/>
      <c r="J176" s="1177"/>
      <c r="K176" s="1547"/>
      <c r="L176" s="1177"/>
      <c r="M176" s="1548"/>
      <c r="N176" s="1549"/>
      <c r="O176" s="1178"/>
      <c r="P176" s="1179"/>
      <c r="Q176" s="1171"/>
      <c r="R176" s="104"/>
      <c r="S176" s="1172"/>
      <c r="T176" s="1172"/>
      <c r="U176" s="1172"/>
      <c r="V176" s="1173"/>
      <c r="W176" s="1174"/>
      <c r="X176" s="1175"/>
      <c r="Y176" s="1176"/>
      <c r="Z176" s="1177"/>
      <c r="AA176" s="1547"/>
      <c r="AB176" s="1177"/>
      <c r="AC176" s="1548"/>
      <c r="AD176" s="1549"/>
      <c r="AE176" s="1178"/>
      <c r="AF176" s="1179"/>
      <c r="AG176" s="1171"/>
      <c r="AH176" s="104"/>
      <c r="AI176" s="1172"/>
      <c r="AJ176" s="1172"/>
      <c r="AK176" s="1172"/>
      <c r="AL176" s="1173"/>
      <c r="AM176" s="1174"/>
      <c r="AN176" s="1175"/>
      <c r="AO176" s="1176"/>
      <c r="AP176" s="1177"/>
      <c r="AQ176" s="1547"/>
      <c r="AR176" s="1177"/>
      <c r="AS176" s="1548"/>
      <c r="AT176" s="1549"/>
      <c r="AU176" s="1178"/>
      <c r="AV176" s="1179"/>
      <c r="AY176" s="3">
        <v>1</v>
      </c>
    </row>
    <row r="177" spans="2:51" ht="27" customHeight="1">
      <c r="B177" s="104"/>
      <c r="C177" s="1172"/>
      <c r="D177" s="1172"/>
      <c r="E177" s="1172"/>
      <c r="F177" s="1173"/>
      <c r="G177" s="1174"/>
      <c r="H177" s="1175"/>
      <c r="I177" s="1176"/>
      <c r="J177" s="1177"/>
      <c r="K177" s="1547"/>
      <c r="L177" s="1177"/>
      <c r="M177" s="1548"/>
      <c r="N177" s="1549"/>
      <c r="O177" s="1178"/>
      <c r="P177" s="1179"/>
      <c r="Q177" s="1171"/>
      <c r="R177" s="104"/>
      <c r="S177" s="1172"/>
      <c r="T177" s="1172"/>
      <c r="U177" s="1172"/>
      <c r="V177" s="1173"/>
      <c r="W177" s="1174"/>
      <c r="X177" s="1175"/>
      <c r="Y177" s="1176"/>
      <c r="Z177" s="1177"/>
      <c r="AA177" s="1547"/>
      <c r="AB177" s="1177"/>
      <c r="AC177" s="1548"/>
      <c r="AD177" s="1549"/>
      <c r="AE177" s="1178"/>
      <c r="AF177" s="1179"/>
      <c r="AG177" s="1171"/>
      <c r="AH177" s="104"/>
      <c r="AI177" s="1172"/>
      <c r="AJ177" s="1172"/>
      <c r="AK177" s="1172"/>
      <c r="AL177" s="1173"/>
      <c r="AM177" s="1174"/>
      <c r="AN177" s="1175"/>
      <c r="AO177" s="1176"/>
      <c r="AP177" s="1177"/>
      <c r="AQ177" s="1547"/>
      <c r="AR177" s="1177"/>
      <c r="AS177" s="1548"/>
      <c r="AT177" s="1549"/>
      <c r="AU177" s="1178"/>
      <c r="AV177" s="1179"/>
      <c r="AY177" s="3">
        <v>1</v>
      </c>
    </row>
    <row r="178" spans="2:51" ht="27" customHeight="1">
      <c r="B178" s="104"/>
      <c r="C178" s="1172"/>
      <c r="D178" s="1172"/>
      <c r="E178" s="1172"/>
      <c r="F178" s="1173"/>
      <c r="G178" s="1174"/>
      <c r="H178" s="1175"/>
      <c r="I178" s="1176"/>
      <c r="J178" s="1177"/>
      <c r="K178" s="1547"/>
      <c r="L178" s="1177"/>
      <c r="M178" s="1548"/>
      <c r="N178" s="1549"/>
      <c r="O178" s="1178"/>
      <c r="P178" s="1179"/>
      <c r="Q178" s="1171"/>
      <c r="R178" s="104"/>
      <c r="S178" s="1172"/>
      <c r="T178" s="1172"/>
      <c r="U178" s="1172"/>
      <c r="V178" s="1173"/>
      <c r="W178" s="1174"/>
      <c r="X178" s="1175"/>
      <c r="Y178" s="1176"/>
      <c r="Z178" s="1177"/>
      <c r="AA178" s="1547"/>
      <c r="AB178" s="1177"/>
      <c r="AC178" s="1548"/>
      <c r="AD178" s="1549"/>
      <c r="AE178" s="1178"/>
      <c r="AF178" s="1179"/>
      <c r="AG178" s="1171"/>
      <c r="AH178" s="104"/>
      <c r="AI178" s="1172"/>
      <c r="AJ178" s="1172"/>
      <c r="AK178" s="1172"/>
      <c r="AL178" s="1173"/>
      <c r="AM178" s="1174"/>
      <c r="AN178" s="1175"/>
      <c r="AO178" s="1176"/>
      <c r="AP178" s="1177"/>
      <c r="AQ178" s="1547"/>
      <c r="AR178" s="1177"/>
      <c r="AS178" s="1548"/>
      <c r="AT178" s="1549"/>
      <c r="AU178" s="1178"/>
      <c r="AV178" s="1179"/>
      <c r="AY178" s="3">
        <v>1</v>
      </c>
    </row>
    <row r="179" spans="2:51" ht="27" customHeight="1">
      <c r="B179" s="104"/>
      <c r="C179" s="1172"/>
      <c r="D179" s="1172"/>
      <c r="E179" s="1172"/>
      <c r="F179" s="1173"/>
      <c r="G179" s="1174"/>
      <c r="H179" s="1175"/>
      <c r="I179" s="1176"/>
      <c r="J179" s="1177"/>
      <c r="K179" s="1547"/>
      <c r="L179" s="1177"/>
      <c r="M179" s="1548"/>
      <c r="N179" s="1549"/>
      <c r="O179" s="1178"/>
      <c r="P179" s="1179"/>
      <c r="Q179" s="1171"/>
      <c r="R179" s="104"/>
      <c r="S179" s="1172"/>
      <c r="T179" s="1172"/>
      <c r="U179" s="1172"/>
      <c r="V179" s="1173"/>
      <c r="W179" s="1174"/>
      <c r="X179" s="1175"/>
      <c r="Y179" s="1176"/>
      <c r="Z179" s="1177"/>
      <c r="AA179" s="1547"/>
      <c r="AB179" s="1177"/>
      <c r="AC179" s="1548"/>
      <c r="AD179" s="1549"/>
      <c r="AE179" s="1178"/>
      <c r="AF179" s="1179"/>
      <c r="AG179" s="1171"/>
      <c r="AH179" s="104"/>
      <c r="AI179" s="1172"/>
      <c r="AJ179" s="1172"/>
      <c r="AK179" s="1172"/>
      <c r="AL179" s="1173"/>
      <c r="AM179" s="1174"/>
      <c r="AN179" s="1175"/>
      <c r="AO179" s="1176"/>
      <c r="AP179" s="1177"/>
      <c r="AQ179" s="1547"/>
      <c r="AR179" s="1177"/>
      <c r="AS179" s="1548"/>
      <c r="AT179" s="1549"/>
      <c r="AU179" s="1178"/>
      <c r="AV179" s="1179"/>
      <c r="AY179" s="3">
        <v>1</v>
      </c>
    </row>
    <row r="180" spans="2:51" ht="27" customHeight="1">
      <c r="B180" s="104"/>
      <c r="C180" s="1172"/>
      <c r="D180" s="1172"/>
      <c r="E180" s="1172"/>
      <c r="F180" s="1173"/>
      <c r="G180" s="1174"/>
      <c r="H180" s="1175"/>
      <c r="I180" s="1176"/>
      <c r="J180" s="1177"/>
      <c r="K180" s="1547"/>
      <c r="L180" s="1177"/>
      <c r="M180" s="1548"/>
      <c r="N180" s="1549"/>
      <c r="O180" s="1178"/>
      <c r="P180" s="1179"/>
      <c r="Q180" s="1171"/>
      <c r="R180" s="104"/>
      <c r="S180" s="1172"/>
      <c r="T180" s="1172"/>
      <c r="U180" s="1172"/>
      <c r="V180" s="1173"/>
      <c r="W180" s="1174"/>
      <c r="X180" s="1175"/>
      <c r="Y180" s="1176"/>
      <c r="Z180" s="1177"/>
      <c r="AA180" s="1547"/>
      <c r="AB180" s="1177"/>
      <c r="AC180" s="1548"/>
      <c r="AD180" s="1549"/>
      <c r="AE180" s="1178"/>
      <c r="AF180" s="1179"/>
      <c r="AG180" s="1171"/>
      <c r="AH180" s="104"/>
      <c r="AI180" s="1172"/>
      <c r="AJ180" s="1172"/>
      <c r="AK180" s="1172"/>
      <c r="AL180" s="1173"/>
      <c r="AM180" s="1174"/>
      <c r="AN180" s="1175"/>
      <c r="AO180" s="1176"/>
      <c r="AP180" s="1177"/>
      <c r="AQ180" s="1547"/>
      <c r="AR180" s="1177"/>
      <c r="AS180" s="1548"/>
      <c r="AT180" s="1549"/>
      <c r="AU180" s="1178"/>
      <c r="AV180" s="1179"/>
      <c r="AY180" s="3">
        <v>1</v>
      </c>
    </row>
    <row r="181" spans="2:51" ht="27" customHeight="1">
      <c r="B181" s="104"/>
      <c r="C181" s="1172"/>
      <c r="D181" s="1172"/>
      <c r="E181" s="1172"/>
      <c r="F181" s="1173"/>
      <c r="G181" s="1174"/>
      <c r="H181" s="1175"/>
      <c r="I181" s="1176"/>
      <c r="J181" s="1177"/>
      <c r="K181" s="1547"/>
      <c r="L181" s="1177"/>
      <c r="M181" s="1548"/>
      <c r="N181" s="1549"/>
      <c r="O181" s="1178"/>
      <c r="P181" s="1179"/>
      <c r="Q181" s="1171"/>
      <c r="R181" s="104"/>
      <c r="S181" s="1172"/>
      <c r="T181" s="1172"/>
      <c r="U181" s="1172"/>
      <c r="V181" s="1173"/>
      <c r="W181" s="1174"/>
      <c r="X181" s="1175"/>
      <c r="Y181" s="1176"/>
      <c r="Z181" s="1177"/>
      <c r="AA181" s="1547"/>
      <c r="AB181" s="1177"/>
      <c r="AC181" s="1548"/>
      <c r="AD181" s="1549"/>
      <c r="AE181" s="1178"/>
      <c r="AF181" s="1179"/>
      <c r="AG181" s="1171"/>
      <c r="AH181" s="104"/>
      <c r="AI181" s="1172"/>
      <c r="AJ181" s="1172"/>
      <c r="AK181" s="1172"/>
      <c r="AL181" s="1173"/>
      <c r="AM181" s="1174"/>
      <c r="AN181" s="1175"/>
      <c r="AO181" s="1176"/>
      <c r="AP181" s="1177"/>
      <c r="AQ181" s="1547"/>
      <c r="AR181" s="1177"/>
      <c r="AS181" s="1548"/>
      <c r="AT181" s="1549"/>
      <c r="AU181" s="1178"/>
      <c r="AV181" s="1179"/>
      <c r="AY181" s="3">
        <v>1</v>
      </c>
    </row>
    <row r="182" spans="2:51" ht="27" customHeight="1">
      <c r="B182" s="104"/>
      <c r="C182" s="1172"/>
      <c r="D182" s="1172"/>
      <c r="E182" s="1172"/>
      <c r="F182" s="1173"/>
      <c r="G182" s="1174"/>
      <c r="H182" s="1175"/>
      <c r="I182" s="1176"/>
      <c r="J182" s="1177"/>
      <c r="K182" s="1547"/>
      <c r="L182" s="1177"/>
      <c r="M182" s="1548"/>
      <c r="N182" s="1549"/>
      <c r="O182" s="1178"/>
      <c r="P182" s="1179"/>
      <c r="Q182" s="1171"/>
      <c r="R182" s="104"/>
      <c r="S182" s="1172"/>
      <c r="T182" s="1172"/>
      <c r="U182" s="1172"/>
      <c r="V182" s="1173"/>
      <c r="W182" s="1174"/>
      <c r="X182" s="1175"/>
      <c r="Y182" s="1176"/>
      <c r="Z182" s="1177"/>
      <c r="AA182" s="1547"/>
      <c r="AB182" s="1177"/>
      <c r="AC182" s="1548"/>
      <c r="AD182" s="1549"/>
      <c r="AE182" s="1178"/>
      <c r="AF182" s="1179"/>
      <c r="AG182" s="1171"/>
      <c r="AH182" s="104"/>
      <c r="AI182" s="1172"/>
      <c r="AJ182" s="1172"/>
      <c r="AK182" s="1172"/>
      <c r="AL182" s="1173"/>
      <c r="AM182" s="1174"/>
      <c r="AN182" s="1175"/>
      <c r="AO182" s="1176"/>
      <c r="AP182" s="1177"/>
      <c r="AQ182" s="1547"/>
      <c r="AR182" s="1177"/>
      <c r="AS182" s="1548"/>
      <c r="AT182" s="1549"/>
      <c r="AU182" s="1178"/>
      <c r="AV182" s="1179"/>
      <c r="AY182" s="3">
        <v>1</v>
      </c>
    </row>
    <row r="183" spans="2:51" ht="27" customHeight="1">
      <c r="B183" s="104"/>
      <c r="C183" s="1172"/>
      <c r="D183" s="1172"/>
      <c r="E183" s="1172"/>
      <c r="F183" s="1173"/>
      <c r="G183" s="1174"/>
      <c r="H183" s="1175"/>
      <c r="I183" s="1176"/>
      <c r="J183" s="1177"/>
      <c r="K183" s="1547"/>
      <c r="L183" s="1177"/>
      <c r="M183" s="1548"/>
      <c r="N183" s="1549"/>
      <c r="O183" s="1178"/>
      <c r="P183" s="1179"/>
      <c r="Q183" s="1171"/>
      <c r="R183" s="104"/>
      <c r="S183" s="1172"/>
      <c r="T183" s="1172"/>
      <c r="U183" s="1172"/>
      <c r="V183" s="1173"/>
      <c r="W183" s="1174"/>
      <c r="X183" s="1175"/>
      <c r="Y183" s="1176"/>
      <c r="Z183" s="1177"/>
      <c r="AA183" s="1547"/>
      <c r="AB183" s="1177"/>
      <c r="AC183" s="1548"/>
      <c r="AD183" s="1549"/>
      <c r="AE183" s="1178"/>
      <c r="AF183" s="1179"/>
      <c r="AG183" s="1171"/>
      <c r="AH183" s="104"/>
      <c r="AI183" s="1172"/>
      <c r="AJ183" s="1172"/>
      <c r="AK183" s="1172"/>
      <c r="AL183" s="1173"/>
      <c r="AM183" s="1174"/>
      <c r="AN183" s="1175"/>
      <c r="AO183" s="1176"/>
      <c r="AP183" s="1177"/>
      <c r="AQ183" s="1547"/>
      <c r="AR183" s="1177"/>
      <c r="AS183" s="1548"/>
      <c r="AT183" s="1549"/>
      <c r="AU183" s="1178"/>
      <c r="AV183" s="1179"/>
      <c r="AY183" s="3">
        <v>1</v>
      </c>
    </row>
    <row r="184" spans="2:51" ht="27" customHeight="1">
      <c r="B184" s="104"/>
      <c r="C184" s="1172"/>
      <c r="D184" s="1172"/>
      <c r="E184" s="1172"/>
      <c r="F184" s="1173"/>
      <c r="G184" s="1174"/>
      <c r="H184" s="1175"/>
      <c r="I184" s="1176"/>
      <c r="J184" s="1177"/>
      <c r="K184" s="1547"/>
      <c r="L184" s="1177"/>
      <c r="M184" s="1548"/>
      <c r="N184" s="1549"/>
      <c r="O184" s="1178"/>
      <c r="P184" s="1179"/>
      <c r="Q184" s="1171"/>
      <c r="R184" s="104"/>
      <c r="S184" s="1172"/>
      <c r="T184" s="1172"/>
      <c r="U184" s="1172"/>
      <c r="V184" s="1173"/>
      <c r="W184" s="1174"/>
      <c r="X184" s="1175"/>
      <c r="Y184" s="1176"/>
      <c r="Z184" s="1177"/>
      <c r="AA184" s="1547"/>
      <c r="AB184" s="1177"/>
      <c r="AC184" s="1548"/>
      <c r="AD184" s="1549"/>
      <c r="AE184" s="1178"/>
      <c r="AF184" s="1179"/>
      <c r="AG184" s="1171"/>
      <c r="AH184" s="104"/>
      <c r="AI184" s="1172"/>
      <c r="AJ184" s="1172"/>
      <c r="AK184" s="1172"/>
      <c r="AL184" s="1173"/>
      <c r="AM184" s="1174"/>
      <c r="AN184" s="1175"/>
      <c r="AO184" s="1176"/>
      <c r="AP184" s="1177"/>
      <c r="AQ184" s="1547"/>
      <c r="AR184" s="1177"/>
      <c r="AS184" s="1548"/>
      <c r="AT184" s="1549"/>
      <c r="AU184" s="1178"/>
      <c r="AV184" s="1179"/>
      <c r="AY184" s="3">
        <v>1</v>
      </c>
    </row>
    <row r="185" spans="2:51" ht="27" customHeight="1">
      <c r="B185" s="104"/>
      <c r="C185" s="1172"/>
      <c r="D185" s="1172"/>
      <c r="E185" s="1172"/>
      <c r="F185" s="1173"/>
      <c r="G185" s="1174"/>
      <c r="H185" s="1175"/>
      <c r="I185" s="1176"/>
      <c r="J185" s="1177"/>
      <c r="K185" s="1547"/>
      <c r="L185" s="1177"/>
      <c r="M185" s="1548"/>
      <c r="N185" s="1549"/>
      <c r="O185" s="1178"/>
      <c r="P185" s="1179"/>
      <c r="Q185" s="1171"/>
      <c r="R185" s="104"/>
      <c r="S185" s="1172"/>
      <c r="T185" s="1172"/>
      <c r="U185" s="1172"/>
      <c r="V185" s="1173"/>
      <c r="W185" s="1174"/>
      <c r="X185" s="1175"/>
      <c r="Y185" s="1176"/>
      <c r="Z185" s="1177"/>
      <c r="AA185" s="1547"/>
      <c r="AB185" s="1177"/>
      <c r="AC185" s="1548"/>
      <c r="AD185" s="1549"/>
      <c r="AE185" s="1178"/>
      <c r="AF185" s="1179"/>
      <c r="AG185" s="1171"/>
      <c r="AH185" s="104"/>
      <c r="AI185" s="1172"/>
      <c r="AJ185" s="1172"/>
      <c r="AK185" s="1172"/>
      <c r="AL185" s="1173"/>
      <c r="AM185" s="1174"/>
      <c r="AN185" s="1175"/>
      <c r="AO185" s="1176"/>
      <c r="AP185" s="1177"/>
      <c r="AQ185" s="1547"/>
      <c r="AR185" s="1177"/>
      <c r="AS185" s="1548"/>
      <c r="AT185" s="1549"/>
      <c r="AU185" s="1178"/>
      <c r="AV185" s="1179"/>
      <c r="AY185" s="3">
        <v>1</v>
      </c>
    </row>
    <row r="186" spans="2:51" ht="27" customHeight="1">
      <c r="B186" s="104"/>
      <c r="C186" s="1172"/>
      <c r="D186" s="1172"/>
      <c r="E186" s="1172"/>
      <c r="F186" s="1173"/>
      <c r="G186" s="1174"/>
      <c r="H186" s="1175"/>
      <c r="I186" s="1176"/>
      <c r="J186" s="1177"/>
      <c r="K186" s="1547"/>
      <c r="L186" s="1177"/>
      <c r="M186" s="1548"/>
      <c r="N186" s="1549"/>
      <c r="O186" s="1178"/>
      <c r="P186" s="1179"/>
      <c r="Q186" s="1171"/>
      <c r="R186" s="104"/>
      <c r="S186" s="1172"/>
      <c r="T186" s="1172"/>
      <c r="U186" s="1172"/>
      <c r="V186" s="1173"/>
      <c r="W186" s="1174"/>
      <c r="X186" s="1175"/>
      <c r="Y186" s="1176"/>
      <c r="Z186" s="1177"/>
      <c r="AA186" s="1547"/>
      <c r="AB186" s="1177"/>
      <c r="AC186" s="1548"/>
      <c r="AD186" s="1549"/>
      <c r="AE186" s="1178"/>
      <c r="AF186" s="1179"/>
      <c r="AG186" s="1171"/>
      <c r="AH186" s="104"/>
      <c r="AI186" s="1172"/>
      <c r="AJ186" s="1172"/>
      <c r="AK186" s="1172"/>
      <c r="AL186" s="1173"/>
      <c r="AM186" s="1174"/>
      <c r="AN186" s="1175"/>
      <c r="AO186" s="1176"/>
      <c r="AP186" s="1177"/>
      <c r="AQ186" s="1547"/>
      <c r="AR186" s="1177"/>
      <c r="AS186" s="1548"/>
      <c r="AT186" s="1549"/>
      <c r="AU186" s="1178"/>
      <c r="AV186" s="1179"/>
      <c r="AY186" s="3">
        <v>1</v>
      </c>
    </row>
    <row r="187" spans="2:51" ht="27" customHeight="1">
      <c r="B187" s="104"/>
      <c r="C187" s="1172"/>
      <c r="D187" s="1172"/>
      <c r="E187" s="1172"/>
      <c r="F187" s="1173"/>
      <c r="G187" s="1174"/>
      <c r="H187" s="1175"/>
      <c r="I187" s="1176"/>
      <c r="J187" s="1177"/>
      <c r="K187" s="1547"/>
      <c r="L187" s="1177"/>
      <c r="M187" s="1548"/>
      <c r="N187" s="1549"/>
      <c r="O187" s="1178"/>
      <c r="P187" s="1179"/>
      <c r="Q187" s="1171"/>
      <c r="R187" s="104"/>
      <c r="S187" s="1172"/>
      <c r="T187" s="1172"/>
      <c r="U187" s="1172"/>
      <c r="V187" s="1173"/>
      <c r="W187" s="1174"/>
      <c r="X187" s="1175"/>
      <c r="Y187" s="1176"/>
      <c r="Z187" s="1177"/>
      <c r="AA187" s="1547"/>
      <c r="AB187" s="1177"/>
      <c r="AC187" s="1548"/>
      <c r="AD187" s="1549"/>
      <c r="AE187" s="1178"/>
      <c r="AF187" s="1179"/>
      <c r="AG187" s="1171"/>
      <c r="AH187" s="104"/>
      <c r="AI187" s="1172"/>
      <c r="AJ187" s="1172"/>
      <c r="AK187" s="1172"/>
      <c r="AL187" s="1173"/>
      <c r="AM187" s="1174"/>
      <c r="AN187" s="1175"/>
      <c r="AO187" s="1176"/>
      <c r="AP187" s="1177"/>
      <c r="AQ187" s="1547"/>
      <c r="AR187" s="1177"/>
      <c r="AS187" s="1548"/>
      <c r="AT187" s="1549"/>
      <c r="AU187" s="1178"/>
      <c r="AV187" s="1179"/>
      <c r="AY187" s="3">
        <v>1</v>
      </c>
    </row>
    <row r="188" spans="2:51" ht="27" customHeight="1">
      <c r="B188" s="104"/>
      <c r="C188" s="1172"/>
      <c r="D188" s="1172"/>
      <c r="E188" s="1172"/>
      <c r="F188" s="1173"/>
      <c r="G188" s="1174"/>
      <c r="H188" s="1175"/>
      <c r="I188" s="1176"/>
      <c r="J188" s="1177"/>
      <c r="K188" s="1547"/>
      <c r="L188" s="1177"/>
      <c r="M188" s="1548"/>
      <c r="N188" s="1549"/>
      <c r="O188" s="1178"/>
      <c r="P188" s="1179"/>
      <c r="Q188" s="1171"/>
      <c r="R188" s="104"/>
      <c r="S188" s="1172"/>
      <c r="T188" s="1172"/>
      <c r="U188" s="1172"/>
      <c r="V188" s="1173"/>
      <c r="W188" s="1174"/>
      <c r="X188" s="1175"/>
      <c r="Y188" s="1176"/>
      <c r="Z188" s="1177"/>
      <c r="AA188" s="1547"/>
      <c r="AB188" s="1177"/>
      <c r="AC188" s="1548"/>
      <c r="AD188" s="1549"/>
      <c r="AE188" s="1178"/>
      <c r="AF188" s="1179"/>
      <c r="AG188" s="1171"/>
      <c r="AH188" s="104"/>
      <c r="AI188" s="1172"/>
      <c r="AJ188" s="1172"/>
      <c r="AK188" s="1172"/>
      <c r="AL188" s="1173"/>
      <c r="AM188" s="1174"/>
      <c r="AN188" s="1175"/>
      <c r="AO188" s="1176"/>
      <c r="AP188" s="1177"/>
      <c r="AQ188" s="1547"/>
      <c r="AR188" s="1177"/>
      <c r="AS188" s="1548"/>
      <c r="AT188" s="1549"/>
      <c r="AU188" s="1178"/>
      <c r="AV188" s="1179"/>
      <c r="AY188" s="3">
        <v>1</v>
      </c>
    </row>
    <row r="189" spans="2:51" ht="27" customHeight="1">
      <c r="B189" s="104"/>
      <c r="C189" s="1172"/>
      <c r="D189" s="1172"/>
      <c r="E189" s="1172"/>
      <c r="F189" s="1173"/>
      <c r="G189" s="1174"/>
      <c r="H189" s="1175"/>
      <c r="I189" s="1176"/>
      <c r="J189" s="1177"/>
      <c r="K189" s="1547"/>
      <c r="L189" s="1177"/>
      <c r="M189" s="1548"/>
      <c r="N189" s="1549"/>
      <c r="O189" s="1178"/>
      <c r="P189" s="1179"/>
      <c r="Q189" s="1171"/>
      <c r="R189" s="104"/>
      <c r="S189" s="1172"/>
      <c r="T189" s="1172"/>
      <c r="U189" s="1172"/>
      <c r="V189" s="1173"/>
      <c r="W189" s="1174"/>
      <c r="X189" s="1175"/>
      <c r="Y189" s="1176"/>
      <c r="Z189" s="1177"/>
      <c r="AA189" s="1547"/>
      <c r="AB189" s="1177"/>
      <c r="AC189" s="1548"/>
      <c r="AD189" s="1549"/>
      <c r="AE189" s="1178"/>
      <c r="AF189" s="1179"/>
      <c r="AG189" s="1171"/>
      <c r="AH189" s="104"/>
      <c r="AI189" s="1172"/>
      <c r="AJ189" s="1172"/>
      <c r="AK189" s="1172"/>
      <c r="AL189" s="1173"/>
      <c r="AM189" s="1174"/>
      <c r="AN189" s="1175"/>
      <c r="AO189" s="1176"/>
      <c r="AP189" s="1177"/>
      <c r="AQ189" s="1547"/>
      <c r="AR189" s="1177"/>
      <c r="AS189" s="1548"/>
      <c r="AT189" s="1549"/>
      <c r="AU189" s="1178"/>
      <c r="AV189" s="1179"/>
      <c r="AY189" s="3">
        <v>1</v>
      </c>
    </row>
    <row r="190" spans="2:51" ht="27" customHeight="1">
      <c r="B190" s="104"/>
      <c r="C190" s="1172"/>
      <c r="D190" s="1172"/>
      <c r="E190" s="1172"/>
      <c r="F190" s="1173"/>
      <c r="G190" s="1174"/>
      <c r="H190" s="1175"/>
      <c r="I190" s="1176"/>
      <c r="J190" s="1177"/>
      <c r="K190" s="1547"/>
      <c r="L190" s="1177"/>
      <c r="M190" s="1548"/>
      <c r="N190" s="1549"/>
      <c r="O190" s="1178"/>
      <c r="P190" s="1179"/>
      <c r="Q190" s="1171"/>
      <c r="R190" s="104"/>
      <c r="S190" s="1172"/>
      <c r="T190" s="1172"/>
      <c r="U190" s="1172"/>
      <c r="V190" s="1173"/>
      <c r="W190" s="1174"/>
      <c r="X190" s="1175"/>
      <c r="Y190" s="1176"/>
      <c r="Z190" s="1177"/>
      <c r="AA190" s="1547"/>
      <c r="AB190" s="1177"/>
      <c r="AC190" s="1548"/>
      <c r="AD190" s="1549"/>
      <c r="AE190" s="1178"/>
      <c r="AF190" s="1179"/>
      <c r="AG190" s="1171"/>
      <c r="AH190" s="104"/>
      <c r="AI190" s="1172"/>
      <c r="AJ190" s="1172"/>
      <c r="AK190" s="1172"/>
      <c r="AL190" s="1173"/>
      <c r="AM190" s="1174"/>
      <c r="AN190" s="1175"/>
      <c r="AO190" s="1176"/>
      <c r="AP190" s="1177"/>
      <c r="AQ190" s="1547"/>
      <c r="AR190" s="1177"/>
      <c r="AS190" s="1548"/>
      <c r="AT190" s="1549"/>
      <c r="AU190" s="1178"/>
      <c r="AV190" s="1179"/>
      <c r="AY190" s="3">
        <v>1</v>
      </c>
    </row>
    <row r="191" spans="2:51" ht="27" customHeight="1">
      <c r="B191" s="104"/>
      <c r="C191" s="1172"/>
      <c r="D191" s="1172"/>
      <c r="E191" s="1172"/>
      <c r="F191" s="1173"/>
      <c r="G191" s="1174"/>
      <c r="H191" s="1175"/>
      <c r="I191" s="1176"/>
      <c r="J191" s="1177"/>
      <c r="K191" s="1547"/>
      <c r="L191" s="1177"/>
      <c r="M191" s="1548"/>
      <c r="N191" s="1549"/>
      <c r="O191" s="1178"/>
      <c r="P191" s="1179"/>
      <c r="Q191" s="1171"/>
      <c r="R191" s="104"/>
      <c r="S191" s="1172"/>
      <c r="T191" s="1172"/>
      <c r="U191" s="1172"/>
      <c r="V191" s="1173"/>
      <c r="W191" s="1174"/>
      <c r="X191" s="1175"/>
      <c r="Y191" s="1176"/>
      <c r="Z191" s="1177"/>
      <c r="AA191" s="1547"/>
      <c r="AB191" s="1177"/>
      <c r="AC191" s="1548"/>
      <c r="AD191" s="1549"/>
      <c r="AE191" s="1178"/>
      <c r="AF191" s="1179"/>
      <c r="AG191" s="1171"/>
      <c r="AH191" s="104"/>
      <c r="AI191" s="1172"/>
      <c r="AJ191" s="1172"/>
      <c r="AK191" s="1172"/>
      <c r="AL191" s="1173"/>
      <c r="AM191" s="1174"/>
      <c r="AN191" s="1175"/>
      <c r="AO191" s="1176"/>
      <c r="AP191" s="1177"/>
      <c r="AQ191" s="1547"/>
      <c r="AR191" s="1177"/>
      <c r="AS191" s="1548"/>
      <c r="AT191" s="1549"/>
      <c r="AU191" s="1178"/>
      <c r="AV191" s="1179"/>
      <c r="AY191" s="3">
        <v>1</v>
      </c>
    </row>
    <row r="192" spans="2:51" ht="27" customHeight="1">
      <c r="B192" s="104"/>
      <c r="C192" s="1172"/>
      <c r="D192" s="1172"/>
      <c r="E192" s="1172"/>
      <c r="F192" s="1173"/>
      <c r="G192" s="1174"/>
      <c r="H192" s="1175"/>
      <c r="I192" s="1176"/>
      <c r="J192" s="1177"/>
      <c r="K192" s="1547"/>
      <c r="L192" s="1177"/>
      <c r="M192" s="1548"/>
      <c r="N192" s="1549"/>
      <c r="O192" s="1178"/>
      <c r="P192" s="1179"/>
      <c r="Q192" s="1171"/>
      <c r="R192" s="104"/>
      <c r="S192" s="1172"/>
      <c r="T192" s="1172"/>
      <c r="U192" s="1172"/>
      <c r="V192" s="1173"/>
      <c r="W192" s="1174"/>
      <c r="X192" s="1175"/>
      <c r="Y192" s="1176"/>
      <c r="Z192" s="1177"/>
      <c r="AA192" s="1547"/>
      <c r="AB192" s="1177"/>
      <c r="AC192" s="1548"/>
      <c r="AD192" s="1549"/>
      <c r="AE192" s="1178"/>
      <c r="AF192" s="1179"/>
      <c r="AG192" s="1171"/>
      <c r="AH192" s="104"/>
      <c r="AI192" s="1172"/>
      <c r="AJ192" s="1172"/>
      <c r="AK192" s="1172"/>
      <c r="AL192" s="1173"/>
      <c r="AM192" s="1174"/>
      <c r="AN192" s="1175"/>
      <c r="AO192" s="1176"/>
      <c r="AP192" s="1177"/>
      <c r="AQ192" s="1547"/>
      <c r="AR192" s="1177"/>
      <c r="AS192" s="1548"/>
      <c r="AT192" s="1549"/>
      <c r="AU192" s="1178"/>
      <c r="AV192" s="1179"/>
      <c r="AY192" s="3">
        <v>1</v>
      </c>
    </row>
    <row r="193" spans="2:51" ht="27" customHeight="1">
      <c r="B193" s="104"/>
      <c r="C193" s="1172"/>
      <c r="D193" s="1172"/>
      <c r="E193" s="1172"/>
      <c r="F193" s="1173"/>
      <c r="G193" s="1174"/>
      <c r="H193" s="1175"/>
      <c r="I193" s="1176"/>
      <c r="J193" s="1177"/>
      <c r="K193" s="1547"/>
      <c r="L193" s="1177"/>
      <c r="M193" s="1548"/>
      <c r="N193" s="1549"/>
      <c r="O193" s="1178"/>
      <c r="P193" s="1179"/>
      <c r="Q193" s="1171"/>
      <c r="R193" s="104"/>
      <c r="S193" s="1172"/>
      <c r="T193" s="1172"/>
      <c r="U193" s="1172"/>
      <c r="V193" s="1173"/>
      <c r="W193" s="1174"/>
      <c r="X193" s="1175"/>
      <c r="Y193" s="1176"/>
      <c r="Z193" s="1177"/>
      <c r="AA193" s="1547"/>
      <c r="AB193" s="1177"/>
      <c r="AC193" s="1548"/>
      <c r="AD193" s="1549"/>
      <c r="AE193" s="1178"/>
      <c r="AF193" s="1179"/>
      <c r="AG193" s="1171"/>
      <c r="AH193" s="104"/>
      <c r="AI193" s="1172"/>
      <c r="AJ193" s="1172"/>
      <c r="AK193" s="1172"/>
      <c r="AL193" s="1173"/>
      <c r="AM193" s="1174"/>
      <c r="AN193" s="1175"/>
      <c r="AO193" s="1176"/>
      <c r="AP193" s="1177"/>
      <c r="AQ193" s="1547"/>
      <c r="AR193" s="1177"/>
      <c r="AS193" s="1548"/>
      <c r="AT193" s="1549"/>
      <c r="AU193" s="1178"/>
      <c r="AV193" s="1179"/>
      <c r="AY193" s="3">
        <v>1</v>
      </c>
    </row>
    <row r="194" spans="2:51" ht="27" customHeight="1">
      <c r="B194" s="104"/>
      <c r="C194" s="1172"/>
      <c r="D194" s="1172"/>
      <c r="E194" s="1172"/>
      <c r="F194" s="1173"/>
      <c r="G194" s="1174"/>
      <c r="H194" s="1175"/>
      <c r="I194" s="1176"/>
      <c r="J194" s="1177"/>
      <c r="K194" s="1547"/>
      <c r="L194" s="1177"/>
      <c r="M194" s="1548"/>
      <c r="N194" s="1549"/>
      <c r="O194" s="1178"/>
      <c r="P194" s="1179"/>
      <c r="Q194" s="1171"/>
      <c r="R194" s="104"/>
      <c r="S194" s="1172"/>
      <c r="T194" s="1172"/>
      <c r="U194" s="1172"/>
      <c r="V194" s="1173"/>
      <c r="W194" s="1174"/>
      <c r="X194" s="1175"/>
      <c r="Y194" s="1176"/>
      <c r="Z194" s="1177"/>
      <c r="AA194" s="1547"/>
      <c r="AB194" s="1177"/>
      <c r="AC194" s="1548"/>
      <c r="AD194" s="1549"/>
      <c r="AE194" s="1178"/>
      <c r="AF194" s="1179"/>
      <c r="AG194" s="1171"/>
      <c r="AH194" s="104"/>
      <c r="AI194" s="1172"/>
      <c r="AJ194" s="1172"/>
      <c r="AK194" s="1172"/>
      <c r="AL194" s="1173"/>
      <c r="AM194" s="1174"/>
      <c r="AN194" s="1175"/>
      <c r="AO194" s="1176"/>
      <c r="AP194" s="1177"/>
      <c r="AQ194" s="1547"/>
      <c r="AR194" s="1177"/>
      <c r="AS194" s="1548"/>
      <c r="AT194" s="1549"/>
      <c r="AU194" s="1178"/>
      <c r="AV194" s="1179"/>
      <c r="AY194" s="3">
        <v>1</v>
      </c>
    </row>
    <row r="195" spans="2:51" ht="27" customHeight="1">
      <c r="B195" s="104"/>
      <c r="C195" s="1172"/>
      <c r="D195" s="1172"/>
      <c r="E195" s="1172"/>
      <c r="F195" s="1173"/>
      <c r="G195" s="1174"/>
      <c r="H195" s="1175"/>
      <c r="I195" s="1176"/>
      <c r="J195" s="1177"/>
      <c r="K195" s="1547"/>
      <c r="L195" s="1177"/>
      <c r="M195" s="1548"/>
      <c r="N195" s="1549"/>
      <c r="O195" s="1178"/>
      <c r="P195" s="1179"/>
      <c r="Q195" s="1171"/>
      <c r="R195" s="104"/>
      <c r="S195" s="1172"/>
      <c r="T195" s="1172"/>
      <c r="U195" s="1172"/>
      <c r="V195" s="1173"/>
      <c r="W195" s="1174"/>
      <c r="X195" s="1175"/>
      <c r="Y195" s="1176"/>
      <c r="Z195" s="1177"/>
      <c r="AA195" s="1547"/>
      <c r="AB195" s="1177"/>
      <c r="AC195" s="1548"/>
      <c r="AD195" s="1549"/>
      <c r="AE195" s="1178"/>
      <c r="AF195" s="1179"/>
      <c r="AG195" s="1171"/>
      <c r="AH195" s="104"/>
      <c r="AI195" s="1172"/>
      <c r="AJ195" s="1172"/>
      <c r="AK195" s="1172"/>
      <c r="AL195" s="1173"/>
      <c r="AM195" s="1174"/>
      <c r="AN195" s="1175"/>
      <c r="AO195" s="1176"/>
      <c r="AP195" s="1177"/>
      <c r="AQ195" s="1547"/>
      <c r="AR195" s="1177"/>
      <c r="AS195" s="1548"/>
      <c r="AT195" s="1549"/>
      <c r="AU195" s="1178"/>
      <c r="AV195" s="1179"/>
      <c r="AY195" s="3">
        <v>1</v>
      </c>
    </row>
    <row r="196" spans="2:51" ht="27" customHeight="1">
      <c r="B196" s="104"/>
      <c r="C196" s="1172"/>
      <c r="D196" s="1172"/>
      <c r="E196" s="1172"/>
      <c r="F196" s="1173"/>
      <c r="G196" s="1174"/>
      <c r="H196" s="1175"/>
      <c r="I196" s="1176"/>
      <c r="J196" s="1177"/>
      <c r="K196" s="1547"/>
      <c r="L196" s="1177"/>
      <c r="M196" s="1548"/>
      <c r="N196" s="1549"/>
      <c r="O196" s="1178"/>
      <c r="P196" s="1179"/>
      <c r="Q196" s="1171"/>
      <c r="R196" s="104"/>
      <c r="S196" s="1172"/>
      <c r="T196" s="1172"/>
      <c r="U196" s="1172"/>
      <c r="V196" s="1173"/>
      <c r="W196" s="1174"/>
      <c r="X196" s="1175"/>
      <c r="Y196" s="1176"/>
      <c r="Z196" s="1177"/>
      <c r="AA196" s="1547"/>
      <c r="AB196" s="1177"/>
      <c r="AC196" s="1548"/>
      <c r="AD196" s="1549"/>
      <c r="AE196" s="1178"/>
      <c r="AF196" s="1179"/>
      <c r="AG196" s="1171"/>
      <c r="AH196" s="104"/>
      <c r="AI196" s="1172"/>
      <c r="AJ196" s="1172"/>
      <c r="AK196" s="1172"/>
      <c r="AL196" s="1173"/>
      <c r="AM196" s="1174"/>
      <c r="AN196" s="1175"/>
      <c r="AO196" s="1176"/>
      <c r="AP196" s="1177"/>
      <c r="AQ196" s="1547"/>
      <c r="AR196" s="1177"/>
      <c r="AS196" s="1548"/>
      <c r="AT196" s="1549"/>
      <c r="AU196" s="1178"/>
      <c r="AV196" s="1179"/>
      <c r="AY196" s="3">
        <v>1</v>
      </c>
    </row>
    <row r="197" spans="2:51" ht="27" customHeight="1">
      <c r="B197" s="104"/>
      <c r="C197" s="1172"/>
      <c r="D197" s="1172"/>
      <c r="E197" s="1172"/>
      <c r="F197" s="1173"/>
      <c r="G197" s="1174"/>
      <c r="H197" s="1175"/>
      <c r="I197" s="1176"/>
      <c r="J197" s="1177"/>
      <c r="K197" s="1547"/>
      <c r="L197" s="1177"/>
      <c r="M197" s="1548"/>
      <c r="N197" s="1549"/>
      <c r="O197" s="1178"/>
      <c r="P197" s="1179"/>
      <c r="Q197" s="1171"/>
      <c r="R197" s="104"/>
      <c r="S197" s="1172"/>
      <c r="T197" s="1172"/>
      <c r="U197" s="1172"/>
      <c r="V197" s="1173"/>
      <c r="W197" s="1174"/>
      <c r="X197" s="1175"/>
      <c r="Y197" s="1176"/>
      <c r="Z197" s="1177"/>
      <c r="AA197" s="1547"/>
      <c r="AB197" s="1177"/>
      <c r="AC197" s="1548"/>
      <c r="AD197" s="1549"/>
      <c r="AE197" s="1178"/>
      <c r="AF197" s="1179"/>
      <c r="AG197" s="1171"/>
      <c r="AH197" s="104"/>
      <c r="AI197" s="1172"/>
      <c r="AJ197" s="1172"/>
      <c r="AK197" s="1172"/>
      <c r="AL197" s="1173"/>
      <c r="AM197" s="1174"/>
      <c r="AN197" s="1175"/>
      <c r="AO197" s="1176"/>
      <c r="AP197" s="1177"/>
      <c r="AQ197" s="1547"/>
      <c r="AR197" s="1177"/>
      <c r="AS197" s="1548"/>
      <c r="AT197" s="1549"/>
      <c r="AU197" s="1178"/>
      <c r="AV197" s="1179"/>
      <c r="AY197" s="3">
        <v>1</v>
      </c>
    </row>
    <row r="198" spans="2:51" ht="27" customHeight="1">
      <c r="B198" s="104"/>
      <c r="C198" s="1172"/>
      <c r="D198" s="1172"/>
      <c r="E198" s="1172"/>
      <c r="F198" s="1173"/>
      <c r="G198" s="1174"/>
      <c r="H198" s="1175"/>
      <c r="I198" s="1176"/>
      <c r="J198" s="1177"/>
      <c r="K198" s="1547"/>
      <c r="L198" s="1177"/>
      <c r="M198" s="1548"/>
      <c r="N198" s="1549"/>
      <c r="O198" s="1178"/>
      <c r="P198" s="1179"/>
      <c r="Q198" s="1171"/>
      <c r="R198" s="104"/>
      <c r="S198" s="1172"/>
      <c r="T198" s="1172"/>
      <c r="U198" s="1172"/>
      <c r="V198" s="1173"/>
      <c r="W198" s="1174"/>
      <c r="X198" s="1175"/>
      <c r="Y198" s="1176"/>
      <c r="Z198" s="1177"/>
      <c r="AA198" s="1547"/>
      <c r="AB198" s="1177"/>
      <c r="AC198" s="1548"/>
      <c r="AD198" s="1549"/>
      <c r="AE198" s="1178"/>
      <c r="AF198" s="1179"/>
      <c r="AG198" s="1171"/>
      <c r="AH198" s="104"/>
      <c r="AI198" s="1172"/>
      <c r="AJ198" s="1172"/>
      <c r="AK198" s="1172"/>
      <c r="AL198" s="1173"/>
      <c r="AM198" s="1174"/>
      <c r="AN198" s="1175"/>
      <c r="AO198" s="1176"/>
      <c r="AP198" s="1177"/>
      <c r="AQ198" s="1547"/>
      <c r="AR198" s="1177"/>
      <c r="AS198" s="1548"/>
      <c r="AT198" s="1549"/>
      <c r="AU198" s="1178"/>
      <c r="AV198" s="1179"/>
      <c r="AY198" s="3">
        <v>1</v>
      </c>
    </row>
    <row r="199" spans="2:51" ht="27" customHeight="1">
      <c r="B199" s="104"/>
      <c r="C199" s="1172"/>
      <c r="D199" s="1172"/>
      <c r="E199" s="1172"/>
      <c r="F199" s="1173"/>
      <c r="G199" s="1174"/>
      <c r="H199" s="1175"/>
      <c r="I199" s="1176"/>
      <c r="J199" s="1177"/>
      <c r="K199" s="1547"/>
      <c r="L199" s="1177"/>
      <c r="M199" s="1548"/>
      <c r="N199" s="1549"/>
      <c r="O199" s="1178"/>
      <c r="P199" s="1179"/>
      <c r="Q199" s="1171"/>
      <c r="R199" s="104"/>
      <c r="S199" s="1172"/>
      <c r="T199" s="1172"/>
      <c r="U199" s="1172"/>
      <c r="V199" s="1173"/>
      <c r="W199" s="1174"/>
      <c r="X199" s="1175"/>
      <c r="Y199" s="1176"/>
      <c r="Z199" s="1177"/>
      <c r="AA199" s="1547"/>
      <c r="AB199" s="1177"/>
      <c r="AC199" s="1548"/>
      <c r="AD199" s="1549"/>
      <c r="AE199" s="1178"/>
      <c r="AF199" s="1179"/>
      <c r="AG199" s="1171"/>
      <c r="AH199" s="104"/>
      <c r="AI199" s="1172"/>
      <c r="AJ199" s="1172"/>
      <c r="AK199" s="1172"/>
      <c r="AL199" s="1173"/>
      <c r="AM199" s="1174"/>
      <c r="AN199" s="1175"/>
      <c r="AO199" s="1176"/>
      <c r="AP199" s="1177"/>
      <c r="AQ199" s="1547"/>
      <c r="AR199" s="1177"/>
      <c r="AS199" s="1548"/>
      <c r="AT199" s="1549"/>
      <c r="AU199" s="1178"/>
      <c r="AV199" s="1179"/>
      <c r="AY199" s="3">
        <v>1</v>
      </c>
    </row>
    <row r="200" spans="2:51" ht="27" customHeight="1">
      <c r="B200" s="104"/>
      <c r="C200" s="1172"/>
      <c r="D200" s="1172"/>
      <c r="E200" s="1172"/>
      <c r="F200" s="1173"/>
      <c r="G200" s="1174"/>
      <c r="H200" s="1175"/>
      <c r="I200" s="1176"/>
      <c r="J200" s="1177"/>
      <c r="K200" s="1547"/>
      <c r="L200" s="1177"/>
      <c r="M200" s="1548"/>
      <c r="N200" s="1549"/>
      <c r="O200" s="1178"/>
      <c r="P200" s="1179"/>
      <c r="Q200" s="1171"/>
      <c r="R200" s="104"/>
      <c r="S200" s="1172"/>
      <c r="T200" s="1172"/>
      <c r="U200" s="1172"/>
      <c r="V200" s="1173"/>
      <c r="W200" s="1174"/>
      <c r="X200" s="1175"/>
      <c r="Y200" s="1176"/>
      <c r="Z200" s="1177"/>
      <c r="AA200" s="1547"/>
      <c r="AB200" s="1177"/>
      <c r="AC200" s="1548"/>
      <c r="AD200" s="1549"/>
      <c r="AE200" s="1178"/>
      <c r="AF200" s="1179"/>
      <c r="AG200" s="1171"/>
      <c r="AH200" s="104"/>
      <c r="AI200" s="1172"/>
      <c r="AJ200" s="1172"/>
      <c r="AK200" s="1172"/>
      <c r="AL200" s="1173"/>
      <c r="AM200" s="1174"/>
      <c r="AN200" s="1175"/>
      <c r="AO200" s="1176"/>
      <c r="AP200" s="1177"/>
      <c r="AQ200" s="1547"/>
      <c r="AR200" s="1177"/>
      <c r="AS200" s="1548"/>
      <c r="AT200" s="1549"/>
      <c r="AU200" s="1178"/>
      <c r="AV200" s="1179"/>
      <c r="AY200" s="3">
        <v>1</v>
      </c>
    </row>
    <row r="201" spans="2:51" ht="27" customHeight="1">
      <c r="B201" s="104"/>
      <c r="C201" s="1172"/>
      <c r="D201" s="1172"/>
      <c r="E201" s="1172"/>
      <c r="F201" s="1173"/>
      <c r="G201" s="1174"/>
      <c r="H201" s="1175"/>
      <c r="I201" s="1176"/>
      <c r="J201" s="1177"/>
      <c r="K201" s="1547"/>
      <c r="L201" s="1177"/>
      <c r="M201" s="1548"/>
      <c r="N201" s="1549"/>
      <c r="O201" s="1178"/>
      <c r="P201" s="1179"/>
      <c r="Q201" s="1171"/>
      <c r="R201" s="104"/>
      <c r="S201" s="1172"/>
      <c r="T201" s="1172"/>
      <c r="U201" s="1172"/>
      <c r="V201" s="1173"/>
      <c r="W201" s="1174"/>
      <c r="X201" s="1175"/>
      <c r="Y201" s="1176"/>
      <c r="Z201" s="1177"/>
      <c r="AA201" s="1547"/>
      <c r="AB201" s="1177"/>
      <c r="AC201" s="1548"/>
      <c r="AD201" s="1549"/>
      <c r="AE201" s="1178"/>
      <c r="AF201" s="1179"/>
      <c r="AG201" s="1171"/>
      <c r="AH201" s="104"/>
      <c r="AI201" s="1172"/>
      <c r="AJ201" s="1172"/>
      <c r="AK201" s="1172"/>
      <c r="AL201" s="1173"/>
      <c r="AM201" s="1174"/>
      <c r="AN201" s="1175"/>
      <c r="AO201" s="1176"/>
      <c r="AP201" s="1177"/>
      <c r="AQ201" s="1547"/>
      <c r="AR201" s="1177"/>
      <c r="AS201" s="1548"/>
      <c r="AT201" s="1549"/>
      <c r="AU201" s="1178"/>
      <c r="AV201" s="1179"/>
      <c r="AY201" s="3">
        <v>1</v>
      </c>
    </row>
    <row r="202" spans="2:51" ht="27" customHeight="1">
      <c r="B202" s="104"/>
      <c r="C202" s="1172"/>
      <c r="D202" s="1172"/>
      <c r="E202" s="1172"/>
      <c r="F202" s="1173"/>
      <c r="G202" s="1174"/>
      <c r="H202" s="1175"/>
      <c r="I202" s="1176"/>
      <c r="J202" s="1177"/>
      <c r="K202" s="1547"/>
      <c r="L202" s="1177"/>
      <c r="M202" s="1548"/>
      <c r="N202" s="1549"/>
      <c r="O202" s="1178"/>
      <c r="P202" s="1179"/>
      <c r="Q202" s="1171"/>
      <c r="R202" s="104"/>
      <c r="S202" s="1172"/>
      <c r="T202" s="1172"/>
      <c r="U202" s="1172"/>
      <c r="V202" s="1173"/>
      <c r="W202" s="1174"/>
      <c r="X202" s="1175"/>
      <c r="Y202" s="1176"/>
      <c r="Z202" s="1177"/>
      <c r="AA202" s="1547"/>
      <c r="AB202" s="1177"/>
      <c r="AC202" s="1548"/>
      <c r="AD202" s="1549"/>
      <c r="AE202" s="1178"/>
      <c r="AF202" s="1179"/>
      <c r="AG202" s="1171"/>
      <c r="AH202" s="104"/>
      <c r="AI202" s="1172"/>
      <c r="AJ202" s="1172"/>
      <c r="AK202" s="1172"/>
      <c r="AL202" s="1173"/>
      <c r="AM202" s="1174"/>
      <c r="AN202" s="1175"/>
      <c r="AO202" s="1176"/>
      <c r="AP202" s="1177"/>
      <c r="AQ202" s="1547"/>
      <c r="AR202" s="1177"/>
      <c r="AS202" s="1548"/>
      <c r="AT202" s="1549"/>
      <c r="AU202" s="1178"/>
      <c r="AV202" s="1179"/>
      <c r="AY202" s="3">
        <v>1</v>
      </c>
    </row>
    <row r="203" spans="2:51" ht="27" customHeight="1">
      <c r="B203" s="104"/>
      <c r="C203" s="1172"/>
      <c r="D203" s="1172"/>
      <c r="E203" s="1172"/>
      <c r="F203" s="1173"/>
      <c r="G203" s="1174"/>
      <c r="H203" s="1175"/>
      <c r="I203" s="1176"/>
      <c r="J203" s="1177"/>
      <c r="K203" s="1547"/>
      <c r="L203" s="1177"/>
      <c r="M203" s="1548"/>
      <c r="N203" s="1549"/>
      <c r="O203" s="1178"/>
      <c r="P203" s="1179"/>
      <c r="Q203" s="1171"/>
      <c r="R203" s="104"/>
      <c r="S203" s="1172"/>
      <c r="T203" s="1172"/>
      <c r="U203" s="1172"/>
      <c r="V203" s="1173"/>
      <c r="W203" s="1174"/>
      <c r="X203" s="1175"/>
      <c r="Y203" s="1176"/>
      <c r="Z203" s="1177"/>
      <c r="AA203" s="1547"/>
      <c r="AB203" s="1177"/>
      <c r="AC203" s="1548"/>
      <c r="AD203" s="1549"/>
      <c r="AE203" s="1178"/>
      <c r="AF203" s="1179"/>
      <c r="AG203" s="1171"/>
      <c r="AH203" s="104"/>
      <c r="AI203" s="1172"/>
      <c r="AJ203" s="1172"/>
      <c r="AK203" s="1172"/>
      <c r="AL203" s="1173"/>
      <c r="AM203" s="1174"/>
      <c r="AN203" s="1175"/>
      <c r="AO203" s="1176"/>
      <c r="AP203" s="1177"/>
      <c r="AQ203" s="1547"/>
      <c r="AR203" s="1177"/>
      <c r="AS203" s="1548"/>
      <c r="AT203" s="1549"/>
      <c r="AU203" s="1178"/>
      <c r="AV203" s="1179"/>
      <c r="AY203" s="3">
        <v>1</v>
      </c>
    </row>
    <row r="204" spans="2:51" ht="27" customHeight="1">
      <c r="B204" s="104"/>
      <c r="C204" s="1172"/>
      <c r="D204" s="1172"/>
      <c r="E204" s="1172"/>
      <c r="F204" s="1173"/>
      <c r="G204" s="1174"/>
      <c r="H204" s="1175"/>
      <c r="I204" s="1176"/>
      <c r="J204" s="1177"/>
      <c r="K204" s="1547"/>
      <c r="L204" s="1177"/>
      <c r="M204" s="1548"/>
      <c r="N204" s="1549"/>
      <c r="O204" s="1178"/>
      <c r="P204" s="1179"/>
      <c r="Q204" s="1171"/>
      <c r="R204" s="104"/>
      <c r="S204" s="1172"/>
      <c r="T204" s="1172"/>
      <c r="U204" s="1172"/>
      <c r="V204" s="1173"/>
      <c r="W204" s="1174"/>
      <c r="X204" s="1175"/>
      <c r="Y204" s="1176"/>
      <c r="Z204" s="1177"/>
      <c r="AA204" s="1547"/>
      <c r="AB204" s="1177"/>
      <c r="AC204" s="1548"/>
      <c r="AD204" s="1549"/>
      <c r="AE204" s="1178"/>
      <c r="AF204" s="1179"/>
      <c r="AG204" s="1171"/>
      <c r="AH204" s="104"/>
      <c r="AI204" s="1172"/>
      <c r="AJ204" s="1172"/>
      <c r="AK204" s="1172"/>
      <c r="AL204" s="1173"/>
      <c r="AM204" s="1174"/>
      <c r="AN204" s="1175"/>
      <c r="AO204" s="1176"/>
      <c r="AP204" s="1177"/>
      <c r="AQ204" s="1547"/>
      <c r="AR204" s="1177"/>
      <c r="AS204" s="1548"/>
      <c r="AT204" s="1549"/>
      <c r="AU204" s="1178"/>
      <c r="AV204" s="1179"/>
      <c r="AY204" s="3">
        <v>1</v>
      </c>
    </row>
    <row r="205" spans="2:51" ht="27" customHeight="1">
      <c r="B205" s="104"/>
      <c r="C205" s="1172"/>
      <c r="D205" s="1172"/>
      <c r="E205" s="1172"/>
      <c r="F205" s="1173"/>
      <c r="G205" s="1174"/>
      <c r="H205" s="1175"/>
      <c r="I205" s="1176"/>
      <c r="J205" s="1177"/>
      <c r="K205" s="1547"/>
      <c r="L205" s="1177"/>
      <c r="M205" s="1548"/>
      <c r="N205" s="1549"/>
      <c r="O205" s="1178"/>
      <c r="P205" s="1179"/>
      <c r="Q205" s="1171"/>
      <c r="R205" s="104"/>
      <c r="S205" s="1172"/>
      <c r="T205" s="1172"/>
      <c r="U205" s="1172"/>
      <c r="V205" s="1173"/>
      <c r="W205" s="1174"/>
      <c r="X205" s="1175"/>
      <c r="Y205" s="1176"/>
      <c r="Z205" s="1177"/>
      <c r="AA205" s="1547"/>
      <c r="AB205" s="1177"/>
      <c r="AC205" s="1548"/>
      <c r="AD205" s="1549"/>
      <c r="AE205" s="1178"/>
      <c r="AF205" s="1179"/>
      <c r="AG205" s="1171"/>
      <c r="AH205" s="104"/>
      <c r="AI205" s="1172"/>
      <c r="AJ205" s="1172"/>
      <c r="AK205" s="1172"/>
      <c r="AL205" s="1173"/>
      <c r="AM205" s="1174"/>
      <c r="AN205" s="1175"/>
      <c r="AO205" s="1176"/>
      <c r="AP205" s="1177"/>
      <c r="AQ205" s="1547"/>
      <c r="AR205" s="1177"/>
      <c r="AS205" s="1548"/>
      <c r="AT205" s="1549"/>
      <c r="AU205" s="1178"/>
      <c r="AV205" s="1179"/>
      <c r="AY205" s="3">
        <v>1</v>
      </c>
    </row>
    <row r="206" spans="2:51" ht="27" customHeight="1">
      <c r="B206" s="104"/>
      <c r="C206" s="1172"/>
      <c r="D206" s="1172"/>
      <c r="E206" s="1172"/>
      <c r="F206" s="1173"/>
      <c r="G206" s="1174"/>
      <c r="H206" s="1175"/>
      <c r="I206" s="1176"/>
      <c r="J206" s="1177"/>
      <c r="K206" s="1547"/>
      <c r="L206" s="1177"/>
      <c r="M206" s="1548"/>
      <c r="N206" s="1549"/>
      <c r="O206" s="1178"/>
      <c r="P206" s="1179"/>
      <c r="Q206" s="1171"/>
      <c r="R206" s="104"/>
      <c r="S206" s="1172"/>
      <c r="T206" s="1172"/>
      <c r="U206" s="1172"/>
      <c r="V206" s="1173"/>
      <c r="W206" s="1174"/>
      <c r="X206" s="1175"/>
      <c r="Y206" s="1176"/>
      <c r="Z206" s="1177"/>
      <c r="AA206" s="1547"/>
      <c r="AB206" s="1177"/>
      <c r="AC206" s="1548"/>
      <c r="AD206" s="1549"/>
      <c r="AE206" s="1178"/>
      <c r="AF206" s="1179"/>
      <c r="AG206" s="1171"/>
      <c r="AH206" s="104"/>
      <c r="AI206" s="1172"/>
      <c r="AJ206" s="1172"/>
      <c r="AK206" s="1172"/>
      <c r="AL206" s="1173"/>
      <c r="AM206" s="1174"/>
      <c r="AN206" s="1175"/>
      <c r="AO206" s="1176"/>
      <c r="AP206" s="1177"/>
      <c r="AQ206" s="1547"/>
      <c r="AR206" s="1177"/>
      <c r="AS206" s="1548"/>
      <c r="AT206" s="1549"/>
      <c r="AU206" s="1178"/>
      <c r="AV206" s="1179"/>
      <c r="AY206" s="3">
        <v>1</v>
      </c>
    </row>
    <row r="207" spans="2:51" ht="27" customHeight="1">
      <c r="B207" s="104"/>
      <c r="C207" s="1172"/>
      <c r="D207" s="1172"/>
      <c r="E207" s="1172"/>
      <c r="F207" s="1173"/>
      <c r="G207" s="1174"/>
      <c r="H207" s="1175"/>
      <c r="I207" s="1176"/>
      <c r="J207" s="1177"/>
      <c r="K207" s="1547"/>
      <c r="L207" s="1177"/>
      <c r="M207" s="1548"/>
      <c r="N207" s="1549"/>
      <c r="O207" s="1178"/>
      <c r="P207" s="1179"/>
      <c r="Q207" s="1171"/>
      <c r="R207" s="104"/>
      <c r="S207" s="1172"/>
      <c r="T207" s="1172"/>
      <c r="U207" s="1172"/>
      <c r="V207" s="1173"/>
      <c r="W207" s="1174"/>
      <c r="X207" s="1175"/>
      <c r="Y207" s="1176"/>
      <c r="Z207" s="1177"/>
      <c r="AA207" s="1547"/>
      <c r="AB207" s="1177"/>
      <c r="AC207" s="1548"/>
      <c r="AD207" s="1549"/>
      <c r="AE207" s="1178"/>
      <c r="AF207" s="1179"/>
      <c r="AG207" s="1171"/>
      <c r="AH207" s="104"/>
      <c r="AI207" s="1172"/>
      <c r="AJ207" s="1172"/>
      <c r="AK207" s="1172"/>
      <c r="AL207" s="1173"/>
      <c r="AM207" s="1174"/>
      <c r="AN207" s="1175"/>
      <c r="AO207" s="1176"/>
      <c r="AP207" s="1177"/>
      <c r="AQ207" s="1547"/>
      <c r="AR207" s="1177"/>
      <c r="AS207" s="1548"/>
      <c r="AT207" s="1549"/>
      <c r="AU207" s="1178"/>
      <c r="AV207" s="1179"/>
      <c r="AY207" s="3">
        <v>1</v>
      </c>
    </row>
    <row r="208" spans="2:51" ht="27" customHeight="1">
      <c r="B208" s="104"/>
      <c r="C208" s="1172"/>
      <c r="D208" s="1172"/>
      <c r="E208" s="1172"/>
      <c r="F208" s="1173"/>
      <c r="G208" s="1174"/>
      <c r="H208" s="1175"/>
      <c r="I208" s="1176"/>
      <c r="J208" s="1177"/>
      <c r="K208" s="1547"/>
      <c r="L208" s="1177"/>
      <c r="M208" s="1548"/>
      <c r="N208" s="1549"/>
      <c r="O208" s="1178"/>
      <c r="P208" s="1179"/>
      <c r="Q208" s="1171"/>
      <c r="R208" s="104"/>
      <c r="S208" s="1172"/>
      <c r="T208" s="1172"/>
      <c r="U208" s="1172"/>
      <c r="V208" s="1173"/>
      <c r="W208" s="1174"/>
      <c r="X208" s="1175"/>
      <c r="Y208" s="1176"/>
      <c r="Z208" s="1177"/>
      <c r="AA208" s="1547"/>
      <c r="AB208" s="1177"/>
      <c r="AC208" s="1548"/>
      <c r="AD208" s="1549"/>
      <c r="AE208" s="1178"/>
      <c r="AF208" s="1179"/>
      <c r="AG208" s="1171"/>
      <c r="AH208" s="104"/>
      <c r="AI208" s="1172"/>
      <c r="AJ208" s="1172"/>
      <c r="AK208" s="1172"/>
      <c r="AL208" s="1173"/>
      <c r="AM208" s="1174"/>
      <c r="AN208" s="1175"/>
      <c r="AO208" s="1176"/>
      <c r="AP208" s="1177"/>
      <c r="AQ208" s="1547"/>
      <c r="AR208" s="1177"/>
      <c r="AS208" s="1548"/>
      <c r="AT208" s="1549"/>
      <c r="AU208" s="1178"/>
      <c r="AV208" s="1179"/>
      <c r="AY208" s="3">
        <v>1</v>
      </c>
    </row>
    <row r="209" spans="2:51" ht="27" customHeight="1">
      <c r="B209" s="104"/>
      <c r="C209" s="1172"/>
      <c r="D209" s="1172"/>
      <c r="E209" s="1172"/>
      <c r="F209" s="1173"/>
      <c r="G209" s="1174"/>
      <c r="H209" s="1175"/>
      <c r="I209" s="1176"/>
      <c r="J209" s="1177"/>
      <c r="K209" s="1547"/>
      <c r="L209" s="1177"/>
      <c r="M209" s="1548"/>
      <c r="N209" s="1549"/>
      <c r="O209" s="1178"/>
      <c r="P209" s="1179"/>
      <c r="Q209" s="1171"/>
      <c r="R209" s="104"/>
      <c r="S209" s="1172"/>
      <c r="T209" s="1172"/>
      <c r="U209" s="1172"/>
      <c r="V209" s="1173"/>
      <c r="W209" s="1174"/>
      <c r="X209" s="1175"/>
      <c r="Y209" s="1176"/>
      <c r="Z209" s="1177"/>
      <c r="AA209" s="1547"/>
      <c r="AB209" s="1177"/>
      <c r="AC209" s="1548"/>
      <c r="AD209" s="1549"/>
      <c r="AE209" s="1178"/>
      <c r="AF209" s="1179"/>
      <c r="AG209" s="1171"/>
      <c r="AH209" s="104"/>
      <c r="AI209" s="1172"/>
      <c r="AJ209" s="1172"/>
      <c r="AK209" s="1172"/>
      <c r="AL209" s="1173"/>
      <c r="AM209" s="1174"/>
      <c r="AN209" s="1175"/>
      <c r="AO209" s="1176"/>
      <c r="AP209" s="1177"/>
      <c r="AQ209" s="1547"/>
      <c r="AR209" s="1177"/>
      <c r="AS209" s="1548"/>
      <c r="AT209" s="1549"/>
      <c r="AU209" s="1178"/>
      <c r="AV209" s="1179"/>
      <c r="AY209" s="3">
        <v>1</v>
      </c>
    </row>
    <row r="210" spans="2:51" ht="27" customHeight="1">
      <c r="B210" s="104"/>
      <c r="C210" s="1172"/>
      <c r="D210" s="1172"/>
      <c r="E210" s="1172"/>
      <c r="F210" s="1173"/>
      <c r="G210" s="1174"/>
      <c r="H210" s="1175"/>
      <c r="I210" s="1176"/>
      <c r="J210" s="1177"/>
      <c r="K210" s="1547"/>
      <c r="L210" s="1177"/>
      <c r="M210" s="1548"/>
      <c r="N210" s="1549"/>
      <c r="O210" s="1178"/>
      <c r="P210" s="1179"/>
      <c r="Q210" s="1171"/>
      <c r="R210" s="104"/>
      <c r="S210" s="1172"/>
      <c r="T210" s="1172"/>
      <c r="U210" s="1172"/>
      <c r="V210" s="1173"/>
      <c r="W210" s="1174"/>
      <c r="X210" s="1175"/>
      <c r="Y210" s="1176"/>
      <c r="Z210" s="1177"/>
      <c r="AA210" s="1547"/>
      <c r="AB210" s="1177"/>
      <c r="AC210" s="1548"/>
      <c r="AD210" s="1549"/>
      <c r="AE210" s="1178"/>
      <c r="AF210" s="1179"/>
      <c r="AG210" s="1171"/>
      <c r="AH210" s="104"/>
      <c r="AI210" s="1172"/>
      <c r="AJ210" s="1172"/>
      <c r="AK210" s="1172"/>
      <c r="AL210" s="1173"/>
      <c r="AM210" s="1174"/>
      <c r="AN210" s="1175"/>
      <c r="AO210" s="1176"/>
      <c r="AP210" s="1177"/>
      <c r="AQ210" s="1547"/>
      <c r="AR210" s="1177"/>
      <c r="AS210" s="1548"/>
      <c r="AT210" s="1549"/>
      <c r="AU210" s="1178"/>
      <c r="AV210" s="1179"/>
      <c r="AY210" s="3">
        <v>1</v>
      </c>
    </row>
    <row r="211" spans="2:51" ht="27" customHeight="1">
      <c r="B211" s="104"/>
      <c r="C211" s="1172"/>
      <c r="D211" s="1172"/>
      <c r="E211" s="1172"/>
      <c r="F211" s="1173"/>
      <c r="G211" s="1174"/>
      <c r="H211" s="1175"/>
      <c r="I211" s="1176"/>
      <c r="J211" s="1177"/>
      <c r="K211" s="1547"/>
      <c r="L211" s="1177"/>
      <c r="M211" s="1548"/>
      <c r="N211" s="1549"/>
      <c r="O211" s="1178"/>
      <c r="P211" s="1179"/>
      <c r="Q211" s="1171"/>
      <c r="R211" s="104"/>
      <c r="S211" s="1172"/>
      <c r="T211" s="1172"/>
      <c r="U211" s="1172"/>
      <c r="V211" s="1173"/>
      <c r="W211" s="1174"/>
      <c r="X211" s="1175"/>
      <c r="Y211" s="1176"/>
      <c r="Z211" s="1177"/>
      <c r="AA211" s="1547"/>
      <c r="AB211" s="1177"/>
      <c r="AC211" s="1548"/>
      <c r="AD211" s="1549"/>
      <c r="AE211" s="1178"/>
      <c r="AF211" s="1179"/>
      <c r="AG211" s="1171"/>
      <c r="AH211" s="104"/>
      <c r="AI211" s="1172"/>
      <c r="AJ211" s="1172"/>
      <c r="AK211" s="1172"/>
      <c r="AL211" s="1173"/>
      <c r="AM211" s="1174"/>
      <c r="AN211" s="1175"/>
      <c r="AO211" s="1176"/>
      <c r="AP211" s="1177"/>
      <c r="AQ211" s="1547"/>
      <c r="AR211" s="1177"/>
      <c r="AS211" s="1548"/>
      <c r="AT211" s="1549"/>
      <c r="AU211" s="1178"/>
      <c r="AV211" s="1179"/>
      <c r="AY211" s="3">
        <v>1</v>
      </c>
    </row>
    <row r="212" spans="2:51" ht="27" customHeight="1">
      <c r="B212" s="104"/>
      <c r="C212" s="1172"/>
      <c r="D212" s="1172"/>
      <c r="E212" s="1172"/>
      <c r="F212" s="1173"/>
      <c r="G212" s="1174"/>
      <c r="H212" s="1175"/>
      <c r="I212" s="1176"/>
      <c r="J212" s="1177"/>
      <c r="K212" s="1547"/>
      <c r="L212" s="1177"/>
      <c r="M212" s="1548"/>
      <c r="N212" s="1549"/>
      <c r="O212" s="1178"/>
      <c r="P212" s="1179"/>
      <c r="Q212" s="1171"/>
      <c r="R212" s="104"/>
      <c r="S212" s="1172"/>
      <c r="T212" s="1172"/>
      <c r="U212" s="1172"/>
      <c r="V212" s="1173"/>
      <c r="W212" s="1174"/>
      <c r="X212" s="1175"/>
      <c r="Y212" s="1176"/>
      <c r="Z212" s="1177"/>
      <c r="AA212" s="1547"/>
      <c r="AB212" s="1177"/>
      <c r="AC212" s="1548"/>
      <c r="AD212" s="1549"/>
      <c r="AE212" s="1178"/>
      <c r="AF212" s="1179"/>
      <c r="AG212" s="1171"/>
      <c r="AH212" s="104"/>
      <c r="AI212" s="1172"/>
      <c r="AJ212" s="1172"/>
      <c r="AK212" s="1172"/>
      <c r="AL212" s="1173"/>
      <c r="AM212" s="1174"/>
      <c r="AN212" s="1175"/>
      <c r="AO212" s="1176"/>
      <c r="AP212" s="1177"/>
      <c r="AQ212" s="1547"/>
      <c r="AR212" s="1177"/>
      <c r="AS212" s="1548"/>
      <c r="AT212" s="1549"/>
      <c r="AU212" s="1178"/>
      <c r="AV212" s="1179"/>
      <c r="AY212" s="3">
        <v>1</v>
      </c>
    </row>
    <row r="213" spans="2:51" ht="27" customHeight="1">
      <c r="B213" s="104"/>
      <c r="C213" s="1172"/>
      <c r="D213" s="1172"/>
      <c r="E213" s="1172"/>
      <c r="F213" s="1173"/>
      <c r="G213" s="1174"/>
      <c r="H213" s="1175"/>
      <c r="I213" s="1176"/>
      <c r="J213" s="1177"/>
      <c r="K213" s="1547"/>
      <c r="L213" s="1177"/>
      <c r="M213" s="1548"/>
      <c r="N213" s="1549"/>
      <c r="O213" s="1178"/>
      <c r="P213" s="1179"/>
      <c r="Q213" s="1171"/>
      <c r="R213" s="104"/>
      <c r="S213" s="1172"/>
      <c r="T213" s="1172"/>
      <c r="U213" s="1172"/>
      <c r="V213" s="1173"/>
      <c r="W213" s="1174"/>
      <c r="X213" s="1175"/>
      <c r="Y213" s="1176"/>
      <c r="Z213" s="1177"/>
      <c r="AA213" s="1547"/>
      <c r="AB213" s="1177"/>
      <c r="AC213" s="1548"/>
      <c r="AD213" s="1549"/>
      <c r="AE213" s="1178"/>
      <c r="AF213" s="1179"/>
      <c r="AG213" s="1171"/>
      <c r="AH213" s="104"/>
      <c r="AI213" s="1172"/>
      <c r="AJ213" s="1172"/>
      <c r="AK213" s="1172"/>
      <c r="AL213" s="1173"/>
      <c r="AM213" s="1174"/>
      <c r="AN213" s="1175"/>
      <c r="AO213" s="1176"/>
      <c r="AP213" s="1177"/>
      <c r="AQ213" s="1547"/>
      <c r="AR213" s="1177"/>
      <c r="AS213" s="1548"/>
      <c r="AT213" s="1549"/>
      <c r="AU213" s="1178"/>
      <c r="AV213" s="1179"/>
      <c r="AY213" s="3">
        <v>1</v>
      </c>
    </row>
    <row r="214" spans="2:51" ht="27" customHeight="1">
      <c r="B214" s="104"/>
      <c r="C214" s="1172"/>
      <c r="D214" s="1172"/>
      <c r="E214" s="1172"/>
      <c r="F214" s="1173"/>
      <c r="G214" s="1174"/>
      <c r="H214" s="1175"/>
      <c r="I214" s="1176"/>
      <c r="J214" s="1177"/>
      <c r="K214" s="1547"/>
      <c r="L214" s="1177"/>
      <c r="M214" s="1548"/>
      <c r="N214" s="1549"/>
      <c r="O214" s="1178"/>
      <c r="P214" s="1179"/>
      <c r="Q214" s="1171"/>
      <c r="R214" s="104"/>
      <c r="S214" s="1172"/>
      <c r="T214" s="1172"/>
      <c r="U214" s="1172"/>
      <c r="V214" s="1173"/>
      <c r="W214" s="1174"/>
      <c r="X214" s="1175"/>
      <c r="Y214" s="1176"/>
      <c r="Z214" s="1177"/>
      <c r="AA214" s="1547"/>
      <c r="AB214" s="1177"/>
      <c r="AC214" s="1548"/>
      <c r="AD214" s="1549"/>
      <c r="AE214" s="1178"/>
      <c r="AF214" s="1179"/>
      <c r="AG214" s="1171"/>
      <c r="AH214" s="104"/>
      <c r="AI214" s="1172"/>
      <c r="AJ214" s="1172"/>
      <c r="AK214" s="1172"/>
      <c r="AL214" s="1173"/>
      <c r="AM214" s="1174"/>
      <c r="AN214" s="1175"/>
      <c r="AO214" s="1176"/>
      <c r="AP214" s="1177"/>
      <c r="AQ214" s="1547"/>
      <c r="AR214" s="1177"/>
      <c r="AS214" s="1548"/>
      <c r="AT214" s="1549"/>
      <c r="AU214" s="1178"/>
      <c r="AV214" s="1179"/>
      <c r="AY214" s="3">
        <v>1</v>
      </c>
    </row>
    <row r="215" spans="2:51" ht="27" customHeight="1">
      <c r="B215" s="104"/>
      <c r="C215" s="1172"/>
      <c r="D215" s="1172"/>
      <c r="E215" s="1172"/>
      <c r="F215" s="1173"/>
      <c r="G215" s="1174"/>
      <c r="H215" s="1175"/>
      <c r="I215" s="1176"/>
      <c r="J215" s="1177"/>
      <c r="K215" s="1547"/>
      <c r="L215" s="1177"/>
      <c r="M215" s="1548"/>
      <c r="N215" s="1549"/>
      <c r="O215" s="1178"/>
      <c r="P215" s="1179"/>
      <c r="Q215" s="1171"/>
      <c r="R215" s="104"/>
      <c r="S215" s="1172"/>
      <c r="T215" s="1172"/>
      <c r="U215" s="1172"/>
      <c r="V215" s="1173"/>
      <c r="W215" s="1174"/>
      <c r="X215" s="1175"/>
      <c r="Y215" s="1176"/>
      <c r="Z215" s="1177"/>
      <c r="AA215" s="1547"/>
      <c r="AB215" s="1177"/>
      <c r="AC215" s="1548"/>
      <c r="AD215" s="1549"/>
      <c r="AE215" s="1178"/>
      <c r="AF215" s="1179"/>
      <c r="AG215" s="1171"/>
      <c r="AH215" s="104"/>
      <c r="AI215" s="1172"/>
      <c r="AJ215" s="1172"/>
      <c r="AK215" s="1172"/>
      <c r="AL215" s="1173"/>
      <c r="AM215" s="1174"/>
      <c r="AN215" s="1175"/>
      <c r="AO215" s="1176"/>
      <c r="AP215" s="1177"/>
      <c r="AQ215" s="1547"/>
      <c r="AR215" s="1177"/>
      <c r="AS215" s="1548"/>
      <c r="AT215" s="1549"/>
      <c r="AU215" s="1178"/>
      <c r="AV215" s="1179"/>
      <c r="AY215" s="3">
        <v>1</v>
      </c>
    </row>
    <row r="216" spans="2:51" ht="27" customHeight="1">
      <c r="B216" s="104"/>
      <c r="C216" s="1172"/>
      <c r="D216" s="1172"/>
      <c r="E216" s="1172"/>
      <c r="F216" s="1173"/>
      <c r="G216" s="1174"/>
      <c r="H216" s="1175"/>
      <c r="I216" s="1176"/>
      <c r="J216" s="1177"/>
      <c r="K216" s="1547"/>
      <c r="L216" s="1177"/>
      <c r="M216" s="1548"/>
      <c r="N216" s="1549"/>
      <c r="O216" s="1178"/>
      <c r="P216" s="1179"/>
      <c r="Q216" s="1171"/>
      <c r="R216" s="104"/>
      <c r="S216" s="1172"/>
      <c r="T216" s="1172"/>
      <c r="U216" s="1172"/>
      <c r="V216" s="1173"/>
      <c r="W216" s="1174"/>
      <c r="X216" s="1175"/>
      <c r="Y216" s="1176"/>
      <c r="Z216" s="1177"/>
      <c r="AA216" s="1547"/>
      <c r="AB216" s="1177"/>
      <c r="AC216" s="1548"/>
      <c r="AD216" s="1549"/>
      <c r="AE216" s="1178"/>
      <c r="AF216" s="1179"/>
      <c r="AG216" s="1171"/>
      <c r="AH216" s="104"/>
      <c r="AI216" s="1172"/>
      <c r="AJ216" s="1172"/>
      <c r="AK216" s="1172"/>
      <c r="AL216" s="1173"/>
      <c r="AM216" s="1174"/>
      <c r="AN216" s="1175"/>
      <c r="AO216" s="1176"/>
      <c r="AP216" s="1177"/>
      <c r="AQ216" s="1547"/>
      <c r="AR216" s="1177"/>
      <c r="AS216" s="1548"/>
      <c r="AT216" s="1549"/>
      <c r="AU216" s="1178"/>
      <c r="AV216" s="1179"/>
      <c r="AY216" s="3">
        <v>1</v>
      </c>
    </row>
    <row r="217" spans="2:51" ht="27" customHeight="1">
      <c r="B217" s="104"/>
      <c r="C217" s="1172"/>
      <c r="D217" s="1172"/>
      <c r="E217" s="1172"/>
      <c r="F217" s="1173"/>
      <c r="G217" s="1174"/>
      <c r="H217" s="1175"/>
      <c r="I217" s="1176"/>
      <c r="J217" s="1177"/>
      <c r="K217" s="1547"/>
      <c r="L217" s="1177"/>
      <c r="M217" s="1548"/>
      <c r="N217" s="1549"/>
      <c r="O217" s="1178"/>
      <c r="P217" s="1179"/>
      <c r="Q217" s="1171"/>
      <c r="R217" s="104"/>
      <c r="S217" s="1172"/>
      <c r="T217" s="1172"/>
      <c r="U217" s="1172"/>
      <c r="V217" s="1173"/>
      <c r="W217" s="1174"/>
      <c r="X217" s="1175"/>
      <c r="Y217" s="1176"/>
      <c r="Z217" s="1177"/>
      <c r="AA217" s="1547"/>
      <c r="AB217" s="1177"/>
      <c r="AC217" s="1548"/>
      <c r="AD217" s="1549"/>
      <c r="AE217" s="1178"/>
      <c r="AF217" s="1179"/>
      <c r="AG217" s="1171"/>
      <c r="AH217" s="104"/>
      <c r="AI217" s="1172"/>
      <c r="AJ217" s="1172"/>
      <c r="AK217" s="1172"/>
      <c r="AL217" s="1173"/>
      <c r="AM217" s="1174"/>
      <c r="AN217" s="1175"/>
      <c r="AO217" s="1176"/>
      <c r="AP217" s="1177"/>
      <c r="AQ217" s="1547"/>
      <c r="AR217" s="1177"/>
      <c r="AS217" s="1548"/>
      <c r="AT217" s="1549"/>
      <c r="AU217" s="1178"/>
      <c r="AV217" s="1179"/>
      <c r="AY217" s="3">
        <v>1</v>
      </c>
    </row>
    <row r="218" spans="2:51" ht="27" customHeight="1">
      <c r="B218" s="104"/>
      <c r="C218" s="1172"/>
      <c r="D218" s="1172"/>
      <c r="E218" s="1172"/>
      <c r="F218" s="1173"/>
      <c r="G218" s="1174"/>
      <c r="H218" s="1175"/>
      <c r="I218" s="1176"/>
      <c r="J218" s="1177"/>
      <c r="K218" s="1547"/>
      <c r="L218" s="1177"/>
      <c r="M218" s="1548"/>
      <c r="N218" s="1549"/>
      <c r="O218" s="1178"/>
      <c r="P218" s="1179"/>
      <c r="Q218" s="1171"/>
      <c r="R218" s="104"/>
      <c r="S218" s="1172"/>
      <c r="T218" s="1172"/>
      <c r="U218" s="1172"/>
      <c r="V218" s="1173"/>
      <c r="W218" s="1174"/>
      <c r="X218" s="1175"/>
      <c r="Y218" s="1176"/>
      <c r="Z218" s="1177"/>
      <c r="AA218" s="1547"/>
      <c r="AB218" s="1177"/>
      <c r="AC218" s="1548"/>
      <c r="AD218" s="1549"/>
      <c r="AE218" s="1178"/>
      <c r="AF218" s="1179"/>
      <c r="AG218" s="1171"/>
      <c r="AH218" s="104"/>
      <c r="AI218" s="1172"/>
      <c r="AJ218" s="1172"/>
      <c r="AK218" s="1172"/>
      <c r="AL218" s="1173"/>
      <c r="AM218" s="1174"/>
      <c r="AN218" s="1175"/>
      <c r="AO218" s="1176"/>
      <c r="AP218" s="1177"/>
      <c r="AQ218" s="1547"/>
      <c r="AR218" s="1177"/>
      <c r="AS218" s="1548"/>
      <c r="AT218" s="1549"/>
      <c r="AU218" s="1178"/>
      <c r="AV218" s="1179"/>
      <c r="AY218" s="3">
        <v>1</v>
      </c>
    </row>
    <row r="219" spans="2:51" ht="27" customHeight="1">
      <c r="B219" s="104"/>
      <c r="C219" s="1172"/>
      <c r="D219" s="1172"/>
      <c r="E219" s="1172"/>
      <c r="F219" s="1173"/>
      <c r="G219" s="1174"/>
      <c r="H219" s="1175"/>
      <c r="I219" s="1176"/>
      <c r="J219" s="1177"/>
      <c r="K219" s="1547"/>
      <c r="L219" s="1177"/>
      <c r="M219" s="1548"/>
      <c r="N219" s="1549"/>
      <c r="O219" s="1178"/>
      <c r="P219" s="1179"/>
      <c r="Q219" s="1171"/>
      <c r="R219" s="104"/>
      <c r="S219" s="1172"/>
      <c r="T219" s="1172"/>
      <c r="U219" s="1172"/>
      <c r="V219" s="1173"/>
      <c r="W219" s="1174"/>
      <c r="X219" s="1175"/>
      <c r="Y219" s="1176"/>
      <c r="Z219" s="1177"/>
      <c r="AA219" s="1547"/>
      <c r="AB219" s="1177"/>
      <c r="AC219" s="1548"/>
      <c r="AD219" s="1549"/>
      <c r="AE219" s="1178"/>
      <c r="AF219" s="1179"/>
      <c r="AG219" s="1171"/>
      <c r="AH219" s="104"/>
      <c r="AI219" s="1172"/>
      <c r="AJ219" s="1172"/>
      <c r="AK219" s="1172"/>
      <c r="AL219" s="1173"/>
      <c r="AM219" s="1174"/>
      <c r="AN219" s="1175"/>
      <c r="AO219" s="1176"/>
      <c r="AP219" s="1177"/>
      <c r="AQ219" s="1547"/>
      <c r="AR219" s="1177"/>
      <c r="AS219" s="1548"/>
      <c r="AT219" s="1549"/>
      <c r="AU219" s="1178"/>
      <c r="AV219" s="1179"/>
      <c r="AY219" s="3">
        <v>1</v>
      </c>
    </row>
    <row r="220" spans="2:51" ht="27" customHeight="1">
      <c r="B220" s="104"/>
      <c r="C220" s="1172"/>
      <c r="D220" s="1172"/>
      <c r="E220" s="1172"/>
      <c r="F220" s="1173"/>
      <c r="G220" s="1174"/>
      <c r="H220" s="1175"/>
      <c r="I220" s="1176"/>
      <c r="J220" s="1177"/>
      <c r="K220" s="1547"/>
      <c r="L220" s="1177"/>
      <c r="M220" s="1548"/>
      <c r="N220" s="1549"/>
      <c r="O220" s="1178"/>
      <c r="P220" s="1179"/>
      <c r="Q220" s="1171"/>
      <c r="R220" s="104"/>
      <c r="S220" s="1172"/>
      <c r="T220" s="1172"/>
      <c r="U220" s="1172"/>
      <c r="V220" s="1173"/>
      <c r="W220" s="1174"/>
      <c r="X220" s="1175"/>
      <c r="Y220" s="1176"/>
      <c r="Z220" s="1177"/>
      <c r="AA220" s="1547"/>
      <c r="AB220" s="1177"/>
      <c r="AC220" s="1548"/>
      <c r="AD220" s="1549"/>
      <c r="AE220" s="1178"/>
      <c r="AF220" s="1179"/>
      <c r="AG220" s="1171"/>
      <c r="AH220" s="104"/>
      <c r="AI220" s="1172"/>
      <c r="AJ220" s="1172"/>
      <c r="AK220" s="1172"/>
      <c r="AL220" s="1173"/>
      <c r="AM220" s="1174"/>
      <c r="AN220" s="1175"/>
      <c r="AO220" s="1176"/>
      <c r="AP220" s="1177"/>
      <c r="AQ220" s="1547"/>
      <c r="AR220" s="1177"/>
      <c r="AS220" s="1548"/>
      <c r="AT220" s="1549"/>
      <c r="AU220" s="1178"/>
      <c r="AV220" s="1179"/>
      <c r="AY220" s="3">
        <v>1</v>
      </c>
    </row>
    <row r="221" spans="2:51" ht="27" customHeight="1">
      <c r="B221" s="104"/>
      <c r="C221" s="1172"/>
      <c r="D221" s="1172"/>
      <c r="E221" s="1172"/>
      <c r="F221" s="1173"/>
      <c r="G221" s="1174"/>
      <c r="H221" s="1175"/>
      <c r="I221" s="1176"/>
      <c r="J221" s="1177"/>
      <c r="K221" s="1547"/>
      <c r="L221" s="1177"/>
      <c r="M221" s="1548"/>
      <c r="N221" s="1549"/>
      <c r="O221" s="1178"/>
      <c r="P221" s="1179"/>
      <c r="Q221" s="1171"/>
      <c r="R221" s="104"/>
      <c r="S221" s="1172"/>
      <c r="T221" s="1172"/>
      <c r="U221" s="1172"/>
      <c r="V221" s="1173"/>
      <c r="W221" s="1174"/>
      <c r="X221" s="1175"/>
      <c r="Y221" s="1176"/>
      <c r="Z221" s="1177"/>
      <c r="AA221" s="1547"/>
      <c r="AB221" s="1177"/>
      <c r="AC221" s="1548"/>
      <c r="AD221" s="1549"/>
      <c r="AE221" s="1178"/>
      <c r="AF221" s="1179"/>
      <c r="AG221" s="1171"/>
      <c r="AH221" s="104"/>
      <c r="AI221" s="1172"/>
      <c r="AJ221" s="1172"/>
      <c r="AK221" s="1172"/>
      <c r="AL221" s="1173"/>
      <c r="AM221" s="1174"/>
      <c r="AN221" s="1175"/>
      <c r="AO221" s="1176"/>
      <c r="AP221" s="1177"/>
      <c r="AQ221" s="1547"/>
      <c r="AR221" s="1177"/>
      <c r="AS221" s="1548"/>
      <c r="AT221" s="1549"/>
      <c r="AU221" s="1178"/>
      <c r="AV221" s="1179"/>
      <c r="AY221" s="3">
        <v>1</v>
      </c>
    </row>
    <row r="222" spans="2:51" ht="27" customHeight="1">
      <c r="B222" s="104"/>
      <c r="C222" s="1172"/>
      <c r="D222" s="1172"/>
      <c r="E222" s="1172"/>
      <c r="F222" s="1173"/>
      <c r="G222" s="1174"/>
      <c r="H222" s="1175"/>
      <c r="I222" s="1176"/>
      <c r="J222" s="1177"/>
      <c r="K222" s="1547"/>
      <c r="L222" s="1177"/>
      <c r="M222" s="1548"/>
      <c r="N222" s="1549"/>
      <c r="O222" s="1178"/>
      <c r="P222" s="1179"/>
      <c r="Q222" s="1171"/>
      <c r="R222" s="104"/>
      <c r="S222" s="1172"/>
      <c r="T222" s="1172"/>
      <c r="U222" s="1172"/>
      <c r="V222" s="1173"/>
      <c r="W222" s="1174"/>
      <c r="X222" s="1175"/>
      <c r="Y222" s="1176"/>
      <c r="Z222" s="1177"/>
      <c r="AA222" s="1547"/>
      <c r="AB222" s="1177"/>
      <c r="AC222" s="1548"/>
      <c r="AD222" s="1549"/>
      <c r="AE222" s="1178"/>
      <c r="AF222" s="1179"/>
      <c r="AG222" s="1171"/>
      <c r="AH222" s="104"/>
      <c r="AI222" s="1172"/>
      <c r="AJ222" s="1172"/>
      <c r="AK222" s="1172"/>
      <c r="AL222" s="1173"/>
      <c r="AM222" s="1174"/>
      <c r="AN222" s="1175"/>
      <c r="AO222" s="1176"/>
      <c r="AP222" s="1177"/>
      <c r="AQ222" s="1547"/>
      <c r="AR222" s="1177"/>
      <c r="AS222" s="1548"/>
      <c r="AT222" s="1549"/>
      <c r="AU222" s="1178"/>
      <c r="AV222" s="1179"/>
      <c r="AY222" s="3">
        <v>1</v>
      </c>
    </row>
    <row r="223" spans="2:51" ht="27" customHeight="1">
      <c r="B223" s="104"/>
      <c r="C223" s="1172"/>
      <c r="D223" s="1172"/>
      <c r="E223" s="1172"/>
      <c r="F223" s="1173"/>
      <c r="G223" s="1174"/>
      <c r="H223" s="1175"/>
      <c r="I223" s="1176"/>
      <c r="J223" s="1177"/>
      <c r="K223" s="1547"/>
      <c r="L223" s="1177"/>
      <c r="M223" s="1548"/>
      <c r="N223" s="1549"/>
      <c r="O223" s="1178"/>
      <c r="P223" s="1179"/>
      <c r="Q223" s="1171"/>
      <c r="R223" s="104"/>
      <c r="S223" s="1172"/>
      <c r="T223" s="1172"/>
      <c r="U223" s="1172"/>
      <c r="V223" s="1173"/>
      <c r="W223" s="1174"/>
      <c r="X223" s="1175"/>
      <c r="Y223" s="1176"/>
      <c r="Z223" s="1177"/>
      <c r="AA223" s="1547"/>
      <c r="AB223" s="1177"/>
      <c r="AC223" s="1548"/>
      <c r="AD223" s="1549"/>
      <c r="AE223" s="1178"/>
      <c r="AF223" s="1179"/>
      <c r="AG223" s="1171"/>
      <c r="AH223" s="104"/>
      <c r="AI223" s="1172"/>
      <c r="AJ223" s="1172"/>
      <c r="AK223" s="1172"/>
      <c r="AL223" s="1173"/>
      <c r="AM223" s="1174"/>
      <c r="AN223" s="1175"/>
      <c r="AO223" s="1176"/>
      <c r="AP223" s="1177"/>
      <c r="AQ223" s="1547"/>
      <c r="AR223" s="1177"/>
      <c r="AS223" s="1548"/>
      <c r="AT223" s="1549"/>
      <c r="AU223" s="1178"/>
      <c r="AV223" s="1179"/>
      <c r="AY223" s="3">
        <v>1</v>
      </c>
    </row>
    <row r="224" spans="2:51" ht="27" customHeight="1">
      <c r="B224" s="104"/>
      <c r="C224" s="1172"/>
      <c r="D224" s="1172"/>
      <c r="E224" s="1172"/>
      <c r="F224" s="1173"/>
      <c r="G224" s="1174"/>
      <c r="H224" s="1175"/>
      <c r="I224" s="1176"/>
      <c r="J224" s="1177"/>
      <c r="K224" s="1547"/>
      <c r="L224" s="1177"/>
      <c r="M224" s="1548"/>
      <c r="N224" s="1549"/>
      <c r="O224" s="1178"/>
      <c r="P224" s="1179"/>
      <c r="Q224" s="1171"/>
      <c r="R224" s="104"/>
      <c r="S224" s="1172"/>
      <c r="T224" s="1172"/>
      <c r="U224" s="1172"/>
      <c r="V224" s="1173"/>
      <c r="W224" s="1174"/>
      <c r="X224" s="1175"/>
      <c r="Y224" s="1176"/>
      <c r="Z224" s="1177"/>
      <c r="AA224" s="1547"/>
      <c r="AB224" s="1177"/>
      <c r="AC224" s="1548"/>
      <c r="AD224" s="1549"/>
      <c r="AE224" s="1178"/>
      <c r="AF224" s="1179"/>
      <c r="AG224" s="1171"/>
      <c r="AH224" s="104"/>
      <c r="AI224" s="1172"/>
      <c r="AJ224" s="1172"/>
      <c r="AK224" s="1172"/>
      <c r="AL224" s="1173"/>
      <c r="AM224" s="1174"/>
      <c r="AN224" s="1175"/>
      <c r="AO224" s="1176"/>
      <c r="AP224" s="1177"/>
      <c r="AQ224" s="1547"/>
      <c r="AR224" s="1177"/>
      <c r="AS224" s="1548"/>
      <c r="AT224" s="1549"/>
      <c r="AU224" s="1178"/>
      <c r="AV224" s="1179"/>
      <c r="AY224" s="3">
        <v>1</v>
      </c>
    </row>
    <row r="225" spans="2:51" ht="27" customHeight="1">
      <c r="B225" s="104"/>
      <c r="C225" s="1172"/>
      <c r="D225" s="1172"/>
      <c r="E225" s="1172"/>
      <c r="F225" s="1173"/>
      <c r="G225" s="1174"/>
      <c r="H225" s="1175"/>
      <c r="I225" s="1176"/>
      <c r="J225" s="1177"/>
      <c r="K225" s="1547"/>
      <c r="L225" s="1177"/>
      <c r="M225" s="1548"/>
      <c r="N225" s="1549"/>
      <c r="O225" s="1178"/>
      <c r="P225" s="1179"/>
      <c r="Q225" s="1171"/>
      <c r="R225" s="104"/>
      <c r="S225" s="1172"/>
      <c r="T225" s="1172"/>
      <c r="U225" s="1172"/>
      <c r="V225" s="1173"/>
      <c r="W225" s="1174"/>
      <c r="X225" s="1175"/>
      <c r="Y225" s="1176"/>
      <c r="Z225" s="1177"/>
      <c r="AA225" s="1547"/>
      <c r="AB225" s="1177"/>
      <c r="AC225" s="1548"/>
      <c r="AD225" s="1549"/>
      <c r="AE225" s="1178"/>
      <c r="AF225" s="1179"/>
      <c r="AG225" s="1171"/>
      <c r="AH225" s="104"/>
      <c r="AI225" s="1172"/>
      <c r="AJ225" s="1172"/>
      <c r="AK225" s="1172"/>
      <c r="AL225" s="1173"/>
      <c r="AM225" s="1174"/>
      <c r="AN225" s="1175"/>
      <c r="AO225" s="1176"/>
      <c r="AP225" s="1177"/>
      <c r="AQ225" s="1547"/>
      <c r="AR225" s="1177"/>
      <c r="AS225" s="1548"/>
      <c r="AT225" s="1549"/>
      <c r="AU225" s="1178"/>
      <c r="AV225" s="1179"/>
      <c r="AY225" s="3">
        <v>1</v>
      </c>
    </row>
    <row r="226" spans="2:51" ht="27" customHeight="1">
      <c r="B226" s="104"/>
      <c r="C226" s="1172"/>
      <c r="D226" s="1172"/>
      <c r="E226" s="1172"/>
      <c r="F226" s="1173"/>
      <c r="G226" s="1174"/>
      <c r="H226" s="1175"/>
      <c r="I226" s="1176"/>
      <c r="J226" s="1177"/>
      <c r="K226" s="1547"/>
      <c r="L226" s="1177"/>
      <c r="M226" s="1548"/>
      <c r="N226" s="1549"/>
      <c r="O226" s="1178"/>
      <c r="P226" s="1179"/>
      <c r="Q226" s="1171"/>
      <c r="R226" s="104"/>
      <c r="S226" s="1172"/>
      <c r="T226" s="1172"/>
      <c r="U226" s="1172"/>
      <c r="V226" s="1173"/>
      <c r="W226" s="1174"/>
      <c r="X226" s="1175"/>
      <c r="Y226" s="1176"/>
      <c r="Z226" s="1177"/>
      <c r="AA226" s="1547"/>
      <c r="AB226" s="1177"/>
      <c r="AC226" s="1548"/>
      <c r="AD226" s="1549"/>
      <c r="AE226" s="1178"/>
      <c r="AF226" s="1179"/>
      <c r="AG226" s="1171"/>
      <c r="AH226" s="104"/>
      <c r="AI226" s="1172"/>
      <c r="AJ226" s="1172"/>
      <c r="AK226" s="1172"/>
      <c r="AL226" s="1173"/>
      <c r="AM226" s="1174"/>
      <c r="AN226" s="1175"/>
      <c r="AO226" s="1176"/>
      <c r="AP226" s="1177"/>
      <c r="AQ226" s="1547"/>
      <c r="AR226" s="1177"/>
      <c r="AS226" s="1548"/>
      <c r="AT226" s="1549"/>
      <c r="AU226" s="1178"/>
      <c r="AV226" s="1179"/>
      <c r="AY226" s="3">
        <v>1</v>
      </c>
    </row>
    <row r="227" spans="2:51" ht="27" customHeight="1">
      <c r="B227" s="104"/>
      <c r="C227" s="1172"/>
      <c r="D227" s="1172"/>
      <c r="E227" s="1172"/>
      <c r="F227" s="1173"/>
      <c r="G227" s="1174"/>
      <c r="H227" s="1175"/>
      <c r="I227" s="1176"/>
      <c r="J227" s="1177"/>
      <c r="K227" s="1547"/>
      <c r="L227" s="1177"/>
      <c r="M227" s="1548"/>
      <c r="N227" s="1549"/>
      <c r="O227" s="1178"/>
      <c r="P227" s="1179"/>
      <c r="Q227" s="1171"/>
      <c r="R227" s="104"/>
      <c r="S227" s="1172"/>
      <c r="T227" s="1172"/>
      <c r="U227" s="1172"/>
      <c r="V227" s="1173"/>
      <c r="W227" s="1174"/>
      <c r="X227" s="1175"/>
      <c r="Y227" s="1176"/>
      <c r="Z227" s="1177"/>
      <c r="AA227" s="1547"/>
      <c r="AB227" s="1177"/>
      <c r="AC227" s="1548"/>
      <c r="AD227" s="1549"/>
      <c r="AE227" s="1178"/>
      <c r="AF227" s="1179"/>
      <c r="AG227" s="1171"/>
      <c r="AH227" s="104"/>
      <c r="AI227" s="1172"/>
      <c r="AJ227" s="1172"/>
      <c r="AK227" s="1172"/>
      <c r="AL227" s="1173"/>
      <c r="AM227" s="1174"/>
      <c r="AN227" s="1175"/>
      <c r="AO227" s="1176"/>
      <c r="AP227" s="1177"/>
      <c r="AQ227" s="1547"/>
      <c r="AR227" s="1177"/>
      <c r="AS227" s="1548"/>
      <c r="AT227" s="1549"/>
      <c r="AU227" s="1178"/>
      <c r="AV227" s="1179"/>
      <c r="AY227" s="3">
        <v>1</v>
      </c>
    </row>
    <row r="228" spans="2:51" ht="27" customHeight="1">
      <c r="B228" s="104"/>
      <c r="C228" s="1172"/>
      <c r="D228" s="1172"/>
      <c r="E228" s="1172"/>
      <c r="F228" s="1173"/>
      <c r="G228" s="1174"/>
      <c r="H228" s="1175"/>
      <c r="I228" s="1176"/>
      <c r="J228" s="1177"/>
      <c r="K228" s="1547"/>
      <c r="L228" s="1177"/>
      <c r="M228" s="1548"/>
      <c r="N228" s="1549"/>
      <c r="O228" s="1178"/>
      <c r="P228" s="1179"/>
      <c r="Q228" s="1180"/>
      <c r="R228" s="104"/>
      <c r="S228" s="1172"/>
      <c r="T228" s="1172"/>
      <c r="U228" s="1172"/>
      <c r="V228" s="1173"/>
      <c r="W228" s="1174"/>
      <c r="X228" s="1175"/>
      <c r="Y228" s="1176"/>
      <c r="Z228" s="1177"/>
      <c r="AA228" s="1547"/>
      <c r="AB228" s="1177"/>
      <c r="AC228" s="1548"/>
      <c r="AD228" s="1549"/>
      <c r="AE228" s="1178"/>
      <c r="AF228" s="1179"/>
      <c r="AG228" s="1171"/>
      <c r="AH228" s="104"/>
      <c r="AI228" s="1172"/>
      <c r="AJ228" s="1172"/>
      <c r="AK228" s="1172"/>
      <c r="AL228" s="1173"/>
      <c r="AM228" s="1174"/>
      <c r="AN228" s="1175"/>
      <c r="AO228" s="1176"/>
      <c r="AP228" s="1177"/>
      <c r="AQ228" s="1547"/>
      <c r="AR228" s="1177"/>
      <c r="AS228" s="1548"/>
      <c r="AT228" s="1549"/>
      <c r="AU228" s="1178"/>
      <c r="AV228" s="1179"/>
      <c r="AY228" s="3">
        <v>1</v>
      </c>
    </row>
    <row r="229" spans="2:51" ht="27" customHeight="1">
      <c r="B229" s="104"/>
      <c r="C229" s="1172"/>
      <c r="D229" s="1172"/>
      <c r="E229" s="1172"/>
      <c r="F229" s="1173"/>
      <c r="G229" s="1174"/>
      <c r="H229" s="1175"/>
      <c r="I229" s="1176"/>
      <c r="J229" s="1177"/>
      <c r="K229" s="1547"/>
      <c r="L229" s="1177"/>
      <c r="M229" s="1548"/>
      <c r="N229" s="1549"/>
      <c r="O229" s="1178"/>
      <c r="P229" s="1179"/>
      <c r="Q229" s="1180"/>
      <c r="R229" s="104"/>
      <c r="S229" s="1172"/>
      <c r="T229" s="1172"/>
      <c r="U229" s="1172"/>
      <c r="V229" s="1173"/>
      <c r="W229" s="1174"/>
      <c r="X229" s="1175"/>
      <c r="Y229" s="1176"/>
      <c r="Z229" s="1177"/>
      <c r="AA229" s="1547"/>
      <c r="AB229" s="1177"/>
      <c r="AC229" s="1548"/>
      <c r="AD229" s="1549"/>
      <c r="AE229" s="1178"/>
      <c r="AF229" s="1179"/>
      <c r="AG229" s="1171"/>
      <c r="AH229" s="104"/>
      <c r="AI229" s="1172"/>
      <c r="AJ229" s="1172"/>
      <c r="AK229" s="1172"/>
      <c r="AL229" s="1173"/>
      <c r="AM229" s="1174"/>
      <c r="AN229" s="1175"/>
      <c r="AO229" s="1176"/>
      <c r="AP229" s="1177"/>
      <c r="AQ229" s="1547"/>
      <c r="AR229" s="1177"/>
      <c r="AS229" s="1548"/>
      <c r="AT229" s="1549"/>
      <c r="AU229" s="1178"/>
      <c r="AV229" s="1179"/>
      <c r="AY229" s="3">
        <v>1</v>
      </c>
    </row>
    <row r="230" spans="2:51" ht="27" customHeight="1">
      <c r="B230" s="104"/>
      <c r="C230" s="1172"/>
      <c r="D230" s="1172"/>
      <c r="E230" s="1172"/>
      <c r="F230" s="1173"/>
      <c r="G230" s="1174"/>
      <c r="H230" s="1175"/>
      <c r="I230" s="1176"/>
      <c r="J230" s="1177"/>
      <c r="K230" s="1547"/>
      <c r="L230" s="1177"/>
      <c r="M230" s="1548"/>
      <c r="N230" s="1549"/>
      <c r="O230" s="1178"/>
      <c r="P230" s="1179"/>
      <c r="R230" s="104"/>
      <c r="S230" s="1172"/>
      <c r="T230" s="1172"/>
      <c r="U230" s="1172"/>
      <c r="V230" s="1173"/>
      <c r="W230" s="1174"/>
      <c r="X230" s="1175"/>
      <c r="Y230" s="1176"/>
      <c r="Z230" s="1177"/>
      <c r="AA230" s="1547"/>
      <c r="AB230" s="1177"/>
      <c r="AC230" s="1548"/>
      <c r="AD230" s="1549"/>
      <c r="AE230" s="1178"/>
      <c r="AF230" s="1179"/>
      <c r="AH230" s="104"/>
      <c r="AI230" s="1172"/>
      <c r="AJ230" s="1172"/>
      <c r="AK230" s="1172"/>
      <c r="AL230" s="1173"/>
      <c r="AM230" s="1174"/>
      <c r="AN230" s="1175"/>
      <c r="AO230" s="1176"/>
      <c r="AP230" s="1177"/>
      <c r="AQ230" s="1547"/>
      <c r="AR230" s="1177"/>
      <c r="AS230" s="1548"/>
      <c r="AT230" s="1549"/>
      <c r="AU230" s="1178"/>
      <c r="AV230" s="1179"/>
      <c r="AY230" s="3">
        <v>1</v>
      </c>
    </row>
    <row r="231" spans="2:51" ht="27" customHeight="1">
      <c r="B231" s="104"/>
      <c r="C231" s="1172"/>
      <c r="D231" s="1172"/>
      <c r="E231" s="1172"/>
      <c r="F231" s="1173"/>
      <c r="G231" s="1174"/>
      <c r="H231" s="1175"/>
      <c r="I231" s="1176"/>
      <c r="J231" s="1177"/>
      <c r="K231" s="1547"/>
      <c r="L231" s="1177"/>
      <c r="M231" s="1548"/>
      <c r="N231" s="1549"/>
      <c r="O231" s="1178"/>
      <c r="P231" s="1179"/>
      <c r="R231" s="104"/>
      <c r="S231" s="1172"/>
      <c r="T231" s="1172"/>
      <c r="U231" s="1172"/>
      <c r="V231" s="1173"/>
      <c r="W231" s="1174"/>
      <c r="X231" s="1175"/>
      <c r="Y231" s="1176"/>
      <c r="Z231" s="1177"/>
      <c r="AA231" s="1547"/>
      <c r="AB231" s="1177"/>
      <c r="AC231" s="1548"/>
      <c r="AD231" s="1549"/>
      <c r="AE231" s="1178"/>
      <c r="AF231" s="1179"/>
      <c r="AH231" s="104"/>
      <c r="AI231" s="1172"/>
      <c r="AJ231" s="1172"/>
      <c r="AK231" s="1172"/>
      <c r="AL231" s="1173"/>
      <c r="AM231" s="1174"/>
      <c r="AN231" s="1175"/>
      <c r="AO231" s="1176"/>
      <c r="AP231" s="1177"/>
      <c r="AQ231" s="1547"/>
      <c r="AR231" s="1177"/>
      <c r="AS231" s="1548"/>
      <c r="AT231" s="1549"/>
      <c r="AU231" s="1178"/>
      <c r="AV231" s="1179"/>
      <c r="AY231" s="3">
        <v>1</v>
      </c>
    </row>
    <row r="232" spans="2:51" ht="27" customHeight="1">
      <c r="B232" s="104"/>
      <c r="C232" s="1172"/>
      <c r="D232" s="1172"/>
      <c r="E232" s="1172"/>
      <c r="F232" s="1173"/>
      <c r="G232" s="1174"/>
      <c r="H232" s="1175"/>
      <c r="I232" s="1176"/>
      <c r="J232" s="1177"/>
      <c r="K232" s="1547"/>
      <c r="L232" s="1177"/>
      <c r="M232" s="1548"/>
      <c r="N232" s="1549"/>
      <c r="O232" s="1178"/>
      <c r="P232" s="1179"/>
      <c r="R232" s="104"/>
      <c r="S232" s="1172"/>
      <c r="T232" s="1172"/>
      <c r="U232" s="1172"/>
      <c r="V232" s="1173"/>
      <c r="W232" s="1174"/>
      <c r="X232" s="1175"/>
      <c r="Y232" s="1176"/>
      <c r="Z232" s="1177"/>
      <c r="AA232" s="1547"/>
      <c r="AB232" s="1177"/>
      <c r="AC232" s="1548"/>
      <c r="AD232" s="1549"/>
      <c r="AE232" s="1178"/>
      <c r="AF232" s="1179"/>
      <c r="AH232" s="104"/>
      <c r="AI232" s="1172"/>
      <c r="AJ232" s="1172"/>
      <c r="AK232" s="1172"/>
      <c r="AL232" s="1173"/>
      <c r="AM232" s="1174"/>
      <c r="AN232" s="1175"/>
      <c r="AO232" s="1176"/>
      <c r="AP232" s="1177"/>
      <c r="AQ232" s="1547"/>
      <c r="AR232" s="1177"/>
      <c r="AS232" s="1548"/>
      <c r="AT232" s="1549"/>
      <c r="AU232" s="1178"/>
      <c r="AV232" s="1179"/>
      <c r="AY232" s="3">
        <v>1</v>
      </c>
    </row>
    <row r="233" spans="2:51" ht="27" customHeight="1">
      <c r="B233" s="104"/>
      <c r="C233" s="1172"/>
      <c r="D233" s="1172"/>
      <c r="E233" s="1172"/>
      <c r="F233" s="1173"/>
      <c r="G233" s="1174"/>
      <c r="H233" s="1175"/>
      <c r="I233" s="1176"/>
      <c r="J233" s="1177"/>
      <c r="K233" s="1547"/>
      <c r="L233" s="1177"/>
      <c r="M233" s="1548"/>
      <c r="N233" s="1549"/>
      <c r="O233" s="1178"/>
      <c r="P233" s="1179"/>
      <c r="R233" s="104"/>
      <c r="S233" s="1172"/>
      <c r="T233" s="1172"/>
      <c r="U233" s="1172"/>
      <c r="V233" s="1173"/>
      <c r="W233" s="1174"/>
      <c r="X233" s="1175"/>
      <c r="Y233" s="1176"/>
      <c r="Z233" s="1177"/>
      <c r="AA233" s="1547"/>
      <c r="AB233" s="1177"/>
      <c r="AC233" s="1548"/>
      <c r="AD233" s="1549"/>
      <c r="AE233" s="1178"/>
      <c r="AF233" s="1179"/>
      <c r="AH233" s="104"/>
      <c r="AI233" s="1172"/>
      <c r="AJ233" s="1172"/>
      <c r="AK233" s="1172"/>
      <c r="AL233" s="1173"/>
      <c r="AM233" s="1174"/>
      <c r="AN233" s="1175"/>
      <c r="AO233" s="1176"/>
      <c r="AP233" s="1177"/>
      <c r="AQ233" s="1547"/>
      <c r="AR233" s="1177"/>
      <c r="AS233" s="1548"/>
      <c r="AT233" s="1549"/>
      <c r="AU233" s="1178"/>
      <c r="AV233" s="1179"/>
      <c r="AY233" s="3">
        <v>1</v>
      </c>
    </row>
    <row r="234" spans="2:51" ht="27" customHeight="1">
      <c r="B234" s="104"/>
      <c r="C234" s="1172"/>
      <c r="D234" s="1172"/>
      <c r="E234" s="1172"/>
      <c r="F234" s="1173"/>
      <c r="G234" s="1174"/>
      <c r="H234" s="1175"/>
      <c r="I234" s="1176"/>
      <c r="J234" s="1177"/>
      <c r="K234" s="1547"/>
      <c r="L234" s="1177"/>
      <c r="M234" s="1548"/>
      <c r="N234" s="1549"/>
      <c r="O234" s="1178"/>
      <c r="P234" s="1179"/>
      <c r="R234" s="104"/>
      <c r="S234" s="1172"/>
      <c r="T234" s="1172"/>
      <c r="U234" s="1172"/>
      <c r="V234" s="1173"/>
      <c r="W234" s="1174"/>
      <c r="X234" s="1175"/>
      <c r="Y234" s="1176"/>
      <c r="Z234" s="1177"/>
      <c r="AA234" s="1547"/>
      <c r="AB234" s="1177"/>
      <c r="AC234" s="1548"/>
      <c r="AD234" s="1549"/>
      <c r="AE234" s="1178"/>
      <c r="AF234" s="1179"/>
      <c r="AH234" s="104"/>
      <c r="AI234" s="1172"/>
      <c r="AJ234" s="1172"/>
      <c r="AK234" s="1172"/>
      <c r="AL234" s="1173"/>
      <c r="AM234" s="1174"/>
      <c r="AN234" s="1175"/>
      <c r="AO234" s="1176"/>
      <c r="AP234" s="1177"/>
      <c r="AQ234" s="1547"/>
      <c r="AR234" s="1177"/>
      <c r="AS234" s="1548"/>
      <c r="AT234" s="1549"/>
      <c r="AU234" s="1178"/>
      <c r="AV234" s="1179"/>
      <c r="AY234" s="3">
        <v>1</v>
      </c>
    </row>
    <row r="235" spans="2:51" ht="27" customHeight="1">
      <c r="B235" s="104"/>
      <c r="C235" s="1172"/>
      <c r="D235" s="1172"/>
      <c r="E235" s="1172"/>
      <c r="F235" s="1173"/>
      <c r="G235" s="1174"/>
      <c r="H235" s="1175"/>
      <c r="I235" s="1176"/>
      <c r="J235" s="1177"/>
      <c r="K235" s="1547"/>
      <c r="L235" s="1177"/>
      <c r="M235" s="1548"/>
      <c r="N235" s="1549"/>
      <c r="O235" s="1178"/>
      <c r="P235" s="1179"/>
      <c r="R235" s="104"/>
      <c r="S235" s="1172"/>
      <c r="T235" s="1172"/>
      <c r="U235" s="1172"/>
      <c r="V235" s="1173"/>
      <c r="W235" s="1174"/>
      <c r="X235" s="1175"/>
      <c r="Y235" s="1176"/>
      <c r="Z235" s="1177"/>
      <c r="AA235" s="1547"/>
      <c r="AB235" s="1177"/>
      <c r="AC235" s="1548"/>
      <c r="AD235" s="1549"/>
      <c r="AE235" s="1178"/>
      <c r="AF235" s="1179"/>
      <c r="AH235" s="104"/>
      <c r="AI235" s="1172"/>
      <c r="AJ235" s="1172"/>
      <c r="AK235" s="1172"/>
      <c r="AL235" s="1173"/>
      <c r="AM235" s="1174"/>
      <c r="AN235" s="1175"/>
      <c r="AO235" s="1176"/>
      <c r="AP235" s="1177"/>
      <c r="AQ235" s="1547"/>
      <c r="AR235" s="1177"/>
      <c r="AS235" s="1548"/>
      <c r="AT235" s="1549"/>
      <c r="AU235" s="1178"/>
      <c r="AV235" s="1179"/>
      <c r="AY235" s="3">
        <v>1</v>
      </c>
    </row>
    <row r="236" spans="2:51" ht="27" customHeight="1">
      <c r="B236" s="104"/>
      <c r="C236" s="1172"/>
      <c r="D236" s="1172"/>
      <c r="E236" s="1172"/>
      <c r="F236" s="1173"/>
      <c r="G236" s="1174"/>
      <c r="H236" s="1175"/>
      <c r="I236" s="1176"/>
      <c r="J236" s="1177"/>
      <c r="K236" s="1547"/>
      <c r="L236" s="1177"/>
      <c r="M236" s="1548"/>
      <c r="N236" s="1549"/>
      <c r="O236" s="1178"/>
      <c r="P236" s="1179"/>
      <c r="R236" s="104"/>
      <c r="S236" s="1172"/>
      <c r="T236" s="1172"/>
      <c r="U236" s="1172"/>
      <c r="V236" s="1173"/>
      <c r="W236" s="1174"/>
      <c r="X236" s="1175"/>
      <c r="Y236" s="1176"/>
      <c r="Z236" s="1177"/>
      <c r="AA236" s="1547"/>
      <c r="AB236" s="1177"/>
      <c r="AC236" s="1548"/>
      <c r="AD236" s="1549"/>
      <c r="AE236" s="1178"/>
      <c r="AF236" s="1179"/>
      <c r="AH236" s="104"/>
      <c r="AI236" s="1172"/>
      <c r="AJ236" s="1172"/>
      <c r="AK236" s="1172"/>
      <c r="AL236" s="1173"/>
      <c r="AM236" s="1174"/>
      <c r="AN236" s="1175"/>
      <c r="AO236" s="1176"/>
      <c r="AP236" s="1177"/>
      <c r="AQ236" s="1547"/>
      <c r="AR236" s="1177"/>
      <c r="AS236" s="1548"/>
      <c r="AT236" s="1549"/>
      <c r="AU236" s="1178"/>
      <c r="AV236" s="1179"/>
      <c r="AY236" s="3">
        <v>1</v>
      </c>
    </row>
    <row r="237" spans="2:51" ht="27" customHeight="1">
      <c r="B237" s="104"/>
      <c r="C237" s="1172"/>
      <c r="D237" s="1172"/>
      <c r="E237" s="1172"/>
      <c r="F237" s="1173"/>
      <c r="G237" s="1174"/>
      <c r="H237" s="1175"/>
      <c r="I237" s="1176"/>
      <c r="J237" s="1177"/>
      <c r="K237" s="1547"/>
      <c r="L237" s="1177"/>
      <c r="M237" s="1548"/>
      <c r="N237" s="1549"/>
      <c r="O237" s="1178"/>
      <c r="P237" s="1179"/>
      <c r="R237" s="104"/>
      <c r="S237" s="1172"/>
      <c r="T237" s="1172"/>
      <c r="U237" s="1172"/>
      <c r="V237" s="1173"/>
      <c r="W237" s="1174"/>
      <c r="X237" s="1175"/>
      <c r="Y237" s="1176"/>
      <c r="Z237" s="1177"/>
      <c r="AA237" s="1547"/>
      <c r="AB237" s="1177"/>
      <c r="AC237" s="1548"/>
      <c r="AD237" s="1549"/>
      <c r="AE237" s="1178"/>
      <c r="AF237" s="1179"/>
      <c r="AH237" s="104"/>
      <c r="AI237" s="1172"/>
      <c r="AJ237" s="1172"/>
      <c r="AK237" s="1172"/>
      <c r="AL237" s="1173"/>
      <c r="AM237" s="1174"/>
      <c r="AN237" s="1175"/>
      <c r="AO237" s="1176"/>
      <c r="AP237" s="1177"/>
      <c r="AQ237" s="1547"/>
      <c r="AR237" s="1177"/>
      <c r="AS237" s="1548"/>
      <c r="AT237" s="1549"/>
      <c r="AU237" s="1178"/>
      <c r="AV237" s="1179"/>
      <c r="AY237" s="3">
        <v>1</v>
      </c>
    </row>
    <row r="238" spans="2:51" ht="27" customHeight="1">
      <c r="B238" s="104"/>
      <c r="C238" s="1172"/>
      <c r="D238" s="1172"/>
      <c r="E238" s="1172"/>
      <c r="F238" s="1173"/>
      <c r="G238" s="1174"/>
      <c r="H238" s="1175"/>
      <c r="I238" s="1176"/>
      <c r="J238" s="1177"/>
      <c r="K238" s="1547"/>
      <c r="L238" s="1177"/>
      <c r="M238" s="1548"/>
      <c r="N238" s="1549"/>
      <c r="O238" s="1178"/>
      <c r="P238" s="1179"/>
      <c r="R238" s="104"/>
      <c r="S238" s="1172"/>
      <c r="T238" s="1172"/>
      <c r="U238" s="1172"/>
      <c r="V238" s="1173"/>
      <c r="W238" s="1174"/>
      <c r="X238" s="1175"/>
      <c r="Y238" s="1176"/>
      <c r="Z238" s="1177"/>
      <c r="AA238" s="1547"/>
      <c r="AB238" s="1177"/>
      <c r="AC238" s="1548"/>
      <c r="AD238" s="1549"/>
      <c r="AE238" s="1178"/>
      <c r="AF238" s="1179"/>
      <c r="AH238" s="104"/>
      <c r="AI238" s="1172"/>
      <c r="AJ238" s="1172"/>
      <c r="AK238" s="1172"/>
      <c r="AL238" s="1173"/>
      <c r="AM238" s="1174"/>
      <c r="AN238" s="1175"/>
      <c r="AO238" s="1176"/>
      <c r="AP238" s="1177"/>
      <c r="AQ238" s="1547"/>
      <c r="AR238" s="1177"/>
      <c r="AS238" s="1548"/>
      <c r="AT238" s="1549"/>
      <c r="AU238" s="1178"/>
      <c r="AV238" s="1179"/>
      <c r="AY238" s="3">
        <v>1</v>
      </c>
    </row>
    <row r="239" spans="2:51" ht="27" customHeight="1">
      <c r="B239" s="104"/>
      <c r="C239" s="1172"/>
      <c r="D239" s="1172"/>
      <c r="E239" s="1172"/>
      <c r="F239" s="1173"/>
      <c r="G239" s="1174"/>
      <c r="H239" s="1175"/>
      <c r="I239" s="1176"/>
      <c r="J239" s="1177"/>
      <c r="K239" s="1547"/>
      <c r="L239" s="1177"/>
      <c r="M239" s="1548"/>
      <c r="N239" s="1549"/>
      <c r="O239" s="1178"/>
      <c r="P239" s="1179"/>
      <c r="R239" s="104"/>
      <c r="S239" s="1172"/>
      <c r="T239" s="1172"/>
      <c r="U239" s="1172"/>
      <c r="V239" s="1173"/>
      <c r="W239" s="1174"/>
      <c r="X239" s="1175"/>
      <c r="Y239" s="1176"/>
      <c r="Z239" s="1177"/>
      <c r="AA239" s="1547"/>
      <c r="AB239" s="1177"/>
      <c r="AC239" s="1548"/>
      <c r="AD239" s="1549"/>
      <c r="AE239" s="1178"/>
      <c r="AF239" s="1179"/>
      <c r="AH239" s="104"/>
      <c r="AI239" s="1172"/>
      <c r="AJ239" s="1172"/>
      <c r="AK239" s="1172"/>
      <c r="AL239" s="1173"/>
      <c r="AM239" s="1174"/>
      <c r="AN239" s="1175"/>
      <c r="AO239" s="1176"/>
      <c r="AP239" s="1177"/>
      <c r="AQ239" s="1547"/>
      <c r="AR239" s="1177"/>
      <c r="AS239" s="1548"/>
      <c r="AT239" s="1549"/>
      <c r="AU239" s="1178"/>
      <c r="AV239" s="1179"/>
      <c r="AY239" s="3">
        <v>1</v>
      </c>
    </row>
    <row r="240" spans="2:51" ht="27" customHeight="1">
      <c r="B240" s="104"/>
      <c r="C240" s="1172"/>
      <c r="D240" s="1172"/>
      <c r="E240" s="1172"/>
      <c r="F240" s="1173"/>
      <c r="G240" s="1174"/>
      <c r="H240" s="1175"/>
      <c r="I240" s="1176"/>
      <c r="J240" s="1177"/>
      <c r="K240" s="1547"/>
      <c r="L240" s="1177"/>
      <c r="M240" s="1548"/>
      <c r="N240" s="1549"/>
      <c r="O240" s="1178"/>
      <c r="P240" s="1179"/>
      <c r="R240" s="104"/>
      <c r="S240" s="1172"/>
      <c r="T240" s="1172"/>
      <c r="U240" s="1172"/>
      <c r="V240" s="1173"/>
      <c r="W240" s="1174"/>
      <c r="X240" s="1175"/>
      <c r="Y240" s="1176"/>
      <c r="Z240" s="1177"/>
      <c r="AA240" s="1547"/>
      <c r="AB240" s="1177"/>
      <c r="AC240" s="1548"/>
      <c r="AD240" s="1549"/>
      <c r="AE240" s="1178"/>
      <c r="AF240" s="1179"/>
      <c r="AH240" s="104"/>
      <c r="AI240" s="1172"/>
      <c r="AJ240" s="1172"/>
      <c r="AK240" s="1172"/>
      <c r="AL240" s="1173"/>
      <c r="AM240" s="1174"/>
      <c r="AN240" s="1175"/>
      <c r="AO240" s="1176"/>
      <c r="AP240" s="1177"/>
      <c r="AQ240" s="1547"/>
      <c r="AR240" s="1177"/>
      <c r="AS240" s="1548"/>
      <c r="AT240" s="1549"/>
      <c r="AU240" s="1178"/>
      <c r="AV240" s="1179"/>
      <c r="AY240" s="3">
        <v>1</v>
      </c>
    </row>
    <row r="241" spans="2:51" ht="27" customHeight="1">
      <c r="B241" s="104"/>
      <c r="C241" s="1172"/>
      <c r="D241" s="1172"/>
      <c r="E241" s="1172"/>
      <c r="F241" s="1173"/>
      <c r="G241" s="1174"/>
      <c r="H241" s="1175"/>
      <c r="I241" s="1176"/>
      <c r="J241" s="1177"/>
      <c r="K241" s="1547"/>
      <c r="L241" s="1177"/>
      <c r="M241" s="1548"/>
      <c r="N241" s="1549"/>
      <c r="O241" s="1178"/>
      <c r="P241" s="1179"/>
      <c r="R241" s="104"/>
      <c r="S241" s="1172"/>
      <c r="T241" s="1172"/>
      <c r="U241" s="1172"/>
      <c r="V241" s="1173"/>
      <c r="W241" s="1174"/>
      <c r="X241" s="1175"/>
      <c r="Y241" s="1176"/>
      <c r="Z241" s="1177"/>
      <c r="AA241" s="1547"/>
      <c r="AB241" s="1177"/>
      <c r="AC241" s="1548"/>
      <c r="AD241" s="1549"/>
      <c r="AE241" s="1178"/>
      <c r="AF241" s="1179"/>
      <c r="AH241" s="104"/>
      <c r="AI241" s="1172"/>
      <c r="AJ241" s="1172"/>
      <c r="AK241" s="1172"/>
      <c r="AL241" s="1173"/>
      <c r="AM241" s="1174"/>
      <c r="AN241" s="1175"/>
      <c r="AO241" s="1176"/>
      <c r="AP241" s="1177"/>
      <c r="AQ241" s="1547"/>
      <c r="AR241" s="1177"/>
      <c r="AS241" s="1548"/>
      <c r="AT241" s="1549"/>
      <c r="AU241" s="1178"/>
      <c r="AV241" s="1179"/>
      <c r="AY241" s="3">
        <v>1</v>
      </c>
    </row>
    <row r="242" spans="2:51" ht="27" customHeight="1">
      <c r="B242" s="104"/>
      <c r="C242" s="1172"/>
      <c r="D242" s="1172"/>
      <c r="E242" s="1172"/>
      <c r="F242" s="1173"/>
      <c r="G242" s="1174"/>
      <c r="H242" s="1175"/>
      <c r="I242" s="1176"/>
      <c r="J242" s="1177"/>
      <c r="K242" s="1547"/>
      <c r="L242" s="1177"/>
      <c r="M242" s="1548"/>
      <c r="N242" s="1549"/>
      <c r="O242" s="1178"/>
      <c r="P242" s="1179"/>
      <c r="R242" s="104"/>
      <c r="S242" s="1172"/>
      <c r="T242" s="1172"/>
      <c r="U242" s="1172"/>
      <c r="V242" s="1173"/>
      <c r="W242" s="1174"/>
      <c r="X242" s="1175"/>
      <c r="Y242" s="1176"/>
      <c r="Z242" s="1177"/>
      <c r="AA242" s="1547"/>
      <c r="AB242" s="1177"/>
      <c r="AC242" s="1548"/>
      <c r="AD242" s="1549"/>
      <c r="AE242" s="1178"/>
      <c r="AF242" s="1179"/>
      <c r="AH242" s="104"/>
      <c r="AI242" s="1172"/>
      <c r="AJ242" s="1172"/>
      <c r="AK242" s="1172"/>
      <c r="AL242" s="1173"/>
      <c r="AM242" s="1174"/>
      <c r="AN242" s="1175"/>
      <c r="AO242" s="1176"/>
      <c r="AP242" s="1177"/>
      <c r="AQ242" s="1547"/>
      <c r="AR242" s="1177"/>
      <c r="AS242" s="1548"/>
      <c r="AT242" s="1549"/>
      <c r="AU242" s="1178"/>
      <c r="AV242" s="1179"/>
      <c r="AY242" s="3">
        <v>1</v>
      </c>
    </row>
    <row r="243" spans="2:51" ht="27" customHeight="1">
      <c r="B243" s="104"/>
      <c r="C243" s="1172"/>
      <c r="D243" s="1172"/>
      <c r="E243" s="1172"/>
      <c r="F243" s="1173"/>
      <c r="G243" s="1174"/>
      <c r="H243" s="1175"/>
      <c r="I243" s="1176"/>
      <c r="J243" s="1177"/>
      <c r="K243" s="1547"/>
      <c r="L243" s="1177"/>
      <c r="M243" s="1548"/>
      <c r="N243" s="1549"/>
      <c r="O243" s="1178"/>
      <c r="P243" s="1179"/>
      <c r="R243" s="104"/>
      <c r="S243" s="1172"/>
      <c r="T243" s="1172"/>
      <c r="U243" s="1172"/>
      <c r="V243" s="1173"/>
      <c r="W243" s="1174"/>
      <c r="X243" s="1175"/>
      <c r="Y243" s="1176"/>
      <c r="Z243" s="1177"/>
      <c r="AA243" s="1547"/>
      <c r="AB243" s="1177"/>
      <c r="AC243" s="1548"/>
      <c r="AD243" s="1549"/>
      <c r="AE243" s="1178"/>
      <c r="AF243" s="1179"/>
      <c r="AH243" s="104"/>
      <c r="AI243" s="1172"/>
      <c r="AJ243" s="1172"/>
      <c r="AK243" s="1172"/>
      <c r="AL243" s="1173"/>
      <c r="AM243" s="1174"/>
      <c r="AN243" s="1175"/>
      <c r="AO243" s="1176"/>
      <c r="AP243" s="1177"/>
      <c r="AQ243" s="1547"/>
      <c r="AR243" s="1177"/>
      <c r="AS243" s="1548"/>
      <c r="AT243" s="1549"/>
      <c r="AU243" s="1178"/>
      <c r="AV243" s="1179"/>
      <c r="AY243" s="3">
        <v>1</v>
      </c>
    </row>
    <row r="244" spans="2:51" ht="27" customHeight="1">
      <c r="B244" s="104"/>
      <c r="C244" s="1172"/>
      <c r="D244" s="1172"/>
      <c r="E244" s="1172"/>
      <c r="F244" s="1173"/>
      <c r="G244" s="1174"/>
      <c r="H244" s="1175"/>
      <c r="I244" s="1176"/>
      <c r="J244" s="1177"/>
      <c r="K244" s="1547"/>
      <c r="L244" s="1177"/>
      <c r="M244" s="1548"/>
      <c r="N244" s="1549"/>
      <c r="O244" s="1178"/>
      <c r="P244" s="1179"/>
      <c r="R244" s="104"/>
      <c r="S244" s="1172"/>
      <c r="T244" s="1172"/>
      <c r="U244" s="1172"/>
      <c r="V244" s="1173"/>
      <c r="W244" s="1174"/>
      <c r="X244" s="1175"/>
      <c r="Y244" s="1176"/>
      <c r="Z244" s="1177"/>
      <c r="AA244" s="1547"/>
      <c r="AB244" s="1177"/>
      <c r="AC244" s="1548"/>
      <c r="AD244" s="1549"/>
      <c r="AE244" s="1178"/>
      <c r="AF244" s="1179"/>
      <c r="AH244" s="104"/>
      <c r="AI244" s="1172"/>
      <c r="AJ244" s="1172"/>
      <c r="AK244" s="1172"/>
      <c r="AL244" s="1173"/>
      <c r="AM244" s="1174"/>
      <c r="AN244" s="1175"/>
      <c r="AO244" s="1176"/>
      <c r="AP244" s="1177"/>
      <c r="AQ244" s="1547"/>
      <c r="AR244" s="1177"/>
      <c r="AS244" s="1548"/>
      <c r="AT244" s="1549"/>
      <c r="AU244" s="1178"/>
      <c r="AV244" s="1179"/>
      <c r="AY244" s="3">
        <v>1</v>
      </c>
    </row>
    <row r="245" spans="2:51" ht="27" customHeight="1">
      <c r="B245" s="104"/>
      <c r="C245" s="1172"/>
      <c r="D245" s="1172"/>
      <c r="E245" s="1172"/>
      <c r="F245" s="1173"/>
      <c r="G245" s="1174"/>
      <c r="H245" s="1175"/>
      <c r="I245" s="1176"/>
      <c r="J245" s="1177"/>
      <c r="K245" s="1547"/>
      <c r="L245" s="1177"/>
      <c r="M245" s="1548"/>
      <c r="N245" s="1549"/>
      <c r="O245" s="1178"/>
      <c r="P245" s="1179"/>
      <c r="R245" s="104"/>
      <c r="S245" s="1172"/>
      <c r="T245" s="1172"/>
      <c r="U245" s="1172"/>
      <c r="V245" s="1173"/>
      <c r="W245" s="1174"/>
      <c r="X245" s="1175"/>
      <c r="Y245" s="1176"/>
      <c r="Z245" s="1177"/>
      <c r="AA245" s="1547"/>
      <c r="AB245" s="1177"/>
      <c r="AC245" s="1548"/>
      <c r="AD245" s="1549"/>
      <c r="AE245" s="1178"/>
      <c r="AF245" s="1179"/>
      <c r="AH245" s="104"/>
      <c r="AI245" s="1172"/>
      <c r="AJ245" s="1172"/>
      <c r="AK245" s="1172"/>
      <c r="AL245" s="1173"/>
      <c r="AM245" s="1174"/>
      <c r="AN245" s="1175"/>
      <c r="AO245" s="1176"/>
      <c r="AP245" s="1177"/>
      <c r="AQ245" s="1547"/>
      <c r="AR245" s="1177"/>
      <c r="AS245" s="1548"/>
      <c r="AT245" s="1549"/>
      <c r="AU245" s="1178"/>
      <c r="AV245" s="1179"/>
      <c r="AY245" s="3"/>
    </row>
    <row r="246" spans="2:51" ht="27" customHeight="1">
      <c r="B246" s="104"/>
      <c r="C246" s="1172"/>
      <c r="D246" s="1172"/>
      <c r="E246" s="1172"/>
      <c r="F246" s="1173"/>
      <c r="G246" s="1174"/>
      <c r="H246" s="1175"/>
      <c r="I246" s="1176"/>
      <c r="J246" s="1177"/>
      <c r="K246" s="1547"/>
      <c r="L246" s="1177"/>
      <c r="M246" s="1548"/>
      <c r="N246" s="1549"/>
      <c r="O246" s="1178"/>
      <c r="P246" s="1179"/>
      <c r="R246" s="104"/>
      <c r="S246" s="1172"/>
      <c r="T246" s="1172"/>
      <c r="U246" s="1172"/>
      <c r="V246" s="1173"/>
      <c r="W246" s="1174"/>
      <c r="X246" s="1175"/>
      <c r="Y246" s="1176"/>
      <c r="Z246" s="1177"/>
      <c r="AA246" s="1547"/>
      <c r="AB246" s="1177"/>
      <c r="AC246" s="1548"/>
      <c r="AD246" s="1549"/>
      <c r="AE246" s="1178"/>
      <c r="AF246" s="1179"/>
      <c r="AH246" s="104"/>
      <c r="AI246" s="1172"/>
      <c r="AJ246" s="1172"/>
      <c r="AK246" s="1172"/>
      <c r="AL246" s="1173"/>
      <c r="AM246" s="1174"/>
      <c r="AN246" s="1175"/>
      <c r="AO246" s="1176"/>
      <c r="AP246" s="1177"/>
      <c r="AQ246" s="1547"/>
      <c r="AR246" s="1177"/>
      <c r="AS246" s="1548"/>
      <c r="AT246" s="1549"/>
      <c r="AU246" s="1178"/>
      <c r="AV246" s="1179"/>
      <c r="AY246" s="3"/>
    </row>
    <row r="247" spans="2:51" ht="27" customHeight="1">
      <c r="B247" s="104"/>
      <c r="C247" s="1172"/>
      <c r="D247" s="1172"/>
      <c r="E247" s="1172"/>
      <c r="F247" s="1173"/>
      <c r="G247" s="1174"/>
      <c r="H247" s="1175"/>
      <c r="I247" s="1176"/>
      <c r="J247" s="1177"/>
      <c r="K247" s="1547"/>
      <c r="L247" s="1177"/>
      <c r="M247" s="1548"/>
      <c r="N247" s="1549"/>
      <c r="O247" s="1178"/>
      <c r="P247" s="1179"/>
      <c r="R247" s="104"/>
      <c r="S247" s="1172"/>
      <c r="T247" s="1172"/>
      <c r="U247" s="1172"/>
      <c r="V247" s="1173"/>
      <c r="W247" s="1174"/>
      <c r="X247" s="1175"/>
      <c r="Y247" s="1176"/>
      <c r="Z247" s="1177"/>
      <c r="AA247" s="1547"/>
      <c r="AB247" s="1177"/>
      <c r="AC247" s="1548"/>
      <c r="AD247" s="1549"/>
      <c r="AE247" s="1178"/>
      <c r="AF247" s="1179"/>
      <c r="AH247" s="104"/>
      <c r="AI247" s="1172"/>
      <c r="AJ247" s="1172"/>
      <c r="AK247" s="1172"/>
      <c r="AL247" s="1173"/>
      <c r="AM247" s="1174"/>
      <c r="AN247" s="1175"/>
      <c r="AO247" s="1176"/>
      <c r="AP247" s="1177"/>
      <c r="AQ247" s="1547"/>
      <c r="AR247" s="1177"/>
      <c r="AS247" s="1548"/>
      <c r="AT247" s="1549"/>
      <c r="AU247" s="1178"/>
      <c r="AV247" s="1179"/>
      <c r="AY247" s="3"/>
    </row>
    <row r="248" spans="2:51" ht="27" customHeight="1">
      <c r="B248" s="104"/>
      <c r="C248" s="1172"/>
      <c r="D248" s="1172"/>
      <c r="E248" s="1172"/>
      <c r="F248" s="1173"/>
      <c r="G248" s="1174"/>
      <c r="H248" s="1175"/>
      <c r="I248" s="1176"/>
      <c r="J248" s="1177"/>
      <c r="K248" s="1547"/>
      <c r="L248" s="1177"/>
      <c r="M248" s="1548"/>
      <c r="N248" s="1549"/>
      <c r="O248" s="1178"/>
      <c r="P248" s="1179"/>
      <c r="R248" s="104"/>
      <c r="S248" s="1172"/>
      <c r="T248" s="1172"/>
      <c r="U248" s="1172"/>
      <c r="V248" s="1173"/>
      <c r="W248" s="1174"/>
      <c r="X248" s="1175"/>
      <c r="Y248" s="1176"/>
      <c r="Z248" s="1177"/>
      <c r="AA248" s="1547"/>
      <c r="AB248" s="1177"/>
      <c r="AC248" s="1548"/>
      <c r="AD248" s="1549"/>
      <c r="AE248" s="1178"/>
      <c r="AF248" s="1179"/>
      <c r="AH248" s="104"/>
      <c r="AI248" s="1172"/>
      <c r="AJ248" s="1172"/>
      <c r="AK248" s="1172"/>
      <c r="AL248" s="1173"/>
      <c r="AM248" s="1174"/>
      <c r="AN248" s="1175"/>
      <c r="AO248" s="1176"/>
      <c r="AP248" s="1177"/>
      <c r="AQ248" s="1547"/>
      <c r="AR248" s="1177"/>
      <c r="AS248" s="1548"/>
      <c r="AT248" s="1549"/>
      <c r="AU248" s="1178"/>
      <c r="AV248" s="1179"/>
      <c r="AY248" s="3">
        <v>1</v>
      </c>
    </row>
    <row r="249" spans="2:51" ht="27" customHeight="1">
      <c r="B249" s="104"/>
      <c r="C249" s="1172"/>
      <c r="D249" s="1172"/>
      <c r="E249" s="1172"/>
      <c r="F249" s="1173"/>
      <c r="G249" s="1174"/>
      <c r="H249" s="1175"/>
      <c r="I249" s="1176"/>
      <c r="J249" s="1177"/>
      <c r="K249" s="1547"/>
      <c r="L249" s="1177"/>
      <c r="M249" s="1548"/>
      <c r="N249" s="1549"/>
      <c r="O249" s="1178"/>
      <c r="P249" s="1179"/>
      <c r="R249" s="104"/>
      <c r="S249" s="1172"/>
      <c r="T249" s="1172"/>
      <c r="U249" s="1172"/>
      <c r="V249" s="1173"/>
      <c r="W249" s="1174"/>
      <c r="X249" s="1175"/>
      <c r="Y249" s="1176"/>
      <c r="Z249" s="1177"/>
      <c r="AA249" s="1547"/>
      <c r="AB249" s="1177"/>
      <c r="AC249" s="1548"/>
      <c r="AD249" s="1549"/>
      <c r="AE249" s="1178"/>
      <c r="AF249" s="1179"/>
      <c r="AH249" s="104"/>
      <c r="AI249" s="1172"/>
      <c r="AJ249" s="1172"/>
      <c r="AK249" s="1172"/>
      <c r="AL249" s="1173"/>
      <c r="AM249" s="1174"/>
      <c r="AN249" s="1175"/>
      <c r="AO249" s="1176"/>
      <c r="AP249" s="1177"/>
      <c r="AQ249" s="1547"/>
      <c r="AR249" s="1177"/>
      <c r="AS249" s="1548"/>
      <c r="AT249" s="1549"/>
      <c r="AU249" s="1178"/>
      <c r="AV249" s="1179"/>
      <c r="AY249" s="3">
        <v>1</v>
      </c>
    </row>
    <row r="250" spans="2:51" ht="27" customHeight="1">
      <c r="B250" s="104"/>
      <c r="C250" s="1172"/>
      <c r="D250" s="1172"/>
      <c r="E250" s="1172"/>
      <c r="F250" s="1173"/>
      <c r="G250" s="1174"/>
      <c r="H250" s="1175"/>
      <c r="I250" s="1176"/>
      <c r="J250" s="1177"/>
      <c r="K250" s="1547"/>
      <c r="L250" s="1177"/>
      <c r="M250" s="1548"/>
      <c r="N250" s="1549"/>
      <c r="O250" s="1178"/>
      <c r="P250" s="1179"/>
      <c r="R250" s="104"/>
      <c r="S250" s="1172"/>
      <c r="T250" s="1172"/>
      <c r="U250" s="1172"/>
      <c r="V250" s="1173"/>
      <c r="W250" s="1174"/>
      <c r="X250" s="1175"/>
      <c r="Y250" s="1176"/>
      <c r="Z250" s="1177"/>
      <c r="AA250" s="1547"/>
      <c r="AB250" s="1177"/>
      <c r="AC250" s="1548"/>
      <c r="AD250" s="1549"/>
      <c r="AE250" s="1178"/>
      <c r="AF250" s="1179"/>
      <c r="AH250" s="104"/>
      <c r="AI250" s="1172"/>
      <c r="AJ250" s="1172"/>
      <c r="AK250" s="1172"/>
      <c r="AL250" s="1173"/>
      <c r="AM250" s="1174"/>
      <c r="AN250" s="1175"/>
      <c r="AO250" s="1176"/>
      <c r="AP250" s="1177"/>
      <c r="AQ250" s="1547"/>
      <c r="AR250" s="1177"/>
      <c r="AS250" s="1548"/>
      <c r="AT250" s="1549"/>
      <c r="AU250" s="1178"/>
      <c r="AV250" s="1179"/>
      <c r="AY250" s="3">
        <v>1</v>
      </c>
    </row>
    <row r="251" spans="2:51" ht="27" customHeight="1">
      <c r="B251" s="104"/>
      <c r="C251" s="1172"/>
      <c r="D251" s="1172"/>
      <c r="E251" s="1172"/>
      <c r="F251" s="1173"/>
      <c r="G251" s="1174"/>
      <c r="H251" s="1175"/>
      <c r="I251" s="1176"/>
      <c r="J251" s="1177"/>
      <c r="K251" s="1547"/>
      <c r="L251" s="1177"/>
      <c r="M251" s="1548"/>
      <c r="N251" s="1549"/>
      <c r="O251" s="1178"/>
      <c r="P251" s="1179"/>
      <c r="R251" s="104"/>
      <c r="S251" s="1172"/>
      <c r="T251" s="1172"/>
      <c r="U251" s="1172"/>
      <c r="V251" s="1173"/>
      <c r="W251" s="1174"/>
      <c r="X251" s="1175"/>
      <c r="Y251" s="1176"/>
      <c r="Z251" s="1177"/>
      <c r="AA251" s="1547"/>
      <c r="AB251" s="1177"/>
      <c r="AC251" s="1548"/>
      <c r="AD251" s="1549"/>
      <c r="AE251" s="1178"/>
      <c r="AF251" s="1179"/>
      <c r="AH251" s="104"/>
      <c r="AI251" s="1172"/>
      <c r="AJ251" s="1172"/>
      <c r="AK251" s="1172"/>
      <c r="AL251" s="1173"/>
      <c r="AM251" s="1174"/>
      <c r="AN251" s="1175"/>
      <c r="AO251" s="1176"/>
      <c r="AP251" s="1177"/>
      <c r="AQ251" s="1547"/>
      <c r="AR251" s="1177"/>
      <c r="AS251" s="1548"/>
      <c r="AT251" s="1549"/>
      <c r="AU251" s="1178"/>
      <c r="AV251" s="1179"/>
      <c r="AY251" s="3">
        <v>1</v>
      </c>
    </row>
    <row r="252" spans="2:51" ht="27" customHeight="1">
      <c r="B252" s="104"/>
      <c r="C252" s="1172"/>
      <c r="D252" s="1172"/>
      <c r="E252" s="1172"/>
      <c r="F252" s="1173"/>
      <c r="G252" s="1174"/>
      <c r="H252" s="1175"/>
      <c r="I252" s="1176"/>
      <c r="J252" s="1177"/>
      <c r="K252" s="1547"/>
      <c r="L252" s="1177"/>
      <c r="M252" s="1548"/>
      <c r="N252" s="1549"/>
      <c r="O252" s="1178"/>
      <c r="P252" s="1179"/>
      <c r="R252" s="104"/>
      <c r="S252" s="1172"/>
      <c r="T252" s="1172"/>
      <c r="U252" s="1172"/>
      <c r="V252" s="1173"/>
      <c r="W252" s="1174"/>
      <c r="X252" s="1175"/>
      <c r="Y252" s="1176"/>
      <c r="Z252" s="1177"/>
      <c r="AA252" s="1547"/>
      <c r="AB252" s="1177"/>
      <c r="AC252" s="1548"/>
      <c r="AD252" s="1549"/>
      <c r="AE252" s="1178"/>
      <c r="AF252" s="1179"/>
      <c r="AH252" s="104"/>
      <c r="AI252" s="1172"/>
      <c r="AJ252" s="1172"/>
      <c r="AK252" s="1172"/>
      <c r="AL252" s="1173"/>
      <c r="AM252" s="1174"/>
      <c r="AN252" s="1175"/>
      <c r="AO252" s="1176"/>
      <c r="AP252" s="1177"/>
      <c r="AQ252" s="1547"/>
      <c r="AR252" s="1177"/>
      <c r="AS252" s="1548"/>
      <c r="AT252" s="1549"/>
      <c r="AU252" s="1178"/>
      <c r="AV252" s="1179"/>
      <c r="AY252" s="3">
        <v>1</v>
      </c>
    </row>
    <row r="253" spans="2:51" ht="27" customHeight="1">
      <c r="B253" s="104"/>
      <c r="C253" s="1172"/>
      <c r="D253" s="1172"/>
      <c r="E253" s="1172"/>
      <c r="F253" s="1173"/>
      <c r="G253" s="1174"/>
      <c r="H253" s="1175"/>
      <c r="I253" s="1176"/>
      <c r="J253" s="1177"/>
      <c r="K253" s="1547"/>
      <c r="L253" s="1177"/>
      <c r="M253" s="1548"/>
      <c r="N253" s="1549"/>
      <c r="O253" s="1178"/>
      <c r="P253" s="1179"/>
      <c r="R253" s="104"/>
      <c r="S253" s="1172"/>
      <c r="T253" s="1172"/>
      <c r="U253" s="1172"/>
      <c r="V253" s="1173"/>
      <c r="W253" s="1174"/>
      <c r="X253" s="1175"/>
      <c r="Y253" s="1176"/>
      <c r="Z253" s="1177"/>
      <c r="AA253" s="1547"/>
      <c r="AB253" s="1177"/>
      <c r="AC253" s="1548"/>
      <c r="AD253" s="1549"/>
      <c r="AE253" s="1178"/>
      <c r="AF253" s="1179"/>
      <c r="AH253" s="104"/>
      <c r="AI253" s="1172"/>
      <c r="AJ253" s="1172"/>
      <c r="AK253" s="1172"/>
      <c r="AL253" s="1173"/>
      <c r="AM253" s="1174"/>
      <c r="AN253" s="1175"/>
      <c r="AO253" s="1176"/>
      <c r="AP253" s="1177"/>
      <c r="AQ253" s="1547"/>
      <c r="AR253" s="1177"/>
      <c r="AS253" s="1548"/>
      <c r="AT253" s="1549"/>
      <c r="AU253" s="1178"/>
      <c r="AV253" s="1179"/>
      <c r="AY253" s="3">
        <v>1</v>
      </c>
    </row>
    <row r="254" spans="2:51" ht="27" customHeight="1">
      <c r="B254" s="104"/>
      <c r="C254" s="1172"/>
      <c r="D254" s="1172"/>
      <c r="E254" s="1172"/>
      <c r="F254" s="1173"/>
      <c r="G254" s="1174"/>
      <c r="H254" s="1175"/>
      <c r="I254" s="1176"/>
      <c r="J254" s="1177"/>
      <c r="K254" s="1547"/>
      <c r="L254" s="1177"/>
      <c r="M254" s="1548"/>
      <c r="N254" s="1549"/>
      <c r="O254" s="1178"/>
      <c r="P254" s="1179"/>
      <c r="R254" s="104"/>
      <c r="S254" s="1172"/>
      <c r="T254" s="1172"/>
      <c r="U254" s="1172"/>
      <c r="V254" s="1173"/>
      <c r="W254" s="1174"/>
      <c r="X254" s="1175"/>
      <c r="Y254" s="1176"/>
      <c r="Z254" s="1177"/>
      <c r="AA254" s="1547"/>
      <c r="AB254" s="1177"/>
      <c r="AC254" s="1548"/>
      <c r="AD254" s="1549"/>
      <c r="AE254" s="1178"/>
      <c r="AF254" s="1179"/>
      <c r="AH254" s="104"/>
      <c r="AI254" s="1172"/>
      <c r="AJ254" s="1172"/>
      <c r="AK254" s="1172"/>
      <c r="AL254" s="1173"/>
      <c r="AM254" s="1174"/>
      <c r="AN254" s="1175"/>
      <c r="AO254" s="1176"/>
      <c r="AP254" s="1177"/>
      <c r="AQ254" s="1547"/>
      <c r="AR254" s="1177"/>
      <c r="AS254" s="1548"/>
      <c r="AT254" s="1549"/>
      <c r="AU254" s="1178"/>
      <c r="AV254" s="1179"/>
      <c r="AY254" s="3">
        <v>1</v>
      </c>
    </row>
    <row r="255" spans="2:51" ht="18.75">
      <c r="B255" s="104"/>
      <c r="C255" s="1172"/>
      <c r="D255" s="1172"/>
      <c r="E255" s="1172"/>
      <c r="F255" s="1173"/>
      <c r="G255" s="1174"/>
      <c r="H255" s="1175"/>
      <c r="I255" s="1176"/>
      <c r="J255" s="1177"/>
      <c r="K255" s="1547"/>
      <c r="L255" s="1177"/>
      <c r="M255" s="1548"/>
      <c r="N255" s="1549"/>
      <c r="O255" s="1178"/>
      <c r="P255" s="1179"/>
      <c r="R255" s="104"/>
      <c r="S255" s="1172"/>
      <c r="T255" s="1172"/>
      <c r="U255" s="1172"/>
      <c r="V255" s="1173"/>
      <c r="W255" s="1174"/>
      <c r="X255" s="1175"/>
      <c r="Y255" s="1176"/>
      <c r="Z255" s="1177"/>
      <c r="AA255" s="1547"/>
      <c r="AB255" s="1177"/>
      <c r="AC255" s="1548"/>
      <c r="AD255" s="1549"/>
      <c r="AE255" s="1178"/>
      <c r="AF255" s="1179"/>
      <c r="AH255" s="104"/>
      <c r="AI255" s="1172"/>
      <c r="AJ255" s="1172"/>
      <c r="AK255" s="1172"/>
      <c r="AL255" s="1173"/>
      <c r="AM255" s="1174"/>
      <c r="AN255" s="1175"/>
      <c r="AO255" s="1176"/>
      <c r="AP255" s="1177"/>
      <c r="AQ255" s="1547"/>
      <c r="AR255" s="1177"/>
      <c r="AS255" s="1548"/>
      <c r="AT255" s="1549"/>
      <c r="AU255" s="1178"/>
      <c r="AV255" s="1179"/>
      <c r="AY255" s="3">
        <v>1</v>
      </c>
    </row>
    <row r="256" spans="2:51" ht="18.75">
      <c r="B256" s="104"/>
      <c r="C256" s="1172"/>
      <c r="D256" s="1172"/>
      <c r="E256" s="1172"/>
      <c r="F256" s="1173"/>
      <c r="G256" s="1174"/>
      <c r="H256" s="1175"/>
      <c r="I256" s="1176"/>
      <c r="J256" s="1177"/>
      <c r="K256" s="1547"/>
      <c r="L256" s="1177"/>
      <c r="M256" s="1548"/>
      <c r="N256" s="1549"/>
      <c r="O256" s="1178"/>
      <c r="P256" s="1179"/>
      <c r="R256" s="104"/>
      <c r="S256" s="1172"/>
      <c r="T256" s="1172"/>
      <c r="U256" s="1172"/>
      <c r="V256" s="1173"/>
      <c r="W256" s="1174"/>
      <c r="X256" s="1175"/>
      <c r="Y256" s="1176"/>
      <c r="Z256" s="1177"/>
      <c r="AA256" s="1547"/>
      <c r="AB256" s="1177"/>
      <c r="AC256" s="1548"/>
      <c r="AD256" s="1549"/>
      <c r="AE256" s="1178"/>
      <c r="AF256" s="1179"/>
      <c r="AH256" s="104"/>
      <c r="AI256" s="1172"/>
      <c r="AJ256" s="1172"/>
      <c r="AK256" s="1172"/>
      <c r="AL256" s="1173"/>
      <c r="AM256" s="1174"/>
      <c r="AN256" s="1175"/>
      <c r="AO256" s="1176"/>
      <c r="AP256" s="1177"/>
      <c r="AQ256" s="1547"/>
      <c r="AR256" s="1177"/>
      <c r="AS256" s="1548"/>
      <c r="AT256" s="1549"/>
      <c r="AU256" s="1178"/>
      <c r="AV256" s="1179"/>
      <c r="AY256" s="3">
        <v>1</v>
      </c>
    </row>
    <row r="257" spans="2:51" ht="18.75">
      <c r="B257" s="104"/>
      <c r="C257" s="1172"/>
      <c r="D257" s="1172"/>
      <c r="E257" s="1172"/>
      <c r="F257" s="1173"/>
      <c r="G257" s="1174"/>
      <c r="H257" s="1175"/>
      <c r="I257" s="1176"/>
      <c r="J257" s="1177"/>
      <c r="K257" s="1547"/>
      <c r="L257" s="1177"/>
      <c r="M257" s="1548"/>
      <c r="N257" s="1549"/>
      <c r="O257" s="1178"/>
      <c r="P257" s="1179"/>
      <c r="R257" s="104"/>
      <c r="S257" s="1172"/>
      <c r="T257" s="1172"/>
      <c r="U257" s="1172"/>
      <c r="V257" s="1173"/>
      <c r="W257" s="1174"/>
      <c r="X257" s="1175"/>
      <c r="Y257" s="1176"/>
      <c r="Z257" s="1177"/>
      <c r="AA257" s="1547"/>
      <c r="AB257" s="1177"/>
      <c r="AC257" s="1548"/>
      <c r="AD257" s="1549"/>
      <c r="AE257" s="1178"/>
      <c r="AF257" s="1179"/>
      <c r="AH257" s="104"/>
      <c r="AI257" s="1172"/>
      <c r="AJ257" s="1172"/>
      <c r="AK257" s="1172"/>
      <c r="AL257" s="1173"/>
      <c r="AM257" s="1174"/>
      <c r="AN257" s="1175"/>
      <c r="AO257" s="1176"/>
      <c r="AP257" s="1177"/>
      <c r="AQ257" s="1547"/>
      <c r="AR257" s="1177"/>
      <c r="AS257" s="1548"/>
      <c r="AT257" s="1549"/>
      <c r="AU257" s="1178"/>
      <c r="AV257" s="1179"/>
      <c r="AY257" s="3">
        <v>1</v>
      </c>
    </row>
    <row r="258" spans="2:51" ht="18.75">
      <c r="B258" s="104"/>
      <c r="C258" s="1172"/>
      <c r="D258" s="1172"/>
      <c r="E258" s="1172"/>
      <c r="F258" s="1173"/>
      <c r="G258" s="1174"/>
      <c r="H258" s="1175"/>
      <c r="I258" s="1176"/>
      <c r="J258" s="1177"/>
      <c r="K258" s="1547"/>
      <c r="L258" s="1177"/>
      <c r="M258" s="1548"/>
      <c r="N258" s="1549"/>
      <c r="O258" s="1178"/>
      <c r="P258" s="1179"/>
      <c r="R258" s="104"/>
      <c r="S258" s="1172"/>
      <c r="T258" s="1172"/>
      <c r="U258" s="1172"/>
      <c r="V258" s="1173"/>
      <c r="W258" s="1174"/>
      <c r="X258" s="1175"/>
      <c r="Y258" s="1176"/>
      <c r="Z258" s="1177"/>
      <c r="AA258" s="1547"/>
      <c r="AB258" s="1177"/>
      <c r="AC258" s="1548"/>
      <c r="AD258" s="1549"/>
      <c r="AE258" s="1178"/>
      <c r="AF258" s="1179"/>
      <c r="AH258" s="104"/>
      <c r="AI258" s="1172"/>
      <c r="AJ258" s="1172"/>
      <c r="AK258" s="1172"/>
      <c r="AL258" s="1173"/>
      <c r="AM258" s="1174"/>
      <c r="AN258" s="1175"/>
      <c r="AO258" s="1176"/>
      <c r="AP258" s="1177"/>
      <c r="AQ258" s="1547"/>
      <c r="AR258" s="1177"/>
      <c r="AS258" s="1548"/>
      <c r="AT258" s="1549"/>
      <c r="AU258" s="1178"/>
      <c r="AV258" s="1179"/>
      <c r="AY258" s="3">
        <v>1</v>
      </c>
    </row>
    <row r="259" spans="2:51" ht="18.75">
      <c r="B259" s="104"/>
      <c r="C259" s="1172"/>
      <c r="D259" s="1172"/>
      <c r="E259" s="1172"/>
      <c r="F259" s="1173"/>
      <c r="G259" s="1174"/>
      <c r="H259" s="1175"/>
      <c r="I259" s="1176"/>
      <c r="J259" s="1177"/>
      <c r="K259" s="1547"/>
      <c r="L259" s="1177"/>
      <c r="M259" s="1548"/>
      <c r="N259" s="1549"/>
      <c r="O259" s="1178"/>
      <c r="P259" s="1179"/>
      <c r="R259" s="104"/>
      <c r="S259" s="1172"/>
      <c r="T259" s="1172"/>
      <c r="U259" s="1172"/>
      <c r="V259" s="1173"/>
      <c r="W259" s="1174"/>
      <c r="X259" s="1175"/>
      <c r="Y259" s="1176"/>
      <c r="Z259" s="1177"/>
      <c r="AA259" s="1547"/>
      <c r="AB259" s="1177"/>
      <c r="AC259" s="1548"/>
      <c r="AD259" s="1549"/>
      <c r="AE259" s="1178"/>
      <c r="AF259" s="1179"/>
      <c r="AH259" s="104"/>
      <c r="AI259" s="1172"/>
      <c r="AJ259" s="1172"/>
      <c r="AK259" s="1172"/>
      <c r="AL259" s="1173"/>
      <c r="AM259" s="1174"/>
      <c r="AN259" s="1175"/>
      <c r="AO259" s="1176"/>
      <c r="AP259" s="1177"/>
      <c r="AQ259" s="1547"/>
      <c r="AR259" s="1177"/>
      <c r="AS259" s="1548"/>
      <c r="AT259" s="1549"/>
      <c r="AU259" s="1178"/>
      <c r="AV259" s="1179"/>
      <c r="AY259" s="3">
        <v>1</v>
      </c>
    </row>
    <row r="260" spans="2:51" ht="18.75">
      <c r="B260" s="104"/>
      <c r="C260" s="1172"/>
      <c r="D260" s="1172"/>
      <c r="E260" s="1172"/>
      <c r="F260" s="1173"/>
      <c r="G260" s="1174"/>
      <c r="H260" s="1175"/>
      <c r="I260" s="1176"/>
      <c r="J260" s="1177"/>
      <c r="K260" s="1547"/>
      <c r="L260" s="1177"/>
      <c r="M260" s="1548"/>
      <c r="N260" s="1549"/>
      <c r="O260" s="1178"/>
      <c r="P260" s="1179"/>
      <c r="R260" s="104"/>
      <c r="S260" s="1172"/>
      <c r="T260" s="1172"/>
      <c r="U260" s="1172"/>
      <c r="V260" s="1173"/>
      <c r="W260" s="1174"/>
      <c r="X260" s="1175"/>
      <c r="Y260" s="1176"/>
      <c r="Z260" s="1177"/>
      <c r="AA260" s="1547"/>
      <c r="AB260" s="1177"/>
      <c r="AC260" s="1548"/>
      <c r="AD260" s="1549"/>
      <c r="AE260" s="1178"/>
      <c r="AF260" s="1179"/>
      <c r="AH260" s="104"/>
      <c r="AI260" s="1172"/>
      <c r="AJ260" s="1172"/>
      <c r="AK260" s="1172"/>
      <c r="AL260" s="1173"/>
      <c r="AM260" s="1174"/>
      <c r="AN260" s="1175"/>
      <c r="AO260" s="1176"/>
      <c r="AP260" s="1177"/>
      <c r="AQ260" s="1547"/>
      <c r="AR260" s="1177"/>
      <c r="AS260" s="1548"/>
      <c r="AT260" s="1549"/>
      <c r="AU260" s="1178"/>
      <c r="AV260" s="1179"/>
      <c r="AY260" s="3">
        <v>1</v>
      </c>
    </row>
    <row r="261" spans="2:51" ht="18.75">
      <c r="B261" s="104"/>
      <c r="C261" s="1172"/>
      <c r="D261" s="1172"/>
      <c r="E261" s="1172"/>
      <c r="F261" s="1173"/>
      <c r="G261" s="1174"/>
      <c r="H261" s="1175"/>
      <c r="I261" s="1176"/>
      <c r="J261" s="1177"/>
      <c r="K261" s="1547"/>
      <c r="L261" s="1177"/>
      <c r="M261" s="1548"/>
      <c r="N261" s="1549"/>
      <c r="O261" s="1178"/>
      <c r="P261" s="1179"/>
      <c r="R261" s="104"/>
      <c r="S261" s="1172"/>
      <c r="T261" s="1172"/>
      <c r="U261" s="1172"/>
      <c r="V261" s="1173"/>
      <c r="W261" s="1174"/>
      <c r="X261" s="1175"/>
      <c r="Y261" s="1176"/>
      <c r="Z261" s="1177"/>
      <c r="AA261" s="1547"/>
      <c r="AB261" s="1177"/>
      <c r="AC261" s="1548"/>
      <c r="AD261" s="1549"/>
      <c r="AE261" s="1178"/>
      <c r="AF261" s="1179"/>
      <c r="AH261" s="104"/>
      <c r="AI261" s="1172"/>
      <c r="AJ261" s="1172"/>
      <c r="AK261" s="1172"/>
      <c r="AL261" s="1173"/>
      <c r="AM261" s="1174"/>
      <c r="AN261" s="1175"/>
      <c r="AO261" s="1176"/>
      <c r="AP261" s="1177"/>
      <c r="AQ261" s="1547"/>
      <c r="AR261" s="1177"/>
      <c r="AS261" s="1548"/>
      <c r="AT261" s="1549"/>
      <c r="AU261" s="1178"/>
      <c r="AV261" s="1179"/>
      <c r="AY261" s="3">
        <v>1</v>
      </c>
    </row>
    <row r="262" spans="2:51" ht="18.75">
      <c r="B262" s="104"/>
      <c r="C262" s="1172"/>
      <c r="D262" s="1172"/>
      <c r="E262" s="1172"/>
      <c r="F262" s="1173"/>
      <c r="G262" s="1174"/>
      <c r="H262" s="1175"/>
      <c r="I262" s="1176"/>
      <c r="J262" s="1177"/>
      <c r="K262" s="1547"/>
      <c r="L262" s="1177"/>
      <c r="M262" s="1548"/>
      <c r="N262" s="1549"/>
      <c r="O262" s="1178"/>
      <c r="P262" s="1179"/>
      <c r="R262" s="104"/>
      <c r="S262" s="1172"/>
      <c r="T262" s="1172"/>
      <c r="U262" s="1172"/>
      <c r="V262" s="1173"/>
      <c r="W262" s="1174"/>
      <c r="X262" s="1175"/>
      <c r="Y262" s="1176"/>
      <c r="Z262" s="1177"/>
      <c r="AA262" s="1547"/>
      <c r="AB262" s="1177"/>
      <c r="AC262" s="1548"/>
      <c r="AD262" s="1549"/>
      <c r="AE262" s="1178"/>
      <c r="AF262" s="1179"/>
      <c r="AH262" s="104"/>
      <c r="AI262" s="1172"/>
      <c r="AJ262" s="1172"/>
      <c r="AK262" s="1172"/>
      <c r="AL262" s="1173"/>
      <c r="AM262" s="1174"/>
      <c r="AN262" s="1175"/>
      <c r="AO262" s="1176"/>
      <c r="AP262" s="1177"/>
      <c r="AQ262" s="1547"/>
      <c r="AR262" s="1177"/>
      <c r="AS262" s="1548"/>
      <c r="AT262" s="1549"/>
      <c r="AU262" s="1178"/>
      <c r="AV262" s="1179"/>
      <c r="AY262" s="3">
        <v>1</v>
      </c>
    </row>
    <row r="263" spans="2:51" ht="18.75">
      <c r="B263" s="104"/>
      <c r="C263" s="1172"/>
      <c r="D263" s="1172"/>
      <c r="E263" s="1172"/>
      <c r="F263" s="1173"/>
      <c r="G263" s="1174"/>
      <c r="H263" s="1175"/>
      <c r="I263" s="1176"/>
      <c r="J263" s="1177"/>
      <c r="K263" s="1547"/>
      <c r="L263" s="1177"/>
      <c r="M263" s="1548"/>
      <c r="N263" s="1549"/>
      <c r="O263" s="1178"/>
      <c r="P263" s="1179"/>
      <c r="R263" s="104"/>
      <c r="S263" s="1172"/>
      <c r="T263" s="1172"/>
      <c r="U263" s="1172"/>
      <c r="V263" s="1173"/>
      <c r="W263" s="1174"/>
      <c r="X263" s="1175"/>
      <c r="Y263" s="1176"/>
      <c r="Z263" s="1177"/>
      <c r="AA263" s="1547"/>
      <c r="AB263" s="1177"/>
      <c r="AC263" s="1548"/>
      <c r="AD263" s="1549"/>
      <c r="AE263" s="1178"/>
      <c r="AF263" s="1179"/>
      <c r="AH263" s="104"/>
      <c r="AI263" s="1172"/>
      <c r="AJ263" s="1172"/>
      <c r="AK263" s="1172"/>
      <c r="AL263" s="1173"/>
      <c r="AM263" s="1174"/>
      <c r="AN263" s="1175"/>
      <c r="AO263" s="1176"/>
      <c r="AP263" s="1177"/>
      <c r="AQ263" s="1547"/>
      <c r="AR263" s="1177"/>
      <c r="AS263" s="1548"/>
      <c r="AT263" s="1549"/>
      <c r="AU263" s="1178"/>
      <c r="AV263" s="1179"/>
      <c r="AY263" s="3">
        <v>1</v>
      </c>
    </row>
    <row r="264" spans="2:51" ht="18.75">
      <c r="B264" s="104"/>
      <c r="C264" s="1172"/>
      <c r="D264" s="1172"/>
      <c r="E264" s="1172"/>
      <c r="F264" s="1173"/>
      <c r="G264" s="1174"/>
      <c r="H264" s="1175"/>
      <c r="I264" s="1176"/>
      <c r="J264" s="1177"/>
      <c r="K264" s="1547"/>
      <c r="L264" s="1177"/>
      <c r="M264" s="1548"/>
      <c r="N264" s="1549"/>
      <c r="O264" s="1178"/>
      <c r="P264" s="1179"/>
      <c r="R264" s="104"/>
      <c r="S264" s="1172"/>
      <c r="T264" s="1172"/>
      <c r="U264" s="1172"/>
      <c r="V264" s="1173"/>
      <c r="W264" s="1174"/>
      <c r="X264" s="1175"/>
      <c r="Y264" s="1176"/>
      <c r="Z264" s="1177"/>
      <c r="AA264" s="1547"/>
      <c r="AB264" s="1177"/>
      <c r="AC264" s="1548"/>
      <c r="AD264" s="1549"/>
      <c r="AE264" s="1178"/>
      <c r="AF264" s="1179"/>
      <c r="AH264" s="104"/>
      <c r="AI264" s="1172"/>
      <c r="AJ264" s="1172"/>
      <c r="AK264" s="1172"/>
      <c r="AL264" s="1173"/>
      <c r="AM264" s="1174"/>
      <c r="AN264" s="1175"/>
      <c r="AO264" s="1176"/>
      <c r="AP264" s="1177"/>
      <c r="AQ264" s="1547"/>
      <c r="AR264" s="1177"/>
      <c r="AS264" s="1548"/>
      <c r="AT264" s="1549"/>
      <c r="AU264" s="1178"/>
      <c r="AV264" s="1179"/>
      <c r="AY264" s="3">
        <v>1</v>
      </c>
    </row>
    <row r="265" spans="2:51" ht="18.75">
      <c r="B265" s="104"/>
      <c r="C265" s="1172"/>
      <c r="D265" s="1172"/>
      <c r="E265" s="1172"/>
      <c r="F265" s="1173"/>
      <c r="G265" s="1174"/>
      <c r="H265" s="1175"/>
      <c r="I265" s="1176"/>
      <c r="J265" s="1177"/>
      <c r="K265" s="1547"/>
      <c r="L265" s="1177"/>
      <c r="M265" s="1548"/>
      <c r="N265" s="1549"/>
      <c r="O265" s="1178"/>
      <c r="P265" s="1179"/>
      <c r="R265" s="104"/>
      <c r="S265" s="1172"/>
      <c r="T265" s="1172"/>
      <c r="U265" s="1172"/>
      <c r="V265" s="1173"/>
      <c r="W265" s="1174"/>
      <c r="X265" s="1175"/>
      <c r="Y265" s="1176"/>
      <c r="Z265" s="1177"/>
      <c r="AA265" s="1547"/>
      <c r="AB265" s="1177"/>
      <c r="AC265" s="1548"/>
      <c r="AD265" s="1549"/>
      <c r="AE265" s="1178"/>
      <c r="AF265" s="1179"/>
      <c r="AH265" s="104"/>
      <c r="AI265" s="1172"/>
      <c r="AJ265" s="1172"/>
      <c r="AK265" s="1172"/>
      <c r="AL265" s="1173"/>
      <c r="AM265" s="1174"/>
      <c r="AN265" s="1175"/>
      <c r="AO265" s="1176"/>
      <c r="AP265" s="1177"/>
      <c r="AQ265" s="1547"/>
      <c r="AR265" s="1177"/>
      <c r="AS265" s="1548"/>
      <c r="AT265" s="1549"/>
      <c r="AU265" s="1178"/>
      <c r="AV265" s="1179"/>
      <c r="AY265" s="3">
        <v>1</v>
      </c>
    </row>
    <row r="266" spans="2:51" ht="18.75">
      <c r="B266" s="104"/>
      <c r="C266" s="1172"/>
      <c r="D266" s="1172"/>
      <c r="E266" s="1172"/>
      <c r="F266" s="1173"/>
      <c r="G266" s="1174"/>
      <c r="H266" s="1175"/>
      <c r="I266" s="1176"/>
      <c r="J266" s="1177"/>
      <c r="K266" s="1547"/>
      <c r="L266" s="1177"/>
      <c r="M266" s="1548"/>
      <c r="N266" s="1549"/>
      <c r="O266" s="1178"/>
      <c r="P266" s="1179"/>
      <c r="R266" s="104"/>
      <c r="S266" s="1172"/>
      <c r="T266" s="1172"/>
      <c r="U266" s="1172"/>
      <c r="V266" s="1173"/>
      <c r="W266" s="1174"/>
      <c r="X266" s="1175"/>
      <c r="Y266" s="1176"/>
      <c r="Z266" s="1177"/>
      <c r="AA266" s="1547"/>
      <c r="AB266" s="1177"/>
      <c r="AC266" s="1548"/>
      <c r="AD266" s="1549"/>
      <c r="AE266" s="1178"/>
      <c r="AF266" s="1179"/>
      <c r="AH266" s="104"/>
      <c r="AI266" s="1172"/>
      <c r="AJ266" s="1172"/>
      <c r="AK266" s="1172"/>
      <c r="AL266" s="1173"/>
      <c r="AM266" s="1174"/>
      <c r="AN266" s="1175"/>
      <c r="AO266" s="1176"/>
      <c r="AP266" s="1177"/>
      <c r="AQ266" s="1547"/>
      <c r="AR266" s="1177"/>
      <c r="AS266" s="1548"/>
      <c r="AT266" s="1549"/>
      <c r="AU266" s="1178"/>
      <c r="AV266" s="1179"/>
      <c r="AY266" s="3">
        <v>1</v>
      </c>
    </row>
    <row r="267" spans="2:51" ht="18.75">
      <c r="B267" s="104"/>
      <c r="C267" s="1172"/>
      <c r="D267" s="1172"/>
      <c r="E267" s="1172"/>
      <c r="F267" s="1173"/>
      <c r="G267" s="1174"/>
      <c r="H267" s="1175"/>
      <c r="I267" s="1176"/>
      <c r="J267" s="1177"/>
      <c r="K267" s="1547"/>
      <c r="L267" s="1177"/>
      <c r="M267" s="1548"/>
      <c r="N267" s="1549"/>
      <c r="O267" s="1178"/>
      <c r="P267" s="1179"/>
      <c r="R267" s="104"/>
      <c r="S267" s="1172"/>
      <c r="T267" s="1172"/>
      <c r="U267" s="1172"/>
      <c r="V267" s="1173"/>
      <c r="W267" s="1174"/>
      <c r="X267" s="1175"/>
      <c r="Y267" s="1176"/>
      <c r="Z267" s="1177"/>
      <c r="AA267" s="1547"/>
      <c r="AB267" s="1177"/>
      <c r="AC267" s="1548"/>
      <c r="AD267" s="1549"/>
      <c r="AE267" s="1178"/>
      <c r="AF267" s="1179"/>
      <c r="AH267" s="104"/>
      <c r="AI267" s="1172"/>
      <c r="AJ267" s="1172"/>
      <c r="AK267" s="1172"/>
      <c r="AL267" s="1173"/>
      <c r="AM267" s="1174"/>
      <c r="AN267" s="1175"/>
      <c r="AO267" s="1176"/>
      <c r="AP267" s="1177"/>
      <c r="AQ267" s="1547"/>
      <c r="AR267" s="1177"/>
      <c r="AS267" s="1548"/>
      <c r="AT267" s="1549"/>
      <c r="AU267" s="1178"/>
      <c r="AV267" s="1179"/>
      <c r="AY267" s="3">
        <v>1</v>
      </c>
    </row>
    <row r="268" spans="2:51" ht="18.75">
      <c r="B268" s="104"/>
      <c r="C268" s="1172"/>
      <c r="D268" s="1172"/>
      <c r="E268" s="1172"/>
      <c r="F268" s="1173"/>
      <c r="G268" s="1174"/>
      <c r="H268" s="1175"/>
      <c r="I268" s="1176"/>
      <c r="J268" s="1177"/>
      <c r="K268" s="1547"/>
      <c r="L268" s="1177"/>
      <c r="M268" s="1548"/>
      <c r="N268" s="1549"/>
      <c r="O268" s="1178"/>
      <c r="P268" s="1179"/>
      <c r="R268" s="104"/>
      <c r="S268" s="1172"/>
      <c r="T268" s="1172"/>
      <c r="U268" s="1172"/>
      <c r="V268" s="1173"/>
      <c r="W268" s="1174"/>
      <c r="X268" s="1175"/>
      <c r="Y268" s="1176"/>
      <c r="Z268" s="1177"/>
      <c r="AA268" s="1547"/>
      <c r="AB268" s="1177"/>
      <c r="AC268" s="1548"/>
      <c r="AD268" s="1549"/>
      <c r="AE268" s="1178"/>
      <c r="AF268" s="1179"/>
      <c r="AH268" s="104"/>
      <c r="AI268" s="1172"/>
      <c r="AJ268" s="1172"/>
      <c r="AK268" s="1172"/>
      <c r="AL268" s="1173"/>
      <c r="AM268" s="1174"/>
      <c r="AN268" s="1175"/>
      <c r="AO268" s="1176"/>
      <c r="AP268" s="1177"/>
      <c r="AQ268" s="1547"/>
      <c r="AR268" s="1177"/>
      <c r="AS268" s="1548"/>
      <c r="AT268" s="1549"/>
      <c r="AU268" s="1178"/>
      <c r="AV268" s="1179"/>
      <c r="AY268" s="3">
        <v>1</v>
      </c>
    </row>
    <row r="269" spans="2:51" ht="18.75">
      <c r="B269" s="104"/>
      <c r="C269" s="1172"/>
      <c r="D269" s="1172"/>
      <c r="E269" s="1172"/>
      <c r="F269" s="1173"/>
      <c r="G269" s="1174"/>
      <c r="H269" s="1175"/>
      <c r="I269" s="1176"/>
      <c r="J269" s="1177"/>
      <c r="K269" s="1547"/>
      <c r="L269" s="1177"/>
      <c r="M269" s="1548"/>
      <c r="N269" s="1549"/>
      <c r="O269" s="1178"/>
      <c r="P269" s="1179"/>
      <c r="R269" s="104"/>
      <c r="S269" s="1172"/>
      <c r="T269" s="1172"/>
      <c r="U269" s="1172"/>
      <c r="V269" s="1173"/>
      <c r="W269" s="1174"/>
      <c r="X269" s="1175"/>
      <c r="Y269" s="1176"/>
      <c r="Z269" s="1177"/>
      <c r="AA269" s="1547"/>
      <c r="AB269" s="1177"/>
      <c r="AC269" s="1548"/>
      <c r="AD269" s="1549"/>
      <c r="AE269" s="1178"/>
      <c r="AF269" s="1179"/>
      <c r="AH269" s="104"/>
      <c r="AI269" s="1172"/>
      <c r="AJ269" s="1172"/>
      <c r="AK269" s="1172"/>
      <c r="AL269" s="1173"/>
      <c r="AM269" s="1174"/>
      <c r="AN269" s="1175"/>
      <c r="AO269" s="1176"/>
      <c r="AP269" s="1177"/>
      <c r="AQ269" s="1547"/>
      <c r="AR269" s="1177"/>
      <c r="AS269" s="1548"/>
      <c r="AT269" s="1549"/>
      <c r="AU269" s="1178"/>
      <c r="AV269" s="1179"/>
      <c r="AY269" s="3">
        <v>1</v>
      </c>
    </row>
    <row r="270" spans="2:51" ht="18.75">
      <c r="B270" s="104"/>
      <c r="C270" s="1172"/>
      <c r="D270" s="1172"/>
      <c r="E270" s="1172"/>
      <c r="F270" s="1173"/>
      <c r="G270" s="1174"/>
      <c r="H270" s="1175"/>
      <c r="I270" s="1176"/>
      <c r="J270" s="1177"/>
      <c r="K270" s="1547"/>
      <c r="L270" s="1177"/>
      <c r="M270" s="1548"/>
      <c r="N270" s="1549"/>
      <c r="O270" s="1178"/>
      <c r="P270" s="1179"/>
      <c r="R270" s="104"/>
      <c r="S270" s="1172"/>
      <c r="T270" s="1172"/>
      <c r="U270" s="1172"/>
      <c r="V270" s="1173"/>
      <c r="W270" s="1174"/>
      <c r="X270" s="1175"/>
      <c r="Y270" s="1176"/>
      <c r="Z270" s="1177"/>
      <c r="AA270" s="1547"/>
      <c r="AB270" s="1177"/>
      <c r="AC270" s="1548"/>
      <c r="AD270" s="1549"/>
      <c r="AE270" s="1178"/>
      <c r="AF270" s="1179"/>
      <c r="AH270" s="104"/>
      <c r="AI270" s="1172"/>
      <c r="AJ270" s="1172"/>
      <c r="AK270" s="1172"/>
      <c r="AL270" s="1173"/>
      <c r="AM270" s="1174"/>
      <c r="AN270" s="1175"/>
      <c r="AO270" s="1176"/>
      <c r="AP270" s="1177"/>
      <c r="AQ270" s="1547"/>
      <c r="AR270" s="1177"/>
      <c r="AS270" s="1548"/>
      <c r="AT270" s="1549"/>
      <c r="AU270" s="1178"/>
      <c r="AV270" s="1179"/>
      <c r="AY270" s="3">
        <v>1</v>
      </c>
    </row>
    <row r="271" spans="2:51" ht="18.75">
      <c r="B271" s="104"/>
      <c r="C271" s="1172"/>
      <c r="D271" s="1172"/>
      <c r="E271" s="1172"/>
      <c r="F271" s="1173"/>
      <c r="G271" s="1174"/>
      <c r="H271" s="1175"/>
      <c r="I271" s="1176"/>
      <c r="J271" s="1177"/>
      <c r="K271" s="1547"/>
      <c r="L271" s="1177"/>
      <c r="M271" s="1548"/>
      <c r="N271" s="1549"/>
      <c r="O271" s="1178"/>
      <c r="P271" s="1179"/>
      <c r="R271" s="104"/>
      <c r="S271" s="1172"/>
      <c r="T271" s="1172"/>
      <c r="U271" s="1172"/>
      <c r="V271" s="1173"/>
      <c r="W271" s="1174"/>
      <c r="X271" s="1175"/>
      <c r="Y271" s="1176"/>
      <c r="Z271" s="1177"/>
      <c r="AA271" s="1547"/>
      <c r="AB271" s="1177"/>
      <c r="AC271" s="1548"/>
      <c r="AD271" s="1549"/>
      <c r="AE271" s="1178"/>
      <c r="AF271" s="1179"/>
      <c r="AH271" s="104"/>
      <c r="AI271" s="1172"/>
      <c r="AJ271" s="1172"/>
      <c r="AK271" s="1172"/>
      <c r="AL271" s="1173"/>
      <c r="AM271" s="1174"/>
      <c r="AN271" s="1175"/>
      <c r="AO271" s="1176"/>
      <c r="AP271" s="1177"/>
      <c r="AQ271" s="1547"/>
      <c r="AR271" s="1177"/>
      <c r="AS271" s="1548"/>
      <c r="AT271" s="1549"/>
      <c r="AU271" s="1178"/>
      <c r="AV271" s="1179"/>
      <c r="AY271" s="3">
        <v>1</v>
      </c>
    </row>
    <row r="272" spans="2:51" ht="18.75">
      <c r="B272" s="104"/>
      <c r="C272" s="1172"/>
      <c r="D272" s="1172"/>
      <c r="E272" s="1172"/>
      <c r="F272" s="1173"/>
      <c r="G272" s="1174"/>
      <c r="H272" s="1175"/>
      <c r="I272" s="1176"/>
      <c r="J272" s="1177"/>
      <c r="K272" s="1547"/>
      <c r="L272" s="1177"/>
      <c r="M272" s="1548"/>
      <c r="N272" s="1549"/>
      <c r="O272" s="1178"/>
      <c r="P272" s="1179"/>
      <c r="R272" s="104"/>
      <c r="S272" s="1172"/>
      <c r="T272" s="1172"/>
      <c r="U272" s="1172"/>
      <c r="V272" s="1173"/>
      <c r="W272" s="1174"/>
      <c r="X272" s="1175"/>
      <c r="Y272" s="1176"/>
      <c r="Z272" s="1177"/>
      <c r="AA272" s="1547"/>
      <c r="AB272" s="1177"/>
      <c r="AC272" s="1548"/>
      <c r="AD272" s="1549"/>
      <c r="AE272" s="1178"/>
      <c r="AF272" s="1179"/>
      <c r="AH272" s="104"/>
      <c r="AI272" s="1172"/>
      <c r="AJ272" s="1172"/>
      <c r="AK272" s="1172"/>
      <c r="AL272" s="1173"/>
      <c r="AM272" s="1174"/>
      <c r="AN272" s="1175"/>
      <c r="AO272" s="1176"/>
      <c r="AP272" s="1177"/>
      <c r="AQ272" s="1547"/>
      <c r="AR272" s="1177"/>
      <c r="AS272" s="1548"/>
      <c r="AT272" s="1549"/>
      <c r="AU272" s="1178"/>
      <c r="AV272" s="1179"/>
      <c r="AY272" s="3">
        <v>1</v>
      </c>
    </row>
    <row r="273" spans="2:51" ht="18.75">
      <c r="B273" s="104"/>
      <c r="C273" s="1172"/>
      <c r="D273" s="1172"/>
      <c r="E273" s="1172"/>
      <c r="F273" s="1173"/>
      <c r="G273" s="1174"/>
      <c r="H273" s="1175"/>
      <c r="I273" s="1176"/>
      <c r="J273" s="1177"/>
      <c r="K273" s="1547"/>
      <c r="L273" s="1177"/>
      <c r="M273" s="1548"/>
      <c r="N273" s="1549"/>
      <c r="O273" s="1178"/>
      <c r="P273" s="1179"/>
      <c r="R273" s="104"/>
      <c r="S273" s="1172"/>
      <c r="T273" s="1172"/>
      <c r="U273" s="1172"/>
      <c r="V273" s="1173"/>
      <c r="W273" s="1174"/>
      <c r="X273" s="1175"/>
      <c r="Y273" s="1176"/>
      <c r="Z273" s="1177"/>
      <c r="AA273" s="1547"/>
      <c r="AB273" s="1177"/>
      <c r="AC273" s="1548"/>
      <c r="AD273" s="1549"/>
      <c r="AE273" s="1178"/>
      <c r="AF273" s="1179"/>
      <c r="AH273" s="104"/>
      <c r="AI273" s="1172"/>
      <c r="AJ273" s="1172"/>
      <c r="AK273" s="1172"/>
      <c r="AL273" s="1173"/>
      <c r="AM273" s="1174"/>
      <c r="AN273" s="1175"/>
      <c r="AO273" s="1176"/>
      <c r="AP273" s="1177"/>
      <c r="AQ273" s="1547"/>
      <c r="AR273" s="1177"/>
      <c r="AS273" s="1548"/>
      <c r="AT273" s="1549"/>
      <c r="AU273" s="1178"/>
      <c r="AV273" s="1179"/>
      <c r="AY273" s="3">
        <v>1</v>
      </c>
    </row>
    <row r="274" spans="2:51" ht="18.75">
      <c r="B274" s="104"/>
      <c r="C274" s="1172"/>
      <c r="D274" s="1172"/>
      <c r="E274" s="1172"/>
      <c r="F274" s="1173"/>
      <c r="G274" s="1174"/>
      <c r="H274" s="1175"/>
      <c r="I274" s="1176"/>
      <c r="J274" s="1177"/>
      <c r="K274" s="1547"/>
      <c r="L274" s="1177"/>
      <c r="M274" s="1548"/>
      <c r="N274" s="1549"/>
      <c r="O274" s="1178"/>
      <c r="P274" s="1179"/>
      <c r="R274" s="104"/>
      <c r="S274" s="1172"/>
      <c r="T274" s="1172"/>
      <c r="U274" s="1172"/>
      <c r="V274" s="1173"/>
      <c r="W274" s="1174"/>
      <c r="X274" s="1175"/>
      <c r="Y274" s="1176"/>
      <c r="Z274" s="1177"/>
      <c r="AA274" s="1547"/>
      <c r="AB274" s="1177"/>
      <c r="AC274" s="1548"/>
      <c r="AD274" s="1549"/>
      <c r="AE274" s="1178"/>
      <c r="AF274" s="1179"/>
      <c r="AH274" s="104"/>
      <c r="AI274" s="1172"/>
      <c r="AJ274" s="1172"/>
      <c r="AK274" s="1172"/>
      <c r="AL274" s="1173"/>
      <c r="AM274" s="1174"/>
      <c r="AN274" s="1175"/>
      <c r="AO274" s="1176"/>
      <c r="AP274" s="1177"/>
      <c r="AQ274" s="1547"/>
      <c r="AR274" s="1177"/>
      <c r="AS274" s="1548"/>
      <c r="AT274" s="1549"/>
      <c r="AU274" s="1178"/>
      <c r="AV274" s="1179"/>
      <c r="AY274" s="3">
        <v>1</v>
      </c>
    </row>
    <row r="275" spans="2:51" ht="18.75">
      <c r="B275" s="104"/>
      <c r="C275" s="1172"/>
      <c r="D275" s="1172"/>
      <c r="E275" s="1172"/>
      <c r="F275" s="1173"/>
      <c r="G275" s="1174"/>
      <c r="H275" s="1175"/>
      <c r="I275" s="1176"/>
      <c r="J275" s="1177"/>
      <c r="K275" s="1547"/>
      <c r="L275" s="1177"/>
      <c r="M275" s="1548"/>
      <c r="N275" s="1549"/>
      <c r="O275" s="1178"/>
      <c r="P275" s="1179"/>
      <c r="R275" s="104"/>
      <c r="S275" s="1172"/>
      <c r="T275" s="1172"/>
      <c r="U275" s="1172"/>
      <c r="V275" s="1173"/>
      <c r="W275" s="1174"/>
      <c r="X275" s="1175"/>
      <c r="Y275" s="1176"/>
      <c r="Z275" s="1177"/>
      <c r="AA275" s="1547"/>
      <c r="AB275" s="1177"/>
      <c r="AC275" s="1548"/>
      <c r="AD275" s="1549"/>
      <c r="AE275" s="1178"/>
      <c r="AF275" s="1179"/>
      <c r="AH275" s="104"/>
      <c r="AI275" s="1172"/>
      <c r="AJ275" s="1172"/>
      <c r="AK275" s="1172"/>
      <c r="AL275" s="1173"/>
      <c r="AM275" s="1174"/>
      <c r="AN275" s="1175"/>
      <c r="AO275" s="1176"/>
      <c r="AP275" s="1177"/>
      <c r="AQ275" s="1547"/>
      <c r="AR275" s="1177"/>
      <c r="AS275" s="1548"/>
      <c r="AT275" s="1549"/>
      <c r="AU275" s="1178"/>
      <c r="AV275" s="1179"/>
      <c r="AY275" s="3">
        <v>1</v>
      </c>
    </row>
    <row r="276" spans="2:51" ht="18.75">
      <c r="B276" s="104"/>
      <c r="C276" s="1172"/>
      <c r="D276" s="1172"/>
      <c r="E276" s="1172"/>
      <c r="F276" s="1173"/>
      <c r="G276" s="1174"/>
      <c r="H276" s="1175"/>
      <c r="I276" s="1176"/>
      <c r="J276" s="1177"/>
      <c r="K276" s="1547"/>
      <c r="L276" s="1177"/>
      <c r="M276" s="1548"/>
      <c r="N276" s="1549"/>
      <c r="O276" s="1178"/>
      <c r="P276" s="1179"/>
      <c r="R276" s="104"/>
      <c r="S276" s="1172"/>
      <c r="T276" s="1172"/>
      <c r="U276" s="1172"/>
      <c r="V276" s="1173"/>
      <c r="W276" s="1174"/>
      <c r="X276" s="1175"/>
      <c r="Y276" s="1176"/>
      <c r="Z276" s="1177"/>
      <c r="AA276" s="1547"/>
      <c r="AB276" s="1177"/>
      <c r="AC276" s="1548"/>
      <c r="AD276" s="1549"/>
      <c r="AE276" s="1178"/>
      <c r="AF276" s="1179"/>
      <c r="AH276" s="104"/>
      <c r="AI276" s="1172"/>
      <c r="AJ276" s="1172"/>
      <c r="AK276" s="1172"/>
      <c r="AL276" s="1173"/>
      <c r="AM276" s="1174"/>
      <c r="AN276" s="1175"/>
      <c r="AO276" s="1176"/>
      <c r="AP276" s="1177"/>
      <c r="AQ276" s="1547"/>
      <c r="AR276" s="1177"/>
      <c r="AS276" s="1548"/>
      <c r="AT276" s="1549"/>
      <c r="AU276" s="1178"/>
      <c r="AV276" s="1179"/>
      <c r="AY276" s="3">
        <v>1</v>
      </c>
    </row>
    <row r="277" spans="2:51" ht="18.75">
      <c r="B277" s="104"/>
      <c r="C277" s="1172"/>
      <c r="D277" s="1172"/>
      <c r="E277" s="1172"/>
      <c r="F277" s="1173"/>
      <c r="G277" s="1174"/>
      <c r="H277" s="1175"/>
      <c r="I277" s="1176"/>
      <c r="J277" s="1177"/>
      <c r="K277" s="1547"/>
      <c r="L277" s="1177"/>
      <c r="M277" s="1548"/>
      <c r="N277" s="1549"/>
      <c r="O277" s="1178"/>
      <c r="P277" s="1179"/>
      <c r="R277" s="104"/>
      <c r="S277" s="1172"/>
      <c r="T277" s="1172"/>
      <c r="U277" s="1172"/>
      <c r="V277" s="1173"/>
      <c r="W277" s="1174"/>
      <c r="X277" s="1175"/>
      <c r="Y277" s="1176"/>
      <c r="Z277" s="1177"/>
      <c r="AA277" s="1547"/>
      <c r="AB277" s="1177"/>
      <c r="AC277" s="1548"/>
      <c r="AD277" s="1549"/>
      <c r="AE277" s="1178"/>
      <c r="AF277" s="1179"/>
      <c r="AH277" s="104"/>
      <c r="AI277" s="1172"/>
      <c r="AJ277" s="1172"/>
      <c r="AK277" s="1172"/>
      <c r="AL277" s="1173"/>
      <c r="AM277" s="1174"/>
      <c r="AN277" s="1175"/>
      <c r="AO277" s="1176"/>
      <c r="AP277" s="1177"/>
      <c r="AQ277" s="1547"/>
      <c r="AR277" s="1177"/>
      <c r="AS277" s="1548"/>
      <c r="AT277" s="1549"/>
      <c r="AU277" s="1178"/>
      <c r="AV277" s="1179"/>
      <c r="AY277" s="3">
        <v>1</v>
      </c>
    </row>
    <row r="278" spans="2:51" ht="18.75">
      <c r="B278" s="104"/>
      <c r="C278" s="1172"/>
      <c r="D278" s="1172"/>
      <c r="E278" s="1172"/>
      <c r="F278" s="1173"/>
      <c r="G278" s="1174"/>
      <c r="H278" s="1175"/>
      <c r="I278" s="1176"/>
      <c r="J278" s="1177"/>
      <c r="K278" s="1547"/>
      <c r="L278" s="1177"/>
      <c r="M278" s="1548"/>
      <c r="N278" s="1549"/>
      <c r="O278" s="1178"/>
      <c r="P278" s="1179"/>
      <c r="R278" s="104"/>
      <c r="S278" s="1172"/>
      <c r="T278" s="1172"/>
      <c r="U278" s="1172"/>
      <c r="V278" s="1173"/>
      <c r="W278" s="1174"/>
      <c r="X278" s="1175"/>
      <c r="Y278" s="1176"/>
      <c r="Z278" s="1177"/>
      <c r="AA278" s="1547"/>
      <c r="AB278" s="1177"/>
      <c r="AC278" s="1548"/>
      <c r="AD278" s="1549"/>
      <c r="AE278" s="1178"/>
      <c r="AF278" s="1179"/>
      <c r="AH278" s="104"/>
      <c r="AI278" s="1172"/>
      <c r="AJ278" s="1172"/>
      <c r="AK278" s="1172"/>
      <c r="AL278" s="1173"/>
      <c r="AM278" s="1174"/>
      <c r="AN278" s="1175"/>
      <c r="AO278" s="1176"/>
      <c r="AP278" s="1177"/>
      <c r="AQ278" s="1547"/>
      <c r="AR278" s="1177"/>
      <c r="AS278" s="1548"/>
      <c r="AT278" s="1549"/>
      <c r="AU278" s="1178"/>
      <c r="AV278" s="1179"/>
      <c r="AY278" s="3">
        <v>1</v>
      </c>
    </row>
    <row r="279" spans="2:51" ht="18.75">
      <c r="B279" s="104"/>
      <c r="C279" s="1172"/>
      <c r="D279" s="1172"/>
      <c r="E279" s="1172"/>
      <c r="F279" s="1173"/>
      <c r="G279" s="1174"/>
      <c r="H279" s="1175"/>
      <c r="I279" s="1176"/>
      <c r="J279" s="1177"/>
      <c r="K279" s="1547"/>
      <c r="L279" s="1177"/>
      <c r="M279" s="1548"/>
      <c r="N279" s="1549"/>
      <c r="O279" s="1178"/>
      <c r="P279" s="1179"/>
      <c r="R279" s="104"/>
      <c r="S279" s="1172"/>
      <c r="T279" s="1172"/>
      <c r="U279" s="1172"/>
      <c r="V279" s="1173"/>
      <c r="W279" s="1174"/>
      <c r="X279" s="1175"/>
      <c r="Y279" s="1176"/>
      <c r="Z279" s="1177"/>
      <c r="AA279" s="1547"/>
      <c r="AB279" s="1177"/>
      <c r="AC279" s="1548"/>
      <c r="AD279" s="1549"/>
      <c r="AE279" s="1178"/>
      <c r="AF279" s="1179"/>
      <c r="AH279" s="104"/>
      <c r="AI279" s="1172"/>
      <c r="AJ279" s="1172"/>
      <c r="AK279" s="1172"/>
      <c r="AL279" s="1173"/>
      <c r="AM279" s="1174"/>
      <c r="AN279" s="1175"/>
      <c r="AO279" s="1176"/>
      <c r="AP279" s="1177"/>
      <c r="AQ279" s="1547"/>
      <c r="AR279" s="1177"/>
      <c r="AS279" s="1548"/>
      <c r="AT279" s="1549"/>
      <c r="AU279" s="1178"/>
      <c r="AV279" s="1179"/>
      <c r="AY279" s="3">
        <v>1</v>
      </c>
    </row>
    <row r="280" spans="2:51" ht="18.75">
      <c r="B280" s="104"/>
      <c r="C280" s="1172"/>
      <c r="D280" s="1172"/>
      <c r="E280" s="1172"/>
      <c r="F280" s="1173"/>
      <c r="G280" s="1174"/>
      <c r="H280" s="1175"/>
      <c r="I280" s="1176"/>
      <c r="J280" s="1177"/>
      <c r="K280" s="1547"/>
      <c r="L280" s="1177"/>
      <c r="M280" s="1548"/>
      <c r="N280" s="1549"/>
      <c r="O280" s="1178"/>
      <c r="P280" s="1179"/>
      <c r="R280" s="104"/>
      <c r="S280" s="1172"/>
      <c r="T280" s="1172"/>
      <c r="U280" s="1172"/>
      <c r="V280" s="1173"/>
      <c r="W280" s="1174"/>
      <c r="X280" s="1175"/>
      <c r="Y280" s="1176"/>
      <c r="Z280" s="1177"/>
      <c r="AA280" s="1547"/>
      <c r="AB280" s="1177"/>
      <c r="AC280" s="1548"/>
      <c r="AD280" s="1549"/>
      <c r="AE280" s="1178"/>
      <c r="AF280" s="1179"/>
      <c r="AH280" s="104"/>
      <c r="AI280" s="1172"/>
      <c r="AJ280" s="1172"/>
      <c r="AK280" s="1172"/>
      <c r="AL280" s="1173"/>
      <c r="AM280" s="1174"/>
      <c r="AN280" s="1175"/>
      <c r="AO280" s="1176"/>
      <c r="AP280" s="1177"/>
      <c r="AQ280" s="1547"/>
      <c r="AR280" s="1177"/>
      <c r="AS280" s="1548"/>
      <c r="AT280" s="1549"/>
      <c r="AU280" s="1178"/>
      <c r="AV280" s="1179"/>
      <c r="AY280" s="3">
        <v>1</v>
      </c>
    </row>
    <row r="281" spans="2:51" ht="18.75">
      <c r="B281" s="104"/>
      <c r="C281" s="1172"/>
      <c r="D281" s="1172"/>
      <c r="E281" s="1172"/>
      <c r="F281" s="1173"/>
      <c r="G281" s="1174"/>
      <c r="H281" s="1175"/>
      <c r="I281" s="1176"/>
      <c r="J281" s="1177"/>
      <c r="K281" s="1547"/>
      <c r="L281" s="1177"/>
      <c r="M281" s="1548"/>
      <c r="N281" s="1549"/>
      <c r="O281" s="1178"/>
      <c r="P281" s="1179"/>
      <c r="R281" s="104"/>
      <c r="S281" s="1172"/>
      <c r="T281" s="1172"/>
      <c r="U281" s="1172"/>
      <c r="V281" s="1173"/>
      <c r="W281" s="1174"/>
      <c r="X281" s="1175"/>
      <c r="Y281" s="1176"/>
      <c r="Z281" s="1177"/>
      <c r="AA281" s="1547"/>
      <c r="AB281" s="1177"/>
      <c r="AC281" s="1548"/>
      <c r="AD281" s="1549"/>
      <c r="AE281" s="1178"/>
      <c r="AF281" s="1179"/>
      <c r="AH281" s="104"/>
      <c r="AI281" s="1172"/>
      <c r="AJ281" s="1172"/>
      <c r="AK281" s="1172"/>
      <c r="AL281" s="1173"/>
      <c r="AM281" s="1174"/>
      <c r="AN281" s="1175"/>
      <c r="AO281" s="1176"/>
      <c r="AP281" s="1177"/>
      <c r="AQ281" s="1547"/>
      <c r="AR281" s="1177"/>
      <c r="AS281" s="1548"/>
      <c r="AT281" s="1549"/>
      <c r="AU281" s="1178"/>
      <c r="AV281" s="1179"/>
      <c r="AY281" s="3">
        <v>1</v>
      </c>
    </row>
    <row r="282" spans="2:51" ht="18.75">
      <c r="B282" s="104"/>
      <c r="C282" s="1172"/>
      <c r="D282" s="1172"/>
      <c r="E282" s="1172"/>
      <c r="F282" s="1173"/>
      <c r="G282" s="1174"/>
      <c r="H282" s="1175"/>
      <c r="I282" s="1176"/>
      <c r="J282" s="1177"/>
      <c r="K282" s="1547"/>
      <c r="L282" s="1177"/>
      <c r="M282" s="1548"/>
      <c r="N282" s="1549"/>
      <c r="O282" s="1178"/>
      <c r="P282" s="1179"/>
      <c r="R282" s="104"/>
      <c r="S282" s="1172"/>
      <c r="T282" s="1172"/>
      <c r="U282" s="1172"/>
      <c r="V282" s="1173"/>
      <c r="W282" s="1174"/>
      <c r="X282" s="1175"/>
      <c r="Y282" s="1176"/>
      <c r="Z282" s="1177"/>
      <c r="AA282" s="1547"/>
      <c r="AB282" s="1177"/>
      <c r="AC282" s="1548"/>
      <c r="AD282" s="1549"/>
      <c r="AE282" s="1178"/>
      <c r="AF282" s="1179"/>
      <c r="AH282" s="104"/>
      <c r="AI282" s="1172"/>
      <c r="AJ282" s="1172"/>
      <c r="AK282" s="1172"/>
      <c r="AL282" s="1173"/>
      <c r="AM282" s="1174"/>
      <c r="AN282" s="1175"/>
      <c r="AO282" s="1176"/>
      <c r="AP282" s="1177"/>
      <c r="AQ282" s="1547"/>
      <c r="AR282" s="1177"/>
      <c r="AS282" s="1548"/>
      <c r="AT282" s="1549"/>
      <c r="AU282" s="1178"/>
      <c r="AV282" s="1179"/>
      <c r="AY282" s="3">
        <v>1</v>
      </c>
    </row>
    <row r="283" spans="2:51" ht="18.75">
      <c r="B283" s="104"/>
      <c r="C283" s="1172"/>
      <c r="D283" s="1172"/>
      <c r="E283" s="1172"/>
      <c r="F283" s="1173"/>
      <c r="G283" s="1174"/>
      <c r="H283" s="1175"/>
      <c r="I283" s="1176"/>
      <c r="J283" s="1177"/>
      <c r="K283" s="1547"/>
      <c r="L283" s="1177"/>
      <c r="M283" s="1548"/>
      <c r="N283" s="1549"/>
      <c r="O283" s="1178"/>
      <c r="P283" s="1179"/>
      <c r="R283" s="104"/>
      <c r="S283" s="1172"/>
      <c r="T283" s="1172"/>
      <c r="U283" s="1172"/>
      <c r="V283" s="1173"/>
      <c r="W283" s="1174"/>
      <c r="X283" s="1175"/>
      <c r="Y283" s="1176"/>
      <c r="Z283" s="1177"/>
      <c r="AA283" s="1547"/>
      <c r="AB283" s="1177"/>
      <c r="AC283" s="1548"/>
      <c r="AD283" s="1549"/>
      <c r="AE283" s="1178"/>
      <c r="AF283" s="1179"/>
      <c r="AH283" s="104"/>
      <c r="AI283" s="1172"/>
      <c r="AJ283" s="1172"/>
      <c r="AK283" s="1172"/>
      <c r="AL283" s="1173"/>
      <c r="AM283" s="1174"/>
      <c r="AN283" s="1175"/>
      <c r="AO283" s="1176"/>
      <c r="AP283" s="1177"/>
      <c r="AQ283" s="1547"/>
      <c r="AR283" s="1177"/>
      <c r="AS283" s="1548"/>
      <c r="AT283" s="1549"/>
      <c r="AU283" s="1178"/>
      <c r="AV283" s="1179"/>
      <c r="AY283" s="3">
        <v>1</v>
      </c>
    </row>
    <row r="284" spans="2:51" ht="18.75">
      <c r="B284" s="104"/>
      <c r="C284" s="1172"/>
      <c r="D284" s="1172"/>
      <c r="E284" s="1172"/>
      <c r="F284" s="1173"/>
      <c r="G284" s="1174"/>
      <c r="H284" s="1175"/>
      <c r="I284" s="1176"/>
      <c r="J284" s="1177"/>
      <c r="K284" s="1547"/>
      <c r="L284" s="1177"/>
      <c r="M284" s="1548"/>
      <c r="N284" s="1549"/>
      <c r="O284" s="1178"/>
      <c r="P284" s="1179"/>
      <c r="R284" s="104"/>
      <c r="S284" s="1172"/>
      <c r="T284" s="1172"/>
      <c r="U284" s="1172"/>
      <c r="V284" s="1173"/>
      <c r="W284" s="1174"/>
      <c r="X284" s="1175"/>
      <c r="Y284" s="1176"/>
      <c r="Z284" s="1177"/>
      <c r="AA284" s="1547"/>
      <c r="AB284" s="1177"/>
      <c r="AC284" s="1548"/>
      <c r="AD284" s="1549"/>
      <c r="AE284" s="1178"/>
      <c r="AF284" s="1179"/>
      <c r="AH284" s="104"/>
      <c r="AI284" s="1172"/>
      <c r="AJ284" s="1172"/>
      <c r="AK284" s="1172"/>
      <c r="AL284" s="1173"/>
      <c r="AM284" s="1174"/>
      <c r="AN284" s="1175"/>
      <c r="AO284" s="1176"/>
      <c r="AP284" s="1177"/>
      <c r="AQ284" s="1547"/>
      <c r="AR284" s="1177"/>
      <c r="AS284" s="1548"/>
      <c r="AT284" s="1549"/>
      <c r="AU284" s="1178"/>
      <c r="AV284" s="1179"/>
      <c r="AY284" s="3">
        <v>1</v>
      </c>
    </row>
    <row r="285" spans="2:51" ht="18.75">
      <c r="B285" s="104"/>
      <c r="C285" s="1172"/>
      <c r="D285" s="1172"/>
      <c r="E285" s="1172"/>
      <c r="F285" s="1173"/>
      <c r="G285" s="1174"/>
      <c r="H285" s="1175"/>
      <c r="I285" s="1176"/>
      <c r="J285" s="1177"/>
      <c r="K285" s="1547"/>
      <c r="L285" s="1177"/>
      <c r="M285" s="1548"/>
      <c r="N285" s="1549"/>
      <c r="O285" s="1178"/>
      <c r="P285" s="1179"/>
      <c r="R285" s="104"/>
      <c r="S285" s="1172"/>
      <c r="T285" s="1172"/>
      <c r="U285" s="1172"/>
      <c r="V285" s="1173"/>
      <c r="W285" s="1174"/>
      <c r="X285" s="1175"/>
      <c r="Y285" s="1176"/>
      <c r="Z285" s="1177"/>
      <c r="AA285" s="1547"/>
      <c r="AB285" s="1177"/>
      <c r="AC285" s="1548"/>
      <c r="AD285" s="1549"/>
      <c r="AE285" s="1178"/>
      <c r="AF285" s="1179"/>
      <c r="AH285" s="104"/>
      <c r="AI285" s="1172"/>
      <c r="AJ285" s="1172"/>
      <c r="AK285" s="1172"/>
      <c r="AL285" s="1173"/>
      <c r="AM285" s="1174"/>
      <c r="AN285" s="1175"/>
      <c r="AO285" s="1176"/>
      <c r="AP285" s="1177"/>
      <c r="AQ285" s="1547"/>
      <c r="AR285" s="1177"/>
      <c r="AS285" s="1548"/>
      <c r="AT285" s="1549"/>
      <c r="AU285" s="1178"/>
      <c r="AV285" s="1179"/>
      <c r="AY285" s="3">
        <v>1</v>
      </c>
    </row>
    <row r="286" spans="2:51" ht="18.75">
      <c r="B286" s="104"/>
      <c r="C286" s="1172"/>
      <c r="D286" s="1172"/>
      <c r="E286" s="1172"/>
      <c r="F286" s="1173"/>
      <c r="G286" s="1174"/>
      <c r="H286" s="1175"/>
      <c r="I286" s="1176"/>
      <c r="J286" s="1177"/>
      <c r="K286" s="1547"/>
      <c r="L286" s="1177"/>
      <c r="M286" s="1548"/>
      <c r="N286" s="1549"/>
      <c r="O286" s="1178"/>
      <c r="P286" s="1179"/>
      <c r="R286" s="104"/>
      <c r="S286" s="1172"/>
      <c r="T286" s="1172"/>
      <c r="U286" s="1172"/>
      <c r="V286" s="1173"/>
      <c r="W286" s="1174"/>
      <c r="X286" s="1175"/>
      <c r="Y286" s="1176"/>
      <c r="Z286" s="1177"/>
      <c r="AA286" s="1547"/>
      <c r="AB286" s="1177"/>
      <c r="AC286" s="1548"/>
      <c r="AD286" s="1549"/>
      <c r="AE286" s="1178"/>
      <c r="AF286" s="1179"/>
      <c r="AH286" s="104"/>
      <c r="AI286" s="1172"/>
      <c r="AJ286" s="1172"/>
      <c r="AK286" s="1172"/>
      <c r="AL286" s="1173"/>
      <c r="AM286" s="1174"/>
      <c r="AN286" s="1175"/>
      <c r="AO286" s="1176"/>
      <c r="AP286" s="1177"/>
      <c r="AQ286" s="1547"/>
      <c r="AR286" s="1177"/>
      <c r="AS286" s="1548"/>
      <c r="AT286" s="1549"/>
      <c r="AU286" s="1178"/>
      <c r="AV286" s="1179"/>
      <c r="AY286" s="3">
        <v>1</v>
      </c>
    </row>
    <row r="287" spans="2:51" ht="18.75">
      <c r="B287" s="104"/>
      <c r="C287" s="1172"/>
      <c r="D287" s="1172"/>
      <c r="E287" s="1172"/>
      <c r="F287" s="1173"/>
      <c r="G287" s="1174"/>
      <c r="H287" s="1175"/>
      <c r="I287" s="1176"/>
      <c r="J287" s="1177"/>
      <c r="K287" s="1547"/>
      <c r="L287" s="1177"/>
      <c r="M287" s="1548"/>
      <c r="N287" s="1549"/>
      <c r="O287" s="1178"/>
      <c r="P287" s="1179"/>
      <c r="R287" s="104"/>
      <c r="S287" s="1172"/>
      <c r="T287" s="1172"/>
      <c r="U287" s="1172"/>
      <c r="V287" s="1173"/>
      <c r="W287" s="1174"/>
      <c r="X287" s="1175"/>
      <c r="Y287" s="1176"/>
      <c r="Z287" s="1177"/>
      <c r="AA287" s="1547"/>
      <c r="AB287" s="1177"/>
      <c r="AC287" s="1548"/>
      <c r="AD287" s="1549"/>
      <c r="AE287" s="1178"/>
      <c r="AF287" s="1179"/>
      <c r="AH287" s="104"/>
      <c r="AI287" s="1172"/>
      <c r="AJ287" s="1172"/>
      <c r="AK287" s="1172"/>
      <c r="AL287" s="1173"/>
      <c r="AM287" s="1174"/>
      <c r="AN287" s="1175"/>
      <c r="AO287" s="1176"/>
      <c r="AP287" s="1177"/>
      <c r="AQ287" s="1547"/>
      <c r="AR287" s="1177"/>
      <c r="AS287" s="1548"/>
      <c r="AT287" s="1549"/>
      <c r="AU287" s="1178"/>
      <c r="AV287" s="1179"/>
      <c r="AY287" s="3">
        <v>1</v>
      </c>
    </row>
    <row r="288" spans="2:51" ht="18.75">
      <c r="B288" s="104"/>
      <c r="C288" s="1172"/>
      <c r="D288" s="1172"/>
      <c r="E288" s="1172"/>
      <c r="F288" s="1173"/>
      <c r="G288" s="1174"/>
      <c r="H288" s="1175"/>
      <c r="I288" s="1176"/>
      <c r="J288" s="1177"/>
      <c r="K288" s="1547"/>
      <c r="L288" s="1177"/>
      <c r="M288" s="1548"/>
      <c r="N288" s="1549"/>
      <c r="O288" s="1178"/>
      <c r="P288" s="1179"/>
      <c r="R288" s="104"/>
      <c r="S288" s="1172"/>
      <c r="T288" s="1172"/>
      <c r="U288" s="1172"/>
      <c r="V288" s="1173"/>
      <c r="W288" s="1174"/>
      <c r="X288" s="1175"/>
      <c r="Y288" s="1176"/>
      <c r="Z288" s="1177"/>
      <c r="AA288" s="1547"/>
      <c r="AB288" s="1177"/>
      <c r="AC288" s="1548"/>
      <c r="AD288" s="1549"/>
      <c r="AE288" s="1178"/>
      <c r="AF288" s="1179"/>
      <c r="AH288" s="104"/>
      <c r="AI288" s="1172"/>
      <c r="AJ288" s="1172"/>
      <c r="AK288" s="1172"/>
      <c r="AL288" s="1173"/>
      <c r="AM288" s="1174"/>
      <c r="AN288" s="1175"/>
      <c r="AO288" s="1176"/>
      <c r="AP288" s="1177"/>
      <c r="AQ288" s="1547"/>
      <c r="AR288" s="1177"/>
      <c r="AS288" s="1548"/>
      <c r="AT288" s="1549"/>
      <c r="AU288" s="1178"/>
      <c r="AV288" s="1179"/>
      <c r="AY288" s="3">
        <v>1</v>
      </c>
    </row>
    <row r="289" spans="2:51" ht="18.75">
      <c r="B289" s="104"/>
      <c r="C289" s="1172"/>
      <c r="D289" s="1172"/>
      <c r="E289" s="1172"/>
      <c r="F289" s="1173"/>
      <c r="G289" s="1174"/>
      <c r="H289" s="1175"/>
      <c r="I289" s="1176"/>
      <c r="J289" s="1177"/>
      <c r="K289" s="1547"/>
      <c r="L289" s="1177"/>
      <c r="M289" s="1548"/>
      <c r="N289" s="1549"/>
      <c r="O289" s="1178"/>
      <c r="P289" s="1179"/>
      <c r="R289" s="104"/>
      <c r="S289" s="1172"/>
      <c r="T289" s="1172"/>
      <c r="U289" s="1172"/>
      <c r="V289" s="1173"/>
      <c r="W289" s="1174"/>
      <c r="X289" s="1175"/>
      <c r="Y289" s="1176"/>
      <c r="Z289" s="1177"/>
      <c r="AA289" s="1547"/>
      <c r="AB289" s="1177"/>
      <c r="AC289" s="1548"/>
      <c r="AD289" s="1549"/>
      <c r="AE289" s="1178"/>
      <c r="AF289" s="1179"/>
      <c r="AH289" s="104"/>
      <c r="AI289" s="1172"/>
      <c r="AJ289" s="1172"/>
      <c r="AK289" s="1172"/>
      <c r="AL289" s="1173"/>
      <c r="AM289" s="1174"/>
      <c r="AN289" s="1175"/>
      <c r="AO289" s="1176"/>
      <c r="AP289" s="1177"/>
      <c r="AQ289" s="1547"/>
      <c r="AR289" s="1177"/>
      <c r="AS289" s="1548"/>
      <c r="AT289" s="1549"/>
      <c r="AU289" s="1178"/>
      <c r="AV289" s="1179"/>
      <c r="AY289" s="3">
        <v>1</v>
      </c>
    </row>
    <row r="290" spans="2:51" ht="18.75">
      <c r="B290" s="104"/>
      <c r="C290" s="1172"/>
      <c r="D290" s="1172"/>
      <c r="E290" s="1172"/>
      <c r="F290" s="1173"/>
      <c r="G290" s="1174"/>
      <c r="H290" s="1175"/>
      <c r="I290" s="1176"/>
      <c r="J290" s="1177"/>
      <c r="K290" s="1547"/>
      <c r="L290" s="1177"/>
      <c r="M290" s="1548"/>
      <c r="N290" s="1549"/>
      <c r="O290" s="1178"/>
      <c r="P290" s="1179"/>
      <c r="R290" s="104"/>
      <c r="S290" s="1172"/>
      <c r="T290" s="1172"/>
      <c r="U290" s="1172"/>
      <c r="V290" s="1173"/>
      <c r="W290" s="1174"/>
      <c r="X290" s="1175"/>
      <c r="Y290" s="1176"/>
      <c r="Z290" s="1177"/>
      <c r="AA290" s="1547"/>
      <c r="AB290" s="1177"/>
      <c r="AC290" s="1548"/>
      <c r="AD290" s="1549"/>
      <c r="AE290" s="1178"/>
      <c r="AF290" s="1179"/>
      <c r="AH290" s="104"/>
      <c r="AI290" s="1172"/>
      <c r="AJ290" s="1172"/>
      <c r="AK290" s="1172"/>
      <c r="AL290" s="1173"/>
      <c r="AM290" s="1174"/>
      <c r="AN290" s="1175"/>
      <c r="AO290" s="1176"/>
      <c r="AP290" s="1177"/>
      <c r="AQ290" s="1547"/>
      <c r="AR290" s="1177"/>
      <c r="AS290" s="1548"/>
      <c r="AT290" s="1549"/>
      <c r="AU290" s="1178"/>
      <c r="AV290" s="1179"/>
      <c r="AY290" s="3">
        <v>1</v>
      </c>
    </row>
    <row r="291" spans="2:51" ht="18.75">
      <c r="B291" s="104"/>
      <c r="C291" s="1172"/>
      <c r="D291" s="1172"/>
      <c r="E291" s="1172"/>
      <c r="F291" s="1173"/>
      <c r="G291" s="1174"/>
      <c r="H291" s="1175"/>
      <c r="I291" s="1176"/>
      <c r="J291" s="1177"/>
      <c r="K291" s="1547"/>
      <c r="L291" s="1177"/>
      <c r="M291" s="1548"/>
      <c r="N291" s="1549"/>
      <c r="O291" s="1178"/>
      <c r="P291" s="1179"/>
      <c r="R291" s="104"/>
      <c r="S291" s="1172"/>
      <c r="T291" s="1172"/>
      <c r="U291" s="1172"/>
      <c r="V291" s="1173"/>
      <c r="W291" s="1174"/>
      <c r="X291" s="1175"/>
      <c r="Y291" s="1176"/>
      <c r="Z291" s="1177"/>
      <c r="AA291" s="1547"/>
      <c r="AB291" s="1177"/>
      <c r="AC291" s="1548"/>
      <c r="AD291" s="1549"/>
      <c r="AE291" s="1178"/>
      <c r="AF291" s="1179"/>
      <c r="AH291" s="104"/>
      <c r="AI291" s="1172"/>
      <c r="AJ291" s="1172"/>
      <c r="AK291" s="1172"/>
      <c r="AL291" s="1173"/>
      <c r="AM291" s="1174"/>
      <c r="AN291" s="1175"/>
      <c r="AO291" s="1176"/>
      <c r="AP291" s="1177"/>
      <c r="AQ291" s="1547"/>
      <c r="AR291" s="1177"/>
      <c r="AS291" s="1548"/>
      <c r="AT291" s="1549"/>
      <c r="AU291" s="1178"/>
      <c r="AV291" s="1179"/>
      <c r="AY291" s="3">
        <v>1</v>
      </c>
    </row>
    <row r="292" spans="2:51" ht="18.75">
      <c r="B292" s="104"/>
      <c r="C292" s="1172"/>
      <c r="D292" s="1172"/>
      <c r="E292" s="1172"/>
      <c r="F292" s="1173"/>
      <c r="G292" s="1174"/>
      <c r="H292" s="1175"/>
      <c r="I292" s="1176"/>
      <c r="J292" s="1177"/>
      <c r="K292" s="1547"/>
      <c r="L292" s="1177"/>
      <c r="M292" s="1548"/>
      <c r="N292" s="1549"/>
      <c r="O292" s="1178"/>
      <c r="P292" s="1179"/>
      <c r="R292" s="104"/>
      <c r="S292" s="1172"/>
      <c r="T292" s="1172"/>
      <c r="U292" s="1172"/>
      <c r="V292" s="1173"/>
      <c r="W292" s="1174"/>
      <c r="X292" s="1175"/>
      <c r="Y292" s="1176"/>
      <c r="Z292" s="1177"/>
      <c r="AA292" s="1547"/>
      <c r="AB292" s="1177"/>
      <c r="AC292" s="1548"/>
      <c r="AD292" s="1549"/>
      <c r="AE292" s="1178"/>
      <c r="AF292" s="1179"/>
      <c r="AH292" s="104"/>
      <c r="AI292" s="1172"/>
      <c r="AJ292" s="1172"/>
      <c r="AK292" s="1172"/>
      <c r="AL292" s="1173"/>
      <c r="AM292" s="1174"/>
      <c r="AN292" s="1175"/>
      <c r="AO292" s="1176"/>
      <c r="AP292" s="1177"/>
      <c r="AQ292" s="1547"/>
      <c r="AR292" s="1177"/>
      <c r="AS292" s="1548"/>
      <c r="AT292" s="1549"/>
      <c r="AU292" s="1178"/>
      <c r="AV292" s="1179"/>
      <c r="AY292" s="3">
        <v>1</v>
      </c>
    </row>
    <row r="293" spans="2:51" ht="18.75">
      <c r="B293" s="104"/>
      <c r="C293" s="1172"/>
      <c r="D293" s="1172"/>
      <c r="E293" s="1172"/>
      <c r="F293" s="1173"/>
      <c r="G293" s="1174"/>
      <c r="H293" s="1175"/>
      <c r="I293" s="1176"/>
      <c r="J293" s="1177"/>
      <c r="K293" s="1547"/>
      <c r="L293" s="1177"/>
      <c r="M293" s="1548"/>
      <c r="N293" s="1549"/>
      <c r="O293" s="1178"/>
      <c r="P293" s="1179"/>
      <c r="R293" s="104"/>
      <c r="S293" s="1172"/>
      <c r="T293" s="1172"/>
      <c r="U293" s="1172"/>
      <c r="V293" s="1173"/>
      <c r="W293" s="1174"/>
      <c r="X293" s="1175"/>
      <c r="Y293" s="1176"/>
      <c r="Z293" s="1177"/>
      <c r="AA293" s="1547"/>
      <c r="AB293" s="1177"/>
      <c r="AC293" s="1548"/>
      <c r="AD293" s="1549"/>
      <c r="AE293" s="1178"/>
      <c r="AF293" s="1179"/>
      <c r="AH293" s="104"/>
      <c r="AI293" s="1172"/>
      <c r="AJ293" s="1172"/>
      <c r="AK293" s="1172"/>
      <c r="AL293" s="1173"/>
      <c r="AM293" s="1174"/>
      <c r="AN293" s="1175"/>
      <c r="AO293" s="1176"/>
      <c r="AP293" s="1177"/>
      <c r="AQ293" s="1547"/>
      <c r="AR293" s="1177"/>
      <c r="AS293" s="1548"/>
      <c r="AT293" s="1549"/>
      <c r="AU293" s="1178"/>
      <c r="AV293" s="1179"/>
      <c r="AY293" s="3">
        <v>1</v>
      </c>
    </row>
    <row r="294" spans="2:51" ht="18.75">
      <c r="B294" s="104"/>
      <c r="C294" s="1172"/>
      <c r="D294" s="1172"/>
      <c r="E294" s="1172"/>
      <c r="F294" s="1173"/>
      <c r="G294" s="1174"/>
      <c r="H294" s="1175"/>
      <c r="I294" s="1176"/>
      <c r="J294" s="1177"/>
      <c r="K294" s="1547"/>
      <c r="L294" s="1177"/>
      <c r="M294" s="1548"/>
      <c r="N294" s="1549"/>
      <c r="O294" s="1178"/>
      <c r="P294" s="1179"/>
      <c r="R294" s="104"/>
      <c r="S294" s="1172"/>
      <c r="T294" s="1172"/>
      <c r="U294" s="1172"/>
      <c r="V294" s="1173"/>
      <c r="W294" s="1174"/>
      <c r="X294" s="1175"/>
      <c r="Y294" s="1176"/>
      <c r="Z294" s="1177"/>
      <c r="AA294" s="1547"/>
      <c r="AB294" s="1177"/>
      <c r="AC294" s="1548"/>
      <c r="AD294" s="1549"/>
      <c r="AE294" s="1178"/>
      <c r="AF294" s="1179"/>
      <c r="AH294" s="104"/>
      <c r="AI294" s="1172"/>
      <c r="AJ294" s="1172"/>
      <c r="AK294" s="1172"/>
      <c r="AL294" s="1173"/>
      <c r="AM294" s="1174"/>
      <c r="AN294" s="1175"/>
      <c r="AO294" s="1176"/>
      <c r="AP294" s="1177"/>
      <c r="AQ294" s="1547"/>
      <c r="AR294" s="1177"/>
      <c r="AS294" s="1548"/>
      <c r="AT294" s="1549"/>
      <c r="AU294" s="1178"/>
      <c r="AV294" s="1179"/>
      <c r="AY294" s="3">
        <v>1</v>
      </c>
    </row>
    <row r="295" spans="2:51" ht="18.75">
      <c r="B295" s="104"/>
      <c r="C295" s="1172"/>
      <c r="D295" s="1172"/>
      <c r="E295" s="1172"/>
      <c r="F295" s="1173"/>
      <c r="G295" s="1174"/>
      <c r="H295" s="1175"/>
      <c r="I295" s="1176"/>
      <c r="J295" s="1177"/>
      <c r="K295" s="1547"/>
      <c r="L295" s="1177"/>
      <c r="M295" s="1548"/>
      <c r="N295" s="1549"/>
      <c r="O295" s="1178"/>
      <c r="P295" s="1179"/>
      <c r="R295" s="104"/>
      <c r="S295" s="1172"/>
      <c r="T295" s="1172"/>
      <c r="U295" s="1172"/>
      <c r="V295" s="1173"/>
      <c r="W295" s="1174"/>
      <c r="X295" s="1175"/>
      <c r="Y295" s="1176"/>
      <c r="Z295" s="1177"/>
      <c r="AA295" s="1547"/>
      <c r="AB295" s="1177"/>
      <c r="AC295" s="1548"/>
      <c r="AD295" s="1549"/>
      <c r="AE295" s="1178"/>
      <c r="AF295" s="1179"/>
      <c r="AH295" s="104"/>
      <c r="AI295" s="1172"/>
      <c r="AJ295" s="1172"/>
      <c r="AK295" s="1172"/>
      <c r="AL295" s="1173"/>
      <c r="AM295" s="1174"/>
      <c r="AN295" s="1175"/>
      <c r="AO295" s="1176"/>
      <c r="AP295" s="1177"/>
      <c r="AQ295" s="1547"/>
      <c r="AR295" s="1177"/>
      <c r="AS295" s="1548"/>
      <c r="AT295" s="1549"/>
      <c r="AU295" s="1178"/>
      <c r="AV295" s="1179"/>
      <c r="AY295" s="3">
        <v>1</v>
      </c>
    </row>
    <row r="296" spans="2:51" ht="18.75">
      <c r="B296" s="104"/>
      <c r="C296" s="1172"/>
      <c r="D296" s="1172"/>
      <c r="E296" s="1172"/>
      <c r="F296" s="1173"/>
      <c r="G296" s="1174"/>
      <c r="H296" s="1175"/>
      <c r="I296" s="1176"/>
      <c r="J296" s="1177"/>
      <c r="K296" s="1547"/>
      <c r="L296" s="1177"/>
      <c r="M296" s="1548"/>
      <c r="N296" s="1549"/>
      <c r="O296" s="1178"/>
      <c r="P296" s="1179"/>
      <c r="R296" s="104"/>
      <c r="S296" s="1172"/>
      <c r="T296" s="1172"/>
      <c r="U296" s="1172"/>
      <c r="V296" s="1173"/>
      <c r="W296" s="1174"/>
      <c r="X296" s="1175"/>
      <c r="Y296" s="1176"/>
      <c r="Z296" s="1177"/>
      <c r="AA296" s="1547"/>
      <c r="AB296" s="1177"/>
      <c r="AC296" s="1548"/>
      <c r="AD296" s="1549"/>
      <c r="AE296" s="1178"/>
      <c r="AF296" s="1179"/>
      <c r="AH296" s="104"/>
      <c r="AI296" s="1172"/>
      <c r="AJ296" s="1172"/>
      <c r="AK296" s="1172"/>
      <c r="AL296" s="1173"/>
      <c r="AM296" s="1174"/>
      <c r="AN296" s="1175"/>
      <c r="AO296" s="1176"/>
      <c r="AP296" s="1177"/>
      <c r="AQ296" s="1547"/>
      <c r="AR296" s="1177"/>
      <c r="AS296" s="1548"/>
      <c r="AT296" s="1549"/>
      <c r="AU296" s="1178"/>
      <c r="AV296" s="1179"/>
      <c r="AY296" s="3">
        <v>1</v>
      </c>
    </row>
    <row r="297" spans="2:51" ht="18.75">
      <c r="B297" s="104"/>
      <c r="C297" s="1172"/>
      <c r="D297" s="1172"/>
      <c r="E297" s="1172"/>
      <c r="F297" s="1173"/>
      <c r="G297" s="1174"/>
      <c r="H297" s="1175"/>
      <c r="I297" s="1176"/>
      <c r="J297" s="1177"/>
      <c r="K297" s="1547"/>
      <c r="L297" s="1177"/>
      <c r="M297" s="1548"/>
      <c r="N297" s="1549"/>
      <c r="O297" s="1178"/>
      <c r="P297" s="1179"/>
      <c r="R297" s="104"/>
      <c r="S297" s="1172"/>
      <c r="T297" s="1172"/>
      <c r="U297" s="1172"/>
      <c r="V297" s="1173"/>
      <c r="W297" s="1174"/>
      <c r="X297" s="1175"/>
      <c r="Y297" s="1176"/>
      <c r="Z297" s="1177"/>
      <c r="AA297" s="1547"/>
      <c r="AB297" s="1177"/>
      <c r="AC297" s="1548"/>
      <c r="AD297" s="1549"/>
      <c r="AE297" s="1178"/>
      <c r="AF297" s="1179"/>
      <c r="AH297" s="104"/>
      <c r="AI297" s="1172"/>
      <c r="AJ297" s="1172"/>
      <c r="AK297" s="1172"/>
      <c r="AL297" s="1173"/>
      <c r="AM297" s="1174"/>
      <c r="AN297" s="1175"/>
      <c r="AO297" s="1176"/>
      <c r="AP297" s="1177"/>
      <c r="AQ297" s="1547"/>
      <c r="AR297" s="1177"/>
      <c r="AS297" s="1548"/>
      <c r="AT297" s="1549"/>
      <c r="AU297" s="1178"/>
      <c r="AV297" s="1179"/>
      <c r="AY297" s="3">
        <v>1</v>
      </c>
    </row>
    <row r="298" spans="2:51" ht="18.75">
      <c r="B298" s="104"/>
      <c r="C298" s="1172"/>
      <c r="D298" s="1172"/>
      <c r="E298" s="1172"/>
      <c r="F298" s="1173"/>
      <c r="G298" s="1174"/>
      <c r="H298" s="1175"/>
      <c r="I298" s="1176"/>
      <c r="J298" s="1177"/>
      <c r="K298" s="1547"/>
      <c r="L298" s="1177"/>
      <c r="M298" s="1548"/>
      <c r="N298" s="1549"/>
      <c r="O298" s="1178"/>
      <c r="P298" s="1179"/>
      <c r="R298" s="104"/>
      <c r="S298" s="1172"/>
      <c r="T298" s="1172"/>
      <c r="U298" s="1172"/>
      <c r="V298" s="1173"/>
      <c r="W298" s="1174"/>
      <c r="X298" s="1175"/>
      <c r="Y298" s="1176"/>
      <c r="Z298" s="1177"/>
      <c r="AA298" s="1547"/>
      <c r="AB298" s="1177"/>
      <c r="AC298" s="1548"/>
      <c r="AD298" s="1549"/>
      <c r="AE298" s="1178"/>
      <c r="AF298" s="1179"/>
      <c r="AH298" s="104"/>
      <c r="AI298" s="1172"/>
      <c r="AJ298" s="1172"/>
      <c r="AK298" s="1172"/>
      <c r="AL298" s="1173"/>
      <c r="AM298" s="1174"/>
      <c r="AN298" s="1175"/>
      <c r="AO298" s="1176"/>
      <c r="AP298" s="1177"/>
      <c r="AQ298" s="1547"/>
      <c r="AR298" s="1177"/>
      <c r="AS298" s="1548"/>
      <c r="AT298" s="1549"/>
      <c r="AU298" s="1178"/>
      <c r="AV298" s="1179"/>
      <c r="AY298" s="3">
        <v>1</v>
      </c>
    </row>
    <row r="299" spans="2:51" ht="18.75">
      <c r="B299" s="104"/>
      <c r="C299" s="1172"/>
      <c r="D299" s="1172"/>
      <c r="E299" s="1172"/>
      <c r="F299" s="1173"/>
      <c r="G299" s="1174"/>
      <c r="H299" s="1175"/>
      <c r="I299" s="1176"/>
      <c r="J299" s="1177"/>
      <c r="K299" s="1547"/>
      <c r="L299" s="1177"/>
      <c r="M299" s="1548"/>
      <c r="N299" s="1549"/>
      <c r="O299" s="1178"/>
      <c r="P299" s="1179"/>
      <c r="R299" s="104"/>
      <c r="S299" s="1172"/>
      <c r="T299" s="1172"/>
      <c r="U299" s="1172"/>
      <c r="V299" s="1173"/>
      <c r="W299" s="1174"/>
      <c r="X299" s="1175"/>
      <c r="Y299" s="1176"/>
      <c r="Z299" s="1177"/>
      <c r="AA299" s="1547"/>
      <c r="AB299" s="1177"/>
      <c r="AC299" s="1548"/>
      <c r="AD299" s="1549"/>
      <c r="AE299" s="1178"/>
      <c r="AF299" s="1179"/>
      <c r="AH299" s="104"/>
      <c r="AI299" s="1172"/>
      <c r="AJ299" s="1172"/>
      <c r="AK299" s="1172"/>
      <c r="AL299" s="1173"/>
      <c r="AM299" s="1174"/>
      <c r="AN299" s="1175"/>
      <c r="AO299" s="1176"/>
      <c r="AP299" s="1177"/>
      <c r="AQ299" s="1547"/>
      <c r="AR299" s="1177"/>
      <c r="AS299" s="1548"/>
      <c r="AT299" s="1549"/>
      <c r="AU299" s="1178"/>
      <c r="AV299" s="1179"/>
      <c r="AY299" s="3">
        <v>1</v>
      </c>
    </row>
    <row r="300" spans="2:51" ht="18.75">
      <c r="B300" s="104"/>
      <c r="C300" s="1172"/>
      <c r="D300" s="1172"/>
      <c r="E300" s="1172"/>
      <c r="F300" s="1173"/>
      <c r="G300" s="1174"/>
      <c r="H300" s="1175"/>
      <c r="I300" s="1176"/>
      <c r="J300" s="1177"/>
      <c r="K300" s="1547"/>
      <c r="L300" s="1177"/>
      <c r="M300" s="1548"/>
      <c r="N300" s="1549"/>
      <c r="O300" s="1178"/>
      <c r="P300" s="1179"/>
      <c r="R300" s="104"/>
      <c r="S300" s="1172"/>
      <c r="T300" s="1172"/>
      <c r="U300" s="1172"/>
      <c r="V300" s="1173"/>
      <c r="W300" s="1174"/>
      <c r="X300" s="1175"/>
      <c r="Y300" s="1176"/>
      <c r="Z300" s="1177"/>
      <c r="AA300" s="1547"/>
      <c r="AB300" s="1177"/>
      <c r="AC300" s="1548"/>
      <c r="AD300" s="1549"/>
      <c r="AE300" s="1178"/>
      <c r="AF300" s="1179"/>
      <c r="AH300" s="104"/>
      <c r="AI300" s="1172"/>
      <c r="AJ300" s="1172"/>
      <c r="AK300" s="1172"/>
      <c r="AL300" s="1173"/>
      <c r="AM300" s="1174"/>
      <c r="AN300" s="1175"/>
      <c r="AO300" s="1176"/>
      <c r="AP300" s="1177"/>
      <c r="AQ300" s="1547"/>
      <c r="AR300" s="1177"/>
      <c r="AS300" s="1548"/>
      <c r="AT300" s="1549"/>
      <c r="AU300" s="1178"/>
      <c r="AV300" s="1179"/>
      <c r="AY300" s="3">
        <v>1</v>
      </c>
    </row>
    <row r="301" spans="2:51" ht="18.75">
      <c r="B301" s="104"/>
      <c r="C301" s="1172"/>
      <c r="D301" s="1172"/>
      <c r="E301" s="1172"/>
      <c r="F301" s="1173"/>
      <c r="G301" s="1174"/>
      <c r="H301" s="1175"/>
      <c r="I301" s="1176"/>
      <c r="J301" s="1177"/>
      <c r="K301" s="1547"/>
      <c r="L301" s="1177"/>
      <c r="M301" s="1548"/>
      <c r="N301" s="1549"/>
      <c r="O301" s="1178"/>
      <c r="P301" s="1179"/>
      <c r="R301" s="104"/>
      <c r="S301" s="1172"/>
      <c r="T301" s="1172"/>
      <c r="U301" s="1172"/>
      <c r="V301" s="1173"/>
      <c r="W301" s="1174"/>
      <c r="X301" s="1175"/>
      <c r="Y301" s="1176"/>
      <c r="Z301" s="1177"/>
      <c r="AA301" s="1547"/>
      <c r="AB301" s="1177"/>
      <c r="AC301" s="1548"/>
      <c r="AD301" s="1549"/>
      <c r="AE301" s="1178"/>
      <c r="AF301" s="1179"/>
      <c r="AH301" s="104"/>
      <c r="AI301" s="1172"/>
      <c r="AJ301" s="1172"/>
      <c r="AK301" s="1172"/>
      <c r="AL301" s="1173"/>
      <c r="AM301" s="1174"/>
      <c r="AN301" s="1175"/>
      <c r="AO301" s="1176"/>
      <c r="AP301" s="1177"/>
      <c r="AQ301" s="1547"/>
      <c r="AR301" s="1177"/>
      <c r="AS301" s="1548"/>
      <c r="AT301" s="1549"/>
      <c r="AU301" s="1178"/>
      <c r="AV301" s="1179"/>
      <c r="AY301" s="3">
        <v>1</v>
      </c>
    </row>
    <row r="302" spans="2:51" ht="18.75">
      <c r="B302" s="104"/>
      <c r="C302" s="1172"/>
      <c r="D302" s="1172"/>
      <c r="E302" s="1172"/>
      <c r="F302" s="1173"/>
      <c r="G302" s="1174"/>
      <c r="H302" s="1175"/>
      <c r="I302" s="1176"/>
      <c r="J302" s="1177"/>
      <c r="K302" s="1547"/>
      <c r="L302" s="1177"/>
      <c r="M302" s="1548"/>
      <c r="N302" s="1549"/>
      <c r="O302" s="1178"/>
      <c r="P302" s="1179"/>
      <c r="R302" s="104"/>
      <c r="S302" s="1172"/>
      <c r="T302" s="1172"/>
      <c r="U302" s="1172"/>
      <c r="V302" s="1173"/>
      <c r="W302" s="1174"/>
      <c r="X302" s="1175"/>
      <c r="Y302" s="1176"/>
      <c r="Z302" s="1177"/>
      <c r="AA302" s="1547"/>
      <c r="AB302" s="1177"/>
      <c r="AC302" s="1548"/>
      <c r="AD302" s="1549"/>
      <c r="AE302" s="1178"/>
      <c r="AF302" s="1179"/>
      <c r="AH302" s="104"/>
      <c r="AI302" s="1172"/>
      <c r="AJ302" s="1172"/>
      <c r="AK302" s="1172"/>
      <c r="AL302" s="1173"/>
      <c r="AM302" s="1174"/>
      <c r="AN302" s="1175"/>
      <c r="AO302" s="1176"/>
      <c r="AP302" s="1177"/>
      <c r="AQ302" s="1547"/>
      <c r="AR302" s="1177"/>
      <c r="AS302" s="1548"/>
      <c r="AT302" s="1549"/>
      <c r="AU302" s="1178"/>
      <c r="AV302" s="1179"/>
      <c r="AY302" s="3">
        <v>1</v>
      </c>
    </row>
    <row r="303" spans="2:51" ht="18.75">
      <c r="B303" s="104"/>
      <c r="C303" s="1172"/>
      <c r="D303" s="1172"/>
      <c r="E303" s="1172"/>
      <c r="F303" s="1173"/>
      <c r="G303" s="1174"/>
      <c r="H303" s="1175"/>
      <c r="I303" s="1176"/>
      <c r="J303" s="1177"/>
      <c r="K303" s="1547"/>
      <c r="L303" s="1177"/>
      <c r="M303" s="1548"/>
      <c r="N303" s="1549"/>
      <c r="O303" s="1178"/>
      <c r="P303" s="1179"/>
      <c r="R303" s="104"/>
      <c r="S303" s="1172"/>
      <c r="T303" s="1172"/>
      <c r="U303" s="1172"/>
      <c r="V303" s="1173"/>
      <c r="W303" s="1174"/>
      <c r="X303" s="1175"/>
      <c r="Y303" s="1176"/>
      <c r="Z303" s="1177"/>
      <c r="AA303" s="1547"/>
      <c r="AB303" s="1177"/>
      <c r="AC303" s="1548"/>
      <c r="AD303" s="1549"/>
      <c r="AE303" s="1178"/>
      <c r="AF303" s="1179"/>
      <c r="AH303" s="104"/>
      <c r="AI303" s="1172"/>
      <c r="AJ303" s="1172"/>
      <c r="AK303" s="1172"/>
      <c r="AL303" s="1173"/>
      <c r="AM303" s="1174"/>
      <c r="AN303" s="1175"/>
      <c r="AO303" s="1176"/>
      <c r="AP303" s="1177"/>
      <c r="AQ303" s="1547"/>
      <c r="AR303" s="1177"/>
      <c r="AS303" s="1548"/>
      <c r="AT303" s="1549"/>
      <c r="AU303" s="1178"/>
      <c r="AV303" s="1179"/>
      <c r="AY303" s="3">
        <v>1</v>
      </c>
    </row>
    <row r="304" spans="2:51" ht="18.75">
      <c r="B304" s="104"/>
      <c r="C304" s="1172"/>
      <c r="D304" s="1172"/>
      <c r="E304" s="1172"/>
      <c r="F304" s="1173"/>
      <c r="G304" s="1174"/>
      <c r="H304" s="1175"/>
      <c r="I304" s="1176"/>
      <c r="J304" s="1177"/>
      <c r="K304" s="1547"/>
      <c r="L304" s="1177"/>
      <c r="M304" s="1548"/>
      <c r="N304" s="1549"/>
      <c r="O304" s="1178"/>
      <c r="P304" s="1179"/>
      <c r="R304" s="104"/>
      <c r="S304" s="1172"/>
      <c r="T304" s="1172"/>
      <c r="U304" s="1172"/>
      <c r="V304" s="1173"/>
      <c r="W304" s="1174"/>
      <c r="X304" s="1175"/>
      <c r="Y304" s="1176"/>
      <c r="Z304" s="1177"/>
      <c r="AA304" s="1547"/>
      <c r="AB304" s="1177"/>
      <c r="AC304" s="1548"/>
      <c r="AD304" s="1549"/>
      <c r="AE304" s="1178"/>
      <c r="AF304" s="1179"/>
      <c r="AH304" s="104"/>
      <c r="AI304" s="1172"/>
      <c r="AJ304" s="1172"/>
      <c r="AK304" s="1172"/>
      <c r="AL304" s="1173"/>
      <c r="AM304" s="1174"/>
      <c r="AN304" s="1175"/>
      <c r="AO304" s="1176"/>
      <c r="AP304" s="1177"/>
      <c r="AQ304" s="1547"/>
      <c r="AR304" s="1177"/>
      <c r="AS304" s="1548"/>
      <c r="AT304" s="1549"/>
      <c r="AU304" s="1178"/>
      <c r="AV304" s="1179"/>
      <c r="AY304" s="3">
        <v>1</v>
      </c>
    </row>
    <row r="305" spans="2:51" ht="18.75">
      <c r="B305" s="104"/>
      <c r="C305" s="1172"/>
      <c r="D305" s="1172"/>
      <c r="E305" s="1172"/>
      <c r="F305" s="1173"/>
      <c r="G305" s="1174"/>
      <c r="H305" s="1175"/>
      <c r="I305" s="1176"/>
      <c r="J305" s="1177"/>
      <c r="K305" s="1547"/>
      <c r="L305" s="1177"/>
      <c r="M305" s="1548"/>
      <c r="N305" s="1549"/>
      <c r="O305" s="1178"/>
      <c r="P305" s="1179"/>
      <c r="R305" s="104"/>
      <c r="S305" s="1172"/>
      <c r="T305" s="1172"/>
      <c r="U305" s="1172"/>
      <c r="V305" s="1173"/>
      <c r="W305" s="1174"/>
      <c r="X305" s="1175"/>
      <c r="Y305" s="1176"/>
      <c r="Z305" s="1177"/>
      <c r="AA305" s="1547"/>
      <c r="AB305" s="1177"/>
      <c r="AC305" s="1548"/>
      <c r="AD305" s="1549"/>
      <c r="AE305" s="1178"/>
      <c r="AF305" s="1179"/>
      <c r="AH305" s="104"/>
      <c r="AI305" s="1172"/>
      <c r="AJ305" s="1172"/>
      <c r="AK305" s="1172"/>
      <c r="AL305" s="1173"/>
      <c r="AM305" s="1174"/>
      <c r="AN305" s="1175"/>
      <c r="AO305" s="1176"/>
      <c r="AP305" s="1177"/>
      <c r="AQ305" s="1547"/>
      <c r="AR305" s="1177"/>
      <c r="AS305" s="1548"/>
      <c r="AT305" s="1549"/>
      <c r="AU305" s="1178"/>
      <c r="AV305" s="1179"/>
      <c r="AY305" s="3">
        <v>1</v>
      </c>
    </row>
    <row r="306" spans="2:51" ht="18.75">
      <c r="B306" s="104"/>
      <c r="C306" s="1172"/>
      <c r="D306" s="1172"/>
      <c r="E306" s="1172"/>
      <c r="F306" s="1173"/>
      <c r="G306" s="1174"/>
      <c r="H306" s="1175"/>
      <c r="I306" s="1176"/>
      <c r="J306" s="1177"/>
      <c r="K306" s="1547"/>
      <c r="L306" s="1177"/>
      <c r="M306" s="1548"/>
      <c r="N306" s="1549"/>
      <c r="O306" s="1178"/>
      <c r="P306" s="1179"/>
      <c r="R306" s="104"/>
      <c r="S306" s="1172"/>
      <c r="T306" s="1172"/>
      <c r="U306" s="1172"/>
      <c r="V306" s="1173"/>
      <c r="W306" s="1174"/>
      <c r="X306" s="1175"/>
      <c r="Y306" s="1176"/>
      <c r="Z306" s="1177"/>
      <c r="AA306" s="1547"/>
      <c r="AB306" s="1177"/>
      <c r="AC306" s="1548"/>
      <c r="AD306" s="1549"/>
      <c r="AE306" s="1178"/>
      <c r="AF306" s="1179"/>
      <c r="AH306" s="104"/>
      <c r="AI306" s="1172"/>
      <c r="AJ306" s="1172"/>
      <c r="AK306" s="1172"/>
      <c r="AL306" s="1173"/>
      <c r="AM306" s="1174"/>
      <c r="AN306" s="1175"/>
      <c r="AO306" s="1176"/>
      <c r="AP306" s="1177"/>
      <c r="AQ306" s="1547"/>
      <c r="AR306" s="1177"/>
      <c r="AS306" s="1548"/>
      <c r="AT306" s="1549"/>
      <c r="AU306" s="1178"/>
      <c r="AV306" s="1179"/>
      <c r="AY306" s="3">
        <v>1</v>
      </c>
    </row>
    <row r="307" spans="2:51" ht="18.75">
      <c r="B307" s="104"/>
      <c r="C307" s="1172"/>
      <c r="D307" s="1172"/>
      <c r="E307" s="1172"/>
      <c r="F307" s="1173"/>
      <c r="G307" s="1174"/>
      <c r="H307" s="1175"/>
      <c r="I307" s="1176"/>
      <c r="J307" s="1177"/>
      <c r="K307" s="1547"/>
      <c r="L307" s="1177"/>
      <c r="M307" s="1548"/>
      <c r="N307" s="1549"/>
      <c r="O307" s="1178"/>
      <c r="P307" s="1179"/>
      <c r="R307" s="104"/>
      <c r="S307" s="1172"/>
      <c r="T307" s="1172"/>
      <c r="U307" s="1172"/>
      <c r="V307" s="1173"/>
      <c r="W307" s="1174"/>
      <c r="X307" s="1175"/>
      <c r="Y307" s="1176"/>
      <c r="Z307" s="1177"/>
      <c r="AA307" s="1547"/>
      <c r="AB307" s="1177"/>
      <c r="AC307" s="1548"/>
      <c r="AD307" s="1549"/>
      <c r="AE307" s="1178"/>
      <c r="AF307" s="1179"/>
      <c r="AH307" s="104"/>
      <c r="AI307" s="1172"/>
      <c r="AJ307" s="1172"/>
      <c r="AK307" s="1172"/>
      <c r="AL307" s="1173"/>
      <c r="AM307" s="1174"/>
      <c r="AN307" s="1175"/>
      <c r="AO307" s="1176"/>
      <c r="AP307" s="1177"/>
      <c r="AQ307" s="1547"/>
      <c r="AR307" s="1177"/>
      <c r="AS307" s="1548"/>
      <c r="AT307" s="1549"/>
      <c r="AU307" s="1178"/>
      <c r="AV307" s="1179"/>
      <c r="AY307" s="3">
        <v>1</v>
      </c>
    </row>
    <row r="308" spans="2:51" ht="18.75">
      <c r="B308" s="104"/>
      <c r="C308" s="1172"/>
      <c r="D308" s="1172"/>
      <c r="E308" s="1172"/>
      <c r="F308" s="1173"/>
      <c r="G308" s="1174"/>
      <c r="H308" s="1175"/>
      <c r="I308" s="1176"/>
      <c r="J308" s="1177"/>
      <c r="K308" s="1547"/>
      <c r="L308" s="1177"/>
      <c r="M308" s="1548"/>
      <c r="N308" s="1549"/>
      <c r="O308" s="1178"/>
      <c r="P308" s="1179"/>
      <c r="R308" s="104"/>
      <c r="S308" s="1172"/>
      <c r="T308" s="1172"/>
      <c r="U308" s="1172"/>
      <c r="V308" s="1173"/>
      <c r="W308" s="1174"/>
      <c r="X308" s="1175"/>
      <c r="Y308" s="1176"/>
      <c r="Z308" s="1177"/>
      <c r="AA308" s="1547"/>
      <c r="AB308" s="1177"/>
      <c r="AC308" s="1548"/>
      <c r="AD308" s="1549"/>
      <c r="AE308" s="1178"/>
      <c r="AF308" s="1179"/>
      <c r="AH308" s="104"/>
      <c r="AI308" s="1172"/>
      <c r="AJ308" s="1172"/>
      <c r="AK308" s="1172"/>
      <c r="AL308" s="1173"/>
      <c r="AM308" s="1174"/>
      <c r="AN308" s="1175"/>
      <c r="AO308" s="1176"/>
      <c r="AP308" s="1177"/>
      <c r="AQ308" s="1547"/>
      <c r="AR308" s="1177"/>
      <c r="AS308" s="1548"/>
      <c r="AT308" s="1549"/>
      <c r="AU308" s="1178"/>
      <c r="AV308" s="1179"/>
      <c r="AY308" s="3">
        <v>1</v>
      </c>
    </row>
    <row r="309" spans="2:51" ht="18.75">
      <c r="B309" s="104"/>
      <c r="C309" s="1172"/>
      <c r="D309" s="1172"/>
      <c r="E309" s="1172"/>
      <c r="F309" s="1173"/>
      <c r="G309" s="1174"/>
      <c r="H309" s="1175"/>
      <c r="I309" s="1176"/>
      <c r="J309" s="1177"/>
      <c r="K309" s="1547"/>
      <c r="L309" s="1177"/>
      <c r="M309" s="1548"/>
      <c r="N309" s="1549"/>
      <c r="O309" s="1178"/>
      <c r="P309" s="1179"/>
      <c r="R309" s="104"/>
      <c r="S309" s="1172"/>
      <c r="T309" s="1172"/>
      <c r="U309" s="1172"/>
      <c r="V309" s="1173"/>
      <c r="W309" s="1174"/>
      <c r="X309" s="1175"/>
      <c r="Y309" s="1176"/>
      <c r="Z309" s="1177"/>
      <c r="AA309" s="1547"/>
      <c r="AB309" s="1177"/>
      <c r="AC309" s="1548"/>
      <c r="AD309" s="1549"/>
      <c r="AE309" s="1178"/>
      <c r="AF309" s="1179"/>
      <c r="AH309" s="104"/>
      <c r="AI309" s="1172"/>
      <c r="AJ309" s="1172"/>
      <c r="AK309" s="1172"/>
      <c r="AL309" s="1173"/>
      <c r="AM309" s="1174"/>
      <c r="AN309" s="1175"/>
      <c r="AO309" s="1176"/>
      <c r="AP309" s="1177"/>
      <c r="AQ309" s="1547"/>
      <c r="AR309" s="1177"/>
      <c r="AS309" s="1548"/>
      <c r="AT309" s="1549"/>
      <c r="AU309" s="1178"/>
      <c r="AV309" s="1179"/>
      <c r="AY309" s="3">
        <v>1</v>
      </c>
    </row>
    <row r="310" spans="2:51" ht="18.75">
      <c r="B310" s="104"/>
      <c r="C310" s="1172"/>
      <c r="D310" s="1172"/>
      <c r="E310" s="1172"/>
      <c r="F310" s="1173"/>
      <c r="G310" s="1174"/>
      <c r="H310" s="1175"/>
      <c r="I310" s="1176"/>
      <c r="J310" s="1177"/>
      <c r="K310" s="1547"/>
      <c r="L310" s="1177"/>
      <c r="M310" s="1548"/>
      <c r="N310" s="1549"/>
      <c r="O310" s="1178"/>
      <c r="P310" s="1179"/>
      <c r="R310" s="104"/>
      <c r="S310" s="1172"/>
      <c r="T310" s="1172"/>
      <c r="U310" s="1172"/>
      <c r="V310" s="1173"/>
      <c r="W310" s="1174"/>
      <c r="X310" s="1175"/>
      <c r="Y310" s="1176"/>
      <c r="Z310" s="1177"/>
      <c r="AA310" s="1547"/>
      <c r="AB310" s="1177"/>
      <c r="AC310" s="1548"/>
      <c r="AD310" s="1549"/>
      <c r="AE310" s="1178"/>
      <c r="AF310" s="1179"/>
      <c r="AH310" s="104"/>
      <c r="AI310" s="1172"/>
      <c r="AJ310" s="1172"/>
      <c r="AK310" s="1172"/>
      <c r="AL310" s="1173"/>
      <c r="AM310" s="1174"/>
      <c r="AN310" s="1175"/>
      <c r="AO310" s="1176"/>
      <c r="AP310" s="1177"/>
      <c r="AQ310" s="1547"/>
      <c r="AR310" s="1177"/>
      <c r="AS310" s="1548"/>
      <c r="AT310" s="1549"/>
      <c r="AU310" s="1178"/>
      <c r="AV310" s="1179"/>
      <c r="AY310" s="3">
        <v>1</v>
      </c>
    </row>
    <row r="311" spans="2:51" ht="18.75">
      <c r="B311" s="104"/>
      <c r="C311" s="1172"/>
      <c r="D311" s="1172"/>
      <c r="E311" s="1172"/>
      <c r="F311" s="1173"/>
      <c r="G311" s="1174"/>
      <c r="H311" s="1175"/>
      <c r="I311" s="1176"/>
      <c r="J311" s="1177"/>
      <c r="K311" s="1547"/>
      <c r="L311" s="1177"/>
      <c r="M311" s="1548"/>
      <c r="N311" s="1549"/>
      <c r="O311" s="1178"/>
      <c r="P311" s="1179"/>
      <c r="R311" s="104"/>
      <c r="S311" s="1172"/>
      <c r="T311" s="1172"/>
      <c r="U311" s="1172"/>
      <c r="V311" s="1173"/>
      <c r="W311" s="1174"/>
      <c r="X311" s="1175"/>
      <c r="Y311" s="1176"/>
      <c r="Z311" s="1177"/>
      <c r="AA311" s="1547"/>
      <c r="AB311" s="1177"/>
      <c r="AC311" s="1548"/>
      <c r="AD311" s="1549"/>
      <c r="AE311" s="1178"/>
      <c r="AF311" s="1179"/>
      <c r="AH311" s="104"/>
      <c r="AI311" s="1172"/>
      <c r="AJ311" s="1172"/>
      <c r="AK311" s="1172"/>
      <c r="AL311" s="1173"/>
      <c r="AM311" s="1174"/>
      <c r="AN311" s="1175"/>
      <c r="AO311" s="1176"/>
      <c r="AP311" s="1177"/>
      <c r="AQ311" s="1547"/>
      <c r="AR311" s="1177"/>
      <c r="AS311" s="1548"/>
      <c r="AT311" s="1549"/>
      <c r="AU311" s="1178"/>
      <c r="AV311" s="1179"/>
      <c r="AY311" s="3">
        <v>1</v>
      </c>
    </row>
    <row r="312" spans="2:51" ht="18.75">
      <c r="B312" s="104"/>
      <c r="C312" s="1172"/>
      <c r="D312" s="1172"/>
      <c r="E312" s="1172"/>
      <c r="F312" s="1173"/>
      <c r="G312" s="1174"/>
      <c r="H312" s="1175"/>
      <c r="I312" s="1176"/>
      <c r="J312" s="1177"/>
      <c r="K312" s="1547"/>
      <c r="L312" s="1177"/>
      <c r="M312" s="1548"/>
      <c r="N312" s="1549"/>
      <c r="O312" s="1178"/>
      <c r="P312" s="1179"/>
      <c r="R312" s="104"/>
      <c r="S312" s="1172"/>
      <c r="T312" s="1172"/>
      <c r="U312" s="1172"/>
      <c r="V312" s="1173"/>
      <c r="W312" s="1174"/>
      <c r="X312" s="1175"/>
      <c r="Y312" s="1176"/>
      <c r="Z312" s="1177"/>
      <c r="AA312" s="1547"/>
      <c r="AB312" s="1177"/>
      <c r="AC312" s="1548"/>
      <c r="AD312" s="1549"/>
      <c r="AE312" s="1178"/>
      <c r="AF312" s="1179"/>
      <c r="AH312" s="104"/>
      <c r="AI312" s="1172"/>
      <c r="AJ312" s="1172"/>
      <c r="AK312" s="1172"/>
      <c r="AL312" s="1173"/>
      <c r="AM312" s="1174"/>
      <c r="AN312" s="1175"/>
      <c r="AO312" s="1176"/>
      <c r="AP312" s="1177"/>
      <c r="AQ312" s="1547"/>
      <c r="AR312" s="1177"/>
      <c r="AS312" s="1548"/>
      <c r="AT312" s="1549"/>
      <c r="AU312" s="1178"/>
      <c r="AV312" s="1179"/>
      <c r="AY312" s="3">
        <v>1</v>
      </c>
    </row>
    <row r="313" spans="2:51" ht="18.75">
      <c r="B313" s="104"/>
      <c r="C313" s="1172"/>
      <c r="D313" s="1172"/>
      <c r="E313" s="1172"/>
      <c r="F313" s="1173"/>
      <c r="G313" s="1174"/>
      <c r="H313" s="1175"/>
      <c r="I313" s="1176"/>
      <c r="J313" s="1177"/>
      <c r="K313" s="1547"/>
      <c r="L313" s="1177"/>
      <c r="M313" s="1548"/>
      <c r="N313" s="1549"/>
      <c r="O313" s="1178"/>
      <c r="P313" s="1179"/>
      <c r="R313" s="104"/>
      <c r="S313" s="1172"/>
      <c r="T313" s="1172"/>
      <c r="U313" s="1172"/>
      <c r="V313" s="1173"/>
      <c r="W313" s="1174"/>
      <c r="X313" s="1175"/>
      <c r="Y313" s="1176"/>
      <c r="Z313" s="1177"/>
      <c r="AA313" s="1547"/>
      <c r="AB313" s="1177"/>
      <c r="AC313" s="1548"/>
      <c r="AD313" s="1549"/>
      <c r="AE313" s="1178"/>
      <c r="AF313" s="1179"/>
      <c r="AH313" s="104"/>
      <c r="AI313" s="1172"/>
      <c r="AJ313" s="1172"/>
      <c r="AK313" s="1172"/>
      <c r="AL313" s="1173"/>
      <c r="AM313" s="1174"/>
      <c r="AN313" s="1175"/>
      <c r="AO313" s="1176"/>
      <c r="AP313" s="1177"/>
      <c r="AQ313" s="1547"/>
      <c r="AR313" s="1177"/>
      <c r="AS313" s="1548"/>
      <c r="AT313" s="1549"/>
      <c r="AU313" s="1178"/>
      <c r="AV313" s="1179"/>
      <c r="AY313" s="3">
        <v>1</v>
      </c>
    </row>
    <row r="314" spans="2:51" ht="18.75">
      <c r="B314" s="104"/>
      <c r="C314" s="1172"/>
      <c r="D314" s="1172"/>
      <c r="E314" s="1172"/>
      <c r="F314" s="1173"/>
      <c r="G314" s="1174"/>
      <c r="H314" s="1175"/>
      <c r="I314" s="1176"/>
      <c r="J314" s="1177"/>
      <c r="K314" s="1547"/>
      <c r="L314" s="1177"/>
      <c r="M314" s="1548"/>
      <c r="N314" s="1549"/>
      <c r="O314" s="1178"/>
      <c r="P314" s="1179"/>
      <c r="R314" s="104"/>
      <c r="S314" s="1172"/>
      <c r="T314" s="1172"/>
      <c r="U314" s="1172"/>
      <c r="V314" s="1173"/>
      <c r="W314" s="1174"/>
      <c r="X314" s="1175"/>
      <c r="Y314" s="1176"/>
      <c r="Z314" s="1177"/>
      <c r="AA314" s="1547"/>
      <c r="AB314" s="1177"/>
      <c r="AC314" s="1548"/>
      <c r="AD314" s="1549"/>
      <c r="AE314" s="1178"/>
      <c r="AF314" s="1179"/>
      <c r="AH314" s="104"/>
      <c r="AI314" s="1172"/>
      <c r="AJ314" s="1172"/>
      <c r="AK314" s="1172"/>
      <c r="AL314" s="1173"/>
      <c r="AM314" s="1174"/>
      <c r="AN314" s="1175"/>
      <c r="AO314" s="1176"/>
      <c r="AP314" s="1177"/>
      <c r="AQ314" s="1547"/>
      <c r="AR314" s="1177"/>
      <c r="AS314" s="1548"/>
      <c r="AT314" s="1549"/>
      <c r="AU314" s="1178"/>
      <c r="AV314" s="1179"/>
      <c r="AY314" s="3">
        <v>1</v>
      </c>
    </row>
    <row r="315" spans="2:51" ht="18.75">
      <c r="B315" s="104"/>
      <c r="C315" s="1172"/>
      <c r="D315" s="1172"/>
      <c r="E315" s="1172"/>
      <c r="F315" s="1173"/>
      <c r="G315" s="1174"/>
      <c r="H315" s="1175"/>
      <c r="I315" s="1176"/>
      <c r="J315" s="1177"/>
      <c r="K315" s="1547"/>
      <c r="L315" s="1177"/>
      <c r="M315" s="1548"/>
      <c r="N315" s="1549"/>
      <c r="O315" s="1178"/>
      <c r="P315" s="1179"/>
      <c r="R315" s="104"/>
      <c r="S315" s="1172"/>
      <c r="T315" s="1172"/>
      <c r="U315" s="1172"/>
      <c r="V315" s="1173"/>
      <c r="W315" s="1174"/>
      <c r="X315" s="1175"/>
      <c r="Y315" s="1176"/>
      <c r="Z315" s="1177"/>
      <c r="AA315" s="1547"/>
      <c r="AB315" s="1177"/>
      <c r="AC315" s="1548"/>
      <c r="AD315" s="1549"/>
      <c r="AE315" s="1178"/>
      <c r="AF315" s="1179"/>
      <c r="AH315" s="104"/>
      <c r="AI315" s="1172"/>
      <c r="AJ315" s="1172"/>
      <c r="AK315" s="1172"/>
      <c r="AL315" s="1173"/>
      <c r="AM315" s="1174"/>
      <c r="AN315" s="1175"/>
      <c r="AO315" s="1176"/>
      <c r="AP315" s="1177"/>
      <c r="AQ315" s="1547"/>
      <c r="AR315" s="1177"/>
      <c r="AS315" s="1548"/>
      <c r="AT315" s="1549"/>
      <c r="AU315" s="1178"/>
      <c r="AV315" s="1179"/>
      <c r="AY315" s="3">
        <v>1</v>
      </c>
    </row>
    <row r="316" spans="2:51" ht="18.75">
      <c r="B316" s="104"/>
      <c r="C316" s="1172"/>
      <c r="D316" s="1172"/>
      <c r="E316" s="1172"/>
      <c r="F316" s="1173"/>
      <c r="G316" s="1174"/>
      <c r="H316" s="1175"/>
      <c r="I316" s="1176"/>
      <c r="J316" s="1177"/>
      <c r="K316" s="1547"/>
      <c r="L316" s="1177"/>
      <c r="M316" s="1548"/>
      <c r="N316" s="1549"/>
      <c r="O316" s="1178"/>
      <c r="P316" s="1179"/>
      <c r="R316" s="104"/>
      <c r="S316" s="1172"/>
      <c r="T316" s="1172"/>
      <c r="U316" s="1172"/>
      <c r="V316" s="1173"/>
      <c r="W316" s="1174"/>
      <c r="X316" s="1175"/>
      <c r="Y316" s="1176"/>
      <c r="Z316" s="1177"/>
      <c r="AA316" s="1547"/>
      <c r="AB316" s="1177"/>
      <c r="AC316" s="1548"/>
      <c r="AD316" s="1549"/>
      <c r="AE316" s="1178"/>
      <c r="AF316" s="1179"/>
      <c r="AH316" s="104"/>
      <c r="AI316" s="1172"/>
      <c r="AJ316" s="1172"/>
      <c r="AK316" s="1172"/>
      <c r="AL316" s="1173"/>
      <c r="AM316" s="1174"/>
      <c r="AN316" s="1175"/>
      <c r="AO316" s="1176"/>
      <c r="AP316" s="1177"/>
      <c r="AQ316" s="1547"/>
      <c r="AR316" s="1177"/>
      <c r="AS316" s="1548"/>
      <c r="AT316" s="1549"/>
      <c r="AU316" s="1178"/>
      <c r="AV316" s="1179"/>
      <c r="AY316" s="3">
        <v>1</v>
      </c>
    </row>
    <row r="317" spans="2:51" ht="18.75">
      <c r="B317" s="104"/>
      <c r="C317" s="1172"/>
      <c r="D317" s="1172"/>
      <c r="E317" s="1172"/>
      <c r="F317" s="1173"/>
      <c r="G317" s="1174"/>
      <c r="H317" s="1175"/>
      <c r="I317" s="1176"/>
      <c r="J317" s="1177"/>
      <c r="K317" s="1547"/>
      <c r="L317" s="1177"/>
      <c r="M317" s="1548"/>
      <c r="N317" s="1549"/>
      <c r="O317" s="1178"/>
      <c r="P317" s="1179"/>
      <c r="R317" s="104"/>
      <c r="S317" s="1172"/>
      <c r="T317" s="1172"/>
      <c r="U317" s="1172"/>
      <c r="V317" s="1173"/>
      <c r="W317" s="1174"/>
      <c r="X317" s="1175"/>
      <c r="Y317" s="1176"/>
      <c r="Z317" s="1177"/>
      <c r="AA317" s="1547"/>
      <c r="AB317" s="1177"/>
      <c r="AC317" s="1548"/>
      <c r="AD317" s="1549"/>
      <c r="AE317" s="1178"/>
      <c r="AF317" s="1179"/>
      <c r="AH317" s="104"/>
      <c r="AI317" s="1172"/>
      <c r="AJ317" s="1172"/>
      <c r="AK317" s="1172"/>
      <c r="AL317" s="1173"/>
      <c r="AM317" s="1174"/>
      <c r="AN317" s="1175"/>
      <c r="AO317" s="1176"/>
      <c r="AP317" s="1177"/>
      <c r="AQ317" s="1547"/>
      <c r="AR317" s="1177"/>
      <c r="AS317" s="1548"/>
      <c r="AT317" s="1549"/>
      <c r="AU317" s="1178"/>
      <c r="AV317" s="1179"/>
      <c r="AY317" s="3">
        <v>1</v>
      </c>
    </row>
    <row r="318" spans="2:51" ht="18.75">
      <c r="B318" s="104"/>
      <c r="C318" s="1172"/>
      <c r="D318" s="1172"/>
      <c r="E318" s="1172"/>
      <c r="F318" s="1173"/>
      <c r="G318" s="1174"/>
      <c r="H318" s="1175"/>
      <c r="I318" s="1176"/>
      <c r="J318" s="1177"/>
      <c r="K318" s="1547"/>
      <c r="L318" s="1177"/>
      <c r="M318" s="1548"/>
      <c r="N318" s="1549"/>
      <c r="O318" s="1178"/>
      <c r="P318" s="1179"/>
      <c r="R318" s="104"/>
      <c r="S318" s="1172"/>
      <c r="T318" s="1172"/>
      <c r="U318" s="1172"/>
      <c r="V318" s="1173"/>
      <c r="W318" s="1174"/>
      <c r="X318" s="1175"/>
      <c r="Y318" s="1176"/>
      <c r="Z318" s="1177"/>
      <c r="AA318" s="1547"/>
      <c r="AB318" s="1177"/>
      <c r="AC318" s="1548"/>
      <c r="AD318" s="1549"/>
      <c r="AE318" s="1178"/>
      <c r="AF318" s="1179"/>
      <c r="AH318" s="104"/>
      <c r="AI318" s="1172"/>
      <c r="AJ318" s="1172"/>
      <c r="AK318" s="1172"/>
      <c r="AL318" s="1173"/>
      <c r="AM318" s="1174"/>
      <c r="AN318" s="1175"/>
      <c r="AO318" s="1176"/>
      <c r="AP318" s="1177"/>
      <c r="AQ318" s="1547"/>
      <c r="AR318" s="1177"/>
      <c r="AS318" s="1548"/>
      <c r="AT318" s="1549"/>
      <c r="AU318" s="1178"/>
      <c r="AV318" s="1179"/>
      <c r="AY318" s="3">
        <v>1</v>
      </c>
    </row>
    <row r="319" spans="2:51" ht="18.75">
      <c r="B319" s="104"/>
      <c r="C319" s="1172"/>
      <c r="D319" s="1172"/>
      <c r="E319" s="1172"/>
      <c r="F319" s="1173"/>
      <c r="G319" s="1174"/>
      <c r="H319" s="1175"/>
      <c r="I319" s="1176"/>
      <c r="J319" s="1177"/>
      <c r="K319" s="1547"/>
      <c r="L319" s="1177"/>
      <c r="M319" s="1548"/>
      <c r="N319" s="1549"/>
      <c r="O319" s="1178"/>
      <c r="P319" s="1179"/>
      <c r="R319" s="104"/>
      <c r="S319" s="1172"/>
      <c r="T319" s="1172"/>
      <c r="U319" s="1172"/>
      <c r="V319" s="1173"/>
      <c r="W319" s="1174"/>
      <c r="X319" s="1175"/>
      <c r="Y319" s="1176"/>
      <c r="Z319" s="1177"/>
      <c r="AA319" s="1547"/>
      <c r="AB319" s="1177"/>
      <c r="AC319" s="1548"/>
      <c r="AD319" s="1549"/>
      <c r="AE319" s="1178"/>
      <c r="AF319" s="1179"/>
      <c r="AH319" s="104"/>
      <c r="AI319" s="1172"/>
      <c r="AJ319" s="1172"/>
      <c r="AK319" s="1172"/>
      <c r="AL319" s="1173"/>
      <c r="AM319" s="1174"/>
      <c r="AN319" s="1175"/>
      <c r="AO319" s="1176"/>
      <c r="AP319" s="1177"/>
      <c r="AQ319" s="1547"/>
      <c r="AR319" s="1177"/>
      <c r="AS319" s="1548"/>
      <c r="AT319" s="1549"/>
      <c r="AU319" s="1178"/>
      <c r="AV319" s="1179"/>
      <c r="AY319" s="3">
        <v>1</v>
      </c>
    </row>
    <row r="320" spans="2:51" ht="18.75">
      <c r="B320" s="104"/>
      <c r="C320" s="1172"/>
      <c r="D320" s="1172"/>
      <c r="E320" s="1172"/>
      <c r="F320" s="1173"/>
      <c r="G320" s="1174"/>
      <c r="H320" s="1175"/>
      <c r="I320" s="1176"/>
      <c r="J320" s="1177"/>
      <c r="K320" s="1547"/>
      <c r="L320" s="1177"/>
      <c r="M320" s="1548"/>
      <c r="N320" s="1549"/>
      <c r="O320" s="1178"/>
      <c r="P320" s="1179"/>
      <c r="R320" s="104"/>
      <c r="S320" s="1172"/>
      <c r="T320" s="1172"/>
      <c r="U320" s="1172"/>
      <c r="V320" s="1173"/>
      <c r="W320" s="1174"/>
      <c r="X320" s="1175"/>
      <c r="Y320" s="1176"/>
      <c r="Z320" s="1177"/>
      <c r="AA320" s="1547"/>
      <c r="AB320" s="1177"/>
      <c r="AC320" s="1548"/>
      <c r="AD320" s="1549"/>
      <c r="AE320" s="1178"/>
      <c r="AF320" s="1179"/>
      <c r="AH320" s="104"/>
      <c r="AI320" s="1172"/>
      <c r="AJ320" s="1172"/>
      <c r="AK320" s="1172"/>
      <c r="AL320" s="1173"/>
      <c r="AM320" s="1174"/>
      <c r="AN320" s="1175"/>
      <c r="AO320" s="1176"/>
      <c r="AP320" s="1177"/>
      <c r="AQ320" s="1547"/>
      <c r="AR320" s="1177"/>
      <c r="AS320" s="1548"/>
      <c r="AT320" s="1549"/>
      <c r="AU320" s="1178"/>
      <c r="AV320" s="1179"/>
      <c r="AY320" s="3">
        <v>1</v>
      </c>
    </row>
    <row r="321" spans="2:51" ht="18.75">
      <c r="B321" s="104"/>
      <c r="C321" s="1172"/>
      <c r="D321" s="1172"/>
      <c r="E321" s="1172"/>
      <c r="F321" s="1173"/>
      <c r="G321" s="1174"/>
      <c r="H321" s="1175"/>
      <c r="I321" s="1176"/>
      <c r="J321" s="1177"/>
      <c r="K321" s="1547"/>
      <c r="L321" s="1177"/>
      <c r="M321" s="1548"/>
      <c r="N321" s="1549"/>
      <c r="O321" s="1178"/>
      <c r="P321" s="1179"/>
      <c r="R321" s="104"/>
      <c r="S321" s="1172"/>
      <c r="T321" s="1172"/>
      <c r="U321" s="1172"/>
      <c r="V321" s="1173"/>
      <c r="W321" s="1174"/>
      <c r="X321" s="1175"/>
      <c r="Y321" s="1176"/>
      <c r="Z321" s="1177"/>
      <c r="AA321" s="1547"/>
      <c r="AB321" s="1177"/>
      <c r="AC321" s="1548"/>
      <c r="AD321" s="1549"/>
      <c r="AE321" s="1178"/>
      <c r="AF321" s="1179"/>
      <c r="AH321" s="104"/>
      <c r="AI321" s="1172"/>
      <c r="AJ321" s="1172"/>
      <c r="AK321" s="1172"/>
      <c r="AL321" s="1173"/>
      <c r="AM321" s="1174"/>
      <c r="AN321" s="1175"/>
      <c r="AO321" s="1176"/>
      <c r="AP321" s="1177"/>
      <c r="AQ321" s="1547"/>
      <c r="AR321" s="1177"/>
      <c r="AS321" s="1548"/>
      <c r="AT321" s="1549"/>
      <c r="AU321" s="1178"/>
      <c r="AV321" s="1179"/>
      <c r="AY321" s="3">
        <v>1</v>
      </c>
    </row>
    <row r="322" spans="2:51" ht="18.75">
      <c r="B322" s="104"/>
      <c r="C322" s="1172"/>
      <c r="D322" s="1172"/>
      <c r="E322" s="1172"/>
      <c r="F322" s="1173"/>
      <c r="G322" s="1174"/>
      <c r="H322" s="1175"/>
      <c r="I322" s="1176"/>
      <c r="J322" s="1177"/>
      <c r="K322" s="1547"/>
      <c r="L322" s="1177"/>
      <c r="M322" s="1548"/>
      <c r="N322" s="1549"/>
      <c r="O322" s="1178"/>
      <c r="P322" s="1179"/>
      <c r="R322" s="104"/>
      <c r="S322" s="1172"/>
      <c r="T322" s="1172"/>
      <c r="U322" s="1172"/>
      <c r="V322" s="1173"/>
      <c r="W322" s="1174"/>
      <c r="X322" s="1175"/>
      <c r="Y322" s="1176"/>
      <c r="Z322" s="1177"/>
      <c r="AA322" s="1547"/>
      <c r="AB322" s="1177"/>
      <c r="AC322" s="1548"/>
      <c r="AD322" s="1549"/>
      <c r="AE322" s="1178"/>
      <c r="AF322" s="1179"/>
      <c r="AH322" s="104"/>
      <c r="AI322" s="1172"/>
      <c r="AJ322" s="1172"/>
      <c r="AK322" s="1172"/>
      <c r="AL322" s="1173"/>
      <c r="AM322" s="1174"/>
      <c r="AN322" s="1175"/>
      <c r="AO322" s="1176"/>
      <c r="AP322" s="1177"/>
      <c r="AQ322" s="1547"/>
      <c r="AR322" s="1177"/>
      <c r="AS322" s="1548"/>
      <c r="AT322" s="1549"/>
      <c r="AU322" s="1178"/>
      <c r="AV322" s="1179"/>
      <c r="AY322" s="3">
        <v>1</v>
      </c>
    </row>
    <row r="323" spans="2:51" ht="18.75">
      <c r="B323" s="104"/>
      <c r="C323" s="1172"/>
      <c r="D323" s="1172"/>
      <c r="E323" s="1172"/>
      <c r="F323" s="1173"/>
      <c r="G323" s="1174"/>
      <c r="H323" s="1175"/>
      <c r="I323" s="1176"/>
      <c r="J323" s="1177"/>
      <c r="K323" s="1547"/>
      <c r="L323" s="1177"/>
      <c r="M323" s="1548"/>
      <c r="N323" s="1549"/>
      <c r="O323" s="1178"/>
      <c r="P323" s="1179"/>
      <c r="R323" s="104"/>
      <c r="S323" s="1172"/>
      <c r="T323" s="1172"/>
      <c r="U323" s="1172"/>
      <c r="V323" s="1173"/>
      <c r="W323" s="1174"/>
      <c r="X323" s="1175"/>
      <c r="Y323" s="1176"/>
      <c r="Z323" s="1177"/>
      <c r="AA323" s="1547"/>
      <c r="AB323" s="1177"/>
      <c r="AC323" s="1548"/>
      <c r="AD323" s="1549"/>
      <c r="AE323" s="1178"/>
      <c r="AF323" s="1179"/>
      <c r="AH323" s="104"/>
      <c r="AI323" s="1172"/>
      <c r="AJ323" s="1172"/>
      <c r="AK323" s="1172"/>
      <c r="AL323" s="1173"/>
      <c r="AM323" s="1174"/>
      <c r="AN323" s="1175"/>
      <c r="AO323" s="1176"/>
      <c r="AP323" s="1177"/>
      <c r="AQ323" s="1547"/>
      <c r="AR323" s="1177"/>
      <c r="AS323" s="1548"/>
      <c r="AT323" s="1549"/>
      <c r="AU323" s="1178"/>
      <c r="AV323" s="1179"/>
      <c r="AY323" s="3">
        <v>1</v>
      </c>
    </row>
    <row r="324" spans="2:51" ht="18.75">
      <c r="B324" s="104"/>
      <c r="C324" s="1172"/>
      <c r="D324" s="1172"/>
      <c r="E324" s="1172"/>
      <c r="F324" s="1173"/>
      <c r="G324" s="1174"/>
      <c r="H324" s="1175"/>
      <c r="I324" s="1176"/>
      <c r="J324" s="1177"/>
      <c r="K324" s="1547"/>
      <c r="L324" s="1177"/>
      <c r="M324" s="1548"/>
      <c r="N324" s="1549"/>
      <c r="O324" s="1178"/>
      <c r="P324" s="1179"/>
      <c r="R324" s="104"/>
      <c r="S324" s="1172"/>
      <c r="T324" s="1172"/>
      <c r="U324" s="1172"/>
      <c r="V324" s="1173"/>
      <c r="W324" s="1174"/>
      <c r="X324" s="1175"/>
      <c r="Y324" s="1176"/>
      <c r="Z324" s="1177"/>
      <c r="AA324" s="1547"/>
      <c r="AB324" s="1177"/>
      <c r="AC324" s="1548"/>
      <c r="AD324" s="1549"/>
      <c r="AE324" s="1178"/>
      <c r="AF324" s="1179"/>
      <c r="AH324" s="104"/>
      <c r="AI324" s="1172"/>
      <c r="AJ324" s="1172"/>
      <c r="AK324" s="1172"/>
      <c r="AL324" s="1173"/>
      <c r="AM324" s="1174"/>
      <c r="AN324" s="1175"/>
      <c r="AO324" s="1176"/>
      <c r="AP324" s="1177"/>
      <c r="AQ324" s="1547"/>
      <c r="AR324" s="1177"/>
      <c r="AS324" s="1548"/>
      <c r="AT324" s="1549"/>
      <c r="AU324" s="1178"/>
      <c r="AV324" s="1179"/>
      <c r="AY324" s="3">
        <v>1</v>
      </c>
    </row>
    <row r="325" spans="2:51" ht="18.75">
      <c r="B325" s="104"/>
      <c r="C325" s="1172"/>
      <c r="D325" s="1172"/>
      <c r="E325" s="1172"/>
      <c r="F325" s="1173"/>
      <c r="G325" s="1174"/>
      <c r="H325" s="1175"/>
      <c r="I325" s="1176"/>
      <c r="J325" s="1177"/>
      <c r="K325" s="1547"/>
      <c r="L325" s="1177"/>
      <c r="M325" s="1548"/>
      <c r="N325" s="1549"/>
      <c r="O325" s="1178"/>
      <c r="P325" s="1179"/>
      <c r="R325" s="104"/>
      <c r="S325" s="1172"/>
      <c r="T325" s="1172"/>
      <c r="U325" s="1172"/>
      <c r="V325" s="1173"/>
      <c r="W325" s="1174"/>
      <c r="X325" s="1175"/>
      <c r="Y325" s="1176"/>
      <c r="Z325" s="1177"/>
      <c r="AA325" s="1547"/>
      <c r="AB325" s="1177"/>
      <c r="AC325" s="1548"/>
      <c r="AD325" s="1549"/>
      <c r="AE325" s="1178"/>
      <c r="AF325" s="1179"/>
      <c r="AH325" s="104"/>
      <c r="AI325" s="1172"/>
      <c r="AJ325" s="1172"/>
      <c r="AK325" s="1172"/>
      <c r="AL325" s="1173"/>
      <c r="AM325" s="1174"/>
      <c r="AN325" s="1175"/>
      <c r="AO325" s="1176"/>
      <c r="AP325" s="1177"/>
      <c r="AQ325" s="1547"/>
      <c r="AR325" s="1177"/>
      <c r="AS325" s="1548"/>
      <c r="AT325" s="1549"/>
      <c r="AU325" s="1178"/>
      <c r="AV325" s="1179"/>
      <c r="AY325" s="3">
        <v>1</v>
      </c>
    </row>
    <row r="326" spans="2:51" ht="18.75">
      <c r="B326" s="104"/>
      <c r="C326" s="1172"/>
      <c r="D326" s="1172"/>
      <c r="E326" s="1172"/>
      <c r="F326" s="1173"/>
      <c r="G326" s="1174"/>
      <c r="H326" s="1175"/>
      <c r="I326" s="1176"/>
      <c r="J326" s="1177"/>
      <c r="K326" s="1547"/>
      <c r="L326" s="1177"/>
      <c r="M326" s="1548"/>
      <c r="N326" s="1549"/>
      <c r="O326" s="1178"/>
      <c r="P326" s="1179"/>
      <c r="R326" s="104"/>
      <c r="S326" s="1172"/>
      <c r="T326" s="1172"/>
      <c r="U326" s="1172"/>
      <c r="V326" s="1173"/>
      <c r="W326" s="1174"/>
      <c r="X326" s="1175"/>
      <c r="Y326" s="1176"/>
      <c r="Z326" s="1177"/>
      <c r="AA326" s="1547"/>
      <c r="AB326" s="1177"/>
      <c r="AC326" s="1548"/>
      <c r="AD326" s="1549"/>
      <c r="AE326" s="1178"/>
      <c r="AF326" s="1179"/>
      <c r="AH326" s="104"/>
      <c r="AI326" s="1172"/>
      <c r="AJ326" s="1172"/>
      <c r="AK326" s="1172"/>
      <c r="AL326" s="1173"/>
      <c r="AM326" s="1174"/>
      <c r="AN326" s="1175"/>
      <c r="AO326" s="1176"/>
      <c r="AP326" s="1177"/>
      <c r="AQ326" s="1547"/>
      <c r="AR326" s="1177"/>
      <c r="AS326" s="1548"/>
      <c r="AT326" s="1549"/>
      <c r="AU326" s="1178"/>
      <c r="AV326" s="1179"/>
      <c r="AY326" s="3">
        <v>1</v>
      </c>
    </row>
    <row r="327" spans="2:51" ht="18.75">
      <c r="B327" s="104"/>
      <c r="C327" s="1172"/>
      <c r="D327" s="1172"/>
      <c r="E327" s="1172"/>
      <c r="F327" s="1173"/>
      <c r="G327" s="1174"/>
      <c r="H327" s="1175"/>
      <c r="I327" s="1176"/>
      <c r="J327" s="1177"/>
      <c r="K327" s="1547"/>
      <c r="L327" s="1177"/>
      <c r="M327" s="1548"/>
      <c r="N327" s="1549"/>
      <c r="O327" s="1178"/>
      <c r="P327" s="1179"/>
      <c r="R327" s="104"/>
      <c r="S327" s="1172"/>
      <c r="T327" s="1172"/>
      <c r="U327" s="1172"/>
      <c r="V327" s="1173"/>
      <c r="W327" s="1174"/>
      <c r="X327" s="1175"/>
      <c r="Y327" s="1176"/>
      <c r="Z327" s="1177"/>
      <c r="AA327" s="1547"/>
      <c r="AB327" s="1177"/>
      <c r="AC327" s="1548"/>
      <c r="AD327" s="1549"/>
      <c r="AE327" s="1178"/>
      <c r="AF327" s="1179"/>
      <c r="AH327" s="104"/>
      <c r="AI327" s="1172"/>
      <c r="AJ327" s="1172"/>
      <c r="AK327" s="1172"/>
      <c r="AL327" s="1173"/>
      <c r="AM327" s="1174"/>
      <c r="AN327" s="1175"/>
      <c r="AO327" s="1176"/>
      <c r="AP327" s="1177"/>
      <c r="AQ327" s="1547"/>
      <c r="AR327" s="1177"/>
      <c r="AS327" s="1548"/>
      <c r="AT327" s="1549"/>
      <c r="AU327" s="1178"/>
      <c r="AV327" s="1179"/>
      <c r="AY327" s="3">
        <v>1</v>
      </c>
    </row>
    <row r="328" spans="2:51" ht="18.75">
      <c r="B328" s="104"/>
      <c r="C328" s="1172"/>
      <c r="D328" s="1172"/>
      <c r="E328" s="1172"/>
      <c r="F328" s="1173"/>
      <c r="G328" s="1174"/>
      <c r="H328" s="1175"/>
      <c r="I328" s="1176"/>
      <c r="J328" s="1177"/>
      <c r="K328" s="1547"/>
      <c r="L328" s="1177"/>
      <c r="M328" s="1548"/>
      <c r="N328" s="1549"/>
      <c r="O328" s="1178"/>
      <c r="P328" s="1179"/>
      <c r="R328" s="104"/>
      <c r="S328" s="1172"/>
      <c r="T328" s="1172"/>
      <c r="U328" s="1172"/>
      <c r="V328" s="1173"/>
      <c r="W328" s="1174"/>
      <c r="X328" s="1175"/>
      <c r="Y328" s="1176"/>
      <c r="Z328" s="1177"/>
      <c r="AA328" s="1547"/>
      <c r="AB328" s="1177"/>
      <c r="AC328" s="1548"/>
      <c r="AD328" s="1549"/>
      <c r="AE328" s="1178"/>
      <c r="AF328" s="1179"/>
      <c r="AH328" s="104"/>
      <c r="AI328" s="1172"/>
      <c r="AJ328" s="1172"/>
      <c r="AK328" s="1172"/>
      <c r="AL328" s="1173"/>
      <c r="AM328" s="1174"/>
      <c r="AN328" s="1175"/>
      <c r="AO328" s="1176"/>
      <c r="AP328" s="1177"/>
      <c r="AQ328" s="1547"/>
      <c r="AR328" s="1177"/>
      <c r="AS328" s="1548"/>
      <c r="AT328" s="1549"/>
      <c r="AU328" s="1178"/>
      <c r="AV328" s="1179"/>
      <c r="AY328" s="3">
        <v>1</v>
      </c>
    </row>
    <row r="329" spans="2:51" ht="18.75">
      <c r="B329" s="104"/>
      <c r="C329" s="1172"/>
      <c r="D329" s="1172"/>
      <c r="E329" s="1172"/>
      <c r="F329" s="1173"/>
      <c r="G329" s="1174"/>
      <c r="H329" s="1175"/>
      <c r="I329" s="1176"/>
      <c r="J329" s="1177"/>
      <c r="K329" s="1547"/>
      <c r="L329" s="1177"/>
      <c r="M329" s="1548"/>
      <c r="N329" s="1549"/>
      <c r="O329" s="1178"/>
      <c r="P329" s="1179"/>
      <c r="R329" s="104"/>
      <c r="S329" s="1172"/>
      <c r="T329" s="1172"/>
      <c r="U329" s="1172"/>
      <c r="V329" s="1173"/>
      <c r="W329" s="1174"/>
      <c r="X329" s="1175"/>
      <c r="Y329" s="1176"/>
      <c r="Z329" s="1177"/>
      <c r="AA329" s="1547"/>
      <c r="AB329" s="1177"/>
      <c r="AC329" s="1548"/>
      <c r="AD329" s="1549"/>
      <c r="AE329" s="1178"/>
      <c r="AF329" s="1179"/>
      <c r="AH329" s="104"/>
      <c r="AI329" s="1172"/>
      <c r="AJ329" s="1172"/>
      <c r="AK329" s="1172"/>
      <c r="AL329" s="1173"/>
      <c r="AM329" s="1174"/>
      <c r="AN329" s="1175"/>
      <c r="AO329" s="1176"/>
      <c r="AP329" s="1177"/>
      <c r="AQ329" s="1547"/>
      <c r="AR329" s="1177"/>
      <c r="AS329" s="1548"/>
      <c r="AT329" s="1549"/>
      <c r="AU329" s="1178"/>
      <c r="AV329" s="1179"/>
      <c r="AY329" s="3">
        <v>1</v>
      </c>
    </row>
    <row r="330" spans="2:51" ht="18.75">
      <c r="B330" s="104"/>
      <c r="C330" s="1172"/>
      <c r="D330" s="1172"/>
      <c r="E330" s="1172"/>
      <c r="F330" s="1173"/>
      <c r="G330" s="1174"/>
      <c r="H330" s="1175"/>
      <c r="I330" s="1176"/>
      <c r="J330" s="1177"/>
      <c r="K330" s="1547"/>
      <c r="L330" s="1177"/>
      <c r="M330" s="1548"/>
      <c r="N330" s="1549"/>
      <c r="O330" s="1178"/>
      <c r="P330" s="1179"/>
      <c r="R330" s="104"/>
      <c r="S330" s="1172"/>
      <c r="T330" s="1172"/>
      <c r="U330" s="1172"/>
      <c r="V330" s="1173"/>
      <c r="W330" s="1174"/>
      <c r="X330" s="1175"/>
      <c r="Y330" s="1176"/>
      <c r="Z330" s="1177"/>
      <c r="AA330" s="1547"/>
      <c r="AB330" s="1177"/>
      <c r="AC330" s="1548"/>
      <c r="AD330" s="1549"/>
      <c r="AE330" s="1178"/>
      <c r="AF330" s="1179"/>
      <c r="AH330" s="104"/>
      <c r="AI330" s="1172"/>
      <c r="AJ330" s="1172"/>
      <c r="AK330" s="1172"/>
      <c r="AL330" s="1173"/>
      <c r="AM330" s="1174"/>
      <c r="AN330" s="1175"/>
      <c r="AO330" s="1176"/>
      <c r="AP330" s="1177"/>
      <c r="AQ330" s="1547"/>
      <c r="AR330" s="1177"/>
      <c r="AS330" s="1548"/>
      <c r="AT330" s="1549"/>
      <c r="AU330" s="1178"/>
      <c r="AV330" s="1179"/>
      <c r="AY330" s="3">
        <v>1</v>
      </c>
    </row>
    <row r="331" spans="2:51" ht="18.75">
      <c r="B331" s="104"/>
      <c r="C331" s="1172"/>
      <c r="D331" s="1172"/>
      <c r="E331" s="1172"/>
      <c r="F331" s="1173"/>
      <c r="G331" s="1174"/>
      <c r="H331" s="1175"/>
      <c r="I331" s="1176"/>
      <c r="J331" s="1177"/>
      <c r="K331" s="1547"/>
      <c r="L331" s="1177"/>
      <c r="M331" s="1548"/>
      <c r="N331" s="1549"/>
      <c r="O331" s="1178"/>
      <c r="P331" s="1179"/>
      <c r="R331" s="104"/>
      <c r="S331" s="1172"/>
      <c r="T331" s="1172"/>
      <c r="U331" s="1172"/>
      <c r="V331" s="1173"/>
      <c r="W331" s="1174"/>
      <c r="X331" s="1175"/>
      <c r="Y331" s="1176"/>
      <c r="Z331" s="1177"/>
      <c r="AA331" s="1547"/>
      <c r="AB331" s="1177"/>
      <c r="AC331" s="1548"/>
      <c r="AD331" s="1549"/>
      <c r="AE331" s="1178"/>
      <c r="AF331" s="1179"/>
      <c r="AH331" s="104"/>
      <c r="AI331" s="1172"/>
      <c r="AJ331" s="1172"/>
      <c r="AK331" s="1172"/>
      <c r="AL331" s="1173"/>
      <c r="AM331" s="1174"/>
      <c r="AN331" s="1175"/>
      <c r="AO331" s="1176"/>
      <c r="AP331" s="1177"/>
      <c r="AQ331" s="1547"/>
      <c r="AR331" s="1177"/>
      <c r="AS331" s="1548"/>
      <c r="AT331" s="1549"/>
      <c r="AU331" s="1178"/>
      <c r="AV331" s="1179"/>
      <c r="AY331" s="3">
        <v>1</v>
      </c>
    </row>
    <row r="332" spans="2:51" ht="18.75">
      <c r="B332" s="104"/>
      <c r="C332" s="1172"/>
      <c r="D332" s="1172"/>
      <c r="E332" s="1172"/>
      <c r="F332" s="1173"/>
      <c r="G332" s="1174"/>
      <c r="H332" s="1175"/>
      <c r="I332" s="1176"/>
      <c r="J332" s="1177"/>
      <c r="K332" s="1547"/>
      <c r="L332" s="1177"/>
      <c r="M332" s="1548"/>
      <c r="N332" s="1549"/>
      <c r="O332" s="1178"/>
      <c r="P332" s="1179"/>
      <c r="R332" s="104"/>
      <c r="S332" s="1172"/>
      <c r="T332" s="1172"/>
      <c r="U332" s="1172"/>
      <c r="V332" s="1173"/>
      <c r="W332" s="1174"/>
      <c r="X332" s="1175"/>
      <c r="Y332" s="1176"/>
      <c r="Z332" s="1177"/>
      <c r="AA332" s="1547"/>
      <c r="AB332" s="1177"/>
      <c r="AC332" s="1548"/>
      <c r="AD332" s="1549"/>
      <c r="AE332" s="1178"/>
      <c r="AF332" s="1179"/>
      <c r="AH332" s="104"/>
      <c r="AI332" s="1172"/>
      <c r="AJ332" s="1172"/>
      <c r="AK332" s="1172"/>
      <c r="AL332" s="1173"/>
      <c r="AM332" s="1174"/>
      <c r="AN332" s="1175"/>
      <c r="AO332" s="1176"/>
      <c r="AP332" s="1177"/>
      <c r="AQ332" s="1547"/>
      <c r="AR332" s="1177"/>
      <c r="AS332" s="1548"/>
      <c r="AT332" s="1549"/>
      <c r="AU332" s="1178"/>
      <c r="AV332" s="1179"/>
      <c r="AY332" s="3">
        <v>1</v>
      </c>
    </row>
    <row r="333" spans="2:51" ht="18.75">
      <c r="B333" s="104"/>
      <c r="C333" s="1172"/>
      <c r="D333" s="1172"/>
      <c r="E333" s="1172"/>
      <c r="F333" s="1173"/>
      <c r="G333" s="1174"/>
      <c r="H333" s="1175"/>
      <c r="I333" s="1176"/>
      <c r="J333" s="1177"/>
      <c r="K333" s="1547"/>
      <c r="L333" s="1177"/>
      <c r="M333" s="1548"/>
      <c r="N333" s="1549"/>
      <c r="O333" s="1178"/>
      <c r="P333" s="1179"/>
      <c r="R333" s="104"/>
      <c r="S333" s="1172"/>
      <c r="T333" s="1172"/>
      <c r="U333" s="1172"/>
      <c r="V333" s="1173"/>
      <c r="W333" s="1174"/>
      <c r="X333" s="1175"/>
      <c r="Y333" s="1176"/>
      <c r="Z333" s="1177"/>
      <c r="AA333" s="1547"/>
      <c r="AB333" s="1177"/>
      <c r="AC333" s="1548"/>
      <c r="AD333" s="1549"/>
      <c r="AE333" s="1178"/>
      <c r="AF333" s="1179"/>
      <c r="AH333" s="104"/>
      <c r="AI333" s="1172"/>
      <c r="AJ333" s="1172"/>
      <c r="AK333" s="1172"/>
      <c r="AL333" s="1173"/>
      <c r="AM333" s="1174"/>
      <c r="AN333" s="1175"/>
      <c r="AO333" s="1176"/>
      <c r="AP333" s="1177"/>
      <c r="AQ333" s="1547"/>
      <c r="AR333" s="1177"/>
      <c r="AS333" s="1548"/>
      <c r="AT333" s="1549"/>
      <c r="AU333" s="1178"/>
      <c r="AV333" s="1179"/>
      <c r="AY333" s="3">
        <v>1</v>
      </c>
    </row>
    <row r="334" spans="2:51" ht="18.75">
      <c r="B334" s="104"/>
      <c r="C334" s="1172"/>
      <c r="D334" s="1172"/>
      <c r="E334" s="1172"/>
      <c r="F334" s="1173"/>
      <c r="G334" s="1174"/>
      <c r="H334" s="1175"/>
      <c r="I334" s="1176"/>
      <c r="J334" s="1177"/>
      <c r="K334" s="1547"/>
      <c r="L334" s="1177"/>
      <c r="M334" s="1548"/>
      <c r="N334" s="1549"/>
      <c r="O334" s="1178"/>
      <c r="P334" s="1179"/>
      <c r="R334" s="104"/>
      <c r="S334" s="1172"/>
      <c r="T334" s="1172"/>
      <c r="U334" s="1172"/>
      <c r="V334" s="1173"/>
      <c r="W334" s="1174"/>
      <c r="X334" s="1175"/>
      <c r="Y334" s="1176"/>
      <c r="Z334" s="1177"/>
      <c r="AA334" s="1547"/>
      <c r="AB334" s="1177"/>
      <c r="AC334" s="1548"/>
      <c r="AD334" s="1549"/>
      <c r="AE334" s="1178"/>
      <c r="AF334" s="1179"/>
      <c r="AH334" s="104"/>
      <c r="AI334" s="1172"/>
      <c r="AJ334" s="1172"/>
      <c r="AK334" s="1172"/>
      <c r="AL334" s="1173"/>
      <c r="AM334" s="1174"/>
      <c r="AN334" s="1175"/>
      <c r="AO334" s="1176"/>
      <c r="AP334" s="1177"/>
      <c r="AQ334" s="1547"/>
      <c r="AR334" s="1177"/>
      <c r="AS334" s="1548"/>
      <c r="AT334" s="1549"/>
      <c r="AU334" s="1178"/>
      <c r="AV334" s="1179"/>
      <c r="AY334" s="3">
        <v>1</v>
      </c>
    </row>
    <row r="335" spans="2:51" ht="18.75">
      <c r="B335" s="104"/>
      <c r="C335" s="1172"/>
      <c r="D335" s="1172"/>
      <c r="E335" s="1172"/>
      <c r="F335" s="1173"/>
      <c r="G335" s="1174"/>
      <c r="H335" s="1175"/>
      <c r="I335" s="1176"/>
      <c r="J335" s="1177"/>
      <c r="K335" s="1547"/>
      <c r="L335" s="1177"/>
      <c r="M335" s="1548"/>
      <c r="N335" s="1549"/>
      <c r="O335" s="1178"/>
      <c r="P335" s="1179"/>
      <c r="R335" s="104"/>
      <c r="S335" s="1172"/>
      <c r="T335" s="1172"/>
      <c r="U335" s="1172"/>
      <c r="V335" s="1173"/>
      <c r="W335" s="1174"/>
      <c r="X335" s="1175"/>
      <c r="Y335" s="1176"/>
      <c r="Z335" s="1177"/>
      <c r="AA335" s="1547"/>
      <c r="AB335" s="1177"/>
      <c r="AC335" s="1548"/>
      <c r="AD335" s="1549"/>
      <c r="AE335" s="1178"/>
      <c r="AF335" s="1179"/>
      <c r="AH335" s="104"/>
      <c r="AI335" s="1172"/>
      <c r="AJ335" s="1172"/>
      <c r="AK335" s="1172"/>
      <c r="AL335" s="1173"/>
      <c r="AM335" s="1174"/>
      <c r="AN335" s="1175"/>
      <c r="AO335" s="1176"/>
      <c r="AP335" s="1177"/>
      <c r="AQ335" s="1547"/>
      <c r="AR335" s="1177"/>
      <c r="AS335" s="1548"/>
      <c r="AT335" s="1549"/>
      <c r="AU335" s="1178"/>
      <c r="AV335" s="1179"/>
      <c r="AY335" s="3">
        <v>1</v>
      </c>
    </row>
    <row r="336" spans="2:51" ht="18.75">
      <c r="B336" s="104"/>
      <c r="C336" s="1172"/>
      <c r="D336" s="1172"/>
      <c r="E336" s="1172"/>
      <c r="F336" s="1173"/>
      <c r="G336" s="1174"/>
      <c r="H336" s="1175"/>
      <c r="I336" s="1176"/>
      <c r="J336" s="1177"/>
      <c r="K336" s="1547"/>
      <c r="L336" s="1177"/>
      <c r="M336" s="1548"/>
      <c r="N336" s="1549"/>
      <c r="O336" s="1178"/>
      <c r="P336" s="1179"/>
      <c r="R336" s="104"/>
      <c r="S336" s="1172"/>
      <c r="T336" s="1172"/>
      <c r="U336" s="1172"/>
      <c r="V336" s="1173"/>
      <c r="W336" s="1174"/>
      <c r="X336" s="1175"/>
      <c r="Y336" s="1176"/>
      <c r="Z336" s="1177"/>
      <c r="AA336" s="1547"/>
      <c r="AB336" s="1177"/>
      <c r="AC336" s="1548"/>
      <c r="AD336" s="1549"/>
      <c r="AE336" s="1178"/>
      <c r="AF336" s="1179"/>
      <c r="AH336" s="104"/>
      <c r="AI336" s="1172"/>
      <c r="AJ336" s="1172"/>
      <c r="AK336" s="1172"/>
      <c r="AL336" s="1173"/>
      <c r="AM336" s="1174"/>
      <c r="AN336" s="1175"/>
      <c r="AO336" s="1176"/>
      <c r="AP336" s="1177"/>
      <c r="AQ336" s="1547"/>
      <c r="AR336" s="1177"/>
      <c r="AS336" s="1548"/>
      <c r="AT336" s="1549"/>
      <c r="AU336" s="1178"/>
      <c r="AV336" s="1179"/>
      <c r="AY336" s="3">
        <v>1</v>
      </c>
    </row>
    <row r="337" spans="1:53" ht="18.75">
      <c r="B337" s="104"/>
      <c r="C337" s="1172"/>
      <c r="D337" s="1172"/>
      <c r="E337" s="1172"/>
      <c r="F337" s="1173"/>
      <c r="G337" s="1174"/>
      <c r="H337" s="1175"/>
      <c r="I337" s="1176"/>
      <c r="J337" s="1177"/>
      <c r="K337" s="1547"/>
      <c r="L337" s="1177"/>
      <c r="M337" s="1548"/>
      <c r="N337" s="1549"/>
      <c r="O337" s="1178"/>
      <c r="P337" s="1179"/>
      <c r="R337" s="104"/>
      <c r="S337" s="1172"/>
      <c r="T337" s="1172"/>
      <c r="U337" s="1172"/>
      <c r="V337" s="1173"/>
      <c r="W337" s="1174"/>
      <c r="X337" s="1175"/>
      <c r="Y337" s="1176"/>
      <c r="Z337" s="1177"/>
      <c r="AA337" s="1547"/>
      <c r="AB337" s="1177"/>
      <c r="AC337" s="1548"/>
      <c r="AD337" s="1549"/>
      <c r="AE337" s="1178"/>
      <c r="AF337" s="1179"/>
      <c r="AH337" s="104"/>
      <c r="AI337" s="1172"/>
      <c r="AJ337" s="1172"/>
      <c r="AK337" s="1172"/>
      <c r="AL337" s="1173"/>
      <c r="AM337" s="1174"/>
      <c r="AN337" s="1175"/>
      <c r="AO337" s="1176"/>
      <c r="AP337" s="1177"/>
      <c r="AQ337" s="1547"/>
      <c r="AR337" s="1177"/>
      <c r="AS337" s="1548"/>
      <c r="AT337" s="1549"/>
      <c r="AU337" s="1178"/>
      <c r="AV337" s="1179"/>
      <c r="AY337" s="3">
        <v>1</v>
      </c>
    </row>
    <row r="338" spans="1:53" ht="18.75">
      <c r="B338" s="104"/>
      <c r="C338" s="1172"/>
      <c r="D338" s="1172"/>
      <c r="E338" s="1172"/>
      <c r="F338" s="1173"/>
      <c r="G338" s="1174"/>
      <c r="H338" s="1175"/>
      <c r="I338" s="1176"/>
      <c r="J338" s="1177"/>
      <c r="K338" s="1547"/>
      <c r="L338" s="1177"/>
      <c r="M338" s="1548"/>
      <c r="N338" s="1549"/>
      <c r="O338" s="1178"/>
      <c r="P338" s="1179"/>
      <c r="R338" s="104"/>
      <c r="S338" s="1172"/>
      <c r="T338" s="1172"/>
      <c r="U338" s="1172"/>
      <c r="V338" s="1173"/>
      <c r="W338" s="1174"/>
      <c r="X338" s="1175"/>
      <c r="Y338" s="1176"/>
      <c r="Z338" s="1177"/>
      <c r="AA338" s="1547"/>
      <c r="AB338" s="1177"/>
      <c r="AC338" s="1548"/>
      <c r="AD338" s="1549"/>
      <c r="AE338" s="1178"/>
      <c r="AF338" s="1179"/>
      <c r="AH338" s="104"/>
      <c r="AI338" s="1172"/>
      <c r="AJ338" s="1172"/>
      <c r="AK338" s="1172"/>
      <c r="AL338" s="1173"/>
      <c r="AM338" s="1174"/>
      <c r="AN338" s="1175"/>
      <c r="AO338" s="1176"/>
      <c r="AP338" s="1177"/>
      <c r="AQ338" s="1547"/>
      <c r="AR338" s="1177"/>
      <c r="AS338" s="1548"/>
      <c r="AT338" s="1549"/>
      <c r="AU338" s="1178"/>
      <c r="AV338" s="1179"/>
      <c r="AY338" s="3">
        <v>1</v>
      </c>
    </row>
    <row r="339" spans="1:53" ht="18.75">
      <c r="B339" s="104"/>
      <c r="C339" s="1172"/>
      <c r="D339" s="1172"/>
      <c r="E339" s="1172"/>
      <c r="F339" s="1173"/>
      <c r="G339" s="1174"/>
      <c r="H339" s="1175"/>
      <c r="I339" s="1176"/>
      <c r="J339" s="1177"/>
      <c r="K339" s="1547"/>
      <c r="L339" s="1177"/>
      <c r="M339" s="1548"/>
      <c r="N339" s="1549"/>
      <c r="O339" s="1178"/>
      <c r="P339" s="1179"/>
      <c r="R339" s="104"/>
      <c r="S339" s="1172"/>
      <c r="T339" s="1172"/>
      <c r="U339" s="1172"/>
      <c r="V339" s="1173"/>
      <c r="W339" s="1174"/>
      <c r="X339" s="1175"/>
      <c r="Y339" s="1176"/>
      <c r="Z339" s="1177"/>
      <c r="AA339" s="1547"/>
      <c r="AB339" s="1177"/>
      <c r="AC339" s="1548"/>
      <c r="AD339" s="1549"/>
      <c r="AE339" s="1178"/>
      <c r="AF339" s="1179"/>
      <c r="AH339" s="104"/>
      <c r="AI339" s="1172"/>
      <c r="AJ339" s="1172"/>
      <c r="AK339" s="1172"/>
      <c r="AL339" s="1173"/>
      <c r="AM339" s="1174"/>
      <c r="AN339" s="1175"/>
      <c r="AO339" s="1176"/>
      <c r="AP339" s="1177"/>
      <c r="AQ339" s="1547"/>
      <c r="AR339" s="1177"/>
      <c r="AS339" s="1548"/>
      <c r="AT339" s="1549"/>
      <c r="AU339" s="1178"/>
      <c r="AV339" s="1179"/>
      <c r="AY339" s="3">
        <v>1</v>
      </c>
    </row>
    <row r="340" spans="1:53" ht="18.75">
      <c r="B340" s="104"/>
      <c r="C340" s="1172"/>
      <c r="D340" s="1172"/>
      <c r="E340" s="1172"/>
      <c r="F340" s="1173"/>
      <c r="G340" s="1174"/>
      <c r="H340" s="1175"/>
      <c r="I340" s="1176"/>
      <c r="J340" s="1177"/>
      <c r="K340" s="1547"/>
      <c r="L340" s="1177"/>
      <c r="M340" s="1548"/>
      <c r="N340" s="1549"/>
      <c r="O340" s="1178"/>
      <c r="P340" s="1179"/>
      <c r="R340" s="104"/>
      <c r="S340" s="1172"/>
      <c r="T340" s="1172"/>
      <c r="U340" s="1172"/>
      <c r="V340" s="1173"/>
      <c r="W340" s="1174"/>
      <c r="X340" s="1175"/>
      <c r="Y340" s="1176"/>
      <c r="Z340" s="1177"/>
      <c r="AA340" s="1547"/>
      <c r="AB340" s="1177"/>
      <c r="AC340" s="1548"/>
      <c r="AD340" s="1549"/>
      <c r="AE340" s="1178"/>
      <c r="AF340" s="1179"/>
      <c r="AH340" s="104"/>
      <c r="AI340" s="1172"/>
      <c r="AJ340" s="1172"/>
      <c r="AK340" s="1172"/>
      <c r="AL340" s="1173"/>
      <c r="AM340" s="1174"/>
      <c r="AN340" s="1175"/>
      <c r="AO340" s="1176"/>
      <c r="AP340" s="1177"/>
      <c r="AQ340" s="1547"/>
      <c r="AR340" s="1177"/>
      <c r="AS340" s="1548"/>
      <c r="AT340" s="1549"/>
      <c r="AU340" s="1178"/>
      <c r="AV340" s="1179"/>
      <c r="AY340" s="3">
        <v>1</v>
      </c>
    </row>
    <row r="341" spans="1:53" ht="18.75">
      <c r="B341" s="104"/>
      <c r="C341" s="1172"/>
      <c r="D341" s="1172"/>
      <c r="E341" s="1172"/>
      <c r="F341" s="1173"/>
      <c r="G341" s="1174"/>
      <c r="H341" s="1175"/>
      <c r="I341" s="1176"/>
      <c r="J341" s="1177"/>
      <c r="K341" s="1547"/>
      <c r="L341" s="1177"/>
      <c r="M341" s="1548"/>
      <c r="N341" s="1549"/>
      <c r="O341" s="1178"/>
      <c r="P341" s="1179"/>
      <c r="R341" s="104"/>
      <c r="S341" s="1172"/>
      <c r="T341" s="1172"/>
      <c r="U341" s="1172"/>
      <c r="V341" s="1173"/>
      <c r="W341" s="1174"/>
      <c r="X341" s="1175"/>
      <c r="Y341" s="1176"/>
      <c r="Z341" s="1177"/>
      <c r="AA341" s="1547"/>
      <c r="AB341" s="1177"/>
      <c r="AC341" s="1548"/>
      <c r="AD341" s="1549"/>
      <c r="AE341" s="1178"/>
      <c r="AF341" s="1179"/>
      <c r="AH341" s="104"/>
      <c r="AI341" s="1172"/>
      <c r="AJ341" s="1172"/>
      <c r="AK341" s="1172"/>
      <c r="AL341" s="1173"/>
      <c r="AM341" s="1174"/>
      <c r="AN341" s="1175"/>
      <c r="AO341" s="1176"/>
      <c r="AP341" s="1177"/>
      <c r="AQ341" s="1547"/>
      <c r="AR341" s="1177"/>
      <c r="AS341" s="1548"/>
      <c r="AT341" s="1549"/>
      <c r="AU341" s="1178"/>
      <c r="AV341" s="1179"/>
      <c r="AY341" s="3">
        <v>1</v>
      </c>
    </row>
    <row r="342" spans="1:53" ht="27" customHeight="1">
      <c r="B342" s="224" t="s">
        <v>11</v>
      </c>
      <c r="C342" s="224"/>
      <c r="D342" s="224"/>
      <c r="E342" s="224"/>
      <c r="F342" s="224"/>
      <c r="G342" s="224"/>
      <c r="H342" s="224"/>
      <c r="I342" s="224"/>
      <c r="J342" s="224"/>
      <c r="K342" s="224"/>
      <c r="L342" s="224"/>
      <c r="M342" s="224"/>
      <c r="N342" s="224"/>
      <c r="O342" s="224"/>
      <c r="P342" s="224"/>
      <c r="R342" s="224" t="s">
        <v>11</v>
      </c>
      <c r="S342" s="224"/>
      <c r="T342" s="224"/>
      <c r="U342" s="224"/>
      <c r="V342" s="224"/>
      <c r="W342" s="224"/>
      <c r="X342" s="224"/>
      <c r="Y342" s="224"/>
      <c r="Z342" s="224"/>
      <c r="AA342" s="224"/>
      <c r="AB342" s="224"/>
      <c r="AC342" s="224"/>
      <c r="AD342" s="224"/>
      <c r="AE342" s="224"/>
      <c r="AF342" s="224"/>
      <c r="AH342" s="224" t="s">
        <v>11</v>
      </c>
      <c r="AI342" s="224"/>
      <c r="AJ342" s="224"/>
      <c r="AK342" s="224"/>
      <c r="AL342" s="224"/>
      <c r="AM342" s="224"/>
      <c r="AN342" s="224"/>
      <c r="AO342" s="224"/>
      <c r="AP342" s="224"/>
      <c r="AQ342" s="224"/>
      <c r="AR342" s="224"/>
      <c r="AS342" s="224"/>
      <c r="AT342" s="224"/>
      <c r="AU342" s="224"/>
      <c r="AV342" s="224"/>
      <c r="AY342" s="708" t="s">
        <v>823</v>
      </c>
    </row>
    <row r="343" spans="1:53">
      <c r="A343" s="3">
        <v>1</v>
      </c>
      <c r="B343" s="3">
        <v>1</v>
      </c>
      <c r="C343" s="3">
        <v>1</v>
      </c>
      <c r="D343" s="3">
        <v>1</v>
      </c>
      <c r="E343" s="3">
        <v>1</v>
      </c>
      <c r="F343" s="3">
        <v>1</v>
      </c>
      <c r="G343" s="3">
        <v>1</v>
      </c>
      <c r="H343" s="3">
        <v>1</v>
      </c>
      <c r="I343" s="3">
        <v>1</v>
      </c>
      <c r="J343" s="3">
        <v>1</v>
      </c>
      <c r="K343" s="3">
        <v>1</v>
      </c>
      <c r="L343" s="3">
        <v>1</v>
      </c>
      <c r="M343" s="3">
        <v>1</v>
      </c>
      <c r="N343" s="3">
        <v>1</v>
      </c>
      <c r="O343" s="3">
        <v>1</v>
      </c>
      <c r="P343" s="3">
        <v>1</v>
      </c>
      <c r="Q343" s="3">
        <v>1</v>
      </c>
      <c r="R343" s="3">
        <v>1</v>
      </c>
      <c r="S343" s="3">
        <v>1</v>
      </c>
      <c r="T343" s="3">
        <v>1</v>
      </c>
      <c r="U343" s="3">
        <v>1</v>
      </c>
      <c r="V343" s="3">
        <v>1</v>
      </c>
      <c r="W343" s="3">
        <v>1</v>
      </c>
      <c r="X343" s="3">
        <v>1</v>
      </c>
      <c r="Y343" s="3">
        <v>1</v>
      </c>
      <c r="Z343" s="3">
        <v>1</v>
      </c>
      <c r="AA343" s="3">
        <v>1</v>
      </c>
      <c r="AB343" s="3">
        <v>1</v>
      </c>
      <c r="AC343" s="3">
        <v>1</v>
      </c>
      <c r="AD343" s="3">
        <v>1</v>
      </c>
      <c r="AE343" s="3">
        <v>1</v>
      </c>
      <c r="AF343" s="3">
        <v>1</v>
      </c>
      <c r="AG343" s="3">
        <v>1</v>
      </c>
      <c r="AH343" s="3">
        <v>1</v>
      </c>
      <c r="AI343" s="3">
        <v>1</v>
      </c>
      <c r="AJ343" s="3">
        <v>1</v>
      </c>
      <c r="AK343" s="3">
        <v>1</v>
      </c>
      <c r="AL343" s="3">
        <v>1</v>
      </c>
      <c r="AM343" s="3">
        <v>1</v>
      </c>
      <c r="AN343" s="3">
        <v>1</v>
      </c>
      <c r="AO343" s="3">
        <v>1</v>
      </c>
      <c r="AP343" s="3">
        <v>1</v>
      </c>
      <c r="AQ343" s="3">
        <v>1</v>
      </c>
      <c r="AR343" s="3">
        <v>1</v>
      </c>
      <c r="AS343" s="3">
        <v>1</v>
      </c>
      <c r="AT343" s="3">
        <v>1</v>
      </c>
      <c r="AU343" s="3">
        <v>1</v>
      </c>
      <c r="AV343" s="3">
        <v>1</v>
      </c>
      <c r="AW343" s="3">
        <v>1</v>
      </c>
      <c r="AX343" s="3">
        <v>1</v>
      </c>
      <c r="AY343" s="1" t="str">
        <f>ADDRESS(ROW(),COLUMN(),4)</f>
        <v>AY343</v>
      </c>
      <c r="AZ343" s="710"/>
      <c r="BA343" s="711" t="str">
        <f>ADDRESS(ROW(),COLUMN(),4)</f>
        <v>BA343</v>
      </c>
    </row>
  </sheetData>
  <mergeCells count="14">
    <mergeCell ref="AT4:AV7"/>
    <mergeCell ref="H10:M11"/>
    <mergeCell ref="N10:O11"/>
    <mergeCell ref="P10:P11"/>
    <mergeCell ref="K13:M14"/>
    <mergeCell ref="O14:P14"/>
    <mergeCell ref="O18:O19"/>
    <mergeCell ref="P18:P19"/>
    <mergeCell ref="I15:J15"/>
    <mergeCell ref="I16:K16"/>
    <mergeCell ref="J18:J19"/>
    <mergeCell ref="K18:K19"/>
    <mergeCell ref="L18:L19"/>
    <mergeCell ref="N18:N19"/>
  </mergeCells>
  <conditionalFormatting sqref="L20:L29">
    <cfRule type="cellIs" dxfId="45" priority="1" operator="notEqual">
      <formula>1</formula>
    </cfRule>
  </conditionalFormatting>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EF6488-4C82-48DB-8549-6ECBECFABD85}">
  <dimension ref="A1:BA343"/>
  <sheetViews>
    <sheetView showZeros="0" workbookViewId="0">
      <selection activeCell="A9" sqref="A9"/>
    </sheetView>
  </sheetViews>
  <sheetFormatPr baseColWidth="10" defaultRowHeight="15"/>
  <cols>
    <col min="1" max="1" width="2.85546875" customWidth="1"/>
    <col min="2" max="6" width="3.7109375" customWidth="1"/>
    <col min="7" max="8" width="12.7109375" customWidth="1"/>
    <col min="9" max="9" width="3.7109375" customWidth="1"/>
    <col min="10" max="10" width="9.7109375" customWidth="1"/>
    <col min="11" max="11" width="12.7109375" customWidth="1"/>
    <col min="12" max="12" width="13.7109375" customWidth="1"/>
    <col min="13" max="13" width="40.7109375" customWidth="1"/>
    <col min="14" max="14" width="10.7109375" customWidth="1"/>
    <col min="15" max="15" width="9.7109375" customWidth="1"/>
    <col min="16" max="16" width="13.7109375" customWidth="1"/>
    <col min="17" max="17" width="6.140625" customWidth="1"/>
    <col min="18" max="22" width="3.7109375" customWidth="1"/>
    <col min="23" max="24" width="12.7109375" customWidth="1"/>
    <col min="25" max="25" width="3.7109375" customWidth="1"/>
    <col min="26" max="26" width="9.7109375" customWidth="1"/>
    <col min="27" max="27" width="12.7109375" customWidth="1"/>
    <col min="28" max="28" width="13.7109375" customWidth="1"/>
    <col min="29" max="29" width="40.7109375" customWidth="1"/>
    <col min="30" max="30" width="10.7109375" customWidth="1"/>
    <col min="31" max="31" width="9.7109375" customWidth="1"/>
    <col min="32" max="32" width="13.7109375" customWidth="1"/>
    <col min="33" max="33" width="5.7109375" customWidth="1"/>
    <col min="34" max="38" width="3.7109375" customWidth="1"/>
    <col min="39" max="40" width="12.7109375" customWidth="1"/>
    <col min="41" max="41" width="3.7109375" customWidth="1"/>
    <col min="42" max="42" width="9.7109375" customWidth="1"/>
    <col min="43" max="43" width="12.7109375" customWidth="1"/>
    <col min="44" max="44" width="13.7109375" customWidth="1"/>
    <col min="45" max="45" width="40.7109375" customWidth="1"/>
    <col min="46" max="46" width="10.7109375" customWidth="1"/>
    <col min="47" max="47" width="9.7109375" customWidth="1"/>
    <col min="48" max="48" width="13.7109375" customWidth="1"/>
    <col min="51" max="51" width="5.42578125" customWidth="1"/>
    <col min="53" max="53" width="86" customWidth="1"/>
  </cols>
  <sheetData>
    <row r="1" spans="1:53" ht="15.75" thickTop="1">
      <c r="A1" s="1" t="str">
        <f>ADDRESS(ROW(),COLUMN(),4)</f>
        <v>A1</v>
      </c>
      <c r="B1" s="2" t="str">
        <f t="shared" ref="B1:AV1" si="0">SUBSTITUTE(ADDRESS(1,COLUMN(),4),"1","")</f>
        <v>B</v>
      </c>
      <c r="C1" s="2" t="str">
        <f t="shared" si="0"/>
        <v>C</v>
      </c>
      <c r="D1" s="2" t="str">
        <f t="shared" si="0"/>
        <v>D</v>
      </c>
      <c r="E1" s="2" t="str">
        <f t="shared" si="0"/>
        <v>E</v>
      </c>
      <c r="F1" s="2" t="str">
        <f t="shared" si="0"/>
        <v>F</v>
      </c>
      <c r="G1" s="2" t="str">
        <f t="shared" si="0"/>
        <v>G</v>
      </c>
      <c r="H1" s="2" t="str">
        <f t="shared" si="0"/>
        <v>H</v>
      </c>
      <c r="I1" s="2" t="str">
        <f t="shared" si="0"/>
        <v>I</v>
      </c>
      <c r="J1" s="2" t="str">
        <f t="shared" si="0"/>
        <v>J</v>
      </c>
      <c r="K1" s="2" t="str">
        <f t="shared" si="0"/>
        <v>K</v>
      </c>
      <c r="L1" s="2" t="str">
        <f t="shared" si="0"/>
        <v>L</v>
      </c>
      <c r="M1" s="2" t="str">
        <f t="shared" si="0"/>
        <v>M</v>
      </c>
      <c r="N1" s="2" t="str">
        <f t="shared" si="0"/>
        <v>N</v>
      </c>
      <c r="O1" s="2" t="str">
        <f t="shared" si="0"/>
        <v>O</v>
      </c>
      <c r="P1" s="2" t="str">
        <f t="shared" si="0"/>
        <v>P</v>
      </c>
      <c r="R1" s="2" t="str">
        <f t="shared" si="0"/>
        <v>R</v>
      </c>
      <c r="S1" s="2" t="str">
        <f t="shared" si="0"/>
        <v>S</v>
      </c>
      <c r="T1" s="2" t="str">
        <f t="shared" si="0"/>
        <v>T</v>
      </c>
      <c r="U1" s="2" t="str">
        <f t="shared" si="0"/>
        <v>U</v>
      </c>
      <c r="V1" s="2" t="str">
        <f t="shared" si="0"/>
        <v>V</v>
      </c>
      <c r="W1" s="2" t="str">
        <f t="shared" si="0"/>
        <v>W</v>
      </c>
      <c r="X1" s="2" t="str">
        <f t="shared" si="0"/>
        <v>X</v>
      </c>
      <c r="Y1" s="2" t="str">
        <f t="shared" si="0"/>
        <v>Y</v>
      </c>
      <c r="Z1" s="2" t="str">
        <f t="shared" si="0"/>
        <v>Z</v>
      </c>
      <c r="AA1" s="2" t="str">
        <f t="shared" si="0"/>
        <v>AA</v>
      </c>
      <c r="AB1" s="2" t="str">
        <f t="shared" si="0"/>
        <v>AB</v>
      </c>
      <c r="AC1" s="2" t="str">
        <f t="shared" si="0"/>
        <v>AC</v>
      </c>
      <c r="AD1" s="2" t="str">
        <f t="shared" si="0"/>
        <v>AD</v>
      </c>
      <c r="AE1" s="2" t="str">
        <f t="shared" si="0"/>
        <v>AE</v>
      </c>
      <c r="AF1" s="2" t="str">
        <f t="shared" si="0"/>
        <v>AF</v>
      </c>
      <c r="AH1" s="2" t="str">
        <f t="shared" si="0"/>
        <v>AH</v>
      </c>
      <c r="AI1" s="2" t="str">
        <f t="shared" si="0"/>
        <v>AI</v>
      </c>
      <c r="AJ1" s="2" t="str">
        <f t="shared" si="0"/>
        <v>AJ</v>
      </c>
      <c r="AK1" s="2" t="str">
        <f t="shared" si="0"/>
        <v>AK</v>
      </c>
      <c r="AL1" s="2" t="str">
        <f t="shared" si="0"/>
        <v>AL</v>
      </c>
      <c r="AM1" s="2" t="str">
        <f t="shared" si="0"/>
        <v>AM</v>
      </c>
      <c r="AN1" s="2" t="str">
        <f t="shared" si="0"/>
        <v>AN</v>
      </c>
      <c r="AO1" s="2" t="str">
        <f t="shared" si="0"/>
        <v>AO</v>
      </c>
      <c r="AP1" s="2" t="str">
        <f t="shared" si="0"/>
        <v>AP</v>
      </c>
      <c r="AQ1" s="2" t="str">
        <f t="shared" si="0"/>
        <v>AQ</v>
      </c>
      <c r="AR1" s="2" t="str">
        <f t="shared" si="0"/>
        <v>AR</v>
      </c>
      <c r="AS1" s="2" t="str">
        <f t="shared" si="0"/>
        <v>AS</v>
      </c>
      <c r="AT1" s="2" t="str">
        <f t="shared" si="0"/>
        <v>AT</v>
      </c>
      <c r="AU1" s="2" t="str">
        <f t="shared" si="0"/>
        <v>AU</v>
      </c>
      <c r="AV1" s="2" t="str">
        <f t="shared" si="0"/>
        <v>AV</v>
      </c>
      <c r="AY1" s="3">
        <v>1</v>
      </c>
      <c r="AZ1" s="4" t="str">
        <f>SUBSTITUTE(ADDRESS(1,COLUMN(),4),"1","")</f>
        <v>AZ</v>
      </c>
      <c r="BA1" s="5" t="str">
        <f>SUBSTITUTE(ADDRESS(1,COLUMN(),4),"1","")</f>
        <v>BA</v>
      </c>
    </row>
    <row r="2" spans="1:53">
      <c r="B2" s="922">
        <f t="shared" ref="B2:AV2" ca="1" si="1">CELL("largeur",B2)</f>
        <v>3</v>
      </c>
      <c r="C2" s="922">
        <f t="shared" ca="1" si="1"/>
        <v>3</v>
      </c>
      <c r="D2" s="922">
        <f t="shared" ca="1" si="1"/>
        <v>3</v>
      </c>
      <c r="E2" s="922">
        <f t="shared" ca="1" si="1"/>
        <v>3</v>
      </c>
      <c r="F2" s="922">
        <f t="shared" ca="1" si="1"/>
        <v>3</v>
      </c>
      <c r="G2" s="922">
        <f t="shared" ca="1" si="1"/>
        <v>12</v>
      </c>
      <c r="H2" s="922">
        <f t="shared" ca="1" si="1"/>
        <v>12</v>
      </c>
      <c r="I2" s="922">
        <f t="shared" ca="1" si="1"/>
        <v>3</v>
      </c>
      <c r="J2" s="922">
        <f t="shared" ca="1" si="1"/>
        <v>9</v>
      </c>
      <c r="K2" s="922">
        <f t="shared" ca="1" si="1"/>
        <v>12</v>
      </c>
      <c r="L2" s="922">
        <f t="shared" ca="1" si="1"/>
        <v>13</v>
      </c>
      <c r="M2" s="922">
        <f t="shared" ca="1" si="1"/>
        <v>40</v>
      </c>
      <c r="N2" s="922">
        <f t="shared" ca="1" si="1"/>
        <v>10</v>
      </c>
      <c r="O2" s="922">
        <f t="shared" ca="1" si="1"/>
        <v>9</v>
      </c>
      <c r="P2" s="922">
        <f t="shared" ca="1" si="1"/>
        <v>13</v>
      </c>
      <c r="R2" s="922">
        <f t="shared" ca="1" si="1"/>
        <v>3</v>
      </c>
      <c r="S2" s="922">
        <f t="shared" ca="1" si="1"/>
        <v>3</v>
      </c>
      <c r="T2" s="922">
        <f t="shared" ca="1" si="1"/>
        <v>3</v>
      </c>
      <c r="U2" s="922">
        <f t="shared" ca="1" si="1"/>
        <v>3</v>
      </c>
      <c r="V2" s="922">
        <f t="shared" ca="1" si="1"/>
        <v>3</v>
      </c>
      <c r="W2" s="922">
        <f t="shared" ca="1" si="1"/>
        <v>12</v>
      </c>
      <c r="X2" s="922">
        <f t="shared" ca="1" si="1"/>
        <v>12</v>
      </c>
      <c r="Y2" s="922">
        <f t="shared" ca="1" si="1"/>
        <v>3</v>
      </c>
      <c r="Z2" s="922">
        <f t="shared" ca="1" si="1"/>
        <v>9</v>
      </c>
      <c r="AA2" s="922">
        <f t="shared" ca="1" si="1"/>
        <v>12</v>
      </c>
      <c r="AB2" s="922">
        <f t="shared" ca="1" si="1"/>
        <v>13</v>
      </c>
      <c r="AC2" s="922">
        <f t="shared" ca="1" si="1"/>
        <v>40</v>
      </c>
      <c r="AD2" s="922">
        <f t="shared" ca="1" si="1"/>
        <v>10</v>
      </c>
      <c r="AE2" s="922">
        <f t="shared" ca="1" si="1"/>
        <v>9</v>
      </c>
      <c r="AF2" s="922">
        <f t="shared" ca="1" si="1"/>
        <v>13</v>
      </c>
      <c r="AH2" s="922">
        <f t="shared" ca="1" si="1"/>
        <v>3</v>
      </c>
      <c r="AI2" s="922">
        <f t="shared" ca="1" si="1"/>
        <v>3</v>
      </c>
      <c r="AJ2" s="922">
        <f t="shared" ca="1" si="1"/>
        <v>3</v>
      </c>
      <c r="AK2" s="922">
        <f t="shared" ca="1" si="1"/>
        <v>3</v>
      </c>
      <c r="AL2" s="922">
        <f t="shared" ca="1" si="1"/>
        <v>3</v>
      </c>
      <c r="AM2" s="922">
        <f t="shared" ca="1" si="1"/>
        <v>12</v>
      </c>
      <c r="AN2" s="922">
        <f t="shared" ca="1" si="1"/>
        <v>12</v>
      </c>
      <c r="AO2" s="922">
        <f t="shared" ca="1" si="1"/>
        <v>3</v>
      </c>
      <c r="AP2" s="922">
        <f t="shared" ca="1" si="1"/>
        <v>9</v>
      </c>
      <c r="AQ2" s="922">
        <f t="shared" ca="1" si="1"/>
        <v>12</v>
      </c>
      <c r="AR2" s="922">
        <f t="shared" ca="1" si="1"/>
        <v>13</v>
      </c>
      <c r="AS2" s="922">
        <f t="shared" ca="1" si="1"/>
        <v>40</v>
      </c>
      <c r="AT2" s="922">
        <f t="shared" ca="1" si="1"/>
        <v>10</v>
      </c>
      <c r="AU2" s="922">
        <f t="shared" ca="1" si="1"/>
        <v>9</v>
      </c>
      <c r="AV2" s="922">
        <f t="shared" ca="1" si="1"/>
        <v>13</v>
      </c>
      <c r="AW2" s="1127" t="s">
        <v>1978</v>
      </c>
      <c r="AY2" s="3">
        <v>1</v>
      </c>
      <c r="AZ2" s="7" t="s">
        <v>3</v>
      </c>
      <c r="BA2" s="8"/>
    </row>
    <row r="3" spans="1:53" ht="19.5" customHeight="1" thickBot="1">
      <c r="B3" s="923">
        <v>3</v>
      </c>
      <c r="C3" s="923">
        <v>3</v>
      </c>
      <c r="D3" s="923">
        <v>3</v>
      </c>
      <c r="E3" s="923">
        <v>3</v>
      </c>
      <c r="F3" s="923">
        <v>3</v>
      </c>
      <c r="G3" s="923">
        <v>12</v>
      </c>
      <c r="H3" s="923">
        <v>12</v>
      </c>
      <c r="I3" s="923">
        <v>3</v>
      </c>
      <c r="J3" s="923">
        <v>9</v>
      </c>
      <c r="K3" s="923">
        <v>12</v>
      </c>
      <c r="L3" s="923">
        <v>13</v>
      </c>
      <c r="M3" s="923">
        <v>40</v>
      </c>
      <c r="N3" s="923">
        <v>10</v>
      </c>
      <c r="O3" s="923">
        <v>9</v>
      </c>
      <c r="P3" s="923">
        <v>13</v>
      </c>
      <c r="Q3" s="1149">
        <v>1</v>
      </c>
      <c r="R3" s="923">
        <v>3</v>
      </c>
      <c r="S3" s="923">
        <v>3</v>
      </c>
      <c r="T3" s="923">
        <v>3</v>
      </c>
      <c r="U3" s="923">
        <v>3</v>
      </c>
      <c r="V3" s="923">
        <v>3</v>
      </c>
      <c r="W3" s="923">
        <v>12</v>
      </c>
      <c r="X3" s="923">
        <v>12</v>
      </c>
      <c r="Y3" s="923">
        <v>3</v>
      </c>
      <c r="Z3" s="923">
        <v>9</v>
      </c>
      <c r="AA3" s="923">
        <v>12</v>
      </c>
      <c r="AB3" s="923">
        <v>13</v>
      </c>
      <c r="AC3" s="923">
        <v>40</v>
      </c>
      <c r="AD3" s="923">
        <v>10</v>
      </c>
      <c r="AE3" s="923">
        <v>9</v>
      </c>
      <c r="AF3" s="923">
        <v>13</v>
      </c>
      <c r="AG3" s="1149"/>
      <c r="AH3" s="923">
        <v>3</v>
      </c>
      <c r="AI3" s="923">
        <v>3</v>
      </c>
      <c r="AJ3" s="923">
        <v>3</v>
      </c>
      <c r="AK3" s="923">
        <v>3</v>
      </c>
      <c r="AL3" s="923">
        <v>3</v>
      </c>
      <c r="AM3" s="923">
        <v>12</v>
      </c>
      <c r="AN3" s="923">
        <v>12</v>
      </c>
      <c r="AO3" s="923">
        <v>3</v>
      </c>
      <c r="AP3" s="923">
        <v>9</v>
      </c>
      <c r="AQ3" s="923">
        <v>12</v>
      </c>
      <c r="AR3" s="923">
        <v>13</v>
      </c>
      <c r="AS3" s="923">
        <v>40</v>
      </c>
      <c r="AT3" s="923">
        <v>10</v>
      </c>
      <c r="AU3" s="923">
        <v>9</v>
      </c>
      <c r="AV3" s="923">
        <v>13</v>
      </c>
      <c r="AW3" s="1127" t="s">
        <v>1381</v>
      </c>
      <c r="AY3" s="3">
        <v>1</v>
      </c>
      <c r="AZ3" s="11">
        <f ca="1">COUNTA(A1:AX343) + COUNTBLANK(A1:AX343)</f>
        <v>17214</v>
      </c>
      <c r="BA3" s="12" t="str">
        <f>"cellules entre -cells -celdas  "&amp;" " &amp;A1&amp;" et  "&amp;AY343</f>
        <v>cellules entre -cells -celdas   A1 et  AY343</v>
      </c>
    </row>
    <row r="4" spans="1:53" s="1150" customFormat="1" ht="27" customHeight="1">
      <c r="B4" s="1550" t="s">
        <v>2623</v>
      </c>
      <c r="C4" s="1551"/>
      <c r="D4" s="1551"/>
      <c r="E4" s="1551"/>
      <c r="F4" s="1551"/>
      <c r="G4" s="1551"/>
      <c r="H4" s="1551"/>
      <c r="I4" s="1551"/>
      <c r="J4" s="1551"/>
      <c r="K4" s="1551"/>
      <c r="L4" s="1551"/>
      <c r="M4" s="1551"/>
      <c r="N4" s="1551"/>
      <c r="O4" s="1551"/>
      <c r="P4" s="1551"/>
      <c r="Q4" s="1551"/>
      <c r="R4" s="1551"/>
      <c r="S4" s="1551"/>
      <c r="T4" s="1551"/>
      <c r="U4" s="1551"/>
      <c r="V4" s="1551"/>
      <c r="W4" s="1551"/>
      <c r="X4" s="1551"/>
      <c r="Y4" s="1551"/>
      <c r="Z4" s="1551"/>
      <c r="AA4" s="1551"/>
      <c r="AB4" s="1551"/>
      <c r="AC4" s="1551"/>
      <c r="AD4" s="1551"/>
      <c r="AE4" s="1551"/>
      <c r="AF4" s="1551"/>
      <c r="AG4" s="1551"/>
      <c r="AH4" s="1551"/>
      <c r="AI4" s="1551"/>
      <c r="AJ4" s="1551"/>
      <c r="AK4" s="1551"/>
      <c r="AL4" s="1551"/>
      <c r="AM4" s="1551"/>
      <c r="AN4" s="1551"/>
      <c r="AO4" s="1551"/>
      <c r="AP4" s="1551"/>
      <c r="AQ4" s="1551"/>
      <c r="AR4" s="1551"/>
      <c r="AS4" s="1551"/>
      <c r="AT4" s="5740" t="s">
        <v>3565</v>
      </c>
      <c r="AU4" s="5740"/>
      <c r="AV4" s="5741"/>
      <c r="AY4" s="3">
        <v>1</v>
      </c>
      <c r="AZ4" s="11">
        <f ca="1">COUNTA(A1:AX343)</f>
        <v>1623</v>
      </c>
      <c r="BA4" s="12" t="s">
        <v>10</v>
      </c>
    </row>
    <row r="5" spans="1:53" ht="27" customHeight="1">
      <c r="B5" s="1552"/>
      <c r="C5" s="1553"/>
      <c r="D5" s="5306" t="str">
        <f>IF(ISNUMBER(IFERROR(VALUE("0,5"),"")),"sur cet ordi.saisissez une VIRGULE comme séparateur décimal",IF(ISNUMBER(IFERROR(VALUE("0.5"),"")),"sur cet ordi.saisissez un POINT comme séparateur décimal","Impossible de déterminer le séparateur décimal"))</f>
        <v>sur cet ordi.saisissez un POINT comme séparateur décimal</v>
      </c>
      <c r="E5" s="1553"/>
      <c r="F5" s="1553"/>
      <c r="G5" s="1553"/>
      <c r="H5" s="1553"/>
      <c r="I5" s="1553"/>
      <c r="J5" s="1553"/>
      <c r="K5" s="1553"/>
      <c r="L5" s="1553"/>
      <c r="M5" s="1553"/>
      <c r="N5" s="5307" t="str">
        <f>IF(ISNUMBER(IFERROR(VALUE("0,5"),"")),"On this computer, type a COMMA as the decimal separator",IF(ISNUMBER(IFERROR(VALUE("0.5"),"")),"On this computer, type a POINT as the decimal separator","Unable to determine the decimal separator"))</f>
        <v>On this computer, type a POINT as the decimal separator</v>
      </c>
      <c r="O5" s="1553"/>
      <c r="P5" s="1553"/>
      <c r="Q5" s="1553"/>
      <c r="R5" s="1553"/>
      <c r="S5" s="1553"/>
      <c r="T5" s="1553"/>
      <c r="U5" s="1553"/>
      <c r="V5" s="1553"/>
      <c r="W5" s="1553"/>
      <c r="X5" s="1553"/>
      <c r="Y5" s="1553"/>
      <c r="Z5" s="1553"/>
      <c r="AA5" s="1553"/>
      <c r="AB5" s="1553"/>
      <c r="AC5" s="5307" t="str">
        <f>IF(ISNUMBER(IFERROR(VALUE("0,5"),""))," En este ordenador, escriba una COMA como separador decimal",IF(ISNUMBER(IFERROR(VALUE("0.5"),"")),"En este ordenador, escriba un PUNTO como separador decimal","No es posible determinar el separador decimal"))</f>
        <v>En este ordenador, escriba un PUNTO como separador decimal</v>
      </c>
      <c r="AD5" s="1553"/>
      <c r="AE5" s="1553"/>
      <c r="AF5" s="1553"/>
      <c r="AG5" s="1553"/>
      <c r="AH5" s="1553"/>
      <c r="AI5" s="1553"/>
      <c r="AJ5" s="1553"/>
      <c r="AK5" s="1553"/>
      <c r="AL5" s="1553"/>
      <c r="AM5" s="1553"/>
      <c r="AN5" s="1553"/>
      <c r="AO5" s="1553"/>
      <c r="AP5" s="1553"/>
      <c r="AQ5" s="1553"/>
      <c r="AR5" s="1553"/>
      <c r="AS5" s="1553"/>
      <c r="AT5" s="5742"/>
      <c r="AU5" s="5742"/>
      <c r="AV5" s="5743"/>
      <c r="AY5" s="3">
        <v>1</v>
      </c>
      <c r="AZ5" s="11">
        <f ca="1">COUNTBLANK(A1:AX343)</f>
        <v>15591</v>
      </c>
      <c r="BA5" s="12" t="s">
        <v>13</v>
      </c>
    </row>
    <row r="6" spans="1:53" ht="27" customHeight="1">
      <c r="B6" s="1153" t="s">
        <v>13494</v>
      </c>
      <c r="C6" s="1154"/>
      <c r="D6" s="1154"/>
      <c r="E6" s="1154"/>
      <c r="F6" s="1154"/>
      <c r="G6" s="1154"/>
      <c r="H6" s="1154"/>
      <c r="I6" s="1154"/>
      <c r="J6" s="1154"/>
      <c r="K6" s="1154"/>
      <c r="L6" s="1154"/>
      <c r="M6" s="1154"/>
      <c r="N6" s="1154" t="s">
        <v>13495</v>
      </c>
      <c r="O6" s="1154"/>
      <c r="P6" s="1154"/>
      <c r="Q6" s="1154"/>
      <c r="R6" s="1154"/>
      <c r="S6" s="1154"/>
      <c r="T6" s="1154"/>
      <c r="U6" s="1154"/>
      <c r="V6" s="1154"/>
      <c r="W6" s="1154"/>
      <c r="X6" s="1154"/>
      <c r="Y6" s="1154"/>
      <c r="Z6" s="1154"/>
      <c r="AA6" s="1154"/>
      <c r="AB6" s="1154" t="s">
        <v>13496</v>
      </c>
      <c r="AC6" s="1154"/>
      <c r="AD6" s="1154"/>
      <c r="AE6" s="1154"/>
      <c r="AF6" s="1154"/>
      <c r="AG6" s="1154"/>
      <c r="AH6" s="1154"/>
      <c r="AI6" s="1154"/>
      <c r="AJ6" s="1154"/>
      <c r="AK6" s="1155"/>
      <c r="AL6" s="1155"/>
      <c r="AM6" s="1155"/>
      <c r="AN6" s="1155"/>
      <c r="AO6" s="1155"/>
      <c r="AP6" s="1155"/>
      <c r="AQ6" s="1155"/>
      <c r="AR6" s="1155"/>
      <c r="AS6" s="1155"/>
      <c r="AT6" s="5742"/>
      <c r="AU6" s="5742"/>
      <c r="AV6" s="5743"/>
      <c r="AY6" s="3">
        <v>1</v>
      </c>
      <c r="AZ6" s="11">
        <f>SUM(AY1:AY341)+2</f>
        <v>340</v>
      </c>
      <c r="BA6" s="12" t="s">
        <v>15</v>
      </c>
    </row>
    <row r="7" spans="1:53" ht="27" customHeight="1" thickBot="1">
      <c r="B7" s="1153" t="s">
        <v>2624</v>
      </c>
      <c r="C7" s="1156"/>
      <c r="D7" s="1156"/>
      <c r="E7" s="1156"/>
      <c r="F7" s="1156"/>
      <c r="G7" s="1156"/>
      <c r="H7" s="1156"/>
      <c r="I7" s="1156"/>
      <c r="J7" s="1156"/>
      <c r="K7" s="1156"/>
      <c r="L7" s="1156"/>
      <c r="M7" s="1156"/>
      <c r="N7" s="1156" t="s">
        <v>2625</v>
      </c>
      <c r="O7" s="1156"/>
      <c r="P7" s="1156"/>
      <c r="Q7" s="1156"/>
      <c r="R7" s="1156"/>
      <c r="S7" s="1156"/>
      <c r="T7" s="1156"/>
      <c r="U7" s="1156"/>
      <c r="V7" s="1156"/>
      <c r="W7" s="1156"/>
      <c r="X7" s="1156"/>
      <c r="Y7" s="1156"/>
      <c r="Z7" s="1156" t="s">
        <v>2626</v>
      </c>
      <c r="AA7" s="1156"/>
      <c r="AB7" s="1156"/>
      <c r="AC7" s="1156"/>
      <c r="AD7" s="1156"/>
      <c r="AE7" s="1156"/>
      <c r="AF7" s="1156"/>
      <c r="AG7" s="1156"/>
      <c r="AH7" s="1156"/>
      <c r="AI7" s="1156"/>
      <c r="AJ7" s="1156"/>
      <c r="AK7" s="1157"/>
      <c r="AL7" s="1157"/>
      <c r="AM7" s="1157"/>
      <c r="AN7" s="1158" t="s">
        <v>2627</v>
      </c>
      <c r="AO7" s="1157"/>
      <c r="AP7" s="1157"/>
      <c r="AQ7" s="1157"/>
      <c r="AR7" s="1157"/>
      <c r="AS7" s="1158"/>
      <c r="AT7" s="5744"/>
      <c r="AU7" s="5744"/>
      <c r="AV7" s="5745"/>
      <c r="AY7" s="3">
        <v>1</v>
      </c>
      <c r="AZ7" s="11">
        <f>SUM(A343:AX343)+1</f>
        <v>51</v>
      </c>
      <c r="BA7" s="12" t="s">
        <v>18</v>
      </c>
    </row>
    <row r="8" spans="1:53" ht="27" customHeight="1">
      <c r="B8" s="1159" t="s">
        <v>208</v>
      </c>
      <c r="C8" s="1160" t="str">
        <f ca="1">CELL("nomfichier")</f>
        <v>D:\Données\1.UPRT\0-UPRT.fait\1-UPRT.FR-SITE-WEB\ff-fiches-fabrications\ff.fiches.fabrication.2023\ffr.restaurant.2023\[ff.FICHE.TRILINGUE.15.COLONNES.29.11.2025.xlsx]Notice.utilisateur</v>
      </c>
      <c r="D8" s="1160"/>
      <c r="E8" s="1151"/>
      <c r="F8" s="1151"/>
      <c r="G8" s="1151"/>
      <c r="H8" s="1151"/>
      <c r="I8" s="1151"/>
      <c r="J8" s="1151"/>
      <c r="K8" s="1151"/>
      <c r="L8" s="1151"/>
      <c r="M8" s="1151"/>
      <c r="N8" s="1151"/>
      <c r="O8" s="1151"/>
      <c r="P8" s="1151"/>
      <c r="Q8" s="1151"/>
      <c r="R8" s="1151"/>
      <c r="S8" s="1151"/>
      <c r="T8" s="1151"/>
      <c r="U8" s="1151"/>
      <c r="V8" s="1151"/>
      <c r="W8" s="1151"/>
      <c r="X8" s="1151"/>
      <c r="Y8" s="1151"/>
      <c r="Z8" s="1151"/>
      <c r="AA8" s="1151"/>
      <c r="AB8" s="1151"/>
      <c r="AC8" s="1151"/>
      <c r="AD8" s="1151"/>
      <c r="AE8" s="1151"/>
      <c r="AF8" s="1151"/>
      <c r="AG8" s="1151"/>
      <c r="AH8" s="1161"/>
      <c r="AI8" s="1161"/>
      <c r="AJ8" s="1161"/>
      <c r="AK8" s="1161"/>
      <c r="AL8" s="1161"/>
      <c r="AM8" s="1161"/>
      <c r="AN8" s="1161"/>
      <c r="AO8" s="1161"/>
      <c r="AP8" s="1161"/>
      <c r="AQ8" s="1161"/>
      <c r="AR8" s="1161"/>
      <c r="AS8" s="1161"/>
      <c r="AT8" s="1161"/>
      <c r="AU8" s="1161"/>
      <c r="AV8" s="1161"/>
      <c r="AY8" s="3">
        <v>1</v>
      </c>
    </row>
    <row r="9" spans="1:53" ht="27" customHeight="1" thickBot="1">
      <c r="B9" s="1162"/>
      <c r="C9" s="1163" t="s">
        <v>1704</v>
      </c>
      <c r="D9" s="1162"/>
      <c r="E9" s="1164"/>
      <c r="F9" s="1162"/>
      <c r="G9" s="1164"/>
      <c r="H9" s="1162"/>
      <c r="I9" s="1164"/>
      <c r="J9" s="1162"/>
      <c r="K9" s="1164"/>
      <c r="L9" s="1162"/>
      <c r="M9" s="1164"/>
      <c r="N9" s="1162"/>
      <c r="O9" s="1164"/>
      <c r="P9" s="1162"/>
      <c r="Q9" s="1152"/>
      <c r="R9" s="1162"/>
      <c r="S9" s="1164"/>
      <c r="T9" s="1162"/>
      <c r="U9" s="1164"/>
      <c r="V9" s="1162"/>
      <c r="W9" s="1164"/>
      <c r="X9" s="1162"/>
      <c r="Y9" s="1164"/>
      <c r="Z9" s="1162"/>
      <c r="AA9" s="1164"/>
      <c r="AB9" s="1162"/>
      <c r="AC9" s="1164"/>
      <c r="AD9" s="1162"/>
      <c r="AE9" s="1164"/>
      <c r="AF9" s="1162"/>
      <c r="AG9" s="1152"/>
      <c r="AH9" s="1162"/>
      <c r="AI9" s="1164"/>
      <c r="AJ9" s="1162"/>
      <c r="AK9" s="1164"/>
      <c r="AL9" s="1162"/>
      <c r="AM9" s="1164"/>
      <c r="AN9" s="1162"/>
      <c r="AO9" s="1164"/>
      <c r="AP9" s="1162"/>
      <c r="AQ9" s="1164"/>
      <c r="AR9" s="1162"/>
      <c r="AS9" s="1164"/>
      <c r="AT9" s="1162"/>
      <c r="AU9" s="1164"/>
      <c r="AV9" s="1162"/>
      <c r="AY9" s="3">
        <v>1</v>
      </c>
    </row>
    <row r="10" spans="1:53" ht="27" customHeight="1">
      <c r="B10" s="22" t="s">
        <v>11</v>
      </c>
      <c r="C10" s="23" t="str">
        <f>C16</f>
        <v>T TERRINE DE PIEDS DE PORC pour tranches | | Auteur &gt; Guy KRENZE - Eric GODDYN - Arnaud NICOLAS - CEPROC 2002</v>
      </c>
      <c r="D10" s="24">
        <f>D16</f>
        <v>1</v>
      </c>
      <c r="E10" s="24" t="str">
        <f>E16</f>
        <v xml:space="preserve">moule L 30 cm X l 9 cm X H 6 cm </v>
      </c>
      <c r="F10" s="25" t="str">
        <f>F16</f>
        <v>Recette mère ► le Boudin en 4 déclinaisons</v>
      </c>
      <c r="G10" s="26" t="s">
        <v>23</v>
      </c>
      <c r="H10" s="5471" t="s">
        <v>13044</v>
      </c>
      <c r="I10" s="5471"/>
      <c r="J10" s="5471"/>
      <c r="K10" s="5471"/>
      <c r="L10" s="5471"/>
      <c r="M10" s="5471"/>
      <c r="N10" s="5473" t="s">
        <v>1031</v>
      </c>
      <c r="O10" s="5473"/>
      <c r="P10" s="5475" t="str">
        <f>UPPER(LEFT(H10,1))</f>
        <v>T</v>
      </c>
      <c r="R10" s="22" t="s">
        <v>11</v>
      </c>
      <c r="S10" s="23" t="str">
        <f>S16</f>
        <v>T TERRINE OF PIG’S TROTTERS  for slices | |  Author &gt; Guy KRENZE - Eric GODDYN - Arnaud NICOLAS - CEPROC 2002</v>
      </c>
      <c r="T10" s="24">
        <f>T16</f>
        <v>1</v>
      </c>
      <c r="U10" s="24" t="str">
        <f>U16</f>
        <v>mold L 30 cm × W 9 cm × H 6 cm</v>
      </c>
      <c r="V10" s="25" t="str">
        <f>V16</f>
        <v>Master recipe ► Black pudding in 4 variations</v>
      </c>
      <c r="W10" s="26" t="s">
        <v>23</v>
      </c>
      <c r="X10" s="5471" t="s">
        <v>13043</v>
      </c>
      <c r="Y10" s="5471"/>
      <c r="Z10" s="5471"/>
      <c r="AA10" s="5471"/>
      <c r="AB10" s="5471"/>
      <c r="AC10" s="5471"/>
      <c r="AD10" s="5473" t="s">
        <v>13134</v>
      </c>
      <c r="AE10" s="5473"/>
      <c r="AF10" s="5475" t="str">
        <f>UPPER(LEFT(X10,1))</f>
        <v>T</v>
      </c>
      <c r="AH10" s="22" t="s">
        <v>11</v>
      </c>
      <c r="AI10" s="23" t="str">
        <f>AI16</f>
        <v>T TERRINAS DE MANITAS DE CERDO para rodaja  | | Autor &gt; Guy KRENZE - Eric GODDYN - Arnaud NICOLAS - CEPROC 2002</v>
      </c>
      <c r="AJ10" s="24">
        <f>AJ16</f>
        <v>1</v>
      </c>
      <c r="AK10" s="24" t="str">
        <f>AK16</f>
        <v>molde L 30 cm × A 9 cm × H 6 cm</v>
      </c>
      <c r="AL10" s="25" t="str">
        <f>AL16</f>
        <v>Receta madre ► Morcilla en 4 versiones</v>
      </c>
      <c r="AM10" s="26" t="s">
        <v>23</v>
      </c>
      <c r="AN10" s="5471" t="s">
        <v>13042</v>
      </c>
      <c r="AO10" s="5471"/>
      <c r="AP10" s="5471"/>
      <c r="AQ10" s="5471"/>
      <c r="AR10" s="5471"/>
      <c r="AS10" s="5471"/>
      <c r="AT10" s="5473" t="s">
        <v>13135</v>
      </c>
      <c r="AU10" s="5473"/>
      <c r="AV10" s="5475" t="str">
        <f>UPPER(LEFT(AN10,1))</f>
        <v>T</v>
      </c>
      <c r="AY10" s="3">
        <v>1</v>
      </c>
    </row>
    <row r="11" spans="1:53" ht="27" customHeight="1">
      <c r="B11" s="27" t="s">
        <v>11</v>
      </c>
      <c r="C11" s="28" t="str">
        <f>C16</f>
        <v>T TERRINE DE PIEDS DE PORC pour tranches | | Auteur &gt; Guy KRENZE - Eric GODDYN - Arnaud NICOLAS - CEPROC 2002</v>
      </c>
      <c r="D11" s="29">
        <f>D16</f>
        <v>1</v>
      </c>
      <c r="E11" s="29" t="str">
        <f>E16</f>
        <v xml:space="preserve">moule L 30 cm X l 9 cm X H 6 cm </v>
      </c>
      <c r="F11" s="30" t="str">
        <f>F16</f>
        <v>Recette mère ► le Boudin en 4 déclinaisons</v>
      </c>
      <c r="G11" s="31" t="s">
        <v>29</v>
      </c>
      <c r="H11" s="5472"/>
      <c r="I11" s="5472"/>
      <c r="J11" s="5472"/>
      <c r="K11" s="5472"/>
      <c r="L11" s="5472"/>
      <c r="M11" s="5472"/>
      <c r="N11" s="5474"/>
      <c r="O11" s="5474"/>
      <c r="P11" s="5476"/>
      <c r="R11" s="27" t="s">
        <v>11</v>
      </c>
      <c r="S11" s="28" t="str">
        <f>S16</f>
        <v>T TERRINE OF PIG’S TROTTERS  for slices | |  Author &gt; Guy KRENZE - Eric GODDYN - Arnaud NICOLAS - CEPROC 2002</v>
      </c>
      <c r="T11" s="29">
        <f>T16</f>
        <v>1</v>
      </c>
      <c r="U11" s="29" t="str">
        <f>U16</f>
        <v>mold L 30 cm × W 9 cm × H 6 cm</v>
      </c>
      <c r="V11" s="30" t="str">
        <f>V16</f>
        <v>Master recipe ► Black pudding in 4 variations</v>
      </c>
      <c r="W11" s="31" t="s">
        <v>29</v>
      </c>
      <c r="X11" s="5472"/>
      <c r="Y11" s="5472"/>
      <c r="Z11" s="5472"/>
      <c r="AA11" s="5472"/>
      <c r="AB11" s="5472"/>
      <c r="AC11" s="5472"/>
      <c r="AD11" s="5474"/>
      <c r="AE11" s="5474"/>
      <c r="AF11" s="5476"/>
      <c r="AH11" s="27" t="s">
        <v>11</v>
      </c>
      <c r="AI11" s="28" t="str">
        <f>AI16</f>
        <v>T TERRINAS DE MANITAS DE CERDO para rodaja  | | Autor &gt; Guy KRENZE - Eric GODDYN - Arnaud NICOLAS - CEPROC 2002</v>
      </c>
      <c r="AJ11" s="29">
        <f>AJ16</f>
        <v>1</v>
      </c>
      <c r="AK11" s="29" t="str">
        <f>AK16</f>
        <v>molde L 30 cm × A 9 cm × H 6 cm</v>
      </c>
      <c r="AL11" s="30" t="str">
        <f>AL16</f>
        <v>Receta madre ► Morcilla en 4 versiones</v>
      </c>
      <c r="AM11" s="31" t="s">
        <v>29</v>
      </c>
      <c r="AN11" s="5472"/>
      <c r="AO11" s="5472"/>
      <c r="AP11" s="5472"/>
      <c r="AQ11" s="5472"/>
      <c r="AR11" s="5472"/>
      <c r="AS11" s="5472"/>
      <c r="AT11" s="5474" t="s">
        <v>116</v>
      </c>
      <c r="AU11" s="5474"/>
      <c r="AV11" s="5476"/>
      <c r="AY11" s="3">
        <v>1</v>
      </c>
    </row>
    <row r="12" spans="1:53" ht="27" customHeight="1">
      <c r="B12" s="27" t="s">
        <v>11</v>
      </c>
      <c r="C12" s="5310" t="str">
        <f>C16</f>
        <v>T TERRINE DE PIEDS DE PORC pour tranches | | Auteur &gt; Guy KRENZE - Eric GODDYN - Arnaud NICOLAS - CEPROC 2002</v>
      </c>
      <c r="D12" s="5310">
        <f>D16</f>
        <v>1</v>
      </c>
      <c r="E12" s="5311" t="str">
        <f>E16</f>
        <v xml:space="preserve">moule L 30 cm X l 9 cm X H 6 cm </v>
      </c>
      <c r="F12" s="5312" t="str">
        <f>F16</f>
        <v>Recette mère ► le Boudin en 4 déclinaisons</v>
      </c>
      <c r="G12" s="5313"/>
      <c r="H12" s="5314" t="s">
        <v>30</v>
      </c>
      <c r="I12" s="37"/>
      <c r="J12" s="38" t="s">
        <v>31</v>
      </c>
      <c r="K12" s="39" t="s">
        <v>12835</v>
      </c>
      <c r="L12" s="9"/>
      <c r="M12" s="39"/>
      <c r="N12" s="39"/>
      <c r="O12" s="40"/>
      <c r="P12" s="41"/>
      <c r="R12" s="27" t="s">
        <v>11</v>
      </c>
      <c r="S12" s="5310" t="str">
        <f>S16</f>
        <v>T TERRINE OF PIG’S TROTTERS  for slices | |  Author &gt; Guy KRENZE - Eric GODDYN - Arnaud NICOLAS - CEPROC 2002</v>
      </c>
      <c r="T12" s="5310">
        <f>T16</f>
        <v>1</v>
      </c>
      <c r="U12" s="5311" t="str">
        <f>U16</f>
        <v>mold L 30 cm × W 9 cm × H 6 cm</v>
      </c>
      <c r="V12" s="5312" t="str">
        <f>V16</f>
        <v>Master recipe ► Black pudding in 4 variations</v>
      </c>
      <c r="W12" s="5313"/>
      <c r="X12" s="5314" t="s">
        <v>888</v>
      </c>
      <c r="Y12" s="37"/>
      <c r="Z12" s="38" t="s">
        <v>889</v>
      </c>
      <c r="AA12" s="39" t="s">
        <v>12835</v>
      </c>
      <c r="AB12" s="9"/>
      <c r="AC12" s="39"/>
      <c r="AD12" s="39"/>
      <c r="AE12" s="40"/>
      <c r="AF12" s="41"/>
      <c r="AH12" s="27" t="s">
        <v>11</v>
      </c>
      <c r="AI12" s="32" t="str">
        <f>AI16</f>
        <v>T TERRINAS DE MANITAS DE CERDO para rodaja  | | Autor &gt; Guy KRENZE - Eric GODDYN - Arnaud NICOLAS - CEPROC 2002</v>
      </c>
      <c r="AJ12" s="33">
        <f>AJ16</f>
        <v>1</v>
      </c>
      <c r="AK12" s="33" t="str">
        <f>AK16</f>
        <v>molde L 30 cm × A 9 cm × H 6 cm</v>
      </c>
      <c r="AL12" s="34" t="str">
        <f>AL16</f>
        <v>Receta madre ► Morcilla en 4 versiones</v>
      </c>
      <c r="AM12" s="35"/>
      <c r="AN12" s="36" t="s">
        <v>903</v>
      </c>
      <c r="AO12" s="37"/>
      <c r="AP12" s="38" t="s">
        <v>904</v>
      </c>
      <c r="AQ12" s="39" t="s">
        <v>12835</v>
      </c>
      <c r="AR12" s="9"/>
      <c r="AS12" s="39"/>
      <c r="AT12" s="39"/>
      <c r="AU12" s="40"/>
      <c r="AV12" s="41"/>
      <c r="AY12" s="3">
        <v>1</v>
      </c>
    </row>
    <row r="13" spans="1:53" ht="27" customHeight="1">
      <c r="B13" s="27" t="s">
        <v>11</v>
      </c>
      <c r="C13" s="32" t="str">
        <f>C16</f>
        <v>T TERRINE DE PIEDS DE PORC pour tranches | | Auteur &gt; Guy KRENZE - Eric GODDYN - Arnaud NICOLAS - CEPROC 2002</v>
      </c>
      <c r="D13" s="33">
        <f>D16</f>
        <v>1</v>
      </c>
      <c r="E13" s="33" t="str">
        <f>E16</f>
        <v xml:space="preserve">moule L 30 cm X l 9 cm X H 6 cm </v>
      </c>
      <c r="F13" s="34" t="str">
        <f>F16</f>
        <v>Recette mère ► le Boudin en 4 déclinaisons</v>
      </c>
      <c r="G13" s="42" t="s">
        <v>32</v>
      </c>
      <c r="H13" s="43"/>
      <c r="I13" s="43"/>
      <c r="J13" s="44" t="s">
        <v>33</v>
      </c>
      <c r="K13" s="5477" t="str">
        <f>L16&amp;" "&amp;M16&amp;" ► Famille = "&amp;N10&amp;" ► "&amp;H10&amp;" "&amp; "pour "&amp;N14&amp;" "&amp;O14</f>
        <v xml:space="preserve">Recette mère ► le Boudin en 4 déclinaisons ► Famille =  charcuterie-BOUDIN-NOIR ► TERRINE DE PIEDS DE PORC pour tranches pour 2 moule L 30 cm X l 9 cm X H 6 cm </v>
      </c>
      <c r="L13" s="5477"/>
      <c r="M13" s="5477"/>
      <c r="N13" s="5039" t="s">
        <v>3306</v>
      </c>
      <c r="O13" s="40"/>
      <c r="P13" s="1472"/>
      <c r="R13" s="27" t="s">
        <v>11</v>
      </c>
      <c r="S13" s="32" t="str">
        <f>S16</f>
        <v>T TERRINE OF PIG’S TROTTERS  for slices | |  Author &gt; Guy KRENZE - Eric GODDYN - Arnaud NICOLAS - CEPROC 2002</v>
      </c>
      <c r="T13" s="33">
        <f>T16</f>
        <v>1</v>
      </c>
      <c r="U13" s="33" t="str">
        <f>U16</f>
        <v>mold L 30 cm × W 9 cm × H 6 cm</v>
      </c>
      <c r="V13" s="34" t="str">
        <f>V16</f>
        <v>Master recipe ► Black pudding in 4 variations</v>
      </c>
      <c r="W13" s="42" t="s">
        <v>137</v>
      </c>
      <c r="X13" s="43"/>
      <c r="Y13" s="43"/>
      <c r="Z13" s="44" t="s">
        <v>33</v>
      </c>
      <c r="AA13" s="5477" t="str">
        <f>AB16&amp;" "&amp;AC16&amp;" ► category = "&amp;AD10&amp;" ► "&amp;X10&amp;" "&amp; "pour "&amp;AD14&amp;" "&amp;AE14</f>
        <v>Master recipe ► Black pudding in 4 variations ► category = charcuterie-BLACK-PUDDING ► TERRINE OF PIG’S TROTTERS  for slices pour 2 mold L 30 cm × W 9 cm × H 6 cm</v>
      </c>
      <c r="AB13" s="5477"/>
      <c r="AC13" s="5477"/>
      <c r="AD13" s="5039" t="s">
        <v>3324</v>
      </c>
      <c r="AE13" s="40"/>
      <c r="AF13" s="1472"/>
      <c r="AH13" s="27" t="s">
        <v>11</v>
      </c>
      <c r="AI13" s="32" t="str">
        <f>AI16</f>
        <v>T TERRINAS DE MANITAS DE CERDO para rodaja  | | Autor &gt; Guy KRENZE - Eric GODDYN - Arnaud NICOLAS - CEPROC 2002</v>
      </c>
      <c r="AJ13" s="33">
        <f>AJ16</f>
        <v>1</v>
      </c>
      <c r="AK13" s="33" t="str">
        <f>AK16</f>
        <v>molde L 30 cm × A 9 cm × H 6 cm</v>
      </c>
      <c r="AL13" s="34" t="str">
        <f>AL16</f>
        <v>Receta madre ► Morcilla en 4 versiones</v>
      </c>
      <c r="AM13" s="42" t="s">
        <v>905</v>
      </c>
      <c r="AN13" s="43"/>
      <c r="AO13" s="43"/>
      <c r="AP13" s="44" t="s">
        <v>33</v>
      </c>
      <c r="AQ13" s="5477" t="str">
        <f>AR16&amp;" "&amp;AS16&amp;" ► Famille = "&amp;AT10&amp;" ► "&amp;AN10&amp;" "&amp; "pour "&amp;AT14&amp;" "&amp;AU14</f>
        <v>Receta madre ► Morcilla en 4 versiones ► Famille = charcutería--MORCILLA ► TERRINAS DE MANITAS DE CERDO para rodaja  pour 2 molde L 30 cm × A 9 cm × H 6 cm</v>
      </c>
      <c r="AR13" s="5477"/>
      <c r="AS13" s="5477"/>
      <c r="AT13" s="5039" t="s">
        <v>3326</v>
      </c>
      <c r="AU13" s="40"/>
      <c r="AV13" s="1472"/>
      <c r="AY13" s="3">
        <v>1</v>
      </c>
    </row>
    <row r="14" spans="1:53" ht="27" customHeight="1">
      <c r="B14" s="27" t="s">
        <v>11</v>
      </c>
      <c r="C14" s="32" t="str">
        <f>C16</f>
        <v>T TERRINE DE PIEDS DE PORC pour tranches | | Auteur &gt; Guy KRENZE - Eric GODDYN - Arnaud NICOLAS - CEPROC 2002</v>
      </c>
      <c r="D14" s="33">
        <f>D16</f>
        <v>1</v>
      </c>
      <c r="E14" s="33" t="str">
        <f>E16</f>
        <v xml:space="preserve">moule L 30 cm X l 9 cm X H 6 cm </v>
      </c>
      <c r="F14" s="34" t="str">
        <f>F16</f>
        <v>Recette mère ► le Boudin en 4 déclinaisons</v>
      </c>
      <c r="G14" s="50">
        <v>1</v>
      </c>
      <c r="H14" s="5053" t="s">
        <v>12965</v>
      </c>
      <c r="I14" s="42"/>
      <c r="J14" s="42"/>
      <c r="K14" s="5477"/>
      <c r="L14" s="5477"/>
      <c r="M14" s="5477"/>
      <c r="N14" s="46">
        <v>2</v>
      </c>
      <c r="O14" s="5478" t="str">
        <f>H14</f>
        <v xml:space="preserve">moule L 30 cm X l 9 cm X H 6 cm </v>
      </c>
      <c r="P14" s="5479"/>
      <c r="R14" s="27" t="s">
        <v>11</v>
      </c>
      <c r="S14" s="32" t="str">
        <f>S16</f>
        <v>T TERRINE OF PIG’S TROTTERS  for slices | |  Author &gt; Guy KRENZE - Eric GODDYN - Arnaud NICOLAS - CEPROC 2002</v>
      </c>
      <c r="T14" s="33">
        <f>T16</f>
        <v>1</v>
      </c>
      <c r="U14" s="33" t="str">
        <f>U16</f>
        <v>mold L 30 cm × W 9 cm × H 6 cm</v>
      </c>
      <c r="V14" s="34" t="str">
        <f>V16</f>
        <v>Master recipe ► Black pudding in 4 variations</v>
      </c>
      <c r="W14" s="50">
        <v>1</v>
      </c>
      <c r="X14" s="5053" t="s">
        <v>12966</v>
      </c>
      <c r="Y14" s="42"/>
      <c r="Z14" s="42"/>
      <c r="AA14" s="5477"/>
      <c r="AB14" s="5477"/>
      <c r="AC14" s="5477"/>
      <c r="AD14" s="46">
        <v>2</v>
      </c>
      <c r="AE14" s="5478" t="str">
        <f>X14</f>
        <v>mold L 30 cm × W 9 cm × H 6 cm</v>
      </c>
      <c r="AF14" s="5479"/>
      <c r="AH14" s="27" t="s">
        <v>11</v>
      </c>
      <c r="AI14" s="32" t="str">
        <f>AI16</f>
        <v>T TERRINAS DE MANITAS DE CERDO para rodaja  | | Autor &gt; Guy KRENZE - Eric GODDYN - Arnaud NICOLAS - CEPROC 2002</v>
      </c>
      <c r="AJ14" s="33">
        <f>AJ16</f>
        <v>1</v>
      </c>
      <c r="AK14" s="33" t="str">
        <f>AK16</f>
        <v>molde L 30 cm × A 9 cm × H 6 cm</v>
      </c>
      <c r="AL14" s="34" t="str">
        <f>AL16</f>
        <v>Receta madre ► Morcilla en 4 versiones</v>
      </c>
      <c r="AM14" s="50">
        <v>1</v>
      </c>
      <c r="AN14" s="5053" t="s">
        <v>12967</v>
      </c>
      <c r="AO14" s="42"/>
      <c r="AP14" s="42"/>
      <c r="AQ14" s="5477"/>
      <c r="AR14" s="5477"/>
      <c r="AS14" s="5477"/>
      <c r="AT14" s="46">
        <v>2</v>
      </c>
      <c r="AU14" s="5478" t="str">
        <f>AN14</f>
        <v>molde L 30 cm × A 9 cm × H 6 cm</v>
      </c>
      <c r="AV14" s="5479"/>
      <c r="AY14" s="3">
        <v>1</v>
      </c>
    </row>
    <row r="15" spans="1:53" ht="27" customHeight="1">
      <c r="B15" s="27" t="s">
        <v>16</v>
      </c>
      <c r="C15" s="32" t="str">
        <f>C16</f>
        <v>T TERRINE DE PIEDS DE PORC pour tranches | | Auteur &gt; Guy KRENZE - Eric GODDYN - Arnaud NICOLAS - CEPROC 2002</v>
      </c>
      <c r="D15" s="33">
        <f>D16</f>
        <v>1</v>
      </c>
      <c r="E15" s="33" t="str">
        <f>E16</f>
        <v xml:space="preserve">moule L 30 cm X l 9 cm X H 6 cm </v>
      </c>
      <c r="F15" s="34" t="str">
        <f>F16</f>
        <v>Recette mère ► le Boudin en 4 déclinaisons</v>
      </c>
      <c r="G15" s="56"/>
      <c r="H15" s="5165" t="s">
        <v>13098</v>
      </c>
      <c r="I15" s="5468">
        <f>O35/L15</f>
        <v>1.0309999999999999</v>
      </c>
      <c r="J15" s="5468"/>
      <c r="K15" s="5054" t="str" cm="1">
        <f t="array" ref="K15">"1= "&amp;IF(OR(G14&lt;=0,I15=""),"",_xlfn.LET(_xlpm.kg,IF(ISNUMBER(I15),I15,VALEUR(SUBSTITUTE(SUBSTITUTE(SUBSTITUTE(LOWER(I15),"kg",""),",",".")," ",""))),TEXT(ROUND(_xlpm.kg*1000/G14,2),"0.##")&amp;" g"))</f>
        <v>1= 1031. g</v>
      </c>
      <c r="L15" s="1490">
        <f>IFERROR(N14/G14,0)</f>
        <v>2</v>
      </c>
      <c r="M15" s="45"/>
      <c r="N15" s="5041" t="s">
        <v>50</v>
      </c>
      <c r="O15" s="5042">
        <f>O35</f>
        <v>2.0619999999999998</v>
      </c>
      <c r="P15" s="5043"/>
      <c r="R15" s="27" t="s">
        <v>16</v>
      </c>
      <c r="S15" s="32"/>
      <c r="T15" s="33">
        <f>T16</f>
        <v>1</v>
      </c>
      <c r="U15" s="33" t="str">
        <f>U16</f>
        <v>mold L 30 cm × W 9 cm × H 6 cm</v>
      </c>
      <c r="V15" s="34" t="str">
        <f>V16</f>
        <v>Master recipe ► Black pudding in 4 variations</v>
      </c>
      <c r="W15" s="56"/>
      <c r="X15" s="5165" t="s">
        <v>13100</v>
      </c>
      <c r="Y15" s="5468">
        <f>AE35/AB15</f>
        <v>1.0309999999999999</v>
      </c>
      <c r="Z15" s="5468"/>
      <c r="AA15" s="5054" t="str" cm="1">
        <f t="array" ref="AA15">"1= "&amp;IF(OR(W14&lt;=0,Y15=""),"",_xlfn.LET(_xlpm.kg,IF(ISNUMBER(Y15),Y15,VALEUR(SUBSTITUTE(SUBSTITUTE(SUBSTITUTE(LOWER(Y15),"kg",""),",",".")," ",""))),TEXT(ROUND(_xlpm.kg*1000/W14,2),"0.##")&amp;" g"))</f>
        <v>1= 1031. g</v>
      </c>
      <c r="AB15" s="1490">
        <f>IFERROR(AD14/W14,0)</f>
        <v>2</v>
      </c>
      <c r="AC15" s="45"/>
      <c r="AD15" s="5041" t="s">
        <v>153</v>
      </c>
      <c r="AE15" s="5042">
        <f>AE35</f>
        <v>2.0619999999999998</v>
      </c>
      <c r="AF15" s="5043"/>
      <c r="AH15" s="27" t="s">
        <v>16</v>
      </c>
      <c r="AI15" s="32" t="str">
        <f>AI16</f>
        <v>T TERRINAS DE MANITAS DE CERDO para rodaja  | | Autor &gt; Guy KRENZE - Eric GODDYN - Arnaud NICOLAS - CEPROC 2002</v>
      </c>
      <c r="AJ15" s="33">
        <f>AJ16</f>
        <v>1</v>
      </c>
      <c r="AK15" s="33" t="str">
        <f>AK16</f>
        <v>molde L 30 cm × A 9 cm × H 6 cm</v>
      </c>
      <c r="AL15" s="34" t="str">
        <f>AL16</f>
        <v>Receta madre ► Morcilla en 4 versiones</v>
      </c>
      <c r="AM15" s="56"/>
      <c r="AN15" s="5165" t="s">
        <v>13101</v>
      </c>
      <c r="AO15" s="5468">
        <f>AU35/AR15</f>
        <v>1.0309999999999999</v>
      </c>
      <c r="AP15" s="5468"/>
      <c r="AQ15" s="5054" t="str" cm="1">
        <f t="array" ref="AQ15">"1= "&amp;IF(OR(AM14&lt;=0,AO15=""),"",_xlfn.LET(_xlpm.kg,IF(ISNUMBER(AO15),AO15,VALEUR(SUBSTITUTE(SUBSTITUTE(SUBSTITUTE(LOWER(AO15),"kg",""),",",".")," ",""))),TEXT(ROUND(_xlpm.kg*1000/AM14,2),"0.##")&amp;" g"))</f>
        <v>1= 1031. g</v>
      </c>
      <c r="AR15" s="1490">
        <f>IFERROR(AT14/AM14,0)</f>
        <v>2</v>
      </c>
      <c r="AS15" s="45"/>
      <c r="AT15" s="5041" t="s">
        <v>248</v>
      </c>
      <c r="AU15" s="5042">
        <f>AU35</f>
        <v>2.0619999999999998</v>
      </c>
      <c r="AV15" s="5043"/>
      <c r="AY15" s="3">
        <v>1</v>
      </c>
    </row>
    <row r="16" spans="1:53" ht="27" customHeight="1">
      <c r="B16" s="64" t="s">
        <v>16</v>
      </c>
      <c r="C16" s="65" t="str">
        <f>G16</f>
        <v>T TERRINE DE PIEDS DE PORC pour tranches | | Auteur &gt; Guy KRENZE - Eric GODDYN - Arnaud NICOLAS - CEPROC 2002</v>
      </c>
      <c r="D16" s="66">
        <f>G14</f>
        <v>1</v>
      </c>
      <c r="E16" s="65" t="str">
        <f>H14</f>
        <v xml:space="preserve">moule L 30 cm X l 9 cm X H 6 cm </v>
      </c>
      <c r="F16" s="67" t="str">
        <f>L16&amp;" "&amp;M16</f>
        <v>Recette mère ► le Boudin en 4 déclinaisons</v>
      </c>
      <c r="G16" s="68" t="str">
        <f>UPPER(LEFT(H10,1))&amp;" "&amp;H10&amp;" | "&amp;O10&amp;"| "&amp;J12&amp;" "&amp;K12</f>
        <v>T TERRINE DE PIEDS DE PORC pour tranches | | Auteur &gt; Guy KRENZE - Eric GODDYN - Arnaud NICOLAS - CEPROC 2002</v>
      </c>
      <c r="H16" s="69" t="s">
        <v>54</v>
      </c>
      <c r="I16" s="5469" t="s">
        <v>55</v>
      </c>
      <c r="J16" s="5469"/>
      <c r="K16" s="5469"/>
      <c r="L16" s="70" t="str">
        <f>IF(ISTEXT(M16),"Recette mère ►",H16)</f>
        <v>Recette mère ►</v>
      </c>
      <c r="M16" s="71" t="s">
        <v>12836</v>
      </c>
      <c r="N16" s="71"/>
      <c r="O16" s="72"/>
      <c r="P16" s="1473"/>
      <c r="R16" s="64" t="s">
        <v>16</v>
      </c>
      <c r="S16" s="65" t="str">
        <f>W16</f>
        <v>T TERRINE OF PIG’S TROTTERS  for slices | |  Author &gt; Guy KRENZE - Eric GODDYN - Arnaud NICOLAS - CEPROC 2002</v>
      </c>
      <c r="T16" s="66">
        <f>W14</f>
        <v>1</v>
      </c>
      <c r="U16" s="65" t="str">
        <f>X14</f>
        <v>mold L 30 cm × W 9 cm × H 6 cm</v>
      </c>
      <c r="V16" s="67" t="str">
        <f>AB16&amp;" "&amp;AC16</f>
        <v>Master recipe ► Black pudding in 4 variations</v>
      </c>
      <c r="W16" s="68" t="str">
        <f>UPPER(LEFT(X10,1))&amp;" "&amp;X10&amp;" | "&amp;AE10&amp;"| "&amp;Z12&amp;" "&amp;AA12</f>
        <v>T TERRINE OF PIG’S TROTTERS  for slices | |  Author &gt; Guy KRENZE - Eric GODDYN - Arnaud NICOLAS - CEPROC 2002</v>
      </c>
      <c r="X16" s="69" t="s">
        <v>3315</v>
      </c>
      <c r="Y16" s="5469" t="s">
        <v>3316</v>
      </c>
      <c r="Z16" s="5469"/>
      <c r="AA16" s="5469"/>
      <c r="AB16" s="70" t="str">
        <f>IF(ISTEXT(AC16),"Master recipe ►",X16)</f>
        <v>Master recipe ►</v>
      </c>
      <c r="AC16" s="71" t="s">
        <v>12924</v>
      </c>
      <c r="AD16" s="71"/>
      <c r="AE16" s="72"/>
      <c r="AF16" s="1473"/>
      <c r="AH16" s="64" t="s">
        <v>16</v>
      </c>
      <c r="AI16" s="65" t="str">
        <f>AM16</f>
        <v>T TERRINAS DE MANITAS DE CERDO para rodaja  | | Autor &gt; Guy KRENZE - Eric GODDYN - Arnaud NICOLAS - CEPROC 2002</v>
      </c>
      <c r="AJ16" s="66">
        <f>AM14</f>
        <v>1</v>
      </c>
      <c r="AK16" s="65" t="str">
        <f>AN14</f>
        <v>molde L 30 cm × A 9 cm × H 6 cm</v>
      </c>
      <c r="AL16" s="67" t="str">
        <f>AR16&amp;" "&amp;AS16</f>
        <v>Receta madre ► Morcilla en 4 versiones</v>
      </c>
      <c r="AM16" s="68" t="str">
        <f>UPPER(LEFT(AN10,1))&amp;" "&amp;AN10&amp;" | "&amp;AU10&amp;"| "&amp;AP12&amp;" "&amp;AQ12</f>
        <v>T TERRINAS DE MANITAS DE CERDO para rodaja  | | Autor &gt; Guy KRENZE - Eric GODDYN - Arnaud NICOLAS - CEPROC 2002</v>
      </c>
      <c r="AN16" s="69" t="s">
        <v>3319</v>
      </c>
      <c r="AO16" s="5469" t="s">
        <v>906</v>
      </c>
      <c r="AP16" s="5469"/>
      <c r="AQ16" s="5469"/>
      <c r="AR16" s="70" t="str">
        <f>IF(ISTEXT(AS16),"Receta madre ►",AN16)</f>
        <v>Receta madre ►</v>
      </c>
      <c r="AS16" s="71" t="s">
        <v>12925</v>
      </c>
      <c r="AT16" s="71"/>
      <c r="AU16" s="72"/>
      <c r="AV16" s="1473"/>
      <c r="AY16" s="3">
        <v>1</v>
      </c>
    </row>
    <row r="17" spans="2:51" ht="27" customHeight="1">
      <c r="B17" s="74" t="s">
        <v>16</v>
      </c>
      <c r="C17" s="75" t="str">
        <f>C16</f>
        <v>T TERRINE DE PIEDS DE PORC pour tranches | | Auteur &gt; Guy KRENZE - Eric GODDYN - Arnaud NICOLAS - CEPROC 2002</v>
      </c>
      <c r="D17" s="75">
        <f>D16</f>
        <v>1</v>
      </c>
      <c r="E17" s="75" t="str">
        <f>E16</f>
        <v xml:space="preserve">moule L 30 cm X l 9 cm X H 6 cm </v>
      </c>
      <c r="F17" s="76" t="str">
        <f>F16</f>
        <v>Recette mère ► le Boudin en 4 déclinaisons</v>
      </c>
      <c r="G17" s="13" t="s">
        <v>66</v>
      </c>
      <c r="H17" s="13" t="s">
        <v>67</v>
      </c>
      <c r="I17" s="13" t="s">
        <v>68</v>
      </c>
      <c r="J17" s="13" t="s">
        <v>69</v>
      </c>
      <c r="K17" s="77" t="s">
        <v>70</v>
      </c>
      <c r="L17" s="78" t="s">
        <v>71</v>
      </c>
      <c r="M17" s="79" t="s">
        <v>72</v>
      </c>
      <c r="N17" s="1496" t="s">
        <v>73</v>
      </c>
      <c r="O17" s="13" t="s">
        <v>74</v>
      </c>
      <c r="P17" s="518" t="s">
        <v>75</v>
      </c>
      <c r="R17" s="74" t="s">
        <v>16</v>
      </c>
      <c r="S17" s="75" t="str">
        <f>S16</f>
        <v>T TERRINE OF PIG’S TROTTERS  for slices | |  Author &gt; Guy KRENZE - Eric GODDYN - Arnaud NICOLAS - CEPROC 2002</v>
      </c>
      <c r="T17" s="75">
        <f>T16</f>
        <v>1</v>
      </c>
      <c r="U17" s="75" t="str">
        <f>U16</f>
        <v>mold L 30 cm × W 9 cm × H 6 cm</v>
      </c>
      <c r="V17" s="76" t="str">
        <f>V16</f>
        <v>Master recipe ► Black pudding in 4 variations</v>
      </c>
      <c r="W17" s="13" t="s">
        <v>66</v>
      </c>
      <c r="X17" s="13" t="s">
        <v>67</v>
      </c>
      <c r="Y17" s="13" t="s">
        <v>68</v>
      </c>
      <c r="Z17" s="13" t="s">
        <v>69</v>
      </c>
      <c r="AA17" s="77" t="s">
        <v>70</v>
      </c>
      <c r="AB17" s="78" t="s">
        <v>71</v>
      </c>
      <c r="AC17" s="79" t="s">
        <v>72</v>
      </c>
      <c r="AD17" s="1496" t="s">
        <v>73</v>
      </c>
      <c r="AE17" s="13" t="s">
        <v>75</v>
      </c>
      <c r="AF17" s="518" t="s">
        <v>76</v>
      </c>
      <c r="AH17" s="74" t="s">
        <v>16</v>
      </c>
      <c r="AI17" s="75" t="str">
        <f>AI16</f>
        <v>T TERRINAS DE MANITAS DE CERDO para rodaja  | | Autor &gt; Guy KRENZE - Eric GODDYN - Arnaud NICOLAS - CEPROC 2002</v>
      </c>
      <c r="AJ17" s="75">
        <f>AJ16</f>
        <v>1</v>
      </c>
      <c r="AK17" s="75" t="str">
        <f>AK16</f>
        <v>molde L 30 cm × A 9 cm × H 6 cm</v>
      </c>
      <c r="AL17" s="76" t="str">
        <f>AL16</f>
        <v>Receta madre ► Morcilla en 4 versiones</v>
      </c>
      <c r="AM17" s="13" t="s">
        <v>66</v>
      </c>
      <c r="AN17" s="13" t="s">
        <v>67</v>
      </c>
      <c r="AO17" s="13" t="s">
        <v>68</v>
      </c>
      <c r="AP17" s="13" t="s">
        <v>69</v>
      </c>
      <c r="AQ17" s="77" t="s">
        <v>70</v>
      </c>
      <c r="AR17" s="78" t="s">
        <v>71</v>
      </c>
      <c r="AS17" s="79" t="s">
        <v>72</v>
      </c>
      <c r="AT17" s="1496" t="s">
        <v>73</v>
      </c>
      <c r="AU17" s="13" t="s">
        <v>74</v>
      </c>
      <c r="AV17" s="518" t="s">
        <v>75</v>
      </c>
      <c r="AY17" s="3">
        <v>1</v>
      </c>
    </row>
    <row r="18" spans="2:51" ht="27" customHeight="1">
      <c r="B18" s="27" t="s">
        <v>11</v>
      </c>
      <c r="C18" s="32" t="str">
        <f>C16</f>
        <v>T TERRINE DE PIEDS DE PORC pour tranches | | Auteur &gt; Guy KRENZE - Eric GODDYN - Arnaud NICOLAS - CEPROC 2002</v>
      </c>
      <c r="D18" s="33">
        <f>D16</f>
        <v>1</v>
      </c>
      <c r="E18" s="32" t="str">
        <f>E16</f>
        <v xml:space="preserve">moule L 30 cm X l 9 cm X H 6 cm </v>
      </c>
      <c r="F18" s="34" t="str">
        <f>F16</f>
        <v>Recette mère ► le Boudin en 4 déclinaisons</v>
      </c>
      <c r="G18" s="81" t="s">
        <v>77</v>
      </c>
      <c r="H18" s="82" t="s">
        <v>78</v>
      </c>
      <c r="I18" s="83"/>
      <c r="J18" s="5454" t="s">
        <v>79</v>
      </c>
      <c r="K18" s="5464" t="s">
        <v>80</v>
      </c>
      <c r="L18" s="5466" t="s">
        <v>81</v>
      </c>
      <c r="M18" s="84" t="s">
        <v>82</v>
      </c>
      <c r="N18" s="5444" t="s">
        <v>83</v>
      </c>
      <c r="O18" s="5446" t="s">
        <v>3297</v>
      </c>
      <c r="P18" s="5448" t="s">
        <v>86</v>
      </c>
      <c r="R18" s="27" t="s">
        <v>11</v>
      </c>
      <c r="S18" s="32" t="str">
        <f>S16</f>
        <v>T TERRINE OF PIG’S TROTTERS  for slices | |  Author &gt; Guy KRENZE - Eric GODDYN - Arnaud NICOLAS - CEPROC 2002</v>
      </c>
      <c r="T18" s="33">
        <f>T16</f>
        <v>1</v>
      </c>
      <c r="U18" s="32" t="str">
        <f>U16</f>
        <v>mold L 30 cm × W 9 cm × H 6 cm</v>
      </c>
      <c r="V18" s="34" t="str">
        <f>V16</f>
        <v>Master recipe ► Black pudding in 4 variations</v>
      </c>
      <c r="W18" s="81" t="s">
        <v>77</v>
      </c>
      <c r="X18" s="82" t="s">
        <v>78</v>
      </c>
      <c r="Y18" s="83"/>
      <c r="Z18" s="5454" t="s">
        <v>228</v>
      </c>
      <c r="AA18" s="5464" t="s">
        <v>80</v>
      </c>
      <c r="AB18" s="5466" t="s">
        <v>81</v>
      </c>
      <c r="AC18" s="84" t="s">
        <v>82</v>
      </c>
      <c r="AD18" s="5444" t="s">
        <v>244</v>
      </c>
      <c r="AE18" s="5446" t="s">
        <v>890</v>
      </c>
      <c r="AF18" s="5448" t="s">
        <v>247</v>
      </c>
      <c r="AH18" s="27" t="s">
        <v>11</v>
      </c>
      <c r="AI18" s="32" t="str">
        <f>AI16</f>
        <v>T TERRINAS DE MANITAS DE CERDO para rodaja  | | Autor &gt; Guy KRENZE - Eric GODDYN - Arnaud NICOLAS - CEPROC 2002</v>
      </c>
      <c r="AJ18" s="33">
        <f>AJ16</f>
        <v>1</v>
      </c>
      <c r="AK18" s="32" t="str">
        <f>AK16</f>
        <v>molde L 30 cm × A 9 cm × H 6 cm</v>
      </c>
      <c r="AL18" s="34" t="str">
        <f>AL16</f>
        <v>Receta madre ► Morcilla en 4 versiones</v>
      </c>
      <c r="AM18" s="81" t="s">
        <v>77</v>
      </c>
      <c r="AN18" s="82" t="s">
        <v>78</v>
      </c>
      <c r="AO18" s="83"/>
      <c r="AP18" s="5470" t="s">
        <v>229</v>
      </c>
      <c r="AQ18" s="5495" t="s">
        <v>80</v>
      </c>
      <c r="AR18" s="5481" t="s">
        <v>396</v>
      </c>
      <c r="AS18" s="84" t="s">
        <v>82</v>
      </c>
      <c r="AT18" s="5444" t="s">
        <v>249</v>
      </c>
      <c r="AU18" s="5446" t="s">
        <v>907</v>
      </c>
      <c r="AV18" s="5448" t="s">
        <v>252</v>
      </c>
      <c r="AY18" s="3">
        <v>1</v>
      </c>
    </row>
    <row r="19" spans="2:51" ht="27" customHeight="1">
      <c r="B19" s="27" t="s">
        <v>11</v>
      </c>
      <c r="C19" s="32" t="str">
        <f>C16</f>
        <v>T TERRINE DE PIEDS DE PORC pour tranches | | Auteur &gt; Guy KRENZE - Eric GODDYN - Arnaud NICOLAS - CEPROC 2002</v>
      </c>
      <c r="D19" s="33">
        <f>D16</f>
        <v>1</v>
      </c>
      <c r="E19" s="32" t="str">
        <f>E16</f>
        <v xml:space="preserve">moule L 30 cm X l 9 cm X H 6 cm </v>
      </c>
      <c r="F19" s="34" t="str">
        <f>F16</f>
        <v>Recette mère ► le Boudin en 4 déclinaisons</v>
      </c>
      <c r="G19" s="87" t="s">
        <v>91</v>
      </c>
      <c r="H19" s="88" t="s">
        <v>92</v>
      </c>
      <c r="I19" s="89" t="s">
        <v>93</v>
      </c>
      <c r="J19" s="5455"/>
      <c r="K19" s="5465"/>
      <c r="L19" s="5467"/>
      <c r="M19" s="90" t="s">
        <v>94</v>
      </c>
      <c r="N19" s="5445"/>
      <c r="O19" s="5447"/>
      <c r="P19" s="5449"/>
      <c r="R19" s="27" t="s">
        <v>11</v>
      </c>
      <c r="S19" s="32" t="str">
        <f>S16</f>
        <v>T TERRINE OF PIG’S TROTTERS  for slices | |  Author &gt; Guy KRENZE - Eric GODDYN - Arnaud NICOLAS - CEPROC 2002</v>
      </c>
      <c r="T19" s="33">
        <f>T16</f>
        <v>1</v>
      </c>
      <c r="U19" s="32" t="str">
        <f>U16</f>
        <v>mold L 30 cm × W 9 cm × H 6 cm</v>
      </c>
      <c r="V19" s="34" t="str">
        <f>V16</f>
        <v>Master recipe ► Black pudding in 4 variations</v>
      </c>
      <c r="W19" s="87" t="s">
        <v>231</v>
      </c>
      <c r="X19" s="88" t="s">
        <v>232</v>
      </c>
      <c r="Y19" s="89" t="s">
        <v>891</v>
      </c>
      <c r="Z19" s="5455"/>
      <c r="AA19" s="5465"/>
      <c r="AB19" s="5467"/>
      <c r="AC19" s="90" t="s">
        <v>867</v>
      </c>
      <c r="AD19" s="5445"/>
      <c r="AE19" s="5447"/>
      <c r="AF19" s="5449"/>
      <c r="AH19" s="27" t="s">
        <v>11</v>
      </c>
      <c r="AI19" s="32" t="str">
        <f>AI16</f>
        <v>T TERRINAS DE MANITAS DE CERDO para rodaja  | | Autor &gt; Guy KRENZE - Eric GODDYN - Arnaud NICOLAS - CEPROC 2002</v>
      </c>
      <c r="AJ19" s="33">
        <f>AJ16</f>
        <v>1</v>
      </c>
      <c r="AK19" s="32" t="str">
        <f>AK16</f>
        <v>molde L 30 cm × A 9 cm × H 6 cm</v>
      </c>
      <c r="AL19" s="34" t="str">
        <f>AL16</f>
        <v>Receta madre ► Morcilla en 4 versiones</v>
      </c>
      <c r="AM19" s="87" t="s">
        <v>234</v>
      </c>
      <c r="AN19" s="88" t="s">
        <v>235</v>
      </c>
      <c r="AO19" s="89" t="s">
        <v>93</v>
      </c>
      <c r="AP19" s="5455"/>
      <c r="AQ19" s="5465"/>
      <c r="AR19" s="5467"/>
      <c r="AS19" s="90" t="s">
        <v>869</v>
      </c>
      <c r="AT19" s="5445"/>
      <c r="AU19" s="5447"/>
      <c r="AV19" s="5449"/>
      <c r="AY19" s="3">
        <v>1</v>
      </c>
    </row>
    <row r="20" spans="2:51" ht="27" customHeight="1">
      <c r="B20" s="27" t="s">
        <v>11</v>
      </c>
      <c r="C20" s="32" t="str">
        <f>C16</f>
        <v>T TERRINE DE PIEDS DE PORC pour tranches | | Auteur &gt; Guy KRENZE - Eric GODDYN - Arnaud NICOLAS - CEPROC 2002</v>
      </c>
      <c r="D20" s="33">
        <f>D16</f>
        <v>1</v>
      </c>
      <c r="E20" s="32" t="str">
        <f>E16</f>
        <v xml:space="preserve">moule L 30 cm X l 9 cm X H 6 cm </v>
      </c>
      <c r="F20" s="34" t="str">
        <f>F16</f>
        <v>Recette mère ► le Boudin en 4 déclinaisons</v>
      </c>
      <c r="G20" s="92"/>
      <c r="H20" s="93"/>
      <c r="I20" s="94" t="str">
        <f t="shared" ref="I20:I34" si="2">IF(OR(ISTEXT(G20), G20&lt;=0, J20&lt;=0), "", "de")</f>
        <v/>
      </c>
      <c r="J20" s="95"/>
      <c r="K20" s="126"/>
      <c r="L20" s="127">
        <v>1</v>
      </c>
      <c r="M20" s="919"/>
      <c r="N20" s="100">
        <f>IF(OR(ISBLANK(G14),N14=0),0,G20*L15)</f>
        <v>0</v>
      </c>
      <c r="O20" s="101" cm="1">
        <f t="array" ref="O20">IFERROR(_xlfn.LET(_xlpm.k,UPPER(TRIM(K20)),_xlpm.r,_xlfn.XLOOKUP(_xlpm.k,UPPER(TRIM(G36:P36)),G37:P37,_xlfn.XLOOKUP(_xlpm.k,UPPER(TRIM(G38:P38)),G39:P39)),_xlpm.r*J20*L20*L15*IF(ISBLANK(G20),1,G20)),0)</f>
        <v>0</v>
      </c>
      <c r="P20" s="1476" t="str">
        <f>_xlfn.LET(_xlpm.unite,SUBSTITUTE(TRIM(K20)," (s)",""),_xlpm.val,O20,_xlpm.estVol,COUNTIF(J36:P36,_xlpm.unite)+COUNTIF(J38:P38,_xlpm.unite)&gt;0,_xlpm.estPoids,COUNTIF(G36:I36,_xlpm.unite)+COUNTIF(G38:I38,_xlpm.unite)&gt;0,IF(_xlpm.estVol,IF(ROUND(_xlpm.val,3)&gt;=1,ROUND(_xlpm.val,3)&amp;" L",MAX(1,ROUND(_xlpm.val*100,0))&amp;" cl"),IF(_xlpm.estPoids,IF(ROUND(_xlpm.val,3)&gt;=1,ROUND(_xlpm.val,3)&amp;" Kg",MAX(1,ROUND(_xlpm.val*1000,0))&amp;" g"),"")))</f>
        <v/>
      </c>
      <c r="R20" s="27" t="s">
        <v>11</v>
      </c>
      <c r="S20" s="32" t="str">
        <f>S16</f>
        <v>T TERRINE OF PIG’S TROTTERS  for slices | |  Author &gt; Guy KRENZE - Eric GODDYN - Arnaud NICOLAS - CEPROC 2002</v>
      </c>
      <c r="T20" s="33">
        <f>T16</f>
        <v>1</v>
      </c>
      <c r="U20" s="32" t="str">
        <f>U16</f>
        <v>mold L 30 cm × W 9 cm × H 6 cm</v>
      </c>
      <c r="V20" s="34" t="str">
        <f>V16</f>
        <v>Master recipe ► Black pudding in 4 variations</v>
      </c>
      <c r="W20" s="92"/>
      <c r="X20" s="93"/>
      <c r="Y20" s="94" t="str">
        <f t="shared" ref="Y20:Y34" si="3">IF(OR(ISTEXT(W20), W20&lt;=0, Z20&lt;=0), "", "de")</f>
        <v/>
      </c>
      <c r="Z20" s="95"/>
      <c r="AA20" s="126"/>
      <c r="AB20" s="127">
        <v>1</v>
      </c>
      <c r="AC20" s="919"/>
      <c r="AD20" s="100">
        <f>IF(OR(ISBLANK(W14),AD14=0),0,W20*AB15)</f>
        <v>0</v>
      </c>
      <c r="AE20" s="101" cm="1">
        <f t="array" ref="AE20">IFERROR(_xlfn.LET(_xlpm.k,UPPER(TRIM(AA20)),_xlpm.r,_xlfn.XLOOKUP(_xlpm.k,UPPER(TRIM(W36:AF36)),W37:AF37,_xlfn.XLOOKUP(_xlpm.k,UPPER(TRIM(W38:AF38)),W39:AF39)),_xlpm.r*Z20*AB20*AB15*IF(ISBLANK(W20),1,W20)),0)</f>
        <v>0</v>
      </c>
      <c r="AF20" s="1476" t="str">
        <f>_xlfn.LET(_xlpm.unite,SUBSTITUTE(TRIM(AA20)," (s)",""),_xlpm.val,AE20,_xlpm.estVol,COUNTIF(Z36:AF36,_xlpm.unite)+COUNTIF(Z38:AF38,_xlpm.unite)&gt;0,_xlpm.estPoids,COUNTIF(W36:Y36,_xlpm.unite)+COUNTIF(W38:Y38,_xlpm.unite)&gt;0,IF(_xlpm.estVol,IF(ROUND(_xlpm.val,3)&gt;=1,ROUND(_xlpm.val,3)&amp;" L",MAX(1,ROUND(_xlpm.val*100,0))&amp;" cl"),IF(_xlpm.estPoids,IF(ROUND(_xlpm.val,3)&gt;=1,ROUND(_xlpm.val,3)&amp;" Kg",MAX(1,ROUND(_xlpm.val*1000,0))&amp;" g"),"")))</f>
        <v/>
      </c>
      <c r="AH20" s="27" t="s">
        <v>11</v>
      </c>
      <c r="AI20" s="32" t="str">
        <f>AI16</f>
        <v>T TERRINAS DE MANITAS DE CERDO para rodaja  | | Autor &gt; Guy KRENZE - Eric GODDYN - Arnaud NICOLAS - CEPROC 2002</v>
      </c>
      <c r="AJ20" s="33">
        <f>AJ16</f>
        <v>1</v>
      </c>
      <c r="AK20" s="32" t="str">
        <f>AK16</f>
        <v>molde L 30 cm × A 9 cm × H 6 cm</v>
      </c>
      <c r="AL20" s="34" t="str">
        <f>AL16</f>
        <v>Receta madre ► Morcilla en 4 versiones</v>
      </c>
      <c r="AM20" s="92"/>
      <c r="AN20" s="93"/>
      <c r="AO20" s="94" t="str">
        <f t="shared" ref="AO20:AO34" si="4">IF(OR(ISTEXT(AM20), AM20&lt;=0, AP20&lt;=0), "", "de")</f>
        <v/>
      </c>
      <c r="AP20" s="95"/>
      <c r="AQ20" s="126"/>
      <c r="AR20" s="127">
        <v>1</v>
      </c>
      <c r="AS20" s="919"/>
      <c r="AT20" s="100">
        <f>IF(OR(ISBLANK(AM14),AT14=0),0,AM20*AR15)</f>
        <v>0</v>
      </c>
      <c r="AU20" s="101" cm="1">
        <f t="array" ref="AU20">IFERROR(_xlfn.LET(_xlpm.k,UPPER(TRIM(AQ20)),_xlpm.r,_xlfn.XLOOKUP(_xlpm.k,UPPER(TRIM(AM36:AV36)),AM37:AV37,_xlfn.XLOOKUP(_xlpm.k,UPPER(TRIM(AM38:AV38)),AM39:AV39)),_xlpm.r*AP20*AR20*AR15*IF(ISBLANK(AM20),1,AM20)),0)</f>
        <v>0</v>
      </c>
      <c r="AV20" s="1476" t="str">
        <f>_xlfn.LET(_xlpm.unite,SUBSTITUTE(TRIM(AQ20)," (s)",""),_xlpm.val,AU20,_xlpm.estVol,COUNTIF(AP36:AV36,_xlpm.unite)+COUNTIF(AP38:AV38,_xlpm.unite)&gt;0,_xlpm.estPoids,COUNTIF(AM36:AO36,_xlpm.unite)+COUNTIF(AM38:AO38,_xlpm.unite)&gt;0,IF(_xlpm.estVol,IF(ROUND(_xlpm.val,3)&gt;=1,ROUND(_xlpm.val,3)&amp;" L",MAX(1,ROUND(_xlpm.val*100,0))&amp;" cl"),IF(_xlpm.estPoids,IF(ROUND(_xlpm.val,3)&gt;=1,ROUND(_xlpm.val,3)&amp;" Kg",MAX(1,ROUND(_xlpm.val*1000,0))&amp;" g"),"")))</f>
        <v/>
      </c>
      <c r="AY20" s="3">
        <v>1</v>
      </c>
    </row>
    <row r="21" spans="2:51" ht="27" customHeight="1">
      <c r="B21" s="104" t="str">
        <f t="shared" ref="B21:B34" si="5">IF(M21&lt;&gt;"","A","►")</f>
        <v>A</v>
      </c>
      <c r="C21" s="32" t="str">
        <f>C16</f>
        <v>T TERRINE DE PIEDS DE PORC pour tranches | | Auteur &gt; Guy KRENZE - Eric GODDYN - Arnaud NICOLAS - CEPROC 2002</v>
      </c>
      <c r="D21" s="33">
        <f>D16</f>
        <v>1</v>
      </c>
      <c r="E21" s="32" t="str">
        <f>E16</f>
        <v xml:space="preserve">moule L 30 cm X l 9 cm X H 6 cm </v>
      </c>
      <c r="F21" s="34" t="str">
        <f>F16</f>
        <v>Recette mère ► le Boudin en 4 déclinaisons</v>
      </c>
      <c r="G21" s="92"/>
      <c r="H21" s="93"/>
      <c r="I21" s="94" t="str">
        <f t="shared" si="2"/>
        <v/>
      </c>
      <c r="J21" s="95"/>
      <c r="K21" s="126"/>
      <c r="L21" s="127">
        <v>1</v>
      </c>
      <c r="M21" s="920" t="s">
        <v>12856</v>
      </c>
      <c r="N21" s="1494">
        <f>IF(OR(ISBLANK(G14),N14=0),0,G21*L15)</f>
        <v>0</v>
      </c>
      <c r="O21" s="101" cm="1">
        <f t="array" ref="O21">IFERROR(_xlfn.LET(_xlpm.k,UPPER(TRIM(K21)),_xlpm.r,_xlfn.XLOOKUP(_xlpm.k,UPPER(TRIM(G36:P36)),G37:P37,_xlfn.XLOOKUP(_xlpm.k,UPPER(TRIM(G38:P38)),G39:P39)),_xlpm.r*J21*L21*L15*IF(ISBLANK(G21),1,G21)),0)</f>
        <v>0</v>
      </c>
      <c r="P21" s="1475" t="str">
        <f>_xlfn.LET(_xlpm.unite,SUBSTITUTE(TRIM(K21)," (s)",""),_xlpm.val,O21,_xlpm.estVol,COUNTIF(J36:P36,_xlpm.unite)+COUNTIF(J38:P38,_xlpm.unite)&gt;0,_xlpm.estPoids,COUNTIF(G36:I36,_xlpm.unite)+COUNTIF(G38:I38,_xlpm.unite)&gt;0,IF(_xlpm.estVol,IF(ROUND(_xlpm.val,3)&gt;=1,ROUND(_xlpm.val,3)&amp;" L",MAX(1,ROUND(_xlpm.val*100,0))&amp;" cl"),IF(_xlpm.estPoids,IF(ROUND(_xlpm.val,3)&gt;=1,ROUND(_xlpm.val,3)&amp;" Kg",MAX(1,ROUND(_xlpm.val*1000,0))&amp;" g"),"")))</f>
        <v/>
      </c>
      <c r="R21" s="104" t="str">
        <f t="shared" ref="R21:R34" si="6">IF(AC21&lt;&gt;"","A","►")</f>
        <v>A</v>
      </c>
      <c r="S21" s="32" t="str">
        <f>S16</f>
        <v>T TERRINE OF PIG’S TROTTERS  for slices | |  Author &gt; Guy KRENZE - Eric GODDYN - Arnaud NICOLAS - CEPROC 2002</v>
      </c>
      <c r="T21" s="33">
        <f>T16</f>
        <v>1</v>
      </c>
      <c r="U21" s="32" t="str">
        <f>U16</f>
        <v>mold L 30 cm × W 9 cm × H 6 cm</v>
      </c>
      <c r="V21" s="34" t="str">
        <f>V16</f>
        <v>Master recipe ► Black pudding in 4 variations</v>
      </c>
      <c r="W21" s="92"/>
      <c r="X21" s="93"/>
      <c r="Y21" s="94" t="str">
        <f t="shared" si="3"/>
        <v/>
      </c>
      <c r="Z21" s="95"/>
      <c r="AA21" s="126"/>
      <c r="AB21" s="127">
        <v>1</v>
      </c>
      <c r="AC21" s="920" t="s">
        <v>12998</v>
      </c>
      <c r="AD21" s="1494">
        <f>IF(OR(ISBLANK(W14),AD14=0),0,W21*AB15)</f>
        <v>0</v>
      </c>
      <c r="AE21" s="101" cm="1">
        <f t="array" ref="AE21">IFERROR(_xlfn.LET(_xlpm.k,UPPER(TRIM(AA21)),_xlpm.r,_xlfn.XLOOKUP(_xlpm.k,UPPER(TRIM(W36:AF36)),W37:AF37,_xlfn.XLOOKUP(_xlpm.k,UPPER(TRIM(W38:AF38)),W39:AF39)),_xlpm.r*Z21*AB21*AB15*IF(ISBLANK(W21),1,W21)),0)</f>
        <v>0</v>
      </c>
      <c r="AF21" s="1475" t="str">
        <f>_xlfn.LET(_xlpm.unite,SUBSTITUTE(TRIM(AA21)," (s)",""),_xlpm.val,AE21,_xlpm.estVol,COUNTIF(Z36:AF36,_xlpm.unite)+COUNTIF(Z38:AF38,_xlpm.unite)&gt;0,_xlpm.estPoids,COUNTIF(W36:Y36,_xlpm.unite)+COUNTIF(W38:Y38,_xlpm.unite)&gt;0,IF(_xlpm.estVol,IF(ROUND(_xlpm.val,3)&gt;=1,ROUND(_xlpm.val,3)&amp;" L",MAX(1,ROUND(_xlpm.val*100,0))&amp;" cl"),IF(_xlpm.estPoids,IF(ROUND(_xlpm.val,3)&gt;=1,ROUND(_xlpm.val,3)&amp;" Kg",MAX(1,ROUND(_xlpm.val*1000,0))&amp;" g"),"")))</f>
        <v/>
      </c>
      <c r="AH21" s="104" t="str">
        <f t="shared" ref="AH21:AH34" si="7">IF(AS21&lt;&gt;"","A","►")</f>
        <v>A</v>
      </c>
      <c r="AI21" s="32" t="str">
        <f>AI16</f>
        <v>T TERRINAS DE MANITAS DE CERDO para rodaja  | | Autor &gt; Guy KRENZE - Eric GODDYN - Arnaud NICOLAS - CEPROC 2002</v>
      </c>
      <c r="AJ21" s="33">
        <f>AJ16</f>
        <v>1</v>
      </c>
      <c r="AK21" s="32" t="str">
        <f>AK16</f>
        <v>molde L 30 cm × A 9 cm × H 6 cm</v>
      </c>
      <c r="AL21" s="34" t="str">
        <f>AL16</f>
        <v>Receta madre ► Morcilla en 4 versiones</v>
      </c>
      <c r="AM21" s="92"/>
      <c r="AN21" s="93"/>
      <c r="AO21" s="94" t="str">
        <f t="shared" si="4"/>
        <v/>
      </c>
      <c r="AP21" s="95"/>
      <c r="AQ21" s="126"/>
      <c r="AR21" s="127">
        <v>1</v>
      </c>
      <c r="AS21" s="920" t="s">
        <v>12997</v>
      </c>
      <c r="AT21" s="1494">
        <f>IF(OR(ISBLANK(AM14),AT14=0),0,AM21*AR15)</f>
        <v>0</v>
      </c>
      <c r="AU21" s="101" cm="1">
        <f t="array" ref="AU21">IFERROR(_xlfn.LET(_xlpm.k,UPPER(TRIM(AQ21)),_xlpm.r,_xlfn.XLOOKUP(_xlpm.k,UPPER(TRIM(AM36:AV36)),AM37:AV37,_xlfn.XLOOKUP(_xlpm.k,UPPER(TRIM(AM38:AV38)),AM39:AV39)),_xlpm.r*AP21*AR21*AR15*IF(ISBLANK(AM21),1,AM21)),0)</f>
        <v>0</v>
      </c>
      <c r="AV21" s="1475" t="str">
        <f>_xlfn.LET(_xlpm.unite,SUBSTITUTE(TRIM(AQ21)," (s)",""),_xlpm.val,AU21,_xlpm.estVol,COUNTIF(AP36:AV36,_xlpm.unite)+COUNTIF(AP38:AV38,_xlpm.unite)&gt;0,_xlpm.estPoids,COUNTIF(AM36:AO36,_xlpm.unite)+COUNTIF(AM38:AO38,_xlpm.unite)&gt;0,IF(_xlpm.estVol,IF(ROUND(_xlpm.val,3)&gt;=1,ROUND(_xlpm.val,3)&amp;" L",MAX(1,ROUND(_xlpm.val*100,0))&amp;" cl"),IF(_xlpm.estPoids,IF(ROUND(_xlpm.val,3)&gt;=1,ROUND(_xlpm.val,3)&amp;" Kg",MAX(1,ROUND(_xlpm.val*1000,0))&amp;" g"),"")))</f>
        <v/>
      </c>
      <c r="AY21" s="3">
        <v>1</v>
      </c>
    </row>
    <row r="22" spans="2:51" ht="27" customHeight="1">
      <c r="B22" s="104" t="str">
        <f t="shared" si="5"/>
        <v>A</v>
      </c>
      <c r="C22" s="32" t="str">
        <f>C16</f>
        <v>T TERRINE DE PIEDS DE PORC pour tranches | | Auteur &gt; Guy KRENZE - Eric GODDYN - Arnaud NICOLAS - CEPROC 2002</v>
      </c>
      <c r="D22" s="33">
        <f>D16</f>
        <v>1</v>
      </c>
      <c r="E22" s="32" t="str">
        <f>E16</f>
        <v xml:space="preserve">moule L 30 cm X l 9 cm X H 6 cm </v>
      </c>
      <c r="F22" s="34" t="str">
        <f>F16</f>
        <v>Recette mère ► le Boudin en 4 déclinaisons</v>
      </c>
      <c r="G22" s="92"/>
      <c r="H22" s="108"/>
      <c r="I22" s="94" t="str">
        <f t="shared" si="2"/>
        <v/>
      </c>
      <c r="J22" s="95">
        <v>300</v>
      </c>
      <c r="K22" s="105" t="s">
        <v>99</v>
      </c>
      <c r="L22" s="127">
        <v>1</v>
      </c>
      <c r="M22" s="920" t="s">
        <v>12848</v>
      </c>
      <c r="N22" s="1494">
        <f>IF(OR(ISBLANK(G14),N14=0),0,G22*L15)</f>
        <v>0</v>
      </c>
      <c r="O22" s="101" cm="1">
        <f t="array" ref="O22">IFERROR(_xlfn.LET(_xlpm.k,UPPER(TRIM(K22)),_xlpm.r,_xlfn.XLOOKUP(_xlpm.k,UPPER(TRIM(G36:P36)),G37:P37,_xlfn.XLOOKUP(_xlpm.k,UPPER(TRIM(G38:P38)),G39:P39)),_xlpm.r*J22*L22*L15*IF(ISBLANK(G22),1,G22)),0)</f>
        <v>0.6</v>
      </c>
      <c r="P22" s="1476" t="str">
        <f>_xlfn.LET(_xlpm.unite,SUBSTITUTE(TRIM(K22)," (s)",""),_xlpm.val,O22,_xlpm.estVol,COUNTIF(J36:P36,_xlpm.unite)+COUNTIF(J38:P38,_xlpm.unite)&gt;0,_xlpm.estPoids,COUNTIF(G36:I36,_xlpm.unite)+COUNTIF(G38:I38,_xlpm.unite)&gt;0,IF(_xlpm.estVol,IF(ROUND(_xlpm.val,3)&gt;=1,ROUND(_xlpm.val,3)&amp;" L",MAX(1,ROUND(_xlpm.val*100,0))&amp;" cl"),IF(_xlpm.estPoids,IF(ROUND(_xlpm.val,3)&gt;=1,ROUND(_xlpm.val,3)&amp;" Kg",MAX(1,ROUND(_xlpm.val*1000,0))&amp;" g"),"")))</f>
        <v>600 g</v>
      </c>
      <c r="R22" s="104" t="str">
        <f t="shared" si="6"/>
        <v>A</v>
      </c>
      <c r="S22" s="32" t="str">
        <f>S16</f>
        <v>T TERRINE OF PIG’S TROTTERS  for slices | |  Author &gt; Guy KRENZE - Eric GODDYN - Arnaud NICOLAS - CEPROC 2002</v>
      </c>
      <c r="T22" s="33">
        <f>T16</f>
        <v>1</v>
      </c>
      <c r="U22" s="32" t="str">
        <f>U16</f>
        <v>mold L 30 cm × W 9 cm × H 6 cm</v>
      </c>
      <c r="V22" s="34" t="str">
        <f>V16</f>
        <v>Master recipe ► Black pudding in 4 variations</v>
      </c>
      <c r="W22" s="92"/>
      <c r="X22" s="108"/>
      <c r="Y22" s="94" t="str">
        <f t="shared" si="3"/>
        <v/>
      </c>
      <c r="Z22" s="95">
        <v>300</v>
      </c>
      <c r="AA22" s="105" t="s">
        <v>99</v>
      </c>
      <c r="AB22" s="127">
        <v>1</v>
      </c>
      <c r="AC22" s="920" t="s">
        <v>12952</v>
      </c>
      <c r="AD22" s="1494">
        <f>IF(OR(ISBLANK(W14),AD14=0),0,W22*AB15)</f>
        <v>0</v>
      </c>
      <c r="AE22" s="101" cm="1">
        <f t="array" ref="AE22">IFERROR(_xlfn.LET(_xlpm.k,UPPER(TRIM(AA22)),_xlpm.r,_xlfn.XLOOKUP(_xlpm.k,UPPER(TRIM(W36:AF36)),W37:AF37,_xlfn.XLOOKUP(_xlpm.k,UPPER(TRIM(W38:AF38)),W39:AF39)),_xlpm.r*Z22*AB22*AB15*IF(ISBLANK(W22),1,W22)),0)</f>
        <v>0.6</v>
      </c>
      <c r="AF22" s="1476" t="str">
        <f>_xlfn.LET(_xlpm.unite,SUBSTITUTE(TRIM(AA22)," (s)",""),_xlpm.val,AE22,_xlpm.estVol,COUNTIF(Z36:AF36,_xlpm.unite)+COUNTIF(Z38:AF38,_xlpm.unite)&gt;0,_xlpm.estPoids,COUNTIF(W36:Y36,_xlpm.unite)+COUNTIF(W38:Y38,_xlpm.unite)&gt;0,IF(_xlpm.estVol,IF(ROUND(_xlpm.val,3)&gt;=1,ROUND(_xlpm.val,3)&amp;" L",MAX(1,ROUND(_xlpm.val*100,0))&amp;" cl"),IF(_xlpm.estPoids,IF(ROUND(_xlpm.val,3)&gt;=1,ROUND(_xlpm.val,3)&amp;" Kg",MAX(1,ROUND(_xlpm.val*1000,0))&amp;" g"),"")))</f>
        <v>600 g</v>
      </c>
      <c r="AH22" s="104" t="str">
        <f t="shared" si="7"/>
        <v>A</v>
      </c>
      <c r="AI22" s="32" t="str">
        <f>AI16</f>
        <v>T TERRINAS DE MANITAS DE CERDO para rodaja  | | Autor &gt; Guy KRENZE - Eric GODDYN - Arnaud NICOLAS - CEPROC 2002</v>
      </c>
      <c r="AJ22" s="33">
        <f>AJ16</f>
        <v>1</v>
      </c>
      <c r="AK22" s="32" t="str">
        <f>AK16</f>
        <v>molde L 30 cm × A 9 cm × H 6 cm</v>
      </c>
      <c r="AL22" s="34" t="str">
        <f>AL16</f>
        <v>Receta madre ► Morcilla en 4 versiones</v>
      </c>
      <c r="AM22" s="92"/>
      <c r="AN22" s="108"/>
      <c r="AO22" s="94" t="str">
        <f t="shared" si="4"/>
        <v/>
      </c>
      <c r="AP22" s="95">
        <v>300</v>
      </c>
      <c r="AQ22" s="105" t="s">
        <v>99</v>
      </c>
      <c r="AR22" s="127">
        <v>1</v>
      </c>
      <c r="AS22" s="920" t="s">
        <v>12953</v>
      </c>
      <c r="AT22" s="1494">
        <f>IF(OR(ISBLANK(AM14),AT14=0),0,AM22*AR15)</f>
        <v>0</v>
      </c>
      <c r="AU22" s="101" cm="1">
        <f t="array" ref="AU22">IFERROR(_xlfn.LET(_xlpm.k,UPPER(TRIM(AQ22)),_xlpm.r,_xlfn.XLOOKUP(_xlpm.k,UPPER(TRIM(AM36:AV36)),AM37:AV37,_xlfn.XLOOKUP(_xlpm.k,UPPER(TRIM(AM38:AV38)),AM39:AV39)),_xlpm.r*AP22*AR22*AR15*IF(ISBLANK(AM22),1,AM22)),0)</f>
        <v>0.6</v>
      </c>
      <c r="AV22" s="1476" t="str">
        <f>_xlfn.LET(_xlpm.unite,SUBSTITUTE(TRIM(AQ22)," (s)",""),_xlpm.val,AU22,_xlpm.estVol,COUNTIF(AP36:AV36,_xlpm.unite)+COUNTIF(AP38:AV38,_xlpm.unite)&gt;0,_xlpm.estPoids,COUNTIF(AM36:AO36,_xlpm.unite)+COUNTIF(AM38:AO38,_xlpm.unite)&gt;0,IF(_xlpm.estVol,IF(ROUND(_xlpm.val,3)&gt;=1,ROUND(_xlpm.val,3)&amp;" L",MAX(1,ROUND(_xlpm.val*100,0))&amp;" cl"),IF(_xlpm.estPoids,IF(ROUND(_xlpm.val,3)&gt;=1,ROUND(_xlpm.val,3)&amp;" Kg",MAX(1,ROUND(_xlpm.val*1000,0))&amp;" g"),"")))</f>
        <v>600 g</v>
      </c>
      <c r="AY22" s="3">
        <v>1</v>
      </c>
    </row>
    <row r="23" spans="2:51" ht="27" customHeight="1">
      <c r="B23" s="104" t="str">
        <f t="shared" si="5"/>
        <v>A</v>
      </c>
      <c r="C23" s="32" t="str">
        <f>C16</f>
        <v>T TERRINE DE PIEDS DE PORC pour tranches | | Auteur &gt; Guy KRENZE - Eric GODDYN - Arnaud NICOLAS - CEPROC 2002</v>
      </c>
      <c r="D23" s="33">
        <f>D16</f>
        <v>1</v>
      </c>
      <c r="E23" s="32" t="str">
        <f>E16</f>
        <v xml:space="preserve">moule L 30 cm X l 9 cm X H 6 cm </v>
      </c>
      <c r="F23" s="34" t="str">
        <f>F16</f>
        <v>Recette mère ► le Boudin en 4 déclinaisons</v>
      </c>
      <c r="G23" s="92"/>
      <c r="H23" s="108"/>
      <c r="I23" s="94" t="str">
        <f t="shared" si="2"/>
        <v/>
      </c>
      <c r="J23" s="95">
        <v>300</v>
      </c>
      <c r="K23" s="105" t="s">
        <v>99</v>
      </c>
      <c r="L23" s="127">
        <v>1</v>
      </c>
      <c r="M23" s="920" t="s">
        <v>12849</v>
      </c>
      <c r="N23" s="1494">
        <f>IF(OR(ISBLANK(G14),N14=0),0,G23*L15)</f>
        <v>0</v>
      </c>
      <c r="O23" s="101" cm="1">
        <f t="array" ref="O23">IFERROR(_xlfn.LET(_xlpm.k,UPPER(TRIM(K23)),_xlpm.r,_xlfn.XLOOKUP(_xlpm.k,UPPER(TRIM(G36:P36)),G37:P37,_xlfn.XLOOKUP(_xlpm.k,UPPER(TRIM(G38:P38)),G39:P39)),_xlpm.r*J23*L23*L15*IF(ISBLANK(G23),1,G23)),0)</f>
        <v>0.6</v>
      </c>
      <c r="P23" s="1475" t="str">
        <f>_xlfn.LET(_xlpm.unite,SUBSTITUTE(TRIM(K23)," (s)",""),_xlpm.val,O23,_xlpm.estVol,COUNTIF(J36:P36,_xlpm.unite)+COUNTIF(J38:P38,_xlpm.unite)&gt;0,_xlpm.estPoids,COUNTIF(G36:I36,_xlpm.unite)+COUNTIF(G38:I38,_xlpm.unite)&gt;0,IF(_xlpm.estVol,IF(ROUND(_xlpm.val,3)&gt;=1,ROUND(_xlpm.val,3)&amp;" L",MAX(1,ROUND(_xlpm.val*100,0))&amp;" cl"),IF(_xlpm.estPoids,IF(ROUND(_xlpm.val,3)&gt;=1,ROUND(_xlpm.val,3)&amp;" Kg",MAX(1,ROUND(_xlpm.val*1000,0))&amp;" g"),"")))</f>
        <v>600 g</v>
      </c>
      <c r="R23" s="104" t="str">
        <f t="shared" si="6"/>
        <v>A</v>
      </c>
      <c r="S23" s="32" t="str">
        <f>S16</f>
        <v>T TERRINE OF PIG’S TROTTERS  for slices | |  Author &gt; Guy KRENZE - Eric GODDYN - Arnaud NICOLAS - CEPROC 2002</v>
      </c>
      <c r="T23" s="33">
        <f>T16</f>
        <v>1</v>
      </c>
      <c r="U23" s="32" t="str">
        <f>U16</f>
        <v>mold L 30 cm × W 9 cm × H 6 cm</v>
      </c>
      <c r="V23" s="34" t="str">
        <f>V16</f>
        <v>Master recipe ► Black pudding in 4 variations</v>
      </c>
      <c r="W23" s="92"/>
      <c r="X23" s="108"/>
      <c r="Y23" s="94" t="str">
        <f t="shared" si="3"/>
        <v/>
      </c>
      <c r="Z23" s="95">
        <v>300</v>
      </c>
      <c r="AA23" s="105" t="s">
        <v>99</v>
      </c>
      <c r="AB23" s="127">
        <v>1</v>
      </c>
      <c r="AC23" s="920" t="s">
        <v>12955</v>
      </c>
      <c r="AD23" s="1494">
        <f>IF(OR(ISBLANK(W14),AD14=0),0,W23*AB15)</f>
        <v>0</v>
      </c>
      <c r="AE23" s="101" cm="1">
        <f t="array" ref="AE23">IFERROR(_xlfn.LET(_xlpm.k,UPPER(TRIM(AA23)),_xlpm.r,_xlfn.XLOOKUP(_xlpm.k,UPPER(TRIM(W36:AF36)),W37:AF37,_xlfn.XLOOKUP(_xlpm.k,UPPER(TRIM(W38:AF38)),W39:AF39)),_xlpm.r*Z23*AB23*AB15*IF(ISBLANK(W23),1,W23)),0)</f>
        <v>0.6</v>
      </c>
      <c r="AF23" s="1475" t="str">
        <f>_xlfn.LET(_xlpm.unite,SUBSTITUTE(TRIM(AA23)," (s)",""),_xlpm.val,AE23,_xlpm.estVol,COUNTIF(Z36:AF36,_xlpm.unite)+COUNTIF(Z38:AF38,_xlpm.unite)&gt;0,_xlpm.estPoids,COUNTIF(W36:Y36,_xlpm.unite)+COUNTIF(W38:Y38,_xlpm.unite)&gt;0,IF(_xlpm.estVol,IF(ROUND(_xlpm.val,3)&gt;=1,ROUND(_xlpm.val,3)&amp;" L",MAX(1,ROUND(_xlpm.val*100,0))&amp;" cl"),IF(_xlpm.estPoids,IF(ROUND(_xlpm.val,3)&gt;=1,ROUND(_xlpm.val,3)&amp;" Kg",MAX(1,ROUND(_xlpm.val*1000,0))&amp;" g"),"")))</f>
        <v>600 g</v>
      </c>
      <c r="AH23" s="104" t="str">
        <f t="shared" si="7"/>
        <v>A</v>
      </c>
      <c r="AI23" s="32" t="str">
        <f>AI16</f>
        <v>T TERRINAS DE MANITAS DE CERDO para rodaja  | | Autor &gt; Guy KRENZE - Eric GODDYN - Arnaud NICOLAS - CEPROC 2002</v>
      </c>
      <c r="AJ23" s="33">
        <f>AJ16</f>
        <v>1</v>
      </c>
      <c r="AK23" s="32" t="str">
        <f>AK16</f>
        <v>molde L 30 cm × A 9 cm × H 6 cm</v>
      </c>
      <c r="AL23" s="34" t="str">
        <f>AL16</f>
        <v>Receta madre ► Morcilla en 4 versiones</v>
      </c>
      <c r="AM23" s="92"/>
      <c r="AN23" s="108"/>
      <c r="AO23" s="94" t="str">
        <f t="shared" si="4"/>
        <v/>
      </c>
      <c r="AP23" s="95">
        <v>300</v>
      </c>
      <c r="AQ23" s="105" t="s">
        <v>99</v>
      </c>
      <c r="AR23" s="127">
        <v>1</v>
      </c>
      <c r="AS23" s="920" t="s">
        <v>12956</v>
      </c>
      <c r="AT23" s="1494">
        <f>IF(OR(ISBLANK(AM14),AT14=0),0,AM23*AR15)</f>
        <v>0</v>
      </c>
      <c r="AU23" s="101" cm="1">
        <f t="array" ref="AU23">IFERROR(_xlfn.LET(_xlpm.k,UPPER(TRIM(AQ23)),_xlpm.r,_xlfn.XLOOKUP(_xlpm.k,UPPER(TRIM(AM36:AV36)),AM37:AV37,_xlfn.XLOOKUP(_xlpm.k,UPPER(TRIM(AM38:AV38)),AM39:AV39)),_xlpm.r*AP23*AR23*AR15*IF(ISBLANK(AM23),1,AM23)),0)</f>
        <v>0.6</v>
      </c>
      <c r="AV23" s="1475" t="str">
        <f>_xlfn.LET(_xlpm.unite,SUBSTITUTE(TRIM(AQ23)," (s)",""),_xlpm.val,AU23,_xlpm.estVol,COUNTIF(AP36:AV36,_xlpm.unite)+COUNTIF(AP38:AV38,_xlpm.unite)&gt;0,_xlpm.estPoids,COUNTIF(AM36:AO36,_xlpm.unite)+COUNTIF(AM38:AO38,_xlpm.unite)&gt;0,IF(_xlpm.estVol,IF(ROUND(_xlpm.val,3)&gt;=1,ROUND(_xlpm.val,3)&amp;" L",MAX(1,ROUND(_xlpm.val*100,0))&amp;" cl"),IF(_xlpm.estPoids,IF(ROUND(_xlpm.val,3)&gt;=1,ROUND(_xlpm.val,3)&amp;" Kg",MAX(1,ROUND(_xlpm.val*1000,0))&amp;" g"),"")))</f>
        <v>600 g</v>
      </c>
      <c r="AY23" s="3">
        <v>1</v>
      </c>
    </row>
    <row r="24" spans="2:51" ht="27" customHeight="1">
      <c r="B24" s="104" t="str">
        <f t="shared" si="5"/>
        <v>A</v>
      </c>
      <c r="C24" s="32" t="str">
        <f>C16</f>
        <v>T TERRINE DE PIEDS DE PORC pour tranches | | Auteur &gt; Guy KRENZE - Eric GODDYN - Arnaud NICOLAS - CEPROC 2002</v>
      </c>
      <c r="D24" s="33">
        <f>D16</f>
        <v>1</v>
      </c>
      <c r="E24" s="32" t="str">
        <f>E16</f>
        <v xml:space="preserve">moule L 30 cm X l 9 cm X H 6 cm </v>
      </c>
      <c r="F24" s="34" t="str">
        <f>F16</f>
        <v>Recette mère ► le Boudin en 4 déclinaisons</v>
      </c>
      <c r="G24" s="92"/>
      <c r="H24" s="108"/>
      <c r="I24" s="94" t="str">
        <f t="shared" si="2"/>
        <v/>
      </c>
      <c r="J24" s="95">
        <v>45</v>
      </c>
      <c r="K24" s="105" t="s">
        <v>99</v>
      </c>
      <c r="L24" s="127">
        <v>1</v>
      </c>
      <c r="M24" s="920" t="s">
        <v>12850</v>
      </c>
      <c r="N24" s="1494">
        <f>IF(OR(ISBLANK(G14),N14=0),0,G24*L15)</f>
        <v>0</v>
      </c>
      <c r="O24" s="101" cm="1">
        <f t="array" ref="O24">IFERROR(_xlfn.LET(_xlpm.k,UPPER(TRIM(K24)),_xlpm.r,_xlfn.XLOOKUP(_xlpm.k,UPPER(TRIM(G36:P36)),G37:P37,_xlfn.XLOOKUP(_xlpm.k,UPPER(TRIM(G38:P38)),G39:P39)),_xlpm.r*J24*L24*L15*IF(ISBLANK(G24),1,G24)),0)</f>
        <v>0.09</v>
      </c>
      <c r="P24" s="1476" t="str">
        <f>_xlfn.LET(_xlpm.unite,SUBSTITUTE(TRIM(K24)," (s)",""),_xlpm.val,O24,_xlpm.estVol,COUNTIF(J36:P36,_xlpm.unite)+COUNTIF(J38:P38,_xlpm.unite)&gt;0,_xlpm.estPoids,COUNTIF(G36:I36,_xlpm.unite)+COUNTIF(G38:I38,_xlpm.unite)&gt;0,IF(_xlpm.estVol,IF(ROUND(_xlpm.val,3)&gt;=1,ROUND(_xlpm.val,3)&amp;" L",MAX(1,ROUND(_xlpm.val*100,0))&amp;" cl"),IF(_xlpm.estPoids,IF(ROUND(_xlpm.val,3)&gt;=1,ROUND(_xlpm.val,3)&amp;" Kg",MAX(1,ROUND(_xlpm.val*1000,0))&amp;" g"),"")))</f>
        <v>90 g</v>
      </c>
      <c r="R24" s="104" t="str">
        <f t="shared" si="6"/>
        <v>A</v>
      </c>
      <c r="S24" s="32" t="str">
        <f>S16</f>
        <v>T TERRINE OF PIG’S TROTTERS  for slices | |  Author &gt; Guy KRENZE - Eric GODDYN - Arnaud NICOLAS - CEPROC 2002</v>
      </c>
      <c r="T24" s="33">
        <f>T16</f>
        <v>1</v>
      </c>
      <c r="U24" s="32" t="str">
        <f>U16</f>
        <v>mold L 30 cm × W 9 cm × H 6 cm</v>
      </c>
      <c r="V24" s="34" t="str">
        <f>V16</f>
        <v>Master recipe ► Black pudding in 4 variations</v>
      </c>
      <c r="W24" s="92"/>
      <c r="X24" s="108"/>
      <c r="Y24" s="94" t="str">
        <f t="shared" si="3"/>
        <v/>
      </c>
      <c r="Z24" s="95">
        <v>45</v>
      </c>
      <c r="AA24" s="105" t="s">
        <v>99</v>
      </c>
      <c r="AB24" s="127">
        <v>1</v>
      </c>
      <c r="AC24" s="920" t="s">
        <v>12957</v>
      </c>
      <c r="AD24" s="1494">
        <f>IF(OR(ISBLANK(W14),AD14=0),0,W24*AB15)</f>
        <v>0</v>
      </c>
      <c r="AE24" s="101" cm="1">
        <f t="array" ref="AE24">IFERROR(_xlfn.LET(_xlpm.k,UPPER(TRIM(AA24)),_xlpm.r,_xlfn.XLOOKUP(_xlpm.k,UPPER(TRIM(W36:AF36)),W37:AF37,_xlfn.XLOOKUP(_xlpm.k,UPPER(TRIM(W38:AF38)),W39:AF39)),_xlpm.r*Z24*AB24*AB15*IF(ISBLANK(W24),1,W24)),0)</f>
        <v>0.09</v>
      </c>
      <c r="AF24" s="1476" t="str">
        <f>_xlfn.LET(_xlpm.unite,SUBSTITUTE(TRIM(AA24)," (s)",""),_xlpm.val,AE24,_xlpm.estVol,COUNTIF(Z36:AF36,_xlpm.unite)+COUNTIF(Z38:AF38,_xlpm.unite)&gt;0,_xlpm.estPoids,COUNTIF(W36:Y36,_xlpm.unite)+COUNTIF(W38:Y38,_xlpm.unite)&gt;0,IF(_xlpm.estVol,IF(ROUND(_xlpm.val,3)&gt;=1,ROUND(_xlpm.val,3)&amp;" L",MAX(1,ROUND(_xlpm.val*100,0))&amp;" cl"),IF(_xlpm.estPoids,IF(ROUND(_xlpm.val,3)&gt;=1,ROUND(_xlpm.val,3)&amp;" Kg",MAX(1,ROUND(_xlpm.val*1000,0))&amp;" g"),"")))</f>
        <v>90 g</v>
      </c>
      <c r="AH24" s="104" t="str">
        <f t="shared" si="7"/>
        <v>A</v>
      </c>
      <c r="AI24" s="32" t="str">
        <f>AI16</f>
        <v>T TERRINAS DE MANITAS DE CERDO para rodaja  | | Autor &gt; Guy KRENZE - Eric GODDYN - Arnaud NICOLAS - CEPROC 2002</v>
      </c>
      <c r="AJ24" s="33">
        <f>AJ16</f>
        <v>1</v>
      </c>
      <c r="AK24" s="32" t="str">
        <f>AK16</f>
        <v>molde L 30 cm × A 9 cm × H 6 cm</v>
      </c>
      <c r="AL24" s="34" t="str">
        <f>AL16</f>
        <v>Receta madre ► Morcilla en 4 versiones</v>
      </c>
      <c r="AM24" s="92"/>
      <c r="AN24" s="108"/>
      <c r="AO24" s="94" t="str">
        <f t="shared" si="4"/>
        <v/>
      </c>
      <c r="AP24" s="95">
        <v>45</v>
      </c>
      <c r="AQ24" s="105" t="s">
        <v>99</v>
      </c>
      <c r="AR24" s="127">
        <v>1</v>
      </c>
      <c r="AS24" s="920" t="s">
        <v>12958</v>
      </c>
      <c r="AT24" s="1494">
        <f>IF(OR(ISBLANK(AM14),AT14=0),0,AM24*AR15)</f>
        <v>0</v>
      </c>
      <c r="AU24" s="101" cm="1">
        <f t="array" ref="AU24">IFERROR(_xlfn.LET(_xlpm.k,UPPER(TRIM(AQ24)),_xlpm.r,_xlfn.XLOOKUP(_xlpm.k,UPPER(TRIM(AM36:AV36)),AM37:AV37,_xlfn.XLOOKUP(_xlpm.k,UPPER(TRIM(AM38:AV38)),AM39:AV39)),_xlpm.r*AP24*AR24*AR15*IF(ISBLANK(AM24),1,AM24)),0)</f>
        <v>0.09</v>
      </c>
      <c r="AV24" s="1476" t="str">
        <f>_xlfn.LET(_xlpm.unite,SUBSTITUTE(TRIM(AQ24)," (s)",""),_xlpm.val,AU24,_xlpm.estVol,COUNTIF(AP36:AV36,_xlpm.unite)+COUNTIF(AP38:AV38,_xlpm.unite)&gt;0,_xlpm.estPoids,COUNTIF(AM36:AO36,_xlpm.unite)+COUNTIF(AM38:AO38,_xlpm.unite)&gt;0,IF(_xlpm.estVol,IF(ROUND(_xlpm.val,3)&gt;=1,ROUND(_xlpm.val,3)&amp;" L",MAX(1,ROUND(_xlpm.val*100,0))&amp;" cl"),IF(_xlpm.estPoids,IF(ROUND(_xlpm.val,3)&gt;=1,ROUND(_xlpm.val,3)&amp;" Kg",MAX(1,ROUND(_xlpm.val*1000,0))&amp;" g"),"")))</f>
        <v>90 g</v>
      </c>
      <c r="AY24" s="3">
        <v>1</v>
      </c>
    </row>
    <row r="25" spans="2:51" ht="27" customHeight="1">
      <c r="B25" s="104" t="str">
        <f t="shared" si="5"/>
        <v>A</v>
      </c>
      <c r="C25" s="32" t="str">
        <f>C16</f>
        <v>T TERRINE DE PIEDS DE PORC pour tranches | | Auteur &gt; Guy KRENZE - Eric GODDYN - Arnaud NICOLAS - CEPROC 2002</v>
      </c>
      <c r="D25" s="33">
        <f>D16</f>
        <v>1</v>
      </c>
      <c r="E25" s="32" t="str">
        <f>E16</f>
        <v xml:space="preserve">moule L 30 cm X l 9 cm X H 6 cm </v>
      </c>
      <c r="F25" s="34" t="str">
        <f>F16</f>
        <v>Recette mère ► le Boudin en 4 déclinaisons</v>
      </c>
      <c r="G25" s="92"/>
      <c r="H25" s="108"/>
      <c r="I25" s="94" t="str">
        <f t="shared" si="2"/>
        <v/>
      </c>
      <c r="J25" s="95">
        <v>50</v>
      </c>
      <c r="K25" s="105" t="s">
        <v>99</v>
      </c>
      <c r="L25" s="127">
        <v>1</v>
      </c>
      <c r="M25" s="920" t="s">
        <v>12831</v>
      </c>
      <c r="N25" s="1494">
        <f>IF(OR(ISBLANK(G14),N14=0),0,G25*L15)</f>
        <v>0</v>
      </c>
      <c r="O25" s="101" cm="1">
        <f t="array" ref="O25">IFERROR(_xlfn.LET(_xlpm.k,UPPER(TRIM(K25)),_xlpm.r,_xlfn.XLOOKUP(_xlpm.k,UPPER(TRIM(G36:P36)),G37:P37,_xlfn.XLOOKUP(_xlpm.k,UPPER(TRIM(G38:P38)),G39:P39)),_xlpm.r*J25*L25*L15*IF(ISBLANK(G25),1,G25)),0)</f>
        <v>0.1</v>
      </c>
      <c r="P25" s="1475" t="str">
        <f>_xlfn.LET(_xlpm.unite,SUBSTITUTE(TRIM(K25)," (s)",""),_xlpm.val,O25,_xlpm.estVol,COUNTIF(J36:P36,_xlpm.unite)+COUNTIF(J38:P38,_xlpm.unite)&gt;0,_xlpm.estPoids,COUNTIF(G36:I36,_xlpm.unite)+COUNTIF(G38:I38,_xlpm.unite)&gt;0,IF(_xlpm.estVol,IF(ROUND(_xlpm.val,3)&gt;=1,ROUND(_xlpm.val,3)&amp;" L",MAX(1,ROUND(_xlpm.val*100,0))&amp;" cl"),IF(_xlpm.estPoids,IF(ROUND(_xlpm.val,3)&gt;=1,ROUND(_xlpm.val,3)&amp;" Kg",MAX(1,ROUND(_xlpm.val*1000,0))&amp;" g"),"")))</f>
        <v>100 g</v>
      </c>
      <c r="R25" s="104" t="str">
        <f t="shared" si="6"/>
        <v>A</v>
      </c>
      <c r="S25" s="32" t="str">
        <f>S16</f>
        <v>T TERRINE OF PIG’S TROTTERS  for slices | |  Author &gt; Guy KRENZE - Eric GODDYN - Arnaud NICOLAS - CEPROC 2002</v>
      </c>
      <c r="T25" s="33">
        <f>T16</f>
        <v>1</v>
      </c>
      <c r="U25" s="32" t="str">
        <f>U16</f>
        <v>mold L 30 cm × W 9 cm × H 6 cm</v>
      </c>
      <c r="V25" s="34" t="str">
        <f>V16</f>
        <v>Master recipe ► Black pudding in 4 variations</v>
      </c>
      <c r="W25" s="92"/>
      <c r="X25" s="108"/>
      <c r="Y25" s="94" t="str">
        <f t="shared" si="3"/>
        <v/>
      </c>
      <c r="Z25" s="95">
        <v>50</v>
      </c>
      <c r="AA25" s="105" t="s">
        <v>99</v>
      </c>
      <c r="AB25" s="127">
        <v>1</v>
      </c>
      <c r="AC25" s="920" t="s">
        <v>12891</v>
      </c>
      <c r="AD25" s="1494">
        <f>IF(OR(ISBLANK(W14),AD14=0),0,W25*AB15)</f>
        <v>0</v>
      </c>
      <c r="AE25" s="101" cm="1">
        <f t="array" ref="AE25">IFERROR(_xlfn.LET(_xlpm.k,UPPER(TRIM(AA25)),_xlpm.r,_xlfn.XLOOKUP(_xlpm.k,UPPER(TRIM(W36:AF36)),W37:AF37,_xlfn.XLOOKUP(_xlpm.k,UPPER(TRIM(W38:AF38)),W39:AF39)),_xlpm.r*Z25*AB25*AB15*IF(ISBLANK(W25),1,W25)),0)</f>
        <v>0.1</v>
      </c>
      <c r="AF25" s="1475" t="str">
        <f>_xlfn.LET(_xlpm.unite,SUBSTITUTE(TRIM(AA25)," (s)",""),_xlpm.val,AE25,_xlpm.estVol,COUNTIF(Z36:AF36,_xlpm.unite)+COUNTIF(Z38:AF38,_xlpm.unite)&gt;0,_xlpm.estPoids,COUNTIF(W36:Y36,_xlpm.unite)+COUNTIF(W38:Y38,_xlpm.unite)&gt;0,IF(_xlpm.estVol,IF(ROUND(_xlpm.val,3)&gt;=1,ROUND(_xlpm.val,3)&amp;" L",MAX(1,ROUND(_xlpm.val*100,0))&amp;" cl"),IF(_xlpm.estPoids,IF(ROUND(_xlpm.val,3)&gt;=1,ROUND(_xlpm.val,3)&amp;" Kg",MAX(1,ROUND(_xlpm.val*1000,0))&amp;" g"),"")))</f>
        <v>100 g</v>
      </c>
      <c r="AH25" s="104" t="str">
        <f t="shared" si="7"/>
        <v>A</v>
      </c>
      <c r="AI25" s="32" t="str">
        <f>AI16</f>
        <v>T TERRINAS DE MANITAS DE CERDO para rodaja  | | Autor &gt; Guy KRENZE - Eric GODDYN - Arnaud NICOLAS - CEPROC 2002</v>
      </c>
      <c r="AJ25" s="33">
        <f>AJ16</f>
        <v>1</v>
      </c>
      <c r="AK25" s="32" t="str">
        <f>AK16</f>
        <v>molde L 30 cm × A 9 cm × H 6 cm</v>
      </c>
      <c r="AL25" s="34" t="str">
        <f>AL16</f>
        <v>Receta madre ► Morcilla en 4 versiones</v>
      </c>
      <c r="AM25" s="92"/>
      <c r="AN25" s="108"/>
      <c r="AO25" s="94" t="str">
        <f t="shared" si="4"/>
        <v/>
      </c>
      <c r="AP25" s="95">
        <v>50</v>
      </c>
      <c r="AQ25" s="105" t="s">
        <v>99</v>
      </c>
      <c r="AR25" s="127">
        <v>1</v>
      </c>
      <c r="AS25" s="920" t="s">
        <v>12892</v>
      </c>
      <c r="AT25" s="1494">
        <f>IF(OR(ISBLANK(AM14),AT14=0),0,AM25*AR15)</f>
        <v>0</v>
      </c>
      <c r="AU25" s="101" cm="1">
        <f t="array" ref="AU25">IFERROR(_xlfn.LET(_xlpm.k,UPPER(TRIM(AQ25)),_xlpm.r,_xlfn.XLOOKUP(_xlpm.k,UPPER(TRIM(AM36:AV36)),AM37:AV37,_xlfn.XLOOKUP(_xlpm.k,UPPER(TRIM(AM38:AV38)),AM39:AV39)),_xlpm.r*AP25*AR25*AR15*IF(ISBLANK(AM25),1,AM25)),0)</f>
        <v>0.1</v>
      </c>
      <c r="AV25" s="1475" t="str">
        <f>_xlfn.LET(_xlpm.unite,SUBSTITUTE(TRIM(AQ25)," (s)",""),_xlpm.val,AU25,_xlpm.estVol,COUNTIF(AP36:AV36,_xlpm.unite)+COUNTIF(AP38:AV38,_xlpm.unite)&gt;0,_xlpm.estPoids,COUNTIF(AM36:AO36,_xlpm.unite)+COUNTIF(AM38:AO38,_xlpm.unite)&gt;0,IF(_xlpm.estVol,IF(ROUND(_xlpm.val,3)&gt;=1,ROUND(_xlpm.val,3)&amp;" L",MAX(1,ROUND(_xlpm.val*100,0))&amp;" cl"),IF(_xlpm.estPoids,IF(ROUND(_xlpm.val,3)&gt;=1,ROUND(_xlpm.val,3)&amp;" Kg",MAX(1,ROUND(_xlpm.val*1000,0))&amp;" g"),"")))</f>
        <v>100 g</v>
      </c>
      <c r="AY25" s="3">
        <v>1</v>
      </c>
    </row>
    <row r="26" spans="2:51" ht="27" customHeight="1">
      <c r="B26" s="104" t="str">
        <f t="shared" si="5"/>
        <v>A</v>
      </c>
      <c r="C26" s="32" t="str">
        <f>C16</f>
        <v>T TERRINE DE PIEDS DE PORC pour tranches | | Auteur &gt; Guy KRENZE - Eric GODDYN - Arnaud NICOLAS - CEPROC 2002</v>
      </c>
      <c r="D26" s="33">
        <f>D16</f>
        <v>1</v>
      </c>
      <c r="E26" s="32" t="str">
        <f>E16</f>
        <v xml:space="preserve">moule L 30 cm X l 9 cm X H 6 cm </v>
      </c>
      <c r="F26" s="34" t="str">
        <f>F16</f>
        <v>Recette mère ► le Boudin en 4 déclinaisons</v>
      </c>
      <c r="G26" s="92"/>
      <c r="H26" s="108"/>
      <c r="I26" s="94" t="str">
        <f t="shared" si="2"/>
        <v/>
      </c>
      <c r="J26" s="95">
        <v>7</v>
      </c>
      <c r="K26" s="105" t="s">
        <v>99</v>
      </c>
      <c r="L26" s="127">
        <v>1</v>
      </c>
      <c r="M26" s="920" t="s">
        <v>12851</v>
      </c>
      <c r="N26" s="1494">
        <f>IF(OR(ISBLANK(G14),N14=0),0,G26*L15)</f>
        <v>0</v>
      </c>
      <c r="O26" s="101" cm="1">
        <f t="array" ref="O26">IFERROR(_xlfn.LET(_xlpm.k,UPPER(TRIM(K26)),_xlpm.r,_xlfn.XLOOKUP(_xlpm.k,UPPER(TRIM(G36:P36)),G37:P37,_xlfn.XLOOKUP(_xlpm.k,UPPER(TRIM(G38:P38)),G39:P39)),_xlpm.r*J26*L26*L15*IF(ISBLANK(G26),1,G26)),0)</f>
        <v>1.4E-2</v>
      </c>
      <c r="P26" s="1476" t="str">
        <f>_xlfn.LET(_xlpm.unite,SUBSTITUTE(TRIM(K26)," (s)",""),_xlpm.val,O26,_xlpm.estVol,COUNTIF(J36:P36,_xlpm.unite)+COUNTIF(J38:P38,_xlpm.unite)&gt;0,_xlpm.estPoids,COUNTIF(G36:I36,_xlpm.unite)+COUNTIF(G38:I38,_xlpm.unite)&gt;0,IF(_xlpm.estVol,IF(ROUND(_xlpm.val,3)&gt;=1,ROUND(_xlpm.val,3)&amp;" L",MAX(1,ROUND(_xlpm.val*100,0))&amp;" cl"),IF(_xlpm.estPoids,IF(ROUND(_xlpm.val,3)&gt;=1,ROUND(_xlpm.val,3)&amp;" Kg",MAX(1,ROUND(_xlpm.val*1000,0))&amp;" g"),"")))</f>
        <v>14 g</v>
      </c>
      <c r="R26" s="104" t="str">
        <f t="shared" si="6"/>
        <v>A</v>
      </c>
      <c r="S26" s="32" t="str">
        <f>S16</f>
        <v>T TERRINE OF PIG’S TROTTERS  for slices | |  Author &gt; Guy KRENZE - Eric GODDYN - Arnaud NICOLAS - CEPROC 2002</v>
      </c>
      <c r="T26" s="33">
        <f>T16</f>
        <v>1</v>
      </c>
      <c r="U26" s="32" t="str">
        <f>U16</f>
        <v>mold L 30 cm × W 9 cm × H 6 cm</v>
      </c>
      <c r="V26" s="34" t="str">
        <f>V16</f>
        <v>Master recipe ► Black pudding in 4 variations</v>
      </c>
      <c r="W26" s="92"/>
      <c r="X26" s="108"/>
      <c r="Y26" s="94" t="str">
        <f t="shared" si="3"/>
        <v/>
      </c>
      <c r="Z26" s="95">
        <v>7</v>
      </c>
      <c r="AA26" s="105" t="s">
        <v>99</v>
      </c>
      <c r="AB26" s="127">
        <v>1</v>
      </c>
      <c r="AC26" s="920" t="s">
        <v>12959</v>
      </c>
      <c r="AD26" s="1494">
        <f>IF(OR(ISBLANK(W14),AD14=0),0,W26*AB15)</f>
        <v>0</v>
      </c>
      <c r="AE26" s="101" cm="1">
        <f t="array" ref="AE26">IFERROR(_xlfn.LET(_xlpm.k,UPPER(TRIM(AA26)),_xlpm.r,_xlfn.XLOOKUP(_xlpm.k,UPPER(TRIM(W36:AF36)),W37:AF37,_xlfn.XLOOKUP(_xlpm.k,UPPER(TRIM(W38:AF38)),W39:AF39)),_xlpm.r*Z26*AB26*AB15*IF(ISBLANK(W26),1,W26)),0)</f>
        <v>1.4E-2</v>
      </c>
      <c r="AF26" s="1476" t="str">
        <f>_xlfn.LET(_xlpm.unite,SUBSTITUTE(TRIM(AA26)," (s)",""),_xlpm.val,AE26,_xlpm.estVol,COUNTIF(Z36:AF36,_xlpm.unite)+COUNTIF(Z38:AF38,_xlpm.unite)&gt;0,_xlpm.estPoids,COUNTIF(W36:Y36,_xlpm.unite)+COUNTIF(W38:Y38,_xlpm.unite)&gt;0,IF(_xlpm.estVol,IF(ROUND(_xlpm.val,3)&gt;=1,ROUND(_xlpm.val,3)&amp;" L",MAX(1,ROUND(_xlpm.val*100,0))&amp;" cl"),IF(_xlpm.estPoids,IF(ROUND(_xlpm.val,3)&gt;=1,ROUND(_xlpm.val,3)&amp;" Kg",MAX(1,ROUND(_xlpm.val*1000,0))&amp;" g"),"")))</f>
        <v>14 g</v>
      </c>
      <c r="AH26" s="104" t="str">
        <f t="shared" si="7"/>
        <v>A</v>
      </c>
      <c r="AI26" s="32" t="str">
        <f>AI16</f>
        <v>T TERRINAS DE MANITAS DE CERDO para rodaja  | | Autor &gt; Guy KRENZE - Eric GODDYN - Arnaud NICOLAS - CEPROC 2002</v>
      </c>
      <c r="AJ26" s="33">
        <f>AJ16</f>
        <v>1</v>
      </c>
      <c r="AK26" s="32" t="str">
        <f>AK16</f>
        <v>molde L 30 cm × A 9 cm × H 6 cm</v>
      </c>
      <c r="AL26" s="34" t="str">
        <f>AL16</f>
        <v>Receta madre ► Morcilla en 4 versiones</v>
      </c>
      <c r="AM26" s="92"/>
      <c r="AN26" s="108"/>
      <c r="AO26" s="94" t="str">
        <f t="shared" si="4"/>
        <v/>
      </c>
      <c r="AP26" s="95">
        <v>7</v>
      </c>
      <c r="AQ26" s="105" t="s">
        <v>99</v>
      </c>
      <c r="AR26" s="127">
        <v>1</v>
      </c>
      <c r="AS26" s="920" t="s">
        <v>12960</v>
      </c>
      <c r="AT26" s="1494">
        <f>IF(OR(ISBLANK(AM14),AT14=0),0,AM26*AR15)</f>
        <v>0</v>
      </c>
      <c r="AU26" s="101" cm="1">
        <f t="array" ref="AU26">IFERROR(_xlfn.LET(_xlpm.k,UPPER(TRIM(AQ26)),_xlpm.r,_xlfn.XLOOKUP(_xlpm.k,UPPER(TRIM(AM36:AV36)),AM37:AV37,_xlfn.XLOOKUP(_xlpm.k,UPPER(TRIM(AM38:AV38)),AM39:AV39)),_xlpm.r*AP26*AR26*AR15*IF(ISBLANK(AM26),1,AM26)),0)</f>
        <v>1.4E-2</v>
      </c>
      <c r="AV26" s="1476" t="str">
        <f>_xlfn.LET(_xlpm.unite,SUBSTITUTE(TRIM(AQ26)," (s)",""),_xlpm.val,AU26,_xlpm.estVol,COUNTIF(AP36:AV36,_xlpm.unite)+COUNTIF(AP38:AV38,_xlpm.unite)&gt;0,_xlpm.estPoids,COUNTIF(AM36:AO36,_xlpm.unite)+COUNTIF(AM38:AO38,_xlpm.unite)&gt;0,IF(_xlpm.estVol,IF(ROUND(_xlpm.val,3)&gt;=1,ROUND(_xlpm.val,3)&amp;" L",MAX(1,ROUND(_xlpm.val*100,0))&amp;" cl"),IF(_xlpm.estPoids,IF(ROUND(_xlpm.val,3)&gt;=1,ROUND(_xlpm.val,3)&amp;" Kg",MAX(1,ROUND(_xlpm.val*1000,0))&amp;" g"),"")))</f>
        <v>14 g</v>
      </c>
      <c r="AY26" s="3">
        <v>1</v>
      </c>
    </row>
    <row r="27" spans="2:51" ht="27" customHeight="1">
      <c r="B27" s="104" t="str">
        <f t="shared" si="5"/>
        <v>A</v>
      </c>
      <c r="C27" s="32" t="str">
        <f>C16</f>
        <v>T TERRINE DE PIEDS DE PORC pour tranches | | Auteur &gt; Guy KRENZE - Eric GODDYN - Arnaud NICOLAS - CEPROC 2002</v>
      </c>
      <c r="D27" s="33">
        <f>D16</f>
        <v>1</v>
      </c>
      <c r="E27" s="32" t="str">
        <f>E16</f>
        <v xml:space="preserve">moule L 30 cm X l 9 cm X H 6 cm </v>
      </c>
      <c r="F27" s="34" t="str">
        <f>F16</f>
        <v>Recette mère ► le Boudin en 4 déclinaisons</v>
      </c>
      <c r="G27" s="92"/>
      <c r="H27" s="108"/>
      <c r="I27" s="94" t="str">
        <f t="shared" si="2"/>
        <v/>
      </c>
      <c r="J27" s="95">
        <v>20</v>
      </c>
      <c r="K27" s="105" t="s">
        <v>99</v>
      </c>
      <c r="L27" s="127">
        <v>1</v>
      </c>
      <c r="M27" s="920" t="s">
        <v>12852</v>
      </c>
      <c r="N27" s="1494">
        <f>IF(OR(ISBLANK(G14),N14=0),0,G27*L15)</f>
        <v>0</v>
      </c>
      <c r="O27" s="101" cm="1">
        <f t="array" ref="O27">IFERROR(_xlfn.LET(_xlpm.k,UPPER(TRIM(K27)),_xlpm.r,_xlfn.XLOOKUP(_xlpm.k,UPPER(TRIM(G36:P36)),G37:P37,_xlfn.XLOOKUP(_xlpm.k,UPPER(TRIM(G38:P38)),G39:P39)),_xlpm.r*J27*L27*L15*IF(ISBLANK(G27),1,G27)),0)</f>
        <v>0.04</v>
      </c>
      <c r="P27" s="1475" t="str">
        <f>_xlfn.LET(_xlpm.unite,SUBSTITUTE(TRIM(K27)," (s)",""),_xlpm.val,O27,_xlpm.estVol,COUNTIF(J36:P36,_xlpm.unite)+COUNTIF(J38:P38,_xlpm.unite)&gt;0,_xlpm.estPoids,COUNTIF(G36:I36,_xlpm.unite)+COUNTIF(G38:I38,_xlpm.unite)&gt;0,IF(_xlpm.estVol,IF(ROUND(_xlpm.val,3)&gt;=1,ROUND(_xlpm.val,3)&amp;" L",MAX(1,ROUND(_xlpm.val*100,0))&amp;" cl"),IF(_xlpm.estPoids,IF(ROUND(_xlpm.val,3)&gt;=1,ROUND(_xlpm.val,3)&amp;" Kg",MAX(1,ROUND(_xlpm.val*1000,0))&amp;" g"),"")))</f>
        <v>40 g</v>
      </c>
      <c r="R27" s="104" t="str">
        <f t="shared" si="6"/>
        <v>A</v>
      </c>
      <c r="S27" s="32" t="str">
        <f>S16</f>
        <v>T TERRINE OF PIG’S TROTTERS  for slices | |  Author &gt; Guy KRENZE - Eric GODDYN - Arnaud NICOLAS - CEPROC 2002</v>
      </c>
      <c r="T27" s="33">
        <f>T16</f>
        <v>1</v>
      </c>
      <c r="U27" s="32" t="str">
        <f>U16</f>
        <v>mold L 30 cm × W 9 cm × H 6 cm</v>
      </c>
      <c r="V27" s="34" t="str">
        <f>V16</f>
        <v>Master recipe ► Black pudding in 4 variations</v>
      </c>
      <c r="W27" s="92"/>
      <c r="X27" s="108"/>
      <c r="Y27" s="94" t="str">
        <f t="shared" si="3"/>
        <v/>
      </c>
      <c r="Z27" s="95">
        <v>20</v>
      </c>
      <c r="AA27" s="105" t="s">
        <v>99</v>
      </c>
      <c r="AB27" s="127">
        <v>1</v>
      </c>
      <c r="AC27" s="920" t="s">
        <v>12961</v>
      </c>
      <c r="AD27" s="1494">
        <f>IF(OR(ISBLANK(W14),AD14=0),0,W27*AB15)</f>
        <v>0</v>
      </c>
      <c r="AE27" s="101" cm="1">
        <f t="array" ref="AE27">IFERROR(_xlfn.LET(_xlpm.k,UPPER(TRIM(AA27)),_xlpm.r,_xlfn.XLOOKUP(_xlpm.k,UPPER(TRIM(W36:AF36)),W37:AF37,_xlfn.XLOOKUP(_xlpm.k,UPPER(TRIM(W38:AF38)),W39:AF39)),_xlpm.r*Z27*AB27*AB15*IF(ISBLANK(W27),1,W27)),0)</f>
        <v>0.04</v>
      </c>
      <c r="AF27" s="1475" t="str">
        <f>_xlfn.LET(_xlpm.unite,SUBSTITUTE(TRIM(AA27)," (s)",""),_xlpm.val,AE27,_xlpm.estVol,COUNTIF(Z36:AF36,_xlpm.unite)+COUNTIF(Z38:AF38,_xlpm.unite)&gt;0,_xlpm.estPoids,COUNTIF(W36:Y36,_xlpm.unite)+COUNTIF(W38:Y38,_xlpm.unite)&gt;0,IF(_xlpm.estVol,IF(ROUND(_xlpm.val,3)&gt;=1,ROUND(_xlpm.val,3)&amp;" L",MAX(1,ROUND(_xlpm.val*100,0))&amp;" cl"),IF(_xlpm.estPoids,IF(ROUND(_xlpm.val,3)&gt;=1,ROUND(_xlpm.val,3)&amp;" Kg",MAX(1,ROUND(_xlpm.val*1000,0))&amp;" g"),"")))</f>
        <v>40 g</v>
      </c>
      <c r="AH27" s="104" t="str">
        <f t="shared" si="7"/>
        <v>A</v>
      </c>
      <c r="AI27" s="32" t="str">
        <f>AI16</f>
        <v>T TERRINAS DE MANITAS DE CERDO para rodaja  | | Autor &gt; Guy KRENZE - Eric GODDYN - Arnaud NICOLAS - CEPROC 2002</v>
      </c>
      <c r="AJ27" s="33">
        <f>AJ16</f>
        <v>1</v>
      </c>
      <c r="AK27" s="32" t="str">
        <f>AK16</f>
        <v>molde L 30 cm × A 9 cm × H 6 cm</v>
      </c>
      <c r="AL27" s="34" t="str">
        <f>AL16</f>
        <v>Receta madre ► Morcilla en 4 versiones</v>
      </c>
      <c r="AM27" s="92"/>
      <c r="AN27" s="108"/>
      <c r="AO27" s="94" t="str">
        <f t="shared" si="4"/>
        <v/>
      </c>
      <c r="AP27" s="95">
        <v>20</v>
      </c>
      <c r="AQ27" s="105" t="s">
        <v>99</v>
      </c>
      <c r="AR27" s="127">
        <v>1</v>
      </c>
      <c r="AS27" s="920" t="s">
        <v>12962</v>
      </c>
      <c r="AT27" s="1494">
        <f>IF(OR(ISBLANK(AM14),AT14=0),0,AM27*AR15)</f>
        <v>0</v>
      </c>
      <c r="AU27" s="101" cm="1">
        <f t="array" ref="AU27">IFERROR(_xlfn.LET(_xlpm.k,UPPER(TRIM(AQ27)),_xlpm.r,_xlfn.XLOOKUP(_xlpm.k,UPPER(TRIM(AM36:AV36)),AM37:AV37,_xlfn.XLOOKUP(_xlpm.k,UPPER(TRIM(AM38:AV38)),AM39:AV39)),_xlpm.r*AP27*AR27*AR15*IF(ISBLANK(AM27),1,AM27)),0)</f>
        <v>0.04</v>
      </c>
      <c r="AV27" s="1475" t="str">
        <f>_xlfn.LET(_xlpm.unite,SUBSTITUTE(TRIM(AQ27)," (s)",""),_xlpm.val,AU27,_xlpm.estVol,COUNTIF(AP36:AV36,_xlpm.unite)+COUNTIF(AP38:AV38,_xlpm.unite)&gt;0,_xlpm.estPoids,COUNTIF(AM36:AO36,_xlpm.unite)+COUNTIF(AM38:AO38,_xlpm.unite)&gt;0,IF(_xlpm.estVol,IF(ROUND(_xlpm.val,3)&gt;=1,ROUND(_xlpm.val,3)&amp;" L",MAX(1,ROUND(_xlpm.val*100,0))&amp;" cl"),IF(_xlpm.estPoids,IF(ROUND(_xlpm.val,3)&gt;=1,ROUND(_xlpm.val,3)&amp;" Kg",MAX(1,ROUND(_xlpm.val*1000,0))&amp;" g"),"")))</f>
        <v>40 g</v>
      </c>
      <c r="AY27" s="3">
        <v>1</v>
      </c>
    </row>
    <row r="28" spans="2:51" ht="27" customHeight="1">
      <c r="B28" s="104" t="str">
        <f t="shared" si="5"/>
        <v>A</v>
      </c>
      <c r="C28" s="32" t="str">
        <f>C16</f>
        <v>T TERRINE DE PIEDS DE PORC pour tranches | | Auteur &gt; Guy KRENZE - Eric GODDYN - Arnaud NICOLAS - CEPROC 2002</v>
      </c>
      <c r="D28" s="33">
        <f>D16</f>
        <v>1</v>
      </c>
      <c r="E28" s="32" t="str">
        <f>E16</f>
        <v xml:space="preserve">moule L 30 cm X l 9 cm X H 6 cm </v>
      </c>
      <c r="F28" s="34" t="str">
        <f>F16</f>
        <v>Recette mère ► le Boudin en 4 déclinaisons</v>
      </c>
      <c r="G28" s="92"/>
      <c r="H28" s="108"/>
      <c r="I28" s="94" t="str">
        <f t="shared" si="2"/>
        <v/>
      </c>
      <c r="J28" s="95">
        <v>300</v>
      </c>
      <c r="K28" s="105" t="s">
        <v>99</v>
      </c>
      <c r="L28" s="127">
        <v>1</v>
      </c>
      <c r="M28" s="920" t="s">
        <v>12853</v>
      </c>
      <c r="N28" s="1494">
        <f>IF(OR(ISBLANK(G14),N14=0),0,G28*L15)</f>
        <v>0</v>
      </c>
      <c r="O28" s="101" cm="1">
        <f t="array" ref="O28">IFERROR(_xlfn.LET(_xlpm.k,UPPER(TRIM(K28)),_xlpm.r,_xlfn.XLOOKUP(_xlpm.k,UPPER(TRIM(G36:P36)),G37:P37,_xlfn.XLOOKUP(_xlpm.k,UPPER(TRIM(G38:P38)),G39:P39)),_xlpm.r*J28*L28*L15*IF(ISBLANK(G28),1,G28)),0)</f>
        <v>0.6</v>
      </c>
      <c r="P28" s="1476" t="str">
        <f>_xlfn.LET(_xlpm.unite,SUBSTITUTE(TRIM(K28)," (s)",""),_xlpm.val,O28,_xlpm.estVol,COUNTIF(J36:P36,_xlpm.unite)+COUNTIF(J38:P38,_xlpm.unite)&gt;0,_xlpm.estPoids,COUNTIF(G36:I36,_xlpm.unite)+COUNTIF(G38:I38,_xlpm.unite)&gt;0,IF(_xlpm.estVol,IF(ROUND(_xlpm.val,3)&gt;=1,ROUND(_xlpm.val,3)&amp;" L",MAX(1,ROUND(_xlpm.val*100,0))&amp;" cl"),IF(_xlpm.estPoids,IF(ROUND(_xlpm.val,3)&gt;=1,ROUND(_xlpm.val,3)&amp;" Kg",MAX(1,ROUND(_xlpm.val*1000,0))&amp;" g"),"")))</f>
        <v>600 g</v>
      </c>
      <c r="R28" s="104" t="str">
        <f t="shared" si="6"/>
        <v>A</v>
      </c>
      <c r="S28" s="32" t="str">
        <f>S16</f>
        <v>T TERRINE OF PIG’S TROTTERS  for slices | |  Author &gt; Guy KRENZE - Eric GODDYN - Arnaud NICOLAS - CEPROC 2002</v>
      </c>
      <c r="T28" s="33">
        <f>T16</f>
        <v>1</v>
      </c>
      <c r="U28" s="32" t="str">
        <f>U16</f>
        <v>mold L 30 cm × W 9 cm × H 6 cm</v>
      </c>
      <c r="V28" s="34" t="str">
        <f>V16</f>
        <v>Master recipe ► Black pudding in 4 variations</v>
      </c>
      <c r="W28" s="92"/>
      <c r="X28" s="108"/>
      <c r="Y28" s="94" t="str">
        <f t="shared" si="3"/>
        <v/>
      </c>
      <c r="Z28" s="95">
        <v>300</v>
      </c>
      <c r="AA28" s="105" t="s">
        <v>99</v>
      </c>
      <c r="AB28" s="127">
        <v>1</v>
      </c>
      <c r="AC28" s="920" t="s">
        <v>12963</v>
      </c>
      <c r="AD28" s="1494">
        <f>IF(OR(ISBLANK(W14),AD14=0),0,W28*AB15)</f>
        <v>0</v>
      </c>
      <c r="AE28" s="101" cm="1">
        <f t="array" ref="AE28">IFERROR(_xlfn.LET(_xlpm.k,UPPER(TRIM(AA28)),_xlpm.r,_xlfn.XLOOKUP(_xlpm.k,UPPER(TRIM(W36:AF36)),W37:AF37,_xlfn.XLOOKUP(_xlpm.k,UPPER(TRIM(W38:AF38)),W39:AF39)),_xlpm.r*Z28*AB28*AB15*IF(ISBLANK(W28),1,W28)),0)</f>
        <v>0.6</v>
      </c>
      <c r="AF28" s="1476" t="str">
        <f>_xlfn.LET(_xlpm.unite,SUBSTITUTE(TRIM(AA28)," (s)",""),_xlpm.val,AE28,_xlpm.estVol,COUNTIF(Z36:AF36,_xlpm.unite)+COUNTIF(Z38:AF38,_xlpm.unite)&gt;0,_xlpm.estPoids,COUNTIF(W36:Y36,_xlpm.unite)+COUNTIF(W38:Y38,_xlpm.unite)&gt;0,IF(_xlpm.estVol,IF(ROUND(_xlpm.val,3)&gt;=1,ROUND(_xlpm.val,3)&amp;" L",MAX(1,ROUND(_xlpm.val*100,0))&amp;" cl"),IF(_xlpm.estPoids,IF(ROUND(_xlpm.val,3)&gt;=1,ROUND(_xlpm.val,3)&amp;" Kg",MAX(1,ROUND(_xlpm.val*1000,0))&amp;" g"),"")))</f>
        <v>600 g</v>
      </c>
      <c r="AH28" s="104" t="str">
        <f t="shared" si="7"/>
        <v>A</v>
      </c>
      <c r="AI28" s="32" t="str">
        <f>AI16</f>
        <v>T TERRINAS DE MANITAS DE CERDO para rodaja  | | Autor &gt; Guy KRENZE - Eric GODDYN - Arnaud NICOLAS - CEPROC 2002</v>
      </c>
      <c r="AJ28" s="33">
        <f>AJ16</f>
        <v>1</v>
      </c>
      <c r="AK28" s="32" t="str">
        <f>AK16</f>
        <v>molde L 30 cm × A 9 cm × H 6 cm</v>
      </c>
      <c r="AL28" s="34" t="str">
        <f>AL16</f>
        <v>Receta madre ► Morcilla en 4 versiones</v>
      </c>
      <c r="AM28" s="92"/>
      <c r="AN28" s="108"/>
      <c r="AO28" s="94" t="str">
        <f t="shared" si="4"/>
        <v/>
      </c>
      <c r="AP28" s="95">
        <v>300</v>
      </c>
      <c r="AQ28" s="105" t="s">
        <v>99</v>
      </c>
      <c r="AR28" s="127">
        <v>1</v>
      </c>
      <c r="AS28" s="920" t="s">
        <v>12964</v>
      </c>
      <c r="AT28" s="1494">
        <f>IF(OR(ISBLANK(AM14),AT14=0),0,AM28*AR15)</f>
        <v>0</v>
      </c>
      <c r="AU28" s="101" cm="1">
        <f t="array" ref="AU28">IFERROR(_xlfn.LET(_xlpm.k,UPPER(TRIM(AQ28)),_xlpm.r,_xlfn.XLOOKUP(_xlpm.k,UPPER(TRIM(AM36:AV36)),AM37:AV37,_xlfn.XLOOKUP(_xlpm.k,UPPER(TRIM(AM38:AV38)),AM39:AV39)),_xlpm.r*AP28*AR28*AR15*IF(ISBLANK(AM28),1,AM28)),0)</f>
        <v>0.6</v>
      </c>
      <c r="AV28" s="1476" t="str">
        <f>_xlfn.LET(_xlpm.unite,SUBSTITUTE(TRIM(AQ28)," (s)",""),_xlpm.val,AU28,_xlpm.estVol,COUNTIF(AP36:AV36,_xlpm.unite)+COUNTIF(AP38:AV38,_xlpm.unite)&gt;0,_xlpm.estPoids,COUNTIF(AM36:AO36,_xlpm.unite)+COUNTIF(AM38:AO38,_xlpm.unite)&gt;0,IF(_xlpm.estVol,IF(ROUND(_xlpm.val,3)&gt;=1,ROUND(_xlpm.val,3)&amp;" L",MAX(1,ROUND(_xlpm.val*100,0))&amp;" cl"),IF(_xlpm.estPoids,IF(ROUND(_xlpm.val,3)&gt;=1,ROUND(_xlpm.val,3)&amp;" Kg",MAX(1,ROUND(_xlpm.val*1000,0))&amp;" g"),"")))</f>
        <v>600 g</v>
      </c>
      <c r="AY28" s="3">
        <v>1</v>
      </c>
    </row>
    <row r="29" spans="2:51" ht="27" customHeight="1">
      <c r="B29" s="104" t="str">
        <f t="shared" si="5"/>
        <v>A</v>
      </c>
      <c r="C29" s="32" t="str">
        <f>C16</f>
        <v>T TERRINE DE PIEDS DE PORC pour tranches | | Auteur &gt; Guy KRENZE - Eric GODDYN - Arnaud NICOLAS - CEPROC 2002</v>
      </c>
      <c r="D29" s="33">
        <f>D16</f>
        <v>1</v>
      </c>
      <c r="E29" s="32" t="str">
        <f>E16</f>
        <v xml:space="preserve">moule L 30 cm X l 9 cm X H 6 cm </v>
      </c>
      <c r="F29" s="34" t="str">
        <f>F16</f>
        <v>Recette mère ► le Boudin en 4 déclinaisons</v>
      </c>
      <c r="G29" s="92"/>
      <c r="H29" s="108"/>
      <c r="I29" s="94" t="str">
        <f t="shared" si="2"/>
        <v/>
      </c>
      <c r="J29" s="95">
        <v>2</v>
      </c>
      <c r="K29" s="105" t="s">
        <v>99</v>
      </c>
      <c r="L29" s="127">
        <v>1</v>
      </c>
      <c r="M29" s="920" t="s">
        <v>12827</v>
      </c>
      <c r="N29" s="1494">
        <f>IF(OR(ISBLANK(G14),N14=0),0,G29*L15)</f>
        <v>0</v>
      </c>
      <c r="O29" s="101" cm="1">
        <f t="array" ref="O29">IFERROR(_xlfn.LET(_xlpm.k,UPPER(TRIM(K29)),_xlpm.r,_xlfn.XLOOKUP(_xlpm.k,UPPER(TRIM(G36:P36)),G37:P37,_xlfn.XLOOKUP(_xlpm.k,UPPER(TRIM(G38:P38)),G39:P39)),_xlpm.r*J29*L29*L15*IF(ISBLANK(G29),1,G29)),0)</f>
        <v>4.0000000000000001E-3</v>
      </c>
      <c r="P29" s="1475" t="str">
        <f>_xlfn.LET(_xlpm.unite,SUBSTITUTE(TRIM(K29)," (s)",""),_xlpm.val,O29,_xlpm.estVol,COUNTIF(J36:P36,_xlpm.unite)+COUNTIF(J38:P38,_xlpm.unite)&gt;0,_xlpm.estPoids,COUNTIF(G36:I36,_xlpm.unite)+COUNTIF(G38:I38,_xlpm.unite)&gt;0,IF(_xlpm.estVol,IF(ROUND(_xlpm.val,3)&gt;=1,ROUND(_xlpm.val,3)&amp;" L",MAX(1,ROUND(_xlpm.val*100,0))&amp;" cl"),IF(_xlpm.estPoids,IF(ROUND(_xlpm.val,3)&gt;=1,ROUND(_xlpm.val,3)&amp;" Kg",MAX(1,ROUND(_xlpm.val*1000,0))&amp;" g"),"")))</f>
        <v>4 g</v>
      </c>
      <c r="R29" s="104" t="str">
        <f t="shared" si="6"/>
        <v>A</v>
      </c>
      <c r="S29" s="32" t="str">
        <f>S16</f>
        <v>T TERRINE OF PIG’S TROTTERS  for slices | |  Author &gt; Guy KRENZE - Eric GODDYN - Arnaud NICOLAS - CEPROC 2002</v>
      </c>
      <c r="T29" s="33">
        <f>T16</f>
        <v>1</v>
      </c>
      <c r="U29" s="32" t="str">
        <f>U16</f>
        <v>mold L 30 cm × W 9 cm × H 6 cm</v>
      </c>
      <c r="V29" s="34" t="str">
        <f>V16</f>
        <v>Master recipe ► Black pudding in 4 variations</v>
      </c>
      <c r="W29" s="92"/>
      <c r="X29" s="108"/>
      <c r="Y29" s="94" t="str">
        <f t="shared" si="3"/>
        <v/>
      </c>
      <c r="Z29" s="95">
        <v>2</v>
      </c>
      <c r="AA29" s="105" t="s">
        <v>99</v>
      </c>
      <c r="AB29" s="127">
        <v>1</v>
      </c>
      <c r="AC29" s="920" t="s">
        <v>12882</v>
      </c>
      <c r="AD29" s="1494">
        <f>IF(OR(ISBLANK(W14),AD14=0),0,W29*AB15)</f>
        <v>0</v>
      </c>
      <c r="AE29" s="101" cm="1">
        <f t="array" ref="AE29">IFERROR(_xlfn.LET(_xlpm.k,UPPER(TRIM(AA29)),_xlpm.r,_xlfn.XLOOKUP(_xlpm.k,UPPER(TRIM(W36:AF36)),W37:AF37,_xlfn.XLOOKUP(_xlpm.k,UPPER(TRIM(W38:AF38)),W39:AF39)),_xlpm.r*Z29*AB29*AB15*IF(ISBLANK(W29),1,W29)),0)</f>
        <v>4.0000000000000001E-3</v>
      </c>
      <c r="AF29" s="1475" t="str">
        <f>_xlfn.LET(_xlpm.unite,SUBSTITUTE(TRIM(AA29)," (s)",""),_xlpm.val,AE29,_xlpm.estVol,COUNTIF(Z36:AF36,_xlpm.unite)+COUNTIF(Z38:AF38,_xlpm.unite)&gt;0,_xlpm.estPoids,COUNTIF(W36:Y36,_xlpm.unite)+COUNTIF(W38:Y38,_xlpm.unite)&gt;0,IF(_xlpm.estVol,IF(ROUND(_xlpm.val,3)&gt;=1,ROUND(_xlpm.val,3)&amp;" L",MAX(1,ROUND(_xlpm.val*100,0))&amp;" cl"),IF(_xlpm.estPoids,IF(ROUND(_xlpm.val,3)&gt;=1,ROUND(_xlpm.val,3)&amp;" Kg",MAX(1,ROUND(_xlpm.val*1000,0))&amp;" g"),"")))</f>
        <v>4 g</v>
      </c>
      <c r="AH29" s="104" t="str">
        <f t="shared" si="7"/>
        <v>A</v>
      </c>
      <c r="AI29" s="32" t="str">
        <f>AI16</f>
        <v>T TERRINAS DE MANITAS DE CERDO para rodaja  | | Autor &gt; Guy KRENZE - Eric GODDYN - Arnaud NICOLAS - CEPROC 2002</v>
      </c>
      <c r="AJ29" s="33">
        <f>AJ16</f>
        <v>1</v>
      </c>
      <c r="AK29" s="32" t="str">
        <f>AK16</f>
        <v>molde L 30 cm × A 9 cm × H 6 cm</v>
      </c>
      <c r="AL29" s="34" t="str">
        <f>AL16</f>
        <v>Receta madre ► Morcilla en 4 versiones</v>
      </c>
      <c r="AM29" s="92"/>
      <c r="AN29" s="108"/>
      <c r="AO29" s="94" t="str">
        <f t="shared" si="4"/>
        <v/>
      </c>
      <c r="AP29" s="95">
        <v>2</v>
      </c>
      <c r="AQ29" s="105" t="s">
        <v>99</v>
      </c>
      <c r="AR29" s="127">
        <v>1</v>
      </c>
      <c r="AS29" s="920" t="s">
        <v>12883</v>
      </c>
      <c r="AT29" s="1494">
        <f>IF(OR(ISBLANK(AM14),AT14=0),0,AM29*AR15)</f>
        <v>0</v>
      </c>
      <c r="AU29" s="101" cm="1">
        <f t="array" ref="AU29">IFERROR(_xlfn.LET(_xlpm.k,UPPER(TRIM(AQ29)),_xlpm.r,_xlfn.XLOOKUP(_xlpm.k,UPPER(TRIM(AM36:AV36)),AM37:AV37,_xlfn.XLOOKUP(_xlpm.k,UPPER(TRIM(AM38:AV38)),AM39:AV39)),_xlpm.r*AP29*AR29*AR15*IF(ISBLANK(AM29),1,AM29)),0)</f>
        <v>4.0000000000000001E-3</v>
      </c>
      <c r="AV29" s="1475" t="str">
        <f>_xlfn.LET(_xlpm.unite,SUBSTITUTE(TRIM(AQ29)," (s)",""),_xlpm.val,AU29,_xlpm.estVol,COUNTIF(AP36:AV36,_xlpm.unite)+COUNTIF(AP38:AV38,_xlpm.unite)&gt;0,_xlpm.estPoids,COUNTIF(AM36:AO36,_xlpm.unite)+COUNTIF(AM38:AO38,_xlpm.unite)&gt;0,IF(_xlpm.estVol,IF(ROUND(_xlpm.val,3)&gt;=1,ROUND(_xlpm.val,3)&amp;" L",MAX(1,ROUND(_xlpm.val*100,0))&amp;" cl"),IF(_xlpm.estPoids,IF(ROUND(_xlpm.val,3)&gt;=1,ROUND(_xlpm.val,3)&amp;" Kg",MAX(1,ROUND(_xlpm.val*1000,0))&amp;" g"),"")))</f>
        <v>4 g</v>
      </c>
      <c r="AY29" s="3">
        <v>1</v>
      </c>
    </row>
    <row r="30" spans="2:51" ht="27" customHeight="1">
      <c r="B30" s="104" t="str">
        <f t="shared" si="5"/>
        <v>A</v>
      </c>
      <c r="C30" s="32" t="str">
        <f>C16</f>
        <v>T TERRINE DE PIEDS DE PORC pour tranches | | Auteur &gt; Guy KRENZE - Eric GODDYN - Arnaud NICOLAS - CEPROC 2002</v>
      </c>
      <c r="D30" s="33">
        <f>D16</f>
        <v>1</v>
      </c>
      <c r="E30" s="32" t="str">
        <f>E16</f>
        <v xml:space="preserve">moule L 30 cm X l 9 cm X H 6 cm </v>
      </c>
      <c r="F30" s="34" t="str">
        <f>F16</f>
        <v>Recette mère ► le Boudin en 4 déclinaisons</v>
      </c>
      <c r="G30" s="92"/>
      <c r="H30" s="108"/>
      <c r="I30" s="94" t="str">
        <f t="shared" si="2"/>
        <v/>
      </c>
      <c r="J30" s="95">
        <v>7</v>
      </c>
      <c r="K30" s="105" t="s">
        <v>99</v>
      </c>
      <c r="L30" s="127">
        <v>1</v>
      </c>
      <c r="M30" s="920" t="s">
        <v>8947</v>
      </c>
      <c r="N30" s="1494">
        <f>IF(OR(ISBLANK(G14),N14=0),0,G30*L15)</f>
        <v>0</v>
      </c>
      <c r="O30" s="101" cm="1">
        <f t="array" ref="O30">IFERROR(_xlfn.LET(_xlpm.k,UPPER(TRIM(K30)),_xlpm.r,_xlfn.XLOOKUP(_xlpm.k,UPPER(TRIM(G36:P36)),G37:P37,_xlfn.XLOOKUP(_xlpm.k,UPPER(TRIM(G38:P38)),G39:P39)),_xlpm.r*J30*L30*L15*IF(ISBLANK(G30),1,G30)),0)</f>
        <v>1.4E-2</v>
      </c>
      <c r="P30" s="1476" t="str">
        <f>_xlfn.LET(_xlpm.unite,SUBSTITUTE(TRIM(K30)," (s)",""),_xlpm.val,O30,_xlpm.estVol,COUNTIF(J36:P36,_xlpm.unite)+COUNTIF(J38:P38,_xlpm.unite)&gt;0,_xlpm.estPoids,COUNTIF(G36:I36,_xlpm.unite)+COUNTIF(G38:I38,_xlpm.unite)&gt;0,IF(_xlpm.estVol,IF(ROUND(_xlpm.val,3)&gt;=1,ROUND(_xlpm.val,3)&amp;" L",MAX(1,ROUND(_xlpm.val*100,0))&amp;" cl"),IF(_xlpm.estPoids,IF(ROUND(_xlpm.val,3)&gt;=1,ROUND(_xlpm.val,3)&amp;" Kg",MAX(1,ROUND(_xlpm.val*1000,0))&amp;" g"),"")))</f>
        <v>14 g</v>
      </c>
      <c r="R30" s="104" t="str">
        <f t="shared" si="6"/>
        <v>A</v>
      </c>
      <c r="S30" s="32" t="str">
        <f>S16</f>
        <v>T TERRINE OF PIG’S TROTTERS  for slices | |  Author &gt; Guy KRENZE - Eric GODDYN - Arnaud NICOLAS - CEPROC 2002</v>
      </c>
      <c r="T30" s="33">
        <f>T16</f>
        <v>1</v>
      </c>
      <c r="U30" s="32" t="str">
        <f>U16</f>
        <v>mold L 30 cm × W 9 cm × H 6 cm</v>
      </c>
      <c r="V30" s="34" t="str">
        <f>V16</f>
        <v>Master recipe ► Black pudding in 4 variations</v>
      </c>
      <c r="W30" s="92"/>
      <c r="X30" s="108"/>
      <c r="Y30" s="94" t="str">
        <f t="shared" si="3"/>
        <v/>
      </c>
      <c r="Z30" s="95">
        <v>7</v>
      </c>
      <c r="AA30" s="105" t="s">
        <v>99</v>
      </c>
      <c r="AB30" s="127">
        <v>1</v>
      </c>
      <c r="AC30" s="920" t="s">
        <v>12884</v>
      </c>
      <c r="AD30" s="1494">
        <f>IF(OR(ISBLANK(W14),AD14=0),0,W30*AB15)</f>
        <v>0</v>
      </c>
      <c r="AE30" s="101" cm="1">
        <f t="array" ref="AE30">IFERROR(_xlfn.LET(_xlpm.k,UPPER(TRIM(AA30)),_xlpm.r,_xlfn.XLOOKUP(_xlpm.k,UPPER(TRIM(W36:AF36)),W37:AF37,_xlfn.XLOOKUP(_xlpm.k,UPPER(TRIM(W38:AF38)),W39:AF39)),_xlpm.r*Z30*AB30*AB15*IF(ISBLANK(W30),1,W30)),0)</f>
        <v>1.4E-2</v>
      </c>
      <c r="AF30" s="1476" t="str">
        <f>_xlfn.LET(_xlpm.unite,SUBSTITUTE(TRIM(AA30)," (s)",""),_xlpm.val,AE30,_xlpm.estVol,COUNTIF(Z36:AF36,_xlpm.unite)+COUNTIF(Z38:AF38,_xlpm.unite)&gt;0,_xlpm.estPoids,COUNTIF(W36:Y36,_xlpm.unite)+COUNTIF(W38:Y38,_xlpm.unite)&gt;0,IF(_xlpm.estVol,IF(ROUND(_xlpm.val,3)&gt;=1,ROUND(_xlpm.val,3)&amp;" L",MAX(1,ROUND(_xlpm.val*100,0))&amp;" cl"),IF(_xlpm.estPoids,IF(ROUND(_xlpm.val,3)&gt;=1,ROUND(_xlpm.val,3)&amp;" Kg",MAX(1,ROUND(_xlpm.val*1000,0))&amp;" g"),"")))</f>
        <v>14 g</v>
      </c>
      <c r="AH30" s="104" t="str">
        <f t="shared" si="7"/>
        <v>A</v>
      </c>
      <c r="AI30" s="32" t="str">
        <f>AI16</f>
        <v>T TERRINAS DE MANITAS DE CERDO para rodaja  | | Autor &gt; Guy KRENZE - Eric GODDYN - Arnaud NICOLAS - CEPROC 2002</v>
      </c>
      <c r="AJ30" s="33">
        <f>AJ16</f>
        <v>1</v>
      </c>
      <c r="AK30" s="32" t="str">
        <f>AK16</f>
        <v>molde L 30 cm × A 9 cm × H 6 cm</v>
      </c>
      <c r="AL30" s="34" t="str">
        <f>AL16</f>
        <v>Receta madre ► Morcilla en 4 versiones</v>
      </c>
      <c r="AM30" s="92"/>
      <c r="AN30" s="108"/>
      <c r="AO30" s="94" t="str">
        <f t="shared" si="4"/>
        <v/>
      </c>
      <c r="AP30" s="95">
        <v>7</v>
      </c>
      <c r="AQ30" s="105" t="s">
        <v>99</v>
      </c>
      <c r="AR30" s="127">
        <v>1</v>
      </c>
      <c r="AS30" s="920" t="s">
        <v>12885</v>
      </c>
      <c r="AT30" s="1494">
        <f>IF(OR(ISBLANK(AM14),AT14=0),0,AM30*AR15)</f>
        <v>0</v>
      </c>
      <c r="AU30" s="101" cm="1">
        <f t="array" ref="AU30">IFERROR(_xlfn.LET(_xlpm.k,UPPER(TRIM(AQ30)),_xlpm.r,_xlfn.XLOOKUP(_xlpm.k,UPPER(TRIM(AM36:AV36)),AM37:AV37,_xlfn.XLOOKUP(_xlpm.k,UPPER(TRIM(AM38:AV38)),AM39:AV39)),_xlpm.r*AP30*AR30*AR15*IF(ISBLANK(AM30),1,AM30)),0)</f>
        <v>1.4E-2</v>
      </c>
      <c r="AV30" s="1476" t="str">
        <f>_xlfn.LET(_xlpm.unite,SUBSTITUTE(TRIM(AQ30)," (s)",""),_xlpm.val,AU30,_xlpm.estVol,COUNTIF(AP36:AV36,_xlpm.unite)+COUNTIF(AP38:AV38,_xlpm.unite)&gt;0,_xlpm.estPoids,COUNTIF(AM36:AO36,_xlpm.unite)+COUNTIF(AM38:AO38,_xlpm.unite)&gt;0,IF(_xlpm.estVol,IF(ROUND(_xlpm.val,3)&gt;=1,ROUND(_xlpm.val,3)&amp;" L",MAX(1,ROUND(_xlpm.val*100,0))&amp;" cl"),IF(_xlpm.estPoids,IF(ROUND(_xlpm.val,3)&gt;=1,ROUND(_xlpm.val,3)&amp;" Kg",MAX(1,ROUND(_xlpm.val*1000,0))&amp;" g"),"")))</f>
        <v>14 g</v>
      </c>
      <c r="AY30" s="3">
        <v>1</v>
      </c>
    </row>
    <row r="31" spans="2:51" ht="27" customHeight="1">
      <c r="B31" s="104" t="str">
        <f t="shared" si="5"/>
        <v>►</v>
      </c>
      <c r="C31" s="32" t="str">
        <f>C16</f>
        <v>T TERRINE DE PIEDS DE PORC pour tranches | | Auteur &gt; Guy KRENZE - Eric GODDYN - Arnaud NICOLAS - CEPROC 2002</v>
      </c>
      <c r="D31" s="33">
        <f>D16</f>
        <v>1</v>
      </c>
      <c r="E31" s="32" t="str">
        <f>E16</f>
        <v xml:space="preserve">moule L 30 cm X l 9 cm X H 6 cm </v>
      </c>
      <c r="F31" s="34" t="str">
        <f>F16</f>
        <v>Recette mère ► le Boudin en 4 déclinaisons</v>
      </c>
      <c r="G31" s="92"/>
      <c r="H31" s="108"/>
      <c r="I31" s="94" t="str">
        <f t="shared" si="2"/>
        <v/>
      </c>
      <c r="J31" s="95"/>
      <c r="K31" s="126"/>
      <c r="L31" s="127">
        <v>1</v>
      </c>
      <c r="M31" s="920"/>
      <c r="N31" s="1494">
        <f>IF(OR(ISBLANK(G14),N14=0),0,G31*L15)</f>
        <v>0</v>
      </c>
      <c r="O31" s="101" cm="1">
        <f t="array" ref="O31">IFERROR(_xlfn.LET(_xlpm.k,UPPER(TRIM(K31)),_xlpm.r,_xlfn.XLOOKUP(_xlpm.k,UPPER(TRIM(G36:P36)),G37:P37,_xlfn.XLOOKUP(_xlpm.k,UPPER(TRIM(G38:P38)),G39:P39)),_xlpm.r*J31*L31*L15*IF(ISBLANK(G31),1,G31)),0)</f>
        <v>0</v>
      </c>
      <c r="P31" s="1475" t="str">
        <f>_xlfn.LET(_xlpm.unite,SUBSTITUTE(TRIM(K31)," (s)",""),_xlpm.val,O31,_xlpm.estVol,COUNTIF(J36:P36,_xlpm.unite)+COUNTIF(J38:P38,_xlpm.unite)&gt;0,_xlpm.estPoids,COUNTIF(G36:I36,_xlpm.unite)+COUNTIF(G38:I38,_xlpm.unite)&gt;0,IF(_xlpm.estVol,IF(ROUND(_xlpm.val,3)&gt;=1,ROUND(_xlpm.val,3)&amp;" L",MAX(1,ROUND(_xlpm.val*100,0))&amp;" cl"),IF(_xlpm.estPoids,IF(ROUND(_xlpm.val,3)&gt;=1,ROUND(_xlpm.val,3)&amp;" Kg",MAX(1,ROUND(_xlpm.val*1000,0))&amp;" g"),"")))</f>
        <v/>
      </c>
      <c r="R31" s="104" t="str">
        <f t="shared" si="6"/>
        <v>►</v>
      </c>
      <c r="S31" s="32" t="str">
        <f>S16</f>
        <v>T TERRINE OF PIG’S TROTTERS  for slices | |  Author &gt; Guy KRENZE - Eric GODDYN - Arnaud NICOLAS - CEPROC 2002</v>
      </c>
      <c r="T31" s="33">
        <f>T16</f>
        <v>1</v>
      </c>
      <c r="U31" s="32" t="str">
        <f>U16</f>
        <v>mold L 30 cm × W 9 cm × H 6 cm</v>
      </c>
      <c r="V31" s="34" t="str">
        <f>V16</f>
        <v>Master recipe ► Black pudding in 4 variations</v>
      </c>
      <c r="W31" s="92"/>
      <c r="X31" s="108"/>
      <c r="Y31" s="94" t="str">
        <f t="shared" si="3"/>
        <v/>
      </c>
      <c r="Z31" s="95"/>
      <c r="AA31" s="126"/>
      <c r="AB31" s="127">
        <v>1</v>
      </c>
      <c r="AC31" s="920"/>
      <c r="AD31" s="1494">
        <f>IF(OR(ISBLANK(W14),AD14=0),0,W31*AB15)</f>
        <v>0</v>
      </c>
      <c r="AE31" s="101" cm="1">
        <f t="array" ref="AE31">IFERROR(_xlfn.LET(_xlpm.k,UPPER(TRIM(AA31)),_xlpm.r,_xlfn.XLOOKUP(_xlpm.k,UPPER(TRIM(W36:AF36)),W37:AF37,_xlfn.XLOOKUP(_xlpm.k,UPPER(TRIM(W38:AF38)),W39:AF39)),_xlpm.r*Z31*AB31*AB15*IF(ISBLANK(W31),1,W31)),0)</f>
        <v>0</v>
      </c>
      <c r="AF31" s="1475" t="str">
        <f>_xlfn.LET(_xlpm.unite,SUBSTITUTE(TRIM(AA31)," (s)",""),_xlpm.val,AE31,_xlpm.estVol,COUNTIF(Z36:AF36,_xlpm.unite)+COUNTIF(Z38:AF38,_xlpm.unite)&gt;0,_xlpm.estPoids,COUNTIF(W36:Y36,_xlpm.unite)+COUNTIF(W38:Y38,_xlpm.unite)&gt;0,IF(_xlpm.estVol,IF(ROUND(_xlpm.val,3)&gt;=1,ROUND(_xlpm.val,3)&amp;" L",MAX(1,ROUND(_xlpm.val*100,0))&amp;" cl"),IF(_xlpm.estPoids,IF(ROUND(_xlpm.val,3)&gt;=1,ROUND(_xlpm.val,3)&amp;" Kg",MAX(1,ROUND(_xlpm.val*1000,0))&amp;" g"),"")))</f>
        <v/>
      </c>
      <c r="AH31" s="104" t="str">
        <f t="shared" si="7"/>
        <v>►</v>
      </c>
      <c r="AI31" s="32" t="str">
        <f>AI16</f>
        <v>T TERRINAS DE MANITAS DE CERDO para rodaja  | | Autor &gt; Guy KRENZE - Eric GODDYN - Arnaud NICOLAS - CEPROC 2002</v>
      </c>
      <c r="AJ31" s="33">
        <f>AJ16</f>
        <v>1</v>
      </c>
      <c r="AK31" s="32" t="str">
        <f>AK16</f>
        <v>molde L 30 cm × A 9 cm × H 6 cm</v>
      </c>
      <c r="AL31" s="34" t="str">
        <f>AL16</f>
        <v>Receta madre ► Morcilla en 4 versiones</v>
      </c>
      <c r="AM31" s="92"/>
      <c r="AN31" s="108"/>
      <c r="AO31" s="94" t="str">
        <f t="shared" si="4"/>
        <v/>
      </c>
      <c r="AP31" s="95"/>
      <c r="AQ31" s="126"/>
      <c r="AR31" s="127">
        <v>1</v>
      </c>
      <c r="AS31" s="920"/>
      <c r="AT31" s="1494">
        <f>IF(OR(ISBLANK(AM14),AT14=0),0,AM31*AR15)</f>
        <v>0</v>
      </c>
      <c r="AU31" s="101" cm="1">
        <f t="array" ref="AU31">IFERROR(_xlfn.LET(_xlpm.k,UPPER(TRIM(AQ31)),_xlpm.r,_xlfn.XLOOKUP(_xlpm.k,UPPER(TRIM(AM36:AV36)),AM37:AV37,_xlfn.XLOOKUP(_xlpm.k,UPPER(TRIM(AM38:AV38)),AM39:AV39)),_xlpm.r*AP31*AR31*AR15*IF(ISBLANK(AM31),1,AM31)),0)</f>
        <v>0</v>
      </c>
      <c r="AV31" s="1475" t="str">
        <f>_xlfn.LET(_xlpm.unite,SUBSTITUTE(TRIM(AQ31)," (s)",""),_xlpm.val,AU31,_xlpm.estVol,COUNTIF(AP36:AV36,_xlpm.unite)+COUNTIF(AP38:AV38,_xlpm.unite)&gt;0,_xlpm.estPoids,COUNTIF(AM36:AO36,_xlpm.unite)+COUNTIF(AM38:AO38,_xlpm.unite)&gt;0,IF(_xlpm.estVol,IF(ROUND(_xlpm.val,3)&gt;=1,ROUND(_xlpm.val,3)&amp;" L",MAX(1,ROUND(_xlpm.val*100,0))&amp;" cl"),IF(_xlpm.estPoids,IF(ROUND(_xlpm.val,3)&gt;=1,ROUND(_xlpm.val,3)&amp;" Kg",MAX(1,ROUND(_xlpm.val*1000,0))&amp;" g"),"")))</f>
        <v/>
      </c>
      <c r="AY31" s="3">
        <v>1</v>
      </c>
    </row>
    <row r="32" spans="2:51" ht="27" customHeight="1">
      <c r="B32" s="104" t="str">
        <f t="shared" si="5"/>
        <v>►</v>
      </c>
      <c r="C32" s="32" t="str">
        <f>C16</f>
        <v>T TERRINE DE PIEDS DE PORC pour tranches | | Auteur &gt; Guy KRENZE - Eric GODDYN - Arnaud NICOLAS - CEPROC 2002</v>
      </c>
      <c r="D32" s="33">
        <f>D16</f>
        <v>1</v>
      </c>
      <c r="E32" s="32" t="str">
        <f>E16</f>
        <v xml:space="preserve">moule L 30 cm X l 9 cm X H 6 cm </v>
      </c>
      <c r="F32" s="34" t="str">
        <f>F16</f>
        <v>Recette mère ► le Boudin en 4 déclinaisons</v>
      </c>
      <c r="G32" s="92"/>
      <c r="H32" s="108"/>
      <c r="I32" s="94" t="str">
        <f t="shared" si="2"/>
        <v/>
      </c>
      <c r="J32" s="95"/>
      <c r="K32" s="126"/>
      <c r="L32" s="127">
        <v>1</v>
      </c>
      <c r="M32" s="920"/>
      <c r="N32" s="1494">
        <f>IF(OR(ISBLANK(G14),N14=0),0,G32*L15)</f>
        <v>0</v>
      </c>
      <c r="O32" s="101" cm="1">
        <f t="array" ref="O32">IFERROR(_xlfn.LET(_xlpm.k,UPPER(TRIM(K32)),_xlpm.r,_xlfn.XLOOKUP(_xlpm.k,UPPER(TRIM(G36:P36)),G37:P37,_xlfn.XLOOKUP(_xlpm.k,UPPER(TRIM(G38:P38)),G39:P39)),_xlpm.r*J32*L32*L15*IF(ISBLANK(G32),1,G32)),0)</f>
        <v>0</v>
      </c>
      <c r="P32" s="1475" t="str">
        <f>_xlfn.LET(_xlpm.unite,SUBSTITUTE(TRIM(K32)," (s)",""),_xlpm.val,O32,_xlpm.estVol,COUNTIF(J36:P36,_xlpm.unite)+COUNTIF(J38:P38,_xlpm.unite)&gt;0,_xlpm.estPoids,COUNTIF(G36:I36,_xlpm.unite)+COUNTIF(G38:I38,_xlpm.unite)&gt;0,IF(_xlpm.estVol,IF(ROUND(_xlpm.val,3)&gt;=1,ROUND(_xlpm.val,3)&amp;" L",MAX(1,ROUND(_xlpm.val*100,0))&amp;" cl"),IF(_xlpm.estPoids,IF(ROUND(_xlpm.val,3)&gt;=1,ROUND(_xlpm.val,3)&amp;" Kg",MAX(1,ROUND(_xlpm.val*1000,0))&amp;" g"),"")))</f>
        <v/>
      </c>
      <c r="R32" s="104" t="str">
        <f t="shared" si="6"/>
        <v>►</v>
      </c>
      <c r="S32" s="32" t="str">
        <f>S16</f>
        <v>T TERRINE OF PIG’S TROTTERS  for slices | |  Author &gt; Guy KRENZE - Eric GODDYN - Arnaud NICOLAS - CEPROC 2002</v>
      </c>
      <c r="T32" s="33">
        <f>T16</f>
        <v>1</v>
      </c>
      <c r="U32" s="32" t="str">
        <f>U16</f>
        <v>mold L 30 cm × W 9 cm × H 6 cm</v>
      </c>
      <c r="V32" s="34" t="str">
        <f>V16</f>
        <v>Master recipe ► Black pudding in 4 variations</v>
      </c>
      <c r="W32" s="92"/>
      <c r="X32" s="108"/>
      <c r="Y32" s="94" t="str">
        <f t="shared" si="3"/>
        <v/>
      </c>
      <c r="Z32" s="95"/>
      <c r="AA32" s="126"/>
      <c r="AB32" s="127">
        <v>1</v>
      </c>
      <c r="AC32" s="920"/>
      <c r="AD32" s="1494">
        <f>IF(OR(ISBLANK(W14),AD14=0),0,W32*AB15)</f>
        <v>0</v>
      </c>
      <c r="AE32" s="101" cm="1">
        <f t="array" ref="AE32">IFERROR(_xlfn.LET(_xlpm.k,UPPER(TRIM(AA32)),_xlpm.r,_xlfn.XLOOKUP(_xlpm.k,UPPER(TRIM(W36:AF36)),W37:AF37,_xlfn.XLOOKUP(_xlpm.k,UPPER(TRIM(W38:AF38)),W39:AF39)),_xlpm.r*Z32*AB32*AB15*IF(ISBLANK(W32),1,W32)),0)</f>
        <v>0</v>
      </c>
      <c r="AF32" s="1475" t="str">
        <f>_xlfn.LET(_xlpm.unite,SUBSTITUTE(TRIM(AA32)," (s)",""),_xlpm.val,AE32,_xlpm.estVol,COUNTIF(Z36:AF36,_xlpm.unite)+COUNTIF(Z38:AF38,_xlpm.unite)&gt;0,_xlpm.estPoids,COUNTIF(W36:Y36,_xlpm.unite)+COUNTIF(W38:Y38,_xlpm.unite)&gt;0,IF(_xlpm.estVol,IF(ROUND(_xlpm.val,3)&gt;=1,ROUND(_xlpm.val,3)&amp;" L",MAX(1,ROUND(_xlpm.val*100,0))&amp;" cl"),IF(_xlpm.estPoids,IF(ROUND(_xlpm.val,3)&gt;=1,ROUND(_xlpm.val,3)&amp;" Kg",MAX(1,ROUND(_xlpm.val*1000,0))&amp;" g"),"")))</f>
        <v/>
      </c>
      <c r="AH32" s="104" t="str">
        <f t="shared" si="7"/>
        <v>►</v>
      </c>
      <c r="AI32" s="32" t="str">
        <f>AI16</f>
        <v>T TERRINAS DE MANITAS DE CERDO para rodaja  | | Autor &gt; Guy KRENZE - Eric GODDYN - Arnaud NICOLAS - CEPROC 2002</v>
      </c>
      <c r="AJ32" s="33">
        <f>AJ16</f>
        <v>1</v>
      </c>
      <c r="AK32" s="32" t="str">
        <f>AK16</f>
        <v>molde L 30 cm × A 9 cm × H 6 cm</v>
      </c>
      <c r="AL32" s="34" t="str">
        <f>AL16</f>
        <v>Receta madre ► Morcilla en 4 versiones</v>
      </c>
      <c r="AM32" s="92"/>
      <c r="AN32" s="108"/>
      <c r="AO32" s="94" t="str">
        <f t="shared" si="4"/>
        <v/>
      </c>
      <c r="AP32" s="95"/>
      <c r="AQ32" s="126"/>
      <c r="AR32" s="127">
        <v>1</v>
      </c>
      <c r="AS32" s="920"/>
      <c r="AT32" s="1494">
        <f>IF(OR(ISBLANK(AM14),AT14=0),0,AM32*AR15)</f>
        <v>0</v>
      </c>
      <c r="AU32" s="101" cm="1">
        <f t="array" ref="AU32">IFERROR(_xlfn.LET(_xlpm.k,UPPER(TRIM(AQ32)),_xlpm.r,_xlfn.XLOOKUP(_xlpm.k,UPPER(TRIM(AM36:AV36)),AM37:AV37,_xlfn.XLOOKUP(_xlpm.k,UPPER(TRIM(AM38:AV38)),AM39:AV39)),_xlpm.r*AP32*AR32*AR15*IF(ISBLANK(AM32),1,AM32)),0)</f>
        <v>0</v>
      </c>
      <c r="AV32" s="1475" t="str">
        <f>_xlfn.LET(_xlpm.unite,SUBSTITUTE(TRIM(AQ32)," (s)",""),_xlpm.val,AU32,_xlpm.estVol,COUNTIF(AP36:AV36,_xlpm.unite)+COUNTIF(AP38:AV38,_xlpm.unite)&gt;0,_xlpm.estPoids,COUNTIF(AM36:AO36,_xlpm.unite)+COUNTIF(AM38:AO38,_xlpm.unite)&gt;0,IF(_xlpm.estVol,IF(ROUND(_xlpm.val,3)&gt;=1,ROUND(_xlpm.val,3)&amp;" L",MAX(1,ROUND(_xlpm.val*100,0))&amp;" cl"),IF(_xlpm.estPoids,IF(ROUND(_xlpm.val,3)&gt;=1,ROUND(_xlpm.val,3)&amp;" Kg",MAX(1,ROUND(_xlpm.val*1000,0))&amp;" g"),"")))</f>
        <v/>
      </c>
      <c r="AY32" s="3">
        <v>1</v>
      </c>
    </row>
    <row r="33" spans="2:51" ht="27" customHeight="1">
      <c r="B33" s="104" t="str">
        <f t="shared" si="5"/>
        <v>►</v>
      </c>
      <c r="C33" s="32" t="str">
        <f>C16</f>
        <v>T TERRINE DE PIEDS DE PORC pour tranches | | Auteur &gt; Guy KRENZE - Eric GODDYN - Arnaud NICOLAS - CEPROC 2002</v>
      </c>
      <c r="D33" s="33">
        <f>D16</f>
        <v>1</v>
      </c>
      <c r="E33" s="32" t="str">
        <f>E16</f>
        <v xml:space="preserve">moule L 30 cm X l 9 cm X H 6 cm </v>
      </c>
      <c r="F33" s="34" t="str">
        <f>F16</f>
        <v>Recette mère ► le Boudin en 4 déclinaisons</v>
      </c>
      <c r="G33" s="92"/>
      <c r="H33" s="108"/>
      <c r="I33" s="94" t="str">
        <f t="shared" si="2"/>
        <v/>
      </c>
      <c r="J33" s="95"/>
      <c r="K33" s="126"/>
      <c r="L33" s="127">
        <v>1</v>
      </c>
      <c r="M33" s="920"/>
      <c r="N33" s="1494">
        <f>IF(OR(ISBLANK(G14),N14=0),0,G33*L15)</f>
        <v>0</v>
      </c>
      <c r="O33" s="101" cm="1">
        <f t="array" ref="O33">IFERROR(_xlfn.LET(_xlpm.k,UPPER(TRIM(K33)),_xlpm.r,_xlfn.XLOOKUP(_xlpm.k,UPPER(TRIM(G36:P36)),G37:P37,_xlfn.XLOOKUP(_xlpm.k,UPPER(TRIM(G38:P38)),G39:P39)),_xlpm.r*J33*L33*L15*IF(ISBLANK(G33),1,G33)),0)</f>
        <v>0</v>
      </c>
      <c r="P33" s="1476" t="str">
        <f>_xlfn.LET(_xlpm.unite,SUBSTITUTE(TRIM(K33)," (s)",""),_xlpm.val,O33,_xlpm.estVol,COUNTIF(J36:P36,_xlpm.unite)+COUNTIF(J38:P38,_xlpm.unite)&gt;0,_xlpm.estPoids,COUNTIF(G36:I36,_xlpm.unite)+COUNTIF(G38:I38,_xlpm.unite)&gt;0,IF(_xlpm.estVol,IF(ROUND(_xlpm.val,3)&gt;=1,ROUND(_xlpm.val,3)&amp;" L",MAX(1,ROUND(_xlpm.val*100,0))&amp;" cl"),IF(_xlpm.estPoids,IF(ROUND(_xlpm.val,3)&gt;=1,ROUND(_xlpm.val,3)&amp;" Kg",MAX(1,ROUND(_xlpm.val*1000,0))&amp;" g"),"")))</f>
        <v/>
      </c>
      <c r="R33" s="104" t="str">
        <f t="shared" si="6"/>
        <v>►</v>
      </c>
      <c r="S33" s="32" t="str">
        <f>S16</f>
        <v>T TERRINE OF PIG’S TROTTERS  for slices | |  Author &gt; Guy KRENZE - Eric GODDYN - Arnaud NICOLAS - CEPROC 2002</v>
      </c>
      <c r="T33" s="33">
        <f>T16</f>
        <v>1</v>
      </c>
      <c r="U33" s="32" t="str">
        <f>U16</f>
        <v>mold L 30 cm × W 9 cm × H 6 cm</v>
      </c>
      <c r="V33" s="34" t="str">
        <f>V16</f>
        <v>Master recipe ► Black pudding in 4 variations</v>
      </c>
      <c r="W33" s="92"/>
      <c r="X33" s="108"/>
      <c r="Y33" s="94" t="str">
        <f t="shared" si="3"/>
        <v/>
      </c>
      <c r="Z33" s="95"/>
      <c r="AA33" s="126"/>
      <c r="AB33" s="127">
        <v>1</v>
      </c>
      <c r="AC33" s="920"/>
      <c r="AD33" s="1494">
        <f>IF(OR(ISBLANK(W14),AD14=0),0,W33*AB15)</f>
        <v>0</v>
      </c>
      <c r="AE33" s="101" cm="1">
        <f t="array" ref="AE33">IFERROR(_xlfn.LET(_xlpm.k,UPPER(TRIM(AA33)),_xlpm.r,_xlfn.XLOOKUP(_xlpm.k,UPPER(TRIM(W36:AF36)),W37:AF37,_xlfn.XLOOKUP(_xlpm.k,UPPER(TRIM(W38:AF38)),W39:AF39)),_xlpm.r*Z33*AB33*AB15*IF(ISBLANK(W33),1,W33)),0)</f>
        <v>0</v>
      </c>
      <c r="AF33" s="1476" t="str">
        <f>_xlfn.LET(_xlpm.unite,SUBSTITUTE(TRIM(AA33)," (s)",""),_xlpm.val,AE33,_xlpm.estVol,COUNTIF(Z36:AF36,_xlpm.unite)+COUNTIF(Z38:AF38,_xlpm.unite)&gt;0,_xlpm.estPoids,COUNTIF(W36:Y36,_xlpm.unite)+COUNTIF(W38:Y38,_xlpm.unite)&gt;0,IF(_xlpm.estVol,IF(ROUND(_xlpm.val,3)&gt;=1,ROUND(_xlpm.val,3)&amp;" L",MAX(1,ROUND(_xlpm.val*100,0))&amp;" cl"),IF(_xlpm.estPoids,IF(ROUND(_xlpm.val,3)&gt;=1,ROUND(_xlpm.val,3)&amp;" Kg",MAX(1,ROUND(_xlpm.val*1000,0))&amp;" g"),"")))</f>
        <v/>
      </c>
      <c r="AH33" s="104" t="str">
        <f t="shared" si="7"/>
        <v>►</v>
      </c>
      <c r="AI33" s="32" t="str">
        <f>AI16</f>
        <v>T TERRINAS DE MANITAS DE CERDO para rodaja  | | Autor &gt; Guy KRENZE - Eric GODDYN - Arnaud NICOLAS - CEPROC 2002</v>
      </c>
      <c r="AJ33" s="33">
        <f>AJ16</f>
        <v>1</v>
      </c>
      <c r="AK33" s="32" t="str">
        <f>AK16</f>
        <v>molde L 30 cm × A 9 cm × H 6 cm</v>
      </c>
      <c r="AL33" s="34" t="str">
        <f>AL16</f>
        <v>Receta madre ► Morcilla en 4 versiones</v>
      </c>
      <c r="AM33" s="92"/>
      <c r="AN33" s="108"/>
      <c r="AO33" s="94" t="str">
        <f t="shared" si="4"/>
        <v/>
      </c>
      <c r="AP33" s="95"/>
      <c r="AQ33" s="126"/>
      <c r="AR33" s="127">
        <v>1</v>
      </c>
      <c r="AS33" s="920"/>
      <c r="AT33" s="1494">
        <f>IF(OR(ISBLANK(AM14),AT14=0),0,AM33*AR15)</f>
        <v>0</v>
      </c>
      <c r="AU33" s="101" cm="1">
        <f t="array" ref="AU33">IFERROR(_xlfn.LET(_xlpm.k,UPPER(TRIM(AQ33)),_xlpm.r,_xlfn.XLOOKUP(_xlpm.k,UPPER(TRIM(AM36:AV36)),AM37:AV37,_xlfn.XLOOKUP(_xlpm.k,UPPER(TRIM(AM38:AV38)),AM39:AV39)),_xlpm.r*AP33*AR33*AR15*IF(ISBLANK(AM33),1,AM33)),0)</f>
        <v>0</v>
      </c>
      <c r="AV33" s="1476" t="str">
        <f>_xlfn.LET(_xlpm.unite,SUBSTITUTE(TRIM(AQ33)," (s)",""),_xlpm.val,AU33,_xlpm.estVol,COUNTIF(AP36:AV36,_xlpm.unite)+COUNTIF(AP38:AV38,_xlpm.unite)&gt;0,_xlpm.estPoids,COUNTIF(AM36:AO36,_xlpm.unite)+COUNTIF(AM38:AO38,_xlpm.unite)&gt;0,IF(_xlpm.estVol,IF(ROUND(_xlpm.val,3)&gt;=1,ROUND(_xlpm.val,3)&amp;" L",MAX(1,ROUND(_xlpm.val*100,0))&amp;" cl"),IF(_xlpm.estPoids,IF(ROUND(_xlpm.val,3)&gt;=1,ROUND(_xlpm.val,3)&amp;" Kg",MAX(1,ROUND(_xlpm.val*1000,0))&amp;" g"),"")))</f>
        <v/>
      </c>
      <c r="AY33" s="3">
        <v>1</v>
      </c>
    </row>
    <row r="34" spans="2:51" ht="27" customHeight="1">
      <c r="B34" s="104" t="str">
        <f t="shared" si="5"/>
        <v>►</v>
      </c>
      <c r="C34" s="32" t="str">
        <f>C16</f>
        <v>T TERRINE DE PIEDS DE PORC pour tranches | | Auteur &gt; Guy KRENZE - Eric GODDYN - Arnaud NICOLAS - CEPROC 2002</v>
      </c>
      <c r="D34" s="33">
        <f>D16</f>
        <v>1</v>
      </c>
      <c r="E34" s="32" t="str">
        <f>E16</f>
        <v xml:space="preserve">moule L 30 cm X l 9 cm X H 6 cm </v>
      </c>
      <c r="F34" s="34" t="str">
        <f>F16</f>
        <v>Recette mère ► le Boudin en 4 déclinaisons</v>
      </c>
      <c r="G34" s="92"/>
      <c r="H34" s="108"/>
      <c r="I34" s="94" t="str">
        <f t="shared" si="2"/>
        <v/>
      </c>
      <c r="J34" s="95"/>
      <c r="K34" s="126"/>
      <c r="L34" s="127">
        <v>1</v>
      </c>
      <c r="M34" s="920"/>
      <c r="N34" s="1494">
        <f>IF(OR(ISBLANK(G14),N14=0),0,G34*L15)</f>
        <v>0</v>
      </c>
      <c r="O34" s="101" cm="1">
        <f t="array" ref="O34">IFERROR(_xlfn.LET(_xlpm.k,UPPER(TRIM(K34)),_xlpm.r,_xlfn.XLOOKUP(_xlpm.k,UPPER(TRIM(G36:P36)),G37:P37,_xlfn.XLOOKUP(_xlpm.k,UPPER(TRIM(G38:P38)),G39:P39)),_xlpm.r*J34*L34*L15*IF(ISBLANK(G34),1,G34)),0)</f>
        <v>0</v>
      </c>
      <c r="P34" s="1475" t="str">
        <f>_xlfn.LET(_xlpm.unite,SUBSTITUTE(TRIM(K34)," (s)",""),_xlpm.val,O34,_xlpm.estVol,COUNTIF(J36:P36,_xlpm.unite)+COUNTIF(J38:P38,_xlpm.unite)&gt;0,_xlpm.estPoids,COUNTIF(G36:I36,_xlpm.unite)+COUNTIF(G38:I38,_xlpm.unite)&gt;0,IF(_xlpm.estVol,IF(ROUND(_xlpm.val,3)&gt;=1,ROUND(_xlpm.val,3)&amp;" L",MAX(1,ROUND(_xlpm.val*100,0))&amp;" cl"),IF(_xlpm.estPoids,IF(ROUND(_xlpm.val,3)&gt;=1,ROUND(_xlpm.val,3)&amp;" Kg",MAX(1,ROUND(_xlpm.val*1000,0))&amp;" g"),"")))</f>
        <v/>
      </c>
      <c r="R34" s="104" t="str">
        <f t="shared" si="6"/>
        <v>►</v>
      </c>
      <c r="S34" s="32" t="str">
        <f>S16</f>
        <v>T TERRINE OF PIG’S TROTTERS  for slices | |  Author &gt; Guy KRENZE - Eric GODDYN - Arnaud NICOLAS - CEPROC 2002</v>
      </c>
      <c r="T34" s="33">
        <f>T16</f>
        <v>1</v>
      </c>
      <c r="U34" s="32" t="str">
        <f>U16</f>
        <v>mold L 30 cm × W 9 cm × H 6 cm</v>
      </c>
      <c r="V34" s="34" t="str">
        <f>V16</f>
        <v>Master recipe ► Black pudding in 4 variations</v>
      </c>
      <c r="W34" s="92"/>
      <c r="X34" s="108"/>
      <c r="Y34" s="94" t="str">
        <f t="shared" si="3"/>
        <v/>
      </c>
      <c r="Z34" s="95"/>
      <c r="AA34" s="126"/>
      <c r="AB34" s="127">
        <v>1</v>
      </c>
      <c r="AC34" s="920"/>
      <c r="AD34" s="1494">
        <f>IF(OR(ISBLANK(W14),AD14=0),0,W34*AB15)</f>
        <v>0</v>
      </c>
      <c r="AE34" s="101" cm="1">
        <f t="array" ref="AE34">IFERROR(_xlfn.LET(_xlpm.k,UPPER(TRIM(AA34)),_xlpm.r,_xlfn.XLOOKUP(_xlpm.k,UPPER(TRIM(W36:AF36)),W37:AF37,_xlfn.XLOOKUP(_xlpm.k,UPPER(TRIM(W38:AF38)),W39:AF39)),_xlpm.r*Z34*AB34*AB15*IF(ISBLANK(W34),1,W34)),0)</f>
        <v>0</v>
      </c>
      <c r="AF34" s="1475" t="str">
        <f>_xlfn.LET(_xlpm.unite,SUBSTITUTE(TRIM(AA34)," (s)",""),_xlpm.val,AE34,_xlpm.estVol,COUNTIF(Z36:AF36,_xlpm.unite)+COUNTIF(Z38:AF38,_xlpm.unite)&gt;0,_xlpm.estPoids,COUNTIF(W36:Y36,_xlpm.unite)+COUNTIF(W38:Y38,_xlpm.unite)&gt;0,IF(_xlpm.estVol,IF(ROUND(_xlpm.val,3)&gt;=1,ROUND(_xlpm.val,3)&amp;" L",MAX(1,ROUND(_xlpm.val*100,0))&amp;" cl"),IF(_xlpm.estPoids,IF(ROUND(_xlpm.val,3)&gt;=1,ROUND(_xlpm.val,3)&amp;" Kg",MAX(1,ROUND(_xlpm.val*1000,0))&amp;" g"),"")))</f>
        <v/>
      </c>
      <c r="AH34" s="104" t="str">
        <f t="shared" si="7"/>
        <v>►</v>
      </c>
      <c r="AI34" s="32" t="str">
        <f>AI16</f>
        <v>T TERRINAS DE MANITAS DE CERDO para rodaja  | | Autor &gt; Guy KRENZE - Eric GODDYN - Arnaud NICOLAS - CEPROC 2002</v>
      </c>
      <c r="AJ34" s="33">
        <f>AJ16</f>
        <v>1</v>
      </c>
      <c r="AK34" s="32" t="str">
        <f>AK16</f>
        <v>molde L 30 cm × A 9 cm × H 6 cm</v>
      </c>
      <c r="AL34" s="34" t="str">
        <f>AL16</f>
        <v>Receta madre ► Morcilla en 4 versiones</v>
      </c>
      <c r="AM34" s="92"/>
      <c r="AN34" s="108"/>
      <c r="AO34" s="94" t="str">
        <f t="shared" si="4"/>
        <v/>
      </c>
      <c r="AP34" s="95"/>
      <c r="AQ34" s="126"/>
      <c r="AR34" s="127">
        <v>1</v>
      </c>
      <c r="AS34" s="920"/>
      <c r="AT34" s="1494">
        <f>IF(OR(ISBLANK(AM14),AT14=0),0,AM34*AR15)</f>
        <v>0</v>
      </c>
      <c r="AU34" s="101" cm="1">
        <f t="array" ref="AU34">IFERROR(_xlfn.LET(_xlpm.k,UPPER(TRIM(AQ34)),_xlpm.r,_xlfn.XLOOKUP(_xlpm.k,UPPER(TRIM(AM36:AV36)),AM37:AV37,_xlfn.XLOOKUP(_xlpm.k,UPPER(TRIM(AM38:AV38)),AM39:AV39)),_xlpm.r*AP34*AR34*AR15*IF(ISBLANK(AM34),1,AM34)),0)</f>
        <v>0</v>
      </c>
      <c r="AV34" s="1475" t="str">
        <f>_xlfn.LET(_xlpm.unite,SUBSTITUTE(TRIM(AQ34)," (s)",""),_xlpm.val,AU34,_xlpm.estVol,COUNTIF(AP36:AV36,_xlpm.unite)+COUNTIF(AP38:AV38,_xlpm.unite)&gt;0,_xlpm.estPoids,COUNTIF(AM36:AO36,_xlpm.unite)+COUNTIF(AM38:AO38,_xlpm.unite)&gt;0,IF(_xlpm.estVol,IF(ROUND(_xlpm.val,3)&gt;=1,ROUND(_xlpm.val,3)&amp;" L",MAX(1,ROUND(_xlpm.val*100,0))&amp;" cl"),IF(_xlpm.estPoids,IF(ROUND(_xlpm.val,3)&gt;=1,ROUND(_xlpm.val,3)&amp;" Kg",MAX(1,ROUND(_xlpm.val*1000,0))&amp;" g"),"")))</f>
        <v/>
      </c>
      <c r="AY34" s="3">
        <v>1</v>
      </c>
    </row>
    <row r="35" spans="2:51" ht="27" customHeight="1">
      <c r="B35" s="104" t="s">
        <v>11</v>
      </c>
      <c r="C35" s="32" t="str">
        <f>C16</f>
        <v>T TERRINE DE PIEDS DE PORC pour tranches | | Auteur &gt; Guy KRENZE - Eric GODDYN - Arnaud NICOLAS - CEPROC 2002</v>
      </c>
      <c r="D35" s="33">
        <f>D16</f>
        <v>1</v>
      </c>
      <c r="E35" s="32" t="str">
        <f>E16</f>
        <v xml:space="preserve">moule L 30 cm X l 9 cm X H 6 cm </v>
      </c>
      <c r="F35" s="34" t="str">
        <f>F16</f>
        <v>Recette mère ► le Boudin en 4 déclinaisons</v>
      </c>
      <c r="G35" s="907" t="s">
        <v>136</v>
      </c>
      <c r="H35" s="500"/>
      <c r="I35" s="500"/>
      <c r="J35" s="500"/>
      <c r="K35" s="500"/>
      <c r="L35" s="908"/>
      <c r="M35" s="909"/>
      <c r="N35" s="909"/>
      <c r="O35" s="910">
        <f>SUM(O20:O34)</f>
        <v>2.0619999999999998</v>
      </c>
      <c r="P35" s="1489"/>
      <c r="R35" s="104" t="s">
        <v>11</v>
      </c>
      <c r="S35" s="32" t="str">
        <f>S16</f>
        <v>T TERRINE OF PIG’S TROTTERS  for slices | |  Author &gt; Guy KRENZE - Eric GODDYN - Arnaud NICOLAS - CEPROC 2002</v>
      </c>
      <c r="T35" s="33">
        <f>T16</f>
        <v>1</v>
      </c>
      <c r="U35" s="32" t="str">
        <f>U16</f>
        <v>mold L 30 cm × W 9 cm × H 6 cm</v>
      </c>
      <c r="V35" s="34" t="str">
        <f>V16</f>
        <v>Master recipe ► Black pudding in 4 variations</v>
      </c>
      <c r="W35" s="907" t="s">
        <v>893</v>
      </c>
      <c r="X35" s="500"/>
      <c r="Y35" s="500"/>
      <c r="Z35" s="500"/>
      <c r="AA35" s="500"/>
      <c r="AB35" s="908"/>
      <c r="AC35" s="909"/>
      <c r="AD35" s="909"/>
      <c r="AE35" s="910">
        <f>SUM(AE20:AE34)</f>
        <v>2.0619999999999998</v>
      </c>
      <c r="AF35" s="1489"/>
      <c r="AH35" s="104" t="s">
        <v>11</v>
      </c>
      <c r="AI35" s="32" t="str">
        <f>AI16</f>
        <v>T TERRINAS DE MANITAS DE CERDO para rodaja  | | Autor &gt; Guy KRENZE - Eric GODDYN - Arnaud NICOLAS - CEPROC 2002</v>
      </c>
      <c r="AJ35" s="33">
        <f>AJ16</f>
        <v>1</v>
      </c>
      <c r="AK35" s="32" t="str">
        <f>AK16</f>
        <v>molde L 30 cm × A 9 cm × H 6 cm</v>
      </c>
      <c r="AL35" s="34" t="str">
        <f>AL16</f>
        <v>Receta madre ► Morcilla en 4 versiones</v>
      </c>
      <c r="AM35" s="907" t="s">
        <v>893</v>
      </c>
      <c r="AN35" s="500"/>
      <c r="AO35" s="500"/>
      <c r="AP35" s="500"/>
      <c r="AQ35" s="500"/>
      <c r="AR35" s="908"/>
      <c r="AS35" s="909"/>
      <c r="AT35" s="909"/>
      <c r="AU35" s="910">
        <f>SUM(AU20:AU34)</f>
        <v>2.0619999999999998</v>
      </c>
      <c r="AV35" s="1489"/>
      <c r="AY35" s="3">
        <v>1</v>
      </c>
    </row>
    <row r="36" spans="2:51" ht="27" customHeight="1">
      <c r="B36" s="104" t="s">
        <v>16</v>
      </c>
      <c r="C36" s="32" t="str">
        <f>C16</f>
        <v>T TERRINE DE PIEDS DE PORC pour tranches | | Auteur &gt; Guy KRENZE - Eric GODDYN - Arnaud NICOLAS - CEPROC 2002</v>
      </c>
      <c r="D36" s="33">
        <f>D16</f>
        <v>1</v>
      </c>
      <c r="E36" s="32" t="str">
        <f>E16</f>
        <v xml:space="preserve">moule L 30 cm X l 9 cm X H 6 cm </v>
      </c>
      <c r="F36" s="34" t="str">
        <f>F16</f>
        <v>Recette mère ► le Boudin en 4 déclinaisons</v>
      </c>
      <c r="G36" s="140" t="s">
        <v>143</v>
      </c>
      <c r="H36" s="105" t="s">
        <v>99</v>
      </c>
      <c r="I36" s="141" t="s">
        <v>144</v>
      </c>
      <c r="J36" s="96" t="s">
        <v>0</v>
      </c>
      <c r="K36" s="96" t="s">
        <v>96</v>
      </c>
      <c r="L36" s="96" t="s">
        <v>147</v>
      </c>
      <c r="M36" s="96" t="s">
        <v>148</v>
      </c>
      <c r="N36" s="109" t="s">
        <v>364</v>
      </c>
      <c r="O36" s="109" t="s">
        <v>102</v>
      </c>
      <c r="P36" s="109" t="s">
        <v>149</v>
      </c>
      <c r="R36" s="104" t="s">
        <v>16</v>
      </c>
      <c r="S36" s="32" t="str">
        <f>S16</f>
        <v>T TERRINE OF PIG’S TROTTERS  for slices | |  Author &gt; Guy KRENZE - Eric GODDYN - Arnaud NICOLAS - CEPROC 2002</v>
      </c>
      <c r="T36" s="33">
        <f>T16</f>
        <v>1</v>
      </c>
      <c r="U36" s="32" t="str">
        <f>U16</f>
        <v>mold L 30 cm × W 9 cm × H 6 cm</v>
      </c>
      <c r="V36" s="34" t="str">
        <f>V16</f>
        <v>Master recipe ► Black pudding in 4 variations</v>
      </c>
      <c r="W36" s="140" t="s">
        <v>143</v>
      </c>
      <c r="X36" s="105" t="s">
        <v>99</v>
      </c>
      <c r="Y36" s="141" t="s">
        <v>144</v>
      </c>
      <c r="Z36" s="96" t="s">
        <v>0</v>
      </c>
      <c r="AA36" s="96" t="s">
        <v>96</v>
      </c>
      <c r="AB36" s="96" t="s">
        <v>147</v>
      </c>
      <c r="AC36" s="96" t="s">
        <v>148</v>
      </c>
      <c r="AD36" s="109" t="s">
        <v>1378</v>
      </c>
      <c r="AE36" s="109" t="s">
        <v>1360</v>
      </c>
      <c r="AF36" s="109" t="s">
        <v>1361</v>
      </c>
      <c r="AH36" s="104" t="s">
        <v>16</v>
      </c>
      <c r="AI36" s="32" t="str">
        <f>AI16</f>
        <v>T TERRINAS DE MANITAS DE CERDO para rodaja  | | Autor &gt; Guy KRENZE - Eric GODDYN - Arnaud NICOLAS - CEPROC 2002</v>
      </c>
      <c r="AJ36" s="33">
        <f>AJ16</f>
        <v>1</v>
      </c>
      <c r="AK36" s="32" t="str">
        <f>AK16</f>
        <v>molde L 30 cm × A 9 cm × H 6 cm</v>
      </c>
      <c r="AL36" s="34" t="str">
        <f>AL16</f>
        <v>Receta madre ► Morcilla en 4 versiones</v>
      </c>
      <c r="AM36" s="140" t="s">
        <v>143</v>
      </c>
      <c r="AN36" s="105" t="s">
        <v>99</v>
      </c>
      <c r="AO36" s="141" t="s">
        <v>144</v>
      </c>
      <c r="AP36" s="96" t="s">
        <v>0</v>
      </c>
      <c r="AQ36" s="96" t="s">
        <v>96</v>
      </c>
      <c r="AR36" s="96" t="s">
        <v>147</v>
      </c>
      <c r="AS36" s="96" t="s">
        <v>148</v>
      </c>
      <c r="AT36" s="109" t="s">
        <v>1379</v>
      </c>
      <c r="AU36" s="109" t="s">
        <v>1341</v>
      </c>
      <c r="AV36" s="109" t="s">
        <v>1342</v>
      </c>
      <c r="AY36" s="3">
        <v>1</v>
      </c>
    </row>
    <row r="37" spans="2:51" ht="27" customHeight="1">
      <c r="B37" s="104" t="s">
        <v>16</v>
      </c>
      <c r="C37" s="32" t="str">
        <f>C16</f>
        <v>T TERRINE DE PIEDS DE PORC pour tranches | | Auteur &gt; Guy KRENZE - Eric GODDYN - Arnaud NICOLAS - CEPROC 2002</v>
      </c>
      <c r="D37" s="33">
        <f>D16</f>
        <v>1</v>
      </c>
      <c r="E37" s="32" t="str">
        <f>E16</f>
        <v xml:space="preserve">moule L 30 cm X l 9 cm X H 6 cm </v>
      </c>
      <c r="F37" s="34" t="str">
        <f>F16</f>
        <v>Recette mère ► le Boudin en 4 déclinaisons</v>
      </c>
      <c r="G37" s="911">
        <v>1</v>
      </c>
      <c r="H37" s="912">
        <v>1E-3</v>
      </c>
      <c r="I37" s="913">
        <v>0</v>
      </c>
      <c r="J37" s="914">
        <v>1</v>
      </c>
      <c r="K37" s="914">
        <v>0.1</v>
      </c>
      <c r="L37" s="914">
        <v>0.01</v>
      </c>
      <c r="M37" s="914">
        <v>1E-3</v>
      </c>
      <c r="N37" s="914">
        <v>0.25</v>
      </c>
      <c r="O37" s="914">
        <v>0.5</v>
      </c>
      <c r="P37" s="914">
        <v>0.33300000000000002</v>
      </c>
      <c r="R37" s="104" t="s">
        <v>16</v>
      </c>
      <c r="S37" s="32" t="str">
        <f>S16</f>
        <v>T TERRINE OF PIG’S TROTTERS  for slices | |  Author &gt; Guy KRENZE - Eric GODDYN - Arnaud NICOLAS - CEPROC 2002</v>
      </c>
      <c r="T37" s="33">
        <f>T16</f>
        <v>1</v>
      </c>
      <c r="U37" s="32" t="str">
        <f>U16</f>
        <v>mold L 30 cm × W 9 cm × H 6 cm</v>
      </c>
      <c r="V37" s="34" t="str">
        <f>V16</f>
        <v>Master recipe ► Black pudding in 4 variations</v>
      </c>
      <c r="W37" s="911">
        <v>1</v>
      </c>
      <c r="X37" s="912">
        <v>1E-3</v>
      </c>
      <c r="Y37" s="913">
        <v>0</v>
      </c>
      <c r="Z37" s="914">
        <v>1</v>
      </c>
      <c r="AA37" s="914">
        <v>0.1</v>
      </c>
      <c r="AB37" s="914">
        <v>0.01</v>
      </c>
      <c r="AC37" s="914">
        <v>1E-3</v>
      </c>
      <c r="AD37" s="914">
        <v>0.25</v>
      </c>
      <c r="AE37" s="914">
        <v>0.5</v>
      </c>
      <c r="AF37" s="914">
        <v>0.33300000000000002</v>
      </c>
      <c r="AH37" s="104" t="s">
        <v>16</v>
      </c>
      <c r="AI37" s="32" t="str">
        <f>AI16</f>
        <v>T TERRINAS DE MANITAS DE CERDO para rodaja  | | Autor &gt; Guy KRENZE - Eric GODDYN - Arnaud NICOLAS - CEPROC 2002</v>
      </c>
      <c r="AJ37" s="33">
        <f>AJ16</f>
        <v>1</v>
      </c>
      <c r="AK37" s="32" t="str">
        <f>AK16</f>
        <v>molde L 30 cm × A 9 cm × H 6 cm</v>
      </c>
      <c r="AL37" s="34" t="str">
        <f>AL16</f>
        <v>Receta madre ► Morcilla en 4 versiones</v>
      </c>
      <c r="AM37" s="911">
        <v>1</v>
      </c>
      <c r="AN37" s="912">
        <v>1E-3</v>
      </c>
      <c r="AO37" s="913">
        <v>0</v>
      </c>
      <c r="AP37" s="914">
        <v>1</v>
      </c>
      <c r="AQ37" s="914">
        <v>0.1</v>
      </c>
      <c r="AR37" s="914">
        <v>0.01</v>
      </c>
      <c r="AS37" s="914">
        <v>1E-3</v>
      </c>
      <c r="AT37" s="914">
        <v>0.25</v>
      </c>
      <c r="AU37" s="914">
        <v>0.5</v>
      </c>
      <c r="AV37" s="914">
        <v>0.33300000000000002</v>
      </c>
      <c r="AY37" s="3">
        <v>1</v>
      </c>
    </row>
    <row r="38" spans="2:51" ht="27" customHeight="1">
      <c r="B38" s="104" t="s">
        <v>16</v>
      </c>
      <c r="C38" s="32" t="str">
        <f>C16</f>
        <v>T TERRINE DE PIEDS DE PORC pour tranches | | Auteur &gt; Guy KRENZE - Eric GODDYN - Arnaud NICOLAS - CEPROC 2002</v>
      </c>
      <c r="D38" s="33">
        <f>D16</f>
        <v>1</v>
      </c>
      <c r="E38" s="32" t="str">
        <f>E16</f>
        <v xml:space="preserve">moule L 30 cm X l 9 cm X H 6 cm </v>
      </c>
      <c r="F38" s="34" t="str">
        <f>F16</f>
        <v>Recette mère ► le Boudin en 4 déclinaisons</v>
      </c>
      <c r="G38" s="142" t="s">
        <v>145</v>
      </c>
      <c r="H38" s="117" t="s">
        <v>107</v>
      </c>
      <c r="I38" s="141" t="s">
        <v>144</v>
      </c>
      <c r="J38" s="109" t="s">
        <v>150</v>
      </c>
      <c r="K38" s="109" t="s">
        <v>163</v>
      </c>
      <c r="L38" s="109" t="s">
        <v>103</v>
      </c>
      <c r="M38" s="109" t="s">
        <v>162</v>
      </c>
      <c r="N38" s="149" t="s">
        <v>160</v>
      </c>
      <c r="O38" s="149" t="s">
        <v>117</v>
      </c>
      <c r="P38" s="1061" t="s">
        <v>1831</v>
      </c>
      <c r="R38" s="104" t="s">
        <v>16</v>
      </c>
      <c r="S38" s="32" t="str">
        <f>S16</f>
        <v>T TERRINE OF PIG’S TROTTERS  for slices | |  Author &gt; Guy KRENZE - Eric GODDYN - Arnaud NICOLAS - CEPROC 2002</v>
      </c>
      <c r="T38" s="33">
        <f>T16</f>
        <v>1</v>
      </c>
      <c r="U38" s="32" t="str">
        <f>U16</f>
        <v>mold L 30 cm × W 9 cm × H 6 cm</v>
      </c>
      <c r="V38" s="34" t="str">
        <f>V16</f>
        <v>Master recipe ► Black pudding in 4 variations</v>
      </c>
      <c r="W38" s="142" t="s">
        <v>1357</v>
      </c>
      <c r="X38" s="117" t="s">
        <v>1359</v>
      </c>
      <c r="Y38" s="141" t="s">
        <v>144</v>
      </c>
      <c r="Z38" s="109" t="s">
        <v>1362</v>
      </c>
      <c r="AA38" s="109" t="s">
        <v>1371</v>
      </c>
      <c r="AB38" s="109" t="s">
        <v>1372</v>
      </c>
      <c r="AC38" s="109" t="s">
        <v>1370</v>
      </c>
      <c r="AD38" s="149" t="s">
        <v>1368</v>
      </c>
      <c r="AE38" s="149" t="s">
        <v>1367</v>
      </c>
      <c r="AF38" s="1061" t="s">
        <v>1832</v>
      </c>
      <c r="AH38" s="104" t="s">
        <v>16</v>
      </c>
      <c r="AI38" s="32" t="str">
        <f>AI16</f>
        <v>T TERRINAS DE MANITAS DE CERDO para rodaja  | | Autor &gt; Guy KRENZE - Eric GODDYN - Arnaud NICOLAS - CEPROC 2002</v>
      </c>
      <c r="AJ38" s="33">
        <f>AJ16</f>
        <v>1</v>
      </c>
      <c r="AK38" s="32" t="str">
        <f>AK16</f>
        <v>molde L 30 cm × A 9 cm × H 6 cm</v>
      </c>
      <c r="AL38" s="34" t="str">
        <f>AL16</f>
        <v>Receta madre ► Morcilla en 4 versiones</v>
      </c>
      <c r="AM38" s="142" t="s">
        <v>145</v>
      </c>
      <c r="AN38" s="117" t="s">
        <v>107</v>
      </c>
      <c r="AO38" s="141" t="s">
        <v>144</v>
      </c>
      <c r="AP38" s="143" t="s">
        <v>1343</v>
      </c>
      <c r="AQ38" s="109" t="s">
        <v>1354</v>
      </c>
      <c r="AR38" s="109" t="s">
        <v>1355</v>
      </c>
      <c r="AS38" s="109" t="s">
        <v>1353</v>
      </c>
      <c r="AT38" s="149" t="s">
        <v>1351</v>
      </c>
      <c r="AU38" s="123" t="s">
        <v>1350</v>
      </c>
      <c r="AV38" s="1061" t="s">
        <v>1833</v>
      </c>
      <c r="AY38" s="3">
        <v>1</v>
      </c>
    </row>
    <row r="39" spans="2:51" ht="27" customHeight="1">
      <c r="B39" s="104" t="s">
        <v>16</v>
      </c>
      <c r="C39" s="32" t="str">
        <f>C16</f>
        <v>T TERRINE DE PIEDS DE PORC pour tranches | | Auteur &gt; Guy KRENZE - Eric GODDYN - Arnaud NICOLAS - CEPROC 2002</v>
      </c>
      <c r="D39" s="33">
        <f>D16</f>
        <v>1</v>
      </c>
      <c r="E39" s="32" t="str">
        <f>E16</f>
        <v xml:space="preserve">moule L 30 cm X l 9 cm X H 6 cm </v>
      </c>
      <c r="F39" s="34" t="str">
        <f>F16</f>
        <v>Recette mère ► le Boudin en 4 déclinaisons</v>
      </c>
      <c r="G39" s="912">
        <v>0.25</v>
      </c>
      <c r="H39" s="912">
        <v>0.5</v>
      </c>
      <c r="I39" s="913">
        <v>0</v>
      </c>
      <c r="J39" s="914">
        <v>0.2</v>
      </c>
      <c r="K39" s="914">
        <v>0.1</v>
      </c>
      <c r="L39" s="914">
        <v>0.22500000000000001</v>
      </c>
      <c r="M39" s="914">
        <v>1.4999999999999999E-2</v>
      </c>
      <c r="N39" s="914">
        <v>4.9299999999999995E-3</v>
      </c>
      <c r="O39" s="914">
        <v>0.35</v>
      </c>
      <c r="P39" s="915">
        <v>0.25</v>
      </c>
      <c r="R39" s="104" t="s">
        <v>16</v>
      </c>
      <c r="S39" s="32" t="str">
        <f>S16</f>
        <v>T TERRINE OF PIG’S TROTTERS  for slices | |  Author &gt; Guy KRENZE - Eric GODDYN - Arnaud NICOLAS - CEPROC 2002</v>
      </c>
      <c r="T39" s="33">
        <f>T16</f>
        <v>1</v>
      </c>
      <c r="U39" s="32" t="str">
        <f>U16</f>
        <v>mold L 30 cm × W 9 cm × H 6 cm</v>
      </c>
      <c r="V39" s="34" t="str">
        <f>V16</f>
        <v>Master recipe ► Black pudding in 4 variations</v>
      </c>
      <c r="W39" s="912">
        <v>0.25</v>
      </c>
      <c r="X39" s="912">
        <v>0.5</v>
      </c>
      <c r="Y39" s="913">
        <v>0</v>
      </c>
      <c r="Z39" s="914">
        <v>0.2</v>
      </c>
      <c r="AA39" s="914">
        <v>0.1</v>
      </c>
      <c r="AB39" s="914">
        <v>0.22500000000000001</v>
      </c>
      <c r="AC39" s="914">
        <v>1.4999999999999999E-2</v>
      </c>
      <c r="AD39" s="914">
        <v>4.9299999999999995E-3</v>
      </c>
      <c r="AE39" s="914">
        <v>0.35</v>
      </c>
      <c r="AF39" s="915">
        <v>0.25</v>
      </c>
      <c r="AH39" s="104" t="s">
        <v>16</v>
      </c>
      <c r="AI39" s="32" t="str">
        <f>AI16</f>
        <v>T TERRINAS DE MANITAS DE CERDO para rodaja  | | Autor &gt; Guy KRENZE - Eric GODDYN - Arnaud NICOLAS - CEPROC 2002</v>
      </c>
      <c r="AJ39" s="33">
        <f>AJ16</f>
        <v>1</v>
      </c>
      <c r="AK39" s="32" t="str">
        <f>AK16</f>
        <v>molde L 30 cm × A 9 cm × H 6 cm</v>
      </c>
      <c r="AL39" s="34" t="str">
        <f>AL16</f>
        <v>Receta madre ► Morcilla en 4 versiones</v>
      </c>
      <c r="AM39" s="912">
        <v>0.25</v>
      </c>
      <c r="AN39" s="912">
        <v>0.5</v>
      </c>
      <c r="AO39" s="913">
        <v>0</v>
      </c>
      <c r="AP39" s="914">
        <v>0.2</v>
      </c>
      <c r="AQ39" s="914">
        <v>0.1</v>
      </c>
      <c r="AR39" s="914">
        <v>0.22500000000000001</v>
      </c>
      <c r="AS39" s="914">
        <v>1.4999999999999999E-2</v>
      </c>
      <c r="AT39" s="914">
        <v>4.9299999999999995E-3</v>
      </c>
      <c r="AU39" s="914">
        <v>0.35</v>
      </c>
      <c r="AV39" s="915">
        <v>0.25</v>
      </c>
      <c r="AY39" s="3">
        <v>1</v>
      </c>
    </row>
    <row r="40" spans="2:51" ht="27" customHeight="1">
      <c r="B40" s="104" t="s">
        <v>16</v>
      </c>
      <c r="C40" s="32" t="str">
        <f>C16</f>
        <v>T TERRINE DE PIEDS DE PORC pour tranches | | Auteur &gt; Guy KRENZE - Eric GODDYN - Arnaud NICOLAS - CEPROC 2002</v>
      </c>
      <c r="D40" s="33">
        <f>D16</f>
        <v>1</v>
      </c>
      <c r="E40" s="32" t="str">
        <f>E16</f>
        <v xml:space="preserve">moule L 30 cm X l 9 cm X H 6 cm </v>
      </c>
      <c r="F40" s="34" t="str">
        <f>F16</f>
        <v>Recette mère ► le Boudin en 4 déclinaisons</v>
      </c>
      <c r="G40" s="154" t="str">
        <f>G17</f>
        <v>Col.6</v>
      </c>
      <c r="H40" s="154" t="str">
        <f>H17</f>
        <v>Col.7</v>
      </c>
      <c r="I40" s="155" t="s">
        <v>3295</v>
      </c>
      <c r="J40" s="155"/>
      <c r="K40" s="155"/>
      <c r="L40" s="155"/>
      <c r="M40" s="155"/>
      <c r="N40" s="155"/>
      <c r="O40" s="155"/>
      <c r="P40" s="1477"/>
      <c r="R40" s="104" t="s">
        <v>16</v>
      </c>
      <c r="S40" s="32" t="str">
        <f>S16</f>
        <v>T TERRINE OF PIG’S TROTTERS  for slices | |  Author &gt; Guy KRENZE - Eric GODDYN - Arnaud NICOLAS - CEPROC 2002</v>
      </c>
      <c r="T40" s="33">
        <f>T16</f>
        <v>1</v>
      </c>
      <c r="U40" s="32" t="str">
        <f>U16</f>
        <v>mold L 30 cm × W 9 cm × H 6 cm</v>
      </c>
      <c r="V40" s="34" t="str">
        <f>V16</f>
        <v>Master recipe ► Black pudding in 4 variations</v>
      </c>
      <c r="W40" s="154">
        <f>W26</f>
        <v>0</v>
      </c>
      <c r="X40" s="154">
        <f>X26</f>
        <v>0</v>
      </c>
      <c r="Y40" s="155" t="s">
        <v>3296</v>
      </c>
      <c r="Z40" s="155"/>
      <c r="AA40" s="155"/>
      <c r="AB40" s="155"/>
      <c r="AC40" s="155"/>
      <c r="AD40" s="155"/>
      <c r="AE40" s="155"/>
      <c r="AF40" s="1477"/>
      <c r="AH40" s="104" t="s">
        <v>16</v>
      </c>
      <c r="AI40" s="32" t="str">
        <f>AI16</f>
        <v>T TERRINAS DE MANITAS DE CERDO para rodaja  | | Autor &gt; Guy KRENZE - Eric GODDYN - Arnaud NICOLAS - CEPROC 2002</v>
      </c>
      <c r="AJ40" s="33">
        <f>AJ16</f>
        <v>1</v>
      </c>
      <c r="AK40" s="32" t="str">
        <f>AK16</f>
        <v>molde L 30 cm × A 9 cm × H 6 cm</v>
      </c>
      <c r="AL40" s="34" t="str">
        <f>AL16</f>
        <v>Receta madre ► Morcilla en 4 versiones</v>
      </c>
      <c r="AM40" s="154" t="str">
        <f>AM17</f>
        <v>Col.6</v>
      </c>
      <c r="AN40" s="154" t="str">
        <f>AN17</f>
        <v>Col.7</v>
      </c>
      <c r="AO40" s="155" t="s">
        <v>3298</v>
      </c>
      <c r="AP40" s="155"/>
      <c r="AQ40" s="155"/>
      <c r="AR40" s="155"/>
      <c r="AS40" s="155"/>
      <c r="AT40" s="155"/>
      <c r="AU40" s="155"/>
      <c r="AV40" s="1477"/>
      <c r="AY40" s="3">
        <v>1</v>
      </c>
    </row>
    <row r="41" spans="2:51" ht="27" customHeight="1">
      <c r="B41" s="104" t="s">
        <v>16</v>
      </c>
      <c r="C41" s="157" t="str">
        <f>C16</f>
        <v>T TERRINE DE PIEDS DE PORC pour tranches | | Auteur &gt; Guy KRENZE - Eric GODDYN - Arnaud NICOLAS - CEPROC 2002</v>
      </c>
      <c r="D41" s="157">
        <f>D16</f>
        <v>1</v>
      </c>
      <c r="E41" s="158" t="str">
        <f>E16</f>
        <v xml:space="preserve">moule L 30 cm X l 9 cm X H 6 cm </v>
      </c>
      <c r="F41" s="159" t="str">
        <f>F16</f>
        <v>Recette mère ► le Boudin en 4 déclinaisons</v>
      </c>
      <c r="G41" s="160" t="s">
        <v>167</v>
      </c>
      <c r="H41" s="1483" t="s">
        <v>3328</v>
      </c>
      <c r="I41" s="162"/>
      <c r="J41" s="162"/>
      <c r="K41" s="172"/>
      <c r="L41" s="172"/>
      <c r="M41" s="172"/>
      <c r="N41" s="172"/>
      <c r="O41" s="156" t="s">
        <v>165</v>
      </c>
      <c r="P41" s="1484" t="s">
        <v>166</v>
      </c>
      <c r="R41" s="104" t="s">
        <v>16</v>
      </c>
      <c r="S41" s="157" t="str">
        <f>S16</f>
        <v>T TERRINE OF PIG’S TROTTERS  for slices | |  Author &gt; Guy KRENZE - Eric GODDYN - Arnaud NICOLAS - CEPROC 2002</v>
      </c>
      <c r="T41" s="157">
        <f>T16</f>
        <v>1</v>
      </c>
      <c r="U41" s="158" t="str">
        <f>U16</f>
        <v>mold L 30 cm × W 9 cm × H 6 cm</v>
      </c>
      <c r="V41" s="159" t="str">
        <f>V16</f>
        <v>Master recipe ► Black pudding in 4 variations</v>
      </c>
      <c r="W41" s="232" t="s">
        <v>752</v>
      </c>
      <c r="X41" s="161" t="s">
        <v>3327</v>
      </c>
      <c r="Y41" s="162"/>
      <c r="Z41" s="162"/>
      <c r="AA41" s="172"/>
      <c r="AB41" s="172"/>
      <c r="AC41" s="172"/>
      <c r="AD41" s="172"/>
      <c r="AE41" s="156" t="s">
        <v>894</v>
      </c>
      <c r="AF41" s="1484" t="s">
        <v>166</v>
      </c>
      <c r="AH41" s="104" t="s">
        <v>16</v>
      </c>
      <c r="AI41" s="157" t="str">
        <f>AI16</f>
        <v>T TERRINAS DE MANITAS DE CERDO para rodaja  | | Autor &gt; Guy KRENZE - Eric GODDYN - Arnaud NICOLAS - CEPROC 2002</v>
      </c>
      <c r="AJ41" s="157">
        <f>AJ16</f>
        <v>1</v>
      </c>
      <c r="AK41" s="158" t="str">
        <f>AK16</f>
        <v>molde L 30 cm × A 9 cm × H 6 cm</v>
      </c>
      <c r="AL41" s="159" t="str">
        <f>AL16</f>
        <v>Receta madre ► Morcilla en 4 versiones</v>
      </c>
      <c r="AM41" s="232" t="s">
        <v>754</v>
      </c>
      <c r="AN41" s="161" t="s">
        <v>3325</v>
      </c>
      <c r="AO41" s="162"/>
      <c r="AP41" s="162"/>
      <c r="AQ41" s="172"/>
      <c r="AR41" s="172"/>
      <c r="AS41" s="172"/>
      <c r="AT41" s="172"/>
      <c r="AU41" s="905" t="s">
        <v>908</v>
      </c>
      <c r="AV41" s="1484" t="s">
        <v>166</v>
      </c>
      <c r="AY41" s="3">
        <v>1</v>
      </c>
    </row>
    <row r="42" spans="2:51" ht="27" customHeight="1">
      <c r="B42" s="104" t="s">
        <v>16</v>
      </c>
      <c r="C42" s="157" t="str">
        <f>C16</f>
        <v>T TERRINE DE PIEDS DE PORC pour tranches | | Auteur &gt; Guy KRENZE - Eric GODDYN - Arnaud NICOLAS - CEPROC 2002</v>
      </c>
      <c r="D42" s="157">
        <f>D16</f>
        <v>1</v>
      </c>
      <c r="E42" s="158" t="str">
        <f>E16</f>
        <v xml:space="preserve">moule L 30 cm X l 9 cm X H 6 cm </v>
      </c>
      <c r="F42" s="159" t="str">
        <f>F16</f>
        <v>Recette mère ► le Boudin en 4 déclinaisons</v>
      </c>
      <c r="G42" s="172"/>
      <c r="H42" s="172"/>
      <c r="I42" s="172"/>
      <c r="J42" s="172"/>
      <c r="K42" s="172"/>
      <c r="L42" s="172"/>
      <c r="M42" s="172"/>
      <c r="N42" s="172"/>
      <c r="O42" s="1474" t="s">
        <v>168</v>
      </c>
      <c r="P42" s="1482" t="s">
        <v>668</v>
      </c>
      <c r="Q42" s="555"/>
      <c r="R42" s="104" t="s">
        <v>16</v>
      </c>
      <c r="S42" s="157" t="str">
        <f>S16</f>
        <v>T TERRINE OF PIG’S TROTTERS  for slices | |  Author &gt; Guy KRENZE - Eric GODDYN - Arnaud NICOLAS - CEPROC 2002</v>
      </c>
      <c r="T42" s="157">
        <f>T16</f>
        <v>1</v>
      </c>
      <c r="U42" s="158" t="str">
        <f>U16</f>
        <v>mold L 30 cm × W 9 cm × H 6 cm</v>
      </c>
      <c r="V42" s="159" t="str">
        <f>V16</f>
        <v>Master recipe ► Black pudding in 4 variations</v>
      </c>
      <c r="W42" s="172"/>
      <c r="X42" s="172"/>
      <c r="Y42" s="172"/>
      <c r="Z42" s="172"/>
      <c r="AA42" s="172"/>
      <c r="AB42" s="172"/>
      <c r="AC42" s="172"/>
      <c r="AD42" s="172"/>
      <c r="AE42" s="1474" t="s">
        <v>895</v>
      </c>
      <c r="AF42" s="1482" t="s">
        <v>668</v>
      </c>
      <c r="AH42" s="104" t="s">
        <v>16</v>
      </c>
      <c r="AI42" s="157" t="str">
        <f>AI16</f>
        <v>T TERRINAS DE MANITAS DE CERDO para rodaja  | | Autor &gt; Guy KRENZE - Eric GODDYN - Arnaud NICOLAS - CEPROC 2002</v>
      </c>
      <c r="AJ42" s="157">
        <f>AJ16</f>
        <v>1</v>
      </c>
      <c r="AK42" s="158" t="str">
        <f>AK16</f>
        <v>molde L 30 cm × A 9 cm × H 6 cm</v>
      </c>
      <c r="AL42" s="159" t="str">
        <f>AL16</f>
        <v>Receta madre ► Morcilla en 4 versiones</v>
      </c>
      <c r="AM42" s="172"/>
      <c r="AN42" s="172"/>
      <c r="AO42" s="172"/>
      <c r="AP42" s="172"/>
      <c r="AQ42" s="172"/>
      <c r="AR42" s="172"/>
      <c r="AS42" s="172"/>
      <c r="AT42" s="172"/>
      <c r="AU42" s="1474" t="s">
        <v>909</v>
      </c>
      <c r="AV42" s="1482" t="s">
        <v>668</v>
      </c>
      <c r="AY42" s="3">
        <v>1</v>
      </c>
    </row>
    <row r="43" spans="2:51" ht="27" customHeight="1">
      <c r="B43" s="104" t="s">
        <v>16</v>
      </c>
      <c r="C43" s="157" t="str">
        <f>C16</f>
        <v>T TERRINE DE PIEDS DE PORC pour tranches | | Auteur &gt; Guy KRENZE - Eric GODDYN - Arnaud NICOLAS - CEPROC 2002</v>
      </c>
      <c r="D43" s="157">
        <f>D16</f>
        <v>1</v>
      </c>
      <c r="E43" s="158" t="str">
        <f>E16</f>
        <v xml:space="preserve">moule L 30 cm X l 9 cm X H 6 cm </v>
      </c>
      <c r="F43" s="159" t="str">
        <f>F16</f>
        <v>Recette mère ► le Boudin en 4 déclinaisons</v>
      </c>
      <c r="G43" s="172" t="s">
        <v>12856</v>
      </c>
      <c r="H43" s="172"/>
      <c r="I43" s="172"/>
      <c r="J43" s="172"/>
      <c r="K43" s="172"/>
      <c r="L43" s="172"/>
      <c r="M43" s="172"/>
      <c r="N43" s="172"/>
      <c r="O43" s="172"/>
      <c r="P43" s="555"/>
      <c r="Q43" s="555"/>
      <c r="R43" s="104" t="s">
        <v>16</v>
      </c>
      <c r="S43" s="157" t="str">
        <f>S16</f>
        <v>T TERRINE OF PIG’S TROTTERS  for slices | |  Author &gt; Guy KRENZE - Eric GODDYN - Arnaud NICOLAS - CEPROC 2002</v>
      </c>
      <c r="T43" s="157">
        <f>T16</f>
        <v>1</v>
      </c>
      <c r="U43" s="158" t="str">
        <f>U16</f>
        <v>mold L 30 cm × W 9 cm × H 6 cm</v>
      </c>
      <c r="V43" s="159" t="str">
        <f>V16</f>
        <v>Master recipe ► Black pudding in 4 variations</v>
      </c>
      <c r="W43" s="172" t="s">
        <v>12996</v>
      </c>
      <c r="X43" s="172"/>
      <c r="Y43" s="172"/>
      <c r="Z43" s="172"/>
      <c r="AA43" s="172"/>
      <c r="AB43" s="172"/>
      <c r="AC43" s="172"/>
      <c r="AD43" s="172"/>
      <c r="AE43" s="172"/>
      <c r="AF43" s="555"/>
      <c r="AH43" s="104" t="s">
        <v>16</v>
      </c>
      <c r="AI43" s="157" t="str">
        <f>AI16</f>
        <v>T TERRINAS DE MANITAS DE CERDO para rodaja  | | Autor &gt; Guy KRENZE - Eric GODDYN - Arnaud NICOLAS - CEPROC 2002</v>
      </c>
      <c r="AJ43" s="157">
        <f>AJ16</f>
        <v>1</v>
      </c>
      <c r="AK43" s="158" t="str">
        <f>AK16</f>
        <v>molde L 30 cm × A 9 cm × H 6 cm</v>
      </c>
      <c r="AL43" s="159" t="str">
        <f>AL16</f>
        <v>Receta madre ► Morcilla en 4 versiones</v>
      </c>
      <c r="AM43" s="172" t="s">
        <v>12995</v>
      </c>
      <c r="AN43" s="172"/>
      <c r="AO43" s="172"/>
      <c r="AP43" s="172"/>
      <c r="AQ43" s="172"/>
      <c r="AR43" s="172"/>
      <c r="AS43" s="172"/>
      <c r="AT43" s="172"/>
      <c r="AU43" s="172"/>
      <c r="AV43" s="555"/>
      <c r="AY43" s="3">
        <v>1</v>
      </c>
    </row>
    <row r="44" spans="2:51" ht="27" customHeight="1">
      <c r="B44" s="104" t="s">
        <v>16</v>
      </c>
      <c r="C44" s="157" t="str">
        <f>C16</f>
        <v>T TERRINE DE PIEDS DE PORC pour tranches | | Auteur &gt; Guy KRENZE - Eric GODDYN - Arnaud NICOLAS - CEPROC 2002</v>
      </c>
      <c r="D44" s="157">
        <f>D16</f>
        <v>1</v>
      </c>
      <c r="E44" s="158" t="str">
        <f>E16</f>
        <v xml:space="preserve">moule L 30 cm X l 9 cm X H 6 cm </v>
      </c>
      <c r="F44" s="159" t="str">
        <f>F16</f>
        <v>Recette mère ► le Boudin en 4 déclinaisons</v>
      </c>
      <c r="G44" s="172" t="s">
        <v>12857</v>
      </c>
      <c r="H44" s="172"/>
      <c r="I44" s="172"/>
      <c r="J44" s="172"/>
      <c r="K44" s="172"/>
      <c r="L44" s="172"/>
      <c r="M44" s="172"/>
      <c r="N44" s="172"/>
      <c r="O44" s="170" t="s">
        <v>172</v>
      </c>
      <c r="P44" s="171">
        <v>3.472222222222222E-3</v>
      </c>
      <c r="Q44" s="555"/>
      <c r="R44" s="104" t="s">
        <v>16</v>
      </c>
      <c r="S44" s="157" t="str">
        <f>S16</f>
        <v>T TERRINE OF PIG’S TROTTERS  for slices | |  Author &gt; Guy KRENZE - Eric GODDYN - Arnaud NICOLAS - CEPROC 2002</v>
      </c>
      <c r="T44" s="157">
        <f>T16</f>
        <v>1</v>
      </c>
      <c r="U44" s="158" t="str">
        <f>U16</f>
        <v>mold L 30 cm × W 9 cm × H 6 cm</v>
      </c>
      <c r="V44" s="159" t="str">
        <f>V16</f>
        <v>Master recipe ► Black pudding in 4 variations</v>
      </c>
      <c r="W44" s="172" t="s">
        <v>12970</v>
      </c>
      <c r="X44" s="172"/>
      <c r="Y44" s="172"/>
      <c r="Z44" s="172"/>
      <c r="AA44" s="172"/>
      <c r="AB44" s="172"/>
      <c r="AC44" s="172"/>
      <c r="AD44" s="172"/>
      <c r="AE44" s="170" t="s">
        <v>676</v>
      </c>
      <c r="AF44" s="171">
        <v>3.472222222222222E-3</v>
      </c>
      <c r="AH44" s="104" t="s">
        <v>16</v>
      </c>
      <c r="AI44" s="157" t="str">
        <f>AI16</f>
        <v>T TERRINAS DE MANITAS DE CERDO para rodaja  | | Autor &gt; Guy KRENZE - Eric GODDYN - Arnaud NICOLAS - CEPROC 2002</v>
      </c>
      <c r="AJ44" s="157">
        <f>AJ16</f>
        <v>1</v>
      </c>
      <c r="AK44" s="158" t="str">
        <f>AK16</f>
        <v>molde L 30 cm × A 9 cm × H 6 cm</v>
      </c>
      <c r="AL44" s="159" t="str">
        <f>AL16</f>
        <v>Receta madre ► Morcilla en 4 versiones</v>
      </c>
      <c r="AM44" s="172" t="s">
        <v>12971</v>
      </c>
      <c r="AN44" s="172"/>
      <c r="AO44" s="172"/>
      <c r="AP44" s="172"/>
      <c r="AQ44" s="172"/>
      <c r="AR44" s="172"/>
      <c r="AS44" s="172"/>
      <c r="AT44" s="172"/>
      <c r="AU44" s="170" t="s">
        <v>677</v>
      </c>
      <c r="AV44" s="171">
        <v>3.472222222222222E-3</v>
      </c>
      <c r="AY44" s="3">
        <v>1</v>
      </c>
    </row>
    <row r="45" spans="2:51" ht="27" customHeight="1">
      <c r="B45" s="104" t="s">
        <v>16</v>
      </c>
      <c r="C45" s="157" t="str">
        <f>C16</f>
        <v>T TERRINE DE PIEDS DE PORC pour tranches | | Auteur &gt; Guy KRENZE - Eric GODDYN - Arnaud NICOLAS - CEPROC 2002</v>
      </c>
      <c r="D45" s="157">
        <f>D16</f>
        <v>1</v>
      </c>
      <c r="E45" s="158" t="str">
        <f>E16</f>
        <v xml:space="preserve">moule L 30 cm X l 9 cm X H 6 cm </v>
      </c>
      <c r="F45" s="159" t="str">
        <f>F16</f>
        <v>Recette mère ► le Boudin en 4 déclinaisons</v>
      </c>
      <c r="G45" s="172" t="s">
        <v>12858</v>
      </c>
      <c r="H45" s="172"/>
      <c r="I45" s="172"/>
      <c r="J45" s="172"/>
      <c r="K45" s="172"/>
      <c r="L45" s="172"/>
      <c r="M45" s="172"/>
      <c r="N45" s="172"/>
      <c r="O45" s="170" t="s">
        <v>174</v>
      </c>
      <c r="P45" s="174">
        <v>3.472222222222222E-3</v>
      </c>
      <c r="Q45" s="555"/>
      <c r="R45" s="104" t="s">
        <v>16</v>
      </c>
      <c r="S45" s="157" t="str">
        <f>S16</f>
        <v>T TERRINE OF PIG’S TROTTERS  for slices | |  Author &gt; Guy KRENZE - Eric GODDYN - Arnaud NICOLAS - CEPROC 2002</v>
      </c>
      <c r="T45" s="157">
        <f>T16</f>
        <v>1</v>
      </c>
      <c r="U45" s="158" t="str">
        <f>U16</f>
        <v>mold L 30 cm × W 9 cm × H 6 cm</v>
      </c>
      <c r="V45" s="159" t="str">
        <f>V16</f>
        <v>Master recipe ► Black pudding in 4 variations</v>
      </c>
      <c r="W45" s="172" t="s">
        <v>12972</v>
      </c>
      <c r="X45" s="172"/>
      <c r="Y45" s="172"/>
      <c r="Z45" s="172"/>
      <c r="AA45" s="172"/>
      <c r="AB45" s="172"/>
      <c r="AC45" s="172"/>
      <c r="AD45" s="172"/>
      <c r="AE45" s="170" t="s">
        <v>682</v>
      </c>
      <c r="AF45" s="174">
        <v>3.472222222222222E-3</v>
      </c>
      <c r="AH45" s="104" t="s">
        <v>16</v>
      </c>
      <c r="AI45" s="157" t="str">
        <f>AI16</f>
        <v>T TERRINAS DE MANITAS DE CERDO para rodaja  | | Autor &gt; Guy KRENZE - Eric GODDYN - Arnaud NICOLAS - CEPROC 2002</v>
      </c>
      <c r="AJ45" s="157">
        <f>AJ16</f>
        <v>1</v>
      </c>
      <c r="AK45" s="158" t="str">
        <f>AK16</f>
        <v>molde L 30 cm × A 9 cm × H 6 cm</v>
      </c>
      <c r="AL45" s="159" t="str">
        <f>AL16</f>
        <v>Receta madre ► Morcilla en 4 versiones</v>
      </c>
      <c r="AM45" s="172" t="s">
        <v>12973</v>
      </c>
      <c r="AN45" s="172"/>
      <c r="AO45" s="172"/>
      <c r="AP45" s="172"/>
      <c r="AQ45" s="172"/>
      <c r="AR45" s="172"/>
      <c r="AS45" s="172"/>
      <c r="AT45" s="172"/>
      <c r="AU45" s="170" t="s">
        <v>683</v>
      </c>
      <c r="AV45" s="174">
        <v>3.472222222222222E-3</v>
      </c>
      <c r="AY45" s="3">
        <v>1</v>
      </c>
    </row>
    <row r="46" spans="2:51" ht="27" customHeight="1">
      <c r="B46" s="104" t="s">
        <v>16</v>
      </c>
      <c r="C46" s="157" t="str">
        <f>C16</f>
        <v>T TERRINE DE PIEDS DE PORC pour tranches | | Auteur &gt; Guy KRENZE - Eric GODDYN - Arnaud NICOLAS - CEPROC 2002</v>
      </c>
      <c r="D46" s="157">
        <f>D16</f>
        <v>1</v>
      </c>
      <c r="E46" s="158" t="str">
        <f>E16</f>
        <v xml:space="preserve">moule L 30 cm X l 9 cm X H 6 cm </v>
      </c>
      <c r="F46" s="159" t="str">
        <f>F16</f>
        <v>Recette mère ► le Boudin en 4 déclinaisons</v>
      </c>
      <c r="G46" s="172" t="s">
        <v>12859</v>
      </c>
      <c r="H46" s="172"/>
      <c r="I46" s="172"/>
      <c r="J46" s="172"/>
      <c r="K46" s="172"/>
      <c r="L46" s="172"/>
      <c r="M46" s="172"/>
      <c r="N46" s="172"/>
      <c r="O46" s="170" t="s">
        <v>182</v>
      </c>
      <c r="P46" s="175">
        <v>3.472222222222222E-3</v>
      </c>
      <c r="Q46" s="555"/>
      <c r="R46" s="104" t="s">
        <v>16</v>
      </c>
      <c r="S46" s="157" t="str">
        <f>S16</f>
        <v>T TERRINE OF PIG’S TROTTERS  for slices | |  Author &gt; Guy KRENZE - Eric GODDYN - Arnaud NICOLAS - CEPROC 2002</v>
      </c>
      <c r="T46" s="157">
        <f>T16</f>
        <v>1</v>
      </c>
      <c r="U46" s="158" t="str">
        <f>U16</f>
        <v>mold L 30 cm × W 9 cm × H 6 cm</v>
      </c>
      <c r="V46" s="159" t="str">
        <f>V16</f>
        <v>Master recipe ► Black pudding in 4 variations</v>
      </c>
      <c r="W46" s="172" t="s">
        <v>12974</v>
      </c>
      <c r="X46" s="172"/>
      <c r="Y46" s="172"/>
      <c r="Z46" s="172"/>
      <c r="AA46" s="172"/>
      <c r="AB46" s="172"/>
      <c r="AC46" s="172"/>
      <c r="AD46" s="172"/>
      <c r="AE46" s="170" t="s">
        <v>684</v>
      </c>
      <c r="AF46" s="175">
        <v>3.472222222222222E-3</v>
      </c>
      <c r="AH46" s="104" t="s">
        <v>16</v>
      </c>
      <c r="AI46" s="157" t="str">
        <f>AI16</f>
        <v>T TERRINAS DE MANITAS DE CERDO para rodaja  | | Autor &gt; Guy KRENZE - Eric GODDYN - Arnaud NICOLAS - CEPROC 2002</v>
      </c>
      <c r="AJ46" s="157">
        <f>AJ16</f>
        <v>1</v>
      </c>
      <c r="AK46" s="158" t="str">
        <f>AK16</f>
        <v>molde L 30 cm × A 9 cm × H 6 cm</v>
      </c>
      <c r="AL46" s="159" t="str">
        <f>AL16</f>
        <v>Receta madre ► Morcilla en 4 versiones</v>
      </c>
      <c r="AM46" s="172" t="s">
        <v>12975</v>
      </c>
      <c r="AN46" s="172"/>
      <c r="AO46" s="172"/>
      <c r="AP46" s="172"/>
      <c r="AQ46" s="172"/>
      <c r="AR46" s="172"/>
      <c r="AS46" s="172"/>
      <c r="AT46" s="172"/>
      <c r="AU46" s="170" t="s">
        <v>911</v>
      </c>
      <c r="AV46" s="175">
        <v>3.472222222222222E-3</v>
      </c>
      <c r="AY46" s="3">
        <v>1</v>
      </c>
    </row>
    <row r="47" spans="2:51" ht="27" customHeight="1">
      <c r="B47" s="104" t="s">
        <v>16</v>
      </c>
      <c r="C47" s="157" t="str">
        <f>C16</f>
        <v>T TERRINE DE PIEDS DE PORC pour tranches | | Auteur &gt; Guy KRENZE - Eric GODDYN - Arnaud NICOLAS - CEPROC 2002</v>
      </c>
      <c r="D47" s="157">
        <f>D16</f>
        <v>1</v>
      </c>
      <c r="E47" s="158" t="str">
        <f>E16</f>
        <v xml:space="preserve">moule L 30 cm X l 9 cm X H 6 cm </v>
      </c>
      <c r="F47" s="159" t="str">
        <f>F16</f>
        <v>Recette mère ► le Boudin en 4 déclinaisons</v>
      </c>
      <c r="G47" s="172" t="s">
        <v>12860</v>
      </c>
      <c r="H47" s="172"/>
      <c r="I47" s="172"/>
      <c r="J47" s="172"/>
      <c r="K47" s="172"/>
      <c r="L47" s="172"/>
      <c r="M47" s="172"/>
      <c r="N47" s="172"/>
      <c r="O47" s="176" t="s">
        <v>183</v>
      </c>
      <c r="P47" s="177">
        <f>P44+P45+P46</f>
        <v>1.0416666666666666E-2</v>
      </c>
      <c r="Q47" s="555"/>
      <c r="R47" s="104" t="s">
        <v>16</v>
      </c>
      <c r="S47" s="157" t="str">
        <f>S16</f>
        <v>T TERRINE OF PIG’S TROTTERS  for slices | |  Author &gt; Guy KRENZE - Eric GODDYN - Arnaud NICOLAS - CEPROC 2002</v>
      </c>
      <c r="T47" s="157">
        <f>T16</f>
        <v>1</v>
      </c>
      <c r="U47" s="158" t="str">
        <f>U16</f>
        <v>mold L 30 cm × W 9 cm × H 6 cm</v>
      </c>
      <c r="V47" s="159" t="str">
        <f>V16</f>
        <v>Master recipe ► Black pudding in 4 variations</v>
      </c>
      <c r="W47" s="172" t="s">
        <v>12976</v>
      </c>
      <c r="X47" s="172"/>
      <c r="Y47" s="172"/>
      <c r="Z47" s="172"/>
      <c r="AA47" s="172"/>
      <c r="AB47" s="172"/>
      <c r="AC47" s="172"/>
      <c r="AD47" s="172"/>
      <c r="AE47" s="176" t="s">
        <v>183</v>
      </c>
      <c r="AF47" s="177">
        <f>AF44+AF45+AF46</f>
        <v>1.0416666666666666E-2</v>
      </c>
      <c r="AH47" s="104" t="s">
        <v>16</v>
      </c>
      <c r="AI47" s="157" t="str">
        <f>AI16</f>
        <v>T TERRINAS DE MANITAS DE CERDO para rodaja  | | Autor &gt; Guy KRENZE - Eric GODDYN - Arnaud NICOLAS - CEPROC 2002</v>
      </c>
      <c r="AJ47" s="157">
        <f>AJ16</f>
        <v>1</v>
      </c>
      <c r="AK47" s="158" t="str">
        <f>AK16</f>
        <v>molde L 30 cm × A 9 cm × H 6 cm</v>
      </c>
      <c r="AL47" s="159" t="str">
        <f>AL16</f>
        <v>Receta madre ► Morcilla en 4 versiones</v>
      </c>
      <c r="AM47" s="172" t="s">
        <v>12977</v>
      </c>
      <c r="AN47" s="172"/>
      <c r="AO47" s="172"/>
      <c r="AP47" s="172"/>
      <c r="AQ47" s="172"/>
      <c r="AR47" s="172"/>
      <c r="AS47" s="172"/>
      <c r="AT47" s="172"/>
      <c r="AU47" s="176" t="s">
        <v>183</v>
      </c>
      <c r="AV47" s="177">
        <f>AV44+AV45+AV46</f>
        <v>1.0416666666666666E-2</v>
      </c>
      <c r="AY47" s="3">
        <v>1</v>
      </c>
    </row>
    <row r="48" spans="2:51" ht="27" customHeight="1">
      <c r="B48" s="104" t="str">
        <f>IF(OR(G48&lt;&gt;"",H48&lt;&gt; "",I48&lt;&gt;"",J48&lt;&gt;""),"A", "►")</f>
        <v>A</v>
      </c>
      <c r="C48" s="157" t="str">
        <f>C16</f>
        <v>T TERRINE DE PIEDS DE PORC pour tranches | | Auteur &gt; Guy KRENZE - Eric GODDYN - Arnaud NICOLAS - CEPROC 2002</v>
      </c>
      <c r="D48" s="157">
        <f>D16</f>
        <v>1</v>
      </c>
      <c r="E48" s="158" t="str">
        <f>E16</f>
        <v xml:space="preserve">moule L 30 cm X l 9 cm X H 6 cm </v>
      </c>
      <c r="F48" s="159" t="str">
        <f>F16</f>
        <v>Recette mère ► le Boudin en 4 déclinaisons</v>
      </c>
      <c r="G48" s="172" t="s">
        <v>12978</v>
      </c>
      <c r="H48" s="172"/>
      <c r="I48" s="172"/>
      <c r="J48" s="172"/>
      <c r="K48" s="172"/>
      <c r="L48" s="172"/>
      <c r="M48" s="172"/>
      <c r="N48" s="172"/>
      <c r="O48" s="172"/>
      <c r="P48" s="555"/>
      <c r="Q48" s="555"/>
      <c r="R48" s="104" t="str">
        <f>IF(OR(W48&lt;&gt;"",X48&lt;&gt; "",Y48&lt;&gt;"",Z48&lt;&gt;""),"A", "►")</f>
        <v>A</v>
      </c>
      <c r="S48" s="157" t="str">
        <f>S16</f>
        <v>T TERRINE OF PIG’S TROTTERS  for slices | |  Author &gt; Guy KRENZE - Eric GODDYN - Arnaud NICOLAS - CEPROC 2002</v>
      </c>
      <c r="T48" s="157">
        <f>T16</f>
        <v>1</v>
      </c>
      <c r="U48" s="158" t="str">
        <f>U16</f>
        <v>mold L 30 cm × W 9 cm × H 6 cm</v>
      </c>
      <c r="V48" s="159" t="str">
        <f>V16</f>
        <v>Master recipe ► Black pudding in 4 variations</v>
      </c>
      <c r="W48" s="172" t="s">
        <v>12979</v>
      </c>
      <c r="X48" s="172"/>
      <c r="Y48" s="172"/>
      <c r="Z48" s="172"/>
      <c r="AA48" s="172"/>
      <c r="AB48" s="172"/>
      <c r="AC48" s="172"/>
      <c r="AD48" s="172"/>
      <c r="AE48" s="172"/>
      <c r="AF48" s="555"/>
      <c r="AH48" s="104" t="str">
        <f>IF(OR(AM48&lt;&gt;"",AN48&lt;&gt; "",AO48&lt;&gt;"",AP48&lt;&gt;""),"A", "►")</f>
        <v>A</v>
      </c>
      <c r="AI48" s="157" t="str">
        <f>AI16</f>
        <v>T TERRINAS DE MANITAS DE CERDO para rodaja  | | Autor &gt; Guy KRENZE - Eric GODDYN - Arnaud NICOLAS - CEPROC 2002</v>
      </c>
      <c r="AJ48" s="157">
        <f>AJ16</f>
        <v>1</v>
      </c>
      <c r="AK48" s="158" t="str">
        <f>AK16</f>
        <v>molde L 30 cm × A 9 cm × H 6 cm</v>
      </c>
      <c r="AL48" s="159" t="str">
        <f>AL16</f>
        <v>Receta madre ► Morcilla en 4 versiones</v>
      </c>
      <c r="AM48" s="172" t="s">
        <v>12980</v>
      </c>
      <c r="AN48" s="172"/>
      <c r="AO48" s="172"/>
      <c r="AP48" s="172"/>
      <c r="AQ48" s="172"/>
      <c r="AR48" s="172"/>
      <c r="AS48" s="172"/>
      <c r="AT48" s="172"/>
      <c r="AU48" s="172"/>
      <c r="AV48" s="555"/>
      <c r="AY48" s="3">
        <v>1</v>
      </c>
    </row>
    <row r="49" spans="2:51" ht="27" customHeight="1">
      <c r="B49" s="104" t="str">
        <f>IF(OR(G49&lt;&gt;"",H49&lt;&gt; "",I49&lt;&gt;"",J49&lt;&gt;""),"A", "►")</f>
        <v>A</v>
      </c>
      <c r="C49" s="157" t="str">
        <f>C16</f>
        <v>T TERRINE DE PIEDS DE PORC pour tranches | | Auteur &gt; Guy KRENZE - Eric GODDYN - Arnaud NICOLAS - CEPROC 2002</v>
      </c>
      <c r="D49" s="157">
        <f>D16</f>
        <v>1</v>
      </c>
      <c r="E49" s="158" t="str">
        <f>E16</f>
        <v xml:space="preserve">moule L 30 cm X l 9 cm X H 6 cm </v>
      </c>
      <c r="F49" s="159" t="str">
        <f>F16</f>
        <v>Recette mère ► le Boudin en 4 déclinaisons</v>
      </c>
      <c r="G49" s="172" t="s">
        <v>12861</v>
      </c>
      <c r="H49" s="172"/>
      <c r="I49" s="172"/>
      <c r="J49" s="172"/>
      <c r="K49" s="172"/>
      <c r="L49" s="172"/>
      <c r="M49" s="172"/>
      <c r="N49" s="172"/>
      <c r="O49" s="172"/>
      <c r="P49" s="555"/>
      <c r="Q49" s="555"/>
      <c r="R49" s="104" t="str">
        <f>IF(OR(W49&lt;&gt;"",X49&lt;&gt; "",Y49&lt;&gt;"",Z49&lt;&gt;""),"A", "►")</f>
        <v>A</v>
      </c>
      <c r="S49" s="157" t="str">
        <f>S16</f>
        <v>T TERRINE OF PIG’S TROTTERS  for slices | |  Author &gt; Guy KRENZE - Eric GODDYN - Arnaud NICOLAS - CEPROC 2002</v>
      </c>
      <c r="T49" s="157">
        <f>T16</f>
        <v>1</v>
      </c>
      <c r="U49" s="158" t="str">
        <f>U16</f>
        <v>mold L 30 cm × W 9 cm × H 6 cm</v>
      </c>
      <c r="V49" s="159" t="str">
        <f>V16</f>
        <v>Master recipe ► Black pudding in 4 variations</v>
      </c>
      <c r="W49" s="172" t="s">
        <v>12981</v>
      </c>
      <c r="X49" s="172"/>
      <c r="Y49" s="172"/>
      <c r="Z49" s="172"/>
      <c r="AA49" s="172"/>
      <c r="AB49" s="172"/>
      <c r="AC49" s="172"/>
      <c r="AD49" s="172"/>
      <c r="AE49" s="172"/>
      <c r="AF49" s="555"/>
      <c r="AH49" s="104" t="str">
        <f>IF(OR(AM49&lt;&gt;"",AN49&lt;&gt; "",AO49&lt;&gt;"",AP49&lt;&gt;""),"A", "►")</f>
        <v>A</v>
      </c>
      <c r="AI49" s="157" t="str">
        <f>AI16</f>
        <v>T TERRINAS DE MANITAS DE CERDO para rodaja  | | Autor &gt; Guy KRENZE - Eric GODDYN - Arnaud NICOLAS - CEPROC 2002</v>
      </c>
      <c r="AJ49" s="157">
        <f>AJ16</f>
        <v>1</v>
      </c>
      <c r="AK49" s="158" t="str">
        <f>AK16</f>
        <v>molde L 30 cm × A 9 cm × H 6 cm</v>
      </c>
      <c r="AL49" s="159" t="str">
        <f>AL16</f>
        <v>Receta madre ► Morcilla en 4 versiones</v>
      </c>
      <c r="AM49" s="172" t="s">
        <v>12982</v>
      </c>
      <c r="AN49" s="172"/>
      <c r="AO49" s="172"/>
      <c r="AP49" s="172"/>
      <c r="AQ49" s="172"/>
      <c r="AR49" s="172"/>
      <c r="AS49" s="172"/>
      <c r="AT49" s="172"/>
      <c r="AU49" s="172"/>
      <c r="AV49" s="555"/>
      <c r="AY49" s="3">
        <v>1</v>
      </c>
    </row>
    <row r="50" spans="2:51" ht="27" customHeight="1">
      <c r="B50" s="104" t="str">
        <f>IF(OR(G50&lt;&gt;"",H50&lt;&gt; "",I50&lt;&gt;"",J50&lt;&gt;""),"A", "►")</f>
        <v>A</v>
      </c>
      <c r="C50" s="157" t="str">
        <f>C16</f>
        <v>T TERRINE DE PIEDS DE PORC pour tranches | | Auteur &gt; Guy KRENZE - Eric GODDYN - Arnaud NICOLAS - CEPROC 2002</v>
      </c>
      <c r="D50" s="157">
        <f>D16</f>
        <v>1</v>
      </c>
      <c r="E50" s="158" t="str">
        <f>E16</f>
        <v xml:space="preserve">moule L 30 cm X l 9 cm X H 6 cm </v>
      </c>
      <c r="F50" s="159" t="str">
        <f>F16</f>
        <v>Recette mère ► le Boudin en 4 déclinaisons</v>
      </c>
      <c r="G50" s="172" t="s">
        <v>12862</v>
      </c>
      <c r="H50" s="172"/>
      <c r="I50" s="172"/>
      <c r="J50" s="172"/>
      <c r="K50" s="172"/>
      <c r="L50" s="172"/>
      <c r="M50" s="172"/>
      <c r="N50" s="172"/>
      <c r="O50" s="172"/>
      <c r="P50" s="555"/>
      <c r="Q50" s="555"/>
      <c r="R50" s="104" t="str">
        <f>IF(OR(W50&lt;&gt;"",X50&lt;&gt; "",Y50&lt;&gt;"",Z50&lt;&gt;""),"A", "►")</f>
        <v>A</v>
      </c>
      <c r="S50" s="157" t="str">
        <f>S16</f>
        <v>T TERRINE OF PIG’S TROTTERS  for slices | |  Author &gt; Guy KRENZE - Eric GODDYN - Arnaud NICOLAS - CEPROC 2002</v>
      </c>
      <c r="T50" s="157">
        <f>T16</f>
        <v>1</v>
      </c>
      <c r="U50" s="158" t="str">
        <f>U16</f>
        <v>mold L 30 cm × W 9 cm × H 6 cm</v>
      </c>
      <c r="V50" s="159" t="str">
        <f>V16</f>
        <v>Master recipe ► Black pudding in 4 variations</v>
      </c>
      <c r="W50" s="172" t="s">
        <v>12983</v>
      </c>
      <c r="X50" s="172"/>
      <c r="Y50" s="172"/>
      <c r="Z50" s="172"/>
      <c r="AA50" s="172"/>
      <c r="AB50" s="172"/>
      <c r="AC50" s="172"/>
      <c r="AD50" s="172"/>
      <c r="AE50" s="172"/>
      <c r="AF50" s="555"/>
      <c r="AH50" s="104" t="str">
        <f>IF(OR(AM50&lt;&gt;"",AN50&lt;&gt; "",AO50&lt;&gt;"",AP50&lt;&gt;""),"A", "►")</f>
        <v>A</v>
      </c>
      <c r="AI50" s="157" t="str">
        <f>AI16</f>
        <v>T TERRINAS DE MANITAS DE CERDO para rodaja  | | Autor &gt; Guy KRENZE - Eric GODDYN - Arnaud NICOLAS - CEPROC 2002</v>
      </c>
      <c r="AJ50" s="157">
        <f>AJ16</f>
        <v>1</v>
      </c>
      <c r="AK50" s="158" t="str">
        <f>AK16</f>
        <v>molde L 30 cm × A 9 cm × H 6 cm</v>
      </c>
      <c r="AL50" s="159" t="str">
        <f>AL16</f>
        <v>Receta madre ► Morcilla en 4 versiones</v>
      </c>
      <c r="AM50" s="172" t="s">
        <v>12984</v>
      </c>
      <c r="AN50" s="172"/>
      <c r="AO50" s="172"/>
      <c r="AP50" s="172"/>
      <c r="AQ50" s="172"/>
      <c r="AR50" s="172"/>
      <c r="AS50" s="172"/>
      <c r="AT50" s="172"/>
      <c r="AU50" s="172"/>
      <c r="AV50" s="555"/>
      <c r="AY50" s="3">
        <v>1</v>
      </c>
    </row>
    <row r="51" spans="2:51" ht="27" customHeight="1">
      <c r="B51" s="104" t="str">
        <f>IF(OR(G51&lt;&gt;"",H51&lt;&gt; "",I51&lt;&gt;"",J51&lt;&gt;""),"A", "►")</f>
        <v>A</v>
      </c>
      <c r="C51" s="157" t="str">
        <f>C16</f>
        <v>T TERRINE DE PIEDS DE PORC pour tranches | | Auteur &gt; Guy KRENZE - Eric GODDYN - Arnaud NICOLAS - CEPROC 2002</v>
      </c>
      <c r="D51" s="157">
        <f>D16</f>
        <v>1</v>
      </c>
      <c r="E51" s="158" t="str">
        <f>E16</f>
        <v xml:space="preserve">moule L 30 cm X l 9 cm X H 6 cm </v>
      </c>
      <c r="F51" s="159" t="str">
        <f>F16</f>
        <v>Recette mère ► le Boudin en 4 déclinaisons</v>
      </c>
      <c r="G51" s="172" t="s">
        <v>12985</v>
      </c>
      <c r="H51" s="172"/>
      <c r="I51" s="172"/>
      <c r="J51" s="172"/>
      <c r="K51" s="172"/>
      <c r="L51" s="172"/>
      <c r="M51" s="172"/>
      <c r="N51" s="172"/>
      <c r="O51" s="172"/>
      <c r="P51" s="555"/>
      <c r="Q51" s="555"/>
      <c r="R51" s="104" t="str">
        <f>IF(OR(W51&lt;&gt;"",X51&lt;&gt; "",Y51&lt;&gt;"",Z51&lt;&gt;""),"A", "►")</f>
        <v>A</v>
      </c>
      <c r="S51" s="157" t="str">
        <f>S16</f>
        <v>T TERRINE OF PIG’S TROTTERS  for slices | |  Author &gt; Guy KRENZE - Eric GODDYN - Arnaud NICOLAS - CEPROC 2002</v>
      </c>
      <c r="T51" s="157">
        <f>T16</f>
        <v>1</v>
      </c>
      <c r="U51" s="158" t="str">
        <f>U16</f>
        <v>mold L 30 cm × W 9 cm × H 6 cm</v>
      </c>
      <c r="V51" s="159" t="str">
        <f>V16</f>
        <v>Master recipe ► Black pudding in 4 variations</v>
      </c>
      <c r="W51" s="172" t="s">
        <v>12986</v>
      </c>
      <c r="X51" s="172"/>
      <c r="Y51" s="172"/>
      <c r="Z51" s="172"/>
      <c r="AA51" s="172"/>
      <c r="AB51" s="172"/>
      <c r="AC51" s="172"/>
      <c r="AD51" s="172"/>
      <c r="AE51" s="172"/>
      <c r="AF51" s="555"/>
      <c r="AH51" s="104" t="str">
        <f>IF(OR(AM51&lt;&gt;"",AN51&lt;&gt; "",AO51&lt;&gt;"",AP51&lt;&gt;""),"A", "►")</f>
        <v>A</v>
      </c>
      <c r="AI51" s="157" t="str">
        <f>AI16</f>
        <v>T TERRINAS DE MANITAS DE CERDO para rodaja  | | Autor &gt; Guy KRENZE - Eric GODDYN - Arnaud NICOLAS - CEPROC 2002</v>
      </c>
      <c r="AJ51" s="157">
        <f>AJ16</f>
        <v>1</v>
      </c>
      <c r="AK51" s="158" t="str">
        <f>AK16</f>
        <v>molde L 30 cm × A 9 cm × H 6 cm</v>
      </c>
      <c r="AL51" s="159" t="str">
        <f>AL16</f>
        <v>Receta madre ► Morcilla en 4 versiones</v>
      </c>
      <c r="AM51" s="172" t="s">
        <v>12987</v>
      </c>
      <c r="AN51" s="172"/>
      <c r="AO51" s="172"/>
      <c r="AP51" s="172"/>
      <c r="AQ51" s="172"/>
      <c r="AR51" s="172"/>
      <c r="AS51" s="172"/>
      <c r="AT51" s="172"/>
      <c r="AU51" s="172"/>
      <c r="AV51" s="555"/>
      <c r="AY51" s="3">
        <v>1</v>
      </c>
    </row>
    <row r="52" spans="2:51" ht="27" customHeight="1">
      <c r="B52" s="104" t="str">
        <f>IF(OR(G52&lt;&gt;"",H52&lt;&gt; "",I52&lt;&gt;"",J52&lt;&gt;""),"A", "►")</f>
        <v>►</v>
      </c>
      <c r="C52" s="157" t="str">
        <f>C16</f>
        <v>T TERRINE DE PIEDS DE PORC pour tranches | | Auteur &gt; Guy KRENZE - Eric GODDYN - Arnaud NICOLAS - CEPROC 2002</v>
      </c>
      <c r="D52" s="157">
        <f>D16</f>
        <v>1</v>
      </c>
      <c r="E52" s="158" t="str">
        <f>E16</f>
        <v xml:space="preserve">moule L 30 cm X l 9 cm X H 6 cm </v>
      </c>
      <c r="F52" s="159" t="str">
        <f>F16</f>
        <v>Recette mère ► le Boudin en 4 déclinaisons</v>
      </c>
      <c r="G52" s="172"/>
      <c r="H52" s="172"/>
      <c r="I52" s="172"/>
      <c r="J52" s="172"/>
      <c r="K52" s="172"/>
      <c r="L52" s="172"/>
      <c r="M52" s="172"/>
      <c r="N52" s="172"/>
      <c r="O52" s="172"/>
      <c r="P52" s="555"/>
      <c r="Q52" s="555"/>
      <c r="R52" s="104" t="str">
        <f>IF(OR(W52&lt;&gt;"",X52&lt;&gt; "",Y52&lt;&gt;"",Z52&lt;&gt;""),"A", "►")</f>
        <v>►</v>
      </c>
      <c r="S52" s="157" t="str">
        <f>S16</f>
        <v>T TERRINE OF PIG’S TROTTERS  for slices | |  Author &gt; Guy KRENZE - Eric GODDYN - Arnaud NICOLAS - CEPROC 2002</v>
      </c>
      <c r="T52" s="157">
        <f>T16</f>
        <v>1</v>
      </c>
      <c r="U52" s="158" t="str">
        <f>U16</f>
        <v>mold L 30 cm × W 9 cm × H 6 cm</v>
      </c>
      <c r="V52" s="159" t="str">
        <f>V16</f>
        <v>Master recipe ► Black pudding in 4 variations</v>
      </c>
      <c r="W52" s="172"/>
      <c r="X52" s="172"/>
      <c r="Y52" s="172"/>
      <c r="Z52" s="172"/>
      <c r="AA52" s="172"/>
      <c r="AB52" s="172"/>
      <c r="AC52" s="172"/>
      <c r="AD52" s="172"/>
      <c r="AE52" s="172"/>
      <c r="AF52" s="555"/>
      <c r="AH52" s="104" t="str">
        <f>IF(OR(AM52&lt;&gt;"",AN52&lt;&gt; "",AO52&lt;&gt;"",AP52&lt;&gt;""),"A", "►")</f>
        <v>►</v>
      </c>
      <c r="AI52" s="157" t="str">
        <f>AI16</f>
        <v>T TERRINAS DE MANITAS DE CERDO para rodaja  | | Autor &gt; Guy KRENZE - Eric GODDYN - Arnaud NICOLAS - CEPROC 2002</v>
      </c>
      <c r="AJ52" s="157">
        <f>AJ16</f>
        <v>1</v>
      </c>
      <c r="AK52" s="158" t="str">
        <f>AK16</f>
        <v>molde L 30 cm × A 9 cm × H 6 cm</v>
      </c>
      <c r="AL52" s="159" t="str">
        <f>AL16</f>
        <v>Receta madre ► Morcilla en 4 versiones</v>
      </c>
      <c r="AM52" s="172"/>
      <c r="AN52" s="172"/>
      <c r="AO52" s="172"/>
      <c r="AP52" s="172"/>
      <c r="AQ52" s="172"/>
      <c r="AR52" s="172"/>
      <c r="AS52" s="172"/>
      <c r="AT52" s="172"/>
      <c r="AU52" s="172"/>
      <c r="AV52" s="555"/>
      <c r="AY52" s="3">
        <v>1</v>
      </c>
    </row>
    <row r="53" spans="2:51" ht="27" customHeight="1">
      <c r="B53" s="196" t="s">
        <v>16</v>
      </c>
      <c r="C53" s="157" t="str">
        <f>C16</f>
        <v>T TERRINE DE PIEDS DE PORC pour tranches | | Auteur &gt; Guy KRENZE - Eric GODDYN - Arnaud NICOLAS - CEPROC 2002</v>
      </c>
      <c r="D53" s="157">
        <f>D16</f>
        <v>1</v>
      </c>
      <c r="E53" s="158" t="str">
        <f>E16</f>
        <v xml:space="preserve">moule L 30 cm X l 9 cm X H 6 cm </v>
      </c>
      <c r="F53" s="159" t="str">
        <f>F16</f>
        <v>Recette mère ► le Boudin en 4 déclinaisons</v>
      </c>
      <c r="G53" s="172"/>
      <c r="H53" s="172"/>
      <c r="I53" s="172"/>
      <c r="J53" s="172"/>
      <c r="K53" s="172"/>
      <c r="L53" s="172"/>
      <c r="M53" s="172"/>
      <c r="N53" s="172"/>
      <c r="O53" s="172"/>
      <c r="P53" s="555"/>
      <c r="Q53" s="555"/>
      <c r="R53" s="196" t="s">
        <v>16</v>
      </c>
      <c r="S53" s="157" t="str">
        <f>S16</f>
        <v>T TERRINE OF PIG’S TROTTERS  for slices | |  Author &gt; Guy KRENZE - Eric GODDYN - Arnaud NICOLAS - CEPROC 2002</v>
      </c>
      <c r="T53" s="157">
        <f>T16</f>
        <v>1</v>
      </c>
      <c r="U53" s="158" t="str">
        <f>U16</f>
        <v>mold L 30 cm × W 9 cm × H 6 cm</v>
      </c>
      <c r="V53" s="159" t="str">
        <f>V16</f>
        <v>Master recipe ► Black pudding in 4 variations</v>
      </c>
      <c r="W53" s="172"/>
      <c r="X53" s="172"/>
      <c r="Y53" s="172"/>
      <c r="Z53" s="172"/>
      <c r="AA53" s="172"/>
      <c r="AB53" s="172"/>
      <c r="AC53" s="172"/>
      <c r="AD53" s="172"/>
      <c r="AE53" s="172"/>
      <c r="AF53" s="555"/>
      <c r="AH53" s="196" t="s">
        <v>16</v>
      </c>
      <c r="AI53" s="157" t="str">
        <f>AI16</f>
        <v>T TERRINAS DE MANITAS DE CERDO para rodaja  | | Autor &gt; Guy KRENZE - Eric GODDYN - Arnaud NICOLAS - CEPROC 2002</v>
      </c>
      <c r="AJ53" s="157">
        <f>AJ16</f>
        <v>1</v>
      </c>
      <c r="AK53" s="158" t="str">
        <f>AK16</f>
        <v>molde L 30 cm × A 9 cm × H 6 cm</v>
      </c>
      <c r="AL53" s="159" t="str">
        <f>AL16</f>
        <v>Receta madre ► Morcilla en 4 versiones</v>
      </c>
      <c r="AM53" s="172"/>
      <c r="AN53" s="172"/>
      <c r="AO53" s="172"/>
      <c r="AP53" s="172"/>
      <c r="AQ53" s="172"/>
      <c r="AR53" s="172"/>
      <c r="AS53" s="172"/>
      <c r="AT53" s="172"/>
      <c r="AU53" s="172"/>
      <c r="AV53" s="555"/>
      <c r="AY53" s="3">
        <v>1</v>
      </c>
    </row>
    <row r="54" spans="2:51" ht="27" customHeight="1">
      <c r="B54" s="196" t="s">
        <v>11</v>
      </c>
      <c r="C54" s="157" t="str">
        <f>C16</f>
        <v>T TERRINE DE PIEDS DE PORC pour tranches | | Auteur &gt; Guy KRENZE - Eric GODDYN - Arnaud NICOLAS - CEPROC 2002</v>
      </c>
      <c r="D54" s="157">
        <f>D16</f>
        <v>1</v>
      </c>
      <c r="E54" s="158" t="str">
        <f>E16</f>
        <v xml:space="preserve">moule L 30 cm X l 9 cm X H 6 cm </v>
      </c>
      <c r="F54" s="159" t="str">
        <f>F16</f>
        <v>Recette mère ► le Boudin en 4 déclinaisons</v>
      </c>
      <c r="G54" s="172"/>
      <c r="H54" s="172"/>
      <c r="I54" s="172"/>
      <c r="J54" s="172"/>
      <c r="K54" s="172"/>
      <c r="L54" s="172"/>
      <c r="M54" s="172"/>
      <c r="N54" s="172"/>
      <c r="O54" s="172"/>
      <c r="P54" s="555"/>
      <c r="Q54" s="555"/>
      <c r="R54" s="196" t="s">
        <v>11</v>
      </c>
      <c r="S54" s="157" t="str">
        <f>S16</f>
        <v>T TERRINE OF PIG’S TROTTERS  for slices | |  Author &gt; Guy KRENZE - Eric GODDYN - Arnaud NICOLAS - CEPROC 2002</v>
      </c>
      <c r="T54" s="157">
        <f>T16</f>
        <v>1</v>
      </c>
      <c r="U54" s="158" t="str">
        <f>U16</f>
        <v>mold L 30 cm × W 9 cm × H 6 cm</v>
      </c>
      <c r="V54" s="159" t="str">
        <f>V16</f>
        <v>Master recipe ► Black pudding in 4 variations</v>
      </c>
      <c r="W54" s="172"/>
      <c r="X54" s="172"/>
      <c r="Y54" s="172"/>
      <c r="Z54" s="172"/>
      <c r="AA54" s="172"/>
      <c r="AB54" s="172"/>
      <c r="AC54" s="172"/>
      <c r="AD54" s="172"/>
      <c r="AE54" s="172"/>
      <c r="AF54" s="555"/>
      <c r="AH54" s="196" t="s">
        <v>11</v>
      </c>
      <c r="AI54" s="157" t="str">
        <f>AI16</f>
        <v>T TERRINAS DE MANITAS DE CERDO para rodaja  | | Autor &gt; Guy KRENZE - Eric GODDYN - Arnaud NICOLAS - CEPROC 2002</v>
      </c>
      <c r="AJ54" s="157">
        <f>AJ16</f>
        <v>1</v>
      </c>
      <c r="AK54" s="158" t="str">
        <f>AK16</f>
        <v>molde L 30 cm × A 9 cm × H 6 cm</v>
      </c>
      <c r="AL54" s="159" t="str">
        <f>AL16</f>
        <v>Receta madre ► Morcilla en 4 versiones</v>
      </c>
      <c r="AM54" s="172"/>
      <c r="AN54" s="172"/>
      <c r="AO54" s="172"/>
      <c r="AP54" s="172"/>
      <c r="AQ54" s="172"/>
      <c r="AR54" s="172"/>
      <c r="AS54" s="172"/>
      <c r="AT54" s="172"/>
      <c r="AU54" s="172"/>
      <c r="AV54" s="555"/>
      <c r="AY54" s="3">
        <v>1</v>
      </c>
    </row>
    <row r="55" spans="2:51" ht="27" customHeight="1">
      <c r="B55" s="196" t="s">
        <v>11</v>
      </c>
      <c r="C55" s="157" t="str">
        <f>C16</f>
        <v>T TERRINE DE PIEDS DE PORC pour tranches | | Auteur &gt; Guy KRENZE - Eric GODDYN - Arnaud NICOLAS - CEPROC 2002</v>
      </c>
      <c r="D55" s="157">
        <f>D16</f>
        <v>1</v>
      </c>
      <c r="E55" s="158" t="str">
        <f>E16</f>
        <v xml:space="preserve">moule L 30 cm X l 9 cm X H 6 cm </v>
      </c>
      <c r="F55" s="159" t="str">
        <f>F16</f>
        <v>Recette mère ► le Boudin en 4 déclinaisons</v>
      </c>
      <c r="G55" s="172"/>
      <c r="H55" s="172"/>
      <c r="I55" s="172"/>
      <c r="J55" s="172"/>
      <c r="K55" s="172"/>
      <c r="L55" s="172"/>
      <c r="M55" s="172"/>
      <c r="N55" s="172"/>
      <c r="O55" s="172"/>
      <c r="P55" s="1486" t="s">
        <v>197</v>
      </c>
      <c r="Q55" s="555"/>
      <c r="R55" s="196" t="s">
        <v>11</v>
      </c>
      <c r="S55" s="157" t="str">
        <f>S16</f>
        <v>T TERRINE OF PIG’S TROTTERS  for slices | |  Author &gt; Guy KRENZE - Eric GODDYN - Arnaud NICOLAS - CEPROC 2002</v>
      </c>
      <c r="T55" s="157">
        <f>T16</f>
        <v>1</v>
      </c>
      <c r="U55" s="158" t="str">
        <f>U16</f>
        <v>mold L 30 cm × W 9 cm × H 6 cm</v>
      </c>
      <c r="V55" s="159" t="str">
        <f>V16</f>
        <v>Master recipe ► Black pudding in 4 variations</v>
      </c>
      <c r="W55" s="172"/>
      <c r="X55" s="172"/>
      <c r="Y55" s="172"/>
      <c r="Z55" s="172"/>
      <c r="AA55" s="172"/>
      <c r="AB55" s="172"/>
      <c r="AC55" s="172"/>
      <c r="AD55" s="172"/>
      <c r="AE55" s="172"/>
      <c r="AF55" s="1486" t="s">
        <v>899</v>
      </c>
      <c r="AH55" s="196" t="s">
        <v>11</v>
      </c>
      <c r="AI55" s="157" t="str">
        <f>AI16</f>
        <v>T TERRINAS DE MANITAS DE CERDO para rodaja  | | Autor &gt; Guy KRENZE - Eric GODDYN - Arnaud NICOLAS - CEPROC 2002</v>
      </c>
      <c r="AJ55" s="157">
        <f>AJ16</f>
        <v>1</v>
      </c>
      <c r="AK55" s="158" t="str">
        <f>AK16</f>
        <v>molde L 30 cm × A 9 cm × H 6 cm</v>
      </c>
      <c r="AL55" s="159" t="str">
        <f>AL16</f>
        <v>Receta madre ► Morcilla en 4 versiones</v>
      </c>
      <c r="AM55" s="172"/>
      <c r="AN55" s="172"/>
      <c r="AO55" s="172"/>
      <c r="AP55" s="172"/>
      <c r="AQ55" s="172"/>
      <c r="AR55" s="172"/>
      <c r="AS55" s="172"/>
      <c r="AT55" s="172"/>
      <c r="AU55" s="172"/>
      <c r="AV55" s="1486" t="s">
        <v>913</v>
      </c>
      <c r="AY55" s="3">
        <v>1</v>
      </c>
    </row>
    <row r="56" spans="2:51" ht="27" customHeight="1">
      <c r="B56" s="196" t="s">
        <v>11</v>
      </c>
      <c r="C56" s="157" t="str">
        <f>C16</f>
        <v>T TERRINE DE PIEDS DE PORC pour tranches | | Auteur &gt; Guy KRENZE - Eric GODDYN - Arnaud NICOLAS - CEPROC 2002</v>
      </c>
      <c r="D56" s="157">
        <f>D16</f>
        <v>1</v>
      </c>
      <c r="E56" s="158" t="str">
        <f>E16</f>
        <v xml:space="preserve">moule L 30 cm X l 9 cm X H 6 cm </v>
      </c>
      <c r="F56" s="159" t="str">
        <f>F16</f>
        <v>Recette mère ► le Boudin en 4 déclinaisons</v>
      </c>
      <c r="G56" s="204"/>
      <c r="H56" s="204"/>
      <c r="I56" s="204" t="s">
        <v>201</v>
      </c>
      <c r="J56" s="205"/>
      <c r="K56" s="206"/>
      <c r="L56" s="206"/>
      <c r="M56" s="206"/>
      <c r="N56" s="206"/>
      <c r="O56" s="206"/>
      <c r="P56" s="567"/>
      <c r="Q56" s="555"/>
      <c r="R56" s="196" t="s">
        <v>11</v>
      </c>
      <c r="S56" s="157" t="str">
        <f>S16</f>
        <v>T TERRINE OF PIG’S TROTTERS  for slices | |  Author &gt; Guy KRENZE - Eric GODDYN - Arnaud NICOLAS - CEPROC 2002</v>
      </c>
      <c r="T56" s="157">
        <f>T16</f>
        <v>1</v>
      </c>
      <c r="U56" s="158" t="str">
        <f>U16</f>
        <v>mold L 30 cm × W 9 cm × H 6 cm</v>
      </c>
      <c r="V56" s="159" t="str">
        <f>V16</f>
        <v>Master recipe ► Black pudding in 4 variations</v>
      </c>
      <c r="W56" s="204"/>
      <c r="X56" s="204"/>
      <c r="Y56" s="204" t="s">
        <v>661</v>
      </c>
      <c r="Z56" s="205"/>
      <c r="AA56" s="206"/>
      <c r="AB56" s="206"/>
      <c r="AC56" s="206"/>
      <c r="AD56" s="206"/>
      <c r="AE56" s="206"/>
      <c r="AF56" s="567"/>
      <c r="AH56" s="196" t="s">
        <v>11</v>
      </c>
      <c r="AI56" s="157" t="str">
        <f>AI16</f>
        <v>T TERRINAS DE MANITAS DE CERDO para rodaja  | | Autor &gt; Guy KRENZE - Eric GODDYN - Arnaud NICOLAS - CEPROC 2002</v>
      </c>
      <c r="AJ56" s="157">
        <f>AJ16</f>
        <v>1</v>
      </c>
      <c r="AK56" s="158" t="str">
        <f>AK16</f>
        <v>molde L 30 cm × A 9 cm × H 6 cm</v>
      </c>
      <c r="AL56" s="159" t="str">
        <f>AL16</f>
        <v>Receta madre ► Morcilla en 4 versiones</v>
      </c>
      <c r="AM56" s="204"/>
      <c r="AN56" s="204"/>
      <c r="AO56" s="204" t="s">
        <v>915</v>
      </c>
      <c r="AP56" s="205"/>
      <c r="AQ56" s="206"/>
      <c r="AR56" s="206"/>
      <c r="AS56" s="206"/>
      <c r="AT56" s="206"/>
      <c r="AU56" s="206"/>
      <c r="AV56" s="567"/>
      <c r="AY56" s="3">
        <v>1</v>
      </c>
    </row>
    <row r="57" spans="2:51" ht="27" customHeight="1">
      <c r="B57" s="196" t="s">
        <v>11</v>
      </c>
      <c r="C57" s="209" t="str">
        <f>C16</f>
        <v>T TERRINE DE PIEDS DE PORC pour tranches | | Auteur &gt; Guy KRENZE - Eric GODDYN - Arnaud NICOLAS - CEPROC 2002</v>
      </c>
      <c r="D57" s="209">
        <f>D16</f>
        <v>1</v>
      </c>
      <c r="E57" s="210" t="str">
        <f>E16</f>
        <v xml:space="preserve">moule L 30 cm X l 9 cm X H 6 cm </v>
      </c>
      <c r="F57" s="211" t="str">
        <f>F16</f>
        <v>Recette mère ► le Boudin en 4 déclinaisons</v>
      </c>
      <c r="G57" s="212"/>
      <c r="H57" s="213"/>
      <c r="I57" s="214"/>
      <c r="J57" s="215"/>
      <c r="K57" s="214"/>
      <c r="L57" s="214"/>
      <c r="M57" s="214"/>
      <c r="N57" s="214"/>
      <c r="O57" s="214"/>
      <c r="P57" s="582"/>
      <c r="R57" s="196" t="s">
        <v>11</v>
      </c>
      <c r="S57" s="209" t="str">
        <f>S16</f>
        <v>T TERRINE OF PIG’S TROTTERS  for slices | |  Author &gt; Guy KRENZE - Eric GODDYN - Arnaud NICOLAS - CEPROC 2002</v>
      </c>
      <c r="T57" s="209">
        <f>T16</f>
        <v>1</v>
      </c>
      <c r="U57" s="210" t="str">
        <f>U16</f>
        <v>mold L 30 cm × W 9 cm × H 6 cm</v>
      </c>
      <c r="V57" s="211" t="str">
        <f>V16</f>
        <v>Master recipe ► Black pudding in 4 variations</v>
      </c>
      <c r="W57" s="212"/>
      <c r="X57" s="213"/>
      <c r="Y57" s="214"/>
      <c r="Z57" s="215"/>
      <c r="AA57" s="214"/>
      <c r="AB57" s="214"/>
      <c r="AC57" s="214"/>
      <c r="AD57" s="214"/>
      <c r="AE57" s="214"/>
      <c r="AF57" s="582"/>
      <c r="AH57" s="196" t="s">
        <v>11</v>
      </c>
      <c r="AI57" s="209" t="str">
        <f>AI16</f>
        <v>T TERRINAS DE MANITAS DE CERDO para rodaja  | | Autor &gt; Guy KRENZE - Eric GODDYN - Arnaud NICOLAS - CEPROC 2002</v>
      </c>
      <c r="AJ57" s="209">
        <f>AJ16</f>
        <v>1</v>
      </c>
      <c r="AK57" s="210" t="str">
        <f>AK16</f>
        <v>molde L 30 cm × A 9 cm × H 6 cm</v>
      </c>
      <c r="AL57" s="211" t="str">
        <f>AL16</f>
        <v>Receta madre ► Morcilla en 4 versiones</v>
      </c>
      <c r="AM57" s="212"/>
      <c r="AN57" s="213"/>
      <c r="AO57" s="214"/>
      <c r="AP57" s="215"/>
      <c r="AQ57" s="214"/>
      <c r="AR57" s="214"/>
      <c r="AS57" s="214"/>
      <c r="AT57" s="214"/>
      <c r="AU57" s="214"/>
      <c r="AV57" s="582"/>
      <c r="AY57" s="3">
        <v>1</v>
      </c>
    </row>
    <row r="58" spans="2:51" ht="27" customHeight="1" thickBot="1">
      <c r="B58" s="216" t="s">
        <v>11</v>
      </c>
      <c r="C58" s="217"/>
      <c r="D58" s="217"/>
      <c r="E58" s="217"/>
      <c r="F58" s="218"/>
      <c r="G58" s="219" t="s">
        <v>208</v>
      </c>
      <c r="H58" s="1481" t="str">
        <f ca="1">CELL("nomfichier")</f>
        <v>D:\Données\1.UPRT\0-UPRT.fait\1-UPRT.FR-SITE-WEB\ff-fiches-fabrications\ff.fiches.fabrication.2023\ffr.restaurant.2023\[ff.FICHE.TRILINGUE.15.COLONNES.29.11.2025.xlsx]Notice.utilisateur</v>
      </c>
      <c r="I58" s="220"/>
      <c r="J58" s="220"/>
      <c r="K58" s="220"/>
      <c r="L58" s="220"/>
      <c r="M58" s="220"/>
      <c r="N58" s="220"/>
      <c r="O58" s="220"/>
      <c r="P58" s="221"/>
      <c r="R58" s="216" t="s">
        <v>11</v>
      </c>
      <c r="S58" s="217"/>
      <c r="T58" s="217"/>
      <c r="U58" s="217"/>
      <c r="V58" s="218"/>
      <c r="W58" s="219" t="s">
        <v>208</v>
      </c>
      <c r="X58" s="1481" t="str">
        <f ca="1">CELL("nomfichier")</f>
        <v>D:\Données\1.UPRT\0-UPRT.fait\1-UPRT.FR-SITE-WEB\ff-fiches-fabrications\ff.fiches.fabrication.2023\ffr.restaurant.2023\[ff.FICHE.TRILINGUE.15.COLONNES.29.11.2025.xlsx]Notice.utilisateur</v>
      </c>
      <c r="Y58" s="220"/>
      <c r="Z58" s="220"/>
      <c r="AA58" s="220"/>
      <c r="AB58" s="220"/>
      <c r="AC58" s="220"/>
      <c r="AD58" s="220"/>
      <c r="AE58" s="220"/>
      <c r="AF58" s="221"/>
      <c r="AH58" s="216" t="s">
        <v>11</v>
      </c>
      <c r="AI58" s="217"/>
      <c r="AJ58" s="217"/>
      <c r="AK58" s="217"/>
      <c r="AL58" s="218"/>
      <c r="AM58" s="219" t="s">
        <v>208</v>
      </c>
      <c r="AN58" s="1481" t="str">
        <f ca="1">CELL("nomfichier")</f>
        <v>D:\Données\1.UPRT\0-UPRT.fait\1-UPRT.FR-SITE-WEB\ff-fiches-fabrications\ff.fiches.fabrication.2023\ffr.restaurant.2023\[ff.FICHE.TRILINGUE.15.COLONNES.29.11.2025.xlsx]Notice.utilisateur</v>
      </c>
      <c r="AO58" s="220"/>
      <c r="AP58" s="220"/>
      <c r="AQ58" s="220"/>
      <c r="AR58" s="220"/>
      <c r="AS58" s="220"/>
      <c r="AT58" s="220"/>
      <c r="AU58" s="220"/>
      <c r="AV58" s="221"/>
      <c r="AY58" s="3">
        <v>1</v>
      </c>
    </row>
    <row r="59" spans="2:51" ht="27" customHeight="1" thickBot="1">
      <c r="B59" s="1478" t="s">
        <v>11</v>
      </c>
      <c r="C59" s="1479" t="s">
        <v>11</v>
      </c>
      <c r="D59" s="1479" t="s">
        <v>11</v>
      </c>
      <c r="E59" s="1479" t="s">
        <v>11</v>
      </c>
      <c r="F59" s="1479" t="s">
        <v>11</v>
      </c>
      <c r="G59" s="1480" t="s">
        <v>2613</v>
      </c>
      <c r="H59" s="1140"/>
      <c r="I59" s="1141"/>
      <c r="J59" s="1142"/>
      <c r="K59" s="1143"/>
      <c r="L59" s="1144"/>
      <c r="M59" s="1145"/>
      <c r="N59" s="1145"/>
      <c r="O59" s="1146"/>
      <c r="P59" s="1147"/>
      <c r="R59" s="1478" t="s">
        <v>11</v>
      </c>
      <c r="S59" s="1479" t="s">
        <v>11</v>
      </c>
      <c r="T59" s="1479" t="s">
        <v>11</v>
      </c>
      <c r="U59" s="1479" t="s">
        <v>11</v>
      </c>
      <c r="V59" s="1479" t="s">
        <v>11</v>
      </c>
      <c r="W59" s="1480" t="s">
        <v>2613</v>
      </c>
      <c r="X59" s="1140"/>
      <c r="Y59" s="1141"/>
      <c r="Z59" s="1142"/>
      <c r="AA59" s="1143"/>
      <c r="AB59" s="1144"/>
      <c r="AC59" s="1145"/>
      <c r="AD59" s="1145"/>
      <c r="AE59" s="1146"/>
      <c r="AF59" s="1147"/>
      <c r="AH59" s="1478" t="s">
        <v>11</v>
      </c>
      <c r="AI59" s="1479" t="s">
        <v>11</v>
      </c>
      <c r="AJ59" s="1479" t="s">
        <v>11</v>
      </c>
      <c r="AK59" s="1479" t="s">
        <v>11</v>
      </c>
      <c r="AL59" s="1479" t="s">
        <v>11</v>
      </c>
      <c r="AM59" s="1480" t="s">
        <v>2613</v>
      </c>
      <c r="AN59" s="1140"/>
      <c r="AO59" s="1141"/>
      <c r="AP59" s="1142"/>
      <c r="AQ59" s="1143"/>
      <c r="AR59" s="1144"/>
      <c r="AS59" s="1145"/>
      <c r="AT59" s="1145"/>
      <c r="AU59" s="1146"/>
      <c r="AV59" s="1147"/>
      <c r="AY59" s="3">
        <v>1</v>
      </c>
    </row>
    <row r="60" spans="2:51" ht="27" customHeight="1">
      <c r="B60" s="104"/>
      <c r="C60" s="1172"/>
      <c r="D60" s="1172"/>
      <c r="E60" s="1172"/>
      <c r="F60" s="1173"/>
      <c r="G60" s="1174"/>
      <c r="H60" s="1175"/>
      <c r="I60" s="1176"/>
      <c r="J60" s="1177"/>
      <c r="K60" s="1547"/>
      <c r="L60" s="1177"/>
      <c r="M60" s="1548"/>
      <c r="N60" s="1549"/>
      <c r="O60" s="1178"/>
      <c r="P60" s="1179"/>
      <c r="Q60" s="1171"/>
      <c r="R60" s="104"/>
      <c r="S60" s="1172"/>
      <c r="T60" s="1172"/>
      <c r="U60" s="1172"/>
      <c r="V60" s="1173"/>
      <c r="W60" s="1174"/>
      <c r="X60" s="1175"/>
      <c r="Y60" s="1176"/>
      <c r="Z60" s="1177"/>
      <c r="AA60" s="1547"/>
      <c r="AB60" s="1177"/>
      <c r="AC60" s="1548"/>
      <c r="AD60" s="1549"/>
      <c r="AE60" s="1178"/>
      <c r="AF60" s="1179"/>
      <c r="AG60" s="1171"/>
      <c r="AH60" s="104"/>
      <c r="AI60" s="1172"/>
      <c r="AJ60" s="1172"/>
      <c r="AK60" s="1172"/>
      <c r="AL60" s="1173"/>
      <c r="AM60" s="1174"/>
      <c r="AN60" s="1175"/>
      <c r="AO60" s="1176"/>
      <c r="AP60" s="1177"/>
      <c r="AQ60" s="1547"/>
      <c r="AR60" s="1177"/>
      <c r="AS60" s="1548"/>
      <c r="AT60" s="1549"/>
      <c r="AU60" s="1178"/>
      <c r="AV60" s="1179"/>
      <c r="AY60" s="3">
        <v>1</v>
      </c>
    </row>
    <row r="61" spans="2:51" ht="27" customHeight="1">
      <c r="B61" s="104"/>
      <c r="C61" s="1172"/>
      <c r="D61" s="1172"/>
      <c r="E61" s="1172"/>
      <c r="F61" s="1173"/>
      <c r="G61" s="1174"/>
      <c r="H61" s="1175"/>
      <c r="I61" s="1176"/>
      <c r="J61" s="1177"/>
      <c r="K61" s="1547"/>
      <c r="L61" s="1177"/>
      <c r="M61" s="1548"/>
      <c r="N61" s="1549"/>
      <c r="O61" s="1178"/>
      <c r="P61" s="1179"/>
      <c r="Q61" s="1171"/>
      <c r="R61" s="104"/>
      <c r="S61" s="1172"/>
      <c r="T61" s="1172"/>
      <c r="U61" s="1172"/>
      <c r="V61" s="1173"/>
      <c r="W61" s="1174"/>
      <c r="X61" s="1175"/>
      <c r="Y61" s="1176"/>
      <c r="Z61" s="1177"/>
      <c r="AA61" s="1547"/>
      <c r="AB61" s="1177"/>
      <c r="AC61" s="1548"/>
      <c r="AD61" s="1549"/>
      <c r="AE61" s="1178"/>
      <c r="AF61" s="1179"/>
      <c r="AG61" s="1171"/>
      <c r="AH61" s="104"/>
      <c r="AI61" s="1172"/>
      <c r="AJ61" s="1172"/>
      <c r="AK61" s="1172"/>
      <c r="AL61" s="1173"/>
      <c r="AM61" s="1174"/>
      <c r="AN61" s="1175"/>
      <c r="AO61" s="1176"/>
      <c r="AP61" s="1177"/>
      <c r="AQ61" s="1547"/>
      <c r="AR61" s="1177"/>
      <c r="AS61" s="1548"/>
      <c r="AT61" s="1549"/>
      <c r="AU61" s="1178"/>
      <c r="AV61" s="1179"/>
      <c r="AY61" s="3">
        <v>1</v>
      </c>
    </row>
    <row r="62" spans="2:51" ht="27" customHeight="1">
      <c r="B62" s="104"/>
      <c r="C62" s="1172"/>
      <c r="D62" s="1172"/>
      <c r="E62" s="1172"/>
      <c r="F62" s="1173"/>
      <c r="G62" s="1174"/>
      <c r="H62" s="1175"/>
      <c r="I62" s="1176"/>
      <c r="J62" s="1177"/>
      <c r="K62" s="1547"/>
      <c r="L62" s="1177"/>
      <c r="M62" s="1548"/>
      <c r="N62" s="1549"/>
      <c r="O62" s="1178"/>
      <c r="P62" s="1179"/>
      <c r="Q62" s="1171"/>
      <c r="R62" s="104"/>
      <c r="S62" s="1172"/>
      <c r="T62" s="1172"/>
      <c r="U62" s="1172"/>
      <c r="V62" s="1173"/>
      <c r="W62" s="1174"/>
      <c r="X62" s="1175"/>
      <c r="Y62" s="1176"/>
      <c r="Z62" s="1177"/>
      <c r="AA62" s="1547"/>
      <c r="AB62" s="1177"/>
      <c r="AC62" s="1548"/>
      <c r="AD62" s="1549"/>
      <c r="AE62" s="1178"/>
      <c r="AF62" s="1179"/>
      <c r="AG62" s="1171"/>
      <c r="AH62" s="104"/>
      <c r="AI62" s="1172"/>
      <c r="AJ62" s="1172"/>
      <c r="AK62" s="1172"/>
      <c r="AL62" s="1173"/>
      <c r="AM62" s="1174"/>
      <c r="AN62" s="1175"/>
      <c r="AO62" s="1176"/>
      <c r="AP62" s="1177"/>
      <c r="AQ62" s="1547"/>
      <c r="AR62" s="1177"/>
      <c r="AS62" s="1548"/>
      <c r="AT62" s="1549"/>
      <c r="AU62" s="1178"/>
      <c r="AV62" s="1179"/>
      <c r="AY62" s="3">
        <v>1</v>
      </c>
    </row>
    <row r="63" spans="2:51" ht="27" customHeight="1">
      <c r="B63" s="104"/>
      <c r="C63" s="1172"/>
      <c r="D63" s="1172"/>
      <c r="E63" s="1172"/>
      <c r="F63" s="1173"/>
      <c r="G63" s="1174"/>
      <c r="H63" s="1175"/>
      <c r="I63" s="1176"/>
      <c r="J63" s="1177"/>
      <c r="K63" s="1547"/>
      <c r="L63" s="1177"/>
      <c r="M63" s="1548"/>
      <c r="N63" s="1549"/>
      <c r="O63" s="1178"/>
      <c r="P63" s="1179"/>
      <c r="Q63" s="1171"/>
      <c r="R63" s="104"/>
      <c r="S63" s="1172"/>
      <c r="T63" s="1172"/>
      <c r="U63" s="1172"/>
      <c r="V63" s="1173"/>
      <c r="W63" s="1174"/>
      <c r="X63" s="1175"/>
      <c r="Y63" s="1176"/>
      <c r="Z63" s="1177"/>
      <c r="AA63" s="1547"/>
      <c r="AB63" s="1177"/>
      <c r="AC63" s="1548"/>
      <c r="AD63" s="1549"/>
      <c r="AE63" s="1178"/>
      <c r="AF63" s="1179"/>
      <c r="AG63" s="1171"/>
      <c r="AH63" s="104"/>
      <c r="AI63" s="1172"/>
      <c r="AJ63" s="1172"/>
      <c r="AK63" s="1172"/>
      <c r="AL63" s="1173"/>
      <c r="AM63" s="1174"/>
      <c r="AN63" s="1175"/>
      <c r="AO63" s="1176"/>
      <c r="AP63" s="1177"/>
      <c r="AQ63" s="1547"/>
      <c r="AR63" s="1177"/>
      <c r="AS63" s="1548"/>
      <c r="AT63" s="1549"/>
      <c r="AU63" s="1178"/>
      <c r="AV63" s="1179"/>
      <c r="AY63" s="3">
        <v>1</v>
      </c>
    </row>
    <row r="64" spans="2:51" ht="27" customHeight="1">
      <c r="B64" s="104"/>
      <c r="C64" s="1172"/>
      <c r="D64" s="1172"/>
      <c r="E64" s="1172"/>
      <c r="F64" s="1173"/>
      <c r="G64" s="1174"/>
      <c r="H64" s="1175"/>
      <c r="I64" s="1176"/>
      <c r="J64" s="1177"/>
      <c r="K64" s="1547"/>
      <c r="L64" s="1177"/>
      <c r="M64" s="1548"/>
      <c r="N64" s="1549"/>
      <c r="O64" s="1178"/>
      <c r="P64" s="1179"/>
      <c r="Q64" s="1171"/>
      <c r="R64" s="104"/>
      <c r="S64" s="1172"/>
      <c r="T64" s="1172"/>
      <c r="U64" s="1172"/>
      <c r="V64" s="1173"/>
      <c r="W64" s="1174"/>
      <c r="X64" s="1175"/>
      <c r="Y64" s="1176"/>
      <c r="Z64" s="1177"/>
      <c r="AA64" s="1547"/>
      <c r="AB64" s="1177"/>
      <c r="AC64" s="1548"/>
      <c r="AD64" s="1549"/>
      <c r="AE64" s="1178"/>
      <c r="AF64" s="1179"/>
      <c r="AG64" s="1171"/>
      <c r="AH64" s="104"/>
      <c r="AI64" s="1172"/>
      <c r="AJ64" s="1172"/>
      <c r="AK64" s="1172"/>
      <c r="AL64" s="1173"/>
      <c r="AM64" s="1174"/>
      <c r="AN64" s="1175"/>
      <c r="AO64" s="1176"/>
      <c r="AP64" s="1177"/>
      <c r="AQ64" s="1547"/>
      <c r="AR64" s="1177"/>
      <c r="AS64" s="1548"/>
      <c r="AT64" s="1549"/>
      <c r="AU64" s="1178"/>
      <c r="AV64" s="1179"/>
      <c r="AY64" s="3">
        <v>1</v>
      </c>
    </row>
    <row r="65" spans="2:51" ht="27" customHeight="1">
      <c r="B65" s="104"/>
      <c r="C65" s="1172"/>
      <c r="D65" s="1172"/>
      <c r="E65" s="1172"/>
      <c r="F65" s="1173"/>
      <c r="G65" s="1174"/>
      <c r="H65" s="1175"/>
      <c r="I65" s="1176"/>
      <c r="J65" s="1177"/>
      <c r="K65" s="1547"/>
      <c r="L65" s="1177"/>
      <c r="M65" s="1548"/>
      <c r="N65" s="1549"/>
      <c r="O65" s="1178"/>
      <c r="P65" s="1179"/>
      <c r="Q65" s="1171"/>
      <c r="R65" s="104"/>
      <c r="S65" s="1172"/>
      <c r="T65" s="1172"/>
      <c r="U65" s="1172"/>
      <c r="V65" s="1173"/>
      <c r="W65" s="1174"/>
      <c r="X65" s="1175"/>
      <c r="Y65" s="1176"/>
      <c r="Z65" s="1177"/>
      <c r="AA65" s="1547"/>
      <c r="AB65" s="1177"/>
      <c r="AC65" s="1548"/>
      <c r="AD65" s="1549"/>
      <c r="AE65" s="1178"/>
      <c r="AF65" s="1179"/>
      <c r="AG65" s="1171"/>
      <c r="AH65" s="104"/>
      <c r="AI65" s="1172"/>
      <c r="AJ65" s="1172"/>
      <c r="AK65" s="1172"/>
      <c r="AL65" s="1173"/>
      <c r="AM65" s="1174"/>
      <c r="AN65" s="1175"/>
      <c r="AO65" s="1176"/>
      <c r="AP65" s="1177"/>
      <c r="AQ65" s="1547"/>
      <c r="AR65" s="1177"/>
      <c r="AS65" s="1548"/>
      <c r="AT65" s="1549"/>
      <c r="AU65" s="1178"/>
      <c r="AV65" s="1179"/>
      <c r="AY65" s="3">
        <v>1</v>
      </c>
    </row>
    <row r="66" spans="2:51" ht="27" customHeight="1">
      <c r="B66" s="104"/>
      <c r="C66" s="1172"/>
      <c r="D66" s="1172"/>
      <c r="E66" s="1172"/>
      <c r="F66" s="1173"/>
      <c r="G66" s="1174"/>
      <c r="H66" s="1175"/>
      <c r="I66" s="1176"/>
      <c r="J66" s="1177"/>
      <c r="K66" s="1547"/>
      <c r="L66" s="1177"/>
      <c r="M66" s="1548"/>
      <c r="N66" s="1549"/>
      <c r="O66" s="1178"/>
      <c r="P66" s="1179"/>
      <c r="Q66" s="1171"/>
      <c r="R66" s="104"/>
      <c r="S66" s="1172"/>
      <c r="T66" s="1172"/>
      <c r="U66" s="1172"/>
      <c r="V66" s="1173"/>
      <c r="W66" s="1174"/>
      <c r="X66" s="1175"/>
      <c r="Y66" s="1176"/>
      <c r="Z66" s="1177"/>
      <c r="AA66" s="1547"/>
      <c r="AB66" s="1177"/>
      <c r="AC66" s="1548"/>
      <c r="AD66" s="1549"/>
      <c r="AE66" s="1178"/>
      <c r="AF66" s="1179"/>
      <c r="AH66" s="104"/>
      <c r="AI66" s="1172"/>
      <c r="AJ66" s="1172"/>
      <c r="AK66" s="1172"/>
      <c r="AL66" s="1173"/>
      <c r="AM66" s="1174"/>
      <c r="AN66" s="1175"/>
      <c r="AO66" s="1176"/>
      <c r="AP66" s="1177"/>
      <c r="AQ66" s="1547"/>
      <c r="AR66" s="1177"/>
      <c r="AS66" s="1548"/>
      <c r="AT66" s="1549"/>
      <c r="AU66" s="1178"/>
      <c r="AV66" s="1179"/>
      <c r="AY66" s="3">
        <v>1</v>
      </c>
    </row>
    <row r="67" spans="2:51" ht="27" customHeight="1">
      <c r="B67" s="104"/>
      <c r="C67" s="1172"/>
      <c r="D67" s="1172"/>
      <c r="E67" s="1172"/>
      <c r="F67" s="1173"/>
      <c r="G67" s="1174"/>
      <c r="H67" s="1175"/>
      <c r="I67" s="1176"/>
      <c r="J67" s="1177"/>
      <c r="K67" s="1547"/>
      <c r="L67" s="1177"/>
      <c r="M67" s="1548"/>
      <c r="N67" s="1549"/>
      <c r="O67" s="1178"/>
      <c r="P67" s="1179"/>
      <c r="Q67" s="1171"/>
      <c r="R67" s="104"/>
      <c r="S67" s="1172"/>
      <c r="T67" s="1172"/>
      <c r="U67" s="1172"/>
      <c r="V67" s="1173"/>
      <c r="W67" s="1174"/>
      <c r="X67" s="1175"/>
      <c r="Y67" s="1176"/>
      <c r="Z67" s="1177"/>
      <c r="AA67" s="1547"/>
      <c r="AB67" s="1177"/>
      <c r="AC67" s="1548"/>
      <c r="AD67" s="1549"/>
      <c r="AE67" s="1178"/>
      <c r="AF67" s="1179"/>
      <c r="AH67" s="104"/>
      <c r="AI67" s="1172"/>
      <c r="AJ67" s="1172"/>
      <c r="AK67" s="1172"/>
      <c r="AL67" s="1173"/>
      <c r="AM67" s="1174"/>
      <c r="AN67" s="1175"/>
      <c r="AO67" s="1176"/>
      <c r="AP67" s="1177"/>
      <c r="AQ67" s="1547"/>
      <c r="AR67" s="1177"/>
      <c r="AS67" s="1548"/>
      <c r="AT67" s="1549"/>
      <c r="AU67" s="1178"/>
      <c r="AV67" s="1179"/>
      <c r="AY67" s="3">
        <v>1</v>
      </c>
    </row>
    <row r="68" spans="2:51" ht="27" customHeight="1">
      <c r="B68" s="104"/>
      <c r="C68" s="1172"/>
      <c r="D68" s="1172"/>
      <c r="E68" s="1172"/>
      <c r="F68" s="1173"/>
      <c r="G68" s="1174"/>
      <c r="H68" s="1175"/>
      <c r="I68" s="1176"/>
      <c r="J68" s="1177"/>
      <c r="K68" s="1547"/>
      <c r="L68" s="1177"/>
      <c r="M68" s="1548"/>
      <c r="N68" s="1549"/>
      <c r="O68" s="1178"/>
      <c r="P68" s="1179"/>
      <c r="Q68" s="1171"/>
      <c r="R68" s="104"/>
      <c r="S68" s="1172"/>
      <c r="T68" s="1172"/>
      <c r="U68" s="1172"/>
      <c r="V68" s="1173"/>
      <c r="W68" s="1174"/>
      <c r="X68" s="1175"/>
      <c r="Y68" s="1176"/>
      <c r="Z68" s="1177"/>
      <c r="AA68" s="1547"/>
      <c r="AB68" s="1177"/>
      <c r="AC68" s="1548"/>
      <c r="AD68" s="1549"/>
      <c r="AE68" s="1178"/>
      <c r="AF68" s="1179"/>
      <c r="AH68" s="104"/>
      <c r="AI68" s="1172"/>
      <c r="AJ68" s="1172"/>
      <c r="AK68" s="1172"/>
      <c r="AL68" s="1173"/>
      <c r="AM68" s="1174"/>
      <c r="AN68" s="1175"/>
      <c r="AO68" s="1176"/>
      <c r="AP68" s="1177"/>
      <c r="AQ68" s="1547"/>
      <c r="AR68" s="1177"/>
      <c r="AS68" s="1548"/>
      <c r="AT68" s="1549"/>
      <c r="AU68" s="1178"/>
      <c r="AV68" s="1179"/>
      <c r="AY68" s="3">
        <v>1</v>
      </c>
    </row>
    <row r="69" spans="2:51" ht="27" customHeight="1">
      <c r="B69" s="104"/>
      <c r="C69" s="1172"/>
      <c r="D69" s="1172"/>
      <c r="E69" s="1172"/>
      <c r="F69" s="1173"/>
      <c r="G69" s="1174"/>
      <c r="H69" s="1175"/>
      <c r="I69" s="1176"/>
      <c r="J69" s="1177"/>
      <c r="K69" s="1547"/>
      <c r="L69" s="1177"/>
      <c r="M69" s="1548"/>
      <c r="N69" s="1549"/>
      <c r="O69" s="1178"/>
      <c r="P69" s="1179"/>
      <c r="Q69" s="1171"/>
      <c r="R69" s="104"/>
      <c r="S69" s="1172"/>
      <c r="T69" s="1172"/>
      <c r="U69" s="1172"/>
      <c r="V69" s="1173"/>
      <c r="W69" s="1174"/>
      <c r="X69" s="1175"/>
      <c r="Y69" s="1176"/>
      <c r="Z69" s="1177"/>
      <c r="AA69" s="1547"/>
      <c r="AB69" s="1177"/>
      <c r="AC69" s="1548"/>
      <c r="AD69" s="1549"/>
      <c r="AE69" s="1178"/>
      <c r="AF69" s="1179"/>
      <c r="AG69" s="1171"/>
      <c r="AH69" s="104"/>
      <c r="AI69" s="1172"/>
      <c r="AJ69" s="1172"/>
      <c r="AK69" s="1172"/>
      <c r="AL69" s="1173"/>
      <c r="AM69" s="1174"/>
      <c r="AN69" s="1175"/>
      <c r="AO69" s="1176"/>
      <c r="AP69" s="1177"/>
      <c r="AQ69" s="1547"/>
      <c r="AR69" s="1177"/>
      <c r="AS69" s="1548"/>
      <c r="AT69" s="1549"/>
      <c r="AU69" s="1178"/>
      <c r="AV69" s="1179"/>
      <c r="AY69" s="3">
        <v>1</v>
      </c>
    </row>
    <row r="70" spans="2:51" ht="27" customHeight="1">
      <c r="B70" s="104"/>
      <c r="C70" s="1172"/>
      <c r="D70" s="1172"/>
      <c r="E70" s="1172"/>
      <c r="F70" s="1173"/>
      <c r="G70" s="1174"/>
      <c r="H70" s="1175"/>
      <c r="I70" s="1176"/>
      <c r="J70" s="1177"/>
      <c r="K70" s="1547"/>
      <c r="L70" s="1177"/>
      <c r="M70" s="1548"/>
      <c r="N70" s="1549"/>
      <c r="O70" s="1178"/>
      <c r="P70" s="1179"/>
      <c r="Q70" s="1171"/>
      <c r="R70" s="104"/>
      <c r="S70" s="1172"/>
      <c r="T70" s="1172"/>
      <c r="U70" s="1172"/>
      <c r="V70" s="1173"/>
      <c r="W70" s="1174"/>
      <c r="X70" s="1175"/>
      <c r="Y70" s="1176"/>
      <c r="Z70" s="1177"/>
      <c r="AA70" s="1547"/>
      <c r="AB70" s="1177"/>
      <c r="AC70" s="1548"/>
      <c r="AD70" s="1549"/>
      <c r="AE70" s="1178"/>
      <c r="AF70" s="1179"/>
      <c r="AG70" s="1171"/>
      <c r="AH70" s="104"/>
      <c r="AI70" s="1172"/>
      <c r="AJ70" s="1172"/>
      <c r="AK70" s="1172"/>
      <c r="AL70" s="1173"/>
      <c r="AM70" s="1174"/>
      <c r="AN70" s="1175"/>
      <c r="AO70" s="1176"/>
      <c r="AP70" s="1177"/>
      <c r="AQ70" s="1547"/>
      <c r="AR70" s="1177"/>
      <c r="AS70" s="1548"/>
      <c r="AT70" s="1549"/>
      <c r="AU70" s="1178"/>
      <c r="AV70" s="1179"/>
      <c r="AY70" s="3">
        <v>1</v>
      </c>
    </row>
    <row r="71" spans="2:51" ht="27" customHeight="1">
      <c r="B71" s="104"/>
      <c r="C71" s="1172"/>
      <c r="D71" s="1172"/>
      <c r="E71" s="1172"/>
      <c r="F71" s="1173"/>
      <c r="G71" s="1174"/>
      <c r="H71" s="1175"/>
      <c r="I71" s="1176"/>
      <c r="J71" s="1177"/>
      <c r="K71" s="1547"/>
      <c r="L71" s="1177"/>
      <c r="M71" s="1548"/>
      <c r="N71" s="1549"/>
      <c r="O71" s="1178"/>
      <c r="P71" s="1179"/>
      <c r="Q71" s="1171"/>
      <c r="R71" s="104"/>
      <c r="S71" s="1172"/>
      <c r="T71" s="1172"/>
      <c r="U71" s="1172"/>
      <c r="V71" s="1173"/>
      <c r="W71" s="1174"/>
      <c r="X71" s="1175"/>
      <c r="Y71" s="1176"/>
      <c r="Z71" s="1177"/>
      <c r="AA71" s="1547"/>
      <c r="AB71" s="1177"/>
      <c r="AC71" s="1548"/>
      <c r="AD71" s="1549"/>
      <c r="AE71" s="1178"/>
      <c r="AF71" s="1179"/>
      <c r="AG71" s="1171"/>
      <c r="AH71" s="104"/>
      <c r="AI71" s="1172"/>
      <c r="AJ71" s="1172"/>
      <c r="AK71" s="1172"/>
      <c r="AL71" s="1173"/>
      <c r="AM71" s="1174"/>
      <c r="AN71" s="1175"/>
      <c r="AO71" s="1176"/>
      <c r="AP71" s="1177"/>
      <c r="AQ71" s="1547"/>
      <c r="AR71" s="1177"/>
      <c r="AS71" s="1548"/>
      <c r="AT71" s="1549"/>
      <c r="AU71" s="1178"/>
      <c r="AV71" s="1179"/>
      <c r="AY71" s="3">
        <v>1</v>
      </c>
    </row>
    <row r="72" spans="2:51" ht="27" customHeight="1">
      <c r="B72" s="104"/>
      <c r="C72" s="1172"/>
      <c r="D72" s="1172"/>
      <c r="E72" s="1172"/>
      <c r="F72" s="1173"/>
      <c r="G72" s="1174"/>
      <c r="H72" s="1175"/>
      <c r="I72" s="1176"/>
      <c r="J72" s="1177"/>
      <c r="K72" s="1547"/>
      <c r="L72" s="1177"/>
      <c r="M72" s="1548"/>
      <c r="N72" s="1549"/>
      <c r="O72" s="1178"/>
      <c r="P72" s="1179"/>
      <c r="Q72" s="1171"/>
      <c r="R72" s="104"/>
      <c r="S72" s="1172"/>
      <c r="T72" s="1172"/>
      <c r="U72" s="1172"/>
      <c r="V72" s="1173"/>
      <c r="W72" s="1174"/>
      <c r="X72" s="1175"/>
      <c r="Y72" s="1176"/>
      <c r="Z72" s="1177"/>
      <c r="AA72" s="1547"/>
      <c r="AB72" s="1177"/>
      <c r="AC72" s="1548"/>
      <c r="AD72" s="1549"/>
      <c r="AE72" s="1178"/>
      <c r="AF72" s="1179"/>
      <c r="AG72" s="1171"/>
      <c r="AH72" s="104"/>
      <c r="AI72" s="1172"/>
      <c r="AJ72" s="1172"/>
      <c r="AK72" s="1172"/>
      <c r="AL72" s="1173"/>
      <c r="AM72" s="1174"/>
      <c r="AN72" s="1175"/>
      <c r="AO72" s="1176"/>
      <c r="AP72" s="1177"/>
      <c r="AQ72" s="1547"/>
      <c r="AR72" s="1177"/>
      <c r="AS72" s="1548"/>
      <c r="AT72" s="1549"/>
      <c r="AU72" s="1178"/>
      <c r="AV72" s="1179"/>
      <c r="AY72" s="3">
        <v>1</v>
      </c>
    </row>
    <row r="73" spans="2:51" ht="27" customHeight="1">
      <c r="B73" s="104"/>
      <c r="C73" s="1172"/>
      <c r="D73" s="1172"/>
      <c r="E73" s="1172"/>
      <c r="F73" s="1173"/>
      <c r="G73" s="1174"/>
      <c r="H73" s="1175"/>
      <c r="I73" s="1176"/>
      <c r="J73" s="1177"/>
      <c r="K73" s="1547"/>
      <c r="L73" s="1177"/>
      <c r="M73" s="1548"/>
      <c r="N73" s="1549"/>
      <c r="O73" s="1178"/>
      <c r="P73" s="1179"/>
      <c r="Q73" s="1171"/>
      <c r="R73" s="104"/>
      <c r="S73" s="1172"/>
      <c r="T73" s="1172"/>
      <c r="U73" s="1172"/>
      <c r="V73" s="1173"/>
      <c r="W73" s="1174"/>
      <c r="X73" s="1175"/>
      <c r="Y73" s="1176"/>
      <c r="Z73" s="1177"/>
      <c r="AA73" s="1547"/>
      <c r="AB73" s="1177"/>
      <c r="AC73" s="1548"/>
      <c r="AD73" s="1549"/>
      <c r="AE73" s="1178"/>
      <c r="AF73" s="1179"/>
      <c r="AG73" s="1171"/>
      <c r="AH73" s="104"/>
      <c r="AI73" s="1172"/>
      <c r="AJ73" s="1172"/>
      <c r="AK73" s="1172"/>
      <c r="AL73" s="1173"/>
      <c r="AM73" s="1174"/>
      <c r="AN73" s="1175"/>
      <c r="AO73" s="1176"/>
      <c r="AP73" s="1177"/>
      <c r="AQ73" s="1547"/>
      <c r="AR73" s="1177"/>
      <c r="AS73" s="1548"/>
      <c r="AT73" s="1549"/>
      <c r="AU73" s="1178"/>
      <c r="AV73" s="1179"/>
      <c r="AY73" s="3">
        <v>1</v>
      </c>
    </row>
    <row r="74" spans="2:51" ht="27" customHeight="1">
      <c r="B74" s="104"/>
      <c r="C74" s="1172"/>
      <c r="D74" s="1172"/>
      <c r="E74" s="1172"/>
      <c r="F74" s="1173"/>
      <c r="G74" s="1174"/>
      <c r="H74" s="1175"/>
      <c r="I74" s="1176"/>
      <c r="J74" s="1177"/>
      <c r="K74" s="1547"/>
      <c r="L74" s="1177"/>
      <c r="M74" s="1548"/>
      <c r="N74" s="1549"/>
      <c r="O74" s="1178"/>
      <c r="P74" s="1179"/>
      <c r="Q74" s="1171"/>
      <c r="R74" s="104"/>
      <c r="S74" s="1172"/>
      <c r="T74" s="1172"/>
      <c r="U74" s="1172"/>
      <c r="V74" s="1173"/>
      <c r="W74" s="1174"/>
      <c r="X74" s="1175"/>
      <c r="Y74" s="1176"/>
      <c r="Z74" s="1177"/>
      <c r="AA74" s="1547"/>
      <c r="AB74" s="1177"/>
      <c r="AC74" s="1548"/>
      <c r="AD74" s="1549"/>
      <c r="AE74" s="1178"/>
      <c r="AF74" s="1179"/>
      <c r="AG74" s="1171"/>
      <c r="AH74" s="104"/>
      <c r="AI74" s="1172"/>
      <c r="AJ74" s="1172"/>
      <c r="AK74" s="1172"/>
      <c r="AL74" s="1173"/>
      <c r="AM74" s="1174"/>
      <c r="AN74" s="1175"/>
      <c r="AO74" s="1176"/>
      <c r="AP74" s="1177"/>
      <c r="AQ74" s="1547"/>
      <c r="AR74" s="1177"/>
      <c r="AS74" s="1548"/>
      <c r="AT74" s="1549"/>
      <c r="AU74" s="1178"/>
      <c r="AV74" s="1179"/>
      <c r="AY74" s="3">
        <v>1</v>
      </c>
    </row>
    <row r="75" spans="2:51" ht="27" customHeight="1">
      <c r="B75" s="104"/>
      <c r="C75" s="1172"/>
      <c r="D75" s="1172"/>
      <c r="E75" s="1172"/>
      <c r="F75" s="1173"/>
      <c r="G75" s="1174"/>
      <c r="H75" s="1175"/>
      <c r="I75" s="1176"/>
      <c r="J75" s="1177"/>
      <c r="K75" s="1547"/>
      <c r="L75" s="1177"/>
      <c r="M75" s="1548"/>
      <c r="N75" s="1549"/>
      <c r="O75" s="1178"/>
      <c r="P75" s="1179"/>
      <c r="Q75" s="1171"/>
      <c r="R75" s="104"/>
      <c r="S75" s="1172"/>
      <c r="T75" s="1172"/>
      <c r="U75" s="1172"/>
      <c r="V75" s="1173"/>
      <c r="W75" s="1174"/>
      <c r="X75" s="1175"/>
      <c r="Y75" s="1176"/>
      <c r="Z75" s="1177"/>
      <c r="AA75" s="1547"/>
      <c r="AB75" s="1177"/>
      <c r="AC75" s="1548"/>
      <c r="AD75" s="1549"/>
      <c r="AE75" s="1178"/>
      <c r="AF75" s="1179"/>
      <c r="AG75" s="1171"/>
      <c r="AH75" s="104"/>
      <c r="AI75" s="1172"/>
      <c r="AJ75" s="1172"/>
      <c r="AK75" s="1172"/>
      <c r="AL75" s="1173"/>
      <c r="AM75" s="1174"/>
      <c r="AN75" s="1175"/>
      <c r="AO75" s="1176"/>
      <c r="AP75" s="1177"/>
      <c r="AQ75" s="1547"/>
      <c r="AR75" s="1177"/>
      <c r="AS75" s="1548"/>
      <c r="AT75" s="1549"/>
      <c r="AU75" s="1178"/>
      <c r="AV75" s="1179"/>
      <c r="AY75" s="3">
        <v>1</v>
      </c>
    </row>
    <row r="76" spans="2:51" ht="27" customHeight="1">
      <c r="B76" s="104"/>
      <c r="C76" s="1172"/>
      <c r="D76" s="1172"/>
      <c r="E76" s="1172"/>
      <c r="F76" s="1173"/>
      <c r="G76" s="1174"/>
      <c r="H76" s="1175"/>
      <c r="I76" s="1176"/>
      <c r="J76" s="1177"/>
      <c r="K76" s="1547"/>
      <c r="L76" s="1177"/>
      <c r="M76" s="1548"/>
      <c r="N76" s="1549"/>
      <c r="O76" s="1178"/>
      <c r="P76" s="1179"/>
      <c r="Q76" s="1171"/>
      <c r="R76" s="104"/>
      <c r="S76" s="1172"/>
      <c r="T76" s="1172"/>
      <c r="U76" s="1172"/>
      <c r="V76" s="1173"/>
      <c r="W76" s="1174"/>
      <c r="X76" s="1175"/>
      <c r="Y76" s="1176"/>
      <c r="Z76" s="1177"/>
      <c r="AA76" s="1547"/>
      <c r="AB76" s="1177"/>
      <c r="AC76" s="1548"/>
      <c r="AD76" s="1549"/>
      <c r="AE76" s="1178"/>
      <c r="AF76" s="1179"/>
      <c r="AG76" s="1171"/>
      <c r="AH76" s="104"/>
      <c r="AI76" s="1172"/>
      <c r="AJ76" s="1172"/>
      <c r="AK76" s="1172"/>
      <c r="AL76" s="1173"/>
      <c r="AM76" s="1174"/>
      <c r="AN76" s="1175"/>
      <c r="AO76" s="1176"/>
      <c r="AP76" s="1177"/>
      <c r="AQ76" s="1547"/>
      <c r="AR76" s="1177"/>
      <c r="AS76" s="1548"/>
      <c r="AT76" s="1549"/>
      <c r="AU76" s="1178"/>
      <c r="AV76" s="1179"/>
      <c r="AY76" s="3">
        <v>1</v>
      </c>
    </row>
    <row r="77" spans="2:51" ht="27" customHeight="1">
      <c r="B77" s="104"/>
      <c r="C77" s="1172"/>
      <c r="D77" s="1172"/>
      <c r="E77" s="1172"/>
      <c r="F77" s="1173"/>
      <c r="G77" s="1174"/>
      <c r="H77" s="1175"/>
      <c r="I77" s="1176"/>
      <c r="J77" s="1177"/>
      <c r="K77" s="1547"/>
      <c r="L77" s="1177"/>
      <c r="M77" s="1548"/>
      <c r="N77" s="1549"/>
      <c r="O77" s="1178"/>
      <c r="P77" s="1179"/>
      <c r="Q77" s="1171"/>
      <c r="R77" s="104"/>
      <c r="S77" s="1172"/>
      <c r="T77" s="1172"/>
      <c r="U77" s="1172"/>
      <c r="V77" s="1173"/>
      <c r="W77" s="1174"/>
      <c r="X77" s="1175"/>
      <c r="Y77" s="1176"/>
      <c r="Z77" s="1177"/>
      <c r="AA77" s="1547"/>
      <c r="AB77" s="1177"/>
      <c r="AC77" s="1548"/>
      <c r="AD77" s="1549"/>
      <c r="AE77" s="1178"/>
      <c r="AF77" s="1179"/>
      <c r="AG77" s="1171"/>
      <c r="AH77" s="104"/>
      <c r="AI77" s="1172"/>
      <c r="AJ77" s="1172"/>
      <c r="AK77" s="1172"/>
      <c r="AL77" s="1173"/>
      <c r="AM77" s="1174"/>
      <c r="AN77" s="1175"/>
      <c r="AO77" s="1176"/>
      <c r="AP77" s="1177"/>
      <c r="AQ77" s="1547"/>
      <c r="AR77" s="1177"/>
      <c r="AS77" s="1548"/>
      <c r="AT77" s="1549"/>
      <c r="AU77" s="1178"/>
      <c r="AV77" s="1179"/>
      <c r="AY77" s="3">
        <v>1</v>
      </c>
    </row>
    <row r="78" spans="2:51" ht="27" customHeight="1">
      <c r="B78" s="104"/>
      <c r="C78" s="1172"/>
      <c r="D78" s="1172"/>
      <c r="E78" s="1172"/>
      <c r="F78" s="1173"/>
      <c r="G78" s="1174"/>
      <c r="H78" s="1175"/>
      <c r="I78" s="1176"/>
      <c r="J78" s="1177"/>
      <c r="K78" s="1547"/>
      <c r="L78" s="1177"/>
      <c r="M78" s="1548"/>
      <c r="N78" s="1549"/>
      <c r="O78" s="1178"/>
      <c r="P78" s="1179"/>
      <c r="Q78" s="1171"/>
      <c r="R78" s="104"/>
      <c r="S78" s="1172"/>
      <c r="T78" s="1172"/>
      <c r="U78" s="1172"/>
      <c r="V78" s="1173"/>
      <c r="W78" s="1174"/>
      <c r="X78" s="1175"/>
      <c r="Y78" s="1176"/>
      <c r="Z78" s="1177"/>
      <c r="AA78" s="1547"/>
      <c r="AB78" s="1177"/>
      <c r="AC78" s="1548"/>
      <c r="AD78" s="1549"/>
      <c r="AE78" s="1178"/>
      <c r="AF78" s="1179"/>
      <c r="AG78" s="1171"/>
      <c r="AH78" s="104"/>
      <c r="AI78" s="1172"/>
      <c r="AJ78" s="1172"/>
      <c r="AK78" s="1172"/>
      <c r="AL78" s="1173"/>
      <c r="AM78" s="1174"/>
      <c r="AN78" s="1175"/>
      <c r="AO78" s="1176"/>
      <c r="AP78" s="1177"/>
      <c r="AQ78" s="1547"/>
      <c r="AR78" s="1177"/>
      <c r="AS78" s="1548"/>
      <c r="AT78" s="1549"/>
      <c r="AU78" s="1178"/>
      <c r="AV78" s="1179"/>
      <c r="AY78" s="3">
        <v>1</v>
      </c>
    </row>
    <row r="79" spans="2:51" ht="27" customHeight="1">
      <c r="B79" s="104"/>
      <c r="C79" s="1172"/>
      <c r="D79" s="1172"/>
      <c r="E79" s="1172"/>
      <c r="F79" s="1173"/>
      <c r="G79" s="1174"/>
      <c r="H79" s="1175"/>
      <c r="I79" s="1176"/>
      <c r="J79" s="1177"/>
      <c r="K79" s="1547"/>
      <c r="L79" s="1177"/>
      <c r="M79" s="1548"/>
      <c r="N79" s="1549"/>
      <c r="O79" s="1178"/>
      <c r="P79" s="1179"/>
      <c r="Q79" s="1171"/>
      <c r="R79" s="104"/>
      <c r="S79" s="1172"/>
      <c r="T79" s="1172"/>
      <c r="U79" s="1172"/>
      <c r="V79" s="1173"/>
      <c r="W79" s="1174"/>
      <c r="X79" s="1175"/>
      <c r="Y79" s="1176"/>
      <c r="Z79" s="1177"/>
      <c r="AA79" s="1547"/>
      <c r="AB79" s="1177"/>
      <c r="AC79" s="1548"/>
      <c r="AD79" s="1549"/>
      <c r="AE79" s="1178"/>
      <c r="AF79" s="1179"/>
      <c r="AG79" s="1171"/>
      <c r="AH79" s="104"/>
      <c r="AI79" s="1172"/>
      <c r="AJ79" s="1172"/>
      <c r="AK79" s="1172"/>
      <c r="AL79" s="1173"/>
      <c r="AM79" s="1174"/>
      <c r="AN79" s="1175"/>
      <c r="AO79" s="1176"/>
      <c r="AP79" s="1177"/>
      <c r="AQ79" s="1547"/>
      <c r="AR79" s="1177"/>
      <c r="AS79" s="1548"/>
      <c r="AT79" s="1549"/>
      <c r="AU79" s="1178"/>
      <c r="AV79" s="1179"/>
      <c r="AY79" s="3">
        <v>1</v>
      </c>
    </row>
    <row r="80" spans="2:51" ht="27" customHeight="1">
      <c r="B80" s="104"/>
      <c r="C80" s="1172"/>
      <c r="D80" s="1172"/>
      <c r="E80" s="1172"/>
      <c r="F80" s="1173"/>
      <c r="G80" s="1174"/>
      <c r="H80" s="1175"/>
      <c r="I80" s="1176"/>
      <c r="J80" s="1177"/>
      <c r="K80" s="1547"/>
      <c r="L80" s="1177"/>
      <c r="M80" s="1548"/>
      <c r="N80" s="1549"/>
      <c r="O80" s="1178"/>
      <c r="P80" s="1179"/>
      <c r="Q80" s="1171"/>
      <c r="R80" s="104"/>
      <c r="S80" s="1172"/>
      <c r="T80" s="1172"/>
      <c r="U80" s="1172"/>
      <c r="V80" s="1173"/>
      <c r="W80" s="1174"/>
      <c r="X80" s="1175"/>
      <c r="Y80" s="1176"/>
      <c r="Z80" s="1177"/>
      <c r="AA80" s="1547"/>
      <c r="AB80" s="1177"/>
      <c r="AC80" s="1548"/>
      <c r="AD80" s="1549"/>
      <c r="AE80" s="1178"/>
      <c r="AF80" s="1179"/>
      <c r="AG80" s="1171"/>
      <c r="AH80" s="104"/>
      <c r="AI80" s="1172"/>
      <c r="AJ80" s="1172"/>
      <c r="AK80" s="1172"/>
      <c r="AL80" s="1173"/>
      <c r="AM80" s="1174"/>
      <c r="AN80" s="1175"/>
      <c r="AO80" s="1176"/>
      <c r="AP80" s="1177"/>
      <c r="AQ80" s="1547"/>
      <c r="AR80" s="1177"/>
      <c r="AS80" s="1548"/>
      <c r="AT80" s="1549"/>
      <c r="AU80" s="1178"/>
      <c r="AV80" s="1179"/>
      <c r="AY80" s="3">
        <v>1</v>
      </c>
    </row>
    <row r="81" spans="2:51" ht="27" customHeight="1">
      <c r="B81" s="104"/>
      <c r="C81" s="1172"/>
      <c r="D81" s="1172"/>
      <c r="E81" s="1172"/>
      <c r="F81" s="1173"/>
      <c r="G81" s="1174"/>
      <c r="H81" s="1175"/>
      <c r="I81" s="1176"/>
      <c r="J81" s="1177"/>
      <c r="K81" s="1547"/>
      <c r="L81" s="1177"/>
      <c r="M81" s="1548"/>
      <c r="N81" s="1549"/>
      <c r="O81" s="1178"/>
      <c r="P81" s="1179"/>
      <c r="Q81" s="1171"/>
      <c r="R81" s="104"/>
      <c r="S81" s="1172"/>
      <c r="T81" s="1172"/>
      <c r="U81" s="1172"/>
      <c r="V81" s="1173"/>
      <c r="W81" s="1174"/>
      <c r="X81" s="1175"/>
      <c r="Y81" s="1176"/>
      <c r="Z81" s="1177"/>
      <c r="AA81" s="1547"/>
      <c r="AB81" s="1177"/>
      <c r="AC81" s="1548"/>
      <c r="AD81" s="1549"/>
      <c r="AE81" s="1178"/>
      <c r="AF81" s="1179"/>
      <c r="AG81" s="1171"/>
      <c r="AH81" s="104"/>
      <c r="AI81" s="1172"/>
      <c r="AJ81" s="1172"/>
      <c r="AK81" s="1172"/>
      <c r="AL81" s="1173"/>
      <c r="AM81" s="1174"/>
      <c r="AN81" s="1175"/>
      <c r="AO81" s="1176"/>
      <c r="AP81" s="1177"/>
      <c r="AQ81" s="1547"/>
      <c r="AR81" s="1177"/>
      <c r="AS81" s="1548"/>
      <c r="AT81" s="1549"/>
      <c r="AU81" s="1178"/>
      <c r="AV81" s="1179"/>
      <c r="AY81" s="3">
        <v>1</v>
      </c>
    </row>
    <row r="82" spans="2:51" ht="27" customHeight="1">
      <c r="B82" s="104"/>
      <c r="C82" s="1172"/>
      <c r="D82" s="1172"/>
      <c r="E82" s="1172"/>
      <c r="F82" s="1173"/>
      <c r="G82" s="1174"/>
      <c r="H82" s="1175"/>
      <c r="I82" s="1176"/>
      <c r="J82" s="1177"/>
      <c r="K82" s="1547"/>
      <c r="L82" s="1177"/>
      <c r="M82" s="1548"/>
      <c r="N82" s="1549"/>
      <c r="O82" s="1178"/>
      <c r="P82" s="1179"/>
      <c r="Q82" s="1171"/>
      <c r="R82" s="104"/>
      <c r="S82" s="1172"/>
      <c r="T82" s="1172"/>
      <c r="U82" s="1172"/>
      <c r="V82" s="1173"/>
      <c r="W82" s="1174"/>
      <c r="X82" s="1175"/>
      <c r="Y82" s="1176"/>
      <c r="Z82" s="1177"/>
      <c r="AA82" s="1547"/>
      <c r="AB82" s="1177"/>
      <c r="AC82" s="1548"/>
      <c r="AD82" s="1549"/>
      <c r="AE82" s="1178"/>
      <c r="AF82" s="1179"/>
      <c r="AG82" s="1171"/>
      <c r="AH82" s="104"/>
      <c r="AI82" s="1172"/>
      <c r="AJ82" s="1172"/>
      <c r="AK82" s="1172"/>
      <c r="AL82" s="1173"/>
      <c r="AM82" s="1174"/>
      <c r="AN82" s="1175"/>
      <c r="AO82" s="1176"/>
      <c r="AP82" s="1177"/>
      <c r="AQ82" s="1547"/>
      <c r="AR82" s="1177"/>
      <c r="AS82" s="1548"/>
      <c r="AT82" s="1549"/>
      <c r="AU82" s="1178"/>
      <c r="AV82" s="1179"/>
      <c r="AY82" s="3">
        <v>1</v>
      </c>
    </row>
    <row r="83" spans="2:51" ht="27" customHeight="1">
      <c r="B83" s="104"/>
      <c r="C83" s="1172"/>
      <c r="D83" s="1172"/>
      <c r="E83" s="1172"/>
      <c r="F83" s="1173"/>
      <c r="G83" s="1174"/>
      <c r="H83" s="1175"/>
      <c r="I83" s="1176"/>
      <c r="J83" s="1177"/>
      <c r="K83" s="1547"/>
      <c r="L83" s="1177"/>
      <c r="M83" s="1548"/>
      <c r="N83" s="1549"/>
      <c r="O83" s="1178"/>
      <c r="P83" s="1179"/>
      <c r="Q83" s="1171"/>
      <c r="R83" s="104"/>
      <c r="S83" s="1172"/>
      <c r="T83" s="1172"/>
      <c r="U83" s="1172"/>
      <c r="V83" s="1173"/>
      <c r="W83" s="1174"/>
      <c r="X83" s="1175"/>
      <c r="Y83" s="1176"/>
      <c r="Z83" s="1177"/>
      <c r="AA83" s="1547"/>
      <c r="AB83" s="1177"/>
      <c r="AC83" s="1548"/>
      <c r="AD83" s="1549"/>
      <c r="AE83" s="1178"/>
      <c r="AF83" s="1179"/>
      <c r="AG83" s="1171"/>
      <c r="AH83" s="104"/>
      <c r="AI83" s="1172"/>
      <c r="AJ83" s="1172"/>
      <c r="AK83" s="1172"/>
      <c r="AL83" s="1173"/>
      <c r="AM83" s="1174"/>
      <c r="AN83" s="1175"/>
      <c r="AO83" s="1176"/>
      <c r="AP83" s="1177"/>
      <c r="AQ83" s="1547"/>
      <c r="AR83" s="1177"/>
      <c r="AS83" s="1548"/>
      <c r="AT83" s="1549"/>
      <c r="AU83" s="1178"/>
      <c r="AV83" s="1179"/>
      <c r="AY83" s="3">
        <v>1</v>
      </c>
    </row>
    <row r="84" spans="2:51" ht="27" customHeight="1">
      <c r="B84" s="104"/>
      <c r="C84" s="1172"/>
      <c r="D84" s="1172"/>
      <c r="E84" s="1172"/>
      <c r="F84" s="1173"/>
      <c r="G84" s="1174"/>
      <c r="H84" s="1175"/>
      <c r="I84" s="1176"/>
      <c r="J84" s="1177"/>
      <c r="K84" s="1547"/>
      <c r="L84" s="1177"/>
      <c r="M84" s="1548"/>
      <c r="N84" s="1549"/>
      <c r="O84" s="1178"/>
      <c r="P84" s="1179"/>
      <c r="Q84" s="1171"/>
      <c r="R84" s="104"/>
      <c r="S84" s="1172"/>
      <c r="T84" s="1172"/>
      <c r="U84" s="1172"/>
      <c r="V84" s="1173"/>
      <c r="W84" s="1174"/>
      <c r="X84" s="1175"/>
      <c r="Y84" s="1176"/>
      <c r="Z84" s="1177"/>
      <c r="AA84" s="1547"/>
      <c r="AB84" s="1177"/>
      <c r="AC84" s="1548"/>
      <c r="AD84" s="1549"/>
      <c r="AE84" s="1178"/>
      <c r="AF84" s="1179"/>
      <c r="AG84" s="1171"/>
      <c r="AH84" s="104"/>
      <c r="AI84" s="1172"/>
      <c r="AJ84" s="1172"/>
      <c r="AK84" s="1172"/>
      <c r="AL84" s="1173"/>
      <c r="AM84" s="1174"/>
      <c r="AN84" s="1175"/>
      <c r="AO84" s="1176"/>
      <c r="AP84" s="1177"/>
      <c r="AQ84" s="1547"/>
      <c r="AR84" s="1177"/>
      <c r="AS84" s="1548"/>
      <c r="AT84" s="1549"/>
      <c r="AU84" s="1178"/>
      <c r="AV84" s="1179"/>
      <c r="AY84" s="3">
        <v>1</v>
      </c>
    </row>
    <row r="85" spans="2:51" ht="27" customHeight="1">
      <c r="B85" s="104"/>
      <c r="C85" s="1172"/>
      <c r="D85" s="1172"/>
      <c r="E85" s="1172"/>
      <c r="F85" s="1173"/>
      <c r="G85" s="1174"/>
      <c r="H85" s="1175"/>
      <c r="I85" s="1176"/>
      <c r="J85" s="1177"/>
      <c r="K85" s="1547"/>
      <c r="L85" s="1177"/>
      <c r="M85" s="1548"/>
      <c r="N85" s="1549"/>
      <c r="O85" s="1178"/>
      <c r="P85" s="1179"/>
      <c r="Q85" s="1171"/>
      <c r="R85" s="104"/>
      <c r="S85" s="1172"/>
      <c r="T85" s="1172"/>
      <c r="U85" s="1172"/>
      <c r="V85" s="1173"/>
      <c r="W85" s="1174"/>
      <c r="X85" s="1175"/>
      <c r="Y85" s="1176"/>
      <c r="Z85" s="1177"/>
      <c r="AA85" s="1547"/>
      <c r="AB85" s="1177"/>
      <c r="AC85" s="1548"/>
      <c r="AD85" s="1549"/>
      <c r="AE85" s="1178"/>
      <c r="AF85" s="1179"/>
      <c r="AG85" s="1171"/>
      <c r="AH85" s="104"/>
      <c r="AI85" s="1172"/>
      <c r="AJ85" s="1172"/>
      <c r="AK85" s="1172"/>
      <c r="AL85" s="1173"/>
      <c r="AM85" s="1174"/>
      <c r="AN85" s="1175"/>
      <c r="AO85" s="1176"/>
      <c r="AP85" s="1177"/>
      <c r="AQ85" s="1547"/>
      <c r="AR85" s="1177"/>
      <c r="AS85" s="1548"/>
      <c r="AT85" s="1549"/>
      <c r="AU85" s="1178"/>
      <c r="AV85" s="1179"/>
      <c r="AY85" s="3">
        <v>1</v>
      </c>
    </row>
    <row r="86" spans="2:51" ht="27" customHeight="1">
      <c r="B86" s="104"/>
      <c r="C86" s="1172"/>
      <c r="D86" s="1172"/>
      <c r="E86" s="1172"/>
      <c r="F86" s="1173"/>
      <c r="G86" s="1174"/>
      <c r="H86" s="1175"/>
      <c r="I86" s="1176"/>
      <c r="J86" s="1177"/>
      <c r="K86" s="1547"/>
      <c r="L86" s="1177"/>
      <c r="M86" s="1548"/>
      <c r="N86" s="1549"/>
      <c r="O86" s="1178"/>
      <c r="P86" s="1179"/>
      <c r="Q86" s="1171"/>
      <c r="R86" s="104"/>
      <c r="S86" s="1172"/>
      <c r="T86" s="1172"/>
      <c r="U86" s="1172"/>
      <c r="V86" s="1173"/>
      <c r="W86" s="1174"/>
      <c r="X86" s="1175"/>
      <c r="Y86" s="1176"/>
      <c r="Z86" s="1177"/>
      <c r="AA86" s="1547"/>
      <c r="AB86" s="1177"/>
      <c r="AC86" s="1548"/>
      <c r="AD86" s="1549"/>
      <c r="AE86" s="1178"/>
      <c r="AF86" s="1179"/>
      <c r="AG86" s="1171"/>
      <c r="AH86" s="104"/>
      <c r="AI86" s="1172"/>
      <c r="AJ86" s="1172"/>
      <c r="AK86" s="1172"/>
      <c r="AL86" s="1173"/>
      <c r="AM86" s="1174"/>
      <c r="AN86" s="1175"/>
      <c r="AO86" s="1176"/>
      <c r="AP86" s="1177"/>
      <c r="AQ86" s="1547"/>
      <c r="AR86" s="1177"/>
      <c r="AS86" s="1548"/>
      <c r="AT86" s="1549"/>
      <c r="AU86" s="1178"/>
      <c r="AV86" s="1179"/>
      <c r="AY86" s="3">
        <v>1</v>
      </c>
    </row>
    <row r="87" spans="2:51" ht="27" customHeight="1">
      <c r="B87" s="104"/>
      <c r="C87" s="1172"/>
      <c r="D87" s="1172"/>
      <c r="E87" s="1172"/>
      <c r="F87" s="1173"/>
      <c r="G87" s="1174"/>
      <c r="H87" s="1175"/>
      <c r="I87" s="1176"/>
      <c r="J87" s="1177"/>
      <c r="K87" s="1547"/>
      <c r="L87" s="1177"/>
      <c r="M87" s="1548"/>
      <c r="N87" s="1549"/>
      <c r="O87" s="1178"/>
      <c r="P87" s="1179"/>
      <c r="Q87" s="1171"/>
      <c r="R87" s="104"/>
      <c r="S87" s="1172"/>
      <c r="T87" s="1172"/>
      <c r="U87" s="1172"/>
      <c r="V87" s="1173"/>
      <c r="W87" s="1174"/>
      <c r="X87" s="1175"/>
      <c r="Y87" s="1176"/>
      <c r="Z87" s="1177"/>
      <c r="AA87" s="1547"/>
      <c r="AB87" s="1177"/>
      <c r="AC87" s="1548"/>
      <c r="AD87" s="1549"/>
      <c r="AE87" s="1178"/>
      <c r="AF87" s="1179"/>
      <c r="AG87" s="1171"/>
      <c r="AH87" s="104"/>
      <c r="AI87" s="1172"/>
      <c r="AJ87" s="1172"/>
      <c r="AK87" s="1172"/>
      <c r="AL87" s="1173"/>
      <c r="AM87" s="1174"/>
      <c r="AN87" s="1175"/>
      <c r="AO87" s="1176"/>
      <c r="AP87" s="1177"/>
      <c r="AQ87" s="1547"/>
      <c r="AR87" s="1177"/>
      <c r="AS87" s="1548"/>
      <c r="AT87" s="1549"/>
      <c r="AU87" s="1178"/>
      <c r="AV87" s="1179"/>
      <c r="AY87" s="3">
        <v>1</v>
      </c>
    </row>
    <row r="88" spans="2:51" ht="27" customHeight="1">
      <c r="B88" s="104"/>
      <c r="C88" s="1172"/>
      <c r="D88" s="1172"/>
      <c r="E88" s="1172"/>
      <c r="F88" s="1173"/>
      <c r="G88" s="1174"/>
      <c r="H88" s="1175"/>
      <c r="I88" s="1176"/>
      <c r="J88" s="1177"/>
      <c r="K88" s="1547"/>
      <c r="L88" s="1177"/>
      <c r="M88" s="1548"/>
      <c r="N88" s="1549"/>
      <c r="O88" s="1178"/>
      <c r="P88" s="1179"/>
      <c r="Q88" s="1171"/>
      <c r="R88" s="104"/>
      <c r="S88" s="1172"/>
      <c r="T88" s="1172"/>
      <c r="U88" s="1172"/>
      <c r="V88" s="1173"/>
      <c r="W88" s="1174"/>
      <c r="X88" s="1175"/>
      <c r="Y88" s="1176"/>
      <c r="Z88" s="1177"/>
      <c r="AA88" s="1547"/>
      <c r="AB88" s="1177"/>
      <c r="AC88" s="1548"/>
      <c r="AD88" s="1549"/>
      <c r="AE88" s="1178"/>
      <c r="AF88" s="1179"/>
      <c r="AG88" s="1171"/>
      <c r="AH88" s="104"/>
      <c r="AI88" s="1172"/>
      <c r="AJ88" s="1172"/>
      <c r="AK88" s="1172"/>
      <c r="AL88" s="1173"/>
      <c r="AM88" s="1174"/>
      <c r="AN88" s="1175"/>
      <c r="AO88" s="1176"/>
      <c r="AP88" s="1177"/>
      <c r="AQ88" s="1547"/>
      <c r="AR88" s="1177"/>
      <c r="AS88" s="1548"/>
      <c r="AT88" s="1549"/>
      <c r="AU88" s="1178"/>
      <c r="AV88" s="1179"/>
      <c r="AY88" s="3">
        <v>1</v>
      </c>
    </row>
    <row r="89" spans="2:51" ht="27" customHeight="1">
      <c r="B89" s="104"/>
      <c r="C89" s="1172"/>
      <c r="D89" s="1172"/>
      <c r="E89" s="1172"/>
      <c r="F89" s="1173"/>
      <c r="G89" s="1174"/>
      <c r="H89" s="1175"/>
      <c r="I89" s="1176"/>
      <c r="J89" s="1177"/>
      <c r="K89" s="1547"/>
      <c r="L89" s="1177"/>
      <c r="M89" s="1548"/>
      <c r="N89" s="1549"/>
      <c r="O89" s="1178"/>
      <c r="P89" s="1179"/>
      <c r="Q89" s="1171"/>
      <c r="R89" s="104"/>
      <c r="S89" s="1172"/>
      <c r="T89" s="1172"/>
      <c r="U89" s="1172"/>
      <c r="V89" s="1173"/>
      <c r="W89" s="1174"/>
      <c r="X89" s="1175"/>
      <c r="Y89" s="1176"/>
      <c r="Z89" s="1177"/>
      <c r="AA89" s="1547"/>
      <c r="AB89" s="1177"/>
      <c r="AC89" s="1548"/>
      <c r="AD89" s="1549"/>
      <c r="AE89" s="1178"/>
      <c r="AF89" s="1179"/>
      <c r="AG89" s="1171"/>
      <c r="AH89" s="104"/>
      <c r="AI89" s="1172"/>
      <c r="AJ89" s="1172"/>
      <c r="AK89" s="1172"/>
      <c r="AL89" s="1173"/>
      <c r="AM89" s="1174"/>
      <c r="AN89" s="1175"/>
      <c r="AO89" s="1176"/>
      <c r="AP89" s="1177"/>
      <c r="AQ89" s="1547"/>
      <c r="AR89" s="1177"/>
      <c r="AS89" s="1548"/>
      <c r="AT89" s="1549"/>
      <c r="AU89" s="1178"/>
      <c r="AV89" s="1179"/>
      <c r="AY89" s="3">
        <v>1</v>
      </c>
    </row>
    <row r="90" spans="2:51" ht="27" customHeight="1">
      <c r="B90" s="104"/>
      <c r="C90" s="1172"/>
      <c r="D90" s="1172"/>
      <c r="E90" s="1172"/>
      <c r="F90" s="1173"/>
      <c r="G90" s="1174"/>
      <c r="H90" s="1175"/>
      <c r="I90" s="1176"/>
      <c r="J90" s="1177"/>
      <c r="K90" s="1547"/>
      <c r="L90" s="1177"/>
      <c r="M90" s="1548"/>
      <c r="N90" s="1549"/>
      <c r="O90" s="1178"/>
      <c r="P90" s="1179"/>
      <c r="Q90" s="1171"/>
      <c r="R90" s="104"/>
      <c r="S90" s="1172"/>
      <c r="T90" s="1172"/>
      <c r="U90" s="1172"/>
      <c r="V90" s="1173"/>
      <c r="W90" s="1174"/>
      <c r="X90" s="1175"/>
      <c r="Y90" s="1176"/>
      <c r="Z90" s="1177"/>
      <c r="AA90" s="1547"/>
      <c r="AB90" s="1177"/>
      <c r="AC90" s="1548"/>
      <c r="AD90" s="1549"/>
      <c r="AE90" s="1178"/>
      <c r="AF90" s="1179"/>
      <c r="AG90" s="1171"/>
      <c r="AH90" s="104"/>
      <c r="AI90" s="1172"/>
      <c r="AJ90" s="1172"/>
      <c r="AK90" s="1172"/>
      <c r="AL90" s="1173"/>
      <c r="AM90" s="1174"/>
      <c r="AN90" s="1175"/>
      <c r="AO90" s="1176"/>
      <c r="AP90" s="1177"/>
      <c r="AQ90" s="1547"/>
      <c r="AR90" s="1177"/>
      <c r="AS90" s="1548"/>
      <c r="AT90" s="1549"/>
      <c r="AU90" s="1178"/>
      <c r="AV90" s="1179"/>
      <c r="AY90" s="3">
        <v>1</v>
      </c>
    </row>
    <row r="91" spans="2:51" ht="27" customHeight="1">
      <c r="B91" s="104"/>
      <c r="C91" s="1172"/>
      <c r="D91" s="1172"/>
      <c r="E91" s="1172"/>
      <c r="F91" s="1173"/>
      <c r="G91" s="1174"/>
      <c r="H91" s="1175"/>
      <c r="I91" s="1176"/>
      <c r="J91" s="1177"/>
      <c r="K91" s="1547"/>
      <c r="L91" s="1177"/>
      <c r="M91" s="1548"/>
      <c r="N91" s="1549"/>
      <c r="O91" s="1178"/>
      <c r="P91" s="1179"/>
      <c r="Q91" s="1171"/>
      <c r="R91" s="104"/>
      <c r="S91" s="1172"/>
      <c r="T91" s="1172"/>
      <c r="U91" s="1172"/>
      <c r="V91" s="1173"/>
      <c r="W91" s="1174"/>
      <c r="X91" s="1175"/>
      <c r="Y91" s="1176"/>
      <c r="Z91" s="1177"/>
      <c r="AA91" s="1547"/>
      <c r="AB91" s="1177"/>
      <c r="AC91" s="1548"/>
      <c r="AD91" s="1549"/>
      <c r="AE91" s="1178"/>
      <c r="AF91" s="1179"/>
      <c r="AG91" s="1171"/>
      <c r="AH91" s="104"/>
      <c r="AI91" s="1172"/>
      <c r="AJ91" s="1172"/>
      <c r="AK91" s="1172"/>
      <c r="AL91" s="1173"/>
      <c r="AM91" s="1174"/>
      <c r="AN91" s="1175"/>
      <c r="AO91" s="1176"/>
      <c r="AP91" s="1177"/>
      <c r="AQ91" s="1547"/>
      <c r="AR91" s="1177"/>
      <c r="AS91" s="1548"/>
      <c r="AT91" s="1549"/>
      <c r="AU91" s="1178"/>
      <c r="AV91" s="1179"/>
      <c r="AY91" s="3">
        <v>1</v>
      </c>
    </row>
    <row r="92" spans="2:51" ht="27" customHeight="1">
      <c r="B92" s="104"/>
      <c r="C92" s="1172"/>
      <c r="D92" s="1172"/>
      <c r="E92" s="1172"/>
      <c r="F92" s="1173"/>
      <c r="G92" s="1174"/>
      <c r="H92" s="1175"/>
      <c r="I92" s="1176"/>
      <c r="J92" s="1177"/>
      <c r="K92" s="1547"/>
      <c r="L92" s="1177"/>
      <c r="M92" s="1548"/>
      <c r="N92" s="1549"/>
      <c r="O92" s="1178"/>
      <c r="P92" s="1179"/>
      <c r="Q92" s="1171"/>
      <c r="R92" s="104"/>
      <c r="S92" s="1172"/>
      <c r="T92" s="1172"/>
      <c r="U92" s="1172"/>
      <c r="V92" s="1173"/>
      <c r="W92" s="1174"/>
      <c r="X92" s="1175"/>
      <c r="Y92" s="1176"/>
      <c r="Z92" s="1177"/>
      <c r="AA92" s="1547"/>
      <c r="AB92" s="1177"/>
      <c r="AC92" s="1548"/>
      <c r="AD92" s="1549"/>
      <c r="AE92" s="1178"/>
      <c r="AF92" s="1179"/>
      <c r="AG92" s="1171"/>
      <c r="AH92" s="104"/>
      <c r="AI92" s="1172"/>
      <c r="AJ92" s="1172"/>
      <c r="AK92" s="1172"/>
      <c r="AL92" s="1173"/>
      <c r="AM92" s="1174"/>
      <c r="AN92" s="1175"/>
      <c r="AO92" s="1176"/>
      <c r="AP92" s="1177"/>
      <c r="AQ92" s="1547"/>
      <c r="AR92" s="1177"/>
      <c r="AS92" s="1548"/>
      <c r="AT92" s="1549"/>
      <c r="AU92" s="1178"/>
      <c r="AV92" s="1179"/>
      <c r="AY92" s="3">
        <v>1</v>
      </c>
    </row>
    <row r="93" spans="2:51" ht="27" customHeight="1">
      <c r="B93" s="104"/>
      <c r="C93" s="1172"/>
      <c r="D93" s="1172"/>
      <c r="E93" s="1172"/>
      <c r="F93" s="1173"/>
      <c r="G93" s="1174"/>
      <c r="H93" s="1175"/>
      <c r="I93" s="1176"/>
      <c r="J93" s="1177"/>
      <c r="K93" s="1547"/>
      <c r="L93" s="1177"/>
      <c r="M93" s="1548"/>
      <c r="N93" s="1549"/>
      <c r="O93" s="1178"/>
      <c r="P93" s="1179"/>
      <c r="Q93" s="1171"/>
      <c r="R93" s="104"/>
      <c r="S93" s="1172"/>
      <c r="T93" s="1172"/>
      <c r="U93" s="1172"/>
      <c r="V93" s="1173"/>
      <c r="W93" s="1174"/>
      <c r="X93" s="1175"/>
      <c r="Y93" s="1176"/>
      <c r="Z93" s="1177"/>
      <c r="AA93" s="1547"/>
      <c r="AB93" s="1177"/>
      <c r="AC93" s="1548"/>
      <c r="AD93" s="1549"/>
      <c r="AE93" s="1178"/>
      <c r="AF93" s="1179"/>
      <c r="AG93" s="1171"/>
      <c r="AH93" s="104"/>
      <c r="AI93" s="1172"/>
      <c r="AJ93" s="1172"/>
      <c r="AK93" s="1172"/>
      <c r="AL93" s="1173"/>
      <c r="AM93" s="1174"/>
      <c r="AN93" s="1175"/>
      <c r="AO93" s="1176"/>
      <c r="AP93" s="1177"/>
      <c r="AQ93" s="1547"/>
      <c r="AR93" s="1177"/>
      <c r="AS93" s="1548"/>
      <c r="AT93" s="1549"/>
      <c r="AU93" s="1178"/>
      <c r="AV93" s="1179"/>
      <c r="AY93" s="3">
        <v>1</v>
      </c>
    </row>
    <row r="94" spans="2:51" ht="27" customHeight="1">
      <c r="B94" s="104"/>
      <c r="C94" s="1172"/>
      <c r="D94" s="1172"/>
      <c r="E94" s="1172"/>
      <c r="F94" s="1173"/>
      <c r="G94" s="1174"/>
      <c r="H94" s="1175"/>
      <c r="I94" s="1176"/>
      <c r="J94" s="1177"/>
      <c r="K94" s="1547"/>
      <c r="L94" s="1177"/>
      <c r="M94" s="1548"/>
      <c r="N94" s="1549"/>
      <c r="O94" s="1178"/>
      <c r="P94" s="1179"/>
      <c r="Q94" s="1171"/>
      <c r="R94" s="104"/>
      <c r="S94" s="1172"/>
      <c r="T94" s="1172"/>
      <c r="U94" s="1172"/>
      <c r="V94" s="1173"/>
      <c r="W94" s="1174"/>
      <c r="X94" s="1175"/>
      <c r="Y94" s="1176"/>
      <c r="Z94" s="1177"/>
      <c r="AA94" s="1547"/>
      <c r="AB94" s="1177"/>
      <c r="AC94" s="1548"/>
      <c r="AD94" s="1549"/>
      <c r="AE94" s="1178"/>
      <c r="AF94" s="1179"/>
      <c r="AG94" s="1171"/>
      <c r="AH94" s="104"/>
      <c r="AI94" s="1172"/>
      <c r="AJ94" s="1172"/>
      <c r="AK94" s="1172"/>
      <c r="AL94" s="1173"/>
      <c r="AM94" s="1174"/>
      <c r="AN94" s="1175"/>
      <c r="AO94" s="1176"/>
      <c r="AP94" s="1177"/>
      <c r="AQ94" s="1547"/>
      <c r="AR94" s="1177"/>
      <c r="AS94" s="1548"/>
      <c r="AT94" s="1549"/>
      <c r="AU94" s="1178"/>
      <c r="AV94" s="1179"/>
      <c r="AY94" s="3">
        <v>1</v>
      </c>
    </row>
    <row r="95" spans="2:51" ht="27" customHeight="1">
      <c r="B95" s="104"/>
      <c r="C95" s="1172"/>
      <c r="D95" s="1172"/>
      <c r="E95" s="1172"/>
      <c r="F95" s="1173"/>
      <c r="G95" s="1174"/>
      <c r="H95" s="1175"/>
      <c r="I95" s="1176"/>
      <c r="J95" s="1177"/>
      <c r="K95" s="1547"/>
      <c r="L95" s="1177"/>
      <c r="M95" s="1548"/>
      <c r="N95" s="1549"/>
      <c r="O95" s="1178"/>
      <c r="P95" s="1179"/>
      <c r="Q95" s="1171"/>
      <c r="R95" s="104"/>
      <c r="S95" s="1172"/>
      <c r="T95" s="1172"/>
      <c r="U95" s="1172"/>
      <c r="V95" s="1173"/>
      <c r="W95" s="1174"/>
      <c r="X95" s="1175"/>
      <c r="Y95" s="1176"/>
      <c r="Z95" s="1177"/>
      <c r="AA95" s="1547"/>
      <c r="AB95" s="1177"/>
      <c r="AC95" s="1548"/>
      <c r="AD95" s="1549"/>
      <c r="AE95" s="1178"/>
      <c r="AF95" s="1179"/>
      <c r="AG95" s="1171"/>
      <c r="AH95" s="104"/>
      <c r="AI95" s="1172"/>
      <c r="AJ95" s="1172"/>
      <c r="AK95" s="1172"/>
      <c r="AL95" s="1173"/>
      <c r="AM95" s="1174"/>
      <c r="AN95" s="1175"/>
      <c r="AO95" s="1176"/>
      <c r="AP95" s="1177"/>
      <c r="AQ95" s="1547"/>
      <c r="AR95" s="1177"/>
      <c r="AS95" s="1548"/>
      <c r="AT95" s="1549"/>
      <c r="AU95" s="1178"/>
      <c r="AV95" s="1179"/>
      <c r="AY95" s="3">
        <v>1</v>
      </c>
    </row>
    <row r="96" spans="2:51" ht="27" customHeight="1">
      <c r="B96" s="104"/>
      <c r="C96" s="1172"/>
      <c r="D96" s="1172"/>
      <c r="E96" s="1172"/>
      <c r="F96" s="1173"/>
      <c r="G96" s="1174"/>
      <c r="H96" s="1175"/>
      <c r="I96" s="1176"/>
      <c r="J96" s="1177"/>
      <c r="K96" s="1547"/>
      <c r="L96" s="1177"/>
      <c r="M96" s="1548"/>
      <c r="N96" s="1549"/>
      <c r="O96" s="1178"/>
      <c r="P96" s="1179"/>
      <c r="Q96" s="1171"/>
      <c r="R96" s="104"/>
      <c r="S96" s="1172"/>
      <c r="T96" s="1172"/>
      <c r="U96" s="1172"/>
      <c r="V96" s="1173"/>
      <c r="W96" s="1174"/>
      <c r="X96" s="1175"/>
      <c r="Y96" s="1176"/>
      <c r="Z96" s="1177"/>
      <c r="AA96" s="1547"/>
      <c r="AB96" s="1177"/>
      <c r="AC96" s="1548"/>
      <c r="AD96" s="1549"/>
      <c r="AE96" s="1178"/>
      <c r="AF96" s="1179"/>
      <c r="AG96" s="1171"/>
      <c r="AH96" s="104"/>
      <c r="AI96" s="1172"/>
      <c r="AJ96" s="1172"/>
      <c r="AK96" s="1172"/>
      <c r="AL96" s="1173"/>
      <c r="AM96" s="1174"/>
      <c r="AN96" s="1175"/>
      <c r="AO96" s="1176"/>
      <c r="AP96" s="1177"/>
      <c r="AQ96" s="1547"/>
      <c r="AR96" s="1177"/>
      <c r="AS96" s="1548"/>
      <c r="AT96" s="1549"/>
      <c r="AU96" s="1178"/>
      <c r="AV96" s="1179"/>
      <c r="AY96" s="3">
        <v>1</v>
      </c>
    </row>
    <row r="97" spans="2:51" ht="27" customHeight="1">
      <c r="B97" s="104"/>
      <c r="C97" s="1172"/>
      <c r="D97" s="1172"/>
      <c r="E97" s="1172"/>
      <c r="F97" s="1173"/>
      <c r="G97" s="1174"/>
      <c r="H97" s="1175"/>
      <c r="I97" s="1176"/>
      <c r="J97" s="1177"/>
      <c r="K97" s="1547"/>
      <c r="L97" s="1177"/>
      <c r="M97" s="1548"/>
      <c r="N97" s="1549"/>
      <c r="O97" s="1178"/>
      <c r="P97" s="1179"/>
      <c r="Q97" s="1171"/>
      <c r="R97" s="104"/>
      <c r="S97" s="1172"/>
      <c r="T97" s="1172"/>
      <c r="U97" s="1172"/>
      <c r="V97" s="1173"/>
      <c r="W97" s="1174"/>
      <c r="X97" s="1175"/>
      <c r="Y97" s="1176"/>
      <c r="Z97" s="1177"/>
      <c r="AA97" s="1547"/>
      <c r="AB97" s="1177"/>
      <c r="AC97" s="1548"/>
      <c r="AD97" s="1549"/>
      <c r="AE97" s="1178"/>
      <c r="AF97" s="1179"/>
      <c r="AG97" s="1171"/>
      <c r="AH97" s="104"/>
      <c r="AI97" s="1172"/>
      <c r="AJ97" s="1172"/>
      <c r="AK97" s="1172"/>
      <c r="AL97" s="1173"/>
      <c r="AM97" s="1174"/>
      <c r="AN97" s="1175"/>
      <c r="AO97" s="1176"/>
      <c r="AP97" s="1177"/>
      <c r="AQ97" s="1547"/>
      <c r="AR97" s="1177"/>
      <c r="AS97" s="1548"/>
      <c r="AT97" s="1549"/>
      <c r="AU97" s="1178"/>
      <c r="AV97" s="1179"/>
      <c r="AY97" s="3">
        <v>1</v>
      </c>
    </row>
    <row r="98" spans="2:51" ht="27" customHeight="1">
      <c r="B98" s="104"/>
      <c r="C98" s="1172"/>
      <c r="D98" s="1172"/>
      <c r="E98" s="1172"/>
      <c r="F98" s="1173"/>
      <c r="G98" s="1174"/>
      <c r="H98" s="1175"/>
      <c r="I98" s="1176"/>
      <c r="J98" s="1177"/>
      <c r="K98" s="1547"/>
      <c r="L98" s="1177"/>
      <c r="M98" s="1548"/>
      <c r="N98" s="1549"/>
      <c r="O98" s="1178"/>
      <c r="P98" s="1179"/>
      <c r="Q98" s="1171"/>
      <c r="R98" s="104"/>
      <c r="S98" s="1172"/>
      <c r="T98" s="1172"/>
      <c r="U98" s="1172"/>
      <c r="V98" s="1173"/>
      <c r="W98" s="1174"/>
      <c r="X98" s="1175"/>
      <c r="Y98" s="1176"/>
      <c r="Z98" s="1177"/>
      <c r="AA98" s="1547"/>
      <c r="AB98" s="1177"/>
      <c r="AC98" s="1548"/>
      <c r="AD98" s="1549"/>
      <c r="AE98" s="1178"/>
      <c r="AF98" s="1179"/>
      <c r="AG98" s="1171"/>
      <c r="AH98" s="104"/>
      <c r="AI98" s="1172"/>
      <c r="AJ98" s="1172"/>
      <c r="AK98" s="1172"/>
      <c r="AL98" s="1173"/>
      <c r="AM98" s="1174"/>
      <c r="AN98" s="1175"/>
      <c r="AO98" s="1176"/>
      <c r="AP98" s="1177"/>
      <c r="AQ98" s="1547"/>
      <c r="AR98" s="1177"/>
      <c r="AS98" s="1548"/>
      <c r="AT98" s="1549"/>
      <c r="AU98" s="1178"/>
      <c r="AV98" s="1179"/>
      <c r="AY98" s="3">
        <v>1</v>
      </c>
    </row>
    <row r="99" spans="2:51" ht="27" customHeight="1">
      <c r="B99" s="104"/>
      <c r="C99" s="1172"/>
      <c r="D99" s="1172"/>
      <c r="E99" s="1172"/>
      <c r="F99" s="1173"/>
      <c r="G99" s="1174"/>
      <c r="H99" s="1175"/>
      <c r="I99" s="1176"/>
      <c r="J99" s="1177"/>
      <c r="K99" s="1547"/>
      <c r="L99" s="1177"/>
      <c r="M99" s="1548"/>
      <c r="N99" s="1549"/>
      <c r="O99" s="1178"/>
      <c r="P99" s="1179"/>
      <c r="Q99" s="1171"/>
      <c r="R99" s="104"/>
      <c r="S99" s="1172"/>
      <c r="T99" s="1172"/>
      <c r="U99" s="1172"/>
      <c r="V99" s="1173"/>
      <c r="W99" s="1174"/>
      <c r="X99" s="1175"/>
      <c r="Y99" s="1176"/>
      <c r="Z99" s="1177"/>
      <c r="AA99" s="1547"/>
      <c r="AB99" s="1177"/>
      <c r="AC99" s="1548"/>
      <c r="AD99" s="1549"/>
      <c r="AE99" s="1178"/>
      <c r="AF99" s="1179"/>
      <c r="AG99" s="1171"/>
      <c r="AH99" s="104"/>
      <c r="AI99" s="1172"/>
      <c r="AJ99" s="1172"/>
      <c r="AK99" s="1172"/>
      <c r="AL99" s="1173"/>
      <c r="AM99" s="1174"/>
      <c r="AN99" s="1175"/>
      <c r="AO99" s="1176"/>
      <c r="AP99" s="1177"/>
      <c r="AQ99" s="1547"/>
      <c r="AR99" s="1177"/>
      <c r="AS99" s="1548"/>
      <c r="AT99" s="1549"/>
      <c r="AU99" s="1178"/>
      <c r="AV99" s="1179"/>
      <c r="AY99" s="3">
        <v>1</v>
      </c>
    </row>
    <row r="100" spans="2:51" ht="27" customHeight="1">
      <c r="B100" s="104"/>
      <c r="C100" s="1172"/>
      <c r="D100" s="1172"/>
      <c r="E100" s="1172"/>
      <c r="F100" s="1173"/>
      <c r="G100" s="1174"/>
      <c r="H100" s="1175"/>
      <c r="I100" s="1176"/>
      <c r="J100" s="1177"/>
      <c r="K100" s="1547"/>
      <c r="L100" s="1177"/>
      <c r="M100" s="1548"/>
      <c r="N100" s="1549"/>
      <c r="O100" s="1178"/>
      <c r="P100" s="1179"/>
      <c r="Q100" s="1171"/>
      <c r="R100" s="104"/>
      <c r="S100" s="1172"/>
      <c r="T100" s="1172"/>
      <c r="U100" s="1172"/>
      <c r="V100" s="1173"/>
      <c r="W100" s="1174"/>
      <c r="X100" s="1175"/>
      <c r="Y100" s="1176"/>
      <c r="Z100" s="1177"/>
      <c r="AA100" s="1547"/>
      <c r="AB100" s="1177"/>
      <c r="AC100" s="1548"/>
      <c r="AD100" s="1549"/>
      <c r="AE100" s="1178"/>
      <c r="AF100" s="1179"/>
      <c r="AG100" s="1171"/>
      <c r="AH100" s="104"/>
      <c r="AI100" s="1172"/>
      <c r="AJ100" s="1172"/>
      <c r="AK100" s="1172"/>
      <c r="AL100" s="1173"/>
      <c r="AM100" s="1174"/>
      <c r="AN100" s="1175"/>
      <c r="AO100" s="1176"/>
      <c r="AP100" s="1177"/>
      <c r="AQ100" s="1547"/>
      <c r="AR100" s="1177"/>
      <c r="AS100" s="1548"/>
      <c r="AT100" s="1549"/>
      <c r="AU100" s="1178"/>
      <c r="AV100" s="1179"/>
      <c r="AY100" s="3">
        <v>1</v>
      </c>
    </row>
    <row r="101" spans="2:51" ht="27" customHeight="1">
      <c r="B101" s="104"/>
      <c r="C101" s="1172"/>
      <c r="D101" s="1172"/>
      <c r="E101" s="1172"/>
      <c r="F101" s="1173"/>
      <c r="G101" s="1174"/>
      <c r="H101" s="1175"/>
      <c r="I101" s="1176"/>
      <c r="J101" s="1177"/>
      <c r="K101" s="1547"/>
      <c r="L101" s="1177"/>
      <c r="M101" s="1548"/>
      <c r="N101" s="1549"/>
      <c r="O101" s="1178"/>
      <c r="P101" s="1179"/>
      <c r="Q101" s="1171"/>
      <c r="R101" s="104"/>
      <c r="S101" s="1172"/>
      <c r="T101" s="1172"/>
      <c r="U101" s="1172"/>
      <c r="V101" s="1173"/>
      <c r="W101" s="1174"/>
      <c r="X101" s="1175"/>
      <c r="Y101" s="1176"/>
      <c r="Z101" s="1177"/>
      <c r="AA101" s="1547"/>
      <c r="AB101" s="1177"/>
      <c r="AC101" s="1548"/>
      <c r="AD101" s="1549"/>
      <c r="AE101" s="1178"/>
      <c r="AF101" s="1179"/>
      <c r="AG101" s="1171"/>
      <c r="AH101" s="104"/>
      <c r="AI101" s="1172"/>
      <c r="AJ101" s="1172"/>
      <c r="AK101" s="1172"/>
      <c r="AL101" s="1173"/>
      <c r="AM101" s="1174"/>
      <c r="AN101" s="1175"/>
      <c r="AO101" s="1176"/>
      <c r="AP101" s="1177"/>
      <c r="AQ101" s="1547"/>
      <c r="AR101" s="1177"/>
      <c r="AS101" s="1548"/>
      <c r="AT101" s="1549"/>
      <c r="AU101" s="1178"/>
      <c r="AV101" s="1179"/>
      <c r="AY101" s="3">
        <v>1</v>
      </c>
    </row>
    <row r="102" spans="2:51" ht="27" customHeight="1">
      <c r="B102" s="104"/>
      <c r="C102" s="1172"/>
      <c r="D102" s="1172"/>
      <c r="E102" s="1172"/>
      <c r="F102" s="1173"/>
      <c r="G102" s="1174"/>
      <c r="H102" s="1175"/>
      <c r="I102" s="1176"/>
      <c r="J102" s="1177"/>
      <c r="K102" s="1547"/>
      <c r="L102" s="1177"/>
      <c r="M102" s="1548"/>
      <c r="N102" s="1549"/>
      <c r="O102" s="1178"/>
      <c r="P102" s="1179"/>
      <c r="Q102" s="1171"/>
      <c r="R102" s="104"/>
      <c r="S102" s="1172"/>
      <c r="T102" s="1172"/>
      <c r="U102" s="1172"/>
      <c r="V102" s="1173"/>
      <c r="W102" s="1174"/>
      <c r="X102" s="1175"/>
      <c r="Y102" s="1176"/>
      <c r="Z102" s="1177"/>
      <c r="AA102" s="1547"/>
      <c r="AB102" s="1177"/>
      <c r="AC102" s="1548"/>
      <c r="AD102" s="1549"/>
      <c r="AE102" s="1178"/>
      <c r="AF102" s="1179"/>
      <c r="AG102" s="1171"/>
      <c r="AH102" s="104"/>
      <c r="AI102" s="1172"/>
      <c r="AJ102" s="1172"/>
      <c r="AK102" s="1172"/>
      <c r="AL102" s="1173"/>
      <c r="AM102" s="1174"/>
      <c r="AN102" s="1175"/>
      <c r="AO102" s="1176"/>
      <c r="AP102" s="1177"/>
      <c r="AQ102" s="1547"/>
      <c r="AR102" s="1177"/>
      <c r="AS102" s="1548"/>
      <c r="AT102" s="1549"/>
      <c r="AU102" s="1178"/>
      <c r="AV102" s="1179"/>
      <c r="AY102" s="3">
        <v>1</v>
      </c>
    </row>
    <row r="103" spans="2:51" ht="27" customHeight="1">
      <c r="B103" s="104"/>
      <c r="C103" s="1172"/>
      <c r="D103" s="1172"/>
      <c r="E103" s="1172"/>
      <c r="F103" s="1173"/>
      <c r="G103" s="1174"/>
      <c r="H103" s="1175"/>
      <c r="I103" s="1176"/>
      <c r="J103" s="1177"/>
      <c r="K103" s="1547"/>
      <c r="L103" s="1177"/>
      <c r="M103" s="1548"/>
      <c r="N103" s="1549"/>
      <c r="O103" s="1178"/>
      <c r="P103" s="1179"/>
      <c r="Q103" s="1171"/>
      <c r="R103" s="104"/>
      <c r="S103" s="1172"/>
      <c r="T103" s="1172"/>
      <c r="U103" s="1172"/>
      <c r="V103" s="1173"/>
      <c r="W103" s="1174"/>
      <c r="X103" s="1175"/>
      <c r="Y103" s="1176"/>
      <c r="Z103" s="1177"/>
      <c r="AA103" s="1547"/>
      <c r="AB103" s="1177"/>
      <c r="AC103" s="1548"/>
      <c r="AD103" s="1549"/>
      <c r="AE103" s="1178"/>
      <c r="AF103" s="1179"/>
      <c r="AG103" s="1171"/>
      <c r="AH103" s="104"/>
      <c r="AI103" s="1172"/>
      <c r="AJ103" s="1172"/>
      <c r="AK103" s="1172"/>
      <c r="AL103" s="1173"/>
      <c r="AM103" s="1174"/>
      <c r="AN103" s="1175"/>
      <c r="AO103" s="1176"/>
      <c r="AP103" s="1177"/>
      <c r="AQ103" s="1547"/>
      <c r="AR103" s="1177"/>
      <c r="AS103" s="1548"/>
      <c r="AT103" s="1549"/>
      <c r="AU103" s="1178"/>
      <c r="AV103" s="1179"/>
      <c r="AY103" s="3">
        <v>1</v>
      </c>
    </row>
    <row r="104" spans="2:51" ht="27" customHeight="1">
      <c r="B104" s="104"/>
      <c r="C104" s="1172"/>
      <c r="D104" s="1172"/>
      <c r="E104" s="1172"/>
      <c r="F104" s="1173"/>
      <c r="G104" s="1174"/>
      <c r="H104" s="1175"/>
      <c r="I104" s="1176"/>
      <c r="J104" s="1177"/>
      <c r="K104" s="1547"/>
      <c r="L104" s="1177"/>
      <c r="M104" s="1548"/>
      <c r="N104" s="1549"/>
      <c r="O104" s="1178"/>
      <c r="P104" s="1179"/>
      <c r="Q104" s="1171"/>
      <c r="R104" s="104"/>
      <c r="S104" s="1172"/>
      <c r="T104" s="1172"/>
      <c r="U104" s="1172"/>
      <c r="V104" s="1173"/>
      <c r="W104" s="1174"/>
      <c r="X104" s="1175"/>
      <c r="Y104" s="1176"/>
      <c r="Z104" s="1177"/>
      <c r="AA104" s="1547"/>
      <c r="AB104" s="1177"/>
      <c r="AC104" s="1548"/>
      <c r="AD104" s="1549"/>
      <c r="AE104" s="1178"/>
      <c r="AF104" s="1179"/>
      <c r="AG104" s="1171"/>
      <c r="AH104" s="104"/>
      <c r="AI104" s="1172"/>
      <c r="AJ104" s="1172"/>
      <c r="AK104" s="1172"/>
      <c r="AL104" s="1173"/>
      <c r="AM104" s="1174"/>
      <c r="AN104" s="1175"/>
      <c r="AO104" s="1176"/>
      <c r="AP104" s="1177"/>
      <c r="AQ104" s="1547"/>
      <c r="AR104" s="1177"/>
      <c r="AS104" s="1548"/>
      <c r="AT104" s="1549"/>
      <c r="AU104" s="1178"/>
      <c r="AV104" s="1179"/>
      <c r="AY104" s="3">
        <v>1</v>
      </c>
    </row>
    <row r="105" spans="2:51" ht="27" customHeight="1">
      <c r="B105" s="104"/>
      <c r="C105" s="1172"/>
      <c r="D105" s="1172"/>
      <c r="E105" s="1172"/>
      <c r="F105" s="1173"/>
      <c r="G105" s="1174"/>
      <c r="H105" s="1175"/>
      <c r="I105" s="1176"/>
      <c r="J105" s="1177"/>
      <c r="K105" s="1547"/>
      <c r="L105" s="1177"/>
      <c r="M105" s="1548"/>
      <c r="N105" s="1549"/>
      <c r="O105" s="1178"/>
      <c r="P105" s="1179"/>
      <c r="Q105" s="1171"/>
      <c r="R105" s="104"/>
      <c r="S105" s="1172"/>
      <c r="T105" s="1172"/>
      <c r="U105" s="1172"/>
      <c r="V105" s="1173"/>
      <c r="W105" s="1174"/>
      <c r="X105" s="1175"/>
      <c r="Y105" s="1176"/>
      <c r="Z105" s="1177"/>
      <c r="AA105" s="1547"/>
      <c r="AB105" s="1177"/>
      <c r="AC105" s="1548"/>
      <c r="AD105" s="1549"/>
      <c r="AE105" s="1178"/>
      <c r="AF105" s="1179"/>
      <c r="AG105" s="1171"/>
      <c r="AH105" s="104"/>
      <c r="AI105" s="1172"/>
      <c r="AJ105" s="1172"/>
      <c r="AK105" s="1172"/>
      <c r="AL105" s="1173"/>
      <c r="AM105" s="1174"/>
      <c r="AN105" s="1175"/>
      <c r="AO105" s="1176"/>
      <c r="AP105" s="1177"/>
      <c r="AQ105" s="1547"/>
      <c r="AR105" s="1177"/>
      <c r="AS105" s="1548"/>
      <c r="AT105" s="1549"/>
      <c r="AU105" s="1178"/>
      <c r="AV105" s="1179"/>
      <c r="AY105" s="3">
        <v>1</v>
      </c>
    </row>
    <row r="106" spans="2:51" ht="27" customHeight="1">
      <c r="B106" s="104"/>
      <c r="C106" s="1172"/>
      <c r="D106" s="1172"/>
      <c r="E106" s="1172"/>
      <c r="F106" s="1173"/>
      <c r="G106" s="1174"/>
      <c r="H106" s="1175"/>
      <c r="I106" s="1176"/>
      <c r="J106" s="1177"/>
      <c r="K106" s="1547"/>
      <c r="L106" s="1177"/>
      <c r="M106" s="1548"/>
      <c r="N106" s="1549"/>
      <c r="O106" s="1178"/>
      <c r="P106" s="1179"/>
      <c r="Q106" s="1171"/>
      <c r="R106" s="104"/>
      <c r="S106" s="1172"/>
      <c r="T106" s="1172"/>
      <c r="U106" s="1172"/>
      <c r="V106" s="1173"/>
      <c r="W106" s="1174"/>
      <c r="X106" s="1175"/>
      <c r="Y106" s="1176"/>
      <c r="Z106" s="1177"/>
      <c r="AA106" s="1547"/>
      <c r="AB106" s="1177"/>
      <c r="AC106" s="1548"/>
      <c r="AD106" s="1549"/>
      <c r="AE106" s="1178"/>
      <c r="AF106" s="1179"/>
      <c r="AG106" s="1171"/>
      <c r="AH106" s="104"/>
      <c r="AI106" s="1172"/>
      <c r="AJ106" s="1172"/>
      <c r="AK106" s="1172"/>
      <c r="AL106" s="1173"/>
      <c r="AM106" s="1174"/>
      <c r="AN106" s="1175"/>
      <c r="AO106" s="1176"/>
      <c r="AP106" s="1177"/>
      <c r="AQ106" s="1547"/>
      <c r="AR106" s="1177"/>
      <c r="AS106" s="1548"/>
      <c r="AT106" s="1549"/>
      <c r="AU106" s="1178"/>
      <c r="AV106" s="1179"/>
      <c r="AY106" s="3">
        <v>1</v>
      </c>
    </row>
    <row r="107" spans="2:51" ht="27" customHeight="1">
      <c r="B107" s="104"/>
      <c r="C107" s="1172"/>
      <c r="D107" s="1172"/>
      <c r="E107" s="1172"/>
      <c r="F107" s="1173"/>
      <c r="G107" s="1174"/>
      <c r="H107" s="1175"/>
      <c r="I107" s="1176"/>
      <c r="J107" s="1177"/>
      <c r="K107" s="1547"/>
      <c r="L107" s="1177"/>
      <c r="M107" s="1548"/>
      <c r="N107" s="1549"/>
      <c r="O107" s="1178"/>
      <c r="P107" s="1179"/>
      <c r="Q107" s="1171"/>
      <c r="R107" s="104"/>
      <c r="S107" s="1172"/>
      <c r="T107" s="1172"/>
      <c r="U107" s="1172"/>
      <c r="V107" s="1173"/>
      <c r="W107" s="1174"/>
      <c r="X107" s="1175"/>
      <c r="Y107" s="1176"/>
      <c r="Z107" s="1177"/>
      <c r="AA107" s="1547"/>
      <c r="AB107" s="1177"/>
      <c r="AC107" s="1548"/>
      <c r="AD107" s="1549"/>
      <c r="AE107" s="1178"/>
      <c r="AF107" s="1179"/>
      <c r="AG107" s="1171"/>
      <c r="AH107" s="104"/>
      <c r="AI107" s="1172"/>
      <c r="AJ107" s="1172"/>
      <c r="AK107" s="1172"/>
      <c r="AL107" s="1173"/>
      <c r="AM107" s="1174"/>
      <c r="AN107" s="1175"/>
      <c r="AO107" s="1176"/>
      <c r="AP107" s="1177"/>
      <c r="AQ107" s="1547"/>
      <c r="AR107" s="1177"/>
      <c r="AS107" s="1548"/>
      <c r="AT107" s="1549"/>
      <c r="AU107" s="1178"/>
      <c r="AV107" s="1179"/>
      <c r="AY107" s="3">
        <v>1</v>
      </c>
    </row>
    <row r="108" spans="2:51" ht="27" customHeight="1">
      <c r="B108" s="104"/>
      <c r="C108" s="1172"/>
      <c r="D108" s="1172"/>
      <c r="E108" s="1172"/>
      <c r="F108" s="1173"/>
      <c r="G108" s="1174"/>
      <c r="H108" s="1175"/>
      <c r="I108" s="1176"/>
      <c r="J108" s="1177"/>
      <c r="K108" s="1547"/>
      <c r="L108" s="1177"/>
      <c r="M108" s="1548"/>
      <c r="N108" s="1549"/>
      <c r="O108" s="1178"/>
      <c r="P108" s="1179"/>
      <c r="Q108" s="1171"/>
      <c r="R108" s="104"/>
      <c r="S108" s="1172"/>
      <c r="T108" s="1172"/>
      <c r="U108" s="1172"/>
      <c r="V108" s="1173"/>
      <c r="W108" s="1174"/>
      <c r="X108" s="1175"/>
      <c r="Y108" s="1176"/>
      <c r="Z108" s="1177"/>
      <c r="AA108" s="1547"/>
      <c r="AB108" s="1177"/>
      <c r="AC108" s="1548"/>
      <c r="AD108" s="1549"/>
      <c r="AE108" s="1178"/>
      <c r="AF108" s="1179"/>
      <c r="AG108" s="1171"/>
      <c r="AH108" s="104"/>
      <c r="AI108" s="1172"/>
      <c r="AJ108" s="1172"/>
      <c r="AK108" s="1172"/>
      <c r="AL108" s="1173"/>
      <c r="AM108" s="1174"/>
      <c r="AN108" s="1175"/>
      <c r="AO108" s="1176"/>
      <c r="AP108" s="1177"/>
      <c r="AQ108" s="1547"/>
      <c r="AR108" s="1177"/>
      <c r="AS108" s="1548"/>
      <c r="AT108" s="1549"/>
      <c r="AU108" s="1178"/>
      <c r="AV108" s="1179"/>
      <c r="AY108" s="3">
        <v>1</v>
      </c>
    </row>
    <row r="109" spans="2:51" ht="27" customHeight="1">
      <c r="B109" s="104"/>
      <c r="C109" s="1172"/>
      <c r="D109" s="1172"/>
      <c r="E109" s="1172"/>
      <c r="F109" s="1173"/>
      <c r="G109" s="1174"/>
      <c r="H109" s="1175"/>
      <c r="I109" s="1176"/>
      <c r="J109" s="1177"/>
      <c r="K109" s="1547"/>
      <c r="L109" s="1177"/>
      <c r="M109" s="1548"/>
      <c r="N109" s="1549"/>
      <c r="O109" s="1178"/>
      <c r="P109" s="1179"/>
      <c r="Q109" s="1171"/>
      <c r="R109" s="104"/>
      <c r="S109" s="1172"/>
      <c r="T109" s="1172"/>
      <c r="U109" s="1172"/>
      <c r="V109" s="1173"/>
      <c r="W109" s="1174"/>
      <c r="X109" s="1175"/>
      <c r="Y109" s="1176"/>
      <c r="Z109" s="1177"/>
      <c r="AA109" s="1547"/>
      <c r="AB109" s="1177"/>
      <c r="AC109" s="1548"/>
      <c r="AD109" s="1549"/>
      <c r="AE109" s="1178"/>
      <c r="AF109" s="1179"/>
      <c r="AG109" s="1171"/>
      <c r="AH109" s="104"/>
      <c r="AI109" s="1172"/>
      <c r="AJ109" s="1172"/>
      <c r="AK109" s="1172"/>
      <c r="AL109" s="1173"/>
      <c r="AM109" s="1174"/>
      <c r="AN109" s="1175"/>
      <c r="AO109" s="1176"/>
      <c r="AP109" s="1177"/>
      <c r="AQ109" s="1547"/>
      <c r="AR109" s="1177"/>
      <c r="AS109" s="1548"/>
      <c r="AT109" s="1549"/>
      <c r="AU109" s="1178"/>
      <c r="AV109" s="1179"/>
      <c r="AY109" s="3">
        <v>1</v>
      </c>
    </row>
    <row r="110" spans="2:51" ht="27" customHeight="1">
      <c r="B110" s="104"/>
      <c r="C110" s="1172"/>
      <c r="D110" s="1172"/>
      <c r="E110" s="1172"/>
      <c r="F110" s="1173"/>
      <c r="G110" s="1174"/>
      <c r="H110" s="1175"/>
      <c r="I110" s="1176"/>
      <c r="J110" s="1177"/>
      <c r="K110" s="1547"/>
      <c r="L110" s="1177"/>
      <c r="M110" s="1548"/>
      <c r="N110" s="1549"/>
      <c r="O110" s="1178"/>
      <c r="P110" s="1179"/>
      <c r="Q110" s="1171"/>
      <c r="R110" s="104"/>
      <c r="S110" s="1172"/>
      <c r="T110" s="1172"/>
      <c r="U110" s="1172"/>
      <c r="V110" s="1173"/>
      <c r="W110" s="1174"/>
      <c r="X110" s="1175"/>
      <c r="Y110" s="1176"/>
      <c r="Z110" s="1177"/>
      <c r="AA110" s="1547"/>
      <c r="AB110" s="1177"/>
      <c r="AC110" s="1548"/>
      <c r="AD110" s="1549"/>
      <c r="AE110" s="1178"/>
      <c r="AF110" s="1179"/>
      <c r="AG110" s="1171"/>
      <c r="AH110" s="104"/>
      <c r="AI110" s="1172"/>
      <c r="AJ110" s="1172"/>
      <c r="AK110" s="1172"/>
      <c r="AL110" s="1173"/>
      <c r="AM110" s="1174"/>
      <c r="AN110" s="1175"/>
      <c r="AO110" s="1176"/>
      <c r="AP110" s="1177"/>
      <c r="AQ110" s="1547"/>
      <c r="AR110" s="1177"/>
      <c r="AS110" s="1548"/>
      <c r="AT110" s="1549"/>
      <c r="AU110" s="1178"/>
      <c r="AV110" s="1179"/>
      <c r="AY110" s="3">
        <v>1</v>
      </c>
    </row>
    <row r="111" spans="2:51" ht="27" customHeight="1">
      <c r="B111" s="104"/>
      <c r="C111" s="1172"/>
      <c r="D111" s="1172"/>
      <c r="E111" s="1172"/>
      <c r="F111" s="1173"/>
      <c r="G111" s="1174"/>
      <c r="H111" s="1175"/>
      <c r="I111" s="1176"/>
      <c r="J111" s="1177"/>
      <c r="K111" s="1547"/>
      <c r="L111" s="1177"/>
      <c r="M111" s="1548"/>
      <c r="N111" s="1549"/>
      <c r="O111" s="1178"/>
      <c r="P111" s="1179"/>
      <c r="Q111" s="1171"/>
      <c r="R111" s="104"/>
      <c r="S111" s="1172"/>
      <c r="T111" s="1172"/>
      <c r="U111" s="1172"/>
      <c r="V111" s="1173"/>
      <c r="W111" s="1174"/>
      <c r="X111" s="1175"/>
      <c r="Y111" s="1176"/>
      <c r="Z111" s="1177"/>
      <c r="AA111" s="1547"/>
      <c r="AB111" s="1177"/>
      <c r="AC111" s="1548"/>
      <c r="AD111" s="1549"/>
      <c r="AE111" s="1178"/>
      <c r="AF111" s="1179"/>
      <c r="AG111" s="1171"/>
      <c r="AH111" s="104"/>
      <c r="AI111" s="1172"/>
      <c r="AJ111" s="1172"/>
      <c r="AK111" s="1172"/>
      <c r="AL111" s="1173"/>
      <c r="AM111" s="1174"/>
      <c r="AN111" s="1175"/>
      <c r="AO111" s="1176"/>
      <c r="AP111" s="1177"/>
      <c r="AQ111" s="1547"/>
      <c r="AR111" s="1177"/>
      <c r="AS111" s="1548"/>
      <c r="AT111" s="1549"/>
      <c r="AU111" s="1178"/>
      <c r="AV111" s="1179"/>
      <c r="AY111" s="3">
        <v>1</v>
      </c>
    </row>
    <row r="112" spans="2:51" ht="27" customHeight="1">
      <c r="B112" s="104"/>
      <c r="C112" s="1172"/>
      <c r="D112" s="1172"/>
      <c r="E112" s="1172"/>
      <c r="F112" s="1173"/>
      <c r="G112" s="1174"/>
      <c r="H112" s="1175"/>
      <c r="I112" s="1176"/>
      <c r="J112" s="1177"/>
      <c r="K112" s="1547"/>
      <c r="L112" s="1177"/>
      <c r="M112" s="1548"/>
      <c r="N112" s="1549"/>
      <c r="O112" s="1178"/>
      <c r="P112" s="1179"/>
      <c r="Q112" s="1171"/>
      <c r="R112" s="104"/>
      <c r="S112" s="1172"/>
      <c r="T112" s="1172"/>
      <c r="U112" s="1172"/>
      <c r="V112" s="1173"/>
      <c r="W112" s="1174"/>
      <c r="X112" s="1175"/>
      <c r="Y112" s="1176"/>
      <c r="Z112" s="1177"/>
      <c r="AA112" s="1547"/>
      <c r="AB112" s="1177"/>
      <c r="AC112" s="1548"/>
      <c r="AD112" s="1549"/>
      <c r="AE112" s="1178"/>
      <c r="AF112" s="1179"/>
      <c r="AG112" s="1171"/>
      <c r="AH112" s="104"/>
      <c r="AI112" s="1172"/>
      <c r="AJ112" s="1172"/>
      <c r="AK112" s="1172"/>
      <c r="AL112" s="1173"/>
      <c r="AM112" s="1174"/>
      <c r="AN112" s="1175"/>
      <c r="AO112" s="1176"/>
      <c r="AP112" s="1177"/>
      <c r="AQ112" s="1547"/>
      <c r="AR112" s="1177"/>
      <c r="AS112" s="1548"/>
      <c r="AT112" s="1549"/>
      <c r="AU112" s="1178"/>
      <c r="AV112" s="1179"/>
      <c r="AY112" s="3">
        <v>1</v>
      </c>
    </row>
    <row r="113" spans="2:51" ht="27" customHeight="1">
      <c r="B113" s="104"/>
      <c r="C113" s="1172"/>
      <c r="D113" s="1172"/>
      <c r="E113" s="1172"/>
      <c r="F113" s="1173"/>
      <c r="G113" s="1174"/>
      <c r="H113" s="1175"/>
      <c r="I113" s="1176"/>
      <c r="J113" s="1177"/>
      <c r="K113" s="1547"/>
      <c r="L113" s="1177"/>
      <c r="M113" s="1548"/>
      <c r="N113" s="1549"/>
      <c r="O113" s="1178"/>
      <c r="P113" s="1179"/>
      <c r="Q113" s="1171"/>
      <c r="R113" s="104"/>
      <c r="S113" s="1172"/>
      <c r="T113" s="1172"/>
      <c r="U113" s="1172"/>
      <c r="V113" s="1173"/>
      <c r="W113" s="1174"/>
      <c r="X113" s="1175"/>
      <c r="Y113" s="1176"/>
      <c r="Z113" s="1177"/>
      <c r="AA113" s="1547"/>
      <c r="AB113" s="1177"/>
      <c r="AC113" s="1548"/>
      <c r="AD113" s="1549"/>
      <c r="AE113" s="1178"/>
      <c r="AF113" s="1179"/>
      <c r="AG113" s="1171"/>
      <c r="AH113" s="104"/>
      <c r="AI113" s="1172"/>
      <c r="AJ113" s="1172"/>
      <c r="AK113" s="1172"/>
      <c r="AL113" s="1173"/>
      <c r="AM113" s="1174"/>
      <c r="AN113" s="1175"/>
      <c r="AO113" s="1176"/>
      <c r="AP113" s="1177"/>
      <c r="AQ113" s="1547"/>
      <c r="AR113" s="1177"/>
      <c r="AS113" s="1548"/>
      <c r="AT113" s="1549"/>
      <c r="AU113" s="1178"/>
      <c r="AV113" s="1179"/>
      <c r="AY113" s="3">
        <v>1</v>
      </c>
    </row>
    <row r="114" spans="2:51" ht="27" customHeight="1">
      <c r="B114" s="104"/>
      <c r="C114" s="1172"/>
      <c r="D114" s="1172"/>
      <c r="E114" s="1172"/>
      <c r="F114" s="1173"/>
      <c r="G114" s="1174"/>
      <c r="H114" s="1175"/>
      <c r="I114" s="1176"/>
      <c r="J114" s="1177"/>
      <c r="K114" s="1547"/>
      <c r="L114" s="1177"/>
      <c r="M114" s="1548"/>
      <c r="N114" s="1549"/>
      <c r="O114" s="1178"/>
      <c r="P114" s="1179"/>
      <c r="Q114" s="1171"/>
      <c r="R114" s="104"/>
      <c r="S114" s="1172"/>
      <c r="T114" s="1172"/>
      <c r="U114" s="1172"/>
      <c r="V114" s="1173"/>
      <c r="W114" s="1174"/>
      <c r="X114" s="1175"/>
      <c r="Y114" s="1176"/>
      <c r="Z114" s="1177"/>
      <c r="AA114" s="1547"/>
      <c r="AB114" s="1177"/>
      <c r="AC114" s="1548"/>
      <c r="AD114" s="1549"/>
      <c r="AE114" s="1178"/>
      <c r="AF114" s="1179"/>
      <c r="AG114" s="1171"/>
      <c r="AH114" s="104"/>
      <c r="AI114" s="1172"/>
      <c r="AJ114" s="1172"/>
      <c r="AK114" s="1172"/>
      <c r="AL114" s="1173"/>
      <c r="AM114" s="1174"/>
      <c r="AN114" s="1175"/>
      <c r="AO114" s="1176"/>
      <c r="AP114" s="1177"/>
      <c r="AQ114" s="1547"/>
      <c r="AR114" s="1177"/>
      <c r="AS114" s="1548"/>
      <c r="AT114" s="1549"/>
      <c r="AU114" s="1178"/>
      <c r="AV114" s="1179"/>
      <c r="AY114" s="3">
        <v>1</v>
      </c>
    </row>
    <row r="115" spans="2:51" ht="27" customHeight="1">
      <c r="B115" s="104"/>
      <c r="C115" s="1172"/>
      <c r="D115" s="1172"/>
      <c r="E115" s="1172"/>
      <c r="F115" s="1173"/>
      <c r="G115" s="1174"/>
      <c r="H115" s="1175"/>
      <c r="I115" s="1176"/>
      <c r="J115" s="1177"/>
      <c r="K115" s="1547"/>
      <c r="L115" s="1177"/>
      <c r="M115" s="1548"/>
      <c r="N115" s="1549"/>
      <c r="O115" s="1178"/>
      <c r="P115" s="1179"/>
      <c r="Q115" s="1171"/>
      <c r="R115" s="104"/>
      <c r="S115" s="1172"/>
      <c r="T115" s="1172"/>
      <c r="U115" s="1172"/>
      <c r="V115" s="1173"/>
      <c r="W115" s="1174"/>
      <c r="X115" s="1175"/>
      <c r="Y115" s="1176"/>
      <c r="Z115" s="1177"/>
      <c r="AA115" s="1547"/>
      <c r="AB115" s="1177"/>
      <c r="AC115" s="1548"/>
      <c r="AD115" s="1549"/>
      <c r="AE115" s="1178"/>
      <c r="AF115" s="1179"/>
      <c r="AG115" s="1171"/>
      <c r="AH115" s="104"/>
      <c r="AI115" s="1172"/>
      <c r="AJ115" s="1172"/>
      <c r="AK115" s="1172"/>
      <c r="AL115" s="1173"/>
      <c r="AM115" s="1174"/>
      <c r="AN115" s="1175"/>
      <c r="AO115" s="1176"/>
      <c r="AP115" s="1177"/>
      <c r="AQ115" s="1547"/>
      <c r="AR115" s="1177"/>
      <c r="AS115" s="1548"/>
      <c r="AT115" s="1549"/>
      <c r="AU115" s="1178"/>
      <c r="AV115" s="1179"/>
      <c r="AY115" s="3">
        <v>1</v>
      </c>
    </row>
    <row r="116" spans="2:51" ht="27" customHeight="1">
      <c r="B116" s="104"/>
      <c r="C116" s="1172"/>
      <c r="D116" s="1172"/>
      <c r="E116" s="1172"/>
      <c r="F116" s="1173"/>
      <c r="G116" s="1174"/>
      <c r="H116" s="1175"/>
      <c r="I116" s="1176"/>
      <c r="J116" s="1177"/>
      <c r="K116" s="1547"/>
      <c r="L116" s="1177"/>
      <c r="M116" s="1548"/>
      <c r="N116" s="1549"/>
      <c r="O116" s="1178"/>
      <c r="P116" s="1179"/>
      <c r="Q116" s="1171"/>
      <c r="R116" s="104"/>
      <c r="S116" s="1172"/>
      <c r="T116" s="1172"/>
      <c r="U116" s="1172"/>
      <c r="V116" s="1173"/>
      <c r="W116" s="1174"/>
      <c r="X116" s="1175"/>
      <c r="Y116" s="1176"/>
      <c r="Z116" s="1177"/>
      <c r="AA116" s="1547"/>
      <c r="AB116" s="1177"/>
      <c r="AC116" s="1548"/>
      <c r="AD116" s="1549"/>
      <c r="AE116" s="1178"/>
      <c r="AF116" s="1179"/>
      <c r="AG116" s="1171"/>
      <c r="AH116" s="104"/>
      <c r="AI116" s="1172"/>
      <c r="AJ116" s="1172"/>
      <c r="AK116" s="1172"/>
      <c r="AL116" s="1173"/>
      <c r="AM116" s="1174"/>
      <c r="AN116" s="1175"/>
      <c r="AO116" s="1176"/>
      <c r="AP116" s="1177"/>
      <c r="AQ116" s="1547"/>
      <c r="AR116" s="1177"/>
      <c r="AS116" s="1548"/>
      <c r="AT116" s="1549"/>
      <c r="AU116" s="1178"/>
      <c r="AV116" s="1179"/>
      <c r="AY116" s="3">
        <v>1</v>
      </c>
    </row>
    <row r="117" spans="2:51" ht="27" customHeight="1">
      <c r="B117" s="104"/>
      <c r="C117" s="1172"/>
      <c r="D117" s="1172"/>
      <c r="E117" s="1172"/>
      <c r="F117" s="1173"/>
      <c r="G117" s="1174"/>
      <c r="H117" s="1175"/>
      <c r="I117" s="1176"/>
      <c r="J117" s="1177"/>
      <c r="K117" s="1547"/>
      <c r="L117" s="1177"/>
      <c r="M117" s="1548"/>
      <c r="N117" s="1549"/>
      <c r="O117" s="1178"/>
      <c r="P117" s="1179"/>
      <c r="Q117" s="1171"/>
      <c r="R117" s="104"/>
      <c r="S117" s="1172"/>
      <c r="T117" s="1172"/>
      <c r="U117" s="1172"/>
      <c r="V117" s="1173"/>
      <c r="W117" s="1174"/>
      <c r="X117" s="1175"/>
      <c r="Y117" s="1176"/>
      <c r="Z117" s="1177"/>
      <c r="AA117" s="1547"/>
      <c r="AB117" s="1177"/>
      <c r="AC117" s="1548"/>
      <c r="AD117" s="1549"/>
      <c r="AE117" s="1178"/>
      <c r="AF117" s="1179"/>
      <c r="AG117" s="1171"/>
      <c r="AH117" s="104"/>
      <c r="AI117" s="1172"/>
      <c r="AJ117" s="1172"/>
      <c r="AK117" s="1172"/>
      <c r="AL117" s="1173"/>
      <c r="AM117" s="1174"/>
      <c r="AN117" s="1175"/>
      <c r="AO117" s="1176"/>
      <c r="AP117" s="1177"/>
      <c r="AQ117" s="1547"/>
      <c r="AR117" s="1177"/>
      <c r="AS117" s="1548"/>
      <c r="AT117" s="1549"/>
      <c r="AU117" s="1178"/>
      <c r="AV117" s="1179"/>
      <c r="AY117" s="3">
        <v>1</v>
      </c>
    </row>
    <row r="118" spans="2:51" ht="27" customHeight="1">
      <c r="B118" s="104"/>
      <c r="C118" s="1172"/>
      <c r="D118" s="1172"/>
      <c r="E118" s="1172"/>
      <c r="F118" s="1173"/>
      <c r="G118" s="1174"/>
      <c r="H118" s="1175"/>
      <c r="I118" s="1176"/>
      <c r="J118" s="1177"/>
      <c r="K118" s="1547"/>
      <c r="L118" s="1177"/>
      <c r="M118" s="1548"/>
      <c r="N118" s="1549"/>
      <c r="O118" s="1178"/>
      <c r="P118" s="1179"/>
      <c r="Q118" s="1171"/>
      <c r="R118" s="104"/>
      <c r="S118" s="1172"/>
      <c r="T118" s="1172"/>
      <c r="U118" s="1172"/>
      <c r="V118" s="1173"/>
      <c r="W118" s="1174"/>
      <c r="X118" s="1175"/>
      <c r="Y118" s="1176"/>
      <c r="Z118" s="1177"/>
      <c r="AA118" s="1547"/>
      <c r="AB118" s="1177"/>
      <c r="AC118" s="1548"/>
      <c r="AD118" s="1549"/>
      <c r="AE118" s="1178"/>
      <c r="AF118" s="1179"/>
      <c r="AG118" s="1171"/>
      <c r="AH118" s="104"/>
      <c r="AI118" s="1172"/>
      <c r="AJ118" s="1172"/>
      <c r="AK118" s="1172"/>
      <c r="AL118" s="1173"/>
      <c r="AM118" s="1174"/>
      <c r="AN118" s="1175"/>
      <c r="AO118" s="1176"/>
      <c r="AP118" s="1177"/>
      <c r="AQ118" s="1547"/>
      <c r="AR118" s="1177"/>
      <c r="AS118" s="1548"/>
      <c r="AT118" s="1549"/>
      <c r="AU118" s="1178"/>
      <c r="AV118" s="1179"/>
      <c r="AY118" s="3">
        <v>1</v>
      </c>
    </row>
    <row r="119" spans="2:51" ht="27" customHeight="1">
      <c r="B119" s="104"/>
      <c r="C119" s="1172"/>
      <c r="D119" s="1172"/>
      <c r="E119" s="1172"/>
      <c r="F119" s="1173"/>
      <c r="G119" s="1174"/>
      <c r="H119" s="1175"/>
      <c r="I119" s="1176"/>
      <c r="J119" s="1177"/>
      <c r="K119" s="1547"/>
      <c r="L119" s="1177"/>
      <c r="M119" s="1548"/>
      <c r="N119" s="1549"/>
      <c r="O119" s="1178"/>
      <c r="P119" s="1179"/>
      <c r="Q119" s="1171"/>
      <c r="R119" s="104"/>
      <c r="S119" s="1172"/>
      <c r="T119" s="1172"/>
      <c r="U119" s="1172"/>
      <c r="V119" s="1173"/>
      <c r="W119" s="1174"/>
      <c r="X119" s="1175"/>
      <c r="Y119" s="1176"/>
      <c r="Z119" s="1177"/>
      <c r="AA119" s="1547"/>
      <c r="AB119" s="1177"/>
      <c r="AC119" s="1548"/>
      <c r="AD119" s="1549"/>
      <c r="AE119" s="1178"/>
      <c r="AF119" s="1179"/>
      <c r="AG119" s="1171"/>
      <c r="AH119" s="104"/>
      <c r="AI119" s="1172"/>
      <c r="AJ119" s="1172"/>
      <c r="AK119" s="1172"/>
      <c r="AL119" s="1173"/>
      <c r="AM119" s="1174"/>
      <c r="AN119" s="1175"/>
      <c r="AO119" s="1176"/>
      <c r="AP119" s="1177"/>
      <c r="AQ119" s="1547"/>
      <c r="AR119" s="1177"/>
      <c r="AS119" s="1548"/>
      <c r="AT119" s="1549"/>
      <c r="AU119" s="1178"/>
      <c r="AV119" s="1179"/>
      <c r="AY119" s="3">
        <v>1</v>
      </c>
    </row>
    <row r="120" spans="2:51" ht="27" customHeight="1">
      <c r="B120" s="104"/>
      <c r="C120" s="1172"/>
      <c r="D120" s="1172"/>
      <c r="E120" s="1172"/>
      <c r="F120" s="1173"/>
      <c r="G120" s="1174"/>
      <c r="H120" s="1175"/>
      <c r="I120" s="1176"/>
      <c r="J120" s="1177"/>
      <c r="K120" s="1547"/>
      <c r="L120" s="1177"/>
      <c r="M120" s="1548"/>
      <c r="N120" s="1549"/>
      <c r="O120" s="1178"/>
      <c r="P120" s="1179"/>
      <c r="Q120" s="1171"/>
      <c r="R120" s="104"/>
      <c r="S120" s="1172"/>
      <c r="T120" s="1172"/>
      <c r="U120" s="1172"/>
      <c r="V120" s="1173"/>
      <c r="W120" s="1174"/>
      <c r="X120" s="1175"/>
      <c r="Y120" s="1176"/>
      <c r="Z120" s="1177"/>
      <c r="AA120" s="1547"/>
      <c r="AB120" s="1177"/>
      <c r="AC120" s="1548"/>
      <c r="AD120" s="1549"/>
      <c r="AE120" s="1178"/>
      <c r="AF120" s="1179"/>
      <c r="AG120" s="1171"/>
      <c r="AH120" s="104"/>
      <c r="AI120" s="1172"/>
      <c r="AJ120" s="1172"/>
      <c r="AK120" s="1172"/>
      <c r="AL120" s="1173"/>
      <c r="AM120" s="1174"/>
      <c r="AN120" s="1175"/>
      <c r="AO120" s="1176"/>
      <c r="AP120" s="1177"/>
      <c r="AQ120" s="1547"/>
      <c r="AR120" s="1177"/>
      <c r="AS120" s="1548"/>
      <c r="AT120" s="1549"/>
      <c r="AU120" s="1178"/>
      <c r="AV120" s="1179"/>
      <c r="AY120" s="3">
        <v>1</v>
      </c>
    </row>
    <row r="121" spans="2:51" ht="27" customHeight="1">
      <c r="B121" s="104"/>
      <c r="C121" s="1172"/>
      <c r="D121" s="1172"/>
      <c r="E121" s="1172"/>
      <c r="F121" s="1173"/>
      <c r="G121" s="1174"/>
      <c r="H121" s="1175"/>
      <c r="I121" s="1176"/>
      <c r="J121" s="1177"/>
      <c r="K121" s="1547"/>
      <c r="L121" s="1177"/>
      <c r="M121" s="1548"/>
      <c r="N121" s="1549"/>
      <c r="O121" s="1178"/>
      <c r="P121" s="1179"/>
      <c r="Q121" s="1171"/>
      <c r="R121" s="104"/>
      <c r="S121" s="1172"/>
      <c r="T121" s="1172"/>
      <c r="U121" s="1172"/>
      <c r="V121" s="1173"/>
      <c r="W121" s="1174"/>
      <c r="X121" s="1175"/>
      <c r="Y121" s="1176"/>
      <c r="Z121" s="1177"/>
      <c r="AA121" s="1547"/>
      <c r="AB121" s="1177"/>
      <c r="AC121" s="1548"/>
      <c r="AD121" s="1549"/>
      <c r="AE121" s="1178"/>
      <c r="AF121" s="1179"/>
      <c r="AH121" s="104"/>
      <c r="AI121" s="1172"/>
      <c r="AJ121" s="1172"/>
      <c r="AK121" s="1172"/>
      <c r="AL121" s="1173"/>
      <c r="AM121" s="1174"/>
      <c r="AN121" s="1175"/>
      <c r="AO121" s="1176"/>
      <c r="AP121" s="1177"/>
      <c r="AQ121" s="1547"/>
      <c r="AR121" s="1177"/>
      <c r="AS121" s="1548"/>
      <c r="AT121" s="1549"/>
      <c r="AU121" s="1178"/>
      <c r="AV121" s="1179"/>
      <c r="AY121" s="3">
        <v>1</v>
      </c>
    </row>
    <row r="122" spans="2:51" ht="27" customHeight="1">
      <c r="B122" s="104"/>
      <c r="C122" s="1172"/>
      <c r="D122" s="1172"/>
      <c r="E122" s="1172"/>
      <c r="F122" s="1173"/>
      <c r="G122" s="1174"/>
      <c r="H122" s="1175"/>
      <c r="I122" s="1176"/>
      <c r="J122" s="1177"/>
      <c r="K122" s="1547"/>
      <c r="L122" s="1177"/>
      <c r="M122" s="1548"/>
      <c r="N122" s="1549"/>
      <c r="O122" s="1178"/>
      <c r="P122" s="1179"/>
      <c r="Q122" s="1171"/>
      <c r="R122" s="104"/>
      <c r="S122" s="1172"/>
      <c r="T122" s="1172"/>
      <c r="U122" s="1172"/>
      <c r="V122" s="1173"/>
      <c r="W122" s="1174"/>
      <c r="X122" s="1175"/>
      <c r="Y122" s="1176"/>
      <c r="Z122" s="1177"/>
      <c r="AA122" s="1547"/>
      <c r="AB122" s="1177"/>
      <c r="AC122" s="1548"/>
      <c r="AD122" s="1549"/>
      <c r="AE122" s="1178"/>
      <c r="AF122" s="1179"/>
      <c r="AH122" s="104"/>
      <c r="AI122" s="1172"/>
      <c r="AJ122" s="1172"/>
      <c r="AK122" s="1172"/>
      <c r="AL122" s="1173"/>
      <c r="AM122" s="1174"/>
      <c r="AN122" s="1175"/>
      <c r="AO122" s="1176"/>
      <c r="AP122" s="1177"/>
      <c r="AQ122" s="1547"/>
      <c r="AR122" s="1177"/>
      <c r="AS122" s="1548"/>
      <c r="AT122" s="1549"/>
      <c r="AU122" s="1178"/>
      <c r="AV122" s="1179"/>
      <c r="AY122" s="3">
        <v>1</v>
      </c>
    </row>
    <row r="123" spans="2:51" ht="27" customHeight="1">
      <c r="B123" s="104"/>
      <c r="C123" s="1172"/>
      <c r="D123" s="1172"/>
      <c r="E123" s="1172"/>
      <c r="F123" s="1173"/>
      <c r="G123" s="1174"/>
      <c r="H123" s="1175"/>
      <c r="I123" s="1176"/>
      <c r="J123" s="1177"/>
      <c r="K123" s="1547"/>
      <c r="L123" s="1177"/>
      <c r="M123" s="1548"/>
      <c r="N123" s="1549"/>
      <c r="O123" s="1178"/>
      <c r="P123" s="1179"/>
      <c r="Q123" s="1171"/>
      <c r="R123" s="104"/>
      <c r="S123" s="1172"/>
      <c r="T123" s="1172"/>
      <c r="U123" s="1172"/>
      <c r="V123" s="1173"/>
      <c r="W123" s="1174"/>
      <c r="X123" s="1175"/>
      <c r="Y123" s="1176"/>
      <c r="Z123" s="1177"/>
      <c r="AA123" s="1547"/>
      <c r="AB123" s="1177"/>
      <c r="AC123" s="1548"/>
      <c r="AD123" s="1549"/>
      <c r="AE123" s="1178"/>
      <c r="AF123" s="1179"/>
      <c r="AH123" s="104"/>
      <c r="AI123" s="1172"/>
      <c r="AJ123" s="1172"/>
      <c r="AK123" s="1172"/>
      <c r="AL123" s="1173"/>
      <c r="AM123" s="1174"/>
      <c r="AN123" s="1175"/>
      <c r="AO123" s="1176"/>
      <c r="AP123" s="1177"/>
      <c r="AQ123" s="1547"/>
      <c r="AR123" s="1177"/>
      <c r="AS123" s="1548"/>
      <c r="AT123" s="1549"/>
      <c r="AU123" s="1178"/>
      <c r="AV123" s="1179"/>
      <c r="AY123" s="3">
        <v>1</v>
      </c>
    </row>
    <row r="124" spans="2:51" ht="27" customHeight="1">
      <c r="B124" s="104"/>
      <c r="C124" s="1172"/>
      <c r="D124" s="1172"/>
      <c r="E124" s="1172"/>
      <c r="F124" s="1173"/>
      <c r="G124" s="1174"/>
      <c r="H124" s="1175"/>
      <c r="I124" s="1176"/>
      <c r="J124" s="1177"/>
      <c r="K124" s="1547"/>
      <c r="L124" s="1177"/>
      <c r="M124" s="1548"/>
      <c r="N124" s="1549"/>
      <c r="O124" s="1178"/>
      <c r="P124" s="1179"/>
      <c r="Q124" s="1171"/>
      <c r="R124" s="104"/>
      <c r="S124" s="1172"/>
      <c r="T124" s="1172"/>
      <c r="U124" s="1172"/>
      <c r="V124" s="1173"/>
      <c r="W124" s="1174"/>
      <c r="X124" s="1175"/>
      <c r="Y124" s="1176"/>
      <c r="Z124" s="1177"/>
      <c r="AA124" s="1547"/>
      <c r="AB124" s="1177"/>
      <c r="AC124" s="1548"/>
      <c r="AD124" s="1549"/>
      <c r="AE124" s="1178"/>
      <c r="AF124" s="1179"/>
      <c r="AG124" s="1171"/>
      <c r="AH124" s="104"/>
      <c r="AI124" s="1172"/>
      <c r="AJ124" s="1172"/>
      <c r="AK124" s="1172"/>
      <c r="AL124" s="1173"/>
      <c r="AM124" s="1174"/>
      <c r="AN124" s="1175"/>
      <c r="AO124" s="1176"/>
      <c r="AP124" s="1177"/>
      <c r="AQ124" s="1547"/>
      <c r="AR124" s="1177"/>
      <c r="AS124" s="1548"/>
      <c r="AT124" s="1549"/>
      <c r="AU124" s="1178"/>
      <c r="AV124" s="1179"/>
      <c r="AY124" s="3">
        <v>1</v>
      </c>
    </row>
    <row r="125" spans="2:51" ht="27" customHeight="1">
      <c r="B125" s="104"/>
      <c r="C125" s="1172"/>
      <c r="D125" s="1172"/>
      <c r="E125" s="1172"/>
      <c r="F125" s="1173"/>
      <c r="G125" s="1174"/>
      <c r="H125" s="1175"/>
      <c r="I125" s="1176"/>
      <c r="J125" s="1177"/>
      <c r="K125" s="1547"/>
      <c r="L125" s="1177"/>
      <c r="M125" s="1548"/>
      <c r="N125" s="1549"/>
      <c r="O125" s="1178"/>
      <c r="P125" s="1179"/>
      <c r="Q125" s="1171"/>
      <c r="R125" s="104"/>
      <c r="S125" s="1172"/>
      <c r="T125" s="1172"/>
      <c r="U125" s="1172"/>
      <c r="V125" s="1173"/>
      <c r="W125" s="1174"/>
      <c r="X125" s="1175"/>
      <c r="Y125" s="1176"/>
      <c r="Z125" s="1177"/>
      <c r="AA125" s="1547"/>
      <c r="AB125" s="1177"/>
      <c r="AC125" s="1548"/>
      <c r="AD125" s="1549"/>
      <c r="AE125" s="1178"/>
      <c r="AF125" s="1179"/>
      <c r="AG125" s="1171"/>
      <c r="AH125" s="104"/>
      <c r="AI125" s="1172"/>
      <c r="AJ125" s="1172"/>
      <c r="AK125" s="1172"/>
      <c r="AL125" s="1173"/>
      <c r="AM125" s="1174"/>
      <c r="AN125" s="1175"/>
      <c r="AO125" s="1176"/>
      <c r="AP125" s="1177"/>
      <c r="AQ125" s="1547"/>
      <c r="AR125" s="1177"/>
      <c r="AS125" s="1548"/>
      <c r="AT125" s="1549"/>
      <c r="AU125" s="1178"/>
      <c r="AV125" s="1179"/>
      <c r="AY125" s="3">
        <v>1</v>
      </c>
    </row>
    <row r="126" spans="2:51" ht="27" customHeight="1">
      <c r="B126" s="104"/>
      <c r="C126" s="1172"/>
      <c r="D126" s="1172"/>
      <c r="E126" s="1172"/>
      <c r="F126" s="1173"/>
      <c r="G126" s="1174"/>
      <c r="H126" s="1175"/>
      <c r="I126" s="1176"/>
      <c r="J126" s="1177"/>
      <c r="K126" s="1547"/>
      <c r="L126" s="1177"/>
      <c r="M126" s="1548"/>
      <c r="N126" s="1549"/>
      <c r="O126" s="1178"/>
      <c r="P126" s="1179"/>
      <c r="Q126" s="1171"/>
      <c r="R126" s="104"/>
      <c r="S126" s="1172"/>
      <c r="T126" s="1172"/>
      <c r="U126" s="1172"/>
      <c r="V126" s="1173"/>
      <c r="W126" s="1174"/>
      <c r="X126" s="1175"/>
      <c r="Y126" s="1176"/>
      <c r="Z126" s="1177"/>
      <c r="AA126" s="1547"/>
      <c r="AB126" s="1177"/>
      <c r="AC126" s="1548"/>
      <c r="AD126" s="1549"/>
      <c r="AE126" s="1178"/>
      <c r="AF126" s="1179"/>
      <c r="AG126" s="1171"/>
      <c r="AH126" s="104"/>
      <c r="AI126" s="1172"/>
      <c r="AJ126" s="1172"/>
      <c r="AK126" s="1172"/>
      <c r="AL126" s="1173"/>
      <c r="AM126" s="1174"/>
      <c r="AN126" s="1175"/>
      <c r="AO126" s="1176"/>
      <c r="AP126" s="1177"/>
      <c r="AQ126" s="1547"/>
      <c r="AR126" s="1177"/>
      <c r="AS126" s="1548"/>
      <c r="AT126" s="1549"/>
      <c r="AU126" s="1178"/>
      <c r="AV126" s="1179"/>
      <c r="AY126" s="3">
        <v>1</v>
      </c>
    </row>
    <row r="127" spans="2:51" ht="27" customHeight="1">
      <c r="B127" s="104"/>
      <c r="C127" s="1172"/>
      <c r="D127" s="1172"/>
      <c r="E127" s="1172"/>
      <c r="F127" s="1173"/>
      <c r="G127" s="1174"/>
      <c r="H127" s="1175"/>
      <c r="I127" s="1176"/>
      <c r="J127" s="1177"/>
      <c r="K127" s="1547"/>
      <c r="L127" s="1177"/>
      <c r="M127" s="1548"/>
      <c r="N127" s="1549"/>
      <c r="O127" s="1178"/>
      <c r="P127" s="1179"/>
      <c r="Q127" s="1171"/>
      <c r="R127" s="104"/>
      <c r="S127" s="1172"/>
      <c r="T127" s="1172"/>
      <c r="U127" s="1172"/>
      <c r="V127" s="1173"/>
      <c r="W127" s="1174"/>
      <c r="X127" s="1175"/>
      <c r="Y127" s="1176"/>
      <c r="Z127" s="1177"/>
      <c r="AA127" s="1547"/>
      <c r="AB127" s="1177"/>
      <c r="AC127" s="1548"/>
      <c r="AD127" s="1549"/>
      <c r="AE127" s="1178"/>
      <c r="AF127" s="1179"/>
      <c r="AG127" s="1171"/>
      <c r="AH127" s="104"/>
      <c r="AI127" s="1172"/>
      <c r="AJ127" s="1172"/>
      <c r="AK127" s="1172"/>
      <c r="AL127" s="1173"/>
      <c r="AM127" s="1174"/>
      <c r="AN127" s="1175"/>
      <c r="AO127" s="1176"/>
      <c r="AP127" s="1177"/>
      <c r="AQ127" s="1547"/>
      <c r="AR127" s="1177"/>
      <c r="AS127" s="1548"/>
      <c r="AT127" s="1549"/>
      <c r="AU127" s="1178"/>
      <c r="AV127" s="1179"/>
      <c r="AY127" s="3">
        <v>1</v>
      </c>
    </row>
    <row r="128" spans="2:51" ht="27" customHeight="1">
      <c r="B128" s="104"/>
      <c r="C128" s="1172"/>
      <c r="D128" s="1172"/>
      <c r="E128" s="1172"/>
      <c r="F128" s="1173"/>
      <c r="G128" s="1174"/>
      <c r="H128" s="1175"/>
      <c r="I128" s="1176"/>
      <c r="J128" s="1177"/>
      <c r="K128" s="1547"/>
      <c r="L128" s="1177"/>
      <c r="M128" s="1548"/>
      <c r="N128" s="1549"/>
      <c r="O128" s="1178"/>
      <c r="P128" s="1179"/>
      <c r="Q128" s="1171"/>
      <c r="R128" s="104"/>
      <c r="S128" s="1172"/>
      <c r="T128" s="1172"/>
      <c r="U128" s="1172"/>
      <c r="V128" s="1173"/>
      <c r="W128" s="1174"/>
      <c r="X128" s="1175"/>
      <c r="Y128" s="1176"/>
      <c r="Z128" s="1177"/>
      <c r="AA128" s="1547"/>
      <c r="AB128" s="1177"/>
      <c r="AC128" s="1548"/>
      <c r="AD128" s="1549"/>
      <c r="AE128" s="1178"/>
      <c r="AF128" s="1179"/>
      <c r="AG128" s="1171"/>
      <c r="AH128" s="104"/>
      <c r="AI128" s="1172"/>
      <c r="AJ128" s="1172"/>
      <c r="AK128" s="1172"/>
      <c r="AL128" s="1173"/>
      <c r="AM128" s="1174"/>
      <c r="AN128" s="1175"/>
      <c r="AO128" s="1176"/>
      <c r="AP128" s="1177"/>
      <c r="AQ128" s="1547"/>
      <c r="AR128" s="1177"/>
      <c r="AS128" s="1548"/>
      <c r="AT128" s="1549"/>
      <c r="AU128" s="1178"/>
      <c r="AV128" s="1179"/>
      <c r="AY128" s="3">
        <v>1</v>
      </c>
    </row>
    <row r="129" spans="2:51" ht="27" customHeight="1">
      <c r="B129" s="104"/>
      <c r="C129" s="1172"/>
      <c r="D129" s="1172"/>
      <c r="E129" s="1172"/>
      <c r="F129" s="1173"/>
      <c r="G129" s="1174"/>
      <c r="H129" s="1175"/>
      <c r="I129" s="1176"/>
      <c r="J129" s="1177"/>
      <c r="K129" s="1547"/>
      <c r="L129" s="1177"/>
      <c r="M129" s="1548"/>
      <c r="N129" s="1549"/>
      <c r="O129" s="1178"/>
      <c r="P129" s="1179"/>
      <c r="Q129" s="1171"/>
      <c r="R129" s="104"/>
      <c r="S129" s="1172"/>
      <c r="T129" s="1172"/>
      <c r="U129" s="1172"/>
      <c r="V129" s="1173"/>
      <c r="W129" s="1174"/>
      <c r="X129" s="1175"/>
      <c r="Y129" s="1176"/>
      <c r="Z129" s="1177"/>
      <c r="AA129" s="1547"/>
      <c r="AB129" s="1177"/>
      <c r="AC129" s="1548"/>
      <c r="AD129" s="1549"/>
      <c r="AE129" s="1178"/>
      <c r="AF129" s="1179"/>
      <c r="AG129" s="1171"/>
      <c r="AH129" s="104"/>
      <c r="AI129" s="1172"/>
      <c r="AJ129" s="1172"/>
      <c r="AK129" s="1172"/>
      <c r="AL129" s="1173"/>
      <c r="AM129" s="1174"/>
      <c r="AN129" s="1175"/>
      <c r="AO129" s="1176"/>
      <c r="AP129" s="1177"/>
      <c r="AQ129" s="1547"/>
      <c r="AR129" s="1177"/>
      <c r="AS129" s="1548"/>
      <c r="AT129" s="1549"/>
      <c r="AU129" s="1178"/>
      <c r="AV129" s="1179"/>
      <c r="AY129" s="3">
        <v>1</v>
      </c>
    </row>
    <row r="130" spans="2:51" ht="27" customHeight="1">
      <c r="B130" s="104"/>
      <c r="C130" s="1172"/>
      <c r="D130" s="1172"/>
      <c r="E130" s="1172"/>
      <c r="F130" s="1173"/>
      <c r="G130" s="1174"/>
      <c r="H130" s="1175"/>
      <c r="I130" s="1176"/>
      <c r="J130" s="1177"/>
      <c r="K130" s="1547"/>
      <c r="L130" s="1177"/>
      <c r="M130" s="1548"/>
      <c r="N130" s="1549"/>
      <c r="O130" s="1178"/>
      <c r="P130" s="1179"/>
      <c r="Q130" s="1171"/>
      <c r="R130" s="104"/>
      <c r="S130" s="1172"/>
      <c r="T130" s="1172"/>
      <c r="U130" s="1172"/>
      <c r="V130" s="1173"/>
      <c r="W130" s="1174"/>
      <c r="X130" s="1175"/>
      <c r="Y130" s="1176"/>
      <c r="Z130" s="1177"/>
      <c r="AA130" s="1547"/>
      <c r="AB130" s="1177"/>
      <c r="AC130" s="1548"/>
      <c r="AD130" s="1549"/>
      <c r="AE130" s="1178"/>
      <c r="AF130" s="1179"/>
      <c r="AG130" s="1171"/>
      <c r="AH130" s="104"/>
      <c r="AI130" s="1172"/>
      <c r="AJ130" s="1172"/>
      <c r="AK130" s="1172"/>
      <c r="AL130" s="1173"/>
      <c r="AM130" s="1174"/>
      <c r="AN130" s="1175"/>
      <c r="AO130" s="1176"/>
      <c r="AP130" s="1177"/>
      <c r="AQ130" s="1547"/>
      <c r="AR130" s="1177"/>
      <c r="AS130" s="1548"/>
      <c r="AT130" s="1549"/>
      <c r="AU130" s="1178"/>
      <c r="AV130" s="1179"/>
      <c r="AY130" s="3">
        <v>1</v>
      </c>
    </row>
    <row r="131" spans="2:51" ht="27" customHeight="1">
      <c r="B131" s="104"/>
      <c r="C131" s="1172"/>
      <c r="D131" s="1172"/>
      <c r="E131" s="1172"/>
      <c r="F131" s="1173"/>
      <c r="G131" s="1174"/>
      <c r="H131" s="1175"/>
      <c r="I131" s="1176"/>
      <c r="J131" s="1177"/>
      <c r="K131" s="1547"/>
      <c r="L131" s="1177"/>
      <c r="M131" s="1548"/>
      <c r="N131" s="1549"/>
      <c r="O131" s="1178"/>
      <c r="P131" s="1179"/>
      <c r="Q131" s="1171"/>
      <c r="R131" s="104"/>
      <c r="S131" s="1172"/>
      <c r="T131" s="1172"/>
      <c r="U131" s="1172"/>
      <c r="V131" s="1173"/>
      <c r="W131" s="1174"/>
      <c r="X131" s="1175"/>
      <c r="Y131" s="1176"/>
      <c r="Z131" s="1177"/>
      <c r="AA131" s="1547"/>
      <c r="AB131" s="1177"/>
      <c r="AC131" s="1548"/>
      <c r="AD131" s="1549"/>
      <c r="AE131" s="1178"/>
      <c r="AF131" s="1179"/>
      <c r="AG131" s="1171"/>
      <c r="AH131" s="104"/>
      <c r="AI131" s="1172"/>
      <c r="AJ131" s="1172"/>
      <c r="AK131" s="1172"/>
      <c r="AL131" s="1173"/>
      <c r="AM131" s="1174"/>
      <c r="AN131" s="1175"/>
      <c r="AO131" s="1176"/>
      <c r="AP131" s="1177"/>
      <c r="AQ131" s="1547"/>
      <c r="AR131" s="1177"/>
      <c r="AS131" s="1548"/>
      <c r="AT131" s="1549"/>
      <c r="AU131" s="1178"/>
      <c r="AV131" s="1179"/>
      <c r="AY131" s="3">
        <v>1</v>
      </c>
    </row>
    <row r="132" spans="2:51" ht="27" customHeight="1">
      <c r="B132" s="104"/>
      <c r="C132" s="1172"/>
      <c r="D132" s="1172"/>
      <c r="E132" s="1172"/>
      <c r="F132" s="1173"/>
      <c r="G132" s="1174"/>
      <c r="H132" s="1175"/>
      <c r="I132" s="1176"/>
      <c r="J132" s="1177"/>
      <c r="K132" s="1547"/>
      <c r="L132" s="1177"/>
      <c r="M132" s="1548"/>
      <c r="N132" s="1549"/>
      <c r="O132" s="1178"/>
      <c r="P132" s="1179"/>
      <c r="Q132" s="1171"/>
      <c r="R132" s="104"/>
      <c r="S132" s="1172"/>
      <c r="T132" s="1172"/>
      <c r="U132" s="1172"/>
      <c r="V132" s="1173"/>
      <c r="W132" s="1174"/>
      <c r="X132" s="1175"/>
      <c r="Y132" s="1176"/>
      <c r="Z132" s="1177"/>
      <c r="AA132" s="1547"/>
      <c r="AB132" s="1177"/>
      <c r="AC132" s="1548"/>
      <c r="AD132" s="1549"/>
      <c r="AE132" s="1178"/>
      <c r="AF132" s="1179"/>
      <c r="AG132" s="1171"/>
      <c r="AH132" s="104"/>
      <c r="AI132" s="1172"/>
      <c r="AJ132" s="1172"/>
      <c r="AK132" s="1172"/>
      <c r="AL132" s="1173"/>
      <c r="AM132" s="1174"/>
      <c r="AN132" s="1175"/>
      <c r="AO132" s="1176"/>
      <c r="AP132" s="1177"/>
      <c r="AQ132" s="1547"/>
      <c r="AR132" s="1177"/>
      <c r="AS132" s="1548"/>
      <c r="AT132" s="1549"/>
      <c r="AU132" s="1178"/>
      <c r="AV132" s="1179"/>
      <c r="AY132" s="3">
        <v>1</v>
      </c>
    </row>
    <row r="133" spans="2:51" ht="27" customHeight="1">
      <c r="B133" s="104"/>
      <c r="C133" s="1172"/>
      <c r="D133" s="1172"/>
      <c r="E133" s="1172"/>
      <c r="F133" s="1173"/>
      <c r="G133" s="1174"/>
      <c r="H133" s="1175"/>
      <c r="I133" s="1176"/>
      <c r="J133" s="1177"/>
      <c r="K133" s="1547"/>
      <c r="L133" s="1177"/>
      <c r="M133" s="1548"/>
      <c r="N133" s="1549"/>
      <c r="O133" s="1178"/>
      <c r="P133" s="1179"/>
      <c r="Q133" s="1171"/>
      <c r="R133" s="104"/>
      <c r="S133" s="1172"/>
      <c r="T133" s="1172"/>
      <c r="U133" s="1172"/>
      <c r="V133" s="1173"/>
      <c r="W133" s="1174"/>
      <c r="X133" s="1175"/>
      <c r="Y133" s="1176"/>
      <c r="Z133" s="1177"/>
      <c r="AA133" s="1547"/>
      <c r="AB133" s="1177"/>
      <c r="AC133" s="1548"/>
      <c r="AD133" s="1549"/>
      <c r="AE133" s="1178"/>
      <c r="AF133" s="1179"/>
      <c r="AG133" s="1171"/>
      <c r="AH133" s="104"/>
      <c r="AI133" s="1172"/>
      <c r="AJ133" s="1172"/>
      <c r="AK133" s="1172"/>
      <c r="AL133" s="1173"/>
      <c r="AM133" s="1174"/>
      <c r="AN133" s="1175"/>
      <c r="AO133" s="1176"/>
      <c r="AP133" s="1177"/>
      <c r="AQ133" s="1547"/>
      <c r="AR133" s="1177"/>
      <c r="AS133" s="1548"/>
      <c r="AT133" s="1549"/>
      <c r="AU133" s="1178"/>
      <c r="AV133" s="1179"/>
      <c r="AY133" s="3">
        <v>1</v>
      </c>
    </row>
    <row r="134" spans="2:51" ht="27" customHeight="1">
      <c r="B134" s="104"/>
      <c r="C134" s="1172"/>
      <c r="D134" s="1172"/>
      <c r="E134" s="1172"/>
      <c r="F134" s="1173"/>
      <c r="G134" s="1174"/>
      <c r="H134" s="1175"/>
      <c r="I134" s="1176"/>
      <c r="J134" s="1177"/>
      <c r="K134" s="1547"/>
      <c r="L134" s="1177"/>
      <c r="M134" s="1548"/>
      <c r="N134" s="1549"/>
      <c r="O134" s="1178"/>
      <c r="P134" s="1179"/>
      <c r="Q134" s="1171"/>
      <c r="R134" s="104"/>
      <c r="S134" s="1172"/>
      <c r="T134" s="1172"/>
      <c r="U134" s="1172"/>
      <c r="V134" s="1173"/>
      <c r="W134" s="1174"/>
      <c r="X134" s="1175"/>
      <c r="Y134" s="1176"/>
      <c r="Z134" s="1177"/>
      <c r="AA134" s="1547"/>
      <c r="AB134" s="1177"/>
      <c r="AC134" s="1548"/>
      <c r="AD134" s="1549"/>
      <c r="AE134" s="1178"/>
      <c r="AF134" s="1179"/>
      <c r="AG134" s="1171"/>
      <c r="AH134" s="104"/>
      <c r="AI134" s="1172"/>
      <c r="AJ134" s="1172"/>
      <c r="AK134" s="1172"/>
      <c r="AL134" s="1173"/>
      <c r="AM134" s="1174"/>
      <c r="AN134" s="1175"/>
      <c r="AO134" s="1176"/>
      <c r="AP134" s="1177"/>
      <c r="AQ134" s="1547"/>
      <c r="AR134" s="1177"/>
      <c r="AS134" s="1548"/>
      <c r="AT134" s="1549"/>
      <c r="AU134" s="1178"/>
      <c r="AV134" s="1179"/>
      <c r="AY134" s="3">
        <v>1</v>
      </c>
    </row>
    <row r="135" spans="2:51" ht="27" customHeight="1">
      <c r="B135" s="104"/>
      <c r="C135" s="1172"/>
      <c r="D135" s="1172"/>
      <c r="E135" s="1172"/>
      <c r="F135" s="1173"/>
      <c r="G135" s="1174"/>
      <c r="H135" s="1175"/>
      <c r="I135" s="1176"/>
      <c r="J135" s="1177"/>
      <c r="K135" s="1547"/>
      <c r="L135" s="1177"/>
      <c r="M135" s="1548"/>
      <c r="N135" s="1549"/>
      <c r="O135" s="1178"/>
      <c r="P135" s="1179"/>
      <c r="Q135" s="1171"/>
      <c r="R135" s="104"/>
      <c r="S135" s="1172"/>
      <c r="T135" s="1172"/>
      <c r="U135" s="1172"/>
      <c r="V135" s="1173"/>
      <c r="W135" s="1174"/>
      <c r="X135" s="1175"/>
      <c r="Y135" s="1176"/>
      <c r="Z135" s="1177"/>
      <c r="AA135" s="1547"/>
      <c r="AB135" s="1177"/>
      <c r="AC135" s="1548"/>
      <c r="AD135" s="1549"/>
      <c r="AE135" s="1178"/>
      <c r="AF135" s="1179"/>
      <c r="AG135" s="1171"/>
      <c r="AH135" s="104"/>
      <c r="AI135" s="1172"/>
      <c r="AJ135" s="1172"/>
      <c r="AK135" s="1172"/>
      <c r="AL135" s="1173"/>
      <c r="AM135" s="1174"/>
      <c r="AN135" s="1175"/>
      <c r="AO135" s="1176"/>
      <c r="AP135" s="1177"/>
      <c r="AQ135" s="1547"/>
      <c r="AR135" s="1177"/>
      <c r="AS135" s="1548"/>
      <c r="AT135" s="1549"/>
      <c r="AU135" s="1178"/>
      <c r="AV135" s="1179"/>
      <c r="AY135" s="3">
        <v>1</v>
      </c>
    </row>
    <row r="136" spans="2:51" ht="27" customHeight="1">
      <c r="B136" s="104"/>
      <c r="C136" s="1172"/>
      <c r="D136" s="1172"/>
      <c r="E136" s="1172"/>
      <c r="F136" s="1173"/>
      <c r="G136" s="1174"/>
      <c r="H136" s="1175"/>
      <c r="I136" s="1176"/>
      <c r="J136" s="1177"/>
      <c r="K136" s="1547"/>
      <c r="L136" s="1177"/>
      <c r="M136" s="1548"/>
      <c r="N136" s="1549"/>
      <c r="O136" s="1178"/>
      <c r="P136" s="1179"/>
      <c r="Q136" s="1171"/>
      <c r="R136" s="104"/>
      <c r="S136" s="1172"/>
      <c r="T136" s="1172"/>
      <c r="U136" s="1172"/>
      <c r="V136" s="1173"/>
      <c r="W136" s="1174"/>
      <c r="X136" s="1175"/>
      <c r="Y136" s="1176"/>
      <c r="Z136" s="1177"/>
      <c r="AA136" s="1547"/>
      <c r="AB136" s="1177"/>
      <c r="AC136" s="1548"/>
      <c r="AD136" s="1549"/>
      <c r="AE136" s="1178"/>
      <c r="AF136" s="1179"/>
      <c r="AG136" s="1171"/>
      <c r="AH136" s="104"/>
      <c r="AI136" s="1172"/>
      <c r="AJ136" s="1172"/>
      <c r="AK136" s="1172"/>
      <c r="AL136" s="1173"/>
      <c r="AM136" s="1174"/>
      <c r="AN136" s="1175"/>
      <c r="AO136" s="1176"/>
      <c r="AP136" s="1177"/>
      <c r="AQ136" s="1547"/>
      <c r="AR136" s="1177"/>
      <c r="AS136" s="1548"/>
      <c r="AT136" s="1549"/>
      <c r="AU136" s="1178"/>
      <c r="AV136" s="1179"/>
      <c r="AY136" s="3">
        <v>1</v>
      </c>
    </row>
    <row r="137" spans="2:51" ht="27" customHeight="1">
      <c r="B137" s="104"/>
      <c r="C137" s="1172"/>
      <c r="D137" s="1172"/>
      <c r="E137" s="1172"/>
      <c r="F137" s="1173"/>
      <c r="G137" s="1174"/>
      <c r="H137" s="1175"/>
      <c r="I137" s="1176"/>
      <c r="J137" s="1177"/>
      <c r="K137" s="1547"/>
      <c r="L137" s="1177"/>
      <c r="M137" s="1548"/>
      <c r="N137" s="1549"/>
      <c r="O137" s="1178"/>
      <c r="P137" s="1179"/>
      <c r="Q137" s="1171"/>
      <c r="R137" s="104"/>
      <c r="S137" s="1172"/>
      <c r="T137" s="1172"/>
      <c r="U137" s="1172"/>
      <c r="V137" s="1173"/>
      <c r="W137" s="1174"/>
      <c r="X137" s="1175"/>
      <c r="Y137" s="1176"/>
      <c r="Z137" s="1177"/>
      <c r="AA137" s="1547"/>
      <c r="AB137" s="1177"/>
      <c r="AC137" s="1548"/>
      <c r="AD137" s="1549"/>
      <c r="AE137" s="1178"/>
      <c r="AF137" s="1179"/>
      <c r="AG137" s="1171"/>
      <c r="AH137" s="104"/>
      <c r="AI137" s="1172"/>
      <c r="AJ137" s="1172"/>
      <c r="AK137" s="1172"/>
      <c r="AL137" s="1173"/>
      <c r="AM137" s="1174"/>
      <c r="AN137" s="1175"/>
      <c r="AO137" s="1176"/>
      <c r="AP137" s="1177"/>
      <c r="AQ137" s="1547"/>
      <c r="AR137" s="1177"/>
      <c r="AS137" s="1548"/>
      <c r="AT137" s="1549"/>
      <c r="AU137" s="1178"/>
      <c r="AV137" s="1179"/>
      <c r="AY137" s="3">
        <v>1</v>
      </c>
    </row>
    <row r="138" spans="2:51" ht="27" customHeight="1">
      <c r="B138" s="104"/>
      <c r="C138" s="1172"/>
      <c r="D138" s="1172"/>
      <c r="E138" s="1172"/>
      <c r="F138" s="1173"/>
      <c r="G138" s="1174"/>
      <c r="H138" s="1175"/>
      <c r="I138" s="1176"/>
      <c r="J138" s="1177"/>
      <c r="K138" s="1547"/>
      <c r="L138" s="1177"/>
      <c r="M138" s="1548"/>
      <c r="N138" s="1549"/>
      <c r="O138" s="1178"/>
      <c r="P138" s="1179"/>
      <c r="Q138" s="1171"/>
      <c r="R138" s="104"/>
      <c r="S138" s="1172"/>
      <c r="T138" s="1172"/>
      <c r="U138" s="1172"/>
      <c r="V138" s="1173"/>
      <c r="W138" s="1174"/>
      <c r="X138" s="1175"/>
      <c r="Y138" s="1176"/>
      <c r="Z138" s="1177"/>
      <c r="AA138" s="1547"/>
      <c r="AB138" s="1177"/>
      <c r="AC138" s="1548"/>
      <c r="AD138" s="1549"/>
      <c r="AE138" s="1178"/>
      <c r="AF138" s="1179"/>
      <c r="AG138" s="1171"/>
      <c r="AH138" s="104"/>
      <c r="AI138" s="1172"/>
      <c r="AJ138" s="1172"/>
      <c r="AK138" s="1172"/>
      <c r="AL138" s="1173"/>
      <c r="AM138" s="1174"/>
      <c r="AN138" s="1175"/>
      <c r="AO138" s="1176"/>
      <c r="AP138" s="1177"/>
      <c r="AQ138" s="1547"/>
      <c r="AR138" s="1177"/>
      <c r="AS138" s="1548"/>
      <c r="AT138" s="1549"/>
      <c r="AU138" s="1178"/>
      <c r="AV138" s="1179"/>
      <c r="AY138" s="3">
        <v>1</v>
      </c>
    </row>
    <row r="139" spans="2:51" ht="27" customHeight="1">
      <c r="B139" s="104"/>
      <c r="C139" s="1172"/>
      <c r="D139" s="1172"/>
      <c r="E139" s="1172"/>
      <c r="F139" s="1173"/>
      <c r="G139" s="1174"/>
      <c r="H139" s="1175"/>
      <c r="I139" s="1176"/>
      <c r="J139" s="1177"/>
      <c r="K139" s="1547"/>
      <c r="L139" s="1177"/>
      <c r="M139" s="1548"/>
      <c r="N139" s="1549"/>
      <c r="O139" s="1178"/>
      <c r="P139" s="1179"/>
      <c r="Q139" s="1171"/>
      <c r="R139" s="104"/>
      <c r="S139" s="1172"/>
      <c r="T139" s="1172"/>
      <c r="U139" s="1172"/>
      <c r="V139" s="1173"/>
      <c r="W139" s="1174"/>
      <c r="X139" s="1175"/>
      <c r="Y139" s="1176"/>
      <c r="Z139" s="1177"/>
      <c r="AA139" s="1547"/>
      <c r="AB139" s="1177"/>
      <c r="AC139" s="1548"/>
      <c r="AD139" s="1549"/>
      <c r="AE139" s="1178"/>
      <c r="AF139" s="1179"/>
      <c r="AG139" s="1171"/>
      <c r="AH139" s="104"/>
      <c r="AI139" s="1172"/>
      <c r="AJ139" s="1172"/>
      <c r="AK139" s="1172"/>
      <c r="AL139" s="1173"/>
      <c r="AM139" s="1174"/>
      <c r="AN139" s="1175"/>
      <c r="AO139" s="1176"/>
      <c r="AP139" s="1177"/>
      <c r="AQ139" s="1547"/>
      <c r="AR139" s="1177"/>
      <c r="AS139" s="1548"/>
      <c r="AT139" s="1549"/>
      <c r="AU139" s="1178"/>
      <c r="AV139" s="1179"/>
      <c r="AY139" s="3">
        <v>1</v>
      </c>
    </row>
    <row r="140" spans="2:51" ht="27" customHeight="1">
      <c r="B140" s="104"/>
      <c r="C140" s="1172"/>
      <c r="D140" s="1172"/>
      <c r="E140" s="1172"/>
      <c r="F140" s="1173"/>
      <c r="G140" s="1174"/>
      <c r="H140" s="1175"/>
      <c r="I140" s="1176"/>
      <c r="J140" s="1177"/>
      <c r="K140" s="1547"/>
      <c r="L140" s="1177"/>
      <c r="M140" s="1548"/>
      <c r="N140" s="1549"/>
      <c r="O140" s="1178"/>
      <c r="P140" s="1179"/>
      <c r="Q140" s="1171"/>
      <c r="R140" s="104"/>
      <c r="S140" s="1172"/>
      <c r="T140" s="1172"/>
      <c r="U140" s="1172"/>
      <c r="V140" s="1173"/>
      <c r="W140" s="1174"/>
      <c r="X140" s="1175"/>
      <c r="Y140" s="1176"/>
      <c r="Z140" s="1177"/>
      <c r="AA140" s="1547"/>
      <c r="AB140" s="1177"/>
      <c r="AC140" s="1548"/>
      <c r="AD140" s="1549"/>
      <c r="AE140" s="1178"/>
      <c r="AF140" s="1179"/>
      <c r="AG140" s="1171"/>
      <c r="AH140" s="104"/>
      <c r="AI140" s="1172"/>
      <c r="AJ140" s="1172"/>
      <c r="AK140" s="1172"/>
      <c r="AL140" s="1173"/>
      <c r="AM140" s="1174"/>
      <c r="AN140" s="1175"/>
      <c r="AO140" s="1176"/>
      <c r="AP140" s="1177"/>
      <c r="AQ140" s="1547"/>
      <c r="AR140" s="1177"/>
      <c r="AS140" s="1548"/>
      <c r="AT140" s="1549"/>
      <c r="AU140" s="1178"/>
      <c r="AV140" s="1179"/>
      <c r="AY140" s="3">
        <v>1</v>
      </c>
    </row>
    <row r="141" spans="2:51" ht="27" customHeight="1">
      <c r="B141" s="104"/>
      <c r="C141" s="1172"/>
      <c r="D141" s="1172"/>
      <c r="E141" s="1172"/>
      <c r="F141" s="1173"/>
      <c r="G141" s="1174"/>
      <c r="H141" s="1175"/>
      <c r="I141" s="1176"/>
      <c r="J141" s="1177"/>
      <c r="K141" s="1547"/>
      <c r="L141" s="1177"/>
      <c r="M141" s="1548"/>
      <c r="N141" s="1549"/>
      <c r="O141" s="1178"/>
      <c r="P141" s="1179"/>
      <c r="Q141" s="1171"/>
      <c r="R141" s="104"/>
      <c r="S141" s="1172"/>
      <c r="T141" s="1172"/>
      <c r="U141" s="1172"/>
      <c r="V141" s="1173"/>
      <c r="W141" s="1174"/>
      <c r="X141" s="1175"/>
      <c r="Y141" s="1176"/>
      <c r="Z141" s="1177"/>
      <c r="AA141" s="1547"/>
      <c r="AB141" s="1177"/>
      <c r="AC141" s="1548"/>
      <c r="AD141" s="1549"/>
      <c r="AE141" s="1178"/>
      <c r="AF141" s="1179"/>
      <c r="AG141" s="1171"/>
      <c r="AH141" s="104"/>
      <c r="AI141" s="1172"/>
      <c r="AJ141" s="1172"/>
      <c r="AK141" s="1172"/>
      <c r="AL141" s="1173"/>
      <c r="AM141" s="1174"/>
      <c r="AN141" s="1175"/>
      <c r="AO141" s="1176"/>
      <c r="AP141" s="1177"/>
      <c r="AQ141" s="1547"/>
      <c r="AR141" s="1177"/>
      <c r="AS141" s="1548"/>
      <c r="AT141" s="1549"/>
      <c r="AU141" s="1178"/>
      <c r="AV141" s="1179"/>
      <c r="AY141" s="3">
        <v>1</v>
      </c>
    </row>
    <row r="142" spans="2:51" ht="27" customHeight="1">
      <c r="B142" s="104"/>
      <c r="C142" s="1172"/>
      <c r="D142" s="1172"/>
      <c r="E142" s="1172"/>
      <c r="F142" s="1173"/>
      <c r="G142" s="1174"/>
      <c r="H142" s="1175"/>
      <c r="I142" s="1176"/>
      <c r="J142" s="1177"/>
      <c r="K142" s="1547"/>
      <c r="L142" s="1177"/>
      <c r="M142" s="1548"/>
      <c r="N142" s="1549"/>
      <c r="O142" s="1178"/>
      <c r="P142" s="1179"/>
      <c r="Q142" s="1171"/>
      <c r="R142" s="104"/>
      <c r="S142" s="1172"/>
      <c r="T142" s="1172"/>
      <c r="U142" s="1172"/>
      <c r="V142" s="1173"/>
      <c r="W142" s="1174"/>
      <c r="X142" s="1175"/>
      <c r="Y142" s="1176"/>
      <c r="Z142" s="1177"/>
      <c r="AA142" s="1547"/>
      <c r="AB142" s="1177"/>
      <c r="AC142" s="1548"/>
      <c r="AD142" s="1549"/>
      <c r="AE142" s="1178"/>
      <c r="AF142" s="1179"/>
      <c r="AG142" s="1171"/>
      <c r="AH142" s="104"/>
      <c r="AI142" s="1172"/>
      <c r="AJ142" s="1172"/>
      <c r="AK142" s="1172"/>
      <c r="AL142" s="1173"/>
      <c r="AM142" s="1174"/>
      <c r="AN142" s="1175"/>
      <c r="AO142" s="1176"/>
      <c r="AP142" s="1177"/>
      <c r="AQ142" s="1547"/>
      <c r="AR142" s="1177"/>
      <c r="AS142" s="1548"/>
      <c r="AT142" s="1549"/>
      <c r="AU142" s="1178"/>
      <c r="AV142" s="1179"/>
      <c r="AY142" s="3">
        <v>1</v>
      </c>
    </row>
    <row r="143" spans="2:51" ht="27" customHeight="1">
      <c r="B143" s="104"/>
      <c r="C143" s="1172"/>
      <c r="D143" s="1172"/>
      <c r="E143" s="1172"/>
      <c r="F143" s="1173"/>
      <c r="G143" s="1174"/>
      <c r="H143" s="1175"/>
      <c r="I143" s="1176"/>
      <c r="J143" s="1177"/>
      <c r="K143" s="1547"/>
      <c r="L143" s="1177"/>
      <c r="M143" s="1548"/>
      <c r="N143" s="1549"/>
      <c r="O143" s="1178"/>
      <c r="P143" s="1179"/>
      <c r="Q143" s="1171"/>
      <c r="R143" s="104"/>
      <c r="S143" s="1172"/>
      <c r="T143" s="1172"/>
      <c r="U143" s="1172"/>
      <c r="V143" s="1173"/>
      <c r="W143" s="1174"/>
      <c r="X143" s="1175"/>
      <c r="Y143" s="1176"/>
      <c r="Z143" s="1177"/>
      <c r="AA143" s="1547"/>
      <c r="AB143" s="1177"/>
      <c r="AC143" s="1548"/>
      <c r="AD143" s="1549"/>
      <c r="AE143" s="1178"/>
      <c r="AF143" s="1179"/>
      <c r="AG143" s="1171"/>
      <c r="AH143" s="104"/>
      <c r="AI143" s="1172"/>
      <c r="AJ143" s="1172"/>
      <c r="AK143" s="1172"/>
      <c r="AL143" s="1173"/>
      <c r="AM143" s="1174"/>
      <c r="AN143" s="1175"/>
      <c r="AO143" s="1176"/>
      <c r="AP143" s="1177"/>
      <c r="AQ143" s="1547"/>
      <c r="AR143" s="1177"/>
      <c r="AS143" s="1548"/>
      <c r="AT143" s="1549"/>
      <c r="AU143" s="1178"/>
      <c r="AV143" s="1179"/>
      <c r="AY143" s="3">
        <v>1</v>
      </c>
    </row>
    <row r="144" spans="2:51" ht="27" customHeight="1">
      <c r="B144" s="104"/>
      <c r="C144" s="1172"/>
      <c r="D144" s="1172"/>
      <c r="E144" s="1172"/>
      <c r="F144" s="1173"/>
      <c r="G144" s="1174"/>
      <c r="H144" s="1175"/>
      <c r="I144" s="1176"/>
      <c r="J144" s="1177"/>
      <c r="K144" s="1547"/>
      <c r="L144" s="1177"/>
      <c r="M144" s="1548"/>
      <c r="N144" s="1549"/>
      <c r="O144" s="1178"/>
      <c r="P144" s="1179"/>
      <c r="Q144" s="1171"/>
      <c r="R144" s="104"/>
      <c r="S144" s="1172"/>
      <c r="T144" s="1172"/>
      <c r="U144" s="1172"/>
      <c r="V144" s="1173"/>
      <c r="W144" s="1174"/>
      <c r="X144" s="1175"/>
      <c r="Y144" s="1176"/>
      <c r="Z144" s="1177"/>
      <c r="AA144" s="1547"/>
      <c r="AB144" s="1177"/>
      <c r="AC144" s="1548"/>
      <c r="AD144" s="1549"/>
      <c r="AE144" s="1178"/>
      <c r="AF144" s="1179"/>
      <c r="AG144" s="1171"/>
      <c r="AH144" s="104"/>
      <c r="AI144" s="1172"/>
      <c r="AJ144" s="1172"/>
      <c r="AK144" s="1172"/>
      <c r="AL144" s="1173"/>
      <c r="AM144" s="1174"/>
      <c r="AN144" s="1175"/>
      <c r="AO144" s="1176"/>
      <c r="AP144" s="1177"/>
      <c r="AQ144" s="1547"/>
      <c r="AR144" s="1177"/>
      <c r="AS144" s="1548"/>
      <c r="AT144" s="1549"/>
      <c r="AU144" s="1178"/>
      <c r="AV144" s="1179"/>
      <c r="AY144" s="3">
        <v>1</v>
      </c>
    </row>
    <row r="145" spans="2:51" ht="27" customHeight="1">
      <c r="B145" s="104"/>
      <c r="C145" s="1172"/>
      <c r="D145" s="1172"/>
      <c r="E145" s="1172"/>
      <c r="F145" s="1173"/>
      <c r="G145" s="1174"/>
      <c r="H145" s="1175"/>
      <c r="I145" s="1176"/>
      <c r="J145" s="1177"/>
      <c r="K145" s="1547"/>
      <c r="L145" s="1177"/>
      <c r="M145" s="1548"/>
      <c r="N145" s="1549"/>
      <c r="O145" s="1178"/>
      <c r="P145" s="1179"/>
      <c r="Q145" s="1171"/>
      <c r="R145" s="104"/>
      <c r="S145" s="1172"/>
      <c r="T145" s="1172"/>
      <c r="U145" s="1172"/>
      <c r="V145" s="1173"/>
      <c r="W145" s="1174"/>
      <c r="X145" s="1175"/>
      <c r="Y145" s="1176"/>
      <c r="Z145" s="1177"/>
      <c r="AA145" s="1547"/>
      <c r="AB145" s="1177"/>
      <c r="AC145" s="1548"/>
      <c r="AD145" s="1549"/>
      <c r="AE145" s="1178"/>
      <c r="AF145" s="1179"/>
      <c r="AG145" s="1171"/>
      <c r="AH145" s="104"/>
      <c r="AI145" s="1172"/>
      <c r="AJ145" s="1172"/>
      <c r="AK145" s="1172"/>
      <c r="AL145" s="1173"/>
      <c r="AM145" s="1174"/>
      <c r="AN145" s="1175"/>
      <c r="AO145" s="1176"/>
      <c r="AP145" s="1177"/>
      <c r="AQ145" s="1547"/>
      <c r="AR145" s="1177"/>
      <c r="AS145" s="1548"/>
      <c r="AT145" s="1549"/>
      <c r="AU145" s="1178"/>
      <c r="AV145" s="1179"/>
      <c r="AY145" s="3">
        <v>1</v>
      </c>
    </row>
    <row r="146" spans="2:51" ht="27" customHeight="1">
      <c r="B146" s="104"/>
      <c r="C146" s="1172"/>
      <c r="D146" s="1172"/>
      <c r="E146" s="1172"/>
      <c r="F146" s="1173"/>
      <c r="G146" s="1174"/>
      <c r="H146" s="1175"/>
      <c r="I146" s="1176"/>
      <c r="J146" s="1177"/>
      <c r="K146" s="1547"/>
      <c r="L146" s="1177"/>
      <c r="M146" s="1548"/>
      <c r="N146" s="1549"/>
      <c r="O146" s="1178"/>
      <c r="P146" s="1179"/>
      <c r="Q146" s="1171"/>
      <c r="R146" s="104"/>
      <c r="S146" s="1172"/>
      <c r="T146" s="1172"/>
      <c r="U146" s="1172"/>
      <c r="V146" s="1173"/>
      <c r="W146" s="1174"/>
      <c r="X146" s="1175"/>
      <c r="Y146" s="1176"/>
      <c r="Z146" s="1177"/>
      <c r="AA146" s="1547"/>
      <c r="AB146" s="1177"/>
      <c r="AC146" s="1548"/>
      <c r="AD146" s="1549"/>
      <c r="AE146" s="1178"/>
      <c r="AF146" s="1179"/>
      <c r="AG146" s="1171"/>
      <c r="AH146" s="104"/>
      <c r="AI146" s="1172"/>
      <c r="AJ146" s="1172"/>
      <c r="AK146" s="1172"/>
      <c r="AL146" s="1173"/>
      <c r="AM146" s="1174"/>
      <c r="AN146" s="1175"/>
      <c r="AO146" s="1176"/>
      <c r="AP146" s="1177"/>
      <c r="AQ146" s="1547"/>
      <c r="AR146" s="1177"/>
      <c r="AS146" s="1548"/>
      <c r="AT146" s="1549"/>
      <c r="AU146" s="1178"/>
      <c r="AV146" s="1179"/>
      <c r="AY146" s="3">
        <v>1</v>
      </c>
    </row>
    <row r="147" spans="2:51" ht="27" customHeight="1">
      <c r="B147" s="104"/>
      <c r="C147" s="1172"/>
      <c r="D147" s="1172"/>
      <c r="E147" s="1172"/>
      <c r="F147" s="1173"/>
      <c r="G147" s="1174"/>
      <c r="H147" s="1175"/>
      <c r="I147" s="1176"/>
      <c r="J147" s="1177"/>
      <c r="K147" s="1547"/>
      <c r="L147" s="1177"/>
      <c r="M147" s="1548"/>
      <c r="N147" s="1549"/>
      <c r="O147" s="1178"/>
      <c r="P147" s="1179"/>
      <c r="Q147" s="1171"/>
      <c r="R147" s="104"/>
      <c r="S147" s="1172"/>
      <c r="T147" s="1172"/>
      <c r="U147" s="1172"/>
      <c r="V147" s="1173"/>
      <c r="W147" s="1174"/>
      <c r="X147" s="1175"/>
      <c r="Y147" s="1176"/>
      <c r="Z147" s="1177"/>
      <c r="AA147" s="1547"/>
      <c r="AB147" s="1177"/>
      <c r="AC147" s="1548"/>
      <c r="AD147" s="1549"/>
      <c r="AE147" s="1178"/>
      <c r="AF147" s="1179"/>
      <c r="AG147" s="1171"/>
      <c r="AH147" s="104"/>
      <c r="AI147" s="1172"/>
      <c r="AJ147" s="1172"/>
      <c r="AK147" s="1172"/>
      <c r="AL147" s="1173"/>
      <c r="AM147" s="1174"/>
      <c r="AN147" s="1175"/>
      <c r="AO147" s="1176"/>
      <c r="AP147" s="1177"/>
      <c r="AQ147" s="1547"/>
      <c r="AR147" s="1177"/>
      <c r="AS147" s="1548"/>
      <c r="AT147" s="1549"/>
      <c r="AU147" s="1178"/>
      <c r="AV147" s="1179"/>
      <c r="AY147" s="3">
        <v>1</v>
      </c>
    </row>
    <row r="148" spans="2:51" ht="27" customHeight="1">
      <c r="B148" s="104"/>
      <c r="C148" s="1172"/>
      <c r="D148" s="1172"/>
      <c r="E148" s="1172"/>
      <c r="F148" s="1173"/>
      <c r="G148" s="1174"/>
      <c r="H148" s="1175"/>
      <c r="I148" s="1176"/>
      <c r="J148" s="1177"/>
      <c r="K148" s="1547"/>
      <c r="L148" s="1177"/>
      <c r="M148" s="1548"/>
      <c r="N148" s="1549"/>
      <c r="O148" s="1178"/>
      <c r="P148" s="1179"/>
      <c r="Q148" s="1171"/>
      <c r="R148" s="104"/>
      <c r="S148" s="1172"/>
      <c r="T148" s="1172"/>
      <c r="U148" s="1172"/>
      <c r="V148" s="1173"/>
      <c r="W148" s="1174"/>
      <c r="X148" s="1175"/>
      <c r="Y148" s="1176"/>
      <c r="Z148" s="1177"/>
      <c r="AA148" s="1547"/>
      <c r="AB148" s="1177"/>
      <c r="AC148" s="1548"/>
      <c r="AD148" s="1549"/>
      <c r="AE148" s="1178"/>
      <c r="AF148" s="1179"/>
      <c r="AG148" s="1171"/>
      <c r="AH148" s="104"/>
      <c r="AI148" s="1172"/>
      <c r="AJ148" s="1172"/>
      <c r="AK148" s="1172"/>
      <c r="AL148" s="1173"/>
      <c r="AM148" s="1174"/>
      <c r="AN148" s="1175"/>
      <c r="AO148" s="1176"/>
      <c r="AP148" s="1177"/>
      <c r="AQ148" s="1547"/>
      <c r="AR148" s="1177"/>
      <c r="AS148" s="1548"/>
      <c r="AT148" s="1549"/>
      <c r="AU148" s="1178"/>
      <c r="AV148" s="1179"/>
      <c r="AY148" s="3">
        <v>1</v>
      </c>
    </row>
    <row r="149" spans="2:51" ht="27" customHeight="1">
      <c r="B149" s="104"/>
      <c r="C149" s="1172"/>
      <c r="D149" s="1172"/>
      <c r="E149" s="1172"/>
      <c r="F149" s="1173"/>
      <c r="G149" s="1174"/>
      <c r="H149" s="1175"/>
      <c r="I149" s="1176"/>
      <c r="J149" s="1177"/>
      <c r="K149" s="1547"/>
      <c r="L149" s="1177"/>
      <c r="M149" s="1548"/>
      <c r="N149" s="1549"/>
      <c r="O149" s="1178"/>
      <c r="P149" s="1179"/>
      <c r="Q149" s="1171"/>
      <c r="R149" s="104"/>
      <c r="S149" s="1172"/>
      <c r="T149" s="1172"/>
      <c r="U149" s="1172"/>
      <c r="V149" s="1173"/>
      <c r="W149" s="1174"/>
      <c r="X149" s="1175"/>
      <c r="Y149" s="1176"/>
      <c r="Z149" s="1177"/>
      <c r="AA149" s="1547"/>
      <c r="AB149" s="1177"/>
      <c r="AC149" s="1548"/>
      <c r="AD149" s="1549"/>
      <c r="AE149" s="1178"/>
      <c r="AF149" s="1179"/>
      <c r="AG149" s="1171"/>
      <c r="AH149" s="104"/>
      <c r="AI149" s="1172"/>
      <c r="AJ149" s="1172"/>
      <c r="AK149" s="1172"/>
      <c r="AL149" s="1173"/>
      <c r="AM149" s="1174"/>
      <c r="AN149" s="1175"/>
      <c r="AO149" s="1176"/>
      <c r="AP149" s="1177"/>
      <c r="AQ149" s="1547"/>
      <c r="AR149" s="1177"/>
      <c r="AS149" s="1548"/>
      <c r="AT149" s="1549"/>
      <c r="AU149" s="1178"/>
      <c r="AV149" s="1179"/>
      <c r="AY149" s="3">
        <v>1</v>
      </c>
    </row>
    <row r="150" spans="2:51" ht="27" customHeight="1">
      <c r="B150" s="104"/>
      <c r="C150" s="1172"/>
      <c r="D150" s="1172"/>
      <c r="E150" s="1172"/>
      <c r="F150" s="1173"/>
      <c r="G150" s="1174"/>
      <c r="H150" s="1175"/>
      <c r="I150" s="1176"/>
      <c r="J150" s="1177"/>
      <c r="K150" s="1547"/>
      <c r="L150" s="1177"/>
      <c r="M150" s="1548"/>
      <c r="N150" s="1549"/>
      <c r="O150" s="1178"/>
      <c r="P150" s="1179"/>
      <c r="Q150" s="1171"/>
      <c r="R150" s="104"/>
      <c r="S150" s="1172"/>
      <c r="T150" s="1172"/>
      <c r="U150" s="1172"/>
      <c r="V150" s="1173"/>
      <c r="W150" s="1174"/>
      <c r="X150" s="1175"/>
      <c r="Y150" s="1176"/>
      <c r="Z150" s="1177"/>
      <c r="AA150" s="1547"/>
      <c r="AB150" s="1177"/>
      <c r="AC150" s="1548"/>
      <c r="AD150" s="1549"/>
      <c r="AE150" s="1178"/>
      <c r="AF150" s="1179"/>
      <c r="AG150" s="1171"/>
      <c r="AH150" s="104"/>
      <c r="AI150" s="1172"/>
      <c r="AJ150" s="1172"/>
      <c r="AK150" s="1172"/>
      <c r="AL150" s="1173"/>
      <c r="AM150" s="1174"/>
      <c r="AN150" s="1175"/>
      <c r="AO150" s="1176"/>
      <c r="AP150" s="1177"/>
      <c r="AQ150" s="1547"/>
      <c r="AR150" s="1177"/>
      <c r="AS150" s="1548"/>
      <c r="AT150" s="1549"/>
      <c r="AU150" s="1178"/>
      <c r="AV150" s="1179"/>
      <c r="AY150" s="3">
        <v>1</v>
      </c>
    </row>
    <row r="151" spans="2:51" ht="27" customHeight="1">
      <c r="B151" s="104"/>
      <c r="C151" s="1172"/>
      <c r="D151" s="1172"/>
      <c r="E151" s="1172"/>
      <c r="F151" s="1173"/>
      <c r="G151" s="1174"/>
      <c r="H151" s="1175"/>
      <c r="I151" s="1176"/>
      <c r="J151" s="1177"/>
      <c r="K151" s="1547"/>
      <c r="L151" s="1177"/>
      <c r="M151" s="1548"/>
      <c r="N151" s="1549"/>
      <c r="O151" s="1178"/>
      <c r="P151" s="1179"/>
      <c r="Q151" s="1171"/>
      <c r="R151" s="104"/>
      <c r="S151" s="1172"/>
      <c r="T151" s="1172"/>
      <c r="U151" s="1172"/>
      <c r="V151" s="1173"/>
      <c r="W151" s="1174"/>
      <c r="X151" s="1175"/>
      <c r="Y151" s="1176"/>
      <c r="Z151" s="1177"/>
      <c r="AA151" s="1547"/>
      <c r="AB151" s="1177"/>
      <c r="AC151" s="1548"/>
      <c r="AD151" s="1549"/>
      <c r="AE151" s="1178"/>
      <c r="AF151" s="1179"/>
      <c r="AG151" s="1171"/>
      <c r="AH151" s="104"/>
      <c r="AI151" s="1172"/>
      <c r="AJ151" s="1172"/>
      <c r="AK151" s="1172"/>
      <c r="AL151" s="1173"/>
      <c r="AM151" s="1174"/>
      <c r="AN151" s="1175"/>
      <c r="AO151" s="1176"/>
      <c r="AP151" s="1177"/>
      <c r="AQ151" s="1547"/>
      <c r="AR151" s="1177"/>
      <c r="AS151" s="1548"/>
      <c r="AT151" s="1549"/>
      <c r="AU151" s="1178"/>
      <c r="AV151" s="1179"/>
      <c r="AY151" s="3">
        <v>1</v>
      </c>
    </row>
    <row r="152" spans="2:51" ht="27" customHeight="1">
      <c r="B152" s="104"/>
      <c r="C152" s="1172"/>
      <c r="D152" s="1172"/>
      <c r="E152" s="1172"/>
      <c r="F152" s="1173"/>
      <c r="G152" s="1174"/>
      <c r="H152" s="1175"/>
      <c r="I152" s="1176"/>
      <c r="J152" s="1177"/>
      <c r="K152" s="1547"/>
      <c r="L152" s="1177"/>
      <c r="M152" s="1548"/>
      <c r="N152" s="1549"/>
      <c r="O152" s="1178"/>
      <c r="P152" s="1179"/>
      <c r="Q152" s="1171"/>
      <c r="R152" s="104"/>
      <c r="S152" s="1172"/>
      <c r="T152" s="1172"/>
      <c r="U152" s="1172"/>
      <c r="V152" s="1173"/>
      <c r="W152" s="1174"/>
      <c r="X152" s="1175"/>
      <c r="Y152" s="1176"/>
      <c r="Z152" s="1177"/>
      <c r="AA152" s="1547"/>
      <c r="AB152" s="1177"/>
      <c r="AC152" s="1548"/>
      <c r="AD152" s="1549"/>
      <c r="AE152" s="1178"/>
      <c r="AF152" s="1179"/>
      <c r="AG152" s="1171"/>
      <c r="AH152" s="104"/>
      <c r="AI152" s="1172"/>
      <c r="AJ152" s="1172"/>
      <c r="AK152" s="1172"/>
      <c r="AL152" s="1173"/>
      <c r="AM152" s="1174"/>
      <c r="AN152" s="1175"/>
      <c r="AO152" s="1176"/>
      <c r="AP152" s="1177"/>
      <c r="AQ152" s="1547"/>
      <c r="AR152" s="1177"/>
      <c r="AS152" s="1548"/>
      <c r="AT152" s="1549"/>
      <c r="AU152" s="1178"/>
      <c r="AV152" s="1179"/>
      <c r="AY152" s="3">
        <v>1</v>
      </c>
    </row>
    <row r="153" spans="2:51" ht="27" customHeight="1">
      <c r="B153" s="104"/>
      <c r="C153" s="1172"/>
      <c r="D153" s="1172"/>
      <c r="E153" s="1172"/>
      <c r="F153" s="1173"/>
      <c r="G153" s="1174"/>
      <c r="H153" s="1175"/>
      <c r="I153" s="1176"/>
      <c r="J153" s="1177"/>
      <c r="K153" s="1547"/>
      <c r="L153" s="1177"/>
      <c r="M153" s="1548"/>
      <c r="N153" s="1549"/>
      <c r="O153" s="1178"/>
      <c r="P153" s="1179"/>
      <c r="Q153" s="1171"/>
      <c r="R153" s="104"/>
      <c r="S153" s="1172"/>
      <c r="T153" s="1172"/>
      <c r="U153" s="1172"/>
      <c r="V153" s="1173"/>
      <c r="W153" s="1174"/>
      <c r="X153" s="1175"/>
      <c r="Y153" s="1176"/>
      <c r="Z153" s="1177"/>
      <c r="AA153" s="1547"/>
      <c r="AB153" s="1177"/>
      <c r="AC153" s="1548"/>
      <c r="AD153" s="1549"/>
      <c r="AE153" s="1178"/>
      <c r="AF153" s="1179"/>
      <c r="AG153" s="1171"/>
      <c r="AH153" s="104"/>
      <c r="AI153" s="1172"/>
      <c r="AJ153" s="1172"/>
      <c r="AK153" s="1172"/>
      <c r="AL153" s="1173"/>
      <c r="AM153" s="1174"/>
      <c r="AN153" s="1175"/>
      <c r="AO153" s="1176"/>
      <c r="AP153" s="1177"/>
      <c r="AQ153" s="1547"/>
      <c r="AR153" s="1177"/>
      <c r="AS153" s="1548"/>
      <c r="AT153" s="1549"/>
      <c r="AU153" s="1178"/>
      <c r="AV153" s="1179"/>
      <c r="AY153" s="3">
        <v>1</v>
      </c>
    </row>
    <row r="154" spans="2:51" ht="27" customHeight="1">
      <c r="B154" s="104"/>
      <c r="C154" s="1172"/>
      <c r="D154" s="1172"/>
      <c r="E154" s="1172"/>
      <c r="F154" s="1173"/>
      <c r="G154" s="1174"/>
      <c r="H154" s="1175"/>
      <c r="I154" s="1176"/>
      <c r="J154" s="1177"/>
      <c r="K154" s="1547"/>
      <c r="L154" s="1177"/>
      <c r="M154" s="1548"/>
      <c r="N154" s="1549"/>
      <c r="O154" s="1178"/>
      <c r="P154" s="1179"/>
      <c r="Q154" s="1171"/>
      <c r="R154" s="104"/>
      <c r="S154" s="1172"/>
      <c r="T154" s="1172"/>
      <c r="U154" s="1172"/>
      <c r="V154" s="1173"/>
      <c r="W154" s="1174"/>
      <c r="X154" s="1175"/>
      <c r="Y154" s="1176"/>
      <c r="Z154" s="1177"/>
      <c r="AA154" s="1547"/>
      <c r="AB154" s="1177"/>
      <c r="AC154" s="1548"/>
      <c r="AD154" s="1549"/>
      <c r="AE154" s="1178"/>
      <c r="AF154" s="1179"/>
      <c r="AG154" s="1171"/>
      <c r="AH154" s="104"/>
      <c r="AI154" s="1172"/>
      <c r="AJ154" s="1172"/>
      <c r="AK154" s="1172"/>
      <c r="AL154" s="1173"/>
      <c r="AM154" s="1174"/>
      <c r="AN154" s="1175"/>
      <c r="AO154" s="1176"/>
      <c r="AP154" s="1177"/>
      <c r="AQ154" s="1547"/>
      <c r="AR154" s="1177"/>
      <c r="AS154" s="1548"/>
      <c r="AT154" s="1549"/>
      <c r="AU154" s="1178"/>
      <c r="AV154" s="1179"/>
      <c r="AY154" s="3">
        <v>1</v>
      </c>
    </row>
    <row r="155" spans="2:51" ht="27" customHeight="1">
      <c r="B155" s="104"/>
      <c r="C155" s="1172"/>
      <c r="D155" s="1172"/>
      <c r="E155" s="1172"/>
      <c r="F155" s="1173"/>
      <c r="G155" s="1174"/>
      <c r="H155" s="1175"/>
      <c r="I155" s="1176"/>
      <c r="J155" s="1177"/>
      <c r="K155" s="1547"/>
      <c r="L155" s="1177"/>
      <c r="M155" s="1548"/>
      <c r="N155" s="1549"/>
      <c r="O155" s="1178"/>
      <c r="P155" s="1179"/>
      <c r="Q155" s="1171"/>
      <c r="R155" s="104"/>
      <c r="S155" s="1172"/>
      <c r="T155" s="1172"/>
      <c r="U155" s="1172"/>
      <c r="V155" s="1173"/>
      <c r="W155" s="1174"/>
      <c r="X155" s="1175"/>
      <c r="Y155" s="1176"/>
      <c r="Z155" s="1177"/>
      <c r="AA155" s="1547"/>
      <c r="AB155" s="1177"/>
      <c r="AC155" s="1548"/>
      <c r="AD155" s="1549"/>
      <c r="AE155" s="1178"/>
      <c r="AF155" s="1179"/>
      <c r="AG155" s="1171"/>
      <c r="AH155" s="104"/>
      <c r="AI155" s="1172"/>
      <c r="AJ155" s="1172"/>
      <c r="AK155" s="1172"/>
      <c r="AL155" s="1173"/>
      <c r="AM155" s="1174"/>
      <c r="AN155" s="1175"/>
      <c r="AO155" s="1176"/>
      <c r="AP155" s="1177"/>
      <c r="AQ155" s="1547"/>
      <c r="AR155" s="1177"/>
      <c r="AS155" s="1548"/>
      <c r="AT155" s="1549"/>
      <c r="AU155" s="1178"/>
      <c r="AV155" s="1179"/>
      <c r="AY155" s="3">
        <v>1</v>
      </c>
    </row>
    <row r="156" spans="2:51" ht="27" customHeight="1">
      <c r="B156" s="104"/>
      <c r="C156" s="1172"/>
      <c r="D156" s="1172"/>
      <c r="E156" s="1172"/>
      <c r="F156" s="1173"/>
      <c r="G156" s="1174"/>
      <c r="H156" s="1175"/>
      <c r="I156" s="1176"/>
      <c r="J156" s="1177"/>
      <c r="K156" s="1547"/>
      <c r="L156" s="1177"/>
      <c r="M156" s="1548"/>
      <c r="N156" s="1549"/>
      <c r="O156" s="1178"/>
      <c r="P156" s="1179"/>
      <c r="Q156" s="1171"/>
      <c r="R156" s="104"/>
      <c r="S156" s="1172"/>
      <c r="T156" s="1172"/>
      <c r="U156" s="1172"/>
      <c r="V156" s="1173"/>
      <c r="W156" s="1174"/>
      <c r="X156" s="1175"/>
      <c r="Y156" s="1176"/>
      <c r="Z156" s="1177"/>
      <c r="AA156" s="1547"/>
      <c r="AB156" s="1177"/>
      <c r="AC156" s="1548"/>
      <c r="AD156" s="1549"/>
      <c r="AE156" s="1178"/>
      <c r="AF156" s="1179"/>
      <c r="AG156" s="1171"/>
      <c r="AH156" s="104"/>
      <c r="AI156" s="1172"/>
      <c r="AJ156" s="1172"/>
      <c r="AK156" s="1172"/>
      <c r="AL156" s="1173"/>
      <c r="AM156" s="1174"/>
      <c r="AN156" s="1175"/>
      <c r="AO156" s="1176"/>
      <c r="AP156" s="1177"/>
      <c r="AQ156" s="1547"/>
      <c r="AR156" s="1177"/>
      <c r="AS156" s="1548"/>
      <c r="AT156" s="1549"/>
      <c r="AU156" s="1178"/>
      <c r="AV156" s="1179"/>
      <c r="AY156" s="3">
        <v>1</v>
      </c>
    </row>
    <row r="157" spans="2:51" ht="27" customHeight="1">
      <c r="B157" s="104"/>
      <c r="C157" s="1172"/>
      <c r="D157" s="1172"/>
      <c r="E157" s="1172"/>
      <c r="F157" s="1173"/>
      <c r="G157" s="1174"/>
      <c r="H157" s="1175"/>
      <c r="I157" s="1176"/>
      <c r="J157" s="1177"/>
      <c r="K157" s="1547"/>
      <c r="L157" s="1177"/>
      <c r="M157" s="1548"/>
      <c r="N157" s="1549"/>
      <c r="O157" s="1178"/>
      <c r="P157" s="1179"/>
      <c r="Q157" s="1171"/>
      <c r="R157" s="104"/>
      <c r="S157" s="1172"/>
      <c r="T157" s="1172"/>
      <c r="U157" s="1172"/>
      <c r="V157" s="1173"/>
      <c r="W157" s="1174"/>
      <c r="X157" s="1175"/>
      <c r="Y157" s="1176"/>
      <c r="Z157" s="1177"/>
      <c r="AA157" s="1547"/>
      <c r="AB157" s="1177"/>
      <c r="AC157" s="1548"/>
      <c r="AD157" s="1549"/>
      <c r="AE157" s="1178"/>
      <c r="AF157" s="1179"/>
      <c r="AG157" s="1171"/>
      <c r="AH157" s="104"/>
      <c r="AI157" s="1172"/>
      <c r="AJ157" s="1172"/>
      <c r="AK157" s="1172"/>
      <c r="AL157" s="1173"/>
      <c r="AM157" s="1174"/>
      <c r="AN157" s="1175"/>
      <c r="AO157" s="1176"/>
      <c r="AP157" s="1177"/>
      <c r="AQ157" s="1547"/>
      <c r="AR157" s="1177"/>
      <c r="AS157" s="1548"/>
      <c r="AT157" s="1549"/>
      <c r="AU157" s="1178"/>
      <c r="AV157" s="1179"/>
      <c r="AY157" s="3">
        <v>1</v>
      </c>
    </row>
    <row r="158" spans="2:51" ht="27" customHeight="1">
      <c r="B158" s="104"/>
      <c r="C158" s="1172"/>
      <c r="D158" s="1172"/>
      <c r="E158" s="1172"/>
      <c r="F158" s="1173"/>
      <c r="G158" s="1174"/>
      <c r="H158" s="1175"/>
      <c r="I158" s="1176"/>
      <c r="J158" s="1177"/>
      <c r="K158" s="1547"/>
      <c r="L158" s="1177"/>
      <c r="M158" s="1548"/>
      <c r="N158" s="1549"/>
      <c r="O158" s="1178"/>
      <c r="P158" s="1179"/>
      <c r="Q158" s="1171"/>
      <c r="R158" s="104"/>
      <c r="S158" s="1172"/>
      <c r="T158" s="1172"/>
      <c r="U158" s="1172"/>
      <c r="V158" s="1173"/>
      <c r="W158" s="1174"/>
      <c r="X158" s="1175"/>
      <c r="Y158" s="1176"/>
      <c r="Z158" s="1177"/>
      <c r="AA158" s="1547"/>
      <c r="AB158" s="1177"/>
      <c r="AC158" s="1548"/>
      <c r="AD158" s="1549"/>
      <c r="AE158" s="1178"/>
      <c r="AF158" s="1179"/>
      <c r="AG158" s="1171"/>
      <c r="AH158" s="104"/>
      <c r="AI158" s="1172"/>
      <c r="AJ158" s="1172"/>
      <c r="AK158" s="1172"/>
      <c r="AL158" s="1173"/>
      <c r="AM158" s="1174"/>
      <c r="AN158" s="1175"/>
      <c r="AO158" s="1176"/>
      <c r="AP158" s="1177"/>
      <c r="AQ158" s="1547"/>
      <c r="AR158" s="1177"/>
      <c r="AS158" s="1548"/>
      <c r="AT158" s="1549"/>
      <c r="AU158" s="1178"/>
      <c r="AV158" s="1179"/>
      <c r="AY158" s="3">
        <v>1</v>
      </c>
    </row>
    <row r="159" spans="2:51" ht="27" customHeight="1">
      <c r="B159" s="104"/>
      <c r="C159" s="1172"/>
      <c r="D159" s="1172"/>
      <c r="E159" s="1172"/>
      <c r="F159" s="1173"/>
      <c r="G159" s="1174"/>
      <c r="H159" s="1175"/>
      <c r="I159" s="1176"/>
      <c r="J159" s="1177"/>
      <c r="K159" s="1547"/>
      <c r="L159" s="1177"/>
      <c r="M159" s="1548"/>
      <c r="N159" s="1549"/>
      <c r="O159" s="1178"/>
      <c r="P159" s="1179"/>
      <c r="Q159" s="1171"/>
      <c r="R159" s="104"/>
      <c r="S159" s="1172"/>
      <c r="T159" s="1172"/>
      <c r="U159" s="1172"/>
      <c r="V159" s="1173"/>
      <c r="W159" s="1174"/>
      <c r="X159" s="1175"/>
      <c r="Y159" s="1176"/>
      <c r="Z159" s="1177"/>
      <c r="AA159" s="1547"/>
      <c r="AB159" s="1177"/>
      <c r="AC159" s="1548"/>
      <c r="AD159" s="1549"/>
      <c r="AE159" s="1178"/>
      <c r="AF159" s="1179"/>
      <c r="AG159" s="1171"/>
      <c r="AH159" s="104"/>
      <c r="AI159" s="1172"/>
      <c r="AJ159" s="1172"/>
      <c r="AK159" s="1172"/>
      <c r="AL159" s="1173"/>
      <c r="AM159" s="1174"/>
      <c r="AN159" s="1175"/>
      <c r="AO159" s="1176"/>
      <c r="AP159" s="1177"/>
      <c r="AQ159" s="1547"/>
      <c r="AR159" s="1177"/>
      <c r="AS159" s="1548"/>
      <c r="AT159" s="1549"/>
      <c r="AU159" s="1178"/>
      <c r="AV159" s="1179"/>
      <c r="AY159" s="3">
        <v>1</v>
      </c>
    </row>
    <row r="160" spans="2:51" ht="27" customHeight="1">
      <c r="B160" s="104"/>
      <c r="C160" s="1172"/>
      <c r="D160" s="1172"/>
      <c r="E160" s="1172"/>
      <c r="F160" s="1173"/>
      <c r="G160" s="1174"/>
      <c r="H160" s="1175"/>
      <c r="I160" s="1176"/>
      <c r="J160" s="1177"/>
      <c r="K160" s="1547"/>
      <c r="L160" s="1177"/>
      <c r="M160" s="1548"/>
      <c r="N160" s="1549"/>
      <c r="O160" s="1178"/>
      <c r="P160" s="1179"/>
      <c r="Q160" s="1171"/>
      <c r="R160" s="104"/>
      <c r="S160" s="1172"/>
      <c r="T160" s="1172"/>
      <c r="U160" s="1172"/>
      <c r="V160" s="1173"/>
      <c r="W160" s="1174"/>
      <c r="X160" s="1175"/>
      <c r="Y160" s="1176"/>
      <c r="Z160" s="1177"/>
      <c r="AA160" s="1547"/>
      <c r="AB160" s="1177"/>
      <c r="AC160" s="1548"/>
      <c r="AD160" s="1549"/>
      <c r="AE160" s="1178"/>
      <c r="AF160" s="1179"/>
      <c r="AG160" s="1171"/>
      <c r="AH160" s="104"/>
      <c r="AI160" s="1172"/>
      <c r="AJ160" s="1172"/>
      <c r="AK160" s="1172"/>
      <c r="AL160" s="1173"/>
      <c r="AM160" s="1174"/>
      <c r="AN160" s="1175"/>
      <c r="AO160" s="1176"/>
      <c r="AP160" s="1177"/>
      <c r="AQ160" s="1547"/>
      <c r="AR160" s="1177"/>
      <c r="AS160" s="1548"/>
      <c r="AT160" s="1549"/>
      <c r="AU160" s="1178"/>
      <c r="AV160" s="1179"/>
      <c r="AY160" s="3">
        <v>1</v>
      </c>
    </row>
    <row r="161" spans="2:51" ht="27" customHeight="1">
      <c r="B161" s="104"/>
      <c r="C161" s="1172"/>
      <c r="D161" s="1172"/>
      <c r="E161" s="1172"/>
      <c r="F161" s="1173"/>
      <c r="G161" s="1174"/>
      <c r="H161" s="1175"/>
      <c r="I161" s="1176"/>
      <c r="J161" s="1177"/>
      <c r="K161" s="1547"/>
      <c r="L161" s="1177"/>
      <c r="M161" s="1548"/>
      <c r="N161" s="1549"/>
      <c r="O161" s="1178"/>
      <c r="P161" s="1179"/>
      <c r="Q161" s="1171"/>
      <c r="R161" s="104"/>
      <c r="S161" s="1172"/>
      <c r="T161" s="1172"/>
      <c r="U161" s="1172"/>
      <c r="V161" s="1173"/>
      <c r="W161" s="1174"/>
      <c r="X161" s="1175"/>
      <c r="Y161" s="1176"/>
      <c r="Z161" s="1177"/>
      <c r="AA161" s="1547"/>
      <c r="AB161" s="1177"/>
      <c r="AC161" s="1548"/>
      <c r="AD161" s="1549"/>
      <c r="AE161" s="1178"/>
      <c r="AF161" s="1179"/>
      <c r="AG161" s="1171"/>
      <c r="AH161" s="104"/>
      <c r="AI161" s="1172"/>
      <c r="AJ161" s="1172"/>
      <c r="AK161" s="1172"/>
      <c r="AL161" s="1173"/>
      <c r="AM161" s="1174"/>
      <c r="AN161" s="1175"/>
      <c r="AO161" s="1176"/>
      <c r="AP161" s="1177"/>
      <c r="AQ161" s="1547"/>
      <c r="AR161" s="1177"/>
      <c r="AS161" s="1548"/>
      <c r="AT161" s="1549"/>
      <c r="AU161" s="1178"/>
      <c r="AV161" s="1179"/>
      <c r="AY161" s="3">
        <v>1</v>
      </c>
    </row>
    <row r="162" spans="2:51" ht="27" customHeight="1">
      <c r="B162" s="104"/>
      <c r="C162" s="1172"/>
      <c r="D162" s="1172"/>
      <c r="E162" s="1172"/>
      <c r="F162" s="1173"/>
      <c r="G162" s="1174"/>
      <c r="H162" s="1175"/>
      <c r="I162" s="1176"/>
      <c r="J162" s="1177"/>
      <c r="K162" s="1547"/>
      <c r="L162" s="1177"/>
      <c r="M162" s="1548"/>
      <c r="N162" s="1549"/>
      <c r="O162" s="1178"/>
      <c r="P162" s="1179"/>
      <c r="Q162" s="1171"/>
      <c r="R162" s="104"/>
      <c r="S162" s="1172"/>
      <c r="T162" s="1172"/>
      <c r="U162" s="1172"/>
      <c r="V162" s="1173"/>
      <c r="W162" s="1174"/>
      <c r="X162" s="1175"/>
      <c r="Y162" s="1176"/>
      <c r="Z162" s="1177"/>
      <c r="AA162" s="1547"/>
      <c r="AB162" s="1177"/>
      <c r="AC162" s="1548"/>
      <c r="AD162" s="1549"/>
      <c r="AE162" s="1178"/>
      <c r="AF162" s="1179"/>
      <c r="AG162" s="1171"/>
      <c r="AH162" s="104"/>
      <c r="AI162" s="1172"/>
      <c r="AJ162" s="1172"/>
      <c r="AK162" s="1172"/>
      <c r="AL162" s="1173"/>
      <c r="AM162" s="1174"/>
      <c r="AN162" s="1175"/>
      <c r="AO162" s="1176"/>
      <c r="AP162" s="1177"/>
      <c r="AQ162" s="1547"/>
      <c r="AR162" s="1177"/>
      <c r="AS162" s="1548"/>
      <c r="AT162" s="1549"/>
      <c r="AU162" s="1178"/>
      <c r="AV162" s="1179"/>
      <c r="AY162" s="3">
        <v>1</v>
      </c>
    </row>
    <row r="163" spans="2:51" ht="27" customHeight="1">
      <c r="B163" s="104"/>
      <c r="C163" s="1172"/>
      <c r="D163" s="1172"/>
      <c r="E163" s="1172"/>
      <c r="F163" s="1173"/>
      <c r="G163" s="1174"/>
      <c r="H163" s="1175"/>
      <c r="I163" s="1176"/>
      <c r="J163" s="1177"/>
      <c r="K163" s="1547"/>
      <c r="L163" s="1177"/>
      <c r="M163" s="1548"/>
      <c r="N163" s="1549"/>
      <c r="O163" s="1178"/>
      <c r="P163" s="1179"/>
      <c r="Q163" s="1171"/>
      <c r="R163" s="104"/>
      <c r="S163" s="1172"/>
      <c r="T163" s="1172"/>
      <c r="U163" s="1172"/>
      <c r="V163" s="1173"/>
      <c r="W163" s="1174"/>
      <c r="X163" s="1175"/>
      <c r="Y163" s="1176"/>
      <c r="Z163" s="1177"/>
      <c r="AA163" s="1547"/>
      <c r="AB163" s="1177"/>
      <c r="AC163" s="1548"/>
      <c r="AD163" s="1549"/>
      <c r="AE163" s="1178"/>
      <c r="AF163" s="1179"/>
      <c r="AG163" s="1171"/>
      <c r="AH163" s="104"/>
      <c r="AI163" s="1172"/>
      <c r="AJ163" s="1172"/>
      <c r="AK163" s="1172"/>
      <c r="AL163" s="1173"/>
      <c r="AM163" s="1174"/>
      <c r="AN163" s="1175"/>
      <c r="AO163" s="1176"/>
      <c r="AP163" s="1177"/>
      <c r="AQ163" s="1547"/>
      <c r="AR163" s="1177"/>
      <c r="AS163" s="1548"/>
      <c r="AT163" s="1549"/>
      <c r="AU163" s="1178"/>
      <c r="AV163" s="1179"/>
      <c r="AY163" s="3">
        <v>1</v>
      </c>
    </row>
    <row r="164" spans="2:51" ht="27" customHeight="1">
      <c r="B164" s="104"/>
      <c r="C164" s="1172"/>
      <c r="D164" s="1172"/>
      <c r="E164" s="1172"/>
      <c r="F164" s="1173"/>
      <c r="G164" s="1174"/>
      <c r="H164" s="1175"/>
      <c r="I164" s="1176"/>
      <c r="J164" s="1177"/>
      <c r="K164" s="1547"/>
      <c r="L164" s="1177"/>
      <c r="M164" s="1548"/>
      <c r="N164" s="1549"/>
      <c r="O164" s="1178"/>
      <c r="P164" s="1179"/>
      <c r="Q164" s="1171"/>
      <c r="R164" s="104"/>
      <c r="S164" s="1172"/>
      <c r="T164" s="1172"/>
      <c r="U164" s="1172"/>
      <c r="V164" s="1173"/>
      <c r="W164" s="1174"/>
      <c r="X164" s="1175"/>
      <c r="Y164" s="1176"/>
      <c r="Z164" s="1177"/>
      <c r="AA164" s="1547"/>
      <c r="AB164" s="1177"/>
      <c r="AC164" s="1548"/>
      <c r="AD164" s="1549"/>
      <c r="AE164" s="1178"/>
      <c r="AF164" s="1179"/>
      <c r="AG164" s="1171"/>
      <c r="AH164" s="104"/>
      <c r="AI164" s="1172"/>
      <c r="AJ164" s="1172"/>
      <c r="AK164" s="1172"/>
      <c r="AL164" s="1173"/>
      <c r="AM164" s="1174"/>
      <c r="AN164" s="1175"/>
      <c r="AO164" s="1176"/>
      <c r="AP164" s="1177"/>
      <c r="AQ164" s="1547"/>
      <c r="AR164" s="1177"/>
      <c r="AS164" s="1548"/>
      <c r="AT164" s="1549"/>
      <c r="AU164" s="1178"/>
      <c r="AV164" s="1179"/>
      <c r="AY164" s="3">
        <v>1</v>
      </c>
    </row>
    <row r="165" spans="2:51" ht="27" customHeight="1">
      <c r="B165" s="104"/>
      <c r="C165" s="1172"/>
      <c r="D165" s="1172"/>
      <c r="E165" s="1172"/>
      <c r="F165" s="1173"/>
      <c r="G165" s="1174"/>
      <c r="H165" s="1175"/>
      <c r="I165" s="1176"/>
      <c r="J165" s="1177"/>
      <c r="K165" s="1547"/>
      <c r="L165" s="1177"/>
      <c r="M165" s="1548"/>
      <c r="N165" s="1549"/>
      <c r="O165" s="1178"/>
      <c r="P165" s="1179"/>
      <c r="Q165" s="1171"/>
      <c r="R165" s="104"/>
      <c r="S165" s="1172"/>
      <c r="T165" s="1172"/>
      <c r="U165" s="1172"/>
      <c r="V165" s="1173"/>
      <c r="W165" s="1174"/>
      <c r="X165" s="1175"/>
      <c r="Y165" s="1176"/>
      <c r="Z165" s="1177"/>
      <c r="AA165" s="1547"/>
      <c r="AB165" s="1177"/>
      <c r="AC165" s="1548"/>
      <c r="AD165" s="1549"/>
      <c r="AE165" s="1178"/>
      <c r="AF165" s="1179"/>
      <c r="AG165" s="1171"/>
      <c r="AH165" s="104"/>
      <c r="AI165" s="1172"/>
      <c r="AJ165" s="1172"/>
      <c r="AK165" s="1172"/>
      <c r="AL165" s="1173"/>
      <c r="AM165" s="1174"/>
      <c r="AN165" s="1175"/>
      <c r="AO165" s="1176"/>
      <c r="AP165" s="1177"/>
      <c r="AQ165" s="1547"/>
      <c r="AR165" s="1177"/>
      <c r="AS165" s="1548"/>
      <c r="AT165" s="1549"/>
      <c r="AU165" s="1178"/>
      <c r="AV165" s="1179"/>
      <c r="AY165" s="3">
        <v>1</v>
      </c>
    </row>
    <row r="166" spans="2:51" ht="27" customHeight="1">
      <c r="B166" s="104"/>
      <c r="C166" s="1172"/>
      <c r="D166" s="1172"/>
      <c r="E166" s="1172"/>
      <c r="F166" s="1173"/>
      <c r="G166" s="1174"/>
      <c r="H166" s="1175"/>
      <c r="I166" s="1176"/>
      <c r="J166" s="1177"/>
      <c r="K166" s="1547"/>
      <c r="L166" s="1177"/>
      <c r="M166" s="1548"/>
      <c r="N166" s="1549"/>
      <c r="O166" s="1178"/>
      <c r="P166" s="1179"/>
      <c r="Q166" s="1171"/>
      <c r="R166" s="104"/>
      <c r="S166" s="1172"/>
      <c r="T166" s="1172"/>
      <c r="U166" s="1172"/>
      <c r="V166" s="1173"/>
      <c r="W166" s="1174"/>
      <c r="X166" s="1175"/>
      <c r="Y166" s="1176"/>
      <c r="Z166" s="1177"/>
      <c r="AA166" s="1547"/>
      <c r="AB166" s="1177"/>
      <c r="AC166" s="1548"/>
      <c r="AD166" s="1549"/>
      <c r="AE166" s="1178"/>
      <c r="AF166" s="1179"/>
      <c r="AG166" s="1171"/>
      <c r="AH166" s="104"/>
      <c r="AI166" s="1172"/>
      <c r="AJ166" s="1172"/>
      <c r="AK166" s="1172"/>
      <c r="AL166" s="1173"/>
      <c r="AM166" s="1174"/>
      <c r="AN166" s="1175"/>
      <c r="AO166" s="1176"/>
      <c r="AP166" s="1177"/>
      <c r="AQ166" s="1547"/>
      <c r="AR166" s="1177"/>
      <c r="AS166" s="1548"/>
      <c r="AT166" s="1549"/>
      <c r="AU166" s="1178"/>
      <c r="AV166" s="1179"/>
      <c r="AY166" s="3">
        <v>1</v>
      </c>
    </row>
    <row r="167" spans="2:51" ht="27" customHeight="1">
      <c r="B167" s="104"/>
      <c r="C167" s="1172"/>
      <c r="D167" s="1172"/>
      <c r="E167" s="1172"/>
      <c r="F167" s="1173"/>
      <c r="G167" s="1174"/>
      <c r="H167" s="1175"/>
      <c r="I167" s="1176"/>
      <c r="J167" s="1177"/>
      <c r="K167" s="1547"/>
      <c r="L167" s="1177"/>
      <c r="M167" s="1548"/>
      <c r="N167" s="1549"/>
      <c r="O167" s="1178"/>
      <c r="P167" s="1179"/>
      <c r="Q167" s="1171"/>
      <c r="R167" s="104"/>
      <c r="S167" s="1172"/>
      <c r="T167" s="1172"/>
      <c r="U167" s="1172"/>
      <c r="V167" s="1173"/>
      <c r="W167" s="1174"/>
      <c r="X167" s="1175"/>
      <c r="Y167" s="1176"/>
      <c r="Z167" s="1177"/>
      <c r="AA167" s="1547"/>
      <c r="AB167" s="1177"/>
      <c r="AC167" s="1548"/>
      <c r="AD167" s="1549"/>
      <c r="AE167" s="1178"/>
      <c r="AF167" s="1179"/>
      <c r="AG167" s="1171"/>
      <c r="AH167" s="104"/>
      <c r="AI167" s="1172"/>
      <c r="AJ167" s="1172"/>
      <c r="AK167" s="1172"/>
      <c r="AL167" s="1173"/>
      <c r="AM167" s="1174"/>
      <c r="AN167" s="1175"/>
      <c r="AO167" s="1176"/>
      <c r="AP167" s="1177"/>
      <c r="AQ167" s="1547"/>
      <c r="AR167" s="1177"/>
      <c r="AS167" s="1548"/>
      <c r="AT167" s="1549"/>
      <c r="AU167" s="1178"/>
      <c r="AV167" s="1179"/>
      <c r="AY167" s="3">
        <v>1</v>
      </c>
    </row>
    <row r="168" spans="2:51" ht="27" customHeight="1">
      <c r="B168" s="104"/>
      <c r="C168" s="1172"/>
      <c r="D168" s="1172"/>
      <c r="E168" s="1172"/>
      <c r="F168" s="1173"/>
      <c r="G168" s="1174"/>
      <c r="H168" s="1175"/>
      <c r="I168" s="1176"/>
      <c r="J168" s="1177"/>
      <c r="K168" s="1547"/>
      <c r="L168" s="1177"/>
      <c r="M168" s="1548"/>
      <c r="N168" s="1549"/>
      <c r="O168" s="1178"/>
      <c r="P168" s="1179"/>
      <c r="Q168" s="1171"/>
      <c r="R168" s="104"/>
      <c r="S168" s="1172"/>
      <c r="T168" s="1172"/>
      <c r="U168" s="1172"/>
      <c r="V168" s="1173"/>
      <c r="W168" s="1174"/>
      <c r="X168" s="1175"/>
      <c r="Y168" s="1176"/>
      <c r="Z168" s="1177"/>
      <c r="AA168" s="1547"/>
      <c r="AB168" s="1177"/>
      <c r="AC168" s="1548"/>
      <c r="AD168" s="1549"/>
      <c r="AE168" s="1178"/>
      <c r="AF168" s="1179"/>
      <c r="AG168" s="1171"/>
      <c r="AH168" s="104"/>
      <c r="AI168" s="1172"/>
      <c r="AJ168" s="1172"/>
      <c r="AK168" s="1172"/>
      <c r="AL168" s="1173"/>
      <c r="AM168" s="1174"/>
      <c r="AN168" s="1175"/>
      <c r="AO168" s="1176"/>
      <c r="AP168" s="1177"/>
      <c r="AQ168" s="1547"/>
      <c r="AR168" s="1177"/>
      <c r="AS168" s="1548"/>
      <c r="AT168" s="1549"/>
      <c r="AU168" s="1178"/>
      <c r="AV168" s="1179"/>
      <c r="AY168" s="3">
        <v>1</v>
      </c>
    </row>
    <row r="169" spans="2:51" ht="27" customHeight="1">
      <c r="B169" s="104"/>
      <c r="C169" s="1172"/>
      <c r="D169" s="1172"/>
      <c r="E169" s="1172"/>
      <c r="F169" s="1173"/>
      <c r="G169" s="1174"/>
      <c r="H169" s="1175"/>
      <c r="I169" s="1176"/>
      <c r="J169" s="1177"/>
      <c r="K169" s="1547"/>
      <c r="L169" s="1177"/>
      <c r="M169" s="1548"/>
      <c r="N169" s="1549"/>
      <c r="O169" s="1178"/>
      <c r="P169" s="1179"/>
      <c r="Q169" s="1171"/>
      <c r="R169" s="104"/>
      <c r="S169" s="1172"/>
      <c r="T169" s="1172"/>
      <c r="U169" s="1172"/>
      <c r="V169" s="1173"/>
      <c r="W169" s="1174"/>
      <c r="X169" s="1175"/>
      <c r="Y169" s="1176"/>
      <c r="Z169" s="1177"/>
      <c r="AA169" s="1547"/>
      <c r="AB169" s="1177"/>
      <c r="AC169" s="1548"/>
      <c r="AD169" s="1549"/>
      <c r="AE169" s="1178"/>
      <c r="AF169" s="1179"/>
      <c r="AG169" s="1171"/>
      <c r="AH169" s="104"/>
      <c r="AI169" s="1172"/>
      <c r="AJ169" s="1172"/>
      <c r="AK169" s="1172"/>
      <c r="AL169" s="1173"/>
      <c r="AM169" s="1174"/>
      <c r="AN169" s="1175"/>
      <c r="AO169" s="1176"/>
      <c r="AP169" s="1177"/>
      <c r="AQ169" s="1547"/>
      <c r="AR169" s="1177"/>
      <c r="AS169" s="1548"/>
      <c r="AT169" s="1549"/>
      <c r="AU169" s="1178"/>
      <c r="AV169" s="1179"/>
      <c r="AY169" s="3">
        <v>1</v>
      </c>
    </row>
    <row r="170" spans="2:51" ht="27" customHeight="1">
      <c r="B170" s="104"/>
      <c r="C170" s="1172"/>
      <c r="D170" s="1172"/>
      <c r="E170" s="1172"/>
      <c r="F170" s="1173"/>
      <c r="G170" s="1174"/>
      <c r="H170" s="1175"/>
      <c r="I170" s="1176"/>
      <c r="J170" s="1177"/>
      <c r="K170" s="1547"/>
      <c r="L170" s="1177"/>
      <c r="M170" s="1548"/>
      <c r="N170" s="1549"/>
      <c r="O170" s="1178"/>
      <c r="P170" s="1179"/>
      <c r="Q170" s="1171"/>
      <c r="R170" s="104"/>
      <c r="S170" s="1172"/>
      <c r="T170" s="1172"/>
      <c r="U170" s="1172"/>
      <c r="V170" s="1173"/>
      <c r="W170" s="1174"/>
      <c r="X170" s="1175"/>
      <c r="Y170" s="1176"/>
      <c r="Z170" s="1177"/>
      <c r="AA170" s="1547"/>
      <c r="AB170" s="1177"/>
      <c r="AC170" s="1548"/>
      <c r="AD170" s="1549"/>
      <c r="AE170" s="1178"/>
      <c r="AF170" s="1179"/>
      <c r="AG170" s="1171"/>
      <c r="AH170" s="104"/>
      <c r="AI170" s="1172"/>
      <c r="AJ170" s="1172"/>
      <c r="AK170" s="1172"/>
      <c r="AL170" s="1173"/>
      <c r="AM170" s="1174"/>
      <c r="AN170" s="1175"/>
      <c r="AO170" s="1176"/>
      <c r="AP170" s="1177"/>
      <c r="AQ170" s="1547"/>
      <c r="AR170" s="1177"/>
      <c r="AS170" s="1548"/>
      <c r="AT170" s="1549"/>
      <c r="AU170" s="1178"/>
      <c r="AV170" s="1179"/>
      <c r="AY170" s="3">
        <v>1</v>
      </c>
    </row>
    <row r="171" spans="2:51" ht="27" customHeight="1">
      <c r="B171" s="104"/>
      <c r="C171" s="1172"/>
      <c r="D171" s="1172"/>
      <c r="E171" s="1172"/>
      <c r="F171" s="1173"/>
      <c r="G171" s="1174"/>
      <c r="H171" s="1175"/>
      <c r="I171" s="1176"/>
      <c r="J171" s="1177"/>
      <c r="K171" s="1547"/>
      <c r="L171" s="1177"/>
      <c r="M171" s="1548"/>
      <c r="N171" s="1549"/>
      <c r="O171" s="1178"/>
      <c r="P171" s="1179"/>
      <c r="Q171" s="1171"/>
      <c r="R171" s="104"/>
      <c r="S171" s="1172"/>
      <c r="T171" s="1172"/>
      <c r="U171" s="1172"/>
      <c r="V171" s="1173"/>
      <c r="W171" s="1174"/>
      <c r="X171" s="1175"/>
      <c r="Y171" s="1176"/>
      <c r="Z171" s="1177"/>
      <c r="AA171" s="1547"/>
      <c r="AB171" s="1177"/>
      <c r="AC171" s="1548"/>
      <c r="AD171" s="1549"/>
      <c r="AE171" s="1178"/>
      <c r="AF171" s="1179"/>
      <c r="AG171" s="1171"/>
      <c r="AH171" s="104"/>
      <c r="AI171" s="1172"/>
      <c r="AJ171" s="1172"/>
      <c r="AK171" s="1172"/>
      <c r="AL171" s="1173"/>
      <c r="AM171" s="1174"/>
      <c r="AN171" s="1175"/>
      <c r="AO171" s="1176"/>
      <c r="AP171" s="1177"/>
      <c r="AQ171" s="1547"/>
      <c r="AR171" s="1177"/>
      <c r="AS171" s="1548"/>
      <c r="AT171" s="1549"/>
      <c r="AU171" s="1178"/>
      <c r="AV171" s="1179"/>
      <c r="AY171" s="3">
        <v>1</v>
      </c>
    </row>
    <row r="172" spans="2:51" ht="27" customHeight="1">
      <c r="B172" s="104"/>
      <c r="C172" s="1172"/>
      <c r="D172" s="1172"/>
      <c r="E172" s="1172"/>
      <c r="F172" s="1173"/>
      <c r="G172" s="1174"/>
      <c r="H172" s="1175"/>
      <c r="I172" s="1176"/>
      <c r="J172" s="1177"/>
      <c r="K172" s="1547"/>
      <c r="L172" s="1177"/>
      <c r="M172" s="1548"/>
      <c r="N172" s="1549"/>
      <c r="O172" s="1178"/>
      <c r="P172" s="1179"/>
      <c r="Q172" s="1171"/>
      <c r="R172" s="104"/>
      <c r="S172" s="1172"/>
      <c r="T172" s="1172"/>
      <c r="U172" s="1172"/>
      <c r="V172" s="1173"/>
      <c r="W172" s="1174"/>
      <c r="X172" s="1175"/>
      <c r="Y172" s="1176"/>
      <c r="Z172" s="1177"/>
      <c r="AA172" s="1547"/>
      <c r="AB172" s="1177"/>
      <c r="AC172" s="1548"/>
      <c r="AD172" s="1549"/>
      <c r="AE172" s="1178"/>
      <c r="AF172" s="1179"/>
      <c r="AG172" s="1171"/>
      <c r="AH172" s="104"/>
      <c r="AI172" s="1172"/>
      <c r="AJ172" s="1172"/>
      <c r="AK172" s="1172"/>
      <c r="AL172" s="1173"/>
      <c r="AM172" s="1174"/>
      <c r="AN172" s="1175"/>
      <c r="AO172" s="1176"/>
      <c r="AP172" s="1177"/>
      <c r="AQ172" s="1547"/>
      <c r="AR172" s="1177"/>
      <c r="AS172" s="1548"/>
      <c r="AT172" s="1549"/>
      <c r="AU172" s="1178"/>
      <c r="AV172" s="1179"/>
      <c r="AY172" s="3">
        <v>1</v>
      </c>
    </row>
    <row r="173" spans="2:51" ht="27" customHeight="1">
      <c r="B173" s="104"/>
      <c r="C173" s="1172"/>
      <c r="D173" s="1172"/>
      <c r="E173" s="1172"/>
      <c r="F173" s="1173"/>
      <c r="G173" s="1174"/>
      <c r="H173" s="1175"/>
      <c r="I173" s="1176"/>
      <c r="J173" s="1177"/>
      <c r="K173" s="1547"/>
      <c r="L173" s="1177"/>
      <c r="M173" s="1548"/>
      <c r="N173" s="1549"/>
      <c r="O173" s="1178"/>
      <c r="P173" s="1179"/>
      <c r="Q173" s="1171"/>
      <c r="R173" s="104"/>
      <c r="S173" s="1172"/>
      <c r="T173" s="1172"/>
      <c r="U173" s="1172"/>
      <c r="V173" s="1173"/>
      <c r="W173" s="1174"/>
      <c r="X173" s="1175"/>
      <c r="Y173" s="1176"/>
      <c r="Z173" s="1177"/>
      <c r="AA173" s="1547"/>
      <c r="AB173" s="1177"/>
      <c r="AC173" s="1548"/>
      <c r="AD173" s="1549"/>
      <c r="AE173" s="1178"/>
      <c r="AF173" s="1179"/>
      <c r="AG173" s="1171"/>
      <c r="AH173" s="104"/>
      <c r="AI173" s="1172"/>
      <c r="AJ173" s="1172"/>
      <c r="AK173" s="1172"/>
      <c r="AL173" s="1173"/>
      <c r="AM173" s="1174"/>
      <c r="AN173" s="1175"/>
      <c r="AO173" s="1176"/>
      <c r="AP173" s="1177"/>
      <c r="AQ173" s="1547"/>
      <c r="AR173" s="1177"/>
      <c r="AS173" s="1548"/>
      <c r="AT173" s="1549"/>
      <c r="AU173" s="1178"/>
      <c r="AV173" s="1179"/>
      <c r="AY173" s="3">
        <v>1</v>
      </c>
    </row>
    <row r="174" spans="2:51" ht="27" customHeight="1">
      <c r="B174" s="104"/>
      <c r="C174" s="1172"/>
      <c r="D174" s="1172"/>
      <c r="E174" s="1172"/>
      <c r="F174" s="1173"/>
      <c r="G174" s="1174"/>
      <c r="H174" s="1175"/>
      <c r="I174" s="1176"/>
      <c r="J174" s="1177"/>
      <c r="K174" s="1547"/>
      <c r="L174" s="1177"/>
      <c r="M174" s="1548"/>
      <c r="N174" s="1549"/>
      <c r="O174" s="1178"/>
      <c r="P174" s="1179"/>
      <c r="Q174" s="1171"/>
      <c r="R174" s="104"/>
      <c r="S174" s="1172"/>
      <c r="T174" s="1172"/>
      <c r="U174" s="1172"/>
      <c r="V174" s="1173"/>
      <c r="W174" s="1174"/>
      <c r="X174" s="1175"/>
      <c r="Y174" s="1176"/>
      <c r="Z174" s="1177"/>
      <c r="AA174" s="1547"/>
      <c r="AB174" s="1177"/>
      <c r="AC174" s="1548"/>
      <c r="AD174" s="1549"/>
      <c r="AE174" s="1178"/>
      <c r="AF174" s="1179"/>
      <c r="AG174" s="1171"/>
      <c r="AH174" s="104"/>
      <c r="AI174" s="1172"/>
      <c r="AJ174" s="1172"/>
      <c r="AK174" s="1172"/>
      <c r="AL174" s="1173"/>
      <c r="AM174" s="1174"/>
      <c r="AN174" s="1175"/>
      <c r="AO174" s="1176"/>
      <c r="AP174" s="1177"/>
      <c r="AQ174" s="1547"/>
      <c r="AR174" s="1177"/>
      <c r="AS174" s="1548"/>
      <c r="AT174" s="1549"/>
      <c r="AU174" s="1178"/>
      <c r="AV174" s="1179"/>
      <c r="AY174" s="3">
        <v>1</v>
      </c>
    </row>
    <row r="175" spans="2:51" ht="27" customHeight="1">
      <c r="B175" s="104"/>
      <c r="C175" s="1172"/>
      <c r="D175" s="1172"/>
      <c r="E175" s="1172"/>
      <c r="F175" s="1173"/>
      <c r="G175" s="1174"/>
      <c r="H175" s="1175"/>
      <c r="I175" s="1176"/>
      <c r="J175" s="1177"/>
      <c r="K175" s="1547"/>
      <c r="L175" s="1177"/>
      <c r="M175" s="1548"/>
      <c r="N175" s="1549"/>
      <c r="O175" s="1178"/>
      <c r="P175" s="1179"/>
      <c r="Q175" s="1171"/>
      <c r="R175" s="104"/>
      <c r="S175" s="1172"/>
      <c r="T175" s="1172"/>
      <c r="U175" s="1172"/>
      <c r="V175" s="1173"/>
      <c r="W175" s="1174"/>
      <c r="X175" s="1175"/>
      <c r="Y175" s="1176"/>
      <c r="Z175" s="1177"/>
      <c r="AA175" s="1547"/>
      <c r="AB175" s="1177"/>
      <c r="AC175" s="1548"/>
      <c r="AD175" s="1549"/>
      <c r="AE175" s="1178"/>
      <c r="AF175" s="1179"/>
      <c r="AG175" s="1171"/>
      <c r="AH175" s="104"/>
      <c r="AI175" s="1172"/>
      <c r="AJ175" s="1172"/>
      <c r="AK175" s="1172"/>
      <c r="AL175" s="1173"/>
      <c r="AM175" s="1174"/>
      <c r="AN175" s="1175"/>
      <c r="AO175" s="1176"/>
      <c r="AP175" s="1177"/>
      <c r="AQ175" s="1547"/>
      <c r="AR175" s="1177"/>
      <c r="AS175" s="1548"/>
      <c r="AT175" s="1549"/>
      <c r="AU175" s="1178"/>
      <c r="AV175" s="1179"/>
      <c r="AY175" s="3">
        <v>1</v>
      </c>
    </row>
    <row r="176" spans="2:51" ht="27" customHeight="1">
      <c r="B176" s="104"/>
      <c r="C176" s="1172"/>
      <c r="D176" s="1172"/>
      <c r="E176" s="1172"/>
      <c r="F176" s="1173"/>
      <c r="G176" s="1174"/>
      <c r="H176" s="1175"/>
      <c r="I176" s="1176"/>
      <c r="J176" s="1177"/>
      <c r="K176" s="1547"/>
      <c r="L176" s="1177"/>
      <c r="M176" s="1548"/>
      <c r="N176" s="1549"/>
      <c r="O176" s="1178"/>
      <c r="P176" s="1179"/>
      <c r="Q176" s="1171"/>
      <c r="R176" s="104"/>
      <c r="S176" s="1172"/>
      <c r="T176" s="1172"/>
      <c r="U176" s="1172"/>
      <c r="V176" s="1173"/>
      <c r="W176" s="1174"/>
      <c r="X176" s="1175"/>
      <c r="Y176" s="1176"/>
      <c r="Z176" s="1177"/>
      <c r="AA176" s="1547"/>
      <c r="AB176" s="1177"/>
      <c r="AC176" s="1548"/>
      <c r="AD176" s="1549"/>
      <c r="AE176" s="1178"/>
      <c r="AF176" s="1179"/>
      <c r="AG176" s="1171"/>
      <c r="AH176" s="104"/>
      <c r="AI176" s="1172"/>
      <c r="AJ176" s="1172"/>
      <c r="AK176" s="1172"/>
      <c r="AL176" s="1173"/>
      <c r="AM176" s="1174"/>
      <c r="AN176" s="1175"/>
      <c r="AO176" s="1176"/>
      <c r="AP176" s="1177"/>
      <c r="AQ176" s="1547"/>
      <c r="AR176" s="1177"/>
      <c r="AS176" s="1548"/>
      <c r="AT176" s="1549"/>
      <c r="AU176" s="1178"/>
      <c r="AV176" s="1179"/>
      <c r="AY176" s="3">
        <v>1</v>
      </c>
    </row>
    <row r="177" spans="2:51" ht="27" customHeight="1">
      <c r="B177" s="104"/>
      <c r="C177" s="1172"/>
      <c r="D177" s="1172"/>
      <c r="E177" s="1172"/>
      <c r="F177" s="1173"/>
      <c r="G177" s="1174"/>
      <c r="H177" s="1175"/>
      <c r="I177" s="1176"/>
      <c r="J177" s="1177"/>
      <c r="K177" s="1547"/>
      <c r="L177" s="1177"/>
      <c r="M177" s="1548"/>
      <c r="N177" s="1549"/>
      <c r="O177" s="1178"/>
      <c r="P177" s="1179"/>
      <c r="Q177" s="1171"/>
      <c r="R177" s="104"/>
      <c r="S177" s="1172"/>
      <c r="T177" s="1172"/>
      <c r="U177" s="1172"/>
      <c r="V177" s="1173"/>
      <c r="W177" s="1174"/>
      <c r="X177" s="1175"/>
      <c r="Y177" s="1176"/>
      <c r="Z177" s="1177"/>
      <c r="AA177" s="1547"/>
      <c r="AB177" s="1177"/>
      <c r="AC177" s="1548"/>
      <c r="AD177" s="1549"/>
      <c r="AE177" s="1178"/>
      <c r="AF177" s="1179"/>
      <c r="AG177" s="1171"/>
      <c r="AH177" s="104"/>
      <c r="AI177" s="1172"/>
      <c r="AJ177" s="1172"/>
      <c r="AK177" s="1172"/>
      <c r="AL177" s="1173"/>
      <c r="AM177" s="1174"/>
      <c r="AN177" s="1175"/>
      <c r="AO177" s="1176"/>
      <c r="AP177" s="1177"/>
      <c r="AQ177" s="1547"/>
      <c r="AR177" s="1177"/>
      <c r="AS177" s="1548"/>
      <c r="AT177" s="1549"/>
      <c r="AU177" s="1178"/>
      <c r="AV177" s="1179"/>
      <c r="AY177" s="3">
        <v>1</v>
      </c>
    </row>
    <row r="178" spans="2:51" ht="27" customHeight="1">
      <c r="B178" s="104"/>
      <c r="C178" s="1172"/>
      <c r="D178" s="1172"/>
      <c r="E178" s="1172"/>
      <c r="F178" s="1173"/>
      <c r="G178" s="1174"/>
      <c r="H178" s="1175"/>
      <c r="I178" s="1176"/>
      <c r="J178" s="1177"/>
      <c r="K178" s="1547"/>
      <c r="L178" s="1177"/>
      <c r="M178" s="1548"/>
      <c r="N178" s="1549"/>
      <c r="O178" s="1178"/>
      <c r="P178" s="1179"/>
      <c r="Q178" s="1171"/>
      <c r="R178" s="104"/>
      <c r="S178" s="1172"/>
      <c r="T178" s="1172"/>
      <c r="U178" s="1172"/>
      <c r="V178" s="1173"/>
      <c r="W178" s="1174"/>
      <c r="X178" s="1175"/>
      <c r="Y178" s="1176"/>
      <c r="Z178" s="1177"/>
      <c r="AA178" s="1547"/>
      <c r="AB178" s="1177"/>
      <c r="AC178" s="1548"/>
      <c r="AD178" s="1549"/>
      <c r="AE178" s="1178"/>
      <c r="AF178" s="1179"/>
      <c r="AG178" s="1171"/>
      <c r="AH178" s="104"/>
      <c r="AI178" s="1172"/>
      <c r="AJ178" s="1172"/>
      <c r="AK178" s="1172"/>
      <c r="AL178" s="1173"/>
      <c r="AM178" s="1174"/>
      <c r="AN178" s="1175"/>
      <c r="AO178" s="1176"/>
      <c r="AP178" s="1177"/>
      <c r="AQ178" s="1547"/>
      <c r="AR178" s="1177"/>
      <c r="AS178" s="1548"/>
      <c r="AT178" s="1549"/>
      <c r="AU178" s="1178"/>
      <c r="AV178" s="1179"/>
      <c r="AY178" s="3">
        <v>1</v>
      </c>
    </row>
    <row r="179" spans="2:51" ht="27" customHeight="1">
      <c r="B179" s="104"/>
      <c r="C179" s="1172"/>
      <c r="D179" s="1172"/>
      <c r="E179" s="1172"/>
      <c r="F179" s="1173"/>
      <c r="G179" s="1174"/>
      <c r="H179" s="1175"/>
      <c r="I179" s="1176"/>
      <c r="J179" s="1177"/>
      <c r="K179" s="1547"/>
      <c r="L179" s="1177"/>
      <c r="M179" s="1548"/>
      <c r="N179" s="1549"/>
      <c r="O179" s="1178"/>
      <c r="P179" s="1179"/>
      <c r="Q179" s="1171"/>
      <c r="R179" s="104"/>
      <c r="S179" s="1172"/>
      <c r="T179" s="1172"/>
      <c r="U179" s="1172"/>
      <c r="V179" s="1173"/>
      <c r="W179" s="1174"/>
      <c r="X179" s="1175"/>
      <c r="Y179" s="1176"/>
      <c r="Z179" s="1177"/>
      <c r="AA179" s="1547"/>
      <c r="AB179" s="1177"/>
      <c r="AC179" s="1548"/>
      <c r="AD179" s="1549"/>
      <c r="AE179" s="1178"/>
      <c r="AF179" s="1179"/>
      <c r="AG179" s="1171"/>
      <c r="AH179" s="104"/>
      <c r="AI179" s="1172"/>
      <c r="AJ179" s="1172"/>
      <c r="AK179" s="1172"/>
      <c r="AL179" s="1173"/>
      <c r="AM179" s="1174"/>
      <c r="AN179" s="1175"/>
      <c r="AO179" s="1176"/>
      <c r="AP179" s="1177"/>
      <c r="AQ179" s="1547"/>
      <c r="AR179" s="1177"/>
      <c r="AS179" s="1548"/>
      <c r="AT179" s="1549"/>
      <c r="AU179" s="1178"/>
      <c r="AV179" s="1179"/>
      <c r="AY179" s="3">
        <v>1</v>
      </c>
    </row>
    <row r="180" spans="2:51" ht="27" customHeight="1">
      <c r="B180" s="104"/>
      <c r="C180" s="1172"/>
      <c r="D180" s="1172"/>
      <c r="E180" s="1172"/>
      <c r="F180" s="1173"/>
      <c r="G180" s="1174"/>
      <c r="H180" s="1175"/>
      <c r="I180" s="1176"/>
      <c r="J180" s="1177"/>
      <c r="K180" s="1547"/>
      <c r="L180" s="1177"/>
      <c r="M180" s="1548"/>
      <c r="N180" s="1549"/>
      <c r="O180" s="1178"/>
      <c r="P180" s="1179"/>
      <c r="Q180" s="1171"/>
      <c r="R180" s="104"/>
      <c r="S180" s="1172"/>
      <c r="T180" s="1172"/>
      <c r="U180" s="1172"/>
      <c r="V180" s="1173"/>
      <c r="W180" s="1174"/>
      <c r="X180" s="1175"/>
      <c r="Y180" s="1176"/>
      <c r="Z180" s="1177"/>
      <c r="AA180" s="1547"/>
      <c r="AB180" s="1177"/>
      <c r="AC180" s="1548"/>
      <c r="AD180" s="1549"/>
      <c r="AE180" s="1178"/>
      <c r="AF180" s="1179"/>
      <c r="AG180" s="1171"/>
      <c r="AH180" s="104"/>
      <c r="AI180" s="1172"/>
      <c r="AJ180" s="1172"/>
      <c r="AK180" s="1172"/>
      <c r="AL180" s="1173"/>
      <c r="AM180" s="1174"/>
      <c r="AN180" s="1175"/>
      <c r="AO180" s="1176"/>
      <c r="AP180" s="1177"/>
      <c r="AQ180" s="1547"/>
      <c r="AR180" s="1177"/>
      <c r="AS180" s="1548"/>
      <c r="AT180" s="1549"/>
      <c r="AU180" s="1178"/>
      <c r="AV180" s="1179"/>
      <c r="AY180" s="3">
        <v>1</v>
      </c>
    </row>
    <row r="181" spans="2:51" ht="27" customHeight="1">
      <c r="B181" s="104"/>
      <c r="C181" s="1172"/>
      <c r="D181" s="1172"/>
      <c r="E181" s="1172"/>
      <c r="F181" s="1173"/>
      <c r="G181" s="1174"/>
      <c r="H181" s="1175"/>
      <c r="I181" s="1176"/>
      <c r="J181" s="1177"/>
      <c r="K181" s="1547"/>
      <c r="L181" s="1177"/>
      <c r="M181" s="1548"/>
      <c r="N181" s="1549"/>
      <c r="O181" s="1178"/>
      <c r="P181" s="1179"/>
      <c r="Q181" s="1171"/>
      <c r="R181" s="104"/>
      <c r="S181" s="1172"/>
      <c r="T181" s="1172"/>
      <c r="U181" s="1172"/>
      <c r="V181" s="1173"/>
      <c r="W181" s="1174"/>
      <c r="X181" s="1175"/>
      <c r="Y181" s="1176"/>
      <c r="Z181" s="1177"/>
      <c r="AA181" s="1547"/>
      <c r="AB181" s="1177"/>
      <c r="AC181" s="1548"/>
      <c r="AD181" s="1549"/>
      <c r="AE181" s="1178"/>
      <c r="AF181" s="1179"/>
      <c r="AG181" s="1171"/>
      <c r="AH181" s="104"/>
      <c r="AI181" s="1172"/>
      <c r="AJ181" s="1172"/>
      <c r="AK181" s="1172"/>
      <c r="AL181" s="1173"/>
      <c r="AM181" s="1174"/>
      <c r="AN181" s="1175"/>
      <c r="AO181" s="1176"/>
      <c r="AP181" s="1177"/>
      <c r="AQ181" s="1547"/>
      <c r="AR181" s="1177"/>
      <c r="AS181" s="1548"/>
      <c r="AT181" s="1549"/>
      <c r="AU181" s="1178"/>
      <c r="AV181" s="1179"/>
      <c r="AY181" s="3">
        <v>1</v>
      </c>
    </row>
    <row r="182" spans="2:51" ht="27" customHeight="1">
      <c r="B182" s="104"/>
      <c r="C182" s="1172"/>
      <c r="D182" s="1172"/>
      <c r="E182" s="1172"/>
      <c r="F182" s="1173"/>
      <c r="G182" s="1174"/>
      <c r="H182" s="1175"/>
      <c r="I182" s="1176"/>
      <c r="J182" s="1177"/>
      <c r="K182" s="1547"/>
      <c r="L182" s="1177"/>
      <c r="M182" s="1548"/>
      <c r="N182" s="1549"/>
      <c r="O182" s="1178"/>
      <c r="P182" s="1179"/>
      <c r="Q182" s="1171"/>
      <c r="R182" s="104"/>
      <c r="S182" s="1172"/>
      <c r="T182" s="1172"/>
      <c r="U182" s="1172"/>
      <c r="V182" s="1173"/>
      <c r="W182" s="1174"/>
      <c r="X182" s="1175"/>
      <c r="Y182" s="1176"/>
      <c r="Z182" s="1177"/>
      <c r="AA182" s="1547"/>
      <c r="AB182" s="1177"/>
      <c r="AC182" s="1548"/>
      <c r="AD182" s="1549"/>
      <c r="AE182" s="1178"/>
      <c r="AF182" s="1179"/>
      <c r="AG182" s="1171"/>
      <c r="AH182" s="104"/>
      <c r="AI182" s="1172"/>
      <c r="AJ182" s="1172"/>
      <c r="AK182" s="1172"/>
      <c r="AL182" s="1173"/>
      <c r="AM182" s="1174"/>
      <c r="AN182" s="1175"/>
      <c r="AO182" s="1176"/>
      <c r="AP182" s="1177"/>
      <c r="AQ182" s="1547"/>
      <c r="AR182" s="1177"/>
      <c r="AS182" s="1548"/>
      <c r="AT182" s="1549"/>
      <c r="AU182" s="1178"/>
      <c r="AV182" s="1179"/>
      <c r="AY182" s="3">
        <v>1</v>
      </c>
    </row>
    <row r="183" spans="2:51" ht="27" customHeight="1">
      <c r="B183" s="104"/>
      <c r="C183" s="1172"/>
      <c r="D183" s="1172"/>
      <c r="E183" s="1172"/>
      <c r="F183" s="1173"/>
      <c r="G183" s="1174"/>
      <c r="H183" s="1175"/>
      <c r="I183" s="1176"/>
      <c r="J183" s="1177"/>
      <c r="K183" s="1547"/>
      <c r="L183" s="1177"/>
      <c r="M183" s="1548"/>
      <c r="N183" s="1549"/>
      <c r="O183" s="1178"/>
      <c r="P183" s="1179"/>
      <c r="Q183" s="1171"/>
      <c r="R183" s="104"/>
      <c r="S183" s="1172"/>
      <c r="T183" s="1172"/>
      <c r="U183" s="1172"/>
      <c r="V183" s="1173"/>
      <c r="W183" s="1174"/>
      <c r="X183" s="1175"/>
      <c r="Y183" s="1176"/>
      <c r="Z183" s="1177"/>
      <c r="AA183" s="1547"/>
      <c r="AB183" s="1177"/>
      <c r="AC183" s="1548"/>
      <c r="AD183" s="1549"/>
      <c r="AE183" s="1178"/>
      <c r="AF183" s="1179"/>
      <c r="AG183" s="1171"/>
      <c r="AH183" s="104"/>
      <c r="AI183" s="1172"/>
      <c r="AJ183" s="1172"/>
      <c r="AK183" s="1172"/>
      <c r="AL183" s="1173"/>
      <c r="AM183" s="1174"/>
      <c r="AN183" s="1175"/>
      <c r="AO183" s="1176"/>
      <c r="AP183" s="1177"/>
      <c r="AQ183" s="1547"/>
      <c r="AR183" s="1177"/>
      <c r="AS183" s="1548"/>
      <c r="AT183" s="1549"/>
      <c r="AU183" s="1178"/>
      <c r="AV183" s="1179"/>
      <c r="AY183" s="3">
        <v>1</v>
      </c>
    </row>
    <row r="184" spans="2:51" ht="27" customHeight="1">
      <c r="B184" s="104"/>
      <c r="C184" s="1172"/>
      <c r="D184" s="1172"/>
      <c r="E184" s="1172"/>
      <c r="F184" s="1173"/>
      <c r="G184" s="1174"/>
      <c r="H184" s="1175"/>
      <c r="I184" s="1176"/>
      <c r="J184" s="1177"/>
      <c r="K184" s="1547"/>
      <c r="L184" s="1177"/>
      <c r="M184" s="1548"/>
      <c r="N184" s="1549"/>
      <c r="O184" s="1178"/>
      <c r="P184" s="1179"/>
      <c r="Q184" s="1171"/>
      <c r="R184" s="104"/>
      <c r="S184" s="1172"/>
      <c r="T184" s="1172"/>
      <c r="U184" s="1172"/>
      <c r="V184" s="1173"/>
      <c r="W184" s="1174"/>
      <c r="X184" s="1175"/>
      <c r="Y184" s="1176"/>
      <c r="Z184" s="1177"/>
      <c r="AA184" s="1547"/>
      <c r="AB184" s="1177"/>
      <c r="AC184" s="1548"/>
      <c r="AD184" s="1549"/>
      <c r="AE184" s="1178"/>
      <c r="AF184" s="1179"/>
      <c r="AG184" s="1171"/>
      <c r="AH184" s="104"/>
      <c r="AI184" s="1172"/>
      <c r="AJ184" s="1172"/>
      <c r="AK184" s="1172"/>
      <c r="AL184" s="1173"/>
      <c r="AM184" s="1174"/>
      <c r="AN184" s="1175"/>
      <c r="AO184" s="1176"/>
      <c r="AP184" s="1177"/>
      <c r="AQ184" s="1547"/>
      <c r="AR184" s="1177"/>
      <c r="AS184" s="1548"/>
      <c r="AT184" s="1549"/>
      <c r="AU184" s="1178"/>
      <c r="AV184" s="1179"/>
      <c r="AY184" s="3">
        <v>1</v>
      </c>
    </row>
    <row r="185" spans="2:51" ht="27" customHeight="1">
      <c r="B185" s="104"/>
      <c r="C185" s="1172"/>
      <c r="D185" s="1172"/>
      <c r="E185" s="1172"/>
      <c r="F185" s="1173"/>
      <c r="G185" s="1174"/>
      <c r="H185" s="1175"/>
      <c r="I185" s="1176"/>
      <c r="J185" s="1177"/>
      <c r="K185" s="1547"/>
      <c r="L185" s="1177"/>
      <c r="M185" s="1548"/>
      <c r="N185" s="1549"/>
      <c r="O185" s="1178"/>
      <c r="P185" s="1179"/>
      <c r="Q185" s="1171"/>
      <c r="R185" s="104"/>
      <c r="S185" s="1172"/>
      <c r="T185" s="1172"/>
      <c r="U185" s="1172"/>
      <c r="V185" s="1173"/>
      <c r="W185" s="1174"/>
      <c r="X185" s="1175"/>
      <c r="Y185" s="1176"/>
      <c r="Z185" s="1177"/>
      <c r="AA185" s="1547"/>
      <c r="AB185" s="1177"/>
      <c r="AC185" s="1548"/>
      <c r="AD185" s="1549"/>
      <c r="AE185" s="1178"/>
      <c r="AF185" s="1179"/>
      <c r="AG185" s="1171"/>
      <c r="AH185" s="104"/>
      <c r="AI185" s="1172"/>
      <c r="AJ185" s="1172"/>
      <c r="AK185" s="1172"/>
      <c r="AL185" s="1173"/>
      <c r="AM185" s="1174"/>
      <c r="AN185" s="1175"/>
      <c r="AO185" s="1176"/>
      <c r="AP185" s="1177"/>
      <c r="AQ185" s="1547"/>
      <c r="AR185" s="1177"/>
      <c r="AS185" s="1548"/>
      <c r="AT185" s="1549"/>
      <c r="AU185" s="1178"/>
      <c r="AV185" s="1179"/>
      <c r="AY185" s="3">
        <v>1</v>
      </c>
    </row>
    <row r="186" spans="2:51" ht="27" customHeight="1">
      <c r="B186" s="104"/>
      <c r="C186" s="1172"/>
      <c r="D186" s="1172"/>
      <c r="E186" s="1172"/>
      <c r="F186" s="1173"/>
      <c r="G186" s="1174"/>
      <c r="H186" s="1175"/>
      <c r="I186" s="1176"/>
      <c r="J186" s="1177"/>
      <c r="K186" s="1547"/>
      <c r="L186" s="1177"/>
      <c r="M186" s="1548"/>
      <c r="N186" s="1549"/>
      <c r="O186" s="1178"/>
      <c r="P186" s="1179"/>
      <c r="Q186" s="1171"/>
      <c r="R186" s="104"/>
      <c r="S186" s="1172"/>
      <c r="T186" s="1172"/>
      <c r="U186" s="1172"/>
      <c r="V186" s="1173"/>
      <c r="W186" s="1174"/>
      <c r="X186" s="1175"/>
      <c r="Y186" s="1176"/>
      <c r="Z186" s="1177"/>
      <c r="AA186" s="1547"/>
      <c r="AB186" s="1177"/>
      <c r="AC186" s="1548"/>
      <c r="AD186" s="1549"/>
      <c r="AE186" s="1178"/>
      <c r="AF186" s="1179"/>
      <c r="AG186" s="1171"/>
      <c r="AH186" s="104"/>
      <c r="AI186" s="1172"/>
      <c r="AJ186" s="1172"/>
      <c r="AK186" s="1172"/>
      <c r="AL186" s="1173"/>
      <c r="AM186" s="1174"/>
      <c r="AN186" s="1175"/>
      <c r="AO186" s="1176"/>
      <c r="AP186" s="1177"/>
      <c r="AQ186" s="1547"/>
      <c r="AR186" s="1177"/>
      <c r="AS186" s="1548"/>
      <c r="AT186" s="1549"/>
      <c r="AU186" s="1178"/>
      <c r="AV186" s="1179"/>
      <c r="AY186" s="3">
        <v>1</v>
      </c>
    </row>
    <row r="187" spans="2:51" ht="27" customHeight="1">
      <c r="B187" s="104"/>
      <c r="C187" s="1172"/>
      <c r="D187" s="1172"/>
      <c r="E187" s="1172"/>
      <c r="F187" s="1173"/>
      <c r="G187" s="1174"/>
      <c r="H187" s="1175"/>
      <c r="I187" s="1176"/>
      <c r="J187" s="1177"/>
      <c r="K187" s="1547"/>
      <c r="L187" s="1177"/>
      <c r="M187" s="1548"/>
      <c r="N187" s="1549"/>
      <c r="O187" s="1178"/>
      <c r="P187" s="1179"/>
      <c r="Q187" s="1171"/>
      <c r="R187" s="104"/>
      <c r="S187" s="1172"/>
      <c r="T187" s="1172"/>
      <c r="U187" s="1172"/>
      <c r="V187" s="1173"/>
      <c r="W187" s="1174"/>
      <c r="X187" s="1175"/>
      <c r="Y187" s="1176"/>
      <c r="Z187" s="1177"/>
      <c r="AA187" s="1547"/>
      <c r="AB187" s="1177"/>
      <c r="AC187" s="1548"/>
      <c r="AD187" s="1549"/>
      <c r="AE187" s="1178"/>
      <c r="AF187" s="1179"/>
      <c r="AG187" s="1171"/>
      <c r="AH187" s="104"/>
      <c r="AI187" s="1172"/>
      <c r="AJ187" s="1172"/>
      <c r="AK187" s="1172"/>
      <c r="AL187" s="1173"/>
      <c r="AM187" s="1174"/>
      <c r="AN187" s="1175"/>
      <c r="AO187" s="1176"/>
      <c r="AP187" s="1177"/>
      <c r="AQ187" s="1547"/>
      <c r="AR187" s="1177"/>
      <c r="AS187" s="1548"/>
      <c r="AT187" s="1549"/>
      <c r="AU187" s="1178"/>
      <c r="AV187" s="1179"/>
      <c r="AY187" s="3">
        <v>1</v>
      </c>
    </row>
    <row r="188" spans="2:51" ht="27" customHeight="1">
      <c r="B188" s="104"/>
      <c r="C188" s="1172"/>
      <c r="D188" s="1172"/>
      <c r="E188" s="1172"/>
      <c r="F188" s="1173"/>
      <c r="G188" s="1174"/>
      <c r="H188" s="1175"/>
      <c r="I188" s="1176"/>
      <c r="J188" s="1177"/>
      <c r="K188" s="1547"/>
      <c r="L188" s="1177"/>
      <c r="M188" s="1548"/>
      <c r="N188" s="1549"/>
      <c r="O188" s="1178"/>
      <c r="P188" s="1179"/>
      <c r="Q188" s="1171"/>
      <c r="R188" s="104"/>
      <c r="S188" s="1172"/>
      <c r="T188" s="1172"/>
      <c r="U188" s="1172"/>
      <c r="V188" s="1173"/>
      <c r="W188" s="1174"/>
      <c r="X188" s="1175"/>
      <c r="Y188" s="1176"/>
      <c r="Z188" s="1177"/>
      <c r="AA188" s="1547"/>
      <c r="AB188" s="1177"/>
      <c r="AC188" s="1548"/>
      <c r="AD188" s="1549"/>
      <c r="AE188" s="1178"/>
      <c r="AF188" s="1179"/>
      <c r="AG188" s="1171"/>
      <c r="AH188" s="104"/>
      <c r="AI188" s="1172"/>
      <c r="AJ188" s="1172"/>
      <c r="AK188" s="1172"/>
      <c r="AL188" s="1173"/>
      <c r="AM188" s="1174"/>
      <c r="AN188" s="1175"/>
      <c r="AO188" s="1176"/>
      <c r="AP188" s="1177"/>
      <c r="AQ188" s="1547"/>
      <c r="AR188" s="1177"/>
      <c r="AS188" s="1548"/>
      <c r="AT188" s="1549"/>
      <c r="AU188" s="1178"/>
      <c r="AV188" s="1179"/>
      <c r="AY188" s="3">
        <v>1</v>
      </c>
    </row>
    <row r="189" spans="2:51" ht="27" customHeight="1">
      <c r="B189" s="104"/>
      <c r="C189" s="1172"/>
      <c r="D189" s="1172"/>
      <c r="E189" s="1172"/>
      <c r="F189" s="1173"/>
      <c r="G189" s="1174"/>
      <c r="H189" s="1175"/>
      <c r="I189" s="1176"/>
      <c r="J189" s="1177"/>
      <c r="K189" s="1547"/>
      <c r="L189" s="1177"/>
      <c r="M189" s="1548"/>
      <c r="N189" s="1549"/>
      <c r="O189" s="1178"/>
      <c r="P189" s="1179"/>
      <c r="Q189" s="1171"/>
      <c r="R189" s="104"/>
      <c r="S189" s="1172"/>
      <c r="T189" s="1172"/>
      <c r="U189" s="1172"/>
      <c r="V189" s="1173"/>
      <c r="W189" s="1174"/>
      <c r="X189" s="1175"/>
      <c r="Y189" s="1176"/>
      <c r="Z189" s="1177"/>
      <c r="AA189" s="1547"/>
      <c r="AB189" s="1177"/>
      <c r="AC189" s="1548"/>
      <c r="AD189" s="1549"/>
      <c r="AE189" s="1178"/>
      <c r="AF189" s="1179"/>
      <c r="AG189" s="1171"/>
      <c r="AH189" s="104"/>
      <c r="AI189" s="1172"/>
      <c r="AJ189" s="1172"/>
      <c r="AK189" s="1172"/>
      <c r="AL189" s="1173"/>
      <c r="AM189" s="1174"/>
      <c r="AN189" s="1175"/>
      <c r="AO189" s="1176"/>
      <c r="AP189" s="1177"/>
      <c r="AQ189" s="1547"/>
      <c r="AR189" s="1177"/>
      <c r="AS189" s="1548"/>
      <c r="AT189" s="1549"/>
      <c r="AU189" s="1178"/>
      <c r="AV189" s="1179"/>
      <c r="AY189" s="3">
        <v>1</v>
      </c>
    </row>
    <row r="190" spans="2:51" ht="27" customHeight="1">
      <c r="B190" s="104"/>
      <c r="C190" s="1172"/>
      <c r="D190" s="1172"/>
      <c r="E190" s="1172"/>
      <c r="F190" s="1173"/>
      <c r="G190" s="1174"/>
      <c r="H190" s="1175"/>
      <c r="I190" s="1176"/>
      <c r="J190" s="1177"/>
      <c r="K190" s="1547"/>
      <c r="L190" s="1177"/>
      <c r="M190" s="1548"/>
      <c r="N190" s="1549"/>
      <c r="O190" s="1178"/>
      <c r="P190" s="1179"/>
      <c r="Q190" s="1171"/>
      <c r="R190" s="104"/>
      <c r="S190" s="1172"/>
      <c r="T190" s="1172"/>
      <c r="U190" s="1172"/>
      <c r="V190" s="1173"/>
      <c r="W190" s="1174"/>
      <c r="X190" s="1175"/>
      <c r="Y190" s="1176"/>
      <c r="Z190" s="1177"/>
      <c r="AA190" s="1547"/>
      <c r="AB190" s="1177"/>
      <c r="AC190" s="1548"/>
      <c r="AD190" s="1549"/>
      <c r="AE190" s="1178"/>
      <c r="AF190" s="1179"/>
      <c r="AG190" s="1171"/>
      <c r="AH190" s="104"/>
      <c r="AI190" s="1172"/>
      <c r="AJ190" s="1172"/>
      <c r="AK190" s="1172"/>
      <c r="AL190" s="1173"/>
      <c r="AM190" s="1174"/>
      <c r="AN190" s="1175"/>
      <c r="AO190" s="1176"/>
      <c r="AP190" s="1177"/>
      <c r="AQ190" s="1547"/>
      <c r="AR190" s="1177"/>
      <c r="AS190" s="1548"/>
      <c r="AT190" s="1549"/>
      <c r="AU190" s="1178"/>
      <c r="AV190" s="1179"/>
      <c r="AY190" s="3">
        <v>1</v>
      </c>
    </row>
    <row r="191" spans="2:51" ht="27" customHeight="1">
      <c r="B191" s="104"/>
      <c r="C191" s="1172"/>
      <c r="D191" s="1172"/>
      <c r="E191" s="1172"/>
      <c r="F191" s="1173"/>
      <c r="G191" s="1174"/>
      <c r="H191" s="1175"/>
      <c r="I191" s="1176"/>
      <c r="J191" s="1177"/>
      <c r="K191" s="1547"/>
      <c r="L191" s="1177"/>
      <c r="M191" s="1548"/>
      <c r="N191" s="1549"/>
      <c r="O191" s="1178"/>
      <c r="P191" s="1179"/>
      <c r="Q191" s="1171"/>
      <c r="R191" s="104"/>
      <c r="S191" s="1172"/>
      <c r="T191" s="1172"/>
      <c r="U191" s="1172"/>
      <c r="V191" s="1173"/>
      <c r="W191" s="1174"/>
      <c r="X191" s="1175"/>
      <c r="Y191" s="1176"/>
      <c r="Z191" s="1177"/>
      <c r="AA191" s="1547"/>
      <c r="AB191" s="1177"/>
      <c r="AC191" s="1548"/>
      <c r="AD191" s="1549"/>
      <c r="AE191" s="1178"/>
      <c r="AF191" s="1179"/>
      <c r="AG191" s="1171"/>
      <c r="AH191" s="104"/>
      <c r="AI191" s="1172"/>
      <c r="AJ191" s="1172"/>
      <c r="AK191" s="1172"/>
      <c r="AL191" s="1173"/>
      <c r="AM191" s="1174"/>
      <c r="AN191" s="1175"/>
      <c r="AO191" s="1176"/>
      <c r="AP191" s="1177"/>
      <c r="AQ191" s="1547"/>
      <c r="AR191" s="1177"/>
      <c r="AS191" s="1548"/>
      <c r="AT191" s="1549"/>
      <c r="AU191" s="1178"/>
      <c r="AV191" s="1179"/>
      <c r="AY191" s="3">
        <v>1</v>
      </c>
    </row>
    <row r="192" spans="2:51" ht="27" customHeight="1">
      <c r="B192" s="104"/>
      <c r="C192" s="1172"/>
      <c r="D192" s="1172"/>
      <c r="E192" s="1172"/>
      <c r="F192" s="1173"/>
      <c r="G192" s="1174"/>
      <c r="H192" s="1175"/>
      <c r="I192" s="1176"/>
      <c r="J192" s="1177"/>
      <c r="K192" s="1547"/>
      <c r="L192" s="1177"/>
      <c r="M192" s="1548"/>
      <c r="N192" s="1549"/>
      <c r="O192" s="1178"/>
      <c r="P192" s="1179"/>
      <c r="Q192" s="1171"/>
      <c r="R192" s="104"/>
      <c r="S192" s="1172"/>
      <c r="T192" s="1172"/>
      <c r="U192" s="1172"/>
      <c r="V192" s="1173"/>
      <c r="W192" s="1174"/>
      <c r="X192" s="1175"/>
      <c r="Y192" s="1176"/>
      <c r="Z192" s="1177"/>
      <c r="AA192" s="1547"/>
      <c r="AB192" s="1177"/>
      <c r="AC192" s="1548"/>
      <c r="AD192" s="1549"/>
      <c r="AE192" s="1178"/>
      <c r="AF192" s="1179"/>
      <c r="AG192" s="1171"/>
      <c r="AH192" s="104"/>
      <c r="AI192" s="1172"/>
      <c r="AJ192" s="1172"/>
      <c r="AK192" s="1172"/>
      <c r="AL192" s="1173"/>
      <c r="AM192" s="1174"/>
      <c r="AN192" s="1175"/>
      <c r="AO192" s="1176"/>
      <c r="AP192" s="1177"/>
      <c r="AQ192" s="1547"/>
      <c r="AR192" s="1177"/>
      <c r="AS192" s="1548"/>
      <c r="AT192" s="1549"/>
      <c r="AU192" s="1178"/>
      <c r="AV192" s="1179"/>
      <c r="AY192" s="3">
        <v>1</v>
      </c>
    </row>
    <row r="193" spans="2:51" ht="27" customHeight="1">
      <c r="B193" s="104"/>
      <c r="C193" s="1172"/>
      <c r="D193" s="1172"/>
      <c r="E193" s="1172"/>
      <c r="F193" s="1173"/>
      <c r="G193" s="1174"/>
      <c r="H193" s="1175"/>
      <c r="I193" s="1176"/>
      <c r="J193" s="1177"/>
      <c r="K193" s="1547"/>
      <c r="L193" s="1177"/>
      <c r="M193" s="1548"/>
      <c r="N193" s="1549"/>
      <c r="O193" s="1178"/>
      <c r="P193" s="1179"/>
      <c r="Q193" s="1171"/>
      <c r="R193" s="104"/>
      <c r="S193" s="1172"/>
      <c r="T193" s="1172"/>
      <c r="U193" s="1172"/>
      <c r="V193" s="1173"/>
      <c r="W193" s="1174"/>
      <c r="X193" s="1175"/>
      <c r="Y193" s="1176"/>
      <c r="Z193" s="1177"/>
      <c r="AA193" s="1547"/>
      <c r="AB193" s="1177"/>
      <c r="AC193" s="1548"/>
      <c r="AD193" s="1549"/>
      <c r="AE193" s="1178"/>
      <c r="AF193" s="1179"/>
      <c r="AG193" s="1171"/>
      <c r="AH193" s="104"/>
      <c r="AI193" s="1172"/>
      <c r="AJ193" s="1172"/>
      <c r="AK193" s="1172"/>
      <c r="AL193" s="1173"/>
      <c r="AM193" s="1174"/>
      <c r="AN193" s="1175"/>
      <c r="AO193" s="1176"/>
      <c r="AP193" s="1177"/>
      <c r="AQ193" s="1547"/>
      <c r="AR193" s="1177"/>
      <c r="AS193" s="1548"/>
      <c r="AT193" s="1549"/>
      <c r="AU193" s="1178"/>
      <c r="AV193" s="1179"/>
      <c r="AY193" s="3">
        <v>1</v>
      </c>
    </row>
    <row r="194" spans="2:51" ht="27" customHeight="1">
      <c r="B194" s="104"/>
      <c r="C194" s="1172"/>
      <c r="D194" s="1172"/>
      <c r="E194" s="1172"/>
      <c r="F194" s="1173"/>
      <c r="G194" s="1174"/>
      <c r="H194" s="1175"/>
      <c r="I194" s="1176"/>
      <c r="J194" s="1177"/>
      <c r="K194" s="1547"/>
      <c r="L194" s="1177"/>
      <c r="M194" s="1548"/>
      <c r="N194" s="1549"/>
      <c r="O194" s="1178"/>
      <c r="P194" s="1179"/>
      <c r="Q194" s="1171"/>
      <c r="R194" s="104"/>
      <c r="S194" s="1172"/>
      <c r="T194" s="1172"/>
      <c r="U194" s="1172"/>
      <c r="V194" s="1173"/>
      <c r="W194" s="1174"/>
      <c r="X194" s="1175"/>
      <c r="Y194" s="1176"/>
      <c r="Z194" s="1177"/>
      <c r="AA194" s="1547"/>
      <c r="AB194" s="1177"/>
      <c r="AC194" s="1548"/>
      <c r="AD194" s="1549"/>
      <c r="AE194" s="1178"/>
      <c r="AF194" s="1179"/>
      <c r="AG194" s="1171"/>
      <c r="AH194" s="104"/>
      <c r="AI194" s="1172"/>
      <c r="AJ194" s="1172"/>
      <c r="AK194" s="1172"/>
      <c r="AL194" s="1173"/>
      <c r="AM194" s="1174"/>
      <c r="AN194" s="1175"/>
      <c r="AO194" s="1176"/>
      <c r="AP194" s="1177"/>
      <c r="AQ194" s="1547"/>
      <c r="AR194" s="1177"/>
      <c r="AS194" s="1548"/>
      <c r="AT194" s="1549"/>
      <c r="AU194" s="1178"/>
      <c r="AV194" s="1179"/>
      <c r="AY194" s="3">
        <v>1</v>
      </c>
    </row>
    <row r="195" spans="2:51" ht="27" customHeight="1">
      <c r="B195" s="104"/>
      <c r="C195" s="1172"/>
      <c r="D195" s="1172"/>
      <c r="E195" s="1172"/>
      <c r="F195" s="1173"/>
      <c r="G195" s="1174"/>
      <c r="H195" s="1175"/>
      <c r="I195" s="1176"/>
      <c r="J195" s="1177"/>
      <c r="K195" s="1547"/>
      <c r="L195" s="1177"/>
      <c r="M195" s="1548"/>
      <c r="N195" s="1549"/>
      <c r="O195" s="1178"/>
      <c r="P195" s="1179"/>
      <c r="Q195" s="1171"/>
      <c r="R195" s="104"/>
      <c r="S195" s="1172"/>
      <c r="T195" s="1172"/>
      <c r="U195" s="1172"/>
      <c r="V195" s="1173"/>
      <c r="W195" s="1174"/>
      <c r="X195" s="1175"/>
      <c r="Y195" s="1176"/>
      <c r="Z195" s="1177"/>
      <c r="AA195" s="1547"/>
      <c r="AB195" s="1177"/>
      <c r="AC195" s="1548"/>
      <c r="AD195" s="1549"/>
      <c r="AE195" s="1178"/>
      <c r="AF195" s="1179"/>
      <c r="AG195" s="1171"/>
      <c r="AH195" s="104"/>
      <c r="AI195" s="1172"/>
      <c r="AJ195" s="1172"/>
      <c r="AK195" s="1172"/>
      <c r="AL195" s="1173"/>
      <c r="AM195" s="1174"/>
      <c r="AN195" s="1175"/>
      <c r="AO195" s="1176"/>
      <c r="AP195" s="1177"/>
      <c r="AQ195" s="1547"/>
      <c r="AR195" s="1177"/>
      <c r="AS195" s="1548"/>
      <c r="AT195" s="1549"/>
      <c r="AU195" s="1178"/>
      <c r="AV195" s="1179"/>
      <c r="AY195" s="3">
        <v>1</v>
      </c>
    </row>
    <row r="196" spans="2:51" ht="27" customHeight="1">
      <c r="B196" s="104"/>
      <c r="C196" s="1172"/>
      <c r="D196" s="1172"/>
      <c r="E196" s="1172"/>
      <c r="F196" s="1173"/>
      <c r="G196" s="1174"/>
      <c r="H196" s="1175"/>
      <c r="I196" s="1176"/>
      <c r="J196" s="1177"/>
      <c r="K196" s="1547"/>
      <c r="L196" s="1177"/>
      <c r="M196" s="1548"/>
      <c r="N196" s="1549"/>
      <c r="O196" s="1178"/>
      <c r="P196" s="1179"/>
      <c r="Q196" s="1171"/>
      <c r="R196" s="104"/>
      <c r="S196" s="1172"/>
      <c r="T196" s="1172"/>
      <c r="U196" s="1172"/>
      <c r="V196" s="1173"/>
      <c r="W196" s="1174"/>
      <c r="X196" s="1175"/>
      <c r="Y196" s="1176"/>
      <c r="Z196" s="1177"/>
      <c r="AA196" s="1547"/>
      <c r="AB196" s="1177"/>
      <c r="AC196" s="1548"/>
      <c r="AD196" s="1549"/>
      <c r="AE196" s="1178"/>
      <c r="AF196" s="1179"/>
      <c r="AG196" s="1171"/>
      <c r="AH196" s="104"/>
      <c r="AI196" s="1172"/>
      <c r="AJ196" s="1172"/>
      <c r="AK196" s="1172"/>
      <c r="AL196" s="1173"/>
      <c r="AM196" s="1174"/>
      <c r="AN196" s="1175"/>
      <c r="AO196" s="1176"/>
      <c r="AP196" s="1177"/>
      <c r="AQ196" s="1547"/>
      <c r="AR196" s="1177"/>
      <c r="AS196" s="1548"/>
      <c r="AT196" s="1549"/>
      <c r="AU196" s="1178"/>
      <c r="AV196" s="1179"/>
      <c r="AY196" s="3">
        <v>1</v>
      </c>
    </row>
    <row r="197" spans="2:51" ht="27" customHeight="1">
      <c r="B197" s="104"/>
      <c r="C197" s="1172"/>
      <c r="D197" s="1172"/>
      <c r="E197" s="1172"/>
      <c r="F197" s="1173"/>
      <c r="G197" s="1174"/>
      <c r="H197" s="1175"/>
      <c r="I197" s="1176"/>
      <c r="J197" s="1177"/>
      <c r="K197" s="1547"/>
      <c r="L197" s="1177"/>
      <c r="M197" s="1548"/>
      <c r="N197" s="1549"/>
      <c r="O197" s="1178"/>
      <c r="P197" s="1179"/>
      <c r="Q197" s="1171"/>
      <c r="R197" s="104"/>
      <c r="S197" s="1172"/>
      <c r="T197" s="1172"/>
      <c r="U197" s="1172"/>
      <c r="V197" s="1173"/>
      <c r="W197" s="1174"/>
      <c r="X197" s="1175"/>
      <c r="Y197" s="1176"/>
      <c r="Z197" s="1177"/>
      <c r="AA197" s="1547"/>
      <c r="AB197" s="1177"/>
      <c r="AC197" s="1548"/>
      <c r="AD197" s="1549"/>
      <c r="AE197" s="1178"/>
      <c r="AF197" s="1179"/>
      <c r="AG197" s="1171"/>
      <c r="AH197" s="104"/>
      <c r="AI197" s="1172"/>
      <c r="AJ197" s="1172"/>
      <c r="AK197" s="1172"/>
      <c r="AL197" s="1173"/>
      <c r="AM197" s="1174"/>
      <c r="AN197" s="1175"/>
      <c r="AO197" s="1176"/>
      <c r="AP197" s="1177"/>
      <c r="AQ197" s="1547"/>
      <c r="AR197" s="1177"/>
      <c r="AS197" s="1548"/>
      <c r="AT197" s="1549"/>
      <c r="AU197" s="1178"/>
      <c r="AV197" s="1179"/>
      <c r="AY197" s="3">
        <v>1</v>
      </c>
    </row>
    <row r="198" spans="2:51" ht="27" customHeight="1">
      <c r="B198" s="104"/>
      <c r="C198" s="1172"/>
      <c r="D198" s="1172"/>
      <c r="E198" s="1172"/>
      <c r="F198" s="1173"/>
      <c r="G198" s="1174"/>
      <c r="H198" s="1175"/>
      <c r="I198" s="1176"/>
      <c r="J198" s="1177"/>
      <c r="K198" s="1547"/>
      <c r="L198" s="1177"/>
      <c r="M198" s="1548"/>
      <c r="N198" s="1549"/>
      <c r="O198" s="1178"/>
      <c r="P198" s="1179"/>
      <c r="Q198" s="1171"/>
      <c r="R198" s="104"/>
      <c r="S198" s="1172"/>
      <c r="T198" s="1172"/>
      <c r="U198" s="1172"/>
      <c r="V198" s="1173"/>
      <c r="W198" s="1174"/>
      <c r="X198" s="1175"/>
      <c r="Y198" s="1176"/>
      <c r="Z198" s="1177"/>
      <c r="AA198" s="1547"/>
      <c r="AB198" s="1177"/>
      <c r="AC198" s="1548"/>
      <c r="AD198" s="1549"/>
      <c r="AE198" s="1178"/>
      <c r="AF198" s="1179"/>
      <c r="AG198" s="1171"/>
      <c r="AH198" s="104"/>
      <c r="AI198" s="1172"/>
      <c r="AJ198" s="1172"/>
      <c r="AK198" s="1172"/>
      <c r="AL198" s="1173"/>
      <c r="AM198" s="1174"/>
      <c r="AN198" s="1175"/>
      <c r="AO198" s="1176"/>
      <c r="AP198" s="1177"/>
      <c r="AQ198" s="1547"/>
      <c r="AR198" s="1177"/>
      <c r="AS198" s="1548"/>
      <c r="AT198" s="1549"/>
      <c r="AU198" s="1178"/>
      <c r="AV198" s="1179"/>
      <c r="AY198" s="3">
        <v>1</v>
      </c>
    </row>
    <row r="199" spans="2:51" ht="27" customHeight="1">
      <c r="B199" s="104"/>
      <c r="C199" s="1172"/>
      <c r="D199" s="1172"/>
      <c r="E199" s="1172"/>
      <c r="F199" s="1173"/>
      <c r="G199" s="1174"/>
      <c r="H199" s="1175"/>
      <c r="I199" s="1176"/>
      <c r="J199" s="1177"/>
      <c r="K199" s="1547"/>
      <c r="L199" s="1177"/>
      <c r="M199" s="1548"/>
      <c r="N199" s="1549"/>
      <c r="O199" s="1178"/>
      <c r="P199" s="1179"/>
      <c r="Q199" s="1171"/>
      <c r="R199" s="104"/>
      <c r="S199" s="1172"/>
      <c r="T199" s="1172"/>
      <c r="U199" s="1172"/>
      <c r="V199" s="1173"/>
      <c r="W199" s="1174"/>
      <c r="X199" s="1175"/>
      <c r="Y199" s="1176"/>
      <c r="Z199" s="1177"/>
      <c r="AA199" s="1547"/>
      <c r="AB199" s="1177"/>
      <c r="AC199" s="1548"/>
      <c r="AD199" s="1549"/>
      <c r="AE199" s="1178"/>
      <c r="AF199" s="1179"/>
      <c r="AG199" s="1171"/>
      <c r="AH199" s="104"/>
      <c r="AI199" s="1172"/>
      <c r="AJ199" s="1172"/>
      <c r="AK199" s="1172"/>
      <c r="AL199" s="1173"/>
      <c r="AM199" s="1174"/>
      <c r="AN199" s="1175"/>
      <c r="AO199" s="1176"/>
      <c r="AP199" s="1177"/>
      <c r="AQ199" s="1547"/>
      <c r="AR199" s="1177"/>
      <c r="AS199" s="1548"/>
      <c r="AT199" s="1549"/>
      <c r="AU199" s="1178"/>
      <c r="AV199" s="1179"/>
      <c r="AY199" s="3">
        <v>1</v>
      </c>
    </row>
    <row r="200" spans="2:51" ht="27" customHeight="1">
      <c r="B200" s="104"/>
      <c r="C200" s="1172"/>
      <c r="D200" s="1172"/>
      <c r="E200" s="1172"/>
      <c r="F200" s="1173"/>
      <c r="G200" s="1174"/>
      <c r="H200" s="1175"/>
      <c r="I200" s="1176"/>
      <c r="J200" s="1177"/>
      <c r="K200" s="1547"/>
      <c r="L200" s="1177"/>
      <c r="M200" s="1548"/>
      <c r="N200" s="1549"/>
      <c r="O200" s="1178"/>
      <c r="P200" s="1179"/>
      <c r="Q200" s="1171"/>
      <c r="R200" s="104"/>
      <c r="S200" s="1172"/>
      <c r="T200" s="1172"/>
      <c r="U200" s="1172"/>
      <c r="V200" s="1173"/>
      <c r="W200" s="1174"/>
      <c r="X200" s="1175"/>
      <c r="Y200" s="1176"/>
      <c r="Z200" s="1177"/>
      <c r="AA200" s="1547"/>
      <c r="AB200" s="1177"/>
      <c r="AC200" s="1548"/>
      <c r="AD200" s="1549"/>
      <c r="AE200" s="1178"/>
      <c r="AF200" s="1179"/>
      <c r="AG200" s="1171"/>
      <c r="AH200" s="104"/>
      <c r="AI200" s="1172"/>
      <c r="AJ200" s="1172"/>
      <c r="AK200" s="1172"/>
      <c r="AL200" s="1173"/>
      <c r="AM200" s="1174"/>
      <c r="AN200" s="1175"/>
      <c r="AO200" s="1176"/>
      <c r="AP200" s="1177"/>
      <c r="AQ200" s="1547"/>
      <c r="AR200" s="1177"/>
      <c r="AS200" s="1548"/>
      <c r="AT200" s="1549"/>
      <c r="AU200" s="1178"/>
      <c r="AV200" s="1179"/>
      <c r="AY200" s="3">
        <v>1</v>
      </c>
    </row>
    <row r="201" spans="2:51" ht="27" customHeight="1">
      <c r="B201" s="104"/>
      <c r="C201" s="1172"/>
      <c r="D201" s="1172"/>
      <c r="E201" s="1172"/>
      <c r="F201" s="1173"/>
      <c r="G201" s="1174"/>
      <c r="H201" s="1175"/>
      <c r="I201" s="1176"/>
      <c r="J201" s="1177"/>
      <c r="K201" s="1547"/>
      <c r="L201" s="1177"/>
      <c r="M201" s="1548"/>
      <c r="N201" s="1549"/>
      <c r="O201" s="1178"/>
      <c r="P201" s="1179"/>
      <c r="Q201" s="1171"/>
      <c r="R201" s="104"/>
      <c r="S201" s="1172"/>
      <c r="T201" s="1172"/>
      <c r="U201" s="1172"/>
      <c r="V201" s="1173"/>
      <c r="W201" s="1174"/>
      <c r="X201" s="1175"/>
      <c r="Y201" s="1176"/>
      <c r="Z201" s="1177"/>
      <c r="AA201" s="1547"/>
      <c r="AB201" s="1177"/>
      <c r="AC201" s="1548"/>
      <c r="AD201" s="1549"/>
      <c r="AE201" s="1178"/>
      <c r="AF201" s="1179"/>
      <c r="AG201" s="1171"/>
      <c r="AH201" s="104"/>
      <c r="AI201" s="1172"/>
      <c r="AJ201" s="1172"/>
      <c r="AK201" s="1172"/>
      <c r="AL201" s="1173"/>
      <c r="AM201" s="1174"/>
      <c r="AN201" s="1175"/>
      <c r="AO201" s="1176"/>
      <c r="AP201" s="1177"/>
      <c r="AQ201" s="1547"/>
      <c r="AR201" s="1177"/>
      <c r="AS201" s="1548"/>
      <c r="AT201" s="1549"/>
      <c r="AU201" s="1178"/>
      <c r="AV201" s="1179"/>
      <c r="AY201" s="3">
        <v>1</v>
      </c>
    </row>
    <row r="202" spans="2:51" ht="27" customHeight="1">
      <c r="B202" s="104"/>
      <c r="C202" s="1172"/>
      <c r="D202" s="1172"/>
      <c r="E202" s="1172"/>
      <c r="F202" s="1173"/>
      <c r="G202" s="1174"/>
      <c r="H202" s="1175"/>
      <c r="I202" s="1176"/>
      <c r="J202" s="1177"/>
      <c r="K202" s="1547"/>
      <c r="L202" s="1177"/>
      <c r="M202" s="1548"/>
      <c r="N202" s="1549"/>
      <c r="O202" s="1178"/>
      <c r="P202" s="1179"/>
      <c r="Q202" s="1171"/>
      <c r="R202" s="104"/>
      <c r="S202" s="1172"/>
      <c r="T202" s="1172"/>
      <c r="U202" s="1172"/>
      <c r="V202" s="1173"/>
      <c r="W202" s="1174"/>
      <c r="X202" s="1175"/>
      <c r="Y202" s="1176"/>
      <c r="Z202" s="1177"/>
      <c r="AA202" s="1547"/>
      <c r="AB202" s="1177"/>
      <c r="AC202" s="1548"/>
      <c r="AD202" s="1549"/>
      <c r="AE202" s="1178"/>
      <c r="AF202" s="1179"/>
      <c r="AG202" s="1171"/>
      <c r="AH202" s="104"/>
      <c r="AI202" s="1172"/>
      <c r="AJ202" s="1172"/>
      <c r="AK202" s="1172"/>
      <c r="AL202" s="1173"/>
      <c r="AM202" s="1174"/>
      <c r="AN202" s="1175"/>
      <c r="AO202" s="1176"/>
      <c r="AP202" s="1177"/>
      <c r="AQ202" s="1547"/>
      <c r="AR202" s="1177"/>
      <c r="AS202" s="1548"/>
      <c r="AT202" s="1549"/>
      <c r="AU202" s="1178"/>
      <c r="AV202" s="1179"/>
      <c r="AY202" s="3">
        <v>1</v>
      </c>
    </row>
    <row r="203" spans="2:51" ht="27" customHeight="1">
      <c r="B203" s="104"/>
      <c r="C203" s="1172"/>
      <c r="D203" s="1172"/>
      <c r="E203" s="1172"/>
      <c r="F203" s="1173"/>
      <c r="G203" s="1174"/>
      <c r="H203" s="1175"/>
      <c r="I203" s="1176"/>
      <c r="J203" s="1177"/>
      <c r="K203" s="1547"/>
      <c r="L203" s="1177"/>
      <c r="M203" s="1548"/>
      <c r="N203" s="1549"/>
      <c r="O203" s="1178"/>
      <c r="P203" s="1179"/>
      <c r="Q203" s="1171"/>
      <c r="R203" s="104"/>
      <c r="S203" s="1172"/>
      <c r="T203" s="1172"/>
      <c r="U203" s="1172"/>
      <c r="V203" s="1173"/>
      <c r="W203" s="1174"/>
      <c r="X203" s="1175"/>
      <c r="Y203" s="1176"/>
      <c r="Z203" s="1177"/>
      <c r="AA203" s="1547"/>
      <c r="AB203" s="1177"/>
      <c r="AC203" s="1548"/>
      <c r="AD203" s="1549"/>
      <c r="AE203" s="1178"/>
      <c r="AF203" s="1179"/>
      <c r="AG203" s="1171"/>
      <c r="AH203" s="104"/>
      <c r="AI203" s="1172"/>
      <c r="AJ203" s="1172"/>
      <c r="AK203" s="1172"/>
      <c r="AL203" s="1173"/>
      <c r="AM203" s="1174"/>
      <c r="AN203" s="1175"/>
      <c r="AO203" s="1176"/>
      <c r="AP203" s="1177"/>
      <c r="AQ203" s="1547"/>
      <c r="AR203" s="1177"/>
      <c r="AS203" s="1548"/>
      <c r="AT203" s="1549"/>
      <c r="AU203" s="1178"/>
      <c r="AV203" s="1179"/>
      <c r="AY203" s="3">
        <v>1</v>
      </c>
    </row>
    <row r="204" spans="2:51" ht="27" customHeight="1">
      <c r="B204" s="104"/>
      <c r="C204" s="1172"/>
      <c r="D204" s="1172"/>
      <c r="E204" s="1172"/>
      <c r="F204" s="1173"/>
      <c r="G204" s="1174"/>
      <c r="H204" s="1175"/>
      <c r="I204" s="1176"/>
      <c r="J204" s="1177"/>
      <c r="K204" s="1547"/>
      <c r="L204" s="1177"/>
      <c r="M204" s="1548"/>
      <c r="N204" s="1549"/>
      <c r="O204" s="1178"/>
      <c r="P204" s="1179"/>
      <c r="Q204" s="1171"/>
      <c r="R204" s="104"/>
      <c r="S204" s="1172"/>
      <c r="T204" s="1172"/>
      <c r="U204" s="1172"/>
      <c r="V204" s="1173"/>
      <c r="W204" s="1174"/>
      <c r="X204" s="1175"/>
      <c r="Y204" s="1176"/>
      <c r="Z204" s="1177"/>
      <c r="AA204" s="1547"/>
      <c r="AB204" s="1177"/>
      <c r="AC204" s="1548"/>
      <c r="AD204" s="1549"/>
      <c r="AE204" s="1178"/>
      <c r="AF204" s="1179"/>
      <c r="AG204" s="1171"/>
      <c r="AH204" s="104"/>
      <c r="AI204" s="1172"/>
      <c r="AJ204" s="1172"/>
      <c r="AK204" s="1172"/>
      <c r="AL204" s="1173"/>
      <c r="AM204" s="1174"/>
      <c r="AN204" s="1175"/>
      <c r="AO204" s="1176"/>
      <c r="AP204" s="1177"/>
      <c r="AQ204" s="1547"/>
      <c r="AR204" s="1177"/>
      <c r="AS204" s="1548"/>
      <c r="AT204" s="1549"/>
      <c r="AU204" s="1178"/>
      <c r="AV204" s="1179"/>
      <c r="AY204" s="3">
        <v>1</v>
      </c>
    </row>
    <row r="205" spans="2:51" ht="27" customHeight="1">
      <c r="B205" s="104"/>
      <c r="C205" s="1172"/>
      <c r="D205" s="1172"/>
      <c r="E205" s="1172"/>
      <c r="F205" s="1173"/>
      <c r="G205" s="1174"/>
      <c r="H205" s="1175"/>
      <c r="I205" s="1176"/>
      <c r="J205" s="1177"/>
      <c r="K205" s="1547"/>
      <c r="L205" s="1177"/>
      <c r="M205" s="1548"/>
      <c r="N205" s="1549"/>
      <c r="O205" s="1178"/>
      <c r="P205" s="1179"/>
      <c r="Q205" s="1171"/>
      <c r="R205" s="104"/>
      <c r="S205" s="1172"/>
      <c r="T205" s="1172"/>
      <c r="U205" s="1172"/>
      <c r="V205" s="1173"/>
      <c r="W205" s="1174"/>
      <c r="X205" s="1175"/>
      <c r="Y205" s="1176"/>
      <c r="Z205" s="1177"/>
      <c r="AA205" s="1547"/>
      <c r="AB205" s="1177"/>
      <c r="AC205" s="1548"/>
      <c r="AD205" s="1549"/>
      <c r="AE205" s="1178"/>
      <c r="AF205" s="1179"/>
      <c r="AG205" s="1171"/>
      <c r="AH205" s="104"/>
      <c r="AI205" s="1172"/>
      <c r="AJ205" s="1172"/>
      <c r="AK205" s="1172"/>
      <c r="AL205" s="1173"/>
      <c r="AM205" s="1174"/>
      <c r="AN205" s="1175"/>
      <c r="AO205" s="1176"/>
      <c r="AP205" s="1177"/>
      <c r="AQ205" s="1547"/>
      <c r="AR205" s="1177"/>
      <c r="AS205" s="1548"/>
      <c r="AT205" s="1549"/>
      <c r="AU205" s="1178"/>
      <c r="AV205" s="1179"/>
      <c r="AY205" s="3">
        <v>1</v>
      </c>
    </row>
    <row r="206" spans="2:51" ht="27" customHeight="1">
      <c r="B206" s="104"/>
      <c r="C206" s="1172"/>
      <c r="D206" s="1172"/>
      <c r="E206" s="1172"/>
      <c r="F206" s="1173"/>
      <c r="G206" s="1174"/>
      <c r="H206" s="1175"/>
      <c r="I206" s="1176"/>
      <c r="J206" s="1177"/>
      <c r="K206" s="1547"/>
      <c r="L206" s="1177"/>
      <c r="M206" s="1548"/>
      <c r="N206" s="1549"/>
      <c r="O206" s="1178"/>
      <c r="P206" s="1179"/>
      <c r="Q206" s="1171"/>
      <c r="R206" s="104"/>
      <c r="S206" s="1172"/>
      <c r="T206" s="1172"/>
      <c r="U206" s="1172"/>
      <c r="V206" s="1173"/>
      <c r="W206" s="1174"/>
      <c r="X206" s="1175"/>
      <c r="Y206" s="1176"/>
      <c r="Z206" s="1177"/>
      <c r="AA206" s="1547"/>
      <c r="AB206" s="1177"/>
      <c r="AC206" s="1548"/>
      <c r="AD206" s="1549"/>
      <c r="AE206" s="1178"/>
      <c r="AF206" s="1179"/>
      <c r="AG206" s="1171"/>
      <c r="AH206" s="104"/>
      <c r="AI206" s="1172"/>
      <c r="AJ206" s="1172"/>
      <c r="AK206" s="1172"/>
      <c r="AL206" s="1173"/>
      <c r="AM206" s="1174"/>
      <c r="AN206" s="1175"/>
      <c r="AO206" s="1176"/>
      <c r="AP206" s="1177"/>
      <c r="AQ206" s="1547"/>
      <c r="AR206" s="1177"/>
      <c r="AS206" s="1548"/>
      <c r="AT206" s="1549"/>
      <c r="AU206" s="1178"/>
      <c r="AV206" s="1179"/>
      <c r="AY206" s="3">
        <v>1</v>
      </c>
    </row>
    <row r="207" spans="2:51" ht="27" customHeight="1">
      <c r="B207" s="104"/>
      <c r="C207" s="1172"/>
      <c r="D207" s="1172"/>
      <c r="E207" s="1172"/>
      <c r="F207" s="1173"/>
      <c r="G207" s="1174"/>
      <c r="H207" s="1175"/>
      <c r="I207" s="1176"/>
      <c r="J207" s="1177"/>
      <c r="K207" s="1547"/>
      <c r="L207" s="1177"/>
      <c r="M207" s="1548"/>
      <c r="N207" s="1549"/>
      <c r="O207" s="1178"/>
      <c r="P207" s="1179"/>
      <c r="Q207" s="1171"/>
      <c r="R207" s="104"/>
      <c r="S207" s="1172"/>
      <c r="T207" s="1172"/>
      <c r="U207" s="1172"/>
      <c r="V207" s="1173"/>
      <c r="W207" s="1174"/>
      <c r="X207" s="1175"/>
      <c r="Y207" s="1176"/>
      <c r="Z207" s="1177"/>
      <c r="AA207" s="1547"/>
      <c r="AB207" s="1177"/>
      <c r="AC207" s="1548"/>
      <c r="AD207" s="1549"/>
      <c r="AE207" s="1178"/>
      <c r="AF207" s="1179"/>
      <c r="AG207" s="1171"/>
      <c r="AH207" s="104"/>
      <c r="AI207" s="1172"/>
      <c r="AJ207" s="1172"/>
      <c r="AK207" s="1172"/>
      <c r="AL207" s="1173"/>
      <c r="AM207" s="1174"/>
      <c r="AN207" s="1175"/>
      <c r="AO207" s="1176"/>
      <c r="AP207" s="1177"/>
      <c r="AQ207" s="1547"/>
      <c r="AR207" s="1177"/>
      <c r="AS207" s="1548"/>
      <c r="AT207" s="1549"/>
      <c r="AU207" s="1178"/>
      <c r="AV207" s="1179"/>
      <c r="AY207" s="3">
        <v>1</v>
      </c>
    </row>
    <row r="208" spans="2:51" ht="27" customHeight="1">
      <c r="B208" s="104"/>
      <c r="C208" s="1172"/>
      <c r="D208" s="1172"/>
      <c r="E208" s="1172"/>
      <c r="F208" s="1173"/>
      <c r="G208" s="1174"/>
      <c r="H208" s="1175"/>
      <c r="I208" s="1176"/>
      <c r="J208" s="1177"/>
      <c r="K208" s="1547"/>
      <c r="L208" s="1177"/>
      <c r="M208" s="1548"/>
      <c r="N208" s="1549"/>
      <c r="O208" s="1178"/>
      <c r="P208" s="1179"/>
      <c r="Q208" s="1171"/>
      <c r="R208" s="104"/>
      <c r="S208" s="1172"/>
      <c r="T208" s="1172"/>
      <c r="U208" s="1172"/>
      <c r="V208" s="1173"/>
      <c r="W208" s="1174"/>
      <c r="X208" s="1175"/>
      <c r="Y208" s="1176"/>
      <c r="Z208" s="1177"/>
      <c r="AA208" s="1547"/>
      <c r="AB208" s="1177"/>
      <c r="AC208" s="1548"/>
      <c r="AD208" s="1549"/>
      <c r="AE208" s="1178"/>
      <c r="AF208" s="1179"/>
      <c r="AG208" s="1171"/>
      <c r="AH208" s="104"/>
      <c r="AI208" s="1172"/>
      <c r="AJ208" s="1172"/>
      <c r="AK208" s="1172"/>
      <c r="AL208" s="1173"/>
      <c r="AM208" s="1174"/>
      <c r="AN208" s="1175"/>
      <c r="AO208" s="1176"/>
      <c r="AP208" s="1177"/>
      <c r="AQ208" s="1547"/>
      <c r="AR208" s="1177"/>
      <c r="AS208" s="1548"/>
      <c r="AT208" s="1549"/>
      <c r="AU208" s="1178"/>
      <c r="AV208" s="1179"/>
      <c r="AY208" s="3">
        <v>1</v>
      </c>
    </row>
    <row r="209" spans="2:51" ht="27" customHeight="1">
      <c r="B209" s="104"/>
      <c r="C209" s="1172"/>
      <c r="D209" s="1172"/>
      <c r="E209" s="1172"/>
      <c r="F209" s="1173"/>
      <c r="G209" s="1174"/>
      <c r="H209" s="1175"/>
      <c r="I209" s="1176"/>
      <c r="J209" s="1177"/>
      <c r="K209" s="1547"/>
      <c r="L209" s="1177"/>
      <c r="M209" s="1548"/>
      <c r="N209" s="1549"/>
      <c r="O209" s="1178"/>
      <c r="P209" s="1179"/>
      <c r="Q209" s="1171"/>
      <c r="R209" s="104"/>
      <c r="S209" s="1172"/>
      <c r="T209" s="1172"/>
      <c r="U209" s="1172"/>
      <c r="V209" s="1173"/>
      <c r="W209" s="1174"/>
      <c r="X209" s="1175"/>
      <c r="Y209" s="1176"/>
      <c r="Z209" s="1177"/>
      <c r="AA209" s="1547"/>
      <c r="AB209" s="1177"/>
      <c r="AC209" s="1548"/>
      <c r="AD209" s="1549"/>
      <c r="AE209" s="1178"/>
      <c r="AF209" s="1179"/>
      <c r="AG209" s="1171"/>
      <c r="AH209" s="104"/>
      <c r="AI209" s="1172"/>
      <c r="AJ209" s="1172"/>
      <c r="AK209" s="1172"/>
      <c r="AL209" s="1173"/>
      <c r="AM209" s="1174"/>
      <c r="AN209" s="1175"/>
      <c r="AO209" s="1176"/>
      <c r="AP209" s="1177"/>
      <c r="AQ209" s="1547"/>
      <c r="AR209" s="1177"/>
      <c r="AS209" s="1548"/>
      <c r="AT209" s="1549"/>
      <c r="AU209" s="1178"/>
      <c r="AV209" s="1179"/>
      <c r="AY209" s="3">
        <v>1</v>
      </c>
    </row>
    <row r="210" spans="2:51" ht="27" customHeight="1">
      <c r="B210" s="104"/>
      <c r="C210" s="1172"/>
      <c r="D210" s="1172"/>
      <c r="E210" s="1172"/>
      <c r="F210" s="1173"/>
      <c r="G210" s="1174"/>
      <c r="H210" s="1175"/>
      <c r="I210" s="1176"/>
      <c r="J210" s="1177"/>
      <c r="K210" s="1547"/>
      <c r="L210" s="1177"/>
      <c r="M210" s="1548"/>
      <c r="N210" s="1549"/>
      <c r="O210" s="1178"/>
      <c r="P210" s="1179"/>
      <c r="Q210" s="1171"/>
      <c r="R210" s="104"/>
      <c r="S210" s="1172"/>
      <c r="T210" s="1172"/>
      <c r="U210" s="1172"/>
      <c r="V210" s="1173"/>
      <c r="W210" s="1174"/>
      <c r="X210" s="1175"/>
      <c r="Y210" s="1176"/>
      <c r="Z210" s="1177"/>
      <c r="AA210" s="1547"/>
      <c r="AB210" s="1177"/>
      <c r="AC210" s="1548"/>
      <c r="AD210" s="1549"/>
      <c r="AE210" s="1178"/>
      <c r="AF210" s="1179"/>
      <c r="AG210" s="1171"/>
      <c r="AH210" s="104"/>
      <c r="AI210" s="1172"/>
      <c r="AJ210" s="1172"/>
      <c r="AK210" s="1172"/>
      <c r="AL210" s="1173"/>
      <c r="AM210" s="1174"/>
      <c r="AN210" s="1175"/>
      <c r="AO210" s="1176"/>
      <c r="AP210" s="1177"/>
      <c r="AQ210" s="1547"/>
      <c r="AR210" s="1177"/>
      <c r="AS210" s="1548"/>
      <c r="AT210" s="1549"/>
      <c r="AU210" s="1178"/>
      <c r="AV210" s="1179"/>
      <c r="AY210" s="3">
        <v>1</v>
      </c>
    </row>
    <row r="211" spans="2:51" ht="27" customHeight="1">
      <c r="B211" s="104"/>
      <c r="C211" s="1172"/>
      <c r="D211" s="1172"/>
      <c r="E211" s="1172"/>
      <c r="F211" s="1173"/>
      <c r="G211" s="1174"/>
      <c r="H211" s="1175"/>
      <c r="I211" s="1176"/>
      <c r="J211" s="1177"/>
      <c r="K211" s="1547"/>
      <c r="L211" s="1177"/>
      <c r="M211" s="1548"/>
      <c r="N211" s="1549"/>
      <c r="O211" s="1178"/>
      <c r="P211" s="1179"/>
      <c r="Q211" s="1171"/>
      <c r="R211" s="104"/>
      <c r="S211" s="1172"/>
      <c r="T211" s="1172"/>
      <c r="U211" s="1172"/>
      <c r="V211" s="1173"/>
      <c r="W211" s="1174"/>
      <c r="X211" s="1175"/>
      <c r="Y211" s="1176"/>
      <c r="Z211" s="1177"/>
      <c r="AA211" s="1547"/>
      <c r="AB211" s="1177"/>
      <c r="AC211" s="1548"/>
      <c r="AD211" s="1549"/>
      <c r="AE211" s="1178"/>
      <c r="AF211" s="1179"/>
      <c r="AG211" s="1171"/>
      <c r="AH211" s="104"/>
      <c r="AI211" s="1172"/>
      <c r="AJ211" s="1172"/>
      <c r="AK211" s="1172"/>
      <c r="AL211" s="1173"/>
      <c r="AM211" s="1174"/>
      <c r="AN211" s="1175"/>
      <c r="AO211" s="1176"/>
      <c r="AP211" s="1177"/>
      <c r="AQ211" s="1547"/>
      <c r="AR211" s="1177"/>
      <c r="AS211" s="1548"/>
      <c r="AT211" s="1549"/>
      <c r="AU211" s="1178"/>
      <c r="AV211" s="1179"/>
      <c r="AY211" s="3">
        <v>1</v>
      </c>
    </row>
    <row r="212" spans="2:51" ht="27" customHeight="1">
      <c r="B212" s="104"/>
      <c r="C212" s="1172"/>
      <c r="D212" s="1172"/>
      <c r="E212" s="1172"/>
      <c r="F212" s="1173"/>
      <c r="G212" s="1174"/>
      <c r="H212" s="1175"/>
      <c r="I212" s="1176"/>
      <c r="J212" s="1177"/>
      <c r="K212" s="1547"/>
      <c r="L212" s="1177"/>
      <c r="M212" s="1548"/>
      <c r="N212" s="1549"/>
      <c r="O212" s="1178"/>
      <c r="P212" s="1179"/>
      <c r="Q212" s="1171"/>
      <c r="R212" s="104"/>
      <c r="S212" s="1172"/>
      <c r="T212" s="1172"/>
      <c r="U212" s="1172"/>
      <c r="V212" s="1173"/>
      <c r="W212" s="1174"/>
      <c r="X212" s="1175"/>
      <c r="Y212" s="1176"/>
      <c r="Z212" s="1177"/>
      <c r="AA212" s="1547"/>
      <c r="AB212" s="1177"/>
      <c r="AC212" s="1548"/>
      <c r="AD212" s="1549"/>
      <c r="AE212" s="1178"/>
      <c r="AF212" s="1179"/>
      <c r="AG212" s="1171"/>
      <c r="AH212" s="104"/>
      <c r="AI212" s="1172"/>
      <c r="AJ212" s="1172"/>
      <c r="AK212" s="1172"/>
      <c r="AL212" s="1173"/>
      <c r="AM212" s="1174"/>
      <c r="AN212" s="1175"/>
      <c r="AO212" s="1176"/>
      <c r="AP212" s="1177"/>
      <c r="AQ212" s="1547"/>
      <c r="AR212" s="1177"/>
      <c r="AS212" s="1548"/>
      <c r="AT212" s="1549"/>
      <c r="AU212" s="1178"/>
      <c r="AV212" s="1179"/>
      <c r="AY212" s="3">
        <v>1</v>
      </c>
    </row>
    <row r="213" spans="2:51" ht="27" customHeight="1">
      <c r="B213" s="104"/>
      <c r="C213" s="1172"/>
      <c r="D213" s="1172"/>
      <c r="E213" s="1172"/>
      <c r="F213" s="1173"/>
      <c r="G213" s="1174"/>
      <c r="H213" s="1175"/>
      <c r="I213" s="1176"/>
      <c r="J213" s="1177"/>
      <c r="K213" s="1547"/>
      <c r="L213" s="1177"/>
      <c r="M213" s="1548"/>
      <c r="N213" s="1549"/>
      <c r="O213" s="1178"/>
      <c r="P213" s="1179"/>
      <c r="Q213" s="1171"/>
      <c r="R213" s="104"/>
      <c r="S213" s="1172"/>
      <c r="T213" s="1172"/>
      <c r="U213" s="1172"/>
      <c r="V213" s="1173"/>
      <c r="W213" s="1174"/>
      <c r="X213" s="1175"/>
      <c r="Y213" s="1176"/>
      <c r="Z213" s="1177"/>
      <c r="AA213" s="1547"/>
      <c r="AB213" s="1177"/>
      <c r="AC213" s="1548"/>
      <c r="AD213" s="1549"/>
      <c r="AE213" s="1178"/>
      <c r="AF213" s="1179"/>
      <c r="AG213" s="1171"/>
      <c r="AH213" s="104"/>
      <c r="AI213" s="1172"/>
      <c r="AJ213" s="1172"/>
      <c r="AK213" s="1172"/>
      <c r="AL213" s="1173"/>
      <c r="AM213" s="1174"/>
      <c r="AN213" s="1175"/>
      <c r="AO213" s="1176"/>
      <c r="AP213" s="1177"/>
      <c r="AQ213" s="1547"/>
      <c r="AR213" s="1177"/>
      <c r="AS213" s="1548"/>
      <c r="AT213" s="1549"/>
      <c r="AU213" s="1178"/>
      <c r="AV213" s="1179"/>
      <c r="AY213" s="3">
        <v>1</v>
      </c>
    </row>
    <row r="214" spans="2:51" ht="27" customHeight="1">
      <c r="B214" s="104"/>
      <c r="C214" s="1172"/>
      <c r="D214" s="1172"/>
      <c r="E214" s="1172"/>
      <c r="F214" s="1173"/>
      <c r="G214" s="1174"/>
      <c r="H214" s="1175"/>
      <c r="I214" s="1176"/>
      <c r="J214" s="1177"/>
      <c r="K214" s="1547"/>
      <c r="L214" s="1177"/>
      <c r="M214" s="1548"/>
      <c r="N214" s="1549"/>
      <c r="O214" s="1178"/>
      <c r="P214" s="1179"/>
      <c r="Q214" s="1171"/>
      <c r="R214" s="104"/>
      <c r="S214" s="1172"/>
      <c r="T214" s="1172"/>
      <c r="U214" s="1172"/>
      <c r="V214" s="1173"/>
      <c r="W214" s="1174"/>
      <c r="X214" s="1175"/>
      <c r="Y214" s="1176"/>
      <c r="Z214" s="1177"/>
      <c r="AA214" s="1547"/>
      <c r="AB214" s="1177"/>
      <c r="AC214" s="1548"/>
      <c r="AD214" s="1549"/>
      <c r="AE214" s="1178"/>
      <c r="AF214" s="1179"/>
      <c r="AG214" s="1171"/>
      <c r="AH214" s="104"/>
      <c r="AI214" s="1172"/>
      <c r="AJ214" s="1172"/>
      <c r="AK214" s="1172"/>
      <c r="AL214" s="1173"/>
      <c r="AM214" s="1174"/>
      <c r="AN214" s="1175"/>
      <c r="AO214" s="1176"/>
      <c r="AP214" s="1177"/>
      <c r="AQ214" s="1547"/>
      <c r="AR214" s="1177"/>
      <c r="AS214" s="1548"/>
      <c r="AT214" s="1549"/>
      <c r="AU214" s="1178"/>
      <c r="AV214" s="1179"/>
      <c r="AY214" s="3">
        <v>1</v>
      </c>
    </row>
    <row r="215" spans="2:51" ht="27" customHeight="1">
      <c r="B215" s="104"/>
      <c r="C215" s="1172"/>
      <c r="D215" s="1172"/>
      <c r="E215" s="1172"/>
      <c r="F215" s="1173"/>
      <c r="G215" s="1174"/>
      <c r="H215" s="1175"/>
      <c r="I215" s="1176"/>
      <c r="J215" s="1177"/>
      <c r="K215" s="1547"/>
      <c r="L215" s="1177"/>
      <c r="M215" s="1548"/>
      <c r="N215" s="1549"/>
      <c r="O215" s="1178"/>
      <c r="P215" s="1179"/>
      <c r="Q215" s="1171"/>
      <c r="R215" s="104"/>
      <c r="S215" s="1172"/>
      <c r="T215" s="1172"/>
      <c r="U215" s="1172"/>
      <c r="V215" s="1173"/>
      <c r="W215" s="1174"/>
      <c r="X215" s="1175"/>
      <c r="Y215" s="1176"/>
      <c r="Z215" s="1177"/>
      <c r="AA215" s="1547"/>
      <c r="AB215" s="1177"/>
      <c r="AC215" s="1548"/>
      <c r="AD215" s="1549"/>
      <c r="AE215" s="1178"/>
      <c r="AF215" s="1179"/>
      <c r="AG215" s="1171"/>
      <c r="AH215" s="104"/>
      <c r="AI215" s="1172"/>
      <c r="AJ215" s="1172"/>
      <c r="AK215" s="1172"/>
      <c r="AL215" s="1173"/>
      <c r="AM215" s="1174"/>
      <c r="AN215" s="1175"/>
      <c r="AO215" s="1176"/>
      <c r="AP215" s="1177"/>
      <c r="AQ215" s="1547"/>
      <c r="AR215" s="1177"/>
      <c r="AS215" s="1548"/>
      <c r="AT215" s="1549"/>
      <c r="AU215" s="1178"/>
      <c r="AV215" s="1179"/>
      <c r="AY215" s="3">
        <v>1</v>
      </c>
    </row>
    <row r="216" spans="2:51" ht="27" customHeight="1">
      <c r="B216" s="104"/>
      <c r="C216" s="1172"/>
      <c r="D216" s="1172"/>
      <c r="E216" s="1172"/>
      <c r="F216" s="1173"/>
      <c r="G216" s="1174"/>
      <c r="H216" s="1175"/>
      <c r="I216" s="1176"/>
      <c r="J216" s="1177"/>
      <c r="K216" s="1547"/>
      <c r="L216" s="1177"/>
      <c r="M216" s="1548"/>
      <c r="N216" s="1549"/>
      <c r="O216" s="1178"/>
      <c r="P216" s="1179"/>
      <c r="Q216" s="1171"/>
      <c r="R216" s="104"/>
      <c r="S216" s="1172"/>
      <c r="T216" s="1172"/>
      <c r="U216" s="1172"/>
      <c r="V216" s="1173"/>
      <c r="W216" s="1174"/>
      <c r="X216" s="1175"/>
      <c r="Y216" s="1176"/>
      <c r="Z216" s="1177"/>
      <c r="AA216" s="1547"/>
      <c r="AB216" s="1177"/>
      <c r="AC216" s="1548"/>
      <c r="AD216" s="1549"/>
      <c r="AE216" s="1178"/>
      <c r="AF216" s="1179"/>
      <c r="AG216" s="1171"/>
      <c r="AH216" s="104"/>
      <c r="AI216" s="1172"/>
      <c r="AJ216" s="1172"/>
      <c r="AK216" s="1172"/>
      <c r="AL216" s="1173"/>
      <c r="AM216" s="1174"/>
      <c r="AN216" s="1175"/>
      <c r="AO216" s="1176"/>
      <c r="AP216" s="1177"/>
      <c r="AQ216" s="1547"/>
      <c r="AR216" s="1177"/>
      <c r="AS216" s="1548"/>
      <c r="AT216" s="1549"/>
      <c r="AU216" s="1178"/>
      <c r="AV216" s="1179"/>
      <c r="AY216" s="3">
        <v>1</v>
      </c>
    </row>
    <row r="217" spans="2:51" ht="27" customHeight="1">
      <c r="B217" s="104"/>
      <c r="C217" s="1172"/>
      <c r="D217" s="1172"/>
      <c r="E217" s="1172"/>
      <c r="F217" s="1173"/>
      <c r="G217" s="1174"/>
      <c r="H217" s="1175"/>
      <c r="I217" s="1176"/>
      <c r="J217" s="1177"/>
      <c r="K217" s="1547"/>
      <c r="L217" s="1177"/>
      <c r="M217" s="1548"/>
      <c r="N217" s="1549"/>
      <c r="O217" s="1178"/>
      <c r="P217" s="1179"/>
      <c r="Q217" s="1171"/>
      <c r="R217" s="104"/>
      <c r="S217" s="1172"/>
      <c r="T217" s="1172"/>
      <c r="U217" s="1172"/>
      <c r="V217" s="1173"/>
      <c r="W217" s="1174"/>
      <c r="X217" s="1175"/>
      <c r="Y217" s="1176"/>
      <c r="Z217" s="1177"/>
      <c r="AA217" s="1547"/>
      <c r="AB217" s="1177"/>
      <c r="AC217" s="1548"/>
      <c r="AD217" s="1549"/>
      <c r="AE217" s="1178"/>
      <c r="AF217" s="1179"/>
      <c r="AG217" s="1171"/>
      <c r="AH217" s="104"/>
      <c r="AI217" s="1172"/>
      <c r="AJ217" s="1172"/>
      <c r="AK217" s="1172"/>
      <c r="AL217" s="1173"/>
      <c r="AM217" s="1174"/>
      <c r="AN217" s="1175"/>
      <c r="AO217" s="1176"/>
      <c r="AP217" s="1177"/>
      <c r="AQ217" s="1547"/>
      <c r="AR217" s="1177"/>
      <c r="AS217" s="1548"/>
      <c r="AT217" s="1549"/>
      <c r="AU217" s="1178"/>
      <c r="AV217" s="1179"/>
      <c r="AY217" s="3">
        <v>1</v>
      </c>
    </row>
    <row r="218" spans="2:51" ht="27" customHeight="1">
      <c r="B218" s="104"/>
      <c r="C218" s="1172"/>
      <c r="D218" s="1172"/>
      <c r="E218" s="1172"/>
      <c r="F218" s="1173"/>
      <c r="G218" s="1174"/>
      <c r="H218" s="1175"/>
      <c r="I218" s="1176"/>
      <c r="J218" s="1177"/>
      <c r="K218" s="1547"/>
      <c r="L218" s="1177"/>
      <c r="M218" s="1548"/>
      <c r="N218" s="1549"/>
      <c r="O218" s="1178"/>
      <c r="P218" s="1179"/>
      <c r="Q218" s="1171"/>
      <c r="R218" s="104"/>
      <c r="S218" s="1172"/>
      <c r="T218" s="1172"/>
      <c r="U218" s="1172"/>
      <c r="V218" s="1173"/>
      <c r="W218" s="1174"/>
      <c r="X218" s="1175"/>
      <c r="Y218" s="1176"/>
      <c r="Z218" s="1177"/>
      <c r="AA218" s="1547"/>
      <c r="AB218" s="1177"/>
      <c r="AC218" s="1548"/>
      <c r="AD218" s="1549"/>
      <c r="AE218" s="1178"/>
      <c r="AF218" s="1179"/>
      <c r="AG218" s="1171"/>
      <c r="AH218" s="104"/>
      <c r="AI218" s="1172"/>
      <c r="AJ218" s="1172"/>
      <c r="AK218" s="1172"/>
      <c r="AL218" s="1173"/>
      <c r="AM218" s="1174"/>
      <c r="AN218" s="1175"/>
      <c r="AO218" s="1176"/>
      <c r="AP218" s="1177"/>
      <c r="AQ218" s="1547"/>
      <c r="AR218" s="1177"/>
      <c r="AS218" s="1548"/>
      <c r="AT218" s="1549"/>
      <c r="AU218" s="1178"/>
      <c r="AV218" s="1179"/>
      <c r="AY218" s="3">
        <v>1</v>
      </c>
    </row>
    <row r="219" spans="2:51" ht="27" customHeight="1">
      <c r="B219" s="104"/>
      <c r="C219" s="1172"/>
      <c r="D219" s="1172"/>
      <c r="E219" s="1172"/>
      <c r="F219" s="1173"/>
      <c r="G219" s="1174"/>
      <c r="H219" s="1175"/>
      <c r="I219" s="1176"/>
      <c r="J219" s="1177"/>
      <c r="K219" s="1547"/>
      <c r="L219" s="1177"/>
      <c r="M219" s="1548"/>
      <c r="N219" s="1549"/>
      <c r="O219" s="1178"/>
      <c r="P219" s="1179"/>
      <c r="Q219" s="1171"/>
      <c r="R219" s="104"/>
      <c r="S219" s="1172"/>
      <c r="T219" s="1172"/>
      <c r="U219" s="1172"/>
      <c r="V219" s="1173"/>
      <c r="W219" s="1174"/>
      <c r="X219" s="1175"/>
      <c r="Y219" s="1176"/>
      <c r="Z219" s="1177"/>
      <c r="AA219" s="1547"/>
      <c r="AB219" s="1177"/>
      <c r="AC219" s="1548"/>
      <c r="AD219" s="1549"/>
      <c r="AE219" s="1178"/>
      <c r="AF219" s="1179"/>
      <c r="AG219" s="1171"/>
      <c r="AH219" s="104"/>
      <c r="AI219" s="1172"/>
      <c r="AJ219" s="1172"/>
      <c r="AK219" s="1172"/>
      <c r="AL219" s="1173"/>
      <c r="AM219" s="1174"/>
      <c r="AN219" s="1175"/>
      <c r="AO219" s="1176"/>
      <c r="AP219" s="1177"/>
      <c r="AQ219" s="1547"/>
      <c r="AR219" s="1177"/>
      <c r="AS219" s="1548"/>
      <c r="AT219" s="1549"/>
      <c r="AU219" s="1178"/>
      <c r="AV219" s="1179"/>
      <c r="AY219" s="3">
        <v>1</v>
      </c>
    </row>
    <row r="220" spans="2:51" ht="27" customHeight="1">
      <c r="B220" s="104"/>
      <c r="C220" s="1172"/>
      <c r="D220" s="1172"/>
      <c r="E220" s="1172"/>
      <c r="F220" s="1173"/>
      <c r="G220" s="1174"/>
      <c r="H220" s="1175"/>
      <c r="I220" s="1176"/>
      <c r="J220" s="1177"/>
      <c r="K220" s="1547"/>
      <c r="L220" s="1177"/>
      <c r="M220" s="1548"/>
      <c r="N220" s="1549"/>
      <c r="O220" s="1178"/>
      <c r="P220" s="1179"/>
      <c r="Q220" s="1171"/>
      <c r="R220" s="104"/>
      <c r="S220" s="1172"/>
      <c r="T220" s="1172"/>
      <c r="U220" s="1172"/>
      <c r="V220" s="1173"/>
      <c r="W220" s="1174"/>
      <c r="X220" s="1175"/>
      <c r="Y220" s="1176"/>
      <c r="Z220" s="1177"/>
      <c r="AA220" s="1547"/>
      <c r="AB220" s="1177"/>
      <c r="AC220" s="1548"/>
      <c r="AD220" s="1549"/>
      <c r="AE220" s="1178"/>
      <c r="AF220" s="1179"/>
      <c r="AG220" s="1171"/>
      <c r="AH220" s="104"/>
      <c r="AI220" s="1172"/>
      <c r="AJ220" s="1172"/>
      <c r="AK220" s="1172"/>
      <c r="AL220" s="1173"/>
      <c r="AM220" s="1174"/>
      <c r="AN220" s="1175"/>
      <c r="AO220" s="1176"/>
      <c r="AP220" s="1177"/>
      <c r="AQ220" s="1547"/>
      <c r="AR220" s="1177"/>
      <c r="AS220" s="1548"/>
      <c r="AT220" s="1549"/>
      <c r="AU220" s="1178"/>
      <c r="AV220" s="1179"/>
      <c r="AY220" s="3">
        <v>1</v>
      </c>
    </row>
    <row r="221" spans="2:51" ht="27" customHeight="1">
      <c r="B221" s="104"/>
      <c r="C221" s="1172"/>
      <c r="D221" s="1172"/>
      <c r="E221" s="1172"/>
      <c r="F221" s="1173"/>
      <c r="G221" s="1174"/>
      <c r="H221" s="1175"/>
      <c r="I221" s="1176"/>
      <c r="J221" s="1177"/>
      <c r="K221" s="1547"/>
      <c r="L221" s="1177"/>
      <c r="M221" s="1548"/>
      <c r="N221" s="1549"/>
      <c r="O221" s="1178"/>
      <c r="P221" s="1179"/>
      <c r="Q221" s="1171"/>
      <c r="R221" s="104"/>
      <c r="S221" s="1172"/>
      <c r="T221" s="1172"/>
      <c r="U221" s="1172"/>
      <c r="V221" s="1173"/>
      <c r="W221" s="1174"/>
      <c r="X221" s="1175"/>
      <c r="Y221" s="1176"/>
      <c r="Z221" s="1177"/>
      <c r="AA221" s="1547"/>
      <c r="AB221" s="1177"/>
      <c r="AC221" s="1548"/>
      <c r="AD221" s="1549"/>
      <c r="AE221" s="1178"/>
      <c r="AF221" s="1179"/>
      <c r="AG221" s="1171"/>
      <c r="AH221" s="104"/>
      <c r="AI221" s="1172"/>
      <c r="AJ221" s="1172"/>
      <c r="AK221" s="1172"/>
      <c r="AL221" s="1173"/>
      <c r="AM221" s="1174"/>
      <c r="AN221" s="1175"/>
      <c r="AO221" s="1176"/>
      <c r="AP221" s="1177"/>
      <c r="AQ221" s="1547"/>
      <c r="AR221" s="1177"/>
      <c r="AS221" s="1548"/>
      <c r="AT221" s="1549"/>
      <c r="AU221" s="1178"/>
      <c r="AV221" s="1179"/>
      <c r="AY221" s="3">
        <v>1</v>
      </c>
    </row>
    <row r="222" spans="2:51" ht="27" customHeight="1">
      <c r="B222" s="104"/>
      <c r="C222" s="1172"/>
      <c r="D222" s="1172"/>
      <c r="E222" s="1172"/>
      <c r="F222" s="1173"/>
      <c r="G222" s="1174"/>
      <c r="H222" s="1175"/>
      <c r="I222" s="1176"/>
      <c r="J222" s="1177"/>
      <c r="K222" s="1547"/>
      <c r="L222" s="1177"/>
      <c r="M222" s="1548"/>
      <c r="N222" s="1549"/>
      <c r="O222" s="1178"/>
      <c r="P222" s="1179"/>
      <c r="Q222" s="1171"/>
      <c r="R222" s="104"/>
      <c r="S222" s="1172"/>
      <c r="T222" s="1172"/>
      <c r="U222" s="1172"/>
      <c r="V222" s="1173"/>
      <c r="W222" s="1174"/>
      <c r="X222" s="1175"/>
      <c r="Y222" s="1176"/>
      <c r="Z222" s="1177"/>
      <c r="AA222" s="1547"/>
      <c r="AB222" s="1177"/>
      <c r="AC222" s="1548"/>
      <c r="AD222" s="1549"/>
      <c r="AE222" s="1178"/>
      <c r="AF222" s="1179"/>
      <c r="AG222" s="1171"/>
      <c r="AH222" s="104"/>
      <c r="AI222" s="1172"/>
      <c r="AJ222" s="1172"/>
      <c r="AK222" s="1172"/>
      <c r="AL222" s="1173"/>
      <c r="AM222" s="1174"/>
      <c r="AN222" s="1175"/>
      <c r="AO222" s="1176"/>
      <c r="AP222" s="1177"/>
      <c r="AQ222" s="1547"/>
      <c r="AR222" s="1177"/>
      <c r="AS222" s="1548"/>
      <c r="AT222" s="1549"/>
      <c r="AU222" s="1178"/>
      <c r="AV222" s="1179"/>
      <c r="AY222" s="3">
        <v>1</v>
      </c>
    </row>
    <row r="223" spans="2:51" ht="27" customHeight="1">
      <c r="B223" s="104"/>
      <c r="C223" s="1172"/>
      <c r="D223" s="1172"/>
      <c r="E223" s="1172"/>
      <c r="F223" s="1173"/>
      <c r="G223" s="1174"/>
      <c r="H223" s="1175"/>
      <c r="I223" s="1176"/>
      <c r="J223" s="1177"/>
      <c r="K223" s="1547"/>
      <c r="L223" s="1177"/>
      <c r="M223" s="1548"/>
      <c r="N223" s="1549"/>
      <c r="O223" s="1178"/>
      <c r="P223" s="1179"/>
      <c r="Q223" s="1171"/>
      <c r="R223" s="104"/>
      <c r="S223" s="1172"/>
      <c r="T223" s="1172"/>
      <c r="U223" s="1172"/>
      <c r="V223" s="1173"/>
      <c r="W223" s="1174"/>
      <c r="X223" s="1175"/>
      <c r="Y223" s="1176"/>
      <c r="Z223" s="1177"/>
      <c r="AA223" s="1547"/>
      <c r="AB223" s="1177"/>
      <c r="AC223" s="1548"/>
      <c r="AD223" s="1549"/>
      <c r="AE223" s="1178"/>
      <c r="AF223" s="1179"/>
      <c r="AG223" s="1171"/>
      <c r="AH223" s="104"/>
      <c r="AI223" s="1172"/>
      <c r="AJ223" s="1172"/>
      <c r="AK223" s="1172"/>
      <c r="AL223" s="1173"/>
      <c r="AM223" s="1174"/>
      <c r="AN223" s="1175"/>
      <c r="AO223" s="1176"/>
      <c r="AP223" s="1177"/>
      <c r="AQ223" s="1547"/>
      <c r="AR223" s="1177"/>
      <c r="AS223" s="1548"/>
      <c r="AT223" s="1549"/>
      <c r="AU223" s="1178"/>
      <c r="AV223" s="1179"/>
      <c r="AY223" s="3">
        <v>1</v>
      </c>
    </row>
    <row r="224" spans="2:51" ht="27" customHeight="1">
      <c r="B224" s="104"/>
      <c r="C224" s="1172"/>
      <c r="D224" s="1172"/>
      <c r="E224" s="1172"/>
      <c r="F224" s="1173"/>
      <c r="G224" s="1174"/>
      <c r="H224" s="1175"/>
      <c r="I224" s="1176"/>
      <c r="J224" s="1177"/>
      <c r="K224" s="1547"/>
      <c r="L224" s="1177"/>
      <c r="M224" s="1548"/>
      <c r="N224" s="1549"/>
      <c r="O224" s="1178"/>
      <c r="P224" s="1179"/>
      <c r="Q224" s="1171"/>
      <c r="R224" s="104"/>
      <c r="S224" s="1172"/>
      <c r="T224" s="1172"/>
      <c r="U224" s="1172"/>
      <c r="V224" s="1173"/>
      <c r="W224" s="1174"/>
      <c r="X224" s="1175"/>
      <c r="Y224" s="1176"/>
      <c r="Z224" s="1177"/>
      <c r="AA224" s="1547"/>
      <c r="AB224" s="1177"/>
      <c r="AC224" s="1548"/>
      <c r="AD224" s="1549"/>
      <c r="AE224" s="1178"/>
      <c r="AF224" s="1179"/>
      <c r="AG224" s="1171"/>
      <c r="AH224" s="104"/>
      <c r="AI224" s="1172"/>
      <c r="AJ224" s="1172"/>
      <c r="AK224" s="1172"/>
      <c r="AL224" s="1173"/>
      <c r="AM224" s="1174"/>
      <c r="AN224" s="1175"/>
      <c r="AO224" s="1176"/>
      <c r="AP224" s="1177"/>
      <c r="AQ224" s="1547"/>
      <c r="AR224" s="1177"/>
      <c r="AS224" s="1548"/>
      <c r="AT224" s="1549"/>
      <c r="AU224" s="1178"/>
      <c r="AV224" s="1179"/>
      <c r="AY224" s="3">
        <v>1</v>
      </c>
    </row>
    <row r="225" spans="2:51" ht="27" customHeight="1">
      <c r="B225" s="104"/>
      <c r="C225" s="1172"/>
      <c r="D225" s="1172"/>
      <c r="E225" s="1172"/>
      <c r="F225" s="1173"/>
      <c r="G225" s="1174"/>
      <c r="H225" s="1175"/>
      <c r="I225" s="1176"/>
      <c r="J225" s="1177"/>
      <c r="K225" s="1547"/>
      <c r="L225" s="1177"/>
      <c r="M225" s="1548"/>
      <c r="N225" s="1549"/>
      <c r="O225" s="1178"/>
      <c r="P225" s="1179"/>
      <c r="Q225" s="1171"/>
      <c r="R225" s="104"/>
      <c r="S225" s="1172"/>
      <c r="T225" s="1172"/>
      <c r="U225" s="1172"/>
      <c r="V225" s="1173"/>
      <c r="W225" s="1174"/>
      <c r="X225" s="1175"/>
      <c r="Y225" s="1176"/>
      <c r="Z225" s="1177"/>
      <c r="AA225" s="1547"/>
      <c r="AB225" s="1177"/>
      <c r="AC225" s="1548"/>
      <c r="AD225" s="1549"/>
      <c r="AE225" s="1178"/>
      <c r="AF225" s="1179"/>
      <c r="AG225" s="1171"/>
      <c r="AH225" s="104"/>
      <c r="AI225" s="1172"/>
      <c r="AJ225" s="1172"/>
      <c r="AK225" s="1172"/>
      <c r="AL225" s="1173"/>
      <c r="AM225" s="1174"/>
      <c r="AN225" s="1175"/>
      <c r="AO225" s="1176"/>
      <c r="AP225" s="1177"/>
      <c r="AQ225" s="1547"/>
      <c r="AR225" s="1177"/>
      <c r="AS225" s="1548"/>
      <c r="AT225" s="1549"/>
      <c r="AU225" s="1178"/>
      <c r="AV225" s="1179"/>
      <c r="AY225" s="3">
        <v>1</v>
      </c>
    </row>
    <row r="226" spans="2:51" ht="27" customHeight="1">
      <c r="B226" s="104"/>
      <c r="C226" s="1172"/>
      <c r="D226" s="1172"/>
      <c r="E226" s="1172"/>
      <c r="F226" s="1173"/>
      <c r="G226" s="1174"/>
      <c r="H226" s="1175"/>
      <c r="I226" s="1176"/>
      <c r="J226" s="1177"/>
      <c r="K226" s="1547"/>
      <c r="L226" s="1177"/>
      <c r="M226" s="1548"/>
      <c r="N226" s="1549"/>
      <c r="O226" s="1178"/>
      <c r="P226" s="1179"/>
      <c r="Q226" s="1171"/>
      <c r="R226" s="104"/>
      <c r="S226" s="1172"/>
      <c r="T226" s="1172"/>
      <c r="U226" s="1172"/>
      <c r="V226" s="1173"/>
      <c r="W226" s="1174"/>
      <c r="X226" s="1175"/>
      <c r="Y226" s="1176"/>
      <c r="Z226" s="1177"/>
      <c r="AA226" s="1547"/>
      <c r="AB226" s="1177"/>
      <c r="AC226" s="1548"/>
      <c r="AD226" s="1549"/>
      <c r="AE226" s="1178"/>
      <c r="AF226" s="1179"/>
      <c r="AG226" s="1171"/>
      <c r="AH226" s="104"/>
      <c r="AI226" s="1172"/>
      <c r="AJ226" s="1172"/>
      <c r="AK226" s="1172"/>
      <c r="AL226" s="1173"/>
      <c r="AM226" s="1174"/>
      <c r="AN226" s="1175"/>
      <c r="AO226" s="1176"/>
      <c r="AP226" s="1177"/>
      <c r="AQ226" s="1547"/>
      <c r="AR226" s="1177"/>
      <c r="AS226" s="1548"/>
      <c r="AT226" s="1549"/>
      <c r="AU226" s="1178"/>
      <c r="AV226" s="1179"/>
      <c r="AY226" s="3">
        <v>1</v>
      </c>
    </row>
    <row r="227" spans="2:51" ht="27" customHeight="1">
      <c r="B227" s="104"/>
      <c r="C227" s="1172"/>
      <c r="D227" s="1172"/>
      <c r="E227" s="1172"/>
      <c r="F227" s="1173"/>
      <c r="G227" s="1174"/>
      <c r="H227" s="1175"/>
      <c r="I227" s="1176"/>
      <c r="J227" s="1177"/>
      <c r="K227" s="1547"/>
      <c r="L227" s="1177"/>
      <c r="M227" s="1548"/>
      <c r="N227" s="1549"/>
      <c r="O227" s="1178"/>
      <c r="P227" s="1179"/>
      <c r="Q227" s="1171"/>
      <c r="R227" s="104"/>
      <c r="S227" s="1172"/>
      <c r="T227" s="1172"/>
      <c r="U227" s="1172"/>
      <c r="V227" s="1173"/>
      <c r="W227" s="1174"/>
      <c r="X227" s="1175"/>
      <c r="Y227" s="1176"/>
      <c r="Z227" s="1177"/>
      <c r="AA227" s="1547"/>
      <c r="AB227" s="1177"/>
      <c r="AC227" s="1548"/>
      <c r="AD227" s="1549"/>
      <c r="AE227" s="1178"/>
      <c r="AF227" s="1179"/>
      <c r="AG227" s="1171"/>
      <c r="AH227" s="104"/>
      <c r="AI227" s="1172"/>
      <c r="AJ227" s="1172"/>
      <c r="AK227" s="1172"/>
      <c r="AL227" s="1173"/>
      <c r="AM227" s="1174"/>
      <c r="AN227" s="1175"/>
      <c r="AO227" s="1176"/>
      <c r="AP227" s="1177"/>
      <c r="AQ227" s="1547"/>
      <c r="AR227" s="1177"/>
      <c r="AS227" s="1548"/>
      <c r="AT227" s="1549"/>
      <c r="AU227" s="1178"/>
      <c r="AV227" s="1179"/>
      <c r="AY227" s="3">
        <v>1</v>
      </c>
    </row>
    <row r="228" spans="2:51" ht="27" customHeight="1">
      <c r="B228" s="104"/>
      <c r="C228" s="1172"/>
      <c r="D228" s="1172"/>
      <c r="E228" s="1172"/>
      <c r="F228" s="1173"/>
      <c r="G228" s="1174"/>
      <c r="H228" s="1175"/>
      <c r="I228" s="1176"/>
      <c r="J228" s="1177"/>
      <c r="K228" s="1547"/>
      <c r="L228" s="1177"/>
      <c r="M228" s="1548"/>
      <c r="N228" s="1549"/>
      <c r="O228" s="1178"/>
      <c r="P228" s="1179"/>
      <c r="Q228" s="1180"/>
      <c r="R228" s="104"/>
      <c r="S228" s="1172"/>
      <c r="T228" s="1172"/>
      <c r="U228" s="1172"/>
      <c r="V228" s="1173"/>
      <c r="W228" s="1174"/>
      <c r="X228" s="1175"/>
      <c r="Y228" s="1176"/>
      <c r="Z228" s="1177"/>
      <c r="AA228" s="1547"/>
      <c r="AB228" s="1177"/>
      <c r="AC228" s="1548"/>
      <c r="AD228" s="1549"/>
      <c r="AE228" s="1178"/>
      <c r="AF228" s="1179"/>
      <c r="AG228" s="1171"/>
      <c r="AH228" s="104"/>
      <c r="AI228" s="1172"/>
      <c r="AJ228" s="1172"/>
      <c r="AK228" s="1172"/>
      <c r="AL228" s="1173"/>
      <c r="AM228" s="1174"/>
      <c r="AN228" s="1175"/>
      <c r="AO228" s="1176"/>
      <c r="AP228" s="1177"/>
      <c r="AQ228" s="1547"/>
      <c r="AR228" s="1177"/>
      <c r="AS228" s="1548"/>
      <c r="AT228" s="1549"/>
      <c r="AU228" s="1178"/>
      <c r="AV228" s="1179"/>
      <c r="AY228" s="3">
        <v>1</v>
      </c>
    </row>
    <row r="229" spans="2:51" ht="27" customHeight="1">
      <c r="B229" s="104"/>
      <c r="C229" s="1172"/>
      <c r="D229" s="1172"/>
      <c r="E229" s="1172"/>
      <c r="F229" s="1173"/>
      <c r="G229" s="1174"/>
      <c r="H229" s="1175"/>
      <c r="I229" s="1176"/>
      <c r="J229" s="1177"/>
      <c r="K229" s="1547"/>
      <c r="L229" s="1177"/>
      <c r="M229" s="1548"/>
      <c r="N229" s="1549"/>
      <c r="O229" s="1178"/>
      <c r="P229" s="1179"/>
      <c r="Q229" s="1180"/>
      <c r="R229" s="104"/>
      <c r="S229" s="1172"/>
      <c r="T229" s="1172"/>
      <c r="U229" s="1172"/>
      <c r="V229" s="1173"/>
      <c r="W229" s="1174"/>
      <c r="X229" s="1175"/>
      <c r="Y229" s="1176"/>
      <c r="Z229" s="1177"/>
      <c r="AA229" s="1547"/>
      <c r="AB229" s="1177"/>
      <c r="AC229" s="1548"/>
      <c r="AD229" s="1549"/>
      <c r="AE229" s="1178"/>
      <c r="AF229" s="1179"/>
      <c r="AG229" s="1171"/>
      <c r="AH229" s="104"/>
      <c r="AI229" s="1172"/>
      <c r="AJ229" s="1172"/>
      <c r="AK229" s="1172"/>
      <c r="AL229" s="1173"/>
      <c r="AM229" s="1174"/>
      <c r="AN229" s="1175"/>
      <c r="AO229" s="1176"/>
      <c r="AP229" s="1177"/>
      <c r="AQ229" s="1547"/>
      <c r="AR229" s="1177"/>
      <c r="AS229" s="1548"/>
      <c r="AT229" s="1549"/>
      <c r="AU229" s="1178"/>
      <c r="AV229" s="1179"/>
      <c r="AY229" s="3">
        <v>1</v>
      </c>
    </row>
    <row r="230" spans="2:51" ht="27" customHeight="1">
      <c r="B230" s="104"/>
      <c r="C230" s="1172"/>
      <c r="D230" s="1172"/>
      <c r="E230" s="1172"/>
      <c r="F230" s="1173"/>
      <c r="G230" s="1174"/>
      <c r="H230" s="1175"/>
      <c r="I230" s="1176"/>
      <c r="J230" s="1177"/>
      <c r="K230" s="1547"/>
      <c r="L230" s="1177"/>
      <c r="M230" s="1548"/>
      <c r="N230" s="1549"/>
      <c r="O230" s="1178"/>
      <c r="P230" s="1179"/>
      <c r="R230" s="104"/>
      <c r="S230" s="1172"/>
      <c r="T230" s="1172"/>
      <c r="U230" s="1172"/>
      <c r="V230" s="1173"/>
      <c r="W230" s="1174"/>
      <c r="X230" s="1175"/>
      <c r="Y230" s="1176"/>
      <c r="Z230" s="1177"/>
      <c r="AA230" s="1547"/>
      <c r="AB230" s="1177"/>
      <c r="AC230" s="1548"/>
      <c r="AD230" s="1549"/>
      <c r="AE230" s="1178"/>
      <c r="AF230" s="1179"/>
      <c r="AH230" s="104"/>
      <c r="AI230" s="1172"/>
      <c r="AJ230" s="1172"/>
      <c r="AK230" s="1172"/>
      <c r="AL230" s="1173"/>
      <c r="AM230" s="1174"/>
      <c r="AN230" s="1175"/>
      <c r="AO230" s="1176"/>
      <c r="AP230" s="1177"/>
      <c r="AQ230" s="1547"/>
      <c r="AR230" s="1177"/>
      <c r="AS230" s="1548"/>
      <c r="AT230" s="1549"/>
      <c r="AU230" s="1178"/>
      <c r="AV230" s="1179"/>
      <c r="AY230" s="3">
        <v>1</v>
      </c>
    </row>
    <row r="231" spans="2:51" ht="27" customHeight="1">
      <c r="B231" s="104"/>
      <c r="C231" s="1172"/>
      <c r="D231" s="1172"/>
      <c r="E231" s="1172"/>
      <c r="F231" s="1173"/>
      <c r="G231" s="1174"/>
      <c r="H231" s="1175"/>
      <c r="I231" s="1176"/>
      <c r="J231" s="1177"/>
      <c r="K231" s="1547"/>
      <c r="L231" s="1177"/>
      <c r="M231" s="1548"/>
      <c r="N231" s="1549"/>
      <c r="O231" s="1178"/>
      <c r="P231" s="1179"/>
      <c r="R231" s="104"/>
      <c r="S231" s="1172"/>
      <c r="T231" s="1172"/>
      <c r="U231" s="1172"/>
      <c r="V231" s="1173"/>
      <c r="W231" s="1174"/>
      <c r="X231" s="1175"/>
      <c r="Y231" s="1176"/>
      <c r="Z231" s="1177"/>
      <c r="AA231" s="1547"/>
      <c r="AB231" s="1177"/>
      <c r="AC231" s="1548"/>
      <c r="AD231" s="1549"/>
      <c r="AE231" s="1178"/>
      <c r="AF231" s="1179"/>
      <c r="AH231" s="104"/>
      <c r="AI231" s="1172"/>
      <c r="AJ231" s="1172"/>
      <c r="AK231" s="1172"/>
      <c r="AL231" s="1173"/>
      <c r="AM231" s="1174"/>
      <c r="AN231" s="1175"/>
      <c r="AO231" s="1176"/>
      <c r="AP231" s="1177"/>
      <c r="AQ231" s="1547"/>
      <c r="AR231" s="1177"/>
      <c r="AS231" s="1548"/>
      <c r="AT231" s="1549"/>
      <c r="AU231" s="1178"/>
      <c r="AV231" s="1179"/>
      <c r="AY231" s="3">
        <v>1</v>
      </c>
    </row>
    <row r="232" spans="2:51" ht="27" customHeight="1">
      <c r="B232" s="104"/>
      <c r="C232" s="1172"/>
      <c r="D232" s="1172"/>
      <c r="E232" s="1172"/>
      <c r="F232" s="1173"/>
      <c r="G232" s="1174"/>
      <c r="H232" s="1175"/>
      <c r="I232" s="1176"/>
      <c r="J232" s="1177"/>
      <c r="K232" s="1547"/>
      <c r="L232" s="1177"/>
      <c r="M232" s="1548"/>
      <c r="N232" s="1549"/>
      <c r="O232" s="1178"/>
      <c r="P232" s="1179"/>
      <c r="R232" s="104"/>
      <c r="S232" s="1172"/>
      <c r="T232" s="1172"/>
      <c r="U232" s="1172"/>
      <c r="V232" s="1173"/>
      <c r="W232" s="1174"/>
      <c r="X232" s="1175"/>
      <c r="Y232" s="1176"/>
      <c r="Z232" s="1177"/>
      <c r="AA232" s="1547"/>
      <c r="AB232" s="1177"/>
      <c r="AC232" s="1548"/>
      <c r="AD232" s="1549"/>
      <c r="AE232" s="1178"/>
      <c r="AF232" s="1179"/>
      <c r="AH232" s="104"/>
      <c r="AI232" s="1172"/>
      <c r="AJ232" s="1172"/>
      <c r="AK232" s="1172"/>
      <c r="AL232" s="1173"/>
      <c r="AM232" s="1174"/>
      <c r="AN232" s="1175"/>
      <c r="AO232" s="1176"/>
      <c r="AP232" s="1177"/>
      <c r="AQ232" s="1547"/>
      <c r="AR232" s="1177"/>
      <c r="AS232" s="1548"/>
      <c r="AT232" s="1549"/>
      <c r="AU232" s="1178"/>
      <c r="AV232" s="1179"/>
      <c r="AY232" s="3">
        <v>1</v>
      </c>
    </row>
    <row r="233" spans="2:51" ht="27" customHeight="1">
      <c r="B233" s="104"/>
      <c r="C233" s="1172"/>
      <c r="D233" s="1172"/>
      <c r="E233" s="1172"/>
      <c r="F233" s="1173"/>
      <c r="G233" s="1174"/>
      <c r="H233" s="1175"/>
      <c r="I233" s="1176"/>
      <c r="J233" s="1177"/>
      <c r="K233" s="1547"/>
      <c r="L233" s="1177"/>
      <c r="M233" s="1548"/>
      <c r="N233" s="1549"/>
      <c r="O233" s="1178"/>
      <c r="P233" s="1179"/>
      <c r="R233" s="104"/>
      <c r="S233" s="1172"/>
      <c r="T233" s="1172"/>
      <c r="U233" s="1172"/>
      <c r="V233" s="1173"/>
      <c r="W233" s="1174"/>
      <c r="X233" s="1175"/>
      <c r="Y233" s="1176"/>
      <c r="Z233" s="1177"/>
      <c r="AA233" s="1547"/>
      <c r="AB233" s="1177"/>
      <c r="AC233" s="1548"/>
      <c r="AD233" s="1549"/>
      <c r="AE233" s="1178"/>
      <c r="AF233" s="1179"/>
      <c r="AH233" s="104"/>
      <c r="AI233" s="1172"/>
      <c r="AJ233" s="1172"/>
      <c r="AK233" s="1172"/>
      <c r="AL233" s="1173"/>
      <c r="AM233" s="1174"/>
      <c r="AN233" s="1175"/>
      <c r="AO233" s="1176"/>
      <c r="AP233" s="1177"/>
      <c r="AQ233" s="1547"/>
      <c r="AR233" s="1177"/>
      <c r="AS233" s="1548"/>
      <c r="AT233" s="1549"/>
      <c r="AU233" s="1178"/>
      <c r="AV233" s="1179"/>
      <c r="AY233" s="3">
        <v>1</v>
      </c>
    </row>
    <row r="234" spans="2:51" ht="27" customHeight="1">
      <c r="B234" s="104"/>
      <c r="C234" s="1172"/>
      <c r="D234" s="1172"/>
      <c r="E234" s="1172"/>
      <c r="F234" s="1173"/>
      <c r="G234" s="1174"/>
      <c r="H234" s="1175"/>
      <c r="I234" s="1176"/>
      <c r="J234" s="1177"/>
      <c r="K234" s="1547"/>
      <c r="L234" s="1177"/>
      <c r="M234" s="1548"/>
      <c r="N234" s="1549"/>
      <c r="O234" s="1178"/>
      <c r="P234" s="1179"/>
      <c r="R234" s="104"/>
      <c r="S234" s="1172"/>
      <c r="T234" s="1172"/>
      <c r="U234" s="1172"/>
      <c r="V234" s="1173"/>
      <c r="W234" s="1174"/>
      <c r="X234" s="1175"/>
      <c r="Y234" s="1176"/>
      <c r="Z234" s="1177"/>
      <c r="AA234" s="1547"/>
      <c r="AB234" s="1177"/>
      <c r="AC234" s="1548"/>
      <c r="AD234" s="1549"/>
      <c r="AE234" s="1178"/>
      <c r="AF234" s="1179"/>
      <c r="AH234" s="104"/>
      <c r="AI234" s="1172"/>
      <c r="AJ234" s="1172"/>
      <c r="AK234" s="1172"/>
      <c r="AL234" s="1173"/>
      <c r="AM234" s="1174"/>
      <c r="AN234" s="1175"/>
      <c r="AO234" s="1176"/>
      <c r="AP234" s="1177"/>
      <c r="AQ234" s="1547"/>
      <c r="AR234" s="1177"/>
      <c r="AS234" s="1548"/>
      <c r="AT234" s="1549"/>
      <c r="AU234" s="1178"/>
      <c r="AV234" s="1179"/>
      <c r="AY234" s="3">
        <v>1</v>
      </c>
    </row>
    <row r="235" spans="2:51" ht="27" customHeight="1">
      <c r="B235" s="104"/>
      <c r="C235" s="1172"/>
      <c r="D235" s="1172"/>
      <c r="E235" s="1172"/>
      <c r="F235" s="1173"/>
      <c r="G235" s="1174"/>
      <c r="H235" s="1175"/>
      <c r="I235" s="1176"/>
      <c r="J235" s="1177"/>
      <c r="K235" s="1547"/>
      <c r="L235" s="1177"/>
      <c r="M235" s="1548"/>
      <c r="N235" s="1549"/>
      <c r="O235" s="1178"/>
      <c r="P235" s="1179"/>
      <c r="R235" s="104"/>
      <c r="S235" s="1172"/>
      <c r="T235" s="1172"/>
      <c r="U235" s="1172"/>
      <c r="V235" s="1173"/>
      <c r="W235" s="1174"/>
      <c r="X235" s="1175"/>
      <c r="Y235" s="1176"/>
      <c r="Z235" s="1177"/>
      <c r="AA235" s="1547"/>
      <c r="AB235" s="1177"/>
      <c r="AC235" s="1548"/>
      <c r="AD235" s="1549"/>
      <c r="AE235" s="1178"/>
      <c r="AF235" s="1179"/>
      <c r="AH235" s="104"/>
      <c r="AI235" s="1172"/>
      <c r="AJ235" s="1172"/>
      <c r="AK235" s="1172"/>
      <c r="AL235" s="1173"/>
      <c r="AM235" s="1174"/>
      <c r="AN235" s="1175"/>
      <c r="AO235" s="1176"/>
      <c r="AP235" s="1177"/>
      <c r="AQ235" s="1547"/>
      <c r="AR235" s="1177"/>
      <c r="AS235" s="1548"/>
      <c r="AT235" s="1549"/>
      <c r="AU235" s="1178"/>
      <c r="AV235" s="1179"/>
      <c r="AY235" s="3">
        <v>1</v>
      </c>
    </row>
    <row r="236" spans="2:51" ht="27" customHeight="1">
      <c r="B236" s="104"/>
      <c r="C236" s="1172"/>
      <c r="D236" s="1172"/>
      <c r="E236" s="1172"/>
      <c r="F236" s="1173"/>
      <c r="G236" s="1174"/>
      <c r="H236" s="1175"/>
      <c r="I236" s="1176"/>
      <c r="J236" s="1177"/>
      <c r="K236" s="1547"/>
      <c r="L236" s="1177"/>
      <c r="M236" s="1548"/>
      <c r="N236" s="1549"/>
      <c r="O236" s="1178"/>
      <c r="P236" s="1179"/>
      <c r="R236" s="104"/>
      <c r="S236" s="1172"/>
      <c r="T236" s="1172"/>
      <c r="U236" s="1172"/>
      <c r="V236" s="1173"/>
      <c r="W236" s="1174"/>
      <c r="X236" s="1175"/>
      <c r="Y236" s="1176"/>
      <c r="Z236" s="1177"/>
      <c r="AA236" s="1547"/>
      <c r="AB236" s="1177"/>
      <c r="AC236" s="1548"/>
      <c r="AD236" s="1549"/>
      <c r="AE236" s="1178"/>
      <c r="AF236" s="1179"/>
      <c r="AH236" s="104"/>
      <c r="AI236" s="1172"/>
      <c r="AJ236" s="1172"/>
      <c r="AK236" s="1172"/>
      <c r="AL236" s="1173"/>
      <c r="AM236" s="1174"/>
      <c r="AN236" s="1175"/>
      <c r="AO236" s="1176"/>
      <c r="AP236" s="1177"/>
      <c r="AQ236" s="1547"/>
      <c r="AR236" s="1177"/>
      <c r="AS236" s="1548"/>
      <c r="AT236" s="1549"/>
      <c r="AU236" s="1178"/>
      <c r="AV236" s="1179"/>
      <c r="AY236" s="3">
        <v>1</v>
      </c>
    </row>
    <row r="237" spans="2:51" ht="27" customHeight="1">
      <c r="B237" s="104"/>
      <c r="C237" s="1172"/>
      <c r="D237" s="1172"/>
      <c r="E237" s="1172"/>
      <c r="F237" s="1173"/>
      <c r="G237" s="1174"/>
      <c r="H237" s="1175"/>
      <c r="I237" s="1176"/>
      <c r="J237" s="1177"/>
      <c r="K237" s="1547"/>
      <c r="L237" s="1177"/>
      <c r="M237" s="1548"/>
      <c r="N237" s="1549"/>
      <c r="O237" s="1178"/>
      <c r="P237" s="1179"/>
      <c r="R237" s="104"/>
      <c r="S237" s="1172"/>
      <c r="T237" s="1172"/>
      <c r="U237" s="1172"/>
      <c r="V237" s="1173"/>
      <c r="W237" s="1174"/>
      <c r="X237" s="1175"/>
      <c r="Y237" s="1176"/>
      <c r="Z237" s="1177"/>
      <c r="AA237" s="1547"/>
      <c r="AB237" s="1177"/>
      <c r="AC237" s="1548"/>
      <c r="AD237" s="1549"/>
      <c r="AE237" s="1178"/>
      <c r="AF237" s="1179"/>
      <c r="AH237" s="104"/>
      <c r="AI237" s="1172"/>
      <c r="AJ237" s="1172"/>
      <c r="AK237" s="1172"/>
      <c r="AL237" s="1173"/>
      <c r="AM237" s="1174"/>
      <c r="AN237" s="1175"/>
      <c r="AO237" s="1176"/>
      <c r="AP237" s="1177"/>
      <c r="AQ237" s="1547"/>
      <c r="AR237" s="1177"/>
      <c r="AS237" s="1548"/>
      <c r="AT237" s="1549"/>
      <c r="AU237" s="1178"/>
      <c r="AV237" s="1179"/>
      <c r="AY237" s="3">
        <v>1</v>
      </c>
    </row>
    <row r="238" spans="2:51" ht="27" customHeight="1">
      <c r="B238" s="104"/>
      <c r="C238" s="1172"/>
      <c r="D238" s="1172"/>
      <c r="E238" s="1172"/>
      <c r="F238" s="1173"/>
      <c r="G238" s="1174"/>
      <c r="H238" s="1175"/>
      <c r="I238" s="1176"/>
      <c r="J238" s="1177"/>
      <c r="K238" s="1547"/>
      <c r="L238" s="1177"/>
      <c r="M238" s="1548"/>
      <c r="N238" s="1549"/>
      <c r="O238" s="1178"/>
      <c r="P238" s="1179"/>
      <c r="R238" s="104"/>
      <c r="S238" s="1172"/>
      <c r="T238" s="1172"/>
      <c r="U238" s="1172"/>
      <c r="V238" s="1173"/>
      <c r="W238" s="1174"/>
      <c r="X238" s="1175"/>
      <c r="Y238" s="1176"/>
      <c r="Z238" s="1177"/>
      <c r="AA238" s="1547"/>
      <c r="AB238" s="1177"/>
      <c r="AC238" s="1548"/>
      <c r="AD238" s="1549"/>
      <c r="AE238" s="1178"/>
      <c r="AF238" s="1179"/>
      <c r="AH238" s="104"/>
      <c r="AI238" s="1172"/>
      <c r="AJ238" s="1172"/>
      <c r="AK238" s="1172"/>
      <c r="AL238" s="1173"/>
      <c r="AM238" s="1174"/>
      <c r="AN238" s="1175"/>
      <c r="AO238" s="1176"/>
      <c r="AP238" s="1177"/>
      <c r="AQ238" s="1547"/>
      <c r="AR238" s="1177"/>
      <c r="AS238" s="1548"/>
      <c r="AT238" s="1549"/>
      <c r="AU238" s="1178"/>
      <c r="AV238" s="1179"/>
      <c r="AY238" s="3">
        <v>1</v>
      </c>
    </row>
    <row r="239" spans="2:51" ht="27" customHeight="1">
      <c r="B239" s="104"/>
      <c r="C239" s="1172"/>
      <c r="D239" s="1172"/>
      <c r="E239" s="1172"/>
      <c r="F239" s="1173"/>
      <c r="G239" s="1174"/>
      <c r="H239" s="1175"/>
      <c r="I239" s="1176"/>
      <c r="J239" s="1177"/>
      <c r="K239" s="1547"/>
      <c r="L239" s="1177"/>
      <c r="M239" s="1548"/>
      <c r="N239" s="1549"/>
      <c r="O239" s="1178"/>
      <c r="P239" s="1179"/>
      <c r="R239" s="104"/>
      <c r="S239" s="1172"/>
      <c r="T239" s="1172"/>
      <c r="U239" s="1172"/>
      <c r="V239" s="1173"/>
      <c r="W239" s="1174"/>
      <c r="X239" s="1175"/>
      <c r="Y239" s="1176"/>
      <c r="Z239" s="1177"/>
      <c r="AA239" s="1547"/>
      <c r="AB239" s="1177"/>
      <c r="AC239" s="1548"/>
      <c r="AD239" s="1549"/>
      <c r="AE239" s="1178"/>
      <c r="AF239" s="1179"/>
      <c r="AH239" s="104"/>
      <c r="AI239" s="1172"/>
      <c r="AJ239" s="1172"/>
      <c r="AK239" s="1172"/>
      <c r="AL239" s="1173"/>
      <c r="AM239" s="1174"/>
      <c r="AN239" s="1175"/>
      <c r="AO239" s="1176"/>
      <c r="AP239" s="1177"/>
      <c r="AQ239" s="1547"/>
      <c r="AR239" s="1177"/>
      <c r="AS239" s="1548"/>
      <c r="AT239" s="1549"/>
      <c r="AU239" s="1178"/>
      <c r="AV239" s="1179"/>
      <c r="AY239" s="3">
        <v>1</v>
      </c>
    </row>
    <row r="240" spans="2:51" ht="27" customHeight="1">
      <c r="B240" s="104"/>
      <c r="C240" s="1172"/>
      <c r="D240" s="1172"/>
      <c r="E240" s="1172"/>
      <c r="F240" s="1173"/>
      <c r="G240" s="1174"/>
      <c r="H240" s="1175"/>
      <c r="I240" s="1176"/>
      <c r="J240" s="1177"/>
      <c r="K240" s="1547"/>
      <c r="L240" s="1177"/>
      <c r="M240" s="1548"/>
      <c r="N240" s="1549"/>
      <c r="O240" s="1178"/>
      <c r="P240" s="1179"/>
      <c r="R240" s="104"/>
      <c r="S240" s="1172"/>
      <c r="T240" s="1172"/>
      <c r="U240" s="1172"/>
      <c r="V240" s="1173"/>
      <c r="W240" s="1174"/>
      <c r="X240" s="1175"/>
      <c r="Y240" s="1176"/>
      <c r="Z240" s="1177"/>
      <c r="AA240" s="1547"/>
      <c r="AB240" s="1177"/>
      <c r="AC240" s="1548"/>
      <c r="AD240" s="1549"/>
      <c r="AE240" s="1178"/>
      <c r="AF240" s="1179"/>
      <c r="AH240" s="104"/>
      <c r="AI240" s="1172"/>
      <c r="AJ240" s="1172"/>
      <c r="AK240" s="1172"/>
      <c r="AL240" s="1173"/>
      <c r="AM240" s="1174"/>
      <c r="AN240" s="1175"/>
      <c r="AO240" s="1176"/>
      <c r="AP240" s="1177"/>
      <c r="AQ240" s="1547"/>
      <c r="AR240" s="1177"/>
      <c r="AS240" s="1548"/>
      <c r="AT240" s="1549"/>
      <c r="AU240" s="1178"/>
      <c r="AV240" s="1179"/>
      <c r="AY240" s="3">
        <v>1</v>
      </c>
    </row>
    <row r="241" spans="2:51" ht="27" customHeight="1">
      <c r="B241" s="104"/>
      <c r="C241" s="1172"/>
      <c r="D241" s="1172"/>
      <c r="E241" s="1172"/>
      <c r="F241" s="1173"/>
      <c r="G241" s="1174"/>
      <c r="H241" s="1175"/>
      <c r="I241" s="1176"/>
      <c r="J241" s="1177"/>
      <c r="K241" s="1547"/>
      <c r="L241" s="1177"/>
      <c r="M241" s="1548"/>
      <c r="N241" s="1549"/>
      <c r="O241" s="1178"/>
      <c r="P241" s="1179"/>
      <c r="R241" s="104"/>
      <c r="S241" s="1172"/>
      <c r="T241" s="1172"/>
      <c r="U241" s="1172"/>
      <c r="V241" s="1173"/>
      <c r="W241" s="1174"/>
      <c r="X241" s="1175"/>
      <c r="Y241" s="1176"/>
      <c r="Z241" s="1177"/>
      <c r="AA241" s="1547"/>
      <c r="AB241" s="1177"/>
      <c r="AC241" s="1548"/>
      <c r="AD241" s="1549"/>
      <c r="AE241" s="1178"/>
      <c r="AF241" s="1179"/>
      <c r="AH241" s="104"/>
      <c r="AI241" s="1172"/>
      <c r="AJ241" s="1172"/>
      <c r="AK241" s="1172"/>
      <c r="AL241" s="1173"/>
      <c r="AM241" s="1174"/>
      <c r="AN241" s="1175"/>
      <c r="AO241" s="1176"/>
      <c r="AP241" s="1177"/>
      <c r="AQ241" s="1547"/>
      <c r="AR241" s="1177"/>
      <c r="AS241" s="1548"/>
      <c r="AT241" s="1549"/>
      <c r="AU241" s="1178"/>
      <c r="AV241" s="1179"/>
      <c r="AY241" s="3">
        <v>1</v>
      </c>
    </row>
    <row r="242" spans="2:51" ht="27" customHeight="1">
      <c r="B242" s="104"/>
      <c r="C242" s="1172"/>
      <c r="D242" s="1172"/>
      <c r="E242" s="1172"/>
      <c r="F242" s="1173"/>
      <c r="G242" s="1174"/>
      <c r="H242" s="1175"/>
      <c r="I242" s="1176"/>
      <c r="J242" s="1177"/>
      <c r="K242" s="1547"/>
      <c r="L242" s="1177"/>
      <c r="M242" s="1548"/>
      <c r="N242" s="1549"/>
      <c r="O242" s="1178"/>
      <c r="P242" s="1179"/>
      <c r="R242" s="104"/>
      <c r="S242" s="1172"/>
      <c r="T242" s="1172"/>
      <c r="U242" s="1172"/>
      <c r="V242" s="1173"/>
      <c r="W242" s="1174"/>
      <c r="X242" s="1175"/>
      <c r="Y242" s="1176"/>
      <c r="Z242" s="1177"/>
      <c r="AA242" s="1547"/>
      <c r="AB242" s="1177"/>
      <c r="AC242" s="1548"/>
      <c r="AD242" s="1549"/>
      <c r="AE242" s="1178"/>
      <c r="AF242" s="1179"/>
      <c r="AH242" s="104"/>
      <c r="AI242" s="1172"/>
      <c r="AJ242" s="1172"/>
      <c r="AK242" s="1172"/>
      <c r="AL242" s="1173"/>
      <c r="AM242" s="1174"/>
      <c r="AN242" s="1175"/>
      <c r="AO242" s="1176"/>
      <c r="AP242" s="1177"/>
      <c r="AQ242" s="1547"/>
      <c r="AR242" s="1177"/>
      <c r="AS242" s="1548"/>
      <c r="AT242" s="1549"/>
      <c r="AU242" s="1178"/>
      <c r="AV242" s="1179"/>
      <c r="AY242" s="3">
        <v>1</v>
      </c>
    </row>
    <row r="243" spans="2:51" ht="27" customHeight="1">
      <c r="B243" s="104"/>
      <c r="C243" s="1172"/>
      <c r="D243" s="1172"/>
      <c r="E243" s="1172"/>
      <c r="F243" s="1173"/>
      <c r="G243" s="1174"/>
      <c r="H243" s="1175"/>
      <c r="I243" s="1176"/>
      <c r="J243" s="1177"/>
      <c r="K243" s="1547"/>
      <c r="L243" s="1177"/>
      <c r="M243" s="1548"/>
      <c r="N243" s="1549"/>
      <c r="O243" s="1178"/>
      <c r="P243" s="1179"/>
      <c r="R243" s="104"/>
      <c r="S243" s="1172"/>
      <c r="T243" s="1172"/>
      <c r="U243" s="1172"/>
      <c r="V243" s="1173"/>
      <c r="W243" s="1174"/>
      <c r="X243" s="1175"/>
      <c r="Y243" s="1176"/>
      <c r="Z243" s="1177"/>
      <c r="AA243" s="1547"/>
      <c r="AB243" s="1177"/>
      <c r="AC243" s="1548"/>
      <c r="AD243" s="1549"/>
      <c r="AE243" s="1178"/>
      <c r="AF243" s="1179"/>
      <c r="AH243" s="104"/>
      <c r="AI243" s="1172"/>
      <c r="AJ243" s="1172"/>
      <c r="AK243" s="1172"/>
      <c r="AL243" s="1173"/>
      <c r="AM243" s="1174"/>
      <c r="AN243" s="1175"/>
      <c r="AO243" s="1176"/>
      <c r="AP243" s="1177"/>
      <c r="AQ243" s="1547"/>
      <c r="AR243" s="1177"/>
      <c r="AS243" s="1548"/>
      <c r="AT243" s="1549"/>
      <c r="AU243" s="1178"/>
      <c r="AV243" s="1179"/>
      <c r="AY243" s="3">
        <v>1</v>
      </c>
    </row>
    <row r="244" spans="2:51" ht="27" customHeight="1">
      <c r="B244" s="104"/>
      <c r="C244" s="1172"/>
      <c r="D244" s="1172"/>
      <c r="E244" s="1172"/>
      <c r="F244" s="1173"/>
      <c r="G244" s="1174"/>
      <c r="H244" s="1175"/>
      <c r="I244" s="1176"/>
      <c r="J244" s="1177"/>
      <c r="K244" s="1547"/>
      <c r="L244" s="1177"/>
      <c r="M244" s="1548"/>
      <c r="N244" s="1549"/>
      <c r="O244" s="1178"/>
      <c r="P244" s="1179"/>
      <c r="R244" s="104"/>
      <c r="S244" s="1172"/>
      <c r="T244" s="1172"/>
      <c r="U244" s="1172"/>
      <c r="V244" s="1173"/>
      <c r="W244" s="1174"/>
      <c r="X244" s="1175"/>
      <c r="Y244" s="1176"/>
      <c r="Z244" s="1177"/>
      <c r="AA244" s="1547"/>
      <c r="AB244" s="1177"/>
      <c r="AC244" s="1548"/>
      <c r="AD244" s="1549"/>
      <c r="AE244" s="1178"/>
      <c r="AF244" s="1179"/>
      <c r="AH244" s="104"/>
      <c r="AI244" s="1172"/>
      <c r="AJ244" s="1172"/>
      <c r="AK244" s="1172"/>
      <c r="AL244" s="1173"/>
      <c r="AM244" s="1174"/>
      <c r="AN244" s="1175"/>
      <c r="AO244" s="1176"/>
      <c r="AP244" s="1177"/>
      <c r="AQ244" s="1547"/>
      <c r="AR244" s="1177"/>
      <c r="AS244" s="1548"/>
      <c r="AT244" s="1549"/>
      <c r="AU244" s="1178"/>
      <c r="AV244" s="1179"/>
      <c r="AY244" s="3">
        <v>1</v>
      </c>
    </row>
    <row r="245" spans="2:51" ht="27" customHeight="1">
      <c r="B245" s="104"/>
      <c r="C245" s="1172"/>
      <c r="D245" s="1172"/>
      <c r="E245" s="1172"/>
      <c r="F245" s="1173"/>
      <c r="G245" s="1174"/>
      <c r="H245" s="1175"/>
      <c r="I245" s="1176"/>
      <c r="J245" s="1177"/>
      <c r="K245" s="1547"/>
      <c r="L245" s="1177"/>
      <c r="M245" s="1548"/>
      <c r="N245" s="1549"/>
      <c r="O245" s="1178"/>
      <c r="P245" s="1179"/>
      <c r="R245" s="104"/>
      <c r="S245" s="1172"/>
      <c r="T245" s="1172"/>
      <c r="U245" s="1172"/>
      <c r="V245" s="1173"/>
      <c r="W245" s="1174"/>
      <c r="X245" s="1175"/>
      <c r="Y245" s="1176"/>
      <c r="Z245" s="1177"/>
      <c r="AA245" s="1547"/>
      <c r="AB245" s="1177"/>
      <c r="AC245" s="1548"/>
      <c r="AD245" s="1549"/>
      <c r="AE245" s="1178"/>
      <c r="AF245" s="1179"/>
      <c r="AH245" s="104"/>
      <c r="AI245" s="1172"/>
      <c r="AJ245" s="1172"/>
      <c r="AK245" s="1172"/>
      <c r="AL245" s="1173"/>
      <c r="AM245" s="1174"/>
      <c r="AN245" s="1175"/>
      <c r="AO245" s="1176"/>
      <c r="AP245" s="1177"/>
      <c r="AQ245" s="1547"/>
      <c r="AR245" s="1177"/>
      <c r="AS245" s="1548"/>
      <c r="AT245" s="1549"/>
      <c r="AU245" s="1178"/>
      <c r="AV245" s="1179"/>
      <c r="AY245" s="3"/>
    </row>
    <row r="246" spans="2:51" ht="27" customHeight="1">
      <c r="B246" s="104"/>
      <c r="C246" s="1172"/>
      <c r="D246" s="1172"/>
      <c r="E246" s="1172"/>
      <c r="F246" s="1173"/>
      <c r="G246" s="1174"/>
      <c r="H246" s="1175"/>
      <c r="I246" s="1176"/>
      <c r="J246" s="1177"/>
      <c r="K246" s="1547"/>
      <c r="L246" s="1177"/>
      <c r="M246" s="1548"/>
      <c r="N246" s="1549"/>
      <c r="O246" s="1178"/>
      <c r="P246" s="1179"/>
      <c r="R246" s="104"/>
      <c r="S246" s="1172"/>
      <c r="T246" s="1172"/>
      <c r="U246" s="1172"/>
      <c r="V246" s="1173"/>
      <c r="W246" s="1174"/>
      <c r="X246" s="1175"/>
      <c r="Y246" s="1176"/>
      <c r="Z246" s="1177"/>
      <c r="AA246" s="1547"/>
      <c r="AB246" s="1177"/>
      <c r="AC246" s="1548"/>
      <c r="AD246" s="1549"/>
      <c r="AE246" s="1178"/>
      <c r="AF246" s="1179"/>
      <c r="AH246" s="104"/>
      <c r="AI246" s="1172"/>
      <c r="AJ246" s="1172"/>
      <c r="AK246" s="1172"/>
      <c r="AL246" s="1173"/>
      <c r="AM246" s="1174"/>
      <c r="AN246" s="1175"/>
      <c r="AO246" s="1176"/>
      <c r="AP246" s="1177"/>
      <c r="AQ246" s="1547"/>
      <c r="AR246" s="1177"/>
      <c r="AS246" s="1548"/>
      <c r="AT246" s="1549"/>
      <c r="AU246" s="1178"/>
      <c r="AV246" s="1179"/>
      <c r="AY246" s="3"/>
    </row>
    <row r="247" spans="2:51" ht="27" customHeight="1">
      <c r="B247" s="104"/>
      <c r="C247" s="1172"/>
      <c r="D247" s="1172"/>
      <c r="E247" s="1172"/>
      <c r="F247" s="1173"/>
      <c r="G247" s="1174"/>
      <c r="H247" s="1175"/>
      <c r="I247" s="1176"/>
      <c r="J247" s="1177"/>
      <c r="K247" s="1547"/>
      <c r="L247" s="1177"/>
      <c r="M247" s="1548"/>
      <c r="N247" s="1549"/>
      <c r="O247" s="1178"/>
      <c r="P247" s="1179"/>
      <c r="R247" s="104"/>
      <c r="S247" s="1172"/>
      <c r="T247" s="1172"/>
      <c r="U247" s="1172"/>
      <c r="V247" s="1173"/>
      <c r="W247" s="1174"/>
      <c r="X247" s="1175"/>
      <c r="Y247" s="1176"/>
      <c r="Z247" s="1177"/>
      <c r="AA247" s="1547"/>
      <c r="AB247" s="1177"/>
      <c r="AC247" s="1548"/>
      <c r="AD247" s="1549"/>
      <c r="AE247" s="1178"/>
      <c r="AF247" s="1179"/>
      <c r="AH247" s="104"/>
      <c r="AI247" s="1172"/>
      <c r="AJ247" s="1172"/>
      <c r="AK247" s="1172"/>
      <c r="AL247" s="1173"/>
      <c r="AM247" s="1174"/>
      <c r="AN247" s="1175"/>
      <c r="AO247" s="1176"/>
      <c r="AP247" s="1177"/>
      <c r="AQ247" s="1547"/>
      <c r="AR247" s="1177"/>
      <c r="AS247" s="1548"/>
      <c r="AT247" s="1549"/>
      <c r="AU247" s="1178"/>
      <c r="AV247" s="1179"/>
      <c r="AY247" s="3"/>
    </row>
    <row r="248" spans="2:51" ht="27" customHeight="1">
      <c r="B248" s="104"/>
      <c r="C248" s="1172"/>
      <c r="D248" s="1172"/>
      <c r="E248" s="1172"/>
      <c r="F248" s="1173"/>
      <c r="G248" s="1174"/>
      <c r="H248" s="1175"/>
      <c r="I248" s="1176"/>
      <c r="J248" s="1177"/>
      <c r="K248" s="1547"/>
      <c r="L248" s="1177"/>
      <c r="M248" s="1548"/>
      <c r="N248" s="1549"/>
      <c r="O248" s="1178"/>
      <c r="P248" s="1179"/>
      <c r="R248" s="104"/>
      <c r="S248" s="1172"/>
      <c r="T248" s="1172"/>
      <c r="U248" s="1172"/>
      <c r="V248" s="1173"/>
      <c r="W248" s="1174"/>
      <c r="X248" s="1175"/>
      <c r="Y248" s="1176"/>
      <c r="Z248" s="1177"/>
      <c r="AA248" s="1547"/>
      <c r="AB248" s="1177"/>
      <c r="AC248" s="1548"/>
      <c r="AD248" s="1549"/>
      <c r="AE248" s="1178"/>
      <c r="AF248" s="1179"/>
      <c r="AH248" s="104"/>
      <c r="AI248" s="1172"/>
      <c r="AJ248" s="1172"/>
      <c r="AK248" s="1172"/>
      <c r="AL248" s="1173"/>
      <c r="AM248" s="1174"/>
      <c r="AN248" s="1175"/>
      <c r="AO248" s="1176"/>
      <c r="AP248" s="1177"/>
      <c r="AQ248" s="1547"/>
      <c r="AR248" s="1177"/>
      <c r="AS248" s="1548"/>
      <c r="AT248" s="1549"/>
      <c r="AU248" s="1178"/>
      <c r="AV248" s="1179"/>
      <c r="AY248" s="3">
        <v>1</v>
      </c>
    </row>
    <row r="249" spans="2:51" ht="27" customHeight="1">
      <c r="B249" s="104"/>
      <c r="C249" s="1172"/>
      <c r="D249" s="1172"/>
      <c r="E249" s="1172"/>
      <c r="F249" s="1173"/>
      <c r="G249" s="1174"/>
      <c r="H249" s="1175"/>
      <c r="I249" s="1176"/>
      <c r="J249" s="1177"/>
      <c r="K249" s="1547"/>
      <c r="L249" s="1177"/>
      <c r="M249" s="1548"/>
      <c r="N249" s="1549"/>
      <c r="O249" s="1178"/>
      <c r="P249" s="1179"/>
      <c r="R249" s="104"/>
      <c r="S249" s="1172"/>
      <c r="T249" s="1172"/>
      <c r="U249" s="1172"/>
      <c r="V249" s="1173"/>
      <c r="W249" s="1174"/>
      <c r="X249" s="1175"/>
      <c r="Y249" s="1176"/>
      <c r="Z249" s="1177"/>
      <c r="AA249" s="1547"/>
      <c r="AB249" s="1177"/>
      <c r="AC249" s="1548"/>
      <c r="AD249" s="1549"/>
      <c r="AE249" s="1178"/>
      <c r="AF249" s="1179"/>
      <c r="AH249" s="104"/>
      <c r="AI249" s="1172"/>
      <c r="AJ249" s="1172"/>
      <c r="AK249" s="1172"/>
      <c r="AL249" s="1173"/>
      <c r="AM249" s="1174"/>
      <c r="AN249" s="1175"/>
      <c r="AO249" s="1176"/>
      <c r="AP249" s="1177"/>
      <c r="AQ249" s="1547"/>
      <c r="AR249" s="1177"/>
      <c r="AS249" s="1548"/>
      <c r="AT249" s="1549"/>
      <c r="AU249" s="1178"/>
      <c r="AV249" s="1179"/>
      <c r="AY249" s="3">
        <v>1</v>
      </c>
    </row>
    <row r="250" spans="2:51" ht="27" customHeight="1">
      <c r="B250" s="104"/>
      <c r="C250" s="1172"/>
      <c r="D250" s="1172"/>
      <c r="E250" s="1172"/>
      <c r="F250" s="1173"/>
      <c r="G250" s="1174"/>
      <c r="H250" s="1175"/>
      <c r="I250" s="1176"/>
      <c r="J250" s="1177"/>
      <c r="K250" s="1547"/>
      <c r="L250" s="1177"/>
      <c r="M250" s="1548"/>
      <c r="N250" s="1549"/>
      <c r="O250" s="1178"/>
      <c r="P250" s="1179"/>
      <c r="R250" s="104"/>
      <c r="S250" s="1172"/>
      <c r="T250" s="1172"/>
      <c r="U250" s="1172"/>
      <c r="V250" s="1173"/>
      <c r="W250" s="1174"/>
      <c r="X250" s="1175"/>
      <c r="Y250" s="1176"/>
      <c r="Z250" s="1177"/>
      <c r="AA250" s="1547"/>
      <c r="AB250" s="1177"/>
      <c r="AC250" s="1548"/>
      <c r="AD250" s="1549"/>
      <c r="AE250" s="1178"/>
      <c r="AF250" s="1179"/>
      <c r="AH250" s="104"/>
      <c r="AI250" s="1172"/>
      <c r="AJ250" s="1172"/>
      <c r="AK250" s="1172"/>
      <c r="AL250" s="1173"/>
      <c r="AM250" s="1174"/>
      <c r="AN250" s="1175"/>
      <c r="AO250" s="1176"/>
      <c r="AP250" s="1177"/>
      <c r="AQ250" s="1547"/>
      <c r="AR250" s="1177"/>
      <c r="AS250" s="1548"/>
      <c r="AT250" s="1549"/>
      <c r="AU250" s="1178"/>
      <c r="AV250" s="1179"/>
      <c r="AY250" s="3">
        <v>1</v>
      </c>
    </row>
    <row r="251" spans="2:51" ht="27" customHeight="1">
      <c r="B251" s="104"/>
      <c r="C251" s="1172"/>
      <c r="D251" s="1172"/>
      <c r="E251" s="1172"/>
      <c r="F251" s="1173"/>
      <c r="G251" s="1174"/>
      <c r="H251" s="1175"/>
      <c r="I251" s="1176"/>
      <c r="J251" s="1177"/>
      <c r="K251" s="1547"/>
      <c r="L251" s="1177"/>
      <c r="M251" s="1548"/>
      <c r="N251" s="1549"/>
      <c r="O251" s="1178"/>
      <c r="P251" s="1179"/>
      <c r="R251" s="104"/>
      <c r="S251" s="1172"/>
      <c r="T251" s="1172"/>
      <c r="U251" s="1172"/>
      <c r="V251" s="1173"/>
      <c r="W251" s="1174"/>
      <c r="X251" s="1175"/>
      <c r="Y251" s="1176"/>
      <c r="Z251" s="1177"/>
      <c r="AA251" s="1547"/>
      <c r="AB251" s="1177"/>
      <c r="AC251" s="1548"/>
      <c r="AD251" s="1549"/>
      <c r="AE251" s="1178"/>
      <c r="AF251" s="1179"/>
      <c r="AH251" s="104"/>
      <c r="AI251" s="1172"/>
      <c r="AJ251" s="1172"/>
      <c r="AK251" s="1172"/>
      <c r="AL251" s="1173"/>
      <c r="AM251" s="1174"/>
      <c r="AN251" s="1175"/>
      <c r="AO251" s="1176"/>
      <c r="AP251" s="1177"/>
      <c r="AQ251" s="1547"/>
      <c r="AR251" s="1177"/>
      <c r="AS251" s="1548"/>
      <c r="AT251" s="1549"/>
      <c r="AU251" s="1178"/>
      <c r="AV251" s="1179"/>
      <c r="AY251" s="3">
        <v>1</v>
      </c>
    </row>
    <row r="252" spans="2:51" ht="27" customHeight="1">
      <c r="B252" s="104"/>
      <c r="C252" s="1172"/>
      <c r="D252" s="1172"/>
      <c r="E252" s="1172"/>
      <c r="F252" s="1173"/>
      <c r="G252" s="1174"/>
      <c r="H252" s="1175"/>
      <c r="I252" s="1176"/>
      <c r="J252" s="1177"/>
      <c r="K252" s="1547"/>
      <c r="L252" s="1177"/>
      <c r="M252" s="1548"/>
      <c r="N252" s="1549"/>
      <c r="O252" s="1178"/>
      <c r="P252" s="1179"/>
      <c r="R252" s="104"/>
      <c r="S252" s="1172"/>
      <c r="T252" s="1172"/>
      <c r="U252" s="1172"/>
      <c r="V252" s="1173"/>
      <c r="W252" s="1174"/>
      <c r="X252" s="1175"/>
      <c r="Y252" s="1176"/>
      <c r="Z252" s="1177"/>
      <c r="AA252" s="1547"/>
      <c r="AB252" s="1177"/>
      <c r="AC252" s="1548"/>
      <c r="AD252" s="1549"/>
      <c r="AE252" s="1178"/>
      <c r="AF252" s="1179"/>
      <c r="AH252" s="104"/>
      <c r="AI252" s="1172"/>
      <c r="AJ252" s="1172"/>
      <c r="AK252" s="1172"/>
      <c r="AL252" s="1173"/>
      <c r="AM252" s="1174"/>
      <c r="AN252" s="1175"/>
      <c r="AO252" s="1176"/>
      <c r="AP252" s="1177"/>
      <c r="AQ252" s="1547"/>
      <c r="AR252" s="1177"/>
      <c r="AS252" s="1548"/>
      <c r="AT252" s="1549"/>
      <c r="AU252" s="1178"/>
      <c r="AV252" s="1179"/>
      <c r="AY252" s="3">
        <v>1</v>
      </c>
    </row>
    <row r="253" spans="2:51" ht="27" customHeight="1">
      <c r="B253" s="104"/>
      <c r="C253" s="1172"/>
      <c r="D253" s="1172"/>
      <c r="E253" s="1172"/>
      <c r="F253" s="1173"/>
      <c r="G253" s="1174"/>
      <c r="H253" s="1175"/>
      <c r="I253" s="1176"/>
      <c r="J253" s="1177"/>
      <c r="K253" s="1547"/>
      <c r="L253" s="1177"/>
      <c r="M253" s="1548"/>
      <c r="N253" s="1549"/>
      <c r="O253" s="1178"/>
      <c r="P253" s="1179"/>
      <c r="R253" s="104"/>
      <c r="S253" s="1172"/>
      <c r="T253" s="1172"/>
      <c r="U253" s="1172"/>
      <c r="V253" s="1173"/>
      <c r="W253" s="1174"/>
      <c r="X253" s="1175"/>
      <c r="Y253" s="1176"/>
      <c r="Z253" s="1177"/>
      <c r="AA253" s="1547"/>
      <c r="AB253" s="1177"/>
      <c r="AC253" s="1548"/>
      <c r="AD253" s="1549"/>
      <c r="AE253" s="1178"/>
      <c r="AF253" s="1179"/>
      <c r="AH253" s="104"/>
      <c r="AI253" s="1172"/>
      <c r="AJ253" s="1172"/>
      <c r="AK253" s="1172"/>
      <c r="AL253" s="1173"/>
      <c r="AM253" s="1174"/>
      <c r="AN253" s="1175"/>
      <c r="AO253" s="1176"/>
      <c r="AP253" s="1177"/>
      <c r="AQ253" s="1547"/>
      <c r="AR253" s="1177"/>
      <c r="AS253" s="1548"/>
      <c r="AT253" s="1549"/>
      <c r="AU253" s="1178"/>
      <c r="AV253" s="1179"/>
      <c r="AY253" s="3">
        <v>1</v>
      </c>
    </row>
    <row r="254" spans="2:51" ht="27" customHeight="1">
      <c r="B254" s="104"/>
      <c r="C254" s="1172"/>
      <c r="D254" s="1172"/>
      <c r="E254" s="1172"/>
      <c r="F254" s="1173"/>
      <c r="G254" s="1174"/>
      <c r="H254" s="1175"/>
      <c r="I254" s="1176"/>
      <c r="J254" s="1177"/>
      <c r="K254" s="1547"/>
      <c r="L254" s="1177"/>
      <c r="M254" s="1548"/>
      <c r="N254" s="1549"/>
      <c r="O254" s="1178"/>
      <c r="P254" s="1179"/>
      <c r="R254" s="104"/>
      <c r="S254" s="1172"/>
      <c r="T254" s="1172"/>
      <c r="U254" s="1172"/>
      <c r="V254" s="1173"/>
      <c r="W254" s="1174"/>
      <c r="X254" s="1175"/>
      <c r="Y254" s="1176"/>
      <c r="Z254" s="1177"/>
      <c r="AA254" s="1547"/>
      <c r="AB254" s="1177"/>
      <c r="AC254" s="1548"/>
      <c r="AD254" s="1549"/>
      <c r="AE254" s="1178"/>
      <c r="AF254" s="1179"/>
      <c r="AH254" s="104"/>
      <c r="AI254" s="1172"/>
      <c r="AJ254" s="1172"/>
      <c r="AK254" s="1172"/>
      <c r="AL254" s="1173"/>
      <c r="AM254" s="1174"/>
      <c r="AN254" s="1175"/>
      <c r="AO254" s="1176"/>
      <c r="AP254" s="1177"/>
      <c r="AQ254" s="1547"/>
      <c r="AR254" s="1177"/>
      <c r="AS254" s="1548"/>
      <c r="AT254" s="1549"/>
      <c r="AU254" s="1178"/>
      <c r="AV254" s="1179"/>
      <c r="AY254" s="3">
        <v>1</v>
      </c>
    </row>
    <row r="255" spans="2:51" ht="18.75">
      <c r="B255" s="104"/>
      <c r="C255" s="1172"/>
      <c r="D255" s="1172"/>
      <c r="E255" s="1172"/>
      <c r="F255" s="1173"/>
      <c r="G255" s="1174"/>
      <c r="H255" s="1175"/>
      <c r="I255" s="1176"/>
      <c r="J255" s="1177"/>
      <c r="K255" s="1547"/>
      <c r="L255" s="1177"/>
      <c r="M255" s="1548"/>
      <c r="N255" s="1549"/>
      <c r="O255" s="1178"/>
      <c r="P255" s="1179"/>
      <c r="R255" s="104"/>
      <c r="S255" s="1172"/>
      <c r="T255" s="1172"/>
      <c r="U255" s="1172"/>
      <c r="V255" s="1173"/>
      <c r="W255" s="1174"/>
      <c r="X255" s="1175"/>
      <c r="Y255" s="1176"/>
      <c r="Z255" s="1177"/>
      <c r="AA255" s="1547"/>
      <c r="AB255" s="1177"/>
      <c r="AC255" s="1548"/>
      <c r="AD255" s="1549"/>
      <c r="AE255" s="1178"/>
      <c r="AF255" s="1179"/>
      <c r="AH255" s="104"/>
      <c r="AI255" s="1172"/>
      <c r="AJ255" s="1172"/>
      <c r="AK255" s="1172"/>
      <c r="AL255" s="1173"/>
      <c r="AM255" s="1174"/>
      <c r="AN255" s="1175"/>
      <c r="AO255" s="1176"/>
      <c r="AP255" s="1177"/>
      <c r="AQ255" s="1547"/>
      <c r="AR255" s="1177"/>
      <c r="AS255" s="1548"/>
      <c r="AT255" s="1549"/>
      <c r="AU255" s="1178"/>
      <c r="AV255" s="1179"/>
      <c r="AY255" s="3">
        <v>1</v>
      </c>
    </row>
    <row r="256" spans="2:51" ht="18.75">
      <c r="B256" s="104"/>
      <c r="C256" s="1172"/>
      <c r="D256" s="1172"/>
      <c r="E256" s="1172"/>
      <c r="F256" s="1173"/>
      <c r="G256" s="1174"/>
      <c r="H256" s="1175"/>
      <c r="I256" s="1176"/>
      <c r="J256" s="1177"/>
      <c r="K256" s="1547"/>
      <c r="L256" s="1177"/>
      <c r="M256" s="1548"/>
      <c r="N256" s="1549"/>
      <c r="O256" s="1178"/>
      <c r="P256" s="1179"/>
      <c r="R256" s="104"/>
      <c r="S256" s="1172"/>
      <c r="T256" s="1172"/>
      <c r="U256" s="1172"/>
      <c r="V256" s="1173"/>
      <c r="W256" s="1174"/>
      <c r="X256" s="1175"/>
      <c r="Y256" s="1176"/>
      <c r="Z256" s="1177"/>
      <c r="AA256" s="1547"/>
      <c r="AB256" s="1177"/>
      <c r="AC256" s="1548"/>
      <c r="AD256" s="1549"/>
      <c r="AE256" s="1178"/>
      <c r="AF256" s="1179"/>
      <c r="AH256" s="104"/>
      <c r="AI256" s="1172"/>
      <c r="AJ256" s="1172"/>
      <c r="AK256" s="1172"/>
      <c r="AL256" s="1173"/>
      <c r="AM256" s="1174"/>
      <c r="AN256" s="1175"/>
      <c r="AO256" s="1176"/>
      <c r="AP256" s="1177"/>
      <c r="AQ256" s="1547"/>
      <c r="AR256" s="1177"/>
      <c r="AS256" s="1548"/>
      <c r="AT256" s="1549"/>
      <c r="AU256" s="1178"/>
      <c r="AV256" s="1179"/>
      <c r="AY256" s="3">
        <v>1</v>
      </c>
    </row>
    <row r="257" spans="2:51" ht="18.75">
      <c r="B257" s="104"/>
      <c r="C257" s="1172"/>
      <c r="D257" s="1172"/>
      <c r="E257" s="1172"/>
      <c r="F257" s="1173"/>
      <c r="G257" s="1174"/>
      <c r="H257" s="1175"/>
      <c r="I257" s="1176"/>
      <c r="J257" s="1177"/>
      <c r="K257" s="1547"/>
      <c r="L257" s="1177"/>
      <c r="M257" s="1548"/>
      <c r="N257" s="1549"/>
      <c r="O257" s="1178"/>
      <c r="P257" s="1179"/>
      <c r="R257" s="104"/>
      <c r="S257" s="1172"/>
      <c r="T257" s="1172"/>
      <c r="U257" s="1172"/>
      <c r="V257" s="1173"/>
      <c r="W257" s="1174"/>
      <c r="X257" s="1175"/>
      <c r="Y257" s="1176"/>
      <c r="Z257" s="1177"/>
      <c r="AA257" s="1547"/>
      <c r="AB257" s="1177"/>
      <c r="AC257" s="1548"/>
      <c r="AD257" s="1549"/>
      <c r="AE257" s="1178"/>
      <c r="AF257" s="1179"/>
      <c r="AH257" s="104"/>
      <c r="AI257" s="1172"/>
      <c r="AJ257" s="1172"/>
      <c r="AK257" s="1172"/>
      <c r="AL257" s="1173"/>
      <c r="AM257" s="1174"/>
      <c r="AN257" s="1175"/>
      <c r="AO257" s="1176"/>
      <c r="AP257" s="1177"/>
      <c r="AQ257" s="1547"/>
      <c r="AR257" s="1177"/>
      <c r="AS257" s="1548"/>
      <c r="AT257" s="1549"/>
      <c r="AU257" s="1178"/>
      <c r="AV257" s="1179"/>
      <c r="AY257" s="3">
        <v>1</v>
      </c>
    </row>
    <row r="258" spans="2:51" ht="18.75">
      <c r="B258" s="104"/>
      <c r="C258" s="1172"/>
      <c r="D258" s="1172"/>
      <c r="E258" s="1172"/>
      <c r="F258" s="1173"/>
      <c r="G258" s="1174"/>
      <c r="H258" s="1175"/>
      <c r="I258" s="1176"/>
      <c r="J258" s="1177"/>
      <c r="K258" s="1547"/>
      <c r="L258" s="1177"/>
      <c r="M258" s="1548"/>
      <c r="N258" s="1549"/>
      <c r="O258" s="1178"/>
      <c r="P258" s="1179"/>
      <c r="R258" s="104"/>
      <c r="S258" s="1172"/>
      <c r="T258" s="1172"/>
      <c r="U258" s="1172"/>
      <c r="V258" s="1173"/>
      <c r="W258" s="1174"/>
      <c r="X258" s="1175"/>
      <c r="Y258" s="1176"/>
      <c r="Z258" s="1177"/>
      <c r="AA258" s="1547"/>
      <c r="AB258" s="1177"/>
      <c r="AC258" s="1548"/>
      <c r="AD258" s="1549"/>
      <c r="AE258" s="1178"/>
      <c r="AF258" s="1179"/>
      <c r="AH258" s="104"/>
      <c r="AI258" s="1172"/>
      <c r="AJ258" s="1172"/>
      <c r="AK258" s="1172"/>
      <c r="AL258" s="1173"/>
      <c r="AM258" s="1174"/>
      <c r="AN258" s="1175"/>
      <c r="AO258" s="1176"/>
      <c r="AP258" s="1177"/>
      <c r="AQ258" s="1547"/>
      <c r="AR258" s="1177"/>
      <c r="AS258" s="1548"/>
      <c r="AT258" s="1549"/>
      <c r="AU258" s="1178"/>
      <c r="AV258" s="1179"/>
      <c r="AY258" s="3">
        <v>1</v>
      </c>
    </row>
    <row r="259" spans="2:51" ht="18.75">
      <c r="B259" s="104"/>
      <c r="C259" s="1172"/>
      <c r="D259" s="1172"/>
      <c r="E259" s="1172"/>
      <c r="F259" s="1173"/>
      <c r="G259" s="1174"/>
      <c r="H259" s="1175"/>
      <c r="I259" s="1176"/>
      <c r="J259" s="1177"/>
      <c r="K259" s="1547"/>
      <c r="L259" s="1177"/>
      <c r="M259" s="1548"/>
      <c r="N259" s="1549"/>
      <c r="O259" s="1178"/>
      <c r="P259" s="1179"/>
      <c r="R259" s="104"/>
      <c r="S259" s="1172"/>
      <c r="T259" s="1172"/>
      <c r="U259" s="1172"/>
      <c r="V259" s="1173"/>
      <c r="W259" s="1174"/>
      <c r="X259" s="1175"/>
      <c r="Y259" s="1176"/>
      <c r="Z259" s="1177"/>
      <c r="AA259" s="1547"/>
      <c r="AB259" s="1177"/>
      <c r="AC259" s="1548"/>
      <c r="AD259" s="1549"/>
      <c r="AE259" s="1178"/>
      <c r="AF259" s="1179"/>
      <c r="AH259" s="104"/>
      <c r="AI259" s="1172"/>
      <c r="AJ259" s="1172"/>
      <c r="AK259" s="1172"/>
      <c r="AL259" s="1173"/>
      <c r="AM259" s="1174"/>
      <c r="AN259" s="1175"/>
      <c r="AO259" s="1176"/>
      <c r="AP259" s="1177"/>
      <c r="AQ259" s="1547"/>
      <c r="AR259" s="1177"/>
      <c r="AS259" s="1548"/>
      <c r="AT259" s="1549"/>
      <c r="AU259" s="1178"/>
      <c r="AV259" s="1179"/>
      <c r="AY259" s="3">
        <v>1</v>
      </c>
    </row>
    <row r="260" spans="2:51" ht="18.75">
      <c r="B260" s="104"/>
      <c r="C260" s="1172"/>
      <c r="D260" s="1172"/>
      <c r="E260" s="1172"/>
      <c r="F260" s="1173"/>
      <c r="G260" s="1174"/>
      <c r="H260" s="1175"/>
      <c r="I260" s="1176"/>
      <c r="J260" s="1177"/>
      <c r="K260" s="1547"/>
      <c r="L260" s="1177"/>
      <c r="M260" s="1548"/>
      <c r="N260" s="1549"/>
      <c r="O260" s="1178"/>
      <c r="P260" s="1179"/>
      <c r="R260" s="104"/>
      <c r="S260" s="1172"/>
      <c r="T260" s="1172"/>
      <c r="U260" s="1172"/>
      <c r="V260" s="1173"/>
      <c r="W260" s="1174"/>
      <c r="X260" s="1175"/>
      <c r="Y260" s="1176"/>
      <c r="Z260" s="1177"/>
      <c r="AA260" s="1547"/>
      <c r="AB260" s="1177"/>
      <c r="AC260" s="1548"/>
      <c r="AD260" s="1549"/>
      <c r="AE260" s="1178"/>
      <c r="AF260" s="1179"/>
      <c r="AH260" s="104"/>
      <c r="AI260" s="1172"/>
      <c r="AJ260" s="1172"/>
      <c r="AK260" s="1172"/>
      <c r="AL260" s="1173"/>
      <c r="AM260" s="1174"/>
      <c r="AN260" s="1175"/>
      <c r="AO260" s="1176"/>
      <c r="AP260" s="1177"/>
      <c r="AQ260" s="1547"/>
      <c r="AR260" s="1177"/>
      <c r="AS260" s="1548"/>
      <c r="AT260" s="1549"/>
      <c r="AU260" s="1178"/>
      <c r="AV260" s="1179"/>
      <c r="AY260" s="3">
        <v>1</v>
      </c>
    </row>
    <row r="261" spans="2:51" ht="18.75">
      <c r="B261" s="104"/>
      <c r="C261" s="1172"/>
      <c r="D261" s="1172"/>
      <c r="E261" s="1172"/>
      <c r="F261" s="1173"/>
      <c r="G261" s="1174"/>
      <c r="H261" s="1175"/>
      <c r="I261" s="1176"/>
      <c r="J261" s="1177"/>
      <c r="K261" s="1547"/>
      <c r="L261" s="1177"/>
      <c r="M261" s="1548"/>
      <c r="N261" s="1549"/>
      <c r="O261" s="1178"/>
      <c r="P261" s="1179"/>
      <c r="R261" s="104"/>
      <c r="S261" s="1172"/>
      <c r="T261" s="1172"/>
      <c r="U261" s="1172"/>
      <c r="V261" s="1173"/>
      <c r="W261" s="1174"/>
      <c r="X261" s="1175"/>
      <c r="Y261" s="1176"/>
      <c r="Z261" s="1177"/>
      <c r="AA261" s="1547"/>
      <c r="AB261" s="1177"/>
      <c r="AC261" s="1548"/>
      <c r="AD261" s="1549"/>
      <c r="AE261" s="1178"/>
      <c r="AF261" s="1179"/>
      <c r="AH261" s="104"/>
      <c r="AI261" s="1172"/>
      <c r="AJ261" s="1172"/>
      <c r="AK261" s="1172"/>
      <c r="AL261" s="1173"/>
      <c r="AM261" s="1174"/>
      <c r="AN261" s="1175"/>
      <c r="AO261" s="1176"/>
      <c r="AP261" s="1177"/>
      <c r="AQ261" s="1547"/>
      <c r="AR261" s="1177"/>
      <c r="AS261" s="1548"/>
      <c r="AT261" s="1549"/>
      <c r="AU261" s="1178"/>
      <c r="AV261" s="1179"/>
      <c r="AY261" s="3">
        <v>1</v>
      </c>
    </row>
    <row r="262" spans="2:51" ht="18.75">
      <c r="B262" s="104"/>
      <c r="C262" s="1172"/>
      <c r="D262" s="1172"/>
      <c r="E262" s="1172"/>
      <c r="F262" s="1173"/>
      <c r="G262" s="1174"/>
      <c r="H262" s="1175"/>
      <c r="I262" s="1176"/>
      <c r="J262" s="1177"/>
      <c r="K262" s="1547"/>
      <c r="L262" s="1177"/>
      <c r="M262" s="1548"/>
      <c r="N262" s="1549"/>
      <c r="O262" s="1178"/>
      <c r="P262" s="1179"/>
      <c r="R262" s="104"/>
      <c r="S262" s="1172"/>
      <c r="T262" s="1172"/>
      <c r="U262" s="1172"/>
      <c r="V262" s="1173"/>
      <c r="W262" s="1174"/>
      <c r="X262" s="1175"/>
      <c r="Y262" s="1176"/>
      <c r="Z262" s="1177"/>
      <c r="AA262" s="1547"/>
      <c r="AB262" s="1177"/>
      <c r="AC262" s="1548"/>
      <c r="AD262" s="1549"/>
      <c r="AE262" s="1178"/>
      <c r="AF262" s="1179"/>
      <c r="AH262" s="104"/>
      <c r="AI262" s="1172"/>
      <c r="AJ262" s="1172"/>
      <c r="AK262" s="1172"/>
      <c r="AL262" s="1173"/>
      <c r="AM262" s="1174"/>
      <c r="AN262" s="1175"/>
      <c r="AO262" s="1176"/>
      <c r="AP262" s="1177"/>
      <c r="AQ262" s="1547"/>
      <c r="AR262" s="1177"/>
      <c r="AS262" s="1548"/>
      <c r="AT262" s="1549"/>
      <c r="AU262" s="1178"/>
      <c r="AV262" s="1179"/>
      <c r="AY262" s="3">
        <v>1</v>
      </c>
    </row>
    <row r="263" spans="2:51" ht="18.75">
      <c r="B263" s="104"/>
      <c r="C263" s="1172"/>
      <c r="D263" s="1172"/>
      <c r="E263" s="1172"/>
      <c r="F263" s="1173"/>
      <c r="G263" s="1174"/>
      <c r="H263" s="1175"/>
      <c r="I263" s="1176"/>
      <c r="J263" s="1177"/>
      <c r="K263" s="1547"/>
      <c r="L263" s="1177"/>
      <c r="M263" s="1548"/>
      <c r="N263" s="1549"/>
      <c r="O263" s="1178"/>
      <c r="P263" s="1179"/>
      <c r="R263" s="104"/>
      <c r="S263" s="1172"/>
      <c r="T263" s="1172"/>
      <c r="U263" s="1172"/>
      <c r="V263" s="1173"/>
      <c r="W263" s="1174"/>
      <c r="X263" s="1175"/>
      <c r="Y263" s="1176"/>
      <c r="Z263" s="1177"/>
      <c r="AA263" s="1547"/>
      <c r="AB263" s="1177"/>
      <c r="AC263" s="1548"/>
      <c r="AD263" s="1549"/>
      <c r="AE263" s="1178"/>
      <c r="AF263" s="1179"/>
      <c r="AH263" s="104"/>
      <c r="AI263" s="1172"/>
      <c r="AJ263" s="1172"/>
      <c r="AK263" s="1172"/>
      <c r="AL263" s="1173"/>
      <c r="AM263" s="1174"/>
      <c r="AN263" s="1175"/>
      <c r="AO263" s="1176"/>
      <c r="AP263" s="1177"/>
      <c r="AQ263" s="1547"/>
      <c r="AR263" s="1177"/>
      <c r="AS263" s="1548"/>
      <c r="AT263" s="1549"/>
      <c r="AU263" s="1178"/>
      <c r="AV263" s="1179"/>
      <c r="AY263" s="3">
        <v>1</v>
      </c>
    </row>
    <row r="264" spans="2:51" ht="18.75">
      <c r="B264" s="104"/>
      <c r="C264" s="1172"/>
      <c r="D264" s="1172"/>
      <c r="E264" s="1172"/>
      <c r="F264" s="1173"/>
      <c r="G264" s="1174"/>
      <c r="H264" s="1175"/>
      <c r="I264" s="1176"/>
      <c r="J264" s="1177"/>
      <c r="K264" s="1547"/>
      <c r="L264" s="1177"/>
      <c r="M264" s="1548"/>
      <c r="N264" s="1549"/>
      <c r="O264" s="1178"/>
      <c r="P264" s="1179"/>
      <c r="R264" s="104"/>
      <c r="S264" s="1172"/>
      <c r="T264" s="1172"/>
      <c r="U264" s="1172"/>
      <c r="V264" s="1173"/>
      <c r="W264" s="1174"/>
      <c r="X264" s="1175"/>
      <c r="Y264" s="1176"/>
      <c r="Z264" s="1177"/>
      <c r="AA264" s="1547"/>
      <c r="AB264" s="1177"/>
      <c r="AC264" s="1548"/>
      <c r="AD264" s="1549"/>
      <c r="AE264" s="1178"/>
      <c r="AF264" s="1179"/>
      <c r="AH264" s="104"/>
      <c r="AI264" s="1172"/>
      <c r="AJ264" s="1172"/>
      <c r="AK264" s="1172"/>
      <c r="AL264" s="1173"/>
      <c r="AM264" s="1174"/>
      <c r="AN264" s="1175"/>
      <c r="AO264" s="1176"/>
      <c r="AP264" s="1177"/>
      <c r="AQ264" s="1547"/>
      <c r="AR264" s="1177"/>
      <c r="AS264" s="1548"/>
      <c r="AT264" s="1549"/>
      <c r="AU264" s="1178"/>
      <c r="AV264" s="1179"/>
      <c r="AY264" s="3">
        <v>1</v>
      </c>
    </row>
    <row r="265" spans="2:51" ht="18.75">
      <c r="B265" s="104"/>
      <c r="C265" s="1172"/>
      <c r="D265" s="1172"/>
      <c r="E265" s="1172"/>
      <c r="F265" s="1173"/>
      <c r="G265" s="1174"/>
      <c r="H265" s="1175"/>
      <c r="I265" s="1176"/>
      <c r="J265" s="1177"/>
      <c r="K265" s="1547"/>
      <c r="L265" s="1177"/>
      <c r="M265" s="1548"/>
      <c r="N265" s="1549"/>
      <c r="O265" s="1178"/>
      <c r="P265" s="1179"/>
      <c r="R265" s="104"/>
      <c r="S265" s="1172"/>
      <c r="T265" s="1172"/>
      <c r="U265" s="1172"/>
      <c r="V265" s="1173"/>
      <c r="W265" s="1174"/>
      <c r="X265" s="1175"/>
      <c r="Y265" s="1176"/>
      <c r="Z265" s="1177"/>
      <c r="AA265" s="1547"/>
      <c r="AB265" s="1177"/>
      <c r="AC265" s="1548"/>
      <c r="AD265" s="1549"/>
      <c r="AE265" s="1178"/>
      <c r="AF265" s="1179"/>
      <c r="AH265" s="104"/>
      <c r="AI265" s="1172"/>
      <c r="AJ265" s="1172"/>
      <c r="AK265" s="1172"/>
      <c r="AL265" s="1173"/>
      <c r="AM265" s="1174"/>
      <c r="AN265" s="1175"/>
      <c r="AO265" s="1176"/>
      <c r="AP265" s="1177"/>
      <c r="AQ265" s="1547"/>
      <c r="AR265" s="1177"/>
      <c r="AS265" s="1548"/>
      <c r="AT265" s="1549"/>
      <c r="AU265" s="1178"/>
      <c r="AV265" s="1179"/>
      <c r="AY265" s="3">
        <v>1</v>
      </c>
    </row>
    <row r="266" spans="2:51" ht="18.75">
      <c r="B266" s="104"/>
      <c r="C266" s="1172"/>
      <c r="D266" s="1172"/>
      <c r="E266" s="1172"/>
      <c r="F266" s="1173"/>
      <c r="G266" s="1174"/>
      <c r="H266" s="1175"/>
      <c r="I266" s="1176"/>
      <c r="J266" s="1177"/>
      <c r="K266" s="1547"/>
      <c r="L266" s="1177"/>
      <c r="M266" s="1548"/>
      <c r="N266" s="1549"/>
      <c r="O266" s="1178"/>
      <c r="P266" s="1179"/>
      <c r="R266" s="104"/>
      <c r="S266" s="1172"/>
      <c r="T266" s="1172"/>
      <c r="U266" s="1172"/>
      <c r="V266" s="1173"/>
      <c r="W266" s="1174"/>
      <c r="X266" s="1175"/>
      <c r="Y266" s="1176"/>
      <c r="Z266" s="1177"/>
      <c r="AA266" s="1547"/>
      <c r="AB266" s="1177"/>
      <c r="AC266" s="1548"/>
      <c r="AD266" s="1549"/>
      <c r="AE266" s="1178"/>
      <c r="AF266" s="1179"/>
      <c r="AH266" s="104"/>
      <c r="AI266" s="1172"/>
      <c r="AJ266" s="1172"/>
      <c r="AK266" s="1172"/>
      <c r="AL266" s="1173"/>
      <c r="AM266" s="1174"/>
      <c r="AN266" s="1175"/>
      <c r="AO266" s="1176"/>
      <c r="AP266" s="1177"/>
      <c r="AQ266" s="1547"/>
      <c r="AR266" s="1177"/>
      <c r="AS266" s="1548"/>
      <c r="AT266" s="1549"/>
      <c r="AU266" s="1178"/>
      <c r="AV266" s="1179"/>
      <c r="AY266" s="3">
        <v>1</v>
      </c>
    </row>
    <row r="267" spans="2:51" ht="18.75">
      <c r="B267" s="104"/>
      <c r="C267" s="1172"/>
      <c r="D267" s="1172"/>
      <c r="E267" s="1172"/>
      <c r="F267" s="1173"/>
      <c r="G267" s="1174"/>
      <c r="H267" s="1175"/>
      <c r="I267" s="1176"/>
      <c r="J267" s="1177"/>
      <c r="K267" s="1547"/>
      <c r="L267" s="1177"/>
      <c r="M267" s="1548"/>
      <c r="N267" s="1549"/>
      <c r="O267" s="1178"/>
      <c r="P267" s="1179"/>
      <c r="R267" s="104"/>
      <c r="S267" s="1172"/>
      <c r="T267" s="1172"/>
      <c r="U267" s="1172"/>
      <c r="V267" s="1173"/>
      <c r="W267" s="1174"/>
      <c r="X267" s="1175"/>
      <c r="Y267" s="1176"/>
      <c r="Z267" s="1177"/>
      <c r="AA267" s="1547"/>
      <c r="AB267" s="1177"/>
      <c r="AC267" s="1548"/>
      <c r="AD267" s="1549"/>
      <c r="AE267" s="1178"/>
      <c r="AF267" s="1179"/>
      <c r="AH267" s="104"/>
      <c r="AI267" s="1172"/>
      <c r="AJ267" s="1172"/>
      <c r="AK267" s="1172"/>
      <c r="AL267" s="1173"/>
      <c r="AM267" s="1174"/>
      <c r="AN267" s="1175"/>
      <c r="AO267" s="1176"/>
      <c r="AP267" s="1177"/>
      <c r="AQ267" s="1547"/>
      <c r="AR267" s="1177"/>
      <c r="AS267" s="1548"/>
      <c r="AT267" s="1549"/>
      <c r="AU267" s="1178"/>
      <c r="AV267" s="1179"/>
      <c r="AY267" s="3">
        <v>1</v>
      </c>
    </row>
    <row r="268" spans="2:51" ht="18.75">
      <c r="B268" s="104"/>
      <c r="C268" s="1172"/>
      <c r="D268" s="1172"/>
      <c r="E268" s="1172"/>
      <c r="F268" s="1173"/>
      <c r="G268" s="1174"/>
      <c r="H268" s="1175"/>
      <c r="I268" s="1176"/>
      <c r="J268" s="1177"/>
      <c r="K268" s="1547"/>
      <c r="L268" s="1177"/>
      <c r="M268" s="1548"/>
      <c r="N268" s="1549"/>
      <c r="O268" s="1178"/>
      <c r="P268" s="1179"/>
      <c r="R268" s="104"/>
      <c r="S268" s="1172"/>
      <c r="T268" s="1172"/>
      <c r="U268" s="1172"/>
      <c r="V268" s="1173"/>
      <c r="W268" s="1174"/>
      <c r="X268" s="1175"/>
      <c r="Y268" s="1176"/>
      <c r="Z268" s="1177"/>
      <c r="AA268" s="1547"/>
      <c r="AB268" s="1177"/>
      <c r="AC268" s="1548"/>
      <c r="AD268" s="1549"/>
      <c r="AE268" s="1178"/>
      <c r="AF268" s="1179"/>
      <c r="AH268" s="104"/>
      <c r="AI268" s="1172"/>
      <c r="AJ268" s="1172"/>
      <c r="AK268" s="1172"/>
      <c r="AL268" s="1173"/>
      <c r="AM268" s="1174"/>
      <c r="AN268" s="1175"/>
      <c r="AO268" s="1176"/>
      <c r="AP268" s="1177"/>
      <c r="AQ268" s="1547"/>
      <c r="AR268" s="1177"/>
      <c r="AS268" s="1548"/>
      <c r="AT268" s="1549"/>
      <c r="AU268" s="1178"/>
      <c r="AV268" s="1179"/>
      <c r="AY268" s="3">
        <v>1</v>
      </c>
    </row>
    <row r="269" spans="2:51" ht="18.75">
      <c r="B269" s="104"/>
      <c r="C269" s="1172"/>
      <c r="D269" s="1172"/>
      <c r="E269" s="1172"/>
      <c r="F269" s="1173"/>
      <c r="G269" s="1174"/>
      <c r="H269" s="1175"/>
      <c r="I269" s="1176"/>
      <c r="J269" s="1177"/>
      <c r="K269" s="1547"/>
      <c r="L269" s="1177"/>
      <c r="M269" s="1548"/>
      <c r="N269" s="1549"/>
      <c r="O269" s="1178"/>
      <c r="P269" s="1179"/>
      <c r="R269" s="104"/>
      <c r="S269" s="1172"/>
      <c r="T269" s="1172"/>
      <c r="U269" s="1172"/>
      <c r="V269" s="1173"/>
      <c r="W269" s="1174"/>
      <c r="X269" s="1175"/>
      <c r="Y269" s="1176"/>
      <c r="Z269" s="1177"/>
      <c r="AA269" s="1547"/>
      <c r="AB269" s="1177"/>
      <c r="AC269" s="1548"/>
      <c r="AD269" s="1549"/>
      <c r="AE269" s="1178"/>
      <c r="AF269" s="1179"/>
      <c r="AH269" s="104"/>
      <c r="AI269" s="1172"/>
      <c r="AJ269" s="1172"/>
      <c r="AK269" s="1172"/>
      <c r="AL269" s="1173"/>
      <c r="AM269" s="1174"/>
      <c r="AN269" s="1175"/>
      <c r="AO269" s="1176"/>
      <c r="AP269" s="1177"/>
      <c r="AQ269" s="1547"/>
      <c r="AR269" s="1177"/>
      <c r="AS269" s="1548"/>
      <c r="AT269" s="1549"/>
      <c r="AU269" s="1178"/>
      <c r="AV269" s="1179"/>
      <c r="AY269" s="3">
        <v>1</v>
      </c>
    </row>
    <row r="270" spans="2:51" ht="18.75">
      <c r="B270" s="104"/>
      <c r="C270" s="1172"/>
      <c r="D270" s="1172"/>
      <c r="E270" s="1172"/>
      <c r="F270" s="1173"/>
      <c r="G270" s="1174"/>
      <c r="H270" s="1175"/>
      <c r="I270" s="1176"/>
      <c r="J270" s="1177"/>
      <c r="K270" s="1547"/>
      <c r="L270" s="1177"/>
      <c r="M270" s="1548"/>
      <c r="N270" s="1549"/>
      <c r="O270" s="1178"/>
      <c r="P270" s="1179"/>
      <c r="R270" s="104"/>
      <c r="S270" s="1172"/>
      <c r="T270" s="1172"/>
      <c r="U270" s="1172"/>
      <c r="V270" s="1173"/>
      <c r="W270" s="1174"/>
      <c r="X270" s="1175"/>
      <c r="Y270" s="1176"/>
      <c r="Z270" s="1177"/>
      <c r="AA270" s="1547"/>
      <c r="AB270" s="1177"/>
      <c r="AC270" s="1548"/>
      <c r="AD270" s="1549"/>
      <c r="AE270" s="1178"/>
      <c r="AF270" s="1179"/>
      <c r="AH270" s="104"/>
      <c r="AI270" s="1172"/>
      <c r="AJ270" s="1172"/>
      <c r="AK270" s="1172"/>
      <c r="AL270" s="1173"/>
      <c r="AM270" s="1174"/>
      <c r="AN270" s="1175"/>
      <c r="AO270" s="1176"/>
      <c r="AP270" s="1177"/>
      <c r="AQ270" s="1547"/>
      <c r="AR270" s="1177"/>
      <c r="AS270" s="1548"/>
      <c r="AT270" s="1549"/>
      <c r="AU270" s="1178"/>
      <c r="AV270" s="1179"/>
      <c r="AY270" s="3">
        <v>1</v>
      </c>
    </row>
    <row r="271" spans="2:51" ht="18.75">
      <c r="B271" s="104"/>
      <c r="C271" s="1172"/>
      <c r="D271" s="1172"/>
      <c r="E271" s="1172"/>
      <c r="F271" s="1173"/>
      <c r="G271" s="1174"/>
      <c r="H271" s="1175"/>
      <c r="I271" s="1176"/>
      <c r="J271" s="1177"/>
      <c r="K271" s="1547"/>
      <c r="L271" s="1177"/>
      <c r="M271" s="1548"/>
      <c r="N271" s="1549"/>
      <c r="O271" s="1178"/>
      <c r="P271" s="1179"/>
      <c r="R271" s="104"/>
      <c r="S271" s="1172"/>
      <c r="T271" s="1172"/>
      <c r="U271" s="1172"/>
      <c r="V271" s="1173"/>
      <c r="W271" s="1174"/>
      <c r="X271" s="1175"/>
      <c r="Y271" s="1176"/>
      <c r="Z271" s="1177"/>
      <c r="AA271" s="1547"/>
      <c r="AB271" s="1177"/>
      <c r="AC271" s="1548"/>
      <c r="AD271" s="1549"/>
      <c r="AE271" s="1178"/>
      <c r="AF271" s="1179"/>
      <c r="AH271" s="104"/>
      <c r="AI271" s="1172"/>
      <c r="AJ271" s="1172"/>
      <c r="AK271" s="1172"/>
      <c r="AL271" s="1173"/>
      <c r="AM271" s="1174"/>
      <c r="AN271" s="1175"/>
      <c r="AO271" s="1176"/>
      <c r="AP271" s="1177"/>
      <c r="AQ271" s="1547"/>
      <c r="AR271" s="1177"/>
      <c r="AS271" s="1548"/>
      <c r="AT271" s="1549"/>
      <c r="AU271" s="1178"/>
      <c r="AV271" s="1179"/>
      <c r="AY271" s="3">
        <v>1</v>
      </c>
    </row>
    <row r="272" spans="2:51" ht="18.75">
      <c r="B272" s="104"/>
      <c r="C272" s="1172"/>
      <c r="D272" s="1172"/>
      <c r="E272" s="1172"/>
      <c r="F272" s="1173"/>
      <c r="G272" s="1174"/>
      <c r="H272" s="1175"/>
      <c r="I272" s="1176"/>
      <c r="J272" s="1177"/>
      <c r="K272" s="1547"/>
      <c r="L272" s="1177"/>
      <c r="M272" s="1548"/>
      <c r="N272" s="1549"/>
      <c r="O272" s="1178"/>
      <c r="P272" s="1179"/>
      <c r="R272" s="104"/>
      <c r="S272" s="1172"/>
      <c r="T272" s="1172"/>
      <c r="U272" s="1172"/>
      <c r="V272" s="1173"/>
      <c r="W272" s="1174"/>
      <c r="X272" s="1175"/>
      <c r="Y272" s="1176"/>
      <c r="Z272" s="1177"/>
      <c r="AA272" s="1547"/>
      <c r="AB272" s="1177"/>
      <c r="AC272" s="1548"/>
      <c r="AD272" s="1549"/>
      <c r="AE272" s="1178"/>
      <c r="AF272" s="1179"/>
      <c r="AH272" s="104"/>
      <c r="AI272" s="1172"/>
      <c r="AJ272" s="1172"/>
      <c r="AK272" s="1172"/>
      <c r="AL272" s="1173"/>
      <c r="AM272" s="1174"/>
      <c r="AN272" s="1175"/>
      <c r="AO272" s="1176"/>
      <c r="AP272" s="1177"/>
      <c r="AQ272" s="1547"/>
      <c r="AR272" s="1177"/>
      <c r="AS272" s="1548"/>
      <c r="AT272" s="1549"/>
      <c r="AU272" s="1178"/>
      <c r="AV272" s="1179"/>
      <c r="AY272" s="3">
        <v>1</v>
      </c>
    </row>
    <row r="273" spans="2:51" ht="18.75">
      <c r="B273" s="104"/>
      <c r="C273" s="1172"/>
      <c r="D273" s="1172"/>
      <c r="E273" s="1172"/>
      <c r="F273" s="1173"/>
      <c r="G273" s="1174"/>
      <c r="H273" s="1175"/>
      <c r="I273" s="1176"/>
      <c r="J273" s="1177"/>
      <c r="K273" s="1547"/>
      <c r="L273" s="1177"/>
      <c r="M273" s="1548"/>
      <c r="N273" s="1549"/>
      <c r="O273" s="1178"/>
      <c r="P273" s="1179"/>
      <c r="R273" s="104"/>
      <c r="S273" s="1172"/>
      <c r="T273" s="1172"/>
      <c r="U273" s="1172"/>
      <c r="V273" s="1173"/>
      <c r="W273" s="1174"/>
      <c r="X273" s="1175"/>
      <c r="Y273" s="1176"/>
      <c r="Z273" s="1177"/>
      <c r="AA273" s="1547"/>
      <c r="AB273" s="1177"/>
      <c r="AC273" s="1548"/>
      <c r="AD273" s="1549"/>
      <c r="AE273" s="1178"/>
      <c r="AF273" s="1179"/>
      <c r="AH273" s="104"/>
      <c r="AI273" s="1172"/>
      <c r="AJ273" s="1172"/>
      <c r="AK273" s="1172"/>
      <c r="AL273" s="1173"/>
      <c r="AM273" s="1174"/>
      <c r="AN273" s="1175"/>
      <c r="AO273" s="1176"/>
      <c r="AP273" s="1177"/>
      <c r="AQ273" s="1547"/>
      <c r="AR273" s="1177"/>
      <c r="AS273" s="1548"/>
      <c r="AT273" s="1549"/>
      <c r="AU273" s="1178"/>
      <c r="AV273" s="1179"/>
      <c r="AY273" s="3">
        <v>1</v>
      </c>
    </row>
    <row r="274" spans="2:51" ht="18.75">
      <c r="B274" s="104"/>
      <c r="C274" s="1172"/>
      <c r="D274" s="1172"/>
      <c r="E274" s="1172"/>
      <c r="F274" s="1173"/>
      <c r="G274" s="1174"/>
      <c r="H274" s="1175"/>
      <c r="I274" s="1176"/>
      <c r="J274" s="1177"/>
      <c r="K274" s="1547"/>
      <c r="L274" s="1177"/>
      <c r="M274" s="1548"/>
      <c r="N274" s="1549"/>
      <c r="O274" s="1178"/>
      <c r="P274" s="1179"/>
      <c r="R274" s="104"/>
      <c r="S274" s="1172"/>
      <c r="T274" s="1172"/>
      <c r="U274" s="1172"/>
      <c r="V274" s="1173"/>
      <c r="W274" s="1174"/>
      <c r="X274" s="1175"/>
      <c r="Y274" s="1176"/>
      <c r="Z274" s="1177"/>
      <c r="AA274" s="1547"/>
      <c r="AB274" s="1177"/>
      <c r="AC274" s="1548"/>
      <c r="AD274" s="1549"/>
      <c r="AE274" s="1178"/>
      <c r="AF274" s="1179"/>
      <c r="AH274" s="104"/>
      <c r="AI274" s="1172"/>
      <c r="AJ274" s="1172"/>
      <c r="AK274" s="1172"/>
      <c r="AL274" s="1173"/>
      <c r="AM274" s="1174"/>
      <c r="AN274" s="1175"/>
      <c r="AO274" s="1176"/>
      <c r="AP274" s="1177"/>
      <c r="AQ274" s="1547"/>
      <c r="AR274" s="1177"/>
      <c r="AS274" s="1548"/>
      <c r="AT274" s="1549"/>
      <c r="AU274" s="1178"/>
      <c r="AV274" s="1179"/>
      <c r="AY274" s="3">
        <v>1</v>
      </c>
    </row>
    <row r="275" spans="2:51" ht="18.75">
      <c r="B275" s="104"/>
      <c r="C275" s="1172"/>
      <c r="D275" s="1172"/>
      <c r="E275" s="1172"/>
      <c r="F275" s="1173"/>
      <c r="G275" s="1174"/>
      <c r="H275" s="1175"/>
      <c r="I275" s="1176"/>
      <c r="J275" s="1177"/>
      <c r="K275" s="1547"/>
      <c r="L275" s="1177"/>
      <c r="M275" s="1548"/>
      <c r="N275" s="1549"/>
      <c r="O275" s="1178"/>
      <c r="P275" s="1179"/>
      <c r="R275" s="104"/>
      <c r="S275" s="1172"/>
      <c r="T275" s="1172"/>
      <c r="U275" s="1172"/>
      <c r="V275" s="1173"/>
      <c r="W275" s="1174"/>
      <c r="X275" s="1175"/>
      <c r="Y275" s="1176"/>
      <c r="Z275" s="1177"/>
      <c r="AA275" s="1547"/>
      <c r="AB275" s="1177"/>
      <c r="AC275" s="1548"/>
      <c r="AD275" s="1549"/>
      <c r="AE275" s="1178"/>
      <c r="AF275" s="1179"/>
      <c r="AH275" s="104"/>
      <c r="AI275" s="1172"/>
      <c r="AJ275" s="1172"/>
      <c r="AK275" s="1172"/>
      <c r="AL275" s="1173"/>
      <c r="AM275" s="1174"/>
      <c r="AN275" s="1175"/>
      <c r="AO275" s="1176"/>
      <c r="AP275" s="1177"/>
      <c r="AQ275" s="1547"/>
      <c r="AR275" s="1177"/>
      <c r="AS275" s="1548"/>
      <c r="AT275" s="1549"/>
      <c r="AU275" s="1178"/>
      <c r="AV275" s="1179"/>
      <c r="AY275" s="3">
        <v>1</v>
      </c>
    </row>
    <row r="276" spans="2:51" ht="18.75">
      <c r="B276" s="104"/>
      <c r="C276" s="1172"/>
      <c r="D276" s="1172"/>
      <c r="E276" s="1172"/>
      <c r="F276" s="1173"/>
      <c r="G276" s="1174"/>
      <c r="H276" s="1175"/>
      <c r="I276" s="1176"/>
      <c r="J276" s="1177"/>
      <c r="K276" s="1547"/>
      <c r="L276" s="1177"/>
      <c r="M276" s="1548"/>
      <c r="N276" s="1549"/>
      <c r="O276" s="1178"/>
      <c r="P276" s="1179"/>
      <c r="R276" s="104"/>
      <c r="S276" s="1172"/>
      <c r="T276" s="1172"/>
      <c r="U276" s="1172"/>
      <c r="V276" s="1173"/>
      <c r="W276" s="1174"/>
      <c r="X276" s="1175"/>
      <c r="Y276" s="1176"/>
      <c r="Z276" s="1177"/>
      <c r="AA276" s="1547"/>
      <c r="AB276" s="1177"/>
      <c r="AC276" s="1548"/>
      <c r="AD276" s="1549"/>
      <c r="AE276" s="1178"/>
      <c r="AF276" s="1179"/>
      <c r="AH276" s="104"/>
      <c r="AI276" s="1172"/>
      <c r="AJ276" s="1172"/>
      <c r="AK276" s="1172"/>
      <c r="AL276" s="1173"/>
      <c r="AM276" s="1174"/>
      <c r="AN276" s="1175"/>
      <c r="AO276" s="1176"/>
      <c r="AP276" s="1177"/>
      <c r="AQ276" s="1547"/>
      <c r="AR276" s="1177"/>
      <c r="AS276" s="1548"/>
      <c r="AT276" s="1549"/>
      <c r="AU276" s="1178"/>
      <c r="AV276" s="1179"/>
      <c r="AY276" s="3">
        <v>1</v>
      </c>
    </row>
    <row r="277" spans="2:51" ht="18.75">
      <c r="B277" s="104"/>
      <c r="C277" s="1172"/>
      <c r="D277" s="1172"/>
      <c r="E277" s="1172"/>
      <c r="F277" s="1173"/>
      <c r="G277" s="1174"/>
      <c r="H277" s="1175"/>
      <c r="I277" s="1176"/>
      <c r="J277" s="1177"/>
      <c r="K277" s="1547"/>
      <c r="L277" s="1177"/>
      <c r="M277" s="1548"/>
      <c r="N277" s="1549"/>
      <c r="O277" s="1178"/>
      <c r="P277" s="1179"/>
      <c r="R277" s="104"/>
      <c r="S277" s="1172"/>
      <c r="T277" s="1172"/>
      <c r="U277" s="1172"/>
      <c r="V277" s="1173"/>
      <c r="W277" s="1174"/>
      <c r="X277" s="1175"/>
      <c r="Y277" s="1176"/>
      <c r="Z277" s="1177"/>
      <c r="AA277" s="1547"/>
      <c r="AB277" s="1177"/>
      <c r="AC277" s="1548"/>
      <c r="AD277" s="1549"/>
      <c r="AE277" s="1178"/>
      <c r="AF277" s="1179"/>
      <c r="AH277" s="104"/>
      <c r="AI277" s="1172"/>
      <c r="AJ277" s="1172"/>
      <c r="AK277" s="1172"/>
      <c r="AL277" s="1173"/>
      <c r="AM277" s="1174"/>
      <c r="AN277" s="1175"/>
      <c r="AO277" s="1176"/>
      <c r="AP277" s="1177"/>
      <c r="AQ277" s="1547"/>
      <c r="AR277" s="1177"/>
      <c r="AS277" s="1548"/>
      <c r="AT277" s="1549"/>
      <c r="AU277" s="1178"/>
      <c r="AV277" s="1179"/>
      <c r="AY277" s="3">
        <v>1</v>
      </c>
    </row>
    <row r="278" spans="2:51" ht="18.75">
      <c r="B278" s="104"/>
      <c r="C278" s="1172"/>
      <c r="D278" s="1172"/>
      <c r="E278" s="1172"/>
      <c r="F278" s="1173"/>
      <c r="G278" s="1174"/>
      <c r="H278" s="1175"/>
      <c r="I278" s="1176"/>
      <c r="J278" s="1177"/>
      <c r="K278" s="1547"/>
      <c r="L278" s="1177"/>
      <c r="M278" s="1548"/>
      <c r="N278" s="1549"/>
      <c r="O278" s="1178"/>
      <c r="P278" s="1179"/>
      <c r="R278" s="104"/>
      <c r="S278" s="1172"/>
      <c r="T278" s="1172"/>
      <c r="U278" s="1172"/>
      <c r="V278" s="1173"/>
      <c r="W278" s="1174"/>
      <c r="X278" s="1175"/>
      <c r="Y278" s="1176"/>
      <c r="Z278" s="1177"/>
      <c r="AA278" s="1547"/>
      <c r="AB278" s="1177"/>
      <c r="AC278" s="1548"/>
      <c r="AD278" s="1549"/>
      <c r="AE278" s="1178"/>
      <c r="AF278" s="1179"/>
      <c r="AH278" s="104"/>
      <c r="AI278" s="1172"/>
      <c r="AJ278" s="1172"/>
      <c r="AK278" s="1172"/>
      <c r="AL278" s="1173"/>
      <c r="AM278" s="1174"/>
      <c r="AN278" s="1175"/>
      <c r="AO278" s="1176"/>
      <c r="AP278" s="1177"/>
      <c r="AQ278" s="1547"/>
      <c r="AR278" s="1177"/>
      <c r="AS278" s="1548"/>
      <c r="AT278" s="1549"/>
      <c r="AU278" s="1178"/>
      <c r="AV278" s="1179"/>
      <c r="AY278" s="3">
        <v>1</v>
      </c>
    </row>
    <row r="279" spans="2:51" ht="18.75">
      <c r="B279" s="104"/>
      <c r="C279" s="1172"/>
      <c r="D279" s="1172"/>
      <c r="E279" s="1172"/>
      <c r="F279" s="1173"/>
      <c r="G279" s="1174"/>
      <c r="H279" s="1175"/>
      <c r="I279" s="1176"/>
      <c r="J279" s="1177"/>
      <c r="K279" s="1547"/>
      <c r="L279" s="1177"/>
      <c r="M279" s="1548"/>
      <c r="N279" s="1549"/>
      <c r="O279" s="1178"/>
      <c r="P279" s="1179"/>
      <c r="R279" s="104"/>
      <c r="S279" s="1172"/>
      <c r="T279" s="1172"/>
      <c r="U279" s="1172"/>
      <c r="V279" s="1173"/>
      <c r="W279" s="1174"/>
      <c r="X279" s="1175"/>
      <c r="Y279" s="1176"/>
      <c r="Z279" s="1177"/>
      <c r="AA279" s="1547"/>
      <c r="AB279" s="1177"/>
      <c r="AC279" s="1548"/>
      <c r="AD279" s="1549"/>
      <c r="AE279" s="1178"/>
      <c r="AF279" s="1179"/>
      <c r="AH279" s="104"/>
      <c r="AI279" s="1172"/>
      <c r="AJ279" s="1172"/>
      <c r="AK279" s="1172"/>
      <c r="AL279" s="1173"/>
      <c r="AM279" s="1174"/>
      <c r="AN279" s="1175"/>
      <c r="AO279" s="1176"/>
      <c r="AP279" s="1177"/>
      <c r="AQ279" s="1547"/>
      <c r="AR279" s="1177"/>
      <c r="AS279" s="1548"/>
      <c r="AT279" s="1549"/>
      <c r="AU279" s="1178"/>
      <c r="AV279" s="1179"/>
      <c r="AY279" s="3">
        <v>1</v>
      </c>
    </row>
    <row r="280" spans="2:51" ht="18.75">
      <c r="B280" s="104"/>
      <c r="C280" s="1172"/>
      <c r="D280" s="1172"/>
      <c r="E280" s="1172"/>
      <c r="F280" s="1173"/>
      <c r="G280" s="1174"/>
      <c r="H280" s="1175"/>
      <c r="I280" s="1176"/>
      <c r="J280" s="1177"/>
      <c r="K280" s="1547"/>
      <c r="L280" s="1177"/>
      <c r="M280" s="1548"/>
      <c r="N280" s="1549"/>
      <c r="O280" s="1178"/>
      <c r="P280" s="1179"/>
      <c r="R280" s="104"/>
      <c r="S280" s="1172"/>
      <c r="T280" s="1172"/>
      <c r="U280" s="1172"/>
      <c r="V280" s="1173"/>
      <c r="W280" s="1174"/>
      <c r="X280" s="1175"/>
      <c r="Y280" s="1176"/>
      <c r="Z280" s="1177"/>
      <c r="AA280" s="1547"/>
      <c r="AB280" s="1177"/>
      <c r="AC280" s="1548"/>
      <c r="AD280" s="1549"/>
      <c r="AE280" s="1178"/>
      <c r="AF280" s="1179"/>
      <c r="AH280" s="104"/>
      <c r="AI280" s="1172"/>
      <c r="AJ280" s="1172"/>
      <c r="AK280" s="1172"/>
      <c r="AL280" s="1173"/>
      <c r="AM280" s="1174"/>
      <c r="AN280" s="1175"/>
      <c r="AO280" s="1176"/>
      <c r="AP280" s="1177"/>
      <c r="AQ280" s="1547"/>
      <c r="AR280" s="1177"/>
      <c r="AS280" s="1548"/>
      <c r="AT280" s="1549"/>
      <c r="AU280" s="1178"/>
      <c r="AV280" s="1179"/>
      <c r="AY280" s="3">
        <v>1</v>
      </c>
    </row>
    <row r="281" spans="2:51" ht="18.75">
      <c r="B281" s="104"/>
      <c r="C281" s="1172"/>
      <c r="D281" s="1172"/>
      <c r="E281" s="1172"/>
      <c r="F281" s="1173"/>
      <c r="G281" s="1174"/>
      <c r="H281" s="1175"/>
      <c r="I281" s="1176"/>
      <c r="J281" s="1177"/>
      <c r="K281" s="1547"/>
      <c r="L281" s="1177"/>
      <c r="M281" s="1548"/>
      <c r="N281" s="1549"/>
      <c r="O281" s="1178"/>
      <c r="P281" s="1179"/>
      <c r="R281" s="104"/>
      <c r="S281" s="1172"/>
      <c r="T281" s="1172"/>
      <c r="U281" s="1172"/>
      <c r="V281" s="1173"/>
      <c r="W281" s="1174"/>
      <c r="X281" s="1175"/>
      <c r="Y281" s="1176"/>
      <c r="Z281" s="1177"/>
      <c r="AA281" s="1547"/>
      <c r="AB281" s="1177"/>
      <c r="AC281" s="1548"/>
      <c r="AD281" s="1549"/>
      <c r="AE281" s="1178"/>
      <c r="AF281" s="1179"/>
      <c r="AH281" s="104"/>
      <c r="AI281" s="1172"/>
      <c r="AJ281" s="1172"/>
      <c r="AK281" s="1172"/>
      <c r="AL281" s="1173"/>
      <c r="AM281" s="1174"/>
      <c r="AN281" s="1175"/>
      <c r="AO281" s="1176"/>
      <c r="AP281" s="1177"/>
      <c r="AQ281" s="1547"/>
      <c r="AR281" s="1177"/>
      <c r="AS281" s="1548"/>
      <c r="AT281" s="1549"/>
      <c r="AU281" s="1178"/>
      <c r="AV281" s="1179"/>
      <c r="AY281" s="3">
        <v>1</v>
      </c>
    </row>
    <row r="282" spans="2:51" ht="18.75">
      <c r="B282" s="104"/>
      <c r="C282" s="1172"/>
      <c r="D282" s="1172"/>
      <c r="E282" s="1172"/>
      <c r="F282" s="1173"/>
      <c r="G282" s="1174"/>
      <c r="H282" s="1175"/>
      <c r="I282" s="1176"/>
      <c r="J282" s="1177"/>
      <c r="K282" s="1547"/>
      <c r="L282" s="1177"/>
      <c r="M282" s="1548"/>
      <c r="N282" s="1549"/>
      <c r="O282" s="1178"/>
      <c r="P282" s="1179"/>
      <c r="R282" s="104"/>
      <c r="S282" s="1172"/>
      <c r="T282" s="1172"/>
      <c r="U282" s="1172"/>
      <c r="V282" s="1173"/>
      <c r="W282" s="1174"/>
      <c r="X282" s="1175"/>
      <c r="Y282" s="1176"/>
      <c r="Z282" s="1177"/>
      <c r="AA282" s="1547"/>
      <c r="AB282" s="1177"/>
      <c r="AC282" s="1548"/>
      <c r="AD282" s="1549"/>
      <c r="AE282" s="1178"/>
      <c r="AF282" s="1179"/>
      <c r="AH282" s="104"/>
      <c r="AI282" s="1172"/>
      <c r="AJ282" s="1172"/>
      <c r="AK282" s="1172"/>
      <c r="AL282" s="1173"/>
      <c r="AM282" s="1174"/>
      <c r="AN282" s="1175"/>
      <c r="AO282" s="1176"/>
      <c r="AP282" s="1177"/>
      <c r="AQ282" s="1547"/>
      <c r="AR282" s="1177"/>
      <c r="AS282" s="1548"/>
      <c r="AT282" s="1549"/>
      <c r="AU282" s="1178"/>
      <c r="AV282" s="1179"/>
      <c r="AY282" s="3">
        <v>1</v>
      </c>
    </row>
    <row r="283" spans="2:51" ht="18.75">
      <c r="B283" s="104"/>
      <c r="C283" s="1172"/>
      <c r="D283" s="1172"/>
      <c r="E283" s="1172"/>
      <c r="F283" s="1173"/>
      <c r="G283" s="1174"/>
      <c r="H283" s="1175"/>
      <c r="I283" s="1176"/>
      <c r="J283" s="1177"/>
      <c r="K283" s="1547"/>
      <c r="L283" s="1177"/>
      <c r="M283" s="1548"/>
      <c r="N283" s="1549"/>
      <c r="O283" s="1178"/>
      <c r="P283" s="1179"/>
      <c r="R283" s="104"/>
      <c r="S283" s="1172"/>
      <c r="T283" s="1172"/>
      <c r="U283" s="1172"/>
      <c r="V283" s="1173"/>
      <c r="W283" s="1174"/>
      <c r="X283" s="1175"/>
      <c r="Y283" s="1176"/>
      <c r="Z283" s="1177"/>
      <c r="AA283" s="1547"/>
      <c r="AB283" s="1177"/>
      <c r="AC283" s="1548"/>
      <c r="AD283" s="1549"/>
      <c r="AE283" s="1178"/>
      <c r="AF283" s="1179"/>
      <c r="AH283" s="104"/>
      <c r="AI283" s="1172"/>
      <c r="AJ283" s="1172"/>
      <c r="AK283" s="1172"/>
      <c r="AL283" s="1173"/>
      <c r="AM283" s="1174"/>
      <c r="AN283" s="1175"/>
      <c r="AO283" s="1176"/>
      <c r="AP283" s="1177"/>
      <c r="AQ283" s="1547"/>
      <c r="AR283" s="1177"/>
      <c r="AS283" s="1548"/>
      <c r="AT283" s="1549"/>
      <c r="AU283" s="1178"/>
      <c r="AV283" s="1179"/>
      <c r="AY283" s="3">
        <v>1</v>
      </c>
    </row>
    <row r="284" spans="2:51" ht="18.75">
      <c r="B284" s="104"/>
      <c r="C284" s="1172"/>
      <c r="D284" s="1172"/>
      <c r="E284" s="1172"/>
      <c r="F284" s="1173"/>
      <c r="G284" s="1174"/>
      <c r="H284" s="1175"/>
      <c r="I284" s="1176"/>
      <c r="J284" s="1177"/>
      <c r="K284" s="1547"/>
      <c r="L284" s="1177"/>
      <c r="M284" s="1548"/>
      <c r="N284" s="1549"/>
      <c r="O284" s="1178"/>
      <c r="P284" s="1179"/>
      <c r="R284" s="104"/>
      <c r="S284" s="1172"/>
      <c r="T284" s="1172"/>
      <c r="U284" s="1172"/>
      <c r="V284" s="1173"/>
      <c r="W284" s="1174"/>
      <c r="X284" s="1175"/>
      <c r="Y284" s="1176"/>
      <c r="Z284" s="1177"/>
      <c r="AA284" s="1547"/>
      <c r="AB284" s="1177"/>
      <c r="AC284" s="1548"/>
      <c r="AD284" s="1549"/>
      <c r="AE284" s="1178"/>
      <c r="AF284" s="1179"/>
      <c r="AH284" s="104"/>
      <c r="AI284" s="1172"/>
      <c r="AJ284" s="1172"/>
      <c r="AK284" s="1172"/>
      <c r="AL284" s="1173"/>
      <c r="AM284" s="1174"/>
      <c r="AN284" s="1175"/>
      <c r="AO284" s="1176"/>
      <c r="AP284" s="1177"/>
      <c r="AQ284" s="1547"/>
      <c r="AR284" s="1177"/>
      <c r="AS284" s="1548"/>
      <c r="AT284" s="1549"/>
      <c r="AU284" s="1178"/>
      <c r="AV284" s="1179"/>
      <c r="AY284" s="3">
        <v>1</v>
      </c>
    </row>
    <row r="285" spans="2:51" ht="18.75">
      <c r="B285" s="104"/>
      <c r="C285" s="1172"/>
      <c r="D285" s="1172"/>
      <c r="E285" s="1172"/>
      <c r="F285" s="1173"/>
      <c r="G285" s="1174"/>
      <c r="H285" s="1175"/>
      <c r="I285" s="1176"/>
      <c r="J285" s="1177"/>
      <c r="K285" s="1547"/>
      <c r="L285" s="1177"/>
      <c r="M285" s="1548"/>
      <c r="N285" s="1549"/>
      <c r="O285" s="1178"/>
      <c r="P285" s="1179"/>
      <c r="R285" s="104"/>
      <c r="S285" s="1172"/>
      <c r="T285" s="1172"/>
      <c r="U285" s="1172"/>
      <c r="V285" s="1173"/>
      <c r="W285" s="1174"/>
      <c r="X285" s="1175"/>
      <c r="Y285" s="1176"/>
      <c r="Z285" s="1177"/>
      <c r="AA285" s="1547"/>
      <c r="AB285" s="1177"/>
      <c r="AC285" s="1548"/>
      <c r="AD285" s="1549"/>
      <c r="AE285" s="1178"/>
      <c r="AF285" s="1179"/>
      <c r="AH285" s="104"/>
      <c r="AI285" s="1172"/>
      <c r="AJ285" s="1172"/>
      <c r="AK285" s="1172"/>
      <c r="AL285" s="1173"/>
      <c r="AM285" s="1174"/>
      <c r="AN285" s="1175"/>
      <c r="AO285" s="1176"/>
      <c r="AP285" s="1177"/>
      <c r="AQ285" s="1547"/>
      <c r="AR285" s="1177"/>
      <c r="AS285" s="1548"/>
      <c r="AT285" s="1549"/>
      <c r="AU285" s="1178"/>
      <c r="AV285" s="1179"/>
      <c r="AY285" s="3">
        <v>1</v>
      </c>
    </row>
    <row r="286" spans="2:51" ht="18.75">
      <c r="B286" s="104"/>
      <c r="C286" s="1172"/>
      <c r="D286" s="1172"/>
      <c r="E286" s="1172"/>
      <c r="F286" s="1173"/>
      <c r="G286" s="1174"/>
      <c r="H286" s="1175"/>
      <c r="I286" s="1176"/>
      <c r="J286" s="1177"/>
      <c r="K286" s="1547"/>
      <c r="L286" s="1177"/>
      <c r="M286" s="1548"/>
      <c r="N286" s="1549"/>
      <c r="O286" s="1178"/>
      <c r="P286" s="1179"/>
      <c r="R286" s="104"/>
      <c r="S286" s="1172"/>
      <c r="T286" s="1172"/>
      <c r="U286" s="1172"/>
      <c r="V286" s="1173"/>
      <c r="W286" s="1174"/>
      <c r="X286" s="1175"/>
      <c r="Y286" s="1176"/>
      <c r="Z286" s="1177"/>
      <c r="AA286" s="1547"/>
      <c r="AB286" s="1177"/>
      <c r="AC286" s="1548"/>
      <c r="AD286" s="1549"/>
      <c r="AE286" s="1178"/>
      <c r="AF286" s="1179"/>
      <c r="AH286" s="104"/>
      <c r="AI286" s="1172"/>
      <c r="AJ286" s="1172"/>
      <c r="AK286" s="1172"/>
      <c r="AL286" s="1173"/>
      <c r="AM286" s="1174"/>
      <c r="AN286" s="1175"/>
      <c r="AO286" s="1176"/>
      <c r="AP286" s="1177"/>
      <c r="AQ286" s="1547"/>
      <c r="AR286" s="1177"/>
      <c r="AS286" s="1548"/>
      <c r="AT286" s="1549"/>
      <c r="AU286" s="1178"/>
      <c r="AV286" s="1179"/>
      <c r="AY286" s="3">
        <v>1</v>
      </c>
    </row>
    <row r="287" spans="2:51" ht="18.75">
      <c r="B287" s="104"/>
      <c r="C287" s="1172"/>
      <c r="D287" s="1172"/>
      <c r="E287" s="1172"/>
      <c r="F287" s="1173"/>
      <c r="G287" s="1174"/>
      <c r="H287" s="1175"/>
      <c r="I287" s="1176"/>
      <c r="J287" s="1177"/>
      <c r="K287" s="1547"/>
      <c r="L287" s="1177"/>
      <c r="M287" s="1548"/>
      <c r="N287" s="1549"/>
      <c r="O287" s="1178"/>
      <c r="P287" s="1179"/>
      <c r="R287" s="104"/>
      <c r="S287" s="1172"/>
      <c r="T287" s="1172"/>
      <c r="U287" s="1172"/>
      <c r="V287" s="1173"/>
      <c r="W287" s="1174"/>
      <c r="X287" s="1175"/>
      <c r="Y287" s="1176"/>
      <c r="Z287" s="1177"/>
      <c r="AA287" s="1547"/>
      <c r="AB287" s="1177"/>
      <c r="AC287" s="1548"/>
      <c r="AD287" s="1549"/>
      <c r="AE287" s="1178"/>
      <c r="AF287" s="1179"/>
      <c r="AH287" s="104"/>
      <c r="AI287" s="1172"/>
      <c r="AJ287" s="1172"/>
      <c r="AK287" s="1172"/>
      <c r="AL287" s="1173"/>
      <c r="AM287" s="1174"/>
      <c r="AN287" s="1175"/>
      <c r="AO287" s="1176"/>
      <c r="AP287" s="1177"/>
      <c r="AQ287" s="1547"/>
      <c r="AR287" s="1177"/>
      <c r="AS287" s="1548"/>
      <c r="AT287" s="1549"/>
      <c r="AU287" s="1178"/>
      <c r="AV287" s="1179"/>
      <c r="AY287" s="3">
        <v>1</v>
      </c>
    </row>
    <row r="288" spans="2:51" ht="18.75">
      <c r="B288" s="104"/>
      <c r="C288" s="1172"/>
      <c r="D288" s="1172"/>
      <c r="E288" s="1172"/>
      <c r="F288" s="1173"/>
      <c r="G288" s="1174"/>
      <c r="H288" s="1175"/>
      <c r="I288" s="1176"/>
      <c r="J288" s="1177"/>
      <c r="K288" s="1547"/>
      <c r="L288" s="1177"/>
      <c r="M288" s="1548"/>
      <c r="N288" s="1549"/>
      <c r="O288" s="1178"/>
      <c r="P288" s="1179"/>
      <c r="R288" s="104"/>
      <c r="S288" s="1172"/>
      <c r="T288" s="1172"/>
      <c r="U288" s="1172"/>
      <c r="V288" s="1173"/>
      <c r="W288" s="1174"/>
      <c r="X288" s="1175"/>
      <c r="Y288" s="1176"/>
      <c r="Z288" s="1177"/>
      <c r="AA288" s="1547"/>
      <c r="AB288" s="1177"/>
      <c r="AC288" s="1548"/>
      <c r="AD288" s="1549"/>
      <c r="AE288" s="1178"/>
      <c r="AF288" s="1179"/>
      <c r="AH288" s="104"/>
      <c r="AI288" s="1172"/>
      <c r="AJ288" s="1172"/>
      <c r="AK288" s="1172"/>
      <c r="AL288" s="1173"/>
      <c r="AM288" s="1174"/>
      <c r="AN288" s="1175"/>
      <c r="AO288" s="1176"/>
      <c r="AP288" s="1177"/>
      <c r="AQ288" s="1547"/>
      <c r="AR288" s="1177"/>
      <c r="AS288" s="1548"/>
      <c r="AT288" s="1549"/>
      <c r="AU288" s="1178"/>
      <c r="AV288" s="1179"/>
      <c r="AY288" s="3">
        <v>1</v>
      </c>
    </row>
    <row r="289" spans="2:51" ht="18.75">
      <c r="B289" s="104"/>
      <c r="C289" s="1172"/>
      <c r="D289" s="1172"/>
      <c r="E289" s="1172"/>
      <c r="F289" s="1173"/>
      <c r="G289" s="1174"/>
      <c r="H289" s="1175"/>
      <c r="I289" s="1176"/>
      <c r="J289" s="1177"/>
      <c r="K289" s="1547"/>
      <c r="L289" s="1177"/>
      <c r="M289" s="1548"/>
      <c r="N289" s="1549"/>
      <c r="O289" s="1178"/>
      <c r="P289" s="1179"/>
      <c r="R289" s="104"/>
      <c r="S289" s="1172"/>
      <c r="T289" s="1172"/>
      <c r="U289" s="1172"/>
      <c r="V289" s="1173"/>
      <c r="W289" s="1174"/>
      <c r="X289" s="1175"/>
      <c r="Y289" s="1176"/>
      <c r="Z289" s="1177"/>
      <c r="AA289" s="1547"/>
      <c r="AB289" s="1177"/>
      <c r="AC289" s="1548"/>
      <c r="AD289" s="1549"/>
      <c r="AE289" s="1178"/>
      <c r="AF289" s="1179"/>
      <c r="AH289" s="104"/>
      <c r="AI289" s="1172"/>
      <c r="AJ289" s="1172"/>
      <c r="AK289" s="1172"/>
      <c r="AL289" s="1173"/>
      <c r="AM289" s="1174"/>
      <c r="AN289" s="1175"/>
      <c r="AO289" s="1176"/>
      <c r="AP289" s="1177"/>
      <c r="AQ289" s="1547"/>
      <c r="AR289" s="1177"/>
      <c r="AS289" s="1548"/>
      <c r="AT289" s="1549"/>
      <c r="AU289" s="1178"/>
      <c r="AV289" s="1179"/>
      <c r="AY289" s="3">
        <v>1</v>
      </c>
    </row>
    <row r="290" spans="2:51" ht="18.75">
      <c r="B290" s="104"/>
      <c r="C290" s="1172"/>
      <c r="D290" s="1172"/>
      <c r="E290" s="1172"/>
      <c r="F290" s="1173"/>
      <c r="G290" s="1174"/>
      <c r="H290" s="1175"/>
      <c r="I290" s="1176"/>
      <c r="J290" s="1177"/>
      <c r="K290" s="1547"/>
      <c r="L290" s="1177"/>
      <c r="M290" s="1548"/>
      <c r="N290" s="1549"/>
      <c r="O290" s="1178"/>
      <c r="P290" s="1179"/>
      <c r="R290" s="104"/>
      <c r="S290" s="1172"/>
      <c r="T290" s="1172"/>
      <c r="U290" s="1172"/>
      <c r="V290" s="1173"/>
      <c r="W290" s="1174"/>
      <c r="X290" s="1175"/>
      <c r="Y290" s="1176"/>
      <c r="Z290" s="1177"/>
      <c r="AA290" s="1547"/>
      <c r="AB290" s="1177"/>
      <c r="AC290" s="1548"/>
      <c r="AD290" s="1549"/>
      <c r="AE290" s="1178"/>
      <c r="AF290" s="1179"/>
      <c r="AH290" s="104"/>
      <c r="AI290" s="1172"/>
      <c r="AJ290" s="1172"/>
      <c r="AK290" s="1172"/>
      <c r="AL290" s="1173"/>
      <c r="AM290" s="1174"/>
      <c r="AN290" s="1175"/>
      <c r="AO290" s="1176"/>
      <c r="AP290" s="1177"/>
      <c r="AQ290" s="1547"/>
      <c r="AR290" s="1177"/>
      <c r="AS290" s="1548"/>
      <c r="AT290" s="1549"/>
      <c r="AU290" s="1178"/>
      <c r="AV290" s="1179"/>
      <c r="AY290" s="3">
        <v>1</v>
      </c>
    </row>
    <row r="291" spans="2:51" ht="18.75">
      <c r="B291" s="104"/>
      <c r="C291" s="1172"/>
      <c r="D291" s="1172"/>
      <c r="E291" s="1172"/>
      <c r="F291" s="1173"/>
      <c r="G291" s="1174"/>
      <c r="H291" s="1175"/>
      <c r="I291" s="1176"/>
      <c r="J291" s="1177"/>
      <c r="K291" s="1547"/>
      <c r="L291" s="1177"/>
      <c r="M291" s="1548"/>
      <c r="N291" s="1549"/>
      <c r="O291" s="1178"/>
      <c r="P291" s="1179"/>
      <c r="R291" s="104"/>
      <c r="S291" s="1172"/>
      <c r="T291" s="1172"/>
      <c r="U291" s="1172"/>
      <c r="V291" s="1173"/>
      <c r="W291" s="1174"/>
      <c r="X291" s="1175"/>
      <c r="Y291" s="1176"/>
      <c r="Z291" s="1177"/>
      <c r="AA291" s="1547"/>
      <c r="AB291" s="1177"/>
      <c r="AC291" s="1548"/>
      <c r="AD291" s="1549"/>
      <c r="AE291" s="1178"/>
      <c r="AF291" s="1179"/>
      <c r="AH291" s="104"/>
      <c r="AI291" s="1172"/>
      <c r="AJ291" s="1172"/>
      <c r="AK291" s="1172"/>
      <c r="AL291" s="1173"/>
      <c r="AM291" s="1174"/>
      <c r="AN291" s="1175"/>
      <c r="AO291" s="1176"/>
      <c r="AP291" s="1177"/>
      <c r="AQ291" s="1547"/>
      <c r="AR291" s="1177"/>
      <c r="AS291" s="1548"/>
      <c r="AT291" s="1549"/>
      <c r="AU291" s="1178"/>
      <c r="AV291" s="1179"/>
      <c r="AY291" s="3">
        <v>1</v>
      </c>
    </row>
    <row r="292" spans="2:51" ht="18.75">
      <c r="B292" s="104"/>
      <c r="C292" s="1172"/>
      <c r="D292" s="1172"/>
      <c r="E292" s="1172"/>
      <c r="F292" s="1173"/>
      <c r="G292" s="1174"/>
      <c r="H292" s="1175"/>
      <c r="I292" s="1176"/>
      <c r="J292" s="1177"/>
      <c r="K292" s="1547"/>
      <c r="L292" s="1177"/>
      <c r="M292" s="1548"/>
      <c r="N292" s="1549"/>
      <c r="O292" s="1178"/>
      <c r="P292" s="1179"/>
      <c r="R292" s="104"/>
      <c r="S292" s="1172"/>
      <c r="T292" s="1172"/>
      <c r="U292" s="1172"/>
      <c r="V292" s="1173"/>
      <c r="W292" s="1174"/>
      <c r="X292" s="1175"/>
      <c r="Y292" s="1176"/>
      <c r="Z292" s="1177"/>
      <c r="AA292" s="1547"/>
      <c r="AB292" s="1177"/>
      <c r="AC292" s="1548"/>
      <c r="AD292" s="1549"/>
      <c r="AE292" s="1178"/>
      <c r="AF292" s="1179"/>
      <c r="AH292" s="104"/>
      <c r="AI292" s="1172"/>
      <c r="AJ292" s="1172"/>
      <c r="AK292" s="1172"/>
      <c r="AL292" s="1173"/>
      <c r="AM292" s="1174"/>
      <c r="AN292" s="1175"/>
      <c r="AO292" s="1176"/>
      <c r="AP292" s="1177"/>
      <c r="AQ292" s="1547"/>
      <c r="AR292" s="1177"/>
      <c r="AS292" s="1548"/>
      <c r="AT292" s="1549"/>
      <c r="AU292" s="1178"/>
      <c r="AV292" s="1179"/>
      <c r="AY292" s="3">
        <v>1</v>
      </c>
    </row>
    <row r="293" spans="2:51" ht="18.75">
      <c r="B293" s="104"/>
      <c r="C293" s="1172"/>
      <c r="D293" s="1172"/>
      <c r="E293" s="1172"/>
      <c r="F293" s="1173"/>
      <c r="G293" s="1174"/>
      <c r="H293" s="1175"/>
      <c r="I293" s="1176"/>
      <c r="J293" s="1177"/>
      <c r="K293" s="1547"/>
      <c r="L293" s="1177"/>
      <c r="M293" s="1548"/>
      <c r="N293" s="1549"/>
      <c r="O293" s="1178"/>
      <c r="P293" s="1179"/>
      <c r="R293" s="104"/>
      <c r="S293" s="1172"/>
      <c r="T293" s="1172"/>
      <c r="U293" s="1172"/>
      <c r="V293" s="1173"/>
      <c r="W293" s="1174"/>
      <c r="X293" s="1175"/>
      <c r="Y293" s="1176"/>
      <c r="Z293" s="1177"/>
      <c r="AA293" s="1547"/>
      <c r="AB293" s="1177"/>
      <c r="AC293" s="1548"/>
      <c r="AD293" s="1549"/>
      <c r="AE293" s="1178"/>
      <c r="AF293" s="1179"/>
      <c r="AH293" s="104"/>
      <c r="AI293" s="1172"/>
      <c r="AJ293" s="1172"/>
      <c r="AK293" s="1172"/>
      <c r="AL293" s="1173"/>
      <c r="AM293" s="1174"/>
      <c r="AN293" s="1175"/>
      <c r="AO293" s="1176"/>
      <c r="AP293" s="1177"/>
      <c r="AQ293" s="1547"/>
      <c r="AR293" s="1177"/>
      <c r="AS293" s="1548"/>
      <c r="AT293" s="1549"/>
      <c r="AU293" s="1178"/>
      <c r="AV293" s="1179"/>
      <c r="AY293" s="3">
        <v>1</v>
      </c>
    </row>
    <row r="294" spans="2:51" ht="18.75">
      <c r="B294" s="104"/>
      <c r="C294" s="1172"/>
      <c r="D294" s="1172"/>
      <c r="E294" s="1172"/>
      <c r="F294" s="1173"/>
      <c r="G294" s="1174"/>
      <c r="H294" s="1175"/>
      <c r="I294" s="1176"/>
      <c r="J294" s="1177"/>
      <c r="K294" s="1547"/>
      <c r="L294" s="1177"/>
      <c r="M294" s="1548"/>
      <c r="N294" s="1549"/>
      <c r="O294" s="1178"/>
      <c r="P294" s="1179"/>
      <c r="R294" s="104"/>
      <c r="S294" s="1172"/>
      <c r="T294" s="1172"/>
      <c r="U294" s="1172"/>
      <c r="V294" s="1173"/>
      <c r="W294" s="1174"/>
      <c r="X294" s="1175"/>
      <c r="Y294" s="1176"/>
      <c r="Z294" s="1177"/>
      <c r="AA294" s="1547"/>
      <c r="AB294" s="1177"/>
      <c r="AC294" s="1548"/>
      <c r="AD294" s="1549"/>
      <c r="AE294" s="1178"/>
      <c r="AF294" s="1179"/>
      <c r="AH294" s="104"/>
      <c r="AI294" s="1172"/>
      <c r="AJ294" s="1172"/>
      <c r="AK294" s="1172"/>
      <c r="AL294" s="1173"/>
      <c r="AM294" s="1174"/>
      <c r="AN294" s="1175"/>
      <c r="AO294" s="1176"/>
      <c r="AP294" s="1177"/>
      <c r="AQ294" s="1547"/>
      <c r="AR294" s="1177"/>
      <c r="AS294" s="1548"/>
      <c r="AT294" s="1549"/>
      <c r="AU294" s="1178"/>
      <c r="AV294" s="1179"/>
      <c r="AY294" s="3">
        <v>1</v>
      </c>
    </row>
    <row r="295" spans="2:51" ht="18.75">
      <c r="B295" s="104"/>
      <c r="C295" s="1172"/>
      <c r="D295" s="1172"/>
      <c r="E295" s="1172"/>
      <c r="F295" s="1173"/>
      <c r="G295" s="1174"/>
      <c r="H295" s="1175"/>
      <c r="I295" s="1176"/>
      <c r="J295" s="1177"/>
      <c r="K295" s="1547"/>
      <c r="L295" s="1177"/>
      <c r="M295" s="1548"/>
      <c r="N295" s="1549"/>
      <c r="O295" s="1178"/>
      <c r="P295" s="1179"/>
      <c r="R295" s="104"/>
      <c r="S295" s="1172"/>
      <c r="T295" s="1172"/>
      <c r="U295" s="1172"/>
      <c r="V295" s="1173"/>
      <c r="W295" s="1174"/>
      <c r="X295" s="1175"/>
      <c r="Y295" s="1176"/>
      <c r="Z295" s="1177"/>
      <c r="AA295" s="1547"/>
      <c r="AB295" s="1177"/>
      <c r="AC295" s="1548"/>
      <c r="AD295" s="1549"/>
      <c r="AE295" s="1178"/>
      <c r="AF295" s="1179"/>
      <c r="AH295" s="104"/>
      <c r="AI295" s="1172"/>
      <c r="AJ295" s="1172"/>
      <c r="AK295" s="1172"/>
      <c r="AL295" s="1173"/>
      <c r="AM295" s="1174"/>
      <c r="AN295" s="1175"/>
      <c r="AO295" s="1176"/>
      <c r="AP295" s="1177"/>
      <c r="AQ295" s="1547"/>
      <c r="AR295" s="1177"/>
      <c r="AS295" s="1548"/>
      <c r="AT295" s="1549"/>
      <c r="AU295" s="1178"/>
      <c r="AV295" s="1179"/>
      <c r="AY295" s="3">
        <v>1</v>
      </c>
    </row>
    <row r="296" spans="2:51" ht="18.75">
      <c r="B296" s="104"/>
      <c r="C296" s="1172"/>
      <c r="D296" s="1172"/>
      <c r="E296" s="1172"/>
      <c r="F296" s="1173"/>
      <c r="G296" s="1174"/>
      <c r="H296" s="1175"/>
      <c r="I296" s="1176"/>
      <c r="J296" s="1177"/>
      <c r="K296" s="1547"/>
      <c r="L296" s="1177"/>
      <c r="M296" s="1548"/>
      <c r="N296" s="1549"/>
      <c r="O296" s="1178"/>
      <c r="P296" s="1179"/>
      <c r="R296" s="104"/>
      <c r="S296" s="1172"/>
      <c r="T296" s="1172"/>
      <c r="U296" s="1172"/>
      <c r="V296" s="1173"/>
      <c r="W296" s="1174"/>
      <c r="X296" s="1175"/>
      <c r="Y296" s="1176"/>
      <c r="Z296" s="1177"/>
      <c r="AA296" s="1547"/>
      <c r="AB296" s="1177"/>
      <c r="AC296" s="1548"/>
      <c r="AD296" s="1549"/>
      <c r="AE296" s="1178"/>
      <c r="AF296" s="1179"/>
      <c r="AH296" s="104"/>
      <c r="AI296" s="1172"/>
      <c r="AJ296" s="1172"/>
      <c r="AK296" s="1172"/>
      <c r="AL296" s="1173"/>
      <c r="AM296" s="1174"/>
      <c r="AN296" s="1175"/>
      <c r="AO296" s="1176"/>
      <c r="AP296" s="1177"/>
      <c r="AQ296" s="1547"/>
      <c r="AR296" s="1177"/>
      <c r="AS296" s="1548"/>
      <c r="AT296" s="1549"/>
      <c r="AU296" s="1178"/>
      <c r="AV296" s="1179"/>
      <c r="AY296" s="3">
        <v>1</v>
      </c>
    </row>
    <row r="297" spans="2:51" ht="18.75">
      <c r="B297" s="104"/>
      <c r="C297" s="1172"/>
      <c r="D297" s="1172"/>
      <c r="E297" s="1172"/>
      <c r="F297" s="1173"/>
      <c r="G297" s="1174"/>
      <c r="H297" s="1175"/>
      <c r="I297" s="1176"/>
      <c r="J297" s="1177"/>
      <c r="K297" s="1547"/>
      <c r="L297" s="1177"/>
      <c r="M297" s="1548"/>
      <c r="N297" s="1549"/>
      <c r="O297" s="1178"/>
      <c r="P297" s="1179"/>
      <c r="R297" s="104"/>
      <c r="S297" s="1172"/>
      <c r="T297" s="1172"/>
      <c r="U297" s="1172"/>
      <c r="V297" s="1173"/>
      <c r="W297" s="1174"/>
      <c r="X297" s="1175"/>
      <c r="Y297" s="1176"/>
      <c r="Z297" s="1177"/>
      <c r="AA297" s="1547"/>
      <c r="AB297" s="1177"/>
      <c r="AC297" s="1548"/>
      <c r="AD297" s="1549"/>
      <c r="AE297" s="1178"/>
      <c r="AF297" s="1179"/>
      <c r="AH297" s="104"/>
      <c r="AI297" s="1172"/>
      <c r="AJ297" s="1172"/>
      <c r="AK297" s="1172"/>
      <c r="AL297" s="1173"/>
      <c r="AM297" s="1174"/>
      <c r="AN297" s="1175"/>
      <c r="AO297" s="1176"/>
      <c r="AP297" s="1177"/>
      <c r="AQ297" s="1547"/>
      <c r="AR297" s="1177"/>
      <c r="AS297" s="1548"/>
      <c r="AT297" s="1549"/>
      <c r="AU297" s="1178"/>
      <c r="AV297" s="1179"/>
      <c r="AY297" s="3">
        <v>1</v>
      </c>
    </row>
    <row r="298" spans="2:51" ht="18.75">
      <c r="B298" s="104"/>
      <c r="C298" s="1172"/>
      <c r="D298" s="1172"/>
      <c r="E298" s="1172"/>
      <c r="F298" s="1173"/>
      <c r="G298" s="1174"/>
      <c r="H298" s="1175"/>
      <c r="I298" s="1176"/>
      <c r="J298" s="1177"/>
      <c r="K298" s="1547"/>
      <c r="L298" s="1177"/>
      <c r="M298" s="1548"/>
      <c r="N298" s="1549"/>
      <c r="O298" s="1178"/>
      <c r="P298" s="1179"/>
      <c r="R298" s="104"/>
      <c r="S298" s="1172"/>
      <c r="T298" s="1172"/>
      <c r="U298" s="1172"/>
      <c r="V298" s="1173"/>
      <c r="W298" s="1174"/>
      <c r="X298" s="1175"/>
      <c r="Y298" s="1176"/>
      <c r="Z298" s="1177"/>
      <c r="AA298" s="1547"/>
      <c r="AB298" s="1177"/>
      <c r="AC298" s="1548"/>
      <c r="AD298" s="1549"/>
      <c r="AE298" s="1178"/>
      <c r="AF298" s="1179"/>
      <c r="AH298" s="104"/>
      <c r="AI298" s="1172"/>
      <c r="AJ298" s="1172"/>
      <c r="AK298" s="1172"/>
      <c r="AL298" s="1173"/>
      <c r="AM298" s="1174"/>
      <c r="AN298" s="1175"/>
      <c r="AO298" s="1176"/>
      <c r="AP298" s="1177"/>
      <c r="AQ298" s="1547"/>
      <c r="AR298" s="1177"/>
      <c r="AS298" s="1548"/>
      <c r="AT298" s="1549"/>
      <c r="AU298" s="1178"/>
      <c r="AV298" s="1179"/>
      <c r="AY298" s="3">
        <v>1</v>
      </c>
    </row>
    <row r="299" spans="2:51" ht="18.75">
      <c r="B299" s="104"/>
      <c r="C299" s="1172"/>
      <c r="D299" s="1172"/>
      <c r="E299" s="1172"/>
      <c r="F299" s="1173"/>
      <c r="G299" s="1174"/>
      <c r="H299" s="1175"/>
      <c r="I299" s="1176"/>
      <c r="J299" s="1177"/>
      <c r="K299" s="1547"/>
      <c r="L299" s="1177"/>
      <c r="M299" s="1548"/>
      <c r="N299" s="1549"/>
      <c r="O299" s="1178"/>
      <c r="P299" s="1179"/>
      <c r="R299" s="104"/>
      <c r="S299" s="1172"/>
      <c r="T299" s="1172"/>
      <c r="U299" s="1172"/>
      <c r="V299" s="1173"/>
      <c r="W299" s="1174"/>
      <c r="X299" s="1175"/>
      <c r="Y299" s="1176"/>
      <c r="Z299" s="1177"/>
      <c r="AA299" s="1547"/>
      <c r="AB299" s="1177"/>
      <c r="AC299" s="1548"/>
      <c r="AD299" s="1549"/>
      <c r="AE299" s="1178"/>
      <c r="AF299" s="1179"/>
      <c r="AH299" s="104"/>
      <c r="AI299" s="1172"/>
      <c r="AJ299" s="1172"/>
      <c r="AK299" s="1172"/>
      <c r="AL299" s="1173"/>
      <c r="AM299" s="1174"/>
      <c r="AN299" s="1175"/>
      <c r="AO299" s="1176"/>
      <c r="AP299" s="1177"/>
      <c r="AQ299" s="1547"/>
      <c r="AR299" s="1177"/>
      <c r="AS299" s="1548"/>
      <c r="AT299" s="1549"/>
      <c r="AU299" s="1178"/>
      <c r="AV299" s="1179"/>
      <c r="AY299" s="3">
        <v>1</v>
      </c>
    </row>
    <row r="300" spans="2:51" ht="18.75">
      <c r="B300" s="104"/>
      <c r="C300" s="1172"/>
      <c r="D300" s="1172"/>
      <c r="E300" s="1172"/>
      <c r="F300" s="1173"/>
      <c r="G300" s="1174"/>
      <c r="H300" s="1175"/>
      <c r="I300" s="1176"/>
      <c r="J300" s="1177"/>
      <c r="K300" s="1547"/>
      <c r="L300" s="1177"/>
      <c r="M300" s="1548"/>
      <c r="N300" s="1549"/>
      <c r="O300" s="1178"/>
      <c r="P300" s="1179"/>
      <c r="R300" s="104"/>
      <c r="S300" s="1172"/>
      <c r="T300" s="1172"/>
      <c r="U300" s="1172"/>
      <c r="V300" s="1173"/>
      <c r="W300" s="1174"/>
      <c r="X300" s="1175"/>
      <c r="Y300" s="1176"/>
      <c r="Z300" s="1177"/>
      <c r="AA300" s="1547"/>
      <c r="AB300" s="1177"/>
      <c r="AC300" s="1548"/>
      <c r="AD300" s="1549"/>
      <c r="AE300" s="1178"/>
      <c r="AF300" s="1179"/>
      <c r="AH300" s="104"/>
      <c r="AI300" s="1172"/>
      <c r="AJ300" s="1172"/>
      <c r="AK300" s="1172"/>
      <c r="AL300" s="1173"/>
      <c r="AM300" s="1174"/>
      <c r="AN300" s="1175"/>
      <c r="AO300" s="1176"/>
      <c r="AP300" s="1177"/>
      <c r="AQ300" s="1547"/>
      <c r="AR300" s="1177"/>
      <c r="AS300" s="1548"/>
      <c r="AT300" s="1549"/>
      <c r="AU300" s="1178"/>
      <c r="AV300" s="1179"/>
      <c r="AY300" s="3">
        <v>1</v>
      </c>
    </row>
    <row r="301" spans="2:51" ht="18.75">
      <c r="B301" s="104"/>
      <c r="C301" s="1172"/>
      <c r="D301" s="1172"/>
      <c r="E301" s="1172"/>
      <c r="F301" s="1173"/>
      <c r="G301" s="1174"/>
      <c r="H301" s="1175"/>
      <c r="I301" s="1176"/>
      <c r="J301" s="1177"/>
      <c r="K301" s="1547"/>
      <c r="L301" s="1177"/>
      <c r="M301" s="1548"/>
      <c r="N301" s="1549"/>
      <c r="O301" s="1178"/>
      <c r="P301" s="1179"/>
      <c r="R301" s="104"/>
      <c r="S301" s="1172"/>
      <c r="T301" s="1172"/>
      <c r="U301" s="1172"/>
      <c r="V301" s="1173"/>
      <c r="W301" s="1174"/>
      <c r="X301" s="1175"/>
      <c r="Y301" s="1176"/>
      <c r="Z301" s="1177"/>
      <c r="AA301" s="1547"/>
      <c r="AB301" s="1177"/>
      <c r="AC301" s="1548"/>
      <c r="AD301" s="1549"/>
      <c r="AE301" s="1178"/>
      <c r="AF301" s="1179"/>
      <c r="AH301" s="104"/>
      <c r="AI301" s="1172"/>
      <c r="AJ301" s="1172"/>
      <c r="AK301" s="1172"/>
      <c r="AL301" s="1173"/>
      <c r="AM301" s="1174"/>
      <c r="AN301" s="1175"/>
      <c r="AO301" s="1176"/>
      <c r="AP301" s="1177"/>
      <c r="AQ301" s="1547"/>
      <c r="AR301" s="1177"/>
      <c r="AS301" s="1548"/>
      <c r="AT301" s="1549"/>
      <c r="AU301" s="1178"/>
      <c r="AV301" s="1179"/>
      <c r="AY301" s="3">
        <v>1</v>
      </c>
    </row>
    <row r="302" spans="2:51" ht="18.75">
      <c r="B302" s="104"/>
      <c r="C302" s="1172"/>
      <c r="D302" s="1172"/>
      <c r="E302" s="1172"/>
      <c r="F302" s="1173"/>
      <c r="G302" s="1174"/>
      <c r="H302" s="1175"/>
      <c r="I302" s="1176"/>
      <c r="J302" s="1177"/>
      <c r="K302" s="1547"/>
      <c r="L302" s="1177"/>
      <c r="M302" s="1548"/>
      <c r="N302" s="1549"/>
      <c r="O302" s="1178"/>
      <c r="P302" s="1179"/>
      <c r="R302" s="104"/>
      <c r="S302" s="1172"/>
      <c r="T302" s="1172"/>
      <c r="U302" s="1172"/>
      <c r="V302" s="1173"/>
      <c r="W302" s="1174"/>
      <c r="X302" s="1175"/>
      <c r="Y302" s="1176"/>
      <c r="Z302" s="1177"/>
      <c r="AA302" s="1547"/>
      <c r="AB302" s="1177"/>
      <c r="AC302" s="1548"/>
      <c r="AD302" s="1549"/>
      <c r="AE302" s="1178"/>
      <c r="AF302" s="1179"/>
      <c r="AH302" s="104"/>
      <c r="AI302" s="1172"/>
      <c r="AJ302" s="1172"/>
      <c r="AK302" s="1172"/>
      <c r="AL302" s="1173"/>
      <c r="AM302" s="1174"/>
      <c r="AN302" s="1175"/>
      <c r="AO302" s="1176"/>
      <c r="AP302" s="1177"/>
      <c r="AQ302" s="1547"/>
      <c r="AR302" s="1177"/>
      <c r="AS302" s="1548"/>
      <c r="AT302" s="1549"/>
      <c r="AU302" s="1178"/>
      <c r="AV302" s="1179"/>
      <c r="AY302" s="3">
        <v>1</v>
      </c>
    </row>
    <row r="303" spans="2:51" ht="18.75">
      <c r="B303" s="104"/>
      <c r="C303" s="1172"/>
      <c r="D303" s="1172"/>
      <c r="E303" s="1172"/>
      <c r="F303" s="1173"/>
      <c r="G303" s="1174"/>
      <c r="H303" s="1175"/>
      <c r="I303" s="1176"/>
      <c r="J303" s="1177"/>
      <c r="K303" s="1547"/>
      <c r="L303" s="1177"/>
      <c r="M303" s="1548"/>
      <c r="N303" s="1549"/>
      <c r="O303" s="1178"/>
      <c r="P303" s="1179"/>
      <c r="R303" s="104"/>
      <c r="S303" s="1172"/>
      <c r="T303" s="1172"/>
      <c r="U303" s="1172"/>
      <c r="V303" s="1173"/>
      <c r="W303" s="1174"/>
      <c r="X303" s="1175"/>
      <c r="Y303" s="1176"/>
      <c r="Z303" s="1177"/>
      <c r="AA303" s="1547"/>
      <c r="AB303" s="1177"/>
      <c r="AC303" s="1548"/>
      <c r="AD303" s="1549"/>
      <c r="AE303" s="1178"/>
      <c r="AF303" s="1179"/>
      <c r="AH303" s="104"/>
      <c r="AI303" s="1172"/>
      <c r="AJ303" s="1172"/>
      <c r="AK303" s="1172"/>
      <c r="AL303" s="1173"/>
      <c r="AM303" s="1174"/>
      <c r="AN303" s="1175"/>
      <c r="AO303" s="1176"/>
      <c r="AP303" s="1177"/>
      <c r="AQ303" s="1547"/>
      <c r="AR303" s="1177"/>
      <c r="AS303" s="1548"/>
      <c r="AT303" s="1549"/>
      <c r="AU303" s="1178"/>
      <c r="AV303" s="1179"/>
      <c r="AY303" s="3">
        <v>1</v>
      </c>
    </row>
    <row r="304" spans="2:51" ht="18.75">
      <c r="B304" s="104"/>
      <c r="C304" s="1172"/>
      <c r="D304" s="1172"/>
      <c r="E304" s="1172"/>
      <c r="F304" s="1173"/>
      <c r="G304" s="1174"/>
      <c r="H304" s="1175"/>
      <c r="I304" s="1176"/>
      <c r="J304" s="1177"/>
      <c r="K304" s="1547"/>
      <c r="L304" s="1177"/>
      <c r="M304" s="1548"/>
      <c r="N304" s="1549"/>
      <c r="O304" s="1178"/>
      <c r="P304" s="1179"/>
      <c r="R304" s="104"/>
      <c r="S304" s="1172"/>
      <c r="T304" s="1172"/>
      <c r="U304" s="1172"/>
      <c r="V304" s="1173"/>
      <c r="W304" s="1174"/>
      <c r="X304" s="1175"/>
      <c r="Y304" s="1176"/>
      <c r="Z304" s="1177"/>
      <c r="AA304" s="1547"/>
      <c r="AB304" s="1177"/>
      <c r="AC304" s="1548"/>
      <c r="AD304" s="1549"/>
      <c r="AE304" s="1178"/>
      <c r="AF304" s="1179"/>
      <c r="AH304" s="104"/>
      <c r="AI304" s="1172"/>
      <c r="AJ304" s="1172"/>
      <c r="AK304" s="1172"/>
      <c r="AL304" s="1173"/>
      <c r="AM304" s="1174"/>
      <c r="AN304" s="1175"/>
      <c r="AO304" s="1176"/>
      <c r="AP304" s="1177"/>
      <c r="AQ304" s="1547"/>
      <c r="AR304" s="1177"/>
      <c r="AS304" s="1548"/>
      <c r="AT304" s="1549"/>
      <c r="AU304" s="1178"/>
      <c r="AV304" s="1179"/>
      <c r="AY304" s="3">
        <v>1</v>
      </c>
    </row>
    <row r="305" spans="2:51" ht="18.75">
      <c r="B305" s="104"/>
      <c r="C305" s="1172"/>
      <c r="D305" s="1172"/>
      <c r="E305" s="1172"/>
      <c r="F305" s="1173"/>
      <c r="G305" s="1174"/>
      <c r="H305" s="1175"/>
      <c r="I305" s="1176"/>
      <c r="J305" s="1177"/>
      <c r="K305" s="1547"/>
      <c r="L305" s="1177"/>
      <c r="M305" s="1548"/>
      <c r="N305" s="1549"/>
      <c r="O305" s="1178"/>
      <c r="P305" s="1179"/>
      <c r="R305" s="104"/>
      <c r="S305" s="1172"/>
      <c r="T305" s="1172"/>
      <c r="U305" s="1172"/>
      <c r="V305" s="1173"/>
      <c r="W305" s="1174"/>
      <c r="X305" s="1175"/>
      <c r="Y305" s="1176"/>
      <c r="Z305" s="1177"/>
      <c r="AA305" s="1547"/>
      <c r="AB305" s="1177"/>
      <c r="AC305" s="1548"/>
      <c r="AD305" s="1549"/>
      <c r="AE305" s="1178"/>
      <c r="AF305" s="1179"/>
      <c r="AH305" s="104"/>
      <c r="AI305" s="1172"/>
      <c r="AJ305" s="1172"/>
      <c r="AK305" s="1172"/>
      <c r="AL305" s="1173"/>
      <c r="AM305" s="1174"/>
      <c r="AN305" s="1175"/>
      <c r="AO305" s="1176"/>
      <c r="AP305" s="1177"/>
      <c r="AQ305" s="1547"/>
      <c r="AR305" s="1177"/>
      <c r="AS305" s="1548"/>
      <c r="AT305" s="1549"/>
      <c r="AU305" s="1178"/>
      <c r="AV305" s="1179"/>
      <c r="AY305" s="3">
        <v>1</v>
      </c>
    </row>
    <row r="306" spans="2:51" ht="18.75">
      <c r="B306" s="104"/>
      <c r="C306" s="1172"/>
      <c r="D306" s="1172"/>
      <c r="E306" s="1172"/>
      <c r="F306" s="1173"/>
      <c r="G306" s="1174"/>
      <c r="H306" s="1175"/>
      <c r="I306" s="1176"/>
      <c r="J306" s="1177"/>
      <c r="K306" s="1547"/>
      <c r="L306" s="1177"/>
      <c r="M306" s="1548"/>
      <c r="N306" s="1549"/>
      <c r="O306" s="1178"/>
      <c r="P306" s="1179"/>
      <c r="R306" s="104"/>
      <c r="S306" s="1172"/>
      <c r="T306" s="1172"/>
      <c r="U306" s="1172"/>
      <c r="V306" s="1173"/>
      <c r="W306" s="1174"/>
      <c r="X306" s="1175"/>
      <c r="Y306" s="1176"/>
      <c r="Z306" s="1177"/>
      <c r="AA306" s="1547"/>
      <c r="AB306" s="1177"/>
      <c r="AC306" s="1548"/>
      <c r="AD306" s="1549"/>
      <c r="AE306" s="1178"/>
      <c r="AF306" s="1179"/>
      <c r="AH306" s="104"/>
      <c r="AI306" s="1172"/>
      <c r="AJ306" s="1172"/>
      <c r="AK306" s="1172"/>
      <c r="AL306" s="1173"/>
      <c r="AM306" s="1174"/>
      <c r="AN306" s="1175"/>
      <c r="AO306" s="1176"/>
      <c r="AP306" s="1177"/>
      <c r="AQ306" s="1547"/>
      <c r="AR306" s="1177"/>
      <c r="AS306" s="1548"/>
      <c r="AT306" s="1549"/>
      <c r="AU306" s="1178"/>
      <c r="AV306" s="1179"/>
      <c r="AY306" s="3">
        <v>1</v>
      </c>
    </row>
    <row r="307" spans="2:51" ht="18.75">
      <c r="B307" s="104"/>
      <c r="C307" s="1172"/>
      <c r="D307" s="1172"/>
      <c r="E307" s="1172"/>
      <c r="F307" s="1173"/>
      <c r="G307" s="1174"/>
      <c r="H307" s="1175"/>
      <c r="I307" s="1176"/>
      <c r="J307" s="1177"/>
      <c r="K307" s="1547"/>
      <c r="L307" s="1177"/>
      <c r="M307" s="1548"/>
      <c r="N307" s="1549"/>
      <c r="O307" s="1178"/>
      <c r="P307" s="1179"/>
      <c r="R307" s="104"/>
      <c r="S307" s="1172"/>
      <c r="T307" s="1172"/>
      <c r="U307" s="1172"/>
      <c r="V307" s="1173"/>
      <c r="W307" s="1174"/>
      <c r="X307" s="1175"/>
      <c r="Y307" s="1176"/>
      <c r="Z307" s="1177"/>
      <c r="AA307" s="1547"/>
      <c r="AB307" s="1177"/>
      <c r="AC307" s="1548"/>
      <c r="AD307" s="1549"/>
      <c r="AE307" s="1178"/>
      <c r="AF307" s="1179"/>
      <c r="AH307" s="104"/>
      <c r="AI307" s="1172"/>
      <c r="AJ307" s="1172"/>
      <c r="AK307" s="1172"/>
      <c r="AL307" s="1173"/>
      <c r="AM307" s="1174"/>
      <c r="AN307" s="1175"/>
      <c r="AO307" s="1176"/>
      <c r="AP307" s="1177"/>
      <c r="AQ307" s="1547"/>
      <c r="AR307" s="1177"/>
      <c r="AS307" s="1548"/>
      <c r="AT307" s="1549"/>
      <c r="AU307" s="1178"/>
      <c r="AV307" s="1179"/>
      <c r="AY307" s="3">
        <v>1</v>
      </c>
    </row>
    <row r="308" spans="2:51" ht="18.75">
      <c r="B308" s="104"/>
      <c r="C308" s="1172"/>
      <c r="D308" s="1172"/>
      <c r="E308" s="1172"/>
      <c r="F308" s="1173"/>
      <c r="G308" s="1174"/>
      <c r="H308" s="1175"/>
      <c r="I308" s="1176"/>
      <c r="J308" s="1177"/>
      <c r="K308" s="1547"/>
      <c r="L308" s="1177"/>
      <c r="M308" s="1548"/>
      <c r="N308" s="1549"/>
      <c r="O308" s="1178"/>
      <c r="P308" s="1179"/>
      <c r="R308" s="104"/>
      <c r="S308" s="1172"/>
      <c r="T308" s="1172"/>
      <c r="U308" s="1172"/>
      <c r="V308" s="1173"/>
      <c r="W308" s="1174"/>
      <c r="X308" s="1175"/>
      <c r="Y308" s="1176"/>
      <c r="Z308" s="1177"/>
      <c r="AA308" s="1547"/>
      <c r="AB308" s="1177"/>
      <c r="AC308" s="1548"/>
      <c r="AD308" s="1549"/>
      <c r="AE308" s="1178"/>
      <c r="AF308" s="1179"/>
      <c r="AH308" s="104"/>
      <c r="AI308" s="1172"/>
      <c r="AJ308" s="1172"/>
      <c r="AK308" s="1172"/>
      <c r="AL308" s="1173"/>
      <c r="AM308" s="1174"/>
      <c r="AN308" s="1175"/>
      <c r="AO308" s="1176"/>
      <c r="AP308" s="1177"/>
      <c r="AQ308" s="1547"/>
      <c r="AR308" s="1177"/>
      <c r="AS308" s="1548"/>
      <c r="AT308" s="1549"/>
      <c r="AU308" s="1178"/>
      <c r="AV308" s="1179"/>
      <c r="AY308" s="3">
        <v>1</v>
      </c>
    </row>
    <row r="309" spans="2:51" ht="18.75">
      <c r="B309" s="104"/>
      <c r="C309" s="1172"/>
      <c r="D309" s="1172"/>
      <c r="E309" s="1172"/>
      <c r="F309" s="1173"/>
      <c r="G309" s="1174"/>
      <c r="H309" s="1175"/>
      <c r="I309" s="1176"/>
      <c r="J309" s="1177"/>
      <c r="K309" s="1547"/>
      <c r="L309" s="1177"/>
      <c r="M309" s="1548"/>
      <c r="N309" s="1549"/>
      <c r="O309" s="1178"/>
      <c r="P309" s="1179"/>
      <c r="R309" s="104"/>
      <c r="S309" s="1172"/>
      <c r="T309" s="1172"/>
      <c r="U309" s="1172"/>
      <c r="V309" s="1173"/>
      <c r="W309" s="1174"/>
      <c r="X309" s="1175"/>
      <c r="Y309" s="1176"/>
      <c r="Z309" s="1177"/>
      <c r="AA309" s="1547"/>
      <c r="AB309" s="1177"/>
      <c r="AC309" s="1548"/>
      <c r="AD309" s="1549"/>
      <c r="AE309" s="1178"/>
      <c r="AF309" s="1179"/>
      <c r="AH309" s="104"/>
      <c r="AI309" s="1172"/>
      <c r="AJ309" s="1172"/>
      <c r="AK309" s="1172"/>
      <c r="AL309" s="1173"/>
      <c r="AM309" s="1174"/>
      <c r="AN309" s="1175"/>
      <c r="AO309" s="1176"/>
      <c r="AP309" s="1177"/>
      <c r="AQ309" s="1547"/>
      <c r="AR309" s="1177"/>
      <c r="AS309" s="1548"/>
      <c r="AT309" s="1549"/>
      <c r="AU309" s="1178"/>
      <c r="AV309" s="1179"/>
      <c r="AY309" s="3">
        <v>1</v>
      </c>
    </row>
    <row r="310" spans="2:51" ht="18.75">
      <c r="B310" s="104"/>
      <c r="C310" s="1172"/>
      <c r="D310" s="1172"/>
      <c r="E310" s="1172"/>
      <c r="F310" s="1173"/>
      <c r="G310" s="1174"/>
      <c r="H310" s="1175"/>
      <c r="I310" s="1176"/>
      <c r="J310" s="1177"/>
      <c r="K310" s="1547"/>
      <c r="L310" s="1177"/>
      <c r="M310" s="1548"/>
      <c r="N310" s="1549"/>
      <c r="O310" s="1178"/>
      <c r="P310" s="1179"/>
      <c r="R310" s="104"/>
      <c r="S310" s="1172"/>
      <c r="T310" s="1172"/>
      <c r="U310" s="1172"/>
      <c r="V310" s="1173"/>
      <c r="W310" s="1174"/>
      <c r="X310" s="1175"/>
      <c r="Y310" s="1176"/>
      <c r="Z310" s="1177"/>
      <c r="AA310" s="1547"/>
      <c r="AB310" s="1177"/>
      <c r="AC310" s="1548"/>
      <c r="AD310" s="1549"/>
      <c r="AE310" s="1178"/>
      <c r="AF310" s="1179"/>
      <c r="AH310" s="104"/>
      <c r="AI310" s="1172"/>
      <c r="AJ310" s="1172"/>
      <c r="AK310" s="1172"/>
      <c r="AL310" s="1173"/>
      <c r="AM310" s="1174"/>
      <c r="AN310" s="1175"/>
      <c r="AO310" s="1176"/>
      <c r="AP310" s="1177"/>
      <c r="AQ310" s="1547"/>
      <c r="AR310" s="1177"/>
      <c r="AS310" s="1548"/>
      <c r="AT310" s="1549"/>
      <c r="AU310" s="1178"/>
      <c r="AV310" s="1179"/>
      <c r="AY310" s="3">
        <v>1</v>
      </c>
    </row>
    <row r="311" spans="2:51" ht="18.75">
      <c r="B311" s="104"/>
      <c r="C311" s="1172"/>
      <c r="D311" s="1172"/>
      <c r="E311" s="1172"/>
      <c r="F311" s="1173"/>
      <c r="G311" s="1174"/>
      <c r="H311" s="1175"/>
      <c r="I311" s="1176"/>
      <c r="J311" s="1177"/>
      <c r="K311" s="1547"/>
      <c r="L311" s="1177"/>
      <c r="M311" s="1548"/>
      <c r="N311" s="1549"/>
      <c r="O311" s="1178"/>
      <c r="P311" s="1179"/>
      <c r="R311" s="104"/>
      <c r="S311" s="1172"/>
      <c r="T311" s="1172"/>
      <c r="U311" s="1172"/>
      <c r="V311" s="1173"/>
      <c r="W311" s="1174"/>
      <c r="X311" s="1175"/>
      <c r="Y311" s="1176"/>
      <c r="Z311" s="1177"/>
      <c r="AA311" s="1547"/>
      <c r="AB311" s="1177"/>
      <c r="AC311" s="1548"/>
      <c r="AD311" s="1549"/>
      <c r="AE311" s="1178"/>
      <c r="AF311" s="1179"/>
      <c r="AH311" s="104"/>
      <c r="AI311" s="1172"/>
      <c r="AJ311" s="1172"/>
      <c r="AK311" s="1172"/>
      <c r="AL311" s="1173"/>
      <c r="AM311" s="1174"/>
      <c r="AN311" s="1175"/>
      <c r="AO311" s="1176"/>
      <c r="AP311" s="1177"/>
      <c r="AQ311" s="1547"/>
      <c r="AR311" s="1177"/>
      <c r="AS311" s="1548"/>
      <c r="AT311" s="1549"/>
      <c r="AU311" s="1178"/>
      <c r="AV311" s="1179"/>
      <c r="AY311" s="3">
        <v>1</v>
      </c>
    </row>
    <row r="312" spans="2:51" ht="18.75">
      <c r="B312" s="104"/>
      <c r="C312" s="1172"/>
      <c r="D312" s="1172"/>
      <c r="E312" s="1172"/>
      <c r="F312" s="1173"/>
      <c r="G312" s="1174"/>
      <c r="H312" s="1175"/>
      <c r="I312" s="1176"/>
      <c r="J312" s="1177"/>
      <c r="K312" s="1547"/>
      <c r="L312" s="1177"/>
      <c r="M312" s="1548"/>
      <c r="N312" s="1549"/>
      <c r="O312" s="1178"/>
      <c r="P312" s="1179"/>
      <c r="R312" s="104"/>
      <c r="S312" s="1172"/>
      <c r="T312" s="1172"/>
      <c r="U312" s="1172"/>
      <c r="V312" s="1173"/>
      <c r="W312" s="1174"/>
      <c r="X312" s="1175"/>
      <c r="Y312" s="1176"/>
      <c r="Z312" s="1177"/>
      <c r="AA312" s="1547"/>
      <c r="AB312" s="1177"/>
      <c r="AC312" s="1548"/>
      <c r="AD312" s="1549"/>
      <c r="AE312" s="1178"/>
      <c r="AF312" s="1179"/>
      <c r="AH312" s="104"/>
      <c r="AI312" s="1172"/>
      <c r="AJ312" s="1172"/>
      <c r="AK312" s="1172"/>
      <c r="AL312" s="1173"/>
      <c r="AM312" s="1174"/>
      <c r="AN312" s="1175"/>
      <c r="AO312" s="1176"/>
      <c r="AP312" s="1177"/>
      <c r="AQ312" s="1547"/>
      <c r="AR312" s="1177"/>
      <c r="AS312" s="1548"/>
      <c r="AT312" s="1549"/>
      <c r="AU312" s="1178"/>
      <c r="AV312" s="1179"/>
      <c r="AY312" s="3">
        <v>1</v>
      </c>
    </row>
    <row r="313" spans="2:51" ht="18.75">
      <c r="B313" s="104"/>
      <c r="C313" s="1172"/>
      <c r="D313" s="1172"/>
      <c r="E313" s="1172"/>
      <c r="F313" s="1173"/>
      <c r="G313" s="1174"/>
      <c r="H313" s="1175"/>
      <c r="I313" s="1176"/>
      <c r="J313" s="1177"/>
      <c r="K313" s="1547"/>
      <c r="L313" s="1177"/>
      <c r="M313" s="1548"/>
      <c r="N313" s="1549"/>
      <c r="O313" s="1178"/>
      <c r="P313" s="1179"/>
      <c r="R313" s="104"/>
      <c r="S313" s="1172"/>
      <c r="T313" s="1172"/>
      <c r="U313" s="1172"/>
      <c r="V313" s="1173"/>
      <c r="W313" s="1174"/>
      <c r="X313" s="1175"/>
      <c r="Y313" s="1176"/>
      <c r="Z313" s="1177"/>
      <c r="AA313" s="1547"/>
      <c r="AB313" s="1177"/>
      <c r="AC313" s="1548"/>
      <c r="AD313" s="1549"/>
      <c r="AE313" s="1178"/>
      <c r="AF313" s="1179"/>
      <c r="AH313" s="104"/>
      <c r="AI313" s="1172"/>
      <c r="AJ313" s="1172"/>
      <c r="AK313" s="1172"/>
      <c r="AL313" s="1173"/>
      <c r="AM313" s="1174"/>
      <c r="AN313" s="1175"/>
      <c r="AO313" s="1176"/>
      <c r="AP313" s="1177"/>
      <c r="AQ313" s="1547"/>
      <c r="AR313" s="1177"/>
      <c r="AS313" s="1548"/>
      <c r="AT313" s="1549"/>
      <c r="AU313" s="1178"/>
      <c r="AV313" s="1179"/>
      <c r="AY313" s="3">
        <v>1</v>
      </c>
    </row>
    <row r="314" spans="2:51" ht="18.75">
      <c r="B314" s="104"/>
      <c r="C314" s="1172"/>
      <c r="D314" s="1172"/>
      <c r="E314" s="1172"/>
      <c r="F314" s="1173"/>
      <c r="G314" s="1174"/>
      <c r="H314" s="1175"/>
      <c r="I314" s="1176"/>
      <c r="J314" s="1177"/>
      <c r="K314" s="1547"/>
      <c r="L314" s="1177"/>
      <c r="M314" s="1548"/>
      <c r="N314" s="1549"/>
      <c r="O314" s="1178"/>
      <c r="P314" s="1179"/>
      <c r="R314" s="104"/>
      <c r="S314" s="1172"/>
      <c r="T314" s="1172"/>
      <c r="U314" s="1172"/>
      <c r="V314" s="1173"/>
      <c r="W314" s="1174"/>
      <c r="X314" s="1175"/>
      <c r="Y314" s="1176"/>
      <c r="Z314" s="1177"/>
      <c r="AA314" s="1547"/>
      <c r="AB314" s="1177"/>
      <c r="AC314" s="1548"/>
      <c r="AD314" s="1549"/>
      <c r="AE314" s="1178"/>
      <c r="AF314" s="1179"/>
      <c r="AH314" s="104"/>
      <c r="AI314" s="1172"/>
      <c r="AJ314" s="1172"/>
      <c r="AK314" s="1172"/>
      <c r="AL314" s="1173"/>
      <c r="AM314" s="1174"/>
      <c r="AN314" s="1175"/>
      <c r="AO314" s="1176"/>
      <c r="AP314" s="1177"/>
      <c r="AQ314" s="1547"/>
      <c r="AR314" s="1177"/>
      <c r="AS314" s="1548"/>
      <c r="AT314" s="1549"/>
      <c r="AU314" s="1178"/>
      <c r="AV314" s="1179"/>
      <c r="AY314" s="3">
        <v>1</v>
      </c>
    </row>
    <row r="315" spans="2:51" ht="18.75">
      <c r="B315" s="104"/>
      <c r="C315" s="1172"/>
      <c r="D315" s="1172"/>
      <c r="E315" s="1172"/>
      <c r="F315" s="1173"/>
      <c r="G315" s="1174"/>
      <c r="H315" s="1175"/>
      <c r="I315" s="1176"/>
      <c r="J315" s="1177"/>
      <c r="K315" s="1547"/>
      <c r="L315" s="1177"/>
      <c r="M315" s="1548"/>
      <c r="N315" s="1549"/>
      <c r="O315" s="1178"/>
      <c r="P315" s="1179"/>
      <c r="R315" s="104"/>
      <c r="S315" s="1172"/>
      <c r="T315" s="1172"/>
      <c r="U315" s="1172"/>
      <c r="V315" s="1173"/>
      <c r="W315" s="1174"/>
      <c r="X315" s="1175"/>
      <c r="Y315" s="1176"/>
      <c r="Z315" s="1177"/>
      <c r="AA315" s="1547"/>
      <c r="AB315" s="1177"/>
      <c r="AC315" s="1548"/>
      <c r="AD315" s="1549"/>
      <c r="AE315" s="1178"/>
      <c r="AF315" s="1179"/>
      <c r="AH315" s="104"/>
      <c r="AI315" s="1172"/>
      <c r="AJ315" s="1172"/>
      <c r="AK315" s="1172"/>
      <c r="AL315" s="1173"/>
      <c r="AM315" s="1174"/>
      <c r="AN315" s="1175"/>
      <c r="AO315" s="1176"/>
      <c r="AP315" s="1177"/>
      <c r="AQ315" s="1547"/>
      <c r="AR315" s="1177"/>
      <c r="AS315" s="1548"/>
      <c r="AT315" s="1549"/>
      <c r="AU315" s="1178"/>
      <c r="AV315" s="1179"/>
      <c r="AY315" s="3">
        <v>1</v>
      </c>
    </row>
    <row r="316" spans="2:51" ht="18.75">
      <c r="B316" s="104"/>
      <c r="C316" s="1172"/>
      <c r="D316" s="1172"/>
      <c r="E316" s="1172"/>
      <c r="F316" s="1173"/>
      <c r="G316" s="1174"/>
      <c r="H316" s="1175"/>
      <c r="I316" s="1176"/>
      <c r="J316" s="1177"/>
      <c r="K316" s="1547"/>
      <c r="L316" s="1177"/>
      <c r="M316" s="1548"/>
      <c r="N316" s="1549"/>
      <c r="O316" s="1178"/>
      <c r="P316" s="1179"/>
      <c r="R316" s="104"/>
      <c r="S316" s="1172"/>
      <c r="T316" s="1172"/>
      <c r="U316" s="1172"/>
      <c r="V316" s="1173"/>
      <c r="W316" s="1174"/>
      <c r="X316" s="1175"/>
      <c r="Y316" s="1176"/>
      <c r="Z316" s="1177"/>
      <c r="AA316" s="1547"/>
      <c r="AB316" s="1177"/>
      <c r="AC316" s="1548"/>
      <c r="AD316" s="1549"/>
      <c r="AE316" s="1178"/>
      <c r="AF316" s="1179"/>
      <c r="AH316" s="104"/>
      <c r="AI316" s="1172"/>
      <c r="AJ316" s="1172"/>
      <c r="AK316" s="1172"/>
      <c r="AL316" s="1173"/>
      <c r="AM316" s="1174"/>
      <c r="AN316" s="1175"/>
      <c r="AO316" s="1176"/>
      <c r="AP316" s="1177"/>
      <c r="AQ316" s="1547"/>
      <c r="AR316" s="1177"/>
      <c r="AS316" s="1548"/>
      <c r="AT316" s="1549"/>
      <c r="AU316" s="1178"/>
      <c r="AV316" s="1179"/>
      <c r="AY316" s="3">
        <v>1</v>
      </c>
    </row>
    <row r="317" spans="2:51" ht="18.75">
      <c r="B317" s="104"/>
      <c r="C317" s="1172"/>
      <c r="D317" s="1172"/>
      <c r="E317" s="1172"/>
      <c r="F317" s="1173"/>
      <c r="G317" s="1174"/>
      <c r="H317" s="1175"/>
      <c r="I317" s="1176"/>
      <c r="J317" s="1177"/>
      <c r="K317" s="1547"/>
      <c r="L317" s="1177"/>
      <c r="M317" s="1548"/>
      <c r="N317" s="1549"/>
      <c r="O317" s="1178"/>
      <c r="P317" s="1179"/>
      <c r="R317" s="104"/>
      <c r="S317" s="1172"/>
      <c r="T317" s="1172"/>
      <c r="U317" s="1172"/>
      <c r="V317" s="1173"/>
      <c r="W317" s="1174"/>
      <c r="X317" s="1175"/>
      <c r="Y317" s="1176"/>
      <c r="Z317" s="1177"/>
      <c r="AA317" s="1547"/>
      <c r="AB317" s="1177"/>
      <c r="AC317" s="1548"/>
      <c r="AD317" s="1549"/>
      <c r="AE317" s="1178"/>
      <c r="AF317" s="1179"/>
      <c r="AH317" s="104"/>
      <c r="AI317" s="1172"/>
      <c r="AJ317" s="1172"/>
      <c r="AK317" s="1172"/>
      <c r="AL317" s="1173"/>
      <c r="AM317" s="1174"/>
      <c r="AN317" s="1175"/>
      <c r="AO317" s="1176"/>
      <c r="AP317" s="1177"/>
      <c r="AQ317" s="1547"/>
      <c r="AR317" s="1177"/>
      <c r="AS317" s="1548"/>
      <c r="AT317" s="1549"/>
      <c r="AU317" s="1178"/>
      <c r="AV317" s="1179"/>
      <c r="AY317" s="3">
        <v>1</v>
      </c>
    </row>
    <row r="318" spans="2:51" ht="18.75">
      <c r="B318" s="104"/>
      <c r="C318" s="1172"/>
      <c r="D318" s="1172"/>
      <c r="E318" s="1172"/>
      <c r="F318" s="1173"/>
      <c r="G318" s="1174"/>
      <c r="H318" s="1175"/>
      <c r="I318" s="1176"/>
      <c r="J318" s="1177"/>
      <c r="K318" s="1547"/>
      <c r="L318" s="1177"/>
      <c r="M318" s="1548"/>
      <c r="N318" s="1549"/>
      <c r="O318" s="1178"/>
      <c r="P318" s="1179"/>
      <c r="R318" s="104"/>
      <c r="S318" s="1172"/>
      <c r="T318" s="1172"/>
      <c r="U318" s="1172"/>
      <c r="V318" s="1173"/>
      <c r="W318" s="1174"/>
      <c r="X318" s="1175"/>
      <c r="Y318" s="1176"/>
      <c r="Z318" s="1177"/>
      <c r="AA318" s="1547"/>
      <c r="AB318" s="1177"/>
      <c r="AC318" s="1548"/>
      <c r="AD318" s="1549"/>
      <c r="AE318" s="1178"/>
      <c r="AF318" s="1179"/>
      <c r="AH318" s="104"/>
      <c r="AI318" s="1172"/>
      <c r="AJ318" s="1172"/>
      <c r="AK318" s="1172"/>
      <c r="AL318" s="1173"/>
      <c r="AM318" s="1174"/>
      <c r="AN318" s="1175"/>
      <c r="AO318" s="1176"/>
      <c r="AP318" s="1177"/>
      <c r="AQ318" s="1547"/>
      <c r="AR318" s="1177"/>
      <c r="AS318" s="1548"/>
      <c r="AT318" s="1549"/>
      <c r="AU318" s="1178"/>
      <c r="AV318" s="1179"/>
      <c r="AY318" s="3">
        <v>1</v>
      </c>
    </row>
    <row r="319" spans="2:51" ht="18.75">
      <c r="B319" s="104"/>
      <c r="C319" s="1172"/>
      <c r="D319" s="1172"/>
      <c r="E319" s="1172"/>
      <c r="F319" s="1173"/>
      <c r="G319" s="1174"/>
      <c r="H319" s="1175"/>
      <c r="I319" s="1176"/>
      <c r="J319" s="1177"/>
      <c r="K319" s="1547"/>
      <c r="L319" s="1177"/>
      <c r="M319" s="1548"/>
      <c r="N319" s="1549"/>
      <c r="O319" s="1178"/>
      <c r="P319" s="1179"/>
      <c r="R319" s="104"/>
      <c r="S319" s="1172"/>
      <c r="T319" s="1172"/>
      <c r="U319" s="1172"/>
      <c r="V319" s="1173"/>
      <c r="W319" s="1174"/>
      <c r="X319" s="1175"/>
      <c r="Y319" s="1176"/>
      <c r="Z319" s="1177"/>
      <c r="AA319" s="1547"/>
      <c r="AB319" s="1177"/>
      <c r="AC319" s="1548"/>
      <c r="AD319" s="1549"/>
      <c r="AE319" s="1178"/>
      <c r="AF319" s="1179"/>
      <c r="AH319" s="104"/>
      <c r="AI319" s="1172"/>
      <c r="AJ319" s="1172"/>
      <c r="AK319" s="1172"/>
      <c r="AL319" s="1173"/>
      <c r="AM319" s="1174"/>
      <c r="AN319" s="1175"/>
      <c r="AO319" s="1176"/>
      <c r="AP319" s="1177"/>
      <c r="AQ319" s="1547"/>
      <c r="AR319" s="1177"/>
      <c r="AS319" s="1548"/>
      <c r="AT319" s="1549"/>
      <c r="AU319" s="1178"/>
      <c r="AV319" s="1179"/>
      <c r="AY319" s="3">
        <v>1</v>
      </c>
    </row>
    <row r="320" spans="2:51" ht="18.75">
      <c r="B320" s="104"/>
      <c r="C320" s="1172"/>
      <c r="D320" s="1172"/>
      <c r="E320" s="1172"/>
      <c r="F320" s="1173"/>
      <c r="G320" s="1174"/>
      <c r="H320" s="1175"/>
      <c r="I320" s="1176"/>
      <c r="J320" s="1177"/>
      <c r="K320" s="1547"/>
      <c r="L320" s="1177"/>
      <c r="M320" s="1548"/>
      <c r="N320" s="1549"/>
      <c r="O320" s="1178"/>
      <c r="P320" s="1179"/>
      <c r="R320" s="104"/>
      <c r="S320" s="1172"/>
      <c r="T320" s="1172"/>
      <c r="U320" s="1172"/>
      <c r="V320" s="1173"/>
      <c r="W320" s="1174"/>
      <c r="X320" s="1175"/>
      <c r="Y320" s="1176"/>
      <c r="Z320" s="1177"/>
      <c r="AA320" s="1547"/>
      <c r="AB320" s="1177"/>
      <c r="AC320" s="1548"/>
      <c r="AD320" s="1549"/>
      <c r="AE320" s="1178"/>
      <c r="AF320" s="1179"/>
      <c r="AH320" s="104"/>
      <c r="AI320" s="1172"/>
      <c r="AJ320" s="1172"/>
      <c r="AK320" s="1172"/>
      <c r="AL320" s="1173"/>
      <c r="AM320" s="1174"/>
      <c r="AN320" s="1175"/>
      <c r="AO320" s="1176"/>
      <c r="AP320" s="1177"/>
      <c r="AQ320" s="1547"/>
      <c r="AR320" s="1177"/>
      <c r="AS320" s="1548"/>
      <c r="AT320" s="1549"/>
      <c r="AU320" s="1178"/>
      <c r="AV320" s="1179"/>
      <c r="AY320" s="3">
        <v>1</v>
      </c>
    </row>
    <row r="321" spans="2:51" ht="18.75">
      <c r="B321" s="104"/>
      <c r="C321" s="1172"/>
      <c r="D321" s="1172"/>
      <c r="E321" s="1172"/>
      <c r="F321" s="1173"/>
      <c r="G321" s="1174"/>
      <c r="H321" s="1175"/>
      <c r="I321" s="1176"/>
      <c r="J321" s="1177"/>
      <c r="K321" s="1547"/>
      <c r="L321" s="1177"/>
      <c r="M321" s="1548"/>
      <c r="N321" s="1549"/>
      <c r="O321" s="1178"/>
      <c r="P321" s="1179"/>
      <c r="R321" s="104"/>
      <c r="S321" s="1172"/>
      <c r="T321" s="1172"/>
      <c r="U321" s="1172"/>
      <c r="V321" s="1173"/>
      <c r="W321" s="1174"/>
      <c r="X321" s="1175"/>
      <c r="Y321" s="1176"/>
      <c r="Z321" s="1177"/>
      <c r="AA321" s="1547"/>
      <c r="AB321" s="1177"/>
      <c r="AC321" s="1548"/>
      <c r="AD321" s="1549"/>
      <c r="AE321" s="1178"/>
      <c r="AF321" s="1179"/>
      <c r="AH321" s="104"/>
      <c r="AI321" s="1172"/>
      <c r="AJ321" s="1172"/>
      <c r="AK321" s="1172"/>
      <c r="AL321" s="1173"/>
      <c r="AM321" s="1174"/>
      <c r="AN321" s="1175"/>
      <c r="AO321" s="1176"/>
      <c r="AP321" s="1177"/>
      <c r="AQ321" s="1547"/>
      <c r="AR321" s="1177"/>
      <c r="AS321" s="1548"/>
      <c r="AT321" s="1549"/>
      <c r="AU321" s="1178"/>
      <c r="AV321" s="1179"/>
      <c r="AY321" s="3">
        <v>1</v>
      </c>
    </row>
    <row r="322" spans="2:51" ht="18.75">
      <c r="B322" s="104"/>
      <c r="C322" s="1172"/>
      <c r="D322" s="1172"/>
      <c r="E322" s="1172"/>
      <c r="F322" s="1173"/>
      <c r="G322" s="1174"/>
      <c r="H322" s="1175"/>
      <c r="I322" s="1176"/>
      <c r="J322" s="1177"/>
      <c r="K322" s="1547"/>
      <c r="L322" s="1177"/>
      <c r="M322" s="1548"/>
      <c r="N322" s="1549"/>
      <c r="O322" s="1178"/>
      <c r="P322" s="1179"/>
      <c r="R322" s="104"/>
      <c r="S322" s="1172"/>
      <c r="T322" s="1172"/>
      <c r="U322" s="1172"/>
      <c r="V322" s="1173"/>
      <c r="W322" s="1174"/>
      <c r="X322" s="1175"/>
      <c r="Y322" s="1176"/>
      <c r="Z322" s="1177"/>
      <c r="AA322" s="1547"/>
      <c r="AB322" s="1177"/>
      <c r="AC322" s="1548"/>
      <c r="AD322" s="1549"/>
      <c r="AE322" s="1178"/>
      <c r="AF322" s="1179"/>
      <c r="AH322" s="104"/>
      <c r="AI322" s="1172"/>
      <c r="AJ322" s="1172"/>
      <c r="AK322" s="1172"/>
      <c r="AL322" s="1173"/>
      <c r="AM322" s="1174"/>
      <c r="AN322" s="1175"/>
      <c r="AO322" s="1176"/>
      <c r="AP322" s="1177"/>
      <c r="AQ322" s="1547"/>
      <c r="AR322" s="1177"/>
      <c r="AS322" s="1548"/>
      <c r="AT322" s="1549"/>
      <c r="AU322" s="1178"/>
      <c r="AV322" s="1179"/>
      <c r="AY322" s="3">
        <v>1</v>
      </c>
    </row>
    <row r="323" spans="2:51" ht="18.75">
      <c r="B323" s="104"/>
      <c r="C323" s="1172"/>
      <c r="D323" s="1172"/>
      <c r="E323" s="1172"/>
      <c r="F323" s="1173"/>
      <c r="G323" s="1174"/>
      <c r="H323" s="1175"/>
      <c r="I323" s="1176"/>
      <c r="J323" s="1177"/>
      <c r="K323" s="1547"/>
      <c r="L323" s="1177"/>
      <c r="M323" s="1548"/>
      <c r="N323" s="1549"/>
      <c r="O323" s="1178"/>
      <c r="P323" s="1179"/>
      <c r="R323" s="104"/>
      <c r="S323" s="1172"/>
      <c r="T323" s="1172"/>
      <c r="U323" s="1172"/>
      <c r="V323" s="1173"/>
      <c r="W323" s="1174"/>
      <c r="X323" s="1175"/>
      <c r="Y323" s="1176"/>
      <c r="Z323" s="1177"/>
      <c r="AA323" s="1547"/>
      <c r="AB323" s="1177"/>
      <c r="AC323" s="1548"/>
      <c r="AD323" s="1549"/>
      <c r="AE323" s="1178"/>
      <c r="AF323" s="1179"/>
      <c r="AH323" s="104"/>
      <c r="AI323" s="1172"/>
      <c r="AJ323" s="1172"/>
      <c r="AK323" s="1172"/>
      <c r="AL323" s="1173"/>
      <c r="AM323" s="1174"/>
      <c r="AN323" s="1175"/>
      <c r="AO323" s="1176"/>
      <c r="AP323" s="1177"/>
      <c r="AQ323" s="1547"/>
      <c r="AR323" s="1177"/>
      <c r="AS323" s="1548"/>
      <c r="AT323" s="1549"/>
      <c r="AU323" s="1178"/>
      <c r="AV323" s="1179"/>
      <c r="AY323" s="3">
        <v>1</v>
      </c>
    </row>
    <row r="324" spans="2:51" ht="18.75">
      <c r="B324" s="104"/>
      <c r="C324" s="1172"/>
      <c r="D324" s="1172"/>
      <c r="E324" s="1172"/>
      <c r="F324" s="1173"/>
      <c r="G324" s="1174"/>
      <c r="H324" s="1175"/>
      <c r="I324" s="1176"/>
      <c r="J324" s="1177"/>
      <c r="K324" s="1547"/>
      <c r="L324" s="1177"/>
      <c r="M324" s="1548"/>
      <c r="N324" s="1549"/>
      <c r="O324" s="1178"/>
      <c r="P324" s="1179"/>
      <c r="R324" s="104"/>
      <c r="S324" s="1172"/>
      <c r="T324" s="1172"/>
      <c r="U324" s="1172"/>
      <c r="V324" s="1173"/>
      <c r="W324" s="1174"/>
      <c r="X324" s="1175"/>
      <c r="Y324" s="1176"/>
      <c r="Z324" s="1177"/>
      <c r="AA324" s="1547"/>
      <c r="AB324" s="1177"/>
      <c r="AC324" s="1548"/>
      <c r="AD324" s="1549"/>
      <c r="AE324" s="1178"/>
      <c r="AF324" s="1179"/>
      <c r="AH324" s="104"/>
      <c r="AI324" s="1172"/>
      <c r="AJ324" s="1172"/>
      <c r="AK324" s="1172"/>
      <c r="AL324" s="1173"/>
      <c r="AM324" s="1174"/>
      <c r="AN324" s="1175"/>
      <c r="AO324" s="1176"/>
      <c r="AP324" s="1177"/>
      <c r="AQ324" s="1547"/>
      <c r="AR324" s="1177"/>
      <c r="AS324" s="1548"/>
      <c r="AT324" s="1549"/>
      <c r="AU324" s="1178"/>
      <c r="AV324" s="1179"/>
      <c r="AY324" s="3">
        <v>1</v>
      </c>
    </row>
    <row r="325" spans="2:51" ht="18.75">
      <c r="B325" s="104"/>
      <c r="C325" s="1172"/>
      <c r="D325" s="1172"/>
      <c r="E325" s="1172"/>
      <c r="F325" s="1173"/>
      <c r="G325" s="1174"/>
      <c r="H325" s="1175"/>
      <c r="I325" s="1176"/>
      <c r="J325" s="1177"/>
      <c r="K325" s="1547"/>
      <c r="L325" s="1177"/>
      <c r="M325" s="1548"/>
      <c r="N325" s="1549"/>
      <c r="O325" s="1178"/>
      <c r="P325" s="1179"/>
      <c r="R325" s="104"/>
      <c r="S325" s="1172"/>
      <c r="T325" s="1172"/>
      <c r="U325" s="1172"/>
      <c r="V325" s="1173"/>
      <c r="W325" s="1174"/>
      <c r="X325" s="1175"/>
      <c r="Y325" s="1176"/>
      <c r="Z325" s="1177"/>
      <c r="AA325" s="1547"/>
      <c r="AB325" s="1177"/>
      <c r="AC325" s="1548"/>
      <c r="AD325" s="1549"/>
      <c r="AE325" s="1178"/>
      <c r="AF325" s="1179"/>
      <c r="AH325" s="104"/>
      <c r="AI325" s="1172"/>
      <c r="AJ325" s="1172"/>
      <c r="AK325" s="1172"/>
      <c r="AL325" s="1173"/>
      <c r="AM325" s="1174"/>
      <c r="AN325" s="1175"/>
      <c r="AO325" s="1176"/>
      <c r="AP325" s="1177"/>
      <c r="AQ325" s="1547"/>
      <c r="AR325" s="1177"/>
      <c r="AS325" s="1548"/>
      <c r="AT325" s="1549"/>
      <c r="AU325" s="1178"/>
      <c r="AV325" s="1179"/>
      <c r="AY325" s="3">
        <v>1</v>
      </c>
    </row>
    <row r="326" spans="2:51" ht="18.75">
      <c r="B326" s="104"/>
      <c r="C326" s="1172"/>
      <c r="D326" s="1172"/>
      <c r="E326" s="1172"/>
      <c r="F326" s="1173"/>
      <c r="G326" s="1174"/>
      <c r="H326" s="1175"/>
      <c r="I326" s="1176"/>
      <c r="J326" s="1177"/>
      <c r="K326" s="1547"/>
      <c r="L326" s="1177"/>
      <c r="M326" s="1548"/>
      <c r="N326" s="1549"/>
      <c r="O326" s="1178"/>
      <c r="P326" s="1179"/>
      <c r="R326" s="104"/>
      <c r="S326" s="1172"/>
      <c r="T326" s="1172"/>
      <c r="U326" s="1172"/>
      <c r="V326" s="1173"/>
      <c r="W326" s="1174"/>
      <c r="X326" s="1175"/>
      <c r="Y326" s="1176"/>
      <c r="Z326" s="1177"/>
      <c r="AA326" s="1547"/>
      <c r="AB326" s="1177"/>
      <c r="AC326" s="1548"/>
      <c r="AD326" s="1549"/>
      <c r="AE326" s="1178"/>
      <c r="AF326" s="1179"/>
      <c r="AH326" s="104"/>
      <c r="AI326" s="1172"/>
      <c r="AJ326" s="1172"/>
      <c r="AK326" s="1172"/>
      <c r="AL326" s="1173"/>
      <c r="AM326" s="1174"/>
      <c r="AN326" s="1175"/>
      <c r="AO326" s="1176"/>
      <c r="AP326" s="1177"/>
      <c r="AQ326" s="1547"/>
      <c r="AR326" s="1177"/>
      <c r="AS326" s="1548"/>
      <c r="AT326" s="1549"/>
      <c r="AU326" s="1178"/>
      <c r="AV326" s="1179"/>
      <c r="AY326" s="3">
        <v>1</v>
      </c>
    </row>
    <row r="327" spans="2:51" ht="18.75">
      <c r="B327" s="104"/>
      <c r="C327" s="1172"/>
      <c r="D327" s="1172"/>
      <c r="E327" s="1172"/>
      <c r="F327" s="1173"/>
      <c r="G327" s="1174"/>
      <c r="H327" s="1175"/>
      <c r="I327" s="1176"/>
      <c r="J327" s="1177"/>
      <c r="K327" s="1547"/>
      <c r="L327" s="1177"/>
      <c r="M327" s="1548"/>
      <c r="N327" s="1549"/>
      <c r="O327" s="1178"/>
      <c r="P327" s="1179"/>
      <c r="R327" s="104"/>
      <c r="S327" s="1172"/>
      <c r="T327" s="1172"/>
      <c r="U327" s="1172"/>
      <c r="V327" s="1173"/>
      <c r="W327" s="1174"/>
      <c r="X327" s="1175"/>
      <c r="Y327" s="1176"/>
      <c r="Z327" s="1177"/>
      <c r="AA327" s="1547"/>
      <c r="AB327" s="1177"/>
      <c r="AC327" s="1548"/>
      <c r="AD327" s="1549"/>
      <c r="AE327" s="1178"/>
      <c r="AF327" s="1179"/>
      <c r="AH327" s="104"/>
      <c r="AI327" s="1172"/>
      <c r="AJ327" s="1172"/>
      <c r="AK327" s="1172"/>
      <c r="AL327" s="1173"/>
      <c r="AM327" s="1174"/>
      <c r="AN327" s="1175"/>
      <c r="AO327" s="1176"/>
      <c r="AP327" s="1177"/>
      <c r="AQ327" s="1547"/>
      <c r="AR327" s="1177"/>
      <c r="AS327" s="1548"/>
      <c r="AT327" s="1549"/>
      <c r="AU327" s="1178"/>
      <c r="AV327" s="1179"/>
      <c r="AY327" s="3">
        <v>1</v>
      </c>
    </row>
    <row r="328" spans="2:51" ht="18.75">
      <c r="B328" s="104"/>
      <c r="C328" s="1172"/>
      <c r="D328" s="1172"/>
      <c r="E328" s="1172"/>
      <c r="F328" s="1173"/>
      <c r="G328" s="1174"/>
      <c r="H328" s="1175"/>
      <c r="I328" s="1176"/>
      <c r="J328" s="1177"/>
      <c r="K328" s="1547"/>
      <c r="L328" s="1177"/>
      <c r="M328" s="1548"/>
      <c r="N328" s="1549"/>
      <c r="O328" s="1178"/>
      <c r="P328" s="1179"/>
      <c r="R328" s="104"/>
      <c r="S328" s="1172"/>
      <c r="T328" s="1172"/>
      <c r="U328" s="1172"/>
      <c r="V328" s="1173"/>
      <c r="W328" s="1174"/>
      <c r="X328" s="1175"/>
      <c r="Y328" s="1176"/>
      <c r="Z328" s="1177"/>
      <c r="AA328" s="1547"/>
      <c r="AB328" s="1177"/>
      <c r="AC328" s="1548"/>
      <c r="AD328" s="1549"/>
      <c r="AE328" s="1178"/>
      <c r="AF328" s="1179"/>
      <c r="AH328" s="104"/>
      <c r="AI328" s="1172"/>
      <c r="AJ328" s="1172"/>
      <c r="AK328" s="1172"/>
      <c r="AL328" s="1173"/>
      <c r="AM328" s="1174"/>
      <c r="AN328" s="1175"/>
      <c r="AO328" s="1176"/>
      <c r="AP328" s="1177"/>
      <c r="AQ328" s="1547"/>
      <c r="AR328" s="1177"/>
      <c r="AS328" s="1548"/>
      <c r="AT328" s="1549"/>
      <c r="AU328" s="1178"/>
      <c r="AV328" s="1179"/>
      <c r="AY328" s="3">
        <v>1</v>
      </c>
    </row>
    <row r="329" spans="2:51" ht="18.75">
      <c r="B329" s="104"/>
      <c r="C329" s="1172"/>
      <c r="D329" s="1172"/>
      <c r="E329" s="1172"/>
      <c r="F329" s="1173"/>
      <c r="G329" s="1174"/>
      <c r="H329" s="1175"/>
      <c r="I329" s="1176"/>
      <c r="J329" s="1177"/>
      <c r="K329" s="1547"/>
      <c r="L329" s="1177"/>
      <c r="M329" s="1548"/>
      <c r="N329" s="1549"/>
      <c r="O329" s="1178"/>
      <c r="P329" s="1179"/>
      <c r="R329" s="104"/>
      <c r="S329" s="1172"/>
      <c r="T329" s="1172"/>
      <c r="U329" s="1172"/>
      <c r="V329" s="1173"/>
      <c r="W329" s="1174"/>
      <c r="X329" s="1175"/>
      <c r="Y329" s="1176"/>
      <c r="Z329" s="1177"/>
      <c r="AA329" s="1547"/>
      <c r="AB329" s="1177"/>
      <c r="AC329" s="1548"/>
      <c r="AD329" s="1549"/>
      <c r="AE329" s="1178"/>
      <c r="AF329" s="1179"/>
      <c r="AH329" s="104"/>
      <c r="AI329" s="1172"/>
      <c r="AJ329" s="1172"/>
      <c r="AK329" s="1172"/>
      <c r="AL329" s="1173"/>
      <c r="AM329" s="1174"/>
      <c r="AN329" s="1175"/>
      <c r="AO329" s="1176"/>
      <c r="AP329" s="1177"/>
      <c r="AQ329" s="1547"/>
      <c r="AR329" s="1177"/>
      <c r="AS329" s="1548"/>
      <c r="AT329" s="1549"/>
      <c r="AU329" s="1178"/>
      <c r="AV329" s="1179"/>
      <c r="AY329" s="3">
        <v>1</v>
      </c>
    </row>
    <row r="330" spans="2:51" ht="18.75">
      <c r="B330" s="104"/>
      <c r="C330" s="1172"/>
      <c r="D330" s="1172"/>
      <c r="E330" s="1172"/>
      <c r="F330" s="1173"/>
      <c r="G330" s="1174"/>
      <c r="H330" s="1175"/>
      <c r="I330" s="1176"/>
      <c r="J330" s="1177"/>
      <c r="K330" s="1547"/>
      <c r="L330" s="1177"/>
      <c r="M330" s="1548"/>
      <c r="N330" s="1549"/>
      <c r="O330" s="1178"/>
      <c r="P330" s="1179"/>
      <c r="R330" s="104"/>
      <c r="S330" s="1172"/>
      <c r="T330" s="1172"/>
      <c r="U330" s="1172"/>
      <c r="V330" s="1173"/>
      <c r="W330" s="1174"/>
      <c r="X330" s="1175"/>
      <c r="Y330" s="1176"/>
      <c r="Z330" s="1177"/>
      <c r="AA330" s="1547"/>
      <c r="AB330" s="1177"/>
      <c r="AC330" s="1548"/>
      <c r="AD330" s="1549"/>
      <c r="AE330" s="1178"/>
      <c r="AF330" s="1179"/>
      <c r="AH330" s="104"/>
      <c r="AI330" s="1172"/>
      <c r="AJ330" s="1172"/>
      <c r="AK330" s="1172"/>
      <c r="AL330" s="1173"/>
      <c r="AM330" s="1174"/>
      <c r="AN330" s="1175"/>
      <c r="AO330" s="1176"/>
      <c r="AP330" s="1177"/>
      <c r="AQ330" s="1547"/>
      <c r="AR330" s="1177"/>
      <c r="AS330" s="1548"/>
      <c r="AT330" s="1549"/>
      <c r="AU330" s="1178"/>
      <c r="AV330" s="1179"/>
      <c r="AY330" s="3">
        <v>1</v>
      </c>
    </row>
    <row r="331" spans="2:51" ht="18.75">
      <c r="B331" s="104"/>
      <c r="C331" s="1172"/>
      <c r="D331" s="1172"/>
      <c r="E331" s="1172"/>
      <c r="F331" s="1173"/>
      <c r="G331" s="1174"/>
      <c r="H331" s="1175"/>
      <c r="I331" s="1176"/>
      <c r="J331" s="1177"/>
      <c r="K331" s="1547"/>
      <c r="L331" s="1177"/>
      <c r="M331" s="1548"/>
      <c r="N331" s="1549"/>
      <c r="O331" s="1178"/>
      <c r="P331" s="1179"/>
      <c r="R331" s="104"/>
      <c r="S331" s="1172"/>
      <c r="T331" s="1172"/>
      <c r="U331" s="1172"/>
      <c r="V331" s="1173"/>
      <c r="W331" s="1174"/>
      <c r="X331" s="1175"/>
      <c r="Y331" s="1176"/>
      <c r="Z331" s="1177"/>
      <c r="AA331" s="1547"/>
      <c r="AB331" s="1177"/>
      <c r="AC331" s="1548"/>
      <c r="AD331" s="1549"/>
      <c r="AE331" s="1178"/>
      <c r="AF331" s="1179"/>
      <c r="AH331" s="104"/>
      <c r="AI331" s="1172"/>
      <c r="AJ331" s="1172"/>
      <c r="AK331" s="1172"/>
      <c r="AL331" s="1173"/>
      <c r="AM331" s="1174"/>
      <c r="AN331" s="1175"/>
      <c r="AO331" s="1176"/>
      <c r="AP331" s="1177"/>
      <c r="AQ331" s="1547"/>
      <c r="AR331" s="1177"/>
      <c r="AS331" s="1548"/>
      <c r="AT331" s="1549"/>
      <c r="AU331" s="1178"/>
      <c r="AV331" s="1179"/>
      <c r="AY331" s="3">
        <v>1</v>
      </c>
    </row>
    <row r="332" spans="2:51" ht="18.75">
      <c r="B332" s="104"/>
      <c r="C332" s="1172"/>
      <c r="D332" s="1172"/>
      <c r="E332" s="1172"/>
      <c r="F332" s="1173"/>
      <c r="G332" s="1174"/>
      <c r="H332" s="1175"/>
      <c r="I332" s="1176"/>
      <c r="J332" s="1177"/>
      <c r="K332" s="1547"/>
      <c r="L332" s="1177"/>
      <c r="M332" s="1548"/>
      <c r="N332" s="1549"/>
      <c r="O332" s="1178"/>
      <c r="P332" s="1179"/>
      <c r="R332" s="104"/>
      <c r="S332" s="1172"/>
      <c r="T332" s="1172"/>
      <c r="U332" s="1172"/>
      <c r="V332" s="1173"/>
      <c r="W332" s="1174"/>
      <c r="X332" s="1175"/>
      <c r="Y332" s="1176"/>
      <c r="Z332" s="1177"/>
      <c r="AA332" s="1547"/>
      <c r="AB332" s="1177"/>
      <c r="AC332" s="1548"/>
      <c r="AD332" s="1549"/>
      <c r="AE332" s="1178"/>
      <c r="AF332" s="1179"/>
      <c r="AH332" s="104"/>
      <c r="AI332" s="1172"/>
      <c r="AJ332" s="1172"/>
      <c r="AK332" s="1172"/>
      <c r="AL332" s="1173"/>
      <c r="AM332" s="1174"/>
      <c r="AN332" s="1175"/>
      <c r="AO332" s="1176"/>
      <c r="AP332" s="1177"/>
      <c r="AQ332" s="1547"/>
      <c r="AR332" s="1177"/>
      <c r="AS332" s="1548"/>
      <c r="AT332" s="1549"/>
      <c r="AU332" s="1178"/>
      <c r="AV332" s="1179"/>
      <c r="AY332" s="3">
        <v>1</v>
      </c>
    </row>
    <row r="333" spans="2:51" ht="18.75">
      <c r="B333" s="104"/>
      <c r="C333" s="1172"/>
      <c r="D333" s="1172"/>
      <c r="E333" s="1172"/>
      <c r="F333" s="1173"/>
      <c r="G333" s="1174"/>
      <c r="H333" s="1175"/>
      <c r="I333" s="1176"/>
      <c r="J333" s="1177"/>
      <c r="K333" s="1547"/>
      <c r="L333" s="1177"/>
      <c r="M333" s="1548"/>
      <c r="N333" s="1549"/>
      <c r="O333" s="1178"/>
      <c r="P333" s="1179"/>
      <c r="R333" s="104"/>
      <c r="S333" s="1172"/>
      <c r="T333" s="1172"/>
      <c r="U333" s="1172"/>
      <c r="V333" s="1173"/>
      <c r="W333" s="1174"/>
      <c r="X333" s="1175"/>
      <c r="Y333" s="1176"/>
      <c r="Z333" s="1177"/>
      <c r="AA333" s="1547"/>
      <c r="AB333" s="1177"/>
      <c r="AC333" s="1548"/>
      <c r="AD333" s="1549"/>
      <c r="AE333" s="1178"/>
      <c r="AF333" s="1179"/>
      <c r="AH333" s="104"/>
      <c r="AI333" s="1172"/>
      <c r="AJ333" s="1172"/>
      <c r="AK333" s="1172"/>
      <c r="AL333" s="1173"/>
      <c r="AM333" s="1174"/>
      <c r="AN333" s="1175"/>
      <c r="AO333" s="1176"/>
      <c r="AP333" s="1177"/>
      <c r="AQ333" s="1547"/>
      <c r="AR333" s="1177"/>
      <c r="AS333" s="1548"/>
      <c r="AT333" s="1549"/>
      <c r="AU333" s="1178"/>
      <c r="AV333" s="1179"/>
      <c r="AY333" s="3">
        <v>1</v>
      </c>
    </row>
    <row r="334" spans="2:51" ht="18.75">
      <c r="B334" s="104"/>
      <c r="C334" s="1172"/>
      <c r="D334" s="1172"/>
      <c r="E334" s="1172"/>
      <c r="F334" s="1173"/>
      <c r="G334" s="1174"/>
      <c r="H334" s="1175"/>
      <c r="I334" s="1176"/>
      <c r="J334" s="1177"/>
      <c r="K334" s="1547"/>
      <c r="L334" s="1177"/>
      <c r="M334" s="1548"/>
      <c r="N334" s="1549"/>
      <c r="O334" s="1178"/>
      <c r="P334" s="1179"/>
      <c r="R334" s="104"/>
      <c r="S334" s="1172"/>
      <c r="T334" s="1172"/>
      <c r="U334" s="1172"/>
      <c r="V334" s="1173"/>
      <c r="W334" s="1174"/>
      <c r="X334" s="1175"/>
      <c r="Y334" s="1176"/>
      <c r="Z334" s="1177"/>
      <c r="AA334" s="1547"/>
      <c r="AB334" s="1177"/>
      <c r="AC334" s="1548"/>
      <c r="AD334" s="1549"/>
      <c r="AE334" s="1178"/>
      <c r="AF334" s="1179"/>
      <c r="AH334" s="104"/>
      <c r="AI334" s="1172"/>
      <c r="AJ334" s="1172"/>
      <c r="AK334" s="1172"/>
      <c r="AL334" s="1173"/>
      <c r="AM334" s="1174"/>
      <c r="AN334" s="1175"/>
      <c r="AO334" s="1176"/>
      <c r="AP334" s="1177"/>
      <c r="AQ334" s="1547"/>
      <c r="AR334" s="1177"/>
      <c r="AS334" s="1548"/>
      <c r="AT334" s="1549"/>
      <c r="AU334" s="1178"/>
      <c r="AV334" s="1179"/>
      <c r="AY334" s="3">
        <v>1</v>
      </c>
    </row>
    <row r="335" spans="2:51" ht="18.75">
      <c r="B335" s="104"/>
      <c r="C335" s="1172"/>
      <c r="D335" s="1172"/>
      <c r="E335" s="1172"/>
      <c r="F335" s="1173"/>
      <c r="G335" s="1174"/>
      <c r="H335" s="1175"/>
      <c r="I335" s="1176"/>
      <c r="J335" s="1177"/>
      <c r="K335" s="1547"/>
      <c r="L335" s="1177"/>
      <c r="M335" s="1548"/>
      <c r="N335" s="1549"/>
      <c r="O335" s="1178"/>
      <c r="P335" s="1179"/>
      <c r="R335" s="104"/>
      <c r="S335" s="1172"/>
      <c r="T335" s="1172"/>
      <c r="U335" s="1172"/>
      <c r="V335" s="1173"/>
      <c r="W335" s="1174"/>
      <c r="X335" s="1175"/>
      <c r="Y335" s="1176"/>
      <c r="Z335" s="1177"/>
      <c r="AA335" s="1547"/>
      <c r="AB335" s="1177"/>
      <c r="AC335" s="1548"/>
      <c r="AD335" s="1549"/>
      <c r="AE335" s="1178"/>
      <c r="AF335" s="1179"/>
      <c r="AH335" s="104"/>
      <c r="AI335" s="1172"/>
      <c r="AJ335" s="1172"/>
      <c r="AK335" s="1172"/>
      <c r="AL335" s="1173"/>
      <c r="AM335" s="1174"/>
      <c r="AN335" s="1175"/>
      <c r="AO335" s="1176"/>
      <c r="AP335" s="1177"/>
      <c r="AQ335" s="1547"/>
      <c r="AR335" s="1177"/>
      <c r="AS335" s="1548"/>
      <c r="AT335" s="1549"/>
      <c r="AU335" s="1178"/>
      <c r="AV335" s="1179"/>
      <c r="AY335" s="3">
        <v>1</v>
      </c>
    </row>
    <row r="336" spans="2:51" ht="18.75">
      <c r="B336" s="104"/>
      <c r="C336" s="1172"/>
      <c r="D336" s="1172"/>
      <c r="E336" s="1172"/>
      <c r="F336" s="1173"/>
      <c r="G336" s="1174"/>
      <c r="H336" s="1175"/>
      <c r="I336" s="1176"/>
      <c r="J336" s="1177"/>
      <c r="K336" s="1547"/>
      <c r="L336" s="1177"/>
      <c r="M336" s="1548"/>
      <c r="N336" s="1549"/>
      <c r="O336" s="1178"/>
      <c r="P336" s="1179"/>
      <c r="R336" s="104"/>
      <c r="S336" s="1172"/>
      <c r="T336" s="1172"/>
      <c r="U336" s="1172"/>
      <c r="V336" s="1173"/>
      <c r="W336" s="1174"/>
      <c r="X336" s="1175"/>
      <c r="Y336" s="1176"/>
      <c r="Z336" s="1177"/>
      <c r="AA336" s="1547"/>
      <c r="AB336" s="1177"/>
      <c r="AC336" s="1548"/>
      <c r="AD336" s="1549"/>
      <c r="AE336" s="1178"/>
      <c r="AF336" s="1179"/>
      <c r="AH336" s="104"/>
      <c r="AI336" s="1172"/>
      <c r="AJ336" s="1172"/>
      <c r="AK336" s="1172"/>
      <c r="AL336" s="1173"/>
      <c r="AM336" s="1174"/>
      <c r="AN336" s="1175"/>
      <c r="AO336" s="1176"/>
      <c r="AP336" s="1177"/>
      <c r="AQ336" s="1547"/>
      <c r="AR336" s="1177"/>
      <c r="AS336" s="1548"/>
      <c r="AT336" s="1549"/>
      <c r="AU336" s="1178"/>
      <c r="AV336" s="1179"/>
      <c r="AY336" s="3">
        <v>1</v>
      </c>
    </row>
    <row r="337" spans="1:53" ht="18.75">
      <c r="B337" s="104"/>
      <c r="C337" s="1172"/>
      <c r="D337" s="1172"/>
      <c r="E337" s="1172"/>
      <c r="F337" s="1173"/>
      <c r="G337" s="1174"/>
      <c r="H337" s="1175"/>
      <c r="I337" s="1176"/>
      <c r="J337" s="1177"/>
      <c r="K337" s="1547"/>
      <c r="L337" s="1177"/>
      <c r="M337" s="1548"/>
      <c r="N337" s="1549"/>
      <c r="O337" s="1178"/>
      <c r="P337" s="1179"/>
      <c r="R337" s="104"/>
      <c r="S337" s="1172"/>
      <c r="T337" s="1172"/>
      <c r="U337" s="1172"/>
      <c r="V337" s="1173"/>
      <c r="W337" s="1174"/>
      <c r="X337" s="1175"/>
      <c r="Y337" s="1176"/>
      <c r="Z337" s="1177"/>
      <c r="AA337" s="1547"/>
      <c r="AB337" s="1177"/>
      <c r="AC337" s="1548"/>
      <c r="AD337" s="1549"/>
      <c r="AE337" s="1178"/>
      <c r="AF337" s="1179"/>
      <c r="AH337" s="104"/>
      <c r="AI337" s="1172"/>
      <c r="AJ337" s="1172"/>
      <c r="AK337" s="1172"/>
      <c r="AL337" s="1173"/>
      <c r="AM337" s="1174"/>
      <c r="AN337" s="1175"/>
      <c r="AO337" s="1176"/>
      <c r="AP337" s="1177"/>
      <c r="AQ337" s="1547"/>
      <c r="AR337" s="1177"/>
      <c r="AS337" s="1548"/>
      <c r="AT337" s="1549"/>
      <c r="AU337" s="1178"/>
      <c r="AV337" s="1179"/>
      <c r="AY337" s="3">
        <v>1</v>
      </c>
    </row>
    <row r="338" spans="1:53" ht="18.75">
      <c r="B338" s="104"/>
      <c r="C338" s="1172"/>
      <c r="D338" s="1172"/>
      <c r="E338" s="1172"/>
      <c r="F338" s="1173"/>
      <c r="G338" s="1174"/>
      <c r="H338" s="1175"/>
      <c r="I338" s="1176"/>
      <c r="J338" s="1177"/>
      <c r="K338" s="1547"/>
      <c r="L338" s="1177"/>
      <c r="M338" s="1548"/>
      <c r="N338" s="1549"/>
      <c r="O338" s="1178"/>
      <c r="P338" s="1179"/>
      <c r="R338" s="104"/>
      <c r="S338" s="1172"/>
      <c r="T338" s="1172"/>
      <c r="U338" s="1172"/>
      <c r="V338" s="1173"/>
      <c r="W338" s="1174"/>
      <c r="X338" s="1175"/>
      <c r="Y338" s="1176"/>
      <c r="Z338" s="1177"/>
      <c r="AA338" s="1547"/>
      <c r="AB338" s="1177"/>
      <c r="AC338" s="1548"/>
      <c r="AD338" s="1549"/>
      <c r="AE338" s="1178"/>
      <c r="AF338" s="1179"/>
      <c r="AH338" s="104"/>
      <c r="AI338" s="1172"/>
      <c r="AJ338" s="1172"/>
      <c r="AK338" s="1172"/>
      <c r="AL338" s="1173"/>
      <c r="AM338" s="1174"/>
      <c r="AN338" s="1175"/>
      <c r="AO338" s="1176"/>
      <c r="AP338" s="1177"/>
      <c r="AQ338" s="1547"/>
      <c r="AR338" s="1177"/>
      <c r="AS338" s="1548"/>
      <c r="AT338" s="1549"/>
      <c r="AU338" s="1178"/>
      <c r="AV338" s="1179"/>
      <c r="AY338" s="3">
        <v>1</v>
      </c>
    </row>
    <row r="339" spans="1:53" ht="18.75">
      <c r="B339" s="104"/>
      <c r="C339" s="1172"/>
      <c r="D339" s="1172"/>
      <c r="E339" s="1172"/>
      <c r="F339" s="1173"/>
      <c r="G339" s="1174"/>
      <c r="H339" s="1175"/>
      <c r="I339" s="1176"/>
      <c r="J339" s="1177"/>
      <c r="K339" s="1547"/>
      <c r="L339" s="1177"/>
      <c r="M339" s="1548"/>
      <c r="N339" s="1549"/>
      <c r="O339" s="1178"/>
      <c r="P339" s="1179"/>
      <c r="R339" s="104"/>
      <c r="S339" s="1172"/>
      <c r="T339" s="1172"/>
      <c r="U339" s="1172"/>
      <c r="V339" s="1173"/>
      <c r="W339" s="1174"/>
      <c r="X339" s="1175"/>
      <c r="Y339" s="1176"/>
      <c r="Z339" s="1177"/>
      <c r="AA339" s="1547"/>
      <c r="AB339" s="1177"/>
      <c r="AC339" s="1548"/>
      <c r="AD339" s="1549"/>
      <c r="AE339" s="1178"/>
      <c r="AF339" s="1179"/>
      <c r="AH339" s="104"/>
      <c r="AI339" s="1172"/>
      <c r="AJ339" s="1172"/>
      <c r="AK339" s="1172"/>
      <c r="AL339" s="1173"/>
      <c r="AM339" s="1174"/>
      <c r="AN339" s="1175"/>
      <c r="AO339" s="1176"/>
      <c r="AP339" s="1177"/>
      <c r="AQ339" s="1547"/>
      <c r="AR339" s="1177"/>
      <c r="AS339" s="1548"/>
      <c r="AT339" s="1549"/>
      <c r="AU339" s="1178"/>
      <c r="AV339" s="1179"/>
      <c r="AY339" s="3">
        <v>1</v>
      </c>
    </row>
    <row r="340" spans="1:53" ht="18.75">
      <c r="B340" s="104"/>
      <c r="C340" s="1172"/>
      <c r="D340" s="1172"/>
      <c r="E340" s="1172"/>
      <c r="F340" s="1173"/>
      <c r="G340" s="1174"/>
      <c r="H340" s="1175"/>
      <c r="I340" s="1176"/>
      <c r="J340" s="1177"/>
      <c r="K340" s="1547"/>
      <c r="L340" s="1177"/>
      <c r="M340" s="1548"/>
      <c r="N340" s="1549"/>
      <c r="O340" s="1178"/>
      <c r="P340" s="1179"/>
      <c r="R340" s="104"/>
      <c r="S340" s="1172"/>
      <c r="T340" s="1172"/>
      <c r="U340" s="1172"/>
      <c r="V340" s="1173"/>
      <c r="W340" s="1174"/>
      <c r="X340" s="1175"/>
      <c r="Y340" s="1176"/>
      <c r="Z340" s="1177"/>
      <c r="AA340" s="1547"/>
      <c r="AB340" s="1177"/>
      <c r="AC340" s="1548"/>
      <c r="AD340" s="1549"/>
      <c r="AE340" s="1178"/>
      <c r="AF340" s="1179"/>
      <c r="AH340" s="104"/>
      <c r="AI340" s="1172"/>
      <c r="AJ340" s="1172"/>
      <c r="AK340" s="1172"/>
      <c r="AL340" s="1173"/>
      <c r="AM340" s="1174"/>
      <c r="AN340" s="1175"/>
      <c r="AO340" s="1176"/>
      <c r="AP340" s="1177"/>
      <c r="AQ340" s="1547"/>
      <c r="AR340" s="1177"/>
      <c r="AS340" s="1548"/>
      <c r="AT340" s="1549"/>
      <c r="AU340" s="1178"/>
      <c r="AV340" s="1179"/>
      <c r="AY340" s="3">
        <v>1</v>
      </c>
    </row>
    <row r="341" spans="1:53" ht="18.75">
      <c r="B341" s="104"/>
      <c r="C341" s="1172"/>
      <c r="D341" s="1172"/>
      <c r="E341" s="1172"/>
      <c r="F341" s="1173"/>
      <c r="G341" s="1174"/>
      <c r="H341" s="1175"/>
      <c r="I341" s="1176"/>
      <c r="J341" s="1177"/>
      <c r="K341" s="1547"/>
      <c r="L341" s="1177"/>
      <c r="M341" s="1548"/>
      <c r="N341" s="1549"/>
      <c r="O341" s="1178"/>
      <c r="P341" s="1179"/>
      <c r="R341" s="104"/>
      <c r="S341" s="1172"/>
      <c r="T341" s="1172"/>
      <c r="U341" s="1172"/>
      <c r="V341" s="1173"/>
      <c r="W341" s="1174"/>
      <c r="X341" s="1175"/>
      <c r="Y341" s="1176"/>
      <c r="Z341" s="1177"/>
      <c r="AA341" s="1547"/>
      <c r="AB341" s="1177"/>
      <c r="AC341" s="1548"/>
      <c r="AD341" s="1549"/>
      <c r="AE341" s="1178"/>
      <c r="AF341" s="1179"/>
      <c r="AH341" s="104"/>
      <c r="AI341" s="1172"/>
      <c r="AJ341" s="1172"/>
      <c r="AK341" s="1172"/>
      <c r="AL341" s="1173"/>
      <c r="AM341" s="1174"/>
      <c r="AN341" s="1175"/>
      <c r="AO341" s="1176"/>
      <c r="AP341" s="1177"/>
      <c r="AQ341" s="1547"/>
      <c r="AR341" s="1177"/>
      <c r="AS341" s="1548"/>
      <c r="AT341" s="1549"/>
      <c r="AU341" s="1178"/>
      <c r="AV341" s="1179"/>
      <c r="AY341" s="3">
        <v>1</v>
      </c>
    </row>
    <row r="342" spans="1:53" ht="27" customHeight="1">
      <c r="B342" s="224" t="s">
        <v>11</v>
      </c>
      <c r="C342" s="224"/>
      <c r="D342" s="224"/>
      <c r="E342" s="224"/>
      <c r="F342" s="224"/>
      <c r="G342" s="224"/>
      <c r="H342" s="224"/>
      <c r="I342" s="224"/>
      <c r="J342" s="224"/>
      <c r="K342" s="224"/>
      <c r="L342" s="224"/>
      <c r="M342" s="224"/>
      <c r="N342" s="224"/>
      <c r="O342" s="224"/>
      <c r="P342" s="224"/>
      <c r="R342" s="224" t="s">
        <v>11</v>
      </c>
      <c r="S342" s="224"/>
      <c r="T342" s="224"/>
      <c r="U342" s="224"/>
      <c r="V342" s="224"/>
      <c r="W342" s="224"/>
      <c r="X342" s="224"/>
      <c r="Y342" s="224"/>
      <c r="Z342" s="224"/>
      <c r="AA342" s="224"/>
      <c r="AB342" s="224"/>
      <c r="AC342" s="224"/>
      <c r="AD342" s="224"/>
      <c r="AE342" s="224"/>
      <c r="AF342" s="224"/>
      <c r="AH342" s="224" t="s">
        <v>11</v>
      </c>
      <c r="AI342" s="224"/>
      <c r="AJ342" s="224"/>
      <c r="AK342" s="224"/>
      <c r="AL342" s="224"/>
      <c r="AM342" s="224"/>
      <c r="AN342" s="224"/>
      <c r="AO342" s="224"/>
      <c r="AP342" s="224"/>
      <c r="AQ342" s="224"/>
      <c r="AR342" s="224"/>
      <c r="AS342" s="224"/>
      <c r="AT342" s="224"/>
      <c r="AU342" s="224"/>
      <c r="AV342" s="224"/>
      <c r="AY342" s="708" t="s">
        <v>823</v>
      </c>
    </row>
    <row r="343" spans="1:53">
      <c r="A343" s="3">
        <v>1</v>
      </c>
      <c r="B343" s="3">
        <v>1</v>
      </c>
      <c r="C343" s="3">
        <v>1</v>
      </c>
      <c r="D343" s="3">
        <v>1</v>
      </c>
      <c r="E343" s="3">
        <v>1</v>
      </c>
      <c r="F343" s="3">
        <v>1</v>
      </c>
      <c r="G343" s="3">
        <v>1</v>
      </c>
      <c r="H343" s="3">
        <v>1</v>
      </c>
      <c r="I343" s="3">
        <v>1</v>
      </c>
      <c r="J343" s="3">
        <v>1</v>
      </c>
      <c r="K343" s="3">
        <v>1</v>
      </c>
      <c r="L343" s="3">
        <v>1</v>
      </c>
      <c r="M343" s="3">
        <v>1</v>
      </c>
      <c r="N343" s="3">
        <v>1</v>
      </c>
      <c r="O343" s="3">
        <v>1</v>
      </c>
      <c r="P343" s="3">
        <v>1</v>
      </c>
      <c r="Q343" s="3">
        <v>1</v>
      </c>
      <c r="R343" s="3">
        <v>1</v>
      </c>
      <c r="S343" s="3">
        <v>1</v>
      </c>
      <c r="T343" s="3">
        <v>1</v>
      </c>
      <c r="U343" s="3">
        <v>1</v>
      </c>
      <c r="V343" s="3">
        <v>1</v>
      </c>
      <c r="W343" s="3">
        <v>1</v>
      </c>
      <c r="X343" s="3">
        <v>1</v>
      </c>
      <c r="Y343" s="3">
        <v>1</v>
      </c>
      <c r="Z343" s="3">
        <v>1</v>
      </c>
      <c r="AA343" s="3">
        <v>1</v>
      </c>
      <c r="AB343" s="3">
        <v>1</v>
      </c>
      <c r="AC343" s="3">
        <v>1</v>
      </c>
      <c r="AD343" s="3">
        <v>1</v>
      </c>
      <c r="AE343" s="3">
        <v>1</v>
      </c>
      <c r="AF343" s="3">
        <v>1</v>
      </c>
      <c r="AG343" s="3">
        <v>1</v>
      </c>
      <c r="AH343" s="3">
        <v>1</v>
      </c>
      <c r="AI343" s="3">
        <v>1</v>
      </c>
      <c r="AJ343" s="3">
        <v>1</v>
      </c>
      <c r="AK343" s="3">
        <v>1</v>
      </c>
      <c r="AL343" s="3">
        <v>1</v>
      </c>
      <c r="AM343" s="3">
        <v>1</v>
      </c>
      <c r="AN343" s="3">
        <v>1</v>
      </c>
      <c r="AO343" s="3">
        <v>1</v>
      </c>
      <c r="AP343" s="3">
        <v>1</v>
      </c>
      <c r="AQ343" s="3">
        <v>1</v>
      </c>
      <c r="AR343" s="3">
        <v>1</v>
      </c>
      <c r="AS343" s="3">
        <v>1</v>
      </c>
      <c r="AT343" s="3">
        <v>1</v>
      </c>
      <c r="AU343" s="3">
        <v>1</v>
      </c>
      <c r="AV343" s="3">
        <v>1</v>
      </c>
      <c r="AW343" s="3">
        <v>1</v>
      </c>
      <c r="AX343" s="3">
        <v>1</v>
      </c>
      <c r="AY343" s="1" t="str">
        <f>ADDRESS(ROW(),COLUMN(),4)</f>
        <v>AY343</v>
      </c>
      <c r="AZ343" s="710"/>
      <c r="BA343" s="711" t="str">
        <f>ADDRESS(ROW(),COLUMN(),4)</f>
        <v>BA343</v>
      </c>
    </row>
  </sheetData>
  <mergeCells count="40">
    <mergeCell ref="AT18:AT19"/>
    <mergeCell ref="AU18:AU19"/>
    <mergeCell ref="AV18:AV19"/>
    <mergeCell ref="AE18:AE19"/>
    <mergeCell ref="AF18:AF19"/>
    <mergeCell ref="AP18:AP19"/>
    <mergeCell ref="AQ18:AQ19"/>
    <mergeCell ref="AR18:AR19"/>
    <mergeCell ref="P18:P19"/>
    <mergeCell ref="Z18:Z19"/>
    <mergeCell ref="AA18:AA19"/>
    <mergeCell ref="AB18:AB19"/>
    <mergeCell ref="AD18:AD19"/>
    <mergeCell ref="J18:J19"/>
    <mergeCell ref="K18:K19"/>
    <mergeCell ref="L18:L19"/>
    <mergeCell ref="N18:N19"/>
    <mergeCell ref="O18:O19"/>
    <mergeCell ref="AU14:AV14"/>
    <mergeCell ref="I15:J15"/>
    <mergeCell ref="Y15:Z15"/>
    <mergeCell ref="AO15:AP15"/>
    <mergeCell ref="I16:K16"/>
    <mergeCell ref="Y16:AA16"/>
    <mergeCell ref="AO16:AQ16"/>
    <mergeCell ref="K13:M14"/>
    <mergeCell ref="AA13:AC14"/>
    <mergeCell ref="AQ13:AS14"/>
    <mergeCell ref="O14:P14"/>
    <mergeCell ref="AE14:AF14"/>
    <mergeCell ref="AT4:AV7"/>
    <mergeCell ref="H10:M11"/>
    <mergeCell ref="N10:O11"/>
    <mergeCell ref="P10:P11"/>
    <mergeCell ref="X10:AC11"/>
    <mergeCell ref="AD10:AE11"/>
    <mergeCell ref="AF10:AF11"/>
    <mergeCell ref="AN10:AS11"/>
    <mergeCell ref="AT10:AU11"/>
    <mergeCell ref="AV10:AV11"/>
  </mergeCells>
  <conditionalFormatting sqref="L20:L34">
    <cfRule type="cellIs" dxfId="44" priority="3" operator="notEqual">
      <formula>1</formula>
    </cfRule>
  </conditionalFormatting>
  <conditionalFormatting sqref="AB20:AB34">
    <cfRule type="cellIs" dxfId="43" priority="2" operator="notEqual">
      <formula>1</formula>
    </cfRule>
  </conditionalFormatting>
  <conditionalFormatting sqref="AR20:AR34">
    <cfRule type="cellIs" dxfId="42" priority="1" operator="notEqual">
      <formula>1</formula>
    </cfRule>
  </conditionalFormatting>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335F0C-52A9-4B3B-AB94-29569D68AE0D}">
  <dimension ref="B1:L308"/>
  <sheetViews>
    <sheetView workbookViewId="0">
      <selection activeCell="F23" sqref="F23"/>
    </sheetView>
  </sheetViews>
  <sheetFormatPr baseColWidth="10" defaultRowHeight="15"/>
  <cols>
    <col min="1" max="1" width="4.28515625" customWidth="1"/>
    <col min="2" max="2" width="110.7109375" style="852" customWidth="1"/>
    <col min="3" max="3" width="5" customWidth="1"/>
    <col min="4" max="4" width="110.7109375" style="852" customWidth="1"/>
    <col min="5" max="5" width="4.42578125" customWidth="1"/>
    <col min="6" max="6" width="110.7109375" style="852" customWidth="1"/>
    <col min="8" max="8" width="82.42578125" customWidth="1"/>
    <col min="9" max="9" width="4.140625" customWidth="1"/>
    <col min="10" max="10" width="82.7109375" customWidth="1"/>
    <col min="11" max="11" width="4.42578125" customWidth="1"/>
    <col min="12" max="12" width="82.7109375" customWidth="1"/>
  </cols>
  <sheetData>
    <row r="1" spans="2:12" ht="15.75" thickTop="1">
      <c r="B1" s="2" t="str">
        <f t="shared" ref="B1" si="0">SUBSTITUTE(ADDRESS(1,COLUMN(),4),"1","")</f>
        <v>B</v>
      </c>
      <c r="D1" s="2" t="str">
        <f t="shared" ref="D1" si="1">SUBSTITUTE(ADDRESS(1,COLUMN(),4),"1","")</f>
        <v>D</v>
      </c>
      <c r="F1" s="2" t="str">
        <f t="shared" ref="F1:L1" si="2">SUBSTITUTE(ADDRESS(1,COLUMN(),4),"1","")</f>
        <v>F</v>
      </c>
      <c r="H1" s="2" t="str">
        <f t="shared" si="2"/>
        <v>H</v>
      </c>
      <c r="I1" s="9"/>
      <c r="J1" s="2" t="str">
        <f t="shared" si="2"/>
        <v>J</v>
      </c>
      <c r="K1" s="9"/>
      <c r="L1" s="2" t="str">
        <f t="shared" si="2"/>
        <v>L</v>
      </c>
    </row>
    <row r="2" spans="2:12" ht="15.75" thickBot="1">
      <c r="B2" s="6">
        <f t="shared" ref="B2" ca="1" si="3">CELL("largeur",B2)</f>
        <v>110</v>
      </c>
      <c r="D2" s="6">
        <f t="shared" ref="D2" ca="1" si="4">CELL("largeur",D2)</f>
        <v>110</v>
      </c>
      <c r="F2" s="6">
        <f t="shared" ref="F2:L2" ca="1" si="5">CELL("largeur",F2)</f>
        <v>110</v>
      </c>
      <c r="H2" s="6">
        <f t="shared" ca="1" si="5"/>
        <v>82</v>
      </c>
      <c r="I2" s="9"/>
      <c r="J2" s="6">
        <f t="shared" ca="1" si="5"/>
        <v>82</v>
      </c>
      <c r="K2" s="9"/>
      <c r="L2" s="6">
        <f t="shared" ca="1" si="5"/>
        <v>82</v>
      </c>
    </row>
    <row r="3" spans="2:12">
      <c r="H3" s="9"/>
      <c r="I3" s="9"/>
      <c r="J3" s="9"/>
      <c r="K3" s="9"/>
      <c r="L3" s="9"/>
    </row>
    <row r="4" spans="2:12" ht="21" customHeight="1">
      <c r="B4" s="712" t="s">
        <v>824</v>
      </c>
      <c r="D4" s="712" t="s">
        <v>825</v>
      </c>
      <c r="F4" s="712" t="s">
        <v>826</v>
      </c>
      <c r="H4" s="874" t="s">
        <v>920</v>
      </c>
      <c r="I4" s="447"/>
      <c r="J4" s="874" t="s">
        <v>921</v>
      </c>
      <c r="K4" s="447"/>
      <c r="L4" s="874" t="s">
        <v>922</v>
      </c>
    </row>
    <row r="5" spans="2:12" ht="21" customHeight="1">
      <c r="B5" s="5852" t="s">
        <v>26</v>
      </c>
      <c r="D5" s="5852" t="s">
        <v>27</v>
      </c>
      <c r="F5" s="5852" t="s">
        <v>28</v>
      </c>
      <c r="H5" s="875" t="s">
        <v>923</v>
      </c>
      <c r="I5" s="9"/>
      <c r="J5" s="876" t="s">
        <v>924</v>
      </c>
      <c r="K5" s="9"/>
      <c r="L5" s="876" t="s">
        <v>925</v>
      </c>
    </row>
    <row r="6" spans="2:12" ht="21" customHeight="1">
      <c r="B6" s="5853"/>
      <c r="D6" s="5853"/>
      <c r="F6" s="5853"/>
      <c r="H6" s="875" t="s">
        <v>926</v>
      </c>
      <c r="I6" s="9"/>
      <c r="J6" s="876" t="s">
        <v>927</v>
      </c>
      <c r="K6" s="9"/>
      <c r="L6" s="876" t="s">
        <v>928</v>
      </c>
    </row>
    <row r="7" spans="2:12" ht="21" customHeight="1">
      <c r="B7" s="5853"/>
      <c r="D7" s="5853"/>
      <c r="F7" s="5853"/>
      <c r="H7" s="875" t="s">
        <v>929</v>
      </c>
      <c r="I7" s="9"/>
      <c r="J7" s="876" t="s">
        <v>930</v>
      </c>
      <c r="K7" s="9"/>
      <c r="L7" s="876" t="s">
        <v>931</v>
      </c>
    </row>
    <row r="8" spans="2:12" ht="21" customHeight="1" thickBot="1">
      <c r="B8" s="713" t="s">
        <v>37</v>
      </c>
      <c r="D8" s="713" t="s">
        <v>38</v>
      </c>
      <c r="F8" s="713" t="s">
        <v>39</v>
      </c>
      <c r="H8" s="875"/>
      <c r="I8" s="9"/>
      <c r="J8" s="876"/>
      <c r="K8" s="9"/>
      <c r="L8" s="876"/>
    </row>
    <row r="9" spans="2:12" ht="21" customHeight="1">
      <c r="B9" s="714" t="s">
        <v>42</v>
      </c>
      <c r="D9" s="714" t="s">
        <v>42</v>
      </c>
      <c r="F9" s="714" t="s">
        <v>827</v>
      </c>
      <c r="H9" s="875" t="s">
        <v>932</v>
      </c>
      <c r="I9" s="9"/>
      <c r="J9" s="876" t="s">
        <v>933</v>
      </c>
      <c r="K9" s="9"/>
      <c r="L9" s="876" t="s">
        <v>934</v>
      </c>
    </row>
    <row r="10" spans="2:12" ht="21" customHeight="1">
      <c r="B10" s="715" t="s">
        <v>828</v>
      </c>
      <c r="D10" s="715" t="s">
        <v>46</v>
      </c>
      <c r="F10" s="715" t="s">
        <v>48</v>
      </c>
      <c r="H10" s="875" t="s">
        <v>935</v>
      </c>
      <c r="I10" s="9"/>
      <c r="J10" s="876" t="s">
        <v>936</v>
      </c>
      <c r="K10" s="9"/>
      <c r="L10" s="876" t="s">
        <v>937</v>
      </c>
    </row>
    <row r="11" spans="2:12" ht="21" customHeight="1">
      <c r="B11" s="716" t="s">
        <v>44</v>
      </c>
      <c r="D11" s="716" t="s">
        <v>47</v>
      </c>
      <c r="F11" s="716" t="s">
        <v>49</v>
      </c>
      <c r="H11" s="875" t="s">
        <v>938</v>
      </c>
      <c r="I11" s="9"/>
      <c r="J11" s="876" t="s">
        <v>939</v>
      </c>
      <c r="K11" s="9"/>
      <c r="L11" s="876" t="s">
        <v>940</v>
      </c>
    </row>
    <row r="12" spans="2:12" ht="21" customHeight="1">
      <c r="B12" s="716" t="s">
        <v>25</v>
      </c>
      <c r="D12" s="716" t="s">
        <v>52</v>
      </c>
      <c r="F12" s="716" t="s">
        <v>53</v>
      </c>
      <c r="H12" s="877" t="s">
        <v>941</v>
      </c>
      <c r="I12" s="9"/>
      <c r="J12" s="878" t="s">
        <v>941</v>
      </c>
      <c r="K12" s="9"/>
      <c r="L12" s="878" t="s">
        <v>941</v>
      </c>
    </row>
    <row r="13" spans="2:12" ht="21" customHeight="1">
      <c r="B13" s="713" t="s">
        <v>59</v>
      </c>
      <c r="D13" s="713" t="s">
        <v>62</v>
      </c>
      <c r="F13" s="713" t="s">
        <v>65</v>
      </c>
      <c r="H13" s="875" t="s">
        <v>942</v>
      </c>
      <c r="I13" s="9"/>
      <c r="J13" s="876" t="s">
        <v>943</v>
      </c>
      <c r="K13" s="9"/>
      <c r="L13" s="876" t="s">
        <v>944</v>
      </c>
    </row>
    <row r="14" spans="2:12" ht="21" customHeight="1">
      <c r="B14" s="717" t="s">
        <v>57</v>
      </c>
      <c r="D14" s="717" t="s">
        <v>60</v>
      </c>
      <c r="F14" s="717" t="s">
        <v>63</v>
      </c>
      <c r="H14" s="875"/>
      <c r="I14" s="9"/>
      <c r="J14" s="876"/>
      <c r="K14" s="9"/>
      <c r="L14" s="876"/>
    </row>
    <row r="15" spans="2:12" ht="21" customHeight="1">
      <c r="B15" s="718" t="s">
        <v>58</v>
      </c>
      <c r="D15" s="718" t="s">
        <v>61</v>
      </c>
      <c r="F15" s="718" t="s">
        <v>64</v>
      </c>
      <c r="H15" s="875" t="s">
        <v>945</v>
      </c>
      <c r="I15" s="9"/>
      <c r="J15" s="876" t="s">
        <v>946</v>
      </c>
      <c r="K15" s="9"/>
      <c r="L15" s="876" t="s">
        <v>947</v>
      </c>
    </row>
    <row r="16" spans="2:12" ht="21" customHeight="1">
      <c r="B16" s="719" t="s">
        <v>33</v>
      </c>
      <c r="D16" s="719" t="s">
        <v>87</v>
      </c>
      <c r="F16" s="719" t="s">
        <v>89</v>
      </c>
      <c r="H16" s="875" t="s">
        <v>948</v>
      </c>
      <c r="I16" s="9"/>
      <c r="J16" s="876" t="s">
        <v>949</v>
      </c>
      <c r="K16" s="9"/>
      <c r="L16" s="876" t="s">
        <v>950</v>
      </c>
    </row>
    <row r="17" spans="2:12" ht="21" customHeight="1">
      <c r="B17" s="5854" t="s">
        <v>34</v>
      </c>
      <c r="D17" s="5854" t="s">
        <v>88</v>
      </c>
      <c r="F17" s="5854" t="s">
        <v>90</v>
      </c>
      <c r="H17" s="875" t="s">
        <v>951</v>
      </c>
      <c r="I17" s="9"/>
      <c r="J17" s="876" t="s">
        <v>952</v>
      </c>
      <c r="K17" s="9"/>
      <c r="L17" s="876" t="s">
        <v>953</v>
      </c>
    </row>
    <row r="18" spans="2:12" ht="21" customHeight="1">
      <c r="B18" s="5854"/>
      <c r="D18" s="5854"/>
      <c r="F18" s="5854"/>
      <c r="H18" s="875" t="s">
        <v>954</v>
      </c>
      <c r="I18" s="9"/>
      <c r="J18" s="876" t="s">
        <v>955</v>
      </c>
      <c r="K18" s="9"/>
      <c r="L18" s="876" t="s">
        <v>956</v>
      </c>
    </row>
    <row r="19" spans="2:12" ht="21" customHeight="1">
      <c r="B19" s="720" t="s">
        <v>104</v>
      </c>
      <c r="D19" s="720" t="s">
        <v>105</v>
      </c>
      <c r="F19" s="720" t="s">
        <v>106</v>
      </c>
      <c r="H19" s="875"/>
      <c r="I19" s="9"/>
      <c r="J19" s="876"/>
      <c r="K19" s="9"/>
      <c r="L19" s="876"/>
    </row>
    <row r="20" spans="2:12" ht="21" customHeight="1">
      <c r="B20" s="721" t="s">
        <v>829</v>
      </c>
      <c r="D20" s="721" t="s">
        <v>830</v>
      </c>
      <c r="F20" s="721" t="s">
        <v>831</v>
      </c>
      <c r="H20" s="875" t="s">
        <v>957</v>
      </c>
      <c r="I20" s="9"/>
      <c r="J20" s="876" t="s">
        <v>958</v>
      </c>
      <c r="K20" s="9"/>
      <c r="L20" s="876" t="s">
        <v>959</v>
      </c>
    </row>
    <row r="21" spans="2:12" ht="21" customHeight="1">
      <c r="B21" s="722" t="s">
        <v>113</v>
      </c>
      <c r="D21" s="722" t="s">
        <v>114</v>
      </c>
      <c r="F21" s="722" t="s">
        <v>115</v>
      </c>
      <c r="H21" s="875" t="s">
        <v>960</v>
      </c>
      <c r="I21" s="9"/>
      <c r="J21" s="876" t="s">
        <v>961</v>
      </c>
      <c r="K21" s="9"/>
      <c r="L21" s="876" t="s">
        <v>962</v>
      </c>
    </row>
    <row r="22" spans="2:12" ht="21" customHeight="1">
      <c r="B22" s="723" t="s">
        <v>118</v>
      </c>
      <c r="D22" s="723" t="s">
        <v>120</v>
      </c>
      <c r="F22" s="723" t="s">
        <v>122</v>
      </c>
      <c r="H22" s="877" t="s">
        <v>963</v>
      </c>
      <c r="I22" s="9"/>
      <c r="J22" s="877" t="s">
        <v>963</v>
      </c>
      <c r="K22" s="9"/>
      <c r="L22" s="877" t="s">
        <v>963</v>
      </c>
    </row>
    <row r="23" spans="2:12" ht="21" customHeight="1">
      <c r="B23" s="724" t="s">
        <v>119</v>
      </c>
      <c r="D23" s="724" t="s">
        <v>121</v>
      </c>
      <c r="F23" s="724" t="s">
        <v>123</v>
      </c>
      <c r="H23" s="875" t="s">
        <v>964</v>
      </c>
      <c r="I23" s="9"/>
      <c r="J23" s="876" t="s">
        <v>965</v>
      </c>
      <c r="K23" s="9"/>
      <c r="L23" s="876" t="s">
        <v>966</v>
      </c>
    </row>
    <row r="24" spans="2:12" ht="21" customHeight="1">
      <c r="B24" s="725" t="s">
        <v>124</v>
      </c>
      <c r="D24" s="725" t="s">
        <v>124</v>
      </c>
      <c r="F24" s="725" t="s">
        <v>124</v>
      </c>
      <c r="H24" s="875"/>
      <c r="I24" s="9"/>
      <c r="J24" s="876"/>
      <c r="K24" s="9"/>
      <c r="L24" s="876"/>
    </row>
    <row r="25" spans="2:12" ht="21" customHeight="1">
      <c r="B25" s="725" t="s">
        <v>125</v>
      </c>
      <c r="D25" s="725" t="s">
        <v>126</v>
      </c>
      <c r="F25" s="725" t="s">
        <v>127</v>
      </c>
      <c r="H25" s="875" t="s">
        <v>967</v>
      </c>
      <c r="I25" s="9"/>
      <c r="J25" s="876" t="s">
        <v>968</v>
      </c>
      <c r="K25" s="9"/>
      <c r="L25" s="876" t="s">
        <v>969</v>
      </c>
    </row>
    <row r="26" spans="2:12" ht="21" customHeight="1">
      <c r="B26" s="725" t="s">
        <v>128</v>
      </c>
      <c r="D26" s="725" t="s">
        <v>129</v>
      </c>
      <c r="F26" s="725" t="s">
        <v>129</v>
      </c>
      <c r="H26" s="875" t="s">
        <v>970</v>
      </c>
      <c r="I26" s="9"/>
      <c r="J26" s="876" t="s">
        <v>971</v>
      </c>
      <c r="K26" s="9"/>
      <c r="L26" s="876" t="s">
        <v>972</v>
      </c>
    </row>
    <row r="27" spans="2:12" ht="21" customHeight="1">
      <c r="B27" s="725" t="s">
        <v>130</v>
      </c>
      <c r="D27" s="725" t="s">
        <v>131</v>
      </c>
      <c r="F27" s="725" t="s">
        <v>132</v>
      </c>
      <c r="H27" s="875" t="s">
        <v>973</v>
      </c>
      <c r="I27" s="9"/>
      <c r="J27" s="876" t="s">
        <v>974</v>
      </c>
      <c r="K27" s="9"/>
      <c r="L27" s="876" t="s">
        <v>975</v>
      </c>
    </row>
    <row r="28" spans="2:12" ht="21" customHeight="1">
      <c r="B28" s="726" t="s">
        <v>133</v>
      </c>
      <c r="D28" s="726" t="s">
        <v>134</v>
      </c>
      <c r="F28" s="726" t="s">
        <v>135</v>
      </c>
      <c r="H28" s="9"/>
      <c r="I28" s="9"/>
      <c r="J28" s="9"/>
      <c r="K28" s="9"/>
      <c r="L28" s="9"/>
    </row>
    <row r="29" spans="2:12" ht="21" customHeight="1">
      <c r="B29" s="727"/>
      <c r="D29" s="727"/>
      <c r="F29" s="727"/>
      <c r="H29" s="903" t="s">
        <v>1335</v>
      </c>
      <c r="I29" s="58"/>
      <c r="J29" s="903" t="s">
        <v>1336</v>
      </c>
      <c r="K29" s="58"/>
      <c r="L29" s="904" t="s">
        <v>1337</v>
      </c>
    </row>
    <row r="30" spans="2:12" ht="21" customHeight="1">
      <c r="B30" s="728" t="s">
        <v>94</v>
      </c>
      <c r="D30" s="728" t="s">
        <v>233</v>
      </c>
      <c r="F30" s="728" t="s">
        <v>284</v>
      </c>
    </row>
    <row r="31" spans="2:12" ht="21" customHeight="1">
      <c r="B31" s="729" t="s">
        <v>91</v>
      </c>
      <c r="D31" s="729" t="s">
        <v>231</v>
      </c>
      <c r="F31" s="729" t="s">
        <v>234</v>
      </c>
    </row>
    <row r="32" spans="2:12" ht="21" customHeight="1">
      <c r="B32" s="729" t="s">
        <v>92</v>
      </c>
      <c r="D32" s="729" t="s">
        <v>232</v>
      </c>
      <c r="F32" s="729" t="s">
        <v>235</v>
      </c>
    </row>
    <row r="33" spans="2:6" ht="21" customHeight="1">
      <c r="B33" s="729" t="s">
        <v>79</v>
      </c>
      <c r="D33" s="729" t="s">
        <v>228</v>
      </c>
      <c r="F33" s="729" t="s">
        <v>229</v>
      </c>
    </row>
    <row r="34" spans="2:6" ht="21" customHeight="1">
      <c r="B34" s="729" t="s">
        <v>80</v>
      </c>
      <c r="D34" s="729" t="s">
        <v>832</v>
      </c>
      <c r="F34" s="729" t="s">
        <v>832</v>
      </c>
    </row>
    <row r="35" spans="2:6" ht="21" customHeight="1">
      <c r="B35" s="730" t="s">
        <v>81</v>
      </c>
      <c r="D35" s="730" t="s">
        <v>81</v>
      </c>
      <c r="F35" s="730" t="s">
        <v>833</v>
      </c>
    </row>
    <row r="36" spans="2:6" ht="21" customHeight="1">
      <c r="B36" s="729" t="s">
        <v>169</v>
      </c>
      <c r="D36" s="729" t="s">
        <v>170</v>
      </c>
      <c r="F36" s="729" t="s">
        <v>171</v>
      </c>
    </row>
    <row r="37" spans="2:6" ht="21" customHeight="1">
      <c r="B37" s="731" t="s">
        <v>834</v>
      </c>
      <c r="D37" s="731" t="s">
        <v>177</v>
      </c>
      <c r="F37" s="731" t="s">
        <v>179</v>
      </c>
    </row>
    <row r="38" spans="2:6" ht="21" customHeight="1">
      <c r="B38" s="5849" t="s">
        <v>176</v>
      </c>
      <c r="D38" s="5849" t="s">
        <v>178</v>
      </c>
      <c r="F38" s="5849" t="s">
        <v>180</v>
      </c>
    </row>
    <row r="39" spans="2:6" ht="21" customHeight="1">
      <c r="B39" s="5849"/>
      <c r="D39" s="5849"/>
      <c r="F39" s="5849"/>
    </row>
    <row r="40" spans="2:6" ht="21" customHeight="1">
      <c r="B40" s="732" t="s">
        <v>184</v>
      </c>
      <c r="D40" s="732" t="s">
        <v>185</v>
      </c>
      <c r="F40" s="732" t="s">
        <v>186</v>
      </c>
    </row>
    <row r="41" spans="2:6" ht="21" customHeight="1">
      <c r="B41" s="733" t="s">
        <v>188</v>
      </c>
      <c r="D41" s="733" t="s">
        <v>189</v>
      </c>
      <c r="F41" s="733" t="s">
        <v>190</v>
      </c>
    </row>
    <row r="42" spans="2:6" ht="21" customHeight="1">
      <c r="B42" s="734"/>
      <c r="D42" s="734"/>
      <c r="F42" s="734"/>
    </row>
    <row r="43" spans="2:6" ht="21" customHeight="1">
      <c r="B43" s="735" t="s">
        <v>194</v>
      </c>
      <c r="D43" s="735" t="s">
        <v>195</v>
      </c>
      <c r="F43" s="735" t="s">
        <v>196</v>
      </c>
    </row>
    <row r="44" spans="2:6" ht="21" customHeight="1">
      <c r="B44" s="734"/>
      <c r="D44" s="734"/>
      <c r="F44" s="734"/>
    </row>
    <row r="45" spans="2:6" ht="21" customHeight="1">
      <c r="B45" s="736" t="s">
        <v>835</v>
      </c>
      <c r="D45" s="736" t="s">
        <v>203</v>
      </c>
      <c r="F45" s="736" t="s">
        <v>204</v>
      </c>
    </row>
    <row r="46" spans="2:6" ht="21" customHeight="1">
      <c r="B46" s="736" t="s">
        <v>205</v>
      </c>
      <c r="D46" s="736" t="s">
        <v>206</v>
      </c>
      <c r="F46" s="736" t="s">
        <v>207</v>
      </c>
    </row>
    <row r="47" spans="2:6" ht="21" customHeight="1">
      <c r="B47" s="737" t="s">
        <v>209</v>
      </c>
      <c r="D47" s="737" t="s">
        <v>210</v>
      </c>
      <c r="F47" s="737" t="s">
        <v>211</v>
      </c>
    </row>
    <row r="48" spans="2:6" ht="21" customHeight="1">
      <c r="B48" s="732" t="s">
        <v>212</v>
      </c>
      <c r="D48" s="732" t="s">
        <v>213</v>
      </c>
      <c r="F48" s="732" t="s">
        <v>214</v>
      </c>
    </row>
    <row r="49" spans="2:6" ht="21" customHeight="1">
      <c r="B49" s="733" t="s">
        <v>217</v>
      </c>
      <c r="D49" s="733" t="s">
        <v>218</v>
      </c>
      <c r="F49" s="733" t="s">
        <v>219</v>
      </c>
    </row>
    <row r="50" spans="2:6" ht="21" customHeight="1">
      <c r="B50" s="727"/>
      <c r="D50" s="727"/>
      <c r="F50" s="727"/>
    </row>
    <row r="51" spans="2:6" ht="21" customHeight="1">
      <c r="B51" s="734"/>
      <c r="D51" s="734"/>
      <c r="F51" s="734"/>
    </row>
    <row r="52" spans="2:6" ht="21" customHeight="1">
      <c r="B52" s="738" t="s">
        <v>386</v>
      </c>
      <c r="D52" s="738" t="s">
        <v>387</v>
      </c>
      <c r="F52" s="738" t="s">
        <v>388</v>
      </c>
    </row>
    <row r="53" spans="2:6" ht="21" customHeight="1">
      <c r="B53" s="739" t="s">
        <v>341</v>
      </c>
      <c r="D53" s="739" t="s">
        <v>342</v>
      </c>
      <c r="F53" s="739" t="s">
        <v>343</v>
      </c>
    </row>
    <row r="54" spans="2:6" ht="21" customHeight="1">
      <c r="B54" s="734"/>
      <c r="D54" s="734"/>
      <c r="F54" s="734"/>
    </row>
    <row r="55" spans="2:6" ht="21" customHeight="1">
      <c r="B55" s="740"/>
      <c r="D55" s="740"/>
      <c r="F55" s="740"/>
    </row>
    <row r="56" spans="2:6" ht="21" customHeight="1">
      <c r="B56" s="734"/>
      <c r="D56" s="734"/>
      <c r="F56" s="734"/>
    </row>
    <row r="57" spans="2:6" ht="21" customHeight="1">
      <c r="B57" s="741" t="s">
        <v>575</v>
      </c>
      <c r="D57" s="741" t="s">
        <v>576</v>
      </c>
      <c r="F57" s="741" t="s">
        <v>577</v>
      </c>
    </row>
    <row r="58" spans="2:6" ht="21" customHeight="1">
      <c r="B58" s="734"/>
      <c r="D58" s="734"/>
      <c r="F58" s="734"/>
    </row>
    <row r="59" spans="2:6" ht="21" customHeight="1">
      <c r="B59" s="742"/>
      <c r="D59" s="742"/>
      <c r="F59" s="742"/>
    </row>
    <row r="60" spans="2:6" ht="21" customHeight="1">
      <c r="B60" s="743"/>
      <c r="D60" s="743"/>
      <c r="F60" s="743"/>
    </row>
    <row r="61" spans="2:6" ht="21" customHeight="1">
      <c r="B61" s="734"/>
      <c r="D61" s="734"/>
      <c r="F61" s="734"/>
    </row>
    <row r="62" spans="2:6" ht="21" customHeight="1">
      <c r="B62" s="738" t="s">
        <v>836</v>
      </c>
      <c r="D62" s="738" t="s">
        <v>582</v>
      </c>
      <c r="F62" s="738" t="s">
        <v>583</v>
      </c>
    </row>
    <row r="63" spans="2:6" ht="21" customHeight="1">
      <c r="B63" s="713" t="s">
        <v>585</v>
      </c>
      <c r="D63" s="713" t="s">
        <v>586</v>
      </c>
      <c r="F63" s="713" t="s">
        <v>587</v>
      </c>
    </row>
    <row r="64" spans="2:6" ht="21" customHeight="1">
      <c r="B64" s="744" t="s">
        <v>588</v>
      </c>
      <c r="D64" s="744" t="s">
        <v>589</v>
      </c>
      <c r="F64" s="744" t="s">
        <v>590</v>
      </c>
    </row>
    <row r="65" spans="2:6" ht="21" customHeight="1">
      <c r="B65" s="744" t="s">
        <v>592</v>
      </c>
      <c r="D65" s="744" t="s">
        <v>593</v>
      </c>
      <c r="F65" s="744" t="s">
        <v>594</v>
      </c>
    </row>
    <row r="66" spans="2:6" ht="21" customHeight="1">
      <c r="B66" s="734"/>
      <c r="D66" s="734"/>
      <c r="F66" s="734"/>
    </row>
    <row r="67" spans="2:6" ht="21" customHeight="1">
      <c r="B67" s="745" t="s">
        <v>574</v>
      </c>
      <c r="D67" s="745" t="s">
        <v>574</v>
      </c>
      <c r="F67" s="745" t="s">
        <v>574</v>
      </c>
    </row>
    <row r="68" spans="2:6" ht="21" customHeight="1">
      <c r="B68" s="734"/>
      <c r="D68" s="734"/>
      <c r="F68" s="734"/>
    </row>
    <row r="69" spans="2:6" ht="21" customHeight="1">
      <c r="B69" s="741" t="s">
        <v>837</v>
      </c>
      <c r="D69" s="741" t="s">
        <v>601</v>
      </c>
      <c r="F69" s="741" t="s">
        <v>602</v>
      </c>
    </row>
    <row r="70" spans="2:6" ht="21" customHeight="1">
      <c r="B70" s="734"/>
      <c r="D70" s="734"/>
      <c r="F70" s="734"/>
    </row>
    <row r="71" spans="2:6" ht="21" customHeight="1">
      <c r="B71" s="742"/>
      <c r="D71" s="742"/>
      <c r="F71" s="742"/>
    </row>
    <row r="72" spans="2:6" ht="21" customHeight="1">
      <c r="B72" s="734"/>
      <c r="D72" s="734"/>
      <c r="F72" s="734"/>
    </row>
    <row r="73" spans="2:6" ht="21" customHeight="1">
      <c r="B73" s="738" t="s">
        <v>604</v>
      </c>
      <c r="D73" s="738" t="s">
        <v>605</v>
      </c>
      <c r="F73" s="738" t="s">
        <v>606</v>
      </c>
    </row>
    <row r="74" spans="2:6" ht="21" customHeight="1">
      <c r="B74" s="713" t="s">
        <v>607</v>
      </c>
      <c r="D74" s="713" t="s">
        <v>608</v>
      </c>
      <c r="F74" s="713" t="s">
        <v>609</v>
      </c>
    </row>
    <row r="75" spans="2:6" ht="21" customHeight="1">
      <c r="B75" s="744" t="s">
        <v>610</v>
      </c>
      <c r="D75" s="744" t="s">
        <v>611</v>
      </c>
      <c r="F75" s="744" t="s">
        <v>612</v>
      </c>
    </row>
    <row r="76" spans="2:6" ht="21" customHeight="1">
      <c r="B76" s="744" t="s">
        <v>614</v>
      </c>
      <c r="D76" s="744" t="s">
        <v>615</v>
      </c>
      <c r="F76" s="744" t="s">
        <v>616</v>
      </c>
    </row>
    <row r="77" spans="2:6" ht="21" customHeight="1">
      <c r="B77" s="746" t="s">
        <v>622</v>
      </c>
      <c r="D77" s="746" t="s">
        <v>622</v>
      </c>
      <c r="F77" s="746" t="s">
        <v>623</v>
      </c>
    </row>
    <row r="78" spans="2:6" ht="21" customHeight="1">
      <c r="B78" s="747" t="s">
        <v>626</v>
      </c>
      <c r="D78" s="747" t="s">
        <v>628</v>
      </c>
      <c r="F78" s="747" t="s">
        <v>629</v>
      </c>
    </row>
    <row r="79" spans="2:6" ht="21" customHeight="1">
      <c r="B79" s="748" t="s">
        <v>633</v>
      </c>
      <c r="D79" s="748" t="s">
        <v>634</v>
      </c>
      <c r="F79" s="748" t="s">
        <v>635</v>
      </c>
    </row>
    <row r="80" spans="2:6" ht="21" customHeight="1">
      <c r="B80" s="734"/>
      <c r="D80" s="734"/>
      <c r="F80" s="734"/>
    </row>
    <row r="81" spans="2:6" ht="21" customHeight="1">
      <c r="B81" s="734"/>
      <c r="D81" s="734"/>
      <c r="F81" s="734"/>
    </row>
    <row r="82" spans="2:6" ht="21" customHeight="1">
      <c r="B82" s="727"/>
      <c r="D82" s="727"/>
      <c r="F82" s="727"/>
    </row>
    <row r="83" spans="2:6" ht="21" customHeight="1">
      <c r="B83" s="734"/>
      <c r="D83" s="734"/>
      <c r="F83" s="734"/>
    </row>
    <row r="84" spans="2:6" ht="21" customHeight="1">
      <c r="B84" s="749" t="s">
        <v>264</v>
      </c>
      <c r="D84" s="749" t="s">
        <v>838</v>
      </c>
      <c r="F84" s="749" t="s">
        <v>839</v>
      </c>
    </row>
    <row r="85" spans="2:6" ht="21" customHeight="1">
      <c r="B85" s="750" t="s">
        <v>840</v>
      </c>
      <c r="D85" s="750" t="s">
        <v>267</v>
      </c>
      <c r="F85" s="750" t="s">
        <v>268</v>
      </c>
    </row>
    <row r="86" spans="2:6" ht="21" customHeight="1">
      <c r="B86" s="734"/>
      <c r="D86" s="734"/>
      <c r="F86" s="734"/>
    </row>
    <row r="87" spans="2:6" ht="21" customHeight="1">
      <c r="B87" s="751" t="s">
        <v>304</v>
      </c>
      <c r="D87" s="751" t="s">
        <v>305</v>
      </c>
      <c r="F87" s="751" t="s">
        <v>306</v>
      </c>
    </row>
    <row r="88" spans="2:6" ht="21" customHeight="1">
      <c r="B88" s="737" t="s">
        <v>209</v>
      </c>
      <c r="D88" s="737" t="s">
        <v>210</v>
      </c>
      <c r="F88" s="737" t="s">
        <v>307</v>
      </c>
    </row>
    <row r="89" spans="2:6" ht="21" customHeight="1">
      <c r="B89" s="732" t="s">
        <v>212</v>
      </c>
      <c r="D89" s="732" t="s">
        <v>213</v>
      </c>
      <c r="F89" s="732" t="s">
        <v>214</v>
      </c>
    </row>
    <row r="90" spans="2:6" ht="21" customHeight="1">
      <c r="B90" s="729" t="s">
        <v>92</v>
      </c>
      <c r="D90" s="729" t="s">
        <v>232</v>
      </c>
      <c r="F90" s="729" t="s">
        <v>235</v>
      </c>
    </row>
    <row r="91" spans="2:6" ht="21" customHeight="1">
      <c r="B91" s="752" t="s">
        <v>308</v>
      </c>
      <c r="D91" s="752" t="s">
        <v>310</v>
      </c>
      <c r="F91" s="752" t="s">
        <v>312</v>
      </c>
    </row>
    <row r="92" spans="2:6" ht="21" customHeight="1">
      <c r="B92" s="752" t="s">
        <v>314</v>
      </c>
      <c r="D92" s="752" t="s">
        <v>316</v>
      </c>
      <c r="F92" s="752" t="s">
        <v>318</v>
      </c>
    </row>
    <row r="93" spans="2:6" ht="21" customHeight="1">
      <c r="B93" s="752" t="s">
        <v>321</v>
      </c>
      <c r="D93" s="752" t="s">
        <v>323</v>
      </c>
      <c r="F93" s="752" t="s">
        <v>325</v>
      </c>
    </row>
    <row r="94" spans="2:6" ht="21" customHeight="1">
      <c r="B94" s="753" t="s">
        <v>298</v>
      </c>
      <c r="D94" s="753" t="s">
        <v>302</v>
      </c>
      <c r="F94" s="753" t="s">
        <v>303</v>
      </c>
    </row>
    <row r="95" spans="2:6" ht="21" customHeight="1">
      <c r="B95" s="754" t="s">
        <v>94</v>
      </c>
      <c r="D95" s="754" t="s">
        <v>233</v>
      </c>
      <c r="F95" s="754" t="s">
        <v>284</v>
      </c>
    </row>
    <row r="96" spans="2:6" ht="21" customHeight="1">
      <c r="B96" s="755" t="s">
        <v>309</v>
      </c>
      <c r="D96" s="755" t="s">
        <v>311</v>
      </c>
      <c r="F96" s="755" t="s">
        <v>313</v>
      </c>
    </row>
    <row r="97" spans="2:6" ht="21" customHeight="1">
      <c r="B97" s="755" t="s">
        <v>315</v>
      </c>
      <c r="D97" s="755" t="s">
        <v>317</v>
      </c>
      <c r="F97" s="755" t="s">
        <v>319</v>
      </c>
    </row>
    <row r="98" spans="2:6" ht="21" customHeight="1">
      <c r="B98" s="755" t="s">
        <v>322</v>
      </c>
      <c r="D98" s="755" t="s">
        <v>324</v>
      </c>
      <c r="F98" s="755" t="s">
        <v>326</v>
      </c>
    </row>
    <row r="99" spans="2:6" ht="21" customHeight="1">
      <c r="B99" s="756" t="s">
        <v>217</v>
      </c>
      <c r="D99" s="756" t="s">
        <v>218</v>
      </c>
      <c r="F99" s="756" t="s">
        <v>219</v>
      </c>
    </row>
    <row r="100" spans="2:6" ht="21" customHeight="1">
      <c r="B100" s="757" t="s">
        <v>336</v>
      </c>
      <c r="D100" s="757" t="s">
        <v>337</v>
      </c>
      <c r="F100" s="757" t="s">
        <v>338</v>
      </c>
    </row>
    <row r="101" spans="2:6" ht="21" customHeight="1">
      <c r="B101" s="739" t="s">
        <v>341</v>
      </c>
      <c r="D101" s="739" t="s">
        <v>342</v>
      </c>
      <c r="F101" s="739" t="s">
        <v>343</v>
      </c>
    </row>
    <row r="102" spans="2:6" ht="21" customHeight="1">
      <c r="B102" s="758" t="s">
        <v>346</v>
      </c>
      <c r="D102" s="758" t="s">
        <v>195</v>
      </c>
      <c r="F102" s="758" t="s">
        <v>196</v>
      </c>
    </row>
    <row r="103" spans="2:6" ht="21" customHeight="1">
      <c r="B103" s="759" t="s">
        <v>349</v>
      </c>
      <c r="D103" s="759" t="s">
        <v>350</v>
      </c>
      <c r="F103" s="759" t="s">
        <v>351</v>
      </c>
    </row>
    <row r="104" spans="2:6" ht="21" customHeight="1">
      <c r="B104" s="760" t="s">
        <v>356</v>
      </c>
      <c r="D104" s="760" t="s">
        <v>358</v>
      </c>
      <c r="F104" s="760" t="s">
        <v>360</v>
      </c>
    </row>
    <row r="105" spans="2:6" ht="21" customHeight="1">
      <c r="B105" s="761" t="s">
        <v>357</v>
      </c>
      <c r="D105" s="761" t="s">
        <v>359</v>
      </c>
      <c r="F105" s="761" t="s">
        <v>361</v>
      </c>
    </row>
    <row r="106" spans="2:6" ht="21" customHeight="1">
      <c r="B106" s="762" t="s">
        <v>376</v>
      </c>
      <c r="D106" s="762" t="s">
        <v>378</v>
      </c>
      <c r="F106" s="762" t="s">
        <v>380</v>
      </c>
    </row>
    <row r="107" spans="2:6" ht="21" customHeight="1">
      <c r="B107" s="762" t="s">
        <v>841</v>
      </c>
      <c r="D107" s="762" t="s">
        <v>379</v>
      </c>
      <c r="F107" s="762" t="s">
        <v>381</v>
      </c>
    </row>
    <row r="108" spans="2:6" ht="21" customHeight="1">
      <c r="B108" s="763" t="s">
        <v>382</v>
      </c>
      <c r="D108" s="763" t="s">
        <v>383</v>
      </c>
      <c r="F108" s="763" t="s">
        <v>384</v>
      </c>
    </row>
    <row r="109" spans="2:6" ht="21" customHeight="1">
      <c r="B109" s="764" t="s">
        <v>223</v>
      </c>
      <c r="D109" s="764" t="s">
        <v>224</v>
      </c>
      <c r="F109" s="764" t="s">
        <v>225</v>
      </c>
    </row>
    <row r="110" spans="2:6" ht="21" customHeight="1">
      <c r="B110" s="734"/>
      <c r="D110" s="734"/>
      <c r="F110" s="734"/>
    </row>
    <row r="111" spans="2:6" ht="21" customHeight="1">
      <c r="B111" s="734"/>
      <c r="D111" s="734"/>
      <c r="F111" s="734"/>
    </row>
    <row r="112" spans="2:6" ht="21" customHeight="1">
      <c r="B112" s="765" t="s">
        <v>32</v>
      </c>
      <c r="D112" s="765" t="s">
        <v>137</v>
      </c>
      <c r="F112" s="765" t="s">
        <v>140</v>
      </c>
    </row>
    <row r="113" spans="2:6" ht="21" customHeight="1">
      <c r="B113" s="766" t="s">
        <v>20</v>
      </c>
      <c r="D113" s="766" t="s">
        <v>139</v>
      </c>
      <c r="F113" s="766" t="s">
        <v>142</v>
      </c>
    </row>
    <row r="114" spans="2:6" ht="21" customHeight="1">
      <c r="B114" s="767" t="s">
        <v>35</v>
      </c>
      <c r="D114" s="767" t="s">
        <v>138</v>
      </c>
      <c r="F114" s="767" t="s">
        <v>141</v>
      </c>
    </row>
    <row r="115" spans="2:6" ht="21" customHeight="1">
      <c r="B115" s="768" t="s">
        <v>51</v>
      </c>
      <c r="D115" s="768" t="s">
        <v>154</v>
      </c>
      <c r="F115" s="768" t="s">
        <v>155</v>
      </c>
    </row>
    <row r="116" spans="2:6" ht="21" customHeight="1">
      <c r="B116" s="769" t="s">
        <v>40</v>
      </c>
      <c r="D116" s="769" t="s">
        <v>151</v>
      </c>
      <c r="F116" s="769" t="s">
        <v>842</v>
      </c>
    </row>
    <row r="117" spans="2:6" ht="21" customHeight="1">
      <c r="B117" s="770" t="s">
        <v>41</v>
      </c>
      <c r="D117" s="770" t="s">
        <v>152</v>
      </c>
      <c r="F117" s="770" t="s">
        <v>843</v>
      </c>
    </row>
    <row r="118" spans="2:6" ht="21" customHeight="1">
      <c r="B118" s="771" t="s">
        <v>97</v>
      </c>
      <c r="D118" s="771" t="s">
        <v>237</v>
      </c>
      <c r="F118" s="771" t="s">
        <v>238</v>
      </c>
    </row>
    <row r="119" spans="2:6" ht="21" customHeight="1">
      <c r="B119" s="771" t="s">
        <v>100</v>
      </c>
      <c r="D119" s="771" t="s">
        <v>240</v>
      </c>
      <c r="F119" s="771" t="s">
        <v>241</v>
      </c>
    </row>
    <row r="120" spans="2:6" ht="21" customHeight="1">
      <c r="B120" s="770" t="s">
        <v>50</v>
      </c>
      <c r="D120" s="770" t="s">
        <v>153</v>
      </c>
      <c r="F120" s="770" t="s">
        <v>248</v>
      </c>
    </row>
    <row r="121" spans="2:6" ht="21" customHeight="1">
      <c r="B121" s="770" t="s">
        <v>83</v>
      </c>
      <c r="D121" s="770" t="s">
        <v>244</v>
      </c>
      <c r="F121" s="770" t="s">
        <v>249</v>
      </c>
    </row>
    <row r="122" spans="2:6" ht="21" customHeight="1">
      <c r="B122" s="772" t="s">
        <v>84</v>
      </c>
      <c r="D122" s="772" t="s">
        <v>245</v>
      </c>
      <c r="F122" s="772" t="s">
        <v>250</v>
      </c>
    </row>
    <row r="123" spans="2:6" ht="21" customHeight="1">
      <c r="B123" s="773" t="s">
        <v>83</v>
      </c>
      <c r="D123" s="773" t="s">
        <v>244</v>
      </c>
      <c r="F123" s="773" t="s">
        <v>249</v>
      </c>
    </row>
    <row r="124" spans="2:6" ht="21" customHeight="1">
      <c r="B124" s="770" t="s">
        <v>85</v>
      </c>
      <c r="D124" s="770" t="s">
        <v>246</v>
      </c>
      <c r="F124" s="770" t="s">
        <v>251</v>
      </c>
    </row>
    <row r="125" spans="2:6" ht="21" customHeight="1">
      <c r="B125" s="761" t="s">
        <v>86</v>
      </c>
      <c r="D125" s="761" t="s">
        <v>247</v>
      </c>
      <c r="F125" s="761" t="s">
        <v>252</v>
      </c>
    </row>
    <row r="126" spans="2:6" ht="21" customHeight="1">
      <c r="B126" s="5850" t="s">
        <v>257</v>
      </c>
      <c r="D126" s="5850" t="s">
        <v>258</v>
      </c>
      <c r="F126" s="5850" t="s">
        <v>259</v>
      </c>
    </row>
    <row r="127" spans="2:6" ht="21" customHeight="1">
      <c r="B127" s="5851"/>
      <c r="D127" s="5851"/>
      <c r="F127" s="5851"/>
    </row>
    <row r="128" spans="2:6" ht="21" customHeight="1">
      <c r="B128" s="773" t="s">
        <v>86</v>
      </c>
      <c r="D128" s="773" t="s">
        <v>247</v>
      </c>
      <c r="F128" s="773" t="s">
        <v>252</v>
      </c>
    </row>
    <row r="129" spans="2:6" ht="21" customHeight="1">
      <c r="B129" s="756" t="s">
        <v>271</v>
      </c>
      <c r="D129" s="764" t="s">
        <v>272</v>
      </c>
      <c r="F129" s="764" t="s">
        <v>273</v>
      </c>
    </row>
    <row r="130" spans="2:6" ht="21" customHeight="1">
      <c r="B130" s="774"/>
      <c r="D130" s="734"/>
      <c r="F130" s="734"/>
    </row>
    <row r="131" spans="2:6" ht="21" customHeight="1">
      <c r="B131" s="775" t="s">
        <v>844</v>
      </c>
      <c r="D131" s="775" t="s">
        <v>845</v>
      </c>
      <c r="F131" s="775" t="s">
        <v>846</v>
      </c>
    </row>
    <row r="132" spans="2:6" ht="21" customHeight="1">
      <c r="B132" s="776" t="s">
        <v>286</v>
      </c>
      <c r="D132" s="776" t="s">
        <v>290</v>
      </c>
      <c r="F132" s="776" t="s">
        <v>291</v>
      </c>
    </row>
    <row r="133" spans="2:6" ht="21" customHeight="1">
      <c r="B133" s="776" t="s">
        <v>293</v>
      </c>
      <c r="D133" s="776" t="s">
        <v>297</v>
      </c>
      <c r="F133" s="776" t="s">
        <v>297</v>
      </c>
    </row>
    <row r="134" spans="2:6" ht="21" customHeight="1">
      <c r="B134" s="776" t="s">
        <v>298</v>
      </c>
      <c r="D134" s="776" t="s">
        <v>302</v>
      </c>
      <c r="F134" s="776" t="s">
        <v>303</v>
      </c>
    </row>
    <row r="135" spans="2:6" ht="21" customHeight="1">
      <c r="B135" s="777" t="s">
        <v>274</v>
      </c>
      <c r="D135" s="777" t="s">
        <v>277</v>
      </c>
      <c r="F135" s="777" t="s">
        <v>280</v>
      </c>
    </row>
    <row r="136" spans="2:6" ht="21" customHeight="1">
      <c r="B136" s="778" t="s">
        <v>275</v>
      </c>
      <c r="D136" s="778" t="s">
        <v>278</v>
      </c>
      <c r="F136" s="778" t="s">
        <v>281</v>
      </c>
    </row>
    <row r="137" spans="2:6" ht="21" customHeight="1">
      <c r="B137" s="779" t="s">
        <v>276</v>
      </c>
      <c r="D137" s="779" t="s">
        <v>279</v>
      </c>
      <c r="F137" s="779" t="s">
        <v>282</v>
      </c>
    </row>
    <row r="138" spans="2:6" ht="21" customHeight="1">
      <c r="B138" s="727"/>
      <c r="D138" s="727"/>
      <c r="F138" s="727"/>
    </row>
    <row r="139" spans="2:6" ht="21" customHeight="1">
      <c r="B139" s="734"/>
      <c r="D139" s="734"/>
      <c r="F139" s="734"/>
    </row>
    <row r="140" spans="2:6" ht="21" customHeight="1">
      <c r="B140" s="780" t="s">
        <v>393</v>
      </c>
      <c r="D140" s="780" t="s">
        <v>393</v>
      </c>
      <c r="F140" s="780" t="s">
        <v>396</v>
      </c>
    </row>
    <row r="141" spans="2:6" ht="21" customHeight="1">
      <c r="B141" s="781" t="s">
        <v>394</v>
      </c>
      <c r="D141" s="781" t="s">
        <v>395</v>
      </c>
      <c r="F141" s="781" t="s">
        <v>397</v>
      </c>
    </row>
    <row r="142" spans="2:6" ht="21" customHeight="1">
      <c r="B142" s="781" t="s">
        <v>398</v>
      </c>
      <c r="D142" s="781" t="s">
        <v>399</v>
      </c>
      <c r="F142" s="781" t="s">
        <v>400</v>
      </c>
    </row>
    <row r="143" spans="2:6" ht="21" customHeight="1">
      <c r="B143" s="782" t="s">
        <v>404</v>
      </c>
      <c r="D143" s="782" t="s">
        <v>405</v>
      </c>
      <c r="F143" s="782" t="s">
        <v>406</v>
      </c>
    </row>
    <row r="144" spans="2:6" ht="21" customHeight="1">
      <c r="B144" s="782" t="s">
        <v>847</v>
      </c>
      <c r="D144" s="782" t="s">
        <v>408</v>
      </c>
      <c r="F144" s="782" t="s">
        <v>409</v>
      </c>
    </row>
    <row r="145" spans="2:6" ht="21" customHeight="1">
      <c r="B145" s="782" t="s">
        <v>848</v>
      </c>
      <c r="D145" s="782" t="s">
        <v>412</v>
      </c>
      <c r="F145" s="782" t="s">
        <v>413</v>
      </c>
    </row>
    <row r="146" spans="2:6" ht="21" customHeight="1">
      <c r="B146" s="782" t="s">
        <v>415</v>
      </c>
      <c r="D146" s="782" t="s">
        <v>416</v>
      </c>
      <c r="F146" s="782" t="s">
        <v>417</v>
      </c>
    </row>
    <row r="147" spans="2:6" ht="21" customHeight="1">
      <c r="B147" s="782" t="s">
        <v>419</v>
      </c>
      <c r="D147" s="782" t="s">
        <v>420</v>
      </c>
      <c r="F147" s="782" t="s">
        <v>421</v>
      </c>
    </row>
    <row r="148" spans="2:6" ht="21" customHeight="1">
      <c r="B148" s="734"/>
      <c r="D148" s="734"/>
      <c r="F148" s="734"/>
    </row>
    <row r="149" spans="2:6" ht="21" customHeight="1">
      <c r="B149" s="734"/>
      <c r="D149" s="734"/>
      <c r="F149" s="734"/>
    </row>
    <row r="150" spans="2:6" ht="21" customHeight="1">
      <c r="B150" s="783" t="s">
        <v>436</v>
      </c>
      <c r="D150" s="783" t="s">
        <v>849</v>
      </c>
      <c r="F150" s="783" t="s">
        <v>438</v>
      </c>
    </row>
    <row r="151" spans="2:6" ht="21" customHeight="1">
      <c r="B151" s="784" t="s">
        <v>850</v>
      </c>
      <c r="D151" s="784" t="s">
        <v>437</v>
      </c>
      <c r="F151" s="784" t="s">
        <v>439</v>
      </c>
    </row>
    <row r="152" spans="2:6" ht="21" customHeight="1">
      <c r="B152" s="784" t="s">
        <v>440</v>
      </c>
      <c r="D152" s="784" t="s">
        <v>441</v>
      </c>
      <c r="F152" s="784" t="s">
        <v>442</v>
      </c>
    </row>
    <row r="153" spans="2:6" ht="21" customHeight="1">
      <c r="B153" s="727"/>
      <c r="D153" s="727"/>
      <c r="F153" s="727"/>
    </row>
    <row r="154" spans="2:6" ht="21" customHeight="1" thickBot="1">
      <c r="B154" s="734"/>
      <c r="D154" s="734"/>
      <c r="F154" s="734"/>
    </row>
    <row r="155" spans="2:6" ht="21" customHeight="1" thickTop="1">
      <c r="B155" s="785" t="s">
        <v>83</v>
      </c>
      <c r="D155" s="785" t="s">
        <v>244</v>
      </c>
      <c r="F155" s="785" t="s">
        <v>249</v>
      </c>
    </row>
    <row r="156" spans="2:6" ht="21" customHeight="1">
      <c r="B156" s="786" t="s">
        <v>50</v>
      </c>
      <c r="D156" s="786" t="s">
        <v>153</v>
      </c>
      <c r="F156" s="786" t="s">
        <v>248</v>
      </c>
    </row>
    <row r="157" spans="2:6" ht="21" customHeight="1">
      <c r="B157" s="787" t="s">
        <v>851</v>
      </c>
      <c r="D157" s="787" t="s">
        <v>443</v>
      </c>
      <c r="F157" s="787" t="s">
        <v>444</v>
      </c>
    </row>
    <row r="158" spans="2:6" ht="21" customHeight="1">
      <c r="B158" s="788" t="s">
        <v>445</v>
      </c>
      <c r="D158" s="788" t="s">
        <v>446</v>
      </c>
      <c r="F158" s="788" t="s">
        <v>447</v>
      </c>
    </row>
    <row r="159" spans="2:6" ht="21" customHeight="1">
      <c r="B159" s="789" t="s">
        <v>852</v>
      </c>
      <c r="D159" s="789" t="s">
        <v>448</v>
      </c>
      <c r="F159" s="789" t="s">
        <v>449</v>
      </c>
    </row>
    <row r="160" spans="2:6" ht="21" customHeight="1">
      <c r="B160" s="790" t="s">
        <v>450</v>
      </c>
      <c r="D160" s="790" t="s">
        <v>451</v>
      </c>
      <c r="F160" s="790" t="s">
        <v>452</v>
      </c>
    </row>
    <row r="161" spans="2:6" ht="21" customHeight="1">
      <c r="B161" s="791" t="s">
        <v>453</v>
      </c>
      <c r="D161" s="791" t="s">
        <v>454</v>
      </c>
      <c r="F161" s="791" t="s">
        <v>455</v>
      </c>
    </row>
    <row r="162" spans="2:6" ht="21" customHeight="1">
      <c r="B162" s="727"/>
      <c r="D162" s="727"/>
      <c r="F162" s="727"/>
    </row>
    <row r="163" spans="2:6" ht="21" customHeight="1">
      <c r="B163" s="734"/>
      <c r="D163" s="734"/>
      <c r="F163" s="734"/>
    </row>
    <row r="164" spans="2:6" ht="21" customHeight="1">
      <c r="B164" s="792" t="s">
        <v>459</v>
      </c>
      <c r="D164" s="792" t="s">
        <v>460</v>
      </c>
      <c r="F164" s="792" t="s">
        <v>461</v>
      </c>
    </row>
    <row r="165" spans="2:6" ht="21" customHeight="1">
      <c r="B165" s="793" t="s">
        <v>32</v>
      </c>
      <c r="D165" s="793" t="s">
        <v>137</v>
      </c>
      <c r="F165" s="793" t="s">
        <v>140</v>
      </c>
    </row>
    <row r="166" spans="2:6" ht="21" customHeight="1">
      <c r="B166" s="794" t="s">
        <v>462</v>
      </c>
      <c r="D166" s="794" t="s">
        <v>463</v>
      </c>
      <c r="F166" s="794" t="s">
        <v>464</v>
      </c>
    </row>
    <row r="167" spans="2:6" ht="21" customHeight="1">
      <c r="B167" s="795" t="s">
        <v>465</v>
      </c>
      <c r="D167" s="795" t="s">
        <v>466</v>
      </c>
      <c r="F167" s="795" t="s">
        <v>467</v>
      </c>
    </row>
    <row r="168" spans="2:6" ht="21" customHeight="1">
      <c r="B168" s="734"/>
      <c r="D168" s="734"/>
      <c r="F168" s="734"/>
    </row>
    <row r="169" spans="2:6" ht="21" customHeight="1">
      <c r="B169" s="727"/>
      <c r="D169" s="727"/>
      <c r="F169" s="727"/>
    </row>
    <row r="170" spans="2:6" ht="21" customHeight="1">
      <c r="B170" s="796" t="s">
        <v>51</v>
      </c>
      <c r="D170" s="796" t="s">
        <v>154</v>
      </c>
      <c r="F170" s="796" t="s">
        <v>155</v>
      </c>
    </row>
    <row r="171" spans="2:6" ht="21" customHeight="1">
      <c r="B171" s="797" t="s">
        <v>853</v>
      </c>
      <c r="D171" s="797" t="s">
        <v>468</v>
      </c>
      <c r="F171" s="797" t="s">
        <v>469</v>
      </c>
    </row>
    <row r="172" spans="2:6" ht="21" customHeight="1">
      <c r="B172" s="798" t="s">
        <v>470</v>
      </c>
      <c r="D172" s="798" t="s">
        <v>471</v>
      </c>
      <c r="F172" s="798" t="s">
        <v>472</v>
      </c>
    </row>
    <row r="173" spans="2:6" ht="21" customHeight="1">
      <c r="B173" s="799" t="s">
        <v>473</v>
      </c>
      <c r="D173" s="799" t="s">
        <v>474</v>
      </c>
      <c r="F173" s="799" t="s">
        <v>475</v>
      </c>
    </row>
    <row r="174" spans="2:6" ht="21" customHeight="1">
      <c r="B174" s="799" t="s">
        <v>476</v>
      </c>
      <c r="D174" s="799" t="s">
        <v>477</v>
      </c>
      <c r="F174" s="799" t="s">
        <v>478</v>
      </c>
    </row>
    <row r="175" spans="2:6" ht="21" customHeight="1">
      <c r="B175" s="799" t="s">
        <v>36</v>
      </c>
      <c r="D175" s="799" t="s">
        <v>479</v>
      </c>
      <c r="F175" s="799" t="s">
        <v>480</v>
      </c>
    </row>
    <row r="176" spans="2:6" ht="21" customHeight="1">
      <c r="B176" s="798" t="s">
        <v>481</v>
      </c>
      <c r="D176" s="798" t="s">
        <v>482</v>
      </c>
      <c r="F176" s="798" t="s">
        <v>483</v>
      </c>
    </row>
    <row r="177" spans="2:6" ht="21" customHeight="1">
      <c r="B177" s="5846" t="s">
        <v>484</v>
      </c>
      <c r="D177" s="5846" t="s">
        <v>485</v>
      </c>
      <c r="F177" s="5846" t="s">
        <v>486</v>
      </c>
    </row>
    <row r="178" spans="2:6" ht="21" customHeight="1">
      <c r="B178" s="5846"/>
      <c r="D178" s="5846"/>
      <c r="F178" s="5846"/>
    </row>
    <row r="179" spans="2:6" ht="21" customHeight="1">
      <c r="B179" s="799" t="s">
        <v>488</v>
      </c>
      <c r="D179" s="799" t="s">
        <v>489</v>
      </c>
      <c r="F179" s="799" t="s">
        <v>490</v>
      </c>
    </row>
    <row r="180" spans="2:6" ht="21" customHeight="1">
      <c r="B180" s="799" t="s">
        <v>493</v>
      </c>
      <c r="D180" s="799" t="s">
        <v>494</v>
      </c>
      <c r="F180" s="799" t="s">
        <v>495</v>
      </c>
    </row>
    <row r="181" spans="2:6" ht="21" customHeight="1">
      <c r="B181" s="799" t="s">
        <v>496</v>
      </c>
      <c r="D181" s="799" t="s">
        <v>497</v>
      </c>
      <c r="F181" s="799" t="s">
        <v>498</v>
      </c>
    </row>
    <row r="182" spans="2:6" ht="21" customHeight="1">
      <c r="B182" s="799" t="s">
        <v>500</v>
      </c>
      <c r="D182" s="799" t="s">
        <v>501</v>
      </c>
      <c r="F182" s="799" t="s">
        <v>502</v>
      </c>
    </row>
    <row r="183" spans="2:6" ht="21" customHeight="1">
      <c r="B183" s="800" t="s">
        <v>504</v>
      </c>
      <c r="D183" s="800" t="s">
        <v>505</v>
      </c>
      <c r="F183" s="800" t="s">
        <v>506</v>
      </c>
    </row>
    <row r="184" spans="2:6" ht="21" customHeight="1">
      <c r="B184" s="801" t="s">
        <v>507</v>
      </c>
      <c r="D184" s="801" t="s">
        <v>509</v>
      </c>
      <c r="F184" s="801" t="s">
        <v>511</v>
      </c>
    </row>
    <row r="185" spans="2:6" ht="21" customHeight="1">
      <c r="B185" s="802" t="s">
        <v>508</v>
      </c>
      <c r="D185" s="802" t="s">
        <v>510</v>
      </c>
      <c r="F185" s="802" t="s">
        <v>512</v>
      </c>
    </row>
    <row r="186" spans="2:6" ht="21" customHeight="1">
      <c r="B186" s="5847" t="s">
        <v>514</v>
      </c>
      <c r="D186" s="5847" t="s">
        <v>515</v>
      </c>
      <c r="F186" s="5847" t="s">
        <v>516</v>
      </c>
    </row>
    <row r="187" spans="2:6" ht="21" customHeight="1">
      <c r="B187" s="5848"/>
      <c r="D187" s="5848"/>
      <c r="F187" s="5848"/>
    </row>
    <row r="188" spans="2:6" ht="21" customHeight="1">
      <c r="B188" s="727"/>
      <c r="D188" s="727"/>
      <c r="F188" s="727"/>
    </row>
    <row r="189" spans="2:6" ht="21" customHeight="1">
      <c r="B189" s="734"/>
      <c r="D189" s="734"/>
      <c r="F189" s="734"/>
    </row>
    <row r="190" spans="2:6" ht="21" customHeight="1">
      <c r="B190" s="803" t="s">
        <v>520</v>
      </c>
      <c r="D190" s="803" t="s">
        <v>521</v>
      </c>
      <c r="F190" s="803" t="s">
        <v>522</v>
      </c>
    </row>
    <row r="191" spans="2:6" ht="21" customHeight="1">
      <c r="B191" s="804" t="s">
        <v>854</v>
      </c>
      <c r="D191" s="804" t="s">
        <v>524</v>
      </c>
      <c r="F191" s="804" t="s">
        <v>525</v>
      </c>
    </row>
    <row r="192" spans="2:6" ht="21" customHeight="1">
      <c r="B192" s="805" t="s">
        <v>488</v>
      </c>
      <c r="D192" s="805" t="s">
        <v>489</v>
      </c>
      <c r="F192" s="805" t="s">
        <v>490</v>
      </c>
    </row>
    <row r="193" spans="2:6" ht="21" customHeight="1">
      <c r="B193" s="805" t="s">
        <v>493</v>
      </c>
      <c r="D193" s="805" t="s">
        <v>494</v>
      </c>
      <c r="F193" s="805" t="s">
        <v>495</v>
      </c>
    </row>
    <row r="194" spans="2:6" ht="21" customHeight="1">
      <c r="B194" s="806" t="s">
        <v>496</v>
      </c>
      <c r="D194" s="806" t="s">
        <v>497</v>
      </c>
      <c r="F194" s="806" t="s">
        <v>498</v>
      </c>
    </row>
    <row r="195" spans="2:6" ht="21" customHeight="1">
      <c r="B195" s="806" t="s">
        <v>500</v>
      </c>
      <c r="D195" s="806" t="s">
        <v>501</v>
      </c>
      <c r="F195" s="806" t="s">
        <v>502</v>
      </c>
    </row>
    <row r="196" spans="2:6" ht="21" customHeight="1">
      <c r="B196" s="807" t="s">
        <v>526</v>
      </c>
      <c r="D196" s="807" t="s">
        <v>527</v>
      </c>
      <c r="F196" s="807" t="s">
        <v>528</v>
      </c>
    </row>
    <row r="197" spans="2:6" ht="21" customHeight="1">
      <c r="B197" s="734"/>
      <c r="D197" s="734"/>
      <c r="F197" s="734"/>
    </row>
    <row r="198" spans="2:6" ht="21" customHeight="1">
      <c r="B198" s="727"/>
      <c r="D198" s="727"/>
      <c r="F198" s="727"/>
    </row>
    <row r="199" spans="2:6" ht="21" customHeight="1">
      <c r="B199" s="5842" t="s">
        <v>533</v>
      </c>
      <c r="D199" s="5842" t="s">
        <v>534</v>
      </c>
      <c r="F199" s="5842" t="s">
        <v>535</v>
      </c>
    </row>
    <row r="200" spans="2:6" ht="21" customHeight="1">
      <c r="B200" s="5843"/>
      <c r="D200" s="5843"/>
      <c r="F200" s="5843"/>
    </row>
    <row r="201" spans="2:6" ht="21" customHeight="1">
      <c r="B201" s="804" t="s">
        <v>540</v>
      </c>
      <c r="D201" s="804" t="s">
        <v>542</v>
      </c>
      <c r="F201" s="804" t="s">
        <v>544</v>
      </c>
    </row>
    <row r="202" spans="2:6" ht="21" customHeight="1">
      <c r="B202" s="798" t="s">
        <v>541</v>
      </c>
      <c r="D202" s="798" t="s">
        <v>543</v>
      </c>
      <c r="F202" s="798" t="s">
        <v>545</v>
      </c>
    </row>
    <row r="203" spans="2:6" ht="21" customHeight="1">
      <c r="B203" s="808" t="s">
        <v>183</v>
      </c>
      <c r="D203" s="808" t="s">
        <v>183</v>
      </c>
      <c r="F203" s="808" t="s">
        <v>183</v>
      </c>
    </row>
    <row r="204" spans="2:6" ht="21" customHeight="1">
      <c r="B204" s="809" t="s">
        <v>548</v>
      </c>
      <c r="D204" s="809" t="s">
        <v>855</v>
      </c>
      <c r="F204" s="809" t="s">
        <v>549</v>
      </c>
    </row>
    <row r="205" spans="2:6" ht="21" customHeight="1">
      <c r="B205" s="810" t="s">
        <v>540</v>
      </c>
      <c r="D205" s="810" t="s">
        <v>542</v>
      </c>
      <c r="F205" s="810" t="s">
        <v>544</v>
      </c>
    </row>
    <row r="206" spans="2:6" ht="21" customHeight="1">
      <c r="B206" s="811" t="s">
        <v>550</v>
      </c>
      <c r="D206" s="811" t="s">
        <v>551</v>
      </c>
      <c r="F206" s="811" t="s">
        <v>552</v>
      </c>
    </row>
    <row r="207" spans="2:6" ht="21" customHeight="1">
      <c r="B207" s="812" t="s">
        <v>555</v>
      </c>
      <c r="D207" s="812" t="s">
        <v>556</v>
      </c>
      <c r="F207" s="812" t="s">
        <v>557</v>
      </c>
    </row>
    <row r="208" spans="2:6" ht="21" customHeight="1">
      <c r="B208" s="806" t="s">
        <v>559</v>
      </c>
      <c r="D208" s="806" t="s">
        <v>560</v>
      </c>
      <c r="F208" s="806" t="s">
        <v>856</v>
      </c>
    </row>
    <row r="209" spans="2:6" ht="21" customHeight="1">
      <c r="B209" s="813" t="s">
        <v>565</v>
      </c>
      <c r="D209" s="813" t="s">
        <v>566</v>
      </c>
      <c r="F209" s="813" t="s">
        <v>567</v>
      </c>
    </row>
    <row r="210" spans="2:6" ht="21" customHeight="1">
      <c r="B210" s="734" t="s">
        <v>561</v>
      </c>
      <c r="D210" s="734" t="s">
        <v>562</v>
      </c>
      <c r="F210" s="734" t="s">
        <v>563</v>
      </c>
    </row>
    <row r="211" spans="2:6" ht="21" customHeight="1">
      <c r="B211" s="734" t="s">
        <v>568</v>
      </c>
      <c r="D211" s="734" t="s">
        <v>569</v>
      </c>
      <c r="F211" s="734" t="s">
        <v>570</v>
      </c>
    </row>
    <row r="212" spans="2:6" ht="21" customHeight="1">
      <c r="B212" s="734" t="s">
        <v>571</v>
      </c>
      <c r="D212" s="734" t="s">
        <v>572</v>
      </c>
      <c r="F212" s="734" t="s">
        <v>573</v>
      </c>
    </row>
    <row r="213" spans="2:6" ht="21" customHeight="1">
      <c r="B213" s="814"/>
      <c r="D213" s="814"/>
      <c r="F213" s="814"/>
    </row>
    <row r="214" spans="2:6" ht="21" customHeight="1">
      <c r="B214" s="815"/>
      <c r="D214" s="815"/>
      <c r="F214" s="815"/>
    </row>
    <row r="215" spans="2:6" ht="21" customHeight="1">
      <c r="B215" s="816" t="s">
        <v>857</v>
      </c>
      <c r="D215" s="816" t="s">
        <v>648</v>
      </c>
      <c r="F215" s="816" t="s">
        <v>649</v>
      </c>
    </row>
    <row r="216" spans="2:6" ht="21" customHeight="1">
      <c r="B216" s="734"/>
      <c r="D216" s="734"/>
      <c r="F216" s="734"/>
    </row>
    <row r="217" spans="2:6" ht="21" customHeight="1">
      <c r="B217" s="817" t="s">
        <v>173</v>
      </c>
      <c r="D217" s="817" t="s">
        <v>650</v>
      </c>
      <c r="F217" s="817" t="s">
        <v>651</v>
      </c>
    </row>
    <row r="218" spans="2:6" ht="21" customHeight="1">
      <c r="B218" s="817" t="s">
        <v>181</v>
      </c>
      <c r="D218" s="817" t="s">
        <v>652</v>
      </c>
      <c r="F218" s="817" t="s">
        <v>653</v>
      </c>
    </row>
    <row r="219" spans="2:6" ht="21" customHeight="1">
      <c r="B219" s="734" t="s">
        <v>197</v>
      </c>
      <c r="D219" s="734" t="s">
        <v>655</v>
      </c>
      <c r="F219" s="734" t="s">
        <v>656</v>
      </c>
    </row>
    <row r="220" spans="2:6" ht="21" customHeight="1">
      <c r="B220" s="734"/>
      <c r="D220" s="734"/>
      <c r="F220" s="734"/>
    </row>
    <row r="221" spans="2:6" ht="21" customHeight="1">
      <c r="B221" s="818" t="s">
        <v>201</v>
      </c>
      <c r="D221" s="818" t="s">
        <v>661</v>
      </c>
      <c r="F221" s="818" t="s">
        <v>663</v>
      </c>
    </row>
    <row r="222" spans="2:6" ht="21" customHeight="1">
      <c r="B222" s="819" t="s">
        <v>660</v>
      </c>
      <c r="D222" s="819" t="s">
        <v>662</v>
      </c>
      <c r="F222" s="819" t="s">
        <v>664</v>
      </c>
    </row>
    <row r="223" spans="2:6" ht="21" customHeight="1">
      <c r="B223" s="820"/>
      <c r="D223" s="820"/>
      <c r="F223" s="820"/>
    </row>
    <row r="224" spans="2:6" ht="21" customHeight="1">
      <c r="B224" s="734"/>
      <c r="D224" s="734"/>
      <c r="F224" s="734"/>
    </row>
    <row r="225" spans="2:6" ht="21" customHeight="1">
      <c r="B225" s="821" t="s">
        <v>165</v>
      </c>
      <c r="D225" s="821" t="s">
        <v>669</v>
      </c>
      <c r="F225" s="821" t="s">
        <v>670</v>
      </c>
    </row>
    <row r="226" spans="2:6" ht="21" customHeight="1">
      <c r="B226" s="774" t="s">
        <v>168</v>
      </c>
      <c r="D226" s="774" t="s">
        <v>672</v>
      </c>
      <c r="F226" s="774" t="s">
        <v>673</v>
      </c>
    </row>
    <row r="227" spans="2:6" ht="21" customHeight="1">
      <c r="B227" s="821" t="s">
        <v>172</v>
      </c>
      <c r="D227" s="821" t="s">
        <v>676</v>
      </c>
      <c r="F227" s="821" t="s">
        <v>677</v>
      </c>
    </row>
    <row r="228" spans="2:6" ht="21" customHeight="1">
      <c r="B228" s="734" t="s">
        <v>174</v>
      </c>
      <c r="D228" s="734" t="s">
        <v>682</v>
      </c>
      <c r="F228" s="734" t="s">
        <v>683</v>
      </c>
    </row>
    <row r="229" spans="2:6" ht="21" customHeight="1">
      <c r="B229" s="734" t="s">
        <v>182</v>
      </c>
      <c r="D229" s="734" t="s">
        <v>684</v>
      </c>
      <c r="F229" s="734" t="s">
        <v>685</v>
      </c>
    </row>
    <row r="230" spans="2:6" ht="21" customHeight="1">
      <c r="B230" s="822" t="s">
        <v>183</v>
      </c>
      <c r="D230" s="822" t="s">
        <v>183</v>
      </c>
      <c r="F230" s="822" t="s">
        <v>183</v>
      </c>
    </row>
    <row r="231" spans="2:6" ht="21" customHeight="1">
      <c r="B231" s="823" t="s">
        <v>187</v>
      </c>
      <c r="D231" s="823" t="s">
        <v>686</v>
      </c>
      <c r="F231" s="823" t="s">
        <v>687</v>
      </c>
    </row>
    <row r="232" spans="2:6" ht="21" customHeight="1">
      <c r="B232" s="824" t="s">
        <v>191</v>
      </c>
      <c r="D232" s="824" t="s">
        <v>688</v>
      </c>
      <c r="F232" s="824" t="s">
        <v>690</v>
      </c>
    </row>
    <row r="233" spans="2:6" ht="21" customHeight="1">
      <c r="B233" s="817" t="s">
        <v>192</v>
      </c>
      <c r="D233" s="817" t="s">
        <v>689</v>
      </c>
      <c r="F233" s="817" t="s">
        <v>691</v>
      </c>
    </row>
    <row r="234" spans="2:6" ht="21" customHeight="1">
      <c r="B234" s="825" t="s">
        <v>20</v>
      </c>
      <c r="D234" s="825" t="s">
        <v>139</v>
      </c>
      <c r="F234" s="825" t="s">
        <v>142</v>
      </c>
    </row>
    <row r="235" spans="2:6" ht="21" customHeight="1">
      <c r="B235" s="825" t="s">
        <v>692</v>
      </c>
      <c r="D235" s="825" t="s">
        <v>693</v>
      </c>
      <c r="F235" s="825" t="s">
        <v>693</v>
      </c>
    </row>
    <row r="236" spans="2:6" ht="21" customHeight="1">
      <c r="B236" s="826" t="s">
        <v>858</v>
      </c>
      <c r="D236" s="826" t="s">
        <v>694</v>
      </c>
      <c r="F236" s="826" t="s">
        <v>695</v>
      </c>
    </row>
    <row r="237" spans="2:6" ht="21" customHeight="1">
      <c r="B237" s="734" t="s">
        <v>696</v>
      </c>
      <c r="D237" s="734" t="s">
        <v>697</v>
      </c>
      <c r="F237" s="734" t="s">
        <v>698</v>
      </c>
    </row>
    <row r="238" spans="2:6" ht="21" customHeight="1">
      <c r="B238" s="774" t="s">
        <v>199</v>
      </c>
      <c r="D238" s="774" t="s">
        <v>701</v>
      </c>
      <c r="F238" s="774" t="s">
        <v>702</v>
      </c>
    </row>
    <row r="239" spans="2:6" ht="21" customHeight="1">
      <c r="B239" s="734"/>
      <c r="D239" s="734"/>
      <c r="F239" s="734"/>
    </row>
    <row r="240" spans="2:6" ht="21" customHeight="1">
      <c r="B240" s="734"/>
      <c r="D240" s="734"/>
      <c r="F240" s="734"/>
    </row>
    <row r="241" spans="2:6" ht="21" customHeight="1">
      <c r="B241" s="827" t="s">
        <v>187</v>
      </c>
      <c r="D241" s="827" t="s">
        <v>686</v>
      </c>
      <c r="F241" s="827" t="s">
        <v>687</v>
      </c>
    </row>
    <row r="242" spans="2:6" ht="21" customHeight="1">
      <c r="B242" s="828" t="s">
        <v>714</v>
      </c>
      <c r="D242" s="828" t="s">
        <v>715</v>
      </c>
      <c r="F242" s="828" t="s">
        <v>717</v>
      </c>
    </row>
    <row r="243" spans="2:6" ht="21" customHeight="1">
      <c r="B243" s="829" t="s">
        <v>859</v>
      </c>
      <c r="D243" s="829" t="s">
        <v>720</v>
      </c>
      <c r="F243" s="829" t="s">
        <v>722</v>
      </c>
    </row>
    <row r="244" spans="2:6" ht="21" customHeight="1">
      <c r="B244" s="830" t="s">
        <v>724</v>
      </c>
      <c r="D244" s="830" t="s">
        <v>726</v>
      </c>
      <c r="F244" s="830" t="s">
        <v>728</v>
      </c>
    </row>
    <row r="245" spans="2:6" ht="21" customHeight="1">
      <c r="B245" s="830" t="s">
        <v>711</v>
      </c>
      <c r="D245" s="830" t="s">
        <v>712</v>
      </c>
      <c r="F245" s="830" t="s">
        <v>713</v>
      </c>
    </row>
    <row r="246" spans="2:6" ht="21" customHeight="1">
      <c r="B246" s="831" t="s">
        <v>198</v>
      </c>
      <c r="D246" s="831" t="s">
        <v>716</v>
      </c>
      <c r="F246" s="831" t="s">
        <v>718</v>
      </c>
    </row>
    <row r="247" spans="2:6" ht="21" customHeight="1">
      <c r="B247" s="831" t="s">
        <v>200</v>
      </c>
      <c r="D247" s="831" t="s">
        <v>721</v>
      </c>
      <c r="F247" s="831" t="s">
        <v>723</v>
      </c>
    </row>
    <row r="248" spans="2:6" ht="21" customHeight="1">
      <c r="B248" s="831" t="s">
        <v>725</v>
      </c>
      <c r="D248" s="831" t="s">
        <v>727</v>
      </c>
      <c r="F248" s="831" t="s">
        <v>729</v>
      </c>
    </row>
    <row r="249" spans="2:6" ht="21" customHeight="1">
      <c r="B249" s="831" t="s">
        <v>730</v>
      </c>
      <c r="D249" s="831" t="s">
        <v>731</v>
      </c>
      <c r="F249" s="831" t="s">
        <v>732</v>
      </c>
    </row>
    <row r="250" spans="2:6" ht="21" customHeight="1">
      <c r="B250" s="832" t="s">
        <v>208</v>
      </c>
      <c r="D250" s="832" t="s">
        <v>208</v>
      </c>
      <c r="F250" s="832" t="s">
        <v>208</v>
      </c>
    </row>
    <row r="251" spans="2:6" ht="21" customHeight="1">
      <c r="B251" s="833" t="s">
        <v>733</v>
      </c>
      <c r="D251" s="833" t="s">
        <v>734</v>
      </c>
      <c r="F251" s="833" t="s">
        <v>735</v>
      </c>
    </row>
    <row r="252" spans="2:6" ht="21" customHeight="1">
      <c r="B252" s="834" t="s">
        <v>736</v>
      </c>
      <c r="D252" s="834" t="s">
        <v>737</v>
      </c>
      <c r="F252" s="834" t="s">
        <v>738</v>
      </c>
    </row>
    <row r="253" spans="2:6" ht="21" customHeight="1">
      <c r="B253" s="835"/>
      <c r="D253" s="835"/>
      <c r="F253" s="835"/>
    </row>
    <row r="254" spans="2:6" ht="21" customHeight="1">
      <c r="B254" s="734"/>
      <c r="D254" s="734"/>
      <c r="F254" s="734"/>
    </row>
    <row r="255" spans="2:6" ht="21" customHeight="1">
      <c r="B255" s="836" t="s">
        <v>739</v>
      </c>
      <c r="D255" s="836" t="s">
        <v>741</v>
      </c>
      <c r="F255" s="836" t="s">
        <v>743</v>
      </c>
    </row>
    <row r="256" spans="2:6" ht="21" customHeight="1">
      <c r="B256" s="734" t="s">
        <v>740</v>
      </c>
      <c r="D256" s="734" t="s">
        <v>742</v>
      </c>
      <c r="F256" s="734" t="s">
        <v>744</v>
      </c>
    </row>
    <row r="257" spans="2:6" ht="21" customHeight="1">
      <c r="B257" s="822" t="s">
        <v>216</v>
      </c>
      <c r="D257" s="822" t="s">
        <v>746</v>
      </c>
      <c r="F257" s="822" t="s">
        <v>747</v>
      </c>
    </row>
    <row r="258" spans="2:6" ht="21" customHeight="1">
      <c r="B258" s="837"/>
      <c r="D258" s="837"/>
      <c r="F258" s="837"/>
    </row>
    <row r="259" spans="2:6" ht="21" customHeight="1">
      <c r="B259" s="838" t="s">
        <v>220</v>
      </c>
      <c r="D259" s="838" t="s">
        <v>753</v>
      </c>
      <c r="F259" s="838" t="s">
        <v>755</v>
      </c>
    </row>
    <row r="260" spans="2:6" ht="21" customHeight="1">
      <c r="B260" s="839" t="s">
        <v>222</v>
      </c>
      <c r="D260" s="839" t="s">
        <v>758</v>
      </c>
      <c r="F260" s="839" t="s">
        <v>759</v>
      </c>
    </row>
    <row r="261" spans="2:6" ht="21" customHeight="1">
      <c r="B261" s="839" t="s">
        <v>226</v>
      </c>
      <c r="D261" s="839" t="s">
        <v>762</v>
      </c>
      <c r="F261" s="839" t="s">
        <v>763</v>
      </c>
    </row>
    <row r="262" spans="2:6" ht="21" customHeight="1">
      <c r="B262" s="839" t="s">
        <v>227</v>
      </c>
      <c r="D262" s="839" t="s">
        <v>765</v>
      </c>
      <c r="F262" s="839" t="s">
        <v>766</v>
      </c>
    </row>
    <row r="263" spans="2:6" ht="21" customHeight="1">
      <c r="B263" s="734" t="s">
        <v>197</v>
      </c>
      <c r="D263" s="734" t="s">
        <v>655</v>
      </c>
      <c r="F263" s="734" t="s">
        <v>656</v>
      </c>
    </row>
    <row r="264" spans="2:6" ht="21" customHeight="1">
      <c r="B264" s="734"/>
      <c r="D264" s="734" t="s">
        <v>752</v>
      </c>
      <c r="F264" s="734" t="s">
        <v>754</v>
      </c>
    </row>
    <row r="265" spans="2:6" ht="21" customHeight="1" thickBot="1">
      <c r="B265" s="840"/>
      <c r="D265" s="840"/>
      <c r="F265" s="840"/>
    </row>
    <row r="266" spans="2:6" ht="21" customHeight="1">
      <c r="B266" s="841" t="s">
        <v>167</v>
      </c>
      <c r="D266" s="841"/>
      <c r="F266" s="841"/>
    </row>
    <row r="267" spans="2:6" ht="21" customHeight="1">
      <c r="B267" s="838" t="s">
        <v>265</v>
      </c>
      <c r="D267" s="838" t="s">
        <v>768</v>
      </c>
      <c r="F267" s="838" t="s">
        <v>769</v>
      </c>
    </row>
    <row r="268" spans="2:6" ht="21" customHeight="1">
      <c r="B268" s="830" t="s">
        <v>269</v>
      </c>
      <c r="D268" s="830" t="s">
        <v>770</v>
      </c>
      <c r="F268" s="830" t="s">
        <v>771</v>
      </c>
    </row>
    <row r="269" spans="2:6" ht="21" customHeight="1">
      <c r="B269" s="842" t="s">
        <v>270</v>
      </c>
      <c r="D269" s="842" t="s">
        <v>772</v>
      </c>
      <c r="F269" s="842" t="s">
        <v>773</v>
      </c>
    </row>
    <row r="270" spans="2:6" ht="21" customHeight="1">
      <c r="B270" s="843" t="s">
        <v>283</v>
      </c>
      <c r="D270" s="843" t="s">
        <v>774</v>
      </c>
      <c r="F270" s="843" t="s">
        <v>775</v>
      </c>
    </row>
    <row r="271" spans="2:6" ht="21" customHeight="1">
      <c r="B271" s="844" t="s">
        <v>285</v>
      </c>
      <c r="D271" s="844" t="s">
        <v>776</v>
      </c>
      <c r="F271" s="844" t="s">
        <v>777</v>
      </c>
    </row>
    <row r="272" spans="2:6" ht="21" customHeight="1">
      <c r="B272" s="5844" t="s">
        <v>292</v>
      </c>
      <c r="D272" s="5844" t="s">
        <v>778</v>
      </c>
      <c r="F272" s="5844" t="s">
        <v>779</v>
      </c>
    </row>
    <row r="273" spans="2:6" ht="21" customHeight="1" thickBot="1">
      <c r="B273" s="5845"/>
      <c r="D273" s="5845"/>
      <c r="F273" s="5845"/>
    </row>
    <row r="274" spans="2:6" ht="21" customHeight="1" thickBot="1">
      <c r="B274" s="840"/>
      <c r="D274" s="840"/>
      <c r="F274" s="840"/>
    </row>
    <row r="275" spans="2:6" ht="21" customHeight="1">
      <c r="B275" s="845" t="s">
        <v>860</v>
      </c>
      <c r="D275" s="845" t="s">
        <v>780</v>
      </c>
      <c r="F275" s="845" t="s">
        <v>781</v>
      </c>
    </row>
    <row r="276" spans="2:6" ht="21" customHeight="1">
      <c r="B276" s="821" t="s">
        <v>327</v>
      </c>
      <c r="D276" s="821" t="s">
        <v>782</v>
      </c>
      <c r="F276" s="821" t="s">
        <v>784</v>
      </c>
    </row>
    <row r="277" spans="2:6" ht="21" customHeight="1">
      <c r="B277" s="734" t="s">
        <v>329</v>
      </c>
      <c r="D277" s="734" t="s">
        <v>785</v>
      </c>
      <c r="F277" s="734" t="s">
        <v>787</v>
      </c>
    </row>
    <row r="278" spans="2:6" ht="21" customHeight="1">
      <c r="B278" s="734" t="s">
        <v>789</v>
      </c>
      <c r="D278" s="734" t="s">
        <v>789</v>
      </c>
      <c r="F278" s="734" t="s">
        <v>791</v>
      </c>
    </row>
    <row r="279" spans="2:6" ht="21" customHeight="1">
      <c r="B279" s="734" t="s">
        <v>352</v>
      </c>
      <c r="D279" s="734" t="s">
        <v>793</v>
      </c>
      <c r="F279" s="734" t="s">
        <v>795</v>
      </c>
    </row>
    <row r="280" spans="2:6" ht="21" customHeight="1">
      <c r="B280" s="734" t="s">
        <v>355</v>
      </c>
      <c r="D280" s="734" t="s">
        <v>796</v>
      </c>
      <c r="F280" s="734" t="s">
        <v>797</v>
      </c>
    </row>
    <row r="281" spans="2:6" ht="21" customHeight="1">
      <c r="B281" s="842" t="s">
        <v>861</v>
      </c>
      <c r="D281" s="842" t="s">
        <v>798</v>
      </c>
      <c r="F281" s="842" t="s">
        <v>799</v>
      </c>
    </row>
    <row r="282" spans="2:6" ht="21" customHeight="1">
      <c r="B282" s="734" t="s">
        <v>367</v>
      </c>
      <c r="D282" s="734" t="s">
        <v>801</v>
      </c>
      <c r="F282" s="734" t="s">
        <v>862</v>
      </c>
    </row>
    <row r="283" spans="2:6" ht="21" customHeight="1">
      <c r="B283" s="830" t="s">
        <v>328</v>
      </c>
      <c r="D283" s="830" t="s">
        <v>783</v>
      </c>
      <c r="F283" s="830" t="s">
        <v>863</v>
      </c>
    </row>
    <row r="284" spans="2:6" ht="21" customHeight="1">
      <c r="B284" s="734" t="s">
        <v>330</v>
      </c>
      <c r="D284" s="734" t="s">
        <v>786</v>
      </c>
      <c r="F284" s="734" t="s">
        <v>788</v>
      </c>
    </row>
    <row r="285" spans="2:6" ht="21" customHeight="1">
      <c r="B285" s="734" t="s">
        <v>332</v>
      </c>
      <c r="D285" s="734" t="s">
        <v>790</v>
      </c>
      <c r="F285" s="734" t="s">
        <v>792</v>
      </c>
    </row>
    <row r="286" spans="2:6" ht="21" customHeight="1">
      <c r="B286" s="734" t="s">
        <v>354</v>
      </c>
      <c r="D286" s="734" t="s">
        <v>794</v>
      </c>
      <c r="F286" s="734" t="s">
        <v>354</v>
      </c>
    </row>
    <row r="287" spans="2:6" ht="21" customHeight="1">
      <c r="B287" s="734" t="s">
        <v>332</v>
      </c>
      <c r="D287" s="734" t="s">
        <v>790</v>
      </c>
      <c r="F287" s="734" t="s">
        <v>792</v>
      </c>
    </row>
    <row r="288" spans="2:6" ht="21" customHeight="1">
      <c r="B288" s="846" t="s">
        <v>363</v>
      </c>
      <c r="D288" s="846" t="s">
        <v>363</v>
      </c>
      <c r="F288" s="846" t="s">
        <v>800</v>
      </c>
    </row>
    <row r="289" spans="2:6" ht="21" customHeight="1">
      <c r="B289" s="734" t="s">
        <v>368</v>
      </c>
      <c r="D289" s="734" t="s">
        <v>802</v>
      </c>
      <c r="F289" s="734" t="s">
        <v>804</v>
      </c>
    </row>
    <row r="290" spans="2:6" ht="21" customHeight="1">
      <c r="B290" s="847" t="s">
        <v>370</v>
      </c>
      <c r="D290" s="847" t="s">
        <v>805</v>
      </c>
      <c r="F290" s="847" t="s">
        <v>806</v>
      </c>
    </row>
    <row r="291" spans="2:6" ht="21" customHeight="1" thickBot="1">
      <c r="B291" s="840"/>
      <c r="D291" s="840"/>
      <c r="F291" s="840"/>
    </row>
    <row r="292" spans="2:6" ht="21" customHeight="1">
      <c r="B292" s="845" t="s">
        <v>860</v>
      </c>
      <c r="D292" s="845" t="s">
        <v>780</v>
      </c>
      <c r="F292" s="845" t="s">
        <v>781</v>
      </c>
    </row>
    <row r="293" spans="2:6" ht="21" customHeight="1">
      <c r="B293" s="821" t="s">
        <v>385</v>
      </c>
      <c r="D293" s="821" t="s">
        <v>807</v>
      </c>
      <c r="F293" s="821" t="s">
        <v>808</v>
      </c>
    </row>
    <row r="294" spans="2:6" ht="21" customHeight="1">
      <c r="B294" s="848" t="s">
        <v>389</v>
      </c>
      <c r="D294" s="848" t="s">
        <v>809</v>
      </c>
      <c r="F294" s="848" t="s">
        <v>812</v>
      </c>
    </row>
    <row r="295" spans="2:6" ht="21" customHeight="1">
      <c r="B295" s="849" t="s">
        <v>390</v>
      </c>
      <c r="D295" s="849" t="s">
        <v>810</v>
      </c>
      <c r="F295" s="849" t="s">
        <v>813</v>
      </c>
    </row>
    <row r="296" spans="2:6" ht="21" customHeight="1">
      <c r="B296" s="850" t="s">
        <v>391</v>
      </c>
      <c r="D296" s="850" t="s">
        <v>811</v>
      </c>
      <c r="F296" s="850" t="s">
        <v>814</v>
      </c>
    </row>
    <row r="297" spans="2:6" ht="21" customHeight="1">
      <c r="B297" s="846" t="s">
        <v>392</v>
      </c>
      <c r="D297" s="846" t="s">
        <v>392</v>
      </c>
      <c r="F297" s="846" t="s">
        <v>815</v>
      </c>
    </row>
    <row r="298" spans="2:6" ht="21" customHeight="1">
      <c r="B298" s="734" t="s">
        <v>327</v>
      </c>
      <c r="D298" s="734" t="s">
        <v>782</v>
      </c>
      <c r="F298" s="734" t="s">
        <v>784</v>
      </c>
    </row>
    <row r="299" spans="2:6" ht="21" customHeight="1">
      <c r="B299" s="734" t="s">
        <v>329</v>
      </c>
      <c r="D299" s="734" t="s">
        <v>785</v>
      </c>
      <c r="F299" s="734" t="s">
        <v>787</v>
      </c>
    </row>
    <row r="300" spans="2:6" ht="21" customHeight="1">
      <c r="B300" s="734" t="s">
        <v>352</v>
      </c>
      <c r="D300" s="734" t="s">
        <v>793</v>
      </c>
      <c r="F300" s="734" t="s">
        <v>795</v>
      </c>
    </row>
    <row r="301" spans="2:6" ht="21" customHeight="1">
      <c r="B301" s="734" t="s">
        <v>355</v>
      </c>
      <c r="D301" s="734" t="s">
        <v>796</v>
      </c>
      <c r="F301" s="734" t="s">
        <v>797</v>
      </c>
    </row>
    <row r="302" spans="2:6" ht="21" customHeight="1">
      <c r="B302" s="842" t="s">
        <v>861</v>
      </c>
      <c r="D302" s="842" t="s">
        <v>798</v>
      </c>
      <c r="F302" s="842" t="s">
        <v>799</v>
      </c>
    </row>
    <row r="303" spans="2:6" ht="21" customHeight="1">
      <c r="B303" s="734" t="s">
        <v>410</v>
      </c>
      <c r="D303" s="734" t="s">
        <v>816</v>
      </c>
      <c r="F303" s="734" t="s">
        <v>817</v>
      </c>
    </row>
    <row r="304" spans="2:6" ht="21" customHeight="1">
      <c r="B304" s="734" t="s">
        <v>414</v>
      </c>
      <c r="D304" s="734" t="s">
        <v>818</v>
      </c>
      <c r="F304" s="734" t="s">
        <v>819</v>
      </c>
    </row>
    <row r="305" spans="2:6" ht="21" customHeight="1">
      <c r="B305" s="774" t="s">
        <v>418</v>
      </c>
      <c r="D305" s="774" t="s">
        <v>820</v>
      </c>
      <c r="F305" s="774" t="s">
        <v>821</v>
      </c>
    </row>
    <row r="306" spans="2:6" ht="21" customHeight="1">
      <c r="B306" s="851" t="s">
        <v>822</v>
      </c>
      <c r="D306" s="851" t="s">
        <v>864</v>
      </c>
      <c r="F306" s="851" t="s">
        <v>822</v>
      </c>
    </row>
    <row r="307" spans="2:6">
      <c r="B307" s="852" t="s">
        <v>2621</v>
      </c>
      <c r="D307" s="852" t="s">
        <v>2620</v>
      </c>
      <c r="F307" s="852" t="s">
        <v>2622</v>
      </c>
    </row>
    <row r="308" spans="2:6">
      <c r="B308" s="852" t="s">
        <v>2619</v>
      </c>
      <c r="D308" s="852" t="s">
        <v>2619</v>
      </c>
      <c r="F308" s="852" t="s">
        <v>2619</v>
      </c>
    </row>
  </sheetData>
  <mergeCells count="24">
    <mergeCell ref="B5:B7"/>
    <mergeCell ref="D5:D7"/>
    <mergeCell ref="F5:F7"/>
    <mergeCell ref="B17:B18"/>
    <mergeCell ref="D17:D18"/>
    <mergeCell ref="F17:F18"/>
    <mergeCell ref="B38:B39"/>
    <mergeCell ref="D38:D39"/>
    <mergeCell ref="F38:F39"/>
    <mergeCell ref="B126:B127"/>
    <mergeCell ref="D126:D127"/>
    <mergeCell ref="F126:F127"/>
    <mergeCell ref="B177:B178"/>
    <mergeCell ref="D177:D178"/>
    <mergeCell ref="F177:F178"/>
    <mergeCell ref="B186:B187"/>
    <mergeCell ref="D186:D187"/>
    <mergeCell ref="F186:F187"/>
    <mergeCell ref="B199:B200"/>
    <mergeCell ref="D199:D200"/>
    <mergeCell ref="F199:F200"/>
    <mergeCell ref="B272:B273"/>
    <mergeCell ref="D272:D273"/>
    <mergeCell ref="F272:F273"/>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AE42DF-4CAB-46F9-A7AC-F10E8C61B1C7}">
  <dimension ref="A1:AN277"/>
  <sheetViews>
    <sheetView zoomScale="75" zoomScaleNormal="75" workbookViewId="0">
      <selection activeCell="A7" sqref="A7"/>
    </sheetView>
  </sheetViews>
  <sheetFormatPr baseColWidth="10" defaultColWidth="11.42578125" defaultRowHeight="15"/>
  <cols>
    <col min="1" max="1" width="11.42578125" style="1186"/>
    <col min="2" max="2" width="18.7109375" style="1186" customWidth="1"/>
    <col min="3" max="3" width="28.7109375" style="1186" customWidth="1"/>
    <col min="4" max="4" width="16" style="1186" customWidth="1"/>
    <col min="5" max="5" width="11.42578125" style="1186"/>
    <col min="6" max="6" width="14.7109375" style="1186" customWidth="1"/>
    <col min="7" max="7" width="41" style="1186" customWidth="1"/>
    <col min="8" max="8" width="17.140625" style="1186" customWidth="1"/>
    <col min="9" max="12" width="11.42578125" style="1186"/>
    <col min="13" max="13" width="18.5703125" style="1186" customWidth="1"/>
    <col min="14" max="14" width="11.42578125" style="1186"/>
    <col min="15" max="15" width="19.5703125" style="1186" customWidth="1"/>
    <col min="16" max="16" width="14.140625" style="1186" bestFit="1" customWidth="1"/>
    <col min="17" max="19" width="11.42578125" style="1186"/>
    <col min="20" max="21" width="11.7109375" style="1186" bestFit="1" customWidth="1"/>
    <col min="22" max="22" width="18.140625" style="1186" customWidth="1"/>
    <col min="23" max="25" width="16" style="1186" customWidth="1"/>
    <col min="26" max="26" width="14.28515625" style="1186" customWidth="1"/>
    <col min="27" max="27" width="15.28515625" style="1186" customWidth="1"/>
    <col min="28" max="28" width="16" style="1186" customWidth="1"/>
    <col min="29" max="29" width="14.140625" style="1186" customWidth="1"/>
    <col min="30" max="37" width="11.42578125" style="1186"/>
    <col min="38" max="38" width="7.5703125" style="852" customWidth="1"/>
    <col min="39" max="39" width="11.42578125" style="709"/>
    <col min="40" max="40" width="48.85546875" style="709" customWidth="1"/>
    <col min="41" max="16384" width="11.42578125" style="1186"/>
  </cols>
  <sheetData>
    <row r="1" spans="1:40" ht="30" customHeight="1">
      <c r="A1" s="1" t="str">
        <f>ADDRESS(ROW(),COLUMN(),4)</f>
        <v>A1</v>
      </c>
      <c r="B1" s="1181"/>
      <c r="C1" s="1181"/>
      <c r="D1" s="1181"/>
      <c r="E1" s="1181"/>
      <c r="F1" s="1181"/>
      <c r="G1" s="1181"/>
      <c r="H1" s="1181"/>
      <c r="I1" s="1181"/>
      <c r="J1" s="1181"/>
      <c r="K1" s="1181"/>
      <c r="L1" s="1181"/>
      <c r="M1" s="1181"/>
      <c r="N1" s="1181"/>
      <c r="O1" s="1181"/>
      <c r="P1" s="1182"/>
      <c r="Q1" s="1182"/>
      <c r="R1" s="1182"/>
      <c r="S1" s="1182"/>
      <c r="T1" s="1182"/>
      <c r="U1" s="1183"/>
      <c r="V1" s="1183"/>
      <c r="W1" s="1183"/>
      <c r="X1" s="1183"/>
      <c r="Y1" s="1183"/>
      <c r="Z1" s="1183"/>
      <c r="AA1" s="1183"/>
      <c r="AB1" s="1183"/>
      <c r="AC1" s="1183"/>
      <c r="AD1" s="1183"/>
      <c r="AE1" s="1183"/>
      <c r="AF1" s="1183"/>
      <c r="AG1" s="1183"/>
      <c r="AH1" s="1183"/>
      <c r="AI1" s="1183"/>
      <c r="AJ1" s="1184"/>
      <c r="AK1" s="1184"/>
      <c r="AL1" s="1185">
        <v>1</v>
      </c>
      <c r="AM1" s="879" t="str">
        <f>SUBSTITUTE(ADDRESS(1,COLUMN(),4),"1","")</f>
        <v>AM</v>
      </c>
      <c r="AN1" s="880" t="str">
        <f>SUBSTITUTE(ADDRESS(1,COLUMN(),4),"1","")</f>
        <v>AN</v>
      </c>
    </row>
    <row r="2" spans="1:40" ht="30" customHeight="1">
      <c r="A2" s="1181"/>
      <c r="B2" s="1209" t="s">
        <v>3285</v>
      </c>
      <c r="C2" s="1181"/>
      <c r="D2" s="1181"/>
      <c r="E2" s="1181"/>
      <c r="F2" s="1181"/>
      <c r="G2" s="1181"/>
      <c r="H2" s="1181"/>
      <c r="I2" s="1181"/>
      <c r="J2" s="1181"/>
      <c r="K2" s="1181"/>
      <c r="L2" s="1181"/>
      <c r="M2" s="1181"/>
      <c r="N2" s="1181"/>
      <c r="O2" s="1181"/>
      <c r="P2" s="1182"/>
      <c r="Q2" s="1182"/>
      <c r="R2" s="1182"/>
      <c r="S2" s="1182"/>
      <c r="T2" s="1182"/>
      <c r="U2" s="1183"/>
      <c r="V2" s="1183"/>
      <c r="W2" s="1183"/>
      <c r="X2" s="1183"/>
      <c r="Y2" s="1183"/>
      <c r="Z2" s="1183"/>
      <c r="AA2" s="1183"/>
      <c r="AB2" s="1183"/>
      <c r="AC2" s="1183"/>
      <c r="AD2" s="1183"/>
      <c r="AE2" s="1183"/>
      <c r="AF2" s="1183"/>
      <c r="AG2" s="1183"/>
      <c r="AH2" s="1183"/>
      <c r="AI2" s="1183"/>
      <c r="AJ2" s="1184"/>
      <c r="AK2" s="1184"/>
      <c r="AL2" s="1185">
        <v>1</v>
      </c>
      <c r="AM2" s="1188"/>
      <c r="AN2" s="1188" t="s">
        <v>3269</v>
      </c>
    </row>
    <row r="3" spans="1:40" ht="30" customHeight="1">
      <c r="A3" s="1181"/>
      <c r="B3" s="1209" t="s">
        <v>3286</v>
      </c>
      <c r="C3" s="1181"/>
      <c r="D3" s="1181"/>
      <c r="E3" s="1181"/>
      <c r="F3" s="1181"/>
      <c r="G3" s="1181"/>
      <c r="H3" s="1181"/>
      <c r="I3" s="1181"/>
      <c r="J3" s="1181"/>
      <c r="K3" s="1181"/>
      <c r="L3" s="1181"/>
      <c r="M3" s="1181"/>
      <c r="N3" s="1181"/>
      <c r="O3" s="1181"/>
      <c r="P3" s="1182"/>
      <c r="Q3" s="1182"/>
      <c r="R3" s="1182"/>
      <c r="S3" s="1182"/>
      <c r="T3" s="1182"/>
      <c r="U3" s="1183"/>
      <c r="V3" s="1183"/>
      <c r="W3" s="1183"/>
      <c r="X3" s="1183"/>
      <c r="Y3" s="1183"/>
      <c r="Z3" s="1183"/>
      <c r="AA3" s="1183"/>
      <c r="AB3" s="1183"/>
      <c r="AC3" s="1183"/>
      <c r="AD3" s="1183"/>
      <c r="AE3" s="1183"/>
      <c r="AF3" s="1183"/>
      <c r="AG3" s="1183"/>
      <c r="AH3" s="1183"/>
      <c r="AI3" s="1183"/>
      <c r="AJ3" s="1184"/>
      <c r="AK3" s="1184"/>
      <c r="AL3" s="1185">
        <v>1</v>
      </c>
      <c r="AM3" s="1192">
        <f ca="1">COUNTA(A1:AL277) + COUNTBLANK(A1:AL277)</f>
        <v>10527</v>
      </c>
      <c r="AN3" s="1188" t="str">
        <f>"cells between"&amp;" " &amp;A1&amp;" et  "&amp;AL277</f>
        <v>cells between A1 et  AL277</v>
      </c>
    </row>
    <row r="4" spans="1:40" ht="30" customHeight="1">
      <c r="A4" s="1181"/>
      <c r="B4" s="1209" t="s">
        <v>3287</v>
      </c>
      <c r="C4" s="1181"/>
      <c r="D4" s="1181"/>
      <c r="E4" s="1181"/>
      <c r="F4" s="1181"/>
      <c r="G4" s="1181"/>
      <c r="H4" s="1181"/>
      <c r="I4" s="1181"/>
      <c r="J4" s="1181"/>
      <c r="K4" s="1181"/>
      <c r="L4" s="1181"/>
      <c r="M4" s="1181"/>
      <c r="N4" s="1181"/>
      <c r="O4" s="1181"/>
      <c r="P4" s="1182"/>
      <c r="Q4" s="1182"/>
      <c r="R4" s="1182"/>
      <c r="S4" s="1182"/>
      <c r="T4" s="1182"/>
      <c r="U4" s="1183"/>
      <c r="V4" s="1183"/>
      <c r="W4" s="1183"/>
      <c r="X4" s="1183"/>
      <c r="Y4" s="1183"/>
      <c r="Z4" s="1183"/>
      <c r="AA4" s="1183"/>
      <c r="AB4" s="1183"/>
      <c r="AC4" s="1183"/>
      <c r="AD4" s="1183"/>
      <c r="AE4" s="1183"/>
      <c r="AF4" s="1183"/>
      <c r="AG4" s="1183"/>
      <c r="AH4" s="1183"/>
      <c r="AI4" s="1183"/>
      <c r="AJ4" s="1184"/>
      <c r="AK4" s="1184"/>
      <c r="AL4" s="1185">
        <v>1</v>
      </c>
      <c r="AM4" s="1192">
        <f ca="1">COUNTA(A1:AL277)</f>
        <v>956</v>
      </c>
      <c r="AN4" s="1188" t="s">
        <v>3270</v>
      </c>
    </row>
    <row r="5" spans="1:40" ht="30" customHeight="1">
      <c r="A5" s="1181"/>
      <c r="B5" s="1209" t="s">
        <v>3288</v>
      </c>
      <c r="C5" s="1181"/>
      <c r="D5" s="1181"/>
      <c r="E5" s="1181"/>
      <c r="F5" s="1181"/>
      <c r="G5" s="1181"/>
      <c r="H5" s="1181"/>
      <c r="I5" s="1181"/>
      <c r="J5" s="1181"/>
      <c r="K5" s="1181"/>
      <c r="L5" s="1181"/>
      <c r="M5" s="1181"/>
      <c r="N5" s="1181"/>
      <c r="O5" s="1181"/>
      <c r="P5" s="1182"/>
      <c r="Q5" s="1182"/>
      <c r="R5" s="1182"/>
      <c r="S5" s="1182"/>
      <c r="T5" s="1182"/>
      <c r="U5" s="1183"/>
      <c r="V5" s="1183"/>
      <c r="W5" s="1183"/>
      <c r="X5" s="1183"/>
      <c r="Y5" s="1183"/>
      <c r="Z5" s="1183"/>
      <c r="AA5" s="1183"/>
      <c r="AB5" s="1183"/>
      <c r="AC5" s="1183"/>
      <c r="AD5" s="1183"/>
      <c r="AE5" s="1183"/>
      <c r="AF5" s="1183"/>
      <c r="AG5" s="1183"/>
      <c r="AH5" s="1183"/>
      <c r="AI5" s="1183"/>
      <c r="AJ5" s="1184"/>
      <c r="AK5" s="1184"/>
      <c r="AL5" s="1185">
        <v>1</v>
      </c>
      <c r="AM5" s="1192">
        <f ca="1">COUNTBLANK(A1:AL277)</f>
        <v>9571</v>
      </c>
      <c r="AN5" s="1188" t="s">
        <v>3271</v>
      </c>
    </row>
    <row r="6" spans="1:40" ht="30" customHeight="1">
      <c r="A6" s="1181"/>
      <c r="B6" s="1209" t="s">
        <v>3289</v>
      </c>
      <c r="C6" s="1181"/>
      <c r="D6" s="1181"/>
      <c r="E6" s="1181"/>
      <c r="F6" s="1181"/>
      <c r="G6" s="1181"/>
      <c r="H6" s="1181"/>
      <c r="I6" s="1181"/>
      <c r="J6" s="1181"/>
      <c r="K6" s="1181"/>
      <c r="L6" s="1181"/>
      <c r="M6" s="1181"/>
      <c r="N6" s="1181"/>
      <c r="O6" s="1181"/>
      <c r="P6" s="1182"/>
      <c r="Q6" s="1182"/>
      <c r="R6" s="1182"/>
      <c r="S6" s="1182"/>
      <c r="T6" s="1182"/>
      <c r="U6" s="1183"/>
      <c r="V6" s="1183"/>
      <c r="W6" s="1183"/>
      <c r="X6" s="1183"/>
      <c r="Y6" s="1183"/>
      <c r="Z6" s="1183"/>
      <c r="AA6" s="1183"/>
      <c r="AB6" s="1183"/>
      <c r="AC6" s="1183"/>
      <c r="AD6" s="1183"/>
      <c r="AE6" s="1183"/>
      <c r="AF6" s="1183"/>
      <c r="AG6" s="1183"/>
      <c r="AH6" s="1183"/>
      <c r="AI6" s="1183"/>
      <c r="AJ6" s="1184"/>
      <c r="AK6" s="1184"/>
      <c r="AL6" s="1185">
        <v>1</v>
      </c>
      <c r="AM6" s="1192">
        <f>SUM(AL1:AL275)+2</f>
        <v>277</v>
      </c>
      <c r="AN6" s="1188" t="s">
        <v>3272</v>
      </c>
    </row>
    <row r="7" spans="1:40" ht="30" customHeight="1">
      <c r="A7" s="1181"/>
      <c r="B7" s="1181"/>
      <c r="C7" s="1181"/>
      <c r="D7" s="1181"/>
      <c r="E7" s="1181"/>
      <c r="F7" s="1181"/>
      <c r="G7" s="1181"/>
      <c r="H7" s="1181"/>
      <c r="I7" s="1181"/>
      <c r="J7" s="1181"/>
      <c r="K7" s="1181"/>
      <c r="L7" s="1181"/>
      <c r="M7" s="1181"/>
      <c r="N7" s="1181"/>
      <c r="O7" s="1181"/>
      <c r="P7" s="1182"/>
      <c r="Q7" s="1182"/>
      <c r="R7" s="1182"/>
      <c r="S7" s="1182"/>
      <c r="T7" s="1182"/>
      <c r="U7" s="1183"/>
      <c r="V7" s="1183"/>
      <c r="W7" s="1183"/>
      <c r="X7" s="1183"/>
      <c r="Y7" s="1183"/>
      <c r="Z7" s="1183"/>
      <c r="AA7" s="1183"/>
      <c r="AB7" s="1183"/>
      <c r="AC7" s="1183"/>
      <c r="AD7" s="1183"/>
      <c r="AE7" s="1183"/>
      <c r="AF7" s="1183"/>
      <c r="AG7" s="1183"/>
      <c r="AH7" s="1183"/>
      <c r="AI7" s="1183"/>
      <c r="AJ7" s="1184"/>
      <c r="AK7" s="1184"/>
      <c r="AL7" s="1185">
        <v>1</v>
      </c>
      <c r="AM7" s="1192">
        <f>SUM(A277:AK277)+1</f>
        <v>38</v>
      </c>
      <c r="AN7" s="1188" t="s">
        <v>3273</v>
      </c>
    </row>
    <row r="8" spans="1:40" ht="30" customHeight="1">
      <c r="A8" s="1181"/>
      <c r="B8" s="1187" t="s">
        <v>3060</v>
      </c>
      <c r="C8" s="1181"/>
      <c r="D8" s="1181"/>
      <c r="E8" s="1181"/>
      <c r="F8" s="1181"/>
      <c r="G8" s="1181"/>
      <c r="H8" s="1181"/>
      <c r="I8" s="1182"/>
      <c r="J8" s="1181"/>
      <c r="K8" s="1181"/>
      <c r="L8" s="1181"/>
      <c r="M8" s="1181"/>
      <c r="N8" s="1181"/>
      <c r="O8" s="1182"/>
      <c r="P8" s="1182"/>
      <c r="Q8" s="1182"/>
      <c r="R8" s="1182"/>
      <c r="S8" s="1182"/>
      <c r="T8" s="1183"/>
      <c r="U8" s="1183"/>
      <c r="V8" s="1183"/>
      <c r="W8" s="1183"/>
      <c r="X8" s="5392" t="s">
        <v>3081</v>
      </c>
      <c r="Y8" s="5392"/>
      <c r="Z8" s="5392"/>
      <c r="AA8" s="5392"/>
      <c r="AB8" s="5392"/>
      <c r="AC8" s="5392"/>
      <c r="AD8" s="1183"/>
      <c r="AE8" s="1183"/>
      <c r="AF8" s="1183"/>
      <c r="AG8" s="1183"/>
      <c r="AH8" s="1183"/>
      <c r="AI8" s="1183"/>
      <c r="AJ8" s="1184"/>
      <c r="AK8" s="1184"/>
      <c r="AL8" s="1185">
        <v>1</v>
      </c>
    </row>
    <row r="9" spans="1:40" ht="30" customHeight="1">
      <c r="A9" s="1181"/>
      <c r="B9" s="1189" t="s">
        <v>3061</v>
      </c>
      <c r="C9" s="1190"/>
      <c r="D9" s="1181"/>
      <c r="E9" s="1181"/>
      <c r="F9" s="1181"/>
      <c r="G9" s="1181"/>
      <c r="H9" s="1181"/>
      <c r="I9" s="1182"/>
      <c r="J9" s="1181"/>
      <c r="K9" s="1181"/>
      <c r="L9" s="1181"/>
      <c r="M9" s="1181"/>
      <c r="N9" s="1181"/>
      <c r="O9" s="1182"/>
      <c r="P9" s="1182"/>
      <c r="Q9" s="1182"/>
      <c r="R9" s="1182"/>
      <c r="S9" s="1182"/>
      <c r="T9" s="1183"/>
      <c r="U9" s="1183"/>
      <c r="V9" s="1191"/>
      <c r="W9" s="1191"/>
      <c r="X9" s="5392"/>
      <c r="Y9" s="5392"/>
      <c r="Z9" s="5392"/>
      <c r="AA9" s="5392"/>
      <c r="AB9" s="5392"/>
      <c r="AC9" s="5392"/>
      <c r="AD9" s="1183"/>
      <c r="AE9" s="1183"/>
      <c r="AF9" s="1183"/>
      <c r="AG9" s="1183"/>
      <c r="AH9" s="1183"/>
      <c r="AI9" s="1183"/>
      <c r="AJ9" s="1184"/>
      <c r="AK9" s="1184"/>
      <c r="AL9" s="1185">
        <v>1</v>
      </c>
    </row>
    <row r="10" spans="1:40" ht="30" customHeight="1">
      <c r="A10" s="1181"/>
      <c r="B10" s="1189"/>
      <c r="C10" s="1190"/>
      <c r="D10" s="1181"/>
      <c r="E10" s="1181"/>
      <c r="F10" s="1181"/>
      <c r="G10" s="1181"/>
      <c r="H10" s="1181"/>
      <c r="I10" s="1182"/>
      <c r="J10" s="1181"/>
      <c r="K10" s="1181"/>
      <c r="L10" s="1181"/>
      <c r="M10" s="1181"/>
      <c r="N10" s="1181"/>
      <c r="O10" s="1182"/>
      <c r="P10" s="1182"/>
      <c r="Q10" s="1182"/>
      <c r="R10" s="1182"/>
      <c r="S10" s="1182"/>
      <c r="T10" s="1183"/>
      <c r="U10" s="1183"/>
      <c r="V10" s="1193"/>
      <c r="W10" s="1193"/>
      <c r="X10" s="1193"/>
      <c r="Y10" s="1194" t="s">
        <v>3082</v>
      </c>
      <c r="Z10" s="1183"/>
      <c r="AA10" s="1183"/>
      <c r="AB10" s="1183"/>
      <c r="AC10" s="1183"/>
      <c r="AD10" s="1183"/>
      <c r="AE10" s="1183"/>
      <c r="AF10" s="1183"/>
      <c r="AG10" s="1183"/>
      <c r="AH10" s="1183"/>
      <c r="AI10" s="1183"/>
      <c r="AJ10" s="1184"/>
      <c r="AK10" s="1184"/>
      <c r="AL10" s="1185">
        <v>1</v>
      </c>
    </row>
    <row r="11" spans="1:40" ht="30" customHeight="1">
      <c r="A11" s="1181"/>
      <c r="B11" s="1189" t="s">
        <v>3005</v>
      </c>
      <c r="C11" s="1190"/>
      <c r="D11" s="1181"/>
      <c r="E11" s="1181"/>
      <c r="F11" s="1181"/>
      <c r="G11" s="1181"/>
      <c r="H11" s="1181"/>
      <c r="I11" s="1182"/>
      <c r="J11" s="1181"/>
      <c r="K11" s="1181"/>
      <c r="L11" s="1181"/>
      <c r="M11" s="1181"/>
      <c r="N11" s="1181"/>
      <c r="O11" s="1182"/>
      <c r="P11" s="1182"/>
      <c r="Q11" s="1182"/>
      <c r="R11" s="1182"/>
      <c r="S11" s="1182"/>
      <c r="T11" s="1183"/>
      <c r="U11" s="1183"/>
      <c r="V11" s="1193"/>
      <c r="W11" s="1193"/>
      <c r="X11" s="1193"/>
      <c r="Y11" s="1183"/>
      <c r="Z11" s="1183"/>
      <c r="AA11" s="1183"/>
      <c r="AB11" s="1183"/>
      <c r="AC11" s="1183"/>
      <c r="AD11" s="1183"/>
      <c r="AE11" s="1183"/>
      <c r="AF11" s="1183"/>
      <c r="AG11" s="1183"/>
      <c r="AH11" s="1183"/>
      <c r="AI11" s="1183"/>
      <c r="AJ11" s="1184"/>
      <c r="AK11" s="1184"/>
      <c r="AL11" s="1185">
        <v>1</v>
      </c>
    </row>
    <row r="12" spans="1:40" ht="30" customHeight="1">
      <c r="A12" s="1181"/>
      <c r="B12" s="1189" t="s">
        <v>3006</v>
      </c>
      <c r="C12" s="1190"/>
      <c r="D12" s="1181"/>
      <c r="E12" s="1181"/>
      <c r="F12" s="1181"/>
      <c r="G12" s="1181"/>
      <c r="H12" s="1181"/>
      <c r="I12" s="1182"/>
      <c r="J12" s="1181"/>
      <c r="K12" s="1181"/>
      <c r="L12" s="1181"/>
      <c r="M12" s="1181"/>
      <c r="N12" s="1181"/>
      <c r="O12" s="1182"/>
      <c r="P12" s="1182"/>
      <c r="Q12" s="1182"/>
      <c r="R12" s="1182"/>
      <c r="S12" s="1182"/>
      <c r="T12" s="1183"/>
      <c r="U12" s="1183"/>
      <c r="V12" s="1193"/>
      <c r="W12" s="1193"/>
      <c r="X12" s="1193"/>
      <c r="Y12" s="1194" t="s">
        <v>13460</v>
      </c>
      <c r="Z12" s="1183"/>
      <c r="AA12" s="1183"/>
      <c r="AB12" s="1183"/>
      <c r="AC12" s="1183"/>
      <c r="AD12" s="1183"/>
      <c r="AE12" s="1183"/>
      <c r="AF12" s="1183"/>
      <c r="AG12" s="1183"/>
      <c r="AH12" s="1183"/>
      <c r="AI12" s="1183"/>
      <c r="AJ12" s="1184"/>
      <c r="AK12" s="1184"/>
      <c r="AL12" s="1185">
        <v>1</v>
      </c>
    </row>
    <row r="13" spans="1:40" ht="30" customHeight="1">
      <c r="A13" s="1181"/>
      <c r="B13" s="1189"/>
      <c r="C13" s="1190"/>
      <c r="D13" s="1181"/>
      <c r="E13" s="1181"/>
      <c r="F13" s="1181"/>
      <c r="G13" s="1181"/>
      <c r="H13" s="1181"/>
      <c r="I13" s="1182"/>
      <c r="J13" s="1181"/>
      <c r="K13" s="1181"/>
      <c r="L13" s="1181"/>
      <c r="M13" s="1181"/>
      <c r="N13" s="1181"/>
      <c r="O13" s="1182"/>
      <c r="P13" s="1182"/>
      <c r="Q13" s="1182"/>
      <c r="R13" s="1182"/>
      <c r="S13" s="1182"/>
      <c r="T13" s="1183"/>
      <c r="U13" s="1183"/>
      <c r="V13" s="1193"/>
      <c r="W13" s="1193"/>
      <c r="X13" s="1193"/>
      <c r="Y13" s="1194"/>
      <c r="Z13" s="1183"/>
      <c r="AA13" s="1183"/>
      <c r="AB13" s="1183"/>
      <c r="AC13" s="1183"/>
      <c r="AD13" s="1183"/>
      <c r="AE13" s="1183"/>
      <c r="AF13" s="1183"/>
      <c r="AG13" s="1183"/>
      <c r="AH13" s="1183"/>
      <c r="AI13" s="1183"/>
      <c r="AJ13" s="1184"/>
      <c r="AK13" s="1184"/>
      <c r="AL13" s="1185">
        <v>1</v>
      </c>
    </row>
    <row r="14" spans="1:40" ht="30" customHeight="1">
      <c r="A14" s="1181"/>
      <c r="B14" s="1189" t="s">
        <v>3007</v>
      </c>
      <c r="C14" s="1190"/>
      <c r="D14" s="1181"/>
      <c r="E14" s="1181"/>
      <c r="F14" s="1181"/>
      <c r="G14" s="1181"/>
      <c r="H14" s="1181"/>
      <c r="I14" s="1182"/>
      <c r="J14" s="1181"/>
      <c r="K14" s="1181"/>
      <c r="L14" s="1181"/>
      <c r="M14" s="1181"/>
      <c r="N14" s="1181"/>
      <c r="O14" s="1182"/>
      <c r="P14" s="1182"/>
      <c r="Q14" s="1182"/>
      <c r="R14" s="1182"/>
      <c r="S14" s="1182"/>
      <c r="T14" s="1183"/>
      <c r="U14" s="1183"/>
      <c r="V14" s="1193"/>
      <c r="W14" s="1193"/>
      <c r="X14" s="1193"/>
      <c r="Y14" s="1193" t="str">
        <f ca="1">"Page "&amp;_xlfn.SHEET()&amp;" sur "&amp;_xlfn.SHEETS()</f>
        <v>Page 2 sur 27</v>
      </c>
      <c r="Z14" s="1183"/>
      <c r="AA14" s="1183"/>
      <c r="AB14" s="1183"/>
      <c r="AC14" s="1183"/>
      <c r="AD14" s="1183"/>
      <c r="AE14" s="1183"/>
      <c r="AF14" s="1183"/>
      <c r="AG14" s="1183"/>
      <c r="AH14" s="1183"/>
      <c r="AI14" s="1183"/>
      <c r="AJ14" s="1184"/>
      <c r="AK14" s="1184"/>
      <c r="AL14" s="1185">
        <v>1</v>
      </c>
    </row>
    <row r="15" spans="1:40" ht="30" customHeight="1">
      <c r="A15" s="1181"/>
      <c r="B15" s="1189" t="s">
        <v>3008</v>
      </c>
      <c r="C15" s="1190"/>
      <c r="D15" s="1181"/>
      <c r="E15" s="1181"/>
      <c r="F15" s="1181"/>
      <c r="G15" s="1181"/>
      <c r="H15" s="1181"/>
      <c r="I15" s="1182"/>
      <c r="J15" s="1181"/>
      <c r="K15" s="1181"/>
      <c r="L15" s="1181"/>
      <c r="M15" s="1181"/>
      <c r="N15" s="1181"/>
      <c r="O15" s="1182"/>
      <c r="P15" s="1182"/>
      <c r="Q15" s="1182"/>
      <c r="R15" s="1182"/>
      <c r="S15" s="1182"/>
      <c r="T15" s="1183"/>
      <c r="U15" s="1183"/>
      <c r="V15" s="1193"/>
      <c r="W15" s="1193"/>
      <c r="X15" s="1193"/>
      <c r="Y15" s="1183"/>
      <c r="Z15" s="1194"/>
      <c r="AA15" s="1183"/>
      <c r="AB15" s="1183"/>
      <c r="AC15" s="1183"/>
      <c r="AD15" s="1183"/>
      <c r="AE15" s="1183"/>
      <c r="AF15" s="1183"/>
      <c r="AG15" s="1183"/>
      <c r="AH15" s="1183"/>
      <c r="AI15" s="1183"/>
      <c r="AJ15" s="1184"/>
      <c r="AK15" s="1184"/>
      <c r="AL15" s="1185">
        <v>1</v>
      </c>
    </row>
    <row r="16" spans="1:40" ht="30" customHeight="1">
      <c r="A16" s="1181"/>
      <c r="B16" s="1189" t="s">
        <v>3009</v>
      </c>
      <c r="C16" s="1190"/>
      <c r="D16" s="1181"/>
      <c r="E16" s="1181"/>
      <c r="F16" s="1181"/>
      <c r="G16" s="1181"/>
      <c r="H16" s="1181"/>
      <c r="I16" s="1182"/>
      <c r="J16" s="1181"/>
      <c r="K16" s="1181"/>
      <c r="L16" s="1181"/>
      <c r="M16" s="1181"/>
      <c r="N16" s="1181"/>
      <c r="O16" s="1182"/>
      <c r="P16" s="1182"/>
      <c r="Q16" s="1182"/>
      <c r="R16" s="1182"/>
      <c r="S16" s="1182"/>
      <c r="T16" s="1183"/>
      <c r="U16" s="1183"/>
      <c r="V16" s="1193"/>
      <c r="W16" s="1193"/>
      <c r="X16" s="1193"/>
      <c r="Y16" s="1195" t="s">
        <v>3083</v>
      </c>
      <c r="Z16" s="1194"/>
      <c r="AA16" s="1183"/>
      <c r="AB16" s="1183"/>
      <c r="AC16" s="1183"/>
      <c r="AD16" s="1183"/>
      <c r="AE16" s="1183"/>
      <c r="AF16" s="1183"/>
      <c r="AG16" s="1183"/>
      <c r="AH16" s="1183"/>
      <c r="AI16" s="1183"/>
      <c r="AJ16" s="1184"/>
      <c r="AK16" s="1184"/>
      <c r="AL16" s="1185">
        <v>1</v>
      </c>
    </row>
    <row r="17" spans="1:38" ht="30" customHeight="1">
      <c r="A17" s="1181"/>
      <c r="B17" s="1189" t="s">
        <v>3010</v>
      </c>
      <c r="C17" s="1190"/>
      <c r="D17" s="1181"/>
      <c r="E17" s="1181"/>
      <c r="F17" s="1181"/>
      <c r="G17" s="1181"/>
      <c r="H17" s="1181"/>
      <c r="I17" s="1182"/>
      <c r="J17" s="1181"/>
      <c r="K17" s="1181"/>
      <c r="L17" s="1181"/>
      <c r="M17" s="1181"/>
      <c r="N17" s="1181"/>
      <c r="O17" s="1182"/>
      <c r="P17" s="1182"/>
      <c r="Q17" s="1182"/>
      <c r="R17" s="1182"/>
      <c r="S17" s="1182"/>
      <c r="T17" s="1183"/>
      <c r="U17" s="1183"/>
      <c r="V17" s="1193"/>
      <c r="W17" s="1193"/>
      <c r="X17" s="1193"/>
      <c r="Y17" s="1183"/>
      <c r="Z17" s="1194"/>
      <c r="AA17" s="1183"/>
      <c r="AB17" s="1183"/>
      <c r="AC17" s="1183"/>
      <c r="AD17" s="1183"/>
      <c r="AE17" s="1183"/>
      <c r="AF17" s="1183"/>
      <c r="AG17" s="1183"/>
      <c r="AH17" s="1183"/>
      <c r="AI17" s="1183"/>
      <c r="AJ17" s="1184"/>
      <c r="AK17" s="1184"/>
      <c r="AL17" s="1185">
        <v>1</v>
      </c>
    </row>
    <row r="18" spans="1:38" ht="30" customHeight="1">
      <c r="A18" s="1181"/>
      <c r="B18" s="1189"/>
      <c r="C18" s="1190"/>
      <c r="D18" s="1181"/>
      <c r="E18" s="1181"/>
      <c r="F18" s="1181"/>
      <c r="G18" s="1181"/>
      <c r="H18" s="1181"/>
      <c r="I18" s="1182"/>
      <c r="J18" s="1181"/>
      <c r="K18" s="1181"/>
      <c r="L18" s="1181"/>
      <c r="M18" s="1181"/>
      <c r="N18" s="1181"/>
      <c r="O18" s="1182"/>
      <c r="P18" s="1189"/>
      <c r="Q18" s="1182"/>
      <c r="R18" s="1182"/>
      <c r="S18" s="1182"/>
      <c r="T18" s="1183"/>
      <c r="U18" s="1183"/>
      <c r="V18" s="1193"/>
      <c r="W18" s="1193"/>
      <c r="X18" s="1193"/>
      <c r="Y18" s="1183"/>
      <c r="Z18" s="1194"/>
      <c r="AA18" s="1183"/>
      <c r="AB18" s="1183"/>
      <c r="AC18" s="1183"/>
      <c r="AD18" s="1183"/>
      <c r="AE18" s="1183"/>
      <c r="AF18" s="1183"/>
      <c r="AG18" s="1183"/>
      <c r="AH18" s="1183"/>
      <c r="AI18" s="1183"/>
      <c r="AJ18" s="1184"/>
      <c r="AK18" s="1184"/>
      <c r="AL18" s="1185">
        <v>1</v>
      </c>
    </row>
    <row r="19" spans="1:38" ht="30" customHeight="1">
      <c r="A19" s="1181"/>
      <c r="B19" s="1189" t="s">
        <v>3011</v>
      </c>
      <c r="C19" s="1190"/>
      <c r="D19" s="1181"/>
      <c r="E19" s="1181"/>
      <c r="F19" s="1181"/>
      <c r="G19" s="1181"/>
      <c r="H19" s="1181"/>
      <c r="I19" s="1182"/>
      <c r="J19" s="1181"/>
      <c r="K19" s="1181"/>
      <c r="L19" s="1181"/>
      <c r="M19" s="1181"/>
      <c r="N19" s="1181"/>
      <c r="O19" s="1182"/>
      <c r="P19" s="1189"/>
      <c r="Q19" s="1182"/>
      <c r="R19" s="1182"/>
      <c r="S19" s="1182"/>
      <c r="T19" s="1183"/>
      <c r="U19" s="1183"/>
      <c r="V19" s="1193"/>
      <c r="W19" s="1193"/>
      <c r="X19" s="1193"/>
      <c r="Y19" s="1183"/>
      <c r="Z19" s="1194"/>
      <c r="AA19" s="1183"/>
      <c r="AB19" s="1183"/>
      <c r="AC19" s="1183"/>
      <c r="AD19" s="1183"/>
      <c r="AE19" s="1183"/>
      <c r="AF19" s="1183"/>
      <c r="AG19" s="1183"/>
      <c r="AH19" s="1183"/>
      <c r="AI19" s="1183"/>
      <c r="AJ19" s="1184"/>
      <c r="AK19" s="1184"/>
      <c r="AL19" s="1185">
        <v>1</v>
      </c>
    </row>
    <row r="20" spans="1:38" ht="30" customHeight="1">
      <c r="A20" s="1181"/>
      <c r="B20" s="1189" t="s">
        <v>3012</v>
      </c>
      <c r="C20" s="1190"/>
      <c r="D20" s="1181"/>
      <c r="E20" s="1181"/>
      <c r="F20" s="1181"/>
      <c r="G20" s="1181"/>
      <c r="H20" s="1181"/>
      <c r="I20" s="1182"/>
      <c r="J20" s="1181"/>
      <c r="K20" s="1181"/>
      <c r="L20" s="1181"/>
      <c r="M20" s="1181"/>
      <c r="N20" s="1181"/>
      <c r="O20" s="1182"/>
      <c r="P20" s="1189"/>
      <c r="Q20" s="1182"/>
      <c r="R20" s="1182"/>
      <c r="S20" s="1182"/>
      <c r="T20" s="1183"/>
      <c r="U20" s="1183"/>
      <c r="V20" s="1193"/>
      <c r="W20" s="1193"/>
      <c r="X20" s="1193"/>
      <c r="Y20" s="1183"/>
      <c r="Z20" s="1194"/>
      <c r="AA20" s="1183"/>
      <c r="AB20" s="1183"/>
      <c r="AC20" s="1183"/>
      <c r="AD20" s="1183"/>
      <c r="AE20" s="1183"/>
      <c r="AF20" s="1183"/>
      <c r="AG20" s="1183"/>
      <c r="AH20" s="1183"/>
      <c r="AI20" s="1183"/>
      <c r="AJ20" s="1184"/>
      <c r="AK20" s="1184"/>
      <c r="AL20" s="1185">
        <v>1</v>
      </c>
    </row>
    <row r="21" spans="1:38" ht="30" customHeight="1">
      <c r="A21" s="1181"/>
      <c r="B21" s="1189" t="s">
        <v>3013</v>
      </c>
      <c r="C21" s="1190"/>
      <c r="D21" s="1181"/>
      <c r="E21" s="1181"/>
      <c r="F21" s="1181"/>
      <c r="G21" s="1181"/>
      <c r="H21" s="1181"/>
      <c r="I21" s="1182"/>
      <c r="J21" s="1181"/>
      <c r="K21" s="1181"/>
      <c r="L21" s="1181"/>
      <c r="M21" s="1181"/>
      <c r="N21" s="1181"/>
      <c r="O21" s="1182"/>
      <c r="P21" s="1189"/>
      <c r="Q21" s="1182"/>
      <c r="R21" s="1182"/>
      <c r="S21" s="1182"/>
      <c r="T21" s="1183"/>
      <c r="U21" s="1183"/>
      <c r="V21" s="1193"/>
      <c r="W21" s="1193"/>
      <c r="X21" s="1193"/>
      <c r="Y21" s="1183"/>
      <c r="Z21" s="1194"/>
      <c r="AA21" s="1183"/>
      <c r="AB21" s="1183"/>
      <c r="AC21" s="1183"/>
      <c r="AD21" s="1183"/>
      <c r="AE21" s="1183"/>
      <c r="AF21" s="1183"/>
      <c r="AG21" s="1183"/>
      <c r="AH21" s="1183"/>
      <c r="AI21" s="1183"/>
      <c r="AJ21" s="1184"/>
      <c r="AK21" s="1184"/>
      <c r="AL21" s="1185">
        <v>1</v>
      </c>
    </row>
    <row r="22" spans="1:38" s="709" customFormat="1" ht="30" customHeight="1">
      <c r="A22" s="1181"/>
      <c r="B22" s="1189"/>
      <c r="C22" s="1190"/>
      <c r="D22" s="1181"/>
      <c r="E22" s="1181"/>
      <c r="F22" s="1181"/>
      <c r="G22" s="1181"/>
      <c r="H22" s="1181"/>
      <c r="I22" s="1182"/>
      <c r="J22" s="1181"/>
      <c r="K22" s="1181"/>
      <c r="L22" s="1181"/>
      <c r="M22" s="1181"/>
      <c r="N22" s="1181"/>
      <c r="O22" s="1182"/>
      <c r="P22" s="1189"/>
      <c r="Q22" s="1182"/>
      <c r="R22" s="1182"/>
      <c r="S22" s="1182"/>
      <c r="T22" s="1183"/>
      <c r="U22" s="1183"/>
      <c r="V22" s="1193"/>
      <c r="W22" s="1193"/>
      <c r="X22" s="1193"/>
      <c r="Y22" s="1183"/>
      <c r="Z22" s="1194"/>
      <c r="AA22" s="1183"/>
      <c r="AB22" s="1183"/>
      <c r="AC22" s="1183"/>
      <c r="AD22" s="1183"/>
      <c r="AE22" s="1183"/>
      <c r="AF22" s="1183"/>
      <c r="AG22" s="1183"/>
      <c r="AH22" s="1183"/>
      <c r="AI22" s="1183"/>
      <c r="AJ22" s="1184"/>
      <c r="AK22" s="1184"/>
      <c r="AL22" s="1185">
        <v>1</v>
      </c>
    </row>
    <row r="23" spans="1:38" s="709" customFormat="1" ht="30" customHeight="1">
      <c r="A23" s="1181"/>
      <c r="B23" s="1189" t="s">
        <v>3014</v>
      </c>
      <c r="C23" s="1190"/>
      <c r="D23" s="1181"/>
      <c r="E23" s="1181"/>
      <c r="F23" s="1181"/>
      <c r="G23" s="1181"/>
      <c r="H23" s="1181"/>
      <c r="I23" s="1182"/>
      <c r="J23" s="1181"/>
      <c r="K23" s="1181"/>
      <c r="L23" s="1181"/>
      <c r="M23" s="1181"/>
      <c r="N23" s="1181"/>
      <c r="O23" s="1182"/>
      <c r="P23" s="1189"/>
      <c r="Q23" s="1182"/>
      <c r="R23" s="1182"/>
      <c r="S23" s="1182"/>
      <c r="T23" s="1183"/>
      <c r="U23" s="1183"/>
      <c r="V23" s="1193"/>
      <c r="W23" s="1193"/>
      <c r="X23" s="1193"/>
      <c r="Y23" s="1183"/>
      <c r="Z23" s="1194"/>
      <c r="AA23" s="1183"/>
      <c r="AB23" s="1183"/>
      <c r="AC23" s="1183"/>
      <c r="AD23" s="1183"/>
      <c r="AE23" s="1183"/>
      <c r="AF23" s="1183"/>
      <c r="AG23" s="1183"/>
      <c r="AH23" s="1183"/>
      <c r="AI23" s="1183"/>
      <c r="AJ23" s="1184"/>
      <c r="AK23" s="1184"/>
      <c r="AL23" s="1185">
        <v>1</v>
      </c>
    </row>
    <row r="24" spans="1:38" s="709" customFormat="1" ht="30" customHeight="1">
      <c r="A24" s="1181"/>
      <c r="B24" s="1189" t="s">
        <v>3015</v>
      </c>
      <c r="C24" s="1190"/>
      <c r="D24" s="1181"/>
      <c r="E24" s="1181"/>
      <c r="F24" s="1181"/>
      <c r="G24" s="1181"/>
      <c r="H24" s="1181"/>
      <c r="I24" s="1182"/>
      <c r="J24" s="1181"/>
      <c r="K24" s="1181"/>
      <c r="L24" s="1181"/>
      <c r="M24" s="1181"/>
      <c r="N24" s="1181"/>
      <c r="O24" s="1182"/>
      <c r="P24" s="1189"/>
      <c r="Q24" s="1182"/>
      <c r="R24" s="1182"/>
      <c r="S24" s="1182"/>
      <c r="T24" s="1183"/>
      <c r="U24" s="1183"/>
      <c r="V24" s="1193"/>
      <c r="W24" s="1193"/>
      <c r="X24" s="1193"/>
      <c r="Y24" s="1183"/>
      <c r="Z24" s="1194"/>
      <c r="AA24" s="1183"/>
      <c r="AB24" s="1183"/>
      <c r="AC24" s="1183"/>
      <c r="AD24" s="1183"/>
      <c r="AE24" s="1183"/>
      <c r="AF24" s="1183"/>
      <c r="AG24" s="1183"/>
      <c r="AH24" s="1183"/>
      <c r="AI24" s="1183"/>
      <c r="AJ24" s="1184"/>
      <c r="AK24" s="1184"/>
      <c r="AL24" s="1185">
        <v>1</v>
      </c>
    </row>
    <row r="25" spans="1:38" s="709" customFormat="1" ht="30" customHeight="1">
      <c r="A25" s="1181"/>
      <c r="B25" s="1189"/>
      <c r="C25" s="1190"/>
      <c r="D25" s="1181"/>
      <c r="E25" s="1181"/>
      <c r="F25" s="1181"/>
      <c r="G25" s="1181"/>
      <c r="H25" s="1181"/>
      <c r="I25" s="1182"/>
      <c r="J25" s="1181"/>
      <c r="K25" s="1181"/>
      <c r="L25" s="1181"/>
      <c r="M25" s="1181"/>
      <c r="N25" s="1181"/>
      <c r="O25" s="1182"/>
      <c r="P25" s="1189"/>
      <c r="Q25" s="1182"/>
      <c r="R25" s="1182"/>
      <c r="S25" s="1182"/>
      <c r="T25" s="1183"/>
      <c r="U25" s="1183"/>
      <c r="V25" s="1193"/>
      <c r="W25" s="1193"/>
      <c r="X25" s="1193"/>
      <c r="Y25" s="1183"/>
      <c r="Z25" s="1194"/>
      <c r="AA25" s="1183"/>
      <c r="AB25" s="1183"/>
      <c r="AC25" s="1183"/>
      <c r="AD25" s="1183"/>
      <c r="AE25" s="1183"/>
      <c r="AF25" s="1183"/>
      <c r="AG25" s="1183"/>
      <c r="AH25" s="1183"/>
      <c r="AI25" s="1183"/>
      <c r="AJ25" s="1184"/>
      <c r="AK25" s="1184"/>
      <c r="AL25" s="1185">
        <v>1</v>
      </c>
    </row>
    <row r="26" spans="1:38" s="709" customFormat="1" ht="30" customHeight="1">
      <c r="A26" s="1181"/>
      <c r="B26" s="1189" t="s">
        <v>3016</v>
      </c>
      <c r="C26" s="1190"/>
      <c r="D26" s="1181"/>
      <c r="E26" s="1181"/>
      <c r="F26" s="1181"/>
      <c r="G26" s="1181"/>
      <c r="H26" s="1181"/>
      <c r="I26" s="1182"/>
      <c r="J26" s="1181"/>
      <c r="K26" s="1181"/>
      <c r="L26" s="1181"/>
      <c r="M26" s="1181"/>
      <c r="N26" s="1181"/>
      <c r="O26" s="1182"/>
      <c r="P26" s="1189"/>
      <c r="Q26" s="1182"/>
      <c r="R26" s="1182"/>
      <c r="S26" s="1182"/>
      <c r="T26" s="1183"/>
      <c r="U26" s="1183"/>
      <c r="V26" s="1193"/>
      <c r="W26" s="1193"/>
      <c r="X26" s="1193"/>
      <c r="Y26" s="1183"/>
      <c r="Z26" s="1194"/>
      <c r="AA26" s="1183"/>
      <c r="AB26" s="1183"/>
      <c r="AC26" s="1183"/>
      <c r="AD26" s="1183"/>
      <c r="AE26" s="1183"/>
      <c r="AF26" s="1183"/>
      <c r="AG26" s="1183"/>
      <c r="AH26" s="1183"/>
      <c r="AI26" s="1183"/>
      <c r="AJ26" s="1184"/>
      <c r="AK26" s="1184"/>
      <c r="AL26" s="1185">
        <v>1</v>
      </c>
    </row>
    <row r="27" spans="1:38" s="709" customFormat="1" ht="30" customHeight="1">
      <c r="A27" s="1181"/>
      <c r="B27" s="1189" t="s">
        <v>3085</v>
      </c>
      <c r="C27" s="1190"/>
      <c r="D27" s="1181"/>
      <c r="E27" s="1181"/>
      <c r="F27" s="1181"/>
      <c r="G27" s="1181"/>
      <c r="H27" s="1181"/>
      <c r="I27" s="1182"/>
      <c r="J27" s="1181"/>
      <c r="K27" s="1181"/>
      <c r="L27" s="1181"/>
      <c r="M27" s="1181"/>
      <c r="N27" s="1181"/>
      <c r="O27" s="1182"/>
      <c r="P27" s="1189"/>
      <c r="Q27" s="1182"/>
      <c r="R27" s="1182"/>
      <c r="S27" s="1182"/>
      <c r="T27" s="1183"/>
      <c r="U27" s="1183"/>
      <c r="V27" s="1193"/>
      <c r="W27" s="1193"/>
      <c r="X27" s="1193"/>
      <c r="Y27" s="1183"/>
      <c r="Z27" s="1194"/>
      <c r="AA27" s="1183"/>
      <c r="AB27" s="1183"/>
      <c r="AC27" s="1183"/>
      <c r="AD27" s="1183"/>
      <c r="AE27" s="1183"/>
      <c r="AF27" s="1183"/>
      <c r="AG27" s="1183"/>
      <c r="AH27" s="1183"/>
      <c r="AI27" s="1183"/>
      <c r="AJ27" s="1184"/>
      <c r="AK27" s="1184"/>
      <c r="AL27" s="1185">
        <v>1</v>
      </c>
    </row>
    <row r="28" spans="1:38" s="709" customFormat="1" ht="30" customHeight="1">
      <c r="A28" s="1181"/>
      <c r="B28" s="1189" t="s">
        <v>3017</v>
      </c>
      <c r="C28" s="1190"/>
      <c r="D28" s="1181"/>
      <c r="E28" s="1181"/>
      <c r="F28" s="1181"/>
      <c r="G28" s="1181"/>
      <c r="H28" s="1181"/>
      <c r="I28" s="1182"/>
      <c r="J28" s="1181"/>
      <c r="K28" s="1181"/>
      <c r="L28" s="1181"/>
      <c r="M28" s="1181"/>
      <c r="N28" s="1181"/>
      <c r="O28" s="1182"/>
      <c r="P28" s="1189"/>
      <c r="Q28" s="1182"/>
      <c r="R28" s="1182"/>
      <c r="S28" s="1182"/>
      <c r="T28" s="1183"/>
      <c r="U28" s="1183"/>
      <c r="V28" s="1193"/>
      <c r="W28" s="1193"/>
      <c r="X28" s="1193"/>
      <c r="Y28" s="1183"/>
      <c r="Z28" s="1194"/>
      <c r="AA28" s="1183"/>
      <c r="AB28" s="1183"/>
      <c r="AC28" s="1183"/>
      <c r="AD28" s="1183"/>
      <c r="AE28" s="1183"/>
      <c r="AF28" s="1183"/>
      <c r="AG28" s="1183"/>
      <c r="AH28" s="1183"/>
      <c r="AI28" s="1183"/>
      <c r="AJ28" s="1184"/>
      <c r="AK28" s="1184"/>
      <c r="AL28" s="1185">
        <v>1</v>
      </c>
    </row>
    <row r="29" spans="1:38" s="709" customFormat="1" ht="30" customHeight="1">
      <c r="A29" s="1181"/>
      <c r="B29" s="1189" t="s">
        <v>3084</v>
      </c>
      <c r="C29" s="1190"/>
      <c r="D29" s="1181"/>
      <c r="E29" s="1181"/>
      <c r="F29" s="1181"/>
      <c r="G29" s="1181"/>
      <c r="H29" s="1181"/>
      <c r="I29" s="1182"/>
      <c r="J29" s="1181"/>
      <c r="K29" s="1181"/>
      <c r="L29" s="1181"/>
      <c r="M29" s="1181"/>
      <c r="N29" s="1181"/>
      <c r="O29" s="1182"/>
      <c r="P29" s="1189"/>
      <c r="Q29" s="1182"/>
      <c r="R29" s="1182"/>
      <c r="S29" s="1182"/>
      <c r="T29" s="1183"/>
      <c r="U29" s="1183"/>
      <c r="V29" s="1193"/>
      <c r="W29" s="1193"/>
      <c r="X29" s="1193"/>
      <c r="Y29" s="1183"/>
      <c r="Z29" s="1194"/>
      <c r="AA29" s="1183"/>
      <c r="AB29" s="1183"/>
      <c r="AC29" s="1183"/>
      <c r="AD29" s="1183"/>
      <c r="AE29" s="1183"/>
      <c r="AF29" s="1183"/>
      <c r="AG29" s="1183"/>
      <c r="AH29" s="1183"/>
      <c r="AI29" s="1183"/>
      <c r="AJ29" s="1184"/>
      <c r="AK29" s="1184"/>
      <c r="AL29" s="1185">
        <v>1</v>
      </c>
    </row>
    <row r="30" spans="1:38" s="709" customFormat="1" ht="30" customHeight="1">
      <c r="A30" s="1181"/>
      <c r="B30" s="1189" t="s">
        <v>3018</v>
      </c>
      <c r="C30" s="1190"/>
      <c r="D30" s="1181"/>
      <c r="E30" s="1181"/>
      <c r="F30" s="1181"/>
      <c r="G30" s="1181"/>
      <c r="H30" s="1181"/>
      <c r="I30" s="1182"/>
      <c r="J30" s="1181"/>
      <c r="K30" s="1181"/>
      <c r="L30" s="1181"/>
      <c r="M30" s="1181"/>
      <c r="N30" s="1181"/>
      <c r="O30" s="1182"/>
      <c r="P30" s="1189"/>
      <c r="Q30" s="1182"/>
      <c r="R30" s="1182"/>
      <c r="S30" s="1182"/>
      <c r="T30" s="1183"/>
      <c r="U30" s="1183"/>
      <c r="V30" s="1193"/>
      <c r="W30" s="1193"/>
      <c r="X30" s="1193"/>
      <c r="Y30" s="1183"/>
      <c r="Z30" s="1194"/>
      <c r="AA30" s="1183"/>
      <c r="AB30" s="1183"/>
      <c r="AC30" s="1183"/>
      <c r="AD30" s="1183"/>
      <c r="AE30" s="1183"/>
      <c r="AF30" s="1183"/>
      <c r="AG30" s="1183"/>
      <c r="AH30" s="1183"/>
      <c r="AI30" s="1183"/>
      <c r="AJ30" s="1184"/>
      <c r="AK30" s="1184"/>
      <c r="AL30" s="1185">
        <v>1</v>
      </c>
    </row>
    <row r="31" spans="1:38" s="709" customFormat="1" ht="30" customHeight="1">
      <c r="A31" s="1181"/>
      <c r="B31" s="1189"/>
      <c r="C31" s="1190"/>
      <c r="D31" s="1181"/>
      <c r="E31" s="1181"/>
      <c r="F31" s="1181"/>
      <c r="G31" s="1181"/>
      <c r="H31" s="1181"/>
      <c r="I31" s="1182"/>
      <c r="J31" s="1181"/>
      <c r="K31" s="1181"/>
      <c r="L31" s="1181"/>
      <c r="M31" s="1181"/>
      <c r="N31" s="1181"/>
      <c r="O31" s="1182"/>
      <c r="P31" s="1189"/>
      <c r="Q31" s="1182"/>
      <c r="R31" s="1182"/>
      <c r="S31" s="1182"/>
      <c r="T31" s="1183"/>
      <c r="U31" s="1183"/>
      <c r="V31" s="1193"/>
      <c r="W31" s="1193"/>
      <c r="X31" s="1193"/>
      <c r="Y31" s="1183"/>
      <c r="Z31" s="1194"/>
      <c r="AA31" s="1183"/>
      <c r="AB31" s="1183"/>
      <c r="AC31" s="1183"/>
      <c r="AD31" s="1183"/>
      <c r="AE31" s="1183"/>
      <c r="AF31" s="1183"/>
      <c r="AG31" s="1183"/>
      <c r="AH31" s="1183"/>
      <c r="AI31" s="1183"/>
      <c r="AJ31" s="1184"/>
      <c r="AK31" s="1184"/>
      <c r="AL31" s="1185">
        <v>1</v>
      </c>
    </row>
    <row r="32" spans="1:38" s="709" customFormat="1" ht="30" customHeight="1">
      <c r="A32" s="1181"/>
      <c r="B32" s="1189" t="s">
        <v>3019</v>
      </c>
      <c r="C32" s="1190"/>
      <c r="D32" s="1181"/>
      <c r="E32" s="1181"/>
      <c r="F32" s="1181"/>
      <c r="G32" s="1181"/>
      <c r="H32" s="1181"/>
      <c r="I32" s="1182"/>
      <c r="J32" s="1181"/>
      <c r="K32" s="1181"/>
      <c r="L32" s="1181"/>
      <c r="M32" s="1181"/>
      <c r="N32" s="1181"/>
      <c r="O32" s="1182"/>
      <c r="P32" s="1189"/>
      <c r="Q32" s="1182"/>
      <c r="R32" s="1182"/>
      <c r="S32" s="1182"/>
      <c r="T32" s="1183"/>
      <c r="U32" s="1183"/>
      <c r="V32" s="1193"/>
      <c r="W32" s="1193"/>
      <c r="X32" s="1193"/>
      <c r="Y32" s="1183"/>
      <c r="Z32" s="1194"/>
      <c r="AA32" s="1183"/>
      <c r="AB32" s="1183"/>
      <c r="AC32" s="1183"/>
      <c r="AD32" s="1183"/>
      <c r="AE32" s="1183"/>
      <c r="AF32" s="1183"/>
      <c r="AG32" s="1183"/>
      <c r="AH32" s="1183"/>
      <c r="AI32" s="1183"/>
      <c r="AJ32" s="1184"/>
      <c r="AK32" s="1184"/>
      <c r="AL32" s="1185">
        <v>1</v>
      </c>
    </row>
    <row r="33" spans="1:38" s="709" customFormat="1" ht="30" customHeight="1">
      <c r="A33" s="1181"/>
      <c r="B33" s="1189" t="s">
        <v>3020</v>
      </c>
      <c r="C33" s="1190"/>
      <c r="D33" s="1181"/>
      <c r="E33" s="1181"/>
      <c r="F33" s="1181"/>
      <c r="G33" s="1181"/>
      <c r="H33" s="1181"/>
      <c r="I33" s="1182"/>
      <c r="J33" s="1181"/>
      <c r="K33" s="1181"/>
      <c r="L33" s="1181"/>
      <c r="M33" s="1181"/>
      <c r="N33" s="1181"/>
      <c r="O33" s="1182"/>
      <c r="P33" s="1189"/>
      <c r="Q33" s="1182"/>
      <c r="R33" s="1182"/>
      <c r="S33" s="1182"/>
      <c r="T33" s="1183"/>
      <c r="U33" s="1183"/>
      <c r="V33" s="1193"/>
      <c r="W33" s="1193"/>
      <c r="X33" s="1193"/>
      <c r="Y33" s="1183"/>
      <c r="Z33" s="1194"/>
      <c r="AA33" s="1183"/>
      <c r="AB33" s="1183"/>
      <c r="AC33" s="1183"/>
      <c r="AD33" s="1183"/>
      <c r="AE33" s="1183"/>
      <c r="AF33" s="1183"/>
      <c r="AG33" s="1183"/>
      <c r="AH33" s="1183"/>
      <c r="AI33" s="1183"/>
      <c r="AJ33" s="1184"/>
      <c r="AK33" s="1184"/>
      <c r="AL33" s="1185">
        <v>1</v>
      </c>
    </row>
    <row r="34" spans="1:38" s="709" customFormat="1" ht="30" customHeight="1">
      <c r="A34" s="1181"/>
      <c r="B34" s="1189"/>
      <c r="C34" s="1190"/>
      <c r="D34" s="1181"/>
      <c r="E34" s="1181"/>
      <c r="F34" s="1181"/>
      <c r="G34" s="1181"/>
      <c r="H34" s="1181"/>
      <c r="I34" s="1182"/>
      <c r="J34" s="1181"/>
      <c r="K34" s="1181"/>
      <c r="L34" s="1181"/>
      <c r="M34" s="1181"/>
      <c r="N34" s="1181"/>
      <c r="O34" s="1182"/>
      <c r="P34" s="1189"/>
      <c r="Q34" s="1182"/>
      <c r="R34" s="1182"/>
      <c r="S34" s="1182"/>
      <c r="T34" s="1183"/>
      <c r="U34" s="1183"/>
      <c r="V34" s="1193"/>
      <c r="W34" s="1193"/>
      <c r="X34" s="1193"/>
      <c r="Y34" s="1183"/>
      <c r="Z34" s="1194"/>
      <c r="AA34" s="1183"/>
      <c r="AB34" s="1183"/>
      <c r="AC34" s="1183"/>
      <c r="AD34" s="1183"/>
      <c r="AE34" s="1183"/>
      <c r="AF34" s="1183"/>
      <c r="AG34" s="1183"/>
      <c r="AH34" s="1183"/>
      <c r="AI34" s="1183"/>
      <c r="AJ34" s="1184"/>
      <c r="AK34" s="1184"/>
      <c r="AL34" s="1185">
        <v>1</v>
      </c>
    </row>
    <row r="35" spans="1:38" s="709" customFormat="1" ht="30" customHeight="1">
      <c r="A35" s="1181"/>
      <c r="B35" s="1189" t="s">
        <v>3021</v>
      </c>
      <c r="C35" s="1190"/>
      <c r="D35" s="1181"/>
      <c r="E35" s="1181"/>
      <c r="F35" s="1181"/>
      <c r="G35" s="1181"/>
      <c r="H35" s="1181"/>
      <c r="I35" s="1182"/>
      <c r="J35" s="1181"/>
      <c r="K35" s="1181"/>
      <c r="L35" s="1181"/>
      <c r="M35" s="1181"/>
      <c r="N35" s="1181"/>
      <c r="O35" s="1182"/>
      <c r="P35" s="1189"/>
      <c r="Q35" s="1182"/>
      <c r="R35" s="1182"/>
      <c r="S35" s="1182"/>
      <c r="T35" s="1183"/>
      <c r="U35" s="1183"/>
      <c r="V35" s="1193"/>
      <c r="W35" s="1193"/>
      <c r="X35" s="1193"/>
      <c r="Y35" s="1183"/>
      <c r="Z35" s="1194"/>
      <c r="AA35" s="1183"/>
      <c r="AB35" s="1183"/>
      <c r="AC35" s="1183"/>
      <c r="AD35" s="1183"/>
      <c r="AE35" s="1183"/>
      <c r="AF35" s="1183"/>
      <c r="AG35" s="1183"/>
      <c r="AH35" s="1183"/>
      <c r="AI35" s="1183"/>
      <c r="AJ35" s="1184"/>
      <c r="AK35" s="1184"/>
      <c r="AL35" s="1185">
        <v>1</v>
      </c>
    </row>
    <row r="36" spans="1:38" s="709" customFormat="1" ht="30" customHeight="1">
      <c r="A36" s="1181"/>
      <c r="B36" s="1189" t="s">
        <v>3022</v>
      </c>
      <c r="C36" s="1190"/>
      <c r="D36" s="1181"/>
      <c r="E36" s="1181"/>
      <c r="F36" s="1181"/>
      <c r="G36" s="1181"/>
      <c r="H36" s="1181"/>
      <c r="I36" s="1182"/>
      <c r="J36" s="1181"/>
      <c r="K36" s="1181"/>
      <c r="L36" s="1181"/>
      <c r="M36" s="1181"/>
      <c r="N36" s="1181"/>
      <c r="O36" s="1182"/>
      <c r="P36" s="1189"/>
      <c r="Q36" s="1182"/>
      <c r="R36" s="1182"/>
      <c r="S36" s="1182"/>
      <c r="T36" s="1183"/>
      <c r="U36" s="1183"/>
      <c r="V36" s="1193"/>
      <c r="W36" s="1193"/>
      <c r="X36" s="1193"/>
      <c r="Y36" s="1183"/>
      <c r="Z36" s="1194"/>
      <c r="AA36" s="1183"/>
      <c r="AB36" s="1183"/>
      <c r="AC36" s="1183"/>
      <c r="AD36" s="1183"/>
      <c r="AE36" s="1183"/>
      <c r="AF36" s="1183"/>
      <c r="AG36" s="1183"/>
      <c r="AH36" s="1183"/>
      <c r="AI36" s="1183"/>
      <c r="AJ36" s="1184"/>
      <c r="AK36" s="1184"/>
      <c r="AL36" s="1185">
        <v>1</v>
      </c>
    </row>
    <row r="37" spans="1:38" s="709" customFormat="1" ht="30" customHeight="1">
      <c r="A37" s="1181"/>
      <c r="B37" s="1189" t="s">
        <v>3023</v>
      </c>
      <c r="C37" s="1190"/>
      <c r="D37" s="1181"/>
      <c r="E37" s="1181"/>
      <c r="F37" s="1181"/>
      <c r="G37" s="1181"/>
      <c r="H37" s="1181"/>
      <c r="I37" s="1182"/>
      <c r="J37" s="1181"/>
      <c r="K37" s="1181"/>
      <c r="L37" s="1181"/>
      <c r="M37" s="1181"/>
      <c r="N37" s="1181"/>
      <c r="O37" s="1182"/>
      <c r="P37" s="1189"/>
      <c r="Q37" s="1182"/>
      <c r="R37" s="1182"/>
      <c r="S37" s="1182"/>
      <c r="T37" s="1183"/>
      <c r="U37" s="1183"/>
      <c r="V37" s="1193"/>
      <c r="W37" s="1193"/>
      <c r="X37" s="1193"/>
      <c r="Y37" s="1183"/>
      <c r="Z37" s="1194"/>
      <c r="AA37" s="1183"/>
      <c r="AB37" s="1183"/>
      <c r="AC37" s="1183"/>
      <c r="AD37" s="1183"/>
      <c r="AE37" s="1183"/>
      <c r="AF37" s="1183"/>
      <c r="AG37" s="1183"/>
      <c r="AH37" s="1183"/>
      <c r="AI37" s="1183"/>
      <c r="AJ37" s="1184"/>
      <c r="AK37" s="1184"/>
      <c r="AL37" s="1185">
        <v>1</v>
      </c>
    </row>
    <row r="38" spans="1:38" s="709" customFormat="1" ht="30" customHeight="1">
      <c r="A38" s="1181"/>
      <c r="B38" s="1189" t="s">
        <v>3024</v>
      </c>
      <c r="C38" s="1190"/>
      <c r="D38" s="1181"/>
      <c r="E38" s="1181"/>
      <c r="F38" s="1181"/>
      <c r="G38" s="1181"/>
      <c r="H38" s="1181"/>
      <c r="I38" s="1182"/>
      <c r="J38" s="1181"/>
      <c r="K38" s="1181"/>
      <c r="L38" s="1181"/>
      <c r="M38" s="1181"/>
      <c r="N38" s="1181"/>
      <c r="O38" s="1182"/>
      <c r="P38" s="1189"/>
      <c r="Q38" s="1182"/>
      <c r="R38" s="1182"/>
      <c r="S38" s="1182"/>
      <c r="T38" s="1183"/>
      <c r="U38" s="1183"/>
      <c r="V38" s="1193"/>
      <c r="W38" s="1193"/>
      <c r="X38" s="1193"/>
      <c r="Y38" s="1183"/>
      <c r="Z38" s="1194"/>
      <c r="AA38" s="1183"/>
      <c r="AB38" s="1183"/>
      <c r="AC38" s="1183"/>
      <c r="AD38" s="1183"/>
      <c r="AE38" s="1183"/>
      <c r="AF38" s="1183"/>
      <c r="AG38" s="1183"/>
      <c r="AH38" s="1183"/>
      <c r="AI38" s="1183"/>
      <c r="AJ38" s="1184"/>
      <c r="AK38" s="1184"/>
      <c r="AL38" s="1185">
        <v>1</v>
      </c>
    </row>
    <row r="39" spans="1:38" s="709" customFormat="1" ht="30" customHeight="1">
      <c r="A39" s="1181"/>
      <c r="B39" s="1189"/>
      <c r="C39" s="1190"/>
      <c r="D39" s="1181"/>
      <c r="E39" s="1181"/>
      <c r="F39" s="1181"/>
      <c r="G39" s="1181"/>
      <c r="H39" s="1181"/>
      <c r="I39" s="1182"/>
      <c r="J39" s="1181"/>
      <c r="K39" s="1181"/>
      <c r="L39" s="1181"/>
      <c r="M39" s="1181"/>
      <c r="N39" s="1181"/>
      <c r="O39" s="1182"/>
      <c r="P39" s="1189"/>
      <c r="Q39" s="1182"/>
      <c r="R39" s="1182"/>
      <c r="S39" s="1182"/>
      <c r="T39" s="1183"/>
      <c r="U39" s="1183"/>
      <c r="V39" s="1193"/>
      <c r="W39" s="1193"/>
      <c r="X39" s="1193"/>
      <c r="Y39" s="1183"/>
      <c r="Z39" s="1194"/>
      <c r="AA39" s="1183"/>
      <c r="AB39" s="1183"/>
      <c r="AC39" s="1183"/>
      <c r="AD39" s="1183"/>
      <c r="AE39" s="1183"/>
      <c r="AF39" s="1183"/>
      <c r="AG39" s="1183"/>
      <c r="AH39" s="1183"/>
      <c r="AI39" s="1183"/>
      <c r="AJ39" s="1184"/>
      <c r="AK39" s="1184"/>
      <c r="AL39" s="1185">
        <v>1</v>
      </c>
    </row>
    <row r="40" spans="1:38" s="709" customFormat="1" ht="30" customHeight="1">
      <c r="A40" s="1181"/>
      <c r="B40" s="1189" t="s">
        <v>3025</v>
      </c>
      <c r="C40" s="1190"/>
      <c r="D40" s="1181"/>
      <c r="E40" s="1181"/>
      <c r="F40" s="1181"/>
      <c r="G40" s="1181"/>
      <c r="H40" s="1181"/>
      <c r="I40" s="1182"/>
      <c r="J40" s="1181"/>
      <c r="K40" s="1181"/>
      <c r="L40" s="1181"/>
      <c r="M40" s="1181"/>
      <c r="N40" s="1181"/>
      <c r="O40" s="1182"/>
      <c r="P40" s="1189"/>
      <c r="Q40" s="1182"/>
      <c r="R40" s="1182"/>
      <c r="S40" s="1182"/>
      <c r="T40" s="1183"/>
      <c r="U40" s="1183"/>
      <c r="V40" s="1193"/>
      <c r="W40" s="1193"/>
      <c r="X40" s="1193"/>
      <c r="Y40" s="1183"/>
      <c r="Z40" s="1194"/>
      <c r="AA40" s="1183"/>
      <c r="AB40" s="1183"/>
      <c r="AC40" s="1183"/>
      <c r="AD40" s="1183"/>
      <c r="AE40" s="1183"/>
      <c r="AF40" s="1183"/>
      <c r="AG40" s="1183"/>
      <c r="AH40" s="1183"/>
      <c r="AI40" s="1183"/>
      <c r="AJ40" s="1184"/>
      <c r="AK40" s="1184"/>
      <c r="AL40" s="1185">
        <v>1</v>
      </c>
    </row>
    <row r="41" spans="1:38" s="709" customFormat="1" ht="30" customHeight="1">
      <c r="A41" s="1181"/>
      <c r="B41" s="1189" t="s">
        <v>3026</v>
      </c>
      <c r="C41" s="1190"/>
      <c r="D41" s="1181"/>
      <c r="E41" s="1181"/>
      <c r="F41" s="1181"/>
      <c r="G41" s="1181"/>
      <c r="H41" s="1181"/>
      <c r="I41" s="1182"/>
      <c r="J41" s="1181"/>
      <c r="K41" s="1181"/>
      <c r="L41" s="1181"/>
      <c r="M41" s="1181"/>
      <c r="N41" s="1181"/>
      <c r="O41" s="1182"/>
      <c r="P41" s="1189"/>
      <c r="Q41" s="1182"/>
      <c r="R41" s="1182"/>
      <c r="S41" s="1182"/>
      <c r="T41" s="1183"/>
      <c r="U41" s="1183"/>
      <c r="V41" s="1193"/>
      <c r="W41" s="1193"/>
      <c r="X41" s="1193"/>
      <c r="Y41" s="1183"/>
      <c r="Z41" s="1194"/>
      <c r="AA41" s="1183"/>
      <c r="AB41" s="1183"/>
      <c r="AC41" s="1183"/>
      <c r="AD41" s="1183"/>
      <c r="AE41" s="1183"/>
      <c r="AF41" s="1183"/>
      <c r="AG41" s="1183"/>
      <c r="AH41" s="1183"/>
      <c r="AI41" s="1183"/>
      <c r="AJ41" s="1184"/>
      <c r="AK41" s="1184"/>
      <c r="AL41" s="1185">
        <v>1</v>
      </c>
    </row>
    <row r="42" spans="1:38" s="709" customFormat="1" ht="30" customHeight="1">
      <c r="A42" s="1181"/>
      <c r="B42" s="1189" t="s">
        <v>3027</v>
      </c>
      <c r="C42" s="1190"/>
      <c r="D42" s="1181"/>
      <c r="E42" s="1181"/>
      <c r="F42" s="1181"/>
      <c r="G42" s="1181"/>
      <c r="H42" s="1181"/>
      <c r="I42" s="1182"/>
      <c r="J42" s="1181"/>
      <c r="K42" s="1181"/>
      <c r="L42" s="1181"/>
      <c r="M42" s="1181"/>
      <c r="N42" s="1181"/>
      <c r="O42" s="1182"/>
      <c r="P42" s="1189"/>
      <c r="Q42" s="1182"/>
      <c r="R42" s="1182"/>
      <c r="S42" s="1182"/>
      <c r="T42" s="1183"/>
      <c r="U42" s="1183"/>
      <c r="V42" s="1193"/>
      <c r="W42" s="1193"/>
      <c r="X42" s="1193"/>
      <c r="Y42" s="1183"/>
      <c r="Z42" s="1194"/>
      <c r="AA42" s="1183"/>
      <c r="AB42" s="1183"/>
      <c r="AC42" s="1183"/>
      <c r="AD42" s="1183"/>
      <c r="AE42" s="1183"/>
      <c r="AF42" s="1183"/>
      <c r="AG42" s="1183"/>
      <c r="AH42" s="1183"/>
      <c r="AI42" s="1183"/>
      <c r="AJ42" s="1184"/>
      <c r="AK42" s="1184"/>
      <c r="AL42" s="1185">
        <v>1</v>
      </c>
    </row>
    <row r="43" spans="1:38" s="709" customFormat="1" ht="30" customHeight="1">
      <c r="A43" s="1181"/>
      <c r="B43" s="1189" t="s">
        <v>3028</v>
      </c>
      <c r="C43" s="1190"/>
      <c r="D43" s="1181"/>
      <c r="E43" s="1181"/>
      <c r="F43" s="1181"/>
      <c r="G43" s="1181"/>
      <c r="H43" s="1181"/>
      <c r="I43" s="1182"/>
      <c r="J43" s="1181"/>
      <c r="K43" s="1181"/>
      <c r="L43" s="1181"/>
      <c r="M43" s="1181"/>
      <c r="N43" s="1181"/>
      <c r="O43" s="1182"/>
      <c r="P43" s="1189"/>
      <c r="Q43" s="1182"/>
      <c r="R43" s="1182"/>
      <c r="S43" s="1182"/>
      <c r="T43" s="1183"/>
      <c r="U43" s="1183"/>
      <c r="V43" s="1193"/>
      <c r="W43" s="1193"/>
      <c r="X43" s="1193"/>
      <c r="Y43" s="1183"/>
      <c r="Z43" s="1194"/>
      <c r="AA43" s="1183"/>
      <c r="AB43" s="1183"/>
      <c r="AC43" s="1183"/>
      <c r="AD43" s="1183"/>
      <c r="AE43" s="1183"/>
      <c r="AF43" s="1183"/>
      <c r="AG43" s="1183"/>
      <c r="AH43" s="1183"/>
      <c r="AI43" s="1183"/>
      <c r="AJ43" s="1184"/>
      <c r="AK43" s="1184"/>
      <c r="AL43" s="1185">
        <v>1</v>
      </c>
    </row>
    <row r="44" spans="1:38" s="709" customFormat="1" ht="30" customHeight="1">
      <c r="A44" s="1181"/>
      <c r="B44" s="1189" t="s">
        <v>3029</v>
      </c>
      <c r="C44" s="1190"/>
      <c r="D44" s="1181"/>
      <c r="E44" s="1181"/>
      <c r="F44" s="1181"/>
      <c r="G44" s="1181"/>
      <c r="H44" s="1181"/>
      <c r="I44" s="1182"/>
      <c r="J44" s="1181"/>
      <c r="K44" s="1181"/>
      <c r="L44" s="1181"/>
      <c r="M44" s="1181"/>
      <c r="N44" s="1181"/>
      <c r="O44" s="1182"/>
      <c r="P44" s="1189"/>
      <c r="Q44" s="1182"/>
      <c r="R44" s="1182"/>
      <c r="S44" s="1182"/>
      <c r="T44" s="1183"/>
      <c r="U44" s="1183"/>
      <c r="V44" s="1193"/>
      <c r="W44" s="1193"/>
      <c r="X44" s="1193"/>
      <c r="Y44" s="1183"/>
      <c r="Z44" s="1194"/>
      <c r="AA44" s="1183"/>
      <c r="AB44" s="1183"/>
      <c r="AC44" s="1183"/>
      <c r="AD44" s="1183"/>
      <c r="AE44" s="1183"/>
      <c r="AF44" s="1183"/>
      <c r="AG44" s="1183"/>
      <c r="AH44" s="1183"/>
      <c r="AI44" s="1183"/>
      <c r="AJ44" s="1184"/>
      <c r="AK44" s="1184"/>
      <c r="AL44" s="1185">
        <v>1</v>
      </c>
    </row>
    <row r="45" spans="1:38" s="709" customFormat="1" ht="30" customHeight="1">
      <c r="A45" s="1181"/>
      <c r="B45" s="1189" t="s">
        <v>3108</v>
      </c>
      <c r="C45" s="1190"/>
      <c r="D45" s="1181"/>
      <c r="E45" s="1181"/>
      <c r="F45" s="1181"/>
      <c r="G45" s="1181"/>
      <c r="H45" s="1181"/>
      <c r="I45" s="1182"/>
      <c r="J45" s="1181"/>
      <c r="K45" s="1181"/>
      <c r="L45" s="1181"/>
      <c r="M45" s="1181"/>
      <c r="N45" s="1181"/>
      <c r="O45" s="1182"/>
      <c r="P45" s="1189"/>
      <c r="Q45" s="1182"/>
      <c r="R45" s="1182"/>
      <c r="S45" s="1182"/>
      <c r="T45" s="1183"/>
      <c r="U45" s="1183"/>
      <c r="V45" s="1193"/>
      <c r="W45" s="1193"/>
      <c r="X45" s="1193"/>
      <c r="Y45" s="1183"/>
      <c r="Z45" s="1194"/>
      <c r="AA45" s="1183"/>
      <c r="AB45" s="1183"/>
      <c r="AC45" s="1183"/>
      <c r="AD45" s="1183"/>
      <c r="AE45" s="1183"/>
      <c r="AF45" s="1183"/>
      <c r="AG45" s="1183"/>
      <c r="AH45" s="1183"/>
      <c r="AI45" s="1183"/>
      <c r="AJ45" s="1184"/>
      <c r="AK45" s="1184"/>
      <c r="AL45" s="1185">
        <v>1</v>
      </c>
    </row>
    <row r="46" spans="1:38" s="709" customFormat="1" ht="30" customHeight="1">
      <c r="A46" s="1181"/>
      <c r="B46" s="1189"/>
      <c r="C46" s="1190"/>
      <c r="D46" s="1181"/>
      <c r="E46" s="1181"/>
      <c r="F46" s="1181"/>
      <c r="G46" s="1181"/>
      <c r="H46" s="1181"/>
      <c r="I46" s="1182"/>
      <c r="J46" s="1181"/>
      <c r="K46" s="1181"/>
      <c r="L46" s="1181"/>
      <c r="M46" s="1181"/>
      <c r="N46" s="1181"/>
      <c r="O46" s="1182"/>
      <c r="P46" s="1189"/>
      <c r="Q46" s="1182"/>
      <c r="R46" s="1182"/>
      <c r="S46" s="1182"/>
      <c r="T46" s="1183"/>
      <c r="U46" s="1183"/>
      <c r="V46" s="1193"/>
      <c r="W46" s="1193"/>
      <c r="X46" s="1193"/>
      <c r="Y46" s="1183"/>
      <c r="Z46" s="1194"/>
      <c r="AA46" s="1183"/>
      <c r="AB46" s="1183"/>
      <c r="AC46" s="1183"/>
      <c r="AD46" s="1183"/>
      <c r="AE46" s="1183"/>
      <c r="AF46" s="1183"/>
      <c r="AG46" s="1183"/>
      <c r="AH46" s="1183"/>
      <c r="AI46" s="1183"/>
      <c r="AJ46" s="1184"/>
      <c r="AK46" s="1184"/>
      <c r="AL46" s="1185">
        <v>1</v>
      </c>
    </row>
    <row r="47" spans="1:38" s="709" customFormat="1" ht="30" customHeight="1">
      <c r="A47" s="1181"/>
      <c r="B47" s="1189" t="s">
        <v>3030</v>
      </c>
      <c r="C47" s="1190"/>
      <c r="D47" s="1181"/>
      <c r="E47" s="1181"/>
      <c r="F47" s="1181"/>
      <c r="G47" s="1181"/>
      <c r="H47" s="1181"/>
      <c r="I47" s="1182"/>
      <c r="J47" s="1181"/>
      <c r="K47" s="1181"/>
      <c r="L47" s="1181"/>
      <c r="M47" s="1181"/>
      <c r="N47" s="1181"/>
      <c r="O47" s="1182"/>
      <c r="P47" s="1189"/>
      <c r="Q47" s="1182"/>
      <c r="R47" s="1182"/>
      <c r="S47" s="1182"/>
      <c r="T47" s="1183"/>
      <c r="U47" s="1183"/>
      <c r="V47" s="1193"/>
      <c r="W47" s="1193"/>
      <c r="X47" s="1193"/>
      <c r="Y47" s="1183"/>
      <c r="Z47" s="1194"/>
      <c r="AA47" s="1183"/>
      <c r="AB47" s="1183"/>
      <c r="AC47" s="1183"/>
      <c r="AD47" s="1183"/>
      <c r="AE47" s="1183"/>
      <c r="AF47" s="1183"/>
      <c r="AG47" s="1183"/>
      <c r="AH47" s="1183"/>
      <c r="AI47" s="1183"/>
      <c r="AJ47" s="1184"/>
      <c r="AK47" s="1184"/>
      <c r="AL47" s="1185">
        <v>1</v>
      </c>
    </row>
    <row r="48" spans="1:38" s="709" customFormat="1" ht="30" customHeight="1">
      <c r="A48" s="1181"/>
      <c r="B48" s="1189" t="s">
        <v>3031</v>
      </c>
      <c r="C48" s="1190"/>
      <c r="D48" s="1181"/>
      <c r="E48" s="1181"/>
      <c r="F48" s="1181"/>
      <c r="G48" s="1181"/>
      <c r="H48" s="1181"/>
      <c r="I48" s="1182"/>
      <c r="J48" s="1181"/>
      <c r="K48" s="1181"/>
      <c r="L48" s="1181"/>
      <c r="M48" s="1181"/>
      <c r="N48" s="1181"/>
      <c r="O48" s="1182"/>
      <c r="P48" s="1189"/>
      <c r="Q48" s="1182"/>
      <c r="R48" s="1182"/>
      <c r="S48" s="1182"/>
      <c r="T48" s="1183"/>
      <c r="U48" s="1183"/>
      <c r="V48" s="1193"/>
      <c r="W48" s="1193"/>
      <c r="X48" s="1193"/>
      <c r="Y48" s="1183"/>
      <c r="Z48" s="1194"/>
      <c r="AA48" s="1183"/>
      <c r="AB48" s="1183"/>
      <c r="AC48" s="1183"/>
      <c r="AD48" s="1183"/>
      <c r="AE48" s="1183"/>
      <c r="AF48" s="1183"/>
      <c r="AG48" s="1183"/>
      <c r="AH48" s="1183"/>
      <c r="AI48" s="1183"/>
      <c r="AJ48" s="1184"/>
      <c r="AK48" s="1184"/>
      <c r="AL48" s="1185">
        <v>1</v>
      </c>
    </row>
    <row r="49" spans="1:38" s="709" customFormat="1" ht="30" customHeight="1">
      <c r="A49" s="1181"/>
      <c r="B49" s="1189"/>
      <c r="C49" s="1190"/>
      <c r="D49" s="1181"/>
      <c r="E49" s="1181"/>
      <c r="F49" s="1181"/>
      <c r="G49" s="1181"/>
      <c r="H49" s="1181"/>
      <c r="I49" s="1182"/>
      <c r="J49" s="1181"/>
      <c r="K49" s="1181"/>
      <c r="L49" s="1181"/>
      <c r="M49" s="1181"/>
      <c r="N49" s="1181"/>
      <c r="O49" s="1182"/>
      <c r="P49" s="1189"/>
      <c r="Q49" s="1182"/>
      <c r="R49" s="1182"/>
      <c r="S49" s="1182"/>
      <c r="T49" s="1183"/>
      <c r="U49" s="1183"/>
      <c r="V49" s="1193"/>
      <c r="W49" s="1193"/>
      <c r="X49" s="1193"/>
      <c r="Y49" s="1183"/>
      <c r="Z49" s="1194"/>
      <c r="AA49" s="1183"/>
      <c r="AB49" s="1183"/>
      <c r="AC49" s="1183"/>
      <c r="AD49" s="1183"/>
      <c r="AE49" s="1183"/>
      <c r="AF49" s="1183"/>
      <c r="AG49" s="1183"/>
      <c r="AH49" s="1183"/>
      <c r="AI49" s="1183"/>
      <c r="AJ49" s="1184"/>
      <c r="AK49" s="1184"/>
      <c r="AL49" s="1185">
        <v>1</v>
      </c>
    </row>
    <row r="50" spans="1:38" s="709" customFormat="1" ht="30" customHeight="1">
      <c r="A50" s="1181"/>
      <c r="B50" s="1189" t="s">
        <v>3067</v>
      </c>
      <c r="C50" s="1190"/>
      <c r="D50" s="1181"/>
      <c r="E50" s="1181"/>
      <c r="F50" s="1181"/>
      <c r="G50" s="1181"/>
      <c r="H50" s="1181"/>
      <c r="I50" s="1182"/>
      <c r="J50" s="1181"/>
      <c r="K50" s="1181"/>
      <c r="L50" s="1181"/>
      <c r="M50" s="1181"/>
      <c r="N50" s="1181"/>
      <c r="O50" s="1182"/>
      <c r="P50" s="1189"/>
      <c r="Q50" s="1182"/>
      <c r="R50" s="1182"/>
      <c r="S50" s="1182"/>
      <c r="T50" s="1183"/>
      <c r="U50" s="1183"/>
      <c r="V50" s="1193"/>
      <c r="W50" s="1193"/>
      <c r="X50" s="1193"/>
      <c r="Y50" s="1183"/>
      <c r="Z50" s="1194"/>
      <c r="AA50" s="1183"/>
      <c r="AB50" s="1183"/>
      <c r="AC50" s="1183"/>
      <c r="AD50" s="1183"/>
      <c r="AE50" s="1183"/>
      <c r="AF50" s="1183"/>
      <c r="AG50" s="1183"/>
      <c r="AH50" s="1183"/>
      <c r="AI50" s="1183"/>
      <c r="AJ50" s="1184"/>
      <c r="AK50" s="1184"/>
      <c r="AL50" s="1185">
        <v>1</v>
      </c>
    </row>
    <row r="51" spans="1:38" s="709" customFormat="1" ht="30" customHeight="1">
      <c r="A51" s="1181"/>
      <c r="B51" s="1189" t="s">
        <v>3068</v>
      </c>
      <c r="C51" s="1190"/>
      <c r="D51" s="1181"/>
      <c r="E51" s="1181"/>
      <c r="F51" s="1181"/>
      <c r="G51" s="1181"/>
      <c r="H51" s="1181"/>
      <c r="I51" s="1182"/>
      <c r="J51" s="1181"/>
      <c r="K51" s="1181"/>
      <c r="L51" s="1181"/>
      <c r="M51" s="1181"/>
      <c r="N51" s="1181"/>
      <c r="O51" s="1182"/>
      <c r="P51" s="1189"/>
      <c r="Q51" s="1182"/>
      <c r="R51" s="1182"/>
      <c r="S51" s="1182"/>
      <c r="T51" s="1183"/>
      <c r="U51" s="1183"/>
      <c r="V51" s="1193"/>
      <c r="W51" s="1193"/>
      <c r="X51" s="1193"/>
      <c r="Y51" s="1183"/>
      <c r="Z51" s="1194"/>
      <c r="AA51" s="1183"/>
      <c r="AB51" s="1183"/>
      <c r="AC51" s="1183"/>
      <c r="AD51" s="1183"/>
      <c r="AE51" s="1183"/>
      <c r="AF51" s="1183"/>
      <c r="AG51" s="1183"/>
      <c r="AH51" s="1183"/>
      <c r="AI51" s="1183"/>
      <c r="AJ51" s="1184"/>
      <c r="AK51" s="1184"/>
      <c r="AL51" s="1185">
        <v>1</v>
      </c>
    </row>
    <row r="52" spans="1:38" s="709" customFormat="1" ht="30" customHeight="1">
      <c r="A52" s="1181"/>
      <c r="B52" s="1189" t="s">
        <v>3069</v>
      </c>
      <c r="C52" s="1190"/>
      <c r="D52" s="1181"/>
      <c r="E52" s="1181"/>
      <c r="F52" s="1181"/>
      <c r="G52" s="1181"/>
      <c r="H52" s="1181"/>
      <c r="I52" s="1182"/>
      <c r="J52" s="1181"/>
      <c r="K52" s="1181"/>
      <c r="L52" s="1181"/>
      <c r="M52" s="1181"/>
      <c r="N52" s="1181"/>
      <c r="O52" s="1182"/>
      <c r="P52" s="1189"/>
      <c r="Q52" s="1182"/>
      <c r="R52" s="1182"/>
      <c r="S52" s="1182"/>
      <c r="T52" s="1183"/>
      <c r="U52" s="1183"/>
      <c r="V52" s="1193"/>
      <c r="W52" s="1193"/>
      <c r="X52" s="1193"/>
      <c r="Y52" s="1183"/>
      <c r="Z52" s="1194"/>
      <c r="AA52" s="1183"/>
      <c r="AB52" s="1183"/>
      <c r="AC52" s="1183"/>
      <c r="AD52" s="1183"/>
      <c r="AE52" s="1183"/>
      <c r="AF52" s="1183"/>
      <c r="AG52" s="1183"/>
      <c r="AH52" s="1183"/>
      <c r="AI52" s="1183"/>
      <c r="AJ52" s="1184"/>
      <c r="AK52" s="1184"/>
      <c r="AL52" s="1185">
        <v>1</v>
      </c>
    </row>
    <row r="53" spans="1:38" s="709" customFormat="1" ht="30" customHeight="1">
      <c r="A53" s="1181"/>
      <c r="B53" s="1189"/>
      <c r="C53" s="1190"/>
      <c r="D53" s="1181"/>
      <c r="E53" s="1181"/>
      <c r="F53" s="1181"/>
      <c r="G53" s="1181"/>
      <c r="H53" s="1181"/>
      <c r="I53" s="1182"/>
      <c r="J53" s="1181"/>
      <c r="K53" s="1181"/>
      <c r="L53" s="1181"/>
      <c r="M53" s="1181"/>
      <c r="N53" s="1181"/>
      <c r="O53" s="1182"/>
      <c r="P53" s="1189"/>
      <c r="Q53" s="1182"/>
      <c r="R53" s="1182"/>
      <c r="S53" s="1182"/>
      <c r="T53" s="1183"/>
      <c r="U53" s="1183"/>
      <c r="V53" s="1193"/>
      <c r="W53" s="1193"/>
      <c r="X53" s="1193"/>
      <c r="Y53" s="1183"/>
      <c r="Z53" s="1194"/>
      <c r="AA53" s="1183"/>
      <c r="AB53" s="1183"/>
      <c r="AC53" s="1183"/>
      <c r="AD53" s="1183"/>
      <c r="AE53" s="1183"/>
      <c r="AF53" s="1183"/>
      <c r="AG53" s="1183"/>
      <c r="AH53" s="1183"/>
      <c r="AI53" s="1183"/>
      <c r="AJ53" s="1184"/>
      <c r="AK53" s="1184"/>
      <c r="AL53" s="1185">
        <v>1</v>
      </c>
    </row>
    <row r="54" spans="1:38" s="709" customFormat="1" ht="30" customHeight="1">
      <c r="A54" s="1181"/>
      <c r="B54" s="1196" t="s">
        <v>3073</v>
      </c>
      <c r="C54" s="1190"/>
      <c r="D54" s="1181"/>
      <c r="E54" s="1181"/>
      <c r="F54" s="1181"/>
      <c r="G54" s="1181"/>
      <c r="H54" s="1181"/>
      <c r="I54" s="1182"/>
      <c r="J54" s="1181"/>
      <c r="K54" s="1181"/>
      <c r="L54" s="1181"/>
      <c r="M54" s="1181"/>
      <c r="N54" s="1181"/>
      <c r="O54" s="1182"/>
      <c r="P54" s="1189"/>
      <c r="Q54" s="1182"/>
      <c r="R54" s="1182"/>
      <c r="S54" s="1182"/>
      <c r="T54" s="1183"/>
      <c r="U54" s="1183"/>
      <c r="V54" s="1193"/>
      <c r="W54" s="1193"/>
      <c r="X54" s="1193"/>
      <c r="Y54" s="1183"/>
      <c r="Z54" s="1194"/>
      <c r="AA54" s="1183"/>
      <c r="AB54" s="1183"/>
      <c r="AC54" s="1183"/>
      <c r="AD54" s="1183"/>
      <c r="AE54" s="1183"/>
      <c r="AF54" s="1183"/>
      <c r="AG54" s="1183"/>
      <c r="AH54" s="1183"/>
      <c r="AI54" s="1183"/>
      <c r="AJ54" s="1184"/>
      <c r="AK54" s="1184"/>
      <c r="AL54" s="1185">
        <v>1</v>
      </c>
    </row>
    <row r="55" spans="1:38" s="709" customFormat="1" ht="30" customHeight="1">
      <c r="A55" s="1181"/>
      <c r="B55" s="1196" t="s">
        <v>3074</v>
      </c>
      <c r="C55" s="1190"/>
      <c r="D55" s="1181"/>
      <c r="E55" s="1181"/>
      <c r="F55" s="1181"/>
      <c r="G55" s="1181"/>
      <c r="H55" s="1181"/>
      <c r="I55" s="1182"/>
      <c r="J55" s="1181"/>
      <c r="K55" s="1181"/>
      <c r="L55" s="1181"/>
      <c r="M55" s="1181"/>
      <c r="N55" s="1181"/>
      <c r="O55" s="1182"/>
      <c r="P55" s="1189"/>
      <c r="Q55" s="1182"/>
      <c r="R55" s="1182"/>
      <c r="S55" s="1182"/>
      <c r="T55" s="1183"/>
      <c r="U55" s="1183"/>
      <c r="V55" s="1193"/>
      <c r="W55" s="1193"/>
      <c r="X55" s="1193"/>
      <c r="Y55" s="1183"/>
      <c r="Z55" s="1194"/>
      <c r="AA55" s="1183"/>
      <c r="AB55" s="1183"/>
      <c r="AC55" s="1183"/>
      <c r="AD55" s="1183"/>
      <c r="AE55" s="1183"/>
      <c r="AF55" s="1183"/>
      <c r="AG55" s="1183"/>
      <c r="AH55" s="1183"/>
      <c r="AI55" s="1183"/>
      <c r="AJ55" s="1184"/>
      <c r="AK55" s="1184"/>
      <c r="AL55" s="1185">
        <v>1</v>
      </c>
    </row>
    <row r="56" spans="1:38" s="709" customFormat="1" ht="30" customHeight="1">
      <c r="A56" s="1181"/>
      <c r="B56" s="1189"/>
      <c r="C56" s="1190"/>
      <c r="D56" s="1181"/>
      <c r="E56" s="1181"/>
      <c r="F56" s="1181"/>
      <c r="G56" s="1181"/>
      <c r="H56" s="1181"/>
      <c r="I56" s="1182"/>
      <c r="J56" s="1181"/>
      <c r="K56" s="1181"/>
      <c r="L56" s="1181"/>
      <c r="M56" s="1181"/>
      <c r="N56" s="1181"/>
      <c r="O56" s="1182"/>
      <c r="P56" s="1189"/>
      <c r="Q56" s="1182"/>
      <c r="R56" s="1182"/>
      <c r="S56" s="1182"/>
      <c r="T56" s="1183"/>
      <c r="U56" s="1183"/>
      <c r="V56" s="1193"/>
      <c r="W56" s="1193"/>
      <c r="X56" s="1193"/>
      <c r="Y56" s="1183"/>
      <c r="Z56" s="1194"/>
      <c r="AA56" s="1183"/>
      <c r="AB56" s="1183"/>
      <c r="AC56" s="1183"/>
      <c r="AD56" s="1183"/>
      <c r="AE56" s="1183"/>
      <c r="AF56" s="1183"/>
      <c r="AG56" s="1183"/>
      <c r="AH56" s="1183"/>
      <c r="AI56" s="1183"/>
      <c r="AJ56" s="1184"/>
      <c r="AK56" s="1184"/>
      <c r="AL56" s="1185">
        <v>1</v>
      </c>
    </row>
    <row r="57" spans="1:38" s="709" customFormat="1" ht="30" customHeight="1">
      <c r="A57" s="1181"/>
      <c r="B57" s="1214" t="s">
        <v>3087</v>
      </c>
      <c r="C57" s="1215"/>
      <c r="D57" s="1181"/>
      <c r="E57" s="1181"/>
      <c r="F57" s="1181"/>
      <c r="G57" s="1181"/>
      <c r="H57" s="1181"/>
      <c r="I57" s="1182"/>
      <c r="J57" s="1181"/>
      <c r="K57" s="1181"/>
      <c r="L57" s="1181"/>
      <c r="M57" s="1181"/>
      <c r="N57" s="1181"/>
      <c r="O57" s="1182"/>
      <c r="P57" s="1189"/>
      <c r="Q57" s="1182"/>
      <c r="R57" s="1182"/>
      <c r="S57" s="1182"/>
      <c r="T57" s="1183"/>
      <c r="U57" s="1183"/>
      <c r="V57" s="1193"/>
      <c r="W57" s="1193"/>
      <c r="X57" s="1193"/>
      <c r="Y57" s="1183"/>
      <c r="Z57" s="1194"/>
      <c r="AA57" s="1183"/>
      <c r="AB57" s="1183"/>
      <c r="AC57" s="1183"/>
      <c r="AD57" s="1183"/>
      <c r="AE57" s="1183"/>
      <c r="AF57" s="1183"/>
      <c r="AG57" s="1183"/>
      <c r="AH57" s="1183"/>
      <c r="AI57" s="1183"/>
      <c r="AJ57" s="1184"/>
      <c r="AK57" s="1184"/>
      <c r="AL57" s="1185">
        <v>1</v>
      </c>
    </row>
    <row r="58" spans="1:38" s="709" customFormat="1" ht="30" customHeight="1">
      <c r="A58" s="1181"/>
      <c r="B58" s="1213"/>
      <c r="C58" s="1214" t="s">
        <v>3088</v>
      </c>
      <c r="D58" s="1181"/>
      <c r="E58" s="1181"/>
      <c r="F58" s="1181"/>
      <c r="G58" s="1181"/>
      <c r="H58" s="1181"/>
      <c r="I58" s="1182"/>
      <c r="J58" s="1181"/>
      <c r="K58" s="1181"/>
      <c r="L58" s="1181"/>
      <c r="M58" s="1181"/>
      <c r="N58" s="1181"/>
      <c r="O58" s="1182"/>
      <c r="P58" s="1189"/>
      <c r="Q58" s="1182"/>
      <c r="R58" s="1182"/>
      <c r="S58" s="1182"/>
      <c r="T58" s="1183"/>
      <c r="U58" s="1183"/>
      <c r="V58" s="1193"/>
      <c r="W58" s="1193"/>
      <c r="X58" s="1193"/>
      <c r="Y58" s="1183"/>
      <c r="Z58" s="1194"/>
      <c r="AA58" s="1183"/>
      <c r="AB58" s="1183"/>
      <c r="AC58" s="1183"/>
      <c r="AD58" s="1183"/>
      <c r="AE58" s="1183"/>
      <c r="AF58" s="1183"/>
      <c r="AG58" s="1183"/>
      <c r="AH58" s="1183"/>
      <c r="AI58" s="1183"/>
      <c r="AJ58" s="1184"/>
      <c r="AK58" s="1184"/>
      <c r="AL58" s="1185">
        <v>1</v>
      </c>
    </row>
    <row r="59" spans="1:38" s="709" customFormat="1" ht="30" customHeight="1">
      <c r="A59" s="1181"/>
      <c r="B59" s="1213"/>
      <c r="C59" s="1214" t="s">
        <v>3089</v>
      </c>
      <c r="D59" s="1181"/>
      <c r="E59" s="1181"/>
      <c r="F59" s="1181"/>
      <c r="G59" s="1181"/>
      <c r="H59" s="1181"/>
      <c r="I59" s="1182"/>
      <c r="J59" s="1181"/>
      <c r="K59" s="1181"/>
      <c r="L59" s="1181"/>
      <c r="M59" s="1181"/>
      <c r="N59" s="1181"/>
      <c r="O59" s="1182"/>
      <c r="P59" s="1189"/>
      <c r="Q59" s="1182"/>
      <c r="R59" s="1182"/>
      <c r="S59" s="1182"/>
      <c r="T59" s="1183"/>
      <c r="U59" s="1183"/>
      <c r="V59" s="1193"/>
      <c r="W59" s="1193"/>
      <c r="X59" s="1193"/>
      <c r="Y59" s="1183"/>
      <c r="Z59" s="1194"/>
      <c r="AA59" s="1183"/>
      <c r="AB59" s="1183"/>
      <c r="AC59" s="1183"/>
      <c r="AD59" s="1183"/>
      <c r="AE59" s="1183"/>
      <c r="AF59" s="1183"/>
      <c r="AG59" s="1183"/>
      <c r="AH59" s="1183"/>
      <c r="AI59" s="1183"/>
      <c r="AJ59" s="1184"/>
      <c r="AK59" s="1184"/>
      <c r="AL59" s="1185">
        <v>1</v>
      </c>
    </row>
    <row r="60" spans="1:38" s="709" customFormat="1" ht="30" customHeight="1">
      <c r="A60" s="1181"/>
      <c r="B60" s="1189"/>
      <c r="C60" s="1190"/>
      <c r="D60" s="1181"/>
      <c r="E60" s="1181"/>
      <c r="F60" s="1181"/>
      <c r="G60" s="1181"/>
      <c r="H60" s="1181"/>
      <c r="I60" s="1182"/>
      <c r="J60" s="1181"/>
      <c r="K60" s="1181"/>
      <c r="L60" s="1181"/>
      <c r="M60" s="1181"/>
      <c r="N60" s="1181"/>
      <c r="O60" s="1182"/>
      <c r="P60" s="1189"/>
      <c r="Q60" s="1182"/>
      <c r="R60" s="1182"/>
      <c r="S60" s="1182"/>
      <c r="T60" s="1183"/>
      <c r="U60" s="1183"/>
      <c r="V60" s="1193"/>
      <c r="W60" s="1193"/>
      <c r="X60" s="1193"/>
      <c r="Y60" s="1183"/>
      <c r="Z60" s="1194"/>
      <c r="AA60" s="1183"/>
      <c r="AB60" s="1183"/>
      <c r="AC60" s="1183"/>
      <c r="AD60" s="1183"/>
      <c r="AE60" s="1183"/>
      <c r="AF60" s="1183"/>
      <c r="AG60" s="1183"/>
      <c r="AH60" s="1183"/>
      <c r="AI60" s="1183"/>
      <c r="AJ60" s="1184"/>
      <c r="AK60" s="1184"/>
      <c r="AL60" s="1185">
        <v>1</v>
      </c>
    </row>
    <row r="61" spans="1:38" s="709" customFormat="1" ht="30" customHeight="1">
      <c r="A61" s="1181"/>
      <c r="B61" s="1189" t="s">
        <v>3093</v>
      </c>
      <c r="C61" s="1190"/>
      <c r="D61" s="1181"/>
      <c r="E61" s="1181"/>
      <c r="F61" s="1181"/>
      <c r="G61" s="1181"/>
      <c r="H61" s="1181"/>
      <c r="I61" s="1182"/>
      <c r="J61" s="1181"/>
      <c r="K61" s="1181"/>
      <c r="L61" s="1181"/>
      <c r="M61" s="1181"/>
      <c r="N61" s="1181"/>
      <c r="O61" s="1182"/>
      <c r="P61" s="1189"/>
      <c r="Q61" s="1182"/>
      <c r="R61" s="1182"/>
      <c r="S61" s="1182"/>
      <c r="T61" s="1183"/>
      <c r="U61" s="1183"/>
      <c r="V61" s="1193"/>
      <c r="W61" s="1193"/>
      <c r="X61" s="1193"/>
      <c r="Y61" s="1183"/>
      <c r="Z61" s="1194"/>
      <c r="AA61" s="1183"/>
      <c r="AB61" s="1183"/>
      <c r="AC61" s="1183"/>
      <c r="AD61" s="1183"/>
      <c r="AE61" s="1183"/>
      <c r="AF61" s="1183"/>
      <c r="AG61" s="1183"/>
      <c r="AH61" s="1183"/>
      <c r="AI61" s="1183"/>
      <c r="AJ61" s="1184"/>
      <c r="AK61" s="1184"/>
      <c r="AL61" s="1185">
        <v>1</v>
      </c>
    </row>
    <row r="62" spans="1:38" s="709" customFormat="1" ht="30" customHeight="1">
      <c r="A62" s="1181"/>
      <c r="B62" s="1189" t="s">
        <v>3094</v>
      </c>
      <c r="C62" s="1190"/>
      <c r="D62" s="1181"/>
      <c r="E62" s="1181"/>
      <c r="F62" s="1181"/>
      <c r="G62" s="1181"/>
      <c r="H62" s="1181"/>
      <c r="I62" s="1182"/>
      <c r="J62" s="1181"/>
      <c r="K62" s="1181"/>
      <c r="L62" s="1181"/>
      <c r="M62" s="1181"/>
      <c r="N62" s="1181"/>
      <c r="O62" s="1182"/>
      <c r="P62" s="1189"/>
      <c r="Q62" s="1182"/>
      <c r="R62" s="1182"/>
      <c r="S62" s="1182"/>
      <c r="T62" s="1183"/>
      <c r="U62" s="1183"/>
      <c r="V62" s="1193"/>
      <c r="W62" s="1193"/>
      <c r="X62" s="1193"/>
      <c r="Y62" s="1183"/>
      <c r="Z62" s="1194"/>
      <c r="AA62" s="1183"/>
      <c r="AB62" s="1183"/>
      <c r="AC62" s="1183"/>
      <c r="AD62" s="1183"/>
      <c r="AE62" s="1183"/>
      <c r="AF62" s="1183"/>
      <c r="AG62" s="1183"/>
      <c r="AH62" s="1183"/>
      <c r="AI62" s="1183"/>
      <c r="AJ62" s="1184"/>
      <c r="AK62" s="1184"/>
      <c r="AL62" s="1185">
        <v>1</v>
      </c>
    </row>
    <row r="63" spans="1:38" s="709" customFormat="1" ht="30" customHeight="1">
      <c r="A63" s="1181"/>
      <c r="B63" s="1189" t="s">
        <v>3095</v>
      </c>
      <c r="C63" s="1190"/>
      <c r="D63" s="1181"/>
      <c r="E63" s="1181"/>
      <c r="F63" s="1181"/>
      <c r="G63" s="1181"/>
      <c r="H63" s="1181"/>
      <c r="I63" s="1182"/>
      <c r="J63" s="1181"/>
      <c r="K63" s="1181"/>
      <c r="L63" s="1181"/>
      <c r="M63" s="1181"/>
      <c r="N63" s="1181"/>
      <c r="O63" s="1182"/>
      <c r="P63" s="1189"/>
      <c r="Q63" s="1182"/>
      <c r="R63" s="1182"/>
      <c r="S63" s="1182"/>
      <c r="T63" s="1183"/>
      <c r="U63" s="1183"/>
      <c r="V63" s="1193"/>
      <c r="W63" s="1193"/>
      <c r="X63" s="1193"/>
      <c r="Y63" s="1183"/>
      <c r="Z63" s="1194"/>
      <c r="AA63" s="1183"/>
      <c r="AB63" s="1183"/>
      <c r="AC63" s="1183"/>
      <c r="AD63" s="1183"/>
      <c r="AE63" s="1183"/>
      <c r="AF63" s="1183"/>
      <c r="AG63" s="1183"/>
      <c r="AH63" s="1183"/>
      <c r="AI63" s="1183"/>
      <c r="AJ63" s="1184"/>
      <c r="AK63" s="1184"/>
      <c r="AL63" s="1185">
        <v>1</v>
      </c>
    </row>
    <row r="64" spans="1:38" s="709" customFormat="1" ht="30" customHeight="1">
      <c r="A64" s="1181"/>
      <c r="B64" s="1189" t="s">
        <v>2643</v>
      </c>
      <c r="C64" s="1190"/>
      <c r="D64" s="1181"/>
      <c r="E64" s="1181"/>
      <c r="F64" s="1181"/>
      <c r="G64" s="1181"/>
      <c r="H64" s="1181"/>
      <c r="I64" s="1182"/>
      <c r="J64" s="1181"/>
      <c r="K64" s="1181"/>
      <c r="L64" s="1181"/>
      <c r="M64" s="1181"/>
      <c r="N64" s="1181"/>
      <c r="O64" s="1182"/>
      <c r="P64" s="1189"/>
      <c r="Q64" s="1182"/>
      <c r="R64" s="1182"/>
      <c r="S64" s="1182"/>
      <c r="T64" s="1183"/>
      <c r="U64" s="1183"/>
      <c r="V64" s="1193"/>
      <c r="W64" s="1193"/>
      <c r="X64" s="1193"/>
      <c r="Y64" s="1183"/>
      <c r="Z64" s="1194"/>
      <c r="AA64" s="1183"/>
      <c r="AB64" s="1183"/>
      <c r="AC64" s="1183"/>
      <c r="AD64" s="1183"/>
      <c r="AE64" s="1183"/>
      <c r="AF64" s="1183"/>
      <c r="AG64" s="1183"/>
      <c r="AH64" s="1183"/>
      <c r="AI64" s="1183"/>
      <c r="AJ64" s="1184"/>
      <c r="AK64" s="1184"/>
      <c r="AL64" s="1185">
        <v>1</v>
      </c>
    </row>
    <row r="65" spans="1:38" s="709" customFormat="1" ht="30" customHeight="1">
      <c r="A65" s="1181"/>
      <c r="B65" s="1189" t="s">
        <v>3096</v>
      </c>
      <c r="C65" s="1190"/>
      <c r="D65" s="1181"/>
      <c r="E65" s="1181"/>
      <c r="F65" s="1181"/>
      <c r="G65" s="1181"/>
      <c r="H65" s="1181"/>
      <c r="I65" s="1182"/>
      <c r="J65" s="1181"/>
      <c r="K65" s="1181"/>
      <c r="L65" s="1181"/>
      <c r="M65" s="1181"/>
      <c r="N65" s="1181"/>
      <c r="O65" s="1182"/>
      <c r="P65" s="1189"/>
      <c r="Q65" s="1182"/>
      <c r="R65" s="1182"/>
      <c r="S65" s="1182"/>
      <c r="T65" s="1183"/>
      <c r="U65" s="1183"/>
      <c r="V65" s="1193"/>
      <c r="W65" s="1193"/>
      <c r="X65" s="1193"/>
      <c r="Y65" s="1183"/>
      <c r="Z65" s="1194"/>
      <c r="AA65" s="1183"/>
      <c r="AB65" s="1183"/>
      <c r="AC65" s="1183"/>
      <c r="AD65" s="1183"/>
      <c r="AE65" s="1183"/>
      <c r="AF65" s="1183"/>
      <c r="AG65" s="1183"/>
      <c r="AH65" s="1183"/>
      <c r="AI65" s="1183"/>
      <c r="AJ65" s="1184"/>
      <c r="AK65" s="1184"/>
      <c r="AL65" s="1185">
        <v>1</v>
      </c>
    </row>
    <row r="66" spans="1:38" s="709" customFormat="1" ht="30" customHeight="1">
      <c r="A66" s="1181"/>
      <c r="B66" s="1189" t="s">
        <v>3097</v>
      </c>
      <c r="C66" s="1190"/>
      <c r="D66" s="1181"/>
      <c r="E66" s="1181"/>
      <c r="F66" s="1181"/>
      <c r="G66" s="1181"/>
      <c r="H66" s="1181"/>
      <c r="I66" s="1182"/>
      <c r="J66" s="1181"/>
      <c r="K66" s="1181"/>
      <c r="L66" s="1181"/>
      <c r="M66" s="1181"/>
      <c r="N66" s="1181"/>
      <c r="O66" s="1182"/>
      <c r="P66" s="1189"/>
      <c r="Q66" s="1182"/>
      <c r="R66" s="1182"/>
      <c r="S66" s="1182"/>
      <c r="T66" s="1183"/>
      <c r="U66" s="1183"/>
      <c r="V66" s="1193"/>
      <c r="W66" s="1193"/>
      <c r="X66" s="1193"/>
      <c r="Y66" s="1183"/>
      <c r="Z66" s="1194"/>
      <c r="AA66" s="1183"/>
      <c r="AB66" s="1183"/>
      <c r="AC66" s="1183"/>
      <c r="AD66" s="1183"/>
      <c r="AE66" s="1183"/>
      <c r="AF66" s="1183"/>
      <c r="AG66" s="1183"/>
      <c r="AH66" s="1183"/>
      <c r="AI66" s="1183"/>
      <c r="AJ66" s="1184"/>
      <c r="AK66" s="1184"/>
      <c r="AL66" s="1185">
        <v>1</v>
      </c>
    </row>
    <row r="67" spans="1:38" s="709" customFormat="1" ht="30" customHeight="1" thickBot="1">
      <c r="A67" s="1181"/>
      <c r="B67" s="1189"/>
      <c r="C67" s="1190"/>
      <c r="D67" s="1181"/>
      <c r="E67" s="1181"/>
      <c r="F67" s="1181"/>
      <c r="G67" s="1181"/>
      <c r="H67" s="1181"/>
      <c r="I67" s="1182"/>
      <c r="J67" s="1181"/>
      <c r="K67" s="1181"/>
      <c r="L67" s="1181"/>
      <c r="M67" s="1181"/>
      <c r="N67" s="1181"/>
      <c r="O67" s="1182"/>
      <c r="P67" s="1189"/>
      <c r="Q67" s="1182"/>
      <c r="R67" s="1182"/>
      <c r="S67" s="1182"/>
      <c r="T67" s="1183"/>
      <c r="U67" s="1183"/>
      <c r="V67" s="1193"/>
      <c r="W67" s="1193"/>
      <c r="X67" s="1193"/>
      <c r="Y67" s="1183"/>
      <c r="Z67" s="1194"/>
      <c r="AA67" s="1183"/>
      <c r="AB67" s="1183"/>
      <c r="AC67" s="1183"/>
      <c r="AD67" s="1183"/>
      <c r="AE67" s="1183"/>
      <c r="AF67" s="1183"/>
      <c r="AG67" s="1183"/>
      <c r="AH67" s="1183"/>
      <c r="AI67" s="1183"/>
      <c r="AJ67" s="1184"/>
      <c r="AK67" s="1184"/>
      <c r="AL67" s="1185">
        <v>1</v>
      </c>
    </row>
    <row r="68" spans="1:38" s="709" customFormat="1" ht="30" customHeight="1">
      <c r="A68" s="1181"/>
      <c r="B68" s="1189"/>
      <c r="C68" s="1190"/>
      <c r="D68" s="953" t="s">
        <v>11</v>
      </c>
      <c r="E68" s="954" t="s">
        <v>1681</v>
      </c>
      <c r="F68" s="955"/>
      <c r="G68" s="955">
        <f>U64</f>
        <v>0</v>
      </c>
      <c r="H68" s="956"/>
      <c r="I68" s="956"/>
      <c r="J68" s="956"/>
      <c r="K68" s="956"/>
      <c r="L68" s="956"/>
      <c r="M68" s="956"/>
      <c r="N68" s="1181"/>
      <c r="O68" s="1182"/>
      <c r="P68" s="1189"/>
      <c r="Q68" s="1182"/>
      <c r="R68" s="1182"/>
      <c r="S68" s="1221" t="s">
        <v>3248</v>
      </c>
      <c r="T68" s="1222"/>
      <c r="U68" s="1223"/>
      <c r="V68" s="1223"/>
      <c r="W68" s="1223"/>
      <c r="X68" s="1223"/>
      <c r="Y68" s="1223"/>
      <c r="Z68" s="1223"/>
      <c r="AA68" s="1223"/>
      <c r="AB68" s="1223"/>
      <c r="AC68" s="1223"/>
      <c r="AD68" s="1223"/>
      <c r="AE68" s="1223"/>
      <c r="AF68" s="1223"/>
      <c r="AG68" s="1223"/>
      <c r="AH68" s="1223"/>
      <c r="AI68" s="1224"/>
      <c r="AJ68" s="1184"/>
      <c r="AK68" s="1184"/>
      <c r="AL68" s="1185">
        <v>1</v>
      </c>
    </row>
    <row r="69" spans="1:38" s="709" customFormat="1" ht="30" customHeight="1">
      <c r="A69" s="1181"/>
      <c r="B69" s="1189"/>
      <c r="C69" s="1190"/>
      <c r="D69" s="959" t="s">
        <v>11</v>
      </c>
      <c r="E69" s="5391" t="s">
        <v>1687</v>
      </c>
      <c r="F69" s="5391"/>
      <c r="G69" s="5391"/>
      <c r="H69" s="5391"/>
      <c r="I69" s="5391"/>
      <c r="J69" s="5391"/>
      <c r="K69" s="5391"/>
      <c r="L69" s="5391"/>
      <c r="M69" s="5391"/>
      <c r="N69" s="1181"/>
      <c r="O69" s="1182"/>
      <c r="P69" s="1189"/>
      <c r="Q69" s="1182"/>
      <c r="R69" s="1182"/>
      <c r="S69" s="1225"/>
      <c r="T69" s="1226" t="s">
        <v>3249</v>
      </c>
      <c r="U69" s="1227"/>
      <c r="V69" s="1228"/>
      <c r="W69" s="1228"/>
      <c r="X69" s="1228"/>
      <c r="Y69" s="1228"/>
      <c r="Z69" s="1228"/>
      <c r="AA69" s="1228"/>
      <c r="AB69" s="1228"/>
      <c r="AC69" s="1228"/>
      <c r="AD69" s="1228"/>
      <c r="AE69" s="1228"/>
      <c r="AF69" s="1228"/>
      <c r="AG69" s="1228"/>
      <c r="AH69" s="1228"/>
      <c r="AI69" s="1229"/>
      <c r="AJ69" s="1184"/>
      <c r="AK69" s="1184"/>
      <c r="AL69" s="1185">
        <v>1</v>
      </c>
    </row>
    <row r="70" spans="1:38" s="709" customFormat="1" ht="30" customHeight="1">
      <c r="A70" s="1181"/>
      <c r="B70" s="1189"/>
      <c r="C70" s="1190"/>
      <c r="D70" s="959" t="s">
        <v>11</v>
      </c>
      <c r="E70" s="5391"/>
      <c r="F70" s="5391"/>
      <c r="G70" s="5391"/>
      <c r="H70" s="5391"/>
      <c r="I70" s="5391"/>
      <c r="J70" s="5391"/>
      <c r="K70" s="5391"/>
      <c r="L70" s="5391"/>
      <c r="M70" s="5391"/>
      <c r="N70" s="1181"/>
      <c r="O70" s="1182"/>
      <c r="P70" s="1189"/>
      <c r="Q70" s="1182"/>
      <c r="R70" s="1182"/>
      <c r="S70" s="1182"/>
      <c r="T70" s="1183"/>
      <c r="U70" s="1183"/>
      <c r="V70" s="1193"/>
      <c r="W70" s="1193"/>
      <c r="X70" s="1193"/>
      <c r="Y70" s="1183"/>
      <c r="Z70" s="1194"/>
      <c r="AA70" s="1183"/>
      <c r="AB70" s="1183"/>
      <c r="AC70" s="1183"/>
      <c r="AD70" s="1183"/>
      <c r="AE70" s="1183"/>
      <c r="AF70" s="1183"/>
      <c r="AG70" s="1183"/>
      <c r="AH70" s="1183"/>
      <c r="AI70" s="1183"/>
      <c r="AJ70" s="1184"/>
      <c r="AK70" s="1184"/>
      <c r="AL70" s="1185">
        <v>1</v>
      </c>
    </row>
    <row r="71" spans="1:38" s="709" customFormat="1" ht="30" customHeight="1">
      <c r="A71" s="1181"/>
      <c r="B71" s="1189"/>
      <c r="C71" s="1190"/>
      <c r="D71" s="959" t="s">
        <v>11</v>
      </c>
      <c r="E71" s="1462" t="s">
        <v>1695</v>
      </c>
      <c r="F71" s="1462"/>
      <c r="G71" s="1463"/>
      <c r="H71" s="1464"/>
      <c r="I71" s="1464"/>
      <c r="J71" s="1465"/>
      <c r="K71" s="1465"/>
      <c r="L71" s="1465"/>
      <c r="M71" s="1465"/>
      <c r="N71" s="1181"/>
      <c r="O71" s="1182"/>
      <c r="P71" s="1189"/>
      <c r="Q71" s="1182"/>
      <c r="R71" s="1182"/>
      <c r="S71" s="1182"/>
      <c r="T71" s="1183"/>
      <c r="U71" s="1183"/>
      <c r="V71" s="1193"/>
      <c r="W71" s="1193"/>
      <c r="X71" s="1193"/>
      <c r="Y71" s="1183"/>
      <c r="Z71" s="1194"/>
      <c r="AA71" s="1183"/>
      <c r="AB71" s="1183"/>
      <c r="AC71" s="1183"/>
      <c r="AD71" s="1183"/>
      <c r="AE71" s="1183"/>
      <c r="AF71" s="1183"/>
      <c r="AG71" s="1183"/>
      <c r="AH71" s="1183"/>
      <c r="AI71" s="1183"/>
      <c r="AJ71" s="1184"/>
      <c r="AK71" s="1184"/>
      <c r="AL71" s="1185">
        <v>1</v>
      </c>
    </row>
    <row r="72" spans="1:38" s="709" customFormat="1" ht="30" customHeight="1">
      <c r="A72" s="1181"/>
      <c r="B72" s="1189"/>
      <c r="C72" s="1190"/>
      <c r="D72" s="959" t="s">
        <v>11</v>
      </c>
      <c r="E72" s="1462" t="s">
        <v>1698</v>
      </c>
      <c r="F72" s="1463"/>
      <c r="G72" s="1463"/>
      <c r="H72" s="1464"/>
      <c r="I72" s="1464"/>
      <c r="J72" s="1465"/>
      <c r="K72" s="1465"/>
      <c r="L72" s="1465"/>
      <c r="M72" s="1465"/>
      <c r="N72" s="1181"/>
      <c r="O72" s="1182"/>
      <c r="P72" s="1189"/>
      <c r="Q72" s="1182"/>
      <c r="R72" s="1182"/>
      <c r="S72" s="1182"/>
      <c r="T72" s="1183"/>
      <c r="U72" s="1183"/>
      <c r="V72" s="1193"/>
      <c r="W72" s="1193"/>
      <c r="X72" s="1193"/>
      <c r="Y72" s="1183"/>
      <c r="Z72" s="1194"/>
      <c r="AA72" s="1183"/>
      <c r="AB72" s="1183"/>
      <c r="AC72" s="1183"/>
      <c r="AD72" s="1183"/>
      <c r="AE72" s="1183"/>
      <c r="AF72" s="1183"/>
      <c r="AG72" s="1183"/>
      <c r="AH72" s="1183"/>
      <c r="AI72" s="1183"/>
      <c r="AJ72" s="1184"/>
      <c r="AK72" s="1184"/>
      <c r="AL72" s="1185">
        <v>1</v>
      </c>
    </row>
    <row r="73" spans="1:38" s="709" customFormat="1" ht="30" customHeight="1">
      <c r="A73" s="1181"/>
      <c r="B73" s="1189"/>
      <c r="C73" s="1190"/>
      <c r="D73" s="959" t="s">
        <v>11</v>
      </c>
      <c r="E73" s="1467" t="s">
        <v>1712</v>
      </c>
      <c r="F73" s="1463"/>
      <c r="G73" s="1463"/>
      <c r="H73" s="1464"/>
      <c r="I73" s="1464"/>
      <c r="J73" s="1465"/>
      <c r="K73" s="1465"/>
      <c r="L73" s="1465"/>
      <c r="M73" s="1465"/>
      <c r="N73" s="1181"/>
      <c r="O73" s="1182"/>
      <c r="P73" s="1189"/>
      <c r="Q73" s="1182"/>
      <c r="R73" s="1182"/>
      <c r="S73" s="1182"/>
      <c r="T73" s="1183"/>
      <c r="U73" s="1183"/>
      <c r="V73" s="1193"/>
      <c r="W73" s="1193"/>
      <c r="X73" s="1193"/>
      <c r="Y73" s="1183"/>
      <c r="Z73" s="1194"/>
      <c r="AA73" s="1183"/>
      <c r="AB73" s="1183"/>
      <c r="AC73" s="1183"/>
      <c r="AD73" s="1183"/>
      <c r="AE73" s="1183"/>
      <c r="AF73" s="1183"/>
      <c r="AG73" s="1183"/>
      <c r="AH73" s="1183"/>
      <c r="AI73" s="1183"/>
      <c r="AJ73" s="1184"/>
      <c r="AK73" s="1184"/>
      <c r="AL73" s="1185">
        <v>1</v>
      </c>
    </row>
    <row r="74" spans="1:38" s="709" customFormat="1" ht="30" customHeight="1">
      <c r="A74" s="1181"/>
      <c r="B74" s="1189"/>
      <c r="C74" s="1190"/>
      <c r="D74" s="959" t="s">
        <v>11</v>
      </c>
      <c r="E74" s="1467" t="s">
        <v>1734</v>
      </c>
      <c r="F74" s="1463"/>
      <c r="G74" s="1463"/>
      <c r="H74" s="1464"/>
      <c r="I74" s="1464"/>
      <c r="J74" s="1465"/>
      <c r="K74" s="1465"/>
      <c r="L74" s="1465"/>
      <c r="M74" s="1465"/>
      <c r="N74" s="1181"/>
      <c r="O74" s="1182"/>
      <c r="P74" s="1189"/>
      <c r="Q74" s="1182"/>
      <c r="R74" s="1182"/>
      <c r="S74" s="1182"/>
      <c r="T74" s="1183"/>
      <c r="U74" s="1183"/>
      <c r="V74" s="1193"/>
      <c r="W74" s="1193"/>
      <c r="X74" s="1193"/>
      <c r="Y74" s="1183"/>
      <c r="Z74" s="1194"/>
      <c r="AA74" s="1183"/>
      <c r="AB74" s="1183"/>
      <c r="AC74" s="1183"/>
      <c r="AD74" s="1183"/>
      <c r="AE74" s="1183"/>
      <c r="AF74" s="1183"/>
      <c r="AG74" s="1183"/>
      <c r="AH74" s="1183"/>
      <c r="AI74" s="1183"/>
      <c r="AJ74" s="1184"/>
      <c r="AK74" s="1184"/>
      <c r="AL74" s="1185">
        <v>1</v>
      </c>
    </row>
    <row r="75" spans="1:38" s="709" customFormat="1" ht="30" customHeight="1">
      <c r="A75" s="1181"/>
      <c r="B75" s="1189"/>
      <c r="C75" s="1190"/>
      <c r="D75" s="959" t="s">
        <v>11</v>
      </c>
      <c r="E75" s="1467" t="s">
        <v>1752</v>
      </c>
      <c r="F75" s="1463"/>
      <c r="G75" s="1463"/>
      <c r="H75" s="1464"/>
      <c r="I75" s="1464"/>
      <c r="J75" s="1465"/>
      <c r="K75" s="1465"/>
      <c r="L75" s="1465"/>
      <c r="M75" s="1465"/>
      <c r="N75" s="1181"/>
      <c r="O75" s="1182"/>
      <c r="P75" s="1189"/>
      <c r="Q75" s="1182"/>
      <c r="R75" s="1182"/>
      <c r="S75" s="1182"/>
      <c r="T75" s="1183"/>
      <c r="U75" s="1183"/>
      <c r="V75" s="1193"/>
      <c r="W75" s="1193"/>
      <c r="X75" s="1193"/>
      <c r="Y75" s="1183"/>
      <c r="Z75" s="1194"/>
      <c r="AA75" s="1183"/>
      <c r="AB75" s="1183"/>
      <c r="AC75" s="1183"/>
      <c r="AD75" s="1183"/>
      <c r="AE75" s="1183"/>
      <c r="AF75" s="1183"/>
      <c r="AG75" s="1183"/>
      <c r="AH75" s="1183"/>
      <c r="AI75" s="1183"/>
      <c r="AJ75" s="1184"/>
      <c r="AK75" s="1184"/>
      <c r="AL75" s="1185">
        <v>1</v>
      </c>
    </row>
    <row r="76" spans="1:38" s="709" customFormat="1" ht="30" customHeight="1">
      <c r="A76" s="1181"/>
      <c r="B76" s="1189"/>
      <c r="C76" s="1190"/>
      <c r="D76" s="959" t="s">
        <v>11</v>
      </c>
      <c r="E76" s="1469" t="s">
        <v>1769</v>
      </c>
      <c r="F76" s="1468"/>
      <c r="G76" s="1468"/>
      <c r="H76" s="1468"/>
      <c r="I76" s="1468"/>
      <c r="J76" s="1465"/>
      <c r="K76" s="1465"/>
      <c r="L76" s="1465"/>
      <c r="M76" s="1465"/>
      <c r="N76" s="1181"/>
      <c r="O76" s="1182"/>
      <c r="P76" s="1189"/>
      <c r="Q76" s="1182"/>
      <c r="R76" s="1182"/>
      <c r="S76" s="1182"/>
      <c r="T76" s="1183"/>
      <c r="U76" s="1183"/>
      <c r="V76" s="1193"/>
      <c r="W76" s="1193"/>
      <c r="X76" s="1193"/>
      <c r="Y76" s="1183"/>
      <c r="Z76" s="1194"/>
      <c r="AA76" s="1183"/>
      <c r="AB76" s="1183"/>
      <c r="AC76" s="1183"/>
      <c r="AD76" s="1183"/>
      <c r="AE76" s="1183"/>
      <c r="AF76" s="1183"/>
      <c r="AG76" s="1183"/>
      <c r="AH76" s="1183"/>
      <c r="AI76" s="1183"/>
      <c r="AJ76" s="1184"/>
      <c r="AK76" s="1184"/>
      <c r="AL76" s="1185">
        <v>1</v>
      </c>
    </row>
    <row r="77" spans="1:38" s="709" customFormat="1" ht="30" customHeight="1">
      <c r="A77" s="1181"/>
      <c r="B77" s="1189"/>
      <c r="C77" s="1190"/>
      <c r="D77" s="959" t="s">
        <v>11</v>
      </c>
      <c r="E77" s="1469" t="s">
        <v>1795</v>
      </c>
      <c r="F77" s="1468"/>
      <c r="G77" s="1468"/>
      <c r="H77" s="1468"/>
      <c r="I77" s="1468"/>
      <c r="J77" s="1465"/>
      <c r="K77" s="1465"/>
      <c r="L77" s="1465"/>
      <c r="M77" s="1465"/>
      <c r="N77" s="1181"/>
      <c r="O77" s="1182"/>
      <c r="P77" s="1189"/>
      <c r="Q77" s="1182"/>
      <c r="R77" s="1182"/>
      <c r="S77" s="1182"/>
      <c r="T77" s="1183"/>
      <c r="U77" s="1183"/>
      <c r="V77" s="1193"/>
      <c r="W77" s="1193"/>
      <c r="X77" s="1193"/>
      <c r="Y77" s="1183"/>
      <c r="Z77" s="1194"/>
      <c r="AA77" s="1183"/>
      <c r="AB77" s="1183"/>
      <c r="AC77" s="1183"/>
      <c r="AD77" s="1183"/>
      <c r="AE77" s="1183"/>
      <c r="AF77" s="1183"/>
      <c r="AG77" s="1183"/>
      <c r="AH77" s="1183"/>
      <c r="AI77" s="1183"/>
      <c r="AJ77" s="1184"/>
      <c r="AK77" s="1184"/>
      <c r="AL77" s="1185">
        <v>1</v>
      </c>
    </row>
    <row r="78" spans="1:38" s="709" customFormat="1" ht="30" customHeight="1">
      <c r="A78" s="1181"/>
      <c r="B78" s="1189"/>
      <c r="C78" s="1190"/>
      <c r="D78" s="959" t="s">
        <v>11</v>
      </c>
      <c r="E78" s="1469" t="s">
        <v>1808</v>
      </c>
      <c r="F78" s="1463"/>
      <c r="G78" s="1463"/>
      <c r="H78" s="1464"/>
      <c r="I78" s="1464"/>
      <c r="J78" s="1465"/>
      <c r="K78" s="1465"/>
      <c r="L78" s="1465"/>
      <c r="M78" s="1465"/>
      <c r="N78" s="1181"/>
      <c r="O78" s="1182"/>
      <c r="P78" s="1189"/>
      <c r="Q78" s="1182"/>
      <c r="R78" s="1182"/>
      <c r="S78" s="1182"/>
      <c r="T78" s="1183"/>
      <c r="U78" s="1183"/>
      <c r="V78" s="1193"/>
      <c r="W78" s="1193"/>
      <c r="X78" s="1193"/>
      <c r="Y78" s="1183"/>
      <c r="Z78" s="1194"/>
      <c r="AA78" s="1183"/>
      <c r="AB78" s="1183"/>
      <c r="AC78" s="1183"/>
      <c r="AD78" s="1183"/>
      <c r="AE78" s="1183"/>
      <c r="AF78" s="1183"/>
      <c r="AG78" s="1183"/>
      <c r="AH78" s="1183"/>
      <c r="AI78" s="1183"/>
      <c r="AJ78" s="1184"/>
      <c r="AK78" s="1184"/>
      <c r="AL78" s="1185">
        <v>1</v>
      </c>
    </row>
    <row r="79" spans="1:38" s="709" customFormat="1" ht="30" customHeight="1">
      <c r="A79" s="1181"/>
      <c r="B79" s="1189"/>
      <c r="C79" s="1190"/>
      <c r="D79" s="959" t="s">
        <v>11</v>
      </c>
      <c r="E79" s="1466"/>
      <c r="F79" s="1463"/>
      <c r="G79" s="1463"/>
      <c r="H79" s="1464"/>
      <c r="I79" s="1464"/>
      <c r="J79" s="1465"/>
      <c r="K79" s="1465"/>
      <c r="L79" s="1465"/>
      <c r="M79" s="1465"/>
      <c r="N79" s="1181"/>
      <c r="O79" s="1182"/>
      <c r="P79" s="1189"/>
      <c r="Q79" s="1182"/>
      <c r="R79" s="1182"/>
      <c r="S79" s="1182"/>
      <c r="T79" s="1183"/>
      <c r="U79" s="1183"/>
      <c r="V79" s="1193"/>
      <c r="W79" s="1193"/>
      <c r="X79" s="1193"/>
      <c r="Y79" s="1183"/>
      <c r="Z79" s="1194"/>
      <c r="AA79" s="1183"/>
      <c r="AB79" s="1183"/>
      <c r="AC79" s="1183"/>
      <c r="AD79" s="1183"/>
      <c r="AE79" s="1183"/>
      <c r="AF79" s="1183"/>
      <c r="AG79" s="1183"/>
      <c r="AH79" s="1183"/>
      <c r="AI79" s="1183"/>
      <c r="AJ79" s="1184"/>
      <c r="AK79" s="1184"/>
      <c r="AL79" s="1185">
        <v>1</v>
      </c>
    </row>
    <row r="80" spans="1:38" s="709" customFormat="1" ht="30" customHeight="1">
      <c r="A80" s="1181"/>
      <c r="B80" s="1189"/>
      <c r="C80" s="1190"/>
      <c r="D80" s="959" t="s">
        <v>11</v>
      </c>
      <c r="E80" s="1468"/>
      <c r="F80" s="1468"/>
      <c r="G80" s="1468"/>
      <c r="H80" s="1468"/>
      <c r="I80" s="1468"/>
      <c r="J80" s="1465"/>
      <c r="K80" s="1465"/>
      <c r="L80" s="1465"/>
      <c r="M80" s="1465"/>
      <c r="N80" s="1181"/>
      <c r="O80" s="1182"/>
      <c r="P80" s="1189"/>
      <c r="Q80" s="1182"/>
      <c r="R80" s="1182"/>
      <c r="S80" s="1182"/>
      <c r="T80" s="1183"/>
      <c r="U80" s="1183"/>
      <c r="V80" s="1193"/>
      <c r="W80" s="1193"/>
      <c r="X80" s="1193"/>
      <c r="Y80" s="1183"/>
      <c r="Z80" s="1194"/>
      <c r="AA80" s="1183"/>
      <c r="AB80" s="1183"/>
      <c r="AC80" s="1183"/>
      <c r="AD80" s="1183"/>
      <c r="AE80" s="1183"/>
      <c r="AF80" s="1183"/>
      <c r="AG80" s="1183"/>
      <c r="AH80" s="1183"/>
      <c r="AI80" s="1183"/>
      <c r="AJ80" s="1184"/>
      <c r="AK80" s="1184"/>
      <c r="AL80" s="1185">
        <v>1</v>
      </c>
    </row>
    <row r="81" spans="1:38" s="709" customFormat="1" ht="30" customHeight="1">
      <c r="A81" s="1181"/>
      <c r="B81" s="1189"/>
      <c r="C81" s="1190"/>
      <c r="D81" s="959" t="s">
        <v>11</v>
      </c>
      <c r="E81" s="1468"/>
      <c r="F81" s="1468"/>
      <c r="G81" s="1468"/>
      <c r="H81" s="1468"/>
      <c r="I81" s="1468"/>
      <c r="J81" s="1465"/>
      <c r="K81" s="1465"/>
      <c r="L81" s="1465"/>
      <c r="M81" s="1465"/>
      <c r="N81" s="1181"/>
      <c r="O81" s="1182"/>
      <c r="P81" s="1189"/>
      <c r="Q81" s="1182"/>
      <c r="R81" s="1182"/>
      <c r="S81" s="1182"/>
      <c r="T81" s="1183"/>
      <c r="U81" s="1183"/>
      <c r="V81" s="1193"/>
      <c r="W81" s="1193"/>
      <c r="X81" s="1193"/>
      <c r="Y81" s="1183"/>
      <c r="Z81" s="1194"/>
      <c r="AA81" s="1183"/>
      <c r="AB81" s="1183"/>
      <c r="AC81" s="1183"/>
      <c r="AD81" s="1183"/>
      <c r="AE81" s="1183"/>
      <c r="AF81" s="1183"/>
      <c r="AG81" s="1183"/>
      <c r="AH81" s="1183"/>
      <c r="AI81" s="1183"/>
      <c r="AJ81" s="1184"/>
      <c r="AK81" s="1184"/>
      <c r="AL81" s="1185">
        <v>1</v>
      </c>
    </row>
    <row r="82" spans="1:38" s="709" customFormat="1" ht="30" customHeight="1">
      <c r="A82" s="1181"/>
      <c r="B82" s="1189"/>
      <c r="C82" s="1190"/>
      <c r="D82" s="959" t="s">
        <v>11</v>
      </c>
      <c r="E82" s="1468"/>
      <c r="F82" s="1468"/>
      <c r="G82" s="1468"/>
      <c r="H82" s="1468"/>
      <c r="I82" s="1468"/>
      <c r="J82" s="1465"/>
      <c r="K82" s="1465"/>
      <c r="L82" s="1465"/>
      <c r="M82" s="1465"/>
      <c r="N82" s="1181"/>
      <c r="O82" s="1182"/>
      <c r="P82" s="1189"/>
      <c r="Q82" s="1182"/>
      <c r="R82" s="1182"/>
      <c r="S82" s="1182"/>
      <c r="T82" s="1183"/>
      <c r="U82" s="1183"/>
      <c r="V82" s="1193"/>
      <c r="W82" s="1193"/>
      <c r="X82" s="1193"/>
      <c r="Y82" s="1183"/>
      <c r="Z82" s="1194"/>
      <c r="AA82" s="1183"/>
      <c r="AB82" s="1183"/>
      <c r="AC82" s="1183"/>
      <c r="AD82" s="1183"/>
      <c r="AE82" s="1183"/>
      <c r="AF82" s="1183"/>
      <c r="AG82" s="1183"/>
      <c r="AH82" s="1183"/>
      <c r="AI82" s="1183"/>
      <c r="AJ82" s="1184"/>
      <c r="AK82" s="1184"/>
      <c r="AL82" s="1185">
        <v>1</v>
      </c>
    </row>
    <row r="83" spans="1:38" s="709" customFormat="1" ht="30" customHeight="1">
      <c r="A83" s="1181"/>
      <c r="B83" s="1189"/>
      <c r="C83" s="1190"/>
      <c r="D83" s="959" t="s">
        <v>11</v>
      </c>
      <c r="E83" s="1469" t="s">
        <v>1819</v>
      </c>
      <c r="F83" s="1463"/>
      <c r="G83" s="1463"/>
      <c r="H83" s="1464"/>
      <c r="I83" s="1464"/>
      <c r="J83" s="1465"/>
      <c r="K83" s="1465"/>
      <c r="L83" s="1465"/>
      <c r="M83" s="1465"/>
      <c r="N83" s="1181"/>
      <c r="O83" s="1182"/>
      <c r="P83" s="1189"/>
      <c r="Q83" s="1182"/>
      <c r="R83" s="1182"/>
      <c r="S83" s="1182"/>
      <c r="T83" s="1183"/>
      <c r="U83" s="1183"/>
      <c r="V83" s="1193"/>
      <c r="W83" s="1193"/>
      <c r="X83" s="1193"/>
      <c r="Y83" s="1183"/>
      <c r="Z83" s="1194"/>
      <c r="AA83" s="1183"/>
      <c r="AB83" s="1183"/>
      <c r="AC83" s="1183"/>
      <c r="AD83" s="1183"/>
      <c r="AE83" s="1183"/>
      <c r="AF83" s="1183"/>
      <c r="AG83" s="1183"/>
      <c r="AH83" s="1183"/>
      <c r="AI83" s="1183"/>
      <c r="AJ83" s="1184"/>
      <c r="AK83" s="1184"/>
      <c r="AL83" s="1185">
        <v>1</v>
      </c>
    </row>
    <row r="84" spans="1:38" s="709" customFormat="1" ht="30" customHeight="1">
      <c r="A84" s="1181"/>
      <c r="B84" s="1189"/>
      <c r="C84" s="1190"/>
      <c r="D84" s="959" t="s">
        <v>16</v>
      </c>
      <c r="E84" s="5409" t="s">
        <v>1820</v>
      </c>
      <c r="F84" s="5409"/>
      <c r="G84" s="5409"/>
      <c r="H84" s="5409"/>
      <c r="I84" s="5409"/>
      <c r="J84" s="1465"/>
      <c r="K84" s="1465"/>
      <c r="L84" s="1465"/>
      <c r="M84" s="1465"/>
      <c r="N84" s="1181"/>
      <c r="O84" s="1182"/>
      <c r="P84" s="1189"/>
      <c r="Q84" s="1182"/>
      <c r="R84" s="1182"/>
      <c r="S84" s="1182"/>
      <c r="T84" s="1183"/>
      <c r="U84" s="1183"/>
      <c r="V84" s="1193"/>
      <c r="W84" s="1193"/>
      <c r="X84" s="1193"/>
      <c r="Y84" s="1183"/>
      <c r="Z84" s="1194"/>
      <c r="AA84" s="1183"/>
      <c r="AB84" s="1183"/>
      <c r="AC84" s="1183"/>
      <c r="AD84" s="1183"/>
      <c r="AE84" s="1183"/>
      <c r="AF84" s="1183"/>
      <c r="AG84" s="1183"/>
      <c r="AH84" s="1183"/>
      <c r="AI84" s="1183"/>
      <c r="AJ84" s="1184"/>
      <c r="AK84" s="1184"/>
      <c r="AL84" s="1185">
        <v>1</v>
      </c>
    </row>
    <row r="85" spans="1:38" s="709" customFormat="1" ht="30" customHeight="1">
      <c r="A85" s="1181"/>
      <c r="B85" s="1189"/>
      <c r="C85" s="1190"/>
      <c r="D85" s="959" t="s">
        <v>16</v>
      </c>
      <c r="E85" s="5409"/>
      <c r="F85" s="5409"/>
      <c r="G85" s="5409"/>
      <c r="H85" s="5409"/>
      <c r="I85" s="5409"/>
      <c r="J85" s="1465"/>
      <c r="K85" s="1465"/>
      <c r="L85" s="1465"/>
      <c r="M85" s="1465"/>
      <c r="N85" s="1181"/>
      <c r="O85" s="1182"/>
      <c r="P85" s="1189"/>
      <c r="Q85" s="1182"/>
      <c r="R85" s="1182"/>
      <c r="S85" s="1182"/>
      <c r="T85" s="1183"/>
      <c r="U85" s="1183"/>
      <c r="V85" s="1193"/>
      <c r="W85" s="1193"/>
      <c r="X85" s="1193"/>
      <c r="Y85" s="1183"/>
      <c r="Z85" s="1194"/>
      <c r="AA85" s="1183"/>
      <c r="AB85" s="1183"/>
      <c r="AC85" s="1183"/>
      <c r="AD85" s="1183"/>
      <c r="AE85" s="1183"/>
      <c r="AF85" s="1183"/>
      <c r="AG85" s="1183"/>
      <c r="AH85" s="1183"/>
      <c r="AI85" s="1183"/>
      <c r="AJ85" s="1184"/>
      <c r="AK85" s="1184"/>
      <c r="AL85" s="1185">
        <v>1</v>
      </c>
    </row>
    <row r="86" spans="1:38" s="709" customFormat="1" ht="30" customHeight="1">
      <c r="A86" s="1181"/>
      <c r="B86" s="1189"/>
      <c r="C86" s="1190"/>
      <c r="D86" s="959" t="s">
        <v>16</v>
      </c>
      <c r="E86" s="5410" t="s">
        <v>1822</v>
      </c>
      <c r="F86" s="5410"/>
      <c r="G86" s="5410"/>
      <c r="H86" s="5410"/>
      <c r="I86" s="5410"/>
      <c r="J86" s="1465"/>
      <c r="K86" s="1465"/>
      <c r="L86" s="1465"/>
      <c r="M86" s="1465"/>
      <c r="N86" s="1181"/>
      <c r="O86" s="1182"/>
      <c r="P86" s="1189"/>
      <c r="Q86" s="1182"/>
      <c r="R86" s="1182"/>
      <c r="S86" s="1182"/>
      <c r="T86" s="1183"/>
      <c r="U86" s="1183"/>
      <c r="V86" s="1193"/>
      <c r="W86" s="1193"/>
      <c r="X86" s="1193"/>
      <c r="Y86" s="1183"/>
      <c r="Z86" s="1194"/>
      <c r="AA86" s="1183"/>
      <c r="AB86" s="1183"/>
      <c r="AC86" s="1183"/>
      <c r="AD86" s="1183"/>
      <c r="AE86" s="1183"/>
      <c r="AF86" s="1183"/>
      <c r="AG86" s="1183"/>
      <c r="AH86" s="1183"/>
      <c r="AI86" s="1183"/>
      <c r="AJ86" s="1184"/>
      <c r="AK86" s="1184"/>
      <c r="AL86" s="1185">
        <v>1</v>
      </c>
    </row>
    <row r="87" spans="1:38" s="709" customFormat="1" ht="30" customHeight="1">
      <c r="A87" s="1181"/>
      <c r="B87" s="1189"/>
      <c r="C87" s="1190"/>
      <c r="D87" s="959" t="s">
        <v>16</v>
      </c>
      <c r="E87" s="5410"/>
      <c r="F87" s="5410"/>
      <c r="G87" s="5410"/>
      <c r="H87" s="5410"/>
      <c r="I87" s="5410"/>
      <c r="J87" s="1465"/>
      <c r="K87" s="1465"/>
      <c r="L87" s="1465"/>
      <c r="M87" s="1465"/>
      <c r="N87" s="1181"/>
      <c r="O87" s="1182"/>
      <c r="P87" s="1189"/>
      <c r="Q87" s="1182"/>
      <c r="R87" s="1182"/>
      <c r="S87" s="1182"/>
      <c r="T87" s="1183"/>
      <c r="U87" s="1183"/>
      <c r="V87" s="1193"/>
      <c r="W87" s="1193"/>
      <c r="X87" s="1193"/>
      <c r="Y87" s="1183"/>
      <c r="Z87" s="1194"/>
      <c r="AA87" s="1183"/>
      <c r="AB87" s="1183"/>
      <c r="AC87" s="1183"/>
      <c r="AD87" s="1183"/>
      <c r="AE87" s="1183"/>
      <c r="AF87" s="1183"/>
      <c r="AG87" s="1183"/>
      <c r="AH87" s="1183"/>
      <c r="AI87" s="1183"/>
      <c r="AJ87" s="1184"/>
      <c r="AK87" s="1184"/>
      <c r="AL87" s="1185">
        <v>1</v>
      </c>
    </row>
    <row r="88" spans="1:38" s="709" customFormat="1" ht="30" customHeight="1">
      <c r="A88" s="1181"/>
      <c r="B88" s="1189"/>
      <c r="C88" s="1190"/>
      <c r="D88" s="959" t="s">
        <v>16</v>
      </c>
      <c r="E88" s="1469"/>
      <c r="F88" s="1463"/>
      <c r="G88" s="1463"/>
      <c r="H88" s="1464"/>
      <c r="I88" s="1464"/>
      <c r="J88" s="1465"/>
      <c r="K88" s="1465"/>
      <c r="L88" s="1465"/>
      <c r="M88" s="1465"/>
      <c r="N88" s="1181"/>
      <c r="O88" s="1182"/>
      <c r="P88" s="1189"/>
      <c r="Q88" s="1182"/>
      <c r="R88" s="1182"/>
      <c r="S88" s="1182"/>
      <c r="T88" s="1183"/>
      <c r="U88" s="1183"/>
      <c r="V88" s="1193"/>
      <c r="W88" s="1193"/>
      <c r="X88" s="1193"/>
      <c r="Y88" s="1183"/>
      <c r="Z88" s="1194"/>
      <c r="AA88" s="1183"/>
      <c r="AB88" s="1183"/>
      <c r="AC88" s="1183"/>
      <c r="AD88" s="1183"/>
      <c r="AE88" s="1183"/>
      <c r="AF88" s="1183"/>
      <c r="AG88" s="1183"/>
      <c r="AH88" s="1183"/>
      <c r="AI88" s="1183"/>
      <c r="AJ88" s="1184"/>
      <c r="AK88" s="1184"/>
      <c r="AL88" s="1185">
        <v>1</v>
      </c>
    </row>
    <row r="89" spans="1:38" s="709" customFormat="1" ht="30" customHeight="1">
      <c r="A89" s="1181"/>
      <c r="B89" s="1189"/>
      <c r="C89" s="1190"/>
      <c r="D89" s="959" t="s">
        <v>16</v>
      </c>
      <c r="E89" s="5411" t="s">
        <v>1840</v>
      </c>
      <c r="F89" s="5411"/>
      <c r="G89" s="5411"/>
      <c r="H89" s="5411"/>
      <c r="I89" s="5411"/>
      <c r="J89" s="1465"/>
      <c r="K89" s="1465"/>
      <c r="L89" s="1465"/>
      <c r="M89" s="1465"/>
      <c r="N89" s="1181"/>
      <c r="O89" s="1182"/>
      <c r="P89" s="1189"/>
      <c r="Q89" s="1182"/>
      <c r="R89" s="1182"/>
      <c r="S89" s="1182"/>
      <c r="T89" s="1183"/>
      <c r="U89" s="1183"/>
      <c r="V89" s="1193"/>
      <c r="W89" s="1193"/>
      <c r="X89" s="1193"/>
      <c r="Y89" s="1183"/>
      <c r="Z89" s="1194"/>
      <c r="AA89" s="1183"/>
      <c r="AB89" s="1183"/>
      <c r="AC89" s="1183"/>
      <c r="AD89" s="1183"/>
      <c r="AE89" s="1183"/>
      <c r="AF89" s="1183"/>
      <c r="AG89" s="1183"/>
      <c r="AH89" s="1183"/>
      <c r="AI89" s="1183"/>
      <c r="AJ89" s="1184"/>
      <c r="AK89" s="1184"/>
      <c r="AL89" s="1185">
        <v>1</v>
      </c>
    </row>
    <row r="90" spans="1:38" s="709" customFormat="1" ht="30" customHeight="1">
      <c r="A90" s="1181"/>
      <c r="B90" s="1189"/>
      <c r="C90" s="1190"/>
      <c r="D90" s="959" t="s">
        <v>16</v>
      </c>
      <c r="E90" s="5411"/>
      <c r="F90" s="5411"/>
      <c r="G90" s="5411"/>
      <c r="H90" s="5411"/>
      <c r="I90" s="5411"/>
      <c r="J90" s="1465"/>
      <c r="K90" s="1465"/>
      <c r="L90" s="1465"/>
      <c r="M90" s="1465"/>
      <c r="N90" s="1181"/>
      <c r="O90" s="1182"/>
      <c r="P90" s="1189"/>
      <c r="Q90" s="1182"/>
      <c r="R90" s="1182"/>
      <c r="S90" s="1182"/>
      <c r="T90" s="1183"/>
      <c r="U90" s="1183"/>
      <c r="V90" s="1193"/>
      <c r="W90" s="1193"/>
      <c r="X90" s="1193"/>
      <c r="Y90" s="1183"/>
      <c r="Z90" s="1194"/>
      <c r="AA90" s="1183"/>
      <c r="AB90" s="1183"/>
      <c r="AC90" s="1183"/>
      <c r="AD90" s="1183"/>
      <c r="AE90" s="1183"/>
      <c r="AF90" s="1183"/>
      <c r="AG90" s="1183"/>
      <c r="AH90" s="1183"/>
      <c r="AI90" s="1183"/>
      <c r="AJ90" s="1184"/>
      <c r="AK90" s="1184"/>
      <c r="AL90" s="1185">
        <v>1</v>
      </c>
    </row>
    <row r="91" spans="1:38" s="709" customFormat="1" ht="30" customHeight="1">
      <c r="A91" s="1181"/>
      <c r="B91" s="1189"/>
      <c r="C91" s="1190"/>
      <c r="D91" s="959" t="s">
        <v>16</v>
      </c>
      <c r="E91" s="1471"/>
      <c r="F91" s="1463"/>
      <c r="G91" s="1463"/>
      <c r="H91" s="1464"/>
      <c r="I91" s="1464"/>
      <c r="J91" s="1465"/>
      <c r="K91" s="1465"/>
      <c r="L91" s="1465"/>
      <c r="M91" s="1465"/>
      <c r="N91" s="1181"/>
      <c r="O91" s="1182"/>
      <c r="P91" s="1189"/>
      <c r="Q91" s="1182"/>
      <c r="R91" s="1182"/>
      <c r="S91" s="1182"/>
      <c r="T91" s="1183"/>
      <c r="U91" s="1183"/>
      <c r="V91" s="1193"/>
      <c r="W91" s="1193"/>
      <c r="X91" s="1193"/>
      <c r="Y91" s="1183"/>
      <c r="Z91" s="1194"/>
      <c r="AA91" s="1183"/>
      <c r="AB91" s="1183"/>
      <c r="AC91" s="1183"/>
      <c r="AD91" s="1183"/>
      <c r="AE91" s="1183"/>
      <c r="AF91" s="1183"/>
      <c r="AG91" s="1183"/>
      <c r="AH91" s="1183"/>
      <c r="AI91" s="1183"/>
      <c r="AJ91" s="1184"/>
      <c r="AK91" s="1184"/>
      <c r="AL91" s="1185">
        <v>1</v>
      </c>
    </row>
    <row r="92" spans="1:38" s="709" customFormat="1" ht="30" customHeight="1">
      <c r="A92" s="1181"/>
      <c r="B92" s="1189"/>
      <c r="C92" s="1190"/>
      <c r="D92" s="959" t="s">
        <v>16</v>
      </c>
      <c r="E92" s="1471"/>
      <c r="F92" s="1463"/>
      <c r="G92" s="1463"/>
      <c r="H92" s="1464"/>
      <c r="I92" s="1464"/>
      <c r="J92" s="1465"/>
      <c r="K92" s="1465"/>
      <c r="L92" s="1465"/>
      <c r="M92" s="1465"/>
      <c r="N92" s="1181"/>
      <c r="O92" s="1182"/>
      <c r="P92" s="1189"/>
      <c r="Q92" s="1182"/>
      <c r="R92" s="1182"/>
      <c r="S92" s="1182"/>
      <c r="T92" s="1183"/>
      <c r="U92" s="1183"/>
      <c r="V92" s="1193"/>
      <c r="W92" s="1193"/>
      <c r="X92" s="1193"/>
      <c r="Y92" s="1183"/>
      <c r="Z92" s="1194"/>
      <c r="AA92" s="1183"/>
      <c r="AB92" s="1183"/>
      <c r="AC92" s="1183"/>
      <c r="AD92" s="1183"/>
      <c r="AE92" s="1183"/>
      <c r="AF92" s="1183"/>
      <c r="AG92" s="1183"/>
      <c r="AH92" s="1183"/>
      <c r="AI92" s="1183"/>
      <c r="AJ92" s="1184"/>
      <c r="AK92" s="1184"/>
      <c r="AL92" s="1185">
        <v>1</v>
      </c>
    </row>
    <row r="93" spans="1:38" s="709" customFormat="1" ht="30" customHeight="1">
      <c r="A93" s="1181"/>
      <c r="B93" s="1189"/>
      <c r="C93" s="1190"/>
      <c r="D93" s="959" t="s">
        <v>16</v>
      </c>
      <c r="E93" s="1471"/>
      <c r="F93" s="1463"/>
      <c r="G93" s="1463"/>
      <c r="H93" s="1464"/>
      <c r="I93" s="1464"/>
      <c r="J93" s="1465"/>
      <c r="K93" s="1465"/>
      <c r="L93" s="1465"/>
      <c r="M93" s="1465"/>
      <c r="N93" s="1181"/>
      <c r="O93" s="1182"/>
      <c r="P93" s="1189"/>
      <c r="Q93" s="1182"/>
      <c r="R93" s="1182"/>
      <c r="S93" s="1182"/>
      <c r="T93" s="1183"/>
      <c r="U93" s="1183"/>
      <c r="V93" s="1193"/>
      <c r="W93" s="1193"/>
      <c r="X93" s="1193"/>
      <c r="Y93" s="1183"/>
      <c r="Z93" s="1194"/>
      <c r="AA93" s="1183"/>
      <c r="AB93" s="1183"/>
      <c r="AC93" s="1183"/>
      <c r="AD93" s="1183"/>
      <c r="AE93" s="1183"/>
      <c r="AF93" s="1183"/>
      <c r="AG93" s="1183"/>
      <c r="AH93" s="1183"/>
      <c r="AI93" s="1183"/>
      <c r="AJ93" s="1184"/>
      <c r="AK93" s="1184"/>
      <c r="AL93" s="1185">
        <v>1</v>
      </c>
    </row>
    <row r="94" spans="1:38" s="709" customFormat="1" ht="30" customHeight="1">
      <c r="A94" s="1181"/>
      <c r="B94" s="1189"/>
      <c r="C94" s="1190"/>
      <c r="D94" s="959" t="s">
        <v>16</v>
      </c>
      <c r="E94" s="1471"/>
      <c r="F94" s="1463"/>
      <c r="G94" s="1463"/>
      <c r="H94" s="1464"/>
      <c r="I94" s="1464"/>
      <c r="J94" s="1465"/>
      <c r="K94" s="1465"/>
      <c r="L94" s="1465"/>
      <c r="M94" s="1465"/>
      <c r="N94" s="1181"/>
      <c r="O94" s="1182"/>
      <c r="P94" s="1189"/>
      <c r="Q94" s="1182"/>
      <c r="R94" s="1182"/>
      <c r="S94" s="1182"/>
      <c r="T94" s="1183"/>
      <c r="U94" s="1183"/>
      <c r="V94" s="1193"/>
      <c r="W94" s="1193"/>
      <c r="X94" s="1193"/>
      <c r="Y94" s="1183"/>
      <c r="Z94" s="1194"/>
      <c r="AA94" s="1183"/>
      <c r="AB94" s="1183"/>
      <c r="AC94" s="1183"/>
      <c r="AD94" s="1183"/>
      <c r="AE94" s="1183"/>
      <c r="AF94" s="1183"/>
      <c r="AG94" s="1183"/>
      <c r="AH94" s="1183"/>
      <c r="AI94" s="1183"/>
      <c r="AJ94" s="1184"/>
      <c r="AK94" s="1184"/>
      <c r="AL94" s="1185">
        <v>1</v>
      </c>
    </row>
    <row r="95" spans="1:38" s="709" customFormat="1" ht="30" customHeight="1">
      <c r="A95" s="1181"/>
      <c r="B95" s="1189"/>
      <c r="C95" s="1190"/>
      <c r="D95" s="959" t="s">
        <v>16</v>
      </c>
      <c r="E95" s="1471"/>
      <c r="F95" s="1463"/>
      <c r="G95" s="1463"/>
      <c r="H95" s="1464"/>
      <c r="I95" s="1464"/>
      <c r="J95" s="1465"/>
      <c r="K95" s="1465"/>
      <c r="L95" s="1465"/>
      <c r="M95" s="1465"/>
      <c r="N95" s="1181"/>
      <c r="O95" s="1182"/>
      <c r="P95" s="1189"/>
      <c r="Q95" s="1182"/>
      <c r="R95" s="1182"/>
      <c r="S95" s="1182"/>
      <c r="T95" s="1183"/>
      <c r="U95" s="1183"/>
      <c r="V95" s="1193"/>
      <c r="W95" s="1193"/>
      <c r="X95" s="1193"/>
      <c r="Y95" s="1183"/>
      <c r="Z95" s="1194"/>
      <c r="AA95" s="1183"/>
      <c r="AB95" s="1183"/>
      <c r="AC95" s="1183"/>
      <c r="AD95" s="1183"/>
      <c r="AE95" s="1183"/>
      <c r="AF95" s="1183"/>
      <c r="AG95" s="1183"/>
      <c r="AH95" s="1183"/>
      <c r="AI95" s="1183"/>
      <c r="AJ95" s="1184"/>
      <c r="AK95" s="1184"/>
      <c r="AL95" s="1185">
        <v>1</v>
      </c>
    </row>
    <row r="96" spans="1:38" s="709" customFormat="1" ht="30" customHeight="1">
      <c r="A96" s="1181"/>
      <c r="B96" s="1189"/>
      <c r="C96" s="1190"/>
      <c r="D96" s="959" t="s">
        <v>16</v>
      </c>
      <c r="E96" s="5409" t="s">
        <v>1861</v>
      </c>
      <c r="F96" s="5409"/>
      <c r="G96" s="5409"/>
      <c r="H96" s="5409"/>
      <c r="I96" s="5409"/>
      <c r="J96" s="1465"/>
      <c r="K96" s="1465"/>
      <c r="L96" s="1465"/>
      <c r="M96" s="1465"/>
      <c r="N96" s="1181"/>
      <c r="O96" s="1182"/>
      <c r="P96" s="1189"/>
      <c r="Q96" s="1182"/>
      <c r="R96" s="1182"/>
      <c r="S96" s="1182"/>
      <c r="T96" s="1183"/>
      <c r="U96" s="1183"/>
      <c r="V96" s="1193"/>
      <c r="W96" s="1193"/>
      <c r="X96" s="1193"/>
      <c r="Y96" s="1183"/>
      <c r="Z96" s="1194"/>
      <c r="AA96" s="1183"/>
      <c r="AB96" s="1183"/>
      <c r="AC96" s="1183"/>
      <c r="AD96" s="1183"/>
      <c r="AE96" s="1183"/>
      <c r="AF96" s="1183"/>
      <c r="AG96" s="1183"/>
      <c r="AH96" s="1183"/>
      <c r="AI96" s="1183"/>
      <c r="AJ96" s="1184"/>
      <c r="AK96" s="1184"/>
      <c r="AL96" s="1185">
        <v>1</v>
      </c>
    </row>
    <row r="97" spans="1:38" s="709" customFormat="1" ht="30" customHeight="1">
      <c r="A97" s="1181"/>
      <c r="B97" s="1189"/>
      <c r="C97" s="1190"/>
      <c r="D97" s="959" t="s">
        <v>16</v>
      </c>
      <c r="E97" s="5409"/>
      <c r="F97" s="5409"/>
      <c r="G97" s="5409"/>
      <c r="H97" s="5409"/>
      <c r="I97" s="5409"/>
      <c r="J97" s="1465"/>
      <c r="K97" s="1465"/>
      <c r="L97" s="1465"/>
      <c r="M97" s="1465"/>
      <c r="N97" s="1181"/>
      <c r="O97" s="1182"/>
      <c r="P97" s="1189"/>
      <c r="Q97" s="1182"/>
      <c r="R97" s="1182"/>
      <c r="S97" s="1182"/>
      <c r="T97" s="1183"/>
      <c r="U97" s="1183"/>
      <c r="V97" s="1193"/>
      <c r="W97" s="1193"/>
      <c r="X97" s="1193"/>
      <c r="Y97" s="1183"/>
      <c r="Z97" s="1194"/>
      <c r="AA97" s="1183"/>
      <c r="AB97" s="1183"/>
      <c r="AC97" s="1183"/>
      <c r="AD97" s="1183"/>
      <c r="AE97" s="1183"/>
      <c r="AF97" s="1183"/>
      <c r="AG97" s="1183"/>
      <c r="AH97" s="1183"/>
      <c r="AI97" s="1183"/>
      <c r="AJ97" s="1184"/>
      <c r="AK97" s="1184"/>
      <c r="AL97" s="1185">
        <v>1</v>
      </c>
    </row>
    <row r="98" spans="1:38" s="709" customFormat="1" ht="30" customHeight="1">
      <c r="A98" s="1181"/>
      <c r="B98" s="1189"/>
      <c r="C98" s="1190"/>
      <c r="D98" s="959" t="s">
        <v>16</v>
      </c>
      <c r="E98" s="1471"/>
      <c r="F98" s="1463"/>
      <c r="G98" s="1463"/>
      <c r="H98" s="1464"/>
      <c r="I98" s="1464"/>
      <c r="J98" s="1465"/>
      <c r="K98" s="1465"/>
      <c r="L98" s="1465"/>
      <c r="M98" s="1465"/>
      <c r="N98" s="1181"/>
      <c r="O98" s="1182"/>
      <c r="P98" s="1189"/>
      <c r="Q98" s="1182"/>
      <c r="R98" s="1182"/>
      <c r="S98" s="1182"/>
      <c r="T98" s="1183"/>
      <c r="U98" s="1183"/>
      <c r="V98" s="1193"/>
      <c r="W98" s="1193"/>
      <c r="X98" s="1193"/>
      <c r="Y98" s="1183"/>
      <c r="Z98" s="1194"/>
      <c r="AA98" s="1183"/>
      <c r="AB98" s="1183"/>
      <c r="AC98" s="1183"/>
      <c r="AD98" s="1183"/>
      <c r="AE98" s="1183"/>
      <c r="AF98" s="1183"/>
      <c r="AG98" s="1183"/>
      <c r="AH98" s="1183"/>
      <c r="AI98" s="1183"/>
      <c r="AJ98" s="1184"/>
      <c r="AK98" s="1184"/>
      <c r="AL98" s="1185">
        <v>1</v>
      </c>
    </row>
    <row r="99" spans="1:38" s="709" customFormat="1" ht="30" customHeight="1">
      <c r="A99" s="1181"/>
      <c r="B99" s="1189"/>
      <c r="C99" s="1190"/>
      <c r="D99" s="959" t="s">
        <v>16</v>
      </c>
      <c r="E99" s="5409" t="s">
        <v>1871</v>
      </c>
      <c r="F99" s="5409"/>
      <c r="G99" s="5409"/>
      <c r="H99" s="5409"/>
      <c r="I99" s="5409"/>
      <c r="J99" s="1465"/>
      <c r="K99" s="1465"/>
      <c r="L99" s="1465"/>
      <c r="M99" s="1465"/>
      <c r="N99" s="1181"/>
      <c r="O99" s="1182"/>
      <c r="P99" s="1189"/>
      <c r="Q99" s="1182"/>
      <c r="R99" s="1182"/>
      <c r="S99" s="1182"/>
      <c r="T99" s="1183"/>
      <c r="U99" s="1183"/>
      <c r="V99" s="1193"/>
      <c r="W99" s="1193"/>
      <c r="X99" s="1193"/>
      <c r="Y99" s="1183"/>
      <c r="Z99" s="1194"/>
      <c r="AA99" s="1183"/>
      <c r="AB99" s="1183"/>
      <c r="AC99" s="1183"/>
      <c r="AD99" s="1183"/>
      <c r="AE99" s="1183"/>
      <c r="AF99" s="1183"/>
      <c r="AG99" s="1183"/>
      <c r="AH99" s="1183"/>
      <c r="AI99" s="1183"/>
      <c r="AJ99" s="1184"/>
      <c r="AK99" s="1184"/>
      <c r="AL99" s="1185">
        <v>1</v>
      </c>
    </row>
    <row r="100" spans="1:38" s="709" customFormat="1" ht="30" customHeight="1">
      <c r="A100" s="1181"/>
      <c r="B100" s="1189"/>
      <c r="C100" s="1190"/>
      <c r="D100" s="959" t="s">
        <v>16</v>
      </c>
      <c r="E100" s="5409"/>
      <c r="F100" s="5409"/>
      <c r="G100" s="5409"/>
      <c r="H100" s="5409"/>
      <c r="I100" s="5409"/>
      <c r="J100" s="1465"/>
      <c r="K100" s="1465"/>
      <c r="L100" s="1465"/>
      <c r="M100" s="1465"/>
      <c r="N100" s="1181"/>
      <c r="O100" s="1182"/>
      <c r="P100" s="1189"/>
      <c r="Q100" s="1182"/>
      <c r="R100" s="1182"/>
      <c r="S100" s="1182"/>
      <c r="T100" s="1183"/>
      <c r="U100" s="1183"/>
      <c r="V100" s="1193"/>
      <c r="W100" s="1193"/>
      <c r="X100" s="1193"/>
      <c r="Y100" s="1183"/>
      <c r="Z100" s="1194"/>
      <c r="AA100" s="1183"/>
      <c r="AB100" s="1183"/>
      <c r="AC100" s="1183"/>
      <c r="AD100" s="1183"/>
      <c r="AE100" s="1183"/>
      <c r="AF100" s="1183"/>
      <c r="AG100" s="1183"/>
      <c r="AH100" s="1183"/>
      <c r="AI100" s="1183"/>
      <c r="AJ100" s="1184"/>
      <c r="AK100" s="1184"/>
      <c r="AL100" s="1185">
        <v>1</v>
      </c>
    </row>
    <row r="101" spans="1:38" s="709" customFormat="1" ht="30" customHeight="1">
      <c r="A101" s="1181"/>
      <c r="B101" s="1189"/>
      <c r="C101" s="1190"/>
      <c r="D101" s="959" t="s">
        <v>16</v>
      </c>
      <c r="E101" s="1471"/>
      <c r="F101" s="1463"/>
      <c r="G101" s="1463"/>
      <c r="H101" s="1464"/>
      <c r="I101" s="1464"/>
      <c r="J101" s="1465"/>
      <c r="K101" s="1465"/>
      <c r="L101" s="1465"/>
      <c r="M101" s="1465"/>
      <c r="N101" s="1181"/>
      <c r="O101" s="1182"/>
      <c r="P101" s="1189"/>
      <c r="Q101" s="1182"/>
      <c r="R101" s="1182"/>
      <c r="S101" s="1182"/>
      <c r="T101" s="1183"/>
      <c r="U101" s="1183"/>
      <c r="V101" s="1193"/>
      <c r="W101" s="1193"/>
      <c r="X101" s="1193"/>
      <c r="Y101" s="1183"/>
      <c r="Z101" s="1194"/>
      <c r="AA101" s="1183"/>
      <c r="AB101" s="1183"/>
      <c r="AC101" s="1183"/>
      <c r="AD101" s="1183"/>
      <c r="AE101" s="1183"/>
      <c r="AF101" s="1183"/>
      <c r="AG101" s="1183"/>
      <c r="AH101" s="1183"/>
      <c r="AI101" s="1183"/>
      <c r="AJ101" s="1184"/>
      <c r="AK101" s="1184"/>
      <c r="AL101" s="1185">
        <v>1</v>
      </c>
    </row>
    <row r="102" spans="1:38" s="709" customFormat="1" ht="30" customHeight="1">
      <c r="A102" s="1181"/>
      <c r="B102" s="1189"/>
      <c r="C102" s="1190"/>
      <c r="D102" s="959" t="s">
        <v>16</v>
      </c>
      <c r="E102" s="1469" t="s">
        <v>1885</v>
      </c>
      <c r="F102" s="1463"/>
      <c r="G102" s="1463"/>
      <c r="H102" s="1464"/>
      <c r="I102" s="1464"/>
      <c r="J102" s="1465"/>
      <c r="K102" s="1465"/>
      <c r="L102" s="1465"/>
      <c r="M102" s="1465"/>
      <c r="N102" s="1181"/>
      <c r="O102" s="1182"/>
      <c r="P102" s="1189"/>
      <c r="Q102" s="1182"/>
      <c r="R102" s="1182"/>
      <c r="S102" s="1182"/>
      <c r="T102" s="1183"/>
      <c r="U102" s="1183"/>
      <c r="V102" s="1193"/>
      <c r="W102" s="1193"/>
      <c r="X102" s="1193"/>
      <c r="Y102" s="1183"/>
      <c r="Z102" s="1194"/>
      <c r="AA102" s="1183"/>
      <c r="AB102" s="1183"/>
      <c r="AC102" s="1183"/>
      <c r="AD102" s="1183"/>
      <c r="AE102" s="1183"/>
      <c r="AF102" s="1183"/>
      <c r="AG102" s="1183"/>
      <c r="AH102" s="1183"/>
      <c r="AI102" s="1183"/>
      <c r="AJ102" s="1184"/>
      <c r="AK102" s="1184"/>
      <c r="AL102" s="1185">
        <v>1</v>
      </c>
    </row>
    <row r="103" spans="1:38" s="709" customFormat="1" ht="30" customHeight="1">
      <c r="A103" s="1181"/>
      <c r="B103" s="1189"/>
      <c r="C103" s="1190"/>
      <c r="D103" s="959" t="s">
        <v>16</v>
      </c>
      <c r="E103" s="1471"/>
      <c r="F103" s="1463"/>
      <c r="G103" s="1463"/>
      <c r="H103" s="1464"/>
      <c r="I103" s="1464"/>
      <c r="J103" s="1465"/>
      <c r="K103" s="1465"/>
      <c r="L103" s="1465"/>
      <c r="M103" s="1465"/>
      <c r="N103" s="1181"/>
      <c r="O103" s="1182"/>
      <c r="P103" s="1189"/>
      <c r="Q103" s="1182"/>
      <c r="R103" s="1182"/>
      <c r="S103" s="1182"/>
      <c r="T103" s="1183"/>
      <c r="U103" s="1183"/>
      <c r="V103" s="1193"/>
      <c r="W103" s="1193"/>
      <c r="X103" s="1193"/>
      <c r="Y103" s="1183"/>
      <c r="Z103" s="1194"/>
      <c r="AA103" s="1183"/>
      <c r="AB103" s="1183"/>
      <c r="AC103" s="1183"/>
      <c r="AD103" s="1183"/>
      <c r="AE103" s="1183"/>
      <c r="AF103" s="1183"/>
      <c r="AG103" s="1183"/>
      <c r="AH103" s="1183"/>
      <c r="AI103" s="1183"/>
      <c r="AJ103" s="1184"/>
      <c r="AK103" s="1184"/>
      <c r="AL103" s="1185">
        <v>1</v>
      </c>
    </row>
    <row r="104" spans="1:38" s="709" customFormat="1" ht="30" customHeight="1">
      <c r="A104" s="1181"/>
      <c r="B104" s="1189"/>
      <c r="C104" s="1190"/>
      <c r="D104" s="959" t="s">
        <v>16</v>
      </c>
      <c r="E104" s="1471"/>
      <c r="F104" s="1463"/>
      <c r="G104" s="1463"/>
      <c r="H104" s="1464"/>
      <c r="I104" s="1464"/>
      <c r="J104" s="1465"/>
      <c r="K104" s="1465"/>
      <c r="L104" s="1465"/>
      <c r="M104" s="1465"/>
      <c r="N104" s="1181"/>
      <c r="O104" s="1182"/>
      <c r="P104" s="1189"/>
      <c r="Q104" s="1182"/>
      <c r="R104" s="1182"/>
      <c r="S104" s="1182"/>
      <c r="T104" s="1183"/>
      <c r="U104" s="1183"/>
      <c r="V104" s="1193"/>
      <c r="W104" s="1193"/>
      <c r="X104" s="1193"/>
      <c r="Y104" s="1183"/>
      <c r="Z104" s="1194"/>
      <c r="AA104" s="1183"/>
      <c r="AB104" s="1183"/>
      <c r="AC104" s="1183"/>
      <c r="AD104" s="1183"/>
      <c r="AE104" s="1183"/>
      <c r="AF104" s="1183"/>
      <c r="AG104" s="1183"/>
      <c r="AH104" s="1183"/>
      <c r="AI104" s="1183"/>
      <c r="AJ104" s="1184"/>
      <c r="AK104" s="1184"/>
      <c r="AL104" s="1185">
        <v>1</v>
      </c>
    </row>
    <row r="105" spans="1:38" s="709" customFormat="1" ht="30" customHeight="1">
      <c r="A105" s="1181"/>
      <c r="B105" s="1189"/>
      <c r="C105" s="1190"/>
      <c r="D105" s="959" t="s">
        <v>16</v>
      </c>
      <c r="E105" s="1471"/>
      <c r="F105" s="1463"/>
      <c r="G105" s="1463"/>
      <c r="H105" s="1464"/>
      <c r="I105" s="1464"/>
      <c r="J105" s="1465"/>
      <c r="K105" s="1465"/>
      <c r="L105" s="1465"/>
      <c r="M105" s="1465"/>
      <c r="N105" s="1181"/>
      <c r="O105" s="1182"/>
      <c r="P105" s="1189"/>
      <c r="Q105" s="1182"/>
      <c r="R105" s="1182"/>
      <c r="S105" s="1182"/>
      <c r="T105" s="1183"/>
      <c r="U105" s="1183"/>
      <c r="V105" s="1193"/>
      <c r="W105" s="1193"/>
      <c r="X105" s="1193"/>
      <c r="Y105" s="1183"/>
      <c r="Z105" s="1194"/>
      <c r="AA105" s="1183"/>
      <c r="AB105" s="1183"/>
      <c r="AC105" s="1183"/>
      <c r="AD105" s="1183"/>
      <c r="AE105" s="1183"/>
      <c r="AF105" s="1183"/>
      <c r="AG105" s="1183"/>
      <c r="AH105" s="1183"/>
      <c r="AI105" s="1183"/>
      <c r="AJ105" s="1184"/>
      <c r="AK105" s="1184"/>
      <c r="AL105" s="1185">
        <v>1</v>
      </c>
    </row>
    <row r="106" spans="1:38" s="709" customFormat="1" ht="30" customHeight="1">
      <c r="A106" s="1181"/>
      <c r="B106" s="1189"/>
      <c r="C106" s="1190"/>
      <c r="D106" s="959" t="s">
        <v>16</v>
      </c>
      <c r="E106" s="1471"/>
      <c r="F106" s="1463"/>
      <c r="G106" s="1463"/>
      <c r="H106" s="1464"/>
      <c r="I106" s="1464"/>
      <c r="J106" s="1465"/>
      <c r="K106" s="1465"/>
      <c r="L106" s="1465"/>
      <c r="M106" s="1465"/>
      <c r="N106" s="1181"/>
      <c r="O106" s="1182"/>
      <c r="P106" s="1189"/>
      <c r="Q106" s="1182"/>
      <c r="R106" s="1182"/>
      <c r="S106" s="1182"/>
      <c r="T106" s="1183"/>
      <c r="U106" s="1183"/>
      <c r="V106" s="1193"/>
      <c r="W106" s="1193"/>
      <c r="X106" s="1193"/>
      <c r="Y106" s="1183"/>
      <c r="Z106" s="1194"/>
      <c r="AA106" s="1183"/>
      <c r="AB106" s="1183"/>
      <c r="AC106" s="1183"/>
      <c r="AD106" s="1183"/>
      <c r="AE106" s="1183"/>
      <c r="AF106" s="1183"/>
      <c r="AG106" s="1183"/>
      <c r="AH106" s="1183"/>
      <c r="AI106" s="1183"/>
      <c r="AJ106" s="1184"/>
      <c r="AK106" s="1184"/>
      <c r="AL106" s="1185">
        <v>1</v>
      </c>
    </row>
    <row r="107" spans="1:38" s="709" customFormat="1" ht="30" customHeight="1">
      <c r="A107" s="1181"/>
      <c r="B107" s="1189"/>
      <c r="C107" s="1190"/>
      <c r="D107" s="1181"/>
      <c r="E107" s="1181"/>
      <c r="F107" s="1181"/>
      <c r="G107" s="1181"/>
      <c r="H107" s="1181"/>
      <c r="I107" s="1182"/>
      <c r="J107" s="1181"/>
      <c r="K107" s="1181"/>
      <c r="L107" s="1181"/>
      <c r="M107" s="1181"/>
      <c r="N107" s="1181"/>
      <c r="O107" s="1182"/>
      <c r="P107" s="1189"/>
      <c r="Q107" s="1182"/>
      <c r="R107" s="1182"/>
      <c r="S107" s="1182"/>
      <c r="T107" s="1183"/>
      <c r="U107" s="1183"/>
      <c r="V107" s="1193"/>
      <c r="W107" s="1193"/>
      <c r="X107" s="1193"/>
      <c r="Y107" s="1183"/>
      <c r="Z107" s="1194"/>
      <c r="AA107" s="1183"/>
      <c r="AB107" s="1183"/>
      <c r="AC107" s="1183"/>
      <c r="AD107" s="1183"/>
      <c r="AE107" s="1183"/>
      <c r="AF107" s="1183"/>
      <c r="AG107" s="1183"/>
      <c r="AH107" s="1183"/>
      <c r="AI107" s="1183"/>
      <c r="AJ107" s="1184"/>
      <c r="AK107" s="1184"/>
      <c r="AL107" s="1185">
        <v>1</v>
      </c>
    </row>
    <row r="108" spans="1:38" s="709" customFormat="1" ht="30" customHeight="1">
      <c r="A108" s="1181"/>
      <c r="B108" s="1181"/>
      <c r="C108" s="1209"/>
      <c r="D108" s="1209" t="s">
        <v>3239</v>
      </c>
      <c r="E108" s="1211"/>
      <c r="F108" s="1189"/>
      <c r="G108" s="1211"/>
      <c r="H108" s="1211"/>
      <c r="I108" s="1211"/>
      <c r="J108" s="1211"/>
      <c r="K108" s="1211"/>
      <c r="L108" s="1211"/>
      <c r="M108" s="1211"/>
      <c r="N108" s="1211"/>
      <c r="O108" s="1211"/>
      <c r="P108" s="1208"/>
      <c r="Q108" s="1208"/>
      <c r="R108" s="1208"/>
      <c r="S108" s="1208"/>
      <c r="T108" s="1183"/>
      <c r="U108" s="1183"/>
      <c r="V108" s="1183"/>
      <c r="W108" s="1183"/>
      <c r="X108" s="1183"/>
      <c r="Y108" s="1193"/>
      <c r="Z108" s="1183"/>
      <c r="AA108" s="1183"/>
      <c r="AB108" s="1183"/>
      <c r="AC108" s="1183"/>
      <c r="AD108" s="1184"/>
      <c r="AE108" s="1184"/>
      <c r="AF108" s="1184"/>
      <c r="AG108" s="1184"/>
      <c r="AH108" s="1184"/>
      <c r="AI108" s="1184"/>
      <c r="AJ108" s="1184"/>
      <c r="AK108" s="1184"/>
      <c r="AL108" s="1185">
        <v>1</v>
      </c>
    </row>
    <row r="109" spans="1:38" s="709" customFormat="1" ht="30" customHeight="1">
      <c r="A109" s="1181"/>
      <c r="B109" s="1181"/>
      <c r="C109" s="1209"/>
      <c r="D109" s="1220" t="s">
        <v>1964</v>
      </c>
      <c r="E109" s="1211"/>
      <c r="F109" s="1189"/>
      <c r="G109" s="1211"/>
      <c r="H109" s="1211"/>
      <c r="I109" s="1211"/>
      <c r="J109" s="1211"/>
      <c r="K109" s="1211"/>
      <c r="L109" s="1211"/>
      <c r="M109" s="120" t="s">
        <v>114</v>
      </c>
      <c r="N109" s="121"/>
      <c r="O109" s="122"/>
      <c r="P109" s="1183"/>
      <c r="Q109" s="1183"/>
      <c r="R109" s="1183"/>
      <c r="S109" s="1183"/>
      <c r="T109" s="1183"/>
      <c r="U109" s="1183"/>
      <c r="V109" s="1183"/>
      <c r="W109" s="1183"/>
      <c r="X109" s="1183"/>
      <c r="Y109" s="1193"/>
      <c r="Z109" s="1183"/>
      <c r="AA109" s="1183"/>
      <c r="AB109" s="1183"/>
      <c r="AC109" s="1183"/>
      <c r="AD109" s="1184"/>
      <c r="AE109" s="1184"/>
      <c r="AF109" s="1184"/>
      <c r="AG109" s="1184"/>
      <c r="AH109" s="1184"/>
      <c r="AI109" s="1184"/>
      <c r="AJ109" s="1184"/>
      <c r="AK109" s="1184"/>
      <c r="AL109" s="1185">
        <v>1</v>
      </c>
    </row>
    <row r="110" spans="1:38" s="709" customFormat="1" ht="30" customHeight="1">
      <c r="A110" s="1181"/>
      <c r="B110" s="1230" t="s">
        <v>3240</v>
      </c>
      <c r="C110" s="1210"/>
      <c r="D110" s="1211"/>
      <c r="E110" s="1211"/>
      <c r="F110" s="1211"/>
      <c r="G110" s="1211"/>
      <c r="H110" s="1211"/>
      <c r="I110" s="1211"/>
      <c r="J110" s="1211"/>
      <c r="K110" s="1211"/>
      <c r="L110" s="1211"/>
      <c r="M110" s="5396" t="s">
        <v>120</v>
      </c>
      <c r="N110" s="124" t="s">
        <v>121</v>
      </c>
      <c r="O110" s="125"/>
      <c r="P110" s="1208"/>
      <c r="Q110" s="1208"/>
      <c r="R110" s="1208"/>
      <c r="S110" s="1183"/>
      <c r="T110" s="1183"/>
      <c r="U110" s="1183"/>
      <c r="V110" s="1183"/>
      <c r="W110" s="1183"/>
      <c r="X110" s="1183"/>
      <c r="Y110" s="1193"/>
      <c r="Z110" s="1183"/>
      <c r="AA110" s="1183"/>
      <c r="AB110" s="1183"/>
      <c r="AC110" s="1183"/>
      <c r="AD110" s="1184"/>
      <c r="AE110" s="1184"/>
      <c r="AF110" s="1184"/>
      <c r="AG110" s="1184"/>
      <c r="AH110" s="1184"/>
      <c r="AI110" s="1184"/>
      <c r="AJ110" s="1184"/>
      <c r="AK110" s="1184"/>
      <c r="AL110" s="1185">
        <v>1</v>
      </c>
    </row>
    <row r="111" spans="1:38" s="709" customFormat="1" ht="30" customHeight="1">
      <c r="A111" s="1181"/>
      <c r="B111" s="1232" t="s">
        <v>3241</v>
      </c>
      <c r="C111" s="1183"/>
      <c r="D111" s="1183"/>
      <c r="E111" s="1183"/>
      <c r="F111" s="1183"/>
      <c r="G111" s="1183"/>
      <c r="H111" s="1183"/>
      <c r="I111" s="1183"/>
      <c r="J111" s="1183"/>
      <c r="K111" s="1211"/>
      <c r="L111" s="1211"/>
      <c r="M111" s="5396"/>
      <c r="N111" s="124" t="s">
        <v>124</v>
      </c>
      <c r="O111" s="125"/>
      <c r="P111" s="1208"/>
      <c r="Q111" s="1208"/>
      <c r="R111" s="1208"/>
      <c r="S111" s="1183"/>
      <c r="T111" s="1183"/>
      <c r="U111" s="1183"/>
      <c r="V111" s="1183"/>
      <c r="W111" s="1183"/>
      <c r="X111" s="1183"/>
      <c r="Y111" s="1193"/>
      <c r="Z111" s="1183"/>
      <c r="AA111" s="1183"/>
      <c r="AB111" s="1208"/>
      <c r="AC111" s="1208"/>
      <c r="AD111" s="1208"/>
      <c r="AE111" s="1208"/>
      <c r="AF111" s="1208"/>
      <c r="AG111" s="1208"/>
      <c r="AH111" s="1208"/>
      <c r="AI111" s="1208"/>
      <c r="AJ111" s="1208"/>
      <c r="AK111" s="1208"/>
      <c r="AL111" s="1185">
        <v>1</v>
      </c>
    </row>
    <row r="112" spans="1:38" s="709" customFormat="1" ht="30" customHeight="1">
      <c r="A112" s="1181"/>
      <c r="B112" s="1232" t="s">
        <v>3242</v>
      </c>
      <c r="C112" s="1183"/>
      <c r="D112" s="1183"/>
      <c r="E112" s="1183"/>
      <c r="F112" s="1183"/>
      <c r="G112" s="1183"/>
      <c r="H112" s="1183"/>
      <c r="I112" s="1183"/>
      <c r="J112" s="1183"/>
      <c r="K112" s="1211"/>
      <c r="L112" s="1211"/>
      <c r="M112" s="5396"/>
      <c r="N112" s="124" t="s">
        <v>126</v>
      </c>
      <c r="O112" s="125"/>
      <c r="P112" s="1208"/>
      <c r="Q112" s="1208"/>
      <c r="R112" s="1208"/>
      <c r="S112" s="1183"/>
      <c r="T112" s="1183"/>
      <c r="U112" s="1183"/>
      <c r="V112" s="1183"/>
      <c r="W112" s="1183"/>
      <c r="X112" s="1183"/>
      <c r="Y112" s="1193"/>
      <c r="Z112" s="1183"/>
      <c r="AA112" s="1183"/>
      <c r="AB112" s="1208"/>
      <c r="AC112" s="1208"/>
      <c r="AD112" s="1208"/>
      <c r="AE112" s="1208"/>
      <c r="AF112" s="1208"/>
      <c r="AG112" s="1208"/>
      <c r="AH112" s="1208"/>
      <c r="AI112" s="1208"/>
      <c r="AJ112" s="1208"/>
      <c r="AK112" s="1208"/>
      <c r="AL112" s="1185">
        <v>1</v>
      </c>
    </row>
    <row r="113" spans="1:40" s="709" customFormat="1" ht="30" customHeight="1">
      <c r="A113" s="1181"/>
      <c r="B113" s="1234" t="s">
        <v>2654</v>
      </c>
      <c r="C113" s="1183"/>
      <c r="D113" s="1234" t="s">
        <v>11</v>
      </c>
      <c r="E113" s="1183"/>
      <c r="F113" s="1183"/>
      <c r="G113" s="1183"/>
      <c r="H113" s="1183"/>
      <c r="I113" s="1183"/>
      <c r="J113" s="1183"/>
      <c r="K113" s="1211"/>
      <c r="L113" s="1211"/>
      <c r="M113" s="5396"/>
      <c r="N113" s="124" t="s">
        <v>129</v>
      </c>
      <c r="O113" s="125"/>
      <c r="P113" s="1208"/>
      <c r="Q113" s="1208"/>
      <c r="R113" s="1208"/>
      <c r="S113" s="1183"/>
      <c r="T113" s="1183"/>
      <c r="U113" s="1183"/>
      <c r="V113" s="1183"/>
      <c r="W113" s="1183"/>
      <c r="X113" s="1183"/>
      <c r="Y113" s="1193"/>
      <c r="Z113" s="1183"/>
      <c r="AA113" s="1183"/>
      <c r="AB113" s="1208"/>
      <c r="AC113" s="1208"/>
      <c r="AD113" s="1208"/>
      <c r="AE113" s="1208"/>
      <c r="AF113" s="1208"/>
      <c r="AG113" s="1208"/>
      <c r="AH113" s="1208"/>
      <c r="AI113" s="1208"/>
      <c r="AJ113" s="1208"/>
      <c r="AK113" s="1208"/>
      <c r="AL113" s="1185">
        <v>1</v>
      </c>
    </row>
    <row r="114" spans="1:40" s="709" customFormat="1" ht="30" customHeight="1">
      <c r="A114" s="1181"/>
      <c r="B114" s="1232" t="s">
        <v>3243</v>
      </c>
      <c r="C114" s="1183"/>
      <c r="D114" s="1183"/>
      <c r="E114" s="1183"/>
      <c r="F114" s="1183"/>
      <c r="G114" s="1183"/>
      <c r="H114" s="1183"/>
      <c r="I114" s="1183"/>
      <c r="J114" s="1183"/>
      <c r="K114" s="1211"/>
      <c r="L114" s="1211"/>
      <c r="M114" s="5396"/>
      <c r="N114" s="124" t="s">
        <v>131</v>
      </c>
      <c r="O114" s="125"/>
      <c r="P114" s="1208"/>
      <c r="Q114" s="1208"/>
      <c r="R114" s="1208"/>
      <c r="S114" s="1183"/>
      <c r="T114" s="1183"/>
      <c r="U114" s="1183"/>
      <c r="V114" s="1183"/>
      <c r="W114" s="1183"/>
      <c r="X114" s="1183"/>
      <c r="Y114" s="1193"/>
      <c r="Z114" s="1183"/>
      <c r="AA114" s="1183"/>
      <c r="AB114" s="1208"/>
      <c r="AC114" s="1208"/>
      <c r="AD114" s="1208"/>
      <c r="AE114" s="1208"/>
      <c r="AF114" s="1208"/>
      <c r="AG114" s="1208"/>
      <c r="AH114" s="1208"/>
      <c r="AI114" s="1208"/>
      <c r="AJ114" s="1208"/>
      <c r="AK114" s="1208"/>
      <c r="AL114" s="1185">
        <v>1</v>
      </c>
    </row>
    <row r="115" spans="1:40" s="709" customFormat="1" ht="30" customHeight="1">
      <c r="A115" s="1181"/>
      <c r="B115" s="1232" t="s">
        <v>3244</v>
      </c>
      <c r="C115" s="1183"/>
      <c r="D115" s="1183"/>
      <c r="E115" s="1183"/>
      <c r="F115" s="1183"/>
      <c r="G115" s="1183"/>
      <c r="H115" s="1183"/>
      <c r="I115" s="1183"/>
      <c r="J115" s="1183"/>
      <c r="K115" s="1211"/>
      <c r="L115" s="1211"/>
      <c r="M115" s="5397"/>
      <c r="N115" s="128" t="s">
        <v>134</v>
      </c>
      <c r="O115" s="129"/>
      <c r="P115" s="1208"/>
      <c r="Q115" s="1208"/>
      <c r="R115" s="1208"/>
      <c r="S115" s="1183"/>
      <c r="T115" s="1183"/>
      <c r="U115" s="1183"/>
      <c r="V115" s="1183"/>
      <c r="W115" s="1183"/>
      <c r="X115" s="1183"/>
      <c r="Y115" s="1193"/>
      <c r="Z115" s="1183"/>
      <c r="AA115" s="1183"/>
      <c r="AB115" s="1208"/>
      <c r="AC115" s="1208"/>
      <c r="AD115" s="1208"/>
      <c r="AE115" s="1208"/>
      <c r="AF115" s="1208"/>
      <c r="AG115" s="1208"/>
      <c r="AH115" s="1208"/>
      <c r="AI115" s="1208"/>
      <c r="AJ115" s="1208"/>
      <c r="AK115" s="1208"/>
      <c r="AL115" s="1185">
        <v>1</v>
      </c>
    </row>
    <row r="116" spans="1:40" s="709" customFormat="1" ht="30" customHeight="1">
      <c r="A116" s="1181"/>
      <c r="B116" s="1232" t="s">
        <v>3245</v>
      </c>
      <c r="C116" s="1183"/>
      <c r="D116" s="1183"/>
      <c r="E116" s="1183"/>
      <c r="F116" s="1183"/>
      <c r="G116" s="1183"/>
      <c r="H116" s="1183"/>
      <c r="I116" s="1183"/>
      <c r="J116" s="1183"/>
      <c r="K116" s="1211"/>
      <c r="L116" s="1211"/>
      <c r="M116" s="1211"/>
      <c r="N116" s="1211"/>
      <c r="O116" s="1211"/>
      <c r="P116" s="1211"/>
      <c r="Q116" s="1208"/>
      <c r="R116" s="1208"/>
      <c r="S116" s="1183"/>
      <c r="T116" s="1183"/>
      <c r="U116" s="1183"/>
      <c r="V116" s="1183"/>
      <c r="W116" s="1183"/>
      <c r="X116" s="1183"/>
      <c r="Y116" s="1193"/>
      <c r="Z116" s="1183"/>
      <c r="AA116" s="1183"/>
      <c r="AB116" s="1208"/>
      <c r="AC116" s="1208"/>
      <c r="AD116" s="1208"/>
      <c r="AE116" s="1208"/>
      <c r="AF116" s="1208"/>
      <c r="AG116" s="1208"/>
      <c r="AH116" s="1208"/>
      <c r="AI116" s="1208"/>
      <c r="AJ116" s="1208"/>
      <c r="AK116" s="1208"/>
      <c r="AL116" s="1185">
        <v>1</v>
      </c>
    </row>
    <row r="117" spans="1:40" s="709" customFormat="1" ht="30" customHeight="1">
      <c r="A117" s="1181"/>
      <c r="B117" s="1183"/>
      <c r="C117" s="1183"/>
      <c r="D117" s="1183"/>
      <c r="E117" s="1183"/>
      <c r="F117" s="1183"/>
      <c r="G117" s="1183"/>
      <c r="H117" s="1183"/>
      <c r="I117" s="1183"/>
      <c r="J117" s="1183"/>
      <c r="K117" s="1211"/>
      <c r="L117" s="1211"/>
      <c r="M117" s="1211"/>
      <c r="N117" s="1211"/>
      <c r="O117" s="1211"/>
      <c r="P117" s="1211"/>
      <c r="Q117" s="1208"/>
      <c r="R117" s="1208"/>
      <c r="S117" s="1183"/>
      <c r="T117" s="1183"/>
      <c r="U117" s="1183"/>
      <c r="V117" s="1183"/>
      <c r="W117" s="1183"/>
      <c r="X117" s="1183"/>
      <c r="Y117" s="1193"/>
      <c r="Z117" s="1183"/>
      <c r="AA117" s="1183"/>
      <c r="AB117" s="1208"/>
      <c r="AC117" s="1208"/>
      <c r="AD117" s="1208"/>
      <c r="AE117" s="1208"/>
      <c r="AF117" s="1208"/>
      <c r="AG117" s="1208"/>
      <c r="AH117" s="1208"/>
      <c r="AI117" s="1208"/>
      <c r="AJ117" s="1208"/>
      <c r="AK117" s="1208"/>
      <c r="AL117" s="1185">
        <v>1</v>
      </c>
    </row>
    <row r="118" spans="1:40" s="709" customFormat="1" ht="30" customHeight="1">
      <c r="A118" s="1181"/>
      <c r="B118" s="1237"/>
      <c r="C118" s="1238" t="s">
        <v>2665</v>
      </c>
      <c r="D118" s="1238"/>
      <c r="E118" s="1238"/>
      <c r="F118" s="1239"/>
      <c r="G118" s="1239"/>
      <c r="H118" s="1239"/>
      <c r="I118" s="1239"/>
      <c r="J118" s="1239"/>
      <c r="K118" s="1239"/>
      <c r="L118" s="1239"/>
      <c r="M118" s="1239"/>
      <c r="N118" s="1237"/>
      <c r="O118" s="1237"/>
      <c r="P118" s="1237"/>
      <c r="Q118" s="1208"/>
      <c r="R118" s="1208"/>
      <c r="S118" s="1208"/>
      <c r="T118" s="1208"/>
      <c r="U118" s="1208"/>
      <c r="V118" s="1208"/>
      <c r="W118" s="1208"/>
      <c r="X118" s="1208"/>
      <c r="Y118" s="1208"/>
      <c r="Z118" s="1208"/>
      <c r="AA118" s="1208"/>
      <c r="AB118" s="1208"/>
      <c r="AC118" s="1208"/>
      <c r="AD118" s="1208"/>
      <c r="AE118" s="1208"/>
      <c r="AF118" s="1208"/>
      <c r="AG118" s="1208"/>
      <c r="AH118" s="1208"/>
      <c r="AI118" s="1184"/>
      <c r="AJ118" s="1184"/>
      <c r="AK118" s="1184"/>
      <c r="AL118" s="1185">
        <v>1</v>
      </c>
    </row>
    <row r="119" spans="1:40" s="709" customFormat="1" ht="30" customHeight="1">
      <c r="A119" s="1181"/>
      <c r="B119" s="1240" t="s">
        <v>2666</v>
      </c>
      <c r="C119" s="1241"/>
      <c r="D119" s="1239"/>
      <c r="E119" s="1239"/>
      <c r="F119" s="1239"/>
      <c r="G119" s="1239"/>
      <c r="H119" s="1242" t="s">
        <v>2667</v>
      </c>
      <c r="I119" s="1239"/>
      <c r="J119" s="1239"/>
      <c r="K119" s="1239"/>
      <c r="L119" s="1239"/>
      <c r="M119" s="1239"/>
      <c r="N119" s="1237"/>
      <c r="O119" s="1237"/>
      <c r="P119" s="1237"/>
      <c r="Q119" s="1208"/>
      <c r="R119" s="1208"/>
      <c r="S119" s="1208"/>
      <c r="T119" s="1208"/>
      <c r="U119" s="1208"/>
      <c r="V119" s="1208"/>
      <c r="W119" s="1208"/>
      <c r="X119" s="1208"/>
      <c r="Y119" s="1208"/>
      <c r="Z119" s="1208"/>
      <c r="AA119" s="1208"/>
      <c r="AB119" s="1208"/>
      <c r="AC119" s="1208"/>
      <c r="AD119" s="1208"/>
      <c r="AE119" s="1208"/>
      <c r="AF119" s="1208"/>
      <c r="AG119" s="1208"/>
      <c r="AH119" s="1208"/>
      <c r="AI119" s="1184"/>
      <c r="AJ119" s="1184"/>
      <c r="AK119" s="1184"/>
      <c r="AL119" s="1185">
        <v>1</v>
      </c>
    </row>
    <row r="120" spans="1:40" s="709" customFormat="1" ht="30" customHeight="1">
      <c r="A120" s="1181"/>
      <c r="B120" s="1240"/>
      <c r="C120" s="1243" t="s">
        <v>2668</v>
      </c>
      <c r="D120" s="1243"/>
      <c r="E120" s="1243"/>
      <c r="F120" s="1243"/>
      <c r="G120" s="1243"/>
      <c r="H120" s="1243"/>
      <c r="I120" s="1243"/>
      <c r="J120" s="1243"/>
      <c r="K120" s="1243"/>
      <c r="L120" s="1243"/>
      <c r="M120" s="1243"/>
      <c r="N120" s="1243"/>
      <c r="O120" s="1243"/>
      <c r="P120" s="1243"/>
      <c r="Q120" s="1208"/>
      <c r="R120" s="1208"/>
      <c r="S120" s="1208"/>
      <c r="T120" s="1208"/>
      <c r="U120" s="1208"/>
      <c r="V120" s="1208"/>
      <c r="W120" s="1208"/>
      <c r="X120" s="1208"/>
      <c r="Y120" s="1208"/>
      <c r="Z120" s="1208"/>
      <c r="AA120" s="1208"/>
      <c r="AB120" s="1208"/>
      <c r="AC120" s="1208"/>
      <c r="AD120" s="1208"/>
      <c r="AE120" s="1208"/>
      <c r="AF120" s="1208"/>
      <c r="AG120" s="1208"/>
      <c r="AH120" s="1208"/>
      <c r="AI120" s="1184"/>
      <c r="AJ120" s="1184"/>
      <c r="AK120" s="1184"/>
      <c r="AL120" s="1185">
        <v>1</v>
      </c>
    </row>
    <row r="121" spans="1:40" s="709" customFormat="1" ht="30" customHeight="1">
      <c r="A121" s="1181"/>
      <c r="B121" s="1240"/>
      <c r="C121" s="1241"/>
      <c r="D121" s="1241"/>
      <c r="E121" s="1241"/>
      <c r="F121" s="1241"/>
      <c r="G121" s="1241"/>
      <c r="H121" s="1241"/>
      <c r="I121" s="1241"/>
      <c r="J121" s="1241"/>
      <c r="K121" s="1241"/>
      <c r="L121" s="1241"/>
      <c r="M121" s="1241"/>
      <c r="N121" s="1241"/>
      <c r="O121" s="1241"/>
      <c r="P121" s="1241"/>
      <c r="Q121" s="1208"/>
      <c r="R121" s="1208"/>
      <c r="S121" s="1208"/>
      <c r="T121" s="1208"/>
      <c r="U121" s="1208"/>
      <c r="V121" s="1208"/>
      <c r="W121" s="1208"/>
      <c r="X121" s="1208"/>
      <c r="Y121" s="1208"/>
      <c r="Z121" s="1208"/>
      <c r="AA121" s="1208"/>
      <c r="AB121" s="1208"/>
      <c r="AC121" s="1208"/>
      <c r="AD121" s="1208"/>
      <c r="AE121" s="1208"/>
      <c r="AF121" s="1208"/>
      <c r="AG121" s="1208"/>
      <c r="AH121" s="1208"/>
      <c r="AI121" s="1184"/>
      <c r="AJ121" s="1184"/>
      <c r="AK121" s="1184"/>
      <c r="AL121" s="1185">
        <v>1</v>
      </c>
    </row>
    <row r="122" spans="1:40" s="709" customFormat="1" ht="30" customHeight="1">
      <c r="A122" s="1181"/>
      <c r="B122" s="1209"/>
      <c r="C122" s="1210"/>
      <c r="D122" s="1211"/>
      <c r="E122" s="1211"/>
      <c r="F122" s="1211"/>
      <c r="G122" s="1211"/>
      <c r="H122" s="1211"/>
      <c r="I122" s="1211"/>
      <c r="J122" s="1211"/>
      <c r="K122" s="1211"/>
      <c r="L122" s="1211"/>
      <c r="M122" s="1211"/>
      <c r="N122" s="1211"/>
      <c r="O122" s="1211"/>
      <c r="P122" s="1208"/>
      <c r="Q122" s="1208"/>
      <c r="R122" s="1208"/>
      <c r="S122" s="1208"/>
      <c r="T122" s="1208"/>
      <c r="U122" s="1208"/>
      <c r="V122" s="1208"/>
      <c r="W122" s="1208"/>
      <c r="X122" s="1208"/>
      <c r="Y122" s="1208"/>
      <c r="Z122" s="1208"/>
      <c r="AA122" s="1208"/>
      <c r="AB122" s="1208"/>
      <c r="AC122" s="1208"/>
      <c r="AD122" s="1208"/>
      <c r="AE122" s="1208"/>
      <c r="AF122" s="1208"/>
      <c r="AG122" s="1208"/>
      <c r="AH122" s="1208"/>
      <c r="AI122" s="1184"/>
      <c r="AJ122" s="1184"/>
      <c r="AK122" s="1184"/>
      <c r="AL122" s="1185">
        <v>1</v>
      </c>
    </row>
    <row r="123" spans="1:40" s="1244" customFormat="1" ht="39.950000000000003" customHeight="1">
      <c r="A123" s="1181"/>
      <c r="B123" s="1245"/>
      <c r="C123" s="1209" t="s">
        <v>3195</v>
      </c>
      <c r="D123" s="1209"/>
      <c r="E123" s="1183"/>
      <c r="F123" s="1183"/>
      <c r="G123" s="1183"/>
      <c r="H123" s="1183"/>
      <c r="I123" s="1183"/>
      <c r="J123" s="1183"/>
      <c r="K123" s="1183"/>
      <c r="L123" s="1183"/>
      <c r="M123" s="1183"/>
      <c r="N123" s="1183"/>
      <c r="O123" s="1183"/>
      <c r="P123" s="1183"/>
      <c r="Q123" s="1183"/>
      <c r="R123" s="1183"/>
      <c r="S123" s="1183"/>
      <c r="T123" s="1183"/>
      <c r="U123" s="1183"/>
      <c r="V123" s="1183"/>
      <c r="W123" s="1208"/>
      <c r="X123" s="1208"/>
      <c r="Y123" s="1208"/>
      <c r="Z123" s="1208"/>
      <c r="AA123" s="1208"/>
      <c r="AB123" s="1208"/>
      <c r="AC123" s="1208"/>
      <c r="AD123" s="1208"/>
      <c r="AE123" s="1208"/>
      <c r="AF123" s="1183"/>
      <c r="AG123" s="1183"/>
      <c r="AH123" s="1183"/>
      <c r="AI123" s="1184"/>
      <c r="AJ123" s="1184"/>
      <c r="AK123" s="1184"/>
      <c r="AL123" s="1185">
        <v>1</v>
      </c>
      <c r="AM123" s="709"/>
      <c r="AN123" s="709"/>
    </row>
    <row r="124" spans="1:40" s="1244" customFormat="1" ht="39.950000000000003" customHeight="1">
      <c r="A124" s="1181"/>
      <c r="B124" s="1196" t="s">
        <v>3196</v>
      </c>
      <c r="C124" s="1190"/>
      <c r="D124" s="1181"/>
      <c r="E124" s="1181"/>
      <c r="F124" s="1181"/>
      <c r="G124" s="1181"/>
      <c r="H124" s="1181"/>
      <c r="I124" s="1246"/>
      <c r="J124" s="1181"/>
      <c r="K124" s="1181"/>
      <c r="L124" s="1181"/>
      <c r="M124" s="1181"/>
      <c r="N124" s="1181"/>
      <c r="O124" s="1246"/>
      <c r="P124" s="1246"/>
      <c r="Q124" s="1246"/>
      <c r="R124" s="1246"/>
      <c r="S124" s="1246"/>
      <c r="T124" s="1183"/>
      <c r="U124" s="1183"/>
      <c r="V124" s="1183"/>
      <c r="W124" s="1208"/>
      <c r="X124" s="1208"/>
      <c r="Y124" s="1208"/>
      <c r="Z124" s="1208"/>
      <c r="AA124" s="1208"/>
      <c r="AB124" s="1208"/>
      <c r="AC124" s="1208"/>
      <c r="AD124" s="1208"/>
      <c r="AE124" s="1208"/>
      <c r="AF124" s="1183"/>
      <c r="AG124" s="1183"/>
      <c r="AH124" s="1183"/>
      <c r="AI124" s="1184"/>
      <c r="AJ124" s="1184"/>
      <c r="AK124" s="1184"/>
      <c r="AL124" s="1185">
        <v>1</v>
      </c>
      <c r="AM124" s="709"/>
      <c r="AN124" s="709"/>
    </row>
    <row r="125" spans="1:40" ht="25.5">
      <c r="A125" s="1181"/>
      <c r="B125" s="1247"/>
      <c r="C125" s="1248"/>
      <c r="D125" s="1248"/>
      <c r="E125" s="1248"/>
      <c r="F125" s="1249"/>
      <c r="G125" s="1249"/>
      <c r="H125" s="1249"/>
      <c r="I125" s="1249"/>
      <c r="J125" s="1183"/>
      <c r="K125" s="1183"/>
      <c r="L125" s="1183"/>
      <c r="M125" s="1183"/>
      <c r="N125" s="1183"/>
      <c r="O125" s="1183"/>
      <c r="P125" s="1184"/>
      <c r="Q125" s="1246"/>
      <c r="R125" s="1246"/>
      <c r="S125" s="1246"/>
      <c r="T125" s="1183"/>
      <c r="U125" s="1183"/>
      <c r="V125" s="1183"/>
      <c r="W125" s="1208"/>
      <c r="X125" s="1208"/>
      <c r="Y125" s="1208"/>
      <c r="Z125" s="1208"/>
      <c r="AA125" s="1208"/>
      <c r="AB125" s="1208"/>
      <c r="AC125" s="1208"/>
      <c r="AD125" s="1208"/>
      <c r="AE125" s="1208"/>
      <c r="AF125" s="1183"/>
      <c r="AG125" s="1183"/>
      <c r="AH125" s="1183"/>
      <c r="AI125" s="1184"/>
      <c r="AJ125" s="1184"/>
      <c r="AK125" s="1184"/>
      <c r="AL125" s="1185">
        <v>1</v>
      </c>
    </row>
    <row r="126" spans="1:40">
      <c r="A126" s="1181"/>
      <c r="B126" s="922">
        <v>18</v>
      </c>
      <c r="C126" s="922">
        <v>19</v>
      </c>
      <c r="D126" s="922">
        <v>15</v>
      </c>
      <c r="E126" s="922">
        <v>11</v>
      </c>
      <c r="F126" s="922">
        <v>16</v>
      </c>
      <c r="G126" s="922">
        <v>11</v>
      </c>
      <c r="H126" s="922">
        <v>21</v>
      </c>
      <c r="I126" s="922">
        <v>17</v>
      </c>
      <c r="J126" s="922">
        <v>11</v>
      </c>
      <c r="K126" s="922">
        <v>11</v>
      </c>
      <c r="L126" s="922">
        <v>11</v>
      </c>
      <c r="M126" s="922">
        <v>18</v>
      </c>
      <c r="N126" s="922">
        <v>11</v>
      </c>
      <c r="O126" s="922">
        <v>19</v>
      </c>
      <c r="P126" s="922">
        <v>13</v>
      </c>
      <c r="Q126" s="1246"/>
      <c r="R126" s="1246"/>
      <c r="S126" s="1246"/>
      <c r="T126" s="1183"/>
      <c r="U126" s="1183"/>
      <c r="V126" s="1183"/>
      <c r="W126" s="1208"/>
      <c r="X126" s="1208"/>
      <c r="Y126" s="1208"/>
      <c r="Z126" s="1208"/>
      <c r="AA126" s="1208"/>
      <c r="AB126" s="1208"/>
      <c r="AC126" s="1208"/>
      <c r="AD126" s="1208"/>
      <c r="AE126" s="1208"/>
      <c r="AF126" s="1183"/>
      <c r="AG126" s="1183"/>
      <c r="AH126" s="1183"/>
      <c r="AI126" s="1184"/>
      <c r="AJ126" s="1184"/>
      <c r="AK126" s="1184"/>
      <c r="AL126" s="1185">
        <v>1</v>
      </c>
    </row>
    <row r="127" spans="1:40" ht="26.25">
      <c r="A127" s="1181"/>
      <c r="B127" s="5393" t="s">
        <v>686</v>
      </c>
      <c r="C127" s="5394"/>
      <c r="D127" s="5394"/>
      <c r="E127" s="5394"/>
      <c r="F127" s="5394"/>
      <c r="G127" s="5394"/>
      <c r="H127" s="5394"/>
      <c r="I127" s="5394"/>
      <c r="J127" s="5394"/>
      <c r="K127" s="5394"/>
      <c r="L127" s="5394"/>
      <c r="M127" s="5394"/>
      <c r="N127" s="5394"/>
      <c r="O127" s="5394"/>
      <c r="P127" s="5395"/>
      <c r="Q127" s="1246"/>
      <c r="R127" s="1246"/>
      <c r="S127" s="1246"/>
      <c r="T127" s="1183"/>
      <c r="U127" s="1183"/>
      <c r="V127" s="1183"/>
      <c r="W127" s="1208"/>
      <c r="X127" s="1208"/>
      <c r="Y127" s="1208"/>
      <c r="Z127" s="1208"/>
      <c r="AA127" s="1208"/>
      <c r="AB127" s="1208"/>
      <c r="AC127" s="1208"/>
      <c r="AD127" s="1208"/>
      <c r="AE127" s="1208"/>
      <c r="AF127" s="1183"/>
      <c r="AG127" s="1183"/>
      <c r="AH127" s="1183"/>
      <c r="AI127" s="1184"/>
      <c r="AJ127" s="1184"/>
      <c r="AK127" s="1184"/>
      <c r="AL127" s="1185">
        <v>1</v>
      </c>
    </row>
    <row r="128" spans="1:40" ht="21">
      <c r="A128" s="1181"/>
      <c r="B128" s="605" t="s">
        <v>1635</v>
      </c>
      <c r="C128" s="1449" t="s">
        <v>3224</v>
      </c>
      <c r="D128" s="9"/>
      <c r="E128" s="1419"/>
      <c r="F128" s="1250"/>
      <c r="G128" s="1410" t="s">
        <v>3223</v>
      </c>
      <c r="H128" s="1428" t="s">
        <v>3225</v>
      </c>
      <c r="I128"/>
      <c r="J128" s="5408" t="s">
        <v>897</v>
      </c>
      <c r="K128" s="5408"/>
      <c r="L128" s="1428" t="s">
        <v>3226</v>
      </c>
      <c r="M128" s="1251"/>
      <c r="N128" s="1424">
        <f>C129*B129</f>
        <v>1250</v>
      </c>
      <c r="O128" s="1425">
        <f>(C130*B129)/1000</f>
        <v>162.5</v>
      </c>
      <c r="P128" s="1432"/>
      <c r="Q128" s="1246"/>
      <c r="R128" s="1246"/>
      <c r="S128" s="1246"/>
      <c r="T128" s="1183"/>
      <c r="U128" s="1183"/>
      <c r="V128" s="1183"/>
      <c r="W128" s="1208"/>
      <c r="X128" s="1208"/>
      <c r="Y128" s="1208"/>
      <c r="Z128" s="1208"/>
      <c r="AA128" s="1208"/>
      <c r="AB128" s="1208"/>
      <c r="AC128" s="1208"/>
      <c r="AD128" s="1208"/>
      <c r="AE128" s="1208"/>
      <c r="AF128" s="1183"/>
      <c r="AG128" s="1183"/>
      <c r="AH128" s="1183"/>
      <c r="AI128" s="1184"/>
      <c r="AJ128" s="1184"/>
      <c r="AK128" s="1184"/>
      <c r="AL128" s="1185">
        <v>1</v>
      </c>
    </row>
    <row r="129" spans="1:38" ht="21">
      <c r="A129" s="1181"/>
      <c r="B129" s="5398">
        <v>1250</v>
      </c>
      <c r="C129" s="619">
        <v>1</v>
      </c>
      <c r="D129" s="1429" t="str">
        <f>"&lt; Nb of "&amp;J128&amp;" per person "</f>
        <v xml:space="preserve">&lt; Nb of slices per person </v>
      </c>
      <c r="E129" s="1423"/>
      <c r="F129" s="9"/>
      <c r="G129" s="620">
        <v>7</v>
      </c>
      <c r="H129" s="1429" t="str">
        <f>"&lt; Nb "&amp;J128&amp;" in 1 " &amp;G128</f>
        <v>&lt; Nb slices in 1 Tray(s)</v>
      </c>
      <c r="I129" s="1252"/>
      <c r="J129" s="1430" t="str">
        <f>IF(OR(G129="",N128=0),"",INT(N128/G129) &amp; " " &amp; G128 &amp; " de " &amp; G129 &amp; " " &amp; J128 &amp; IF(MOD(N128,G129)&gt;0," + 1 " &amp; G128 &amp; " de " &amp; TEXT(MOD(N128,G129),"0.00") &amp; " " &amp; J128,""))</f>
        <v>178 Tray(s) de 7 slices + 1 Tray(s) de 4.00 slices</v>
      </c>
      <c r="K129" s="1420"/>
      <c r="L129" s="1420"/>
      <c r="M129" s="1420"/>
      <c r="N129" s="1420"/>
      <c r="O129" s="1420"/>
      <c r="P129" s="1433"/>
      <c r="Q129" s="1246"/>
      <c r="R129" s="1246"/>
      <c r="S129" s="1246"/>
      <c r="T129" s="1183"/>
      <c r="U129" s="1183"/>
      <c r="V129" s="1183"/>
      <c r="W129" s="1208"/>
      <c r="X129" s="1208"/>
      <c r="Y129" s="1208"/>
      <c r="Z129" s="1208"/>
      <c r="AA129" s="1208"/>
      <c r="AB129" s="1208"/>
      <c r="AC129" s="1208"/>
      <c r="AD129" s="1208"/>
      <c r="AE129" s="1208"/>
      <c r="AF129" s="1183"/>
      <c r="AG129" s="1183"/>
      <c r="AH129" s="1183"/>
      <c r="AI129" s="1184"/>
      <c r="AJ129" s="1184"/>
      <c r="AK129" s="1184"/>
      <c r="AL129" s="1185">
        <v>1</v>
      </c>
    </row>
    <row r="130" spans="1:38" ht="21">
      <c r="A130" s="1181"/>
      <c r="B130" s="5398"/>
      <c r="C130" s="1427">
        <v>130</v>
      </c>
      <c r="D130" s="1448" t="s">
        <v>901</v>
      </c>
      <c r="E130" s="1253"/>
      <c r="F130" s="9"/>
      <c r="G130" s="1426">
        <v>1.3</v>
      </c>
      <c r="H130" s="1409" t="str">
        <f>"&lt; weight per "&amp; G128</f>
        <v>&lt; weight per Tray(s)</v>
      </c>
      <c r="I130" s="1251"/>
      <c r="J130" s="1431" t="str">
        <f>IF(OR(O128&lt;=0,G130&lt;=0),"",_xlfn.LET(_xlpm.n,ROUND(O128/G130,9),_xlpm.q,INT(_xlpm.n),_xlpm.r,ROUND(O128-_xlpm.q*G130,9),_xlpm.base,_xlpm.q&amp;" "&amp;G128&amp;" de "&amp;TEXT(G130,"0.000")&amp;" kg",IF(_xlpm.r&lt;=0.000000001,_xlpm.base,_xlpm.base&amp;" + 1 "&amp;G128&amp;" de "&amp;TEXT(_xlpm.r,"0.000")&amp;" kg")))</f>
        <v>125 Tray(s) de 1.300 kg</v>
      </c>
      <c r="K130" s="1421"/>
      <c r="L130" s="1421"/>
      <c r="M130" s="1421"/>
      <c r="N130" s="1421"/>
      <c r="O130" s="1421"/>
      <c r="P130" s="1434"/>
      <c r="Q130" s="1246"/>
      <c r="R130" s="1246"/>
      <c r="S130" s="1246"/>
      <c r="T130" s="1183"/>
      <c r="U130" s="1183"/>
      <c r="V130" s="1183"/>
      <c r="W130" s="1208"/>
      <c r="X130" s="1208"/>
      <c r="Y130" s="1208"/>
      <c r="Z130" s="1208"/>
      <c r="AA130" s="1208"/>
      <c r="AB130" s="1208"/>
      <c r="AC130" s="1208"/>
      <c r="AD130" s="1208"/>
      <c r="AE130" s="1208"/>
      <c r="AF130" s="1183"/>
      <c r="AG130" s="1183"/>
      <c r="AH130" s="1183"/>
      <c r="AI130" s="1184"/>
      <c r="AJ130" s="1184"/>
      <c r="AK130" s="1184"/>
      <c r="AL130" s="1185">
        <v>1</v>
      </c>
    </row>
    <row r="131" spans="1:38" ht="21">
      <c r="A131" s="1181"/>
      <c r="B131" s="1435" t="s">
        <v>3222</v>
      </c>
      <c r="C131" s="1254"/>
      <c r="D131" s="1304"/>
      <c r="E131" s="1304"/>
      <c r="F131" s="1304"/>
      <c r="G131" s="1254"/>
      <c r="H131" s="1254"/>
      <c r="I131" s="1254"/>
      <c r="J131" s="1254"/>
      <c r="K131" s="1254"/>
      <c r="L131" s="1254"/>
      <c r="M131" s="1254"/>
      <c r="N131" s="1255"/>
      <c r="O131" s="1422"/>
      <c r="P131" s="1436"/>
      <c r="Q131" s="1246"/>
      <c r="R131" s="1246"/>
      <c r="S131" s="1246"/>
      <c r="T131" s="1183"/>
      <c r="U131" s="1183"/>
      <c r="V131" s="1183"/>
      <c r="W131" s="1208"/>
      <c r="X131" s="1208"/>
      <c r="Y131" s="1208"/>
      <c r="Z131" s="1208"/>
      <c r="AA131" s="1208"/>
      <c r="AB131" s="1208"/>
      <c r="AC131" s="1208"/>
      <c r="AD131" s="1208"/>
      <c r="AE131" s="1208"/>
      <c r="AF131" s="1183"/>
      <c r="AG131" s="1183"/>
      <c r="AH131" s="1183"/>
      <c r="AI131" s="1184"/>
      <c r="AJ131" s="1184"/>
      <c r="AK131" s="1184"/>
      <c r="AL131" s="1185">
        <v>1</v>
      </c>
    </row>
    <row r="132" spans="1:38" s="709" customFormat="1" ht="21">
      <c r="A132" s="1181"/>
      <c r="B132" s="1437"/>
      <c r="C132" s="1438"/>
      <c r="D132" s="1439"/>
      <c r="E132" s="1439"/>
      <c r="F132" s="1440"/>
      <c r="G132" s="1441"/>
      <c r="H132" s="1442"/>
      <c r="I132" s="1443"/>
      <c r="J132" s="1444"/>
      <c r="K132" s="1444"/>
      <c r="L132" s="1444"/>
      <c r="M132" s="1444"/>
      <c r="N132" s="1445"/>
      <c r="O132" s="1446"/>
      <c r="P132" s="1447"/>
      <c r="Q132" s="1246"/>
      <c r="R132" s="1246"/>
      <c r="S132" s="1246"/>
      <c r="T132" s="1183"/>
      <c r="U132" s="1183"/>
      <c r="V132" s="1183"/>
      <c r="W132" s="1208"/>
      <c r="X132" s="1208"/>
      <c r="Y132" s="1208"/>
      <c r="Z132" s="1208"/>
      <c r="AA132" s="1208"/>
      <c r="AB132" s="1208"/>
      <c r="AC132" s="1208"/>
      <c r="AD132" s="1208"/>
      <c r="AE132" s="1208"/>
      <c r="AF132" s="1183"/>
      <c r="AG132" s="1183"/>
      <c r="AH132" s="1183"/>
      <c r="AI132" s="1184"/>
      <c r="AJ132" s="1184"/>
      <c r="AK132" s="1184"/>
      <c r="AL132" s="1185">
        <v>1</v>
      </c>
    </row>
    <row r="133" spans="1:38" s="709" customFormat="1" ht="27">
      <c r="A133" s="1181"/>
      <c r="B133" s="1256"/>
      <c r="C133" s="1181"/>
      <c r="D133" s="1181"/>
      <c r="E133" s="1181"/>
      <c r="F133" s="1181"/>
      <c r="G133" s="1181"/>
      <c r="H133" s="1181"/>
      <c r="I133" s="1246"/>
      <c r="J133" s="1181"/>
      <c r="K133" s="1181"/>
      <c r="L133" s="1181"/>
      <c r="M133" s="1181"/>
      <c r="N133" s="1181"/>
      <c r="O133" s="1246"/>
      <c r="P133" s="1246"/>
      <c r="Q133" s="1246"/>
      <c r="R133" s="1246"/>
      <c r="S133" s="1246"/>
      <c r="T133" s="1183"/>
      <c r="U133" s="1183"/>
      <c r="V133" s="1183"/>
      <c r="W133" s="1208"/>
      <c r="X133" s="1208"/>
      <c r="Y133" s="1208"/>
      <c r="Z133" s="1208"/>
      <c r="AA133" s="1208"/>
      <c r="AB133" s="1208"/>
      <c r="AC133" s="1208"/>
      <c r="AD133" s="1208"/>
      <c r="AE133" s="1208"/>
      <c r="AF133" s="1183"/>
      <c r="AG133" s="1183"/>
      <c r="AH133" s="1183"/>
      <c r="AI133" s="1184"/>
      <c r="AJ133" s="1184"/>
      <c r="AK133" s="1184"/>
      <c r="AL133" s="1185">
        <v>1</v>
      </c>
    </row>
    <row r="134" spans="1:38" s="709" customFormat="1" ht="30" customHeight="1">
      <c r="A134" s="1181"/>
      <c r="B134" s="1257" t="s">
        <v>3197</v>
      </c>
      <c r="C134" s="1258"/>
      <c r="D134" s="1258"/>
      <c r="E134" s="1258"/>
      <c r="F134" s="1258"/>
      <c r="G134" s="1258"/>
      <c r="H134" s="1258"/>
      <c r="I134" s="1258"/>
      <c r="J134" s="1258"/>
      <c r="K134" s="1211" t="s">
        <v>22</v>
      </c>
      <c r="L134" s="1211"/>
      <c r="M134" s="1211"/>
      <c r="N134" s="1211"/>
      <c r="O134" s="1211"/>
      <c r="P134" s="1208"/>
      <c r="Q134" s="1208"/>
      <c r="R134" s="1208"/>
      <c r="S134" s="1246"/>
      <c r="T134" s="1208"/>
      <c r="U134" s="1183"/>
      <c r="V134" s="1208"/>
      <c r="W134" s="1208"/>
      <c r="X134" s="1208"/>
      <c r="Y134" s="1208"/>
      <c r="Z134" s="1208"/>
      <c r="AA134" s="1208"/>
      <c r="AB134" s="1208"/>
      <c r="AC134" s="1208"/>
      <c r="AD134" s="1208"/>
      <c r="AE134" s="1208"/>
      <c r="AF134" s="1184"/>
      <c r="AG134" s="1184"/>
      <c r="AH134" s="1184"/>
      <c r="AI134" s="1184"/>
      <c r="AJ134" s="1184"/>
      <c r="AK134" s="1184"/>
      <c r="AL134" s="1185">
        <v>1</v>
      </c>
    </row>
    <row r="135" spans="1:38" s="709" customFormat="1" ht="30" customHeight="1">
      <c r="A135" s="1181"/>
      <c r="B135" s="1259" t="s">
        <v>3198</v>
      </c>
      <c r="C135" s="1258"/>
      <c r="D135" s="1258"/>
      <c r="E135" s="1258"/>
      <c r="F135" s="1258"/>
      <c r="G135" s="1258"/>
      <c r="H135" s="1258"/>
      <c r="I135" s="1258"/>
      <c r="J135" s="1258"/>
      <c r="K135" s="1211" t="s">
        <v>22</v>
      </c>
      <c r="L135" s="1211"/>
      <c r="M135" s="1211"/>
      <c r="N135" s="1211"/>
      <c r="O135" s="1211"/>
      <c r="P135" s="1208"/>
      <c r="Q135" s="1208"/>
      <c r="R135" s="1208"/>
      <c r="S135" s="1246"/>
      <c r="T135" s="1208"/>
      <c r="U135" s="1183"/>
      <c r="V135" s="1208"/>
      <c r="W135" s="1208"/>
      <c r="X135" s="1208"/>
      <c r="Y135" s="1208"/>
      <c r="Z135" s="1208"/>
      <c r="AA135" s="1208"/>
      <c r="AB135" s="1208"/>
      <c r="AC135" s="1208"/>
      <c r="AD135" s="1208"/>
      <c r="AE135" s="1208"/>
      <c r="AF135" s="1184"/>
      <c r="AG135" s="1184"/>
      <c r="AH135" s="1184"/>
      <c r="AI135" s="1184"/>
      <c r="AJ135" s="1184"/>
      <c r="AK135" s="1184"/>
      <c r="AL135" s="1185">
        <v>1</v>
      </c>
    </row>
    <row r="136" spans="1:38" s="709" customFormat="1" ht="30" customHeight="1">
      <c r="A136" s="1181"/>
      <c r="B136" s="1259" t="s">
        <v>3199</v>
      </c>
      <c r="C136" s="1258"/>
      <c r="D136" s="1258"/>
      <c r="E136" s="1258"/>
      <c r="F136" s="1258"/>
      <c r="G136" s="1258"/>
      <c r="H136" s="1258"/>
      <c r="I136" s="1258"/>
      <c r="J136" s="1258"/>
      <c r="K136" s="1211" t="s">
        <v>22</v>
      </c>
      <c r="L136" s="1211"/>
      <c r="M136" s="1211"/>
      <c r="N136" s="1211"/>
      <c r="O136" s="1211"/>
      <c r="P136" s="1208"/>
      <c r="Q136" s="1208"/>
      <c r="R136" s="1208"/>
      <c r="S136" s="1246"/>
      <c r="T136" s="1208"/>
      <c r="U136" s="1183"/>
      <c r="V136" s="1208"/>
      <c r="W136" s="1208"/>
      <c r="X136" s="1208"/>
      <c r="Y136" s="1208"/>
      <c r="Z136" s="1208"/>
      <c r="AA136" s="1208"/>
      <c r="AB136" s="1208"/>
      <c r="AC136" s="1208"/>
      <c r="AD136" s="1208"/>
      <c r="AE136" s="1208"/>
      <c r="AF136" s="1184"/>
      <c r="AG136" s="1184"/>
      <c r="AH136" s="1184"/>
      <c r="AI136" s="1184"/>
      <c r="AJ136" s="1184"/>
      <c r="AK136" s="1184"/>
      <c r="AL136" s="1185">
        <v>1</v>
      </c>
    </row>
    <row r="137" spans="1:38" s="709" customFormat="1" ht="30" customHeight="1">
      <c r="A137" s="1181"/>
      <c r="B137" s="1259" t="s">
        <v>3200</v>
      </c>
      <c r="C137" s="1258"/>
      <c r="D137" s="1258"/>
      <c r="E137" s="1258"/>
      <c r="F137" s="1258"/>
      <c r="G137" s="1258"/>
      <c r="H137" s="1258"/>
      <c r="I137" s="1258"/>
      <c r="J137" s="1258"/>
      <c r="K137" s="1211" t="s">
        <v>22</v>
      </c>
      <c r="L137" s="1211"/>
      <c r="M137" s="1211"/>
      <c r="N137" s="1211"/>
      <c r="O137" s="1211"/>
      <c r="P137" s="1208"/>
      <c r="Q137" s="1208"/>
      <c r="R137" s="1208"/>
      <c r="S137" s="1246"/>
      <c r="T137" s="1208"/>
      <c r="U137" s="1208"/>
      <c r="V137" s="1208"/>
      <c r="W137" s="1208"/>
      <c r="X137" s="1208"/>
      <c r="Y137" s="1208"/>
      <c r="Z137" s="1208"/>
      <c r="AA137" s="1183"/>
      <c r="AB137" s="1208"/>
      <c r="AC137" s="1208"/>
      <c r="AD137" s="1208"/>
      <c r="AE137" s="1208"/>
      <c r="AF137" s="1184"/>
      <c r="AG137" s="1184"/>
      <c r="AH137" s="1184"/>
      <c r="AI137" s="1184"/>
      <c r="AJ137" s="1184"/>
      <c r="AK137" s="1184"/>
      <c r="AL137" s="1185">
        <v>1</v>
      </c>
    </row>
    <row r="138" spans="1:38" s="709" customFormat="1" ht="30" customHeight="1">
      <c r="A138" s="1181"/>
      <c r="B138" s="1260" t="s">
        <v>2677</v>
      </c>
      <c r="C138" s="1258"/>
      <c r="D138" s="1258"/>
      <c r="E138" s="1258"/>
      <c r="F138" s="1258"/>
      <c r="G138" s="1258"/>
      <c r="H138" s="1258"/>
      <c r="I138" s="1258"/>
      <c r="J138" s="1258"/>
      <c r="K138" s="1211" t="s">
        <v>22</v>
      </c>
      <c r="L138" s="1211"/>
      <c r="M138" s="1211"/>
      <c r="N138" s="1211"/>
      <c r="O138" s="1211"/>
      <c r="P138" s="1208"/>
      <c r="Q138" s="1208"/>
      <c r="R138" s="1208"/>
      <c r="S138" s="1246"/>
      <c r="T138" s="1208"/>
      <c r="U138" s="1208"/>
      <c r="V138" s="1208"/>
      <c r="W138" s="1208"/>
      <c r="X138" s="1208"/>
      <c r="Y138" s="1208"/>
      <c r="Z138" s="1208"/>
      <c r="AA138" s="1183"/>
      <c r="AB138" s="1208"/>
      <c r="AC138" s="1208"/>
      <c r="AD138" s="1208"/>
      <c r="AE138" s="1208"/>
      <c r="AF138" s="1184"/>
      <c r="AG138" s="1184"/>
      <c r="AH138" s="1184"/>
      <c r="AI138" s="1184"/>
      <c r="AJ138" s="1184"/>
      <c r="AK138" s="1184"/>
      <c r="AL138" s="1185">
        <v>1</v>
      </c>
    </row>
    <row r="139" spans="1:38" s="709" customFormat="1" ht="30" customHeight="1">
      <c r="A139" s="1181"/>
      <c r="B139" s="1259" t="s">
        <v>3201</v>
      </c>
      <c r="C139" s="1258"/>
      <c r="D139" s="1258"/>
      <c r="E139" s="1258"/>
      <c r="F139" s="1258"/>
      <c r="G139" s="1258"/>
      <c r="H139" s="1258"/>
      <c r="I139" s="1258"/>
      <c r="J139" s="1258"/>
      <c r="K139" s="1211" t="s">
        <v>22</v>
      </c>
      <c r="L139" s="1211"/>
      <c r="M139" s="1211"/>
      <c r="N139" s="1211"/>
      <c r="O139" s="1211"/>
      <c r="P139" s="1208"/>
      <c r="Q139" s="1208"/>
      <c r="R139" s="1208"/>
      <c r="S139" s="1246"/>
      <c r="T139" s="1208"/>
      <c r="U139" s="1208"/>
      <c r="V139" s="1208"/>
      <c r="W139" s="1208"/>
      <c r="X139" s="1208"/>
      <c r="Y139" s="1208"/>
      <c r="Z139" s="1208"/>
      <c r="AA139" s="1183"/>
      <c r="AB139" s="1208"/>
      <c r="AC139" s="1208"/>
      <c r="AD139" s="1208"/>
      <c r="AE139" s="1208"/>
      <c r="AF139" s="1184"/>
      <c r="AG139" s="1184"/>
      <c r="AH139" s="1184"/>
      <c r="AI139" s="1184"/>
      <c r="AJ139" s="1184"/>
      <c r="AK139" s="1184"/>
      <c r="AL139" s="1185">
        <v>1</v>
      </c>
    </row>
    <row r="140" spans="1:38" s="709" customFormat="1" ht="30" customHeight="1">
      <c r="A140" s="1181"/>
      <c r="B140" s="1261" t="s">
        <v>2679</v>
      </c>
      <c r="C140" s="1258"/>
      <c r="D140" s="1258"/>
      <c r="E140" s="1258"/>
      <c r="F140" s="1258"/>
      <c r="G140" s="1258"/>
      <c r="H140" s="1258"/>
      <c r="I140" s="1258"/>
      <c r="J140" s="1258"/>
      <c r="K140" s="1211" t="s">
        <v>22</v>
      </c>
      <c r="L140" s="1211"/>
      <c r="M140" s="1211"/>
      <c r="N140" s="1211"/>
      <c r="O140" s="1211"/>
      <c r="P140" s="1208"/>
      <c r="Q140" s="1208"/>
      <c r="R140" s="1208"/>
      <c r="S140" s="1246"/>
      <c r="T140" s="1208"/>
      <c r="U140" s="1208"/>
      <c r="V140" s="1208"/>
      <c r="W140" s="1208"/>
      <c r="X140" s="1208"/>
      <c r="Y140" s="1208"/>
      <c r="Z140" s="1208"/>
      <c r="AA140" s="1183"/>
      <c r="AB140" s="1208"/>
      <c r="AC140" s="1208"/>
      <c r="AD140" s="1208"/>
      <c r="AE140" s="1208"/>
      <c r="AF140" s="1184"/>
      <c r="AG140" s="1184"/>
      <c r="AH140" s="1184"/>
      <c r="AI140" s="1184"/>
      <c r="AJ140" s="1184"/>
      <c r="AK140" s="1184"/>
      <c r="AL140" s="1185">
        <v>1</v>
      </c>
    </row>
    <row r="141" spans="1:38" s="709" customFormat="1" ht="30" customHeight="1">
      <c r="A141" s="1181"/>
      <c r="B141" s="1259" t="s">
        <v>3202</v>
      </c>
      <c r="C141" s="1258"/>
      <c r="D141" s="1258"/>
      <c r="E141" s="1258"/>
      <c r="F141" s="1258"/>
      <c r="G141" s="1258"/>
      <c r="H141" s="1258"/>
      <c r="I141" s="1258"/>
      <c r="J141" s="1258"/>
      <c r="K141" s="1211" t="s">
        <v>22</v>
      </c>
      <c r="L141" s="1211"/>
      <c r="M141" s="1211"/>
      <c r="N141" s="1211"/>
      <c r="O141" s="1211"/>
      <c r="P141" s="1208"/>
      <c r="Q141" s="1208"/>
      <c r="R141" s="1208"/>
      <c r="S141" s="1246"/>
      <c r="T141" s="1208"/>
      <c r="U141" s="1208"/>
      <c r="V141" s="1208"/>
      <c r="W141" s="1208"/>
      <c r="X141" s="1208"/>
      <c r="Y141" s="1208"/>
      <c r="Z141" s="1208"/>
      <c r="AA141" s="1183"/>
      <c r="AB141" s="1208"/>
      <c r="AC141" s="1208"/>
      <c r="AD141" s="1208"/>
      <c r="AE141" s="1208"/>
      <c r="AF141" s="1184"/>
      <c r="AG141" s="1184"/>
      <c r="AH141" s="1184"/>
      <c r="AI141" s="1184"/>
      <c r="AJ141" s="1184"/>
      <c r="AK141" s="1184"/>
      <c r="AL141" s="1185">
        <v>1</v>
      </c>
    </row>
    <row r="142" spans="1:38" s="709" customFormat="1" ht="30" customHeight="1">
      <c r="A142" s="1181"/>
      <c r="B142" s="1258"/>
      <c r="C142" s="1258"/>
      <c r="D142" s="1258"/>
      <c r="E142" s="1258"/>
      <c r="F142" s="1258"/>
      <c r="G142" s="1258"/>
      <c r="H142" s="1258"/>
      <c r="I142" s="1258"/>
      <c r="J142" s="1258"/>
      <c r="K142" s="1211" t="s">
        <v>22</v>
      </c>
      <c r="L142" s="1211"/>
      <c r="M142" s="1211"/>
      <c r="N142" s="1211"/>
      <c r="O142" s="1211"/>
      <c r="P142" s="1208"/>
      <c r="Q142" s="1208"/>
      <c r="R142" s="1208"/>
      <c r="S142" s="1246"/>
      <c r="T142" s="1208"/>
      <c r="U142" s="1208"/>
      <c r="V142" s="1208"/>
      <c r="W142" s="1208"/>
      <c r="X142" s="1208"/>
      <c r="Y142" s="1208"/>
      <c r="Z142" s="1208"/>
      <c r="AA142" s="1183"/>
      <c r="AB142" s="1208"/>
      <c r="AC142" s="1208"/>
      <c r="AD142" s="1208"/>
      <c r="AE142" s="1208"/>
      <c r="AF142" s="1184"/>
      <c r="AG142" s="1184"/>
      <c r="AH142" s="1184"/>
      <c r="AI142" s="1184"/>
      <c r="AJ142" s="1184"/>
      <c r="AK142" s="1184"/>
      <c r="AL142" s="1185">
        <v>1</v>
      </c>
    </row>
    <row r="143" spans="1:38" s="709" customFormat="1" ht="30" customHeight="1">
      <c r="A143" s="1181"/>
      <c r="B143" s="1259" t="s">
        <v>3203</v>
      </c>
      <c r="C143" s="1258"/>
      <c r="D143" s="1258"/>
      <c r="E143" s="1258"/>
      <c r="F143" s="1258"/>
      <c r="G143" s="1258"/>
      <c r="H143" s="1258"/>
      <c r="I143" s="1258"/>
      <c r="J143" s="1258"/>
      <c r="K143" s="1211" t="s">
        <v>22</v>
      </c>
      <c r="L143" s="1211"/>
      <c r="M143" s="1211"/>
      <c r="N143" s="1211"/>
      <c r="O143" s="1211"/>
      <c r="P143" s="1208"/>
      <c r="Q143" s="1208"/>
      <c r="R143" s="1208"/>
      <c r="S143" s="1246"/>
      <c r="T143" s="1208"/>
      <c r="U143" s="1208"/>
      <c r="V143" s="1208"/>
      <c r="W143" s="1208"/>
      <c r="X143" s="1208"/>
      <c r="Y143" s="1208"/>
      <c r="Z143" s="1208"/>
      <c r="AA143" s="1183"/>
      <c r="AB143" s="1208"/>
      <c r="AC143" s="1208"/>
      <c r="AD143" s="1208"/>
      <c r="AE143" s="1208"/>
      <c r="AF143" s="1184"/>
      <c r="AG143" s="1184"/>
      <c r="AH143" s="1184"/>
      <c r="AI143" s="1184"/>
      <c r="AJ143" s="1184"/>
      <c r="AK143" s="1184"/>
      <c r="AL143" s="1185">
        <v>1</v>
      </c>
    </row>
    <row r="144" spans="1:38" s="709" customFormat="1" ht="30" customHeight="1">
      <c r="A144" s="1181"/>
      <c r="B144" s="1260" t="s">
        <v>2682</v>
      </c>
      <c r="C144" s="1258"/>
      <c r="D144" s="1258"/>
      <c r="E144" s="1258"/>
      <c r="F144" s="1258"/>
      <c r="G144" s="1258"/>
      <c r="H144" s="1258"/>
      <c r="I144" s="1258"/>
      <c r="J144" s="1258"/>
      <c r="K144" s="1211" t="s">
        <v>22</v>
      </c>
      <c r="L144" s="1211"/>
      <c r="M144" s="1211"/>
      <c r="N144" s="1211"/>
      <c r="O144" s="1211"/>
      <c r="P144" s="1208"/>
      <c r="Q144" s="1208"/>
      <c r="R144" s="1208"/>
      <c r="S144" s="1246"/>
      <c r="T144" s="1208"/>
      <c r="U144" s="1208"/>
      <c r="V144" s="1208"/>
      <c r="W144" s="1208"/>
      <c r="X144" s="1208"/>
      <c r="Y144" s="1208"/>
      <c r="Z144" s="1208"/>
      <c r="AA144" s="1183"/>
      <c r="AB144" s="1208"/>
      <c r="AC144" s="1208"/>
      <c r="AD144" s="1208"/>
      <c r="AE144" s="1208"/>
      <c r="AF144" s="1184"/>
      <c r="AG144" s="1184"/>
      <c r="AH144" s="1184"/>
      <c r="AI144" s="1184"/>
      <c r="AJ144" s="1184"/>
      <c r="AK144" s="1184"/>
      <c r="AL144" s="1185">
        <v>1</v>
      </c>
    </row>
    <row r="145" spans="1:38" s="709" customFormat="1" ht="30" customHeight="1">
      <c r="A145" s="1181"/>
      <c r="B145" s="1259"/>
      <c r="C145" s="1258"/>
      <c r="D145" s="1258"/>
      <c r="E145" s="1258"/>
      <c r="F145" s="1258"/>
      <c r="G145" s="1258"/>
      <c r="H145" s="1258"/>
      <c r="I145" s="1258"/>
      <c r="J145" s="1258"/>
      <c r="K145" s="1211" t="s">
        <v>22</v>
      </c>
      <c r="L145" s="1211"/>
      <c r="M145" s="1211"/>
      <c r="N145" s="1211"/>
      <c r="O145" s="1211"/>
      <c r="P145" s="1208"/>
      <c r="Q145" s="1208"/>
      <c r="R145" s="1208"/>
      <c r="S145" s="1246"/>
      <c r="T145" s="1208"/>
      <c r="U145" s="1208"/>
      <c r="V145" s="1208"/>
      <c r="W145" s="1208"/>
      <c r="X145" s="1208"/>
      <c r="Y145" s="1208"/>
      <c r="Z145" s="1208"/>
      <c r="AA145" s="1183"/>
      <c r="AB145" s="1208"/>
      <c r="AC145" s="1208"/>
      <c r="AD145" s="1208"/>
      <c r="AE145" s="1208"/>
      <c r="AF145" s="1184"/>
      <c r="AG145" s="1184"/>
      <c r="AH145" s="1184"/>
      <c r="AI145" s="1184"/>
      <c r="AJ145" s="1184"/>
      <c r="AK145" s="1184"/>
      <c r="AL145" s="1185">
        <v>1</v>
      </c>
    </row>
    <row r="146" spans="1:38" s="709" customFormat="1" ht="30" customHeight="1">
      <c r="A146" s="1181"/>
      <c r="B146" s="1259" t="s">
        <v>3204</v>
      </c>
      <c r="C146" s="1258"/>
      <c r="D146" s="1258"/>
      <c r="E146" s="1258"/>
      <c r="F146" s="1258"/>
      <c r="G146" s="1258"/>
      <c r="H146" s="1258"/>
      <c r="I146" s="1258"/>
      <c r="J146" s="1258"/>
      <c r="K146" s="1211" t="s">
        <v>22</v>
      </c>
      <c r="L146" s="1211"/>
      <c r="M146" s="1211"/>
      <c r="N146" s="1211"/>
      <c r="O146" s="1211"/>
      <c r="P146" s="1208"/>
      <c r="Q146" s="1208"/>
      <c r="R146" s="1208"/>
      <c r="S146" s="1246"/>
      <c r="T146" s="1208"/>
      <c r="U146" s="1208"/>
      <c r="V146" s="1208"/>
      <c r="W146" s="1208"/>
      <c r="X146" s="1208"/>
      <c r="Y146" s="1208"/>
      <c r="Z146" s="1208"/>
      <c r="AA146" s="1183"/>
      <c r="AB146" s="1208"/>
      <c r="AC146" s="1208"/>
      <c r="AD146" s="1208"/>
      <c r="AE146" s="1208"/>
      <c r="AF146" s="1184"/>
      <c r="AG146" s="1184"/>
      <c r="AH146" s="1184"/>
      <c r="AI146" s="1184"/>
      <c r="AJ146" s="1184"/>
      <c r="AK146" s="1184"/>
      <c r="AL146" s="1185">
        <v>1</v>
      </c>
    </row>
    <row r="147" spans="1:38" s="709" customFormat="1" ht="30" customHeight="1">
      <c r="A147" s="1181"/>
      <c r="B147" s="1260" t="s">
        <v>2684</v>
      </c>
      <c r="C147" s="1258"/>
      <c r="D147" s="1258"/>
      <c r="E147" s="1258"/>
      <c r="F147" s="1258"/>
      <c r="G147" s="1258"/>
      <c r="H147" s="1258"/>
      <c r="I147" s="1258"/>
      <c r="J147" s="1258"/>
      <c r="K147" s="1211" t="s">
        <v>22</v>
      </c>
      <c r="L147" s="1211"/>
      <c r="M147" s="1211"/>
      <c r="N147" s="1211"/>
      <c r="O147" s="1211"/>
      <c r="P147" s="1208"/>
      <c r="Q147" s="1208"/>
      <c r="R147" s="1208"/>
      <c r="S147" s="1246"/>
      <c r="T147" s="1208"/>
      <c r="U147" s="1208"/>
      <c r="V147" s="1208"/>
      <c r="W147" s="1208"/>
      <c r="X147" s="1208"/>
      <c r="Y147" s="1208"/>
      <c r="Z147" s="1208"/>
      <c r="AA147" s="1183"/>
      <c r="AB147" s="1208"/>
      <c r="AC147" s="1208"/>
      <c r="AD147" s="1208"/>
      <c r="AE147" s="1208"/>
      <c r="AF147" s="1184"/>
      <c r="AG147" s="1184"/>
      <c r="AH147" s="1184"/>
      <c r="AI147" s="1184"/>
      <c r="AJ147" s="1184"/>
      <c r="AK147" s="1184"/>
      <c r="AL147" s="1185">
        <v>1</v>
      </c>
    </row>
    <row r="148" spans="1:38" s="709" customFormat="1" ht="30" customHeight="1">
      <c r="A148" s="1181"/>
      <c r="B148" s="1260" t="s">
        <v>2685</v>
      </c>
      <c r="C148" s="1258"/>
      <c r="D148" s="1258"/>
      <c r="E148" s="1258"/>
      <c r="F148" s="1258"/>
      <c r="G148" s="1258"/>
      <c r="H148" s="1258"/>
      <c r="I148" s="1258"/>
      <c r="J148" s="1258"/>
      <c r="K148" s="1211" t="s">
        <v>22</v>
      </c>
      <c r="L148" s="1211"/>
      <c r="M148" s="1211"/>
      <c r="N148" s="1183"/>
      <c r="O148" s="1183"/>
      <c r="P148" s="1208"/>
      <c r="Q148" s="1208"/>
      <c r="R148" s="1208"/>
      <c r="S148" s="1246"/>
      <c r="T148" s="1208"/>
      <c r="U148" s="1208"/>
      <c r="V148" s="1208"/>
      <c r="W148" s="1208"/>
      <c r="X148" s="1208"/>
      <c r="Y148" s="1208"/>
      <c r="Z148" s="1208"/>
      <c r="AA148" s="1183"/>
      <c r="AB148" s="1208"/>
      <c r="AC148" s="1208"/>
      <c r="AD148" s="1208"/>
      <c r="AE148" s="1208"/>
      <c r="AF148" s="1184"/>
      <c r="AG148" s="1184"/>
      <c r="AH148" s="1184"/>
      <c r="AI148" s="1184"/>
      <c r="AJ148" s="1184"/>
      <c r="AK148" s="1184"/>
      <c r="AL148" s="1185">
        <v>1</v>
      </c>
    </row>
    <row r="149" spans="1:38" s="709" customFormat="1" ht="30" customHeight="1">
      <c r="A149" s="1181"/>
      <c r="B149" s="1259" t="s">
        <v>3205</v>
      </c>
      <c r="C149" s="1258"/>
      <c r="D149" s="1258"/>
      <c r="E149" s="1258"/>
      <c r="F149" s="1258"/>
      <c r="G149" s="1258"/>
      <c r="H149" s="1258"/>
      <c r="I149" s="1258"/>
      <c r="J149" s="1258"/>
      <c r="K149" s="1211"/>
      <c r="L149" s="1211"/>
      <c r="M149" s="1211"/>
      <c r="N149" s="1183"/>
      <c r="O149" s="1183"/>
      <c r="P149" s="1208"/>
      <c r="Q149" s="1208"/>
      <c r="R149" s="1208"/>
      <c r="S149" s="1246"/>
      <c r="T149" s="1208"/>
      <c r="U149" s="1208"/>
      <c r="V149" s="1208"/>
      <c r="W149" s="1208"/>
      <c r="X149" s="1208"/>
      <c r="Y149" s="1208"/>
      <c r="Z149" s="1208"/>
      <c r="AA149" s="1183"/>
      <c r="AB149" s="1208"/>
      <c r="AC149" s="1208"/>
      <c r="AD149" s="1208"/>
      <c r="AE149" s="1208"/>
      <c r="AF149" s="1184"/>
      <c r="AG149" s="1184"/>
      <c r="AH149" s="1184"/>
      <c r="AI149" s="1184"/>
      <c r="AJ149" s="1184"/>
      <c r="AK149" s="1184"/>
      <c r="AL149" s="1185">
        <v>1</v>
      </c>
    </row>
    <row r="150" spans="1:38" s="709" customFormat="1" ht="30" customHeight="1">
      <c r="A150" s="1181"/>
      <c r="B150" s="1260" t="s">
        <v>2687</v>
      </c>
      <c r="C150" s="1258"/>
      <c r="D150" s="1258"/>
      <c r="E150" s="1258"/>
      <c r="F150" s="1258"/>
      <c r="G150" s="1258"/>
      <c r="H150" s="1258"/>
      <c r="I150" s="1258"/>
      <c r="J150" s="1258"/>
      <c r="K150" s="1211"/>
      <c r="L150" s="1211"/>
      <c r="M150" s="1211"/>
      <c r="N150" s="1183"/>
      <c r="O150" s="1183"/>
      <c r="P150" s="1208"/>
      <c r="Q150" s="1208"/>
      <c r="R150" s="1208"/>
      <c r="S150" s="1246"/>
      <c r="T150" s="1208"/>
      <c r="U150" s="1208"/>
      <c r="V150" s="1208"/>
      <c r="W150" s="1208"/>
      <c r="X150" s="1208"/>
      <c r="Y150" s="1208"/>
      <c r="Z150" s="1208"/>
      <c r="AA150" s="1183"/>
      <c r="AB150" s="1208"/>
      <c r="AC150" s="1208"/>
      <c r="AD150" s="1208"/>
      <c r="AE150" s="1208"/>
      <c r="AF150" s="1184"/>
      <c r="AG150" s="1184"/>
      <c r="AH150" s="1184"/>
      <c r="AI150" s="1184"/>
      <c r="AJ150" s="1184"/>
      <c r="AK150" s="1184"/>
      <c r="AL150" s="1185">
        <v>1</v>
      </c>
    </row>
    <row r="151" spans="1:38" s="709" customFormat="1" ht="27">
      <c r="A151" s="1181"/>
      <c r="B151" s="1256"/>
      <c r="C151" s="1181"/>
      <c r="D151" s="1181"/>
      <c r="E151" s="1181"/>
      <c r="F151" s="1181"/>
      <c r="G151" s="1181"/>
      <c r="H151" s="1181"/>
      <c r="I151" s="1246"/>
      <c r="J151" s="1181"/>
      <c r="K151" s="1181"/>
      <c r="L151" s="1181"/>
      <c r="M151" s="1181"/>
      <c r="N151" s="1181"/>
      <c r="O151" s="1246"/>
      <c r="P151" s="1246"/>
      <c r="Q151" s="1246"/>
      <c r="R151" s="1246"/>
      <c r="S151" s="1246"/>
      <c r="T151" s="1183"/>
      <c r="U151" s="1183"/>
      <c r="V151" s="1183"/>
      <c r="W151" s="1183"/>
      <c r="X151" s="1183"/>
      <c r="Y151" s="1183"/>
      <c r="Z151" s="1183"/>
      <c r="AA151" s="1183"/>
      <c r="AB151" s="1183"/>
      <c r="AC151" s="1183"/>
      <c r="AD151" s="1183"/>
      <c r="AE151" s="1183"/>
      <c r="AF151" s="1183"/>
      <c r="AG151" s="1183"/>
      <c r="AH151" s="1183"/>
      <c r="AI151" s="1184"/>
      <c r="AJ151" s="1184"/>
      <c r="AK151" s="1184"/>
      <c r="AL151" s="1185">
        <v>1</v>
      </c>
    </row>
    <row r="152" spans="1:38" s="709" customFormat="1" ht="26.25">
      <c r="A152" s="1181"/>
      <c r="B152" s="1262" t="s">
        <v>3217</v>
      </c>
      <c r="C152" s="1263"/>
      <c r="D152" s="1264"/>
      <c r="E152" s="1247"/>
      <c r="F152" s="1265"/>
      <c r="G152" s="1265"/>
      <c r="H152" s="1265"/>
      <c r="I152" s="1265"/>
      <c r="J152" s="1266"/>
      <c r="K152" s="1266"/>
      <c r="L152" s="1183"/>
      <c r="M152" s="1183"/>
      <c r="N152" s="1183"/>
      <c r="O152" s="1183"/>
      <c r="P152" s="1184"/>
      <c r="Q152" s="1246"/>
      <c r="R152" s="1246"/>
      <c r="S152" s="1246"/>
      <c r="T152" s="1183"/>
      <c r="U152" s="1183"/>
      <c r="V152" s="1183"/>
      <c r="W152" s="1183"/>
      <c r="X152" s="1183"/>
      <c r="Y152" s="1183"/>
      <c r="Z152" s="1183"/>
      <c r="AA152" s="1183"/>
      <c r="AB152" s="1183"/>
      <c r="AC152" s="1183"/>
      <c r="AD152" s="1183"/>
      <c r="AE152" s="1183"/>
      <c r="AF152" s="1183"/>
      <c r="AG152" s="1183"/>
      <c r="AH152" s="1183"/>
      <c r="AI152" s="1184"/>
      <c r="AJ152" s="1184"/>
      <c r="AK152" s="1184"/>
      <c r="AL152" s="1185">
        <v>1</v>
      </c>
    </row>
    <row r="153" spans="1:38" s="709" customFormat="1" ht="26.25">
      <c r="A153" s="1181"/>
      <c r="B153" s="1267" t="s">
        <v>2689</v>
      </c>
      <c r="C153" s="1268"/>
      <c r="D153" s="1269"/>
      <c r="E153" s="1270"/>
      <c r="F153" s="1270"/>
      <c r="G153" s="1270"/>
      <c r="H153" s="1270"/>
      <c r="I153" s="1270"/>
      <c r="J153" s="1270"/>
      <c r="K153" s="1266">
        <v>1</v>
      </c>
      <c r="L153" s="1183"/>
      <c r="M153" s="1183"/>
      <c r="N153" s="1183"/>
      <c r="O153" s="1183"/>
      <c r="P153" s="1184"/>
      <c r="Q153" s="1246"/>
      <c r="R153" s="1246"/>
      <c r="S153" s="1246"/>
      <c r="T153" s="1183"/>
      <c r="U153" s="1183"/>
      <c r="V153" s="1183"/>
      <c r="W153" s="1183"/>
      <c r="X153" s="1183"/>
      <c r="Y153" s="1183"/>
      <c r="Z153" s="1183"/>
      <c r="AA153" s="1183"/>
      <c r="AB153" s="1183"/>
      <c r="AC153" s="1183"/>
      <c r="AD153" s="1183"/>
      <c r="AE153" s="1183"/>
      <c r="AF153" s="1183"/>
      <c r="AG153" s="1183"/>
      <c r="AH153" s="1183"/>
      <c r="AI153" s="1184"/>
      <c r="AJ153" s="1184"/>
      <c r="AK153" s="1184"/>
      <c r="AL153" s="1185">
        <v>1</v>
      </c>
    </row>
    <row r="154" spans="1:38" s="709" customFormat="1" ht="26.25">
      <c r="A154" s="1181"/>
      <c r="B154" s="1271" t="s">
        <v>3206</v>
      </c>
      <c r="C154" s="1268"/>
      <c r="D154" s="1269"/>
      <c r="E154" s="1270"/>
      <c r="F154" s="1270"/>
      <c r="G154" s="1270"/>
      <c r="H154" s="1270"/>
      <c r="I154" s="1270"/>
      <c r="J154" s="1270"/>
      <c r="K154" s="1266">
        <v>1</v>
      </c>
      <c r="L154" s="1183"/>
      <c r="M154" s="1183"/>
      <c r="N154" s="1183"/>
      <c r="O154" s="1183"/>
      <c r="P154" s="1184"/>
      <c r="Q154" s="1246"/>
      <c r="R154" s="1246"/>
      <c r="S154" s="1246"/>
      <c r="T154" s="1183"/>
      <c r="U154" s="1183"/>
      <c r="V154" s="1183"/>
      <c r="W154" s="1183"/>
      <c r="X154" s="1183"/>
      <c r="Y154" s="1183"/>
      <c r="Z154" s="1183"/>
      <c r="AA154" s="1183"/>
      <c r="AB154" s="1183"/>
      <c r="AC154" s="1183"/>
      <c r="AD154" s="1183"/>
      <c r="AE154" s="1183"/>
      <c r="AF154" s="1183"/>
      <c r="AG154" s="1183"/>
      <c r="AH154" s="1183"/>
      <c r="AI154" s="1184"/>
      <c r="AJ154" s="1184"/>
      <c r="AK154" s="1184"/>
      <c r="AL154" s="1185">
        <v>1</v>
      </c>
    </row>
    <row r="155" spans="1:38" s="709" customFormat="1" ht="26.25">
      <c r="A155" s="1181"/>
      <c r="B155" s="1272" t="s">
        <v>3207</v>
      </c>
      <c r="C155" s="1263"/>
      <c r="D155" s="1273"/>
      <c r="E155" s="1247"/>
      <c r="F155" s="1274" t="s">
        <v>2692</v>
      </c>
      <c r="G155" s="1265"/>
      <c r="H155" s="1265"/>
      <c r="I155" s="1265"/>
      <c r="J155" s="1266"/>
      <c r="K155" s="1266"/>
      <c r="L155" s="1183"/>
      <c r="M155" s="1183"/>
      <c r="N155" s="1183"/>
      <c r="O155" s="1183"/>
      <c r="P155" s="1184"/>
      <c r="Q155" s="1246"/>
      <c r="R155" s="1246"/>
      <c r="S155" s="1246"/>
      <c r="T155" s="1183"/>
      <c r="U155" s="1183"/>
      <c r="V155" s="1183"/>
      <c r="W155" s="1183"/>
      <c r="X155" s="1183"/>
      <c r="Y155" s="1183"/>
      <c r="Z155" s="1183"/>
      <c r="AA155" s="1183"/>
      <c r="AB155" s="1183"/>
      <c r="AC155" s="1183"/>
      <c r="AD155" s="1183"/>
      <c r="AE155" s="1183"/>
      <c r="AF155" s="1183"/>
      <c r="AG155" s="1183"/>
      <c r="AH155" s="1183"/>
      <c r="AI155" s="1184"/>
      <c r="AJ155" s="1184"/>
      <c r="AK155" s="1184"/>
      <c r="AL155" s="1185">
        <v>1</v>
      </c>
    </row>
    <row r="156" spans="1:38" s="709" customFormat="1" ht="26.25">
      <c r="A156" s="1181"/>
      <c r="B156" s="1275"/>
      <c r="C156" s="1276" t="s">
        <v>3208</v>
      </c>
      <c r="D156" s="1273"/>
      <c r="E156" s="1247"/>
      <c r="F156" s="1265"/>
      <c r="G156" s="1265"/>
      <c r="H156" s="1265"/>
      <c r="I156" s="1265"/>
      <c r="J156" s="1266">
        <v>1</v>
      </c>
      <c r="K156" s="1266">
        <v>1</v>
      </c>
      <c r="L156" s="1183"/>
      <c r="M156" s="1183"/>
      <c r="N156" s="1183"/>
      <c r="O156" s="1183"/>
      <c r="P156" s="1184"/>
      <c r="Q156" s="1246"/>
      <c r="R156" s="1246"/>
      <c r="S156" s="1246"/>
      <c r="T156" s="1183"/>
      <c r="U156" s="1183"/>
      <c r="V156" s="1183"/>
      <c r="W156" s="1183"/>
      <c r="X156" s="1183"/>
      <c r="Y156" s="1183"/>
      <c r="Z156" s="1183"/>
      <c r="AA156" s="1183"/>
      <c r="AB156" s="1183"/>
      <c r="AC156" s="1183"/>
      <c r="AD156" s="1183"/>
      <c r="AE156" s="1183"/>
      <c r="AF156" s="1183"/>
      <c r="AG156" s="1183"/>
      <c r="AH156" s="1183"/>
      <c r="AI156" s="1184"/>
      <c r="AJ156" s="1184"/>
      <c r="AK156" s="1184"/>
      <c r="AL156" s="1185">
        <v>1</v>
      </c>
    </row>
    <row r="157" spans="1:38" s="709" customFormat="1" ht="26.25">
      <c r="A157" s="1181"/>
      <c r="B157" s="1277" t="str">
        <f>IF(B156="","",IF(AND(CODE(LEFT(B156,1))=66,CODE(RIGHT(B156,1))=90),"",CHOOSE(MATCH((LEN(B156)&amp;CODE(RIGHT(B156,1)))*1,{165;190;265;290},1),CHAR(CODE(B156)+1),"AA",LEFT(B156,1)&amp;CHAR(CODE(RIGHT(B156,1))+1),"BA",LEFT(B156,2)&amp;CHAR(CODE(RIGHT(B156,1))+1))))</f>
        <v/>
      </c>
      <c r="C157" s="1278" t="str">
        <f ca="1">_xlfn.FORMULATEXT(B157)</f>
        <v>=SI(B156="";"";SI(ET(CODE(GAUCHE(B156;1))=66;CODE(DROITE(B156;1))=90);"";CHOISIR(EQUIV((NBCAR(B156)&amp;CODE(DROITE(B156;1)))*1;{165;190;265;290};1);CAR(CODE(B156)+1);"AA";GAUCHE(B156;1)&amp;CAR(CODE(DROITE(B156;1))+1);"BA";GAUCHE(B156;2)&amp;CAR(CODE(DROITE(B156;1))+1))))</v>
      </c>
      <c r="D157" s="1273"/>
      <c r="E157" s="1247"/>
      <c r="F157" s="1265"/>
      <c r="G157" s="1265"/>
      <c r="H157" s="1265"/>
      <c r="I157" s="1265"/>
      <c r="J157" s="1266"/>
      <c r="K157" s="1266"/>
      <c r="L157" s="1183"/>
      <c r="M157" s="1183"/>
      <c r="N157" s="1183"/>
      <c r="O157" s="1183"/>
      <c r="P157" s="1184"/>
      <c r="Q157" s="1246"/>
      <c r="R157" s="1246"/>
      <c r="S157" s="1246"/>
      <c r="T157" s="1183"/>
      <c r="U157" s="1183"/>
      <c r="V157" s="1183"/>
      <c r="W157" s="1183"/>
      <c r="X157" s="1183"/>
      <c r="Y157" s="1183"/>
      <c r="Z157" s="1183"/>
      <c r="AA157" s="1183"/>
      <c r="AB157" s="1183"/>
      <c r="AC157" s="1183"/>
      <c r="AD157" s="1183"/>
      <c r="AE157" s="1183"/>
      <c r="AF157" s="1183"/>
      <c r="AG157" s="1183"/>
      <c r="AH157" s="1183"/>
      <c r="AI157" s="1184"/>
      <c r="AJ157" s="1184"/>
      <c r="AK157" s="1184"/>
      <c r="AL157" s="1185">
        <v>1</v>
      </c>
    </row>
    <row r="158" spans="1:38" s="709" customFormat="1" ht="26.25">
      <c r="A158" s="1181"/>
      <c r="B158" s="1277"/>
      <c r="C158" s="1278"/>
      <c r="D158" s="1273"/>
      <c r="E158" s="1247"/>
      <c r="F158" s="1265"/>
      <c r="G158" s="1265"/>
      <c r="H158" s="1265"/>
      <c r="I158" s="1265"/>
      <c r="J158" s="1266"/>
      <c r="K158" s="1266"/>
      <c r="L158" s="1183"/>
      <c r="M158" s="1183"/>
      <c r="N158" s="1183"/>
      <c r="O158" s="1183"/>
      <c r="P158" s="1184"/>
      <c r="Q158" s="1246"/>
      <c r="R158" s="1246"/>
      <c r="S158" s="1246"/>
      <c r="T158" s="1183"/>
      <c r="U158" s="1183"/>
      <c r="V158" s="1183"/>
      <c r="W158" s="1183"/>
      <c r="X158" s="1183"/>
      <c r="Y158" s="1183"/>
      <c r="Z158" s="1183"/>
      <c r="AA158" s="1183"/>
      <c r="AB158" s="1183"/>
      <c r="AC158" s="1183"/>
      <c r="AD158" s="1183"/>
      <c r="AE158" s="1183"/>
      <c r="AF158" s="1183"/>
      <c r="AG158" s="1183"/>
      <c r="AH158" s="1183"/>
      <c r="AI158" s="1184"/>
      <c r="AJ158" s="1184"/>
      <c r="AK158" s="1184"/>
      <c r="AL158" s="1185">
        <v>1</v>
      </c>
    </row>
    <row r="159" spans="1:38" s="709" customFormat="1" ht="26.25">
      <c r="A159" s="1181"/>
      <c r="B159" s="1262" t="s">
        <v>3209</v>
      </c>
      <c r="C159" s="1262"/>
      <c r="D159" s="1262"/>
      <c r="E159" s="1262"/>
      <c r="F159" s="1262"/>
      <c r="G159" s="1262"/>
      <c r="H159" s="1183"/>
      <c r="I159" s="1249"/>
      <c r="J159" s="1183"/>
      <c r="K159" s="1183"/>
      <c r="L159" s="1183"/>
      <c r="M159" s="1183"/>
      <c r="N159" s="1183"/>
      <c r="O159" s="1183"/>
      <c r="P159" s="1184"/>
      <c r="Q159" s="1246"/>
      <c r="R159" s="1246"/>
      <c r="S159" s="1246"/>
      <c r="T159" s="1183"/>
      <c r="U159" s="1183"/>
      <c r="V159" s="1183"/>
      <c r="W159" s="1183"/>
      <c r="X159" s="1183"/>
      <c r="Y159" s="1183"/>
      <c r="Z159" s="1183"/>
      <c r="AA159" s="1183"/>
      <c r="AB159" s="1183"/>
      <c r="AC159" s="1183"/>
      <c r="AD159" s="1183"/>
      <c r="AE159" s="1183"/>
      <c r="AF159" s="1183"/>
      <c r="AG159" s="1183"/>
      <c r="AH159" s="1183"/>
      <c r="AI159" s="1184"/>
      <c r="AJ159" s="1184"/>
      <c r="AK159" s="1184"/>
      <c r="AL159" s="1185">
        <v>1</v>
      </c>
    </row>
    <row r="160" spans="1:38" s="709" customFormat="1" ht="26.25">
      <c r="A160" s="1181"/>
      <c r="B160" s="1262" t="s">
        <v>3210</v>
      </c>
      <c r="C160" s="1262"/>
      <c r="D160" s="1262"/>
      <c r="E160" s="1262"/>
      <c r="F160" s="1262"/>
      <c r="G160" s="1262"/>
      <c r="H160" s="1183"/>
      <c r="I160" s="1249"/>
      <c r="J160" s="1183"/>
      <c r="K160" s="1183"/>
      <c r="L160" s="1183"/>
      <c r="M160" s="1183"/>
      <c r="N160" s="1183"/>
      <c r="O160" s="1183"/>
      <c r="P160" s="1184"/>
      <c r="Q160" s="1246"/>
      <c r="R160" s="1246"/>
      <c r="S160" s="1246"/>
      <c r="T160" s="1183"/>
      <c r="U160" s="1183"/>
      <c r="V160" s="1183"/>
      <c r="W160" s="1183"/>
      <c r="X160" s="1183"/>
      <c r="Y160" s="1183"/>
      <c r="Z160" s="1183"/>
      <c r="AA160" s="1183"/>
      <c r="AB160" s="1183"/>
      <c r="AC160" s="1183"/>
      <c r="AD160" s="1183"/>
      <c r="AE160" s="1183"/>
      <c r="AF160" s="1183"/>
      <c r="AG160" s="1183"/>
      <c r="AH160" s="1183"/>
      <c r="AI160" s="1184"/>
      <c r="AJ160" s="1184"/>
      <c r="AK160" s="1184"/>
      <c r="AL160" s="1185">
        <v>1</v>
      </c>
    </row>
    <row r="161" spans="1:40" s="709" customFormat="1" ht="26.25">
      <c r="A161" s="1181"/>
      <c r="B161" s="1279" t="s">
        <v>865</v>
      </c>
      <c r="C161" s="1262" t="s">
        <v>3211</v>
      </c>
      <c r="D161" s="1249"/>
      <c r="E161" s="1249"/>
      <c r="F161" s="1249"/>
      <c r="G161" s="1249"/>
      <c r="H161" s="1183"/>
      <c r="I161" s="1249"/>
      <c r="J161" s="1183"/>
      <c r="K161" s="1183"/>
      <c r="L161" s="1183"/>
      <c r="M161" s="1183"/>
      <c r="N161" s="1183"/>
      <c r="O161" s="1183"/>
      <c r="P161" s="1184"/>
      <c r="Q161" s="1246"/>
      <c r="R161" s="1246"/>
      <c r="S161" s="1246"/>
      <c r="T161" s="1183"/>
      <c r="U161" s="1183"/>
      <c r="V161" s="1183"/>
      <c r="W161" s="1183"/>
      <c r="X161" s="1183"/>
      <c r="Y161" s="1183"/>
      <c r="Z161" s="1183"/>
      <c r="AA161" s="1183"/>
      <c r="AB161" s="1183"/>
      <c r="AC161" s="1183"/>
      <c r="AD161" s="1183"/>
      <c r="AE161" s="1183"/>
      <c r="AF161" s="1183"/>
      <c r="AG161" s="1183"/>
      <c r="AH161" s="1183"/>
      <c r="AI161" s="1184"/>
      <c r="AJ161" s="1184"/>
      <c r="AK161" s="1184"/>
      <c r="AL161" s="1185">
        <v>1</v>
      </c>
    </row>
    <row r="162" spans="1:40" s="709" customFormat="1" ht="26.25">
      <c r="A162" s="1181"/>
      <c r="B162" s="1280" t="str">
        <f>IF(COLUMN()-COLUMN(B162)+1&lt;=26, CHAR(64+COLUMN()-COLUMN(B162)+1), CHAR(64+INT((COLUMN()-COLUMN(B162))/26))&amp;CHAR(64+MOD(COLUMN()-COLUMN(B162)-1,26)+1))</f>
        <v>A</v>
      </c>
      <c r="C162" s="1275" t="s">
        <v>1669</v>
      </c>
      <c r="D162" s="1275" t="s">
        <v>1670</v>
      </c>
      <c r="E162" s="1275" t="s">
        <v>1671</v>
      </c>
      <c r="F162" s="1275" t="s">
        <v>2696</v>
      </c>
      <c r="G162" s="1249"/>
      <c r="H162" s="1183"/>
      <c r="I162" s="1249"/>
      <c r="J162" s="1183"/>
      <c r="K162" s="1183"/>
      <c r="L162" s="1183"/>
      <c r="M162" s="1183"/>
      <c r="N162" s="1183"/>
      <c r="O162" s="1183"/>
      <c r="P162" s="1184"/>
      <c r="Q162" s="1246"/>
      <c r="R162" s="1246"/>
      <c r="S162" s="1246"/>
      <c r="T162" s="1183"/>
      <c r="U162" s="1183"/>
      <c r="V162" s="1183"/>
      <c r="W162" s="1183"/>
      <c r="X162" s="1183"/>
      <c r="Y162" s="1183"/>
      <c r="Z162" s="1183"/>
      <c r="AA162" s="1183"/>
      <c r="AB162" s="1183"/>
      <c r="AC162" s="1183"/>
      <c r="AD162" s="1183"/>
      <c r="AE162" s="1183"/>
      <c r="AF162" s="1183"/>
      <c r="AG162" s="1183"/>
      <c r="AH162" s="1183"/>
      <c r="AI162" s="1184"/>
      <c r="AJ162" s="1184"/>
      <c r="AK162" s="1184"/>
      <c r="AL162" s="1185">
        <v>1</v>
      </c>
    </row>
    <row r="163" spans="1:40" s="709" customFormat="1" ht="26.25">
      <c r="A163" s="1181"/>
      <c r="B163" s="1262" t="s">
        <v>3212</v>
      </c>
      <c r="C163" s="1264"/>
      <c r="D163" s="1248"/>
      <c r="E163" s="1248"/>
      <c r="F163" s="1248"/>
      <c r="G163" s="1248"/>
      <c r="H163" s="1248"/>
      <c r="I163" s="1248"/>
      <c r="J163" s="1183"/>
      <c r="K163" s="1183"/>
      <c r="L163" s="1183"/>
      <c r="M163" s="1183"/>
      <c r="N163" s="1183"/>
      <c r="O163" s="1183"/>
      <c r="P163" s="1184"/>
      <c r="Q163" s="1246"/>
      <c r="R163" s="1246"/>
      <c r="S163" s="1246"/>
      <c r="T163" s="1183"/>
      <c r="U163" s="1183"/>
      <c r="V163" s="1183"/>
      <c r="W163" s="1183"/>
      <c r="X163" s="1183"/>
      <c r="Y163" s="1183"/>
      <c r="Z163" s="1183"/>
      <c r="AA163" s="1183"/>
      <c r="AB163" s="1183"/>
      <c r="AC163" s="1183"/>
      <c r="AD163" s="1183"/>
      <c r="AE163" s="1183"/>
      <c r="AF163" s="1183"/>
      <c r="AG163" s="1183"/>
      <c r="AH163" s="1183"/>
      <c r="AI163" s="1184"/>
      <c r="AJ163" s="1184"/>
      <c r="AK163" s="1184"/>
      <c r="AL163" s="1185">
        <v>1</v>
      </c>
    </row>
    <row r="164" spans="1:40" s="709" customFormat="1" ht="26.25">
      <c r="A164" s="1181"/>
      <c r="B164" s="1277"/>
      <c r="C164" s="1278"/>
      <c r="D164" s="1273"/>
      <c r="E164" s="1247"/>
      <c r="F164" s="1265"/>
      <c r="G164" s="1265"/>
      <c r="H164" s="1265"/>
      <c r="I164" s="1265"/>
      <c r="J164" s="1266"/>
      <c r="K164" s="1266"/>
      <c r="L164" s="1183"/>
      <c r="M164" s="1183"/>
      <c r="N164" s="1183"/>
      <c r="O164" s="1183"/>
      <c r="P164" s="1184"/>
      <c r="Q164" s="1246"/>
      <c r="R164" s="1246"/>
      <c r="S164" s="1246"/>
      <c r="T164" s="1183"/>
      <c r="U164" s="1183"/>
      <c r="V164" s="1183"/>
      <c r="W164" s="1183"/>
      <c r="X164" s="1183"/>
      <c r="Y164" s="1183"/>
      <c r="Z164" s="1183"/>
      <c r="AA164" s="1183"/>
      <c r="AB164" s="1183"/>
      <c r="AC164" s="1183"/>
      <c r="AD164" s="1183"/>
      <c r="AE164" s="1183"/>
      <c r="AF164" s="1183"/>
      <c r="AG164" s="1183"/>
      <c r="AH164" s="1183"/>
      <c r="AI164" s="1184"/>
      <c r="AJ164" s="1184"/>
      <c r="AK164" s="1184"/>
      <c r="AL164" s="1185">
        <v>1</v>
      </c>
    </row>
    <row r="165" spans="1:40" s="709" customFormat="1" ht="26.25">
      <c r="A165" s="1181"/>
      <c r="B165" s="1277"/>
      <c r="C165" s="1278"/>
      <c r="D165" s="1273"/>
      <c r="E165" s="1247"/>
      <c r="F165" s="1265"/>
      <c r="G165" s="1265"/>
      <c r="H165" s="1265"/>
      <c r="I165" s="1265"/>
      <c r="J165" s="1266"/>
      <c r="K165" s="1266"/>
      <c r="L165" s="1183"/>
      <c r="M165" s="1183"/>
      <c r="N165" s="1183"/>
      <c r="O165" s="1183"/>
      <c r="P165" s="1184"/>
      <c r="Q165" s="1246"/>
      <c r="R165" s="1246"/>
      <c r="S165" s="1246"/>
      <c r="T165" s="1183"/>
      <c r="U165" s="1183"/>
      <c r="V165" s="1183"/>
      <c r="W165" s="1183"/>
      <c r="X165" s="1183"/>
      <c r="Y165" s="1183"/>
      <c r="Z165" s="1183"/>
      <c r="AA165" s="1183"/>
      <c r="AB165" s="1183"/>
      <c r="AC165" s="1183"/>
      <c r="AD165" s="1183"/>
      <c r="AE165" s="1183"/>
      <c r="AF165" s="1183"/>
      <c r="AG165" s="1183"/>
      <c r="AH165" s="1183"/>
      <c r="AI165" s="1184"/>
      <c r="AJ165" s="1184"/>
      <c r="AK165" s="1184"/>
      <c r="AL165" s="1185">
        <v>1</v>
      </c>
    </row>
    <row r="166" spans="1:40" s="1244" customFormat="1" ht="40.5" customHeight="1">
      <c r="A166" s="1181"/>
      <c r="B166" s="1281" t="s">
        <v>3213</v>
      </c>
      <c r="C166" s="1181"/>
      <c r="D166" s="1181"/>
      <c r="E166" s="1181"/>
      <c r="F166" s="1181"/>
      <c r="G166" s="1181"/>
      <c r="H166" s="1181"/>
      <c r="I166" s="1208"/>
      <c r="J166" s="1181"/>
      <c r="K166" s="1181"/>
      <c r="L166" s="1181"/>
      <c r="M166" s="1181"/>
      <c r="N166" s="1181"/>
      <c r="O166" s="1183"/>
      <c r="P166" s="1208"/>
      <c r="Q166" s="1208"/>
      <c r="R166" s="1208"/>
      <c r="S166" s="1208"/>
      <c r="T166" s="1281" t="s">
        <v>3214</v>
      </c>
      <c r="U166" s="1183"/>
      <c r="V166" s="1183"/>
      <c r="W166" s="1183"/>
      <c r="X166" s="1183"/>
      <c r="Y166" s="1183"/>
      <c r="Z166" s="1282"/>
      <c r="AA166" s="1282"/>
      <c r="AB166" s="1282"/>
      <c r="AC166" s="1282"/>
      <c r="AD166" s="1282"/>
      <c r="AE166" s="1282"/>
      <c r="AF166" s="1282"/>
      <c r="AG166" s="1282"/>
      <c r="AH166" s="1283"/>
      <c r="AI166" s="1283"/>
      <c r="AJ166" s="1183"/>
      <c r="AK166" s="1183"/>
      <c r="AL166" s="1185">
        <v>1</v>
      </c>
      <c r="AM166" s="709"/>
      <c r="AN166" s="709"/>
    </row>
    <row r="167" spans="1:40" s="1244" customFormat="1" ht="40.5" customHeight="1">
      <c r="A167" s="1181"/>
      <c r="B167" s="1256"/>
      <c r="C167" s="1231" t="s">
        <v>2700</v>
      </c>
      <c r="D167" s="1181"/>
      <c r="E167" s="1284" t="s">
        <v>2701</v>
      </c>
      <c r="F167" s="1208"/>
      <c r="G167" s="1285" t="s">
        <v>2702</v>
      </c>
      <c r="H167" s="1181"/>
      <c r="I167" s="1208"/>
      <c r="J167" s="1189" t="s">
        <v>2703</v>
      </c>
      <c r="K167" s="1181"/>
      <c r="L167" s="1181"/>
      <c r="M167" s="1181"/>
      <c r="N167" s="1181"/>
      <c r="O167" s="1183"/>
      <c r="P167" s="1208"/>
      <c r="Q167" s="1208"/>
      <c r="R167" s="1208"/>
      <c r="S167" s="1208"/>
      <c r="T167" s="1286" t="s">
        <v>2704</v>
      </c>
      <c r="U167" s="1287"/>
      <c r="V167" s="1288">
        <v>15.5</v>
      </c>
      <c r="W167" s="1183"/>
      <c r="X167" s="1289">
        <v>15.5</v>
      </c>
      <c r="Y167" s="1183"/>
      <c r="Z167" s="1282"/>
      <c r="AA167" s="1282"/>
      <c r="AB167" s="1282"/>
      <c r="AC167" s="1282"/>
      <c r="AD167" s="1282"/>
      <c r="AE167" s="1282"/>
      <c r="AF167" s="1282"/>
      <c r="AG167" s="1282"/>
      <c r="AH167" s="1283"/>
      <c r="AI167" s="1283"/>
      <c r="AJ167" s="1183"/>
      <c r="AK167" s="1183"/>
      <c r="AL167" s="1185">
        <v>1</v>
      </c>
      <c r="AM167" s="709"/>
      <c r="AN167" s="709"/>
    </row>
    <row r="168" spans="1:40" s="1244" customFormat="1" ht="40.5" customHeight="1">
      <c r="A168" s="1181"/>
      <c r="B168" s="1256"/>
      <c r="C168" s="1231" t="s">
        <v>2705</v>
      </c>
      <c r="D168" s="1181"/>
      <c r="E168" s="1284" t="s">
        <v>2706</v>
      </c>
      <c r="F168" s="1208"/>
      <c r="G168" s="1285" t="s">
        <v>2707</v>
      </c>
      <c r="H168" s="1181"/>
      <c r="I168" s="1208"/>
      <c r="J168" s="1189" t="s">
        <v>2708</v>
      </c>
      <c r="K168" s="1181"/>
      <c r="L168" s="1181"/>
      <c r="M168" s="1181"/>
      <c r="N168" s="1181"/>
      <c r="O168" s="1183"/>
      <c r="P168" s="1208"/>
      <c r="Q168" s="1208"/>
      <c r="R168" s="1208"/>
      <c r="S168" s="1208"/>
      <c r="T168" s="1290" t="s">
        <v>3215</v>
      </c>
      <c r="U168" s="1287"/>
      <c r="V168" s="1284" t="s">
        <v>916</v>
      </c>
      <c r="W168" s="1183"/>
      <c r="X168" s="1291" t="s">
        <v>917</v>
      </c>
      <c r="Y168" s="1183"/>
      <c r="Z168" s="1282"/>
      <c r="AA168" s="1282"/>
      <c r="AB168" s="1282"/>
      <c r="AC168" s="1282"/>
      <c r="AD168" s="1282"/>
      <c r="AE168" s="1282"/>
      <c r="AF168" s="1282"/>
      <c r="AG168" s="1282"/>
      <c r="AH168" s="1283"/>
      <c r="AI168" s="1283"/>
      <c r="AJ168" s="1183"/>
      <c r="AK168" s="1183"/>
      <c r="AL168" s="1185">
        <v>1</v>
      </c>
      <c r="AM168" s="709"/>
      <c r="AN168" s="709"/>
    </row>
    <row r="169" spans="1:40" s="1244" customFormat="1" ht="40.5" customHeight="1">
      <c r="A169" s="1181"/>
      <c r="B169" s="1256"/>
      <c r="C169" s="1181"/>
      <c r="D169" s="1181"/>
      <c r="E169" s="1181"/>
      <c r="F169" s="1181"/>
      <c r="G169" s="1181"/>
      <c r="H169" s="1181"/>
      <c r="I169" s="1208"/>
      <c r="J169" s="1181"/>
      <c r="K169" s="1181"/>
      <c r="L169" s="1181"/>
      <c r="M169" s="1181"/>
      <c r="N169" s="1181"/>
      <c r="O169" s="1208"/>
      <c r="P169" s="1208"/>
      <c r="Q169" s="1208"/>
      <c r="R169" s="1208"/>
      <c r="S169" s="1208"/>
      <c r="T169" s="1183"/>
      <c r="U169" s="1183"/>
      <c r="V169" s="1183"/>
      <c r="W169" s="1183"/>
      <c r="X169" s="1183"/>
      <c r="Y169" s="1183"/>
      <c r="Z169" s="1282"/>
      <c r="AA169" s="1282"/>
      <c r="AB169" s="1282"/>
      <c r="AC169" s="1282"/>
      <c r="AD169" s="1282"/>
      <c r="AE169" s="1282"/>
      <c r="AF169" s="1282"/>
      <c r="AG169" s="1282"/>
      <c r="AH169" s="1283"/>
      <c r="AI169" s="1283"/>
      <c r="AJ169" s="1183"/>
      <c r="AK169" s="1183"/>
      <c r="AL169" s="1185">
        <v>1</v>
      </c>
      <c r="AM169" s="709"/>
      <c r="AN169" s="709"/>
    </row>
    <row r="170" spans="1:40" s="1244" customFormat="1" ht="40.5" customHeight="1">
      <c r="A170" s="1181"/>
      <c r="B170" s="1281" t="s">
        <v>3216</v>
      </c>
      <c r="C170" s="1181"/>
      <c r="D170" s="1181"/>
      <c r="E170" s="1181"/>
      <c r="F170" s="1181"/>
      <c r="G170" s="1181"/>
      <c r="H170" s="1181"/>
      <c r="I170" s="1208"/>
      <c r="J170" s="1181"/>
      <c r="K170" s="1181"/>
      <c r="L170" s="1181"/>
      <c r="M170" s="1181"/>
      <c r="N170" s="1181"/>
      <c r="O170" s="1208"/>
      <c r="P170" s="1208"/>
      <c r="Q170" s="1208"/>
      <c r="R170" s="1208"/>
      <c r="S170" s="1208"/>
      <c r="T170" s="1183"/>
      <c r="U170" s="1183"/>
      <c r="V170" s="1183"/>
      <c r="W170" s="1183"/>
      <c r="X170" s="1183"/>
      <c r="Y170" s="1183"/>
      <c r="Z170" s="1183"/>
      <c r="AA170" s="1183"/>
      <c r="AB170" s="1183"/>
      <c r="AC170" s="1183"/>
      <c r="AD170" s="1183"/>
      <c r="AE170" s="1183"/>
      <c r="AF170" s="1183"/>
      <c r="AG170" s="1183"/>
      <c r="AH170" s="1183"/>
      <c r="AI170" s="1183"/>
      <c r="AJ170" s="1183"/>
      <c r="AK170" s="1183"/>
      <c r="AL170" s="1185">
        <v>1</v>
      </c>
      <c r="AM170" s="709"/>
      <c r="AN170" s="709"/>
    </row>
    <row r="171" spans="1:40" s="1244" customFormat="1" ht="40.5" customHeight="1">
      <c r="A171" s="1181"/>
      <c r="B171" s="1256"/>
      <c r="C171" s="1292" t="s">
        <v>2711</v>
      </c>
      <c r="D171" s="1181"/>
      <c r="E171" s="1181"/>
      <c r="F171" s="1181"/>
      <c r="G171" s="1181"/>
      <c r="H171" s="1293" t="s">
        <v>2712</v>
      </c>
      <c r="I171" s="1293"/>
      <c r="J171" s="1181"/>
      <c r="K171" s="1181"/>
      <c r="L171" s="1181"/>
      <c r="M171" s="1181"/>
      <c r="N171" s="1181"/>
      <c r="O171" s="1208"/>
      <c r="P171" s="1208"/>
      <c r="Q171" s="1208"/>
      <c r="R171" s="1208"/>
      <c r="S171" s="1294" t="s">
        <v>2713</v>
      </c>
      <c r="T171" s="1294"/>
      <c r="U171" s="1183"/>
      <c r="V171" s="1183"/>
      <c r="W171" s="1183"/>
      <c r="X171" s="1183"/>
      <c r="Y171" s="1295" t="s">
        <v>2714</v>
      </c>
      <c r="Z171" s="1183"/>
      <c r="AA171" s="1183"/>
      <c r="AB171" s="1183"/>
      <c r="AC171" s="1183"/>
      <c r="AD171" s="1183"/>
      <c r="AE171" s="1183"/>
      <c r="AF171" s="1183"/>
      <c r="AG171" s="1183"/>
      <c r="AH171" s="1183"/>
      <c r="AI171" s="1183"/>
      <c r="AJ171" s="1183"/>
      <c r="AK171" s="1183"/>
      <c r="AL171" s="1185">
        <v>1</v>
      </c>
      <c r="AM171" s="709"/>
      <c r="AN171" s="709"/>
    </row>
    <row r="172" spans="1:40" s="1244" customFormat="1" ht="40.5" customHeight="1">
      <c r="A172" s="1181"/>
      <c r="B172" s="1256"/>
      <c r="C172" s="1296" t="s">
        <v>2715</v>
      </c>
      <c r="D172" s="1181"/>
      <c r="E172" s="1181"/>
      <c r="F172" s="1181"/>
      <c r="G172" s="1181"/>
      <c r="H172" s="1297" t="s">
        <v>2716</v>
      </c>
      <c r="I172" s="1297"/>
      <c r="J172" s="1181"/>
      <c r="K172" s="1181"/>
      <c r="L172" s="1181"/>
      <c r="M172" s="1181"/>
      <c r="N172" s="1181"/>
      <c r="O172" s="1208"/>
      <c r="P172" s="1208"/>
      <c r="Q172" s="1208"/>
      <c r="R172" s="1208"/>
      <c r="S172" s="1298" t="s">
        <v>2717</v>
      </c>
      <c r="T172" s="1298"/>
      <c r="U172" s="1183"/>
      <c r="V172" s="1183"/>
      <c r="W172" s="1183"/>
      <c r="X172" s="1183"/>
      <c r="Y172" s="1299" t="s">
        <v>2718</v>
      </c>
      <c r="Z172" s="1183"/>
      <c r="AA172" s="1183"/>
      <c r="AB172" s="1183"/>
      <c r="AC172" s="1183"/>
      <c r="AD172" s="1183"/>
      <c r="AE172" s="1183"/>
      <c r="AF172" s="1183"/>
      <c r="AG172" s="1183"/>
      <c r="AH172" s="1183"/>
      <c r="AI172" s="1183"/>
      <c r="AJ172" s="1183"/>
      <c r="AK172" s="1183"/>
      <c r="AL172" s="1185">
        <v>1</v>
      </c>
      <c r="AM172" s="709"/>
      <c r="AN172" s="709"/>
    </row>
    <row r="173" spans="1:40" s="1244" customFormat="1" ht="40.5" customHeight="1">
      <c r="A173" s="1181"/>
      <c r="B173" s="1256"/>
      <c r="C173" s="1300" t="s">
        <v>2719</v>
      </c>
      <c r="D173" s="1181"/>
      <c r="E173" s="1181"/>
      <c r="F173" s="1181"/>
      <c r="G173" s="1181"/>
      <c r="H173" s="1181"/>
      <c r="I173" s="1208"/>
      <c r="J173" s="1181"/>
      <c r="K173" s="1181"/>
      <c r="L173" s="1181"/>
      <c r="M173" s="1181"/>
      <c r="N173" s="1181"/>
      <c r="O173" s="1208"/>
      <c r="P173" s="1208"/>
      <c r="Q173" s="1208"/>
      <c r="R173" s="1208"/>
      <c r="S173" s="1208"/>
      <c r="T173" s="1183"/>
      <c r="U173" s="1183"/>
      <c r="V173" s="1183"/>
      <c r="W173" s="1183"/>
      <c r="X173" s="1183"/>
      <c r="Y173" s="1183"/>
      <c r="Z173" s="1183"/>
      <c r="AA173" s="1183"/>
      <c r="AB173" s="1183"/>
      <c r="AC173" s="1183"/>
      <c r="AD173" s="1183"/>
      <c r="AE173" s="1183"/>
      <c r="AF173" s="1183"/>
      <c r="AG173" s="1183"/>
      <c r="AH173" s="1183"/>
      <c r="AI173" s="1183"/>
      <c r="AJ173" s="1183"/>
      <c r="AK173" s="1183"/>
      <c r="AL173" s="1185">
        <v>1</v>
      </c>
      <c r="AM173" s="709"/>
      <c r="AN173" s="709"/>
    </row>
    <row r="174" spans="1:40" ht="27">
      <c r="A174" s="1181"/>
      <c r="B174" s="1256"/>
      <c r="C174" s="1181"/>
      <c r="D174" s="1181"/>
      <c r="E174" s="1181"/>
      <c r="F174" s="1181"/>
      <c r="G174" s="1181"/>
      <c r="H174" s="1181"/>
      <c r="I174" s="1246"/>
      <c r="J174" s="1181"/>
      <c r="K174" s="1181"/>
      <c r="L174" s="1181"/>
      <c r="M174" s="1181"/>
      <c r="N174" s="1181"/>
      <c r="O174" s="1246"/>
      <c r="P174" s="1246"/>
      <c r="Q174" s="1246"/>
      <c r="R174" s="1246"/>
      <c r="S174" s="1246"/>
      <c r="T174" s="1183"/>
      <c r="U174" s="1183"/>
      <c r="V174" s="1183"/>
      <c r="W174" s="1183"/>
      <c r="X174" s="1183"/>
      <c r="Y174" s="1183"/>
      <c r="Z174" s="1183"/>
      <c r="AA174" s="1183"/>
      <c r="AB174" s="1183"/>
      <c r="AC174" s="1183"/>
      <c r="AD174" s="1183"/>
      <c r="AE174" s="1183"/>
      <c r="AF174" s="1183"/>
      <c r="AG174" s="1183"/>
      <c r="AH174" s="1183"/>
      <c r="AI174" s="1184"/>
      <c r="AJ174" s="1184"/>
      <c r="AK174" s="1184"/>
      <c r="AL174" s="1185">
        <v>1</v>
      </c>
    </row>
    <row r="175" spans="1:40" customFormat="1" ht="30" customHeight="1">
      <c r="A175" s="1266"/>
      <c r="B175" s="1266"/>
      <c r="C175" s="1266"/>
      <c r="D175" s="1301" t="s">
        <v>3127</v>
      </c>
      <c r="E175" s="1301"/>
      <c r="F175" s="1301"/>
      <c r="G175" s="1301"/>
      <c r="H175" s="1301"/>
      <c r="I175" s="1301"/>
      <c r="J175" s="1301"/>
      <c r="K175" s="1301"/>
      <c r="L175" s="1301"/>
      <c r="M175" s="1301"/>
      <c r="N175" s="1301"/>
      <c r="O175" s="1301"/>
      <c r="P175" s="1266"/>
      <c r="Q175" s="1266"/>
      <c r="R175" s="1266"/>
      <c r="S175" s="1266"/>
      <c r="T175" s="1266"/>
      <c r="U175" s="1266"/>
      <c r="V175" s="1266"/>
      <c r="W175" s="1266"/>
      <c r="X175" s="1266"/>
      <c r="Y175" s="1208"/>
      <c r="Z175" s="1208"/>
      <c r="AA175" s="1208"/>
      <c r="AB175" s="1208"/>
      <c r="AC175" s="1208"/>
      <c r="AD175" s="1208"/>
      <c r="AE175" s="1208"/>
      <c r="AF175" s="1208"/>
      <c r="AG175" s="1208"/>
      <c r="AH175" s="1208"/>
      <c r="AI175" s="1208"/>
      <c r="AJ175" s="1184"/>
      <c r="AK175" s="1184"/>
      <c r="AL175" s="1185">
        <v>1</v>
      </c>
      <c r="AM175" s="709"/>
      <c r="AN175" s="709"/>
    </row>
    <row r="176" spans="1:40" customFormat="1" ht="30" customHeight="1">
      <c r="A176" s="1266"/>
      <c r="B176" s="1266"/>
      <c r="C176" s="1266"/>
      <c r="D176" s="1301" t="s">
        <v>3128</v>
      </c>
      <c r="E176" s="1301"/>
      <c r="F176" s="1301"/>
      <c r="G176" s="1301"/>
      <c r="H176" s="1301"/>
      <c r="I176" s="1301"/>
      <c r="J176" s="1301"/>
      <c r="K176" s="1301"/>
      <c r="L176" s="1301"/>
      <c r="M176" s="1301"/>
      <c r="N176" s="1301"/>
      <c r="O176" s="1301"/>
      <c r="P176" s="1266"/>
      <c r="Q176" s="1266"/>
      <c r="R176" s="1266"/>
      <c r="S176" s="1266"/>
      <c r="T176" s="1266"/>
      <c r="U176" s="1266"/>
      <c r="V176" s="1266"/>
      <c r="W176" s="1266"/>
      <c r="X176" s="1266"/>
      <c r="Y176" s="1208"/>
      <c r="Z176" s="1208"/>
      <c r="AA176" s="1208"/>
      <c r="AB176" s="1208"/>
      <c r="AC176" s="1208"/>
      <c r="AD176" s="1208"/>
      <c r="AE176" s="1208"/>
      <c r="AF176" s="1208"/>
      <c r="AG176" s="1208"/>
      <c r="AH176" s="1208"/>
      <c r="AI176" s="1208"/>
      <c r="AJ176" s="1184"/>
      <c r="AK176" s="1184"/>
      <c r="AL176" s="1185">
        <v>1</v>
      </c>
      <c r="AM176" s="709"/>
      <c r="AN176" s="709"/>
    </row>
    <row r="177" spans="1:40" customFormat="1" ht="30" customHeight="1">
      <c r="A177" s="1266"/>
      <c r="B177" s="1266"/>
      <c r="C177" s="1266"/>
      <c r="D177" s="1301" t="s">
        <v>3129</v>
      </c>
      <c r="E177" s="1301"/>
      <c r="F177" s="1301"/>
      <c r="G177" s="1301"/>
      <c r="H177" s="1301"/>
      <c r="I177" s="1301"/>
      <c r="J177" s="1301"/>
      <c r="K177" s="1301"/>
      <c r="L177" s="1301"/>
      <c r="M177" s="1301"/>
      <c r="N177" s="1301"/>
      <c r="O177" s="1301"/>
      <c r="P177" s="1266"/>
      <c r="Q177" s="1266"/>
      <c r="R177" s="1266"/>
      <c r="S177" s="1266"/>
      <c r="T177" s="1266"/>
      <c r="U177" s="1266"/>
      <c r="V177" s="1266"/>
      <c r="W177" s="1266"/>
      <c r="X177" s="1266"/>
      <c r="Y177" s="1208"/>
      <c r="Z177" s="1208"/>
      <c r="AA177" s="1208"/>
      <c r="AB177" s="1208"/>
      <c r="AC177" s="1208"/>
      <c r="AD177" s="1208"/>
      <c r="AE177" s="1208"/>
      <c r="AF177" s="1208"/>
      <c r="AG177" s="1208"/>
      <c r="AH177" s="1208"/>
      <c r="AI177" s="1208"/>
      <c r="AJ177" s="1184"/>
      <c r="AK177" s="1184"/>
      <c r="AL177" s="1185">
        <v>1</v>
      </c>
      <c r="AM177" s="709"/>
      <c r="AN177" s="709"/>
    </row>
    <row r="178" spans="1:40" customFormat="1" ht="30" customHeight="1">
      <c r="A178" s="1266"/>
      <c r="B178" s="1266"/>
      <c r="C178" s="1266"/>
      <c r="D178" s="1301" t="s">
        <v>3130</v>
      </c>
      <c r="E178" s="1301"/>
      <c r="F178" s="1301"/>
      <c r="G178" s="1301"/>
      <c r="H178" s="1301"/>
      <c r="I178" s="1301"/>
      <c r="J178" s="1301"/>
      <c r="K178" s="1301"/>
      <c r="L178" s="1301"/>
      <c r="M178" s="1301"/>
      <c r="N178" s="1301"/>
      <c r="O178" s="1301"/>
      <c r="P178" s="1266"/>
      <c r="Q178" s="1266"/>
      <c r="R178" s="1266"/>
      <c r="S178" s="1266"/>
      <c r="T178" s="1266"/>
      <c r="U178" s="1266"/>
      <c r="V178" s="1266"/>
      <c r="W178" s="1266"/>
      <c r="X178" s="1266"/>
      <c r="Y178" s="1208"/>
      <c r="Z178" s="1208"/>
      <c r="AA178" s="1208"/>
      <c r="AB178" s="1208"/>
      <c r="AC178" s="1208"/>
      <c r="AD178" s="1208"/>
      <c r="AE178" s="1208"/>
      <c r="AF178" s="1208"/>
      <c r="AG178" s="1208"/>
      <c r="AH178" s="1208"/>
      <c r="AI178" s="1208"/>
      <c r="AJ178" s="1184"/>
      <c r="AK178" s="1184"/>
      <c r="AL178" s="1185">
        <v>1</v>
      </c>
      <c r="AM178" s="709"/>
      <c r="AN178" s="709"/>
    </row>
    <row r="179" spans="1:40" customFormat="1" ht="30" customHeight="1">
      <c r="A179" s="1266"/>
      <c r="B179" s="1266"/>
      <c r="C179" s="1266"/>
      <c r="D179" s="1302" t="s">
        <v>2724</v>
      </c>
      <c r="E179" s="1301"/>
      <c r="F179" s="1303"/>
      <c r="G179" s="1301"/>
      <c r="H179" s="1301"/>
      <c r="I179" s="1301"/>
      <c r="J179" s="1301"/>
      <c r="K179" s="1303"/>
      <c r="L179" s="1303"/>
      <c r="M179" s="1303"/>
      <c r="N179" s="1303"/>
      <c r="O179" s="1303"/>
      <c r="P179" s="1266"/>
      <c r="Q179" s="1266"/>
      <c r="R179" s="1266"/>
      <c r="S179" s="1266"/>
      <c r="T179" s="1266"/>
      <c r="U179" s="1266"/>
      <c r="V179" s="1266"/>
      <c r="W179" s="1266"/>
      <c r="X179" s="1266"/>
      <c r="Y179" s="1208"/>
      <c r="Z179" s="1208"/>
      <c r="AA179" s="1208"/>
      <c r="AB179" s="1208"/>
      <c r="AC179" s="1208"/>
      <c r="AD179" s="1208"/>
      <c r="AE179" s="1208"/>
      <c r="AF179" s="1208"/>
      <c r="AG179" s="1208"/>
      <c r="AH179" s="1208"/>
      <c r="AI179" s="1208"/>
      <c r="AJ179" s="1184"/>
      <c r="AK179" s="1184"/>
      <c r="AL179" s="1185">
        <v>1</v>
      </c>
      <c r="AM179" s="709"/>
      <c r="AN179" s="709"/>
    </row>
    <row r="180" spans="1:40" customFormat="1" ht="30" customHeight="1">
      <c r="A180" s="1266"/>
      <c r="B180" s="1266"/>
      <c r="C180" s="1266"/>
      <c r="D180" s="1266"/>
      <c r="E180" s="1266"/>
      <c r="F180" s="1266"/>
      <c r="G180" s="1266"/>
      <c r="H180" s="1266"/>
      <c r="I180" s="1266"/>
      <c r="J180" s="1266"/>
      <c r="K180" s="1266"/>
      <c r="L180" s="1266"/>
      <c r="M180" s="1266"/>
      <c r="N180" s="1266"/>
      <c r="O180" s="1266"/>
      <c r="P180" s="1266"/>
      <c r="Q180" s="1266"/>
      <c r="R180" s="1266"/>
      <c r="S180" s="1266"/>
      <c r="T180" s="1266"/>
      <c r="U180" s="1266"/>
      <c r="V180" s="1266"/>
      <c r="W180" s="1266"/>
      <c r="X180" s="1266"/>
      <c r="Y180" s="1208"/>
      <c r="Z180" s="1208"/>
      <c r="AA180" s="1208"/>
      <c r="AB180" s="1208"/>
      <c r="AC180" s="1208"/>
      <c r="AD180" s="1208"/>
      <c r="AE180" s="1208"/>
      <c r="AF180" s="1208"/>
      <c r="AG180" s="1208"/>
      <c r="AH180" s="1208"/>
      <c r="AI180" s="1208"/>
      <c r="AJ180" s="1184"/>
      <c r="AK180" s="1184"/>
      <c r="AL180" s="1185">
        <v>1</v>
      </c>
      <c r="AM180" s="709"/>
      <c r="AN180" s="709"/>
    </row>
    <row r="181" spans="1:40" customFormat="1" ht="30" customHeight="1">
      <c r="A181" s="1266"/>
      <c r="B181" s="1266"/>
      <c r="C181" s="1266"/>
      <c r="D181" s="1301" t="s">
        <v>3123</v>
      </c>
      <c r="E181" s="1304"/>
      <c r="F181" s="1304"/>
      <c r="G181" s="1304"/>
      <c r="H181" s="1305"/>
      <c r="I181" s="1305"/>
      <c r="J181" s="1305"/>
      <c r="K181" s="1305"/>
      <c r="L181" s="1304"/>
      <c r="M181" s="1304"/>
      <c r="N181" s="1304"/>
      <c r="O181" s="1304"/>
      <c r="P181" s="1266"/>
      <c r="Q181" s="1266"/>
      <c r="R181" s="1266"/>
      <c r="S181" s="1266"/>
      <c r="T181" s="1266"/>
      <c r="U181" s="1266"/>
      <c r="V181" s="1266"/>
      <c r="W181" s="1266"/>
      <c r="X181" s="1306"/>
      <c r="Y181" s="1208"/>
      <c r="Z181" s="1208"/>
      <c r="AA181" s="1208"/>
      <c r="AB181" s="1208"/>
      <c r="AC181" s="1208"/>
      <c r="AD181" s="1208"/>
      <c r="AE181" s="1208"/>
      <c r="AF181" s="1208"/>
      <c r="AG181" s="1208"/>
      <c r="AH181" s="1208"/>
      <c r="AI181" s="1208"/>
      <c r="AJ181" s="1184"/>
      <c r="AK181" s="1184"/>
      <c r="AL181" s="1185">
        <v>1</v>
      </c>
      <c r="AM181" s="709"/>
      <c r="AN181" s="709"/>
    </row>
    <row r="182" spans="1:40" customFormat="1" ht="30" customHeight="1">
      <c r="A182" s="1266"/>
      <c r="B182" s="1266"/>
      <c r="C182" s="1266"/>
      <c r="D182" s="1416" t="s">
        <v>3124</v>
      </c>
      <c r="E182" s="1304"/>
      <c r="F182" s="1304"/>
      <c r="G182" s="1304"/>
      <c r="H182" s="1304"/>
      <c r="I182" s="1304"/>
      <c r="J182" s="1304"/>
      <c r="K182" s="1304"/>
      <c r="L182" s="1304"/>
      <c r="M182" s="1304"/>
      <c r="N182" s="1304"/>
      <c r="O182" s="1304"/>
      <c r="P182" s="1266"/>
      <c r="Q182" s="1266"/>
      <c r="R182" s="1266"/>
      <c r="S182" s="1266"/>
      <c r="T182" s="1266"/>
      <c r="U182" s="1266"/>
      <c r="V182" s="1266"/>
      <c r="W182" s="1266"/>
      <c r="X182" s="1306"/>
      <c r="Y182" s="1208"/>
      <c r="Z182" s="1208"/>
      <c r="AA182" s="1208"/>
      <c r="AB182" s="1208"/>
      <c r="AC182" s="1208"/>
      <c r="AD182" s="1208"/>
      <c r="AE182" s="1208"/>
      <c r="AF182" s="1208"/>
      <c r="AG182" s="1208"/>
      <c r="AH182" s="1208"/>
      <c r="AI182" s="1208"/>
      <c r="AJ182" s="1266"/>
      <c r="AK182" s="1266"/>
      <c r="AL182" s="1185">
        <v>1</v>
      </c>
      <c r="AM182" s="709"/>
      <c r="AN182" s="709"/>
    </row>
    <row r="183" spans="1:40" customFormat="1" ht="30" customHeight="1">
      <c r="A183" s="1266"/>
      <c r="B183" s="1266"/>
      <c r="C183" s="1266"/>
      <c r="D183" s="1301" t="s">
        <v>3125</v>
      </c>
      <c r="E183" s="1304"/>
      <c r="F183" s="1304"/>
      <c r="G183" s="1304"/>
      <c r="H183" s="1304"/>
      <c r="I183" s="1304"/>
      <c r="J183" s="1304"/>
      <c r="K183" s="1304"/>
      <c r="L183" s="1304"/>
      <c r="M183" s="1304"/>
      <c r="N183" s="1304"/>
      <c r="O183" s="1304"/>
      <c r="P183" s="1266"/>
      <c r="Q183" s="1266"/>
      <c r="R183" s="1266"/>
      <c r="S183" s="1266"/>
      <c r="T183" s="1266"/>
      <c r="U183" s="1266"/>
      <c r="V183" s="1266"/>
      <c r="W183" s="1266"/>
      <c r="X183" s="1266"/>
      <c r="Y183" s="1208"/>
      <c r="Z183" s="1208"/>
      <c r="AA183" s="1208"/>
      <c r="AB183" s="1208"/>
      <c r="AC183" s="1208"/>
      <c r="AD183" s="1208"/>
      <c r="AE183" s="1208"/>
      <c r="AF183" s="1208"/>
      <c r="AG183" s="1208"/>
      <c r="AH183" s="1208"/>
      <c r="AI183" s="1208"/>
      <c r="AJ183" s="1266"/>
      <c r="AK183" s="1266"/>
      <c r="AL183" s="1185">
        <v>1</v>
      </c>
      <c r="AM183" s="709"/>
      <c r="AN183" s="709"/>
    </row>
    <row r="184" spans="1:40" customFormat="1" ht="30" customHeight="1">
      <c r="A184" s="1266"/>
      <c r="B184" s="1266"/>
      <c r="C184" s="1266"/>
      <c r="D184" s="1308" t="s">
        <v>2727</v>
      </c>
      <c r="E184" s="1304"/>
      <c r="F184" s="1304"/>
      <c r="G184" s="1304"/>
      <c r="H184" s="1304"/>
      <c r="I184" s="1304"/>
      <c r="J184" s="1304"/>
      <c r="K184" s="1304"/>
      <c r="L184" s="1304"/>
      <c r="M184" s="1304"/>
      <c r="N184" s="1304"/>
      <c r="O184" s="1304"/>
      <c r="P184" s="1266"/>
      <c r="Q184" s="1266"/>
      <c r="R184" s="1266"/>
      <c r="S184" s="1266"/>
      <c r="T184" s="1266"/>
      <c r="U184" s="1266"/>
      <c r="V184" s="1266"/>
      <c r="W184" s="1266"/>
      <c r="X184" s="1266"/>
      <c r="Y184" s="1208"/>
      <c r="Z184" s="1208"/>
      <c r="AA184" s="1208"/>
      <c r="AB184" s="1208"/>
      <c r="AC184" s="1208"/>
      <c r="AD184" s="1208"/>
      <c r="AE184" s="1208"/>
      <c r="AF184" s="1208"/>
      <c r="AG184" s="1208"/>
      <c r="AH184" s="1208"/>
      <c r="AI184" s="1208"/>
      <c r="AJ184" s="1266"/>
      <c r="AK184" s="1266"/>
      <c r="AL184" s="1185">
        <v>1</v>
      </c>
      <c r="AM184" s="709"/>
      <c r="AN184" s="709"/>
    </row>
    <row r="185" spans="1:40" customFormat="1" ht="30" customHeight="1">
      <c r="A185" s="1266"/>
      <c r="B185" s="1266"/>
      <c r="C185" s="1266"/>
      <c r="D185" s="1309" t="s">
        <v>2728</v>
      </c>
      <c r="E185" s="1304"/>
      <c r="F185" s="1304"/>
      <c r="G185" s="1304"/>
      <c r="H185" s="1304"/>
      <c r="I185" s="1304"/>
      <c r="J185" s="1304"/>
      <c r="K185" s="1304"/>
      <c r="L185" s="1304"/>
      <c r="M185" s="1304"/>
      <c r="N185" s="1304"/>
      <c r="O185" s="1304"/>
      <c r="P185" s="1266"/>
      <c r="Q185" s="1266"/>
      <c r="R185" s="1266"/>
      <c r="S185" s="1266"/>
      <c r="T185" s="1266"/>
      <c r="U185" s="1266"/>
      <c r="V185" s="1266"/>
      <c r="W185" s="1266"/>
      <c r="X185" s="1266"/>
      <c r="Y185" s="1208"/>
      <c r="Z185" s="1208"/>
      <c r="AA185" s="1208"/>
      <c r="AB185" s="1208"/>
      <c r="AC185" s="1208"/>
      <c r="AD185" s="1208"/>
      <c r="AE185" s="1208"/>
      <c r="AF185" s="1208"/>
      <c r="AG185" s="1208"/>
      <c r="AH185" s="1208"/>
      <c r="AI185" s="1208"/>
      <c r="AJ185" s="1266"/>
      <c r="AK185" s="1266"/>
      <c r="AL185" s="1185">
        <v>1</v>
      </c>
      <c r="AM185" s="709"/>
      <c r="AN185" s="709"/>
    </row>
    <row r="186" spans="1:40" customFormat="1" ht="30" customHeight="1">
      <c r="A186" s="1266"/>
      <c r="B186" s="1266"/>
      <c r="C186" s="1266"/>
      <c r="D186" s="1266"/>
      <c r="E186" s="1266"/>
      <c r="F186" s="1266"/>
      <c r="G186" s="1266"/>
      <c r="H186" s="1266"/>
      <c r="I186" s="1266"/>
      <c r="J186" s="1266"/>
      <c r="K186" s="1266"/>
      <c r="L186" s="1266"/>
      <c r="M186" s="1266"/>
      <c r="N186" s="1266"/>
      <c r="O186" s="1266"/>
      <c r="P186" s="1266"/>
      <c r="Q186" s="1266"/>
      <c r="R186" s="1266"/>
      <c r="S186" s="1266"/>
      <c r="T186" s="1266"/>
      <c r="U186" s="1266"/>
      <c r="V186" s="1266"/>
      <c r="W186" s="1266"/>
      <c r="X186" s="1266"/>
      <c r="Y186" s="1208"/>
      <c r="Z186" s="1208"/>
      <c r="AA186" s="1208"/>
      <c r="AB186" s="1208"/>
      <c r="AC186" s="1208"/>
      <c r="AD186" s="1208"/>
      <c r="AE186" s="1208"/>
      <c r="AF186" s="1208"/>
      <c r="AG186" s="1208"/>
      <c r="AH186" s="1208"/>
      <c r="AI186" s="1208"/>
      <c r="AJ186" s="1266"/>
      <c r="AK186" s="1266"/>
      <c r="AL186" s="1185">
        <v>1</v>
      </c>
      <c r="AM186" s="709"/>
      <c r="AN186" s="709"/>
    </row>
    <row r="187" spans="1:40" customFormat="1" ht="30" customHeight="1">
      <c r="A187" s="1266"/>
      <c r="B187" s="1266"/>
      <c r="C187" s="1266"/>
      <c r="D187" s="1307" t="s">
        <v>3109</v>
      </c>
      <c r="E187" s="1304"/>
      <c r="F187" s="1304"/>
      <c r="G187" s="1304"/>
      <c r="H187" s="1304"/>
      <c r="I187" s="1304"/>
      <c r="J187" s="1304"/>
      <c r="K187" s="1304"/>
      <c r="L187" s="1304"/>
      <c r="M187" s="1304"/>
      <c r="N187" s="1266"/>
      <c r="O187" s="1266"/>
      <c r="P187" s="1266"/>
      <c r="Q187" s="1266"/>
      <c r="R187" s="1266"/>
      <c r="S187" s="1266"/>
      <c r="T187" s="1266"/>
      <c r="U187" s="1266"/>
      <c r="V187" s="1266"/>
      <c r="W187" s="1266"/>
      <c r="X187" s="1266"/>
      <c r="Y187" s="1208"/>
      <c r="Z187" s="1208"/>
      <c r="AA187" s="1208"/>
      <c r="AB187" s="1208"/>
      <c r="AC187" s="1208"/>
      <c r="AD187" s="1208"/>
      <c r="AE187" s="1208"/>
      <c r="AF187" s="1208"/>
      <c r="AG187" s="1208"/>
      <c r="AH187" s="1208"/>
      <c r="AI187" s="1208"/>
      <c r="AJ187" s="1266"/>
      <c r="AK187" s="1266"/>
      <c r="AL187" s="1185">
        <v>1</v>
      </c>
      <c r="AM187" s="709"/>
      <c r="AN187" s="709"/>
    </row>
    <row r="188" spans="1:40" customFormat="1" ht="30" customHeight="1">
      <c r="A188" s="1266"/>
      <c r="B188" s="1266"/>
      <c r="C188" s="1266"/>
      <c r="D188" s="1304" t="s">
        <v>3111</v>
      </c>
      <c r="E188" s="1304"/>
      <c r="F188" s="1304"/>
      <c r="G188" s="1304"/>
      <c r="H188" s="1304"/>
      <c r="I188" s="1304"/>
      <c r="J188" s="1304"/>
      <c r="K188" s="1304"/>
      <c r="L188" s="1304"/>
      <c r="M188" s="1304"/>
      <c r="N188" s="1266"/>
      <c r="O188" s="1266"/>
      <c r="P188" s="1266"/>
      <c r="Q188" s="1266"/>
      <c r="R188" s="1266"/>
      <c r="S188" s="1266"/>
      <c r="T188" s="1266"/>
      <c r="U188" s="1266"/>
      <c r="V188" s="1266"/>
      <c r="W188" s="1266"/>
      <c r="X188" s="1266"/>
      <c r="Y188" s="1208"/>
      <c r="Z188" s="1208"/>
      <c r="AA188" s="1208"/>
      <c r="AB188" s="1208"/>
      <c r="AC188" s="1208"/>
      <c r="AD188" s="1208"/>
      <c r="AE188" s="1208"/>
      <c r="AF188" s="1208"/>
      <c r="AG188" s="1208"/>
      <c r="AH188" s="1208"/>
      <c r="AI188" s="1208"/>
      <c r="AJ188" s="1266"/>
      <c r="AK188" s="1266"/>
      <c r="AL188" s="1185">
        <v>1</v>
      </c>
      <c r="AM188" s="709"/>
      <c r="AN188" s="709"/>
    </row>
    <row r="189" spans="1:40" customFormat="1" ht="30" customHeight="1">
      <c r="A189" s="1266"/>
      <c r="B189" s="1266"/>
      <c r="C189" s="1266"/>
      <c r="D189" s="1304" t="s">
        <v>3112</v>
      </c>
      <c r="E189" s="1304"/>
      <c r="F189" s="1304"/>
      <c r="G189" s="1304"/>
      <c r="H189" s="1304"/>
      <c r="I189" s="1304"/>
      <c r="J189" s="1304"/>
      <c r="K189" s="1304"/>
      <c r="L189" s="1304"/>
      <c r="M189" s="1304"/>
      <c r="N189" s="1266"/>
      <c r="O189" s="1266"/>
      <c r="P189" s="1266"/>
      <c r="Q189" s="1266"/>
      <c r="R189" s="1266"/>
      <c r="S189" s="1266"/>
      <c r="T189" s="1266"/>
      <c r="U189" s="1266"/>
      <c r="V189" s="1266"/>
      <c r="W189" s="1266"/>
      <c r="X189" s="1266"/>
      <c r="Y189" s="1208"/>
      <c r="Z189" s="1208"/>
      <c r="AA189" s="1208"/>
      <c r="AB189" s="1208"/>
      <c r="AC189" s="1208"/>
      <c r="AD189" s="1208"/>
      <c r="AE189" s="1208"/>
      <c r="AF189" s="1208"/>
      <c r="AG189" s="1208"/>
      <c r="AH189" s="1208"/>
      <c r="AI189" s="1208"/>
      <c r="AJ189" s="1266"/>
      <c r="AK189" s="1266"/>
      <c r="AL189" s="1185">
        <v>1</v>
      </c>
      <c r="AM189" s="709"/>
      <c r="AN189" s="709"/>
    </row>
    <row r="190" spans="1:40" customFormat="1" ht="30" customHeight="1">
      <c r="A190" s="1266"/>
      <c r="B190" s="1266"/>
      <c r="C190" s="1266"/>
      <c r="D190" s="1304" t="s">
        <v>3113</v>
      </c>
      <c r="E190" s="1304"/>
      <c r="F190" s="1304"/>
      <c r="G190" s="1304"/>
      <c r="H190" s="1304"/>
      <c r="I190" s="1304"/>
      <c r="J190" s="1304"/>
      <c r="K190" s="1304"/>
      <c r="L190" s="1304"/>
      <c r="M190" s="1304"/>
      <c r="N190" s="1266"/>
      <c r="O190" s="1266"/>
      <c r="P190" s="1266"/>
      <c r="Q190" s="1266"/>
      <c r="R190" s="1266"/>
      <c r="S190" s="1266"/>
      <c r="T190" s="1266"/>
      <c r="U190" s="1266"/>
      <c r="V190" s="1266"/>
      <c r="W190" s="1266"/>
      <c r="X190" s="1266"/>
      <c r="Y190" s="1208"/>
      <c r="Z190" s="1208"/>
      <c r="AA190" s="1208"/>
      <c r="AB190" s="1208"/>
      <c r="AC190" s="1208"/>
      <c r="AD190" s="1208"/>
      <c r="AE190" s="1208"/>
      <c r="AF190" s="1208"/>
      <c r="AG190" s="1208"/>
      <c r="AH190" s="1208"/>
      <c r="AI190" s="1208"/>
      <c r="AJ190" s="1266"/>
      <c r="AK190" s="1266"/>
      <c r="AL190" s="1185">
        <v>1</v>
      </c>
      <c r="AM190" s="709"/>
      <c r="AN190" s="709"/>
    </row>
    <row r="191" spans="1:40" customFormat="1" ht="30" customHeight="1">
      <c r="A191" s="1266"/>
      <c r="B191" s="1266"/>
      <c r="C191" s="1266"/>
      <c r="D191" s="1304" t="s">
        <v>3110</v>
      </c>
      <c r="E191" s="1304"/>
      <c r="F191" s="1304"/>
      <c r="G191" s="1304"/>
      <c r="H191" s="1304"/>
      <c r="I191" s="1304"/>
      <c r="J191" s="1304"/>
      <c r="K191" s="1304"/>
      <c r="L191" s="1304"/>
      <c r="M191" s="1304"/>
      <c r="N191" s="1266"/>
      <c r="O191" s="1266"/>
      <c r="P191" s="1266"/>
      <c r="Q191" s="1266"/>
      <c r="R191" s="1266"/>
      <c r="S191" s="1266"/>
      <c r="T191" s="1266"/>
      <c r="U191" s="1266"/>
      <c r="V191" s="1266"/>
      <c r="W191" s="1266"/>
      <c r="X191" s="1266"/>
      <c r="Y191" s="1208"/>
      <c r="Z191" s="1208"/>
      <c r="AA191" s="1208"/>
      <c r="AB191" s="1208"/>
      <c r="AC191" s="1208"/>
      <c r="AD191" s="1208"/>
      <c r="AE191" s="1208"/>
      <c r="AF191" s="1208"/>
      <c r="AG191" s="1208"/>
      <c r="AH191" s="1208"/>
      <c r="AI191" s="1208"/>
      <c r="AJ191" s="1266"/>
      <c r="AK191" s="1266"/>
      <c r="AL191" s="1185">
        <v>1</v>
      </c>
      <c r="AM191" s="709"/>
      <c r="AN191" s="709"/>
    </row>
    <row r="192" spans="1:40" customFormat="1" ht="30" customHeight="1">
      <c r="A192" s="1266"/>
      <c r="B192" s="1266"/>
      <c r="C192" s="1266"/>
      <c r="D192" s="1304" t="s">
        <v>3110</v>
      </c>
      <c r="E192" s="1304"/>
      <c r="F192" s="1304"/>
      <c r="G192" s="1304"/>
      <c r="H192" s="1304"/>
      <c r="I192" s="1304"/>
      <c r="J192" s="1304"/>
      <c r="K192" s="1304"/>
      <c r="L192" s="1304"/>
      <c r="M192" s="1304"/>
      <c r="N192" s="1266"/>
      <c r="O192" s="1266"/>
      <c r="P192" s="1266"/>
      <c r="Q192" s="1266"/>
      <c r="R192" s="1266"/>
      <c r="S192" s="1266"/>
      <c r="T192" s="1266"/>
      <c r="U192" s="1266"/>
      <c r="V192" s="1266"/>
      <c r="W192" s="1266"/>
      <c r="X192" s="1266"/>
      <c r="Y192" s="1266"/>
      <c r="Z192" s="1266"/>
      <c r="AA192" s="1266"/>
      <c r="AB192" s="1266"/>
      <c r="AC192" s="1266"/>
      <c r="AD192" s="1266"/>
      <c r="AE192" s="1266"/>
      <c r="AF192" s="1266"/>
      <c r="AG192" s="1266"/>
      <c r="AH192" s="1266"/>
      <c r="AI192" s="1266"/>
      <c r="AJ192" s="1266"/>
      <c r="AK192" s="1266"/>
      <c r="AL192" s="1185">
        <v>1</v>
      </c>
      <c r="AM192" s="709"/>
      <c r="AN192" s="709"/>
    </row>
    <row r="193" spans="1:40" customFormat="1" ht="30" customHeight="1">
      <c r="A193" s="1266"/>
      <c r="B193" s="1266"/>
      <c r="C193" s="1266"/>
      <c r="D193" s="1309" t="s">
        <v>2735</v>
      </c>
      <c r="E193" s="1304"/>
      <c r="F193" s="1304"/>
      <c r="G193" s="1304"/>
      <c r="H193" s="1304"/>
      <c r="I193" s="1304"/>
      <c r="J193" s="1304"/>
      <c r="K193" s="1304"/>
      <c r="L193" s="1304"/>
      <c r="M193" s="1304"/>
      <c r="N193" s="1266"/>
      <c r="O193" s="1266"/>
      <c r="P193" s="1266"/>
      <c r="Q193" s="1266"/>
      <c r="R193" s="1266"/>
      <c r="S193" s="1266"/>
      <c r="T193" s="1266"/>
      <c r="U193" s="1266"/>
      <c r="V193" s="1266"/>
      <c r="W193" s="1266"/>
      <c r="X193" s="1266"/>
      <c r="Y193" s="1266"/>
      <c r="Z193" s="1266"/>
      <c r="AA193" s="1266"/>
      <c r="AB193" s="1266"/>
      <c r="AC193" s="1266"/>
      <c r="AD193" s="1266"/>
      <c r="AE193" s="1266"/>
      <c r="AF193" s="1266"/>
      <c r="AG193" s="1266"/>
      <c r="AH193" s="1266"/>
      <c r="AI193" s="1266"/>
      <c r="AJ193" s="1266"/>
      <c r="AK193" s="1266"/>
      <c r="AL193" s="1185">
        <v>1</v>
      </c>
      <c r="AM193" s="709"/>
      <c r="AN193" s="709"/>
    </row>
    <row r="194" spans="1:40" customFormat="1" ht="30" customHeight="1">
      <c r="A194" s="1266"/>
      <c r="B194" s="1266"/>
      <c r="C194" s="1266"/>
      <c r="D194" s="1309" t="s">
        <v>2736</v>
      </c>
      <c r="E194" s="1304"/>
      <c r="F194" s="1304"/>
      <c r="G194" s="1304"/>
      <c r="H194" s="1304"/>
      <c r="I194" s="1304"/>
      <c r="J194" s="1304"/>
      <c r="K194" s="1304"/>
      <c r="L194" s="1304"/>
      <c r="M194" s="1304"/>
      <c r="N194" s="1266"/>
      <c r="O194" s="1266"/>
      <c r="P194" s="1266"/>
      <c r="Q194" s="1266"/>
      <c r="R194" s="1266"/>
      <c r="S194" s="1266"/>
      <c r="T194" s="1266"/>
      <c r="U194" s="1266"/>
      <c r="V194" s="1266"/>
      <c r="W194" s="1266"/>
      <c r="X194" s="1266"/>
      <c r="Y194" s="1266"/>
      <c r="Z194" s="1266"/>
      <c r="AA194" s="1266"/>
      <c r="AB194" s="1266"/>
      <c r="AC194" s="1266"/>
      <c r="AD194" s="1266"/>
      <c r="AE194" s="1266"/>
      <c r="AF194" s="1266"/>
      <c r="AG194" s="1266"/>
      <c r="AH194" s="1266"/>
      <c r="AI194" s="1266"/>
      <c r="AJ194" s="1266"/>
      <c r="AK194" s="1266"/>
      <c r="AL194" s="1185">
        <v>1</v>
      </c>
      <c r="AM194" s="709"/>
      <c r="AN194" s="709"/>
    </row>
    <row r="195" spans="1:40" customFormat="1" ht="30" customHeight="1">
      <c r="A195" s="1266"/>
      <c r="B195" s="1266"/>
      <c r="C195" s="1266"/>
      <c r="D195" s="1266"/>
      <c r="E195" s="1266"/>
      <c r="F195" s="1266"/>
      <c r="G195" s="1266"/>
      <c r="H195" s="1266"/>
      <c r="I195" s="1266"/>
      <c r="J195" s="1266"/>
      <c r="K195" s="1266"/>
      <c r="L195" s="1266"/>
      <c r="M195" s="1266"/>
      <c r="N195" s="1266"/>
      <c r="O195" s="1266"/>
      <c r="P195" s="1266"/>
      <c r="Q195" s="1266"/>
      <c r="R195" s="1266"/>
      <c r="S195" s="1266"/>
      <c r="T195" s="1266"/>
      <c r="U195" s="1266"/>
      <c r="V195" s="1266"/>
      <c r="W195" s="1266"/>
      <c r="X195" s="1266"/>
      <c r="Y195" s="1266"/>
      <c r="Z195" s="1266"/>
      <c r="AA195" s="1266"/>
      <c r="AB195" s="1266"/>
      <c r="AC195" s="1266"/>
      <c r="AD195" s="1266"/>
      <c r="AE195" s="1266"/>
      <c r="AF195" s="1266"/>
      <c r="AG195" s="1266"/>
      <c r="AH195" s="1266"/>
      <c r="AI195" s="1266"/>
      <c r="AJ195" s="1266"/>
      <c r="AK195" s="1266"/>
      <c r="AL195" s="1185">
        <v>1</v>
      </c>
      <c r="AM195" s="709"/>
      <c r="AN195" s="709"/>
    </row>
    <row r="196" spans="1:40" customFormat="1" ht="30" customHeight="1">
      <c r="A196" s="1266"/>
      <c r="B196" s="1266"/>
      <c r="C196" s="1266"/>
      <c r="D196" s="1310" t="s">
        <v>3139</v>
      </c>
      <c r="E196" s="1311"/>
      <c r="F196" s="1311"/>
      <c r="G196" s="1311"/>
      <c r="H196" s="1311"/>
      <c r="I196" s="1311"/>
      <c r="J196" s="1311"/>
      <c r="K196" s="1311"/>
      <c r="L196" s="1311"/>
      <c r="M196" s="1311"/>
      <c r="N196" s="1266"/>
      <c r="O196" s="1266"/>
      <c r="P196" s="1266"/>
      <c r="Q196" s="1266"/>
      <c r="R196" s="1266"/>
      <c r="S196" s="1266"/>
      <c r="T196" s="1266"/>
      <c r="U196" s="1266"/>
      <c r="V196" s="1266"/>
      <c r="W196" s="1266"/>
      <c r="X196" s="1266"/>
      <c r="Y196" s="1266"/>
      <c r="Z196" s="1266"/>
      <c r="AA196" s="1266"/>
      <c r="AB196" s="1266"/>
      <c r="AC196" s="1266"/>
      <c r="AD196" s="1266"/>
      <c r="AE196" s="1266"/>
      <c r="AF196" s="1266"/>
      <c r="AG196" s="1266"/>
      <c r="AH196" s="1266"/>
      <c r="AI196" s="1266"/>
      <c r="AJ196" s="1266"/>
      <c r="AK196" s="1266"/>
      <c r="AL196" s="1185">
        <v>1</v>
      </c>
      <c r="AM196" s="709"/>
      <c r="AN196" s="709"/>
    </row>
    <row r="197" spans="1:40" customFormat="1" ht="30" customHeight="1">
      <c r="A197" s="1266"/>
      <c r="B197" s="1266"/>
      <c r="C197" s="1266"/>
      <c r="D197" s="1312" t="s">
        <v>3140</v>
      </c>
      <c r="E197" s="1311"/>
      <c r="F197" s="1311"/>
      <c r="G197" s="1311"/>
      <c r="H197" s="1311"/>
      <c r="I197" s="1311"/>
      <c r="J197" s="1311"/>
      <c r="K197" s="1311"/>
      <c r="L197" s="1311"/>
      <c r="M197" s="1311"/>
      <c r="N197" s="1266"/>
      <c r="O197" s="1266"/>
      <c r="P197" s="1266"/>
      <c r="Q197" s="1266"/>
      <c r="R197" s="1266"/>
      <c r="S197" s="1266"/>
      <c r="T197" s="1266"/>
      <c r="U197" s="1266"/>
      <c r="V197" s="1266"/>
      <c r="W197" s="1266"/>
      <c r="X197" s="1266"/>
      <c r="Y197" s="1266"/>
      <c r="Z197" s="1266"/>
      <c r="AA197" s="1266"/>
      <c r="AB197" s="1266"/>
      <c r="AC197" s="1266"/>
      <c r="AD197" s="1266"/>
      <c r="AE197" s="1266"/>
      <c r="AF197" s="1266"/>
      <c r="AG197" s="1266"/>
      <c r="AH197" s="1266"/>
      <c r="AI197" s="1266"/>
      <c r="AJ197" s="1266"/>
      <c r="AK197" s="1266"/>
      <c r="AL197" s="1185">
        <v>1</v>
      </c>
      <c r="AM197" s="709"/>
      <c r="AN197" s="709"/>
    </row>
    <row r="198" spans="1:40" customFormat="1" ht="30" customHeight="1">
      <c r="A198" s="1266"/>
      <c r="B198" s="1266"/>
      <c r="C198" s="1266"/>
      <c r="D198" s="1312" t="s">
        <v>3141</v>
      </c>
      <c r="E198" s="1311"/>
      <c r="F198" s="1311"/>
      <c r="G198" s="1311"/>
      <c r="H198" s="1311"/>
      <c r="I198" s="1311"/>
      <c r="J198" s="1311"/>
      <c r="K198" s="1311"/>
      <c r="L198" s="1311"/>
      <c r="M198" s="1311"/>
      <c r="N198" s="1266"/>
      <c r="O198" s="1266"/>
      <c r="P198" s="1266"/>
      <c r="Q198" s="1266"/>
      <c r="R198" s="1266"/>
      <c r="S198" s="1266"/>
      <c r="T198" s="1266"/>
      <c r="U198" s="1266"/>
      <c r="V198" s="1266"/>
      <c r="W198" s="1266"/>
      <c r="X198" s="1266"/>
      <c r="Y198" s="1266"/>
      <c r="Z198" s="1266"/>
      <c r="AA198" s="1266"/>
      <c r="AB198" s="1266"/>
      <c r="AC198" s="1266"/>
      <c r="AD198" s="1266"/>
      <c r="AE198" s="1266"/>
      <c r="AF198" s="1266"/>
      <c r="AG198" s="1266"/>
      <c r="AH198" s="1266"/>
      <c r="AI198" s="1266"/>
      <c r="AJ198" s="1266"/>
      <c r="AK198" s="1266"/>
      <c r="AL198" s="1185">
        <v>1</v>
      </c>
      <c r="AM198" s="709"/>
      <c r="AN198" s="709"/>
    </row>
    <row r="199" spans="1:40" customFormat="1" ht="30" customHeight="1">
      <c r="A199" s="1266"/>
      <c r="B199" s="1266"/>
      <c r="C199" s="1266"/>
      <c r="D199" s="1313" t="s">
        <v>2741</v>
      </c>
      <c r="E199" s="1311"/>
      <c r="F199" s="1311"/>
      <c r="G199" s="1311"/>
      <c r="H199" s="1311"/>
      <c r="I199" s="1311"/>
      <c r="J199" s="1311"/>
      <c r="K199" s="1311"/>
      <c r="L199" s="1311"/>
      <c r="M199" s="1311"/>
      <c r="N199" s="1266"/>
      <c r="O199" s="1266"/>
      <c r="P199" s="1266"/>
      <c r="Q199" s="1266"/>
      <c r="R199" s="1266"/>
      <c r="S199" s="1266"/>
      <c r="T199" s="1266"/>
      <c r="U199" s="1266"/>
      <c r="V199" s="1266"/>
      <c r="W199" s="1266"/>
      <c r="X199" s="1266"/>
      <c r="Y199" s="1266"/>
      <c r="Z199" s="1266"/>
      <c r="AA199" s="1266"/>
      <c r="AB199" s="1266"/>
      <c r="AC199" s="1266"/>
      <c r="AD199" s="1266"/>
      <c r="AE199" s="1266"/>
      <c r="AF199" s="1266"/>
      <c r="AG199" s="1266"/>
      <c r="AH199" s="1266"/>
      <c r="AI199" s="1266"/>
      <c r="AJ199" s="1266"/>
      <c r="AK199" s="1266"/>
      <c r="AL199" s="1185">
        <v>1</v>
      </c>
      <c r="AM199" s="709"/>
      <c r="AN199" s="709"/>
    </row>
    <row r="200" spans="1:40" customFormat="1" ht="30" customHeight="1">
      <c r="A200" s="1266"/>
      <c r="B200" s="1266"/>
      <c r="C200" s="1266"/>
      <c r="D200" s="1314" t="s">
        <v>2742</v>
      </c>
      <c r="E200" s="1311"/>
      <c r="F200" s="1311"/>
      <c r="G200" s="1311"/>
      <c r="H200" s="1311"/>
      <c r="I200" s="1311"/>
      <c r="J200" s="1311"/>
      <c r="K200" s="1311"/>
      <c r="L200" s="1311"/>
      <c r="M200" s="1311"/>
      <c r="N200" s="1266"/>
      <c r="O200" s="1266"/>
      <c r="P200" s="1266"/>
      <c r="Q200" s="1266"/>
      <c r="R200" s="1266"/>
      <c r="S200" s="1266"/>
      <c r="T200" s="1266"/>
      <c r="U200" s="1266"/>
      <c r="V200" s="1266"/>
      <c r="W200" s="1266"/>
      <c r="X200" s="1266"/>
      <c r="Y200" s="1266"/>
      <c r="Z200" s="1266"/>
      <c r="AA200" s="1266"/>
      <c r="AB200" s="1266"/>
      <c r="AC200" s="1266"/>
      <c r="AD200" s="1266"/>
      <c r="AE200" s="1266"/>
      <c r="AF200" s="1266"/>
      <c r="AG200" s="1266"/>
      <c r="AH200" s="1266"/>
      <c r="AI200" s="1266"/>
      <c r="AJ200" s="1266"/>
      <c r="AK200" s="1266"/>
      <c r="AL200" s="1185">
        <v>1</v>
      </c>
      <c r="AM200" s="709"/>
      <c r="AN200" s="709"/>
    </row>
    <row r="201" spans="1:40" customFormat="1" ht="30" customHeight="1">
      <c r="A201" s="1266"/>
      <c r="B201" s="1266"/>
      <c r="C201" s="1266"/>
      <c r="D201" s="1314" t="s">
        <v>2743</v>
      </c>
      <c r="E201" s="1311"/>
      <c r="F201" s="1311"/>
      <c r="G201" s="1311"/>
      <c r="H201" s="1311"/>
      <c r="I201" s="1311"/>
      <c r="J201" s="1311"/>
      <c r="K201" s="1311"/>
      <c r="L201" s="1311"/>
      <c r="M201" s="1311"/>
      <c r="N201" s="1266"/>
      <c r="O201" s="1266"/>
      <c r="P201" s="1266"/>
      <c r="Q201" s="1266"/>
      <c r="R201" s="1266"/>
      <c r="S201" s="1266"/>
      <c r="T201" s="1266"/>
      <c r="U201" s="1266"/>
      <c r="V201" s="1266"/>
      <c r="W201" s="1266"/>
      <c r="X201" s="1266"/>
      <c r="Y201" s="1266"/>
      <c r="Z201" s="1266"/>
      <c r="AA201" s="1266"/>
      <c r="AB201" s="1266"/>
      <c r="AC201" s="1266"/>
      <c r="AD201" s="1266"/>
      <c r="AE201" s="1266"/>
      <c r="AF201" s="1266"/>
      <c r="AG201" s="1266"/>
      <c r="AH201" s="1266"/>
      <c r="AI201" s="1266"/>
      <c r="AJ201" s="1266"/>
      <c r="AK201" s="1266"/>
      <c r="AL201" s="1185">
        <v>1</v>
      </c>
      <c r="AM201" s="709"/>
      <c r="AN201" s="709"/>
    </row>
    <row r="202" spans="1:40" customFormat="1" ht="30" customHeight="1">
      <c r="A202" s="1266"/>
      <c r="B202" s="1266"/>
      <c r="C202" s="1266"/>
      <c r="D202" s="1266"/>
      <c r="E202" s="1266"/>
      <c r="F202" s="1266"/>
      <c r="G202" s="1266"/>
      <c r="H202" s="1266"/>
      <c r="I202" s="1266"/>
      <c r="J202" s="1266"/>
      <c r="K202" s="1266"/>
      <c r="L202" s="1266"/>
      <c r="M202" s="1266"/>
      <c r="N202" s="1266"/>
      <c r="O202" s="1266"/>
      <c r="P202" s="1266"/>
      <c r="Q202" s="1266"/>
      <c r="R202" s="1266"/>
      <c r="S202" s="1266"/>
      <c r="T202" s="1266"/>
      <c r="U202" s="1266"/>
      <c r="V202" s="1266"/>
      <c r="W202" s="1266"/>
      <c r="X202" s="1266"/>
      <c r="Y202" s="1266"/>
      <c r="Z202" s="1266"/>
      <c r="AA202" s="1266"/>
      <c r="AB202" s="1266"/>
      <c r="AC202" s="1266"/>
      <c r="AD202" s="1266"/>
      <c r="AE202" s="1266"/>
      <c r="AF202" s="1266"/>
      <c r="AG202" s="1266"/>
      <c r="AH202" s="1266"/>
      <c r="AI202" s="1266"/>
      <c r="AJ202" s="1266"/>
      <c r="AK202" s="1266"/>
      <c r="AL202" s="1185">
        <v>1</v>
      </c>
      <c r="AM202" s="709"/>
      <c r="AN202" s="709"/>
    </row>
    <row r="203" spans="1:40" customFormat="1" ht="30" customHeight="1">
      <c r="A203" s="1266"/>
      <c r="B203" s="1266"/>
      <c r="C203" s="1266"/>
      <c r="D203" s="1315" t="s">
        <v>3142</v>
      </c>
      <c r="E203" s="1315"/>
      <c r="F203" s="1315"/>
      <c r="G203" s="1315"/>
      <c r="H203" s="1315"/>
      <c r="I203" s="1315"/>
      <c r="J203" s="1315"/>
      <c r="K203" s="1315"/>
      <c r="L203" s="1315"/>
      <c r="M203" s="1315"/>
      <c r="N203" s="1266"/>
      <c r="O203" s="1266"/>
      <c r="P203" s="1266"/>
      <c r="Q203" s="1266"/>
      <c r="R203" s="1266"/>
      <c r="S203" s="1266"/>
      <c r="T203" s="1266"/>
      <c r="U203" s="1266"/>
      <c r="V203" s="1266"/>
      <c r="W203" s="1266"/>
      <c r="X203" s="1266"/>
      <c r="Y203" s="1266"/>
      <c r="Z203" s="1266"/>
      <c r="AA203" s="1266"/>
      <c r="AB203" s="1266"/>
      <c r="AC203" s="1266"/>
      <c r="AD203" s="1266"/>
      <c r="AE203" s="1266"/>
      <c r="AF203" s="1266"/>
      <c r="AG203" s="1266"/>
      <c r="AH203" s="1266"/>
      <c r="AI203" s="1266"/>
      <c r="AJ203" s="1266"/>
      <c r="AK203" s="1266"/>
      <c r="AL203" s="1185">
        <v>1</v>
      </c>
      <c r="AM203" s="709"/>
      <c r="AN203" s="709"/>
    </row>
    <row r="204" spans="1:40" customFormat="1" ht="30" customHeight="1">
      <c r="A204" s="1266"/>
      <c r="B204" s="1266"/>
      <c r="C204" s="1266"/>
      <c r="D204" s="1315" t="s">
        <v>3143</v>
      </c>
      <c r="E204" s="1315"/>
      <c r="F204" s="1315"/>
      <c r="G204" s="1315"/>
      <c r="H204" s="1315"/>
      <c r="I204" s="1315"/>
      <c r="J204" s="1315"/>
      <c r="K204" s="1315"/>
      <c r="L204" s="1315"/>
      <c r="M204" s="1315"/>
      <c r="N204" s="1266"/>
      <c r="O204" s="1266"/>
      <c r="P204" s="1266"/>
      <c r="Q204" s="1266"/>
      <c r="R204" s="1266"/>
      <c r="S204" s="1266"/>
      <c r="T204" s="1266"/>
      <c r="U204" s="1266"/>
      <c r="V204" s="1266"/>
      <c r="W204" s="1266"/>
      <c r="X204" s="1266"/>
      <c r="Y204" s="1266"/>
      <c r="Z204" s="1266"/>
      <c r="AA204" s="1266"/>
      <c r="AB204" s="1266"/>
      <c r="AC204" s="1266"/>
      <c r="AD204" s="1266"/>
      <c r="AE204" s="1266"/>
      <c r="AF204" s="1266"/>
      <c r="AG204" s="1266"/>
      <c r="AH204" s="1266"/>
      <c r="AI204" s="1266"/>
      <c r="AJ204" s="1266"/>
      <c r="AK204" s="1266"/>
      <c r="AL204" s="1185">
        <v>1</v>
      </c>
      <c r="AM204" s="709"/>
      <c r="AN204" s="709"/>
    </row>
    <row r="205" spans="1:40" customFormat="1" ht="30" customHeight="1">
      <c r="A205" s="1266"/>
      <c r="B205" s="1266"/>
      <c r="C205" s="1266"/>
      <c r="D205" s="1315" t="s">
        <v>3144</v>
      </c>
      <c r="E205" s="1315"/>
      <c r="F205" s="1315"/>
      <c r="G205" s="1315"/>
      <c r="H205" s="1315"/>
      <c r="I205" s="1315"/>
      <c r="J205" s="1315"/>
      <c r="K205" s="1315"/>
      <c r="L205" s="1315"/>
      <c r="M205" s="1315"/>
      <c r="N205" s="1266"/>
      <c r="O205" s="1266"/>
      <c r="P205" s="1266"/>
      <c r="Q205" s="1266"/>
      <c r="R205" s="1266"/>
      <c r="S205" s="1266"/>
      <c r="T205" s="1266"/>
      <c r="U205" s="1266"/>
      <c r="V205" s="1266"/>
      <c r="W205" s="1266"/>
      <c r="X205" s="1266"/>
      <c r="Y205" s="1266"/>
      <c r="Z205" s="1266"/>
      <c r="AA205" s="1266"/>
      <c r="AB205" s="1266"/>
      <c r="AC205" s="1266"/>
      <c r="AD205" s="1266"/>
      <c r="AE205" s="1266"/>
      <c r="AF205" s="1266"/>
      <c r="AG205" s="1266"/>
      <c r="AH205" s="1266"/>
      <c r="AI205" s="1266"/>
      <c r="AJ205" s="1266"/>
      <c r="AK205" s="1266"/>
      <c r="AL205" s="1185">
        <v>1</v>
      </c>
      <c r="AM205" s="709"/>
      <c r="AN205" s="709"/>
    </row>
    <row r="206" spans="1:40" customFormat="1" ht="30" customHeight="1">
      <c r="A206" s="1266"/>
      <c r="B206" s="1266"/>
      <c r="C206" s="1266"/>
      <c r="D206" s="1315" t="s">
        <v>3145</v>
      </c>
      <c r="E206" s="1315"/>
      <c r="F206" s="1315"/>
      <c r="G206" s="1315"/>
      <c r="H206" s="1315"/>
      <c r="I206" s="1315"/>
      <c r="J206" s="1315"/>
      <c r="K206" s="1315"/>
      <c r="L206" s="1315"/>
      <c r="M206" s="1315"/>
      <c r="N206" s="1266"/>
      <c r="O206" s="1266"/>
      <c r="P206" s="1266"/>
      <c r="Q206" s="1266"/>
      <c r="R206" s="1266"/>
      <c r="S206" s="1266"/>
      <c r="T206" s="1266"/>
      <c r="U206" s="1266"/>
      <c r="V206" s="1266"/>
      <c r="W206" s="1266"/>
      <c r="X206" s="1266"/>
      <c r="Y206" s="1266"/>
      <c r="Z206" s="1266"/>
      <c r="AA206" s="1266"/>
      <c r="AB206" s="1266"/>
      <c r="AC206" s="1266"/>
      <c r="AD206" s="1266"/>
      <c r="AE206" s="1266"/>
      <c r="AF206" s="1266"/>
      <c r="AG206" s="1266"/>
      <c r="AH206" s="1266"/>
      <c r="AI206" s="1266"/>
      <c r="AJ206" s="1266"/>
      <c r="AK206" s="1266"/>
      <c r="AL206" s="1185">
        <v>1</v>
      </c>
      <c r="AM206" s="709"/>
      <c r="AN206" s="709"/>
    </row>
    <row r="207" spans="1:40" customFormat="1" ht="30" customHeight="1">
      <c r="A207" s="1266"/>
      <c r="B207" s="1266"/>
      <c r="C207" s="1266"/>
      <c r="D207" s="1315"/>
      <c r="E207" s="1315"/>
      <c r="F207" s="1315"/>
      <c r="G207" s="1315"/>
      <c r="H207" s="1315"/>
      <c r="I207" s="1315"/>
      <c r="J207" s="1315"/>
      <c r="K207" s="1315"/>
      <c r="L207" s="1315"/>
      <c r="M207" s="1315"/>
      <c r="N207" s="1266"/>
      <c r="O207" s="1266"/>
      <c r="P207" s="1266"/>
      <c r="Q207" s="1266"/>
      <c r="R207" s="1266"/>
      <c r="S207" s="1266"/>
      <c r="T207" s="1266"/>
      <c r="U207" s="1266"/>
      <c r="V207" s="1266"/>
      <c r="W207" s="1266"/>
      <c r="X207" s="1266"/>
      <c r="Y207" s="1266"/>
      <c r="Z207" s="1266"/>
      <c r="AA207" s="1266"/>
      <c r="AB207" s="1266"/>
      <c r="AC207" s="1266"/>
      <c r="AD207" s="1266"/>
      <c r="AE207" s="1266"/>
      <c r="AF207" s="1266"/>
      <c r="AG207" s="1266"/>
      <c r="AH207" s="1266"/>
      <c r="AI207" s="1266"/>
      <c r="AJ207" s="1266"/>
      <c r="AK207" s="1266"/>
      <c r="AL207" s="1185">
        <v>1</v>
      </c>
      <c r="AM207" s="709"/>
      <c r="AN207" s="709"/>
    </row>
    <row r="208" spans="1:40" customFormat="1" ht="30" customHeight="1" thickBot="1">
      <c r="A208" s="1266"/>
      <c r="B208" s="1266"/>
      <c r="C208" s="1266"/>
      <c r="D208" s="1266"/>
      <c r="E208" s="1266"/>
      <c r="F208" s="1266"/>
      <c r="G208" s="1266"/>
      <c r="H208" s="1266"/>
      <c r="I208" s="1266"/>
      <c r="J208" s="1266"/>
      <c r="K208" s="1266"/>
      <c r="L208" s="1266"/>
      <c r="M208" s="1266"/>
      <c r="N208" s="1266"/>
      <c r="O208" s="1266"/>
      <c r="P208" s="1266"/>
      <c r="Q208" s="1217"/>
      <c r="R208" s="1217"/>
      <c r="S208" s="1217"/>
      <c r="T208" s="1217"/>
      <c r="U208" s="1217"/>
      <c r="V208" s="1217"/>
      <c r="W208" s="1266"/>
      <c r="X208" s="1266"/>
      <c r="Y208" s="1266"/>
      <c r="Z208" s="1266"/>
      <c r="AA208" s="1266"/>
      <c r="AB208" s="1266"/>
      <c r="AC208" s="1266"/>
      <c r="AD208" s="1266"/>
      <c r="AE208" s="1266"/>
      <c r="AF208" s="1266"/>
      <c r="AG208" s="1266"/>
      <c r="AH208" s="1266"/>
      <c r="AI208" s="1266"/>
      <c r="AJ208" s="1266"/>
      <c r="AK208" s="1266"/>
      <c r="AL208" s="1185">
        <v>1</v>
      </c>
      <c r="AM208" s="709"/>
      <c r="AN208" s="709"/>
    </row>
    <row r="209" spans="1:40" s="1321" customFormat="1" ht="30" customHeight="1">
      <c r="A209" s="1316"/>
      <c r="B209" s="1266"/>
      <c r="C209" s="1266"/>
      <c r="D209" s="5399" t="s">
        <v>3151</v>
      </c>
      <c r="E209" s="5400"/>
      <c r="F209" s="5400"/>
      <c r="G209" s="5400"/>
      <c r="H209" s="5400"/>
      <c r="I209" s="5400"/>
      <c r="J209" s="5400"/>
      <c r="K209" s="1451"/>
      <c r="L209" s="1317"/>
      <c r="M209" s="1266"/>
      <c r="N209" s="1266"/>
      <c r="O209" s="1266"/>
      <c r="P209" s="1318" t="s">
        <v>3153</v>
      </c>
      <c r="Q209" s="1319"/>
      <c r="R209" s="1319"/>
      <c r="S209" s="1319"/>
      <c r="T209" s="1319"/>
      <c r="U209" s="1319"/>
      <c r="V209" s="1319"/>
      <c r="W209" s="1320"/>
      <c r="X209" s="1266"/>
      <c r="Y209" s="1266"/>
      <c r="Z209" s="1266"/>
      <c r="AA209" s="1266"/>
      <c r="AB209" s="1266"/>
      <c r="AC209" s="1266"/>
      <c r="AD209" s="1266"/>
      <c r="AE209" s="1266"/>
      <c r="AF209" s="1266"/>
      <c r="AG209" s="1266"/>
      <c r="AH209" s="1266"/>
      <c r="AI209" s="1266"/>
      <c r="AJ209" s="1266"/>
      <c r="AK209" s="1266"/>
      <c r="AL209" s="1185">
        <v>1</v>
      </c>
      <c r="AM209" s="709"/>
      <c r="AN209" s="709"/>
    </row>
    <row r="210" spans="1:40" s="1321" customFormat="1" ht="30" customHeight="1">
      <c r="A210" s="1316"/>
      <c r="B210" s="1266"/>
      <c r="C210" s="1266"/>
      <c r="D210" s="1322" t="s">
        <v>3253</v>
      </c>
      <c r="E210" s="1323"/>
      <c r="F210" s="1323"/>
      <c r="G210" s="1323"/>
      <c r="H210" s="1323"/>
      <c r="I210" s="1323"/>
      <c r="J210" s="1323"/>
      <c r="K210" s="9"/>
      <c r="L210" s="41"/>
      <c r="M210" s="1266"/>
      <c r="N210" s="1266"/>
      <c r="O210" s="1266"/>
      <c r="P210" s="1324" t="s">
        <v>3152</v>
      </c>
      <c r="Q210" s="1325"/>
      <c r="R210" s="1325"/>
      <c r="S210" s="1325"/>
      <c r="T210" s="1325"/>
      <c r="U210" s="1325"/>
      <c r="V210" s="1325"/>
      <c r="W210" s="1326"/>
      <c r="X210" s="1266"/>
      <c r="Y210" s="1266"/>
      <c r="Z210" s="1266"/>
      <c r="AA210" s="1266"/>
      <c r="AB210" s="1266"/>
      <c r="AC210" s="1266"/>
      <c r="AD210" s="1266"/>
      <c r="AE210" s="1266"/>
      <c r="AF210" s="1266"/>
      <c r="AG210" s="1266"/>
      <c r="AH210" s="1266"/>
      <c r="AI210" s="1266"/>
      <c r="AJ210" s="1266"/>
      <c r="AK210" s="1266"/>
      <c r="AL210" s="1185">
        <v>1</v>
      </c>
      <c r="AM210" s="709"/>
      <c r="AN210" s="709"/>
    </row>
    <row r="211" spans="1:40" s="1321" customFormat="1" ht="30" customHeight="1">
      <c r="A211" s="1316"/>
      <c r="B211" s="1266"/>
      <c r="C211" s="1266"/>
      <c r="D211" s="1322"/>
      <c r="E211" s="1327"/>
      <c r="F211" s="1327"/>
      <c r="G211" s="1327"/>
      <c r="H211" s="1327"/>
      <c r="I211" s="1327"/>
      <c r="J211" s="1327"/>
      <c r="K211" s="1327"/>
      <c r="L211" s="1328"/>
      <c r="M211" s="1266"/>
      <c r="N211" s="1266"/>
      <c r="O211" s="1266"/>
      <c r="P211" s="1329"/>
      <c r="Q211" s="1330"/>
      <c r="R211" s="1330"/>
      <c r="S211" s="1330"/>
      <c r="T211" s="1330"/>
      <c r="U211" s="1330"/>
      <c r="V211" s="1330"/>
      <c r="W211" s="1331"/>
      <c r="X211" s="1266"/>
      <c r="Y211" s="1266"/>
      <c r="Z211" s="1266"/>
      <c r="AA211" s="1266"/>
      <c r="AB211" s="1266"/>
      <c r="AC211" s="1266"/>
      <c r="AD211" s="1266"/>
      <c r="AE211" s="1266"/>
      <c r="AF211" s="1266"/>
      <c r="AG211" s="1266"/>
      <c r="AH211" s="1266"/>
      <c r="AI211" s="1266"/>
      <c r="AJ211" s="1266"/>
      <c r="AK211" s="1266"/>
      <c r="AL211" s="1185">
        <v>1</v>
      </c>
      <c r="AM211" s="709"/>
      <c r="AN211" s="709"/>
    </row>
    <row r="212" spans="1:40" s="1321" customFormat="1" ht="30" customHeight="1">
      <c r="A212" s="1316"/>
      <c r="B212" s="1266"/>
      <c r="C212" s="1266"/>
      <c r="D212" s="1322"/>
      <c r="E212" s="1453" t="s">
        <v>3256</v>
      </c>
      <c r="F212" s="1327"/>
      <c r="G212" s="1327"/>
      <c r="H212" s="1327"/>
      <c r="I212" s="1327"/>
      <c r="J212" s="1327"/>
      <c r="K212" s="1327"/>
      <c r="L212" s="1328"/>
      <c r="M212" s="1266"/>
      <c r="N212" s="1266"/>
      <c r="O212" s="1266"/>
      <c r="P212" s="1329"/>
      <c r="Q212" s="1330"/>
      <c r="R212" s="1330"/>
      <c r="S212" s="1330"/>
      <c r="T212" s="1330"/>
      <c r="U212" s="1330"/>
      <c r="V212" s="1330"/>
      <c r="W212" s="1331"/>
      <c r="X212" s="1266"/>
      <c r="Y212" s="1266"/>
      <c r="Z212" s="1266"/>
      <c r="AA212" s="1266"/>
      <c r="AB212" s="1266"/>
      <c r="AC212" s="1266"/>
      <c r="AD212" s="1266"/>
      <c r="AE212" s="1266"/>
      <c r="AF212" s="1266"/>
      <c r="AG212" s="1266"/>
      <c r="AH212" s="1266"/>
      <c r="AI212" s="1266"/>
      <c r="AJ212" s="1266"/>
      <c r="AK212" s="1266"/>
      <c r="AL212" s="1185">
        <v>1</v>
      </c>
      <c r="AM212" s="709"/>
      <c r="AN212" s="709"/>
    </row>
    <row r="213" spans="1:40" s="1321" customFormat="1" ht="30" customHeight="1">
      <c r="A213" s="1316"/>
      <c r="B213" s="1266"/>
      <c r="C213" s="1266"/>
      <c r="D213" s="1322" t="s">
        <v>3254</v>
      </c>
      <c r="E213" s="1327"/>
      <c r="F213" s="1327"/>
      <c r="G213" s="1327"/>
      <c r="H213" s="1327"/>
      <c r="I213" s="1327"/>
      <c r="J213" s="1327"/>
      <c r="K213" s="1327"/>
      <c r="L213" s="1328"/>
      <c r="M213" s="1266"/>
      <c r="N213" s="1266"/>
      <c r="O213" s="1266"/>
      <c r="P213" s="495"/>
      <c r="Q213" s="9"/>
      <c r="R213" s="9"/>
      <c r="S213" s="9"/>
      <c r="T213" s="9"/>
      <c r="U213" s="9"/>
      <c r="V213" s="9"/>
      <c r="W213" s="41"/>
      <c r="X213" s="1266"/>
      <c r="Y213" s="1266"/>
      <c r="Z213" s="1266"/>
      <c r="AA213" s="1266"/>
      <c r="AB213" s="1266"/>
      <c r="AC213" s="1266"/>
      <c r="AD213" s="1266"/>
      <c r="AE213" s="1266"/>
      <c r="AF213" s="1266"/>
      <c r="AG213" s="1266"/>
      <c r="AH213" s="1266"/>
      <c r="AI213" s="1266"/>
      <c r="AJ213" s="1266"/>
      <c r="AK213" s="1266"/>
      <c r="AL213" s="1185">
        <v>1</v>
      </c>
      <c r="AM213" s="709"/>
      <c r="AN213" s="709"/>
    </row>
    <row r="214" spans="1:40" s="1321" customFormat="1" ht="30" customHeight="1">
      <c r="A214" s="1316"/>
      <c r="B214" s="1266"/>
      <c r="C214" s="1266"/>
      <c r="D214" s="1322"/>
      <c r="E214" s="1332"/>
      <c r="F214" s="1332"/>
      <c r="G214" s="1332"/>
      <c r="H214" s="1452" t="s">
        <v>3257</v>
      </c>
      <c r="I214" s="1332"/>
      <c r="J214" s="1333"/>
      <c r="K214" s="9"/>
      <c r="L214" s="41"/>
      <c r="M214" s="1266"/>
      <c r="N214" s="1266"/>
      <c r="O214" s="1266"/>
      <c r="P214" s="495"/>
      <c r="Q214" s="9"/>
      <c r="R214" s="9"/>
      <c r="S214" s="9"/>
      <c r="T214" s="9"/>
      <c r="U214" s="9"/>
      <c r="V214" s="9"/>
      <c r="W214" s="41"/>
      <c r="X214" s="1266"/>
      <c r="Y214" s="1266"/>
      <c r="Z214" s="1266"/>
      <c r="AA214" s="1266"/>
      <c r="AB214" s="1266"/>
      <c r="AC214" s="1266"/>
      <c r="AD214" s="1266"/>
      <c r="AE214" s="1266"/>
      <c r="AF214" s="1266"/>
      <c r="AG214" s="1266"/>
      <c r="AH214" s="1266"/>
      <c r="AI214" s="1266"/>
      <c r="AJ214" s="1266"/>
      <c r="AK214" s="1266"/>
      <c r="AL214" s="1185">
        <v>1</v>
      </c>
      <c r="AM214" s="709"/>
      <c r="AN214" s="709"/>
    </row>
    <row r="215" spans="1:40" s="1321" customFormat="1" ht="30" customHeight="1">
      <c r="A215" s="1316"/>
      <c r="B215" s="1266"/>
      <c r="C215" s="1266"/>
      <c r="D215" s="1322"/>
      <c r="E215" s="1332"/>
      <c r="F215" s="1332"/>
      <c r="G215" s="1332"/>
      <c r="H215" s="1452" t="s">
        <v>3258</v>
      </c>
      <c r="I215" s="1332"/>
      <c r="J215" s="1333"/>
      <c r="K215" s="9"/>
      <c r="L215" s="41"/>
      <c r="M215" s="1266"/>
      <c r="N215" s="1266"/>
      <c r="O215" s="1266"/>
      <c r="P215" s="495"/>
      <c r="Q215" s="9"/>
      <c r="R215" s="9"/>
      <c r="S215" s="9"/>
      <c r="T215" s="9"/>
      <c r="U215" s="9"/>
      <c r="V215" s="9"/>
      <c r="W215" s="41"/>
      <c r="X215" s="1266"/>
      <c r="Y215" s="1266"/>
      <c r="Z215" s="1266"/>
      <c r="AA215" s="1266"/>
      <c r="AB215" s="1266"/>
      <c r="AC215" s="1266"/>
      <c r="AD215" s="1266"/>
      <c r="AE215" s="1266"/>
      <c r="AF215" s="1266"/>
      <c r="AG215" s="1266"/>
      <c r="AH215" s="1266"/>
      <c r="AI215" s="1266"/>
      <c r="AJ215" s="1266"/>
      <c r="AK215" s="1266"/>
      <c r="AL215" s="1185">
        <v>1</v>
      </c>
      <c r="AM215" s="709"/>
      <c r="AN215" s="709"/>
    </row>
    <row r="216" spans="1:40" s="1321" customFormat="1" ht="30" customHeight="1">
      <c r="A216" s="1316"/>
      <c r="B216" s="1266"/>
      <c r="C216" s="1266"/>
      <c r="D216" s="1322"/>
      <c r="E216" s="1332"/>
      <c r="F216" s="1332"/>
      <c r="G216" s="1332"/>
      <c r="H216" s="1452" t="s">
        <v>3259</v>
      </c>
      <c r="I216" s="1332"/>
      <c r="J216" s="1333"/>
      <c r="K216" s="9"/>
      <c r="L216" s="41"/>
      <c r="M216" s="1266"/>
      <c r="N216" s="1266"/>
      <c r="O216" s="1266"/>
      <c r="P216" s="495"/>
      <c r="Q216" s="9"/>
      <c r="R216" s="9"/>
      <c r="S216" s="9"/>
      <c r="T216" s="9"/>
      <c r="U216" s="9"/>
      <c r="V216" s="9"/>
      <c r="W216" s="41"/>
      <c r="X216" s="1266"/>
      <c r="Y216" s="1266"/>
      <c r="Z216" s="1266"/>
      <c r="AA216" s="1266"/>
      <c r="AB216" s="1266"/>
      <c r="AC216" s="1266"/>
      <c r="AD216" s="1266"/>
      <c r="AE216" s="1266"/>
      <c r="AF216" s="1266"/>
      <c r="AG216" s="1266"/>
      <c r="AH216" s="1266"/>
      <c r="AI216" s="1266"/>
      <c r="AJ216" s="1266"/>
      <c r="AK216" s="1266"/>
      <c r="AL216" s="1185">
        <v>1</v>
      </c>
      <c r="AM216" s="709"/>
      <c r="AN216" s="709"/>
    </row>
    <row r="217" spans="1:40" s="1321" customFormat="1" ht="30" customHeight="1">
      <c r="A217" s="1316"/>
      <c r="B217" s="1266"/>
      <c r="C217" s="1266"/>
      <c r="D217" s="5401" t="s">
        <v>3255</v>
      </c>
      <c r="E217" s="5402"/>
      <c r="F217" s="5402"/>
      <c r="G217" s="5402"/>
      <c r="H217" s="5402"/>
      <c r="I217" s="5402"/>
      <c r="J217" s="5402"/>
      <c r="K217" s="5402"/>
      <c r="L217" s="41"/>
      <c r="M217" s="1266"/>
      <c r="N217" s="1266"/>
      <c r="O217" s="1266"/>
      <c r="P217" s="495"/>
      <c r="Q217" s="9"/>
      <c r="R217" s="9"/>
      <c r="S217" s="9"/>
      <c r="T217" s="9"/>
      <c r="U217" s="9"/>
      <c r="V217" s="9"/>
      <c r="W217" s="41"/>
      <c r="X217" s="1266"/>
      <c r="Y217" s="1266"/>
      <c r="Z217" s="1183"/>
      <c r="AA217" s="1183"/>
      <c r="AB217" s="1183"/>
      <c r="AC217" s="1183"/>
      <c r="AD217" s="1183"/>
      <c r="AE217" s="1183"/>
      <c r="AF217" s="1183"/>
      <c r="AG217" s="1183"/>
      <c r="AH217" s="1183"/>
      <c r="AI217" s="1183"/>
      <c r="AJ217" s="1183"/>
      <c r="AK217" s="1183"/>
      <c r="AL217" s="1185">
        <v>1</v>
      </c>
      <c r="AM217" s="709"/>
      <c r="AN217" s="709"/>
    </row>
    <row r="218" spans="1:40" s="1321" customFormat="1" ht="30" customHeight="1" thickBot="1">
      <c r="A218" s="1316"/>
      <c r="B218" s="1266"/>
      <c r="C218" s="1266"/>
      <c r="D218" s="5404"/>
      <c r="E218" s="5405"/>
      <c r="F218" s="5405"/>
      <c r="G218" s="5405"/>
      <c r="H218" s="5405"/>
      <c r="I218" s="5405"/>
      <c r="J218" s="5405"/>
      <c r="K218" s="5405"/>
      <c r="L218" s="1336"/>
      <c r="M218" s="1266"/>
      <c r="N218" s="1266"/>
      <c r="O218" s="1266"/>
      <c r="P218" s="1334"/>
      <c r="Q218" s="1335"/>
      <c r="R218" s="1335"/>
      <c r="S218" s="1335"/>
      <c r="T218" s="1335"/>
      <c r="U218" s="1335"/>
      <c r="V218" s="1335"/>
      <c r="W218" s="1336"/>
      <c r="X218" s="1266"/>
      <c r="Y218" s="1266"/>
      <c r="Z218" s="1282"/>
      <c r="AA218" s="1282"/>
      <c r="AB218" s="1282"/>
      <c r="AC218" s="1282"/>
      <c r="AD218" s="1282"/>
      <c r="AE218" s="1282"/>
      <c r="AF218" s="1282"/>
      <c r="AG218" s="1282"/>
      <c r="AH218" s="1283"/>
      <c r="AI218" s="1283"/>
      <c r="AJ218" s="1183"/>
      <c r="AK218" s="1183"/>
      <c r="AL218" s="1185">
        <v>1</v>
      </c>
      <c r="AM218" s="709"/>
      <c r="AN218" s="709"/>
    </row>
    <row r="219" spans="1:40">
      <c r="A219" s="1181"/>
      <c r="B219" s="1266"/>
      <c r="C219" s="1266"/>
      <c r="D219" s="1266"/>
      <c r="E219" s="1266"/>
      <c r="F219" s="1266"/>
      <c r="G219" s="1266"/>
      <c r="H219" s="1266"/>
      <c r="I219" s="1266"/>
      <c r="J219" s="1266"/>
      <c r="K219" s="1266"/>
      <c r="L219" s="1266"/>
      <c r="M219" s="1266"/>
      <c r="N219" s="1266"/>
      <c r="O219" s="1266"/>
      <c r="P219" s="1266"/>
      <c r="Q219" s="1266"/>
      <c r="R219" s="1266"/>
      <c r="S219" s="1266"/>
      <c r="T219" s="1266"/>
      <c r="U219" s="1266"/>
      <c r="V219" s="1266"/>
      <c r="W219" s="1266"/>
      <c r="X219" s="1266"/>
      <c r="Y219" s="1266"/>
      <c r="Z219" s="1282"/>
      <c r="AA219" s="1282"/>
      <c r="AB219" s="1282"/>
      <c r="AC219" s="1282"/>
      <c r="AD219" s="1282"/>
      <c r="AE219" s="1282"/>
      <c r="AF219" s="1282"/>
      <c r="AG219" s="1282"/>
      <c r="AH219" s="1283"/>
      <c r="AI219" s="1283"/>
      <c r="AJ219" s="1183"/>
      <c r="AK219" s="1183"/>
      <c r="AL219" s="1185">
        <v>1</v>
      </c>
    </row>
    <row r="220" spans="1:40">
      <c r="A220" s="1181"/>
      <c r="B220" s="1266"/>
      <c r="C220" s="1181"/>
      <c r="D220" s="1181"/>
      <c r="E220" s="1181"/>
      <c r="F220" s="1181"/>
      <c r="G220" s="1181"/>
      <c r="H220" s="1181"/>
      <c r="I220" s="1181"/>
      <c r="J220" s="1181"/>
      <c r="K220" s="1181"/>
      <c r="L220" s="1181"/>
      <c r="M220" s="1181"/>
      <c r="N220" s="1181"/>
      <c r="O220" s="1181"/>
      <c r="P220" s="1181"/>
      <c r="Q220" s="1181"/>
      <c r="R220" s="1181"/>
      <c r="S220" s="1181"/>
      <c r="T220" s="1181"/>
      <c r="U220" s="1181"/>
      <c r="V220" s="1181"/>
      <c r="W220" s="1181"/>
      <c r="X220" s="1266"/>
      <c r="Y220" s="1266"/>
      <c r="Z220" s="1282"/>
      <c r="AA220" s="1282"/>
      <c r="AB220" s="1282"/>
      <c r="AC220" s="1282"/>
      <c r="AD220" s="1282"/>
      <c r="AE220" s="1282"/>
      <c r="AF220" s="1282"/>
      <c r="AG220" s="1282"/>
      <c r="AH220" s="1283"/>
      <c r="AI220" s="1283"/>
      <c r="AJ220" s="1183"/>
      <c r="AK220" s="1183"/>
      <c r="AL220" s="1185">
        <v>1</v>
      </c>
    </row>
    <row r="221" spans="1:40" customFormat="1" ht="30" customHeight="1">
      <c r="A221" s="1266">
        <v>1</v>
      </c>
      <c r="B221" s="1266">
        <v>1</v>
      </c>
      <c r="C221" s="5407" t="s">
        <v>208</v>
      </c>
      <c r="D221" s="5407"/>
      <c r="E221" s="1337" t="str">
        <f ca="1">CELL("nomfichier")</f>
        <v>D:\Données\1.UPRT\0-UPRT.fait\1-UPRT.FR-SITE-WEB\ff-fiches-fabrications\ff.fiches.fabrication.2023\ffr.restaurant.2023\[ff.FICHE.TRILINGUE.15.COLONNES.29.11.2025.xlsx]Notice.utilisateur</v>
      </c>
      <c r="F221" s="1338"/>
      <c r="G221" s="1338"/>
      <c r="H221" s="1338"/>
      <c r="I221" s="1338"/>
      <c r="J221" s="1339"/>
      <c r="K221" s="1338"/>
      <c r="L221" s="1338"/>
      <c r="M221" s="1338"/>
      <c r="N221" s="1338"/>
      <c r="O221" s="1338"/>
      <c r="P221" s="1338"/>
      <c r="Q221" s="1338"/>
      <c r="R221" s="1338"/>
      <c r="S221" s="1338"/>
      <c r="T221" s="1338"/>
      <c r="U221" s="1338"/>
      <c r="V221" s="1338"/>
      <c r="W221" s="1338"/>
      <c r="X221" s="1338"/>
      <c r="Y221" s="1266"/>
      <c r="Z221" s="1282"/>
      <c r="AA221" s="1282"/>
      <c r="AB221" s="1282"/>
      <c r="AC221" s="1282"/>
      <c r="AD221" s="1282"/>
      <c r="AE221" s="1282"/>
      <c r="AF221" s="1282"/>
      <c r="AG221" s="1282"/>
      <c r="AH221" s="1283"/>
      <c r="AI221" s="1283"/>
      <c r="AJ221" s="1183"/>
      <c r="AK221" s="1183"/>
      <c r="AL221" s="1185">
        <v>1</v>
      </c>
      <c r="AM221" s="709"/>
      <c r="AN221" s="709"/>
    </row>
    <row r="222" spans="1:40">
      <c r="A222" s="1181"/>
      <c r="B222" s="1181"/>
      <c r="C222" s="1181"/>
      <c r="D222" s="1181"/>
      <c r="E222" s="1181"/>
      <c r="F222" s="1181"/>
      <c r="G222" s="1181"/>
      <c r="H222" s="1181"/>
      <c r="I222" s="1181"/>
      <c r="J222" s="1181"/>
      <c r="K222" s="1181"/>
      <c r="L222" s="1181"/>
      <c r="M222" s="1181"/>
      <c r="N222" s="1181"/>
      <c r="O222" s="1181"/>
      <c r="P222" s="1181"/>
      <c r="Q222" s="1181"/>
      <c r="R222" s="1181"/>
      <c r="S222" s="1181"/>
      <c r="T222" s="1181"/>
      <c r="U222" s="1181"/>
      <c r="V222" s="1181"/>
      <c r="W222" s="1181"/>
      <c r="X222" s="1181"/>
      <c r="Y222" s="1181"/>
      <c r="Z222" s="1282"/>
      <c r="AA222" s="1282"/>
      <c r="AB222" s="1282"/>
      <c r="AC222" s="1282"/>
      <c r="AD222" s="1282"/>
      <c r="AE222" s="1282"/>
      <c r="AF222" s="1282"/>
      <c r="AG222" s="1282"/>
      <c r="AH222" s="1283"/>
      <c r="AI222" s="1283"/>
      <c r="AJ222" s="1183"/>
      <c r="AK222" s="1183"/>
      <c r="AL222" s="1185">
        <v>1</v>
      </c>
    </row>
    <row r="223" spans="1:40" s="1244" customFormat="1" ht="40.5" customHeight="1">
      <c r="A223" s="1181"/>
      <c r="B223" s="1256"/>
      <c r="C223" s="1417" t="s">
        <v>3157</v>
      </c>
      <c r="D223" s="1417"/>
      <c r="E223" s="1417"/>
      <c r="F223" s="1417"/>
      <c r="G223" s="1417"/>
      <c r="H223" s="1417"/>
      <c r="I223" s="1417"/>
      <c r="J223" s="1417"/>
      <c r="K223" s="1417"/>
      <c r="L223" s="1417"/>
      <c r="M223" s="1181"/>
      <c r="N223" s="1181"/>
      <c r="O223" s="1246"/>
      <c r="P223" s="1246"/>
      <c r="Q223" s="1246"/>
      <c r="R223" s="1246"/>
      <c r="S223" s="1246"/>
      <c r="T223" s="1183"/>
      <c r="U223" s="1183"/>
      <c r="V223" s="1183"/>
      <c r="W223" s="1183"/>
      <c r="X223" s="1183"/>
      <c r="Y223" s="1183"/>
      <c r="Z223" s="1183"/>
      <c r="AA223" s="1183"/>
      <c r="AB223" s="1183"/>
      <c r="AC223" s="1183"/>
      <c r="AD223" s="1183"/>
      <c r="AE223" s="1183"/>
      <c r="AF223" s="1183"/>
      <c r="AG223" s="1282"/>
      <c r="AH223" s="1283"/>
      <c r="AI223" s="1283"/>
      <c r="AJ223" s="1183"/>
      <c r="AK223" s="1183"/>
      <c r="AL223" s="1185">
        <v>1</v>
      </c>
      <c r="AM223" s="709"/>
      <c r="AN223" s="709"/>
    </row>
    <row r="224" spans="1:40" s="1244" customFormat="1" ht="40.5" customHeight="1">
      <c r="A224" s="1181"/>
      <c r="B224" s="1256"/>
      <c r="C224" s="1181"/>
      <c r="D224" s="1181"/>
      <c r="E224" s="1181"/>
      <c r="F224" s="1181"/>
      <c r="G224" s="1181"/>
      <c r="H224" s="1181"/>
      <c r="I224" s="1246"/>
      <c r="J224" s="1181"/>
      <c r="K224" s="1181"/>
      <c r="L224" s="1181"/>
      <c r="M224" s="1181"/>
      <c r="N224" s="1181"/>
      <c r="O224" s="1246"/>
      <c r="P224" s="1246"/>
      <c r="Q224" s="1246"/>
      <c r="R224" s="1246"/>
      <c r="S224" s="1246"/>
      <c r="T224" s="1183"/>
      <c r="U224" s="1183"/>
      <c r="V224" s="1183"/>
      <c r="W224" s="1183"/>
      <c r="X224" s="1183"/>
      <c r="Y224" s="1183"/>
      <c r="Z224" s="1183"/>
      <c r="AA224" s="1183"/>
      <c r="AB224" s="1183"/>
      <c r="AC224" s="1183"/>
      <c r="AD224" s="1183"/>
      <c r="AE224" s="1183"/>
      <c r="AF224" s="1183"/>
      <c r="AG224" s="1282"/>
      <c r="AH224" s="1283"/>
      <c r="AI224" s="1283"/>
      <c r="AJ224" s="1183"/>
      <c r="AK224" s="1183"/>
      <c r="AL224" s="1185">
        <v>1</v>
      </c>
      <c r="AM224" s="709"/>
      <c r="AN224" s="709"/>
    </row>
    <row r="225" spans="1:40" s="1244" customFormat="1" ht="40.5" customHeight="1">
      <c r="A225" s="1181"/>
      <c r="B225" s="1256"/>
      <c r="C225" s="1340" t="s">
        <v>873</v>
      </c>
      <c r="D225" s="1341"/>
      <c r="E225" s="1341"/>
      <c r="F225" s="1341"/>
      <c r="G225" s="1246"/>
      <c r="H225" s="1246"/>
      <c r="I225" s="1246"/>
      <c r="J225" s="1246"/>
      <c r="K225" s="1246"/>
      <c r="L225" s="1246"/>
      <c r="M225" s="1246"/>
      <c r="N225" s="1246"/>
      <c r="O225" s="1342" t="s">
        <v>3160</v>
      </c>
      <c r="P225" s="1246"/>
      <c r="Q225" s="1246"/>
      <c r="R225" s="1246"/>
      <c r="S225" s="1246"/>
      <c r="T225" s="1183"/>
      <c r="U225" s="1343"/>
      <c r="V225" s="1183"/>
      <c r="W225" s="1183"/>
      <c r="X225" s="1183"/>
      <c r="Y225" s="1183"/>
      <c r="Z225" s="1295"/>
      <c r="AA225" s="1183"/>
      <c r="AB225" s="1183"/>
      <c r="AC225" s="1183"/>
      <c r="AD225" s="1183"/>
      <c r="AE225" s="1183"/>
      <c r="AF225" s="1183"/>
      <c r="AG225" s="1282"/>
      <c r="AH225" s="1283"/>
      <c r="AI225" s="1283"/>
      <c r="AJ225" s="1183"/>
      <c r="AK225" s="1183"/>
      <c r="AL225" s="1185">
        <v>1</v>
      </c>
      <c r="AM225" s="709"/>
      <c r="AN225" s="709"/>
    </row>
    <row r="226" spans="1:40" s="1244" customFormat="1" ht="40.5" customHeight="1">
      <c r="A226" s="1181"/>
      <c r="B226" s="1256"/>
      <c r="C226" s="1344" t="s">
        <v>13502</v>
      </c>
      <c r="D226" s="1344" t="s">
        <v>13503</v>
      </c>
      <c r="E226" s="1341"/>
      <c r="F226" s="1341"/>
      <c r="G226" s="1343"/>
      <c r="H226" s="1345"/>
      <c r="I226" s="1341"/>
      <c r="J226" s="1341"/>
      <c r="K226" s="1181"/>
      <c r="L226" s="1344"/>
      <c r="M226" s="1181"/>
      <c r="N226" s="1181"/>
      <c r="O226" s="1246"/>
      <c r="P226" s="1246"/>
      <c r="Q226" s="1246"/>
      <c r="R226" s="1246"/>
      <c r="S226" s="1246"/>
      <c r="T226" s="1183"/>
      <c r="U226" s="1183"/>
      <c r="V226" s="1183"/>
      <c r="W226" s="1183"/>
      <c r="X226" s="1183"/>
      <c r="Y226" s="1183"/>
      <c r="Z226" s="1299"/>
      <c r="AA226" s="1183"/>
      <c r="AB226" s="1183"/>
      <c r="AC226" s="1183"/>
      <c r="AD226" s="1183"/>
      <c r="AE226" s="1183"/>
      <c r="AF226" s="1183"/>
      <c r="AG226" s="1282"/>
      <c r="AH226" s="1283"/>
      <c r="AI226" s="1283"/>
      <c r="AJ226" s="1183"/>
      <c r="AK226" s="1183"/>
      <c r="AL226" s="1185">
        <v>1</v>
      </c>
      <c r="AM226" s="709"/>
      <c r="AN226" s="709"/>
    </row>
    <row r="227" spans="1:40" s="1244" customFormat="1" ht="40.5" customHeight="1">
      <c r="A227" s="1181"/>
      <c r="B227" s="1256"/>
      <c r="C227" s="1346" t="s">
        <v>874</v>
      </c>
      <c r="D227" s="1341"/>
      <c r="E227" s="1341"/>
      <c r="F227" s="1341"/>
      <c r="G227" s="1343"/>
      <c r="H227" s="1345"/>
      <c r="I227" s="1341"/>
      <c r="J227" s="1341"/>
      <c r="K227" s="1181"/>
      <c r="L227" s="1181"/>
      <c r="M227" s="1181"/>
      <c r="N227" s="1181"/>
      <c r="O227" s="1246"/>
      <c r="P227" s="1246"/>
      <c r="Q227" s="1246"/>
      <c r="R227" s="1246"/>
      <c r="S227" s="1246"/>
      <c r="T227" s="1183"/>
      <c r="U227" s="1183"/>
      <c r="V227" s="1183"/>
      <c r="W227" s="1183"/>
      <c r="X227" s="1183"/>
      <c r="Y227" s="1183"/>
      <c r="Z227" s="1183"/>
      <c r="AA227" s="1183"/>
      <c r="AB227" s="1183"/>
      <c r="AC227" s="1183"/>
      <c r="AD227" s="1183"/>
      <c r="AE227" s="1183"/>
      <c r="AF227" s="1183"/>
      <c r="AG227" s="1282"/>
      <c r="AH227" s="1283"/>
      <c r="AI227" s="1283"/>
      <c r="AJ227" s="1183"/>
      <c r="AK227" s="1183"/>
      <c r="AL227" s="1185">
        <v>1</v>
      </c>
      <c r="AM227" s="709"/>
      <c r="AN227" s="709"/>
    </row>
    <row r="228" spans="1:40" s="1244" customFormat="1" ht="40.5" customHeight="1">
      <c r="A228" s="1181"/>
      <c r="B228" s="1256"/>
      <c r="C228" s="1347" t="s">
        <v>3162</v>
      </c>
      <c r="D228" s="1181"/>
      <c r="E228" s="1181"/>
      <c r="F228" s="1181"/>
      <c r="G228" s="1181"/>
      <c r="H228" s="1181"/>
      <c r="I228" s="1246"/>
      <c r="J228" s="1181"/>
      <c r="K228" s="1181"/>
      <c r="L228" s="1181"/>
      <c r="M228" s="1181"/>
      <c r="N228" s="1181"/>
      <c r="O228" s="1246"/>
      <c r="P228" s="1246"/>
      <c r="Q228" s="1246"/>
      <c r="R228" s="1246"/>
      <c r="S228" s="1246"/>
      <c r="T228" s="1183"/>
      <c r="U228" s="1183"/>
      <c r="V228" s="1276" t="s">
        <v>3161</v>
      </c>
      <c r="W228" s="1287"/>
      <c r="X228" s="1287"/>
      <c r="Y228" s="1287"/>
      <c r="Z228" s="1287"/>
      <c r="AA228" s="1287"/>
      <c r="AB228" s="1287"/>
      <c r="AC228" s="1183"/>
      <c r="AD228" s="1183"/>
      <c r="AE228" s="1183"/>
      <c r="AF228" s="1183"/>
      <c r="AG228" s="1282"/>
      <c r="AH228" s="1283"/>
      <c r="AI228" s="1283"/>
      <c r="AJ228" s="1183"/>
      <c r="AK228" s="1183"/>
      <c r="AL228" s="1185">
        <v>1</v>
      </c>
      <c r="AM228" s="709"/>
      <c r="AN228" s="709"/>
    </row>
    <row r="229" spans="1:40" s="1244" customFormat="1" ht="40.5" customHeight="1">
      <c r="A229" s="1181"/>
      <c r="B229" s="1256"/>
      <c r="C229" s="1347" t="s">
        <v>3163</v>
      </c>
      <c r="D229" s="1181"/>
      <c r="E229" s="1181"/>
      <c r="F229" s="1181"/>
      <c r="G229" s="1181"/>
      <c r="H229" s="1181"/>
      <c r="I229" s="1246"/>
      <c r="J229" s="1181"/>
      <c r="K229" s="1181"/>
      <c r="L229" s="1181"/>
      <c r="M229" s="1181"/>
      <c r="N229" s="1181"/>
      <c r="O229" s="1246"/>
      <c r="P229" s="1246"/>
      <c r="Q229" s="1246"/>
      <c r="R229" s="1246"/>
      <c r="S229" s="1246"/>
      <c r="T229" s="1183"/>
      <c r="U229" s="1183"/>
      <c r="V229" s="1348" t="s">
        <v>2757</v>
      </c>
      <c r="W229" s="1258"/>
      <c r="X229" s="1258"/>
      <c r="Y229" s="1258"/>
      <c r="Z229" s="1258"/>
      <c r="AA229" s="1258"/>
      <c r="AB229" s="1258"/>
      <c r="AC229" s="1183" t="s">
        <v>22</v>
      </c>
      <c r="AD229" s="1183"/>
      <c r="AE229" s="1183"/>
      <c r="AF229" s="1183"/>
      <c r="AG229" s="1282"/>
      <c r="AH229" s="1283"/>
      <c r="AI229" s="1283"/>
      <c r="AJ229" s="1183"/>
      <c r="AK229" s="1183"/>
      <c r="AL229" s="1185">
        <v>1</v>
      </c>
      <c r="AM229" s="709"/>
      <c r="AN229" s="709"/>
    </row>
    <row r="230" spans="1:40" s="1244" customFormat="1" ht="40.5" customHeight="1">
      <c r="A230" s="1181"/>
      <c r="B230" s="1256"/>
      <c r="C230" s="1349" t="s">
        <v>2758</v>
      </c>
      <c r="D230" s="1181"/>
      <c r="E230" s="1181"/>
      <c r="F230" s="1181"/>
      <c r="G230" s="1181"/>
      <c r="H230" s="1181"/>
      <c r="I230" s="1246"/>
      <c r="J230" s="1181"/>
      <c r="K230" s="1181"/>
      <c r="L230" s="1181"/>
      <c r="M230" s="1181"/>
      <c r="N230" s="1181"/>
      <c r="O230" s="1246"/>
      <c r="P230" s="1246"/>
      <c r="Q230" s="1246"/>
      <c r="R230" s="1246"/>
      <c r="S230" s="1246"/>
      <c r="T230" s="1183"/>
      <c r="U230" s="1183"/>
      <c r="V230" s="1183"/>
      <c r="W230" s="1183"/>
      <c r="X230" s="1183"/>
      <c r="Y230" s="1183"/>
      <c r="Z230" s="1183"/>
      <c r="AA230" s="1183"/>
      <c r="AB230" s="1183"/>
      <c r="AC230" s="1183"/>
      <c r="AD230" s="1183"/>
      <c r="AE230" s="1183"/>
      <c r="AF230" s="1183"/>
      <c r="AG230" s="1282"/>
      <c r="AH230" s="1283"/>
      <c r="AI230" s="1283"/>
      <c r="AJ230" s="1183"/>
      <c r="AK230" s="1183"/>
      <c r="AL230" s="1185">
        <v>1</v>
      </c>
      <c r="AM230" s="709"/>
      <c r="AN230" s="709"/>
    </row>
    <row r="231" spans="1:40" s="1244" customFormat="1" ht="40.5" customHeight="1">
      <c r="A231" s="1181"/>
      <c r="B231" s="1256"/>
      <c r="C231" s="1349" t="s">
        <v>2759</v>
      </c>
      <c r="D231" s="1181"/>
      <c r="E231" s="1181"/>
      <c r="F231" s="1181"/>
      <c r="G231" s="1181"/>
      <c r="H231" s="1181"/>
      <c r="I231" s="1246"/>
      <c r="J231" s="1181"/>
      <c r="K231" s="1181"/>
      <c r="L231" s="1181"/>
      <c r="M231" s="1181"/>
      <c r="N231" s="1181"/>
      <c r="O231" s="1246"/>
      <c r="P231" s="1246"/>
      <c r="Q231" s="1246"/>
      <c r="R231" s="1246"/>
      <c r="S231" s="1246"/>
      <c r="T231" s="1183"/>
      <c r="U231" s="1183"/>
      <c r="V231" s="1183"/>
      <c r="W231" s="1183"/>
      <c r="X231" s="1183"/>
      <c r="Y231" s="1183"/>
      <c r="Z231" s="1183"/>
      <c r="AA231" s="1183"/>
      <c r="AB231" s="1183"/>
      <c r="AC231" s="1183"/>
      <c r="AD231" s="1183"/>
      <c r="AE231" s="1183"/>
      <c r="AF231" s="1183"/>
      <c r="AG231" s="1282"/>
      <c r="AH231" s="1283"/>
      <c r="AI231" s="1283"/>
      <c r="AJ231" s="1183"/>
      <c r="AK231" s="1183"/>
      <c r="AL231" s="1185">
        <v>1</v>
      </c>
      <c r="AM231" s="709"/>
      <c r="AN231" s="709"/>
    </row>
    <row r="232" spans="1:40" s="1244" customFormat="1" ht="40.5" customHeight="1">
      <c r="A232" s="1181"/>
      <c r="B232" s="1256"/>
      <c r="C232" s="1350" t="s">
        <v>2760</v>
      </c>
      <c r="D232" s="1350" t="s">
        <v>2761</v>
      </c>
      <c r="E232" s="1350" t="s">
        <v>2762</v>
      </c>
      <c r="F232" s="1350" t="s">
        <v>2763</v>
      </c>
      <c r="G232" s="1350" t="s">
        <v>2764</v>
      </c>
      <c r="H232" s="1350" t="s">
        <v>2765</v>
      </c>
      <c r="I232" s="1350" t="s">
        <v>2766</v>
      </c>
      <c r="J232" s="1350" t="s">
        <v>2767</v>
      </c>
      <c r="K232" s="1350" t="s">
        <v>2768</v>
      </c>
      <c r="L232" s="1350" t="s">
        <v>2769</v>
      </c>
      <c r="M232" s="1350" t="s">
        <v>2770</v>
      </c>
      <c r="N232" s="1350" t="s">
        <v>2771</v>
      </c>
      <c r="O232" s="1350" t="s">
        <v>2772</v>
      </c>
      <c r="P232" s="1246"/>
      <c r="Q232" s="1350" t="s">
        <v>2773</v>
      </c>
      <c r="R232" s="1350" t="s">
        <v>2774</v>
      </c>
      <c r="S232" s="1350" t="s">
        <v>2775</v>
      </c>
      <c r="T232" s="1350" t="s">
        <v>2776</v>
      </c>
      <c r="U232" s="1350" t="s">
        <v>2777</v>
      </c>
      <c r="V232" s="1350" t="s">
        <v>2778</v>
      </c>
      <c r="W232" s="1350" t="s">
        <v>2779</v>
      </c>
      <c r="X232" s="1350" t="s">
        <v>2780</v>
      </c>
      <c r="Y232" s="1350" t="s">
        <v>2781</v>
      </c>
      <c r="Z232" s="1350" t="s">
        <v>2782</v>
      </c>
      <c r="AA232" s="1350" t="s">
        <v>2783</v>
      </c>
      <c r="AB232" s="1350" t="s">
        <v>2784</v>
      </c>
      <c r="AC232" s="1350" t="s">
        <v>2785</v>
      </c>
      <c r="AD232" s="1183"/>
      <c r="AE232" s="1183"/>
      <c r="AF232" s="1183"/>
      <c r="AG232" s="1282"/>
      <c r="AH232" s="1283"/>
      <c r="AI232" s="1283"/>
      <c r="AJ232" s="1183"/>
      <c r="AK232" s="1183"/>
      <c r="AL232" s="1185">
        <v>1</v>
      </c>
      <c r="AM232" s="709"/>
      <c r="AN232" s="709"/>
    </row>
    <row r="233" spans="1:40" s="1244" customFormat="1" ht="40.5" customHeight="1">
      <c r="A233" s="1181"/>
      <c r="B233" s="1256"/>
      <c r="C233" s="1350" t="s">
        <v>2786</v>
      </c>
      <c r="D233" s="1350" t="s">
        <v>2787</v>
      </c>
      <c r="E233" s="1350" t="s">
        <v>2788</v>
      </c>
      <c r="F233" s="1350" t="s">
        <v>2789</v>
      </c>
      <c r="G233" s="1350" t="s">
        <v>2790</v>
      </c>
      <c r="H233" s="1350" t="s">
        <v>2791</v>
      </c>
      <c r="I233" s="1350" t="s">
        <v>2792</v>
      </c>
      <c r="J233" s="1350" t="s">
        <v>2793</v>
      </c>
      <c r="K233" s="1350" t="s">
        <v>2794</v>
      </c>
      <c r="L233" s="1350" t="s">
        <v>2795</v>
      </c>
      <c r="M233" s="1350" t="s">
        <v>2796</v>
      </c>
      <c r="N233" s="1350" t="s">
        <v>2797</v>
      </c>
      <c r="O233" s="1350" t="s">
        <v>2798</v>
      </c>
      <c r="P233" s="1351"/>
      <c r="Q233" s="1350" t="s">
        <v>2799</v>
      </c>
      <c r="R233" s="1350" t="s">
        <v>2800</v>
      </c>
      <c r="S233" s="1350" t="s">
        <v>2801</v>
      </c>
      <c r="T233" s="1350" t="s">
        <v>2802</v>
      </c>
      <c r="U233" s="1350" t="s">
        <v>2803</v>
      </c>
      <c r="V233" s="1350" t="s">
        <v>2804</v>
      </c>
      <c r="W233" s="1350" t="s">
        <v>2805</v>
      </c>
      <c r="X233" s="1350" t="s">
        <v>2806</v>
      </c>
      <c r="Y233" s="1350" t="s">
        <v>2807</v>
      </c>
      <c r="Z233" s="1350" t="s">
        <v>2808</v>
      </c>
      <c r="AA233" s="1350" t="s">
        <v>2809</v>
      </c>
      <c r="AB233" s="1350" t="s">
        <v>2810</v>
      </c>
      <c r="AC233" s="1350" t="s">
        <v>2811</v>
      </c>
      <c r="AD233" s="1183"/>
      <c r="AE233" s="1183"/>
      <c r="AF233" s="1183"/>
      <c r="AG233" s="1282"/>
      <c r="AH233" s="1283"/>
      <c r="AI233" s="1283"/>
      <c r="AJ233" s="1183"/>
      <c r="AK233" s="1183"/>
      <c r="AL233" s="1185">
        <v>1</v>
      </c>
      <c r="AM233" s="709"/>
      <c r="AN233" s="709"/>
    </row>
    <row r="234" spans="1:40" s="1244" customFormat="1" ht="40.5" customHeight="1">
      <c r="A234" s="1181"/>
      <c r="B234" s="1256"/>
      <c r="C234" s="1351"/>
      <c r="D234" s="1351"/>
      <c r="E234" s="1351"/>
      <c r="F234" s="1351"/>
      <c r="G234" s="1351"/>
      <c r="H234" s="1351"/>
      <c r="I234" s="1351"/>
      <c r="J234" s="1351"/>
      <c r="K234" s="1351"/>
      <c r="L234" s="1351"/>
      <c r="M234" s="1181"/>
      <c r="N234" s="1181"/>
      <c r="O234" s="1181"/>
      <c r="P234" s="1181"/>
      <c r="Q234" s="1181"/>
      <c r="R234" s="1181"/>
      <c r="S234" s="1181"/>
      <c r="T234" s="1181"/>
      <c r="U234" s="1181"/>
      <c r="V234" s="1181"/>
      <c r="W234" s="1181"/>
      <c r="X234" s="1181"/>
      <c r="Y234" s="1181"/>
      <c r="Z234" s="1183"/>
      <c r="AA234" s="1183"/>
      <c r="AB234" s="1183"/>
      <c r="AC234" s="1183"/>
      <c r="AD234" s="1183"/>
      <c r="AE234" s="1183"/>
      <c r="AF234" s="1183"/>
      <c r="AG234" s="1282"/>
      <c r="AH234" s="1283"/>
      <c r="AI234" s="1283"/>
      <c r="AJ234" s="1183"/>
      <c r="AK234" s="1183"/>
      <c r="AL234" s="1185">
        <v>1</v>
      </c>
      <c r="AM234" s="709"/>
      <c r="AN234" s="709"/>
    </row>
    <row r="235" spans="1:40" s="1244" customFormat="1" ht="40.5" customHeight="1">
      <c r="A235" s="1181"/>
      <c r="B235" s="1256"/>
      <c r="C235" s="1350" t="s">
        <v>2773</v>
      </c>
      <c r="D235" s="1350" t="s">
        <v>2774</v>
      </c>
      <c r="E235" s="1350" t="s">
        <v>2775</v>
      </c>
      <c r="F235" s="1350" t="s">
        <v>2776</v>
      </c>
      <c r="G235" s="1350" t="s">
        <v>2777</v>
      </c>
      <c r="H235" s="1350" t="s">
        <v>2778</v>
      </c>
      <c r="I235" s="1350" t="s">
        <v>2779</v>
      </c>
      <c r="J235" s="1350" t="s">
        <v>2780</v>
      </c>
      <c r="K235" s="1350" t="s">
        <v>2781</v>
      </c>
      <c r="L235" s="1350" t="s">
        <v>2782</v>
      </c>
      <c r="M235" s="1350" t="s">
        <v>2783</v>
      </c>
      <c r="N235" s="1350" t="s">
        <v>2784</v>
      </c>
      <c r="O235" s="1350" t="s">
        <v>2785</v>
      </c>
      <c r="P235" s="1181"/>
      <c r="Q235" s="1350" t="s">
        <v>2812</v>
      </c>
      <c r="R235" s="1350" t="s">
        <v>2813</v>
      </c>
      <c r="S235" s="1350" t="s">
        <v>2814</v>
      </c>
      <c r="T235" s="1350" t="s">
        <v>2815</v>
      </c>
      <c r="U235" s="1350" t="s">
        <v>2816</v>
      </c>
      <c r="V235" s="1350" t="s">
        <v>2817</v>
      </c>
      <c r="W235" s="1350" t="s">
        <v>2818</v>
      </c>
      <c r="X235" s="1350" t="s">
        <v>2819</v>
      </c>
      <c r="Y235" s="1350" t="s">
        <v>2819</v>
      </c>
      <c r="Z235" s="1350" t="s">
        <v>2820</v>
      </c>
      <c r="AA235" s="1350" t="s">
        <v>2821</v>
      </c>
      <c r="AB235" s="1350" t="s">
        <v>2822</v>
      </c>
      <c r="AC235" s="1350" t="s">
        <v>2823</v>
      </c>
      <c r="AD235" s="1350" t="s">
        <v>2824</v>
      </c>
      <c r="AE235" s="1183"/>
      <c r="AF235" s="1183"/>
      <c r="AG235" s="1282"/>
      <c r="AH235" s="1283"/>
      <c r="AI235" s="1283"/>
      <c r="AJ235" s="1183"/>
      <c r="AK235" s="1183"/>
      <c r="AL235" s="1185">
        <v>1</v>
      </c>
      <c r="AM235" s="709"/>
      <c r="AN235" s="709"/>
    </row>
    <row r="236" spans="1:40" s="1244" customFormat="1" ht="40.5" customHeight="1">
      <c r="A236" s="1181"/>
      <c r="B236" s="1256"/>
      <c r="C236" s="1350" t="s">
        <v>2799</v>
      </c>
      <c r="D236" s="1350" t="s">
        <v>2800</v>
      </c>
      <c r="E236" s="1350" t="s">
        <v>2801</v>
      </c>
      <c r="F236" s="1350" t="s">
        <v>2802</v>
      </c>
      <c r="G236" s="1350" t="s">
        <v>2803</v>
      </c>
      <c r="H236" s="1350" t="s">
        <v>2804</v>
      </c>
      <c r="I236" s="1350" t="s">
        <v>2805</v>
      </c>
      <c r="J236" s="1350" t="s">
        <v>2806</v>
      </c>
      <c r="K236" s="1350" t="s">
        <v>2807</v>
      </c>
      <c r="L236" s="1350" t="s">
        <v>2808</v>
      </c>
      <c r="M236" s="1350" t="s">
        <v>2809</v>
      </c>
      <c r="N236" s="1350" t="s">
        <v>2810</v>
      </c>
      <c r="O236" s="1350" t="s">
        <v>2811</v>
      </c>
      <c r="P236" s="1181"/>
      <c r="Q236" s="1350" t="s">
        <v>2825</v>
      </c>
      <c r="R236" s="1350" t="s">
        <v>2826</v>
      </c>
      <c r="S236" s="1350" t="s">
        <v>2827</v>
      </c>
      <c r="T236" s="1350" t="s">
        <v>2828</v>
      </c>
      <c r="U236" s="1350" t="s">
        <v>2829</v>
      </c>
      <c r="V236" s="1350" t="s">
        <v>2829</v>
      </c>
      <c r="W236" s="1350" t="s">
        <v>2830</v>
      </c>
      <c r="X236" s="1350" t="s">
        <v>2831</v>
      </c>
      <c r="Y236" s="1350" t="s">
        <v>2832</v>
      </c>
      <c r="Z236" s="1350" t="s">
        <v>2833</v>
      </c>
      <c r="AA236" s="1350" t="s">
        <v>2834</v>
      </c>
      <c r="AB236" s="1350" t="s">
        <v>2835</v>
      </c>
      <c r="AC236" s="1350" t="s">
        <v>2836</v>
      </c>
      <c r="AD236" s="1350"/>
      <c r="AE236" s="1183"/>
      <c r="AF236" s="1183"/>
      <c r="AG236" s="1282"/>
      <c r="AH236" s="1283"/>
      <c r="AI236" s="1283"/>
      <c r="AJ236" s="1183"/>
      <c r="AK236" s="1183"/>
      <c r="AL236" s="1185">
        <v>1</v>
      </c>
      <c r="AM236" s="709"/>
      <c r="AN236" s="709"/>
    </row>
    <row r="237" spans="1:40" s="1244" customFormat="1" ht="40.5" customHeight="1">
      <c r="A237" s="1181"/>
      <c r="B237" s="1256"/>
      <c r="C237" s="1351"/>
      <c r="D237" s="1351"/>
      <c r="E237" s="1351"/>
      <c r="F237" s="1351"/>
      <c r="G237" s="1351"/>
      <c r="H237" s="1351"/>
      <c r="I237" s="1351"/>
      <c r="J237" s="1351"/>
      <c r="K237" s="1351"/>
      <c r="L237" s="1351"/>
      <c r="M237" s="1181"/>
      <c r="N237" s="1181"/>
      <c r="O237" s="1181"/>
      <c r="P237" s="1181"/>
      <c r="Q237" s="1181"/>
      <c r="R237" s="1181"/>
      <c r="S237" s="1181"/>
      <c r="T237" s="1181"/>
      <c r="U237" s="1181"/>
      <c r="V237" s="1181"/>
      <c r="W237" s="1181"/>
      <c r="X237" s="1181"/>
      <c r="Y237" s="1181"/>
      <c r="Z237" s="1183"/>
      <c r="AA237" s="1183"/>
      <c r="AB237" s="1183"/>
      <c r="AC237" s="1183"/>
      <c r="AD237" s="1183"/>
      <c r="AE237" s="1183"/>
      <c r="AF237" s="1183"/>
      <c r="AG237" s="1282"/>
      <c r="AH237" s="1283"/>
      <c r="AI237" s="1283"/>
      <c r="AJ237" s="1183"/>
      <c r="AK237" s="1183"/>
      <c r="AL237" s="1185">
        <v>1</v>
      </c>
      <c r="AM237" s="709"/>
      <c r="AN237" s="709"/>
    </row>
    <row r="238" spans="1:40" s="1244" customFormat="1" ht="40.5" customHeight="1">
      <c r="A238" s="1181"/>
      <c r="B238" s="1256"/>
      <c r="C238" s="1352" t="s">
        <v>2837</v>
      </c>
      <c r="D238" s="1352" t="s">
        <v>2838</v>
      </c>
      <c r="E238" s="1352" t="s">
        <v>2839</v>
      </c>
      <c r="F238" s="1352" t="s">
        <v>2840</v>
      </c>
      <c r="G238" s="1352" t="s">
        <v>2841</v>
      </c>
      <c r="H238" s="1352" t="s">
        <v>2842</v>
      </c>
      <c r="I238" s="1352" t="s">
        <v>2843</v>
      </c>
      <c r="J238" s="1352" t="s">
        <v>2844</v>
      </c>
      <c r="K238" s="1352" t="s">
        <v>2845</v>
      </c>
      <c r="L238" s="1352" t="s">
        <v>2846</v>
      </c>
      <c r="M238" s="1352" t="s">
        <v>2847</v>
      </c>
      <c r="N238" s="1352" t="s">
        <v>2848</v>
      </c>
      <c r="O238" s="1352" t="s">
        <v>2849</v>
      </c>
      <c r="P238" s="1181"/>
      <c r="Q238" s="1353" t="s">
        <v>2850</v>
      </c>
      <c r="R238" s="1353" t="s">
        <v>2851</v>
      </c>
      <c r="S238" s="1353" t="s">
        <v>17</v>
      </c>
      <c r="T238" s="1353" t="s">
        <v>2852</v>
      </c>
      <c r="U238" s="1353" t="s">
        <v>2853</v>
      </c>
      <c r="V238" s="1353" t="s">
        <v>2854</v>
      </c>
      <c r="W238" s="1353" t="s">
        <v>2855</v>
      </c>
      <c r="X238" s="1353" t="s">
        <v>2856</v>
      </c>
      <c r="Y238" s="1353" t="s">
        <v>2857</v>
      </c>
      <c r="Z238" s="1353" t="s">
        <v>458</v>
      </c>
      <c r="AA238" s="1353" t="s">
        <v>2858</v>
      </c>
      <c r="AB238" s="1183"/>
      <c r="AC238" s="1183"/>
      <c r="AD238" s="1183"/>
      <c r="AE238" s="1183"/>
      <c r="AF238" s="1183"/>
      <c r="AG238" s="1282"/>
      <c r="AH238" s="1283"/>
      <c r="AI238" s="1283"/>
      <c r="AJ238" s="1183"/>
      <c r="AK238" s="1183"/>
      <c r="AL238" s="1185">
        <v>1</v>
      </c>
      <c r="AM238" s="709"/>
      <c r="AN238" s="709"/>
    </row>
    <row r="239" spans="1:40" s="1244" customFormat="1" ht="40.5" customHeight="1">
      <c r="A239" s="1181"/>
      <c r="B239" s="1256"/>
      <c r="C239" s="1352" t="s">
        <v>2859</v>
      </c>
      <c r="D239" s="1352" t="s">
        <v>2860</v>
      </c>
      <c r="E239" s="1352" t="s">
        <v>2861</v>
      </c>
      <c r="F239" s="1352" t="s">
        <v>2862</v>
      </c>
      <c r="G239" s="1352" t="s">
        <v>2863</v>
      </c>
      <c r="H239" s="1352" t="s">
        <v>2864</v>
      </c>
      <c r="I239" s="1352" t="s">
        <v>2865</v>
      </c>
      <c r="J239" s="1352" t="s">
        <v>2866</v>
      </c>
      <c r="K239" s="1352" t="s">
        <v>2867</v>
      </c>
      <c r="L239" s="1352" t="s">
        <v>2868</v>
      </c>
      <c r="M239" s="1352" t="s">
        <v>2869</v>
      </c>
      <c r="N239" s="1352" t="s">
        <v>2869</v>
      </c>
      <c r="O239" s="1352" t="s">
        <v>2870</v>
      </c>
      <c r="P239" s="1181"/>
      <c r="Q239" s="1353" t="s">
        <v>519</v>
      </c>
      <c r="R239" s="1353" t="s">
        <v>2871</v>
      </c>
      <c r="S239" s="1353" t="s">
        <v>2872</v>
      </c>
      <c r="T239" s="1353" t="s">
        <v>2873</v>
      </c>
      <c r="U239" s="1353" t="s">
        <v>2874</v>
      </c>
      <c r="V239" s="1353" t="s">
        <v>2875</v>
      </c>
      <c r="W239" s="1353" t="s">
        <v>2876</v>
      </c>
      <c r="X239" s="1353" t="s">
        <v>2877</v>
      </c>
      <c r="Y239" s="1353" t="s">
        <v>2878</v>
      </c>
      <c r="Z239" s="1353" t="s">
        <v>2879</v>
      </c>
      <c r="AA239" s="1353"/>
      <c r="AB239" s="1183"/>
      <c r="AC239" s="1183"/>
      <c r="AD239" s="1183"/>
      <c r="AE239" s="1183"/>
      <c r="AF239" s="1183"/>
      <c r="AG239" s="1282"/>
      <c r="AH239" s="1283"/>
      <c r="AI239" s="1283"/>
      <c r="AJ239" s="1183"/>
      <c r="AK239" s="1183"/>
      <c r="AL239" s="1185">
        <v>1</v>
      </c>
      <c r="AM239" s="709"/>
      <c r="AN239" s="709"/>
    </row>
    <row r="240" spans="1:40" s="1244" customFormat="1" ht="40.5" customHeight="1">
      <c r="A240" s="1181"/>
      <c r="B240" s="1256"/>
      <c r="C240" s="1351"/>
      <c r="D240" s="1351"/>
      <c r="E240" s="1351"/>
      <c r="F240" s="1351"/>
      <c r="G240" s="1351"/>
      <c r="H240" s="1351"/>
      <c r="I240" s="1351"/>
      <c r="J240" s="1351"/>
      <c r="K240" s="1351"/>
      <c r="L240" s="1351"/>
      <c r="M240" s="1181"/>
      <c r="N240" s="1181"/>
      <c r="O240" s="1181"/>
      <c r="P240" s="1181"/>
      <c r="Q240" s="1181"/>
      <c r="R240" s="1181"/>
      <c r="S240" s="1181"/>
      <c r="T240" s="1181"/>
      <c r="U240" s="1181"/>
      <c r="V240" s="1181"/>
      <c r="W240" s="1181"/>
      <c r="X240" s="1181"/>
      <c r="Y240" s="1181"/>
      <c r="Z240" s="1183"/>
      <c r="AA240" s="1183"/>
      <c r="AB240" s="1183"/>
      <c r="AC240" s="1183"/>
      <c r="AD240" s="1183"/>
      <c r="AE240" s="1183"/>
      <c r="AF240" s="1183"/>
      <c r="AG240" s="1282"/>
      <c r="AH240" s="1283"/>
      <c r="AI240" s="1283"/>
      <c r="AJ240" s="1183"/>
      <c r="AK240" s="1183"/>
      <c r="AL240" s="1185">
        <v>1</v>
      </c>
      <c r="AM240" s="709"/>
      <c r="AN240" s="709"/>
    </row>
    <row r="241" spans="1:40" s="1244" customFormat="1" ht="40.5" customHeight="1">
      <c r="A241" s="1181"/>
      <c r="B241" s="1256"/>
      <c r="C241" s="1353" t="s">
        <v>2880</v>
      </c>
      <c r="D241" s="1353" t="s">
        <v>2881</v>
      </c>
      <c r="E241" s="1353" t="s">
        <v>2882</v>
      </c>
      <c r="F241" s="1353" t="s">
        <v>82</v>
      </c>
      <c r="G241" s="1353" t="s">
        <v>77</v>
      </c>
      <c r="H241" s="1353" t="s">
        <v>78</v>
      </c>
      <c r="I241" s="1353" t="s">
        <v>2883</v>
      </c>
      <c r="J241" s="1353" t="s">
        <v>2884</v>
      </c>
      <c r="K241" s="1353" t="s">
        <v>910</v>
      </c>
      <c r="L241" s="1353" t="s">
        <v>2885</v>
      </c>
      <c r="M241" s="1353" t="s">
        <v>2886</v>
      </c>
      <c r="N241" s="1181"/>
      <c r="O241" s="1181"/>
      <c r="P241" s="1181"/>
      <c r="Q241" s="1353" t="s">
        <v>2887</v>
      </c>
      <c r="R241" s="1353" t="s">
        <v>2888</v>
      </c>
      <c r="S241" s="1353" t="s">
        <v>2889</v>
      </c>
      <c r="T241" s="1353" t="s">
        <v>2890</v>
      </c>
      <c r="U241" s="1353" t="s">
        <v>2891</v>
      </c>
      <c r="V241" s="1353" t="s">
        <v>2892</v>
      </c>
      <c r="W241" s="1353" t="s">
        <v>2893</v>
      </c>
      <c r="X241" s="1353" t="s">
        <v>2894</v>
      </c>
      <c r="Y241" s="1353" t="s">
        <v>2895</v>
      </c>
      <c r="Z241" s="1353" t="s">
        <v>2896</v>
      </c>
      <c r="AA241" s="1183"/>
      <c r="AB241" s="1183"/>
      <c r="AC241" s="1183"/>
      <c r="AD241" s="1183"/>
      <c r="AE241" s="1183"/>
      <c r="AF241" s="1183"/>
      <c r="AG241" s="1282"/>
      <c r="AH241" s="1283"/>
      <c r="AI241" s="1283"/>
      <c r="AJ241" s="1183"/>
      <c r="AK241" s="1183"/>
      <c r="AL241" s="1185">
        <v>1</v>
      </c>
      <c r="AM241" s="709"/>
      <c r="AN241" s="709"/>
    </row>
    <row r="242" spans="1:40" s="1244" customFormat="1" ht="40.5" customHeight="1">
      <c r="A242" s="1181"/>
      <c r="B242" s="1256"/>
      <c r="C242" s="1351"/>
      <c r="D242" s="1351"/>
      <c r="E242" s="1351"/>
      <c r="F242" s="1351"/>
      <c r="G242" s="1351"/>
      <c r="H242" s="1351"/>
      <c r="I242" s="1351"/>
      <c r="J242" s="1351"/>
      <c r="K242" s="1351"/>
      <c r="L242" s="1351"/>
      <c r="M242" s="1181"/>
      <c r="N242" s="1181"/>
      <c r="O242" s="1351"/>
      <c r="P242" s="1351"/>
      <c r="Q242" s="1351"/>
      <c r="R242" s="1351"/>
      <c r="S242" s="1351"/>
      <c r="T242" s="1351"/>
      <c r="U242" s="1351"/>
      <c r="V242" s="1351"/>
      <c r="W242" s="1351"/>
      <c r="X242" s="1351"/>
      <c r="Y242" s="1183"/>
      <c r="Z242" s="1183"/>
      <c r="AA242" s="1183"/>
      <c r="AB242" s="1183"/>
      <c r="AC242" s="1183"/>
      <c r="AD242" s="1183"/>
      <c r="AE242" s="1183"/>
      <c r="AF242" s="1183"/>
      <c r="AG242" s="1282"/>
      <c r="AH242" s="1283"/>
      <c r="AI242" s="1283"/>
      <c r="AJ242" s="1183"/>
      <c r="AK242" s="1183"/>
      <c r="AL242" s="1185">
        <v>1</v>
      </c>
      <c r="AM242" s="709"/>
      <c r="AN242" s="709"/>
    </row>
    <row r="243" spans="1:40" s="1244" customFormat="1" ht="40.5" customHeight="1">
      <c r="A243" s="1181"/>
      <c r="B243" s="1256"/>
      <c r="C243" s="1217" t="s">
        <v>3173</v>
      </c>
      <c r="D243" s="1181"/>
      <c r="E243" s="1181"/>
      <c r="F243" s="1181"/>
      <c r="G243" s="1181"/>
      <c r="H243" s="1181"/>
      <c r="I243" s="1246"/>
      <c r="J243" s="1181"/>
      <c r="K243" s="1181"/>
      <c r="L243" s="1181"/>
      <c r="M243" s="1181"/>
      <c r="N243" s="1181"/>
      <c r="O243" s="1246"/>
      <c r="P243" s="1246"/>
      <c r="Q243" s="1246"/>
      <c r="R243" s="1246"/>
      <c r="S243" s="1246"/>
      <c r="T243" s="1183"/>
      <c r="U243" s="1183"/>
      <c r="V243" s="1183"/>
      <c r="W243" s="1183"/>
      <c r="X243" s="1183"/>
      <c r="Y243" s="1183"/>
      <c r="Z243" s="1183"/>
      <c r="AA243" s="1183"/>
      <c r="AB243" s="1183"/>
      <c r="AC243" s="1183"/>
      <c r="AD243" s="1183"/>
      <c r="AE243" s="1183"/>
      <c r="AF243" s="1183"/>
      <c r="AG243" s="1282"/>
      <c r="AH243" s="1283"/>
      <c r="AI243" s="1283"/>
      <c r="AJ243" s="1183"/>
      <c r="AK243" s="1183"/>
      <c r="AL243" s="1185">
        <v>1</v>
      </c>
      <c r="AM243" s="709"/>
      <c r="AN243" s="709"/>
    </row>
    <row r="244" spans="1:40" s="1244" customFormat="1" ht="40.5" customHeight="1">
      <c r="A244" s="1181"/>
      <c r="B244" s="1256"/>
      <c r="C244" s="1217" t="s">
        <v>3174</v>
      </c>
      <c r="D244" s="1181"/>
      <c r="E244" s="1181"/>
      <c r="F244" s="1181"/>
      <c r="G244" s="1181"/>
      <c r="H244" s="1181"/>
      <c r="I244" s="1246"/>
      <c r="J244" s="1181"/>
      <c r="K244" s="1181"/>
      <c r="L244" s="1181"/>
      <c r="M244" s="1181"/>
      <c r="N244" s="1181"/>
      <c r="O244" s="1246"/>
      <c r="P244" s="1246"/>
      <c r="Q244" s="1246"/>
      <c r="R244" s="1246"/>
      <c r="S244" s="1246"/>
      <c r="T244" s="1183"/>
      <c r="U244" s="1183"/>
      <c r="V244" s="1183"/>
      <c r="W244" s="1183"/>
      <c r="X244" s="1183"/>
      <c r="Y244" s="1183"/>
      <c r="Z244" s="1183"/>
      <c r="AA244" s="1183"/>
      <c r="AB244" s="1183"/>
      <c r="AC244" s="1183"/>
      <c r="AD244" s="1183"/>
      <c r="AE244" s="1183"/>
      <c r="AF244" s="1183"/>
      <c r="AG244" s="1282"/>
      <c r="AH244" s="1283"/>
      <c r="AI244" s="1283"/>
      <c r="AJ244" s="1183"/>
      <c r="AK244" s="1183"/>
      <c r="AL244" s="1185">
        <v>1</v>
      </c>
      <c r="AM244" s="709"/>
      <c r="AN244" s="709"/>
    </row>
    <row r="245" spans="1:40" s="1244" customFormat="1" ht="40.5" customHeight="1">
      <c r="A245" s="1181"/>
      <c r="B245" s="1256"/>
      <c r="C245" s="1217" t="s">
        <v>2899</v>
      </c>
      <c r="D245" s="1181"/>
      <c r="E245" s="1181"/>
      <c r="F245" s="1181"/>
      <c r="G245" s="1181"/>
      <c r="H245" s="1181"/>
      <c r="I245" s="1246"/>
      <c r="J245" s="1181"/>
      <c r="K245" s="1181"/>
      <c r="L245" s="1181"/>
      <c r="M245" s="1181"/>
      <c r="N245" s="1181"/>
      <c r="O245" s="1246"/>
      <c r="P245" s="1246"/>
      <c r="Q245" s="1246"/>
      <c r="R245" s="1246"/>
      <c r="S245" s="1246"/>
      <c r="T245" s="1183"/>
      <c r="U245" s="1183"/>
      <c r="V245" s="1183"/>
      <c r="W245" s="1183"/>
      <c r="X245" s="1183"/>
      <c r="Y245" s="1183"/>
      <c r="Z245" s="1183"/>
      <c r="AA245" s="1183"/>
      <c r="AB245" s="1183"/>
      <c r="AC245" s="1183"/>
      <c r="AD245" s="1183"/>
      <c r="AE245" s="1183"/>
      <c r="AF245" s="1183"/>
      <c r="AG245" s="1282"/>
      <c r="AH245" s="1283"/>
      <c r="AI245" s="1283"/>
      <c r="AJ245" s="1183"/>
      <c r="AK245" s="1183"/>
      <c r="AL245" s="1185">
        <v>1</v>
      </c>
      <c r="AM245" s="709"/>
      <c r="AN245" s="709"/>
    </row>
    <row r="246" spans="1:40" s="1244" customFormat="1" ht="40.5" customHeight="1">
      <c r="A246" s="1181"/>
      <c r="B246" s="1256"/>
      <c r="C246" s="1354" t="s">
        <v>2900</v>
      </c>
      <c r="D246" s="1354" t="s">
        <v>2901</v>
      </c>
      <c r="E246" s="1354" t="s">
        <v>2902</v>
      </c>
      <c r="F246" s="1354" t="s">
        <v>2903</v>
      </c>
      <c r="G246" s="1354" t="s">
        <v>2904</v>
      </c>
      <c r="H246" s="1354" t="s">
        <v>2905</v>
      </c>
      <c r="I246" s="1354" t="s">
        <v>2906</v>
      </c>
      <c r="J246" s="1354" t="s">
        <v>2907</v>
      </c>
      <c r="K246" s="1354" t="s">
        <v>2908</v>
      </c>
      <c r="L246" s="1354" t="s">
        <v>2909</v>
      </c>
      <c r="M246" s="1354" t="s">
        <v>2910</v>
      </c>
      <c r="N246" s="1354"/>
      <c r="O246" s="1354"/>
      <c r="P246" s="1355"/>
      <c r="Q246" s="1355"/>
      <c r="R246" s="1355"/>
      <c r="S246" s="1246"/>
      <c r="T246" s="1183"/>
      <c r="U246" s="1183"/>
      <c r="V246" s="1183"/>
      <c r="W246" s="1183"/>
      <c r="X246" s="1183"/>
      <c r="Y246" s="1183"/>
      <c r="Z246" s="1183"/>
      <c r="AA246" s="1183"/>
      <c r="AB246" s="1183"/>
      <c r="AC246" s="1183"/>
      <c r="AD246" s="1183"/>
      <c r="AE246" s="1183"/>
      <c r="AF246" s="1183"/>
      <c r="AG246" s="1282"/>
      <c r="AH246" s="1283"/>
      <c r="AI246" s="1283"/>
      <c r="AJ246" s="1183"/>
      <c r="AK246" s="1183"/>
      <c r="AL246" s="1185">
        <v>1</v>
      </c>
      <c r="AM246" s="709"/>
      <c r="AN246" s="709"/>
    </row>
    <row r="247" spans="1:40" s="1244" customFormat="1" ht="40.5" customHeight="1">
      <c r="A247" s="1181"/>
      <c r="B247" s="1256"/>
      <c r="C247" s="1356" t="s">
        <v>2911</v>
      </c>
      <c r="D247" s="1356" t="s">
        <v>2912</v>
      </c>
      <c r="E247" s="1356" t="s">
        <v>2913</v>
      </c>
      <c r="F247" s="1356"/>
      <c r="G247" s="1356" t="s">
        <v>2914</v>
      </c>
      <c r="H247" s="1356"/>
      <c r="I247" s="1356" t="s">
        <v>2915</v>
      </c>
      <c r="J247" s="1356"/>
      <c r="K247" s="1356" t="s">
        <v>2916</v>
      </c>
      <c r="L247" s="1356"/>
      <c r="M247" s="1356" t="s">
        <v>2917</v>
      </c>
      <c r="N247" s="1356" t="s">
        <v>2918</v>
      </c>
      <c r="O247" s="1356"/>
      <c r="P247" s="1356" t="s">
        <v>2919</v>
      </c>
      <c r="Q247" s="1356"/>
      <c r="R247" s="1356" t="s">
        <v>2920</v>
      </c>
      <c r="S247" s="1246"/>
      <c r="T247" s="1183"/>
      <c r="U247" s="1183"/>
      <c r="V247" s="1183"/>
      <c r="W247" s="1183"/>
      <c r="X247" s="1183"/>
      <c r="Y247" s="1183"/>
      <c r="Z247" s="1183"/>
      <c r="AA247" s="1183"/>
      <c r="AB247" s="1183"/>
      <c r="AC247" s="1183"/>
      <c r="AD247" s="1183"/>
      <c r="AE247" s="1183"/>
      <c r="AF247" s="1183"/>
      <c r="AG247" s="1282"/>
      <c r="AH247" s="1283"/>
      <c r="AI247" s="1283"/>
      <c r="AJ247" s="1183"/>
      <c r="AK247" s="1183"/>
      <c r="AL247" s="1185">
        <v>1</v>
      </c>
      <c r="AM247" s="709"/>
      <c r="AN247" s="709"/>
    </row>
    <row r="248" spans="1:40" s="1244" customFormat="1" ht="40.5" customHeight="1">
      <c r="A248" s="1181"/>
      <c r="B248" s="1256"/>
      <c r="C248" s="1217" t="s">
        <v>3175</v>
      </c>
      <c r="D248" s="1181"/>
      <c r="E248" s="1181"/>
      <c r="F248" s="1181"/>
      <c r="G248" s="1181"/>
      <c r="H248" s="1181"/>
      <c r="I248" s="1246"/>
      <c r="J248" s="1181"/>
      <c r="K248" s="1181"/>
      <c r="L248" s="1181"/>
      <c r="M248" s="1181"/>
      <c r="N248" s="1181"/>
      <c r="O248" s="1246"/>
      <c r="P248" s="1246"/>
      <c r="Q248" s="1246"/>
      <c r="R248" s="1246"/>
      <c r="S248" s="1246"/>
      <c r="T248" s="1183"/>
      <c r="U248" s="1183"/>
      <c r="V248" s="1183"/>
      <c r="W248" s="1183"/>
      <c r="X248" s="1183"/>
      <c r="Y248" s="1183"/>
      <c r="Z248" s="1183"/>
      <c r="AA248" s="1183"/>
      <c r="AB248" s="1183"/>
      <c r="AC248" s="1183"/>
      <c r="AD248" s="1183"/>
      <c r="AE248" s="1183"/>
      <c r="AF248" s="1183"/>
      <c r="AG248" s="1282"/>
      <c r="AH248" s="1283"/>
      <c r="AI248" s="1283"/>
      <c r="AJ248" s="1183"/>
      <c r="AK248" s="1183"/>
      <c r="AL248" s="1185">
        <v>1</v>
      </c>
      <c r="AM248" s="709"/>
      <c r="AN248" s="709"/>
    </row>
    <row r="249" spans="1:40" s="1244" customFormat="1" ht="40.5" customHeight="1">
      <c r="A249" s="1181"/>
      <c r="B249" s="1256"/>
      <c r="C249" s="1349"/>
      <c r="D249" s="1181"/>
      <c r="E249" s="1181"/>
      <c r="F249" s="1181"/>
      <c r="G249" s="1181"/>
      <c r="H249" s="1181"/>
      <c r="I249" s="1246"/>
      <c r="J249" s="1181"/>
      <c r="K249" s="1181"/>
      <c r="L249" s="1181"/>
      <c r="M249" s="1181"/>
      <c r="N249" s="1181"/>
      <c r="O249" s="1246"/>
      <c r="P249" s="1246"/>
      <c r="Q249" s="1246"/>
      <c r="R249" s="1246"/>
      <c r="S249" s="1246"/>
      <c r="T249" s="1183"/>
      <c r="U249" s="1183"/>
      <c r="V249" s="1183"/>
      <c r="W249" s="1183"/>
      <c r="X249" s="1183"/>
      <c r="Y249" s="1183"/>
      <c r="Z249" s="1183"/>
      <c r="AA249" s="1183"/>
      <c r="AB249" s="1183"/>
      <c r="AC249" s="1183"/>
      <c r="AD249" s="1183"/>
      <c r="AE249" s="1183"/>
      <c r="AF249" s="1183"/>
      <c r="AG249" s="1282"/>
      <c r="AH249" s="1283"/>
      <c r="AI249" s="1283"/>
      <c r="AJ249" s="1183"/>
      <c r="AK249" s="1183"/>
      <c r="AL249" s="1185">
        <v>1</v>
      </c>
      <c r="AM249" s="709"/>
      <c r="AN249" s="709"/>
    </row>
    <row r="250" spans="1:40" s="1361" customFormat="1" ht="40.5" customHeight="1">
      <c r="A250" s="1316"/>
      <c r="B250" s="1281" t="s">
        <v>3176</v>
      </c>
      <c r="C250" s="1316"/>
      <c r="D250" s="1316"/>
      <c r="E250" s="1316"/>
      <c r="F250" s="1316"/>
      <c r="G250" s="1357"/>
      <c r="H250" s="1316"/>
      <c r="I250" s="1246"/>
      <c r="J250" s="1316"/>
      <c r="K250" s="1316"/>
      <c r="L250" s="1316"/>
      <c r="M250" s="1316"/>
      <c r="N250" s="1316"/>
      <c r="O250" s="1246"/>
      <c r="P250" s="1246"/>
      <c r="Q250" s="1418" t="s">
        <v>3177</v>
      </c>
      <c r="R250" s="1358" t="s">
        <v>2924</v>
      </c>
      <c r="S250" s="1359"/>
      <c r="T250" s="1359"/>
      <c r="U250" s="1359"/>
      <c r="V250" s="1359"/>
      <c r="W250" s="1359"/>
      <c r="X250" s="1359"/>
      <c r="Y250" s="1359"/>
      <c r="Z250" s="1360"/>
      <c r="AA250" s="1360"/>
      <c r="AB250" s="1360"/>
      <c r="AC250" s="1360"/>
      <c r="AD250" s="1360"/>
      <c r="AE250" s="1360"/>
      <c r="AF250" s="1360"/>
      <c r="AG250" s="1360"/>
      <c r="AH250" s="1360"/>
      <c r="AI250" s="1283"/>
      <c r="AJ250" s="1183"/>
      <c r="AK250" s="1183"/>
      <c r="AL250" s="1185">
        <v>1</v>
      </c>
      <c r="AM250" s="709"/>
      <c r="AN250" s="709"/>
    </row>
    <row r="251" spans="1:40" s="1361" customFormat="1" ht="40.5" customHeight="1">
      <c r="A251" s="1316"/>
      <c r="B251" s="1362" t="s">
        <v>2925</v>
      </c>
      <c r="C251" s="1362" t="s">
        <v>2926</v>
      </c>
      <c r="D251" s="1362" t="s">
        <v>2927</v>
      </c>
      <c r="E251" s="1362"/>
      <c r="F251" s="1362" t="s">
        <v>1937</v>
      </c>
      <c r="G251" s="1362" t="s">
        <v>1938</v>
      </c>
      <c r="H251" s="1363" t="s">
        <v>1939</v>
      </c>
      <c r="I251" s="1362" t="s">
        <v>1940</v>
      </c>
      <c r="J251" s="1362" t="s">
        <v>1941</v>
      </c>
      <c r="K251" s="1362" t="s">
        <v>1942</v>
      </c>
      <c r="L251" s="1362"/>
      <c r="M251" s="1362"/>
      <c r="N251" s="1362"/>
      <c r="O251" s="1362" t="s">
        <v>2928</v>
      </c>
      <c r="P251" s="1362" t="s">
        <v>1945</v>
      </c>
      <c r="Q251" s="1362" t="s">
        <v>1946</v>
      </c>
      <c r="R251" s="1362" t="s">
        <v>1947</v>
      </c>
      <c r="S251" s="1362" t="s">
        <v>2929</v>
      </c>
      <c r="T251" s="1362" t="s">
        <v>16</v>
      </c>
      <c r="U251" s="1362" t="s">
        <v>1948</v>
      </c>
      <c r="V251" s="1362" t="s">
        <v>1949</v>
      </c>
      <c r="W251" s="1362" t="s">
        <v>865</v>
      </c>
      <c r="X251" s="1362" t="s">
        <v>1943</v>
      </c>
      <c r="Y251" s="1362"/>
      <c r="Z251" s="1183"/>
      <c r="AA251" s="1183"/>
      <c r="AB251" s="1183"/>
      <c r="AC251" s="1183"/>
      <c r="AD251" s="1183"/>
      <c r="AE251" s="1183"/>
      <c r="AF251" s="1183"/>
      <c r="AG251" s="1282"/>
      <c r="AH251" s="1283"/>
      <c r="AI251" s="1283"/>
      <c r="AJ251" s="1183"/>
      <c r="AK251" s="1183"/>
      <c r="AL251" s="1185">
        <v>1</v>
      </c>
      <c r="AM251" s="709"/>
      <c r="AN251" s="709"/>
    </row>
    <row r="252" spans="1:40" s="1361" customFormat="1" ht="40.5" customHeight="1">
      <c r="A252" s="1316"/>
      <c r="B252" s="1316"/>
      <c r="C252" s="1364" t="s">
        <v>2930</v>
      </c>
      <c r="D252" s="1365" t="s">
        <v>2931</v>
      </c>
      <c r="E252" s="1362"/>
      <c r="F252" s="1362"/>
      <c r="G252" s="1362"/>
      <c r="H252" s="1362"/>
      <c r="I252" s="1362"/>
      <c r="J252" s="1362"/>
      <c r="K252" s="1362"/>
      <c r="L252" s="1362"/>
      <c r="M252" s="1362"/>
      <c r="N252" s="1362"/>
      <c r="O252" s="1362"/>
      <c r="P252" s="1362"/>
      <c r="Q252" s="1362"/>
      <c r="R252" s="1362"/>
      <c r="S252" s="1362"/>
      <c r="T252" s="1362"/>
      <c r="U252" s="1362"/>
      <c r="V252" s="1362"/>
      <c r="W252" s="1362"/>
      <c r="X252" s="1362"/>
      <c r="Y252" s="1362"/>
      <c r="Z252" s="1183"/>
      <c r="AA252" s="1183"/>
      <c r="AB252" s="1183"/>
      <c r="AC252" s="1183"/>
      <c r="AD252" s="1183"/>
      <c r="AE252" s="1183"/>
      <c r="AF252" s="1183"/>
      <c r="AG252" s="1282"/>
      <c r="AH252" s="1283"/>
      <c r="AI252" s="1283"/>
      <c r="AJ252" s="1183"/>
      <c r="AK252" s="1183"/>
      <c r="AL252" s="1185">
        <v>1</v>
      </c>
      <c r="AM252" s="709"/>
      <c r="AN252" s="709"/>
    </row>
    <row r="253" spans="1:40" s="1361" customFormat="1" ht="40.5" customHeight="1">
      <c r="A253" s="1316"/>
      <c r="B253" s="1316"/>
      <c r="C253" s="1364"/>
      <c r="D253" s="1365" t="s">
        <v>2932</v>
      </c>
      <c r="E253" s="1362"/>
      <c r="F253" s="1362"/>
      <c r="G253" s="1362"/>
      <c r="H253" s="1362"/>
      <c r="I253" s="1362"/>
      <c r="J253" s="1362"/>
      <c r="K253" s="1362"/>
      <c r="L253" s="1362"/>
      <c r="M253" s="1362"/>
      <c r="N253" s="1362"/>
      <c r="O253" s="1362"/>
      <c r="P253" s="1362"/>
      <c r="Q253" s="1362"/>
      <c r="R253" s="1362"/>
      <c r="S253" s="1362"/>
      <c r="T253" s="1362"/>
      <c r="U253" s="1362"/>
      <c r="V253" s="1362"/>
      <c r="W253" s="1362"/>
      <c r="X253" s="1362"/>
      <c r="Y253" s="1362"/>
      <c r="Z253" s="1183"/>
      <c r="AA253" s="1183"/>
      <c r="AB253" s="1183"/>
      <c r="AC253" s="1183"/>
      <c r="AD253" s="1183"/>
      <c r="AE253" s="1183"/>
      <c r="AF253" s="1183"/>
      <c r="AG253" s="1282"/>
      <c r="AH253" s="1283"/>
      <c r="AI253" s="1283"/>
      <c r="AJ253" s="1183"/>
      <c r="AK253" s="1183"/>
      <c r="AL253" s="1185">
        <v>1</v>
      </c>
      <c r="AM253" s="709"/>
      <c r="AN253" s="709"/>
    </row>
    <row r="254" spans="1:40" s="1361" customFormat="1" ht="40.5" customHeight="1">
      <c r="A254" s="1316"/>
      <c r="B254" s="1316"/>
      <c r="C254" s="1364"/>
      <c r="D254" s="1365" t="s">
        <v>2933</v>
      </c>
      <c r="E254" s="1362"/>
      <c r="F254" s="1362"/>
      <c r="G254" s="1362"/>
      <c r="H254" s="1362"/>
      <c r="I254" s="1362"/>
      <c r="J254" s="1362"/>
      <c r="K254" s="1362"/>
      <c r="L254" s="1362"/>
      <c r="M254" s="1362"/>
      <c r="N254" s="1362"/>
      <c r="O254" s="1362"/>
      <c r="P254" s="1362"/>
      <c r="Q254" s="1362"/>
      <c r="R254" s="1362"/>
      <c r="S254" s="1362"/>
      <c r="T254" s="1362"/>
      <c r="U254" s="1362"/>
      <c r="V254" s="1362"/>
      <c r="W254" s="1362"/>
      <c r="X254" s="1362"/>
      <c r="Y254" s="1362"/>
      <c r="Z254" s="1183"/>
      <c r="AA254" s="1183"/>
      <c r="AB254" s="1183"/>
      <c r="AC254" s="1183"/>
      <c r="AD254" s="1183"/>
      <c r="AE254" s="1183"/>
      <c r="AF254" s="1183"/>
      <c r="AG254" s="1282"/>
      <c r="AH254" s="1283"/>
      <c r="AI254" s="1283"/>
      <c r="AJ254" s="1183"/>
      <c r="AK254" s="1183"/>
      <c r="AL254" s="1185">
        <v>1</v>
      </c>
      <c r="AM254" s="709"/>
      <c r="AN254" s="709"/>
    </row>
    <row r="255" spans="1:40" s="1361" customFormat="1" ht="40.5" customHeight="1">
      <c r="A255" s="1316"/>
      <c r="B255" s="1316"/>
      <c r="C255" s="1366"/>
      <c r="D255" s="1367" t="s">
        <v>3178</v>
      </c>
      <c r="E255" s="1362"/>
      <c r="F255" s="1362"/>
      <c r="G255" s="1362"/>
      <c r="H255" s="1362"/>
      <c r="I255" s="1362"/>
      <c r="J255" s="1362"/>
      <c r="K255" s="1362"/>
      <c r="L255" s="1362"/>
      <c r="M255" s="1362"/>
      <c r="N255" s="1362"/>
      <c r="O255" s="1362"/>
      <c r="P255" s="1362"/>
      <c r="Q255" s="1362"/>
      <c r="R255" s="1362"/>
      <c r="S255" s="1362"/>
      <c r="T255" s="1362"/>
      <c r="U255" s="1362"/>
      <c r="V255" s="1362"/>
      <c r="W255" s="1362"/>
      <c r="X255" s="1362"/>
      <c r="Y255" s="1362"/>
      <c r="Z255" s="1183"/>
      <c r="AA255" s="1183"/>
      <c r="AB255" s="1183"/>
      <c r="AC255" s="1183"/>
      <c r="AD255" s="1183"/>
      <c r="AE255" s="1183"/>
      <c r="AF255" s="1183"/>
      <c r="AG255" s="1282"/>
      <c r="AH255" s="1283"/>
      <c r="AI255" s="1283"/>
      <c r="AJ255" s="1183"/>
      <c r="AK255" s="1183"/>
      <c r="AL255" s="1185">
        <v>1</v>
      </c>
      <c r="AM255" s="709"/>
      <c r="AN255" s="709"/>
    </row>
    <row r="256" spans="1:40" s="1361" customFormat="1" ht="40.5" customHeight="1">
      <c r="A256" s="1316"/>
      <c r="B256" s="1316"/>
      <c r="C256" s="1364"/>
      <c r="D256" s="1365" t="s">
        <v>2935</v>
      </c>
      <c r="E256" s="1362"/>
      <c r="F256" s="1362"/>
      <c r="G256" s="1362"/>
      <c r="H256" s="1362"/>
      <c r="I256" s="1362"/>
      <c r="J256" s="1362"/>
      <c r="K256" s="1362"/>
      <c r="L256" s="1362"/>
      <c r="M256" s="1362"/>
      <c r="N256" s="1362"/>
      <c r="O256" s="1362"/>
      <c r="P256" s="1362"/>
      <c r="Q256" s="1362"/>
      <c r="R256" s="1362"/>
      <c r="S256" s="1362"/>
      <c r="T256" s="1362"/>
      <c r="U256" s="1362"/>
      <c r="V256" s="1362"/>
      <c r="W256" s="1362"/>
      <c r="X256" s="1362"/>
      <c r="Y256" s="1362"/>
      <c r="Z256" s="1183"/>
      <c r="AA256" s="1183"/>
      <c r="AB256" s="1183"/>
      <c r="AC256" s="1183"/>
      <c r="AD256" s="1183"/>
      <c r="AE256" s="1183"/>
      <c r="AF256" s="1183"/>
      <c r="AG256" s="1282"/>
      <c r="AH256" s="1283"/>
      <c r="AI256" s="1283"/>
      <c r="AJ256" s="1183"/>
      <c r="AK256" s="1183"/>
      <c r="AL256" s="1185">
        <v>1</v>
      </c>
      <c r="AM256" s="709"/>
      <c r="AN256" s="709"/>
    </row>
    <row r="257" spans="1:40" s="1361" customFormat="1" ht="40.5" customHeight="1">
      <c r="A257" s="1316"/>
      <c r="B257" s="1316"/>
      <c r="C257" s="1364"/>
      <c r="D257" s="1365" t="s">
        <v>2936</v>
      </c>
      <c r="E257" s="1362"/>
      <c r="F257" s="1362"/>
      <c r="G257" s="1362"/>
      <c r="H257" s="1362"/>
      <c r="I257" s="1362"/>
      <c r="J257" s="1362"/>
      <c r="K257" s="1362"/>
      <c r="L257" s="1362"/>
      <c r="M257" s="1362"/>
      <c r="N257" s="1362"/>
      <c r="O257" s="1362"/>
      <c r="P257" s="1362"/>
      <c r="Q257" s="1362"/>
      <c r="R257" s="1362"/>
      <c r="S257" s="1362"/>
      <c r="T257" s="1362"/>
      <c r="U257" s="1362"/>
      <c r="V257" s="1362"/>
      <c r="W257" s="1362"/>
      <c r="X257" s="1362"/>
      <c r="Y257" s="1362"/>
      <c r="Z257" s="1183"/>
      <c r="AA257" s="1183"/>
      <c r="AB257" s="1183"/>
      <c r="AC257" s="1183"/>
      <c r="AD257" s="1183"/>
      <c r="AE257" s="1183"/>
      <c r="AF257" s="1183"/>
      <c r="AG257" s="1282"/>
      <c r="AH257" s="1283"/>
      <c r="AI257" s="1283"/>
      <c r="AJ257" s="1183"/>
      <c r="AK257" s="1183"/>
      <c r="AL257" s="1185">
        <v>1</v>
      </c>
      <c r="AM257" s="709"/>
      <c r="AN257" s="709"/>
    </row>
    <row r="258" spans="1:40" s="1361" customFormat="1" ht="40.5" customHeight="1">
      <c r="A258" s="1316"/>
      <c r="B258" s="1281"/>
      <c r="C258" s="1316"/>
      <c r="D258" s="1281" t="s">
        <v>3179</v>
      </c>
      <c r="E258" s="1316"/>
      <c r="F258" s="1316"/>
      <c r="G258" s="1316"/>
      <c r="H258" s="1316"/>
      <c r="I258" s="1246"/>
      <c r="J258" s="1316"/>
      <c r="K258" s="1316"/>
      <c r="L258" s="1316"/>
      <c r="M258" s="1316"/>
      <c r="N258" s="1316"/>
      <c r="O258" s="1246"/>
      <c r="P258" s="1246"/>
      <c r="Q258" s="1246"/>
      <c r="R258" s="1246"/>
      <c r="S258" s="1246"/>
      <c r="T258" s="1282"/>
      <c r="U258" s="1281"/>
      <c r="V258" s="1368"/>
      <c r="W258" s="1362"/>
      <c r="X258" s="1362"/>
      <c r="Y258" s="1362"/>
      <c r="Z258" s="1183"/>
      <c r="AA258" s="1183"/>
      <c r="AB258" s="1183"/>
      <c r="AC258" s="1183"/>
      <c r="AD258" s="1183"/>
      <c r="AE258" s="1183"/>
      <c r="AF258" s="1183"/>
      <c r="AG258" s="1282"/>
      <c r="AH258" s="1283"/>
      <c r="AI258" s="1283"/>
      <c r="AJ258" s="1183"/>
      <c r="AK258" s="1183"/>
      <c r="AL258" s="1185">
        <v>1</v>
      </c>
      <c r="AM258" s="709"/>
      <c r="AN258" s="709"/>
    </row>
    <row r="259" spans="1:40" s="1361" customFormat="1" ht="40.5" customHeight="1">
      <c r="A259" s="1316"/>
      <c r="B259" s="1281"/>
      <c r="C259" s="1316"/>
      <c r="D259" s="1316"/>
      <c r="E259" s="1316"/>
      <c r="F259" s="1316"/>
      <c r="G259" s="1316"/>
      <c r="H259" s="1316"/>
      <c r="I259" s="1246"/>
      <c r="J259" s="1316"/>
      <c r="K259" s="1316"/>
      <c r="L259" s="1316"/>
      <c r="M259" s="1316"/>
      <c r="N259" s="1316"/>
      <c r="O259" s="1246"/>
      <c r="P259" s="1246"/>
      <c r="Q259" s="1246"/>
      <c r="R259" s="1246"/>
      <c r="S259" s="1246"/>
      <c r="T259" s="1282"/>
      <c r="U259" s="1281"/>
      <c r="V259" s="1368"/>
      <c r="W259" s="1362"/>
      <c r="X259" s="1362"/>
      <c r="Y259" s="1362"/>
      <c r="Z259" s="1183"/>
      <c r="AA259" s="1183"/>
      <c r="AB259" s="1183"/>
      <c r="AC259" s="1183"/>
      <c r="AD259" s="1183"/>
      <c r="AE259" s="1183"/>
      <c r="AF259" s="1183"/>
      <c r="AG259" s="1282"/>
      <c r="AH259" s="1283"/>
      <c r="AI259" s="1283"/>
      <c r="AJ259" s="1183"/>
      <c r="AK259" s="1183"/>
      <c r="AL259" s="1185">
        <v>1</v>
      </c>
      <c r="AM259" s="709"/>
      <c r="AN259" s="709"/>
    </row>
    <row r="260" spans="1:40" s="1361" customFormat="1" ht="40.5" customHeight="1">
      <c r="A260" s="1316"/>
      <c r="B260" s="1281"/>
      <c r="C260" s="1316"/>
      <c r="D260" s="1316"/>
      <c r="E260" s="1316"/>
      <c r="F260" s="1316"/>
      <c r="G260" s="1316"/>
      <c r="H260" s="1316"/>
      <c r="I260" s="1246"/>
      <c r="J260" s="1316"/>
      <c r="K260" s="1316"/>
      <c r="L260" s="1316"/>
      <c r="M260" s="1316"/>
      <c r="N260" s="1316"/>
      <c r="O260" s="1246"/>
      <c r="P260" s="1246"/>
      <c r="Q260" s="1246"/>
      <c r="R260" s="1246"/>
      <c r="S260" s="1246"/>
      <c r="T260" s="1282"/>
      <c r="U260" s="1281"/>
      <c r="V260" s="1368"/>
      <c r="W260" s="1362"/>
      <c r="X260" s="1362"/>
      <c r="Y260" s="1362"/>
      <c r="Z260" s="1183"/>
      <c r="AA260" s="1183"/>
      <c r="AB260" s="1183"/>
      <c r="AC260" s="1183"/>
      <c r="AD260" s="1183"/>
      <c r="AE260" s="1183"/>
      <c r="AF260" s="1183"/>
      <c r="AG260" s="1282"/>
      <c r="AH260" s="1283"/>
      <c r="AI260" s="1283"/>
      <c r="AJ260" s="1183"/>
      <c r="AK260" s="1183"/>
      <c r="AL260" s="1185">
        <v>1</v>
      </c>
      <c r="AM260" s="709"/>
      <c r="AN260" s="709"/>
    </row>
    <row r="261" spans="1:40" s="1244" customFormat="1" ht="40.5" customHeight="1">
      <c r="A261" s="1181"/>
      <c r="B261" s="1281" t="s">
        <v>3180</v>
      </c>
      <c r="C261" s="1181"/>
      <c r="D261" s="1181"/>
      <c r="E261" s="1181"/>
      <c r="F261" s="1181"/>
      <c r="G261" s="1181"/>
      <c r="H261" s="1181"/>
      <c r="I261" s="1246"/>
      <c r="J261" s="1181"/>
      <c r="K261" s="1181"/>
      <c r="L261" s="1181"/>
      <c r="M261" s="1181"/>
      <c r="N261" s="1181"/>
      <c r="O261" s="1246"/>
      <c r="P261" s="1246"/>
      <c r="Q261" s="1246"/>
      <c r="R261" s="1246"/>
      <c r="S261" s="1246"/>
      <c r="T261" s="1183"/>
      <c r="U261" s="1183"/>
      <c r="V261" s="1183"/>
      <c r="W261" s="1183"/>
      <c r="X261" s="1183"/>
      <c r="Y261" s="1183"/>
      <c r="Z261" s="1183"/>
      <c r="AA261" s="1183"/>
      <c r="AB261" s="1183"/>
      <c r="AC261" s="1183"/>
      <c r="AD261" s="1183"/>
      <c r="AE261" s="1183"/>
      <c r="AF261" s="1183"/>
      <c r="AG261" s="1183"/>
      <c r="AH261" s="1183"/>
      <c r="AI261" s="1183"/>
      <c r="AJ261" s="1183"/>
      <c r="AK261" s="1183"/>
      <c r="AL261" s="1185">
        <v>1</v>
      </c>
      <c r="AM261" s="709"/>
      <c r="AN261" s="709"/>
    </row>
    <row r="262" spans="1:40" s="1244" customFormat="1" ht="40.5" customHeight="1">
      <c r="A262" s="1181"/>
      <c r="B262" s="1256"/>
      <c r="C262" s="1369" t="s">
        <v>2851</v>
      </c>
      <c r="D262" s="1370" t="s">
        <v>17</v>
      </c>
      <c r="E262" s="1371" t="s">
        <v>2852</v>
      </c>
      <c r="F262" s="1372" t="s">
        <v>2853</v>
      </c>
      <c r="G262" s="1373" t="s">
        <v>2854</v>
      </c>
      <c r="H262" s="1374" t="s">
        <v>2855</v>
      </c>
      <c r="I262" s="1375" t="s">
        <v>2856</v>
      </c>
      <c r="J262" s="1376" t="s">
        <v>2857</v>
      </c>
      <c r="K262" s="1377" t="s">
        <v>458</v>
      </c>
      <c r="L262" s="1181"/>
      <c r="M262" s="1181"/>
      <c r="N262" s="1181"/>
      <c r="O262" s="1378" t="s">
        <v>2858</v>
      </c>
      <c r="P262" s="1379" t="s">
        <v>519</v>
      </c>
      <c r="Q262" s="1380" t="s">
        <v>2871</v>
      </c>
      <c r="R262" s="1381" t="s">
        <v>2872</v>
      </c>
      <c r="S262" s="1372" t="s">
        <v>2873</v>
      </c>
      <c r="T262" s="1382" t="s">
        <v>2874</v>
      </c>
      <c r="U262" s="1383" t="s">
        <v>2875</v>
      </c>
      <c r="V262" s="1384" t="s">
        <v>2876</v>
      </c>
      <c r="W262" s="1385" t="s">
        <v>2877</v>
      </c>
      <c r="X262" s="1386" t="s">
        <v>2878</v>
      </c>
      <c r="Y262" s="1371" t="s">
        <v>2879</v>
      </c>
      <c r="Z262" s="1183"/>
      <c r="AA262" s="1183"/>
      <c r="AB262" s="1183"/>
      <c r="AC262" s="1183"/>
      <c r="AD262" s="1183"/>
      <c r="AE262" s="1183"/>
      <c r="AF262" s="1183"/>
      <c r="AG262" s="1183"/>
      <c r="AH262" s="1183"/>
      <c r="AI262" s="1183"/>
      <c r="AJ262" s="1183"/>
      <c r="AK262" s="1183"/>
      <c r="AL262" s="1185">
        <v>1</v>
      </c>
      <c r="AM262" s="709"/>
      <c r="AN262" s="709"/>
    </row>
    <row r="263" spans="1:40" s="1244" customFormat="1" ht="40.5" customHeight="1">
      <c r="A263" s="1181"/>
      <c r="B263" s="1256"/>
      <c r="C263" s="1181"/>
      <c r="D263" s="1181"/>
      <c r="E263" s="1181"/>
      <c r="F263" s="1181"/>
      <c r="G263" s="1181"/>
      <c r="H263" s="1181"/>
      <c r="I263" s="1246"/>
      <c r="J263" s="1181"/>
      <c r="K263" s="1181"/>
      <c r="L263" s="1181"/>
      <c r="M263" s="1181"/>
      <c r="N263" s="1181"/>
      <c r="O263" s="1246"/>
      <c r="P263" s="1246"/>
      <c r="Q263" s="1246"/>
      <c r="R263" s="1246"/>
      <c r="S263" s="1246"/>
      <c r="T263" s="1183"/>
      <c r="U263" s="1183"/>
      <c r="V263" s="1183"/>
      <c r="W263" s="1183"/>
      <c r="X263" s="1183"/>
      <c r="Y263" s="1183"/>
      <c r="Z263" s="1183"/>
      <c r="AA263" s="1183"/>
      <c r="AB263" s="1183"/>
      <c r="AC263" s="1183"/>
      <c r="AD263" s="1183"/>
      <c r="AE263" s="1183"/>
      <c r="AF263" s="1183"/>
      <c r="AG263" s="1183"/>
      <c r="AH263" s="1183"/>
      <c r="AI263" s="1183"/>
      <c r="AJ263" s="1183"/>
      <c r="AK263" s="1183"/>
      <c r="AL263" s="1185">
        <v>1</v>
      </c>
      <c r="AM263" s="709"/>
      <c r="AN263" s="709"/>
    </row>
    <row r="264" spans="1:40" s="1244" customFormat="1" ht="40.5" customHeight="1">
      <c r="A264" s="1181"/>
      <c r="B264" s="1256"/>
      <c r="C264" s="1387" t="s">
        <v>2851</v>
      </c>
      <c r="D264" s="1387" t="s">
        <v>17</v>
      </c>
      <c r="E264" s="1387" t="s">
        <v>2852</v>
      </c>
      <c r="F264" s="1387" t="s">
        <v>2853</v>
      </c>
      <c r="G264" s="1387" t="s">
        <v>2854</v>
      </c>
      <c r="H264" s="1387" t="s">
        <v>2855</v>
      </c>
      <c r="I264" s="1387" t="s">
        <v>2856</v>
      </c>
      <c r="J264" s="1387" t="s">
        <v>2857</v>
      </c>
      <c r="K264" s="1387" t="s">
        <v>458</v>
      </c>
      <c r="L264" s="1181"/>
      <c r="M264" s="1181"/>
      <c r="N264" s="1181"/>
      <c r="O264" s="1387" t="s">
        <v>2858</v>
      </c>
      <c r="P264" s="1387" t="s">
        <v>519</v>
      </c>
      <c r="Q264" s="1387" t="s">
        <v>2871</v>
      </c>
      <c r="R264" s="1387" t="s">
        <v>2872</v>
      </c>
      <c r="S264" s="1387" t="s">
        <v>2873</v>
      </c>
      <c r="T264" s="1387" t="s">
        <v>2874</v>
      </c>
      <c r="U264" s="1387" t="s">
        <v>2875</v>
      </c>
      <c r="V264" s="1387" t="s">
        <v>2876</v>
      </c>
      <c r="W264" s="1387" t="s">
        <v>2877</v>
      </c>
      <c r="X264" s="1387" t="s">
        <v>2878</v>
      </c>
      <c r="Y264" s="1387" t="s">
        <v>2879</v>
      </c>
      <c r="Z264" s="1181"/>
      <c r="AA264" s="1181"/>
      <c r="AB264" s="1181"/>
      <c r="AC264" s="1181"/>
      <c r="AD264" s="1181"/>
      <c r="AE264" s="1181"/>
      <c r="AF264" s="1181"/>
      <c r="AG264" s="1181"/>
      <c r="AH264" s="1181"/>
      <c r="AI264" s="1181"/>
      <c r="AJ264" s="1181"/>
      <c r="AK264" s="1181"/>
      <c r="AL264" s="1185">
        <v>1</v>
      </c>
      <c r="AM264" s="709"/>
      <c r="AN264" s="709"/>
    </row>
    <row r="265" spans="1:40" s="1244" customFormat="1" ht="40.5" customHeight="1">
      <c r="A265" s="1181"/>
      <c r="B265" s="1256"/>
      <c r="C265" s="1181"/>
      <c r="D265" s="1181"/>
      <c r="E265" s="1181"/>
      <c r="F265" s="1181"/>
      <c r="G265" s="1181"/>
      <c r="H265" s="1181"/>
      <c r="I265" s="1246"/>
      <c r="J265" s="1181"/>
      <c r="K265" s="1181"/>
      <c r="L265" s="1181"/>
      <c r="M265" s="1181"/>
      <c r="N265" s="1181"/>
      <c r="O265" s="1246"/>
      <c r="P265" s="1246"/>
      <c r="Q265" s="1246"/>
      <c r="R265" s="1246"/>
      <c r="S265" s="1246"/>
      <c r="T265" s="1183"/>
      <c r="U265" s="1183"/>
      <c r="V265" s="1183"/>
      <c r="W265" s="1183"/>
      <c r="X265" s="1183"/>
      <c r="Y265" s="1183"/>
      <c r="Z265" s="1183"/>
      <c r="AA265" s="1183"/>
      <c r="AB265" s="1183"/>
      <c r="AC265" s="1183"/>
      <c r="AD265" s="1183"/>
      <c r="AE265" s="1183"/>
      <c r="AF265" s="1183"/>
      <c r="AG265" s="1282"/>
      <c r="AH265" s="1283"/>
      <c r="AI265" s="1283"/>
      <c r="AJ265" s="1183"/>
      <c r="AK265" s="1183"/>
      <c r="AL265" s="1185">
        <v>1</v>
      </c>
      <c r="AM265" s="709"/>
      <c r="AN265" s="709"/>
    </row>
    <row r="266" spans="1:40" s="1244" customFormat="1" ht="40.5" customHeight="1">
      <c r="A266" s="1181"/>
      <c r="B266" s="1256"/>
      <c r="C266" s="1388">
        <v>1</v>
      </c>
      <c r="D266" s="1388" t="s">
        <v>2938</v>
      </c>
      <c r="E266" s="1388" t="s">
        <v>2939</v>
      </c>
      <c r="F266" s="1388" t="s">
        <v>2940</v>
      </c>
      <c r="G266" s="1388" t="s">
        <v>2941</v>
      </c>
      <c r="H266" s="1388" t="s">
        <v>2942</v>
      </c>
      <c r="I266" s="1388" t="s">
        <v>2943</v>
      </c>
      <c r="J266" s="1388" t="s">
        <v>2944</v>
      </c>
      <c r="K266" s="1388" t="s">
        <v>2945</v>
      </c>
      <c r="L266" s="1181"/>
      <c r="M266" s="1181"/>
      <c r="N266" s="1181"/>
      <c r="O266" s="1388" t="s">
        <v>2946</v>
      </c>
      <c r="P266" s="1388" t="s">
        <v>2947</v>
      </c>
      <c r="Q266" s="1388" t="s">
        <v>2948</v>
      </c>
      <c r="R266" s="1388" t="s">
        <v>2949</v>
      </c>
      <c r="S266" s="1388" t="s">
        <v>2950</v>
      </c>
      <c r="T266" s="1388" t="s">
        <v>2951</v>
      </c>
      <c r="U266" s="1388" t="s">
        <v>2952</v>
      </c>
      <c r="V266" s="1388" t="s">
        <v>2953</v>
      </c>
      <c r="W266" s="1388" t="s">
        <v>2954</v>
      </c>
      <c r="X266" s="1388" t="s">
        <v>2955</v>
      </c>
      <c r="Y266" s="1388" t="s">
        <v>2956</v>
      </c>
      <c r="Z266" s="1389">
        <v>15.5</v>
      </c>
      <c r="AA266" s="1183"/>
      <c r="AB266" s="1183"/>
      <c r="AC266" s="1183"/>
      <c r="AD266" s="1183"/>
      <c r="AE266" s="1183"/>
      <c r="AF266" s="1183"/>
      <c r="AG266" s="1282"/>
      <c r="AH266" s="1283"/>
      <c r="AI266" s="1283"/>
      <c r="AJ266" s="1183"/>
      <c r="AK266" s="1183"/>
      <c r="AL266" s="1185">
        <v>1</v>
      </c>
      <c r="AM266" s="709"/>
      <c r="AN266" s="709"/>
    </row>
    <row r="267" spans="1:40" s="1244" customFormat="1" ht="40.5" customHeight="1">
      <c r="A267" s="1181"/>
      <c r="B267" s="1256"/>
      <c r="C267" s="1181"/>
      <c r="D267" s="1181"/>
      <c r="E267" s="1181"/>
      <c r="F267" s="1181"/>
      <c r="G267" s="1181"/>
      <c r="H267" s="1181"/>
      <c r="I267" s="1246"/>
      <c r="J267" s="1181"/>
      <c r="K267" s="1181"/>
      <c r="L267" s="1181"/>
      <c r="M267" s="1181"/>
      <c r="N267" s="1181"/>
      <c r="O267" s="1246"/>
      <c r="P267" s="1246"/>
      <c r="Q267" s="1246"/>
      <c r="R267" s="1246"/>
      <c r="S267" s="1246"/>
      <c r="T267" s="1183"/>
      <c r="U267" s="1183"/>
      <c r="V267" s="1183"/>
      <c r="W267" s="1183"/>
      <c r="X267" s="1183"/>
      <c r="Y267" s="1183"/>
      <c r="Z267" s="1284" t="s">
        <v>3181</v>
      </c>
      <c r="AA267" s="1183"/>
      <c r="AB267" s="1183"/>
      <c r="AC267" s="1183"/>
      <c r="AD267" s="1183"/>
      <c r="AE267" s="1183"/>
      <c r="AF267" s="1183"/>
      <c r="AG267" s="1282"/>
      <c r="AH267" s="1283"/>
      <c r="AI267" s="1283"/>
      <c r="AJ267" s="1183"/>
      <c r="AK267" s="1183"/>
      <c r="AL267" s="1185">
        <v>1</v>
      </c>
      <c r="AM267" s="709"/>
      <c r="AN267" s="709"/>
    </row>
    <row r="268" spans="1:40" s="1244" customFormat="1" ht="40.5" customHeight="1">
      <c r="A268" s="1181"/>
      <c r="B268" s="1256"/>
      <c r="C268" s="1390">
        <v>1</v>
      </c>
      <c r="D268" s="1391">
        <v>2</v>
      </c>
      <c r="E268" s="1390">
        <v>3</v>
      </c>
      <c r="F268" s="1391">
        <v>4</v>
      </c>
      <c r="G268" s="1390">
        <v>5</v>
      </c>
      <c r="H268" s="1391">
        <v>6</v>
      </c>
      <c r="I268" s="1390">
        <v>7</v>
      </c>
      <c r="J268" s="1391">
        <v>8</v>
      </c>
      <c r="K268" s="1390">
        <v>9</v>
      </c>
      <c r="L268" s="1181"/>
      <c r="M268" s="1181"/>
      <c r="N268" s="1181"/>
      <c r="O268" s="1391">
        <v>10</v>
      </c>
      <c r="P268" s="1390">
        <v>11</v>
      </c>
      <c r="Q268" s="1391">
        <v>12</v>
      </c>
      <c r="R268" s="1390">
        <v>13</v>
      </c>
      <c r="S268" s="1391">
        <v>14</v>
      </c>
      <c r="T268" s="1390">
        <v>15</v>
      </c>
      <c r="U268" s="1391">
        <v>16</v>
      </c>
      <c r="V268" s="1390">
        <v>17</v>
      </c>
      <c r="W268" s="1391">
        <v>18</v>
      </c>
      <c r="X268" s="1390">
        <v>19</v>
      </c>
      <c r="Y268" s="1391">
        <v>20</v>
      </c>
      <c r="Z268" s="1183"/>
      <c r="AA268" s="1183"/>
      <c r="AB268" s="1183"/>
      <c r="AC268" s="1183"/>
      <c r="AD268" s="1183"/>
      <c r="AE268" s="1183"/>
      <c r="AF268" s="1183"/>
      <c r="AG268" s="1282"/>
      <c r="AH268" s="1283"/>
      <c r="AI268" s="1283"/>
      <c r="AJ268" s="1183"/>
      <c r="AK268" s="1183"/>
      <c r="AL268" s="1185">
        <v>1</v>
      </c>
      <c r="AM268" s="709"/>
      <c r="AN268" s="709"/>
    </row>
    <row r="269" spans="1:40" s="1361" customFormat="1" ht="40.5" customHeight="1">
      <c r="A269" s="1316"/>
      <c r="B269" s="1281"/>
      <c r="C269" s="1316"/>
      <c r="D269" s="1316"/>
      <c r="E269" s="1316"/>
      <c r="F269" s="1316"/>
      <c r="G269" s="1316"/>
      <c r="H269" s="1316"/>
      <c r="I269" s="1246"/>
      <c r="J269" s="1316"/>
      <c r="K269" s="1316"/>
      <c r="L269" s="1316"/>
      <c r="M269" s="1316"/>
      <c r="N269" s="1316"/>
      <c r="O269" s="1246"/>
      <c r="P269" s="1246"/>
      <c r="Q269" s="1246"/>
      <c r="R269" s="1246"/>
      <c r="S269" s="1246"/>
      <c r="T269" s="1282"/>
      <c r="U269" s="1281"/>
      <c r="V269" s="1368"/>
      <c r="W269" s="1362"/>
      <c r="X269" s="1362"/>
      <c r="Y269" s="1362"/>
      <c r="Z269" s="1183"/>
      <c r="AA269" s="1183"/>
      <c r="AB269" s="1183"/>
      <c r="AC269" s="1183"/>
      <c r="AD269" s="1183"/>
      <c r="AE269" s="1183"/>
      <c r="AF269" s="1183"/>
      <c r="AG269" s="1282"/>
      <c r="AH269" s="1283"/>
      <c r="AI269" s="1283"/>
      <c r="AJ269" s="1183"/>
      <c r="AK269" s="1183"/>
      <c r="AL269" s="1185">
        <v>1</v>
      </c>
      <c r="AM269" s="709"/>
      <c r="AN269" s="709"/>
    </row>
    <row r="270" spans="1:40" s="1361" customFormat="1" ht="40.5" customHeight="1">
      <c r="A270" s="1316"/>
      <c r="B270" s="1392"/>
      <c r="C270" s="1393" t="s">
        <v>2958</v>
      </c>
      <c r="D270" s="1394"/>
      <c r="E270" s="1282"/>
      <c r="F270" s="1395" t="s">
        <v>3190</v>
      </c>
      <c r="G270" s="1396"/>
      <c r="H270" s="1396"/>
      <c r="I270" s="1396"/>
      <c r="J270" s="1396"/>
      <c r="K270" s="1396"/>
      <c r="L270" s="1246"/>
      <c r="M270" s="1246"/>
      <c r="N270" s="1246"/>
      <c r="O270" s="1246"/>
      <c r="P270" s="1282"/>
      <c r="Q270" s="1282"/>
      <c r="R270" s="1246"/>
      <c r="S270" s="1246"/>
      <c r="T270" s="1282"/>
      <c r="U270" s="1282"/>
      <c r="V270" s="1368"/>
      <c r="W270" s="1362"/>
      <c r="X270" s="1362"/>
      <c r="Y270" s="1362"/>
      <c r="Z270" s="1397" t="s">
        <v>353</v>
      </c>
      <c r="AA270" s="1183"/>
      <c r="AB270" s="1183"/>
      <c r="AC270" s="1183"/>
      <c r="AD270" s="1183"/>
      <c r="AE270" s="1183"/>
      <c r="AF270" s="1183"/>
      <c r="AG270" s="1282"/>
      <c r="AH270" s="1283"/>
      <c r="AI270" s="1283"/>
      <c r="AJ270" s="1183"/>
      <c r="AK270" s="1183"/>
      <c r="AL270" s="1185">
        <v>1</v>
      </c>
      <c r="AM270" s="709"/>
      <c r="AN270" s="709"/>
    </row>
    <row r="271" spans="1:40" s="1361" customFormat="1" ht="40.5" customHeight="1">
      <c r="A271" s="1316"/>
      <c r="B271" s="1392"/>
      <c r="C271" s="1398">
        <v>3</v>
      </c>
      <c r="D271" s="1394"/>
      <c r="E271" s="1316"/>
      <c r="F271" s="1316"/>
      <c r="G271" s="1316"/>
      <c r="H271" s="1246"/>
      <c r="I271" s="1246"/>
      <c r="J271" s="1246"/>
      <c r="K271" s="1246"/>
      <c r="L271" s="1246"/>
      <c r="M271" s="1246"/>
      <c r="N271" s="1246"/>
      <c r="O271" s="1246"/>
      <c r="P271" s="1246"/>
      <c r="Q271" s="1246"/>
      <c r="R271" s="1246"/>
      <c r="S271" s="1246"/>
      <c r="T271" s="1282"/>
      <c r="U271" s="1282"/>
      <c r="V271" s="1368"/>
      <c r="W271" s="1362"/>
      <c r="X271" s="1362"/>
      <c r="Y271" s="1362"/>
      <c r="Z271" s="1183"/>
      <c r="AA271" s="1183"/>
      <c r="AB271" s="1183"/>
      <c r="AC271" s="1183"/>
      <c r="AD271" s="1183"/>
      <c r="AE271" s="1183"/>
      <c r="AF271" s="1183"/>
      <c r="AG271" s="1282"/>
      <c r="AH271" s="1283"/>
      <c r="AI271" s="1283"/>
      <c r="AJ271" s="1183"/>
      <c r="AK271" s="1183"/>
      <c r="AL271" s="1185">
        <v>1</v>
      </c>
      <c r="AM271" s="709"/>
      <c r="AN271" s="709"/>
    </row>
    <row r="272" spans="1:40" s="1361" customFormat="1" ht="40.5" customHeight="1">
      <c r="A272" s="1316"/>
      <c r="B272" s="1392"/>
      <c r="C272" s="1316"/>
      <c r="D272" s="1316"/>
      <c r="E272" s="1316"/>
      <c r="F272" s="1316"/>
      <c r="G272" s="1316"/>
      <c r="H272" s="1399" t="s">
        <v>3191</v>
      </c>
      <c r="I272" s="1400"/>
      <c r="J272" s="1400"/>
      <c r="K272" s="1316"/>
      <c r="L272" s="1316"/>
      <c r="M272" s="1316"/>
      <c r="N272" s="1316"/>
      <c r="O272" s="1246"/>
      <c r="P272" s="1246"/>
      <c r="Q272" s="1401" t="s">
        <v>1672</v>
      </c>
      <c r="R272" s="1402" t="s">
        <v>2961</v>
      </c>
      <c r="S272" s="1403" t="s">
        <v>2962</v>
      </c>
      <c r="T272" s="1282"/>
      <c r="U272" s="1282"/>
      <c r="V272" s="1368"/>
      <c r="W272" s="1362"/>
      <c r="X272" s="1362"/>
      <c r="Y272" s="1362"/>
      <c r="Z272" s="1183"/>
      <c r="AA272" s="1183"/>
      <c r="AB272" s="1183"/>
      <c r="AC272" s="1183"/>
      <c r="AD272" s="1183"/>
      <c r="AE272" s="1183"/>
      <c r="AF272" s="1183"/>
      <c r="AG272" s="1282"/>
      <c r="AH272" s="1283"/>
      <c r="AI272" s="1283"/>
      <c r="AJ272" s="1183"/>
      <c r="AK272" s="1183"/>
      <c r="AL272" s="1185">
        <v>1</v>
      </c>
      <c r="AM272" s="709"/>
      <c r="AN272" s="709"/>
    </row>
    <row r="273" spans="1:40" s="1361" customFormat="1" ht="40.5" customHeight="1">
      <c r="A273" s="1316"/>
      <c r="B273" s="1392"/>
      <c r="C273" s="1404" t="s">
        <v>3192</v>
      </c>
      <c r="D273" s="1316"/>
      <c r="E273" s="1405"/>
      <c r="F273" s="1316"/>
      <c r="G273" s="1316"/>
      <c r="H273" s="1406" t="s">
        <v>2964</v>
      </c>
      <c r="I273" s="1406" t="s">
        <v>2965</v>
      </c>
      <c r="J273" s="1406" t="s">
        <v>2966</v>
      </c>
      <c r="K273" s="1362" t="s">
        <v>2967</v>
      </c>
      <c r="L273" s="1362"/>
      <c r="M273" s="1362"/>
      <c r="N273" s="1362"/>
      <c r="O273" s="1282"/>
      <c r="P273" s="1282"/>
      <c r="Q273" s="1404" t="s">
        <v>3194</v>
      </c>
      <c r="R273" s="1282"/>
      <c r="S273" s="1282"/>
      <c r="T273" s="1282"/>
      <c r="U273" s="1282"/>
      <c r="V273" s="1368"/>
      <c r="W273" s="1362"/>
      <c r="X273" s="1362"/>
      <c r="Y273" s="1362"/>
      <c r="Z273" s="1282"/>
      <c r="AA273" s="1282"/>
      <c r="AB273" s="1282"/>
      <c r="AC273" s="1282"/>
      <c r="AD273" s="1282"/>
      <c r="AE273" s="1282"/>
      <c r="AF273" s="1282"/>
      <c r="AG273" s="1282"/>
      <c r="AH273" s="1283"/>
      <c r="AI273" s="1283"/>
      <c r="AJ273" s="1183"/>
      <c r="AK273" s="1183"/>
      <c r="AL273" s="1185">
        <v>1</v>
      </c>
      <c r="AM273" s="709"/>
      <c r="AN273" s="709"/>
    </row>
    <row r="274" spans="1:40" s="1361" customFormat="1" ht="40.5" customHeight="1">
      <c r="A274" s="1316"/>
      <c r="B274" s="1392"/>
      <c r="C274" s="1404" t="s">
        <v>3193</v>
      </c>
      <c r="D274" s="1316"/>
      <c r="E274" s="1405"/>
      <c r="F274" s="1316"/>
      <c r="G274" s="1316"/>
      <c r="H274" s="1406" t="s">
        <v>2970</v>
      </c>
      <c r="I274" s="1406" t="s">
        <v>2971</v>
      </c>
      <c r="J274" s="1406" t="s">
        <v>2972</v>
      </c>
      <c r="K274" s="1362" t="s">
        <v>2973</v>
      </c>
      <c r="L274" s="1362"/>
      <c r="M274" s="1362"/>
      <c r="N274" s="1362"/>
      <c r="O274" s="1246"/>
      <c r="P274" s="1246"/>
      <c r="Q274" s="1401" t="s">
        <v>1673</v>
      </c>
      <c r="R274" s="1402" t="s">
        <v>2974</v>
      </c>
      <c r="S274" s="1402" t="s">
        <v>2975</v>
      </c>
      <c r="T274" s="1282"/>
      <c r="U274" s="1282"/>
      <c r="V274" s="1368"/>
      <c r="W274" s="1362"/>
      <c r="X274" s="1362"/>
      <c r="Y274" s="1362"/>
      <c r="Z274" s="1362"/>
      <c r="AA274" s="1362"/>
      <c r="AB274" s="1362"/>
      <c r="AC274" s="1362"/>
      <c r="AD274" s="1362"/>
      <c r="AE274" s="1362"/>
      <c r="AF274" s="1282"/>
      <c r="AG274" s="1282"/>
      <c r="AH274" s="1283"/>
      <c r="AI274" s="1283"/>
      <c r="AJ274" s="1183"/>
      <c r="AK274" s="1183"/>
      <c r="AL274" s="1185">
        <v>1</v>
      </c>
      <c r="AM274" s="709"/>
      <c r="AN274" s="709"/>
    </row>
    <row r="275" spans="1:40" s="1361" customFormat="1" ht="40.5" customHeight="1">
      <c r="A275" s="1316"/>
      <c r="B275" s="1392"/>
      <c r="C275" s="1404"/>
      <c r="D275" s="1316"/>
      <c r="E275" s="1404"/>
      <c r="F275" s="1407"/>
      <c r="G275" s="1404"/>
      <c r="H275" s="1404"/>
      <c r="I275" s="1316"/>
      <c r="J275" s="1316"/>
      <c r="K275" s="1316"/>
      <c r="L275" s="1316"/>
      <c r="M275" s="1316"/>
      <c r="N275" s="1316"/>
      <c r="O275" s="1316"/>
      <c r="P275" s="1316"/>
      <c r="Q275" s="1316"/>
      <c r="R275" s="1316"/>
      <c r="S275" s="1282"/>
      <c r="T275" s="1282"/>
      <c r="U275" s="1282"/>
      <c r="V275" s="1368"/>
      <c r="W275" s="1362"/>
      <c r="X275" s="1362"/>
      <c r="Y275" s="1362"/>
      <c r="Z275" s="1362"/>
      <c r="AA275" s="1362"/>
      <c r="AB275" s="1362"/>
      <c r="AC275" s="1362"/>
      <c r="AD275" s="1362"/>
      <c r="AE275" s="1362"/>
      <c r="AF275" s="1282"/>
      <c r="AG275" s="1282"/>
      <c r="AH275" s="1283"/>
      <c r="AI275" s="1283"/>
      <c r="AJ275" s="1183"/>
      <c r="AK275" s="1183"/>
      <c r="AL275" s="1185">
        <v>1</v>
      </c>
      <c r="AM275" s="709"/>
      <c r="AN275" s="709"/>
    </row>
    <row r="276" spans="1:40">
      <c r="AL276" s="1408" t="s">
        <v>823</v>
      </c>
      <c r="AM276" s="852"/>
      <c r="AN276" s="852"/>
    </row>
    <row r="277" spans="1:40">
      <c r="A277" s="1185">
        <v>1</v>
      </c>
      <c r="B277" s="1185">
        <v>1</v>
      </c>
      <c r="C277" s="1185">
        <v>1</v>
      </c>
      <c r="D277" s="1185">
        <v>1</v>
      </c>
      <c r="E277" s="1185">
        <v>1</v>
      </c>
      <c r="F277" s="1185">
        <v>1</v>
      </c>
      <c r="G277" s="1185">
        <v>1</v>
      </c>
      <c r="H277" s="1185">
        <v>1</v>
      </c>
      <c r="I277" s="1185">
        <v>1</v>
      </c>
      <c r="J277" s="1185">
        <v>1</v>
      </c>
      <c r="K277" s="1185">
        <v>1</v>
      </c>
      <c r="L277" s="1185">
        <v>1</v>
      </c>
      <c r="M277" s="1185">
        <v>1</v>
      </c>
      <c r="N277" s="1185">
        <v>1</v>
      </c>
      <c r="O277" s="1185">
        <v>1</v>
      </c>
      <c r="P277" s="1185">
        <v>1</v>
      </c>
      <c r="Q277" s="1185">
        <v>1</v>
      </c>
      <c r="R277" s="1185">
        <v>1</v>
      </c>
      <c r="S277" s="1185">
        <v>1</v>
      </c>
      <c r="T277" s="1185">
        <v>1</v>
      </c>
      <c r="U277" s="1185">
        <v>1</v>
      </c>
      <c r="V277" s="1185">
        <v>1</v>
      </c>
      <c r="W277" s="1185">
        <v>1</v>
      </c>
      <c r="X277" s="1185">
        <v>1</v>
      </c>
      <c r="Y277" s="1185">
        <v>1</v>
      </c>
      <c r="Z277" s="1185">
        <v>1</v>
      </c>
      <c r="AA277" s="1185">
        <v>1</v>
      </c>
      <c r="AB277" s="1185">
        <v>1</v>
      </c>
      <c r="AC277" s="1185">
        <v>1</v>
      </c>
      <c r="AD277" s="1185">
        <v>1</v>
      </c>
      <c r="AE277" s="1185">
        <v>1</v>
      </c>
      <c r="AF277" s="1185">
        <v>1</v>
      </c>
      <c r="AG277" s="1185">
        <v>1</v>
      </c>
      <c r="AH277" s="1185">
        <v>1</v>
      </c>
      <c r="AI277" s="1185">
        <v>1</v>
      </c>
      <c r="AJ277" s="1185">
        <v>1</v>
      </c>
      <c r="AK277" s="1185">
        <v>1</v>
      </c>
      <c r="AL277" s="1" t="str">
        <f>ADDRESS(ROW(),COLUMN(),4)</f>
        <v>AL277</v>
      </c>
      <c r="AM277" s="710"/>
      <c r="AN277" s="711" t="str">
        <f>ADDRESS(ROW(),COLUMN(),4)</f>
        <v>AN277</v>
      </c>
    </row>
  </sheetData>
  <mergeCells count="14">
    <mergeCell ref="C221:D221"/>
    <mergeCell ref="X8:AC9"/>
    <mergeCell ref="M110:M115"/>
    <mergeCell ref="J128:K128"/>
    <mergeCell ref="B127:P127"/>
    <mergeCell ref="B129:B130"/>
    <mergeCell ref="D209:J209"/>
    <mergeCell ref="D217:K218"/>
    <mergeCell ref="E69:M70"/>
    <mergeCell ref="E84:I85"/>
    <mergeCell ref="E86:I87"/>
    <mergeCell ref="E89:I90"/>
    <mergeCell ref="E96:I97"/>
    <mergeCell ref="E99:I100"/>
  </mergeCells>
  <hyperlinks>
    <hyperlink ref="D185" r:id="rId1" display="https://www.extensis.com/fr-fr/blog/les-10-polices-alternatives-%C3%A0-helvetica" xr:uid="{B4CAA96E-C295-4D4C-9092-225DB8E96ADF}"/>
    <hyperlink ref="D193" r:id="rId2" display="https://fr.wikipedia.org/wiki/Calibri" xr:uid="{71CCD913-4F38-47E2-87A0-4EA91317B1E5}"/>
    <hyperlink ref="D194" r:id="rId3" display="https://kulturegeek.fr/news-224456/microsoft-police-voudriez-remplacer-calibri" xr:uid="{62FEEA84-328F-41E0-B07F-F2C870EAC7C6}"/>
    <hyperlink ref="D179" r:id="rId4" display="https://fr.wikipedia.org/wiki/Helvetica" xr:uid="{7F069A47-F027-4F84-91FD-A957D0FB9753}"/>
    <hyperlink ref="D199" r:id="rId5" display="https://laruche.wizbii.com/17703-meilleure-police-ecriture-cv" xr:uid="{56891386-50A4-4A28-B038-E51F4097698F}"/>
    <hyperlink ref="D200" r:id="rId6" display="https://laruche.wizbii.com/17703-meilleure-police-ecriture-cv" xr:uid="{502EF63B-E358-40F8-997B-6CE03195F23E}"/>
    <hyperlink ref="D201" r:id="rId7" display="https://www.google.com/search?client=firefox-b-d&amp;cs=1&amp;sxsrf=AJOqlzWtAThXL_uLX0Izw5bcGDDqWJW1UA:1673858052794&amp;q=Quelle+est+la+police+d%27%C3%A9criture+la+plus+classe+%3F&amp;sa=X&amp;ved=2ahUKEwjYj4iV18v8AhXtTaQEHYpNBZ0Qzmd6BAgBEAU" xr:uid="{E116CE14-48DF-4CA6-9C79-45FB1DD138DF}"/>
    <hyperlink ref="D184" r:id="rId8" xr:uid="{6CDE7648-F6A2-4B98-8204-E063E4ACF91A}"/>
    <hyperlink ref="C120" r:id="rId9" xr:uid="{0302D2C1-C302-4D0A-9F74-9EE337847FF6}"/>
    <hyperlink ref="B138" r:id="rId10" xr:uid="{DEEC87E5-FC83-4A02-B1D5-E75EA964E063}"/>
    <hyperlink ref="B144" r:id="rId11" xr:uid="{9F78570D-61A3-40F8-A1AA-58312BE6C3FC}"/>
    <hyperlink ref="B147" r:id="rId12" xr:uid="{53BCC466-D281-485D-AE8F-CB3838463F60}"/>
    <hyperlink ref="B148" r:id="rId13" xr:uid="{7B9CBEFE-7162-479D-8423-6618129670E8}"/>
    <hyperlink ref="B150" r:id="rId14" xr:uid="{78EC218D-2050-49E9-99D5-901F48446C63}"/>
    <hyperlink ref="V229" r:id="rId15" xr:uid="{EB755629-9B06-481B-882C-8D7CF5B800C5}"/>
    <hyperlink ref="B153" r:id="rId16" xr:uid="{98C38AC5-A1DC-4C21-80BF-33796E21098C}"/>
    <hyperlink ref="R250" r:id="rId17" xr:uid="{2F32FF4D-D61D-4568-9C69-1E02B2E11DC2}"/>
  </hyperlinks>
  <pageMargins left="0.7" right="0.7" top="0.75" bottom="0.75" header="0.3" footer="0.3"/>
  <pageSetup paperSize="9" orientation="portrait" r:id="rId18"/>
  <drawing r:id="rId19"/>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68EAF0-82F3-4AED-9A59-349EDCA1E7AF}">
  <dimension ref="B1:D140"/>
  <sheetViews>
    <sheetView workbookViewId="0">
      <selection activeCell="C30" sqref="C30"/>
    </sheetView>
  </sheetViews>
  <sheetFormatPr baseColWidth="10" defaultRowHeight="15"/>
  <cols>
    <col min="1" max="1" width="5.5703125" customWidth="1"/>
    <col min="2" max="4" width="80.7109375" customWidth="1"/>
  </cols>
  <sheetData>
    <row r="1" spans="2:4">
      <c r="D1" s="5187"/>
    </row>
    <row r="2" spans="2:4" ht="15.75">
      <c r="B2" s="5188" t="s">
        <v>824</v>
      </c>
      <c r="C2" s="5189" t="s">
        <v>825</v>
      </c>
      <c r="D2" s="5190" t="s">
        <v>826</v>
      </c>
    </row>
    <row r="3" spans="2:4">
      <c r="B3" s="9" t="s">
        <v>2648</v>
      </c>
      <c r="C3" s="9" t="s">
        <v>3239</v>
      </c>
      <c r="D3" s="9" t="s">
        <v>3232</v>
      </c>
    </row>
    <row r="4" spans="2:4">
      <c r="B4" s="9" t="s">
        <v>13362</v>
      </c>
      <c r="C4" s="9" t="s">
        <v>3240</v>
      </c>
      <c r="D4" s="9" t="s">
        <v>3233</v>
      </c>
    </row>
    <row r="5" spans="2:4">
      <c r="B5" s="9" t="s">
        <v>13363</v>
      </c>
      <c r="C5" s="9" t="s">
        <v>3241</v>
      </c>
      <c r="D5" s="9" t="s">
        <v>3234</v>
      </c>
    </row>
    <row r="6" spans="2:4">
      <c r="B6" s="9" t="s">
        <v>13364</v>
      </c>
      <c r="C6" s="9" t="s">
        <v>3242</v>
      </c>
      <c r="D6" s="9" t="s">
        <v>3235</v>
      </c>
    </row>
    <row r="7" spans="2:4">
      <c r="B7" s="9" t="s">
        <v>13365</v>
      </c>
      <c r="C7" s="9" t="s">
        <v>3243</v>
      </c>
      <c r="D7" s="9" t="s">
        <v>3236</v>
      </c>
    </row>
    <row r="8" spans="2:4">
      <c r="B8" s="9" t="s">
        <v>13366</v>
      </c>
      <c r="C8" s="9" t="s">
        <v>3244</v>
      </c>
      <c r="D8" s="9" t="s">
        <v>3237</v>
      </c>
    </row>
    <row r="9" spans="2:4">
      <c r="B9" s="9" t="s">
        <v>13367</v>
      </c>
      <c r="C9" s="9" t="s">
        <v>3245</v>
      </c>
      <c r="D9" s="9" t="s">
        <v>3238</v>
      </c>
    </row>
    <row r="10" spans="2:4">
      <c r="B10" s="9" t="s">
        <v>13368</v>
      </c>
      <c r="C10" s="9" t="s">
        <v>13321</v>
      </c>
      <c r="D10" s="9" t="s">
        <v>13327</v>
      </c>
    </row>
    <row r="11" spans="2:4">
      <c r="B11" s="9" t="s">
        <v>13369</v>
      </c>
      <c r="C11" s="9" t="s">
        <v>13322</v>
      </c>
      <c r="D11" s="9" t="s">
        <v>13328</v>
      </c>
    </row>
    <row r="12" spans="2:4">
      <c r="B12" s="9" t="s">
        <v>2661</v>
      </c>
      <c r="C12" s="9" t="s">
        <v>13323</v>
      </c>
      <c r="D12" s="9" t="s">
        <v>13329</v>
      </c>
    </row>
    <row r="13" spans="2:4">
      <c r="B13" s="9" t="s">
        <v>2663</v>
      </c>
      <c r="C13" s="9" t="s">
        <v>13324</v>
      </c>
      <c r="D13" s="9" t="s">
        <v>13330</v>
      </c>
    </row>
    <row r="14" spans="2:4">
      <c r="B14" s="9" t="s">
        <v>2662</v>
      </c>
      <c r="C14" s="9" t="s">
        <v>13325</v>
      </c>
      <c r="D14" s="9" t="s">
        <v>13331</v>
      </c>
    </row>
    <row r="15" spans="2:4">
      <c r="B15" s="9" t="s">
        <v>13370</v>
      </c>
      <c r="C15" s="9" t="s">
        <v>13326</v>
      </c>
      <c r="D15" s="9" t="s">
        <v>13332</v>
      </c>
    </row>
    <row r="16" spans="2:4" ht="15.75">
      <c r="B16" s="5188" t="s">
        <v>824</v>
      </c>
      <c r="C16" s="5189" t="s">
        <v>825</v>
      </c>
      <c r="D16" s="5190" t="s">
        <v>826</v>
      </c>
    </row>
    <row r="17" spans="2:4">
      <c r="B17" s="9" t="s">
        <v>13333</v>
      </c>
      <c r="C17" s="9" t="s">
        <v>13424</v>
      </c>
      <c r="D17" s="9" t="s">
        <v>13425</v>
      </c>
    </row>
    <row r="18" spans="2:4">
      <c r="B18" s="9" t="s">
        <v>13371</v>
      </c>
      <c r="C18" s="9" t="s">
        <v>3285</v>
      </c>
      <c r="D18" s="9" t="s">
        <v>3290</v>
      </c>
    </row>
    <row r="19" spans="2:4">
      <c r="B19" s="9" t="s">
        <v>3280</v>
      </c>
      <c r="C19" s="9" t="s">
        <v>3286</v>
      </c>
      <c r="D19" s="9" t="s">
        <v>3291</v>
      </c>
    </row>
    <row r="20" spans="2:4">
      <c r="B20" s="9" t="s">
        <v>13372</v>
      </c>
      <c r="C20" s="9" t="s">
        <v>3287</v>
      </c>
      <c r="D20" s="9" t="s">
        <v>3292</v>
      </c>
    </row>
    <row r="21" spans="2:4">
      <c r="B21" s="9" t="s">
        <v>13373</v>
      </c>
      <c r="C21" s="9" t="s">
        <v>3288</v>
      </c>
      <c r="D21" s="9" t="s">
        <v>3293</v>
      </c>
    </row>
    <row r="22" spans="2:4">
      <c r="B22" s="9" t="s">
        <v>13374</v>
      </c>
      <c r="C22" s="9" t="s">
        <v>3289</v>
      </c>
      <c r="D22" s="9" t="s">
        <v>3294</v>
      </c>
    </row>
    <row r="23" spans="2:4">
      <c r="B23" s="9" t="s">
        <v>13390</v>
      </c>
      <c r="C23" s="9" t="s">
        <v>13194</v>
      </c>
      <c r="D23" s="9" t="s">
        <v>13212</v>
      </c>
    </row>
    <row r="24" spans="2:4" ht="15.75">
      <c r="B24" s="5188" t="s">
        <v>824</v>
      </c>
      <c r="C24" s="5189" t="s">
        <v>825</v>
      </c>
      <c r="D24" s="5190" t="s">
        <v>826</v>
      </c>
    </row>
    <row r="25" spans="2:4">
      <c r="B25" s="1122" t="s">
        <v>13428</v>
      </c>
      <c r="C25" s="9" t="s">
        <v>13334</v>
      </c>
      <c r="D25" s="9" t="s">
        <v>13337</v>
      </c>
    </row>
    <row r="26" spans="2:4">
      <c r="B26" s="1122" t="s">
        <v>13429</v>
      </c>
      <c r="C26" s="9" t="s">
        <v>13335</v>
      </c>
      <c r="D26" s="9" t="s">
        <v>13338</v>
      </c>
    </row>
    <row r="27" spans="2:4">
      <c r="B27" s="1122" t="s">
        <v>13430</v>
      </c>
      <c r="C27" s="9" t="s">
        <v>13336</v>
      </c>
      <c r="D27" s="9" t="s">
        <v>13339</v>
      </c>
    </row>
    <row r="28" spans="2:4">
      <c r="B28" s="1122" t="s">
        <v>13431</v>
      </c>
      <c r="C28" s="9" t="s">
        <v>3257</v>
      </c>
      <c r="D28" s="9" t="s">
        <v>3261</v>
      </c>
    </row>
    <row r="29" spans="2:4">
      <c r="B29" s="1122" t="s">
        <v>13432</v>
      </c>
      <c r="C29" s="9" t="s">
        <v>3258</v>
      </c>
      <c r="D29" s="9" t="s">
        <v>3262</v>
      </c>
    </row>
    <row r="30" spans="2:4">
      <c r="B30" s="1122" t="s">
        <v>13433</v>
      </c>
      <c r="C30" s="9" t="s">
        <v>3259</v>
      </c>
      <c r="D30" s="9" t="s">
        <v>3263</v>
      </c>
    </row>
    <row r="31" spans="2:4">
      <c r="B31" s="1122" t="s">
        <v>13340</v>
      </c>
      <c r="C31" s="9" t="s">
        <v>13341</v>
      </c>
      <c r="D31" s="9" t="s">
        <v>13342</v>
      </c>
    </row>
    <row r="32" spans="2:4">
      <c r="B32" s="9" t="s">
        <v>13434</v>
      </c>
      <c r="C32" s="9" t="s">
        <v>13343</v>
      </c>
      <c r="D32" s="9" t="s">
        <v>13345</v>
      </c>
    </row>
    <row r="33" spans="2:4">
      <c r="B33" s="9" t="s">
        <v>13435</v>
      </c>
      <c r="C33" s="9" t="s">
        <v>13344</v>
      </c>
      <c r="D33" s="9" t="s">
        <v>13346</v>
      </c>
    </row>
    <row r="34" spans="2:4">
      <c r="B34" s="1122" t="s">
        <v>851</v>
      </c>
      <c r="C34" s="9" t="s">
        <v>443</v>
      </c>
      <c r="D34" s="9" t="s">
        <v>444</v>
      </c>
    </row>
    <row r="35" spans="2:4">
      <c r="B35" s="9" t="s">
        <v>13358</v>
      </c>
      <c r="C35" s="9" t="s">
        <v>13359</v>
      </c>
      <c r="D35" s="1928" t="s">
        <v>13360</v>
      </c>
    </row>
    <row r="36" spans="2:4" ht="15.75">
      <c r="B36" s="5188" t="s">
        <v>824</v>
      </c>
      <c r="C36" s="5189" t="s">
        <v>825</v>
      </c>
      <c r="D36" s="5190" t="s">
        <v>826</v>
      </c>
    </row>
    <row r="37" spans="2:4">
      <c r="B37" s="9" t="s">
        <v>13391</v>
      </c>
      <c r="C37" s="9" t="s">
        <v>13195</v>
      </c>
      <c r="D37" s="9" t="s">
        <v>908</v>
      </c>
    </row>
    <row r="38" spans="2:4">
      <c r="B38" s="9" t="s">
        <v>13392</v>
      </c>
      <c r="C38" s="9" t="s">
        <v>13196</v>
      </c>
      <c r="D38" s="9" t="s">
        <v>13213</v>
      </c>
    </row>
    <row r="39" spans="2:4">
      <c r="B39" s="9" t="s">
        <v>172</v>
      </c>
      <c r="C39" s="9" t="s">
        <v>676</v>
      </c>
      <c r="D39" s="9" t="s">
        <v>677</v>
      </c>
    </row>
    <row r="40" spans="2:4">
      <c r="B40" s="9" t="s">
        <v>174</v>
      </c>
      <c r="C40" s="9" t="s">
        <v>682</v>
      </c>
      <c r="D40" s="9" t="s">
        <v>683</v>
      </c>
    </row>
    <row r="41" spans="2:4">
      <c r="B41" s="9" t="s">
        <v>182</v>
      </c>
      <c r="C41" s="9" t="s">
        <v>684</v>
      </c>
      <c r="D41" s="9" t="s">
        <v>685</v>
      </c>
    </row>
    <row r="42" spans="2:4" ht="15.75">
      <c r="B42" s="5188" t="s">
        <v>824</v>
      </c>
      <c r="C42" s="5189" t="s">
        <v>825</v>
      </c>
      <c r="D42" s="5190" t="s">
        <v>826</v>
      </c>
    </row>
    <row r="43" spans="2:4">
      <c r="B43" s="9" t="s">
        <v>13071</v>
      </c>
      <c r="C43" s="9" t="s">
        <v>13253</v>
      </c>
      <c r="D43" s="9" t="s">
        <v>13245</v>
      </c>
    </row>
    <row r="44" spans="2:4">
      <c r="B44" s="9" t="s">
        <v>13406</v>
      </c>
      <c r="C44" s="9" t="s">
        <v>13254</v>
      </c>
      <c r="D44" s="9" t="s">
        <v>13246</v>
      </c>
    </row>
    <row r="45" spans="2:4">
      <c r="B45" s="9" t="s">
        <v>13073</v>
      </c>
      <c r="C45" s="9" t="s">
        <v>13255</v>
      </c>
      <c r="D45" s="9" t="s">
        <v>13353</v>
      </c>
    </row>
    <row r="46" spans="2:4">
      <c r="B46" s="9" t="s">
        <v>13076</v>
      </c>
      <c r="C46" s="9" t="s">
        <v>13256</v>
      </c>
      <c r="D46" s="9" t="s">
        <v>13354</v>
      </c>
    </row>
    <row r="47" spans="2:4">
      <c r="B47" s="9" t="s">
        <v>13407</v>
      </c>
      <c r="C47" s="9" t="s">
        <v>13257</v>
      </c>
      <c r="D47" s="9" t="s">
        <v>13355</v>
      </c>
    </row>
    <row r="48" spans="2:4">
      <c r="B48" s="9" t="s">
        <v>13408</v>
      </c>
      <c r="C48" s="9" t="s">
        <v>13258</v>
      </c>
      <c r="D48" s="9" t="s">
        <v>13356</v>
      </c>
    </row>
    <row r="49" spans="2:4">
      <c r="B49" s="9" t="s">
        <v>13409</v>
      </c>
      <c r="C49" s="9" t="s">
        <v>13259</v>
      </c>
      <c r="D49" s="9" t="s">
        <v>13357</v>
      </c>
    </row>
    <row r="50" spans="2:4" ht="15.75">
      <c r="B50" s="5188" t="s">
        <v>824</v>
      </c>
      <c r="C50" s="5189" t="s">
        <v>825</v>
      </c>
      <c r="D50" s="5190" t="s">
        <v>826</v>
      </c>
    </row>
    <row r="51" spans="2:4">
      <c r="B51" s="9" t="s">
        <v>13361</v>
      </c>
      <c r="C51" s="9" t="s">
        <v>13426</v>
      </c>
      <c r="D51" s="9" t="s">
        <v>13427</v>
      </c>
    </row>
    <row r="52" spans="2:4">
      <c r="B52" s="9" t="s">
        <v>13099</v>
      </c>
      <c r="C52" s="9" t="s">
        <v>13244</v>
      </c>
      <c r="D52" s="9" t="s">
        <v>13352</v>
      </c>
    </row>
    <row r="53" spans="2:4">
      <c r="B53" s="9" t="s">
        <v>13405</v>
      </c>
      <c r="C53" s="9" t="s">
        <v>13236</v>
      </c>
      <c r="D53" s="9" t="s">
        <v>13238</v>
      </c>
    </row>
    <row r="54" spans="2:4">
      <c r="B54" s="9" t="s">
        <v>13401</v>
      </c>
      <c r="C54" s="9" t="s">
        <v>13209</v>
      </c>
      <c r="D54" s="9" t="s">
        <v>13225</v>
      </c>
    </row>
    <row r="55" spans="2:4">
      <c r="B55" s="9" t="s">
        <v>13402</v>
      </c>
      <c r="C55" s="9" t="s">
        <v>13210</v>
      </c>
      <c r="D55" s="9" t="s">
        <v>13226</v>
      </c>
    </row>
    <row r="56" spans="2:4">
      <c r="B56" s="9" t="s">
        <v>13131</v>
      </c>
      <c r="C56" s="9" t="s">
        <v>13211</v>
      </c>
      <c r="D56" s="9" t="s">
        <v>13227</v>
      </c>
    </row>
    <row r="57" spans="2:4" ht="15.75">
      <c r="B57" s="5188" t="s">
        <v>824</v>
      </c>
      <c r="C57" s="5189" t="s">
        <v>825</v>
      </c>
      <c r="D57" s="5190" t="s">
        <v>826</v>
      </c>
    </row>
    <row r="58" spans="2:4">
      <c r="B58" s="9" t="s">
        <v>13382</v>
      </c>
      <c r="C58" s="9" t="s">
        <v>13151</v>
      </c>
      <c r="D58" s="9" t="s">
        <v>13167</v>
      </c>
    </row>
    <row r="59" spans="2:4">
      <c r="B59" s="9" t="s">
        <v>13384</v>
      </c>
      <c r="C59" s="9" t="s">
        <v>13153</v>
      </c>
      <c r="D59" s="9" t="s">
        <v>13169</v>
      </c>
    </row>
    <row r="60" spans="2:4">
      <c r="B60" s="9" t="s">
        <v>13376</v>
      </c>
      <c r="C60" s="9" t="s">
        <v>13141</v>
      </c>
      <c r="D60" s="9" t="s">
        <v>13157</v>
      </c>
    </row>
    <row r="61" spans="2:4" ht="15.75">
      <c r="B61" s="5188" t="s">
        <v>824</v>
      </c>
      <c r="C61" s="5189" t="s">
        <v>825</v>
      </c>
      <c r="D61" s="5190" t="s">
        <v>826</v>
      </c>
    </row>
    <row r="62" spans="2:4">
      <c r="B62" s="9" t="s">
        <v>13118</v>
      </c>
      <c r="C62" s="9" t="s">
        <v>13295</v>
      </c>
      <c r="D62" s="9" t="s">
        <v>13308</v>
      </c>
    </row>
    <row r="63" spans="2:4">
      <c r="B63" s="9" t="s">
        <v>13119</v>
      </c>
      <c r="C63" s="9" t="s">
        <v>13296</v>
      </c>
      <c r="D63" s="9" t="s">
        <v>13309</v>
      </c>
    </row>
    <row r="64" spans="2:4">
      <c r="B64" s="9" t="s">
        <v>13120</v>
      </c>
      <c r="C64" s="9" t="s">
        <v>13297</v>
      </c>
      <c r="D64" s="9" t="s">
        <v>13310</v>
      </c>
    </row>
    <row r="65" spans="2:4">
      <c r="B65" s="9" t="s">
        <v>13417</v>
      </c>
      <c r="C65" s="9" t="s">
        <v>13298</v>
      </c>
      <c r="D65" s="9" t="s">
        <v>13311</v>
      </c>
    </row>
    <row r="66" spans="2:4">
      <c r="B66" s="9" t="s">
        <v>13418</v>
      </c>
      <c r="C66" s="9" t="s">
        <v>13299</v>
      </c>
      <c r="D66" s="9" t="s">
        <v>13312</v>
      </c>
    </row>
    <row r="67" spans="2:4">
      <c r="B67" s="9" t="s">
        <v>13419</v>
      </c>
      <c r="C67" s="9" t="s">
        <v>13300</v>
      </c>
      <c r="D67" s="9" t="s">
        <v>13313</v>
      </c>
    </row>
    <row r="68" spans="2:4">
      <c r="B68" s="9" t="s">
        <v>13420</v>
      </c>
      <c r="C68" s="9" t="s">
        <v>13301</v>
      </c>
      <c r="D68" s="9" t="s">
        <v>13314</v>
      </c>
    </row>
    <row r="69" spans="2:4">
      <c r="B69" s="9" t="s">
        <v>13125</v>
      </c>
      <c r="C69" s="9" t="s">
        <v>13302</v>
      </c>
      <c r="D69" s="9" t="s">
        <v>13315</v>
      </c>
    </row>
    <row r="70" spans="2:4">
      <c r="B70" s="9" t="s">
        <v>13421</v>
      </c>
      <c r="C70" s="9" t="s">
        <v>13303</v>
      </c>
      <c r="D70" s="9" t="s">
        <v>13316</v>
      </c>
    </row>
    <row r="71" spans="2:4">
      <c r="B71" s="9" t="s">
        <v>13422</v>
      </c>
      <c r="C71" s="9" t="s">
        <v>13304</v>
      </c>
      <c r="D71" s="9" t="s">
        <v>13317</v>
      </c>
    </row>
    <row r="72" spans="2:4">
      <c r="B72" s="9" t="s">
        <v>13423</v>
      </c>
      <c r="C72" s="9" t="s">
        <v>13305</v>
      </c>
      <c r="D72" s="9" t="s">
        <v>13318</v>
      </c>
    </row>
    <row r="73" spans="2:4" ht="15.75">
      <c r="B73" s="5188" t="s">
        <v>824</v>
      </c>
      <c r="C73" s="5189" t="s">
        <v>825</v>
      </c>
      <c r="D73" s="5190" t="s">
        <v>826</v>
      </c>
    </row>
    <row r="74" spans="2:4">
      <c r="B74" s="9" t="s">
        <v>13171</v>
      </c>
      <c r="C74" s="9" t="s">
        <v>13147</v>
      </c>
      <c r="D74" s="9" t="s">
        <v>13163</v>
      </c>
    </row>
    <row r="75" spans="2:4">
      <c r="B75" s="9" t="s">
        <v>13061</v>
      </c>
      <c r="C75" s="9" t="s">
        <v>13179</v>
      </c>
      <c r="D75" s="9" t="s">
        <v>13189</v>
      </c>
    </row>
    <row r="76" spans="2:4">
      <c r="B76" s="9" t="s">
        <v>13415</v>
      </c>
      <c r="C76" s="9" t="s">
        <v>13277</v>
      </c>
      <c r="D76" s="9" t="s">
        <v>13293</v>
      </c>
    </row>
    <row r="77" spans="2:4">
      <c r="B77" s="9" t="s">
        <v>13387</v>
      </c>
      <c r="C77" s="9" t="s">
        <v>13178</v>
      </c>
      <c r="D77" s="9" t="s">
        <v>13188</v>
      </c>
    </row>
    <row r="78" spans="2:4">
      <c r="B78" s="9" t="s">
        <v>13107</v>
      </c>
      <c r="C78" s="9" t="s">
        <v>13267</v>
      </c>
      <c r="D78" s="9" t="s">
        <v>13283</v>
      </c>
    </row>
    <row r="79" spans="2:4">
      <c r="B79" s="9" t="s">
        <v>13051</v>
      </c>
      <c r="C79" s="9" t="s">
        <v>13146</v>
      </c>
      <c r="D79" s="9" t="s">
        <v>13162</v>
      </c>
    </row>
    <row r="80" spans="2:4">
      <c r="B80" s="9" t="s">
        <v>13347</v>
      </c>
      <c r="C80" s="9" t="s">
        <v>13348</v>
      </c>
      <c r="D80" s="9" t="s">
        <v>13349</v>
      </c>
    </row>
    <row r="81" spans="2:4">
      <c r="B81" s="9" t="s">
        <v>13388</v>
      </c>
      <c r="C81" s="9" t="s">
        <v>13180</v>
      </c>
      <c r="D81" s="9" t="s">
        <v>13190</v>
      </c>
    </row>
    <row r="82" spans="2:4">
      <c r="B82" s="9" t="s">
        <v>13389</v>
      </c>
      <c r="C82" s="9" t="s">
        <v>13351</v>
      </c>
      <c r="D82" s="9" t="s">
        <v>13191</v>
      </c>
    </row>
    <row r="83" spans="2:4">
      <c r="B83" s="9" t="s">
        <v>13379</v>
      </c>
      <c r="C83" s="9" t="s">
        <v>13144</v>
      </c>
      <c r="D83" s="9" t="s">
        <v>13160</v>
      </c>
    </row>
    <row r="84" spans="2:4">
      <c r="B84" s="9" t="s">
        <v>13108</v>
      </c>
      <c r="C84" s="9" t="s">
        <v>13268</v>
      </c>
      <c r="D84" s="9" t="s">
        <v>13284</v>
      </c>
    </row>
    <row r="85" spans="2:4">
      <c r="B85" s="9" t="s">
        <v>13378</v>
      </c>
      <c r="C85" s="9" t="s">
        <v>13143</v>
      </c>
      <c r="D85" s="9" t="s">
        <v>13159</v>
      </c>
    </row>
    <row r="86" spans="2:4">
      <c r="B86" s="9" t="s">
        <v>13380</v>
      </c>
      <c r="C86" s="9" t="s">
        <v>13148</v>
      </c>
      <c r="D86" s="9" t="s">
        <v>13164</v>
      </c>
    </row>
    <row r="87" spans="2:4">
      <c r="B87" s="9" t="s">
        <v>13104</v>
      </c>
      <c r="C87" s="9" t="s">
        <v>13264</v>
      </c>
      <c r="D87" s="9" t="s">
        <v>13280</v>
      </c>
    </row>
    <row r="88" spans="2:4">
      <c r="B88" s="9" t="s">
        <v>13105</v>
      </c>
      <c r="C88" s="9" t="s">
        <v>13265</v>
      </c>
      <c r="D88" s="9" t="s">
        <v>13281</v>
      </c>
    </row>
    <row r="89" spans="2:4">
      <c r="B89" s="9" t="s">
        <v>13377</v>
      </c>
      <c r="C89" s="9" t="s">
        <v>13142</v>
      </c>
      <c r="D89" s="9" t="s">
        <v>13158</v>
      </c>
    </row>
    <row r="90" spans="2:4">
      <c r="B90" s="9" t="s">
        <v>13111</v>
      </c>
      <c r="C90" s="9" t="s">
        <v>13271</v>
      </c>
      <c r="D90" s="9" t="s">
        <v>13287</v>
      </c>
    </row>
    <row r="91" spans="2:4">
      <c r="B91" s="9" t="s">
        <v>13103</v>
      </c>
      <c r="C91" s="9" t="s">
        <v>13263</v>
      </c>
      <c r="D91" s="9" t="s">
        <v>13279</v>
      </c>
    </row>
    <row r="92" spans="2:4">
      <c r="B92" s="9" t="s">
        <v>13102</v>
      </c>
      <c r="C92" s="9" t="s">
        <v>13262</v>
      </c>
      <c r="D92" s="9" t="s">
        <v>13278</v>
      </c>
    </row>
    <row r="93" spans="2:4">
      <c r="B93" s="9" t="s">
        <v>13063</v>
      </c>
      <c r="C93" s="9" t="s">
        <v>13181</v>
      </c>
      <c r="D93" s="9" t="s">
        <v>13063</v>
      </c>
    </row>
    <row r="94" spans="2:4">
      <c r="B94" s="9" t="s">
        <v>13410</v>
      </c>
      <c r="C94" s="9" t="s">
        <v>13270</v>
      </c>
      <c r="D94" s="9" t="s">
        <v>13286</v>
      </c>
    </row>
    <row r="95" spans="2:4">
      <c r="B95" s="9" t="s">
        <v>13045</v>
      </c>
      <c r="C95" s="9" t="s">
        <v>13350</v>
      </c>
      <c r="D95" s="9" t="s">
        <v>13137</v>
      </c>
    </row>
    <row r="96" spans="2:4">
      <c r="B96" s="9" t="s">
        <v>13054</v>
      </c>
      <c r="C96" s="9" t="s">
        <v>13149</v>
      </c>
      <c r="D96" s="9" t="s">
        <v>13165</v>
      </c>
    </row>
    <row r="97" spans="2:4">
      <c r="B97" s="9" t="s">
        <v>13079</v>
      </c>
      <c r="C97" s="9" t="s">
        <v>13235</v>
      </c>
      <c r="D97" s="9" t="s">
        <v>13237</v>
      </c>
    </row>
    <row r="98" spans="2:4">
      <c r="B98" s="9" t="s">
        <v>13375</v>
      </c>
      <c r="C98" s="9" t="s">
        <v>13140</v>
      </c>
      <c r="D98" s="9" t="s">
        <v>13156</v>
      </c>
    </row>
    <row r="99" spans="2:4">
      <c r="B99" s="9" t="s">
        <v>13109</v>
      </c>
      <c r="C99" s="9" t="s">
        <v>13269</v>
      </c>
      <c r="D99" s="9" t="s">
        <v>13285</v>
      </c>
    </row>
    <row r="100" spans="2:4">
      <c r="B100" s="9" t="s">
        <v>13050</v>
      </c>
      <c r="C100" s="9" t="s">
        <v>13145</v>
      </c>
      <c r="D100" s="9" t="s">
        <v>13161</v>
      </c>
    </row>
    <row r="101" spans="2:4">
      <c r="B101" s="9" t="s">
        <v>13416</v>
      </c>
      <c r="C101" s="9" t="s">
        <v>13294</v>
      </c>
      <c r="D101" s="9" t="s">
        <v>13307</v>
      </c>
    </row>
    <row r="102" spans="2:4">
      <c r="B102" s="9" t="s">
        <v>13386</v>
      </c>
      <c r="C102" s="9" t="s">
        <v>13176</v>
      </c>
      <c r="D102" s="9" t="s">
        <v>13186</v>
      </c>
    </row>
    <row r="103" spans="2:4">
      <c r="B103" s="9" t="s">
        <v>12827</v>
      </c>
      <c r="C103" s="9" t="s">
        <v>13174</v>
      </c>
      <c r="D103" s="9" t="s">
        <v>13184</v>
      </c>
    </row>
    <row r="104" spans="2:4">
      <c r="B104" s="9" t="s">
        <v>13059</v>
      </c>
      <c r="C104" s="9" t="s">
        <v>13177</v>
      </c>
      <c r="D104" s="9" t="s">
        <v>13187</v>
      </c>
    </row>
    <row r="105" spans="2:4">
      <c r="B105" s="9" t="s">
        <v>13057</v>
      </c>
      <c r="C105" s="9" t="s">
        <v>13175</v>
      </c>
      <c r="D105" s="9" t="s">
        <v>13185</v>
      </c>
    </row>
    <row r="106" spans="2:4">
      <c r="B106" s="9" t="s">
        <v>13112</v>
      </c>
      <c r="C106" s="9" t="s">
        <v>13272</v>
      </c>
      <c r="D106" s="9" t="s">
        <v>13288</v>
      </c>
    </row>
    <row r="107" spans="2:4">
      <c r="B107" s="9" t="s">
        <v>12826</v>
      </c>
      <c r="C107" s="9" t="s">
        <v>12880</v>
      </c>
      <c r="D107" s="9" t="s">
        <v>12881</v>
      </c>
    </row>
    <row r="108" spans="2:4">
      <c r="B108" s="9" t="s">
        <v>13046</v>
      </c>
      <c r="C108" s="9" t="s">
        <v>13139</v>
      </c>
      <c r="D108" s="9" t="s">
        <v>13155</v>
      </c>
    </row>
    <row r="109" spans="2:4">
      <c r="B109" s="9" t="s">
        <v>13106</v>
      </c>
      <c r="C109" s="9" t="s">
        <v>13266</v>
      </c>
      <c r="D109" s="9" t="s">
        <v>13282</v>
      </c>
    </row>
    <row r="110" spans="2:4" ht="15.75">
      <c r="B110" s="5188" t="s">
        <v>824</v>
      </c>
      <c r="C110" s="5189" t="s">
        <v>825</v>
      </c>
      <c r="D110" s="5190" t="s">
        <v>826</v>
      </c>
    </row>
    <row r="111" spans="2:4">
      <c r="B111" s="9" t="s">
        <v>13376</v>
      </c>
      <c r="C111" s="9" t="s">
        <v>13141</v>
      </c>
      <c r="D111" s="9" t="s">
        <v>13157</v>
      </c>
    </row>
    <row r="112" spans="2:4">
      <c r="B112" s="9" t="s">
        <v>13411</v>
      </c>
      <c r="C112" s="9" t="s">
        <v>13273</v>
      </c>
      <c r="D112" s="9" t="s">
        <v>13289</v>
      </c>
    </row>
    <row r="113" spans="2:4">
      <c r="B113" s="9" t="s">
        <v>13385</v>
      </c>
      <c r="C113" s="9" t="s">
        <v>13154</v>
      </c>
      <c r="D113" s="9" t="s">
        <v>13170</v>
      </c>
    </row>
    <row r="114" spans="2:4">
      <c r="B114" s="9" t="s">
        <v>13414</v>
      </c>
      <c r="C114" s="9" t="s">
        <v>13276</v>
      </c>
      <c r="D114" s="9" t="s">
        <v>13292</v>
      </c>
    </row>
    <row r="115" spans="2:4">
      <c r="B115" s="9" t="s">
        <v>13381</v>
      </c>
      <c r="C115" s="9" t="s">
        <v>13150</v>
      </c>
      <c r="D115" s="9" t="s">
        <v>13166</v>
      </c>
    </row>
    <row r="116" spans="2:4">
      <c r="B116" s="9" t="s">
        <v>13413</v>
      </c>
      <c r="C116" s="9" t="s">
        <v>13275</v>
      </c>
      <c r="D116" s="9" t="s">
        <v>13291</v>
      </c>
    </row>
    <row r="117" spans="2:4">
      <c r="B117" s="9" t="s">
        <v>13383</v>
      </c>
      <c r="C117" s="9" t="s">
        <v>13152</v>
      </c>
      <c r="D117" s="9" t="s">
        <v>13168</v>
      </c>
    </row>
    <row r="118" spans="2:4">
      <c r="B118" s="9" t="s">
        <v>13412</v>
      </c>
      <c r="C118" s="9" t="s">
        <v>13274</v>
      </c>
      <c r="D118" s="9" t="s">
        <v>13290</v>
      </c>
    </row>
    <row r="119" spans="2:4">
      <c r="B119" s="9" t="s">
        <v>13382</v>
      </c>
      <c r="C119" s="9" t="s">
        <v>13151</v>
      </c>
      <c r="D119" s="9" t="s">
        <v>13167</v>
      </c>
    </row>
    <row r="120" spans="2:4">
      <c r="B120" s="9" t="s">
        <v>13384</v>
      </c>
      <c r="C120" s="9" t="s">
        <v>13153</v>
      </c>
      <c r="D120" s="9" t="s">
        <v>13169</v>
      </c>
    </row>
    <row r="121" spans="2:4" ht="15.75">
      <c r="B121" s="5188" t="s">
        <v>824</v>
      </c>
      <c r="C121" s="5189" t="s">
        <v>825</v>
      </c>
      <c r="D121" s="5190" t="s">
        <v>826</v>
      </c>
    </row>
    <row r="122" spans="2:4">
      <c r="B122" s="9" t="s">
        <v>13393</v>
      </c>
      <c r="C122" s="9" t="s">
        <v>13197</v>
      </c>
      <c r="D122" s="9" t="s">
        <v>3325</v>
      </c>
    </row>
    <row r="123" spans="2:4">
      <c r="B123" s="9" t="s">
        <v>13394</v>
      </c>
      <c r="C123" s="9" t="s">
        <v>13198</v>
      </c>
      <c r="D123" s="9" t="s">
        <v>13214</v>
      </c>
    </row>
    <row r="124" spans="2:4">
      <c r="B124" s="9" t="s">
        <v>13395</v>
      </c>
      <c r="C124" s="9" t="s">
        <v>13199</v>
      </c>
      <c r="D124" s="9" t="s">
        <v>13215</v>
      </c>
    </row>
    <row r="125" spans="2:4">
      <c r="B125" s="9" t="s">
        <v>13396</v>
      </c>
      <c r="C125" s="9" t="s">
        <v>13200</v>
      </c>
      <c r="D125" s="9" t="s">
        <v>13216</v>
      </c>
    </row>
    <row r="126" spans="2:4">
      <c r="B126" s="9" t="s">
        <v>13397</v>
      </c>
      <c r="C126" s="9" t="s">
        <v>13201</v>
      </c>
      <c r="D126" s="9" t="s">
        <v>13217</v>
      </c>
    </row>
    <row r="127" spans="2:4">
      <c r="B127" s="9" t="s">
        <v>13398</v>
      </c>
      <c r="C127" s="9" t="s">
        <v>13202</v>
      </c>
      <c r="D127" s="9" t="s">
        <v>13218</v>
      </c>
    </row>
    <row r="128" spans="2:4">
      <c r="B128" s="9" t="s">
        <v>13089</v>
      </c>
      <c r="C128" s="9" t="s">
        <v>13203</v>
      </c>
      <c r="D128" s="9" t="s">
        <v>13219</v>
      </c>
    </row>
    <row r="129" spans="2:4">
      <c r="B129" s="9" t="s">
        <v>13090</v>
      </c>
      <c r="C129" s="9" t="s">
        <v>13204</v>
      </c>
      <c r="D129" s="9" t="s">
        <v>13220</v>
      </c>
    </row>
    <row r="130" spans="2:4">
      <c r="B130" s="9" t="s">
        <v>13091</v>
      </c>
      <c r="C130" s="9" t="s">
        <v>13205</v>
      </c>
      <c r="D130" s="9" t="s">
        <v>13221</v>
      </c>
    </row>
    <row r="131" spans="2:4">
      <c r="B131" s="9" t="s">
        <v>13092</v>
      </c>
      <c r="C131" s="9" t="s">
        <v>13206</v>
      </c>
      <c r="D131" s="9" t="s">
        <v>13222</v>
      </c>
    </row>
    <row r="132" spans="2:4">
      <c r="B132" s="9" t="s">
        <v>13399</v>
      </c>
      <c r="C132" s="9" t="s">
        <v>13207</v>
      </c>
      <c r="D132" s="9" t="s">
        <v>13223</v>
      </c>
    </row>
    <row r="133" spans="2:4">
      <c r="B133" s="9" t="s">
        <v>13400</v>
      </c>
      <c r="C133" s="9" t="s">
        <v>13208</v>
      </c>
      <c r="D133" s="9" t="s">
        <v>13224</v>
      </c>
    </row>
    <row r="134" spans="2:4" ht="15.75">
      <c r="B134" s="5188" t="s">
        <v>824</v>
      </c>
      <c r="C134" s="5189" t="s">
        <v>825</v>
      </c>
      <c r="D134" s="5190" t="s">
        <v>826</v>
      </c>
    </row>
    <row r="135" spans="2:4">
      <c r="B135" s="9" t="s">
        <v>748</v>
      </c>
      <c r="C135" s="9" t="s">
        <v>1651</v>
      </c>
      <c r="D135" s="9" t="s">
        <v>1653</v>
      </c>
    </row>
    <row r="136" spans="2:4">
      <c r="B136" s="9" t="s">
        <v>750</v>
      </c>
      <c r="C136" s="9" t="s">
        <v>1655</v>
      </c>
      <c r="D136" s="9" t="s">
        <v>1657</v>
      </c>
    </row>
    <row r="137" spans="2:4">
      <c r="B137" s="9" t="s">
        <v>13403</v>
      </c>
      <c r="C137" s="9" t="s">
        <v>1667</v>
      </c>
      <c r="D137" s="9" t="s">
        <v>13231</v>
      </c>
    </row>
    <row r="138" spans="2:4">
      <c r="B138" s="9" t="s">
        <v>13081</v>
      </c>
      <c r="C138" s="9" t="s">
        <v>13228</v>
      </c>
      <c r="D138" s="9" t="s">
        <v>13232</v>
      </c>
    </row>
    <row r="139" spans="2:4">
      <c r="B139" s="9" t="s">
        <v>13082</v>
      </c>
      <c r="C139" s="9" t="s">
        <v>13229</v>
      </c>
      <c r="D139" s="9" t="s">
        <v>13233</v>
      </c>
    </row>
    <row r="140" spans="2:4">
      <c r="B140" s="9" t="s">
        <v>13404</v>
      </c>
      <c r="C140" s="9" t="s">
        <v>13230</v>
      </c>
      <c r="D140" s="9" t="s">
        <v>13234</v>
      </c>
    </row>
  </sheetData>
  <sortState xmlns:xlrd2="http://schemas.microsoft.com/office/spreadsheetml/2017/richdata2" ref="B111:D120">
    <sortCondition ref="B111:B120"/>
  </sortState>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22DCDD-AB14-43D7-9D19-CB92085C0163}">
  <dimension ref="A1:BC469"/>
  <sheetViews>
    <sheetView workbookViewId="0">
      <selection activeCell="H13" sqref="H13"/>
    </sheetView>
  </sheetViews>
  <sheetFormatPr baseColWidth="10" defaultRowHeight="15"/>
  <cols>
    <col min="2" max="2" width="4.7109375" style="1909" customWidth="1"/>
    <col min="3" max="5" width="50.7109375" style="1909" customWidth="1"/>
    <col min="6" max="6" width="7.5703125" customWidth="1"/>
    <col min="7" max="7" width="11.42578125" style="1909"/>
    <col min="8" max="8" width="82.85546875" customWidth="1"/>
    <col min="9" max="9" width="66.28515625" customWidth="1"/>
    <col min="10" max="10" width="80.7109375" customWidth="1"/>
    <col min="12" max="12" width="10.7109375" customWidth="1"/>
    <col min="13" max="15" width="34.5703125" customWidth="1"/>
    <col min="16" max="17" width="50.7109375" customWidth="1"/>
    <col min="18" max="18" width="50.85546875" customWidth="1"/>
    <col min="19" max="19" width="7.5703125" customWidth="1"/>
    <col min="20" max="20" width="6" style="5274" customWidth="1"/>
    <col min="21" max="21" width="46.42578125" customWidth="1"/>
    <col min="22" max="22" width="48.42578125" customWidth="1"/>
    <col min="23" max="23" width="7.5703125" customWidth="1"/>
    <col min="24" max="24" width="10.7109375" customWidth="1"/>
    <col min="25" max="27" width="30.7109375" customWidth="1"/>
    <col min="28" max="31" width="40.7109375" customWidth="1"/>
    <col min="33" max="33" width="10.7109375" customWidth="1"/>
    <col min="34" max="36" width="67.7109375" customWidth="1"/>
    <col min="37" max="37" width="84" customWidth="1"/>
    <col min="38" max="38" width="5" customWidth="1"/>
    <col min="39" max="39" width="11.5703125" style="1906" customWidth="1"/>
    <col min="40" max="42" width="99.7109375" style="1906" customWidth="1"/>
    <col min="44" max="44" width="10.7109375" customWidth="1"/>
    <col min="45" max="47" width="30.7109375" customWidth="1"/>
    <col min="48" max="50" width="50.7109375" customWidth="1"/>
    <col min="51" max="51" width="30.7109375" customWidth="1"/>
    <col min="55" max="55" width="80.85546875" customWidth="1"/>
  </cols>
  <sheetData>
    <row r="1" spans="1:55" ht="15.75" thickTop="1">
      <c r="A1" s="1" t="str">
        <f>ADDRESS(ROW(),COLUMN(),4)</f>
        <v>A1</v>
      </c>
      <c r="B1" s="2" t="str">
        <f t="shared" ref="B1:J1" si="0">SUBSTITUTE(ADDRESS(1,COLUMN(),4),"1","")</f>
        <v>B</v>
      </c>
      <c r="C1" s="2" t="str">
        <f t="shared" si="0"/>
        <v>C</v>
      </c>
      <c r="D1" s="2" t="str">
        <f t="shared" si="0"/>
        <v>D</v>
      </c>
      <c r="E1" s="2" t="str">
        <f t="shared" si="0"/>
        <v>E</v>
      </c>
      <c r="G1" s="2" t="str">
        <f t="shared" si="0"/>
        <v>G</v>
      </c>
      <c r="H1" s="2" t="str">
        <f t="shared" si="0"/>
        <v>H</v>
      </c>
      <c r="I1" s="2" t="str">
        <f t="shared" si="0"/>
        <v>I</v>
      </c>
      <c r="J1" s="2" t="str">
        <f t="shared" si="0"/>
        <v>J</v>
      </c>
      <c r="L1" s="2" t="str">
        <f t="shared" ref="L1:V1" si="1">SUBSTITUTE(ADDRESS(1,COLUMN(),4),"1","")</f>
        <v>L</v>
      </c>
      <c r="M1" s="2" t="str">
        <f t="shared" si="1"/>
        <v>M</v>
      </c>
      <c r="N1" s="2" t="str">
        <f t="shared" si="1"/>
        <v>N</v>
      </c>
      <c r="O1" s="2" t="str">
        <f t="shared" si="1"/>
        <v>O</v>
      </c>
      <c r="P1" s="2" t="str">
        <f t="shared" si="1"/>
        <v>P</v>
      </c>
      <c r="Q1" s="2" t="str">
        <f t="shared" si="1"/>
        <v>Q</v>
      </c>
      <c r="R1" s="2" t="str">
        <f t="shared" si="1"/>
        <v>R</v>
      </c>
      <c r="S1" s="9"/>
      <c r="T1" s="2" t="str">
        <f t="shared" si="1"/>
        <v>T</v>
      </c>
      <c r="U1" s="2" t="str">
        <f t="shared" si="1"/>
        <v>U</v>
      </c>
      <c r="V1" s="2" t="str">
        <f t="shared" si="1"/>
        <v>V</v>
      </c>
      <c r="W1" s="9"/>
      <c r="X1" s="2" t="str">
        <f t="shared" ref="X1:AE1" si="2">SUBSTITUTE(ADDRESS(1,COLUMN(),4),"1","")</f>
        <v>X</v>
      </c>
      <c r="Y1" s="2" t="str">
        <f t="shared" si="2"/>
        <v>Y</v>
      </c>
      <c r="Z1" s="2" t="str">
        <f t="shared" si="2"/>
        <v>Z</v>
      </c>
      <c r="AA1" s="2" t="str">
        <f t="shared" si="2"/>
        <v>AA</v>
      </c>
      <c r="AB1" s="2" t="str">
        <f t="shared" si="2"/>
        <v>AB</v>
      </c>
      <c r="AC1" s="2" t="str">
        <f t="shared" si="2"/>
        <v>AC</v>
      </c>
      <c r="AD1" s="2" t="str">
        <f t="shared" si="2"/>
        <v>AD</v>
      </c>
      <c r="AE1" s="2" t="str">
        <f t="shared" si="2"/>
        <v>AE</v>
      </c>
      <c r="AG1" s="2" t="str">
        <f t="shared" ref="AG1:AK1" si="3">SUBSTITUTE(ADDRESS(1,COLUMN(),4),"1","")</f>
        <v>AG</v>
      </c>
      <c r="AH1" s="2" t="str">
        <f t="shared" si="3"/>
        <v>AH</v>
      </c>
      <c r="AI1" s="2" t="str">
        <f t="shared" si="3"/>
        <v>AI</v>
      </c>
      <c r="AJ1" s="2" t="str">
        <f t="shared" si="3"/>
        <v>AJ</v>
      </c>
      <c r="AK1" s="2" t="str">
        <f t="shared" si="3"/>
        <v>AK</v>
      </c>
      <c r="AL1" s="9"/>
      <c r="AM1" s="2" t="str">
        <f t="shared" ref="AM1:AP1" si="4">SUBSTITUTE(ADDRESS(1,COLUMN(),4),"1","")</f>
        <v>AM</v>
      </c>
      <c r="AN1" s="2" t="str">
        <f t="shared" si="4"/>
        <v>AN</v>
      </c>
      <c r="AO1" s="2" t="str">
        <f t="shared" si="4"/>
        <v>AO</v>
      </c>
      <c r="AP1" s="2" t="str">
        <f t="shared" si="4"/>
        <v>AP</v>
      </c>
      <c r="AR1" s="2" t="str">
        <f t="shared" ref="AR1:AY1" si="5">SUBSTITUTE(ADDRESS(1,COLUMN(),4),"1","")</f>
        <v>AR</v>
      </c>
      <c r="AS1" s="2" t="str">
        <f t="shared" si="5"/>
        <v>AS</v>
      </c>
      <c r="AT1" s="2" t="str">
        <f t="shared" si="5"/>
        <v>AT</v>
      </c>
      <c r="AU1" s="2" t="str">
        <f t="shared" si="5"/>
        <v>AU</v>
      </c>
      <c r="AV1" s="2" t="str">
        <f t="shared" si="5"/>
        <v>AV</v>
      </c>
      <c r="AW1" s="2" t="str">
        <f t="shared" si="5"/>
        <v>AW</v>
      </c>
      <c r="AX1" s="2" t="str">
        <f t="shared" si="5"/>
        <v>AX</v>
      </c>
      <c r="AY1" s="2" t="str">
        <f t="shared" si="5"/>
        <v>AY</v>
      </c>
      <c r="BA1" s="3">
        <v>1</v>
      </c>
      <c r="BB1" s="4" t="str">
        <f>SUBSTITUTE(ADDRESS(1,COLUMN(),4),"1","")</f>
        <v>BB</v>
      </c>
      <c r="BC1" s="5" t="str">
        <f>SUBSTITUTE(ADDRESS(1,COLUMN(),4),"1","")</f>
        <v>BC</v>
      </c>
    </row>
    <row r="2" spans="1:55">
      <c r="B2" s="922">
        <f t="shared" ref="B2:J2" ca="1" si="6">CELL("largeur",B2)</f>
        <v>4</v>
      </c>
      <c r="C2" s="922">
        <f t="shared" ca="1" si="6"/>
        <v>50</v>
      </c>
      <c r="D2" s="922">
        <f t="shared" ca="1" si="6"/>
        <v>50</v>
      </c>
      <c r="E2" s="922">
        <f t="shared" ca="1" si="6"/>
        <v>50</v>
      </c>
      <c r="G2" s="922">
        <f t="shared" ca="1" si="6"/>
        <v>11</v>
      </c>
      <c r="H2" s="922">
        <f t="shared" ca="1" si="6"/>
        <v>82</v>
      </c>
      <c r="I2" s="922">
        <f t="shared" ca="1" si="6"/>
        <v>66</v>
      </c>
      <c r="J2" s="922">
        <f t="shared" ca="1" si="6"/>
        <v>80</v>
      </c>
      <c r="L2" s="922">
        <f t="shared" ref="L2:V2" ca="1" si="7">CELL("largeur",L2)</f>
        <v>10</v>
      </c>
      <c r="M2" s="922">
        <f t="shared" ca="1" si="7"/>
        <v>34</v>
      </c>
      <c r="N2" s="922">
        <f t="shared" ca="1" si="7"/>
        <v>34</v>
      </c>
      <c r="O2" s="922">
        <f t="shared" ca="1" si="7"/>
        <v>34</v>
      </c>
      <c r="P2" s="922">
        <f t="shared" ca="1" si="7"/>
        <v>50</v>
      </c>
      <c r="Q2" s="922">
        <f t="shared" ca="1" si="7"/>
        <v>50</v>
      </c>
      <c r="R2" s="922">
        <f t="shared" ca="1" si="7"/>
        <v>50</v>
      </c>
      <c r="S2" s="9"/>
      <c r="T2" s="922">
        <f t="shared" ca="1" si="7"/>
        <v>5</v>
      </c>
      <c r="U2" s="922">
        <f t="shared" ca="1" si="7"/>
        <v>46</v>
      </c>
      <c r="V2" s="922">
        <f t="shared" ca="1" si="7"/>
        <v>48</v>
      </c>
      <c r="W2" s="9"/>
      <c r="X2" s="922">
        <f t="shared" ref="X2:AE2" ca="1" si="8">CELL("largeur",X2)</f>
        <v>10</v>
      </c>
      <c r="Y2" s="922">
        <f t="shared" ca="1" si="8"/>
        <v>30</v>
      </c>
      <c r="Z2" s="922">
        <f t="shared" ca="1" si="8"/>
        <v>30</v>
      </c>
      <c r="AA2" s="922">
        <f t="shared" ca="1" si="8"/>
        <v>30</v>
      </c>
      <c r="AB2" s="922">
        <f t="shared" ca="1" si="8"/>
        <v>40</v>
      </c>
      <c r="AC2" s="922">
        <f t="shared" ca="1" si="8"/>
        <v>40</v>
      </c>
      <c r="AD2" s="922">
        <f t="shared" ca="1" si="8"/>
        <v>40</v>
      </c>
      <c r="AE2" s="922">
        <f t="shared" ca="1" si="8"/>
        <v>40</v>
      </c>
      <c r="AG2" s="922">
        <f t="shared" ref="AG2:AK2" ca="1" si="9">CELL("largeur",AG2)</f>
        <v>10</v>
      </c>
      <c r="AH2" s="922">
        <f t="shared" ca="1" si="9"/>
        <v>67</v>
      </c>
      <c r="AI2" s="922">
        <f t="shared" ca="1" si="9"/>
        <v>67</v>
      </c>
      <c r="AJ2" s="922">
        <f t="shared" ca="1" si="9"/>
        <v>67</v>
      </c>
      <c r="AK2" s="922">
        <f t="shared" ca="1" si="9"/>
        <v>83</v>
      </c>
      <c r="AL2" s="9"/>
      <c r="AM2" s="922">
        <f t="shared" ref="AM2:AP2" ca="1" si="10">CELL("largeur",AM2)</f>
        <v>11</v>
      </c>
      <c r="AN2" s="922">
        <f t="shared" ca="1" si="10"/>
        <v>99</v>
      </c>
      <c r="AO2" s="922">
        <f t="shared" ca="1" si="10"/>
        <v>99</v>
      </c>
      <c r="AP2" s="922">
        <f t="shared" ca="1" si="10"/>
        <v>99</v>
      </c>
      <c r="AR2" s="922">
        <f t="shared" ref="AR2:AY2" ca="1" si="11">CELL("largeur",AR2)</f>
        <v>10</v>
      </c>
      <c r="AS2" s="922">
        <f t="shared" ca="1" si="11"/>
        <v>30</v>
      </c>
      <c r="AT2" s="922">
        <f t="shared" ca="1" si="11"/>
        <v>30</v>
      </c>
      <c r="AU2" s="922">
        <f t="shared" ca="1" si="11"/>
        <v>30</v>
      </c>
      <c r="AV2" s="922">
        <f t="shared" ca="1" si="11"/>
        <v>50</v>
      </c>
      <c r="AW2" s="922">
        <f t="shared" ca="1" si="11"/>
        <v>50</v>
      </c>
      <c r="AX2" s="922">
        <f t="shared" ca="1" si="11"/>
        <v>50</v>
      </c>
      <c r="AY2" s="922">
        <f t="shared" ca="1" si="11"/>
        <v>30</v>
      </c>
      <c r="BA2" s="3">
        <v>1</v>
      </c>
      <c r="BB2" s="7" t="s">
        <v>3</v>
      </c>
      <c r="BC2" s="8"/>
    </row>
    <row r="3" spans="1:55" ht="16.5" thickBot="1">
      <c r="B3" s="923">
        <v>4</v>
      </c>
      <c r="C3" s="923">
        <v>50</v>
      </c>
      <c r="D3" s="923">
        <v>50</v>
      </c>
      <c r="E3" s="923">
        <v>50</v>
      </c>
      <c r="G3" s="923">
        <v>11</v>
      </c>
      <c r="H3" s="923">
        <v>82</v>
      </c>
      <c r="I3" s="923">
        <v>66</v>
      </c>
      <c r="J3" s="923">
        <v>80</v>
      </c>
      <c r="L3" s="923">
        <v>10</v>
      </c>
      <c r="M3" s="923">
        <v>34</v>
      </c>
      <c r="N3" s="923">
        <v>34</v>
      </c>
      <c r="O3" s="923">
        <v>34</v>
      </c>
      <c r="P3" s="923">
        <v>50</v>
      </c>
      <c r="Q3" s="923">
        <v>50</v>
      </c>
      <c r="R3" s="923">
        <v>50</v>
      </c>
      <c r="S3" s="9"/>
      <c r="T3" s="923">
        <v>5</v>
      </c>
      <c r="U3" s="923">
        <v>46</v>
      </c>
      <c r="V3" s="923">
        <v>48</v>
      </c>
      <c r="W3" s="9"/>
      <c r="X3" s="923">
        <v>10</v>
      </c>
      <c r="Y3" s="923">
        <v>30</v>
      </c>
      <c r="Z3" s="923">
        <v>30</v>
      </c>
      <c r="AA3" s="923">
        <v>30</v>
      </c>
      <c r="AB3" s="923">
        <v>40</v>
      </c>
      <c r="AC3" s="923">
        <v>40</v>
      </c>
      <c r="AD3" s="923">
        <v>40</v>
      </c>
      <c r="AE3" s="923">
        <v>40</v>
      </c>
      <c r="AG3" s="923">
        <v>10</v>
      </c>
      <c r="AH3" s="923">
        <v>67</v>
      </c>
      <c r="AI3" s="923">
        <v>67</v>
      </c>
      <c r="AJ3" s="923">
        <v>67</v>
      </c>
      <c r="AK3" s="923">
        <v>83</v>
      </c>
      <c r="AL3" s="9"/>
      <c r="AM3" s="923">
        <v>11</v>
      </c>
      <c r="AN3" s="923">
        <v>99</v>
      </c>
      <c r="AO3" s="923">
        <v>99</v>
      </c>
      <c r="AP3" s="923">
        <v>99</v>
      </c>
      <c r="AR3" s="923">
        <v>10</v>
      </c>
      <c r="AS3" s="923">
        <v>30</v>
      </c>
      <c r="AT3" s="923">
        <v>30</v>
      </c>
      <c r="AU3" s="923">
        <v>30</v>
      </c>
      <c r="AV3" s="923">
        <v>50</v>
      </c>
      <c r="AW3" s="923">
        <v>50</v>
      </c>
      <c r="AX3" s="923">
        <v>50</v>
      </c>
      <c r="AY3" s="923">
        <v>30</v>
      </c>
      <c r="BA3" s="3">
        <v>1</v>
      </c>
      <c r="BB3" s="11">
        <f ca="1">COUNTA(A1:BA468) + COUNTBLANK(A1:BA468)</f>
        <v>24822</v>
      </c>
      <c r="BC3" s="12" t="str">
        <f>"cellules entre -cells -celdas  "&amp;" " &amp;A1&amp;" et  "&amp;BA469</f>
        <v>cellules entre -cells -celdas   A1 et  BA469</v>
      </c>
    </row>
    <row r="4" spans="1:55" ht="15" customHeight="1">
      <c r="B4" s="5880" t="s">
        <v>7513</v>
      </c>
      <c r="C4" s="5880"/>
      <c r="D4" s="5880"/>
      <c r="E4" s="5880"/>
      <c r="F4" s="9"/>
      <c r="G4" s="5880" t="s">
        <v>7516</v>
      </c>
      <c r="H4" s="5880"/>
      <c r="I4" s="5880"/>
      <c r="J4" s="5880"/>
      <c r="L4" s="5272"/>
      <c r="M4" s="5882" t="s">
        <v>7909</v>
      </c>
      <c r="N4" s="5882"/>
      <c r="O4" s="5882"/>
      <c r="P4" s="5882"/>
      <c r="Q4" s="5882"/>
      <c r="R4" s="5882"/>
      <c r="S4" s="9"/>
      <c r="T4" s="5273"/>
      <c r="U4" s="5884" t="s">
        <v>13506</v>
      </c>
      <c r="V4" s="5884"/>
      <c r="W4" s="9"/>
      <c r="X4" s="5875" t="s">
        <v>8342</v>
      </c>
      <c r="Y4" s="5875"/>
      <c r="Z4" s="5875"/>
      <c r="AA4" s="5875"/>
      <c r="AB4" s="5875"/>
      <c r="AC4" s="5875"/>
      <c r="AD4" s="5875"/>
      <c r="AE4" s="5875"/>
      <c r="AG4" s="1982"/>
      <c r="AH4" s="1982"/>
      <c r="AI4" s="1982"/>
      <c r="AJ4" s="1982"/>
      <c r="AK4" s="1982"/>
      <c r="AL4" s="9"/>
      <c r="AM4" s="5877" t="s">
        <v>7679</v>
      </c>
      <c r="AN4" s="5877"/>
      <c r="AO4" s="5877"/>
      <c r="AP4" s="5877"/>
      <c r="AR4" s="5867" t="s">
        <v>3563</v>
      </c>
      <c r="AS4" s="5867"/>
      <c r="AT4" s="5867"/>
      <c r="AU4" s="5867"/>
      <c r="AV4" s="5867"/>
      <c r="AW4" s="5867"/>
      <c r="AX4" s="5867"/>
      <c r="AY4" s="5867"/>
      <c r="BA4" s="3">
        <v>1</v>
      </c>
      <c r="BB4" s="11">
        <f ca="1">COUNTA(A1:BA468)</f>
        <v>7181</v>
      </c>
      <c r="BC4" s="12" t="s">
        <v>10</v>
      </c>
    </row>
    <row r="5" spans="1:55" ht="15" customHeight="1">
      <c r="B5" s="5881"/>
      <c r="C5" s="5881"/>
      <c r="D5" s="5881"/>
      <c r="E5" s="5881"/>
      <c r="F5" s="9"/>
      <c r="G5" s="5881"/>
      <c r="H5" s="5881"/>
      <c r="I5" s="5881"/>
      <c r="J5" s="5881"/>
      <c r="L5" s="5272"/>
      <c r="M5" s="5883"/>
      <c r="N5" s="5883"/>
      <c r="O5" s="5883"/>
      <c r="P5" s="5883"/>
      <c r="Q5" s="5883"/>
      <c r="R5" s="5883"/>
      <c r="S5" s="9"/>
      <c r="T5" s="5273"/>
      <c r="U5" s="5885"/>
      <c r="V5" s="5885"/>
      <c r="W5" s="9"/>
      <c r="X5" s="5876"/>
      <c r="Y5" s="5876"/>
      <c r="Z5" s="5876"/>
      <c r="AA5" s="5876"/>
      <c r="AB5" s="5876"/>
      <c r="AC5" s="5876"/>
      <c r="AD5" s="5876"/>
      <c r="AE5" s="5876"/>
      <c r="AG5" s="1982"/>
      <c r="AH5" s="1982"/>
      <c r="AI5" s="1982"/>
      <c r="AJ5" s="1982"/>
      <c r="AK5" s="1982"/>
      <c r="AL5" s="9"/>
      <c r="AM5" s="5878"/>
      <c r="AN5" s="5878"/>
      <c r="AO5" s="5878"/>
      <c r="AP5" s="5878"/>
      <c r="AR5" s="5868"/>
      <c r="AS5" s="5868"/>
      <c r="AT5" s="5868"/>
      <c r="AU5" s="5868"/>
      <c r="AV5" s="5868"/>
      <c r="AW5" s="5868"/>
      <c r="AX5" s="5868"/>
      <c r="AY5" s="5868"/>
      <c r="BA5" s="3">
        <v>1</v>
      </c>
      <c r="BB5" s="11">
        <f ca="1">COUNTBLANK(A1:BA468)</f>
        <v>17641</v>
      </c>
      <c r="BC5" s="12" t="s">
        <v>13</v>
      </c>
    </row>
    <row r="6" spans="1:55" ht="21" customHeight="1">
      <c r="B6" s="1994" t="s">
        <v>8528</v>
      </c>
      <c r="C6" s="1939"/>
      <c r="D6" s="1899"/>
      <c r="E6" s="1899"/>
      <c r="G6" s="1894"/>
      <c r="H6" s="9"/>
      <c r="I6" s="9"/>
      <c r="J6" s="9"/>
      <c r="L6" s="5272"/>
      <c r="M6" s="9"/>
      <c r="N6" s="9"/>
      <c r="O6" s="9"/>
      <c r="P6" s="9"/>
      <c r="Q6" s="9"/>
      <c r="R6" s="9"/>
      <c r="S6" s="9"/>
      <c r="W6" s="9"/>
      <c r="AG6" s="9"/>
      <c r="AH6" s="9"/>
      <c r="AI6" s="9"/>
      <c r="AJ6" s="9"/>
      <c r="AK6" s="9"/>
      <c r="AL6" s="9"/>
      <c r="AM6" s="1333"/>
      <c r="AN6" s="1333"/>
      <c r="AO6" s="1333"/>
      <c r="AP6" s="1333"/>
      <c r="AR6" s="5869" t="s">
        <v>8099</v>
      </c>
      <c r="AS6" s="5869"/>
      <c r="AT6" s="5869"/>
      <c r="AU6" s="5869"/>
      <c r="AV6" s="5869"/>
      <c r="AW6" s="5869"/>
      <c r="AX6" s="5869"/>
      <c r="AY6" s="5869"/>
      <c r="BA6" s="3">
        <v>1</v>
      </c>
      <c r="BB6" s="11">
        <f>SUM(BA1:BA467)+2</f>
        <v>469</v>
      </c>
      <c r="BC6" s="12" t="s">
        <v>15</v>
      </c>
    </row>
    <row r="7" spans="1:55" ht="30" customHeight="1">
      <c r="B7" s="1994" t="s">
        <v>8529</v>
      </c>
      <c r="C7" s="1939"/>
      <c r="D7" s="1899"/>
      <c r="E7" s="1899"/>
      <c r="F7" s="9"/>
      <c r="G7" s="1894"/>
      <c r="H7" s="9"/>
      <c r="I7" s="1978" t="s">
        <v>8527</v>
      </c>
      <c r="J7" s="1979" t="str">
        <f>$BA$469</f>
        <v>BA469</v>
      </c>
      <c r="L7" s="5275"/>
      <c r="M7" s="5276" t="s">
        <v>11</v>
      </c>
      <c r="N7" s="1943"/>
      <c r="O7" s="1943"/>
      <c r="P7" s="1943"/>
      <c r="Q7" s="1943"/>
      <c r="R7" s="1943" t="s">
        <v>11</v>
      </c>
      <c r="S7" s="9"/>
      <c r="T7" s="5277"/>
      <c r="U7" s="5278" t="s">
        <v>531</v>
      </c>
      <c r="V7" s="5279" t="s">
        <v>13507</v>
      </c>
      <c r="W7" s="9"/>
      <c r="X7" s="5275"/>
      <c r="Y7" s="5280" t="s">
        <v>11</v>
      </c>
      <c r="Z7" s="1933"/>
      <c r="AA7" s="1933"/>
      <c r="AB7" s="1933"/>
      <c r="AC7" s="1933"/>
      <c r="AD7" s="1933"/>
      <c r="AE7" s="1942" t="s">
        <v>11</v>
      </c>
      <c r="AG7" s="9"/>
      <c r="AH7" s="1942" t="s">
        <v>824</v>
      </c>
      <c r="AI7" s="1942" t="s">
        <v>825</v>
      </c>
      <c r="AJ7" s="1942" t="s">
        <v>826</v>
      </c>
      <c r="AK7" s="1984" t="s">
        <v>4384</v>
      </c>
      <c r="AL7" s="9"/>
      <c r="AM7" s="1333"/>
      <c r="AN7" s="1333"/>
      <c r="AO7" s="1333"/>
      <c r="AP7" s="1333"/>
      <c r="AR7" s="5869"/>
      <c r="AS7" s="5869"/>
      <c r="AT7" s="5869"/>
      <c r="AU7" s="5869"/>
      <c r="AV7" s="5869"/>
      <c r="AW7" s="5869"/>
      <c r="AX7" s="5869"/>
      <c r="AY7" s="5869"/>
      <c r="BA7" s="3">
        <v>1</v>
      </c>
      <c r="BB7" s="11">
        <f>SUM(A469:AZ469)+1</f>
        <v>53</v>
      </c>
      <c r="BC7" s="12" t="s">
        <v>18</v>
      </c>
    </row>
    <row r="8" spans="1:55" ht="30" customHeight="1">
      <c r="B8" s="1994" t="s">
        <v>8530</v>
      </c>
      <c r="C8" s="1939"/>
      <c r="D8" s="1899"/>
      <c r="E8" s="1899"/>
      <c r="F8" s="9"/>
      <c r="G8" s="1899"/>
      <c r="H8" s="5870" t="s">
        <v>7514</v>
      </c>
      <c r="I8" s="5870"/>
      <c r="J8" s="5870"/>
      <c r="L8" s="5281">
        <v>1</v>
      </c>
      <c r="M8" s="172" t="s">
        <v>3581</v>
      </c>
      <c r="N8" s="1931" t="s">
        <v>6961</v>
      </c>
      <c r="O8" s="1944" t="s">
        <v>6962</v>
      </c>
      <c r="P8" s="1931" t="s">
        <v>7912</v>
      </c>
      <c r="Q8" s="1931" t="s">
        <v>7913</v>
      </c>
      <c r="R8" s="1931" t="s">
        <v>7914</v>
      </c>
      <c r="S8" s="9"/>
      <c r="T8" s="5282"/>
      <c r="U8" s="5871" t="s">
        <v>13508</v>
      </c>
      <c r="V8" s="5872"/>
      <c r="W8" s="9"/>
      <c r="X8" s="5283">
        <v>1</v>
      </c>
      <c r="Y8" s="5284" t="s">
        <v>3572</v>
      </c>
      <c r="Z8" s="1969" t="s">
        <v>5575</v>
      </c>
      <c r="AA8" s="1970" t="s">
        <v>8234</v>
      </c>
      <c r="AB8" s="1969" t="s">
        <v>5576</v>
      </c>
      <c r="AC8" s="1969" t="s">
        <v>5576</v>
      </c>
      <c r="AD8" s="1969" t="s">
        <v>6643</v>
      </c>
      <c r="AE8" s="1969" t="s">
        <v>6644</v>
      </c>
      <c r="AG8" s="5285">
        <v>1</v>
      </c>
      <c r="AH8" s="1946" t="s">
        <v>3574</v>
      </c>
      <c r="AI8" s="58" t="s">
        <v>7851</v>
      </c>
      <c r="AJ8" s="58" t="s">
        <v>7880</v>
      </c>
      <c r="AK8" s="58"/>
      <c r="AL8" s="9"/>
      <c r="AM8" s="1898" t="s">
        <v>8525</v>
      </c>
      <c r="AN8" s="1332" t="s">
        <v>8526</v>
      </c>
      <c r="AO8" s="1333"/>
      <c r="AP8" s="1333"/>
      <c r="AR8" s="1987"/>
      <c r="AS8" s="9"/>
      <c r="AT8" s="9"/>
      <c r="AU8" s="9"/>
      <c r="AV8" s="9"/>
      <c r="AW8" s="9"/>
      <c r="AX8" s="9"/>
      <c r="AY8" s="9"/>
      <c r="BA8" s="3">
        <v>1</v>
      </c>
    </row>
    <row r="9" spans="1:55" ht="30" customHeight="1">
      <c r="B9" s="1899"/>
      <c r="C9" s="1939"/>
      <c r="D9" s="1899"/>
      <c r="E9" s="1899"/>
      <c r="F9" s="9"/>
      <c r="G9" s="1899"/>
      <c r="H9" s="1899"/>
      <c r="I9" s="1899"/>
      <c r="J9" s="1899"/>
      <c r="L9" s="5281"/>
      <c r="M9" s="5276" t="s">
        <v>1669</v>
      </c>
      <c r="N9" s="1934"/>
      <c r="O9" s="1934"/>
      <c r="R9" s="1943" t="s">
        <v>1669</v>
      </c>
      <c r="S9" s="9"/>
      <c r="T9" s="5282" t="s">
        <v>11</v>
      </c>
      <c r="U9" s="5286" t="s">
        <v>13509</v>
      </c>
      <c r="V9" s="5287"/>
      <c r="W9" s="9"/>
      <c r="X9" s="5283">
        <f>X8+1</f>
        <v>2</v>
      </c>
      <c r="Y9" s="5284" t="s">
        <v>3580</v>
      </c>
      <c r="Z9" s="1969" t="s">
        <v>5577</v>
      </c>
      <c r="AA9" s="1970" t="s">
        <v>8235</v>
      </c>
      <c r="AB9" s="1969" t="s">
        <v>5578</v>
      </c>
      <c r="AC9" s="1969" t="s">
        <v>5578</v>
      </c>
      <c r="AD9" s="1969" t="s">
        <v>6645</v>
      </c>
      <c r="AE9" s="1969" t="s">
        <v>6646</v>
      </c>
      <c r="AG9" s="5285">
        <f t="shared" ref="AG9:AG38" si="12">AG8+1</f>
        <v>2</v>
      </c>
      <c r="AH9" s="1946" t="s">
        <v>7110</v>
      </c>
      <c r="AI9" s="58" t="s">
        <v>7852</v>
      </c>
      <c r="AJ9" s="58" t="s">
        <v>7881</v>
      </c>
      <c r="AK9" s="1948" t="s">
        <v>7134</v>
      </c>
      <c r="AL9" s="1948"/>
      <c r="AN9" s="1942" t="s">
        <v>824</v>
      </c>
      <c r="AO9" s="1942" t="s">
        <v>825</v>
      </c>
      <c r="AP9" s="1942" t="s">
        <v>826</v>
      </c>
      <c r="AR9" s="5275"/>
      <c r="AS9" s="1986" t="s">
        <v>824</v>
      </c>
      <c r="AT9" s="1986" t="s">
        <v>825</v>
      </c>
      <c r="AU9" s="1986" t="s">
        <v>826</v>
      </c>
      <c r="AV9" s="5873" t="s">
        <v>4384</v>
      </c>
      <c r="AW9" s="5874"/>
      <c r="AX9" s="5874"/>
      <c r="AY9" s="1986" t="s">
        <v>824</v>
      </c>
      <c r="BA9" s="3">
        <v>1</v>
      </c>
    </row>
    <row r="10" spans="1:55" ht="30" customHeight="1">
      <c r="B10" s="1899"/>
      <c r="C10" s="1903" t="s">
        <v>7515</v>
      </c>
      <c r="D10" s="1901"/>
      <c r="E10" s="1901"/>
      <c r="F10" s="9"/>
      <c r="G10" s="1902"/>
      <c r="H10" s="5879" t="s">
        <v>7517</v>
      </c>
      <c r="I10" s="5879"/>
      <c r="J10" s="5879"/>
      <c r="L10" s="5281">
        <v>1</v>
      </c>
      <c r="M10" s="172" t="s">
        <v>6963</v>
      </c>
      <c r="N10" s="5288" t="s">
        <v>6964</v>
      </c>
      <c r="O10" s="5289" t="s">
        <v>6965</v>
      </c>
      <c r="P10" s="5288" t="s">
        <v>6966</v>
      </c>
      <c r="Q10" s="5288" t="s">
        <v>7915</v>
      </c>
      <c r="R10" s="5288" t="s">
        <v>7916</v>
      </c>
      <c r="S10" s="9"/>
      <c r="T10" s="5290"/>
      <c r="U10" s="5286" t="s">
        <v>13510</v>
      </c>
      <c r="V10" s="5291" t="s">
        <v>3603</v>
      </c>
      <c r="W10" s="9"/>
      <c r="X10" s="5283">
        <f t="shared" ref="X10:X46" si="13">X9+1</f>
        <v>3</v>
      </c>
      <c r="Y10" s="5284" t="s">
        <v>3586</v>
      </c>
      <c r="Z10" s="1969" t="s">
        <v>5579</v>
      </c>
      <c r="AA10" s="1970" t="s">
        <v>8236</v>
      </c>
      <c r="AB10" s="1969" t="s">
        <v>5580</v>
      </c>
      <c r="AC10" s="1969" t="s">
        <v>5580</v>
      </c>
      <c r="AD10" s="1969" t="s">
        <v>6647</v>
      </c>
      <c r="AE10" s="1969" t="s">
        <v>6648</v>
      </c>
      <c r="AG10" s="5285">
        <f t="shared" si="12"/>
        <v>3</v>
      </c>
      <c r="AH10" s="1946" t="s">
        <v>7111</v>
      </c>
      <c r="AI10" s="58" t="s">
        <v>7853</v>
      </c>
      <c r="AJ10" s="58" t="s">
        <v>7882</v>
      </c>
      <c r="AK10" s="1948" t="s">
        <v>7135</v>
      </c>
      <c r="AL10" s="1948"/>
      <c r="AN10" s="1938"/>
      <c r="AO10" s="1945"/>
      <c r="AP10" s="1945"/>
      <c r="AR10" s="5275"/>
      <c r="AS10" s="1932"/>
      <c r="AT10" s="1932"/>
      <c r="AU10" s="1932"/>
      <c r="AV10" s="1932"/>
      <c r="AW10" s="1932"/>
      <c r="AX10" s="1932"/>
      <c r="AY10" s="1985"/>
      <c r="BA10" s="3">
        <v>1</v>
      </c>
    </row>
    <row r="11" spans="1:55" ht="30" customHeight="1">
      <c r="B11" s="1953">
        <v>1</v>
      </c>
      <c r="C11" s="1904" t="s">
        <v>7315</v>
      </c>
      <c r="D11" s="1931" t="s">
        <v>7316</v>
      </c>
      <c r="E11" s="1931" t="s">
        <v>7317</v>
      </c>
      <c r="F11" s="9"/>
      <c r="G11" s="1902"/>
      <c r="H11" s="1980"/>
      <c r="I11" s="1980"/>
      <c r="J11" s="1980"/>
      <c r="L11" s="5281">
        <f>L10+1</f>
        <v>2</v>
      </c>
      <c r="M11" s="172" t="s">
        <v>6967</v>
      </c>
      <c r="N11" s="5292" t="s">
        <v>6968</v>
      </c>
      <c r="O11" s="5293" t="s">
        <v>6969</v>
      </c>
      <c r="P11" s="5292" t="s">
        <v>6970</v>
      </c>
      <c r="Q11" s="5292" t="s">
        <v>7917</v>
      </c>
      <c r="R11" s="5292" t="s">
        <v>7918</v>
      </c>
      <c r="S11" s="9"/>
      <c r="T11" s="5290"/>
      <c r="U11" s="5286" t="s">
        <v>3595</v>
      </c>
      <c r="V11" s="5291" t="s">
        <v>116</v>
      </c>
      <c r="W11" s="9"/>
      <c r="X11" s="5283">
        <f t="shared" si="13"/>
        <v>4</v>
      </c>
      <c r="Y11" s="5284" t="s">
        <v>3593</v>
      </c>
      <c r="Z11" s="1969" t="s">
        <v>5581</v>
      </c>
      <c r="AA11" s="1970" t="s">
        <v>8237</v>
      </c>
      <c r="AB11" s="1969" t="s">
        <v>5582</v>
      </c>
      <c r="AC11" s="1969" t="s">
        <v>5582</v>
      </c>
      <c r="AD11" s="1969" t="s">
        <v>6649</v>
      </c>
      <c r="AE11" s="1969" t="s">
        <v>6650</v>
      </c>
      <c r="AG11" s="5285">
        <f t="shared" si="12"/>
        <v>4</v>
      </c>
      <c r="AH11" s="1946" t="s">
        <v>7112</v>
      </c>
      <c r="AI11" s="58" t="s">
        <v>7854</v>
      </c>
      <c r="AJ11" s="58" t="s">
        <v>7883</v>
      </c>
      <c r="AK11" s="1948" t="s">
        <v>7136</v>
      </c>
      <c r="AL11" s="1948"/>
      <c r="AM11" s="1333"/>
      <c r="AN11" s="1900" t="s">
        <v>11</v>
      </c>
      <c r="AO11" s="1900"/>
      <c r="AP11" s="1977" t="s">
        <v>11</v>
      </c>
      <c r="AR11" s="5294"/>
      <c r="AS11" s="1940" t="s">
        <v>11</v>
      </c>
      <c r="AT11" s="1933"/>
      <c r="AU11" s="1933"/>
      <c r="AV11" s="1933"/>
      <c r="AW11" s="1932"/>
      <c r="AX11" s="1932"/>
      <c r="AY11" s="1940" t="s">
        <v>11</v>
      </c>
      <c r="BA11" s="3">
        <v>1</v>
      </c>
    </row>
    <row r="12" spans="1:55" ht="30" customHeight="1">
      <c r="B12" s="1953">
        <v>2</v>
      </c>
      <c r="C12" s="1904" t="s">
        <v>7318</v>
      </c>
      <c r="D12" s="1931" t="s">
        <v>7319</v>
      </c>
      <c r="E12" s="1931" t="s">
        <v>7320</v>
      </c>
      <c r="F12" s="9"/>
      <c r="G12" s="1901" t="s">
        <v>2851</v>
      </c>
      <c r="H12" s="1903" t="s">
        <v>3594</v>
      </c>
      <c r="I12" s="1903" t="s">
        <v>7629</v>
      </c>
      <c r="J12" s="1903" t="s">
        <v>7630</v>
      </c>
      <c r="L12" s="5281">
        <v>2</v>
      </c>
      <c r="M12" s="172" t="s">
        <v>3620</v>
      </c>
      <c r="N12" s="5292" t="s">
        <v>6971</v>
      </c>
      <c r="O12" s="5293" t="s">
        <v>6972</v>
      </c>
      <c r="P12" s="5292" t="s">
        <v>6973</v>
      </c>
      <c r="Q12" s="5292" t="s">
        <v>7919</v>
      </c>
      <c r="R12" s="5292" t="s">
        <v>7920</v>
      </c>
      <c r="S12" s="9"/>
      <c r="T12" s="5290"/>
      <c r="U12" s="5286" t="s">
        <v>3630</v>
      </c>
      <c r="V12" s="5287"/>
      <c r="W12" s="9"/>
      <c r="X12" s="5283">
        <f t="shared" si="13"/>
        <v>5</v>
      </c>
      <c r="Y12" s="5284" t="s">
        <v>5637</v>
      </c>
      <c r="Z12" s="1969" t="s">
        <v>5638</v>
      </c>
      <c r="AA12" s="1970" t="s">
        <v>8238</v>
      </c>
      <c r="AB12" s="1969" t="s">
        <v>5639</v>
      </c>
      <c r="AC12" s="1969" t="s">
        <v>5639</v>
      </c>
      <c r="AD12" s="1969" t="s">
        <v>6691</v>
      </c>
      <c r="AE12" s="1969" t="s">
        <v>6692</v>
      </c>
      <c r="AG12" s="5285">
        <f t="shared" si="12"/>
        <v>5</v>
      </c>
      <c r="AH12" s="1946" t="s">
        <v>7113</v>
      </c>
      <c r="AI12" s="58" t="s">
        <v>7855</v>
      </c>
      <c r="AJ12" s="1948" t="s">
        <v>7884</v>
      </c>
      <c r="AK12" s="1948" t="s">
        <v>7137</v>
      </c>
      <c r="AL12" s="1948"/>
      <c r="AM12" s="5295">
        <v>1</v>
      </c>
      <c r="AN12" s="1944" t="s">
        <v>7155</v>
      </c>
      <c r="AO12" s="1931" t="s">
        <v>7750</v>
      </c>
      <c r="AP12" s="1931" t="s">
        <v>7156</v>
      </c>
      <c r="AR12" s="5294">
        <v>1</v>
      </c>
      <c r="AS12" s="1897" t="s">
        <v>3567</v>
      </c>
      <c r="AT12" s="1935" t="s">
        <v>4385</v>
      </c>
      <c r="AU12" s="1935" t="s">
        <v>4386</v>
      </c>
      <c r="AV12" s="1935" t="s">
        <v>4387</v>
      </c>
      <c r="AW12" s="1935" t="s">
        <v>5980</v>
      </c>
      <c r="AX12" s="1935" t="s">
        <v>5981</v>
      </c>
      <c r="AY12" s="1897" t="s">
        <v>3567</v>
      </c>
      <c r="BA12" s="3">
        <v>1</v>
      </c>
    </row>
    <row r="13" spans="1:55" ht="30" customHeight="1">
      <c r="B13" s="1953">
        <v>3</v>
      </c>
      <c r="C13" s="1904" t="s">
        <v>7321</v>
      </c>
      <c r="D13" s="1931" t="s">
        <v>7322</v>
      </c>
      <c r="E13" s="1931" t="s">
        <v>7323</v>
      </c>
      <c r="F13" s="9"/>
      <c r="G13" s="1953">
        <v>1</v>
      </c>
      <c r="H13" s="1904" t="s">
        <v>3594</v>
      </c>
      <c r="I13" s="1965" t="s">
        <v>7518</v>
      </c>
      <c r="J13" s="1965" t="s">
        <v>7519</v>
      </c>
      <c r="L13" s="5281">
        <f>L12+1</f>
        <v>3</v>
      </c>
      <c r="M13" s="172" t="s">
        <v>3628</v>
      </c>
      <c r="N13" s="5292" t="s">
        <v>6974</v>
      </c>
      <c r="O13" s="5293" t="s">
        <v>6975</v>
      </c>
      <c r="P13" s="5292" t="s">
        <v>6976</v>
      </c>
      <c r="Q13" s="5292" t="s">
        <v>7921</v>
      </c>
      <c r="R13" s="5292" t="s">
        <v>7922</v>
      </c>
      <c r="S13" s="9"/>
      <c r="T13" s="5290"/>
      <c r="U13" s="5286" t="s">
        <v>3666</v>
      </c>
      <c r="V13" s="5291" t="s">
        <v>3673</v>
      </c>
      <c r="W13" s="9"/>
      <c r="X13" s="5283">
        <f t="shared" si="13"/>
        <v>6</v>
      </c>
      <c r="Y13" s="5284" t="s">
        <v>5644</v>
      </c>
      <c r="Z13" s="1969" t="s">
        <v>5645</v>
      </c>
      <c r="AA13" s="1970" t="s">
        <v>5646</v>
      </c>
      <c r="AB13" s="1969" t="s">
        <v>5647</v>
      </c>
      <c r="AC13" s="1969" t="s">
        <v>5647</v>
      </c>
      <c r="AD13" s="1969" t="s">
        <v>6695</v>
      </c>
      <c r="AE13" s="1969" t="s">
        <v>6696</v>
      </c>
      <c r="AG13" s="5285">
        <f t="shared" si="12"/>
        <v>6</v>
      </c>
      <c r="AH13" s="1946" t="s">
        <v>7114</v>
      </c>
      <c r="AI13" s="58" t="s">
        <v>7856</v>
      </c>
      <c r="AJ13" s="58" t="s">
        <v>7885</v>
      </c>
      <c r="AK13" s="1948" t="s">
        <v>7138</v>
      </c>
      <c r="AL13" s="1948"/>
      <c r="AM13" s="5295">
        <f>AM12+1</f>
        <v>2</v>
      </c>
      <c r="AN13" s="1944" t="s">
        <v>7157</v>
      </c>
      <c r="AO13" s="1931" t="s">
        <v>7158</v>
      </c>
      <c r="AP13" s="1931" t="s">
        <v>7159</v>
      </c>
      <c r="AR13" s="5294">
        <f>AR12+1</f>
        <v>2</v>
      </c>
      <c r="AS13" s="1897" t="s">
        <v>4388</v>
      </c>
      <c r="AT13" s="1935" t="s">
        <v>4389</v>
      </c>
      <c r="AU13" s="1935" t="s">
        <v>4448</v>
      </c>
      <c r="AV13" s="1935" t="s">
        <v>4390</v>
      </c>
      <c r="AW13" s="1935" t="s">
        <v>5982</v>
      </c>
      <c r="AX13" s="1935" t="s">
        <v>5983</v>
      </c>
      <c r="AY13" s="1897" t="s">
        <v>4388</v>
      </c>
      <c r="BA13" s="3">
        <v>1</v>
      </c>
    </row>
    <row r="14" spans="1:55" ht="30" customHeight="1">
      <c r="B14" s="1953">
        <v>4</v>
      </c>
      <c r="C14" s="1904" t="s">
        <v>7324</v>
      </c>
      <c r="D14" s="1931" t="s">
        <v>7325</v>
      </c>
      <c r="E14" s="1931" t="s">
        <v>7326</v>
      </c>
      <c r="F14" s="9"/>
      <c r="G14" s="1953">
        <v>2</v>
      </c>
      <c r="H14" s="1904" t="s">
        <v>3915</v>
      </c>
      <c r="I14" s="1965" t="s">
        <v>7520</v>
      </c>
      <c r="J14" s="1965" t="s">
        <v>7521</v>
      </c>
      <c r="L14" s="5281">
        <v>3</v>
      </c>
      <c r="M14" s="172" t="s">
        <v>6977</v>
      </c>
      <c r="N14" s="1975" t="s">
        <v>6978</v>
      </c>
      <c r="O14" s="1976" t="s">
        <v>6979</v>
      </c>
      <c r="P14" s="1975" t="s">
        <v>6980</v>
      </c>
      <c r="Q14" s="1975" t="s">
        <v>7923</v>
      </c>
      <c r="R14" s="1975" t="s">
        <v>7924</v>
      </c>
      <c r="S14" s="9"/>
      <c r="T14" s="5290"/>
      <c r="U14" s="5286" t="s">
        <v>3677</v>
      </c>
      <c r="V14" s="5291" t="s">
        <v>13511</v>
      </c>
      <c r="W14" s="9"/>
      <c r="X14" s="5283">
        <f t="shared" si="13"/>
        <v>7</v>
      </c>
      <c r="Y14" s="5284" t="s">
        <v>3601</v>
      </c>
      <c r="Z14" s="1969" t="s">
        <v>5583</v>
      </c>
      <c r="AA14" s="1970" t="s">
        <v>8239</v>
      </c>
      <c r="AB14" s="1969" t="s">
        <v>5584</v>
      </c>
      <c r="AC14" s="1969" t="s">
        <v>5584</v>
      </c>
      <c r="AD14" s="1969" t="s">
        <v>6651</v>
      </c>
      <c r="AE14" s="1969" t="s">
        <v>6652</v>
      </c>
      <c r="AG14" s="5285">
        <f t="shared" si="12"/>
        <v>7</v>
      </c>
      <c r="AH14" s="1946" t="s">
        <v>7115</v>
      </c>
      <c r="AI14" s="58" t="s">
        <v>7857</v>
      </c>
      <c r="AJ14" s="58" t="s">
        <v>7886</v>
      </c>
      <c r="AK14" s="1948" t="s">
        <v>7135</v>
      </c>
      <c r="AL14" s="1948"/>
      <c r="AM14" s="5295">
        <f t="shared" ref="AM14:AM18" si="14">AM13+1</f>
        <v>3</v>
      </c>
      <c r="AN14" s="1944" t="s">
        <v>7751</v>
      </c>
      <c r="AO14" s="1931" t="s">
        <v>7689</v>
      </c>
      <c r="AP14" s="1931" t="s">
        <v>7690</v>
      </c>
      <c r="AR14" s="5294">
        <f t="shared" ref="AR14:AR40" si="15">AR13+1</f>
        <v>3</v>
      </c>
      <c r="AS14" s="1897" t="s">
        <v>3582</v>
      </c>
      <c r="AT14" s="1935" t="s">
        <v>4391</v>
      </c>
      <c r="AU14" s="1936" t="s">
        <v>4449</v>
      </c>
      <c r="AV14" s="1935" t="s">
        <v>4392</v>
      </c>
      <c r="AW14" s="1935" t="s">
        <v>5984</v>
      </c>
      <c r="AX14" s="1935" t="s">
        <v>5985</v>
      </c>
      <c r="AY14" s="1897" t="s">
        <v>3582</v>
      </c>
      <c r="BA14" s="3">
        <v>1</v>
      </c>
    </row>
    <row r="15" spans="1:55" ht="30" customHeight="1">
      <c r="B15" s="1953">
        <v>5</v>
      </c>
      <c r="C15" s="1904" t="s">
        <v>7327</v>
      </c>
      <c r="D15" s="1931" t="s">
        <v>7328</v>
      </c>
      <c r="E15" s="1931" t="s">
        <v>7329</v>
      </c>
      <c r="F15" s="9"/>
      <c r="G15" s="1953">
        <v>3</v>
      </c>
      <c r="H15" s="1904" t="s">
        <v>3611</v>
      </c>
      <c r="I15" s="1965" t="s">
        <v>7522</v>
      </c>
      <c r="J15" s="1965" t="s">
        <v>7523</v>
      </c>
      <c r="L15" s="5281"/>
      <c r="M15" s="5276" t="s">
        <v>1670</v>
      </c>
      <c r="N15" s="1934"/>
      <c r="O15" s="1934"/>
      <c r="P15" s="9"/>
      <c r="Q15" s="9"/>
      <c r="R15" s="1943" t="s">
        <v>1670</v>
      </c>
      <c r="S15" s="9"/>
      <c r="T15" s="5290"/>
      <c r="U15" s="5286" t="s">
        <v>3684</v>
      </c>
      <c r="V15" s="5291" t="s">
        <v>116</v>
      </c>
      <c r="W15" s="9"/>
      <c r="X15" s="5283">
        <f t="shared" si="13"/>
        <v>8</v>
      </c>
      <c r="Y15" s="5284" t="s">
        <v>3609</v>
      </c>
      <c r="Z15" s="1969" t="s">
        <v>5585</v>
      </c>
      <c r="AA15" s="1970" t="s">
        <v>8240</v>
      </c>
      <c r="AB15" s="1969" t="s">
        <v>5586</v>
      </c>
      <c r="AC15" s="1969" t="s">
        <v>5586</v>
      </c>
      <c r="AD15" s="1969" t="s">
        <v>6653</v>
      </c>
      <c r="AE15" s="1969" t="s">
        <v>6654</v>
      </c>
      <c r="AG15" s="5285">
        <f t="shared" si="12"/>
        <v>8</v>
      </c>
      <c r="AH15" s="1946" t="s">
        <v>7116</v>
      </c>
      <c r="AI15" s="58" t="s">
        <v>7858</v>
      </c>
      <c r="AJ15" s="58" t="s">
        <v>7887</v>
      </c>
      <c r="AK15" s="1948" t="s">
        <v>7136</v>
      </c>
      <c r="AL15" s="1948"/>
      <c r="AM15" s="5295">
        <f t="shared" si="14"/>
        <v>4</v>
      </c>
      <c r="AN15" s="1944" t="s">
        <v>7160</v>
      </c>
      <c r="AO15" s="1931" t="s">
        <v>7161</v>
      </c>
      <c r="AP15" s="1931" t="s">
        <v>7162</v>
      </c>
      <c r="AR15" s="5294">
        <f t="shared" si="15"/>
        <v>4</v>
      </c>
      <c r="AS15" s="1897" t="s">
        <v>3588</v>
      </c>
      <c r="AT15" s="1935" t="s">
        <v>4393</v>
      </c>
      <c r="AU15" s="1935" t="s">
        <v>4394</v>
      </c>
      <c r="AV15" s="1935" t="s">
        <v>4395</v>
      </c>
      <c r="AW15" s="1935" t="s">
        <v>5986</v>
      </c>
      <c r="AX15" s="1935" t="s">
        <v>5987</v>
      </c>
      <c r="AY15" s="1897" t="s">
        <v>3588</v>
      </c>
      <c r="BA15" s="3">
        <v>1</v>
      </c>
    </row>
    <row r="16" spans="1:55" ht="30" customHeight="1">
      <c r="B16" s="1953">
        <v>6</v>
      </c>
      <c r="C16" s="1904" t="s">
        <v>7330</v>
      </c>
      <c r="D16" s="1931" t="s">
        <v>7331</v>
      </c>
      <c r="E16" s="1931" t="s">
        <v>7332</v>
      </c>
      <c r="F16" s="9"/>
      <c r="G16" s="1953">
        <v>4</v>
      </c>
      <c r="H16" s="1904" t="s">
        <v>3621</v>
      </c>
      <c r="I16" s="1965" t="s">
        <v>7524</v>
      </c>
      <c r="J16" s="1965" t="s">
        <v>7525</v>
      </c>
      <c r="L16" s="5281">
        <v>1</v>
      </c>
      <c r="M16" s="172" t="s">
        <v>3657</v>
      </c>
      <c r="N16" s="5288" t="s">
        <v>6981</v>
      </c>
      <c r="O16" s="5289" t="s">
        <v>6982</v>
      </c>
      <c r="P16" s="5288" t="s">
        <v>7925</v>
      </c>
      <c r="Q16" s="5288" t="s">
        <v>7926</v>
      </c>
      <c r="R16" s="5288" t="s">
        <v>7927</v>
      </c>
      <c r="S16" s="9"/>
      <c r="T16" s="5290"/>
      <c r="U16" s="5286" t="s">
        <v>3690</v>
      </c>
      <c r="V16" s="5291" t="s">
        <v>116</v>
      </c>
      <c r="W16" s="9"/>
      <c r="X16" s="5283">
        <f t="shared" si="13"/>
        <v>9</v>
      </c>
      <c r="Y16" s="5284" t="s">
        <v>5648</v>
      </c>
      <c r="Z16" s="1969" t="s">
        <v>5649</v>
      </c>
      <c r="AA16" s="1970" t="s">
        <v>5650</v>
      </c>
      <c r="AB16" s="1969" t="s">
        <v>5651</v>
      </c>
      <c r="AC16" s="1969" t="s">
        <v>5651</v>
      </c>
      <c r="AD16" s="1969" t="s">
        <v>6697</v>
      </c>
      <c r="AE16" s="1969" t="s">
        <v>6698</v>
      </c>
      <c r="AG16" s="5285">
        <f t="shared" si="12"/>
        <v>9</v>
      </c>
      <c r="AH16" s="1946" t="s">
        <v>3638</v>
      </c>
      <c r="AI16" s="58" t="s">
        <v>7859</v>
      </c>
      <c r="AJ16" s="58" t="s">
        <v>7888</v>
      </c>
      <c r="AK16" s="1948" t="s">
        <v>7139</v>
      </c>
      <c r="AL16" s="1948"/>
      <c r="AM16" s="5295">
        <f t="shared" si="14"/>
        <v>5</v>
      </c>
      <c r="AN16" s="1944" t="s">
        <v>7163</v>
      </c>
      <c r="AO16" s="1931" t="s">
        <v>7164</v>
      </c>
      <c r="AP16" s="1931" t="s">
        <v>7165</v>
      </c>
      <c r="AR16" s="5294">
        <f t="shared" si="15"/>
        <v>5</v>
      </c>
      <c r="AS16" s="1897" t="s">
        <v>3595</v>
      </c>
      <c r="AT16" s="1935" t="s">
        <v>4396</v>
      </c>
      <c r="AU16" s="1935" t="s">
        <v>4450</v>
      </c>
      <c r="AV16" s="1935" t="s">
        <v>4397</v>
      </c>
      <c r="AW16" s="1935" t="s">
        <v>5988</v>
      </c>
      <c r="AX16" s="1935" t="s">
        <v>5989</v>
      </c>
      <c r="AY16" s="1897" t="s">
        <v>3595</v>
      </c>
      <c r="BA16" s="3">
        <v>1</v>
      </c>
    </row>
    <row r="17" spans="2:53" ht="30" customHeight="1">
      <c r="B17" s="1953">
        <v>7</v>
      </c>
      <c r="C17" s="1904" t="s">
        <v>7333</v>
      </c>
      <c r="D17" s="1931" t="s">
        <v>7334</v>
      </c>
      <c r="E17" s="1931" t="s">
        <v>7335</v>
      </c>
      <c r="F17" s="9"/>
      <c r="G17" s="1953">
        <v>5</v>
      </c>
      <c r="H17" s="1960" t="s">
        <v>3629</v>
      </c>
      <c r="I17" s="1965" t="s">
        <v>7526</v>
      </c>
      <c r="J17" s="1965" t="s">
        <v>7527</v>
      </c>
      <c r="L17" s="5281">
        <f t="shared" ref="L17:L25" si="16">L16+1</f>
        <v>2</v>
      </c>
      <c r="M17" s="172" t="s">
        <v>6983</v>
      </c>
      <c r="N17" s="5292" t="s">
        <v>6984</v>
      </c>
      <c r="O17" s="5293" t="s">
        <v>6985</v>
      </c>
      <c r="P17" s="5292" t="s">
        <v>7928</v>
      </c>
      <c r="Q17" s="5292" t="s">
        <v>7929</v>
      </c>
      <c r="R17" s="5292" t="s">
        <v>7930</v>
      </c>
      <c r="S17" s="9"/>
      <c r="T17" s="5290"/>
      <c r="U17" s="5286" t="s">
        <v>13512</v>
      </c>
      <c r="V17" s="5291" t="s">
        <v>116</v>
      </c>
      <c r="W17" s="9"/>
      <c r="X17" s="5283">
        <f t="shared" si="13"/>
        <v>10</v>
      </c>
      <c r="Y17" s="5284" t="s">
        <v>5652</v>
      </c>
      <c r="Z17" s="1969" t="s">
        <v>5653</v>
      </c>
      <c r="AA17" s="1970" t="s">
        <v>8241</v>
      </c>
      <c r="AB17" s="1969" t="s">
        <v>5654</v>
      </c>
      <c r="AC17" s="1969" t="s">
        <v>5654</v>
      </c>
      <c r="AD17" s="1969" t="s">
        <v>6699</v>
      </c>
      <c r="AE17" s="1969" t="s">
        <v>6700</v>
      </c>
      <c r="AG17" s="5285">
        <f t="shared" si="12"/>
        <v>10</v>
      </c>
      <c r="AH17" s="1946" t="s">
        <v>7117</v>
      </c>
      <c r="AI17" s="58" t="s">
        <v>7860</v>
      </c>
      <c r="AJ17" s="1948" t="s">
        <v>7889</v>
      </c>
      <c r="AK17" s="1948" t="s">
        <v>7140</v>
      </c>
      <c r="AL17" s="1948"/>
      <c r="AM17" s="5295">
        <f t="shared" si="14"/>
        <v>6</v>
      </c>
      <c r="AN17" s="1944" t="s">
        <v>7166</v>
      </c>
      <c r="AO17" s="1931" t="s">
        <v>7167</v>
      </c>
      <c r="AP17" s="1931" t="s">
        <v>7168</v>
      </c>
      <c r="AR17" s="5294">
        <f t="shared" si="15"/>
        <v>6</v>
      </c>
      <c r="AS17" s="1897" t="s">
        <v>3603</v>
      </c>
      <c r="AT17" s="1935" t="s">
        <v>4398</v>
      </c>
      <c r="AU17" s="1935" t="s">
        <v>4399</v>
      </c>
      <c r="AV17" s="1935" t="s">
        <v>4400</v>
      </c>
      <c r="AW17" s="1935" t="s">
        <v>5990</v>
      </c>
      <c r="AX17" s="1935" t="s">
        <v>5991</v>
      </c>
      <c r="AY17" s="1897" t="s">
        <v>3603</v>
      </c>
      <c r="BA17" s="3">
        <v>1</v>
      </c>
    </row>
    <row r="18" spans="2:53" ht="30" customHeight="1">
      <c r="B18" s="1953">
        <v>8</v>
      </c>
      <c r="C18" s="1904" t="s">
        <v>7336</v>
      </c>
      <c r="D18" s="1931" t="s">
        <v>7337</v>
      </c>
      <c r="E18" s="1931" t="s">
        <v>7338</v>
      </c>
      <c r="F18" s="9"/>
      <c r="G18" s="1960"/>
      <c r="H18" s="1961"/>
      <c r="I18" s="1574"/>
      <c r="J18" s="1574"/>
      <c r="L18" s="5281">
        <f t="shared" si="16"/>
        <v>3</v>
      </c>
      <c r="M18" s="172" t="s">
        <v>3672</v>
      </c>
      <c r="N18" s="5292" t="s">
        <v>6986</v>
      </c>
      <c r="O18" s="5293" t="s">
        <v>6987</v>
      </c>
      <c r="P18" s="5292" t="s">
        <v>7931</v>
      </c>
      <c r="Q18" s="5292" t="s">
        <v>7932</v>
      </c>
      <c r="R18" s="5292" t="s">
        <v>7933</v>
      </c>
      <c r="S18" s="9"/>
      <c r="T18" s="5290"/>
      <c r="U18" s="5286" t="s">
        <v>13513</v>
      </c>
      <c r="V18" s="5291" t="s">
        <v>116</v>
      </c>
      <c r="W18" s="9"/>
      <c r="X18" s="5283">
        <f t="shared" si="13"/>
        <v>11</v>
      </c>
      <c r="Y18" s="5284" t="s">
        <v>5655</v>
      </c>
      <c r="Z18" s="1969" t="s">
        <v>5656</v>
      </c>
      <c r="AA18" s="1970" t="s">
        <v>8242</v>
      </c>
      <c r="AB18" s="1969" t="s">
        <v>5657</v>
      </c>
      <c r="AC18" s="1969" t="s">
        <v>5657</v>
      </c>
      <c r="AD18" s="1969" t="s">
        <v>6701</v>
      </c>
      <c r="AE18" s="1969" t="s">
        <v>6702</v>
      </c>
      <c r="AG18" s="5285">
        <f t="shared" si="12"/>
        <v>11</v>
      </c>
      <c r="AH18" s="1946" t="s">
        <v>7118</v>
      </c>
      <c r="AI18" s="58" t="s">
        <v>7861</v>
      </c>
      <c r="AJ18" s="58" t="s">
        <v>7890</v>
      </c>
      <c r="AK18" s="1948" t="s">
        <v>7141</v>
      </c>
      <c r="AL18" s="1948"/>
      <c r="AM18" s="5295">
        <f t="shared" si="14"/>
        <v>7</v>
      </c>
      <c r="AN18" s="1944" t="s">
        <v>7169</v>
      </c>
      <c r="AO18" s="1931" t="s">
        <v>7170</v>
      </c>
      <c r="AP18" s="1931" t="s">
        <v>7171</v>
      </c>
      <c r="AR18" s="5294">
        <f t="shared" si="15"/>
        <v>7</v>
      </c>
      <c r="AS18" s="1897" t="s">
        <v>3612</v>
      </c>
      <c r="AT18" s="1935" t="s">
        <v>4401</v>
      </c>
      <c r="AU18" s="1935" t="s">
        <v>4402</v>
      </c>
      <c r="AV18" s="1935" t="s">
        <v>4403</v>
      </c>
      <c r="AW18" s="1935" t="s">
        <v>5992</v>
      </c>
      <c r="AX18" s="1935" t="s">
        <v>5993</v>
      </c>
      <c r="AY18" s="1897" t="s">
        <v>3612</v>
      </c>
      <c r="BA18" s="3">
        <v>1</v>
      </c>
    </row>
    <row r="19" spans="2:53" ht="30" customHeight="1">
      <c r="B19" s="1953">
        <v>9</v>
      </c>
      <c r="C19" s="1904" t="s">
        <v>7339</v>
      </c>
      <c r="D19" s="1931" t="s">
        <v>7340</v>
      </c>
      <c r="E19" s="1931" t="s">
        <v>7341</v>
      </c>
      <c r="F19" s="9"/>
      <c r="G19" s="1901" t="s">
        <v>17</v>
      </c>
      <c r="H19" s="1903" t="s">
        <v>3652</v>
      </c>
      <c r="I19" s="1903" t="s">
        <v>7627</v>
      </c>
      <c r="J19" s="1903" t="s">
        <v>7628</v>
      </c>
      <c r="L19" s="5281">
        <f t="shared" si="16"/>
        <v>4</v>
      </c>
      <c r="M19" s="172" t="s">
        <v>3676</v>
      </c>
      <c r="N19" s="5292" t="s">
        <v>6988</v>
      </c>
      <c r="O19" s="5293" t="s">
        <v>6989</v>
      </c>
      <c r="P19" s="5292" t="s">
        <v>6990</v>
      </c>
      <c r="Q19" s="5292" t="s">
        <v>7934</v>
      </c>
      <c r="R19" s="5292" t="s">
        <v>7935</v>
      </c>
      <c r="S19" s="9"/>
      <c r="T19" s="5290"/>
      <c r="U19" s="5286" t="s">
        <v>3708</v>
      </c>
      <c r="V19" s="5291" t="s">
        <v>116</v>
      </c>
      <c r="W19" s="9"/>
      <c r="X19" s="5283">
        <f t="shared" si="13"/>
        <v>12</v>
      </c>
      <c r="Y19" s="5284" t="s">
        <v>3626</v>
      </c>
      <c r="Z19" s="1969" t="s">
        <v>5590</v>
      </c>
      <c r="AA19" s="1970" t="s">
        <v>8243</v>
      </c>
      <c r="AB19" s="1969" t="s">
        <v>5591</v>
      </c>
      <c r="AC19" s="1969" t="s">
        <v>5591</v>
      </c>
      <c r="AD19" s="1969" t="s">
        <v>6657</v>
      </c>
      <c r="AE19" s="1969" t="s">
        <v>6658</v>
      </c>
      <c r="AG19" s="5285">
        <f t="shared" si="12"/>
        <v>12</v>
      </c>
      <c r="AH19" s="1946" t="s">
        <v>7119</v>
      </c>
      <c r="AI19" s="58" t="s">
        <v>7862</v>
      </c>
      <c r="AJ19" s="1948" t="s">
        <v>7891</v>
      </c>
      <c r="AK19" s="1948" t="s">
        <v>7142</v>
      </c>
      <c r="AL19" s="1948"/>
      <c r="AM19" s="5295"/>
      <c r="AN19" s="1900" t="s">
        <v>1669</v>
      </c>
      <c r="AO19" s="1900"/>
      <c r="AP19" s="1977" t="s">
        <v>1669</v>
      </c>
      <c r="AR19" s="5294">
        <f t="shared" si="15"/>
        <v>8</v>
      </c>
      <c r="AS19" s="1897" t="s">
        <v>3622</v>
      </c>
      <c r="AT19" s="1935" t="s">
        <v>4404</v>
      </c>
      <c r="AU19" s="1935" t="s">
        <v>4405</v>
      </c>
      <c r="AV19" s="1935" t="s">
        <v>4406</v>
      </c>
      <c r="AW19" s="1935" t="s">
        <v>5994</v>
      </c>
      <c r="AX19" s="1935" t="s">
        <v>5995</v>
      </c>
      <c r="AY19" s="1897" t="s">
        <v>3622</v>
      </c>
      <c r="BA19" s="3">
        <v>1</v>
      </c>
    </row>
    <row r="20" spans="2:53" ht="30" customHeight="1">
      <c r="B20" s="1953">
        <v>10</v>
      </c>
      <c r="C20" s="1904" t="s">
        <v>7342</v>
      </c>
      <c r="D20" s="1931" t="s">
        <v>7343</v>
      </c>
      <c r="E20" s="1931" t="s">
        <v>7344</v>
      </c>
      <c r="F20" s="9"/>
      <c r="G20" s="1953">
        <v>1</v>
      </c>
      <c r="H20" s="1962" t="s">
        <v>7528</v>
      </c>
      <c r="I20" s="1965" t="s">
        <v>7529</v>
      </c>
      <c r="J20" s="1965" t="s">
        <v>7530</v>
      </c>
      <c r="L20" s="5281">
        <f t="shared" si="16"/>
        <v>5</v>
      </c>
      <c r="M20" s="172" t="s">
        <v>3682</v>
      </c>
      <c r="N20" s="1975" t="s">
        <v>6991</v>
      </c>
      <c r="O20" s="1976" t="s">
        <v>6992</v>
      </c>
      <c r="P20" s="1975" t="s">
        <v>7936</v>
      </c>
      <c r="Q20" s="1975" t="s">
        <v>7937</v>
      </c>
      <c r="R20" s="1975" t="s">
        <v>7938</v>
      </c>
      <c r="S20" s="9"/>
      <c r="T20" s="5290"/>
      <c r="U20" s="5286" t="s">
        <v>3716</v>
      </c>
      <c r="V20" s="5291" t="s">
        <v>116</v>
      </c>
      <c r="W20" s="9"/>
      <c r="X20" s="5283">
        <f t="shared" si="13"/>
        <v>13</v>
      </c>
      <c r="Y20" s="5284" t="s">
        <v>3636</v>
      </c>
      <c r="Z20" s="1969" t="s">
        <v>5592</v>
      </c>
      <c r="AA20" s="1970" t="s">
        <v>8244</v>
      </c>
      <c r="AB20" s="1969" t="s">
        <v>5593</v>
      </c>
      <c r="AC20" s="1969" t="s">
        <v>5593</v>
      </c>
      <c r="AD20" s="1969" t="s">
        <v>6659</v>
      </c>
      <c r="AE20" s="1969" t="s">
        <v>6660</v>
      </c>
      <c r="AG20" s="5285">
        <f t="shared" si="12"/>
        <v>13</v>
      </c>
      <c r="AH20" s="1946" t="s">
        <v>7118</v>
      </c>
      <c r="AI20" s="58" t="s">
        <v>7861</v>
      </c>
      <c r="AJ20" s="1948" t="s">
        <v>7890</v>
      </c>
      <c r="AK20" s="1948" t="s">
        <v>7141</v>
      </c>
      <c r="AL20" s="1948"/>
      <c r="AM20" s="5295">
        <v>1</v>
      </c>
      <c r="AN20" s="1944" t="s">
        <v>7680</v>
      </c>
      <c r="AO20" s="1931" t="s">
        <v>7683</v>
      </c>
      <c r="AP20" s="1931" t="s">
        <v>7686</v>
      </c>
      <c r="AR20" s="5294">
        <f t="shared" si="15"/>
        <v>9</v>
      </c>
      <c r="AS20" s="1897" t="s">
        <v>7463</v>
      </c>
      <c r="AT20" s="1935" t="s">
        <v>7464</v>
      </c>
      <c r="AU20" s="1936" t="s">
        <v>7465</v>
      </c>
      <c r="AV20" s="1935" t="s">
        <v>8100</v>
      </c>
      <c r="AW20" s="1935" t="s">
        <v>8101</v>
      </c>
      <c r="AX20" s="1935" t="s">
        <v>8102</v>
      </c>
      <c r="AY20" s="1897" t="s">
        <v>7463</v>
      </c>
      <c r="BA20" s="3">
        <v>1</v>
      </c>
    </row>
    <row r="21" spans="2:53" ht="30" customHeight="1">
      <c r="B21" s="1953">
        <v>11</v>
      </c>
      <c r="C21" s="1904" t="s">
        <v>7345</v>
      </c>
      <c r="D21" s="1931" t="s">
        <v>7346</v>
      </c>
      <c r="E21" s="1931" t="s">
        <v>7347</v>
      </c>
      <c r="F21" s="9"/>
      <c r="G21" s="1953">
        <v>2</v>
      </c>
      <c r="H21" s="1962" t="s">
        <v>7531</v>
      </c>
      <c r="I21" s="1965" t="s">
        <v>7532</v>
      </c>
      <c r="J21" s="1965" t="s">
        <v>7533</v>
      </c>
      <c r="L21" s="5281">
        <f t="shared" si="16"/>
        <v>6</v>
      </c>
      <c r="M21" s="172" t="s">
        <v>6993</v>
      </c>
      <c r="N21" s="1975" t="s">
        <v>6994</v>
      </c>
      <c r="O21" s="1976" t="s">
        <v>6995</v>
      </c>
      <c r="P21" s="1975" t="s">
        <v>6996</v>
      </c>
      <c r="Q21" s="1975" t="s">
        <v>7939</v>
      </c>
      <c r="R21" s="1975" t="s">
        <v>7940</v>
      </c>
      <c r="S21" s="9"/>
      <c r="T21" s="5290"/>
      <c r="U21" s="5286" t="s">
        <v>3731</v>
      </c>
      <c r="V21" s="5291" t="s">
        <v>116</v>
      </c>
      <c r="W21" s="9"/>
      <c r="X21" s="5283">
        <f t="shared" si="13"/>
        <v>14</v>
      </c>
      <c r="Y21" s="5284" t="s">
        <v>5658</v>
      </c>
      <c r="Z21" s="1969" t="s">
        <v>5659</v>
      </c>
      <c r="AA21" s="1970" t="s">
        <v>8245</v>
      </c>
      <c r="AB21" s="1969" t="s">
        <v>5660</v>
      </c>
      <c r="AC21" s="1969" t="s">
        <v>5660</v>
      </c>
      <c r="AD21" s="1969" t="s">
        <v>6703</v>
      </c>
      <c r="AE21" s="1969" t="s">
        <v>6704</v>
      </c>
      <c r="AG21" s="5285">
        <f t="shared" si="12"/>
        <v>14</v>
      </c>
      <c r="AH21" s="1946" t="s">
        <v>7120</v>
      </c>
      <c r="AI21" s="58" t="s">
        <v>7863</v>
      </c>
      <c r="AJ21" s="1948" t="s">
        <v>7892</v>
      </c>
      <c r="AK21" s="1948" t="s">
        <v>7143</v>
      </c>
      <c r="AL21" s="1948"/>
      <c r="AM21" s="5295">
        <f>AM20+1</f>
        <v>2</v>
      </c>
      <c r="AN21" s="1931" t="s">
        <v>7681</v>
      </c>
      <c r="AO21" s="1931" t="s">
        <v>7684</v>
      </c>
      <c r="AP21" s="1931" t="s">
        <v>7687</v>
      </c>
      <c r="AR21" s="5294">
        <f t="shared" si="15"/>
        <v>10</v>
      </c>
      <c r="AS21" s="1897" t="s">
        <v>5640</v>
      </c>
      <c r="AT21" s="1935" t="s">
        <v>5641</v>
      </c>
      <c r="AU21" s="1936" t="s">
        <v>5642</v>
      </c>
      <c r="AV21" s="1935" t="s">
        <v>5643</v>
      </c>
      <c r="AW21" s="1935" t="s">
        <v>6693</v>
      </c>
      <c r="AX21" s="1935" t="s">
        <v>6694</v>
      </c>
      <c r="AY21" s="1897" t="s">
        <v>5640</v>
      </c>
      <c r="BA21" s="3">
        <v>1</v>
      </c>
    </row>
    <row r="22" spans="2:53" ht="30" customHeight="1">
      <c r="B22" s="1953">
        <v>12</v>
      </c>
      <c r="C22" s="1904" t="s">
        <v>7348</v>
      </c>
      <c r="D22" s="1931" t="s">
        <v>7349</v>
      </c>
      <c r="E22" s="1931" t="s">
        <v>7350</v>
      </c>
      <c r="F22" s="9"/>
      <c r="G22" s="1953">
        <v>3</v>
      </c>
      <c r="H22" s="1962" t="s">
        <v>7534</v>
      </c>
      <c r="I22" s="1965" t="s">
        <v>7535</v>
      </c>
      <c r="J22" s="1965" t="s">
        <v>7536</v>
      </c>
      <c r="L22" s="5281">
        <f t="shared" si="16"/>
        <v>7</v>
      </c>
      <c r="M22" s="172" t="s">
        <v>6997</v>
      </c>
      <c r="N22" s="1975" t="s">
        <v>6998</v>
      </c>
      <c r="O22" s="1976" t="s">
        <v>6999</v>
      </c>
      <c r="P22" s="1975" t="s">
        <v>7000</v>
      </c>
      <c r="Q22" s="1975" t="s">
        <v>7941</v>
      </c>
      <c r="R22" s="1975" t="s">
        <v>7942</v>
      </c>
      <c r="S22" s="9"/>
      <c r="T22" s="5296"/>
      <c r="U22" s="5856"/>
      <c r="V22" s="5857"/>
      <c r="W22" s="9"/>
      <c r="X22" s="5283">
        <f t="shared" si="13"/>
        <v>15</v>
      </c>
      <c r="Y22" s="5284" t="s">
        <v>5661</v>
      </c>
      <c r="Z22" s="1969" t="s">
        <v>5662</v>
      </c>
      <c r="AA22" s="1970" t="s">
        <v>8246</v>
      </c>
      <c r="AB22" s="1969" t="s">
        <v>5663</v>
      </c>
      <c r="AC22" s="1969" t="s">
        <v>5663</v>
      </c>
      <c r="AD22" s="1969" t="s">
        <v>6705</v>
      </c>
      <c r="AE22" s="1969" t="s">
        <v>6706</v>
      </c>
      <c r="AG22" s="5285">
        <f t="shared" si="12"/>
        <v>15</v>
      </c>
      <c r="AH22" s="1946" t="s">
        <v>7120</v>
      </c>
      <c r="AI22" s="58" t="s">
        <v>7863</v>
      </c>
      <c r="AJ22" s="1948" t="s">
        <v>7892</v>
      </c>
      <c r="AK22" s="1948" t="s">
        <v>7143</v>
      </c>
      <c r="AL22" s="1948"/>
      <c r="AM22" s="5295">
        <f t="shared" ref="AM22:AM30" si="17">AM21+1</f>
        <v>3</v>
      </c>
      <c r="AN22" s="1931" t="s">
        <v>7682</v>
      </c>
      <c r="AO22" s="1931" t="s">
        <v>7685</v>
      </c>
      <c r="AP22" s="1931" t="s">
        <v>7688</v>
      </c>
      <c r="AR22" s="5294">
        <f t="shared" si="15"/>
        <v>11</v>
      </c>
      <c r="AS22" s="1897" t="s">
        <v>3630</v>
      </c>
      <c r="AT22" s="1935" t="s">
        <v>4407</v>
      </c>
      <c r="AU22" s="1935" t="s">
        <v>4408</v>
      </c>
      <c r="AV22" s="1935" t="s">
        <v>4409</v>
      </c>
      <c r="AW22" s="1935" t="s">
        <v>5996</v>
      </c>
      <c r="AX22" s="1935" t="s">
        <v>5997</v>
      </c>
      <c r="AY22" s="1897" t="s">
        <v>3630</v>
      </c>
      <c r="BA22" s="3">
        <v>1</v>
      </c>
    </row>
    <row r="23" spans="2:53" ht="30" customHeight="1">
      <c r="B23" s="1953">
        <v>13</v>
      </c>
      <c r="C23" s="1904" t="s">
        <v>7351</v>
      </c>
      <c r="D23" s="1931" t="s">
        <v>7352</v>
      </c>
      <c r="E23" s="1931" t="s">
        <v>7353</v>
      </c>
      <c r="F23" s="9"/>
      <c r="G23" s="1953">
        <v>4</v>
      </c>
      <c r="H23" s="1962" t="s">
        <v>7611</v>
      </c>
      <c r="I23" s="1965" t="s">
        <v>7612</v>
      </c>
      <c r="J23" s="1965" t="s">
        <v>7613</v>
      </c>
      <c r="L23" s="5281">
        <f t="shared" si="16"/>
        <v>8</v>
      </c>
      <c r="M23" s="172" t="s">
        <v>3703</v>
      </c>
      <c r="N23" s="1975" t="s">
        <v>7001</v>
      </c>
      <c r="O23" s="1976" t="s">
        <v>7002</v>
      </c>
      <c r="P23" s="1975" t="s">
        <v>7943</v>
      </c>
      <c r="Q23" s="1975" t="s">
        <v>7944</v>
      </c>
      <c r="R23" s="1975" t="s">
        <v>7945</v>
      </c>
      <c r="S23" s="9"/>
      <c r="T23" s="5282" t="s">
        <v>1670</v>
      </c>
      <c r="U23" s="5286" t="s">
        <v>3903</v>
      </c>
      <c r="V23" s="5291" t="s">
        <v>13514</v>
      </c>
      <c r="W23" s="9"/>
      <c r="X23" s="5283">
        <f t="shared" si="13"/>
        <v>16</v>
      </c>
      <c r="Y23" s="5284" t="s">
        <v>3645</v>
      </c>
      <c r="Z23" s="1969" t="s">
        <v>5594</v>
      </c>
      <c r="AA23" s="1970" t="s">
        <v>8247</v>
      </c>
      <c r="AB23" s="1969" t="s">
        <v>5595</v>
      </c>
      <c r="AC23" s="1969" t="s">
        <v>5595</v>
      </c>
      <c r="AD23" s="1969" t="s">
        <v>6661</v>
      </c>
      <c r="AE23" s="1969" t="s">
        <v>6662</v>
      </c>
      <c r="AG23" s="5285">
        <f t="shared" si="12"/>
        <v>16</v>
      </c>
      <c r="AH23" s="1946" t="s">
        <v>7121</v>
      </c>
      <c r="AI23" s="58" t="s">
        <v>7864</v>
      </c>
      <c r="AJ23" s="1948" t="s">
        <v>7893</v>
      </c>
      <c r="AK23" s="1948" t="s">
        <v>7144</v>
      </c>
      <c r="AL23" s="1948"/>
      <c r="AM23" s="5295">
        <f t="shared" si="17"/>
        <v>4</v>
      </c>
      <c r="AN23" s="1944" t="s">
        <v>7172</v>
      </c>
      <c r="AO23" s="1931" t="s">
        <v>7173</v>
      </c>
      <c r="AP23" s="1931" t="s">
        <v>7174</v>
      </c>
      <c r="AR23" s="5294">
        <f t="shared" si="15"/>
        <v>12</v>
      </c>
      <c r="AS23" s="1897" t="s">
        <v>3640</v>
      </c>
      <c r="AT23" s="1935" t="s">
        <v>4410</v>
      </c>
      <c r="AU23" s="1935" t="s">
        <v>4411</v>
      </c>
      <c r="AV23" s="1935" t="s">
        <v>8323</v>
      </c>
      <c r="AW23" s="1935" t="s">
        <v>8324</v>
      </c>
      <c r="AX23" s="1935" t="s">
        <v>8325</v>
      </c>
      <c r="AY23" s="1897" t="s">
        <v>3640</v>
      </c>
      <c r="BA23" s="3">
        <v>1</v>
      </c>
    </row>
    <row r="24" spans="2:53" ht="30" customHeight="1">
      <c r="B24" s="1953">
        <v>14</v>
      </c>
      <c r="C24" s="1904" t="s">
        <v>7354</v>
      </c>
      <c r="D24" s="1931" t="s">
        <v>7355</v>
      </c>
      <c r="E24" s="1931" t="s">
        <v>7356</v>
      </c>
      <c r="F24" s="9"/>
      <c r="G24" s="1953">
        <v>5</v>
      </c>
      <c r="H24" s="1962" t="s">
        <v>7537</v>
      </c>
      <c r="I24" s="1965" t="s">
        <v>7538</v>
      </c>
      <c r="J24" s="1965" t="s">
        <v>7539</v>
      </c>
      <c r="L24" s="5281">
        <f t="shared" si="16"/>
        <v>9</v>
      </c>
      <c r="M24" s="172" t="s">
        <v>3707</v>
      </c>
      <c r="N24" s="1975" t="s">
        <v>7003</v>
      </c>
      <c r="O24" s="1976" t="s">
        <v>7004</v>
      </c>
      <c r="P24" s="1975" t="s">
        <v>7005</v>
      </c>
      <c r="Q24" s="1975" t="s">
        <v>7946</v>
      </c>
      <c r="R24" s="1975" t="s">
        <v>7947</v>
      </c>
      <c r="S24" s="9"/>
      <c r="T24" s="5290"/>
      <c r="U24" s="5286" t="s">
        <v>3910</v>
      </c>
      <c r="V24" s="5291" t="s">
        <v>116</v>
      </c>
      <c r="W24" s="9"/>
      <c r="X24" s="5283">
        <f t="shared" si="13"/>
        <v>17</v>
      </c>
      <c r="Y24" s="5284" t="s">
        <v>3651</v>
      </c>
      <c r="Z24" s="1969" t="s">
        <v>5596</v>
      </c>
      <c r="AA24" s="1970" t="s">
        <v>8248</v>
      </c>
      <c r="AB24" s="1969" t="s">
        <v>5597</v>
      </c>
      <c r="AC24" s="1969" t="s">
        <v>5597</v>
      </c>
      <c r="AD24" s="1969" t="s">
        <v>6663</v>
      </c>
      <c r="AE24" s="1969" t="s">
        <v>6664</v>
      </c>
      <c r="AG24" s="5285">
        <f t="shared" si="12"/>
        <v>17</v>
      </c>
      <c r="AH24" s="1946" t="s">
        <v>7122</v>
      </c>
      <c r="AI24" s="58" t="s">
        <v>7865</v>
      </c>
      <c r="AJ24" s="1948" t="s">
        <v>7894</v>
      </c>
      <c r="AK24" s="1948" t="s">
        <v>7145</v>
      </c>
      <c r="AL24" s="1948"/>
      <c r="AM24" s="5295">
        <f t="shared" si="17"/>
        <v>5</v>
      </c>
      <c r="AN24" s="1944" t="s">
        <v>7175</v>
      </c>
      <c r="AO24" s="1931" t="s">
        <v>7176</v>
      </c>
      <c r="AP24" s="1931" t="s">
        <v>7177</v>
      </c>
      <c r="AR24" s="5294">
        <f t="shared" si="15"/>
        <v>13</v>
      </c>
      <c r="AS24" s="1897" t="s">
        <v>3618</v>
      </c>
      <c r="AT24" s="1935" t="s">
        <v>5587</v>
      </c>
      <c r="AU24" s="1936" t="s">
        <v>5588</v>
      </c>
      <c r="AV24" s="1935" t="s">
        <v>5589</v>
      </c>
      <c r="AW24" s="1935" t="s">
        <v>6655</v>
      </c>
      <c r="AX24" s="1935" t="s">
        <v>6656</v>
      </c>
      <c r="AY24" s="1897" t="s">
        <v>3618</v>
      </c>
      <c r="BA24" s="3">
        <v>1</v>
      </c>
    </row>
    <row r="25" spans="2:53" ht="30" customHeight="1">
      <c r="B25" s="1953">
        <v>15</v>
      </c>
      <c r="C25" s="1904" t="s">
        <v>7357</v>
      </c>
      <c r="D25" s="1931" t="s">
        <v>7358</v>
      </c>
      <c r="E25" s="1931" t="s">
        <v>7359</v>
      </c>
      <c r="F25" s="9"/>
      <c r="G25" s="1953">
        <v>6</v>
      </c>
      <c r="H25" s="1962" t="s">
        <v>7540</v>
      </c>
      <c r="I25" s="1965" t="s">
        <v>7541</v>
      </c>
      <c r="J25" s="1965" t="s">
        <v>7542</v>
      </c>
      <c r="L25" s="5281">
        <f t="shared" si="16"/>
        <v>10</v>
      </c>
      <c r="M25" s="172" t="s">
        <v>3714</v>
      </c>
      <c r="N25" s="1975" t="s">
        <v>7910</v>
      </c>
      <c r="O25" s="1976" t="s">
        <v>7911</v>
      </c>
      <c r="P25" s="1975" t="s">
        <v>7948</v>
      </c>
      <c r="Q25" s="1975" t="s">
        <v>7949</v>
      </c>
      <c r="R25" s="1975" t="s">
        <v>7950</v>
      </c>
      <c r="S25" s="9"/>
      <c r="T25" s="5290"/>
      <c r="U25" s="5286" t="s">
        <v>3916</v>
      </c>
      <c r="V25" s="5291" t="s">
        <v>116</v>
      </c>
      <c r="W25" s="9"/>
      <c r="X25" s="5283">
        <f t="shared" si="13"/>
        <v>18</v>
      </c>
      <c r="Y25" s="5284" t="s">
        <v>5664</v>
      </c>
      <c r="Z25" s="1969" t="s">
        <v>5665</v>
      </c>
      <c r="AA25" s="1970" t="s">
        <v>8249</v>
      </c>
      <c r="AB25" s="1969" t="s">
        <v>5666</v>
      </c>
      <c r="AC25" s="1969" t="s">
        <v>5666</v>
      </c>
      <c r="AD25" s="1969" t="s">
        <v>6707</v>
      </c>
      <c r="AE25" s="1969" t="s">
        <v>6708</v>
      </c>
      <c r="AG25" s="5285">
        <f t="shared" si="12"/>
        <v>18</v>
      </c>
      <c r="AH25" s="1946" t="s">
        <v>7123</v>
      </c>
      <c r="AI25" s="58" t="s">
        <v>7866</v>
      </c>
      <c r="AJ25" s="1948" t="s">
        <v>7895</v>
      </c>
      <c r="AK25" s="1948" t="s">
        <v>7146</v>
      </c>
      <c r="AL25" s="1948"/>
      <c r="AM25" s="5295">
        <f t="shared" si="17"/>
        <v>6</v>
      </c>
      <c r="AN25" s="1944" t="s">
        <v>7178</v>
      </c>
      <c r="AO25" s="1931" t="s">
        <v>7179</v>
      </c>
      <c r="AP25" s="1931" t="s">
        <v>7180</v>
      </c>
      <c r="AR25" s="5294">
        <f t="shared" si="15"/>
        <v>14</v>
      </c>
      <c r="AS25" s="1897" t="s">
        <v>3646</v>
      </c>
      <c r="AT25" s="1935" t="s">
        <v>4412</v>
      </c>
      <c r="AU25" s="1935" t="s">
        <v>4451</v>
      </c>
      <c r="AV25" s="1935" t="s">
        <v>4413</v>
      </c>
      <c r="AW25" s="1935" t="s">
        <v>5998</v>
      </c>
      <c r="AX25" s="1935" t="s">
        <v>5999</v>
      </c>
      <c r="AY25" s="1897" t="s">
        <v>3646</v>
      </c>
      <c r="BA25" s="3">
        <v>1</v>
      </c>
    </row>
    <row r="26" spans="2:53" ht="30" customHeight="1">
      <c r="B26" s="1953"/>
      <c r="C26" s="1904"/>
      <c r="D26" s="1956"/>
      <c r="E26" s="1956"/>
      <c r="F26" s="9"/>
      <c r="G26" s="1953">
        <v>7</v>
      </c>
      <c r="H26" s="1962" t="s">
        <v>7614</v>
      </c>
      <c r="I26" s="1965" t="s">
        <v>7615</v>
      </c>
      <c r="J26" s="1965" t="s">
        <v>7616</v>
      </c>
      <c r="L26" s="5281"/>
      <c r="M26" s="5276" t="s">
        <v>1671</v>
      </c>
      <c r="N26" s="1934"/>
      <c r="O26" s="1934"/>
      <c r="P26" s="9"/>
      <c r="Q26" s="9"/>
      <c r="R26" s="1943" t="s">
        <v>1671</v>
      </c>
      <c r="S26" s="9"/>
      <c r="T26" s="5290"/>
      <c r="U26" s="5286" t="s">
        <v>3920</v>
      </c>
      <c r="V26" s="5291" t="s">
        <v>116</v>
      </c>
      <c r="W26" s="9"/>
      <c r="X26" s="5283">
        <f t="shared" si="13"/>
        <v>19</v>
      </c>
      <c r="Y26" s="5284" t="s">
        <v>3655</v>
      </c>
      <c r="Z26" s="1969" t="s">
        <v>5598</v>
      </c>
      <c r="AA26" s="1970" t="s">
        <v>5599</v>
      </c>
      <c r="AB26" s="1969" t="s">
        <v>5600</v>
      </c>
      <c r="AC26" s="1969" t="s">
        <v>5600</v>
      </c>
      <c r="AD26" s="1969" t="s">
        <v>6665</v>
      </c>
      <c r="AE26" s="1969" t="s">
        <v>6666</v>
      </c>
      <c r="AG26" s="5285">
        <f t="shared" si="12"/>
        <v>19</v>
      </c>
      <c r="AH26" s="1946" t="s">
        <v>7124</v>
      </c>
      <c r="AI26" s="58" t="s">
        <v>7867</v>
      </c>
      <c r="AJ26" s="1948" t="s">
        <v>7896</v>
      </c>
      <c r="AK26" s="1948" t="s">
        <v>7144</v>
      </c>
      <c r="AL26" s="1948"/>
      <c r="AM26" s="5295">
        <f t="shared" si="17"/>
        <v>7</v>
      </c>
      <c r="AN26" s="1944" t="s">
        <v>7181</v>
      </c>
      <c r="AO26" s="1931" t="s">
        <v>7182</v>
      </c>
      <c r="AP26" s="1931" t="s">
        <v>7183</v>
      </c>
      <c r="AR26" s="5294">
        <f t="shared" si="15"/>
        <v>15</v>
      </c>
      <c r="AS26" s="1897" t="s">
        <v>3653</v>
      </c>
      <c r="AT26" s="1935" t="s">
        <v>4414</v>
      </c>
      <c r="AU26" s="1935" t="s">
        <v>4415</v>
      </c>
      <c r="AV26" s="1935" t="s">
        <v>4416</v>
      </c>
      <c r="AW26" s="1935" t="s">
        <v>6000</v>
      </c>
      <c r="AX26" s="1935" t="s">
        <v>5509</v>
      </c>
      <c r="AY26" s="1897" t="s">
        <v>3653</v>
      </c>
      <c r="BA26" s="3">
        <v>1</v>
      </c>
    </row>
    <row r="27" spans="2:53" ht="30" customHeight="1">
      <c r="B27" s="1953"/>
      <c r="C27" s="1904"/>
      <c r="D27" s="1956"/>
      <c r="E27" s="1956"/>
      <c r="F27" s="9"/>
      <c r="G27" s="1953">
        <v>8</v>
      </c>
      <c r="H27" s="1962" t="s">
        <v>7543</v>
      </c>
      <c r="I27" s="1965" t="s">
        <v>7544</v>
      </c>
      <c r="J27" s="1965" t="s">
        <v>7545</v>
      </c>
      <c r="L27" s="5281">
        <v>1</v>
      </c>
      <c r="M27" s="172" t="s">
        <v>7006</v>
      </c>
      <c r="N27" s="1975" t="s">
        <v>7007</v>
      </c>
      <c r="O27" s="1976" t="s">
        <v>7008</v>
      </c>
      <c r="P27" s="1975" t="s">
        <v>7951</v>
      </c>
      <c r="Q27" s="1975" t="s">
        <v>7952</v>
      </c>
      <c r="R27" s="1975" t="s">
        <v>7953</v>
      </c>
      <c r="S27" s="9"/>
      <c r="T27" s="5290"/>
      <c r="U27" s="5286" t="s">
        <v>3897</v>
      </c>
      <c r="V27" s="5291" t="s">
        <v>116</v>
      </c>
      <c r="W27" s="9"/>
      <c r="X27" s="5283">
        <f t="shared" si="13"/>
        <v>20</v>
      </c>
      <c r="Y27" s="5284" t="s">
        <v>5667</v>
      </c>
      <c r="Z27" s="1969" t="s">
        <v>5668</v>
      </c>
      <c r="AA27" s="1970" t="s">
        <v>8250</v>
      </c>
      <c r="AB27" s="1969" t="s">
        <v>5669</v>
      </c>
      <c r="AC27" s="1969" t="s">
        <v>5669</v>
      </c>
      <c r="AD27" s="1969" t="s">
        <v>6709</v>
      </c>
      <c r="AE27" s="1969" t="s">
        <v>6710</v>
      </c>
      <c r="AG27" s="5285">
        <f t="shared" si="12"/>
        <v>20</v>
      </c>
      <c r="AH27" s="1946" t="s">
        <v>7125</v>
      </c>
      <c r="AI27" s="58" t="s">
        <v>7868</v>
      </c>
      <c r="AJ27" s="1948" t="s">
        <v>7897</v>
      </c>
      <c r="AK27" s="1948" t="s">
        <v>7145</v>
      </c>
      <c r="AL27" s="1948"/>
      <c r="AM27" s="5295">
        <f t="shared" si="17"/>
        <v>8</v>
      </c>
      <c r="AN27" s="1944" t="s">
        <v>7752</v>
      </c>
      <c r="AO27" s="1931" t="s">
        <v>7691</v>
      </c>
      <c r="AP27" s="1931" t="s">
        <v>7692</v>
      </c>
      <c r="AR27" s="5294">
        <f t="shared" si="15"/>
        <v>16</v>
      </c>
      <c r="AS27" s="1897" t="s">
        <v>3658</v>
      </c>
      <c r="AT27" s="1935" t="s">
        <v>7466</v>
      </c>
      <c r="AU27" s="1936" t="s">
        <v>7467</v>
      </c>
      <c r="AV27" s="1935" t="s">
        <v>8103</v>
      </c>
      <c r="AW27" s="1935" t="s">
        <v>8104</v>
      </c>
      <c r="AX27" s="1935" t="s">
        <v>8105</v>
      </c>
      <c r="AY27" s="1897" t="s">
        <v>3658</v>
      </c>
      <c r="BA27" s="3">
        <v>1</v>
      </c>
    </row>
    <row r="28" spans="2:53" ht="30" customHeight="1">
      <c r="B28" s="1953"/>
      <c r="C28" s="1954"/>
      <c r="D28" s="1957" t="s">
        <v>3566</v>
      </c>
      <c r="E28" s="1958"/>
      <c r="F28" s="9"/>
      <c r="G28" s="1960"/>
      <c r="H28" s="1961"/>
      <c r="I28" s="1574"/>
      <c r="J28" s="1574"/>
      <c r="L28" s="5281"/>
      <c r="M28" s="5276" t="s">
        <v>3754</v>
      </c>
      <c r="N28" s="1934"/>
      <c r="O28" s="1934"/>
      <c r="P28" s="9"/>
      <c r="Q28" s="9"/>
      <c r="R28" s="1943" t="s">
        <v>3754</v>
      </c>
      <c r="S28" s="9"/>
      <c r="T28" s="5290"/>
      <c r="U28" s="5286" t="s">
        <v>591</v>
      </c>
      <c r="V28" s="5291" t="s">
        <v>4057</v>
      </c>
      <c r="W28" s="9"/>
      <c r="X28" s="5283">
        <f t="shared" si="13"/>
        <v>21</v>
      </c>
      <c r="Y28" s="5284" t="s">
        <v>5670</v>
      </c>
      <c r="Z28" s="1969" t="s">
        <v>5671</v>
      </c>
      <c r="AA28" s="1970" t="s">
        <v>8251</v>
      </c>
      <c r="AB28" s="1969" t="s">
        <v>5672</v>
      </c>
      <c r="AC28" s="1969" t="s">
        <v>5672</v>
      </c>
      <c r="AD28" s="1969" t="s">
        <v>6711</v>
      </c>
      <c r="AE28" s="1969" t="s">
        <v>6712</v>
      </c>
      <c r="AG28" s="5285">
        <f t="shared" si="12"/>
        <v>21</v>
      </c>
      <c r="AH28" s="1946" t="s">
        <v>3715</v>
      </c>
      <c r="AI28" s="58" t="s">
        <v>7869</v>
      </c>
      <c r="AJ28" s="1948" t="s">
        <v>7898</v>
      </c>
      <c r="AK28" s="1948" t="s">
        <v>7144</v>
      </c>
      <c r="AL28" s="1948"/>
      <c r="AM28" s="5295">
        <f t="shared" si="17"/>
        <v>9</v>
      </c>
      <c r="AN28" s="1944" t="s">
        <v>7184</v>
      </c>
      <c r="AO28" s="1931" t="s">
        <v>7185</v>
      </c>
      <c r="AP28" s="1931" t="s">
        <v>7186</v>
      </c>
      <c r="AR28" s="5294">
        <f t="shared" si="15"/>
        <v>17</v>
      </c>
      <c r="AS28" s="1897" t="s">
        <v>3666</v>
      </c>
      <c r="AT28" s="1935" t="s">
        <v>4417</v>
      </c>
      <c r="AU28" s="1936" t="s">
        <v>4452</v>
      </c>
      <c r="AV28" s="1935" t="s">
        <v>4418</v>
      </c>
      <c r="AW28" s="1935" t="s">
        <v>6001</v>
      </c>
      <c r="AX28" s="1935" t="s">
        <v>6002</v>
      </c>
      <c r="AY28" s="1897" t="s">
        <v>3666</v>
      </c>
      <c r="BA28" s="3">
        <v>1</v>
      </c>
    </row>
    <row r="29" spans="2:53" ht="30" customHeight="1">
      <c r="B29" s="1953"/>
      <c r="C29" s="1954"/>
      <c r="D29" s="1957" t="s">
        <v>3576</v>
      </c>
      <c r="E29" s="1958"/>
      <c r="F29" s="9"/>
      <c r="G29" s="1901" t="s">
        <v>2852</v>
      </c>
      <c r="H29" s="1903" t="s">
        <v>3760</v>
      </c>
      <c r="I29" s="1903" t="s">
        <v>7625</v>
      </c>
      <c r="J29" s="1903" t="s">
        <v>7626</v>
      </c>
      <c r="L29" s="5281">
        <v>1</v>
      </c>
      <c r="M29" s="172" t="s">
        <v>7009</v>
      </c>
      <c r="N29" s="1975" t="s">
        <v>7010</v>
      </c>
      <c r="O29" s="1976" t="s">
        <v>7011</v>
      </c>
      <c r="P29" s="1975" t="s">
        <v>7954</v>
      </c>
      <c r="Q29" s="1975" t="s">
        <v>7955</v>
      </c>
      <c r="R29" s="1975" t="s">
        <v>7956</v>
      </c>
      <c r="S29" s="9"/>
      <c r="T29" s="5290"/>
      <c r="U29" s="5286" t="s">
        <v>4065</v>
      </c>
      <c r="V29" s="5291" t="s">
        <v>116</v>
      </c>
      <c r="W29" s="9"/>
      <c r="X29" s="5283">
        <f t="shared" si="13"/>
        <v>22</v>
      </c>
      <c r="Y29" s="5284" t="s">
        <v>5673</v>
      </c>
      <c r="Z29" s="1969" t="s">
        <v>5674</v>
      </c>
      <c r="AA29" s="1970" t="s">
        <v>5675</v>
      </c>
      <c r="AB29" s="1969" t="s">
        <v>5676</v>
      </c>
      <c r="AC29" s="1969" t="s">
        <v>5676</v>
      </c>
      <c r="AD29" s="1969" t="s">
        <v>6713</v>
      </c>
      <c r="AE29" s="1969" t="s">
        <v>6714</v>
      </c>
      <c r="AG29" s="5285">
        <f t="shared" si="12"/>
        <v>22</v>
      </c>
      <c r="AH29" s="1946" t="s">
        <v>7126</v>
      </c>
      <c r="AI29" s="58" t="s">
        <v>7870</v>
      </c>
      <c r="AJ29" s="1948" t="s">
        <v>7899</v>
      </c>
      <c r="AK29" s="1948" t="s">
        <v>7147</v>
      </c>
      <c r="AL29" s="1948"/>
      <c r="AM29" s="5295">
        <f t="shared" si="17"/>
        <v>10</v>
      </c>
      <c r="AN29" s="1944" t="s">
        <v>7187</v>
      </c>
      <c r="AO29" s="1931" t="s">
        <v>7188</v>
      </c>
      <c r="AP29" s="1931" t="s">
        <v>7189</v>
      </c>
      <c r="AR29" s="5294">
        <f t="shared" si="15"/>
        <v>18</v>
      </c>
      <c r="AS29" s="1897" t="s">
        <v>3673</v>
      </c>
      <c r="AT29" s="1935" t="s">
        <v>4419</v>
      </c>
      <c r="AU29" s="1935" t="s">
        <v>4420</v>
      </c>
      <c r="AV29" s="1935" t="s">
        <v>4421</v>
      </c>
      <c r="AW29" s="1935" t="s">
        <v>6003</v>
      </c>
      <c r="AX29" s="1935" t="s">
        <v>6004</v>
      </c>
      <c r="AY29" s="1897" t="s">
        <v>3673</v>
      </c>
      <c r="BA29" s="3">
        <v>1</v>
      </c>
    </row>
    <row r="30" spans="2:53" ht="30" customHeight="1">
      <c r="B30" s="1953"/>
      <c r="E30" s="1959"/>
      <c r="F30" s="9"/>
      <c r="G30" s="1953">
        <v>1</v>
      </c>
      <c r="H30" s="1962" t="s">
        <v>7617</v>
      </c>
      <c r="I30" s="1965" t="s">
        <v>7618</v>
      </c>
      <c r="J30" s="1965" t="s">
        <v>7619</v>
      </c>
      <c r="L30" s="5281">
        <f>L29+1</f>
        <v>2</v>
      </c>
      <c r="M30" s="172" t="s">
        <v>7012</v>
      </c>
      <c r="N30" s="1975" t="s">
        <v>7013</v>
      </c>
      <c r="O30" s="1976" t="s">
        <v>7014</v>
      </c>
      <c r="P30" s="1975" t="s">
        <v>7957</v>
      </c>
      <c r="Q30" s="1975" t="s">
        <v>7958</v>
      </c>
      <c r="R30" s="1975" t="s">
        <v>7959</v>
      </c>
      <c r="S30" s="9"/>
      <c r="T30" s="5290"/>
      <c r="U30" s="5286" t="s">
        <v>13515</v>
      </c>
      <c r="V30" s="5291" t="s">
        <v>3889</v>
      </c>
      <c r="W30" s="9"/>
      <c r="X30" s="5283">
        <f t="shared" si="13"/>
        <v>23</v>
      </c>
      <c r="Y30" s="5284" t="s">
        <v>5677</v>
      </c>
      <c r="Z30" s="1969" t="s">
        <v>5678</v>
      </c>
      <c r="AA30" s="1970" t="s">
        <v>8252</v>
      </c>
      <c r="AB30" s="1969" t="s">
        <v>5679</v>
      </c>
      <c r="AC30" s="1969" t="s">
        <v>5679</v>
      </c>
      <c r="AD30" s="1969" t="s">
        <v>6715</v>
      </c>
      <c r="AE30" s="1969" t="s">
        <v>6716</v>
      </c>
      <c r="AG30" s="5285">
        <f t="shared" si="12"/>
        <v>23</v>
      </c>
      <c r="AH30" s="1946" t="s">
        <v>3729</v>
      </c>
      <c r="AI30" s="58" t="s">
        <v>7871</v>
      </c>
      <c r="AJ30" s="1948" t="s">
        <v>7900</v>
      </c>
      <c r="AK30" s="1948" t="s">
        <v>7148</v>
      </c>
      <c r="AL30" s="1948"/>
      <c r="AM30" s="5295">
        <f t="shared" si="17"/>
        <v>11</v>
      </c>
      <c r="AN30" s="1944" t="s">
        <v>7190</v>
      </c>
      <c r="AO30" s="1931" t="s">
        <v>7191</v>
      </c>
      <c r="AP30" s="1931" t="s">
        <v>7192</v>
      </c>
      <c r="AR30" s="5294">
        <f t="shared" si="15"/>
        <v>19</v>
      </c>
      <c r="AS30" s="1897" t="s">
        <v>3677</v>
      </c>
      <c r="AT30" s="1935" t="s">
        <v>4422</v>
      </c>
      <c r="AU30" s="1935" t="s">
        <v>4423</v>
      </c>
      <c r="AV30" s="1935" t="s">
        <v>4424</v>
      </c>
      <c r="AW30" s="1935" t="s">
        <v>6005</v>
      </c>
      <c r="AX30" s="1935" t="s">
        <v>6006</v>
      </c>
      <c r="AY30" s="1897" t="s">
        <v>3677</v>
      </c>
      <c r="BA30" s="3">
        <v>1</v>
      </c>
    </row>
    <row r="31" spans="2:53" ht="30" customHeight="1">
      <c r="B31" s="1953"/>
      <c r="C31" s="1903"/>
      <c r="D31" s="1959"/>
      <c r="E31" s="1959"/>
      <c r="F31" s="9"/>
      <c r="G31" s="1953">
        <v>2</v>
      </c>
      <c r="H31" s="1962" t="s">
        <v>7546</v>
      </c>
      <c r="I31" s="1965" t="s">
        <v>7547</v>
      </c>
      <c r="J31" s="1965" t="s">
        <v>7548</v>
      </c>
      <c r="L31" s="5281">
        <f>L30+1</f>
        <v>3</v>
      </c>
      <c r="M31" s="172" t="s">
        <v>3772</v>
      </c>
      <c r="N31" s="1975" t="s">
        <v>7015</v>
      </c>
      <c r="O31" s="1976" t="s">
        <v>7016</v>
      </c>
      <c r="P31" s="1975" t="s">
        <v>7960</v>
      </c>
      <c r="Q31" s="1975" t="s">
        <v>7961</v>
      </c>
      <c r="R31" s="1975" t="s">
        <v>7962</v>
      </c>
      <c r="S31" s="9"/>
      <c r="T31" s="5290"/>
      <c r="U31" s="5286" t="s">
        <v>3878</v>
      </c>
      <c r="V31" s="5291" t="s">
        <v>116</v>
      </c>
      <c r="W31" s="9"/>
      <c r="X31" s="5283">
        <f t="shared" si="13"/>
        <v>24</v>
      </c>
      <c r="Y31" s="5284" t="s">
        <v>5680</v>
      </c>
      <c r="Z31" s="1969" t="s">
        <v>5681</v>
      </c>
      <c r="AA31" s="1970" t="s">
        <v>8253</v>
      </c>
      <c r="AB31" s="1969" t="s">
        <v>5682</v>
      </c>
      <c r="AC31" s="1969" t="s">
        <v>5682</v>
      </c>
      <c r="AD31" s="1969" t="s">
        <v>6717</v>
      </c>
      <c r="AE31" s="1969" t="s">
        <v>6718</v>
      </c>
      <c r="AG31" s="5285">
        <f t="shared" si="12"/>
        <v>24</v>
      </c>
      <c r="AH31" s="1946" t="s">
        <v>3739</v>
      </c>
      <c r="AI31" s="58" t="s">
        <v>7872</v>
      </c>
      <c r="AJ31" s="1948" t="s">
        <v>7901</v>
      </c>
      <c r="AK31" s="1948" t="s">
        <v>7149</v>
      </c>
      <c r="AL31" s="1948"/>
      <c r="AM31" s="5295"/>
      <c r="AN31" s="1900" t="s">
        <v>1670</v>
      </c>
      <c r="AO31" s="1900"/>
      <c r="AP31" s="1977" t="s">
        <v>1670</v>
      </c>
      <c r="AR31" s="5294">
        <f t="shared" si="15"/>
        <v>20</v>
      </c>
      <c r="AS31" s="1897" t="s">
        <v>3684</v>
      </c>
      <c r="AT31" s="1935" t="s">
        <v>4453</v>
      </c>
      <c r="AU31" s="1936" t="s">
        <v>4425</v>
      </c>
      <c r="AV31" s="1935" t="s">
        <v>4426</v>
      </c>
      <c r="AW31" s="1935" t="s">
        <v>5510</v>
      </c>
      <c r="AX31" s="1935" t="s">
        <v>5511</v>
      </c>
      <c r="AY31" s="1897" t="s">
        <v>3684</v>
      </c>
      <c r="BA31" s="3">
        <v>1</v>
      </c>
    </row>
    <row r="32" spans="2:53" ht="30" customHeight="1">
      <c r="B32" s="1904"/>
      <c r="C32" s="1991" t="s">
        <v>3814</v>
      </c>
      <c r="D32" s="1990" t="s">
        <v>7673</v>
      </c>
      <c r="E32" s="1990" t="s">
        <v>7674</v>
      </c>
      <c r="F32" s="9"/>
      <c r="G32" s="1963"/>
      <c r="H32" s="5863" t="s">
        <v>7620</v>
      </c>
      <c r="I32" s="5863" t="s">
        <v>7621</v>
      </c>
      <c r="J32" s="5863" t="s">
        <v>7622</v>
      </c>
      <c r="L32" s="5281">
        <f>L31+1</f>
        <v>4</v>
      </c>
      <c r="M32" s="172" t="s">
        <v>3780</v>
      </c>
      <c r="N32" s="1975" t="s">
        <v>7017</v>
      </c>
      <c r="O32" s="1976" t="s">
        <v>7018</v>
      </c>
      <c r="P32" s="1975" t="s">
        <v>7963</v>
      </c>
      <c r="Q32" s="1975" t="s">
        <v>7964</v>
      </c>
      <c r="R32" s="1975" t="s">
        <v>7965</v>
      </c>
      <c r="S32" s="9"/>
      <c r="T32" s="5290"/>
      <c r="U32" s="5286" t="s">
        <v>13516</v>
      </c>
      <c r="V32" s="5291"/>
      <c r="W32" s="9"/>
      <c r="X32" s="5283">
        <f t="shared" si="13"/>
        <v>25</v>
      </c>
      <c r="Y32" s="5284" t="s">
        <v>5683</v>
      </c>
      <c r="Z32" s="1969" t="s">
        <v>5684</v>
      </c>
      <c r="AA32" s="1970" t="s">
        <v>8254</v>
      </c>
      <c r="AB32" s="1969" t="s">
        <v>5685</v>
      </c>
      <c r="AC32" s="1969" t="s">
        <v>5685</v>
      </c>
      <c r="AD32" s="1969" t="s">
        <v>6719</v>
      </c>
      <c r="AE32" s="1969" t="s">
        <v>6720</v>
      </c>
      <c r="AG32" s="5285">
        <f t="shared" si="12"/>
        <v>25</v>
      </c>
      <c r="AH32" s="1946" t="s">
        <v>7127</v>
      </c>
      <c r="AI32" s="58" t="s">
        <v>7873</v>
      </c>
      <c r="AJ32" s="1948" t="s">
        <v>7902</v>
      </c>
      <c r="AK32" s="1948" t="s">
        <v>7150</v>
      </c>
      <c r="AL32" s="1948"/>
      <c r="AM32" s="5295">
        <v>1</v>
      </c>
      <c r="AN32" s="1944" t="s">
        <v>7753</v>
      </c>
      <c r="AO32" s="1931" t="s">
        <v>7693</v>
      </c>
      <c r="AP32" s="1931" t="s">
        <v>7694</v>
      </c>
      <c r="AR32" s="5294">
        <f t="shared" si="15"/>
        <v>21</v>
      </c>
      <c r="AS32" s="1897" t="s">
        <v>3690</v>
      </c>
      <c r="AT32" s="1935" t="s">
        <v>4427</v>
      </c>
      <c r="AU32" s="1935" t="s">
        <v>4428</v>
      </c>
      <c r="AV32" s="1935" t="s">
        <v>4429</v>
      </c>
      <c r="AW32" s="1935" t="s">
        <v>6007</v>
      </c>
      <c r="AX32" s="1935" t="s">
        <v>6008</v>
      </c>
      <c r="AY32" s="1897" t="s">
        <v>3690</v>
      </c>
      <c r="BA32" s="3">
        <v>1</v>
      </c>
    </row>
    <row r="33" spans="2:53" ht="30" customHeight="1">
      <c r="B33" s="1955"/>
      <c r="C33" s="1903" t="s">
        <v>7661</v>
      </c>
      <c r="D33" s="1903" t="s">
        <v>7662</v>
      </c>
      <c r="E33" s="1903" t="s">
        <v>7663</v>
      </c>
      <c r="F33" s="9"/>
      <c r="G33" s="1963"/>
      <c r="H33" s="5863"/>
      <c r="I33" s="5863"/>
      <c r="J33" s="5863"/>
      <c r="L33" s="5281">
        <f>L32+1</f>
        <v>5</v>
      </c>
      <c r="M33" s="172" t="s">
        <v>7019</v>
      </c>
      <c r="N33" s="1975" t="s">
        <v>7020</v>
      </c>
      <c r="O33" s="1976" t="s">
        <v>7021</v>
      </c>
      <c r="P33" s="1975" t="s">
        <v>7966</v>
      </c>
      <c r="Q33" s="1975" t="s">
        <v>7967</v>
      </c>
      <c r="R33" s="1975" t="s">
        <v>7968</v>
      </c>
      <c r="S33" s="9"/>
      <c r="T33" s="5296"/>
      <c r="U33" s="5856"/>
      <c r="V33" s="5857"/>
      <c r="W33" s="9"/>
      <c r="X33" s="5283">
        <f t="shared" si="13"/>
        <v>26</v>
      </c>
      <c r="Y33" s="5284" t="s">
        <v>5686</v>
      </c>
      <c r="Z33" s="1969" t="s">
        <v>5687</v>
      </c>
      <c r="AA33" s="1970" t="s">
        <v>8255</v>
      </c>
      <c r="AB33" s="1969" t="s">
        <v>5688</v>
      </c>
      <c r="AC33" s="1969" t="s">
        <v>5688</v>
      </c>
      <c r="AD33" s="1969" t="s">
        <v>6721</v>
      </c>
      <c r="AE33" s="1969" t="s">
        <v>6722</v>
      </c>
      <c r="AG33" s="5285">
        <f t="shared" si="12"/>
        <v>26</v>
      </c>
      <c r="AH33" s="1946" t="s">
        <v>7128</v>
      </c>
      <c r="AI33" s="58" t="s">
        <v>7874</v>
      </c>
      <c r="AJ33" s="1948" t="s">
        <v>7903</v>
      </c>
      <c r="AK33" s="1948" t="s">
        <v>7151</v>
      </c>
      <c r="AL33" s="1948"/>
      <c r="AM33" s="5295">
        <f>AM32+1</f>
        <v>2</v>
      </c>
      <c r="AN33" s="1944" t="s">
        <v>7193</v>
      </c>
      <c r="AO33" s="1931" t="s">
        <v>7194</v>
      </c>
      <c r="AP33" s="1931" t="s">
        <v>7195</v>
      </c>
      <c r="AR33" s="5294">
        <f t="shared" si="15"/>
        <v>22</v>
      </c>
      <c r="AS33" s="1897" t="s">
        <v>4430</v>
      </c>
      <c r="AT33" s="1935" t="s">
        <v>4431</v>
      </c>
      <c r="AU33" s="1935" t="s">
        <v>4432</v>
      </c>
      <c r="AV33" s="1935" t="s">
        <v>4433</v>
      </c>
      <c r="AW33" s="1935" t="s">
        <v>6009</v>
      </c>
      <c r="AX33" s="1935" t="s">
        <v>6010</v>
      </c>
      <c r="AY33" s="1897" t="s">
        <v>4430</v>
      </c>
      <c r="BA33" s="3">
        <v>1</v>
      </c>
    </row>
    <row r="34" spans="2:53" ht="30" customHeight="1">
      <c r="B34" s="1953">
        <v>1</v>
      </c>
      <c r="C34" s="1904" t="s">
        <v>4095</v>
      </c>
      <c r="D34" s="1931" t="s">
        <v>7425</v>
      </c>
      <c r="E34" s="1931" t="s">
        <v>8343</v>
      </c>
      <c r="F34" s="9"/>
      <c r="G34" s="1901" t="s">
        <v>2853</v>
      </c>
      <c r="H34" s="1903" t="s">
        <v>3823</v>
      </c>
      <c r="I34" s="1903" t="s">
        <v>7623</v>
      </c>
      <c r="J34" s="1903" t="s">
        <v>7624</v>
      </c>
      <c r="L34" s="5281">
        <f t="shared" ref="L34" si="18">L33+1</f>
        <v>6</v>
      </c>
      <c r="M34" s="172" t="s">
        <v>7022</v>
      </c>
      <c r="N34" s="1975" t="s">
        <v>7023</v>
      </c>
      <c r="O34" s="1976" t="s">
        <v>7024</v>
      </c>
      <c r="P34" s="1975" t="s">
        <v>7969</v>
      </c>
      <c r="Q34" s="1975" t="s">
        <v>7970</v>
      </c>
      <c r="R34" s="1975" t="s">
        <v>7971</v>
      </c>
      <c r="S34" s="9"/>
      <c r="T34" s="5282" t="s">
        <v>1671</v>
      </c>
      <c r="U34" s="5286" t="s">
        <v>13517</v>
      </c>
      <c r="V34" s="5291" t="s">
        <v>13518</v>
      </c>
      <c r="W34" s="9"/>
      <c r="X34" s="5283">
        <f t="shared" si="13"/>
        <v>27</v>
      </c>
      <c r="Y34" s="5284" t="s">
        <v>3670</v>
      </c>
      <c r="Z34" s="1969" t="s">
        <v>5603</v>
      </c>
      <c r="AA34" s="1970" t="s">
        <v>8256</v>
      </c>
      <c r="AB34" s="1969" t="s">
        <v>5604</v>
      </c>
      <c r="AC34" s="1969" t="s">
        <v>5604</v>
      </c>
      <c r="AD34" s="1969" t="s">
        <v>6669</v>
      </c>
      <c r="AE34" s="1969" t="s">
        <v>6670</v>
      </c>
      <c r="AG34" s="5285">
        <f t="shared" si="12"/>
        <v>27</v>
      </c>
      <c r="AH34" s="1946" t="s">
        <v>7129</v>
      </c>
      <c r="AI34" s="58" t="s">
        <v>7875</v>
      </c>
      <c r="AJ34" s="1948" t="s">
        <v>7904</v>
      </c>
      <c r="AK34" s="1948" t="s">
        <v>7152</v>
      </c>
      <c r="AL34" s="1948"/>
      <c r="AM34" s="5295">
        <f t="shared" ref="AM34:AM45" si="19">AM33+1</f>
        <v>3</v>
      </c>
      <c r="AN34" s="1944" t="s">
        <v>7196</v>
      </c>
      <c r="AO34" s="1931" t="s">
        <v>7698</v>
      </c>
      <c r="AP34" s="1931" t="s">
        <v>7699</v>
      </c>
      <c r="AR34" s="5294">
        <f t="shared" si="15"/>
        <v>23</v>
      </c>
      <c r="AS34" s="1897" t="s">
        <v>4434</v>
      </c>
      <c r="AT34" s="1935" t="s">
        <v>4435</v>
      </c>
      <c r="AU34" s="1935" t="s">
        <v>4436</v>
      </c>
      <c r="AV34" s="1935" t="s">
        <v>4437</v>
      </c>
      <c r="AW34" s="1935" t="s">
        <v>6011</v>
      </c>
      <c r="AX34" s="1935" t="s">
        <v>6012</v>
      </c>
      <c r="AY34" s="1897" t="s">
        <v>4434</v>
      </c>
      <c r="BA34" s="3">
        <v>1</v>
      </c>
    </row>
    <row r="35" spans="2:53" ht="30" customHeight="1">
      <c r="B35" s="1953">
        <v>2</v>
      </c>
      <c r="C35" s="1904" t="s">
        <v>3830</v>
      </c>
      <c r="D35" s="1931" t="s">
        <v>7360</v>
      </c>
      <c r="E35" s="1931" t="s">
        <v>8344</v>
      </c>
      <c r="F35" s="9"/>
      <c r="G35" s="1953">
        <v>1</v>
      </c>
      <c r="H35" s="1904" t="s">
        <v>7549</v>
      </c>
      <c r="I35" s="1965" t="s">
        <v>7550</v>
      </c>
      <c r="J35" s="1965" t="s">
        <v>7551</v>
      </c>
      <c r="L35" s="5281"/>
      <c r="M35" s="5276" t="s">
        <v>3278</v>
      </c>
      <c r="N35" s="1934"/>
      <c r="O35" s="1934"/>
      <c r="P35" s="231"/>
      <c r="Q35" s="231"/>
      <c r="R35" s="1943" t="s">
        <v>3278</v>
      </c>
      <c r="S35" s="9"/>
      <c r="T35" s="5290"/>
      <c r="U35" s="5286" t="s">
        <v>13519</v>
      </c>
      <c r="V35" s="5291" t="s">
        <v>3596</v>
      </c>
      <c r="W35" s="9"/>
      <c r="X35" s="5283">
        <f t="shared" si="13"/>
        <v>28</v>
      </c>
      <c r="Y35" s="5284" t="s">
        <v>5689</v>
      </c>
      <c r="Z35" s="1969" t="s">
        <v>5690</v>
      </c>
      <c r="AA35" s="1970" t="s">
        <v>8257</v>
      </c>
      <c r="AB35" s="1969" t="s">
        <v>5691</v>
      </c>
      <c r="AC35" s="1969" t="s">
        <v>5691</v>
      </c>
      <c r="AD35" s="1969" t="s">
        <v>6723</v>
      </c>
      <c r="AE35" s="1969" t="s">
        <v>6724</v>
      </c>
      <c r="AG35" s="5285">
        <f t="shared" si="12"/>
        <v>28</v>
      </c>
      <c r="AH35" s="1946" t="s">
        <v>7130</v>
      </c>
      <c r="AI35" s="58" t="s">
        <v>7876</v>
      </c>
      <c r="AJ35" s="1948" t="s">
        <v>7905</v>
      </c>
      <c r="AK35" s="1948" t="s">
        <v>7153</v>
      </c>
      <c r="AL35" s="1948"/>
      <c r="AM35" s="5295">
        <f t="shared" si="19"/>
        <v>4</v>
      </c>
      <c r="AN35" s="1944" t="s">
        <v>7695</v>
      </c>
      <c r="AO35" s="1931" t="s">
        <v>7696</v>
      </c>
      <c r="AP35" s="1931" t="s">
        <v>7697</v>
      </c>
      <c r="AR35" s="5294">
        <f t="shared" si="15"/>
        <v>24</v>
      </c>
      <c r="AS35" s="1897" t="s">
        <v>3708</v>
      </c>
      <c r="AT35" s="1935" t="s">
        <v>4438</v>
      </c>
      <c r="AU35" s="1935" t="s">
        <v>4454</v>
      </c>
      <c r="AV35" s="1935" t="s">
        <v>4439</v>
      </c>
      <c r="AW35" s="1935" t="s">
        <v>6013</v>
      </c>
      <c r="AX35" s="1935" t="s">
        <v>6014</v>
      </c>
      <c r="AY35" s="1897" t="s">
        <v>3708</v>
      </c>
      <c r="BA35" s="3">
        <v>1</v>
      </c>
    </row>
    <row r="36" spans="2:53" ht="30" customHeight="1">
      <c r="B36" s="1953">
        <v>3</v>
      </c>
      <c r="C36" s="1904" t="s">
        <v>3836</v>
      </c>
      <c r="D36" s="1931" t="s">
        <v>7361</v>
      </c>
      <c r="E36" s="1931" t="s">
        <v>7362</v>
      </c>
      <c r="F36" s="9"/>
      <c r="G36" s="1953">
        <v>2</v>
      </c>
      <c r="H36" s="1904" t="s">
        <v>3837</v>
      </c>
      <c r="I36" s="1965" t="s">
        <v>7552</v>
      </c>
      <c r="J36" s="1965" t="s">
        <v>7553</v>
      </c>
      <c r="L36" s="5281">
        <v>1</v>
      </c>
      <c r="M36" s="172" t="s">
        <v>7025</v>
      </c>
      <c r="N36" s="1975" t="s">
        <v>7026</v>
      </c>
      <c r="O36" s="1976" t="s">
        <v>7027</v>
      </c>
      <c r="P36" s="1975" t="s">
        <v>7972</v>
      </c>
      <c r="Q36" s="1975" t="s">
        <v>7973</v>
      </c>
      <c r="R36" s="1975" t="s">
        <v>7974</v>
      </c>
      <c r="S36" s="9"/>
      <c r="T36" s="5290"/>
      <c r="U36" s="5286" t="s">
        <v>3613</v>
      </c>
      <c r="V36" s="5291" t="s">
        <v>3623</v>
      </c>
      <c r="W36" s="9"/>
      <c r="X36" s="5283">
        <f t="shared" si="13"/>
        <v>29</v>
      </c>
      <c r="Y36" s="5284" t="s">
        <v>5692</v>
      </c>
      <c r="Z36" s="1969" t="s">
        <v>5693</v>
      </c>
      <c r="AA36" s="1970" t="s">
        <v>8258</v>
      </c>
      <c r="AB36" s="1969" t="s">
        <v>5694</v>
      </c>
      <c r="AC36" s="1969" t="s">
        <v>5694</v>
      </c>
      <c r="AD36" s="1969" t="s">
        <v>6725</v>
      </c>
      <c r="AE36" s="1969" t="s">
        <v>6726</v>
      </c>
      <c r="AG36" s="5285">
        <f t="shared" si="12"/>
        <v>29</v>
      </c>
      <c r="AH36" s="1946" t="s">
        <v>7131</v>
      </c>
      <c r="AI36" s="58" t="s">
        <v>7877</v>
      </c>
      <c r="AJ36" s="1948" t="s">
        <v>7906</v>
      </c>
      <c r="AK36" s="1948" t="s">
        <v>7154</v>
      </c>
      <c r="AL36" s="1948"/>
      <c r="AM36" s="5295">
        <f t="shared" si="19"/>
        <v>5</v>
      </c>
      <c r="AN36" s="1944" t="s">
        <v>7754</v>
      </c>
      <c r="AO36" s="1931" t="s">
        <v>7700</v>
      </c>
      <c r="AP36" s="1931" t="s">
        <v>7701</v>
      </c>
      <c r="AR36" s="5294">
        <f t="shared" si="15"/>
        <v>25</v>
      </c>
      <c r="AS36" s="1897" t="s">
        <v>3716</v>
      </c>
      <c r="AT36" s="1935" t="s">
        <v>4440</v>
      </c>
      <c r="AU36" s="1935" t="s">
        <v>4455</v>
      </c>
      <c r="AV36" s="1935" t="s">
        <v>4441</v>
      </c>
      <c r="AW36" s="1935" t="s">
        <v>6015</v>
      </c>
      <c r="AX36" s="1935" t="s">
        <v>6016</v>
      </c>
      <c r="AY36" s="1897" t="s">
        <v>3716</v>
      </c>
      <c r="BA36" s="3">
        <v>1</v>
      </c>
    </row>
    <row r="37" spans="2:53" ht="30" customHeight="1">
      <c r="B37" s="1953">
        <v>4</v>
      </c>
      <c r="C37" s="1904" t="s">
        <v>7363</v>
      </c>
      <c r="D37" s="1931" t="s">
        <v>8345</v>
      </c>
      <c r="E37" s="1931" t="s">
        <v>8346</v>
      </c>
      <c r="F37" s="9"/>
      <c r="G37" s="1905"/>
      <c r="H37" s="5864" t="s">
        <v>7631</v>
      </c>
      <c r="I37" s="5865" t="s">
        <v>7632</v>
      </c>
      <c r="J37" s="5865" t="s">
        <v>7633</v>
      </c>
      <c r="L37" s="5281">
        <f>L36+1</f>
        <v>2</v>
      </c>
      <c r="M37" s="172" t="s">
        <v>3822</v>
      </c>
      <c r="N37" s="1975" t="s">
        <v>7028</v>
      </c>
      <c r="O37" s="1976" t="s">
        <v>7029</v>
      </c>
      <c r="P37" s="1975" t="s">
        <v>7975</v>
      </c>
      <c r="Q37" s="1975" t="s">
        <v>7976</v>
      </c>
      <c r="R37" s="1975" t="s">
        <v>7977</v>
      </c>
      <c r="S37" s="9"/>
      <c r="T37" s="5290"/>
      <c r="U37" s="5286" t="s">
        <v>13520</v>
      </c>
      <c r="V37" s="5291" t="s">
        <v>3659</v>
      </c>
      <c r="W37" s="9"/>
      <c r="X37" s="5283">
        <f t="shared" si="13"/>
        <v>30</v>
      </c>
      <c r="Y37" s="5284" t="s">
        <v>5695</v>
      </c>
      <c r="Z37" s="1969" t="s">
        <v>5696</v>
      </c>
      <c r="AA37" s="1970" t="s">
        <v>5697</v>
      </c>
      <c r="AB37" s="1969" t="s">
        <v>5698</v>
      </c>
      <c r="AC37" s="1969" t="s">
        <v>5698</v>
      </c>
      <c r="AD37" s="1969" t="s">
        <v>6727</v>
      </c>
      <c r="AE37" s="1969" t="s">
        <v>6728</v>
      </c>
      <c r="AG37" s="5285">
        <f t="shared" si="12"/>
        <v>30</v>
      </c>
      <c r="AH37" s="1946" t="s">
        <v>7132</v>
      </c>
      <c r="AI37" s="58" t="s">
        <v>7878</v>
      </c>
      <c r="AJ37" s="1948" t="s">
        <v>7907</v>
      </c>
      <c r="AK37" s="1948" t="s">
        <v>7151</v>
      </c>
      <c r="AL37" s="1948"/>
      <c r="AM37" s="5295">
        <f t="shared" si="19"/>
        <v>6</v>
      </c>
      <c r="AN37" s="1944" t="s">
        <v>7755</v>
      </c>
      <c r="AO37" s="1931" t="s">
        <v>7702</v>
      </c>
      <c r="AP37" s="1931" t="s">
        <v>7703</v>
      </c>
      <c r="AR37" s="5294">
        <f t="shared" si="15"/>
        <v>26</v>
      </c>
      <c r="AS37" s="1897" t="s">
        <v>3664</v>
      </c>
      <c r="AT37" s="1935" t="s">
        <v>4442</v>
      </c>
      <c r="AU37" s="1936" t="s">
        <v>5601</v>
      </c>
      <c r="AV37" s="1935" t="s">
        <v>5602</v>
      </c>
      <c r="AW37" s="1935" t="s">
        <v>6667</v>
      </c>
      <c r="AX37" s="1935" t="s">
        <v>6668</v>
      </c>
      <c r="AY37" s="1897" t="s">
        <v>3664</v>
      </c>
      <c r="BA37" s="3">
        <v>1</v>
      </c>
    </row>
    <row r="38" spans="2:53" ht="30" customHeight="1">
      <c r="B38" s="1953">
        <v>5</v>
      </c>
      <c r="C38" s="1904" t="s">
        <v>8071</v>
      </c>
      <c r="D38" s="1931" t="s">
        <v>8347</v>
      </c>
      <c r="E38" s="1931" t="s">
        <v>8348</v>
      </c>
      <c r="F38" s="9"/>
      <c r="G38" s="1905"/>
      <c r="H38" s="5864"/>
      <c r="I38" s="5865"/>
      <c r="J38" s="5865"/>
      <c r="L38" s="5281">
        <f t="shared" ref="L38" si="20">L37+1</f>
        <v>3</v>
      </c>
      <c r="M38" s="172" t="s">
        <v>3829</v>
      </c>
      <c r="N38" s="1975" t="s">
        <v>7030</v>
      </c>
      <c r="O38" s="1976" t="s">
        <v>7031</v>
      </c>
      <c r="P38" s="1975" t="s">
        <v>7978</v>
      </c>
      <c r="Q38" s="1975" t="s">
        <v>7979</v>
      </c>
      <c r="R38" s="1975" t="s">
        <v>7980</v>
      </c>
      <c r="S38" s="9"/>
      <c r="T38" s="5290"/>
      <c r="U38" s="5286" t="s">
        <v>3762</v>
      </c>
      <c r="V38" s="5291" t="s">
        <v>3768</v>
      </c>
      <c r="W38" s="9"/>
      <c r="X38" s="5283">
        <f t="shared" si="13"/>
        <v>31</v>
      </c>
      <c r="Y38" s="5284" t="s">
        <v>3675</v>
      </c>
      <c r="Z38" s="1969" t="s">
        <v>5605</v>
      </c>
      <c r="AA38" s="1970" t="s">
        <v>8259</v>
      </c>
      <c r="AB38" s="1969" t="s">
        <v>5606</v>
      </c>
      <c r="AC38" s="1969" t="s">
        <v>5606</v>
      </c>
      <c r="AD38" s="1969" t="s">
        <v>6671</v>
      </c>
      <c r="AE38" s="1969" t="s">
        <v>6672</v>
      </c>
      <c r="AG38" s="5285">
        <f t="shared" si="12"/>
        <v>31</v>
      </c>
      <c r="AH38" s="1946" t="s">
        <v>7133</v>
      </c>
      <c r="AI38" s="58" t="s">
        <v>7879</v>
      </c>
      <c r="AJ38" s="1948" t="s">
        <v>7908</v>
      </c>
      <c r="AK38" s="1948" t="s">
        <v>7152</v>
      </c>
      <c r="AL38" s="1948"/>
      <c r="AM38" s="5295">
        <f t="shared" si="19"/>
        <v>7</v>
      </c>
      <c r="AN38" s="1944" t="s">
        <v>7197</v>
      </c>
      <c r="AO38" s="1931" t="s">
        <v>7198</v>
      </c>
      <c r="AP38" s="1931" t="s">
        <v>7199</v>
      </c>
      <c r="AR38" s="5294">
        <f t="shared" si="15"/>
        <v>27</v>
      </c>
      <c r="AS38" s="1897" t="s">
        <v>3740</v>
      </c>
      <c r="AT38" s="1935" t="s">
        <v>4445</v>
      </c>
      <c r="AU38" s="1935" t="s">
        <v>4446</v>
      </c>
      <c r="AV38" s="1935" t="s">
        <v>4447</v>
      </c>
      <c r="AW38" s="1935" t="s">
        <v>6019</v>
      </c>
      <c r="AX38" s="1935" t="s">
        <v>6020</v>
      </c>
      <c r="AY38" s="1897" t="s">
        <v>3740</v>
      </c>
      <c r="BA38" s="3">
        <v>1</v>
      </c>
    </row>
    <row r="39" spans="2:53" ht="30" customHeight="1">
      <c r="B39" s="1953">
        <v>6</v>
      </c>
      <c r="C39" s="1904" t="s">
        <v>7431</v>
      </c>
      <c r="D39" s="1931" t="s">
        <v>8349</v>
      </c>
      <c r="E39" s="1931" t="s">
        <v>7432</v>
      </c>
      <c r="F39" s="9"/>
      <c r="G39" s="1953">
        <v>3</v>
      </c>
      <c r="H39" s="1904" t="s">
        <v>7554</v>
      </c>
      <c r="I39" s="1965" t="s">
        <v>7555</v>
      </c>
      <c r="J39" s="1965" t="s">
        <v>7556</v>
      </c>
      <c r="L39" s="5281"/>
      <c r="M39" s="5276" t="s">
        <v>3748</v>
      </c>
      <c r="N39" s="1934"/>
      <c r="O39" s="1934"/>
      <c r="P39" s="709"/>
      <c r="Q39" s="709"/>
      <c r="R39" s="1943" t="s">
        <v>3748</v>
      </c>
      <c r="S39" s="9"/>
      <c r="T39" s="5290"/>
      <c r="U39" s="5286" t="s">
        <v>13521</v>
      </c>
      <c r="V39" s="5291" t="s">
        <v>3631</v>
      </c>
      <c r="W39" s="9"/>
      <c r="X39" s="5283">
        <f t="shared" si="13"/>
        <v>32</v>
      </c>
      <c r="Y39" s="5284" t="s">
        <v>5607</v>
      </c>
      <c r="Z39" s="1969" t="s">
        <v>5608</v>
      </c>
      <c r="AA39" s="1970" t="s">
        <v>8260</v>
      </c>
      <c r="AB39" s="1969" t="s">
        <v>5609</v>
      </c>
      <c r="AC39" s="1969" t="s">
        <v>5609</v>
      </c>
      <c r="AD39" s="1969" t="s">
        <v>6673</v>
      </c>
      <c r="AE39" s="1969" t="s">
        <v>6674</v>
      </c>
      <c r="AG39" s="5285"/>
      <c r="AH39" s="1946"/>
      <c r="AI39" s="58"/>
      <c r="AJ39" s="1948"/>
      <c r="AK39" s="1948"/>
      <c r="AL39" s="172"/>
      <c r="AM39" s="5295">
        <f t="shared" si="19"/>
        <v>8</v>
      </c>
      <c r="AN39" s="1944" t="s">
        <v>7200</v>
      </c>
      <c r="AO39" s="1931" t="s">
        <v>7201</v>
      </c>
      <c r="AP39" s="1931" t="s">
        <v>7202</v>
      </c>
      <c r="AR39" s="5294">
        <f t="shared" si="15"/>
        <v>28</v>
      </c>
      <c r="AS39" s="1897" t="s">
        <v>3731</v>
      </c>
      <c r="AT39" s="1935" t="s">
        <v>4443</v>
      </c>
      <c r="AU39" s="1936" t="s">
        <v>4456</v>
      </c>
      <c r="AV39" s="1935" t="s">
        <v>4444</v>
      </c>
      <c r="AW39" s="1935" t="s">
        <v>6017</v>
      </c>
      <c r="AX39" s="1935" t="s">
        <v>6018</v>
      </c>
      <c r="AY39" s="1897" t="s">
        <v>3731</v>
      </c>
      <c r="BA39" s="3">
        <v>1</v>
      </c>
    </row>
    <row r="40" spans="2:53" ht="30" customHeight="1">
      <c r="B40" s="1953">
        <v>7</v>
      </c>
      <c r="C40" s="1904" t="s">
        <v>3621</v>
      </c>
      <c r="D40" s="1931" t="s">
        <v>7364</v>
      </c>
      <c r="E40" s="1931" t="s">
        <v>8350</v>
      </c>
      <c r="F40" s="9"/>
      <c r="G40" s="1953">
        <v>4</v>
      </c>
      <c r="H40" s="1904" t="s">
        <v>7557</v>
      </c>
      <c r="I40" s="1965" t="s">
        <v>7558</v>
      </c>
      <c r="J40" s="1965" t="s">
        <v>7559</v>
      </c>
      <c r="L40" s="5281">
        <v>1</v>
      </c>
      <c r="M40" s="172" t="s">
        <v>7032</v>
      </c>
      <c r="N40" s="1975" t="s">
        <v>7033</v>
      </c>
      <c r="O40" s="1976" t="s">
        <v>7034</v>
      </c>
      <c r="P40" s="1975" t="s">
        <v>7981</v>
      </c>
      <c r="Q40" s="1975" t="s">
        <v>7982</v>
      </c>
      <c r="R40" s="1975" t="s">
        <v>7983</v>
      </c>
      <c r="S40" s="9"/>
      <c r="T40" s="5290"/>
      <c r="U40" s="5286" t="s">
        <v>3782</v>
      </c>
      <c r="V40" s="5291" t="s">
        <v>3774</v>
      </c>
      <c r="W40" s="9"/>
      <c r="X40" s="5283">
        <f t="shared" si="13"/>
        <v>33</v>
      </c>
      <c r="Y40" s="5284" t="s">
        <v>5610</v>
      </c>
      <c r="Z40" s="1969" t="s">
        <v>5611</v>
      </c>
      <c r="AA40" s="1970" t="s">
        <v>8261</v>
      </c>
      <c r="AB40" s="1969" t="s">
        <v>5612</v>
      </c>
      <c r="AC40" s="1969" t="s">
        <v>5612</v>
      </c>
      <c r="AD40" s="1969" t="s">
        <v>6675</v>
      </c>
      <c r="AE40" s="1969" t="s">
        <v>6676</v>
      </c>
      <c r="AG40" s="5285">
        <v>1</v>
      </c>
      <c r="AH40" s="1947" t="s">
        <v>3575</v>
      </c>
      <c r="AI40" s="1952" t="s">
        <v>7793</v>
      </c>
      <c r="AJ40" s="1952" t="s">
        <v>7822</v>
      </c>
      <c r="AK40" s="1948"/>
      <c r="AL40" s="172"/>
      <c r="AM40" s="5295">
        <f t="shared" si="19"/>
        <v>9</v>
      </c>
      <c r="AN40" s="1944" t="s">
        <v>7203</v>
      </c>
      <c r="AO40" s="1931" t="s">
        <v>7204</v>
      </c>
      <c r="AP40" s="1931" t="s">
        <v>7205</v>
      </c>
      <c r="AR40" s="5294">
        <f t="shared" si="15"/>
        <v>29</v>
      </c>
      <c r="AS40" s="1897" t="s">
        <v>5620</v>
      </c>
      <c r="AT40" s="1935" t="s">
        <v>5621</v>
      </c>
      <c r="AU40" s="1936" t="s">
        <v>5622</v>
      </c>
      <c r="AV40" s="1935" t="s">
        <v>5623</v>
      </c>
      <c r="AW40" s="1935" t="s">
        <v>6681</v>
      </c>
      <c r="AX40" s="1935" t="s">
        <v>6682</v>
      </c>
      <c r="AY40" s="1897" t="s">
        <v>5620</v>
      </c>
      <c r="BA40" s="3">
        <v>1</v>
      </c>
    </row>
    <row r="41" spans="2:53" ht="30" customHeight="1">
      <c r="B41" s="1953">
        <v>8</v>
      </c>
      <c r="C41" s="1904" t="s">
        <v>3854</v>
      </c>
      <c r="D41" s="1931" t="s">
        <v>7365</v>
      </c>
      <c r="E41" s="1931" t="s">
        <v>7366</v>
      </c>
      <c r="F41" s="9"/>
      <c r="G41" s="1953">
        <v>5</v>
      </c>
      <c r="H41" s="1904" t="s">
        <v>7560</v>
      </c>
      <c r="I41" s="1965" t="s">
        <v>7561</v>
      </c>
      <c r="J41" s="1965" t="s">
        <v>7562</v>
      </c>
      <c r="L41" s="5281">
        <f>L40+1</f>
        <v>2</v>
      </c>
      <c r="M41" s="172" t="s">
        <v>3853</v>
      </c>
      <c r="N41" s="1975" t="s">
        <v>7035</v>
      </c>
      <c r="O41" s="1976" t="s">
        <v>7036</v>
      </c>
      <c r="P41" s="1975" t="s">
        <v>7984</v>
      </c>
      <c r="Q41" s="1975" t="s">
        <v>7985</v>
      </c>
      <c r="R41" s="1975" t="s">
        <v>7986</v>
      </c>
      <c r="S41" s="9"/>
      <c r="T41" s="5290"/>
      <c r="U41" s="5286" t="s">
        <v>3802</v>
      </c>
      <c r="V41" s="5291" t="s">
        <v>3808</v>
      </c>
      <c r="W41" s="9"/>
      <c r="X41" s="5283">
        <f t="shared" si="13"/>
        <v>34</v>
      </c>
      <c r="Y41" s="5284" t="s">
        <v>5613</v>
      </c>
      <c r="Z41" s="1969" t="s">
        <v>5614</v>
      </c>
      <c r="AA41" s="1970" t="s">
        <v>8262</v>
      </c>
      <c r="AB41" s="1969" t="s">
        <v>5615</v>
      </c>
      <c r="AC41" s="1969" t="s">
        <v>5615</v>
      </c>
      <c r="AD41" s="1969" t="s">
        <v>6677</v>
      </c>
      <c r="AE41" s="1969" t="s">
        <v>6678</v>
      </c>
      <c r="AG41" s="5285">
        <f t="shared" ref="AG41:AG70" si="21">AG40+1</f>
        <v>2</v>
      </c>
      <c r="AH41" s="1947" t="s">
        <v>7766</v>
      </c>
      <c r="AI41" s="1952" t="s">
        <v>7794</v>
      </c>
      <c r="AJ41" s="1952" t="s">
        <v>7823</v>
      </c>
      <c r="AK41" s="1948"/>
      <c r="AL41" s="172"/>
      <c r="AM41" s="5295">
        <f t="shared" si="19"/>
        <v>10</v>
      </c>
      <c r="AN41" s="1944" t="s">
        <v>7206</v>
      </c>
      <c r="AO41" s="1931" t="s">
        <v>7207</v>
      </c>
      <c r="AP41" s="1931" t="s">
        <v>7208</v>
      </c>
      <c r="AR41" s="5275"/>
      <c r="AS41" s="1940" t="s">
        <v>1669</v>
      </c>
      <c r="AT41" s="1933"/>
      <c r="AU41" s="1933"/>
      <c r="AV41" s="1933"/>
      <c r="AW41" s="1932"/>
      <c r="AX41" s="1932"/>
      <c r="AY41" s="1940" t="s">
        <v>1669</v>
      </c>
      <c r="BA41" s="3">
        <v>1</v>
      </c>
    </row>
    <row r="42" spans="2:53" ht="30" customHeight="1">
      <c r="B42" s="1953">
        <v>9</v>
      </c>
      <c r="C42" s="1904" t="s">
        <v>3915</v>
      </c>
      <c r="D42" s="1931" t="s">
        <v>7373</v>
      </c>
      <c r="E42" s="1931" t="s">
        <v>8351</v>
      </c>
      <c r="F42" s="9"/>
      <c r="G42" s="1953">
        <v>6</v>
      </c>
      <c r="H42" s="1904" t="s">
        <v>7634</v>
      </c>
      <c r="I42" s="1965" t="s">
        <v>7635</v>
      </c>
      <c r="J42" s="1965" t="s">
        <v>7636</v>
      </c>
      <c r="L42" s="5281"/>
      <c r="M42" s="5276" t="s">
        <v>3832</v>
      </c>
      <c r="N42" s="1934"/>
      <c r="O42" s="1934"/>
      <c r="P42" s="709"/>
      <c r="Q42" s="709"/>
      <c r="R42" s="1943" t="s">
        <v>3832</v>
      </c>
      <c r="S42" s="9"/>
      <c r="T42" s="5290"/>
      <c r="U42" s="5286" t="s">
        <v>3816</v>
      </c>
      <c r="V42" s="5291" t="s">
        <v>3825</v>
      </c>
      <c r="W42" s="9"/>
      <c r="X42" s="5283">
        <f t="shared" si="13"/>
        <v>35</v>
      </c>
      <c r="Y42" s="5284" t="s">
        <v>5624</v>
      </c>
      <c r="Z42" s="1969" t="s">
        <v>5625</v>
      </c>
      <c r="AA42" s="1970" t="s">
        <v>8263</v>
      </c>
      <c r="AB42" s="1969" t="s">
        <v>5626</v>
      </c>
      <c r="AC42" s="1969" t="s">
        <v>5626</v>
      </c>
      <c r="AD42" s="1969" t="s">
        <v>6683</v>
      </c>
      <c r="AE42" s="1969" t="s">
        <v>6684</v>
      </c>
      <c r="AG42" s="5285">
        <f t="shared" si="21"/>
        <v>3</v>
      </c>
      <c r="AH42" s="1947" t="s">
        <v>7767</v>
      </c>
      <c r="AI42" s="1952" t="s">
        <v>7795</v>
      </c>
      <c r="AJ42" s="1952" t="s">
        <v>7824</v>
      </c>
      <c r="AK42" s="1948"/>
      <c r="AL42" s="172"/>
      <c r="AM42" s="5295">
        <f t="shared" si="19"/>
        <v>11</v>
      </c>
      <c r="AN42" s="1944" t="s">
        <v>7209</v>
      </c>
      <c r="AO42" s="1931" t="s">
        <v>7210</v>
      </c>
      <c r="AP42" s="1931" t="s">
        <v>7211</v>
      </c>
      <c r="AR42" s="5294">
        <v>1</v>
      </c>
      <c r="AS42" s="1897" t="s">
        <v>5749</v>
      </c>
      <c r="AT42" s="1935" t="s">
        <v>5750</v>
      </c>
      <c r="AU42" s="1936" t="s">
        <v>5751</v>
      </c>
      <c r="AV42" s="1935" t="s">
        <v>5752</v>
      </c>
      <c r="AW42" s="1935" t="s">
        <v>6737</v>
      </c>
      <c r="AX42" s="1935" t="s">
        <v>6738</v>
      </c>
      <c r="AY42" s="1897" t="s">
        <v>5749</v>
      </c>
      <c r="BA42" s="3">
        <v>1</v>
      </c>
    </row>
    <row r="43" spans="2:53" ht="30" customHeight="1">
      <c r="B43" s="1953"/>
      <c r="F43" s="9"/>
      <c r="G43" s="1953"/>
      <c r="H43" s="1960" t="s">
        <v>7637</v>
      </c>
      <c r="I43" s="1966" t="s">
        <v>7638</v>
      </c>
      <c r="J43" s="1966" t="s">
        <v>7639</v>
      </c>
      <c r="L43" s="5281">
        <v>1</v>
      </c>
      <c r="M43" s="172" t="s">
        <v>7037</v>
      </c>
      <c r="N43" s="1975" t="s">
        <v>7038</v>
      </c>
      <c r="O43" s="1976" t="s">
        <v>7039</v>
      </c>
      <c r="P43" s="1975" t="s">
        <v>7987</v>
      </c>
      <c r="Q43" s="1975" t="s">
        <v>7988</v>
      </c>
      <c r="R43" s="1975" t="s">
        <v>7989</v>
      </c>
      <c r="S43" s="9"/>
      <c r="T43" s="5296"/>
      <c r="U43" s="5856"/>
      <c r="V43" s="5857"/>
      <c r="W43" s="9"/>
      <c r="X43" s="5283">
        <f t="shared" si="13"/>
        <v>36</v>
      </c>
      <c r="Y43" s="5284" t="s">
        <v>5627</v>
      </c>
      <c r="Z43" s="1969" t="s">
        <v>5628</v>
      </c>
      <c r="AA43" s="1970" t="s">
        <v>5629</v>
      </c>
      <c r="AB43" s="1969" t="s">
        <v>5630</v>
      </c>
      <c r="AC43" s="1969" t="s">
        <v>5630</v>
      </c>
      <c r="AD43" s="1969" t="s">
        <v>6685</v>
      </c>
      <c r="AE43" s="1969" t="s">
        <v>6686</v>
      </c>
      <c r="AG43" s="5285">
        <f t="shared" si="21"/>
        <v>4</v>
      </c>
      <c r="AH43" s="1947" t="s">
        <v>7768</v>
      </c>
      <c r="AI43" s="1952" t="s">
        <v>7796</v>
      </c>
      <c r="AJ43" s="1952" t="s">
        <v>7825</v>
      </c>
      <c r="AK43" s="1948"/>
      <c r="AL43" s="172"/>
      <c r="AM43" s="5295">
        <f t="shared" si="19"/>
        <v>12</v>
      </c>
      <c r="AN43" s="1944" t="s">
        <v>7212</v>
      </c>
      <c r="AO43" s="1931" t="s">
        <v>7213</v>
      </c>
      <c r="AP43" s="1931" t="s">
        <v>7214</v>
      </c>
      <c r="AR43" s="5294">
        <f>AR42+1</f>
        <v>2</v>
      </c>
      <c r="AS43" s="1897" t="s">
        <v>5745</v>
      </c>
      <c r="AT43" s="1935" t="s">
        <v>5746</v>
      </c>
      <c r="AU43" s="1936" t="s">
        <v>5747</v>
      </c>
      <c r="AV43" s="1935" t="s">
        <v>5748</v>
      </c>
      <c r="AW43" s="1935" t="s">
        <v>6735</v>
      </c>
      <c r="AX43" s="1935" t="s">
        <v>6736</v>
      </c>
      <c r="AY43" s="1897" t="s">
        <v>5745</v>
      </c>
      <c r="BA43" s="3">
        <v>1</v>
      </c>
    </row>
    <row r="44" spans="2:53" ht="30" customHeight="1">
      <c r="B44" s="1953">
        <v>1</v>
      </c>
      <c r="C44" s="1903" t="s">
        <v>3652</v>
      </c>
      <c r="D44" s="1903" t="s">
        <v>7627</v>
      </c>
      <c r="E44" s="1903" t="s">
        <v>7628</v>
      </c>
      <c r="F44" s="9"/>
      <c r="G44" s="1953">
        <v>7</v>
      </c>
      <c r="H44" s="1904" t="s">
        <v>7563</v>
      </c>
      <c r="I44" s="1965" t="s">
        <v>7564</v>
      </c>
      <c r="J44" s="1965" t="s">
        <v>7565</v>
      </c>
      <c r="L44" s="5281">
        <f>L43+1</f>
        <v>2</v>
      </c>
      <c r="M44" s="172" t="s">
        <v>7040</v>
      </c>
      <c r="N44" s="1975" t="s">
        <v>7041</v>
      </c>
      <c r="O44" s="1976" t="s">
        <v>7042</v>
      </c>
      <c r="P44" s="1975" t="s">
        <v>7990</v>
      </c>
      <c r="Q44" s="1975" t="s">
        <v>7991</v>
      </c>
      <c r="R44" s="1975" t="s">
        <v>7992</v>
      </c>
      <c r="S44" s="9"/>
      <c r="T44" s="5282" t="s">
        <v>3754</v>
      </c>
      <c r="U44" s="5286" t="s">
        <v>13522</v>
      </c>
      <c r="V44" s="5291" t="s">
        <v>13523</v>
      </c>
      <c r="W44" s="9"/>
      <c r="X44" s="5283">
        <f t="shared" si="13"/>
        <v>37</v>
      </c>
      <c r="Y44" s="5284" t="s">
        <v>5631</v>
      </c>
      <c r="Z44" s="1969" t="s">
        <v>5632</v>
      </c>
      <c r="AA44" s="1970" t="s">
        <v>8264</v>
      </c>
      <c r="AB44" s="1969" t="s">
        <v>5633</v>
      </c>
      <c r="AC44" s="1969" t="s">
        <v>5633</v>
      </c>
      <c r="AD44" s="1969" t="s">
        <v>6687</v>
      </c>
      <c r="AE44" s="1969" t="s">
        <v>6688</v>
      </c>
      <c r="AG44" s="5285">
        <f t="shared" si="21"/>
        <v>5</v>
      </c>
      <c r="AH44" s="1947" t="s">
        <v>7769</v>
      </c>
      <c r="AI44" s="1952" t="s">
        <v>7797</v>
      </c>
      <c r="AJ44" s="1952" t="s">
        <v>7826</v>
      </c>
      <c r="AK44" s="1948"/>
      <c r="AL44" s="172"/>
      <c r="AM44" s="5295">
        <f t="shared" si="19"/>
        <v>13</v>
      </c>
      <c r="AN44" s="1944" t="s">
        <v>7215</v>
      </c>
      <c r="AO44" s="1931" t="s">
        <v>7216</v>
      </c>
      <c r="AP44" s="1931" t="s">
        <v>7217</v>
      </c>
      <c r="AR44" s="5294">
        <f t="shared" ref="AR44:AR58" si="22">AR43+1</f>
        <v>3</v>
      </c>
      <c r="AS44" s="1897" t="s">
        <v>3761</v>
      </c>
      <c r="AT44" s="1935" t="s">
        <v>4457</v>
      </c>
      <c r="AU44" s="1936" t="s">
        <v>4458</v>
      </c>
      <c r="AV44" s="1935" t="s">
        <v>4459</v>
      </c>
      <c r="AW44" s="1935" t="s">
        <v>6021</v>
      </c>
      <c r="AX44" s="1935" t="s">
        <v>6022</v>
      </c>
      <c r="AY44" s="1897" t="s">
        <v>3761</v>
      </c>
      <c r="BA44" s="3">
        <v>1</v>
      </c>
    </row>
    <row r="45" spans="2:53" ht="30" customHeight="1">
      <c r="B45" s="1953">
        <v>2</v>
      </c>
      <c r="C45" s="1904" t="s">
        <v>8078</v>
      </c>
      <c r="D45" s="1931" t="s">
        <v>8352</v>
      </c>
      <c r="E45" s="1931" t="s">
        <v>8353</v>
      </c>
      <c r="F45" s="9"/>
      <c r="G45" s="1953">
        <v>8</v>
      </c>
      <c r="H45" s="1904" t="s">
        <v>7566</v>
      </c>
      <c r="I45" s="1965" t="s">
        <v>7567</v>
      </c>
      <c r="J45" s="1965" t="s">
        <v>7568</v>
      </c>
      <c r="L45" s="5281"/>
      <c r="M45" s="5276" t="s">
        <v>0</v>
      </c>
      <c r="N45" s="1897"/>
      <c r="O45" s="1897"/>
      <c r="P45" s="709"/>
      <c r="Q45" s="709"/>
      <c r="R45" s="1943" t="s">
        <v>0</v>
      </c>
      <c r="S45" s="9"/>
      <c r="T45" s="5290"/>
      <c r="U45" s="5286" t="s">
        <v>13524</v>
      </c>
      <c r="V45" s="5291" t="s">
        <v>13525</v>
      </c>
      <c r="W45" s="9"/>
      <c r="X45" s="5283">
        <f t="shared" si="13"/>
        <v>38</v>
      </c>
      <c r="Y45" s="5284" t="s">
        <v>5634</v>
      </c>
      <c r="Z45" s="1969" t="s">
        <v>5635</v>
      </c>
      <c r="AA45" s="1970" t="s">
        <v>8265</v>
      </c>
      <c r="AB45" s="1969" t="s">
        <v>5636</v>
      </c>
      <c r="AC45" s="1969" t="s">
        <v>5636</v>
      </c>
      <c r="AD45" s="1969" t="s">
        <v>6689</v>
      </c>
      <c r="AE45" s="1969" t="s">
        <v>6690</v>
      </c>
      <c r="AG45" s="5285">
        <f t="shared" si="21"/>
        <v>6</v>
      </c>
      <c r="AH45" s="1947" t="s">
        <v>7770</v>
      </c>
      <c r="AI45" s="1952" t="s">
        <v>7798</v>
      </c>
      <c r="AJ45" s="1952" t="s">
        <v>7827</v>
      </c>
      <c r="AK45" s="1948"/>
      <c r="AL45" s="172"/>
      <c r="AM45" s="5295">
        <f t="shared" si="19"/>
        <v>14</v>
      </c>
      <c r="AN45" s="1944" t="s">
        <v>7218</v>
      </c>
      <c r="AO45" s="1931" t="s">
        <v>7219</v>
      </c>
      <c r="AP45" s="1931" t="s">
        <v>7220</v>
      </c>
      <c r="AR45" s="5294">
        <f t="shared" si="22"/>
        <v>4</v>
      </c>
      <c r="AS45" s="1897" t="s">
        <v>3767</v>
      </c>
      <c r="AT45" s="1935" t="s">
        <v>4460</v>
      </c>
      <c r="AU45" s="1936" t="s">
        <v>4461</v>
      </c>
      <c r="AV45" s="1935" t="s">
        <v>6023</v>
      </c>
      <c r="AW45" s="1935" t="s">
        <v>6024</v>
      </c>
      <c r="AX45" s="1935" t="s">
        <v>6025</v>
      </c>
      <c r="AY45" s="1897" t="s">
        <v>3767</v>
      </c>
      <c r="BA45" s="3">
        <v>1</v>
      </c>
    </row>
    <row r="46" spans="2:53" ht="30" customHeight="1">
      <c r="B46" s="1953">
        <v>3</v>
      </c>
      <c r="C46" s="1904" t="s">
        <v>4035</v>
      </c>
      <c r="D46" s="1931" t="s">
        <v>7386</v>
      </c>
      <c r="E46" s="1931" t="s">
        <v>8354</v>
      </c>
      <c r="F46" s="9"/>
      <c r="G46" s="1905"/>
      <c r="H46" s="5866" t="s">
        <v>7640</v>
      </c>
      <c r="I46" s="5866" t="s">
        <v>7641</v>
      </c>
      <c r="J46" s="5866" t="s">
        <v>7642</v>
      </c>
      <c r="L46" s="5281">
        <v>1</v>
      </c>
      <c r="M46" s="1897" t="s">
        <v>3895</v>
      </c>
      <c r="N46" s="1935" t="s">
        <v>7043</v>
      </c>
      <c r="O46" s="1936" t="s">
        <v>7044</v>
      </c>
      <c r="P46" s="1935" t="s">
        <v>7993</v>
      </c>
      <c r="Q46" s="1935" t="s">
        <v>7994</v>
      </c>
      <c r="R46" s="1935" t="s">
        <v>7995</v>
      </c>
      <c r="S46" s="9"/>
      <c r="T46" s="5290"/>
      <c r="U46" s="5286" t="s">
        <v>13526</v>
      </c>
      <c r="V46" s="5291" t="s">
        <v>13527</v>
      </c>
      <c r="W46" s="9"/>
      <c r="X46" s="5283">
        <f t="shared" si="13"/>
        <v>39</v>
      </c>
      <c r="Y46" s="5284" t="s">
        <v>5616</v>
      </c>
      <c r="Z46" s="1969" t="s">
        <v>5617</v>
      </c>
      <c r="AA46" s="1970" t="s">
        <v>5618</v>
      </c>
      <c r="AB46" s="1969" t="s">
        <v>5619</v>
      </c>
      <c r="AC46" s="1969" t="s">
        <v>5619</v>
      </c>
      <c r="AD46" s="1969" t="s">
        <v>6679</v>
      </c>
      <c r="AE46" s="1969" t="s">
        <v>6680</v>
      </c>
      <c r="AG46" s="5285">
        <f t="shared" si="21"/>
        <v>7</v>
      </c>
      <c r="AH46" s="1947" t="s">
        <v>7771</v>
      </c>
      <c r="AI46" s="1952" t="s">
        <v>7799</v>
      </c>
      <c r="AJ46" s="1952" t="s">
        <v>7828</v>
      </c>
      <c r="AK46" s="1948"/>
      <c r="AL46" s="172"/>
      <c r="AM46" s="5295"/>
      <c r="AN46" s="1900" t="s">
        <v>1671</v>
      </c>
      <c r="AO46" s="1900"/>
      <c r="AP46" s="1977" t="s">
        <v>1671</v>
      </c>
      <c r="AR46" s="5294">
        <f t="shared" si="22"/>
        <v>5</v>
      </c>
      <c r="AS46" s="1897" t="s">
        <v>3773</v>
      </c>
      <c r="AT46" s="1935" t="s">
        <v>4462</v>
      </c>
      <c r="AU46" s="1936" t="s">
        <v>4463</v>
      </c>
      <c r="AV46" s="1935" t="s">
        <v>8106</v>
      </c>
      <c r="AW46" s="1935" t="s">
        <v>8107</v>
      </c>
      <c r="AX46" s="1935" t="s">
        <v>8108</v>
      </c>
      <c r="AY46" s="1897" t="s">
        <v>3773</v>
      </c>
      <c r="BA46" s="3">
        <v>1</v>
      </c>
    </row>
    <row r="47" spans="2:53" ht="30" customHeight="1">
      <c r="B47" s="1953">
        <v>4</v>
      </c>
      <c r="C47" s="1904" t="s">
        <v>8072</v>
      </c>
      <c r="D47" s="1931" t="s">
        <v>8355</v>
      </c>
      <c r="E47" s="1931" t="s">
        <v>8356</v>
      </c>
      <c r="F47" s="9"/>
      <c r="G47" s="1905"/>
      <c r="H47" s="5866"/>
      <c r="I47" s="5866"/>
      <c r="J47" s="5866"/>
      <c r="L47" s="5281"/>
      <c r="M47" s="5276" t="s">
        <v>1</v>
      </c>
      <c r="N47" s="1897"/>
      <c r="O47" s="1897"/>
      <c r="P47" s="709"/>
      <c r="Q47" s="709"/>
      <c r="R47" s="1943" t="s">
        <v>1</v>
      </c>
      <c r="S47" s="9"/>
      <c r="T47" s="5290"/>
      <c r="U47" s="5286" t="s">
        <v>13528</v>
      </c>
      <c r="V47" s="5291" t="s">
        <v>116</v>
      </c>
      <c r="W47" s="9"/>
      <c r="X47" s="5283"/>
      <c r="Y47" s="5280" t="s">
        <v>1669</v>
      </c>
      <c r="Z47" s="1933"/>
      <c r="AA47" s="1933"/>
      <c r="AB47" s="1933"/>
      <c r="AC47" s="1933"/>
      <c r="AD47" s="1933"/>
      <c r="AE47" s="1942" t="s">
        <v>1669</v>
      </c>
      <c r="AG47" s="5285">
        <f t="shared" si="21"/>
        <v>8</v>
      </c>
      <c r="AH47" s="1947" t="s">
        <v>7772</v>
      </c>
      <c r="AI47" s="1952" t="s">
        <v>7800</v>
      </c>
      <c r="AJ47" s="1952" t="s">
        <v>7829</v>
      </c>
      <c r="AK47" s="1948"/>
      <c r="AL47" s="172"/>
      <c r="AM47" s="5295">
        <v>1</v>
      </c>
      <c r="AN47" s="1944" t="s">
        <v>7221</v>
      </c>
      <c r="AO47" s="1931" t="s">
        <v>7222</v>
      </c>
      <c r="AP47" s="1931" t="s">
        <v>7223</v>
      </c>
      <c r="AR47" s="5294">
        <f t="shared" si="22"/>
        <v>6</v>
      </c>
      <c r="AS47" s="1897" t="s">
        <v>3781</v>
      </c>
      <c r="AT47" s="1935" t="s">
        <v>4464</v>
      </c>
      <c r="AU47" s="1936" t="s">
        <v>4465</v>
      </c>
      <c r="AV47" s="1935" t="s">
        <v>4466</v>
      </c>
      <c r="AW47" s="1935" t="s">
        <v>6026</v>
      </c>
      <c r="AX47" s="1935" t="s">
        <v>6027</v>
      </c>
      <c r="AY47" s="1897" t="s">
        <v>3781</v>
      </c>
      <c r="BA47" s="3">
        <v>1</v>
      </c>
    </row>
    <row r="48" spans="2:53" ht="30" customHeight="1">
      <c r="B48" s="1953">
        <v>5</v>
      </c>
      <c r="C48" s="1904" t="s">
        <v>3877</v>
      </c>
      <c r="D48" s="1931" t="s">
        <v>7367</v>
      </c>
      <c r="E48" s="1931" t="s">
        <v>7368</v>
      </c>
      <c r="F48" s="9"/>
      <c r="G48" s="1904"/>
      <c r="H48" s="1904" t="s">
        <v>7569</v>
      </c>
      <c r="I48" s="1965" t="s">
        <v>7570</v>
      </c>
      <c r="J48" s="1965" t="s">
        <v>7571</v>
      </c>
      <c r="L48" s="5281">
        <v>1</v>
      </c>
      <c r="M48" s="172" t="s">
        <v>7045</v>
      </c>
      <c r="N48" s="1975" t="s">
        <v>7046</v>
      </c>
      <c r="O48" s="1976" t="s">
        <v>7047</v>
      </c>
      <c r="P48" s="1975" t="s">
        <v>7996</v>
      </c>
      <c r="Q48" s="1975" t="s">
        <v>7997</v>
      </c>
      <c r="R48" s="1975" t="s">
        <v>7998</v>
      </c>
      <c r="S48" s="9"/>
      <c r="T48" s="5296"/>
      <c r="U48" s="5856"/>
      <c r="V48" s="5857"/>
      <c r="W48" s="9"/>
      <c r="X48" s="5283">
        <v>1</v>
      </c>
      <c r="Y48" s="5284" t="s">
        <v>5739</v>
      </c>
      <c r="Z48" s="1969" t="s">
        <v>5740</v>
      </c>
      <c r="AA48" s="1970" t="s">
        <v>8224</v>
      </c>
      <c r="AB48" s="1969" t="s">
        <v>5741</v>
      </c>
      <c r="AC48" s="1969" t="s">
        <v>5741</v>
      </c>
      <c r="AD48" s="1969" t="s">
        <v>6731</v>
      </c>
      <c r="AE48" s="1969" t="s">
        <v>6732</v>
      </c>
      <c r="AG48" s="5285">
        <f t="shared" si="21"/>
        <v>9</v>
      </c>
      <c r="AH48" s="1947" t="s">
        <v>3639</v>
      </c>
      <c r="AI48" s="1952" t="s">
        <v>7801</v>
      </c>
      <c r="AJ48" s="1952" t="s">
        <v>7830</v>
      </c>
      <c r="AK48" s="1948"/>
      <c r="AL48" s="172"/>
      <c r="AM48" s="5295">
        <f>AM47+1</f>
        <v>2</v>
      </c>
      <c r="AN48" s="1944" t="s">
        <v>7224</v>
      </c>
      <c r="AO48" s="1931" t="s">
        <v>7225</v>
      </c>
      <c r="AP48" s="1931" t="s">
        <v>7226</v>
      </c>
      <c r="AR48" s="5294">
        <f t="shared" si="22"/>
        <v>7</v>
      </c>
      <c r="AS48" s="1897" t="s">
        <v>3788</v>
      </c>
      <c r="AT48" s="1935" t="s">
        <v>4467</v>
      </c>
      <c r="AU48" s="1936" t="s">
        <v>4468</v>
      </c>
      <c r="AV48" s="1935" t="s">
        <v>4469</v>
      </c>
      <c r="AW48" s="1935" t="s">
        <v>6028</v>
      </c>
      <c r="AX48" s="1935" t="s">
        <v>6029</v>
      </c>
      <c r="AY48" s="1897" t="s">
        <v>3788</v>
      </c>
      <c r="BA48" s="3">
        <v>1</v>
      </c>
    </row>
    <row r="49" spans="2:53" ht="30" customHeight="1">
      <c r="B49" s="1953">
        <v>6</v>
      </c>
      <c r="C49" s="1904" t="s">
        <v>3587</v>
      </c>
      <c r="D49" s="1931" t="s">
        <v>8357</v>
      </c>
      <c r="E49" s="1931" t="s">
        <v>8358</v>
      </c>
      <c r="F49" s="9"/>
      <c r="G49" s="1953">
        <v>9</v>
      </c>
      <c r="H49" s="1904" t="s">
        <v>3931</v>
      </c>
      <c r="I49" s="1965" t="s">
        <v>7572</v>
      </c>
      <c r="J49" s="1965" t="s">
        <v>7573</v>
      </c>
      <c r="L49" s="5281">
        <f>L48+1</f>
        <v>2</v>
      </c>
      <c r="M49" s="172" t="s">
        <v>7048</v>
      </c>
      <c r="N49" s="1975" t="s">
        <v>7049</v>
      </c>
      <c r="O49" s="1976" t="s">
        <v>7050</v>
      </c>
      <c r="P49" s="1975" t="s">
        <v>7999</v>
      </c>
      <c r="Q49" s="1975" t="s">
        <v>8000</v>
      </c>
      <c r="R49" s="1975" t="s">
        <v>8001</v>
      </c>
      <c r="S49" s="9"/>
      <c r="T49" s="5282" t="s">
        <v>3278</v>
      </c>
      <c r="U49" s="5286" t="s">
        <v>13529</v>
      </c>
      <c r="V49" s="5291" t="s">
        <v>3632</v>
      </c>
      <c r="W49" s="9"/>
      <c r="X49" s="5283">
        <f>X48+1</f>
        <v>2</v>
      </c>
      <c r="Y49" s="5284" t="s">
        <v>5742</v>
      </c>
      <c r="Z49" s="1969" t="s">
        <v>5743</v>
      </c>
      <c r="AA49" s="1970" t="s">
        <v>8225</v>
      </c>
      <c r="AB49" s="1969" t="s">
        <v>5744</v>
      </c>
      <c r="AC49" s="1969" t="s">
        <v>5744</v>
      </c>
      <c r="AD49" s="1969" t="s">
        <v>6733</v>
      </c>
      <c r="AE49" s="1969" t="s">
        <v>6734</v>
      </c>
      <c r="AG49" s="5285">
        <f t="shared" si="21"/>
        <v>10</v>
      </c>
      <c r="AH49" s="1947" t="s">
        <v>7773</v>
      </c>
      <c r="AI49" s="1952" t="s">
        <v>7802</v>
      </c>
      <c r="AJ49" s="1952" t="s">
        <v>7831</v>
      </c>
      <c r="AK49" s="1948"/>
      <c r="AL49" s="172"/>
      <c r="AM49" s="5295">
        <f t="shared" ref="AM49:AM51" si="23">AM48+1</f>
        <v>3</v>
      </c>
      <c r="AN49" s="1944" t="s">
        <v>7227</v>
      </c>
      <c r="AO49" s="1931" t="s">
        <v>7228</v>
      </c>
      <c r="AP49" s="1931" t="s">
        <v>7229</v>
      </c>
      <c r="AR49" s="5294">
        <f t="shared" si="22"/>
        <v>8</v>
      </c>
      <c r="AS49" s="1897" t="s">
        <v>5758</v>
      </c>
      <c r="AT49" s="1935" t="s">
        <v>5759</v>
      </c>
      <c r="AU49" s="1936" t="s">
        <v>5760</v>
      </c>
      <c r="AV49" s="1935" t="s">
        <v>5761</v>
      </c>
      <c r="AW49" s="1935" t="s">
        <v>6743</v>
      </c>
      <c r="AX49" s="1935" t="s">
        <v>6744</v>
      </c>
      <c r="AY49" s="1897" t="s">
        <v>5758</v>
      </c>
      <c r="BA49" s="3">
        <v>1</v>
      </c>
    </row>
    <row r="50" spans="2:53" ht="30" customHeight="1">
      <c r="B50" s="1953">
        <v>7</v>
      </c>
      <c r="C50" s="1904" t="s">
        <v>3896</v>
      </c>
      <c r="D50" s="1931" t="s">
        <v>8359</v>
      </c>
      <c r="E50" s="1931" t="s">
        <v>7371</v>
      </c>
      <c r="F50" s="9"/>
      <c r="G50" s="1953">
        <v>10</v>
      </c>
      <c r="H50" s="1904" t="s">
        <v>7574</v>
      </c>
      <c r="I50" s="1965" t="s">
        <v>7575</v>
      </c>
      <c r="J50" s="1965" t="s">
        <v>7576</v>
      </c>
      <c r="L50" s="5281">
        <v>2</v>
      </c>
      <c r="M50" s="172" t="s">
        <v>7051</v>
      </c>
      <c r="N50" s="1975" t="s">
        <v>7052</v>
      </c>
      <c r="O50" s="1976" t="s">
        <v>7053</v>
      </c>
      <c r="P50" s="1975" t="s">
        <v>8002</v>
      </c>
      <c r="Q50" s="1975" t="s">
        <v>8003</v>
      </c>
      <c r="R50" s="1975" t="s">
        <v>8004</v>
      </c>
      <c r="S50" s="9"/>
      <c r="T50" s="5290"/>
      <c r="U50" s="5286"/>
      <c r="V50" s="5291" t="s">
        <v>3577</v>
      </c>
      <c r="W50" s="9"/>
      <c r="X50" s="5283">
        <f t="shared" ref="X50:X58" si="24">X49+1</f>
        <v>3</v>
      </c>
      <c r="Y50" s="5284" t="s">
        <v>5790</v>
      </c>
      <c r="Z50" s="1969" t="s">
        <v>5791</v>
      </c>
      <c r="AA50" s="1970" t="s">
        <v>8226</v>
      </c>
      <c r="AB50" s="1969" t="s">
        <v>5792</v>
      </c>
      <c r="AC50" s="1969" t="s">
        <v>5792</v>
      </c>
      <c r="AD50" s="1969" t="s">
        <v>6761</v>
      </c>
      <c r="AE50" s="1969" t="s">
        <v>6762</v>
      </c>
      <c r="AG50" s="5285">
        <f t="shared" si="21"/>
        <v>11</v>
      </c>
      <c r="AH50" s="1947" t="s">
        <v>7774</v>
      </c>
      <c r="AI50" s="1952" t="s">
        <v>7803</v>
      </c>
      <c r="AJ50" s="1952" t="s">
        <v>7832</v>
      </c>
      <c r="AK50" s="1948"/>
      <c r="AL50" s="172"/>
      <c r="AM50" s="5295">
        <f t="shared" si="23"/>
        <v>4</v>
      </c>
      <c r="AN50" s="1944" t="s">
        <v>7230</v>
      </c>
      <c r="AO50" s="1931" t="s">
        <v>7231</v>
      </c>
      <c r="AP50" s="1931" t="s">
        <v>7232</v>
      </c>
      <c r="AR50" s="5294">
        <f t="shared" si="22"/>
        <v>9</v>
      </c>
      <c r="AS50" s="1897" t="s">
        <v>5762</v>
      </c>
      <c r="AT50" s="1935" t="s">
        <v>5763</v>
      </c>
      <c r="AU50" s="1936" t="s">
        <v>5764</v>
      </c>
      <c r="AV50" s="1935" t="s">
        <v>5765</v>
      </c>
      <c r="AW50" s="1935" t="s">
        <v>6745</v>
      </c>
      <c r="AX50" s="1935" t="s">
        <v>6746</v>
      </c>
      <c r="AY50" s="1897" t="s">
        <v>5762</v>
      </c>
      <c r="BA50" s="3">
        <v>1</v>
      </c>
    </row>
    <row r="51" spans="2:53" ht="30" customHeight="1">
      <c r="B51" s="1953">
        <v>8</v>
      </c>
      <c r="C51" s="1904" t="s">
        <v>8073</v>
      </c>
      <c r="D51" s="1931" t="s">
        <v>8360</v>
      </c>
      <c r="E51" s="1931" t="s">
        <v>8361</v>
      </c>
      <c r="F51" s="9"/>
      <c r="G51" s="1953">
        <v>11</v>
      </c>
      <c r="H51" s="1904" t="s">
        <v>7643</v>
      </c>
      <c r="I51" s="1965" t="s">
        <v>7644</v>
      </c>
      <c r="J51" s="1965" t="s">
        <v>7646</v>
      </c>
      <c r="L51" s="5281"/>
      <c r="M51" s="5276" t="s">
        <v>3681</v>
      </c>
      <c r="N51" s="1897"/>
      <c r="O51" s="1897"/>
      <c r="P51" s="709"/>
      <c r="Q51" s="709"/>
      <c r="R51" s="1943" t="s">
        <v>3681</v>
      </c>
      <c r="S51" s="9"/>
      <c r="T51" s="5296"/>
      <c r="U51" s="5856"/>
      <c r="V51" s="5857"/>
      <c r="W51" s="9"/>
      <c r="X51" s="5283">
        <f t="shared" si="24"/>
        <v>4</v>
      </c>
      <c r="Y51" s="5284" t="s">
        <v>5753</v>
      </c>
      <c r="Z51" s="1969" t="s">
        <v>5754</v>
      </c>
      <c r="AA51" s="1970" t="s">
        <v>8227</v>
      </c>
      <c r="AB51" s="1969" t="s">
        <v>5755</v>
      </c>
      <c r="AC51" s="1969" t="s">
        <v>5755</v>
      </c>
      <c r="AD51" s="1969" t="s">
        <v>6739</v>
      </c>
      <c r="AE51" s="1969" t="s">
        <v>6740</v>
      </c>
      <c r="AG51" s="5285">
        <f t="shared" si="21"/>
        <v>12</v>
      </c>
      <c r="AH51" s="1947" t="s">
        <v>7775</v>
      </c>
      <c r="AI51" s="1952" t="s">
        <v>7804</v>
      </c>
      <c r="AJ51" s="1952" t="s">
        <v>7833</v>
      </c>
      <c r="AK51" s="1948"/>
      <c r="AL51" s="172"/>
      <c r="AM51" s="5295">
        <f t="shared" si="23"/>
        <v>5</v>
      </c>
      <c r="AN51" s="1944" t="s">
        <v>7233</v>
      </c>
      <c r="AO51" s="1931" t="s">
        <v>7234</v>
      </c>
      <c r="AP51" s="1931" t="s">
        <v>7235</v>
      </c>
      <c r="AR51" s="5294">
        <f t="shared" si="22"/>
        <v>10</v>
      </c>
      <c r="AS51" s="1897" t="s">
        <v>5766</v>
      </c>
      <c r="AT51" s="1935" t="s">
        <v>5767</v>
      </c>
      <c r="AU51" s="1936" t="s">
        <v>5768</v>
      </c>
      <c r="AV51" s="1935" t="s">
        <v>5769</v>
      </c>
      <c r="AW51" s="1935" t="s">
        <v>6747</v>
      </c>
      <c r="AX51" s="1935" t="s">
        <v>6748</v>
      </c>
      <c r="AY51" s="1897" t="s">
        <v>5766</v>
      </c>
      <c r="BA51" s="3">
        <v>1</v>
      </c>
    </row>
    <row r="52" spans="2:53" ht="30" customHeight="1">
      <c r="B52" s="1953">
        <v>9</v>
      </c>
      <c r="C52" s="1904" t="s">
        <v>8074</v>
      </c>
      <c r="D52" s="1931" t="s">
        <v>8362</v>
      </c>
      <c r="E52" s="1931" t="s">
        <v>8363</v>
      </c>
      <c r="F52" s="9"/>
      <c r="G52" s="1953">
        <v>12</v>
      </c>
      <c r="H52" s="1904" t="s">
        <v>3948</v>
      </c>
      <c r="I52" s="1574" t="s">
        <v>7645</v>
      </c>
      <c r="J52" s="1574" t="s">
        <v>7647</v>
      </c>
      <c r="L52" s="5281">
        <v>1</v>
      </c>
      <c r="M52" s="172" t="s">
        <v>7054</v>
      </c>
      <c r="N52" s="1975" t="s">
        <v>7055</v>
      </c>
      <c r="O52" s="1976" t="s">
        <v>7056</v>
      </c>
      <c r="P52" s="1975" t="s">
        <v>8005</v>
      </c>
      <c r="Q52" s="1975" t="s">
        <v>8006</v>
      </c>
      <c r="R52" s="1975" t="s">
        <v>8007</v>
      </c>
      <c r="S52" s="9"/>
      <c r="T52" s="5282" t="s">
        <v>3748</v>
      </c>
      <c r="U52" s="5286" t="s">
        <v>3763</v>
      </c>
      <c r="V52" s="5291" t="s">
        <v>3769</v>
      </c>
      <c r="W52" s="9"/>
      <c r="X52" s="5283">
        <f t="shared" si="24"/>
        <v>5</v>
      </c>
      <c r="Y52" s="5284" t="s">
        <v>5756</v>
      </c>
      <c r="Z52" s="1969" t="s">
        <v>5723</v>
      </c>
      <c r="AA52" s="1970" t="s">
        <v>8228</v>
      </c>
      <c r="AB52" s="1969" t="s">
        <v>5757</v>
      </c>
      <c r="AC52" s="1969" t="s">
        <v>5757</v>
      </c>
      <c r="AD52" s="1969" t="s">
        <v>6741</v>
      </c>
      <c r="AE52" s="1969" t="s">
        <v>6742</v>
      </c>
      <c r="AG52" s="5285">
        <f t="shared" si="21"/>
        <v>13</v>
      </c>
      <c r="AH52" s="1947" t="s">
        <v>7774</v>
      </c>
      <c r="AI52" s="1952" t="s">
        <v>7803</v>
      </c>
      <c r="AJ52" s="1952" t="s">
        <v>7832</v>
      </c>
      <c r="AK52" s="1948"/>
      <c r="AL52" s="172"/>
      <c r="AM52" s="5295"/>
      <c r="AN52" s="1900" t="s">
        <v>3754</v>
      </c>
      <c r="AO52" s="1900"/>
      <c r="AP52" s="1977" t="s">
        <v>3754</v>
      </c>
      <c r="AR52" s="5294">
        <f t="shared" si="22"/>
        <v>11</v>
      </c>
      <c r="AS52" s="1897" t="s">
        <v>7489</v>
      </c>
      <c r="AT52" s="1935" t="s">
        <v>7490</v>
      </c>
      <c r="AU52" s="1936" t="s">
        <v>7491</v>
      </c>
      <c r="AV52" s="1935" t="s">
        <v>8109</v>
      </c>
      <c r="AW52" s="1935" t="s">
        <v>8110</v>
      </c>
      <c r="AX52" s="1935" t="s">
        <v>8111</v>
      </c>
      <c r="AY52" s="1897" t="s">
        <v>7489</v>
      </c>
      <c r="BA52" s="3">
        <v>1</v>
      </c>
    </row>
    <row r="53" spans="2:53" ht="30" customHeight="1">
      <c r="B53" s="1953">
        <v>10</v>
      </c>
      <c r="C53" s="1904" t="s">
        <v>3909</v>
      </c>
      <c r="D53" s="1931" t="s">
        <v>7372</v>
      </c>
      <c r="E53" s="1931" t="s">
        <v>8364</v>
      </c>
      <c r="F53" s="9"/>
      <c r="G53" s="1904"/>
      <c r="H53" s="1961"/>
      <c r="I53" s="1574"/>
      <c r="J53" s="1574"/>
      <c r="L53" s="5281"/>
      <c r="M53" s="5276" t="s">
        <v>2</v>
      </c>
      <c r="N53" s="1897"/>
      <c r="O53" s="1897"/>
      <c r="P53" s="709"/>
      <c r="Q53" s="709"/>
      <c r="R53" s="1943" t="s">
        <v>2</v>
      </c>
      <c r="S53" s="9"/>
      <c r="T53" s="5290"/>
      <c r="U53" s="5286" t="s">
        <v>13530</v>
      </c>
      <c r="V53" s="5297"/>
      <c r="W53" s="9"/>
      <c r="X53" s="5283">
        <f t="shared" si="24"/>
        <v>6</v>
      </c>
      <c r="Y53" s="5284" t="s">
        <v>5770</v>
      </c>
      <c r="Z53" s="1969" t="s">
        <v>5771</v>
      </c>
      <c r="AA53" s="1970" t="s">
        <v>8229</v>
      </c>
      <c r="AB53" s="1969" t="s">
        <v>5772</v>
      </c>
      <c r="AC53" s="1969" t="s">
        <v>5772</v>
      </c>
      <c r="AD53" s="1969" t="s">
        <v>6749</v>
      </c>
      <c r="AE53" s="1969" t="s">
        <v>6750</v>
      </c>
      <c r="AG53" s="5285">
        <f t="shared" si="21"/>
        <v>14</v>
      </c>
      <c r="AH53" s="1947" t="s">
        <v>7776</v>
      </c>
      <c r="AI53" s="1952" t="s">
        <v>7805</v>
      </c>
      <c r="AJ53" s="1952" t="s">
        <v>7834</v>
      </c>
      <c r="AK53" s="1948"/>
      <c r="AL53" s="172"/>
      <c r="AM53" s="5295">
        <v>1</v>
      </c>
      <c r="AN53" s="1944" t="s">
        <v>7756</v>
      </c>
      <c r="AO53" s="1931" t="s">
        <v>7704</v>
      </c>
      <c r="AP53" s="1931" t="s">
        <v>7705</v>
      </c>
      <c r="AR53" s="5294">
        <f t="shared" si="22"/>
        <v>12</v>
      </c>
      <c r="AS53" s="1897" t="s">
        <v>3794</v>
      </c>
      <c r="AT53" s="1935" t="s">
        <v>4470</v>
      </c>
      <c r="AU53" s="1936" t="s">
        <v>4471</v>
      </c>
      <c r="AV53" s="1935" t="s">
        <v>4472</v>
      </c>
      <c r="AW53" s="1935" t="s">
        <v>5512</v>
      </c>
      <c r="AX53" s="1935" t="s">
        <v>6030</v>
      </c>
      <c r="AY53" s="1897" t="s">
        <v>3794</v>
      </c>
      <c r="BA53" s="3">
        <v>1</v>
      </c>
    </row>
    <row r="54" spans="2:53" ht="30" customHeight="1">
      <c r="B54" s="1953"/>
      <c r="F54" s="9"/>
      <c r="G54" s="1901" t="s">
        <v>2854</v>
      </c>
      <c r="H54" s="1903" t="s">
        <v>3961</v>
      </c>
      <c r="I54" s="1903" t="s">
        <v>7648</v>
      </c>
      <c r="J54" s="1903" t="s">
        <v>7649</v>
      </c>
      <c r="L54" s="5281">
        <v>1</v>
      </c>
      <c r="M54" s="172" t="s">
        <v>7057</v>
      </c>
      <c r="N54" s="1975" t="s">
        <v>7058</v>
      </c>
      <c r="O54" s="1976" t="s">
        <v>7059</v>
      </c>
      <c r="P54" s="1975" t="s">
        <v>8008</v>
      </c>
      <c r="Q54" s="1975" t="s">
        <v>8009</v>
      </c>
      <c r="R54" s="1975" t="s">
        <v>8010</v>
      </c>
      <c r="S54" s="9"/>
      <c r="T54" s="5296"/>
      <c r="U54" s="5856"/>
      <c r="V54" s="5857"/>
      <c r="W54" s="9"/>
      <c r="X54" s="5283">
        <f t="shared" si="24"/>
        <v>7</v>
      </c>
      <c r="Y54" s="5284" t="s">
        <v>3696</v>
      </c>
      <c r="Z54" s="1969" t="s">
        <v>5737</v>
      </c>
      <c r="AA54" s="1970" t="s">
        <v>8230</v>
      </c>
      <c r="AB54" s="1969" t="s">
        <v>5738</v>
      </c>
      <c r="AC54" s="1969" t="s">
        <v>5738</v>
      </c>
      <c r="AD54" s="1969" t="s">
        <v>6729</v>
      </c>
      <c r="AE54" s="1969" t="s">
        <v>6730</v>
      </c>
      <c r="AG54" s="5285">
        <f t="shared" si="21"/>
        <v>15</v>
      </c>
      <c r="AH54" s="1947" t="s">
        <v>7777</v>
      </c>
      <c r="AI54" s="1952" t="s">
        <v>7805</v>
      </c>
      <c r="AJ54" s="1952" t="s">
        <v>7834</v>
      </c>
      <c r="AK54" s="1948"/>
      <c r="AL54" s="172"/>
      <c r="AM54" s="5295">
        <f>AM53+1</f>
        <v>2</v>
      </c>
      <c r="AN54" s="1944" t="s">
        <v>7757</v>
      </c>
      <c r="AO54" s="1931" t="s">
        <v>7706</v>
      </c>
      <c r="AP54" s="1931" t="s">
        <v>7707</v>
      </c>
      <c r="AR54" s="5294">
        <f t="shared" si="22"/>
        <v>13</v>
      </c>
      <c r="AS54" s="1897" t="s">
        <v>3801</v>
      </c>
      <c r="AT54" s="1935" t="s">
        <v>4473</v>
      </c>
      <c r="AU54" s="1936" t="s">
        <v>4474</v>
      </c>
      <c r="AV54" s="1935" t="s">
        <v>4475</v>
      </c>
      <c r="AW54" s="1935" t="s">
        <v>6031</v>
      </c>
      <c r="AX54" s="1935" t="s">
        <v>6032</v>
      </c>
      <c r="AY54" s="1897" t="s">
        <v>3801</v>
      </c>
      <c r="BA54" s="3">
        <v>1</v>
      </c>
    </row>
    <row r="55" spans="2:53" ht="30" customHeight="1">
      <c r="B55" s="1953"/>
      <c r="C55" s="1903" t="s">
        <v>7664</v>
      </c>
      <c r="D55" s="1903" t="s">
        <v>7627</v>
      </c>
      <c r="E55" s="1903" t="s">
        <v>7628</v>
      </c>
      <c r="F55" s="9"/>
      <c r="G55" s="1953">
        <v>1</v>
      </c>
      <c r="H55" s="1904" t="s">
        <v>7577</v>
      </c>
      <c r="I55" s="1965" t="s">
        <v>7578</v>
      </c>
      <c r="J55" s="1965" t="s">
        <v>7579</v>
      </c>
      <c r="L55" s="5281">
        <f>L54+1</f>
        <v>2</v>
      </c>
      <c r="M55" s="172" t="s">
        <v>3967</v>
      </c>
      <c r="N55" s="1975" t="s">
        <v>7060</v>
      </c>
      <c r="O55" s="1976" t="s">
        <v>7061</v>
      </c>
      <c r="P55" s="1975" t="s">
        <v>8011</v>
      </c>
      <c r="Q55" s="1975" t="s">
        <v>8012</v>
      </c>
      <c r="R55" s="1975" t="s">
        <v>8013</v>
      </c>
      <c r="S55" s="9"/>
      <c r="T55" s="5282" t="s">
        <v>3869</v>
      </c>
      <c r="U55" s="5286" t="s">
        <v>3904</v>
      </c>
      <c r="V55" s="5298"/>
      <c r="W55" s="9"/>
      <c r="X55" s="5283">
        <f t="shared" si="24"/>
        <v>8</v>
      </c>
      <c r="Y55" s="5284" t="s">
        <v>5777</v>
      </c>
      <c r="Z55" s="1969" t="s">
        <v>5778</v>
      </c>
      <c r="AA55" s="1970" t="s">
        <v>8231</v>
      </c>
      <c r="AB55" s="1969" t="s">
        <v>5779</v>
      </c>
      <c r="AC55" s="1969" t="s">
        <v>5779</v>
      </c>
      <c r="AD55" s="1969" t="s">
        <v>6753</v>
      </c>
      <c r="AE55" s="1969" t="s">
        <v>6754</v>
      </c>
      <c r="AG55" s="5285">
        <f t="shared" si="21"/>
        <v>16</v>
      </c>
      <c r="AH55" s="1947" t="s">
        <v>7778</v>
      </c>
      <c r="AI55" s="1952" t="s">
        <v>7806</v>
      </c>
      <c r="AJ55" s="1952" t="s">
        <v>7835</v>
      </c>
      <c r="AK55" s="1948"/>
      <c r="AL55" s="172"/>
      <c r="AM55" s="5295">
        <f t="shared" ref="AM55:AM56" si="25">AM54+1</f>
        <v>3</v>
      </c>
      <c r="AN55" s="1944" t="s">
        <v>7758</v>
      </c>
      <c r="AO55" s="1931" t="s">
        <v>7708</v>
      </c>
      <c r="AP55" s="1931" t="s">
        <v>7709</v>
      </c>
      <c r="AR55" s="5294">
        <f t="shared" si="22"/>
        <v>14</v>
      </c>
      <c r="AS55" s="1897" t="s">
        <v>5773</v>
      </c>
      <c r="AT55" s="1935" t="s">
        <v>5774</v>
      </c>
      <c r="AU55" s="1936" t="s">
        <v>5775</v>
      </c>
      <c r="AV55" s="1935" t="s">
        <v>5776</v>
      </c>
      <c r="AW55" s="1935" t="s">
        <v>6751</v>
      </c>
      <c r="AX55" s="1935" t="s">
        <v>6752</v>
      </c>
      <c r="AY55" s="1897" t="s">
        <v>5773</v>
      </c>
      <c r="BA55" s="3">
        <v>1</v>
      </c>
    </row>
    <row r="56" spans="2:53" ht="30" customHeight="1">
      <c r="B56" s="1953">
        <v>1</v>
      </c>
      <c r="C56" s="1904" t="s">
        <v>3925</v>
      </c>
      <c r="D56" s="1931" t="s">
        <v>7369</v>
      </c>
      <c r="E56" s="1931" t="s">
        <v>7370</v>
      </c>
      <c r="F56" s="9"/>
      <c r="G56" s="1953">
        <v>2</v>
      </c>
      <c r="H56" s="1904" t="s">
        <v>7580</v>
      </c>
      <c r="I56" s="1965" t="s">
        <v>7581</v>
      </c>
      <c r="J56" s="1965" t="s">
        <v>7582</v>
      </c>
      <c r="L56" s="5281">
        <v>2</v>
      </c>
      <c r="M56" s="172" t="s">
        <v>7062</v>
      </c>
      <c r="N56" s="1975" t="s">
        <v>7063</v>
      </c>
      <c r="O56" s="1976" t="s">
        <v>7064</v>
      </c>
      <c r="P56" s="1975" t="s">
        <v>8014</v>
      </c>
      <c r="Q56" s="1975" t="s">
        <v>8015</v>
      </c>
      <c r="R56" s="1975" t="s">
        <v>8016</v>
      </c>
      <c r="S56" s="9"/>
      <c r="T56" s="5282"/>
      <c r="U56" s="5286"/>
      <c r="V56" s="5291" t="s">
        <v>3890</v>
      </c>
      <c r="W56" s="9"/>
      <c r="X56" s="5283">
        <f t="shared" si="24"/>
        <v>9</v>
      </c>
      <c r="Y56" s="5284" t="s">
        <v>5780</v>
      </c>
      <c r="Z56" s="1969" t="s">
        <v>5781</v>
      </c>
      <c r="AA56" s="1970" t="s">
        <v>8232</v>
      </c>
      <c r="AB56" s="1969" t="s">
        <v>5782</v>
      </c>
      <c r="AC56" s="1969" t="s">
        <v>5782</v>
      </c>
      <c r="AD56" s="1969" t="s">
        <v>6755</v>
      </c>
      <c r="AE56" s="1969" t="s">
        <v>6756</v>
      </c>
      <c r="AG56" s="5285">
        <f t="shared" si="21"/>
        <v>17</v>
      </c>
      <c r="AH56" s="1947" t="s">
        <v>7779</v>
      </c>
      <c r="AI56" s="1952" t="s">
        <v>7807</v>
      </c>
      <c r="AJ56" s="1952" t="s">
        <v>7836</v>
      </c>
      <c r="AK56" s="1948"/>
      <c r="AL56" s="172"/>
      <c r="AM56" s="5295">
        <f t="shared" si="25"/>
        <v>4</v>
      </c>
      <c r="AN56" s="1944" t="s">
        <v>7759</v>
      </c>
      <c r="AO56" s="1931" t="s">
        <v>7710</v>
      </c>
      <c r="AP56" s="1931" t="s">
        <v>7711</v>
      </c>
      <c r="AR56" s="5294">
        <f t="shared" si="22"/>
        <v>15</v>
      </c>
      <c r="AS56" s="1897" t="s">
        <v>3807</v>
      </c>
      <c r="AT56" s="1935" t="s">
        <v>4476</v>
      </c>
      <c r="AU56" s="1936" t="s">
        <v>4477</v>
      </c>
      <c r="AV56" s="1935" t="s">
        <v>4478</v>
      </c>
      <c r="AW56" s="1935" t="s">
        <v>6033</v>
      </c>
      <c r="AX56" s="1935" t="s">
        <v>6034</v>
      </c>
      <c r="AY56" s="1897" t="s">
        <v>3807</v>
      </c>
      <c r="BA56" s="3">
        <v>1</v>
      </c>
    </row>
    <row r="57" spans="2:53" ht="30" customHeight="1">
      <c r="B57" s="1953">
        <v>2</v>
      </c>
      <c r="C57" s="1904" t="s">
        <v>8075</v>
      </c>
      <c r="D57" s="1931" t="s">
        <v>7374</v>
      </c>
      <c r="E57" s="1931" t="s">
        <v>8365</v>
      </c>
      <c r="F57" s="9"/>
      <c r="G57" s="1953">
        <v>3</v>
      </c>
      <c r="H57" s="1904" t="s">
        <v>7583</v>
      </c>
      <c r="I57" s="1965" t="s">
        <v>7584</v>
      </c>
      <c r="J57" s="1965" t="s">
        <v>7585</v>
      </c>
      <c r="L57" s="5281">
        <f t="shared" ref="L57" si="26">L56+1</f>
        <v>3</v>
      </c>
      <c r="M57" s="172" t="s">
        <v>3980</v>
      </c>
      <c r="N57" s="1975" t="s">
        <v>7065</v>
      </c>
      <c r="O57" s="1976" t="s">
        <v>7066</v>
      </c>
      <c r="P57" s="1975" t="s">
        <v>8017</v>
      </c>
      <c r="Q57" s="1975" t="s">
        <v>8018</v>
      </c>
      <c r="R57" s="1975" t="s">
        <v>8019</v>
      </c>
      <c r="S57" s="9"/>
      <c r="T57" s="5296"/>
      <c r="U57" s="5856"/>
      <c r="V57" s="5857"/>
      <c r="W57" s="9"/>
      <c r="X57" s="5283">
        <f t="shared" si="24"/>
        <v>10</v>
      </c>
      <c r="Y57" s="5284" t="s">
        <v>5783</v>
      </c>
      <c r="Z57" s="1969" t="s">
        <v>5784</v>
      </c>
      <c r="AA57" s="1970" t="s">
        <v>5785</v>
      </c>
      <c r="AB57" s="1969" t="s">
        <v>5786</v>
      </c>
      <c r="AC57" s="1969" t="s">
        <v>5786</v>
      </c>
      <c r="AD57" s="1969" t="s">
        <v>6757</v>
      </c>
      <c r="AE57" s="1969" t="s">
        <v>6758</v>
      </c>
      <c r="AG57" s="5285">
        <f t="shared" si="21"/>
        <v>18</v>
      </c>
      <c r="AH57" s="1947" t="s">
        <v>7780</v>
      </c>
      <c r="AI57" s="1952" t="s">
        <v>7808</v>
      </c>
      <c r="AJ57" s="1952" t="s">
        <v>7837</v>
      </c>
      <c r="AK57" s="1948"/>
      <c r="AL57" s="172"/>
      <c r="AM57" s="5295"/>
      <c r="AN57" s="1900" t="s">
        <v>3278</v>
      </c>
      <c r="AO57" s="1900"/>
      <c r="AP57" s="1977" t="s">
        <v>3278</v>
      </c>
      <c r="AR57" s="5294">
        <f t="shared" si="22"/>
        <v>16</v>
      </c>
      <c r="AS57" s="1897" t="s">
        <v>3815</v>
      </c>
      <c r="AT57" s="1935" t="s">
        <v>4479</v>
      </c>
      <c r="AU57" s="1936" t="s">
        <v>4480</v>
      </c>
      <c r="AV57" s="1935" t="s">
        <v>4481</v>
      </c>
      <c r="AW57" s="1935" t="s">
        <v>6035</v>
      </c>
      <c r="AX57" s="1935" t="s">
        <v>6036</v>
      </c>
      <c r="AY57" s="1897" t="s">
        <v>3815</v>
      </c>
      <c r="BA57" s="3">
        <v>1</v>
      </c>
    </row>
    <row r="58" spans="2:53" ht="30" customHeight="1">
      <c r="B58" s="1953">
        <v>3</v>
      </c>
      <c r="C58" s="1904" t="s">
        <v>3888</v>
      </c>
      <c r="D58" s="1931" t="s">
        <v>8366</v>
      </c>
      <c r="E58" s="1931" t="s">
        <v>7370</v>
      </c>
      <c r="F58" s="9"/>
      <c r="G58" s="1953">
        <v>4</v>
      </c>
      <c r="H58" s="1904" t="s">
        <v>3992</v>
      </c>
      <c r="I58" s="1965" t="s">
        <v>7586</v>
      </c>
      <c r="J58" s="1965" t="s">
        <v>7587</v>
      </c>
      <c r="L58" s="5281">
        <v>3</v>
      </c>
      <c r="M58" s="172" t="s">
        <v>7067</v>
      </c>
      <c r="N58" s="1975" t="s">
        <v>7068</v>
      </c>
      <c r="O58" s="1976" t="s">
        <v>7069</v>
      </c>
      <c r="P58" s="1975" t="s">
        <v>8020</v>
      </c>
      <c r="Q58" s="1975" t="s">
        <v>8021</v>
      </c>
      <c r="R58" s="1975" t="s">
        <v>8022</v>
      </c>
      <c r="S58" s="9"/>
      <c r="T58" s="5282" t="s">
        <v>0</v>
      </c>
      <c r="U58" s="5286" t="s">
        <v>3945</v>
      </c>
      <c r="V58" s="5291" t="s">
        <v>3950</v>
      </c>
      <c r="W58" s="9"/>
      <c r="X58" s="5283">
        <f t="shared" si="24"/>
        <v>11</v>
      </c>
      <c r="Y58" s="5284" t="s">
        <v>5787</v>
      </c>
      <c r="Z58" s="1969" t="s">
        <v>5788</v>
      </c>
      <c r="AA58" s="1970" t="s">
        <v>8233</v>
      </c>
      <c r="AB58" s="1969" t="s">
        <v>5789</v>
      </c>
      <c r="AC58" s="1969" t="s">
        <v>5789</v>
      </c>
      <c r="AD58" s="1969" t="s">
        <v>6759</v>
      </c>
      <c r="AE58" s="1969" t="s">
        <v>6760</v>
      </c>
      <c r="AG58" s="5285">
        <f t="shared" si="21"/>
        <v>19</v>
      </c>
      <c r="AH58" s="1947" t="s">
        <v>7781</v>
      </c>
      <c r="AI58" s="1952" t="s">
        <v>7809</v>
      </c>
      <c r="AJ58" s="1952" t="s">
        <v>7838</v>
      </c>
      <c r="AK58" s="1948"/>
      <c r="AL58" s="172"/>
      <c r="AM58" s="5295">
        <v>1</v>
      </c>
      <c r="AN58" s="1944" t="s">
        <v>7236</v>
      </c>
      <c r="AO58" s="1931" t="s">
        <v>7237</v>
      </c>
      <c r="AP58" s="1931" t="s">
        <v>7238</v>
      </c>
      <c r="AR58" s="5294">
        <f t="shared" si="22"/>
        <v>17</v>
      </c>
      <c r="AS58" s="1897" t="s">
        <v>3824</v>
      </c>
      <c r="AT58" s="1935" t="s">
        <v>4482</v>
      </c>
      <c r="AU58" s="1936" t="s">
        <v>4483</v>
      </c>
      <c r="AV58" s="1935" t="s">
        <v>8320</v>
      </c>
      <c r="AW58" s="1935" t="s">
        <v>8321</v>
      </c>
      <c r="AX58" s="1935" t="s">
        <v>8322</v>
      </c>
      <c r="AY58" s="1897" t="s">
        <v>3824</v>
      </c>
      <c r="BA58" s="3">
        <v>1</v>
      </c>
    </row>
    <row r="59" spans="2:53" ht="30" customHeight="1">
      <c r="B59" s="1953"/>
      <c r="F59" s="9"/>
      <c r="G59" s="1953">
        <v>5</v>
      </c>
      <c r="H59" s="1904" t="s">
        <v>7588</v>
      </c>
      <c r="I59" s="1965" t="s">
        <v>7589</v>
      </c>
      <c r="J59" s="1965" t="s">
        <v>7590</v>
      </c>
      <c r="L59" s="5281">
        <f t="shared" ref="L59" si="27">L58+1</f>
        <v>4</v>
      </c>
      <c r="M59" s="172" t="s">
        <v>7070</v>
      </c>
      <c r="N59" s="1975" t="s">
        <v>7071</v>
      </c>
      <c r="O59" s="1976" t="s">
        <v>7072</v>
      </c>
      <c r="P59" s="1975" t="s">
        <v>8023</v>
      </c>
      <c r="Q59" s="1975" t="s">
        <v>8024</v>
      </c>
      <c r="R59" s="1975" t="s">
        <v>8025</v>
      </c>
      <c r="S59" s="9"/>
      <c r="T59" s="5296"/>
      <c r="U59" s="5856"/>
      <c r="V59" s="5857"/>
      <c r="W59" s="9"/>
      <c r="X59" s="5283"/>
      <c r="Y59" s="5280" t="s">
        <v>1670</v>
      </c>
      <c r="Z59" s="1933"/>
      <c r="AA59" s="1933"/>
      <c r="AB59" s="1933"/>
      <c r="AC59" s="1933"/>
      <c r="AD59" s="1933"/>
      <c r="AE59" s="1942" t="s">
        <v>1670</v>
      </c>
      <c r="AG59" s="5285">
        <f t="shared" si="21"/>
        <v>20</v>
      </c>
      <c r="AH59" s="1947" t="s">
        <v>7782</v>
      </c>
      <c r="AI59" s="1952" t="s">
        <v>7810</v>
      </c>
      <c r="AJ59" s="1952" t="s">
        <v>7839</v>
      </c>
      <c r="AK59" s="1948"/>
      <c r="AL59" s="172"/>
      <c r="AM59" s="5295">
        <f>AM58+1</f>
        <v>2</v>
      </c>
      <c r="AN59" s="1944" t="s">
        <v>7239</v>
      </c>
      <c r="AO59" s="1931" t="s">
        <v>7240</v>
      </c>
      <c r="AP59" s="1931" t="s">
        <v>7241</v>
      </c>
      <c r="AR59" s="5275"/>
      <c r="AS59" s="1940" t="s">
        <v>1670</v>
      </c>
      <c r="AT59" s="1933"/>
      <c r="AU59" s="1933"/>
      <c r="AV59" s="1933"/>
      <c r="AW59" s="1932"/>
      <c r="AX59" s="1932"/>
      <c r="AY59" s="1940" t="s">
        <v>1670</v>
      </c>
      <c r="BA59" s="3">
        <v>1</v>
      </c>
    </row>
    <row r="60" spans="2:53" ht="30" customHeight="1">
      <c r="B60" s="1953"/>
      <c r="C60" s="1903" t="s">
        <v>7667</v>
      </c>
      <c r="D60" s="1903" t="s">
        <v>7668</v>
      </c>
      <c r="E60" s="1903" t="s">
        <v>7669</v>
      </c>
      <c r="F60" s="9"/>
      <c r="G60" s="1904"/>
      <c r="H60" s="479"/>
      <c r="I60" s="231"/>
      <c r="J60" s="231"/>
      <c r="L60" s="5281">
        <v>4</v>
      </c>
      <c r="M60" s="172" t="s">
        <v>7073</v>
      </c>
      <c r="N60" s="1975" t="s">
        <v>7074</v>
      </c>
      <c r="O60" s="1976" t="s">
        <v>7075</v>
      </c>
      <c r="P60" s="1975" t="s">
        <v>8026</v>
      </c>
      <c r="Q60" s="1975" t="s">
        <v>8027</v>
      </c>
      <c r="R60" s="1975" t="s">
        <v>8028</v>
      </c>
      <c r="S60" s="9"/>
      <c r="T60" s="5282" t="s">
        <v>1</v>
      </c>
      <c r="U60" s="5286" t="s">
        <v>3578</v>
      </c>
      <c r="V60" s="5287"/>
      <c r="W60" s="9"/>
      <c r="X60" s="5283">
        <v>1</v>
      </c>
      <c r="Y60" s="5284" t="s">
        <v>3834</v>
      </c>
      <c r="Z60" s="1969" t="s">
        <v>5735</v>
      </c>
      <c r="AA60" s="1970" t="s">
        <v>8222</v>
      </c>
      <c r="AB60" s="1969" t="s">
        <v>5736</v>
      </c>
      <c r="AC60" s="1969" t="s">
        <v>5736</v>
      </c>
      <c r="AD60" s="1969" t="s">
        <v>6797</v>
      </c>
      <c r="AE60" s="1969" t="s">
        <v>8223</v>
      </c>
      <c r="AG60" s="5285">
        <f t="shared" si="21"/>
        <v>21</v>
      </c>
      <c r="AH60" s="1947" t="s">
        <v>7783</v>
      </c>
      <c r="AI60" s="1952" t="s">
        <v>7811</v>
      </c>
      <c r="AJ60" s="1952" t="s">
        <v>7840</v>
      </c>
      <c r="AK60" s="1948"/>
      <c r="AL60" s="172"/>
      <c r="AM60" s="5295">
        <f t="shared" ref="AM60:AM64" si="28">AM59+1</f>
        <v>3</v>
      </c>
      <c r="AN60" s="1944" t="s">
        <v>7242</v>
      </c>
      <c r="AO60" s="1931" t="s">
        <v>7243</v>
      </c>
      <c r="AP60" s="1931" t="s">
        <v>7244</v>
      </c>
      <c r="AR60" s="5294">
        <v>1</v>
      </c>
      <c r="AS60" s="1897" t="s">
        <v>4484</v>
      </c>
      <c r="AT60" s="1935" t="s">
        <v>4485</v>
      </c>
      <c r="AU60" s="1935" t="s">
        <v>4486</v>
      </c>
      <c r="AV60" s="1935" t="s">
        <v>4487</v>
      </c>
      <c r="AW60" s="1935" t="s">
        <v>6037</v>
      </c>
      <c r="AX60" s="1935" t="s">
        <v>6038</v>
      </c>
      <c r="AY60" s="1897" t="s">
        <v>4484</v>
      </c>
      <c r="BA60" s="3">
        <v>1</v>
      </c>
    </row>
    <row r="61" spans="2:53" ht="30" customHeight="1">
      <c r="B61" s="1953">
        <v>1</v>
      </c>
      <c r="C61" s="1904" t="s">
        <v>4076</v>
      </c>
      <c r="D61" s="1931" t="s">
        <v>7401</v>
      </c>
      <c r="E61" s="1931" t="s">
        <v>8367</v>
      </c>
      <c r="F61" s="9"/>
      <c r="G61" s="1901" t="s">
        <v>2855</v>
      </c>
      <c r="H61" s="1903" t="s">
        <v>3809</v>
      </c>
      <c r="I61" s="1903" t="s">
        <v>7650</v>
      </c>
      <c r="J61" s="1903" t="s">
        <v>7651</v>
      </c>
      <c r="L61" s="5281">
        <f t="shared" ref="L61" si="29">L60+1</f>
        <v>5</v>
      </c>
      <c r="M61" s="172" t="s">
        <v>4002</v>
      </c>
      <c r="N61" s="1975" t="s">
        <v>7076</v>
      </c>
      <c r="O61" s="1976" t="s">
        <v>7077</v>
      </c>
      <c r="P61" s="1975" t="s">
        <v>8029</v>
      </c>
      <c r="Q61" s="1975" t="s">
        <v>8030</v>
      </c>
      <c r="R61" s="1975" t="s">
        <v>8031</v>
      </c>
      <c r="S61" s="9"/>
      <c r="T61" s="5290"/>
      <c r="U61" s="5286" t="s">
        <v>3624</v>
      </c>
      <c r="V61" s="5291" t="s">
        <v>3633</v>
      </c>
      <c r="W61" s="9"/>
      <c r="X61" s="5283">
        <f>X60+1</f>
        <v>2</v>
      </c>
      <c r="Y61" s="5284" t="s">
        <v>3713</v>
      </c>
      <c r="Z61" s="1969" t="s">
        <v>5699</v>
      </c>
      <c r="AA61" s="1970" t="s">
        <v>8214</v>
      </c>
      <c r="AB61" s="1969" t="s">
        <v>5700</v>
      </c>
      <c r="AC61" s="1969" t="s">
        <v>5700</v>
      </c>
      <c r="AD61" s="1969" t="s">
        <v>6763</v>
      </c>
      <c r="AE61" s="1969" t="s">
        <v>6764</v>
      </c>
      <c r="AG61" s="5285">
        <f t="shared" si="21"/>
        <v>22</v>
      </c>
      <c r="AH61" s="1947" t="s">
        <v>7784</v>
      </c>
      <c r="AI61" s="1952" t="s">
        <v>7812</v>
      </c>
      <c r="AJ61" s="1952" t="s">
        <v>7841</v>
      </c>
      <c r="AK61" s="1948"/>
      <c r="AL61" s="172"/>
      <c r="AM61" s="5295">
        <f t="shared" si="28"/>
        <v>4</v>
      </c>
      <c r="AN61" s="1944" t="s">
        <v>7245</v>
      </c>
      <c r="AO61" s="1931" t="s">
        <v>7246</v>
      </c>
      <c r="AP61" s="1931" t="s">
        <v>7247</v>
      </c>
      <c r="AR61" s="5294">
        <f>AR60+1</f>
        <v>2</v>
      </c>
      <c r="AS61" s="1897" t="s">
        <v>3846</v>
      </c>
      <c r="AT61" s="1935" t="s">
        <v>4488</v>
      </c>
      <c r="AU61" s="1935" t="s">
        <v>4489</v>
      </c>
      <c r="AV61" s="1935" t="s">
        <v>4490</v>
      </c>
      <c r="AW61" s="1935" t="s">
        <v>6039</v>
      </c>
      <c r="AX61" s="1935" t="s">
        <v>6040</v>
      </c>
      <c r="AY61" s="1897" t="s">
        <v>3846</v>
      </c>
      <c r="BA61" s="3">
        <v>1</v>
      </c>
    </row>
    <row r="62" spans="2:53" ht="30" customHeight="1">
      <c r="B62" s="1953">
        <v>2</v>
      </c>
      <c r="C62" s="1904" t="s">
        <v>4077</v>
      </c>
      <c r="D62" s="1931" t="s">
        <v>7402</v>
      </c>
      <c r="E62" s="1931" t="s">
        <v>5071</v>
      </c>
      <c r="F62" s="9"/>
      <c r="G62" s="1953">
        <v>1</v>
      </c>
      <c r="H62" s="1904" t="s">
        <v>7591</v>
      </c>
      <c r="I62" s="1965" t="s">
        <v>7592</v>
      </c>
      <c r="J62" s="1965" t="s">
        <v>7593</v>
      </c>
      <c r="L62" s="5281"/>
      <c r="M62" s="5276" t="s">
        <v>3591</v>
      </c>
      <c r="N62" s="1897"/>
      <c r="O62" s="1897"/>
      <c r="P62" s="709"/>
      <c r="Q62" s="709"/>
      <c r="R62" s="1943" t="s">
        <v>3591</v>
      </c>
      <c r="S62" s="9"/>
      <c r="T62" s="5290"/>
      <c r="U62" s="5286" t="s">
        <v>13531</v>
      </c>
      <c r="V62" s="5291" t="s">
        <v>3661</v>
      </c>
      <c r="W62" s="9"/>
      <c r="X62" s="5283">
        <f t="shared" ref="X62:X76" si="30">X61+1</f>
        <v>3</v>
      </c>
      <c r="Y62" s="5284" t="s">
        <v>3721</v>
      </c>
      <c r="Z62" s="1969" t="s">
        <v>5701</v>
      </c>
      <c r="AA62" s="1970" t="s">
        <v>8215</v>
      </c>
      <c r="AB62" s="1969" t="s">
        <v>5702</v>
      </c>
      <c r="AC62" s="1969" t="s">
        <v>5702</v>
      </c>
      <c r="AD62" s="1969" t="s">
        <v>6765</v>
      </c>
      <c r="AE62" s="1969" t="s">
        <v>6766</v>
      </c>
      <c r="AG62" s="5285">
        <f t="shared" si="21"/>
        <v>23</v>
      </c>
      <c r="AH62" s="1947" t="s">
        <v>3730</v>
      </c>
      <c r="AI62" s="1952" t="s">
        <v>7813</v>
      </c>
      <c r="AJ62" s="1952" t="s">
        <v>7842</v>
      </c>
      <c r="AK62" s="1948"/>
      <c r="AL62" s="172"/>
      <c r="AM62" s="5295">
        <f t="shared" si="28"/>
        <v>5</v>
      </c>
      <c r="AN62" s="1944" t="s">
        <v>7248</v>
      </c>
      <c r="AO62" s="1931" t="s">
        <v>7249</v>
      </c>
      <c r="AP62" s="1931" t="s">
        <v>7250</v>
      </c>
      <c r="AR62" s="5294">
        <f t="shared" ref="AR62:AR103" si="31">AR61+1</f>
        <v>3</v>
      </c>
      <c r="AS62" s="1897" t="s">
        <v>3855</v>
      </c>
      <c r="AT62" s="1935" t="s">
        <v>4491</v>
      </c>
      <c r="AU62" s="1935" t="s">
        <v>4492</v>
      </c>
      <c r="AV62" s="1935" t="s">
        <v>4493</v>
      </c>
      <c r="AW62" s="1935" t="s">
        <v>6041</v>
      </c>
      <c r="AX62" s="1935" t="s">
        <v>5513</v>
      </c>
      <c r="AY62" s="1897" t="s">
        <v>3855</v>
      </c>
      <c r="BA62" s="3">
        <v>1</v>
      </c>
    </row>
    <row r="63" spans="2:53" ht="30" customHeight="1">
      <c r="B63" s="1953">
        <v>3</v>
      </c>
      <c r="C63" s="1904" t="s">
        <v>7403</v>
      </c>
      <c r="D63" s="1931" t="s">
        <v>7404</v>
      </c>
      <c r="E63" s="1931" t="s">
        <v>8368</v>
      </c>
      <c r="F63" s="9"/>
      <c r="G63" s="1953">
        <v>2</v>
      </c>
      <c r="H63" s="1904" t="s">
        <v>7594</v>
      </c>
      <c r="I63" s="1965" t="s">
        <v>7595</v>
      </c>
      <c r="J63" s="1965" t="s">
        <v>7596</v>
      </c>
      <c r="L63" s="5281">
        <v>1</v>
      </c>
      <c r="M63" s="172" t="s">
        <v>7078</v>
      </c>
      <c r="N63" s="1975" t="s">
        <v>7079</v>
      </c>
      <c r="O63" s="1976" t="s">
        <v>7080</v>
      </c>
      <c r="P63" s="1975" t="s">
        <v>8032</v>
      </c>
      <c r="Q63" s="1975" t="s">
        <v>8033</v>
      </c>
      <c r="R63" s="1975" t="s">
        <v>8034</v>
      </c>
      <c r="S63" s="9"/>
      <c r="T63" s="5290"/>
      <c r="U63" s="5286" t="s">
        <v>3705</v>
      </c>
      <c r="V63" s="5291" t="s">
        <v>13532</v>
      </c>
      <c r="W63" s="9"/>
      <c r="X63" s="5283">
        <f t="shared" si="30"/>
        <v>4</v>
      </c>
      <c r="Y63" s="5284" t="s">
        <v>3727</v>
      </c>
      <c r="Z63" s="1969" t="s">
        <v>5703</v>
      </c>
      <c r="AA63" s="1970" t="s">
        <v>8216</v>
      </c>
      <c r="AB63" s="1969" t="s">
        <v>5704</v>
      </c>
      <c r="AC63" s="1969" t="s">
        <v>5704</v>
      </c>
      <c r="AD63" s="1969" t="s">
        <v>6767</v>
      </c>
      <c r="AE63" s="1969" t="s">
        <v>6768</v>
      </c>
      <c r="AG63" s="5285">
        <f t="shared" si="21"/>
        <v>24</v>
      </c>
      <c r="AH63" s="1947" t="s">
        <v>7785</v>
      </c>
      <c r="AI63" s="1952" t="s">
        <v>7814</v>
      </c>
      <c r="AJ63" s="1952" t="s">
        <v>7843</v>
      </c>
      <c r="AK63" s="1948"/>
      <c r="AL63" s="172"/>
      <c r="AM63" s="5295">
        <f t="shared" si="28"/>
        <v>6</v>
      </c>
      <c r="AN63" s="1944" t="s">
        <v>7251</v>
      </c>
      <c r="AO63" s="1931" t="s">
        <v>7252</v>
      </c>
      <c r="AP63" s="1931" t="s">
        <v>7253</v>
      </c>
      <c r="AR63" s="5294">
        <f t="shared" si="31"/>
        <v>4</v>
      </c>
      <c r="AS63" s="1897" t="s">
        <v>3861</v>
      </c>
      <c r="AT63" s="1935" t="s">
        <v>4494</v>
      </c>
      <c r="AU63" s="1935" t="s">
        <v>4495</v>
      </c>
      <c r="AV63" s="1935" t="s">
        <v>4496</v>
      </c>
      <c r="AW63" s="1935" t="s">
        <v>6042</v>
      </c>
      <c r="AX63" s="1935" t="s">
        <v>6043</v>
      </c>
      <c r="AY63" s="1897" t="s">
        <v>3861</v>
      </c>
      <c r="BA63" s="3">
        <v>1</v>
      </c>
    </row>
    <row r="64" spans="2:53" ht="30" customHeight="1">
      <c r="B64" s="1953">
        <v>4</v>
      </c>
      <c r="C64" s="1904" t="s">
        <v>4078</v>
      </c>
      <c r="D64" s="1931" t="s">
        <v>7405</v>
      </c>
      <c r="E64" s="1931" t="s">
        <v>8369</v>
      </c>
      <c r="F64" s="9"/>
      <c r="G64" s="1953">
        <v>3</v>
      </c>
      <c r="H64" s="1904" t="s">
        <v>4021</v>
      </c>
      <c r="I64" s="1965" t="s">
        <v>7597</v>
      </c>
      <c r="J64" s="1965" t="s">
        <v>7598</v>
      </c>
      <c r="L64" s="5281">
        <f>L63+1</f>
        <v>2</v>
      </c>
      <c r="M64" s="172" t="s">
        <v>4020</v>
      </c>
      <c r="N64" s="1975" t="s">
        <v>7081</v>
      </c>
      <c r="O64" s="1976" t="s">
        <v>7082</v>
      </c>
      <c r="P64" s="1975" t="s">
        <v>8035</v>
      </c>
      <c r="Q64" s="1975" t="s">
        <v>8036</v>
      </c>
      <c r="R64" s="1975" t="s">
        <v>8037</v>
      </c>
      <c r="S64" s="9"/>
      <c r="T64" s="5290"/>
      <c r="U64" s="5286" t="s">
        <v>3711</v>
      </c>
      <c r="V64" s="5291" t="s">
        <v>116</v>
      </c>
      <c r="W64" s="9"/>
      <c r="X64" s="5283">
        <f t="shared" si="30"/>
        <v>5</v>
      </c>
      <c r="Y64" s="5284" t="s">
        <v>3737</v>
      </c>
      <c r="Z64" s="1969" t="s">
        <v>5705</v>
      </c>
      <c r="AA64" s="1970" t="s">
        <v>8217</v>
      </c>
      <c r="AB64" s="1969" t="s">
        <v>5706</v>
      </c>
      <c r="AC64" s="1969" t="s">
        <v>5706</v>
      </c>
      <c r="AD64" s="1969" t="s">
        <v>6769</v>
      </c>
      <c r="AE64" s="1969" t="s">
        <v>6770</v>
      </c>
      <c r="AG64" s="5285">
        <f t="shared" si="21"/>
        <v>25</v>
      </c>
      <c r="AH64" s="1947" t="s">
        <v>7786</v>
      </c>
      <c r="AI64" s="1952" t="s">
        <v>7815</v>
      </c>
      <c r="AJ64" s="1952" t="s">
        <v>7844</v>
      </c>
      <c r="AK64" s="1948"/>
      <c r="AL64" s="172"/>
      <c r="AM64" s="5295">
        <f t="shared" si="28"/>
        <v>7</v>
      </c>
      <c r="AN64" s="1944" t="s">
        <v>7254</v>
      </c>
      <c r="AO64" s="1931" t="s">
        <v>7255</v>
      </c>
      <c r="AP64" s="1931" t="s">
        <v>7256</v>
      </c>
      <c r="AR64" s="5294">
        <f t="shared" si="31"/>
        <v>5</v>
      </c>
      <c r="AS64" s="1897" t="s">
        <v>3867</v>
      </c>
      <c r="AT64" s="1935" t="s">
        <v>4497</v>
      </c>
      <c r="AU64" s="1935" t="s">
        <v>4498</v>
      </c>
      <c r="AV64" s="1935" t="s">
        <v>4499</v>
      </c>
      <c r="AW64" s="1935" t="s">
        <v>6044</v>
      </c>
      <c r="AX64" s="1935" t="s">
        <v>6045</v>
      </c>
      <c r="AY64" s="1897" t="s">
        <v>3867</v>
      </c>
      <c r="BA64" s="3">
        <v>1</v>
      </c>
    </row>
    <row r="65" spans="2:53" ht="30" customHeight="1">
      <c r="B65" s="1953">
        <v>5</v>
      </c>
      <c r="C65" s="1904" t="s">
        <v>7406</v>
      </c>
      <c r="D65" s="1931" t="s">
        <v>7407</v>
      </c>
      <c r="E65" s="1931" t="s">
        <v>7408</v>
      </c>
      <c r="F65" s="9"/>
      <c r="G65" s="5860">
        <v>4</v>
      </c>
      <c r="H65" s="5861" t="s">
        <v>7652</v>
      </c>
      <c r="I65" s="5862" t="s">
        <v>7653</v>
      </c>
      <c r="J65" s="5862" t="s">
        <v>7654</v>
      </c>
      <c r="L65" s="5281">
        <f t="shared" ref="L65:L67" si="32">L64+1</f>
        <v>3</v>
      </c>
      <c r="M65" s="172" t="s">
        <v>7083</v>
      </c>
      <c r="N65" s="1975" t="s">
        <v>7084</v>
      </c>
      <c r="O65" s="1976" t="s">
        <v>7085</v>
      </c>
      <c r="P65" s="1975" t="s">
        <v>8038</v>
      </c>
      <c r="Q65" s="1975" t="s">
        <v>8039</v>
      </c>
      <c r="R65" s="1975" t="s">
        <v>8040</v>
      </c>
      <c r="S65" s="9"/>
      <c r="T65" s="5290"/>
      <c r="U65" s="5286" t="s">
        <v>3718</v>
      </c>
      <c r="V65" s="5291" t="s">
        <v>13533</v>
      </c>
      <c r="W65" s="9"/>
      <c r="X65" s="5283">
        <f t="shared" si="30"/>
        <v>6</v>
      </c>
      <c r="Y65" s="5284" t="s">
        <v>3962</v>
      </c>
      <c r="Z65" s="1969" t="s">
        <v>7456</v>
      </c>
      <c r="AA65" s="1970" t="s">
        <v>7457</v>
      </c>
      <c r="AB65" s="1969" t="s">
        <v>3962</v>
      </c>
      <c r="AC65" s="1969" t="s">
        <v>8112</v>
      </c>
      <c r="AD65" s="1969" t="s">
        <v>8113</v>
      </c>
      <c r="AE65" s="1969" t="s">
        <v>8114</v>
      </c>
      <c r="AG65" s="5285">
        <f t="shared" si="21"/>
        <v>26</v>
      </c>
      <c r="AH65" s="1947" t="s">
        <v>7787</v>
      </c>
      <c r="AI65" s="1952" t="s">
        <v>7816</v>
      </c>
      <c r="AJ65" s="1952" t="s">
        <v>7845</v>
      </c>
      <c r="AK65" s="1948"/>
      <c r="AL65" s="172"/>
      <c r="AM65" s="5295"/>
      <c r="AN65" s="1900" t="s">
        <v>3748</v>
      </c>
      <c r="AO65" s="1900"/>
      <c r="AP65" s="1977" t="s">
        <v>3748</v>
      </c>
      <c r="AR65" s="5294">
        <f t="shared" si="31"/>
        <v>6</v>
      </c>
      <c r="AS65" s="1897" t="s">
        <v>4507</v>
      </c>
      <c r="AT65" s="1935" t="s">
        <v>4508</v>
      </c>
      <c r="AU65" s="1935" t="s">
        <v>4509</v>
      </c>
      <c r="AV65" s="1935" t="s">
        <v>4510</v>
      </c>
      <c r="AW65" s="1935" t="s">
        <v>6050</v>
      </c>
      <c r="AX65" s="1935" t="s">
        <v>6051</v>
      </c>
      <c r="AY65" s="1897" t="s">
        <v>4507</v>
      </c>
      <c r="BA65" s="3">
        <v>1</v>
      </c>
    </row>
    <row r="66" spans="2:53" ht="30" customHeight="1">
      <c r="B66" s="1953">
        <v>6</v>
      </c>
      <c r="C66" s="1904" t="s">
        <v>4079</v>
      </c>
      <c r="D66" s="1931" t="s">
        <v>1538</v>
      </c>
      <c r="E66" s="1931" t="s">
        <v>8370</v>
      </c>
      <c r="F66" s="9"/>
      <c r="G66" s="5860"/>
      <c r="H66" s="5861"/>
      <c r="I66" s="5862"/>
      <c r="J66" s="5862"/>
      <c r="L66" s="5281">
        <f t="shared" si="32"/>
        <v>4</v>
      </c>
      <c r="M66" s="172" t="s">
        <v>4029</v>
      </c>
      <c r="N66" s="1975" t="s">
        <v>7086</v>
      </c>
      <c r="O66" s="1976" t="s">
        <v>7087</v>
      </c>
      <c r="P66" s="1975" t="s">
        <v>8041</v>
      </c>
      <c r="Q66" s="1975" t="s">
        <v>8042</v>
      </c>
      <c r="R66" s="1975" t="s">
        <v>8043</v>
      </c>
      <c r="S66" s="9"/>
      <c r="T66" s="5282"/>
      <c r="U66" s="5299"/>
      <c r="V66" s="5291" t="s">
        <v>3693</v>
      </c>
      <c r="W66" s="9"/>
      <c r="X66" s="5283">
        <f t="shared" si="30"/>
        <v>7</v>
      </c>
      <c r="Y66" s="5284" t="s">
        <v>3745</v>
      </c>
      <c r="Z66" s="1969" t="s">
        <v>5707</v>
      </c>
      <c r="AA66" s="1970" t="s">
        <v>8218</v>
      </c>
      <c r="AB66" s="1969" t="s">
        <v>5708</v>
      </c>
      <c r="AC66" s="1969" t="s">
        <v>5708</v>
      </c>
      <c r="AD66" s="1969" t="s">
        <v>6771</v>
      </c>
      <c r="AE66" s="1969" t="s">
        <v>6772</v>
      </c>
      <c r="AG66" s="5285">
        <f t="shared" si="21"/>
        <v>27</v>
      </c>
      <c r="AH66" s="1947" t="s">
        <v>7788</v>
      </c>
      <c r="AI66" s="1952" t="s">
        <v>7817</v>
      </c>
      <c r="AJ66" s="1952" t="s">
        <v>7846</v>
      </c>
      <c r="AK66" s="1948"/>
      <c r="AL66" s="172"/>
      <c r="AM66" s="5295">
        <v>1</v>
      </c>
      <c r="AN66" s="1944" t="s">
        <v>7257</v>
      </c>
      <c r="AO66" s="1931" t="s">
        <v>7258</v>
      </c>
      <c r="AP66" s="1931" t="s">
        <v>7259</v>
      </c>
      <c r="AR66" s="5294">
        <f t="shared" si="31"/>
        <v>7</v>
      </c>
      <c r="AS66" s="1897" t="s">
        <v>4500</v>
      </c>
      <c r="AT66" s="1935" t="s">
        <v>4501</v>
      </c>
      <c r="AU66" s="1935" t="s">
        <v>4502</v>
      </c>
      <c r="AV66" s="1935" t="s">
        <v>4503</v>
      </c>
      <c r="AW66" s="1935" t="s">
        <v>6046</v>
      </c>
      <c r="AX66" s="1935" t="s">
        <v>6047</v>
      </c>
      <c r="AY66" s="1897" t="s">
        <v>4500</v>
      </c>
      <c r="BA66" s="3">
        <v>1</v>
      </c>
    </row>
    <row r="67" spans="2:53" ht="30" customHeight="1">
      <c r="B67" s="1953">
        <v>7</v>
      </c>
      <c r="C67" s="1904" t="s">
        <v>8086</v>
      </c>
      <c r="D67" s="1931" t="s">
        <v>7405</v>
      </c>
      <c r="E67" s="1931" t="s">
        <v>8369</v>
      </c>
      <c r="F67" s="9"/>
      <c r="G67" s="1901" t="s">
        <v>2856</v>
      </c>
      <c r="H67" s="1903" t="s">
        <v>4041</v>
      </c>
      <c r="I67" s="1903" t="s">
        <v>7655</v>
      </c>
      <c r="J67" s="1903" t="s">
        <v>7656</v>
      </c>
      <c r="L67" s="5281">
        <f t="shared" si="32"/>
        <v>5</v>
      </c>
      <c r="M67" s="172" t="s">
        <v>7088</v>
      </c>
      <c r="N67" s="1975" t="s">
        <v>7089</v>
      </c>
      <c r="O67" s="1976" t="s">
        <v>7090</v>
      </c>
      <c r="P67" s="1975" t="s">
        <v>8044</v>
      </c>
      <c r="Q67" s="1975" t="s">
        <v>8045</v>
      </c>
      <c r="R67" s="1975" t="s">
        <v>8046</v>
      </c>
      <c r="S67" s="9"/>
      <c r="T67" s="5296"/>
      <c r="U67" s="5856"/>
      <c r="V67" s="5857"/>
      <c r="W67" s="9"/>
      <c r="X67" s="5283">
        <f t="shared" si="30"/>
        <v>8</v>
      </c>
      <c r="Y67" s="5284" t="s">
        <v>3752</v>
      </c>
      <c r="Z67" s="1969" t="s">
        <v>5709</v>
      </c>
      <c r="AA67" s="1970" t="s">
        <v>8219</v>
      </c>
      <c r="AB67" s="1969" t="s">
        <v>5710</v>
      </c>
      <c r="AC67" s="1969" t="s">
        <v>5710</v>
      </c>
      <c r="AD67" s="1969" t="s">
        <v>6773</v>
      </c>
      <c r="AE67" s="1969" t="s">
        <v>6774</v>
      </c>
      <c r="AG67" s="5285">
        <f t="shared" si="21"/>
        <v>28</v>
      </c>
      <c r="AH67" s="1947" t="s">
        <v>7789</v>
      </c>
      <c r="AI67" s="1952" t="s">
        <v>7818</v>
      </c>
      <c r="AJ67" s="1952" t="s">
        <v>7847</v>
      </c>
      <c r="AK67" s="1948"/>
      <c r="AL67" s="172"/>
      <c r="AM67" s="5295">
        <f>AM66+1</f>
        <v>2</v>
      </c>
      <c r="AN67" s="1944" t="s">
        <v>7260</v>
      </c>
      <c r="AO67" s="1931" t="s">
        <v>7261</v>
      </c>
      <c r="AP67" s="1931" t="s">
        <v>7262</v>
      </c>
      <c r="AR67" s="5294">
        <f t="shared" si="31"/>
        <v>8</v>
      </c>
      <c r="AS67" s="1897" t="s">
        <v>3878</v>
      </c>
      <c r="AT67" s="1935" t="s">
        <v>4504</v>
      </c>
      <c r="AU67" s="1935" t="s">
        <v>4505</v>
      </c>
      <c r="AV67" s="1935" t="s">
        <v>4506</v>
      </c>
      <c r="AW67" s="1935" t="s">
        <v>6048</v>
      </c>
      <c r="AX67" s="1935" t="s">
        <v>6049</v>
      </c>
      <c r="AY67" s="1897" t="s">
        <v>3878</v>
      </c>
      <c r="BA67" s="3">
        <v>1</v>
      </c>
    </row>
    <row r="68" spans="2:53" ht="30" customHeight="1">
      <c r="B68" s="1953">
        <v>8</v>
      </c>
      <c r="C68" s="1904" t="s">
        <v>8087</v>
      </c>
      <c r="D68" s="1931" t="s">
        <v>8371</v>
      </c>
      <c r="E68" s="1931" t="s">
        <v>8095</v>
      </c>
      <c r="F68" s="9"/>
      <c r="G68" s="1953">
        <v>1</v>
      </c>
      <c r="H68" s="1904" t="s">
        <v>4047</v>
      </c>
      <c r="I68" s="1965" t="s">
        <v>7657</v>
      </c>
      <c r="J68" s="1965" t="s">
        <v>7658</v>
      </c>
      <c r="L68" s="5281"/>
      <c r="M68" s="5276" t="s">
        <v>3876</v>
      </c>
      <c r="N68" s="1897"/>
      <c r="O68" s="1897"/>
      <c r="P68" s="1897"/>
      <c r="Q68" s="1897"/>
      <c r="R68" s="1943" t="s">
        <v>3876</v>
      </c>
      <c r="S68" s="9"/>
      <c r="T68" s="5282" t="s">
        <v>3681</v>
      </c>
      <c r="U68" s="5286" t="s">
        <v>13534</v>
      </c>
      <c r="V68" s="5291" t="s">
        <v>116</v>
      </c>
      <c r="W68" s="9"/>
      <c r="X68" s="5283">
        <f t="shared" si="30"/>
        <v>9</v>
      </c>
      <c r="Y68" s="5284" t="s">
        <v>3758</v>
      </c>
      <c r="Z68" s="1969" t="s">
        <v>5711</v>
      </c>
      <c r="AA68" s="1970" t="s">
        <v>8220</v>
      </c>
      <c r="AB68" s="1969" t="s">
        <v>5712</v>
      </c>
      <c r="AC68" s="1969" t="s">
        <v>5712</v>
      </c>
      <c r="AD68" s="1969" t="s">
        <v>6775</v>
      </c>
      <c r="AE68" s="1969" t="s">
        <v>6776</v>
      </c>
      <c r="AG68" s="5285">
        <f t="shared" si="21"/>
        <v>29</v>
      </c>
      <c r="AH68" s="1947" t="s">
        <v>7790</v>
      </c>
      <c r="AI68" s="1952" t="s">
        <v>7819</v>
      </c>
      <c r="AJ68" s="1952" t="s">
        <v>7848</v>
      </c>
      <c r="AK68" s="1948"/>
      <c r="AL68" s="172"/>
      <c r="AM68" s="5295">
        <f t="shared" ref="AM68:AM71" si="33">AM67+1</f>
        <v>3</v>
      </c>
      <c r="AN68" s="1944" t="s">
        <v>7263</v>
      </c>
      <c r="AO68" s="1931" t="s">
        <v>7264</v>
      </c>
      <c r="AP68" s="1931" t="s">
        <v>7265</v>
      </c>
      <c r="AR68" s="5294">
        <f t="shared" si="31"/>
        <v>9</v>
      </c>
      <c r="AS68" s="1897" t="s">
        <v>3889</v>
      </c>
      <c r="AT68" s="1935" t="s">
        <v>4511</v>
      </c>
      <c r="AU68" s="1935" t="s">
        <v>4512</v>
      </c>
      <c r="AV68" s="1935" t="s">
        <v>4513</v>
      </c>
      <c r="AW68" s="1935" t="s">
        <v>6052</v>
      </c>
      <c r="AX68" s="1935" t="s">
        <v>6053</v>
      </c>
      <c r="AY68" s="1897" t="s">
        <v>3889</v>
      </c>
      <c r="BA68" s="3">
        <v>1</v>
      </c>
    </row>
    <row r="69" spans="2:53" ht="30" customHeight="1">
      <c r="B69" s="1953">
        <v>9</v>
      </c>
      <c r="C69" s="1904" t="s">
        <v>4080</v>
      </c>
      <c r="D69" s="1931" t="s">
        <v>7409</v>
      </c>
      <c r="E69" s="1931" t="s">
        <v>8372</v>
      </c>
      <c r="F69" s="9"/>
      <c r="G69" s="1960"/>
      <c r="H69" s="479"/>
      <c r="I69" s="231"/>
      <c r="J69" s="231"/>
      <c r="L69" s="5281">
        <v>1</v>
      </c>
      <c r="M69" s="172" t="s">
        <v>4051</v>
      </c>
      <c r="N69" s="1975" t="s">
        <v>7091</v>
      </c>
      <c r="O69" s="1976" t="s">
        <v>7092</v>
      </c>
      <c r="P69" s="1975" t="s">
        <v>8047</v>
      </c>
      <c r="Q69" s="1975" t="s">
        <v>8048</v>
      </c>
      <c r="R69" s="1975" t="s">
        <v>8049</v>
      </c>
      <c r="S69" s="9"/>
      <c r="T69" s="5296"/>
      <c r="U69" s="5856"/>
      <c r="V69" s="5857"/>
      <c r="W69" s="9"/>
      <c r="X69" s="5283">
        <f t="shared" si="30"/>
        <v>10</v>
      </c>
      <c r="Y69" s="5284" t="s">
        <v>3766</v>
      </c>
      <c r="Z69" s="1969" t="s">
        <v>5713</v>
      </c>
      <c r="AA69" s="1970" t="s">
        <v>8221</v>
      </c>
      <c r="AB69" s="1969" t="s">
        <v>5714</v>
      </c>
      <c r="AC69" s="1969" t="s">
        <v>5714</v>
      </c>
      <c r="AD69" s="1969" t="s">
        <v>6777</v>
      </c>
      <c r="AE69" s="1969" t="s">
        <v>6778</v>
      </c>
      <c r="AG69" s="5285">
        <f t="shared" si="21"/>
        <v>30</v>
      </c>
      <c r="AH69" s="1947" t="s">
        <v>7791</v>
      </c>
      <c r="AI69" s="1952" t="s">
        <v>7820</v>
      </c>
      <c r="AJ69" s="1952" t="s">
        <v>7849</v>
      </c>
      <c r="AK69" s="1948"/>
      <c r="AL69" s="172"/>
      <c r="AM69" s="5295">
        <f t="shared" si="33"/>
        <v>4</v>
      </c>
      <c r="AN69" s="1944" t="s">
        <v>7266</v>
      </c>
      <c r="AO69" s="1931" t="s">
        <v>7267</v>
      </c>
      <c r="AP69" s="1931" t="s">
        <v>7268</v>
      </c>
      <c r="AR69" s="5294">
        <f t="shared" si="31"/>
        <v>10</v>
      </c>
      <c r="AS69" s="1897" t="s">
        <v>3897</v>
      </c>
      <c r="AT69" s="1935" t="s">
        <v>4514</v>
      </c>
      <c r="AU69" s="1935" t="s">
        <v>4515</v>
      </c>
      <c r="AV69" s="1935" t="s">
        <v>4516</v>
      </c>
      <c r="AW69" s="1935" t="s">
        <v>6054</v>
      </c>
      <c r="AX69" s="1935" t="s">
        <v>6055</v>
      </c>
      <c r="AY69" s="1897" t="s">
        <v>3897</v>
      </c>
      <c r="BA69" s="3">
        <v>1</v>
      </c>
    </row>
    <row r="70" spans="2:53" ht="30" customHeight="1">
      <c r="B70" s="1953">
        <v>10</v>
      </c>
      <c r="C70" s="1904" t="s">
        <v>7434</v>
      </c>
      <c r="D70" s="1931" t="s">
        <v>8373</v>
      </c>
      <c r="E70" s="1931" t="s">
        <v>8374</v>
      </c>
      <c r="F70" s="9"/>
      <c r="G70" s="1992" t="s">
        <v>4063</v>
      </c>
      <c r="H70" s="1993" t="s">
        <v>4064</v>
      </c>
      <c r="I70" s="1993" t="s">
        <v>7659</v>
      </c>
      <c r="J70" s="1993" t="s">
        <v>7660</v>
      </c>
      <c r="L70" s="5281">
        <f>L69+1</f>
        <v>2</v>
      </c>
      <c r="M70" s="172" t="s">
        <v>4055</v>
      </c>
      <c r="N70" s="1975" t="s">
        <v>7093</v>
      </c>
      <c r="O70" s="1976" t="s">
        <v>7094</v>
      </c>
      <c r="P70" s="1975" t="s">
        <v>8050</v>
      </c>
      <c r="Q70" s="1975" t="s">
        <v>8051</v>
      </c>
      <c r="R70" s="1975" t="s">
        <v>8052</v>
      </c>
      <c r="S70" s="9"/>
      <c r="T70" s="5282" t="s">
        <v>2</v>
      </c>
      <c r="U70" s="5286" t="s">
        <v>3870</v>
      </c>
      <c r="V70" s="5291" t="s">
        <v>3874</v>
      </c>
      <c r="W70" s="9"/>
      <c r="X70" s="5283">
        <f t="shared" si="30"/>
        <v>11</v>
      </c>
      <c r="Y70" s="5284" t="s">
        <v>3771</v>
      </c>
      <c r="Z70" s="1969" t="s">
        <v>5715</v>
      </c>
      <c r="AA70" s="1970" t="s">
        <v>8334</v>
      </c>
      <c r="AB70" s="1969" t="s">
        <v>5716</v>
      </c>
      <c r="AC70" s="1969" t="s">
        <v>5716</v>
      </c>
      <c r="AD70" s="1969" t="s">
        <v>6779</v>
      </c>
      <c r="AE70" s="1969" t="s">
        <v>6780</v>
      </c>
      <c r="AG70" s="5285">
        <f t="shared" si="21"/>
        <v>31</v>
      </c>
      <c r="AH70" s="1947" t="s">
        <v>7792</v>
      </c>
      <c r="AI70" s="1952" t="s">
        <v>7821</v>
      </c>
      <c r="AJ70" s="1952" t="s">
        <v>7850</v>
      </c>
      <c r="AK70" s="1948"/>
      <c r="AL70" s="172"/>
      <c r="AM70" s="5295">
        <f t="shared" si="33"/>
        <v>5</v>
      </c>
      <c r="AN70" s="1944" t="s">
        <v>7760</v>
      </c>
      <c r="AO70" s="1931" t="s">
        <v>7712</v>
      </c>
      <c r="AP70" s="1931" t="s">
        <v>7713</v>
      </c>
      <c r="AR70" s="5294">
        <f t="shared" si="31"/>
        <v>11</v>
      </c>
      <c r="AS70" s="1897" t="s">
        <v>3903</v>
      </c>
      <c r="AT70" s="1935" t="s">
        <v>4517</v>
      </c>
      <c r="AU70" s="1935" t="s">
        <v>4518</v>
      </c>
      <c r="AV70" s="1935" t="s">
        <v>4519</v>
      </c>
      <c r="AW70" s="1935" t="s">
        <v>6056</v>
      </c>
      <c r="AX70" s="1935" t="s">
        <v>6057</v>
      </c>
      <c r="AY70" s="1897" t="s">
        <v>3903</v>
      </c>
      <c r="BA70" s="3">
        <v>1</v>
      </c>
    </row>
    <row r="71" spans="2:53" ht="30" customHeight="1">
      <c r="B71" s="1953">
        <v>11</v>
      </c>
      <c r="C71" s="1904" t="s">
        <v>8092</v>
      </c>
      <c r="D71" s="1931" t="s">
        <v>8375</v>
      </c>
      <c r="E71" s="1931" t="s">
        <v>8376</v>
      </c>
      <c r="F71" s="9"/>
      <c r="G71" s="1964" t="s">
        <v>2837</v>
      </c>
      <c r="H71" s="1904" t="s">
        <v>7599</v>
      </c>
      <c r="I71" s="1965" t="s">
        <v>7600</v>
      </c>
      <c r="J71" s="1965" t="s">
        <v>7601</v>
      </c>
      <c r="L71" s="5281">
        <f t="shared" ref="L71:L72" si="34">L70+1</f>
        <v>3</v>
      </c>
      <c r="M71" s="172" t="s">
        <v>4059</v>
      </c>
      <c r="N71" s="1975" t="s">
        <v>7095</v>
      </c>
      <c r="O71" s="1976" t="s">
        <v>7096</v>
      </c>
      <c r="P71" s="1975" t="s">
        <v>8053</v>
      </c>
      <c r="Q71" s="1975" t="s">
        <v>8054</v>
      </c>
      <c r="R71" s="1975" t="s">
        <v>8055</v>
      </c>
      <c r="S71" s="9"/>
      <c r="T71" s="5290"/>
      <c r="U71" s="5286" t="s">
        <v>3891</v>
      </c>
      <c r="V71" s="5291" t="s">
        <v>13535</v>
      </c>
      <c r="W71" s="9"/>
      <c r="X71" s="5283">
        <f t="shared" si="30"/>
        <v>12</v>
      </c>
      <c r="Y71" s="5284" t="s">
        <v>3778</v>
      </c>
      <c r="Z71" s="1969" t="s">
        <v>5717</v>
      </c>
      <c r="AA71" s="1970" t="s">
        <v>8335</v>
      </c>
      <c r="AB71" s="1969" t="s">
        <v>5718</v>
      </c>
      <c r="AC71" s="1969" t="s">
        <v>5718</v>
      </c>
      <c r="AD71" s="1969" t="s">
        <v>6781</v>
      </c>
      <c r="AE71" s="1969" t="s">
        <v>6782</v>
      </c>
      <c r="AG71" s="5285"/>
      <c r="AH71" s="1946"/>
      <c r="AI71" s="58"/>
      <c r="AJ71" s="1948"/>
      <c r="AK71" s="1948"/>
      <c r="AL71" s="172"/>
      <c r="AM71" s="5295">
        <f t="shared" si="33"/>
        <v>6</v>
      </c>
      <c r="AN71" s="1944" t="s">
        <v>7761</v>
      </c>
      <c r="AO71" s="1931" t="s">
        <v>7714</v>
      </c>
      <c r="AP71" s="1931" t="s">
        <v>7715</v>
      </c>
      <c r="AR71" s="5294">
        <f t="shared" si="31"/>
        <v>12</v>
      </c>
      <c r="AS71" s="1897" t="s">
        <v>3910</v>
      </c>
      <c r="AT71" s="1935" t="s">
        <v>4520</v>
      </c>
      <c r="AU71" s="1935" t="s">
        <v>4521</v>
      </c>
      <c r="AV71" s="1935" t="s">
        <v>4522</v>
      </c>
      <c r="AW71" s="1935" t="s">
        <v>6058</v>
      </c>
      <c r="AX71" s="1935" t="s">
        <v>6059</v>
      </c>
      <c r="AY71" s="1897" t="s">
        <v>3910</v>
      </c>
      <c r="BA71" s="3">
        <v>1</v>
      </c>
    </row>
    <row r="72" spans="2:53" ht="30" customHeight="1">
      <c r="B72" s="1953">
        <v>12</v>
      </c>
      <c r="C72" s="1904" t="s">
        <v>8091</v>
      </c>
      <c r="D72" s="1931" t="s">
        <v>8377</v>
      </c>
      <c r="E72" s="1931" t="s">
        <v>8378</v>
      </c>
      <c r="F72" s="9"/>
      <c r="G72" s="1964" t="s">
        <v>2838</v>
      </c>
      <c r="H72" s="1904" t="s">
        <v>7602</v>
      </c>
      <c r="I72" s="1965" t="s">
        <v>7603</v>
      </c>
      <c r="J72" s="1965" t="s">
        <v>7604</v>
      </c>
      <c r="L72" s="5281">
        <f t="shared" si="34"/>
        <v>4</v>
      </c>
      <c r="M72" s="172" t="s">
        <v>7097</v>
      </c>
      <c r="N72" s="1975" t="s">
        <v>7098</v>
      </c>
      <c r="O72" s="1976" t="s">
        <v>7099</v>
      </c>
      <c r="P72" s="1975" t="s">
        <v>8056</v>
      </c>
      <c r="Q72" s="1975" t="s">
        <v>8057</v>
      </c>
      <c r="R72" s="1975" t="s">
        <v>8058</v>
      </c>
      <c r="S72" s="9"/>
      <c r="T72" s="5290"/>
      <c r="U72" s="5286" t="s">
        <v>3899</v>
      </c>
      <c r="V72" s="5291" t="s">
        <v>116</v>
      </c>
      <c r="W72" s="9"/>
      <c r="X72" s="5283">
        <f t="shared" si="30"/>
        <v>13</v>
      </c>
      <c r="Y72" s="5284" t="s">
        <v>3787</v>
      </c>
      <c r="Z72" s="1969" t="s">
        <v>5719</v>
      </c>
      <c r="AA72" s="1970" t="s">
        <v>8336</v>
      </c>
      <c r="AB72" s="1969" t="s">
        <v>5720</v>
      </c>
      <c r="AC72" s="1969" t="s">
        <v>5720</v>
      </c>
      <c r="AD72" s="1969" t="s">
        <v>6783</v>
      </c>
      <c r="AE72" s="1969" t="s">
        <v>6784</v>
      </c>
      <c r="AG72" s="5285"/>
      <c r="AH72" s="1946"/>
      <c r="AI72" s="58"/>
      <c r="AJ72" s="1948"/>
      <c r="AK72" s="1948"/>
      <c r="AL72" s="172"/>
      <c r="AM72" s="5295"/>
      <c r="AN72" s="1900" t="s">
        <v>0</v>
      </c>
      <c r="AO72" s="1900"/>
      <c r="AP72" s="1977" t="s">
        <v>0</v>
      </c>
      <c r="AR72" s="5294">
        <f t="shared" si="31"/>
        <v>13</v>
      </c>
      <c r="AS72" s="1897" t="s">
        <v>3916</v>
      </c>
      <c r="AT72" s="1935" t="s">
        <v>4523</v>
      </c>
      <c r="AU72" s="1935" t="s">
        <v>4524</v>
      </c>
      <c r="AV72" s="1935" t="s">
        <v>4525</v>
      </c>
      <c r="AW72" s="1935" t="s">
        <v>6060</v>
      </c>
      <c r="AX72" s="1935" t="s">
        <v>6061</v>
      </c>
      <c r="AY72" s="1897" t="s">
        <v>3916</v>
      </c>
      <c r="BA72" s="3">
        <v>1</v>
      </c>
    </row>
    <row r="73" spans="2:53" ht="30" customHeight="1">
      <c r="B73" s="1953">
        <v>13</v>
      </c>
      <c r="C73" s="1904" t="s">
        <v>8090</v>
      </c>
      <c r="D73" s="1931" t="s">
        <v>8379</v>
      </c>
      <c r="E73" s="1931" t="s">
        <v>7430</v>
      </c>
      <c r="F73" s="9"/>
      <c r="G73" s="5858" t="s">
        <v>2839</v>
      </c>
      <c r="H73" s="5855" t="s">
        <v>7605</v>
      </c>
      <c r="I73" s="5859" t="s">
        <v>7606</v>
      </c>
      <c r="J73" s="5859" t="s">
        <v>7607</v>
      </c>
      <c r="L73" s="5281"/>
      <c r="M73" s="5276" t="s">
        <v>3565</v>
      </c>
      <c r="N73" s="1897"/>
      <c r="O73" s="1897"/>
      <c r="P73" s="1897"/>
      <c r="Q73" s="1897"/>
      <c r="R73" s="1943" t="s">
        <v>3565</v>
      </c>
      <c r="S73" s="9"/>
      <c r="T73" s="5290"/>
      <c r="U73" s="5286" t="s">
        <v>3927</v>
      </c>
      <c r="V73" s="5291" t="s">
        <v>3933</v>
      </c>
      <c r="W73" s="9"/>
      <c r="X73" s="5283">
        <f t="shared" si="30"/>
        <v>14</v>
      </c>
      <c r="Y73" s="5284" t="s">
        <v>3792</v>
      </c>
      <c r="Z73" s="1969" t="s">
        <v>5721</v>
      </c>
      <c r="AA73" s="1970" t="s">
        <v>8337</v>
      </c>
      <c r="AB73" s="1969" t="s">
        <v>5722</v>
      </c>
      <c r="AC73" s="1969" t="s">
        <v>5722</v>
      </c>
      <c r="AD73" s="1969" t="s">
        <v>6785</v>
      </c>
      <c r="AE73" s="1969" t="s">
        <v>6786</v>
      </c>
      <c r="AG73" s="5285"/>
      <c r="AH73" s="1946"/>
      <c r="AI73" s="58"/>
      <c r="AJ73" s="1948"/>
      <c r="AK73" s="1948"/>
      <c r="AL73" s="172"/>
      <c r="AM73" s="5295">
        <v>1</v>
      </c>
      <c r="AN73" s="1944" t="s">
        <v>7269</v>
      </c>
      <c r="AO73" s="1931" t="s">
        <v>7270</v>
      </c>
      <c r="AP73" s="1931" t="s">
        <v>7271</v>
      </c>
      <c r="AR73" s="5294">
        <f t="shared" si="31"/>
        <v>14</v>
      </c>
      <c r="AS73" s="1897" t="s">
        <v>3920</v>
      </c>
      <c r="AT73" s="1935" t="s">
        <v>4526</v>
      </c>
      <c r="AU73" s="1935" t="s">
        <v>4527</v>
      </c>
      <c r="AV73" s="1935" t="s">
        <v>4528</v>
      </c>
      <c r="AW73" s="1935" t="s">
        <v>6062</v>
      </c>
      <c r="AX73" s="1935" t="s">
        <v>6063</v>
      </c>
      <c r="AY73" s="1897" t="s">
        <v>3920</v>
      </c>
      <c r="BA73" s="3">
        <v>1</v>
      </c>
    </row>
    <row r="74" spans="2:53" ht="30" customHeight="1">
      <c r="B74" s="1953">
        <v>14</v>
      </c>
      <c r="C74" s="1904" t="s">
        <v>8093</v>
      </c>
      <c r="D74" s="1931" t="s">
        <v>8380</v>
      </c>
      <c r="E74" s="1931" t="s">
        <v>8381</v>
      </c>
      <c r="F74" s="9"/>
      <c r="G74" s="5858"/>
      <c r="H74" s="5855"/>
      <c r="I74" s="5859"/>
      <c r="J74" s="5859"/>
      <c r="L74" s="5281">
        <v>1</v>
      </c>
      <c r="M74" s="172" t="s">
        <v>4071</v>
      </c>
      <c r="N74" s="1975" t="s">
        <v>7100</v>
      </c>
      <c r="O74" s="1976" t="s">
        <v>7101</v>
      </c>
      <c r="P74" s="1975" t="s">
        <v>8059</v>
      </c>
      <c r="Q74" s="1975" t="s">
        <v>8060</v>
      </c>
      <c r="R74" s="1975" t="s">
        <v>8061</v>
      </c>
      <c r="S74" s="9"/>
      <c r="T74" s="5290"/>
      <c r="U74" s="5286" t="s">
        <v>3989</v>
      </c>
      <c r="V74" s="5291" t="s">
        <v>3996</v>
      </c>
      <c r="W74" s="9"/>
      <c r="X74" s="5283">
        <f t="shared" si="30"/>
        <v>15</v>
      </c>
      <c r="Y74" s="5284" t="s">
        <v>3799</v>
      </c>
      <c r="Z74" s="1969" t="s">
        <v>5723</v>
      </c>
      <c r="AA74" s="1970" t="s">
        <v>8338</v>
      </c>
      <c r="AB74" s="1969" t="s">
        <v>5724</v>
      </c>
      <c r="AC74" s="1969" t="s">
        <v>5724</v>
      </c>
      <c r="AD74" s="1969" t="s">
        <v>6787</v>
      </c>
      <c r="AE74" s="1969" t="s">
        <v>6788</v>
      </c>
      <c r="AG74" s="5285"/>
      <c r="AH74" s="1946"/>
      <c r="AI74" s="58"/>
      <c r="AJ74" s="1948"/>
      <c r="AK74" s="1948"/>
      <c r="AL74" s="172"/>
      <c r="AM74" s="5295">
        <f>AM73+1</f>
        <v>2</v>
      </c>
      <c r="AN74" s="1944" t="s">
        <v>7272</v>
      </c>
      <c r="AO74" s="1931" t="s">
        <v>7273</v>
      </c>
      <c r="AP74" s="1931" t="s">
        <v>7274</v>
      </c>
      <c r="AR74" s="5294">
        <f t="shared" si="31"/>
        <v>15</v>
      </c>
      <c r="AS74" s="1897" t="s">
        <v>3926</v>
      </c>
      <c r="AT74" s="1935" t="s">
        <v>4529</v>
      </c>
      <c r="AU74" s="1935" t="s">
        <v>4530</v>
      </c>
      <c r="AV74" s="1935" t="s">
        <v>4531</v>
      </c>
      <c r="AW74" s="1935" t="s">
        <v>6064</v>
      </c>
      <c r="AX74" s="1935" t="s">
        <v>6065</v>
      </c>
      <c r="AY74" s="1897" t="s">
        <v>3926</v>
      </c>
      <c r="BA74" s="3">
        <v>1</v>
      </c>
    </row>
    <row r="75" spans="2:53" ht="30" customHeight="1">
      <c r="B75" s="1953">
        <v>15</v>
      </c>
      <c r="C75" s="1904" t="s">
        <v>4085</v>
      </c>
      <c r="D75" s="1931" t="s">
        <v>7415</v>
      </c>
      <c r="E75" s="1931" t="s">
        <v>8382</v>
      </c>
      <c r="F75" s="9"/>
      <c r="G75" s="1904"/>
      <c r="H75" s="1904" t="s">
        <v>7608</v>
      </c>
      <c r="I75" s="1965" t="s">
        <v>7609</v>
      </c>
      <c r="J75" s="1965" t="s">
        <v>7610</v>
      </c>
      <c r="L75" s="5281">
        <f>L74+1</f>
        <v>2</v>
      </c>
      <c r="M75" s="172" t="s">
        <v>4073</v>
      </c>
      <c r="N75" s="1975" t="s">
        <v>7102</v>
      </c>
      <c r="O75" s="1976" t="s">
        <v>7103</v>
      </c>
      <c r="P75" s="1975" t="s">
        <v>8062</v>
      </c>
      <c r="Q75" s="1975" t="s">
        <v>8063</v>
      </c>
      <c r="R75" s="1975" t="s">
        <v>8064</v>
      </c>
      <c r="S75" s="9"/>
      <c r="T75" s="5290"/>
      <c r="U75" s="5286" t="s">
        <v>4024</v>
      </c>
      <c r="V75" s="5291" t="s">
        <v>4018</v>
      </c>
      <c r="W75" s="9"/>
      <c r="X75" s="5283">
        <f t="shared" si="30"/>
        <v>16</v>
      </c>
      <c r="Y75" s="5284" t="s">
        <v>3805</v>
      </c>
      <c r="Z75" s="1969" t="s">
        <v>5725</v>
      </c>
      <c r="AA75" s="1970" t="s">
        <v>8339</v>
      </c>
      <c r="AB75" s="1969" t="s">
        <v>5726</v>
      </c>
      <c r="AC75" s="1969" t="s">
        <v>5726</v>
      </c>
      <c r="AD75" s="1969" t="s">
        <v>6789</v>
      </c>
      <c r="AE75" s="1969" t="s">
        <v>6790</v>
      </c>
      <c r="AG75" s="5285"/>
      <c r="AH75" s="1946"/>
      <c r="AI75" s="58"/>
      <c r="AJ75" s="1948"/>
      <c r="AK75" s="1948"/>
      <c r="AL75" s="172"/>
      <c r="AM75" s="5295"/>
      <c r="AN75" s="1900" t="s">
        <v>1</v>
      </c>
      <c r="AO75" s="1900"/>
      <c r="AP75" s="1977" t="s">
        <v>1</v>
      </c>
      <c r="AR75" s="5294">
        <f t="shared" si="31"/>
        <v>16</v>
      </c>
      <c r="AS75" s="1897" t="s">
        <v>3932</v>
      </c>
      <c r="AT75" s="1935" t="s">
        <v>4532</v>
      </c>
      <c r="AU75" s="1935" t="s">
        <v>4533</v>
      </c>
      <c r="AV75" s="1935" t="s">
        <v>4534</v>
      </c>
      <c r="AW75" s="1935" t="s">
        <v>6066</v>
      </c>
      <c r="AX75" s="1935" t="s">
        <v>6067</v>
      </c>
      <c r="AY75" s="1897" t="s">
        <v>3932</v>
      </c>
      <c r="BA75" s="3">
        <v>1</v>
      </c>
    </row>
    <row r="76" spans="2:53" ht="30" customHeight="1">
      <c r="B76" s="1953">
        <v>16</v>
      </c>
      <c r="C76" s="1904" t="s">
        <v>4086</v>
      </c>
      <c r="D76" s="1931" t="s">
        <v>8383</v>
      </c>
      <c r="E76" s="1931" t="s">
        <v>8384</v>
      </c>
      <c r="F76" s="9"/>
      <c r="G76" s="1904"/>
      <c r="H76" s="5855" t="s">
        <v>8096</v>
      </c>
      <c r="I76" s="1965" t="s">
        <v>8097</v>
      </c>
      <c r="J76" s="1965" t="s">
        <v>8098</v>
      </c>
      <c r="L76" s="5281">
        <f t="shared" ref="L76:L77" si="35">L75+1</f>
        <v>3</v>
      </c>
      <c r="M76" s="172" t="s">
        <v>7104</v>
      </c>
      <c r="N76" s="1975" t="s">
        <v>7105</v>
      </c>
      <c r="O76" s="1976" t="s">
        <v>7106</v>
      </c>
      <c r="P76" s="1975" t="s">
        <v>8065</v>
      </c>
      <c r="Q76" s="1975" t="s">
        <v>8066</v>
      </c>
      <c r="R76" s="1975" t="s">
        <v>8067</v>
      </c>
      <c r="S76" s="9"/>
      <c r="T76" s="5290"/>
      <c r="U76" s="5300"/>
      <c r="V76" s="5291" t="s">
        <v>3983</v>
      </c>
      <c r="W76" s="9"/>
      <c r="X76" s="5283">
        <f t="shared" si="30"/>
        <v>17</v>
      </c>
      <c r="Y76" s="5284" t="s">
        <v>3820</v>
      </c>
      <c r="Z76" s="1969" t="s">
        <v>5730</v>
      </c>
      <c r="AA76" s="1970" t="s">
        <v>8340</v>
      </c>
      <c r="AB76" s="1969" t="s">
        <v>5731</v>
      </c>
      <c r="AC76" s="1969" t="s">
        <v>5731</v>
      </c>
      <c r="AD76" s="1969" t="s">
        <v>6793</v>
      </c>
      <c r="AE76" s="1969" t="s">
        <v>6794</v>
      </c>
      <c r="AG76" s="5285"/>
      <c r="AH76" s="1946"/>
      <c r="AI76" s="58"/>
      <c r="AJ76" s="1948"/>
      <c r="AK76" s="1948"/>
      <c r="AL76" s="172"/>
      <c r="AM76" s="5295">
        <v>1</v>
      </c>
      <c r="AN76" s="1944" t="s">
        <v>7762</v>
      </c>
      <c r="AO76" s="1931" t="s">
        <v>7716</v>
      </c>
      <c r="AP76" s="1931" t="s">
        <v>7717</v>
      </c>
      <c r="AR76" s="5294">
        <f t="shared" si="31"/>
        <v>17</v>
      </c>
      <c r="AS76" s="1897" t="s">
        <v>3937</v>
      </c>
      <c r="AT76" s="1935" t="s">
        <v>4535</v>
      </c>
      <c r="AU76" s="1935" t="s">
        <v>4536</v>
      </c>
      <c r="AV76" s="1935" t="s">
        <v>4537</v>
      </c>
      <c r="AW76" s="1935" t="s">
        <v>6068</v>
      </c>
      <c r="AX76" s="1935" t="s">
        <v>6069</v>
      </c>
      <c r="AY76" s="1897" t="s">
        <v>3937</v>
      </c>
      <c r="BA76" s="3">
        <v>1</v>
      </c>
    </row>
    <row r="77" spans="2:53" ht="30" customHeight="1">
      <c r="B77" s="1953">
        <v>17</v>
      </c>
      <c r="C77" s="1904" t="s">
        <v>4087</v>
      </c>
      <c r="D77" s="1931" t="s">
        <v>7416</v>
      </c>
      <c r="E77" s="1931" t="s">
        <v>7417</v>
      </c>
      <c r="F77" s="9"/>
      <c r="G77" s="1904"/>
      <c r="H77" s="5855"/>
      <c r="I77" s="1574"/>
      <c r="J77" s="1574"/>
      <c r="L77" s="5281">
        <f t="shared" si="35"/>
        <v>4</v>
      </c>
      <c r="M77" s="172" t="s">
        <v>7107</v>
      </c>
      <c r="N77" s="1975" t="s">
        <v>7108</v>
      </c>
      <c r="O77" s="1976" t="s">
        <v>7109</v>
      </c>
      <c r="P77" s="1975" t="s">
        <v>8068</v>
      </c>
      <c r="Q77" s="1975" t="s">
        <v>8069</v>
      </c>
      <c r="R77" s="1975" t="s">
        <v>8070</v>
      </c>
      <c r="S77" s="9"/>
      <c r="T77" s="5296"/>
      <c r="U77" s="5856"/>
      <c r="V77" s="5857"/>
      <c r="W77" s="9"/>
      <c r="X77" s="5283"/>
      <c r="Y77" s="5280" t="s">
        <v>1671</v>
      </c>
      <c r="Z77" s="1933"/>
      <c r="AA77" s="1933"/>
      <c r="AB77" s="1933"/>
      <c r="AC77" s="1933"/>
      <c r="AD77" s="1933"/>
      <c r="AE77" s="1942" t="s">
        <v>1671</v>
      </c>
      <c r="AG77" s="5285"/>
      <c r="AH77" s="1946"/>
      <c r="AI77" s="58"/>
      <c r="AJ77" s="1948"/>
      <c r="AK77" s="1948"/>
      <c r="AL77" s="172"/>
      <c r="AM77" s="5295">
        <f>AM76+1</f>
        <v>2</v>
      </c>
      <c r="AN77" s="1944" t="s">
        <v>7763</v>
      </c>
      <c r="AO77" s="1931" t="s">
        <v>7718</v>
      </c>
      <c r="AP77" s="1931" t="s">
        <v>7719</v>
      </c>
      <c r="AR77" s="5294">
        <f t="shared" si="31"/>
        <v>18</v>
      </c>
      <c r="AS77" s="1897" t="s">
        <v>3943</v>
      </c>
      <c r="AT77" s="1935" t="s">
        <v>4538</v>
      </c>
      <c r="AU77" s="1935" t="s">
        <v>4539</v>
      </c>
      <c r="AV77" s="1935" t="s">
        <v>4540</v>
      </c>
      <c r="AW77" s="1935" t="s">
        <v>6070</v>
      </c>
      <c r="AX77" s="1935" t="s">
        <v>6071</v>
      </c>
      <c r="AY77" s="1897" t="s">
        <v>3943</v>
      </c>
      <c r="BA77" s="3">
        <v>1</v>
      </c>
    </row>
    <row r="78" spans="2:53" ht="30" customHeight="1">
      <c r="B78" s="1953">
        <v>18</v>
      </c>
      <c r="C78" s="1904" t="s">
        <v>8088</v>
      </c>
      <c r="D78" s="1931" t="s">
        <v>8385</v>
      </c>
      <c r="E78" s="1931" t="s">
        <v>8386</v>
      </c>
      <c r="F78" s="9"/>
      <c r="G78" s="5269"/>
      <c r="H78" s="5270" t="s">
        <v>13499</v>
      </c>
      <c r="I78" s="1965"/>
      <c r="J78" s="1965"/>
      <c r="L78" s="5294"/>
      <c r="M78" s="172"/>
      <c r="N78" s="1975"/>
      <c r="O78" s="1976"/>
      <c r="P78" s="1975"/>
      <c r="Q78" s="1975"/>
      <c r="R78" s="1975"/>
      <c r="S78" s="9"/>
      <c r="T78" s="5282" t="s">
        <v>3591</v>
      </c>
      <c r="U78" s="5286" t="s">
        <v>3634</v>
      </c>
      <c r="V78" s="5291" t="s">
        <v>3644</v>
      </c>
      <c r="W78" s="9"/>
      <c r="X78" s="5283">
        <v>1</v>
      </c>
      <c r="Y78" s="5284" t="s">
        <v>3851</v>
      </c>
      <c r="Z78" s="1969" t="s">
        <v>5793</v>
      </c>
      <c r="AA78" s="1970" t="s">
        <v>8212</v>
      </c>
      <c r="AB78" s="1969" t="s">
        <v>5794</v>
      </c>
      <c r="AC78" s="1969" t="s">
        <v>6798</v>
      </c>
      <c r="AD78" s="1969" t="s">
        <v>6799</v>
      </c>
      <c r="AE78" s="1969" t="s">
        <v>6800</v>
      </c>
      <c r="AG78" s="5285"/>
      <c r="AH78" s="1946"/>
      <c r="AI78" s="58"/>
      <c r="AJ78" s="1948"/>
      <c r="AK78" s="1948"/>
      <c r="AL78" s="172"/>
      <c r="AM78" s="5295">
        <f t="shared" ref="AM78:AM80" si="36">AM77+1</f>
        <v>3</v>
      </c>
      <c r="AN78" s="1944" t="s">
        <v>7275</v>
      </c>
      <c r="AO78" s="1931" t="s">
        <v>7720</v>
      </c>
      <c r="AP78" s="1931" t="s">
        <v>7721</v>
      </c>
      <c r="AR78" s="5294">
        <f t="shared" si="31"/>
        <v>19</v>
      </c>
      <c r="AS78" s="1897" t="s">
        <v>3949</v>
      </c>
      <c r="AT78" s="1935" t="s">
        <v>4541</v>
      </c>
      <c r="AU78" s="1935" t="s">
        <v>4542</v>
      </c>
      <c r="AV78" s="1935" t="s">
        <v>4543</v>
      </c>
      <c r="AW78" s="1935" t="s">
        <v>5514</v>
      </c>
      <c r="AX78" s="1935" t="s">
        <v>6072</v>
      </c>
      <c r="AY78" s="1897" t="s">
        <v>3949</v>
      </c>
      <c r="BA78" s="3">
        <v>1</v>
      </c>
    </row>
    <row r="79" spans="2:53" ht="30" customHeight="1">
      <c r="B79" s="1953"/>
      <c r="F79" s="9"/>
      <c r="G79" s="1953"/>
      <c r="H79" s="1904"/>
      <c r="I79" s="1965"/>
      <c r="J79" s="1965"/>
      <c r="L79" s="5294"/>
      <c r="M79" s="172"/>
      <c r="N79" s="1975"/>
      <c r="O79" s="1976"/>
      <c r="P79" s="1975"/>
      <c r="Q79" s="1975"/>
      <c r="R79" s="1975"/>
      <c r="S79" s="9"/>
      <c r="T79" s="5290"/>
      <c r="U79" s="5286" t="s">
        <v>13536</v>
      </c>
      <c r="V79" s="5291" t="s">
        <v>13537</v>
      </c>
      <c r="W79" s="9"/>
      <c r="X79" s="5283">
        <f>X78+1</f>
        <v>2</v>
      </c>
      <c r="Y79" s="5284" t="s">
        <v>3872</v>
      </c>
      <c r="Z79" s="1969" t="s">
        <v>5798</v>
      </c>
      <c r="AA79" s="1970" t="s">
        <v>8213</v>
      </c>
      <c r="AB79" s="1969" t="s">
        <v>5799</v>
      </c>
      <c r="AC79" s="1969" t="s">
        <v>5799</v>
      </c>
      <c r="AD79" s="1969" t="s">
        <v>6803</v>
      </c>
      <c r="AE79" s="1969" t="s">
        <v>6804</v>
      </c>
      <c r="AG79" s="5285"/>
      <c r="AH79" s="1946"/>
      <c r="AI79" s="58"/>
      <c r="AJ79" s="1948"/>
      <c r="AK79" s="1948"/>
      <c r="AL79" s="172"/>
      <c r="AM79" s="5295">
        <f t="shared" si="36"/>
        <v>4</v>
      </c>
      <c r="AN79" s="1944" t="s">
        <v>7276</v>
      </c>
      <c r="AO79" s="1931" t="s">
        <v>7277</v>
      </c>
      <c r="AP79" s="1931" t="s">
        <v>7278</v>
      </c>
      <c r="AR79" s="5294">
        <f t="shared" si="31"/>
        <v>20</v>
      </c>
      <c r="AS79" s="1897" t="s">
        <v>3954</v>
      </c>
      <c r="AT79" s="1935" t="s">
        <v>4544</v>
      </c>
      <c r="AU79" s="1935" t="s">
        <v>4545</v>
      </c>
      <c r="AV79" s="1935" t="s">
        <v>4546</v>
      </c>
      <c r="AW79" s="1935" t="s">
        <v>6073</v>
      </c>
      <c r="AX79" s="1935" t="s">
        <v>6074</v>
      </c>
      <c r="AY79" s="1897" t="s">
        <v>3954</v>
      </c>
      <c r="BA79" s="3">
        <v>1</v>
      </c>
    </row>
    <row r="80" spans="2:53" ht="30" customHeight="1">
      <c r="B80" s="1953"/>
      <c r="C80" s="1903" t="s">
        <v>7666</v>
      </c>
      <c r="D80" s="1990"/>
      <c r="E80" s="1990"/>
      <c r="F80" s="9"/>
      <c r="G80" s="1953"/>
      <c r="H80" s="1904"/>
      <c r="I80" s="1965"/>
      <c r="J80" s="1965"/>
      <c r="L80" s="5294"/>
      <c r="M80" s="172"/>
      <c r="N80" s="1975"/>
      <c r="O80" s="1976"/>
      <c r="P80" s="1975"/>
      <c r="Q80" s="1975"/>
      <c r="R80" s="1975"/>
      <c r="S80" s="9"/>
      <c r="T80" s="5290"/>
      <c r="U80" s="5299"/>
      <c r="V80" s="5291" t="s">
        <v>13538</v>
      </c>
      <c r="W80" s="9"/>
      <c r="X80" s="5283">
        <f t="shared" ref="X80:X95" si="37">X79+1</f>
        <v>3</v>
      </c>
      <c r="Y80" s="5280" t="s">
        <v>3754</v>
      </c>
      <c r="Z80" s="1933"/>
      <c r="AA80" s="1933"/>
      <c r="AB80" s="1933"/>
      <c r="AC80" s="1933"/>
      <c r="AD80" s="1933"/>
      <c r="AE80" s="1942" t="s">
        <v>3754</v>
      </c>
      <c r="AG80" s="5285"/>
      <c r="AH80" s="1946"/>
      <c r="AI80" s="58"/>
      <c r="AJ80" s="1948"/>
      <c r="AK80" s="1948"/>
      <c r="AL80" s="172"/>
      <c r="AM80" s="5295">
        <f t="shared" si="36"/>
        <v>5</v>
      </c>
      <c r="AN80" s="1944" t="s">
        <v>7279</v>
      </c>
      <c r="AO80" s="1931" t="s">
        <v>7280</v>
      </c>
      <c r="AP80" s="1931" t="s">
        <v>7281</v>
      </c>
      <c r="AR80" s="5294">
        <f t="shared" si="31"/>
        <v>21</v>
      </c>
      <c r="AS80" s="1897" t="s">
        <v>3962</v>
      </c>
      <c r="AT80" s="1935" t="s">
        <v>4547</v>
      </c>
      <c r="AU80" s="1935" t="s">
        <v>4548</v>
      </c>
      <c r="AV80" s="1935" t="s">
        <v>4549</v>
      </c>
      <c r="AW80" s="1935" t="s">
        <v>6075</v>
      </c>
      <c r="AX80" s="1935" t="s">
        <v>6076</v>
      </c>
      <c r="AY80" s="1897" t="s">
        <v>3962</v>
      </c>
      <c r="BA80" s="3">
        <v>1</v>
      </c>
    </row>
    <row r="81" spans="2:53" ht="30" customHeight="1">
      <c r="B81" s="1953">
        <v>1</v>
      </c>
      <c r="C81" s="1904" t="s">
        <v>8076</v>
      </c>
      <c r="D81" s="1931" t="s">
        <v>7375</v>
      </c>
      <c r="E81" s="1931" t="s">
        <v>8094</v>
      </c>
      <c r="F81" s="9"/>
      <c r="G81" s="1953"/>
      <c r="H81" s="1904"/>
      <c r="I81" s="1965"/>
      <c r="J81" s="1965"/>
      <c r="L81" s="5294"/>
      <c r="M81" s="172"/>
      <c r="N81" s="1975"/>
      <c r="O81" s="1976"/>
      <c r="P81" s="1975"/>
      <c r="Q81" s="1975"/>
      <c r="R81" s="1975"/>
      <c r="S81" s="9"/>
      <c r="T81" s="5290"/>
      <c r="U81" s="5286" t="s">
        <v>13539</v>
      </c>
      <c r="V81" s="5291" t="s">
        <v>3687</v>
      </c>
      <c r="W81" s="9"/>
      <c r="X81" s="5283">
        <f t="shared" si="37"/>
        <v>4</v>
      </c>
      <c r="Y81" s="5284" t="s">
        <v>3886</v>
      </c>
      <c r="Z81" s="1969" t="s">
        <v>5800</v>
      </c>
      <c r="AA81" s="1970" t="s">
        <v>8198</v>
      </c>
      <c r="AB81" s="1969" t="s">
        <v>5801</v>
      </c>
      <c r="AC81" s="1969" t="s">
        <v>5801</v>
      </c>
      <c r="AD81" s="1969" t="s">
        <v>6805</v>
      </c>
      <c r="AE81" s="1969" t="s">
        <v>6806</v>
      </c>
      <c r="AG81" s="5285"/>
      <c r="AH81" s="1946"/>
      <c r="AI81" s="58"/>
      <c r="AJ81" s="1948"/>
      <c r="AK81" s="1948"/>
      <c r="AL81" s="172"/>
      <c r="AM81" s="5295"/>
      <c r="AN81" s="1900" t="s">
        <v>3656</v>
      </c>
      <c r="AO81" s="1900"/>
      <c r="AP81" s="1977" t="s">
        <v>3656</v>
      </c>
      <c r="AR81" s="5294">
        <f t="shared" si="31"/>
        <v>22</v>
      </c>
      <c r="AS81" s="1897" t="s">
        <v>3968</v>
      </c>
      <c r="AT81" s="1935" t="s">
        <v>4550</v>
      </c>
      <c r="AU81" s="1935" t="s">
        <v>4551</v>
      </c>
      <c r="AV81" s="1935" t="s">
        <v>4552</v>
      </c>
      <c r="AW81" s="1935" t="s">
        <v>6077</v>
      </c>
      <c r="AX81" s="1935" t="s">
        <v>6078</v>
      </c>
      <c r="AY81" s="1897" t="s">
        <v>3968</v>
      </c>
      <c r="BA81" s="3">
        <v>1</v>
      </c>
    </row>
    <row r="82" spans="2:53" ht="30" customHeight="1">
      <c r="B82" s="1953">
        <v>2</v>
      </c>
      <c r="C82" s="1904" t="s">
        <v>7376</v>
      </c>
      <c r="D82" s="1931" t="s">
        <v>8387</v>
      </c>
      <c r="E82" s="1931" t="s">
        <v>8388</v>
      </c>
      <c r="F82" s="9"/>
      <c r="G82" s="1953"/>
      <c r="H82" s="1904"/>
      <c r="I82" s="1965"/>
      <c r="J82" s="1965"/>
      <c r="L82" s="5294"/>
      <c r="M82" s="172"/>
      <c r="N82" s="1975"/>
      <c r="O82" s="1976"/>
      <c r="P82" s="1975"/>
      <c r="Q82" s="1975"/>
      <c r="R82" s="1975"/>
      <c r="S82" s="9"/>
      <c r="T82" s="5290"/>
      <c r="U82" s="5286" t="s">
        <v>13540</v>
      </c>
      <c r="V82" s="5291" t="s">
        <v>3712</v>
      </c>
      <c r="W82" s="9"/>
      <c r="X82" s="5283">
        <f t="shared" si="37"/>
        <v>5</v>
      </c>
      <c r="Y82" s="5284" t="s">
        <v>3893</v>
      </c>
      <c r="Z82" s="1969" t="s">
        <v>5802</v>
      </c>
      <c r="AA82" s="1970" t="s">
        <v>8199</v>
      </c>
      <c r="AB82" s="1969" t="s">
        <v>5803</v>
      </c>
      <c r="AC82" s="1969" t="s">
        <v>5803</v>
      </c>
      <c r="AD82" s="1969" t="s">
        <v>6807</v>
      </c>
      <c r="AE82" s="1969" t="s">
        <v>6808</v>
      </c>
      <c r="AG82" s="5285"/>
      <c r="AH82" s="1946"/>
      <c r="AI82" s="58"/>
      <c r="AJ82" s="1948"/>
      <c r="AK82" s="1948"/>
      <c r="AL82" s="172"/>
      <c r="AM82" s="5295">
        <v>1</v>
      </c>
      <c r="AN82" s="1944" t="s">
        <v>7282</v>
      </c>
      <c r="AO82" s="1931" t="s">
        <v>7283</v>
      </c>
      <c r="AP82" s="1931" t="s">
        <v>7284</v>
      </c>
      <c r="AR82" s="5294">
        <f t="shared" si="31"/>
        <v>23</v>
      </c>
      <c r="AS82" s="1897" t="s">
        <v>3974</v>
      </c>
      <c r="AT82" s="1935" t="s">
        <v>4553</v>
      </c>
      <c r="AU82" s="1935" t="s">
        <v>4554</v>
      </c>
      <c r="AV82" s="1935" t="s">
        <v>4555</v>
      </c>
      <c r="AW82" s="1935" t="s">
        <v>6079</v>
      </c>
      <c r="AX82" s="1935" t="s">
        <v>6080</v>
      </c>
      <c r="AY82" s="1897" t="s">
        <v>3974</v>
      </c>
      <c r="BA82" s="3">
        <v>1</v>
      </c>
    </row>
    <row r="83" spans="2:53" ht="30" customHeight="1">
      <c r="B83" s="1953">
        <v>3</v>
      </c>
      <c r="C83" s="1904" t="s">
        <v>8079</v>
      </c>
      <c r="D83" s="1931" t="s">
        <v>8389</v>
      </c>
      <c r="E83" s="1931" t="s">
        <v>8390</v>
      </c>
      <c r="F83" s="9"/>
      <c r="G83" s="1953"/>
      <c r="H83" s="1904"/>
      <c r="I83" s="1965"/>
      <c r="J83" s="1965"/>
      <c r="L83" s="5294"/>
      <c r="M83" s="172"/>
      <c r="N83" s="1975"/>
      <c r="O83" s="1976"/>
      <c r="P83" s="1975"/>
      <c r="Q83" s="1975"/>
      <c r="R83" s="1975"/>
      <c r="S83" s="9"/>
      <c r="T83" s="5290"/>
      <c r="U83" s="5286" t="s">
        <v>3743</v>
      </c>
      <c r="V83" s="5291" t="s">
        <v>3750</v>
      </c>
      <c r="W83" s="9"/>
      <c r="X83" s="5283">
        <f t="shared" si="37"/>
        <v>6</v>
      </c>
      <c r="Y83" s="5284" t="s">
        <v>3901</v>
      </c>
      <c r="Z83" s="1969" t="s">
        <v>5804</v>
      </c>
      <c r="AA83" s="1970" t="s">
        <v>8200</v>
      </c>
      <c r="AB83" s="1969" t="s">
        <v>5805</v>
      </c>
      <c r="AC83" s="1969" t="s">
        <v>5805</v>
      </c>
      <c r="AD83" s="1969" t="s">
        <v>6809</v>
      </c>
      <c r="AE83" s="1969" t="s">
        <v>6810</v>
      </c>
      <c r="AG83" s="5285"/>
      <c r="AH83" s="1946"/>
      <c r="AI83" s="58"/>
      <c r="AJ83" s="1948"/>
      <c r="AK83" s="1948"/>
      <c r="AL83" s="172"/>
      <c r="AM83" s="5295"/>
      <c r="AN83" s="1900" t="s">
        <v>2</v>
      </c>
      <c r="AO83" s="1900"/>
      <c r="AP83" s="1977" t="s">
        <v>2</v>
      </c>
      <c r="AR83" s="5294">
        <f t="shared" si="31"/>
        <v>24</v>
      </c>
      <c r="AS83" s="1897" t="s">
        <v>3981</v>
      </c>
      <c r="AT83" s="1935" t="s">
        <v>4556</v>
      </c>
      <c r="AU83" s="1935" t="s">
        <v>4557</v>
      </c>
      <c r="AV83" s="1935" t="s">
        <v>4558</v>
      </c>
      <c r="AW83" s="1935" t="s">
        <v>6081</v>
      </c>
      <c r="AX83" s="1935" t="s">
        <v>6082</v>
      </c>
      <c r="AY83" s="1897" t="s">
        <v>3981</v>
      </c>
      <c r="BA83" s="3">
        <v>1</v>
      </c>
    </row>
    <row r="84" spans="2:53" ht="30" customHeight="1">
      <c r="B84" s="1953">
        <v>4</v>
      </c>
      <c r="C84" s="1904" t="s">
        <v>4025</v>
      </c>
      <c r="D84" s="1931" t="s">
        <v>7384</v>
      </c>
      <c r="E84" s="1931" t="s">
        <v>7385</v>
      </c>
      <c r="F84" s="9"/>
      <c r="G84" s="1953"/>
      <c r="H84" s="1904"/>
      <c r="I84" s="1965"/>
      <c r="J84" s="1965"/>
      <c r="L84" s="5294"/>
      <c r="M84" s="172"/>
      <c r="N84" s="1975"/>
      <c r="O84" s="1976"/>
      <c r="P84" s="1975"/>
      <c r="Q84" s="1975"/>
      <c r="R84" s="1975"/>
      <c r="S84" s="9"/>
      <c r="T84" s="5290"/>
      <c r="U84" s="5286" t="s">
        <v>13541</v>
      </c>
      <c r="V84" s="5291" t="s">
        <v>13542</v>
      </c>
      <c r="W84" s="9"/>
      <c r="X84" s="5283">
        <f t="shared" si="37"/>
        <v>7</v>
      </c>
      <c r="Y84" s="5284" t="s">
        <v>3907</v>
      </c>
      <c r="Z84" s="1969" t="s">
        <v>5806</v>
      </c>
      <c r="AA84" s="1970" t="s">
        <v>8211</v>
      </c>
      <c r="AB84" s="1969" t="s">
        <v>5807</v>
      </c>
      <c r="AC84" s="1969" t="s">
        <v>5807</v>
      </c>
      <c r="AD84" s="1969" t="s">
        <v>6811</v>
      </c>
      <c r="AE84" s="1969" t="s">
        <v>6812</v>
      </c>
      <c r="AG84" s="5285"/>
      <c r="AH84" s="1946"/>
      <c r="AI84" s="58"/>
      <c r="AJ84" s="1948"/>
      <c r="AK84" s="1948"/>
      <c r="AL84" s="172"/>
      <c r="AM84" s="5295">
        <v>1</v>
      </c>
      <c r="AN84" s="1944" t="s">
        <v>7285</v>
      </c>
      <c r="AO84" s="1931" t="s">
        <v>7722</v>
      </c>
      <c r="AP84" s="1931" t="s">
        <v>7723</v>
      </c>
      <c r="AR84" s="5294">
        <f t="shared" si="31"/>
        <v>25</v>
      </c>
      <c r="AS84" s="1897" t="s">
        <v>3987</v>
      </c>
      <c r="AT84" s="1935" t="s">
        <v>4559</v>
      </c>
      <c r="AU84" s="1935" t="s">
        <v>4560</v>
      </c>
      <c r="AV84" s="1935" t="s">
        <v>4561</v>
      </c>
      <c r="AW84" s="1935" t="s">
        <v>6083</v>
      </c>
      <c r="AX84" s="1935" t="s">
        <v>6084</v>
      </c>
      <c r="AY84" s="1897" t="s">
        <v>3987</v>
      </c>
      <c r="BA84" s="3">
        <v>1</v>
      </c>
    </row>
    <row r="85" spans="2:53" ht="30" customHeight="1">
      <c r="B85" s="1953">
        <v>5</v>
      </c>
      <c r="C85" s="1904" t="s">
        <v>4030</v>
      </c>
      <c r="D85" s="1931" t="s">
        <v>8391</v>
      </c>
      <c r="E85" s="1931" t="s">
        <v>8392</v>
      </c>
      <c r="F85" s="9"/>
      <c r="G85" s="1953"/>
      <c r="H85" s="1904"/>
      <c r="I85" s="1965"/>
      <c r="J85" s="1965"/>
      <c r="L85" s="5294"/>
      <c r="M85" s="172"/>
      <c r="N85" s="1975"/>
      <c r="O85" s="1976"/>
      <c r="P85" s="1975"/>
      <c r="Q85" s="1975"/>
      <c r="R85" s="1975"/>
      <c r="S85" s="9"/>
      <c r="T85" s="5290"/>
      <c r="U85" s="5299"/>
      <c r="V85" s="5291" t="s">
        <v>3790</v>
      </c>
      <c r="W85" s="9"/>
      <c r="X85" s="5283">
        <f t="shared" si="37"/>
        <v>8</v>
      </c>
      <c r="Y85" s="5284" t="s">
        <v>3913</v>
      </c>
      <c r="Z85" s="1969" t="s">
        <v>5808</v>
      </c>
      <c r="AA85" s="1970" t="s">
        <v>8333</v>
      </c>
      <c r="AB85" s="1969" t="s">
        <v>5809</v>
      </c>
      <c r="AC85" s="1969" t="s">
        <v>5809</v>
      </c>
      <c r="AD85" s="1969" t="s">
        <v>6813</v>
      </c>
      <c r="AE85" s="1969" t="s">
        <v>6814</v>
      </c>
      <c r="AG85" s="5285"/>
      <c r="AH85" s="1946"/>
      <c r="AI85" s="58"/>
      <c r="AJ85" s="1948"/>
      <c r="AK85" s="1948"/>
      <c r="AL85" s="172"/>
      <c r="AM85" s="5295">
        <f>AM84+1</f>
        <v>2</v>
      </c>
      <c r="AN85" s="1944" t="s">
        <v>7286</v>
      </c>
      <c r="AO85" s="1931" t="s">
        <v>7724</v>
      </c>
      <c r="AP85" s="1931" t="s">
        <v>7725</v>
      </c>
      <c r="AR85" s="5294">
        <f t="shared" si="31"/>
        <v>26</v>
      </c>
      <c r="AS85" s="1897" t="s">
        <v>3993</v>
      </c>
      <c r="AT85" s="1935" t="s">
        <v>4562</v>
      </c>
      <c r="AU85" s="1935" t="s">
        <v>4563</v>
      </c>
      <c r="AV85" s="1935" t="s">
        <v>4564</v>
      </c>
      <c r="AW85" s="1935" t="s">
        <v>5515</v>
      </c>
      <c r="AX85" s="1935" t="s">
        <v>5516</v>
      </c>
      <c r="AY85" s="1897" t="s">
        <v>3993</v>
      </c>
      <c r="BA85" s="3">
        <v>1</v>
      </c>
    </row>
    <row r="86" spans="2:53" ht="30" customHeight="1">
      <c r="B86" s="1953">
        <v>6</v>
      </c>
      <c r="C86" s="1904" t="s">
        <v>8080</v>
      </c>
      <c r="D86" s="1931" t="s">
        <v>8393</v>
      </c>
      <c r="E86" s="1931" t="s">
        <v>8394</v>
      </c>
      <c r="F86" s="9"/>
      <c r="G86" s="1953"/>
      <c r="H86" s="1904"/>
      <c r="I86" s="1965"/>
      <c r="J86" s="1965"/>
      <c r="L86" s="5294"/>
      <c r="M86" s="172"/>
      <c r="N86" s="1975"/>
      <c r="O86" s="1976"/>
      <c r="P86" s="1975"/>
      <c r="Q86" s="1975"/>
      <c r="R86" s="1975"/>
      <c r="S86" s="9"/>
      <c r="T86" s="5290"/>
      <c r="U86" s="5286" t="s">
        <v>3818</v>
      </c>
      <c r="V86" s="5291" t="s">
        <v>3804</v>
      </c>
      <c r="W86" s="9"/>
      <c r="X86" s="5283">
        <f t="shared" si="37"/>
        <v>9</v>
      </c>
      <c r="Y86" s="5284" t="s">
        <v>3924</v>
      </c>
      <c r="Z86" s="1969" t="s">
        <v>5813</v>
      </c>
      <c r="AA86" s="1970" t="s">
        <v>8201</v>
      </c>
      <c r="AB86" s="1969" t="s">
        <v>5814</v>
      </c>
      <c r="AC86" s="1969" t="s">
        <v>5814</v>
      </c>
      <c r="AD86" s="1969" t="s">
        <v>6817</v>
      </c>
      <c r="AE86" s="1969" t="s">
        <v>6818</v>
      </c>
      <c r="AG86" s="5285"/>
      <c r="AH86" s="1946"/>
      <c r="AI86" s="58"/>
      <c r="AJ86" s="1948"/>
      <c r="AK86" s="1948"/>
      <c r="AL86" s="172"/>
      <c r="AM86" s="5295">
        <f t="shared" ref="AM86:AM92" si="38">AM85+1</f>
        <v>3</v>
      </c>
      <c r="AN86" s="1944" t="s">
        <v>7287</v>
      </c>
      <c r="AO86" s="1931" t="s">
        <v>7288</v>
      </c>
      <c r="AP86" s="1931" t="s">
        <v>7289</v>
      </c>
      <c r="AR86" s="5294">
        <f t="shared" si="31"/>
        <v>27</v>
      </c>
      <c r="AS86" s="1897" t="s">
        <v>3998</v>
      </c>
      <c r="AT86" s="1935" t="s">
        <v>7437</v>
      </c>
      <c r="AU86" s="1936" t="s">
        <v>7438</v>
      </c>
      <c r="AV86" s="1935" t="s">
        <v>8115</v>
      </c>
      <c r="AW86" s="1935" t="s">
        <v>8116</v>
      </c>
      <c r="AX86" s="1935" t="s">
        <v>8117</v>
      </c>
      <c r="AY86" s="1897" t="s">
        <v>3998</v>
      </c>
      <c r="BA86" s="3">
        <v>1</v>
      </c>
    </row>
    <row r="87" spans="2:53" ht="30" customHeight="1">
      <c r="B87" s="1953">
        <v>7</v>
      </c>
      <c r="C87" s="1904" t="s">
        <v>4088</v>
      </c>
      <c r="D87" s="1931" t="s">
        <v>8395</v>
      </c>
      <c r="E87" s="1931" t="s">
        <v>8396</v>
      </c>
      <c r="F87" s="9"/>
      <c r="G87" s="1953"/>
      <c r="H87" s="1904"/>
      <c r="I87" s="1965"/>
      <c r="J87" s="1965"/>
      <c r="L87" s="5294"/>
      <c r="M87" s="172"/>
      <c r="N87" s="1975"/>
      <c r="O87" s="1976"/>
      <c r="P87" s="1975"/>
      <c r="Q87" s="1975"/>
      <c r="R87" s="1975"/>
      <c r="S87" s="9"/>
      <c r="T87" s="5290"/>
      <c r="U87" s="5286" t="s">
        <v>3826</v>
      </c>
      <c r="V87" s="5291" t="s">
        <v>3811</v>
      </c>
      <c r="W87" s="9"/>
      <c r="X87" s="5283">
        <f t="shared" si="37"/>
        <v>10</v>
      </c>
      <c r="Y87" s="5284" t="s">
        <v>3929</v>
      </c>
      <c r="Z87" s="1969" t="s">
        <v>5815</v>
      </c>
      <c r="AA87" s="1970" t="s">
        <v>8202</v>
      </c>
      <c r="AB87" s="1969" t="s">
        <v>5816</v>
      </c>
      <c r="AC87" s="1969" t="s">
        <v>5816</v>
      </c>
      <c r="AD87" s="1969" t="s">
        <v>6819</v>
      </c>
      <c r="AE87" s="1969" t="s">
        <v>6820</v>
      </c>
      <c r="AG87" s="5285"/>
      <c r="AH87" s="1946"/>
      <c r="AI87" s="58"/>
      <c r="AJ87" s="1948"/>
      <c r="AK87" s="1948"/>
      <c r="AL87" s="172"/>
      <c r="AM87" s="5295">
        <f t="shared" si="38"/>
        <v>4</v>
      </c>
      <c r="AN87" s="1944" t="s">
        <v>7290</v>
      </c>
      <c r="AO87" s="1931" t="s">
        <v>7726</v>
      </c>
      <c r="AP87" s="1931" t="s">
        <v>7727</v>
      </c>
      <c r="AR87" s="5294">
        <f t="shared" si="31"/>
        <v>28</v>
      </c>
      <c r="AS87" s="1897" t="s">
        <v>4004</v>
      </c>
      <c r="AT87" s="1935" t="s">
        <v>4565</v>
      </c>
      <c r="AU87" s="1935" t="s">
        <v>4566</v>
      </c>
      <c r="AV87" s="1935" t="s">
        <v>4567</v>
      </c>
      <c r="AW87" s="1935" t="s">
        <v>6085</v>
      </c>
      <c r="AX87" s="1935" t="s">
        <v>6086</v>
      </c>
      <c r="AY87" s="1897" t="s">
        <v>4004</v>
      </c>
      <c r="BA87" s="3">
        <v>1</v>
      </c>
    </row>
    <row r="88" spans="2:53" ht="30" customHeight="1">
      <c r="B88" s="1953">
        <v>8</v>
      </c>
      <c r="C88" s="1904" t="s">
        <v>4081</v>
      </c>
      <c r="D88" s="1931" t="s">
        <v>7410</v>
      </c>
      <c r="E88" s="1931" t="s">
        <v>8397</v>
      </c>
      <c r="F88" s="9"/>
      <c r="I88" s="1965"/>
      <c r="J88" s="1965"/>
      <c r="L88" s="5294"/>
      <c r="M88" s="172"/>
      <c r="N88" s="1975"/>
      <c r="O88" s="1976"/>
      <c r="P88" s="1975"/>
      <c r="Q88" s="1975"/>
      <c r="R88" s="1975"/>
      <c r="S88" s="9"/>
      <c r="T88" s="5290"/>
      <c r="U88" s="5286" t="s">
        <v>3844</v>
      </c>
      <c r="V88" s="5291" t="s">
        <v>3840</v>
      </c>
      <c r="W88" s="9"/>
      <c r="X88" s="5283">
        <f t="shared" si="37"/>
        <v>11</v>
      </c>
      <c r="Y88" s="5284" t="s">
        <v>3935</v>
      </c>
      <c r="Z88" s="1969" t="s">
        <v>5817</v>
      </c>
      <c r="AA88" s="1970" t="s">
        <v>8203</v>
      </c>
      <c r="AB88" s="1969" t="s">
        <v>5818</v>
      </c>
      <c r="AC88" s="1969" t="s">
        <v>5818</v>
      </c>
      <c r="AD88" s="1969" t="s">
        <v>6821</v>
      </c>
      <c r="AE88" s="1969" t="s">
        <v>6822</v>
      </c>
      <c r="AG88" s="5285"/>
      <c r="AH88" s="1946"/>
      <c r="AI88" s="58"/>
      <c r="AJ88" s="1948"/>
      <c r="AK88" s="1948"/>
      <c r="AL88" s="172"/>
      <c r="AM88" s="5295">
        <f t="shared" si="38"/>
        <v>5</v>
      </c>
      <c r="AN88" s="1944" t="s">
        <v>7291</v>
      </c>
      <c r="AO88" s="1931" t="s">
        <v>7292</v>
      </c>
      <c r="AP88" s="1931" t="s">
        <v>7293</v>
      </c>
      <c r="AR88" s="5294">
        <f t="shared" si="31"/>
        <v>29</v>
      </c>
      <c r="AS88" s="1897" t="s">
        <v>4009</v>
      </c>
      <c r="AT88" s="1935" t="s">
        <v>4568</v>
      </c>
      <c r="AU88" s="1935" t="s">
        <v>4569</v>
      </c>
      <c r="AV88" s="1935" t="s">
        <v>4570</v>
      </c>
      <c r="AW88" s="1935" t="s">
        <v>6087</v>
      </c>
      <c r="AX88" s="1935" t="s">
        <v>6088</v>
      </c>
      <c r="AY88" s="1897" t="s">
        <v>4009</v>
      </c>
      <c r="BA88" s="3">
        <v>1</v>
      </c>
    </row>
    <row r="89" spans="2:53" ht="30" customHeight="1">
      <c r="B89" s="1953">
        <v>9</v>
      </c>
      <c r="C89" s="1904" t="s">
        <v>4040</v>
      </c>
      <c r="D89" s="1931" t="s">
        <v>8398</v>
      </c>
      <c r="E89" s="1931" t="s">
        <v>8399</v>
      </c>
      <c r="F89" s="9"/>
      <c r="G89" s="1953"/>
      <c r="H89" s="1904"/>
      <c r="I89" s="1965"/>
      <c r="J89" s="1965"/>
      <c r="L89" s="5294"/>
      <c r="M89" s="172"/>
      <c r="N89" s="1975"/>
      <c r="O89" s="1976"/>
      <c r="P89" s="1975"/>
      <c r="Q89" s="1975"/>
      <c r="R89" s="1975"/>
      <c r="S89" s="9"/>
      <c r="T89" s="5290"/>
      <c r="U89" s="5299"/>
      <c r="V89" s="5291" t="s">
        <v>3864</v>
      </c>
      <c r="W89" s="9"/>
      <c r="X89" s="5283">
        <f t="shared" si="37"/>
        <v>12</v>
      </c>
      <c r="Y89" s="5284" t="s">
        <v>3941</v>
      </c>
      <c r="Z89" s="1969" t="s">
        <v>5819</v>
      </c>
      <c r="AA89" s="1970" t="s">
        <v>8204</v>
      </c>
      <c r="AB89" s="1969" t="s">
        <v>5820</v>
      </c>
      <c r="AC89" s="1969" t="s">
        <v>5820</v>
      </c>
      <c r="AD89" s="1969" t="s">
        <v>6823</v>
      </c>
      <c r="AE89" s="1969" t="s">
        <v>6824</v>
      </c>
      <c r="AG89" s="5285"/>
      <c r="AH89" s="1946"/>
      <c r="AI89" s="58"/>
      <c r="AJ89" s="1948"/>
      <c r="AK89" s="1948"/>
      <c r="AL89" s="172"/>
      <c r="AM89" s="5295">
        <f t="shared" si="38"/>
        <v>6</v>
      </c>
      <c r="AN89" s="1944" t="s">
        <v>7294</v>
      </c>
      <c r="AO89" s="1931" t="s">
        <v>7295</v>
      </c>
      <c r="AP89" s="1931" t="s">
        <v>7296</v>
      </c>
      <c r="AR89" s="5294">
        <f t="shared" si="31"/>
        <v>30</v>
      </c>
      <c r="AS89" s="1897" t="s">
        <v>4013</v>
      </c>
      <c r="AT89" s="1935" t="s">
        <v>4571</v>
      </c>
      <c r="AU89" s="1935" t="s">
        <v>4572</v>
      </c>
      <c r="AV89" s="1935" t="s">
        <v>4573</v>
      </c>
      <c r="AW89" s="1935" t="s">
        <v>6089</v>
      </c>
      <c r="AX89" s="1935" t="s">
        <v>6090</v>
      </c>
      <c r="AY89" s="1897" t="s">
        <v>4013</v>
      </c>
      <c r="BA89" s="3">
        <v>1</v>
      </c>
    </row>
    <row r="90" spans="2:53" ht="30" customHeight="1">
      <c r="B90" s="1953">
        <v>10</v>
      </c>
      <c r="C90" s="1904" t="s">
        <v>4046</v>
      </c>
      <c r="D90" s="1931" t="s">
        <v>8400</v>
      </c>
      <c r="E90" s="1931" t="s">
        <v>8401</v>
      </c>
      <c r="F90" s="9"/>
      <c r="G90" s="1953"/>
      <c r="H90" s="1904"/>
      <c r="I90" s="1965"/>
      <c r="J90" s="1965"/>
      <c r="L90" s="5294"/>
      <c r="M90" s="172"/>
      <c r="N90" s="1975"/>
      <c r="O90" s="1976"/>
      <c r="P90" s="1975"/>
      <c r="Q90" s="1975"/>
      <c r="R90" s="1975"/>
      <c r="S90" s="9"/>
      <c r="T90" s="5290"/>
      <c r="U90" s="5286" t="s">
        <v>3881</v>
      </c>
      <c r="V90" s="5291" t="s">
        <v>13543</v>
      </c>
      <c r="W90" s="9"/>
      <c r="X90" s="5283">
        <f t="shared" si="37"/>
        <v>13</v>
      </c>
      <c r="Y90" s="5284" t="s">
        <v>3947</v>
      </c>
      <c r="Z90" s="1969" t="s">
        <v>5821</v>
      </c>
      <c r="AA90" s="1970" t="s">
        <v>8205</v>
      </c>
      <c r="AB90" s="1969" t="s">
        <v>5822</v>
      </c>
      <c r="AC90" s="1969" t="s">
        <v>5822</v>
      </c>
      <c r="AD90" s="1969" t="s">
        <v>6825</v>
      </c>
      <c r="AE90" s="1969" t="s">
        <v>6826</v>
      </c>
      <c r="AG90" s="5285"/>
      <c r="AH90" s="1946"/>
      <c r="AI90" s="58"/>
      <c r="AJ90" s="1948"/>
      <c r="AK90" s="1948"/>
      <c r="AL90" s="172"/>
      <c r="AM90" s="5295">
        <f t="shared" si="38"/>
        <v>7</v>
      </c>
      <c r="AN90" s="1944" t="s">
        <v>7297</v>
      </c>
      <c r="AO90" s="1931" t="s">
        <v>7298</v>
      </c>
      <c r="AP90" s="1931" t="s">
        <v>7299</v>
      </c>
      <c r="AR90" s="5294">
        <f t="shared" si="31"/>
        <v>31</v>
      </c>
      <c r="AS90" s="1897" t="s">
        <v>4017</v>
      </c>
      <c r="AT90" s="1935" t="s">
        <v>4574</v>
      </c>
      <c r="AU90" s="1935" t="s">
        <v>4575</v>
      </c>
      <c r="AV90" s="1935" t="s">
        <v>4576</v>
      </c>
      <c r="AW90" s="1935" t="s">
        <v>6091</v>
      </c>
      <c r="AX90" s="1935" t="s">
        <v>6092</v>
      </c>
      <c r="AY90" s="1897" t="s">
        <v>4017</v>
      </c>
      <c r="BA90" s="3">
        <v>1</v>
      </c>
    </row>
    <row r="91" spans="2:53" ht="30" customHeight="1">
      <c r="B91" s="1953">
        <v>11</v>
      </c>
      <c r="C91" s="1904" t="s">
        <v>8081</v>
      </c>
      <c r="D91" s="1931" t="s">
        <v>7387</v>
      </c>
      <c r="E91" s="1931" t="s">
        <v>8402</v>
      </c>
      <c r="F91" s="9"/>
      <c r="G91" s="1953"/>
      <c r="H91" s="1904"/>
      <c r="I91" s="1965"/>
      <c r="J91" s="1965"/>
      <c r="L91" s="5294"/>
      <c r="M91" s="172"/>
      <c r="N91" s="1975"/>
      <c r="O91" s="1976"/>
      <c r="P91" s="1975"/>
      <c r="Q91" s="1975"/>
      <c r="R91" s="1975"/>
      <c r="S91" s="9"/>
      <c r="T91" s="5296"/>
      <c r="U91" s="5856"/>
      <c r="V91" s="5857"/>
      <c r="W91" s="9"/>
      <c r="X91" s="5283">
        <f t="shared" si="37"/>
        <v>14</v>
      </c>
      <c r="Y91" s="5284" t="s">
        <v>3953</v>
      </c>
      <c r="Z91" s="1969" t="s">
        <v>5823</v>
      </c>
      <c r="AA91" s="1970" t="s">
        <v>8206</v>
      </c>
      <c r="AB91" s="1969" t="s">
        <v>5824</v>
      </c>
      <c r="AC91" s="1969" t="s">
        <v>5824</v>
      </c>
      <c r="AD91" s="1969" t="s">
        <v>6827</v>
      </c>
      <c r="AE91" s="1969" t="s">
        <v>6828</v>
      </c>
      <c r="AG91" s="5285"/>
      <c r="AH91" s="1946"/>
      <c r="AI91" s="58"/>
      <c r="AJ91" s="1948"/>
      <c r="AK91" s="1948"/>
      <c r="AL91" s="172"/>
      <c r="AM91" s="5295">
        <f t="shared" si="38"/>
        <v>8</v>
      </c>
      <c r="AN91" s="1944" t="s">
        <v>7300</v>
      </c>
      <c r="AO91" s="1931" t="s">
        <v>7301</v>
      </c>
      <c r="AP91" s="1931" t="s">
        <v>7302</v>
      </c>
      <c r="AR91" s="5294">
        <f t="shared" si="31"/>
        <v>32</v>
      </c>
      <c r="AS91" s="1897" t="s">
        <v>4022</v>
      </c>
      <c r="AT91" s="1935" t="s">
        <v>4577</v>
      </c>
      <c r="AU91" s="1935" t="s">
        <v>4578</v>
      </c>
      <c r="AV91" s="1935" t="s">
        <v>4579</v>
      </c>
      <c r="AW91" s="1935" t="s">
        <v>6093</v>
      </c>
      <c r="AX91" s="1935" t="s">
        <v>6094</v>
      </c>
      <c r="AY91" s="1897" t="s">
        <v>4022</v>
      </c>
      <c r="BA91" s="3">
        <v>1</v>
      </c>
    </row>
    <row r="92" spans="2:53" ht="30" customHeight="1">
      <c r="B92" s="1953">
        <v>12</v>
      </c>
      <c r="C92" s="1904" t="s">
        <v>4082</v>
      </c>
      <c r="D92" s="1931" t="s">
        <v>7411</v>
      </c>
      <c r="E92" s="1931" t="s">
        <v>7412</v>
      </c>
      <c r="F92" s="9"/>
      <c r="G92" s="1953"/>
      <c r="H92" s="1904"/>
      <c r="I92" s="1965"/>
      <c r="J92" s="1965"/>
      <c r="L92" s="5294"/>
      <c r="M92" s="172"/>
      <c r="N92" s="1975"/>
      <c r="O92" s="1976"/>
      <c r="P92" s="1975"/>
      <c r="Q92" s="1975"/>
      <c r="R92" s="1975"/>
      <c r="S92" s="9"/>
      <c r="T92" s="5282" t="s">
        <v>3876</v>
      </c>
      <c r="U92" s="5286" t="s">
        <v>13544</v>
      </c>
      <c r="V92" s="5291" t="s">
        <v>4028</v>
      </c>
      <c r="W92" s="9"/>
      <c r="X92" s="5283">
        <f t="shared" si="37"/>
        <v>15</v>
      </c>
      <c r="Y92" s="5284" t="s">
        <v>3958</v>
      </c>
      <c r="Z92" s="1969" t="s">
        <v>5825</v>
      </c>
      <c r="AA92" s="1970" t="s">
        <v>8207</v>
      </c>
      <c r="AB92" s="1969" t="s">
        <v>5826</v>
      </c>
      <c r="AC92" s="1969" t="s">
        <v>5826</v>
      </c>
      <c r="AD92" s="1969" t="s">
        <v>6829</v>
      </c>
      <c r="AE92" s="1969" t="s">
        <v>6830</v>
      </c>
      <c r="AG92" s="5285"/>
      <c r="AH92" s="1946"/>
      <c r="AI92" s="58"/>
      <c r="AJ92" s="1948"/>
      <c r="AK92" s="1948"/>
      <c r="AL92" s="172"/>
      <c r="AM92" s="5295">
        <f t="shared" si="38"/>
        <v>9</v>
      </c>
      <c r="AN92" s="1944" t="s">
        <v>7764</v>
      </c>
      <c r="AO92" s="1931" t="s">
        <v>7728</v>
      </c>
      <c r="AP92" s="1931" t="s">
        <v>7729</v>
      </c>
      <c r="AR92" s="5294">
        <f t="shared" si="31"/>
        <v>33</v>
      </c>
      <c r="AS92" s="1897" t="s">
        <v>4026</v>
      </c>
      <c r="AT92" s="1935" t="s">
        <v>4580</v>
      </c>
      <c r="AU92" s="1935" t="s">
        <v>4581</v>
      </c>
      <c r="AV92" s="1935" t="s">
        <v>4582</v>
      </c>
      <c r="AW92" s="1935" t="s">
        <v>6095</v>
      </c>
      <c r="AX92" s="1935" t="s">
        <v>6096</v>
      </c>
      <c r="AY92" s="1897" t="s">
        <v>4026</v>
      </c>
      <c r="BA92" s="3">
        <v>1</v>
      </c>
    </row>
    <row r="93" spans="2:53" ht="30" customHeight="1">
      <c r="B93" s="1953">
        <v>13</v>
      </c>
      <c r="C93" s="1904" t="s">
        <v>4083</v>
      </c>
      <c r="D93" s="1931" t="s">
        <v>8403</v>
      </c>
      <c r="E93" s="1931" t="s">
        <v>8404</v>
      </c>
      <c r="F93" s="9"/>
      <c r="G93" s="1953"/>
      <c r="H93" s="1904"/>
      <c r="I93" s="1965"/>
      <c r="J93" s="1965"/>
      <c r="L93" s="5294"/>
      <c r="M93" s="172"/>
      <c r="N93" s="1975"/>
      <c r="O93" s="1976"/>
      <c r="P93" s="1975"/>
      <c r="Q93" s="1975"/>
      <c r="R93" s="1975"/>
      <c r="S93" s="9"/>
      <c r="T93" s="5290"/>
      <c r="U93" s="5286" t="s">
        <v>13545</v>
      </c>
      <c r="V93" s="5291" t="s">
        <v>4033</v>
      </c>
      <c r="W93" s="9"/>
      <c r="X93" s="5283">
        <f t="shared" si="37"/>
        <v>16</v>
      </c>
      <c r="Y93" s="5284" t="s">
        <v>3966</v>
      </c>
      <c r="Z93" s="1969" t="s">
        <v>5827</v>
      </c>
      <c r="AA93" s="1970" t="s">
        <v>8208</v>
      </c>
      <c r="AB93" s="1969" t="s">
        <v>5828</v>
      </c>
      <c r="AC93" s="1969" t="s">
        <v>5828</v>
      </c>
      <c r="AD93" s="1969" t="s">
        <v>6831</v>
      </c>
      <c r="AE93" s="1969" t="s">
        <v>6832</v>
      </c>
      <c r="AG93" s="5285"/>
      <c r="AH93" s="1946"/>
      <c r="AI93" s="58"/>
      <c r="AJ93" s="1948"/>
      <c r="AK93" s="1948"/>
      <c r="AL93" s="172"/>
      <c r="AM93" s="5295"/>
      <c r="AN93" s="1900" t="s">
        <v>3591</v>
      </c>
      <c r="AO93" s="1900"/>
      <c r="AP93" s="1977" t="s">
        <v>3591</v>
      </c>
      <c r="AR93" s="5294">
        <f t="shared" si="31"/>
        <v>34</v>
      </c>
      <c r="AS93" s="1897" t="s">
        <v>4031</v>
      </c>
      <c r="AT93" s="1935" t="s">
        <v>4583</v>
      </c>
      <c r="AU93" s="1935" t="s">
        <v>4584</v>
      </c>
      <c r="AV93" s="1935" t="s">
        <v>4585</v>
      </c>
      <c r="AW93" s="1935" t="s">
        <v>6097</v>
      </c>
      <c r="AX93" s="1935" t="s">
        <v>6098</v>
      </c>
      <c r="AY93" s="1897" t="s">
        <v>4031</v>
      </c>
      <c r="BA93" s="3">
        <v>1</v>
      </c>
    </row>
    <row r="94" spans="2:53" ht="30" customHeight="1">
      <c r="B94" s="1953">
        <v>14</v>
      </c>
      <c r="C94" s="1904" t="s">
        <v>4056</v>
      </c>
      <c r="D94" s="1931" t="s">
        <v>8405</v>
      </c>
      <c r="E94" s="1931" t="s">
        <v>7388</v>
      </c>
      <c r="F94" s="9"/>
      <c r="G94" s="1953"/>
      <c r="H94" s="1904"/>
      <c r="I94" s="1965"/>
      <c r="J94" s="1965"/>
      <c r="L94" s="5294"/>
      <c r="M94" s="172"/>
      <c r="N94" s="1975"/>
      <c r="O94" s="1976"/>
      <c r="P94" s="1975"/>
      <c r="Q94" s="1975"/>
      <c r="R94" s="1975"/>
      <c r="S94" s="9"/>
      <c r="T94" s="5290"/>
      <c r="U94" s="5286" t="s">
        <v>4038</v>
      </c>
      <c r="V94" s="5291" t="s">
        <v>4044</v>
      </c>
      <c r="W94" s="9"/>
      <c r="X94" s="5283">
        <f t="shared" si="37"/>
        <v>17</v>
      </c>
      <c r="Y94" s="5284" t="s">
        <v>3972</v>
      </c>
      <c r="Z94" s="1969" t="s">
        <v>5829</v>
      </c>
      <c r="AA94" s="1970" t="s">
        <v>8209</v>
      </c>
      <c r="AB94" s="1969" t="s">
        <v>5830</v>
      </c>
      <c r="AC94" s="1969" t="s">
        <v>5830</v>
      </c>
      <c r="AD94" s="1969" t="s">
        <v>6833</v>
      </c>
      <c r="AE94" s="1969" t="s">
        <v>6834</v>
      </c>
      <c r="AG94" s="5285"/>
      <c r="AH94" s="1946"/>
      <c r="AI94" s="58"/>
      <c r="AJ94" s="1948"/>
      <c r="AK94" s="1948"/>
      <c r="AL94" s="172"/>
      <c r="AM94" s="5295">
        <v>1</v>
      </c>
      <c r="AN94" s="1944" t="s">
        <v>7303</v>
      </c>
      <c r="AO94" s="1931" t="s">
        <v>7730</v>
      </c>
      <c r="AP94" s="1931" t="s">
        <v>7731</v>
      </c>
      <c r="AR94" s="5294">
        <f t="shared" si="31"/>
        <v>35</v>
      </c>
      <c r="AS94" s="1897" t="s">
        <v>3812</v>
      </c>
      <c r="AT94" s="1935" t="s">
        <v>5727</v>
      </c>
      <c r="AU94" s="1936" t="s">
        <v>5728</v>
      </c>
      <c r="AV94" s="1935" t="s">
        <v>5729</v>
      </c>
      <c r="AW94" s="1935" t="s">
        <v>6791</v>
      </c>
      <c r="AX94" s="1935" t="s">
        <v>6792</v>
      </c>
      <c r="AY94" s="1897" t="s">
        <v>3812</v>
      </c>
      <c r="BA94" s="3">
        <v>1</v>
      </c>
    </row>
    <row r="95" spans="2:53" ht="30" customHeight="1">
      <c r="B95" s="1953">
        <v>15</v>
      </c>
      <c r="C95" s="1904" t="s">
        <v>4084</v>
      </c>
      <c r="D95" s="1931" t="s">
        <v>7413</v>
      </c>
      <c r="E95" s="1931" t="s">
        <v>7414</v>
      </c>
      <c r="F95" s="9"/>
      <c r="G95" s="1953"/>
      <c r="H95" s="1904"/>
      <c r="I95" s="1965"/>
      <c r="J95" s="1965"/>
      <c r="L95" s="5294"/>
      <c r="M95" s="172"/>
      <c r="N95" s="1975"/>
      <c r="O95" s="1976"/>
      <c r="P95" s="1975"/>
      <c r="Q95" s="1975"/>
      <c r="R95" s="1975"/>
      <c r="S95" s="9"/>
      <c r="T95" s="5290"/>
      <c r="U95" s="5286" t="s">
        <v>4053</v>
      </c>
      <c r="V95" s="5291" t="s">
        <v>13546</v>
      </c>
      <c r="W95" s="9"/>
      <c r="X95" s="5283">
        <f t="shared" si="37"/>
        <v>18</v>
      </c>
      <c r="Y95" s="5284" t="s">
        <v>3978</v>
      </c>
      <c r="Z95" s="1969" t="s">
        <v>5831</v>
      </c>
      <c r="AA95" s="1970" t="s">
        <v>8210</v>
      </c>
      <c r="AB95" s="1969" t="s">
        <v>5832</v>
      </c>
      <c r="AC95" s="1969" t="s">
        <v>5832</v>
      </c>
      <c r="AD95" s="1969" t="s">
        <v>6835</v>
      </c>
      <c r="AE95" s="1969" t="s">
        <v>6836</v>
      </c>
      <c r="AG95" s="5285"/>
      <c r="AH95" s="1946"/>
      <c r="AI95" s="58"/>
      <c r="AJ95" s="1948"/>
      <c r="AK95" s="1948"/>
      <c r="AL95" s="172"/>
      <c r="AM95" s="5295">
        <f>AM94+1</f>
        <v>2</v>
      </c>
      <c r="AN95" s="1944" t="s">
        <v>7304</v>
      </c>
      <c r="AO95" s="1931" t="s">
        <v>7732</v>
      </c>
      <c r="AP95" s="1931" t="s">
        <v>7733</v>
      </c>
      <c r="AR95" s="5294">
        <f t="shared" si="31"/>
        <v>36</v>
      </c>
      <c r="AS95" s="1897" t="s">
        <v>4036</v>
      </c>
      <c r="AT95" s="1935" t="s">
        <v>4586</v>
      </c>
      <c r="AU95" s="1935" t="s">
        <v>4587</v>
      </c>
      <c r="AV95" s="1935" t="s">
        <v>4588</v>
      </c>
      <c r="AW95" s="1935" t="s">
        <v>6099</v>
      </c>
      <c r="AX95" s="1935" t="s">
        <v>6100</v>
      </c>
      <c r="AY95" s="1897" t="s">
        <v>4036</v>
      </c>
      <c r="BA95" s="3">
        <v>1</v>
      </c>
    </row>
    <row r="96" spans="2:53" ht="30" customHeight="1">
      <c r="B96" s="1953">
        <v>16</v>
      </c>
      <c r="C96" s="1904" t="s">
        <v>4060</v>
      </c>
      <c r="D96" s="1931" t="s">
        <v>8406</v>
      </c>
      <c r="E96" s="1931" t="s">
        <v>8407</v>
      </c>
      <c r="F96" s="9"/>
      <c r="G96" s="1953"/>
      <c r="H96" s="1904"/>
      <c r="I96" s="1965"/>
      <c r="J96" s="1965"/>
      <c r="L96" s="5294"/>
      <c r="M96" s="172"/>
      <c r="N96" s="1975"/>
      <c r="O96" s="1976"/>
      <c r="P96" s="1975"/>
      <c r="Q96" s="1975"/>
      <c r="R96" s="1975"/>
      <c r="S96" s="9"/>
      <c r="T96" s="5290"/>
      <c r="U96" s="5286" t="s">
        <v>13547</v>
      </c>
      <c r="V96" s="5298"/>
      <c r="W96" s="9"/>
      <c r="X96" s="5283"/>
      <c r="Y96" s="5280" t="s">
        <v>3748</v>
      </c>
      <c r="Z96" s="1933"/>
      <c r="AA96" s="1933"/>
      <c r="AB96" s="1933"/>
      <c r="AC96" s="1933"/>
      <c r="AD96" s="1933"/>
      <c r="AE96" s="1942" t="s">
        <v>3748</v>
      </c>
      <c r="AG96" s="5285"/>
      <c r="AH96" s="1946"/>
      <c r="AI96" s="58"/>
      <c r="AJ96" s="1948"/>
      <c r="AK96" s="1948"/>
      <c r="AL96" s="172"/>
      <c r="AM96" s="5295">
        <f t="shared" ref="AM96:AM97" si="39">AM95+1</f>
        <v>3</v>
      </c>
      <c r="AN96" s="1944" t="s">
        <v>7305</v>
      </c>
      <c r="AO96" s="1931" t="s">
        <v>7734</v>
      </c>
      <c r="AP96" s="1931" t="s">
        <v>7735</v>
      </c>
      <c r="AR96" s="5294">
        <f t="shared" si="31"/>
        <v>37</v>
      </c>
      <c r="AS96" s="1897" t="s">
        <v>4042</v>
      </c>
      <c r="AT96" s="1935" t="s">
        <v>4589</v>
      </c>
      <c r="AU96" s="1935" t="s">
        <v>4590</v>
      </c>
      <c r="AV96" s="1935" t="s">
        <v>4591</v>
      </c>
      <c r="AW96" s="1935" t="s">
        <v>6101</v>
      </c>
      <c r="AX96" s="1935" t="s">
        <v>6102</v>
      </c>
      <c r="AY96" s="1897" t="s">
        <v>4042</v>
      </c>
      <c r="BA96" s="3">
        <v>1</v>
      </c>
    </row>
    <row r="97" spans="2:53" ht="30" customHeight="1">
      <c r="B97" s="1953">
        <v>17</v>
      </c>
      <c r="C97" s="1904" t="s">
        <v>8082</v>
      </c>
      <c r="D97" s="1931" t="s">
        <v>8408</v>
      </c>
      <c r="E97" s="1931" t="s">
        <v>8409</v>
      </c>
      <c r="F97" s="9"/>
      <c r="G97" s="1953"/>
      <c r="H97" s="1904"/>
      <c r="I97" s="1965"/>
      <c r="J97" s="1965"/>
      <c r="L97" s="5294"/>
      <c r="M97" s="172"/>
      <c r="N97" s="1975"/>
      <c r="O97" s="1976"/>
      <c r="P97" s="1975"/>
      <c r="Q97" s="1975"/>
      <c r="R97" s="1975"/>
      <c r="S97" s="9"/>
      <c r="T97" s="5296"/>
      <c r="U97" s="5856"/>
      <c r="V97" s="5857"/>
      <c r="W97" s="9"/>
      <c r="X97" s="5283">
        <v>1</v>
      </c>
      <c r="Y97" s="5284" t="s">
        <v>4016</v>
      </c>
      <c r="Z97" s="1971" t="s">
        <v>5867</v>
      </c>
      <c r="AA97" s="1972" t="s">
        <v>8196</v>
      </c>
      <c r="AB97" s="1973" t="s">
        <v>5868</v>
      </c>
      <c r="AC97" s="1973" t="s">
        <v>5868</v>
      </c>
      <c r="AD97" s="1973" t="s">
        <v>6858</v>
      </c>
      <c r="AE97" s="1973" t="s">
        <v>6859</v>
      </c>
      <c r="AG97" s="5285"/>
      <c r="AH97" s="1946"/>
      <c r="AI97" s="58"/>
      <c r="AJ97" s="1948"/>
      <c r="AK97" s="1948"/>
      <c r="AL97" s="172"/>
      <c r="AM97" s="5295">
        <f t="shared" si="39"/>
        <v>4</v>
      </c>
      <c r="AN97" s="1944" t="s">
        <v>7306</v>
      </c>
      <c r="AO97" s="1931" t="s">
        <v>7736</v>
      </c>
      <c r="AP97" s="1931" t="s">
        <v>7737</v>
      </c>
      <c r="AR97" s="5294">
        <f t="shared" si="31"/>
        <v>38</v>
      </c>
      <c r="AS97" s="1897" t="s">
        <v>3827</v>
      </c>
      <c r="AT97" s="1935" t="s">
        <v>5732</v>
      </c>
      <c r="AU97" s="1936" t="s">
        <v>5733</v>
      </c>
      <c r="AV97" s="1935" t="s">
        <v>5734</v>
      </c>
      <c r="AW97" s="1935" t="s">
        <v>6795</v>
      </c>
      <c r="AX97" s="1935" t="s">
        <v>6796</v>
      </c>
      <c r="AY97" s="1897" t="s">
        <v>3827</v>
      </c>
      <c r="BA97" s="3">
        <v>1</v>
      </c>
    </row>
    <row r="98" spans="2:53" ht="30" customHeight="1">
      <c r="B98" s="1953">
        <v>18</v>
      </c>
      <c r="C98" s="1904" t="s">
        <v>4091</v>
      </c>
      <c r="D98" s="1931" t="s">
        <v>7419</v>
      </c>
      <c r="E98" s="1931" t="s">
        <v>7420</v>
      </c>
      <c r="F98" s="9"/>
      <c r="G98" s="1953"/>
      <c r="H98" s="1904"/>
      <c r="I98" s="1965"/>
      <c r="J98" s="1965"/>
      <c r="L98" s="5294"/>
      <c r="M98" s="172"/>
      <c r="N98" s="1975"/>
      <c r="O98" s="1976"/>
      <c r="P98" s="1975"/>
      <c r="Q98" s="1975"/>
      <c r="R98" s="1975"/>
      <c r="S98" s="9"/>
      <c r="T98" s="5282" t="s">
        <v>3565</v>
      </c>
      <c r="U98" s="5286" t="s">
        <v>3579</v>
      </c>
      <c r="V98" s="5291" t="s">
        <v>3585</v>
      </c>
      <c r="W98" s="9"/>
      <c r="X98" s="5283">
        <f>X97+1</f>
        <v>2</v>
      </c>
      <c r="Y98" s="5284" t="s">
        <v>4019</v>
      </c>
      <c r="Z98" s="1973" t="s">
        <v>5869</v>
      </c>
      <c r="AA98" s="1974" t="s">
        <v>8197</v>
      </c>
      <c r="AB98" s="1973" t="s">
        <v>5870</v>
      </c>
      <c r="AC98" s="1973" t="s">
        <v>5870</v>
      </c>
      <c r="AD98" s="1973" t="s">
        <v>6860</v>
      </c>
      <c r="AE98" s="1973" t="s">
        <v>6861</v>
      </c>
      <c r="AG98" s="5285"/>
      <c r="AH98" s="1946"/>
      <c r="AI98" s="58"/>
      <c r="AJ98" s="1948"/>
      <c r="AK98" s="1948"/>
      <c r="AL98" s="172"/>
      <c r="AM98" s="5295"/>
      <c r="AN98" s="1900" t="s">
        <v>3876</v>
      </c>
      <c r="AO98" s="1900"/>
      <c r="AP98" s="1977" t="s">
        <v>3876</v>
      </c>
      <c r="AR98" s="5294">
        <f t="shared" si="31"/>
        <v>39</v>
      </c>
      <c r="AS98" s="1897" t="s">
        <v>4048</v>
      </c>
      <c r="AT98" s="1935" t="s">
        <v>4592</v>
      </c>
      <c r="AU98" s="1935" t="s">
        <v>4593</v>
      </c>
      <c r="AV98" s="1935" t="s">
        <v>4594</v>
      </c>
      <c r="AW98" s="1935" t="s">
        <v>5517</v>
      </c>
      <c r="AX98" s="1935" t="s">
        <v>5518</v>
      </c>
      <c r="AY98" s="1897" t="s">
        <v>4048</v>
      </c>
      <c r="BA98" s="3">
        <v>1</v>
      </c>
    </row>
    <row r="99" spans="2:53" ht="30" customHeight="1">
      <c r="B99" s="1953">
        <v>19</v>
      </c>
      <c r="C99" s="1904" t="s">
        <v>4070</v>
      </c>
      <c r="D99" s="1931" t="s">
        <v>7391</v>
      </c>
      <c r="E99" s="1931" t="s">
        <v>7392</v>
      </c>
      <c r="F99" s="9"/>
      <c r="G99" s="1953"/>
      <c r="H99" s="1904"/>
      <c r="I99" s="1965"/>
      <c r="J99" s="1965"/>
      <c r="L99" s="5294"/>
      <c r="M99" s="172"/>
      <c r="N99" s="1975"/>
      <c r="O99" s="1976"/>
      <c r="P99" s="1975"/>
      <c r="Q99" s="1975"/>
      <c r="R99" s="1975"/>
      <c r="S99" s="9"/>
      <c r="T99" s="5290"/>
      <c r="U99" s="5286" t="s">
        <v>3663</v>
      </c>
      <c r="V99" s="5291" t="s">
        <v>3669</v>
      </c>
      <c r="W99" s="9"/>
      <c r="X99" s="5283"/>
      <c r="Y99" s="5280" t="s">
        <v>3869</v>
      </c>
      <c r="Z99" s="1933"/>
      <c r="AA99" s="1933"/>
      <c r="AB99" s="1933"/>
      <c r="AC99" s="1933"/>
      <c r="AD99" s="1933"/>
      <c r="AE99" s="1942" t="s">
        <v>3869</v>
      </c>
      <c r="AG99" s="5285"/>
      <c r="AH99" s="1946"/>
      <c r="AI99" s="58"/>
      <c r="AJ99" s="1948"/>
      <c r="AK99" s="1948"/>
      <c r="AL99" s="172"/>
      <c r="AM99" s="5295">
        <v>1</v>
      </c>
      <c r="AN99" s="1944" t="s">
        <v>7738</v>
      </c>
      <c r="AO99" s="1931" t="s">
        <v>7739</v>
      </c>
      <c r="AP99" s="1931" t="s">
        <v>7740</v>
      </c>
      <c r="AR99" s="5294">
        <f t="shared" si="31"/>
        <v>40</v>
      </c>
      <c r="AS99" s="1897" t="s">
        <v>4052</v>
      </c>
      <c r="AT99" s="1935" t="s">
        <v>4595</v>
      </c>
      <c r="AU99" s="1935" t="s">
        <v>4596</v>
      </c>
      <c r="AV99" s="1935" t="s">
        <v>4597</v>
      </c>
      <c r="AW99" s="1935" t="s">
        <v>6103</v>
      </c>
      <c r="AX99" s="1935" t="s">
        <v>6104</v>
      </c>
      <c r="AY99" s="1897" t="s">
        <v>4052</v>
      </c>
      <c r="BA99" s="3">
        <v>1</v>
      </c>
    </row>
    <row r="100" spans="2:53" ht="30" customHeight="1">
      <c r="B100" s="1953">
        <v>20</v>
      </c>
      <c r="C100" s="1904" t="s">
        <v>3991</v>
      </c>
      <c r="D100" s="1931" t="s">
        <v>7378</v>
      </c>
      <c r="E100" s="1931" t="s">
        <v>8410</v>
      </c>
      <c r="F100" s="9"/>
      <c r="G100" s="1953"/>
      <c r="H100" s="1904"/>
      <c r="I100" s="1965"/>
      <c r="J100" s="1965"/>
      <c r="L100" s="5294"/>
      <c r="M100" s="172"/>
      <c r="N100" s="1975"/>
      <c r="O100" s="1976"/>
      <c r="P100" s="1975"/>
      <c r="Q100" s="1975"/>
      <c r="R100" s="1975"/>
      <c r="S100" s="9"/>
      <c r="T100" s="5290"/>
      <c r="U100" s="5286" t="s">
        <v>3674</v>
      </c>
      <c r="V100" s="5291" t="s">
        <v>3688</v>
      </c>
      <c r="W100" s="9"/>
      <c r="X100" s="5283">
        <v>1</v>
      </c>
      <c r="Y100" s="5284" t="s">
        <v>4034</v>
      </c>
      <c r="Z100" s="1969" t="s">
        <v>5871</v>
      </c>
      <c r="AA100" s="1970" t="s">
        <v>8326</v>
      </c>
      <c r="AB100" s="1969" t="s">
        <v>5872</v>
      </c>
      <c r="AC100" s="1969" t="s">
        <v>5872</v>
      </c>
      <c r="AD100" s="1969" t="s">
        <v>6862</v>
      </c>
      <c r="AE100" s="1969" t="s">
        <v>6863</v>
      </c>
      <c r="AG100" s="5285"/>
      <c r="AH100" s="1946"/>
      <c r="AI100" s="58"/>
      <c r="AJ100" s="1948"/>
      <c r="AK100" s="1948"/>
      <c r="AL100" s="172"/>
      <c r="AM100" s="5295"/>
      <c r="AN100" s="1900" t="s">
        <v>3565</v>
      </c>
      <c r="AO100" s="1900"/>
      <c r="AP100" s="1977" t="s">
        <v>3565</v>
      </c>
      <c r="AR100" s="5294">
        <f t="shared" si="31"/>
        <v>41</v>
      </c>
      <c r="AS100" s="1897" t="s">
        <v>4057</v>
      </c>
      <c r="AT100" s="1935" t="s">
        <v>4598</v>
      </c>
      <c r="AU100" s="1935" t="s">
        <v>4599</v>
      </c>
      <c r="AV100" s="1935" t="s">
        <v>8317</v>
      </c>
      <c r="AW100" s="1935" t="s">
        <v>8318</v>
      </c>
      <c r="AX100" s="1935" t="s">
        <v>8319</v>
      </c>
      <c r="AY100" s="1897" t="s">
        <v>4057</v>
      </c>
      <c r="BA100" s="3">
        <v>1</v>
      </c>
    </row>
    <row r="101" spans="2:53" ht="30" customHeight="1">
      <c r="B101" s="1953">
        <v>21</v>
      </c>
      <c r="C101" s="1904" t="s">
        <v>4074</v>
      </c>
      <c r="D101" s="1931" t="s">
        <v>5178</v>
      </c>
      <c r="E101" s="1931" t="s">
        <v>5179</v>
      </c>
      <c r="F101" s="9"/>
      <c r="G101" s="1953"/>
      <c r="H101" s="1904"/>
      <c r="I101" s="1965"/>
      <c r="J101" s="1965"/>
      <c r="L101" s="5294"/>
      <c r="M101" s="172"/>
      <c r="N101" s="1975"/>
      <c r="O101" s="1976"/>
      <c r="P101" s="1975"/>
      <c r="Q101" s="1975"/>
      <c r="R101" s="1975"/>
      <c r="S101" s="9"/>
      <c r="T101" s="5290"/>
      <c r="U101" s="5286" t="s">
        <v>3680</v>
      </c>
      <c r="V101" s="5291" t="s">
        <v>13548</v>
      </c>
      <c r="W101" s="9"/>
      <c r="X101" s="5283">
        <f>X100+1</f>
        <v>2</v>
      </c>
      <c r="Y101" s="5284" t="s">
        <v>4039</v>
      </c>
      <c r="Z101" s="1969" t="s">
        <v>5873</v>
      </c>
      <c r="AA101" s="1970" t="s">
        <v>8327</v>
      </c>
      <c r="AB101" s="1969" t="s">
        <v>5874</v>
      </c>
      <c r="AC101" s="1969" t="s">
        <v>5874</v>
      </c>
      <c r="AD101" s="1969" t="s">
        <v>6864</v>
      </c>
      <c r="AE101" s="1969" t="s">
        <v>6865</v>
      </c>
      <c r="AG101" s="5285"/>
      <c r="AH101" s="1946"/>
      <c r="AI101" s="58"/>
      <c r="AJ101" s="1948"/>
      <c r="AK101" s="1948"/>
      <c r="AL101" s="172"/>
      <c r="AM101" s="5295">
        <v>1</v>
      </c>
      <c r="AN101" s="1944" t="s">
        <v>7741</v>
      </c>
      <c r="AO101" s="1931" t="s">
        <v>7742</v>
      </c>
      <c r="AP101" s="1931" t="s">
        <v>7743</v>
      </c>
      <c r="AR101" s="5294">
        <f t="shared" si="31"/>
        <v>42</v>
      </c>
      <c r="AS101" s="1897" t="s">
        <v>591</v>
      </c>
      <c r="AT101" s="1935" t="s">
        <v>4600</v>
      </c>
      <c r="AU101" s="1935" t="s">
        <v>4601</v>
      </c>
      <c r="AV101" s="1935" t="s">
        <v>4602</v>
      </c>
      <c r="AW101" s="1935" t="s">
        <v>6105</v>
      </c>
      <c r="AX101" s="1935" t="s">
        <v>6106</v>
      </c>
      <c r="AY101" s="1897" t="s">
        <v>591</v>
      </c>
      <c r="BA101" s="3">
        <v>1</v>
      </c>
    </row>
    <row r="102" spans="2:53" ht="30" customHeight="1">
      <c r="B102" s="1953">
        <v>22</v>
      </c>
      <c r="C102" s="1904" t="s">
        <v>4075</v>
      </c>
      <c r="D102" s="1931" t="s">
        <v>7396</v>
      </c>
      <c r="E102" s="1931" t="s">
        <v>7397</v>
      </c>
      <c r="F102" s="9"/>
      <c r="G102" s="1953"/>
      <c r="H102" s="1904"/>
      <c r="I102" s="1965"/>
      <c r="J102" s="1965"/>
      <c r="L102" s="5294"/>
      <c r="M102" s="172"/>
      <c r="N102" s="1975"/>
      <c r="O102" s="1976"/>
      <c r="P102" s="1975"/>
      <c r="Q102" s="1975"/>
      <c r="R102" s="1975"/>
      <c r="S102" s="9"/>
      <c r="T102" s="5296"/>
      <c r="U102" s="5856"/>
      <c r="V102" s="5857"/>
      <c r="W102" s="9"/>
      <c r="X102" s="5283">
        <v>2</v>
      </c>
      <c r="Y102" s="5284" t="s">
        <v>4045</v>
      </c>
      <c r="Z102" s="1969" t="s">
        <v>5875</v>
      </c>
      <c r="AA102" s="1970" t="s">
        <v>8328</v>
      </c>
      <c r="AB102" s="1969" t="s">
        <v>5876</v>
      </c>
      <c r="AC102" s="1969" t="s">
        <v>5876</v>
      </c>
      <c r="AD102" s="1969" t="s">
        <v>6866</v>
      </c>
      <c r="AE102" s="1969" t="s">
        <v>6867</v>
      </c>
      <c r="AG102" s="5285"/>
      <c r="AH102" s="1946"/>
      <c r="AI102" s="58"/>
      <c r="AJ102" s="1948"/>
      <c r="AK102" s="1948"/>
      <c r="AL102" s="172"/>
      <c r="AM102" s="5295">
        <f>AM101+1</f>
        <v>2</v>
      </c>
      <c r="AN102" s="1944" t="s">
        <v>7307</v>
      </c>
      <c r="AO102" s="1931" t="s">
        <v>7744</v>
      </c>
      <c r="AP102" s="1931" t="s">
        <v>7745</v>
      </c>
      <c r="AR102" s="5294">
        <f t="shared" si="31"/>
        <v>43</v>
      </c>
      <c r="AS102" s="1897" t="s">
        <v>4065</v>
      </c>
      <c r="AT102" s="1935" t="s">
        <v>4603</v>
      </c>
      <c r="AU102" s="1935" t="s">
        <v>4604</v>
      </c>
      <c r="AV102" s="1935" t="s">
        <v>4605</v>
      </c>
      <c r="AW102" s="1935" t="s">
        <v>6107</v>
      </c>
      <c r="AX102" s="1935" t="s">
        <v>6108</v>
      </c>
      <c r="AY102" s="1897" t="s">
        <v>4065</v>
      </c>
      <c r="BA102" s="3">
        <v>1</v>
      </c>
    </row>
    <row r="103" spans="2:53" ht="30" customHeight="1">
      <c r="B103" s="1953">
        <v>23</v>
      </c>
      <c r="C103" s="1904" t="s">
        <v>7398</v>
      </c>
      <c r="D103" s="1931" t="s">
        <v>7399</v>
      </c>
      <c r="E103" s="1931" t="s">
        <v>7400</v>
      </c>
      <c r="F103" s="9"/>
      <c r="G103" s="1953"/>
      <c r="H103" s="1904"/>
      <c r="I103" s="1965"/>
      <c r="J103" s="1965"/>
      <c r="L103" s="5294"/>
      <c r="M103" s="172"/>
      <c r="N103" s="1975"/>
      <c r="O103" s="1976"/>
      <c r="P103" s="1975"/>
      <c r="Q103" s="1975"/>
      <c r="R103" s="1975"/>
      <c r="S103" s="9"/>
      <c r="T103" s="5282" t="s">
        <v>3765</v>
      </c>
      <c r="U103" s="5286"/>
      <c r="V103" s="5291" t="s">
        <v>3777</v>
      </c>
      <c r="W103" s="9"/>
      <c r="X103" s="5283">
        <f t="shared" ref="X103" si="40">X102+1</f>
        <v>3</v>
      </c>
      <c r="Y103" s="5284" t="s">
        <v>4050</v>
      </c>
      <c r="Z103" s="1969" t="s">
        <v>5877</v>
      </c>
      <c r="AA103" s="1970" t="s">
        <v>8329</v>
      </c>
      <c r="AB103" s="1969" t="s">
        <v>5878</v>
      </c>
      <c r="AC103" s="1969" t="s">
        <v>5878</v>
      </c>
      <c r="AD103" s="1969" t="s">
        <v>6868</v>
      </c>
      <c r="AE103" s="1969" t="s">
        <v>6869</v>
      </c>
      <c r="AG103" s="5285"/>
      <c r="AH103" s="1946"/>
      <c r="AI103" s="58"/>
      <c r="AJ103" s="1948"/>
      <c r="AK103" s="1948"/>
      <c r="AL103" s="172"/>
      <c r="AM103" s="5295">
        <f>AM102+1</f>
        <v>3</v>
      </c>
      <c r="AN103" s="1944" t="s">
        <v>7308</v>
      </c>
      <c r="AO103" s="1931" t="s">
        <v>7309</v>
      </c>
      <c r="AP103" s="1931" t="s">
        <v>7310</v>
      </c>
      <c r="AR103" s="5294">
        <f t="shared" si="31"/>
        <v>44</v>
      </c>
      <c r="AS103" s="1897" t="s">
        <v>4069</v>
      </c>
      <c r="AT103" s="1935" t="s">
        <v>4606</v>
      </c>
      <c r="AU103" s="1935" t="s">
        <v>4607</v>
      </c>
      <c r="AV103" s="1935" t="s">
        <v>4608</v>
      </c>
      <c r="AW103" s="1935" t="s">
        <v>5519</v>
      </c>
      <c r="AX103" s="1935" t="s">
        <v>5520</v>
      </c>
      <c r="AY103" s="1897" t="s">
        <v>4069</v>
      </c>
      <c r="BA103" s="3">
        <v>1</v>
      </c>
    </row>
    <row r="104" spans="2:53" ht="30" customHeight="1">
      <c r="B104" s="1953"/>
      <c r="F104" s="9"/>
      <c r="G104" s="1953"/>
      <c r="H104" s="1904"/>
      <c r="I104" s="1965"/>
      <c r="J104" s="1965"/>
      <c r="L104" s="5294"/>
      <c r="M104" s="172"/>
      <c r="N104" s="1975"/>
      <c r="O104" s="1976"/>
      <c r="P104" s="1975"/>
      <c r="Q104" s="1975"/>
      <c r="R104" s="1975"/>
      <c r="S104" s="9"/>
      <c r="T104" s="5290"/>
      <c r="U104" s="5286"/>
      <c r="V104" s="5291"/>
      <c r="W104" s="9"/>
      <c r="X104" s="5283">
        <v>3</v>
      </c>
      <c r="Y104" s="5284" t="s">
        <v>4058</v>
      </c>
      <c r="Z104" s="1969" t="s">
        <v>5882</v>
      </c>
      <c r="AA104" s="1970" t="s">
        <v>8330</v>
      </c>
      <c r="AB104" s="1969" t="s">
        <v>5883</v>
      </c>
      <c r="AC104" s="1969" t="s">
        <v>5883</v>
      </c>
      <c r="AD104" s="1969" t="s">
        <v>6872</v>
      </c>
      <c r="AE104" s="1969" t="s">
        <v>6873</v>
      </c>
      <c r="AG104" s="5285"/>
      <c r="AH104" s="1946"/>
      <c r="AI104" s="58"/>
      <c r="AJ104" s="1948"/>
      <c r="AK104" s="1948"/>
      <c r="AL104" s="172"/>
      <c r="AM104" s="5295"/>
      <c r="AN104" s="1900" t="s">
        <v>3765</v>
      </c>
      <c r="AO104" s="1900"/>
      <c r="AP104" s="1977" t="s">
        <v>3765</v>
      </c>
      <c r="AR104" s="5294"/>
      <c r="BA104" s="3">
        <v>1</v>
      </c>
    </row>
    <row r="105" spans="2:53" ht="30" customHeight="1">
      <c r="B105" s="1953"/>
      <c r="C105" s="1903" t="s">
        <v>7665</v>
      </c>
      <c r="D105" s="1990"/>
      <c r="E105" s="1990"/>
      <c r="F105" s="9"/>
      <c r="G105" s="1953"/>
      <c r="H105" s="1904"/>
      <c r="I105" s="1965"/>
      <c r="J105" s="1965"/>
      <c r="L105" s="5294"/>
      <c r="M105" s="172"/>
      <c r="N105" s="1975"/>
      <c r="O105" s="1976"/>
      <c r="P105" s="1975"/>
      <c r="Q105" s="1975"/>
      <c r="R105" s="1975"/>
      <c r="S105" s="9"/>
      <c r="T105" s="5290"/>
      <c r="U105" s="5286"/>
      <c r="V105" s="5291"/>
      <c r="W105" s="9"/>
      <c r="X105" s="5283">
        <f t="shared" ref="X105" si="41">X104+1</f>
        <v>4</v>
      </c>
      <c r="Y105" s="5284" t="s">
        <v>4062</v>
      </c>
      <c r="Z105" s="1969" t="s">
        <v>5884</v>
      </c>
      <c r="AA105" s="1970" t="s">
        <v>8331</v>
      </c>
      <c r="AB105" s="1969" t="s">
        <v>5885</v>
      </c>
      <c r="AC105" s="1969" t="s">
        <v>5885</v>
      </c>
      <c r="AD105" s="1969" t="s">
        <v>6874</v>
      </c>
      <c r="AE105" s="1969" t="s">
        <v>6875</v>
      </c>
      <c r="AG105" s="5285"/>
      <c r="AH105" s="1946"/>
      <c r="AI105" s="58"/>
      <c r="AJ105" s="1948"/>
      <c r="AK105" s="1948"/>
      <c r="AL105" s="172"/>
      <c r="AM105" s="5295">
        <v>1</v>
      </c>
      <c r="AN105" s="1944" t="s">
        <v>7311</v>
      </c>
      <c r="AO105" s="1931" t="s">
        <v>7312</v>
      </c>
      <c r="AP105" s="1931" t="s">
        <v>7313</v>
      </c>
      <c r="AR105" s="5294"/>
      <c r="AS105" s="1940" t="s">
        <v>1671</v>
      </c>
      <c r="AT105" s="1933"/>
      <c r="AU105" s="1933"/>
      <c r="AV105" s="1951"/>
      <c r="AW105" s="1932"/>
      <c r="AX105" s="1932"/>
      <c r="AY105" s="1940" t="s">
        <v>1671</v>
      </c>
      <c r="BA105" s="3">
        <v>1</v>
      </c>
    </row>
    <row r="106" spans="2:53" ht="30" customHeight="1">
      <c r="B106" s="1953">
        <v>1</v>
      </c>
      <c r="C106" s="1904" t="s">
        <v>3960</v>
      </c>
      <c r="D106" s="1931" t="s">
        <v>7377</v>
      </c>
      <c r="E106" s="1931" t="s">
        <v>8411</v>
      </c>
      <c r="F106" s="9"/>
      <c r="G106" s="1953"/>
      <c r="H106" s="1904"/>
      <c r="I106" s="1965"/>
      <c r="J106" s="1965"/>
      <c r="L106" s="5294"/>
      <c r="M106" s="172"/>
      <c r="N106" s="1975"/>
      <c r="O106" s="1976"/>
      <c r="P106" s="1975"/>
      <c r="Q106" s="1975"/>
      <c r="R106" s="1975"/>
      <c r="S106" s="9"/>
      <c r="T106" s="5301"/>
      <c r="U106" s="5302"/>
      <c r="V106" s="5303"/>
      <c r="W106" s="9"/>
      <c r="X106" s="5283">
        <v>4</v>
      </c>
      <c r="Y106" s="5284" t="s">
        <v>4068</v>
      </c>
      <c r="Z106" s="1969" t="s">
        <v>5886</v>
      </c>
      <c r="AA106" s="1970" t="s">
        <v>8332</v>
      </c>
      <c r="AB106" s="1969" t="s">
        <v>5887</v>
      </c>
      <c r="AC106" s="1969" t="s">
        <v>5887</v>
      </c>
      <c r="AD106" s="1969" t="s">
        <v>6876</v>
      </c>
      <c r="AE106" s="1969" t="s">
        <v>6877</v>
      </c>
      <c r="AG106" s="5285"/>
      <c r="AH106" s="1946"/>
      <c r="AI106" s="58"/>
      <c r="AJ106" s="1948"/>
      <c r="AK106" s="1948"/>
      <c r="AL106" s="172"/>
      <c r="AM106" s="5295"/>
      <c r="AN106" s="1900" t="s">
        <v>1673</v>
      </c>
      <c r="AO106" s="1900"/>
      <c r="AP106" s="1977" t="s">
        <v>1673</v>
      </c>
      <c r="AR106" s="5294">
        <v>1</v>
      </c>
      <c r="AS106" s="1897" t="s">
        <v>3568</v>
      </c>
      <c r="AT106" s="1935" t="s">
        <v>4609</v>
      </c>
      <c r="AU106" s="1935" t="s">
        <v>4610</v>
      </c>
      <c r="AV106" s="1935" t="s">
        <v>5521</v>
      </c>
      <c r="AW106" s="1935" t="s">
        <v>6109</v>
      </c>
      <c r="AX106" s="1935" t="s">
        <v>6110</v>
      </c>
      <c r="AY106" s="1897" t="s">
        <v>3568</v>
      </c>
      <c r="BA106" s="3">
        <v>1</v>
      </c>
    </row>
    <row r="107" spans="2:53" ht="30" customHeight="1">
      <c r="B107" s="1953">
        <v>2</v>
      </c>
      <c r="C107" s="1904" t="s">
        <v>8077</v>
      </c>
      <c r="D107" s="1931" t="s">
        <v>8412</v>
      </c>
      <c r="E107" s="1931" t="s">
        <v>8413</v>
      </c>
      <c r="F107" s="9"/>
      <c r="G107" s="1953"/>
      <c r="H107" s="1904"/>
      <c r="I107" s="1965"/>
      <c r="J107" s="1965"/>
      <c r="L107" s="5294"/>
      <c r="M107" s="172"/>
      <c r="N107" s="1975"/>
      <c r="O107" s="1976"/>
      <c r="P107" s="1975"/>
      <c r="Q107" s="1975"/>
      <c r="R107" s="1975"/>
      <c r="S107" s="9"/>
      <c r="W107" s="9"/>
      <c r="X107" s="5283"/>
      <c r="Y107" s="5280" t="s">
        <v>0</v>
      </c>
      <c r="Z107" s="1933"/>
      <c r="AA107" s="1933"/>
      <c r="AB107" s="1933"/>
      <c r="AC107" s="1933"/>
      <c r="AD107" s="1933"/>
      <c r="AE107" s="1942" t="s">
        <v>0</v>
      </c>
      <c r="AG107" s="5285"/>
      <c r="AH107" s="1946"/>
      <c r="AI107" s="58"/>
      <c r="AJ107" s="1948"/>
      <c r="AK107" s="1948"/>
      <c r="AL107" s="172"/>
      <c r="AM107" s="5295">
        <v>1</v>
      </c>
      <c r="AN107" s="1944" t="s">
        <v>7314</v>
      </c>
      <c r="AO107" s="1931" t="s">
        <v>7746</v>
      </c>
      <c r="AP107" s="1931" t="s">
        <v>7747</v>
      </c>
      <c r="AR107" s="5294">
        <f>AR106+1</f>
        <v>2</v>
      </c>
      <c r="AS107" s="1897" t="s">
        <v>7441</v>
      </c>
      <c r="AT107" s="1935" t="s">
        <v>7442</v>
      </c>
      <c r="AU107" s="1936" t="s">
        <v>7443</v>
      </c>
      <c r="AV107" s="1935" t="s">
        <v>8118</v>
      </c>
      <c r="AW107" s="1935" t="s">
        <v>8119</v>
      </c>
      <c r="AX107" s="1935" t="s">
        <v>8120</v>
      </c>
      <c r="AY107" s="1897" t="s">
        <v>7441</v>
      </c>
      <c r="BA107" s="3">
        <v>1</v>
      </c>
    </row>
    <row r="108" spans="2:53" ht="30" customHeight="1">
      <c r="B108" s="1953">
        <v>3</v>
      </c>
      <c r="C108" s="1904" t="s">
        <v>3973</v>
      </c>
      <c r="D108" s="1931" t="s">
        <v>8414</v>
      </c>
      <c r="E108" s="1931" t="s">
        <v>8415</v>
      </c>
      <c r="F108" s="9"/>
      <c r="G108" s="1953"/>
      <c r="H108" s="1904"/>
      <c r="I108" s="1965"/>
      <c r="J108" s="1965"/>
      <c r="L108" s="5294"/>
      <c r="M108" s="172"/>
      <c r="N108" s="1975"/>
      <c r="O108" s="1976"/>
      <c r="P108" s="1975"/>
      <c r="Q108" s="1975"/>
      <c r="R108" s="1975"/>
      <c r="S108" s="9"/>
      <c r="W108" s="9"/>
      <c r="X108" s="5283">
        <v>1</v>
      </c>
      <c r="Y108" s="5284" t="s">
        <v>3573</v>
      </c>
      <c r="Z108" s="1969" t="s">
        <v>5888</v>
      </c>
      <c r="AA108" s="1970" t="s">
        <v>8341</v>
      </c>
      <c r="AB108" s="1969" t="s">
        <v>5889</v>
      </c>
      <c r="AC108" s="1969" t="s">
        <v>5889</v>
      </c>
      <c r="AD108" s="1969" t="s">
        <v>6878</v>
      </c>
      <c r="AE108" s="1969" t="s">
        <v>6879</v>
      </c>
      <c r="AG108" s="5285"/>
      <c r="AH108" s="1946"/>
      <c r="AI108" s="58"/>
      <c r="AJ108" s="1948"/>
      <c r="AK108" s="1948"/>
      <c r="AL108" s="172"/>
      <c r="AM108" s="5295">
        <f>AM107+1</f>
        <v>2</v>
      </c>
      <c r="AN108" s="1944" t="s">
        <v>7765</v>
      </c>
      <c r="AO108" s="1931" t="s">
        <v>7748</v>
      </c>
      <c r="AP108" s="1931" t="s">
        <v>7749</v>
      </c>
      <c r="AR108" s="5294">
        <f t="shared" ref="AR108:AR155" si="42">AR107+1</f>
        <v>3</v>
      </c>
      <c r="AS108" s="1897" t="s">
        <v>4611</v>
      </c>
      <c r="AT108" s="1935" t="s">
        <v>4612</v>
      </c>
      <c r="AU108" s="1936" t="s">
        <v>4613</v>
      </c>
      <c r="AV108" s="1935" t="s">
        <v>4614</v>
      </c>
      <c r="AW108" s="1935" t="s">
        <v>5522</v>
      </c>
      <c r="AX108" s="1935" t="s">
        <v>5523</v>
      </c>
      <c r="AY108" s="1897" t="s">
        <v>4611</v>
      </c>
      <c r="BA108" s="3">
        <v>1</v>
      </c>
    </row>
    <row r="109" spans="2:53" ht="30" customHeight="1">
      <c r="B109" s="1953">
        <v>4</v>
      </c>
      <c r="C109" s="1904" t="s">
        <v>7389</v>
      </c>
      <c r="D109" s="1931" t="s">
        <v>8416</v>
      </c>
      <c r="E109" s="1931" t="s">
        <v>8417</v>
      </c>
      <c r="F109" s="9"/>
      <c r="G109" s="1953"/>
      <c r="H109" s="1904"/>
      <c r="I109" s="1965"/>
      <c r="J109" s="1965"/>
      <c r="L109" s="5294"/>
      <c r="M109" s="172"/>
      <c r="N109" s="1975"/>
      <c r="O109" s="1976"/>
      <c r="P109" s="1975"/>
      <c r="Q109" s="1975"/>
      <c r="R109" s="1975"/>
      <c r="S109" s="9"/>
      <c r="W109" s="9"/>
      <c r="X109" s="5283"/>
      <c r="Y109" s="5280" t="s">
        <v>1</v>
      </c>
      <c r="Z109" s="1933"/>
      <c r="AA109" s="1933"/>
      <c r="AB109" s="1933"/>
      <c r="AC109" s="1933"/>
      <c r="AD109" s="1933"/>
      <c r="AE109" s="1942" t="s">
        <v>1</v>
      </c>
      <c r="AG109" s="5285"/>
      <c r="AH109" s="1946"/>
      <c r="AI109" s="58"/>
      <c r="AJ109" s="1948"/>
      <c r="AK109" s="1948"/>
      <c r="AL109" s="172"/>
      <c r="AM109" s="5295"/>
      <c r="AN109" s="709"/>
      <c r="AO109" s="709"/>
      <c r="AP109" s="709"/>
      <c r="AR109" s="5294">
        <f t="shared" si="42"/>
        <v>4</v>
      </c>
      <c r="AS109" s="1897" t="s">
        <v>4615</v>
      </c>
      <c r="AT109" s="1935" t="s">
        <v>4616</v>
      </c>
      <c r="AU109" s="1936" t="s">
        <v>4617</v>
      </c>
      <c r="AV109" s="1935" t="s">
        <v>4618</v>
      </c>
      <c r="AW109" s="1935" t="s">
        <v>6111</v>
      </c>
      <c r="AX109" s="1935" t="s">
        <v>6112</v>
      </c>
      <c r="AY109" s="1897" t="s">
        <v>4615</v>
      </c>
      <c r="BA109" s="3">
        <v>1</v>
      </c>
    </row>
    <row r="110" spans="2:53" ht="30" customHeight="1">
      <c r="B110" s="1953">
        <v>5</v>
      </c>
      <c r="C110" s="1904" t="s">
        <v>8083</v>
      </c>
      <c r="D110" s="1931" t="s">
        <v>7390</v>
      </c>
      <c r="E110" s="1931" t="s">
        <v>8418</v>
      </c>
      <c r="F110" s="9"/>
      <c r="G110" s="1953"/>
      <c r="H110" s="1904"/>
      <c r="I110" s="1965"/>
      <c r="J110" s="1965"/>
      <c r="L110" s="5294"/>
      <c r="M110" s="172"/>
      <c r="N110" s="1975"/>
      <c r="O110" s="1976"/>
      <c r="P110" s="1975"/>
      <c r="Q110" s="1975"/>
      <c r="R110" s="1975"/>
      <c r="S110" s="9"/>
      <c r="W110" s="9"/>
      <c r="X110" s="5283">
        <v>1</v>
      </c>
      <c r="Y110" s="5284" t="s">
        <v>3610</v>
      </c>
      <c r="Z110" s="1969" t="s">
        <v>5893</v>
      </c>
      <c r="AA110" s="1970" t="s">
        <v>8266</v>
      </c>
      <c r="AB110" s="1969" t="s">
        <v>5894</v>
      </c>
      <c r="AC110" s="1969" t="s">
        <v>5894</v>
      </c>
      <c r="AD110" s="1969" t="s">
        <v>6885</v>
      </c>
      <c r="AE110" s="1969" t="s">
        <v>6886</v>
      </c>
      <c r="AG110" s="5285"/>
      <c r="AH110" s="1946"/>
      <c r="AI110" s="58"/>
      <c r="AJ110" s="1948"/>
      <c r="AK110" s="1948"/>
      <c r="AL110" s="172"/>
      <c r="AM110" s="1898" t="s">
        <v>1886</v>
      </c>
      <c r="AN110" s="1908" t="s">
        <v>4093</v>
      </c>
      <c r="AO110" s="1931"/>
      <c r="AP110" s="1931"/>
      <c r="AR110" s="5294">
        <f t="shared" si="42"/>
        <v>5</v>
      </c>
      <c r="AS110" s="1897" t="s">
        <v>3589</v>
      </c>
      <c r="AT110" s="1935" t="s">
        <v>4619</v>
      </c>
      <c r="AU110" s="1935" t="s">
        <v>4620</v>
      </c>
      <c r="AV110" s="1935" t="s">
        <v>4621</v>
      </c>
      <c r="AW110" s="1935" t="s">
        <v>6113</v>
      </c>
      <c r="AX110" s="1935" t="s">
        <v>6114</v>
      </c>
      <c r="AY110" s="1897" t="s">
        <v>3589</v>
      </c>
      <c r="BA110" s="3">
        <v>1</v>
      </c>
    </row>
    <row r="111" spans="2:53" ht="30" customHeight="1">
      <c r="B111" s="1953">
        <v>6</v>
      </c>
      <c r="C111" s="1904" t="s">
        <v>3683</v>
      </c>
      <c r="D111" s="1931" t="s">
        <v>8419</v>
      </c>
      <c r="E111" s="1931" t="s">
        <v>8420</v>
      </c>
      <c r="F111" s="9"/>
      <c r="G111" s="1953"/>
      <c r="H111" s="1904"/>
      <c r="I111" s="1965"/>
      <c r="J111" s="1965"/>
      <c r="L111" s="5294"/>
      <c r="M111" s="172"/>
      <c r="N111" s="1975"/>
      <c r="O111" s="1976"/>
      <c r="P111" s="1975"/>
      <c r="Q111" s="1975"/>
      <c r="R111" s="1975"/>
      <c r="S111" s="9"/>
      <c r="W111" s="9"/>
      <c r="X111" s="5283">
        <v>2</v>
      </c>
      <c r="Y111" s="5284" t="s">
        <v>3627</v>
      </c>
      <c r="Z111" s="1969" t="s">
        <v>5897</v>
      </c>
      <c r="AA111" s="1970" t="s">
        <v>8267</v>
      </c>
      <c r="AB111" s="1969" t="s">
        <v>8268</v>
      </c>
      <c r="AC111" s="1969" t="s">
        <v>6890</v>
      </c>
      <c r="AD111" s="1969" t="s">
        <v>8269</v>
      </c>
      <c r="AE111" s="1969" t="s">
        <v>8270</v>
      </c>
      <c r="AG111" s="5285"/>
      <c r="AH111" s="1946"/>
      <c r="AI111" s="58"/>
      <c r="AJ111" s="1948"/>
      <c r="AK111" s="1948"/>
      <c r="AL111" s="172"/>
      <c r="AM111" s="1898" t="s">
        <v>1886</v>
      </c>
      <c r="AN111" s="1908" t="s">
        <v>4096</v>
      </c>
      <c r="AO111" s="1333"/>
      <c r="AP111" s="1333"/>
      <c r="AR111" s="5294">
        <f t="shared" si="42"/>
        <v>6</v>
      </c>
      <c r="AS111" s="1897" t="s">
        <v>3596</v>
      </c>
      <c r="AT111" s="1935" t="s">
        <v>4622</v>
      </c>
      <c r="AU111" s="1936" t="s">
        <v>4623</v>
      </c>
      <c r="AV111" s="1935" t="s">
        <v>4624</v>
      </c>
      <c r="AW111" s="1935" t="s">
        <v>6115</v>
      </c>
      <c r="AX111" s="1935" t="s">
        <v>6116</v>
      </c>
      <c r="AY111" s="1897" t="s">
        <v>3596</v>
      </c>
      <c r="BA111" s="3">
        <v>1</v>
      </c>
    </row>
    <row r="112" spans="2:53" ht="30" customHeight="1">
      <c r="B112" s="1953">
        <v>7</v>
      </c>
      <c r="C112" s="1904" t="s">
        <v>8084</v>
      </c>
      <c r="D112" s="1931" t="s">
        <v>8421</v>
      </c>
      <c r="E112" s="1931" t="s">
        <v>8422</v>
      </c>
      <c r="F112" s="9"/>
      <c r="G112" s="1953"/>
      <c r="H112" s="1904"/>
      <c r="I112" s="1965"/>
      <c r="J112" s="1965"/>
      <c r="L112" s="5294"/>
      <c r="M112" s="172"/>
      <c r="N112" s="1975"/>
      <c r="O112" s="1976"/>
      <c r="P112" s="1975"/>
      <c r="Q112" s="1975"/>
      <c r="R112" s="1975"/>
      <c r="S112" s="9"/>
      <c r="W112" s="9"/>
      <c r="X112" s="5283">
        <f>X111+1</f>
        <v>3</v>
      </c>
      <c r="Y112" s="5284" t="s">
        <v>3637</v>
      </c>
      <c r="Z112" s="1969" t="s">
        <v>5898</v>
      </c>
      <c r="AA112" s="1970" t="s">
        <v>8271</v>
      </c>
      <c r="AB112" s="1969" t="s">
        <v>5899</v>
      </c>
      <c r="AC112" s="1969" t="s">
        <v>5899</v>
      </c>
      <c r="AD112" s="1969" t="s">
        <v>6891</v>
      </c>
      <c r="AE112" s="1969" t="s">
        <v>6892</v>
      </c>
      <c r="AG112" s="5285"/>
      <c r="AH112" s="1946"/>
      <c r="AI112" s="58"/>
      <c r="AJ112" s="1948"/>
      <c r="AK112" s="1948"/>
      <c r="AL112" s="172"/>
      <c r="AM112" s="1898" t="s">
        <v>1886</v>
      </c>
      <c r="AN112" s="1908" t="s">
        <v>4099</v>
      </c>
      <c r="AO112" s="1908"/>
      <c r="AP112" s="1908"/>
      <c r="AR112" s="5294">
        <f t="shared" si="42"/>
        <v>7</v>
      </c>
      <c r="AS112" s="1897" t="s">
        <v>3604</v>
      </c>
      <c r="AT112" s="1935" t="s">
        <v>4625</v>
      </c>
      <c r="AU112" s="1936" t="s">
        <v>4626</v>
      </c>
      <c r="AV112" s="1935" t="s">
        <v>4627</v>
      </c>
      <c r="AW112" s="1935" t="s">
        <v>6117</v>
      </c>
      <c r="AX112" s="1935" t="s">
        <v>6118</v>
      </c>
      <c r="AY112" s="1897" t="s">
        <v>3604</v>
      </c>
      <c r="BA112" s="3">
        <v>1</v>
      </c>
    </row>
    <row r="113" spans="2:53" ht="30" customHeight="1">
      <c r="B113" s="1953">
        <v>8</v>
      </c>
      <c r="C113" s="1904" t="s">
        <v>7422</v>
      </c>
      <c r="D113" s="1931" t="s">
        <v>8423</v>
      </c>
      <c r="E113" s="1931" t="s">
        <v>8424</v>
      </c>
      <c r="F113" s="9"/>
      <c r="G113" s="1953"/>
      <c r="H113" s="1904"/>
      <c r="I113" s="1965"/>
      <c r="J113" s="1965"/>
      <c r="L113" s="5294"/>
      <c r="M113" s="172"/>
      <c r="N113" s="1975"/>
      <c r="O113" s="1976"/>
      <c r="P113" s="1975"/>
      <c r="Q113" s="1975"/>
      <c r="R113" s="1975"/>
      <c r="S113" s="9"/>
      <c r="W113" s="9"/>
      <c r="X113" s="5283"/>
      <c r="Y113" s="5280" t="s">
        <v>3656</v>
      </c>
      <c r="Z113" s="1933"/>
      <c r="AA113" s="1933"/>
      <c r="AB113" s="1933"/>
      <c r="AC113" s="1933"/>
      <c r="AD113" s="1933"/>
      <c r="AE113" s="1942" t="s">
        <v>3656</v>
      </c>
      <c r="AG113" s="5285"/>
      <c r="AH113" s="1946"/>
      <c r="AI113" s="58"/>
      <c r="AJ113" s="1948"/>
      <c r="AK113" s="1948"/>
      <c r="AL113" s="172"/>
      <c r="AM113" s="5294"/>
      <c r="AN113" s="1944"/>
      <c r="AO113" s="1908"/>
      <c r="AP113" s="1908"/>
      <c r="AR113" s="5294">
        <f t="shared" si="42"/>
        <v>8</v>
      </c>
      <c r="AS113" s="1897" t="s">
        <v>3613</v>
      </c>
      <c r="AT113" s="1935" t="s">
        <v>4628</v>
      </c>
      <c r="AU113" s="1936" t="s">
        <v>4629</v>
      </c>
      <c r="AV113" s="1935" t="s">
        <v>4630</v>
      </c>
      <c r="AW113" s="1935" t="s">
        <v>5524</v>
      </c>
      <c r="AX113" s="1935" t="s">
        <v>6119</v>
      </c>
      <c r="AY113" s="1897" t="s">
        <v>3613</v>
      </c>
      <c r="BA113" s="3">
        <v>1</v>
      </c>
    </row>
    <row r="114" spans="2:53" ht="30" customHeight="1">
      <c r="B114" s="1953">
        <v>9</v>
      </c>
      <c r="C114" s="1904" t="s">
        <v>8089</v>
      </c>
      <c r="D114" s="1931" t="s">
        <v>7423</v>
      </c>
      <c r="E114" s="1931" t="s">
        <v>8425</v>
      </c>
      <c r="F114" s="9"/>
      <c r="G114" s="1953"/>
      <c r="H114" s="1904"/>
      <c r="I114" s="1965"/>
      <c r="J114" s="1965"/>
      <c r="L114" s="5294"/>
      <c r="M114" s="172"/>
      <c r="N114" s="1975"/>
      <c r="O114" s="1976"/>
      <c r="P114" s="1975"/>
      <c r="Q114" s="1975"/>
      <c r="R114" s="1975"/>
      <c r="S114" s="9"/>
      <c r="W114" s="9"/>
      <c r="X114" s="5283">
        <v>1</v>
      </c>
      <c r="Y114" s="5284" t="s">
        <v>3665</v>
      </c>
      <c r="Z114" s="1969" t="s">
        <v>5900</v>
      </c>
      <c r="AA114" s="1970" t="s">
        <v>8272</v>
      </c>
      <c r="AB114" s="1969" t="s">
        <v>8273</v>
      </c>
      <c r="AC114" s="1969" t="s">
        <v>8273</v>
      </c>
      <c r="AD114" s="1969" t="s">
        <v>8274</v>
      </c>
      <c r="AE114" s="1969" t="s">
        <v>8275</v>
      </c>
      <c r="AG114" s="5285"/>
      <c r="AH114" s="1946"/>
      <c r="AI114" s="58"/>
      <c r="AJ114" s="1948"/>
      <c r="AK114" s="1948"/>
      <c r="AL114" s="172"/>
      <c r="AM114" s="5294"/>
      <c r="AN114" s="1944"/>
      <c r="AO114" s="1908"/>
      <c r="AP114" s="1908"/>
      <c r="AR114" s="5294">
        <f t="shared" si="42"/>
        <v>9</v>
      </c>
      <c r="AS114" s="1897" t="s">
        <v>3623</v>
      </c>
      <c r="AT114" s="1935" t="s">
        <v>4631</v>
      </c>
      <c r="AU114" s="1935" t="s">
        <v>4632</v>
      </c>
      <c r="AV114" s="1935" t="s">
        <v>4633</v>
      </c>
      <c r="AW114" s="1935" t="s">
        <v>6120</v>
      </c>
      <c r="AX114" s="1935" t="s">
        <v>6121</v>
      </c>
      <c r="AY114" s="1897" t="s">
        <v>3623</v>
      </c>
      <c r="BA114" s="3">
        <v>1</v>
      </c>
    </row>
    <row r="115" spans="2:53" ht="30" customHeight="1">
      <c r="B115" s="1953">
        <v>10</v>
      </c>
      <c r="C115" s="1904" t="s">
        <v>7379</v>
      </c>
      <c r="D115" s="1931" t="s">
        <v>8426</v>
      </c>
      <c r="E115" s="1931" t="s">
        <v>8427</v>
      </c>
      <c r="F115" s="9"/>
      <c r="G115" s="1953"/>
      <c r="H115" s="1904"/>
      <c r="I115" s="1965"/>
      <c r="J115" s="1965"/>
      <c r="L115" s="5294"/>
      <c r="M115" s="172"/>
      <c r="N115" s="1975"/>
      <c r="O115" s="1976"/>
      <c r="P115" s="1975"/>
      <c r="Q115" s="1975"/>
      <c r="R115" s="1975"/>
      <c r="S115" s="9"/>
      <c r="W115" s="9"/>
      <c r="X115" s="5283"/>
      <c r="Y115" s="5280" t="s">
        <v>3681</v>
      </c>
      <c r="Z115" s="1933"/>
      <c r="AA115" s="1933"/>
      <c r="AB115" s="1933"/>
      <c r="AC115" s="1933"/>
      <c r="AD115" s="1933"/>
      <c r="AE115" s="1942" t="s">
        <v>3681</v>
      </c>
      <c r="AG115" s="5285"/>
      <c r="AH115" s="1946"/>
      <c r="AI115" s="58"/>
      <c r="AJ115" s="1948"/>
      <c r="AK115" s="1948"/>
      <c r="AL115" s="172"/>
      <c r="AM115" s="5294"/>
      <c r="AN115" s="1944"/>
      <c r="AO115" s="1333"/>
      <c r="AP115" s="1333"/>
      <c r="AR115" s="5294">
        <f t="shared" si="42"/>
        <v>10</v>
      </c>
      <c r="AS115" s="1897" t="s">
        <v>3631</v>
      </c>
      <c r="AT115" s="1935" t="s">
        <v>4634</v>
      </c>
      <c r="AU115" s="1936" t="s">
        <v>4635</v>
      </c>
      <c r="AV115" s="1935" t="s">
        <v>4636</v>
      </c>
      <c r="AW115" s="1935" t="s">
        <v>6122</v>
      </c>
      <c r="AX115" s="1935" t="s">
        <v>6123</v>
      </c>
      <c r="AY115" s="1897" t="s">
        <v>3631</v>
      </c>
      <c r="BA115" s="3">
        <v>1</v>
      </c>
    </row>
    <row r="116" spans="2:53" ht="30" customHeight="1">
      <c r="B116" s="1953">
        <v>11</v>
      </c>
      <c r="C116" s="1904" t="s">
        <v>4003</v>
      </c>
      <c r="D116" s="1931" t="s">
        <v>7380</v>
      </c>
      <c r="E116" s="1931" t="s">
        <v>7381</v>
      </c>
      <c r="F116" s="9"/>
      <c r="G116" s="1953"/>
      <c r="H116" s="1904"/>
      <c r="I116" s="1965"/>
      <c r="J116" s="1965"/>
      <c r="L116" s="5294"/>
      <c r="M116" s="172"/>
      <c r="N116" s="1975"/>
      <c r="O116" s="1976"/>
      <c r="P116" s="1975"/>
      <c r="Q116" s="1975"/>
      <c r="R116" s="1975"/>
      <c r="S116" s="9"/>
      <c r="W116" s="9"/>
      <c r="X116" s="5283">
        <v>1</v>
      </c>
      <c r="Y116" s="5284" t="s">
        <v>3689</v>
      </c>
      <c r="Z116" s="1969" t="s">
        <v>5903</v>
      </c>
      <c r="AA116" s="1970" t="s">
        <v>8276</v>
      </c>
      <c r="AB116" s="1969" t="s">
        <v>5904</v>
      </c>
      <c r="AC116" s="1969" t="s">
        <v>5904</v>
      </c>
      <c r="AD116" s="1969" t="s">
        <v>6896</v>
      </c>
      <c r="AE116" s="1969" t="s">
        <v>8277</v>
      </c>
      <c r="AG116" s="5285"/>
      <c r="AH116" s="1946"/>
      <c r="AI116" s="58"/>
      <c r="AJ116" s="1948"/>
      <c r="AK116" s="1948"/>
      <c r="AL116" s="172"/>
      <c r="AM116" s="5294"/>
      <c r="AN116" s="1944"/>
      <c r="AO116" s="1908"/>
      <c r="AP116" s="1908"/>
      <c r="AR116" s="5294">
        <f t="shared" si="42"/>
        <v>11</v>
      </c>
      <c r="AS116" s="1897" t="s">
        <v>3641</v>
      </c>
      <c r="AT116" s="1935" t="s">
        <v>4637</v>
      </c>
      <c r="AU116" s="1935" t="s">
        <v>4638</v>
      </c>
      <c r="AV116" s="1935" t="s">
        <v>4639</v>
      </c>
      <c r="AW116" s="1935" t="s">
        <v>6124</v>
      </c>
      <c r="AX116" s="1935" t="s">
        <v>6125</v>
      </c>
      <c r="AY116" s="1897" t="s">
        <v>3641</v>
      </c>
      <c r="BA116" s="3">
        <v>1</v>
      </c>
    </row>
    <row r="117" spans="2:53" ht="30" customHeight="1">
      <c r="B117" s="1953">
        <v>12</v>
      </c>
      <c r="C117" s="1904" t="s">
        <v>4008</v>
      </c>
      <c r="D117" s="1931" t="s">
        <v>8428</v>
      </c>
      <c r="E117" s="1931" t="s">
        <v>7382</v>
      </c>
      <c r="F117" s="9"/>
      <c r="G117" s="1953"/>
      <c r="H117" s="1904"/>
      <c r="I117" s="1965"/>
      <c r="J117" s="1965"/>
      <c r="L117" s="5294"/>
      <c r="M117" s="172"/>
      <c r="N117" s="1975"/>
      <c r="O117" s="1976"/>
      <c r="P117" s="1975"/>
      <c r="Q117" s="1975"/>
      <c r="R117" s="1975"/>
      <c r="S117" s="9"/>
      <c r="W117" s="9"/>
      <c r="X117" s="5283">
        <f>X116+1</f>
        <v>2</v>
      </c>
      <c r="Y117" s="5284" t="s">
        <v>3697</v>
      </c>
      <c r="Z117" s="1969" t="s">
        <v>5905</v>
      </c>
      <c r="AA117" s="1970" t="s">
        <v>8278</v>
      </c>
      <c r="AB117" s="1969" t="s">
        <v>5906</v>
      </c>
      <c r="AC117" s="1969" t="s">
        <v>5906</v>
      </c>
      <c r="AD117" s="1969" t="s">
        <v>6897</v>
      </c>
      <c r="AE117" s="1969" t="s">
        <v>6898</v>
      </c>
      <c r="AG117" s="5285"/>
      <c r="AH117" s="1946"/>
      <c r="AI117" s="58"/>
      <c r="AJ117" s="1948"/>
      <c r="AK117" s="1948"/>
      <c r="AL117" s="172"/>
      <c r="AM117" s="5294"/>
      <c r="AN117" s="1944"/>
      <c r="AR117" s="5294">
        <f t="shared" si="42"/>
        <v>12</v>
      </c>
      <c r="AS117" s="1897" t="s">
        <v>3647</v>
      </c>
      <c r="AT117" s="1935" t="s">
        <v>4640</v>
      </c>
      <c r="AU117" s="1936" t="s">
        <v>4641</v>
      </c>
      <c r="AV117" s="1935" t="s">
        <v>4642</v>
      </c>
      <c r="AW117" s="1935" t="s">
        <v>6126</v>
      </c>
      <c r="AX117" s="1935" t="s">
        <v>6127</v>
      </c>
      <c r="AY117" s="1897" t="s">
        <v>3647</v>
      </c>
      <c r="BA117" s="3">
        <v>1</v>
      </c>
    </row>
    <row r="118" spans="2:53" ht="30" customHeight="1">
      <c r="B118" s="1953"/>
      <c r="F118" s="9"/>
      <c r="G118" s="1953"/>
      <c r="H118" s="1904"/>
      <c r="I118" s="1965"/>
      <c r="J118" s="1965"/>
      <c r="L118" s="5294"/>
      <c r="M118" s="172"/>
      <c r="N118" s="1975"/>
      <c r="O118" s="1976"/>
      <c r="P118" s="1975"/>
      <c r="Q118" s="1975"/>
      <c r="R118" s="1975"/>
      <c r="S118" s="9"/>
      <c r="W118" s="9"/>
      <c r="X118" s="5283">
        <f>X117+1</f>
        <v>3</v>
      </c>
      <c r="Y118" s="5284" t="s">
        <v>3702</v>
      </c>
      <c r="Z118" s="1969" t="s">
        <v>5907</v>
      </c>
      <c r="AA118" s="1970" t="s">
        <v>8279</v>
      </c>
      <c r="AB118" s="1969" t="s">
        <v>5908</v>
      </c>
      <c r="AC118" s="1969" t="s">
        <v>5908</v>
      </c>
      <c r="AD118" s="1969" t="s">
        <v>6899</v>
      </c>
      <c r="AE118" s="1969" t="s">
        <v>6900</v>
      </c>
      <c r="AG118" s="5285"/>
      <c r="AH118" s="1946"/>
      <c r="AI118" s="58"/>
      <c r="AJ118" s="1948"/>
      <c r="AK118" s="1948"/>
      <c r="AL118" s="172"/>
      <c r="AM118" s="5294"/>
      <c r="AN118" s="1944"/>
      <c r="AO118" s="1908"/>
      <c r="AP118" s="1908"/>
      <c r="AR118" s="5294">
        <f t="shared" si="42"/>
        <v>13</v>
      </c>
      <c r="AS118" s="1897" t="s">
        <v>4643</v>
      </c>
      <c r="AT118" s="1935" t="s">
        <v>4644</v>
      </c>
      <c r="AU118" s="1936" t="s">
        <v>4645</v>
      </c>
      <c r="AV118" s="1935" t="s">
        <v>4646</v>
      </c>
      <c r="AW118" s="1935" t="s">
        <v>6128</v>
      </c>
      <c r="AX118" s="1935" t="s">
        <v>6129</v>
      </c>
      <c r="AY118" s="1897" t="s">
        <v>4643</v>
      </c>
      <c r="BA118" s="3">
        <v>1</v>
      </c>
    </row>
    <row r="119" spans="2:53" ht="30" customHeight="1">
      <c r="B119" s="1953"/>
      <c r="C119" s="1903" t="s">
        <v>7670</v>
      </c>
      <c r="D119" s="1903" t="s">
        <v>7671</v>
      </c>
      <c r="E119" s="1903" t="s">
        <v>7672</v>
      </c>
      <c r="F119" s="9"/>
      <c r="G119" s="1953"/>
      <c r="H119" s="1904"/>
      <c r="I119" s="1965"/>
      <c r="J119" s="1965"/>
      <c r="L119" s="5294">
        <v>1</v>
      </c>
      <c r="M119" s="172"/>
      <c r="N119" s="1975"/>
      <c r="O119" s="1976"/>
      <c r="P119" s="1975"/>
      <c r="Q119" s="1975"/>
      <c r="R119" s="1975"/>
      <c r="S119" s="9"/>
      <c r="W119" s="9"/>
      <c r="X119" s="5283"/>
      <c r="Y119" s="5280" t="s">
        <v>2</v>
      </c>
      <c r="Z119" s="1933"/>
      <c r="AA119" s="1933"/>
      <c r="AB119" s="1933"/>
      <c r="AC119" s="1933"/>
      <c r="AD119" s="1933"/>
      <c r="AE119" s="1942" t="s">
        <v>2</v>
      </c>
      <c r="AG119" s="5285"/>
      <c r="AH119" s="1946"/>
      <c r="AI119" s="58"/>
      <c r="AJ119" s="1948"/>
      <c r="AK119" s="1948"/>
      <c r="AL119" s="172"/>
      <c r="AM119" s="5294"/>
      <c r="AN119" s="1944"/>
      <c r="AR119" s="5294">
        <f t="shared" si="42"/>
        <v>14</v>
      </c>
      <c r="AS119" s="1897" t="s">
        <v>3659</v>
      </c>
      <c r="AT119" s="1935" t="s">
        <v>4647</v>
      </c>
      <c r="AU119" s="1935" t="s">
        <v>4648</v>
      </c>
      <c r="AV119" s="1935" t="s">
        <v>4649</v>
      </c>
      <c r="AW119" s="1935" t="s">
        <v>6130</v>
      </c>
      <c r="AX119" s="1935" t="s">
        <v>6131</v>
      </c>
      <c r="AY119" s="1897" t="s">
        <v>3659</v>
      </c>
      <c r="BA119" s="3">
        <v>1</v>
      </c>
    </row>
    <row r="120" spans="2:53" ht="30" customHeight="1">
      <c r="B120" s="1953">
        <v>1</v>
      </c>
      <c r="C120" s="1904" t="s">
        <v>4089</v>
      </c>
      <c r="D120" s="1931" t="s">
        <v>7418</v>
      </c>
      <c r="E120" s="1931" t="s">
        <v>8429</v>
      </c>
      <c r="F120" s="9"/>
      <c r="G120" s="1953"/>
      <c r="H120" s="1904"/>
      <c r="I120" s="1965"/>
      <c r="J120" s="1965"/>
      <c r="L120" s="5294"/>
      <c r="M120" s="172"/>
      <c r="N120" s="1975"/>
      <c r="O120" s="1976"/>
      <c r="P120" s="1975"/>
      <c r="Q120" s="1975"/>
      <c r="R120" s="1975"/>
      <c r="S120" s="9"/>
      <c r="W120" s="9"/>
      <c r="X120" s="5283">
        <v>1</v>
      </c>
      <c r="Y120" s="5284" t="s">
        <v>3722</v>
      </c>
      <c r="Z120" s="1969" t="s">
        <v>5909</v>
      </c>
      <c r="AA120" s="1970" t="s">
        <v>8280</v>
      </c>
      <c r="AB120" s="1969" t="s">
        <v>5910</v>
      </c>
      <c r="AC120" s="1969" t="s">
        <v>5910</v>
      </c>
      <c r="AD120" s="1969" t="s">
        <v>6901</v>
      </c>
      <c r="AE120" s="1969" t="s">
        <v>6902</v>
      </c>
      <c r="AG120" s="5285"/>
      <c r="AH120" s="1946"/>
      <c r="AI120" s="58"/>
      <c r="AJ120" s="1948"/>
      <c r="AK120" s="1948"/>
      <c r="AL120" s="172"/>
      <c r="AM120" s="5294"/>
      <c r="AN120" s="1944"/>
      <c r="AO120" s="1931"/>
      <c r="AP120" s="1931"/>
      <c r="AR120" s="5294">
        <f t="shared" si="42"/>
        <v>15</v>
      </c>
      <c r="AS120" s="1897" t="s">
        <v>4650</v>
      </c>
      <c r="AT120" s="1935" t="s">
        <v>4651</v>
      </c>
      <c r="AU120" s="1936" t="s">
        <v>4652</v>
      </c>
      <c r="AV120" s="1935" t="s">
        <v>4653</v>
      </c>
      <c r="AW120" s="1935" t="s">
        <v>6132</v>
      </c>
      <c r="AX120" s="1935" t="s">
        <v>6133</v>
      </c>
      <c r="AY120" s="1897" t="s">
        <v>4650</v>
      </c>
      <c r="BA120" s="3">
        <v>1</v>
      </c>
    </row>
    <row r="121" spans="2:53" ht="30" customHeight="1">
      <c r="B121" s="1953">
        <v>2</v>
      </c>
      <c r="C121" s="1904" t="s">
        <v>4090</v>
      </c>
      <c r="D121" s="1931" t="s">
        <v>8430</v>
      </c>
      <c r="E121" s="1931" t="s">
        <v>8431</v>
      </c>
      <c r="F121" s="9"/>
      <c r="G121" s="1953"/>
      <c r="H121" s="1904"/>
      <c r="I121" s="1965"/>
      <c r="J121" s="1965"/>
      <c r="L121" s="5294"/>
      <c r="M121" s="172"/>
      <c r="N121" s="1975"/>
      <c r="O121" s="1976"/>
      <c r="P121" s="1975"/>
      <c r="Q121" s="1975"/>
      <c r="R121" s="1975"/>
      <c r="S121" s="9"/>
      <c r="W121" s="9"/>
      <c r="X121" s="5283">
        <f>X120+1</f>
        <v>2</v>
      </c>
      <c r="Y121" s="5284" t="s">
        <v>3728</v>
      </c>
      <c r="Z121" s="1969" t="s">
        <v>5911</v>
      </c>
      <c r="AA121" s="1970" t="s">
        <v>8281</v>
      </c>
      <c r="AB121" s="1969" t="s">
        <v>5912</v>
      </c>
      <c r="AC121" s="1969" t="s">
        <v>5912</v>
      </c>
      <c r="AD121" s="1969" t="s">
        <v>6903</v>
      </c>
      <c r="AE121" s="1968" t="s">
        <v>8282</v>
      </c>
      <c r="AG121" s="5285"/>
      <c r="AH121" s="1946"/>
      <c r="AI121" s="58"/>
      <c r="AJ121" s="1948"/>
      <c r="AK121" s="1948"/>
      <c r="AL121" s="172"/>
      <c r="AM121" s="5294"/>
      <c r="AN121" s="1944"/>
      <c r="AO121" s="1931"/>
      <c r="AP121" s="1931"/>
      <c r="AR121" s="5294">
        <f t="shared" si="42"/>
        <v>16</v>
      </c>
      <c r="AS121" s="1897" t="s">
        <v>4654</v>
      </c>
      <c r="AT121" s="1935" t="s">
        <v>4655</v>
      </c>
      <c r="AU121" s="1936" t="s">
        <v>4656</v>
      </c>
      <c r="AV121" s="1935" t="s">
        <v>6134</v>
      </c>
      <c r="AW121" s="1935" t="s">
        <v>6135</v>
      </c>
      <c r="AX121" s="1935" t="s">
        <v>6136</v>
      </c>
      <c r="AY121" s="1897" t="s">
        <v>4654</v>
      </c>
      <c r="BA121" s="3">
        <v>1</v>
      </c>
    </row>
    <row r="122" spans="2:53" ht="30" customHeight="1">
      <c r="B122" s="1953">
        <v>3</v>
      </c>
      <c r="C122" s="1904" t="s">
        <v>4092</v>
      </c>
      <c r="D122" s="1931" t="s">
        <v>7421</v>
      </c>
      <c r="E122" s="1931" t="s">
        <v>8432</v>
      </c>
      <c r="F122" s="9"/>
      <c r="G122" s="1953"/>
      <c r="H122" s="1904"/>
      <c r="I122" s="1965"/>
      <c r="J122" s="1965"/>
      <c r="L122" s="5294"/>
      <c r="M122" s="172"/>
      <c r="N122" s="1975"/>
      <c r="O122" s="1976"/>
      <c r="P122" s="1975"/>
      <c r="Q122" s="1975"/>
      <c r="R122" s="1975"/>
      <c r="S122" s="9"/>
      <c r="W122" s="9"/>
      <c r="X122" s="5283">
        <f t="shared" ref="X122:X125" si="43">X121+1</f>
        <v>3</v>
      </c>
      <c r="Y122" s="5284" t="s">
        <v>3738</v>
      </c>
      <c r="Z122" s="1969" t="s">
        <v>5913</v>
      </c>
      <c r="AA122" s="1970" t="s">
        <v>8283</v>
      </c>
      <c r="AB122" s="1969" t="s">
        <v>5914</v>
      </c>
      <c r="AC122" s="1969" t="s">
        <v>5914</v>
      </c>
      <c r="AD122" s="1969" t="s">
        <v>6904</v>
      </c>
      <c r="AE122" s="1969" t="s">
        <v>6905</v>
      </c>
      <c r="AG122" s="5285"/>
      <c r="AH122" s="1946"/>
      <c r="AI122" s="58"/>
      <c r="AJ122" s="1948"/>
      <c r="AK122" s="1948"/>
      <c r="AL122" s="172"/>
      <c r="AM122" s="5294"/>
      <c r="AN122" s="1944"/>
      <c r="AO122" s="1931"/>
      <c r="AP122" s="1931"/>
      <c r="AR122" s="5294">
        <f t="shared" si="42"/>
        <v>17</v>
      </c>
      <c r="AS122" s="1897" t="s">
        <v>3678</v>
      </c>
      <c r="AT122" s="1935" t="s">
        <v>7476</v>
      </c>
      <c r="AU122" s="1936" t="s">
        <v>7477</v>
      </c>
      <c r="AV122" s="1935" t="s">
        <v>8121</v>
      </c>
      <c r="AW122" s="1935" t="s">
        <v>8122</v>
      </c>
      <c r="AX122" s="1935" t="s">
        <v>8123</v>
      </c>
      <c r="AY122" s="1897" t="s">
        <v>3678</v>
      </c>
      <c r="BA122" s="3">
        <v>1</v>
      </c>
    </row>
    <row r="123" spans="2:53" ht="30" customHeight="1">
      <c r="B123" s="1953">
        <v>4</v>
      </c>
      <c r="C123" s="1904" t="s">
        <v>4072</v>
      </c>
      <c r="D123" s="1931" t="s">
        <v>7393</v>
      </c>
      <c r="E123" s="1931" t="s">
        <v>7394</v>
      </c>
      <c r="F123" s="9"/>
      <c r="G123" s="1953"/>
      <c r="H123" s="1904"/>
      <c r="I123" s="1965"/>
      <c r="J123" s="1965"/>
      <c r="L123" s="5294"/>
      <c r="M123" s="172"/>
      <c r="N123" s="1975"/>
      <c r="O123" s="1976"/>
      <c r="P123" s="1975"/>
      <c r="Q123" s="1975"/>
      <c r="R123" s="1975"/>
      <c r="S123" s="9"/>
      <c r="W123" s="9"/>
      <c r="X123" s="5283">
        <f t="shared" si="43"/>
        <v>4</v>
      </c>
      <c r="Y123" s="5284" t="s">
        <v>3746</v>
      </c>
      <c r="Z123" s="1969" t="s">
        <v>5915</v>
      </c>
      <c r="AA123" s="1970" t="s">
        <v>8284</v>
      </c>
      <c r="AB123" s="1969" t="s">
        <v>5916</v>
      </c>
      <c r="AC123" s="1969" t="s">
        <v>5916</v>
      </c>
      <c r="AD123" s="1969" t="s">
        <v>6906</v>
      </c>
      <c r="AE123" s="1969" t="s">
        <v>6907</v>
      </c>
      <c r="AG123" s="5285"/>
      <c r="AH123" s="1946"/>
      <c r="AI123" s="58"/>
      <c r="AJ123" s="1948"/>
      <c r="AK123" s="1948"/>
      <c r="AL123" s="172"/>
      <c r="AM123" s="5294"/>
      <c r="AN123" s="1944"/>
      <c r="AO123" s="1931"/>
      <c r="AP123" s="1931"/>
      <c r="AR123" s="5294">
        <f t="shared" si="42"/>
        <v>18</v>
      </c>
      <c r="AS123" s="1897" t="s">
        <v>3685</v>
      </c>
      <c r="AT123" s="1935" t="s">
        <v>4657</v>
      </c>
      <c r="AU123" s="1936" t="s">
        <v>4658</v>
      </c>
      <c r="AV123" s="1935" t="s">
        <v>8314</v>
      </c>
      <c r="AW123" s="1935" t="s">
        <v>8315</v>
      </c>
      <c r="AX123" s="1935" t="s">
        <v>8316</v>
      </c>
      <c r="AY123" s="1897" t="s">
        <v>3685</v>
      </c>
      <c r="BA123" s="3">
        <v>1</v>
      </c>
    </row>
    <row r="124" spans="2:53" ht="30" customHeight="1">
      <c r="B124" s="1953">
        <v>5</v>
      </c>
      <c r="C124" s="1904" t="s">
        <v>4094</v>
      </c>
      <c r="D124" s="1931" t="s">
        <v>7424</v>
      </c>
      <c r="E124" s="1931" t="s">
        <v>8433</v>
      </c>
      <c r="F124" s="9"/>
      <c r="G124" s="1953"/>
      <c r="H124" s="1904"/>
      <c r="I124" s="1965"/>
      <c r="J124" s="1965"/>
      <c r="L124" s="5294"/>
      <c r="M124" s="172"/>
      <c r="N124" s="1975"/>
      <c r="O124" s="1976"/>
      <c r="P124" s="1975"/>
      <c r="Q124" s="1975"/>
      <c r="R124" s="1975"/>
      <c r="S124" s="9"/>
      <c r="W124" s="9"/>
      <c r="X124" s="5283">
        <f t="shared" si="43"/>
        <v>5</v>
      </c>
      <c r="Y124" s="5284" t="s">
        <v>3753</v>
      </c>
      <c r="Z124" s="1969" t="s">
        <v>5917</v>
      </c>
      <c r="AA124" s="1970" t="s">
        <v>8285</v>
      </c>
      <c r="AB124" s="1969" t="s">
        <v>5918</v>
      </c>
      <c r="AC124" s="1969" t="s">
        <v>5918</v>
      </c>
      <c r="AD124" s="1969" t="s">
        <v>6908</v>
      </c>
      <c r="AE124" s="1969" t="s">
        <v>6909</v>
      </c>
      <c r="AG124" s="5285"/>
      <c r="AH124" s="1946"/>
      <c r="AI124" s="58"/>
      <c r="AJ124" s="1948"/>
      <c r="AK124" s="1948"/>
      <c r="AL124" s="172"/>
      <c r="AM124" s="5294"/>
      <c r="AN124" s="1944"/>
      <c r="AO124" s="1931"/>
      <c r="AP124" s="1931"/>
      <c r="AR124" s="5294">
        <f t="shared" si="42"/>
        <v>19</v>
      </c>
      <c r="AS124" s="1897" t="s">
        <v>3691</v>
      </c>
      <c r="AT124" s="1935" t="s">
        <v>4659</v>
      </c>
      <c r="AU124" s="1936" t="s">
        <v>4660</v>
      </c>
      <c r="AV124" s="1935" t="s">
        <v>4661</v>
      </c>
      <c r="AW124" s="1935" t="s">
        <v>6137</v>
      </c>
      <c r="AX124" s="1935" t="s">
        <v>5525</v>
      </c>
      <c r="AY124" s="1897" t="s">
        <v>3691</v>
      </c>
      <c r="BA124" s="3">
        <v>1</v>
      </c>
    </row>
    <row r="125" spans="2:53" ht="30" customHeight="1">
      <c r="B125" s="1953">
        <v>6</v>
      </c>
      <c r="C125" s="1904" t="s">
        <v>4012</v>
      </c>
      <c r="D125" s="1931" t="s">
        <v>7383</v>
      </c>
      <c r="E125" s="1931" t="s">
        <v>8434</v>
      </c>
      <c r="F125" s="9"/>
      <c r="G125" s="1953"/>
      <c r="H125" s="1904"/>
      <c r="I125" s="1965"/>
      <c r="J125" s="1965"/>
      <c r="L125" s="5294"/>
      <c r="M125" s="172"/>
      <c r="N125" s="1975"/>
      <c r="O125" s="1976"/>
      <c r="P125" s="1975"/>
      <c r="Q125" s="1975"/>
      <c r="R125" s="1975"/>
      <c r="S125" s="9"/>
      <c r="W125" s="9"/>
      <c r="X125" s="5283">
        <f t="shared" si="43"/>
        <v>6</v>
      </c>
      <c r="Y125" s="5284" t="s">
        <v>3759</v>
      </c>
      <c r="Z125" s="1969" t="s">
        <v>5919</v>
      </c>
      <c r="AA125" s="1970" t="s">
        <v>8286</v>
      </c>
      <c r="AB125" s="1969" t="s">
        <v>5920</v>
      </c>
      <c r="AC125" s="1969" t="s">
        <v>5920</v>
      </c>
      <c r="AD125" s="1969" t="s">
        <v>6910</v>
      </c>
      <c r="AE125" s="1969" t="s">
        <v>6911</v>
      </c>
      <c r="AG125" s="5285"/>
      <c r="AH125" s="1946"/>
      <c r="AI125" s="58"/>
      <c r="AJ125" s="1948"/>
      <c r="AK125" s="1948"/>
      <c r="AL125" s="172"/>
      <c r="AM125" s="5294"/>
      <c r="AN125" s="1944"/>
      <c r="AO125" s="1931"/>
      <c r="AP125" s="1931"/>
      <c r="AR125" s="5294">
        <f t="shared" si="42"/>
        <v>20</v>
      </c>
      <c r="AS125" s="1897" t="s">
        <v>3698</v>
      </c>
      <c r="AT125" s="1935" t="s">
        <v>7478</v>
      </c>
      <c r="AU125" s="1936" t="s">
        <v>7479</v>
      </c>
      <c r="AV125" s="1935" t="s">
        <v>8124</v>
      </c>
      <c r="AW125" s="1935" t="s">
        <v>8125</v>
      </c>
      <c r="AX125" s="1935" t="s">
        <v>8126</v>
      </c>
      <c r="AY125" s="1897" t="s">
        <v>3698</v>
      </c>
      <c r="BA125" s="3">
        <v>1</v>
      </c>
    </row>
    <row r="126" spans="2:53" ht="30" customHeight="1">
      <c r="B126" s="1955"/>
      <c r="F126" s="9"/>
      <c r="G126" s="1953"/>
      <c r="H126" s="1904"/>
      <c r="I126" s="1965"/>
      <c r="J126" s="1965"/>
      <c r="L126" s="5294"/>
      <c r="M126" s="172"/>
      <c r="N126" s="1975"/>
      <c r="O126" s="1976"/>
      <c r="P126" s="1975"/>
      <c r="Q126" s="1975"/>
      <c r="R126" s="1975"/>
      <c r="S126" s="9"/>
      <c r="W126" s="9"/>
      <c r="X126" s="5283"/>
      <c r="Y126" s="5280" t="s">
        <v>3591</v>
      </c>
      <c r="Z126" s="1933"/>
      <c r="AA126" s="1933"/>
      <c r="AB126" s="1933"/>
      <c r="AC126" s="1933"/>
      <c r="AD126" s="1933"/>
      <c r="AE126" s="1942" t="s">
        <v>3591</v>
      </c>
      <c r="AG126" s="5285"/>
      <c r="AH126" s="1946"/>
      <c r="AI126" s="58"/>
      <c r="AJ126" s="1948"/>
      <c r="AK126" s="1948"/>
      <c r="AL126" s="172"/>
      <c r="AM126" s="5294"/>
      <c r="AN126" s="1944"/>
      <c r="AO126" s="1931"/>
      <c r="AP126" s="1931"/>
      <c r="AR126" s="5294">
        <f t="shared" si="42"/>
        <v>21</v>
      </c>
      <c r="AS126" s="1897" t="s">
        <v>3704</v>
      </c>
      <c r="AT126" s="1935" t="s">
        <v>4662</v>
      </c>
      <c r="AU126" s="1936" t="s">
        <v>4663</v>
      </c>
      <c r="AV126" s="1935" t="s">
        <v>4664</v>
      </c>
      <c r="AW126" s="1935" t="s">
        <v>6138</v>
      </c>
      <c r="AX126" s="1935" t="s">
        <v>6139</v>
      </c>
      <c r="AY126" s="1897" t="s">
        <v>3704</v>
      </c>
      <c r="BA126" s="3">
        <v>1</v>
      </c>
    </row>
    <row r="127" spans="2:53" ht="30" customHeight="1">
      <c r="B127" s="1955"/>
      <c r="C127" s="1903" t="s">
        <v>457</v>
      </c>
      <c r="D127" s="1903" t="s">
        <v>7677</v>
      </c>
      <c r="E127" s="1903" t="s">
        <v>7678</v>
      </c>
      <c r="F127" s="9"/>
      <c r="G127" s="1953"/>
      <c r="H127" s="1904"/>
      <c r="I127" s="1965"/>
      <c r="J127" s="1965"/>
      <c r="L127" s="5294"/>
      <c r="M127" s="172"/>
      <c r="N127" s="1975"/>
      <c r="O127" s="1976"/>
      <c r="P127" s="1975"/>
      <c r="Q127" s="1975"/>
      <c r="R127" s="1975"/>
      <c r="S127" s="9"/>
      <c r="W127" s="9"/>
      <c r="X127" s="5283">
        <v>1</v>
      </c>
      <c r="Y127" s="5284" t="s">
        <v>3779</v>
      </c>
      <c r="Z127" s="1969" t="s">
        <v>5921</v>
      </c>
      <c r="AA127" s="1970" t="s">
        <v>8287</v>
      </c>
      <c r="AB127" s="1969" t="s">
        <v>5922</v>
      </c>
      <c r="AC127" s="1969" t="s">
        <v>5922</v>
      </c>
      <c r="AD127" s="1969" t="s">
        <v>6912</v>
      </c>
      <c r="AE127" s="1969" t="s">
        <v>6913</v>
      </c>
      <c r="AG127" s="5285"/>
      <c r="AH127" s="1946"/>
      <c r="AI127" s="58"/>
      <c r="AJ127" s="1948"/>
      <c r="AK127" s="1948"/>
      <c r="AL127" s="172"/>
      <c r="AM127" s="5294"/>
      <c r="AN127" s="1944"/>
      <c r="AO127" s="1931"/>
      <c r="AP127" s="1931"/>
      <c r="AR127" s="5294">
        <f t="shared" si="42"/>
        <v>22</v>
      </c>
      <c r="AS127" s="1897" t="s">
        <v>3709</v>
      </c>
      <c r="AT127" s="1935" t="s">
        <v>4665</v>
      </c>
      <c r="AU127" s="1936" t="s">
        <v>4666</v>
      </c>
      <c r="AV127" s="1935" t="s">
        <v>4667</v>
      </c>
      <c r="AW127" s="1935" t="s">
        <v>6140</v>
      </c>
      <c r="AX127" s="1935" t="s">
        <v>6141</v>
      </c>
      <c r="AY127" s="1897" t="s">
        <v>3709</v>
      </c>
      <c r="BA127" s="3">
        <v>1</v>
      </c>
    </row>
    <row r="128" spans="2:53" ht="30" customHeight="1">
      <c r="B128" s="1953">
        <v>1</v>
      </c>
      <c r="C128" s="1904" t="s">
        <v>4097</v>
      </c>
      <c r="D128" s="1931" t="s">
        <v>7426</v>
      </c>
      <c r="E128" s="1931" t="s">
        <v>8435</v>
      </c>
      <c r="F128" s="9"/>
      <c r="G128" s="1953"/>
      <c r="H128" s="1904"/>
      <c r="I128" s="1965"/>
      <c r="J128" s="1965"/>
      <c r="L128" s="5294"/>
      <c r="M128" s="172"/>
      <c r="N128" s="1975"/>
      <c r="O128" s="1976"/>
      <c r="P128" s="1975"/>
      <c r="Q128" s="1975"/>
      <c r="R128" s="1975"/>
      <c r="S128" s="9"/>
      <c r="W128" s="9"/>
      <c r="X128" s="5283">
        <f>X127+1</f>
        <v>2</v>
      </c>
      <c r="Y128" s="5284" t="s">
        <v>3793</v>
      </c>
      <c r="Z128" s="1969" t="s">
        <v>5926</v>
      </c>
      <c r="AA128" s="1970" t="s">
        <v>5927</v>
      </c>
      <c r="AB128" s="1969" t="s">
        <v>5928</v>
      </c>
      <c r="AC128" s="1969" t="s">
        <v>5928</v>
      </c>
      <c r="AD128" s="1969" t="s">
        <v>6916</v>
      </c>
      <c r="AE128" s="1969" t="s">
        <v>6917</v>
      </c>
      <c r="AG128" s="5285"/>
      <c r="AH128" s="1946"/>
      <c r="AI128" s="58"/>
      <c r="AJ128" s="1948"/>
      <c r="AK128" s="1948"/>
      <c r="AL128" s="172"/>
      <c r="AM128" s="5294"/>
      <c r="AN128" s="1944"/>
      <c r="AO128" s="1931"/>
      <c r="AP128" s="1931"/>
      <c r="AR128" s="5294">
        <f t="shared" si="42"/>
        <v>23</v>
      </c>
      <c r="AS128" s="1897" t="s">
        <v>3717</v>
      </c>
      <c r="AT128" s="1935" t="s">
        <v>4668</v>
      </c>
      <c r="AU128" s="1936" t="s">
        <v>4669</v>
      </c>
      <c r="AV128" s="1935" t="s">
        <v>4670</v>
      </c>
      <c r="AW128" s="1935" t="s">
        <v>6142</v>
      </c>
      <c r="AX128" s="1935" t="s">
        <v>6143</v>
      </c>
      <c r="AY128" s="1897" t="s">
        <v>3717</v>
      </c>
      <c r="BA128" s="3">
        <v>1</v>
      </c>
    </row>
    <row r="129" spans="2:53" ht="30" customHeight="1">
      <c r="B129" s="1953">
        <v>2</v>
      </c>
      <c r="C129" s="1904" t="s">
        <v>8085</v>
      </c>
      <c r="D129" s="1931" t="s">
        <v>8436</v>
      </c>
      <c r="E129" s="1931" t="s">
        <v>8437</v>
      </c>
      <c r="F129" s="9"/>
      <c r="G129" s="1953"/>
      <c r="H129" s="1904"/>
      <c r="I129" s="1965"/>
      <c r="J129" s="1965"/>
      <c r="L129" s="5294"/>
      <c r="M129" s="172"/>
      <c r="N129" s="1975"/>
      <c r="O129" s="1976"/>
      <c r="P129" s="1975"/>
      <c r="Q129" s="1975"/>
      <c r="R129" s="1975"/>
      <c r="S129" s="9"/>
      <c r="W129" s="9"/>
      <c r="X129" s="5283">
        <f t="shared" ref="X129:X136" si="44">X128+1</f>
        <v>3</v>
      </c>
      <c r="Y129" s="5284" t="s">
        <v>3821</v>
      </c>
      <c r="Z129" s="1969" t="s">
        <v>5938</v>
      </c>
      <c r="AA129" s="1970" t="s">
        <v>8288</v>
      </c>
      <c r="AB129" s="1969" t="s">
        <v>5939</v>
      </c>
      <c r="AC129" s="1969" t="s">
        <v>5939</v>
      </c>
      <c r="AD129" s="1969" t="s">
        <v>6924</v>
      </c>
      <c r="AE129" s="1969" t="s">
        <v>6925</v>
      </c>
      <c r="AG129" s="5285"/>
      <c r="AH129" s="1946"/>
      <c r="AI129" s="58"/>
      <c r="AJ129" s="1948"/>
      <c r="AK129" s="1948"/>
      <c r="AL129" s="172"/>
      <c r="AM129" s="5294"/>
      <c r="AN129" s="1944"/>
      <c r="AO129" s="1931"/>
      <c r="AP129" s="1931"/>
      <c r="AR129" s="5294">
        <f t="shared" si="42"/>
        <v>24</v>
      </c>
      <c r="AS129" s="1897" t="s">
        <v>3723</v>
      </c>
      <c r="AT129" s="1935" t="s">
        <v>4671</v>
      </c>
      <c r="AU129" s="1936" t="s">
        <v>4672</v>
      </c>
      <c r="AV129" s="1935" t="s">
        <v>4673</v>
      </c>
      <c r="AW129" s="1935" t="s">
        <v>6144</v>
      </c>
      <c r="AX129" s="1935" t="s">
        <v>6145</v>
      </c>
      <c r="AY129" s="1897" t="s">
        <v>3723</v>
      </c>
      <c r="BA129" s="3">
        <v>1</v>
      </c>
    </row>
    <row r="130" spans="2:53" ht="30" customHeight="1">
      <c r="B130" s="1953">
        <v>3</v>
      </c>
      <c r="C130" s="1904" t="s">
        <v>7395</v>
      </c>
      <c r="D130" s="1931" t="s">
        <v>8438</v>
      </c>
      <c r="E130" s="1931" t="s">
        <v>8439</v>
      </c>
      <c r="F130" s="9"/>
      <c r="G130" s="1953"/>
      <c r="H130" s="1904"/>
      <c r="I130" s="1965"/>
      <c r="J130" s="1965"/>
      <c r="L130" s="5294"/>
      <c r="M130" s="172"/>
      <c r="N130" s="1975"/>
      <c r="O130" s="1976"/>
      <c r="P130" s="1975"/>
      <c r="Q130" s="1975"/>
      <c r="R130" s="1975"/>
      <c r="S130" s="9"/>
      <c r="W130" s="9"/>
      <c r="X130" s="5283">
        <f t="shared" si="44"/>
        <v>4</v>
      </c>
      <c r="Y130" s="5284" t="s">
        <v>3828</v>
      </c>
      <c r="Z130" s="1969" t="s">
        <v>5940</v>
      </c>
      <c r="AA130" s="1970" t="s">
        <v>8289</v>
      </c>
      <c r="AB130" s="1969" t="s">
        <v>5941</v>
      </c>
      <c r="AC130" s="1969" t="s">
        <v>5941</v>
      </c>
      <c r="AD130" s="1969" t="s">
        <v>6926</v>
      </c>
      <c r="AE130" s="1969" t="s">
        <v>6927</v>
      </c>
      <c r="AG130" s="5285"/>
      <c r="AH130" s="1946"/>
      <c r="AI130" s="58"/>
      <c r="AJ130" s="1948"/>
      <c r="AK130" s="1948"/>
      <c r="AL130" s="172"/>
      <c r="AM130" s="5294"/>
      <c r="AN130" s="1944"/>
      <c r="AO130" s="1931"/>
      <c r="AP130" s="1931"/>
      <c r="AR130" s="5294">
        <f t="shared" si="42"/>
        <v>25</v>
      </c>
      <c r="AS130" s="1897" t="s">
        <v>3732</v>
      </c>
      <c r="AT130" s="1935" t="s">
        <v>4674</v>
      </c>
      <c r="AU130" s="1936" t="s">
        <v>4675</v>
      </c>
      <c r="AV130" s="1935" t="s">
        <v>4676</v>
      </c>
      <c r="AW130" s="1935" t="s">
        <v>6146</v>
      </c>
      <c r="AX130" s="1935" t="s">
        <v>6147</v>
      </c>
      <c r="AY130" s="1897" t="s">
        <v>3732</v>
      </c>
      <c r="BA130" s="3">
        <v>1</v>
      </c>
    </row>
    <row r="131" spans="2:53" ht="30" customHeight="1">
      <c r="B131" s="1953">
        <v>4</v>
      </c>
      <c r="C131" s="1904" t="s">
        <v>4098</v>
      </c>
      <c r="D131" s="1931" t="s">
        <v>7427</v>
      </c>
      <c r="E131" s="1931" t="s">
        <v>8440</v>
      </c>
      <c r="F131" s="9"/>
      <c r="G131" s="1953"/>
      <c r="H131" s="1904"/>
      <c r="I131" s="1965"/>
      <c r="J131" s="1965"/>
      <c r="L131" s="5294"/>
      <c r="M131" s="172"/>
      <c r="N131" s="1975"/>
      <c r="O131" s="1976"/>
      <c r="P131" s="1975"/>
      <c r="Q131" s="1975"/>
      <c r="R131" s="1975"/>
      <c r="S131" s="9"/>
      <c r="W131" s="9"/>
      <c r="X131" s="5283">
        <f t="shared" si="44"/>
        <v>5</v>
      </c>
      <c r="Y131" s="5284" t="s">
        <v>3835</v>
      </c>
      <c r="Z131" s="1969" t="s">
        <v>5942</v>
      </c>
      <c r="AA131" s="1970" t="s">
        <v>8290</v>
      </c>
      <c r="AB131" s="1969" t="s">
        <v>5943</v>
      </c>
      <c r="AC131" s="1969" t="s">
        <v>5943</v>
      </c>
      <c r="AD131" s="1969" t="s">
        <v>6928</v>
      </c>
      <c r="AE131" s="1969" t="s">
        <v>6929</v>
      </c>
      <c r="AG131" s="5285"/>
      <c r="AH131" s="1946"/>
      <c r="AI131" s="58"/>
      <c r="AJ131" s="1948"/>
      <c r="AK131" s="1948"/>
      <c r="AL131" s="172"/>
      <c r="AM131" s="5294"/>
      <c r="AN131" s="1944"/>
      <c r="AO131" s="1931"/>
      <c r="AP131" s="1931"/>
      <c r="AR131" s="5294">
        <f t="shared" si="42"/>
        <v>26</v>
      </c>
      <c r="AS131" s="1897" t="s">
        <v>3741</v>
      </c>
      <c r="AT131" s="1935" t="s">
        <v>4677</v>
      </c>
      <c r="AU131" s="1936" t="s">
        <v>4678</v>
      </c>
      <c r="AV131" s="1935" t="s">
        <v>4679</v>
      </c>
      <c r="AW131" s="1935" t="s">
        <v>6148</v>
      </c>
      <c r="AX131" s="1935" t="s">
        <v>6149</v>
      </c>
      <c r="AY131" s="1897" t="s">
        <v>3741</v>
      </c>
      <c r="BA131" s="3">
        <v>1</v>
      </c>
    </row>
    <row r="132" spans="2:53" ht="30" customHeight="1">
      <c r="B132" s="1953">
        <v>5</v>
      </c>
      <c r="C132" s="1904" t="s">
        <v>4100</v>
      </c>
      <c r="D132" s="1931" t="s">
        <v>8379</v>
      </c>
      <c r="E132" s="1931" t="s">
        <v>7429</v>
      </c>
      <c r="F132" s="9"/>
      <c r="G132" s="1953"/>
      <c r="H132" s="1904"/>
      <c r="I132" s="1965"/>
      <c r="J132" s="1965"/>
      <c r="L132" s="5294"/>
      <c r="M132" s="172"/>
      <c r="N132" s="1975"/>
      <c r="O132" s="1976"/>
      <c r="P132" s="1975"/>
      <c r="Q132" s="1975"/>
      <c r="R132" s="1975"/>
      <c r="S132" s="9"/>
      <c r="W132" s="9"/>
      <c r="X132" s="5283">
        <f t="shared" si="44"/>
        <v>6</v>
      </c>
      <c r="Y132" s="5284" t="s">
        <v>3841</v>
      </c>
      <c r="Z132" s="1969" t="s">
        <v>5944</v>
      </c>
      <c r="AA132" s="1970" t="s">
        <v>8291</v>
      </c>
      <c r="AB132" s="1969" t="s">
        <v>5945</v>
      </c>
      <c r="AC132" s="1969" t="s">
        <v>5945</v>
      </c>
      <c r="AD132" s="1969" t="s">
        <v>6930</v>
      </c>
      <c r="AE132" s="1969" t="s">
        <v>6931</v>
      </c>
      <c r="AG132" s="5285"/>
      <c r="AH132" s="1946"/>
      <c r="AI132" s="58"/>
      <c r="AJ132" s="1948"/>
      <c r="AK132" s="1948"/>
      <c r="AL132" s="172"/>
      <c r="AM132" s="5294"/>
      <c r="AN132" s="1944"/>
      <c r="AO132" s="1931"/>
      <c r="AP132" s="1931"/>
      <c r="AR132" s="5294">
        <f t="shared" si="42"/>
        <v>27</v>
      </c>
      <c r="AS132" s="1897" t="s">
        <v>3747</v>
      </c>
      <c r="AT132" s="1935" t="s">
        <v>7435</v>
      </c>
      <c r="AU132" s="1936" t="s">
        <v>7436</v>
      </c>
      <c r="AV132" s="1935" t="s">
        <v>8127</v>
      </c>
      <c r="AW132" s="1935" t="s">
        <v>8128</v>
      </c>
      <c r="AX132" s="1935" t="s">
        <v>8129</v>
      </c>
      <c r="AY132" s="1897" t="s">
        <v>3747</v>
      </c>
      <c r="BA132" s="3">
        <v>1</v>
      </c>
    </row>
    <row r="133" spans="2:53" ht="30" customHeight="1">
      <c r="B133" s="1953">
        <v>6</v>
      </c>
      <c r="C133" s="1904" t="s">
        <v>4101</v>
      </c>
      <c r="D133" s="1931" t="s">
        <v>7428</v>
      </c>
      <c r="E133" s="1931" t="s">
        <v>7429</v>
      </c>
      <c r="F133" s="9"/>
      <c r="G133" s="1953"/>
      <c r="H133" s="1904"/>
      <c r="I133" s="1965"/>
      <c r="J133" s="1965"/>
      <c r="L133" s="5294"/>
      <c r="M133" s="172"/>
      <c r="N133" s="1975"/>
      <c r="O133" s="1976"/>
      <c r="P133" s="1975"/>
      <c r="Q133" s="1975"/>
      <c r="R133" s="1975"/>
      <c r="S133" s="9"/>
      <c r="W133" s="9"/>
      <c r="X133" s="5283">
        <f t="shared" si="44"/>
        <v>7</v>
      </c>
      <c r="Y133" s="5284" t="s">
        <v>3845</v>
      </c>
      <c r="Z133" s="1969" t="s">
        <v>5946</v>
      </c>
      <c r="AA133" s="1970" t="s">
        <v>8292</v>
      </c>
      <c r="AB133" s="1969" t="s">
        <v>5947</v>
      </c>
      <c r="AC133" s="1969" t="s">
        <v>5947</v>
      </c>
      <c r="AD133" s="1969" t="s">
        <v>6932</v>
      </c>
      <c r="AE133" s="1969" t="s">
        <v>6933</v>
      </c>
      <c r="AG133" s="5285"/>
      <c r="AH133" s="1946"/>
      <c r="AI133" s="58"/>
      <c r="AJ133" s="1948"/>
      <c r="AK133" s="1948"/>
      <c r="AL133" s="172"/>
      <c r="AM133" s="5294"/>
      <c r="AN133" s="1944"/>
      <c r="AO133" s="1931"/>
      <c r="AP133" s="1931"/>
      <c r="AR133" s="5294">
        <f t="shared" si="42"/>
        <v>28</v>
      </c>
      <c r="AS133" s="1897" t="s">
        <v>4680</v>
      </c>
      <c r="AT133" s="1935" t="s">
        <v>4681</v>
      </c>
      <c r="AU133" s="1936" t="s">
        <v>4682</v>
      </c>
      <c r="AV133" s="1935" t="s">
        <v>4683</v>
      </c>
      <c r="AW133" s="1935" t="s">
        <v>6150</v>
      </c>
      <c r="AX133" s="1935" t="s">
        <v>6151</v>
      </c>
      <c r="AY133" s="1897" t="s">
        <v>4680</v>
      </c>
      <c r="BA133" s="3">
        <v>1</v>
      </c>
    </row>
    <row r="134" spans="2:53" ht="30" customHeight="1">
      <c r="B134" s="1953">
        <v>7</v>
      </c>
      <c r="C134" s="1904" t="s">
        <v>260</v>
      </c>
      <c r="D134" s="1931" t="s">
        <v>7433</v>
      </c>
      <c r="E134" s="1931" t="s">
        <v>1417</v>
      </c>
      <c r="F134" s="9"/>
      <c r="G134" s="1953"/>
      <c r="H134" s="1904"/>
      <c r="I134" s="1965"/>
      <c r="J134" s="1965"/>
      <c r="L134" s="5294"/>
      <c r="M134" s="172"/>
      <c r="N134" s="1975"/>
      <c r="O134" s="1976"/>
      <c r="P134" s="1975"/>
      <c r="Q134" s="1975"/>
      <c r="R134" s="1975"/>
      <c r="S134" s="9"/>
      <c r="W134" s="9"/>
      <c r="X134" s="5283">
        <f t="shared" si="44"/>
        <v>8</v>
      </c>
      <c r="Y134" s="5284" t="s">
        <v>3852</v>
      </c>
      <c r="Z134" s="1969" t="s">
        <v>5948</v>
      </c>
      <c r="AA134" s="1970" t="s">
        <v>8293</v>
      </c>
      <c r="AB134" s="1969" t="s">
        <v>5949</v>
      </c>
      <c r="AC134" s="1969" t="s">
        <v>5949</v>
      </c>
      <c r="AD134" s="1969" t="s">
        <v>6934</v>
      </c>
      <c r="AE134" s="1969" t="s">
        <v>6935</v>
      </c>
      <c r="AG134" s="5285"/>
      <c r="AH134" s="1946"/>
      <c r="AI134" s="58"/>
      <c r="AJ134" s="1948"/>
      <c r="AK134" s="1948"/>
      <c r="AL134" s="172"/>
      <c r="AM134" s="5294"/>
      <c r="AN134" s="1944"/>
      <c r="AO134" s="1931"/>
      <c r="AP134" s="1931"/>
      <c r="AR134" s="5294">
        <f t="shared" si="42"/>
        <v>29</v>
      </c>
      <c r="AS134" s="1897" t="s">
        <v>4684</v>
      </c>
      <c r="AT134" s="1935" t="s">
        <v>4685</v>
      </c>
      <c r="AU134" s="1936" t="s">
        <v>4686</v>
      </c>
      <c r="AV134" s="1935" t="s">
        <v>4687</v>
      </c>
      <c r="AW134" s="1935" t="s">
        <v>6152</v>
      </c>
      <c r="AX134" s="1935" t="s">
        <v>6153</v>
      </c>
      <c r="AY134" s="1897" t="s">
        <v>4684</v>
      </c>
      <c r="BA134" s="3">
        <v>1</v>
      </c>
    </row>
    <row r="135" spans="2:53" ht="30" customHeight="1">
      <c r="B135" s="1953"/>
      <c r="F135" s="9"/>
      <c r="G135" s="1953"/>
      <c r="H135" s="1904"/>
      <c r="I135" s="1965"/>
      <c r="J135" s="1965"/>
      <c r="L135" s="5294"/>
      <c r="M135" s="172"/>
      <c r="N135" s="1975"/>
      <c r="O135" s="1976"/>
      <c r="P135" s="1975"/>
      <c r="Q135" s="1975"/>
      <c r="R135" s="1975"/>
      <c r="S135" s="9"/>
      <c r="W135" s="9"/>
      <c r="X135" s="5283">
        <f t="shared" si="44"/>
        <v>9</v>
      </c>
      <c r="Y135" s="5284" t="s">
        <v>3860</v>
      </c>
      <c r="Z135" s="1969" t="s">
        <v>5950</v>
      </c>
      <c r="AA135" s="1970" t="s">
        <v>8294</v>
      </c>
      <c r="AB135" s="1969" t="s">
        <v>5951</v>
      </c>
      <c r="AC135" s="1969" t="s">
        <v>5951</v>
      </c>
      <c r="AD135" s="1969" t="s">
        <v>6936</v>
      </c>
      <c r="AE135" s="1969" t="s">
        <v>6937</v>
      </c>
      <c r="AG135" s="5285"/>
      <c r="AH135" s="1946"/>
      <c r="AI135" s="58"/>
      <c r="AJ135" s="1948"/>
      <c r="AK135" s="1948"/>
      <c r="AL135" s="172"/>
      <c r="AM135" s="5294"/>
      <c r="AN135" s="1944"/>
      <c r="AO135" s="1931"/>
      <c r="AP135" s="1931"/>
      <c r="AR135" s="5294">
        <f t="shared" si="42"/>
        <v>30</v>
      </c>
      <c r="AS135" s="1897" t="s">
        <v>3762</v>
      </c>
      <c r="AT135" s="1935" t="s">
        <v>1544</v>
      </c>
      <c r="AU135" s="1936" t="s">
        <v>1545</v>
      </c>
      <c r="AV135" s="1935" t="s">
        <v>4688</v>
      </c>
      <c r="AW135" s="1935" t="s">
        <v>6154</v>
      </c>
      <c r="AX135" s="1935" t="s">
        <v>6155</v>
      </c>
      <c r="AY135" s="1897" t="s">
        <v>3762</v>
      </c>
      <c r="BA135" s="3">
        <v>1</v>
      </c>
    </row>
    <row r="136" spans="2:53" ht="30" customHeight="1">
      <c r="B136" s="1953"/>
      <c r="C136" s="1903" t="s">
        <v>7675</v>
      </c>
      <c r="D136" s="1903" t="s">
        <v>7675</v>
      </c>
      <c r="E136" s="1903" t="s">
        <v>7676</v>
      </c>
      <c r="F136" s="9"/>
      <c r="G136" s="1953"/>
      <c r="H136" s="1904"/>
      <c r="I136" s="1965"/>
      <c r="J136" s="1965"/>
      <c r="L136" s="5294"/>
      <c r="M136" s="172"/>
      <c r="N136" s="1975"/>
      <c r="O136" s="1976"/>
      <c r="P136" s="1975"/>
      <c r="Q136" s="1975"/>
      <c r="R136" s="1975"/>
      <c r="S136" s="9"/>
      <c r="W136" s="9"/>
      <c r="X136" s="5283">
        <f t="shared" si="44"/>
        <v>10</v>
      </c>
      <c r="Y136" s="5284" t="s">
        <v>3866</v>
      </c>
      <c r="Z136" s="1969" t="s">
        <v>5952</v>
      </c>
      <c r="AA136" s="1970" t="s">
        <v>8295</v>
      </c>
      <c r="AB136" s="1969" t="s">
        <v>5953</v>
      </c>
      <c r="AC136" s="1969" t="s">
        <v>5953</v>
      </c>
      <c r="AD136" s="1969" t="s">
        <v>6938</v>
      </c>
      <c r="AE136" s="1969" t="s">
        <v>6939</v>
      </c>
      <c r="AG136" s="5285"/>
      <c r="AH136" s="1946"/>
      <c r="AI136" s="58"/>
      <c r="AJ136" s="1948"/>
      <c r="AK136" s="1948"/>
      <c r="AL136" s="172"/>
      <c r="AM136" s="5294"/>
      <c r="AN136" s="1944"/>
      <c r="AO136" s="1931"/>
      <c r="AP136" s="1931"/>
      <c r="AR136" s="5294">
        <f t="shared" si="42"/>
        <v>31</v>
      </c>
      <c r="AS136" s="1897" t="s">
        <v>3768</v>
      </c>
      <c r="AT136" s="1935" t="s">
        <v>4689</v>
      </c>
      <c r="AU136" s="1936" t="s">
        <v>4690</v>
      </c>
      <c r="AV136" s="1935" t="s">
        <v>4691</v>
      </c>
      <c r="AW136" s="1935" t="s">
        <v>6156</v>
      </c>
      <c r="AX136" s="1935" t="s">
        <v>6157</v>
      </c>
      <c r="AY136" s="1897" t="s">
        <v>3768</v>
      </c>
      <c r="BA136" s="3">
        <v>1</v>
      </c>
    </row>
    <row r="137" spans="2:53" ht="30" customHeight="1">
      <c r="B137" s="1953">
        <v>1</v>
      </c>
      <c r="C137" s="1904" t="s">
        <v>4102</v>
      </c>
      <c r="D137" s="1931" t="s">
        <v>8441</v>
      </c>
      <c r="E137" s="1931" t="s">
        <v>8442</v>
      </c>
      <c r="F137" s="9"/>
      <c r="G137" s="1953"/>
      <c r="H137" s="1904"/>
      <c r="I137" s="1965"/>
      <c r="J137" s="1965"/>
      <c r="L137" s="5294"/>
      <c r="M137" s="172"/>
      <c r="N137" s="1975"/>
      <c r="O137" s="1976"/>
      <c r="P137" s="1975"/>
      <c r="Q137" s="1975"/>
      <c r="R137" s="1975"/>
      <c r="S137" s="9"/>
      <c r="W137" s="9"/>
      <c r="X137" s="5283"/>
      <c r="Y137" s="5280" t="s">
        <v>3876</v>
      </c>
      <c r="Z137" s="1933"/>
      <c r="AA137" s="1933"/>
      <c r="AB137" s="1933"/>
      <c r="AC137" s="1933"/>
      <c r="AD137" s="1933"/>
      <c r="AE137" s="1942" t="s">
        <v>3876</v>
      </c>
      <c r="AG137" s="5285"/>
      <c r="AH137" s="1946"/>
      <c r="AI137" s="58"/>
      <c r="AJ137" s="1948"/>
      <c r="AK137" s="1948"/>
      <c r="AL137" s="172"/>
      <c r="AM137" s="5294"/>
      <c r="AN137" s="1944"/>
      <c r="AO137" s="1931"/>
      <c r="AP137" s="1931"/>
      <c r="AR137" s="5294">
        <f t="shared" si="42"/>
        <v>32</v>
      </c>
      <c r="AS137" s="1897" t="s">
        <v>3774</v>
      </c>
      <c r="AT137" s="1935" t="s">
        <v>4692</v>
      </c>
      <c r="AU137" s="1936" t="s">
        <v>4693</v>
      </c>
      <c r="AV137" s="1935" t="s">
        <v>4694</v>
      </c>
      <c r="AW137" s="1935" t="s">
        <v>6158</v>
      </c>
      <c r="AX137" s="1935" t="s">
        <v>6159</v>
      </c>
      <c r="AY137" s="1897" t="s">
        <v>3774</v>
      </c>
      <c r="BA137" s="3">
        <v>1</v>
      </c>
    </row>
    <row r="138" spans="2:53" ht="30" customHeight="1">
      <c r="B138" s="1953"/>
      <c r="C138" s="1904"/>
      <c r="D138" s="1931"/>
      <c r="E138" s="1931"/>
      <c r="F138" s="9"/>
      <c r="G138" s="1953"/>
      <c r="H138" s="1904"/>
      <c r="I138" s="1965"/>
      <c r="J138" s="1965"/>
      <c r="L138" s="5294"/>
      <c r="M138" s="172"/>
      <c r="N138" s="1975"/>
      <c r="O138" s="1976"/>
      <c r="P138" s="1975"/>
      <c r="Q138" s="1975"/>
      <c r="R138" s="1975"/>
      <c r="S138" s="9"/>
      <c r="W138" s="9"/>
      <c r="X138" s="5283">
        <f>X137+1</f>
        <v>1</v>
      </c>
      <c r="Y138" s="5284" t="s">
        <v>7453</v>
      </c>
      <c r="Z138" s="1973" t="s">
        <v>7454</v>
      </c>
      <c r="AA138" s="1973" t="s">
        <v>7455</v>
      </c>
      <c r="AB138" s="1969" t="s">
        <v>7453</v>
      </c>
      <c r="AC138" s="1969" t="s">
        <v>8190</v>
      </c>
      <c r="AD138" s="1969" t="s">
        <v>8191</v>
      </c>
      <c r="AE138" s="1969" t="s">
        <v>8192</v>
      </c>
      <c r="AG138" s="5285"/>
      <c r="AH138" s="1946"/>
      <c r="AI138" s="58"/>
      <c r="AJ138" s="1948"/>
      <c r="AK138" s="1948"/>
      <c r="AL138" s="172"/>
      <c r="AM138" s="5294"/>
      <c r="AN138" s="1944"/>
      <c r="AO138" s="1931"/>
      <c r="AP138" s="1931"/>
      <c r="AR138" s="5294">
        <f t="shared" si="42"/>
        <v>33</v>
      </c>
      <c r="AS138" s="1897" t="s">
        <v>3782</v>
      </c>
      <c r="AT138" s="1935" t="s">
        <v>4695</v>
      </c>
      <c r="AU138" s="1936" t="s">
        <v>4696</v>
      </c>
      <c r="AV138" s="1935" t="s">
        <v>4697</v>
      </c>
      <c r="AW138" s="1935" t="s">
        <v>6160</v>
      </c>
      <c r="AX138" s="1935" t="s">
        <v>6161</v>
      </c>
      <c r="AY138" s="1897" t="s">
        <v>3782</v>
      </c>
      <c r="BA138" s="3">
        <v>1</v>
      </c>
    </row>
    <row r="139" spans="2:53" ht="30" customHeight="1">
      <c r="C139" s="1903" t="s">
        <v>5857</v>
      </c>
      <c r="D139" s="1989" t="s">
        <v>8501</v>
      </c>
      <c r="E139" s="1989" t="s">
        <v>8511</v>
      </c>
      <c r="F139" s="9"/>
      <c r="G139" s="1953"/>
      <c r="H139" s="1904"/>
      <c r="I139" s="1965"/>
      <c r="J139" s="1965"/>
      <c r="L139" s="5294"/>
      <c r="M139" s="172"/>
      <c r="N139" s="1975"/>
      <c r="O139" s="1976"/>
      <c r="P139" s="1975"/>
      <c r="Q139" s="1975"/>
      <c r="R139" s="1975"/>
      <c r="S139" s="9"/>
      <c r="W139" s="9"/>
      <c r="X139" s="5283">
        <f t="shared" ref="X139:X144" si="45">X138+1</f>
        <v>2</v>
      </c>
      <c r="Y139" s="5284" t="s">
        <v>3882</v>
      </c>
      <c r="Z139" s="1969" t="s">
        <v>5954</v>
      </c>
      <c r="AA139" s="1970" t="s">
        <v>8296</v>
      </c>
      <c r="AB139" s="1969" t="s">
        <v>5955</v>
      </c>
      <c r="AC139" s="1969" t="s">
        <v>5955</v>
      </c>
      <c r="AD139" s="1969" t="s">
        <v>6940</v>
      </c>
      <c r="AE139" s="1969" t="s">
        <v>6941</v>
      </c>
      <c r="AG139" s="5285"/>
      <c r="AH139" s="1946"/>
      <c r="AI139" s="58"/>
      <c r="AJ139" s="1948"/>
      <c r="AK139" s="1948"/>
      <c r="AL139" s="172"/>
      <c r="AM139" s="5294"/>
      <c r="AN139" s="1944"/>
      <c r="AO139" s="1931"/>
      <c r="AP139" s="1931"/>
      <c r="AR139" s="5294">
        <f t="shared" si="42"/>
        <v>34</v>
      </c>
      <c r="AS139" s="1897" t="s">
        <v>3789</v>
      </c>
      <c r="AT139" s="1935" t="s">
        <v>4698</v>
      </c>
      <c r="AU139" s="1936" t="s">
        <v>4699</v>
      </c>
      <c r="AV139" s="1935" t="s">
        <v>4700</v>
      </c>
      <c r="AW139" s="1935" t="s">
        <v>6162</v>
      </c>
      <c r="AX139" s="1935" t="s">
        <v>6163</v>
      </c>
      <c r="AY139" s="1897" t="s">
        <v>3789</v>
      </c>
      <c r="BA139" s="3">
        <v>1</v>
      </c>
    </row>
    <row r="140" spans="2:53" ht="30" customHeight="1">
      <c r="C140" s="203"/>
      <c r="D140" s="1948"/>
      <c r="E140" s="1948"/>
      <c r="F140" s="9"/>
      <c r="G140" s="1953"/>
      <c r="H140" s="1904"/>
      <c r="I140" s="1965"/>
      <c r="J140" s="1965"/>
      <c r="L140" s="5294"/>
      <c r="M140" s="172"/>
      <c r="N140" s="1975"/>
      <c r="O140" s="1976"/>
      <c r="P140" s="1975"/>
      <c r="Q140" s="1975"/>
      <c r="R140" s="1975"/>
      <c r="S140" s="9"/>
      <c r="W140" s="9"/>
      <c r="X140" s="5283">
        <f t="shared" si="45"/>
        <v>3</v>
      </c>
      <c r="Y140" s="5284" t="s">
        <v>3887</v>
      </c>
      <c r="Z140" s="1969" t="s">
        <v>5956</v>
      </c>
      <c r="AA140" s="1970" t="s">
        <v>8297</v>
      </c>
      <c r="AB140" s="1969" t="s">
        <v>5957</v>
      </c>
      <c r="AC140" s="1969" t="s">
        <v>5957</v>
      </c>
      <c r="AD140" s="1969" t="s">
        <v>6942</v>
      </c>
      <c r="AE140" s="1969" t="s">
        <v>6943</v>
      </c>
      <c r="AG140" s="5285"/>
      <c r="AH140" s="1946"/>
      <c r="AI140" s="58"/>
      <c r="AJ140" s="1948"/>
      <c r="AK140" s="1948"/>
      <c r="AL140" s="172"/>
      <c r="AM140" s="5294"/>
      <c r="AN140" s="1944"/>
      <c r="AO140" s="1931"/>
      <c r="AP140" s="1931"/>
      <c r="AR140" s="5294">
        <f t="shared" si="42"/>
        <v>35</v>
      </c>
      <c r="AS140" s="1897" t="s">
        <v>3795</v>
      </c>
      <c r="AT140" s="1935" t="s">
        <v>4701</v>
      </c>
      <c r="AU140" s="1936" t="s">
        <v>4702</v>
      </c>
      <c r="AV140" s="1935" t="s">
        <v>4703</v>
      </c>
      <c r="AW140" s="1935" t="s">
        <v>6164</v>
      </c>
      <c r="AX140" s="1935" t="s">
        <v>6165</v>
      </c>
      <c r="AY140" s="1897" t="s">
        <v>3795</v>
      </c>
      <c r="BA140" s="3">
        <v>1</v>
      </c>
    </row>
    <row r="141" spans="2:53" ht="30" customHeight="1">
      <c r="B141" s="1953">
        <v>1</v>
      </c>
      <c r="C141" s="203" t="s">
        <v>8443</v>
      </c>
      <c r="D141" s="1948"/>
      <c r="E141" s="1948"/>
      <c r="F141" s="9"/>
      <c r="G141" s="1953"/>
      <c r="H141" s="1904"/>
      <c r="I141" s="1965"/>
      <c r="J141" s="1965"/>
      <c r="L141" s="5294"/>
      <c r="M141" s="172"/>
      <c r="N141" s="1975"/>
      <c r="O141" s="1976"/>
      <c r="P141" s="1975"/>
      <c r="Q141" s="1975"/>
      <c r="R141" s="1975"/>
      <c r="S141" s="9"/>
      <c r="W141" s="9"/>
      <c r="X141" s="5283">
        <f t="shared" si="45"/>
        <v>4</v>
      </c>
      <c r="Y141" s="5284" t="s">
        <v>3894</v>
      </c>
      <c r="Z141" s="1969" t="s">
        <v>5958</v>
      </c>
      <c r="AA141" s="1970" t="s">
        <v>8298</v>
      </c>
      <c r="AB141" s="1969" t="s">
        <v>5959</v>
      </c>
      <c r="AC141" s="1969" t="s">
        <v>5959</v>
      </c>
      <c r="AD141" s="1969" t="s">
        <v>6944</v>
      </c>
      <c r="AE141" s="1969" t="s">
        <v>6945</v>
      </c>
      <c r="AG141" s="5285"/>
      <c r="AH141" s="1946"/>
      <c r="AI141" s="58"/>
      <c r="AJ141" s="1948"/>
      <c r="AK141" s="1948"/>
      <c r="AL141" s="172"/>
      <c r="AM141" s="5294"/>
      <c r="AN141" s="1944"/>
      <c r="AO141" s="1931"/>
      <c r="AP141" s="1931"/>
      <c r="AR141" s="5294">
        <f t="shared" si="42"/>
        <v>36</v>
      </c>
      <c r="AS141" s="1897" t="s">
        <v>3865</v>
      </c>
      <c r="AT141" s="1935" t="s">
        <v>5795</v>
      </c>
      <c r="AU141" s="1936" t="s">
        <v>5796</v>
      </c>
      <c r="AV141" s="1935" t="s">
        <v>5797</v>
      </c>
      <c r="AW141" s="1935" t="s">
        <v>6801</v>
      </c>
      <c r="AX141" s="1935" t="s">
        <v>6802</v>
      </c>
      <c r="AY141" s="1897" t="s">
        <v>3865</v>
      </c>
      <c r="BA141" s="3">
        <v>1</v>
      </c>
    </row>
    <row r="142" spans="2:53" ht="30" customHeight="1">
      <c r="B142" s="1953">
        <v>2</v>
      </c>
      <c r="C142" s="203" t="s">
        <v>8444</v>
      </c>
      <c r="D142" s="1948"/>
      <c r="E142" s="1948"/>
      <c r="F142" s="9"/>
      <c r="G142" s="1953"/>
      <c r="H142" s="1904"/>
      <c r="I142" s="1965"/>
      <c r="J142" s="1965"/>
      <c r="L142" s="5294"/>
      <c r="M142" s="172"/>
      <c r="N142" s="1975"/>
      <c r="O142" s="1976"/>
      <c r="P142" s="1975"/>
      <c r="Q142" s="1975"/>
      <c r="R142" s="1975"/>
      <c r="S142" s="9"/>
      <c r="W142" s="9"/>
      <c r="X142" s="5283">
        <f t="shared" si="45"/>
        <v>5</v>
      </c>
      <c r="Y142" s="5284" t="s">
        <v>3902</v>
      </c>
      <c r="Z142" s="1969" t="s">
        <v>5960</v>
      </c>
      <c r="AA142" s="1970" t="s">
        <v>8299</v>
      </c>
      <c r="AB142" s="1969" t="s">
        <v>5961</v>
      </c>
      <c r="AC142" s="1969" t="s">
        <v>5961</v>
      </c>
      <c r="AD142" s="1969" t="s">
        <v>6946</v>
      </c>
      <c r="AE142" s="1969" t="s">
        <v>8300</v>
      </c>
      <c r="AG142" s="5285"/>
      <c r="AH142" s="1946"/>
      <c r="AI142" s="58"/>
      <c r="AJ142" s="1948"/>
      <c r="AK142" s="1948"/>
      <c r="AL142" s="172"/>
      <c r="AM142" s="5294"/>
      <c r="AN142" s="1944"/>
      <c r="AO142" s="1931"/>
      <c r="AP142" s="1931"/>
      <c r="AR142" s="5294">
        <f t="shared" si="42"/>
        <v>37</v>
      </c>
      <c r="AS142" s="1897" t="s">
        <v>3802</v>
      </c>
      <c r="AT142" s="1935" t="s">
        <v>4704</v>
      </c>
      <c r="AU142" s="1936" t="s">
        <v>4705</v>
      </c>
      <c r="AV142" s="1935" t="s">
        <v>4706</v>
      </c>
      <c r="AW142" s="1935" t="s">
        <v>6166</v>
      </c>
      <c r="AX142" s="1935" t="s">
        <v>6167</v>
      </c>
      <c r="AY142" s="1897" t="s">
        <v>3802</v>
      </c>
      <c r="BA142" s="3">
        <v>1</v>
      </c>
    </row>
    <row r="143" spans="2:53" ht="30" customHeight="1">
      <c r="B143" s="1953">
        <v>3</v>
      </c>
      <c r="C143" s="203" t="s">
        <v>8445</v>
      </c>
      <c r="D143" s="1948"/>
      <c r="E143" s="1948"/>
      <c r="F143" s="9"/>
      <c r="G143" s="1953"/>
      <c r="H143" s="1904"/>
      <c r="I143" s="1965"/>
      <c r="J143" s="1965"/>
      <c r="L143" s="5294"/>
      <c r="M143" s="172"/>
      <c r="N143" s="1975"/>
      <c r="O143" s="1976"/>
      <c r="P143" s="1975"/>
      <c r="Q143" s="1975"/>
      <c r="R143" s="1975"/>
      <c r="S143" s="9"/>
      <c r="W143" s="9"/>
      <c r="X143" s="5283">
        <f t="shared" si="45"/>
        <v>6</v>
      </c>
      <c r="Y143" s="5284" t="s">
        <v>3908</v>
      </c>
      <c r="Z143" s="1969" t="s">
        <v>5962</v>
      </c>
      <c r="AA143" s="1970" t="s">
        <v>8301</v>
      </c>
      <c r="AB143" s="1969" t="s">
        <v>5963</v>
      </c>
      <c r="AC143" s="1969" t="s">
        <v>5963</v>
      </c>
      <c r="AD143" s="1969" t="s">
        <v>6947</v>
      </c>
      <c r="AE143" s="1969" t="s">
        <v>6948</v>
      </c>
      <c r="AG143" s="5285"/>
      <c r="AH143" s="1946"/>
      <c r="AI143" s="58"/>
      <c r="AJ143" s="1948"/>
      <c r="AK143" s="1948"/>
      <c r="AL143" s="172"/>
      <c r="AM143" s="5294"/>
      <c r="AN143" s="1944"/>
      <c r="AO143" s="1931"/>
      <c r="AP143" s="1931"/>
      <c r="AR143" s="5294">
        <f t="shared" si="42"/>
        <v>38</v>
      </c>
      <c r="AS143" s="1897" t="s">
        <v>3808</v>
      </c>
      <c r="AT143" s="1935" t="s">
        <v>4707</v>
      </c>
      <c r="AU143" s="1936" t="s">
        <v>4708</v>
      </c>
      <c r="AV143" s="1935" t="s">
        <v>4709</v>
      </c>
      <c r="AW143" s="1935" t="s">
        <v>6168</v>
      </c>
      <c r="AX143" s="1935" t="s">
        <v>6169</v>
      </c>
      <c r="AY143" s="1897" t="s">
        <v>3808</v>
      </c>
      <c r="BA143" s="3">
        <v>1</v>
      </c>
    </row>
    <row r="144" spans="2:53" ht="30" customHeight="1">
      <c r="B144" s="1953">
        <v>4</v>
      </c>
      <c r="C144" s="203" t="s">
        <v>8446</v>
      </c>
      <c r="D144" s="1948"/>
      <c r="E144" s="1948"/>
      <c r="F144" s="9"/>
      <c r="G144" s="1953"/>
      <c r="H144" s="1904"/>
      <c r="I144" s="1965"/>
      <c r="J144" s="1965"/>
      <c r="L144" s="5294"/>
      <c r="M144" s="172"/>
      <c r="N144" s="1975"/>
      <c r="O144" s="1976"/>
      <c r="P144" s="1975"/>
      <c r="Q144" s="1975"/>
      <c r="R144" s="1975"/>
      <c r="S144" s="9"/>
      <c r="W144" s="9"/>
      <c r="X144" s="5283">
        <f t="shared" si="45"/>
        <v>7</v>
      </c>
      <c r="Y144" s="5284" t="s">
        <v>3914</v>
      </c>
      <c r="Z144" s="1969" t="s">
        <v>5964</v>
      </c>
      <c r="AA144" s="1970" t="s">
        <v>8302</v>
      </c>
      <c r="AB144" s="1969" t="s">
        <v>5965</v>
      </c>
      <c r="AC144" s="1969" t="s">
        <v>5965</v>
      </c>
      <c r="AD144" s="1969" t="s">
        <v>6949</v>
      </c>
      <c r="AE144" s="1969" t="s">
        <v>6950</v>
      </c>
      <c r="AG144" s="5285"/>
      <c r="AH144" s="1946"/>
      <c r="AI144" s="58"/>
      <c r="AJ144" s="1948"/>
      <c r="AK144" s="1948"/>
      <c r="AL144" s="172"/>
      <c r="AM144" s="5294"/>
      <c r="AN144" s="1944"/>
      <c r="AO144" s="1931"/>
      <c r="AP144" s="1931"/>
      <c r="AR144" s="5294">
        <f t="shared" si="42"/>
        <v>39</v>
      </c>
      <c r="AS144" s="1897" t="s">
        <v>3816</v>
      </c>
      <c r="AT144" s="1935" t="s">
        <v>4710</v>
      </c>
      <c r="AU144" s="1936" t="s">
        <v>4711</v>
      </c>
      <c r="AV144" s="1935" t="s">
        <v>4712</v>
      </c>
      <c r="AW144" s="1935" t="s">
        <v>6170</v>
      </c>
      <c r="AX144" s="1935" t="s">
        <v>6171</v>
      </c>
      <c r="AY144" s="1897" t="s">
        <v>3816</v>
      </c>
      <c r="BA144" s="3">
        <v>1</v>
      </c>
    </row>
    <row r="145" spans="2:53" ht="30" customHeight="1">
      <c r="B145" s="1953">
        <v>5</v>
      </c>
      <c r="C145" s="203" t="s">
        <v>8447</v>
      </c>
      <c r="D145" s="1948"/>
      <c r="E145" s="1948"/>
      <c r="F145" s="9"/>
      <c r="G145" s="1953"/>
      <c r="H145" s="1904"/>
      <c r="I145" s="1965"/>
      <c r="J145" s="1965"/>
      <c r="L145" s="5294"/>
      <c r="M145" s="172"/>
      <c r="N145" s="1975"/>
      <c r="O145" s="1976"/>
      <c r="P145" s="1975"/>
      <c r="Q145" s="1975"/>
      <c r="R145" s="1975"/>
      <c r="S145" s="9"/>
      <c r="W145" s="9"/>
      <c r="X145" s="5283"/>
      <c r="Y145" s="5280" t="s">
        <v>3565</v>
      </c>
      <c r="Z145" s="1933"/>
      <c r="AA145" s="1933"/>
      <c r="AB145" s="1933"/>
      <c r="AC145" s="1933"/>
      <c r="AD145" s="1933"/>
      <c r="AE145" s="1942" t="s">
        <v>3565</v>
      </c>
      <c r="AG145" s="5285"/>
      <c r="AH145" s="1946"/>
      <c r="AI145" s="58"/>
      <c r="AJ145" s="1948"/>
      <c r="AK145" s="1948"/>
      <c r="AL145" s="172"/>
      <c r="AM145" s="5294"/>
      <c r="AN145" s="1944"/>
      <c r="AO145" s="1931"/>
      <c r="AP145" s="1931"/>
      <c r="AR145" s="5294">
        <f t="shared" si="42"/>
        <v>40</v>
      </c>
      <c r="AS145" s="1897" t="s">
        <v>3825</v>
      </c>
      <c r="AT145" s="1935" t="s">
        <v>4713</v>
      </c>
      <c r="AU145" s="1936" t="s">
        <v>4714</v>
      </c>
      <c r="AV145" s="1935" t="s">
        <v>4715</v>
      </c>
      <c r="AW145" s="1935" t="s">
        <v>6172</v>
      </c>
      <c r="AX145" s="1935" t="s">
        <v>6173</v>
      </c>
      <c r="AY145" s="1897" t="s">
        <v>3825</v>
      </c>
      <c r="BA145" s="3">
        <v>1</v>
      </c>
    </row>
    <row r="146" spans="2:53" ht="30" customHeight="1">
      <c r="B146" s="1953">
        <v>6</v>
      </c>
      <c r="C146" s="203" t="s">
        <v>8448</v>
      </c>
      <c r="D146" s="1948"/>
      <c r="E146" s="1948"/>
      <c r="F146" s="9"/>
      <c r="G146" s="1953"/>
      <c r="H146" s="1904"/>
      <c r="I146" s="1965"/>
      <c r="J146" s="1965"/>
      <c r="L146" s="5294"/>
      <c r="M146" s="172"/>
      <c r="N146" s="1975"/>
      <c r="O146" s="1976"/>
      <c r="P146" s="1975"/>
      <c r="Q146" s="1975"/>
      <c r="R146" s="1975"/>
      <c r="S146" s="9"/>
      <c r="W146" s="9"/>
      <c r="X146" s="5283">
        <f>X145+1</f>
        <v>1</v>
      </c>
      <c r="Y146" s="5284" t="s">
        <v>3936</v>
      </c>
      <c r="Z146" s="1969" t="s">
        <v>5969</v>
      </c>
      <c r="AA146" s="1970" t="s">
        <v>8303</v>
      </c>
      <c r="AB146" s="1969" t="s">
        <v>5970</v>
      </c>
      <c r="AC146" s="1969" t="s">
        <v>5970</v>
      </c>
      <c r="AD146" s="1969" t="s">
        <v>6953</v>
      </c>
      <c r="AE146" s="1969" t="s">
        <v>6954</v>
      </c>
      <c r="AG146" s="5285"/>
      <c r="AH146" s="1946"/>
      <c r="AI146" s="58"/>
      <c r="AJ146" s="1948"/>
      <c r="AK146" s="1948"/>
      <c r="AL146" s="172"/>
      <c r="AM146" s="5294"/>
      <c r="AN146" s="1944"/>
      <c r="AO146" s="1931"/>
      <c r="AP146" s="1931"/>
      <c r="AR146" s="5294">
        <f t="shared" si="42"/>
        <v>41</v>
      </c>
      <c r="AS146" s="1897" t="s">
        <v>3831</v>
      </c>
      <c r="AT146" s="1935" t="s">
        <v>4716</v>
      </c>
      <c r="AU146" s="1936" t="s">
        <v>4717</v>
      </c>
      <c r="AV146" s="1935" t="s">
        <v>4718</v>
      </c>
      <c r="AW146" s="1935" t="s">
        <v>6174</v>
      </c>
      <c r="AX146" s="1935" t="s">
        <v>6175</v>
      </c>
      <c r="AY146" s="1897" t="s">
        <v>3831</v>
      </c>
      <c r="BA146" s="3">
        <v>1</v>
      </c>
    </row>
    <row r="147" spans="2:53" ht="30" customHeight="1">
      <c r="B147" s="1953">
        <v>7</v>
      </c>
      <c r="C147" s="203" t="s">
        <v>8449</v>
      </c>
      <c r="D147" s="1948"/>
      <c r="E147" s="1948"/>
      <c r="F147" s="9"/>
      <c r="G147" s="1953"/>
      <c r="H147" s="1904"/>
      <c r="I147" s="1965"/>
      <c r="J147" s="1965"/>
      <c r="L147" s="5294"/>
      <c r="M147" s="172"/>
      <c r="N147" s="1975"/>
      <c r="O147" s="1976"/>
      <c r="P147" s="1975"/>
      <c r="Q147" s="1975"/>
      <c r="R147" s="1975"/>
      <c r="S147" s="9"/>
      <c r="W147" s="9"/>
      <c r="X147" s="5283"/>
      <c r="Y147" s="5280" t="s">
        <v>3736</v>
      </c>
      <c r="Z147" s="1933"/>
      <c r="AA147" s="1933"/>
      <c r="AB147" s="1933"/>
      <c r="AC147" s="1933"/>
      <c r="AD147" s="1933"/>
      <c r="AE147" s="1942" t="s">
        <v>3736</v>
      </c>
      <c r="AG147" s="5285"/>
      <c r="AH147" s="1946"/>
      <c r="AI147" s="58"/>
      <c r="AJ147" s="1948"/>
      <c r="AK147" s="1948"/>
      <c r="AL147" s="172"/>
      <c r="AM147" s="5294"/>
      <c r="AN147" s="1944"/>
      <c r="AO147" s="1931"/>
      <c r="AP147" s="1931"/>
      <c r="AR147" s="5294">
        <f t="shared" si="42"/>
        <v>42</v>
      </c>
      <c r="AS147" s="1897" t="s">
        <v>3838</v>
      </c>
      <c r="AT147" s="1935" t="s">
        <v>4719</v>
      </c>
      <c r="AU147" s="1936" t="s">
        <v>4720</v>
      </c>
      <c r="AV147" s="1935" t="s">
        <v>4721</v>
      </c>
      <c r="AW147" s="1935" t="s">
        <v>6176</v>
      </c>
      <c r="AX147" s="1935" t="s">
        <v>6177</v>
      </c>
      <c r="AY147" s="1897" t="s">
        <v>3838</v>
      </c>
      <c r="BA147" s="3">
        <v>1</v>
      </c>
    </row>
    <row r="148" spans="2:53" ht="30" customHeight="1">
      <c r="B148" s="1953"/>
      <c r="C148" s="203"/>
      <c r="D148" s="1948"/>
      <c r="E148" s="1948"/>
      <c r="F148" s="9"/>
      <c r="G148" s="1953"/>
      <c r="H148" s="1904"/>
      <c r="I148" s="1965"/>
      <c r="J148" s="1965"/>
      <c r="L148" s="5294"/>
      <c r="M148" s="172"/>
      <c r="N148" s="1975"/>
      <c r="O148" s="1976"/>
      <c r="P148" s="1975"/>
      <c r="Q148" s="1975"/>
      <c r="R148" s="1975"/>
      <c r="S148" s="9"/>
      <c r="W148" s="9"/>
      <c r="X148" s="5283">
        <f>X147+1</f>
        <v>1</v>
      </c>
      <c r="Y148" s="5284" t="s">
        <v>3959</v>
      </c>
      <c r="Z148" s="1969" t="s">
        <v>5487</v>
      </c>
      <c r="AA148" s="1970" t="s">
        <v>8304</v>
      </c>
      <c r="AB148" s="1969" t="s">
        <v>8305</v>
      </c>
      <c r="AC148" s="1969" t="s">
        <v>8306</v>
      </c>
      <c r="AD148" s="1969" t="s">
        <v>8307</v>
      </c>
      <c r="AE148" s="1969" t="s">
        <v>8308</v>
      </c>
      <c r="AG148" s="5285"/>
      <c r="AH148" s="1946"/>
      <c r="AI148" s="58"/>
      <c r="AJ148" s="1948"/>
      <c r="AK148" s="1948"/>
      <c r="AL148" s="172"/>
      <c r="AM148" s="5294"/>
      <c r="AN148" s="1944"/>
      <c r="AO148" s="1931"/>
      <c r="AP148" s="1931"/>
      <c r="AR148" s="5294">
        <f t="shared" si="42"/>
        <v>43</v>
      </c>
      <c r="AS148" s="1897" t="s">
        <v>3842</v>
      </c>
      <c r="AT148" s="1935" t="s">
        <v>4722</v>
      </c>
      <c r="AU148" s="1936" t="s">
        <v>4723</v>
      </c>
      <c r="AV148" s="1935" t="s">
        <v>4724</v>
      </c>
      <c r="AW148" s="1935" t="s">
        <v>6178</v>
      </c>
      <c r="AX148" s="1935" t="s">
        <v>6179</v>
      </c>
      <c r="AY148" s="1897" t="s">
        <v>3842</v>
      </c>
      <c r="BA148" s="3">
        <v>1</v>
      </c>
    </row>
    <row r="149" spans="2:53" ht="30" customHeight="1">
      <c r="B149" s="1953"/>
      <c r="C149" s="1903" t="s">
        <v>5858</v>
      </c>
      <c r="D149" s="1989" t="s">
        <v>8502</v>
      </c>
      <c r="E149" s="1989" t="s">
        <v>8512</v>
      </c>
      <c r="F149" s="9"/>
      <c r="G149" s="1953"/>
      <c r="H149" s="1904"/>
      <c r="I149" s="1965"/>
      <c r="J149" s="1965"/>
      <c r="L149" s="5294"/>
      <c r="M149" s="172"/>
      <c r="N149" s="1975"/>
      <c r="O149" s="1976"/>
      <c r="P149" s="1975"/>
      <c r="Q149" s="1975"/>
      <c r="R149" s="1975"/>
      <c r="S149" s="9"/>
      <c r="W149" s="9"/>
      <c r="X149" s="5283"/>
      <c r="Y149" s="1967"/>
      <c r="Z149" s="1969"/>
      <c r="AA149" s="1970"/>
      <c r="AB149" s="1969"/>
      <c r="AC149" s="1969"/>
      <c r="AD149" s="1969"/>
      <c r="AE149" s="1969"/>
      <c r="AG149" s="5285"/>
      <c r="AH149" s="1946"/>
      <c r="AI149" s="58"/>
      <c r="AJ149" s="1948"/>
      <c r="AK149" s="1948"/>
      <c r="AL149" s="172"/>
      <c r="AM149" s="5294"/>
      <c r="AN149" s="1944"/>
      <c r="AO149" s="1931"/>
      <c r="AP149" s="1931"/>
      <c r="AR149" s="5294">
        <f t="shared" si="42"/>
        <v>44</v>
      </c>
      <c r="AS149" s="1897" t="s">
        <v>3847</v>
      </c>
      <c r="AT149" s="1935" t="s">
        <v>4725</v>
      </c>
      <c r="AU149" s="1936" t="s">
        <v>4726</v>
      </c>
      <c r="AV149" s="1935" t="s">
        <v>4727</v>
      </c>
      <c r="AW149" s="1935" t="s">
        <v>5526</v>
      </c>
      <c r="AX149" s="1935" t="s">
        <v>5527</v>
      </c>
      <c r="AY149" s="1897" t="s">
        <v>3847</v>
      </c>
      <c r="BA149" s="3">
        <v>1</v>
      </c>
    </row>
    <row r="150" spans="2:53" ht="30" customHeight="1">
      <c r="B150" s="1953"/>
      <c r="C150" s="203"/>
      <c r="D150" s="1948"/>
      <c r="E150" s="1948"/>
      <c r="F150" s="9"/>
      <c r="G150" s="1953"/>
      <c r="H150" s="1904"/>
      <c r="I150" s="1965"/>
      <c r="J150" s="1965"/>
      <c r="L150" s="5294"/>
      <c r="M150" s="172"/>
      <c r="N150" s="1975"/>
      <c r="O150" s="1976"/>
      <c r="P150" s="1975"/>
      <c r="Q150" s="1975"/>
      <c r="R150" s="1975"/>
      <c r="S150" s="9"/>
      <c r="W150" s="9"/>
      <c r="X150" s="5283"/>
      <c r="Y150" s="1967"/>
      <c r="Z150" s="1969"/>
      <c r="AA150" s="1970"/>
      <c r="AB150" s="1969"/>
      <c r="AC150" s="1969"/>
      <c r="AD150" s="1969"/>
      <c r="AE150" s="1969"/>
      <c r="AG150" s="5285"/>
      <c r="AH150" s="1946"/>
      <c r="AI150" s="58"/>
      <c r="AJ150" s="1948"/>
      <c r="AK150" s="1948"/>
      <c r="AL150" s="172"/>
      <c r="AM150" s="5294"/>
      <c r="AN150" s="1944"/>
      <c r="AO150" s="1931"/>
      <c r="AP150" s="1931"/>
      <c r="AR150" s="5294">
        <f t="shared" si="42"/>
        <v>45</v>
      </c>
      <c r="AS150" s="1897" t="s">
        <v>7499</v>
      </c>
      <c r="AT150" s="1935" t="s">
        <v>7500</v>
      </c>
      <c r="AU150" s="1936" t="s">
        <v>7501</v>
      </c>
      <c r="AV150" s="1935" t="s">
        <v>8130</v>
      </c>
      <c r="AW150" s="1935" t="s">
        <v>8131</v>
      </c>
      <c r="AX150" s="1935" t="s">
        <v>8132</v>
      </c>
      <c r="AY150" s="1897" t="s">
        <v>7499</v>
      </c>
      <c r="BA150" s="3">
        <v>1</v>
      </c>
    </row>
    <row r="151" spans="2:53" ht="30" customHeight="1">
      <c r="B151" s="1953">
        <v>1</v>
      </c>
      <c r="C151" s="203" t="s">
        <v>8450</v>
      </c>
      <c r="D151" s="1948"/>
      <c r="E151" s="1948"/>
      <c r="F151" s="9"/>
      <c r="G151" s="1953"/>
      <c r="H151" s="1904"/>
      <c r="I151" s="1965"/>
      <c r="J151" s="1965"/>
      <c r="L151" s="5294"/>
      <c r="M151" s="172"/>
      <c r="N151" s="1975"/>
      <c r="O151" s="1976"/>
      <c r="P151" s="1975"/>
      <c r="Q151" s="1975"/>
      <c r="R151" s="1975"/>
      <c r="S151" s="9"/>
      <c r="W151" s="9"/>
      <c r="X151" s="5283"/>
      <c r="Y151" s="1967"/>
      <c r="Z151" s="1969"/>
      <c r="AA151" s="1970"/>
      <c r="AB151" s="1969"/>
      <c r="AC151" s="1969"/>
      <c r="AD151" s="1969"/>
      <c r="AE151" s="1969"/>
      <c r="AG151" s="5285"/>
      <c r="AH151" s="1946"/>
      <c r="AI151" s="58"/>
      <c r="AJ151" s="1948"/>
      <c r="AK151" s="1948"/>
      <c r="AL151" s="172"/>
      <c r="AM151" s="5294"/>
      <c r="AN151" s="1944"/>
      <c r="AO151" s="1931"/>
      <c r="AP151" s="1931"/>
      <c r="AR151" s="5294">
        <f t="shared" si="42"/>
        <v>46</v>
      </c>
      <c r="AS151" s="1897" t="s">
        <v>3856</v>
      </c>
      <c r="AT151" s="1935" t="s">
        <v>4728</v>
      </c>
      <c r="AU151" s="1936" t="s">
        <v>4729</v>
      </c>
      <c r="AV151" s="1935" t="s">
        <v>4730</v>
      </c>
      <c r="AW151" s="1935" t="s">
        <v>6180</v>
      </c>
      <c r="AX151" s="1935" t="s">
        <v>6181</v>
      </c>
      <c r="AY151" s="1897" t="s">
        <v>3856</v>
      </c>
      <c r="BA151" s="3">
        <v>1</v>
      </c>
    </row>
    <row r="152" spans="2:53" ht="30" customHeight="1">
      <c r="B152" s="1953">
        <v>2</v>
      </c>
      <c r="C152" s="203" t="s">
        <v>8451</v>
      </c>
      <c r="D152" s="1948"/>
      <c r="E152" s="1948"/>
      <c r="F152" s="9"/>
      <c r="G152" s="1953"/>
      <c r="H152" s="1904"/>
      <c r="I152" s="1965"/>
      <c r="J152" s="1965"/>
      <c r="L152" s="5294"/>
      <c r="M152" s="172"/>
      <c r="N152" s="1975"/>
      <c r="O152" s="1976"/>
      <c r="P152" s="1975"/>
      <c r="Q152" s="1975"/>
      <c r="R152" s="1975"/>
      <c r="S152" s="9"/>
      <c r="W152" s="9"/>
      <c r="X152" s="5283"/>
      <c r="Y152" s="1967"/>
      <c r="Z152" s="1969"/>
      <c r="AA152" s="1970"/>
      <c r="AB152" s="1969"/>
      <c r="AC152" s="1969"/>
      <c r="AD152" s="1969"/>
      <c r="AE152" s="1969"/>
      <c r="AG152" s="5285"/>
      <c r="AH152" s="1946"/>
      <c r="AI152" s="58"/>
      <c r="AJ152" s="1948"/>
      <c r="AK152" s="1948"/>
      <c r="AL152" s="172"/>
      <c r="AM152" s="5294"/>
      <c r="AN152" s="1944"/>
      <c r="AO152" s="1931"/>
      <c r="AP152" s="1931"/>
      <c r="AR152" s="5294">
        <f t="shared" si="42"/>
        <v>47</v>
      </c>
      <c r="AS152" s="1897" t="s">
        <v>3862</v>
      </c>
      <c r="AT152" s="1935" t="s">
        <v>4731</v>
      </c>
      <c r="AU152" s="1936" t="s">
        <v>4732</v>
      </c>
      <c r="AV152" s="1935" t="s">
        <v>4733</v>
      </c>
      <c r="AW152" s="1935" t="s">
        <v>6182</v>
      </c>
      <c r="AX152" s="1935" t="s">
        <v>5528</v>
      </c>
      <c r="AY152" s="1897" t="s">
        <v>3862</v>
      </c>
      <c r="BA152" s="3">
        <v>1</v>
      </c>
    </row>
    <row r="153" spans="2:53" ht="30" customHeight="1">
      <c r="B153" s="1953">
        <v>3</v>
      </c>
      <c r="C153" s="203" t="s">
        <v>8452</v>
      </c>
      <c r="D153" s="1948"/>
      <c r="E153" s="1948"/>
      <c r="F153" s="9"/>
      <c r="G153" s="1953"/>
      <c r="H153" s="1904"/>
      <c r="I153" s="1965"/>
      <c r="J153" s="1965"/>
      <c r="L153" s="5294"/>
      <c r="M153" s="172"/>
      <c r="N153" s="1975"/>
      <c r="O153" s="1976"/>
      <c r="P153" s="1975"/>
      <c r="Q153" s="1975"/>
      <c r="R153" s="1975"/>
      <c r="S153" s="9"/>
      <c r="W153" s="9"/>
      <c r="X153" s="5283"/>
      <c r="Y153" s="1967"/>
      <c r="Z153" s="1969"/>
      <c r="AA153" s="1970"/>
      <c r="AB153" s="1969"/>
      <c r="AC153" s="1969"/>
      <c r="AD153" s="1969"/>
      <c r="AE153" s="1969"/>
      <c r="AG153" s="5285"/>
      <c r="AH153" s="1946"/>
      <c r="AI153" s="58"/>
      <c r="AJ153" s="1948"/>
      <c r="AK153" s="1948"/>
      <c r="AL153" s="172"/>
      <c r="AM153" s="5294"/>
      <c r="AN153" s="1944"/>
      <c r="AO153" s="1931"/>
      <c r="AP153" s="1931"/>
      <c r="AR153" s="5294">
        <f t="shared" si="42"/>
        <v>48</v>
      </c>
      <c r="AS153" s="1897" t="s">
        <v>3868</v>
      </c>
      <c r="AT153" s="1935" t="s">
        <v>4734</v>
      </c>
      <c r="AU153" s="1936" t="s">
        <v>4735</v>
      </c>
      <c r="AV153" s="1935" t="s">
        <v>4736</v>
      </c>
      <c r="AW153" s="1935" t="s">
        <v>6183</v>
      </c>
      <c r="AX153" s="1935" t="s">
        <v>6184</v>
      </c>
      <c r="AY153" s="1897" t="s">
        <v>3868</v>
      </c>
      <c r="BA153" s="3">
        <v>1</v>
      </c>
    </row>
    <row r="154" spans="2:53" ht="30" customHeight="1">
      <c r="B154" s="1953">
        <v>4</v>
      </c>
      <c r="C154" s="203" t="s">
        <v>8453</v>
      </c>
      <c r="D154" s="1948"/>
      <c r="E154" s="1948"/>
      <c r="F154" s="9"/>
      <c r="G154" s="1953"/>
      <c r="H154" s="1904"/>
      <c r="I154" s="1965"/>
      <c r="J154" s="1965"/>
      <c r="L154" s="5294"/>
      <c r="M154" s="172"/>
      <c r="N154" s="1975"/>
      <c r="O154" s="1976"/>
      <c r="P154" s="1975"/>
      <c r="Q154" s="1975"/>
      <c r="R154" s="1975"/>
      <c r="S154" s="9"/>
      <c r="W154" s="9"/>
      <c r="X154" s="5283"/>
      <c r="Y154" s="1967"/>
      <c r="Z154" s="1969"/>
      <c r="AA154" s="1970"/>
      <c r="AB154" s="1969"/>
      <c r="AC154" s="1969"/>
      <c r="AD154" s="1969"/>
      <c r="AE154" s="1969"/>
      <c r="AG154" s="5285"/>
      <c r="AH154" s="1946"/>
      <c r="AI154" s="58"/>
      <c r="AJ154" s="1948"/>
      <c r="AK154" s="1948"/>
      <c r="AL154" s="172"/>
      <c r="AM154" s="5294"/>
      <c r="AN154" s="1944"/>
      <c r="AO154" s="1931"/>
      <c r="AP154" s="1931"/>
      <c r="AR154" s="5294">
        <f t="shared" si="42"/>
        <v>49</v>
      </c>
      <c r="AS154" s="1897" t="s">
        <v>3873</v>
      </c>
      <c r="AT154" s="1935" t="s">
        <v>4737</v>
      </c>
      <c r="AU154" s="1936" t="s">
        <v>4738</v>
      </c>
      <c r="AV154" s="1935" t="s">
        <v>4739</v>
      </c>
      <c r="AW154" s="1935" t="s">
        <v>6185</v>
      </c>
      <c r="AX154" s="1935" t="s">
        <v>6186</v>
      </c>
      <c r="AY154" s="1897" t="s">
        <v>3873</v>
      </c>
      <c r="BA154" s="3">
        <v>1</v>
      </c>
    </row>
    <row r="155" spans="2:53" ht="30" customHeight="1">
      <c r="B155" s="1953">
        <v>5</v>
      </c>
      <c r="C155" s="203" t="s">
        <v>8454</v>
      </c>
      <c r="D155" s="1948"/>
      <c r="E155" s="1948"/>
      <c r="F155" s="9"/>
      <c r="G155" s="1953"/>
      <c r="H155" s="1904"/>
      <c r="I155" s="1965"/>
      <c r="J155" s="1965"/>
      <c r="L155" s="5294"/>
      <c r="M155" s="172"/>
      <c r="N155" s="1975"/>
      <c r="O155" s="1976"/>
      <c r="P155" s="1975"/>
      <c r="Q155" s="1975"/>
      <c r="R155" s="1975"/>
      <c r="S155" s="9"/>
      <c r="W155" s="9"/>
      <c r="X155" s="5283"/>
      <c r="Y155" s="1967"/>
      <c r="Z155" s="1969"/>
      <c r="AA155" s="1970"/>
      <c r="AB155" s="1969"/>
      <c r="AC155" s="1969"/>
      <c r="AD155" s="1969"/>
      <c r="AE155" s="1969"/>
      <c r="AG155" s="5285"/>
      <c r="AH155" s="1946"/>
      <c r="AI155" s="58"/>
      <c r="AJ155" s="1948"/>
      <c r="AK155" s="1948"/>
      <c r="AL155" s="172"/>
      <c r="AM155" s="5294"/>
      <c r="AN155" s="1944"/>
      <c r="AO155" s="1931"/>
      <c r="AP155" s="1931"/>
      <c r="AR155" s="5294">
        <f t="shared" si="42"/>
        <v>50</v>
      </c>
      <c r="AS155" s="1897" t="s">
        <v>7502</v>
      </c>
      <c r="AT155" s="1935" t="s">
        <v>7503</v>
      </c>
      <c r="AU155" s="1936" t="s">
        <v>7504</v>
      </c>
      <c r="AV155" s="1935" t="s">
        <v>8133</v>
      </c>
      <c r="AW155" s="1935" t="s">
        <v>8134</v>
      </c>
      <c r="AX155" s="1935" t="s">
        <v>8135</v>
      </c>
      <c r="AY155" s="1897" t="s">
        <v>7502</v>
      </c>
      <c r="BA155" s="3">
        <v>1</v>
      </c>
    </row>
    <row r="156" spans="2:53" ht="30" customHeight="1">
      <c r="B156" s="1953">
        <v>6</v>
      </c>
      <c r="C156" s="203" t="s">
        <v>8455</v>
      </c>
      <c r="D156" s="1948"/>
      <c r="E156" s="1948"/>
      <c r="F156" s="9"/>
      <c r="G156" s="1953"/>
      <c r="H156" s="1904"/>
      <c r="I156" s="1965"/>
      <c r="J156" s="1965"/>
      <c r="L156" s="5294"/>
      <c r="M156" s="172"/>
      <c r="N156" s="1975"/>
      <c r="O156" s="1976"/>
      <c r="P156" s="1975"/>
      <c r="Q156" s="1975"/>
      <c r="R156" s="1975"/>
      <c r="S156" s="9"/>
      <c r="W156" s="9"/>
      <c r="X156" s="5283"/>
      <c r="Y156" s="1967"/>
      <c r="Z156" s="1969"/>
      <c r="AA156" s="1970"/>
      <c r="AB156" s="1969"/>
      <c r="AC156" s="1969"/>
      <c r="AD156" s="1969"/>
      <c r="AE156" s="1969"/>
      <c r="AG156" s="5285"/>
      <c r="AH156" s="1946"/>
      <c r="AI156" s="58"/>
      <c r="AJ156" s="1948"/>
      <c r="AK156" s="1948"/>
      <c r="AL156" s="172"/>
      <c r="AM156" s="5294"/>
      <c r="AN156" s="1944"/>
      <c r="AO156" s="1931"/>
      <c r="AP156" s="1931"/>
      <c r="AR156" s="5275"/>
      <c r="AS156" s="1940" t="s">
        <v>3754</v>
      </c>
      <c r="AT156" s="1933"/>
      <c r="AU156" s="1933"/>
      <c r="AV156" s="1933"/>
      <c r="AW156" s="1932"/>
      <c r="AX156" s="1932"/>
      <c r="AY156" s="1940" t="s">
        <v>3754</v>
      </c>
      <c r="BA156" s="3">
        <v>1</v>
      </c>
    </row>
    <row r="157" spans="2:53" ht="30" customHeight="1">
      <c r="B157" s="1953">
        <v>7</v>
      </c>
      <c r="C157" s="203" t="s">
        <v>8456</v>
      </c>
      <c r="D157" s="1948"/>
      <c r="E157" s="1948"/>
      <c r="F157" s="9"/>
      <c r="G157" s="1953"/>
      <c r="H157" s="1904"/>
      <c r="I157" s="1965"/>
      <c r="J157" s="1965"/>
      <c r="L157" s="5294"/>
      <c r="M157" s="172"/>
      <c r="N157" s="1975"/>
      <c r="O157" s="1976"/>
      <c r="P157" s="1975"/>
      <c r="Q157" s="1975"/>
      <c r="R157" s="1975"/>
      <c r="S157" s="9"/>
      <c r="W157" s="9"/>
      <c r="X157" s="5283"/>
      <c r="Y157" s="1967"/>
      <c r="Z157" s="1969"/>
      <c r="AA157" s="1970"/>
      <c r="AB157" s="1969"/>
      <c r="AC157" s="1969"/>
      <c r="AD157" s="1969"/>
      <c r="AE157" s="1969"/>
      <c r="AG157" s="5285"/>
      <c r="AH157" s="1946"/>
      <c r="AI157" s="58"/>
      <c r="AJ157" s="1948"/>
      <c r="AK157" s="1948"/>
      <c r="AL157" s="172"/>
      <c r="AM157" s="5294"/>
      <c r="AN157" s="1944"/>
      <c r="AO157" s="1931"/>
      <c r="AP157" s="1931"/>
      <c r="AR157" s="5294">
        <v>1</v>
      </c>
      <c r="AS157" s="1897" t="s">
        <v>4740</v>
      </c>
      <c r="AT157" s="1935" t="s">
        <v>4741</v>
      </c>
      <c r="AU157" s="1935" t="s">
        <v>4742</v>
      </c>
      <c r="AV157" s="1935" t="s">
        <v>4743</v>
      </c>
      <c r="AW157" s="1935" t="s">
        <v>5529</v>
      </c>
      <c r="AX157" s="1935" t="s">
        <v>5530</v>
      </c>
      <c r="AY157" s="1897" t="s">
        <v>4740</v>
      </c>
      <c r="BA157" s="3">
        <v>1</v>
      </c>
    </row>
    <row r="158" spans="2:53" ht="30" customHeight="1">
      <c r="B158" s="1953">
        <v>8</v>
      </c>
      <c r="C158" s="203" t="s">
        <v>8457</v>
      </c>
      <c r="D158" s="1948"/>
      <c r="E158" s="1948"/>
      <c r="F158" s="9"/>
      <c r="G158" s="1953"/>
      <c r="H158" s="1904"/>
      <c r="I158" s="1965"/>
      <c r="J158" s="1965"/>
      <c r="L158" s="5294"/>
      <c r="M158" s="172"/>
      <c r="N158" s="1975"/>
      <c r="O158" s="1976"/>
      <c r="P158" s="1975"/>
      <c r="Q158" s="1975"/>
      <c r="R158" s="1975"/>
      <c r="S158" s="9"/>
      <c r="W158" s="9"/>
      <c r="X158" s="5283"/>
      <c r="Y158" s="1967"/>
      <c r="Z158" s="1969"/>
      <c r="AA158" s="1970"/>
      <c r="AB158" s="1969"/>
      <c r="AC158" s="1969"/>
      <c r="AD158" s="1969"/>
      <c r="AE158" s="1969"/>
      <c r="AG158" s="5285"/>
      <c r="AH158" s="1946"/>
      <c r="AI158" s="58"/>
      <c r="AJ158" s="1948"/>
      <c r="AK158" s="1948"/>
      <c r="AL158" s="172"/>
      <c r="AM158" s="5294"/>
      <c r="AN158" s="1944"/>
      <c r="AO158" s="1931"/>
      <c r="AP158" s="1931"/>
      <c r="AR158" s="5294">
        <f>AR157+1</f>
        <v>2</v>
      </c>
      <c r="AS158" s="1897" t="s">
        <v>4744</v>
      </c>
      <c r="AT158" s="1935" t="s">
        <v>4745</v>
      </c>
      <c r="AU158" s="1935" t="s">
        <v>4746</v>
      </c>
      <c r="AV158" s="1935" t="s">
        <v>4747</v>
      </c>
      <c r="AW158" s="1935" t="s">
        <v>5531</v>
      </c>
      <c r="AX158" s="1935" t="s">
        <v>6187</v>
      </c>
      <c r="AY158" s="1897" t="s">
        <v>4744</v>
      </c>
      <c r="BA158" s="3">
        <v>1</v>
      </c>
    </row>
    <row r="159" spans="2:53" ht="30" customHeight="1">
      <c r="B159" s="1953">
        <v>9</v>
      </c>
      <c r="C159" s="203" t="s">
        <v>8458</v>
      </c>
      <c r="D159" s="1948"/>
      <c r="E159" s="1948"/>
      <c r="F159" s="9"/>
      <c r="G159" s="1953"/>
      <c r="H159" s="1904"/>
      <c r="I159" s="1965"/>
      <c r="J159" s="1965"/>
      <c r="L159" s="5294"/>
      <c r="M159" s="172"/>
      <c r="N159" s="1975"/>
      <c r="O159" s="1976"/>
      <c r="P159" s="1975"/>
      <c r="Q159" s="1975"/>
      <c r="R159" s="1975"/>
      <c r="S159" s="9"/>
      <c r="W159" s="9"/>
      <c r="X159" s="5283"/>
      <c r="Y159" s="1967"/>
      <c r="Z159" s="1969"/>
      <c r="AA159" s="1970"/>
      <c r="AB159" s="1969"/>
      <c r="AC159" s="1969"/>
      <c r="AD159" s="1969"/>
      <c r="AE159" s="1969"/>
      <c r="AG159" s="5285"/>
      <c r="AH159" s="1946"/>
      <c r="AI159" s="58"/>
      <c r="AJ159" s="1948"/>
      <c r="AK159" s="1948"/>
      <c r="AL159" s="172"/>
      <c r="AM159" s="5294"/>
      <c r="AN159" s="1944"/>
      <c r="AO159" s="1931"/>
      <c r="AP159" s="1931"/>
      <c r="AR159" s="5294">
        <f t="shared" ref="AR159:AR191" si="46">AR158+1</f>
        <v>3</v>
      </c>
      <c r="AS159" s="1897" t="s">
        <v>4748</v>
      </c>
      <c r="AT159" s="1935" t="s">
        <v>4749</v>
      </c>
      <c r="AU159" s="1935" t="s">
        <v>4750</v>
      </c>
      <c r="AV159" s="1935" t="s">
        <v>4751</v>
      </c>
      <c r="AW159" s="1935" t="s">
        <v>6188</v>
      </c>
      <c r="AX159" s="1935" t="s">
        <v>6189</v>
      </c>
      <c r="AY159" s="1897" t="s">
        <v>4748</v>
      </c>
      <c r="BA159" s="3">
        <v>1</v>
      </c>
    </row>
    <row r="160" spans="2:53" ht="30" customHeight="1">
      <c r="B160" s="1953">
        <v>10</v>
      </c>
      <c r="C160" s="203" t="s">
        <v>8459</v>
      </c>
      <c r="D160" s="1948"/>
      <c r="E160" s="1948"/>
      <c r="F160" s="9"/>
      <c r="G160" s="1953"/>
      <c r="H160" s="1904"/>
      <c r="I160" s="1965"/>
      <c r="J160" s="1965"/>
      <c r="L160" s="5294"/>
      <c r="M160" s="172"/>
      <c r="N160" s="1975"/>
      <c r="O160" s="1976"/>
      <c r="P160" s="1975"/>
      <c r="Q160" s="1975"/>
      <c r="R160" s="1975"/>
      <c r="S160" s="9"/>
      <c r="W160" s="9"/>
      <c r="X160" s="5283"/>
      <c r="Y160" s="1967"/>
      <c r="Z160" s="1969"/>
      <c r="AA160" s="1970"/>
      <c r="AB160" s="1969"/>
      <c r="AC160" s="1969"/>
      <c r="AD160" s="1969"/>
      <c r="AE160" s="1969"/>
      <c r="AG160" s="5285"/>
      <c r="AH160" s="1946"/>
      <c r="AI160" s="58"/>
      <c r="AJ160" s="1948"/>
      <c r="AK160" s="1948"/>
      <c r="AL160" s="172"/>
      <c r="AM160" s="5294"/>
      <c r="AN160" s="1944"/>
      <c r="AO160" s="1931"/>
      <c r="AP160" s="1931"/>
      <c r="AR160" s="5294">
        <f t="shared" si="46"/>
        <v>4</v>
      </c>
      <c r="AS160" s="1897" t="s">
        <v>4752</v>
      </c>
      <c r="AT160" s="1935" t="s">
        <v>4753</v>
      </c>
      <c r="AU160" s="1935" t="s">
        <v>4754</v>
      </c>
      <c r="AV160" s="1935" t="s">
        <v>4755</v>
      </c>
      <c r="AW160" s="1935" t="s">
        <v>6190</v>
      </c>
      <c r="AX160" s="1935" t="s">
        <v>6191</v>
      </c>
      <c r="AY160" s="1897" t="s">
        <v>4752</v>
      </c>
      <c r="BA160" s="3">
        <v>1</v>
      </c>
    </row>
    <row r="161" spans="2:53" ht="30" customHeight="1">
      <c r="B161" s="1953">
        <v>11</v>
      </c>
      <c r="C161" s="203" t="s">
        <v>8460</v>
      </c>
      <c r="D161" s="1948"/>
      <c r="E161" s="1948"/>
      <c r="F161" s="9"/>
      <c r="G161" s="1953"/>
      <c r="H161" s="1904"/>
      <c r="I161" s="1965"/>
      <c r="J161" s="1965"/>
      <c r="L161" s="5294"/>
      <c r="M161" s="172"/>
      <c r="N161" s="1975"/>
      <c r="O161" s="1976"/>
      <c r="P161" s="1975"/>
      <c r="Q161" s="1975"/>
      <c r="R161" s="1975"/>
      <c r="S161" s="9"/>
      <c r="W161" s="9"/>
      <c r="X161" s="5283"/>
      <c r="Y161" s="1967"/>
      <c r="Z161" s="1969"/>
      <c r="AA161" s="1970"/>
      <c r="AB161" s="1969"/>
      <c r="AC161" s="1969"/>
      <c r="AD161" s="1969"/>
      <c r="AE161" s="1969"/>
      <c r="AG161" s="5285"/>
      <c r="AH161" s="1946"/>
      <c r="AI161" s="58"/>
      <c r="AJ161" s="1948"/>
      <c r="AK161" s="1948"/>
      <c r="AL161" s="172"/>
      <c r="AM161" s="5294"/>
      <c r="AN161" s="1944"/>
      <c r="AO161" s="1931"/>
      <c r="AP161" s="1931"/>
      <c r="AR161" s="5294">
        <f t="shared" si="46"/>
        <v>5</v>
      </c>
      <c r="AS161" s="1897" t="s">
        <v>4756</v>
      </c>
      <c r="AT161" s="1935" t="s">
        <v>4757</v>
      </c>
      <c r="AU161" s="1935" t="s">
        <v>4758</v>
      </c>
      <c r="AV161" s="1935" t="s">
        <v>4759</v>
      </c>
      <c r="AW161" s="1935" t="s">
        <v>6192</v>
      </c>
      <c r="AX161" s="1935" t="s">
        <v>6193</v>
      </c>
      <c r="AY161" s="1897" t="s">
        <v>4756</v>
      </c>
      <c r="BA161" s="3">
        <v>1</v>
      </c>
    </row>
    <row r="162" spans="2:53" ht="30" customHeight="1">
      <c r="B162" s="1953">
        <v>12</v>
      </c>
      <c r="C162" s="203" t="s">
        <v>8461</v>
      </c>
      <c r="D162" s="1948"/>
      <c r="E162" s="1948"/>
      <c r="F162" s="9"/>
      <c r="G162" s="1953"/>
      <c r="H162" s="1904"/>
      <c r="I162" s="1965"/>
      <c r="J162" s="1965"/>
      <c r="L162" s="5294"/>
      <c r="M162" s="172"/>
      <c r="N162" s="1975"/>
      <c r="O162" s="1976"/>
      <c r="P162" s="1975"/>
      <c r="Q162" s="1975"/>
      <c r="R162" s="1975"/>
      <c r="S162" s="9"/>
      <c r="W162" s="9"/>
      <c r="X162" s="5283"/>
      <c r="Y162" s="1967"/>
      <c r="Z162" s="1969"/>
      <c r="AA162" s="1970"/>
      <c r="AB162" s="1969"/>
      <c r="AC162" s="1969"/>
      <c r="AD162" s="1969"/>
      <c r="AE162" s="1969"/>
      <c r="AG162" s="5285"/>
      <c r="AH162" s="1946"/>
      <c r="AI162" s="58"/>
      <c r="AJ162" s="1948"/>
      <c r="AK162" s="1948"/>
      <c r="AL162" s="172"/>
      <c r="AM162" s="5294"/>
      <c r="AN162" s="1944"/>
      <c r="AO162" s="1931"/>
      <c r="AP162" s="1931"/>
      <c r="AR162" s="5294">
        <f t="shared" si="46"/>
        <v>6</v>
      </c>
      <c r="AS162" s="1897" t="s">
        <v>4760</v>
      </c>
      <c r="AT162" s="1935" t="s">
        <v>4761</v>
      </c>
      <c r="AU162" s="1935" t="s">
        <v>4762</v>
      </c>
      <c r="AV162" s="1935" t="s">
        <v>4763</v>
      </c>
      <c r="AW162" s="1935" t="s">
        <v>6194</v>
      </c>
      <c r="AX162" s="1935" t="s">
        <v>5532</v>
      </c>
      <c r="AY162" s="1897" t="s">
        <v>4760</v>
      </c>
      <c r="BA162" s="3">
        <v>1</v>
      </c>
    </row>
    <row r="163" spans="2:53" ht="30" customHeight="1">
      <c r="B163" s="1953"/>
      <c r="C163" s="203"/>
      <c r="D163" s="1948"/>
      <c r="E163" s="1948"/>
      <c r="F163" s="9"/>
      <c r="G163" s="1953"/>
      <c r="H163" s="1904"/>
      <c r="I163" s="1965"/>
      <c r="J163" s="1965"/>
      <c r="L163" s="5294"/>
      <c r="M163" s="172"/>
      <c r="N163" s="1975"/>
      <c r="O163" s="1976"/>
      <c r="P163" s="1975"/>
      <c r="Q163" s="1975"/>
      <c r="R163" s="1975"/>
      <c r="S163" s="9"/>
      <c r="W163" s="9"/>
      <c r="X163" s="5283"/>
      <c r="Y163" s="1967"/>
      <c r="Z163" s="1969"/>
      <c r="AA163" s="1970"/>
      <c r="AB163" s="1969"/>
      <c r="AC163" s="1969"/>
      <c r="AD163" s="1969"/>
      <c r="AE163" s="1969"/>
      <c r="AG163" s="5285"/>
      <c r="AH163" s="1946"/>
      <c r="AI163" s="58"/>
      <c r="AJ163" s="1948"/>
      <c r="AK163" s="1948"/>
      <c r="AL163" s="172"/>
      <c r="AM163" s="5294"/>
      <c r="AN163" s="1944"/>
      <c r="AO163" s="1931"/>
      <c r="AP163" s="1931"/>
      <c r="AR163" s="5294">
        <f t="shared" si="46"/>
        <v>7</v>
      </c>
      <c r="AS163" s="1897" t="s">
        <v>4764</v>
      </c>
      <c r="AT163" s="1935" t="s">
        <v>4765</v>
      </c>
      <c r="AU163" s="1935" t="s">
        <v>4766</v>
      </c>
      <c r="AV163" s="1935" t="s">
        <v>4767</v>
      </c>
      <c r="AW163" s="1935" t="s">
        <v>6195</v>
      </c>
      <c r="AX163" s="1935" t="s">
        <v>6196</v>
      </c>
      <c r="AY163" s="1897" t="s">
        <v>4764</v>
      </c>
      <c r="BA163" s="3">
        <v>1</v>
      </c>
    </row>
    <row r="164" spans="2:53" ht="30" customHeight="1">
      <c r="B164" s="1953"/>
      <c r="C164" s="1903" t="s">
        <v>5859</v>
      </c>
      <c r="D164" s="1989" t="s">
        <v>8503</v>
      </c>
      <c r="E164" s="1989" t="s">
        <v>8513</v>
      </c>
      <c r="F164" s="9"/>
      <c r="G164" s="1953"/>
      <c r="H164" s="1904"/>
      <c r="I164" s="1965"/>
      <c r="J164" s="1965"/>
      <c r="L164" s="5294"/>
      <c r="M164" s="172"/>
      <c r="N164" s="1975"/>
      <c r="O164" s="1976"/>
      <c r="P164" s="1975"/>
      <c r="Q164" s="1975"/>
      <c r="R164" s="1975"/>
      <c r="S164" s="9"/>
      <c r="W164" s="9"/>
      <c r="X164" s="5283"/>
      <c r="Y164" s="1967"/>
      <c r="Z164" s="1969"/>
      <c r="AA164" s="1970"/>
      <c r="AB164" s="1969"/>
      <c r="AC164" s="1969"/>
      <c r="AD164" s="1969"/>
      <c r="AE164" s="1969"/>
      <c r="AG164" s="5285"/>
      <c r="AH164" s="1946"/>
      <c r="AI164" s="58"/>
      <c r="AJ164" s="1948"/>
      <c r="AK164" s="1948"/>
      <c r="AL164" s="172"/>
      <c r="AM164" s="5294"/>
      <c r="AN164" s="1944"/>
      <c r="AO164" s="1931"/>
      <c r="AP164" s="1931"/>
      <c r="AR164" s="5294">
        <f t="shared" si="46"/>
        <v>8</v>
      </c>
      <c r="AS164" s="1897" t="s">
        <v>4768</v>
      </c>
      <c r="AT164" s="1935" t="s">
        <v>4769</v>
      </c>
      <c r="AU164" s="1935" t="s">
        <v>4770</v>
      </c>
      <c r="AV164" s="1935" t="s">
        <v>4771</v>
      </c>
      <c r="AW164" s="1935" t="s">
        <v>6197</v>
      </c>
      <c r="AX164" s="1935" t="s">
        <v>5533</v>
      </c>
      <c r="AY164" s="1897" t="s">
        <v>4768</v>
      </c>
      <c r="BA164" s="3">
        <v>1</v>
      </c>
    </row>
    <row r="165" spans="2:53" ht="30" customHeight="1">
      <c r="B165" s="1953"/>
      <c r="C165" s="203"/>
      <c r="D165" s="1948"/>
      <c r="E165" s="1948"/>
      <c r="F165" s="9"/>
      <c r="G165" s="1953"/>
      <c r="H165" s="1904"/>
      <c r="I165" s="1965"/>
      <c r="J165" s="1965"/>
      <c r="L165" s="5294"/>
      <c r="M165" s="172"/>
      <c r="N165" s="1975"/>
      <c r="O165" s="1976"/>
      <c r="P165" s="1975"/>
      <c r="Q165" s="1975"/>
      <c r="R165" s="1975"/>
      <c r="S165" s="9"/>
      <c r="W165" s="9"/>
      <c r="X165" s="5283"/>
      <c r="Y165" s="1967"/>
      <c r="Z165" s="1969"/>
      <c r="AA165" s="1970"/>
      <c r="AB165" s="1969"/>
      <c r="AC165" s="1969"/>
      <c r="AD165" s="1969"/>
      <c r="AE165" s="1969"/>
      <c r="AG165" s="5285"/>
      <c r="AH165" s="1946"/>
      <c r="AI165" s="58"/>
      <c r="AJ165" s="1948"/>
      <c r="AK165" s="1948"/>
      <c r="AL165" s="172"/>
      <c r="AM165" s="5294"/>
      <c r="AN165" s="1944"/>
      <c r="AO165" s="1931"/>
      <c r="AP165" s="1931"/>
      <c r="AR165" s="5294">
        <f t="shared" si="46"/>
        <v>9</v>
      </c>
      <c r="AS165" s="1897" t="s">
        <v>3938</v>
      </c>
      <c r="AT165" s="1935" t="s">
        <v>4772</v>
      </c>
      <c r="AU165" s="1935" t="s">
        <v>4773</v>
      </c>
      <c r="AV165" s="1935" t="s">
        <v>4774</v>
      </c>
      <c r="AW165" s="1935" t="s">
        <v>6198</v>
      </c>
      <c r="AX165" s="1935" t="s">
        <v>6199</v>
      </c>
      <c r="AY165" s="1897" t="s">
        <v>3938</v>
      </c>
      <c r="BA165" s="3">
        <v>1</v>
      </c>
    </row>
    <row r="166" spans="2:53" ht="30" customHeight="1">
      <c r="B166" s="1953">
        <v>1</v>
      </c>
      <c r="C166" s="203" t="s">
        <v>8462</v>
      </c>
      <c r="D166" s="1948"/>
      <c r="E166" s="1948"/>
      <c r="F166" s="9"/>
      <c r="G166" s="1953"/>
      <c r="H166" s="1904"/>
      <c r="I166" s="1965"/>
      <c r="J166" s="1965"/>
      <c r="L166" s="5294"/>
      <c r="M166" s="172"/>
      <c r="N166" s="1975"/>
      <c r="O166" s="1976"/>
      <c r="P166" s="1975"/>
      <c r="Q166" s="1975"/>
      <c r="R166" s="1975"/>
      <c r="S166" s="9"/>
      <c r="W166" s="9"/>
      <c r="X166" s="5283"/>
      <c r="Y166" s="1967"/>
      <c r="Z166" s="1969"/>
      <c r="AA166" s="1970"/>
      <c r="AB166" s="1969"/>
      <c r="AC166" s="1969"/>
      <c r="AD166" s="1969"/>
      <c r="AE166" s="1969"/>
      <c r="AG166" s="5285"/>
      <c r="AH166" s="1946"/>
      <c r="AI166" s="58"/>
      <c r="AJ166" s="1948"/>
      <c r="AK166" s="1948"/>
      <c r="AL166" s="172"/>
      <c r="AM166" s="5294"/>
      <c r="AN166" s="1944"/>
      <c r="AO166" s="1931"/>
      <c r="AP166" s="1931"/>
      <c r="AR166" s="5294">
        <f t="shared" si="46"/>
        <v>10</v>
      </c>
      <c r="AS166" s="1897" t="s">
        <v>3944</v>
      </c>
      <c r="AT166" s="1935" t="s">
        <v>4775</v>
      </c>
      <c r="AU166" s="1935" t="s">
        <v>4776</v>
      </c>
      <c r="AV166" s="1935" t="s">
        <v>4777</v>
      </c>
      <c r="AW166" s="1935" t="s">
        <v>6200</v>
      </c>
      <c r="AX166" s="1935" t="s">
        <v>6201</v>
      </c>
      <c r="AY166" s="1897" t="s">
        <v>3944</v>
      </c>
      <c r="BA166" s="3">
        <v>1</v>
      </c>
    </row>
    <row r="167" spans="2:53" ht="30" customHeight="1">
      <c r="B167" s="1953">
        <v>2</v>
      </c>
      <c r="C167" s="203" t="s">
        <v>8463</v>
      </c>
      <c r="D167" s="1948"/>
      <c r="E167" s="1948"/>
      <c r="F167" s="9"/>
      <c r="G167" s="1953"/>
      <c r="H167" s="1904"/>
      <c r="I167" s="1965"/>
      <c r="J167" s="1965"/>
      <c r="L167" s="5294"/>
      <c r="M167" s="172"/>
      <c r="N167" s="1975"/>
      <c r="O167" s="1976"/>
      <c r="P167" s="1975"/>
      <c r="Q167" s="1975"/>
      <c r="R167" s="1975"/>
      <c r="S167" s="9"/>
      <c r="W167" s="9"/>
      <c r="X167" s="5283"/>
      <c r="Y167" s="1967"/>
      <c r="Z167" s="1969"/>
      <c r="AA167" s="1970"/>
      <c r="AB167" s="1969"/>
      <c r="AC167" s="1969"/>
      <c r="AD167" s="1969"/>
      <c r="AE167" s="1969"/>
      <c r="AG167" s="5285"/>
      <c r="AH167" s="1946"/>
      <c r="AI167" s="58"/>
      <c r="AJ167" s="1948"/>
      <c r="AK167" s="1948"/>
      <c r="AL167" s="172"/>
      <c r="AM167" s="5294"/>
      <c r="AN167" s="1944"/>
      <c r="AO167" s="1931"/>
      <c r="AP167" s="1931"/>
      <c r="AR167" s="5294">
        <f t="shared" si="46"/>
        <v>11</v>
      </c>
      <c r="AS167" s="1897" t="s">
        <v>4778</v>
      </c>
      <c r="AT167" s="1935" t="s">
        <v>4779</v>
      </c>
      <c r="AU167" s="1936" t="s">
        <v>4780</v>
      </c>
      <c r="AV167" s="1935" t="s">
        <v>4781</v>
      </c>
      <c r="AW167" s="1935" t="s">
        <v>6202</v>
      </c>
      <c r="AX167" s="1935" t="s">
        <v>5534</v>
      </c>
      <c r="AY167" s="1897" t="s">
        <v>4778</v>
      </c>
      <c r="BA167" s="3">
        <v>1</v>
      </c>
    </row>
    <row r="168" spans="2:53" ht="30" customHeight="1">
      <c r="B168" s="1953">
        <v>3</v>
      </c>
      <c r="C168" s="203" t="s">
        <v>8464</v>
      </c>
      <c r="D168" s="1948"/>
      <c r="E168" s="1948"/>
      <c r="F168" s="9"/>
      <c r="G168" s="1953"/>
      <c r="H168" s="1904"/>
      <c r="I168" s="1965"/>
      <c r="J168" s="1965"/>
      <c r="L168" s="5294"/>
      <c r="M168" s="172"/>
      <c r="N168" s="1975"/>
      <c r="O168" s="1976"/>
      <c r="P168" s="1975"/>
      <c r="Q168" s="1975"/>
      <c r="R168" s="1975"/>
      <c r="S168" s="9"/>
      <c r="W168" s="9"/>
      <c r="X168" s="5283"/>
      <c r="Y168" s="1967"/>
      <c r="Z168" s="1969"/>
      <c r="AA168" s="1970"/>
      <c r="AB168" s="1969"/>
      <c r="AC168" s="1969"/>
      <c r="AD168" s="1969"/>
      <c r="AE168" s="1969"/>
      <c r="AG168" s="5285"/>
      <c r="AH168" s="1946"/>
      <c r="AI168" s="58"/>
      <c r="AJ168" s="1948"/>
      <c r="AK168" s="1948"/>
      <c r="AL168" s="172"/>
      <c r="AM168" s="5294"/>
      <c r="AN168" s="1944"/>
      <c r="AO168" s="1931"/>
      <c r="AP168" s="1931"/>
      <c r="AR168" s="5294">
        <f t="shared" si="46"/>
        <v>12</v>
      </c>
      <c r="AS168" s="1897" t="s">
        <v>4782</v>
      </c>
      <c r="AT168" s="1935" t="s">
        <v>4783</v>
      </c>
      <c r="AU168" s="1936" t="s">
        <v>4784</v>
      </c>
      <c r="AV168" s="1935" t="s">
        <v>4785</v>
      </c>
      <c r="AW168" s="1935" t="s">
        <v>6203</v>
      </c>
      <c r="AX168" s="1935" t="s">
        <v>5535</v>
      </c>
      <c r="AY168" s="1897" t="s">
        <v>4782</v>
      </c>
      <c r="BA168" s="3">
        <v>1</v>
      </c>
    </row>
    <row r="169" spans="2:53" ht="30" customHeight="1">
      <c r="B169" s="1953">
        <v>4</v>
      </c>
      <c r="C169" s="203" t="s">
        <v>8465</v>
      </c>
      <c r="D169" s="1948"/>
      <c r="E169" s="1948"/>
      <c r="F169" s="9"/>
      <c r="G169" s="1953"/>
      <c r="H169" s="1904"/>
      <c r="I169" s="1965"/>
      <c r="J169" s="1965"/>
      <c r="L169" s="5294"/>
      <c r="M169" s="172"/>
      <c r="N169" s="1975"/>
      <c r="O169" s="1976"/>
      <c r="P169" s="1975"/>
      <c r="Q169" s="1975"/>
      <c r="R169" s="1975"/>
      <c r="S169" s="9"/>
      <c r="W169" s="9"/>
      <c r="X169" s="5283"/>
      <c r="Y169" s="1967"/>
      <c r="Z169" s="1969"/>
      <c r="AA169" s="1970"/>
      <c r="AB169" s="1969"/>
      <c r="AC169" s="1969"/>
      <c r="AD169" s="1969"/>
      <c r="AE169" s="1969"/>
      <c r="AG169" s="5285"/>
      <c r="AH169" s="1946"/>
      <c r="AI169" s="58"/>
      <c r="AJ169" s="1948"/>
      <c r="AK169" s="1948"/>
      <c r="AL169" s="172"/>
      <c r="AM169" s="5294"/>
      <c r="AN169" s="1944"/>
      <c r="AO169" s="1931"/>
      <c r="AP169" s="1931"/>
      <c r="AR169" s="5294">
        <f t="shared" si="46"/>
        <v>13</v>
      </c>
      <c r="AS169" s="1897" t="s">
        <v>4786</v>
      </c>
      <c r="AT169" s="1935" t="s">
        <v>7480</v>
      </c>
      <c r="AU169" s="1936" t="s">
        <v>7481</v>
      </c>
      <c r="AV169" s="1935" t="s">
        <v>8136</v>
      </c>
      <c r="AW169" s="1935" t="s">
        <v>8137</v>
      </c>
      <c r="AX169" s="1935" t="s">
        <v>8138</v>
      </c>
      <c r="AY169" s="1897" t="s">
        <v>4786</v>
      </c>
      <c r="BA169" s="3">
        <v>1</v>
      </c>
    </row>
    <row r="170" spans="2:53" ht="30" customHeight="1">
      <c r="B170" s="1953">
        <v>5</v>
      </c>
      <c r="C170" s="203" t="s">
        <v>8466</v>
      </c>
      <c r="D170" s="1948"/>
      <c r="E170" s="1948"/>
      <c r="F170" s="9"/>
      <c r="G170" s="1953"/>
      <c r="H170" s="1904"/>
      <c r="I170" s="1965"/>
      <c r="J170" s="1965"/>
      <c r="L170" s="5294"/>
      <c r="M170" s="172"/>
      <c r="N170" s="1975"/>
      <c r="O170" s="1976"/>
      <c r="P170" s="1975"/>
      <c r="Q170" s="1975"/>
      <c r="R170" s="1975"/>
      <c r="S170" s="9"/>
      <c r="W170" s="9"/>
      <c r="X170" s="5283"/>
      <c r="Y170" s="1967"/>
      <c r="Z170" s="1969"/>
      <c r="AA170" s="1970"/>
      <c r="AB170" s="1969"/>
      <c r="AC170" s="1969"/>
      <c r="AD170" s="1969"/>
      <c r="AE170" s="1969"/>
      <c r="AG170" s="5285"/>
      <c r="AH170" s="1946"/>
      <c r="AI170" s="58"/>
      <c r="AJ170" s="1948"/>
      <c r="AK170" s="1948"/>
      <c r="AL170" s="172"/>
      <c r="AM170" s="5294"/>
      <c r="AN170" s="1944"/>
      <c r="AO170" s="1931"/>
      <c r="AP170" s="1931"/>
      <c r="AR170" s="5294">
        <f t="shared" si="46"/>
        <v>14</v>
      </c>
      <c r="AS170" s="1897" t="s">
        <v>4787</v>
      </c>
      <c r="AT170" s="1935" t="s">
        <v>4788</v>
      </c>
      <c r="AU170" s="1936" t="s">
        <v>4789</v>
      </c>
      <c r="AV170" s="1935" t="s">
        <v>4790</v>
      </c>
      <c r="AW170" s="1935" t="s">
        <v>6204</v>
      </c>
      <c r="AX170" s="1935" t="s">
        <v>6205</v>
      </c>
      <c r="AY170" s="1897" t="s">
        <v>4787</v>
      </c>
      <c r="BA170" s="3">
        <v>1</v>
      </c>
    </row>
    <row r="171" spans="2:53" ht="30" customHeight="1">
      <c r="B171" s="1953">
        <v>6</v>
      </c>
      <c r="C171" s="203" t="s">
        <v>8467</v>
      </c>
      <c r="D171" s="1948"/>
      <c r="E171" s="1948"/>
      <c r="F171" s="9"/>
      <c r="G171" s="1953"/>
      <c r="H171" s="1904"/>
      <c r="I171" s="1965"/>
      <c r="J171" s="1965"/>
      <c r="L171" s="5294"/>
      <c r="M171" s="172"/>
      <c r="N171" s="1975"/>
      <c r="O171" s="1976"/>
      <c r="P171" s="1975"/>
      <c r="Q171" s="1975"/>
      <c r="R171" s="1975"/>
      <c r="S171" s="9"/>
      <c r="W171" s="9"/>
      <c r="X171" s="5283"/>
      <c r="Y171" s="1967"/>
      <c r="Z171" s="1969"/>
      <c r="AA171" s="1970"/>
      <c r="AB171" s="1969"/>
      <c r="AC171" s="1969"/>
      <c r="AD171" s="1969"/>
      <c r="AE171" s="1969"/>
      <c r="AG171" s="5285"/>
      <c r="AH171" s="1946"/>
      <c r="AI171" s="58"/>
      <c r="AJ171" s="1948"/>
      <c r="AK171" s="1948"/>
      <c r="AL171" s="172"/>
      <c r="AM171" s="5294"/>
      <c r="AN171" s="1944"/>
      <c r="AO171" s="1931"/>
      <c r="AP171" s="1931"/>
      <c r="AR171" s="5294">
        <f t="shared" si="46"/>
        <v>15</v>
      </c>
      <c r="AS171" s="1897" t="s">
        <v>4791</v>
      </c>
      <c r="AT171" s="1935" t="s">
        <v>4792</v>
      </c>
      <c r="AU171" s="1935" t="s">
        <v>4793</v>
      </c>
      <c r="AV171" s="1935" t="s">
        <v>4794</v>
      </c>
      <c r="AW171" s="1935" t="s">
        <v>6206</v>
      </c>
      <c r="AX171" s="1935" t="s">
        <v>6207</v>
      </c>
      <c r="AY171" s="1897" t="s">
        <v>4791</v>
      </c>
      <c r="BA171" s="3">
        <v>1</v>
      </c>
    </row>
    <row r="172" spans="2:53" ht="30" customHeight="1">
      <c r="B172" s="1953"/>
      <c r="C172" s="203"/>
      <c r="D172" s="1948"/>
      <c r="E172" s="1948"/>
      <c r="F172" s="9"/>
      <c r="G172" s="1953"/>
      <c r="H172" s="1904"/>
      <c r="I172" s="1965"/>
      <c r="J172" s="1965"/>
      <c r="L172" s="5294"/>
      <c r="M172" s="172"/>
      <c r="N172" s="1975"/>
      <c r="O172" s="1976"/>
      <c r="P172" s="1975"/>
      <c r="Q172" s="1975"/>
      <c r="R172" s="1975"/>
      <c r="S172" s="9"/>
      <c r="W172" s="9"/>
      <c r="X172" s="5283"/>
      <c r="Y172" s="1967"/>
      <c r="Z172" s="1969"/>
      <c r="AA172" s="1970"/>
      <c r="AB172" s="1969"/>
      <c r="AC172" s="1969"/>
      <c r="AD172" s="1969"/>
      <c r="AE172" s="1969"/>
      <c r="AG172" s="5285"/>
      <c r="AH172" s="1946"/>
      <c r="AI172" s="58"/>
      <c r="AJ172" s="1948"/>
      <c r="AK172" s="1948"/>
      <c r="AL172" s="172"/>
      <c r="AM172" s="5294"/>
      <c r="AN172" s="1944"/>
      <c r="AO172" s="1931"/>
      <c r="AP172" s="1931"/>
      <c r="AR172" s="5294">
        <f t="shared" si="46"/>
        <v>16</v>
      </c>
      <c r="AS172" s="1897" t="s">
        <v>4795</v>
      </c>
      <c r="AT172" s="1935" t="s">
        <v>4796</v>
      </c>
      <c r="AU172" s="1936" t="s">
        <v>4797</v>
      </c>
      <c r="AV172" s="1935" t="s">
        <v>4798</v>
      </c>
      <c r="AW172" s="1935" t="s">
        <v>6208</v>
      </c>
      <c r="AX172" s="1935" t="s">
        <v>6209</v>
      </c>
      <c r="AY172" s="1897" t="s">
        <v>4795</v>
      </c>
      <c r="BA172" s="3">
        <v>1</v>
      </c>
    </row>
    <row r="173" spans="2:53" ht="30" customHeight="1">
      <c r="B173" s="1953"/>
      <c r="C173" s="1903" t="s">
        <v>5860</v>
      </c>
      <c r="D173" s="1989" t="s">
        <v>8504</v>
      </c>
      <c r="E173" s="1989" t="s">
        <v>8514</v>
      </c>
      <c r="F173" s="9"/>
      <c r="G173" s="1953"/>
      <c r="H173" s="1904"/>
      <c r="I173" s="1965"/>
      <c r="J173" s="1965"/>
      <c r="L173" s="5294"/>
      <c r="M173" s="172"/>
      <c r="N173" s="1975"/>
      <c r="O173" s="1976"/>
      <c r="P173" s="1975"/>
      <c r="Q173" s="1975"/>
      <c r="R173" s="1975"/>
      <c r="S173" s="9"/>
      <c r="W173" s="9"/>
      <c r="X173" s="5283"/>
      <c r="Y173" s="1967"/>
      <c r="Z173" s="1969"/>
      <c r="AA173" s="1970"/>
      <c r="AB173" s="1969"/>
      <c r="AC173" s="1969"/>
      <c r="AD173" s="1969"/>
      <c r="AE173" s="1969"/>
      <c r="AG173" s="5285"/>
      <c r="AH173" s="1946"/>
      <c r="AI173" s="58"/>
      <c r="AJ173" s="1948"/>
      <c r="AK173" s="1948"/>
      <c r="AL173" s="172"/>
      <c r="AM173" s="5294"/>
      <c r="AN173" s="1944"/>
      <c r="AO173" s="1931"/>
      <c r="AP173" s="1931"/>
      <c r="AR173" s="5294">
        <f t="shared" si="46"/>
        <v>17</v>
      </c>
      <c r="AS173" s="1897" t="s">
        <v>4799</v>
      </c>
      <c r="AT173" s="1935" t="s">
        <v>4800</v>
      </c>
      <c r="AU173" s="1936" t="s">
        <v>4801</v>
      </c>
      <c r="AV173" s="1935" t="s">
        <v>4802</v>
      </c>
      <c r="AW173" s="1935" t="s">
        <v>5536</v>
      </c>
      <c r="AX173" s="1935" t="s">
        <v>5537</v>
      </c>
      <c r="AY173" s="1897" t="s">
        <v>4799</v>
      </c>
      <c r="BA173" s="3">
        <v>1</v>
      </c>
    </row>
    <row r="174" spans="2:53" ht="30" customHeight="1">
      <c r="B174" s="1953"/>
      <c r="C174" s="203"/>
      <c r="D174" s="1948"/>
      <c r="E174" s="1948"/>
      <c r="F174" s="9"/>
      <c r="G174" s="1953"/>
      <c r="H174" s="1904"/>
      <c r="I174" s="1965"/>
      <c r="J174" s="1965"/>
      <c r="L174" s="5294"/>
      <c r="M174" s="172"/>
      <c r="N174" s="1975"/>
      <c r="O174" s="1976"/>
      <c r="P174" s="1975"/>
      <c r="Q174" s="1975"/>
      <c r="R174" s="1975"/>
      <c r="S174" s="9"/>
      <c r="W174" s="9"/>
      <c r="X174" s="5283"/>
      <c r="Y174" s="1967"/>
      <c r="Z174" s="1969"/>
      <c r="AA174" s="1970"/>
      <c r="AB174" s="1969"/>
      <c r="AC174" s="1969"/>
      <c r="AD174" s="1969"/>
      <c r="AE174" s="1969"/>
      <c r="AG174" s="5285"/>
      <c r="AH174" s="1946"/>
      <c r="AI174" s="58"/>
      <c r="AJ174" s="1948"/>
      <c r="AK174" s="1948"/>
      <c r="AL174" s="172"/>
      <c r="AM174" s="5294"/>
      <c r="AN174" s="1944"/>
      <c r="AO174" s="1931"/>
      <c r="AP174" s="1931"/>
      <c r="AR174" s="5294">
        <f t="shared" si="46"/>
        <v>18</v>
      </c>
      <c r="AS174" s="1897" t="s">
        <v>3919</v>
      </c>
      <c r="AT174" s="1935" t="s">
        <v>5810</v>
      </c>
      <c r="AU174" s="1936" t="s">
        <v>5811</v>
      </c>
      <c r="AV174" s="1935" t="s">
        <v>5812</v>
      </c>
      <c r="AW174" s="1935" t="s">
        <v>6815</v>
      </c>
      <c r="AX174" s="1935" t="s">
        <v>6816</v>
      </c>
      <c r="AY174" s="1897" t="s">
        <v>3919</v>
      </c>
      <c r="BA174" s="3">
        <v>1</v>
      </c>
    </row>
    <row r="175" spans="2:53" ht="30" customHeight="1">
      <c r="B175" s="1953">
        <v>1</v>
      </c>
      <c r="C175" s="203" t="s">
        <v>8468</v>
      </c>
      <c r="D175" s="1948"/>
      <c r="E175" s="1948"/>
      <c r="F175" s="9"/>
      <c r="G175" s="1953"/>
      <c r="H175" s="1904"/>
      <c r="I175" s="1965"/>
      <c r="J175" s="1965"/>
      <c r="L175" s="5294"/>
      <c r="M175" s="172"/>
      <c r="N175" s="1975"/>
      <c r="O175" s="1976"/>
      <c r="P175" s="1975"/>
      <c r="Q175" s="1975"/>
      <c r="R175" s="1975"/>
      <c r="S175" s="9"/>
      <c r="W175" s="9"/>
      <c r="X175" s="5283"/>
      <c r="Y175" s="1967"/>
      <c r="Z175" s="1969"/>
      <c r="AA175" s="1970"/>
      <c r="AB175" s="1969"/>
      <c r="AC175" s="1969"/>
      <c r="AD175" s="1969"/>
      <c r="AE175" s="1969"/>
      <c r="AG175" s="5285"/>
      <c r="AH175" s="1946"/>
      <c r="AI175" s="58"/>
      <c r="AJ175" s="1948"/>
      <c r="AK175" s="1948"/>
      <c r="AL175" s="172"/>
      <c r="AM175" s="5294"/>
      <c r="AN175" s="1944"/>
      <c r="AO175" s="1931"/>
      <c r="AP175" s="1931"/>
      <c r="AR175" s="5294">
        <f t="shared" si="46"/>
        <v>19</v>
      </c>
      <c r="AS175" s="1897" t="s">
        <v>3994</v>
      </c>
      <c r="AT175" s="1935" t="s">
        <v>4803</v>
      </c>
      <c r="AU175" s="1935" t="s">
        <v>4804</v>
      </c>
      <c r="AV175" s="1935" t="s">
        <v>4805</v>
      </c>
      <c r="AW175" s="1935" t="s">
        <v>6210</v>
      </c>
      <c r="AX175" s="1935" t="s">
        <v>6211</v>
      </c>
      <c r="AY175" s="1897" t="s">
        <v>3994</v>
      </c>
      <c r="BA175" s="3">
        <v>1</v>
      </c>
    </row>
    <row r="176" spans="2:53" ht="30" customHeight="1">
      <c r="B176" s="1953">
        <v>2</v>
      </c>
      <c r="C176" s="203" t="s">
        <v>8469</v>
      </c>
      <c r="D176" s="1948"/>
      <c r="E176" s="1948"/>
      <c r="F176" s="9"/>
      <c r="G176" s="1953"/>
      <c r="H176" s="1904"/>
      <c r="I176" s="1965"/>
      <c r="J176" s="1965"/>
      <c r="L176" s="5294"/>
      <c r="M176" s="172"/>
      <c r="N176" s="1975"/>
      <c r="O176" s="1976"/>
      <c r="P176" s="1975"/>
      <c r="Q176" s="1975"/>
      <c r="R176" s="1975"/>
      <c r="S176" s="9"/>
      <c r="W176" s="9"/>
      <c r="X176" s="5283"/>
      <c r="Y176" s="1967"/>
      <c r="Z176" s="1969"/>
      <c r="AA176" s="1970"/>
      <c r="AB176" s="1969"/>
      <c r="AC176" s="1969"/>
      <c r="AD176" s="1969"/>
      <c r="AE176" s="1969"/>
      <c r="AG176" s="5285"/>
      <c r="AH176" s="1946"/>
      <c r="AI176" s="58"/>
      <c r="AJ176" s="1948"/>
      <c r="AK176" s="1948"/>
      <c r="AL176" s="172"/>
      <c r="AM176" s="5294"/>
      <c r="AN176" s="1944"/>
      <c r="AO176" s="1931"/>
      <c r="AP176" s="1931"/>
      <c r="AR176" s="5294">
        <f t="shared" si="46"/>
        <v>20</v>
      </c>
      <c r="AS176" s="1897" t="s">
        <v>3999</v>
      </c>
      <c r="AT176" s="1935" t="s">
        <v>7492</v>
      </c>
      <c r="AU176" s="1936" t="s">
        <v>7493</v>
      </c>
      <c r="AV176" s="1935" t="s">
        <v>8139</v>
      </c>
      <c r="AW176" s="1935" t="s">
        <v>8140</v>
      </c>
      <c r="AX176" s="1935" t="s">
        <v>8141</v>
      </c>
      <c r="AY176" s="1897" t="s">
        <v>3999</v>
      </c>
      <c r="BA176" s="3">
        <v>1</v>
      </c>
    </row>
    <row r="177" spans="2:53" ht="30" customHeight="1">
      <c r="B177" s="1953">
        <v>3</v>
      </c>
      <c r="C177" s="203" t="s">
        <v>8470</v>
      </c>
      <c r="D177" s="1948"/>
      <c r="E177" s="1948"/>
      <c r="F177" s="9"/>
      <c r="G177" s="1953"/>
      <c r="H177" s="1904"/>
      <c r="I177" s="1965"/>
      <c r="J177" s="1965"/>
      <c r="L177" s="5294"/>
      <c r="M177" s="172"/>
      <c r="N177" s="1975"/>
      <c r="O177" s="1976"/>
      <c r="P177" s="1975"/>
      <c r="Q177" s="1975"/>
      <c r="R177" s="1975"/>
      <c r="S177" s="9"/>
      <c r="W177" s="9"/>
      <c r="X177" s="5283"/>
      <c r="Y177" s="1967"/>
      <c r="Z177" s="1969"/>
      <c r="AA177" s="1970"/>
      <c r="AB177" s="1969"/>
      <c r="AC177" s="1969"/>
      <c r="AD177" s="1969"/>
      <c r="AE177" s="1969"/>
      <c r="AG177" s="5285"/>
      <c r="AH177" s="1946"/>
      <c r="AI177" s="58"/>
      <c r="AJ177" s="1948"/>
      <c r="AK177" s="1948"/>
      <c r="AL177" s="172"/>
      <c r="AM177" s="5294"/>
      <c r="AN177" s="1944"/>
      <c r="AO177" s="1931"/>
      <c r="AP177" s="1931"/>
      <c r="AR177" s="5294">
        <f t="shared" si="46"/>
        <v>21</v>
      </c>
      <c r="AS177" s="1897" t="s">
        <v>4005</v>
      </c>
      <c r="AT177" s="1935" t="s">
        <v>4806</v>
      </c>
      <c r="AU177" s="1936" t="s">
        <v>4807</v>
      </c>
      <c r="AV177" s="1935" t="s">
        <v>4808</v>
      </c>
      <c r="AW177" s="1935" t="s">
        <v>5538</v>
      </c>
      <c r="AX177" s="1935" t="s">
        <v>6212</v>
      </c>
      <c r="AY177" s="1897" t="s">
        <v>4005</v>
      </c>
      <c r="BA177" s="3">
        <v>1</v>
      </c>
    </row>
    <row r="178" spans="2:53" ht="30" customHeight="1">
      <c r="B178" s="1953">
        <v>4</v>
      </c>
      <c r="C178" s="203" t="s">
        <v>8471</v>
      </c>
      <c r="D178" s="1948"/>
      <c r="E178" s="1988"/>
      <c r="F178" s="9"/>
      <c r="G178" s="1953"/>
      <c r="H178" s="1904"/>
      <c r="I178" s="1965"/>
      <c r="J178" s="1965"/>
      <c r="L178" s="5294"/>
      <c r="M178" s="172"/>
      <c r="N178" s="1975"/>
      <c r="O178" s="1976"/>
      <c r="P178" s="1975"/>
      <c r="Q178" s="1975"/>
      <c r="R178" s="1975"/>
      <c r="S178" s="9"/>
      <c r="W178" s="9"/>
      <c r="X178" s="5283"/>
      <c r="Y178" s="1967"/>
      <c r="Z178" s="1969"/>
      <c r="AA178" s="1970"/>
      <c r="AB178" s="1969"/>
      <c r="AC178" s="1969"/>
      <c r="AD178" s="1969"/>
      <c r="AE178" s="1969"/>
      <c r="AG178" s="5285"/>
      <c r="AH178" s="1946"/>
      <c r="AI178" s="58"/>
      <c r="AJ178" s="1948"/>
      <c r="AK178" s="1948"/>
      <c r="AL178" s="172"/>
      <c r="AM178" s="5294"/>
      <c r="AN178" s="1944"/>
      <c r="AO178" s="1931"/>
      <c r="AP178" s="1931"/>
      <c r="AR178" s="5294">
        <f t="shared" si="46"/>
        <v>22</v>
      </c>
      <c r="AS178" s="1897" t="s">
        <v>4809</v>
      </c>
      <c r="AT178" s="1935" t="s">
        <v>4810</v>
      </c>
      <c r="AU178" s="1935" t="s">
        <v>4811</v>
      </c>
      <c r="AV178" s="1935" t="s">
        <v>4812</v>
      </c>
      <c r="AW178" s="1935" t="s">
        <v>6213</v>
      </c>
      <c r="AX178" s="1935" t="s">
        <v>6214</v>
      </c>
      <c r="AY178" s="1897" t="s">
        <v>4809</v>
      </c>
      <c r="BA178" s="3">
        <v>1</v>
      </c>
    </row>
    <row r="179" spans="2:53" ht="30" customHeight="1">
      <c r="B179" s="1953"/>
      <c r="C179" s="203"/>
      <c r="D179" s="1948"/>
      <c r="E179" s="1988"/>
      <c r="F179" s="9"/>
      <c r="G179" s="1953"/>
      <c r="H179" s="1904"/>
      <c r="I179" s="1965"/>
      <c r="J179" s="1965"/>
      <c r="L179" s="5294"/>
      <c r="M179" s="172"/>
      <c r="N179" s="1975"/>
      <c r="O179" s="1976"/>
      <c r="P179" s="1975"/>
      <c r="Q179" s="1975"/>
      <c r="R179" s="1975"/>
      <c r="S179" s="9"/>
      <c r="W179" s="9"/>
      <c r="X179" s="5283"/>
      <c r="Y179" s="1967"/>
      <c r="Z179" s="1969"/>
      <c r="AA179" s="1970"/>
      <c r="AB179" s="1969"/>
      <c r="AC179" s="1969"/>
      <c r="AD179" s="1969"/>
      <c r="AE179" s="1969"/>
      <c r="AG179" s="5285"/>
      <c r="AH179" s="1946"/>
      <c r="AI179" s="58"/>
      <c r="AJ179" s="1948"/>
      <c r="AK179" s="1948"/>
      <c r="AL179" s="172"/>
      <c r="AM179" s="5294"/>
      <c r="AN179" s="1944"/>
      <c r="AO179" s="1931"/>
      <c r="AP179" s="1931"/>
      <c r="AR179" s="5294">
        <f t="shared" si="46"/>
        <v>23</v>
      </c>
      <c r="AS179" s="1897" t="s">
        <v>4813</v>
      </c>
      <c r="AT179" s="1935" t="s">
        <v>4814</v>
      </c>
      <c r="AU179" s="1935" t="s">
        <v>4815</v>
      </c>
      <c r="AV179" s="1935" t="s">
        <v>4816</v>
      </c>
      <c r="AW179" s="1935" t="s">
        <v>6215</v>
      </c>
      <c r="AX179" s="1935" t="s">
        <v>6216</v>
      </c>
      <c r="AY179" s="1897" t="s">
        <v>4813</v>
      </c>
      <c r="BA179" s="3">
        <v>1</v>
      </c>
    </row>
    <row r="180" spans="2:53" ht="30" customHeight="1">
      <c r="B180" s="1953"/>
      <c r="C180" s="1903" t="s">
        <v>5861</v>
      </c>
      <c r="D180" s="1989" t="s">
        <v>8505</v>
      </c>
      <c r="E180" s="1989" t="s">
        <v>8515</v>
      </c>
      <c r="F180" s="9"/>
      <c r="G180" s="1953"/>
      <c r="H180" s="1904"/>
      <c r="I180" s="1965"/>
      <c r="J180" s="1965"/>
      <c r="L180" s="5294"/>
      <c r="M180" s="172"/>
      <c r="N180" s="1975"/>
      <c r="O180" s="1976"/>
      <c r="P180" s="1975"/>
      <c r="Q180" s="1975"/>
      <c r="R180" s="1975"/>
      <c r="S180" s="9"/>
      <c r="W180" s="9"/>
      <c r="X180" s="5283"/>
      <c r="Y180" s="1967"/>
      <c r="Z180" s="1969"/>
      <c r="AA180" s="1970"/>
      <c r="AB180" s="1969"/>
      <c r="AC180" s="1969"/>
      <c r="AD180" s="1969"/>
      <c r="AE180" s="1969"/>
      <c r="AG180" s="5285"/>
      <c r="AH180" s="1946"/>
      <c r="AI180" s="58"/>
      <c r="AJ180" s="1948"/>
      <c r="AK180" s="1948"/>
      <c r="AL180" s="172"/>
      <c r="AM180" s="5294"/>
      <c r="AN180" s="1944"/>
      <c r="AO180" s="1931"/>
      <c r="AP180" s="1931"/>
      <c r="AR180" s="5294">
        <f t="shared" si="46"/>
        <v>24</v>
      </c>
      <c r="AS180" s="1897" t="s">
        <v>4817</v>
      </c>
      <c r="AT180" s="1935" t="s">
        <v>4818</v>
      </c>
      <c r="AU180" s="1936" t="s">
        <v>4819</v>
      </c>
      <c r="AV180" s="1935" t="s">
        <v>4820</v>
      </c>
      <c r="AW180" s="1935" t="s">
        <v>6217</v>
      </c>
      <c r="AX180" s="1935" t="s">
        <v>6218</v>
      </c>
      <c r="AY180" s="1897" t="s">
        <v>4817</v>
      </c>
      <c r="BA180" s="3">
        <v>1</v>
      </c>
    </row>
    <row r="181" spans="2:53" ht="30" customHeight="1">
      <c r="B181" s="1953"/>
      <c r="C181" s="203"/>
      <c r="D181" s="1948"/>
      <c r="E181" s="1988"/>
      <c r="F181" s="9"/>
      <c r="G181" s="1953"/>
      <c r="H181" s="1904"/>
      <c r="I181" s="1965"/>
      <c r="J181" s="1965"/>
      <c r="L181" s="5294"/>
      <c r="M181" s="172"/>
      <c r="N181" s="1975"/>
      <c r="O181" s="1976"/>
      <c r="P181" s="1975"/>
      <c r="Q181" s="1975"/>
      <c r="R181" s="1975"/>
      <c r="S181" s="9"/>
      <c r="W181" s="9"/>
      <c r="X181" s="5283"/>
      <c r="Y181" s="1967"/>
      <c r="Z181" s="1969"/>
      <c r="AA181" s="1970"/>
      <c r="AB181" s="1969"/>
      <c r="AC181" s="1969"/>
      <c r="AD181" s="1969"/>
      <c r="AE181" s="1969"/>
      <c r="AG181" s="5285"/>
      <c r="AH181" s="1946"/>
      <c r="AI181" s="58"/>
      <c r="AJ181" s="1948"/>
      <c r="AK181" s="1948"/>
      <c r="AL181" s="172"/>
      <c r="AM181" s="5294"/>
      <c r="AN181" s="1944"/>
      <c r="AO181" s="1931"/>
      <c r="AP181" s="1931"/>
      <c r="AR181" s="5294">
        <f t="shared" si="46"/>
        <v>25</v>
      </c>
      <c r="AS181" s="1897" t="s">
        <v>4023</v>
      </c>
      <c r="AT181" s="1935" t="s">
        <v>4821</v>
      </c>
      <c r="AU181" s="1935" t="s">
        <v>4822</v>
      </c>
      <c r="AV181" s="1935" t="s">
        <v>4823</v>
      </c>
      <c r="AW181" s="1935" t="s">
        <v>6219</v>
      </c>
      <c r="AX181" s="1935" t="s">
        <v>6220</v>
      </c>
      <c r="AY181" s="1897" t="s">
        <v>4023</v>
      </c>
      <c r="BA181" s="3">
        <v>1</v>
      </c>
    </row>
    <row r="182" spans="2:53" ht="30" customHeight="1">
      <c r="B182" s="1953">
        <v>1</v>
      </c>
      <c r="C182" s="203" t="s">
        <v>8474</v>
      </c>
      <c r="D182" s="1948"/>
      <c r="E182" s="1988"/>
      <c r="F182" s="9"/>
      <c r="G182" s="1953"/>
      <c r="H182" s="1904"/>
      <c r="I182" s="1965"/>
      <c r="J182" s="1965"/>
      <c r="L182" s="5294"/>
      <c r="M182" s="172"/>
      <c r="N182" s="1975"/>
      <c r="O182" s="1976"/>
      <c r="P182" s="1975"/>
      <c r="Q182" s="1975"/>
      <c r="R182" s="1975"/>
      <c r="S182" s="9"/>
      <c r="W182" s="9"/>
      <c r="X182" s="5283"/>
      <c r="Y182" s="1967"/>
      <c r="Z182" s="1969"/>
      <c r="AA182" s="1970"/>
      <c r="AB182" s="1969"/>
      <c r="AC182" s="1969"/>
      <c r="AD182" s="1969"/>
      <c r="AE182" s="1969"/>
      <c r="AG182" s="5285"/>
      <c r="AH182" s="1946"/>
      <c r="AI182" s="58"/>
      <c r="AJ182" s="1948"/>
      <c r="AK182" s="1948"/>
      <c r="AL182" s="172"/>
      <c r="AM182" s="5294"/>
      <c r="AN182" s="1944"/>
      <c r="AO182" s="1931"/>
      <c r="AP182" s="1931"/>
      <c r="AR182" s="5294">
        <f t="shared" si="46"/>
        <v>26</v>
      </c>
      <c r="AS182" s="1897" t="s">
        <v>4824</v>
      </c>
      <c r="AT182" s="1935" t="s">
        <v>4825</v>
      </c>
      <c r="AU182" s="1936" t="s">
        <v>4826</v>
      </c>
      <c r="AV182" s="1935" t="s">
        <v>4827</v>
      </c>
      <c r="AW182" s="1935" t="s">
        <v>6221</v>
      </c>
      <c r="AX182" s="1935" t="s">
        <v>6222</v>
      </c>
      <c r="AY182" s="1897" t="s">
        <v>4824</v>
      </c>
      <c r="BA182" s="3">
        <v>1</v>
      </c>
    </row>
    <row r="183" spans="2:53" ht="30" customHeight="1">
      <c r="B183" s="1953">
        <v>2</v>
      </c>
      <c r="C183" s="203" t="s">
        <v>8475</v>
      </c>
      <c r="D183" s="1948"/>
      <c r="E183" s="1988"/>
      <c r="F183" s="9"/>
      <c r="G183" s="1953"/>
      <c r="H183" s="1904"/>
      <c r="I183" s="1965"/>
      <c r="J183" s="1965"/>
      <c r="L183" s="5294"/>
      <c r="M183" s="172"/>
      <c r="N183" s="1975"/>
      <c r="O183" s="1976"/>
      <c r="P183" s="1975"/>
      <c r="Q183" s="1975"/>
      <c r="R183" s="1975"/>
      <c r="S183" s="9"/>
      <c r="W183" s="9"/>
      <c r="X183" s="5283"/>
      <c r="Y183" s="1967"/>
      <c r="Z183" s="1969"/>
      <c r="AA183" s="1970"/>
      <c r="AB183" s="1969"/>
      <c r="AC183" s="1969"/>
      <c r="AD183" s="1969"/>
      <c r="AE183" s="1969"/>
      <c r="AG183" s="5285"/>
      <c r="AH183" s="1946"/>
      <c r="AI183" s="58"/>
      <c r="AJ183" s="1948"/>
      <c r="AK183" s="1948"/>
      <c r="AL183" s="172"/>
      <c r="AM183" s="5294"/>
      <c r="AN183" s="1944"/>
      <c r="AO183" s="1931"/>
      <c r="AP183" s="1931"/>
      <c r="AR183" s="5294">
        <f t="shared" si="46"/>
        <v>27</v>
      </c>
      <c r="AS183" s="1897" t="s">
        <v>4832</v>
      </c>
      <c r="AT183" s="1935" t="s">
        <v>4833</v>
      </c>
      <c r="AU183" s="1935" t="s">
        <v>4834</v>
      </c>
      <c r="AV183" s="1935" t="s">
        <v>4835</v>
      </c>
      <c r="AW183" s="1935" t="s">
        <v>6225</v>
      </c>
      <c r="AX183" s="1935" t="s">
        <v>6226</v>
      </c>
      <c r="AY183" s="1897" t="s">
        <v>4832</v>
      </c>
      <c r="BA183" s="3">
        <v>1</v>
      </c>
    </row>
    <row r="184" spans="2:53" ht="30" customHeight="1">
      <c r="B184" s="1953">
        <v>3</v>
      </c>
      <c r="C184" s="203" t="s">
        <v>8476</v>
      </c>
      <c r="D184" s="1948"/>
      <c r="E184" s="1988"/>
      <c r="F184" s="9"/>
      <c r="G184" s="1953"/>
      <c r="H184" s="1904"/>
      <c r="I184" s="1965"/>
      <c r="J184" s="1965"/>
      <c r="L184" s="5294"/>
      <c r="M184" s="172"/>
      <c r="N184" s="1975"/>
      <c r="O184" s="1976"/>
      <c r="P184" s="1975"/>
      <c r="Q184" s="1975"/>
      <c r="R184" s="1975"/>
      <c r="S184" s="9"/>
      <c r="W184" s="9"/>
      <c r="X184" s="5283"/>
      <c r="Y184" s="1967"/>
      <c r="Z184" s="1969"/>
      <c r="AA184" s="1970"/>
      <c r="AB184" s="1969"/>
      <c r="AC184" s="1969"/>
      <c r="AD184" s="1969"/>
      <c r="AE184" s="1969"/>
      <c r="AG184" s="5285"/>
      <c r="AH184" s="1946"/>
      <c r="AI184" s="58"/>
      <c r="AJ184" s="1948"/>
      <c r="AK184" s="1948"/>
      <c r="AL184" s="172"/>
      <c r="AM184" s="5294"/>
      <c r="AN184" s="1944"/>
      <c r="AO184" s="1931"/>
      <c r="AP184" s="1931"/>
      <c r="AR184" s="5294">
        <f t="shared" si="46"/>
        <v>28</v>
      </c>
      <c r="AS184" s="1897" t="s">
        <v>4836</v>
      </c>
      <c r="AT184" s="1935" t="s">
        <v>4837</v>
      </c>
      <c r="AU184" s="1935" t="s">
        <v>4838</v>
      </c>
      <c r="AV184" s="1935" t="s">
        <v>4839</v>
      </c>
      <c r="AW184" s="1935" t="s">
        <v>6227</v>
      </c>
      <c r="AX184" s="1935" t="s">
        <v>6228</v>
      </c>
      <c r="AY184" s="1897" t="s">
        <v>4836</v>
      </c>
      <c r="BA184" s="3">
        <v>1</v>
      </c>
    </row>
    <row r="185" spans="2:53" ht="30" customHeight="1">
      <c r="B185" s="1953">
        <v>4</v>
      </c>
      <c r="C185" s="203" t="s">
        <v>8477</v>
      </c>
      <c r="D185" s="1948"/>
      <c r="E185" s="1948"/>
      <c r="F185" s="9"/>
      <c r="G185" s="1953"/>
      <c r="H185" s="1904"/>
      <c r="I185" s="1965"/>
      <c r="J185" s="1965"/>
      <c r="L185" s="5294"/>
      <c r="M185" s="172"/>
      <c r="N185" s="1975"/>
      <c r="O185" s="1976"/>
      <c r="P185" s="1975"/>
      <c r="Q185" s="1975"/>
      <c r="R185" s="1975"/>
      <c r="S185" s="9"/>
      <c r="W185" s="9"/>
      <c r="X185" s="5283"/>
      <c r="Y185" s="1967"/>
      <c r="Z185" s="1969"/>
      <c r="AA185" s="1970"/>
      <c r="AB185" s="1969"/>
      <c r="AC185" s="1969"/>
      <c r="AD185" s="1969"/>
      <c r="AE185" s="1969"/>
      <c r="AG185" s="5285"/>
      <c r="AH185" s="1946"/>
      <c r="AI185" s="58"/>
      <c r="AJ185" s="1948"/>
      <c r="AK185" s="1948"/>
      <c r="AL185" s="172"/>
      <c r="AM185" s="5294"/>
      <c r="AN185" s="1944"/>
      <c r="AO185" s="1931"/>
      <c r="AP185" s="1931"/>
      <c r="AR185" s="5294">
        <f t="shared" si="46"/>
        <v>29</v>
      </c>
      <c r="AS185" s="1897" t="s">
        <v>4828</v>
      </c>
      <c r="AT185" s="1935" t="s">
        <v>4829</v>
      </c>
      <c r="AU185" s="1936" t="s">
        <v>4830</v>
      </c>
      <c r="AV185" s="1935" t="s">
        <v>4831</v>
      </c>
      <c r="AW185" s="1935" t="s">
        <v>6223</v>
      </c>
      <c r="AX185" s="1935" t="s">
        <v>6224</v>
      </c>
      <c r="AY185" s="1897" t="s">
        <v>4828</v>
      </c>
      <c r="BA185" s="3">
        <v>1</v>
      </c>
    </row>
    <row r="186" spans="2:53" ht="30" customHeight="1">
      <c r="B186" s="1953">
        <v>5</v>
      </c>
      <c r="C186" s="203" t="s">
        <v>8478</v>
      </c>
      <c r="D186" s="1948"/>
      <c r="E186" s="1948"/>
      <c r="F186" s="9"/>
      <c r="G186" s="1953"/>
      <c r="H186" s="1904"/>
      <c r="I186" s="1965"/>
      <c r="J186" s="1965"/>
      <c r="L186" s="5294"/>
      <c r="M186" s="172"/>
      <c r="N186" s="1975"/>
      <c r="O186" s="1976"/>
      <c r="P186" s="1975"/>
      <c r="Q186" s="1975"/>
      <c r="R186" s="1975"/>
      <c r="S186" s="9"/>
      <c r="W186" s="9"/>
      <c r="X186" s="5283"/>
      <c r="Y186" s="1967"/>
      <c r="Z186" s="1969"/>
      <c r="AA186" s="1970"/>
      <c r="AB186" s="1969"/>
      <c r="AC186" s="1969"/>
      <c r="AD186" s="1969"/>
      <c r="AE186" s="1969"/>
      <c r="AG186" s="5285"/>
      <c r="AH186" s="1946"/>
      <c r="AI186" s="58"/>
      <c r="AJ186" s="1948"/>
      <c r="AK186" s="1948"/>
      <c r="AL186" s="172"/>
      <c r="AM186" s="5294"/>
      <c r="AN186" s="1944"/>
      <c r="AO186" s="1931"/>
      <c r="AP186" s="1931"/>
      <c r="AR186" s="5294">
        <f t="shared" si="46"/>
        <v>30</v>
      </c>
      <c r="AS186" s="1897" t="s">
        <v>4840</v>
      </c>
      <c r="AT186" s="1935" t="s">
        <v>4841</v>
      </c>
      <c r="AU186" s="1936" t="s">
        <v>4842</v>
      </c>
      <c r="AV186" s="1935" t="s">
        <v>4843</v>
      </c>
      <c r="AW186" s="1935" t="s">
        <v>6229</v>
      </c>
      <c r="AX186" s="1935" t="s">
        <v>6230</v>
      </c>
      <c r="AY186" s="1897" t="s">
        <v>4840</v>
      </c>
      <c r="BA186" s="3">
        <v>1</v>
      </c>
    </row>
    <row r="187" spans="2:53" ht="30" customHeight="1">
      <c r="B187" s="1953">
        <v>6</v>
      </c>
      <c r="C187" s="203" t="s">
        <v>8479</v>
      </c>
      <c r="D187" s="1948"/>
      <c r="E187" s="1988"/>
      <c r="F187" s="9"/>
      <c r="G187" s="1953"/>
      <c r="H187" s="1904"/>
      <c r="I187" s="1965"/>
      <c r="J187" s="1965"/>
      <c r="L187" s="5294"/>
      <c r="M187" s="172"/>
      <c r="N187" s="1975"/>
      <c r="O187" s="1976"/>
      <c r="P187" s="1975"/>
      <c r="Q187" s="1975"/>
      <c r="R187" s="1975"/>
      <c r="S187" s="9"/>
      <c r="W187" s="9"/>
      <c r="X187" s="5283"/>
      <c r="Y187" s="1967"/>
      <c r="Z187" s="1969"/>
      <c r="AA187" s="1970"/>
      <c r="AB187" s="1969"/>
      <c r="AC187" s="1969"/>
      <c r="AD187" s="1969"/>
      <c r="AE187" s="1969"/>
      <c r="AG187" s="5285"/>
      <c r="AH187" s="1946"/>
      <c r="AI187" s="58"/>
      <c r="AJ187" s="1948"/>
      <c r="AK187" s="1948"/>
      <c r="AL187" s="172"/>
      <c r="AM187" s="5294"/>
      <c r="AN187" s="1944"/>
      <c r="AO187" s="1931"/>
      <c r="AP187" s="1931"/>
      <c r="AR187" s="5294">
        <f t="shared" si="46"/>
        <v>31</v>
      </c>
      <c r="AS187" s="1897" t="s">
        <v>4844</v>
      </c>
      <c r="AT187" s="1935" t="s">
        <v>4845</v>
      </c>
      <c r="AU187" s="1936" t="s">
        <v>4846</v>
      </c>
      <c r="AV187" s="1935" t="s">
        <v>4847</v>
      </c>
      <c r="AW187" s="1935" t="s">
        <v>5539</v>
      </c>
      <c r="AX187" s="1935" t="s">
        <v>5540</v>
      </c>
      <c r="AY187" s="1897" t="s">
        <v>4844</v>
      </c>
      <c r="BA187" s="3">
        <v>1</v>
      </c>
    </row>
    <row r="188" spans="2:53" ht="30" customHeight="1">
      <c r="B188" s="1953"/>
      <c r="C188" s="203"/>
      <c r="D188" s="1948"/>
      <c r="E188" s="1988"/>
      <c r="F188" s="9"/>
      <c r="G188" s="1953"/>
      <c r="H188" s="1904"/>
      <c r="I188" s="1965"/>
      <c r="J188" s="1965"/>
      <c r="L188" s="5294"/>
      <c r="M188" s="172"/>
      <c r="N188" s="1975"/>
      <c r="O188" s="1976"/>
      <c r="P188" s="1975"/>
      <c r="Q188" s="1975"/>
      <c r="R188" s="1975"/>
      <c r="S188" s="9"/>
      <c r="W188" s="9"/>
      <c r="X188" s="5283"/>
      <c r="Y188" s="1967"/>
      <c r="Z188" s="1969"/>
      <c r="AA188" s="1970"/>
      <c r="AB188" s="1969"/>
      <c r="AC188" s="1969"/>
      <c r="AD188" s="1969"/>
      <c r="AE188" s="1969"/>
      <c r="AG188" s="5285"/>
      <c r="AH188" s="1946"/>
      <c r="AI188" s="58"/>
      <c r="AJ188" s="1948"/>
      <c r="AK188" s="1948"/>
      <c r="AL188" s="172"/>
      <c r="AM188" s="5294"/>
      <c r="AN188" s="1944"/>
      <c r="AO188" s="1931"/>
      <c r="AP188" s="1931"/>
      <c r="AR188" s="5294">
        <f t="shared" si="46"/>
        <v>32</v>
      </c>
      <c r="AS188" s="1897" t="s">
        <v>4848</v>
      </c>
      <c r="AT188" s="1935" t="s">
        <v>4849</v>
      </c>
      <c r="AU188" s="1936" t="s">
        <v>4850</v>
      </c>
      <c r="AV188" s="1935" t="s">
        <v>8142</v>
      </c>
      <c r="AW188" s="1935" t="s">
        <v>8143</v>
      </c>
      <c r="AX188" s="1935" t="s">
        <v>8144</v>
      </c>
      <c r="AY188" s="1897" t="s">
        <v>4848</v>
      </c>
      <c r="BA188" s="3">
        <v>1</v>
      </c>
    </row>
    <row r="189" spans="2:53" ht="30" customHeight="1">
      <c r="B189" s="1953"/>
      <c r="C189" s="1903" t="s">
        <v>5862</v>
      </c>
      <c r="D189" s="1989" t="s">
        <v>8506</v>
      </c>
      <c r="E189" s="1989" t="s">
        <v>8516</v>
      </c>
      <c r="F189" s="9"/>
      <c r="G189" s="1953"/>
      <c r="H189" s="1904"/>
      <c r="I189" s="1965"/>
      <c r="J189" s="1965"/>
      <c r="L189" s="5294"/>
      <c r="M189" s="172"/>
      <c r="N189" s="1975"/>
      <c r="O189" s="1976"/>
      <c r="P189" s="1975"/>
      <c r="Q189" s="1975"/>
      <c r="R189" s="1975"/>
      <c r="S189" s="9"/>
      <c r="W189" s="9"/>
      <c r="X189" s="5283"/>
      <c r="Y189" s="1967"/>
      <c r="Z189" s="1969"/>
      <c r="AA189" s="1970"/>
      <c r="AB189" s="1969"/>
      <c r="AC189" s="1969"/>
      <c r="AD189" s="1969"/>
      <c r="AE189" s="1969"/>
      <c r="AG189" s="5285"/>
      <c r="AH189" s="1946"/>
      <c r="AI189" s="58"/>
      <c r="AJ189" s="1948"/>
      <c r="AK189" s="1948"/>
      <c r="AL189" s="172"/>
      <c r="AM189" s="5294"/>
      <c r="AN189" s="1944"/>
      <c r="AO189" s="1931"/>
      <c r="AP189" s="1931"/>
      <c r="AR189" s="5294">
        <f t="shared" si="46"/>
        <v>33</v>
      </c>
      <c r="AS189" s="1897" t="s">
        <v>4851</v>
      </c>
      <c r="AT189" s="1935" t="s">
        <v>4852</v>
      </c>
      <c r="AU189" s="1935" t="s">
        <v>4853</v>
      </c>
      <c r="AV189" s="1935" t="s">
        <v>4854</v>
      </c>
      <c r="AW189" s="1935" t="s">
        <v>6231</v>
      </c>
      <c r="AX189" s="1935" t="s">
        <v>6232</v>
      </c>
      <c r="AY189" s="1897" t="s">
        <v>4851</v>
      </c>
      <c r="BA189" s="3">
        <v>1</v>
      </c>
    </row>
    <row r="190" spans="2:53" ht="30" customHeight="1">
      <c r="B190" s="1953"/>
      <c r="C190" s="203"/>
      <c r="D190" s="1948"/>
      <c r="E190" s="1988"/>
      <c r="F190" s="9"/>
      <c r="G190" s="1953"/>
      <c r="H190" s="1904"/>
      <c r="I190" s="1965"/>
      <c r="J190" s="1965"/>
      <c r="L190" s="5294"/>
      <c r="M190" s="172"/>
      <c r="N190" s="1975"/>
      <c r="O190" s="1976"/>
      <c r="P190" s="1975"/>
      <c r="Q190" s="1975"/>
      <c r="R190" s="1975"/>
      <c r="S190" s="9"/>
      <c r="W190" s="9"/>
      <c r="X190" s="5283"/>
      <c r="Y190" s="1967"/>
      <c r="Z190" s="1969"/>
      <c r="AA190" s="1970"/>
      <c r="AB190" s="1969"/>
      <c r="AC190" s="1969"/>
      <c r="AD190" s="1969"/>
      <c r="AE190" s="1969"/>
      <c r="AG190" s="5285"/>
      <c r="AH190" s="1946"/>
      <c r="AI190" s="58"/>
      <c r="AJ190" s="1948"/>
      <c r="AK190" s="1948"/>
      <c r="AL190" s="172"/>
      <c r="AM190" s="5294"/>
      <c r="AN190" s="1944"/>
      <c r="AO190" s="1931"/>
      <c r="AP190" s="1931"/>
      <c r="AR190" s="5294">
        <f t="shared" si="46"/>
        <v>34</v>
      </c>
      <c r="AS190" s="1897" t="s">
        <v>4066</v>
      </c>
      <c r="AT190" s="1935" t="s">
        <v>4855</v>
      </c>
      <c r="AU190" s="1936" t="s">
        <v>4856</v>
      </c>
      <c r="AV190" s="1935" t="s">
        <v>4857</v>
      </c>
      <c r="AW190" s="1935" t="s">
        <v>6233</v>
      </c>
      <c r="AX190" s="1935" t="s">
        <v>6234</v>
      </c>
      <c r="AY190" s="1897" t="s">
        <v>4066</v>
      </c>
      <c r="BA190" s="3">
        <v>1</v>
      </c>
    </row>
    <row r="191" spans="2:53" ht="30" customHeight="1">
      <c r="B191" s="1953">
        <v>1</v>
      </c>
      <c r="C191" s="203" t="s">
        <v>8480</v>
      </c>
      <c r="D191" s="1948"/>
      <c r="E191" s="1988"/>
      <c r="F191" s="9"/>
      <c r="G191" s="1953"/>
      <c r="H191" s="1904"/>
      <c r="I191" s="1965"/>
      <c r="J191" s="1965"/>
      <c r="L191" s="5294"/>
      <c r="M191" s="172"/>
      <c r="N191" s="1975"/>
      <c r="O191" s="1976"/>
      <c r="P191" s="1975"/>
      <c r="Q191" s="1975"/>
      <c r="R191" s="1975"/>
      <c r="S191" s="9"/>
      <c r="W191" s="9"/>
      <c r="X191" s="5283"/>
      <c r="Y191" s="1967"/>
      <c r="Z191" s="1969"/>
      <c r="AA191" s="1970"/>
      <c r="AB191" s="1969"/>
      <c r="AC191" s="1969"/>
      <c r="AD191" s="1969"/>
      <c r="AE191" s="1969"/>
      <c r="AG191" s="5285"/>
      <c r="AH191" s="1946"/>
      <c r="AI191" s="58"/>
      <c r="AJ191" s="1948"/>
      <c r="AK191" s="1948"/>
      <c r="AL191" s="172"/>
      <c r="AM191" s="5294"/>
      <c r="AN191" s="1944"/>
      <c r="AO191" s="1931"/>
      <c r="AP191" s="1931"/>
      <c r="AR191" s="5294">
        <f t="shared" si="46"/>
        <v>35</v>
      </c>
      <c r="AS191" s="1897" t="s">
        <v>3985</v>
      </c>
      <c r="AT191" s="1935" t="s">
        <v>5833</v>
      </c>
      <c r="AU191" s="1936" t="s">
        <v>5834</v>
      </c>
      <c r="AV191" s="1935" t="s">
        <v>5835</v>
      </c>
      <c r="AW191" s="1935" t="s">
        <v>6837</v>
      </c>
      <c r="AX191" s="1935" t="s">
        <v>6838</v>
      </c>
      <c r="AY191" s="1897" t="s">
        <v>3985</v>
      </c>
      <c r="BA191" s="3">
        <v>1</v>
      </c>
    </row>
    <row r="192" spans="2:53" ht="30" customHeight="1">
      <c r="B192" s="1953">
        <v>2</v>
      </c>
      <c r="C192" s="203" t="s">
        <v>8481</v>
      </c>
      <c r="D192" s="1948"/>
      <c r="E192" s="1988"/>
      <c r="F192" s="9"/>
      <c r="G192" s="1953"/>
      <c r="H192" s="1904"/>
      <c r="I192" s="1965"/>
      <c r="J192" s="1965"/>
      <c r="L192" s="5294"/>
      <c r="M192" s="172"/>
      <c r="N192" s="1975"/>
      <c r="O192" s="1976"/>
      <c r="P192" s="1975"/>
      <c r="Q192" s="1975"/>
      <c r="R192" s="1975"/>
      <c r="S192" s="9"/>
      <c r="W192" s="9"/>
      <c r="X192" s="5283"/>
      <c r="Y192" s="1967"/>
      <c r="Z192" s="1969"/>
      <c r="AA192" s="1970"/>
      <c r="AB192" s="1969"/>
      <c r="AC192" s="1969"/>
      <c r="AD192" s="1969"/>
      <c r="AE192" s="1969"/>
      <c r="AG192" s="5285"/>
      <c r="AH192" s="1946"/>
      <c r="AI192" s="58"/>
      <c r="AJ192" s="1948"/>
      <c r="AK192" s="1948"/>
      <c r="AL192" s="172"/>
      <c r="AM192" s="5294"/>
      <c r="AN192" s="1944"/>
      <c r="AO192" s="1931"/>
      <c r="AP192" s="1931"/>
      <c r="AR192" s="5294"/>
      <c r="BA192" s="3">
        <v>1</v>
      </c>
    </row>
    <row r="193" spans="2:53" ht="30" customHeight="1">
      <c r="B193" s="1953">
        <v>3</v>
      </c>
      <c r="C193" s="203" t="s">
        <v>8482</v>
      </c>
      <c r="D193" s="1948"/>
      <c r="E193" s="1988"/>
      <c r="F193" s="9"/>
      <c r="G193" s="1953"/>
      <c r="H193" s="1904"/>
      <c r="I193" s="1965"/>
      <c r="J193" s="1965"/>
      <c r="L193" s="5294"/>
      <c r="M193" s="172"/>
      <c r="N193" s="1975"/>
      <c r="O193" s="1976"/>
      <c r="P193" s="1975"/>
      <c r="Q193" s="1975"/>
      <c r="R193" s="1975"/>
      <c r="S193" s="9"/>
      <c r="W193" s="9"/>
      <c r="X193" s="5283"/>
      <c r="Y193" s="1967"/>
      <c r="Z193" s="1969"/>
      <c r="AA193" s="1970"/>
      <c r="AB193" s="1969"/>
      <c r="AC193" s="1969"/>
      <c r="AD193" s="1969"/>
      <c r="AE193" s="1969"/>
      <c r="AG193" s="5285"/>
      <c r="AH193" s="1946"/>
      <c r="AI193" s="58"/>
      <c r="AJ193" s="1948"/>
      <c r="AK193" s="1948"/>
      <c r="AL193" s="172"/>
      <c r="AM193" s="5294"/>
      <c r="AN193" s="1944"/>
      <c r="AO193" s="1931"/>
      <c r="AP193" s="1931"/>
      <c r="AS193" s="1940" t="s">
        <v>3278</v>
      </c>
      <c r="AT193" s="1933"/>
      <c r="AU193" s="1933"/>
      <c r="AV193" s="1933"/>
      <c r="AW193" s="1932"/>
      <c r="AX193" s="1932"/>
      <c r="AY193" s="1940" t="s">
        <v>3278</v>
      </c>
      <c r="BA193" s="3">
        <v>1</v>
      </c>
    </row>
    <row r="194" spans="2:53" ht="30" customHeight="1">
      <c r="B194" s="1953">
        <v>4</v>
      </c>
      <c r="C194" s="203" t="s">
        <v>8483</v>
      </c>
      <c r="D194" s="1948"/>
      <c r="E194" s="1948"/>
      <c r="F194" s="9"/>
      <c r="G194" s="1953"/>
      <c r="H194" s="1904"/>
      <c r="I194" s="1965"/>
      <c r="J194" s="1965"/>
      <c r="L194" s="5294"/>
      <c r="M194" s="172"/>
      <c r="N194" s="1975"/>
      <c r="O194" s="1976"/>
      <c r="P194" s="1975"/>
      <c r="Q194" s="1975"/>
      <c r="R194" s="1975"/>
      <c r="S194" s="9"/>
      <c r="W194" s="9"/>
      <c r="X194" s="5283"/>
      <c r="Y194" s="1967"/>
      <c r="Z194" s="1969"/>
      <c r="AA194" s="1970"/>
      <c r="AB194" s="1969"/>
      <c r="AC194" s="1969"/>
      <c r="AD194" s="1969"/>
      <c r="AE194" s="1969"/>
      <c r="AG194" s="5285"/>
      <c r="AH194" s="1946"/>
      <c r="AI194" s="58"/>
      <c r="AJ194" s="1948"/>
      <c r="AK194" s="1948"/>
      <c r="AL194" s="172"/>
      <c r="AM194" s="5294"/>
      <c r="AN194" s="1944"/>
      <c r="AO194" s="1931"/>
      <c r="AP194" s="1931"/>
      <c r="AR194" s="5294">
        <v>1</v>
      </c>
      <c r="AS194" s="1897" t="s">
        <v>3569</v>
      </c>
      <c r="AT194" s="1935" t="s">
        <v>4858</v>
      </c>
      <c r="AU194" s="1936" t="s">
        <v>4859</v>
      </c>
      <c r="AV194" s="1935" t="s">
        <v>4860</v>
      </c>
      <c r="AW194" s="1935" t="s">
        <v>6235</v>
      </c>
      <c r="AX194" s="1935" t="s">
        <v>6236</v>
      </c>
      <c r="AY194" s="1897" t="s">
        <v>3569</v>
      </c>
      <c r="BA194" s="3">
        <v>1</v>
      </c>
    </row>
    <row r="195" spans="2:53" ht="30" customHeight="1">
      <c r="B195" s="1953">
        <v>5</v>
      </c>
      <c r="C195" s="203" t="s">
        <v>8484</v>
      </c>
      <c r="D195" s="1948"/>
      <c r="E195" s="1948"/>
      <c r="F195" s="9"/>
      <c r="G195" s="1953"/>
      <c r="H195" s="1904"/>
      <c r="I195" s="1965"/>
      <c r="J195" s="1965"/>
      <c r="L195" s="5294"/>
      <c r="M195" s="172"/>
      <c r="N195" s="1975"/>
      <c r="O195" s="1976"/>
      <c r="P195" s="1975"/>
      <c r="Q195" s="1975"/>
      <c r="R195" s="1975"/>
      <c r="S195" s="9"/>
      <c r="W195" s="9"/>
      <c r="X195" s="5283"/>
      <c r="Y195" s="1967"/>
      <c r="Z195" s="1969"/>
      <c r="AA195" s="1970"/>
      <c r="AB195" s="1969"/>
      <c r="AC195" s="1969"/>
      <c r="AD195" s="1969"/>
      <c r="AE195" s="1969"/>
      <c r="AG195" s="5285"/>
      <c r="AH195" s="1946"/>
      <c r="AI195" s="58"/>
      <c r="AJ195" s="1948"/>
      <c r="AK195" s="1948"/>
      <c r="AL195" s="172"/>
      <c r="AM195" s="5294"/>
      <c r="AN195" s="1944"/>
      <c r="AO195" s="1931"/>
      <c r="AP195" s="1931"/>
      <c r="AR195" s="5294">
        <f>AR194+1</f>
        <v>2</v>
      </c>
      <c r="AS195" s="1897" t="s">
        <v>5839</v>
      </c>
      <c r="AT195" s="1935" t="s">
        <v>5840</v>
      </c>
      <c r="AU195" s="1936" t="s">
        <v>5841</v>
      </c>
      <c r="AV195" s="1935" t="s">
        <v>6842</v>
      </c>
      <c r="AW195" s="1935" t="s">
        <v>6843</v>
      </c>
      <c r="AX195" s="1935" t="s">
        <v>6844</v>
      </c>
      <c r="AY195" s="1897" t="s">
        <v>5839</v>
      </c>
      <c r="BA195" s="3">
        <v>1</v>
      </c>
    </row>
    <row r="196" spans="2:53" ht="30" customHeight="1">
      <c r="B196" s="1953">
        <v>6</v>
      </c>
      <c r="C196" s="203" t="s">
        <v>8485</v>
      </c>
      <c r="D196" s="1948"/>
      <c r="E196" s="1988"/>
      <c r="F196" s="9"/>
      <c r="G196" s="1953"/>
      <c r="H196" s="1904"/>
      <c r="I196" s="1965"/>
      <c r="J196" s="1965"/>
      <c r="L196" s="5294"/>
      <c r="M196" s="172"/>
      <c r="N196" s="1975"/>
      <c r="O196" s="1976"/>
      <c r="P196" s="1975"/>
      <c r="Q196" s="1975"/>
      <c r="R196" s="1975"/>
      <c r="S196" s="9"/>
      <c r="W196" s="9"/>
      <c r="X196" s="5283"/>
      <c r="Y196" s="1967"/>
      <c r="Z196" s="1969"/>
      <c r="AA196" s="1970"/>
      <c r="AB196" s="1969"/>
      <c r="AC196" s="1969"/>
      <c r="AD196" s="1969"/>
      <c r="AE196" s="1969"/>
      <c r="AG196" s="5285"/>
      <c r="AH196" s="1946"/>
      <c r="AI196" s="58"/>
      <c r="AJ196" s="1948"/>
      <c r="AK196" s="1948"/>
      <c r="AL196" s="172"/>
      <c r="AM196" s="5294"/>
      <c r="AN196" s="1944"/>
      <c r="AO196" s="1931"/>
      <c r="AP196" s="1931"/>
      <c r="AR196" s="5294">
        <v>2</v>
      </c>
      <c r="AS196" s="1897" t="s">
        <v>5836</v>
      </c>
      <c r="AT196" s="1935" t="s">
        <v>5837</v>
      </c>
      <c r="AU196" s="1936" t="s">
        <v>5838</v>
      </c>
      <c r="AV196" s="1935" t="s">
        <v>6839</v>
      </c>
      <c r="AW196" s="1935" t="s">
        <v>6840</v>
      </c>
      <c r="AX196" s="1935" t="s">
        <v>6841</v>
      </c>
      <c r="AY196" s="1897" t="s">
        <v>5836</v>
      </c>
      <c r="BA196" s="3">
        <v>1</v>
      </c>
    </row>
    <row r="197" spans="2:53" ht="30" customHeight="1">
      <c r="B197" s="1953"/>
      <c r="C197" s="203"/>
      <c r="D197" s="1948"/>
      <c r="E197" s="1988"/>
      <c r="F197" s="9"/>
      <c r="G197" s="1953"/>
      <c r="H197" s="1904"/>
      <c r="I197" s="1965"/>
      <c r="J197" s="1965"/>
      <c r="L197" s="5294"/>
      <c r="M197" s="172"/>
      <c r="N197" s="1975"/>
      <c r="O197" s="1976"/>
      <c r="P197" s="1975"/>
      <c r="Q197" s="1975"/>
      <c r="R197" s="1975"/>
      <c r="S197" s="9"/>
      <c r="W197" s="9"/>
      <c r="X197" s="5283"/>
      <c r="Y197" s="1967"/>
      <c r="Z197" s="1969"/>
      <c r="AA197" s="1970"/>
      <c r="AB197" s="1969"/>
      <c r="AC197" s="1969"/>
      <c r="AD197" s="1969"/>
      <c r="AE197" s="1969"/>
      <c r="AG197" s="5285"/>
      <c r="AH197" s="1946"/>
      <c r="AI197" s="58"/>
      <c r="AJ197" s="1948"/>
      <c r="AK197" s="1948"/>
      <c r="AL197" s="172"/>
      <c r="AM197" s="5294"/>
      <c r="AN197" s="1944"/>
      <c r="AO197" s="1931"/>
      <c r="AP197" s="1931"/>
      <c r="AR197" s="5294">
        <f t="shared" ref="AR197" si="47">AR196+1</f>
        <v>3</v>
      </c>
      <c r="AS197" s="1897" t="s">
        <v>3577</v>
      </c>
      <c r="AT197" s="1935" t="s">
        <v>4861</v>
      </c>
      <c r="AU197" s="1936" t="s">
        <v>4862</v>
      </c>
      <c r="AV197" s="1935" t="s">
        <v>4863</v>
      </c>
      <c r="AW197" s="1935" t="s">
        <v>5541</v>
      </c>
      <c r="AX197" s="1935" t="s">
        <v>5542</v>
      </c>
      <c r="AY197" s="1897" t="s">
        <v>3577</v>
      </c>
      <c r="BA197" s="3">
        <v>1</v>
      </c>
    </row>
    <row r="198" spans="2:53" ht="30" customHeight="1">
      <c r="B198" s="1953"/>
      <c r="C198" s="1903" t="s">
        <v>5863</v>
      </c>
      <c r="D198" s="1989" t="s">
        <v>8507</v>
      </c>
      <c r="E198" s="1989" t="s">
        <v>8517</v>
      </c>
      <c r="F198" s="9"/>
      <c r="G198" s="1953"/>
      <c r="H198" s="1904"/>
      <c r="I198" s="1965"/>
      <c r="J198" s="1965"/>
      <c r="L198" s="5294"/>
      <c r="M198" s="172"/>
      <c r="N198" s="1975"/>
      <c r="O198" s="1976"/>
      <c r="P198" s="1975"/>
      <c r="Q198" s="1975"/>
      <c r="R198" s="1975"/>
      <c r="S198" s="9"/>
      <c r="W198" s="9"/>
      <c r="X198" s="5283"/>
      <c r="Y198" s="1967"/>
      <c r="Z198" s="1969"/>
      <c r="AA198" s="1970"/>
      <c r="AB198" s="1969"/>
      <c r="AC198" s="1969"/>
      <c r="AD198" s="1969"/>
      <c r="AE198" s="1969"/>
      <c r="AG198" s="5285"/>
      <c r="AH198" s="1946"/>
      <c r="AI198" s="58"/>
      <c r="AJ198" s="1948"/>
      <c r="AK198" s="1948"/>
      <c r="AL198" s="172"/>
      <c r="AM198" s="5294"/>
      <c r="AN198" s="1944"/>
      <c r="AO198" s="1931"/>
      <c r="AP198" s="1931"/>
      <c r="AR198" s="5294">
        <v>3</v>
      </c>
      <c r="AS198" s="1897" t="s">
        <v>5842</v>
      </c>
      <c r="AT198" s="1935" t="s">
        <v>5843</v>
      </c>
      <c r="AU198" s="1936" t="s">
        <v>5844</v>
      </c>
      <c r="AV198" s="1935" t="s">
        <v>6845</v>
      </c>
      <c r="AW198" s="1935" t="s">
        <v>6846</v>
      </c>
      <c r="AX198" s="1935" t="s">
        <v>6847</v>
      </c>
      <c r="AY198" s="1897" t="s">
        <v>5842</v>
      </c>
      <c r="BA198" s="3">
        <v>1</v>
      </c>
    </row>
    <row r="199" spans="2:53" ht="30" customHeight="1">
      <c r="B199" s="1953"/>
      <c r="C199" s="203"/>
      <c r="D199" s="1948"/>
      <c r="E199" s="1988"/>
      <c r="F199" s="9"/>
      <c r="G199" s="1953"/>
      <c r="H199" s="1904"/>
      <c r="I199" s="1965"/>
      <c r="J199" s="1965"/>
      <c r="L199" s="5294"/>
      <c r="M199" s="172"/>
      <c r="N199" s="1975"/>
      <c r="O199" s="1976"/>
      <c r="P199" s="1975"/>
      <c r="Q199" s="1975"/>
      <c r="R199" s="1975"/>
      <c r="S199" s="9"/>
      <c r="W199" s="9"/>
      <c r="X199" s="5283"/>
      <c r="Y199" s="1967"/>
      <c r="Z199" s="1969"/>
      <c r="AA199" s="1970"/>
      <c r="AB199" s="1969"/>
      <c r="AC199" s="1969"/>
      <c r="AD199" s="1969"/>
      <c r="AE199" s="1969"/>
      <c r="AG199" s="5285"/>
      <c r="AH199" s="1946"/>
      <c r="AI199" s="58"/>
      <c r="AJ199" s="1948"/>
      <c r="AK199" s="1948"/>
      <c r="AL199" s="172"/>
      <c r="AM199" s="5294"/>
      <c r="AN199" s="1944"/>
      <c r="AO199" s="1931"/>
      <c r="AP199" s="1931"/>
      <c r="AR199" s="5294">
        <f t="shared" ref="AR199" si="48">AR198+1</f>
        <v>4</v>
      </c>
      <c r="AS199" s="1897" t="s">
        <v>5849</v>
      </c>
      <c r="AT199" s="1935" t="s">
        <v>4905</v>
      </c>
      <c r="AU199" s="1936" t="s">
        <v>4906</v>
      </c>
      <c r="AV199" s="1935" t="s">
        <v>5850</v>
      </c>
      <c r="AW199" s="1935" t="s">
        <v>6850</v>
      </c>
      <c r="AX199" s="1935" t="s">
        <v>6851</v>
      </c>
      <c r="AY199" s="1897" t="s">
        <v>5849</v>
      </c>
      <c r="BA199" s="3">
        <v>1</v>
      </c>
    </row>
    <row r="200" spans="2:53" ht="30" customHeight="1">
      <c r="B200" s="1953">
        <v>1</v>
      </c>
      <c r="C200" s="203" t="s">
        <v>8486</v>
      </c>
      <c r="D200" s="1948"/>
      <c r="E200" s="1988"/>
      <c r="F200" s="9"/>
      <c r="G200" s="1953"/>
      <c r="H200" s="1904"/>
      <c r="I200" s="1965"/>
      <c r="J200" s="1965"/>
      <c r="L200" s="5294"/>
      <c r="M200" s="172"/>
      <c r="N200" s="1975"/>
      <c r="O200" s="1976"/>
      <c r="P200" s="1975"/>
      <c r="Q200" s="1975"/>
      <c r="R200" s="1975"/>
      <c r="S200" s="9"/>
      <c r="W200" s="9"/>
      <c r="X200" s="5283"/>
      <c r="Y200" s="1967"/>
      <c r="Z200" s="1969"/>
      <c r="AA200" s="1970"/>
      <c r="AB200" s="1969"/>
      <c r="AC200" s="1969"/>
      <c r="AD200" s="1969"/>
      <c r="AE200" s="1969"/>
      <c r="AG200" s="5285"/>
      <c r="AH200" s="1946"/>
      <c r="AI200" s="58"/>
      <c r="AJ200" s="1948"/>
      <c r="AK200" s="1948"/>
      <c r="AL200" s="172"/>
      <c r="AM200" s="5294"/>
      <c r="AN200" s="1944"/>
      <c r="AO200" s="1931"/>
      <c r="AP200" s="1931"/>
      <c r="AR200" s="5294">
        <v>4</v>
      </c>
      <c r="AS200" s="1897" t="s">
        <v>5851</v>
      </c>
      <c r="AT200" s="1935" t="s">
        <v>5852</v>
      </c>
      <c r="AU200" s="1936" t="s">
        <v>5853</v>
      </c>
      <c r="AV200" s="1935" t="s">
        <v>6852</v>
      </c>
      <c r="AW200" s="1936" t="s">
        <v>6853</v>
      </c>
      <c r="AX200" s="1936" t="s">
        <v>6854</v>
      </c>
      <c r="AY200" s="1897" t="s">
        <v>5851</v>
      </c>
      <c r="BA200" s="3">
        <v>1</v>
      </c>
    </row>
    <row r="201" spans="2:53" ht="30" customHeight="1">
      <c r="B201" s="1953">
        <v>2</v>
      </c>
      <c r="C201" s="203" t="s">
        <v>8487</v>
      </c>
      <c r="D201" s="1948"/>
      <c r="E201" s="1988"/>
      <c r="F201" s="9"/>
      <c r="G201" s="1953"/>
      <c r="H201" s="1904"/>
      <c r="I201" s="1965"/>
      <c r="J201" s="1965"/>
      <c r="L201" s="5294"/>
      <c r="M201" s="172"/>
      <c r="N201" s="1975"/>
      <c r="O201" s="1976"/>
      <c r="P201" s="1975"/>
      <c r="Q201" s="1975"/>
      <c r="R201" s="1975"/>
      <c r="S201" s="9"/>
      <c r="W201" s="9"/>
      <c r="X201" s="5283"/>
      <c r="Y201" s="1967"/>
      <c r="Z201" s="1969"/>
      <c r="AA201" s="1970"/>
      <c r="AB201" s="1969"/>
      <c r="AC201" s="1969"/>
      <c r="AD201" s="1969"/>
      <c r="AE201" s="1969"/>
      <c r="AG201" s="5285"/>
      <c r="AH201" s="1946"/>
      <c r="AI201" s="58"/>
      <c r="AJ201" s="1948"/>
      <c r="AK201" s="1948"/>
      <c r="AL201" s="172"/>
      <c r="AM201" s="5294"/>
      <c r="AN201" s="1944"/>
      <c r="AO201" s="1931"/>
      <c r="AP201" s="1931"/>
      <c r="AR201" s="5294">
        <f t="shared" ref="AR201" si="49">AR200+1</f>
        <v>5</v>
      </c>
      <c r="AS201" s="1897" t="s">
        <v>5854</v>
      </c>
      <c r="AT201" s="1935" t="s">
        <v>5855</v>
      </c>
      <c r="AU201" s="1936" t="s">
        <v>5856</v>
      </c>
      <c r="AV201" s="1935" t="s">
        <v>6855</v>
      </c>
      <c r="AW201" s="1935" t="s">
        <v>6856</v>
      </c>
      <c r="AX201" s="1935" t="s">
        <v>6857</v>
      </c>
      <c r="AY201" s="1897" t="s">
        <v>5854</v>
      </c>
      <c r="BA201" s="3">
        <v>1</v>
      </c>
    </row>
    <row r="202" spans="2:53" ht="30" customHeight="1">
      <c r="B202" s="1953">
        <v>3</v>
      </c>
      <c r="C202" s="203" t="s">
        <v>8488</v>
      </c>
      <c r="D202" s="1948"/>
      <c r="E202" s="1988"/>
      <c r="F202" s="9"/>
      <c r="G202" s="1953"/>
      <c r="H202" s="1904"/>
      <c r="I202" s="1965"/>
      <c r="J202" s="1965"/>
      <c r="L202" s="5294"/>
      <c r="M202" s="172"/>
      <c r="N202" s="1975"/>
      <c r="O202" s="1976"/>
      <c r="P202" s="1975"/>
      <c r="Q202" s="1975"/>
      <c r="R202" s="1975"/>
      <c r="S202" s="9"/>
      <c r="W202" s="9"/>
      <c r="X202" s="5283"/>
      <c r="Y202" s="1967"/>
      <c r="Z202" s="1969"/>
      <c r="AA202" s="1970"/>
      <c r="AB202" s="1969"/>
      <c r="AC202" s="1969"/>
      <c r="AD202" s="1969"/>
      <c r="AE202" s="1969"/>
      <c r="AG202" s="5285"/>
      <c r="AH202" s="1946"/>
      <c r="AI202" s="58"/>
      <c r="AJ202" s="1948"/>
      <c r="AK202" s="1948"/>
      <c r="AL202" s="172"/>
      <c r="AM202" s="5294"/>
      <c r="AN202" s="1944"/>
      <c r="AO202" s="1931"/>
      <c r="AP202" s="1931"/>
      <c r="AR202" s="5294">
        <v>5</v>
      </c>
      <c r="AS202" s="1897" t="s">
        <v>5845</v>
      </c>
      <c r="AT202" s="1935" t="s">
        <v>5846</v>
      </c>
      <c r="AU202" s="1936" t="s">
        <v>5847</v>
      </c>
      <c r="AV202" s="1935" t="s">
        <v>5848</v>
      </c>
      <c r="AW202" s="1935" t="s">
        <v>6848</v>
      </c>
      <c r="AX202" s="1935" t="s">
        <v>6849</v>
      </c>
      <c r="AY202" s="1897" t="s">
        <v>5845</v>
      </c>
      <c r="BA202" s="3">
        <v>1</v>
      </c>
    </row>
    <row r="203" spans="2:53" ht="30" customHeight="1">
      <c r="B203" s="1953">
        <v>4</v>
      </c>
      <c r="C203" s="203" t="s">
        <v>8489</v>
      </c>
      <c r="D203" s="1948"/>
      <c r="E203" s="1988"/>
      <c r="F203" s="9"/>
      <c r="G203" s="1953"/>
      <c r="H203" s="1904"/>
      <c r="I203" s="1965"/>
      <c r="J203" s="1965"/>
      <c r="L203" s="5294"/>
      <c r="M203" s="172"/>
      <c r="N203" s="1975"/>
      <c r="O203" s="1976"/>
      <c r="P203" s="1975"/>
      <c r="Q203" s="1975"/>
      <c r="R203" s="1975"/>
      <c r="S203" s="9"/>
      <c r="W203" s="9"/>
      <c r="X203" s="5283"/>
      <c r="Y203" s="1967"/>
      <c r="Z203" s="1969"/>
      <c r="AA203" s="1970"/>
      <c r="AB203" s="1969"/>
      <c r="AC203" s="1969"/>
      <c r="AD203" s="1969"/>
      <c r="AE203" s="1969"/>
      <c r="AG203" s="5285"/>
      <c r="AH203" s="1946"/>
      <c r="AI203" s="58"/>
      <c r="AJ203" s="1948"/>
      <c r="AK203" s="1948"/>
      <c r="AL203" s="172"/>
      <c r="AM203" s="5294"/>
      <c r="AN203" s="1944"/>
      <c r="AO203" s="1931"/>
      <c r="AP203" s="1931"/>
      <c r="AR203" s="5294">
        <f t="shared" ref="AR203" si="50">AR202+1</f>
        <v>6</v>
      </c>
      <c r="AS203" s="1897" t="s">
        <v>3583</v>
      </c>
      <c r="AT203" s="1935" t="s">
        <v>4864</v>
      </c>
      <c r="AU203" s="1936" t="s">
        <v>4865</v>
      </c>
      <c r="AV203" s="1935" t="s">
        <v>4866</v>
      </c>
      <c r="AW203" s="1935" t="s">
        <v>6237</v>
      </c>
      <c r="AX203" s="1935" t="s">
        <v>6238</v>
      </c>
      <c r="AY203" s="1897" t="s">
        <v>3583</v>
      </c>
      <c r="BA203" s="3">
        <v>1</v>
      </c>
    </row>
    <row r="204" spans="2:53" ht="30" customHeight="1">
      <c r="B204" s="1953">
        <v>5</v>
      </c>
      <c r="C204" s="203" t="s">
        <v>8490</v>
      </c>
      <c r="D204" s="1948"/>
      <c r="E204" s="1948"/>
      <c r="F204" s="9"/>
      <c r="G204" s="1953"/>
      <c r="H204" s="1904"/>
      <c r="I204" s="1965"/>
      <c r="J204" s="1965"/>
      <c r="L204" s="5294"/>
      <c r="M204" s="172"/>
      <c r="N204" s="1975"/>
      <c r="O204" s="1976"/>
      <c r="P204" s="1975"/>
      <c r="Q204" s="1975"/>
      <c r="R204" s="1975"/>
      <c r="S204" s="9"/>
      <c r="W204" s="9"/>
      <c r="X204" s="5283"/>
      <c r="Y204" s="1967"/>
      <c r="Z204" s="1969"/>
      <c r="AA204" s="1970"/>
      <c r="AB204" s="1969"/>
      <c r="AC204" s="1969"/>
      <c r="AD204" s="1969"/>
      <c r="AE204" s="1969"/>
      <c r="AG204" s="5285"/>
      <c r="AH204" s="1946"/>
      <c r="AI204" s="58"/>
      <c r="AJ204" s="1948"/>
      <c r="AK204" s="1948"/>
      <c r="AL204" s="172"/>
      <c r="AM204" s="5294"/>
      <c r="AN204" s="1944"/>
      <c r="AO204" s="1931"/>
      <c r="AP204" s="1931"/>
      <c r="AR204" s="5294">
        <v>6</v>
      </c>
      <c r="AS204" s="1897" t="s">
        <v>3590</v>
      </c>
      <c r="AT204" s="1935" t="s">
        <v>4867</v>
      </c>
      <c r="AU204" s="1936" t="s">
        <v>4868</v>
      </c>
      <c r="AV204" s="1935" t="s">
        <v>4869</v>
      </c>
      <c r="AW204" s="1935" t="s">
        <v>6239</v>
      </c>
      <c r="AX204" s="1935" t="s">
        <v>6240</v>
      </c>
      <c r="AY204" s="1897" t="s">
        <v>3590</v>
      </c>
      <c r="BA204" s="3">
        <v>1</v>
      </c>
    </row>
    <row r="205" spans="2:53" ht="30" customHeight="1">
      <c r="B205" s="1953">
        <v>6</v>
      </c>
      <c r="C205" s="203" t="s">
        <v>8491</v>
      </c>
      <c r="D205" s="1948"/>
      <c r="E205" s="1948"/>
      <c r="F205" s="9"/>
      <c r="G205" s="1953"/>
      <c r="H205" s="1904"/>
      <c r="I205" s="1965"/>
      <c r="J205" s="1965"/>
      <c r="L205" s="5294"/>
      <c r="M205" s="172"/>
      <c r="N205" s="1975"/>
      <c r="O205" s="1976"/>
      <c r="P205" s="1975"/>
      <c r="Q205" s="1975"/>
      <c r="R205" s="1975"/>
      <c r="S205" s="9"/>
      <c r="W205" s="9"/>
      <c r="X205" s="5283"/>
      <c r="Y205" s="1967"/>
      <c r="Z205" s="1969"/>
      <c r="AA205" s="1970"/>
      <c r="AB205" s="1969"/>
      <c r="AC205" s="1969"/>
      <c r="AD205" s="1969"/>
      <c r="AE205" s="1969"/>
      <c r="AG205" s="5285"/>
      <c r="AH205" s="1946"/>
      <c r="AI205" s="58"/>
      <c r="AJ205" s="1948"/>
      <c r="AK205" s="1948"/>
      <c r="AL205" s="172"/>
      <c r="AM205" s="5294"/>
      <c r="AN205" s="1944"/>
      <c r="AO205" s="1931"/>
      <c r="AP205" s="1931"/>
      <c r="AR205" s="5294">
        <f t="shared" ref="AR205" si="51">AR204+1</f>
        <v>7</v>
      </c>
      <c r="AS205" s="1897" t="s">
        <v>3597</v>
      </c>
      <c r="AT205" s="1935" t="s">
        <v>4870</v>
      </c>
      <c r="AU205" s="1936" t="s">
        <v>4871</v>
      </c>
      <c r="AV205" s="1935" t="s">
        <v>4872</v>
      </c>
      <c r="AW205" s="1935" t="s">
        <v>6241</v>
      </c>
      <c r="AX205" s="1935" t="s">
        <v>6242</v>
      </c>
      <c r="AY205" s="1897" t="s">
        <v>3597</v>
      </c>
      <c r="BA205" s="3">
        <v>1</v>
      </c>
    </row>
    <row r="206" spans="2:53" ht="30" customHeight="1">
      <c r="B206" s="1953">
        <v>7</v>
      </c>
      <c r="C206" s="203" t="s">
        <v>8492</v>
      </c>
      <c r="D206" s="1948"/>
      <c r="E206" s="1988"/>
      <c r="F206" s="9"/>
      <c r="G206" s="1953"/>
      <c r="H206" s="1904"/>
      <c r="I206" s="1965"/>
      <c r="J206" s="1965"/>
      <c r="L206" s="5294"/>
      <c r="M206" s="172"/>
      <c r="N206" s="1975"/>
      <c r="O206" s="1976"/>
      <c r="P206" s="1975"/>
      <c r="Q206" s="1975"/>
      <c r="R206" s="1975"/>
      <c r="S206" s="9"/>
      <c r="W206" s="9"/>
      <c r="X206" s="5283"/>
      <c r="Y206" s="1967"/>
      <c r="Z206" s="1969"/>
      <c r="AA206" s="1970"/>
      <c r="AB206" s="1969"/>
      <c r="AC206" s="1969"/>
      <c r="AD206" s="1969"/>
      <c r="AE206" s="1969"/>
      <c r="AG206" s="5285"/>
      <c r="AH206" s="1946"/>
      <c r="AI206" s="58"/>
      <c r="AJ206" s="1948"/>
      <c r="AK206" s="1948"/>
      <c r="AL206" s="172"/>
      <c r="AM206" s="5294"/>
      <c r="AN206" s="1944"/>
      <c r="AO206" s="1931"/>
      <c r="AP206" s="1931"/>
      <c r="AR206" s="5294">
        <v>7</v>
      </c>
      <c r="AS206" s="1897" t="s">
        <v>3605</v>
      </c>
      <c r="AT206" s="1935" t="s">
        <v>4873</v>
      </c>
      <c r="AU206" s="1936" t="s">
        <v>4678</v>
      </c>
      <c r="AV206" s="1935" t="s">
        <v>4874</v>
      </c>
      <c r="AW206" s="1935" t="s">
        <v>6243</v>
      </c>
      <c r="AX206" s="1935" t="s">
        <v>6244</v>
      </c>
      <c r="AY206" s="1897" t="s">
        <v>3605</v>
      </c>
      <c r="BA206" s="3">
        <v>1</v>
      </c>
    </row>
    <row r="207" spans="2:53" ht="30" customHeight="1">
      <c r="B207" s="1953"/>
      <c r="C207" s="203"/>
      <c r="D207" s="1948"/>
      <c r="E207" s="1988"/>
      <c r="F207" s="9"/>
      <c r="G207" s="1953"/>
      <c r="H207" s="1904"/>
      <c r="I207" s="1965"/>
      <c r="J207" s="1965"/>
      <c r="L207" s="5294"/>
      <c r="M207" s="172"/>
      <c r="N207" s="1975"/>
      <c r="O207" s="1976"/>
      <c r="P207" s="1975"/>
      <c r="Q207" s="1975"/>
      <c r="R207" s="1975"/>
      <c r="S207" s="9"/>
      <c r="W207" s="9"/>
      <c r="X207" s="5283"/>
      <c r="Y207" s="1967"/>
      <c r="Z207" s="1969"/>
      <c r="AA207" s="1970"/>
      <c r="AB207" s="1969"/>
      <c r="AC207" s="1969"/>
      <c r="AD207" s="1969"/>
      <c r="AE207" s="1969"/>
      <c r="AG207" s="5285"/>
      <c r="AH207" s="1946"/>
      <c r="AI207" s="58"/>
      <c r="AJ207" s="1948"/>
      <c r="AK207" s="1948"/>
      <c r="AL207" s="172"/>
      <c r="AM207" s="5294"/>
      <c r="AN207" s="1944"/>
      <c r="AO207" s="1931"/>
      <c r="AP207" s="1931"/>
      <c r="AR207" s="5294">
        <f t="shared" ref="AR207" si="52">AR206+1</f>
        <v>8</v>
      </c>
      <c r="AS207" s="1897" t="s">
        <v>3614</v>
      </c>
      <c r="AT207" s="1935" t="s">
        <v>4875</v>
      </c>
      <c r="AU207" s="1936" t="s">
        <v>4876</v>
      </c>
      <c r="AV207" s="1935" t="s">
        <v>4877</v>
      </c>
      <c r="AW207" s="1935" t="s">
        <v>6245</v>
      </c>
      <c r="AX207" s="1935" t="s">
        <v>6246</v>
      </c>
      <c r="AY207" s="1897" t="s">
        <v>3614</v>
      </c>
      <c r="BA207" s="3">
        <v>1</v>
      </c>
    </row>
    <row r="208" spans="2:53" ht="30" customHeight="1">
      <c r="B208" s="1953"/>
      <c r="C208" s="1903" t="s">
        <v>5864</v>
      </c>
      <c r="D208" s="1989" t="s">
        <v>8508</v>
      </c>
      <c r="E208" s="1989" t="s">
        <v>8518</v>
      </c>
      <c r="F208" s="9"/>
      <c r="G208" s="1953"/>
      <c r="H208" s="1904"/>
      <c r="I208" s="1965"/>
      <c r="J208" s="1965"/>
      <c r="L208" s="5294"/>
      <c r="M208" s="172"/>
      <c r="N208" s="1975"/>
      <c r="O208" s="1976"/>
      <c r="P208" s="1975"/>
      <c r="Q208" s="1975"/>
      <c r="R208" s="1975"/>
      <c r="S208" s="9"/>
      <c r="W208" s="9"/>
      <c r="X208" s="5283"/>
      <c r="Y208" s="1967"/>
      <c r="Z208" s="1969"/>
      <c r="AA208" s="1970"/>
      <c r="AB208" s="1969"/>
      <c r="AC208" s="1969"/>
      <c r="AD208" s="1969"/>
      <c r="AE208" s="1969"/>
      <c r="AG208" s="5285"/>
      <c r="AH208" s="1946"/>
      <c r="AI208" s="58"/>
      <c r="AJ208" s="1948"/>
      <c r="AK208" s="1948"/>
      <c r="AL208" s="172"/>
      <c r="AM208" s="5294"/>
      <c r="AN208" s="1944"/>
      <c r="AO208" s="1931"/>
      <c r="AP208" s="1931"/>
      <c r="AR208" s="5294">
        <v>8</v>
      </c>
      <c r="AS208" s="1897" t="s">
        <v>4878</v>
      </c>
      <c r="AT208" s="1935" t="s">
        <v>4879</v>
      </c>
      <c r="AU208" s="1936" t="s">
        <v>4880</v>
      </c>
      <c r="AV208" s="1935" t="s">
        <v>4881</v>
      </c>
      <c r="AW208" s="1935" t="s">
        <v>6247</v>
      </c>
      <c r="AX208" s="1935" t="s">
        <v>6248</v>
      </c>
      <c r="AY208" s="1897" t="s">
        <v>4878</v>
      </c>
      <c r="BA208" s="3">
        <v>1</v>
      </c>
    </row>
    <row r="209" spans="2:53" ht="30" customHeight="1">
      <c r="B209" s="1953"/>
      <c r="C209" s="203"/>
      <c r="D209" s="1948"/>
      <c r="E209" s="1988"/>
      <c r="F209" s="9"/>
      <c r="G209" s="1953"/>
      <c r="H209" s="1904"/>
      <c r="I209" s="1965"/>
      <c r="J209" s="1965"/>
      <c r="L209" s="5294"/>
      <c r="M209" s="172"/>
      <c r="N209" s="1975"/>
      <c r="O209" s="1976"/>
      <c r="P209" s="1975"/>
      <c r="Q209" s="1975"/>
      <c r="R209" s="1975"/>
      <c r="S209" s="9"/>
      <c r="W209" s="9"/>
      <c r="X209" s="5283"/>
      <c r="Y209" s="1967"/>
      <c r="Z209" s="1969"/>
      <c r="AA209" s="1970"/>
      <c r="AB209" s="1969"/>
      <c r="AC209" s="1969"/>
      <c r="AD209" s="1969"/>
      <c r="AE209" s="1969"/>
      <c r="AG209" s="5285"/>
      <c r="AH209" s="1946"/>
      <c r="AI209" s="58"/>
      <c r="AJ209" s="1948"/>
      <c r="AK209" s="1948"/>
      <c r="AL209" s="172"/>
      <c r="AM209" s="5294"/>
      <c r="AN209" s="1944"/>
      <c r="AO209" s="1931"/>
      <c r="AP209" s="1931"/>
      <c r="AR209" s="5294">
        <f t="shared" ref="AR209" si="53">AR208+1</f>
        <v>9</v>
      </c>
      <c r="AS209" s="1897" t="s">
        <v>3632</v>
      </c>
      <c r="AT209" s="1935" t="s">
        <v>4882</v>
      </c>
      <c r="AU209" s="1936" t="s">
        <v>4883</v>
      </c>
      <c r="AV209" s="1935" t="s">
        <v>4884</v>
      </c>
      <c r="AW209" s="1935" t="s">
        <v>6249</v>
      </c>
      <c r="AX209" s="1935" t="s">
        <v>6250</v>
      </c>
      <c r="AY209" s="1897" t="s">
        <v>3632</v>
      </c>
      <c r="BA209" s="3">
        <v>1</v>
      </c>
    </row>
    <row r="210" spans="2:53" ht="30" customHeight="1">
      <c r="B210" s="1953">
        <v>1</v>
      </c>
      <c r="C210" s="203" t="s">
        <v>8493</v>
      </c>
      <c r="D210" s="1948"/>
      <c r="E210" s="1988"/>
      <c r="F210" s="9"/>
      <c r="G210" s="1953"/>
      <c r="H210" s="1904"/>
      <c r="I210" s="1965"/>
      <c r="J210" s="1965"/>
      <c r="L210" s="5294"/>
      <c r="M210" s="172"/>
      <c r="N210" s="1975"/>
      <c r="O210" s="1976"/>
      <c r="P210" s="1975"/>
      <c r="Q210" s="1975"/>
      <c r="R210" s="1975"/>
      <c r="S210" s="9"/>
      <c r="W210" s="9"/>
      <c r="X210" s="5283"/>
      <c r="Y210" s="1967"/>
      <c r="Z210" s="1969"/>
      <c r="AA210" s="1970"/>
      <c r="AB210" s="1969"/>
      <c r="AC210" s="1969"/>
      <c r="AD210" s="1969"/>
      <c r="AE210" s="1969"/>
      <c r="AG210" s="5285"/>
      <c r="AH210" s="1946"/>
      <c r="AI210" s="58"/>
      <c r="AJ210" s="1948"/>
      <c r="AK210" s="1948"/>
      <c r="AL210" s="172"/>
      <c r="AM210" s="5294"/>
      <c r="AN210" s="1944"/>
      <c r="AO210" s="1931"/>
      <c r="AP210" s="1931"/>
      <c r="AR210" s="5294">
        <v>9</v>
      </c>
      <c r="AS210" s="1897" t="s">
        <v>3642</v>
      </c>
      <c r="AT210" s="1935" t="s">
        <v>4885</v>
      </c>
      <c r="AU210" s="1936" t="s">
        <v>4886</v>
      </c>
      <c r="AV210" s="1935" t="s">
        <v>4887</v>
      </c>
      <c r="AW210" s="1935" t="s">
        <v>6251</v>
      </c>
      <c r="AX210" s="1935" t="s">
        <v>6252</v>
      </c>
      <c r="AY210" s="1897" t="s">
        <v>3642</v>
      </c>
      <c r="BA210" s="3">
        <v>1</v>
      </c>
    </row>
    <row r="211" spans="2:53" ht="30" customHeight="1">
      <c r="B211" s="1953">
        <v>2</v>
      </c>
      <c r="C211" s="203" t="s">
        <v>8494</v>
      </c>
      <c r="D211" s="1948"/>
      <c r="E211" s="1988"/>
      <c r="F211" s="9"/>
      <c r="G211" s="1953"/>
      <c r="H211" s="1904"/>
      <c r="I211" s="1965"/>
      <c r="J211" s="1965"/>
      <c r="L211" s="5294"/>
      <c r="M211" s="172"/>
      <c r="N211" s="1975"/>
      <c r="O211" s="1976"/>
      <c r="P211" s="1975"/>
      <c r="Q211" s="1975"/>
      <c r="R211" s="1975"/>
      <c r="S211" s="9"/>
      <c r="W211" s="9"/>
      <c r="X211" s="5283"/>
      <c r="Y211" s="1967"/>
      <c r="Z211" s="1969"/>
      <c r="AA211" s="1970"/>
      <c r="AB211" s="1969"/>
      <c r="AC211" s="1969"/>
      <c r="AD211" s="1969"/>
      <c r="AE211" s="1969"/>
      <c r="AG211" s="5285"/>
      <c r="AH211" s="1946"/>
      <c r="AI211" s="58"/>
      <c r="AJ211" s="1948"/>
      <c r="AK211" s="1948"/>
      <c r="AL211" s="172"/>
      <c r="AM211" s="5294"/>
      <c r="AN211" s="1944"/>
      <c r="AO211" s="1931"/>
      <c r="AP211" s="1931"/>
      <c r="AR211" s="5294">
        <f t="shared" ref="AR211" si="54">AR210+1</f>
        <v>10</v>
      </c>
      <c r="AS211" s="1897" t="s">
        <v>3648</v>
      </c>
      <c r="AT211" s="1935" t="s">
        <v>4888</v>
      </c>
      <c r="AU211" s="1936" t="s">
        <v>4889</v>
      </c>
      <c r="AV211" s="1935" t="s">
        <v>4890</v>
      </c>
      <c r="AW211" s="1935" t="s">
        <v>6253</v>
      </c>
      <c r="AX211" s="1935" t="s">
        <v>6254</v>
      </c>
      <c r="AY211" s="1897" t="s">
        <v>3648</v>
      </c>
      <c r="BA211" s="3">
        <v>1</v>
      </c>
    </row>
    <row r="212" spans="2:53" ht="30" customHeight="1">
      <c r="B212" s="1953">
        <v>3</v>
      </c>
      <c r="C212" s="203" t="s">
        <v>8495</v>
      </c>
      <c r="D212" s="1948"/>
      <c r="E212" s="1948"/>
      <c r="F212" s="9"/>
      <c r="G212" s="1953"/>
      <c r="H212" s="1904"/>
      <c r="I212" s="1965"/>
      <c r="J212" s="1965"/>
      <c r="L212" s="5294"/>
      <c r="M212" s="172"/>
      <c r="N212" s="1975"/>
      <c r="O212" s="1976"/>
      <c r="P212" s="1975"/>
      <c r="Q212" s="1975"/>
      <c r="R212" s="1975"/>
      <c r="S212" s="9"/>
      <c r="W212" s="9"/>
      <c r="X212" s="5283"/>
      <c r="Y212" s="1967"/>
      <c r="Z212" s="1969"/>
      <c r="AA212" s="1970"/>
      <c r="AB212" s="1969"/>
      <c r="AC212" s="1969"/>
      <c r="AD212" s="1969"/>
      <c r="AE212" s="1969"/>
      <c r="AG212" s="5285"/>
      <c r="AH212" s="1946"/>
      <c r="AI212" s="58"/>
      <c r="AJ212" s="1948"/>
      <c r="AK212" s="1948"/>
      <c r="AL212" s="172"/>
      <c r="AM212" s="5294"/>
      <c r="AN212" s="1944"/>
      <c r="AO212" s="1931"/>
      <c r="AP212" s="1931"/>
      <c r="AR212" s="5294">
        <v>10</v>
      </c>
      <c r="AS212" s="1897" t="s">
        <v>4891</v>
      </c>
      <c r="AT212" s="1935" t="s">
        <v>4892</v>
      </c>
      <c r="AU212" s="1936" t="s">
        <v>4893</v>
      </c>
      <c r="AV212" s="1935" t="s">
        <v>4894</v>
      </c>
      <c r="AW212" s="1935" t="s">
        <v>6255</v>
      </c>
      <c r="AX212" s="1935" t="s">
        <v>6256</v>
      </c>
      <c r="AY212" s="1897" t="s">
        <v>4891</v>
      </c>
      <c r="BA212" s="3">
        <v>1</v>
      </c>
    </row>
    <row r="213" spans="2:53" ht="30" customHeight="1">
      <c r="B213" s="1953">
        <v>4</v>
      </c>
      <c r="C213" s="203" t="s">
        <v>8496</v>
      </c>
      <c r="D213" s="1948"/>
      <c r="E213" s="1948"/>
      <c r="F213" s="9"/>
      <c r="G213" s="1953"/>
      <c r="H213" s="1904"/>
      <c r="I213" s="1965"/>
      <c r="J213" s="1965"/>
      <c r="L213" s="5294"/>
      <c r="M213" s="172"/>
      <c r="N213" s="1975"/>
      <c r="O213" s="1976"/>
      <c r="P213" s="1975"/>
      <c r="Q213" s="1975"/>
      <c r="R213" s="1975"/>
      <c r="S213" s="9"/>
      <c r="W213" s="9"/>
      <c r="X213" s="5283"/>
      <c r="Y213" s="1967"/>
      <c r="Z213" s="1969"/>
      <c r="AA213" s="1970"/>
      <c r="AB213" s="1969"/>
      <c r="AC213" s="1969"/>
      <c r="AD213" s="1969"/>
      <c r="AE213" s="1969"/>
      <c r="AG213" s="5285"/>
      <c r="AH213" s="1946"/>
      <c r="AI213" s="58"/>
      <c r="AJ213" s="1948"/>
      <c r="AK213" s="1948"/>
      <c r="AL213" s="172"/>
      <c r="AM213" s="5294"/>
      <c r="AN213" s="1944"/>
      <c r="AO213" s="1931"/>
      <c r="AP213" s="1931"/>
      <c r="AR213" s="5294">
        <f t="shared" ref="AR213" si="55">AR212+1</f>
        <v>11</v>
      </c>
      <c r="AS213" s="1897" t="s">
        <v>3660</v>
      </c>
      <c r="AT213" s="1935" t="s">
        <v>4895</v>
      </c>
      <c r="AU213" s="1936" t="s">
        <v>4896</v>
      </c>
      <c r="AV213" s="1935" t="s">
        <v>4897</v>
      </c>
      <c r="AW213" s="1935" t="s">
        <v>6257</v>
      </c>
      <c r="AX213" s="1935" t="s">
        <v>6258</v>
      </c>
      <c r="AY213" s="1897" t="s">
        <v>3660</v>
      </c>
      <c r="BA213" s="3">
        <v>1</v>
      </c>
    </row>
    <row r="214" spans="2:53" ht="30" customHeight="1">
      <c r="B214" s="1953">
        <v>5</v>
      </c>
      <c r="C214" s="203" t="s">
        <v>8497</v>
      </c>
      <c r="D214" s="1948"/>
      <c r="E214" s="1988"/>
      <c r="F214" s="9"/>
      <c r="G214" s="1953"/>
      <c r="H214" s="1904"/>
      <c r="I214" s="1965"/>
      <c r="J214" s="1965"/>
      <c r="L214" s="5294"/>
      <c r="M214" s="172"/>
      <c r="N214" s="1975"/>
      <c r="O214" s="1976"/>
      <c r="P214" s="1975"/>
      <c r="Q214" s="1975"/>
      <c r="R214" s="1975"/>
      <c r="S214" s="9"/>
      <c r="W214" s="9"/>
      <c r="X214" s="5283"/>
      <c r="Y214" s="1967"/>
      <c r="Z214" s="1969"/>
      <c r="AA214" s="1970"/>
      <c r="AB214" s="1969"/>
      <c r="AC214" s="1969"/>
      <c r="AD214" s="1969"/>
      <c r="AE214" s="1969"/>
      <c r="AG214" s="5285"/>
      <c r="AH214" s="1946"/>
      <c r="AI214" s="58"/>
      <c r="AJ214" s="1948"/>
      <c r="AK214" s="1948"/>
      <c r="AL214" s="172"/>
      <c r="AM214" s="5294"/>
      <c r="AN214" s="1944"/>
      <c r="AO214" s="1931"/>
      <c r="AP214" s="1931"/>
      <c r="AR214" s="5294">
        <v>11</v>
      </c>
      <c r="AS214" s="1897" t="s">
        <v>3667</v>
      </c>
      <c r="AT214" s="1935" t="s">
        <v>4898</v>
      </c>
      <c r="AU214" s="1936" t="s">
        <v>4899</v>
      </c>
      <c r="AV214" s="1935" t="s">
        <v>4900</v>
      </c>
      <c r="AW214" s="1935" t="s">
        <v>6259</v>
      </c>
      <c r="AX214" s="1935" t="s">
        <v>6260</v>
      </c>
      <c r="AY214" s="1897" t="s">
        <v>3667</v>
      </c>
      <c r="BA214" s="3">
        <v>1</v>
      </c>
    </row>
    <row r="215" spans="2:53" ht="30" customHeight="1">
      <c r="B215" s="1953"/>
      <c r="C215" s="203"/>
      <c r="D215" s="1948"/>
      <c r="E215" s="1988"/>
      <c r="F215" s="9"/>
      <c r="G215" s="1953"/>
      <c r="H215" s="1904"/>
      <c r="I215" s="1965"/>
      <c r="J215" s="1965"/>
      <c r="L215" s="5294"/>
      <c r="M215" s="172"/>
      <c r="N215" s="1975"/>
      <c r="O215" s="1976"/>
      <c r="P215" s="1975"/>
      <c r="Q215" s="1975"/>
      <c r="R215" s="1975"/>
      <c r="S215" s="9"/>
      <c r="W215" s="9"/>
      <c r="X215" s="5283"/>
      <c r="Y215" s="1967"/>
      <c r="Z215" s="1969"/>
      <c r="AA215" s="1970"/>
      <c r="AB215" s="1969"/>
      <c r="AC215" s="1969"/>
      <c r="AD215" s="1969"/>
      <c r="AE215" s="1969"/>
      <c r="AG215" s="5285"/>
      <c r="AH215" s="1946"/>
      <c r="AI215" s="58"/>
      <c r="AJ215" s="1948"/>
      <c r="AK215" s="1948"/>
      <c r="AL215" s="172"/>
      <c r="AM215" s="5294"/>
      <c r="AN215" s="1944"/>
      <c r="AO215" s="1931"/>
      <c r="AP215" s="1931"/>
      <c r="AR215" s="5294">
        <f t="shared" ref="AR215" si="56">AR214+1</f>
        <v>12</v>
      </c>
      <c r="AS215" s="1897" t="s">
        <v>4901</v>
      </c>
      <c r="AT215" s="1935" t="s">
        <v>4902</v>
      </c>
      <c r="AU215" s="1936" t="s">
        <v>4903</v>
      </c>
      <c r="AV215" s="1935" t="s">
        <v>4904</v>
      </c>
      <c r="AW215" s="1935" t="s">
        <v>6261</v>
      </c>
      <c r="AX215" s="1935" t="s">
        <v>6262</v>
      </c>
      <c r="AY215" s="1897" t="s">
        <v>4901</v>
      </c>
      <c r="BA215" s="3">
        <v>1</v>
      </c>
    </row>
    <row r="216" spans="2:53" ht="30" customHeight="1">
      <c r="B216" s="1953"/>
      <c r="C216" s="1903" t="s">
        <v>5865</v>
      </c>
      <c r="D216" s="1989" t="s">
        <v>8509</v>
      </c>
      <c r="E216" s="1989" t="s">
        <v>8519</v>
      </c>
      <c r="F216" s="9"/>
      <c r="G216" s="1953"/>
      <c r="H216" s="1904"/>
      <c r="I216" s="1965"/>
      <c r="J216" s="1965"/>
      <c r="L216" s="5294"/>
      <c r="M216" s="172"/>
      <c r="N216" s="1975"/>
      <c r="O216" s="1976"/>
      <c r="P216" s="1975"/>
      <c r="Q216" s="1975"/>
      <c r="R216" s="1975"/>
      <c r="S216" s="9"/>
      <c r="W216" s="9"/>
      <c r="X216" s="5283"/>
      <c r="Y216" s="1967"/>
      <c r="Z216" s="1969"/>
      <c r="AA216" s="1970"/>
      <c r="AB216" s="1969"/>
      <c r="AC216" s="1969"/>
      <c r="AD216" s="1969"/>
      <c r="AE216" s="1969"/>
      <c r="AG216" s="5285"/>
      <c r="AH216" s="1946"/>
      <c r="AI216" s="58"/>
      <c r="AJ216" s="1948"/>
      <c r="AK216" s="1948"/>
      <c r="AL216" s="172"/>
      <c r="AM216" s="5294"/>
      <c r="AN216" s="1944"/>
      <c r="AO216" s="1931"/>
      <c r="AP216" s="1931"/>
      <c r="AR216" s="5294">
        <v>12</v>
      </c>
      <c r="AS216" s="1897" t="s">
        <v>3679</v>
      </c>
      <c r="AT216" s="1935" t="s">
        <v>4905</v>
      </c>
      <c r="AU216" s="1936" t="s">
        <v>4906</v>
      </c>
      <c r="AV216" s="1935" t="s">
        <v>4907</v>
      </c>
      <c r="AW216" s="1935" t="s">
        <v>6263</v>
      </c>
      <c r="AX216" s="1935" t="s">
        <v>6264</v>
      </c>
      <c r="AY216" s="1897" t="s">
        <v>3679</v>
      </c>
      <c r="BA216" s="3">
        <v>1</v>
      </c>
    </row>
    <row r="217" spans="2:53" ht="30" customHeight="1">
      <c r="B217" s="1953"/>
      <c r="C217" s="203"/>
      <c r="D217" s="1948"/>
      <c r="E217" s="1988"/>
      <c r="F217" s="9"/>
      <c r="G217" s="1953"/>
      <c r="H217" s="1904"/>
      <c r="I217" s="1965"/>
      <c r="J217" s="1965"/>
      <c r="L217" s="5294"/>
      <c r="M217" s="172"/>
      <c r="N217" s="1975"/>
      <c r="O217" s="1976"/>
      <c r="P217" s="1975"/>
      <c r="Q217" s="1975"/>
      <c r="R217" s="1975"/>
      <c r="S217" s="9"/>
      <c r="W217" s="9"/>
      <c r="X217" s="5283"/>
      <c r="Y217" s="1967"/>
      <c r="Z217" s="1969"/>
      <c r="AA217" s="1970"/>
      <c r="AB217" s="1969"/>
      <c r="AC217" s="1969"/>
      <c r="AD217" s="1969"/>
      <c r="AE217" s="1969"/>
      <c r="AG217" s="5285"/>
      <c r="AH217" s="1946"/>
      <c r="AI217" s="58"/>
      <c r="AJ217" s="1948"/>
      <c r="AK217" s="1948"/>
      <c r="AL217" s="172"/>
      <c r="AM217" s="5294"/>
      <c r="AN217" s="1944"/>
      <c r="AO217" s="1931"/>
      <c r="AP217" s="1931"/>
      <c r="AR217" s="5294">
        <f t="shared" ref="AR217" si="57">AR216+1</f>
        <v>13</v>
      </c>
      <c r="AS217" s="1897" t="s">
        <v>3686</v>
      </c>
      <c r="AT217" s="1935" t="s">
        <v>4908</v>
      </c>
      <c r="AU217" s="1936" t="s">
        <v>4909</v>
      </c>
      <c r="AV217" s="1935" t="s">
        <v>4910</v>
      </c>
      <c r="AW217" s="1935" t="s">
        <v>6265</v>
      </c>
      <c r="AX217" s="1935" t="s">
        <v>6266</v>
      </c>
      <c r="AY217" s="1897" t="s">
        <v>3686</v>
      </c>
      <c r="BA217" s="3">
        <v>1</v>
      </c>
    </row>
    <row r="218" spans="2:53" ht="30" customHeight="1">
      <c r="B218" s="1953">
        <v>1</v>
      </c>
      <c r="C218" s="203" t="s">
        <v>8498</v>
      </c>
      <c r="D218" s="1948"/>
      <c r="E218" s="1948"/>
      <c r="F218" s="9"/>
      <c r="G218" s="1953"/>
      <c r="H218" s="1904"/>
      <c r="I218" s="1965"/>
      <c r="J218" s="1965"/>
      <c r="L218" s="5294"/>
      <c r="M218" s="172"/>
      <c r="N218" s="1975"/>
      <c r="O218" s="1976"/>
      <c r="P218" s="1975"/>
      <c r="Q218" s="1975"/>
      <c r="R218" s="1975"/>
      <c r="S218" s="9"/>
      <c r="W218" s="9"/>
      <c r="X218" s="5283"/>
      <c r="Y218" s="1967"/>
      <c r="Z218" s="1969"/>
      <c r="AA218" s="1970"/>
      <c r="AB218" s="1969"/>
      <c r="AC218" s="1969"/>
      <c r="AD218" s="1969"/>
      <c r="AE218" s="1969"/>
      <c r="AG218" s="5285"/>
      <c r="AH218" s="1946"/>
      <c r="AI218" s="58"/>
      <c r="AJ218" s="1948"/>
      <c r="AK218" s="1948"/>
      <c r="AL218" s="172"/>
      <c r="AM218" s="5294"/>
      <c r="AN218" s="1944"/>
      <c r="AO218" s="1931"/>
      <c r="AP218" s="1931"/>
      <c r="AR218" s="5294">
        <v>13</v>
      </c>
      <c r="AS218" s="1897" t="s">
        <v>3692</v>
      </c>
      <c r="AT218" s="1935" t="s">
        <v>4911</v>
      </c>
      <c r="AU218" s="1936" t="s">
        <v>4912</v>
      </c>
      <c r="AV218" s="1935" t="s">
        <v>4913</v>
      </c>
      <c r="AW218" s="1935" t="s">
        <v>6267</v>
      </c>
      <c r="AX218" s="1935" t="s">
        <v>6268</v>
      </c>
      <c r="AY218" s="1897" t="s">
        <v>3692</v>
      </c>
      <c r="BA218" s="3">
        <v>1</v>
      </c>
    </row>
    <row r="219" spans="2:53" ht="30" customHeight="1">
      <c r="B219" s="1953">
        <v>2</v>
      </c>
      <c r="C219" s="203" t="s">
        <v>8499</v>
      </c>
      <c r="D219" s="1948"/>
      <c r="E219" s="1948"/>
      <c r="F219" s="9"/>
      <c r="G219" s="1953"/>
      <c r="H219" s="1904"/>
      <c r="I219" s="1965"/>
      <c r="J219" s="1965"/>
      <c r="L219" s="5294"/>
      <c r="M219" s="172"/>
      <c r="N219" s="1975"/>
      <c r="O219" s="1976"/>
      <c r="P219" s="1975"/>
      <c r="Q219" s="1975"/>
      <c r="R219" s="1975"/>
      <c r="S219" s="9"/>
      <c r="W219" s="9"/>
      <c r="X219" s="5283"/>
      <c r="Y219" s="1967"/>
      <c r="Z219" s="1969"/>
      <c r="AA219" s="1970"/>
      <c r="AB219" s="1969"/>
      <c r="AC219" s="1969"/>
      <c r="AD219" s="1969"/>
      <c r="AE219" s="1969"/>
      <c r="AG219" s="5285"/>
      <c r="AH219" s="1946"/>
      <c r="AI219" s="58"/>
      <c r="AJ219" s="1948"/>
      <c r="AK219" s="1948"/>
      <c r="AL219" s="172"/>
      <c r="AM219" s="5294"/>
      <c r="AN219" s="1944"/>
      <c r="AO219" s="1931"/>
      <c r="AP219" s="1931"/>
      <c r="AR219" s="5294">
        <f t="shared" ref="AR219" si="58">AR218+1</f>
        <v>14</v>
      </c>
      <c r="AS219" s="1897" t="s">
        <v>3699</v>
      </c>
      <c r="AT219" s="1935" t="s">
        <v>4914</v>
      </c>
      <c r="AU219" s="1936" t="s">
        <v>4865</v>
      </c>
      <c r="AV219" s="1935" t="s">
        <v>4915</v>
      </c>
      <c r="AW219" s="1935" t="s">
        <v>6269</v>
      </c>
      <c r="AX219" s="1935" t="s">
        <v>6270</v>
      </c>
      <c r="AY219" s="1897" t="s">
        <v>3699</v>
      </c>
      <c r="BA219" s="3">
        <v>1</v>
      </c>
    </row>
    <row r="220" spans="2:53" ht="30" customHeight="1">
      <c r="B220" s="1953">
        <v>3</v>
      </c>
      <c r="C220" s="203" t="s">
        <v>8500</v>
      </c>
      <c r="D220" s="1948"/>
      <c r="E220" s="203"/>
      <c r="F220" s="9"/>
      <c r="G220" s="1953"/>
      <c r="H220" s="1904"/>
      <c r="I220" s="1965"/>
      <c r="J220" s="1965"/>
      <c r="L220" s="5294"/>
      <c r="M220" s="172"/>
      <c r="N220" s="1975"/>
      <c r="O220" s="1976"/>
      <c r="P220" s="1975"/>
      <c r="Q220" s="1975"/>
      <c r="R220" s="1975"/>
      <c r="S220" s="9"/>
      <c r="W220" s="9"/>
      <c r="X220" s="5283"/>
      <c r="Y220" s="1967"/>
      <c r="Z220" s="1969"/>
      <c r="AA220" s="1970"/>
      <c r="AB220" s="1969"/>
      <c r="AC220" s="1969"/>
      <c r="AD220" s="1969"/>
      <c r="AE220" s="1969"/>
      <c r="AG220" s="5285"/>
      <c r="AH220" s="1946"/>
      <c r="AI220" s="58"/>
      <c r="AJ220" s="1948"/>
      <c r="AK220" s="1948"/>
      <c r="AL220" s="172"/>
      <c r="AM220" s="5294"/>
      <c r="AN220" s="1944"/>
      <c r="AO220" s="1931"/>
      <c r="AP220" s="1931"/>
      <c r="AR220" s="5294">
        <v>14</v>
      </c>
      <c r="AS220" s="1897" t="s">
        <v>4916</v>
      </c>
      <c r="AT220" s="1935" t="s">
        <v>4917</v>
      </c>
      <c r="AU220" s="1937" t="s">
        <v>4918</v>
      </c>
      <c r="AV220" s="1935" t="s">
        <v>4919</v>
      </c>
      <c r="AW220" s="1935" t="s">
        <v>6271</v>
      </c>
      <c r="AX220" s="1935" t="s">
        <v>6272</v>
      </c>
      <c r="AY220" s="1897" t="s">
        <v>4916</v>
      </c>
      <c r="BA220" s="3">
        <v>1</v>
      </c>
    </row>
    <row r="221" spans="2:53" ht="30" customHeight="1">
      <c r="B221" s="1953"/>
      <c r="C221" s="203"/>
      <c r="D221" s="1948"/>
      <c r="E221" s="203"/>
      <c r="F221" s="9"/>
      <c r="G221" s="1953"/>
      <c r="H221" s="1904"/>
      <c r="I221" s="1965"/>
      <c r="J221" s="1965"/>
      <c r="L221" s="5294"/>
      <c r="M221" s="172"/>
      <c r="N221" s="1975"/>
      <c r="O221" s="1976"/>
      <c r="P221" s="1975"/>
      <c r="Q221" s="1975"/>
      <c r="R221" s="1975"/>
      <c r="S221" s="9"/>
      <c r="W221" s="9"/>
      <c r="X221" s="5283"/>
      <c r="Y221" s="1967"/>
      <c r="Z221" s="1969"/>
      <c r="AA221" s="1970"/>
      <c r="AB221" s="1969"/>
      <c r="AC221" s="1969"/>
      <c r="AD221" s="1969"/>
      <c r="AE221" s="1969"/>
      <c r="AG221" s="5285"/>
      <c r="AH221" s="1946"/>
      <c r="AI221" s="58"/>
      <c r="AJ221" s="1948"/>
      <c r="AK221" s="1948"/>
      <c r="AL221" s="172"/>
      <c r="AM221" s="5294"/>
      <c r="AN221" s="1944"/>
      <c r="AO221" s="1931"/>
      <c r="AP221" s="1931"/>
      <c r="AR221" s="5294">
        <f t="shared" ref="AR221" si="59">AR220+1</f>
        <v>15</v>
      </c>
      <c r="AS221" s="1897" t="s">
        <v>3710</v>
      </c>
      <c r="AT221" s="1935" t="s">
        <v>4920</v>
      </c>
      <c r="AU221" s="1936" t="s">
        <v>4921</v>
      </c>
      <c r="AV221" s="1935" t="s">
        <v>4922</v>
      </c>
      <c r="AW221" s="1935" t="s">
        <v>6273</v>
      </c>
      <c r="AX221" s="1935" t="s">
        <v>6274</v>
      </c>
      <c r="AY221" s="1897" t="s">
        <v>3710</v>
      </c>
      <c r="BA221" s="3">
        <v>1</v>
      </c>
    </row>
    <row r="222" spans="2:53" ht="30" customHeight="1">
      <c r="B222" s="1953"/>
      <c r="C222" s="1903" t="s">
        <v>5866</v>
      </c>
      <c r="D222" s="1989" t="s">
        <v>8510</v>
      </c>
      <c r="E222" s="1989" t="s">
        <v>8520</v>
      </c>
      <c r="F222" s="9"/>
      <c r="G222" s="1953"/>
      <c r="H222" s="1904"/>
      <c r="I222" s="1965"/>
      <c r="J222" s="1965"/>
      <c r="L222" s="5294"/>
      <c r="M222" s="172"/>
      <c r="N222" s="1975"/>
      <c r="O222" s="1976"/>
      <c r="P222" s="1975"/>
      <c r="Q222" s="1975"/>
      <c r="R222" s="1975"/>
      <c r="S222" s="9"/>
      <c r="W222" s="9"/>
      <c r="X222" s="5283"/>
      <c r="Y222" s="1967"/>
      <c r="Z222" s="1969"/>
      <c r="AA222" s="1970"/>
      <c r="AB222" s="1969"/>
      <c r="AC222" s="1969"/>
      <c r="AD222" s="1969"/>
      <c r="AE222" s="1969"/>
      <c r="AG222" s="5285"/>
      <c r="AH222" s="1946"/>
      <c r="AI222" s="58"/>
      <c r="AJ222" s="1948"/>
      <c r="AK222" s="1948"/>
      <c r="AL222" s="172"/>
      <c r="AM222" s="5294"/>
      <c r="AN222" s="1944"/>
      <c r="AO222" s="1931"/>
      <c r="AP222" s="1931"/>
      <c r="AR222" s="5294">
        <v>15</v>
      </c>
      <c r="AS222" s="1897" t="s">
        <v>4923</v>
      </c>
      <c r="AT222" s="1935" t="s">
        <v>4924</v>
      </c>
      <c r="AU222" s="1936" t="s">
        <v>4925</v>
      </c>
      <c r="AV222" s="1935" t="s">
        <v>4926</v>
      </c>
      <c r="AW222" s="1935" t="s">
        <v>6275</v>
      </c>
      <c r="AX222" s="1935" t="s">
        <v>6276</v>
      </c>
      <c r="AY222" s="1897" t="s">
        <v>4923</v>
      </c>
      <c r="BA222" s="3">
        <v>1</v>
      </c>
    </row>
    <row r="223" spans="2:53" ht="30" customHeight="1">
      <c r="B223" s="1953"/>
      <c r="C223" s="203"/>
      <c r="D223" s="1948"/>
      <c r="E223" s="203"/>
      <c r="F223" s="9"/>
      <c r="G223" s="1953"/>
      <c r="H223" s="1904"/>
      <c r="I223" s="1965"/>
      <c r="J223" s="1965"/>
      <c r="L223" s="5294"/>
      <c r="M223" s="172"/>
      <c r="N223" s="1975"/>
      <c r="O223" s="1976"/>
      <c r="P223" s="1975"/>
      <c r="Q223" s="1975"/>
      <c r="R223" s="1975"/>
      <c r="S223" s="9"/>
      <c r="W223" s="9"/>
      <c r="X223" s="5283"/>
      <c r="Y223" s="1967"/>
      <c r="Z223" s="1969"/>
      <c r="AA223" s="1970"/>
      <c r="AB223" s="1969"/>
      <c r="AC223" s="1969"/>
      <c r="AD223" s="1969"/>
      <c r="AE223" s="1969"/>
      <c r="AG223" s="5285"/>
      <c r="AH223" s="1946"/>
      <c r="AI223" s="58"/>
      <c r="AJ223" s="1948"/>
      <c r="AK223" s="1948"/>
      <c r="AL223" s="172"/>
      <c r="AM223" s="5294"/>
      <c r="AN223" s="1944"/>
      <c r="AO223" s="1931"/>
      <c r="AP223" s="1931"/>
      <c r="AR223" s="5294">
        <f t="shared" ref="AR223" si="60">AR222+1</f>
        <v>16</v>
      </c>
      <c r="AS223" s="1897" t="s">
        <v>3724</v>
      </c>
      <c r="AT223" s="1935" t="s">
        <v>4927</v>
      </c>
      <c r="AU223" s="1936" t="s">
        <v>4928</v>
      </c>
      <c r="AV223" s="1935" t="s">
        <v>4929</v>
      </c>
      <c r="AW223" s="1935" t="s">
        <v>6277</v>
      </c>
      <c r="AX223" s="1935" t="s">
        <v>6278</v>
      </c>
      <c r="AY223" s="1897" t="s">
        <v>3724</v>
      </c>
      <c r="BA223" s="3">
        <v>1</v>
      </c>
    </row>
    <row r="224" spans="2:53" ht="30" customHeight="1">
      <c r="B224" s="1953">
        <v>1</v>
      </c>
      <c r="C224" s="203" t="s">
        <v>8472</v>
      </c>
      <c r="D224" s="203"/>
      <c r="E224" s="203"/>
      <c r="F224" s="9"/>
      <c r="G224" s="1953"/>
      <c r="H224" s="1904"/>
      <c r="I224" s="1965"/>
      <c r="J224" s="1965"/>
      <c r="L224" s="5294"/>
      <c r="M224" s="172"/>
      <c r="N224" s="1975"/>
      <c r="O224" s="1976"/>
      <c r="P224" s="1975"/>
      <c r="Q224" s="1975"/>
      <c r="R224" s="1975"/>
      <c r="S224" s="9"/>
      <c r="W224" s="9"/>
      <c r="X224" s="5283"/>
      <c r="Y224" s="1967"/>
      <c r="Z224" s="1969"/>
      <c r="AA224" s="1970"/>
      <c r="AB224" s="1969"/>
      <c r="AC224" s="1969"/>
      <c r="AD224" s="1969"/>
      <c r="AE224" s="1969"/>
      <c r="AG224" s="5285"/>
      <c r="AH224" s="1946"/>
      <c r="AI224" s="58"/>
      <c r="AJ224" s="1948"/>
      <c r="AK224" s="1948"/>
      <c r="AL224" s="172"/>
      <c r="AM224" s="5294"/>
      <c r="AN224" s="1944"/>
      <c r="AO224" s="1931"/>
      <c r="AP224" s="1931"/>
      <c r="AR224" s="5294">
        <v>16</v>
      </c>
      <c r="AS224" s="1897" t="s">
        <v>3733</v>
      </c>
      <c r="AT224" s="1935" t="s">
        <v>4930</v>
      </c>
      <c r="AU224" s="1936" t="s">
        <v>4931</v>
      </c>
      <c r="AV224" s="1935" t="s">
        <v>4932</v>
      </c>
      <c r="AW224" s="1935" t="s">
        <v>6279</v>
      </c>
      <c r="AX224" s="1935" t="s">
        <v>6280</v>
      </c>
      <c r="AY224" s="1897" t="s">
        <v>3733</v>
      </c>
      <c r="BA224" s="3">
        <v>1</v>
      </c>
    </row>
    <row r="225" spans="2:53" ht="30" customHeight="1">
      <c r="B225" s="1953"/>
      <c r="C225" s="203" t="s">
        <v>8473</v>
      </c>
      <c r="D225" s="203"/>
      <c r="E225" s="203"/>
      <c r="F225" s="9"/>
      <c r="G225" s="1953"/>
      <c r="H225" s="1904"/>
      <c r="I225" s="1965"/>
      <c r="J225" s="1965"/>
      <c r="L225" s="5294"/>
      <c r="M225" s="172"/>
      <c r="N225" s="1975"/>
      <c r="O225" s="1976"/>
      <c r="P225" s="1975"/>
      <c r="Q225" s="1975"/>
      <c r="R225" s="1975"/>
      <c r="S225" s="9"/>
      <c r="W225" s="9"/>
      <c r="X225" s="5283"/>
      <c r="Y225" s="1967"/>
      <c r="Z225" s="1969"/>
      <c r="AA225" s="1970"/>
      <c r="AB225" s="1969"/>
      <c r="AC225" s="1969"/>
      <c r="AD225" s="1969"/>
      <c r="AE225" s="1969"/>
      <c r="AG225" s="5285"/>
      <c r="AH225" s="1946"/>
      <c r="AI225" s="58"/>
      <c r="AJ225" s="1948"/>
      <c r="AK225" s="1948"/>
      <c r="AL225" s="172"/>
      <c r="AM225" s="5294"/>
      <c r="AN225" s="1944"/>
      <c r="AO225" s="1931"/>
      <c r="AP225" s="1931"/>
      <c r="AR225" s="5275"/>
      <c r="AS225" s="1940" t="s">
        <v>3748</v>
      </c>
      <c r="AT225" s="1933"/>
      <c r="AU225" s="1933"/>
      <c r="AV225" s="1933"/>
      <c r="AW225" s="1932"/>
      <c r="AX225" s="1932"/>
      <c r="AY225" s="1940" t="s">
        <v>3748</v>
      </c>
      <c r="BA225" s="3">
        <v>1</v>
      </c>
    </row>
    <row r="226" spans="2:53" ht="30" customHeight="1">
      <c r="B226" s="1953"/>
      <c r="C226" s="203"/>
      <c r="D226" s="203"/>
      <c r="E226" s="203"/>
      <c r="F226" s="9"/>
      <c r="G226" s="1953"/>
      <c r="H226" s="1904"/>
      <c r="I226" s="1965"/>
      <c r="J226" s="1965"/>
      <c r="L226" s="5294"/>
      <c r="M226" s="172"/>
      <c r="N226" s="1975"/>
      <c r="O226" s="1976"/>
      <c r="P226" s="1975"/>
      <c r="Q226" s="1975"/>
      <c r="R226" s="1975"/>
      <c r="S226" s="9"/>
      <c r="W226" s="9"/>
      <c r="X226" s="5283"/>
      <c r="Y226" s="1967"/>
      <c r="Z226" s="1969"/>
      <c r="AA226" s="1970"/>
      <c r="AB226" s="1969"/>
      <c r="AC226" s="1969"/>
      <c r="AD226" s="1969"/>
      <c r="AE226" s="1969"/>
      <c r="AG226" s="5285"/>
      <c r="AH226" s="1946"/>
      <c r="AI226" s="58"/>
      <c r="AJ226" s="1948"/>
      <c r="AK226" s="1948"/>
      <c r="AL226" s="172"/>
      <c r="AM226" s="5294"/>
      <c r="AN226" s="1944"/>
      <c r="AO226" s="1931"/>
      <c r="AP226" s="1931"/>
      <c r="AR226" s="5294">
        <v>1</v>
      </c>
      <c r="AS226" s="1897" t="s">
        <v>3755</v>
      </c>
      <c r="AT226" s="1935" t="s">
        <v>4933</v>
      </c>
      <c r="AU226" s="1936" t="s">
        <v>4934</v>
      </c>
      <c r="AV226" s="1935" t="s">
        <v>4935</v>
      </c>
      <c r="AW226" s="1935" t="s">
        <v>6281</v>
      </c>
      <c r="AX226" s="1935" t="s">
        <v>6282</v>
      </c>
      <c r="AY226" s="1897" t="s">
        <v>3755</v>
      </c>
      <c r="BA226" s="3">
        <v>1</v>
      </c>
    </row>
    <row r="227" spans="2:53" ht="30" customHeight="1">
      <c r="B227" s="1953">
        <v>2</v>
      </c>
      <c r="C227" s="203" t="s">
        <v>8521</v>
      </c>
      <c r="D227" s="203"/>
      <c r="F227" s="9"/>
      <c r="G227" s="1953"/>
      <c r="H227" s="1904"/>
      <c r="I227" s="1965"/>
      <c r="J227" s="1965"/>
      <c r="L227" s="5294"/>
      <c r="M227" s="172"/>
      <c r="N227" s="1975"/>
      <c r="O227" s="1976"/>
      <c r="P227" s="1975"/>
      <c r="Q227" s="1975"/>
      <c r="R227" s="1975"/>
      <c r="S227" s="9"/>
      <c r="W227" s="9"/>
      <c r="X227" s="5283"/>
      <c r="Y227" s="1967"/>
      <c r="Z227" s="1969"/>
      <c r="AA227" s="1970"/>
      <c r="AB227" s="1969"/>
      <c r="AC227" s="1969"/>
      <c r="AD227" s="1969"/>
      <c r="AE227" s="1969"/>
      <c r="AG227" s="5285"/>
      <c r="AH227" s="1946"/>
      <c r="AI227" s="58"/>
      <c r="AJ227" s="1948"/>
      <c r="AK227" s="1948"/>
      <c r="AL227" s="172"/>
      <c r="AM227" s="5294"/>
      <c r="AN227" s="1944"/>
      <c r="AO227" s="1931"/>
      <c r="AP227" s="1931"/>
      <c r="AR227" s="5294">
        <f>AR226+1</f>
        <v>2</v>
      </c>
      <c r="AS227" s="1897" t="s">
        <v>3763</v>
      </c>
      <c r="AT227" s="1935" t="s">
        <v>4936</v>
      </c>
      <c r="AU227" s="1936" t="s">
        <v>4937</v>
      </c>
      <c r="AV227" s="1935" t="s">
        <v>4938</v>
      </c>
      <c r="AW227" s="1935" t="s">
        <v>6283</v>
      </c>
      <c r="AX227" s="1935" t="s">
        <v>6284</v>
      </c>
      <c r="AY227" s="1897" t="s">
        <v>3763</v>
      </c>
      <c r="BA227" s="3">
        <v>1</v>
      </c>
    </row>
    <row r="228" spans="2:53" ht="30" customHeight="1">
      <c r="B228" s="1953"/>
      <c r="C228" s="203" t="s">
        <v>8524</v>
      </c>
      <c r="D228" s="203"/>
      <c r="F228" s="9"/>
      <c r="G228" s="1953"/>
      <c r="H228" s="1904"/>
      <c r="I228" s="1965"/>
      <c r="J228" s="1965"/>
      <c r="L228" s="5294"/>
      <c r="M228" s="172"/>
      <c r="N228" s="1975"/>
      <c r="O228" s="1976"/>
      <c r="P228" s="1975"/>
      <c r="Q228" s="1975"/>
      <c r="R228" s="1975"/>
      <c r="S228" s="9"/>
      <c r="W228" s="9"/>
      <c r="X228" s="5283"/>
      <c r="Y228" s="1967"/>
      <c r="Z228" s="1969"/>
      <c r="AA228" s="1970"/>
      <c r="AB228" s="1969"/>
      <c r="AC228" s="1969"/>
      <c r="AD228" s="1969"/>
      <c r="AE228" s="1969"/>
      <c r="AG228" s="5285"/>
      <c r="AH228" s="1946"/>
      <c r="AI228" s="58"/>
      <c r="AJ228" s="1948"/>
      <c r="AK228" s="1948"/>
      <c r="AL228" s="172"/>
      <c r="AM228" s="5294"/>
      <c r="AN228" s="1944"/>
      <c r="AO228" s="1931"/>
      <c r="AP228" s="1931"/>
      <c r="AR228" s="5294">
        <f t="shared" ref="AR228:AR235" si="61">AR227+1</f>
        <v>3</v>
      </c>
      <c r="AS228" s="1897" t="s">
        <v>3769</v>
      </c>
      <c r="AT228" s="1935" t="s">
        <v>4939</v>
      </c>
      <c r="AU228" s="1936" t="s">
        <v>4940</v>
      </c>
      <c r="AV228" s="1935" t="s">
        <v>4941</v>
      </c>
      <c r="AW228" s="1935" t="s">
        <v>6285</v>
      </c>
      <c r="AX228" s="1935" t="s">
        <v>6286</v>
      </c>
      <c r="AY228" s="1897" t="s">
        <v>3769</v>
      </c>
      <c r="BA228" s="3">
        <v>1</v>
      </c>
    </row>
    <row r="229" spans="2:53" ht="30" customHeight="1">
      <c r="B229" s="1953"/>
      <c r="C229" s="203"/>
      <c r="D229" s="203"/>
      <c r="F229" s="9"/>
      <c r="G229" s="1953"/>
      <c r="H229" s="1904"/>
      <c r="I229" s="1965"/>
      <c r="J229" s="1965"/>
      <c r="L229" s="5294"/>
      <c r="M229" s="172"/>
      <c r="N229" s="1975"/>
      <c r="O229" s="1976"/>
      <c r="P229" s="1975"/>
      <c r="Q229" s="1975"/>
      <c r="R229" s="1975"/>
      <c r="S229" s="9"/>
      <c r="W229" s="9"/>
      <c r="X229" s="5283"/>
      <c r="Y229" s="1967"/>
      <c r="Z229" s="1969"/>
      <c r="AA229" s="1970"/>
      <c r="AB229" s="1969"/>
      <c r="AC229" s="1969"/>
      <c r="AD229" s="1969"/>
      <c r="AE229" s="1969"/>
      <c r="AG229" s="5285"/>
      <c r="AH229" s="1946"/>
      <c r="AI229" s="58"/>
      <c r="AJ229" s="1948"/>
      <c r="AK229" s="1948"/>
      <c r="AL229" s="172"/>
      <c r="AM229" s="5294"/>
      <c r="AN229" s="1944"/>
      <c r="AO229" s="1931"/>
      <c r="AP229" s="1931"/>
      <c r="AR229" s="5294">
        <f t="shared" si="61"/>
        <v>4</v>
      </c>
      <c r="AS229" s="1897" t="s">
        <v>3775</v>
      </c>
      <c r="AT229" s="1935" t="s">
        <v>4942</v>
      </c>
      <c r="AU229" s="1936" t="s">
        <v>4943</v>
      </c>
      <c r="AV229" s="1935" t="s">
        <v>4944</v>
      </c>
      <c r="AW229" s="1935" t="s">
        <v>6287</v>
      </c>
      <c r="AX229" s="1935" t="s">
        <v>6288</v>
      </c>
      <c r="AY229" s="1897" t="s">
        <v>3775</v>
      </c>
      <c r="BA229" s="3">
        <v>1</v>
      </c>
    </row>
    <row r="230" spans="2:53" ht="30" customHeight="1">
      <c r="B230" s="1953">
        <v>3</v>
      </c>
      <c r="C230" s="58" t="s">
        <v>8522</v>
      </c>
      <c r="D230" s="203"/>
      <c r="F230" s="9"/>
      <c r="G230" s="1953"/>
      <c r="H230" s="1904"/>
      <c r="I230" s="1965"/>
      <c r="J230" s="1965"/>
      <c r="L230" s="5294"/>
      <c r="M230" s="172"/>
      <c r="N230" s="1975"/>
      <c r="O230" s="1976"/>
      <c r="P230" s="1975"/>
      <c r="Q230" s="1975"/>
      <c r="R230" s="1975"/>
      <c r="S230" s="9"/>
      <c r="W230" s="9"/>
      <c r="X230" s="5283"/>
      <c r="Y230" s="1967"/>
      <c r="Z230" s="1969"/>
      <c r="AA230" s="1970"/>
      <c r="AB230" s="1969"/>
      <c r="AC230" s="1969"/>
      <c r="AD230" s="1969"/>
      <c r="AE230" s="1969"/>
      <c r="AG230" s="5285"/>
      <c r="AH230" s="1946"/>
      <c r="AI230" s="58"/>
      <c r="AJ230" s="1948"/>
      <c r="AK230" s="1948"/>
      <c r="AL230" s="172"/>
      <c r="AM230" s="5294"/>
      <c r="AN230" s="1944"/>
      <c r="AO230" s="1931"/>
      <c r="AP230" s="1931"/>
      <c r="AR230" s="5294">
        <f t="shared" si="61"/>
        <v>5</v>
      </c>
      <c r="AS230" s="1897" t="s">
        <v>3783</v>
      </c>
      <c r="AT230" s="1935" t="s">
        <v>4945</v>
      </c>
      <c r="AU230" s="1936" t="s">
        <v>4946</v>
      </c>
      <c r="AV230" s="1935" t="s">
        <v>4947</v>
      </c>
      <c r="AW230" s="1935" t="s">
        <v>6289</v>
      </c>
      <c r="AX230" s="1935" t="s">
        <v>6290</v>
      </c>
      <c r="AY230" s="1897" t="s">
        <v>3783</v>
      </c>
      <c r="BA230" s="3">
        <v>1</v>
      </c>
    </row>
    <row r="231" spans="2:53" ht="30" customHeight="1">
      <c r="B231" s="1953"/>
      <c r="C231" s="58" t="s">
        <v>8523</v>
      </c>
      <c r="D231" s="203"/>
      <c r="F231" s="9"/>
      <c r="G231" s="1953"/>
      <c r="H231" s="1904"/>
      <c r="I231" s="1965"/>
      <c r="J231" s="1965"/>
      <c r="L231" s="5294"/>
      <c r="M231" s="172"/>
      <c r="N231" s="1975"/>
      <c r="O231" s="1976"/>
      <c r="P231" s="1975"/>
      <c r="Q231" s="1975"/>
      <c r="R231" s="1975"/>
      <c r="S231" s="9"/>
      <c r="W231" s="9"/>
      <c r="X231" s="5283"/>
      <c r="Y231" s="1967"/>
      <c r="Z231" s="1969"/>
      <c r="AA231" s="1970"/>
      <c r="AB231" s="1969"/>
      <c r="AC231" s="1969"/>
      <c r="AD231" s="1969"/>
      <c r="AE231" s="1969"/>
      <c r="AG231" s="5285"/>
      <c r="AH231" s="1946"/>
      <c r="AI231" s="58"/>
      <c r="AJ231" s="1948"/>
      <c r="AK231" s="1948"/>
      <c r="AL231" s="172"/>
      <c r="AM231" s="5294"/>
      <c r="AN231" s="1944"/>
      <c r="AO231" s="1931"/>
      <c r="AP231" s="1931"/>
      <c r="AR231" s="5294">
        <f t="shared" si="61"/>
        <v>6</v>
      </c>
      <c r="AS231" s="1897" t="s">
        <v>4948</v>
      </c>
      <c r="AT231" s="1935" t="s">
        <v>4949</v>
      </c>
      <c r="AU231" s="1936" t="s">
        <v>4950</v>
      </c>
      <c r="AV231" s="1935" t="s">
        <v>4951</v>
      </c>
      <c r="AW231" s="1935" t="s">
        <v>6291</v>
      </c>
      <c r="AX231" s="1935" t="s">
        <v>6292</v>
      </c>
      <c r="AY231" s="1897" t="s">
        <v>4948</v>
      </c>
      <c r="BA231" s="3">
        <v>1</v>
      </c>
    </row>
    <row r="232" spans="2:53" ht="30" customHeight="1">
      <c r="B232" s="1953"/>
      <c r="C232" s="1894"/>
      <c r="D232" s="1894"/>
      <c r="E232" s="1894"/>
      <c r="F232" s="9"/>
      <c r="G232" s="1953"/>
      <c r="H232" s="1904"/>
      <c r="I232" s="1965"/>
      <c r="J232" s="1965"/>
      <c r="L232" s="5294"/>
      <c r="M232" s="172"/>
      <c r="N232" s="1975"/>
      <c r="O232" s="1976"/>
      <c r="P232" s="1975"/>
      <c r="Q232" s="1975"/>
      <c r="R232" s="1975"/>
      <c r="S232" s="9"/>
      <c r="W232" s="9"/>
      <c r="X232" s="5283"/>
      <c r="Y232" s="1967"/>
      <c r="Z232" s="1969"/>
      <c r="AA232" s="1970"/>
      <c r="AB232" s="1969"/>
      <c r="AC232" s="1969"/>
      <c r="AD232" s="1969"/>
      <c r="AE232" s="1969"/>
      <c r="AG232" s="5285"/>
      <c r="AH232" s="1946"/>
      <c r="AI232" s="58"/>
      <c r="AJ232" s="1948"/>
      <c r="AK232" s="1948"/>
      <c r="AL232" s="172"/>
      <c r="AM232" s="5294"/>
      <c r="AN232" s="1944"/>
      <c r="AO232" s="1931"/>
      <c r="AP232" s="1931"/>
      <c r="AR232" s="5294">
        <f t="shared" si="61"/>
        <v>7</v>
      </c>
      <c r="AS232" s="1897" t="s">
        <v>3796</v>
      </c>
      <c r="AT232" s="1935" t="s">
        <v>4952</v>
      </c>
      <c r="AU232" s="1936" t="s">
        <v>4953</v>
      </c>
      <c r="AV232" s="1935" t="s">
        <v>4954</v>
      </c>
      <c r="AW232" s="1935" t="s">
        <v>6293</v>
      </c>
      <c r="AX232" s="1935" t="s">
        <v>6294</v>
      </c>
      <c r="AY232" s="1897" t="s">
        <v>3796</v>
      </c>
      <c r="BA232" s="3">
        <v>1</v>
      </c>
    </row>
    <row r="233" spans="2:53" ht="30" customHeight="1">
      <c r="B233" s="1953"/>
      <c r="C233" s="1894"/>
      <c r="D233" s="1894"/>
      <c r="E233" s="1894"/>
      <c r="F233" s="9"/>
      <c r="G233" s="1953"/>
      <c r="H233" s="1904"/>
      <c r="I233" s="1965"/>
      <c r="J233" s="1965"/>
      <c r="L233" s="5294"/>
      <c r="M233" s="172"/>
      <c r="N233" s="1975"/>
      <c r="O233" s="1976"/>
      <c r="P233" s="1975"/>
      <c r="Q233" s="1975"/>
      <c r="R233" s="1975"/>
      <c r="S233" s="9"/>
      <c r="W233" s="9"/>
      <c r="X233" s="5283"/>
      <c r="Y233" s="1967"/>
      <c r="Z233" s="1969"/>
      <c r="AA233" s="1970"/>
      <c r="AB233" s="1969"/>
      <c r="AC233" s="1969"/>
      <c r="AD233" s="1969"/>
      <c r="AE233" s="1969"/>
      <c r="AG233" s="5285"/>
      <c r="AH233" s="1946"/>
      <c r="AI233" s="58"/>
      <c r="AJ233" s="1948"/>
      <c r="AK233" s="1948"/>
      <c r="AL233" s="172"/>
      <c r="AM233" s="5294"/>
      <c r="AN233" s="1944"/>
      <c r="AO233" s="1931"/>
      <c r="AP233" s="1931"/>
      <c r="AR233" s="5294">
        <f t="shared" si="61"/>
        <v>8</v>
      </c>
      <c r="AS233" s="1897" t="s">
        <v>3803</v>
      </c>
      <c r="AT233" s="1935" t="s">
        <v>4955</v>
      </c>
      <c r="AU233" s="1936" t="s">
        <v>4956</v>
      </c>
      <c r="AV233" s="1935" t="s">
        <v>4957</v>
      </c>
      <c r="AW233" s="1935" t="s">
        <v>6295</v>
      </c>
      <c r="AX233" s="1935" t="s">
        <v>6296</v>
      </c>
      <c r="AY233" s="1897" t="s">
        <v>3803</v>
      </c>
      <c r="BA233" s="3">
        <v>1</v>
      </c>
    </row>
    <row r="234" spans="2:53" ht="30" customHeight="1">
      <c r="B234" s="1953"/>
      <c r="C234" s="1894"/>
      <c r="D234" s="1894"/>
      <c r="E234" s="1894"/>
      <c r="F234" s="9"/>
      <c r="G234" s="1953"/>
      <c r="H234" s="1904"/>
      <c r="I234" s="1965"/>
      <c r="J234" s="1965"/>
      <c r="L234" s="5294"/>
      <c r="M234" s="172"/>
      <c r="N234" s="1975"/>
      <c r="O234" s="1976"/>
      <c r="P234" s="1975"/>
      <c r="Q234" s="1975"/>
      <c r="R234" s="1975"/>
      <c r="S234" s="9"/>
      <c r="W234" s="9"/>
      <c r="X234" s="5283"/>
      <c r="Y234" s="1967"/>
      <c r="Z234" s="1969"/>
      <c r="AA234" s="1970"/>
      <c r="AB234" s="1969"/>
      <c r="AC234" s="1969"/>
      <c r="AD234" s="1969"/>
      <c r="AE234" s="1969"/>
      <c r="AG234" s="5285"/>
      <c r="AH234" s="1946"/>
      <c r="AI234" s="58"/>
      <c r="AJ234" s="1948"/>
      <c r="AK234" s="1948"/>
      <c r="AL234" s="172"/>
      <c r="AM234" s="5294"/>
      <c r="AN234" s="1944"/>
      <c r="AO234" s="1931"/>
      <c r="AP234" s="1931"/>
      <c r="AR234" s="5294">
        <f t="shared" si="61"/>
        <v>9</v>
      </c>
      <c r="AS234" s="1897" t="s">
        <v>3809</v>
      </c>
      <c r="AT234" s="1935" t="s">
        <v>4958</v>
      </c>
      <c r="AU234" s="1936" t="s">
        <v>4959</v>
      </c>
      <c r="AV234" s="1935" t="s">
        <v>4960</v>
      </c>
      <c r="AW234" s="1935" t="s">
        <v>6297</v>
      </c>
      <c r="AX234" s="1935" t="s">
        <v>6298</v>
      </c>
      <c r="AY234" s="1897" t="s">
        <v>3809</v>
      </c>
      <c r="BA234" s="3">
        <v>1</v>
      </c>
    </row>
    <row r="235" spans="2:53" ht="30" customHeight="1">
      <c r="B235" s="1953"/>
      <c r="C235" s="1894"/>
      <c r="D235" s="1894"/>
      <c r="E235" s="1894"/>
      <c r="F235" s="9"/>
      <c r="G235" s="1953"/>
      <c r="H235" s="1904"/>
      <c r="I235" s="1965"/>
      <c r="J235" s="1965"/>
      <c r="L235" s="5294"/>
      <c r="M235" s="172"/>
      <c r="N235" s="1975"/>
      <c r="O235" s="1976"/>
      <c r="P235" s="1975"/>
      <c r="Q235" s="1975"/>
      <c r="R235" s="1975"/>
      <c r="S235" s="9"/>
      <c r="W235" s="9"/>
      <c r="X235" s="5283"/>
      <c r="Y235" s="1967"/>
      <c r="Z235" s="1969"/>
      <c r="AA235" s="1970"/>
      <c r="AB235" s="1969"/>
      <c r="AC235" s="1969"/>
      <c r="AD235" s="1969"/>
      <c r="AE235" s="1969"/>
      <c r="AG235" s="5285"/>
      <c r="AH235" s="1946"/>
      <c r="AI235" s="58"/>
      <c r="AJ235" s="1948"/>
      <c r="AK235" s="1948"/>
      <c r="AL235" s="172"/>
      <c r="AM235" s="5294"/>
      <c r="AN235" s="1944"/>
      <c r="AO235" s="1931"/>
      <c r="AP235" s="1931"/>
      <c r="AR235" s="5294">
        <f t="shared" si="61"/>
        <v>10</v>
      </c>
      <c r="AS235" s="1897" t="s">
        <v>3817</v>
      </c>
      <c r="AT235" s="1935" t="s">
        <v>4961</v>
      </c>
      <c r="AU235" s="1936" t="s">
        <v>4962</v>
      </c>
      <c r="AV235" s="1935" t="s">
        <v>4963</v>
      </c>
      <c r="AW235" s="1935" t="s">
        <v>6299</v>
      </c>
      <c r="AX235" s="1935" t="s">
        <v>6300</v>
      </c>
      <c r="AY235" s="1897" t="s">
        <v>3817</v>
      </c>
      <c r="BA235" s="3">
        <v>1</v>
      </c>
    </row>
    <row r="236" spans="2:53" ht="30" customHeight="1">
      <c r="B236" s="1953"/>
      <c r="C236" s="1894"/>
      <c r="D236" s="1894"/>
      <c r="E236" s="1894"/>
      <c r="F236" s="9"/>
      <c r="G236" s="1953"/>
      <c r="H236" s="1904"/>
      <c r="I236" s="1965"/>
      <c r="J236" s="1965"/>
      <c r="L236" s="5294"/>
      <c r="M236" s="172"/>
      <c r="N236" s="1975"/>
      <c r="O236" s="1976"/>
      <c r="P236" s="1975"/>
      <c r="Q236" s="1975"/>
      <c r="R236" s="1975"/>
      <c r="S236" s="9"/>
      <c r="W236" s="9"/>
      <c r="X236" s="5283"/>
      <c r="Y236" s="1967"/>
      <c r="Z236" s="1969"/>
      <c r="AA236" s="1970"/>
      <c r="AB236" s="1969"/>
      <c r="AC236" s="1969"/>
      <c r="AD236" s="1969"/>
      <c r="AE236" s="1969"/>
      <c r="AG236" s="5285"/>
      <c r="AH236" s="1946"/>
      <c r="AI236" s="58"/>
      <c r="AJ236" s="1948"/>
      <c r="AK236" s="1948"/>
      <c r="AL236" s="172"/>
      <c r="AM236" s="5294"/>
      <c r="AN236" s="1944"/>
      <c r="AO236" s="1931"/>
      <c r="AP236" s="1931"/>
      <c r="AR236" s="5275"/>
      <c r="AS236" s="1940" t="s">
        <v>3832</v>
      </c>
      <c r="AT236" s="1933"/>
      <c r="AU236" s="1933"/>
      <c r="AV236" s="1933"/>
      <c r="AW236" s="1932"/>
      <c r="AX236" s="1940" t="s">
        <v>3832</v>
      </c>
      <c r="AY236" s="1940" t="s">
        <v>3832</v>
      </c>
      <c r="BA236" s="3">
        <v>1</v>
      </c>
    </row>
    <row r="237" spans="2:53" ht="30" customHeight="1">
      <c r="B237" s="1953"/>
      <c r="C237" s="1894"/>
      <c r="D237" s="1894"/>
      <c r="E237" s="1894"/>
      <c r="F237" s="9"/>
      <c r="G237" s="1953"/>
      <c r="H237" s="1904"/>
      <c r="I237" s="1965"/>
      <c r="J237" s="1965"/>
      <c r="L237" s="5294"/>
      <c r="M237" s="172"/>
      <c r="N237" s="1975"/>
      <c r="O237" s="1976"/>
      <c r="P237" s="1975"/>
      <c r="Q237" s="1975"/>
      <c r="R237" s="1975"/>
      <c r="S237" s="9"/>
      <c r="W237" s="9"/>
      <c r="X237" s="5283"/>
      <c r="Y237" s="1967"/>
      <c r="Z237" s="1969"/>
      <c r="AA237" s="1970"/>
      <c r="AB237" s="1969"/>
      <c r="AC237" s="1969"/>
      <c r="AD237" s="1969"/>
      <c r="AE237" s="1969"/>
      <c r="AG237" s="5285"/>
      <c r="AH237" s="1946"/>
      <c r="AI237" s="58"/>
      <c r="AJ237" s="1948"/>
      <c r="AK237" s="1948"/>
      <c r="AL237" s="172"/>
      <c r="AM237" s="5294"/>
      <c r="AN237" s="1944"/>
      <c r="AO237" s="1931"/>
      <c r="AP237" s="1931"/>
      <c r="AR237" s="5294">
        <v>1</v>
      </c>
      <c r="AS237" s="1897" t="s">
        <v>3839</v>
      </c>
      <c r="AT237" s="1935" t="s">
        <v>4964</v>
      </c>
      <c r="AU237" s="1936" t="s">
        <v>4965</v>
      </c>
      <c r="AV237" s="1935" t="s">
        <v>4966</v>
      </c>
      <c r="AW237" s="1935" t="s">
        <v>6301</v>
      </c>
      <c r="AX237" s="1935" t="s">
        <v>6302</v>
      </c>
      <c r="AY237" s="1897" t="s">
        <v>3839</v>
      </c>
      <c r="BA237" s="3">
        <v>1</v>
      </c>
    </row>
    <row r="238" spans="2:53" ht="30" customHeight="1">
      <c r="B238" s="1953"/>
      <c r="C238" s="1894"/>
      <c r="D238" s="1894"/>
      <c r="E238" s="1894"/>
      <c r="F238" s="9"/>
      <c r="G238" s="1953"/>
      <c r="H238" s="1904"/>
      <c r="I238" s="1965"/>
      <c r="J238" s="1965"/>
      <c r="L238" s="5294"/>
      <c r="M238" s="172"/>
      <c r="N238" s="1975"/>
      <c r="O238" s="1976"/>
      <c r="P238" s="1975"/>
      <c r="Q238" s="1975"/>
      <c r="R238" s="1975"/>
      <c r="S238" s="9"/>
      <c r="W238" s="9"/>
      <c r="X238" s="5283"/>
      <c r="Y238" s="1967"/>
      <c r="Z238" s="1969"/>
      <c r="AA238" s="1970"/>
      <c r="AB238" s="1969"/>
      <c r="AC238" s="1969"/>
      <c r="AD238" s="1969"/>
      <c r="AE238" s="1969"/>
      <c r="AG238" s="5285"/>
      <c r="AH238" s="1946"/>
      <c r="AI238" s="58"/>
      <c r="AJ238" s="1948"/>
      <c r="AK238" s="1948"/>
      <c r="AL238" s="172"/>
      <c r="AM238" s="5294"/>
      <c r="AN238" s="1944"/>
      <c r="AO238" s="1931"/>
      <c r="AP238" s="1931"/>
      <c r="AR238" s="5294">
        <f>AR237+1</f>
        <v>2</v>
      </c>
      <c r="AS238" s="1897" t="s">
        <v>3843</v>
      </c>
      <c r="AT238" s="1935" t="s">
        <v>4967</v>
      </c>
      <c r="AU238" s="1936" t="s">
        <v>4968</v>
      </c>
      <c r="AV238" s="1935" t="s">
        <v>4969</v>
      </c>
      <c r="AW238" s="1935" t="s">
        <v>6303</v>
      </c>
      <c r="AX238" s="1935" t="s">
        <v>6304</v>
      </c>
      <c r="AY238" s="1897" t="s">
        <v>3843</v>
      </c>
      <c r="BA238" s="3">
        <v>1</v>
      </c>
    </row>
    <row r="239" spans="2:53" ht="30" customHeight="1">
      <c r="B239" s="1953"/>
      <c r="C239" s="1894"/>
      <c r="D239" s="1894"/>
      <c r="E239" s="1894"/>
      <c r="F239" s="9"/>
      <c r="G239" s="1953"/>
      <c r="H239" s="1904"/>
      <c r="I239" s="1965"/>
      <c r="J239" s="1965"/>
      <c r="L239" s="5294"/>
      <c r="M239" s="172"/>
      <c r="N239" s="1975"/>
      <c r="O239" s="1976"/>
      <c r="P239" s="1975"/>
      <c r="Q239" s="1975"/>
      <c r="R239" s="1975"/>
      <c r="S239" s="9"/>
      <c r="W239" s="9"/>
      <c r="X239" s="5283"/>
      <c r="Y239" s="1967"/>
      <c r="Z239" s="1969"/>
      <c r="AA239" s="1970"/>
      <c r="AB239" s="1969"/>
      <c r="AC239" s="1969"/>
      <c r="AD239" s="1969"/>
      <c r="AE239" s="1969"/>
      <c r="AG239" s="5285"/>
      <c r="AH239" s="1946"/>
      <c r="AI239" s="58"/>
      <c r="AJ239" s="1948"/>
      <c r="AK239" s="1948"/>
      <c r="AL239" s="172"/>
      <c r="AM239" s="5294"/>
      <c r="AN239" s="1944"/>
      <c r="AO239" s="1931"/>
      <c r="AP239" s="1931"/>
      <c r="AR239" s="5294">
        <f>AR238+1</f>
        <v>3</v>
      </c>
      <c r="AS239" s="1897" t="s">
        <v>3848</v>
      </c>
      <c r="AT239" s="1935" t="s">
        <v>4970</v>
      </c>
      <c r="AU239" s="1936" t="s">
        <v>4971</v>
      </c>
      <c r="AV239" s="1935" t="s">
        <v>4972</v>
      </c>
      <c r="AW239" s="1935" t="s">
        <v>6305</v>
      </c>
      <c r="AX239" s="1935" t="s">
        <v>6306</v>
      </c>
      <c r="AY239" s="1897" t="s">
        <v>3848</v>
      </c>
      <c r="BA239" s="3">
        <v>1</v>
      </c>
    </row>
    <row r="240" spans="2:53" ht="30" customHeight="1">
      <c r="B240" s="1953"/>
      <c r="C240" s="1894"/>
      <c r="D240" s="1894"/>
      <c r="E240" s="1894"/>
      <c r="F240" s="9"/>
      <c r="G240" s="1953"/>
      <c r="H240" s="1904"/>
      <c r="I240" s="1965"/>
      <c r="J240" s="1965"/>
      <c r="L240" s="5294"/>
      <c r="M240" s="172"/>
      <c r="N240" s="1975"/>
      <c r="O240" s="1976"/>
      <c r="P240" s="1975"/>
      <c r="Q240" s="1975"/>
      <c r="R240" s="1975"/>
      <c r="S240" s="9"/>
      <c r="W240" s="9"/>
      <c r="X240" s="5283"/>
      <c r="Y240" s="1967"/>
      <c r="Z240" s="1969"/>
      <c r="AA240" s="1970"/>
      <c r="AB240" s="1969"/>
      <c r="AC240" s="1969"/>
      <c r="AD240" s="1969"/>
      <c r="AE240" s="1969"/>
      <c r="AG240" s="5285"/>
      <c r="AH240" s="1946"/>
      <c r="AI240" s="58"/>
      <c r="AJ240" s="1948"/>
      <c r="AK240" s="1948"/>
      <c r="AL240" s="172"/>
      <c r="AM240" s="5294"/>
      <c r="AN240" s="1944"/>
      <c r="AO240" s="1931"/>
      <c r="AP240" s="1931"/>
      <c r="AR240" s="5294">
        <f>AR239+1</f>
        <v>4</v>
      </c>
      <c r="AS240" s="1897" t="s">
        <v>3857</v>
      </c>
      <c r="AT240" s="1935" t="s">
        <v>4973</v>
      </c>
      <c r="AU240" s="1936" t="s">
        <v>4974</v>
      </c>
      <c r="AV240" s="1935" t="s">
        <v>4975</v>
      </c>
      <c r="AW240" s="1935" t="s">
        <v>6307</v>
      </c>
      <c r="AX240" s="1935" t="s">
        <v>6308</v>
      </c>
      <c r="AY240" s="1897" t="s">
        <v>3857</v>
      </c>
      <c r="BA240" s="3">
        <v>1</v>
      </c>
    </row>
    <row r="241" spans="2:53" ht="30" customHeight="1">
      <c r="B241" s="1953"/>
      <c r="C241" s="1894"/>
      <c r="D241" s="1894"/>
      <c r="E241" s="1894"/>
      <c r="F241" s="9"/>
      <c r="G241" s="1953"/>
      <c r="H241" s="1904"/>
      <c r="I241" s="1965"/>
      <c r="J241" s="1965"/>
      <c r="L241" s="5294"/>
      <c r="M241" s="172"/>
      <c r="N241" s="1975"/>
      <c r="O241" s="1976"/>
      <c r="P241" s="1975"/>
      <c r="Q241" s="1975"/>
      <c r="R241" s="1975"/>
      <c r="S241" s="9"/>
      <c r="W241" s="9"/>
      <c r="X241" s="5283"/>
      <c r="Y241" s="1967"/>
      <c r="Z241" s="1969"/>
      <c r="AA241" s="1970"/>
      <c r="AB241" s="1969"/>
      <c r="AC241" s="1969"/>
      <c r="AD241" s="1969"/>
      <c r="AE241" s="1969"/>
      <c r="AG241" s="5285"/>
      <c r="AH241" s="1946"/>
      <c r="AI241" s="58"/>
      <c r="AJ241" s="1948"/>
      <c r="AK241" s="1948"/>
      <c r="AL241" s="172"/>
      <c r="AM241" s="5294"/>
      <c r="AN241" s="1944"/>
      <c r="AO241" s="1931"/>
      <c r="AP241" s="1931"/>
      <c r="AR241" s="5304"/>
      <c r="AS241" s="1907"/>
      <c r="AT241" s="1907"/>
      <c r="AU241" s="1907"/>
      <c r="AV241" s="1907"/>
      <c r="AW241" s="1907"/>
      <c r="AX241" s="1907"/>
      <c r="AY241" s="1907"/>
      <c r="BA241" s="3">
        <v>1</v>
      </c>
    </row>
    <row r="242" spans="2:53" ht="30" customHeight="1">
      <c r="B242" s="1953"/>
      <c r="C242" s="1894"/>
      <c r="D242" s="1894"/>
      <c r="E242" s="1894"/>
      <c r="F242" s="9"/>
      <c r="G242" s="1953"/>
      <c r="H242" s="1904"/>
      <c r="I242" s="1965"/>
      <c r="J242" s="1965"/>
      <c r="L242" s="5294"/>
      <c r="M242" s="172"/>
      <c r="N242" s="1975"/>
      <c r="O242" s="1976"/>
      <c r="P242" s="1975"/>
      <c r="Q242" s="1975"/>
      <c r="R242" s="1975"/>
      <c r="S242" s="9"/>
      <c r="W242" s="9"/>
      <c r="X242" s="5283"/>
      <c r="Y242" s="1967"/>
      <c r="Z242" s="1969"/>
      <c r="AA242" s="1970"/>
      <c r="AB242" s="1969"/>
      <c r="AC242" s="1969"/>
      <c r="AD242" s="1969"/>
      <c r="AE242" s="1969"/>
      <c r="AG242" s="5285"/>
      <c r="AH242" s="1946"/>
      <c r="AI242" s="58"/>
      <c r="AJ242" s="1948"/>
      <c r="AK242" s="1948"/>
      <c r="AL242" s="172"/>
      <c r="AM242" s="5294"/>
      <c r="AN242" s="1944"/>
      <c r="AO242" s="1931"/>
      <c r="AP242" s="1931"/>
      <c r="AR242" s="5275"/>
      <c r="AS242" s="1940" t="s">
        <v>3869</v>
      </c>
      <c r="AT242" s="1933"/>
      <c r="AU242" s="1933"/>
      <c r="AV242" s="1933"/>
      <c r="AW242" s="1932"/>
      <c r="AX242" s="1932"/>
      <c r="AY242" s="1940" t="s">
        <v>3869</v>
      </c>
      <c r="BA242" s="3">
        <v>1</v>
      </c>
    </row>
    <row r="243" spans="2:53" ht="30" customHeight="1">
      <c r="B243" s="1953"/>
      <c r="C243" s="1894"/>
      <c r="D243" s="1894"/>
      <c r="E243" s="1894"/>
      <c r="F243" s="9"/>
      <c r="G243" s="1953"/>
      <c r="H243" s="1904"/>
      <c r="I243" s="1965"/>
      <c r="J243" s="1965"/>
      <c r="L243" s="5294"/>
      <c r="M243" s="172"/>
      <c r="N243" s="1975"/>
      <c r="O243" s="1976"/>
      <c r="P243" s="1975"/>
      <c r="Q243" s="1975"/>
      <c r="R243" s="1975"/>
      <c r="S243" s="9"/>
      <c r="W243" s="9"/>
      <c r="X243" s="5283"/>
      <c r="Y243" s="1967"/>
      <c r="Z243" s="1969"/>
      <c r="AA243" s="1970"/>
      <c r="AB243" s="1969"/>
      <c r="AC243" s="1969"/>
      <c r="AD243" s="1969"/>
      <c r="AE243" s="1969"/>
      <c r="AG243" s="5285"/>
      <c r="AH243" s="1946"/>
      <c r="AI243" s="58"/>
      <c r="AJ243" s="1948"/>
      <c r="AK243" s="1948"/>
      <c r="AL243" s="172"/>
      <c r="AM243" s="5294"/>
      <c r="AN243" s="1944"/>
      <c r="AO243" s="1931"/>
      <c r="AP243" s="1931"/>
      <c r="AR243" s="5294">
        <v>1</v>
      </c>
      <c r="AS243" s="1897" t="s">
        <v>8313</v>
      </c>
      <c r="AT243" s="1935" t="s">
        <v>4976</v>
      </c>
      <c r="AU243" s="1936" t="s">
        <v>4977</v>
      </c>
      <c r="AV243" s="1935" t="s">
        <v>6309</v>
      </c>
      <c r="AW243" s="1935" t="s">
        <v>6310</v>
      </c>
      <c r="AX243" s="1935" t="s">
        <v>6311</v>
      </c>
      <c r="AY243" s="1897" t="s">
        <v>8313</v>
      </c>
      <c r="BA243" s="3">
        <v>1</v>
      </c>
    </row>
    <row r="244" spans="2:53" ht="30" customHeight="1">
      <c r="B244" s="1953"/>
      <c r="C244" s="1894"/>
      <c r="D244" s="1894"/>
      <c r="E244" s="1894"/>
      <c r="F244" s="9"/>
      <c r="G244" s="1953"/>
      <c r="H244" s="1904"/>
      <c r="I244" s="1965"/>
      <c r="J244" s="1965"/>
      <c r="L244" s="5294"/>
      <c r="M244" s="172"/>
      <c r="N244" s="1975"/>
      <c r="O244" s="1976"/>
      <c r="P244" s="1975"/>
      <c r="Q244" s="1975"/>
      <c r="R244" s="1975"/>
      <c r="S244" s="9"/>
      <c r="W244" s="9"/>
      <c r="X244" s="5283"/>
      <c r="Y244" s="1967"/>
      <c r="Z244" s="1969"/>
      <c r="AA244" s="1970"/>
      <c r="AB244" s="1969"/>
      <c r="AC244" s="1969"/>
      <c r="AD244" s="1969"/>
      <c r="AE244" s="1969"/>
      <c r="AG244" s="5285"/>
      <c r="AH244" s="1946"/>
      <c r="AI244" s="58"/>
      <c r="AJ244" s="1948"/>
      <c r="AK244" s="1948"/>
      <c r="AL244" s="172"/>
      <c r="AM244" s="5294"/>
      <c r="AN244" s="1944"/>
      <c r="AO244" s="1931"/>
      <c r="AP244" s="1931"/>
      <c r="AR244" s="5294">
        <f>AR243+1</f>
        <v>2</v>
      </c>
      <c r="AS244" s="1897" t="s">
        <v>3879</v>
      </c>
      <c r="AT244" s="1935" t="s">
        <v>4978</v>
      </c>
      <c r="AU244" s="1936" t="s">
        <v>4979</v>
      </c>
      <c r="AV244" s="1935" t="s">
        <v>6312</v>
      </c>
      <c r="AW244" s="1935" t="s">
        <v>6313</v>
      </c>
      <c r="AX244" s="1935" t="s">
        <v>6314</v>
      </c>
      <c r="AY244" s="1897" t="s">
        <v>3879</v>
      </c>
      <c r="BA244" s="3">
        <v>1</v>
      </c>
    </row>
    <row r="245" spans="2:53" ht="30" customHeight="1">
      <c r="B245" s="1953"/>
      <c r="C245" s="1894"/>
      <c r="D245" s="1894"/>
      <c r="E245" s="1894"/>
      <c r="F245" s="9"/>
      <c r="G245" s="1953"/>
      <c r="H245" s="1904"/>
      <c r="I245" s="1965"/>
      <c r="J245" s="1965"/>
      <c r="L245" s="5294"/>
      <c r="M245" s="172"/>
      <c r="N245" s="1975"/>
      <c r="O245" s="1976"/>
      <c r="P245" s="1975"/>
      <c r="Q245" s="1975"/>
      <c r="R245" s="1975"/>
      <c r="S245" s="9"/>
      <c r="W245" s="9"/>
      <c r="X245" s="5283"/>
      <c r="Y245" s="1967"/>
      <c r="Z245" s="1969"/>
      <c r="AA245" s="1970"/>
      <c r="AB245" s="1969"/>
      <c r="AC245" s="1969"/>
      <c r="AD245" s="1969"/>
      <c r="AE245" s="1969"/>
      <c r="AG245" s="5285"/>
      <c r="AH245" s="1946"/>
      <c r="AI245" s="58"/>
      <c r="AJ245" s="1948"/>
      <c r="AK245" s="1948"/>
      <c r="AL245" s="172"/>
      <c r="AM245" s="5294"/>
      <c r="AN245" s="1944"/>
      <c r="AO245" s="1931"/>
      <c r="AP245" s="1931"/>
      <c r="AR245" s="5294">
        <f t="shared" ref="AR245:AR249" si="62">AR244+1</f>
        <v>3</v>
      </c>
      <c r="AS245" s="1897" t="s">
        <v>3883</v>
      </c>
      <c r="AT245" s="1931" t="s">
        <v>7484</v>
      </c>
      <c r="AU245" s="1931" t="s">
        <v>7485</v>
      </c>
      <c r="AV245" s="1935" t="s">
        <v>8145</v>
      </c>
      <c r="AW245" s="1935" t="s">
        <v>8146</v>
      </c>
      <c r="AX245" s="1935" t="s">
        <v>8147</v>
      </c>
      <c r="AY245" s="1897" t="s">
        <v>3883</v>
      </c>
      <c r="BA245" s="3">
        <v>1</v>
      </c>
    </row>
    <row r="246" spans="2:53" ht="30" customHeight="1">
      <c r="B246" s="1953"/>
      <c r="C246" s="1894"/>
      <c r="D246" s="1894"/>
      <c r="E246" s="1894"/>
      <c r="F246" s="9"/>
      <c r="G246" s="1953"/>
      <c r="H246" s="1904"/>
      <c r="I246" s="1965"/>
      <c r="J246" s="1965"/>
      <c r="L246" s="5294"/>
      <c r="M246" s="172"/>
      <c r="N246" s="1975"/>
      <c r="O246" s="1976"/>
      <c r="P246" s="1975"/>
      <c r="Q246" s="1975"/>
      <c r="R246" s="1975"/>
      <c r="S246" s="9"/>
      <c r="W246" s="9"/>
      <c r="X246" s="5283"/>
      <c r="Y246" s="1967"/>
      <c r="Z246" s="1969"/>
      <c r="AA246" s="1970"/>
      <c r="AB246" s="1969"/>
      <c r="AC246" s="1969"/>
      <c r="AD246" s="1969"/>
      <c r="AE246" s="1969"/>
      <c r="AG246" s="5285"/>
      <c r="AH246" s="1946"/>
      <c r="AI246" s="58"/>
      <c r="AJ246" s="1948"/>
      <c r="AK246" s="1948"/>
      <c r="AL246" s="172"/>
      <c r="AM246" s="5294"/>
      <c r="AN246" s="1944"/>
      <c r="AO246" s="1931"/>
      <c r="AP246" s="1931"/>
      <c r="AR246" s="5294">
        <f t="shared" si="62"/>
        <v>4</v>
      </c>
      <c r="AS246" s="1897" t="s">
        <v>3890</v>
      </c>
      <c r="AT246" s="1936" t="s">
        <v>4980</v>
      </c>
      <c r="AU246" s="1936" t="s">
        <v>4981</v>
      </c>
      <c r="AV246" s="1935" t="s">
        <v>4982</v>
      </c>
      <c r="AW246" s="1935" t="s">
        <v>6315</v>
      </c>
      <c r="AX246" s="1935" t="s">
        <v>6316</v>
      </c>
      <c r="AY246" s="1897" t="s">
        <v>3890</v>
      </c>
      <c r="BA246" s="3">
        <v>1</v>
      </c>
    </row>
    <row r="247" spans="2:53" ht="30" customHeight="1">
      <c r="B247" s="1953"/>
      <c r="C247" s="1894"/>
      <c r="D247" s="1894"/>
      <c r="E247" s="1894"/>
      <c r="F247" s="9"/>
      <c r="G247" s="1953"/>
      <c r="H247" s="1904"/>
      <c r="I247" s="1965"/>
      <c r="J247" s="1965"/>
      <c r="L247" s="5294"/>
      <c r="M247" s="172"/>
      <c r="N247" s="1975"/>
      <c r="O247" s="1976"/>
      <c r="P247" s="1975"/>
      <c r="Q247" s="1975"/>
      <c r="R247" s="1975"/>
      <c r="S247" s="9"/>
      <c r="W247" s="9"/>
      <c r="X247" s="5283"/>
      <c r="Y247" s="1967"/>
      <c r="Z247" s="1969"/>
      <c r="AA247" s="1970"/>
      <c r="AB247" s="1969"/>
      <c r="AC247" s="1969"/>
      <c r="AD247" s="1969"/>
      <c r="AE247" s="1969"/>
      <c r="AG247" s="5285"/>
      <c r="AH247" s="1946"/>
      <c r="AI247" s="58"/>
      <c r="AJ247" s="1948"/>
      <c r="AK247" s="1948"/>
      <c r="AL247" s="172"/>
      <c r="AM247" s="5294"/>
      <c r="AN247" s="1944"/>
      <c r="AO247" s="1931"/>
      <c r="AP247" s="1931"/>
      <c r="AR247" s="5294">
        <f t="shared" si="62"/>
        <v>5</v>
      </c>
      <c r="AS247" s="1897" t="s">
        <v>3898</v>
      </c>
      <c r="AT247" s="1935" t="s">
        <v>4983</v>
      </c>
      <c r="AU247" s="1936" t="s">
        <v>4984</v>
      </c>
      <c r="AV247" s="1935" t="s">
        <v>4985</v>
      </c>
      <c r="AW247" s="1935" t="s">
        <v>6317</v>
      </c>
      <c r="AX247" s="1935" t="s">
        <v>6318</v>
      </c>
      <c r="AY247" s="1897" t="s">
        <v>3898</v>
      </c>
      <c r="BA247" s="3">
        <v>1</v>
      </c>
    </row>
    <row r="248" spans="2:53" ht="30" customHeight="1">
      <c r="B248" s="1953"/>
      <c r="C248" s="1894"/>
      <c r="D248" s="1894"/>
      <c r="E248" s="1894"/>
      <c r="F248" s="9"/>
      <c r="G248" s="1953"/>
      <c r="H248" s="1904"/>
      <c r="I248" s="1965"/>
      <c r="J248" s="1965"/>
      <c r="L248" s="5294"/>
      <c r="M248" s="172"/>
      <c r="N248" s="1975"/>
      <c r="O248" s="1976"/>
      <c r="P248" s="1975"/>
      <c r="Q248" s="1975"/>
      <c r="R248" s="1975"/>
      <c r="S248" s="9"/>
      <c r="W248" s="9"/>
      <c r="X248" s="5283"/>
      <c r="Y248" s="1967"/>
      <c r="Z248" s="1969"/>
      <c r="AA248" s="1970"/>
      <c r="AB248" s="1969"/>
      <c r="AC248" s="1969"/>
      <c r="AD248" s="1969"/>
      <c r="AE248" s="1969"/>
      <c r="AG248" s="5285"/>
      <c r="AH248" s="1946"/>
      <c r="AI248" s="58"/>
      <c r="AJ248" s="1948"/>
      <c r="AK248" s="1948"/>
      <c r="AL248" s="172"/>
      <c r="AM248" s="5294"/>
      <c r="AN248" s="1944"/>
      <c r="AO248" s="1931"/>
      <c r="AP248" s="1931"/>
      <c r="AR248" s="5294">
        <f t="shared" si="62"/>
        <v>6</v>
      </c>
      <c r="AS248" s="1897" t="s">
        <v>4054</v>
      </c>
      <c r="AT248" s="1935" t="s">
        <v>5879</v>
      </c>
      <c r="AU248" s="1936" t="s">
        <v>5880</v>
      </c>
      <c r="AV248" s="1935" t="s">
        <v>5881</v>
      </c>
      <c r="AW248" s="1935" t="s">
        <v>6870</v>
      </c>
      <c r="AX248" s="1935" t="s">
        <v>6871</v>
      </c>
      <c r="AY248" s="1897" t="s">
        <v>4054</v>
      </c>
      <c r="BA248" s="3">
        <v>1</v>
      </c>
    </row>
    <row r="249" spans="2:53" ht="30" customHeight="1">
      <c r="B249" s="1953"/>
      <c r="C249" s="1894"/>
      <c r="D249" s="1894"/>
      <c r="E249" s="1894"/>
      <c r="F249" s="9"/>
      <c r="G249" s="1953"/>
      <c r="H249" s="1904"/>
      <c r="I249" s="1965"/>
      <c r="J249" s="1965"/>
      <c r="L249" s="5294"/>
      <c r="M249" s="172"/>
      <c r="N249" s="1975"/>
      <c r="O249" s="1976"/>
      <c r="P249" s="1975"/>
      <c r="Q249" s="1975"/>
      <c r="R249" s="1975"/>
      <c r="S249" s="9"/>
      <c r="W249" s="9"/>
      <c r="X249" s="5283"/>
      <c r="Y249" s="1967"/>
      <c r="Z249" s="1969"/>
      <c r="AA249" s="1970"/>
      <c r="AB249" s="1969"/>
      <c r="AC249" s="1969"/>
      <c r="AD249" s="1969"/>
      <c r="AE249" s="1969"/>
      <c r="AG249" s="5285"/>
      <c r="AH249" s="1946"/>
      <c r="AI249" s="58"/>
      <c r="AJ249" s="1948"/>
      <c r="AK249" s="1948"/>
      <c r="AL249" s="172"/>
      <c r="AM249" s="5294"/>
      <c r="AN249" s="1944"/>
      <c r="AO249" s="1931"/>
      <c r="AP249" s="1931"/>
      <c r="AR249" s="5294">
        <f t="shared" si="62"/>
        <v>7</v>
      </c>
      <c r="AS249" s="1897" t="s">
        <v>3904</v>
      </c>
      <c r="AT249" s="1936" t="s">
        <v>4986</v>
      </c>
      <c r="AU249" s="1936" t="s">
        <v>4987</v>
      </c>
      <c r="AV249" s="1935" t="s">
        <v>4988</v>
      </c>
      <c r="AW249" s="1935" t="s">
        <v>6319</v>
      </c>
      <c r="AX249" s="1935" t="s">
        <v>6320</v>
      </c>
      <c r="AY249" s="1897" t="s">
        <v>3904</v>
      </c>
      <c r="BA249" s="3">
        <v>1</v>
      </c>
    </row>
    <row r="250" spans="2:53" ht="30" customHeight="1">
      <c r="B250" s="1953"/>
      <c r="C250" s="1894"/>
      <c r="D250" s="1894"/>
      <c r="E250" s="1894"/>
      <c r="F250" s="9"/>
      <c r="G250" s="1953"/>
      <c r="H250" s="1904"/>
      <c r="I250" s="1965"/>
      <c r="J250" s="1965"/>
      <c r="L250" s="5294"/>
      <c r="M250" s="172"/>
      <c r="N250" s="1975"/>
      <c r="O250" s="1976"/>
      <c r="P250" s="1975"/>
      <c r="Q250" s="1975"/>
      <c r="R250" s="1975"/>
      <c r="S250" s="9"/>
      <c r="W250" s="9"/>
      <c r="X250" s="5283"/>
      <c r="Y250" s="1967"/>
      <c r="Z250" s="1969"/>
      <c r="AA250" s="1970"/>
      <c r="AB250" s="1969"/>
      <c r="AC250" s="1969"/>
      <c r="AD250" s="1969"/>
      <c r="AE250" s="1969"/>
      <c r="AG250" s="5285"/>
      <c r="AH250" s="1946"/>
      <c r="AI250" s="58"/>
      <c r="AJ250" s="1948"/>
      <c r="AK250" s="1948"/>
      <c r="AL250" s="172"/>
      <c r="AM250" s="5294"/>
      <c r="AN250" s="1944"/>
      <c r="AO250" s="1931"/>
      <c r="AP250" s="1931"/>
      <c r="AR250" s="5275"/>
      <c r="AS250" s="1940" t="s">
        <v>3279</v>
      </c>
      <c r="AT250" s="1933"/>
      <c r="AU250" s="1933"/>
      <c r="AV250" s="1933"/>
      <c r="AW250" s="1932"/>
      <c r="AX250" s="1932"/>
      <c r="AY250" s="1940" t="s">
        <v>3279</v>
      </c>
      <c r="BA250" s="3">
        <v>1</v>
      </c>
    </row>
    <row r="251" spans="2:53" ht="30" customHeight="1">
      <c r="B251" s="1953"/>
      <c r="C251" s="1894"/>
      <c r="D251" s="1894"/>
      <c r="E251" s="1894"/>
      <c r="F251" s="9"/>
      <c r="G251" s="1953"/>
      <c r="H251" s="1904"/>
      <c r="I251" s="1965"/>
      <c r="J251" s="1965"/>
      <c r="L251" s="5294"/>
      <c r="M251" s="172"/>
      <c r="N251" s="1975"/>
      <c r="O251" s="1976"/>
      <c r="P251" s="1975"/>
      <c r="Q251" s="1975"/>
      <c r="R251" s="1975"/>
      <c r="S251" s="9"/>
      <c r="W251" s="9"/>
      <c r="X251" s="5283"/>
      <c r="Y251" s="1967"/>
      <c r="Z251" s="1969"/>
      <c r="AA251" s="1970"/>
      <c r="AB251" s="1969"/>
      <c r="AC251" s="1969"/>
      <c r="AD251" s="1969"/>
      <c r="AE251" s="1969"/>
      <c r="AG251" s="5285"/>
      <c r="AH251" s="1946"/>
      <c r="AI251" s="58"/>
      <c r="AJ251" s="1948"/>
      <c r="AK251" s="1948"/>
      <c r="AL251" s="172"/>
      <c r="AM251" s="5294"/>
      <c r="AN251" s="1944"/>
      <c r="AO251" s="1931"/>
      <c r="AP251" s="1931"/>
      <c r="AR251" s="5294">
        <v>1</v>
      </c>
      <c r="AS251" s="1897" t="s">
        <v>3921</v>
      </c>
      <c r="AT251" s="1935" t="s">
        <v>4989</v>
      </c>
      <c r="AU251" s="1936" t="s">
        <v>4990</v>
      </c>
      <c r="AV251" s="1935" t="s">
        <v>6321</v>
      </c>
      <c r="AW251" s="1935" t="s">
        <v>6322</v>
      </c>
      <c r="AX251" s="1935" t="s">
        <v>6323</v>
      </c>
      <c r="AY251" s="1897" t="s">
        <v>3921</v>
      </c>
      <c r="BA251" s="3">
        <v>1</v>
      </c>
    </row>
    <row r="252" spans="2:53" ht="30" customHeight="1">
      <c r="B252" s="1953"/>
      <c r="C252" s="1894"/>
      <c r="D252" s="1894"/>
      <c r="E252" s="1894"/>
      <c r="F252" s="9"/>
      <c r="G252" s="1953"/>
      <c r="H252" s="1904"/>
      <c r="I252" s="1965"/>
      <c r="J252" s="1965"/>
      <c r="L252" s="5294"/>
      <c r="M252" s="172"/>
      <c r="N252" s="1975"/>
      <c r="O252" s="1976"/>
      <c r="P252" s="1975"/>
      <c r="Q252" s="1975"/>
      <c r="R252" s="1975"/>
      <c r="S252" s="9"/>
      <c r="W252" s="9"/>
      <c r="X252" s="5283"/>
      <c r="Y252" s="1967"/>
      <c r="Z252" s="1969"/>
      <c r="AA252" s="1970"/>
      <c r="AB252" s="1969"/>
      <c r="AC252" s="1969"/>
      <c r="AD252" s="1969"/>
      <c r="AE252" s="1969"/>
      <c r="AG252" s="5285"/>
      <c r="AH252" s="1946"/>
      <c r="AI252" s="58"/>
      <c r="AJ252" s="1948"/>
      <c r="AK252" s="1948"/>
      <c r="AL252" s="172"/>
      <c r="AM252" s="5294"/>
      <c r="AN252" s="1944"/>
      <c r="AO252" s="1931"/>
      <c r="AP252" s="1931"/>
      <c r="AR252" s="5304"/>
      <c r="AS252" s="1897"/>
      <c r="AT252" s="1935"/>
      <c r="AU252" s="1936"/>
      <c r="AV252" s="1935" t="s">
        <v>6324</v>
      </c>
      <c r="AW252" s="1935" t="s">
        <v>6325</v>
      </c>
      <c r="AX252" s="1935" t="s">
        <v>6326</v>
      </c>
      <c r="AY252" s="1897"/>
      <c r="BA252" s="3">
        <v>1</v>
      </c>
    </row>
    <row r="253" spans="2:53" ht="30" customHeight="1">
      <c r="B253" s="1953"/>
      <c r="C253" s="1894"/>
      <c r="D253" s="1894"/>
      <c r="E253" s="1894"/>
      <c r="F253" s="9"/>
      <c r="G253" s="1953"/>
      <c r="H253" s="1904"/>
      <c r="I253" s="1965"/>
      <c r="J253" s="1965"/>
      <c r="L253" s="5294"/>
      <c r="M253" s="172"/>
      <c r="N253" s="1975"/>
      <c r="O253" s="1976"/>
      <c r="P253" s="1975"/>
      <c r="Q253" s="1975"/>
      <c r="R253" s="1975"/>
      <c r="S253" s="9"/>
      <c r="W253" s="9"/>
      <c r="X253" s="5283"/>
      <c r="Y253" s="1967"/>
      <c r="Z253" s="1969"/>
      <c r="AA253" s="1970"/>
      <c r="AB253" s="1969"/>
      <c r="AC253" s="1969"/>
      <c r="AD253" s="1969"/>
      <c r="AE253" s="1969"/>
      <c r="AG253" s="5285"/>
      <c r="AH253" s="1946"/>
      <c r="AI253" s="58"/>
      <c r="AJ253" s="1948"/>
      <c r="AK253" s="1948"/>
      <c r="AL253" s="172"/>
      <c r="AM253" s="5294"/>
      <c r="AN253" s="1944"/>
      <c r="AO253" s="1931"/>
      <c r="AP253" s="1931"/>
      <c r="AR253" s="709"/>
      <c r="AS253" s="1897"/>
      <c r="AT253" s="1935"/>
      <c r="AU253" s="1936"/>
      <c r="AV253" s="1935" t="s">
        <v>6327</v>
      </c>
      <c r="AW253" s="1935" t="s">
        <v>6328</v>
      </c>
      <c r="AX253" s="1935" t="s">
        <v>6329</v>
      </c>
      <c r="AY253" s="1897"/>
      <c r="BA253" s="3">
        <v>1</v>
      </c>
    </row>
    <row r="254" spans="2:53" ht="30" customHeight="1">
      <c r="B254" s="1953"/>
      <c r="C254" s="1894"/>
      <c r="D254" s="1894"/>
      <c r="E254" s="1894"/>
      <c r="F254" s="9"/>
      <c r="G254" s="1953"/>
      <c r="H254" s="1904"/>
      <c r="I254" s="1965"/>
      <c r="J254" s="1965"/>
      <c r="L254" s="5294"/>
      <c r="M254" s="172"/>
      <c r="N254" s="1975"/>
      <c r="O254" s="1976"/>
      <c r="P254" s="1975"/>
      <c r="Q254" s="1975"/>
      <c r="R254" s="1975"/>
      <c r="S254" s="9"/>
      <c r="W254" s="9"/>
      <c r="X254" s="5283"/>
      <c r="Y254" s="1967"/>
      <c r="Z254" s="1969"/>
      <c r="AA254" s="1970"/>
      <c r="AB254" s="1969"/>
      <c r="AC254" s="1969"/>
      <c r="AD254" s="1969"/>
      <c r="AE254" s="1969"/>
      <c r="AG254" s="5285"/>
      <c r="AH254" s="1946"/>
      <c r="AI254" s="58"/>
      <c r="AJ254" s="1948"/>
      <c r="AK254" s="1948"/>
      <c r="AL254" s="172"/>
      <c r="AM254" s="5294"/>
      <c r="AN254" s="1944"/>
      <c r="AO254" s="1931"/>
      <c r="AP254" s="1931"/>
      <c r="AR254" s="5275"/>
      <c r="AS254" s="1940" t="s">
        <v>0</v>
      </c>
      <c r="AT254" s="1933"/>
      <c r="AU254" s="1933"/>
      <c r="AV254" s="1933"/>
      <c r="AW254" s="1932"/>
      <c r="AX254" s="1940" t="s">
        <v>0</v>
      </c>
      <c r="AY254" s="1940" t="s">
        <v>0</v>
      </c>
      <c r="BA254" s="3">
        <v>1</v>
      </c>
    </row>
    <row r="255" spans="2:53" ht="30" customHeight="1">
      <c r="B255" s="1953"/>
      <c r="C255" s="1894"/>
      <c r="D255" s="1894"/>
      <c r="E255" s="1894"/>
      <c r="F255" s="9"/>
      <c r="G255" s="1953"/>
      <c r="H255" s="1904"/>
      <c r="I255" s="1965"/>
      <c r="J255" s="1965"/>
      <c r="L255" s="5294"/>
      <c r="M255" s="172"/>
      <c r="N255" s="1975"/>
      <c r="O255" s="1976"/>
      <c r="P255" s="1975"/>
      <c r="Q255" s="1975"/>
      <c r="R255" s="1975"/>
      <c r="S255" s="9"/>
      <c r="W255" s="9"/>
      <c r="X255" s="5283"/>
      <c r="Y255" s="1967"/>
      <c r="Z255" s="1969"/>
      <c r="AA255" s="1970"/>
      <c r="AB255" s="1969"/>
      <c r="AC255" s="1969"/>
      <c r="AD255" s="1969"/>
      <c r="AE255" s="1969"/>
      <c r="AG255" s="5285"/>
      <c r="AH255" s="1946"/>
      <c r="AI255" s="58"/>
      <c r="AJ255" s="1948"/>
      <c r="AK255" s="1948"/>
      <c r="AL255" s="172"/>
      <c r="AM255" s="5294"/>
      <c r="AN255" s="1944"/>
      <c r="AO255" s="1931"/>
      <c r="AP255" s="1931"/>
      <c r="AR255" s="5294">
        <v>1</v>
      </c>
      <c r="AS255" s="1897" t="s">
        <v>3939</v>
      </c>
      <c r="AT255" s="1935" t="s">
        <v>4991</v>
      </c>
      <c r="AU255" s="1936" t="s">
        <v>4992</v>
      </c>
      <c r="AV255" s="1935" t="s">
        <v>4993</v>
      </c>
      <c r="AW255" s="1935" t="s">
        <v>6330</v>
      </c>
      <c r="AX255" s="1935" t="s">
        <v>6331</v>
      </c>
      <c r="AY255" s="1897" t="s">
        <v>3939</v>
      </c>
      <c r="BA255" s="3">
        <v>1</v>
      </c>
    </row>
    <row r="256" spans="2:53" ht="30" customHeight="1">
      <c r="B256" s="1953"/>
      <c r="C256" s="1894"/>
      <c r="D256" s="1894"/>
      <c r="E256" s="1894"/>
      <c r="F256" s="9"/>
      <c r="G256" s="1953"/>
      <c r="H256" s="1904"/>
      <c r="I256" s="1965"/>
      <c r="J256" s="1965"/>
      <c r="L256" s="5294"/>
      <c r="M256" s="172"/>
      <c r="N256" s="1975"/>
      <c r="O256" s="1976"/>
      <c r="P256" s="1975"/>
      <c r="Q256" s="1975"/>
      <c r="R256" s="1975"/>
      <c r="S256" s="9"/>
      <c r="W256" s="9"/>
      <c r="X256" s="5283"/>
      <c r="Y256" s="1967"/>
      <c r="Z256" s="1969"/>
      <c r="AA256" s="1970"/>
      <c r="AB256" s="1969"/>
      <c r="AC256" s="1969"/>
      <c r="AD256" s="1969"/>
      <c r="AE256" s="1969"/>
      <c r="AG256" s="5285"/>
      <c r="AH256" s="1946"/>
      <c r="AI256" s="58"/>
      <c r="AJ256" s="1948"/>
      <c r="AK256" s="1948"/>
      <c r="AL256" s="172"/>
      <c r="AM256" s="5294"/>
      <c r="AN256" s="1944"/>
      <c r="AO256" s="1931"/>
      <c r="AP256" s="1931"/>
      <c r="AR256" s="5294">
        <f>AR255+1</f>
        <v>2</v>
      </c>
      <c r="AS256" s="1897" t="s">
        <v>3945</v>
      </c>
      <c r="AT256" s="1935" t="s">
        <v>4994</v>
      </c>
      <c r="AU256" s="1936" t="s">
        <v>4995</v>
      </c>
      <c r="AV256" s="1935" t="s">
        <v>4996</v>
      </c>
      <c r="AW256" s="1935" t="s">
        <v>6332</v>
      </c>
      <c r="AX256" s="1935" t="s">
        <v>6333</v>
      </c>
      <c r="AY256" s="1897" t="s">
        <v>3945</v>
      </c>
      <c r="BA256" s="3">
        <v>1</v>
      </c>
    </row>
    <row r="257" spans="2:53" ht="30" customHeight="1">
      <c r="B257" s="1953"/>
      <c r="C257" s="1894"/>
      <c r="D257" s="1894"/>
      <c r="E257" s="1894"/>
      <c r="F257" s="9"/>
      <c r="G257" s="1953"/>
      <c r="H257" s="1904"/>
      <c r="I257" s="1965"/>
      <c r="J257" s="1965"/>
      <c r="L257" s="5294"/>
      <c r="M257" s="172"/>
      <c r="N257" s="1975"/>
      <c r="O257" s="1976"/>
      <c r="P257" s="1975"/>
      <c r="Q257" s="1975"/>
      <c r="R257" s="1975"/>
      <c r="S257" s="9"/>
      <c r="W257" s="9"/>
      <c r="X257" s="5283"/>
      <c r="Y257" s="1967"/>
      <c r="Z257" s="1969"/>
      <c r="AA257" s="1970"/>
      <c r="AB257" s="1969"/>
      <c r="AC257" s="1969"/>
      <c r="AD257" s="1969"/>
      <c r="AE257" s="1969"/>
      <c r="AG257" s="5285"/>
      <c r="AH257" s="1946"/>
      <c r="AI257" s="58"/>
      <c r="AJ257" s="1948"/>
      <c r="AK257" s="1948"/>
      <c r="AL257" s="172"/>
      <c r="AM257" s="5294"/>
      <c r="AN257" s="1944"/>
      <c r="AO257" s="1931"/>
      <c r="AP257" s="1931"/>
      <c r="AR257" s="5294">
        <f t="shared" ref="AR257:AR264" si="63">AR256+1</f>
        <v>3</v>
      </c>
      <c r="AS257" s="1897" t="s">
        <v>3950</v>
      </c>
      <c r="AT257" s="1935" t="s">
        <v>4997</v>
      </c>
      <c r="AU257" s="1936" t="s">
        <v>4998</v>
      </c>
      <c r="AV257" s="1935" t="s">
        <v>4999</v>
      </c>
      <c r="AW257" s="1935" t="s">
        <v>5543</v>
      </c>
      <c r="AX257" s="1935" t="s">
        <v>5544</v>
      </c>
      <c r="AY257" s="1897" t="s">
        <v>3950</v>
      </c>
      <c r="BA257" s="3">
        <v>1</v>
      </c>
    </row>
    <row r="258" spans="2:53" ht="30" customHeight="1">
      <c r="B258" s="1953"/>
      <c r="C258" s="1894"/>
      <c r="D258" s="1894"/>
      <c r="E258" s="1894"/>
      <c r="F258" s="9"/>
      <c r="G258" s="1953"/>
      <c r="H258" s="1904"/>
      <c r="I258" s="1965"/>
      <c r="J258" s="1965"/>
      <c r="L258" s="5294"/>
      <c r="M258" s="172"/>
      <c r="N258" s="1975"/>
      <c r="O258" s="1976"/>
      <c r="P258" s="1975"/>
      <c r="Q258" s="1975"/>
      <c r="R258" s="1975"/>
      <c r="S258" s="9"/>
      <c r="W258" s="9"/>
      <c r="X258" s="5283"/>
      <c r="Y258" s="1967"/>
      <c r="Z258" s="1969"/>
      <c r="AA258" s="1970"/>
      <c r="AB258" s="1969"/>
      <c r="AC258" s="1969"/>
      <c r="AD258" s="1969"/>
      <c r="AE258" s="1969"/>
      <c r="AG258" s="5285"/>
      <c r="AH258" s="1946"/>
      <c r="AI258" s="58"/>
      <c r="AJ258" s="1948"/>
      <c r="AK258" s="1948"/>
      <c r="AL258" s="172"/>
      <c r="AM258" s="5294"/>
      <c r="AN258" s="1944"/>
      <c r="AO258" s="1931"/>
      <c r="AP258" s="1931"/>
      <c r="AR258" s="5294">
        <f t="shared" si="63"/>
        <v>4</v>
      </c>
      <c r="AS258" s="1897" t="s">
        <v>3955</v>
      </c>
      <c r="AT258" s="1935" t="s">
        <v>5000</v>
      </c>
      <c r="AU258" s="1935" t="s">
        <v>5001</v>
      </c>
      <c r="AV258" s="1935" t="s">
        <v>5002</v>
      </c>
      <c r="AW258" s="1935" t="s">
        <v>6334</v>
      </c>
      <c r="AX258" s="1935" t="s">
        <v>6335</v>
      </c>
      <c r="AY258" s="1897" t="s">
        <v>3955</v>
      </c>
      <c r="BA258" s="3">
        <v>1</v>
      </c>
    </row>
    <row r="259" spans="2:53" ht="30" customHeight="1">
      <c r="B259" s="1953"/>
      <c r="C259" s="1894"/>
      <c r="D259" s="1894"/>
      <c r="E259" s="1894"/>
      <c r="F259" s="9"/>
      <c r="G259" s="1953"/>
      <c r="H259" s="1904"/>
      <c r="I259" s="1965"/>
      <c r="J259" s="1965"/>
      <c r="L259" s="5294"/>
      <c r="M259" s="172"/>
      <c r="N259" s="1975"/>
      <c r="O259" s="1976"/>
      <c r="P259" s="1975"/>
      <c r="Q259" s="1975"/>
      <c r="R259" s="1975"/>
      <c r="S259" s="9"/>
      <c r="W259" s="9"/>
      <c r="X259" s="5283"/>
      <c r="Y259" s="1967"/>
      <c r="Z259" s="1969"/>
      <c r="AA259" s="1970"/>
      <c r="AB259" s="1969"/>
      <c r="AC259" s="1969"/>
      <c r="AD259" s="1969"/>
      <c r="AE259" s="1969"/>
      <c r="AG259" s="5285"/>
      <c r="AH259" s="1946"/>
      <c r="AI259" s="58"/>
      <c r="AJ259" s="1948"/>
      <c r="AK259" s="1948"/>
      <c r="AL259" s="172"/>
      <c r="AM259" s="5294"/>
      <c r="AN259" s="1944"/>
      <c r="AO259" s="1931"/>
      <c r="AP259" s="1931"/>
      <c r="AR259" s="5294">
        <f t="shared" si="63"/>
        <v>5</v>
      </c>
      <c r="AS259" s="1897" t="s">
        <v>3963</v>
      </c>
      <c r="AT259" s="1931" t="s">
        <v>7486</v>
      </c>
      <c r="AU259" s="1931" t="s">
        <v>7487</v>
      </c>
      <c r="AV259" s="1935" t="s">
        <v>5003</v>
      </c>
      <c r="AW259" s="1935" t="s">
        <v>6336</v>
      </c>
      <c r="AX259" s="1935" t="s">
        <v>6337</v>
      </c>
      <c r="AY259" s="1897" t="s">
        <v>3963</v>
      </c>
      <c r="BA259" s="3">
        <v>1</v>
      </c>
    </row>
    <row r="260" spans="2:53" ht="30" customHeight="1">
      <c r="B260" s="1953"/>
      <c r="C260" s="1894"/>
      <c r="D260" s="1894"/>
      <c r="E260" s="1894"/>
      <c r="F260" s="9"/>
      <c r="G260" s="1953"/>
      <c r="H260" s="1904"/>
      <c r="I260" s="1965"/>
      <c r="J260" s="1965"/>
      <c r="L260" s="5294"/>
      <c r="M260" s="172"/>
      <c r="N260" s="1975"/>
      <c r="O260" s="1976"/>
      <c r="P260" s="1975"/>
      <c r="Q260" s="1975"/>
      <c r="R260" s="1975"/>
      <c r="S260" s="9"/>
      <c r="W260" s="9"/>
      <c r="X260" s="5283"/>
      <c r="Y260" s="1967"/>
      <c r="Z260" s="1969"/>
      <c r="AA260" s="1970"/>
      <c r="AB260" s="1969"/>
      <c r="AC260" s="1969"/>
      <c r="AD260" s="1969"/>
      <c r="AE260" s="1969"/>
      <c r="AG260" s="5285"/>
      <c r="AH260" s="1946"/>
      <c r="AI260" s="58"/>
      <c r="AJ260" s="1948"/>
      <c r="AK260" s="1948"/>
      <c r="AL260" s="172"/>
      <c r="AM260" s="5294"/>
      <c r="AN260" s="1944"/>
      <c r="AO260" s="1931"/>
      <c r="AP260" s="1931"/>
      <c r="AR260" s="5294">
        <f t="shared" si="63"/>
        <v>6</v>
      </c>
      <c r="AS260" s="1897" t="s">
        <v>3969</v>
      </c>
      <c r="AT260" s="1935" t="s">
        <v>5004</v>
      </c>
      <c r="AU260" s="1936" t="s">
        <v>5005</v>
      </c>
      <c r="AV260" s="1935" t="s">
        <v>6338</v>
      </c>
      <c r="AW260" s="1935" t="s">
        <v>6339</v>
      </c>
      <c r="AX260" s="1935" t="s">
        <v>6340</v>
      </c>
      <c r="AY260" s="1897" t="s">
        <v>3969</v>
      </c>
      <c r="BA260" s="3">
        <v>1</v>
      </c>
    </row>
    <row r="261" spans="2:53" ht="30" customHeight="1">
      <c r="B261" s="1953"/>
      <c r="C261" s="1894"/>
      <c r="D261" s="1894"/>
      <c r="E261" s="1894"/>
      <c r="F261" s="9"/>
      <c r="G261" s="1953"/>
      <c r="H261" s="1904"/>
      <c r="I261" s="1965"/>
      <c r="J261" s="1965"/>
      <c r="L261" s="5294"/>
      <c r="M261" s="172"/>
      <c r="N261" s="1975"/>
      <c r="O261" s="1976"/>
      <c r="P261" s="1975"/>
      <c r="Q261" s="1975"/>
      <c r="R261" s="1975"/>
      <c r="S261" s="9"/>
      <c r="W261" s="9"/>
      <c r="X261" s="5283"/>
      <c r="Y261" s="1967"/>
      <c r="Z261" s="1969"/>
      <c r="AA261" s="1970"/>
      <c r="AB261" s="1969"/>
      <c r="AC261" s="1969"/>
      <c r="AD261" s="1969"/>
      <c r="AE261" s="1969"/>
      <c r="AG261" s="5285"/>
      <c r="AH261" s="1946"/>
      <c r="AI261" s="58"/>
      <c r="AJ261" s="1948"/>
      <c r="AK261" s="1948"/>
      <c r="AL261" s="172"/>
      <c r="AM261" s="5294"/>
      <c r="AN261" s="1944"/>
      <c r="AO261" s="1931"/>
      <c r="AP261" s="1931"/>
      <c r="AR261" s="5294">
        <f t="shared" si="63"/>
        <v>7</v>
      </c>
      <c r="AS261" s="1897" t="s">
        <v>3975</v>
      </c>
      <c r="AT261" s="1935" t="s">
        <v>5006</v>
      </c>
      <c r="AU261" s="1936" t="s">
        <v>5007</v>
      </c>
      <c r="AV261" s="1935" t="s">
        <v>5008</v>
      </c>
      <c r="AW261" s="1935" t="s">
        <v>6341</v>
      </c>
      <c r="AX261" s="1935" t="s">
        <v>6342</v>
      </c>
      <c r="AY261" s="1897" t="s">
        <v>3975</v>
      </c>
      <c r="BA261" s="3">
        <v>1</v>
      </c>
    </row>
    <row r="262" spans="2:53" ht="30" customHeight="1">
      <c r="B262" s="1953"/>
      <c r="C262" s="1894"/>
      <c r="D262" s="1894"/>
      <c r="E262" s="1894"/>
      <c r="F262" s="9"/>
      <c r="G262" s="1953"/>
      <c r="H262" s="1904"/>
      <c r="I262" s="1965"/>
      <c r="J262" s="1965"/>
      <c r="L262" s="5294"/>
      <c r="M262" s="172"/>
      <c r="N262" s="1975"/>
      <c r="O262" s="1976"/>
      <c r="P262" s="1975"/>
      <c r="Q262" s="1975"/>
      <c r="R262" s="1975"/>
      <c r="S262" s="9"/>
      <c r="W262" s="9"/>
      <c r="X262" s="5283"/>
      <c r="Y262" s="1967"/>
      <c r="Z262" s="1969"/>
      <c r="AA262" s="1970"/>
      <c r="AB262" s="1969"/>
      <c r="AC262" s="1969"/>
      <c r="AD262" s="1969"/>
      <c r="AE262" s="1969"/>
      <c r="AG262" s="5285"/>
      <c r="AH262" s="1946"/>
      <c r="AI262" s="58"/>
      <c r="AJ262" s="1948"/>
      <c r="AK262" s="1948"/>
      <c r="AL262" s="172"/>
      <c r="AM262" s="5294"/>
      <c r="AN262" s="1944"/>
      <c r="AO262" s="1931"/>
      <c r="AP262" s="1931"/>
      <c r="AR262" s="5294">
        <f t="shared" si="63"/>
        <v>8</v>
      </c>
      <c r="AS262" s="1897" t="s">
        <v>3982</v>
      </c>
      <c r="AT262" s="1935" t="s">
        <v>5009</v>
      </c>
      <c r="AU262" s="1936" t="s">
        <v>5010</v>
      </c>
      <c r="AV262" s="1935" t="s">
        <v>6343</v>
      </c>
      <c r="AW262" s="1935" t="s">
        <v>6344</v>
      </c>
      <c r="AX262" s="1935" t="s">
        <v>6345</v>
      </c>
      <c r="AY262" s="1897" t="s">
        <v>3982</v>
      </c>
      <c r="BA262" s="3">
        <v>1</v>
      </c>
    </row>
    <row r="263" spans="2:53" ht="30" customHeight="1">
      <c r="B263" s="1953"/>
      <c r="C263" s="1894"/>
      <c r="D263" s="1894"/>
      <c r="E263" s="1894"/>
      <c r="F263" s="9"/>
      <c r="G263" s="1953"/>
      <c r="H263" s="1904"/>
      <c r="I263" s="1965"/>
      <c r="J263" s="1965"/>
      <c r="L263" s="5294"/>
      <c r="M263" s="172"/>
      <c r="N263" s="1975"/>
      <c r="O263" s="1976"/>
      <c r="P263" s="1975"/>
      <c r="Q263" s="1975"/>
      <c r="R263" s="1975"/>
      <c r="S263" s="9"/>
      <c r="W263" s="9"/>
      <c r="X263" s="5283"/>
      <c r="Y263" s="1967"/>
      <c r="Z263" s="1969"/>
      <c r="AA263" s="1970"/>
      <c r="AB263" s="1969"/>
      <c r="AC263" s="1969"/>
      <c r="AD263" s="1969"/>
      <c r="AE263" s="1969"/>
      <c r="AG263" s="5285"/>
      <c r="AH263" s="1946"/>
      <c r="AI263" s="58"/>
      <c r="AJ263" s="1948"/>
      <c r="AK263" s="1948"/>
      <c r="AL263" s="172"/>
      <c r="AM263" s="5294"/>
      <c r="AN263" s="1944"/>
      <c r="AO263" s="1931"/>
      <c r="AP263" s="1931"/>
      <c r="AR263" s="5294">
        <f t="shared" si="63"/>
        <v>9</v>
      </c>
      <c r="AS263" s="1897" t="s">
        <v>3988</v>
      </c>
      <c r="AT263" s="1935" t="s">
        <v>5011</v>
      </c>
      <c r="AU263" s="1936" t="s">
        <v>5012</v>
      </c>
      <c r="AV263" s="1935" t="s">
        <v>6346</v>
      </c>
      <c r="AW263" s="1935" t="s">
        <v>6347</v>
      </c>
      <c r="AX263" s="1935" t="s">
        <v>6348</v>
      </c>
      <c r="AY263" s="1897" t="s">
        <v>3988</v>
      </c>
      <c r="BA263" s="3">
        <v>1</v>
      </c>
    </row>
    <row r="264" spans="2:53" ht="30" customHeight="1">
      <c r="B264" s="1953"/>
      <c r="C264" s="1894"/>
      <c r="D264" s="1894"/>
      <c r="E264" s="1894"/>
      <c r="F264" s="9"/>
      <c r="G264" s="1953"/>
      <c r="H264" s="1904"/>
      <c r="I264" s="1965"/>
      <c r="J264" s="1965"/>
      <c r="L264" s="5294"/>
      <c r="M264" s="172"/>
      <c r="N264" s="1975"/>
      <c r="O264" s="1976"/>
      <c r="P264" s="1975"/>
      <c r="Q264" s="1975"/>
      <c r="R264" s="1975"/>
      <c r="S264" s="9"/>
      <c r="W264" s="9"/>
      <c r="X264" s="5283"/>
      <c r="Y264" s="1967"/>
      <c r="Z264" s="1969"/>
      <c r="AA264" s="1970"/>
      <c r="AB264" s="1969"/>
      <c r="AC264" s="1969"/>
      <c r="AD264" s="1969"/>
      <c r="AE264" s="1969"/>
      <c r="AG264" s="5285"/>
      <c r="AH264" s="1946"/>
      <c r="AI264" s="58"/>
      <c r="AJ264" s="1948"/>
      <c r="AK264" s="1948"/>
      <c r="AL264" s="172"/>
      <c r="AM264" s="5294"/>
      <c r="AN264" s="1944"/>
      <c r="AO264" s="1931"/>
      <c r="AP264" s="1931"/>
      <c r="AR264" s="5294">
        <f t="shared" si="63"/>
        <v>10</v>
      </c>
      <c r="AS264" s="1897" t="s">
        <v>3995</v>
      </c>
      <c r="AT264" s="1935" t="s">
        <v>5013</v>
      </c>
      <c r="AU264" s="1936" t="s">
        <v>5014</v>
      </c>
      <c r="AV264" s="1935" t="s">
        <v>5015</v>
      </c>
      <c r="AW264" s="1935" t="s">
        <v>6349</v>
      </c>
      <c r="AY264" s="1897" t="s">
        <v>3995</v>
      </c>
      <c r="BA264" s="3">
        <v>1</v>
      </c>
    </row>
    <row r="265" spans="2:53" ht="30" customHeight="1">
      <c r="B265" s="1953"/>
      <c r="C265" s="1894"/>
      <c r="D265" s="1894"/>
      <c r="E265" s="1894"/>
      <c r="F265" s="9"/>
      <c r="G265" s="1953"/>
      <c r="H265" s="1904"/>
      <c r="I265" s="1965"/>
      <c r="J265" s="1965"/>
      <c r="L265" s="5294"/>
      <c r="M265" s="172"/>
      <c r="N265" s="1975"/>
      <c r="O265" s="1976"/>
      <c r="P265" s="1975"/>
      <c r="Q265" s="1975"/>
      <c r="R265" s="1975"/>
      <c r="S265" s="9"/>
      <c r="W265" s="9"/>
      <c r="X265" s="5283"/>
      <c r="Y265" s="1967"/>
      <c r="Z265" s="1969"/>
      <c r="AA265" s="1970"/>
      <c r="AB265" s="1969"/>
      <c r="AC265" s="1969"/>
      <c r="AD265" s="1969"/>
      <c r="AE265" s="1969"/>
      <c r="AG265" s="5285"/>
      <c r="AH265" s="1946"/>
      <c r="AI265" s="58"/>
      <c r="AJ265" s="1948"/>
      <c r="AK265" s="1948"/>
      <c r="AL265" s="172"/>
      <c r="AM265" s="5294"/>
      <c r="AN265" s="1944"/>
      <c r="AO265" s="1931"/>
      <c r="AP265" s="1931"/>
      <c r="AS265" s="1940" t="s">
        <v>1</v>
      </c>
      <c r="AT265" s="1941"/>
      <c r="AU265" s="1941"/>
      <c r="AV265" s="1941"/>
      <c r="AW265" s="1932"/>
      <c r="AX265" s="1932"/>
      <c r="AY265" s="1940" t="s">
        <v>1</v>
      </c>
      <c r="BA265" s="3">
        <v>1</v>
      </c>
    </row>
    <row r="266" spans="2:53" ht="30" customHeight="1">
      <c r="B266" s="1953"/>
      <c r="C266" s="1894"/>
      <c r="D266" s="1894"/>
      <c r="E266" s="1894"/>
      <c r="F266" s="9"/>
      <c r="G266" s="1953"/>
      <c r="H266" s="1904"/>
      <c r="I266" s="1965"/>
      <c r="J266" s="1965"/>
      <c r="L266" s="5294"/>
      <c r="M266" s="172"/>
      <c r="N266" s="1975"/>
      <c r="O266" s="1976"/>
      <c r="P266" s="1975"/>
      <c r="Q266" s="1975"/>
      <c r="R266" s="1975"/>
      <c r="S266" s="9"/>
      <c r="W266" s="9"/>
      <c r="X266" s="5283"/>
      <c r="Y266" s="1967"/>
      <c r="Z266" s="1969"/>
      <c r="AA266" s="1970"/>
      <c r="AB266" s="1969"/>
      <c r="AC266" s="1969"/>
      <c r="AD266" s="1969"/>
      <c r="AE266" s="1969"/>
      <c r="AG266" s="5285"/>
      <c r="AH266" s="1946"/>
      <c r="AI266" s="58"/>
      <c r="AJ266" s="1948"/>
      <c r="AK266" s="1948"/>
      <c r="AL266" s="172"/>
      <c r="AM266" s="5294"/>
      <c r="AN266" s="1944"/>
      <c r="AO266" s="1931"/>
      <c r="AP266" s="1931"/>
      <c r="AR266" s="5294">
        <v>1</v>
      </c>
      <c r="AS266" s="1897" t="s">
        <v>3570</v>
      </c>
      <c r="AT266" s="1935" t="s">
        <v>5016</v>
      </c>
      <c r="AU266" s="1936" t="s">
        <v>5017</v>
      </c>
      <c r="AV266" s="1935" t="s">
        <v>5018</v>
      </c>
      <c r="AW266" s="1935" t="s">
        <v>6350</v>
      </c>
      <c r="AX266" s="1935" t="s">
        <v>6351</v>
      </c>
      <c r="AY266" s="1897" t="s">
        <v>3570</v>
      </c>
      <c r="BA266" s="3">
        <v>1</v>
      </c>
    </row>
    <row r="267" spans="2:53" ht="30" customHeight="1">
      <c r="B267" s="1953"/>
      <c r="C267" s="1894"/>
      <c r="D267" s="1894"/>
      <c r="E267" s="1894"/>
      <c r="F267" s="9"/>
      <c r="G267" s="1953"/>
      <c r="H267" s="1904"/>
      <c r="I267" s="1965"/>
      <c r="J267" s="1965"/>
      <c r="L267" s="5294"/>
      <c r="M267" s="172"/>
      <c r="N267" s="1975"/>
      <c r="O267" s="1976"/>
      <c r="P267" s="1975"/>
      <c r="Q267" s="1975"/>
      <c r="R267" s="1975"/>
      <c r="S267" s="9"/>
      <c r="W267" s="9"/>
      <c r="X267" s="5283"/>
      <c r="Y267" s="1967"/>
      <c r="Z267" s="1969"/>
      <c r="AA267" s="1970"/>
      <c r="AB267" s="1969"/>
      <c r="AC267" s="1969"/>
      <c r="AD267" s="1969"/>
      <c r="AE267" s="1969"/>
      <c r="AG267" s="5285"/>
      <c r="AH267" s="1946"/>
      <c r="AI267" s="58"/>
      <c r="AJ267" s="1948"/>
      <c r="AK267" s="1948"/>
      <c r="AL267" s="172"/>
      <c r="AM267" s="5294"/>
      <c r="AN267" s="1944"/>
      <c r="AO267" s="1931"/>
      <c r="AP267" s="1931"/>
      <c r="AR267" s="5294">
        <f>AR266+1</f>
        <v>2</v>
      </c>
      <c r="AS267" s="1897" t="s">
        <v>3578</v>
      </c>
      <c r="AT267" s="1935" t="s">
        <v>5019</v>
      </c>
      <c r="AU267" s="1936" t="s">
        <v>5020</v>
      </c>
      <c r="AV267" s="1935" t="s">
        <v>6880</v>
      </c>
      <c r="AW267" s="1935" t="s">
        <v>6881</v>
      </c>
      <c r="AX267" s="1935" t="s">
        <v>6882</v>
      </c>
      <c r="AY267" s="1897" t="s">
        <v>3578</v>
      </c>
      <c r="BA267" s="3">
        <v>1</v>
      </c>
    </row>
    <row r="268" spans="2:53" ht="30" customHeight="1">
      <c r="B268" s="1953"/>
      <c r="C268" s="1894"/>
      <c r="D268" s="1894"/>
      <c r="E268" s="1894"/>
      <c r="F268" s="9"/>
      <c r="G268" s="1953"/>
      <c r="H268" s="1904"/>
      <c r="I268" s="1965"/>
      <c r="J268" s="1965"/>
      <c r="L268" s="5294"/>
      <c r="M268" s="172"/>
      <c r="N268" s="1975"/>
      <c r="O268" s="1976"/>
      <c r="P268" s="1975"/>
      <c r="Q268" s="1975"/>
      <c r="R268" s="1975"/>
      <c r="S268" s="9"/>
      <c r="W268" s="9"/>
      <c r="X268" s="5283"/>
      <c r="Y268" s="1967"/>
      <c r="Z268" s="1969"/>
      <c r="AA268" s="1970"/>
      <c r="AB268" s="1969"/>
      <c r="AC268" s="1969"/>
      <c r="AD268" s="1969"/>
      <c r="AE268" s="1969"/>
      <c r="AG268" s="5285"/>
      <c r="AH268" s="1946"/>
      <c r="AI268" s="58"/>
      <c r="AJ268" s="1948"/>
      <c r="AK268" s="1948"/>
      <c r="AL268" s="172"/>
      <c r="AM268" s="5294"/>
      <c r="AN268" s="1944"/>
      <c r="AO268" s="1931"/>
      <c r="AP268" s="1931"/>
      <c r="AR268" s="5294">
        <f t="shared" ref="AR268:AR299" si="64">AR267+1</f>
        <v>3</v>
      </c>
      <c r="AS268" s="1897" t="s">
        <v>3584</v>
      </c>
      <c r="AT268" s="1935" t="s">
        <v>5021</v>
      </c>
      <c r="AU268" s="1936" t="s">
        <v>5022</v>
      </c>
      <c r="AV268" s="1935" t="s">
        <v>5023</v>
      </c>
      <c r="AW268" s="1935" t="s">
        <v>5545</v>
      </c>
      <c r="AX268" s="1935" t="s">
        <v>6352</v>
      </c>
      <c r="AY268" s="1897" t="s">
        <v>3584</v>
      </c>
      <c r="BA268" s="3">
        <v>1</v>
      </c>
    </row>
    <row r="269" spans="2:53" ht="30" customHeight="1">
      <c r="B269" s="1953"/>
      <c r="C269" s="1894"/>
      <c r="D269" s="1894"/>
      <c r="E269" s="1894"/>
      <c r="F269" s="9"/>
      <c r="G269" s="1953"/>
      <c r="H269" s="1904"/>
      <c r="I269" s="1965"/>
      <c r="J269" s="1965"/>
      <c r="L269" s="5294"/>
      <c r="M269" s="172"/>
      <c r="N269" s="1975"/>
      <c r="O269" s="1976"/>
      <c r="P269" s="1975"/>
      <c r="Q269" s="1975"/>
      <c r="R269" s="1975"/>
      <c r="S269" s="9"/>
      <c r="W269" s="9"/>
      <c r="X269" s="5283"/>
      <c r="Y269" s="1967"/>
      <c r="Z269" s="1969"/>
      <c r="AA269" s="1970"/>
      <c r="AB269" s="1969"/>
      <c r="AC269" s="1969"/>
      <c r="AD269" s="1969"/>
      <c r="AE269" s="1969"/>
      <c r="AG269" s="5285"/>
      <c r="AH269" s="1946"/>
      <c r="AI269" s="58"/>
      <c r="AJ269" s="1948"/>
      <c r="AK269" s="1948"/>
      <c r="AL269" s="172"/>
      <c r="AM269" s="5294"/>
      <c r="AN269" s="1944"/>
      <c r="AO269" s="1931"/>
      <c r="AP269" s="1931"/>
      <c r="AR269" s="5294">
        <f t="shared" si="64"/>
        <v>4</v>
      </c>
      <c r="AS269" s="1897" t="s">
        <v>8309</v>
      </c>
      <c r="AT269" s="1935" t="s">
        <v>5024</v>
      </c>
      <c r="AU269" s="1936" t="s">
        <v>5025</v>
      </c>
      <c r="AV269" s="1935" t="s">
        <v>5026</v>
      </c>
      <c r="AW269" s="1935" t="s">
        <v>6353</v>
      </c>
      <c r="AX269" s="1937" t="s">
        <v>6354</v>
      </c>
      <c r="AY269" s="1897" t="s">
        <v>8309</v>
      </c>
      <c r="BA269" s="3">
        <v>1</v>
      </c>
    </row>
    <row r="270" spans="2:53" ht="30" customHeight="1">
      <c r="B270" s="1953"/>
      <c r="C270" s="1894"/>
      <c r="D270" s="1894"/>
      <c r="E270" s="1894"/>
      <c r="F270" s="9"/>
      <c r="G270" s="1953"/>
      <c r="H270" s="1904"/>
      <c r="I270" s="1965"/>
      <c r="J270" s="1965"/>
      <c r="L270" s="5294"/>
      <c r="M270" s="172"/>
      <c r="N270" s="1975"/>
      <c r="O270" s="1976"/>
      <c r="P270" s="1975"/>
      <c r="Q270" s="1975"/>
      <c r="R270" s="1975"/>
      <c r="S270" s="9"/>
      <c r="W270" s="9"/>
      <c r="X270" s="5283"/>
      <c r="Y270" s="1967"/>
      <c r="Z270" s="1969"/>
      <c r="AA270" s="1970"/>
      <c r="AB270" s="1969"/>
      <c r="AC270" s="1969"/>
      <c r="AD270" s="1969"/>
      <c r="AE270" s="1969"/>
      <c r="AG270" s="5285"/>
      <c r="AH270" s="1946"/>
      <c r="AI270" s="58"/>
      <c r="AJ270" s="1948"/>
      <c r="AK270" s="1948"/>
      <c r="AL270" s="172"/>
      <c r="AM270" s="5294"/>
      <c r="AN270" s="1944"/>
      <c r="AO270" s="1931"/>
      <c r="AP270" s="1931"/>
      <c r="AR270" s="5294">
        <f t="shared" si="64"/>
        <v>5</v>
      </c>
      <c r="AS270" s="1897" t="s">
        <v>3602</v>
      </c>
      <c r="AT270" s="1935" t="s">
        <v>5890</v>
      </c>
      <c r="AU270" s="1936" t="s">
        <v>5891</v>
      </c>
      <c r="AV270" s="1935" t="s">
        <v>5892</v>
      </c>
      <c r="AW270" s="1935" t="s">
        <v>6883</v>
      </c>
      <c r="AX270" s="1935" t="s">
        <v>6884</v>
      </c>
      <c r="AY270" s="1897" t="s">
        <v>3602</v>
      </c>
      <c r="BA270" s="3">
        <v>1</v>
      </c>
    </row>
    <row r="271" spans="2:53" ht="30" customHeight="1">
      <c r="B271" s="1953"/>
      <c r="C271" s="1894"/>
      <c r="D271" s="1894"/>
      <c r="E271" s="1894"/>
      <c r="F271" s="9"/>
      <c r="G271" s="1953"/>
      <c r="H271" s="1904"/>
      <c r="I271" s="1965"/>
      <c r="J271" s="1965"/>
      <c r="L271" s="5294"/>
      <c r="M271" s="172"/>
      <c r="N271" s="1975"/>
      <c r="O271" s="1976"/>
      <c r="P271" s="1975"/>
      <c r="Q271" s="1975"/>
      <c r="R271" s="1975"/>
      <c r="S271" s="9"/>
      <c r="W271" s="9"/>
      <c r="X271" s="5283"/>
      <c r="Y271" s="1967"/>
      <c r="Z271" s="1969"/>
      <c r="AA271" s="1970"/>
      <c r="AB271" s="1969"/>
      <c r="AC271" s="1969"/>
      <c r="AD271" s="1969"/>
      <c r="AE271" s="1969"/>
      <c r="AG271" s="5285"/>
      <c r="AH271" s="1946"/>
      <c r="AI271" s="58"/>
      <c r="AJ271" s="1948"/>
      <c r="AK271" s="1948"/>
      <c r="AL271" s="172"/>
      <c r="AM271" s="5294"/>
      <c r="AN271" s="1944"/>
      <c r="AO271" s="1931"/>
      <c r="AP271" s="1931"/>
      <c r="AR271" s="5294">
        <f t="shared" si="64"/>
        <v>6</v>
      </c>
      <c r="AS271" s="1897" t="s">
        <v>3598</v>
      </c>
      <c r="AT271" s="1935" t="s">
        <v>5027</v>
      </c>
      <c r="AU271" s="1936" t="s">
        <v>5028</v>
      </c>
      <c r="AV271" s="1935" t="s">
        <v>5029</v>
      </c>
      <c r="AW271" s="1935" t="s">
        <v>6355</v>
      </c>
      <c r="AX271" s="1935" t="s">
        <v>6356</v>
      </c>
      <c r="AY271" s="1897" t="s">
        <v>3598</v>
      </c>
      <c r="BA271" s="3">
        <v>1</v>
      </c>
    </row>
    <row r="272" spans="2:53" ht="30" customHeight="1">
      <c r="B272" s="1953"/>
      <c r="C272" s="1894"/>
      <c r="D272" s="1894"/>
      <c r="E272" s="1894"/>
      <c r="F272" s="9"/>
      <c r="G272" s="1953"/>
      <c r="H272" s="1904"/>
      <c r="I272" s="1965"/>
      <c r="J272" s="1965"/>
      <c r="L272" s="5294"/>
      <c r="M272" s="172"/>
      <c r="N272" s="1975"/>
      <c r="O272" s="1976"/>
      <c r="P272" s="1975"/>
      <c r="Q272" s="1975"/>
      <c r="R272" s="1975"/>
      <c r="S272" s="9"/>
      <c r="W272" s="9"/>
      <c r="X272" s="5283"/>
      <c r="Y272" s="1967"/>
      <c r="Z272" s="1969"/>
      <c r="AA272" s="1970"/>
      <c r="AB272" s="1969"/>
      <c r="AC272" s="1969"/>
      <c r="AD272" s="1969"/>
      <c r="AE272" s="1969"/>
      <c r="AG272" s="5285"/>
      <c r="AH272" s="1946"/>
      <c r="AI272" s="58"/>
      <c r="AJ272" s="1948"/>
      <c r="AK272" s="1948"/>
      <c r="AL272" s="172"/>
      <c r="AM272" s="5294"/>
      <c r="AN272" s="1944"/>
      <c r="AO272" s="1931"/>
      <c r="AP272" s="1931"/>
      <c r="AR272" s="5294">
        <f t="shared" si="64"/>
        <v>7</v>
      </c>
      <c r="AS272" s="1897" t="s">
        <v>3606</v>
      </c>
      <c r="AT272" s="1935" t="s">
        <v>5030</v>
      </c>
      <c r="AU272" s="1936" t="s">
        <v>5031</v>
      </c>
      <c r="AV272" s="1935" t="s">
        <v>5032</v>
      </c>
      <c r="AW272" s="1935" t="s">
        <v>6357</v>
      </c>
      <c r="AX272" s="1935" t="s">
        <v>5546</v>
      </c>
      <c r="AY272" s="1897" t="s">
        <v>3606</v>
      </c>
      <c r="BA272" s="3">
        <v>1</v>
      </c>
    </row>
    <row r="273" spans="2:53" ht="30" customHeight="1">
      <c r="B273" s="1953"/>
      <c r="C273" s="1894"/>
      <c r="D273" s="1894"/>
      <c r="E273" s="1894"/>
      <c r="F273" s="9"/>
      <c r="G273" s="1953"/>
      <c r="H273" s="1904"/>
      <c r="I273" s="1965"/>
      <c r="J273" s="1965"/>
      <c r="L273" s="5294"/>
      <c r="M273" s="172"/>
      <c r="N273" s="1975"/>
      <c r="O273" s="1976"/>
      <c r="P273" s="1975"/>
      <c r="Q273" s="1975"/>
      <c r="R273" s="1975"/>
      <c r="S273" s="9"/>
      <c r="W273" s="9"/>
      <c r="X273" s="5283"/>
      <c r="Y273" s="1967"/>
      <c r="Z273" s="1969"/>
      <c r="AA273" s="1970"/>
      <c r="AB273" s="1969"/>
      <c r="AC273" s="1969"/>
      <c r="AD273" s="1969"/>
      <c r="AE273" s="1969"/>
      <c r="AG273" s="5285"/>
      <c r="AH273" s="1946"/>
      <c r="AI273" s="58"/>
      <c r="AJ273" s="1948"/>
      <c r="AK273" s="1948"/>
      <c r="AL273" s="172"/>
      <c r="AM273" s="5294"/>
      <c r="AN273" s="1944"/>
      <c r="AO273" s="1931"/>
      <c r="AP273" s="1931"/>
      <c r="AR273" s="5294">
        <f t="shared" si="64"/>
        <v>8</v>
      </c>
      <c r="AS273" s="1897" t="s">
        <v>3615</v>
      </c>
      <c r="AT273" s="1935" t="s">
        <v>5033</v>
      </c>
      <c r="AU273" s="1936" t="s">
        <v>5034</v>
      </c>
      <c r="AV273" s="1935" t="s">
        <v>5035</v>
      </c>
      <c r="AW273" s="1935" t="s">
        <v>5547</v>
      </c>
      <c r="AX273" s="1935" t="s">
        <v>6358</v>
      </c>
      <c r="AY273" s="1897" t="s">
        <v>3615</v>
      </c>
      <c r="BA273" s="3">
        <v>1</v>
      </c>
    </row>
    <row r="274" spans="2:53" ht="30" customHeight="1">
      <c r="B274" s="1953"/>
      <c r="C274" s="1894"/>
      <c r="D274" s="1894"/>
      <c r="E274" s="1894"/>
      <c r="F274" s="9"/>
      <c r="G274" s="1953"/>
      <c r="H274" s="1904"/>
      <c r="I274" s="1965"/>
      <c r="J274" s="1965"/>
      <c r="L274" s="5294"/>
      <c r="M274" s="172"/>
      <c r="N274" s="1975"/>
      <c r="O274" s="1976"/>
      <c r="P274" s="1975"/>
      <c r="Q274" s="1975"/>
      <c r="R274" s="1975"/>
      <c r="S274" s="9"/>
      <c r="W274" s="9"/>
      <c r="X274" s="5283"/>
      <c r="Y274" s="1967"/>
      <c r="Z274" s="1969"/>
      <c r="AA274" s="1970"/>
      <c r="AB274" s="1969"/>
      <c r="AC274" s="1969"/>
      <c r="AD274" s="1969"/>
      <c r="AE274" s="1969"/>
      <c r="AG274" s="5285"/>
      <c r="AH274" s="1946"/>
      <c r="AI274" s="58"/>
      <c r="AJ274" s="1948"/>
      <c r="AK274" s="1948"/>
      <c r="AL274" s="172"/>
      <c r="AM274" s="5294"/>
      <c r="AN274" s="1944"/>
      <c r="AO274" s="1931"/>
      <c r="AP274" s="1931"/>
      <c r="AR274" s="5294">
        <f t="shared" si="64"/>
        <v>9</v>
      </c>
      <c r="AS274" s="1897" t="s">
        <v>3624</v>
      </c>
      <c r="AT274" s="1935" t="s">
        <v>5036</v>
      </c>
      <c r="AU274" s="1936" t="s">
        <v>5037</v>
      </c>
      <c r="AV274" s="1935" t="s">
        <v>5038</v>
      </c>
      <c r="AW274" s="1935" t="s">
        <v>6359</v>
      </c>
      <c r="AX274" s="1935" t="s">
        <v>6360</v>
      </c>
      <c r="AY274" s="1897" t="s">
        <v>3624</v>
      </c>
      <c r="BA274" s="3">
        <v>1</v>
      </c>
    </row>
    <row r="275" spans="2:53" ht="30" customHeight="1">
      <c r="B275" s="1953"/>
      <c r="C275" s="1894"/>
      <c r="D275" s="1894"/>
      <c r="E275" s="1894"/>
      <c r="F275" s="9"/>
      <c r="G275" s="1953"/>
      <c r="H275" s="1904"/>
      <c r="I275" s="1965"/>
      <c r="J275" s="1965"/>
      <c r="L275" s="5294"/>
      <c r="M275" s="172"/>
      <c r="N275" s="1975"/>
      <c r="O275" s="1976"/>
      <c r="P275" s="1975"/>
      <c r="Q275" s="1975"/>
      <c r="R275" s="1975"/>
      <c r="S275" s="9"/>
      <c r="W275" s="9"/>
      <c r="X275" s="5283"/>
      <c r="Y275" s="1967"/>
      <c r="Z275" s="1969"/>
      <c r="AA275" s="1970"/>
      <c r="AB275" s="1969"/>
      <c r="AC275" s="1969"/>
      <c r="AD275" s="1969"/>
      <c r="AE275" s="1969"/>
      <c r="AG275" s="5285"/>
      <c r="AH275" s="1946"/>
      <c r="AI275" s="58"/>
      <c r="AJ275" s="1948"/>
      <c r="AK275" s="1948"/>
      <c r="AL275" s="172"/>
      <c r="AM275" s="5294"/>
      <c r="AN275" s="1944"/>
      <c r="AO275" s="1931"/>
      <c r="AP275" s="1931"/>
      <c r="AR275" s="5294">
        <f t="shared" si="64"/>
        <v>10</v>
      </c>
      <c r="AS275" s="1897" t="s">
        <v>3633</v>
      </c>
      <c r="AT275" s="1935" t="s">
        <v>5039</v>
      </c>
      <c r="AU275" s="1936" t="s">
        <v>5040</v>
      </c>
      <c r="AV275" s="1935" t="s">
        <v>5041</v>
      </c>
      <c r="AW275" s="1935" t="s">
        <v>5548</v>
      </c>
      <c r="AX275" s="1935" t="s">
        <v>6361</v>
      </c>
      <c r="AY275" s="1897" t="s">
        <v>3633</v>
      </c>
      <c r="BA275" s="3">
        <v>1</v>
      </c>
    </row>
    <row r="276" spans="2:53" ht="30" customHeight="1">
      <c r="B276" s="1953"/>
      <c r="C276" s="1894"/>
      <c r="D276" s="1894"/>
      <c r="E276" s="1894"/>
      <c r="F276" s="9"/>
      <c r="G276" s="1953"/>
      <c r="H276" s="1904"/>
      <c r="I276" s="1965"/>
      <c r="J276" s="1965"/>
      <c r="L276" s="5294"/>
      <c r="M276" s="172"/>
      <c r="N276" s="1975"/>
      <c r="O276" s="1976"/>
      <c r="P276" s="1975"/>
      <c r="Q276" s="1975"/>
      <c r="R276" s="1975"/>
      <c r="S276" s="9"/>
      <c r="W276" s="9"/>
      <c r="X276" s="5283"/>
      <c r="Y276" s="1967"/>
      <c r="Z276" s="1969"/>
      <c r="AA276" s="1970"/>
      <c r="AB276" s="1969"/>
      <c r="AC276" s="1969"/>
      <c r="AD276" s="1969"/>
      <c r="AE276" s="1969"/>
      <c r="AG276" s="5285"/>
      <c r="AH276" s="1946"/>
      <c r="AI276" s="58"/>
      <c r="AJ276" s="1948"/>
      <c r="AK276" s="1948"/>
      <c r="AL276" s="172"/>
      <c r="AM276" s="5294"/>
      <c r="AN276" s="1944"/>
      <c r="AO276" s="1931"/>
      <c r="AP276" s="1931"/>
      <c r="AR276" s="5294">
        <f t="shared" si="64"/>
        <v>11</v>
      </c>
      <c r="AS276" s="1897" t="s">
        <v>3643</v>
      </c>
      <c r="AT276" s="1935" t="s">
        <v>5042</v>
      </c>
      <c r="AU276" s="1936" t="s">
        <v>5043</v>
      </c>
      <c r="AV276" s="1935" t="s">
        <v>5044</v>
      </c>
      <c r="AW276" s="1935" t="s">
        <v>5549</v>
      </c>
      <c r="AX276" s="1935" t="s">
        <v>5550</v>
      </c>
      <c r="AY276" s="1897" t="s">
        <v>3643</v>
      </c>
      <c r="BA276" s="3">
        <v>1</v>
      </c>
    </row>
    <row r="277" spans="2:53" ht="30" customHeight="1">
      <c r="B277" s="1953"/>
      <c r="C277" s="1894"/>
      <c r="D277" s="1894"/>
      <c r="E277" s="1894"/>
      <c r="F277" s="9"/>
      <c r="G277" s="1953"/>
      <c r="H277" s="1904"/>
      <c r="I277" s="1965"/>
      <c r="J277" s="1965"/>
      <c r="L277" s="5294"/>
      <c r="M277" s="172"/>
      <c r="N277" s="1975"/>
      <c r="O277" s="1976"/>
      <c r="P277" s="1975"/>
      <c r="Q277" s="1975"/>
      <c r="R277" s="1975"/>
      <c r="S277" s="9"/>
      <c r="W277" s="9"/>
      <c r="X277" s="5283"/>
      <c r="Y277" s="1967"/>
      <c r="Z277" s="1969"/>
      <c r="AA277" s="1970"/>
      <c r="AB277" s="1969"/>
      <c r="AC277" s="1969"/>
      <c r="AD277" s="1969"/>
      <c r="AE277" s="1969"/>
      <c r="AG277" s="5285"/>
      <c r="AH277" s="1946"/>
      <c r="AI277" s="58"/>
      <c r="AJ277" s="1948"/>
      <c r="AK277" s="1948"/>
      <c r="AL277" s="172"/>
      <c r="AM277" s="5294"/>
      <c r="AN277" s="1944"/>
      <c r="AO277" s="1931"/>
      <c r="AP277" s="1931"/>
      <c r="AR277" s="5294">
        <f t="shared" si="64"/>
        <v>12</v>
      </c>
      <c r="AS277" s="1897" t="s">
        <v>3649</v>
      </c>
      <c r="AT277" s="1935" t="s">
        <v>5045</v>
      </c>
      <c r="AU277" s="1936" t="s">
        <v>5046</v>
      </c>
      <c r="AV277" s="1935" t="s">
        <v>5047</v>
      </c>
      <c r="AW277" s="1935" t="s">
        <v>6362</v>
      </c>
      <c r="AX277" s="1935" t="s">
        <v>6363</v>
      </c>
      <c r="AY277" s="1897" t="s">
        <v>3649</v>
      </c>
      <c r="BA277" s="3">
        <v>1</v>
      </c>
    </row>
    <row r="278" spans="2:53" ht="30" customHeight="1">
      <c r="B278" s="1953"/>
      <c r="C278" s="1894"/>
      <c r="D278" s="1894"/>
      <c r="E278" s="1894"/>
      <c r="F278" s="9"/>
      <c r="G278" s="1953"/>
      <c r="H278" s="1904"/>
      <c r="I278" s="1965"/>
      <c r="J278" s="1965"/>
      <c r="L278" s="5294"/>
      <c r="M278" s="172"/>
      <c r="N278" s="1975"/>
      <c r="O278" s="1976"/>
      <c r="P278" s="1975"/>
      <c r="Q278" s="1975"/>
      <c r="R278" s="1975"/>
      <c r="S278" s="9"/>
      <c r="W278" s="9"/>
      <c r="X278" s="5283"/>
      <c r="Y278" s="1967"/>
      <c r="Z278" s="1969"/>
      <c r="AA278" s="1970"/>
      <c r="AB278" s="1969"/>
      <c r="AC278" s="1969"/>
      <c r="AD278" s="1969"/>
      <c r="AE278" s="1969"/>
      <c r="AG278" s="5285"/>
      <c r="AH278" s="1946"/>
      <c r="AI278" s="58"/>
      <c r="AJ278" s="1948"/>
      <c r="AK278" s="1948"/>
      <c r="AL278" s="172"/>
      <c r="AM278" s="5294"/>
      <c r="AN278" s="1944"/>
      <c r="AO278" s="1931"/>
      <c r="AP278" s="1931"/>
      <c r="AR278" s="5294">
        <f t="shared" si="64"/>
        <v>13</v>
      </c>
      <c r="AS278" s="1897" t="s">
        <v>5048</v>
      </c>
      <c r="AT278" s="1935" t="s">
        <v>5049</v>
      </c>
      <c r="AU278" s="1936" t="s">
        <v>5050</v>
      </c>
      <c r="AV278" s="1935" t="s">
        <v>5051</v>
      </c>
      <c r="AW278" s="1935" t="s">
        <v>6364</v>
      </c>
      <c r="AX278" s="1935" t="s">
        <v>5551</v>
      </c>
      <c r="AY278" s="1897" t="s">
        <v>5048</v>
      </c>
      <c r="BA278" s="3">
        <v>1</v>
      </c>
    </row>
    <row r="279" spans="2:53" ht="30" customHeight="1">
      <c r="B279" s="1953"/>
      <c r="C279" s="1894"/>
      <c r="D279" s="1894"/>
      <c r="E279" s="1894"/>
      <c r="F279" s="9"/>
      <c r="G279" s="1953"/>
      <c r="H279" s="1904"/>
      <c r="I279" s="1965"/>
      <c r="J279" s="1965"/>
      <c r="L279" s="5294"/>
      <c r="M279" s="172"/>
      <c r="N279" s="1975"/>
      <c r="O279" s="1976"/>
      <c r="P279" s="1975"/>
      <c r="Q279" s="1975"/>
      <c r="R279" s="1975"/>
      <c r="S279" s="9"/>
      <c r="W279" s="9"/>
      <c r="X279" s="5283"/>
      <c r="Y279" s="1967"/>
      <c r="Z279" s="1969"/>
      <c r="AA279" s="1970"/>
      <c r="AB279" s="1969"/>
      <c r="AC279" s="1969"/>
      <c r="AD279" s="1969"/>
      <c r="AE279" s="1969"/>
      <c r="AG279" s="5285"/>
      <c r="AH279" s="1946"/>
      <c r="AI279" s="58"/>
      <c r="AJ279" s="1948"/>
      <c r="AK279" s="1948"/>
      <c r="AL279" s="172"/>
      <c r="AM279" s="5294"/>
      <c r="AN279" s="1944"/>
      <c r="AO279" s="1931"/>
      <c r="AP279" s="1931"/>
      <c r="AR279" s="5294">
        <f t="shared" si="64"/>
        <v>14</v>
      </c>
      <c r="AS279" s="1897" t="s">
        <v>3661</v>
      </c>
      <c r="AT279" s="1931" t="s">
        <v>7505</v>
      </c>
      <c r="AU279" s="1931" t="s">
        <v>7506</v>
      </c>
      <c r="AV279" s="1935" t="s">
        <v>8310</v>
      </c>
      <c r="AW279" s="1935" t="s">
        <v>8311</v>
      </c>
      <c r="AX279" s="1935" t="s">
        <v>8312</v>
      </c>
      <c r="AY279" s="1897" t="s">
        <v>3661</v>
      </c>
      <c r="BA279" s="3">
        <v>1</v>
      </c>
    </row>
    <row r="280" spans="2:53" ht="30" customHeight="1">
      <c r="B280" s="1953"/>
      <c r="C280" s="1894"/>
      <c r="D280" s="1894"/>
      <c r="E280" s="1894"/>
      <c r="F280" s="9"/>
      <c r="G280" s="1953"/>
      <c r="H280" s="1904"/>
      <c r="I280" s="1965"/>
      <c r="J280" s="1965"/>
      <c r="L280" s="5294"/>
      <c r="M280" s="172"/>
      <c r="N280" s="1975"/>
      <c r="O280" s="1976"/>
      <c r="P280" s="1975"/>
      <c r="Q280" s="1975"/>
      <c r="R280" s="1975"/>
      <c r="S280" s="9"/>
      <c r="W280" s="9"/>
      <c r="X280" s="5283"/>
      <c r="Y280" s="1967"/>
      <c r="Z280" s="1969"/>
      <c r="AA280" s="1970"/>
      <c r="AB280" s="1969"/>
      <c r="AC280" s="1969"/>
      <c r="AD280" s="1969"/>
      <c r="AE280" s="1969"/>
      <c r="AG280" s="5285"/>
      <c r="AH280" s="1946"/>
      <c r="AI280" s="58"/>
      <c r="AJ280" s="1948"/>
      <c r="AK280" s="1948"/>
      <c r="AL280" s="172"/>
      <c r="AM280" s="5294"/>
      <c r="AN280" s="1944"/>
      <c r="AO280" s="1931"/>
      <c r="AP280" s="1931"/>
      <c r="AR280" s="5294">
        <f t="shared" si="64"/>
        <v>15</v>
      </c>
      <c r="AS280" s="1897" t="s">
        <v>3668</v>
      </c>
      <c r="AT280" s="1935" t="s">
        <v>5052</v>
      </c>
      <c r="AU280" s="1936" t="s">
        <v>5053</v>
      </c>
      <c r="AV280" s="1935" t="s">
        <v>5054</v>
      </c>
      <c r="AW280" s="1935" t="s">
        <v>6365</v>
      </c>
      <c r="AX280" s="1935" t="s">
        <v>6366</v>
      </c>
      <c r="AY280" s="1897" t="s">
        <v>3668</v>
      </c>
      <c r="BA280" s="3">
        <v>1</v>
      </c>
    </row>
    <row r="281" spans="2:53" ht="30" customHeight="1">
      <c r="B281" s="1953"/>
      <c r="C281" s="1894"/>
      <c r="D281" s="1894"/>
      <c r="E281" s="1894"/>
      <c r="F281" s="9"/>
      <c r="G281" s="1953"/>
      <c r="H281" s="1904"/>
      <c r="I281" s="1965"/>
      <c r="J281" s="1965"/>
      <c r="L281" s="5294"/>
      <c r="M281" s="172"/>
      <c r="N281" s="1975"/>
      <c r="O281" s="1976"/>
      <c r="P281" s="1975"/>
      <c r="Q281" s="1975"/>
      <c r="R281" s="1975"/>
      <c r="S281" s="9"/>
      <c r="W281" s="9"/>
      <c r="X281" s="5283"/>
      <c r="Y281" s="1967"/>
      <c r="Z281" s="1969"/>
      <c r="AA281" s="1970"/>
      <c r="AB281" s="1969"/>
      <c r="AC281" s="1969"/>
      <c r="AD281" s="1969"/>
      <c r="AE281" s="1969"/>
      <c r="AG281" s="5285"/>
      <c r="AH281" s="1946"/>
      <c r="AI281" s="58"/>
      <c r="AJ281" s="1948"/>
      <c r="AK281" s="1948"/>
      <c r="AL281" s="172"/>
      <c r="AM281" s="5294"/>
      <c r="AN281" s="1944"/>
      <c r="AO281" s="1931"/>
      <c r="AP281" s="1931"/>
      <c r="AR281" s="5294">
        <f t="shared" si="64"/>
        <v>16</v>
      </c>
      <c r="AS281" s="1897" t="s">
        <v>3619</v>
      </c>
      <c r="AT281" s="1935" t="s">
        <v>5895</v>
      </c>
      <c r="AU281" s="1936" t="s">
        <v>5896</v>
      </c>
      <c r="AV281" s="1935" t="s">
        <v>6887</v>
      </c>
      <c r="AW281" s="1935" t="s">
        <v>6888</v>
      </c>
      <c r="AX281" s="1935" t="s">
        <v>6889</v>
      </c>
      <c r="AY281" s="1897" t="s">
        <v>3619</v>
      </c>
      <c r="BA281" s="3">
        <v>1</v>
      </c>
    </row>
    <row r="282" spans="2:53" ht="30" customHeight="1">
      <c r="B282" s="1953"/>
      <c r="C282" s="1894"/>
      <c r="D282" s="1894"/>
      <c r="E282" s="1894"/>
      <c r="F282" s="9"/>
      <c r="G282" s="1953"/>
      <c r="H282" s="1904"/>
      <c r="I282" s="1965"/>
      <c r="J282" s="1965"/>
      <c r="L282" s="5294"/>
      <c r="M282" s="172"/>
      <c r="N282" s="1975"/>
      <c r="O282" s="1976"/>
      <c r="P282" s="1975"/>
      <c r="Q282" s="1975"/>
      <c r="R282" s="1975"/>
      <c r="S282" s="9"/>
      <c r="W282" s="9"/>
      <c r="X282" s="5283"/>
      <c r="Y282" s="1967"/>
      <c r="Z282" s="1969"/>
      <c r="AA282" s="1970"/>
      <c r="AB282" s="1969"/>
      <c r="AC282" s="1969"/>
      <c r="AD282" s="1969"/>
      <c r="AE282" s="1969"/>
      <c r="AG282" s="5285"/>
      <c r="AH282" s="1946"/>
      <c r="AI282" s="58"/>
      <c r="AJ282" s="1948"/>
      <c r="AK282" s="1948"/>
      <c r="AL282" s="172"/>
      <c r="AM282" s="5294"/>
      <c r="AN282" s="1944"/>
      <c r="AO282" s="1931"/>
      <c r="AP282" s="1931"/>
      <c r="AR282" s="5294">
        <f t="shared" si="64"/>
        <v>17</v>
      </c>
      <c r="AS282" s="1897" t="s">
        <v>5055</v>
      </c>
      <c r="AT282" s="1935" t="s">
        <v>5056</v>
      </c>
      <c r="AU282" s="1936" t="s">
        <v>5057</v>
      </c>
      <c r="AV282" s="1935" t="s">
        <v>5058</v>
      </c>
      <c r="AW282" s="1935" t="s">
        <v>6367</v>
      </c>
      <c r="AX282" s="1935" t="s">
        <v>6368</v>
      </c>
      <c r="AY282" s="1897" t="s">
        <v>5055</v>
      </c>
      <c r="BA282" s="3">
        <v>1</v>
      </c>
    </row>
    <row r="283" spans="2:53" ht="30" customHeight="1">
      <c r="B283" s="1953"/>
      <c r="C283" s="1894"/>
      <c r="D283" s="1894"/>
      <c r="E283" s="1894"/>
      <c r="F283" s="9"/>
      <c r="G283" s="1953"/>
      <c r="H283" s="1904"/>
      <c r="I283" s="1965"/>
      <c r="J283" s="1965"/>
      <c r="L283" s="5294"/>
      <c r="M283" s="172"/>
      <c r="N283" s="1975"/>
      <c r="O283" s="1976"/>
      <c r="P283" s="1975"/>
      <c r="Q283" s="1975"/>
      <c r="R283" s="1975"/>
      <c r="S283" s="9"/>
      <c r="W283" s="9"/>
      <c r="X283" s="5283"/>
      <c r="Y283" s="1967"/>
      <c r="Z283" s="1969"/>
      <c r="AA283" s="1970"/>
      <c r="AB283" s="1969"/>
      <c r="AC283" s="1969"/>
      <c r="AD283" s="1969"/>
      <c r="AE283" s="1969"/>
      <c r="AG283" s="5285"/>
      <c r="AH283" s="1946"/>
      <c r="AI283" s="58"/>
      <c r="AJ283" s="1948"/>
      <c r="AK283" s="1948"/>
      <c r="AL283" s="172"/>
      <c r="AM283" s="5294"/>
      <c r="AN283" s="1944"/>
      <c r="AO283" s="1931"/>
      <c r="AP283" s="1931"/>
      <c r="AR283" s="5294">
        <f t="shared" si="64"/>
        <v>18</v>
      </c>
      <c r="AS283" s="1897" t="s">
        <v>5059</v>
      </c>
      <c r="AT283" s="1935" t="s">
        <v>5060</v>
      </c>
      <c r="AU283" s="1936" t="s">
        <v>5061</v>
      </c>
      <c r="AV283" s="1935" t="s">
        <v>5062</v>
      </c>
      <c r="AW283" s="1935" t="s">
        <v>5552</v>
      </c>
      <c r="AX283" s="1935" t="s">
        <v>6369</v>
      </c>
      <c r="AY283" s="1897" t="s">
        <v>5059</v>
      </c>
      <c r="BA283" s="3">
        <v>1</v>
      </c>
    </row>
    <row r="284" spans="2:53" ht="30" customHeight="1">
      <c r="B284" s="1953"/>
      <c r="C284" s="1894"/>
      <c r="D284" s="1894"/>
      <c r="E284" s="1894"/>
      <c r="F284" s="9"/>
      <c r="G284" s="1953"/>
      <c r="H284" s="1904"/>
      <c r="I284" s="1965"/>
      <c r="J284" s="1965"/>
      <c r="L284" s="5294"/>
      <c r="M284" s="172"/>
      <c r="N284" s="1975"/>
      <c r="O284" s="1976"/>
      <c r="P284" s="1975"/>
      <c r="Q284" s="1975"/>
      <c r="R284" s="1975"/>
      <c r="S284" s="9"/>
      <c r="W284" s="9"/>
      <c r="X284" s="5283"/>
      <c r="Y284" s="1967"/>
      <c r="Z284" s="1969"/>
      <c r="AA284" s="1970"/>
      <c r="AB284" s="1969"/>
      <c r="AC284" s="1969"/>
      <c r="AD284" s="1969"/>
      <c r="AE284" s="1969"/>
      <c r="AG284" s="5285"/>
      <c r="AH284" s="1946"/>
      <c r="AI284" s="58"/>
      <c r="AJ284" s="1948"/>
      <c r="AK284" s="1948"/>
      <c r="AL284" s="172"/>
      <c r="AM284" s="5294"/>
      <c r="AN284" s="1944"/>
      <c r="AO284" s="1931"/>
      <c r="AP284" s="1931"/>
      <c r="AR284" s="5294">
        <f t="shared" si="64"/>
        <v>19</v>
      </c>
      <c r="AS284" s="1897" t="s">
        <v>5063</v>
      </c>
      <c r="AT284" s="1935" t="s">
        <v>5064</v>
      </c>
      <c r="AU284" s="1936" t="s">
        <v>5065</v>
      </c>
      <c r="AV284" s="1935" t="s">
        <v>5066</v>
      </c>
      <c r="AW284" s="1935" t="s">
        <v>5553</v>
      </c>
      <c r="AX284" s="1935" t="s">
        <v>5554</v>
      </c>
      <c r="AY284" s="1897" t="s">
        <v>5063</v>
      </c>
      <c r="BA284" s="3">
        <v>1</v>
      </c>
    </row>
    <row r="285" spans="2:53" ht="30" customHeight="1">
      <c r="B285" s="1953"/>
      <c r="C285" s="1894"/>
      <c r="D285" s="1894"/>
      <c r="E285" s="1894"/>
      <c r="F285" s="9"/>
      <c r="G285" s="1953"/>
      <c r="H285" s="1904"/>
      <c r="I285" s="1965"/>
      <c r="J285" s="1965"/>
      <c r="L285" s="5294"/>
      <c r="M285" s="172"/>
      <c r="N285" s="1975"/>
      <c r="O285" s="1976"/>
      <c r="P285" s="1975"/>
      <c r="Q285" s="1975"/>
      <c r="R285" s="1975"/>
      <c r="S285" s="9"/>
      <c r="W285" s="9"/>
      <c r="X285" s="5283"/>
      <c r="Y285" s="1967"/>
      <c r="Z285" s="1969"/>
      <c r="AA285" s="1970"/>
      <c r="AB285" s="1969"/>
      <c r="AC285" s="1969"/>
      <c r="AD285" s="1969"/>
      <c r="AE285" s="1969"/>
      <c r="AG285" s="5285"/>
      <c r="AH285" s="1946"/>
      <c r="AI285" s="58"/>
      <c r="AJ285" s="1948"/>
      <c r="AK285" s="1948"/>
      <c r="AL285" s="172"/>
      <c r="AM285" s="5294"/>
      <c r="AN285" s="1944"/>
      <c r="AO285" s="1931"/>
      <c r="AP285" s="1931"/>
      <c r="AR285" s="5294">
        <f t="shared" si="64"/>
        <v>20</v>
      </c>
      <c r="AS285" s="1897" t="s">
        <v>3693</v>
      </c>
      <c r="AT285" s="1935" t="s">
        <v>5067</v>
      </c>
      <c r="AU285" s="1936" t="s">
        <v>5068</v>
      </c>
      <c r="AV285" s="1935" t="s">
        <v>5069</v>
      </c>
      <c r="AW285" s="1935" t="s">
        <v>6370</v>
      </c>
      <c r="AX285" s="1935" t="s">
        <v>6371</v>
      </c>
      <c r="AY285" s="1897" t="s">
        <v>3693</v>
      </c>
      <c r="BA285" s="3">
        <v>1</v>
      </c>
    </row>
    <row r="286" spans="2:53" ht="30" customHeight="1">
      <c r="B286" s="1953"/>
      <c r="C286" s="1894"/>
      <c r="D286" s="1894"/>
      <c r="E286" s="1894"/>
      <c r="F286" s="9"/>
      <c r="G286" s="1953"/>
      <c r="H286" s="1904"/>
      <c r="I286" s="1965"/>
      <c r="J286" s="1965"/>
      <c r="L286" s="5294"/>
      <c r="M286" s="172"/>
      <c r="N286" s="1975"/>
      <c r="O286" s="1976"/>
      <c r="P286" s="1975"/>
      <c r="Q286" s="1975"/>
      <c r="R286" s="1975"/>
      <c r="S286" s="9"/>
      <c r="W286" s="9"/>
      <c r="X286" s="5283"/>
      <c r="Y286" s="1967"/>
      <c r="Z286" s="1969"/>
      <c r="AA286" s="1970"/>
      <c r="AB286" s="1969"/>
      <c r="AC286" s="1969"/>
      <c r="AD286" s="1969"/>
      <c r="AE286" s="1969"/>
      <c r="AG286" s="5285"/>
      <c r="AH286" s="1946"/>
      <c r="AI286" s="58"/>
      <c r="AJ286" s="1948"/>
      <c r="AK286" s="1948"/>
      <c r="AL286" s="172"/>
      <c r="AM286" s="5294"/>
      <c r="AN286" s="1944"/>
      <c r="AO286" s="1931"/>
      <c r="AP286" s="1931"/>
      <c r="AR286" s="5294">
        <f t="shared" si="64"/>
        <v>21</v>
      </c>
      <c r="AS286" s="1897" t="s">
        <v>3700</v>
      </c>
      <c r="AT286" s="1935" t="s">
        <v>5070</v>
      </c>
      <c r="AU286" s="1936" t="s">
        <v>5071</v>
      </c>
      <c r="AV286" s="1935" t="s">
        <v>5072</v>
      </c>
      <c r="AW286" s="1935" t="s">
        <v>5555</v>
      </c>
      <c r="AX286" s="1935" t="s">
        <v>6372</v>
      </c>
      <c r="AY286" s="1897" t="s">
        <v>3700</v>
      </c>
      <c r="BA286" s="3">
        <v>1</v>
      </c>
    </row>
    <row r="287" spans="2:53" ht="30" customHeight="1">
      <c r="B287" s="1953"/>
      <c r="C287" s="1894"/>
      <c r="D287" s="1894"/>
      <c r="E287" s="1894"/>
      <c r="F287" s="9"/>
      <c r="G287" s="1953"/>
      <c r="H287" s="1904"/>
      <c r="I287" s="1965"/>
      <c r="J287" s="1965"/>
      <c r="L287" s="5294"/>
      <c r="M287" s="172"/>
      <c r="N287" s="1975"/>
      <c r="O287" s="1976"/>
      <c r="P287" s="1975"/>
      <c r="Q287" s="1975"/>
      <c r="R287" s="1975"/>
      <c r="S287" s="9"/>
      <c r="W287" s="9"/>
      <c r="X287" s="5283"/>
      <c r="Y287" s="1967"/>
      <c r="Z287" s="1969"/>
      <c r="AA287" s="1970"/>
      <c r="AB287" s="1969"/>
      <c r="AC287" s="1969"/>
      <c r="AD287" s="1969"/>
      <c r="AE287" s="1969"/>
      <c r="AG287" s="5285"/>
      <c r="AH287" s="1946"/>
      <c r="AI287" s="58"/>
      <c r="AJ287" s="1948"/>
      <c r="AK287" s="1948"/>
      <c r="AL287" s="172"/>
      <c r="AM287" s="5294"/>
      <c r="AN287" s="1944"/>
      <c r="AO287" s="1931"/>
      <c r="AP287" s="1931"/>
      <c r="AR287" s="5294">
        <f t="shared" si="64"/>
        <v>22</v>
      </c>
      <c r="AS287" s="1897" t="s">
        <v>3705</v>
      </c>
      <c r="AT287" s="1935" t="s">
        <v>5073</v>
      </c>
      <c r="AU287" s="1936" t="s">
        <v>5074</v>
      </c>
      <c r="AV287" s="1935" t="s">
        <v>5075</v>
      </c>
      <c r="AW287" s="1935" t="s">
        <v>6373</v>
      </c>
      <c r="AX287" s="1935" t="s">
        <v>6374</v>
      </c>
      <c r="AY287" s="1897" t="s">
        <v>3705</v>
      </c>
      <c r="BA287" s="3">
        <v>1</v>
      </c>
    </row>
    <row r="288" spans="2:53" ht="30" customHeight="1">
      <c r="B288" s="1953"/>
      <c r="C288" s="1894"/>
      <c r="D288" s="1894"/>
      <c r="E288" s="1894"/>
      <c r="F288" s="9"/>
      <c r="G288" s="1953"/>
      <c r="H288" s="1904"/>
      <c r="I288" s="1965"/>
      <c r="J288" s="1965"/>
      <c r="L288" s="5294"/>
      <c r="M288" s="172"/>
      <c r="N288" s="1975"/>
      <c r="O288" s="1976"/>
      <c r="P288" s="1975"/>
      <c r="Q288" s="1975"/>
      <c r="R288" s="1975"/>
      <c r="S288" s="9"/>
      <c r="W288" s="9"/>
      <c r="X288" s="5283"/>
      <c r="Y288" s="1967"/>
      <c r="Z288" s="1969"/>
      <c r="AA288" s="1970"/>
      <c r="AB288" s="1969"/>
      <c r="AC288" s="1969"/>
      <c r="AD288" s="1969"/>
      <c r="AE288" s="1969"/>
      <c r="AG288" s="5285"/>
      <c r="AH288" s="1946"/>
      <c r="AI288" s="58"/>
      <c r="AJ288" s="1948"/>
      <c r="AK288" s="1948"/>
      <c r="AL288" s="172"/>
      <c r="AM288" s="5294"/>
      <c r="AN288" s="1944"/>
      <c r="AO288" s="1931"/>
      <c r="AP288" s="1931"/>
      <c r="AR288" s="5294">
        <f t="shared" si="64"/>
        <v>23</v>
      </c>
      <c r="AS288" s="1897" t="s">
        <v>3711</v>
      </c>
      <c r="AT288" s="1935" t="s">
        <v>5076</v>
      </c>
      <c r="AU288" s="1936" t="s">
        <v>5077</v>
      </c>
      <c r="AV288" s="1935" t="s">
        <v>5078</v>
      </c>
      <c r="AW288" s="1935" t="s">
        <v>6375</v>
      </c>
      <c r="AX288" s="1935" t="s">
        <v>6376</v>
      </c>
      <c r="AY288" s="1897" t="s">
        <v>3711</v>
      </c>
      <c r="BA288" s="3">
        <v>1</v>
      </c>
    </row>
    <row r="289" spans="2:53" ht="30" customHeight="1">
      <c r="B289" s="1953"/>
      <c r="C289" s="1894"/>
      <c r="D289" s="1894"/>
      <c r="E289" s="1894"/>
      <c r="F289" s="9"/>
      <c r="G289" s="1953"/>
      <c r="H289" s="1904"/>
      <c r="I289" s="1965"/>
      <c r="J289" s="1965"/>
      <c r="L289" s="5294"/>
      <c r="M289" s="172"/>
      <c r="N289" s="1975"/>
      <c r="O289" s="1976"/>
      <c r="P289" s="1975"/>
      <c r="Q289" s="1975"/>
      <c r="R289" s="1975"/>
      <c r="S289" s="9"/>
      <c r="W289" s="9"/>
      <c r="X289" s="5283"/>
      <c r="Y289" s="1967"/>
      <c r="Z289" s="1969"/>
      <c r="AA289" s="1970"/>
      <c r="AB289" s="1969"/>
      <c r="AC289" s="1969"/>
      <c r="AD289" s="1969"/>
      <c r="AE289" s="1969"/>
      <c r="AG289" s="5285"/>
      <c r="AH289" s="1946"/>
      <c r="AI289" s="58"/>
      <c r="AJ289" s="1948"/>
      <c r="AK289" s="1948"/>
      <c r="AL289" s="172"/>
      <c r="AM289" s="5294"/>
      <c r="AN289" s="1944"/>
      <c r="AO289" s="1931"/>
      <c r="AP289" s="1931"/>
      <c r="AR289" s="5294">
        <f t="shared" si="64"/>
        <v>24</v>
      </c>
      <c r="AS289" s="1897" t="s">
        <v>3718</v>
      </c>
      <c r="AT289" s="1935" t="s">
        <v>5079</v>
      </c>
      <c r="AU289" s="1936" t="s">
        <v>5080</v>
      </c>
      <c r="AV289" s="1935" t="s">
        <v>5081</v>
      </c>
      <c r="AW289" s="1935" t="s">
        <v>6377</v>
      </c>
      <c r="AX289" s="1935" t="s">
        <v>6378</v>
      </c>
      <c r="AY289" s="1897" t="s">
        <v>3718</v>
      </c>
      <c r="BA289" s="3">
        <v>1</v>
      </c>
    </row>
    <row r="290" spans="2:53" ht="30" customHeight="1">
      <c r="B290" s="1953"/>
      <c r="C290" s="1894"/>
      <c r="D290" s="1894"/>
      <c r="E290" s="1894"/>
      <c r="F290" s="9"/>
      <c r="G290" s="1953"/>
      <c r="H290" s="1904"/>
      <c r="I290" s="1965"/>
      <c r="J290" s="1965"/>
      <c r="L290" s="5294"/>
      <c r="M290" s="172"/>
      <c r="N290" s="1975"/>
      <c r="O290" s="1976"/>
      <c r="P290" s="1975"/>
      <c r="Q290" s="1975"/>
      <c r="R290" s="1975"/>
      <c r="S290" s="9"/>
      <c r="W290" s="9"/>
      <c r="X290" s="5283"/>
      <c r="Y290" s="1967"/>
      <c r="Z290" s="1969"/>
      <c r="AA290" s="1970"/>
      <c r="AB290" s="1969"/>
      <c r="AC290" s="1969"/>
      <c r="AD290" s="1969"/>
      <c r="AE290" s="1969"/>
      <c r="AG290" s="5285"/>
      <c r="AH290" s="1946"/>
      <c r="AI290" s="58"/>
      <c r="AJ290" s="1948"/>
      <c r="AK290" s="1948"/>
      <c r="AL290" s="172"/>
      <c r="AM290" s="5294"/>
      <c r="AN290" s="1944"/>
      <c r="AO290" s="1931"/>
      <c r="AP290" s="1931"/>
      <c r="AR290" s="5294">
        <f t="shared" si="64"/>
        <v>25</v>
      </c>
      <c r="AS290" s="1897" t="s">
        <v>3725</v>
      </c>
      <c r="AT290" s="1935" t="s">
        <v>5082</v>
      </c>
      <c r="AU290" s="1936" t="s">
        <v>5083</v>
      </c>
      <c r="AV290" s="1935" t="s">
        <v>5084</v>
      </c>
      <c r="AW290" s="1935" t="s">
        <v>5556</v>
      </c>
      <c r="AX290" s="1935" t="s">
        <v>5557</v>
      </c>
      <c r="AY290" s="1897" t="s">
        <v>3725</v>
      </c>
      <c r="BA290" s="3">
        <v>1</v>
      </c>
    </row>
    <row r="291" spans="2:53" ht="30" customHeight="1">
      <c r="B291" s="1953"/>
      <c r="C291" s="1894"/>
      <c r="D291" s="1894"/>
      <c r="E291" s="1894"/>
      <c r="F291" s="9"/>
      <c r="G291" s="1953"/>
      <c r="H291" s="1904"/>
      <c r="I291" s="1965"/>
      <c r="J291" s="1965"/>
      <c r="L291" s="5294"/>
      <c r="M291" s="172"/>
      <c r="N291" s="1975"/>
      <c r="O291" s="1976"/>
      <c r="P291" s="1975"/>
      <c r="Q291" s="1975"/>
      <c r="R291" s="1975"/>
      <c r="S291" s="9"/>
      <c r="W291" s="9"/>
      <c r="X291" s="5283"/>
      <c r="Y291" s="1967"/>
      <c r="Z291" s="1969"/>
      <c r="AA291" s="1970"/>
      <c r="AB291" s="1969"/>
      <c r="AC291" s="1969"/>
      <c r="AD291" s="1969"/>
      <c r="AE291" s="1969"/>
      <c r="AG291" s="5285"/>
      <c r="AH291" s="1946"/>
      <c r="AI291" s="58"/>
      <c r="AJ291" s="1948"/>
      <c r="AK291" s="1948"/>
      <c r="AL291" s="172"/>
      <c r="AM291" s="5294"/>
      <c r="AN291" s="1944"/>
      <c r="AO291" s="1931"/>
      <c r="AP291" s="1931"/>
      <c r="AR291" s="5294">
        <f t="shared" si="64"/>
        <v>26</v>
      </c>
      <c r="AS291" s="1897" t="s">
        <v>3734</v>
      </c>
      <c r="AT291" s="1935" t="s">
        <v>5085</v>
      </c>
      <c r="AU291" s="1936" t="s">
        <v>5086</v>
      </c>
      <c r="AV291" s="1935" t="s">
        <v>5087</v>
      </c>
      <c r="AW291" s="1935" t="s">
        <v>5558</v>
      </c>
      <c r="AX291" s="1935" t="s">
        <v>5559</v>
      </c>
      <c r="AY291" s="1897" t="s">
        <v>3734</v>
      </c>
      <c r="BA291" s="3">
        <v>1</v>
      </c>
    </row>
    <row r="292" spans="2:53" ht="30" customHeight="1">
      <c r="B292" s="1953"/>
      <c r="C292" s="1894"/>
      <c r="D292" s="1894"/>
      <c r="E292" s="1894"/>
      <c r="F292" s="9"/>
      <c r="G292" s="1953"/>
      <c r="H292" s="1904"/>
      <c r="I292" s="1965"/>
      <c r="J292" s="1965"/>
      <c r="L292" s="5294"/>
      <c r="M292" s="172"/>
      <c r="N292" s="1975"/>
      <c r="O292" s="1976"/>
      <c r="P292" s="1975"/>
      <c r="Q292" s="1975"/>
      <c r="R292" s="1975"/>
      <c r="S292" s="9"/>
      <c r="W292" s="9"/>
      <c r="X292" s="5283"/>
      <c r="Y292" s="1967"/>
      <c r="Z292" s="1969"/>
      <c r="AA292" s="1970"/>
      <c r="AB292" s="1969"/>
      <c r="AC292" s="1969"/>
      <c r="AD292" s="1969"/>
      <c r="AE292" s="1969"/>
      <c r="AG292" s="5285"/>
      <c r="AH292" s="1946"/>
      <c r="AI292" s="58"/>
      <c r="AJ292" s="1948"/>
      <c r="AK292" s="1948"/>
      <c r="AL292" s="172"/>
      <c r="AM292" s="5294"/>
      <c r="AN292" s="1944"/>
      <c r="AO292" s="1931"/>
      <c r="AP292" s="1931"/>
      <c r="AR292" s="5294">
        <f t="shared" si="64"/>
        <v>27</v>
      </c>
      <c r="AS292" s="1897" t="s">
        <v>3742</v>
      </c>
      <c r="AT292" s="1935" t="s">
        <v>5088</v>
      </c>
      <c r="AU292" s="1936" t="s">
        <v>5089</v>
      </c>
      <c r="AV292" s="1935" t="s">
        <v>5090</v>
      </c>
      <c r="AW292" s="1935" t="s">
        <v>5560</v>
      </c>
      <c r="AX292" s="1935" t="s">
        <v>5561</v>
      </c>
      <c r="AY292" s="1897" t="s">
        <v>3742</v>
      </c>
      <c r="BA292" s="3">
        <v>1</v>
      </c>
    </row>
    <row r="293" spans="2:53" ht="30" customHeight="1">
      <c r="B293" s="1953"/>
      <c r="C293" s="1894"/>
      <c r="D293" s="1894"/>
      <c r="E293" s="1894"/>
      <c r="F293" s="9"/>
      <c r="G293" s="1953"/>
      <c r="H293" s="1904"/>
      <c r="I293" s="1965"/>
      <c r="J293" s="1965"/>
      <c r="L293" s="5294"/>
      <c r="M293" s="172"/>
      <c r="N293" s="1975"/>
      <c r="O293" s="1976"/>
      <c r="P293" s="1975"/>
      <c r="Q293" s="1975"/>
      <c r="R293" s="1975"/>
      <c r="S293" s="9"/>
      <c r="W293" s="9"/>
      <c r="X293" s="5283"/>
      <c r="Y293" s="1967"/>
      <c r="Z293" s="1969"/>
      <c r="AA293" s="1970"/>
      <c r="AB293" s="1969"/>
      <c r="AC293" s="1969"/>
      <c r="AD293" s="1969"/>
      <c r="AE293" s="1969"/>
      <c r="AG293" s="5285"/>
      <c r="AH293" s="1946"/>
      <c r="AI293" s="58"/>
      <c r="AJ293" s="1948"/>
      <c r="AK293" s="1948"/>
      <c r="AL293" s="172"/>
      <c r="AM293" s="5294"/>
      <c r="AN293" s="1944"/>
      <c r="AO293" s="1931"/>
      <c r="AP293" s="1931"/>
      <c r="AR293" s="5294">
        <f t="shared" si="64"/>
        <v>28</v>
      </c>
      <c r="AS293" s="1897" t="s">
        <v>3749</v>
      </c>
      <c r="AT293" s="1935" t="s">
        <v>5091</v>
      </c>
      <c r="AU293" s="1936" t="s">
        <v>4801</v>
      </c>
      <c r="AV293" s="1935" t="s">
        <v>5092</v>
      </c>
      <c r="AW293" s="1935" t="s">
        <v>5536</v>
      </c>
      <c r="AX293" s="1935" t="s">
        <v>5537</v>
      </c>
      <c r="AY293" s="1897" t="s">
        <v>3749</v>
      </c>
      <c r="BA293" s="3">
        <v>1</v>
      </c>
    </row>
    <row r="294" spans="2:53" ht="30" customHeight="1">
      <c r="B294" s="1953"/>
      <c r="C294" s="1894"/>
      <c r="D294" s="1894"/>
      <c r="E294" s="1894"/>
      <c r="F294" s="9"/>
      <c r="G294" s="1953"/>
      <c r="H294" s="1904"/>
      <c r="I294" s="1965"/>
      <c r="J294" s="1965"/>
      <c r="L294" s="5294"/>
      <c r="M294" s="172"/>
      <c r="N294" s="1975"/>
      <c r="O294" s="1976"/>
      <c r="P294" s="1975"/>
      <c r="Q294" s="1975"/>
      <c r="R294" s="1975"/>
      <c r="S294" s="9"/>
      <c r="W294" s="9"/>
      <c r="X294" s="5283"/>
      <c r="Y294" s="1967"/>
      <c r="Z294" s="1969"/>
      <c r="AA294" s="1970"/>
      <c r="AB294" s="1969"/>
      <c r="AC294" s="1969"/>
      <c r="AD294" s="1969"/>
      <c r="AE294" s="1969"/>
      <c r="AG294" s="5285"/>
      <c r="AH294" s="1946"/>
      <c r="AI294" s="58"/>
      <c r="AJ294" s="1948"/>
      <c r="AK294" s="1948"/>
      <c r="AL294" s="172"/>
      <c r="AM294" s="5294"/>
      <c r="AN294" s="1944"/>
      <c r="AO294" s="1931"/>
      <c r="AP294" s="1931"/>
      <c r="AR294" s="5294">
        <f t="shared" si="64"/>
        <v>29</v>
      </c>
      <c r="AS294" s="1897" t="s">
        <v>3756</v>
      </c>
      <c r="AT294" s="1935" t="s">
        <v>5093</v>
      </c>
      <c r="AU294" s="1936" t="s">
        <v>5094</v>
      </c>
      <c r="AV294" s="1935" t="s">
        <v>5095</v>
      </c>
      <c r="AW294" s="1935" t="s">
        <v>6379</v>
      </c>
      <c r="AX294" s="1935" t="s">
        <v>6380</v>
      </c>
      <c r="AY294" s="1897" t="s">
        <v>3756</v>
      </c>
      <c r="BA294" s="3">
        <v>1</v>
      </c>
    </row>
    <row r="295" spans="2:53" ht="30" customHeight="1">
      <c r="B295" s="1953"/>
      <c r="C295" s="1894"/>
      <c r="D295" s="1894"/>
      <c r="E295" s="1894"/>
      <c r="F295" s="9"/>
      <c r="G295" s="1953"/>
      <c r="H295" s="1904"/>
      <c r="I295" s="1965"/>
      <c r="J295" s="1965"/>
      <c r="L295" s="5294"/>
      <c r="M295" s="172"/>
      <c r="N295" s="1975"/>
      <c r="O295" s="1976"/>
      <c r="P295" s="1975"/>
      <c r="Q295" s="1975"/>
      <c r="R295" s="1975"/>
      <c r="S295" s="9"/>
      <c r="W295" s="9"/>
      <c r="X295" s="5283"/>
      <c r="Y295" s="1967"/>
      <c r="Z295" s="1969"/>
      <c r="AA295" s="1970"/>
      <c r="AB295" s="1969"/>
      <c r="AC295" s="1969"/>
      <c r="AD295" s="1969"/>
      <c r="AE295" s="1969"/>
      <c r="AG295" s="5285"/>
      <c r="AH295" s="1946"/>
      <c r="AI295" s="58"/>
      <c r="AJ295" s="1948"/>
      <c r="AK295" s="1948"/>
      <c r="AL295" s="172"/>
      <c r="AM295" s="5294"/>
      <c r="AN295" s="1944"/>
      <c r="AO295" s="1931"/>
      <c r="AP295" s="1931"/>
      <c r="AR295" s="5294">
        <f t="shared" si="64"/>
        <v>30</v>
      </c>
      <c r="AS295" s="1897" t="s">
        <v>7446</v>
      </c>
      <c r="AT295" s="1931" t="s">
        <v>7447</v>
      </c>
      <c r="AU295" s="1931" t="s">
        <v>7448</v>
      </c>
      <c r="AV295" s="1935" t="s">
        <v>8148</v>
      </c>
      <c r="AW295" s="1935" t="s">
        <v>8149</v>
      </c>
      <c r="AX295" s="1935" t="s">
        <v>8150</v>
      </c>
      <c r="AY295" s="1897" t="s">
        <v>7446</v>
      </c>
      <c r="BA295" s="3">
        <v>1</v>
      </c>
    </row>
    <row r="296" spans="2:53" ht="30" customHeight="1">
      <c r="B296" s="1953"/>
      <c r="C296" s="1894"/>
      <c r="D296" s="1894"/>
      <c r="E296" s="1894"/>
      <c r="F296" s="9"/>
      <c r="G296" s="1953"/>
      <c r="H296" s="1904"/>
      <c r="I296" s="1965"/>
      <c r="J296" s="1965"/>
      <c r="L296" s="5294"/>
      <c r="M296" s="172"/>
      <c r="N296" s="1975"/>
      <c r="O296" s="1976"/>
      <c r="P296" s="1975"/>
      <c r="Q296" s="1975"/>
      <c r="R296" s="1975"/>
      <c r="S296" s="9"/>
      <c r="W296" s="9"/>
      <c r="X296" s="5283"/>
      <c r="Y296" s="1967"/>
      <c r="Z296" s="1969"/>
      <c r="AA296" s="1970"/>
      <c r="AB296" s="1969"/>
      <c r="AC296" s="1969"/>
      <c r="AD296" s="1969"/>
      <c r="AE296" s="1969"/>
      <c r="AG296" s="5285"/>
      <c r="AH296" s="1946"/>
      <c r="AI296" s="58"/>
      <c r="AJ296" s="1948"/>
      <c r="AK296" s="1948"/>
      <c r="AL296" s="172"/>
      <c r="AM296" s="5294"/>
      <c r="AN296" s="1944"/>
      <c r="AO296" s="1931"/>
      <c r="AP296" s="1931"/>
      <c r="AR296" s="5294">
        <f t="shared" si="64"/>
        <v>31</v>
      </c>
      <c r="AS296" s="1897" t="s">
        <v>3764</v>
      </c>
      <c r="AT296" s="1935" t="s">
        <v>5096</v>
      </c>
      <c r="AU296" s="1936" t="s">
        <v>5097</v>
      </c>
      <c r="AV296" s="1935" t="s">
        <v>5098</v>
      </c>
      <c r="AW296" s="1935" t="s">
        <v>6381</v>
      </c>
      <c r="AX296" s="1935" t="s">
        <v>6382</v>
      </c>
      <c r="AY296" s="1897" t="s">
        <v>3764</v>
      </c>
      <c r="BA296" s="3">
        <v>1</v>
      </c>
    </row>
    <row r="297" spans="2:53" ht="30" customHeight="1">
      <c r="B297" s="1953"/>
      <c r="C297" s="1983"/>
      <c r="D297" s="1931"/>
      <c r="E297" s="1931"/>
      <c r="F297" s="9"/>
      <c r="G297" s="1953"/>
      <c r="H297" s="1904"/>
      <c r="I297" s="1965"/>
      <c r="J297" s="1965"/>
      <c r="L297" s="5294"/>
      <c r="M297" s="172"/>
      <c r="N297" s="1975"/>
      <c r="O297" s="1976"/>
      <c r="P297" s="1975"/>
      <c r="Q297" s="1975"/>
      <c r="R297" s="1975"/>
      <c r="S297" s="9"/>
      <c r="W297" s="9"/>
      <c r="X297" s="5283"/>
      <c r="Y297" s="1967"/>
      <c r="Z297" s="1969"/>
      <c r="AA297" s="1970"/>
      <c r="AB297" s="1969"/>
      <c r="AC297" s="1969"/>
      <c r="AD297" s="1969"/>
      <c r="AE297" s="1969"/>
      <c r="AG297" s="5285"/>
      <c r="AH297" s="1946"/>
      <c r="AI297" s="58"/>
      <c r="AJ297" s="1948"/>
      <c r="AK297" s="1948"/>
      <c r="AL297" s="172"/>
      <c r="AM297" s="5294"/>
      <c r="AN297" s="1944"/>
      <c r="AO297" s="1931"/>
      <c r="AP297" s="1931"/>
      <c r="AR297" s="5294">
        <f t="shared" si="64"/>
        <v>32</v>
      </c>
      <c r="AS297" s="1897" t="s">
        <v>7488</v>
      </c>
      <c r="AT297" s="1935" t="s">
        <v>5099</v>
      </c>
      <c r="AU297" s="1936" t="s">
        <v>5100</v>
      </c>
      <c r="AV297" s="1935" t="s">
        <v>5101</v>
      </c>
      <c r="AW297" s="1935" t="s">
        <v>5562</v>
      </c>
      <c r="AX297" s="1935" t="s">
        <v>6383</v>
      </c>
      <c r="AY297" s="1897" t="s">
        <v>7488</v>
      </c>
      <c r="BA297" s="3">
        <v>1</v>
      </c>
    </row>
    <row r="298" spans="2:53" ht="30" customHeight="1">
      <c r="B298" s="1953"/>
      <c r="C298" s="1983"/>
      <c r="D298" s="1931"/>
      <c r="E298" s="1931"/>
      <c r="F298" s="9"/>
      <c r="G298" s="1953"/>
      <c r="H298" s="1904"/>
      <c r="I298" s="1965"/>
      <c r="J298" s="1965"/>
      <c r="L298" s="5294"/>
      <c r="M298" s="172"/>
      <c r="N298" s="1975"/>
      <c r="O298" s="1976"/>
      <c r="P298" s="1975"/>
      <c r="Q298" s="1975"/>
      <c r="R298" s="1975"/>
      <c r="S298" s="9"/>
      <c r="W298" s="9"/>
      <c r="X298" s="5283"/>
      <c r="Y298" s="1967"/>
      <c r="Z298" s="1969"/>
      <c r="AA298" s="1970"/>
      <c r="AB298" s="1969"/>
      <c r="AC298" s="1969"/>
      <c r="AD298" s="1969"/>
      <c r="AE298" s="1969"/>
      <c r="AG298" s="5285"/>
      <c r="AH298" s="1946"/>
      <c r="AI298" s="58"/>
      <c r="AJ298" s="1948"/>
      <c r="AK298" s="1948"/>
      <c r="AL298" s="172"/>
      <c r="AM298" s="5294"/>
      <c r="AN298" s="1944"/>
      <c r="AO298" s="1931"/>
      <c r="AP298" s="1931"/>
      <c r="AR298" s="5294">
        <f t="shared" si="64"/>
        <v>33</v>
      </c>
      <c r="AS298" s="1897" t="s">
        <v>3776</v>
      </c>
      <c r="AT298" s="1935" t="s">
        <v>5102</v>
      </c>
      <c r="AU298" s="1936" t="s">
        <v>5103</v>
      </c>
      <c r="AV298" s="1935" t="s">
        <v>5104</v>
      </c>
      <c r="AW298" s="1935" t="s">
        <v>6384</v>
      </c>
      <c r="AX298" s="1935" t="s">
        <v>6385</v>
      </c>
      <c r="AY298" s="1897" t="s">
        <v>3776</v>
      </c>
      <c r="BA298" s="3">
        <v>1</v>
      </c>
    </row>
    <row r="299" spans="2:53" ht="30" customHeight="1">
      <c r="B299" s="1953"/>
      <c r="C299" s="1983"/>
      <c r="D299" s="1931"/>
      <c r="E299" s="1931"/>
      <c r="F299" s="9"/>
      <c r="G299" s="1953"/>
      <c r="H299" s="1904"/>
      <c r="I299" s="1965"/>
      <c r="J299" s="1965"/>
      <c r="L299" s="5294"/>
      <c r="M299" s="172"/>
      <c r="N299" s="1975"/>
      <c r="O299" s="1976"/>
      <c r="P299" s="1975"/>
      <c r="Q299" s="1975"/>
      <c r="R299" s="1975"/>
      <c r="S299" s="9"/>
      <c r="W299" s="9"/>
      <c r="X299" s="5283"/>
      <c r="Y299" s="1967"/>
      <c r="Z299" s="1969"/>
      <c r="AA299" s="1970"/>
      <c r="AB299" s="1969"/>
      <c r="AC299" s="1969"/>
      <c r="AD299" s="1969"/>
      <c r="AE299" s="1969"/>
      <c r="AG299" s="5285"/>
      <c r="AH299" s="1946"/>
      <c r="AI299" s="58"/>
      <c r="AJ299" s="1948"/>
      <c r="AK299" s="1948"/>
      <c r="AL299" s="172"/>
      <c r="AM299" s="5294"/>
      <c r="AN299" s="1944"/>
      <c r="AO299" s="1931"/>
      <c r="AP299" s="1931"/>
      <c r="AR299" s="5294">
        <f t="shared" si="64"/>
        <v>34</v>
      </c>
      <c r="AS299" s="1897" t="s">
        <v>3784</v>
      </c>
      <c r="AT299" s="1935" t="s">
        <v>5105</v>
      </c>
      <c r="AU299" s="1936" t="s">
        <v>5106</v>
      </c>
      <c r="AV299" s="1935" t="s">
        <v>5107</v>
      </c>
      <c r="AW299" s="1935" t="s">
        <v>6386</v>
      </c>
      <c r="AX299" s="1935" t="s">
        <v>5563</v>
      </c>
      <c r="AY299" s="1897" t="s">
        <v>3784</v>
      </c>
      <c r="BA299" s="3">
        <v>1</v>
      </c>
    </row>
    <row r="300" spans="2:53" ht="30" customHeight="1">
      <c r="B300" s="1953"/>
      <c r="C300" s="1983"/>
      <c r="D300" s="1931"/>
      <c r="E300" s="1931"/>
      <c r="F300" s="9"/>
      <c r="G300" s="1953"/>
      <c r="H300" s="1904"/>
      <c r="I300" s="1965"/>
      <c r="J300" s="1965"/>
      <c r="L300" s="5294"/>
      <c r="M300" s="172"/>
      <c r="N300" s="1975"/>
      <c r="O300" s="1976"/>
      <c r="P300" s="1975"/>
      <c r="Q300" s="1975"/>
      <c r="R300" s="1975"/>
      <c r="S300" s="9"/>
      <c r="W300" s="9"/>
      <c r="X300" s="5283"/>
      <c r="Y300" s="1967"/>
      <c r="Z300" s="1969"/>
      <c r="AA300" s="1970"/>
      <c r="AB300" s="1969"/>
      <c r="AC300" s="1969"/>
      <c r="AD300" s="1969"/>
      <c r="AE300" s="1969"/>
      <c r="AG300" s="5285"/>
      <c r="AH300" s="1946"/>
      <c r="AI300" s="58"/>
      <c r="AJ300" s="1948"/>
      <c r="AK300" s="1948"/>
      <c r="AL300" s="172"/>
      <c r="AM300" s="5294"/>
      <c r="AN300" s="1944"/>
      <c r="AO300" s="1931"/>
      <c r="AP300" s="1931"/>
      <c r="AR300" s="5294"/>
      <c r="AS300" s="1895" t="s">
        <v>3656</v>
      </c>
      <c r="AT300" s="1932"/>
      <c r="AU300" s="1932"/>
      <c r="AV300" s="1932"/>
      <c r="AW300" s="1932"/>
      <c r="AX300" s="1932"/>
      <c r="AY300" s="1895" t="s">
        <v>3656</v>
      </c>
      <c r="BA300" s="3">
        <v>1</v>
      </c>
    </row>
    <row r="301" spans="2:53" ht="30" customHeight="1">
      <c r="B301" s="1953"/>
      <c r="C301" s="1983"/>
      <c r="D301" s="1931"/>
      <c r="E301" s="1931"/>
      <c r="F301" s="9"/>
      <c r="G301" s="1953"/>
      <c r="H301" s="1904"/>
      <c r="I301" s="1965"/>
      <c r="J301" s="1965"/>
      <c r="L301" s="5294"/>
      <c r="M301" s="172"/>
      <c r="N301" s="1975"/>
      <c r="O301" s="1976"/>
      <c r="P301" s="1975"/>
      <c r="Q301" s="1975"/>
      <c r="R301" s="1975"/>
      <c r="S301" s="9"/>
      <c r="W301" s="9"/>
      <c r="X301" s="5283"/>
      <c r="Y301" s="1967"/>
      <c r="Z301" s="1969"/>
      <c r="AA301" s="1970"/>
      <c r="AB301" s="1969"/>
      <c r="AC301" s="1969"/>
      <c r="AD301" s="1969"/>
      <c r="AE301" s="1969"/>
      <c r="AG301" s="5285"/>
      <c r="AH301" s="1946"/>
      <c r="AI301" s="58"/>
      <c r="AJ301" s="1948"/>
      <c r="AK301" s="1948"/>
      <c r="AL301" s="172"/>
      <c r="AM301" s="5294"/>
      <c r="AN301" s="1944"/>
      <c r="AO301" s="1931"/>
      <c r="AP301" s="1931"/>
      <c r="AR301" s="5294">
        <v>1</v>
      </c>
      <c r="AS301" s="1897" t="s">
        <v>5108</v>
      </c>
      <c r="AT301" s="1935" t="s">
        <v>5109</v>
      </c>
      <c r="AU301" s="1936" t="s">
        <v>5110</v>
      </c>
      <c r="AV301" s="1935" t="s">
        <v>5111</v>
      </c>
      <c r="AW301" s="1935" t="s">
        <v>6387</v>
      </c>
      <c r="AX301" s="1935" t="s">
        <v>6388</v>
      </c>
      <c r="AY301" s="1897" t="s">
        <v>5108</v>
      </c>
      <c r="BA301" s="3">
        <v>1</v>
      </c>
    </row>
    <row r="302" spans="2:53" ht="30" customHeight="1">
      <c r="B302" s="1953"/>
      <c r="C302" s="1983"/>
      <c r="D302" s="1931"/>
      <c r="E302" s="1931"/>
      <c r="F302" s="9"/>
      <c r="G302" s="1953"/>
      <c r="H302" s="1904"/>
      <c r="I302" s="1965"/>
      <c r="J302" s="1965"/>
      <c r="L302" s="5294"/>
      <c r="M302" s="172"/>
      <c r="N302" s="1975"/>
      <c r="O302" s="1976"/>
      <c r="P302" s="1975"/>
      <c r="Q302" s="1975"/>
      <c r="R302" s="1975"/>
      <c r="S302" s="9"/>
      <c r="W302" s="9"/>
      <c r="X302" s="5283"/>
      <c r="Y302" s="1967"/>
      <c r="Z302" s="1969"/>
      <c r="AA302" s="1970"/>
      <c r="AB302" s="1969"/>
      <c r="AC302" s="1969"/>
      <c r="AD302" s="1969"/>
      <c r="AE302" s="1969"/>
      <c r="AG302" s="5285"/>
      <c r="AH302" s="1946"/>
      <c r="AI302" s="58"/>
      <c r="AJ302" s="1948"/>
      <c r="AK302" s="1948"/>
      <c r="AL302" s="172"/>
      <c r="AM302" s="5294"/>
      <c r="AN302" s="1944"/>
      <c r="AO302" s="1931"/>
      <c r="AP302" s="1931"/>
      <c r="AR302" s="5294">
        <f>AR301+1</f>
        <v>2</v>
      </c>
      <c r="AS302" s="1897" t="s">
        <v>3810</v>
      </c>
      <c r="AT302" s="1935" t="s">
        <v>5112</v>
      </c>
      <c r="AU302" s="1936" t="s">
        <v>5113</v>
      </c>
      <c r="AV302" s="1935" t="s">
        <v>5114</v>
      </c>
      <c r="AW302" s="1935" t="s">
        <v>6389</v>
      </c>
      <c r="AX302" s="1935" t="s">
        <v>6390</v>
      </c>
      <c r="AY302" s="1897" t="s">
        <v>3810</v>
      </c>
      <c r="BA302" s="3">
        <v>1</v>
      </c>
    </row>
    <row r="303" spans="2:53" ht="30" customHeight="1">
      <c r="B303" s="1953"/>
      <c r="C303" s="1983"/>
      <c r="D303" s="1931"/>
      <c r="E303" s="1931"/>
      <c r="F303" s="9"/>
      <c r="G303" s="1953"/>
      <c r="H303" s="1904"/>
      <c r="I303" s="1965"/>
      <c r="J303" s="1965"/>
      <c r="L303" s="5294"/>
      <c r="M303" s="172"/>
      <c r="N303" s="1975"/>
      <c r="O303" s="1976"/>
      <c r="P303" s="1975"/>
      <c r="Q303" s="1975"/>
      <c r="R303" s="1975"/>
      <c r="S303" s="9"/>
      <c r="W303" s="9"/>
      <c r="X303" s="5283"/>
      <c r="Y303" s="1967"/>
      <c r="Z303" s="1969"/>
      <c r="AA303" s="1970"/>
      <c r="AB303" s="1969"/>
      <c r="AC303" s="1969"/>
      <c r="AD303" s="1969"/>
      <c r="AE303" s="1969"/>
      <c r="AG303" s="5285"/>
      <c r="AH303" s="1946"/>
      <c r="AI303" s="58"/>
      <c r="AJ303" s="1948"/>
      <c r="AK303" s="1948"/>
      <c r="AL303" s="172"/>
      <c r="AM303" s="5294"/>
      <c r="AN303" s="1944"/>
      <c r="AO303" s="1931"/>
      <c r="AP303" s="1931"/>
      <c r="AR303" s="5294">
        <v>2</v>
      </c>
      <c r="AS303" s="1897" t="s">
        <v>3671</v>
      </c>
      <c r="AT303" s="1935" t="s">
        <v>5901</v>
      </c>
      <c r="AU303" s="1936" t="s">
        <v>5902</v>
      </c>
      <c r="AV303" s="1935" t="s">
        <v>6893</v>
      </c>
      <c r="AW303" s="1935" t="s">
        <v>6894</v>
      </c>
      <c r="AX303" s="1935" t="s">
        <v>6895</v>
      </c>
      <c r="AY303" s="1897" t="s">
        <v>3671</v>
      </c>
      <c r="BA303" s="3">
        <v>1</v>
      </c>
    </row>
    <row r="304" spans="2:53" ht="30" customHeight="1">
      <c r="B304" s="1953"/>
      <c r="C304" s="1983"/>
      <c r="D304" s="1931"/>
      <c r="E304" s="1931"/>
      <c r="F304" s="9"/>
      <c r="G304" s="1953"/>
      <c r="H304" s="1904"/>
      <c r="I304" s="1965"/>
      <c r="J304" s="1965"/>
      <c r="L304" s="5294"/>
      <c r="M304" s="172"/>
      <c r="N304" s="1975"/>
      <c r="O304" s="1976"/>
      <c r="P304" s="1975"/>
      <c r="Q304" s="1975"/>
      <c r="R304" s="1975"/>
      <c r="S304" s="9"/>
      <c r="W304" s="9"/>
      <c r="X304" s="5283"/>
      <c r="Y304" s="1967"/>
      <c r="Z304" s="1969"/>
      <c r="AA304" s="1970"/>
      <c r="AB304" s="1969"/>
      <c r="AC304" s="1969"/>
      <c r="AD304" s="1969"/>
      <c r="AE304" s="1969"/>
      <c r="AG304" s="5285"/>
      <c r="AH304" s="1946"/>
      <c r="AI304" s="58"/>
      <c r="AJ304" s="1948"/>
      <c r="AK304" s="1948"/>
      <c r="AL304" s="172"/>
      <c r="AM304" s="5294"/>
      <c r="AN304" s="1944"/>
      <c r="AO304" s="1931"/>
      <c r="AP304" s="1931"/>
      <c r="AR304" s="5294"/>
      <c r="AS304" s="1895" t="s">
        <v>3681</v>
      </c>
      <c r="AT304" s="1932"/>
      <c r="AU304" s="1932"/>
      <c r="AV304" s="1932"/>
      <c r="AW304" s="1932"/>
      <c r="AX304" s="1932"/>
      <c r="AY304" s="1895" t="s">
        <v>3681</v>
      </c>
      <c r="BA304" s="3">
        <v>1</v>
      </c>
    </row>
    <row r="305" spans="2:53" ht="30" customHeight="1">
      <c r="B305" s="1953"/>
      <c r="C305" s="1983"/>
      <c r="D305" s="1931"/>
      <c r="E305" s="1931"/>
      <c r="F305" s="9"/>
      <c r="G305" s="1953"/>
      <c r="H305" s="1904"/>
      <c r="I305" s="1965"/>
      <c r="J305" s="1965"/>
      <c r="L305" s="5294"/>
      <c r="M305" s="172"/>
      <c r="N305" s="1975"/>
      <c r="O305" s="1976"/>
      <c r="P305" s="1975"/>
      <c r="Q305" s="1975"/>
      <c r="R305" s="1975"/>
      <c r="S305" s="9"/>
      <c r="W305" s="9"/>
      <c r="X305" s="5283"/>
      <c r="Y305" s="1967"/>
      <c r="Z305" s="1969"/>
      <c r="AA305" s="1970"/>
      <c r="AB305" s="1969"/>
      <c r="AC305" s="1969"/>
      <c r="AD305" s="1969"/>
      <c r="AE305" s="1969"/>
      <c r="AG305" s="5285"/>
      <c r="AH305" s="1946"/>
      <c r="AI305" s="58"/>
      <c r="AJ305" s="1948"/>
      <c r="AK305" s="1948"/>
      <c r="AL305" s="172"/>
      <c r="AM305" s="5294"/>
      <c r="AN305" s="1944"/>
      <c r="AO305" s="1931"/>
      <c r="AP305" s="1931"/>
      <c r="AR305" s="5294">
        <v>1</v>
      </c>
      <c r="AS305" s="1897" t="s">
        <v>5115</v>
      </c>
      <c r="AT305" s="1936" t="s">
        <v>5116</v>
      </c>
      <c r="AU305" s="1936" t="s">
        <v>5117</v>
      </c>
      <c r="AV305" s="1935" t="s">
        <v>6391</v>
      </c>
      <c r="AW305" s="1935" t="s">
        <v>6392</v>
      </c>
      <c r="AX305" s="1935" t="s">
        <v>6393</v>
      </c>
      <c r="AY305" s="1897" t="s">
        <v>5115</v>
      </c>
      <c r="BA305" s="3">
        <v>1</v>
      </c>
    </row>
    <row r="306" spans="2:53" ht="30" customHeight="1">
      <c r="B306" s="1953"/>
      <c r="C306" s="1983"/>
      <c r="D306" s="1931"/>
      <c r="E306" s="1931"/>
      <c r="F306" s="9"/>
      <c r="G306" s="1953"/>
      <c r="H306" s="1904"/>
      <c r="I306" s="1965"/>
      <c r="J306" s="1965"/>
      <c r="L306" s="5294"/>
      <c r="M306" s="172"/>
      <c r="N306" s="1975"/>
      <c r="O306" s="1976"/>
      <c r="P306" s="1975"/>
      <c r="Q306" s="1975"/>
      <c r="R306" s="1975"/>
      <c r="S306" s="9"/>
      <c r="W306" s="9"/>
      <c r="X306" s="5283"/>
      <c r="Y306" s="1967"/>
      <c r="Z306" s="1969"/>
      <c r="AA306" s="1970"/>
      <c r="AB306" s="1969"/>
      <c r="AC306" s="1969"/>
      <c r="AD306" s="1969"/>
      <c r="AE306" s="1969"/>
      <c r="AG306" s="5285"/>
      <c r="AH306" s="1946"/>
      <c r="AI306" s="58"/>
      <c r="AJ306" s="1948"/>
      <c r="AK306" s="1948"/>
      <c r="AL306" s="172"/>
      <c r="AM306" s="5294"/>
      <c r="AN306" s="1944"/>
      <c r="AO306" s="1931"/>
      <c r="AP306" s="1931"/>
      <c r="AR306" s="5294"/>
      <c r="AS306" s="1895" t="s">
        <v>2</v>
      </c>
      <c r="AT306" s="709"/>
      <c r="AU306" s="1932"/>
      <c r="AV306" s="709"/>
      <c r="AW306" s="1932"/>
      <c r="AX306" s="1932"/>
      <c r="AY306" s="1895" t="s">
        <v>2</v>
      </c>
      <c r="BA306" s="3">
        <v>1</v>
      </c>
    </row>
    <row r="307" spans="2:53" ht="30" customHeight="1">
      <c r="B307" s="1953"/>
      <c r="C307" s="1983"/>
      <c r="D307" s="1931"/>
      <c r="E307" s="1931"/>
      <c r="F307" s="9"/>
      <c r="G307" s="1953"/>
      <c r="H307" s="1904"/>
      <c r="I307" s="1965"/>
      <c r="J307" s="1965"/>
      <c r="L307" s="5294"/>
      <c r="M307" s="172"/>
      <c r="N307" s="1975"/>
      <c r="O307" s="1976"/>
      <c r="P307" s="1975"/>
      <c r="Q307" s="1975"/>
      <c r="R307" s="1975"/>
      <c r="S307" s="9"/>
      <c r="W307" s="9"/>
      <c r="X307" s="5283"/>
      <c r="Y307" s="1967"/>
      <c r="Z307" s="1969"/>
      <c r="AA307" s="1970"/>
      <c r="AB307" s="1969"/>
      <c r="AC307" s="1969"/>
      <c r="AD307" s="1969"/>
      <c r="AE307" s="1969"/>
      <c r="AG307" s="5285"/>
      <c r="AH307" s="1946"/>
      <c r="AI307" s="58"/>
      <c r="AJ307" s="1948"/>
      <c r="AK307" s="1948"/>
      <c r="AL307" s="172"/>
      <c r="AM307" s="5294"/>
      <c r="AN307" s="1944"/>
      <c r="AO307" s="1931"/>
      <c r="AP307" s="1931"/>
      <c r="AR307" s="5294">
        <v>1</v>
      </c>
      <c r="AS307" s="1897" t="s">
        <v>3849</v>
      </c>
      <c r="AT307" s="1935" t="s">
        <v>5118</v>
      </c>
      <c r="AU307" s="1936" t="s">
        <v>5119</v>
      </c>
      <c r="AV307" s="1935" t="s">
        <v>5120</v>
      </c>
      <c r="AW307" s="1935" t="s">
        <v>6394</v>
      </c>
      <c r="AX307" s="1935" t="s">
        <v>6395</v>
      </c>
      <c r="AY307" s="1897" t="s">
        <v>3849</v>
      </c>
      <c r="BA307" s="3">
        <v>1</v>
      </c>
    </row>
    <row r="308" spans="2:53" ht="30" customHeight="1">
      <c r="B308" s="1953"/>
      <c r="C308" s="1983"/>
      <c r="D308" s="1931"/>
      <c r="E308" s="1931"/>
      <c r="F308" s="9"/>
      <c r="G308" s="1953"/>
      <c r="H308" s="1904"/>
      <c r="I308" s="1965"/>
      <c r="J308" s="1965"/>
      <c r="L308" s="5294"/>
      <c r="M308" s="172"/>
      <c r="N308" s="1975"/>
      <c r="O308" s="1976"/>
      <c r="P308" s="1975"/>
      <c r="Q308" s="1975"/>
      <c r="R308" s="1975"/>
      <c r="S308" s="9"/>
      <c r="W308" s="9"/>
      <c r="X308" s="5283"/>
      <c r="Y308" s="1967"/>
      <c r="Z308" s="1969"/>
      <c r="AA308" s="1970"/>
      <c r="AB308" s="1969"/>
      <c r="AC308" s="1969"/>
      <c r="AD308" s="1969"/>
      <c r="AE308" s="1969"/>
      <c r="AG308" s="5285"/>
      <c r="AH308" s="1946"/>
      <c r="AI308" s="58"/>
      <c r="AJ308" s="1948"/>
      <c r="AK308" s="1948"/>
      <c r="AL308" s="172"/>
      <c r="AM308" s="5294"/>
      <c r="AN308" s="1944"/>
      <c r="AO308" s="1931"/>
      <c r="AP308" s="1931"/>
      <c r="AR308" s="5294">
        <f>AR307+1</f>
        <v>2</v>
      </c>
      <c r="AS308" s="1897" t="s">
        <v>3858</v>
      </c>
      <c r="AT308" s="1935" t="s">
        <v>5121</v>
      </c>
      <c r="AU308" s="1936" t="s">
        <v>5122</v>
      </c>
      <c r="AV308" s="1935" t="s">
        <v>5123</v>
      </c>
      <c r="AW308" s="1935" t="s">
        <v>6396</v>
      </c>
      <c r="AX308" s="1935" t="s">
        <v>6397</v>
      </c>
      <c r="AY308" s="1897" t="s">
        <v>3858</v>
      </c>
      <c r="BA308" s="3">
        <v>1</v>
      </c>
    </row>
    <row r="309" spans="2:53" ht="30" customHeight="1">
      <c r="B309" s="1953"/>
      <c r="C309" s="1983"/>
      <c r="D309" s="1931"/>
      <c r="E309" s="1931"/>
      <c r="F309" s="9"/>
      <c r="G309" s="1953"/>
      <c r="H309" s="1904"/>
      <c r="I309" s="1965"/>
      <c r="J309" s="1965"/>
      <c r="L309" s="5294"/>
      <c r="M309" s="172"/>
      <c r="N309" s="1975"/>
      <c r="O309" s="1976"/>
      <c r="P309" s="1975"/>
      <c r="Q309" s="1975"/>
      <c r="R309" s="1975"/>
      <c r="S309" s="9"/>
      <c r="W309" s="9"/>
      <c r="X309" s="5283"/>
      <c r="Y309" s="1967"/>
      <c r="Z309" s="1969"/>
      <c r="AA309" s="1970"/>
      <c r="AB309" s="1969"/>
      <c r="AC309" s="1969"/>
      <c r="AD309" s="1969"/>
      <c r="AE309" s="1969"/>
      <c r="AG309" s="5285"/>
      <c r="AH309" s="1946"/>
      <c r="AI309" s="58"/>
      <c r="AJ309" s="1948"/>
      <c r="AK309" s="1948"/>
      <c r="AL309" s="172"/>
      <c r="AM309" s="5294"/>
      <c r="AN309" s="1944"/>
      <c r="AO309" s="1931"/>
      <c r="AP309" s="1931"/>
      <c r="AR309" s="5294">
        <f t="shared" ref="AR309:AR342" si="65">AR308+1</f>
        <v>3</v>
      </c>
      <c r="AS309" s="1897" t="s">
        <v>3863</v>
      </c>
      <c r="AT309" s="1935" t="s">
        <v>5124</v>
      </c>
      <c r="AU309" s="1936" t="s">
        <v>5125</v>
      </c>
      <c r="AV309" s="1935" t="s">
        <v>5126</v>
      </c>
      <c r="AW309" s="1935" t="s">
        <v>6398</v>
      </c>
      <c r="AX309" s="1935" t="s">
        <v>6399</v>
      </c>
      <c r="AY309" s="1897" t="s">
        <v>3863</v>
      </c>
      <c r="BA309" s="3">
        <v>1</v>
      </c>
    </row>
    <row r="310" spans="2:53" ht="30" customHeight="1">
      <c r="B310" s="1953"/>
      <c r="C310" s="1983"/>
      <c r="D310" s="1931"/>
      <c r="E310" s="1931"/>
      <c r="F310" s="9"/>
      <c r="G310" s="1953"/>
      <c r="H310" s="1904"/>
      <c r="I310" s="1965"/>
      <c r="J310" s="1965"/>
      <c r="L310" s="5294"/>
      <c r="M310" s="172"/>
      <c r="N310" s="1975"/>
      <c r="O310" s="1976"/>
      <c r="P310" s="1975"/>
      <c r="Q310" s="1975"/>
      <c r="R310" s="1975"/>
      <c r="S310" s="9"/>
      <c r="W310" s="9"/>
      <c r="X310" s="5283"/>
      <c r="Y310" s="1967"/>
      <c r="Z310" s="1969"/>
      <c r="AA310" s="1970"/>
      <c r="AB310" s="1969"/>
      <c r="AC310" s="1969"/>
      <c r="AD310" s="1969"/>
      <c r="AE310" s="1969"/>
      <c r="AG310" s="5285"/>
      <c r="AH310" s="1946"/>
      <c r="AI310" s="58"/>
      <c r="AJ310" s="1948"/>
      <c r="AK310" s="1948"/>
      <c r="AL310" s="172"/>
      <c r="AM310" s="5294"/>
      <c r="AN310" s="1944"/>
      <c r="AO310" s="1931"/>
      <c r="AP310" s="1931"/>
      <c r="AR310" s="5294">
        <f t="shared" si="65"/>
        <v>4</v>
      </c>
      <c r="AS310" s="1897" t="s">
        <v>3870</v>
      </c>
      <c r="AT310" s="1935" t="s">
        <v>5127</v>
      </c>
      <c r="AU310" s="1936" t="s">
        <v>5128</v>
      </c>
      <c r="AV310" s="1935" t="s">
        <v>5129</v>
      </c>
      <c r="AW310" s="1935" t="s">
        <v>5564</v>
      </c>
      <c r="AX310" s="1935" t="s">
        <v>6400</v>
      </c>
      <c r="AY310" s="1897" t="s">
        <v>3870</v>
      </c>
      <c r="BA310" s="3">
        <v>1</v>
      </c>
    </row>
    <row r="311" spans="2:53" ht="30" customHeight="1">
      <c r="B311" s="1953"/>
      <c r="C311" s="1983"/>
      <c r="D311" s="1931"/>
      <c r="E311" s="1931"/>
      <c r="F311" s="9"/>
      <c r="G311" s="1953"/>
      <c r="H311" s="1904"/>
      <c r="I311" s="1965"/>
      <c r="J311" s="1965"/>
      <c r="L311" s="5294"/>
      <c r="M311" s="172"/>
      <c r="N311" s="1975"/>
      <c r="O311" s="1976"/>
      <c r="P311" s="1975"/>
      <c r="Q311" s="1975"/>
      <c r="R311" s="1975"/>
      <c r="S311" s="9"/>
      <c r="W311" s="9"/>
      <c r="X311" s="5283"/>
      <c r="Y311" s="1967"/>
      <c r="Z311" s="1969"/>
      <c r="AA311" s="1970"/>
      <c r="AB311" s="1969"/>
      <c r="AC311" s="1969"/>
      <c r="AD311" s="1969"/>
      <c r="AE311" s="1969"/>
      <c r="AG311" s="5285"/>
      <c r="AH311" s="1946"/>
      <c r="AI311" s="58"/>
      <c r="AJ311" s="1948"/>
      <c r="AK311" s="1948"/>
      <c r="AL311" s="172"/>
      <c r="AM311" s="5294"/>
      <c r="AN311" s="1944"/>
      <c r="AO311" s="1931"/>
      <c r="AP311" s="1931"/>
      <c r="AR311" s="5294">
        <f t="shared" si="65"/>
        <v>5</v>
      </c>
      <c r="AS311" s="1897" t="s">
        <v>3874</v>
      </c>
      <c r="AT311" s="1935" t="s">
        <v>5130</v>
      </c>
      <c r="AU311" s="1936" t="s">
        <v>5131</v>
      </c>
      <c r="AV311" s="1935" t="s">
        <v>5132</v>
      </c>
      <c r="AW311" s="1935" t="s">
        <v>6401</v>
      </c>
      <c r="AX311" s="1935" t="s">
        <v>6402</v>
      </c>
      <c r="AY311" s="1897" t="s">
        <v>3874</v>
      </c>
      <c r="BA311" s="3">
        <v>1</v>
      </c>
    </row>
    <row r="312" spans="2:53" ht="30" customHeight="1">
      <c r="B312" s="1953"/>
      <c r="C312" s="1983"/>
      <c r="D312" s="1931"/>
      <c r="E312" s="1931"/>
      <c r="F312" s="9"/>
      <c r="G312" s="1953"/>
      <c r="H312" s="1904"/>
      <c r="I312" s="1965"/>
      <c r="J312" s="1965"/>
      <c r="L312" s="5294"/>
      <c r="M312" s="172"/>
      <c r="N312" s="1975"/>
      <c r="O312" s="1976"/>
      <c r="P312" s="1975"/>
      <c r="Q312" s="1975"/>
      <c r="R312" s="1975"/>
      <c r="S312" s="9"/>
      <c r="W312" s="9"/>
      <c r="X312" s="5283"/>
      <c r="Y312" s="1967"/>
      <c r="Z312" s="1969"/>
      <c r="AA312" s="1970"/>
      <c r="AB312" s="1969"/>
      <c r="AC312" s="1969"/>
      <c r="AD312" s="1969"/>
      <c r="AE312" s="1969"/>
      <c r="AG312" s="5285"/>
      <c r="AH312" s="1946"/>
      <c r="AI312" s="58"/>
      <c r="AJ312" s="1948"/>
      <c r="AK312" s="1948"/>
      <c r="AL312" s="172"/>
      <c r="AM312" s="5294"/>
      <c r="AN312" s="1944"/>
      <c r="AO312" s="1931"/>
      <c r="AP312" s="1931"/>
      <c r="AR312" s="5294">
        <f t="shared" si="65"/>
        <v>6</v>
      </c>
      <c r="AS312" s="1897" t="s">
        <v>3880</v>
      </c>
      <c r="AT312" s="1935" t="s">
        <v>5133</v>
      </c>
      <c r="AU312" s="1936" t="s">
        <v>5134</v>
      </c>
      <c r="AV312" s="1935" t="s">
        <v>5135</v>
      </c>
      <c r="AW312" s="1935" t="s">
        <v>6403</v>
      </c>
      <c r="AX312" s="1935" t="s">
        <v>6404</v>
      </c>
      <c r="AY312" s="1897" t="s">
        <v>3880</v>
      </c>
      <c r="BA312" s="3">
        <v>1</v>
      </c>
    </row>
    <row r="313" spans="2:53" ht="30" customHeight="1">
      <c r="B313" s="1953"/>
      <c r="C313" s="1983"/>
      <c r="D313" s="1931"/>
      <c r="E313" s="1931"/>
      <c r="F313" s="9"/>
      <c r="G313" s="1953"/>
      <c r="H313" s="1904"/>
      <c r="I313" s="1965"/>
      <c r="J313" s="1965"/>
      <c r="L313" s="5294"/>
      <c r="M313" s="172"/>
      <c r="N313" s="1975"/>
      <c r="O313" s="1976"/>
      <c r="P313" s="1975"/>
      <c r="Q313" s="1975"/>
      <c r="R313" s="1975"/>
      <c r="S313" s="9"/>
      <c r="W313" s="9"/>
      <c r="X313" s="5283"/>
      <c r="Y313" s="1967"/>
      <c r="Z313" s="1969"/>
      <c r="AA313" s="1970"/>
      <c r="AB313" s="1969"/>
      <c r="AC313" s="1969"/>
      <c r="AD313" s="1969"/>
      <c r="AE313" s="1969"/>
      <c r="AG313" s="5285"/>
      <c r="AH313" s="1946"/>
      <c r="AI313" s="58"/>
      <c r="AJ313" s="1948"/>
      <c r="AK313" s="1948"/>
      <c r="AL313" s="172"/>
      <c r="AM313" s="5294"/>
      <c r="AN313" s="1944"/>
      <c r="AO313" s="1931"/>
      <c r="AP313" s="1931"/>
      <c r="AR313" s="5294">
        <f t="shared" si="65"/>
        <v>7</v>
      </c>
      <c r="AS313" s="1897" t="s">
        <v>3884</v>
      </c>
      <c r="AT313" s="1935" t="s">
        <v>5136</v>
      </c>
      <c r="AU313" s="1936" t="s">
        <v>5137</v>
      </c>
      <c r="AV313" s="1935" t="s">
        <v>5138</v>
      </c>
      <c r="AW313" s="1935" t="s">
        <v>6405</v>
      </c>
      <c r="AX313" s="1935" t="s">
        <v>6406</v>
      </c>
      <c r="AY313" s="1897" t="s">
        <v>3884</v>
      </c>
      <c r="BA313" s="3">
        <v>1</v>
      </c>
    </row>
    <row r="314" spans="2:53" ht="30" customHeight="1">
      <c r="B314" s="1953"/>
      <c r="C314" s="1983"/>
      <c r="D314" s="1931"/>
      <c r="E314" s="1931"/>
      <c r="F314" s="9"/>
      <c r="G314" s="1953"/>
      <c r="H314" s="1904"/>
      <c r="I314" s="1965"/>
      <c r="J314" s="1965"/>
      <c r="L314" s="5294"/>
      <c r="M314" s="172"/>
      <c r="N314" s="1975"/>
      <c r="O314" s="1976"/>
      <c r="P314" s="1975"/>
      <c r="Q314" s="1975"/>
      <c r="R314" s="1975"/>
      <c r="S314" s="9"/>
      <c r="W314" s="9"/>
      <c r="X314" s="5283"/>
      <c r="Y314" s="1967"/>
      <c r="Z314" s="1969"/>
      <c r="AA314" s="1970"/>
      <c r="AB314" s="1969"/>
      <c r="AC314" s="1969"/>
      <c r="AD314" s="1969"/>
      <c r="AE314" s="1969"/>
      <c r="AG314" s="5285"/>
      <c r="AH314" s="1946"/>
      <c r="AI314" s="58"/>
      <c r="AJ314" s="1948"/>
      <c r="AK314" s="1948"/>
      <c r="AL314" s="172"/>
      <c r="AM314" s="5294"/>
      <c r="AN314" s="1944"/>
      <c r="AO314" s="1931"/>
      <c r="AP314" s="1931"/>
      <c r="AR314" s="5294">
        <f t="shared" si="65"/>
        <v>8</v>
      </c>
      <c r="AS314" s="1897" t="s">
        <v>3891</v>
      </c>
      <c r="AT314" s="1935" t="s">
        <v>5139</v>
      </c>
      <c r="AU314" s="1936" t="s">
        <v>5140</v>
      </c>
      <c r="AV314" s="1935" t="s">
        <v>5141</v>
      </c>
      <c r="AW314" s="1935" t="s">
        <v>6407</v>
      </c>
      <c r="AX314" s="1935" t="s">
        <v>6408</v>
      </c>
      <c r="AY314" s="1897" t="s">
        <v>3891</v>
      </c>
      <c r="BA314" s="3">
        <v>1</v>
      </c>
    </row>
    <row r="315" spans="2:53" ht="30" customHeight="1">
      <c r="B315" s="1953"/>
      <c r="C315" s="1983"/>
      <c r="D315" s="1931"/>
      <c r="E315" s="1931"/>
      <c r="F315" s="9"/>
      <c r="G315" s="1953"/>
      <c r="H315" s="1904"/>
      <c r="I315" s="1965"/>
      <c r="J315" s="1965"/>
      <c r="L315" s="5294"/>
      <c r="M315" s="172"/>
      <c r="N315" s="1975"/>
      <c r="O315" s="1976"/>
      <c r="P315" s="1975"/>
      <c r="Q315" s="1975"/>
      <c r="R315" s="1975"/>
      <c r="S315" s="9"/>
      <c r="W315" s="9"/>
      <c r="X315" s="5283"/>
      <c r="Y315" s="1967"/>
      <c r="Z315" s="1969"/>
      <c r="AA315" s="1970"/>
      <c r="AB315" s="1969"/>
      <c r="AC315" s="1969"/>
      <c r="AD315" s="1969"/>
      <c r="AE315" s="1969"/>
      <c r="AG315" s="5285"/>
      <c r="AH315" s="1946"/>
      <c r="AI315" s="58"/>
      <c r="AJ315" s="1948"/>
      <c r="AK315" s="1948"/>
      <c r="AL315" s="172"/>
      <c r="AM315" s="5294"/>
      <c r="AN315" s="1944"/>
      <c r="AO315" s="1931"/>
      <c r="AP315" s="1931"/>
      <c r="AR315" s="5294">
        <f t="shared" si="65"/>
        <v>9</v>
      </c>
      <c r="AS315" s="1897" t="s">
        <v>3899</v>
      </c>
      <c r="AT315" s="1935" t="s">
        <v>5142</v>
      </c>
      <c r="AU315" s="1936" t="s">
        <v>5143</v>
      </c>
      <c r="AV315" s="1935" t="s">
        <v>5144</v>
      </c>
      <c r="AW315" s="1935" t="s">
        <v>6409</v>
      </c>
      <c r="AX315" s="1935" t="s">
        <v>6410</v>
      </c>
      <c r="AY315" s="1897" t="s">
        <v>3899</v>
      </c>
      <c r="BA315" s="3">
        <v>1</v>
      </c>
    </row>
    <row r="316" spans="2:53" ht="30" customHeight="1">
      <c r="B316" s="1953"/>
      <c r="C316" s="1983"/>
      <c r="D316" s="1931"/>
      <c r="E316" s="1931"/>
      <c r="F316" s="9"/>
      <c r="G316" s="1953"/>
      <c r="H316" s="1904"/>
      <c r="I316" s="1965"/>
      <c r="J316" s="1965"/>
      <c r="L316" s="5294"/>
      <c r="M316" s="172"/>
      <c r="N316" s="1975"/>
      <c r="O316" s="1976"/>
      <c r="P316" s="1975"/>
      <c r="Q316" s="1975"/>
      <c r="R316" s="1975"/>
      <c r="S316" s="9"/>
      <c r="W316" s="9"/>
      <c r="X316" s="5283"/>
      <c r="Y316" s="1967"/>
      <c r="Z316" s="1969"/>
      <c r="AA316" s="1970"/>
      <c r="AB316" s="1969"/>
      <c r="AC316" s="1969"/>
      <c r="AD316" s="1969"/>
      <c r="AE316" s="1969"/>
      <c r="AG316" s="5285"/>
      <c r="AH316" s="1946"/>
      <c r="AI316" s="58"/>
      <c r="AJ316" s="1948"/>
      <c r="AK316" s="1948"/>
      <c r="AL316" s="172"/>
      <c r="AM316" s="5294"/>
      <c r="AN316" s="1944"/>
      <c r="AO316" s="1931"/>
      <c r="AP316" s="1931"/>
      <c r="AR316" s="5294">
        <f t="shared" si="65"/>
        <v>10</v>
      </c>
      <c r="AS316" s="1897" t="s">
        <v>3905</v>
      </c>
      <c r="AT316" s="1935" t="s">
        <v>5145</v>
      </c>
      <c r="AU316" s="1936" t="s">
        <v>5146</v>
      </c>
      <c r="AV316" s="1935" t="s">
        <v>5147</v>
      </c>
      <c r="AW316" s="1935" t="s">
        <v>6411</v>
      </c>
      <c r="AX316" s="1935" t="s">
        <v>6412</v>
      </c>
      <c r="AY316" s="1897" t="s">
        <v>3905</v>
      </c>
      <c r="BA316" s="3">
        <v>1</v>
      </c>
    </row>
    <row r="317" spans="2:53" ht="30" customHeight="1">
      <c r="B317" s="1953"/>
      <c r="C317" s="1983"/>
      <c r="D317" s="1931"/>
      <c r="E317" s="1931"/>
      <c r="F317" s="9"/>
      <c r="G317" s="1953"/>
      <c r="H317" s="1904"/>
      <c r="I317" s="1965"/>
      <c r="J317" s="1965"/>
      <c r="L317" s="5294"/>
      <c r="M317" s="172"/>
      <c r="N317" s="1975"/>
      <c r="O317" s="1976"/>
      <c r="P317" s="1975"/>
      <c r="Q317" s="1975"/>
      <c r="R317" s="1975"/>
      <c r="S317" s="9"/>
      <c r="W317" s="9"/>
      <c r="X317" s="5283"/>
      <c r="Y317" s="1967"/>
      <c r="Z317" s="1969"/>
      <c r="AA317" s="1970"/>
      <c r="AB317" s="1969"/>
      <c r="AC317" s="1969"/>
      <c r="AD317" s="1969"/>
      <c r="AE317" s="1969"/>
      <c r="AG317" s="5285"/>
      <c r="AH317" s="1946"/>
      <c r="AI317" s="58"/>
      <c r="AJ317" s="1948"/>
      <c r="AK317" s="1948"/>
      <c r="AL317" s="172"/>
      <c r="AM317" s="5294"/>
      <c r="AN317" s="1944"/>
      <c r="AO317" s="1931"/>
      <c r="AP317" s="1931"/>
      <c r="AR317" s="5294">
        <f t="shared" si="65"/>
        <v>11</v>
      </c>
      <c r="AS317" s="1897" t="s">
        <v>7468</v>
      </c>
      <c r="AT317" s="1931" t="s">
        <v>7469</v>
      </c>
      <c r="AU317" s="1931" t="s">
        <v>7470</v>
      </c>
      <c r="AV317" s="1935" t="s">
        <v>8151</v>
      </c>
      <c r="AW317" s="1935" t="s">
        <v>8152</v>
      </c>
      <c r="AX317" s="1935" t="s">
        <v>8153</v>
      </c>
      <c r="AY317" s="1897" t="s">
        <v>7468</v>
      </c>
      <c r="BA317" s="3">
        <v>1</v>
      </c>
    </row>
    <row r="318" spans="2:53" ht="30" customHeight="1">
      <c r="B318" s="1953"/>
      <c r="C318" s="1983"/>
      <c r="D318" s="1931"/>
      <c r="E318" s="1931"/>
      <c r="F318" s="9"/>
      <c r="G318" s="1953"/>
      <c r="H318" s="1904"/>
      <c r="I318" s="1965"/>
      <c r="J318" s="1965"/>
      <c r="L318" s="5294"/>
      <c r="M318" s="172"/>
      <c r="N318" s="1975"/>
      <c r="O318" s="1976"/>
      <c r="P318" s="1975"/>
      <c r="Q318" s="1975"/>
      <c r="R318" s="1975"/>
      <c r="S318" s="9"/>
      <c r="W318" s="9"/>
      <c r="X318" s="5283"/>
      <c r="Y318" s="1967"/>
      <c r="Z318" s="1969"/>
      <c r="AA318" s="1970"/>
      <c r="AB318" s="1969"/>
      <c r="AC318" s="1969"/>
      <c r="AD318" s="1969"/>
      <c r="AE318" s="1969"/>
      <c r="AG318" s="5285"/>
      <c r="AH318" s="1946"/>
      <c r="AI318" s="58"/>
      <c r="AJ318" s="1948"/>
      <c r="AK318" s="1948"/>
      <c r="AL318" s="172"/>
      <c r="AM318" s="5294"/>
      <c r="AN318" s="1944"/>
      <c r="AO318" s="1931"/>
      <c r="AP318" s="1931"/>
      <c r="AR318" s="5294">
        <f t="shared" si="65"/>
        <v>12</v>
      </c>
      <c r="AS318" s="1897" t="s">
        <v>3911</v>
      </c>
      <c r="AT318" s="1935" t="s">
        <v>5148</v>
      </c>
      <c r="AU318" s="1936" t="s">
        <v>5149</v>
      </c>
      <c r="AV318" s="1935" t="s">
        <v>5150</v>
      </c>
      <c r="AW318" s="1935" t="s">
        <v>6413</v>
      </c>
      <c r="AX318" s="1935" t="s">
        <v>6414</v>
      </c>
      <c r="AY318" s="1897" t="s">
        <v>3911</v>
      </c>
      <c r="BA318" s="3">
        <v>1</v>
      </c>
    </row>
    <row r="319" spans="2:53" ht="30" customHeight="1">
      <c r="B319" s="1953"/>
      <c r="C319" s="1983"/>
      <c r="D319" s="1931"/>
      <c r="E319" s="1931"/>
      <c r="F319" s="9"/>
      <c r="G319" s="1953"/>
      <c r="H319" s="1904"/>
      <c r="I319" s="1965"/>
      <c r="J319" s="1965"/>
      <c r="L319" s="5294"/>
      <c r="M319" s="172"/>
      <c r="N319" s="1975"/>
      <c r="O319" s="1976"/>
      <c r="P319" s="1975"/>
      <c r="Q319" s="1975"/>
      <c r="R319" s="1975"/>
      <c r="S319" s="9"/>
      <c r="W319" s="9"/>
      <c r="X319" s="5283"/>
      <c r="Y319" s="1967"/>
      <c r="Z319" s="1969"/>
      <c r="AA319" s="1970"/>
      <c r="AB319" s="1969"/>
      <c r="AC319" s="1969"/>
      <c r="AD319" s="1969"/>
      <c r="AE319" s="1969"/>
      <c r="AG319" s="5285"/>
      <c r="AH319" s="1946"/>
      <c r="AI319" s="58"/>
      <c r="AJ319" s="1948"/>
      <c r="AK319" s="1948"/>
      <c r="AL319" s="172"/>
      <c r="AM319" s="5294"/>
      <c r="AN319" s="1944"/>
      <c r="AO319" s="1931"/>
      <c r="AP319" s="1931"/>
      <c r="AR319" s="5294">
        <f t="shared" si="65"/>
        <v>13</v>
      </c>
      <c r="AS319" s="1897" t="s">
        <v>3917</v>
      </c>
      <c r="AT319" s="1935" t="s">
        <v>5151</v>
      </c>
      <c r="AU319" s="1936" t="s">
        <v>5152</v>
      </c>
      <c r="AV319" s="1935" t="s">
        <v>5153</v>
      </c>
      <c r="AW319" s="1935" t="s">
        <v>5565</v>
      </c>
      <c r="AX319" s="1935" t="s">
        <v>5566</v>
      </c>
      <c r="AY319" s="1897" t="s">
        <v>3917</v>
      </c>
      <c r="BA319" s="3">
        <v>1</v>
      </c>
    </row>
    <row r="320" spans="2:53" ht="30" customHeight="1">
      <c r="B320" s="1953"/>
      <c r="C320" s="1983"/>
      <c r="D320" s="1931"/>
      <c r="E320" s="1931"/>
      <c r="F320" s="9"/>
      <c r="G320" s="1953"/>
      <c r="H320" s="1904"/>
      <c r="I320" s="1965"/>
      <c r="J320" s="1965"/>
      <c r="L320" s="5294"/>
      <c r="M320" s="172"/>
      <c r="N320" s="1975"/>
      <c r="O320" s="1976"/>
      <c r="P320" s="1975"/>
      <c r="Q320" s="1975"/>
      <c r="R320" s="1975"/>
      <c r="S320" s="9"/>
      <c r="W320" s="9"/>
      <c r="X320" s="5283"/>
      <c r="Y320" s="1967"/>
      <c r="Z320" s="1969"/>
      <c r="AA320" s="1970"/>
      <c r="AB320" s="1969"/>
      <c r="AC320" s="1969"/>
      <c r="AD320" s="1969"/>
      <c r="AE320" s="1969"/>
      <c r="AG320" s="5285"/>
      <c r="AH320" s="1946"/>
      <c r="AI320" s="58"/>
      <c r="AJ320" s="1948"/>
      <c r="AK320" s="1948"/>
      <c r="AL320" s="172"/>
      <c r="AM320" s="5294"/>
      <c r="AN320" s="1944"/>
      <c r="AO320" s="1931"/>
      <c r="AP320" s="1931"/>
      <c r="AR320" s="5294">
        <f t="shared" si="65"/>
        <v>14</v>
      </c>
      <c r="AS320" s="1897" t="s">
        <v>3922</v>
      </c>
      <c r="AT320" s="1935" t="s">
        <v>5154</v>
      </c>
      <c r="AU320" s="1936" t="s">
        <v>5155</v>
      </c>
      <c r="AV320" s="1935" t="s">
        <v>5156</v>
      </c>
      <c r="AW320" s="1935" t="s">
        <v>6415</v>
      </c>
      <c r="AX320" s="1935" t="s">
        <v>6416</v>
      </c>
      <c r="AY320" s="1897" t="s">
        <v>3922</v>
      </c>
      <c r="BA320" s="3">
        <v>1</v>
      </c>
    </row>
    <row r="321" spans="2:53" ht="30" customHeight="1">
      <c r="B321" s="1953"/>
      <c r="C321" s="1983"/>
      <c r="D321" s="1931"/>
      <c r="E321" s="1931"/>
      <c r="F321" s="9"/>
      <c r="G321" s="1953"/>
      <c r="H321" s="1904"/>
      <c r="I321" s="1965"/>
      <c r="J321" s="1965"/>
      <c r="L321" s="5294"/>
      <c r="M321" s="172"/>
      <c r="N321" s="1975"/>
      <c r="O321" s="1976"/>
      <c r="P321" s="1975"/>
      <c r="Q321" s="1975"/>
      <c r="R321" s="1975"/>
      <c r="S321" s="9"/>
      <c r="W321" s="9"/>
      <c r="X321" s="5283"/>
      <c r="Y321" s="1967"/>
      <c r="Z321" s="1969"/>
      <c r="AA321" s="1970"/>
      <c r="AB321" s="1969"/>
      <c r="AC321" s="1969"/>
      <c r="AD321" s="1969"/>
      <c r="AE321" s="1969"/>
      <c r="AG321" s="5285"/>
      <c r="AH321" s="1946"/>
      <c r="AI321" s="58"/>
      <c r="AJ321" s="1948"/>
      <c r="AK321" s="1948"/>
      <c r="AL321" s="172"/>
      <c r="AM321" s="5294"/>
      <c r="AN321" s="1944"/>
      <c r="AO321" s="1931"/>
      <c r="AP321" s="1931"/>
      <c r="AR321" s="5294">
        <f t="shared" si="65"/>
        <v>15</v>
      </c>
      <c r="AS321" s="1897" t="s">
        <v>3927</v>
      </c>
      <c r="AT321" s="1935" t="s">
        <v>5157</v>
      </c>
      <c r="AU321" s="1936" t="s">
        <v>5158</v>
      </c>
      <c r="AV321" s="1935" t="s">
        <v>5159</v>
      </c>
      <c r="AW321" s="1935" t="s">
        <v>5567</v>
      </c>
      <c r="AX321" s="1935" t="s">
        <v>6417</v>
      </c>
      <c r="AY321" s="1897" t="s">
        <v>3927</v>
      </c>
      <c r="BA321" s="3">
        <v>1</v>
      </c>
    </row>
    <row r="322" spans="2:53" ht="30" customHeight="1">
      <c r="B322" s="1953"/>
      <c r="C322" s="1983"/>
      <c r="D322" s="1931"/>
      <c r="E322" s="1931"/>
      <c r="F322" s="9"/>
      <c r="G322" s="1953"/>
      <c r="H322" s="1904"/>
      <c r="I322" s="1965"/>
      <c r="J322" s="1965"/>
      <c r="L322" s="5294"/>
      <c r="M322" s="172"/>
      <c r="N322" s="1975"/>
      <c r="O322" s="1976"/>
      <c r="P322" s="1975"/>
      <c r="Q322" s="1975"/>
      <c r="R322" s="1975"/>
      <c r="S322" s="9"/>
      <c r="W322" s="9"/>
      <c r="X322" s="5283"/>
      <c r="Y322" s="1967"/>
      <c r="Z322" s="1969"/>
      <c r="AA322" s="1970"/>
      <c r="AB322" s="1969"/>
      <c r="AC322" s="1969"/>
      <c r="AD322" s="1969"/>
      <c r="AE322" s="1969"/>
      <c r="AG322" s="5285"/>
      <c r="AH322" s="1946"/>
      <c r="AI322" s="58"/>
      <c r="AJ322" s="1948"/>
      <c r="AK322" s="1948"/>
      <c r="AL322" s="172"/>
      <c r="AM322" s="5294"/>
      <c r="AN322" s="1944"/>
      <c r="AO322" s="1931"/>
      <c r="AP322" s="1931"/>
      <c r="AR322" s="5294">
        <f t="shared" si="65"/>
        <v>16</v>
      </c>
      <c r="AS322" s="1897" t="s">
        <v>3933</v>
      </c>
      <c r="AT322" s="1931" t="s">
        <v>7458</v>
      </c>
      <c r="AU322" s="1931" t="s">
        <v>7459</v>
      </c>
      <c r="AV322" s="1935" t="s">
        <v>8154</v>
      </c>
      <c r="AW322" s="1935" t="s">
        <v>8155</v>
      </c>
      <c r="AX322" s="1935" t="s">
        <v>8156</v>
      </c>
      <c r="AY322" s="1897" t="s">
        <v>3933</v>
      </c>
      <c r="BA322" s="3">
        <v>1</v>
      </c>
    </row>
    <row r="323" spans="2:53" ht="30" customHeight="1">
      <c r="B323" s="1953"/>
      <c r="C323" s="1983"/>
      <c r="D323" s="1931"/>
      <c r="E323" s="1931"/>
      <c r="F323" s="9"/>
      <c r="G323" s="1953"/>
      <c r="H323" s="1904"/>
      <c r="I323" s="1965"/>
      <c r="J323" s="1965"/>
      <c r="L323" s="5294"/>
      <c r="M323" s="172"/>
      <c r="N323" s="1975"/>
      <c r="O323" s="1976"/>
      <c r="P323" s="1975"/>
      <c r="Q323" s="1975"/>
      <c r="R323" s="1975"/>
      <c r="S323" s="9"/>
      <c r="W323" s="9"/>
      <c r="X323" s="5283"/>
      <c r="Y323" s="1967"/>
      <c r="Z323" s="1969"/>
      <c r="AA323" s="1970"/>
      <c r="AB323" s="1969"/>
      <c r="AC323" s="1969"/>
      <c r="AD323" s="1969"/>
      <c r="AE323" s="1969"/>
      <c r="AG323" s="5285"/>
      <c r="AH323" s="1946"/>
      <c r="AI323" s="58"/>
      <c r="AJ323" s="1948"/>
      <c r="AK323" s="1948"/>
      <c r="AL323" s="172"/>
      <c r="AM323" s="5294"/>
      <c r="AN323" s="1944"/>
      <c r="AO323" s="1931"/>
      <c r="AP323" s="1931"/>
      <c r="AR323" s="5294">
        <f t="shared" si="65"/>
        <v>17</v>
      </c>
      <c r="AS323" s="1897" t="s">
        <v>3940</v>
      </c>
      <c r="AT323" s="1935" t="s">
        <v>5160</v>
      </c>
      <c r="AU323" s="1936" t="s">
        <v>5161</v>
      </c>
      <c r="AV323" s="1935" t="s">
        <v>5162</v>
      </c>
      <c r="AW323" s="1935" t="s">
        <v>6418</v>
      </c>
      <c r="AX323" s="1935" t="s">
        <v>6419</v>
      </c>
      <c r="AY323" s="1897" t="s">
        <v>3940</v>
      </c>
      <c r="BA323" s="3">
        <v>1</v>
      </c>
    </row>
    <row r="324" spans="2:53" ht="30" customHeight="1">
      <c r="B324" s="1953"/>
      <c r="C324" s="1983"/>
      <c r="D324" s="1931"/>
      <c r="E324" s="1931"/>
      <c r="F324" s="9"/>
      <c r="G324" s="1953"/>
      <c r="H324" s="1904"/>
      <c r="I324" s="1965"/>
      <c r="J324" s="1965"/>
      <c r="L324" s="5294"/>
      <c r="M324" s="172"/>
      <c r="N324" s="1975"/>
      <c r="O324" s="1976"/>
      <c r="P324" s="1975"/>
      <c r="Q324" s="1975"/>
      <c r="R324" s="1975"/>
      <c r="S324" s="9"/>
      <c r="W324" s="9"/>
      <c r="X324" s="5283"/>
      <c r="Y324" s="1967"/>
      <c r="Z324" s="1969"/>
      <c r="AA324" s="1970"/>
      <c r="AB324" s="1969"/>
      <c r="AC324" s="1969"/>
      <c r="AD324" s="1969"/>
      <c r="AE324" s="1969"/>
      <c r="AG324" s="5285"/>
      <c r="AH324" s="1946"/>
      <c r="AI324" s="58"/>
      <c r="AJ324" s="1948"/>
      <c r="AK324" s="1948"/>
      <c r="AL324" s="172"/>
      <c r="AM324" s="5294"/>
      <c r="AN324" s="1944"/>
      <c r="AO324" s="1931"/>
      <c r="AP324" s="1931"/>
      <c r="AR324" s="5294">
        <f t="shared" si="65"/>
        <v>18</v>
      </c>
      <c r="AS324" s="1897" t="s">
        <v>3946</v>
      </c>
      <c r="AT324" s="1935" t="s">
        <v>5163</v>
      </c>
      <c r="AU324" s="1936" t="s">
        <v>5164</v>
      </c>
      <c r="AV324" s="1935" t="s">
        <v>5165</v>
      </c>
      <c r="AW324" s="1935" t="s">
        <v>6420</v>
      </c>
      <c r="AX324" s="1935" t="s">
        <v>6421</v>
      </c>
      <c r="AY324" s="1897" t="s">
        <v>3946</v>
      </c>
      <c r="BA324" s="3">
        <v>1</v>
      </c>
    </row>
    <row r="325" spans="2:53" ht="30" customHeight="1">
      <c r="B325" s="1953"/>
      <c r="C325" s="1983"/>
      <c r="D325" s="1931"/>
      <c r="E325" s="1931"/>
      <c r="F325" s="9"/>
      <c r="G325" s="1953"/>
      <c r="H325" s="1904"/>
      <c r="I325" s="1965"/>
      <c r="J325" s="1965"/>
      <c r="L325" s="5294"/>
      <c r="M325" s="172"/>
      <c r="N325" s="1975"/>
      <c r="O325" s="1976"/>
      <c r="P325" s="1975"/>
      <c r="Q325" s="1975"/>
      <c r="R325" s="1975"/>
      <c r="S325" s="9"/>
      <c r="W325" s="9"/>
      <c r="X325" s="5283"/>
      <c r="Y325" s="1967"/>
      <c r="Z325" s="1969"/>
      <c r="AA325" s="1970"/>
      <c r="AB325" s="1969"/>
      <c r="AC325" s="1969"/>
      <c r="AD325" s="1969"/>
      <c r="AE325" s="1969"/>
      <c r="AG325" s="5285"/>
      <c r="AH325" s="1946"/>
      <c r="AI325" s="58"/>
      <c r="AJ325" s="1948"/>
      <c r="AK325" s="1948"/>
      <c r="AL325" s="172"/>
      <c r="AM325" s="5294"/>
      <c r="AN325" s="1944"/>
      <c r="AO325" s="1931"/>
      <c r="AP325" s="1931"/>
      <c r="AR325" s="5294">
        <f t="shared" si="65"/>
        <v>19</v>
      </c>
      <c r="AS325" s="1897" t="s">
        <v>3951</v>
      </c>
      <c r="AT325" s="1935" t="s">
        <v>5166</v>
      </c>
      <c r="AU325" s="1936" t="s">
        <v>5167</v>
      </c>
      <c r="AV325" s="1935" t="s">
        <v>5168</v>
      </c>
      <c r="AW325" s="1935" t="s">
        <v>6422</v>
      </c>
      <c r="AX325" s="1935" t="s">
        <v>6423</v>
      </c>
      <c r="AY325" s="1897" t="s">
        <v>3951</v>
      </c>
      <c r="BA325" s="3">
        <v>1</v>
      </c>
    </row>
    <row r="326" spans="2:53" ht="30" customHeight="1">
      <c r="B326" s="1953"/>
      <c r="C326" s="1983"/>
      <c r="D326" s="1931"/>
      <c r="E326" s="1931"/>
      <c r="F326" s="9"/>
      <c r="G326" s="1953"/>
      <c r="H326" s="1904"/>
      <c r="I326" s="1965"/>
      <c r="J326" s="1965"/>
      <c r="L326" s="5294"/>
      <c r="M326" s="172"/>
      <c r="N326" s="1975"/>
      <c r="O326" s="1976"/>
      <c r="P326" s="1975"/>
      <c r="Q326" s="1975"/>
      <c r="R326" s="1975"/>
      <c r="S326" s="9"/>
      <c r="W326" s="9"/>
      <c r="X326" s="5283"/>
      <c r="Y326" s="1967"/>
      <c r="Z326" s="1969"/>
      <c r="AA326" s="1970"/>
      <c r="AB326" s="1969"/>
      <c r="AC326" s="1969"/>
      <c r="AD326" s="1969"/>
      <c r="AE326" s="1969"/>
      <c r="AG326" s="5285"/>
      <c r="AH326" s="1946"/>
      <c r="AI326" s="58"/>
      <c r="AJ326" s="1948"/>
      <c r="AK326" s="1948"/>
      <c r="AL326" s="172"/>
      <c r="AM326" s="5294"/>
      <c r="AN326" s="1944"/>
      <c r="AO326" s="1931"/>
      <c r="AP326" s="1931"/>
      <c r="AR326" s="5294">
        <f t="shared" si="65"/>
        <v>20</v>
      </c>
      <c r="AS326" s="1897" t="s">
        <v>3956</v>
      </c>
      <c r="AT326" s="1935" t="s">
        <v>5169</v>
      </c>
      <c r="AU326" s="1936" t="s">
        <v>5170</v>
      </c>
      <c r="AV326" s="1935" t="s">
        <v>5171</v>
      </c>
      <c r="AW326" s="1935" t="s">
        <v>6424</v>
      </c>
      <c r="AX326" s="1935" t="s">
        <v>6425</v>
      </c>
      <c r="AY326" s="1897" t="s">
        <v>3956</v>
      </c>
      <c r="BA326" s="3">
        <v>1</v>
      </c>
    </row>
    <row r="327" spans="2:53" ht="30" customHeight="1">
      <c r="B327" s="1953"/>
      <c r="C327" s="1983"/>
      <c r="D327" s="1931"/>
      <c r="E327" s="1931"/>
      <c r="F327" s="9"/>
      <c r="G327" s="1953"/>
      <c r="H327" s="1904"/>
      <c r="I327" s="1965"/>
      <c r="J327" s="1965"/>
      <c r="L327" s="5294"/>
      <c r="M327" s="172"/>
      <c r="N327" s="1975"/>
      <c r="O327" s="1976"/>
      <c r="P327" s="1975"/>
      <c r="Q327" s="1975"/>
      <c r="R327" s="1975"/>
      <c r="S327" s="9"/>
      <c r="W327" s="9"/>
      <c r="X327" s="5283"/>
      <c r="Y327" s="1967"/>
      <c r="Z327" s="1969"/>
      <c r="AA327" s="1970"/>
      <c r="AB327" s="1969"/>
      <c r="AC327" s="1969"/>
      <c r="AD327" s="1969"/>
      <c r="AE327" s="1969"/>
      <c r="AG327" s="5285"/>
      <c r="AH327" s="1946"/>
      <c r="AI327" s="58"/>
      <c r="AJ327" s="1948"/>
      <c r="AK327" s="1948"/>
      <c r="AL327" s="172"/>
      <c r="AM327" s="5294"/>
      <c r="AN327" s="1944"/>
      <c r="AO327" s="1931"/>
      <c r="AP327" s="1931"/>
      <c r="AR327" s="5294">
        <f t="shared" si="65"/>
        <v>21</v>
      </c>
      <c r="AS327" s="1897" t="s">
        <v>3964</v>
      </c>
      <c r="AT327" s="1935" t="s">
        <v>5172</v>
      </c>
      <c r="AU327" s="1936" t="s">
        <v>5173</v>
      </c>
      <c r="AV327" s="1935" t="s">
        <v>5174</v>
      </c>
      <c r="AW327" s="1935" t="s">
        <v>6426</v>
      </c>
      <c r="AX327" s="1935" t="s">
        <v>6427</v>
      </c>
      <c r="AY327" s="1897" t="s">
        <v>3964</v>
      </c>
      <c r="BA327" s="3">
        <v>1</v>
      </c>
    </row>
    <row r="328" spans="2:53" ht="30" customHeight="1">
      <c r="B328" s="1953"/>
      <c r="C328" s="1983"/>
      <c r="D328" s="1931"/>
      <c r="E328" s="1931"/>
      <c r="F328" s="9"/>
      <c r="G328" s="1953"/>
      <c r="H328" s="1904"/>
      <c r="I328" s="1965"/>
      <c r="J328" s="1965"/>
      <c r="L328" s="5294"/>
      <c r="M328" s="172"/>
      <c r="N328" s="1975"/>
      <c r="O328" s="1976"/>
      <c r="P328" s="1975"/>
      <c r="Q328" s="1975"/>
      <c r="R328" s="1975"/>
      <c r="S328" s="9"/>
      <c r="W328" s="9"/>
      <c r="X328" s="5283"/>
      <c r="Y328" s="1967"/>
      <c r="Z328" s="1969"/>
      <c r="AA328" s="1970"/>
      <c r="AB328" s="1969"/>
      <c r="AC328" s="1969"/>
      <c r="AD328" s="1969"/>
      <c r="AE328" s="1969"/>
      <c r="AG328" s="5285"/>
      <c r="AH328" s="1946"/>
      <c r="AI328" s="58"/>
      <c r="AJ328" s="1948"/>
      <c r="AK328" s="1948"/>
      <c r="AL328" s="172"/>
      <c r="AM328" s="5294"/>
      <c r="AN328" s="1944"/>
      <c r="AO328" s="1931"/>
      <c r="AP328" s="1931"/>
      <c r="AR328" s="5294">
        <f t="shared" si="65"/>
        <v>22</v>
      </c>
      <c r="AS328" s="1897" t="s">
        <v>3970</v>
      </c>
      <c r="AT328" s="1931" t="s">
        <v>7439</v>
      </c>
      <c r="AU328" s="1931" t="s">
        <v>7440</v>
      </c>
      <c r="AV328" s="1935" t="s">
        <v>8157</v>
      </c>
      <c r="AW328" s="1935" t="s">
        <v>8158</v>
      </c>
      <c r="AX328" s="1935" t="s">
        <v>8159</v>
      </c>
      <c r="AY328" s="1897" t="s">
        <v>3970</v>
      </c>
      <c r="BA328" s="3">
        <v>1</v>
      </c>
    </row>
    <row r="329" spans="2:53" ht="30" customHeight="1">
      <c r="B329" s="1953"/>
      <c r="C329" s="1983"/>
      <c r="D329" s="1931"/>
      <c r="E329" s="1931"/>
      <c r="F329" s="9"/>
      <c r="G329" s="1953"/>
      <c r="H329" s="1904"/>
      <c r="I329" s="1965"/>
      <c r="J329" s="1965"/>
      <c r="L329" s="5294"/>
      <c r="M329" s="172"/>
      <c r="N329" s="1975"/>
      <c r="O329" s="1976"/>
      <c r="P329" s="1975"/>
      <c r="Q329" s="1975"/>
      <c r="R329" s="1975"/>
      <c r="S329" s="9"/>
      <c r="W329" s="9"/>
      <c r="X329" s="5283"/>
      <c r="Y329" s="1967"/>
      <c r="Z329" s="1969"/>
      <c r="AA329" s="1970"/>
      <c r="AB329" s="1969"/>
      <c r="AC329" s="1969"/>
      <c r="AD329" s="1969"/>
      <c r="AE329" s="1969"/>
      <c r="AG329" s="5285"/>
      <c r="AH329" s="1946"/>
      <c r="AI329" s="58"/>
      <c r="AJ329" s="1948"/>
      <c r="AK329" s="1948"/>
      <c r="AL329" s="172"/>
      <c r="AM329" s="5294"/>
      <c r="AN329" s="1944"/>
      <c r="AO329" s="1931"/>
      <c r="AP329" s="1931"/>
      <c r="AR329" s="5294">
        <f t="shared" si="65"/>
        <v>23</v>
      </c>
      <c r="AS329" s="1897" t="s">
        <v>3976</v>
      </c>
      <c r="AT329" s="1935" t="s">
        <v>5175</v>
      </c>
      <c r="AU329" s="1936" t="s">
        <v>5176</v>
      </c>
      <c r="AV329" s="1935" t="s">
        <v>5177</v>
      </c>
      <c r="AW329" s="1935" t="s">
        <v>6428</v>
      </c>
      <c r="AX329" s="1935" t="s">
        <v>6429</v>
      </c>
      <c r="AY329" s="1897" t="s">
        <v>3976</v>
      </c>
      <c r="BA329" s="3">
        <v>1</v>
      </c>
    </row>
    <row r="330" spans="2:53" ht="30" customHeight="1">
      <c r="B330" s="1953"/>
      <c r="C330" s="1983"/>
      <c r="D330" s="1931"/>
      <c r="E330" s="1931"/>
      <c r="F330" s="9"/>
      <c r="G330" s="1953"/>
      <c r="H330" s="1904"/>
      <c r="I330" s="1965"/>
      <c r="J330" s="1965"/>
      <c r="L330" s="5294"/>
      <c r="M330" s="172"/>
      <c r="N330" s="1975"/>
      <c r="O330" s="1976"/>
      <c r="P330" s="1975"/>
      <c r="Q330" s="1975"/>
      <c r="R330" s="1975"/>
      <c r="S330" s="9"/>
      <c r="W330" s="9"/>
      <c r="X330" s="5283"/>
      <c r="Y330" s="1967"/>
      <c r="Z330" s="1969"/>
      <c r="AA330" s="1970"/>
      <c r="AB330" s="1969"/>
      <c r="AC330" s="1969"/>
      <c r="AD330" s="1969"/>
      <c r="AE330" s="1969"/>
      <c r="AG330" s="5285"/>
      <c r="AH330" s="1946"/>
      <c r="AI330" s="58"/>
      <c r="AJ330" s="1948"/>
      <c r="AK330" s="1948"/>
      <c r="AL330" s="172"/>
      <c r="AM330" s="5294"/>
      <c r="AN330" s="1944"/>
      <c r="AO330" s="1931"/>
      <c r="AP330" s="1931"/>
      <c r="AR330" s="5294">
        <f t="shared" si="65"/>
        <v>24</v>
      </c>
      <c r="AS330" s="1897" t="s">
        <v>3983</v>
      </c>
      <c r="AT330" s="1935" t="s">
        <v>5178</v>
      </c>
      <c r="AU330" s="1936" t="s">
        <v>5179</v>
      </c>
      <c r="AV330" s="1935" t="s">
        <v>5180</v>
      </c>
      <c r="AW330" s="1935" t="s">
        <v>5541</v>
      </c>
      <c r="AX330" s="1935" t="s">
        <v>5542</v>
      </c>
      <c r="AY330" s="1897" t="s">
        <v>3983</v>
      </c>
      <c r="BA330" s="3">
        <v>1</v>
      </c>
    </row>
    <row r="331" spans="2:53" ht="30" customHeight="1">
      <c r="B331" s="1953"/>
      <c r="C331" s="1983"/>
      <c r="D331" s="1931"/>
      <c r="E331" s="1931"/>
      <c r="F331" s="9"/>
      <c r="G331" s="1953"/>
      <c r="H331" s="1904"/>
      <c r="I331" s="1965"/>
      <c r="J331" s="1965"/>
      <c r="L331" s="5294"/>
      <c r="M331" s="172"/>
      <c r="N331" s="1975"/>
      <c r="O331" s="1976"/>
      <c r="P331" s="1975"/>
      <c r="Q331" s="1975"/>
      <c r="R331" s="1975"/>
      <c r="S331" s="9"/>
      <c r="W331" s="9"/>
      <c r="X331" s="5283"/>
      <c r="Y331" s="1967"/>
      <c r="Z331" s="1969"/>
      <c r="AA331" s="1970"/>
      <c r="AB331" s="1969"/>
      <c r="AC331" s="1969"/>
      <c r="AD331" s="1969"/>
      <c r="AE331" s="1969"/>
      <c r="AG331" s="5285"/>
      <c r="AH331" s="1946"/>
      <c r="AI331" s="58"/>
      <c r="AJ331" s="1948"/>
      <c r="AK331" s="1948"/>
      <c r="AL331" s="172"/>
      <c r="AM331" s="5294"/>
      <c r="AN331" s="1944"/>
      <c r="AO331" s="1931"/>
      <c r="AP331" s="1931"/>
      <c r="AR331" s="5294">
        <f t="shared" si="65"/>
        <v>25</v>
      </c>
      <c r="AS331" s="1897" t="s">
        <v>3989</v>
      </c>
      <c r="AT331" s="1935" t="s">
        <v>5181</v>
      </c>
      <c r="AU331" s="1936" t="s">
        <v>5182</v>
      </c>
      <c r="AV331" s="1935" t="s">
        <v>5183</v>
      </c>
      <c r="AW331" s="1935" t="s">
        <v>6430</v>
      </c>
      <c r="AX331" s="1935" t="s">
        <v>5568</v>
      </c>
      <c r="AY331" s="1897" t="s">
        <v>3989</v>
      </c>
      <c r="BA331" s="3">
        <v>1</v>
      </c>
    </row>
    <row r="332" spans="2:53" ht="30" customHeight="1">
      <c r="B332" s="1953"/>
      <c r="C332" s="1983"/>
      <c r="D332" s="1931"/>
      <c r="E332" s="1931"/>
      <c r="F332" s="9"/>
      <c r="G332" s="1953"/>
      <c r="H332" s="1904"/>
      <c r="I332" s="1965"/>
      <c r="J332" s="1965"/>
      <c r="L332" s="5294"/>
      <c r="M332" s="172"/>
      <c r="N332" s="1975"/>
      <c r="O332" s="1976"/>
      <c r="P332" s="1975"/>
      <c r="Q332" s="1975"/>
      <c r="R332" s="1975"/>
      <c r="S332" s="9"/>
      <c r="W332" s="9"/>
      <c r="X332" s="5283"/>
      <c r="Y332" s="1967"/>
      <c r="Z332" s="1969"/>
      <c r="AA332" s="1970"/>
      <c r="AB332" s="1969"/>
      <c r="AC332" s="1969"/>
      <c r="AD332" s="1969"/>
      <c r="AE332" s="1969"/>
      <c r="AG332" s="5285"/>
      <c r="AH332" s="1946"/>
      <c r="AI332" s="58"/>
      <c r="AJ332" s="1948"/>
      <c r="AK332" s="1948"/>
      <c r="AL332" s="172"/>
      <c r="AM332" s="5294"/>
      <c r="AN332" s="1944"/>
      <c r="AO332" s="1931"/>
      <c r="AP332" s="1931"/>
      <c r="AR332" s="5294">
        <f t="shared" si="65"/>
        <v>26</v>
      </c>
      <c r="AS332" s="1897" t="s">
        <v>3996</v>
      </c>
      <c r="AT332" s="1935" t="s">
        <v>5184</v>
      </c>
      <c r="AU332" s="1936" t="s">
        <v>5185</v>
      </c>
      <c r="AV332" s="1935" t="s">
        <v>5186</v>
      </c>
      <c r="AW332" s="1935" t="s">
        <v>6431</v>
      </c>
      <c r="AX332" s="1935" t="s">
        <v>6432</v>
      </c>
      <c r="AY332" s="1897" t="s">
        <v>3996</v>
      </c>
      <c r="BA332" s="3">
        <v>1</v>
      </c>
    </row>
    <row r="333" spans="2:53" ht="30" customHeight="1">
      <c r="B333" s="1953"/>
      <c r="C333" s="1983"/>
      <c r="D333" s="1931"/>
      <c r="E333" s="1931"/>
      <c r="F333" s="9"/>
      <c r="G333" s="1953"/>
      <c r="H333" s="1904"/>
      <c r="I333" s="1965"/>
      <c r="J333" s="1965"/>
      <c r="L333" s="5294"/>
      <c r="M333" s="172"/>
      <c r="N333" s="1975"/>
      <c r="O333" s="1976"/>
      <c r="P333" s="1975"/>
      <c r="Q333" s="1975"/>
      <c r="R333" s="1975"/>
      <c r="S333" s="9"/>
      <c r="W333" s="9"/>
      <c r="X333" s="5283"/>
      <c r="Y333" s="1967"/>
      <c r="Z333" s="1969"/>
      <c r="AA333" s="1970"/>
      <c r="AB333" s="1969"/>
      <c r="AC333" s="1969"/>
      <c r="AD333" s="1969"/>
      <c r="AE333" s="1969"/>
      <c r="AG333" s="5285"/>
      <c r="AH333" s="1946"/>
      <c r="AI333" s="58"/>
      <c r="AJ333" s="1948"/>
      <c r="AK333" s="1948"/>
      <c r="AL333" s="172"/>
      <c r="AM333" s="5294"/>
      <c r="AN333" s="1944"/>
      <c r="AO333" s="1931"/>
      <c r="AP333" s="1931"/>
      <c r="AR333" s="5294">
        <f t="shared" si="65"/>
        <v>27</v>
      </c>
      <c r="AS333" s="1897" t="s">
        <v>4000</v>
      </c>
      <c r="AT333" s="1935" t="s">
        <v>5187</v>
      </c>
      <c r="AU333" s="1936" t="s">
        <v>5188</v>
      </c>
      <c r="AV333" s="1935" t="s">
        <v>5189</v>
      </c>
      <c r="AW333" s="1935" t="s">
        <v>5569</v>
      </c>
      <c r="AX333" s="1935" t="s">
        <v>5570</v>
      </c>
      <c r="AY333" s="1897" t="s">
        <v>4000</v>
      </c>
      <c r="BA333" s="3">
        <v>1</v>
      </c>
    </row>
    <row r="334" spans="2:53" ht="30" customHeight="1">
      <c r="B334" s="1953"/>
      <c r="C334" s="1983"/>
      <c r="D334" s="1931"/>
      <c r="E334" s="1931"/>
      <c r="F334" s="9"/>
      <c r="G334" s="1953"/>
      <c r="H334" s="1904"/>
      <c r="I334" s="1965"/>
      <c r="J334" s="1965"/>
      <c r="L334" s="5294"/>
      <c r="M334" s="172"/>
      <c r="N334" s="1975"/>
      <c r="O334" s="1976"/>
      <c r="P334" s="1975"/>
      <c r="Q334" s="1975"/>
      <c r="R334" s="1975"/>
      <c r="S334" s="9"/>
      <c r="W334" s="9"/>
      <c r="X334" s="5283"/>
      <c r="Y334" s="1967"/>
      <c r="Z334" s="1969"/>
      <c r="AA334" s="1970"/>
      <c r="AB334" s="1969"/>
      <c r="AC334" s="1969"/>
      <c r="AD334" s="1969"/>
      <c r="AE334" s="1969"/>
      <c r="AG334" s="5285"/>
      <c r="AH334" s="1946"/>
      <c r="AI334" s="58"/>
      <c r="AJ334" s="1948"/>
      <c r="AK334" s="1948"/>
      <c r="AL334" s="172"/>
      <c r="AM334" s="5294"/>
      <c r="AN334" s="1944"/>
      <c r="AO334" s="1931"/>
      <c r="AP334" s="1931"/>
      <c r="AR334" s="5294">
        <f t="shared" si="65"/>
        <v>28</v>
      </c>
      <c r="AS334" s="1897" t="s">
        <v>4006</v>
      </c>
      <c r="AT334" s="1935" t="s">
        <v>5190</v>
      </c>
      <c r="AU334" s="1936" t="s">
        <v>5191</v>
      </c>
      <c r="AV334" s="1935" t="s">
        <v>5192</v>
      </c>
      <c r="AW334" s="1935" t="s">
        <v>5571</v>
      </c>
      <c r="AX334" s="1935" t="s">
        <v>6433</v>
      </c>
      <c r="AY334" s="1897" t="s">
        <v>4006</v>
      </c>
      <c r="BA334" s="3">
        <v>1</v>
      </c>
    </row>
    <row r="335" spans="2:53" ht="30" customHeight="1">
      <c r="B335" s="1953"/>
      <c r="C335" s="1983"/>
      <c r="D335" s="1931"/>
      <c r="E335" s="1931"/>
      <c r="F335" s="9"/>
      <c r="G335" s="1953"/>
      <c r="H335" s="1904"/>
      <c r="I335" s="1965"/>
      <c r="J335" s="1965"/>
      <c r="L335" s="5294"/>
      <c r="M335" s="172"/>
      <c r="N335" s="1975"/>
      <c r="O335" s="1976"/>
      <c r="P335" s="1975"/>
      <c r="Q335" s="1975"/>
      <c r="R335" s="1975"/>
      <c r="S335" s="9"/>
      <c r="W335" s="9"/>
      <c r="X335" s="5283"/>
      <c r="Y335" s="1967"/>
      <c r="Z335" s="1969"/>
      <c r="AA335" s="1970"/>
      <c r="AB335" s="1969"/>
      <c r="AC335" s="1969"/>
      <c r="AD335" s="1969"/>
      <c r="AE335" s="1969"/>
      <c r="AG335" s="5285"/>
      <c r="AH335" s="1946"/>
      <c r="AI335" s="58"/>
      <c r="AJ335" s="1948"/>
      <c r="AK335" s="1948"/>
      <c r="AL335" s="172"/>
      <c r="AM335" s="5294"/>
      <c r="AN335" s="1944"/>
      <c r="AO335" s="1931"/>
      <c r="AP335" s="1931"/>
      <c r="AR335" s="5294">
        <f t="shared" si="65"/>
        <v>29</v>
      </c>
      <c r="AS335" s="1897" t="s">
        <v>4010</v>
      </c>
      <c r="AT335" s="1935" t="s">
        <v>5193</v>
      </c>
      <c r="AU335" s="1936" t="s">
        <v>5194</v>
      </c>
      <c r="AV335" s="1935" t="s">
        <v>5195</v>
      </c>
      <c r="AW335" s="1935" t="s">
        <v>6434</v>
      </c>
      <c r="AX335" s="1935" t="s">
        <v>6435</v>
      </c>
      <c r="AY335" s="1897" t="s">
        <v>4010</v>
      </c>
      <c r="BA335" s="3">
        <v>1</v>
      </c>
    </row>
    <row r="336" spans="2:53" ht="30" customHeight="1">
      <c r="B336" s="1953"/>
      <c r="C336" s="1983"/>
      <c r="D336" s="1931"/>
      <c r="E336" s="1931"/>
      <c r="F336" s="9"/>
      <c r="G336" s="1953"/>
      <c r="H336" s="1904"/>
      <c r="I336" s="1965"/>
      <c r="J336" s="1965"/>
      <c r="L336" s="5294"/>
      <c r="M336" s="172"/>
      <c r="N336" s="1975"/>
      <c r="O336" s="1976"/>
      <c r="P336" s="1975"/>
      <c r="Q336" s="1975"/>
      <c r="R336" s="1975"/>
      <c r="S336" s="9"/>
      <c r="W336" s="9"/>
      <c r="X336" s="5283"/>
      <c r="Y336" s="1967"/>
      <c r="Z336" s="1969"/>
      <c r="AA336" s="1970"/>
      <c r="AB336" s="1969"/>
      <c r="AC336" s="1969"/>
      <c r="AD336" s="1969"/>
      <c r="AE336" s="1969"/>
      <c r="AG336" s="5285"/>
      <c r="AH336" s="1946"/>
      <c r="AI336" s="58"/>
      <c r="AJ336" s="1948"/>
      <c r="AK336" s="1948"/>
      <c r="AL336" s="172"/>
      <c r="AM336" s="5294"/>
      <c r="AN336" s="1944"/>
      <c r="AO336" s="1931"/>
      <c r="AP336" s="1931"/>
      <c r="AR336" s="5294">
        <f t="shared" si="65"/>
        <v>30</v>
      </c>
      <c r="AS336" s="1897" t="s">
        <v>4014</v>
      </c>
      <c r="AT336" s="1931" t="s">
        <v>7494</v>
      </c>
      <c r="AU336" s="1931" t="s">
        <v>7495</v>
      </c>
      <c r="AV336" s="1935" t="s">
        <v>8160</v>
      </c>
      <c r="AW336" s="1935" t="s">
        <v>8161</v>
      </c>
      <c r="AX336" s="1935" t="s">
        <v>8162</v>
      </c>
      <c r="AY336" s="1897" t="s">
        <v>4014</v>
      </c>
      <c r="BA336" s="3">
        <v>1</v>
      </c>
    </row>
    <row r="337" spans="2:53" ht="30" customHeight="1">
      <c r="B337" s="1953"/>
      <c r="C337" s="1983"/>
      <c r="D337" s="1931"/>
      <c r="E337" s="1931"/>
      <c r="F337" s="9"/>
      <c r="G337" s="1953"/>
      <c r="H337" s="1904"/>
      <c r="I337" s="1965"/>
      <c r="J337" s="1965"/>
      <c r="L337" s="5294"/>
      <c r="M337" s="172"/>
      <c r="N337" s="1975"/>
      <c r="O337" s="1976"/>
      <c r="P337" s="1975"/>
      <c r="Q337" s="1975"/>
      <c r="R337" s="1975"/>
      <c r="S337" s="9"/>
      <c r="W337" s="9"/>
      <c r="X337" s="5283"/>
      <c r="Y337" s="1967"/>
      <c r="Z337" s="1969"/>
      <c r="AA337" s="1970"/>
      <c r="AB337" s="1969"/>
      <c r="AC337" s="1969"/>
      <c r="AD337" s="1969"/>
      <c r="AE337" s="1969"/>
      <c r="AG337" s="5285"/>
      <c r="AH337" s="1946"/>
      <c r="AI337" s="58"/>
      <c r="AJ337" s="1948"/>
      <c r="AK337" s="1948"/>
      <c r="AL337" s="172"/>
      <c r="AM337" s="5294"/>
      <c r="AN337" s="1944"/>
      <c r="AO337" s="1931"/>
      <c r="AP337" s="1931"/>
      <c r="AR337" s="5294">
        <f t="shared" si="65"/>
        <v>31</v>
      </c>
      <c r="AS337" s="1897" t="s">
        <v>4018</v>
      </c>
      <c r="AT337" s="1935" t="s">
        <v>5196</v>
      </c>
      <c r="AU337" s="1936" t="s">
        <v>5197</v>
      </c>
      <c r="AV337" s="1935" t="s">
        <v>5198</v>
      </c>
      <c r="AW337" s="1935" t="s">
        <v>6436</v>
      </c>
      <c r="AX337" s="1935" t="s">
        <v>6437</v>
      </c>
      <c r="AY337" s="1897" t="s">
        <v>4018</v>
      </c>
      <c r="BA337" s="3">
        <v>1</v>
      </c>
    </row>
    <row r="338" spans="2:53" ht="30" customHeight="1">
      <c r="B338" s="1953"/>
      <c r="C338" s="1983"/>
      <c r="D338" s="1931"/>
      <c r="E338" s="1931"/>
      <c r="F338" s="9"/>
      <c r="G338" s="1953"/>
      <c r="H338" s="1904"/>
      <c r="I338" s="1965"/>
      <c r="J338" s="1965"/>
      <c r="L338" s="5294"/>
      <c r="M338" s="172"/>
      <c r="N338" s="1975"/>
      <c r="O338" s="1976"/>
      <c r="P338" s="1975"/>
      <c r="Q338" s="1975"/>
      <c r="R338" s="1975"/>
      <c r="S338" s="9"/>
      <c r="W338" s="9"/>
      <c r="X338" s="5283"/>
      <c r="Y338" s="1967"/>
      <c r="Z338" s="1969"/>
      <c r="AA338" s="1970"/>
      <c r="AB338" s="1969"/>
      <c r="AC338" s="1969"/>
      <c r="AD338" s="1969"/>
      <c r="AE338" s="1969"/>
      <c r="AG338" s="5285"/>
      <c r="AH338" s="1946"/>
      <c r="AI338" s="58"/>
      <c r="AJ338" s="1948"/>
      <c r="AK338" s="1948"/>
      <c r="AL338" s="172"/>
      <c r="AM338" s="5294"/>
      <c r="AN338" s="1944"/>
      <c r="AO338" s="1931"/>
      <c r="AP338" s="1931"/>
      <c r="AR338" s="5294">
        <f t="shared" si="65"/>
        <v>32</v>
      </c>
      <c r="AS338" s="1897" t="s">
        <v>4024</v>
      </c>
      <c r="AT338" s="1935" t="s">
        <v>5199</v>
      </c>
      <c r="AU338" s="1936" t="s">
        <v>5200</v>
      </c>
      <c r="AV338" s="1935" t="s">
        <v>4706</v>
      </c>
      <c r="AW338" s="1935" t="s">
        <v>6166</v>
      </c>
      <c r="AX338" s="1935" t="s">
        <v>6167</v>
      </c>
      <c r="AY338" s="1897" t="s">
        <v>4024</v>
      </c>
      <c r="BA338" s="3">
        <v>1</v>
      </c>
    </row>
    <row r="339" spans="2:53" ht="30" customHeight="1">
      <c r="B339" s="1953"/>
      <c r="C339" s="1983"/>
      <c r="D339" s="1931"/>
      <c r="E339" s="1931"/>
      <c r="F339" s="9"/>
      <c r="G339" s="1953"/>
      <c r="H339" s="1904"/>
      <c r="I339" s="1965"/>
      <c r="J339" s="1965"/>
      <c r="L339" s="5294"/>
      <c r="M339" s="172"/>
      <c r="N339" s="1975"/>
      <c r="O339" s="1976"/>
      <c r="P339" s="1975"/>
      <c r="Q339" s="1975"/>
      <c r="R339" s="1975"/>
      <c r="S339" s="9"/>
      <c r="W339" s="9"/>
      <c r="X339" s="5283"/>
      <c r="Y339" s="1967"/>
      <c r="Z339" s="1969"/>
      <c r="AA339" s="1970"/>
      <c r="AB339" s="1969"/>
      <c r="AC339" s="1969"/>
      <c r="AD339" s="1969"/>
      <c r="AE339" s="1969"/>
      <c r="AG339" s="5285"/>
      <c r="AH339" s="1946"/>
      <c r="AI339" s="58"/>
      <c r="AJ339" s="1948"/>
      <c r="AK339" s="1948"/>
      <c r="AL339" s="172"/>
      <c r="AM339" s="5294"/>
      <c r="AN339" s="1944"/>
      <c r="AO339" s="1931"/>
      <c r="AP339" s="1931"/>
      <c r="AR339" s="5294">
        <f t="shared" si="65"/>
        <v>33</v>
      </c>
      <c r="AS339" s="1897" t="s">
        <v>4027</v>
      </c>
      <c r="AT339" s="1935" t="s">
        <v>5201</v>
      </c>
      <c r="AU339" s="1936" t="s">
        <v>5202</v>
      </c>
      <c r="AV339" s="1935" t="s">
        <v>5203</v>
      </c>
      <c r="AW339" s="1935" t="s">
        <v>6438</v>
      </c>
      <c r="AX339" s="1935" t="s">
        <v>6439</v>
      </c>
      <c r="AY339" s="1897" t="s">
        <v>4027</v>
      </c>
      <c r="BA339" s="3">
        <v>1</v>
      </c>
    </row>
    <row r="340" spans="2:53" ht="30" customHeight="1">
      <c r="B340" s="1953"/>
      <c r="C340" s="1983"/>
      <c r="D340" s="1931"/>
      <c r="E340" s="1931"/>
      <c r="F340" s="9"/>
      <c r="G340" s="1953"/>
      <c r="H340" s="1904"/>
      <c r="I340" s="1965"/>
      <c r="J340" s="1965"/>
      <c r="L340" s="5294"/>
      <c r="M340" s="172"/>
      <c r="N340" s="1975"/>
      <c r="O340" s="1976"/>
      <c r="P340" s="1975"/>
      <c r="Q340" s="1975"/>
      <c r="R340" s="1975"/>
      <c r="S340" s="9"/>
      <c r="W340" s="9"/>
      <c r="X340" s="5283"/>
      <c r="Y340" s="1967"/>
      <c r="Z340" s="1969"/>
      <c r="AA340" s="1970"/>
      <c r="AB340" s="1969"/>
      <c r="AC340" s="1969"/>
      <c r="AD340" s="1969"/>
      <c r="AE340" s="1969"/>
      <c r="AG340" s="5285"/>
      <c r="AH340" s="1946"/>
      <c r="AI340" s="58"/>
      <c r="AJ340" s="1948"/>
      <c r="AK340" s="1948"/>
      <c r="AL340" s="172"/>
      <c r="AM340" s="5294"/>
      <c r="AN340" s="1944"/>
      <c r="AO340" s="1931"/>
      <c r="AP340" s="1931"/>
      <c r="AR340" s="5294">
        <f t="shared" si="65"/>
        <v>34</v>
      </c>
      <c r="AS340" s="1897" t="s">
        <v>4032</v>
      </c>
      <c r="AT340" s="1935" t="s">
        <v>5204</v>
      </c>
      <c r="AU340" s="1936" t="s">
        <v>5205</v>
      </c>
      <c r="AV340" s="1935" t="s">
        <v>5206</v>
      </c>
      <c r="AW340" s="1935" t="s">
        <v>6440</v>
      </c>
      <c r="AX340" s="1937" t="s">
        <v>6441</v>
      </c>
      <c r="AY340" s="1897" t="s">
        <v>4032</v>
      </c>
      <c r="BA340" s="3">
        <v>1</v>
      </c>
    </row>
    <row r="341" spans="2:53" ht="30" customHeight="1">
      <c r="B341" s="1953"/>
      <c r="C341" s="1983"/>
      <c r="D341" s="1931"/>
      <c r="E341" s="1931"/>
      <c r="F341" s="9"/>
      <c r="G341" s="1953"/>
      <c r="H341" s="1904"/>
      <c r="I341" s="1965"/>
      <c r="J341" s="1965"/>
      <c r="L341" s="5294"/>
      <c r="M341" s="172"/>
      <c r="N341" s="1975"/>
      <c r="O341" s="1976"/>
      <c r="P341" s="1975"/>
      <c r="Q341" s="1975"/>
      <c r="R341" s="1975"/>
      <c r="S341" s="9"/>
      <c r="W341" s="9"/>
      <c r="X341" s="5283"/>
      <c r="Y341" s="1967"/>
      <c r="Z341" s="1969"/>
      <c r="AA341" s="1970"/>
      <c r="AB341" s="1969"/>
      <c r="AC341" s="1969"/>
      <c r="AD341" s="1969"/>
      <c r="AE341" s="1969"/>
      <c r="AG341" s="5285"/>
      <c r="AH341" s="1946"/>
      <c r="AI341" s="58"/>
      <c r="AJ341" s="1948"/>
      <c r="AK341" s="1948"/>
      <c r="AL341" s="172"/>
      <c r="AM341" s="5294"/>
      <c r="AN341" s="1944"/>
      <c r="AO341" s="1931"/>
      <c r="AP341" s="1931"/>
      <c r="AR341" s="5294">
        <f t="shared" si="65"/>
        <v>35</v>
      </c>
      <c r="AS341" s="1897" t="s">
        <v>4037</v>
      </c>
      <c r="AT341" s="1935" t="s">
        <v>5207</v>
      </c>
      <c r="AU341" s="1936" t="s">
        <v>5208</v>
      </c>
      <c r="AV341" s="1935" t="s">
        <v>5209</v>
      </c>
      <c r="AW341" s="1935" t="s">
        <v>6442</v>
      </c>
      <c r="AX341" s="1935" t="s">
        <v>6443</v>
      </c>
      <c r="AY341" s="1897" t="s">
        <v>4037</v>
      </c>
      <c r="BA341" s="3">
        <v>1</v>
      </c>
    </row>
    <row r="342" spans="2:53" ht="30" customHeight="1">
      <c r="B342" s="1953"/>
      <c r="C342" s="1983"/>
      <c r="D342" s="1931"/>
      <c r="E342" s="1931"/>
      <c r="F342" s="9"/>
      <c r="G342" s="1953"/>
      <c r="H342" s="1904"/>
      <c r="I342" s="1965"/>
      <c r="J342" s="1965"/>
      <c r="L342" s="5294"/>
      <c r="M342" s="172"/>
      <c r="N342" s="1975"/>
      <c r="O342" s="1976"/>
      <c r="P342" s="1975"/>
      <c r="Q342" s="1975"/>
      <c r="R342" s="1975"/>
      <c r="S342" s="9"/>
      <c r="W342" s="9"/>
      <c r="X342" s="5283"/>
      <c r="Y342" s="1967"/>
      <c r="Z342" s="1969"/>
      <c r="AA342" s="1970"/>
      <c r="AB342" s="1969"/>
      <c r="AC342" s="1969"/>
      <c r="AD342" s="1969"/>
      <c r="AE342" s="1969"/>
      <c r="AG342" s="5285"/>
      <c r="AH342" s="1946"/>
      <c r="AI342" s="58"/>
      <c r="AJ342" s="1948"/>
      <c r="AK342" s="1948"/>
      <c r="AL342" s="172"/>
      <c r="AM342" s="5294"/>
      <c r="AN342" s="1944"/>
      <c r="AO342" s="1931"/>
      <c r="AP342" s="1931"/>
      <c r="AR342" s="5294">
        <f t="shared" si="65"/>
        <v>36</v>
      </c>
      <c r="AS342" s="1897" t="s">
        <v>4043</v>
      </c>
      <c r="AT342" s="1935" t="s">
        <v>5210</v>
      </c>
      <c r="AU342" s="1936" t="s">
        <v>5211</v>
      </c>
      <c r="AV342" s="1935" t="s">
        <v>5212</v>
      </c>
      <c r="AW342" s="1935" t="s">
        <v>6444</v>
      </c>
      <c r="AX342" s="1935" t="s">
        <v>6445</v>
      </c>
      <c r="AY342" s="1897" t="s">
        <v>4043</v>
      </c>
      <c r="BA342" s="3">
        <v>1</v>
      </c>
    </row>
    <row r="343" spans="2:53" ht="30" customHeight="1">
      <c r="B343" s="1953"/>
      <c r="C343" s="1983"/>
      <c r="D343" s="1931"/>
      <c r="E343" s="1931"/>
      <c r="F343" s="9"/>
      <c r="G343" s="1953"/>
      <c r="H343" s="1904"/>
      <c r="I343" s="1965"/>
      <c r="J343" s="1965"/>
      <c r="L343" s="5294"/>
      <c r="M343" s="172"/>
      <c r="N343" s="1975"/>
      <c r="O343" s="1976"/>
      <c r="P343" s="1975"/>
      <c r="Q343" s="1975"/>
      <c r="R343" s="1975"/>
      <c r="S343" s="9"/>
      <c r="W343" s="9"/>
      <c r="X343" s="5283"/>
      <c r="Y343" s="1967"/>
      <c r="Z343" s="1969"/>
      <c r="AA343" s="1970"/>
      <c r="AB343" s="1969"/>
      <c r="AC343" s="1969"/>
      <c r="AD343" s="1969"/>
      <c r="AE343" s="1969"/>
      <c r="AG343" s="5285"/>
      <c r="AH343" s="1946"/>
      <c r="AI343" s="58"/>
      <c r="AJ343" s="1948"/>
      <c r="AK343" s="1948"/>
      <c r="AL343" s="172"/>
      <c r="AM343" s="5294"/>
      <c r="AN343" s="1944"/>
      <c r="AO343" s="1931"/>
      <c r="AP343" s="1931"/>
      <c r="AS343" s="1940" t="s">
        <v>3564</v>
      </c>
      <c r="AT343" s="1941"/>
      <c r="AU343" s="1941"/>
      <c r="AV343" s="1941"/>
      <c r="AW343" s="1932"/>
      <c r="AX343" s="1932"/>
      <c r="AY343" s="1940" t="s">
        <v>3564</v>
      </c>
      <c r="BA343" s="3">
        <v>1</v>
      </c>
    </row>
    <row r="344" spans="2:53" ht="30" customHeight="1">
      <c r="B344" s="1953"/>
      <c r="C344" s="1983"/>
      <c r="D344" s="1931"/>
      <c r="E344" s="1931"/>
      <c r="F344" s="9"/>
      <c r="G344" s="1953"/>
      <c r="H344" s="1904"/>
      <c r="I344" s="1965"/>
      <c r="J344" s="1965"/>
      <c r="L344" s="5294"/>
      <c r="M344" s="172"/>
      <c r="N344" s="1975"/>
      <c r="O344" s="1976"/>
      <c r="P344" s="1975"/>
      <c r="Q344" s="1975"/>
      <c r="R344" s="1975"/>
      <c r="S344" s="9"/>
      <c r="W344" s="9"/>
      <c r="X344" s="5283"/>
      <c r="Y344" s="1967"/>
      <c r="Z344" s="1969"/>
      <c r="AA344" s="1970"/>
      <c r="AB344" s="1969"/>
      <c r="AC344" s="1969"/>
      <c r="AD344" s="1969"/>
      <c r="AE344" s="1969"/>
      <c r="AG344" s="5285"/>
      <c r="AH344" s="1946"/>
      <c r="AI344" s="58"/>
      <c r="AJ344" s="1948"/>
      <c r="AK344" s="1948"/>
      <c r="AL344" s="172"/>
      <c r="AM344" s="5294"/>
      <c r="AN344" s="1944"/>
      <c r="AO344" s="1931"/>
      <c r="AP344" s="1931"/>
      <c r="AR344" s="5294">
        <v>1</v>
      </c>
      <c r="AS344" s="1896" t="s">
        <v>3571</v>
      </c>
      <c r="AT344" s="1935" t="s">
        <v>5213</v>
      </c>
      <c r="AU344" s="1935" t="s">
        <v>5214</v>
      </c>
      <c r="AV344" s="1935" t="s">
        <v>6446</v>
      </c>
      <c r="AW344" s="1935" t="s">
        <v>6447</v>
      </c>
      <c r="AX344" s="1935" t="s">
        <v>6448</v>
      </c>
      <c r="AY344" s="1896" t="s">
        <v>3571</v>
      </c>
      <c r="BA344" s="3">
        <v>1</v>
      </c>
    </row>
    <row r="345" spans="2:53" ht="30" customHeight="1">
      <c r="B345" s="1953"/>
      <c r="C345" s="1983"/>
      <c r="D345" s="1931"/>
      <c r="E345" s="1931"/>
      <c r="F345" s="9"/>
      <c r="G345" s="1953"/>
      <c r="H345" s="1904"/>
      <c r="I345" s="1965"/>
      <c r="J345" s="1965"/>
      <c r="L345" s="5294"/>
      <c r="M345" s="172"/>
      <c r="N345" s="1975"/>
      <c r="O345" s="1976"/>
      <c r="P345" s="1975"/>
      <c r="Q345" s="1975"/>
      <c r="R345" s="1975"/>
      <c r="S345" s="9"/>
      <c r="W345" s="9"/>
      <c r="X345" s="5283"/>
      <c r="Y345" s="1967"/>
      <c r="Z345" s="1969"/>
      <c r="AA345" s="1970"/>
      <c r="AB345" s="1969"/>
      <c r="AC345" s="1969"/>
      <c r="AD345" s="1969"/>
      <c r="AE345" s="1969"/>
      <c r="AG345" s="5285"/>
      <c r="AH345" s="1946"/>
      <c r="AI345" s="58"/>
      <c r="AJ345" s="1948"/>
      <c r="AK345" s="1948"/>
      <c r="AL345" s="172"/>
      <c r="AM345" s="5294"/>
      <c r="AN345" s="1944"/>
      <c r="AO345" s="1931"/>
      <c r="AP345" s="1931"/>
      <c r="AR345" s="5294"/>
      <c r="AS345" s="1950"/>
      <c r="AV345" s="1935" t="s">
        <v>6449</v>
      </c>
      <c r="AW345" s="1935" t="s">
        <v>6450</v>
      </c>
      <c r="AX345" s="1935" t="s">
        <v>6451</v>
      </c>
      <c r="AY345" s="1950"/>
      <c r="BA345" s="3">
        <v>1</v>
      </c>
    </row>
    <row r="346" spans="2:53" ht="30" customHeight="1">
      <c r="B346" s="1953"/>
      <c r="C346" s="1983"/>
      <c r="D346" s="1931"/>
      <c r="E346" s="1931"/>
      <c r="F346" s="9"/>
      <c r="G346" s="1953"/>
      <c r="H346" s="1904"/>
      <c r="I346" s="1965"/>
      <c r="J346" s="1965"/>
      <c r="L346" s="5294"/>
      <c r="M346" s="172"/>
      <c r="N346" s="1975"/>
      <c r="O346" s="1976"/>
      <c r="P346" s="1975"/>
      <c r="Q346" s="1975"/>
      <c r="R346" s="1975"/>
      <c r="S346" s="9"/>
      <c r="W346" s="9"/>
      <c r="X346" s="5283"/>
      <c r="Y346" s="1967"/>
      <c r="Z346" s="1969"/>
      <c r="AA346" s="1970"/>
      <c r="AB346" s="1969"/>
      <c r="AC346" s="1969"/>
      <c r="AD346" s="1969"/>
      <c r="AE346" s="1969"/>
      <c r="AG346" s="5285"/>
      <c r="AH346" s="1946"/>
      <c r="AI346" s="58"/>
      <c r="AJ346" s="1948"/>
      <c r="AK346" s="1948"/>
      <c r="AL346" s="172"/>
      <c r="AM346" s="5294"/>
      <c r="AN346" s="1944"/>
      <c r="AO346" s="1931"/>
      <c r="AP346" s="1931"/>
      <c r="AR346" s="5294"/>
      <c r="AS346" s="1950"/>
      <c r="AV346" s="1935" t="s">
        <v>6452</v>
      </c>
      <c r="AW346" s="1935" t="s">
        <v>6453</v>
      </c>
      <c r="AX346" s="1935" t="s">
        <v>6454</v>
      </c>
      <c r="AY346" s="1950"/>
      <c r="BA346" s="3">
        <v>1</v>
      </c>
    </row>
    <row r="347" spans="2:53" ht="30" customHeight="1">
      <c r="B347" s="1953"/>
      <c r="C347" s="1983"/>
      <c r="D347" s="1931"/>
      <c r="E347" s="1931"/>
      <c r="F347" s="9"/>
      <c r="G347" s="1953"/>
      <c r="H347" s="1904"/>
      <c r="I347" s="1965"/>
      <c r="J347" s="1965"/>
      <c r="L347" s="5294"/>
      <c r="M347" s="172"/>
      <c r="N347" s="1975"/>
      <c r="O347" s="1976"/>
      <c r="P347" s="1975"/>
      <c r="Q347" s="1975"/>
      <c r="R347" s="1975"/>
      <c r="S347" s="9"/>
      <c r="W347" s="9"/>
      <c r="X347" s="5283"/>
      <c r="Y347" s="1967"/>
      <c r="Z347" s="1969"/>
      <c r="AA347" s="1970"/>
      <c r="AB347" s="1969"/>
      <c r="AC347" s="1969"/>
      <c r="AD347" s="1969"/>
      <c r="AE347" s="1969"/>
      <c r="AG347" s="5285"/>
      <c r="AH347" s="1946"/>
      <c r="AI347" s="58"/>
      <c r="AJ347" s="1948"/>
      <c r="AK347" s="1948"/>
      <c r="AL347" s="172"/>
      <c r="AM347" s="5294"/>
      <c r="AN347" s="1944"/>
      <c r="AO347" s="1931"/>
      <c r="AP347" s="1931"/>
      <c r="AR347" s="5294"/>
      <c r="AS347" s="1895" t="s">
        <v>3591</v>
      </c>
      <c r="AT347" s="1932"/>
      <c r="AU347" s="1932"/>
      <c r="AV347" s="1932"/>
      <c r="AW347" s="1932"/>
      <c r="AX347" s="1932"/>
      <c r="AY347" s="1895" t="s">
        <v>3591</v>
      </c>
      <c r="BA347" s="3">
        <v>1</v>
      </c>
    </row>
    <row r="348" spans="2:53" ht="30" customHeight="1">
      <c r="B348" s="1953"/>
      <c r="C348" s="1983"/>
      <c r="D348" s="1931"/>
      <c r="E348" s="1931"/>
      <c r="F348" s="9"/>
      <c r="G348" s="1953"/>
      <c r="H348" s="1904"/>
      <c r="I348" s="1965"/>
      <c r="J348" s="1965"/>
      <c r="L348" s="5294"/>
      <c r="M348" s="172"/>
      <c r="N348" s="1975"/>
      <c r="O348" s="1976"/>
      <c r="P348" s="1975"/>
      <c r="Q348" s="1975"/>
      <c r="R348" s="1975"/>
      <c r="S348" s="9"/>
      <c r="W348" s="9"/>
      <c r="X348" s="5283"/>
      <c r="Y348" s="1967"/>
      <c r="Z348" s="1969"/>
      <c r="AA348" s="1970"/>
      <c r="AB348" s="1969"/>
      <c r="AC348" s="1969"/>
      <c r="AD348" s="1969"/>
      <c r="AE348" s="1969"/>
      <c r="AG348" s="5285"/>
      <c r="AH348" s="1946"/>
      <c r="AI348" s="58"/>
      <c r="AJ348" s="1948"/>
      <c r="AK348" s="1948"/>
      <c r="AL348" s="172"/>
      <c r="AM348" s="5294"/>
      <c r="AN348" s="1944"/>
      <c r="AO348" s="1931"/>
      <c r="AP348" s="1931"/>
      <c r="AR348" s="5294">
        <v>1</v>
      </c>
      <c r="AS348" s="1949" t="s">
        <v>3599</v>
      </c>
      <c r="AT348" s="1935" t="s">
        <v>5215</v>
      </c>
      <c r="AU348" s="1936" t="s">
        <v>5216</v>
      </c>
      <c r="AV348" s="1935" t="s">
        <v>5217</v>
      </c>
      <c r="AW348" s="1935" t="s">
        <v>6455</v>
      </c>
      <c r="AX348" s="1935" t="s">
        <v>6456</v>
      </c>
      <c r="AY348" s="1949" t="s">
        <v>3599</v>
      </c>
      <c r="BA348" s="3">
        <v>1</v>
      </c>
    </row>
    <row r="349" spans="2:53" ht="30" customHeight="1">
      <c r="B349" s="1953"/>
      <c r="C349" s="1983"/>
      <c r="D349" s="1931"/>
      <c r="E349" s="1931"/>
      <c r="F349" s="9"/>
      <c r="G349" s="1953"/>
      <c r="H349" s="1904"/>
      <c r="I349" s="1965"/>
      <c r="J349" s="1965"/>
      <c r="L349" s="5294"/>
      <c r="M349" s="172"/>
      <c r="N349" s="1975"/>
      <c r="O349" s="1976"/>
      <c r="P349" s="1975"/>
      <c r="Q349" s="1975"/>
      <c r="R349" s="1975"/>
      <c r="S349" s="9"/>
      <c r="W349" s="9"/>
      <c r="X349" s="5283"/>
      <c r="Y349" s="1967"/>
      <c r="Z349" s="1969"/>
      <c r="AA349" s="1970"/>
      <c r="AB349" s="1969"/>
      <c r="AC349" s="1969"/>
      <c r="AD349" s="1969"/>
      <c r="AE349" s="1969"/>
      <c r="AG349" s="5285"/>
      <c r="AH349" s="1946"/>
      <c r="AI349" s="58"/>
      <c r="AJ349" s="1948"/>
      <c r="AK349" s="1948"/>
      <c r="AL349" s="172"/>
      <c r="AM349" s="5294"/>
      <c r="AN349" s="1944"/>
      <c r="AO349" s="1931"/>
      <c r="AP349" s="1931"/>
      <c r="AR349" s="5294">
        <f>AR348+1</f>
        <v>2</v>
      </c>
      <c r="AS349" s="1949" t="s">
        <v>3607</v>
      </c>
      <c r="AT349" s="1935" t="s">
        <v>5218</v>
      </c>
      <c r="AU349" s="1936" t="s">
        <v>5219</v>
      </c>
      <c r="AV349" s="1935" t="s">
        <v>5220</v>
      </c>
      <c r="AW349" s="1936" t="s">
        <v>6457</v>
      </c>
      <c r="AX349" s="1936" t="s">
        <v>6458</v>
      </c>
      <c r="AY349" s="1949" t="s">
        <v>3607</v>
      </c>
      <c r="BA349" s="3">
        <v>1</v>
      </c>
    </row>
    <row r="350" spans="2:53" ht="30" customHeight="1">
      <c r="B350" s="1953"/>
      <c r="C350" s="1983"/>
      <c r="D350" s="1931"/>
      <c r="E350" s="1931"/>
      <c r="F350" s="9"/>
      <c r="G350" s="1953"/>
      <c r="H350" s="1904"/>
      <c r="I350" s="1965"/>
      <c r="J350" s="1965"/>
      <c r="L350" s="5294"/>
      <c r="M350" s="172"/>
      <c r="N350" s="1975"/>
      <c r="O350" s="1976"/>
      <c r="P350" s="1975"/>
      <c r="Q350" s="1975"/>
      <c r="R350" s="1975"/>
      <c r="S350" s="9"/>
      <c r="W350" s="9"/>
      <c r="X350" s="5283"/>
      <c r="Y350" s="1967"/>
      <c r="Z350" s="1969"/>
      <c r="AA350" s="1970"/>
      <c r="AB350" s="1969"/>
      <c r="AC350" s="1969"/>
      <c r="AD350" s="1969"/>
      <c r="AE350" s="1969"/>
      <c r="AG350" s="5285"/>
      <c r="AH350" s="1946"/>
      <c r="AI350" s="58"/>
      <c r="AJ350" s="1948"/>
      <c r="AK350" s="1948"/>
      <c r="AL350" s="172"/>
      <c r="AM350" s="5294"/>
      <c r="AN350" s="1944"/>
      <c r="AO350" s="1931"/>
      <c r="AP350" s="1931"/>
      <c r="AR350" s="5294">
        <v>2</v>
      </c>
      <c r="AS350" s="1949" t="s">
        <v>3616</v>
      </c>
      <c r="AT350" s="1935" t="s">
        <v>5221</v>
      </c>
      <c r="AU350" s="1936" t="s">
        <v>5222</v>
      </c>
      <c r="AV350" s="1935" t="s">
        <v>5572</v>
      </c>
      <c r="AW350" s="1936" t="s">
        <v>6459</v>
      </c>
      <c r="AX350" s="1936" t="s">
        <v>6460</v>
      </c>
      <c r="AY350" s="1949" t="s">
        <v>3616</v>
      </c>
      <c r="BA350" s="3">
        <v>1</v>
      </c>
    </row>
    <row r="351" spans="2:53" ht="30" customHeight="1">
      <c r="B351" s="1953"/>
      <c r="C351" s="1983"/>
      <c r="D351" s="1931"/>
      <c r="E351" s="1931"/>
      <c r="F351" s="9"/>
      <c r="G351" s="1953"/>
      <c r="H351" s="1904"/>
      <c r="I351" s="1965"/>
      <c r="J351" s="1965"/>
      <c r="L351" s="5294"/>
      <c r="M351" s="172"/>
      <c r="N351" s="1975"/>
      <c r="O351" s="1976"/>
      <c r="P351" s="1975"/>
      <c r="Q351" s="1975"/>
      <c r="R351" s="1975"/>
      <c r="S351" s="9"/>
      <c r="W351" s="9"/>
      <c r="X351" s="5283"/>
      <c r="Y351" s="1967"/>
      <c r="Z351" s="1969"/>
      <c r="AA351" s="1970"/>
      <c r="AB351" s="1969"/>
      <c r="AC351" s="1969"/>
      <c r="AD351" s="1969"/>
      <c r="AE351" s="1969"/>
      <c r="AG351" s="5285"/>
      <c r="AH351" s="1946"/>
      <c r="AI351" s="58"/>
      <c r="AJ351" s="1948"/>
      <c r="AK351" s="1948"/>
      <c r="AL351" s="172"/>
      <c r="AM351" s="5294"/>
      <c r="AN351" s="1944"/>
      <c r="AO351" s="1931"/>
      <c r="AP351" s="1931"/>
      <c r="AR351" s="5294">
        <f t="shared" ref="AR351" si="66">AR350+1</f>
        <v>3</v>
      </c>
      <c r="AS351" s="1949" t="s">
        <v>3625</v>
      </c>
      <c r="AT351" s="1935" t="s">
        <v>5223</v>
      </c>
      <c r="AU351" s="1936" t="s">
        <v>5224</v>
      </c>
      <c r="AV351" s="1935" t="s">
        <v>5225</v>
      </c>
      <c r="AW351" s="1936" t="s">
        <v>6461</v>
      </c>
      <c r="AX351" s="1936" t="s">
        <v>6462</v>
      </c>
      <c r="AY351" s="1949" t="s">
        <v>3625</v>
      </c>
      <c r="BA351" s="3">
        <v>1</v>
      </c>
    </row>
    <row r="352" spans="2:53" ht="30" customHeight="1">
      <c r="B352" s="1953"/>
      <c r="C352" s="1983"/>
      <c r="D352" s="1931"/>
      <c r="E352" s="1931"/>
      <c r="F352" s="9"/>
      <c r="G352" s="1953"/>
      <c r="H352" s="1904"/>
      <c r="I352" s="1965"/>
      <c r="J352" s="1965"/>
      <c r="L352" s="5294"/>
      <c r="M352" s="172"/>
      <c r="N352" s="1975"/>
      <c r="O352" s="1976"/>
      <c r="P352" s="1975"/>
      <c r="Q352" s="1975"/>
      <c r="R352" s="1975"/>
      <c r="S352" s="9"/>
      <c r="W352" s="9"/>
      <c r="X352" s="5283"/>
      <c r="Y352" s="1967"/>
      <c r="Z352" s="1969"/>
      <c r="AA352" s="1970"/>
      <c r="AB352" s="1969"/>
      <c r="AC352" s="1969"/>
      <c r="AD352" s="1969"/>
      <c r="AE352" s="1969"/>
      <c r="AG352" s="5285"/>
      <c r="AH352" s="1946"/>
      <c r="AI352" s="58"/>
      <c r="AJ352" s="1948"/>
      <c r="AK352" s="1948"/>
      <c r="AL352" s="172"/>
      <c r="AM352" s="5294"/>
      <c r="AN352" s="1944"/>
      <c r="AO352" s="1931"/>
      <c r="AP352" s="1931"/>
      <c r="AR352" s="5294">
        <v>3</v>
      </c>
      <c r="AS352" s="1949" t="s">
        <v>3634</v>
      </c>
      <c r="AT352" s="1935" t="s">
        <v>5226</v>
      </c>
      <c r="AU352" s="1936" t="s">
        <v>5227</v>
      </c>
      <c r="AV352" s="1935" t="s">
        <v>5228</v>
      </c>
      <c r="AW352" s="1936" t="s">
        <v>6463</v>
      </c>
      <c r="AX352" s="1936" t="s">
        <v>6464</v>
      </c>
      <c r="AY352" s="1949" t="s">
        <v>3634</v>
      </c>
      <c r="BA352" s="3">
        <v>1</v>
      </c>
    </row>
    <row r="353" spans="2:53" ht="30" customHeight="1">
      <c r="B353" s="1953"/>
      <c r="C353" s="1983"/>
      <c r="D353" s="1931"/>
      <c r="E353" s="1931"/>
      <c r="F353" s="9"/>
      <c r="G353" s="1953"/>
      <c r="H353" s="1904"/>
      <c r="I353" s="1965"/>
      <c r="J353" s="1965"/>
      <c r="L353" s="5294"/>
      <c r="M353" s="172"/>
      <c r="N353" s="1975"/>
      <c r="O353" s="1976"/>
      <c r="P353" s="1975"/>
      <c r="Q353" s="1975"/>
      <c r="R353" s="1975"/>
      <c r="S353" s="9"/>
      <c r="W353" s="9"/>
      <c r="X353" s="5283"/>
      <c r="Y353" s="1967"/>
      <c r="Z353" s="1969"/>
      <c r="AA353" s="1970"/>
      <c r="AB353" s="1969"/>
      <c r="AC353" s="1969"/>
      <c r="AD353" s="1969"/>
      <c r="AE353" s="1969"/>
      <c r="AG353" s="5285"/>
      <c r="AH353" s="1946"/>
      <c r="AI353" s="58"/>
      <c r="AJ353" s="1948"/>
      <c r="AK353" s="1948"/>
      <c r="AL353" s="172"/>
      <c r="AM353" s="5294"/>
      <c r="AN353" s="1944"/>
      <c r="AO353" s="1931"/>
      <c r="AP353" s="1931"/>
      <c r="AR353" s="5294">
        <f t="shared" ref="AR353" si="67">AR352+1</f>
        <v>4</v>
      </c>
      <c r="AS353" s="1949" t="s">
        <v>3644</v>
      </c>
      <c r="AT353" s="1935" t="s">
        <v>5229</v>
      </c>
      <c r="AU353" s="1936" t="s">
        <v>5230</v>
      </c>
      <c r="AV353" s="1935" t="s">
        <v>5231</v>
      </c>
      <c r="AW353" s="1935" t="s">
        <v>6465</v>
      </c>
      <c r="AX353" s="1936" t="s">
        <v>6466</v>
      </c>
      <c r="AY353" s="1949" t="s">
        <v>3644</v>
      </c>
      <c r="BA353" s="3">
        <v>1</v>
      </c>
    </row>
    <row r="354" spans="2:53" ht="30" customHeight="1">
      <c r="B354" s="1953"/>
      <c r="C354" s="1983"/>
      <c r="D354" s="1931"/>
      <c r="E354" s="1931"/>
      <c r="F354" s="9"/>
      <c r="G354" s="1953"/>
      <c r="H354" s="1904"/>
      <c r="I354" s="1965"/>
      <c r="J354" s="1965"/>
      <c r="L354" s="5294"/>
      <c r="M354" s="172"/>
      <c r="N354" s="1975"/>
      <c r="O354" s="1976"/>
      <c r="P354" s="1975"/>
      <c r="Q354" s="1975"/>
      <c r="R354" s="1975"/>
      <c r="S354" s="9"/>
      <c r="W354" s="9"/>
      <c r="X354" s="5283"/>
      <c r="Y354" s="1967"/>
      <c r="Z354" s="1969"/>
      <c r="AA354" s="1970"/>
      <c r="AB354" s="1969"/>
      <c r="AC354" s="1969"/>
      <c r="AD354" s="1969"/>
      <c r="AE354" s="1969"/>
      <c r="AG354" s="5285"/>
      <c r="AH354" s="1946"/>
      <c r="AI354" s="58"/>
      <c r="AJ354" s="1948"/>
      <c r="AK354" s="1948"/>
      <c r="AL354" s="172"/>
      <c r="AM354" s="5294"/>
      <c r="AN354" s="1944"/>
      <c r="AO354" s="1931"/>
      <c r="AP354" s="1931"/>
      <c r="AR354" s="5294">
        <v>4</v>
      </c>
      <c r="AS354" s="1949" t="s">
        <v>3650</v>
      </c>
      <c r="AT354" s="1935" t="s">
        <v>5232</v>
      </c>
      <c r="AU354" s="1936" t="s">
        <v>5233</v>
      </c>
      <c r="AV354" s="1935" t="s">
        <v>5234</v>
      </c>
      <c r="AW354" s="1935" t="s">
        <v>6467</v>
      </c>
      <c r="AX354" s="1935" t="s">
        <v>6468</v>
      </c>
      <c r="AY354" s="1949" t="s">
        <v>3650</v>
      </c>
      <c r="BA354" s="3">
        <v>1</v>
      </c>
    </row>
    <row r="355" spans="2:53" ht="30" customHeight="1">
      <c r="B355" s="1953"/>
      <c r="C355" s="1983"/>
      <c r="D355" s="1931"/>
      <c r="E355" s="1931"/>
      <c r="F355" s="9"/>
      <c r="G355" s="1953"/>
      <c r="H355" s="1904"/>
      <c r="I355" s="1965"/>
      <c r="J355" s="1965"/>
      <c r="L355" s="5294"/>
      <c r="M355" s="172"/>
      <c r="N355" s="1975"/>
      <c r="O355" s="1976"/>
      <c r="P355" s="1975"/>
      <c r="Q355" s="1975"/>
      <c r="R355" s="1975"/>
      <c r="S355" s="9"/>
      <c r="W355" s="9"/>
      <c r="X355" s="5283"/>
      <c r="Y355" s="1967"/>
      <c r="Z355" s="1969"/>
      <c r="AA355" s="1970"/>
      <c r="AB355" s="1969"/>
      <c r="AC355" s="1969"/>
      <c r="AD355" s="1969"/>
      <c r="AE355" s="1969"/>
      <c r="AG355" s="5285"/>
      <c r="AH355" s="1946"/>
      <c r="AI355" s="58"/>
      <c r="AJ355" s="1948"/>
      <c r="AK355" s="1948"/>
      <c r="AL355" s="172"/>
      <c r="AM355" s="5294"/>
      <c r="AN355" s="1944"/>
      <c r="AO355" s="1931"/>
      <c r="AP355" s="1931"/>
      <c r="AR355" s="5294">
        <f t="shared" ref="AR355" si="68">AR354+1</f>
        <v>5</v>
      </c>
      <c r="AS355" s="1949" t="s">
        <v>3654</v>
      </c>
      <c r="AT355" s="1935" t="s">
        <v>5235</v>
      </c>
      <c r="AU355" s="1936" t="s">
        <v>5236</v>
      </c>
      <c r="AV355" s="1935" t="s">
        <v>5237</v>
      </c>
      <c r="AW355" s="1935" t="s">
        <v>6469</v>
      </c>
      <c r="AX355" s="1936" t="s">
        <v>6470</v>
      </c>
      <c r="AY355" s="1949" t="s">
        <v>3654</v>
      </c>
      <c r="BA355" s="3">
        <v>1</v>
      </c>
    </row>
    <row r="356" spans="2:53" ht="30" customHeight="1">
      <c r="B356" s="1953"/>
      <c r="C356" s="1983"/>
      <c r="D356" s="1931"/>
      <c r="E356" s="1931"/>
      <c r="F356" s="9"/>
      <c r="G356" s="1953"/>
      <c r="H356" s="1904"/>
      <c r="I356" s="1965"/>
      <c r="J356" s="1965"/>
      <c r="L356" s="5294"/>
      <c r="M356" s="172"/>
      <c r="N356" s="1975"/>
      <c r="O356" s="1976"/>
      <c r="P356" s="1975"/>
      <c r="Q356" s="1975"/>
      <c r="R356" s="1975"/>
      <c r="S356" s="9"/>
      <c r="W356" s="9"/>
      <c r="X356" s="5283"/>
      <c r="Y356" s="1967"/>
      <c r="Z356" s="1969"/>
      <c r="AA356" s="1970"/>
      <c r="AB356" s="1969"/>
      <c r="AC356" s="1969"/>
      <c r="AD356" s="1969"/>
      <c r="AE356" s="1969"/>
      <c r="AG356" s="5285"/>
      <c r="AH356" s="1946"/>
      <c r="AI356" s="58"/>
      <c r="AJ356" s="1948"/>
      <c r="AK356" s="1948"/>
      <c r="AL356" s="172"/>
      <c r="AM356" s="5294"/>
      <c r="AN356" s="1944"/>
      <c r="AO356" s="1931"/>
      <c r="AP356" s="1931"/>
      <c r="AR356" s="5294">
        <v>5</v>
      </c>
      <c r="AS356" s="1949" t="s">
        <v>3662</v>
      </c>
      <c r="AT356" s="1935" t="s">
        <v>5238</v>
      </c>
      <c r="AU356" s="1936" t="s">
        <v>5239</v>
      </c>
      <c r="AV356" s="1935" t="s">
        <v>5240</v>
      </c>
      <c r="AW356" s="1936" t="s">
        <v>6471</v>
      </c>
      <c r="AX356" s="1936" t="s">
        <v>6472</v>
      </c>
      <c r="AY356" s="1949" t="s">
        <v>3662</v>
      </c>
      <c r="BA356" s="3">
        <v>1</v>
      </c>
    </row>
    <row r="357" spans="2:53" ht="30" customHeight="1">
      <c r="B357" s="1953"/>
      <c r="C357" s="1983"/>
      <c r="D357" s="1931"/>
      <c r="E357" s="1931"/>
      <c r="F357" s="9"/>
      <c r="G357" s="1953"/>
      <c r="H357" s="1904"/>
      <c r="I357" s="1965"/>
      <c r="J357" s="1965"/>
      <c r="L357" s="5294"/>
      <c r="M357" s="172"/>
      <c r="N357" s="1975"/>
      <c r="O357" s="1976"/>
      <c r="P357" s="1975"/>
      <c r="Q357" s="1975"/>
      <c r="R357" s="1975"/>
      <c r="S357" s="9"/>
      <c r="W357" s="9"/>
      <c r="X357" s="5283"/>
      <c r="Y357" s="1967"/>
      <c r="Z357" s="1969"/>
      <c r="AA357" s="1970"/>
      <c r="AB357" s="1969"/>
      <c r="AC357" s="1969"/>
      <c r="AD357" s="1969"/>
      <c r="AE357" s="1969"/>
      <c r="AG357" s="5285"/>
      <c r="AH357" s="1946"/>
      <c r="AI357" s="58"/>
      <c r="AJ357" s="1948"/>
      <c r="AK357" s="1948"/>
      <c r="AL357" s="172"/>
      <c r="AM357" s="5294"/>
      <c r="AN357" s="1944"/>
      <c r="AO357" s="1931"/>
      <c r="AP357" s="1931"/>
      <c r="AR357" s="5294">
        <f t="shared" ref="AR357" si="69">AR356+1</f>
        <v>6</v>
      </c>
      <c r="AS357" s="1949" t="s">
        <v>5241</v>
      </c>
      <c r="AT357" s="1935" t="s">
        <v>5923</v>
      </c>
      <c r="AU357" s="1936" t="s">
        <v>5924</v>
      </c>
      <c r="AV357" s="1935" t="s">
        <v>5925</v>
      </c>
      <c r="AW357" s="1935" t="s">
        <v>6914</v>
      </c>
      <c r="AX357" s="1935" t="s">
        <v>6915</v>
      </c>
      <c r="AY357" s="1949" t="s">
        <v>5241</v>
      </c>
      <c r="BA357" s="3">
        <v>1</v>
      </c>
    </row>
    <row r="358" spans="2:53" ht="30" customHeight="1">
      <c r="B358" s="1953"/>
      <c r="C358" s="1983"/>
      <c r="D358" s="1931"/>
      <c r="E358" s="1931"/>
      <c r="F358" s="9"/>
      <c r="G358" s="1953"/>
      <c r="H358" s="1904"/>
      <c r="I358" s="1965"/>
      <c r="J358" s="1965"/>
      <c r="L358" s="5294"/>
      <c r="M358" s="172"/>
      <c r="N358" s="1975"/>
      <c r="O358" s="1976"/>
      <c r="P358" s="1975"/>
      <c r="Q358" s="1975"/>
      <c r="R358" s="1975"/>
      <c r="S358" s="9"/>
      <c r="W358" s="9"/>
      <c r="X358" s="5283"/>
      <c r="Y358" s="1967"/>
      <c r="Z358" s="1969"/>
      <c r="AA358" s="1970"/>
      <c r="AB358" s="1969"/>
      <c r="AC358" s="1969"/>
      <c r="AD358" s="1969"/>
      <c r="AE358" s="1969"/>
      <c r="AG358" s="5285"/>
      <c r="AH358" s="1946"/>
      <c r="AI358" s="58"/>
      <c r="AJ358" s="1948"/>
      <c r="AK358" s="1948"/>
      <c r="AL358" s="172"/>
      <c r="AM358" s="5294"/>
      <c r="AN358" s="1944"/>
      <c r="AO358" s="1931"/>
      <c r="AP358" s="1931"/>
      <c r="AR358" s="5294">
        <v>6</v>
      </c>
      <c r="AS358" s="1949" t="s">
        <v>5242</v>
      </c>
      <c r="AT358" s="1935" t="s">
        <v>5243</v>
      </c>
      <c r="AU358" s="1936" t="s">
        <v>5244</v>
      </c>
      <c r="AV358" s="1935" t="s">
        <v>5245</v>
      </c>
      <c r="AW358" s="1936" t="s">
        <v>6473</v>
      </c>
      <c r="AX358" s="1936" t="s">
        <v>6474</v>
      </c>
      <c r="AY358" s="1949" t="s">
        <v>5242</v>
      </c>
      <c r="BA358" s="3">
        <v>1</v>
      </c>
    </row>
    <row r="359" spans="2:53" ht="30" customHeight="1">
      <c r="B359" s="1953"/>
      <c r="C359" s="1983"/>
      <c r="D359" s="1931"/>
      <c r="E359" s="1931"/>
      <c r="F359" s="9"/>
      <c r="G359" s="1953"/>
      <c r="H359" s="1904"/>
      <c r="I359" s="1965"/>
      <c r="J359" s="1965"/>
      <c r="L359" s="5294"/>
      <c r="M359" s="172"/>
      <c r="N359" s="1975"/>
      <c r="O359" s="1976"/>
      <c r="P359" s="1975"/>
      <c r="Q359" s="1975"/>
      <c r="R359" s="1975"/>
      <c r="S359" s="9"/>
      <c r="W359" s="9"/>
      <c r="X359" s="5283"/>
      <c r="Y359" s="1967"/>
      <c r="Z359" s="1969"/>
      <c r="AA359" s="1970"/>
      <c r="AB359" s="1969"/>
      <c r="AC359" s="1969"/>
      <c r="AD359" s="1969"/>
      <c r="AE359" s="1969"/>
      <c r="AG359" s="5285"/>
      <c r="AH359" s="1946"/>
      <c r="AI359" s="58"/>
      <c r="AJ359" s="1948"/>
      <c r="AK359" s="1948"/>
      <c r="AL359" s="172"/>
      <c r="AM359" s="5294"/>
      <c r="AN359" s="1944"/>
      <c r="AO359" s="1931"/>
      <c r="AP359" s="1931"/>
      <c r="AR359" s="5294">
        <f t="shared" ref="AR359" si="70">AR358+1</f>
        <v>7</v>
      </c>
      <c r="AS359" s="1949" t="s">
        <v>5246</v>
      </c>
      <c r="AT359" s="1935" t="s">
        <v>5247</v>
      </c>
      <c r="AU359" s="1936" t="s">
        <v>5248</v>
      </c>
      <c r="AV359" s="1935" t="s">
        <v>5249</v>
      </c>
      <c r="AW359" s="1936" t="s">
        <v>6475</v>
      </c>
      <c r="AX359" s="1936" t="s">
        <v>6476</v>
      </c>
      <c r="AY359" s="1949" t="s">
        <v>5246</v>
      </c>
      <c r="BA359" s="3">
        <v>1</v>
      </c>
    </row>
    <row r="360" spans="2:53" ht="30" customHeight="1">
      <c r="B360" s="1953"/>
      <c r="C360" s="1983"/>
      <c r="D360" s="1931"/>
      <c r="E360" s="1931"/>
      <c r="F360" s="9"/>
      <c r="G360" s="1953"/>
      <c r="H360" s="1904"/>
      <c r="I360" s="1965"/>
      <c r="J360" s="1965"/>
      <c r="L360" s="5294"/>
      <c r="M360" s="172"/>
      <c r="N360" s="1975"/>
      <c r="O360" s="1976"/>
      <c r="P360" s="1975"/>
      <c r="Q360" s="1975"/>
      <c r="R360" s="1975"/>
      <c r="S360" s="9"/>
      <c r="W360" s="9"/>
      <c r="X360" s="5283"/>
      <c r="Y360" s="1967"/>
      <c r="Z360" s="1969"/>
      <c r="AA360" s="1970"/>
      <c r="AB360" s="1969"/>
      <c r="AC360" s="1969"/>
      <c r="AD360" s="1969"/>
      <c r="AE360" s="1969"/>
      <c r="AG360" s="5285"/>
      <c r="AH360" s="1946"/>
      <c r="AI360" s="58"/>
      <c r="AJ360" s="1948"/>
      <c r="AK360" s="1948"/>
      <c r="AL360" s="172"/>
      <c r="AM360" s="5294"/>
      <c r="AN360" s="1944"/>
      <c r="AO360" s="1931"/>
      <c r="AP360" s="1931"/>
      <c r="AR360" s="5294">
        <v>7</v>
      </c>
      <c r="AS360" s="1949" t="s">
        <v>3687</v>
      </c>
      <c r="AT360" s="1935" t="s">
        <v>5250</v>
      </c>
      <c r="AU360" s="1936" t="s">
        <v>5251</v>
      </c>
      <c r="AV360" s="1935" t="s">
        <v>5252</v>
      </c>
      <c r="AW360" s="1936" t="s">
        <v>6477</v>
      </c>
      <c r="AX360" s="1936" t="s">
        <v>6478</v>
      </c>
      <c r="AY360" s="1949" t="s">
        <v>3687</v>
      </c>
      <c r="BA360" s="3">
        <v>1</v>
      </c>
    </row>
    <row r="361" spans="2:53" ht="30" customHeight="1">
      <c r="B361" s="1953"/>
      <c r="C361" s="1983"/>
      <c r="D361" s="1931"/>
      <c r="E361" s="1931"/>
      <c r="F361" s="9"/>
      <c r="G361" s="1953"/>
      <c r="H361" s="1904"/>
      <c r="I361" s="1965"/>
      <c r="J361" s="1965"/>
      <c r="L361" s="5294"/>
      <c r="M361" s="172"/>
      <c r="N361" s="1975"/>
      <c r="O361" s="1976"/>
      <c r="P361" s="1975"/>
      <c r="Q361" s="1975"/>
      <c r="R361" s="1975"/>
      <c r="S361" s="9"/>
      <c r="W361" s="9"/>
      <c r="X361" s="5283"/>
      <c r="Y361" s="1967"/>
      <c r="Z361" s="1969"/>
      <c r="AA361" s="1970"/>
      <c r="AB361" s="1969"/>
      <c r="AC361" s="1969"/>
      <c r="AD361" s="1969"/>
      <c r="AE361" s="1969"/>
      <c r="AG361" s="5285"/>
      <c r="AH361" s="1946"/>
      <c r="AI361" s="58"/>
      <c r="AJ361" s="1948"/>
      <c r="AK361" s="1948"/>
      <c r="AL361" s="172"/>
      <c r="AM361" s="5294"/>
      <c r="AN361" s="1944"/>
      <c r="AO361" s="1931"/>
      <c r="AP361" s="1931"/>
      <c r="AR361" s="5294">
        <f t="shared" ref="AR361" si="71">AR360+1</f>
        <v>8</v>
      </c>
      <c r="AS361" s="1949" t="s">
        <v>3694</v>
      </c>
      <c r="AT361" s="1935" t="s">
        <v>5253</v>
      </c>
      <c r="AU361" s="1936" t="s">
        <v>5254</v>
      </c>
      <c r="AV361" s="1935" t="s">
        <v>5255</v>
      </c>
      <c r="AW361" s="1936" t="s">
        <v>6479</v>
      </c>
      <c r="AX361" s="1936" t="s">
        <v>6480</v>
      </c>
      <c r="AY361" s="1949" t="s">
        <v>3694</v>
      </c>
      <c r="BA361" s="3">
        <v>1</v>
      </c>
    </row>
    <row r="362" spans="2:53" ht="30" customHeight="1">
      <c r="B362" s="1953"/>
      <c r="C362" s="1983"/>
      <c r="D362" s="1931"/>
      <c r="E362" s="1931"/>
      <c r="F362" s="9"/>
      <c r="G362" s="1953"/>
      <c r="H362" s="1904"/>
      <c r="I362" s="1965"/>
      <c r="J362" s="1965"/>
      <c r="L362" s="5294"/>
      <c r="M362" s="172"/>
      <c r="N362" s="1975"/>
      <c r="O362" s="1976"/>
      <c r="P362" s="1975"/>
      <c r="Q362" s="1975"/>
      <c r="R362" s="1975"/>
      <c r="S362" s="9"/>
      <c r="W362" s="9"/>
      <c r="X362" s="5283"/>
      <c r="Y362" s="1967"/>
      <c r="Z362" s="1969"/>
      <c r="AA362" s="1970"/>
      <c r="AB362" s="1969"/>
      <c r="AC362" s="1969"/>
      <c r="AD362" s="1969"/>
      <c r="AE362" s="1969"/>
      <c r="AG362" s="5285"/>
      <c r="AH362" s="1946"/>
      <c r="AI362" s="58"/>
      <c r="AJ362" s="1948"/>
      <c r="AK362" s="1948"/>
      <c r="AL362" s="172"/>
      <c r="AM362" s="5294"/>
      <c r="AN362" s="1944"/>
      <c r="AO362" s="1931"/>
      <c r="AP362" s="1931"/>
      <c r="AR362" s="5294">
        <v>8</v>
      </c>
      <c r="AS362" s="1949" t="s">
        <v>5256</v>
      </c>
      <c r="AT362" s="1935" t="s">
        <v>5257</v>
      </c>
      <c r="AU362" s="1936" t="s">
        <v>5258</v>
      </c>
      <c r="AV362" s="1935" t="s">
        <v>5259</v>
      </c>
      <c r="AW362" s="1936" t="s">
        <v>6481</v>
      </c>
      <c r="AX362" s="1936" t="s">
        <v>6482</v>
      </c>
      <c r="AY362" s="1949" t="s">
        <v>5256</v>
      </c>
      <c r="BA362" s="3">
        <v>1</v>
      </c>
    </row>
    <row r="363" spans="2:53" ht="30" customHeight="1">
      <c r="B363" s="1953"/>
      <c r="C363" s="1983"/>
      <c r="D363" s="1931"/>
      <c r="E363" s="1931"/>
      <c r="F363" s="9"/>
      <c r="G363" s="1953"/>
      <c r="H363" s="1904"/>
      <c r="I363" s="1965"/>
      <c r="J363" s="1965"/>
      <c r="L363" s="5294"/>
      <c r="M363" s="172"/>
      <c r="N363" s="1975"/>
      <c r="O363" s="1976"/>
      <c r="P363" s="1975"/>
      <c r="Q363" s="1975"/>
      <c r="R363" s="1975"/>
      <c r="S363" s="9"/>
      <c r="W363" s="9"/>
      <c r="X363" s="5283"/>
      <c r="Y363" s="1967"/>
      <c r="Z363" s="1969"/>
      <c r="AA363" s="1970"/>
      <c r="AB363" s="1969"/>
      <c r="AC363" s="1969"/>
      <c r="AD363" s="1969"/>
      <c r="AE363" s="1969"/>
      <c r="AG363" s="5285"/>
      <c r="AH363" s="1946"/>
      <c r="AI363" s="58"/>
      <c r="AJ363" s="1948"/>
      <c r="AK363" s="1948"/>
      <c r="AL363" s="172"/>
      <c r="AM363" s="5294"/>
      <c r="AN363" s="1944"/>
      <c r="AO363" s="1931"/>
      <c r="AP363" s="1931"/>
      <c r="AR363" s="5294">
        <f t="shared" ref="AR363" si="72">AR362+1</f>
        <v>9</v>
      </c>
      <c r="AS363" s="1949" t="s">
        <v>3800</v>
      </c>
      <c r="AT363" s="1935" t="s">
        <v>5929</v>
      </c>
      <c r="AU363" s="1936" t="s">
        <v>5930</v>
      </c>
      <c r="AV363" s="1935" t="s">
        <v>5931</v>
      </c>
      <c r="AW363" s="1935" t="s">
        <v>6918</v>
      </c>
      <c r="AX363" s="1935" t="s">
        <v>6919</v>
      </c>
      <c r="AY363" s="1949" t="s">
        <v>3800</v>
      </c>
      <c r="BA363" s="3">
        <v>1</v>
      </c>
    </row>
    <row r="364" spans="2:53" ht="30" customHeight="1">
      <c r="B364" s="1953"/>
      <c r="C364" s="1983"/>
      <c r="D364" s="1931"/>
      <c r="E364" s="1931"/>
      <c r="F364" s="9"/>
      <c r="G364" s="1953"/>
      <c r="H364" s="1904"/>
      <c r="I364" s="1965"/>
      <c r="J364" s="1965"/>
      <c r="L364" s="5294"/>
      <c r="M364" s="172"/>
      <c r="N364" s="1975"/>
      <c r="O364" s="1976"/>
      <c r="P364" s="1975"/>
      <c r="Q364" s="1975"/>
      <c r="R364" s="1975"/>
      <c r="S364" s="9"/>
      <c r="W364" s="9"/>
      <c r="X364" s="5283"/>
      <c r="Y364" s="1967"/>
      <c r="Z364" s="1969"/>
      <c r="AA364" s="1970"/>
      <c r="AB364" s="1969"/>
      <c r="AC364" s="1969"/>
      <c r="AD364" s="1969"/>
      <c r="AE364" s="1969"/>
      <c r="AG364" s="5285"/>
      <c r="AH364" s="1946"/>
      <c r="AI364" s="58"/>
      <c r="AJ364" s="1948"/>
      <c r="AK364" s="1948"/>
      <c r="AL364" s="172"/>
      <c r="AM364" s="5294"/>
      <c r="AN364" s="1944"/>
      <c r="AO364" s="1931"/>
      <c r="AP364" s="1931"/>
      <c r="AR364" s="5294">
        <v>9</v>
      </c>
      <c r="AS364" s="1949" t="s">
        <v>3712</v>
      </c>
      <c r="AT364" s="1935" t="s">
        <v>5260</v>
      </c>
      <c r="AU364" s="1936" t="s">
        <v>5261</v>
      </c>
      <c r="AV364" s="1935" t="s">
        <v>5262</v>
      </c>
      <c r="AW364" s="1936" t="s">
        <v>6483</v>
      </c>
      <c r="AX364" s="1936" t="s">
        <v>6484</v>
      </c>
      <c r="AY364" s="1949" t="s">
        <v>3712</v>
      </c>
      <c r="BA364" s="3">
        <v>1</v>
      </c>
    </row>
    <row r="365" spans="2:53" ht="30" customHeight="1">
      <c r="B365" s="1953"/>
      <c r="C365" s="1983"/>
      <c r="D365" s="1931"/>
      <c r="E365" s="1931"/>
      <c r="F365" s="9"/>
      <c r="G365" s="1953"/>
      <c r="H365" s="1904"/>
      <c r="I365" s="1965"/>
      <c r="J365" s="1965"/>
      <c r="L365" s="5294"/>
      <c r="M365" s="172"/>
      <c r="N365" s="1975"/>
      <c r="O365" s="1976"/>
      <c r="P365" s="1975"/>
      <c r="Q365" s="1975"/>
      <c r="R365" s="1975"/>
      <c r="S365" s="9"/>
      <c r="W365" s="9"/>
      <c r="X365" s="5283"/>
      <c r="Y365" s="1967"/>
      <c r="Z365" s="1969"/>
      <c r="AA365" s="1970"/>
      <c r="AB365" s="1969"/>
      <c r="AC365" s="1969"/>
      <c r="AD365" s="1969"/>
      <c r="AE365" s="1969"/>
      <c r="AG365" s="5285"/>
      <c r="AH365" s="1946"/>
      <c r="AI365" s="58"/>
      <c r="AJ365" s="1948"/>
      <c r="AK365" s="1948"/>
      <c r="AL365" s="172"/>
      <c r="AM365" s="5294"/>
      <c r="AN365" s="1944"/>
      <c r="AO365" s="1931"/>
      <c r="AP365" s="1931"/>
      <c r="AR365" s="5294">
        <f t="shared" ref="AR365" si="73">AR364+1</f>
        <v>10</v>
      </c>
      <c r="AS365" s="1949" t="s">
        <v>7507</v>
      </c>
      <c r="AT365" s="1931" t="s">
        <v>7508</v>
      </c>
      <c r="AU365" s="1931" t="s">
        <v>7509</v>
      </c>
      <c r="AV365" s="1935" t="s">
        <v>8163</v>
      </c>
      <c r="AW365" s="1935" t="s">
        <v>8164</v>
      </c>
      <c r="AX365" s="1935" t="s">
        <v>8165</v>
      </c>
      <c r="AY365" s="1949" t="s">
        <v>7507</v>
      </c>
      <c r="BA365" s="3">
        <v>1</v>
      </c>
    </row>
    <row r="366" spans="2:53" ht="30" customHeight="1">
      <c r="B366" s="1953"/>
      <c r="C366" s="1983"/>
      <c r="D366" s="1931"/>
      <c r="E366" s="1931"/>
      <c r="F366" s="9"/>
      <c r="G366" s="1953"/>
      <c r="H366" s="1904"/>
      <c r="I366" s="1965"/>
      <c r="J366" s="1965"/>
      <c r="L366" s="5294"/>
      <c r="M366" s="172"/>
      <c r="N366" s="1975"/>
      <c r="O366" s="1976"/>
      <c r="P366" s="1975"/>
      <c r="Q366" s="1975"/>
      <c r="R366" s="1975"/>
      <c r="S366" s="9"/>
      <c r="W366" s="9"/>
      <c r="X366" s="5283"/>
      <c r="Y366" s="1967"/>
      <c r="Z366" s="1969"/>
      <c r="AA366" s="1970"/>
      <c r="AB366" s="1969"/>
      <c r="AC366" s="1969"/>
      <c r="AD366" s="1969"/>
      <c r="AE366" s="1969"/>
      <c r="AG366" s="5285"/>
      <c r="AH366" s="1946"/>
      <c r="AI366" s="58"/>
      <c r="AJ366" s="1948"/>
      <c r="AK366" s="1948"/>
      <c r="AL366" s="172"/>
      <c r="AM366" s="5294"/>
      <c r="AN366" s="1944"/>
      <c r="AO366" s="1931"/>
      <c r="AP366" s="1931"/>
      <c r="AR366" s="5294">
        <v>10</v>
      </c>
      <c r="AS366" s="1949" t="s">
        <v>3719</v>
      </c>
      <c r="AT366" s="1935" t="s">
        <v>5263</v>
      </c>
      <c r="AU366" s="1936" t="s">
        <v>5264</v>
      </c>
      <c r="AV366" s="1935" t="s">
        <v>5265</v>
      </c>
      <c r="AW366" s="1935" t="s">
        <v>6485</v>
      </c>
      <c r="AX366" s="1935" t="s">
        <v>6486</v>
      </c>
      <c r="AY366" s="1949" t="s">
        <v>3719</v>
      </c>
      <c r="BA366" s="3">
        <v>1</v>
      </c>
    </row>
    <row r="367" spans="2:53" ht="30" customHeight="1">
      <c r="B367" s="1953"/>
      <c r="C367" s="1983"/>
      <c r="D367" s="1931"/>
      <c r="E367" s="1931"/>
      <c r="F367" s="9"/>
      <c r="G367" s="1953"/>
      <c r="H367" s="1904"/>
      <c r="I367" s="1965"/>
      <c r="J367" s="1965"/>
      <c r="L367" s="5294"/>
      <c r="M367" s="172"/>
      <c r="N367" s="1975"/>
      <c r="O367" s="1976"/>
      <c r="P367" s="1975"/>
      <c r="Q367" s="1975"/>
      <c r="R367" s="1975"/>
      <c r="S367" s="9"/>
      <c r="W367" s="9"/>
      <c r="X367" s="5283"/>
      <c r="Y367" s="1967"/>
      <c r="Z367" s="1969"/>
      <c r="AA367" s="1970"/>
      <c r="AB367" s="1969"/>
      <c r="AC367" s="1969"/>
      <c r="AD367" s="1969"/>
      <c r="AE367" s="1969"/>
      <c r="AG367" s="5285"/>
      <c r="AH367" s="1946"/>
      <c r="AI367" s="58"/>
      <c r="AJ367" s="1948"/>
      <c r="AK367" s="1948"/>
      <c r="AL367" s="172"/>
      <c r="AM367" s="5294"/>
      <c r="AN367" s="1944"/>
      <c r="AO367" s="1931"/>
      <c r="AP367" s="1931"/>
      <c r="AR367" s="5294">
        <f t="shared" ref="AR367" si="74">AR366+1</f>
        <v>11</v>
      </c>
      <c r="AS367" s="1949" t="s">
        <v>3726</v>
      </c>
      <c r="AT367" s="1935" t="s">
        <v>5266</v>
      </c>
      <c r="AU367" s="1936" t="s">
        <v>5267</v>
      </c>
      <c r="AV367" s="1935" t="s">
        <v>5268</v>
      </c>
      <c r="AW367" s="1936" t="s">
        <v>6487</v>
      </c>
      <c r="AX367" s="1936" t="s">
        <v>6488</v>
      </c>
      <c r="AY367" s="1949" t="s">
        <v>3726</v>
      </c>
      <c r="BA367" s="3">
        <v>1</v>
      </c>
    </row>
    <row r="368" spans="2:53" ht="30" customHeight="1">
      <c r="B368" s="1953"/>
      <c r="C368" s="1983"/>
      <c r="D368" s="1931"/>
      <c r="E368" s="1931"/>
      <c r="F368" s="9"/>
      <c r="G368" s="1953"/>
      <c r="H368" s="1904"/>
      <c r="I368" s="1965"/>
      <c r="J368" s="1965"/>
      <c r="L368" s="5294"/>
      <c r="M368" s="172"/>
      <c r="N368" s="1975"/>
      <c r="O368" s="1976"/>
      <c r="P368" s="1975"/>
      <c r="Q368" s="1975"/>
      <c r="R368" s="1975"/>
      <c r="S368" s="9"/>
      <c r="W368" s="9"/>
      <c r="X368" s="5283"/>
      <c r="Y368" s="1967"/>
      <c r="Z368" s="1969"/>
      <c r="AA368" s="1970"/>
      <c r="AB368" s="1969"/>
      <c r="AC368" s="1969"/>
      <c r="AD368" s="1969"/>
      <c r="AE368" s="1969"/>
      <c r="AG368" s="5285"/>
      <c r="AH368" s="1946"/>
      <c r="AI368" s="58"/>
      <c r="AJ368" s="1948"/>
      <c r="AK368" s="1948"/>
      <c r="AL368" s="172"/>
      <c r="AM368" s="5294"/>
      <c r="AN368" s="1944"/>
      <c r="AO368" s="1931"/>
      <c r="AP368" s="1931"/>
      <c r="AR368" s="5294">
        <v>11</v>
      </c>
      <c r="AS368" s="1949" t="s">
        <v>3806</v>
      </c>
      <c r="AT368" s="1935" t="s">
        <v>5932</v>
      </c>
      <c r="AU368" s="1936" t="s">
        <v>5933</v>
      </c>
      <c r="AV368" s="1935" t="s">
        <v>5934</v>
      </c>
      <c r="AW368" s="1935" t="s">
        <v>6920</v>
      </c>
      <c r="AX368" s="1935" t="s">
        <v>6921</v>
      </c>
      <c r="AY368" s="1949" t="s">
        <v>3806</v>
      </c>
      <c r="BA368" s="3">
        <v>1</v>
      </c>
    </row>
    <row r="369" spans="2:53" ht="30" customHeight="1">
      <c r="B369" s="1953"/>
      <c r="C369" s="1983"/>
      <c r="D369" s="1931"/>
      <c r="E369" s="1931"/>
      <c r="F369" s="9"/>
      <c r="G369" s="1953"/>
      <c r="H369" s="1904"/>
      <c r="I369" s="1965"/>
      <c r="J369" s="1965"/>
      <c r="L369" s="5294"/>
      <c r="M369" s="172"/>
      <c r="N369" s="1975"/>
      <c r="O369" s="1976"/>
      <c r="P369" s="1975"/>
      <c r="Q369" s="1975"/>
      <c r="R369" s="1975"/>
      <c r="S369" s="9"/>
      <c r="W369" s="9"/>
      <c r="X369" s="5283"/>
      <c r="Y369" s="1967"/>
      <c r="Z369" s="1969"/>
      <c r="AA369" s="1970"/>
      <c r="AB369" s="1969"/>
      <c r="AC369" s="1969"/>
      <c r="AD369" s="1969"/>
      <c r="AE369" s="1969"/>
      <c r="AG369" s="5285"/>
      <c r="AH369" s="1946"/>
      <c r="AI369" s="58"/>
      <c r="AJ369" s="1948"/>
      <c r="AK369" s="1948"/>
      <c r="AL369" s="172"/>
      <c r="AM369" s="5294"/>
      <c r="AN369" s="1944"/>
      <c r="AO369" s="1931"/>
      <c r="AP369" s="1931"/>
      <c r="AR369" s="5294">
        <f t="shared" ref="AR369" si="75">AR368+1</f>
        <v>12</v>
      </c>
      <c r="AS369" s="1949" t="s">
        <v>3813</v>
      </c>
      <c r="AT369" s="1935" t="s">
        <v>5935</v>
      </c>
      <c r="AU369" s="1936" t="s">
        <v>5936</v>
      </c>
      <c r="AV369" s="1935" t="s">
        <v>5937</v>
      </c>
      <c r="AW369" s="1935" t="s">
        <v>6922</v>
      </c>
      <c r="AX369" s="1935" t="s">
        <v>6923</v>
      </c>
      <c r="AY369" s="1949" t="s">
        <v>3813</v>
      </c>
      <c r="BA369" s="3">
        <v>1</v>
      </c>
    </row>
    <row r="370" spans="2:53" ht="30" customHeight="1">
      <c r="B370" s="1953"/>
      <c r="C370" s="1983"/>
      <c r="D370" s="1931"/>
      <c r="E370" s="1931"/>
      <c r="F370" s="9"/>
      <c r="G370" s="1953"/>
      <c r="H370" s="1904"/>
      <c r="I370" s="1965"/>
      <c r="J370" s="1965"/>
      <c r="L370" s="5294"/>
      <c r="M370" s="172"/>
      <c r="N370" s="1975"/>
      <c r="O370" s="1976"/>
      <c r="P370" s="1975"/>
      <c r="Q370" s="1975"/>
      <c r="R370" s="1975"/>
      <c r="S370" s="9"/>
      <c r="W370" s="9"/>
      <c r="X370" s="5283"/>
      <c r="Y370" s="1967"/>
      <c r="Z370" s="1969"/>
      <c r="AA370" s="1970"/>
      <c r="AB370" s="1969"/>
      <c r="AC370" s="1969"/>
      <c r="AD370" s="1969"/>
      <c r="AE370" s="1969"/>
      <c r="AG370" s="5285"/>
      <c r="AH370" s="1946"/>
      <c r="AI370" s="58"/>
      <c r="AJ370" s="1948"/>
      <c r="AK370" s="1948"/>
      <c r="AL370" s="172"/>
      <c r="AM370" s="5294"/>
      <c r="AN370" s="1944"/>
      <c r="AO370" s="1931"/>
      <c r="AP370" s="1931"/>
      <c r="AR370" s="5294">
        <v>12</v>
      </c>
      <c r="AS370" s="1949" t="s">
        <v>3735</v>
      </c>
      <c r="AT370" s="1935" t="s">
        <v>5269</v>
      </c>
      <c r="AU370" s="1936" t="s">
        <v>5270</v>
      </c>
      <c r="AV370" s="1935" t="s">
        <v>5271</v>
      </c>
      <c r="AW370" s="1936" t="s">
        <v>6489</v>
      </c>
      <c r="AX370" s="1936" t="s">
        <v>6490</v>
      </c>
      <c r="AY370" s="1949" t="s">
        <v>3735</v>
      </c>
      <c r="BA370" s="3">
        <v>1</v>
      </c>
    </row>
    <row r="371" spans="2:53" ht="30" customHeight="1">
      <c r="B371" s="1953"/>
      <c r="C371" s="1983"/>
      <c r="D371" s="1931"/>
      <c r="E371" s="1931"/>
      <c r="F371" s="9"/>
      <c r="G371" s="1953"/>
      <c r="H371" s="1904"/>
      <c r="I371" s="1965"/>
      <c r="J371" s="1965"/>
      <c r="L371" s="5294"/>
      <c r="M371" s="172"/>
      <c r="N371" s="1975"/>
      <c r="O371" s="1976"/>
      <c r="P371" s="1975"/>
      <c r="Q371" s="1975"/>
      <c r="R371" s="1975"/>
      <c r="S371" s="9"/>
      <c r="W371" s="9"/>
      <c r="X371" s="5283"/>
      <c r="Y371" s="1967"/>
      <c r="Z371" s="1969"/>
      <c r="AA371" s="1970"/>
      <c r="AB371" s="1969"/>
      <c r="AC371" s="1969"/>
      <c r="AD371" s="1969"/>
      <c r="AE371" s="1969"/>
      <c r="AG371" s="5285"/>
      <c r="AH371" s="1946"/>
      <c r="AI371" s="58"/>
      <c r="AJ371" s="1948"/>
      <c r="AK371" s="1948"/>
      <c r="AL371" s="172"/>
      <c r="AM371" s="5294"/>
      <c r="AN371" s="1944"/>
      <c r="AO371" s="1931"/>
      <c r="AP371" s="1931"/>
      <c r="AR371" s="5294">
        <f t="shared" ref="AR371" si="76">AR370+1</f>
        <v>13</v>
      </c>
      <c r="AS371" s="1949" t="s">
        <v>3743</v>
      </c>
      <c r="AT371" s="1935" t="s">
        <v>5272</v>
      </c>
      <c r="AU371" s="1936" t="s">
        <v>5273</v>
      </c>
      <c r="AV371" s="1935" t="s">
        <v>5274</v>
      </c>
      <c r="AW371" s="1936" t="s">
        <v>6491</v>
      </c>
      <c r="AX371" s="1936" t="s">
        <v>6492</v>
      </c>
      <c r="AY371" s="1949" t="s">
        <v>3743</v>
      </c>
      <c r="BA371" s="3">
        <v>1</v>
      </c>
    </row>
    <row r="372" spans="2:53" ht="30" customHeight="1">
      <c r="B372" s="1953"/>
      <c r="C372" s="1983"/>
      <c r="D372" s="1931"/>
      <c r="E372" s="1931"/>
      <c r="F372" s="9"/>
      <c r="G372" s="1953"/>
      <c r="H372" s="1904"/>
      <c r="I372" s="1965"/>
      <c r="J372" s="1965"/>
      <c r="L372" s="5294"/>
      <c r="M372" s="172"/>
      <c r="N372" s="1975"/>
      <c r="O372" s="1976"/>
      <c r="P372" s="1975"/>
      <c r="Q372" s="1975"/>
      <c r="R372" s="1975"/>
      <c r="S372" s="9"/>
      <c r="W372" s="9"/>
      <c r="X372" s="5283"/>
      <c r="Y372" s="1967"/>
      <c r="Z372" s="1969"/>
      <c r="AA372" s="1970"/>
      <c r="AB372" s="1969"/>
      <c r="AC372" s="1969"/>
      <c r="AD372" s="1969"/>
      <c r="AE372" s="1969"/>
      <c r="AG372" s="5285"/>
      <c r="AH372" s="1946"/>
      <c r="AI372" s="58"/>
      <c r="AJ372" s="1948"/>
      <c r="AK372" s="1948"/>
      <c r="AL372" s="172"/>
      <c r="AM372" s="5294"/>
      <c r="AN372" s="1944"/>
      <c r="AO372" s="1931"/>
      <c r="AP372" s="1931"/>
      <c r="AR372" s="5294">
        <v>13</v>
      </c>
      <c r="AS372" s="1949" t="s">
        <v>3750</v>
      </c>
      <c r="AT372" s="1935" t="s">
        <v>5275</v>
      </c>
      <c r="AU372" s="1936" t="s">
        <v>5276</v>
      </c>
      <c r="AV372" s="1935" t="s">
        <v>4715</v>
      </c>
      <c r="AW372" s="1936" t="s">
        <v>6493</v>
      </c>
      <c r="AX372" s="1936" t="s">
        <v>6494</v>
      </c>
      <c r="AY372" s="1949" t="s">
        <v>3750</v>
      </c>
      <c r="BA372" s="3">
        <v>1</v>
      </c>
    </row>
    <row r="373" spans="2:53" ht="30" customHeight="1">
      <c r="B373" s="1953"/>
      <c r="C373" s="1983"/>
      <c r="D373" s="1931"/>
      <c r="E373" s="1931"/>
      <c r="F373" s="9"/>
      <c r="G373" s="1953"/>
      <c r="H373" s="1904"/>
      <c r="I373" s="1965"/>
      <c r="J373" s="1965"/>
      <c r="L373" s="5294"/>
      <c r="M373" s="172"/>
      <c r="N373" s="1975"/>
      <c r="O373" s="1976"/>
      <c r="P373" s="1975"/>
      <c r="Q373" s="1975"/>
      <c r="R373" s="1975"/>
      <c r="S373" s="9"/>
      <c r="W373" s="9"/>
      <c r="X373" s="5283"/>
      <c r="Y373" s="1967"/>
      <c r="Z373" s="1969"/>
      <c r="AA373" s="1970"/>
      <c r="AB373" s="1969"/>
      <c r="AC373" s="1969"/>
      <c r="AD373" s="1969"/>
      <c r="AE373" s="1969"/>
      <c r="AG373" s="5285"/>
      <c r="AH373" s="1946"/>
      <c r="AI373" s="58"/>
      <c r="AJ373" s="1948"/>
      <c r="AK373" s="1948"/>
      <c r="AL373" s="172"/>
      <c r="AM373" s="5294"/>
      <c r="AN373" s="1944"/>
      <c r="AO373" s="1931"/>
      <c r="AP373" s="1931"/>
      <c r="AR373" s="5294">
        <f t="shared" ref="AR373" si="77">AR372+1</f>
        <v>14</v>
      </c>
      <c r="AS373" s="1949" t="s">
        <v>3757</v>
      </c>
      <c r="AT373" s="1935" t="s">
        <v>5277</v>
      </c>
      <c r="AU373" s="1936" t="s">
        <v>5278</v>
      </c>
      <c r="AV373" s="1935" t="s">
        <v>5279</v>
      </c>
      <c r="AW373" s="1935" t="s">
        <v>6495</v>
      </c>
      <c r="AX373" s="1935" t="s">
        <v>6496</v>
      </c>
      <c r="AY373" s="1949" t="s">
        <v>3757</v>
      </c>
      <c r="BA373" s="3">
        <v>1</v>
      </c>
    </row>
    <row r="374" spans="2:53" ht="30" customHeight="1">
      <c r="B374" s="1953"/>
      <c r="C374" s="1983"/>
      <c r="D374" s="1931"/>
      <c r="E374" s="1931"/>
      <c r="F374" s="9"/>
      <c r="G374" s="1953"/>
      <c r="H374" s="1904"/>
      <c r="I374" s="1965"/>
      <c r="J374" s="1965"/>
      <c r="L374" s="5294"/>
      <c r="M374" s="172"/>
      <c r="N374" s="1975"/>
      <c r="O374" s="1976"/>
      <c r="P374" s="1975"/>
      <c r="Q374" s="1975"/>
      <c r="R374" s="1975"/>
      <c r="S374" s="9"/>
      <c r="W374" s="9"/>
      <c r="X374" s="5283"/>
      <c r="Y374" s="1967"/>
      <c r="Z374" s="1969"/>
      <c r="AA374" s="1970"/>
      <c r="AB374" s="1969"/>
      <c r="AC374" s="1969"/>
      <c r="AD374" s="1969"/>
      <c r="AE374" s="1969"/>
      <c r="AG374" s="5285"/>
      <c r="AH374" s="1946"/>
      <c r="AI374" s="58"/>
      <c r="AJ374" s="1948"/>
      <c r="AK374" s="1948"/>
      <c r="AL374" s="172"/>
      <c r="AM374" s="5294"/>
      <c r="AN374" s="1944"/>
      <c r="AO374" s="1931"/>
      <c r="AP374" s="1931"/>
      <c r="AR374" s="5294">
        <v>14</v>
      </c>
      <c r="AS374" s="1949" t="s">
        <v>5280</v>
      </c>
      <c r="AT374" s="1935" t="s">
        <v>5281</v>
      </c>
      <c r="AU374" s="1936" t="s">
        <v>5282</v>
      </c>
      <c r="AV374" s="1935" t="s">
        <v>5283</v>
      </c>
      <c r="AW374" s="1936" t="s">
        <v>6497</v>
      </c>
      <c r="AX374" s="1936" t="s">
        <v>6498</v>
      </c>
      <c r="AY374" s="1949" t="s">
        <v>5280</v>
      </c>
      <c r="BA374" s="3">
        <v>1</v>
      </c>
    </row>
    <row r="375" spans="2:53" ht="30" customHeight="1">
      <c r="B375" s="1953"/>
      <c r="C375" s="1983"/>
      <c r="D375" s="1931"/>
      <c r="E375" s="1931"/>
      <c r="F375" s="9"/>
      <c r="G375" s="1953"/>
      <c r="H375" s="1904"/>
      <c r="I375" s="1965"/>
      <c r="J375" s="1965"/>
      <c r="L375" s="5294"/>
      <c r="M375" s="172"/>
      <c r="N375" s="1975"/>
      <c r="O375" s="1976"/>
      <c r="P375" s="1975"/>
      <c r="Q375" s="1975"/>
      <c r="R375" s="1975"/>
      <c r="S375" s="9"/>
      <c r="W375" s="9"/>
      <c r="X375" s="5283"/>
      <c r="Y375" s="1967"/>
      <c r="Z375" s="1969"/>
      <c r="AA375" s="1970"/>
      <c r="AB375" s="1969"/>
      <c r="AC375" s="1969"/>
      <c r="AD375" s="1969"/>
      <c r="AE375" s="1969"/>
      <c r="AG375" s="5285"/>
      <c r="AH375" s="1946"/>
      <c r="AI375" s="58"/>
      <c r="AJ375" s="1948"/>
      <c r="AK375" s="1948"/>
      <c r="AL375" s="172"/>
      <c r="AM375" s="5294"/>
      <c r="AN375" s="1944"/>
      <c r="AO375" s="1931"/>
      <c r="AP375" s="1931"/>
      <c r="AR375" s="5294">
        <f t="shared" ref="AR375" si="78">AR374+1</f>
        <v>15</v>
      </c>
      <c r="AS375" s="1949" t="s">
        <v>5284</v>
      </c>
      <c r="AT375" s="1935" t="s">
        <v>5285</v>
      </c>
      <c r="AU375" s="1936" t="s">
        <v>5286</v>
      </c>
      <c r="AV375" s="1935" t="s">
        <v>5287</v>
      </c>
      <c r="AW375" s="1936" t="s">
        <v>6499</v>
      </c>
      <c r="AX375" s="1936" t="s">
        <v>6500</v>
      </c>
      <c r="AY375" s="1949" t="s">
        <v>5284</v>
      </c>
      <c r="BA375" s="3">
        <v>1</v>
      </c>
    </row>
    <row r="376" spans="2:53" ht="30" customHeight="1">
      <c r="B376" s="1953"/>
      <c r="C376" s="1983"/>
      <c r="D376" s="1931"/>
      <c r="E376" s="1931"/>
      <c r="F376" s="9"/>
      <c r="G376" s="1953"/>
      <c r="H376" s="1904"/>
      <c r="I376" s="1965"/>
      <c r="J376" s="1965"/>
      <c r="L376" s="5294"/>
      <c r="M376" s="172"/>
      <c r="N376" s="1975"/>
      <c r="O376" s="1976"/>
      <c r="P376" s="1975"/>
      <c r="Q376" s="1975"/>
      <c r="R376" s="1975"/>
      <c r="S376" s="9"/>
      <c r="W376" s="9"/>
      <c r="X376" s="5283"/>
      <c r="Y376" s="1967"/>
      <c r="Z376" s="1969"/>
      <c r="AA376" s="1970"/>
      <c r="AB376" s="1969"/>
      <c r="AC376" s="1969"/>
      <c r="AD376" s="1969"/>
      <c r="AE376" s="1969"/>
      <c r="AG376" s="5285"/>
      <c r="AH376" s="1946"/>
      <c r="AI376" s="58"/>
      <c r="AJ376" s="1948"/>
      <c r="AK376" s="1948"/>
      <c r="AL376" s="172"/>
      <c r="AM376" s="5294"/>
      <c r="AN376" s="1944"/>
      <c r="AO376" s="1931"/>
      <c r="AP376" s="1931"/>
      <c r="AR376" s="5294">
        <v>15</v>
      </c>
      <c r="AS376" s="1949" t="s">
        <v>5288</v>
      </c>
      <c r="AT376" s="1935" t="s">
        <v>5289</v>
      </c>
      <c r="AU376" s="1936" t="s">
        <v>5290</v>
      </c>
      <c r="AV376" s="1935" t="s">
        <v>5291</v>
      </c>
      <c r="AW376" s="1936" t="s">
        <v>6501</v>
      </c>
      <c r="AX376" s="1936" t="s">
        <v>6502</v>
      </c>
      <c r="AY376" s="1949" t="s">
        <v>5288</v>
      </c>
      <c r="BA376" s="3">
        <v>1</v>
      </c>
    </row>
    <row r="377" spans="2:53" ht="30" customHeight="1">
      <c r="B377" s="1953"/>
      <c r="C377" s="1983"/>
      <c r="D377" s="1931"/>
      <c r="E377" s="1931"/>
      <c r="F377" s="9"/>
      <c r="G377" s="1953"/>
      <c r="H377" s="1904"/>
      <c r="I377" s="1965"/>
      <c r="J377" s="1965"/>
      <c r="L377" s="5294"/>
      <c r="M377" s="172"/>
      <c r="N377" s="1975"/>
      <c r="O377" s="1976"/>
      <c r="P377" s="1975"/>
      <c r="Q377" s="1975"/>
      <c r="R377" s="1975"/>
      <c r="S377" s="9"/>
      <c r="W377" s="9"/>
      <c r="X377" s="5283"/>
      <c r="Y377" s="1967"/>
      <c r="Z377" s="1969"/>
      <c r="AA377" s="1970"/>
      <c r="AB377" s="1969"/>
      <c r="AC377" s="1969"/>
      <c r="AD377" s="1969"/>
      <c r="AE377" s="1969"/>
      <c r="AG377" s="5285"/>
      <c r="AH377" s="1946"/>
      <c r="AI377" s="58"/>
      <c r="AJ377" s="1948"/>
      <c r="AK377" s="1948"/>
      <c r="AL377" s="172"/>
      <c r="AM377" s="5294"/>
      <c r="AN377" s="1944"/>
      <c r="AO377" s="1931"/>
      <c r="AP377" s="1931"/>
      <c r="AR377" s="5294">
        <f t="shared" ref="AR377" si="79">AR376+1</f>
        <v>16</v>
      </c>
      <c r="AS377" s="1949" t="s">
        <v>3785</v>
      </c>
      <c r="AT377" s="1935" t="s">
        <v>5292</v>
      </c>
      <c r="AU377" s="1936" t="s">
        <v>5293</v>
      </c>
      <c r="AV377" s="1935" t="s">
        <v>5294</v>
      </c>
      <c r="AW377" s="1936" t="s">
        <v>6503</v>
      </c>
      <c r="AX377" s="1936" t="s">
        <v>6504</v>
      </c>
      <c r="AY377" s="1949" t="s">
        <v>3785</v>
      </c>
      <c r="BA377" s="3">
        <v>1</v>
      </c>
    </row>
    <row r="378" spans="2:53" ht="30" customHeight="1">
      <c r="B378" s="1953"/>
      <c r="C378" s="1983"/>
      <c r="D378" s="1931"/>
      <c r="E378" s="1931"/>
      <c r="F378" s="9"/>
      <c r="G378" s="1953"/>
      <c r="H378" s="1904"/>
      <c r="I378" s="1965"/>
      <c r="J378" s="1965"/>
      <c r="L378" s="5294"/>
      <c r="M378" s="172"/>
      <c r="N378" s="1975"/>
      <c r="O378" s="1976"/>
      <c r="P378" s="1975"/>
      <c r="Q378" s="1975"/>
      <c r="R378" s="1975"/>
      <c r="S378" s="9"/>
      <c r="W378" s="9"/>
      <c r="X378" s="5283"/>
      <c r="Y378" s="1967"/>
      <c r="Z378" s="1969"/>
      <c r="AA378" s="1970"/>
      <c r="AB378" s="1969"/>
      <c r="AC378" s="1969"/>
      <c r="AD378" s="1969"/>
      <c r="AE378" s="1969"/>
      <c r="AG378" s="5285"/>
      <c r="AH378" s="1946"/>
      <c r="AI378" s="58"/>
      <c r="AJ378" s="1948"/>
      <c r="AK378" s="1948"/>
      <c r="AL378" s="172"/>
      <c r="AM378" s="5294"/>
      <c r="AN378" s="1944"/>
      <c r="AO378" s="1931"/>
      <c r="AP378" s="1931"/>
      <c r="AR378" s="5294">
        <v>16</v>
      </c>
      <c r="AS378" s="1949" t="s">
        <v>3790</v>
      </c>
      <c r="AT378" s="1935" t="s">
        <v>5295</v>
      </c>
      <c r="AU378" s="1936" t="s">
        <v>5296</v>
      </c>
      <c r="AV378" s="1935" t="s">
        <v>5297</v>
      </c>
      <c r="AW378" s="1936" t="s">
        <v>6505</v>
      </c>
      <c r="AX378" s="1936" t="s">
        <v>6506</v>
      </c>
      <c r="AY378" s="1949" t="s">
        <v>3790</v>
      </c>
      <c r="BA378" s="3">
        <v>1</v>
      </c>
    </row>
    <row r="379" spans="2:53" ht="30" customHeight="1">
      <c r="B379" s="1953"/>
      <c r="C379" s="1983"/>
      <c r="D379" s="1931"/>
      <c r="E379" s="1931"/>
      <c r="F379" s="9"/>
      <c r="G379" s="1953"/>
      <c r="H379" s="1904"/>
      <c r="I379" s="1965"/>
      <c r="J379" s="1965"/>
      <c r="L379" s="5294"/>
      <c r="M379" s="172"/>
      <c r="N379" s="1975"/>
      <c r="O379" s="1976"/>
      <c r="P379" s="1975"/>
      <c r="Q379" s="1975"/>
      <c r="R379" s="1975"/>
      <c r="S379" s="9"/>
      <c r="W379" s="9"/>
      <c r="X379" s="5283"/>
      <c r="Y379" s="1967"/>
      <c r="Z379" s="1969"/>
      <c r="AA379" s="1970"/>
      <c r="AB379" s="1969"/>
      <c r="AC379" s="1969"/>
      <c r="AD379" s="1969"/>
      <c r="AE379" s="1969"/>
      <c r="AG379" s="5285"/>
      <c r="AH379" s="1946"/>
      <c r="AI379" s="58"/>
      <c r="AJ379" s="1948"/>
      <c r="AK379" s="1948"/>
      <c r="AL379" s="172"/>
      <c r="AM379" s="5294"/>
      <c r="AN379" s="1944"/>
      <c r="AO379" s="1931"/>
      <c r="AP379" s="1931"/>
      <c r="AR379" s="5294">
        <f t="shared" ref="AR379" si="80">AR378+1</f>
        <v>17</v>
      </c>
      <c r="AS379" s="1949" t="s">
        <v>3797</v>
      </c>
      <c r="AT379" s="1935" t="s">
        <v>5298</v>
      </c>
      <c r="AU379" s="1936" t="s">
        <v>5299</v>
      </c>
      <c r="AV379" s="1935" t="s">
        <v>5300</v>
      </c>
      <c r="AW379" s="1935" t="s">
        <v>6507</v>
      </c>
      <c r="AX379" s="1935" t="s">
        <v>6508</v>
      </c>
      <c r="AY379" s="1949" t="s">
        <v>3797</v>
      </c>
      <c r="BA379" s="3">
        <v>1</v>
      </c>
    </row>
    <row r="380" spans="2:53" ht="30" customHeight="1">
      <c r="B380" s="1953"/>
      <c r="C380" s="1983"/>
      <c r="D380" s="1931"/>
      <c r="E380" s="1931"/>
      <c r="F380" s="9"/>
      <c r="G380" s="1953"/>
      <c r="H380" s="1904"/>
      <c r="I380" s="1965"/>
      <c r="J380" s="1965"/>
      <c r="L380" s="5294"/>
      <c r="M380" s="172"/>
      <c r="N380" s="1975"/>
      <c r="O380" s="1976"/>
      <c r="P380" s="1975"/>
      <c r="Q380" s="1975"/>
      <c r="R380" s="1975"/>
      <c r="S380" s="9"/>
      <c r="W380" s="9"/>
      <c r="X380" s="5283"/>
      <c r="Y380" s="1967"/>
      <c r="Z380" s="1969"/>
      <c r="AA380" s="1970"/>
      <c r="AB380" s="1969"/>
      <c r="AC380" s="1969"/>
      <c r="AD380" s="1969"/>
      <c r="AE380" s="1969"/>
      <c r="AG380" s="5285"/>
      <c r="AH380" s="1946"/>
      <c r="AI380" s="58"/>
      <c r="AJ380" s="1948"/>
      <c r="AK380" s="1948"/>
      <c r="AL380" s="172"/>
      <c r="AM380" s="5294"/>
      <c r="AN380" s="1944"/>
      <c r="AO380" s="1931"/>
      <c r="AP380" s="1931"/>
      <c r="AR380" s="5294">
        <v>17</v>
      </c>
      <c r="AS380" s="1949" t="s">
        <v>3804</v>
      </c>
      <c r="AT380" s="1935" t="s">
        <v>5301</v>
      </c>
      <c r="AU380" s="1936" t="s">
        <v>5302</v>
      </c>
      <c r="AV380" s="1935" t="s">
        <v>5303</v>
      </c>
      <c r="AW380" s="1935" t="s">
        <v>6509</v>
      </c>
      <c r="AX380" s="1935" t="s">
        <v>6510</v>
      </c>
      <c r="AY380" s="1949" t="s">
        <v>3804</v>
      </c>
      <c r="BA380" s="3">
        <v>1</v>
      </c>
    </row>
    <row r="381" spans="2:53" ht="30" customHeight="1">
      <c r="B381" s="1953"/>
      <c r="C381" s="1983"/>
      <c r="D381" s="1931"/>
      <c r="E381" s="1931"/>
      <c r="F381" s="9"/>
      <c r="G381" s="1953"/>
      <c r="H381" s="1904"/>
      <c r="I381" s="1965"/>
      <c r="J381" s="1965"/>
      <c r="L381" s="5294"/>
      <c r="M381" s="172"/>
      <c r="N381" s="1975"/>
      <c r="O381" s="1976"/>
      <c r="P381" s="1975"/>
      <c r="Q381" s="1975"/>
      <c r="R381" s="1975"/>
      <c r="S381" s="9"/>
      <c r="W381" s="9"/>
      <c r="X381" s="5283"/>
      <c r="Y381" s="1967"/>
      <c r="Z381" s="1969"/>
      <c r="AA381" s="1970"/>
      <c r="AB381" s="1969"/>
      <c r="AC381" s="1969"/>
      <c r="AD381" s="1969"/>
      <c r="AE381" s="1969"/>
      <c r="AG381" s="5285"/>
      <c r="AH381" s="1946"/>
      <c r="AI381" s="58"/>
      <c r="AJ381" s="1948"/>
      <c r="AK381" s="1948"/>
      <c r="AL381" s="172"/>
      <c r="AM381" s="5294"/>
      <c r="AN381" s="1944"/>
      <c r="AO381" s="1931"/>
      <c r="AP381" s="1931"/>
      <c r="AR381" s="5294">
        <f t="shared" ref="AR381" si="81">AR380+1</f>
        <v>18</v>
      </c>
      <c r="AS381" s="1949" t="s">
        <v>3811</v>
      </c>
      <c r="AT381" s="1935" t="s">
        <v>4514</v>
      </c>
      <c r="AU381" s="1936" t="s">
        <v>5304</v>
      </c>
      <c r="AV381" s="1935" t="s">
        <v>5305</v>
      </c>
      <c r="AW381" s="1936" t="s">
        <v>6511</v>
      </c>
      <c r="AX381" s="1936" t="s">
        <v>6512</v>
      </c>
      <c r="AY381" s="1949" t="s">
        <v>3811</v>
      </c>
      <c r="BA381" s="3">
        <v>1</v>
      </c>
    </row>
    <row r="382" spans="2:53" ht="30" customHeight="1">
      <c r="B382" s="1953"/>
      <c r="C382" s="1983"/>
      <c r="D382" s="1931"/>
      <c r="E382" s="1931"/>
      <c r="F382" s="9"/>
      <c r="G382" s="1953"/>
      <c r="H382" s="1904"/>
      <c r="I382" s="1965"/>
      <c r="J382" s="1965"/>
      <c r="L382" s="5294"/>
      <c r="M382" s="172"/>
      <c r="N382" s="1975"/>
      <c r="O382" s="1976"/>
      <c r="P382" s="1975"/>
      <c r="Q382" s="1975"/>
      <c r="R382" s="1975"/>
      <c r="S382" s="9"/>
      <c r="W382" s="9"/>
      <c r="X382" s="5283"/>
      <c r="Y382" s="1967"/>
      <c r="Z382" s="1969"/>
      <c r="AA382" s="1970"/>
      <c r="AB382" s="1969"/>
      <c r="AC382" s="1969"/>
      <c r="AD382" s="1969"/>
      <c r="AE382" s="1969"/>
      <c r="AG382" s="5285"/>
      <c r="AH382" s="1946"/>
      <c r="AI382" s="58"/>
      <c r="AJ382" s="1948"/>
      <c r="AK382" s="1948"/>
      <c r="AL382" s="172"/>
      <c r="AM382" s="5294"/>
      <c r="AN382" s="1944"/>
      <c r="AO382" s="1931"/>
      <c r="AP382" s="1931"/>
      <c r="AR382" s="5294">
        <v>18</v>
      </c>
      <c r="AS382" s="1949" t="s">
        <v>3818</v>
      </c>
      <c r="AT382" s="1935" t="s">
        <v>5306</v>
      </c>
      <c r="AU382" s="1936" t="s">
        <v>5307</v>
      </c>
      <c r="AV382" s="1935" t="s">
        <v>4706</v>
      </c>
      <c r="AW382" s="1935" t="s">
        <v>6166</v>
      </c>
      <c r="AX382" s="1935" t="s">
        <v>6167</v>
      </c>
      <c r="AY382" s="1949" t="s">
        <v>3818</v>
      </c>
      <c r="BA382" s="3">
        <v>1</v>
      </c>
    </row>
    <row r="383" spans="2:53" ht="30" customHeight="1">
      <c r="B383" s="1953"/>
      <c r="C383" s="1983"/>
      <c r="D383" s="1931"/>
      <c r="E383" s="1931"/>
      <c r="F383" s="9"/>
      <c r="G383" s="1953"/>
      <c r="H383" s="1904"/>
      <c r="I383" s="1965"/>
      <c r="J383" s="1965"/>
      <c r="L383" s="5294"/>
      <c r="M383" s="172"/>
      <c r="N383" s="1975"/>
      <c r="O383" s="1976"/>
      <c r="P383" s="1975"/>
      <c r="Q383" s="1975"/>
      <c r="R383" s="1975"/>
      <c r="S383" s="9"/>
      <c r="W383" s="9"/>
      <c r="X383" s="5283"/>
      <c r="Y383" s="1967"/>
      <c r="Z383" s="1969"/>
      <c r="AA383" s="1970"/>
      <c r="AB383" s="1969"/>
      <c r="AC383" s="1969"/>
      <c r="AD383" s="1969"/>
      <c r="AE383" s="1969"/>
      <c r="AG383" s="5285"/>
      <c r="AH383" s="1946"/>
      <c r="AI383" s="58"/>
      <c r="AJ383" s="1948"/>
      <c r="AK383" s="1948"/>
      <c r="AL383" s="172"/>
      <c r="AM383" s="5294"/>
      <c r="AN383" s="1944"/>
      <c r="AO383" s="1931"/>
      <c r="AP383" s="1931"/>
      <c r="AR383" s="5294">
        <f t="shared" ref="AR383" si="82">AR382+1</f>
        <v>19</v>
      </c>
      <c r="AS383" s="1949" t="s">
        <v>3826</v>
      </c>
      <c r="AT383" s="1935" t="s">
        <v>5308</v>
      </c>
      <c r="AU383" s="1936" t="s">
        <v>5309</v>
      </c>
      <c r="AV383" s="1935" t="s">
        <v>4706</v>
      </c>
      <c r="AW383" s="1935" t="s">
        <v>6166</v>
      </c>
      <c r="AX383" s="1935" t="s">
        <v>6167</v>
      </c>
      <c r="AY383" s="1949" t="s">
        <v>3826</v>
      </c>
      <c r="BA383" s="3">
        <v>1</v>
      </c>
    </row>
    <row r="384" spans="2:53" ht="30" customHeight="1">
      <c r="B384" s="1953"/>
      <c r="C384" s="1983"/>
      <c r="D384" s="1931"/>
      <c r="E384" s="1931"/>
      <c r="F384" s="9"/>
      <c r="G384" s="1953"/>
      <c r="H384" s="1904"/>
      <c r="I384" s="1965"/>
      <c r="J384" s="1965"/>
      <c r="L384" s="5294"/>
      <c r="M384" s="172"/>
      <c r="N384" s="1975"/>
      <c r="O384" s="1976"/>
      <c r="P384" s="1975"/>
      <c r="Q384" s="1975"/>
      <c r="R384" s="1975"/>
      <c r="S384" s="9"/>
      <c r="W384" s="9"/>
      <c r="X384" s="5283"/>
      <c r="Y384" s="1967"/>
      <c r="Z384" s="1969"/>
      <c r="AA384" s="1970"/>
      <c r="AB384" s="1969"/>
      <c r="AC384" s="1969"/>
      <c r="AD384" s="1969"/>
      <c r="AE384" s="1969"/>
      <c r="AG384" s="5285"/>
      <c r="AH384" s="1946"/>
      <c r="AI384" s="58"/>
      <c r="AJ384" s="1948"/>
      <c r="AK384" s="1948"/>
      <c r="AL384" s="172"/>
      <c r="AM384" s="5294"/>
      <c r="AN384" s="1944"/>
      <c r="AO384" s="1931"/>
      <c r="AP384" s="1931"/>
      <c r="AR384" s="5294">
        <v>19</v>
      </c>
      <c r="AS384" s="1949" t="s">
        <v>3833</v>
      </c>
      <c r="AT384" s="1935" t="s">
        <v>5310</v>
      </c>
      <c r="AU384" s="1936" t="s">
        <v>5311</v>
      </c>
      <c r="AV384" s="1935" t="s">
        <v>5312</v>
      </c>
      <c r="AW384" s="1936" t="s">
        <v>6513</v>
      </c>
      <c r="AX384" s="1936" t="s">
        <v>6514</v>
      </c>
      <c r="AY384" s="1949" t="s">
        <v>3833</v>
      </c>
      <c r="BA384" s="3">
        <v>1</v>
      </c>
    </row>
    <row r="385" spans="2:53" ht="30" customHeight="1">
      <c r="B385" s="1953"/>
      <c r="C385" s="1983"/>
      <c r="D385" s="1931"/>
      <c r="E385" s="1931"/>
      <c r="F385" s="9"/>
      <c r="G385" s="1953"/>
      <c r="H385" s="1904"/>
      <c r="I385" s="1965"/>
      <c r="J385" s="1965"/>
      <c r="L385" s="5294"/>
      <c r="M385" s="172"/>
      <c r="N385" s="1975"/>
      <c r="O385" s="1976"/>
      <c r="P385" s="1975"/>
      <c r="Q385" s="1975"/>
      <c r="R385" s="1975"/>
      <c r="S385" s="9"/>
      <c r="W385" s="9"/>
      <c r="X385" s="5283"/>
      <c r="Y385" s="1967"/>
      <c r="Z385" s="1969"/>
      <c r="AA385" s="1970"/>
      <c r="AB385" s="1969"/>
      <c r="AC385" s="1969"/>
      <c r="AD385" s="1969"/>
      <c r="AE385" s="1969"/>
      <c r="AG385" s="5285"/>
      <c r="AH385" s="1946"/>
      <c r="AI385" s="58"/>
      <c r="AJ385" s="1948"/>
      <c r="AK385" s="1948"/>
      <c r="AL385" s="172"/>
      <c r="AM385" s="5294"/>
      <c r="AN385" s="1944"/>
      <c r="AO385" s="1931"/>
      <c r="AP385" s="1931"/>
      <c r="AR385" s="5294">
        <f t="shared" ref="AR385" si="83">AR384+1</f>
        <v>20</v>
      </c>
      <c r="AS385" s="1949" t="s">
        <v>3840</v>
      </c>
      <c r="AT385" s="1935" t="s">
        <v>5313</v>
      </c>
      <c r="AU385" s="1936" t="s">
        <v>5314</v>
      </c>
      <c r="AV385" s="1935" t="s">
        <v>5315</v>
      </c>
      <c r="AW385" s="1935" t="s">
        <v>6515</v>
      </c>
      <c r="AX385" s="1935" t="s">
        <v>6516</v>
      </c>
      <c r="AY385" s="1949" t="s">
        <v>3840</v>
      </c>
      <c r="BA385" s="3">
        <v>1</v>
      </c>
    </row>
    <row r="386" spans="2:53" ht="30" customHeight="1">
      <c r="B386" s="1953"/>
      <c r="C386" s="1983"/>
      <c r="D386" s="1931"/>
      <c r="E386" s="1931"/>
      <c r="F386" s="9"/>
      <c r="G386" s="1953"/>
      <c r="H386" s="1904"/>
      <c r="I386" s="1965"/>
      <c r="J386" s="1965"/>
      <c r="L386" s="5294"/>
      <c r="M386" s="172"/>
      <c r="N386" s="1975"/>
      <c r="O386" s="1976"/>
      <c r="P386" s="1975"/>
      <c r="Q386" s="1975"/>
      <c r="R386" s="1975"/>
      <c r="S386" s="9"/>
      <c r="W386" s="9"/>
      <c r="X386" s="5283"/>
      <c r="Y386" s="1967"/>
      <c r="Z386" s="1969"/>
      <c r="AA386" s="1970"/>
      <c r="AB386" s="1969"/>
      <c r="AC386" s="1969"/>
      <c r="AD386" s="1969"/>
      <c r="AE386" s="1969"/>
      <c r="AG386" s="5285"/>
      <c r="AH386" s="1946"/>
      <c r="AI386" s="58"/>
      <c r="AJ386" s="1948"/>
      <c r="AK386" s="1948"/>
      <c r="AL386" s="172"/>
      <c r="AM386" s="5294"/>
      <c r="AN386" s="1944"/>
      <c r="AO386" s="1931"/>
      <c r="AP386" s="1931"/>
      <c r="AR386" s="5294">
        <v>20</v>
      </c>
      <c r="AS386" s="1949" t="s">
        <v>3844</v>
      </c>
      <c r="AT386" s="1935" t="s">
        <v>5316</v>
      </c>
      <c r="AU386" s="1936" t="s">
        <v>5317</v>
      </c>
      <c r="AV386" s="1935" t="s">
        <v>5318</v>
      </c>
      <c r="AW386" s="1936" t="s">
        <v>6517</v>
      </c>
      <c r="AX386" s="1936" t="s">
        <v>6518</v>
      </c>
      <c r="AY386" s="1949" t="s">
        <v>3844</v>
      </c>
      <c r="BA386" s="3">
        <v>1</v>
      </c>
    </row>
    <row r="387" spans="2:53" ht="30" customHeight="1">
      <c r="B387" s="1953"/>
      <c r="C387" s="1983"/>
      <c r="D387" s="1931"/>
      <c r="E387" s="1931"/>
      <c r="F387" s="9"/>
      <c r="G387" s="1953"/>
      <c r="H387" s="1904"/>
      <c r="I387" s="1965"/>
      <c r="J387" s="1965"/>
      <c r="L387" s="5294"/>
      <c r="M387" s="172"/>
      <c r="N387" s="1975"/>
      <c r="O387" s="1976"/>
      <c r="P387" s="1975"/>
      <c r="Q387" s="1975"/>
      <c r="R387" s="1975"/>
      <c r="S387" s="9"/>
      <c r="W387" s="9"/>
      <c r="X387" s="5283"/>
      <c r="Y387" s="1967"/>
      <c r="Z387" s="1969"/>
      <c r="AA387" s="1970"/>
      <c r="AB387" s="1969"/>
      <c r="AC387" s="1969"/>
      <c r="AD387" s="1969"/>
      <c r="AE387" s="1969"/>
      <c r="AG387" s="5285"/>
      <c r="AH387" s="1946"/>
      <c r="AI387" s="58"/>
      <c r="AJ387" s="1948"/>
      <c r="AK387" s="1948"/>
      <c r="AL387" s="172"/>
      <c r="AM387" s="5294"/>
      <c r="AN387" s="1944"/>
      <c r="AO387" s="1931"/>
      <c r="AP387" s="1931"/>
      <c r="AR387" s="5294">
        <f t="shared" ref="AR387" si="84">AR386+1</f>
        <v>21</v>
      </c>
      <c r="AS387" s="1949" t="s">
        <v>3850</v>
      </c>
      <c r="AT387" s="1935" t="s">
        <v>5319</v>
      </c>
      <c r="AU387" s="1936" t="s">
        <v>5320</v>
      </c>
      <c r="AV387" s="1935" t="s">
        <v>5321</v>
      </c>
      <c r="AW387" s="1936" t="s">
        <v>6519</v>
      </c>
      <c r="AX387" s="1936" t="s">
        <v>6520</v>
      </c>
      <c r="AY387" s="1949" t="s">
        <v>3850</v>
      </c>
      <c r="BA387" s="3">
        <v>1</v>
      </c>
    </row>
    <row r="388" spans="2:53" ht="30" customHeight="1">
      <c r="B388" s="1953"/>
      <c r="C388" s="1983"/>
      <c r="D388" s="1931"/>
      <c r="E388" s="1931"/>
      <c r="F388" s="9"/>
      <c r="G388" s="1953"/>
      <c r="H388" s="1904"/>
      <c r="I388" s="1965"/>
      <c r="J388" s="1965"/>
      <c r="L388" s="5294"/>
      <c r="M388" s="172"/>
      <c r="N388" s="1975"/>
      <c r="O388" s="1976"/>
      <c r="P388" s="1975"/>
      <c r="Q388" s="1975"/>
      <c r="R388" s="1975"/>
      <c r="S388" s="9"/>
      <c r="W388" s="9"/>
      <c r="X388" s="5283"/>
      <c r="Y388" s="1967"/>
      <c r="Z388" s="1969"/>
      <c r="AA388" s="1970"/>
      <c r="AB388" s="1969"/>
      <c r="AC388" s="1969"/>
      <c r="AD388" s="1969"/>
      <c r="AE388" s="1969"/>
      <c r="AG388" s="5285"/>
      <c r="AH388" s="1946"/>
      <c r="AI388" s="58"/>
      <c r="AJ388" s="1948"/>
      <c r="AK388" s="1948"/>
      <c r="AL388" s="172"/>
      <c r="AM388" s="5294"/>
      <c r="AN388" s="1944"/>
      <c r="AO388" s="1931"/>
      <c r="AP388" s="1931"/>
      <c r="AR388" s="5294">
        <v>21</v>
      </c>
      <c r="AS388" s="1949" t="s">
        <v>3859</v>
      </c>
      <c r="AT388" s="1931" t="s">
        <v>7444</v>
      </c>
      <c r="AU388" s="1931" t="s">
        <v>7445</v>
      </c>
      <c r="AV388" s="1935" t="s">
        <v>8166</v>
      </c>
      <c r="AW388" s="1935" t="s">
        <v>8167</v>
      </c>
      <c r="AX388" s="1935" t="s">
        <v>8168</v>
      </c>
      <c r="AY388" s="1949" t="s">
        <v>3859</v>
      </c>
      <c r="BA388" s="3">
        <v>1</v>
      </c>
    </row>
    <row r="389" spans="2:53" ht="30" customHeight="1">
      <c r="B389" s="1953"/>
      <c r="C389" s="1983"/>
      <c r="D389" s="1931"/>
      <c r="E389" s="1931"/>
      <c r="F389" s="9"/>
      <c r="G389" s="1953"/>
      <c r="H389" s="1904"/>
      <c r="I389" s="1965"/>
      <c r="J389" s="1965"/>
      <c r="L389" s="5294"/>
      <c r="M389" s="172"/>
      <c r="N389" s="1975"/>
      <c r="O389" s="1976"/>
      <c r="P389" s="1975"/>
      <c r="Q389" s="1975"/>
      <c r="R389" s="1975"/>
      <c r="S389" s="9"/>
      <c r="W389" s="9"/>
      <c r="X389" s="5283"/>
      <c r="Y389" s="1967"/>
      <c r="Z389" s="1969"/>
      <c r="AA389" s="1970"/>
      <c r="AB389" s="1969"/>
      <c r="AC389" s="1969"/>
      <c r="AD389" s="1969"/>
      <c r="AE389" s="1969"/>
      <c r="AG389" s="5285"/>
      <c r="AH389" s="1946"/>
      <c r="AI389" s="58"/>
      <c r="AJ389" s="1948"/>
      <c r="AK389" s="1948"/>
      <c r="AL389" s="172"/>
      <c r="AM389" s="5294"/>
      <c r="AN389" s="1944"/>
      <c r="AO389" s="1931"/>
      <c r="AP389" s="1931"/>
      <c r="AR389" s="5294">
        <f t="shared" ref="AR389" si="85">AR388+1</f>
        <v>22</v>
      </c>
      <c r="AS389" s="1949" t="s">
        <v>3864</v>
      </c>
      <c r="AT389" s="1935" t="s">
        <v>5322</v>
      </c>
      <c r="AU389" s="1936" t="s">
        <v>5323</v>
      </c>
      <c r="AV389" s="1935" t="s">
        <v>5324</v>
      </c>
      <c r="AW389" s="1936" t="s">
        <v>6521</v>
      </c>
      <c r="AX389" s="1936" t="s">
        <v>6522</v>
      </c>
      <c r="AY389" s="1949" t="s">
        <v>3864</v>
      </c>
      <c r="BA389" s="3">
        <v>1</v>
      </c>
    </row>
    <row r="390" spans="2:53" ht="30" customHeight="1">
      <c r="B390" s="1953"/>
      <c r="C390" s="1983"/>
      <c r="D390" s="1931"/>
      <c r="E390" s="1931"/>
      <c r="F390" s="9"/>
      <c r="G390" s="1953"/>
      <c r="H390" s="1904"/>
      <c r="I390" s="1965"/>
      <c r="J390" s="1965"/>
      <c r="L390" s="5294"/>
      <c r="M390" s="172"/>
      <c r="N390" s="1975"/>
      <c r="O390" s="1976"/>
      <c r="P390" s="1975"/>
      <c r="Q390" s="1975"/>
      <c r="R390" s="1975"/>
      <c r="S390" s="9"/>
      <c r="W390" s="9"/>
      <c r="X390" s="5283"/>
      <c r="Y390" s="1967"/>
      <c r="Z390" s="1969"/>
      <c r="AA390" s="1970"/>
      <c r="AB390" s="1969"/>
      <c r="AC390" s="1969"/>
      <c r="AD390" s="1969"/>
      <c r="AE390" s="1969"/>
      <c r="AG390" s="5285"/>
      <c r="AH390" s="1946"/>
      <c r="AI390" s="58"/>
      <c r="AJ390" s="1948"/>
      <c r="AK390" s="1948"/>
      <c r="AL390" s="172"/>
      <c r="AM390" s="5294"/>
      <c r="AN390" s="1944"/>
      <c r="AO390" s="1931"/>
      <c r="AP390" s="1931"/>
      <c r="AR390" s="5294">
        <v>22</v>
      </c>
      <c r="AS390" s="1949" t="s">
        <v>3871</v>
      </c>
      <c r="AT390" s="1935" t="s">
        <v>5325</v>
      </c>
      <c r="AU390" s="1936" t="s">
        <v>5326</v>
      </c>
      <c r="AV390" s="1935" t="s">
        <v>5327</v>
      </c>
      <c r="AW390" s="1935" t="s">
        <v>6523</v>
      </c>
      <c r="AX390" s="1935" t="s">
        <v>6524</v>
      </c>
      <c r="AY390" s="1949" t="s">
        <v>3871</v>
      </c>
      <c r="BA390" s="3">
        <v>1</v>
      </c>
    </row>
    <row r="391" spans="2:53" ht="30" customHeight="1">
      <c r="B391" s="1953"/>
      <c r="C391" s="1983"/>
      <c r="D391" s="1931"/>
      <c r="E391" s="1931"/>
      <c r="F391" s="9"/>
      <c r="G391" s="1953"/>
      <c r="H391" s="1904"/>
      <c r="I391" s="1965"/>
      <c r="J391" s="1965"/>
      <c r="L391" s="5294"/>
      <c r="M391" s="172"/>
      <c r="N391" s="1975"/>
      <c r="O391" s="1976"/>
      <c r="P391" s="1975"/>
      <c r="Q391" s="1975"/>
      <c r="R391" s="1975"/>
      <c r="S391" s="9"/>
      <c r="W391" s="9"/>
      <c r="X391" s="5283"/>
      <c r="Y391" s="1967"/>
      <c r="Z391" s="1969"/>
      <c r="AA391" s="1970"/>
      <c r="AB391" s="1969"/>
      <c r="AC391" s="1969"/>
      <c r="AD391" s="1969"/>
      <c r="AE391" s="1969"/>
      <c r="AG391" s="5285"/>
      <c r="AH391" s="1946"/>
      <c r="AI391" s="58"/>
      <c r="AJ391" s="1948"/>
      <c r="AK391" s="1948"/>
      <c r="AL391" s="172"/>
      <c r="AM391" s="5294"/>
      <c r="AN391" s="1944"/>
      <c r="AO391" s="1931"/>
      <c r="AP391" s="1931"/>
      <c r="AR391" s="5294">
        <f t="shared" ref="AR391" si="86">AR390+1</f>
        <v>23</v>
      </c>
      <c r="AS391" s="1949" t="s">
        <v>3875</v>
      </c>
      <c r="AT391" s="1935" t="s">
        <v>5328</v>
      </c>
      <c r="AU391" s="1936" t="s">
        <v>5329</v>
      </c>
      <c r="AV391" s="1935" t="s">
        <v>5330</v>
      </c>
      <c r="AW391" s="1935" t="s">
        <v>6525</v>
      </c>
      <c r="AX391" s="1935" t="s">
        <v>6526</v>
      </c>
      <c r="AY391" s="1949" t="s">
        <v>3875</v>
      </c>
      <c r="BA391" s="3">
        <v>1</v>
      </c>
    </row>
    <row r="392" spans="2:53" ht="30" customHeight="1">
      <c r="B392" s="1953"/>
      <c r="C392" s="1983"/>
      <c r="D392" s="1931"/>
      <c r="E392" s="1931"/>
      <c r="F392" s="9"/>
      <c r="G392" s="1953"/>
      <c r="H392" s="1904"/>
      <c r="I392" s="1965"/>
      <c r="J392" s="1965"/>
      <c r="L392" s="5294"/>
      <c r="M392" s="172"/>
      <c r="N392" s="1975"/>
      <c r="O392" s="1976"/>
      <c r="P392" s="1975"/>
      <c r="Q392" s="1975"/>
      <c r="R392" s="1975"/>
      <c r="S392" s="9"/>
      <c r="W392" s="9"/>
      <c r="X392" s="5283"/>
      <c r="Y392" s="1967"/>
      <c r="Z392" s="1969"/>
      <c r="AA392" s="1970"/>
      <c r="AB392" s="1969"/>
      <c r="AC392" s="1969"/>
      <c r="AD392" s="1969"/>
      <c r="AE392" s="1969"/>
      <c r="AG392" s="5285"/>
      <c r="AH392" s="1946"/>
      <c r="AI392" s="58"/>
      <c r="AJ392" s="1948"/>
      <c r="AK392" s="1948"/>
      <c r="AL392" s="172"/>
      <c r="AM392" s="5294"/>
      <c r="AN392" s="1944"/>
      <c r="AO392" s="1931"/>
      <c r="AP392" s="1931"/>
      <c r="AR392" s="5294">
        <v>23</v>
      </c>
      <c r="AS392" s="1949" t="s">
        <v>3881</v>
      </c>
      <c r="AT392" s="1935" t="s">
        <v>5331</v>
      </c>
      <c r="AU392" s="1936" t="s">
        <v>5332</v>
      </c>
      <c r="AV392" s="1935" t="s">
        <v>5333</v>
      </c>
      <c r="AW392" s="1936" t="s">
        <v>6527</v>
      </c>
      <c r="AX392" s="1936" t="s">
        <v>6528</v>
      </c>
      <c r="AY392" s="1949" t="s">
        <v>3881</v>
      </c>
      <c r="BA392" s="3">
        <v>1</v>
      </c>
    </row>
    <row r="393" spans="2:53" ht="30" customHeight="1">
      <c r="B393" s="1953"/>
      <c r="C393" s="1983"/>
      <c r="D393" s="1931"/>
      <c r="E393" s="1931"/>
      <c r="F393" s="9"/>
      <c r="G393" s="1953"/>
      <c r="H393" s="1904"/>
      <c r="I393" s="1965"/>
      <c r="J393" s="1965"/>
      <c r="L393" s="5294"/>
      <c r="M393" s="172"/>
      <c r="N393" s="1975"/>
      <c r="O393" s="1976"/>
      <c r="P393" s="1975"/>
      <c r="Q393" s="1975"/>
      <c r="R393" s="1975"/>
      <c r="S393" s="9"/>
      <c r="W393" s="9"/>
      <c r="X393" s="5283"/>
      <c r="Y393" s="1967"/>
      <c r="Z393" s="1969"/>
      <c r="AA393" s="1970"/>
      <c r="AB393" s="1969"/>
      <c r="AC393" s="1969"/>
      <c r="AD393" s="1969"/>
      <c r="AE393" s="1969"/>
      <c r="AG393" s="5285"/>
      <c r="AH393" s="1946"/>
      <c r="AI393" s="58"/>
      <c r="AJ393" s="1948"/>
      <c r="AK393" s="1948"/>
      <c r="AL393" s="172"/>
      <c r="AM393" s="5294"/>
      <c r="AN393" s="1944"/>
      <c r="AO393" s="1931"/>
      <c r="AP393" s="1931"/>
      <c r="AR393" s="5294">
        <f t="shared" ref="AR393" si="87">AR392+1</f>
        <v>24</v>
      </c>
      <c r="AS393" s="1949" t="s">
        <v>3885</v>
      </c>
      <c r="AT393" s="1935" t="s">
        <v>5334</v>
      </c>
      <c r="AU393" s="1936" t="s">
        <v>5335</v>
      </c>
      <c r="AV393" s="1935" t="s">
        <v>5336</v>
      </c>
      <c r="AW393" s="1935" t="s">
        <v>6529</v>
      </c>
      <c r="AX393" s="1935" t="s">
        <v>6530</v>
      </c>
      <c r="AY393" s="1949" t="s">
        <v>3885</v>
      </c>
      <c r="BA393" s="3">
        <v>1</v>
      </c>
    </row>
    <row r="394" spans="2:53" ht="30" customHeight="1">
      <c r="B394" s="1953"/>
      <c r="C394" s="1983"/>
      <c r="D394" s="1931"/>
      <c r="E394" s="1931"/>
      <c r="F394" s="9"/>
      <c r="G394" s="1953"/>
      <c r="H394" s="1904"/>
      <c r="I394" s="1965"/>
      <c r="J394" s="1965"/>
      <c r="L394" s="5294"/>
      <c r="M394" s="172"/>
      <c r="N394" s="1975"/>
      <c r="O394" s="1976"/>
      <c r="P394" s="1975"/>
      <c r="Q394" s="1975"/>
      <c r="R394" s="1975"/>
      <c r="S394" s="9"/>
      <c r="W394" s="9"/>
      <c r="X394" s="5283"/>
      <c r="Y394" s="1967"/>
      <c r="Z394" s="1969"/>
      <c r="AA394" s="1970"/>
      <c r="AB394" s="1969"/>
      <c r="AC394" s="1969"/>
      <c r="AD394" s="1969"/>
      <c r="AE394" s="1969"/>
      <c r="AG394" s="5285"/>
      <c r="AH394" s="1946"/>
      <c r="AI394" s="58"/>
      <c r="AJ394" s="1948"/>
      <c r="AK394" s="1948"/>
      <c r="AL394" s="172"/>
      <c r="AM394" s="5294"/>
      <c r="AN394" s="1944"/>
      <c r="AO394" s="1931"/>
      <c r="AP394" s="1931"/>
      <c r="AR394" s="5294">
        <v>24</v>
      </c>
      <c r="AS394" s="1949" t="s">
        <v>3892</v>
      </c>
      <c r="AT394" s="1935" t="s">
        <v>5337</v>
      </c>
      <c r="AU394" s="1936" t="s">
        <v>5338</v>
      </c>
      <c r="AV394" s="1935" t="s">
        <v>5339</v>
      </c>
      <c r="AW394" s="1936" t="s">
        <v>6531</v>
      </c>
      <c r="AX394" s="1936" t="s">
        <v>6532</v>
      </c>
      <c r="AY394" s="1949" t="s">
        <v>3892</v>
      </c>
      <c r="BA394" s="3">
        <v>1</v>
      </c>
    </row>
    <row r="395" spans="2:53" ht="30" customHeight="1">
      <c r="B395" s="1953"/>
      <c r="C395" s="1983"/>
      <c r="D395" s="1931"/>
      <c r="E395" s="1931"/>
      <c r="F395" s="9"/>
      <c r="G395" s="1953"/>
      <c r="H395" s="1904"/>
      <c r="I395" s="1965"/>
      <c r="J395" s="1965"/>
      <c r="L395" s="5294"/>
      <c r="M395" s="172"/>
      <c r="N395" s="1975"/>
      <c r="O395" s="1976"/>
      <c r="P395" s="1975"/>
      <c r="Q395" s="1975"/>
      <c r="R395" s="1975"/>
      <c r="S395" s="9"/>
      <c r="W395" s="9"/>
      <c r="X395" s="5283"/>
      <c r="Y395" s="1967"/>
      <c r="Z395" s="1969"/>
      <c r="AA395" s="1970"/>
      <c r="AB395" s="1969"/>
      <c r="AC395" s="1969"/>
      <c r="AD395" s="1969"/>
      <c r="AE395" s="1969"/>
      <c r="AG395" s="5285"/>
      <c r="AH395" s="1946"/>
      <c r="AI395" s="58"/>
      <c r="AJ395" s="1948"/>
      <c r="AK395" s="1948"/>
      <c r="AL395" s="172"/>
      <c r="AM395" s="5294"/>
      <c r="AN395" s="1944"/>
      <c r="AO395" s="1931"/>
      <c r="AP395" s="1931"/>
      <c r="AR395" s="5294">
        <f t="shared" ref="AR395" si="88">AR394+1</f>
        <v>25</v>
      </c>
      <c r="AS395" s="1949" t="s">
        <v>3900</v>
      </c>
      <c r="AT395" s="1935" t="s">
        <v>5340</v>
      </c>
      <c r="AU395" s="1936" t="s">
        <v>5341</v>
      </c>
      <c r="AV395" s="1935" t="s">
        <v>5342</v>
      </c>
      <c r="AW395" s="1935" t="s">
        <v>6533</v>
      </c>
      <c r="AX395" s="1935" t="s">
        <v>6534</v>
      </c>
      <c r="AY395" s="1949" t="s">
        <v>3900</v>
      </c>
      <c r="BA395" s="3">
        <v>1</v>
      </c>
    </row>
    <row r="396" spans="2:53" ht="30" customHeight="1">
      <c r="B396" s="1953"/>
      <c r="C396" s="1983"/>
      <c r="D396" s="1931"/>
      <c r="E396" s="1931"/>
      <c r="F396" s="9"/>
      <c r="G396" s="1953"/>
      <c r="H396" s="1904"/>
      <c r="I396" s="1965"/>
      <c r="J396" s="1965"/>
      <c r="L396" s="5294"/>
      <c r="M396" s="172"/>
      <c r="N396" s="1975"/>
      <c r="O396" s="1976"/>
      <c r="P396" s="1975"/>
      <c r="Q396" s="1975"/>
      <c r="R396" s="1975"/>
      <c r="S396" s="9"/>
      <c r="W396" s="9"/>
      <c r="X396" s="5283"/>
      <c r="Y396" s="1967"/>
      <c r="Z396" s="1969"/>
      <c r="AA396" s="1970"/>
      <c r="AB396" s="1969"/>
      <c r="AC396" s="1969"/>
      <c r="AD396" s="1969"/>
      <c r="AE396" s="1969"/>
      <c r="AG396" s="5285"/>
      <c r="AH396" s="1946"/>
      <c r="AI396" s="58"/>
      <c r="AJ396" s="1948"/>
      <c r="AK396" s="1948"/>
      <c r="AL396" s="172"/>
      <c r="AM396" s="5294"/>
      <c r="AN396" s="1944"/>
      <c r="AO396" s="1931"/>
      <c r="AP396" s="1931"/>
      <c r="AR396" s="5294">
        <v>25</v>
      </c>
      <c r="AS396" s="1949" t="s">
        <v>3906</v>
      </c>
      <c r="AT396" s="1935" t="s">
        <v>5343</v>
      </c>
      <c r="AU396" s="1936" t="s">
        <v>5344</v>
      </c>
      <c r="AV396" s="1935" t="s">
        <v>5345</v>
      </c>
      <c r="AW396" s="1935" t="s">
        <v>6535</v>
      </c>
      <c r="AX396" s="1936" t="s">
        <v>6536</v>
      </c>
      <c r="AY396" s="1949" t="s">
        <v>3906</v>
      </c>
      <c r="BA396" s="3">
        <v>1</v>
      </c>
    </row>
    <row r="397" spans="2:53" ht="30" customHeight="1">
      <c r="B397" s="1953"/>
      <c r="C397" s="1983"/>
      <c r="D397" s="1931"/>
      <c r="E397" s="1931"/>
      <c r="F397" s="9"/>
      <c r="G397" s="1953"/>
      <c r="H397" s="1904"/>
      <c r="I397" s="1965"/>
      <c r="J397" s="1965"/>
      <c r="L397" s="5294"/>
      <c r="M397" s="172"/>
      <c r="N397" s="1975"/>
      <c r="O397" s="1976"/>
      <c r="P397" s="1975"/>
      <c r="Q397" s="1975"/>
      <c r="R397" s="1975"/>
      <c r="S397" s="9"/>
      <c r="W397" s="9"/>
      <c r="X397" s="5283"/>
      <c r="Y397" s="1967"/>
      <c r="Z397" s="1969"/>
      <c r="AA397" s="1970"/>
      <c r="AB397" s="1969"/>
      <c r="AC397" s="1969"/>
      <c r="AD397" s="1969"/>
      <c r="AE397" s="1969"/>
      <c r="AG397" s="5285"/>
      <c r="AH397" s="1946"/>
      <c r="AI397" s="58"/>
      <c r="AJ397" s="1948"/>
      <c r="AK397" s="1948"/>
      <c r="AL397" s="172"/>
      <c r="AM397" s="5294"/>
      <c r="AN397" s="1944"/>
      <c r="AO397" s="1931"/>
      <c r="AP397" s="1931"/>
      <c r="AR397" s="5294">
        <f t="shared" ref="AR397" si="89">AR396+1</f>
        <v>26</v>
      </c>
      <c r="AS397" s="1949" t="s">
        <v>3912</v>
      </c>
      <c r="AT397" s="1935" t="s">
        <v>5346</v>
      </c>
      <c r="AU397" s="1936" t="s">
        <v>5347</v>
      </c>
      <c r="AV397" s="1935" t="s">
        <v>5348</v>
      </c>
      <c r="AW397" s="1936" t="s">
        <v>6537</v>
      </c>
      <c r="AX397" s="1935" t="s">
        <v>6538</v>
      </c>
      <c r="AY397" s="1949" t="s">
        <v>3912</v>
      </c>
      <c r="BA397" s="3">
        <v>1</v>
      </c>
    </row>
    <row r="398" spans="2:53" ht="30" customHeight="1">
      <c r="B398" s="1953"/>
      <c r="C398" s="1983"/>
      <c r="D398" s="1931"/>
      <c r="E398" s="1931"/>
      <c r="F398" s="9"/>
      <c r="G398" s="1953"/>
      <c r="H398" s="1904"/>
      <c r="I398" s="1965"/>
      <c r="J398" s="1965"/>
      <c r="L398" s="5294"/>
      <c r="M398" s="172"/>
      <c r="N398" s="1975"/>
      <c r="O398" s="1976"/>
      <c r="P398" s="1975"/>
      <c r="Q398" s="1975"/>
      <c r="R398" s="1975"/>
      <c r="S398" s="9"/>
      <c r="W398" s="9"/>
      <c r="X398" s="5283"/>
      <c r="Y398" s="1967"/>
      <c r="Z398" s="1969"/>
      <c r="AA398" s="1970"/>
      <c r="AB398" s="1969"/>
      <c r="AC398" s="1969"/>
      <c r="AD398" s="1969"/>
      <c r="AE398" s="1969"/>
      <c r="AG398" s="5285"/>
      <c r="AH398" s="1946"/>
      <c r="AI398" s="58"/>
      <c r="AJ398" s="1948"/>
      <c r="AK398" s="1948"/>
      <c r="AL398" s="172"/>
      <c r="AM398" s="5294"/>
      <c r="AN398" s="1944"/>
      <c r="AO398" s="1931"/>
      <c r="AP398" s="1931"/>
      <c r="AR398" s="5294">
        <v>26</v>
      </c>
      <c r="AS398" s="1949" t="s">
        <v>3918</v>
      </c>
      <c r="AT398" s="1935" t="s">
        <v>5349</v>
      </c>
      <c r="AU398" s="1936" t="s">
        <v>5350</v>
      </c>
      <c r="AV398" s="1935" t="s">
        <v>5351</v>
      </c>
      <c r="AW398" s="1936" t="s">
        <v>6539</v>
      </c>
      <c r="AX398" s="1936" t="s">
        <v>6540</v>
      </c>
      <c r="AY398" s="1949" t="s">
        <v>3918</v>
      </c>
      <c r="BA398" s="3">
        <v>1</v>
      </c>
    </row>
    <row r="399" spans="2:53" ht="30" customHeight="1">
      <c r="B399" s="1953"/>
      <c r="C399" s="1983"/>
      <c r="D399" s="1931"/>
      <c r="E399" s="1931"/>
      <c r="F399" s="9"/>
      <c r="G399" s="1953"/>
      <c r="H399" s="1904"/>
      <c r="I399" s="1965"/>
      <c r="J399" s="1965"/>
      <c r="L399" s="5294"/>
      <c r="M399" s="172"/>
      <c r="N399" s="1975"/>
      <c r="O399" s="1976"/>
      <c r="P399" s="1975"/>
      <c r="Q399" s="1975"/>
      <c r="R399" s="1975"/>
      <c r="S399" s="9"/>
      <c r="W399" s="9"/>
      <c r="X399" s="5283"/>
      <c r="Y399" s="1967"/>
      <c r="Z399" s="1969"/>
      <c r="AA399" s="1970"/>
      <c r="AB399" s="1969"/>
      <c r="AC399" s="1969"/>
      <c r="AD399" s="1969"/>
      <c r="AE399" s="1969"/>
      <c r="AG399" s="5285"/>
      <c r="AH399" s="1946"/>
      <c r="AI399" s="58"/>
      <c r="AJ399" s="1948"/>
      <c r="AK399" s="1948"/>
      <c r="AL399" s="172"/>
      <c r="AM399" s="5294"/>
      <c r="AN399" s="1944"/>
      <c r="AO399" s="1931"/>
      <c r="AP399" s="1931"/>
      <c r="AR399" s="5294">
        <f t="shared" ref="AR399" si="90">AR398+1</f>
        <v>27</v>
      </c>
      <c r="AS399" s="1949" t="s">
        <v>3923</v>
      </c>
      <c r="AT399" s="1935" t="s">
        <v>5352</v>
      </c>
      <c r="AU399" s="1936" t="s">
        <v>5353</v>
      </c>
      <c r="AV399" s="1935" t="s">
        <v>5354</v>
      </c>
      <c r="AW399" s="1936" t="s">
        <v>6541</v>
      </c>
      <c r="AX399" s="1936" t="s">
        <v>6542</v>
      </c>
      <c r="AY399" s="1949" t="s">
        <v>3923</v>
      </c>
      <c r="BA399" s="3">
        <v>1</v>
      </c>
    </row>
    <row r="400" spans="2:53" ht="30" customHeight="1">
      <c r="B400" s="1953"/>
      <c r="C400" s="1983"/>
      <c r="D400" s="1931"/>
      <c r="E400" s="1931"/>
      <c r="F400" s="9"/>
      <c r="G400" s="1953"/>
      <c r="H400" s="1904"/>
      <c r="I400" s="1965"/>
      <c r="J400" s="1965"/>
      <c r="L400" s="5294"/>
      <c r="M400" s="172"/>
      <c r="N400" s="1975"/>
      <c r="O400" s="1976"/>
      <c r="P400" s="1975"/>
      <c r="Q400" s="1975"/>
      <c r="R400" s="1975"/>
      <c r="S400" s="9"/>
      <c r="W400" s="9"/>
      <c r="X400" s="5283"/>
      <c r="Y400" s="1967"/>
      <c r="Z400" s="1969"/>
      <c r="AA400" s="1970"/>
      <c r="AB400" s="1969"/>
      <c r="AC400" s="1969"/>
      <c r="AD400" s="1969"/>
      <c r="AE400" s="1969"/>
      <c r="AG400" s="5285"/>
      <c r="AH400" s="1946"/>
      <c r="AI400" s="58"/>
      <c r="AJ400" s="1948"/>
      <c r="AK400" s="1948"/>
      <c r="AL400" s="172"/>
      <c r="AM400" s="5294"/>
      <c r="AN400" s="1944"/>
      <c r="AO400" s="1931"/>
      <c r="AP400" s="1931"/>
      <c r="AR400" s="5294">
        <v>27</v>
      </c>
      <c r="AS400" s="1949" t="s">
        <v>3928</v>
      </c>
      <c r="AT400" s="1935" t="s">
        <v>5355</v>
      </c>
      <c r="AU400" s="1936" t="s">
        <v>5356</v>
      </c>
      <c r="AV400" s="1935" t="s">
        <v>5357</v>
      </c>
      <c r="AW400" s="1936" t="s">
        <v>6543</v>
      </c>
      <c r="AX400" s="1936" t="s">
        <v>6544</v>
      </c>
      <c r="AY400" s="1949" t="s">
        <v>3928</v>
      </c>
      <c r="BA400" s="3">
        <v>1</v>
      </c>
    </row>
    <row r="401" spans="2:53" ht="30" customHeight="1">
      <c r="B401" s="1953"/>
      <c r="C401" s="1983"/>
      <c r="D401" s="1931"/>
      <c r="E401" s="1931"/>
      <c r="F401" s="9"/>
      <c r="G401" s="1953"/>
      <c r="H401" s="1904"/>
      <c r="I401" s="1965"/>
      <c r="J401" s="1965"/>
      <c r="L401" s="5294"/>
      <c r="M401" s="172"/>
      <c r="N401" s="1975"/>
      <c r="O401" s="1976"/>
      <c r="P401" s="1975"/>
      <c r="Q401" s="1975"/>
      <c r="R401" s="1975"/>
      <c r="S401" s="9"/>
      <c r="W401" s="9"/>
      <c r="X401" s="5283"/>
      <c r="Y401" s="1967"/>
      <c r="Z401" s="1969"/>
      <c r="AA401" s="1970"/>
      <c r="AB401" s="1969"/>
      <c r="AC401" s="1969"/>
      <c r="AD401" s="1969"/>
      <c r="AE401" s="1969"/>
      <c r="AG401" s="5285"/>
      <c r="AH401" s="1946"/>
      <c r="AI401" s="58"/>
      <c r="AJ401" s="1948"/>
      <c r="AK401" s="1948"/>
      <c r="AL401" s="172"/>
      <c r="AM401" s="5294"/>
      <c r="AN401" s="1944"/>
      <c r="AO401" s="1931"/>
      <c r="AP401" s="1931"/>
      <c r="AR401" s="5294">
        <f t="shared" ref="AR401" si="91">AR400+1</f>
        <v>28</v>
      </c>
      <c r="AS401" s="1949" t="s">
        <v>3934</v>
      </c>
      <c r="AT401" s="1935" t="s">
        <v>5358</v>
      </c>
      <c r="AU401" s="1936" t="s">
        <v>5359</v>
      </c>
      <c r="AV401" s="1935" t="s">
        <v>5360</v>
      </c>
      <c r="AW401" s="1936" t="s">
        <v>6545</v>
      </c>
      <c r="AX401" s="1936" t="s">
        <v>6546</v>
      </c>
      <c r="AY401" s="1949" t="s">
        <v>3934</v>
      </c>
      <c r="BA401" s="3">
        <v>1</v>
      </c>
    </row>
    <row r="402" spans="2:53" ht="30" customHeight="1">
      <c r="B402" s="1953"/>
      <c r="C402" s="1983"/>
      <c r="D402" s="1931"/>
      <c r="E402" s="1931"/>
      <c r="F402" s="9"/>
      <c r="G402" s="1953"/>
      <c r="H402" s="1904"/>
      <c r="I402" s="1965"/>
      <c r="J402" s="1965"/>
      <c r="L402" s="5294"/>
      <c r="M402" s="172"/>
      <c r="N402" s="1975"/>
      <c r="O402" s="1976"/>
      <c r="P402" s="1975"/>
      <c r="Q402" s="1975"/>
      <c r="R402" s="1975"/>
      <c r="S402" s="9"/>
      <c r="W402" s="9"/>
      <c r="X402" s="5283"/>
      <c r="Y402" s="1967"/>
      <c r="Z402" s="1969"/>
      <c r="AA402" s="1970"/>
      <c r="AB402" s="1969"/>
      <c r="AC402" s="1969"/>
      <c r="AD402" s="1969"/>
      <c r="AE402" s="1969"/>
      <c r="AG402" s="5285"/>
      <c r="AH402" s="1946"/>
      <c r="AI402" s="58"/>
      <c r="AJ402" s="1948"/>
      <c r="AK402" s="1948"/>
      <c r="AL402" s="172"/>
      <c r="AM402" s="5294"/>
      <c r="AN402" s="1944"/>
      <c r="AO402" s="1931"/>
      <c r="AP402" s="1931"/>
      <c r="AR402" s="5294">
        <v>28</v>
      </c>
      <c r="AS402" s="1932"/>
      <c r="AT402" s="1932"/>
      <c r="AU402" s="1932"/>
      <c r="AV402" s="1932"/>
      <c r="AW402" s="1932"/>
      <c r="AX402" s="1932"/>
      <c r="AY402" s="1932"/>
      <c r="BA402" s="3">
        <v>1</v>
      </c>
    </row>
    <row r="403" spans="2:53" ht="30" customHeight="1">
      <c r="B403" s="1953"/>
      <c r="C403" s="1983"/>
      <c r="D403" s="1931"/>
      <c r="E403" s="1931"/>
      <c r="F403" s="9"/>
      <c r="G403" s="1953"/>
      <c r="H403" s="1904"/>
      <c r="I403" s="1965"/>
      <c r="J403" s="1965"/>
      <c r="L403" s="5294"/>
      <c r="M403" s="172"/>
      <c r="N403" s="1975"/>
      <c r="O403" s="1976"/>
      <c r="P403" s="1975"/>
      <c r="Q403" s="1975"/>
      <c r="R403" s="1975"/>
      <c r="S403" s="9"/>
      <c r="W403" s="9"/>
      <c r="X403" s="5283"/>
      <c r="Y403" s="1967"/>
      <c r="Z403" s="1969"/>
      <c r="AA403" s="1970"/>
      <c r="AB403" s="1969"/>
      <c r="AC403" s="1969"/>
      <c r="AD403" s="1969"/>
      <c r="AE403" s="1969"/>
      <c r="AG403" s="5285"/>
      <c r="AH403" s="1946"/>
      <c r="AI403" s="58"/>
      <c r="AJ403" s="1948"/>
      <c r="AK403" s="1948"/>
      <c r="AL403" s="172"/>
      <c r="AM403" s="5294"/>
      <c r="AN403" s="1944"/>
      <c r="AO403" s="1931"/>
      <c r="AP403" s="1931"/>
      <c r="AR403" s="5294"/>
      <c r="AS403" s="1895" t="s">
        <v>3876</v>
      </c>
      <c r="AT403" s="1932"/>
      <c r="AU403" s="1932"/>
      <c r="AV403" s="1932"/>
      <c r="AW403" s="1932"/>
      <c r="AX403" s="1932"/>
      <c r="AY403" s="1895" t="s">
        <v>3876</v>
      </c>
      <c r="BA403" s="3">
        <v>1</v>
      </c>
    </row>
    <row r="404" spans="2:53" ht="30" customHeight="1">
      <c r="B404" s="1953"/>
      <c r="C404" s="1983"/>
      <c r="D404" s="1931"/>
      <c r="E404" s="1931"/>
      <c r="F404" s="9"/>
      <c r="G404" s="1953"/>
      <c r="H404" s="1904"/>
      <c r="I404" s="1965"/>
      <c r="J404" s="1965"/>
      <c r="L404" s="5294"/>
      <c r="M404" s="172"/>
      <c r="N404" s="1975"/>
      <c r="O404" s="1976"/>
      <c r="P404" s="1975"/>
      <c r="Q404" s="1975"/>
      <c r="R404" s="1975"/>
      <c r="S404" s="9"/>
      <c r="W404" s="9"/>
      <c r="X404" s="5283"/>
      <c r="Y404" s="1967"/>
      <c r="Z404" s="1969"/>
      <c r="AA404" s="1970"/>
      <c r="AB404" s="1969"/>
      <c r="AC404" s="1969"/>
      <c r="AD404" s="1969"/>
      <c r="AE404" s="1969"/>
      <c r="AG404" s="5285"/>
      <c r="AH404" s="1946"/>
      <c r="AI404" s="58"/>
      <c r="AJ404" s="1948"/>
      <c r="AK404" s="1948"/>
      <c r="AL404" s="172"/>
      <c r="AM404" s="5294"/>
      <c r="AN404" s="1944"/>
      <c r="AO404" s="1931"/>
      <c r="AP404" s="1931"/>
      <c r="AR404" s="5294">
        <v>1</v>
      </c>
      <c r="AS404" s="1949" t="s">
        <v>3952</v>
      </c>
      <c r="AT404" s="1935" t="s">
        <v>5361</v>
      </c>
      <c r="AU404" s="1936" t="s">
        <v>5362</v>
      </c>
      <c r="AV404" s="1935" t="s">
        <v>5363</v>
      </c>
      <c r="AW404" s="1935" t="s">
        <v>6547</v>
      </c>
      <c r="AX404" s="1935" t="s">
        <v>6548</v>
      </c>
      <c r="AY404" s="1949" t="s">
        <v>3952</v>
      </c>
      <c r="BA404" s="3">
        <v>1</v>
      </c>
    </row>
    <row r="405" spans="2:53" ht="30" customHeight="1">
      <c r="B405" s="1953"/>
      <c r="C405" s="1983"/>
      <c r="D405" s="1931"/>
      <c r="E405" s="1931"/>
      <c r="F405" s="9"/>
      <c r="G405" s="1953"/>
      <c r="H405" s="1904"/>
      <c r="I405" s="1965"/>
      <c r="J405" s="1965"/>
      <c r="L405" s="5294"/>
      <c r="M405" s="172"/>
      <c r="N405" s="1975"/>
      <c r="O405" s="1976"/>
      <c r="P405" s="1975"/>
      <c r="Q405" s="1975"/>
      <c r="R405" s="1975"/>
      <c r="S405" s="9"/>
      <c r="W405" s="9"/>
      <c r="X405" s="5283"/>
      <c r="Y405" s="1967"/>
      <c r="Z405" s="1969"/>
      <c r="AA405" s="1970"/>
      <c r="AB405" s="1969"/>
      <c r="AC405" s="1969"/>
      <c r="AD405" s="1969"/>
      <c r="AE405" s="1969"/>
      <c r="AG405" s="5285"/>
      <c r="AH405" s="1946"/>
      <c r="AI405" s="58"/>
      <c r="AJ405" s="1948"/>
      <c r="AK405" s="1948"/>
      <c r="AL405" s="172"/>
      <c r="AM405" s="5294"/>
      <c r="AN405" s="1944"/>
      <c r="AO405" s="1931"/>
      <c r="AP405" s="1931"/>
      <c r="AR405" s="5294">
        <f>AR404+1</f>
        <v>2</v>
      </c>
      <c r="AS405" s="1949" t="s">
        <v>3957</v>
      </c>
      <c r="AT405" s="1935" t="s">
        <v>5364</v>
      </c>
      <c r="AU405" s="1936" t="s">
        <v>5365</v>
      </c>
      <c r="AV405" s="1935" t="s">
        <v>5366</v>
      </c>
      <c r="AW405" s="1935" t="s">
        <v>6549</v>
      </c>
      <c r="AX405" s="1935" t="s">
        <v>6550</v>
      </c>
      <c r="AY405" s="1949" t="s">
        <v>3957</v>
      </c>
      <c r="BA405" s="3">
        <v>1</v>
      </c>
    </row>
    <row r="406" spans="2:53" ht="30" customHeight="1">
      <c r="B406" s="1953"/>
      <c r="C406" s="1983"/>
      <c r="D406" s="1931"/>
      <c r="E406" s="1931"/>
      <c r="F406" s="9"/>
      <c r="G406" s="1953"/>
      <c r="H406" s="1904"/>
      <c r="I406" s="1965"/>
      <c r="J406" s="1965"/>
      <c r="L406" s="5294"/>
      <c r="M406" s="172"/>
      <c r="N406" s="1975"/>
      <c r="O406" s="1976"/>
      <c r="P406" s="1975"/>
      <c r="Q406" s="1975"/>
      <c r="R406" s="1975"/>
      <c r="S406" s="9"/>
      <c r="W406" s="9"/>
      <c r="X406" s="5283"/>
      <c r="Y406" s="1967"/>
      <c r="Z406" s="1969"/>
      <c r="AA406" s="1970"/>
      <c r="AB406" s="1969"/>
      <c r="AC406" s="1969"/>
      <c r="AD406" s="1969"/>
      <c r="AE406" s="1969"/>
      <c r="AG406" s="5285"/>
      <c r="AH406" s="1946"/>
      <c r="AI406" s="58"/>
      <c r="AJ406" s="1948"/>
      <c r="AK406" s="1948"/>
      <c r="AL406" s="172"/>
      <c r="AM406" s="5294"/>
      <c r="AN406" s="1944"/>
      <c r="AO406" s="1931"/>
      <c r="AP406" s="1931"/>
      <c r="AR406" s="5294">
        <f t="shared" ref="AR406:AR428" si="92">AR405+1</f>
        <v>3</v>
      </c>
      <c r="AS406" s="1949" t="s">
        <v>3965</v>
      </c>
      <c r="AT406" s="1935" t="s">
        <v>5367</v>
      </c>
      <c r="AU406" s="1936" t="s">
        <v>5368</v>
      </c>
      <c r="AV406" s="1935" t="s">
        <v>5369</v>
      </c>
      <c r="AW406" s="1935" t="s">
        <v>6551</v>
      </c>
      <c r="AX406" s="1935" t="s">
        <v>6552</v>
      </c>
      <c r="AY406" s="1949" t="s">
        <v>3965</v>
      </c>
      <c r="BA406" s="3">
        <v>1</v>
      </c>
    </row>
    <row r="407" spans="2:53" ht="30" customHeight="1">
      <c r="B407" s="1953"/>
      <c r="C407" s="1983"/>
      <c r="D407" s="1931"/>
      <c r="E407" s="1931"/>
      <c r="F407" s="9"/>
      <c r="G407" s="1953"/>
      <c r="H407" s="1904"/>
      <c r="I407" s="1965"/>
      <c r="J407" s="1965"/>
      <c r="L407" s="5294"/>
      <c r="M407" s="172"/>
      <c r="N407" s="1975"/>
      <c r="O407" s="1976"/>
      <c r="P407" s="1975"/>
      <c r="Q407" s="1975"/>
      <c r="R407" s="1975"/>
      <c r="S407" s="9"/>
      <c r="W407" s="9"/>
      <c r="X407" s="5283"/>
      <c r="Y407" s="1967"/>
      <c r="Z407" s="1969"/>
      <c r="AA407" s="1970"/>
      <c r="AB407" s="1969"/>
      <c r="AC407" s="1969"/>
      <c r="AD407" s="1969"/>
      <c r="AE407" s="1969"/>
      <c r="AG407" s="5285"/>
      <c r="AH407" s="1946"/>
      <c r="AI407" s="58"/>
      <c r="AJ407" s="1948"/>
      <c r="AK407" s="1948"/>
      <c r="AL407" s="172"/>
      <c r="AM407" s="5294"/>
      <c r="AN407" s="1944"/>
      <c r="AO407" s="1931"/>
      <c r="AP407" s="1931"/>
      <c r="AR407" s="5294">
        <f t="shared" si="92"/>
        <v>4</v>
      </c>
      <c r="AS407" s="1949" t="s">
        <v>7471</v>
      </c>
      <c r="AT407" s="1931" t="s">
        <v>7472</v>
      </c>
      <c r="AU407" s="1931" t="s">
        <v>7473</v>
      </c>
      <c r="AV407" s="1935" t="s">
        <v>8169</v>
      </c>
      <c r="AW407" s="1935" t="s">
        <v>8170</v>
      </c>
      <c r="AX407" s="1935" t="s">
        <v>8171</v>
      </c>
      <c r="AY407" s="1949" t="s">
        <v>7471</v>
      </c>
      <c r="BA407" s="3">
        <v>1</v>
      </c>
    </row>
    <row r="408" spans="2:53" ht="30" customHeight="1">
      <c r="B408" s="1953"/>
      <c r="C408" s="1983"/>
      <c r="D408" s="1931"/>
      <c r="E408" s="1931"/>
      <c r="F408" s="9"/>
      <c r="G408" s="1953"/>
      <c r="H408" s="1904"/>
      <c r="I408" s="1965"/>
      <c r="J408" s="1965"/>
      <c r="L408" s="5294"/>
      <c r="M408" s="172"/>
      <c r="N408" s="1975"/>
      <c r="O408" s="1976"/>
      <c r="P408" s="1975"/>
      <c r="Q408" s="1975"/>
      <c r="R408" s="1975"/>
      <c r="S408" s="9"/>
      <c r="W408" s="9"/>
      <c r="X408" s="5283"/>
      <c r="Y408" s="1967"/>
      <c r="Z408" s="1969"/>
      <c r="AA408" s="1970"/>
      <c r="AB408" s="1969"/>
      <c r="AC408" s="1969"/>
      <c r="AD408" s="1969"/>
      <c r="AE408" s="1969"/>
      <c r="AG408" s="5285"/>
      <c r="AH408" s="1946"/>
      <c r="AI408" s="58"/>
      <c r="AJ408" s="1948"/>
      <c r="AK408" s="1948"/>
      <c r="AL408" s="172"/>
      <c r="AM408" s="5294"/>
      <c r="AN408" s="1944"/>
      <c r="AO408" s="1931"/>
      <c r="AP408" s="1931"/>
      <c r="AR408" s="5294">
        <f t="shared" si="92"/>
        <v>5</v>
      </c>
      <c r="AS408" s="1949" t="s">
        <v>3971</v>
      </c>
      <c r="AT408" s="1935" t="s">
        <v>5370</v>
      </c>
      <c r="AU408" s="1936" t="s">
        <v>5371</v>
      </c>
      <c r="AV408" s="1935" t="s">
        <v>5372</v>
      </c>
      <c r="AW408" s="1935" t="s">
        <v>6553</v>
      </c>
      <c r="AX408" s="1935" t="s">
        <v>6554</v>
      </c>
      <c r="AY408" s="1949" t="s">
        <v>3971</v>
      </c>
      <c r="BA408" s="3">
        <v>1</v>
      </c>
    </row>
    <row r="409" spans="2:53" ht="30" customHeight="1">
      <c r="B409" s="1953"/>
      <c r="C409" s="1983"/>
      <c r="D409" s="1931"/>
      <c r="E409" s="1931"/>
      <c r="F409" s="9"/>
      <c r="G409" s="1953"/>
      <c r="H409" s="1904"/>
      <c r="I409" s="1965"/>
      <c r="J409" s="1965"/>
      <c r="L409" s="5294"/>
      <c r="M409" s="172"/>
      <c r="N409" s="1975"/>
      <c r="O409" s="1976"/>
      <c r="P409" s="1975"/>
      <c r="Q409" s="1975"/>
      <c r="R409" s="1975"/>
      <c r="S409" s="9"/>
      <c r="W409" s="9"/>
      <c r="X409" s="5283"/>
      <c r="Y409" s="1967"/>
      <c r="Z409" s="1969"/>
      <c r="AA409" s="1970"/>
      <c r="AB409" s="1969"/>
      <c r="AC409" s="1969"/>
      <c r="AD409" s="1969"/>
      <c r="AE409" s="1969"/>
      <c r="AG409" s="5285"/>
      <c r="AH409" s="1946"/>
      <c r="AI409" s="58"/>
      <c r="AJ409" s="1948"/>
      <c r="AK409" s="1948"/>
      <c r="AL409" s="172"/>
      <c r="AM409" s="5294"/>
      <c r="AN409" s="1944"/>
      <c r="AO409" s="1931"/>
      <c r="AP409" s="1931"/>
      <c r="AR409" s="5294">
        <f t="shared" si="92"/>
        <v>6</v>
      </c>
      <c r="AS409" s="1949" t="s">
        <v>3977</v>
      </c>
      <c r="AT409" s="1935" t="s">
        <v>5373</v>
      </c>
      <c r="AU409" s="1936" t="s">
        <v>5374</v>
      </c>
      <c r="AV409" s="1935" t="s">
        <v>5375</v>
      </c>
      <c r="AW409" s="1935" t="s">
        <v>6555</v>
      </c>
      <c r="AX409" s="1935" t="s">
        <v>6556</v>
      </c>
      <c r="AY409" s="1949" t="s">
        <v>3977</v>
      </c>
      <c r="BA409" s="3">
        <v>1</v>
      </c>
    </row>
    <row r="410" spans="2:53" ht="30" customHeight="1">
      <c r="B410" s="1953"/>
      <c r="C410" s="1983"/>
      <c r="D410" s="1931"/>
      <c r="E410" s="1931"/>
      <c r="F410" s="9"/>
      <c r="G410" s="1953"/>
      <c r="H410" s="1904"/>
      <c r="I410" s="1965"/>
      <c r="J410" s="1965"/>
      <c r="L410" s="5294"/>
      <c r="M410" s="172"/>
      <c r="N410" s="1975"/>
      <c r="O410" s="1976"/>
      <c r="P410" s="1975"/>
      <c r="Q410" s="1975"/>
      <c r="R410" s="1975"/>
      <c r="S410" s="9"/>
      <c r="W410" s="9"/>
      <c r="X410" s="5283"/>
      <c r="Y410" s="1967"/>
      <c r="Z410" s="1969"/>
      <c r="AA410" s="1970"/>
      <c r="AB410" s="1969"/>
      <c r="AC410" s="1969"/>
      <c r="AD410" s="1969"/>
      <c r="AE410" s="1969"/>
      <c r="AG410" s="5285"/>
      <c r="AH410" s="1946"/>
      <c r="AI410" s="58"/>
      <c r="AJ410" s="1948"/>
      <c r="AK410" s="1948"/>
      <c r="AL410" s="172"/>
      <c r="AM410" s="5294"/>
      <c r="AN410" s="1944"/>
      <c r="AO410" s="1931"/>
      <c r="AP410" s="1931"/>
      <c r="AR410" s="5294">
        <f t="shared" si="92"/>
        <v>7</v>
      </c>
      <c r="AS410" s="1949" t="s">
        <v>3984</v>
      </c>
      <c r="AT410" s="1931" t="s">
        <v>7474</v>
      </c>
      <c r="AU410" s="1931" t="s">
        <v>7475</v>
      </c>
      <c r="AV410" s="1935" t="s">
        <v>8172</v>
      </c>
      <c r="AW410" s="1935" t="s">
        <v>8173</v>
      </c>
      <c r="AX410" s="1935" t="s">
        <v>8174</v>
      </c>
      <c r="AY410" s="1949" t="s">
        <v>3984</v>
      </c>
      <c r="BA410" s="3">
        <v>1</v>
      </c>
    </row>
    <row r="411" spans="2:53" ht="30" customHeight="1">
      <c r="B411" s="1953"/>
      <c r="C411" s="1983"/>
      <c r="D411" s="1931"/>
      <c r="E411" s="1931"/>
      <c r="F411" s="9"/>
      <c r="G411" s="1953"/>
      <c r="H411" s="1904"/>
      <c r="I411" s="1965"/>
      <c r="J411" s="1965"/>
      <c r="L411" s="5294"/>
      <c r="M411" s="172"/>
      <c r="N411" s="1975"/>
      <c r="O411" s="1976"/>
      <c r="P411" s="1975"/>
      <c r="Q411" s="1975"/>
      <c r="R411" s="1975"/>
      <c r="S411" s="9"/>
      <c r="W411" s="9"/>
      <c r="X411" s="5283"/>
      <c r="Y411" s="1967"/>
      <c r="Z411" s="1969"/>
      <c r="AA411" s="1970"/>
      <c r="AB411" s="1969"/>
      <c r="AC411" s="1969"/>
      <c r="AD411" s="1969"/>
      <c r="AE411" s="1969"/>
      <c r="AG411" s="5285"/>
      <c r="AH411" s="1946"/>
      <c r="AI411" s="58"/>
      <c r="AJ411" s="1948"/>
      <c r="AK411" s="1948"/>
      <c r="AL411" s="172"/>
      <c r="AM411" s="5294"/>
      <c r="AN411" s="1944"/>
      <c r="AO411" s="1931"/>
      <c r="AP411" s="1931"/>
      <c r="AR411" s="5294">
        <f t="shared" si="92"/>
        <v>8</v>
      </c>
      <c r="AS411" s="1949" t="s">
        <v>3990</v>
      </c>
      <c r="AT411" s="1931" t="s">
        <v>7482</v>
      </c>
      <c r="AU411" s="1931" t="s">
        <v>7483</v>
      </c>
      <c r="AV411" s="1935" t="s">
        <v>8175</v>
      </c>
      <c r="AW411" s="1935" t="s">
        <v>8176</v>
      </c>
      <c r="AX411" s="1935" t="s">
        <v>8177</v>
      </c>
      <c r="AY411" s="1949" t="s">
        <v>3990</v>
      </c>
      <c r="BA411" s="3">
        <v>1</v>
      </c>
    </row>
    <row r="412" spans="2:53" ht="30" customHeight="1">
      <c r="B412" s="1953"/>
      <c r="C412" s="1983"/>
      <c r="D412" s="1931"/>
      <c r="E412" s="1931"/>
      <c r="F412" s="9"/>
      <c r="G412" s="1953"/>
      <c r="H412" s="1904"/>
      <c r="I412" s="1965"/>
      <c r="J412" s="1965"/>
      <c r="L412" s="5294"/>
      <c r="M412" s="172"/>
      <c r="N412" s="1975"/>
      <c r="O412" s="1976"/>
      <c r="P412" s="1975"/>
      <c r="Q412" s="1975"/>
      <c r="R412" s="1975"/>
      <c r="S412" s="9"/>
      <c r="W412" s="9"/>
      <c r="X412" s="5283"/>
      <c r="Y412" s="1967"/>
      <c r="Z412" s="1969"/>
      <c r="AA412" s="1970"/>
      <c r="AB412" s="1969"/>
      <c r="AC412" s="1969"/>
      <c r="AD412" s="1969"/>
      <c r="AE412" s="1969"/>
      <c r="AG412" s="5285"/>
      <c r="AH412" s="1946"/>
      <c r="AI412" s="58"/>
      <c r="AJ412" s="1948"/>
      <c r="AK412" s="1948"/>
      <c r="AL412" s="172"/>
      <c r="AM412" s="5294"/>
      <c r="AN412" s="1944"/>
      <c r="AO412" s="1931"/>
      <c r="AP412" s="1931"/>
      <c r="AR412" s="5294">
        <f t="shared" si="92"/>
        <v>9</v>
      </c>
      <c r="AS412" s="1949" t="s">
        <v>7450</v>
      </c>
      <c r="AT412" s="1931" t="s">
        <v>7451</v>
      </c>
      <c r="AU412" s="1931" t="s">
        <v>7452</v>
      </c>
      <c r="AV412" s="1935" t="s">
        <v>8178</v>
      </c>
      <c r="AW412" s="1935" t="s">
        <v>8179</v>
      </c>
      <c r="AX412" s="1935" t="s">
        <v>8180</v>
      </c>
      <c r="AY412" s="1949" t="s">
        <v>7450</v>
      </c>
      <c r="BA412" s="3">
        <v>1</v>
      </c>
    </row>
    <row r="413" spans="2:53" ht="30" customHeight="1">
      <c r="B413" s="1953"/>
      <c r="C413" s="1983"/>
      <c r="D413" s="1931"/>
      <c r="E413" s="1931"/>
      <c r="F413" s="9"/>
      <c r="G413" s="1953"/>
      <c r="H413" s="1904"/>
      <c r="I413" s="1965"/>
      <c r="J413" s="1965"/>
      <c r="L413" s="5294"/>
      <c r="M413" s="172"/>
      <c r="N413" s="1975"/>
      <c r="O413" s="1976"/>
      <c r="P413" s="1975"/>
      <c r="Q413" s="1975"/>
      <c r="R413" s="1975"/>
      <c r="S413" s="9"/>
      <c r="W413" s="9"/>
      <c r="X413" s="5283"/>
      <c r="Y413" s="1967"/>
      <c r="Z413" s="1969"/>
      <c r="AA413" s="1970"/>
      <c r="AB413" s="1969"/>
      <c r="AC413" s="1969"/>
      <c r="AD413" s="1969"/>
      <c r="AE413" s="1969"/>
      <c r="AG413" s="5285"/>
      <c r="AH413" s="1946"/>
      <c r="AI413" s="58"/>
      <c r="AJ413" s="1948"/>
      <c r="AK413" s="1948"/>
      <c r="AL413" s="172"/>
      <c r="AM413" s="5294"/>
      <c r="AN413" s="1944"/>
      <c r="AO413" s="1931"/>
      <c r="AP413" s="1931"/>
      <c r="AR413" s="5294">
        <f t="shared" si="92"/>
        <v>10</v>
      </c>
      <c r="AS413" s="1949" t="s">
        <v>3997</v>
      </c>
      <c r="AT413" s="1935" t="s">
        <v>5376</v>
      </c>
      <c r="AU413" s="1936" t="s">
        <v>5377</v>
      </c>
      <c r="AV413" s="1935" t="s">
        <v>5378</v>
      </c>
      <c r="AW413" s="1935" t="s">
        <v>6557</v>
      </c>
      <c r="AX413" s="1935" t="s">
        <v>6558</v>
      </c>
      <c r="AY413" s="1949" t="s">
        <v>3997</v>
      </c>
      <c r="BA413" s="3">
        <v>1</v>
      </c>
    </row>
    <row r="414" spans="2:53" ht="30" customHeight="1">
      <c r="B414" s="1953"/>
      <c r="C414" s="1983"/>
      <c r="D414" s="1931"/>
      <c r="E414" s="1931"/>
      <c r="F414" s="9"/>
      <c r="G414" s="1953"/>
      <c r="H414" s="1904"/>
      <c r="I414" s="1965"/>
      <c r="J414" s="1965"/>
      <c r="L414" s="5294"/>
      <c r="M414" s="172"/>
      <c r="N414" s="1975"/>
      <c r="O414" s="1976"/>
      <c r="P414" s="1975"/>
      <c r="Q414" s="1975"/>
      <c r="R414" s="1975"/>
      <c r="S414" s="9"/>
      <c r="W414" s="9"/>
      <c r="X414" s="5283"/>
      <c r="Y414" s="1967"/>
      <c r="Z414" s="1969"/>
      <c r="AA414" s="1970"/>
      <c r="AB414" s="1969"/>
      <c r="AC414" s="1969"/>
      <c r="AD414" s="1969"/>
      <c r="AE414" s="1969"/>
      <c r="AG414" s="5285"/>
      <c r="AH414" s="1946"/>
      <c r="AI414" s="58"/>
      <c r="AJ414" s="1948"/>
      <c r="AK414" s="1948"/>
      <c r="AL414" s="172"/>
      <c r="AM414" s="5294"/>
      <c r="AN414" s="1944"/>
      <c r="AO414" s="1931"/>
      <c r="AP414" s="1931"/>
      <c r="AR414" s="5294">
        <f t="shared" si="92"/>
        <v>11</v>
      </c>
      <c r="AS414" s="1949" t="s">
        <v>4001</v>
      </c>
      <c r="AT414" s="1931" t="s">
        <v>7449</v>
      </c>
      <c r="AU414" s="1931" t="s">
        <v>4001</v>
      </c>
      <c r="AV414" s="1935" t="s">
        <v>8181</v>
      </c>
      <c r="AW414" s="1935" t="s">
        <v>8182</v>
      </c>
      <c r="AX414" s="1935" t="s">
        <v>8183</v>
      </c>
      <c r="AY414" s="1949" t="s">
        <v>4001</v>
      </c>
      <c r="BA414" s="3">
        <v>1</v>
      </c>
    </row>
    <row r="415" spans="2:53" ht="30" customHeight="1">
      <c r="B415" s="1953"/>
      <c r="C415" s="1983"/>
      <c r="D415" s="1931"/>
      <c r="E415" s="1931"/>
      <c r="F415" s="9"/>
      <c r="G415" s="1953"/>
      <c r="H415" s="1904"/>
      <c r="I415" s="1965"/>
      <c r="J415" s="1965"/>
      <c r="L415" s="5294"/>
      <c r="M415" s="172"/>
      <c r="N415" s="1975"/>
      <c r="O415" s="1976"/>
      <c r="P415" s="1975"/>
      <c r="Q415" s="1975"/>
      <c r="R415" s="1975"/>
      <c r="S415" s="9"/>
      <c r="W415" s="9"/>
      <c r="X415" s="5283"/>
      <c r="Y415" s="1967"/>
      <c r="Z415" s="1969"/>
      <c r="AA415" s="1970"/>
      <c r="AB415" s="1969"/>
      <c r="AC415" s="1969"/>
      <c r="AD415" s="1969"/>
      <c r="AE415" s="1969"/>
      <c r="AG415" s="5285"/>
      <c r="AH415" s="1946"/>
      <c r="AI415" s="58"/>
      <c r="AJ415" s="1948"/>
      <c r="AK415" s="1948"/>
      <c r="AL415" s="172"/>
      <c r="AM415" s="5294"/>
      <c r="AN415" s="1944"/>
      <c r="AO415" s="1931"/>
      <c r="AP415" s="1931"/>
      <c r="AR415" s="5294">
        <f t="shared" si="92"/>
        <v>12</v>
      </c>
      <c r="AS415" s="1949" t="s">
        <v>4007</v>
      </c>
      <c r="AT415" s="1935" t="s">
        <v>5379</v>
      </c>
      <c r="AU415" s="1936" t="s">
        <v>5380</v>
      </c>
      <c r="AV415" s="1935" t="s">
        <v>5381</v>
      </c>
      <c r="AW415" s="1935" t="s">
        <v>6559</v>
      </c>
      <c r="AX415" s="1935" t="s">
        <v>6560</v>
      </c>
      <c r="AY415" s="1949" t="s">
        <v>4007</v>
      </c>
      <c r="BA415" s="3">
        <v>1</v>
      </c>
    </row>
    <row r="416" spans="2:53" ht="30" customHeight="1">
      <c r="B416" s="1953"/>
      <c r="C416" s="1983"/>
      <c r="D416" s="1931"/>
      <c r="E416" s="1931"/>
      <c r="F416" s="9"/>
      <c r="G416" s="1953"/>
      <c r="H416" s="1904"/>
      <c r="I416" s="1965"/>
      <c r="J416" s="1965"/>
      <c r="L416" s="5294"/>
      <c r="M416" s="172"/>
      <c r="N416" s="1975"/>
      <c r="O416" s="1976"/>
      <c r="P416" s="1975"/>
      <c r="Q416" s="1975"/>
      <c r="R416" s="1975"/>
      <c r="S416" s="9"/>
      <c r="W416" s="9"/>
      <c r="X416" s="5283"/>
      <c r="Y416" s="1967"/>
      <c r="Z416" s="1969"/>
      <c r="AA416" s="1970"/>
      <c r="AB416" s="1969"/>
      <c r="AC416" s="1969"/>
      <c r="AD416" s="1969"/>
      <c r="AE416" s="1969"/>
      <c r="AG416" s="5285"/>
      <c r="AH416" s="1946"/>
      <c r="AI416" s="58"/>
      <c r="AJ416" s="1948"/>
      <c r="AK416" s="1948"/>
      <c r="AL416" s="172"/>
      <c r="AM416" s="5294"/>
      <c r="AN416" s="1944"/>
      <c r="AO416" s="1931"/>
      <c r="AP416" s="1931"/>
      <c r="AR416" s="5294">
        <f t="shared" si="92"/>
        <v>13</v>
      </c>
      <c r="AS416" s="1949" t="s">
        <v>4011</v>
      </c>
      <c r="AT416" s="1935" t="s">
        <v>5382</v>
      </c>
      <c r="AU416" s="1936" t="s">
        <v>5383</v>
      </c>
      <c r="AV416" s="1935" t="s">
        <v>5384</v>
      </c>
      <c r="AW416" s="1935" t="s">
        <v>6561</v>
      </c>
      <c r="AX416" s="1935" t="s">
        <v>6562</v>
      </c>
      <c r="AY416" s="1949" t="s">
        <v>4011</v>
      </c>
      <c r="BA416" s="3">
        <v>1</v>
      </c>
    </row>
    <row r="417" spans="2:53" ht="30" customHeight="1">
      <c r="B417" s="1953"/>
      <c r="C417" s="1983"/>
      <c r="D417" s="1931"/>
      <c r="E417" s="1931"/>
      <c r="F417" s="9"/>
      <c r="G417" s="1953"/>
      <c r="H417" s="1904"/>
      <c r="I417" s="1965"/>
      <c r="J417" s="1965"/>
      <c r="L417" s="5294"/>
      <c r="M417" s="172"/>
      <c r="N417" s="1975"/>
      <c r="O417" s="1976"/>
      <c r="P417" s="1975"/>
      <c r="Q417" s="1975"/>
      <c r="R417" s="1975"/>
      <c r="S417" s="9"/>
      <c r="W417" s="9"/>
      <c r="X417" s="5283"/>
      <c r="Y417" s="1967"/>
      <c r="Z417" s="1969"/>
      <c r="AA417" s="1970"/>
      <c r="AB417" s="1969"/>
      <c r="AC417" s="1969"/>
      <c r="AD417" s="1969"/>
      <c r="AE417" s="1969"/>
      <c r="AG417" s="5285"/>
      <c r="AH417" s="1946"/>
      <c r="AI417" s="58"/>
      <c r="AJ417" s="1948"/>
      <c r="AK417" s="1948"/>
      <c r="AL417" s="172"/>
      <c r="AM417" s="5294"/>
      <c r="AN417" s="1944"/>
      <c r="AO417" s="1931"/>
      <c r="AP417" s="1931"/>
      <c r="AR417" s="5294">
        <f t="shared" si="92"/>
        <v>14</v>
      </c>
      <c r="AS417" s="1949" t="s">
        <v>4015</v>
      </c>
      <c r="AT417" s="1935" t="s">
        <v>5385</v>
      </c>
      <c r="AU417" s="1936" t="s">
        <v>5386</v>
      </c>
      <c r="AV417" s="1935" t="s">
        <v>5387</v>
      </c>
      <c r="AW417" s="1935" t="s">
        <v>6563</v>
      </c>
      <c r="AX417" s="1935" t="s">
        <v>6564</v>
      </c>
      <c r="AY417" s="1949" t="s">
        <v>4015</v>
      </c>
      <c r="BA417" s="3">
        <v>1</v>
      </c>
    </row>
    <row r="418" spans="2:53" ht="30" customHeight="1">
      <c r="B418" s="1953"/>
      <c r="C418" s="1983"/>
      <c r="D418" s="1931"/>
      <c r="E418" s="1931"/>
      <c r="F418" s="9"/>
      <c r="G418" s="1953"/>
      <c r="H418" s="1904"/>
      <c r="I418" s="1965"/>
      <c r="J418" s="1965"/>
      <c r="L418" s="5294"/>
      <c r="M418" s="172"/>
      <c r="N418" s="1975"/>
      <c r="O418" s="1976"/>
      <c r="P418" s="1975"/>
      <c r="Q418" s="1975"/>
      <c r="R418" s="1975"/>
      <c r="S418" s="9"/>
      <c r="W418" s="9"/>
      <c r="X418" s="5283"/>
      <c r="Y418" s="1967"/>
      <c r="Z418" s="1969"/>
      <c r="AA418" s="1970"/>
      <c r="AB418" s="1969"/>
      <c r="AC418" s="1969"/>
      <c r="AD418" s="1969"/>
      <c r="AE418" s="1969"/>
      <c r="AG418" s="5285"/>
      <c r="AH418" s="1946"/>
      <c r="AI418" s="58"/>
      <c r="AJ418" s="1948"/>
      <c r="AK418" s="1948"/>
      <c r="AL418" s="172"/>
      <c r="AM418" s="5294"/>
      <c r="AN418" s="1944"/>
      <c r="AO418" s="1931"/>
      <c r="AP418" s="1931"/>
      <c r="AR418" s="5294">
        <f t="shared" si="92"/>
        <v>15</v>
      </c>
      <c r="AS418" s="1949" t="s">
        <v>5388</v>
      </c>
      <c r="AT418" s="1935" t="s">
        <v>5389</v>
      </c>
      <c r="AU418" s="1936" t="s">
        <v>5390</v>
      </c>
      <c r="AV418" s="1935" t="s">
        <v>5391</v>
      </c>
      <c r="AW418" s="1935" t="s">
        <v>6565</v>
      </c>
      <c r="AX418" s="1935" t="s">
        <v>6566</v>
      </c>
      <c r="AY418" s="1949" t="s">
        <v>5388</v>
      </c>
      <c r="BA418" s="3">
        <v>1</v>
      </c>
    </row>
    <row r="419" spans="2:53" ht="30" customHeight="1">
      <c r="B419" s="1953"/>
      <c r="C419" s="1983"/>
      <c r="D419" s="1931"/>
      <c r="E419" s="1931"/>
      <c r="F419" s="9"/>
      <c r="G419" s="1953"/>
      <c r="H419" s="1904"/>
      <c r="I419" s="1965"/>
      <c r="J419" s="1965"/>
      <c r="L419" s="5294"/>
      <c r="M419" s="172"/>
      <c r="N419" s="1975"/>
      <c r="O419" s="1976"/>
      <c r="P419" s="1975"/>
      <c r="Q419" s="1975"/>
      <c r="R419" s="1975"/>
      <c r="S419" s="9"/>
      <c r="W419" s="9"/>
      <c r="X419" s="5283"/>
      <c r="Y419" s="1967"/>
      <c r="Z419" s="1969"/>
      <c r="AA419" s="1970"/>
      <c r="AB419" s="1969"/>
      <c r="AC419" s="1969"/>
      <c r="AD419" s="1969"/>
      <c r="AE419" s="1969"/>
      <c r="AG419" s="5285"/>
      <c r="AH419" s="1946"/>
      <c r="AI419" s="58"/>
      <c r="AJ419" s="1948"/>
      <c r="AK419" s="1948"/>
      <c r="AL419" s="172"/>
      <c r="AM419" s="5294"/>
      <c r="AN419" s="1944"/>
      <c r="AO419" s="1931"/>
      <c r="AP419" s="1931"/>
      <c r="AR419" s="5294">
        <f t="shared" si="92"/>
        <v>16</v>
      </c>
      <c r="AS419" s="1949" t="s">
        <v>7496</v>
      </c>
      <c r="AT419" s="1931" t="s">
        <v>7497</v>
      </c>
      <c r="AU419" s="1931" t="s">
        <v>7498</v>
      </c>
      <c r="AV419" s="1935" t="s">
        <v>8184</v>
      </c>
      <c r="AW419" s="1935" t="s">
        <v>8185</v>
      </c>
      <c r="AX419" s="1935" t="s">
        <v>8186</v>
      </c>
      <c r="AY419" s="1949" t="s">
        <v>7496</v>
      </c>
      <c r="BA419" s="3">
        <v>1</v>
      </c>
    </row>
    <row r="420" spans="2:53" ht="30" customHeight="1">
      <c r="B420" s="1953"/>
      <c r="C420" s="1983"/>
      <c r="D420" s="1931"/>
      <c r="E420" s="1931"/>
      <c r="F420" s="9"/>
      <c r="G420" s="1953"/>
      <c r="H420" s="1904"/>
      <c r="I420" s="1965"/>
      <c r="J420" s="1965"/>
      <c r="L420" s="5294"/>
      <c r="M420" s="172"/>
      <c r="N420" s="1975"/>
      <c r="O420" s="1976"/>
      <c r="P420" s="1975"/>
      <c r="Q420" s="1975"/>
      <c r="R420" s="1975"/>
      <c r="S420" s="9"/>
      <c r="W420" s="9"/>
      <c r="X420" s="5283"/>
      <c r="Y420" s="1967"/>
      <c r="Z420" s="1969"/>
      <c r="AA420" s="1970"/>
      <c r="AB420" s="1969"/>
      <c r="AC420" s="1969"/>
      <c r="AD420" s="1969"/>
      <c r="AE420" s="1969"/>
      <c r="AG420" s="5285"/>
      <c r="AH420" s="1946"/>
      <c r="AI420" s="58"/>
      <c r="AJ420" s="1948"/>
      <c r="AK420" s="1948"/>
      <c r="AL420" s="172"/>
      <c r="AM420" s="5294"/>
      <c r="AN420" s="1944"/>
      <c r="AO420" s="1931"/>
      <c r="AP420" s="1931"/>
      <c r="AR420" s="5294">
        <f t="shared" si="92"/>
        <v>17</v>
      </c>
      <c r="AS420" s="1949" t="s">
        <v>4028</v>
      </c>
      <c r="AT420" s="1935" t="s">
        <v>5392</v>
      </c>
      <c r="AU420" s="1936" t="s">
        <v>5393</v>
      </c>
      <c r="AV420" s="1935" t="s">
        <v>5394</v>
      </c>
      <c r="AW420" s="1935" t="s">
        <v>6567</v>
      </c>
      <c r="AX420" s="1935" t="s">
        <v>6568</v>
      </c>
      <c r="AY420" s="1949" t="s">
        <v>4028</v>
      </c>
      <c r="BA420" s="3">
        <v>1</v>
      </c>
    </row>
    <row r="421" spans="2:53" ht="30" customHeight="1">
      <c r="B421" s="1953"/>
      <c r="C421" s="1983"/>
      <c r="D421" s="1931"/>
      <c r="E421" s="1931"/>
      <c r="F421" s="9"/>
      <c r="G421" s="1953"/>
      <c r="H421" s="1904"/>
      <c r="I421" s="1965"/>
      <c r="J421" s="1965"/>
      <c r="L421" s="5294"/>
      <c r="M421" s="172"/>
      <c r="N421" s="1975"/>
      <c r="O421" s="1976"/>
      <c r="P421" s="1975"/>
      <c r="Q421" s="1975"/>
      <c r="R421" s="1975"/>
      <c r="S421" s="9"/>
      <c r="W421" s="9"/>
      <c r="X421" s="5283"/>
      <c r="Y421" s="1967"/>
      <c r="Z421" s="1969"/>
      <c r="AA421" s="1970"/>
      <c r="AB421" s="1969"/>
      <c r="AC421" s="1969"/>
      <c r="AD421" s="1969"/>
      <c r="AE421" s="1969"/>
      <c r="AG421" s="5285"/>
      <c r="AH421" s="1946"/>
      <c r="AI421" s="58"/>
      <c r="AJ421" s="1948"/>
      <c r="AK421" s="1948"/>
      <c r="AL421" s="172"/>
      <c r="AM421" s="5294"/>
      <c r="AN421" s="1944"/>
      <c r="AO421" s="1931"/>
      <c r="AP421" s="1931"/>
      <c r="AR421" s="5294">
        <f t="shared" si="92"/>
        <v>18</v>
      </c>
      <c r="AS421" s="1949" t="s">
        <v>4033</v>
      </c>
      <c r="AT421" s="1935" t="s">
        <v>5395</v>
      </c>
      <c r="AU421" s="1936" t="s">
        <v>5396</v>
      </c>
      <c r="AV421" s="1935" t="s">
        <v>5397</v>
      </c>
      <c r="AW421" s="1935" t="s">
        <v>6569</v>
      </c>
      <c r="AX421" s="1935" t="s">
        <v>6570</v>
      </c>
      <c r="AY421" s="1949" t="s">
        <v>4033</v>
      </c>
      <c r="BA421" s="3">
        <v>1</v>
      </c>
    </row>
    <row r="422" spans="2:53" ht="30" customHeight="1">
      <c r="B422" s="1953"/>
      <c r="C422" s="1983"/>
      <c r="D422" s="1931"/>
      <c r="E422" s="1931"/>
      <c r="F422" s="9"/>
      <c r="G422" s="1953"/>
      <c r="H422" s="1904"/>
      <c r="I422" s="1965"/>
      <c r="J422" s="1965"/>
      <c r="L422" s="5294"/>
      <c r="M422" s="172"/>
      <c r="N422" s="1975"/>
      <c r="O422" s="1976"/>
      <c r="P422" s="1975"/>
      <c r="Q422" s="1975"/>
      <c r="R422" s="1975"/>
      <c r="S422" s="9"/>
      <c r="W422" s="9"/>
      <c r="X422" s="5283"/>
      <c r="Y422" s="1967"/>
      <c r="Z422" s="1969"/>
      <c r="AA422" s="1970"/>
      <c r="AB422" s="1969"/>
      <c r="AC422" s="1969"/>
      <c r="AD422" s="1969"/>
      <c r="AE422" s="1969"/>
      <c r="AG422" s="5285"/>
      <c r="AH422" s="1946"/>
      <c r="AI422" s="58"/>
      <c r="AJ422" s="1948"/>
      <c r="AK422" s="1948"/>
      <c r="AL422" s="172"/>
      <c r="AM422" s="5294"/>
      <c r="AN422" s="1944"/>
      <c r="AO422" s="1931"/>
      <c r="AP422" s="1931"/>
      <c r="AR422" s="5294">
        <f t="shared" si="92"/>
        <v>19</v>
      </c>
      <c r="AS422" s="1949" t="s">
        <v>4038</v>
      </c>
      <c r="AT422" s="1935" t="s">
        <v>5398</v>
      </c>
      <c r="AU422" s="1936" t="s">
        <v>5399</v>
      </c>
      <c r="AV422" s="1935" t="s">
        <v>5400</v>
      </c>
      <c r="AW422" s="1935" t="s">
        <v>6571</v>
      </c>
      <c r="AX422" s="1935" t="s">
        <v>6572</v>
      </c>
      <c r="AY422" s="1949" t="s">
        <v>4038</v>
      </c>
      <c r="BA422" s="3">
        <v>1</v>
      </c>
    </row>
    <row r="423" spans="2:53" ht="30" customHeight="1">
      <c r="B423" s="1953"/>
      <c r="C423" s="1983"/>
      <c r="D423" s="1931"/>
      <c r="E423" s="1931"/>
      <c r="F423" s="9"/>
      <c r="G423" s="1953"/>
      <c r="H423" s="1904"/>
      <c r="I423" s="1965"/>
      <c r="J423" s="1965"/>
      <c r="L423" s="5294"/>
      <c r="M423" s="172"/>
      <c r="N423" s="1975"/>
      <c r="O423" s="1976"/>
      <c r="P423" s="1975"/>
      <c r="Q423" s="1975"/>
      <c r="R423" s="1975"/>
      <c r="S423" s="9"/>
      <c r="W423" s="9"/>
      <c r="X423" s="5283"/>
      <c r="Y423" s="1967"/>
      <c r="Z423" s="1969"/>
      <c r="AA423" s="1970"/>
      <c r="AB423" s="1969"/>
      <c r="AC423" s="1969"/>
      <c r="AD423" s="1969"/>
      <c r="AE423" s="1969"/>
      <c r="AG423" s="5285"/>
      <c r="AH423" s="1946"/>
      <c r="AI423" s="58"/>
      <c r="AJ423" s="1948"/>
      <c r="AK423" s="1948"/>
      <c r="AL423" s="172"/>
      <c r="AM423" s="5294"/>
      <c r="AN423" s="1944"/>
      <c r="AO423" s="1931"/>
      <c r="AP423" s="1931"/>
      <c r="AR423" s="5294">
        <f t="shared" si="92"/>
        <v>20</v>
      </c>
      <c r="AS423" s="1949" t="s">
        <v>4044</v>
      </c>
      <c r="AT423" s="1935" t="s">
        <v>5401</v>
      </c>
      <c r="AU423" s="1936" t="s">
        <v>5402</v>
      </c>
      <c r="AV423" s="1935" t="s">
        <v>5403</v>
      </c>
      <c r="AW423" s="1935" t="s">
        <v>6573</v>
      </c>
      <c r="AX423" s="1935" t="s">
        <v>6574</v>
      </c>
      <c r="AY423" s="1949" t="s">
        <v>4044</v>
      </c>
      <c r="BA423" s="3">
        <v>1</v>
      </c>
    </row>
    <row r="424" spans="2:53" ht="30" customHeight="1">
      <c r="B424" s="1953"/>
      <c r="C424" s="1983"/>
      <c r="D424" s="1931"/>
      <c r="E424" s="1931"/>
      <c r="F424" s="9"/>
      <c r="G424" s="1953"/>
      <c r="H424" s="1904"/>
      <c r="I424" s="1965"/>
      <c r="J424" s="1965"/>
      <c r="L424" s="5294"/>
      <c r="M424" s="172"/>
      <c r="N424" s="1975"/>
      <c r="O424" s="1976"/>
      <c r="P424" s="1975"/>
      <c r="Q424" s="1975"/>
      <c r="R424" s="1975"/>
      <c r="S424" s="9"/>
      <c r="W424" s="9"/>
      <c r="X424" s="5283"/>
      <c r="Y424" s="1967"/>
      <c r="Z424" s="1969"/>
      <c r="AA424" s="1970"/>
      <c r="AB424" s="1969"/>
      <c r="AC424" s="1969"/>
      <c r="AD424" s="1969"/>
      <c r="AE424" s="1969"/>
      <c r="AG424" s="5285"/>
      <c r="AH424" s="1946"/>
      <c r="AI424" s="58"/>
      <c r="AJ424" s="1948"/>
      <c r="AK424" s="1948"/>
      <c r="AL424" s="172"/>
      <c r="AM424" s="5294"/>
      <c r="AN424" s="1944"/>
      <c r="AO424" s="1931"/>
      <c r="AP424" s="1931"/>
      <c r="AR424" s="5294">
        <f t="shared" si="92"/>
        <v>21</v>
      </c>
      <c r="AS424" s="1949" t="s">
        <v>4049</v>
      </c>
      <c r="AT424" s="1935" t="s">
        <v>5404</v>
      </c>
      <c r="AU424" s="1936" t="s">
        <v>5405</v>
      </c>
      <c r="AV424" s="1935" t="s">
        <v>5406</v>
      </c>
      <c r="AW424" s="1935" t="s">
        <v>6575</v>
      </c>
      <c r="AX424" s="1935" t="s">
        <v>6576</v>
      </c>
      <c r="AY424" s="1949" t="s">
        <v>4049</v>
      </c>
      <c r="BA424" s="3">
        <v>1</v>
      </c>
    </row>
    <row r="425" spans="2:53" ht="30" customHeight="1">
      <c r="B425" s="1953"/>
      <c r="C425" s="1983"/>
      <c r="D425" s="1931"/>
      <c r="E425" s="1931"/>
      <c r="F425" s="9"/>
      <c r="G425" s="1953"/>
      <c r="H425" s="1904"/>
      <c r="I425" s="1965"/>
      <c r="J425" s="1965"/>
      <c r="L425" s="5294"/>
      <c r="M425" s="172"/>
      <c r="N425" s="1975"/>
      <c r="O425" s="1976"/>
      <c r="P425" s="1975"/>
      <c r="Q425" s="1975"/>
      <c r="R425" s="1975"/>
      <c r="S425" s="9"/>
      <c r="W425" s="9"/>
      <c r="X425" s="5283"/>
      <c r="Y425" s="1967"/>
      <c r="Z425" s="1969"/>
      <c r="AA425" s="1970"/>
      <c r="AB425" s="1969"/>
      <c r="AC425" s="1969"/>
      <c r="AD425" s="1969"/>
      <c r="AE425" s="1969"/>
      <c r="AG425" s="5285"/>
      <c r="AH425" s="1946"/>
      <c r="AI425" s="58"/>
      <c r="AJ425" s="1948"/>
      <c r="AK425" s="1948"/>
      <c r="AL425" s="172"/>
      <c r="AM425" s="5294"/>
      <c r="AN425" s="1944"/>
      <c r="AO425" s="1931"/>
      <c r="AP425" s="1931"/>
      <c r="AR425" s="5294">
        <f t="shared" si="92"/>
        <v>22</v>
      </c>
      <c r="AS425" s="1949" t="s">
        <v>4053</v>
      </c>
      <c r="AT425" s="1935" t="s">
        <v>5407</v>
      </c>
      <c r="AU425" s="1936" t="s">
        <v>5408</v>
      </c>
      <c r="AV425" s="1935" t="s">
        <v>5409</v>
      </c>
      <c r="AW425" s="1935" t="s">
        <v>6577</v>
      </c>
      <c r="AX425" s="1935" t="s">
        <v>6578</v>
      </c>
      <c r="AY425" s="1949" t="s">
        <v>4053</v>
      </c>
      <c r="BA425" s="3">
        <v>1</v>
      </c>
    </row>
    <row r="426" spans="2:53" ht="30" customHeight="1">
      <c r="B426" s="1953"/>
      <c r="C426" s="1983"/>
      <c r="D426" s="1931"/>
      <c r="E426" s="1931"/>
      <c r="F426" s="9"/>
      <c r="G426" s="1953"/>
      <c r="H426" s="1904"/>
      <c r="I426" s="1965"/>
      <c r="J426" s="1965"/>
      <c r="L426" s="5294"/>
      <c r="M426" s="172"/>
      <c r="N426" s="1975"/>
      <c r="O426" s="1976"/>
      <c r="P426" s="1975"/>
      <c r="Q426" s="1975"/>
      <c r="R426" s="1975"/>
      <c r="S426" s="9"/>
      <c r="W426" s="9"/>
      <c r="X426" s="5283"/>
      <c r="Y426" s="1967"/>
      <c r="Z426" s="1969"/>
      <c r="AA426" s="1970"/>
      <c r="AB426" s="1969"/>
      <c r="AC426" s="1969"/>
      <c r="AD426" s="1969"/>
      <c r="AE426" s="1969"/>
      <c r="AG426" s="5285"/>
      <c r="AH426" s="1946"/>
      <c r="AI426" s="58"/>
      <c r="AJ426" s="1948"/>
      <c r="AK426" s="1948"/>
      <c r="AL426" s="172"/>
      <c r="AM426" s="5294"/>
      <c r="AN426" s="1944"/>
      <c r="AO426" s="1931"/>
      <c r="AP426" s="1931"/>
      <c r="AR426" s="5294">
        <f t="shared" si="92"/>
        <v>23</v>
      </c>
      <c r="AS426" s="1949" t="s">
        <v>7510</v>
      </c>
      <c r="AT426" s="1931" t="s">
        <v>7511</v>
      </c>
      <c r="AU426" s="1931" t="s">
        <v>7512</v>
      </c>
      <c r="AV426" s="1935" t="s">
        <v>8187</v>
      </c>
      <c r="AW426" s="1935" t="s">
        <v>8188</v>
      </c>
      <c r="AX426" s="1935" t="s">
        <v>8189</v>
      </c>
      <c r="AY426" s="1949" t="s">
        <v>7510</v>
      </c>
      <c r="BA426" s="3">
        <v>1</v>
      </c>
    </row>
    <row r="427" spans="2:53" ht="30" customHeight="1">
      <c r="B427" s="1953"/>
      <c r="C427" s="1983"/>
      <c r="D427" s="1931"/>
      <c r="E427" s="1931"/>
      <c r="F427" s="9"/>
      <c r="G427" s="1953"/>
      <c r="H427" s="1904"/>
      <c r="I427" s="1965"/>
      <c r="J427" s="1965"/>
      <c r="L427" s="5294"/>
      <c r="M427" s="172"/>
      <c r="N427" s="1975"/>
      <c r="O427" s="1976"/>
      <c r="P427" s="1975"/>
      <c r="Q427" s="1975"/>
      <c r="R427" s="1975"/>
      <c r="S427" s="9"/>
      <c r="W427" s="9"/>
      <c r="X427" s="5283"/>
      <c r="Y427" s="1967"/>
      <c r="Z427" s="1969"/>
      <c r="AA427" s="1970"/>
      <c r="AB427" s="1969"/>
      <c r="AC427" s="1969"/>
      <c r="AD427" s="1969"/>
      <c r="AE427" s="1969"/>
      <c r="AG427" s="5285"/>
      <c r="AH427" s="1946"/>
      <c r="AI427" s="58"/>
      <c r="AJ427" s="1948"/>
      <c r="AK427" s="1948"/>
      <c r="AL427" s="172"/>
      <c r="AM427" s="5294"/>
      <c r="AN427" s="1944"/>
      <c r="AO427" s="1931"/>
      <c r="AP427" s="1931"/>
      <c r="AR427" s="5294">
        <f t="shared" si="92"/>
        <v>24</v>
      </c>
      <c r="AS427" s="1949" t="s">
        <v>4061</v>
      </c>
      <c r="AT427" s="1935" t="s">
        <v>5410</v>
      </c>
      <c r="AU427" s="1936" t="s">
        <v>5411</v>
      </c>
      <c r="AV427" s="1935" t="s">
        <v>5412</v>
      </c>
      <c r="AW427" s="1935" t="s">
        <v>6579</v>
      </c>
      <c r="AX427" s="1935" t="s">
        <v>6580</v>
      </c>
      <c r="AY427" s="1949" t="s">
        <v>4061</v>
      </c>
      <c r="BA427" s="3">
        <v>1</v>
      </c>
    </row>
    <row r="428" spans="2:53" ht="30" customHeight="1">
      <c r="B428" s="1953"/>
      <c r="C428" s="1983"/>
      <c r="D428" s="1931"/>
      <c r="E428" s="1931"/>
      <c r="F428" s="9"/>
      <c r="G428" s="1953"/>
      <c r="H428" s="1904"/>
      <c r="I428" s="1965"/>
      <c r="J428" s="1965"/>
      <c r="L428" s="5294"/>
      <c r="M428" s="172"/>
      <c r="N428" s="1975"/>
      <c r="O428" s="1976"/>
      <c r="P428" s="1975"/>
      <c r="Q428" s="1975"/>
      <c r="R428" s="1975"/>
      <c r="S428" s="9"/>
      <c r="W428" s="9"/>
      <c r="X428" s="5283"/>
      <c r="Y428" s="1967"/>
      <c r="Z428" s="1969"/>
      <c r="AA428" s="1970"/>
      <c r="AB428" s="1969"/>
      <c r="AC428" s="1969"/>
      <c r="AD428" s="1969"/>
      <c r="AE428" s="1969"/>
      <c r="AG428" s="5285"/>
      <c r="AH428" s="1946"/>
      <c r="AI428" s="58"/>
      <c r="AJ428" s="1948"/>
      <c r="AK428" s="1948"/>
      <c r="AL428" s="172"/>
      <c r="AM428" s="5294"/>
      <c r="AN428" s="1944"/>
      <c r="AO428" s="1931"/>
      <c r="AP428" s="1931"/>
      <c r="AR428" s="5294">
        <f t="shared" si="92"/>
        <v>25</v>
      </c>
      <c r="AS428" s="1949" t="s">
        <v>4067</v>
      </c>
      <c r="AT428" s="1935" t="s">
        <v>5413</v>
      </c>
      <c r="AU428" s="1936" t="s">
        <v>5414</v>
      </c>
      <c r="AV428" s="1935" t="s">
        <v>5415</v>
      </c>
      <c r="AW428" s="1935" t="s">
        <v>5573</v>
      </c>
      <c r="AX428" s="1935" t="s">
        <v>6581</v>
      </c>
      <c r="AY428" s="1949" t="s">
        <v>4067</v>
      </c>
      <c r="BA428" s="3">
        <v>1</v>
      </c>
    </row>
    <row r="429" spans="2:53" ht="30" customHeight="1">
      <c r="B429" s="1953"/>
      <c r="C429" s="1983"/>
      <c r="D429" s="1931"/>
      <c r="E429" s="1931"/>
      <c r="F429" s="9"/>
      <c r="G429" s="1953"/>
      <c r="H429" s="1904"/>
      <c r="I429" s="1965"/>
      <c r="J429" s="1965"/>
      <c r="L429" s="5294"/>
      <c r="M429" s="172"/>
      <c r="N429" s="1975"/>
      <c r="O429" s="1976"/>
      <c r="P429" s="1975"/>
      <c r="Q429" s="1975"/>
      <c r="R429" s="1975"/>
      <c r="S429" s="9"/>
      <c r="W429" s="9"/>
      <c r="X429" s="5283"/>
      <c r="Y429" s="1967"/>
      <c r="Z429" s="1969"/>
      <c r="AA429" s="1970"/>
      <c r="AB429" s="1969"/>
      <c r="AC429" s="1969"/>
      <c r="AD429" s="1969"/>
      <c r="AE429" s="1969"/>
      <c r="AG429" s="5285"/>
      <c r="AH429" s="1946"/>
      <c r="AI429" s="58"/>
      <c r="AJ429" s="1948"/>
      <c r="AK429" s="1948"/>
      <c r="AL429" s="172"/>
      <c r="AM429" s="5294"/>
      <c r="AN429" s="1944"/>
      <c r="AO429" s="1931"/>
      <c r="AP429" s="1931"/>
      <c r="AS429" s="1940" t="s">
        <v>3565</v>
      </c>
      <c r="AW429" s="1932"/>
      <c r="AX429" s="1932"/>
      <c r="AY429" s="1940" t="s">
        <v>3565</v>
      </c>
      <c r="BA429" s="3">
        <v>1</v>
      </c>
    </row>
    <row r="430" spans="2:53" ht="30" customHeight="1">
      <c r="B430" s="1953"/>
      <c r="C430" s="1983"/>
      <c r="D430" s="1931"/>
      <c r="E430" s="1931"/>
      <c r="F430" s="9"/>
      <c r="G430" s="1953"/>
      <c r="H430" s="1904"/>
      <c r="I430" s="1965"/>
      <c r="J430" s="1965"/>
      <c r="L430" s="5294"/>
      <c r="M430" s="172"/>
      <c r="N430" s="1975"/>
      <c r="O430" s="1976"/>
      <c r="P430" s="1975"/>
      <c r="Q430" s="1975"/>
      <c r="R430" s="1975"/>
      <c r="S430" s="9"/>
      <c r="W430" s="9"/>
      <c r="X430" s="5283"/>
      <c r="Y430" s="1967"/>
      <c r="Z430" s="1969"/>
      <c r="AA430" s="1970"/>
      <c r="AB430" s="1969"/>
      <c r="AC430" s="1969"/>
      <c r="AD430" s="1969"/>
      <c r="AE430" s="1969"/>
      <c r="AG430" s="5285"/>
      <c r="AH430" s="1946"/>
      <c r="AI430" s="58"/>
      <c r="AJ430" s="1948"/>
      <c r="AK430" s="1948"/>
      <c r="AL430" s="172"/>
      <c r="AM430" s="5294"/>
      <c r="AN430" s="1944"/>
      <c r="AO430" s="1931"/>
      <c r="AP430" s="1931"/>
      <c r="AR430" s="5294">
        <v>1</v>
      </c>
      <c r="AS430" s="1949" t="s">
        <v>5416</v>
      </c>
      <c r="AT430" s="1935" t="s">
        <v>5417</v>
      </c>
      <c r="AU430" s="1936" t="s">
        <v>5418</v>
      </c>
      <c r="AV430" s="1935" t="s">
        <v>5419</v>
      </c>
      <c r="AW430" s="1935" t="s">
        <v>6582</v>
      </c>
      <c r="AX430" s="1935" t="s">
        <v>6583</v>
      </c>
      <c r="AY430" s="1949" t="s">
        <v>5416</v>
      </c>
      <c r="BA430" s="3">
        <v>1</v>
      </c>
    </row>
    <row r="431" spans="2:53" ht="30" customHeight="1">
      <c r="B431" s="1953"/>
      <c r="C431" s="1983"/>
      <c r="D431" s="1931"/>
      <c r="E431" s="1931"/>
      <c r="F431" s="9"/>
      <c r="G431" s="1953"/>
      <c r="H431" s="1904"/>
      <c r="I431" s="1965"/>
      <c r="J431" s="1965"/>
      <c r="L431" s="5294"/>
      <c r="M431" s="172"/>
      <c r="N431" s="1975"/>
      <c r="O431" s="1976"/>
      <c r="P431" s="1975"/>
      <c r="Q431" s="1975"/>
      <c r="R431" s="1975"/>
      <c r="S431" s="9"/>
      <c r="W431" s="9"/>
      <c r="X431" s="5283"/>
      <c r="Y431" s="1967"/>
      <c r="Z431" s="1969"/>
      <c r="AA431" s="1970"/>
      <c r="AB431" s="1969"/>
      <c r="AC431" s="1969"/>
      <c r="AD431" s="1969"/>
      <c r="AE431" s="1969"/>
      <c r="AG431" s="5285"/>
      <c r="AH431" s="1946"/>
      <c r="AI431" s="58"/>
      <c r="AJ431" s="1948"/>
      <c r="AK431" s="1948"/>
      <c r="AL431" s="172"/>
      <c r="AM431" s="5294"/>
      <c r="AN431" s="1944"/>
      <c r="AO431" s="1931"/>
      <c r="AP431" s="1931"/>
      <c r="AR431" s="5294">
        <f>AR430+1</f>
        <v>2</v>
      </c>
      <c r="AS431" s="1949" t="s">
        <v>3579</v>
      </c>
      <c r="AT431" s="1935" t="s">
        <v>5420</v>
      </c>
      <c r="AU431" s="1936" t="s">
        <v>5421</v>
      </c>
      <c r="AV431" s="1935" t="s">
        <v>5422</v>
      </c>
      <c r="AW431" s="1935" t="s">
        <v>6584</v>
      </c>
      <c r="AX431" s="1935" t="s">
        <v>6585</v>
      </c>
      <c r="AY431" s="1949" t="s">
        <v>3579</v>
      </c>
      <c r="BA431" s="3">
        <v>1</v>
      </c>
    </row>
    <row r="432" spans="2:53" ht="30" customHeight="1">
      <c r="B432" s="1953"/>
      <c r="C432" s="1983"/>
      <c r="D432" s="1931"/>
      <c r="E432" s="1931"/>
      <c r="F432" s="9"/>
      <c r="G432" s="1953"/>
      <c r="H432" s="1904"/>
      <c r="I432" s="1965"/>
      <c r="J432" s="1965"/>
      <c r="L432" s="5294"/>
      <c r="M432" s="172"/>
      <c r="N432" s="1975"/>
      <c r="O432" s="1976"/>
      <c r="P432" s="1975"/>
      <c r="Q432" s="1975"/>
      <c r="R432" s="1975"/>
      <c r="S432" s="9"/>
      <c r="W432" s="9"/>
      <c r="X432" s="5283"/>
      <c r="Y432" s="1967"/>
      <c r="Z432" s="1969"/>
      <c r="AA432" s="1970"/>
      <c r="AB432" s="1969"/>
      <c r="AC432" s="1969"/>
      <c r="AD432" s="1969"/>
      <c r="AE432" s="1969"/>
      <c r="AG432" s="5285"/>
      <c r="AH432" s="1946"/>
      <c r="AI432" s="58"/>
      <c r="AJ432" s="1948"/>
      <c r="AK432" s="1948"/>
      <c r="AL432" s="172"/>
      <c r="AM432" s="5294"/>
      <c r="AN432" s="1944"/>
      <c r="AO432" s="1931"/>
      <c r="AP432" s="1931"/>
      <c r="AR432" s="5294">
        <f t="shared" ref="AR432:AR453" si="93">AR431+1</f>
        <v>3</v>
      </c>
      <c r="AS432" s="1949" t="s">
        <v>3585</v>
      </c>
      <c r="AT432" s="1935" t="s">
        <v>5423</v>
      </c>
      <c r="AU432" s="1936" t="s">
        <v>5424</v>
      </c>
      <c r="AV432" s="1935" t="s">
        <v>5425</v>
      </c>
      <c r="AW432" s="1935" t="s">
        <v>6586</v>
      </c>
      <c r="AX432" s="1935" t="s">
        <v>6587</v>
      </c>
      <c r="AY432" s="1949" t="s">
        <v>3585</v>
      </c>
      <c r="BA432" s="3">
        <v>1</v>
      </c>
    </row>
    <row r="433" spans="2:53" ht="30" customHeight="1">
      <c r="B433" s="1953"/>
      <c r="C433" s="1983"/>
      <c r="D433" s="1931"/>
      <c r="E433" s="1931"/>
      <c r="F433" s="9"/>
      <c r="G433" s="1953"/>
      <c r="H433" s="1904"/>
      <c r="I433" s="1965"/>
      <c r="J433" s="1965"/>
      <c r="L433" s="5294"/>
      <c r="M433" s="172"/>
      <c r="N433" s="1975"/>
      <c r="O433" s="1976"/>
      <c r="P433" s="1975"/>
      <c r="Q433" s="1975"/>
      <c r="R433" s="1975"/>
      <c r="S433" s="9"/>
      <c r="W433" s="9"/>
      <c r="X433" s="5283"/>
      <c r="Y433" s="1967"/>
      <c r="Z433" s="1969"/>
      <c r="AA433" s="1970"/>
      <c r="AB433" s="1969"/>
      <c r="AC433" s="1969"/>
      <c r="AD433" s="1969"/>
      <c r="AE433" s="1969"/>
      <c r="AG433" s="5285"/>
      <c r="AH433" s="1946"/>
      <c r="AI433" s="58"/>
      <c r="AJ433" s="1948"/>
      <c r="AK433" s="1948"/>
      <c r="AL433" s="172"/>
      <c r="AM433" s="5294"/>
      <c r="AN433" s="1944"/>
      <c r="AO433" s="1931"/>
      <c r="AP433" s="1931"/>
      <c r="AR433" s="5294">
        <f t="shared" si="93"/>
        <v>4</v>
      </c>
      <c r="AS433" s="1949" t="s">
        <v>3592</v>
      </c>
      <c r="AT433" s="1935" t="s">
        <v>5426</v>
      </c>
      <c r="AU433" s="1936" t="s">
        <v>5427</v>
      </c>
      <c r="AV433" s="1935" t="s">
        <v>5428</v>
      </c>
      <c r="AW433" s="1935" t="s">
        <v>6588</v>
      </c>
      <c r="AX433" s="1935" t="s">
        <v>6589</v>
      </c>
      <c r="AY433" s="1949" t="s">
        <v>3592</v>
      </c>
      <c r="BA433" s="3">
        <v>1</v>
      </c>
    </row>
    <row r="434" spans="2:53" ht="30" customHeight="1">
      <c r="B434" s="1953"/>
      <c r="C434" s="1983"/>
      <c r="D434" s="1931"/>
      <c r="E434" s="1931"/>
      <c r="F434" s="9"/>
      <c r="G434" s="1953"/>
      <c r="H434" s="1904"/>
      <c r="I434" s="1965"/>
      <c r="J434" s="1965"/>
      <c r="L434" s="5294"/>
      <c r="M434" s="172"/>
      <c r="N434" s="1975"/>
      <c r="O434" s="1976"/>
      <c r="P434" s="1975"/>
      <c r="Q434" s="1975"/>
      <c r="R434" s="1975"/>
      <c r="S434" s="9"/>
      <c r="W434" s="9"/>
      <c r="X434" s="5283"/>
      <c r="Y434" s="1967"/>
      <c r="Z434" s="1969"/>
      <c r="AA434" s="1970"/>
      <c r="AB434" s="1969"/>
      <c r="AC434" s="1969"/>
      <c r="AD434" s="1969"/>
      <c r="AE434" s="1969"/>
      <c r="AG434" s="5285"/>
      <c r="AH434" s="1946"/>
      <c r="AI434" s="58"/>
      <c r="AJ434" s="1948"/>
      <c r="AK434" s="1948"/>
      <c r="AL434" s="172"/>
      <c r="AM434" s="5294"/>
      <c r="AN434" s="1944"/>
      <c r="AO434" s="1931"/>
      <c r="AP434" s="1931"/>
      <c r="AR434" s="5294">
        <f t="shared" si="93"/>
        <v>5</v>
      </c>
      <c r="AS434" s="1949" t="s">
        <v>3600</v>
      </c>
      <c r="AT434" s="1935" t="s">
        <v>5429</v>
      </c>
      <c r="AU434" s="1936" t="s">
        <v>5430</v>
      </c>
      <c r="AV434" s="1935" t="s">
        <v>5431</v>
      </c>
      <c r="AW434" s="1935" t="s">
        <v>6590</v>
      </c>
      <c r="AX434" s="1935" t="s">
        <v>6591</v>
      </c>
      <c r="AY434" s="1949" t="s">
        <v>3600</v>
      </c>
      <c r="BA434" s="3">
        <v>1</v>
      </c>
    </row>
    <row r="435" spans="2:53" ht="30" customHeight="1">
      <c r="B435" s="1953"/>
      <c r="C435" s="1983"/>
      <c r="D435" s="1931"/>
      <c r="E435" s="1931"/>
      <c r="F435" s="9"/>
      <c r="G435" s="1953"/>
      <c r="H435" s="1904"/>
      <c r="I435" s="1965"/>
      <c r="J435" s="1965"/>
      <c r="L435" s="5294"/>
      <c r="M435" s="172"/>
      <c r="N435" s="1975"/>
      <c r="O435" s="1976"/>
      <c r="P435" s="1975"/>
      <c r="Q435" s="1975"/>
      <c r="R435" s="1975"/>
      <c r="S435" s="9"/>
      <c r="W435" s="9"/>
      <c r="X435" s="5283"/>
      <c r="Y435" s="1967"/>
      <c r="Z435" s="1969"/>
      <c r="AA435" s="1970"/>
      <c r="AB435" s="1969"/>
      <c r="AC435" s="1969"/>
      <c r="AD435" s="1969"/>
      <c r="AE435" s="1969"/>
      <c r="AG435" s="5285"/>
      <c r="AH435" s="1946"/>
      <c r="AI435" s="58"/>
      <c r="AJ435" s="1948"/>
      <c r="AK435" s="1948"/>
      <c r="AL435" s="172"/>
      <c r="AM435" s="5294"/>
      <c r="AN435" s="1944"/>
      <c r="AO435" s="1931"/>
      <c r="AP435" s="1931"/>
      <c r="AR435" s="5294">
        <f t="shared" si="93"/>
        <v>6</v>
      </c>
      <c r="AS435" s="1949" t="s">
        <v>3608</v>
      </c>
      <c r="AT435" s="1935" t="s">
        <v>5432</v>
      </c>
      <c r="AU435" s="1936" t="s">
        <v>5433</v>
      </c>
      <c r="AV435" s="1935" t="s">
        <v>5434</v>
      </c>
      <c r="AW435" s="1935" t="s">
        <v>6592</v>
      </c>
      <c r="AX435" s="1935" t="s">
        <v>6593</v>
      </c>
      <c r="AY435" s="1949" t="s">
        <v>3608</v>
      </c>
      <c r="BA435" s="3">
        <v>1</v>
      </c>
    </row>
    <row r="436" spans="2:53" ht="30" customHeight="1">
      <c r="B436" s="1953"/>
      <c r="C436" s="1983"/>
      <c r="D436" s="1931"/>
      <c r="E436" s="1931"/>
      <c r="F436" s="9"/>
      <c r="G436" s="1953"/>
      <c r="H436" s="1904"/>
      <c r="I436" s="1965"/>
      <c r="J436" s="1965"/>
      <c r="L436" s="5294"/>
      <c r="M436" s="172"/>
      <c r="N436" s="1975"/>
      <c r="O436" s="1976"/>
      <c r="P436" s="1975"/>
      <c r="Q436" s="1975"/>
      <c r="R436" s="1975"/>
      <c r="S436" s="9"/>
      <c r="W436" s="9"/>
      <c r="X436" s="5283"/>
      <c r="Y436" s="1967"/>
      <c r="Z436" s="1969"/>
      <c r="AA436" s="1970"/>
      <c r="AB436" s="1969"/>
      <c r="AC436" s="1969"/>
      <c r="AD436" s="1969"/>
      <c r="AE436" s="1969"/>
      <c r="AG436" s="5285"/>
      <c r="AH436" s="1946"/>
      <c r="AI436" s="58"/>
      <c r="AJ436" s="1948"/>
      <c r="AK436" s="1948"/>
      <c r="AL436" s="172"/>
      <c r="AM436" s="5294"/>
      <c r="AN436" s="1944"/>
      <c r="AO436" s="1931"/>
      <c r="AP436" s="1931"/>
      <c r="AR436" s="5294">
        <f t="shared" si="93"/>
        <v>7</v>
      </c>
      <c r="AS436" s="1949" t="s">
        <v>3617</v>
      </c>
      <c r="AT436" s="1935" t="s">
        <v>5435</v>
      </c>
      <c r="AU436" s="1936" t="s">
        <v>5436</v>
      </c>
      <c r="AV436" s="1935" t="s">
        <v>5437</v>
      </c>
      <c r="AW436" s="1935" t="s">
        <v>6594</v>
      </c>
      <c r="AX436" s="1935" t="s">
        <v>6595</v>
      </c>
      <c r="AY436" s="1949" t="s">
        <v>3617</v>
      </c>
      <c r="BA436" s="3">
        <v>1</v>
      </c>
    </row>
    <row r="437" spans="2:53" ht="30" customHeight="1">
      <c r="B437" s="1953"/>
      <c r="C437" s="1983"/>
      <c r="D437" s="1931"/>
      <c r="E437" s="1931"/>
      <c r="F437" s="9"/>
      <c r="G437" s="1953"/>
      <c r="H437" s="1904"/>
      <c r="I437" s="1965"/>
      <c r="J437" s="1965"/>
      <c r="L437" s="5294"/>
      <c r="M437" s="172"/>
      <c r="N437" s="1975"/>
      <c r="O437" s="1976"/>
      <c r="P437" s="1975"/>
      <c r="Q437" s="1975"/>
      <c r="R437" s="1975"/>
      <c r="S437" s="9"/>
      <c r="W437" s="9"/>
      <c r="X437" s="5283"/>
      <c r="Y437" s="1967"/>
      <c r="Z437" s="1969"/>
      <c r="AA437" s="1970"/>
      <c r="AB437" s="1969"/>
      <c r="AC437" s="1969"/>
      <c r="AD437" s="1969"/>
      <c r="AE437" s="1969"/>
      <c r="AG437" s="5285"/>
      <c r="AH437" s="1946"/>
      <c r="AI437" s="58"/>
      <c r="AJ437" s="1948"/>
      <c r="AK437" s="1948"/>
      <c r="AL437" s="172"/>
      <c r="AM437" s="5294"/>
      <c r="AN437" s="1944"/>
      <c r="AO437" s="1931"/>
      <c r="AP437" s="1931"/>
      <c r="AR437" s="5294">
        <f t="shared" si="93"/>
        <v>8</v>
      </c>
      <c r="AS437" s="1949" t="s">
        <v>3930</v>
      </c>
      <c r="AT437" s="1935" t="s">
        <v>5966</v>
      </c>
      <c r="AU437" s="1936" t="s">
        <v>5967</v>
      </c>
      <c r="AV437" s="1935" t="s">
        <v>5968</v>
      </c>
      <c r="AW437" s="1935" t="s">
        <v>6951</v>
      </c>
      <c r="AX437" s="1935" t="s">
        <v>6952</v>
      </c>
      <c r="AY437" s="1949" t="s">
        <v>3930</v>
      </c>
      <c r="BA437" s="3">
        <v>1</v>
      </c>
    </row>
    <row r="438" spans="2:53" ht="30" customHeight="1">
      <c r="B438" s="1953"/>
      <c r="C438" s="1983"/>
      <c r="D438" s="1931"/>
      <c r="E438" s="1931"/>
      <c r="F438" s="9"/>
      <c r="G438" s="1953"/>
      <c r="H438" s="1904"/>
      <c r="I438" s="1965"/>
      <c r="J438" s="1965"/>
      <c r="L438" s="5294"/>
      <c r="M438" s="172"/>
      <c r="N438" s="1975"/>
      <c r="O438" s="1976"/>
      <c r="P438" s="1975"/>
      <c r="Q438" s="1975"/>
      <c r="R438" s="1975"/>
      <c r="S438" s="9"/>
      <c r="W438" s="9"/>
      <c r="X438" s="5283"/>
      <c r="Y438" s="1967"/>
      <c r="Z438" s="1969"/>
      <c r="AA438" s="1970"/>
      <c r="AB438" s="1969"/>
      <c r="AC438" s="1969"/>
      <c r="AD438" s="1969"/>
      <c r="AE438" s="1969"/>
      <c r="AG438" s="5285"/>
      <c r="AH438" s="1946"/>
      <c r="AI438" s="58"/>
      <c r="AJ438" s="1948"/>
      <c r="AK438" s="1948"/>
      <c r="AL438" s="172"/>
      <c r="AM438" s="5294"/>
      <c r="AN438" s="1944"/>
      <c r="AO438" s="1931"/>
      <c r="AP438" s="1931"/>
      <c r="AR438" s="5294">
        <f t="shared" si="93"/>
        <v>9</v>
      </c>
      <c r="AS438" s="1949" t="s">
        <v>5438</v>
      </c>
      <c r="AT438" s="1935" t="s">
        <v>5439</v>
      </c>
      <c r="AU438" s="1936" t="s">
        <v>5440</v>
      </c>
      <c r="AV438" s="1935" t="s">
        <v>5441</v>
      </c>
      <c r="AW438" s="1935" t="s">
        <v>6596</v>
      </c>
      <c r="AX438" s="1935" t="s">
        <v>6597</v>
      </c>
      <c r="AY438" s="1949" t="s">
        <v>5438</v>
      </c>
      <c r="BA438" s="3">
        <v>1</v>
      </c>
    </row>
    <row r="439" spans="2:53" ht="30" customHeight="1">
      <c r="B439" s="1953"/>
      <c r="C439" s="1983"/>
      <c r="D439" s="1931"/>
      <c r="E439" s="1931"/>
      <c r="F439" s="9"/>
      <c r="G439" s="1953"/>
      <c r="H439" s="1904"/>
      <c r="I439" s="1965"/>
      <c r="J439" s="1965"/>
      <c r="L439" s="5294"/>
      <c r="M439" s="172"/>
      <c r="N439" s="1975"/>
      <c r="O439" s="1976"/>
      <c r="P439" s="1975"/>
      <c r="Q439" s="1975"/>
      <c r="R439" s="1975"/>
      <c r="S439" s="9"/>
      <c r="W439" s="9"/>
      <c r="X439" s="5283"/>
      <c r="Y439" s="1967"/>
      <c r="Z439" s="1969"/>
      <c r="AA439" s="1970"/>
      <c r="AB439" s="1969"/>
      <c r="AC439" s="1969"/>
      <c r="AD439" s="1969"/>
      <c r="AE439" s="1969"/>
      <c r="AG439" s="5285"/>
      <c r="AH439" s="1946"/>
      <c r="AI439" s="58"/>
      <c r="AJ439" s="1948"/>
      <c r="AK439" s="1948"/>
      <c r="AL439" s="172"/>
      <c r="AM439" s="5294"/>
      <c r="AN439" s="1944"/>
      <c r="AO439" s="1931"/>
      <c r="AP439" s="1931"/>
      <c r="AR439" s="5294">
        <f t="shared" si="93"/>
        <v>10</v>
      </c>
      <c r="AS439" s="1949" t="s">
        <v>3635</v>
      </c>
      <c r="AT439" s="1935" t="s">
        <v>5442</v>
      </c>
      <c r="AU439" s="1936" t="s">
        <v>5443</v>
      </c>
      <c r="AV439" s="1935" t="s">
        <v>5444</v>
      </c>
      <c r="AW439" s="1935" t="s">
        <v>6598</v>
      </c>
      <c r="AX439" s="1935" t="s">
        <v>6599</v>
      </c>
      <c r="AY439" s="1949" t="s">
        <v>3635</v>
      </c>
      <c r="BA439" s="3">
        <v>1</v>
      </c>
    </row>
    <row r="440" spans="2:53" ht="30" customHeight="1">
      <c r="B440" s="1953"/>
      <c r="C440" s="1983"/>
      <c r="D440" s="1931"/>
      <c r="E440" s="1931"/>
      <c r="F440" s="9"/>
      <c r="G440" s="1953"/>
      <c r="H440" s="1904"/>
      <c r="I440" s="1965"/>
      <c r="J440" s="1965"/>
      <c r="L440" s="5294"/>
      <c r="M440" s="172"/>
      <c r="N440" s="1975"/>
      <c r="O440" s="1976"/>
      <c r="P440" s="1975"/>
      <c r="Q440" s="1975"/>
      <c r="R440" s="1975"/>
      <c r="S440" s="9"/>
      <c r="W440" s="9"/>
      <c r="X440" s="5283"/>
      <c r="Y440" s="1967"/>
      <c r="Z440" s="1969"/>
      <c r="AA440" s="1970"/>
      <c r="AB440" s="1969"/>
      <c r="AC440" s="1969"/>
      <c r="AD440" s="1969"/>
      <c r="AE440" s="1969"/>
      <c r="AG440" s="5285"/>
      <c r="AH440" s="1946"/>
      <c r="AI440" s="58"/>
      <c r="AJ440" s="1948"/>
      <c r="AK440" s="1948"/>
      <c r="AL440" s="172"/>
      <c r="AM440" s="5294"/>
      <c r="AN440" s="1944"/>
      <c r="AO440" s="1931"/>
      <c r="AP440" s="1931"/>
      <c r="AR440" s="5294">
        <f t="shared" si="93"/>
        <v>11</v>
      </c>
      <c r="AS440" s="1949" t="s">
        <v>5445</v>
      </c>
      <c r="AT440" s="1935" t="s">
        <v>5446</v>
      </c>
      <c r="AU440" s="1936" t="s">
        <v>5447</v>
      </c>
      <c r="AV440" s="1935" t="s">
        <v>5448</v>
      </c>
      <c r="AW440" s="1935" t="s">
        <v>6600</v>
      </c>
      <c r="AX440" s="1935" t="s">
        <v>6601</v>
      </c>
      <c r="AY440" s="1949" t="s">
        <v>5445</v>
      </c>
      <c r="BA440" s="3">
        <v>1</v>
      </c>
    </row>
    <row r="441" spans="2:53" ht="30" customHeight="1">
      <c r="B441" s="1953"/>
      <c r="C441" s="1983"/>
      <c r="D441" s="1931"/>
      <c r="E441" s="1931"/>
      <c r="F441" s="9"/>
      <c r="G441" s="1953"/>
      <c r="H441" s="1904"/>
      <c r="I441" s="1965"/>
      <c r="J441" s="1965"/>
      <c r="L441" s="5294"/>
      <c r="M441" s="172"/>
      <c r="N441" s="1975"/>
      <c r="O441" s="1976"/>
      <c r="P441" s="1975"/>
      <c r="Q441" s="1975"/>
      <c r="R441" s="1975"/>
      <c r="S441" s="9"/>
      <c r="W441" s="9"/>
      <c r="X441" s="5283"/>
      <c r="Y441" s="1967"/>
      <c r="Z441" s="1969"/>
      <c r="AA441" s="1970"/>
      <c r="AB441" s="1969"/>
      <c r="AC441" s="1969"/>
      <c r="AD441" s="1969"/>
      <c r="AE441" s="1969"/>
      <c r="AG441" s="5285"/>
      <c r="AH441" s="1946"/>
      <c r="AI441" s="58"/>
      <c r="AJ441" s="1948"/>
      <c r="AK441" s="1948"/>
      <c r="AL441" s="172"/>
      <c r="AM441" s="5294"/>
      <c r="AN441" s="1944"/>
      <c r="AO441" s="1931"/>
      <c r="AP441" s="1931"/>
      <c r="AR441" s="5294">
        <f t="shared" si="93"/>
        <v>12</v>
      </c>
      <c r="AS441" s="1949" t="s">
        <v>5453</v>
      </c>
      <c r="AT441" s="1935" t="s">
        <v>5454</v>
      </c>
      <c r="AU441" s="1936" t="s">
        <v>5335</v>
      </c>
      <c r="AV441" s="1935" t="s">
        <v>5455</v>
      </c>
      <c r="AW441" s="1935" t="s">
        <v>6604</v>
      </c>
      <c r="AX441" s="1935" t="s">
        <v>6605</v>
      </c>
      <c r="AY441" s="1949" t="s">
        <v>5453</v>
      </c>
      <c r="BA441" s="3">
        <v>1</v>
      </c>
    </row>
    <row r="442" spans="2:53" ht="30" customHeight="1">
      <c r="B442" s="1953"/>
      <c r="C442" s="1983"/>
      <c r="D442" s="1931"/>
      <c r="E442" s="1931"/>
      <c r="F442" s="9"/>
      <c r="G442" s="1953"/>
      <c r="H442" s="1904"/>
      <c r="I442" s="1965"/>
      <c r="J442" s="1965"/>
      <c r="L442" s="5294"/>
      <c r="M442" s="172"/>
      <c r="N442" s="1975"/>
      <c r="O442" s="1976"/>
      <c r="P442" s="1975"/>
      <c r="Q442" s="1975"/>
      <c r="R442" s="1975"/>
      <c r="S442" s="9"/>
      <c r="W442" s="9"/>
      <c r="X442" s="5283"/>
      <c r="Y442" s="1967"/>
      <c r="Z442" s="1969"/>
      <c r="AA442" s="1970"/>
      <c r="AB442" s="1969"/>
      <c r="AC442" s="1969"/>
      <c r="AD442" s="1969"/>
      <c r="AE442" s="1969"/>
      <c r="AG442" s="5285"/>
      <c r="AH442" s="1946"/>
      <c r="AI442" s="58"/>
      <c r="AJ442" s="1948"/>
      <c r="AK442" s="1948"/>
      <c r="AL442" s="172"/>
      <c r="AM442" s="5294"/>
      <c r="AN442" s="1944"/>
      <c r="AO442" s="1931"/>
      <c r="AP442" s="1931"/>
      <c r="AR442" s="5294">
        <f t="shared" si="93"/>
        <v>13</v>
      </c>
      <c r="AS442" s="1949" t="s">
        <v>5449</v>
      </c>
      <c r="AT442" s="1935" t="s">
        <v>5450</v>
      </c>
      <c r="AU442" s="1936" t="s">
        <v>5451</v>
      </c>
      <c r="AV442" s="1935" t="s">
        <v>5452</v>
      </c>
      <c r="AW442" s="1935" t="s">
        <v>6602</v>
      </c>
      <c r="AX442" s="1935" t="s">
        <v>6603</v>
      </c>
      <c r="AY442" s="1949" t="s">
        <v>5449</v>
      </c>
      <c r="BA442" s="3">
        <v>1</v>
      </c>
    </row>
    <row r="443" spans="2:53" ht="30" customHeight="1">
      <c r="B443" s="1953"/>
      <c r="C443" s="1983"/>
      <c r="D443" s="1931"/>
      <c r="E443" s="1931"/>
      <c r="F443" s="9"/>
      <c r="G443" s="1953"/>
      <c r="H443" s="1904"/>
      <c r="I443" s="1965"/>
      <c r="J443" s="1965"/>
      <c r="L443" s="5294"/>
      <c r="M443" s="172"/>
      <c r="N443" s="1975"/>
      <c r="O443" s="1976"/>
      <c r="P443" s="1975"/>
      <c r="Q443" s="1975"/>
      <c r="R443" s="1975"/>
      <c r="S443" s="9"/>
      <c r="W443" s="9"/>
      <c r="X443" s="5283"/>
      <c r="Y443" s="1967"/>
      <c r="Z443" s="1969"/>
      <c r="AA443" s="1970"/>
      <c r="AB443" s="1969"/>
      <c r="AC443" s="1969"/>
      <c r="AD443" s="1969"/>
      <c r="AE443" s="1969"/>
      <c r="AG443" s="5285"/>
      <c r="AH443" s="1946"/>
      <c r="AI443" s="58"/>
      <c r="AJ443" s="1948"/>
      <c r="AK443" s="1948"/>
      <c r="AL443" s="172"/>
      <c r="AM443" s="5294"/>
      <c r="AN443" s="1944"/>
      <c r="AO443" s="1931"/>
      <c r="AP443" s="1931"/>
      <c r="AR443" s="5294">
        <f t="shared" si="93"/>
        <v>14</v>
      </c>
      <c r="AS443" s="1949" t="s">
        <v>3663</v>
      </c>
      <c r="AT443" s="1935" t="s">
        <v>5456</v>
      </c>
      <c r="AU443" s="1936" t="s">
        <v>5457</v>
      </c>
      <c r="AV443" s="1935" t="s">
        <v>5458</v>
      </c>
      <c r="AW443" s="1935" t="s">
        <v>6606</v>
      </c>
      <c r="AX443" s="1935" t="s">
        <v>6607</v>
      </c>
      <c r="AY443" s="1949" t="s">
        <v>3663</v>
      </c>
      <c r="BA443" s="3">
        <v>1</v>
      </c>
    </row>
    <row r="444" spans="2:53" ht="30" customHeight="1">
      <c r="B444" s="1953"/>
      <c r="C444" s="1983"/>
      <c r="D444" s="1931"/>
      <c r="E444" s="1931"/>
      <c r="F444" s="9"/>
      <c r="G444" s="1953"/>
      <c r="H444" s="1904"/>
      <c r="I444" s="1965"/>
      <c r="J444" s="1965"/>
      <c r="L444" s="5294"/>
      <c r="M444" s="172"/>
      <c r="N444" s="1975"/>
      <c r="O444" s="1976"/>
      <c r="P444" s="1975"/>
      <c r="Q444" s="1975"/>
      <c r="R444" s="1975"/>
      <c r="S444" s="9"/>
      <c r="W444" s="9"/>
      <c r="X444" s="5283"/>
      <c r="Y444" s="1967"/>
      <c r="Z444" s="1969"/>
      <c r="AA444" s="1970"/>
      <c r="AB444" s="1969"/>
      <c r="AC444" s="1969"/>
      <c r="AD444" s="1969"/>
      <c r="AE444" s="1969"/>
      <c r="AG444" s="5285"/>
      <c r="AH444" s="1946"/>
      <c r="AI444" s="58"/>
      <c r="AJ444" s="1948"/>
      <c r="AK444" s="1948"/>
      <c r="AL444" s="172"/>
      <c r="AM444" s="5294"/>
      <c r="AN444" s="1944"/>
      <c r="AO444" s="1931"/>
      <c r="AP444" s="1931"/>
      <c r="AR444" s="5294">
        <f t="shared" si="93"/>
        <v>15</v>
      </c>
      <c r="AS444" s="1949" t="s">
        <v>3669</v>
      </c>
      <c r="AT444" s="1935" t="s">
        <v>5459</v>
      </c>
      <c r="AU444" s="1936" t="s">
        <v>5460</v>
      </c>
      <c r="AV444" s="1935" t="s">
        <v>5461</v>
      </c>
      <c r="AW444" s="1935" t="s">
        <v>6608</v>
      </c>
      <c r="AX444" s="1935" t="s">
        <v>6609</v>
      </c>
      <c r="AY444" s="1949" t="s">
        <v>3669</v>
      </c>
      <c r="BA444" s="3">
        <v>1</v>
      </c>
    </row>
    <row r="445" spans="2:53" ht="30" customHeight="1">
      <c r="B445" s="1953"/>
      <c r="C445" s="1983"/>
      <c r="D445" s="1931"/>
      <c r="E445" s="1931"/>
      <c r="F445" s="9"/>
      <c r="G445" s="1953"/>
      <c r="H445" s="1904"/>
      <c r="I445" s="1965"/>
      <c r="J445" s="1965"/>
      <c r="L445" s="5294"/>
      <c r="M445" s="172"/>
      <c r="N445" s="1975"/>
      <c r="O445" s="1976"/>
      <c r="P445" s="1975"/>
      <c r="Q445" s="1975"/>
      <c r="R445" s="1975"/>
      <c r="S445" s="9"/>
      <c r="W445" s="9"/>
      <c r="X445" s="5283"/>
      <c r="Y445" s="1967"/>
      <c r="Z445" s="1969"/>
      <c r="AA445" s="1970"/>
      <c r="AB445" s="1969"/>
      <c r="AC445" s="1969"/>
      <c r="AD445" s="1969"/>
      <c r="AE445" s="1969"/>
      <c r="AG445" s="5285"/>
      <c r="AH445" s="1946"/>
      <c r="AI445" s="58"/>
      <c r="AJ445" s="1948"/>
      <c r="AK445" s="1948"/>
      <c r="AL445" s="172"/>
      <c r="AM445" s="5294"/>
      <c r="AN445" s="1944"/>
      <c r="AO445" s="1931"/>
      <c r="AP445" s="1931"/>
      <c r="AR445" s="5294">
        <f t="shared" si="93"/>
        <v>16</v>
      </c>
      <c r="AS445" s="1949" t="s">
        <v>3674</v>
      </c>
      <c r="AT445" s="1935" t="s">
        <v>5462</v>
      </c>
      <c r="AU445" s="1936" t="s">
        <v>5463</v>
      </c>
      <c r="AV445" s="1935" t="s">
        <v>5464</v>
      </c>
      <c r="AW445" s="1935" t="s">
        <v>6610</v>
      </c>
      <c r="AX445" s="1935" t="s">
        <v>6611</v>
      </c>
      <c r="AY445" s="1949" t="s">
        <v>3674</v>
      </c>
      <c r="BA445" s="3">
        <v>1</v>
      </c>
    </row>
    <row r="446" spans="2:53" ht="30" customHeight="1">
      <c r="B446" s="1953"/>
      <c r="C446" s="1983"/>
      <c r="D446" s="1931"/>
      <c r="E446" s="1931"/>
      <c r="F446" s="9"/>
      <c r="G446" s="1953"/>
      <c r="H446" s="1904"/>
      <c r="I446" s="1965"/>
      <c r="J446" s="1965"/>
      <c r="L446" s="5294"/>
      <c r="M446" s="172"/>
      <c r="N446" s="1975"/>
      <c r="O446" s="1976"/>
      <c r="P446" s="1975"/>
      <c r="Q446" s="1975"/>
      <c r="R446" s="1975"/>
      <c r="S446" s="9"/>
      <c r="W446" s="9"/>
      <c r="X446" s="5283"/>
      <c r="Y446" s="1967"/>
      <c r="Z446" s="1969"/>
      <c r="AA446" s="1970"/>
      <c r="AB446" s="1969"/>
      <c r="AC446" s="1969"/>
      <c r="AD446" s="1969"/>
      <c r="AE446" s="1969"/>
      <c r="AG446" s="5285"/>
      <c r="AH446" s="1946"/>
      <c r="AI446" s="58"/>
      <c r="AJ446" s="1948"/>
      <c r="AK446" s="1948"/>
      <c r="AL446" s="172"/>
      <c r="AM446" s="5294"/>
      <c r="AN446" s="1944"/>
      <c r="AO446" s="1931"/>
      <c r="AP446" s="1931"/>
      <c r="AR446" s="5294">
        <f t="shared" si="93"/>
        <v>17</v>
      </c>
      <c r="AS446" s="1949" t="s">
        <v>3680</v>
      </c>
      <c r="AT446" s="1935" t="s">
        <v>5465</v>
      </c>
      <c r="AU446" s="1936" t="s">
        <v>5466</v>
      </c>
      <c r="AV446" s="1935" t="s">
        <v>5467</v>
      </c>
      <c r="AW446" s="1935" t="s">
        <v>6612</v>
      </c>
      <c r="AX446" s="1935" t="s">
        <v>6613</v>
      </c>
      <c r="AY446" s="1949" t="s">
        <v>3680</v>
      </c>
      <c r="BA446" s="3">
        <v>1</v>
      </c>
    </row>
    <row r="447" spans="2:53" ht="30" customHeight="1">
      <c r="B447" s="1953"/>
      <c r="C447" s="1983"/>
      <c r="D447" s="1931"/>
      <c r="E447" s="1931"/>
      <c r="F447" s="9"/>
      <c r="G447" s="1953"/>
      <c r="H447" s="1904"/>
      <c r="I447" s="1965"/>
      <c r="J447" s="1965"/>
      <c r="L447" s="5294"/>
      <c r="M447" s="172"/>
      <c r="N447" s="1975"/>
      <c r="O447" s="1976"/>
      <c r="P447" s="1975"/>
      <c r="Q447" s="1975"/>
      <c r="R447" s="1975"/>
      <c r="S447" s="9"/>
      <c r="W447" s="9"/>
      <c r="X447" s="5283"/>
      <c r="Y447" s="1967"/>
      <c r="Z447" s="1969"/>
      <c r="AA447" s="1970"/>
      <c r="AB447" s="1969"/>
      <c r="AC447" s="1969"/>
      <c r="AD447" s="1969"/>
      <c r="AE447" s="1969"/>
      <c r="AG447" s="5285"/>
      <c r="AH447" s="1946"/>
      <c r="AI447" s="58"/>
      <c r="AJ447" s="1948"/>
      <c r="AK447" s="1948"/>
      <c r="AL447" s="172"/>
      <c r="AM447" s="5294"/>
      <c r="AN447" s="1944"/>
      <c r="AO447" s="1931"/>
      <c r="AP447" s="1931"/>
      <c r="AR447" s="5294">
        <f t="shared" si="93"/>
        <v>18</v>
      </c>
      <c r="AS447" s="1949" t="s">
        <v>3688</v>
      </c>
      <c r="AT447" s="1935" t="s">
        <v>5468</v>
      </c>
      <c r="AU447" s="1936" t="s">
        <v>5469</v>
      </c>
      <c r="AV447" s="1935" t="s">
        <v>5470</v>
      </c>
      <c r="AW447" s="1935" t="s">
        <v>6614</v>
      </c>
      <c r="AX447" s="1935" t="s">
        <v>6615</v>
      </c>
      <c r="AY447" s="1949" t="s">
        <v>3688</v>
      </c>
      <c r="BA447" s="3">
        <v>1</v>
      </c>
    </row>
    <row r="448" spans="2:53" ht="30" customHeight="1">
      <c r="B448" s="1953"/>
      <c r="C448" s="1983"/>
      <c r="D448" s="1931"/>
      <c r="E448" s="1931"/>
      <c r="F448" s="9"/>
      <c r="G448" s="1953"/>
      <c r="H448" s="1904"/>
      <c r="I448" s="1965"/>
      <c r="J448" s="1965"/>
      <c r="L448" s="5294"/>
      <c r="M448" s="172"/>
      <c r="N448" s="1975"/>
      <c r="O448" s="1976"/>
      <c r="P448" s="1975"/>
      <c r="Q448" s="1975"/>
      <c r="R448" s="1975"/>
      <c r="S448" s="9"/>
      <c r="W448" s="9"/>
      <c r="X448" s="5283"/>
      <c r="Y448" s="1967"/>
      <c r="Z448" s="1969"/>
      <c r="AA448" s="1970"/>
      <c r="AB448" s="1969"/>
      <c r="AC448" s="1969"/>
      <c r="AD448" s="1969"/>
      <c r="AE448" s="1969"/>
      <c r="AG448" s="5285"/>
      <c r="AH448" s="1946"/>
      <c r="AI448" s="58"/>
      <c r="AJ448" s="1948"/>
      <c r="AK448" s="1948"/>
      <c r="AL448" s="172"/>
      <c r="AM448" s="5294"/>
      <c r="AN448" s="1944"/>
      <c r="AO448" s="1931"/>
      <c r="AP448" s="1931"/>
      <c r="AR448" s="5294">
        <f t="shared" si="93"/>
        <v>19</v>
      </c>
      <c r="AS448" s="1949" t="s">
        <v>3695</v>
      </c>
      <c r="AT448" s="1935" t="s">
        <v>5471</v>
      </c>
      <c r="AU448" s="1936" t="s">
        <v>5472</v>
      </c>
      <c r="AV448" s="1935" t="s">
        <v>5473</v>
      </c>
      <c r="AW448" s="1935" t="s">
        <v>6616</v>
      </c>
      <c r="AX448" s="1935" t="s">
        <v>6617</v>
      </c>
      <c r="AY448" s="1949" t="s">
        <v>3695</v>
      </c>
      <c r="BA448" s="3">
        <v>1</v>
      </c>
    </row>
    <row r="449" spans="2:53" ht="30" customHeight="1">
      <c r="B449" s="1953"/>
      <c r="C449" s="1983"/>
      <c r="D449" s="1931"/>
      <c r="E449" s="1931"/>
      <c r="F449" s="9"/>
      <c r="G449" s="1953"/>
      <c r="H449" s="1904"/>
      <c r="I449" s="1965"/>
      <c r="J449" s="1965"/>
      <c r="L449" s="5294"/>
      <c r="M449" s="172"/>
      <c r="N449" s="1975"/>
      <c r="O449" s="1976"/>
      <c r="P449" s="1975"/>
      <c r="Q449" s="1975"/>
      <c r="R449" s="1975"/>
      <c r="S449" s="9"/>
      <c r="W449" s="9"/>
      <c r="X449" s="5283"/>
      <c r="Y449" s="1967"/>
      <c r="Z449" s="1969"/>
      <c r="AA449" s="1970"/>
      <c r="AB449" s="1969"/>
      <c r="AC449" s="1969"/>
      <c r="AD449" s="1969"/>
      <c r="AE449" s="1969"/>
      <c r="AG449" s="5285"/>
      <c r="AH449" s="1946"/>
      <c r="AI449" s="58"/>
      <c r="AJ449" s="1948"/>
      <c r="AK449" s="1948"/>
      <c r="AL449" s="172"/>
      <c r="AM449" s="5294"/>
      <c r="AN449" s="1944"/>
      <c r="AO449" s="1931"/>
      <c r="AP449" s="1931"/>
      <c r="AR449" s="5294">
        <f t="shared" si="93"/>
        <v>20</v>
      </c>
      <c r="AS449" s="1949" t="s">
        <v>3701</v>
      </c>
      <c r="AT449" s="1935" t="s">
        <v>5474</v>
      </c>
      <c r="AU449" s="1936" t="s">
        <v>5475</v>
      </c>
      <c r="AV449" s="1935" t="s">
        <v>5476</v>
      </c>
      <c r="AW449" s="1935" t="s">
        <v>6618</v>
      </c>
      <c r="AX449" s="1935" t="s">
        <v>6619</v>
      </c>
      <c r="AY449" s="1949" t="s">
        <v>3701</v>
      </c>
      <c r="BA449" s="3">
        <v>1</v>
      </c>
    </row>
    <row r="450" spans="2:53" ht="30" customHeight="1">
      <c r="B450" s="1953"/>
      <c r="C450" s="1983"/>
      <c r="D450" s="1931"/>
      <c r="E450" s="1931"/>
      <c r="F450" s="9"/>
      <c r="G450" s="1953"/>
      <c r="H450" s="1904"/>
      <c r="I450" s="1965"/>
      <c r="J450" s="1965"/>
      <c r="L450" s="5294"/>
      <c r="M450" s="172"/>
      <c r="N450" s="1975"/>
      <c r="O450" s="1976"/>
      <c r="P450" s="1975"/>
      <c r="Q450" s="1975"/>
      <c r="R450" s="1975"/>
      <c r="S450" s="9"/>
      <c r="W450" s="9"/>
      <c r="X450" s="5283"/>
      <c r="Y450" s="1967"/>
      <c r="Z450" s="1969"/>
      <c r="AA450" s="1970"/>
      <c r="AB450" s="1969"/>
      <c r="AC450" s="1969"/>
      <c r="AD450" s="1969"/>
      <c r="AE450" s="1969"/>
      <c r="AG450" s="5285"/>
      <c r="AH450" s="1946"/>
      <c r="AI450" s="58"/>
      <c r="AJ450" s="1948"/>
      <c r="AK450" s="1948"/>
      <c r="AL450" s="172"/>
      <c r="AM450" s="5294"/>
      <c r="AN450" s="1944"/>
      <c r="AO450" s="1931"/>
      <c r="AP450" s="1931"/>
      <c r="AR450" s="5294">
        <f t="shared" si="93"/>
        <v>21</v>
      </c>
      <c r="AS450" s="1949" t="s">
        <v>3942</v>
      </c>
      <c r="AT450" s="1935" t="s">
        <v>5971</v>
      </c>
      <c r="AU450" s="1936" t="s">
        <v>5972</v>
      </c>
      <c r="AV450" s="1935" t="s">
        <v>5973</v>
      </c>
      <c r="AW450" s="1935" t="s">
        <v>6955</v>
      </c>
      <c r="AX450" s="1935" t="s">
        <v>6956</v>
      </c>
      <c r="AY450" s="1949" t="s">
        <v>3942</v>
      </c>
      <c r="BA450" s="3">
        <v>1</v>
      </c>
    </row>
    <row r="451" spans="2:53" ht="30" customHeight="1">
      <c r="B451" s="1953"/>
      <c r="C451" s="1983"/>
      <c r="D451" s="1931"/>
      <c r="E451" s="1931"/>
      <c r="F451" s="9"/>
      <c r="G451" s="1953"/>
      <c r="H451" s="1904"/>
      <c r="I451" s="1965"/>
      <c r="J451" s="1965"/>
      <c r="L451" s="5294"/>
      <c r="M451" s="172"/>
      <c r="N451" s="1975"/>
      <c r="O451" s="1976"/>
      <c r="P451" s="1975"/>
      <c r="Q451" s="1975"/>
      <c r="R451" s="1975"/>
      <c r="S451" s="9"/>
      <c r="W451" s="9"/>
      <c r="X451" s="5283"/>
      <c r="Y451" s="1967"/>
      <c r="Z451" s="1969"/>
      <c r="AA451" s="1970"/>
      <c r="AB451" s="1969"/>
      <c r="AC451" s="1969"/>
      <c r="AD451" s="1969"/>
      <c r="AE451" s="1969"/>
      <c r="AG451" s="5285"/>
      <c r="AH451" s="1946"/>
      <c r="AI451" s="58"/>
      <c r="AJ451" s="1948"/>
      <c r="AK451" s="1948"/>
      <c r="AL451" s="172"/>
      <c r="AM451" s="5294"/>
      <c r="AN451" s="1944"/>
      <c r="AO451" s="1931"/>
      <c r="AP451" s="1931"/>
      <c r="AR451" s="5294">
        <f t="shared" si="93"/>
        <v>22</v>
      </c>
      <c r="AS451" s="1949" t="s">
        <v>3706</v>
      </c>
      <c r="AT451" s="1935" t="s">
        <v>5477</v>
      </c>
      <c r="AU451" s="1936" t="s">
        <v>5478</v>
      </c>
      <c r="AV451" s="1935" t="s">
        <v>5479</v>
      </c>
      <c r="AW451" s="1935" t="s">
        <v>6620</v>
      </c>
      <c r="AX451" s="1935" t="s">
        <v>6621</v>
      </c>
      <c r="AY451" s="1949" t="s">
        <v>3706</v>
      </c>
      <c r="BA451" s="3">
        <v>1</v>
      </c>
    </row>
    <row r="452" spans="2:53" ht="30" customHeight="1">
      <c r="B452" s="1953"/>
      <c r="C452" s="1983"/>
      <c r="D452" s="1931"/>
      <c r="E452" s="1931"/>
      <c r="F452" s="9"/>
      <c r="G452" s="1953"/>
      <c r="H452" s="1904"/>
      <c r="I452" s="1965"/>
      <c r="J452" s="1965"/>
      <c r="L452" s="5294"/>
      <c r="M452" s="172"/>
      <c r="N452" s="1975"/>
      <c r="O452" s="1976"/>
      <c r="P452" s="1975"/>
      <c r="Q452" s="1975"/>
      <c r="R452" s="1975"/>
      <c r="S452" s="9"/>
      <c r="W452" s="9"/>
      <c r="X452" s="5283"/>
      <c r="Y452" s="1967"/>
      <c r="Z452" s="1969"/>
      <c r="AA452" s="1970"/>
      <c r="AB452" s="1969"/>
      <c r="AC452" s="1969"/>
      <c r="AD452" s="1969"/>
      <c r="AE452" s="1969"/>
      <c r="AG452" s="5285"/>
      <c r="AH452" s="1946"/>
      <c r="AI452" s="58"/>
      <c r="AJ452" s="1948"/>
      <c r="AK452" s="1948"/>
      <c r="AL452" s="172"/>
      <c r="AM452" s="5294"/>
      <c r="AN452" s="1944"/>
      <c r="AO452" s="1931"/>
      <c r="AP452" s="1931"/>
      <c r="AR452" s="5294">
        <f t="shared" si="93"/>
        <v>23</v>
      </c>
      <c r="AS452" s="1949" t="s">
        <v>5480</v>
      </c>
      <c r="AT452" s="1935" t="s">
        <v>5481</v>
      </c>
      <c r="AU452" s="1936" t="s">
        <v>5482</v>
      </c>
      <c r="AV452" s="1935" t="s">
        <v>5483</v>
      </c>
      <c r="AW452" s="1935" t="s">
        <v>6622</v>
      </c>
      <c r="AX452" s="1935" t="s">
        <v>6623</v>
      </c>
      <c r="AY452" s="1949" t="s">
        <v>5480</v>
      </c>
      <c r="BA452" s="3">
        <v>1</v>
      </c>
    </row>
    <row r="453" spans="2:53" ht="30" customHeight="1">
      <c r="B453" s="1953"/>
      <c r="C453" s="1983"/>
      <c r="D453" s="1931"/>
      <c r="E453" s="1931"/>
      <c r="F453" s="9"/>
      <c r="G453" s="1953"/>
      <c r="H453" s="1904"/>
      <c r="I453" s="1965"/>
      <c r="J453" s="1965"/>
      <c r="L453" s="5294"/>
      <c r="M453" s="172"/>
      <c r="N453" s="1975"/>
      <c r="O453" s="1976"/>
      <c r="P453" s="1975"/>
      <c r="Q453" s="1975"/>
      <c r="R453" s="1975"/>
      <c r="S453" s="9"/>
      <c r="W453" s="9"/>
      <c r="X453" s="5283"/>
      <c r="Y453" s="1967"/>
      <c r="Z453" s="1969"/>
      <c r="AA453" s="1970"/>
      <c r="AB453" s="1969"/>
      <c r="AC453" s="1969"/>
      <c r="AD453" s="1969"/>
      <c r="AE453" s="1969"/>
      <c r="AG453" s="5285"/>
      <c r="AH453" s="1946"/>
      <c r="AI453" s="58"/>
      <c r="AJ453" s="1948"/>
      <c r="AK453" s="1948"/>
      <c r="AL453" s="172"/>
      <c r="AM453" s="5294"/>
      <c r="AN453" s="1944"/>
      <c r="AO453" s="1931"/>
      <c r="AP453" s="1931"/>
      <c r="AR453" s="5294">
        <f t="shared" si="93"/>
        <v>24</v>
      </c>
      <c r="AS453" s="1949" t="s">
        <v>3720</v>
      </c>
      <c r="AT453" s="1935" t="s">
        <v>5484</v>
      </c>
      <c r="AU453" s="1936" t="s">
        <v>5485</v>
      </c>
      <c r="AV453" s="1935" t="s">
        <v>5486</v>
      </c>
      <c r="AW453" s="1935" t="s">
        <v>6624</v>
      </c>
      <c r="AX453" s="1935" t="s">
        <v>6625</v>
      </c>
      <c r="AY453" s="1949" t="s">
        <v>3720</v>
      </c>
      <c r="BA453" s="3">
        <v>1</v>
      </c>
    </row>
    <row r="454" spans="2:53" ht="30" customHeight="1">
      <c r="B454" s="1953"/>
      <c r="C454" s="1983"/>
      <c r="D454" s="1931"/>
      <c r="E454" s="1931"/>
      <c r="F454" s="9"/>
      <c r="G454" s="1953"/>
      <c r="H454" s="1904"/>
      <c r="I454" s="1965"/>
      <c r="J454" s="1965"/>
      <c r="L454" s="5294"/>
      <c r="M454" s="172"/>
      <c r="N454" s="1975"/>
      <c r="O454" s="1976"/>
      <c r="P454" s="1975"/>
      <c r="Q454" s="1975"/>
      <c r="R454" s="1975"/>
      <c r="S454" s="9"/>
      <c r="W454" s="9"/>
      <c r="X454" s="5283"/>
      <c r="Y454" s="1967"/>
      <c r="Z454" s="1969"/>
      <c r="AA454" s="1970"/>
      <c r="AB454" s="1969"/>
      <c r="AC454" s="1969"/>
      <c r="AD454" s="1969"/>
      <c r="AE454" s="1969"/>
      <c r="AG454" s="5285"/>
      <c r="AH454" s="1946"/>
      <c r="AI454" s="58"/>
      <c r="AJ454" s="1948"/>
      <c r="AK454" s="1948"/>
      <c r="AL454" s="172"/>
      <c r="AM454" s="5294"/>
      <c r="AN454" s="1944"/>
      <c r="AO454" s="1931"/>
      <c r="AP454" s="1931"/>
      <c r="AR454" s="5275"/>
      <c r="AS454" s="1940" t="s">
        <v>3736</v>
      </c>
      <c r="AT454" s="1941"/>
      <c r="AU454" s="1941"/>
      <c r="AV454" s="1941"/>
      <c r="AW454" s="1932"/>
      <c r="AX454" s="1932"/>
      <c r="AY454" s="1940" t="s">
        <v>3736</v>
      </c>
      <c r="BA454" s="3">
        <v>1</v>
      </c>
    </row>
    <row r="455" spans="2:53" ht="30" customHeight="1">
      <c r="B455" s="1953"/>
      <c r="C455" s="1983"/>
      <c r="D455" s="1931"/>
      <c r="E455" s="1931"/>
      <c r="F455" s="9"/>
      <c r="G455" s="1953"/>
      <c r="H455" s="1904"/>
      <c r="I455" s="1965"/>
      <c r="J455" s="1965"/>
      <c r="L455" s="5294"/>
      <c r="M455" s="172"/>
      <c r="N455" s="1975"/>
      <c r="O455" s="1976"/>
      <c r="P455" s="1975"/>
      <c r="Q455" s="1975"/>
      <c r="R455" s="1975"/>
      <c r="S455" s="9"/>
      <c r="W455" s="9"/>
      <c r="X455" s="5283"/>
      <c r="Y455" s="1967"/>
      <c r="Z455" s="1969"/>
      <c r="AA455" s="1970"/>
      <c r="AB455" s="1969"/>
      <c r="AC455" s="1969"/>
      <c r="AD455" s="1969"/>
      <c r="AE455" s="1969"/>
      <c r="AG455" s="5285"/>
      <c r="AH455" s="1946"/>
      <c r="AI455" s="58"/>
      <c r="AJ455" s="1948"/>
      <c r="AK455" s="1948"/>
      <c r="AL455" s="172"/>
      <c r="AM455" s="5294"/>
      <c r="AN455" s="1944"/>
      <c r="AO455" s="1931"/>
      <c r="AP455" s="1931"/>
      <c r="AR455" s="5294">
        <v>1</v>
      </c>
      <c r="AS455" s="1896" t="s">
        <v>3744</v>
      </c>
      <c r="AT455" s="1935" t="s">
        <v>5487</v>
      </c>
      <c r="AU455" s="1936" t="s">
        <v>5488</v>
      </c>
      <c r="AV455" s="1935" t="s">
        <v>5489</v>
      </c>
      <c r="AW455" s="1935" t="s">
        <v>6626</v>
      </c>
      <c r="AX455" s="1935" t="s">
        <v>6627</v>
      </c>
      <c r="AY455" s="1896" t="s">
        <v>3744</v>
      </c>
      <c r="BA455" s="3">
        <v>1</v>
      </c>
    </row>
    <row r="456" spans="2:53" ht="30" customHeight="1">
      <c r="B456" s="1953"/>
      <c r="C456" s="1983"/>
      <c r="D456" s="1931"/>
      <c r="E456" s="1931"/>
      <c r="F456" s="9"/>
      <c r="G456" s="1953"/>
      <c r="H456" s="1904"/>
      <c r="I456" s="1965"/>
      <c r="J456" s="1965"/>
      <c r="L456" s="5294"/>
      <c r="M456" s="172"/>
      <c r="N456" s="1975"/>
      <c r="O456" s="1976"/>
      <c r="P456" s="1975"/>
      <c r="Q456" s="1975"/>
      <c r="R456" s="1975"/>
      <c r="S456" s="9"/>
      <c r="W456" s="9"/>
      <c r="X456" s="5283"/>
      <c r="Y456" s="1967"/>
      <c r="Z456" s="1969"/>
      <c r="AA456" s="1970"/>
      <c r="AB456" s="1969"/>
      <c r="AC456" s="1969"/>
      <c r="AD456" s="1969"/>
      <c r="AE456" s="1969"/>
      <c r="AG456" s="5285"/>
      <c r="AH456" s="1946"/>
      <c r="AI456" s="58"/>
      <c r="AJ456" s="1948"/>
      <c r="AK456" s="1948"/>
      <c r="AL456" s="172"/>
      <c r="AM456" s="5294"/>
      <c r="AN456" s="1944"/>
      <c r="AO456" s="1931"/>
      <c r="AP456" s="1931"/>
      <c r="AR456" s="5294">
        <f>AR455+1</f>
        <v>2</v>
      </c>
      <c r="AS456" s="1896" t="s">
        <v>3751</v>
      </c>
      <c r="AT456" s="1935" t="s">
        <v>5490</v>
      </c>
      <c r="AU456" s="1936" t="s">
        <v>5491</v>
      </c>
      <c r="AV456" s="1935" t="s">
        <v>6628</v>
      </c>
      <c r="AW456" s="1935" t="s">
        <v>6629</v>
      </c>
      <c r="AX456" s="1935" t="s">
        <v>6630</v>
      </c>
      <c r="AY456" s="1896" t="s">
        <v>3751</v>
      </c>
      <c r="BA456" s="3">
        <v>1</v>
      </c>
    </row>
    <row r="457" spans="2:53" ht="30" customHeight="1">
      <c r="B457" s="1953"/>
      <c r="C457" s="1983"/>
      <c r="D457" s="1931"/>
      <c r="E457" s="1931"/>
      <c r="F457" s="9"/>
      <c r="G457" s="1953"/>
      <c r="H457" s="1904"/>
      <c r="I457" s="1965"/>
      <c r="J457" s="1965"/>
      <c r="L457" s="5294"/>
      <c r="M457" s="172"/>
      <c r="N457" s="1975"/>
      <c r="O457" s="1976"/>
      <c r="P457" s="1975"/>
      <c r="Q457" s="1975"/>
      <c r="R457" s="1975"/>
      <c r="S457" s="9"/>
      <c r="W457" s="9"/>
      <c r="X457" s="5283"/>
      <c r="Y457" s="1967"/>
      <c r="Z457" s="1969"/>
      <c r="AA457" s="1970"/>
      <c r="AB457" s="1969"/>
      <c r="AC457" s="1969"/>
      <c r="AD457" s="1969"/>
      <c r="AE457" s="1969"/>
      <c r="AG457" s="5285"/>
      <c r="AH457" s="1946"/>
      <c r="AI457" s="58"/>
      <c r="AJ457" s="1948"/>
      <c r="AK457" s="1948"/>
      <c r="AL457" s="172"/>
      <c r="AM457" s="5294"/>
      <c r="AN457" s="1944"/>
      <c r="AO457" s="1931"/>
      <c r="AP457" s="1931"/>
      <c r="AR457" s="5275"/>
      <c r="AS457" s="1940" t="s">
        <v>3765</v>
      </c>
      <c r="AT457" s="1941"/>
      <c r="AU457" s="1941"/>
      <c r="AV457" s="1941"/>
      <c r="AW457" s="1932"/>
      <c r="AX457" s="1932"/>
      <c r="AY457" s="1940" t="s">
        <v>3765</v>
      </c>
      <c r="BA457" s="3">
        <v>1</v>
      </c>
    </row>
    <row r="458" spans="2:53" ht="30" customHeight="1">
      <c r="B458" s="1953"/>
      <c r="C458" s="1983"/>
      <c r="D458" s="1931"/>
      <c r="E458" s="1931"/>
      <c r="F458" s="9"/>
      <c r="G458" s="1953"/>
      <c r="H458" s="1904"/>
      <c r="I458" s="1965"/>
      <c r="J458" s="1965"/>
      <c r="L458" s="5294"/>
      <c r="M458" s="172"/>
      <c r="N458" s="1975"/>
      <c r="O458" s="1976"/>
      <c r="P458" s="1975"/>
      <c r="Q458" s="1975"/>
      <c r="R458" s="1975"/>
      <c r="S458" s="9"/>
      <c r="W458" s="9"/>
      <c r="X458" s="5283"/>
      <c r="Y458" s="1967"/>
      <c r="Z458" s="1969"/>
      <c r="AA458" s="1970"/>
      <c r="AB458" s="1969"/>
      <c r="AC458" s="1969"/>
      <c r="AD458" s="1969"/>
      <c r="AE458" s="1969"/>
      <c r="AG458" s="5285"/>
      <c r="AH458" s="1946"/>
      <c r="AI458" s="58"/>
      <c r="AJ458" s="1948"/>
      <c r="AK458" s="1948"/>
      <c r="AL458" s="172"/>
      <c r="AM458" s="5294"/>
      <c r="AN458" s="1944"/>
      <c r="AO458" s="1931"/>
      <c r="AP458" s="1931"/>
      <c r="AR458" s="5294">
        <v>1</v>
      </c>
      <c r="AS458" s="1949" t="s">
        <v>3770</v>
      </c>
      <c r="AT458" s="1935" t="s">
        <v>5492</v>
      </c>
      <c r="AU458" s="1936" t="s">
        <v>5493</v>
      </c>
      <c r="AV458" s="1935" t="s">
        <v>5494</v>
      </c>
      <c r="AW458" s="1935" t="s">
        <v>6631</v>
      </c>
      <c r="AX458" s="1935" t="s">
        <v>6632</v>
      </c>
      <c r="AY458" s="1949" t="s">
        <v>3770</v>
      </c>
      <c r="BA458" s="3">
        <v>1</v>
      </c>
    </row>
    <row r="459" spans="2:53" ht="30" customHeight="1">
      <c r="B459" s="1953"/>
      <c r="C459" s="1983"/>
      <c r="D459" s="1931"/>
      <c r="E459" s="1931"/>
      <c r="F459" s="9"/>
      <c r="G459" s="1953"/>
      <c r="H459" s="1904"/>
      <c r="I459" s="1965"/>
      <c r="J459" s="1965"/>
      <c r="L459" s="5294"/>
      <c r="M459" s="172"/>
      <c r="N459" s="1975"/>
      <c r="O459" s="1976"/>
      <c r="P459" s="1975"/>
      <c r="Q459" s="1975"/>
      <c r="R459" s="1975"/>
      <c r="S459" s="9"/>
      <c r="W459" s="9"/>
      <c r="X459" s="5283"/>
      <c r="Y459" s="1967"/>
      <c r="Z459" s="1969"/>
      <c r="AA459" s="1970"/>
      <c r="AB459" s="1969"/>
      <c r="AC459" s="1969"/>
      <c r="AD459" s="1969"/>
      <c r="AE459" s="1969"/>
      <c r="AG459" s="5285"/>
      <c r="AH459" s="1946"/>
      <c r="AI459" s="58"/>
      <c r="AJ459" s="1948"/>
      <c r="AK459" s="1948"/>
      <c r="AL459" s="172"/>
      <c r="AM459" s="5294"/>
      <c r="AN459" s="1944"/>
      <c r="AO459" s="1931"/>
      <c r="AP459" s="1931"/>
      <c r="AR459" s="5294">
        <f>AR458+1</f>
        <v>2</v>
      </c>
      <c r="AS459" s="1949" t="s">
        <v>3979</v>
      </c>
      <c r="AT459" s="1935" t="s">
        <v>5974</v>
      </c>
      <c r="AU459" s="1936" t="s">
        <v>5975</v>
      </c>
      <c r="AV459" s="1935" t="s">
        <v>5976</v>
      </c>
      <c r="AW459" s="1935" t="s">
        <v>6957</v>
      </c>
      <c r="AX459" s="1935" t="s">
        <v>6958</v>
      </c>
      <c r="AY459" s="1949" t="s">
        <v>3979</v>
      </c>
      <c r="BA459" s="3">
        <v>1</v>
      </c>
    </row>
    <row r="460" spans="2:53" ht="30" customHeight="1">
      <c r="B460" s="1953"/>
      <c r="C460" s="1983"/>
      <c r="D460" s="1931"/>
      <c r="E460" s="1931"/>
      <c r="F460" s="9"/>
      <c r="G460" s="1953"/>
      <c r="H460" s="1904"/>
      <c r="I460" s="1965"/>
      <c r="J460" s="1965"/>
      <c r="L460" s="5294"/>
      <c r="M460" s="172"/>
      <c r="N460" s="1975"/>
      <c r="O460" s="1976"/>
      <c r="P460" s="1975"/>
      <c r="Q460" s="1975"/>
      <c r="R460" s="1975"/>
      <c r="S460" s="9"/>
      <c r="W460" s="9"/>
      <c r="X460" s="5283"/>
      <c r="Y460" s="1967"/>
      <c r="Z460" s="1969"/>
      <c r="AA460" s="1970"/>
      <c r="AB460" s="1969"/>
      <c r="AC460" s="1969"/>
      <c r="AD460" s="1969"/>
      <c r="AE460" s="1969"/>
      <c r="AG460" s="5285"/>
      <c r="AH460" s="1946"/>
      <c r="AI460" s="58"/>
      <c r="AJ460" s="1948"/>
      <c r="AK460" s="1948"/>
      <c r="AL460" s="172"/>
      <c r="AM460" s="5294"/>
      <c r="AN460" s="1944"/>
      <c r="AO460" s="1931"/>
      <c r="AP460" s="1931"/>
      <c r="AR460" s="5294">
        <f t="shared" ref="AR460:AR465" si="94">AR459+1</f>
        <v>3</v>
      </c>
      <c r="AS460" s="1949" t="s">
        <v>3986</v>
      </c>
      <c r="AT460" s="1935" t="s">
        <v>5977</v>
      </c>
      <c r="AU460" s="1936" t="s">
        <v>5978</v>
      </c>
      <c r="AV460" s="1935" t="s">
        <v>5979</v>
      </c>
      <c r="AW460" s="1935" t="s">
        <v>6959</v>
      </c>
      <c r="AX460" s="1935" t="s">
        <v>6960</v>
      </c>
      <c r="AY460" s="1949" t="s">
        <v>3986</v>
      </c>
      <c r="BA460" s="3">
        <v>1</v>
      </c>
    </row>
    <row r="461" spans="2:53" ht="30" customHeight="1">
      <c r="B461" s="1953"/>
      <c r="C461" s="1983"/>
      <c r="D461" s="1931"/>
      <c r="E461" s="1931"/>
      <c r="F461" s="9"/>
      <c r="G461" s="1953"/>
      <c r="H461" s="1904"/>
      <c r="I461" s="1965"/>
      <c r="J461" s="1965"/>
      <c r="L461" s="5294"/>
      <c r="M461" s="172"/>
      <c r="N461" s="1975"/>
      <c r="O461" s="1976"/>
      <c r="P461" s="1975"/>
      <c r="Q461" s="1975"/>
      <c r="R461" s="1975"/>
      <c r="S461" s="9"/>
      <c r="W461" s="9"/>
      <c r="X461" s="5283"/>
      <c r="Y461" s="1967"/>
      <c r="Z461" s="1969"/>
      <c r="AA461" s="1970"/>
      <c r="AB461" s="1969"/>
      <c r="AC461" s="1969"/>
      <c r="AD461" s="1969"/>
      <c r="AE461" s="1969"/>
      <c r="AG461" s="5285"/>
      <c r="AH461" s="1946"/>
      <c r="AI461" s="58"/>
      <c r="AJ461" s="1948"/>
      <c r="AK461" s="1948"/>
      <c r="AL461" s="172"/>
      <c r="AM461" s="5294"/>
      <c r="AN461" s="1944"/>
      <c r="AO461" s="1931"/>
      <c r="AP461" s="1931"/>
      <c r="AR461" s="5294">
        <f t="shared" si="94"/>
        <v>4</v>
      </c>
      <c r="AS461" s="1949" t="s">
        <v>7460</v>
      </c>
      <c r="AT461" s="1931" t="s">
        <v>7461</v>
      </c>
      <c r="AU461" s="1931" t="s">
        <v>7462</v>
      </c>
      <c r="AV461" s="1935" t="s">
        <v>8193</v>
      </c>
      <c r="AW461" s="1935" t="s">
        <v>8194</v>
      </c>
      <c r="AX461" s="1935" t="s">
        <v>8195</v>
      </c>
      <c r="AY461" s="1949" t="s">
        <v>7460</v>
      </c>
      <c r="BA461" s="3">
        <v>1</v>
      </c>
    </row>
    <row r="462" spans="2:53" ht="30" customHeight="1">
      <c r="B462" s="1953"/>
      <c r="C462" s="1983"/>
      <c r="D462" s="1931"/>
      <c r="E462" s="1931"/>
      <c r="F462" s="9"/>
      <c r="G462" s="1953"/>
      <c r="H462" s="1904"/>
      <c r="I462" s="1965"/>
      <c r="J462" s="1965"/>
      <c r="L462" s="5294"/>
      <c r="M462" s="172"/>
      <c r="N462" s="1975"/>
      <c r="O462" s="1976"/>
      <c r="P462" s="1975"/>
      <c r="Q462" s="1975"/>
      <c r="R462" s="1975"/>
      <c r="S462" s="9"/>
      <c r="W462" s="9"/>
      <c r="X462" s="5283"/>
      <c r="Y462" s="1967"/>
      <c r="Z462" s="1969"/>
      <c r="AA462" s="1970"/>
      <c r="AB462" s="1969"/>
      <c r="AC462" s="1969"/>
      <c r="AD462" s="1969"/>
      <c r="AE462" s="1969"/>
      <c r="AG462" s="5285"/>
      <c r="AH462" s="1946"/>
      <c r="AI462" s="58"/>
      <c r="AJ462" s="1948"/>
      <c r="AK462" s="1948"/>
      <c r="AL462" s="172"/>
      <c r="AM462" s="5294"/>
      <c r="AN462" s="1944"/>
      <c r="AO462" s="1931"/>
      <c r="AP462" s="1931"/>
      <c r="AR462" s="5294">
        <f t="shared" si="94"/>
        <v>5</v>
      </c>
      <c r="AS462" s="1949" t="s">
        <v>3777</v>
      </c>
      <c r="AT462" s="1935" t="s">
        <v>5495</v>
      </c>
      <c r="AU462" s="1936" t="s">
        <v>5496</v>
      </c>
      <c r="AV462" s="1935" t="s">
        <v>5497</v>
      </c>
      <c r="AW462" s="1935" t="s">
        <v>5574</v>
      </c>
      <c r="AX462" s="1935" t="s">
        <v>6633</v>
      </c>
      <c r="AY462" s="1949" t="s">
        <v>3777</v>
      </c>
      <c r="BA462" s="3">
        <v>1</v>
      </c>
    </row>
    <row r="463" spans="2:53" ht="30" customHeight="1">
      <c r="B463" s="1953"/>
      <c r="C463" s="1983"/>
      <c r="D463" s="1931"/>
      <c r="E463" s="1931"/>
      <c r="F463" s="9"/>
      <c r="G463" s="1953"/>
      <c r="H463" s="1904"/>
      <c r="I463" s="1965"/>
      <c r="J463" s="1965"/>
      <c r="L463" s="5294"/>
      <c r="M463" s="172"/>
      <c r="N463" s="1975"/>
      <c r="O463" s="1976"/>
      <c r="P463" s="1975"/>
      <c r="Q463" s="1975"/>
      <c r="R463" s="1975"/>
      <c r="S463" s="9"/>
      <c r="W463" s="9"/>
      <c r="X463" s="5283"/>
      <c r="Y463" s="1967"/>
      <c r="Z463" s="1969"/>
      <c r="AA463" s="1970"/>
      <c r="AB463" s="1969"/>
      <c r="AC463" s="1969"/>
      <c r="AD463" s="1969"/>
      <c r="AE463" s="1969"/>
      <c r="AG463" s="5285"/>
      <c r="AH463" s="1946"/>
      <c r="AI463" s="58"/>
      <c r="AJ463" s="1948"/>
      <c r="AK463" s="1948"/>
      <c r="AL463" s="172"/>
      <c r="AM463" s="5294"/>
      <c r="AN463" s="1944"/>
      <c r="AO463" s="1931"/>
      <c r="AP463" s="1931"/>
      <c r="AR463" s="5294">
        <f t="shared" si="94"/>
        <v>6</v>
      </c>
      <c r="AS463" s="1949" t="s">
        <v>3786</v>
      </c>
      <c r="AT463" s="1935" t="s">
        <v>5498</v>
      </c>
      <c r="AU463" s="1936" t="s">
        <v>5499</v>
      </c>
      <c r="AV463" s="1935" t="s">
        <v>5500</v>
      </c>
      <c r="AW463" s="1935" t="s">
        <v>6634</v>
      </c>
      <c r="AX463" s="1935" t="s">
        <v>6635</v>
      </c>
      <c r="AY463" s="1949" t="s">
        <v>3786</v>
      </c>
      <c r="BA463" s="3">
        <v>1</v>
      </c>
    </row>
    <row r="464" spans="2:53" ht="30" customHeight="1">
      <c r="B464" s="1953"/>
      <c r="C464" s="1983"/>
      <c r="D464" s="1931"/>
      <c r="E464" s="1931"/>
      <c r="F464" s="9"/>
      <c r="G464" s="1953"/>
      <c r="H464" s="1904"/>
      <c r="I464" s="1965"/>
      <c r="J464" s="1965"/>
      <c r="L464" s="5294"/>
      <c r="M464" s="172"/>
      <c r="N464" s="1975"/>
      <c r="O464" s="1976"/>
      <c r="P464" s="1975"/>
      <c r="Q464" s="1975"/>
      <c r="R464" s="1975"/>
      <c r="S464" s="9"/>
      <c r="W464" s="9"/>
      <c r="X464" s="5283"/>
      <c r="Y464" s="1967"/>
      <c r="Z464" s="1969"/>
      <c r="AA464" s="1970"/>
      <c r="AB464" s="1969"/>
      <c r="AC464" s="1969"/>
      <c r="AD464" s="1969"/>
      <c r="AE464" s="1969"/>
      <c r="AG464" s="5285"/>
      <c r="AH464" s="1946"/>
      <c r="AI464" s="58"/>
      <c r="AJ464" s="1948"/>
      <c r="AK464" s="1948"/>
      <c r="AL464" s="172"/>
      <c r="AM464" s="5294"/>
      <c r="AN464" s="1944"/>
      <c r="AO464" s="1931"/>
      <c r="AP464" s="1931"/>
      <c r="AR464" s="5294">
        <f t="shared" si="94"/>
        <v>7</v>
      </c>
      <c r="AS464" s="1949" t="s">
        <v>3791</v>
      </c>
      <c r="AT464" s="1935" t="s">
        <v>5501</v>
      </c>
      <c r="AU464" s="1936" t="s">
        <v>5502</v>
      </c>
      <c r="AV464" s="1935" t="s">
        <v>5503</v>
      </c>
      <c r="AW464" s="1935" t="s">
        <v>6636</v>
      </c>
      <c r="AX464" s="1935" t="s">
        <v>6637</v>
      </c>
      <c r="AY464" s="1949" t="s">
        <v>3791</v>
      </c>
      <c r="BA464" s="3">
        <v>1</v>
      </c>
    </row>
    <row r="465" spans="1:55" ht="30" customHeight="1">
      <c r="B465" s="1953"/>
      <c r="C465" s="1983"/>
      <c r="D465" s="1931"/>
      <c r="E465" s="1931"/>
      <c r="F465" s="9"/>
      <c r="G465" s="1953"/>
      <c r="H465" s="1904"/>
      <c r="I465" s="1965"/>
      <c r="J465" s="1965"/>
      <c r="L465" s="5294"/>
      <c r="M465" s="172"/>
      <c r="N465" s="1975"/>
      <c r="O465" s="1976"/>
      <c r="P465" s="1975"/>
      <c r="Q465" s="1975"/>
      <c r="R465" s="1975"/>
      <c r="S465" s="9"/>
      <c r="W465" s="9"/>
      <c r="X465" s="5283"/>
      <c r="Y465" s="1967"/>
      <c r="Z465" s="1969"/>
      <c r="AA465" s="1970"/>
      <c r="AB465" s="1969"/>
      <c r="AC465" s="1969"/>
      <c r="AD465" s="1969"/>
      <c r="AE465" s="1969"/>
      <c r="AG465" s="5285"/>
      <c r="AH465" s="1946"/>
      <c r="AI465" s="58"/>
      <c r="AJ465" s="1948"/>
      <c r="AK465" s="1948"/>
      <c r="AL465" s="172"/>
      <c r="AM465" s="5294"/>
      <c r="AN465" s="1944"/>
      <c r="AO465" s="1931"/>
      <c r="AP465" s="1931"/>
      <c r="AR465" s="5294">
        <f t="shared" si="94"/>
        <v>8</v>
      </c>
      <c r="AS465" s="1949" t="s">
        <v>3798</v>
      </c>
      <c r="AT465" s="1935" t="s">
        <v>5504</v>
      </c>
      <c r="AU465" s="1936" t="s">
        <v>5505</v>
      </c>
      <c r="AV465" s="1935" t="s">
        <v>5506</v>
      </c>
      <c r="AW465" s="1935" t="s">
        <v>6638</v>
      </c>
      <c r="AX465" s="1935" t="s">
        <v>6639</v>
      </c>
      <c r="AY465" s="1949" t="s">
        <v>3798</v>
      </c>
      <c r="BA465" s="3">
        <v>1</v>
      </c>
    </row>
    <row r="466" spans="1:55" ht="30" customHeight="1">
      <c r="B466" s="1953"/>
      <c r="C466" s="1983"/>
      <c r="D466" s="1931"/>
      <c r="E466" s="1931"/>
      <c r="F466" s="9"/>
      <c r="G466" s="1953"/>
      <c r="H466" s="1904"/>
      <c r="I466" s="1965"/>
      <c r="J466" s="1965"/>
      <c r="L466" s="5294"/>
      <c r="M466" s="172"/>
      <c r="N466" s="1975"/>
      <c r="O466" s="1976"/>
      <c r="P466" s="1975"/>
      <c r="Q466" s="1975"/>
      <c r="R466" s="1975"/>
      <c r="S466" s="9"/>
      <c r="W466" s="9"/>
      <c r="X466" s="5283"/>
      <c r="Y466" s="1967"/>
      <c r="Z466" s="1969"/>
      <c r="AA466" s="1970"/>
      <c r="AB466" s="1969"/>
      <c r="AC466" s="1969"/>
      <c r="AD466" s="1969"/>
      <c r="AE466" s="1969"/>
      <c r="AG466" s="5285"/>
      <c r="AH466" s="1946"/>
      <c r="AI466" s="58"/>
      <c r="AJ466" s="1948"/>
      <c r="AK466" s="1948"/>
      <c r="AL466" s="172"/>
      <c r="AM466" s="5294"/>
      <c r="AN466" s="1944"/>
      <c r="AO466" s="1931"/>
      <c r="AP466" s="1931"/>
      <c r="AR466" s="5275"/>
      <c r="AS466" s="1940" t="s">
        <v>1673</v>
      </c>
      <c r="AT466" s="1941"/>
      <c r="AU466" s="1941"/>
      <c r="AV466" s="1941"/>
      <c r="AW466" s="1932"/>
      <c r="AX466" s="1932"/>
      <c r="AY466" s="1940" t="s">
        <v>1673</v>
      </c>
      <c r="BA466" s="3">
        <v>1</v>
      </c>
    </row>
    <row r="467" spans="1:55" ht="30" customHeight="1">
      <c r="B467" s="1953"/>
      <c r="C467" s="1983"/>
      <c r="D467" s="1931"/>
      <c r="E467" s="1931"/>
      <c r="F467" s="9"/>
      <c r="G467" s="1953"/>
      <c r="H467" s="1904"/>
      <c r="I467" s="1965"/>
      <c r="J467" s="1965"/>
      <c r="L467" s="5294"/>
      <c r="M467" s="172"/>
      <c r="N467" s="1975"/>
      <c r="O467" s="1976"/>
      <c r="P467" s="1975"/>
      <c r="Q467" s="1975"/>
      <c r="R467" s="1975"/>
      <c r="S467" s="9"/>
      <c r="W467" s="9"/>
      <c r="X467" s="5283"/>
      <c r="Y467" s="1967"/>
      <c r="Z467" s="1969"/>
      <c r="AA467" s="1970"/>
      <c r="AB467" s="1969"/>
      <c r="AC467" s="1969"/>
      <c r="AD467" s="1969"/>
      <c r="AE467" s="1969"/>
      <c r="AG467" s="5285"/>
      <c r="AH467" s="1946"/>
      <c r="AI467" s="58"/>
      <c r="AJ467" s="1948"/>
      <c r="AK467" s="1948"/>
      <c r="AL467" s="172"/>
      <c r="AM467" s="5294"/>
      <c r="AN467" s="1944"/>
      <c r="AO467" s="1931"/>
      <c r="AP467" s="1931"/>
      <c r="AR467" s="5294">
        <v>1</v>
      </c>
      <c r="AS467" s="1896" t="s">
        <v>3819</v>
      </c>
      <c r="AT467" s="1935" t="s">
        <v>5507</v>
      </c>
      <c r="AU467" s="1936" t="s">
        <v>5508</v>
      </c>
      <c r="AV467" s="1935" t="s">
        <v>6640</v>
      </c>
      <c r="AW467" s="1935" t="s">
        <v>6641</v>
      </c>
      <c r="AX467" s="1935" t="s">
        <v>6642</v>
      </c>
      <c r="AY467" s="1896" t="s">
        <v>3819</v>
      </c>
      <c r="BA467" s="3">
        <v>1</v>
      </c>
    </row>
    <row r="468" spans="1:55" ht="30" customHeight="1">
      <c r="B468" s="1953"/>
      <c r="C468" s="1983"/>
      <c r="D468" s="1931"/>
      <c r="E468" s="1931"/>
      <c r="F468" s="9"/>
      <c r="G468" s="1953"/>
      <c r="H468" s="1904"/>
      <c r="I468" s="1965"/>
      <c r="J468" s="1965"/>
      <c r="L468" s="5294"/>
      <c r="M468" s="172"/>
      <c r="N468" s="1975"/>
      <c r="O468" s="1976"/>
      <c r="P468" s="1975"/>
      <c r="Q468" s="1975"/>
      <c r="R468" s="1975"/>
      <c r="S468" s="9"/>
      <c r="W468" s="9"/>
      <c r="X468" s="5283"/>
      <c r="Y468" s="1967"/>
      <c r="Z468" s="1969"/>
      <c r="AA468" s="1970"/>
      <c r="AB468" s="1969"/>
      <c r="AC468" s="1969"/>
      <c r="AD468" s="1969"/>
      <c r="AE468" s="1969"/>
      <c r="AG468" s="5285"/>
      <c r="AH468" s="1946"/>
      <c r="AI468" s="58"/>
      <c r="AJ468" s="1948"/>
      <c r="AK468" s="1948"/>
      <c r="AL468" s="172"/>
      <c r="AM468" s="5294"/>
      <c r="AN468" s="1944"/>
      <c r="AO468" s="1931"/>
      <c r="AP468" s="1931"/>
      <c r="BA468" s="708" t="s">
        <v>823</v>
      </c>
    </row>
    <row r="469" spans="1:55">
      <c r="A469" s="3">
        <v>1</v>
      </c>
      <c r="B469" s="3">
        <v>1</v>
      </c>
      <c r="C469" s="3">
        <v>1</v>
      </c>
      <c r="D469" s="3">
        <v>1</v>
      </c>
      <c r="E469" s="3">
        <v>1</v>
      </c>
      <c r="F469" s="3">
        <v>1</v>
      </c>
      <c r="G469" s="3">
        <v>1</v>
      </c>
      <c r="H469" s="3">
        <v>1</v>
      </c>
      <c r="I469" s="3">
        <v>1</v>
      </c>
      <c r="J469" s="3">
        <v>1</v>
      </c>
      <c r="K469" s="3">
        <v>1</v>
      </c>
      <c r="L469" s="3">
        <v>1</v>
      </c>
      <c r="M469" s="3">
        <v>1</v>
      </c>
      <c r="N469" s="3">
        <v>1</v>
      </c>
      <c r="O469" s="3">
        <v>1</v>
      </c>
      <c r="P469" s="3">
        <v>1</v>
      </c>
      <c r="Q469" s="3">
        <v>1</v>
      </c>
      <c r="R469" s="3">
        <v>1</v>
      </c>
      <c r="S469" s="3">
        <v>1</v>
      </c>
      <c r="T469" s="3">
        <v>1</v>
      </c>
      <c r="U469" s="3">
        <v>1</v>
      </c>
      <c r="V469" s="3">
        <v>1</v>
      </c>
      <c r="W469" s="3">
        <v>1</v>
      </c>
      <c r="X469" s="3">
        <v>1</v>
      </c>
      <c r="Y469" s="3">
        <v>1</v>
      </c>
      <c r="Z469" s="3">
        <v>1</v>
      </c>
      <c r="AA469" s="3">
        <v>1</v>
      </c>
      <c r="AB469" s="3">
        <v>1</v>
      </c>
      <c r="AC469" s="3">
        <v>1</v>
      </c>
      <c r="AD469" s="3">
        <v>1</v>
      </c>
      <c r="AE469" s="3">
        <v>1</v>
      </c>
      <c r="AF469" s="3">
        <v>1</v>
      </c>
      <c r="AG469" s="3">
        <v>1</v>
      </c>
      <c r="AH469" s="3">
        <v>1</v>
      </c>
      <c r="AI469" s="3">
        <v>1</v>
      </c>
      <c r="AJ469" s="3">
        <v>1</v>
      </c>
      <c r="AK469" s="3">
        <v>1</v>
      </c>
      <c r="AL469" s="3">
        <v>1</v>
      </c>
      <c r="AM469" s="3">
        <v>1</v>
      </c>
      <c r="AN469" s="3">
        <v>1</v>
      </c>
      <c r="AO469" s="3">
        <v>1</v>
      </c>
      <c r="AP469" s="3">
        <v>1</v>
      </c>
      <c r="AQ469" s="3">
        <v>1</v>
      </c>
      <c r="AR469" s="3">
        <v>1</v>
      </c>
      <c r="AS469" s="3">
        <v>1</v>
      </c>
      <c r="AT469" s="3">
        <v>1</v>
      </c>
      <c r="AU469" s="3">
        <v>1</v>
      </c>
      <c r="AV469" s="3">
        <v>1</v>
      </c>
      <c r="AW469" s="3">
        <v>1</v>
      </c>
      <c r="AX469" s="3">
        <v>1</v>
      </c>
      <c r="AY469" s="3">
        <v>1</v>
      </c>
      <c r="AZ469" s="3">
        <v>1</v>
      </c>
      <c r="BA469" s="1" t="str">
        <f>ADDRESS(ROW(),COLUMN(),4)</f>
        <v>BA469</v>
      </c>
      <c r="BB469" s="710"/>
      <c r="BC469" s="711" t="str">
        <f>ADDRESS(ROW(),COLUMN(),4)</f>
        <v>BC469</v>
      </c>
    </row>
  </sheetData>
  <mergeCells count="44">
    <mergeCell ref="H10:J10"/>
    <mergeCell ref="B4:E5"/>
    <mergeCell ref="G4:J5"/>
    <mergeCell ref="M4:R5"/>
    <mergeCell ref="U4:V5"/>
    <mergeCell ref="AR4:AY5"/>
    <mergeCell ref="AR6:AY7"/>
    <mergeCell ref="H8:J8"/>
    <mergeCell ref="U8:V8"/>
    <mergeCell ref="AV9:AX9"/>
    <mergeCell ref="X4:AE5"/>
    <mergeCell ref="AM4:AP5"/>
    <mergeCell ref="U51:V51"/>
    <mergeCell ref="U22:V22"/>
    <mergeCell ref="H32:H33"/>
    <mergeCell ref="I32:I33"/>
    <mergeCell ref="J32:J33"/>
    <mergeCell ref="U33:V33"/>
    <mergeCell ref="H37:H38"/>
    <mergeCell ref="I37:I38"/>
    <mergeCell ref="J37:J38"/>
    <mergeCell ref="U43:V43"/>
    <mergeCell ref="H46:H47"/>
    <mergeCell ref="I46:I47"/>
    <mergeCell ref="J46:J47"/>
    <mergeCell ref="U48:V48"/>
    <mergeCell ref="U54:V54"/>
    <mergeCell ref="U57:V57"/>
    <mergeCell ref="U59:V59"/>
    <mergeCell ref="G65:G66"/>
    <mergeCell ref="H65:H66"/>
    <mergeCell ref="I65:I66"/>
    <mergeCell ref="J65:J66"/>
    <mergeCell ref="U67:V67"/>
    <mergeCell ref="U69:V69"/>
    <mergeCell ref="G73:G74"/>
    <mergeCell ref="H73:H74"/>
    <mergeCell ref="I73:I74"/>
    <mergeCell ref="J73:J74"/>
    <mergeCell ref="H76:H77"/>
    <mergeCell ref="U77:V77"/>
    <mergeCell ref="U91:V91"/>
    <mergeCell ref="U97:V97"/>
    <mergeCell ref="U102:V102"/>
  </mergeCells>
  <hyperlinks>
    <hyperlink ref="AN110" r:id="rId1" xr:uid="{43D66850-0207-492E-B0D0-AD7C4EACB41F}"/>
    <hyperlink ref="AN111" r:id="rId2" xr:uid="{A141FA8D-52CD-45E9-AA64-3110995A2422}"/>
    <hyperlink ref="AN112" r:id="rId3" xr:uid="{D2296869-CA67-4BE0-BFA5-0E91F7CE1C32}"/>
    <hyperlink ref="H78" r:id="rId4" xr:uid="{24648AEE-3C54-4FA6-96E0-BF91C7600EFB}"/>
  </hyperlinks>
  <pageMargins left="0.7" right="0.7" top="0.75" bottom="0.75" header="0.3" footer="0.3"/>
  <drawing r:id="rId5"/>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24C26B-77F7-4A42-8020-9472F10329E3}">
  <dimension ref="A1:BC237"/>
  <sheetViews>
    <sheetView zoomScaleNormal="100" workbookViewId="0">
      <selection activeCell="R58" sqref="R58"/>
    </sheetView>
  </sheetViews>
  <sheetFormatPr baseColWidth="10" defaultRowHeight="15.75"/>
  <cols>
    <col min="1" max="1" width="3" style="1578" customWidth="1"/>
    <col min="2" max="2" width="4.140625" style="1578" customWidth="1"/>
    <col min="3" max="3" width="13.28515625" style="1578" customWidth="1"/>
    <col min="4" max="4" width="21.28515625" style="1578" customWidth="1"/>
    <col min="5" max="8" width="13.28515625" style="1578" customWidth="1"/>
    <col min="9" max="9" width="17.140625" style="1578" customWidth="1"/>
    <col min="10" max="10" width="19" style="1578" customWidth="1"/>
    <col min="11" max="12" width="16.7109375" style="1578" customWidth="1"/>
    <col min="13" max="13" width="18.28515625" style="1578" customWidth="1"/>
    <col min="14" max="16" width="16.7109375" style="1578" customWidth="1"/>
    <col min="17" max="33" width="11.42578125" style="1578"/>
    <col min="34" max="34" width="41.7109375" style="1578" customWidth="1"/>
    <col min="35" max="54" width="11.42578125" style="1578"/>
    <col min="55" max="55" width="80.28515625" style="1578" customWidth="1"/>
    <col min="56" max="16384" width="11.42578125" style="1578"/>
  </cols>
  <sheetData>
    <row r="1" spans="1:55" s="1564" customFormat="1" ht="15">
      <c r="A1" s="1" t="str">
        <f>ADDRESS(ROW(),COLUMN(),4)</f>
        <v>A1</v>
      </c>
      <c r="B1" s="1563"/>
      <c r="C1" s="1563"/>
      <c r="D1" s="1563"/>
      <c r="E1" s="1563"/>
      <c r="F1" s="1563"/>
      <c r="G1" s="1563"/>
      <c r="H1" s="1563"/>
      <c r="I1" s="1563"/>
      <c r="J1" s="1563"/>
      <c r="K1" s="1563"/>
      <c r="L1" s="1563"/>
      <c r="M1" s="1563"/>
      <c r="N1" s="1563"/>
      <c r="O1" s="1563"/>
      <c r="P1" s="1563"/>
      <c r="Q1" s="1563"/>
      <c r="R1" s="1563"/>
      <c r="S1" s="1996"/>
      <c r="T1" s="1997" t="s">
        <v>8527</v>
      </c>
      <c r="U1" s="1" t="str">
        <f>$BA$237</f>
        <v>BA237</v>
      </c>
      <c r="V1" s="1574"/>
      <c r="W1" s="1574"/>
      <c r="X1" s="1574"/>
      <c r="Y1" s="1574"/>
      <c r="Z1" s="1574"/>
      <c r="AA1" s="1574"/>
      <c r="AB1" s="1574"/>
      <c r="AC1" s="1574"/>
      <c r="AD1" s="1574"/>
      <c r="AE1" s="1574"/>
      <c r="AF1" s="1574"/>
      <c r="AG1" s="1574"/>
      <c r="AH1" s="1574"/>
      <c r="AI1" s="1574"/>
      <c r="AJ1" s="1574"/>
      <c r="AK1" s="1574"/>
      <c r="AL1" s="1574"/>
      <c r="AM1" s="1574"/>
      <c r="AN1" s="1574"/>
      <c r="AO1" s="1574"/>
      <c r="AP1" s="1574"/>
      <c r="AQ1" s="1574"/>
      <c r="AR1" s="1574"/>
      <c r="AS1" s="1574"/>
      <c r="AT1" s="1574"/>
      <c r="AU1" s="1574"/>
      <c r="AV1" s="1574"/>
      <c r="AW1" s="1574"/>
      <c r="AX1" s="1574"/>
      <c r="AY1" s="1574"/>
      <c r="AZ1" s="1574"/>
      <c r="BA1" s="3">
        <v>1</v>
      </c>
      <c r="BB1" s="4" t="str">
        <f>SUBSTITUTE(ADDRESS(1,COLUMN(),4),"1","")</f>
        <v>BB</v>
      </c>
      <c r="BC1" s="5" t="str">
        <f>SUBSTITUTE(ADDRESS(1,COLUMN(),4),"1","")</f>
        <v>BC</v>
      </c>
    </row>
    <row r="2" spans="1:55" s="1564" customFormat="1" ht="29.25">
      <c r="A2" s="1563"/>
      <c r="B2" s="1563"/>
      <c r="C2" s="1565" t="s">
        <v>3362</v>
      </c>
      <c r="D2" s="1566"/>
      <c r="E2" s="1566"/>
      <c r="F2" s="1566"/>
      <c r="G2" s="1566"/>
      <c r="H2" s="1566"/>
      <c r="I2" s="1566"/>
      <c r="J2" s="1566"/>
      <c r="K2" s="1566"/>
      <c r="L2" s="1566"/>
      <c r="M2" s="1566"/>
      <c r="N2" s="1566"/>
      <c r="O2" s="1566"/>
      <c r="P2" s="1566"/>
      <c r="Q2" s="1566"/>
      <c r="R2" s="1566"/>
      <c r="S2" s="1566"/>
      <c r="T2" s="1566"/>
      <c r="U2" s="1566"/>
      <c r="V2" s="1565" t="s">
        <v>8531</v>
      </c>
      <c r="W2" s="1566"/>
      <c r="X2" s="1566"/>
      <c r="Y2" s="1566"/>
      <c r="Z2" s="1566"/>
      <c r="AA2" s="1566"/>
      <c r="AB2" s="1566"/>
      <c r="AC2" s="1566"/>
      <c r="AD2" s="1566"/>
      <c r="AE2" s="1566"/>
      <c r="AF2" s="1574"/>
      <c r="AG2" s="1566"/>
      <c r="AH2" s="1566"/>
      <c r="AI2" s="1565" t="s">
        <v>8551</v>
      </c>
      <c r="AJ2" s="1566"/>
      <c r="AK2" s="1566"/>
      <c r="AL2" s="1566"/>
      <c r="AM2" s="1566"/>
      <c r="AN2" s="1566"/>
      <c r="AO2" s="1566"/>
      <c r="AP2" s="1574"/>
      <c r="AQ2" s="1574"/>
      <c r="AR2" s="1574"/>
      <c r="AS2" s="1574"/>
      <c r="AT2" s="1574"/>
      <c r="AU2" s="1574"/>
      <c r="AV2" s="1574"/>
      <c r="AW2" s="1574"/>
      <c r="AX2" s="1574"/>
      <c r="AY2" s="1574"/>
      <c r="AZ2" s="1574"/>
      <c r="BA2" s="3">
        <v>1</v>
      </c>
      <c r="BB2" s="7" t="s">
        <v>3</v>
      </c>
      <c r="BC2" s="8"/>
    </row>
    <row r="3" spans="1:55" s="1564" customFormat="1" ht="29.25">
      <c r="A3" s="1563"/>
      <c r="B3" s="1563"/>
      <c r="C3" s="1565" t="s">
        <v>3363</v>
      </c>
      <c r="D3" s="1567"/>
      <c r="E3" s="1567"/>
      <c r="F3" s="1567"/>
      <c r="G3" s="1567"/>
      <c r="H3" s="1567"/>
      <c r="I3" s="1567"/>
      <c r="J3" s="1567"/>
      <c r="K3" s="1567"/>
      <c r="L3" s="1566"/>
      <c r="M3" s="1566"/>
      <c r="N3" s="1566"/>
      <c r="O3" s="1566"/>
      <c r="P3" s="1566"/>
      <c r="Q3" s="1566"/>
      <c r="R3" s="1566"/>
      <c r="S3" s="1566"/>
      <c r="T3" s="1566"/>
      <c r="U3" s="1566"/>
      <c r="V3" s="1565" t="s">
        <v>8532</v>
      </c>
      <c r="W3" s="1567"/>
      <c r="X3" s="1567"/>
      <c r="Y3" s="1567"/>
      <c r="Z3" s="1567"/>
      <c r="AA3" s="1567"/>
      <c r="AB3" s="1567"/>
      <c r="AC3" s="1567"/>
      <c r="AD3" s="1567"/>
      <c r="AE3" s="1566"/>
      <c r="AF3" s="1574"/>
      <c r="AG3" s="1566"/>
      <c r="AH3" s="1566"/>
      <c r="AI3" s="1565" t="s">
        <v>8550</v>
      </c>
      <c r="AJ3" s="1567"/>
      <c r="AK3" s="1567"/>
      <c r="AL3" s="1567"/>
      <c r="AM3" s="1567"/>
      <c r="AN3" s="1567"/>
      <c r="AO3" s="1567"/>
      <c r="AP3" s="1574"/>
      <c r="AQ3" s="1574"/>
      <c r="AR3" s="1574"/>
      <c r="AS3" s="1574"/>
      <c r="AT3" s="1574"/>
      <c r="AU3" s="1574"/>
      <c r="AV3" s="1574"/>
      <c r="AW3" s="1574"/>
      <c r="AX3" s="1574"/>
      <c r="AY3" s="1574"/>
      <c r="AZ3" s="1574"/>
      <c r="BA3" s="3">
        <v>1</v>
      </c>
      <c r="BB3" s="11">
        <f ca="1">COUNTA(A1:BA237) + COUNTBLANK(A1:BA237)</f>
        <v>12565</v>
      </c>
      <c r="BC3" s="12" t="str">
        <f>"cellules entre -cells -celdas  "&amp;" " &amp;A1&amp;" et  "&amp;BA237</f>
        <v>cellules entre -cells -celdas   A1 et  BA237</v>
      </c>
    </row>
    <row r="4" spans="1:55" s="1564" customFormat="1" ht="29.25">
      <c r="A4" s="1563"/>
      <c r="B4" s="1563"/>
      <c r="C4" s="1565" t="s">
        <v>3364</v>
      </c>
      <c r="D4" s="1568"/>
      <c r="E4" s="1568"/>
      <c r="F4" s="1568"/>
      <c r="G4" s="1568"/>
      <c r="H4" s="1568"/>
      <c r="I4" s="1568"/>
      <c r="J4" s="1568"/>
      <c r="K4" s="1568"/>
      <c r="L4" s="1568"/>
      <c r="M4" s="1568"/>
      <c r="N4" s="1568"/>
      <c r="O4" s="1568"/>
      <c r="P4" s="1568"/>
      <c r="Q4" s="1568"/>
      <c r="R4" s="1568"/>
      <c r="S4" s="1568"/>
      <c r="T4" s="1568"/>
      <c r="U4" s="1568"/>
      <c r="V4" s="1565" t="s">
        <v>8533</v>
      </c>
      <c r="W4" s="1568"/>
      <c r="X4" s="1568"/>
      <c r="Y4" s="1568"/>
      <c r="Z4" s="1568"/>
      <c r="AA4" s="1568"/>
      <c r="AB4" s="1568"/>
      <c r="AC4" s="1568"/>
      <c r="AD4" s="1568"/>
      <c r="AE4" s="1568"/>
      <c r="AF4" s="1574"/>
      <c r="AG4" s="1568"/>
      <c r="AH4" s="1568"/>
      <c r="AI4" s="1565" t="s">
        <v>8554</v>
      </c>
      <c r="AJ4" s="1568"/>
      <c r="AK4" s="1568"/>
      <c r="AL4" s="1568"/>
      <c r="AM4" s="1568"/>
      <c r="AN4" s="1568"/>
      <c r="AO4" s="1568"/>
      <c r="AP4" s="1574"/>
      <c r="AQ4" s="1574"/>
      <c r="AR4" s="1574"/>
      <c r="AS4" s="1574"/>
      <c r="AT4" s="1574"/>
      <c r="AU4" s="1574"/>
      <c r="AV4" s="1574"/>
      <c r="AW4" s="1574"/>
      <c r="AX4" s="1574"/>
      <c r="AY4" s="1574"/>
      <c r="AZ4" s="1574"/>
      <c r="BA4" s="3">
        <v>1</v>
      </c>
      <c r="BB4" s="11">
        <f ca="1">COUNTA(A1:BA237)</f>
        <v>1291</v>
      </c>
      <c r="BC4" s="12" t="s">
        <v>10</v>
      </c>
    </row>
    <row r="5" spans="1:55" s="1564" customFormat="1" ht="29.25">
      <c r="A5" s="1563"/>
      <c r="B5" s="1563"/>
      <c r="C5" s="1565" t="s">
        <v>3365</v>
      </c>
      <c r="D5" s="1568"/>
      <c r="E5" s="1568"/>
      <c r="F5" s="1568"/>
      <c r="G5" s="1568"/>
      <c r="H5" s="1568"/>
      <c r="I5" s="1568"/>
      <c r="J5" s="1568"/>
      <c r="K5" s="1568"/>
      <c r="L5" s="1568"/>
      <c r="M5" s="1568"/>
      <c r="N5" s="1568"/>
      <c r="O5" s="1568"/>
      <c r="P5" s="1568"/>
      <c r="Q5" s="1568"/>
      <c r="R5" s="1568"/>
      <c r="S5" s="1568"/>
      <c r="T5" s="1568"/>
      <c r="U5" s="1568"/>
      <c r="V5" s="1565" t="s">
        <v>8534</v>
      </c>
      <c r="W5" s="1568"/>
      <c r="X5" s="1568"/>
      <c r="Y5" s="1568"/>
      <c r="Z5" s="1568"/>
      <c r="AA5" s="1568"/>
      <c r="AB5" s="1568"/>
      <c r="AC5" s="1568"/>
      <c r="AD5" s="1568"/>
      <c r="AE5" s="1568"/>
      <c r="AF5" s="1574"/>
      <c r="AG5" s="1568"/>
      <c r="AH5" s="1568"/>
      <c r="AI5" s="1565" t="s">
        <v>8555</v>
      </c>
      <c r="AJ5" s="1568"/>
      <c r="AK5" s="1568"/>
      <c r="AL5" s="1568"/>
      <c r="AM5" s="1568"/>
      <c r="AN5" s="1568"/>
      <c r="AO5" s="1568"/>
      <c r="AP5" s="1574"/>
      <c r="AQ5" s="1574"/>
      <c r="AR5" s="1574"/>
      <c r="AS5" s="1574"/>
      <c r="AT5" s="1574"/>
      <c r="AU5" s="1574"/>
      <c r="AV5" s="1574"/>
      <c r="AW5" s="1574"/>
      <c r="AX5" s="1574"/>
      <c r="AY5" s="1574"/>
      <c r="AZ5" s="1574"/>
      <c r="BA5" s="3">
        <v>1</v>
      </c>
      <c r="BB5" s="11">
        <f ca="1">COUNTBLANK(A1:BA237)</f>
        <v>11274</v>
      </c>
      <c r="BC5" s="12" t="s">
        <v>13</v>
      </c>
    </row>
    <row r="6" spans="1:55" s="1564" customFormat="1" ht="29.25">
      <c r="A6" s="1563"/>
      <c r="B6" s="1563"/>
      <c r="C6" s="1565" t="s">
        <v>3366</v>
      </c>
      <c r="D6" s="1568"/>
      <c r="E6" s="1568"/>
      <c r="F6" s="1568"/>
      <c r="G6" s="1568"/>
      <c r="H6" s="1568"/>
      <c r="I6" s="1568"/>
      <c r="J6" s="1568"/>
      <c r="K6" s="1568"/>
      <c r="L6" s="1568"/>
      <c r="M6" s="1568"/>
      <c r="N6" s="1568"/>
      <c r="O6" s="1568"/>
      <c r="P6" s="1568"/>
      <c r="Q6" s="1568"/>
      <c r="R6" s="1568"/>
      <c r="S6" s="1568"/>
      <c r="T6" s="1568"/>
      <c r="U6" s="1568"/>
      <c r="V6" s="1565" t="s">
        <v>8535</v>
      </c>
      <c r="W6" s="1568"/>
      <c r="X6" s="1568"/>
      <c r="Y6" s="1568"/>
      <c r="Z6" s="1568"/>
      <c r="AA6" s="1568"/>
      <c r="AB6" s="1568"/>
      <c r="AC6" s="1568"/>
      <c r="AD6" s="1568"/>
      <c r="AE6" s="1568"/>
      <c r="AF6" s="1574"/>
      <c r="AG6" s="1568"/>
      <c r="AH6" s="1568"/>
      <c r="AI6" s="1565" t="s">
        <v>8552</v>
      </c>
      <c r="AJ6" s="1568"/>
      <c r="AK6" s="1568"/>
      <c r="AL6" s="1568"/>
      <c r="AM6" s="1568"/>
      <c r="AN6" s="1568"/>
      <c r="AO6" s="1568"/>
      <c r="AP6" s="1574"/>
      <c r="AQ6" s="1574"/>
      <c r="AR6" s="1574"/>
      <c r="AS6" s="1574"/>
      <c r="AT6" s="1574"/>
      <c r="AU6" s="1574"/>
      <c r="AV6" s="1574"/>
      <c r="AW6" s="1574"/>
      <c r="AX6" s="1574"/>
      <c r="AY6" s="1574"/>
      <c r="AZ6" s="1574"/>
      <c r="BA6" s="3">
        <v>1</v>
      </c>
      <c r="BB6" s="11" cm="1">
        <f t="array" ref="BB6">SUM(BA1:BA235+2)</f>
        <v>705</v>
      </c>
      <c r="BC6" s="12" t="s">
        <v>15</v>
      </c>
    </row>
    <row r="7" spans="1:55" s="1564" customFormat="1" ht="29.25">
      <c r="A7" s="1563"/>
      <c r="B7" s="1563"/>
      <c r="C7" s="1565" t="s">
        <v>3367</v>
      </c>
      <c r="D7" s="1568"/>
      <c r="E7" s="1568"/>
      <c r="F7" s="1568"/>
      <c r="G7" s="1568"/>
      <c r="H7" s="1568"/>
      <c r="I7" s="1568"/>
      <c r="J7" s="1568"/>
      <c r="K7" s="1568"/>
      <c r="L7" s="1568"/>
      <c r="M7" s="1568"/>
      <c r="N7" s="1568"/>
      <c r="O7" s="1568"/>
      <c r="P7" s="1568"/>
      <c r="Q7" s="1568"/>
      <c r="R7" s="1568"/>
      <c r="S7" s="1568"/>
      <c r="T7" s="1568"/>
      <c r="U7" s="1568"/>
      <c r="V7" s="1565" t="s">
        <v>8536</v>
      </c>
      <c r="W7" s="1568"/>
      <c r="X7" s="1568"/>
      <c r="Y7" s="1568"/>
      <c r="Z7" s="1568"/>
      <c r="AA7" s="1568"/>
      <c r="AB7" s="1568"/>
      <c r="AC7" s="1568"/>
      <c r="AD7" s="1568"/>
      <c r="AE7" s="1568"/>
      <c r="AF7" s="1574"/>
      <c r="AG7" s="1568"/>
      <c r="AH7" s="1568"/>
      <c r="AI7" s="1565" t="s">
        <v>8553</v>
      </c>
      <c r="AJ7" s="1568"/>
      <c r="AK7" s="1568"/>
      <c r="AL7" s="1568"/>
      <c r="AM7" s="1568"/>
      <c r="AN7" s="1568"/>
      <c r="AO7" s="1568"/>
      <c r="AP7" s="1574"/>
      <c r="AQ7" s="1574"/>
      <c r="AR7" s="1574"/>
      <c r="AS7" s="1574"/>
      <c r="AT7" s="1574"/>
      <c r="AU7" s="1574"/>
      <c r="AV7" s="1574"/>
      <c r="AW7" s="1574"/>
      <c r="AX7" s="1574"/>
      <c r="AY7" s="1574"/>
      <c r="AZ7" s="1574"/>
      <c r="BA7" s="3">
        <v>1</v>
      </c>
      <c r="BB7" s="11">
        <f>SUM(A237:AZ237)+1</f>
        <v>53</v>
      </c>
      <c r="BC7" s="12" t="s">
        <v>18</v>
      </c>
    </row>
    <row r="8" spans="1:55" s="1564" customFormat="1" ht="29.25">
      <c r="A8" s="1563"/>
      <c r="B8" s="1563"/>
      <c r="C8" s="1565"/>
      <c r="D8" s="1568"/>
      <c r="E8" s="1568"/>
      <c r="F8" s="1568"/>
      <c r="G8" s="1568"/>
      <c r="H8" s="1568"/>
      <c r="I8" s="1568"/>
      <c r="J8" s="1568"/>
      <c r="K8" s="1568"/>
      <c r="L8" s="1568"/>
      <c r="M8" s="1568"/>
      <c r="N8" s="1568"/>
      <c r="O8" s="1568"/>
      <c r="P8" s="1568"/>
      <c r="Q8" s="1568"/>
      <c r="R8" s="1568"/>
      <c r="S8" s="1568"/>
      <c r="T8" s="1568"/>
      <c r="U8" s="1568"/>
      <c r="V8" s="1565"/>
      <c r="W8" s="1568"/>
      <c r="X8" s="1568"/>
      <c r="Y8" s="1568"/>
      <c r="Z8" s="1568"/>
      <c r="AA8" s="1568"/>
      <c r="AB8" s="1568"/>
      <c r="AC8" s="1568"/>
      <c r="AD8" s="1568"/>
      <c r="AE8" s="1568"/>
      <c r="AF8" s="1574"/>
      <c r="AG8" s="1568"/>
      <c r="AH8" s="1568"/>
      <c r="AI8" s="1565"/>
      <c r="AJ8" s="1568"/>
      <c r="AK8" s="1568"/>
      <c r="AL8" s="1568"/>
      <c r="AM8" s="1568"/>
      <c r="AN8" s="1568"/>
      <c r="AO8" s="1568"/>
      <c r="AP8" s="1574"/>
      <c r="AQ8" s="1574"/>
      <c r="AR8" s="1574"/>
      <c r="AS8" s="1574"/>
      <c r="AT8" s="1574"/>
      <c r="AU8" s="1574"/>
      <c r="AV8" s="1574"/>
      <c r="AW8" s="1574"/>
      <c r="AX8" s="1574"/>
      <c r="AY8" s="1574"/>
      <c r="AZ8" s="1574"/>
      <c r="BA8" s="3">
        <v>1</v>
      </c>
    </row>
    <row r="9" spans="1:55" s="1564" customFormat="1" ht="29.25">
      <c r="A9" s="1563"/>
      <c r="B9" s="1563"/>
      <c r="C9" s="1565" t="s">
        <v>3368</v>
      </c>
      <c r="D9" s="1568"/>
      <c r="E9" s="1568"/>
      <c r="F9" s="1568"/>
      <c r="G9" s="1568"/>
      <c r="H9" s="1568"/>
      <c r="I9" s="1568"/>
      <c r="J9" s="1568"/>
      <c r="K9" s="1568"/>
      <c r="L9" s="1568"/>
      <c r="M9" s="1568"/>
      <c r="N9" s="1568"/>
      <c r="O9" s="1568"/>
      <c r="P9" s="1568"/>
      <c r="Q9" s="1568"/>
      <c r="R9" s="1568"/>
      <c r="S9" s="1568"/>
      <c r="T9" s="1568"/>
      <c r="U9" s="1568"/>
      <c r="V9" s="1565" t="s">
        <v>8537</v>
      </c>
      <c r="W9" s="1568"/>
      <c r="X9" s="1568"/>
      <c r="Y9" s="1568"/>
      <c r="Z9" s="1568"/>
      <c r="AA9" s="1568"/>
      <c r="AB9" s="1568"/>
      <c r="AC9" s="1568"/>
      <c r="AD9" s="1568"/>
      <c r="AE9" s="1568"/>
      <c r="AF9" s="1574"/>
      <c r="AG9" s="1568"/>
      <c r="AH9" s="1568"/>
      <c r="AI9" s="1565" t="s">
        <v>8569</v>
      </c>
      <c r="AJ9" s="1568"/>
      <c r="AK9" s="1568"/>
      <c r="AL9" s="1568"/>
      <c r="AM9" s="1565"/>
      <c r="AN9" s="1568"/>
      <c r="AO9" s="1568"/>
      <c r="AP9" s="1574"/>
      <c r="AQ9" s="1574"/>
      <c r="AR9" s="1574"/>
      <c r="AS9" s="1574"/>
      <c r="AT9" s="1574"/>
      <c r="AU9" s="1574"/>
      <c r="AV9" s="1574"/>
      <c r="AW9" s="1574"/>
      <c r="AX9" s="1574"/>
      <c r="AY9" s="1574"/>
      <c r="AZ9" s="1574"/>
      <c r="BA9" s="3">
        <v>1</v>
      </c>
    </row>
    <row r="10" spans="1:55" s="1564" customFormat="1" ht="29.25">
      <c r="A10" s="1563"/>
      <c r="B10" s="1563"/>
      <c r="C10" s="1565" t="s">
        <v>3369</v>
      </c>
      <c r="D10" s="1568"/>
      <c r="E10" s="1568"/>
      <c r="F10" s="1568"/>
      <c r="G10" s="1568"/>
      <c r="H10" s="1568"/>
      <c r="I10" s="1568"/>
      <c r="J10" s="1568"/>
      <c r="K10" s="1568"/>
      <c r="L10" s="1568"/>
      <c r="M10" s="1568"/>
      <c r="N10" s="1568"/>
      <c r="O10" s="1568"/>
      <c r="P10" s="1568"/>
      <c r="Q10" s="1568"/>
      <c r="R10" s="1568"/>
      <c r="S10" s="1568"/>
      <c r="T10" s="1568"/>
      <c r="U10" s="1568"/>
      <c r="V10" s="1565" t="s">
        <v>8538</v>
      </c>
      <c r="W10" s="1568"/>
      <c r="X10" s="1568"/>
      <c r="Y10" s="1568"/>
      <c r="Z10" s="1568"/>
      <c r="AA10" s="1568"/>
      <c r="AB10" s="1568"/>
      <c r="AC10" s="1568"/>
      <c r="AD10" s="1568"/>
      <c r="AE10" s="1568"/>
      <c r="AF10" s="1574"/>
      <c r="AG10" s="1568"/>
      <c r="AH10" s="1568"/>
      <c r="AI10" s="1565" t="s">
        <v>8570</v>
      </c>
      <c r="AJ10" s="1568"/>
      <c r="AK10" s="1568"/>
      <c r="AL10" s="1568"/>
      <c r="AM10" s="1568"/>
      <c r="AN10" s="1568"/>
      <c r="AO10" s="1568"/>
      <c r="AP10" s="1574"/>
      <c r="AQ10" s="1574"/>
      <c r="AR10" s="1574"/>
      <c r="AS10" s="1574"/>
      <c r="AT10" s="1574"/>
      <c r="AU10" s="1574"/>
      <c r="AV10" s="1574"/>
      <c r="AW10" s="1574"/>
      <c r="AX10" s="1574"/>
      <c r="AY10" s="1574"/>
      <c r="AZ10" s="1574"/>
      <c r="BA10" s="3">
        <v>1</v>
      </c>
    </row>
    <row r="11" spans="1:55" s="1564" customFormat="1" ht="29.25">
      <c r="A11" s="1563"/>
      <c r="B11" s="1563"/>
      <c r="C11" s="1565" t="s">
        <v>3370</v>
      </c>
      <c r="D11" s="1568"/>
      <c r="E11" s="1568"/>
      <c r="F11" s="1568"/>
      <c r="G11" s="1568"/>
      <c r="H11" s="1568"/>
      <c r="I11" s="1568"/>
      <c r="J11" s="1568"/>
      <c r="K11" s="1568"/>
      <c r="L11" s="1568"/>
      <c r="M11" s="1568"/>
      <c r="N11" s="1568"/>
      <c r="O11" s="1568"/>
      <c r="P11" s="1568"/>
      <c r="Q11" s="1568"/>
      <c r="R11" s="1568"/>
      <c r="S11" s="1568"/>
      <c r="T11" s="1568"/>
      <c r="U11" s="1568"/>
      <c r="V11" s="1565" t="s">
        <v>8539</v>
      </c>
      <c r="W11" s="1568"/>
      <c r="X11" s="1568"/>
      <c r="Y11" s="1568"/>
      <c r="Z11" s="1568"/>
      <c r="AA11" s="1568"/>
      <c r="AB11" s="1568"/>
      <c r="AC11" s="1568"/>
      <c r="AD11" s="1568"/>
      <c r="AE11" s="1568"/>
      <c r="AF11" s="1574"/>
      <c r="AG11" s="1568"/>
      <c r="AH11" s="1568"/>
      <c r="AI11" s="1565" t="s">
        <v>8558</v>
      </c>
      <c r="AJ11" s="1568"/>
      <c r="AK11" s="1568"/>
      <c r="AL11" s="1568"/>
      <c r="AM11" s="1568"/>
      <c r="AN11" s="1568"/>
      <c r="AO11" s="1568"/>
      <c r="AP11" s="1574"/>
      <c r="AQ11" s="1574"/>
      <c r="AR11" s="1574"/>
      <c r="AS11" s="1574"/>
      <c r="AT11" s="1574"/>
      <c r="AU11" s="1574"/>
      <c r="AV11" s="1574"/>
      <c r="AW11" s="1574"/>
      <c r="AX11" s="1574"/>
      <c r="AY11" s="1574"/>
      <c r="AZ11" s="1574"/>
      <c r="BA11" s="3">
        <v>1</v>
      </c>
    </row>
    <row r="12" spans="1:55" s="1564" customFormat="1" ht="29.25">
      <c r="A12" s="1563"/>
      <c r="B12" s="1563"/>
      <c r="C12" s="1565" t="s">
        <v>3371</v>
      </c>
      <c r="D12" s="1568"/>
      <c r="E12" s="1568"/>
      <c r="F12" s="1568"/>
      <c r="G12" s="1568"/>
      <c r="H12" s="1568"/>
      <c r="I12" s="1568"/>
      <c r="J12" s="1568"/>
      <c r="K12" s="1568"/>
      <c r="L12" s="1568"/>
      <c r="M12" s="1568"/>
      <c r="N12" s="1568"/>
      <c r="O12" s="1568"/>
      <c r="P12" s="1568"/>
      <c r="Q12" s="1568"/>
      <c r="R12" s="1568"/>
      <c r="S12" s="1568"/>
      <c r="T12" s="1568"/>
      <c r="U12" s="1568"/>
      <c r="V12" s="1565" t="s">
        <v>8540</v>
      </c>
      <c r="W12" s="1568"/>
      <c r="X12" s="1568"/>
      <c r="Y12" s="1568"/>
      <c r="Z12" s="1568"/>
      <c r="AA12" s="1568"/>
      <c r="AB12" s="1568"/>
      <c r="AC12" s="1568"/>
      <c r="AD12" s="1568"/>
      <c r="AE12" s="1568"/>
      <c r="AF12" s="1574"/>
      <c r="AG12" s="1568"/>
      <c r="AH12" s="1568"/>
      <c r="AI12" s="1565" t="s">
        <v>8556</v>
      </c>
      <c r="AJ12" s="1568"/>
      <c r="AK12" s="1568"/>
      <c r="AL12" s="1568"/>
      <c r="AM12" s="1568"/>
      <c r="AN12" s="1568"/>
      <c r="AO12" s="1568"/>
      <c r="AP12" s="1574"/>
      <c r="AQ12" s="1574"/>
      <c r="AR12" s="1574"/>
      <c r="AS12" s="1574"/>
      <c r="AT12" s="1574"/>
      <c r="AU12" s="1574"/>
      <c r="AV12" s="1574"/>
      <c r="AW12" s="1574"/>
      <c r="AX12" s="1574"/>
      <c r="AY12" s="1574"/>
      <c r="AZ12" s="1574"/>
      <c r="BA12" s="3">
        <v>1</v>
      </c>
    </row>
    <row r="13" spans="1:55" s="1564" customFormat="1" ht="29.25">
      <c r="A13" s="1563"/>
      <c r="B13" s="1563"/>
      <c r="C13" s="1565"/>
      <c r="D13" s="1568"/>
      <c r="E13" s="1568"/>
      <c r="F13" s="1568"/>
      <c r="G13" s="1568"/>
      <c r="H13" s="1568"/>
      <c r="I13" s="1568"/>
      <c r="J13" s="1568"/>
      <c r="K13" s="1568"/>
      <c r="L13" s="1568"/>
      <c r="M13" s="1568"/>
      <c r="N13" s="1568"/>
      <c r="O13" s="1568"/>
      <c r="P13" s="1568"/>
      <c r="Q13" s="1568"/>
      <c r="R13" s="1568"/>
      <c r="S13" s="1568"/>
      <c r="T13" s="1568"/>
      <c r="U13" s="1568"/>
      <c r="V13" s="1565" t="s">
        <v>8541</v>
      </c>
      <c r="W13" s="1568"/>
      <c r="X13" s="1568"/>
      <c r="Y13" s="1568"/>
      <c r="Z13" s="1568"/>
      <c r="AA13" s="1568"/>
      <c r="AB13" s="1568"/>
      <c r="AC13" s="1568"/>
      <c r="AD13" s="1568"/>
      <c r="AE13" s="1568"/>
      <c r="AF13" s="1574"/>
      <c r="AG13" s="1568"/>
      <c r="AH13" s="1568"/>
      <c r="AI13" s="1565" t="s">
        <v>8557</v>
      </c>
      <c r="AJ13" s="1568"/>
      <c r="AK13" s="1568"/>
      <c r="AL13" s="1568"/>
      <c r="AM13" s="1568"/>
      <c r="AN13" s="1568"/>
      <c r="AO13" s="1568"/>
      <c r="AP13" s="1574"/>
      <c r="AQ13" s="1574"/>
      <c r="AR13" s="1574"/>
      <c r="AS13" s="1574"/>
      <c r="AT13" s="1574"/>
      <c r="AU13" s="1574"/>
      <c r="AV13" s="1574"/>
      <c r="AW13" s="1574"/>
      <c r="AX13" s="1574"/>
      <c r="AY13" s="1574"/>
      <c r="AZ13" s="1574"/>
      <c r="BA13" s="3">
        <v>1</v>
      </c>
    </row>
    <row r="14" spans="1:55" s="1564" customFormat="1" ht="29.25">
      <c r="A14" s="1563"/>
      <c r="B14" s="1563"/>
      <c r="C14" s="1565" t="s">
        <v>8571</v>
      </c>
      <c r="D14" s="1568"/>
      <c r="E14" s="1568"/>
      <c r="F14" s="1568"/>
      <c r="G14" s="1568"/>
      <c r="H14" s="1568"/>
      <c r="I14" s="1568"/>
      <c r="J14" s="1568"/>
      <c r="K14" s="1568"/>
      <c r="L14" s="1568"/>
      <c r="M14" s="1568"/>
      <c r="N14" s="1568"/>
      <c r="O14" s="1568"/>
      <c r="P14" s="1568"/>
      <c r="Q14" s="1568"/>
      <c r="R14" s="1568"/>
      <c r="S14" s="1568"/>
      <c r="T14" s="1568"/>
      <c r="U14" s="1568"/>
      <c r="V14" s="1565"/>
      <c r="W14" s="1568"/>
      <c r="X14" s="1568"/>
      <c r="Y14" s="1568"/>
      <c r="Z14" s="1568"/>
      <c r="AA14" s="1568"/>
      <c r="AB14" s="1568"/>
      <c r="AC14" s="1568"/>
      <c r="AD14" s="1568"/>
      <c r="AE14" s="1568"/>
      <c r="AF14" s="1574"/>
      <c r="AG14" s="1568"/>
      <c r="AH14" s="1568"/>
      <c r="AI14" s="1565"/>
      <c r="AJ14" s="1568"/>
      <c r="AK14" s="1568"/>
      <c r="AL14" s="1568"/>
      <c r="AM14" s="1568"/>
      <c r="AN14" s="1568"/>
      <c r="AO14" s="1568"/>
      <c r="AP14" s="1574"/>
      <c r="AQ14" s="1574"/>
      <c r="AR14" s="1574"/>
      <c r="AS14" s="1574"/>
      <c r="AT14" s="1574"/>
      <c r="AU14" s="1574"/>
      <c r="AV14" s="1574"/>
      <c r="AW14" s="1574"/>
      <c r="AX14" s="1574"/>
      <c r="AY14" s="1574"/>
      <c r="AZ14" s="1574"/>
      <c r="BA14" s="3">
        <v>1</v>
      </c>
    </row>
    <row r="15" spans="1:55" s="1564" customFormat="1" ht="29.25">
      <c r="A15" s="1563"/>
      <c r="B15" s="1563"/>
      <c r="C15" s="1565" t="s">
        <v>3372</v>
      </c>
      <c r="D15" s="1568"/>
      <c r="E15" s="1568"/>
      <c r="F15" s="1568"/>
      <c r="G15" s="1568"/>
      <c r="H15" s="1568"/>
      <c r="I15" s="1568"/>
      <c r="J15" s="1568"/>
      <c r="K15" s="1568"/>
      <c r="L15" s="1568"/>
      <c r="M15" s="1568"/>
      <c r="N15" s="1568"/>
      <c r="O15" s="1568"/>
      <c r="P15" s="1568"/>
      <c r="Q15" s="1568"/>
      <c r="R15" s="1568"/>
      <c r="S15" s="1568"/>
      <c r="T15" s="1568"/>
      <c r="U15" s="1568"/>
      <c r="V15" s="1565" t="s">
        <v>8542</v>
      </c>
      <c r="W15" s="1568"/>
      <c r="X15" s="1568"/>
      <c r="Y15" s="1568"/>
      <c r="Z15" s="1568"/>
      <c r="AA15" s="1568"/>
      <c r="AB15" s="1568"/>
      <c r="AC15" s="1568"/>
      <c r="AD15" s="1568"/>
      <c r="AE15" s="1568"/>
      <c r="AF15" s="1574"/>
      <c r="AG15" s="1568"/>
      <c r="AH15" s="1568"/>
      <c r="AI15" s="1565" t="s">
        <v>8559</v>
      </c>
      <c r="AJ15" s="1568"/>
      <c r="AK15" s="1568"/>
      <c r="AL15" s="1568"/>
      <c r="AM15" s="1568"/>
      <c r="AN15" s="1568"/>
      <c r="AO15" s="1568"/>
      <c r="AP15" s="1574"/>
      <c r="AQ15" s="1574"/>
      <c r="AR15" s="1574"/>
      <c r="AS15" s="1574"/>
      <c r="AT15" s="1574"/>
      <c r="AU15" s="1574"/>
      <c r="AV15" s="1574"/>
      <c r="AW15" s="1574"/>
      <c r="AX15" s="1574"/>
      <c r="AY15" s="1574"/>
      <c r="AZ15" s="1574"/>
      <c r="BA15" s="3">
        <v>1</v>
      </c>
    </row>
    <row r="16" spans="1:55" s="1564" customFormat="1" ht="29.25">
      <c r="A16" s="1563"/>
      <c r="B16" s="1563"/>
      <c r="C16" s="1568"/>
      <c r="D16" s="1568"/>
      <c r="E16" s="1568"/>
      <c r="F16" s="1568"/>
      <c r="G16" s="1568"/>
      <c r="H16" s="1568"/>
      <c r="I16" s="1568"/>
      <c r="J16" s="1568"/>
      <c r="K16" s="1568"/>
      <c r="L16" s="1568"/>
      <c r="M16" s="1568"/>
      <c r="N16" s="1568"/>
      <c r="O16" s="1568"/>
      <c r="P16" s="1568"/>
      <c r="Q16" s="1568"/>
      <c r="R16" s="1568"/>
      <c r="S16" s="1568"/>
      <c r="T16" s="1568"/>
      <c r="U16" s="1568"/>
      <c r="V16" s="1565" t="s">
        <v>8543</v>
      </c>
      <c r="W16" s="1568"/>
      <c r="X16" s="1568"/>
      <c r="Y16" s="1568"/>
      <c r="Z16" s="1568"/>
      <c r="AA16" s="1568"/>
      <c r="AB16" s="1568"/>
      <c r="AC16" s="1568"/>
      <c r="AD16" s="1568"/>
      <c r="AE16" s="1568"/>
      <c r="AF16" s="1574"/>
      <c r="AG16" s="1568"/>
      <c r="AH16" s="1568"/>
      <c r="AI16" s="1565" t="s">
        <v>8560</v>
      </c>
      <c r="AJ16" s="1568"/>
      <c r="AK16" s="1568"/>
      <c r="AL16" s="1568"/>
      <c r="AM16" s="1568"/>
      <c r="AN16" s="1568"/>
      <c r="AO16" s="1568"/>
      <c r="AP16" s="1574"/>
      <c r="AQ16" s="1574"/>
      <c r="AR16" s="1574"/>
      <c r="AS16" s="1574"/>
      <c r="AT16" s="1574"/>
      <c r="AU16" s="1574"/>
      <c r="AV16" s="1574"/>
      <c r="AW16" s="1574"/>
      <c r="AX16" s="1574"/>
      <c r="AY16" s="1574"/>
      <c r="AZ16" s="1574"/>
      <c r="BA16" s="3">
        <v>1</v>
      </c>
    </row>
    <row r="17" spans="1:55" s="1564" customFormat="1" ht="29.25">
      <c r="A17" s="1563"/>
      <c r="B17" s="1563"/>
      <c r="C17" s="1565" t="s">
        <v>12867</v>
      </c>
      <c r="D17" s="1568"/>
      <c r="E17" s="1568"/>
      <c r="F17" s="1568"/>
      <c r="G17" s="1568"/>
      <c r="H17" s="1568"/>
      <c r="I17" s="1568"/>
      <c r="J17" s="1568"/>
      <c r="K17" s="1568"/>
      <c r="L17" s="1568"/>
      <c r="M17" s="1568"/>
      <c r="N17" s="1568"/>
      <c r="O17" s="1568"/>
      <c r="P17" s="1568"/>
      <c r="Q17" s="1568"/>
      <c r="R17" s="1568"/>
      <c r="S17" s="1568"/>
      <c r="T17" s="1568"/>
      <c r="U17" s="1568"/>
      <c r="V17" s="1565"/>
      <c r="W17" s="1568"/>
      <c r="X17" s="1568"/>
      <c r="Y17" s="1568"/>
      <c r="Z17" s="1568"/>
      <c r="AA17" s="1568"/>
      <c r="AB17" s="1568"/>
      <c r="AC17" s="1568"/>
      <c r="AD17" s="1568"/>
      <c r="AE17" s="1568"/>
      <c r="AF17" s="1574"/>
      <c r="AG17" s="1568"/>
      <c r="AH17" s="1568"/>
      <c r="AI17" s="1565"/>
      <c r="AJ17" s="1568"/>
      <c r="AK17" s="1568"/>
      <c r="AL17" s="1568"/>
      <c r="AM17" s="1568"/>
      <c r="AN17" s="1568"/>
      <c r="AO17" s="1568"/>
      <c r="AP17" s="1574"/>
      <c r="AQ17" s="1574"/>
      <c r="AR17" s="1574"/>
      <c r="AS17" s="1574"/>
      <c r="AT17" s="1574"/>
      <c r="AU17" s="1574"/>
      <c r="AV17" s="1574"/>
      <c r="AW17" s="1574"/>
      <c r="AX17" s="1574"/>
      <c r="AY17" s="1574"/>
      <c r="AZ17" s="1574"/>
      <c r="BA17" s="3">
        <v>1</v>
      </c>
    </row>
    <row r="18" spans="1:55" s="1564" customFormat="1" ht="29.25">
      <c r="A18" s="1563"/>
      <c r="B18" s="1563"/>
      <c r="C18" s="1570" t="s">
        <v>208</v>
      </c>
      <c r="D18" s="1571" t="str">
        <f ca="1">CELL("nomfichier")</f>
        <v>D:\Données\1.UPRT\0-UPRT.fait\1-UPRT.FR-SITE-WEB\ff-fiches-fabrications\ff.fiches.fabrication.2023\ffr.restaurant.2023\[ff.FICHE.TRILINGUE.15.COLONNES.29.11.2025.xlsx]Notice.utilisateur</v>
      </c>
      <c r="E18" s="1568"/>
      <c r="F18" s="1568"/>
      <c r="G18" s="1568"/>
      <c r="H18" s="1568"/>
      <c r="I18" s="1568"/>
      <c r="J18" s="1568"/>
      <c r="K18" s="1568"/>
      <c r="L18" s="1568"/>
      <c r="M18" s="1568"/>
      <c r="N18" s="1568"/>
      <c r="O18" s="1568"/>
      <c r="P18" s="1568"/>
      <c r="Q18" s="1568"/>
      <c r="R18" s="1568"/>
      <c r="S18" s="1568"/>
      <c r="T18" s="1568"/>
      <c r="U18" s="1568"/>
      <c r="V18" s="1565" t="s">
        <v>8544</v>
      </c>
      <c r="W18" s="1568"/>
      <c r="X18" s="1568"/>
      <c r="Y18" s="1568"/>
      <c r="Z18" s="1568"/>
      <c r="AA18" s="1568"/>
      <c r="AB18" s="1568"/>
      <c r="AC18" s="1568"/>
      <c r="AD18" s="1568"/>
      <c r="AE18" s="1568"/>
      <c r="AF18" s="1574"/>
      <c r="AG18" s="1568"/>
      <c r="AH18" s="1568"/>
      <c r="AI18" s="1565" t="s">
        <v>8561</v>
      </c>
      <c r="AJ18" s="1568"/>
      <c r="AK18" s="1568"/>
      <c r="AL18" s="1568"/>
      <c r="AM18" s="1568"/>
      <c r="AN18" s="1568"/>
      <c r="AO18" s="1568"/>
      <c r="AP18" s="1574"/>
      <c r="AQ18" s="1574"/>
      <c r="AR18" s="1574"/>
      <c r="AS18" s="1574"/>
      <c r="AT18" s="1574"/>
      <c r="AU18" s="1574"/>
      <c r="AV18" s="1574"/>
      <c r="AW18" s="1574"/>
      <c r="AX18" s="1574"/>
      <c r="AY18" s="1574"/>
      <c r="AZ18" s="1574"/>
      <c r="BA18" s="3">
        <v>1</v>
      </c>
    </row>
    <row r="19" spans="1:55" s="1564" customFormat="1" ht="29.25">
      <c r="A19" s="1563"/>
      <c r="B19" s="1563"/>
      <c r="C19" s="1571"/>
      <c r="D19" s="1571"/>
      <c r="E19" s="1568"/>
      <c r="F19" s="1568"/>
      <c r="G19" s="1568"/>
      <c r="H19" s="1568"/>
      <c r="I19" s="1568"/>
      <c r="J19" s="1568"/>
      <c r="K19" s="1568"/>
      <c r="L19" s="1568"/>
      <c r="M19" s="1568"/>
      <c r="N19" s="1568"/>
      <c r="O19" s="1568"/>
      <c r="P19" s="1568"/>
      <c r="Q19" s="1568"/>
      <c r="R19" s="1568"/>
      <c r="S19" s="1568"/>
      <c r="T19" s="1568"/>
      <c r="U19" s="1568"/>
      <c r="V19" s="1569" t="s">
        <v>8545</v>
      </c>
      <c r="W19" s="1568"/>
      <c r="X19" s="1568"/>
      <c r="Y19" s="1568"/>
      <c r="Z19" s="1568"/>
      <c r="AA19" s="1568"/>
      <c r="AB19" s="1568"/>
      <c r="AC19" s="1568"/>
      <c r="AD19" s="1568"/>
      <c r="AE19" s="1568"/>
      <c r="AF19" s="1574"/>
      <c r="AG19" s="1568"/>
      <c r="AH19" s="1568"/>
      <c r="AI19" s="1569" t="s">
        <v>8562</v>
      </c>
      <c r="AJ19" s="1568"/>
      <c r="AK19" s="1568"/>
      <c r="AL19" s="1568"/>
      <c r="AM19" s="1568"/>
      <c r="AN19" s="1568"/>
      <c r="AO19" s="1568"/>
      <c r="AP19" s="1574"/>
      <c r="AQ19" s="1574"/>
      <c r="AR19" s="1574"/>
      <c r="AS19" s="1574"/>
      <c r="AT19" s="1574"/>
      <c r="AU19" s="1574"/>
      <c r="AV19" s="1574"/>
      <c r="AW19" s="1574"/>
      <c r="AX19" s="1574"/>
      <c r="AY19" s="1574"/>
      <c r="AZ19" s="1574"/>
      <c r="BA19" s="3">
        <v>1</v>
      </c>
    </row>
    <row r="20" spans="1:55" s="1564" customFormat="1" ht="29.25">
      <c r="A20" s="1563"/>
      <c r="B20" s="1563"/>
      <c r="C20" s="1572"/>
      <c r="D20" s="1571"/>
      <c r="E20" s="1568"/>
      <c r="F20" s="1568"/>
      <c r="G20" s="1568"/>
      <c r="H20" s="1568"/>
      <c r="I20" s="1573" t="s">
        <v>3374</v>
      </c>
      <c r="J20" s="1998" t="s">
        <v>3375</v>
      </c>
      <c r="K20" s="1568"/>
      <c r="L20" s="1568"/>
      <c r="M20" s="1568"/>
      <c r="N20" s="1568"/>
      <c r="O20" s="1568"/>
      <c r="P20" s="1568"/>
      <c r="Q20" s="1568"/>
      <c r="R20" s="1568"/>
      <c r="S20" s="1568"/>
      <c r="T20" s="1568"/>
      <c r="U20" s="1568"/>
      <c r="V20" s="1565" t="s">
        <v>8546</v>
      </c>
      <c r="W20" s="1568"/>
      <c r="X20" s="1568"/>
      <c r="Y20" s="1568"/>
      <c r="Z20" s="1568"/>
      <c r="AA20" s="1568"/>
      <c r="AB20" s="1568"/>
      <c r="AC20" s="1568"/>
      <c r="AD20" s="1568"/>
      <c r="AE20" s="1568"/>
      <c r="AF20" s="1574"/>
      <c r="AG20" s="1568"/>
      <c r="AH20" s="1568"/>
      <c r="AI20" s="1565" t="s">
        <v>8563</v>
      </c>
      <c r="AJ20" s="1568"/>
      <c r="AK20" s="1568"/>
      <c r="AL20" s="1568"/>
      <c r="AM20" s="1568"/>
      <c r="AN20" s="1568"/>
      <c r="AO20" s="1568"/>
      <c r="AP20" s="1574"/>
      <c r="AQ20" s="1574"/>
      <c r="AR20" s="1574"/>
      <c r="AS20" s="1574"/>
      <c r="AT20" s="1574"/>
      <c r="AU20" s="1574"/>
      <c r="AV20" s="1574"/>
      <c r="AW20" s="1574"/>
      <c r="AX20" s="1574"/>
      <c r="AY20" s="1574"/>
      <c r="AZ20" s="1574"/>
      <c r="BA20" s="3">
        <v>1</v>
      </c>
    </row>
    <row r="21" spans="1:55" s="1564" customFormat="1" ht="29.25">
      <c r="A21" s="1563"/>
      <c r="B21" s="1563"/>
      <c r="C21" s="1571"/>
      <c r="D21" s="1571"/>
      <c r="E21" s="1568"/>
      <c r="F21" s="1568"/>
      <c r="G21" s="1568"/>
      <c r="H21" s="1568"/>
      <c r="I21" s="1568"/>
      <c r="J21" s="1568"/>
      <c r="K21" s="1568"/>
      <c r="L21" s="1568"/>
      <c r="M21" s="1568"/>
      <c r="N21" s="1568"/>
      <c r="O21" s="1568"/>
      <c r="P21" s="1568"/>
      <c r="Q21" s="1568"/>
      <c r="R21" s="1568"/>
      <c r="S21" s="1568"/>
      <c r="T21" s="1568"/>
      <c r="U21" s="1568"/>
      <c r="V21" s="1565" t="s">
        <v>8547</v>
      </c>
      <c r="W21" s="1568"/>
      <c r="X21" s="1568"/>
      <c r="Y21" s="1568"/>
      <c r="Z21" s="1568"/>
      <c r="AA21" s="1568"/>
      <c r="AB21" s="1568"/>
      <c r="AC21" s="1568"/>
      <c r="AD21" s="1568"/>
      <c r="AE21" s="1568"/>
      <c r="AF21" s="1574"/>
      <c r="AG21" s="1568"/>
      <c r="AH21" s="1568"/>
      <c r="AI21" s="1565" t="s">
        <v>8564</v>
      </c>
      <c r="AJ21" s="1568"/>
      <c r="AK21" s="1568"/>
      <c r="AL21" s="1568"/>
      <c r="AM21" s="1568"/>
      <c r="AN21" s="1568"/>
      <c r="AO21" s="1568"/>
      <c r="AP21" s="1574"/>
      <c r="AQ21" s="1574"/>
      <c r="AR21" s="1574"/>
      <c r="AS21" s="1574"/>
      <c r="AT21" s="1574"/>
      <c r="AU21" s="1574"/>
      <c r="AV21" s="1574"/>
      <c r="AW21" s="1574"/>
      <c r="AX21" s="1574"/>
      <c r="AY21" s="1574"/>
      <c r="AZ21" s="1574"/>
      <c r="BA21" s="3">
        <v>1</v>
      </c>
    </row>
    <row r="22" spans="1:55" s="1564" customFormat="1" ht="29.25">
      <c r="A22" s="1563"/>
      <c r="B22" s="1563"/>
      <c r="C22" s="1574"/>
      <c r="D22" s="1574"/>
      <c r="E22" s="1575" t="s">
        <v>3376</v>
      </c>
      <c r="F22" s="1998" t="s">
        <v>3377</v>
      </c>
      <c r="G22" s="1568"/>
      <c r="H22" s="1568"/>
      <c r="I22" s="1568"/>
      <c r="J22" s="1568"/>
      <c r="K22" s="1568"/>
      <c r="L22" s="1568"/>
      <c r="M22" s="1568"/>
      <c r="N22" s="1568"/>
      <c r="O22" s="1568"/>
      <c r="P22" s="1568"/>
      <c r="Q22" s="1568"/>
      <c r="R22" s="1568"/>
      <c r="S22" s="1568"/>
      <c r="T22" s="1568"/>
      <c r="U22" s="1568"/>
      <c r="V22" s="1565"/>
      <c r="W22" s="1568"/>
      <c r="X22" s="1568"/>
      <c r="Y22" s="1568"/>
      <c r="Z22" s="1568"/>
      <c r="AA22" s="1568"/>
      <c r="AB22" s="1568"/>
      <c r="AC22" s="1568"/>
      <c r="AD22" s="1568"/>
      <c r="AE22" s="1568"/>
      <c r="AF22" s="1574"/>
      <c r="AG22" s="1568"/>
      <c r="AH22" s="1568"/>
      <c r="AI22" s="1565"/>
      <c r="AJ22" s="1568"/>
      <c r="AK22" s="1568"/>
      <c r="AL22" s="1568"/>
      <c r="AM22" s="1568"/>
      <c r="AN22" s="1568"/>
      <c r="AO22" s="1568"/>
      <c r="AP22" s="1574"/>
      <c r="AQ22" s="1574"/>
      <c r="AR22" s="1574"/>
      <c r="AS22" s="1574"/>
      <c r="AT22" s="1574"/>
      <c r="AU22" s="1574"/>
      <c r="AV22" s="1574"/>
      <c r="AW22" s="1574"/>
      <c r="AX22" s="1574"/>
      <c r="AY22" s="1574"/>
      <c r="AZ22" s="1574"/>
      <c r="BA22" s="3">
        <v>1</v>
      </c>
    </row>
    <row r="23" spans="1:55" s="1564" customFormat="1" ht="29.25">
      <c r="A23" s="1563"/>
      <c r="B23" s="1563"/>
      <c r="C23" s="1567"/>
      <c r="D23" s="1568"/>
      <c r="E23" s="1999"/>
      <c r="F23" s="1568"/>
      <c r="G23" s="1568"/>
      <c r="H23" s="1568"/>
      <c r="I23" s="1568"/>
      <c r="J23" s="1568"/>
      <c r="K23" s="1568"/>
      <c r="L23" s="1568"/>
      <c r="M23" s="1568"/>
      <c r="N23" s="1568"/>
      <c r="O23" s="1568"/>
      <c r="P23" s="1568"/>
      <c r="Q23" s="1568"/>
      <c r="R23" s="1568"/>
      <c r="S23" s="1568"/>
      <c r="T23" s="1568"/>
      <c r="U23" s="1568"/>
      <c r="V23" s="1565" t="s">
        <v>8568</v>
      </c>
      <c r="W23" s="1565"/>
      <c r="X23" s="1565"/>
      <c r="Y23" s="1568"/>
      <c r="Z23" s="1568"/>
      <c r="AA23" s="1568"/>
      <c r="AB23" s="1568"/>
      <c r="AC23" s="1568"/>
      <c r="AD23" s="1568"/>
      <c r="AE23" s="1568"/>
      <c r="AF23" s="1574"/>
      <c r="AG23" s="1568"/>
      <c r="AH23" s="1568"/>
      <c r="AI23" s="1565" t="s">
        <v>8567</v>
      </c>
      <c r="AJ23" s="1568"/>
      <c r="AK23" s="1568"/>
      <c r="AL23" s="1568"/>
      <c r="AM23" s="1568"/>
      <c r="AN23" s="1568"/>
      <c r="AO23" s="1568"/>
      <c r="AP23" s="1574"/>
      <c r="AQ23" s="1574"/>
      <c r="AR23" s="1574"/>
      <c r="AS23" s="1574"/>
      <c r="AT23" s="1574"/>
      <c r="AU23" s="1574"/>
      <c r="AV23" s="1574"/>
      <c r="AW23" s="1574"/>
      <c r="AX23" s="1574"/>
      <c r="AY23" s="1574"/>
      <c r="AZ23" s="1574"/>
      <c r="BA23" s="3">
        <v>1</v>
      </c>
    </row>
    <row r="24" spans="1:55" s="1564" customFormat="1" ht="29.25">
      <c r="A24" s="1563"/>
      <c r="B24" s="1563"/>
      <c r="C24" s="1567"/>
      <c r="D24" s="1574"/>
      <c r="E24" s="1562" t="s">
        <v>3378</v>
      </c>
      <c r="F24" s="1998" t="s">
        <v>3379</v>
      </c>
      <c r="G24" s="1568"/>
      <c r="H24" s="1568"/>
      <c r="I24" s="1568"/>
      <c r="J24" s="1568"/>
      <c r="K24" s="1568"/>
      <c r="L24" s="1568"/>
      <c r="M24" s="1568"/>
      <c r="N24" s="1568"/>
      <c r="O24" s="1568"/>
      <c r="P24" s="1568"/>
      <c r="Q24" s="1568"/>
      <c r="R24" s="1568"/>
      <c r="S24" s="1568"/>
      <c r="T24" s="1568"/>
      <c r="U24" s="1568"/>
      <c r="V24" s="1565" t="s">
        <v>8548</v>
      </c>
      <c r="W24" s="1568"/>
      <c r="X24" s="1568"/>
      <c r="Y24" s="1568"/>
      <c r="Z24" s="1568"/>
      <c r="AA24" s="1568"/>
      <c r="AB24" s="1568"/>
      <c r="AC24" s="1568"/>
      <c r="AD24" s="1568"/>
      <c r="AE24" s="1568"/>
      <c r="AF24" s="1574"/>
      <c r="AG24" s="1568"/>
      <c r="AH24" s="1568"/>
      <c r="AI24" s="1565" t="s">
        <v>8565</v>
      </c>
      <c r="AJ24" s="1568"/>
      <c r="AK24" s="1568"/>
      <c r="AL24" s="1568"/>
      <c r="AM24" s="1568"/>
      <c r="AN24" s="1568"/>
      <c r="AO24" s="1568"/>
      <c r="AP24" s="1574"/>
      <c r="AQ24" s="1574"/>
      <c r="AR24" s="1574"/>
      <c r="AS24" s="1574"/>
      <c r="AT24" s="1574"/>
      <c r="AU24" s="1574"/>
      <c r="AV24" s="1574"/>
      <c r="AW24" s="1574"/>
      <c r="AX24" s="1574"/>
      <c r="AY24" s="1574"/>
      <c r="AZ24" s="1574"/>
      <c r="BA24" s="3">
        <v>1</v>
      </c>
    </row>
    <row r="25" spans="1:55" s="1564" customFormat="1" ht="29.25">
      <c r="A25" s="1563"/>
      <c r="B25" s="1563"/>
      <c r="C25" s="1567"/>
      <c r="D25" s="1568"/>
      <c r="E25" s="1999"/>
      <c r="F25" s="1568"/>
      <c r="G25" s="1568"/>
      <c r="H25" s="1568"/>
      <c r="I25" s="1568"/>
      <c r="J25" s="1568"/>
      <c r="K25" s="1568"/>
      <c r="L25" s="1568"/>
      <c r="M25" s="1568"/>
      <c r="N25" s="1568"/>
      <c r="O25" s="1568"/>
      <c r="P25" s="1568"/>
      <c r="Q25" s="1568"/>
      <c r="R25" s="1568"/>
      <c r="S25" s="1568"/>
      <c r="T25" s="1568"/>
      <c r="U25" s="1568"/>
      <c r="V25" s="1565"/>
      <c r="W25" s="1568"/>
      <c r="X25" s="1568"/>
      <c r="Y25" s="1568"/>
      <c r="Z25" s="1568"/>
      <c r="AA25" s="1568"/>
      <c r="AB25" s="1568"/>
      <c r="AC25" s="1568"/>
      <c r="AD25" s="1568"/>
      <c r="AE25" s="1568"/>
      <c r="AF25" s="1574"/>
      <c r="AG25" s="1568"/>
      <c r="AH25" s="1568"/>
      <c r="AI25" s="1565"/>
      <c r="AJ25" s="1568"/>
      <c r="AK25" s="1568"/>
      <c r="AL25" s="1568"/>
      <c r="AM25" s="1568"/>
      <c r="AN25" s="1568"/>
      <c r="AO25" s="1568"/>
      <c r="AP25" s="1574"/>
      <c r="AQ25" s="1574"/>
      <c r="AR25" s="1574"/>
      <c r="AS25" s="1574"/>
      <c r="AT25" s="1574"/>
      <c r="AU25" s="1574"/>
      <c r="AV25" s="1574"/>
      <c r="AW25" s="1574"/>
      <c r="AX25" s="1574"/>
      <c r="AY25" s="1574"/>
      <c r="AZ25" s="1574"/>
      <c r="BA25" s="3">
        <v>1</v>
      </c>
    </row>
    <row r="26" spans="1:55" s="1564" customFormat="1" ht="29.25">
      <c r="A26" s="1563">
        <v>1</v>
      </c>
      <c r="B26" s="1563"/>
      <c r="C26" s="1565" t="s">
        <v>3380</v>
      </c>
      <c r="D26" s="1568"/>
      <c r="E26" s="1568"/>
      <c r="F26" s="1568"/>
      <c r="G26" s="1568"/>
      <c r="H26" s="1568"/>
      <c r="I26" s="1568"/>
      <c r="J26" s="1568"/>
      <c r="K26" s="1568"/>
      <c r="L26" s="1568"/>
      <c r="M26" s="1568"/>
      <c r="N26" s="1568"/>
      <c r="O26" s="1568"/>
      <c r="P26" s="1568"/>
      <c r="Q26" s="1568"/>
      <c r="R26" s="1568"/>
      <c r="S26" s="1568"/>
      <c r="T26" s="1568"/>
      <c r="U26" s="1568"/>
      <c r="V26" s="1565" t="s">
        <v>8549</v>
      </c>
      <c r="W26" s="1568"/>
      <c r="X26" s="1568"/>
      <c r="Y26" s="1568"/>
      <c r="Z26" s="1568"/>
      <c r="AA26" s="1568"/>
      <c r="AB26" s="1568"/>
      <c r="AC26" s="1568"/>
      <c r="AD26" s="1568"/>
      <c r="AE26" s="1568"/>
      <c r="AF26" s="1574"/>
      <c r="AG26" s="1568"/>
      <c r="AH26" s="1568"/>
      <c r="AI26" s="1565" t="s">
        <v>8566</v>
      </c>
      <c r="AJ26" s="1568"/>
      <c r="AK26" s="1568"/>
      <c r="AL26" s="1568"/>
      <c r="AM26" s="1568"/>
      <c r="AN26" s="1568"/>
      <c r="AO26" s="1568"/>
      <c r="AP26" s="1574"/>
      <c r="AQ26" s="1574"/>
      <c r="AR26" s="1574"/>
      <c r="AS26" s="1574"/>
      <c r="AT26" s="1574"/>
      <c r="AU26" s="1574"/>
      <c r="AV26" s="1574"/>
      <c r="AW26" s="1574"/>
      <c r="AX26" s="1574"/>
      <c r="AY26" s="1574"/>
      <c r="AZ26" s="1574"/>
      <c r="BA26" s="3">
        <v>1</v>
      </c>
    </row>
    <row r="27" spans="1:55" s="1564" customFormat="1" ht="29.25">
      <c r="A27" s="1563"/>
      <c r="B27" s="1563"/>
      <c r="C27" s="1565"/>
      <c r="D27" s="1565" t="s">
        <v>3381</v>
      </c>
      <c r="E27" s="1568"/>
      <c r="F27" s="1568"/>
      <c r="G27" s="1568"/>
      <c r="H27" s="1568"/>
      <c r="I27" s="1568"/>
      <c r="J27" s="1568"/>
      <c r="K27" s="1568"/>
      <c r="L27" s="1568"/>
      <c r="M27" s="1568"/>
      <c r="N27" s="1568"/>
      <c r="O27" s="1568"/>
      <c r="P27" s="1568"/>
      <c r="Q27" s="1568"/>
      <c r="R27" s="1568"/>
      <c r="S27" s="1568"/>
      <c r="T27" s="1568"/>
      <c r="U27" s="1568"/>
      <c r="V27" s="1565" t="s">
        <v>3373</v>
      </c>
      <c r="W27" s="1568"/>
      <c r="X27" s="1568"/>
      <c r="Y27" s="1568"/>
      <c r="Z27" s="1568"/>
      <c r="AA27" s="1568"/>
      <c r="AB27" s="1568"/>
      <c r="AC27" s="1568"/>
      <c r="AD27" s="1568"/>
      <c r="AE27" s="1568"/>
      <c r="AF27" s="1574"/>
      <c r="AG27" s="1568"/>
      <c r="AH27" s="1568"/>
      <c r="AI27" s="1565" t="s">
        <v>3373</v>
      </c>
      <c r="AJ27" s="1568"/>
      <c r="AK27" s="1568"/>
      <c r="AL27" s="1568"/>
      <c r="AM27" s="1568"/>
      <c r="AN27" s="1568"/>
      <c r="AO27" s="1568"/>
      <c r="AP27" s="1574"/>
      <c r="AQ27" s="1574"/>
      <c r="AR27" s="1574"/>
      <c r="AS27" s="1574"/>
      <c r="AT27" s="1574"/>
      <c r="AU27" s="1574"/>
      <c r="AV27" s="1574"/>
      <c r="AW27" s="1574"/>
      <c r="AX27" s="1574"/>
      <c r="AY27" s="1574"/>
      <c r="AZ27" s="1574"/>
      <c r="BA27" s="3">
        <v>1</v>
      </c>
    </row>
    <row r="28" spans="1:55" ht="29.25">
      <c r="A28" s="1563">
        <v>1</v>
      </c>
      <c r="B28" s="1563">
        <v>1</v>
      </c>
      <c r="C28" s="2000" t="s">
        <v>8572</v>
      </c>
      <c r="D28" s="1563"/>
      <c r="E28" s="1563"/>
      <c r="F28" s="1563"/>
      <c r="G28" s="1563"/>
      <c r="H28" s="1563"/>
      <c r="I28" s="1563"/>
      <c r="J28" s="1563"/>
      <c r="K28" s="1563"/>
      <c r="L28" s="1563"/>
      <c r="M28" s="1563"/>
      <c r="N28" s="1563"/>
      <c r="O28" s="1563"/>
      <c r="P28" s="1563"/>
      <c r="Q28" s="1563"/>
      <c r="R28" s="1563">
        <v>1</v>
      </c>
      <c r="S28" s="1563">
        <v>1</v>
      </c>
      <c r="T28" s="1563"/>
      <c r="U28" s="1563"/>
      <c r="V28" s="5966">
        <v>45952</v>
      </c>
      <c r="W28" s="5966"/>
      <c r="X28" s="5966"/>
      <c r="Y28" s="5966"/>
      <c r="Z28" s="1568"/>
      <c r="AA28" s="1568"/>
      <c r="AB28" s="1568"/>
      <c r="AC28" s="1568"/>
      <c r="AD28" s="1568"/>
      <c r="AE28" s="1568"/>
      <c r="AF28" s="1574"/>
      <c r="AG28" s="1568"/>
      <c r="AH28" s="1568"/>
      <c r="AI28" s="5966">
        <v>45952</v>
      </c>
      <c r="AJ28" s="5966"/>
      <c r="AK28" s="5966"/>
      <c r="AL28" s="5966"/>
      <c r="AM28" s="1568"/>
      <c r="AN28" s="1568"/>
      <c r="AO28" s="1568"/>
      <c r="AP28" s="1582"/>
      <c r="AQ28" s="1582"/>
      <c r="AR28" s="1582"/>
      <c r="AS28" s="1582"/>
      <c r="AT28" s="1582"/>
      <c r="AU28" s="1582"/>
      <c r="AV28" s="1582"/>
      <c r="AW28" s="1582"/>
      <c r="AX28" s="1582"/>
      <c r="AY28" s="1582"/>
      <c r="AZ28" s="1582"/>
      <c r="BA28" s="3">
        <v>1</v>
      </c>
      <c r="BB28" s="1564"/>
      <c r="BC28" s="1564"/>
    </row>
    <row r="29" spans="1:55" ht="26.25">
      <c r="A29" s="1563"/>
      <c r="B29" s="1563"/>
      <c r="C29" s="2000" t="s">
        <v>8573</v>
      </c>
      <c r="D29" s="1563"/>
      <c r="E29" s="1563"/>
      <c r="F29" s="1563"/>
      <c r="G29" s="1563"/>
      <c r="H29" s="1563"/>
      <c r="I29" s="1563"/>
      <c r="J29" s="1563"/>
      <c r="K29" s="1563"/>
      <c r="L29" s="1563"/>
      <c r="M29" s="1563"/>
      <c r="N29" s="1563"/>
      <c r="O29" s="1563"/>
      <c r="P29" s="1563"/>
      <c r="Q29" s="1563"/>
      <c r="R29" s="1563"/>
      <c r="S29" s="1563"/>
      <c r="T29" s="1563"/>
      <c r="U29" s="1563"/>
      <c r="V29" s="1563"/>
      <c r="W29" s="1563"/>
      <c r="X29" s="1563"/>
      <c r="Y29" s="1563"/>
      <c r="Z29" s="1563"/>
      <c r="AA29" s="1563"/>
      <c r="AB29" s="1563"/>
      <c r="AC29" s="1563"/>
      <c r="AD29" s="1563"/>
      <c r="AE29" s="1563"/>
      <c r="AF29" s="1563"/>
      <c r="AG29" s="1563"/>
      <c r="AH29" s="1563"/>
      <c r="AI29" s="1563"/>
      <c r="AJ29" s="1563"/>
      <c r="AK29" s="1563"/>
      <c r="AL29" s="1563"/>
      <c r="AM29" s="1563"/>
      <c r="AN29" s="1563"/>
      <c r="AO29" s="1563"/>
      <c r="AP29" s="1563"/>
      <c r="AQ29" s="1563"/>
      <c r="AR29" s="1563"/>
      <c r="AS29" s="1563"/>
      <c r="AT29" s="1563"/>
      <c r="AU29" s="1563"/>
      <c r="AV29" s="1563"/>
      <c r="AW29" s="1563"/>
      <c r="AX29" s="1563"/>
      <c r="AY29" s="1563"/>
      <c r="AZ29" s="1563"/>
      <c r="BA29" s="3">
        <v>1</v>
      </c>
      <c r="BB29" s="1564"/>
      <c r="BC29" s="1564"/>
    </row>
    <row r="30" spans="1:55" ht="26.25">
      <c r="A30" s="1563"/>
      <c r="B30" s="1563"/>
      <c r="C30" s="2000" t="s">
        <v>8574</v>
      </c>
      <c r="D30" s="1563"/>
      <c r="E30" s="1563"/>
      <c r="F30" s="1563"/>
      <c r="G30" s="1563"/>
      <c r="H30" s="1563"/>
      <c r="I30" s="1563"/>
      <c r="J30" s="1563"/>
      <c r="K30" s="1563"/>
      <c r="L30" s="1563"/>
      <c r="M30" s="1563"/>
      <c r="N30" s="1563"/>
      <c r="O30" s="1563"/>
      <c r="P30" s="1563"/>
      <c r="Q30" s="1563"/>
      <c r="R30" s="1563"/>
      <c r="S30" s="1563"/>
      <c r="T30" s="1563"/>
      <c r="U30" s="1563"/>
      <c r="V30" s="1563"/>
      <c r="W30" s="1563"/>
      <c r="X30" s="1563"/>
      <c r="Y30" s="1563"/>
      <c r="Z30" s="1563"/>
      <c r="AA30" s="1563"/>
      <c r="AB30" s="1563"/>
      <c r="AC30" s="1563"/>
      <c r="AD30" s="1563"/>
      <c r="AE30" s="1563"/>
      <c r="AF30" s="1563"/>
      <c r="AG30" s="1563"/>
      <c r="AH30" s="1563"/>
      <c r="AI30" s="1563"/>
      <c r="AJ30" s="1563"/>
      <c r="AK30" s="1563"/>
      <c r="AL30" s="1563"/>
      <c r="AM30" s="1563"/>
      <c r="AN30" s="1563"/>
      <c r="AO30" s="1563"/>
      <c r="AP30" s="1563"/>
      <c r="AQ30" s="1563"/>
      <c r="AR30" s="1563"/>
      <c r="AS30" s="1563"/>
      <c r="AT30" s="1563"/>
      <c r="AU30" s="1563"/>
      <c r="AV30" s="1563"/>
      <c r="AW30" s="1563"/>
      <c r="AX30" s="1563"/>
      <c r="AY30" s="1563"/>
      <c r="AZ30" s="1563"/>
      <c r="BA30" s="3">
        <v>1</v>
      </c>
      <c r="BB30" s="1564"/>
      <c r="BC30" s="1564"/>
    </row>
    <row r="31" spans="1:55">
      <c r="A31" s="1563"/>
      <c r="B31" s="1563"/>
      <c r="C31" s="1563"/>
      <c r="D31" s="1563"/>
      <c r="E31" s="1563"/>
      <c r="F31" s="1563"/>
      <c r="G31" s="1563"/>
      <c r="H31" s="1563"/>
      <c r="I31" s="1563"/>
      <c r="J31" s="1563"/>
      <c r="K31" s="1563"/>
      <c r="L31" s="1563"/>
      <c r="M31" s="1563"/>
      <c r="N31" s="1563"/>
      <c r="O31" s="1563"/>
      <c r="P31" s="1563"/>
      <c r="Q31" s="1563"/>
      <c r="R31" s="1563"/>
      <c r="S31" s="1563"/>
      <c r="T31" s="1563"/>
      <c r="U31" s="1563"/>
      <c r="V31" s="1563"/>
      <c r="W31" s="1563"/>
      <c r="X31" s="1563"/>
      <c r="Y31" s="1563"/>
      <c r="Z31" s="1563"/>
      <c r="AA31" s="1563"/>
      <c r="AB31" s="1563"/>
      <c r="AC31" s="1563"/>
      <c r="AD31" s="1563"/>
      <c r="AE31" s="1563"/>
      <c r="AF31" s="1563"/>
      <c r="AG31" s="1563"/>
      <c r="AH31" s="1563"/>
      <c r="AI31" s="1563"/>
      <c r="AJ31" s="1563"/>
      <c r="AK31" s="1563"/>
      <c r="AL31" s="1563"/>
      <c r="AM31" s="1563"/>
      <c r="AN31" s="1563"/>
      <c r="AO31" s="1563"/>
      <c r="AP31" s="1563"/>
      <c r="AQ31" s="1563"/>
      <c r="AR31" s="1563"/>
      <c r="AS31" s="1563"/>
      <c r="AT31" s="1563"/>
      <c r="AU31" s="1563"/>
      <c r="AV31" s="1563"/>
      <c r="AW31" s="1563"/>
      <c r="AX31" s="1563"/>
      <c r="AY31" s="1563"/>
      <c r="AZ31" s="1563"/>
      <c r="BA31" s="3">
        <v>1</v>
      </c>
      <c r="BB31" s="1564"/>
      <c r="BC31" s="1564"/>
    </row>
    <row r="32" spans="1:55">
      <c r="B32" s="1579" t="s">
        <v>167</v>
      </c>
      <c r="C32" s="1557" t="s">
        <v>3382</v>
      </c>
      <c r="F32" s="1557"/>
      <c r="G32" s="1557"/>
      <c r="H32" s="1557"/>
      <c r="I32" s="1563"/>
      <c r="J32" s="1563"/>
      <c r="K32" s="1563"/>
      <c r="L32" s="1563"/>
      <c r="M32" s="1563"/>
      <c r="N32" s="1563"/>
      <c r="O32" s="1563"/>
      <c r="P32" s="1563"/>
      <c r="Q32" s="1563"/>
      <c r="R32" s="1563"/>
      <c r="S32" s="1563"/>
      <c r="T32" s="1563"/>
      <c r="U32" s="1563"/>
      <c r="V32" s="1563"/>
      <c r="W32" s="1563"/>
      <c r="X32" s="1563"/>
      <c r="Y32" s="1563"/>
      <c r="Z32" s="1563"/>
      <c r="AA32" s="1563"/>
      <c r="AB32" s="1563"/>
      <c r="AC32" s="1563"/>
      <c r="AD32" s="1563"/>
      <c r="AE32" s="1563"/>
      <c r="AF32" s="1563"/>
      <c r="AG32" s="1563"/>
      <c r="AH32" s="1563"/>
      <c r="AI32" s="1563"/>
      <c r="AJ32" s="1563"/>
      <c r="AK32" s="1563"/>
      <c r="AL32" s="1563"/>
      <c r="AM32" s="1563"/>
      <c r="AN32" s="1563"/>
      <c r="AO32" s="1563"/>
      <c r="AP32" s="1563"/>
      <c r="AQ32" s="1563"/>
      <c r="AR32" s="1563"/>
      <c r="AS32" s="1563"/>
      <c r="AT32" s="1563"/>
      <c r="AU32" s="1563"/>
      <c r="AV32" s="1563"/>
      <c r="AW32" s="1563"/>
      <c r="AX32" s="1563"/>
      <c r="AY32" s="1563"/>
      <c r="AZ32" s="1563"/>
      <c r="BA32" s="3">
        <v>1</v>
      </c>
      <c r="BB32" s="1564"/>
      <c r="BC32" s="1564"/>
    </row>
    <row r="33" spans="2:55" ht="16.5" thickBot="1">
      <c r="B33" s="1563">
        <v>1</v>
      </c>
      <c r="C33" s="1563">
        <v>1</v>
      </c>
      <c r="D33" s="1563">
        <v>1</v>
      </c>
      <c r="E33" s="1563">
        <v>1</v>
      </c>
      <c r="F33" s="1563">
        <v>1</v>
      </c>
      <c r="G33" s="1563">
        <v>1</v>
      </c>
      <c r="H33" s="1563">
        <v>1</v>
      </c>
      <c r="I33" s="1563"/>
      <c r="J33" s="1563"/>
      <c r="K33" s="1563"/>
      <c r="L33" s="1563"/>
      <c r="M33" s="1563"/>
      <c r="N33" s="1563"/>
      <c r="O33" s="1563"/>
      <c r="P33" s="1563"/>
      <c r="Q33" s="1563"/>
      <c r="R33" s="1563"/>
      <c r="S33" s="1563"/>
      <c r="T33" s="1563"/>
      <c r="U33" s="1563"/>
      <c r="V33" s="1563"/>
      <c r="W33" s="1563"/>
      <c r="X33" s="1563"/>
      <c r="Y33" s="1563"/>
      <c r="Z33" s="1563"/>
      <c r="AA33" s="1563"/>
      <c r="AB33" s="1563"/>
      <c r="AC33" s="1563"/>
      <c r="AD33" s="1563"/>
      <c r="AE33" s="1563"/>
      <c r="AF33" s="1563"/>
      <c r="AG33" s="1563"/>
      <c r="AH33" s="1563"/>
      <c r="AI33" s="1563"/>
      <c r="AJ33" s="1563"/>
      <c r="AK33" s="1563"/>
      <c r="AL33" s="1563"/>
      <c r="AM33" s="1563"/>
      <c r="AN33" s="1563"/>
      <c r="AO33" s="1563"/>
      <c r="AP33" s="1563"/>
      <c r="AQ33" s="1563"/>
      <c r="AR33" s="1563"/>
      <c r="AS33" s="1563"/>
      <c r="AT33" s="1563"/>
      <c r="AU33" s="1563"/>
      <c r="AV33" s="1563"/>
      <c r="AW33" s="1563"/>
      <c r="AX33" s="1563"/>
      <c r="AY33" s="1563"/>
      <c r="AZ33" s="1563"/>
      <c r="BA33" s="3">
        <v>1</v>
      </c>
      <c r="BB33" s="1564"/>
      <c r="BC33" s="1564"/>
    </row>
    <row r="34" spans="2:55" ht="18.75">
      <c r="B34" s="5886" t="s">
        <v>167</v>
      </c>
      <c r="C34" s="5888" t="s">
        <v>3383</v>
      </c>
      <c r="D34" s="5888"/>
      <c r="E34" s="5888"/>
      <c r="F34" s="5888"/>
      <c r="G34" s="5888"/>
      <c r="H34" s="5889"/>
      <c r="I34" s="1563"/>
      <c r="J34" s="1563"/>
      <c r="K34" s="1563"/>
      <c r="L34" s="1563"/>
      <c r="M34" s="1563"/>
      <c r="N34" s="1563"/>
      <c r="O34" s="1563"/>
      <c r="P34" s="1563"/>
      <c r="Q34" s="1563"/>
      <c r="R34" s="1563"/>
      <c r="S34" s="1563"/>
      <c r="T34" s="1563"/>
      <c r="U34" s="1563"/>
      <c r="V34" s="1563"/>
      <c r="W34" s="1563"/>
      <c r="X34" s="1563"/>
      <c r="Y34" s="1563"/>
      <c r="Z34" s="1563"/>
      <c r="AA34" s="1563"/>
      <c r="AB34" s="1563"/>
      <c r="AC34" s="1563"/>
      <c r="AD34" s="1563"/>
      <c r="AE34" s="1563"/>
      <c r="AF34" s="1563"/>
      <c r="AG34" s="1563"/>
      <c r="AH34" s="1563"/>
      <c r="AI34" s="1563"/>
      <c r="AJ34" s="1563"/>
      <c r="AK34" s="1563"/>
      <c r="AL34" s="1563"/>
      <c r="AM34" s="1563"/>
      <c r="AN34" s="1563"/>
      <c r="AO34" s="1563"/>
      <c r="AP34" s="1563"/>
      <c r="AQ34" s="1563"/>
      <c r="AR34" s="1563"/>
      <c r="AS34" s="1563"/>
      <c r="AT34" s="1563"/>
      <c r="AU34" s="1563"/>
      <c r="AV34" s="1563"/>
      <c r="AW34" s="1563"/>
      <c r="AX34" s="1563"/>
      <c r="AY34" s="1563"/>
      <c r="AZ34" s="1563"/>
      <c r="BA34" s="3">
        <v>1</v>
      </c>
      <c r="BB34" s="1564"/>
      <c r="BC34" s="1564"/>
    </row>
    <row r="35" spans="2:55">
      <c r="B35" s="5887"/>
      <c r="D35" s="1582"/>
      <c r="E35" s="1582"/>
      <c r="F35" s="1582"/>
      <c r="G35" s="1582"/>
      <c r="H35" s="1583"/>
      <c r="I35" s="1563"/>
      <c r="J35" s="1563"/>
      <c r="K35" s="1563"/>
      <c r="L35" s="1563"/>
      <c r="M35" s="1563"/>
      <c r="N35" s="1584" t="s">
        <v>3384</v>
      </c>
      <c r="O35" s="1563"/>
      <c r="P35" s="1563"/>
      <c r="Q35" s="1563"/>
      <c r="R35" s="1563"/>
      <c r="S35" s="1563"/>
      <c r="T35" s="1563"/>
      <c r="U35" s="1563"/>
      <c r="V35" s="1563"/>
      <c r="W35" s="1563"/>
      <c r="X35" s="1563"/>
      <c r="Y35" s="1563"/>
      <c r="Z35" s="1563"/>
      <c r="AA35" s="1563"/>
      <c r="AB35" s="1563"/>
      <c r="AC35" s="1563"/>
      <c r="AD35" s="1563"/>
      <c r="AE35" s="1563"/>
      <c r="AF35" s="1563"/>
      <c r="AG35" s="1563"/>
      <c r="AH35" s="1563"/>
      <c r="AI35" s="1563"/>
      <c r="AJ35" s="1563"/>
      <c r="AK35" s="1563"/>
      <c r="AL35" s="1563"/>
      <c r="AM35" s="1563"/>
      <c r="AN35" s="1563"/>
      <c r="AO35" s="1563"/>
      <c r="AP35" s="1563"/>
      <c r="AQ35" s="1563"/>
      <c r="AR35" s="1563"/>
      <c r="AS35" s="1563"/>
      <c r="AT35" s="1563"/>
      <c r="AU35" s="1563"/>
      <c r="AV35" s="1563"/>
      <c r="AW35" s="1563"/>
      <c r="AX35" s="1563"/>
      <c r="AY35" s="1563"/>
      <c r="AZ35" s="1563"/>
      <c r="BA35" s="3">
        <v>1</v>
      </c>
      <c r="BB35" s="1564"/>
      <c r="BC35" s="1564"/>
    </row>
    <row r="36" spans="2:55">
      <c r="B36" s="5890" t="str">
        <f>C34</f>
        <v>Quelques liens hypertexte internes exemple de formules</v>
      </c>
      <c r="C36" s="1580" t="str">
        <f>ADDRESS(ROW(),COLUMN(),4)</f>
        <v>C36</v>
      </c>
      <c r="D36" s="1581" t="str">
        <f>_xlfn.UNICHAR(128269)</f>
        <v>🔍</v>
      </c>
      <c r="E36" s="1582" t="str">
        <f ca="1">_xlfn.FORMULATEXT(D36)</f>
        <v>=UNICAR(128269)</v>
      </c>
      <c r="F36" s="1582"/>
      <c r="G36" s="1582"/>
      <c r="H36" s="1583"/>
      <c r="I36" s="1563"/>
      <c r="J36" s="1563">
        <v>1</v>
      </c>
      <c r="K36" s="1563"/>
      <c r="L36" s="1563"/>
      <c r="M36" s="1563"/>
      <c r="N36" s="1584" t="s">
        <v>3385</v>
      </c>
      <c r="O36" s="1563"/>
      <c r="P36" s="1563"/>
      <c r="Q36" s="1563"/>
      <c r="R36" s="1563"/>
      <c r="S36" s="1563"/>
      <c r="T36" s="1563"/>
      <c r="U36" s="1563"/>
      <c r="V36" s="1563"/>
      <c r="W36" s="1563"/>
      <c r="X36" s="1563"/>
      <c r="Y36" s="1563"/>
      <c r="Z36" s="1563"/>
      <c r="AA36" s="1563"/>
      <c r="AB36" s="1563"/>
      <c r="AC36" s="1563"/>
      <c r="AD36" s="1563"/>
      <c r="AE36" s="1563"/>
      <c r="AF36" s="1563"/>
      <c r="AG36" s="1563"/>
      <c r="AH36" s="1563"/>
      <c r="AI36" s="1563"/>
      <c r="AJ36" s="1563"/>
      <c r="AK36" s="1563"/>
      <c r="AL36" s="1563"/>
      <c r="AM36" s="1563"/>
      <c r="AN36" s="1563"/>
      <c r="AO36" s="1563"/>
      <c r="AP36" s="1563"/>
      <c r="AQ36" s="1563"/>
      <c r="AR36" s="1563"/>
      <c r="AS36" s="1563"/>
      <c r="AT36" s="1563"/>
      <c r="AU36" s="1563"/>
      <c r="AV36" s="1563"/>
      <c r="AW36" s="1563"/>
      <c r="AX36" s="1563"/>
      <c r="AY36" s="1563"/>
      <c r="AZ36" s="1563"/>
      <c r="BA36" s="3">
        <v>1</v>
      </c>
      <c r="BB36" s="1564"/>
      <c r="BC36" s="1564"/>
    </row>
    <row r="37" spans="2:55">
      <c r="B37" s="5890"/>
      <c r="C37" s="1582" t="s">
        <v>3386</v>
      </c>
      <c r="D37" s="1581"/>
      <c r="E37" s="1582"/>
      <c r="F37" s="1582"/>
      <c r="G37" s="1582"/>
      <c r="H37" s="1583"/>
      <c r="I37" s="1563"/>
      <c r="J37" s="1563">
        <v>1</v>
      </c>
      <c r="K37" s="1563"/>
      <c r="L37" s="1563"/>
      <c r="M37" s="1563"/>
      <c r="N37" s="1584" t="s">
        <v>3387</v>
      </c>
      <c r="O37" s="1563"/>
      <c r="P37" s="1563"/>
      <c r="Q37" s="1563"/>
      <c r="R37" s="1563"/>
      <c r="S37" s="1563"/>
      <c r="T37" s="1563"/>
      <c r="U37" s="1563"/>
      <c r="V37" s="1563"/>
      <c r="W37" s="1563"/>
      <c r="X37" s="1563"/>
      <c r="Y37" s="1563"/>
      <c r="Z37" s="1563"/>
      <c r="AA37" s="1563"/>
      <c r="AB37" s="1563"/>
      <c r="AC37" s="1563"/>
      <c r="AD37" s="1563"/>
      <c r="AE37" s="1563"/>
      <c r="AF37" s="1563"/>
      <c r="AG37" s="1563"/>
      <c r="AH37" s="1563"/>
      <c r="AI37" s="1563"/>
      <c r="AJ37" s="1563"/>
      <c r="AK37" s="1563"/>
      <c r="AL37" s="1563"/>
      <c r="AM37" s="1563"/>
      <c r="AN37" s="1563"/>
      <c r="AO37" s="1563"/>
      <c r="AP37" s="1563"/>
      <c r="AQ37" s="1563"/>
      <c r="AR37" s="1563"/>
      <c r="AS37" s="1563"/>
      <c r="AT37" s="1563"/>
      <c r="AU37" s="1563"/>
      <c r="AV37" s="1563"/>
      <c r="AW37" s="1563"/>
      <c r="AX37" s="1563"/>
      <c r="AY37" s="1563"/>
      <c r="AZ37" s="1563"/>
      <c r="BA37" s="3">
        <v>1</v>
      </c>
      <c r="BB37" s="1564"/>
      <c r="BC37" s="1564"/>
    </row>
    <row r="38" spans="2:55">
      <c r="B38" s="5890"/>
      <c r="C38" s="1582" t="s">
        <v>3388</v>
      </c>
      <c r="D38" s="1581"/>
      <c r="E38" s="1582"/>
      <c r="F38" s="1582"/>
      <c r="G38" s="1582"/>
      <c r="H38" s="1583"/>
      <c r="I38" s="1563"/>
      <c r="J38" s="1563">
        <v>1</v>
      </c>
      <c r="K38" s="1563"/>
      <c r="L38" s="1563"/>
      <c r="M38" s="1563"/>
      <c r="N38" s="1585" t="s">
        <v>3389</v>
      </c>
      <c r="O38" s="1563"/>
      <c r="P38" s="1563"/>
      <c r="Q38" s="1563"/>
      <c r="R38" s="1563"/>
      <c r="S38" s="1563"/>
      <c r="T38" s="1563"/>
      <c r="U38" s="1563"/>
      <c r="V38" s="1563"/>
      <c r="W38" s="1563"/>
      <c r="X38" s="1563"/>
      <c r="Y38" s="1563"/>
      <c r="Z38" s="1563"/>
      <c r="AA38" s="1563"/>
      <c r="AB38" s="1563"/>
      <c r="AC38" s="1563"/>
      <c r="AD38" s="1563"/>
      <c r="AE38" s="1563"/>
      <c r="AF38" s="1563"/>
      <c r="AG38" s="1563"/>
      <c r="AH38" s="1563"/>
      <c r="AI38" s="1563"/>
      <c r="AJ38" s="1563"/>
      <c r="AK38" s="1563"/>
      <c r="AL38" s="1563"/>
      <c r="AM38" s="1563"/>
      <c r="AN38" s="1563"/>
      <c r="AO38" s="1563"/>
      <c r="AP38" s="1563"/>
      <c r="AQ38" s="1563"/>
      <c r="AR38" s="1563"/>
      <c r="AS38" s="1563"/>
      <c r="AT38" s="1563"/>
      <c r="AU38" s="1563"/>
      <c r="AV38" s="1563"/>
      <c r="AW38" s="1563"/>
      <c r="AX38" s="1563"/>
      <c r="AY38" s="1563"/>
      <c r="AZ38" s="1563"/>
      <c r="BA38" s="3">
        <v>1</v>
      </c>
      <c r="BB38" s="1564"/>
      <c r="BC38" s="1564"/>
    </row>
    <row r="39" spans="2:55">
      <c r="B39" s="5890"/>
      <c r="C39" s="1586" t="s">
        <v>3390</v>
      </c>
      <c r="D39" s="1581"/>
      <c r="E39" s="1582"/>
      <c r="F39" s="1582"/>
      <c r="G39" s="1582"/>
      <c r="H39" s="1583"/>
      <c r="I39" s="1563"/>
      <c r="J39" s="1563">
        <v>1</v>
      </c>
      <c r="K39" s="1563"/>
      <c r="L39" s="1563"/>
      <c r="M39" s="1563"/>
      <c r="N39" s="1584" t="s">
        <v>3391</v>
      </c>
      <c r="O39" s="1563"/>
      <c r="P39" s="1563"/>
      <c r="Q39" s="1563"/>
      <c r="R39" s="1563"/>
      <c r="S39" s="1563"/>
      <c r="T39" s="1563"/>
      <c r="U39" s="1563"/>
      <c r="V39" s="1563"/>
      <c r="W39" s="1563"/>
      <c r="X39" s="1563"/>
      <c r="Y39" s="1563"/>
      <c r="Z39" s="1563"/>
      <c r="AA39" s="1563"/>
      <c r="AB39" s="1563"/>
      <c r="AC39" s="1563"/>
      <c r="AD39" s="1563"/>
      <c r="AE39" s="1563"/>
      <c r="AF39" s="1563"/>
      <c r="AG39" s="1563"/>
      <c r="AH39" s="1563"/>
      <c r="AI39" s="1563"/>
      <c r="AJ39" s="1563"/>
      <c r="AK39" s="1563"/>
      <c r="AL39" s="1563"/>
      <c r="AM39" s="1563"/>
      <c r="AN39" s="1563"/>
      <c r="AO39" s="1563"/>
      <c r="AP39" s="1563"/>
      <c r="AQ39" s="1563"/>
      <c r="AR39" s="1563"/>
      <c r="AS39" s="1563"/>
      <c r="AT39" s="1563"/>
      <c r="AU39" s="1563"/>
      <c r="AV39" s="1563"/>
      <c r="AW39" s="1563"/>
      <c r="AX39" s="1563"/>
      <c r="AY39" s="1563"/>
      <c r="AZ39" s="1563"/>
      <c r="BA39" s="3">
        <v>1</v>
      </c>
      <c r="BB39" s="1564"/>
      <c r="BC39" s="1564"/>
    </row>
    <row r="40" spans="2:55">
      <c r="B40" s="5890"/>
      <c r="C40" s="1586"/>
      <c r="D40" s="1581"/>
      <c r="E40" s="1582"/>
      <c r="F40" s="1582"/>
      <c r="G40" s="1582"/>
      <c r="H40" s="1583"/>
      <c r="I40" s="1563"/>
      <c r="J40" s="1563">
        <v>1</v>
      </c>
      <c r="K40" s="1563"/>
      <c r="L40" s="1563"/>
      <c r="M40" s="1563"/>
      <c r="N40" s="1584" t="s">
        <v>3392</v>
      </c>
      <c r="O40" s="1563"/>
      <c r="P40" s="1563"/>
      <c r="Q40" s="1563"/>
      <c r="R40" s="1563"/>
      <c r="S40" s="1563"/>
      <c r="T40" s="1563"/>
      <c r="U40" s="1563"/>
      <c r="V40" s="1563"/>
      <c r="W40" s="1563"/>
      <c r="X40" s="1563"/>
      <c r="Y40" s="1563"/>
      <c r="Z40" s="1563"/>
      <c r="AA40" s="1563"/>
      <c r="AB40" s="1563"/>
      <c r="AC40" s="1563"/>
      <c r="AD40" s="1563"/>
      <c r="AE40" s="1563"/>
      <c r="AF40" s="1563"/>
      <c r="AG40" s="1563"/>
      <c r="AH40" s="1563"/>
      <c r="AI40" s="1563"/>
      <c r="AJ40" s="1563"/>
      <c r="AK40" s="1563"/>
      <c r="AL40" s="1563"/>
      <c r="AM40" s="1563"/>
      <c r="AN40" s="1563"/>
      <c r="AO40" s="1563"/>
      <c r="AP40" s="1563"/>
      <c r="AQ40" s="1563"/>
      <c r="AR40" s="1563"/>
      <c r="AS40" s="1563"/>
      <c r="AT40" s="1563"/>
      <c r="AU40" s="1563"/>
      <c r="AV40" s="1563"/>
      <c r="AW40" s="1563"/>
      <c r="AX40" s="1563"/>
      <c r="AY40" s="1563"/>
      <c r="AZ40" s="1563"/>
      <c r="BA40" s="3">
        <v>1</v>
      </c>
      <c r="BB40" s="1564"/>
      <c r="BC40" s="1564"/>
    </row>
    <row r="41" spans="2:55">
      <c r="B41" s="5890"/>
      <c r="C41" s="5892" t="s">
        <v>3393</v>
      </c>
      <c r="D41" s="5892"/>
      <c r="E41" s="5892"/>
      <c r="F41" s="5892"/>
      <c r="G41" s="5892"/>
      <c r="H41" s="5893"/>
      <c r="I41" s="1563"/>
      <c r="J41" s="1563">
        <v>1</v>
      </c>
      <c r="K41" s="1563">
        <v>1</v>
      </c>
      <c r="L41" s="1563">
        <v>1</v>
      </c>
      <c r="M41" s="1563"/>
      <c r="N41" s="1563"/>
      <c r="O41" s="1563"/>
      <c r="P41" s="1563"/>
      <c r="Q41" s="1563"/>
      <c r="R41" s="1563"/>
      <c r="S41" s="1563"/>
      <c r="T41" s="1563"/>
      <c r="U41" s="1563"/>
      <c r="V41" s="1563"/>
      <c r="W41" s="1563"/>
      <c r="X41" s="1563"/>
      <c r="Y41" s="1563"/>
      <c r="Z41" s="1563"/>
      <c r="AA41" s="1563"/>
      <c r="AB41" s="1563"/>
      <c r="AC41" s="1563"/>
      <c r="AD41" s="1563"/>
      <c r="AE41" s="1563"/>
      <c r="AF41" s="1563"/>
      <c r="AG41" s="1563"/>
      <c r="AH41" s="1563"/>
      <c r="AI41" s="1563"/>
      <c r="AJ41" s="1563"/>
      <c r="AK41" s="1563"/>
      <c r="AL41" s="1563"/>
      <c r="AM41" s="1563"/>
      <c r="AN41" s="1563"/>
      <c r="AO41" s="1563"/>
      <c r="AP41" s="1563"/>
      <c r="AQ41" s="1563"/>
      <c r="AR41" s="1563"/>
      <c r="AS41" s="1563"/>
      <c r="AT41" s="1563"/>
      <c r="AU41" s="1563"/>
      <c r="AV41" s="1563"/>
      <c r="AW41" s="1563"/>
      <c r="AX41" s="1563"/>
      <c r="AY41" s="1563"/>
      <c r="AZ41" s="1563"/>
      <c r="BA41" s="3">
        <v>1</v>
      </c>
      <c r="BB41" s="1564"/>
      <c r="BC41" s="1564"/>
    </row>
    <row r="42" spans="2:55">
      <c r="B42" s="5890"/>
      <c r="C42" s="5892"/>
      <c r="D42" s="5892"/>
      <c r="E42" s="5892"/>
      <c r="F42" s="5892"/>
      <c r="G42" s="5892"/>
      <c r="H42" s="5893"/>
      <c r="I42" s="1563"/>
      <c r="J42" s="1563">
        <v>1</v>
      </c>
      <c r="K42" s="1563">
        <v>1</v>
      </c>
      <c r="L42" s="1563">
        <v>1</v>
      </c>
      <c r="M42" s="1563"/>
      <c r="N42" s="1587" t="s">
        <v>3394</v>
      </c>
      <c r="O42" s="1588"/>
      <c r="P42" s="1589" t="s">
        <v>3395</v>
      </c>
      <c r="Q42" s="1588"/>
      <c r="R42" s="1563"/>
      <c r="S42" s="1563"/>
      <c r="T42" s="1563"/>
      <c r="U42" s="1563"/>
      <c r="V42" s="1563"/>
      <c r="W42" s="1563"/>
      <c r="X42" s="1563"/>
      <c r="Y42" s="1563"/>
      <c r="Z42" s="1563"/>
      <c r="AA42" s="1563"/>
      <c r="AB42" s="1563"/>
      <c r="AC42" s="1563"/>
      <c r="AD42" s="1563"/>
      <c r="AE42" s="1563"/>
      <c r="AF42" s="1563"/>
      <c r="AG42" s="1563"/>
      <c r="AH42" s="1563"/>
      <c r="AI42" s="1563"/>
      <c r="AJ42" s="1563"/>
      <c r="AK42" s="1563"/>
      <c r="AL42" s="1563"/>
      <c r="AM42" s="1563"/>
      <c r="AN42" s="1563"/>
      <c r="AO42" s="1563"/>
      <c r="AP42" s="1563"/>
      <c r="AQ42" s="1563"/>
      <c r="AR42" s="1563"/>
      <c r="AS42" s="1563"/>
      <c r="AT42" s="1563"/>
      <c r="AU42" s="1563"/>
      <c r="AV42" s="1563"/>
      <c r="AW42" s="1563"/>
      <c r="AX42" s="1563"/>
      <c r="AY42" s="1563"/>
      <c r="AZ42" s="1563"/>
      <c r="BA42" s="3">
        <v>1</v>
      </c>
      <c r="BB42" s="1564"/>
      <c r="BC42" s="1564"/>
    </row>
    <row r="43" spans="2:55">
      <c r="B43" s="5890"/>
      <c r="C43" s="1590" t="s">
        <v>3396</v>
      </c>
      <c r="D43" s="1582"/>
      <c r="E43" s="1582" t="s">
        <v>3397</v>
      </c>
      <c r="F43" s="1582"/>
      <c r="G43" s="1582"/>
      <c r="H43" s="1583"/>
      <c r="I43" s="1563"/>
      <c r="J43" s="1563">
        <v>1</v>
      </c>
      <c r="K43" s="1563">
        <v>1</v>
      </c>
      <c r="L43" s="1563">
        <v>1</v>
      </c>
      <c r="M43" s="1563"/>
      <c r="N43" s="1591" t="s">
        <v>3398</v>
      </c>
      <c r="O43" s="1591" t="s">
        <v>3399</v>
      </c>
      <c r="P43" s="1591" t="s">
        <v>3400</v>
      </c>
      <c r="Q43" s="1588" t="s">
        <v>3401</v>
      </c>
      <c r="R43" s="1563"/>
      <c r="S43" s="1563"/>
      <c r="T43" s="1563"/>
      <c r="U43" s="1563"/>
      <c r="V43" s="1563"/>
      <c r="W43" s="1563"/>
      <c r="X43" s="1563"/>
      <c r="Y43" s="1563"/>
      <c r="Z43" s="1563"/>
      <c r="AA43" s="1563"/>
      <c r="AB43" s="1563"/>
      <c r="AC43" s="1563"/>
      <c r="AD43" s="1563"/>
      <c r="AE43" s="1563"/>
      <c r="AF43" s="1563"/>
      <c r="AG43" s="1563"/>
      <c r="AH43" s="1563"/>
      <c r="AI43" s="1563"/>
      <c r="AJ43" s="1563"/>
      <c r="AK43" s="1563"/>
      <c r="AL43" s="1563"/>
      <c r="AM43" s="1563"/>
      <c r="AN43" s="1563"/>
      <c r="AO43" s="1563"/>
      <c r="AP43" s="1563"/>
      <c r="AQ43" s="1563"/>
      <c r="AR43" s="1563"/>
      <c r="AS43" s="1563"/>
      <c r="AT43" s="1563"/>
      <c r="AU43" s="1563"/>
      <c r="AV43" s="1563"/>
      <c r="AW43" s="1563"/>
      <c r="AX43" s="1563"/>
      <c r="AY43" s="1563"/>
      <c r="AZ43" s="1563"/>
      <c r="BA43" s="3">
        <v>1</v>
      </c>
    </row>
    <row r="44" spans="2:55">
      <c r="B44" s="5890"/>
      <c r="C44" s="1592" t="str">
        <f>HYPERLINK("#"&amp;ADDRESS(ROW(C36),COLUMN(C36),4))</f>
        <v>#C36</v>
      </c>
      <c r="D44" s="1593" t="str">
        <f ca="1">_xlfn.FORMULATEXT(C44)</f>
        <v>=LIEN_HYPERTEXTE("#"&amp;ADRESSE(LIGNE(C36);COLONNE(C36);4))</v>
      </c>
      <c r="E44" s="1593"/>
      <c r="F44" s="1593"/>
      <c r="G44" s="1593"/>
      <c r="H44" s="1594"/>
      <c r="I44" s="1563"/>
      <c r="J44" s="1563">
        <v>1</v>
      </c>
      <c r="K44" s="1563">
        <v>1</v>
      </c>
      <c r="L44" s="1563">
        <v>1</v>
      </c>
      <c r="M44" s="1563"/>
      <c r="N44" s="1588" t="s">
        <v>3402</v>
      </c>
      <c r="O44" s="1588" t="s">
        <v>3403</v>
      </c>
      <c r="P44" s="1595" t="str">
        <f>N44 &amp; " " &amp; O44</f>
        <v>Robert Spière</v>
      </c>
      <c r="Q44" s="1596" t="str">
        <f ca="1">_xlfn.FORMULATEXT(P44)</f>
        <v>=N44 &amp; " " &amp; O44</v>
      </c>
      <c r="R44" s="1563"/>
      <c r="S44" s="1563"/>
      <c r="T44" s="1563"/>
      <c r="U44" s="1563"/>
      <c r="V44" s="1563"/>
      <c r="W44" s="1563"/>
      <c r="X44" s="1563"/>
      <c r="Y44" s="1563"/>
      <c r="Z44" s="1563"/>
      <c r="AA44" s="1563"/>
      <c r="AB44" s="1563"/>
      <c r="AC44" s="1563"/>
      <c r="AD44" s="1563"/>
      <c r="AE44" s="1563"/>
      <c r="AF44" s="1563"/>
      <c r="AG44" s="1563"/>
      <c r="AH44" s="1563"/>
      <c r="AI44" s="1563"/>
      <c r="AJ44" s="1563"/>
      <c r="AK44" s="1563"/>
      <c r="AL44" s="1563"/>
      <c r="AM44" s="1563"/>
      <c r="AN44" s="1563"/>
      <c r="AO44" s="1563"/>
      <c r="AP44" s="1563"/>
      <c r="AQ44" s="1563"/>
      <c r="AR44" s="1563"/>
      <c r="AS44" s="1563"/>
      <c r="AT44" s="1563"/>
      <c r="AU44" s="1563"/>
      <c r="AV44" s="1563"/>
      <c r="AW44" s="1563"/>
      <c r="AX44" s="1563"/>
      <c r="AY44" s="1563"/>
      <c r="AZ44" s="1563"/>
      <c r="BA44" s="3">
        <v>1</v>
      </c>
    </row>
    <row r="45" spans="2:55">
      <c r="B45" s="5890"/>
      <c r="C45" s="1597"/>
      <c r="D45" s="1593"/>
      <c r="E45" s="1593"/>
      <c r="F45" s="1593"/>
      <c r="G45" s="1593"/>
      <c r="H45" s="1594"/>
      <c r="I45" s="1563"/>
      <c r="J45" s="1563">
        <v>1</v>
      </c>
      <c r="K45" s="1563">
        <v>1</v>
      </c>
      <c r="L45" s="1563">
        <v>1</v>
      </c>
      <c r="M45" s="1563"/>
      <c r="N45" s="1588" t="s">
        <v>3404</v>
      </c>
      <c r="O45" s="1588" t="s">
        <v>3405</v>
      </c>
      <c r="P45" s="1595" t="str">
        <f>_xlfn.CONCAT(N45," ",O45)</f>
        <v>Guillaume Tell</v>
      </c>
      <c r="Q45" s="1596" t="str">
        <f ca="1">_xlfn.FORMULATEXT(P45)</f>
        <v>=CONCAT(N45;" ";O45)</v>
      </c>
      <c r="R45" s="1563"/>
      <c r="S45" s="1563"/>
      <c r="T45" s="1563"/>
      <c r="U45" s="1563"/>
      <c r="V45" s="1563"/>
      <c r="W45" s="1563"/>
      <c r="X45" s="1563"/>
      <c r="Y45" s="1563"/>
      <c r="Z45" s="1563"/>
      <c r="AA45" s="1563"/>
      <c r="AB45" s="1563"/>
      <c r="AC45" s="1563"/>
      <c r="AD45" s="1563"/>
      <c r="AE45" s="1563"/>
      <c r="AF45" s="1563"/>
      <c r="AG45" s="1563"/>
      <c r="AH45" s="1563"/>
      <c r="AI45" s="1563"/>
      <c r="AJ45" s="1563"/>
      <c r="AK45" s="1563"/>
      <c r="AL45" s="1563"/>
      <c r="AM45" s="1563"/>
      <c r="AN45" s="1563"/>
      <c r="AO45" s="1563"/>
      <c r="AP45" s="1563"/>
      <c r="AQ45" s="1563"/>
      <c r="AR45" s="1563"/>
      <c r="AS45" s="1563"/>
      <c r="AT45" s="1563"/>
      <c r="AU45" s="1563"/>
      <c r="AV45" s="1563"/>
      <c r="AW45" s="1563"/>
      <c r="AX45" s="1563"/>
      <c r="AY45" s="1563"/>
      <c r="AZ45" s="1563"/>
      <c r="BA45" s="3">
        <v>1</v>
      </c>
    </row>
    <row r="46" spans="2:55">
      <c r="B46" s="5890"/>
      <c r="C46" s="1597"/>
      <c r="D46" s="1582"/>
      <c r="E46" s="1582"/>
      <c r="F46" s="1582"/>
      <c r="G46" s="1582"/>
      <c r="H46" s="1583"/>
      <c r="I46" s="1563"/>
      <c r="J46" s="1563">
        <v>1</v>
      </c>
      <c r="K46" s="1563">
        <v>1</v>
      </c>
      <c r="L46" s="1563">
        <v>1</v>
      </c>
      <c r="M46" s="1563"/>
      <c r="N46" s="1563"/>
      <c r="O46" s="1563"/>
      <c r="P46" s="1563"/>
      <c r="Q46" s="1563"/>
      <c r="R46" s="1563"/>
      <c r="S46" s="1563"/>
      <c r="T46" s="1563"/>
      <c r="U46" s="1563"/>
      <c r="V46" s="1563"/>
      <c r="W46" s="1563"/>
      <c r="X46" s="1563"/>
      <c r="Y46" s="1563"/>
      <c r="Z46" s="1563"/>
      <c r="AA46" s="1563"/>
      <c r="AB46" s="1563"/>
      <c r="AC46" s="1563"/>
      <c r="AD46" s="1563"/>
      <c r="AE46" s="1563"/>
      <c r="AF46" s="1563"/>
      <c r="AG46" s="1563"/>
      <c r="AH46" s="1563"/>
      <c r="AI46" s="1563"/>
      <c r="AJ46" s="1563"/>
      <c r="AK46" s="1563"/>
      <c r="AL46" s="1563"/>
      <c r="AM46" s="1563"/>
      <c r="AN46" s="1563"/>
      <c r="AO46" s="1563"/>
      <c r="AP46" s="1563"/>
      <c r="AQ46" s="1563"/>
      <c r="AR46" s="1563"/>
      <c r="AS46" s="1563"/>
      <c r="AT46" s="1563"/>
      <c r="AU46" s="1563"/>
      <c r="AV46" s="1563"/>
      <c r="AW46" s="1563"/>
      <c r="AX46" s="1563"/>
      <c r="AY46" s="1563"/>
      <c r="AZ46" s="1563"/>
      <c r="BA46" s="3">
        <v>1</v>
      </c>
    </row>
    <row r="47" spans="2:55">
      <c r="B47" s="5890"/>
      <c r="C47" s="1598" t="str">
        <f>HYPERLINK("#"&amp;ADDRESS(ROW(C36),COLUMN(C36),4)," 🔗 Lien")</f>
        <v xml:space="preserve"> 🔗 Lien</v>
      </c>
      <c r="D47" s="5894" t="str">
        <f ca="1">_xlfn.FORMULATEXT(C47)</f>
        <v>=LIEN_HYPERTEXTE("#"&amp;ADRESSE(LIGNE(C36);COLONNE(C36);4);" 🔗 Lien")</v>
      </c>
      <c r="E47" s="5894"/>
      <c r="F47" s="5894"/>
      <c r="G47" s="5894"/>
      <c r="H47" s="5895"/>
      <c r="I47" s="1563"/>
      <c r="J47" s="1563">
        <v>1</v>
      </c>
      <c r="K47" s="1563">
        <v>1</v>
      </c>
      <c r="L47" s="1563">
        <v>1</v>
      </c>
      <c r="M47" s="1563"/>
      <c r="N47" s="1591" t="s">
        <v>3406</v>
      </c>
      <c r="O47" s="1587" t="s">
        <v>3407</v>
      </c>
      <c r="P47" s="1599"/>
      <c r="Q47" s="1588" t="s">
        <v>3401</v>
      </c>
      <c r="R47" s="1563"/>
      <c r="S47" s="1563"/>
      <c r="T47" s="1563"/>
      <c r="U47" s="1563"/>
      <c r="V47" s="1563"/>
      <c r="W47" s="1563"/>
      <c r="X47" s="1563"/>
      <c r="Y47" s="1563"/>
      <c r="Z47" s="1563"/>
      <c r="AA47" s="1563"/>
      <c r="AB47" s="1563"/>
      <c r="AC47" s="1563"/>
      <c r="AD47" s="1563"/>
      <c r="AE47" s="1563"/>
      <c r="AF47" s="1563"/>
      <c r="AG47" s="1563"/>
      <c r="AH47" s="1563"/>
      <c r="AI47" s="1563"/>
      <c r="AJ47" s="1563"/>
      <c r="AK47" s="1563"/>
      <c r="AL47" s="1563"/>
      <c r="AM47" s="1563"/>
      <c r="AN47" s="1563"/>
      <c r="AO47" s="1563"/>
      <c r="AP47" s="1563"/>
      <c r="AQ47" s="1563"/>
      <c r="AR47" s="1563"/>
      <c r="AS47" s="1563"/>
      <c r="AT47" s="1563"/>
      <c r="AU47" s="1563"/>
      <c r="AV47" s="1563"/>
      <c r="AW47" s="1563"/>
      <c r="AX47" s="1563"/>
      <c r="AY47" s="1563"/>
      <c r="AZ47" s="1563"/>
      <c r="BA47" s="3">
        <v>1</v>
      </c>
    </row>
    <row r="48" spans="2:55">
      <c r="B48" s="5890"/>
      <c r="C48" s="1597"/>
      <c r="D48" s="5894"/>
      <c r="E48" s="5894"/>
      <c r="F48" s="5894"/>
      <c r="G48" s="5894"/>
      <c r="H48" s="5895"/>
      <c r="I48" s="1563"/>
      <c r="J48" s="1563">
        <v>1</v>
      </c>
      <c r="K48" s="1563">
        <v>1</v>
      </c>
      <c r="L48" s="1563">
        <v>1</v>
      </c>
      <c r="M48" s="1563"/>
      <c r="N48" s="1588" t="s">
        <v>3408</v>
      </c>
      <c r="O48" s="1600" t="str">
        <f>LEFT(N48,SEARCH(" ",N48)-1)</f>
        <v>Guillaume</v>
      </c>
      <c r="P48" s="1596" t="s">
        <v>3409</v>
      </c>
      <c r="Q48" s="1563"/>
      <c r="R48" s="1563"/>
      <c r="S48" s="1563"/>
      <c r="T48" s="1563"/>
      <c r="U48" s="1563"/>
      <c r="V48" s="1563"/>
      <c r="W48" s="1563"/>
      <c r="X48" s="1563"/>
      <c r="Y48" s="1563"/>
      <c r="Z48" s="1563"/>
      <c r="AA48" s="1563"/>
      <c r="AB48" s="1563"/>
      <c r="AC48" s="1563"/>
      <c r="AD48" s="1563"/>
      <c r="AE48" s="1563"/>
      <c r="AF48" s="1563"/>
      <c r="AG48" s="1563"/>
      <c r="AH48" s="1563"/>
      <c r="AI48" s="1563"/>
      <c r="AJ48" s="1563"/>
      <c r="AK48" s="1563"/>
      <c r="AL48" s="1563"/>
      <c r="AM48" s="1563"/>
      <c r="AN48" s="1563"/>
      <c r="AO48" s="1563"/>
      <c r="AP48" s="1563"/>
      <c r="AQ48" s="1563"/>
      <c r="AR48" s="1563"/>
      <c r="AS48" s="1563"/>
      <c r="AT48" s="1563"/>
      <c r="AU48" s="1563"/>
      <c r="AV48" s="1563"/>
      <c r="AW48" s="1563"/>
      <c r="AX48" s="1563"/>
      <c r="AY48" s="1563"/>
      <c r="AZ48" s="1563"/>
      <c r="BA48" s="3">
        <v>1</v>
      </c>
    </row>
    <row r="49" spans="2:53">
      <c r="B49" s="5890"/>
      <c r="C49" s="1597"/>
      <c r="D49" s="1601"/>
      <c r="E49" s="1601"/>
      <c r="F49" s="1601"/>
      <c r="G49" s="1601"/>
      <c r="H49" s="1602"/>
      <c r="I49" s="1563"/>
      <c r="J49" s="1563">
        <v>1</v>
      </c>
      <c r="K49" s="1563">
        <v>1</v>
      </c>
      <c r="L49" s="1563">
        <v>1</v>
      </c>
      <c r="M49" s="1563"/>
      <c r="N49" s="1588" t="s">
        <v>3408</v>
      </c>
      <c r="O49" s="1600" t="str">
        <f>RIGHT(N49,LEN(N49)-SEARCH(" ",N49))</f>
        <v>Tell</v>
      </c>
      <c r="P49" s="1596" t="str">
        <f ca="1">_xlfn.FORMULATEXT(O49)</f>
        <v>=DROITE(N49;NBCAR(N49)-CHERCHE(" ";N49))</v>
      </c>
      <c r="Q49" s="1563"/>
      <c r="R49" s="1563"/>
      <c r="S49" s="1563"/>
      <c r="T49" s="1563"/>
      <c r="U49" s="1563"/>
      <c r="V49" s="1563"/>
      <c r="W49" s="1563"/>
      <c r="X49" s="1563"/>
      <c r="Y49" s="1563"/>
      <c r="Z49" s="1563"/>
      <c r="AA49" s="1563"/>
      <c r="AB49" s="1563"/>
      <c r="AC49" s="1563"/>
      <c r="AD49" s="1563"/>
      <c r="AE49" s="1563"/>
      <c r="AF49" s="1563"/>
      <c r="AG49" s="1563"/>
      <c r="AH49" s="1563"/>
      <c r="AI49" s="1563"/>
      <c r="AJ49" s="1563"/>
      <c r="AK49" s="1563"/>
      <c r="AL49" s="1563"/>
      <c r="AM49" s="1563"/>
      <c r="AN49" s="1563"/>
      <c r="AO49" s="1563"/>
      <c r="AP49" s="1563"/>
      <c r="AQ49" s="1563"/>
      <c r="AR49" s="1563"/>
      <c r="AS49" s="1563"/>
      <c r="AT49" s="1563"/>
      <c r="AU49" s="1563"/>
      <c r="AV49" s="1563"/>
      <c r="AW49" s="1563"/>
      <c r="AX49" s="1563"/>
      <c r="AY49" s="1563"/>
      <c r="AZ49" s="1563"/>
      <c r="BA49" s="3">
        <v>1</v>
      </c>
    </row>
    <row r="50" spans="2:53">
      <c r="B50" s="5890"/>
      <c r="C50" s="1598" t="str">
        <f>HYPERLINK("#"&amp;ADDRESS(ROW(C36),COLUMN(C36),4)," 🔗 ICI")</f>
        <v xml:space="preserve"> 🔗 ICI</v>
      </c>
      <c r="D50" s="5896" t="str">
        <f ca="1">_xlfn.FORMULATEXT(C50)</f>
        <v>=LIEN_HYPERTEXTE("#"&amp;ADRESSE(LIGNE(C36);COLONNE(C36);4);" 🔗 ICI")</v>
      </c>
      <c r="E50" s="5896"/>
      <c r="F50" s="5896"/>
      <c r="G50" s="5896"/>
      <c r="H50" s="5897"/>
      <c r="I50" s="1563"/>
      <c r="J50" s="1563">
        <v>1</v>
      </c>
      <c r="K50" s="1563">
        <v>1</v>
      </c>
      <c r="L50" s="1563">
        <v>1</v>
      </c>
      <c r="M50" s="1563"/>
      <c r="N50" s="1603" t="s">
        <v>3410</v>
      </c>
      <c r="O50" s="1604" t="str">
        <f>LEFT(N50,SEARCH(",",N50)-1)</f>
        <v>Guillaume</v>
      </c>
      <c r="P50" s="1596" t="str">
        <f ca="1">_xlfn.FORMULATEXT(O50)</f>
        <v>=GAUCHE(N50;CHERCHE(",";N50)-1)</v>
      </c>
      <c r="Q50" s="1596"/>
      <c r="R50" s="1588"/>
      <c r="S50" s="1588"/>
      <c r="T50" s="1588"/>
      <c r="U50" s="1563"/>
      <c r="V50" s="1563"/>
      <c r="W50" s="1563"/>
      <c r="X50" s="1563"/>
      <c r="Y50" s="1563"/>
      <c r="Z50" s="1563"/>
      <c r="AA50" s="1563"/>
      <c r="AB50" s="1563"/>
      <c r="AC50" s="1563"/>
      <c r="AD50" s="1563"/>
      <c r="AE50" s="1563"/>
      <c r="AF50" s="1563"/>
      <c r="AG50" s="1563"/>
      <c r="AH50" s="1563"/>
      <c r="AI50" s="1563"/>
      <c r="AJ50" s="1563"/>
      <c r="AK50" s="1563"/>
      <c r="AL50" s="1563"/>
      <c r="AM50" s="1563"/>
      <c r="AN50" s="1563"/>
      <c r="AO50" s="1563"/>
      <c r="AP50" s="1563"/>
      <c r="AQ50" s="1563"/>
      <c r="AR50" s="1563"/>
      <c r="AS50" s="1563"/>
      <c r="AT50" s="1563"/>
      <c r="AU50" s="1563"/>
      <c r="AV50" s="1563"/>
      <c r="AW50" s="1563"/>
      <c r="AX50" s="1563"/>
      <c r="AY50" s="1563"/>
      <c r="AZ50" s="1563"/>
      <c r="BA50" s="3">
        <v>1</v>
      </c>
    </row>
    <row r="51" spans="2:53">
      <c r="B51" s="5890"/>
      <c r="C51" s="1597"/>
      <c r="D51" s="5896"/>
      <c r="E51" s="5896"/>
      <c r="F51" s="5896"/>
      <c r="G51" s="5896"/>
      <c r="H51" s="5897"/>
      <c r="I51" s="1563"/>
      <c r="J51" s="1563">
        <v>1</v>
      </c>
      <c r="K51" s="1563">
        <v>1</v>
      </c>
      <c r="L51" s="1563">
        <v>1</v>
      </c>
      <c r="M51" s="1563"/>
      <c r="N51" s="1563">
        <v>1</v>
      </c>
      <c r="O51" s="1604" t="str">
        <f>RIGHT(N50,LEN(N50)-SEARCH(",",N50))</f>
        <v>Tell</v>
      </c>
      <c r="P51" s="1596" t="str">
        <f ca="1">_xlfn.FORMULATEXT(O51)</f>
        <v>=DROITE(N50;NBCAR(N50)-CHERCHE(",";N50))</v>
      </c>
      <c r="U51" s="1563"/>
      <c r="V51" s="1563"/>
      <c r="W51" s="1563"/>
      <c r="X51" s="1563"/>
      <c r="Y51" s="1563"/>
      <c r="Z51" s="1563"/>
      <c r="AA51" s="1563"/>
      <c r="AB51" s="1563"/>
      <c r="AC51" s="1563"/>
      <c r="AD51" s="1563"/>
      <c r="AE51" s="1563"/>
      <c r="AF51" s="1563"/>
      <c r="AG51" s="1563"/>
      <c r="AH51" s="1563"/>
      <c r="AI51" s="1563"/>
      <c r="AJ51" s="1563"/>
      <c r="AK51" s="1563"/>
      <c r="AL51" s="1563"/>
      <c r="AM51" s="1563"/>
      <c r="AN51" s="1563"/>
      <c r="AO51" s="1563"/>
      <c r="AP51" s="1563"/>
      <c r="AQ51" s="1563"/>
      <c r="AR51" s="1563"/>
      <c r="AS51" s="1563"/>
      <c r="AT51" s="1563"/>
      <c r="AU51" s="1563"/>
      <c r="AV51" s="1563"/>
      <c r="AW51" s="1563"/>
      <c r="AX51" s="1563"/>
      <c r="AY51" s="1563"/>
      <c r="AZ51" s="1563"/>
      <c r="BA51" s="3">
        <v>1</v>
      </c>
    </row>
    <row r="52" spans="2:53">
      <c r="B52" s="5890"/>
      <c r="C52" s="1597"/>
      <c r="D52" s="1596"/>
      <c r="E52" s="1596"/>
      <c r="F52" s="1596"/>
      <c r="G52" s="1596"/>
      <c r="H52" s="1605"/>
      <c r="I52" s="1563"/>
      <c r="J52" s="1563"/>
      <c r="K52" s="1563"/>
      <c r="L52" s="1563"/>
      <c r="M52" s="1563"/>
      <c r="N52" s="1563">
        <v>1</v>
      </c>
      <c r="O52" s="1588" t="s">
        <v>3411</v>
      </c>
      <c r="P52" s="1563"/>
      <c r="Q52" s="1563"/>
      <c r="R52" s="1563"/>
      <c r="S52" s="1563"/>
      <c r="T52" s="1563"/>
      <c r="U52" s="1563"/>
      <c r="V52" s="1563"/>
      <c r="W52" s="1563"/>
      <c r="X52" s="1563"/>
      <c r="Y52" s="1563"/>
      <c r="Z52" s="1563"/>
      <c r="AA52" s="1563"/>
      <c r="AB52" s="1563"/>
      <c r="AC52" s="1563"/>
      <c r="AD52" s="1563"/>
      <c r="AE52" s="1563"/>
      <c r="AF52" s="1563"/>
      <c r="AG52" s="1563"/>
      <c r="AH52" s="1563"/>
      <c r="AI52" s="1563"/>
      <c r="AJ52" s="1563"/>
      <c r="AK52" s="1563"/>
      <c r="AL52" s="1563"/>
      <c r="AM52" s="1563"/>
      <c r="AN52" s="1563"/>
      <c r="AO52" s="1563"/>
      <c r="AP52" s="1563"/>
      <c r="AQ52" s="1563"/>
      <c r="AR52" s="1563"/>
      <c r="AS52" s="1563"/>
      <c r="AT52" s="1563"/>
      <c r="AU52" s="1563"/>
      <c r="AV52" s="1563"/>
      <c r="AW52" s="1563"/>
      <c r="AX52" s="1563"/>
      <c r="AY52" s="1563"/>
      <c r="AZ52" s="1563"/>
      <c r="BA52" s="3">
        <v>1</v>
      </c>
    </row>
    <row r="53" spans="2:53">
      <c r="B53" s="5890"/>
      <c r="C53" s="1606" t="str">
        <f>HYPERLINK("#"&amp;ADDRESS(ROW(C36),COLUMN(C36),4)," 🔗 "&amp;ADDRESS(ROW(C36),COLUMN(C36),4))</f>
        <v xml:space="preserve"> 🔗 C36</v>
      </c>
      <c r="D53" s="5896" t="str">
        <f ca="1">_xlfn.FORMULATEXT(C53)</f>
        <v>=LIEN_HYPERTEXTE("#"&amp;ADRESSE(LIGNE(C36);COLONNE(C36);4);" 🔗 "&amp;ADRESSE(LIGNE(C36);COLONNE(C36);4))</v>
      </c>
      <c r="E53" s="5896"/>
      <c r="F53" s="5896"/>
      <c r="G53" s="5896"/>
      <c r="H53" s="5897"/>
      <c r="I53" s="1563"/>
      <c r="J53" s="1563"/>
      <c r="K53" s="1563"/>
      <c r="L53" s="1563"/>
      <c r="M53" s="1563"/>
      <c r="O53" s="1563"/>
      <c r="P53" s="1607"/>
      <c r="Q53" s="1608" t="s">
        <v>3412</v>
      </c>
      <c r="R53" s="2001" t="s">
        <v>3413</v>
      </c>
      <c r="S53" s="1607"/>
      <c r="T53" s="1607"/>
      <c r="U53" s="1563"/>
      <c r="V53" s="1563"/>
      <c r="W53" s="1563"/>
      <c r="X53" s="1563"/>
      <c r="Y53" s="1563"/>
      <c r="Z53" s="1563"/>
      <c r="AA53" s="1563"/>
      <c r="AB53" s="1563"/>
      <c r="AC53" s="1563"/>
      <c r="AD53" s="1563"/>
      <c r="AE53" s="1563"/>
      <c r="AF53" s="1563"/>
      <c r="AG53" s="1563"/>
      <c r="AH53" s="1563"/>
      <c r="AI53" s="1563"/>
      <c r="AJ53" s="1563"/>
      <c r="AK53" s="1563"/>
      <c r="AL53" s="1563"/>
      <c r="AM53" s="1563"/>
      <c r="AN53" s="1563"/>
      <c r="AO53" s="1563"/>
      <c r="AP53" s="1563"/>
      <c r="AQ53" s="1563"/>
      <c r="AR53" s="1563"/>
      <c r="AS53" s="1563"/>
      <c r="AT53" s="1563"/>
      <c r="AU53" s="1563"/>
      <c r="AV53" s="1563"/>
      <c r="AW53" s="1563"/>
      <c r="AX53" s="1563"/>
      <c r="AY53" s="1563"/>
      <c r="AZ53" s="1563"/>
      <c r="BA53" s="3">
        <v>1</v>
      </c>
    </row>
    <row r="54" spans="2:53">
      <c r="B54" s="5890"/>
      <c r="C54" s="1597"/>
      <c r="D54" s="5896"/>
      <c r="E54" s="5896"/>
      <c r="F54" s="5896"/>
      <c r="G54" s="5896"/>
      <c r="H54" s="5897"/>
      <c r="I54" s="1563"/>
      <c r="J54" s="1563"/>
      <c r="K54" s="1563"/>
      <c r="L54" s="1563"/>
      <c r="M54" s="1563"/>
      <c r="N54" s="1563"/>
      <c r="O54" s="1563"/>
      <c r="P54" s="1563"/>
      <c r="Q54" s="1563"/>
      <c r="R54" s="1563"/>
      <c r="S54" s="1563"/>
      <c r="T54" s="1563"/>
      <c r="U54" s="1563"/>
      <c r="V54" s="1563"/>
      <c r="W54" s="1563"/>
      <c r="X54" s="1563"/>
      <c r="Y54" s="1563"/>
      <c r="Z54" s="1563"/>
      <c r="AA54" s="1563"/>
      <c r="AB54" s="1563"/>
      <c r="AC54" s="1563"/>
      <c r="AD54" s="1563"/>
      <c r="AE54" s="1563"/>
      <c r="AF54" s="1563"/>
      <c r="AG54" s="1563"/>
      <c r="AH54" s="1563"/>
      <c r="AI54" s="1563"/>
      <c r="AJ54" s="1563"/>
      <c r="AK54" s="1563"/>
      <c r="AL54" s="1563"/>
      <c r="AM54" s="1563"/>
      <c r="AN54" s="1563"/>
      <c r="AO54" s="1563"/>
      <c r="AP54" s="1563"/>
      <c r="AQ54" s="1563"/>
      <c r="AR54" s="1563"/>
      <c r="AS54" s="1563"/>
      <c r="AT54" s="1563"/>
      <c r="AU54" s="1563"/>
      <c r="AV54" s="1563"/>
      <c r="AW54" s="1563"/>
      <c r="AX54" s="1563"/>
      <c r="AY54" s="1563"/>
      <c r="AZ54" s="1563"/>
      <c r="BA54" s="3">
        <v>1</v>
      </c>
    </row>
    <row r="55" spans="2:53" ht="16.5" thickBot="1">
      <c r="B55" s="5890"/>
      <c r="C55" s="1597"/>
      <c r="D55" s="1582"/>
      <c r="E55" s="1582"/>
      <c r="F55" s="1582"/>
      <c r="G55" s="1582"/>
      <c r="H55" s="1583"/>
      <c r="I55" s="1563"/>
      <c r="J55" s="1563"/>
      <c r="K55" s="1563"/>
      <c r="L55" s="1563"/>
      <c r="M55" s="1563"/>
      <c r="N55" s="1563"/>
      <c r="O55" s="1563"/>
      <c r="P55" s="1563"/>
      <c r="Q55" s="1563"/>
      <c r="R55" s="1563"/>
      <c r="S55" s="1563"/>
      <c r="T55" s="1563"/>
      <c r="U55" s="1563"/>
      <c r="V55" s="1563"/>
      <c r="W55" s="1563"/>
      <c r="X55" s="1563"/>
      <c r="Y55" s="1563"/>
      <c r="Z55" s="1563"/>
      <c r="AA55" s="1563"/>
      <c r="AB55" s="1563"/>
      <c r="AC55" s="1563"/>
      <c r="AD55" s="1563"/>
      <c r="AE55" s="1563"/>
      <c r="AF55" s="1563"/>
      <c r="AG55" s="1563"/>
      <c r="AH55" s="1563"/>
      <c r="AI55" s="1563"/>
      <c r="AJ55" s="1563"/>
      <c r="AK55" s="1563"/>
      <c r="AL55" s="1563"/>
      <c r="AM55" s="1563"/>
      <c r="AN55" s="1563"/>
      <c r="AO55" s="1563"/>
      <c r="AP55" s="1563"/>
      <c r="AQ55" s="1563"/>
      <c r="AR55" s="1563"/>
      <c r="AS55" s="1563"/>
      <c r="AT55" s="1563"/>
      <c r="AU55" s="1563"/>
      <c r="AV55" s="1563"/>
      <c r="AW55" s="1563"/>
      <c r="AX55" s="1563"/>
      <c r="AY55" s="1563"/>
      <c r="AZ55" s="1563"/>
      <c r="BA55" s="3">
        <v>1</v>
      </c>
    </row>
    <row r="56" spans="2:53">
      <c r="B56" s="5890"/>
      <c r="C56" s="1606" t="str">
        <f>HYPERLINK("#"&amp;ADDRESS(ROW(C36),COLUMN(C36),4),"◀"&amp;ADDRESS(ROW(C36),COLUMN(C36),4))</f>
        <v>◀C36</v>
      </c>
      <c r="D56" s="5898" t="str">
        <f ca="1">_xlfn.FORMULATEXT(C56)</f>
        <v>=LIEN_HYPERTEXTE("#"&amp;ADRESSE(LIGNE(C36);COLONNE(C36);4);"◀"&amp;ADRESSE(LIGNE(C36);COLONNE(C36);4))</v>
      </c>
      <c r="E56" s="5898"/>
      <c r="F56" s="5898"/>
      <c r="G56" s="5898"/>
      <c r="H56" s="5899"/>
      <c r="I56" s="1563"/>
      <c r="J56" s="1609" t="s">
        <v>3414</v>
      </c>
      <c r="K56" s="1610"/>
      <c r="L56" s="1610"/>
      <c r="M56" s="1610"/>
      <c r="N56" s="1610"/>
      <c r="O56" s="1610"/>
      <c r="P56" s="1611"/>
      <c r="Q56" s="1563"/>
      <c r="R56" s="1563"/>
      <c r="S56" s="1563"/>
      <c r="T56" s="1563"/>
      <c r="U56" s="1563"/>
      <c r="V56" s="1563"/>
      <c r="W56" s="1563"/>
      <c r="X56" s="1563"/>
      <c r="Y56" s="1563"/>
      <c r="Z56" s="1563"/>
      <c r="AA56" s="1563"/>
      <c r="AB56" s="1563"/>
      <c r="AC56" s="1563"/>
      <c r="AD56" s="1563"/>
      <c r="AE56" s="1563"/>
      <c r="AF56" s="1563"/>
      <c r="AG56" s="1563"/>
      <c r="AH56" s="1563"/>
      <c r="AI56" s="1563"/>
      <c r="AJ56" s="1563"/>
      <c r="AK56" s="1563"/>
      <c r="AL56" s="1563"/>
      <c r="AM56" s="1563"/>
      <c r="AN56" s="1563"/>
      <c r="AO56" s="1563"/>
      <c r="AP56" s="1563"/>
      <c r="AQ56" s="1563"/>
      <c r="AR56" s="1563"/>
      <c r="AS56" s="1563"/>
      <c r="AT56" s="1563"/>
      <c r="AU56" s="1563"/>
      <c r="AV56" s="1563"/>
      <c r="AW56" s="1563"/>
      <c r="AX56" s="1563"/>
      <c r="AY56" s="1563"/>
      <c r="AZ56" s="1563"/>
      <c r="BA56" s="3">
        <v>1</v>
      </c>
    </row>
    <row r="57" spans="2:53">
      <c r="B57" s="5890"/>
      <c r="C57" s="1597"/>
      <c r="D57" s="5898"/>
      <c r="E57" s="5898"/>
      <c r="F57" s="5898"/>
      <c r="G57" s="5898"/>
      <c r="H57" s="5899"/>
      <c r="I57" s="1563"/>
      <c r="J57" s="1612" t="s">
        <v>3415</v>
      </c>
      <c r="K57" s="1613"/>
      <c r="L57" s="1613"/>
      <c r="M57" s="1613"/>
      <c r="N57" s="1613"/>
      <c r="O57" s="1613"/>
      <c r="P57" s="1614"/>
      <c r="Q57" s="1563"/>
      <c r="R57" s="1563"/>
      <c r="S57" s="1563"/>
      <c r="T57" s="1563"/>
      <c r="U57" s="1563"/>
      <c r="V57" s="1563"/>
      <c r="W57" s="1563"/>
      <c r="X57" s="1563"/>
      <c r="Y57" s="1563"/>
      <c r="Z57" s="1563"/>
      <c r="AA57" s="1563"/>
      <c r="AB57" s="1563"/>
      <c r="AC57" s="1563"/>
      <c r="AD57" s="1563"/>
      <c r="AE57" s="1563"/>
      <c r="AF57" s="1563"/>
      <c r="AG57" s="1563"/>
      <c r="AH57" s="1563"/>
      <c r="AI57" s="1563"/>
      <c r="AJ57" s="1563"/>
      <c r="AK57" s="1563"/>
      <c r="AL57" s="1563"/>
      <c r="AM57" s="1563"/>
      <c r="AN57" s="1563"/>
      <c r="AO57" s="1563"/>
      <c r="AP57" s="1563"/>
      <c r="AQ57" s="1563"/>
      <c r="AR57" s="1563"/>
      <c r="AS57" s="1563"/>
      <c r="AT57" s="1563"/>
      <c r="AU57" s="1563"/>
      <c r="AV57" s="1563"/>
      <c r="AW57" s="1563"/>
      <c r="AX57" s="1563"/>
      <c r="AY57" s="1563"/>
      <c r="AZ57" s="1563"/>
      <c r="BA57" s="3">
        <v>1</v>
      </c>
    </row>
    <row r="58" spans="2:53">
      <c r="B58" s="5890"/>
      <c r="C58" s="1597"/>
      <c r="D58" s="1601"/>
      <c r="E58" s="1601"/>
      <c r="F58" s="1601"/>
      <c r="G58" s="1601"/>
      <c r="H58" s="1602"/>
      <c r="I58" s="1563"/>
      <c r="J58" s="1612" t="s">
        <v>3416</v>
      </c>
      <c r="K58" s="1613"/>
      <c r="L58" s="1613"/>
      <c r="M58" s="1613"/>
      <c r="N58" s="1613"/>
      <c r="O58" s="1613"/>
      <c r="P58" s="1614"/>
      <c r="Q58" s="1563"/>
      <c r="R58" s="1563"/>
      <c r="S58" s="1563"/>
      <c r="T58" s="1563"/>
      <c r="U58" s="1563"/>
      <c r="V58" s="1563"/>
      <c r="W58" s="1563"/>
      <c r="X58" s="1563"/>
      <c r="Y58" s="1563"/>
      <c r="Z58" s="1563"/>
      <c r="AA58" s="1563"/>
      <c r="AB58" s="1563"/>
      <c r="AC58" s="1563"/>
      <c r="AD58" s="1563"/>
      <c r="AE58" s="1563"/>
      <c r="AF58" s="1563"/>
      <c r="AG58" s="1563"/>
      <c r="AH58" s="1563"/>
      <c r="AI58" s="1563"/>
      <c r="AJ58" s="1563"/>
      <c r="AK58" s="1563"/>
      <c r="AL58" s="1563"/>
      <c r="AM58" s="1563"/>
      <c r="AN58" s="1563"/>
      <c r="AO58" s="1563"/>
      <c r="AP58" s="1563"/>
      <c r="AQ58" s="1563"/>
      <c r="AR58" s="1563"/>
      <c r="AS58" s="1563"/>
      <c r="AT58" s="1563"/>
      <c r="AU58" s="1563"/>
      <c r="AV58" s="1563"/>
      <c r="AW58" s="1563"/>
      <c r="AX58" s="1563"/>
      <c r="AY58" s="1563"/>
      <c r="AZ58" s="1563"/>
      <c r="BA58" s="3">
        <v>1</v>
      </c>
    </row>
    <row r="59" spans="2:53">
      <c r="B59" s="5890"/>
      <c r="C59" s="1606" t="str">
        <f>HYPERLINK("#"&amp;ADDRESS(ROW(C36),COLUMN(C36),4),_xlfn.UNICHAR(128269)&amp;ADDRESS(ROW(C36),COLUMN(C36),4))</f>
        <v>🔍C36</v>
      </c>
      <c r="D59" s="5900" t="str">
        <f ca="1">_xlfn.FORMULATEXT(C59)</f>
        <v>=LIEN_HYPERTEXTE("#"&amp;ADRESSE(LIGNE(C36);COLONNE(C36);4);UNICAR(128269)&amp;ADRESSE(LIGNE(C36);COLONNE(C36);4))</v>
      </c>
      <c r="E59" s="5900"/>
      <c r="F59" s="5900"/>
      <c r="G59" s="5900"/>
      <c r="H59" s="5901"/>
      <c r="I59" s="1563"/>
      <c r="J59" s="1612" t="s">
        <v>3417</v>
      </c>
      <c r="K59" s="1613"/>
      <c r="L59" s="1613"/>
      <c r="M59" s="1613"/>
      <c r="N59" s="1613"/>
      <c r="O59" s="1613"/>
      <c r="P59" s="1614"/>
      <c r="Q59" s="1563"/>
      <c r="R59" s="1563"/>
      <c r="S59" s="1563"/>
      <c r="T59" s="1563"/>
      <c r="U59" s="1563"/>
      <c r="V59" s="1563"/>
      <c r="W59" s="1563"/>
      <c r="X59" s="1563"/>
      <c r="Y59" s="1563"/>
      <c r="Z59" s="1563"/>
      <c r="AA59" s="1563"/>
      <c r="AB59" s="1563"/>
      <c r="AC59" s="1563"/>
      <c r="AD59" s="1563"/>
      <c r="AE59" s="1563"/>
      <c r="AF59" s="1563"/>
      <c r="AG59" s="1563"/>
      <c r="AH59" s="1563"/>
      <c r="AI59" s="1563"/>
      <c r="AJ59" s="1563"/>
      <c r="AK59" s="1563"/>
      <c r="AL59" s="1563"/>
      <c r="AM59" s="1563"/>
      <c r="AN59" s="1563"/>
      <c r="AO59" s="1563"/>
      <c r="AP59" s="1563"/>
      <c r="AQ59" s="1563"/>
      <c r="AR59" s="1563"/>
      <c r="AS59" s="1563"/>
      <c r="AT59" s="1563"/>
      <c r="AU59" s="1563"/>
      <c r="AV59" s="1563"/>
      <c r="AW59" s="1563"/>
      <c r="AX59" s="1563"/>
      <c r="AY59" s="1563"/>
      <c r="AZ59" s="1563"/>
      <c r="BA59" s="3">
        <v>1</v>
      </c>
    </row>
    <row r="60" spans="2:53">
      <c r="B60" s="5890"/>
      <c r="C60" s="1597"/>
      <c r="D60" s="5900"/>
      <c r="E60" s="5900"/>
      <c r="F60" s="5900"/>
      <c r="G60" s="5900"/>
      <c r="H60" s="5901"/>
      <c r="I60" s="1563"/>
      <c r="J60" s="552" t="s">
        <v>3418</v>
      </c>
      <c r="K60" s="1554"/>
      <c r="L60" s="1554"/>
      <c r="M60" s="1554"/>
      <c r="N60" s="1554"/>
      <c r="O60" s="1554"/>
      <c r="P60" s="1617"/>
      <c r="Q60" s="1563"/>
      <c r="R60" s="1563"/>
      <c r="S60" s="1563"/>
      <c r="T60" s="1563"/>
      <c r="U60" s="1563"/>
      <c r="V60" s="1563"/>
      <c r="W60" s="1563"/>
      <c r="X60" s="1563"/>
      <c r="Y60" s="1563"/>
      <c r="Z60" s="1563"/>
      <c r="AA60" s="1563"/>
      <c r="AB60" s="1563"/>
      <c r="AC60" s="1563"/>
      <c r="AD60" s="1563"/>
      <c r="AE60" s="1563"/>
      <c r="AF60" s="1563"/>
      <c r="AG60" s="1563"/>
      <c r="AH60" s="1563"/>
      <c r="AI60" s="1563"/>
      <c r="AJ60" s="1563"/>
      <c r="AK60" s="1563"/>
      <c r="AL60" s="1563"/>
      <c r="AM60" s="1563"/>
      <c r="AN60" s="1563"/>
      <c r="AO60" s="1563"/>
      <c r="AP60" s="1563"/>
      <c r="AQ60" s="1563"/>
      <c r="AR60" s="1563"/>
      <c r="AS60" s="1563"/>
      <c r="AT60" s="1563"/>
      <c r="AU60" s="1563"/>
      <c r="AV60" s="1563"/>
      <c r="AW60" s="1563"/>
      <c r="AX60" s="1563"/>
      <c r="AY60" s="1563"/>
      <c r="AZ60" s="1563"/>
      <c r="BA60" s="3">
        <v>1</v>
      </c>
    </row>
    <row r="61" spans="2:53">
      <c r="B61" s="5890"/>
      <c r="C61" s="1597"/>
      <c r="D61" s="1615"/>
      <c r="E61" s="1615"/>
      <c r="F61" s="1615"/>
      <c r="G61" s="1615"/>
      <c r="H61" s="1616"/>
      <c r="I61" s="1563"/>
      <c r="J61" s="1618">
        <v>14</v>
      </c>
      <c r="K61" s="1619">
        <v>14</v>
      </c>
      <c r="L61" s="1619">
        <v>14</v>
      </c>
      <c r="M61" s="1619">
        <v>14</v>
      </c>
      <c r="N61" s="1619">
        <v>14</v>
      </c>
      <c r="O61" s="1619">
        <v>14</v>
      </c>
      <c r="P61" s="1620">
        <v>14</v>
      </c>
      <c r="Q61" s="1621" t="s">
        <v>3419</v>
      </c>
      <c r="R61" s="1563"/>
      <c r="S61" s="1563"/>
      <c r="T61" s="1563"/>
      <c r="U61" s="1563"/>
      <c r="V61" s="1563"/>
      <c r="W61" s="1563"/>
      <c r="X61" s="1563"/>
      <c r="Y61" s="1563"/>
      <c r="Z61" s="1563"/>
      <c r="AA61" s="1563"/>
      <c r="AB61" s="1563"/>
      <c r="AC61" s="1563"/>
      <c r="AD61" s="1563"/>
      <c r="AE61" s="1563"/>
      <c r="AF61" s="1563"/>
      <c r="AG61" s="1563"/>
      <c r="AH61" s="1563"/>
      <c r="AI61" s="1563"/>
      <c r="AJ61" s="1563"/>
      <c r="AK61" s="1563"/>
      <c r="AL61" s="1563"/>
      <c r="AM61" s="1563"/>
      <c r="AN61" s="1563"/>
      <c r="AO61" s="1563"/>
      <c r="AP61" s="1563"/>
      <c r="AQ61" s="1563"/>
      <c r="AR61" s="1563"/>
      <c r="AS61" s="1563"/>
      <c r="AT61" s="1563"/>
      <c r="AU61" s="1563"/>
      <c r="AV61" s="1563"/>
      <c r="AW61" s="1563"/>
      <c r="AX61" s="1563"/>
      <c r="AY61" s="1563"/>
      <c r="AZ61" s="1563"/>
      <c r="BA61" s="3">
        <v>1</v>
      </c>
    </row>
    <row r="62" spans="2:53" ht="16.5" thickBot="1">
      <c r="B62" s="5890"/>
      <c r="C62" s="2002"/>
      <c r="D62" s="1665" t="s">
        <v>3420</v>
      </c>
      <c r="E62" s="1615" t="str">
        <f>C36</f>
        <v>C36</v>
      </c>
      <c r="F62" s="2003" t="s">
        <v>3421</v>
      </c>
      <c r="G62" s="1615"/>
      <c r="H62" s="1616"/>
      <c r="I62" s="1563"/>
      <c r="J62" s="1106">
        <f t="shared" ref="J62:O62" ca="1" si="0">CELL("largeur",J62)</f>
        <v>18</v>
      </c>
      <c r="K62" s="1107">
        <f t="shared" ca="1" si="0"/>
        <v>16</v>
      </c>
      <c r="L62" s="1107">
        <f t="shared" ca="1" si="0"/>
        <v>16</v>
      </c>
      <c r="M62" s="1107">
        <f t="shared" ca="1" si="0"/>
        <v>18</v>
      </c>
      <c r="N62" s="1107">
        <f t="shared" ca="1" si="0"/>
        <v>16</v>
      </c>
      <c r="O62" s="1107">
        <f t="shared" ca="1" si="0"/>
        <v>16</v>
      </c>
      <c r="P62" s="1108">
        <f ca="1">CELL("largeur",P62)</f>
        <v>16</v>
      </c>
      <c r="Q62" s="1621" t="s">
        <v>3422</v>
      </c>
      <c r="R62" s="1563"/>
      <c r="S62" s="1563"/>
      <c r="T62" s="1563"/>
      <c r="U62" s="1563"/>
      <c r="V62" s="1563"/>
      <c r="W62" s="1563"/>
      <c r="X62" s="1563"/>
      <c r="Y62" s="1563"/>
      <c r="Z62" s="1563"/>
      <c r="AA62" s="1563"/>
      <c r="AB62" s="1563"/>
      <c r="AC62" s="1563"/>
      <c r="AD62" s="1563"/>
      <c r="AE62" s="1563"/>
      <c r="AF62" s="1563"/>
      <c r="AG62" s="1563"/>
      <c r="AH62" s="1563"/>
      <c r="AI62" s="1563"/>
      <c r="AJ62" s="1563"/>
      <c r="AK62" s="1563"/>
      <c r="AL62" s="1563"/>
      <c r="AM62" s="1563"/>
      <c r="AN62" s="1563"/>
      <c r="AO62" s="1563"/>
      <c r="AP62" s="1563"/>
      <c r="AQ62" s="1563"/>
      <c r="AR62" s="1563"/>
      <c r="AS62" s="1563"/>
      <c r="AT62" s="1563"/>
      <c r="AU62" s="1563"/>
      <c r="AV62" s="1563"/>
      <c r="AW62" s="1563"/>
      <c r="AX62" s="1563"/>
      <c r="AY62" s="1563"/>
      <c r="AZ62" s="1563"/>
      <c r="BA62" s="3">
        <v>1</v>
      </c>
    </row>
    <row r="63" spans="2:53">
      <c r="B63" s="5890"/>
      <c r="C63" s="5902" t="s">
        <v>3423</v>
      </c>
      <c r="D63" s="5902"/>
      <c r="E63" s="5902"/>
      <c r="F63" s="5902"/>
      <c r="G63" s="5902"/>
      <c r="H63" s="5903"/>
      <c r="I63" s="1563"/>
      <c r="K63" s="1563"/>
      <c r="L63" s="1563"/>
      <c r="M63" s="1563"/>
      <c r="N63" s="1563"/>
      <c r="O63" s="1563"/>
      <c r="P63" s="1563"/>
      <c r="Q63" s="1563"/>
      <c r="R63" s="1563"/>
      <c r="S63" s="1563"/>
      <c r="T63" s="1563"/>
      <c r="U63" s="1563"/>
      <c r="V63" s="1563"/>
      <c r="W63" s="1563"/>
      <c r="X63" s="1563"/>
      <c r="Y63" s="1563"/>
      <c r="Z63" s="1563"/>
      <c r="AA63" s="1563"/>
      <c r="AB63" s="1563"/>
      <c r="AC63" s="1563"/>
      <c r="AD63" s="1563"/>
      <c r="AE63" s="1563"/>
      <c r="AF63" s="1563"/>
      <c r="AG63" s="1563"/>
      <c r="AH63" s="1563"/>
      <c r="AI63" s="1563"/>
      <c r="AJ63" s="1563"/>
      <c r="AK63" s="1563"/>
      <c r="AL63" s="1563"/>
      <c r="AM63" s="1563"/>
      <c r="AN63" s="1563"/>
      <c r="AO63" s="1563"/>
      <c r="AP63" s="1563"/>
      <c r="AQ63" s="1563"/>
      <c r="AR63" s="1563"/>
      <c r="AS63" s="1563"/>
      <c r="AT63" s="1563"/>
      <c r="AU63" s="1563"/>
      <c r="AV63" s="1563"/>
      <c r="AW63" s="1563"/>
      <c r="AX63" s="1563"/>
      <c r="AY63" s="1563"/>
      <c r="AZ63" s="1563"/>
      <c r="BA63" s="3">
        <v>1</v>
      </c>
    </row>
    <row r="64" spans="2:53">
      <c r="B64" s="5890"/>
      <c r="C64" s="5902"/>
      <c r="D64" s="5902"/>
      <c r="E64" s="5902"/>
      <c r="F64" s="5902"/>
      <c r="G64" s="5902"/>
      <c r="H64" s="5903"/>
      <c r="I64" s="1563"/>
      <c r="J64" s="1670" t="s">
        <v>3424</v>
      </c>
      <c r="K64" s="1563"/>
      <c r="L64" s="1563"/>
      <c r="M64" s="1563"/>
      <c r="N64" s="1563"/>
      <c r="O64" s="1563"/>
      <c r="P64" s="1563"/>
      <c r="Q64" s="1563"/>
      <c r="R64" s="1563"/>
      <c r="S64" s="1563"/>
      <c r="T64" s="1563"/>
      <c r="U64" s="1563"/>
      <c r="V64" s="1563"/>
      <c r="W64" s="1563"/>
      <c r="X64" s="1563"/>
      <c r="Y64" s="1563"/>
      <c r="Z64" s="1563"/>
      <c r="AA64" s="1563"/>
      <c r="AB64" s="1563"/>
      <c r="AC64" s="1563"/>
      <c r="AD64" s="1563"/>
      <c r="AE64" s="1563"/>
      <c r="AF64" s="1563"/>
      <c r="AG64" s="1563"/>
      <c r="AH64" s="1563"/>
      <c r="AI64" s="1563"/>
      <c r="AJ64" s="1563"/>
      <c r="AK64" s="1563"/>
      <c r="AL64" s="1563"/>
      <c r="AM64" s="1563"/>
      <c r="AN64" s="1563"/>
      <c r="AO64" s="1563"/>
      <c r="AP64" s="1563"/>
      <c r="AQ64" s="1563"/>
      <c r="AR64" s="1563"/>
      <c r="AS64" s="1563"/>
      <c r="AT64" s="1563"/>
      <c r="AU64" s="1563"/>
      <c r="AV64" s="1563"/>
      <c r="AW64" s="1563"/>
      <c r="AX64" s="1563"/>
      <c r="AY64" s="1563"/>
      <c r="AZ64" s="1563"/>
      <c r="BA64" s="3">
        <v>1</v>
      </c>
    </row>
    <row r="65" spans="2:53">
      <c r="B65" s="5890"/>
      <c r="C65" s="1597"/>
      <c r="D65" s="1622"/>
      <c r="E65" s="1622"/>
      <c r="F65" s="1622"/>
      <c r="G65" s="1622"/>
      <c r="H65" s="1623"/>
      <c r="I65" s="1563"/>
      <c r="J65" s="1624" t="s">
        <v>3425</v>
      </c>
      <c r="K65" s="1563"/>
      <c r="L65" s="1563"/>
      <c r="M65" s="1563"/>
      <c r="O65" s="1625"/>
      <c r="P65" s="2004" t="s">
        <v>3426</v>
      </c>
      <c r="Q65" s="2001" t="s">
        <v>3427</v>
      </c>
      <c r="R65" s="1625"/>
      <c r="S65" s="1625"/>
      <c r="T65" s="1625"/>
      <c r="U65" s="1563"/>
      <c r="V65" s="1563"/>
      <c r="W65" s="1563"/>
      <c r="X65" s="1563"/>
      <c r="Y65" s="1563"/>
      <c r="Z65" s="1563"/>
      <c r="AA65" s="1563"/>
      <c r="AB65" s="1563"/>
      <c r="AC65" s="1563"/>
      <c r="AD65" s="1563"/>
      <c r="AE65" s="1563"/>
      <c r="AF65" s="1563"/>
      <c r="AG65" s="1563"/>
      <c r="AH65" s="1563"/>
      <c r="AI65" s="1563"/>
      <c r="AJ65" s="1563"/>
      <c r="AK65" s="1563"/>
      <c r="AL65" s="1563"/>
      <c r="AM65" s="1563"/>
      <c r="AN65" s="1563"/>
      <c r="AO65" s="1563"/>
      <c r="AP65" s="1563"/>
      <c r="AQ65" s="1563"/>
      <c r="AR65" s="1563"/>
      <c r="AS65" s="1563"/>
      <c r="AT65" s="1563"/>
      <c r="AU65" s="1563"/>
      <c r="AV65" s="1563"/>
      <c r="AW65" s="1563"/>
      <c r="AX65" s="1563"/>
      <c r="AY65" s="1563"/>
      <c r="AZ65" s="1563"/>
      <c r="BA65" s="3">
        <v>1</v>
      </c>
    </row>
    <row r="66" spans="2:53" ht="16.5" thickBot="1">
      <c r="B66" s="5890"/>
      <c r="C66" s="1626" t="s">
        <v>3428</v>
      </c>
      <c r="D66" s="1622"/>
      <c r="E66" s="1622"/>
      <c r="F66" s="1622"/>
      <c r="G66" s="1622"/>
      <c r="H66" s="1623"/>
      <c r="I66" s="1563"/>
      <c r="J66" s="1627" t="s">
        <v>3429</v>
      </c>
      <c r="K66" s="1563"/>
      <c r="L66" s="1563"/>
      <c r="M66" s="1563"/>
      <c r="N66" s="1563"/>
      <c r="O66" s="1563"/>
      <c r="P66" s="1563"/>
      <c r="Q66" s="1563"/>
      <c r="R66" s="1563"/>
      <c r="S66" s="1563"/>
      <c r="T66" s="1563"/>
      <c r="U66" s="1563"/>
      <c r="V66" s="1563"/>
      <c r="W66" s="1563"/>
      <c r="X66" s="1563"/>
      <c r="Y66" s="1563"/>
      <c r="Z66" s="1563"/>
      <c r="AA66" s="1563"/>
      <c r="AB66" s="1563"/>
      <c r="AC66" s="1563"/>
      <c r="AD66" s="1563"/>
      <c r="AE66" s="1563"/>
      <c r="AF66" s="1563"/>
      <c r="AG66" s="1563"/>
      <c r="AH66" s="1563"/>
      <c r="AI66" s="1563"/>
      <c r="AJ66" s="1563"/>
      <c r="AK66" s="1563"/>
      <c r="AL66" s="1563"/>
      <c r="AM66" s="1563"/>
      <c r="AN66" s="1563"/>
      <c r="AO66" s="1563"/>
      <c r="AP66" s="1563"/>
      <c r="AQ66" s="1563"/>
      <c r="AR66" s="1563"/>
      <c r="AS66" s="1563"/>
      <c r="AT66" s="1563"/>
      <c r="AU66" s="1563"/>
      <c r="AV66" s="1563"/>
      <c r="AW66" s="1563"/>
      <c r="AX66" s="1563"/>
      <c r="AY66" s="1563"/>
      <c r="AZ66" s="1563"/>
      <c r="BA66" s="3">
        <v>1</v>
      </c>
    </row>
    <row r="67" spans="2:53">
      <c r="B67" s="5890"/>
      <c r="C67" s="1636" t="s">
        <v>3430</v>
      </c>
      <c r="D67" s="1622"/>
      <c r="E67" s="1622"/>
      <c r="F67" s="1622"/>
      <c r="G67" s="1622"/>
      <c r="H67" s="1623"/>
      <c r="I67" s="1563"/>
      <c r="J67" s="1628" t="s">
        <v>3431</v>
      </c>
      <c r="K67" s="1563"/>
      <c r="L67" s="1563"/>
      <c r="M67" s="1563"/>
      <c r="N67" s="1629" t="s">
        <v>167</v>
      </c>
      <c r="O67" s="5967" t="s">
        <v>3432</v>
      </c>
      <c r="P67" s="5967"/>
      <c r="Q67" s="5967"/>
      <c r="R67" s="5967"/>
      <c r="S67" s="5968"/>
      <c r="T67" s="1563"/>
      <c r="U67" s="1563"/>
      <c r="V67" s="1563"/>
      <c r="W67" s="1563"/>
      <c r="X67" s="1563"/>
      <c r="Y67" s="1563"/>
      <c r="Z67" s="1563"/>
      <c r="AA67" s="1563"/>
      <c r="AB67" s="1563"/>
      <c r="AC67" s="1563"/>
      <c r="AD67" s="1563"/>
      <c r="AE67" s="1563"/>
      <c r="AF67" s="1563"/>
      <c r="AG67" s="1563"/>
      <c r="AH67" s="1563"/>
      <c r="AI67" s="1563"/>
      <c r="AJ67" s="1563"/>
      <c r="AK67" s="1563"/>
      <c r="AL67" s="1563"/>
      <c r="AM67" s="1563"/>
      <c r="AN67" s="1563"/>
      <c r="AO67" s="1563"/>
      <c r="AP67" s="1563"/>
      <c r="AQ67" s="1563"/>
      <c r="AR67" s="1563"/>
      <c r="AS67" s="1563"/>
      <c r="AT67" s="1563"/>
      <c r="AU67" s="1563"/>
      <c r="AV67" s="1563"/>
      <c r="AW67" s="1563"/>
      <c r="AX67" s="1563"/>
      <c r="AY67" s="1563"/>
      <c r="AZ67" s="1563"/>
      <c r="BA67" s="3">
        <v>1</v>
      </c>
    </row>
    <row r="68" spans="2:53">
      <c r="B68" s="5890"/>
      <c r="C68" s="5904" t="s">
        <v>3433</v>
      </c>
      <c r="D68" s="5904"/>
      <c r="E68" s="5904"/>
      <c r="F68" s="5904"/>
      <c r="G68" s="5904"/>
      <c r="H68" s="5905"/>
      <c r="I68" s="1563"/>
      <c r="J68" s="1630" t="s">
        <v>3434</v>
      </c>
      <c r="K68" s="1563"/>
      <c r="L68" s="1563"/>
      <c r="M68" s="1563"/>
      <c r="N68" s="5969">
        <v>3</v>
      </c>
      <c r="O68"/>
      <c r="P68" s="1631" t="s">
        <v>3435</v>
      </c>
      <c r="Q68" s="1632" t="s">
        <v>3436</v>
      </c>
      <c r="R68" s="1633"/>
      <c r="S68" s="1634"/>
      <c r="T68" s="1563"/>
      <c r="U68" s="1563"/>
      <c r="V68" s="1563"/>
      <c r="W68" s="1563"/>
      <c r="X68" s="1563"/>
      <c r="Y68" s="1563"/>
      <c r="Z68" s="1563"/>
      <c r="AA68" s="1563"/>
      <c r="AB68" s="1563"/>
      <c r="AC68" s="1563"/>
      <c r="AD68" s="1563"/>
      <c r="AE68" s="1563"/>
      <c r="AF68" s="1563"/>
      <c r="AG68" s="1563"/>
      <c r="AH68" s="1563"/>
      <c r="AI68" s="1563"/>
      <c r="AJ68" s="1563"/>
      <c r="AK68" s="1563"/>
      <c r="AL68" s="1563"/>
      <c r="AM68" s="1563"/>
      <c r="AN68" s="1563"/>
      <c r="AO68" s="1563"/>
      <c r="AP68" s="1563"/>
      <c r="AQ68" s="1563"/>
      <c r="AR68" s="1563"/>
      <c r="AS68" s="1563"/>
      <c r="AT68" s="1563"/>
      <c r="AU68" s="1563"/>
      <c r="AV68" s="1563"/>
      <c r="AW68" s="1563"/>
      <c r="AX68" s="1563"/>
      <c r="AY68" s="1563"/>
      <c r="AZ68" s="1563"/>
      <c r="BA68" s="3">
        <v>1</v>
      </c>
    </row>
    <row r="69" spans="2:53">
      <c r="B69" s="5890"/>
      <c r="C69" s="5904"/>
      <c r="D69" s="5904"/>
      <c r="E69" s="5904"/>
      <c r="F69" s="5904"/>
      <c r="G69" s="5904"/>
      <c r="H69" s="5905"/>
      <c r="I69" s="1563"/>
      <c r="J69" s="1635" t="s">
        <v>3437</v>
      </c>
      <c r="K69" s="1563"/>
      <c r="L69" s="1563"/>
      <c r="M69" s="1563"/>
      <c r="N69" s="5969"/>
      <c r="O69" s="183"/>
      <c r="P69" s="183"/>
      <c r="Q69" s="183"/>
      <c r="R69" s="183"/>
      <c r="S69" s="189"/>
      <c r="T69" s="1563"/>
      <c r="U69" s="1563"/>
      <c r="V69" s="1563"/>
      <c r="W69" s="1563"/>
      <c r="X69" s="1563"/>
      <c r="Y69" s="1563"/>
      <c r="Z69" s="1563"/>
      <c r="AA69" s="1563"/>
      <c r="AB69" s="1563"/>
      <c r="AC69" s="1563"/>
      <c r="AD69" s="1563"/>
      <c r="AE69" s="1563"/>
      <c r="AF69" s="1563"/>
      <c r="AG69" s="1563"/>
      <c r="AH69" s="1563"/>
      <c r="AI69" s="1563"/>
      <c r="AJ69" s="1563"/>
      <c r="AK69" s="1563"/>
      <c r="AL69" s="1563"/>
      <c r="AM69" s="1563"/>
      <c r="AN69" s="1563"/>
      <c r="AO69" s="1563"/>
      <c r="AP69" s="1563"/>
      <c r="AQ69" s="1563"/>
      <c r="AR69" s="1563"/>
      <c r="AS69" s="1563"/>
      <c r="AT69" s="1563"/>
      <c r="AU69" s="1563"/>
      <c r="AV69" s="1563"/>
      <c r="AW69" s="1563"/>
      <c r="AX69" s="1563"/>
      <c r="AY69" s="1563"/>
      <c r="AZ69" s="1563"/>
      <c r="BA69" s="3">
        <v>1</v>
      </c>
    </row>
    <row r="70" spans="2:53">
      <c r="B70" s="5890"/>
      <c r="C70" s="1636"/>
      <c r="D70" s="1622"/>
      <c r="E70" s="1622"/>
      <c r="F70" s="1622"/>
      <c r="G70" s="1622"/>
      <c r="H70" s="1623"/>
      <c r="I70" s="1563"/>
      <c r="J70" s="1637" t="s">
        <v>916</v>
      </c>
      <c r="K70" s="1563"/>
      <c r="L70" s="1563"/>
      <c r="M70" s="1563"/>
      <c r="N70" s="5969"/>
      <c r="O70" s="9"/>
      <c r="P70" s="9"/>
      <c r="Q70" s="520" t="s">
        <v>3438</v>
      </c>
      <c r="R70" s="1638">
        <v>6</v>
      </c>
      <c r="S70" s="41"/>
      <c r="T70" s="1563"/>
      <c r="U70" s="1563"/>
      <c r="V70" s="1563"/>
      <c r="W70" s="1563"/>
      <c r="X70" s="1563"/>
      <c r="Y70" s="1563"/>
      <c r="Z70" s="1563"/>
      <c r="AA70" s="1563"/>
      <c r="AB70" s="1563"/>
      <c r="AC70" s="1563"/>
      <c r="AD70" s="1563"/>
      <c r="AE70" s="1563"/>
      <c r="AF70" s="1563"/>
      <c r="AG70" s="1563"/>
      <c r="AH70" s="1563"/>
      <c r="AI70" s="1563"/>
      <c r="AJ70" s="1563"/>
      <c r="AK70" s="1563"/>
      <c r="AL70" s="1563"/>
      <c r="AM70" s="1563"/>
      <c r="AN70" s="1563"/>
      <c r="AO70" s="1563"/>
      <c r="AP70" s="1563"/>
      <c r="AQ70" s="1563"/>
      <c r="AR70" s="1563"/>
      <c r="AS70" s="1563"/>
      <c r="AT70" s="1563"/>
      <c r="AU70" s="1563"/>
      <c r="AV70" s="1563"/>
      <c r="AW70" s="1563"/>
      <c r="AX70" s="1563"/>
      <c r="AY70" s="1563"/>
      <c r="AZ70" s="1563"/>
      <c r="BA70" s="3">
        <v>1</v>
      </c>
    </row>
    <row r="71" spans="2:53">
      <c r="B71" s="5890"/>
      <c r="C71" s="1639" t="str">
        <f>HYPERLINK("# c131",_xlfn.UNICHAR(128269)&amp;" 🔗 Lien")</f>
        <v>🔍 🔗 Lien</v>
      </c>
      <c r="D71" s="1640" t="str">
        <f ca="1">_xlfn.FORMULATEXT(C71)</f>
        <v>=LIEN_HYPERTEXTE("# c131";UNICAR(128269)&amp;" 🔗 Lien")</v>
      </c>
      <c r="E71" s="1582"/>
      <c r="F71" s="1582"/>
      <c r="G71" s="1582"/>
      <c r="H71" s="1583"/>
      <c r="I71" s="1563"/>
      <c r="J71" s="1641" t="s">
        <v>3439</v>
      </c>
      <c r="K71" s="1563"/>
      <c r="L71" s="1563"/>
      <c r="M71" s="1563"/>
      <c r="N71" s="5969"/>
      <c r="O71" s="9"/>
      <c r="P71" s="9"/>
      <c r="Q71" s="520" t="s">
        <v>3440</v>
      </c>
      <c r="R71" s="1638">
        <v>4</v>
      </c>
      <c r="S71" s="41"/>
      <c r="T71" s="1563"/>
      <c r="U71" s="1563"/>
      <c r="V71" s="1563"/>
      <c r="W71" s="1563"/>
      <c r="X71" s="1563"/>
      <c r="Y71" s="1563"/>
      <c r="Z71" s="1563"/>
      <c r="AA71" s="1563"/>
      <c r="AB71" s="1563"/>
      <c r="AC71" s="1563"/>
      <c r="AD71" s="1563"/>
      <c r="AE71" s="1563"/>
      <c r="AF71" s="1563"/>
      <c r="AG71" s="1563"/>
      <c r="AH71" s="1563"/>
      <c r="AI71" s="1563"/>
      <c r="AJ71" s="1563"/>
      <c r="AK71" s="1563"/>
      <c r="AL71" s="1563"/>
      <c r="AM71" s="1563"/>
      <c r="AN71" s="1563"/>
      <c r="AO71" s="1563"/>
      <c r="AP71" s="1563"/>
      <c r="AQ71" s="1563"/>
      <c r="AR71" s="1563"/>
      <c r="AS71" s="1563"/>
      <c r="AT71" s="1563"/>
      <c r="AU71" s="1563"/>
      <c r="AV71" s="1563"/>
      <c r="AW71" s="1563"/>
      <c r="AX71" s="1563"/>
      <c r="AY71" s="1563"/>
      <c r="AZ71" s="1563"/>
      <c r="BA71" s="3">
        <v>1</v>
      </c>
    </row>
    <row r="72" spans="2:53">
      <c r="B72" s="5890"/>
      <c r="C72" s="1642"/>
      <c r="D72" s="1640"/>
      <c r="E72" s="1582"/>
      <c r="F72" s="1582"/>
      <c r="G72" s="1582"/>
      <c r="H72" s="1583"/>
      <c r="I72" s="1563"/>
      <c r="J72" s="1643" t="s">
        <v>3441</v>
      </c>
      <c r="K72" s="1563"/>
      <c r="L72" s="1563"/>
      <c r="M72" s="1563"/>
      <c r="N72" s="5969"/>
      <c r="O72" s="9"/>
      <c r="P72" s="9"/>
      <c r="Q72" s="9" t="s">
        <v>3442</v>
      </c>
      <c r="R72" s="1577" t="str">
        <f>MID(Q68,R70,R71)</f>
        <v>4522</v>
      </c>
      <c r="S72" s="41"/>
      <c r="T72" s="1563"/>
      <c r="U72" s="1563"/>
      <c r="V72" s="1563"/>
      <c r="W72" s="1563"/>
      <c r="X72" s="1563"/>
      <c r="Y72" s="1563"/>
      <c r="Z72" s="1563"/>
      <c r="AA72" s="1563"/>
      <c r="AB72" s="1563"/>
      <c r="AC72" s="1563"/>
      <c r="AD72" s="1563"/>
      <c r="AE72" s="1563"/>
      <c r="AF72" s="1563"/>
      <c r="AG72" s="1563"/>
      <c r="AH72" s="1563"/>
      <c r="AI72" s="1563"/>
      <c r="AJ72" s="1563"/>
      <c r="AK72" s="1563"/>
      <c r="AL72" s="1563"/>
      <c r="AM72" s="1563"/>
      <c r="AN72" s="1563"/>
      <c r="AO72" s="1563"/>
      <c r="AP72" s="1563"/>
      <c r="AQ72" s="1563"/>
      <c r="AR72" s="1563"/>
      <c r="AS72" s="1563"/>
      <c r="AT72" s="1563"/>
      <c r="AU72" s="1563"/>
      <c r="AV72" s="1563"/>
      <c r="AW72" s="1563"/>
      <c r="AX72" s="1563"/>
      <c r="AY72" s="1563"/>
      <c r="AZ72" s="1563"/>
      <c r="BA72" s="3">
        <v>1</v>
      </c>
    </row>
    <row r="73" spans="2:53">
      <c r="B73" s="5890"/>
      <c r="C73" s="1639" t="str">
        <f>HYPERLINK("#c131",_xlfn.UNICHAR(128269)&amp;"La bas")</f>
        <v>🔍La bas</v>
      </c>
      <c r="D73" s="1640" t="str">
        <f ca="1">_xlfn.FORMULATEXT(C73)</f>
        <v>=LIEN_HYPERTEXTE("#c131";UNICAR(128269)&amp;"La bas")</v>
      </c>
      <c r="E73" s="1582"/>
      <c r="F73" s="1582"/>
      <c r="G73" s="1582"/>
      <c r="H73" s="1583"/>
      <c r="I73" s="1563"/>
      <c r="J73" s="1644" t="s">
        <v>3443</v>
      </c>
      <c r="K73" s="1563"/>
      <c r="L73" s="1563"/>
      <c r="M73" s="1563"/>
      <c r="N73" s="5969"/>
      <c r="O73" s="9"/>
      <c r="P73" s="9"/>
      <c r="Q73" s="9"/>
      <c r="R73" s="9"/>
      <c r="S73" s="41"/>
      <c r="T73" s="1563"/>
      <c r="U73" s="1563"/>
      <c r="V73" s="1563"/>
      <c r="W73" s="1563"/>
      <c r="X73" s="1563"/>
      <c r="Y73" s="1563"/>
      <c r="Z73" s="1563"/>
      <c r="AA73" s="1563"/>
      <c r="AB73" s="1563"/>
      <c r="AC73" s="1563"/>
      <c r="AD73" s="1563"/>
      <c r="AE73" s="1563"/>
      <c r="AF73" s="1563"/>
      <c r="AG73" s="1563"/>
      <c r="AH73" s="1563"/>
      <c r="AI73" s="1563"/>
      <c r="AJ73" s="1563"/>
      <c r="AK73" s="1563"/>
      <c r="AL73" s="1563"/>
      <c r="AM73" s="1563"/>
      <c r="AN73" s="1563"/>
      <c r="AO73" s="1563"/>
      <c r="AP73" s="1563"/>
      <c r="AQ73" s="1563"/>
      <c r="AR73" s="1563"/>
      <c r="AS73" s="1563"/>
      <c r="AT73" s="1563"/>
      <c r="AU73" s="1563"/>
      <c r="AV73" s="1563"/>
      <c r="AW73" s="1563"/>
      <c r="AX73" s="1563"/>
      <c r="AY73" s="1563"/>
      <c r="AZ73" s="1563"/>
      <c r="BA73" s="3">
        <v>1</v>
      </c>
    </row>
    <row r="74" spans="2:53">
      <c r="B74" s="5890"/>
      <c r="C74" s="1642"/>
      <c r="D74" s="1640"/>
      <c r="E74" s="1582"/>
      <c r="F74" s="1582"/>
      <c r="G74" s="1582"/>
      <c r="H74" s="1583"/>
      <c r="I74" s="1563"/>
      <c r="J74" s="1645" t="s">
        <v>3444</v>
      </c>
      <c r="K74" s="1563"/>
      <c r="L74" s="1563"/>
      <c r="M74" s="1563"/>
      <c r="N74" s="5969"/>
      <c r="O74" s="5971" t="s">
        <v>3445</v>
      </c>
      <c r="P74" s="5971"/>
      <c r="Q74" s="5971"/>
      <c r="R74" s="5971"/>
      <c r="S74" s="5972"/>
      <c r="T74" s="1563"/>
      <c r="U74" s="1563"/>
      <c r="V74" s="1563"/>
      <c r="W74" s="1563"/>
      <c r="X74" s="1563"/>
      <c r="Y74" s="1563"/>
      <c r="Z74" s="1563"/>
      <c r="AA74" s="1563"/>
      <c r="AB74" s="1563"/>
      <c r="AC74" s="1563"/>
      <c r="AD74" s="1563"/>
      <c r="AE74" s="1563"/>
      <c r="AF74" s="1563"/>
      <c r="AG74" s="1563"/>
      <c r="AH74" s="1563"/>
      <c r="AI74" s="1563"/>
      <c r="AJ74" s="1563"/>
      <c r="AK74" s="1563"/>
      <c r="AL74" s="1563"/>
      <c r="AM74" s="1563"/>
      <c r="AN74" s="1563"/>
      <c r="AO74" s="1563"/>
      <c r="AP74" s="1563"/>
      <c r="AQ74" s="1563"/>
      <c r="AR74" s="1563"/>
      <c r="AS74" s="1563"/>
      <c r="AT74" s="1563"/>
      <c r="AU74" s="1563"/>
      <c r="AV74" s="1563"/>
      <c r="AW74" s="1563"/>
      <c r="AX74" s="1563"/>
      <c r="AY74" s="1563"/>
      <c r="AZ74" s="1563"/>
      <c r="BA74" s="3">
        <v>1</v>
      </c>
    </row>
    <row r="75" spans="2:53">
      <c r="B75" s="5890"/>
      <c r="C75" s="1646" t="str">
        <f>HYPERLINK("# c131"," 🔗 Cliquez")</f>
        <v xml:space="preserve"> 🔗 Cliquez</v>
      </c>
      <c r="D75" s="1640" t="str">
        <f ca="1">_xlfn.FORMULATEXT(C75)</f>
        <v>=LIEN_HYPERTEXTE("# c131";" 🔗 Cliquez")</v>
      </c>
      <c r="E75" s="1582"/>
      <c r="F75" s="1582"/>
      <c r="G75" s="1582"/>
      <c r="H75" s="1583"/>
      <c r="I75" s="1563"/>
      <c r="J75" s="1647" t="s">
        <v>3446</v>
      </c>
      <c r="K75" s="1563"/>
      <c r="L75" s="1563"/>
      <c r="M75" s="1563"/>
      <c r="N75" s="5969"/>
      <c r="O75" s="5971"/>
      <c r="P75" s="5971"/>
      <c r="Q75" s="5971"/>
      <c r="R75" s="5971"/>
      <c r="S75" s="5972"/>
      <c r="T75" s="1563"/>
      <c r="U75" s="1563"/>
      <c r="V75" s="1563"/>
      <c r="W75" s="1563"/>
      <c r="X75" s="1563"/>
      <c r="Y75" s="1563"/>
      <c r="Z75" s="1563"/>
      <c r="AA75" s="1563"/>
      <c r="AB75" s="1563"/>
      <c r="AC75" s="1563"/>
      <c r="AD75" s="1563"/>
      <c r="AE75" s="1563"/>
      <c r="AF75" s="1563"/>
      <c r="AG75" s="1563"/>
      <c r="AH75" s="1563"/>
      <c r="AI75" s="1563"/>
      <c r="AJ75" s="1563"/>
      <c r="AK75" s="1563"/>
      <c r="AL75" s="1563"/>
      <c r="AM75" s="1563"/>
      <c r="AN75" s="1563"/>
      <c r="AO75" s="1563"/>
      <c r="AP75" s="1563"/>
      <c r="AQ75" s="1563"/>
      <c r="AR75" s="1563"/>
      <c r="AS75" s="1563"/>
      <c r="AT75" s="1563"/>
      <c r="AU75" s="1563"/>
      <c r="AV75" s="1563"/>
      <c r="AW75" s="1563"/>
      <c r="AX75" s="1563"/>
      <c r="AY75" s="1563"/>
      <c r="AZ75" s="1563"/>
      <c r="BA75" s="3">
        <v>1</v>
      </c>
    </row>
    <row r="76" spans="2:53">
      <c r="B76" s="5890"/>
      <c r="C76" s="1582"/>
      <c r="D76" s="1582"/>
      <c r="E76" s="1582"/>
      <c r="F76" s="1582"/>
      <c r="G76" s="1582"/>
      <c r="H76" s="1583"/>
      <c r="I76" s="1563"/>
      <c r="J76" s="1648" t="s">
        <v>3447</v>
      </c>
      <c r="K76" s="1563"/>
      <c r="L76" s="1563"/>
      <c r="M76" s="1563"/>
      <c r="N76" s="5969"/>
      <c r="O76" s="1649">
        <v>11</v>
      </c>
      <c r="P76" s="1649">
        <v>11</v>
      </c>
      <c r="Q76" s="1649">
        <v>11</v>
      </c>
      <c r="R76" s="1649">
        <v>11</v>
      </c>
      <c r="S76" s="1650">
        <v>11</v>
      </c>
      <c r="T76" s="1563"/>
      <c r="U76" s="1563"/>
      <c r="V76" s="1563"/>
      <c r="W76" s="1563"/>
      <c r="X76" s="1563"/>
      <c r="Y76" s="1563"/>
      <c r="Z76" s="1563"/>
      <c r="AA76" s="1563"/>
      <c r="AB76" s="1563"/>
      <c r="AC76" s="1563"/>
      <c r="AD76" s="1563"/>
      <c r="AE76" s="1563"/>
      <c r="AF76" s="1563"/>
      <c r="AG76" s="1563"/>
      <c r="AH76" s="1563"/>
      <c r="AI76" s="1563"/>
      <c r="AJ76" s="1563"/>
      <c r="AK76" s="1563"/>
      <c r="AL76" s="1563"/>
      <c r="AM76" s="1563"/>
      <c r="AN76" s="1563"/>
      <c r="AO76" s="1563"/>
      <c r="AP76" s="1563"/>
      <c r="AQ76" s="1563"/>
      <c r="AR76" s="1563"/>
      <c r="AS76" s="1563"/>
      <c r="AT76" s="1563"/>
      <c r="AU76" s="1563"/>
      <c r="AV76" s="1563"/>
      <c r="AW76" s="1563"/>
      <c r="AX76" s="1563"/>
      <c r="AY76" s="1563"/>
      <c r="AZ76" s="1563"/>
      <c r="BA76" s="3">
        <v>1</v>
      </c>
    </row>
    <row r="77" spans="2:53" ht="16.5" thickBot="1">
      <c r="B77" s="5890"/>
      <c r="C77" s="1586" t="s">
        <v>3448</v>
      </c>
      <c r="D77" s="1582"/>
      <c r="E77" s="1582"/>
      <c r="F77" s="1582"/>
      <c r="G77" s="1582"/>
      <c r="H77" s="1583"/>
      <c r="I77" s="1563"/>
      <c r="J77" s="1651" t="s">
        <v>3449</v>
      </c>
      <c r="K77" s="1563"/>
      <c r="L77" s="1563"/>
      <c r="M77" s="1563"/>
      <c r="N77" s="5970"/>
      <c r="O77" s="1107">
        <f t="shared" ref="O77:S77" ca="1" si="1">CELL("largeur",O77)</f>
        <v>16</v>
      </c>
      <c r="P77" s="1107">
        <f t="shared" ca="1" si="1"/>
        <v>16</v>
      </c>
      <c r="Q77" s="1107">
        <f t="shared" ca="1" si="1"/>
        <v>11</v>
      </c>
      <c r="R77" s="1107">
        <f t="shared" ca="1" si="1"/>
        <v>11</v>
      </c>
      <c r="S77" s="1108">
        <f t="shared" ca="1" si="1"/>
        <v>11</v>
      </c>
      <c r="T77" s="1563"/>
      <c r="U77" s="1563"/>
      <c r="V77" s="1563"/>
      <c r="W77" s="1563"/>
      <c r="X77" s="1563"/>
      <c r="Y77" s="1563"/>
      <c r="Z77" s="1563"/>
      <c r="AA77" s="1563"/>
      <c r="AB77" s="1563"/>
      <c r="AC77" s="1563"/>
      <c r="AD77" s="1563"/>
      <c r="AE77" s="1563"/>
      <c r="AF77" s="1563"/>
      <c r="AG77" s="1563"/>
      <c r="AH77" s="1563"/>
      <c r="AI77" s="1563"/>
      <c r="AJ77" s="1563"/>
      <c r="AK77" s="1563"/>
      <c r="AL77" s="1563"/>
      <c r="AM77" s="1563"/>
      <c r="AN77" s="1563"/>
      <c r="AO77" s="1563"/>
      <c r="AP77" s="1563"/>
      <c r="AQ77" s="1563"/>
      <c r="AR77" s="1563"/>
      <c r="AS77" s="1563"/>
      <c r="AT77" s="1563"/>
      <c r="AU77" s="1563"/>
      <c r="AV77" s="1563"/>
      <c r="AW77" s="1563"/>
      <c r="AX77" s="1563"/>
      <c r="AY77" s="1563"/>
      <c r="AZ77" s="1563"/>
      <c r="BA77" s="3">
        <v>1</v>
      </c>
    </row>
    <row r="78" spans="2:53" ht="18.75">
      <c r="B78" s="5890"/>
      <c r="C78" s="1652" t="s">
        <v>3450</v>
      </c>
      <c r="D78" s="1582"/>
      <c r="E78" s="1582"/>
      <c r="F78" s="1582"/>
      <c r="G78" s="1582"/>
      <c r="H78" s="1583"/>
      <c r="I78" s="1563"/>
      <c r="J78" s="1653" t="s">
        <v>3451</v>
      </c>
      <c r="K78" s="1563"/>
      <c r="L78" s="1563"/>
      <c r="M78" s="1563"/>
      <c r="N78" s="1563"/>
      <c r="O78" s="1563"/>
      <c r="P78" s="1563"/>
      <c r="Q78" s="1563"/>
      <c r="R78" s="1563"/>
      <c r="S78" s="1563"/>
      <c r="T78" s="1563"/>
      <c r="U78" s="1563"/>
      <c r="V78" s="1563"/>
      <c r="W78" s="1563"/>
      <c r="X78" s="1563"/>
      <c r="Y78" s="1563"/>
      <c r="Z78" s="1563"/>
      <c r="AA78" s="1563"/>
      <c r="AB78" s="1563"/>
      <c r="AC78" s="1563"/>
      <c r="AD78" s="1563"/>
      <c r="AE78" s="1563"/>
      <c r="AF78" s="1563"/>
      <c r="AG78" s="1563"/>
      <c r="AH78" s="1563"/>
      <c r="AI78" s="1563"/>
      <c r="AJ78" s="1563"/>
      <c r="AK78" s="1563"/>
      <c r="AL78" s="1563"/>
      <c r="AM78" s="1563"/>
      <c r="AN78" s="1563"/>
      <c r="AO78" s="1563"/>
      <c r="AP78" s="1563"/>
      <c r="AQ78" s="1563"/>
      <c r="AR78" s="1563"/>
      <c r="AS78" s="1563"/>
      <c r="AT78" s="1563"/>
      <c r="AU78" s="1563"/>
      <c r="AV78" s="1563"/>
      <c r="AW78" s="1563"/>
      <c r="AX78" s="1563"/>
      <c r="AY78" s="1563"/>
      <c r="AZ78" s="1563"/>
      <c r="BA78" s="3">
        <v>1</v>
      </c>
    </row>
    <row r="79" spans="2:53">
      <c r="B79" s="5890"/>
      <c r="C79" s="1654"/>
      <c r="D79" s="1582"/>
      <c r="E79" s="1582"/>
      <c r="F79" s="1582"/>
      <c r="G79" s="1582"/>
      <c r="H79" s="1583"/>
      <c r="I79" s="1563"/>
      <c r="J79" s="1655" t="s">
        <v>3452</v>
      </c>
      <c r="K79" s="1563"/>
      <c r="L79" s="1563"/>
      <c r="M79" s="1563"/>
      <c r="N79" s="1563"/>
      <c r="O79" s="1563"/>
      <c r="P79" s="1563"/>
      <c r="Q79" s="1563"/>
      <c r="R79" s="1563"/>
      <c r="S79" s="1563"/>
      <c r="T79" s="1563"/>
      <c r="U79" s="1563"/>
      <c r="V79" s="1563"/>
      <c r="W79" s="1563"/>
      <c r="X79" s="1563"/>
      <c r="Y79" s="1563"/>
      <c r="Z79" s="1563"/>
      <c r="AA79" s="1563"/>
      <c r="AB79" s="1563"/>
      <c r="AC79" s="1563"/>
      <c r="AD79" s="1563"/>
      <c r="AE79" s="1563"/>
      <c r="AF79" s="1563"/>
      <c r="AG79" s="1563"/>
      <c r="AH79" s="1563"/>
      <c r="AI79" s="1563"/>
      <c r="AJ79" s="1563"/>
      <c r="AK79" s="1563"/>
      <c r="AL79" s="1563"/>
      <c r="AM79" s="1563"/>
      <c r="AN79" s="1563"/>
      <c r="AO79" s="1563"/>
      <c r="AP79" s="1563"/>
      <c r="AQ79" s="1563"/>
      <c r="AR79" s="1563"/>
      <c r="AS79" s="1563"/>
      <c r="AT79" s="1563"/>
      <c r="AU79" s="1563"/>
      <c r="AV79" s="1563"/>
      <c r="AW79" s="1563"/>
      <c r="AX79" s="1563"/>
      <c r="AY79" s="1563"/>
      <c r="AZ79" s="1563"/>
      <c r="BA79" s="3">
        <v>1</v>
      </c>
    </row>
    <row r="80" spans="2:53" ht="18.75">
      <c r="B80" s="5890"/>
      <c r="C80" s="1656" t="s">
        <v>3453</v>
      </c>
      <c r="D80" s="1582"/>
      <c r="E80" s="1582"/>
      <c r="F80" s="1582"/>
      <c r="G80" s="1582"/>
      <c r="H80" s="1583"/>
      <c r="I80" s="1563"/>
      <c r="J80" s="1186" t="s">
        <v>3454</v>
      </c>
      <c r="K80" s="1563"/>
      <c r="L80" s="1563"/>
      <c r="M80" s="1563"/>
      <c r="N80" s="2005" t="s">
        <v>1886</v>
      </c>
      <c r="O80" s="5965" t="s">
        <v>3455</v>
      </c>
      <c r="P80" s="5965"/>
      <c r="Q80" s="5965"/>
      <c r="R80" s="5965"/>
      <c r="S80" s="5965"/>
      <c r="T80" s="5965"/>
      <c r="U80" s="5965"/>
      <c r="V80" s="1563"/>
      <c r="W80" s="1563"/>
      <c r="X80" s="1563"/>
      <c r="Y80" s="1563"/>
      <c r="Z80" s="1563"/>
      <c r="AA80" s="1563"/>
      <c r="AB80" s="1563"/>
      <c r="AC80" s="1563"/>
      <c r="AD80" s="1563"/>
      <c r="AE80" s="1563"/>
      <c r="AF80" s="1563"/>
      <c r="AG80" s="1563"/>
      <c r="AH80" s="1563"/>
      <c r="AI80" s="1563"/>
      <c r="AJ80" s="1563"/>
      <c r="AK80" s="1563"/>
      <c r="AL80" s="1563"/>
      <c r="AM80" s="1563"/>
      <c r="AN80" s="1563"/>
      <c r="AO80" s="1563"/>
      <c r="AP80" s="1563"/>
      <c r="AQ80" s="1563"/>
      <c r="AR80" s="1563"/>
      <c r="AS80" s="1563"/>
      <c r="AT80" s="1563"/>
      <c r="AU80" s="1563"/>
      <c r="AV80" s="1563"/>
      <c r="AW80" s="1563"/>
      <c r="AX80" s="1563"/>
      <c r="AY80" s="1563"/>
      <c r="AZ80" s="1563"/>
      <c r="BA80" s="3">
        <v>1</v>
      </c>
    </row>
    <row r="81" spans="1:53" ht="18.75">
      <c r="B81" s="5890"/>
      <c r="C81" s="1582"/>
      <c r="D81" s="1582"/>
      <c r="E81" s="1582"/>
      <c r="F81" s="1582"/>
      <c r="G81" s="1582"/>
      <c r="H81" s="1583"/>
      <c r="I81" s="1563"/>
      <c r="J81" s="1657" t="s">
        <v>3456</v>
      </c>
      <c r="K81" s="1563"/>
      <c r="L81" s="1563"/>
      <c r="M81" s="1563"/>
      <c r="N81" s="2005" t="s">
        <v>1886</v>
      </c>
      <c r="O81" s="5965" t="s">
        <v>3457</v>
      </c>
      <c r="P81" s="5965"/>
      <c r="Q81" s="5965"/>
      <c r="R81" s="5965"/>
      <c r="S81" s="5965"/>
      <c r="T81" s="5965"/>
      <c r="U81" s="5965"/>
      <c r="V81" s="1563"/>
      <c r="W81" s="1563"/>
      <c r="X81" s="1563"/>
      <c r="Y81" s="1563"/>
      <c r="Z81" s="1563"/>
      <c r="AA81" s="1563"/>
      <c r="AB81" s="1563"/>
      <c r="AC81" s="1563"/>
      <c r="AD81" s="1563"/>
      <c r="AE81" s="1563"/>
      <c r="AF81" s="1563"/>
      <c r="AG81" s="1563"/>
      <c r="AH81" s="1563"/>
      <c r="AI81" s="1563"/>
      <c r="AJ81" s="1563"/>
      <c r="AK81" s="1563"/>
      <c r="AL81" s="1563"/>
      <c r="AM81" s="1563"/>
      <c r="AN81" s="1563"/>
      <c r="AO81" s="1563"/>
      <c r="AP81" s="1563"/>
      <c r="AQ81" s="1563"/>
      <c r="AR81" s="1563"/>
      <c r="AS81" s="1563"/>
      <c r="AT81" s="1563"/>
      <c r="AU81" s="1563"/>
      <c r="AV81" s="1563"/>
      <c r="AW81" s="1563"/>
      <c r="AX81" s="1563"/>
      <c r="AY81" s="1563"/>
      <c r="AZ81" s="1563"/>
      <c r="BA81" s="3">
        <v>1</v>
      </c>
    </row>
    <row r="82" spans="1:53">
      <c r="B82" s="5890"/>
      <c r="C82" s="1582" t="s">
        <v>3458</v>
      </c>
      <c r="D82" s="1582" t="s">
        <v>3459</v>
      </c>
      <c r="E82" s="1582"/>
      <c r="F82" s="1582"/>
      <c r="G82" s="1582"/>
      <c r="H82" s="1583"/>
      <c r="I82" s="1563"/>
      <c r="J82" s="1658" t="s">
        <v>3460</v>
      </c>
      <c r="K82" s="1563"/>
      <c r="L82" s="1563"/>
      <c r="M82" s="1563"/>
      <c r="N82" s="1563"/>
      <c r="O82" s="1563"/>
      <c r="P82" s="1563"/>
      <c r="Q82" s="1563"/>
      <c r="R82" s="1563"/>
      <c r="S82" s="1563"/>
      <c r="T82" s="1563"/>
      <c r="U82" s="1563"/>
      <c r="V82" s="1563"/>
      <c r="W82" s="1563"/>
      <c r="X82" s="1563"/>
      <c r="Y82" s="1563"/>
      <c r="Z82" s="1563"/>
      <c r="AA82" s="1563"/>
      <c r="AB82" s="1563"/>
      <c r="AC82" s="1563"/>
      <c r="AD82" s="1563"/>
      <c r="AE82" s="1563"/>
      <c r="AF82" s="1563"/>
      <c r="AG82" s="1563"/>
      <c r="AH82" s="1563"/>
      <c r="AI82" s="1563"/>
      <c r="AJ82" s="1563"/>
      <c r="AK82" s="1563"/>
      <c r="AL82" s="1563"/>
      <c r="AM82" s="1563"/>
      <c r="AN82" s="1563"/>
      <c r="AO82" s="1563"/>
      <c r="AP82" s="1563"/>
      <c r="AQ82" s="1563"/>
      <c r="AR82" s="1563"/>
      <c r="AS82" s="1563"/>
      <c r="AT82" s="1563"/>
      <c r="AU82" s="1563"/>
      <c r="AV82" s="1563"/>
      <c r="AW82" s="1563"/>
      <c r="AX82" s="1563"/>
      <c r="AY82" s="1563"/>
      <c r="AZ82" s="1563"/>
      <c r="BA82" s="3">
        <v>1</v>
      </c>
    </row>
    <row r="83" spans="1:53">
      <c r="B83" s="5890"/>
      <c r="C83" s="1582"/>
      <c r="D83" s="1582"/>
      <c r="E83" s="1582"/>
      <c r="F83" s="1582"/>
      <c r="G83" s="1582"/>
      <c r="H83" s="1583"/>
      <c r="I83" s="1563"/>
      <c r="J83" s="1659" t="s">
        <v>3461</v>
      </c>
      <c r="K83" s="1563"/>
      <c r="L83" s="1563"/>
      <c r="M83" s="1563"/>
      <c r="N83" s="1563"/>
      <c r="O83" s="1563"/>
      <c r="P83" s="1563"/>
      <c r="Q83" s="1563"/>
      <c r="R83" s="1563"/>
      <c r="S83" s="1563"/>
      <c r="T83" s="1563"/>
      <c r="U83" s="1563"/>
      <c r="V83" s="1563"/>
      <c r="W83" s="1563"/>
      <c r="X83" s="1563"/>
      <c r="Y83" s="1563"/>
      <c r="Z83" s="1563"/>
      <c r="AA83" s="1563"/>
      <c r="AB83" s="1563"/>
      <c r="AC83" s="1563"/>
      <c r="AD83" s="1563"/>
      <c r="AE83" s="1563"/>
      <c r="AF83" s="1563"/>
      <c r="AG83" s="1563"/>
      <c r="AH83" s="1563"/>
      <c r="AI83" s="1563"/>
      <c r="AJ83" s="1563"/>
      <c r="AK83" s="1563"/>
      <c r="AL83" s="1563"/>
      <c r="AM83" s="1563"/>
      <c r="AN83" s="1563"/>
      <c r="AO83" s="1563"/>
      <c r="AP83" s="1563"/>
      <c r="AQ83" s="1563"/>
      <c r="AR83" s="1563"/>
      <c r="AS83" s="1563"/>
      <c r="AT83" s="1563"/>
      <c r="AU83" s="1563"/>
      <c r="AV83" s="1563"/>
      <c r="AW83" s="1563"/>
      <c r="AX83" s="1563"/>
      <c r="AY83" s="1563"/>
      <c r="AZ83" s="1563"/>
      <c r="BA83" s="3">
        <v>1</v>
      </c>
    </row>
    <row r="84" spans="1:53">
      <c r="B84" s="5890"/>
      <c r="C84" s="1582" t="s">
        <v>3462</v>
      </c>
      <c r="D84" s="1582"/>
      <c r="E84" s="1582"/>
      <c r="F84" s="1582"/>
      <c r="G84" s="1582"/>
      <c r="H84" s="1583"/>
      <c r="I84" s="1563"/>
      <c r="J84" s="1660" t="s">
        <v>3463</v>
      </c>
      <c r="K84" s="1563"/>
      <c r="L84" s="1563"/>
      <c r="M84" s="1563"/>
      <c r="N84" s="1563"/>
      <c r="O84" s="1563"/>
      <c r="P84" s="1563"/>
      <c r="Q84" s="1563"/>
      <c r="R84" s="1563"/>
      <c r="S84" s="1563"/>
      <c r="T84" s="1563"/>
      <c r="U84" s="1563"/>
      <c r="V84" s="1563"/>
      <c r="W84" s="1563"/>
      <c r="X84" s="1563"/>
      <c r="Y84" s="1563"/>
      <c r="Z84" s="1563"/>
      <c r="AA84" s="1563"/>
      <c r="AB84" s="1563"/>
      <c r="AC84" s="1563"/>
      <c r="AD84" s="1563"/>
      <c r="AE84" s="1563"/>
      <c r="AF84" s="1563"/>
      <c r="AG84" s="1563"/>
      <c r="AH84" s="1563"/>
      <c r="AI84" s="1563"/>
      <c r="AJ84" s="1563"/>
      <c r="AK84" s="1563"/>
      <c r="AL84" s="1563"/>
      <c r="AM84" s="1563"/>
      <c r="AN84" s="1563"/>
      <c r="AO84" s="1563"/>
      <c r="AP84" s="1563"/>
      <c r="AQ84" s="1563"/>
      <c r="AR84" s="1563"/>
      <c r="AS84" s="1563"/>
      <c r="AT84" s="1563"/>
      <c r="AU84" s="1563"/>
      <c r="AV84" s="1563"/>
      <c r="AW84" s="1563"/>
      <c r="AX84" s="1563"/>
      <c r="AY84" s="1563"/>
      <c r="AZ84" s="1563"/>
      <c r="BA84" s="3">
        <v>1</v>
      </c>
    </row>
    <row r="85" spans="1:53">
      <c r="B85" s="5890"/>
      <c r="C85" s="1582"/>
      <c r="D85" s="2006" t="s">
        <v>3464</v>
      </c>
      <c r="E85" s="1582"/>
      <c r="F85" s="2006" t="s">
        <v>3465</v>
      </c>
      <c r="G85" s="1582"/>
      <c r="H85" s="1583" t="s">
        <v>22</v>
      </c>
      <c r="I85" s="1563"/>
      <c r="J85" s="1661" t="s">
        <v>3466</v>
      </c>
      <c r="K85" s="1563"/>
      <c r="L85" s="1563"/>
      <c r="M85" s="1563"/>
      <c r="N85" s="1563"/>
      <c r="O85" s="1563"/>
      <c r="P85" s="1563"/>
      <c r="Q85" s="1563"/>
      <c r="R85" s="1563"/>
      <c r="S85" s="1563"/>
      <c r="T85" s="1563"/>
      <c r="U85" s="1563"/>
      <c r="V85" s="1563"/>
      <c r="W85" s="1563"/>
      <c r="X85" s="1563"/>
      <c r="Y85" s="1563"/>
      <c r="Z85" s="1563"/>
      <c r="AA85" s="1563"/>
      <c r="AB85" s="1563"/>
      <c r="AC85" s="1563"/>
      <c r="AD85" s="1563"/>
      <c r="AE85" s="1563"/>
      <c r="AF85" s="1563"/>
      <c r="AG85" s="1563"/>
      <c r="AH85" s="1563"/>
      <c r="AI85" s="1563"/>
      <c r="AJ85" s="1563"/>
      <c r="AK85" s="1563"/>
      <c r="AL85" s="1563"/>
      <c r="AM85" s="1563"/>
      <c r="AN85" s="1563"/>
      <c r="AO85" s="1563"/>
      <c r="AP85" s="1563"/>
      <c r="AQ85" s="1563"/>
      <c r="AR85" s="1563"/>
      <c r="AS85" s="1563"/>
      <c r="AT85" s="1563"/>
      <c r="AU85" s="1563"/>
      <c r="AV85" s="1563"/>
      <c r="AW85" s="1563"/>
      <c r="AX85" s="1563"/>
      <c r="AY85" s="1563"/>
      <c r="AZ85" s="1563"/>
      <c r="BA85" s="3">
        <v>1</v>
      </c>
    </row>
    <row r="86" spans="1:53">
      <c r="B86" s="5890"/>
      <c r="C86" s="1582" t="s">
        <v>3467</v>
      </c>
      <c r="D86" s="1582"/>
      <c r="E86" s="1582"/>
      <c r="F86" s="1582"/>
      <c r="G86" s="1582"/>
      <c r="H86" s="1583"/>
      <c r="I86" s="1563"/>
      <c r="J86" s="1662" t="s">
        <v>3468</v>
      </c>
      <c r="K86" s="1563"/>
      <c r="L86" s="1563"/>
      <c r="M86" s="1563"/>
      <c r="N86" s="1563"/>
      <c r="O86" s="1563"/>
      <c r="P86" s="1563"/>
      <c r="Q86" s="1563"/>
      <c r="R86" s="1563"/>
      <c r="S86" s="1563"/>
      <c r="T86" s="1563"/>
      <c r="U86" s="1563"/>
      <c r="V86" s="1563"/>
      <c r="W86" s="1563"/>
      <c r="X86" s="1563"/>
      <c r="Y86" s="1563"/>
      <c r="Z86" s="1563"/>
      <c r="AA86" s="1563"/>
      <c r="AB86" s="1563"/>
      <c r="AC86" s="1563"/>
      <c r="AD86" s="1563"/>
      <c r="AE86" s="1563"/>
      <c r="AF86" s="1563"/>
      <c r="AG86" s="1563"/>
      <c r="AH86" s="1563"/>
      <c r="AI86" s="1563"/>
      <c r="AJ86" s="1563"/>
      <c r="AK86" s="1563"/>
      <c r="AL86" s="1563"/>
      <c r="AM86" s="1563"/>
      <c r="AN86" s="1563"/>
      <c r="AO86" s="1563"/>
      <c r="AP86" s="1563"/>
      <c r="AQ86" s="1563"/>
      <c r="AR86" s="1563"/>
      <c r="AS86" s="1563"/>
      <c r="AT86" s="1563"/>
      <c r="AU86" s="1563"/>
      <c r="AV86" s="1563"/>
      <c r="AW86" s="1563"/>
      <c r="AX86" s="1563"/>
      <c r="AY86" s="1563"/>
      <c r="AZ86" s="1563"/>
      <c r="BA86" s="3">
        <v>1</v>
      </c>
    </row>
    <row r="87" spans="1:53">
      <c r="B87" s="5890"/>
      <c r="C87" s="1582"/>
      <c r="D87" s="2006" t="s">
        <v>3469</v>
      </c>
      <c r="E87" s="1582"/>
      <c r="F87" s="2006" t="s">
        <v>3470</v>
      </c>
      <c r="G87" s="1582"/>
      <c r="H87" s="1583"/>
      <c r="I87" s="1563"/>
      <c r="J87" s="1663" t="s">
        <v>3471</v>
      </c>
      <c r="K87" s="1563"/>
      <c r="L87" s="1563"/>
      <c r="M87" s="1563"/>
      <c r="N87" s="1563"/>
      <c r="O87" s="1563"/>
      <c r="P87" s="1563"/>
      <c r="Q87" s="1563"/>
      <c r="R87" s="1563"/>
      <c r="S87" s="1563"/>
      <c r="T87" s="1563"/>
      <c r="U87" s="1563"/>
      <c r="V87" s="1563"/>
      <c r="W87" s="1563"/>
      <c r="X87" s="1563"/>
      <c r="Y87" s="1563"/>
      <c r="Z87" s="1563"/>
      <c r="AA87" s="1563"/>
      <c r="AB87" s="1563"/>
      <c r="AC87" s="1563"/>
      <c r="AD87" s="1563"/>
      <c r="AE87" s="1563"/>
      <c r="AF87" s="1563"/>
      <c r="AG87" s="1563"/>
      <c r="AH87" s="1563"/>
      <c r="AI87" s="1563"/>
      <c r="AJ87" s="1563"/>
      <c r="AK87" s="1563"/>
      <c r="AL87" s="1563"/>
      <c r="AM87" s="1563"/>
      <c r="AN87" s="1563"/>
      <c r="AO87" s="1563"/>
      <c r="AP87" s="1563"/>
      <c r="AQ87" s="1563"/>
      <c r="AR87" s="1563"/>
      <c r="AS87" s="1563"/>
      <c r="AT87" s="1563"/>
      <c r="AU87" s="1563"/>
      <c r="AV87" s="1563"/>
      <c r="AW87" s="1563"/>
      <c r="AX87" s="1563"/>
      <c r="AY87" s="1563"/>
      <c r="AZ87" s="1563"/>
      <c r="BA87" s="3">
        <v>1</v>
      </c>
    </row>
    <row r="88" spans="1:53">
      <c r="B88" s="5890"/>
      <c r="C88" s="1582"/>
      <c r="D88" s="2006"/>
      <c r="E88" s="1582"/>
      <c r="F88" s="2006"/>
      <c r="G88" s="1582"/>
      <c r="H88" s="1583"/>
      <c r="I88" s="1563"/>
      <c r="J88" s="1664" t="s">
        <v>3472</v>
      </c>
      <c r="K88" s="1563"/>
      <c r="L88" s="1563"/>
      <c r="M88" s="1563"/>
      <c r="N88" s="1563"/>
      <c r="O88" s="1563"/>
      <c r="P88" s="1563"/>
      <c r="Q88" s="1563"/>
      <c r="R88" s="1563"/>
      <c r="S88" s="1563"/>
      <c r="T88" s="1563"/>
      <c r="U88" s="1563"/>
      <c r="V88" s="1563"/>
      <c r="W88" s="1563"/>
      <c r="X88" s="1563"/>
      <c r="Y88" s="1563"/>
      <c r="Z88" s="1563"/>
      <c r="AA88" s="1563"/>
      <c r="AB88" s="1563"/>
      <c r="AC88" s="1563"/>
      <c r="AD88" s="1563"/>
      <c r="AE88" s="1563"/>
      <c r="AF88" s="1563"/>
      <c r="AG88" s="1563"/>
      <c r="AH88" s="1563"/>
      <c r="AI88" s="1563"/>
      <c r="AJ88" s="1563"/>
      <c r="AK88" s="1563"/>
      <c r="AL88" s="1563"/>
      <c r="AM88" s="1563"/>
      <c r="AN88" s="1563"/>
      <c r="AO88" s="1563"/>
      <c r="AP88" s="1563"/>
      <c r="AQ88" s="1563"/>
      <c r="AR88" s="1563"/>
      <c r="AS88" s="1563"/>
      <c r="AT88" s="1563"/>
      <c r="AU88" s="1563"/>
      <c r="AV88" s="1563"/>
      <c r="AW88" s="1563"/>
      <c r="AX88" s="1563"/>
      <c r="AY88" s="1563"/>
      <c r="AZ88" s="1563"/>
      <c r="BA88" s="3">
        <v>1</v>
      </c>
    </row>
    <row r="89" spans="1:53">
      <c r="B89" s="5890"/>
      <c r="C89" s="1582"/>
      <c r="D89" s="2006"/>
      <c r="E89" s="1665" t="s">
        <v>3473</v>
      </c>
      <c r="F89" s="2006" t="s">
        <v>3474</v>
      </c>
      <c r="G89" s="1582"/>
      <c r="H89" s="1583"/>
      <c r="I89" s="1563"/>
      <c r="J89" s="1563"/>
      <c r="K89" s="1563"/>
      <c r="L89" s="1563"/>
      <c r="M89" s="1563"/>
      <c r="N89" s="1563"/>
      <c r="O89" s="1563"/>
      <c r="P89" s="1563"/>
      <c r="Q89" s="1563"/>
      <c r="R89" s="1563"/>
      <c r="S89" s="1563"/>
      <c r="T89" s="1563"/>
      <c r="U89" s="1563"/>
      <c r="V89" s="1563"/>
      <c r="W89" s="1563"/>
      <c r="X89" s="1563"/>
      <c r="Y89" s="1563"/>
      <c r="Z89" s="1563"/>
      <c r="AA89" s="1563"/>
      <c r="AB89" s="1563"/>
      <c r="AC89" s="1563"/>
      <c r="AD89" s="1563"/>
      <c r="AE89" s="1563"/>
      <c r="AF89" s="1563"/>
      <c r="AG89" s="1563"/>
      <c r="AH89" s="1563"/>
      <c r="AI89" s="1563"/>
      <c r="AJ89" s="1563"/>
      <c r="AK89" s="1563"/>
      <c r="AL89" s="1563"/>
      <c r="AM89" s="1563"/>
      <c r="AN89" s="1563"/>
      <c r="AO89" s="1563"/>
      <c r="AP89" s="1563"/>
      <c r="AQ89" s="1563"/>
      <c r="AR89" s="1563"/>
      <c r="AS89" s="1563"/>
      <c r="AT89" s="1563"/>
      <c r="AU89" s="1563"/>
      <c r="AV89" s="1563"/>
      <c r="AW89" s="1563"/>
      <c r="AX89" s="1563"/>
      <c r="AY89" s="1563"/>
      <c r="AZ89" s="1563"/>
      <c r="BA89" s="3">
        <v>1</v>
      </c>
    </row>
    <row r="90" spans="1:53">
      <c r="B90" s="5890"/>
      <c r="C90" s="1582"/>
      <c r="D90" s="2006"/>
      <c r="E90" s="1582"/>
      <c r="F90" s="2006"/>
      <c r="G90" s="1582"/>
      <c r="H90" s="1583"/>
      <c r="I90" s="1563"/>
      <c r="J90" s="1563"/>
      <c r="K90" s="1563"/>
      <c r="L90" s="1563"/>
      <c r="M90" s="1563"/>
      <c r="N90" s="1563"/>
      <c r="O90" s="1563"/>
      <c r="P90" s="1563"/>
      <c r="Q90" s="1563"/>
      <c r="R90" s="1563"/>
      <c r="S90" s="1563"/>
      <c r="T90" s="1563"/>
      <c r="U90" s="1563"/>
      <c r="V90" s="1563"/>
      <c r="W90" s="1563"/>
      <c r="X90" s="1563"/>
      <c r="Y90" s="1563"/>
      <c r="Z90" s="1563"/>
      <c r="AA90" s="1563"/>
      <c r="AB90" s="1563"/>
      <c r="AC90" s="1563"/>
      <c r="AD90" s="1563"/>
      <c r="AE90" s="1563"/>
      <c r="AF90" s="1563"/>
      <c r="AG90" s="1563"/>
      <c r="AH90" s="1563"/>
      <c r="AI90" s="1563"/>
      <c r="AJ90" s="1563"/>
      <c r="AK90" s="1563"/>
      <c r="AL90" s="1563"/>
      <c r="AM90" s="1563"/>
      <c r="AN90" s="1563"/>
      <c r="AO90" s="1563"/>
      <c r="AP90" s="1563"/>
      <c r="AQ90" s="1563"/>
      <c r="AR90" s="1563"/>
      <c r="AS90" s="1563"/>
      <c r="AT90" s="1563"/>
      <c r="AU90" s="1563"/>
      <c r="AV90" s="1563"/>
      <c r="AW90" s="1563"/>
      <c r="AX90" s="1563"/>
      <c r="AY90" s="1563"/>
      <c r="AZ90" s="1563"/>
      <c r="BA90" s="3">
        <v>1</v>
      </c>
    </row>
    <row r="91" spans="1:53">
      <c r="B91" s="5890"/>
      <c r="C91" s="1582" t="s">
        <v>3475</v>
      </c>
      <c r="D91" s="2006"/>
      <c r="E91" s="1582"/>
      <c r="F91" s="2006"/>
      <c r="G91" s="1582"/>
      <c r="H91" s="1583"/>
      <c r="I91" s="1563"/>
      <c r="J91" s="1563"/>
      <c r="K91" s="1563"/>
      <c r="L91" s="1563"/>
      <c r="M91" s="1563"/>
      <c r="N91" s="1563"/>
      <c r="O91" s="1563"/>
      <c r="P91" s="1563"/>
      <c r="Q91" s="1563"/>
      <c r="R91" s="1563"/>
      <c r="S91" s="1563"/>
      <c r="T91" s="1563"/>
      <c r="U91" s="1563"/>
      <c r="V91" s="1563"/>
      <c r="W91" s="1563"/>
      <c r="X91" s="1563"/>
      <c r="Y91" s="1563"/>
      <c r="Z91" s="1563"/>
      <c r="AA91" s="1563"/>
      <c r="AB91" s="1563"/>
      <c r="AC91" s="1563"/>
      <c r="AD91" s="1563"/>
      <c r="AE91" s="1563"/>
      <c r="AF91" s="1563"/>
      <c r="AG91" s="1563"/>
      <c r="AH91" s="1563"/>
      <c r="AI91" s="1563"/>
      <c r="AJ91" s="1563"/>
      <c r="AK91" s="1563"/>
      <c r="AL91" s="1563"/>
      <c r="AM91" s="1563"/>
      <c r="AN91" s="1563"/>
      <c r="AO91" s="1563"/>
      <c r="AP91" s="1563"/>
      <c r="AQ91" s="1563"/>
      <c r="AR91" s="1563"/>
      <c r="AS91" s="1563"/>
      <c r="AT91" s="1563"/>
      <c r="AU91" s="1563"/>
      <c r="AV91" s="1563"/>
      <c r="AW91" s="1563"/>
      <c r="AX91" s="1563"/>
      <c r="AY91" s="1563"/>
      <c r="AZ91" s="1563"/>
      <c r="BA91" s="3">
        <v>1</v>
      </c>
    </row>
    <row r="92" spans="1:53">
      <c r="B92" s="5890"/>
      <c r="C92" s="1582"/>
      <c r="D92" s="2006" t="s">
        <v>3476</v>
      </c>
      <c r="E92" s="1582"/>
      <c r="F92" s="2006"/>
      <c r="G92" s="1582"/>
      <c r="H92" s="1583" t="s">
        <v>22</v>
      </c>
      <c r="I92" s="1563"/>
      <c r="J92" s="1563"/>
      <c r="K92" s="1563"/>
      <c r="L92" s="1563"/>
      <c r="M92" s="1563"/>
      <c r="N92" s="1563"/>
      <c r="O92" s="1563"/>
      <c r="P92" s="1563"/>
      <c r="Q92" s="1563"/>
      <c r="R92" s="1563"/>
      <c r="S92" s="1563"/>
      <c r="T92" s="1563"/>
      <c r="U92" s="1563"/>
      <c r="V92" s="1563"/>
      <c r="W92" s="1563"/>
      <c r="X92" s="1563"/>
      <c r="Y92" s="1563"/>
      <c r="Z92" s="1563"/>
      <c r="AA92" s="1563"/>
      <c r="AB92" s="1563"/>
      <c r="AC92" s="1563"/>
      <c r="AD92" s="1563"/>
      <c r="AE92" s="1563"/>
      <c r="AF92" s="1563"/>
      <c r="AG92" s="1563"/>
      <c r="AH92" s="1563"/>
      <c r="AI92" s="1563"/>
      <c r="AJ92" s="1563"/>
      <c r="AK92" s="1563"/>
      <c r="AL92" s="1563"/>
      <c r="AM92" s="1563"/>
      <c r="AN92" s="1563"/>
      <c r="AO92" s="1563"/>
      <c r="AP92" s="1563"/>
      <c r="AQ92" s="1563"/>
      <c r="AR92" s="1563"/>
      <c r="AS92" s="1563"/>
      <c r="AT92" s="1563"/>
      <c r="AU92" s="1563"/>
      <c r="AV92" s="1563"/>
      <c r="AW92" s="1563"/>
      <c r="AX92" s="1563"/>
      <c r="AY92" s="1563"/>
      <c r="AZ92" s="1563"/>
      <c r="BA92" s="3">
        <v>1</v>
      </c>
    </row>
    <row r="93" spans="1:53" ht="16.5" thickBot="1">
      <c r="B93" s="5891"/>
      <c r="C93" s="1666"/>
      <c r="D93" s="1666"/>
      <c r="E93" s="1666"/>
      <c r="F93" s="1666"/>
      <c r="G93" s="1666"/>
      <c r="H93" s="1667"/>
      <c r="I93" s="1563"/>
      <c r="J93" s="1563"/>
      <c r="K93" s="1563"/>
      <c r="L93" s="1563"/>
      <c r="M93" s="1563"/>
      <c r="N93" s="1563"/>
      <c r="O93" s="1563"/>
      <c r="P93" s="1563"/>
      <c r="Q93" s="1563"/>
      <c r="R93" s="1563"/>
      <c r="S93" s="1563"/>
      <c r="T93" s="1563"/>
      <c r="U93" s="1563"/>
      <c r="V93" s="1563"/>
      <c r="W93" s="1563"/>
      <c r="X93" s="1563"/>
      <c r="Y93" s="1563"/>
      <c r="Z93" s="1563"/>
      <c r="AA93" s="1563"/>
      <c r="AB93" s="1563"/>
      <c r="AC93" s="1563"/>
      <c r="AD93" s="1563"/>
      <c r="AE93" s="1563"/>
      <c r="AF93" s="1563"/>
      <c r="AG93" s="1563"/>
      <c r="AH93" s="1563"/>
      <c r="AI93" s="1563"/>
      <c r="AJ93" s="1563"/>
      <c r="AK93" s="1563"/>
      <c r="AL93" s="1563"/>
      <c r="AM93" s="1563"/>
      <c r="AN93" s="1563"/>
      <c r="AO93" s="1563"/>
      <c r="AP93" s="1563"/>
      <c r="AQ93" s="1563"/>
      <c r="AR93" s="1563"/>
      <c r="AS93" s="1563"/>
      <c r="AT93" s="1563"/>
      <c r="AU93" s="1563"/>
      <c r="AV93" s="1563"/>
      <c r="AW93" s="1563"/>
      <c r="AX93" s="1563"/>
      <c r="AY93" s="1563"/>
      <c r="AZ93" s="1563"/>
      <c r="BA93" s="3">
        <v>1</v>
      </c>
    </row>
    <row r="94" spans="1:53" ht="23.25">
      <c r="A94" s="1563">
        <v>1</v>
      </c>
      <c r="B94" s="1563"/>
      <c r="C94" s="1567"/>
      <c r="D94" s="1567"/>
      <c r="E94" s="1567"/>
      <c r="F94" s="1567"/>
      <c r="G94" s="1567"/>
      <c r="H94" s="1668"/>
      <c r="I94" s="1668"/>
      <c r="J94" s="2007" t="s">
        <v>3477</v>
      </c>
      <c r="K94" s="1563"/>
      <c r="L94" s="1563"/>
      <c r="M94" s="1563"/>
      <c r="N94" s="1563"/>
      <c r="O94" s="1669" t="s">
        <v>3478</v>
      </c>
      <c r="P94" s="1670"/>
      <c r="Q94" s="1670"/>
      <c r="R94" s="1563"/>
      <c r="S94" s="1563">
        <v>1</v>
      </c>
      <c r="T94" s="1563"/>
      <c r="U94" s="1563"/>
      <c r="V94" s="1563"/>
      <c r="W94" s="1563"/>
      <c r="X94" s="1563"/>
      <c r="Y94" s="1563"/>
      <c r="Z94" s="1563"/>
      <c r="AA94" s="1563"/>
      <c r="AB94" s="1563"/>
      <c r="AC94" s="1563"/>
      <c r="AD94" s="1563"/>
      <c r="AE94" s="1563"/>
      <c r="AF94" s="1563"/>
      <c r="AG94" s="1563"/>
      <c r="AH94" s="1563"/>
      <c r="AI94" s="1563"/>
      <c r="AJ94" s="1563"/>
      <c r="AK94" s="1563"/>
      <c r="AL94" s="1563"/>
      <c r="AM94" s="1563"/>
      <c r="AN94" s="1563"/>
      <c r="AO94" s="1563"/>
      <c r="AP94" s="1563"/>
      <c r="AQ94" s="1563"/>
      <c r="AR94" s="1563"/>
      <c r="AS94" s="1563"/>
      <c r="AT94" s="1563"/>
      <c r="AU94" s="1563"/>
      <c r="AV94" s="1563"/>
      <c r="AW94" s="1563"/>
      <c r="AX94" s="1563"/>
      <c r="AY94" s="1563"/>
      <c r="AZ94" s="1563"/>
      <c r="BA94" s="3">
        <v>1</v>
      </c>
    </row>
    <row r="95" spans="1:53" ht="18.75">
      <c r="A95" s="1563">
        <v>1</v>
      </c>
      <c r="B95" s="1563"/>
      <c r="C95" s="1576" t="s">
        <v>3479</v>
      </c>
      <c r="D95" s="1567"/>
      <c r="E95" s="1567"/>
      <c r="F95" s="1567"/>
      <c r="G95" s="1567"/>
      <c r="H95" s="1567"/>
      <c r="I95" s="1567"/>
      <c r="J95" s="2007" t="s">
        <v>3480</v>
      </c>
      <c r="K95" s="1563"/>
      <c r="L95" s="1563"/>
      <c r="M95" s="1563"/>
      <c r="N95" s="1563"/>
      <c r="O95" s="5960" t="s">
        <v>3481</v>
      </c>
      <c r="P95" s="5961" t="s">
        <v>3482</v>
      </c>
      <c r="Q95" s="1563"/>
      <c r="R95" s="1563"/>
      <c r="S95" s="1563"/>
      <c r="T95" s="1563"/>
      <c r="U95" s="1563"/>
      <c r="V95" s="1563"/>
      <c r="W95" s="1563"/>
      <c r="X95" s="1563"/>
      <c r="Y95" s="1563"/>
      <c r="Z95" s="1563"/>
      <c r="AA95" s="1563"/>
      <c r="AB95" s="1563"/>
      <c r="AC95" s="1563"/>
      <c r="AD95" s="1563"/>
      <c r="AE95" s="1563"/>
      <c r="AF95" s="1563"/>
      <c r="AG95" s="1563"/>
      <c r="AH95" s="1563"/>
      <c r="AI95" s="1563"/>
      <c r="AJ95" s="1563"/>
      <c r="AK95" s="1563"/>
      <c r="AL95" s="1563"/>
      <c r="AM95" s="1563"/>
      <c r="AN95" s="1563"/>
      <c r="AO95" s="1563"/>
      <c r="AP95" s="1563"/>
      <c r="AQ95" s="1563"/>
      <c r="AR95" s="1563"/>
      <c r="AS95" s="1563"/>
      <c r="AT95" s="1563"/>
      <c r="AU95" s="1563"/>
      <c r="AV95" s="1563"/>
      <c r="AW95" s="1563"/>
      <c r="AX95" s="1563"/>
      <c r="AY95" s="1563"/>
      <c r="AZ95" s="1563"/>
      <c r="BA95" s="3">
        <v>1</v>
      </c>
    </row>
    <row r="96" spans="1:53">
      <c r="A96" s="1563">
        <v>1</v>
      </c>
      <c r="B96" s="1563"/>
      <c r="C96" s="1567" t="s">
        <v>3483</v>
      </c>
      <c r="D96" s="1567"/>
      <c r="E96" s="1567"/>
      <c r="F96" s="1567"/>
      <c r="G96" s="1567"/>
      <c r="H96" s="1671" t="s">
        <v>3484</v>
      </c>
      <c r="I96" s="1672">
        <f>IF(H97=D123,E106/(100-F107)*100)</f>
        <v>2.5</v>
      </c>
      <c r="J96" s="1640" t="str">
        <f ca="1">_xlfn.FORMULATEXT(I96)</f>
        <v>=SI(H97=D123;E106/(100-F107)*100)</v>
      </c>
      <c r="K96" s="1586"/>
      <c r="L96" s="1563">
        <v>1</v>
      </c>
      <c r="M96" s="1563">
        <v>1</v>
      </c>
      <c r="N96" s="1563"/>
      <c r="O96" s="5960"/>
      <c r="P96" s="5961"/>
      <c r="Q96" s="1563"/>
      <c r="R96" s="1563"/>
      <c r="S96" s="1563"/>
      <c r="T96" s="1563"/>
      <c r="U96" s="1563"/>
      <c r="V96" s="1563"/>
      <c r="W96" s="1563"/>
      <c r="X96" s="1563"/>
      <c r="Y96" s="1563"/>
      <c r="Z96" s="1563"/>
      <c r="AA96" s="1563"/>
      <c r="AB96" s="1563"/>
      <c r="AC96" s="1563"/>
      <c r="AD96" s="1563"/>
      <c r="AE96" s="1563"/>
      <c r="AF96" s="1563"/>
      <c r="AG96" s="1563"/>
      <c r="AH96" s="1563"/>
      <c r="AI96" s="1563"/>
      <c r="AJ96" s="1563"/>
      <c r="AK96" s="1563"/>
      <c r="AL96" s="1563"/>
      <c r="AM96" s="1563"/>
      <c r="AN96" s="1563"/>
      <c r="AO96" s="1563"/>
      <c r="AP96" s="1563"/>
      <c r="AQ96" s="1563"/>
      <c r="AR96" s="1563"/>
      <c r="AS96" s="1563"/>
      <c r="AT96" s="1563"/>
      <c r="AU96" s="1563"/>
      <c r="AV96" s="1563"/>
      <c r="AW96" s="1563"/>
      <c r="AX96" s="1563"/>
      <c r="AY96" s="1563"/>
      <c r="AZ96" s="1563"/>
      <c r="BA96" s="3">
        <v>1</v>
      </c>
    </row>
    <row r="97" spans="1:53">
      <c r="A97" s="1563">
        <v>1</v>
      </c>
      <c r="B97" s="1563"/>
      <c r="C97" s="1567" t="s">
        <v>3485</v>
      </c>
      <c r="D97" s="1567"/>
      <c r="E97" s="1567"/>
      <c r="F97" s="1567"/>
      <c r="G97" s="1567"/>
      <c r="H97" s="1673" t="s">
        <v>3486</v>
      </c>
      <c r="I97" s="1672">
        <f>IF(H106=D123,E106-(E106*F107%))</f>
        <v>0.625</v>
      </c>
      <c r="J97" s="1640" t="str">
        <f ca="1">_xlfn.FORMULATEXT(I97)</f>
        <v>=SI(H106=D123;E106-(E106*F107%))</v>
      </c>
      <c r="K97" s="1586"/>
      <c r="L97" s="1563">
        <v>1</v>
      </c>
      <c r="M97" s="1563">
        <v>1</v>
      </c>
      <c r="N97" s="1563"/>
      <c r="O97" s="1563">
        <v>1</v>
      </c>
      <c r="P97" s="1563"/>
      <c r="Q97" s="1563"/>
      <c r="R97" s="1563"/>
      <c r="S97" s="1563"/>
      <c r="T97" s="1563"/>
      <c r="U97" s="1563"/>
      <c r="V97" s="1563"/>
      <c r="W97" s="1563"/>
      <c r="X97" s="1563"/>
      <c r="Y97" s="1563"/>
      <c r="Z97" s="1563"/>
      <c r="AA97" s="1563"/>
      <c r="AB97" s="1563"/>
      <c r="AC97" s="1563"/>
      <c r="AD97" s="1563"/>
      <c r="AE97" s="1563"/>
      <c r="AF97" s="1563"/>
      <c r="AG97" s="1563"/>
      <c r="AH97" s="1563"/>
      <c r="AI97" s="1563"/>
      <c r="AJ97" s="1563"/>
      <c r="AK97" s="1563"/>
      <c r="AL97" s="1563"/>
      <c r="AM97" s="1563"/>
      <c r="AN97" s="1563"/>
      <c r="AO97" s="1563"/>
      <c r="AP97" s="1563"/>
      <c r="AQ97" s="1563"/>
      <c r="AR97" s="1563"/>
      <c r="AS97" s="1563"/>
      <c r="AT97" s="1563"/>
      <c r="AU97" s="1563"/>
      <c r="AV97" s="1563"/>
      <c r="AW97" s="1563"/>
      <c r="AX97" s="1563"/>
      <c r="AY97" s="1563"/>
      <c r="AZ97" s="1563"/>
      <c r="BA97" s="3">
        <v>1</v>
      </c>
    </row>
    <row r="98" spans="1:53" ht="16.5" thickBot="1">
      <c r="A98" s="1563">
        <v>1</v>
      </c>
      <c r="B98" s="1563"/>
      <c r="C98" s="1563">
        <v>1</v>
      </c>
      <c r="D98" s="1563">
        <v>1</v>
      </c>
      <c r="E98" s="1563">
        <v>1</v>
      </c>
      <c r="F98" s="1563">
        <v>1</v>
      </c>
      <c r="G98" s="1563">
        <v>1</v>
      </c>
      <c r="H98" s="1563">
        <v>1</v>
      </c>
      <c r="I98" s="1563">
        <v>1</v>
      </c>
      <c r="J98" s="1674"/>
      <c r="K98" s="1563"/>
      <c r="L98" s="1563">
        <v>1</v>
      </c>
      <c r="M98" s="1563">
        <v>1</v>
      </c>
      <c r="N98" s="1563"/>
      <c r="O98" s="5962" t="s">
        <v>3487</v>
      </c>
      <c r="P98" s="1563"/>
      <c r="Q98" s="1563"/>
      <c r="R98" s="1563"/>
      <c r="S98" s="1563"/>
      <c r="T98" s="1563"/>
      <c r="U98" s="1563"/>
      <c r="V98" s="1563"/>
      <c r="W98" s="1563"/>
      <c r="X98" s="1563"/>
      <c r="Y98" s="1563"/>
      <c r="Z98" s="1563"/>
      <c r="AA98" s="1563"/>
      <c r="AB98" s="1563"/>
      <c r="AC98" s="1563"/>
      <c r="AD98" s="1563"/>
      <c r="AE98" s="1563"/>
      <c r="AF98" s="1563"/>
      <c r="AG98" s="1563"/>
      <c r="AH98" s="1563"/>
      <c r="AI98" s="1563"/>
      <c r="AJ98" s="1563"/>
      <c r="AK98" s="1563"/>
      <c r="AL98" s="1563"/>
      <c r="AM98" s="1563"/>
      <c r="AN98" s="1563"/>
      <c r="AO98" s="1563"/>
      <c r="AP98" s="1563"/>
      <c r="AQ98" s="1563"/>
      <c r="AR98" s="1563"/>
      <c r="AS98" s="1563"/>
      <c r="AT98" s="1563"/>
      <c r="AU98" s="1563"/>
      <c r="AV98" s="1563"/>
      <c r="AW98" s="1563"/>
      <c r="AX98" s="1563"/>
      <c r="AY98" s="1563"/>
      <c r="AZ98" s="1563"/>
      <c r="BA98" s="3">
        <v>1</v>
      </c>
    </row>
    <row r="99" spans="1:53" ht="23.25">
      <c r="A99" s="1563">
        <v>1</v>
      </c>
      <c r="B99" s="5886" t="s">
        <v>167</v>
      </c>
      <c r="C99" s="5906" t="s">
        <v>3488</v>
      </c>
      <c r="D99" s="5906"/>
      <c r="E99" s="5906"/>
      <c r="F99" s="5906"/>
      <c r="G99" s="1675"/>
      <c r="H99" s="1676" t="str">
        <f>E107</f>
        <v>❻ %  de PERTE &gt;</v>
      </c>
      <c r="I99" s="1677" t="str">
        <f>_xlfn.UNICHAR(128269)&amp;"Cliquez sur les loupes"</f>
        <v>🔍Cliquez sur les loupes</v>
      </c>
      <c r="J99" s="1670"/>
      <c r="K99" s="2008" t="s">
        <v>3401</v>
      </c>
      <c r="L99" s="1586"/>
      <c r="M99" s="1586"/>
      <c r="N99" s="1586"/>
      <c r="O99" s="5962"/>
      <c r="P99" s="1563"/>
      <c r="Q99" s="1563"/>
      <c r="R99" s="1563"/>
      <c r="S99" s="1563"/>
      <c r="T99" s="1563"/>
      <c r="U99" s="1563"/>
      <c r="V99" s="1563"/>
      <c r="W99" s="1563"/>
      <c r="X99" s="1563"/>
      <c r="Y99" s="1563"/>
      <c r="Z99" s="1563"/>
      <c r="AA99" s="1563"/>
      <c r="AB99" s="1563"/>
      <c r="AC99" s="1563"/>
      <c r="AD99" s="1563"/>
      <c r="AE99" s="1563"/>
      <c r="AF99" s="1563"/>
      <c r="AG99" s="1563"/>
      <c r="AH99" s="1563"/>
      <c r="AI99" s="1563"/>
      <c r="AJ99" s="1563"/>
      <c r="AK99" s="1563"/>
      <c r="AL99" s="1563"/>
      <c r="AM99" s="1563"/>
      <c r="AN99" s="1563"/>
      <c r="AO99" s="1563"/>
      <c r="AP99" s="1563"/>
      <c r="AQ99" s="1563"/>
      <c r="AR99" s="1563"/>
      <c r="AS99" s="1563"/>
      <c r="AT99" s="1563"/>
      <c r="AU99" s="1563"/>
      <c r="AV99" s="1563"/>
      <c r="AW99" s="1563"/>
      <c r="AX99" s="1563"/>
      <c r="AY99" s="1563"/>
      <c r="AZ99" s="1563"/>
      <c r="BA99" s="3">
        <v>1</v>
      </c>
    </row>
    <row r="100" spans="1:53">
      <c r="A100" s="1563">
        <v>1</v>
      </c>
      <c r="B100" s="5887"/>
      <c r="C100" s="1678"/>
      <c r="D100" s="1678"/>
      <c r="E100" s="1679"/>
      <c r="F100" s="1680" t="s">
        <v>3489</v>
      </c>
      <c r="G100" s="1681" t="str">
        <f>IF(F106=D122,"CRU- Brut ou à cuire","CUIT - Net à servir")</f>
        <v>CRU- Brut ou à cuire</v>
      </c>
      <c r="H100" s="1682"/>
      <c r="I100" s="2009" t="str">
        <f>HYPERLINK("#"&amp;ADDRESS(ROW(G100),COLUMN(G100),4),_xlfn.UNICHAR(128269)&amp;"cellule "&amp;ADDRESS(ROW(G100),COLUMN(G100),4))</f>
        <v>🔍cellule G100</v>
      </c>
      <c r="J100" s="1683" t="str">
        <f>G100</f>
        <v>CRU- Brut ou à cuire</v>
      </c>
      <c r="K100" s="1640" t="str">
        <f ca="1">_xlfn.FORMULATEXT(G100)</f>
        <v>=SI(F106=D122;"CRU- Brut ou à cuire";"CUIT - Net à servir")</v>
      </c>
      <c r="L100" s="1586"/>
      <c r="M100" s="1586"/>
      <c r="N100" s="1586"/>
      <c r="O100" s="1563"/>
      <c r="P100" s="1563"/>
      <c r="Q100" s="1563"/>
      <c r="R100" s="1563"/>
      <c r="S100" s="1563"/>
      <c r="T100" s="1563"/>
      <c r="U100" s="1563"/>
      <c r="V100" s="1563"/>
      <c r="W100" s="1563"/>
      <c r="X100" s="1563"/>
      <c r="Y100" s="1563"/>
      <c r="Z100" s="1563"/>
      <c r="AA100" s="1563"/>
      <c r="AB100" s="1563"/>
      <c r="AC100" s="1563"/>
      <c r="AD100" s="1563"/>
      <c r="AE100" s="1563"/>
      <c r="AF100" s="1563"/>
      <c r="AG100" s="1563"/>
      <c r="AH100" s="1563"/>
      <c r="AI100" s="1563"/>
      <c r="AJ100" s="1563"/>
      <c r="AK100" s="1563"/>
      <c r="AL100" s="1563"/>
      <c r="AM100" s="1563"/>
      <c r="AN100" s="1563"/>
      <c r="AO100" s="1563"/>
      <c r="AP100" s="1563"/>
      <c r="AQ100" s="1563"/>
      <c r="AR100" s="1563"/>
      <c r="AS100" s="1563"/>
      <c r="AT100" s="1563"/>
      <c r="AU100" s="1563"/>
      <c r="AV100" s="1563"/>
      <c r="AW100" s="1563"/>
      <c r="AX100" s="1563"/>
      <c r="AY100" s="1563"/>
      <c r="AZ100" s="1563"/>
      <c r="BA100" s="3">
        <v>1</v>
      </c>
    </row>
    <row r="101" spans="1:53" ht="23.25">
      <c r="A101" s="1563">
        <v>1</v>
      </c>
      <c r="B101" s="5907">
        <v>3</v>
      </c>
      <c r="C101" s="5909" t="str">
        <f>D103</f>
        <v>Sautés en morceaux service au poids</v>
      </c>
      <c r="D101" s="5909"/>
      <c r="E101" s="5909"/>
      <c r="F101" s="5909"/>
      <c r="G101" s="5909"/>
      <c r="H101" s="5910"/>
      <c r="I101" s="2009" t="str">
        <f>HYPERLINK("#"&amp;ADDRESS(ROW(E102),COLUMN(E102),4),_xlfn.UNICHAR(128269)&amp;"cellule "&amp;ADDRESS(ROW(E102),COLUMN(E102),4))</f>
        <v>🔍cellule E102</v>
      </c>
      <c r="J101" s="1684">
        <f>E102</f>
        <v>46</v>
      </c>
      <c r="K101" s="1640" t="str">
        <f ca="1">_xlfn.FORMULATEXT(E102)</f>
        <v>=ENT(E112/E106)</v>
      </c>
      <c r="L101" s="1586"/>
      <c r="M101" s="1586"/>
      <c r="N101" s="1586"/>
      <c r="O101" s="1563"/>
      <c r="P101" s="1563"/>
      <c r="Q101" s="1563"/>
      <c r="R101" s="1563"/>
      <c r="S101" s="1563"/>
      <c r="T101" s="1563"/>
      <c r="U101" s="1563"/>
      <c r="V101" s="1563"/>
      <c r="W101" s="1563"/>
      <c r="X101" s="1563"/>
      <c r="Y101" s="1563"/>
      <c r="Z101" s="1563"/>
      <c r="AA101" s="1563"/>
      <c r="AB101" s="1563"/>
      <c r="AC101" s="1563"/>
      <c r="AD101" s="1563"/>
      <c r="AE101" s="1563"/>
      <c r="AF101" s="1563"/>
      <c r="AG101" s="1563"/>
      <c r="AH101" s="1563"/>
      <c r="AI101" s="1563"/>
      <c r="AJ101" s="1563"/>
      <c r="AK101" s="1563"/>
      <c r="AL101" s="1563"/>
      <c r="AM101" s="1563"/>
      <c r="AN101" s="1563"/>
      <c r="AO101" s="1563"/>
      <c r="AP101" s="1563"/>
      <c r="AQ101" s="1563"/>
      <c r="AR101" s="1563"/>
      <c r="AS101" s="1563"/>
      <c r="AT101" s="1563"/>
      <c r="AU101" s="1563"/>
      <c r="AV101" s="1563"/>
      <c r="AW101" s="1563"/>
      <c r="AX101" s="1563"/>
      <c r="AY101" s="1563"/>
      <c r="AZ101" s="1563"/>
      <c r="BA101" s="3">
        <v>1</v>
      </c>
    </row>
    <row r="102" spans="1:53">
      <c r="A102" s="1563">
        <v>1</v>
      </c>
      <c r="B102" s="5907"/>
      <c r="C102" s="1685"/>
      <c r="D102" s="1686" t="s">
        <v>3490</v>
      </c>
      <c r="E102" s="1687">
        <f>INT(E112/E106)</f>
        <v>46</v>
      </c>
      <c r="F102" s="1688">
        <f>IF(E102=0,0,IF(E113=0,0,E106))</f>
        <v>1.25</v>
      </c>
      <c r="G102" s="1689" t="str">
        <f>IF(F102*E102=0,"1 de",IF(E112=0,0,IF(E106=0,0,IF(F102*E102=E112,"",IF(H102&gt;0,"Plus 1 de")))))</f>
        <v>Plus 1 de</v>
      </c>
      <c r="H102" s="1690">
        <f>IF(E106=0,0,IF(F102*E102=E112,"",MOD(E112,E106)))</f>
        <v>0.10000000000000142</v>
      </c>
      <c r="I102" s="2009" t="str">
        <f>HYPERLINK("#"&amp;ADDRESS(ROW(F102),COLUMN(F102),4),_xlfn.UNICHAR(128269)&amp;"cellule "&amp;ADDRESS(ROW(F102),COLUMN(F102),4))</f>
        <v>🔍cellule F102</v>
      </c>
      <c r="J102" s="1691">
        <f>F102</f>
        <v>1.25</v>
      </c>
      <c r="K102" s="1640" t="str">
        <f ca="1">_xlfn.FORMULATEXT(F102)</f>
        <v>=SI(E102=0;0;SI(E113=0;0;E106))</v>
      </c>
      <c r="L102" s="1586"/>
      <c r="M102" s="1586"/>
      <c r="N102" s="1586"/>
      <c r="O102" s="1586"/>
      <c r="P102" s="1586"/>
      <c r="Q102" s="1563"/>
      <c r="R102" s="1563"/>
      <c r="S102" s="1563"/>
      <c r="T102" s="1563"/>
      <c r="U102" s="1563"/>
      <c r="V102" s="1563"/>
      <c r="W102" s="1563"/>
      <c r="X102" s="1563"/>
      <c r="Y102" s="1563"/>
      <c r="Z102" s="1563"/>
      <c r="AA102" s="1563"/>
      <c r="AB102" s="1563"/>
      <c r="AC102" s="1563"/>
      <c r="AD102" s="1563"/>
      <c r="AE102" s="1563"/>
      <c r="AF102" s="1563"/>
      <c r="AG102" s="1563"/>
      <c r="AH102" s="1563"/>
      <c r="AI102" s="1563"/>
      <c r="AJ102" s="1563"/>
      <c r="AK102" s="1563"/>
      <c r="AL102" s="1563"/>
      <c r="AM102" s="1563"/>
      <c r="AN102" s="1563"/>
      <c r="AO102" s="1563"/>
      <c r="AP102" s="1563"/>
      <c r="AQ102" s="1563"/>
      <c r="AR102" s="1563"/>
      <c r="AS102" s="1563"/>
      <c r="AT102" s="1563"/>
      <c r="AU102" s="1563"/>
      <c r="AV102" s="1563"/>
      <c r="AW102" s="1563"/>
      <c r="AX102" s="1563"/>
      <c r="AY102" s="1563"/>
      <c r="AZ102" s="1563"/>
      <c r="BA102" s="3">
        <v>1</v>
      </c>
    </row>
    <row r="103" spans="1:53" ht="18.75">
      <c r="A103" s="1563">
        <v>1</v>
      </c>
      <c r="B103" s="5907"/>
      <c r="C103" s="1692" t="s">
        <v>3491</v>
      </c>
      <c r="D103" s="1693" t="s">
        <v>3492</v>
      </c>
      <c r="E103" s="1694"/>
      <c r="F103" s="1586"/>
      <c r="G103" s="1586"/>
      <c r="H103" s="1695"/>
      <c r="I103" s="2009" t="str">
        <f>HYPERLINK("#"&amp;ADDRESS(ROW(G102),COLUMN(G102),4),_xlfn.UNICHAR(128269)&amp;"cellule "&amp;ADDRESS(ROW(G102),COLUMN(G102),4))</f>
        <v>🔍cellule G102</v>
      </c>
      <c r="J103" s="1696" t="str">
        <f>HYPERLINK("# G31",G102)</f>
        <v>Plus 1 de</v>
      </c>
      <c r="K103" s="1640" t="str">
        <f ca="1">_xlfn.FORMULATEXT(G102)</f>
        <v>=SI(F102*E102=0;"1 de";SI(E112=0;0;SI(E106=0;0;SI(F102*E102=E112;"";SI(H102&gt;0;"Plus 1 de")))))</v>
      </c>
      <c r="L103" s="1586"/>
      <c r="M103" s="1586"/>
      <c r="N103" s="1586"/>
      <c r="O103" s="1586"/>
      <c r="P103" s="1586"/>
      <c r="Q103" s="1563"/>
      <c r="R103" s="1563"/>
      <c r="S103" s="1563"/>
      <c r="T103" s="1563"/>
      <c r="U103" s="1563"/>
      <c r="V103" s="1563"/>
      <c r="W103" s="1563"/>
      <c r="X103" s="1563"/>
      <c r="Y103" s="1563"/>
      <c r="Z103" s="1563"/>
      <c r="AA103" s="1563"/>
      <c r="AB103" s="1563"/>
      <c r="AC103" s="1563"/>
      <c r="AD103" s="1563"/>
      <c r="AE103" s="1563"/>
      <c r="AF103" s="1563"/>
      <c r="AG103" s="1563"/>
      <c r="AH103" s="1563"/>
      <c r="AI103" s="1563"/>
      <c r="AJ103" s="1563"/>
      <c r="AK103" s="1563"/>
      <c r="AL103" s="1563"/>
      <c r="AM103" s="1563"/>
      <c r="AN103" s="1563"/>
      <c r="AO103" s="1563"/>
      <c r="AP103" s="1563"/>
      <c r="AQ103" s="1563"/>
      <c r="AR103" s="1563"/>
      <c r="AS103" s="1563"/>
      <c r="AT103" s="1563"/>
      <c r="AU103" s="1563"/>
      <c r="AV103" s="1563"/>
      <c r="AW103" s="1563"/>
      <c r="AX103" s="1563"/>
      <c r="AY103" s="1563"/>
      <c r="AZ103" s="1563"/>
      <c r="BA103" s="3">
        <v>1</v>
      </c>
    </row>
    <row r="104" spans="1:53">
      <c r="A104" s="1563">
        <v>1</v>
      </c>
      <c r="B104" s="5907"/>
      <c r="C104" s="1586"/>
      <c r="D104" s="1586"/>
      <c r="E104" s="1697" t="s">
        <v>3493</v>
      </c>
      <c r="F104" s="5911" t="s">
        <v>3494</v>
      </c>
      <c r="G104" s="5911"/>
      <c r="H104" s="5912"/>
      <c r="I104" s="2009" t="str">
        <f>HYPERLINK("#"&amp;ADDRESS(ROW(H102),COLUMN(H102),4),_xlfn.UNICHAR(128269)&amp;"cellule "&amp;ADDRESS(ROW(H102),COLUMN(H102),4))</f>
        <v>🔍cellule H102</v>
      </c>
      <c r="J104" s="1698">
        <f>H102</f>
        <v>0.10000000000000142</v>
      </c>
      <c r="K104" s="1640" t="str">
        <f ca="1">_xlfn.FORMULATEXT(H102)</f>
        <v>=SI(E106=0;0;SI(F102*E102=E112;"";MOD(E112;E106)))</v>
      </c>
      <c r="L104" s="1586"/>
      <c r="M104" s="1586"/>
      <c r="N104" s="1586"/>
      <c r="O104" s="1586"/>
      <c r="P104" s="1586"/>
      <c r="Q104" s="1563"/>
      <c r="R104" s="1563"/>
      <c r="S104" s="1563"/>
      <c r="T104" s="1563"/>
      <c r="U104" s="1563"/>
      <c r="V104" s="1563"/>
      <c r="W104" s="1563"/>
      <c r="X104" s="1563"/>
      <c r="Y104" s="1563"/>
      <c r="Z104" s="1563"/>
      <c r="AA104" s="1563"/>
      <c r="AB104" s="1563"/>
      <c r="AC104" s="1563"/>
      <c r="AD104" s="1563"/>
      <c r="AE104" s="1563"/>
      <c r="AF104" s="1563"/>
      <c r="AG104" s="1563"/>
      <c r="AH104" s="1563"/>
      <c r="AI104" s="1563"/>
      <c r="AJ104" s="1563"/>
      <c r="AK104" s="1563"/>
      <c r="AL104" s="1563"/>
      <c r="AM104" s="1563"/>
      <c r="AN104" s="1563"/>
      <c r="AO104" s="1563"/>
      <c r="AP104" s="1563"/>
      <c r="AQ104" s="1563"/>
      <c r="AR104" s="1563"/>
      <c r="AS104" s="1563"/>
      <c r="AT104" s="1563"/>
      <c r="AU104" s="1563"/>
      <c r="AV104" s="1563"/>
      <c r="AW104" s="1563"/>
      <c r="AX104" s="1563"/>
      <c r="AY104" s="1563"/>
      <c r="AZ104" s="1563"/>
      <c r="BA104" s="3">
        <v>1</v>
      </c>
    </row>
    <row r="105" spans="1:53">
      <c r="A105" s="1563">
        <v>1</v>
      </c>
      <c r="B105" s="5907"/>
      <c r="C105" s="1586"/>
      <c r="D105" s="1699"/>
      <c r="E105" s="1700"/>
      <c r="F105" s="1701" t="s">
        <v>3495</v>
      </c>
      <c r="G105" s="1699"/>
      <c r="H105" s="1695"/>
      <c r="I105" s="1582"/>
      <c r="J105" s="1702"/>
      <c r="K105" s="1586"/>
      <c r="L105" s="1586"/>
      <c r="M105" s="1586"/>
      <c r="N105" s="1586"/>
      <c r="O105" s="1586"/>
      <c r="P105" s="1586"/>
      <c r="Q105" s="1563"/>
      <c r="R105" s="1563"/>
      <c r="S105" s="1563"/>
      <c r="T105" s="1563"/>
      <c r="U105" s="1563"/>
      <c r="V105" s="1563"/>
      <c r="W105" s="1563"/>
      <c r="X105" s="1563"/>
      <c r="Y105" s="1563"/>
      <c r="Z105" s="1563"/>
      <c r="AA105" s="1563"/>
      <c r="AB105" s="1563"/>
      <c r="AC105" s="1563"/>
      <c r="AD105" s="1563"/>
      <c r="AE105" s="1563"/>
      <c r="AF105" s="1563"/>
      <c r="AG105" s="1563"/>
      <c r="AH105" s="1563"/>
      <c r="AI105" s="1563"/>
      <c r="AJ105" s="1563"/>
      <c r="AK105" s="1563"/>
      <c r="AL105" s="1563"/>
      <c r="AM105" s="1563"/>
      <c r="AN105" s="1563"/>
      <c r="AO105" s="1563"/>
      <c r="AP105" s="1563"/>
      <c r="AQ105" s="1563"/>
      <c r="AR105" s="1563"/>
      <c r="AS105" s="1563"/>
      <c r="AT105" s="1563"/>
      <c r="AU105" s="1563"/>
      <c r="AV105" s="1563"/>
      <c r="AW105" s="1563"/>
      <c r="AX105" s="1563"/>
      <c r="AY105" s="1563"/>
      <c r="AZ105" s="1563"/>
      <c r="BA105" s="3">
        <v>1</v>
      </c>
    </row>
    <row r="106" spans="1:53">
      <c r="A106" s="1563">
        <v>1</v>
      </c>
      <c r="B106" s="5907"/>
      <c r="C106" s="1703"/>
      <c r="D106" s="1704" t="s">
        <v>3496</v>
      </c>
      <c r="E106" s="1705">
        <v>1.25</v>
      </c>
      <c r="F106" s="2010" t="s">
        <v>3484</v>
      </c>
      <c r="G106" s="1706">
        <f>IF(F106=D122,E106-(E106*F107%),IF(F106=D123,E106/(100-F107)*100))</f>
        <v>0.625</v>
      </c>
      <c r="H106" s="1707" t="str">
        <f>H109</f>
        <v>❺ Kg cuit</v>
      </c>
      <c r="I106" s="2009" t="str">
        <f>HYPERLINK("#"&amp;ADDRESS(ROW(G106),COLUMN(G106),4),_xlfn.UNICHAR(128269)&amp;"cellule "&amp;ADDRESS(ROW(G106),COLUMN(G106),4))</f>
        <v>🔍cellule G106</v>
      </c>
      <c r="J106" s="1672">
        <f>G106</f>
        <v>0.625</v>
      </c>
      <c r="K106" s="1640" t="str">
        <f ca="1">_xlfn.FORMULATEXT(G106)</f>
        <v>=SI(F106=D122;E106-(E106*F107%);SI(F106=D123;E106/(100-F107)*100))</v>
      </c>
      <c r="L106" s="1586"/>
      <c r="M106" s="1586"/>
      <c r="N106" s="1586"/>
      <c r="O106" s="1586"/>
      <c r="P106" s="1586"/>
      <c r="Q106" s="1563"/>
      <c r="R106" s="1563"/>
      <c r="S106" s="1563"/>
      <c r="T106" s="1563"/>
      <c r="U106" s="1563"/>
      <c r="V106" s="1563"/>
      <c r="W106" s="1563"/>
      <c r="X106" s="1563"/>
      <c r="Y106" s="1563"/>
      <c r="Z106" s="1563"/>
      <c r="AA106" s="1563"/>
      <c r="AB106" s="1563"/>
      <c r="AC106" s="1563"/>
      <c r="AD106" s="1563"/>
      <c r="AE106" s="1563"/>
      <c r="AF106" s="1563"/>
      <c r="AG106" s="1563"/>
      <c r="AH106" s="1563"/>
      <c r="AI106" s="1563"/>
      <c r="AJ106" s="1563"/>
      <c r="AK106" s="1563"/>
      <c r="AL106" s="1563"/>
      <c r="AM106" s="1563"/>
      <c r="AN106" s="1563"/>
      <c r="AO106" s="1563"/>
      <c r="AP106" s="1563"/>
      <c r="AQ106" s="1563"/>
      <c r="AR106" s="1563"/>
      <c r="AS106" s="1563"/>
      <c r="AT106" s="1563"/>
      <c r="AU106" s="1563"/>
      <c r="AV106" s="1563"/>
      <c r="AW106" s="1563"/>
      <c r="AX106" s="1563"/>
      <c r="AY106" s="1563"/>
      <c r="AZ106" s="1563"/>
      <c r="BA106" s="3">
        <v>1</v>
      </c>
    </row>
    <row r="107" spans="1:53">
      <c r="A107" s="1563">
        <v>1</v>
      </c>
      <c r="B107" s="5907"/>
      <c r="C107" s="1586"/>
      <c r="D107" s="1670"/>
      <c r="E107" s="1708" t="str">
        <f>IF(F109=D123,"❻ % de BONI &gt;",IF(F109=D122,"❻ %  de PERTE &gt;",IF(ISBLANK(F107),0)))</f>
        <v>❻ %  de PERTE &gt;</v>
      </c>
      <c r="F107" s="1709">
        <v>50</v>
      </c>
      <c r="G107" s="1586"/>
      <c r="H107" s="1695"/>
      <c r="I107" s="2009" t="str">
        <f>HYPERLINK("#"&amp;ADDRESS(ROW(E107),COLUMN(E107),4),_xlfn.UNICHAR(128269)&amp;"cellule "&amp;ADDRESS(ROW(E107),COLUMN(E107),4))</f>
        <v>🔍cellule E107</v>
      </c>
      <c r="J107" s="1710" t="str">
        <f>E107</f>
        <v>❻ %  de PERTE &gt;</v>
      </c>
      <c r="K107" s="1640" t="str">
        <f ca="1">_xlfn.FORMULATEXT(E107)</f>
        <v>=SI(F109=D123;"❻ % de BONI &gt;";SI(F109=D122;"❻ %  de PERTE &gt;";SI(ESTVIDE(F107);0)))</v>
      </c>
      <c r="L107" s="1586"/>
      <c r="M107" s="1586"/>
      <c r="N107" s="1586"/>
      <c r="O107" s="1586"/>
      <c r="P107" s="1586"/>
      <c r="Q107" s="1563"/>
      <c r="R107" s="1563"/>
      <c r="S107" s="1563"/>
      <c r="T107" s="1563"/>
      <c r="U107" s="1563"/>
      <c r="V107" s="1563"/>
      <c r="W107" s="1563"/>
      <c r="X107" s="1563"/>
      <c r="Y107" s="1563"/>
      <c r="Z107" s="1563"/>
      <c r="AA107" s="1563"/>
      <c r="AB107" s="1563"/>
      <c r="AC107" s="1563"/>
      <c r="AD107" s="1563"/>
      <c r="AE107" s="1563"/>
      <c r="AF107" s="1563"/>
      <c r="AG107" s="1563"/>
      <c r="AH107" s="1563"/>
      <c r="AI107" s="1563"/>
      <c r="AJ107" s="1563"/>
      <c r="AK107" s="1563"/>
      <c r="AL107" s="1563"/>
      <c r="AM107" s="1563"/>
      <c r="AN107" s="1563"/>
      <c r="AO107" s="1563"/>
      <c r="AP107" s="1563"/>
      <c r="AQ107" s="1563"/>
      <c r="AR107" s="1563"/>
      <c r="AS107" s="1563"/>
      <c r="AT107" s="1563"/>
      <c r="AU107" s="1563"/>
      <c r="AV107" s="1563"/>
      <c r="AW107" s="1563"/>
      <c r="AX107" s="1563"/>
      <c r="AY107" s="1563"/>
      <c r="AZ107" s="1563"/>
      <c r="BA107" s="3">
        <v>1</v>
      </c>
    </row>
    <row r="108" spans="1:53">
      <c r="A108" s="1563">
        <v>1</v>
      </c>
      <c r="B108" s="5907"/>
      <c r="C108" s="1586"/>
      <c r="D108" s="1586"/>
      <c r="E108" s="1586"/>
      <c r="F108" s="1586"/>
      <c r="G108" s="1586"/>
      <c r="H108" s="1695"/>
      <c r="I108" s="1582"/>
      <c r="J108" s="1702"/>
      <c r="K108" s="1586"/>
      <c r="L108" s="1586"/>
      <c r="M108" s="1586"/>
      <c r="N108" s="1586"/>
      <c r="O108" s="1586"/>
      <c r="P108" s="1586"/>
      <c r="Q108" s="1563"/>
      <c r="R108" s="1563"/>
      <c r="S108" s="1563"/>
      <c r="T108" s="1563"/>
      <c r="U108" s="1563"/>
      <c r="V108" s="1563"/>
      <c r="W108" s="1563"/>
      <c r="X108" s="1563"/>
      <c r="Y108" s="1563"/>
      <c r="Z108" s="1563"/>
      <c r="AA108" s="1563"/>
      <c r="AB108" s="1563"/>
      <c r="AC108" s="1563"/>
      <c r="AD108" s="1563"/>
      <c r="AE108" s="1563"/>
      <c r="AF108" s="1563"/>
      <c r="AG108" s="1563"/>
      <c r="AH108" s="1563"/>
      <c r="AI108" s="1563"/>
      <c r="AJ108" s="1563"/>
      <c r="AK108" s="1563"/>
      <c r="AL108" s="1563"/>
      <c r="AM108" s="1563"/>
      <c r="AN108" s="1563"/>
      <c r="AO108" s="1563"/>
      <c r="AP108" s="1563"/>
      <c r="AQ108" s="1563"/>
      <c r="AR108" s="1563"/>
      <c r="AS108" s="1563"/>
      <c r="AT108" s="1563"/>
      <c r="AU108" s="1563"/>
      <c r="AV108" s="1563"/>
      <c r="AW108" s="1563"/>
      <c r="AX108" s="1563"/>
      <c r="AY108" s="1563"/>
      <c r="AZ108" s="1563"/>
      <c r="BA108" s="3">
        <v>1</v>
      </c>
    </row>
    <row r="109" spans="1:53">
      <c r="A109" s="1563">
        <v>1</v>
      </c>
      <c r="B109" s="5907"/>
      <c r="C109" s="1586"/>
      <c r="D109" s="1711" t="s">
        <v>3497</v>
      </c>
      <c r="E109" s="1712">
        <v>4.8000000000000001E-2</v>
      </c>
      <c r="F109" s="1713" t="str">
        <f>F106</f>
        <v>❹ Kg cru</v>
      </c>
      <c r="G109" s="1706">
        <f>IF(F109=D122,E109-(E109*F107%),IF(F109=D123,E109/(100-F107)*100))</f>
        <v>2.4E-2</v>
      </c>
      <c r="H109" s="1714" t="str">
        <f>IF(F109=D122,D123,D122)</f>
        <v>❺ Kg cuit</v>
      </c>
      <c r="I109" s="2009" t="str">
        <f>HYPERLINK("#"&amp;ADDRESS(ROW(G109),COLUMN(G109),4),_xlfn.UNICHAR(128269)&amp;"cellule "&amp;ADDRESS(ROW(G109),COLUMN(G109),4))</f>
        <v>🔍cellule G109</v>
      </c>
      <c r="J109" s="1672">
        <f>G109</f>
        <v>2.4E-2</v>
      </c>
      <c r="K109" s="1640" t="str">
        <f ca="1">_xlfn.FORMULATEXT(G109)</f>
        <v>=SI(F109=D122;E109-(E109*F107%);SI(F109=D123;E109/(100-F107)*100))</v>
      </c>
      <c r="L109" s="1586"/>
      <c r="M109" s="1586"/>
      <c r="N109" s="1586"/>
      <c r="O109" s="1586"/>
      <c r="P109" s="1586"/>
      <c r="Q109" s="1563"/>
      <c r="R109" s="1563"/>
      <c r="S109" s="1563"/>
      <c r="T109" s="1563"/>
      <c r="U109" s="1563"/>
      <c r="V109" s="1563"/>
      <c r="W109" s="1563"/>
      <c r="X109" s="1563"/>
      <c r="Y109" s="1563"/>
      <c r="Z109" s="1563"/>
      <c r="AA109" s="1563"/>
      <c r="AB109" s="1563"/>
      <c r="AC109" s="1563"/>
      <c r="AD109" s="1563"/>
      <c r="AE109" s="1563"/>
      <c r="AF109" s="1563"/>
      <c r="AG109" s="1563"/>
      <c r="AH109" s="1563"/>
      <c r="AI109" s="1563"/>
      <c r="AJ109" s="1563"/>
      <c r="AK109" s="1563"/>
      <c r="AL109" s="1563"/>
      <c r="AM109" s="1563"/>
      <c r="AN109" s="1563"/>
      <c r="AO109" s="1563"/>
      <c r="AP109" s="1563"/>
      <c r="AQ109" s="1563"/>
      <c r="AR109" s="1563"/>
      <c r="AS109" s="1563"/>
      <c r="AT109" s="1563"/>
      <c r="AU109" s="1563"/>
      <c r="AV109" s="1563"/>
      <c r="AW109" s="1563"/>
      <c r="AX109" s="1563"/>
      <c r="AY109" s="1563"/>
      <c r="AZ109" s="1563"/>
      <c r="BA109" s="3">
        <v>1</v>
      </c>
    </row>
    <row r="110" spans="1:53">
      <c r="A110" s="1563">
        <v>1</v>
      </c>
      <c r="B110" s="5907"/>
      <c r="C110" s="1586"/>
      <c r="D110" s="1715" t="s">
        <v>3498</v>
      </c>
      <c r="E110" s="1716">
        <v>1200</v>
      </c>
      <c r="F110" s="1717" t="s">
        <v>36</v>
      </c>
      <c r="G110" s="1586"/>
      <c r="H110" s="1718"/>
      <c r="I110" s="1582"/>
      <c r="J110" s="1702"/>
      <c r="K110" s="1586"/>
      <c r="L110" s="1586"/>
      <c r="M110" s="1586"/>
      <c r="N110" s="1586"/>
      <c r="O110" s="1586"/>
      <c r="P110" s="1586"/>
      <c r="Q110" s="1563"/>
      <c r="R110" s="1563"/>
      <c r="S110" s="1563"/>
      <c r="T110" s="1563"/>
      <c r="U110" s="1563"/>
      <c r="V110" s="1563"/>
      <c r="W110" s="1563"/>
      <c r="X110" s="1563"/>
      <c r="Y110" s="1563"/>
      <c r="Z110" s="1563"/>
      <c r="AA110" s="1563"/>
      <c r="AB110" s="1563"/>
      <c r="AC110" s="1563"/>
      <c r="AD110" s="1563"/>
      <c r="AE110" s="1563"/>
      <c r="AF110" s="1563"/>
      <c r="AG110" s="1563"/>
      <c r="AH110" s="1563"/>
      <c r="AI110" s="1563"/>
      <c r="AJ110" s="1563"/>
      <c r="AK110" s="1563"/>
      <c r="AL110" s="1563"/>
      <c r="AM110" s="1563"/>
      <c r="AN110" s="1563"/>
      <c r="AO110" s="1563"/>
      <c r="AP110" s="1563"/>
      <c r="AQ110" s="1563"/>
      <c r="AR110" s="1563"/>
      <c r="AS110" s="1563"/>
      <c r="AT110" s="1563"/>
      <c r="AU110" s="1563"/>
      <c r="AV110" s="1563"/>
      <c r="AW110" s="1563"/>
      <c r="AX110" s="1563"/>
      <c r="AY110" s="1563"/>
      <c r="AZ110" s="1563"/>
      <c r="BA110" s="3">
        <v>1</v>
      </c>
    </row>
    <row r="111" spans="1:53">
      <c r="A111" s="1563">
        <v>1</v>
      </c>
      <c r="B111" s="5907"/>
      <c r="C111" s="1586"/>
      <c r="D111" s="1586"/>
      <c r="E111" s="1586"/>
      <c r="F111" s="1586"/>
      <c r="G111" s="1586"/>
      <c r="H111" s="1695"/>
      <c r="I111" s="1582"/>
      <c r="J111" s="1702"/>
      <c r="K111" s="1586"/>
      <c r="L111" s="1586"/>
      <c r="M111" s="1586"/>
      <c r="N111" s="1586"/>
      <c r="O111" s="1586"/>
      <c r="P111" s="1586"/>
      <c r="Q111" s="1563"/>
      <c r="R111" s="1563"/>
      <c r="S111" s="1563"/>
      <c r="T111" s="1563"/>
      <c r="U111" s="1563"/>
      <c r="V111" s="1563"/>
      <c r="W111" s="1563"/>
      <c r="X111" s="1563"/>
      <c r="Y111" s="1563"/>
      <c r="Z111" s="1563"/>
      <c r="AA111" s="1563"/>
      <c r="AB111" s="1563"/>
      <c r="AC111" s="1563"/>
      <c r="AD111" s="1563"/>
      <c r="AE111" s="1563"/>
      <c r="AF111" s="1563"/>
      <c r="AG111" s="1563"/>
      <c r="AH111" s="1563"/>
      <c r="AI111" s="1563"/>
      <c r="AJ111" s="1563"/>
      <c r="AK111" s="1563"/>
      <c r="AL111" s="1563"/>
      <c r="AM111" s="1563"/>
      <c r="AN111" s="1563"/>
      <c r="AO111" s="1563"/>
      <c r="AP111" s="1563"/>
      <c r="AQ111" s="1563"/>
      <c r="AR111" s="1563"/>
      <c r="AS111" s="1563"/>
      <c r="AT111" s="1563"/>
      <c r="AU111" s="1563"/>
      <c r="AV111" s="1563"/>
      <c r="AW111" s="1563"/>
      <c r="AX111" s="1563"/>
      <c r="AY111" s="1563"/>
      <c r="AZ111" s="1563"/>
      <c r="BA111" s="3">
        <v>1</v>
      </c>
    </row>
    <row r="112" spans="1:53">
      <c r="A112" s="1563">
        <v>1</v>
      </c>
      <c r="B112" s="5907"/>
      <c r="C112" s="1586"/>
      <c r="D112" s="1719" t="s">
        <v>3499</v>
      </c>
      <c r="E112" s="1720">
        <f>IF(E106=0,0,E109*E110)</f>
        <v>57.6</v>
      </c>
      <c r="F112" s="1721" t="str">
        <f>F106</f>
        <v>❹ Kg cru</v>
      </c>
      <c r="G112" s="1722">
        <f>IF(E106=0,0,G109*E110)</f>
        <v>28.8</v>
      </c>
      <c r="H112" s="1723" t="str">
        <f>H109</f>
        <v>❺ Kg cuit</v>
      </c>
      <c r="I112" s="2009" t="str">
        <f>HYPERLINK("#"&amp;ADDRESS(ROW(E112),COLUMN(E112),4),_xlfn.UNICHAR(128269)&amp;"cellule "&amp;ADDRESS(ROW(E112),COLUMN(E112),4))</f>
        <v>🔍cellule E112</v>
      </c>
      <c r="J112" s="1720">
        <f>E112</f>
        <v>57.6</v>
      </c>
      <c r="K112" s="1640" t="str">
        <f ca="1">_xlfn.FORMULATEXT(E112)</f>
        <v>=SI(E106=0;0;E109*E110)</v>
      </c>
      <c r="L112" s="1586"/>
      <c r="M112" s="1586"/>
      <c r="N112" s="1586"/>
      <c r="O112" s="1586"/>
      <c r="P112" s="1586"/>
      <c r="Q112" s="1563"/>
      <c r="R112" s="1563"/>
      <c r="S112" s="1563"/>
      <c r="T112" s="1563"/>
      <c r="U112" s="1563"/>
      <c r="V112" s="1563"/>
      <c r="W112" s="1563"/>
      <c r="X112" s="1563"/>
      <c r="Y112" s="1563"/>
      <c r="Z112" s="1563"/>
      <c r="AA112" s="1563"/>
      <c r="AB112" s="1563"/>
      <c r="AC112" s="1563"/>
      <c r="AD112" s="1563"/>
      <c r="AE112" s="1563"/>
      <c r="AF112" s="1563"/>
      <c r="AG112" s="1563"/>
      <c r="AH112" s="1563"/>
      <c r="AI112" s="1563"/>
      <c r="AJ112" s="1563"/>
      <c r="AK112" s="1563"/>
      <c r="AL112" s="1563"/>
      <c r="AM112" s="1563"/>
      <c r="AN112" s="1563"/>
      <c r="AO112" s="1563"/>
      <c r="AP112" s="1563"/>
      <c r="AQ112" s="1563"/>
      <c r="AR112" s="1563"/>
      <c r="AS112" s="1563"/>
      <c r="AT112" s="1563"/>
      <c r="AU112" s="1563"/>
      <c r="AV112" s="1563"/>
      <c r="AW112" s="1563"/>
      <c r="AX112" s="1563"/>
      <c r="AY112" s="1563"/>
      <c r="AZ112" s="1563"/>
      <c r="BA112" s="3">
        <v>1</v>
      </c>
    </row>
    <row r="113" spans="1:53">
      <c r="A113" s="1563">
        <v>1</v>
      </c>
      <c r="B113" s="5907"/>
      <c r="C113" s="1670"/>
      <c r="D113" s="1724" t="s">
        <v>3500</v>
      </c>
      <c r="E113" s="1725">
        <f>IF(E106=0,0,IF(MOD(E112,E106)&gt;MOD(E112,E106)/2,INT(E112/E106)+1,INT(E112/E106)))</f>
        <v>47</v>
      </c>
      <c r="F113" s="1726" t="s">
        <v>3501</v>
      </c>
      <c r="G113" s="1727">
        <f>IF(ISBLANK(E109),0,E106/E109)</f>
        <v>26.041666666666668</v>
      </c>
      <c r="H113" s="1695"/>
      <c r="I113" s="2009" t="str">
        <f>HYPERLINK("#"&amp;ADDRESS(ROW(E113),COLUMN(E113),4),_xlfn.UNICHAR(128269)&amp;"cellule "&amp;ADDRESS(ROW(E113),COLUMN(E113),4))</f>
        <v>🔍cellule E113</v>
      </c>
      <c r="J113" s="1725">
        <f>E113</f>
        <v>47</v>
      </c>
      <c r="K113" s="1640" t="str">
        <f ca="1">_xlfn.FORMULATEXT(E113)</f>
        <v>=SI(E106=0;0;SI(MOD(E112;E106)&gt;MOD(E112;E106)/2;ENT(E112/E106)+1;ENT(E112/E106)))</v>
      </c>
      <c r="L113" s="1586"/>
      <c r="M113" s="1586"/>
      <c r="N113" s="1586"/>
      <c r="O113" s="1586"/>
      <c r="P113" s="1586"/>
      <c r="Q113" s="1563"/>
      <c r="R113" s="1563"/>
      <c r="S113" s="1563"/>
      <c r="T113" s="1563"/>
      <c r="U113" s="1563"/>
      <c r="V113" s="1563"/>
      <c r="W113" s="1563"/>
      <c r="X113" s="1563"/>
      <c r="Y113" s="1563"/>
      <c r="Z113" s="1563"/>
      <c r="AA113" s="1563"/>
      <c r="AB113" s="1563"/>
      <c r="AC113" s="1563"/>
      <c r="AD113" s="1563"/>
      <c r="AE113" s="1563"/>
      <c r="AF113" s="1563"/>
      <c r="AG113" s="1563"/>
      <c r="AH113" s="1563"/>
      <c r="AI113" s="1563"/>
      <c r="AJ113" s="1563"/>
      <c r="AK113" s="1563"/>
      <c r="AL113" s="1563"/>
      <c r="AM113" s="1563"/>
      <c r="AN113" s="1563"/>
      <c r="AO113" s="1563"/>
      <c r="AP113" s="1563"/>
      <c r="AQ113" s="1563"/>
      <c r="AR113" s="1563"/>
      <c r="AS113" s="1563"/>
      <c r="AT113" s="1563"/>
      <c r="AU113" s="1563"/>
      <c r="AV113" s="1563"/>
      <c r="AW113" s="1563"/>
      <c r="AX113" s="1563"/>
      <c r="AY113" s="1563"/>
      <c r="AZ113" s="1563"/>
      <c r="BA113" s="3">
        <v>1</v>
      </c>
    </row>
    <row r="114" spans="1:53">
      <c r="A114" s="1563">
        <v>1</v>
      </c>
      <c r="B114" s="5907"/>
      <c r="C114" s="1586"/>
      <c r="D114" s="1724"/>
      <c r="E114" s="1725"/>
      <c r="F114" s="1728"/>
      <c r="G114" s="1727"/>
      <c r="H114" s="1695"/>
      <c r="I114" s="2009" t="str">
        <f>HYPERLINK("#"&amp;ADDRESS(ROW(G113),COLUMN(G113),4),_xlfn.UNICHAR(128269)&amp;"cellule "&amp;ADDRESS(ROW(G113),COLUMN(G113),4))</f>
        <v>🔍cellule G113</v>
      </c>
      <c r="J114" s="1727">
        <f>G113</f>
        <v>26.041666666666668</v>
      </c>
      <c r="K114" s="1640" t="str">
        <f ca="1">_xlfn.FORMULATEXT(G113)</f>
        <v>=SI(ESTVIDE(E109);0;E106/E109)</v>
      </c>
      <c r="L114" s="1586"/>
      <c r="M114" s="1586"/>
      <c r="N114" s="1586"/>
      <c r="O114" s="1586"/>
      <c r="P114" s="1586"/>
      <c r="Q114" s="1563"/>
      <c r="R114" s="1563"/>
      <c r="S114" s="1563"/>
      <c r="T114" s="1563"/>
      <c r="U114" s="1563"/>
      <c r="V114" s="1563"/>
      <c r="W114" s="1563"/>
      <c r="X114" s="1563"/>
      <c r="Y114" s="1563"/>
      <c r="Z114" s="1563"/>
      <c r="AA114" s="1563"/>
      <c r="AB114" s="1563"/>
      <c r="AC114" s="1563"/>
      <c r="AD114" s="1563"/>
      <c r="AE114" s="1563"/>
      <c r="AF114" s="1563"/>
      <c r="AG114" s="1563"/>
      <c r="AH114" s="1563"/>
      <c r="AI114" s="1563"/>
      <c r="AJ114" s="1563"/>
      <c r="AK114" s="1563"/>
      <c r="AL114" s="1563"/>
      <c r="AM114" s="1563"/>
      <c r="AN114" s="1563"/>
      <c r="AO114" s="1563"/>
      <c r="AP114" s="1563"/>
      <c r="AQ114" s="1563"/>
      <c r="AR114" s="1563"/>
      <c r="AS114" s="1563"/>
      <c r="AT114" s="1563"/>
      <c r="AU114" s="1563"/>
      <c r="AV114" s="1563"/>
      <c r="AW114" s="1563"/>
      <c r="AX114" s="1563"/>
      <c r="AY114" s="1563"/>
      <c r="AZ114" s="1563"/>
      <c r="BA114" s="3">
        <v>1</v>
      </c>
    </row>
    <row r="115" spans="1:53">
      <c r="A115" s="1563">
        <v>1</v>
      </c>
      <c r="B115" s="5907"/>
      <c r="C115" s="5913" t="s">
        <v>3502</v>
      </c>
      <c r="D115" s="5913"/>
      <c r="E115" s="5913"/>
      <c r="F115" s="5913"/>
      <c r="G115" s="5913"/>
      <c r="H115" s="5914"/>
      <c r="I115" s="1563"/>
      <c r="J115" s="1563"/>
      <c r="K115" s="1563"/>
      <c r="L115" s="1563"/>
      <c r="M115" s="1563"/>
      <c r="N115" s="1563"/>
      <c r="O115" s="1563"/>
      <c r="P115" s="1563"/>
      <c r="Q115" s="1563"/>
      <c r="R115" s="1563"/>
      <c r="S115" s="1563"/>
      <c r="T115" s="1563"/>
      <c r="U115" s="1563"/>
      <c r="V115" s="1563"/>
      <c r="W115" s="1563"/>
      <c r="X115" s="1563"/>
      <c r="Y115" s="1563"/>
      <c r="Z115" s="1563"/>
      <c r="AA115" s="1563"/>
      <c r="AB115" s="1563"/>
      <c r="AC115" s="1563"/>
      <c r="AD115" s="1563"/>
      <c r="AE115" s="1563"/>
      <c r="AF115" s="1563"/>
      <c r="AG115" s="1563"/>
      <c r="AH115" s="1563"/>
      <c r="AI115" s="1563"/>
      <c r="AJ115" s="1563"/>
      <c r="AK115" s="1563"/>
      <c r="AL115" s="1563"/>
      <c r="AM115" s="1563"/>
      <c r="AN115" s="1563"/>
      <c r="AO115" s="1563"/>
      <c r="AP115" s="1563"/>
      <c r="AQ115" s="1563"/>
      <c r="AR115" s="1563"/>
      <c r="AS115" s="1563"/>
      <c r="AT115" s="1563"/>
      <c r="AU115" s="1563"/>
      <c r="AV115" s="1563"/>
      <c r="AW115" s="1563"/>
      <c r="AX115" s="1563"/>
      <c r="AY115" s="1563"/>
      <c r="AZ115" s="1563"/>
      <c r="BA115" s="3">
        <v>1</v>
      </c>
    </row>
    <row r="116" spans="1:53">
      <c r="A116" s="1563">
        <v>1</v>
      </c>
      <c r="B116" s="5907"/>
      <c r="C116" s="5913"/>
      <c r="D116" s="5913"/>
      <c r="E116" s="5913"/>
      <c r="F116" s="5913"/>
      <c r="G116" s="5913"/>
      <c r="H116" s="5914"/>
      <c r="I116" s="1563"/>
      <c r="J116" s="1563"/>
      <c r="K116" s="1563"/>
      <c r="L116" s="1563"/>
      <c r="M116" s="1563"/>
      <c r="N116" s="1563"/>
      <c r="O116" s="1563"/>
      <c r="P116" s="1563"/>
      <c r="Q116" s="1563"/>
      <c r="R116" s="1563"/>
      <c r="S116" s="1563"/>
      <c r="T116" s="1563"/>
      <c r="U116" s="1563"/>
      <c r="V116" s="1563"/>
      <c r="W116" s="1563"/>
      <c r="X116" s="1563"/>
      <c r="Y116" s="1563"/>
      <c r="Z116" s="1563"/>
      <c r="AA116" s="1563"/>
      <c r="AB116" s="1563"/>
      <c r="AC116" s="1563"/>
      <c r="AD116" s="1563"/>
      <c r="AE116" s="1563"/>
      <c r="AF116" s="1563"/>
      <c r="AG116" s="1563"/>
      <c r="AH116" s="1563"/>
      <c r="AI116" s="1563"/>
      <c r="AJ116" s="1563"/>
      <c r="AK116" s="1563"/>
      <c r="AL116" s="1563"/>
      <c r="AM116" s="1563"/>
      <c r="AN116" s="1563"/>
      <c r="AO116" s="1563"/>
      <c r="AP116" s="1563"/>
      <c r="AQ116" s="1563"/>
      <c r="AR116" s="1563"/>
      <c r="AS116" s="1563"/>
      <c r="AT116" s="1563"/>
      <c r="AU116" s="1563"/>
      <c r="AV116" s="1563"/>
      <c r="AW116" s="1563"/>
      <c r="AX116" s="1563"/>
      <c r="AY116" s="1563"/>
      <c r="AZ116" s="1563"/>
      <c r="BA116" s="3">
        <v>1</v>
      </c>
    </row>
    <row r="117" spans="1:53">
      <c r="A117" s="1563">
        <v>1</v>
      </c>
      <c r="B117" s="5907"/>
      <c r="C117" s="1729" t="s">
        <v>3503</v>
      </c>
      <c r="D117" s="1730"/>
      <c r="E117" s="1730"/>
      <c r="F117" s="1730"/>
      <c r="G117" s="1730"/>
      <c r="H117" s="1731"/>
      <c r="I117" s="1563"/>
      <c r="J117" s="1563"/>
      <c r="K117" s="1563"/>
      <c r="L117" s="1563"/>
      <c r="M117" s="1563"/>
      <c r="N117" s="1563"/>
      <c r="O117" s="1563"/>
      <c r="P117" s="1563"/>
      <c r="Q117" s="1563"/>
      <c r="R117" s="1563"/>
      <c r="S117" s="1563"/>
      <c r="T117" s="1563"/>
      <c r="U117" s="1563"/>
      <c r="V117" s="1563"/>
      <c r="W117" s="1563"/>
      <c r="X117" s="1563"/>
      <c r="Y117" s="1563"/>
      <c r="Z117" s="1563"/>
      <c r="AA117" s="1563"/>
      <c r="AB117" s="1563"/>
      <c r="AC117" s="1563"/>
      <c r="AD117" s="1563"/>
      <c r="AE117" s="1563"/>
      <c r="AF117" s="1563"/>
      <c r="AG117" s="1563"/>
      <c r="AH117" s="1563"/>
      <c r="AI117" s="1563"/>
      <c r="AJ117" s="1563"/>
      <c r="AK117" s="1563"/>
      <c r="AL117" s="1563"/>
      <c r="AM117" s="1563"/>
      <c r="AN117" s="1563"/>
      <c r="AO117" s="1563"/>
      <c r="AP117" s="1563"/>
      <c r="AQ117" s="1563"/>
      <c r="AR117" s="1563"/>
      <c r="AS117" s="1563"/>
      <c r="AT117" s="1563"/>
      <c r="AU117" s="1563"/>
      <c r="AV117" s="1563"/>
      <c r="AW117" s="1563"/>
      <c r="AX117" s="1563"/>
      <c r="AY117" s="1563"/>
      <c r="AZ117" s="1563"/>
      <c r="BA117" s="3">
        <v>1</v>
      </c>
    </row>
    <row r="118" spans="1:53">
      <c r="A118" s="1563">
        <v>1</v>
      </c>
      <c r="B118" s="5907"/>
      <c r="C118" s="5915" t="s">
        <v>3504</v>
      </c>
      <c r="D118" s="5915"/>
      <c r="E118" s="5915"/>
      <c r="F118" s="5915"/>
      <c r="G118" s="5915"/>
      <c r="H118" s="5916"/>
      <c r="I118" s="1563"/>
      <c r="J118" s="1563"/>
      <c r="K118" s="1563"/>
      <c r="L118" s="1563"/>
      <c r="M118" s="1563"/>
      <c r="N118" s="1563"/>
      <c r="O118" s="1563"/>
      <c r="P118" s="1563"/>
      <c r="Q118" s="1563"/>
      <c r="R118" s="1563"/>
      <c r="S118" s="1563"/>
      <c r="T118" s="1563"/>
      <c r="U118" s="1563"/>
      <c r="V118" s="1563"/>
      <c r="W118" s="1563"/>
      <c r="X118" s="1563"/>
      <c r="Y118" s="1563"/>
      <c r="Z118" s="1563"/>
      <c r="AA118" s="1563"/>
      <c r="AB118" s="1563"/>
      <c r="AC118" s="1563"/>
      <c r="AD118" s="1563"/>
      <c r="AE118" s="1563"/>
      <c r="AF118" s="1563"/>
      <c r="AG118" s="1563"/>
      <c r="AH118" s="1563"/>
      <c r="AI118" s="1563"/>
      <c r="AJ118" s="1563"/>
      <c r="AK118" s="1563"/>
      <c r="AL118" s="1563"/>
      <c r="AM118" s="1563"/>
      <c r="AN118" s="1563"/>
      <c r="AO118" s="1563"/>
      <c r="AP118" s="1563"/>
      <c r="AQ118" s="1563"/>
      <c r="AR118" s="1563"/>
      <c r="AS118" s="1563"/>
      <c r="AT118" s="1563"/>
      <c r="AU118" s="1563"/>
      <c r="AV118" s="1563"/>
      <c r="AW118" s="1563"/>
      <c r="AX118" s="1563"/>
      <c r="AY118" s="1563"/>
      <c r="AZ118" s="1563"/>
      <c r="BA118" s="3">
        <v>1</v>
      </c>
    </row>
    <row r="119" spans="1:53">
      <c r="A119" s="1563">
        <v>1</v>
      </c>
      <c r="B119" s="5907"/>
      <c r="C119" s="1732" t="s">
        <v>3505</v>
      </c>
      <c r="D119" s="1586"/>
      <c r="E119" s="1586"/>
      <c r="F119" s="1671" t="s">
        <v>3506</v>
      </c>
      <c r="G119" s="1586"/>
      <c r="H119" s="1695"/>
      <c r="I119" s="1563"/>
      <c r="J119" s="1563"/>
      <c r="K119" s="1563"/>
      <c r="L119" s="1563"/>
      <c r="M119" s="1563"/>
      <c r="N119" s="1563"/>
      <c r="O119" s="1563"/>
      <c r="P119" s="1563"/>
      <c r="Q119" s="1563"/>
      <c r="R119" s="1563"/>
      <c r="S119" s="1563"/>
      <c r="T119" s="1563"/>
      <c r="U119" s="1563"/>
      <c r="V119" s="1563"/>
      <c r="W119" s="1563"/>
      <c r="X119" s="1563"/>
      <c r="Y119" s="1563"/>
      <c r="Z119" s="1563"/>
      <c r="AA119" s="1563"/>
      <c r="AB119" s="1563"/>
      <c r="AC119" s="1563"/>
      <c r="AD119" s="1563"/>
      <c r="AE119" s="1563"/>
      <c r="AF119" s="1563"/>
      <c r="AG119" s="1563"/>
      <c r="AH119" s="1563"/>
      <c r="AI119" s="1563"/>
      <c r="AJ119" s="1563"/>
      <c r="AK119" s="1563"/>
      <c r="AL119" s="1563"/>
      <c r="AM119" s="1563"/>
      <c r="AN119" s="1563"/>
      <c r="AO119" s="1563"/>
      <c r="AP119" s="1563"/>
      <c r="AQ119" s="1563"/>
      <c r="AR119" s="1563"/>
      <c r="AS119" s="1563"/>
      <c r="AT119" s="1563"/>
      <c r="AU119" s="1563"/>
      <c r="AV119" s="1563"/>
      <c r="AW119" s="1563"/>
      <c r="AX119" s="1563"/>
      <c r="AY119" s="1563"/>
      <c r="AZ119" s="1563"/>
      <c r="BA119" s="3">
        <v>1</v>
      </c>
    </row>
    <row r="120" spans="1:53">
      <c r="A120" s="1563">
        <v>1</v>
      </c>
      <c r="B120" s="5907"/>
      <c r="C120" s="1733" t="s">
        <v>3493</v>
      </c>
      <c r="D120" s="1586"/>
      <c r="E120" s="1586"/>
      <c r="F120" s="1734" t="s">
        <v>3507</v>
      </c>
      <c r="G120" s="1586"/>
      <c r="H120" s="1695"/>
      <c r="I120" s="1563"/>
      <c r="J120" s="1563"/>
      <c r="K120" s="1563"/>
      <c r="L120" s="1563"/>
      <c r="M120" s="1563"/>
      <c r="N120" s="1563"/>
      <c r="O120" s="1563"/>
      <c r="P120" s="1563"/>
      <c r="Q120" s="1563"/>
      <c r="R120" s="1563"/>
      <c r="S120" s="1563"/>
      <c r="T120" s="1563"/>
      <c r="U120" s="1563"/>
      <c r="V120" s="1563"/>
      <c r="W120" s="1563"/>
      <c r="X120" s="1563"/>
      <c r="Y120" s="1563"/>
      <c r="Z120" s="1563"/>
      <c r="AA120" s="1563"/>
      <c r="AB120" s="1563"/>
      <c r="AC120" s="1563"/>
      <c r="AD120" s="1563"/>
      <c r="AE120" s="1563"/>
      <c r="AF120" s="1563"/>
      <c r="AG120" s="1563"/>
      <c r="AH120" s="1563"/>
      <c r="AI120" s="1563"/>
      <c r="AJ120" s="1563"/>
      <c r="AK120" s="1563"/>
      <c r="AL120" s="1563"/>
      <c r="AM120" s="1563"/>
      <c r="AN120" s="1563"/>
      <c r="AO120" s="1563"/>
      <c r="AP120" s="1563"/>
      <c r="AQ120" s="1563"/>
      <c r="AR120" s="1563"/>
      <c r="AS120" s="1563"/>
      <c r="AT120" s="1563"/>
      <c r="AU120" s="1563"/>
      <c r="AV120" s="1563"/>
      <c r="AW120" s="1563"/>
      <c r="AX120" s="1563"/>
      <c r="AY120" s="1563"/>
      <c r="AZ120" s="1563"/>
      <c r="BA120" s="3">
        <v>1</v>
      </c>
    </row>
    <row r="121" spans="1:53">
      <c r="A121" s="1563">
        <v>1</v>
      </c>
      <c r="B121" s="5907"/>
      <c r="C121" s="1735" t="s">
        <v>3508</v>
      </c>
      <c r="D121" s="1586"/>
      <c r="E121" s="1586"/>
      <c r="F121" s="1736" t="s">
        <v>3509</v>
      </c>
      <c r="G121" s="1586"/>
      <c r="H121" s="1695"/>
      <c r="I121" s="1563"/>
      <c r="J121" s="1563"/>
      <c r="K121" s="1563"/>
      <c r="L121" s="1563"/>
      <c r="M121" s="1563"/>
      <c r="N121" s="1563"/>
      <c r="O121" s="1563"/>
      <c r="P121" s="1563"/>
      <c r="Q121" s="1563"/>
      <c r="R121" s="1563"/>
      <c r="S121" s="1563"/>
      <c r="T121" s="1563"/>
      <c r="U121" s="1563"/>
      <c r="V121" s="1563"/>
      <c r="W121" s="1563"/>
      <c r="X121" s="1563"/>
      <c r="Y121" s="1563"/>
      <c r="Z121" s="1563"/>
      <c r="AA121" s="1563"/>
      <c r="AB121" s="1563"/>
      <c r="AC121" s="1563"/>
      <c r="AD121" s="1563"/>
      <c r="AE121" s="1563"/>
      <c r="AF121" s="1563"/>
      <c r="AG121" s="1563"/>
      <c r="AH121" s="1563"/>
      <c r="AI121" s="1563"/>
      <c r="AJ121" s="1563"/>
      <c r="AK121" s="1563"/>
      <c r="AL121" s="1563"/>
      <c r="AM121" s="1563"/>
      <c r="AN121" s="1563"/>
      <c r="AO121" s="1563"/>
      <c r="AP121" s="1563"/>
      <c r="AQ121" s="1563"/>
      <c r="AR121" s="1563"/>
      <c r="AS121" s="1563"/>
      <c r="AT121" s="1563"/>
      <c r="AU121" s="1563"/>
      <c r="AV121" s="1563"/>
      <c r="AW121" s="1563"/>
      <c r="AX121" s="1563"/>
      <c r="AY121" s="1563"/>
      <c r="AZ121" s="1563"/>
      <c r="BA121" s="3">
        <v>1</v>
      </c>
    </row>
    <row r="122" spans="1:53">
      <c r="A122" s="1563">
        <v>1</v>
      </c>
      <c r="B122" s="5907"/>
      <c r="C122" s="1671"/>
      <c r="D122" s="2010" t="s">
        <v>3484</v>
      </c>
      <c r="E122" s="1586"/>
      <c r="F122" s="1737" t="s">
        <v>3510</v>
      </c>
      <c r="G122" s="1586"/>
      <c r="H122" s="1695"/>
      <c r="I122" s="1563"/>
      <c r="J122" s="1563"/>
      <c r="K122" s="1563"/>
      <c r="L122" s="1563"/>
      <c r="M122" s="1563"/>
      <c r="N122" s="1563"/>
      <c r="O122" s="1563"/>
      <c r="P122" s="1563"/>
      <c r="Q122" s="1563"/>
      <c r="R122" s="1563"/>
      <c r="S122" s="1563"/>
      <c r="T122" s="1996"/>
      <c r="U122" s="1563"/>
      <c r="V122" s="1563"/>
      <c r="W122" s="1563"/>
      <c r="X122" s="1563"/>
      <c r="Y122" s="1563"/>
      <c r="Z122" s="1563"/>
      <c r="AA122" s="1563"/>
      <c r="AB122" s="1563"/>
      <c r="AC122" s="1563"/>
      <c r="AD122" s="1563"/>
      <c r="AE122" s="1563"/>
      <c r="AF122" s="1563"/>
      <c r="AG122" s="1563"/>
      <c r="AH122" s="1563"/>
      <c r="AI122" s="1563"/>
      <c r="AJ122" s="1563"/>
      <c r="AK122" s="1563"/>
      <c r="AL122" s="1563"/>
      <c r="AM122" s="1563"/>
      <c r="AN122" s="1563"/>
      <c r="AO122" s="1563"/>
      <c r="AP122" s="1563"/>
      <c r="AQ122" s="1563"/>
      <c r="AR122" s="1563"/>
      <c r="AS122" s="1563"/>
      <c r="AT122" s="1563"/>
      <c r="AU122" s="1563"/>
      <c r="AV122" s="1563"/>
      <c r="AW122" s="1563"/>
      <c r="AX122" s="1563"/>
      <c r="AY122" s="1563"/>
      <c r="AZ122" s="1563"/>
      <c r="BA122" s="3">
        <v>1</v>
      </c>
    </row>
    <row r="123" spans="1:53">
      <c r="A123" s="1563">
        <v>1</v>
      </c>
      <c r="B123" s="5907"/>
      <c r="C123" s="1673"/>
      <c r="D123" s="2011" t="s">
        <v>3486</v>
      </c>
      <c r="E123" s="1586"/>
      <c r="F123" s="1738" t="s">
        <v>3511</v>
      </c>
      <c r="G123" s="1586"/>
      <c r="H123" s="1695"/>
      <c r="I123" s="1563"/>
      <c r="J123" s="1563"/>
      <c r="K123" s="1563"/>
      <c r="L123" s="1563"/>
      <c r="M123" s="1563"/>
      <c r="N123" s="1563"/>
      <c r="O123" s="1563"/>
      <c r="P123" s="1563"/>
      <c r="Q123" s="1563"/>
      <c r="R123" s="1563"/>
      <c r="S123" s="1563"/>
      <c r="T123" s="1563"/>
      <c r="U123" s="1563"/>
      <c r="V123" s="1563"/>
      <c r="W123" s="1563"/>
      <c r="X123" s="1563"/>
      <c r="Y123" s="1563"/>
      <c r="Z123" s="1563"/>
      <c r="AA123" s="1563"/>
      <c r="AB123" s="1563"/>
      <c r="AC123" s="1563"/>
      <c r="AD123" s="1563"/>
      <c r="AE123" s="1563"/>
      <c r="AF123" s="1563"/>
      <c r="AG123" s="1563"/>
      <c r="AH123" s="1563"/>
      <c r="AI123" s="1563"/>
      <c r="AJ123" s="1563"/>
      <c r="AK123" s="1563"/>
      <c r="AL123" s="1563"/>
      <c r="AM123" s="1563"/>
      <c r="AN123" s="1563"/>
      <c r="AO123" s="1563"/>
      <c r="AP123" s="1563"/>
      <c r="AQ123" s="1563"/>
      <c r="AR123" s="1563"/>
      <c r="AS123" s="1563"/>
      <c r="AT123" s="1563"/>
      <c r="AU123" s="1563"/>
      <c r="AV123" s="1563"/>
      <c r="AW123" s="1563"/>
      <c r="AX123" s="1563"/>
      <c r="AY123" s="1563"/>
      <c r="AZ123" s="1563"/>
      <c r="BA123" s="3">
        <v>1</v>
      </c>
    </row>
    <row r="124" spans="1:53">
      <c r="A124" s="1563">
        <v>1</v>
      </c>
      <c r="B124" s="5907"/>
      <c r="C124" s="1739"/>
      <c r="D124" s="1586"/>
      <c r="E124" s="1740" t="s">
        <v>3512</v>
      </c>
      <c r="F124" s="1738"/>
      <c r="G124" s="1739" t="s">
        <v>3513</v>
      </c>
      <c r="H124" s="1741" t="str">
        <f>ADDRESS(ROW(F106),COLUMN(F106),4)</f>
        <v>F106</v>
      </c>
      <c r="I124" s="1563"/>
      <c r="J124" s="1563"/>
      <c r="K124" s="1563"/>
      <c r="L124" s="1563"/>
      <c r="M124" s="1563"/>
      <c r="N124" s="1563"/>
      <c r="O124" s="1563"/>
      <c r="P124" s="1563"/>
      <c r="Q124" s="1563"/>
      <c r="R124" s="1563"/>
      <c r="S124" s="1563"/>
      <c r="T124" s="1563"/>
      <c r="U124" s="1563"/>
      <c r="V124" s="1563"/>
      <c r="W124" s="1563"/>
      <c r="X124" s="1563"/>
      <c r="Y124" s="1563"/>
      <c r="Z124" s="1563"/>
      <c r="AA124" s="1563"/>
      <c r="AB124" s="1563"/>
      <c r="AC124" s="1563"/>
      <c r="AD124" s="1563"/>
      <c r="AE124" s="1563"/>
      <c r="AF124" s="1563"/>
      <c r="AG124" s="1563"/>
      <c r="AH124" s="1563"/>
      <c r="AI124" s="1563"/>
      <c r="AJ124" s="1563"/>
      <c r="AK124" s="1563"/>
      <c r="AL124" s="1563"/>
      <c r="AM124" s="1563"/>
      <c r="AN124" s="1563"/>
      <c r="AO124" s="1563"/>
      <c r="AP124" s="1563"/>
      <c r="AQ124" s="1563"/>
      <c r="AR124" s="1563"/>
      <c r="AS124" s="1563"/>
      <c r="AT124" s="1563"/>
      <c r="AU124" s="1563"/>
      <c r="AV124" s="1563"/>
      <c r="AW124" s="1563"/>
      <c r="AX124" s="1563"/>
      <c r="AY124" s="1563"/>
      <c r="AZ124" s="1563"/>
      <c r="BA124" s="3">
        <v>1</v>
      </c>
    </row>
    <row r="125" spans="1:53">
      <c r="A125" s="1563">
        <v>1</v>
      </c>
      <c r="B125" s="5907"/>
      <c r="C125" s="1554" t="s">
        <v>3514</v>
      </c>
      <c r="D125" s="1742"/>
      <c r="E125" s="1740"/>
      <c r="F125" s="1554" t="s">
        <v>3515</v>
      </c>
      <c r="G125" s="1586"/>
      <c r="H125" s="1695"/>
      <c r="I125" s="1563"/>
      <c r="J125" s="1563"/>
      <c r="K125" s="1563"/>
      <c r="L125" s="1563"/>
      <c r="M125" s="1563"/>
      <c r="N125" s="1563"/>
      <c r="O125" s="1563"/>
      <c r="U125" s="1563"/>
      <c r="V125" s="1563"/>
      <c r="W125" s="1563"/>
      <c r="X125" s="1563"/>
      <c r="Y125" s="1563"/>
      <c r="Z125" s="1563"/>
      <c r="AA125" s="1563"/>
      <c r="AB125" s="1563"/>
      <c r="AC125" s="1563"/>
      <c r="AD125" s="1563"/>
      <c r="AE125" s="1563"/>
      <c r="AF125" s="1563"/>
      <c r="AG125" s="1563"/>
      <c r="AH125" s="1563"/>
      <c r="AI125" s="1563"/>
      <c r="AJ125" s="1563"/>
      <c r="AK125" s="1563"/>
      <c r="AL125" s="1563"/>
      <c r="AM125" s="1563"/>
      <c r="AN125" s="1563"/>
      <c r="AO125" s="1563"/>
      <c r="AP125" s="1563"/>
      <c r="AQ125" s="1563"/>
      <c r="AR125" s="1563"/>
      <c r="AS125" s="1563"/>
      <c r="AT125" s="1563"/>
      <c r="AU125" s="1563"/>
      <c r="AV125" s="1563"/>
      <c r="AW125" s="1563"/>
      <c r="AX125" s="1563"/>
      <c r="AY125" s="1563"/>
      <c r="AZ125" s="1563"/>
      <c r="BA125" s="3">
        <v>1</v>
      </c>
    </row>
    <row r="126" spans="1:53">
      <c r="A126" s="1563">
        <v>1</v>
      </c>
      <c r="B126" s="5907"/>
      <c r="C126" s="1619">
        <v>11</v>
      </c>
      <c r="D126" s="1619">
        <v>11</v>
      </c>
      <c r="E126" s="1619">
        <v>11</v>
      </c>
      <c r="F126" s="1619">
        <v>11</v>
      </c>
      <c r="G126" s="1619">
        <v>11</v>
      </c>
      <c r="H126" s="1620">
        <v>11</v>
      </c>
      <c r="I126" s="1621" t="s">
        <v>3419</v>
      </c>
      <c r="J126" s="1670"/>
      <c r="K126" s="1670"/>
      <c r="L126" s="1563"/>
      <c r="M126" s="1563"/>
      <c r="N126" s="1563"/>
      <c r="O126" s="1563"/>
      <c r="P126" s="1563"/>
      <c r="Q126" s="1563"/>
      <c r="R126" s="1563"/>
      <c r="S126" s="1563"/>
      <c r="T126" s="1563"/>
      <c r="U126" s="1563"/>
      <c r="V126" s="1563"/>
      <c r="W126" s="1563"/>
      <c r="X126" s="1563"/>
      <c r="Y126" s="1563"/>
      <c r="Z126" s="1563"/>
      <c r="AA126" s="1563"/>
      <c r="AB126" s="1563"/>
      <c r="AC126" s="1563"/>
      <c r="AD126" s="1563"/>
      <c r="AE126" s="1563"/>
      <c r="AF126" s="1563"/>
      <c r="AG126" s="1563"/>
      <c r="AH126" s="1563"/>
      <c r="AI126" s="1563"/>
      <c r="AJ126" s="1563"/>
      <c r="AK126" s="1563"/>
      <c r="AL126" s="1563"/>
      <c r="AM126" s="1563"/>
      <c r="AN126" s="1563"/>
      <c r="AO126" s="1563"/>
      <c r="AP126" s="1563"/>
      <c r="AQ126" s="1563"/>
      <c r="AR126" s="1563"/>
      <c r="AS126" s="1563"/>
      <c r="AT126" s="1563"/>
      <c r="AU126" s="1563"/>
      <c r="AV126" s="1563"/>
      <c r="AW126" s="1563"/>
      <c r="AX126" s="1563"/>
      <c r="AY126" s="1563"/>
      <c r="AZ126" s="1563"/>
      <c r="BA126" s="3">
        <v>1</v>
      </c>
    </row>
    <row r="127" spans="1:53" ht="16.5" thickBot="1">
      <c r="A127" s="1563">
        <v>1</v>
      </c>
      <c r="B127" s="5908"/>
      <c r="C127" s="1107">
        <f ca="1">CELL("largeur",C127)</f>
        <v>13</v>
      </c>
      <c r="D127" s="1107">
        <f t="shared" ref="D127:H127" ca="1" si="2">CELL("largeur",D127)</f>
        <v>21</v>
      </c>
      <c r="E127" s="1107">
        <f t="shared" ca="1" si="2"/>
        <v>13</v>
      </c>
      <c r="F127" s="1107">
        <f t="shared" ca="1" si="2"/>
        <v>13</v>
      </c>
      <c r="G127" s="1107">
        <f t="shared" ca="1" si="2"/>
        <v>13</v>
      </c>
      <c r="H127" s="1108">
        <f t="shared" ca="1" si="2"/>
        <v>13</v>
      </c>
      <c r="I127" s="1621" t="s">
        <v>3422</v>
      </c>
      <c r="J127" s="1670"/>
      <c r="K127" s="1563"/>
      <c r="L127" s="1563"/>
      <c r="M127" s="1563"/>
      <c r="N127" s="1563"/>
      <c r="O127" s="1563"/>
      <c r="P127" s="1563"/>
      <c r="Q127" s="1563"/>
      <c r="R127" s="1563"/>
      <c r="S127" s="1563"/>
      <c r="T127" s="1563"/>
      <c r="U127" s="1563"/>
      <c r="V127" s="1563"/>
      <c r="W127" s="1563"/>
      <c r="X127" s="1563"/>
      <c r="Y127" s="1563"/>
      <c r="Z127" s="1563"/>
      <c r="AA127" s="1563"/>
      <c r="AB127" s="1563"/>
      <c r="AC127" s="1563"/>
      <c r="AD127" s="1563"/>
      <c r="AE127" s="1563"/>
      <c r="AF127" s="1563"/>
      <c r="AG127" s="1563"/>
      <c r="AH127" s="1563"/>
      <c r="AI127" s="1563"/>
      <c r="AJ127" s="1563"/>
      <c r="AK127" s="1563"/>
      <c r="AL127" s="1563"/>
      <c r="AM127" s="1563"/>
      <c r="AN127" s="1563"/>
      <c r="AO127" s="1563"/>
      <c r="AP127" s="1563"/>
      <c r="AQ127" s="1563"/>
      <c r="AR127" s="1563"/>
      <c r="AS127" s="1563"/>
      <c r="AT127" s="1563"/>
      <c r="AU127" s="1563"/>
      <c r="AV127" s="1563"/>
      <c r="AW127" s="1563"/>
      <c r="AX127" s="1563"/>
      <c r="AY127" s="1563"/>
      <c r="AZ127" s="1563"/>
      <c r="BA127" s="3">
        <v>1</v>
      </c>
    </row>
    <row r="128" spans="1:53">
      <c r="A128" s="1563"/>
      <c r="B128" s="1563"/>
      <c r="C128" s="1563"/>
      <c r="D128" s="1563"/>
      <c r="E128" s="1563"/>
      <c r="F128" s="1563"/>
      <c r="G128" s="1563"/>
      <c r="H128" s="1563"/>
      <c r="I128" s="1563"/>
      <c r="J128" s="1563">
        <v>1</v>
      </c>
      <c r="K128" s="2012" t="s">
        <v>3477</v>
      </c>
      <c r="L128" s="1563"/>
      <c r="M128" s="1563"/>
      <c r="N128" s="1563"/>
      <c r="O128" s="1563"/>
      <c r="P128" s="1563"/>
      <c r="Q128" s="1563"/>
      <c r="R128" s="1563"/>
      <c r="S128" s="1563"/>
      <c r="T128" s="1563"/>
      <c r="U128" s="1563"/>
      <c r="V128" s="1563"/>
      <c r="W128" s="1563"/>
      <c r="X128" s="1563"/>
      <c r="Y128" s="1563"/>
      <c r="Z128" s="1563"/>
      <c r="AA128" s="1563"/>
      <c r="AB128" s="1563"/>
      <c r="AC128" s="1563"/>
      <c r="AD128" s="1563"/>
      <c r="AE128" s="1563"/>
      <c r="AF128" s="1563"/>
      <c r="AG128" s="1563"/>
      <c r="AH128" s="1563"/>
      <c r="AI128" s="1563"/>
      <c r="AJ128" s="1563"/>
      <c r="AK128" s="1563"/>
      <c r="AL128" s="1563"/>
      <c r="AM128" s="1563"/>
      <c r="AN128" s="1563"/>
      <c r="AO128" s="1563"/>
      <c r="AP128" s="1563"/>
      <c r="AQ128" s="1563"/>
      <c r="AR128" s="1563"/>
      <c r="AS128" s="1563"/>
      <c r="AT128" s="1563"/>
      <c r="AU128" s="1563"/>
      <c r="AV128" s="1563"/>
      <c r="AW128" s="1563"/>
      <c r="AX128" s="1563"/>
      <c r="AY128" s="1563"/>
      <c r="AZ128" s="1563"/>
      <c r="BA128" s="3">
        <v>1</v>
      </c>
    </row>
    <row r="129" spans="1:53" ht="16.5" thickBot="1">
      <c r="A129" s="1563"/>
      <c r="B129" s="1557" t="s">
        <v>3516</v>
      </c>
      <c r="C129" s="1557"/>
      <c r="D129" s="1563"/>
      <c r="E129" s="1563"/>
      <c r="F129" s="1563"/>
      <c r="G129" s="1563"/>
      <c r="H129" s="1563"/>
      <c r="I129" s="2013" t="s">
        <v>8575</v>
      </c>
      <c r="J129" s="1563"/>
      <c r="K129" s="2012" t="s">
        <v>3480</v>
      </c>
      <c r="L129" s="1563"/>
      <c r="M129" s="1563"/>
      <c r="N129" s="1563"/>
      <c r="O129" s="1563"/>
      <c r="P129" s="1563"/>
      <c r="Q129" s="1563"/>
      <c r="R129" s="1563"/>
      <c r="S129" s="1563"/>
      <c r="T129" s="1563"/>
      <c r="U129" s="1563"/>
      <c r="V129" s="1563"/>
      <c r="W129" s="1563"/>
      <c r="X129" s="1563"/>
      <c r="Y129" s="1563"/>
      <c r="Z129" s="1563"/>
      <c r="AA129" s="1563"/>
      <c r="AB129" s="1563"/>
      <c r="AC129" s="1563"/>
      <c r="AD129" s="1563"/>
      <c r="AE129" s="1563"/>
      <c r="AF129" s="1563"/>
      <c r="AG129" s="1563"/>
      <c r="AH129" s="1563"/>
      <c r="AI129" s="1563"/>
      <c r="AJ129" s="1563"/>
      <c r="AK129" s="1563"/>
      <c r="AL129" s="1563"/>
      <c r="AM129" s="1563"/>
      <c r="AN129" s="1563"/>
      <c r="AO129" s="1563"/>
      <c r="AP129" s="1563"/>
      <c r="AQ129" s="1563"/>
      <c r="AR129" s="1563"/>
      <c r="AS129" s="1563"/>
      <c r="AT129" s="1563"/>
      <c r="AU129" s="1563"/>
      <c r="AV129" s="1563"/>
      <c r="AW129" s="1563"/>
      <c r="AX129" s="1563"/>
      <c r="AY129" s="1563"/>
      <c r="AZ129" s="1563"/>
      <c r="BA129" s="3">
        <v>1</v>
      </c>
    </row>
    <row r="130" spans="1:53" ht="23.25">
      <c r="A130" s="1563">
        <v>1</v>
      </c>
      <c r="B130" s="5886" t="s">
        <v>167</v>
      </c>
      <c r="C130" s="5917" t="s">
        <v>3488</v>
      </c>
      <c r="D130" s="5917"/>
      <c r="E130" s="5917"/>
      <c r="F130" s="5917"/>
      <c r="G130" s="2014"/>
      <c r="H130" s="2015" t="str">
        <f>E138</f>
        <v>❻ Foisonnement</v>
      </c>
      <c r="I130" s="2016" t="s">
        <v>8576</v>
      </c>
      <c r="J130" s="1670"/>
      <c r="K130" s="1670"/>
      <c r="L130" s="2008" t="s">
        <v>3401</v>
      </c>
      <c r="M130" s="1563"/>
      <c r="N130" s="1563"/>
      <c r="O130" s="1563"/>
      <c r="P130" s="1563"/>
      <c r="Q130" s="1563"/>
      <c r="R130" s="1563"/>
      <c r="S130" s="1563"/>
      <c r="T130" s="1563"/>
      <c r="U130" s="1563"/>
      <c r="V130" s="1563"/>
      <c r="W130" s="1563"/>
      <c r="X130" s="1563"/>
      <c r="Y130" s="1563"/>
      <c r="Z130" s="1563"/>
      <c r="AA130" s="1563"/>
      <c r="AB130" s="1563"/>
      <c r="AC130" s="1563"/>
      <c r="AD130" s="1563"/>
      <c r="AE130" s="1563"/>
      <c r="AF130" s="1563"/>
      <c r="AG130" s="1563"/>
      <c r="AH130" s="1563"/>
      <c r="AI130" s="1563"/>
      <c r="AJ130" s="1563"/>
      <c r="AK130" s="1563"/>
      <c r="AL130" s="1563"/>
      <c r="AM130" s="1563"/>
      <c r="AN130" s="1563"/>
      <c r="AO130" s="1563"/>
      <c r="AP130" s="1563"/>
      <c r="AQ130" s="1563"/>
      <c r="AR130" s="1563"/>
      <c r="AS130" s="1563"/>
      <c r="AT130" s="1563"/>
      <c r="AU130" s="1563"/>
      <c r="AV130" s="1563"/>
      <c r="AW130" s="1563"/>
      <c r="AX130" s="1563"/>
      <c r="AY130" s="1563"/>
      <c r="AZ130" s="1563"/>
      <c r="BA130" s="3">
        <v>1</v>
      </c>
    </row>
    <row r="131" spans="1:53">
      <c r="A131" s="1563"/>
      <c r="B131" s="5887"/>
      <c r="C131" s="2017"/>
      <c r="D131" s="2017"/>
      <c r="E131" s="2018"/>
      <c r="F131" s="2019" t="s">
        <v>3517</v>
      </c>
      <c r="G131" s="2020" t="str">
        <f>IF(F137=D153,"CRU- Brut ou à cuire","CUIT - Net à servir")</f>
        <v>CUIT - Net à servir</v>
      </c>
      <c r="H131" s="2021"/>
      <c r="I131" s="2022" t="str">
        <f>HYPERLINK("#"&amp;ADDRESS(ROW(G131),COLUMN(G131),4),"◀"&amp;ADDRESS(ROW(G131),COLUMN(G131),4))</f>
        <v>◀G131</v>
      </c>
      <c r="J131" s="2023" t="str">
        <f>G131</f>
        <v>CUIT - Net à servir</v>
      </c>
      <c r="K131" s="1640" t="str">
        <f ca="1">_xlfn.FORMULATEXT(G131)</f>
        <v>=SI(F137=D153;"CRU- Brut ou à cuire";"CUIT - Net à servir")</v>
      </c>
      <c r="L131" s="1563"/>
      <c r="M131" s="1563"/>
      <c r="N131" s="1563"/>
      <c r="O131" s="1563"/>
      <c r="P131" s="1563"/>
      <c r="Q131" s="1563"/>
      <c r="R131" s="1563"/>
      <c r="S131" s="1563"/>
      <c r="T131" s="1563"/>
      <c r="U131" s="1563"/>
      <c r="V131" s="1563"/>
      <c r="W131" s="1563"/>
      <c r="X131" s="1563"/>
      <c r="Y131" s="1563"/>
      <c r="Z131" s="1563"/>
      <c r="AA131" s="1563"/>
      <c r="AB131" s="1563"/>
      <c r="AC131" s="1563"/>
      <c r="AD131" s="1563"/>
      <c r="AE131" s="1563"/>
      <c r="AF131" s="1563"/>
      <c r="AG131" s="1563"/>
      <c r="AH131" s="1563"/>
      <c r="AI131" s="1563"/>
      <c r="AJ131" s="1563"/>
      <c r="AK131" s="1563"/>
      <c r="AL131" s="1563"/>
      <c r="AM131" s="1563"/>
      <c r="AN131" s="1563"/>
      <c r="AO131" s="1563"/>
      <c r="AP131" s="1563"/>
      <c r="AQ131" s="1563"/>
      <c r="AR131" s="1563"/>
      <c r="AS131" s="1563"/>
      <c r="AT131" s="1563"/>
      <c r="AU131" s="1563"/>
      <c r="AV131" s="1563"/>
      <c r="AW131" s="1563"/>
      <c r="AX131" s="1563"/>
      <c r="AY131" s="1563"/>
      <c r="AZ131" s="1563"/>
      <c r="BA131" s="3">
        <v>1</v>
      </c>
    </row>
    <row r="132" spans="1:53" ht="23.25">
      <c r="A132" s="1563"/>
      <c r="B132" s="5918">
        <v>3</v>
      </c>
      <c r="C132" s="5920" t="str">
        <f>D134</f>
        <v>Semoule (poids cru)</v>
      </c>
      <c r="D132" s="5920"/>
      <c r="E132" s="5920"/>
      <c r="F132" s="5920"/>
      <c r="G132" s="5920"/>
      <c r="H132" s="5921"/>
      <c r="I132" s="2022" t="str">
        <f>HYPERLINK("#"&amp;ADDRESS(ROW(E133),COLUMN(E133),4),"◀"&amp;ADDRESS(ROW(E133),COLUMN(E133),4))</f>
        <v>◀E133</v>
      </c>
      <c r="J132" s="2024">
        <f>E133</f>
        <v>5</v>
      </c>
      <c r="K132" s="1640" t="str">
        <f ca="1">_xlfn.FORMULATEXT(E133)</f>
        <v>=ENT(E143/E137)</v>
      </c>
      <c r="L132" s="1563"/>
      <c r="M132" s="1563"/>
      <c r="N132" s="1563"/>
      <c r="O132" s="1563"/>
      <c r="P132" s="1563"/>
      <c r="Q132" s="1563"/>
      <c r="R132" s="1563"/>
      <c r="S132" s="1563"/>
      <c r="T132" s="1563"/>
      <c r="U132" s="1563"/>
      <c r="V132" s="1563"/>
      <c r="W132" s="1563"/>
      <c r="X132" s="1563"/>
      <c r="Y132" s="1563"/>
      <c r="Z132" s="1563"/>
      <c r="AA132" s="1563"/>
      <c r="AB132" s="1563"/>
      <c r="AC132" s="1563"/>
      <c r="AD132" s="1563"/>
      <c r="AE132" s="1563"/>
      <c r="AF132" s="1563"/>
      <c r="AG132" s="1563"/>
      <c r="AH132" s="1563"/>
      <c r="AI132" s="1563"/>
      <c r="AJ132" s="1563"/>
      <c r="AK132" s="1563"/>
      <c r="AL132" s="1563"/>
      <c r="AM132" s="1563"/>
      <c r="AN132" s="1563"/>
      <c r="AO132" s="1563"/>
      <c r="AP132" s="1563"/>
      <c r="AQ132" s="1563"/>
      <c r="AR132" s="1563"/>
      <c r="AS132" s="1563"/>
      <c r="AT132" s="1563"/>
      <c r="AU132" s="1563"/>
      <c r="AV132" s="1563"/>
      <c r="AW132" s="1563"/>
      <c r="AX132" s="1563"/>
      <c r="AY132" s="1563"/>
      <c r="AZ132" s="1563"/>
      <c r="BA132" s="3">
        <v>1</v>
      </c>
    </row>
    <row r="133" spans="1:53">
      <c r="A133" s="1563"/>
      <c r="B133" s="5918"/>
      <c r="C133" s="2025"/>
      <c r="D133" s="2026" t="s">
        <v>3490</v>
      </c>
      <c r="E133" s="2027">
        <f>INT(E143/E137)</f>
        <v>5</v>
      </c>
      <c r="F133" s="2028">
        <f>IF(E133=0,0,IF(E144=0,0,E137))</f>
        <v>1</v>
      </c>
      <c r="G133" s="2029" t="str">
        <f>IF(F133*E133=0,"1 de",IF(E143=0,0,IF(E137=0,0,IF(F133*E133=E143,"",IF(H133&gt;0,"Plus 1 de")))))</f>
        <v/>
      </c>
      <c r="H133" s="2030" t="str">
        <f>IF(E137=0,0,IF(F133*E133=E143,"",MOD(E143,E137)))</f>
        <v/>
      </c>
      <c r="I133" s="2022" t="str">
        <f>HYPERLINK("#"&amp;ADDRESS(ROW(F133),COLUMN(F133),4),"◀"&amp;ADDRESS(ROW(F133),COLUMN(F133),4))</f>
        <v>◀F133</v>
      </c>
      <c r="J133" s="2031">
        <f>F133</f>
        <v>1</v>
      </c>
      <c r="K133" s="1640" t="str">
        <f ca="1">_xlfn.FORMULATEXT(F133)</f>
        <v>=SI(E133=0;0;SI(E144=0;0;E137))</v>
      </c>
      <c r="L133" s="1563"/>
      <c r="M133" s="1563"/>
      <c r="N133" s="1563"/>
      <c r="O133" s="1563"/>
      <c r="P133" s="1563"/>
      <c r="Q133" s="1563"/>
      <c r="R133" s="1563"/>
      <c r="S133" s="1563"/>
      <c r="T133" s="1563"/>
      <c r="U133" s="1563"/>
      <c r="V133" s="1563"/>
      <c r="W133" s="1563"/>
      <c r="X133" s="1563"/>
      <c r="Y133" s="1563"/>
      <c r="Z133" s="1563"/>
      <c r="AA133" s="1563"/>
      <c r="AB133" s="1563"/>
      <c r="AC133" s="1563"/>
      <c r="AD133" s="1563"/>
      <c r="AE133" s="1563"/>
      <c r="AF133" s="1563"/>
      <c r="AG133" s="1563"/>
      <c r="AH133" s="1563"/>
      <c r="AI133" s="1563"/>
      <c r="AJ133" s="1563"/>
      <c r="AK133" s="1563"/>
      <c r="AL133" s="1563"/>
      <c r="AM133" s="1563"/>
      <c r="AN133" s="1563"/>
      <c r="AO133" s="1563"/>
      <c r="AP133" s="1563"/>
      <c r="AQ133" s="1563"/>
      <c r="AR133" s="1563"/>
      <c r="AS133" s="1563"/>
      <c r="AT133" s="1563"/>
      <c r="AU133" s="1563"/>
      <c r="AV133" s="1563"/>
      <c r="AW133" s="1563"/>
      <c r="AX133" s="1563"/>
      <c r="AY133" s="1563"/>
      <c r="AZ133" s="1563"/>
      <c r="BA133" s="3">
        <v>1</v>
      </c>
    </row>
    <row r="134" spans="1:53" ht="18.75">
      <c r="A134" s="1563"/>
      <c r="B134" s="5918"/>
      <c r="C134" s="2032" t="s">
        <v>8577</v>
      </c>
      <c r="D134" s="2033" t="s">
        <v>8578</v>
      </c>
      <c r="E134" s="1694"/>
      <c r="F134" s="1586"/>
      <c r="G134" s="1586"/>
      <c r="H134" s="1695"/>
      <c r="I134" s="2022" t="str">
        <f>HYPERLINK("#"&amp;ADDRESS(ROW(G133),COLUMN(G133),4),"◀"&amp;ADDRESS(ROW(G133),COLUMN(G133),4))</f>
        <v>◀G133</v>
      </c>
      <c r="J134" s="2034" t="str">
        <f>G133</f>
        <v/>
      </c>
      <c r="K134" s="1640" t="str">
        <f ca="1">_xlfn.FORMULATEXT(G133)</f>
        <v>=SI(F133*E133=0;"1 de";SI(E143=0;0;SI(E137=0;0;SI(F133*E133=E143;"";SI(H133&gt;0;"Plus 1 de")))))</v>
      </c>
      <c r="L134" s="1563"/>
      <c r="M134" s="1563"/>
      <c r="N134" s="1563"/>
      <c r="O134" s="1563"/>
      <c r="P134" s="1563"/>
      <c r="Q134" s="1563"/>
      <c r="R134" s="1563"/>
      <c r="S134" s="1563"/>
      <c r="T134" s="1563"/>
      <c r="U134" s="1563"/>
      <c r="V134" s="1563"/>
      <c r="W134" s="1563"/>
      <c r="X134" s="1563"/>
      <c r="Y134" s="1563"/>
      <c r="Z134" s="1563"/>
      <c r="AA134" s="1563"/>
      <c r="AB134" s="1563"/>
      <c r="AC134" s="1563"/>
      <c r="AD134" s="1563"/>
      <c r="AE134" s="1563"/>
      <c r="AF134" s="1563"/>
      <c r="AG134" s="1563"/>
      <c r="AH134" s="1563"/>
      <c r="AI134" s="1563"/>
      <c r="AJ134" s="1563"/>
      <c r="AK134" s="1563"/>
      <c r="AL134" s="1563"/>
      <c r="AM134" s="1563"/>
      <c r="AN134" s="1563"/>
      <c r="AO134" s="1563"/>
      <c r="AP134" s="1563"/>
      <c r="AQ134" s="1563"/>
      <c r="AR134" s="1563"/>
      <c r="AS134" s="1563"/>
      <c r="AT134" s="1563"/>
      <c r="AU134" s="1563"/>
      <c r="AV134" s="1563"/>
      <c r="AW134" s="1563"/>
      <c r="AX134" s="1563"/>
      <c r="AY134" s="1563"/>
      <c r="AZ134" s="1563"/>
      <c r="BA134" s="3">
        <v>1</v>
      </c>
    </row>
    <row r="135" spans="1:53">
      <c r="A135" s="1563"/>
      <c r="B135" s="5918"/>
      <c r="C135" s="1586"/>
      <c r="D135" s="1586"/>
      <c r="E135" s="1697" t="s">
        <v>3493</v>
      </c>
      <c r="F135" s="5911" t="s">
        <v>3494</v>
      </c>
      <c r="G135" s="5911"/>
      <c r="H135" s="5912"/>
      <c r="I135" s="2022" t="str">
        <f>HYPERLINK("#"&amp;ADDRESS(ROW(H133),COLUMN(H133),4),"◀"&amp;ADDRESS(ROW(H133),COLUMN(H133),4))</f>
        <v>◀H133</v>
      </c>
      <c r="J135" s="2035" t="str">
        <f>H133</f>
        <v/>
      </c>
      <c r="K135" s="1640" t="str">
        <f ca="1">_xlfn.FORMULATEXT(H133)</f>
        <v>=SI(E137=0;0;SI(F133*E133=E143;"";MOD(E143;E137)))</v>
      </c>
      <c r="L135" s="1563"/>
      <c r="M135" s="1563"/>
      <c r="N135" s="1563"/>
      <c r="O135" s="1563"/>
      <c r="P135" s="1563"/>
      <c r="Q135" s="1563"/>
      <c r="R135" s="1563"/>
      <c r="S135" s="1563"/>
      <c r="T135" s="1563"/>
      <c r="U135" s="1563"/>
      <c r="V135" s="1563"/>
      <c r="W135" s="1563"/>
      <c r="X135" s="1563"/>
      <c r="Y135" s="1563"/>
      <c r="Z135" s="1563"/>
      <c r="AA135" s="1563"/>
      <c r="AB135" s="1563"/>
      <c r="AC135" s="1563"/>
      <c r="AD135" s="1563"/>
      <c r="AE135" s="1563"/>
      <c r="AF135" s="1563"/>
      <c r="AG135" s="1563"/>
      <c r="AH135" s="1563"/>
      <c r="AI135" s="1563"/>
      <c r="AJ135" s="1563"/>
      <c r="AK135" s="1563"/>
      <c r="AL135" s="1563"/>
      <c r="AM135" s="1563"/>
      <c r="AN135" s="1563"/>
      <c r="AO135" s="1563"/>
      <c r="AP135" s="1563"/>
      <c r="AQ135" s="1563"/>
      <c r="AR135" s="1563"/>
      <c r="AS135" s="1563"/>
      <c r="AT135" s="1563"/>
      <c r="AU135" s="1563"/>
      <c r="AV135" s="1563"/>
      <c r="AW135" s="1563"/>
      <c r="AX135" s="1563"/>
      <c r="AY135" s="1563"/>
      <c r="AZ135" s="1563"/>
      <c r="BA135" s="3">
        <v>1</v>
      </c>
    </row>
    <row r="136" spans="1:53">
      <c r="A136" s="1563"/>
      <c r="B136" s="5918"/>
      <c r="C136" s="1586"/>
      <c r="D136" s="1699"/>
      <c r="E136" s="1700"/>
      <c r="F136" s="1701" t="s">
        <v>3495</v>
      </c>
      <c r="G136" s="1699"/>
      <c r="H136" s="1695"/>
      <c r="I136" s="2022"/>
      <c r="J136" s="2036"/>
      <c r="K136" s="1586"/>
      <c r="L136" s="1563"/>
      <c r="M136" s="1563"/>
      <c r="N136" s="1563"/>
      <c r="O136" s="1563"/>
      <c r="P136" s="1563"/>
      <c r="Q136" s="1563"/>
      <c r="R136" s="1563"/>
      <c r="S136" s="1563"/>
      <c r="T136" s="1563"/>
      <c r="U136" s="1563"/>
      <c r="V136" s="1563"/>
      <c r="W136" s="1563"/>
      <c r="X136" s="1563"/>
      <c r="Y136" s="1563"/>
      <c r="Z136" s="1563"/>
      <c r="AA136" s="1563"/>
      <c r="AB136" s="1563"/>
      <c r="AC136" s="1563"/>
      <c r="AD136" s="1563"/>
      <c r="AE136" s="1563"/>
      <c r="AF136" s="1563"/>
      <c r="AG136" s="1563"/>
      <c r="AH136" s="1563"/>
      <c r="AI136" s="1563"/>
      <c r="AJ136" s="1563"/>
      <c r="AK136" s="1563"/>
      <c r="AL136" s="1563"/>
      <c r="AM136" s="1563"/>
      <c r="AN136" s="1563"/>
      <c r="AO136" s="1563"/>
      <c r="AP136" s="1563"/>
      <c r="AQ136" s="1563"/>
      <c r="AR136" s="1563"/>
      <c r="AS136" s="1563"/>
      <c r="AT136" s="1563"/>
      <c r="AU136" s="1563"/>
      <c r="AV136" s="1563"/>
      <c r="AW136" s="1563"/>
      <c r="AX136" s="1563"/>
      <c r="AY136" s="1563"/>
      <c r="AZ136" s="1563"/>
      <c r="BA136" s="3">
        <v>1</v>
      </c>
    </row>
    <row r="137" spans="1:53">
      <c r="A137" s="1563"/>
      <c r="B137" s="5918"/>
      <c r="C137" s="1703"/>
      <c r="D137" s="1704" t="s">
        <v>3496</v>
      </c>
      <c r="E137" s="1745">
        <v>1</v>
      </c>
      <c r="F137" s="2011" t="s">
        <v>3486</v>
      </c>
      <c r="G137" s="1706">
        <f>IF(F137=D153,E137*F138,IF(F137=D154,E137/F138))</f>
        <v>0.5</v>
      </c>
      <c r="H137" s="1707" t="str">
        <f>H140</f>
        <v>❹ Kg cru</v>
      </c>
      <c r="I137" s="2037" t="str">
        <f>HYPERLINK("#"&amp;ADDRESS(ROW(G139),COLUMN(G139),4),"◀"&amp;ADDRESS(ROW(G139),COLUMN(G139),4))</f>
        <v>◀G139</v>
      </c>
      <c r="J137" s="1672">
        <f>G137</f>
        <v>0.5</v>
      </c>
      <c r="K137" s="1640" t="str">
        <f ca="1">_xlfn.FORMULATEXT(G137)</f>
        <v>=SI(F137=D153;E137*F138;SI(F137=D154;E137/F138))</v>
      </c>
      <c r="L137" s="1563"/>
      <c r="M137" s="1563"/>
      <c r="N137" s="1563"/>
      <c r="O137" s="1563"/>
      <c r="P137" s="1563"/>
      <c r="Q137" s="1563"/>
      <c r="R137" s="1563"/>
      <c r="S137" s="1563"/>
      <c r="T137" s="1563"/>
      <c r="U137" s="1563"/>
      <c r="V137" s="1563"/>
      <c r="W137" s="1563"/>
      <c r="X137" s="1563"/>
      <c r="Y137" s="1563"/>
      <c r="Z137" s="1563"/>
      <c r="AA137" s="1563"/>
      <c r="AB137" s="1563"/>
      <c r="AC137" s="1563"/>
      <c r="AD137" s="1563"/>
      <c r="AE137" s="1563"/>
      <c r="AF137" s="1563"/>
      <c r="AG137" s="1563"/>
      <c r="AH137" s="1563"/>
      <c r="AI137" s="1563"/>
      <c r="AJ137" s="1563"/>
      <c r="AK137" s="1563"/>
      <c r="AL137" s="1563"/>
      <c r="AM137" s="1563"/>
      <c r="AN137" s="1563"/>
      <c r="AO137" s="1563"/>
      <c r="AP137" s="1563"/>
      <c r="AQ137" s="1563"/>
      <c r="AR137" s="1563"/>
      <c r="AS137" s="1563"/>
      <c r="AT137" s="1563"/>
      <c r="AU137" s="1563"/>
      <c r="AV137" s="1563"/>
      <c r="AW137" s="1563"/>
      <c r="AX137" s="1563"/>
      <c r="AY137" s="1563"/>
      <c r="AZ137" s="1563"/>
      <c r="BA137" s="3">
        <v>1</v>
      </c>
    </row>
    <row r="138" spans="1:53">
      <c r="A138" s="1563"/>
      <c r="B138" s="5918"/>
      <c r="C138" s="1586"/>
      <c r="D138" s="1670"/>
      <c r="E138" s="2038" t="s">
        <v>3509</v>
      </c>
      <c r="F138" s="1746">
        <v>2</v>
      </c>
      <c r="G138" s="1747" t="str">
        <f>IF(F137=D153,"cru X par","cuit / par")</f>
        <v>cuit / par</v>
      </c>
      <c r="H138" s="2039">
        <f>F138</f>
        <v>2</v>
      </c>
      <c r="I138" s="2022" t="str">
        <f>HYPERLINK("#"&amp;ADDRESS(ROW(G138),COLUMN(G138),4),"◀"&amp;ADDRESS(ROW(G138),COLUMN(G138),4))</f>
        <v>◀G138</v>
      </c>
      <c r="J138" s="2040" t="str">
        <f>G138</f>
        <v>cuit / par</v>
      </c>
      <c r="K138" s="1640" t="str">
        <f ca="1">_xlfn.FORMULATEXT(G138)</f>
        <v>=SI(F137=D153;"cru X par";"cuit / par")</v>
      </c>
      <c r="L138" s="1563"/>
      <c r="M138" s="1563"/>
      <c r="N138" s="1563"/>
      <c r="O138" s="1563"/>
      <c r="P138" s="1563"/>
      <c r="Q138" s="1563"/>
      <c r="R138" s="1563"/>
      <c r="S138" s="1563"/>
      <c r="T138" s="1563"/>
      <c r="U138" s="1563"/>
      <c r="V138" s="1563"/>
      <c r="W138" s="1563"/>
      <c r="X138" s="1563"/>
      <c r="Y138" s="1563"/>
      <c r="Z138" s="1563"/>
      <c r="AA138" s="1563"/>
      <c r="AB138" s="1563"/>
      <c r="AC138" s="1563"/>
      <c r="AD138" s="1563"/>
      <c r="AE138" s="1563"/>
      <c r="AF138" s="1563"/>
      <c r="AG138" s="1563"/>
      <c r="AH138" s="1563"/>
      <c r="AI138" s="1563"/>
      <c r="AJ138" s="1563"/>
      <c r="AK138" s="1563"/>
      <c r="AL138" s="1563"/>
      <c r="AM138" s="1563"/>
      <c r="AN138" s="1563"/>
      <c r="AO138" s="1563"/>
      <c r="AP138" s="1563"/>
      <c r="AQ138" s="1563"/>
      <c r="AR138" s="1563"/>
      <c r="AS138" s="1563"/>
      <c r="AT138" s="1563"/>
      <c r="AU138" s="1563"/>
      <c r="AV138" s="1563"/>
      <c r="AW138" s="1563"/>
      <c r="AX138" s="1563"/>
      <c r="AY138" s="1563"/>
      <c r="AZ138" s="1563"/>
      <c r="BA138" s="3">
        <v>1</v>
      </c>
    </row>
    <row r="139" spans="1:53">
      <c r="A139" s="1563"/>
      <c r="B139" s="5918"/>
      <c r="C139" s="1586"/>
      <c r="D139" s="1586"/>
      <c r="E139" s="1586"/>
      <c r="F139" s="1586"/>
      <c r="G139" s="1586"/>
      <c r="H139" s="1695"/>
      <c r="I139" s="2022"/>
      <c r="J139" s="2036"/>
      <c r="K139" s="1586"/>
      <c r="L139" s="1563"/>
      <c r="M139" s="1563"/>
      <c r="N139" s="1563"/>
      <c r="O139" s="1563"/>
      <c r="P139" s="1563"/>
      <c r="Q139" s="1563"/>
      <c r="R139" s="1563"/>
      <c r="S139" s="1563"/>
      <c r="T139" s="1563"/>
      <c r="U139" s="1563"/>
      <c r="V139" s="1563"/>
      <c r="W139" s="1563"/>
      <c r="X139" s="1563"/>
      <c r="Y139" s="1563"/>
      <c r="Z139" s="1563"/>
      <c r="AA139" s="1563"/>
      <c r="AB139" s="1563"/>
      <c r="AC139" s="1563"/>
      <c r="AD139" s="1563"/>
      <c r="AE139" s="1563"/>
      <c r="AF139" s="1563"/>
      <c r="AG139" s="1563"/>
      <c r="AH139" s="1563"/>
      <c r="AI139" s="1563"/>
      <c r="AJ139" s="1563"/>
      <c r="AK139" s="1563"/>
      <c r="AL139" s="1563"/>
      <c r="AM139" s="1563"/>
      <c r="AN139" s="1563"/>
      <c r="AO139" s="1563"/>
      <c r="AP139" s="1563"/>
      <c r="AQ139" s="1563"/>
      <c r="AR139" s="1563"/>
      <c r="AS139" s="1563"/>
      <c r="AT139" s="1563"/>
      <c r="AU139" s="1563"/>
      <c r="AV139" s="1563"/>
      <c r="AW139" s="1563"/>
      <c r="AX139" s="1563"/>
      <c r="AY139" s="1563"/>
      <c r="AZ139" s="1563"/>
      <c r="BA139" s="3">
        <v>1</v>
      </c>
    </row>
    <row r="140" spans="1:53">
      <c r="A140" s="1563"/>
      <c r="B140" s="5918"/>
      <c r="C140" s="1586"/>
      <c r="D140" s="1711" t="s">
        <v>3497</v>
      </c>
      <c r="E140" s="2041">
        <v>0.05</v>
      </c>
      <c r="F140" s="1713" t="str">
        <f>F137</f>
        <v>❺ Kg cuit</v>
      </c>
      <c r="G140" s="1706">
        <f>IF(F137=D153,E140*F138,IF(F137=D154,E140/F138))</f>
        <v>2.5000000000000001E-2</v>
      </c>
      <c r="H140" s="1714" t="str">
        <f>IF(F140=D153,D154,D153)</f>
        <v>❹ Kg cru</v>
      </c>
      <c r="I140" s="2022" t="str">
        <f>HYPERLINK("#"&amp;ADDRESS(ROW(G140),COLUMN(G140),4),"◀"&amp;ADDRESS(ROW(G140),COLUMN(G140),4))</f>
        <v>◀G140</v>
      </c>
      <c r="J140" s="1672">
        <f>G140</f>
        <v>2.5000000000000001E-2</v>
      </c>
      <c r="K140" s="2042" t="str">
        <f ca="1">_xlfn.FORMULATEXT(G140)</f>
        <v>=SI(F137=D153;E140*F138;SI(F137=D154;E140/F138))</v>
      </c>
      <c r="L140" s="1563"/>
      <c r="M140" s="1563"/>
      <c r="N140" s="1563"/>
      <c r="O140" s="1563"/>
      <c r="P140" s="1563"/>
      <c r="Q140" s="1563"/>
      <c r="R140" s="1563"/>
      <c r="S140" s="1563"/>
      <c r="T140" s="1563"/>
      <c r="U140" s="1563"/>
      <c r="V140" s="1563"/>
      <c r="W140" s="1563"/>
      <c r="X140" s="1563"/>
      <c r="Y140" s="1563"/>
      <c r="Z140" s="1563"/>
      <c r="AA140" s="1563"/>
      <c r="AB140" s="1563"/>
      <c r="AC140" s="1563"/>
      <c r="AD140" s="1563"/>
      <c r="AE140" s="1563"/>
      <c r="AF140" s="1563"/>
      <c r="AG140" s="1563"/>
      <c r="AH140" s="1563"/>
      <c r="AI140" s="1563"/>
      <c r="AJ140" s="1563"/>
      <c r="AK140" s="1563"/>
      <c r="AL140" s="1563"/>
      <c r="AM140" s="1563"/>
      <c r="AN140" s="1563"/>
      <c r="AO140" s="1563"/>
      <c r="AP140" s="1563"/>
      <c r="AQ140" s="1563"/>
      <c r="AR140" s="1563"/>
      <c r="AS140" s="1563"/>
      <c r="AT140" s="1563"/>
      <c r="AU140" s="1563"/>
      <c r="AV140" s="1563"/>
      <c r="AW140" s="1563"/>
      <c r="AX140" s="1563"/>
      <c r="AY140" s="1563"/>
      <c r="AZ140" s="1563"/>
      <c r="BA140" s="3">
        <v>1</v>
      </c>
    </row>
    <row r="141" spans="1:53">
      <c r="A141" s="1563"/>
      <c r="B141" s="5918"/>
      <c r="C141" s="1586"/>
      <c r="D141" s="1715" t="s">
        <v>3498</v>
      </c>
      <c r="E141" s="1748">
        <v>100</v>
      </c>
      <c r="F141" s="1749" t="s">
        <v>36</v>
      </c>
      <c r="G141" s="1586"/>
      <c r="H141" s="1718"/>
      <c r="I141" s="2022" t="str">
        <f>HYPERLINK("#"&amp;ADDRESS(ROW(H140),COLUMN(H140),4),"◀"&amp;ADDRESS(ROW(H140),COLUMN(H140),4))</f>
        <v>◀H140</v>
      </c>
      <c r="J141" s="2043" t="str">
        <f>H140</f>
        <v>❹ Kg cru</v>
      </c>
      <c r="K141" s="1640" t="str">
        <f ca="1">_xlfn.FORMULATEXT(H140)</f>
        <v>=SI(F140=D153;D154;D153)</v>
      </c>
      <c r="L141" s="1563"/>
      <c r="M141" s="1563"/>
      <c r="N141" s="1563"/>
      <c r="O141" s="1563"/>
      <c r="P141" s="1563"/>
      <c r="Q141" s="1563"/>
      <c r="R141" s="1563"/>
      <c r="S141" s="1563"/>
      <c r="T141" s="1563"/>
      <c r="U141" s="1563"/>
      <c r="V141" s="1563"/>
      <c r="W141" s="1563"/>
      <c r="X141" s="1563"/>
      <c r="Y141" s="1563"/>
      <c r="Z141" s="1563"/>
      <c r="AA141" s="1563"/>
      <c r="AB141" s="1563"/>
      <c r="AC141" s="1563"/>
      <c r="AD141" s="1563"/>
      <c r="AE141" s="1563"/>
      <c r="AF141" s="1563"/>
      <c r="AG141" s="1563"/>
      <c r="AH141" s="1563"/>
      <c r="AI141" s="1563"/>
      <c r="AJ141" s="1563"/>
      <c r="AK141" s="1563"/>
      <c r="AL141" s="1563"/>
      <c r="AM141" s="1563"/>
      <c r="AN141" s="1563"/>
      <c r="AO141" s="1563"/>
      <c r="AP141" s="1563"/>
      <c r="AQ141" s="1563"/>
      <c r="AR141" s="1563"/>
      <c r="AS141" s="1563"/>
      <c r="AT141" s="1563"/>
      <c r="AU141" s="1563"/>
      <c r="AV141" s="1563"/>
      <c r="AW141" s="1563"/>
      <c r="AX141" s="1563"/>
      <c r="AY141" s="1563"/>
      <c r="AZ141" s="1563"/>
      <c r="BA141" s="3">
        <v>1</v>
      </c>
    </row>
    <row r="142" spans="1:53">
      <c r="A142" s="1563"/>
      <c r="B142" s="5918"/>
      <c r="C142" s="1586"/>
      <c r="D142" s="1586"/>
      <c r="E142" s="1586"/>
      <c r="F142" s="1586"/>
      <c r="G142" s="1586"/>
      <c r="H142" s="1695"/>
      <c r="I142" s="2022"/>
      <c r="J142" s="2036"/>
      <c r="K142" s="1586"/>
      <c r="L142" s="1563"/>
      <c r="M142" s="1563"/>
      <c r="N142" s="1563"/>
      <c r="O142" s="1563"/>
      <c r="P142" s="1563"/>
      <c r="Q142" s="1563"/>
      <c r="R142" s="1563"/>
      <c r="S142" s="1563"/>
      <c r="T142" s="1563"/>
      <c r="U142" s="1563"/>
      <c r="V142" s="1563"/>
      <c r="W142" s="1563"/>
      <c r="X142" s="1563"/>
      <c r="Y142" s="1563"/>
      <c r="Z142" s="1563"/>
      <c r="AA142" s="1563"/>
      <c r="AB142" s="1563"/>
      <c r="AC142" s="1563"/>
      <c r="AD142" s="1563"/>
      <c r="AE142" s="1563"/>
      <c r="AF142" s="1563"/>
      <c r="AG142" s="1563"/>
      <c r="AH142" s="1563"/>
      <c r="AI142" s="1563"/>
      <c r="AJ142" s="1563"/>
      <c r="AK142" s="1563"/>
      <c r="AL142" s="1563"/>
      <c r="AM142" s="1563"/>
      <c r="AN142" s="1563"/>
      <c r="AO142" s="1563"/>
      <c r="AP142" s="1563"/>
      <c r="AQ142" s="1563"/>
      <c r="AR142" s="1563"/>
      <c r="AS142" s="1563"/>
      <c r="AT142" s="1563"/>
      <c r="AU142" s="1563"/>
      <c r="AV142" s="1563"/>
      <c r="AW142" s="1563"/>
      <c r="AX142" s="1563"/>
      <c r="AY142" s="1563"/>
      <c r="AZ142" s="1563"/>
      <c r="BA142" s="3">
        <v>1</v>
      </c>
    </row>
    <row r="143" spans="1:53">
      <c r="A143" s="1563"/>
      <c r="B143" s="5918"/>
      <c r="C143" s="1586"/>
      <c r="D143" s="1719" t="s">
        <v>3499</v>
      </c>
      <c r="E143" s="1720">
        <f>IF(E137=0,0,E140*E141)</f>
        <v>5</v>
      </c>
      <c r="F143" s="1721" t="str">
        <f>F137</f>
        <v>❺ Kg cuit</v>
      </c>
      <c r="G143" s="1722">
        <f>IF(E137=0,0,G140*E141)</f>
        <v>2.5</v>
      </c>
      <c r="H143" s="1723" t="str">
        <f>H140</f>
        <v>❹ Kg cru</v>
      </c>
      <c r="I143" s="2022" t="str">
        <f>HYPERLINK("#"&amp;ADDRESS(ROW(E143),COLUMN(E143),4),"◀"&amp;ADDRESS(ROW(E143),COLUMN(E143),4))</f>
        <v>◀E143</v>
      </c>
      <c r="J143" s="1720">
        <f>E143</f>
        <v>5</v>
      </c>
      <c r="K143" s="1640" t="str">
        <f ca="1">_xlfn.FORMULATEXT(E143)</f>
        <v>=SI(E137=0;0;E140*E141)</v>
      </c>
      <c r="L143" s="1563"/>
      <c r="M143" s="2044" t="str">
        <f>ADDRESS(ROW(G143),COLUMN(G143),4)</f>
        <v>G143</v>
      </c>
      <c r="N143" s="1640" t="str">
        <f ca="1">_xlfn.FORMULATEXT(G143)</f>
        <v>=SI(E137=0;0;G140*E141)</v>
      </c>
      <c r="O143" s="1563"/>
      <c r="P143" s="1563"/>
      <c r="Q143" s="1563"/>
      <c r="R143" s="1563"/>
      <c r="S143" s="1563"/>
      <c r="T143" s="1563"/>
      <c r="U143" s="1563"/>
      <c r="V143" s="1563"/>
      <c r="W143" s="1563"/>
      <c r="X143" s="1563"/>
      <c r="Y143" s="1563"/>
      <c r="Z143" s="1563"/>
      <c r="AA143" s="1563"/>
      <c r="AB143" s="1563"/>
      <c r="AC143" s="1563"/>
      <c r="AD143" s="1563"/>
      <c r="AE143" s="1563"/>
      <c r="AF143" s="1563"/>
      <c r="AG143" s="1563"/>
      <c r="AH143" s="1563"/>
      <c r="AI143" s="1563"/>
      <c r="AJ143" s="1563"/>
      <c r="AK143" s="1563"/>
      <c r="AL143" s="1563"/>
      <c r="AM143" s="1563"/>
      <c r="AN143" s="1563"/>
      <c r="AO143" s="1563"/>
      <c r="AP143" s="1563"/>
      <c r="AQ143" s="1563"/>
      <c r="AR143" s="1563"/>
      <c r="AS143" s="1563"/>
      <c r="AT143" s="1563"/>
      <c r="AU143" s="1563"/>
      <c r="AV143" s="1563"/>
      <c r="AW143" s="1563"/>
      <c r="AX143" s="1563"/>
      <c r="AY143" s="1563"/>
      <c r="AZ143" s="1563"/>
      <c r="BA143" s="3">
        <v>1</v>
      </c>
    </row>
    <row r="144" spans="1:53">
      <c r="A144" s="1563"/>
      <c r="B144" s="5918"/>
      <c r="C144" s="1586"/>
      <c r="D144" s="1724" t="s">
        <v>3500</v>
      </c>
      <c r="E144" s="1725">
        <f>IF(E137=0,0,IF(MOD(E143,E137)&gt;MOD(E143,E137)/2,INT(E143/E137)+1,INT(E143/E137)))</f>
        <v>5</v>
      </c>
      <c r="F144" s="1728" t="s">
        <v>3501</v>
      </c>
      <c r="G144" s="1727">
        <f>IF(ISBLANK(E140),0,E137/E140)</f>
        <v>20</v>
      </c>
      <c r="H144" s="1695"/>
      <c r="I144" s="2022" t="str">
        <f>HYPERLINK("#"&amp;ADDRESS(ROW(E144),COLUMN(E144),4),"◀"&amp;ADDRESS(ROW(E144),COLUMN(E144),4))</f>
        <v>◀E144</v>
      </c>
      <c r="J144" s="1725">
        <f>E144</f>
        <v>5</v>
      </c>
      <c r="K144" s="1640" t="str">
        <f ca="1">_xlfn.FORMULATEXT(E144)</f>
        <v>=SI(E137=0;0;SI(MOD(E143;E137)&gt;MOD(E143;E137)/2;ENT(E143/E137)+1;ENT(E143/E137)))</v>
      </c>
      <c r="L144" s="1563"/>
      <c r="M144" s="1563"/>
      <c r="N144" s="1563"/>
      <c r="O144" s="1563"/>
      <c r="P144" s="1563"/>
      <c r="Q144" s="1585"/>
      <c r="R144" s="1585"/>
      <c r="S144" s="1585"/>
      <c r="T144" s="1585"/>
      <c r="U144" s="1563"/>
      <c r="V144" s="1563"/>
      <c r="W144" s="1563"/>
      <c r="X144" s="1563"/>
      <c r="Y144" s="1563"/>
      <c r="Z144" s="1563"/>
      <c r="AA144" s="1563"/>
      <c r="AB144" s="1563"/>
      <c r="AC144" s="1563"/>
      <c r="AD144" s="1563"/>
      <c r="AE144" s="1563"/>
      <c r="AF144" s="1563"/>
      <c r="AG144" s="1563"/>
      <c r="AH144" s="1563"/>
      <c r="AI144" s="1563"/>
      <c r="AJ144" s="1563"/>
      <c r="AK144" s="1563"/>
      <c r="AL144" s="1563"/>
      <c r="AM144" s="1563"/>
      <c r="AN144" s="1563"/>
      <c r="AO144" s="1563"/>
      <c r="AP144" s="1563"/>
      <c r="AQ144" s="1563"/>
      <c r="AR144" s="1563"/>
      <c r="AS144" s="1563"/>
      <c r="AT144" s="1563"/>
      <c r="AU144" s="1563"/>
      <c r="AV144" s="1563"/>
      <c r="AW144" s="1563"/>
      <c r="AX144" s="1563"/>
      <c r="AY144" s="1563"/>
      <c r="AZ144" s="1563"/>
      <c r="BA144" s="3">
        <v>1</v>
      </c>
    </row>
    <row r="145" spans="1:53">
      <c r="A145" s="1563"/>
      <c r="B145" s="5918"/>
      <c r="C145" s="1586"/>
      <c r="D145" s="1724"/>
      <c r="E145" s="1725"/>
      <c r="F145" s="1728"/>
      <c r="G145" s="1727"/>
      <c r="H145" s="1695"/>
      <c r="I145" s="2022" t="str">
        <f>HYPERLINK("#"&amp;ADDRESS(ROW(G144),COLUMN(G144),4),"◀"&amp;ADDRESS(ROW(G144),COLUMN(G144),4))</f>
        <v>◀G144</v>
      </c>
      <c r="J145" s="1727">
        <f>G144</f>
        <v>20</v>
      </c>
      <c r="K145" s="1640" t="str">
        <f ca="1">_xlfn.FORMULATEXT(G144)</f>
        <v>=SI(ESTVIDE(E140);0;E137/E140)</v>
      </c>
      <c r="L145" s="1563"/>
      <c r="M145" s="1563"/>
      <c r="N145" s="1563"/>
      <c r="O145" s="1563"/>
      <c r="P145" s="1563"/>
      <c r="Q145" s="1585"/>
      <c r="R145" s="1585"/>
      <c r="S145" s="1585"/>
      <c r="T145" s="1585"/>
      <c r="U145" s="1563"/>
      <c r="V145" s="1563"/>
      <c r="W145" s="1563"/>
      <c r="X145" s="1563"/>
      <c r="Y145" s="1563"/>
      <c r="Z145" s="1563"/>
      <c r="AA145" s="1563"/>
      <c r="AB145" s="1563"/>
      <c r="AC145" s="1563"/>
      <c r="AD145" s="1563"/>
      <c r="AE145" s="1563"/>
      <c r="AF145" s="1563"/>
      <c r="AG145" s="1563"/>
      <c r="AH145" s="1563"/>
      <c r="AI145" s="1563"/>
      <c r="AJ145" s="1563"/>
      <c r="AK145" s="1563"/>
      <c r="AL145" s="1563"/>
      <c r="AM145" s="1563"/>
      <c r="AN145" s="1563"/>
      <c r="AO145" s="1563"/>
      <c r="AP145" s="1563"/>
      <c r="AQ145" s="1563"/>
      <c r="AR145" s="1563"/>
      <c r="AS145" s="1563"/>
      <c r="AT145" s="1563"/>
      <c r="AU145" s="1563"/>
      <c r="AV145" s="1563"/>
      <c r="AW145" s="1563"/>
      <c r="AX145" s="1563"/>
      <c r="AY145" s="1563"/>
      <c r="AZ145" s="1563"/>
      <c r="BA145" s="3">
        <v>1</v>
      </c>
    </row>
    <row r="146" spans="1:53">
      <c r="A146" s="1563"/>
      <c r="B146" s="5918"/>
      <c r="C146" s="5913" t="s">
        <v>3502</v>
      </c>
      <c r="D146" s="5913"/>
      <c r="E146" s="5913"/>
      <c r="F146" s="5913"/>
      <c r="G146" s="5913"/>
      <c r="H146" s="5914"/>
      <c r="I146" s="1563"/>
      <c r="J146" s="1563"/>
      <c r="K146" s="1563"/>
      <c r="L146" s="1563"/>
      <c r="M146" s="1563"/>
      <c r="N146" s="1563"/>
      <c r="O146" s="1563"/>
      <c r="P146" s="1563"/>
      <c r="Q146" s="1585"/>
      <c r="R146" s="1585"/>
      <c r="S146" s="1585"/>
      <c r="T146" s="1585"/>
      <c r="U146" s="1563"/>
      <c r="V146" s="1563"/>
      <c r="W146" s="1563"/>
      <c r="X146" s="1563"/>
      <c r="Y146" s="1563"/>
      <c r="Z146" s="1563"/>
      <c r="AA146" s="1563"/>
      <c r="AB146" s="1563"/>
      <c r="AC146" s="1563"/>
      <c r="AD146" s="1563"/>
      <c r="AE146" s="1563"/>
      <c r="AF146" s="1563"/>
      <c r="AG146" s="1563"/>
      <c r="AH146" s="1563"/>
      <c r="AI146" s="1563"/>
      <c r="AJ146" s="1563"/>
      <c r="AK146" s="1563"/>
      <c r="AL146" s="1563"/>
      <c r="AM146" s="1563"/>
      <c r="AN146" s="1563"/>
      <c r="AO146" s="1563"/>
      <c r="AP146" s="1563"/>
      <c r="AQ146" s="1563"/>
      <c r="AR146" s="1563"/>
      <c r="AS146" s="1563"/>
      <c r="AT146" s="1563"/>
      <c r="AU146" s="1563"/>
      <c r="AV146" s="1563"/>
      <c r="AW146" s="1563"/>
      <c r="AX146" s="1563"/>
      <c r="AY146" s="1563"/>
      <c r="AZ146" s="1563"/>
      <c r="BA146" s="3">
        <v>1</v>
      </c>
    </row>
    <row r="147" spans="1:53">
      <c r="A147" s="1563"/>
      <c r="B147" s="5918"/>
      <c r="C147" s="5913"/>
      <c r="D147" s="5913"/>
      <c r="E147" s="5913"/>
      <c r="F147" s="5913"/>
      <c r="G147" s="5913"/>
      <c r="H147" s="5914"/>
      <c r="I147" s="1563"/>
      <c r="J147" s="1563"/>
      <c r="K147" s="1563"/>
      <c r="L147" s="1563"/>
      <c r="M147" s="1563"/>
      <c r="N147" s="1563"/>
      <c r="O147" s="1563"/>
      <c r="P147" s="1563"/>
      <c r="Q147" s="1585"/>
      <c r="R147" s="1585"/>
      <c r="S147" s="1585"/>
      <c r="T147" s="1585"/>
      <c r="U147" s="1563"/>
      <c r="V147" s="1563"/>
      <c r="W147" s="1563"/>
      <c r="X147" s="1563"/>
      <c r="Y147" s="1563"/>
      <c r="Z147" s="1563"/>
      <c r="AA147" s="1563"/>
      <c r="AB147" s="1563"/>
      <c r="AC147" s="1563"/>
      <c r="AD147" s="1563"/>
      <c r="AE147" s="1563"/>
      <c r="AF147" s="1563"/>
      <c r="AG147" s="1563"/>
      <c r="AH147" s="1563"/>
      <c r="AI147" s="1563"/>
      <c r="AJ147" s="1563"/>
      <c r="AK147" s="1563"/>
      <c r="AL147" s="1563"/>
      <c r="AM147" s="1563"/>
      <c r="AN147" s="1563"/>
      <c r="AO147" s="1563"/>
      <c r="AP147" s="1563"/>
      <c r="AQ147" s="1563"/>
      <c r="AR147" s="1563"/>
      <c r="AS147" s="1563"/>
      <c r="AT147" s="1563"/>
      <c r="AU147" s="1563"/>
      <c r="AV147" s="1563"/>
      <c r="AW147" s="1563"/>
      <c r="AX147" s="1563"/>
      <c r="AY147" s="1563"/>
      <c r="AZ147" s="1563"/>
      <c r="BA147" s="3">
        <v>1</v>
      </c>
    </row>
    <row r="148" spans="1:53">
      <c r="A148" s="1563"/>
      <c r="B148" s="5918"/>
      <c r="C148" s="1729" t="s">
        <v>3503</v>
      </c>
      <c r="D148" s="1730"/>
      <c r="E148" s="1730"/>
      <c r="F148" s="1730"/>
      <c r="G148" s="1730"/>
      <c r="H148" s="1731"/>
      <c r="I148" s="1563"/>
      <c r="J148" s="1563"/>
      <c r="K148" s="1563"/>
      <c r="L148" s="1563"/>
      <c r="M148" s="1563"/>
      <c r="N148" s="1563"/>
      <c r="O148" s="1563"/>
      <c r="P148" s="1563"/>
      <c r="Q148" s="1585"/>
      <c r="R148" s="1585"/>
      <c r="S148" s="1585"/>
      <c r="T148" s="1585"/>
      <c r="U148" s="1563"/>
      <c r="V148" s="1563"/>
      <c r="W148" s="1563"/>
      <c r="X148" s="1563"/>
      <c r="Y148" s="1563"/>
      <c r="Z148" s="1563"/>
      <c r="AA148" s="1563"/>
      <c r="AB148" s="1563"/>
      <c r="AC148" s="1563"/>
      <c r="AD148" s="1563"/>
      <c r="AE148" s="1563"/>
      <c r="AF148" s="1563"/>
      <c r="AG148" s="1563"/>
      <c r="AH148" s="1563"/>
      <c r="AI148" s="1563"/>
      <c r="AJ148" s="1563"/>
      <c r="AK148" s="1563"/>
      <c r="AL148" s="1563"/>
      <c r="AM148" s="1563"/>
      <c r="AN148" s="1563"/>
      <c r="AO148" s="1563"/>
      <c r="AP148" s="1563"/>
      <c r="AQ148" s="1563"/>
      <c r="AR148" s="1563"/>
      <c r="AS148" s="1563"/>
      <c r="AT148" s="1563"/>
      <c r="AU148" s="1563"/>
      <c r="AV148" s="1563"/>
      <c r="AW148" s="1563"/>
      <c r="AX148" s="1563"/>
      <c r="AY148" s="1563"/>
      <c r="AZ148" s="1563"/>
      <c r="BA148" s="3">
        <v>1</v>
      </c>
    </row>
    <row r="149" spans="1:53">
      <c r="A149" s="1563"/>
      <c r="B149" s="5918"/>
      <c r="C149" s="5922" t="s">
        <v>3504</v>
      </c>
      <c r="D149" s="5922"/>
      <c r="E149" s="5922"/>
      <c r="F149" s="5922"/>
      <c r="G149" s="5922"/>
      <c r="H149" s="5923"/>
      <c r="I149" s="1563"/>
      <c r="J149" s="1563"/>
      <c r="K149" s="1563"/>
      <c r="L149" s="1563"/>
      <c r="M149" s="1563"/>
      <c r="N149" s="1563"/>
      <c r="O149" s="1563"/>
      <c r="Q149" s="1563"/>
      <c r="R149" s="1563"/>
      <c r="S149" s="1563"/>
      <c r="T149" s="1563"/>
      <c r="U149" s="1563"/>
      <c r="V149" s="1563"/>
      <c r="W149" s="1563"/>
      <c r="X149" s="1563"/>
      <c r="Y149" s="1563"/>
      <c r="Z149" s="1563"/>
      <c r="AA149" s="1563"/>
      <c r="AB149" s="1563"/>
      <c r="AC149" s="1563"/>
      <c r="AD149" s="1563"/>
      <c r="AE149" s="1563"/>
      <c r="AF149" s="1563"/>
      <c r="AG149" s="1563"/>
      <c r="AH149" s="1563"/>
      <c r="AI149" s="1563"/>
      <c r="AJ149" s="1563"/>
      <c r="AK149" s="1563"/>
      <c r="AL149" s="1563"/>
      <c r="AM149" s="1563"/>
      <c r="AN149" s="1563"/>
      <c r="AO149" s="1563"/>
      <c r="AP149" s="1563"/>
      <c r="AQ149" s="1563"/>
      <c r="AR149" s="1563"/>
      <c r="AS149" s="1563"/>
      <c r="AT149" s="1563"/>
      <c r="AU149" s="1563"/>
      <c r="AV149" s="1563"/>
      <c r="AW149" s="1563"/>
      <c r="AX149" s="1563"/>
      <c r="AY149" s="1563"/>
      <c r="AZ149" s="1563"/>
      <c r="BA149" s="3">
        <v>1</v>
      </c>
    </row>
    <row r="150" spans="1:53">
      <c r="A150" s="1563"/>
      <c r="B150" s="5918"/>
      <c r="C150" s="1732" t="s">
        <v>3505</v>
      </c>
      <c r="D150" s="1586"/>
      <c r="E150" s="1586"/>
      <c r="F150" s="1736" t="s">
        <v>3509</v>
      </c>
      <c r="G150" s="1586"/>
      <c r="H150" s="1695"/>
      <c r="I150" s="1563"/>
      <c r="J150" s="1563"/>
      <c r="K150" s="1563"/>
      <c r="L150" s="1563"/>
      <c r="M150" s="1563"/>
      <c r="N150" s="1563"/>
      <c r="O150" s="1563"/>
      <c r="P150" s="1563"/>
      <c r="Q150" s="1563"/>
      <c r="R150" s="1563"/>
      <c r="S150" s="1563"/>
      <c r="T150" s="1563"/>
      <c r="U150" s="1563"/>
      <c r="V150" s="1563"/>
      <c r="W150" s="1563"/>
      <c r="X150" s="1563"/>
      <c r="Y150" s="1563"/>
      <c r="Z150" s="1563"/>
      <c r="AA150" s="1563"/>
      <c r="AB150" s="1563"/>
      <c r="AC150" s="1563"/>
      <c r="AD150" s="1563"/>
      <c r="AE150" s="1563"/>
      <c r="AF150" s="1563"/>
      <c r="AG150" s="1563"/>
      <c r="AH150" s="1563"/>
      <c r="AI150" s="1563"/>
      <c r="AJ150" s="1563"/>
      <c r="AK150" s="1563"/>
      <c r="AL150" s="1563"/>
      <c r="AM150" s="1563"/>
      <c r="AN150" s="1563"/>
      <c r="AO150" s="1563"/>
      <c r="AP150" s="1563"/>
      <c r="AQ150" s="1563"/>
      <c r="AR150" s="1563"/>
      <c r="AS150" s="1563"/>
      <c r="AT150" s="1563"/>
      <c r="AU150" s="1563"/>
      <c r="AV150" s="1563"/>
      <c r="AW150" s="1563"/>
      <c r="AX150" s="1563"/>
      <c r="AY150" s="1563"/>
      <c r="AZ150" s="1563"/>
      <c r="BA150" s="3">
        <v>1</v>
      </c>
    </row>
    <row r="151" spans="1:53">
      <c r="A151" s="1563"/>
      <c r="B151" s="5918"/>
      <c r="C151" s="1733" t="s">
        <v>3493</v>
      </c>
      <c r="D151" s="1586"/>
      <c r="E151" s="1586"/>
      <c r="F151" s="1737" t="s">
        <v>3510</v>
      </c>
      <c r="G151" s="1586"/>
      <c r="H151" s="1695"/>
      <c r="I151" s="1563"/>
      <c r="J151" s="1563"/>
      <c r="K151" s="1563"/>
      <c r="L151" s="1563"/>
      <c r="M151" s="1563"/>
      <c r="N151" s="1563"/>
      <c r="O151" s="1563"/>
      <c r="P151" s="1563"/>
      <c r="Q151" s="1563"/>
      <c r="R151" s="1563"/>
      <c r="S151" s="1563"/>
      <c r="T151" s="1563"/>
      <c r="U151" s="1563"/>
      <c r="V151" s="1563"/>
      <c r="W151" s="1563"/>
      <c r="X151" s="1563"/>
      <c r="Y151" s="1563"/>
      <c r="Z151" s="1563"/>
      <c r="AA151" s="1563"/>
      <c r="AB151" s="1563"/>
      <c r="AC151" s="1563"/>
      <c r="AD151" s="1563"/>
      <c r="AE151" s="1563"/>
      <c r="AF151" s="1563"/>
      <c r="AG151" s="1563"/>
      <c r="AH151" s="1563"/>
      <c r="AI151" s="1563"/>
      <c r="AJ151" s="1563"/>
      <c r="AK151" s="1563"/>
      <c r="AL151" s="1563"/>
      <c r="AM151" s="1563"/>
      <c r="AN151" s="1563"/>
      <c r="AO151" s="1563"/>
      <c r="AP151" s="1563"/>
      <c r="AQ151" s="1563"/>
      <c r="AR151" s="1563"/>
      <c r="AS151" s="1563"/>
      <c r="AT151" s="1563"/>
      <c r="AU151" s="1563"/>
      <c r="AV151" s="1563"/>
      <c r="AW151" s="1563"/>
      <c r="AX151" s="1563"/>
      <c r="AY151" s="1563"/>
      <c r="AZ151" s="1563"/>
      <c r="BA151" s="3">
        <v>1</v>
      </c>
    </row>
    <row r="152" spans="1:53">
      <c r="A152" s="1563"/>
      <c r="B152" s="5918"/>
      <c r="C152" s="1735" t="s">
        <v>3508</v>
      </c>
      <c r="D152" s="1586"/>
      <c r="E152" s="1586"/>
      <c r="F152" s="1738" t="s">
        <v>3511</v>
      </c>
      <c r="G152" s="1586"/>
      <c r="H152" s="1695"/>
      <c r="I152" s="1563"/>
      <c r="J152" s="1563"/>
      <c r="K152" s="1563"/>
      <c r="L152" s="1563"/>
      <c r="M152" s="1563"/>
      <c r="N152" s="1563"/>
      <c r="O152" s="1563"/>
      <c r="P152" s="1563"/>
      <c r="Q152" s="1563"/>
      <c r="R152" s="1563"/>
      <c r="S152" s="1563"/>
      <c r="T152" s="1563"/>
      <c r="U152" s="1563"/>
      <c r="V152" s="1563"/>
      <c r="W152" s="1563"/>
      <c r="X152" s="1563"/>
      <c r="Y152" s="1563"/>
      <c r="Z152" s="1563"/>
      <c r="AA152" s="1563"/>
      <c r="AB152" s="1563"/>
      <c r="AC152" s="1563"/>
      <c r="AD152" s="1563"/>
      <c r="AE152" s="1563"/>
      <c r="AF152" s="1563"/>
      <c r="AG152" s="1563"/>
      <c r="AH152" s="1563"/>
      <c r="AI152" s="1563"/>
      <c r="AJ152" s="1563"/>
      <c r="AK152" s="1563"/>
      <c r="AL152" s="1563"/>
      <c r="AM152" s="1563"/>
      <c r="AN152" s="1563"/>
      <c r="AO152" s="1563"/>
      <c r="AP152" s="1563"/>
      <c r="AQ152" s="1563"/>
      <c r="AR152" s="1563"/>
      <c r="AS152" s="1563"/>
      <c r="AT152" s="1563"/>
      <c r="AU152" s="1563"/>
      <c r="AV152" s="1563"/>
      <c r="AW152" s="1563"/>
      <c r="AX152" s="1563"/>
      <c r="AY152" s="1563"/>
      <c r="AZ152" s="1563"/>
      <c r="BA152" s="3">
        <v>1</v>
      </c>
    </row>
    <row r="153" spans="1:53">
      <c r="A153" s="1563"/>
      <c r="B153" s="5918"/>
      <c r="C153" s="1671"/>
      <c r="D153" s="2010" t="s">
        <v>3484</v>
      </c>
      <c r="E153" s="1586"/>
      <c r="F153" s="1737"/>
      <c r="G153" s="1586"/>
      <c r="H153" s="1695"/>
      <c r="I153" s="1563"/>
      <c r="J153" s="1563"/>
      <c r="K153" s="1563"/>
      <c r="L153" s="1563"/>
      <c r="M153" s="1563"/>
      <c r="N153" s="1563"/>
      <c r="O153" s="1563"/>
      <c r="P153" s="1563"/>
      <c r="Q153" s="1563"/>
      <c r="R153" s="1563"/>
      <c r="S153" s="1563"/>
      <c r="T153" s="1563"/>
      <c r="U153" s="1563"/>
      <c r="V153" s="1563"/>
      <c r="W153" s="1563"/>
      <c r="X153" s="1563"/>
      <c r="Y153" s="1563"/>
      <c r="Z153" s="1563"/>
      <c r="AA153" s="1563"/>
      <c r="AB153" s="1563"/>
      <c r="AC153" s="1563"/>
      <c r="AD153" s="1563"/>
      <c r="AE153" s="1563"/>
      <c r="AF153" s="1563"/>
      <c r="AG153" s="1563"/>
      <c r="AH153" s="1563"/>
      <c r="AI153" s="1563"/>
      <c r="AJ153" s="1563"/>
      <c r="AK153" s="1563"/>
      <c r="AL153" s="1563"/>
      <c r="AM153" s="1563"/>
      <c r="AN153" s="1563"/>
      <c r="AO153" s="1563"/>
      <c r="AP153" s="1563"/>
      <c r="AQ153" s="1563"/>
      <c r="AR153" s="1563"/>
      <c r="AS153" s="1563"/>
      <c r="AT153" s="1563"/>
      <c r="AU153" s="1563"/>
      <c r="AV153" s="1563"/>
      <c r="AW153" s="1563"/>
      <c r="AX153" s="1563"/>
      <c r="AY153" s="1563"/>
      <c r="AZ153" s="1563"/>
      <c r="BA153" s="3">
        <v>1</v>
      </c>
    </row>
    <row r="154" spans="1:53">
      <c r="A154" s="1563"/>
      <c r="B154" s="5918"/>
      <c r="C154" s="1673"/>
      <c r="D154" s="2011" t="s">
        <v>3486</v>
      </c>
      <c r="E154" s="1586"/>
      <c r="F154" s="1738"/>
      <c r="G154" s="1586"/>
      <c r="H154" s="1695"/>
      <c r="I154" s="1563"/>
      <c r="J154" s="1563"/>
      <c r="K154" s="1563"/>
      <c r="L154" s="1563"/>
      <c r="M154" s="1563"/>
      <c r="N154" s="1563"/>
      <c r="O154" s="1563"/>
      <c r="P154" s="1563"/>
      <c r="Q154" s="1563"/>
      <c r="R154" s="1563"/>
      <c r="S154" s="1563"/>
      <c r="T154" s="1563"/>
      <c r="U154" s="1563"/>
      <c r="V154" s="1563"/>
      <c r="W154" s="1563"/>
      <c r="X154" s="1563"/>
      <c r="Y154" s="1563"/>
      <c r="Z154" s="1563"/>
      <c r="AA154" s="1563"/>
      <c r="AB154" s="1563"/>
      <c r="AC154" s="1563"/>
      <c r="AD154" s="1563"/>
      <c r="AE154" s="1563"/>
      <c r="AF154" s="1563"/>
      <c r="AG154" s="1563"/>
      <c r="AH154" s="1563"/>
      <c r="AI154" s="1563"/>
      <c r="AJ154" s="1563"/>
      <c r="AK154" s="1563"/>
      <c r="AL154" s="1563"/>
      <c r="AM154" s="1563"/>
      <c r="AN154" s="1563"/>
      <c r="AO154" s="1563"/>
      <c r="AP154" s="1563"/>
      <c r="AQ154" s="1563"/>
      <c r="AR154" s="1563"/>
      <c r="AS154" s="1563"/>
      <c r="AT154" s="1563"/>
      <c r="AU154" s="1563"/>
      <c r="AV154" s="1563"/>
      <c r="AW154" s="1563"/>
      <c r="AX154" s="1563"/>
      <c r="AY154" s="1563"/>
      <c r="AZ154" s="1563"/>
      <c r="BA154" s="3">
        <v>1</v>
      </c>
    </row>
    <row r="155" spans="1:53">
      <c r="A155" s="1563"/>
      <c r="B155" s="5918"/>
      <c r="C155" s="1739"/>
      <c r="D155" s="1586"/>
      <c r="E155" s="1740" t="s">
        <v>3512</v>
      </c>
      <c r="F155" s="1738"/>
      <c r="G155" s="1739" t="s">
        <v>3513</v>
      </c>
      <c r="H155" s="1741" t="str">
        <f>ADDRESS(ROW(F137),COLUMN(F137),4)</f>
        <v>F137</v>
      </c>
      <c r="I155" s="1563"/>
      <c r="J155" s="1563"/>
      <c r="K155" s="1563"/>
      <c r="L155" s="1563"/>
      <c r="M155" s="1563"/>
      <c r="N155" s="1563"/>
      <c r="O155" s="1563"/>
      <c r="P155" s="1563"/>
      <c r="Q155" s="1563"/>
      <c r="R155" s="1563"/>
      <c r="S155" s="1563"/>
      <c r="T155" s="1563"/>
      <c r="U155" s="1563"/>
      <c r="V155" s="1563"/>
      <c r="W155" s="1563"/>
      <c r="X155" s="1563"/>
      <c r="Y155" s="1563"/>
      <c r="Z155" s="1563"/>
      <c r="AA155" s="1563"/>
      <c r="AB155" s="1563"/>
      <c r="AC155" s="1563"/>
      <c r="AD155" s="1563"/>
      <c r="AE155" s="1563"/>
      <c r="AF155" s="1563"/>
      <c r="AG155" s="1563"/>
      <c r="AH155" s="1563"/>
      <c r="AI155" s="1563"/>
      <c r="AJ155" s="1563"/>
      <c r="AK155" s="1563"/>
      <c r="AL155" s="1563"/>
      <c r="AM155" s="1563"/>
      <c r="AN155" s="1563"/>
      <c r="AO155" s="1563"/>
      <c r="AP155" s="1563"/>
      <c r="AQ155" s="1563"/>
      <c r="AR155" s="1563"/>
      <c r="AS155" s="1563"/>
      <c r="AT155" s="1563"/>
      <c r="AU155" s="1563"/>
      <c r="AV155" s="1563"/>
      <c r="AW155" s="1563"/>
      <c r="AX155" s="1563"/>
      <c r="AY155" s="1563"/>
      <c r="AZ155" s="1563"/>
      <c r="BA155" s="3">
        <v>1</v>
      </c>
    </row>
    <row r="156" spans="1:53">
      <c r="A156" s="1563"/>
      <c r="B156" s="5918"/>
      <c r="C156" s="1554" t="s">
        <v>3518</v>
      </c>
      <c r="D156" s="1742"/>
      <c r="E156" s="1740"/>
      <c r="F156" s="1554" t="s">
        <v>3519</v>
      </c>
      <c r="G156" s="1586"/>
      <c r="H156" s="1695"/>
      <c r="I156" s="1563"/>
      <c r="J156" s="1563"/>
      <c r="K156" s="1563"/>
      <c r="L156" s="1563"/>
      <c r="M156" s="1563"/>
      <c r="N156" s="1563"/>
      <c r="O156" s="1563"/>
      <c r="P156" s="1563"/>
      <c r="Q156" s="1563"/>
      <c r="R156" s="1563"/>
      <c r="S156" s="1563"/>
      <c r="T156" s="1563"/>
      <c r="U156" s="1563"/>
      <c r="V156" s="1563"/>
      <c r="W156" s="1563"/>
      <c r="X156" s="1563"/>
      <c r="Y156" s="1563"/>
      <c r="Z156" s="1563"/>
      <c r="AA156" s="1563"/>
      <c r="AB156" s="1563"/>
      <c r="AC156" s="1563"/>
      <c r="AD156" s="1563"/>
      <c r="AE156" s="1563"/>
      <c r="AF156" s="1563"/>
      <c r="AG156" s="1563"/>
      <c r="AH156" s="1563"/>
      <c r="AI156" s="1563"/>
      <c r="AJ156" s="1563"/>
      <c r="AK156" s="1563"/>
      <c r="AL156" s="1563"/>
      <c r="AM156" s="1563"/>
      <c r="AN156" s="1563"/>
      <c r="AO156" s="1563"/>
      <c r="AP156" s="1563"/>
      <c r="AQ156" s="1563"/>
      <c r="AR156" s="1563"/>
      <c r="AS156" s="1563"/>
      <c r="AT156" s="1563"/>
      <c r="AU156" s="1563"/>
      <c r="AV156" s="1563"/>
      <c r="AW156" s="1563"/>
      <c r="AX156" s="1563"/>
      <c r="AY156" s="1563"/>
      <c r="AZ156" s="1563"/>
      <c r="BA156" s="3">
        <v>1</v>
      </c>
    </row>
    <row r="157" spans="1:53">
      <c r="A157" s="1563"/>
      <c r="B157" s="5918"/>
      <c r="C157" s="1619">
        <v>12</v>
      </c>
      <c r="D157" s="1619">
        <v>11</v>
      </c>
      <c r="E157" s="1619">
        <v>11</v>
      </c>
      <c r="F157" s="1619">
        <v>11</v>
      </c>
      <c r="G157" s="1619">
        <v>11</v>
      </c>
      <c r="H157" s="1620">
        <v>11</v>
      </c>
      <c r="I157" s="1621" t="s">
        <v>3419</v>
      </c>
      <c r="J157" s="1563"/>
      <c r="K157" s="1563"/>
      <c r="L157" s="1563"/>
      <c r="M157" s="1563"/>
      <c r="N157" s="1563"/>
      <c r="O157" s="1563"/>
      <c r="P157" s="1563"/>
      <c r="Q157" s="1563"/>
      <c r="R157" s="1563"/>
      <c r="S157" s="1563"/>
      <c r="T157" s="1563"/>
      <c r="U157" s="1563"/>
      <c r="V157" s="1563"/>
      <c r="W157" s="1563"/>
      <c r="X157" s="1563"/>
      <c r="Y157" s="1563"/>
      <c r="Z157" s="1563"/>
      <c r="AA157" s="1563"/>
      <c r="AB157" s="1563"/>
      <c r="AC157" s="1563"/>
      <c r="AD157" s="1563"/>
      <c r="AE157" s="1563"/>
      <c r="AF157" s="1563"/>
      <c r="AG157" s="1563"/>
      <c r="AH157" s="1563"/>
      <c r="AI157" s="1563"/>
      <c r="AJ157" s="1563"/>
      <c r="AK157" s="1563"/>
      <c r="AL157" s="1563"/>
      <c r="AM157" s="1563"/>
      <c r="AN157" s="1563"/>
      <c r="AO157" s="1563"/>
      <c r="AP157" s="1563"/>
      <c r="AQ157" s="1563"/>
      <c r="AR157" s="1563"/>
      <c r="AS157" s="1563"/>
      <c r="AT157" s="1563"/>
      <c r="AU157" s="1563"/>
      <c r="AV157" s="1563"/>
      <c r="AW157" s="1563"/>
      <c r="AX157" s="1563"/>
      <c r="AY157" s="1563"/>
      <c r="AZ157" s="1563"/>
      <c r="BA157" s="3">
        <v>1</v>
      </c>
    </row>
    <row r="158" spans="1:53" ht="16.5" thickBot="1">
      <c r="A158" s="1563"/>
      <c r="B158" s="5919"/>
      <c r="C158" s="1107">
        <f ca="1">CELL("largeur",C158)</f>
        <v>13</v>
      </c>
      <c r="D158" s="1107">
        <f t="shared" ref="D158:H158" ca="1" si="3">CELL("largeur",D158)</f>
        <v>21</v>
      </c>
      <c r="E158" s="1107">
        <f t="shared" ca="1" si="3"/>
        <v>13</v>
      </c>
      <c r="F158" s="1107">
        <f t="shared" ca="1" si="3"/>
        <v>13</v>
      </c>
      <c r="G158" s="1107">
        <f t="shared" ca="1" si="3"/>
        <v>13</v>
      </c>
      <c r="H158" s="1108">
        <f t="shared" ca="1" si="3"/>
        <v>13</v>
      </c>
      <c r="I158" s="1621" t="s">
        <v>3422</v>
      </c>
      <c r="J158" s="1563"/>
      <c r="K158" s="1563"/>
      <c r="L158" s="1563"/>
      <c r="M158" s="1563"/>
      <c r="N158" s="1563"/>
      <c r="O158" s="1563"/>
      <c r="P158" s="1563"/>
      <c r="Q158" s="1563"/>
      <c r="R158" s="1563"/>
      <c r="S158" s="1563"/>
      <c r="T158" s="1563"/>
      <c r="U158" s="1563"/>
      <c r="V158" s="1563"/>
      <c r="W158" s="1563"/>
      <c r="X158" s="1563"/>
      <c r="Y158" s="1563"/>
      <c r="Z158" s="1563"/>
      <c r="AA158" s="1563"/>
      <c r="AB158" s="1563"/>
      <c r="AC158" s="1563"/>
      <c r="AD158" s="1563"/>
      <c r="AE158" s="1563"/>
      <c r="AF158" s="1563"/>
      <c r="AG158" s="1563"/>
      <c r="AH158" s="1563"/>
      <c r="AI158" s="1563"/>
      <c r="AJ158" s="1563"/>
      <c r="AK158" s="1563"/>
      <c r="AL158" s="1563"/>
      <c r="AM158" s="1563"/>
      <c r="AN158" s="1563"/>
      <c r="AO158" s="1563"/>
      <c r="AP158" s="1563"/>
      <c r="AQ158" s="1563"/>
      <c r="AR158" s="1563"/>
      <c r="AS158" s="1563"/>
      <c r="AT158" s="1563"/>
      <c r="AU158" s="1563"/>
      <c r="AV158" s="1563"/>
      <c r="AW158" s="1563"/>
      <c r="AX158" s="1563"/>
      <c r="AY158" s="1563"/>
      <c r="AZ158" s="1563"/>
      <c r="BA158" s="3">
        <v>1</v>
      </c>
    </row>
    <row r="159" spans="1:53" ht="16.5" thickBot="1">
      <c r="A159" s="1563"/>
      <c r="B159" s="1563"/>
      <c r="C159" s="1563"/>
      <c r="D159" s="1563"/>
      <c r="E159" s="1563"/>
      <c r="F159" s="1563"/>
      <c r="G159" s="1563"/>
      <c r="H159" s="1563"/>
      <c r="I159" s="1563"/>
      <c r="J159" s="1563"/>
      <c r="K159" s="1563"/>
      <c r="L159" s="1563"/>
      <c r="M159" s="1563"/>
      <c r="N159" s="1563"/>
      <c r="O159" s="1563"/>
      <c r="P159" s="1563"/>
      <c r="Q159" s="1563"/>
      <c r="R159" s="1563"/>
      <c r="S159" s="1563"/>
      <c r="T159" s="1563"/>
      <c r="U159" s="1563"/>
      <c r="V159" s="1563"/>
      <c r="W159" s="1563"/>
      <c r="X159" s="1563"/>
      <c r="Y159" s="1563"/>
      <c r="Z159" s="1563"/>
      <c r="AA159" s="1563"/>
      <c r="AB159" s="1563"/>
      <c r="AC159" s="1563"/>
      <c r="AD159" s="1563"/>
      <c r="AE159" s="1563"/>
      <c r="AF159" s="1563"/>
      <c r="AG159" s="1563"/>
      <c r="AH159" s="1563"/>
      <c r="AI159" s="1563"/>
      <c r="AJ159" s="1563"/>
      <c r="AK159" s="1563"/>
      <c r="AL159" s="1563"/>
      <c r="AM159" s="1563"/>
      <c r="AN159" s="1563"/>
      <c r="AO159" s="1563"/>
      <c r="AP159" s="1563"/>
      <c r="AQ159" s="1563"/>
      <c r="AR159" s="1563"/>
      <c r="AS159" s="1563"/>
      <c r="AT159" s="1563"/>
      <c r="AU159" s="1563"/>
      <c r="AV159" s="1563"/>
      <c r="AW159" s="1563"/>
      <c r="AX159" s="1563"/>
      <c r="AY159" s="1563"/>
      <c r="AZ159" s="1563"/>
      <c r="BA159" s="3">
        <v>1</v>
      </c>
    </row>
    <row r="160" spans="1:53" ht="23.25">
      <c r="A160" s="1563"/>
      <c r="B160" s="5886" t="s">
        <v>167</v>
      </c>
      <c r="C160" s="5924" t="s">
        <v>3488</v>
      </c>
      <c r="D160" s="5924"/>
      <c r="E160" s="5924"/>
      <c r="F160" s="5924"/>
      <c r="G160" s="2045"/>
      <c r="H160" s="2046" t="str">
        <f>F168</f>
        <v>Morceaux</v>
      </c>
      <c r="I160" s="1563"/>
      <c r="J160" s="1563"/>
      <c r="K160" s="1563"/>
      <c r="L160" s="1563"/>
      <c r="M160" s="1563"/>
      <c r="N160" s="1563"/>
      <c r="O160" s="1563"/>
      <c r="P160" s="1563"/>
      <c r="Q160" s="1563"/>
      <c r="R160" s="1563"/>
      <c r="S160" s="1563"/>
      <c r="T160" s="1563"/>
      <c r="U160" s="1563"/>
      <c r="V160" s="1563"/>
      <c r="W160" s="1563"/>
      <c r="X160" s="1563"/>
      <c r="Y160" s="1563"/>
      <c r="Z160" s="1563"/>
      <c r="AA160" s="1563"/>
      <c r="AB160" s="1563"/>
      <c r="AC160" s="1563"/>
      <c r="AD160" s="1563"/>
      <c r="AE160" s="1563"/>
      <c r="AF160" s="1563"/>
      <c r="AG160" s="1563"/>
      <c r="AH160" s="1563"/>
      <c r="AI160" s="1563"/>
      <c r="AJ160" s="1563"/>
      <c r="AK160" s="1563"/>
      <c r="AL160" s="1563"/>
      <c r="AM160" s="1563"/>
      <c r="AN160" s="1563"/>
      <c r="AO160" s="1563"/>
      <c r="AP160" s="1563"/>
      <c r="AQ160" s="1563"/>
      <c r="AR160" s="1563"/>
      <c r="AS160" s="1563"/>
      <c r="AT160" s="1563"/>
      <c r="AU160" s="1563"/>
      <c r="AV160" s="1563"/>
      <c r="AW160" s="1563"/>
      <c r="AX160" s="1563"/>
      <c r="AY160" s="1563"/>
      <c r="AZ160" s="1563"/>
      <c r="BA160" s="3">
        <v>1</v>
      </c>
    </row>
    <row r="161" spans="1:53">
      <c r="A161" s="1563"/>
      <c r="B161" s="5887"/>
      <c r="C161" s="2047"/>
      <c r="D161" s="2047"/>
      <c r="E161" s="2048"/>
      <c r="F161" s="2049" t="s">
        <v>3489</v>
      </c>
      <c r="G161" s="2050" t="str">
        <f>G170</f>
        <v>❹ Cru</v>
      </c>
      <c r="H161" s="2051"/>
      <c r="I161" s="1563"/>
      <c r="J161" s="1563"/>
      <c r="K161" s="1563"/>
      <c r="L161" s="1563"/>
      <c r="M161" s="1563"/>
      <c r="N161" s="1563"/>
      <c r="O161" s="1563"/>
      <c r="P161" s="1563"/>
      <c r="Q161" s="1563"/>
      <c r="R161" s="1563"/>
      <c r="S161" s="1563"/>
      <c r="T161" s="1563"/>
      <c r="U161" s="1563"/>
      <c r="V161" s="1563"/>
      <c r="W161" s="1563"/>
      <c r="X161" s="1563"/>
      <c r="Y161" s="1563"/>
      <c r="Z161" s="1563"/>
      <c r="AA161" s="1563"/>
      <c r="AB161" s="1563"/>
      <c r="AC161" s="1563"/>
      <c r="AD161" s="1563"/>
      <c r="AE161" s="1563"/>
      <c r="AF161" s="1563"/>
      <c r="AG161" s="1563"/>
      <c r="AH161" s="1563"/>
      <c r="AI161" s="1563"/>
      <c r="AJ161" s="1563"/>
      <c r="AK161" s="1563"/>
      <c r="AL161" s="1563"/>
      <c r="AM161" s="1563"/>
      <c r="AN161" s="1563"/>
      <c r="AO161" s="1563"/>
      <c r="AP161" s="1563"/>
      <c r="AQ161" s="1563"/>
      <c r="AR161" s="1563"/>
      <c r="AS161" s="1563"/>
      <c r="AT161" s="1563"/>
      <c r="AU161" s="1563"/>
      <c r="AV161" s="1563"/>
      <c r="AW161" s="1563"/>
      <c r="AX161" s="1563"/>
      <c r="AY161" s="1563"/>
      <c r="AZ161" s="1563"/>
      <c r="BA161" s="3">
        <v>1</v>
      </c>
    </row>
    <row r="162" spans="1:53" ht="23.25">
      <c r="A162" s="1563"/>
      <c r="B162" s="5925">
        <v>3</v>
      </c>
      <c r="C162" s="5909" t="str">
        <f>D166</f>
        <v>Sautés en morceaux service au poids</v>
      </c>
      <c r="D162" s="5909"/>
      <c r="E162" s="5909"/>
      <c r="F162" s="5909"/>
      <c r="G162" s="5909"/>
      <c r="H162" s="5910"/>
      <c r="I162" s="1563"/>
      <c r="J162" s="1563"/>
      <c r="K162" s="1563"/>
      <c r="L162" s="1563"/>
      <c r="M162" s="1563"/>
      <c r="N162" s="1563"/>
      <c r="O162" s="1563"/>
      <c r="P162" s="1563"/>
      <c r="Q162" s="1563"/>
      <c r="R162" s="1563"/>
      <c r="S162" s="1563"/>
      <c r="T162" s="1563"/>
      <c r="U162" s="1563"/>
      <c r="V162" s="1563"/>
      <c r="W162" s="1563"/>
      <c r="X162" s="1563"/>
      <c r="Y162" s="1563"/>
      <c r="Z162" s="1563"/>
      <c r="AA162" s="1563"/>
      <c r="AB162" s="1563"/>
      <c r="AC162" s="1563"/>
      <c r="AD162" s="1563"/>
      <c r="AE162" s="1563"/>
      <c r="AF162" s="1563"/>
      <c r="AG162" s="1563"/>
      <c r="AH162" s="1563"/>
      <c r="AI162" s="1563"/>
      <c r="AJ162" s="1563"/>
      <c r="AK162" s="1563"/>
      <c r="AL162" s="1563"/>
      <c r="AM162" s="1563"/>
      <c r="AN162" s="1563"/>
      <c r="AO162" s="1563"/>
      <c r="AP162" s="1563"/>
      <c r="AQ162" s="1563"/>
      <c r="AR162" s="1563"/>
      <c r="AS162" s="1563"/>
      <c r="AT162" s="1563"/>
      <c r="AU162" s="1563"/>
      <c r="AV162" s="1563"/>
      <c r="AW162" s="1563"/>
      <c r="AX162" s="1563"/>
      <c r="AY162" s="1563"/>
      <c r="AZ162" s="1563"/>
      <c r="BA162" s="3">
        <v>1</v>
      </c>
    </row>
    <row r="163" spans="1:53" ht="15.75" customHeight="1">
      <c r="A163" s="1563"/>
      <c r="B163" s="5925"/>
      <c r="C163" s="1751"/>
      <c r="D163" s="1752" t="s">
        <v>3490</v>
      </c>
      <c r="E163" s="1753">
        <f>IF(E170=0,0,IF(MOD(E177,E170)&gt;MOD(E177,E170)/2,INT(E177/E170)+1,INT(E177/E170)))</f>
        <v>86</v>
      </c>
      <c r="F163" s="1754" t="str">
        <f>F167</f>
        <v xml:space="preserve"> GN 1/ 1 = 35 morceaux</v>
      </c>
      <c r="G163" s="2052"/>
      <c r="H163" s="2053"/>
      <c r="I163" s="1563"/>
      <c r="J163" s="1563"/>
      <c r="K163" s="1563"/>
      <c r="L163" s="1563"/>
      <c r="M163" s="1563"/>
      <c r="N163" s="1563"/>
      <c r="O163" s="1563"/>
      <c r="P163" s="1563"/>
      <c r="Q163" s="1563"/>
      <c r="R163" s="1563"/>
      <c r="S163" s="1563"/>
      <c r="T163" s="1563"/>
      <c r="U163" s="1563"/>
      <c r="V163" s="1563"/>
      <c r="W163" s="1563"/>
      <c r="X163" s="1563"/>
      <c r="Y163" s="1563"/>
      <c r="Z163" s="1563"/>
      <c r="AA163" s="1563"/>
      <c r="AB163" s="1563"/>
      <c r="AC163" s="1563"/>
      <c r="AD163" s="1563"/>
      <c r="AE163" s="1563"/>
      <c r="AF163" s="1563"/>
      <c r="AG163" s="1563"/>
      <c r="AH163" s="1563"/>
      <c r="AI163" s="1563"/>
      <c r="AJ163" s="1563"/>
      <c r="AK163" s="1563"/>
      <c r="AL163" s="1563"/>
      <c r="AM163" s="1563"/>
      <c r="AN163" s="1563"/>
      <c r="AO163" s="1563"/>
      <c r="AP163" s="1563"/>
      <c r="AQ163" s="1563"/>
      <c r="AR163" s="1563"/>
      <c r="AS163" s="1563"/>
      <c r="AT163" s="1563"/>
      <c r="AU163" s="1563"/>
      <c r="AV163" s="1563"/>
      <c r="AW163" s="1563"/>
      <c r="AX163" s="1563"/>
      <c r="AY163" s="1563"/>
      <c r="AZ163" s="1563"/>
      <c r="BA163" s="3">
        <v>1</v>
      </c>
    </row>
    <row r="164" spans="1:53" ht="15.75" customHeight="1">
      <c r="A164" s="1563"/>
      <c r="B164" s="5925"/>
      <c r="C164" s="1755">
        <f>INT(E177/E170)</f>
        <v>85</v>
      </c>
      <c r="D164" s="1756">
        <f>IF(C164=0,0,IF(E163=0,0,E170))</f>
        <v>21</v>
      </c>
      <c r="E164" s="1757" t="str">
        <f>F170</f>
        <v>Morceaux</v>
      </c>
      <c r="F164" s="1755" t="str">
        <f>IF(D164*C164=0,"1 de",IF(E177=0,0,IF(E170=0,0,IF(D164*C164=E177,"",IF(G164&gt;0,"Plus 1 de")))))</f>
        <v>Plus 1 de</v>
      </c>
      <c r="G164" s="1753">
        <f>IF(E170=0,0,IF(D164*C164=E177,"",MOD(E177,E170)))</f>
        <v>15</v>
      </c>
      <c r="H164" s="1758" t="str">
        <f>E164</f>
        <v>Morceaux</v>
      </c>
      <c r="I164" s="1563"/>
      <c r="J164" s="1563"/>
      <c r="K164" s="1563"/>
      <c r="L164" s="1563"/>
      <c r="M164" s="1563"/>
      <c r="N164" s="1563"/>
      <c r="O164" s="1563"/>
      <c r="P164" s="1563"/>
      <c r="Q164" s="1563"/>
      <c r="R164" s="1563"/>
      <c r="S164" s="1563"/>
      <c r="T164" s="1563"/>
      <c r="U164" s="1563"/>
      <c r="V164" s="1563"/>
      <c r="W164" s="1563"/>
      <c r="X164" s="1563"/>
      <c r="Y164" s="1563"/>
      <c r="Z164" s="1563"/>
      <c r="AA164" s="1563"/>
      <c r="AB164" s="1563"/>
      <c r="AC164" s="1563"/>
      <c r="AD164" s="1563"/>
      <c r="AE164" s="1563"/>
      <c r="AF164" s="1563"/>
      <c r="AG164" s="1563"/>
      <c r="AH164" s="1563"/>
      <c r="AI164" s="1563"/>
      <c r="AJ164" s="1563"/>
      <c r="AK164" s="1563"/>
      <c r="AL164" s="1563"/>
      <c r="AM164" s="1563"/>
      <c r="AN164" s="1563"/>
      <c r="AO164" s="1563"/>
      <c r="AP164" s="1563"/>
      <c r="AQ164" s="1563"/>
      <c r="AR164" s="1563"/>
      <c r="AS164" s="1563"/>
      <c r="AT164" s="1563"/>
      <c r="AU164" s="1563"/>
      <c r="AV164" s="1563"/>
      <c r="AW164" s="1563"/>
      <c r="AX164" s="1563"/>
      <c r="AY164" s="1563"/>
      <c r="AZ164" s="1563"/>
      <c r="BA164" s="3">
        <v>1</v>
      </c>
    </row>
    <row r="165" spans="1:53" ht="15.75" customHeight="1">
      <c r="A165" s="1563"/>
      <c r="B165" s="5925"/>
      <c r="C165" s="1759" t="str">
        <f>F177</f>
        <v>Morceaux</v>
      </c>
      <c r="D165" s="2054">
        <f>E177</f>
        <v>1800</v>
      </c>
      <c r="E165" s="2055" t="str">
        <f>H175</f>
        <v>❹ Cru</v>
      </c>
      <c r="F165" s="2056">
        <f>E178</f>
        <v>86.4</v>
      </c>
      <c r="G165" s="2055" t="str">
        <f>H176</f>
        <v>❺ Cuit</v>
      </c>
      <c r="H165" s="2057">
        <f>E179</f>
        <v>43.2</v>
      </c>
      <c r="I165" s="1563"/>
      <c r="J165" s="1563"/>
      <c r="K165" s="1563"/>
      <c r="L165" s="1563"/>
      <c r="M165" s="1563"/>
      <c r="N165" s="1563"/>
      <c r="O165" s="1563"/>
      <c r="P165" s="1563"/>
      <c r="Q165" s="1563"/>
      <c r="R165" s="1563"/>
      <c r="S165" s="1563"/>
      <c r="T165" s="1563"/>
      <c r="U165" s="1563"/>
      <c r="V165" s="1563"/>
      <c r="W165" s="1563"/>
      <c r="X165" s="1563"/>
      <c r="Y165" s="1563"/>
      <c r="Z165" s="1563"/>
      <c r="AA165" s="1563"/>
      <c r="AB165" s="1563"/>
      <c r="AC165" s="1563"/>
      <c r="AD165" s="1563"/>
      <c r="AE165" s="1563"/>
      <c r="AF165" s="1563"/>
      <c r="AG165" s="1563"/>
      <c r="AH165" s="1563"/>
      <c r="AI165" s="1563"/>
      <c r="AJ165" s="1563"/>
      <c r="AK165" s="1563"/>
      <c r="AL165" s="1563"/>
      <c r="AM165" s="1563"/>
      <c r="AN165" s="1563"/>
      <c r="AO165" s="1563"/>
      <c r="AP165" s="1563"/>
      <c r="AQ165" s="1563"/>
      <c r="AR165" s="1563"/>
      <c r="AS165" s="1563"/>
      <c r="AT165" s="1563"/>
      <c r="AU165" s="1563"/>
      <c r="AV165" s="1563"/>
      <c r="AW165" s="1563"/>
      <c r="AX165" s="1563"/>
      <c r="AY165" s="1563"/>
      <c r="AZ165" s="1563"/>
      <c r="BA165" s="3">
        <v>1</v>
      </c>
    </row>
    <row r="166" spans="1:53" ht="18.75" customHeight="1">
      <c r="A166" s="1563"/>
      <c r="B166" s="5925"/>
      <c r="C166" s="1692" t="s">
        <v>3491</v>
      </c>
      <c r="D166" s="1693" t="s">
        <v>3492</v>
      </c>
      <c r="E166" s="1694"/>
      <c r="F166" s="1586"/>
      <c r="G166" s="1586"/>
      <c r="H166" s="1695"/>
      <c r="I166" s="1563"/>
      <c r="J166" s="1563"/>
      <c r="K166" s="1563"/>
      <c r="L166" s="1563"/>
      <c r="M166" s="1563"/>
      <c r="N166" s="1563"/>
      <c r="O166" s="1563"/>
      <c r="P166" s="1563"/>
      <c r="Q166" s="1563"/>
      <c r="R166" s="1563"/>
      <c r="S166" s="1563"/>
      <c r="T166" s="1563"/>
      <c r="U166" s="1563"/>
      <c r="V166" s="1563"/>
      <c r="W166" s="1563"/>
      <c r="X166" s="1563"/>
      <c r="Y166" s="1563"/>
      <c r="Z166" s="1563"/>
      <c r="AA166" s="1563"/>
      <c r="AB166" s="1563"/>
      <c r="AC166" s="1563"/>
      <c r="AD166" s="1563"/>
      <c r="AE166" s="1563"/>
      <c r="AF166" s="1563"/>
      <c r="AG166" s="1563"/>
      <c r="AH166" s="1563"/>
      <c r="AI166" s="1563"/>
      <c r="AJ166" s="1563"/>
      <c r="AK166" s="1563"/>
      <c r="AL166" s="1563"/>
      <c r="AM166" s="1563"/>
      <c r="AN166" s="1563"/>
      <c r="AO166" s="1563"/>
      <c r="AP166" s="1563"/>
      <c r="AQ166" s="1563"/>
      <c r="AR166" s="1563"/>
      <c r="AS166" s="1563"/>
      <c r="AT166" s="1563"/>
      <c r="AU166" s="1563"/>
      <c r="AV166" s="1563"/>
      <c r="AW166" s="1563"/>
      <c r="AX166" s="1563"/>
      <c r="AY166" s="1563"/>
      <c r="AZ166" s="1563"/>
      <c r="BA166" s="3">
        <v>1</v>
      </c>
    </row>
    <row r="167" spans="1:53" ht="15.75" customHeight="1">
      <c r="A167" s="1563"/>
      <c r="B167" s="5925"/>
      <c r="C167" s="1586"/>
      <c r="D167" s="1586"/>
      <c r="E167" s="1697" t="s">
        <v>3493</v>
      </c>
      <c r="F167" s="1743" t="s">
        <v>8579</v>
      </c>
      <c r="G167" s="1743"/>
      <c r="H167" s="1744"/>
      <c r="I167" s="1563"/>
      <c r="J167" s="1563"/>
      <c r="K167" s="1563"/>
      <c r="L167" s="1563"/>
      <c r="M167" s="1563"/>
      <c r="N167" s="1563"/>
      <c r="O167" s="1563"/>
      <c r="P167" s="1563"/>
      <c r="Q167" s="1563"/>
      <c r="R167" s="1563"/>
      <c r="S167" s="1563"/>
      <c r="T167" s="1563"/>
      <c r="U167" s="1563"/>
      <c r="V167" s="1563"/>
      <c r="W167" s="1563"/>
      <c r="X167" s="1563"/>
      <c r="Y167" s="1563"/>
      <c r="Z167" s="1563"/>
      <c r="AA167" s="1563"/>
      <c r="AB167" s="1563"/>
      <c r="AC167" s="1563"/>
      <c r="AD167" s="1563"/>
      <c r="AE167" s="1563"/>
      <c r="AF167" s="1563"/>
      <c r="AG167" s="1563"/>
      <c r="AH167" s="1563"/>
      <c r="AI167" s="1563"/>
      <c r="AJ167" s="1563"/>
      <c r="AK167" s="1563"/>
      <c r="AL167" s="1563"/>
      <c r="AM167" s="1563"/>
      <c r="AN167" s="1563"/>
      <c r="AO167" s="1563"/>
      <c r="AP167" s="1563"/>
      <c r="AQ167" s="1563"/>
      <c r="AR167" s="1563"/>
      <c r="AS167" s="1563"/>
      <c r="AT167" s="1563"/>
      <c r="AU167" s="1563"/>
      <c r="AV167" s="1563"/>
      <c r="AW167" s="1563"/>
      <c r="AX167" s="1563"/>
      <c r="AY167" s="1563"/>
      <c r="AZ167" s="1563"/>
      <c r="BA167" s="3">
        <v>1</v>
      </c>
    </row>
    <row r="168" spans="1:53" ht="15.75" customHeight="1">
      <c r="A168" s="1563"/>
      <c r="B168" s="5925"/>
      <c r="C168" s="1586"/>
      <c r="D168" s="1586"/>
      <c r="E168" s="1760" t="s">
        <v>3520</v>
      </c>
      <c r="F168" s="1761" t="s">
        <v>3521</v>
      </c>
      <c r="G168" s="1762" t="s">
        <v>3522</v>
      </c>
      <c r="H168" s="1763"/>
      <c r="I168" s="1563"/>
      <c r="J168" s="1563"/>
      <c r="K168" s="1563"/>
      <c r="L168" s="1563"/>
      <c r="M168" s="1563"/>
      <c r="N168" s="1563"/>
      <c r="O168" s="1563"/>
      <c r="P168" s="1563"/>
      <c r="Q168" s="1563"/>
      <c r="R168" s="1563"/>
      <c r="S168" s="1563"/>
      <c r="T168" s="1563"/>
      <c r="U168" s="1563"/>
      <c r="V168" s="1563"/>
      <c r="W168" s="1563"/>
      <c r="X168" s="1563"/>
      <c r="Y168" s="1563"/>
      <c r="Z168" s="1563"/>
      <c r="AA168" s="1563"/>
      <c r="AB168" s="1563"/>
      <c r="AC168" s="1563"/>
      <c r="AD168" s="1563"/>
      <c r="AE168" s="1563"/>
      <c r="AF168" s="1563"/>
      <c r="AG168" s="1563"/>
      <c r="AH168" s="1563"/>
      <c r="AI168" s="1563"/>
      <c r="AJ168" s="1563"/>
      <c r="AK168" s="1563"/>
      <c r="AL168" s="1563"/>
      <c r="AM168" s="1563"/>
      <c r="AN168" s="1563"/>
      <c r="AO168" s="1563"/>
      <c r="AP168" s="1563"/>
      <c r="AQ168" s="1563"/>
      <c r="AR168" s="1563"/>
      <c r="AS168" s="1563"/>
      <c r="AT168" s="1563"/>
      <c r="AU168" s="1563"/>
      <c r="AV168" s="1563"/>
      <c r="AW168" s="1563"/>
      <c r="AX168" s="1563"/>
      <c r="AY168" s="1563"/>
      <c r="AZ168" s="1563"/>
      <c r="BA168" s="3">
        <v>1</v>
      </c>
    </row>
    <row r="169" spans="1:53" ht="15.75" customHeight="1">
      <c r="A169" s="1563"/>
      <c r="B169" s="5925"/>
      <c r="C169" s="1586"/>
      <c r="D169" s="1699"/>
      <c r="E169" s="1700"/>
      <c r="F169" s="1701"/>
      <c r="G169" s="1701" t="s">
        <v>3495</v>
      </c>
      <c r="H169" s="1695"/>
      <c r="I169" s="1563"/>
      <c r="J169" s="1563"/>
      <c r="K169" s="1563"/>
      <c r="L169" s="1563"/>
      <c r="M169" s="1563"/>
      <c r="N169" s="1563"/>
      <c r="O169" s="1563"/>
      <c r="P169" s="1563"/>
      <c r="Q169" s="1563"/>
      <c r="R169" s="1563"/>
      <c r="S169" s="1563"/>
      <c r="T169" s="1563"/>
      <c r="U169" s="1563"/>
      <c r="V169" s="1563"/>
      <c r="W169" s="1563"/>
      <c r="X169" s="1563"/>
      <c r="Y169" s="1563"/>
      <c r="Z169" s="1563"/>
      <c r="AA169" s="1563"/>
      <c r="AB169" s="1563"/>
      <c r="AC169" s="1563"/>
      <c r="AD169" s="1563"/>
      <c r="AE169" s="1563"/>
      <c r="AF169" s="1563"/>
      <c r="AG169" s="1563"/>
      <c r="AH169" s="1563"/>
      <c r="AI169" s="1563"/>
      <c r="AJ169" s="1563"/>
      <c r="AK169" s="1563"/>
      <c r="AL169" s="1563"/>
      <c r="AM169" s="1563"/>
      <c r="AN169" s="1563"/>
      <c r="AO169" s="1563"/>
      <c r="AP169" s="1563"/>
      <c r="AQ169" s="1563"/>
      <c r="AR169" s="1563"/>
      <c r="AS169" s="1563"/>
      <c r="AT169" s="1563"/>
      <c r="AU169" s="1563"/>
      <c r="AV169" s="1563"/>
      <c r="AW169" s="1563"/>
      <c r="AX169" s="1563"/>
      <c r="AY169" s="1563"/>
      <c r="AZ169" s="1563"/>
      <c r="BA169" s="3">
        <v>1</v>
      </c>
    </row>
    <row r="170" spans="1:53" ht="15.75" customHeight="1">
      <c r="A170" s="1563"/>
      <c r="B170" s="5925"/>
      <c r="C170" s="1703"/>
      <c r="D170" s="1704" t="s">
        <v>3496</v>
      </c>
      <c r="E170" s="1764">
        <v>21</v>
      </c>
      <c r="F170" s="183" t="str">
        <f>F168</f>
        <v>Morceaux</v>
      </c>
      <c r="G170" s="2010" t="s">
        <v>8580</v>
      </c>
      <c r="H170" s="670"/>
      <c r="I170" s="1563"/>
      <c r="J170" s="1563"/>
      <c r="K170" s="1563"/>
      <c r="L170" s="1563"/>
      <c r="M170" s="1563"/>
      <c r="N170" s="1563"/>
      <c r="O170" s="1563"/>
      <c r="P170" s="1563"/>
      <c r="Q170" s="1563"/>
      <c r="R170" s="1563"/>
      <c r="S170" s="1563"/>
      <c r="T170" s="1563"/>
      <c r="U170" s="1563"/>
      <c r="V170" s="1563"/>
      <c r="W170" s="1563"/>
      <c r="X170" s="1563"/>
      <c r="Y170" s="1563"/>
      <c r="Z170" s="1563"/>
      <c r="AA170" s="1563"/>
      <c r="AB170" s="1563"/>
      <c r="AC170" s="1563"/>
      <c r="AD170" s="1563"/>
      <c r="AE170" s="1563"/>
      <c r="AF170" s="1563"/>
      <c r="AG170" s="1563"/>
      <c r="AH170" s="1563"/>
      <c r="AI170" s="1563"/>
      <c r="AJ170" s="1563"/>
      <c r="AK170" s="1563"/>
      <c r="AL170" s="1563"/>
      <c r="AM170" s="1563"/>
      <c r="AN170" s="1563"/>
      <c r="AO170" s="1563"/>
      <c r="AP170" s="1563"/>
      <c r="AQ170" s="1563"/>
      <c r="AR170" s="1563"/>
      <c r="AS170" s="1563"/>
      <c r="AT170" s="1563"/>
      <c r="AU170" s="1563"/>
      <c r="AV170" s="1563"/>
      <c r="AW170" s="1563"/>
      <c r="AX170" s="1563"/>
      <c r="AY170" s="1563"/>
      <c r="AZ170" s="1563"/>
      <c r="BA170" s="3">
        <v>1</v>
      </c>
    </row>
    <row r="171" spans="1:53" ht="15.75" customHeight="1">
      <c r="A171" s="1563"/>
      <c r="B171" s="5925"/>
      <c r="C171" s="1703"/>
      <c r="D171" s="2058" t="s">
        <v>8581</v>
      </c>
      <c r="E171" s="1712">
        <v>4.8000000000000001E-2</v>
      </c>
      <c r="F171" s="2059" t="str">
        <f>G170</f>
        <v>❹ Cru</v>
      </c>
      <c r="G171" s="1672">
        <f>IF(F171=E189,E171-(E171*E172%),IF(F171=E190,E171/(100-E172)*100))</f>
        <v>2.4E-2</v>
      </c>
      <c r="H171" s="1714" t="str">
        <f>IF(F171=E189,E190,E189)</f>
        <v>❺ Cuit</v>
      </c>
      <c r="I171" s="1563"/>
      <c r="J171" s="1563"/>
      <c r="K171" s="1563"/>
      <c r="L171" s="1563"/>
      <c r="M171" s="1563"/>
      <c r="N171" s="1563"/>
      <c r="O171" s="1563"/>
      <c r="P171" s="1563"/>
      <c r="Q171" s="1563"/>
      <c r="R171" s="1563"/>
      <c r="S171" s="1563"/>
      <c r="T171" s="1563"/>
      <c r="U171" s="1563"/>
      <c r="V171" s="1563"/>
      <c r="W171" s="1563"/>
      <c r="X171" s="1563"/>
      <c r="Y171" s="1563"/>
      <c r="Z171" s="1563"/>
      <c r="AA171" s="1563"/>
      <c r="AB171" s="1563"/>
      <c r="AC171" s="1563"/>
      <c r="AD171" s="1563"/>
      <c r="AE171" s="1563"/>
      <c r="AF171" s="1563"/>
      <c r="AG171" s="1563"/>
      <c r="AH171" s="1563"/>
      <c r="AI171" s="1563"/>
      <c r="AJ171" s="1563"/>
      <c r="AK171" s="1563"/>
      <c r="AL171" s="1563"/>
      <c r="AM171" s="1563"/>
      <c r="AN171" s="1563"/>
      <c r="AO171" s="1563"/>
      <c r="AP171" s="1563"/>
      <c r="AQ171" s="1563"/>
      <c r="AR171" s="1563"/>
      <c r="AS171" s="1563"/>
      <c r="AT171" s="1563"/>
      <c r="AU171" s="1563"/>
      <c r="AV171" s="1563"/>
      <c r="AW171" s="1563"/>
      <c r="AX171" s="1563"/>
      <c r="AY171" s="1563"/>
      <c r="AZ171" s="1563"/>
      <c r="BA171" s="3">
        <v>1</v>
      </c>
    </row>
    <row r="172" spans="1:53" ht="15.75" customHeight="1">
      <c r="A172" s="1563"/>
      <c r="B172" s="5925"/>
      <c r="C172" s="1586"/>
      <c r="D172" s="1750" t="str">
        <f>IF(G170=E190,"❻ % de BONI &gt;",IF(G170=E189,"❻ %  de PERTE &gt;",IF(ISBLANK(E172),0)))</f>
        <v>❻ %  de PERTE &gt;</v>
      </c>
      <c r="E172" s="1709">
        <v>50</v>
      </c>
      <c r="F172"/>
      <c r="G172" s="1706"/>
      <c r="H172" s="1707"/>
      <c r="I172" s="1563"/>
      <c r="J172" s="1563"/>
      <c r="K172" s="1563"/>
      <c r="L172" s="1563"/>
      <c r="M172" s="1563"/>
      <c r="N172" s="1563"/>
      <c r="O172" s="1563"/>
      <c r="P172" s="1563"/>
      <c r="Q172" s="1563"/>
      <c r="R172" s="1563"/>
      <c r="S172" s="1563"/>
      <c r="T172" s="1563"/>
      <c r="U172" s="1563"/>
      <c r="V172" s="1563"/>
      <c r="W172" s="1563"/>
      <c r="X172" s="1563"/>
      <c r="Y172" s="1563"/>
      <c r="Z172" s="1563"/>
      <c r="AA172" s="1563"/>
      <c r="AB172" s="1563"/>
      <c r="AC172" s="1563"/>
      <c r="AD172" s="1563"/>
      <c r="AE172" s="1563"/>
      <c r="AF172" s="1563"/>
      <c r="AG172" s="1563"/>
      <c r="AH172" s="1563"/>
      <c r="AI172" s="1563"/>
      <c r="AJ172" s="1563"/>
      <c r="AK172" s="1563"/>
      <c r="AL172" s="1563"/>
      <c r="AM172" s="1563"/>
      <c r="AN172" s="1563"/>
      <c r="AO172" s="1563"/>
      <c r="AP172" s="1563"/>
      <c r="AQ172" s="1563"/>
      <c r="AR172" s="1563"/>
      <c r="AS172" s="1563"/>
      <c r="AT172" s="1563"/>
      <c r="AU172" s="1563"/>
      <c r="AV172" s="1563"/>
      <c r="AW172" s="1563"/>
      <c r="AX172" s="1563"/>
      <c r="AY172" s="1563"/>
      <c r="AZ172" s="1563"/>
      <c r="BA172" s="3">
        <v>1</v>
      </c>
    </row>
    <row r="173" spans="1:53" ht="15.75" customHeight="1">
      <c r="A173" s="1563"/>
      <c r="B173" s="5925"/>
      <c r="C173" s="1586"/>
      <c r="D173" s="9"/>
      <c r="E173" s="9"/>
      <c r="F173" s="9"/>
      <c r="G173" s="9"/>
      <c r="H173" s="41"/>
      <c r="I173" s="1563"/>
      <c r="J173" s="1563"/>
      <c r="K173" s="1563"/>
      <c r="L173" s="1563"/>
      <c r="M173" s="1563"/>
      <c r="N173" s="1563"/>
      <c r="O173" s="1563"/>
      <c r="P173" s="1563"/>
      <c r="Q173" s="1563"/>
      <c r="R173" s="1563"/>
      <c r="S173" s="1563"/>
      <c r="T173" s="1563"/>
      <c r="U173" s="1563"/>
      <c r="V173" s="1563"/>
      <c r="W173" s="1563"/>
      <c r="X173" s="1563"/>
      <c r="Y173" s="1563"/>
      <c r="Z173" s="1563"/>
      <c r="AA173" s="1563"/>
      <c r="AB173" s="1563"/>
      <c r="AC173" s="1563"/>
      <c r="AD173" s="1563"/>
      <c r="AE173" s="1563"/>
      <c r="AF173" s="1563"/>
      <c r="AG173" s="1563"/>
      <c r="AH173" s="1563"/>
      <c r="AI173" s="1563"/>
      <c r="AJ173" s="1563"/>
      <c r="AK173" s="1563"/>
      <c r="AL173" s="1563"/>
      <c r="AM173" s="1563"/>
      <c r="AN173" s="1563"/>
      <c r="AO173" s="1563"/>
      <c r="AP173" s="1563"/>
      <c r="AQ173" s="1563"/>
      <c r="AR173" s="1563"/>
      <c r="AS173" s="1563"/>
      <c r="AT173" s="1563"/>
      <c r="AU173" s="1563"/>
      <c r="AV173" s="1563"/>
      <c r="AW173" s="1563"/>
      <c r="AX173" s="1563"/>
      <c r="AY173" s="1563"/>
      <c r="AZ173" s="1563"/>
      <c r="BA173" s="3">
        <v>1</v>
      </c>
    </row>
    <row r="174" spans="1:53" ht="15.75" customHeight="1">
      <c r="A174" s="1563"/>
      <c r="B174" s="5925"/>
      <c r="C174" s="1586"/>
      <c r="D174" s="2060" t="s">
        <v>3498</v>
      </c>
      <c r="E174" s="1766">
        <v>1200</v>
      </c>
      <c r="F174" s="1767" t="s">
        <v>36</v>
      </c>
      <c r="G174" s="1586"/>
      <c r="H174" s="1718"/>
      <c r="I174" s="1563"/>
      <c r="J174" s="1563"/>
      <c r="K174" s="1563"/>
      <c r="L174" s="1563"/>
      <c r="M174" s="1563"/>
      <c r="N174" s="1563"/>
      <c r="O174" s="1563"/>
      <c r="P174" s="1563"/>
      <c r="Q174" s="1563"/>
      <c r="R174" s="1563"/>
      <c r="S174" s="1563"/>
      <c r="T174" s="1563"/>
      <c r="U174" s="1563"/>
      <c r="V174" s="1563"/>
      <c r="W174" s="1563"/>
      <c r="X174" s="1563"/>
      <c r="Y174" s="1563"/>
      <c r="Z174" s="1563"/>
      <c r="AA174" s="1563"/>
      <c r="AB174" s="1563"/>
      <c r="AC174" s="1563"/>
      <c r="AD174" s="1563"/>
      <c r="AE174" s="1563"/>
      <c r="AF174" s="1563"/>
      <c r="AG174" s="1563"/>
      <c r="AH174" s="1563"/>
      <c r="AI174" s="1563"/>
      <c r="AJ174" s="1563"/>
      <c r="AK174" s="1563"/>
      <c r="AL174" s="1563"/>
      <c r="AM174" s="1563"/>
      <c r="AN174" s="1563"/>
      <c r="AO174" s="1563"/>
      <c r="AP174" s="1563"/>
      <c r="AQ174" s="1563"/>
      <c r="AR174" s="1563"/>
      <c r="AS174" s="1563"/>
      <c r="AT174" s="1563"/>
      <c r="AU174" s="1563"/>
      <c r="AV174" s="1563"/>
      <c r="AW174" s="1563"/>
      <c r="AX174" s="1563"/>
      <c r="AY174" s="1563"/>
      <c r="AZ174" s="1563"/>
      <c r="BA174" s="3">
        <v>1</v>
      </c>
    </row>
    <row r="175" spans="1:53" ht="15.75" customHeight="1">
      <c r="A175" s="1563"/>
      <c r="B175" s="5925"/>
      <c r="C175" s="1586"/>
      <c r="D175" s="1711" t="s">
        <v>3523</v>
      </c>
      <c r="E175" s="1768">
        <v>1.5</v>
      </c>
      <c r="F175" t="str">
        <f>F168</f>
        <v>Morceaux</v>
      </c>
      <c r="G175" s="1765">
        <f>E171*E175</f>
        <v>7.2000000000000008E-2</v>
      </c>
      <c r="H175" s="1714" t="str">
        <f>F171</f>
        <v>❹ Cru</v>
      </c>
      <c r="I175" s="1563"/>
      <c r="J175" s="1563"/>
      <c r="K175" s="1563"/>
      <c r="L175" s="1563"/>
      <c r="M175" s="1563"/>
      <c r="N175" s="1563"/>
      <c r="O175" s="1563"/>
      <c r="P175" s="1563"/>
      <c r="Q175" s="1563"/>
      <c r="R175" s="1563"/>
      <c r="S175" s="1563"/>
      <c r="T175" s="1563"/>
      <c r="U175" s="1563"/>
      <c r="V175" s="1563"/>
      <c r="W175" s="1563"/>
      <c r="X175" s="1563"/>
      <c r="Y175" s="1563"/>
      <c r="Z175" s="1563"/>
      <c r="AA175" s="1563"/>
      <c r="AB175" s="1563"/>
      <c r="AC175" s="1563"/>
      <c r="AD175" s="1563"/>
      <c r="AE175" s="1563"/>
      <c r="AF175" s="1563"/>
      <c r="AG175" s="1563"/>
      <c r="AH175" s="1563"/>
      <c r="AI175" s="1563"/>
      <c r="AJ175" s="1563"/>
      <c r="AK175" s="1563"/>
      <c r="AL175" s="1563"/>
      <c r="AM175" s="1563"/>
      <c r="AN175" s="1563"/>
      <c r="AO175" s="1563"/>
      <c r="AP175" s="1563"/>
      <c r="AQ175" s="1563"/>
      <c r="AR175" s="1563"/>
      <c r="AS175" s="1563"/>
      <c r="AT175" s="1563"/>
      <c r="AU175" s="1563"/>
      <c r="AV175" s="1563"/>
      <c r="AW175" s="1563"/>
      <c r="AX175" s="1563"/>
      <c r="AY175" s="1563"/>
      <c r="AZ175" s="1563"/>
      <c r="BA175" s="3">
        <v>1</v>
      </c>
    </row>
    <row r="176" spans="1:53" ht="15.75" customHeight="1">
      <c r="A176" s="1563"/>
      <c r="B176" s="5925"/>
      <c r="C176" s="1586"/>
      <c r="D176" s="1711"/>
      <c r="E176" s="2061"/>
      <c r="F176" s="9"/>
      <c r="G176" s="1765">
        <f>G171*E175</f>
        <v>3.6000000000000004E-2</v>
      </c>
      <c r="H176" s="1714" t="str">
        <f>H171</f>
        <v>❺ Cuit</v>
      </c>
      <c r="I176" s="1563"/>
      <c r="J176" s="1563"/>
      <c r="K176" s="1563"/>
      <c r="L176" s="1563"/>
      <c r="M176" s="1563"/>
      <c r="N176" s="1563"/>
      <c r="O176" s="1563"/>
      <c r="P176" s="1563"/>
      <c r="Q176" s="1563"/>
      <c r="R176" s="1563"/>
      <c r="S176" s="1563"/>
      <c r="T176" s="1563"/>
      <c r="U176" s="1563"/>
      <c r="V176" s="1563"/>
      <c r="W176" s="1563"/>
      <c r="X176" s="1563"/>
      <c r="Y176" s="1563"/>
      <c r="Z176" s="1563"/>
      <c r="AA176" s="1563"/>
      <c r="AB176" s="1563"/>
      <c r="AC176" s="1563"/>
      <c r="AD176" s="1563"/>
      <c r="AE176" s="1563"/>
      <c r="AF176" s="1563"/>
      <c r="AG176" s="1563"/>
      <c r="AH176" s="1563"/>
      <c r="AI176" s="1563"/>
      <c r="AJ176" s="1563"/>
      <c r="AK176" s="1563"/>
      <c r="AL176" s="1563"/>
      <c r="AM176" s="1563"/>
      <c r="AN176" s="1563"/>
      <c r="AO176" s="1563"/>
      <c r="AP176" s="1563"/>
      <c r="AQ176" s="1563"/>
      <c r="AR176" s="1563"/>
      <c r="AS176" s="1563"/>
      <c r="AT176" s="1563"/>
      <c r="AU176" s="1563"/>
      <c r="AV176" s="1563"/>
      <c r="AW176" s="1563"/>
      <c r="AX176" s="1563"/>
      <c r="AY176" s="1563"/>
      <c r="AZ176" s="1563"/>
      <c r="BA176" s="3">
        <v>1</v>
      </c>
    </row>
    <row r="177" spans="1:53" ht="15.75" customHeight="1">
      <c r="A177" s="1563"/>
      <c r="B177" s="5925"/>
      <c r="C177" s="1586"/>
      <c r="D177" s="1719" t="s">
        <v>3499</v>
      </c>
      <c r="E177" s="1577">
        <f>E175*E174</f>
        <v>1800</v>
      </c>
      <c r="F177" s="2062" t="str">
        <f>F168</f>
        <v>Morceaux</v>
      </c>
      <c r="G177" s="1722"/>
      <c r="H177" s="1723"/>
      <c r="I177" s="1563"/>
      <c r="J177" s="1563"/>
      <c r="K177" s="1563"/>
      <c r="L177" s="1563"/>
      <c r="M177" s="1563"/>
      <c r="N177" s="1563"/>
      <c r="O177" s="1563"/>
      <c r="P177" s="1563"/>
      <c r="Q177" s="1563"/>
      <c r="R177" s="1563"/>
      <c r="S177" s="1563"/>
      <c r="T177" s="1563"/>
      <c r="U177" s="1563"/>
      <c r="V177" s="1563"/>
      <c r="W177" s="1563"/>
      <c r="X177" s="1563"/>
      <c r="Y177" s="1563"/>
      <c r="Z177" s="1563"/>
      <c r="AA177" s="1563"/>
      <c r="AB177" s="1563"/>
      <c r="AC177" s="1563"/>
      <c r="AD177" s="1563"/>
      <c r="AE177" s="1563"/>
      <c r="AF177" s="1563"/>
      <c r="AG177" s="1563"/>
      <c r="AH177" s="1563"/>
      <c r="AI177" s="1563"/>
      <c r="AJ177" s="1563"/>
      <c r="AK177" s="1563"/>
      <c r="AL177" s="1563"/>
      <c r="AM177" s="1563"/>
      <c r="AN177" s="1563"/>
      <c r="AO177" s="1563"/>
      <c r="AP177" s="1563"/>
      <c r="AQ177" s="1563"/>
      <c r="AR177" s="1563"/>
      <c r="AS177" s="1563"/>
      <c r="AT177" s="1563"/>
      <c r="AU177" s="1563"/>
      <c r="AV177" s="1563"/>
      <c r="AW177" s="1563"/>
      <c r="AX177" s="1563"/>
      <c r="AY177" s="1563"/>
      <c r="AZ177" s="1563"/>
      <c r="BA177" s="3">
        <v>1</v>
      </c>
    </row>
    <row r="178" spans="1:53" ht="15.75" customHeight="1">
      <c r="A178" s="1563"/>
      <c r="B178" s="5925"/>
      <c r="C178" s="1586"/>
      <c r="D178" s="1719"/>
      <c r="E178" s="2063">
        <f>G175*E174</f>
        <v>86.4</v>
      </c>
      <c r="F178" s="2064" t="str">
        <f>F171</f>
        <v>❹ Cru</v>
      </c>
      <c r="G178" s="1722"/>
      <c r="H178" s="1723"/>
      <c r="I178" s="1563"/>
      <c r="J178" s="1563"/>
      <c r="K178" s="1563"/>
      <c r="L178" s="1563"/>
      <c r="M178" s="1563"/>
      <c r="N178" s="1563"/>
      <c r="O178" s="1563"/>
      <c r="P178" s="1563"/>
      <c r="Q178" s="1563"/>
      <c r="R178" s="1563"/>
      <c r="S178" s="1563"/>
      <c r="T178" s="1563"/>
      <c r="U178" s="1563"/>
      <c r="V178" s="1563"/>
      <c r="W178" s="1563"/>
      <c r="X178" s="1563"/>
      <c r="Y178" s="1563"/>
      <c r="Z178" s="1563"/>
      <c r="AA178" s="1563"/>
      <c r="AB178" s="1563"/>
      <c r="AC178" s="1563"/>
      <c r="AD178" s="1563"/>
      <c r="AE178" s="1563"/>
      <c r="AF178" s="1563"/>
      <c r="AG178" s="1563"/>
      <c r="AH178" s="1563"/>
      <c r="AI178" s="1563"/>
      <c r="AJ178" s="1563"/>
      <c r="AK178" s="1563"/>
      <c r="AL178" s="1563"/>
      <c r="AM178" s="1563"/>
      <c r="AN178" s="1563"/>
      <c r="AO178" s="1563"/>
      <c r="AP178" s="1563"/>
      <c r="AQ178" s="1563"/>
      <c r="AR178" s="1563"/>
      <c r="AS178" s="1563"/>
      <c r="AT178" s="1563"/>
      <c r="AU178" s="1563"/>
      <c r="AV178" s="1563"/>
      <c r="AW178" s="1563"/>
      <c r="AX178" s="1563"/>
      <c r="AY178" s="1563"/>
      <c r="AZ178" s="1563"/>
      <c r="BA178" s="3">
        <v>1</v>
      </c>
    </row>
    <row r="179" spans="1:53" ht="15.75" customHeight="1">
      <c r="A179" s="1563"/>
      <c r="B179" s="5925"/>
      <c r="C179" s="1586"/>
      <c r="D179" s="1719"/>
      <c r="E179" s="2063">
        <f>G176*E174</f>
        <v>43.2</v>
      </c>
      <c r="F179" s="2059" t="str">
        <f>H171</f>
        <v>❺ Cuit</v>
      </c>
      <c r="G179" s="1722"/>
      <c r="H179" s="1723"/>
      <c r="I179" s="1563"/>
      <c r="J179" s="1563"/>
      <c r="K179" s="1563"/>
      <c r="L179" s="1563"/>
      <c r="M179" s="1563"/>
      <c r="N179" s="1563"/>
      <c r="O179" s="1563"/>
      <c r="P179" s="1563"/>
      <c r="Q179" s="1563"/>
      <c r="R179" s="1563"/>
      <c r="S179" s="1563"/>
      <c r="T179" s="1563"/>
      <c r="U179" s="1563"/>
      <c r="V179" s="1563"/>
      <c r="W179" s="1563"/>
      <c r="X179" s="1563"/>
      <c r="Y179" s="1563"/>
      <c r="Z179" s="1563"/>
      <c r="AA179" s="1563"/>
      <c r="AB179" s="1563"/>
      <c r="AC179" s="1563"/>
      <c r="AD179" s="1563"/>
      <c r="AE179" s="1563"/>
      <c r="AF179" s="1563"/>
      <c r="AG179" s="1563"/>
      <c r="AH179" s="1563"/>
      <c r="AI179" s="1563"/>
      <c r="AJ179" s="1563"/>
      <c r="AK179" s="1563"/>
      <c r="AL179" s="1563"/>
      <c r="AM179" s="1563"/>
      <c r="AN179" s="1563"/>
      <c r="AO179" s="1563"/>
      <c r="AP179" s="1563"/>
      <c r="AQ179" s="1563"/>
      <c r="AR179" s="1563"/>
      <c r="AS179" s="1563"/>
      <c r="AT179" s="1563"/>
      <c r="AU179" s="1563"/>
      <c r="AV179" s="1563"/>
      <c r="AW179" s="1563"/>
      <c r="AX179" s="1563"/>
      <c r="AY179" s="1563"/>
      <c r="AZ179" s="1563"/>
      <c r="BA179" s="3">
        <v>1</v>
      </c>
    </row>
    <row r="180" spans="1:53" ht="15.75" customHeight="1">
      <c r="A180" s="1563"/>
      <c r="B180" s="5925"/>
      <c r="C180" s="1670"/>
      <c r="D180" s="1724" t="s">
        <v>3500</v>
      </c>
      <c r="E180" s="1725">
        <f>E163</f>
        <v>86</v>
      </c>
      <c r="F180" s="1726" t="s">
        <v>3501</v>
      </c>
      <c r="G180" s="1727">
        <f>IF(ISBLANK(E175),0,E170/E175)</f>
        <v>14</v>
      </c>
      <c r="H180" s="1695"/>
      <c r="I180" s="1563"/>
      <c r="J180" s="1563"/>
      <c r="K180" s="1563"/>
      <c r="L180" s="1563"/>
      <c r="M180" s="1563"/>
      <c r="N180" s="1563"/>
      <c r="O180" s="1563"/>
      <c r="P180" s="1563"/>
      <c r="Q180" s="1563"/>
      <c r="R180" s="1563"/>
      <c r="S180" s="1563"/>
      <c r="T180" s="1563"/>
      <c r="U180" s="1563"/>
      <c r="V180" s="1563"/>
      <c r="W180" s="1563"/>
      <c r="X180" s="1563"/>
      <c r="Y180" s="1563"/>
      <c r="Z180" s="1563"/>
      <c r="AA180" s="1563"/>
      <c r="AB180" s="1563"/>
      <c r="AC180" s="1563"/>
      <c r="AD180" s="1563"/>
      <c r="AE180" s="1563"/>
      <c r="AF180" s="1563"/>
      <c r="AG180" s="1563"/>
      <c r="AH180" s="1563"/>
      <c r="AI180" s="1563"/>
      <c r="AJ180" s="1563"/>
      <c r="AK180" s="1563"/>
      <c r="AL180" s="1563"/>
      <c r="AM180" s="1563"/>
      <c r="AN180" s="1563"/>
      <c r="AO180" s="1563"/>
      <c r="AP180" s="1563"/>
      <c r="AQ180" s="1563"/>
      <c r="AR180" s="1563"/>
      <c r="AS180" s="1563"/>
      <c r="AT180" s="1563"/>
      <c r="AU180" s="1563"/>
      <c r="AV180" s="1563"/>
      <c r="AW180" s="1563"/>
      <c r="AX180" s="1563"/>
      <c r="AY180" s="1563"/>
      <c r="AZ180" s="1563"/>
      <c r="BA180" s="3">
        <v>1</v>
      </c>
    </row>
    <row r="181" spans="1:53" ht="15.75" customHeight="1">
      <c r="A181" s="1563"/>
      <c r="B181" s="5925"/>
      <c r="C181" s="1586"/>
      <c r="D181" s="1724"/>
      <c r="E181" s="1725"/>
      <c r="F181" s="1728"/>
      <c r="G181" s="1727"/>
      <c r="H181" s="1695"/>
      <c r="I181" s="1563"/>
      <c r="J181" s="1563"/>
      <c r="K181" s="1563"/>
      <c r="L181" s="1563"/>
      <c r="M181" s="1563"/>
      <c r="N181" s="1563"/>
      <c r="O181" s="1563"/>
      <c r="P181" s="1563"/>
      <c r="Q181" s="1563"/>
      <c r="R181" s="1563"/>
      <c r="S181" s="1563"/>
      <c r="T181" s="1563"/>
      <c r="U181" s="1563"/>
      <c r="V181" s="1563"/>
      <c r="W181" s="1563"/>
      <c r="X181" s="1563"/>
      <c r="Y181" s="1563"/>
      <c r="Z181" s="1563"/>
      <c r="AA181" s="1563"/>
      <c r="AB181" s="1563"/>
      <c r="AC181" s="1563"/>
      <c r="AD181" s="1563"/>
      <c r="AE181" s="1563"/>
      <c r="AF181" s="1563"/>
      <c r="AG181" s="1563"/>
      <c r="AH181" s="1563"/>
      <c r="AI181" s="1563"/>
      <c r="AJ181" s="1563"/>
      <c r="AK181" s="1563"/>
      <c r="AL181" s="1563"/>
      <c r="AM181" s="1563"/>
      <c r="AN181" s="1563"/>
      <c r="AO181" s="1563"/>
      <c r="AP181" s="1563"/>
      <c r="AQ181" s="1563"/>
      <c r="AR181" s="1563"/>
      <c r="AS181" s="1563"/>
      <c r="AT181" s="1563"/>
      <c r="AU181" s="1563"/>
      <c r="AV181" s="1563"/>
      <c r="AW181" s="1563"/>
      <c r="AX181" s="1563"/>
      <c r="AY181" s="1563"/>
      <c r="AZ181" s="1563"/>
      <c r="BA181" s="3">
        <v>1</v>
      </c>
    </row>
    <row r="182" spans="1:53" ht="15.75" customHeight="1">
      <c r="A182" s="1563"/>
      <c r="B182" s="5925"/>
      <c r="C182" s="5913" t="s">
        <v>3502</v>
      </c>
      <c r="D182" s="5913"/>
      <c r="E182" s="5913"/>
      <c r="F182" s="5913"/>
      <c r="G182" s="5913"/>
      <c r="H182" s="5914"/>
      <c r="I182" s="1563"/>
      <c r="J182" s="1563"/>
      <c r="K182" s="1563"/>
      <c r="L182" s="1563"/>
      <c r="M182" s="1563"/>
      <c r="N182" s="1563"/>
      <c r="O182" s="1563"/>
      <c r="P182" s="1563"/>
      <c r="Q182" s="1563"/>
      <c r="R182" s="1563"/>
      <c r="S182" s="1563"/>
      <c r="T182" s="1563"/>
      <c r="U182" s="1563"/>
      <c r="V182" s="1563"/>
      <c r="W182" s="1563"/>
      <c r="X182" s="1563"/>
      <c r="Y182" s="1563"/>
      <c r="Z182" s="1563"/>
      <c r="AA182" s="1563"/>
      <c r="AB182" s="1563"/>
      <c r="AC182" s="1563"/>
      <c r="AD182" s="1563"/>
      <c r="AE182" s="1563"/>
      <c r="AF182" s="1563"/>
      <c r="AG182" s="1563"/>
      <c r="AH182" s="1563"/>
      <c r="AI182" s="1563"/>
      <c r="AJ182" s="1563"/>
      <c r="AK182" s="1563"/>
      <c r="AL182" s="1563"/>
      <c r="AM182" s="1563"/>
      <c r="AN182" s="1563"/>
      <c r="AO182" s="1563"/>
      <c r="AP182" s="1563"/>
      <c r="AQ182" s="1563"/>
      <c r="AR182" s="1563"/>
      <c r="AS182" s="1563"/>
      <c r="AT182" s="1563"/>
      <c r="AU182" s="1563"/>
      <c r="AV182" s="1563"/>
      <c r="AW182" s="1563"/>
      <c r="AX182" s="1563"/>
      <c r="AY182" s="1563"/>
      <c r="AZ182" s="1563"/>
      <c r="BA182" s="3">
        <v>1</v>
      </c>
    </row>
    <row r="183" spans="1:53" ht="15.75" customHeight="1">
      <c r="A183" s="1563"/>
      <c r="B183" s="5925"/>
      <c r="C183" s="5913"/>
      <c r="D183" s="5913"/>
      <c r="E183" s="5913"/>
      <c r="F183" s="5913"/>
      <c r="G183" s="5913"/>
      <c r="H183" s="5914"/>
      <c r="I183" s="1563"/>
      <c r="J183" s="1563"/>
      <c r="K183" s="1563"/>
      <c r="L183" s="1563"/>
      <c r="M183" s="1563"/>
      <c r="N183" s="1563"/>
      <c r="O183" s="1563"/>
      <c r="P183" s="1563"/>
      <c r="Q183" s="1563"/>
      <c r="R183" s="1563"/>
      <c r="S183" s="1563"/>
      <c r="T183" s="1563"/>
      <c r="U183" s="1563"/>
      <c r="V183" s="1563"/>
      <c r="W183" s="1563"/>
      <c r="X183" s="1563"/>
      <c r="Y183" s="1563"/>
      <c r="Z183" s="1563"/>
      <c r="AA183" s="1563"/>
      <c r="AB183" s="1563"/>
      <c r="AC183" s="1563"/>
      <c r="AD183" s="1563"/>
      <c r="AE183" s="1563"/>
      <c r="AF183" s="1563"/>
      <c r="AG183" s="1563"/>
      <c r="AH183" s="1563"/>
      <c r="AI183" s="1563"/>
      <c r="AJ183" s="1563"/>
      <c r="AK183" s="1563"/>
      <c r="AL183" s="1563"/>
      <c r="AM183" s="1563"/>
      <c r="AN183" s="1563"/>
      <c r="AO183" s="1563"/>
      <c r="AP183" s="1563"/>
      <c r="AQ183" s="1563"/>
      <c r="AR183" s="1563"/>
      <c r="AS183" s="1563"/>
      <c r="AT183" s="1563"/>
      <c r="AU183" s="1563"/>
      <c r="AV183" s="1563"/>
      <c r="AW183" s="1563"/>
      <c r="AX183" s="1563"/>
      <c r="AY183" s="1563"/>
      <c r="AZ183" s="1563"/>
      <c r="BA183" s="3">
        <v>1</v>
      </c>
    </row>
    <row r="184" spans="1:53" ht="15.75" customHeight="1">
      <c r="A184" s="1563"/>
      <c r="B184" s="5925"/>
      <c r="C184" s="1729" t="s">
        <v>3524</v>
      </c>
      <c r="D184" s="1730"/>
      <c r="E184" s="1730"/>
      <c r="F184" s="1730"/>
      <c r="G184" s="1730"/>
      <c r="H184" s="1731"/>
      <c r="I184" s="1563"/>
      <c r="J184" s="1563"/>
      <c r="K184" s="1563"/>
      <c r="L184" s="1563"/>
      <c r="M184" s="1563"/>
      <c r="N184" s="1563"/>
      <c r="O184" s="1563"/>
      <c r="P184" s="1563"/>
      <c r="Q184" s="1563"/>
      <c r="R184" s="1563"/>
      <c r="S184" s="1563"/>
      <c r="T184" s="1563"/>
      <c r="U184" s="1563"/>
      <c r="V184" s="1563"/>
      <c r="W184" s="1563"/>
      <c r="X184" s="1563"/>
      <c r="Y184" s="1563"/>
      <c r="Z184" s="1563"/>
      <c r="AA184" s="1563"/>
      <c r="AB184" s="1563"/>
      <c r="AC184" s="1563"/>
      <c r="AD184" s="1563"/>
      <c r="AE184" s="1563"/>
      <c r="AF184" s="1563"/>
      <c r="AG184" s="1563"/>
      <c r="AH184" s="1563"/>
      <c r="AI184" s="1563"/>
      <c r="AJ184" s="1563"/>
      <c r="AK184" s="1563"/>
      <c r="AL184" s="1563"/>
      <c r="AM184" s="1563"/>
      <c r="AN184" s="1563"/>
      <c r="AO184" s="1563"/>
      <c r="AP184" s="1563"/>
      <c r="AQ184" s="1563"/>
      <c r="AR184" s="1563"/>
      <c r="AS184" s="1563"/>
      <c r="AT184" s="1563"/>
      <c r="AU184" s="1563"/>
      <c r="AV184" s="1563"/>
      <c r="AW184" s="1563"/>
      <c r="AX184" s="1563"/>
      <c r="AY184" s="1563"/>
      <c r="AZ184" s="1563"/>
      <c r="BA184" s="3">
        <v>1</v>
      </c>
    </row>
    <row r="185" spans="1:53" ht="15.75" customHeight="1">
      <c r="A185" s="1563"/>
      <c r="B185" s="5925"/>
      <c r="C185" s="5927" t="s">
        <v>3504</v>
      </c>
      <c r="D185" s="5927"/>
      <c r="E185" s="5927"/>
      <c r="F185" s="5927"/>
      <c r="G185" s="5927"/>
      <c r="H185" s="5928"/>
      <c r="I185" s="1563"/>
      <c r="J185" s="1563"/>
      <c r="K185" s="1563"/>
      <c r="L185" s="1563"/>
      <c r="M185" s="1563"/>
      <c r="N185" s="1563"/>
      <c r="O185" s="1563"/>
      <c r="P185" s="1563"/>
      <c r="Q185" s="1563"/>
      <c r="R185" s="1563"/>
      <c r="S185" s="1563"/>
      <c r="T185" s="1563"/>
      <c r="U185" s="1563"/>
      <c r="V185" s="1563"/>
      <c r="W185" s="1563"/>
      <c r="X185" s="1563"/>
      <c r="Y185" s="1563"/>
      <c r="Z185" s="1563"/>
      <c r="AA185" s="1563"/>
      <c r="AB185" s="1563"/>
      <c r="AC185" s="1563"/>
      <c r="AD185" s="1563"/>
      <c r="AE185" s="1563"/>
      <c r="AF185" s="1563"/>
      <c r="AG185" s="1563"/>
      <c r="AH185" s="1563"/>
      <c r="AI185" s="1563"/>
      <c r="AJ185" s="1563"/>
      <c r="AK185" s="1563"/>
      <c r="AL185" s="1563"/>
      <c r="AM185" s="1563"/>
      <c r="AN185" s="1563"/>
      <c r="AO185" s="1563"/>
      <c r="AP185" s="1563"/>
      <c r="AQ185" s="1563"/>
      <c r="AR185" s="1563"/>
      <c r="AS185" s="1563"/>
      <c r="AT185" s="1563"/>
      <c r="AU185" s="1563"/>
      <c r="AV185" s="1563"/>
      <c r="AW185" s="1563"/>
      <c r="AX185" s="1563"/>
      <c r="AY185" s="1563"/>
      <c r="AZ185" s="1563"/>
      <c r="BA185" s="3">
        <v>1</v>
      </c>
    </row>
    <row r="186" spans="1:53" ht="15.75" customHeight="1">
      <c r="A186" s="1563"/>
      <c r="B186" s="5925"/>
      <c r="C186" s="1732" t="s">
        <v>3505</v>
      </c>
      <c r="D186" s="1586"/>
      <c r="E186" s="1586"/>
      <c r="F186" s="1671" t="s">
        <v>3506</v>
      </c>
      <c r="G186" s="1586"/>
      <c r="H186" s="1695"/>
      <c r="I186" s="1563"/>
      <c r="J186" s="1563"/>
      <c r="K186" s="1563"/>
      <c r="L186" s="1563"/>
      <c r="M186" s="1563"/>
      <c r="N186" s="1563"/>
      <c r="O186" s="1563"/>
      <c r="P186" s="1563"/>
      <c r="Q186" s="1563"/>
      <c r="R186" s="1563"/>
      <c r="S186" s="1563"/>
      <c r="T186" s="1563"/>
      <c r="U186" s="1563"/>
      <c r="V186" s="1563"/>
      <c r="W186" s="1563"/>
      <c r="X186" s="1563"/>
      <c r="Y186" s="1563"/>
      <c r="Z186" s="1563"/>
      <c r="AA186" s="1563"/>
      <c r="AB186" s="1563"/>
      <c r="AC186" s="1563"/>
      <c r="AD186" s="1563"/>
      <c r="AE186" s="1563"/>
      <c r="AF186" s="1563"/>
      <c r="AG186" s="1563"/>
      <c r="AH186" s="1563"/>
      <c r="AI186" s="1563"/>
      <c r="AJ186" s="1563"/>
      <c r="AK186" s="1563"/>
      <c r="AL186" s="1563"/>
      <c r="AM186" s="1563"/>
      <c r="AN186" s="1563"/>
      <c r="AO186" s="1563"/>
      <c r="AP186" s="1563"/>
      <c r="AQ186" s="1563"/>
      <c r="AR186" s="1563"/>
      <c r="AS186" s="1563"/>
      <c r="AT186" s="1563"/>
      <c r="AU186" s="1563"/>
      <c r="AV186" s="1563"/>
      <c r="AW186" s="1563"/>
      <c r="AX186" s="1563"/>
      <c r="AY186" s="1563"/>
      <c r="AZ186" s="1563"/>
      <c r="BA186" s="3">
        <v>1</v>
      </c>
    </row>
    <row r="187" spans="1:53" ht="15.75" customHeight="1">
      <c r="A187" s="1563"/>
      <c r="B187" s="5925"/>
      <c r="C187" s="1733" t="s">
        <v>3493</v>
      </c>
      <c r="D187" s="1586"/>
      <c r="E187" s="1586"/>
      <c r="F187" s="1734" t="s">
        <v>3507</v>
      </c>
      <c r="G187" s="1586"/>
      <c r="H187" s="1695"/>
      <c r="I187" s="1563"/>
      <c r="J187" s="1563"/>
      <c r="K187" s="1563"/>
      <c r="L187" s="1563"/>
      <c r="M187" s="1563"/>
      <c r="N187" s="1563"/>
      <c r="O187" s="1563"/>
      <c r="P187" s="1563"/>
      <c r="Q187" s="1563"/>
      <c r="R187" s="1563"/>
      <c r="S187" s="1563"/>
      <c r="T187" s="1563"/>
      <c r="U187" s="1563"/>
      <c r="V187" s="1563"/>
      <c r="W187" s="1563"/>
      <c r="X187" s="1563"/>
      <c r="Y187" s="1563"/>
      <c r="Z187" s="1563"/>
      <c r="AA187" s="1563"/>
      <c r="AB187" s="1563"/>
      <c r="AC187" s="1563"/>
      <c r="AD187" s="1563"/>
      <c r="AE187" s="1563"/>
      <c r="AF187" s="1563"/>
      <c r="AG187" s="1563"/>
      <c r="AH187" s="1563"/>
      <c r="AI187" s="1563"/>
      <c r="AJ187" s="1563"/>
      <c r="AK187" s="1563"/>
      <c r="AL187" s="1563"/>
      <c r="AM187" s="1563"/>
      <c r="AN187" s="1563"/>
      <c r="AO187" s="1563"/>
      <c r="AP187" s="1563"/>
      <c r="AQ187" s="1563"/>
      <c r="AR187" s="1563"/>
      <c r="AS187" s="1563"/>
      <c r="AT187" s="1563"/>
      <c r="AU187" s="1563"/>
      <c r="AV187" s="1563"/>
      <c r="AW187" s="1563"/>
      <c r="AX187" s="1563"/>
      <c r="AY187" s="1563"/>
      <c r="AZ187" s="1563"/>
      <c r="BA187" s="3">
        <v>1</v>
      </c>
    </row>
    <row r="188" spans="1:53" ht="15.75" customHeight="1">
      <c r="A188" s="1563"/>
      <c r="B188" s="5925"/>
      <c r="C188" s="1735" t="s">
        <v>3508</v>
      </c>
      <c r="D188" s="1586"/>
      <c r="E188" s="1586"/>
      <c r="F188" s="1736" t="s">
        <v>3509</v>
      </c>
      <c r="G188" s="1586"/>
      <c r="H188" s="1695"/>
      <c r="I188" s="1563"/>
      <c r="J188" s="1563"/>
      <c r="K188" s="1563"/>
      <c r="L188" s="1563"/>
      <c r="M188" s="1563"/>
      <c r="N188" s="1563"/>
      <c r="O188" s="1563"/>
      <c r="P188" s="1563"/>
      <c r="Q188" s="1563"/>
      <c r="R188" s="1563"/>
      <c r="S188" s="1563"/>
      <c r="T188" s="1563"/>
      <c r="U188" s="1563"/>
      <c r="V188" s="1563"/>
      <c r="W188" s="1563"/>
      <c r="X188" s="1563"/>
      <c r="Y188" s="1563"/>
      <c r="Z188" s="1563"/>
      <c r="AA188" s="1563"/>
      <c r="AB188" s="1563"/>
      <c r="AC188" s="1563"/>
      <c r="AD188" s="1563"/>
      <c r="AE188" s="1563"/>
      <c r="AF188" s="1563"/>
      <c r="AG188" s="1563"/>
      <c r="AH188" s="1563"/>
      <c r="AI188" s="1563"/>
      <c r="AJ188" s="1563"/>
      <c r="AK188" s="1563"/>
      <c r="AL188" s="1563"/>
      <c r="AM188" s="1563"/>
      <c r="AN188" s="1563"/>
      <c r="AO188" s="1563"/>
      <c r="AP188" s="1563"/>
      <c r="AQ188" s="1563"/>
      <c r="AR188" s="1563"/>
      <c r="AS188" s="1563"/>
      <c r="AT188" s="1563"/>
      <c r="AU188" s="1563"/>
      <c r="AV188" s="1563"/>
      <c r="AW188" s="1563"/>
      <c r="AX188" s="1563"/>
      <c r="AY188" s="1563"/>
      <c r="AZ188" s="1563"/>
      <c r="BA188" s="3">
        <v>1</v>
      </c>
    </row>
    <row r="189" spans="1:53" ht="15.75" customHeight="1">
      <c r="A189" s="1563"/>
      <c r="B189" s="5925"/>
      <c r="C189" s="1671"/>
      <c r="D189" s="1582"/>
      <c r="E189" s="2010" t="s">
        <v>8580</v>
      </c>
      <c r="F189" s="1737" t="s">
        <v>3525</v>
      </c>
      <c r="G189" s="1586"/>
      <c r="H189" s="1695"/>
      <c r="I189" s="1563"/>
      <c r="J189" s="1563"/>
      <c r="K189" s="1563"/>
      <c r="L189" s="1563"/>
      <c r="M189" s="1563"/>
      <c r="N189" s="1563"/>
      <c r="O189" s="1563"/>
      <c r="P189" s="1563"/>
      <c r="Q189" s="1563"/>
      <c r="R189" s="1563"/>
      <c r="S189" s="1563"/>
      <c r="T189" s="1563"/>
      <c r="U189" s="1563"/>
      <c r="V189" s="1563"/>
      <c r="W189" s="1563"/>
      <c r="X189" s="1563"/>
      <c r="Y189" s="1563"/>
      <c r="Z189" s="1563"/>
      <c r="AA189" s="1563"/>
      <c r="AB189" s="1563"/>
      <c r="AC189" s="1563"/>
      <c r="AD189" s="1563"/>
      <c r="AE189" s="1563"/>
      <c r="AF189" s="1563"/>
      <c r="AG189" s="1563"/>
      <c r="AH189" s="1563"/>
      <c r="AI189" s="1563"/>
      <c r="AJ189" s="1563"/>
      <c r="AK189" s="1563"/>
      <c r="AL189" s="1563"/>
      <c r="AM189" s="1563"/>
      <c r="AN189" s="1563"/>
      <c r="AO189" s="1563"/>
      <c r="AP189" s="1563"/>
      <c r="AQ189" s="1563"/>
      <c r="AR189" s="1563"/>
      <c r="AS189" s="1563"/>
      <c r="AT189" s="1563"/>
      <c r="AU189" s="1563"/>
      <c r="AV189" s="1563"/>
      <c r="AW189" s="1563"/>
      <c r="AX189" s="1563"/>
      <c r="AY189" s="1563"/>
      <c r="AZ189" s="1563"/>
      <c r="BA189" s="3">
        <v>1</v>
      </c>
    </row>
    <row r="190" spans="1:53" ht="15.75" customHeight="1">
      <c r="A190" s="1563"/>
      <c r="B190" s="5925"/>
      <c r="C190" s="1673"/>
      <c r="D190" s="1582"/>
      <c r="E190" s="2011" t="s">
        <v>8582</v>
      </c>
      <c r="F190" s="1769" t="s">
        <v>3511</v>
      </c>
      <c r="G190" s="1586"/>
      <c r="H190" s="1695"/>
      <c r="I190" s="1563"/>
      <c r="J190" s="1563"/>
      <c r="K190" s="1563"/>
      <c r="L190" s="1563"/>
      <c r="M190" s="1563"/>
      <c r="N190" s="1563"/>
      <c r="O190" s="1563"/>
      <c r="P190" s="1563"/>
      <c r="Q190" s="1563"/>
      <c r="R190" s="1563"/>
      <c r="S190" s="1563"/>
      <c r="T190" s="1563"/>
      <c r="U190" s="1563"/>
      <c r="V190" s="1563"/>
      <c r="W190" s="1563"/>
      <c r="X190" s="1563"/>
      <c r="Y190" s="1563"/>
      <c r="Z190" s="1563"/>
      <c r="AA190" s="1563"/>
      <c r="AB190" s="1563"/>
      <c r="AC190" s="1563"/>
      <c r="AD190" s="1563"/>
      <c r="AE190" s="1563"/>
      <c r="AF190" s="1563"/>
      <c r="AG190" s="1563"/>
      <c r="AH190" s="1563"/>
      <c r="AI190" s="1563"/>
      <c r="AJ190" s="1563"/>
      <c r="AK190" s="1563"/>
      <c r="AL190" s="1563"/>
      <c r="AM190" s="1563"/>
      <c r="AN190" s="1563"/>
      <c r="AO190" s="1563"/>
      <c r="AP190" s="1563"/>
      <c r="AQ190" s="1563"/>
      <c r="AR190" s="1563"/>
      <c r="AS190" s="1563"/>
      <c r="AT190" s="1563"/>
      <c r="AU190" s="1563"/>
      <c r="AV190" s="1563"/>
      <c r="AW190" s="1563"/>
      <c r="AX190" s="1563"/>
      <c r="AY190" s="1563"/>
      <c r="AZ190" s="1563"/>
      <c r="BA190" s="3">
        <v>1</v>
      </c>
    </row>
    <row r="191" spans="1:53" ht="15.75" customHeight="1">
      <c r="A191" s="1563"/>
      <c r="B191" s="5925"/>
      <c r="C191" s="1673"/>
      <c r="D191" s="1770" t="s">
        <v>3526</v>
      </c>
      <c r="E191" s="1771" t="str">
        <f>ADDRESS(ROW(G170),COLUMN(G170),4)</f>
        <v>G170</v>
      </c>
      <c r="G191" s="1586"/>
      <c r="H191" s="1695"/>
      <c r="I191" s="1563"/>
      <c r="J191" s="1563"/>
      <c r="K191" s="1563"/>
      <c r="L191" s="1563"/>
      <c r="M191" s="1563"/>
      <c r="N191" s="1563"/>
      <c r="O191" s="1563"/>
      <c r="P191" s="1563"/>
      <c r="Q191" s="1563"/>
      <c r="R191" s="1563"/>
      <c r="S191" s="1563"/>
      <c r="T191" s="1563"/>
      <c r="U191" s="1563"/>
      <c r="V191" s="1563"/>
      <c r="W191" s="1563"/>
      <c r="X191" s="1563"/>
      <c r="Y191" s="1563"/>
      <c r="Z191" s="1563"/>
      <c r="AA191" s="1563"/>
      <c r="AB191" s="1563"/>
      <c r="AC191" s="1563"/>
      <c r="AD191" s="1563"/>
      <c r="AE191" s="1563"/>
      <c r="AF191" s="1563"/>
      <c r="AG191" s="1563"/>
      <c r="AH191" s="1563"/>
      <c r="AI191" s="1563"/>
      <c r="AJ191" s="1563"/>
      <c r="AK191" s="1563"/>
      <c r="AL191" s="1563"/>
      <c r="AM191" s="1563"/>
      <c r="AN191" s="1563"/>
      <c r="AO191" s="1563"/>
      <c r="AP191" s="1563"/>
      <c r="AQ191" s="1563"/>
      <c r="AR191" s="1563"/>
      <c r="AS191" s="1563"/>
      <c r="AT191" s="1563"/>
      <c r="AU191" s="1563"/>
      <c r="AV191" s="1563"/>
      <c r="AW191" s="1563"/>
      <c r="AX191" s="1563"/>
      <c r="AY191" s="1563"/>
      <c r="AZ191" s="1563"/>
      <c r="BA191" s="3">
        <v>1</v>
      </c>
    </row>
    <row r="192" spans="1:53" ht="15.75" customHeight="1">
      <c r="A192" s="1563"/>
      <c r="B192" s="5925"/>
      <c r="C192" s="1554" t="s">
        <v>3514</v>
      </c>
      <c r="D192" s="1742"/>
      <c r="E192" s="1740"/>
      <c r="F192" s="1554" t="s">
        <v>3515</v>
      </c>
      <c r="G192" s="1586"/>
      <c r="H192" s="1695"/>
      <c r="I192" s="1563"/>
      <c r="J192" s="1563"/>
      <c r="K192" s="1563"/>
      <c r="L192" s="1563"/>
      <c r="M192" s="1563"/>
      <c r="N192" s="1563"/>
      <c r="O192" s="1563"/>
      <c r="P192" s="1563"/>
      <c r="Q192" s="1563"/>
      <c r="R192" s="1563"/>
      <c r="S192" s="1563"/>
      <c r="T192" s="1563"/>
      <c r="U192" s="1563"/>
      <c r="V192" s="1563"/>
      <c r="W192" s="1563"/>
      <c r="X192" s="1563"/>
      <c r="Y192" s="1563"/>
      <c r="Z192" s="1563"/>
      <c r="AA192" s="1563"/>
      <c r="AB192" s="1563"/>
      <c r="AC192" s="1563"/>
      <c r="AD192" s="1563"/>
      <c r="AE192" s="1563"/>
      <c r="AF192" s="1563"/>
      <c r="AG192" s="1563"/>
      <c r="AH192" s="1563"/>
      <c r="AI192" s="1563"/>
      <c r="AJ192" s="1563"/>
      <c r="AK192" s="1563"/>
      <c r="AL192" s="1563"/>
      <c r="AM192" s="1563"/>
      <c r="AN192" s="1563"/>
      <c r="AO192" s="1563"/>
      <c r="AP192" s="1563"/>
      <c r="AQ192" s="1563"/>
      <c r="AR192" s="1563"/>
      <c r="AS192" s="1563"/>
      <c r="AT192" s="1563"/>
      <c r="AU192" s="1563"/>
      <c r="AV192" s="1563"/>
      <c r="AW192" s="1563"/>
      <c r="AX192" s="1563"/>
      <c r="AY192" s="1563"/>
      <c r="AZ192" s="1563"/>
      <c r="BA192" s="3">
        <v>1</v>
      </c>
    </row>
    <row r="193" spans="1:55">
      <c r="A193" s="1563"/>
      <c r="B193" s="5925"/>
      <c r="C193" s="1619">
        <v>12</v>
      </c>
      <c r="D193" s="1619">
        <v>11</v>
      </c>
      <c r="E193" s="1619">
        <v>11</v>
      </c>
      <c r="F193" s="1619">
        <v>11</v>
      </c>
      <c r="G193" s="1619">
        <v>11</v>
      </c>
      <c r="H193" s="1620">
        <v>11</v>
      </c>
      <c r="I193" s="1621" t="s">
        <v>3419</v>
      </c>
      <c r="J193" s="1563"/>
      <c r="K193" s="1563"/>
      <c r="L193" s="1563"/>
      <c r="M193" s="1563"/>
      <c r="N193" s="1563"/>
      <c r="O193" s="1563"/>
      <c r="P193" s="1563"/>
      <c r="Q193" s="1563"/>
      <c r="R193" s="1563"/>
      <c r="S193" s="1563"/>
      <c r="T193" s="1563"/>
      <c r="U193" s="1563"/>
      <c r="V193" s="1563"/>
      <c r="W193" s="1563"/>
      <c r="X193" s="1563"/>
      <c r="Y193" s="1563"/>
      <c r="Z193" s="1563"/>
      <c r="AA193" s="1563"/>
      <c r="AB193" s="1563"/>
      <c r="AC193" s="1563"/>
      <c r="AD193" s="1563"/>
      <c r="AE193" s="1563"/>
      <c r="AF193" s="1563"/>
      <c r="AG193" s="1563"/>
      <c r="AH193" s="1563"/>
      <c r="AI193" s="1563"/>
      <c r="AJ193" s="1563"/>
      <c r="AK193" s="1563"/>
      <c r="AL193" s="1563"/>
      <c r="AM193" s="1563"/>
      <c r="AN193" s="1563"/>
      <c r="AO193" s="1563"/>
      <c r="AP193" s="1563"/>
      <c r="AQ193" s="1563"/>
      <c r="AR193" s="1563"/>
      <c r="AS193" s="1563"/>
      <c r="AT193" s="1563"/>
      <c r="AU193" s="1563"/>
      <c r="AV193" s="1563"/>
      <c r="AW193" s="1563"/>
      <c r="AX193" s="1563"/>
      <c r="AY193" s="1563"/>
      <c r="AZ193" s="1563"/>
      <c r="BA193" s="3">
        <v>1</v>
      </c>
    </row>
    <row r="194" spans="1:55" ht="16.5" thickBot="1">
      <c r="A194" s="1563"/>
      <c r="B194" s="5926"/>
      <c r="C194" s="1107">
        <f ca="1">CELL("largeur",C194)</f>
        <v>13</v>
      </c>
      <c r="D194" s="1107">
        <f t="shared" ref="D194:H194" ca="1" si="4">CELL("largeur",D194)</f>
        <v>21</v>
      </c>
      <c r="E194" s="1107">
        <f t="shared" ca="1" si="4"/>
        <v>13</v>
      </c>
      <c r="F194" s="1107">
        <f t="shared" ca="1" si="4"/>
        <v>13</v>
      </c>
      <c r="G194" s="1107">
        <f t="shared" ca="1" si="4"/>
        <v>13</v>
      </c>
      <c r="H194" s="1108">
        <f t="shared" ca="1" si="4"/>
        <v>13</v>
      </c>
      <c r="I194" s="1621" t="s">
        <v>3422</v>
      </c>
      <c r="J194" s="1563"/>
      <c r="K194" s="1563"/>
      <c r="L194" s="1563"/>
      <c r="M194" s="1563"/>
      <c r="N194" s="1563"/>
      <c r="O194" s="1563"/>
      <c r="P194" s="1563"/>
      <c r="Q194" s="1563"/>
      <c r="R194" s="1563"/>
      <c r="S194" s="1563"/>
      <c r="T194" s="1563"/>
      <c r="U194" s="1563"/>
      <c r="V194" s="1563"/>
      <c r="W194" s="1563"/>
      <c r="X194" s="1563"/>
      <c r="Y194" s="1563"/>
      <c r="Z194" s="1563"/>
      <c r="AA194" s="1563"/>
      <c r="AB194" s="1563"/>
      <c r="AC194" s="1563"/>
      <c r="AD194" s="1563"/>
      <c r="AE194" s="1563"/>
      <c r="AF194" s="1563"/>
      <c r="AG194" s="1563"/>
      <c r="AH194" s="1563"/>
      <c r="AI194" s="1563"/>
      <c r="AJ194" s="1563"/>
      <c r="AK194" s="1563"/>
      <c r="AL194" s="1563"/>
      <c r="AM194" s="1563"/>
      <c r="AN194" s="1563"/>
      <c r="AO194" s="1563"/>
      <c r="AP194" s="1563"/>
      <c r="AQ194" s="1563"/>
      <c r="AR194" s="1563"/>
      <c r="AS194" s="1563"/>
      <c r="AT194" s="1563"/>
      <c r="AU194" s="1563"/>
      <c r="AV194" s="1563"/>
      <c r="AW194" s="1563"/>
      <c r="AX194" s="1563"/>
      <c r="AY194" s="1563"/>
      <c r="AZ194" s="1563"/>
      <c r="BA194" s="3">
        <v>1</v>
      </c>
    </row>
    <row r="195" spans="1:55" ht="16.5" thickBot="1">
      <c r="A195" s="1563"/>
      <c r="B195" s="1563"/>
      <c r="C195" s="1563"/>
      <c r="D195" s="1563"/>
      <c r="E195" s="1563"/>
      <c r="F195" s="1563"/>
      <c r="G195" s="1563"/>
      <c r="H195" s="1563"/>
      <c r="I195" s="1563"/>
      <c r="J195" s="1563"/>
      <c r="K195" s="1563"/>
      <c r="L195" s="1563"/>
      <c r="M195" s="1563"/>
      <c r="N195" s="1563"/>
      <c r="O195" s="1563"/>
      <c r="P195" s="1563"/>
      <c r="Q195" s="1563"/>
      <c r="R195" s="1563"/>
      <c r="S195" s="1563"/>
      <c r="T195" s="1563"/>
      <c r="U195" s="1563"/>
      <c r="V195" s="1563"/>
      <c r="W195" s="1563"/>
      <c r="X195" s="1563"/>
      <c r="Y195" s="1563"/>
      <c r="Z195" s="1563"/>
      <c r="AA195" s="1563"/>
      <c r="AB195" s="1563"/>
      <c r="AC195" s="1563"/>
      <c r="AD195" s="1563"/>
      <c r="AE195" s="1563"/>
      <c r="AF195" s="1563"/>
      <c r="AG195" s="1563"/>
      <c r="AH195" s="1563"/>
      <c r="AI195" s="1563"/>
      <c r="AJ195" s="1563"/>
      <c r="AK195" s="1563"/>
      <c r="AL195" s="1563"/>
      <c r="AM195" s="1563"/>
      <c r="AN195" s="1563"/>
      <c r="AO195" s="1563"/>
      <c r="AP195" s="1563"/>
      <c r="AQ195" s="1563"/>
      <c r="AR195" s="1563"/>
      <c r="AS195" s="1563"/>
      <c r="AT195" s="1563"/>
      <c r="AU195" s="1563"/>
      <c r="AV195" s="1563"/>
      <c r="AW195" s="1563"/>
      <c r="AX195" s="1563"/>
      <c r="AY195" s="1563"/>
      <c r="AZ195" s="1563"/>
      <c r="BA195" s="3">
        <v>1</v>
      </c>
    </row>
    <row r="196" spans="1:55" s="1564" customFormat="1">
      <c r="A196" s="1563">
        <v>1</v>
      </c>
      <c r="B196" s="1820" t="s">
        <v>167</v>
      </c>
      <c r="C196" s="1772"/>
      <c r="D196" s="1773"/>
      <c r="E196" s="1773"/>
      <c r="F196" s="1773"/>
      <c r="G196" s="1773"/>
      <c r="H196" s="1774"/>
      <c r="I196" s="1773"/>
      <c r="J196" s="1773"/>
      <c r="K196" s="1775" t="s">
        <v>3527</v>
      </c>
      <c r="L196" s="1776" t="s">
        <v>3528</v>
      </c>
      <c r="M196" s="1563"/>
      <c r="N196" s="1563"/>
      <c r="O196" s="1563"/>
      <c r="P196" s="1563"/>
      <c r="Q196" s="1563"/>
      <c r="R196" s="1563"/>
      <c r="S196" s="1563"/>
      <c r="T196" s="1563"/>
      <c r="U196" s="1563"/>
      <c r="V196" s="1563"/>
      <c r="W196" s="1563"/>
      <c r="X196" s="1563"/>
      <c r="Y196" s="1563"/>
      <c r="Z196" s="1563"/>
      <c r="AA196" s="1563"/>
      <c r="AB196" s="1563"/>
      <c r="AC196" s="1563"/>
      <c r="AD196" s="1563"/>
      <c r="AE196" s="1563"/>
      <c r="AF196" s="1563"/>
      <c r="AG196" s="1563"/>
      <c r="AH196" s="1563"/>
      <c r="AI196" s="1563"/>
      <c r="AJ196" s="1563"/>
      <c r="AK196" s="1563"/>
      <c r="AL196" s="1563"/>
      <c r="AM196" s="1563"/>
      <c r="AN196" s="1563"/>
      <c r="AO196" s="1563"/>
      <c r="AP196" s="1563"/>
      <c r="AQ196" s="1563"/>
      <c r="AR196" s="1563"/>
      <c r="AS196" s="1563"/>
      <c r="AT196" s="1563"/>
      <c r="AU196" s="1563"/>
      <c r="AV196" s="1563"/>
      <c r="AW196" s="1563"/>
      <c r="AX196" s="1563"/>
      <c r="AY196" s="1563"/>
      <c r="AZ196" s="1563"/>
      <c r="BA196" s="3">
        <v>1</v>
      </c>
      <c r="BB196" s="1578"/>
      <c r="BC196" s="1578"/>
    </row>
    <row r="197" spans="1:55" s="1564" customFormat="1" ht="15" customHeight="1">
      <c r="A197" s="1563">
        <v>1</v>
      </c>
      <c r="B197" s="5931">
        <v>3</v>
      </c>
      <c r="C197" s="1777" t="str">
        <f>ADDRESS(ROW(),COLUMN(),4)</f>
        <v>C197</v>
      </c>
      <c r="D197" s="1778" t="s">
        <v>3529</v>
      </c>
      <c r="E197" s="1779"/>
      <c r="F197" s="1779"/>
      <c r="G197" s="1779"/>
      <c r="H197" s="1779"/>
      <c r="I197" s="1779"/>
      <c r="J197" s="1779"/>
      <c r="K197" s="1780"/>
      <c r="L197" s="1563">
        <v>1</v>
      </c>
      <c r="M197" s="1563">
        <v>1</v>
      </c>
      <c r="N197" s="1563"/>
      <c r="O197" s="1563"/>
      <c r="P197" s="1563"/>
      <c r="Q197" s="1563"/>
      <c r="R197" s="1563"/>
      <c r="S197" s="1563"/>
      <c r="T197" s="1563"/>
      <c r="U197" s="1563"/>
      <c r="V197" s="1563"/>
      <c r="W197" s="1563"/>
      <c r="X197" s="1563"/>
      <c r="Y197" s="1563"/>
      <c r="Z197" s="1563"/>
      <c r="AA197" s="1563"/>
      <c r="AB197" s="1563"/>
      <c r="AC197" s="1563"/>
      <c r="AD197" s="1563"/>
      <c r="AE197" s="1563"/>
      <c r="AF197" s="1563"/>
      <c r="AG197" s="1563"/>
      <c r="AH197" s="1563"/>
      <c r="AI197" s="1563"/>
      <c r="AJ197" s="1563"/>
      <c r="AK197" s="1563"/>
      <c r="AL197" s="1563"/>
      <c r="AM197" s="1563"/>
      <c r="AN197" s="1563"/>
      <c r="AO197" s="1563"/>
      <c r="AP197" s="1563"/>
      <c r="AQ197" s="1563"/>
      <c r="AR197" s="1563"/>
      <c r="AS197" s="1563"/>
      <c r="AT197" s="1563"/>
      <c r="AU197" s="1563"/>
      <c r="AV197" s="1563"/>
      <c r="AW197" s="1563"/>
      <c r="AX197" s="1563"/>
      <c r="AY197" s="1563"/>
      <c r="AZ197" s="1563"/>
      <c r="BA197" s="3">
        <v>1</v>
      </c>
      <c r="BB197" s="1578"/>
      <c r="BC197" s="1578"/>
    </row>
    <row r="198" spans="1:55" s="1564" customFormat="1">
      <c r="A198" s="1563">
        <v>1</v>
      </c>
      <c r="B198" s="5931"/>
      <c r="C198" s="1781"/>
      <c r="D198" s="1782" t="s">
        <v>749</v>
      </c>
      <c r="E198" s="1783">
        <v>0.44</v>
      </c>
      <c r="F198" s="1784"/>
      <c r="G198" s="1785" t="s">
        <v>749</v>
      </c>
      <c r="H198" s="1783">
        <v>100</v>
      </c>
      <c r="I198" s="1784"/>
      <c r="J198" s="1786" t="s">
        <v>751</v>
      </c>
      <c r="K198" s="1787">
        <v>115</v>
      </c>
      <c r="L198" s="1584" t="s">
        <v>3477</v>
      </c>
      <c r="M198" s="1563"/>
      <c r="N198" s="1563"/>
      <c r="O198" s="1563"/>
      <c r="P198" s="1563"/>
      <c r="Q198" s="1563"/>
      <c r="R198" s="1563"/>
      <c r="S198" s="1563"/>
      <c r="T198" s="1563"/>
      <c r="U198" s="1563"/>
      <c r="V198" s="1563"/>
      <c r="W198" s="1563"/>
      <c r="X198" s="1563"/>
      <c r="Y198" s="1563"/>
      <c r="Z198" s="1563"/>
      <c r="AA198" s="1563"/>
      <c r="AB198" s="1563"/>
      <c r="AC198" s="1563"/>
      <c r="AD198" s="1563"/>
      <c r="AE198" s="1563"/>
      <c r="AF198" s="1563"/>
      <c r="AG198" s="1563"/>
      <c r="AH198" s="1563"/>
      <c r="AI198" s="1563"/>
      <c r="AJ198" s="1563"/>
      <c r="AK198" s="1563"/>
      <c r="AL198" s="1563"/>
      <c r="AM198" s="1563"/>
      <c r="AN198" s="1563"/>
      <c r="AO198" s="1563"/>
      <c r="AP198" s="1563"/>
      <c r="AQ198" s="1563"/>
      <c r="AR198" s="1563"/>
      <c r="AS198" s="1563"/>
      <c r="AT198" s="1563"/>
      <c r="AU198" s="1563"/>
      <c r="AV198" s="1563"/>
      <c r="AW198" s="1563"/>
      <c r="AX198" s="1563"/>
      <c r="AY198" s="1563"/>
      <c r="AZ198" s="1563"/>
      <c r="BA198" s="3">
        <v>1</v>
      </c>
      <c r="BB198" s="1578"/>
      <c r="BC198" s="1578"/>
    </row>
    <row r="199" spans="1:55" s="1564" customFormat="1">
      <c r="A199" s="1563">
        <v>1</v>
      </c>
      <c r="B199" s="5931"/>
      <c r="C199" s="1788"/>
      <c r="D199" s="1789" t="s">
        <v>761</v>
      </c>
      <c r="E199" s="1790">
        <v>60</v>
      </c>
      <c r="F199" s="1784"/>
      <c r="G199" s="1789" t="s">
        <v>757</v>
      </c>
      <c r="H199" s="1791">
        <v>10</v>
      </c>
      <c r="I199" s="1784"/>
      <c r="J199" s="1785" t="s">
        <v>749</v>
      </c>
      <c r="K199" s="1792">
        <v>133</v>
      </c>
      <c r="L199" s="1584" t="s">
        <v>3480</v>
      </c>
      <c r="M199" s="1563"/>
      <c r="N199" s="1563"/>
      <c r="O199" s="1563"/>
      <c r="P199" s="1563"/>
      <c r="Q199" s="1563"/>
      <c r="R199" s="1563"/>
      <c r="S199" s="1563"/>
      <c r="T199" s="1563"/>
      <c r="U199" s="1563"/>
      <c r="V199" s="1563"/>
      <c r="W199" s="1563"/>
      <c r="X199" s="1563"/>
      <c r="Y199" s="1563"/>
      <c r="Z199" s="1563"/>
      <c r="AA199" s="1563"/>
      <c r="AB199" s="1563"/>
      <c r="AC199" s="1563"/>
      <c r="AD199" s="1563"/>
      <c r="AE199" s="1563"/>
      <c r="AF199" s="1563"/>
      <c r="AG199" s="1563"/>
      <c r="AH199" s="1563"/>
      <c r="AI199" s="1563"/>
      <c r="AJ199" s="1563"/>
      <c r="AK199" s="1563"/>
      <c r="AL199" s="1563"/>
      <c r="AM199" s="1563"/>
      <c r="AN199" s="1563"/>
      <c r="AO199" s="1563"/>
      <c r="AP199" s="1563"/>
      <c r="AQ199" s="1563"/>
      <c r="AR199" s="1563"/>
      <c r="AS199" s="1563"/>
      <c r="AT199" s="1563"/>
      <c r="AU199" s="1563"/>
      <c r="AV199" s="1563"/>
      <c r="AW199" s="1563"/>
      <c r="AX199" s="1563"/>
      <c r="AY199" s="1563"/>
      <c r="AZ199" s="1563"/>
      <c r="BA199" s="3">
        <v>1</v>
      </c>
      <c r="BB199" s="1578"/>
      <c r="BC199" s="1578"/>
    </row>
    <row r="200" spans="1:55" s="1564" customFormat="1">
      <c r="A200" s="1563">
        <v>1</v>
      </c>
      <c r="B200" s="5931"/>
      <c r="C200" s="1793"/>
      <c r="D200" s="1794" t="s">
        <v>757</v>
      </c>
      <c r="E200" s="1795">
        <f>E198*E199%</f>
        <v>0.26400000000000001</v>
      </c>
      <c r="F200" s="1784"/>
      <c r="G200" s="1796" t="s">
        <v>751</v>
      </c>
      <c r="H200" s="1795">
        <f>IF(H198=0,0,H198+H199)</f>
        <v>110</v>
      </c>
      <c r="I200" s="1784"/>
      <c r="J200" s="1794" t="s">
        <v>757</v>
      </c>
      <c r="K200" s="1797">
        <f>IF(K198=0,0,IF(K199=0,0,K198-K199))</f>
        <v>-18</v>
      </c>
      <c r="L200" s="2037" t="str">
        <f>HYPERLINK("#"&amp;ADDRESS(ROW(K200),COLUMN(K200),4),"◀"&amp;ADDRESS(ROW(K200),COLUMN(K200),4))</f>
        <v>◀K200</v>
      </c>
      <c r="M200" s="2065" t="str">
        <f ca="1">_xlfn.FORMULATEXT(K200)</f>
        <v>=SI(K198=0;0;SI(K199=0;0;K198-K199))</v>
      </c>
      <c r="N200" s="1563"/>
      <c r="O200" s="1563"/>
      <c r="P200" s="1563"/>
      <c r="Q200" s="1563"/>
      <c r="R200" s="1563"/>
      <c r="S200" s="1563"/>
      <c r="T200" s="1563"/>
      <c r="U200" s="1563"/>
      <c r="V200" s="1563"/>
      <c r="W200" s="1563"/>
      <c r="X200" s="1563"/>
      <c r="Y200" s="1563"/>
      <c r="Z200" s="1563"/>
      <c r="AA200" s="1563"/>
      <c r="AB200" s="1563"/>
      <c r="AC200" s="1563"/>
      <c r="AD200" s="1563"/>
      <c r="AE200" s="1563"/>
      <c r="AF200" s="1563"/>
      <c r="AG200" s="1563"/>
      <c r="AH200" s="1563"/>
      <c r="AI200" s="1563"/>
      <c r="AJ200" s="1563"/>
      <c r="AK200" s="1563"/>
      <c r="AL200" s="1563"/>
      <c r="AM200" s="1563"/>
      <c r="AN200" s="1563"/>
      <c r="AO200" s="1563"/>
      <c r="AP200" s="1563"/>
      <c r="AQ200" s="1563"/>
      <c r="AR200" s="1563"/>
      <c r="AS200" s="1563"/>
      <c r="AT200" s="1563"/>
      <c r="AU200" s="1563"/>
      <c r="AV200" s="1563"/>
      <c r="AW200" s="1563"/>
      <c r="AX200" s="1563"/>
      <c r="AY200" s="1563"/>
      <c r="AZ200" s="1563"/>
      <c r="BA200" s="3">
        <v>1</v>
      </c>
      <c r="BB200" s="1578"/>
      <c r="BC200" s="1578"/>
    </row>
    <row r="201" spans="1:55" s="1564" customFormat="1">
      <c r="A201" s="1563">
        <v>1</v>
      </c>
      <c r="B201" s="5931"/>
      <c r="C201" s="1798"/>
      <c r="D201" s="1796" t="s">
        <v>751</v>
      </c>
      <c r="E201" s="1795">
        <f>((E198*E199)/100)+E198</f>
        <v>0.70399999999999996</v>
      </c>
      <c r="F201" s="1784"/>
      <c r="G201" s="1799" t="s">
        <v>761</v>
      </c>
      <c r="H201" s="1800">
        <f>IF(H198=0,0,IF(ISBLANK(H198),0,(H199/H198)*100))</f>
        <v>10</v>
      </c>
      <c r="I201" s="1784"/>
      <c r="J201" s="1799" t="s">
        <v>761</v>
      </c>
      <c r="K201" s="1801">
        <f>IF(K199=0,0,IF(ISBLANK(K199),0,(K200/K199)*100))</f>
        <v>-13.533834586466165</v>
      </c>
      <c r="L201" s="2037" t="str">
        <f>HYPERLINK("#"&amp;ADDRESS(ROW(K201),COLUMN(K201),4),"◀"&amp;ADDRESS(ROW(K201),COLUMN(K201),4))</f>
        <v>◀K201</v>
      </c>
      <c r="M201" s="2065" t="str">
        <f ca="1">_xlfn.FORMULATEXT(K201)</f>
        <v>=SI(K199=0;0;SI(ESTVIDE(K199);0;(K200/K199)*100))</v>
      </c>
      <c r="N201" s="1563"/>
      <c r="O201" s="1563"/>
      <c r="P201" s="1563"/>
      <c r="Q201" s="1563"/>
      <c r="R201" s="1563"/>
      <c r="S201" s="1563"/>
      <c r="T201" s="1563"/>
      <c r="U201" s="1563"/>
      <c r="V201" s="1563"/>
      <c r="W201" s="1563"/>
      <c r="X201" s="1563"/>
      <c r="Y201" s="1563"/>
      <c r="Z201" s="1563"/>
      <c r="AA201" s="1563"/>
      <c r="AB201" s="1563"/>
      <c r="AC201" s="1563"/>
      <c r="AD201" s="1563"/>
      <c r="AE201" s="1563"/>
      <c r="AF201" s="1563"/>
      <c r="AG201" s="1563"/>
      <c r="AH201" s="1563"/>
      <c r="AI201" s="1563"/>
      <c r="AJ201" s="1563"/>
      <c r="AK201" s="1563"/>
      <c r="AL201" s="1563"/>
      <c r="AM201" s="1563"/>
      <c r="AN201" s="1563"/>
      <c r="AO201" s="1563"/>
      <c r="AP201" s="1563"/>
      <c r="AQ201" s="1563"/>
      <c r="AR201" s="1563"/>
      <c r="AS201" s="1563"/>
      <c r="AT201" s="1563"/>
      <c r="AU201" s="1563"/>
      <c r="AV201" s="1563"/>
      <c r="AW201" s="1563"/>
      <c r="AX201" s="1563"/>
      <c r="AY201" s="1563"/>
      <c r="AZ201" s="1563"/>
      <c r="BA201" s="3">
        <v>1</v>
      </c>
      <c r="BB201" s="1578"/>
      <c r="BC201" s="1578"/>
    </row>
    <row r="202" spans="1:55" s="1564" customFormat="1">
      <c r="A202" s="1563">
        <v>1</v>
      </c>
      <c r="B202" s="5931"/>
      <c r="C202" s="1802"/>
      <c r="D202" s="1803"/>
      <c r="E202" s="1804"/>
      <c r="F202" s="1805"/>
      <c r="G202" s="1806"/>
      <c r="H202" s="1807"/>
      <c r="I202" s="1805"/>
      <c r="J202" s="1806"/>
      <c r="K202" s="1808"/>
      <c r="L202" s="1563">
        <v>1</v>
      </c>
      <c r="M202" s="1563">
        <v>1</v>
      </c>
      <c r="N202" s="1563"/>
      <c r="O202" s="1563"/>
      <c r="P202" s="1563"/>
      <c r="Q202" s="1563"/>
      <c r="R202" s="1563"/>
      <c r="S202" s="1563"/>
      <c r="T202" s="1563"/>
      <c r="U202" s="1563"/>
      <c r="V202" s="1563"/>
      <c r="W202" s="1563"/>
      <c r="X202" s="1563"/>
      <c r="Y202" s="1563"/>
      <c r="Z202" s="1563"/>
      <c r="AA202" s="1563"/>
      <c r="AB202" s="1563"/>
      <c r="AC202" s="1563"/>
      <c r="AD202" s="1563"/>
      <c r="AE202" s="1563"/>
      <c r="AF202" s="1563"/>
      <c r="AG202" s="1563"/>
      <c r="AH202" s="1563"/>
      <c r="AI202" s="1563"/>
      <c r="AJ202" s="1563"/>
      <c r="AK202" s="1563"/>
      <c r="AL202" s="1563"/>
      <c r="AM202" s="1563"/>
      <c r="AN202" s="1563"/>
      <c r="AO202" s="1563"/>
      <c r="AP202" s="1563"/>
      <c r="AQ202" s="1563"/>
      <c r="AR202" s="1563"/>
      <c r="AS202" s="1563"/>
      <c r="AT202" s="1563"/>
      <c r="AU202" s="1563"/>
      <c r="AV202" s="1563"/>
      <c r="AW202" s="1563"/>
      <c r="AX202" s="1563"/>
      <c r="AY202" s="1563"/>
      <c r="AZ202" s="1563"/>
      <c r="BA202" s="3">
        <v>1</v>
      </c>
      <c r="BB202" s="1578"/>
      <c r="BC202" s="1578"/>
    </row>
    <row r="203" spans="1:55" s="1564" customFormat="1">
      <c r="A203" s="1563">
        <v>1</v>
      </c>
      <c r="B203" s="5931"/>
      <c r="C203" s="1781"/>
      <c r="D203" s="1785" t="s">
        <v>749</v>
      </c>
      <c r="E203" s="1783">
        <v>5.8970000000000002</v>
      </c>
      <c r="F203" s="1784"/>
      <c r="G203" s="1786" t="s">
        <v>751</v>
      </c>
      <c r="H203" s="1791">
        <v>9.64</v>
      </c>
      <c r="I203" s="1784"/>
      <c r="J203" s="1786" t="s">
        <v>751</v>
      </c>
      <c r="K203" s="1787">
        <v>100</v>
      </c>
      <c r="L203" s="1563">
        <v>1</v>
      </c>
      <c r="M203" s="1563">
        <v>1</v>
      </c>
      <c r="N203" s="1563"/>
      <c r="O203" s="1563"/>
      <c r="P203" s="1563"/>
      <c r="Q203" s="1563"/>
      <c r="R203" s="1563"/>
      <c r="S203" s="1563"/>
      <c r="T203" s="1563"/>
      <c r="U203" s="1563"/>
      <c r="V203" s="1563"/>
      <c r="W203" s="1563"/>
      <c r="X203" s="1563"/>
      <c r="Y203" s="1563"/>
      <c r="Z203" s="1563"/>
      <c r="AA203" s="1563"/>
      <c r="AB203" s="1563"/>
      <c r="AC203" s="1563"/>
      <c r="AD203" s="1563"/>
      <c r="AE203" s="1563"/>
      <c r="AF203" s="1563"/>
      <c r="AG203" s="1563"/>
      <c r="AH203" s="1563"/>
      <c r="AI203" s="1563"/>
      <c r="AJ203" s="1563"/>
      <c r="AK203" s="1563"/>
      <c r="AL203" s="1563"/>
      <c r="AM203" s="1563"/>
      <c r="AN203" s="1563"/>
      <c r="AO203" s="1563"/>
      <c r="AP203" s="1563"/>
      <c r="AQ203" s="1563"/>
      <c r="AR203" s="1563"/>
      <c r="AS203" s="1563"/>
      <c r="AT203" s="1563"/>
      <c r="AU203" s="1563"/>
      <c r="AV203" s="1563"/>
      <c r="AW203" s="1563"/>
      <c r="AX203" s="1563"/>
      <c r="AY203" s="1563"/>
      <c r="AZ203" s="1563"/>
      <c r="BA203" s="3">
        <v>1</v>
      </c>
      <c r="BB203" s="1578"/>
      <c r="BC203" s="1578"/>
    </row>
    <row r="204" spans="1:55" s="1564" customFormat="1">
      <c r="A204" s="1563">
        <v>1</v>
      </c>
      <c r="B204" s="5931"/>
      <c r="C204" s="1809"/>
      <c r="D204" s="1786" t="s">
        <v>751</v>
      </c>
      <c r="E204" s="1791">
        <v>9.64</v>
      </c>
      <c r="F204" s="1784"/>
      <c r="G204" s="1789" t="s">
        <v>761</v>
      </c>
      <c r="H204" s="1810">
        <v>63.5</v>
      </c>
      <c r="I204" s="1784"/>
      <c r="J204" s="1789" t="s">
        <v>757</v>
      </c>
      <c r="K204" s="1787">
        <v>50</v>
      </c>
      <c r="L204" s="1563">
        <v>1</v>
      </c>
      <c r="M204" s="1563">
        <v>1</v>
      </c>
      <c r="N204" s="1563"/>
      <c r="O204" s="1563"/>
      <c r="P204" s="1563"/>
      <c r="Q204" s="1563"/>
      <c r="R204" s="1563"/>
      <c r="S204" s="1563"/>
      <c r="T204" s="1563"/>
      <c r="U204" s="1563"/>
      <c r="V204" s="1563"/>
      <c r="W204" s="1563"/>
      <c r="X204" s="1563"/>
      <c r="Y204" s="1563"/>
      <c r="Z204" s="1563"/>
      <c r="AA204" s="1563"/>
      <c r="AB204" s="1563"/>
      <c r="AC204" s="1563"/>
      <c r="AD204" s="1563"/>
      <c r="AE204" s="1563"/>
      <c r="AF204" s="1563"/>
      <c r="AG204" s="1563"/>
      <c r="AH204" s="1563"/>
      <c r="AI204" s="1563"/>
      <c r="AJ204" s="1563"/>
      <c r="AK204" s="1563"/>
      <c r="AL204" s="1563"/>
      <c r="AM204" s="1563"/>
      <c r="AN204" s="1563"/>
      <c r="AO204" s="1563"/>
      <c r="AP204" s="1563"/>
      <c r="AQ204" s="1563"/>
      <c r="AR204" s="1563"/>
      <c r="AS204" s="1563"/>
      <c r="AT204" s="1563"/>
      <c r="AU204" s="1563"/>
      <c r="AV204" s="1563"/>
      <c r="AW204" s="1563"/>
      <c r="AX204" s="1563"/>
      <c r="AY204" s="1563"/>
      <c r="AZ204" s="1563"/>
      <c r="BA204" s="3">
        <v>1</v>
      </c>
      <c r="BB204" s="1578"/>
      <c r="BC204" s="1578"/>
    </row>
    <row r="205" spans="1:55" s="1564" customFormat="1">
      <c r="A205" s="1563">
        <v>1</v>
      </c>
      <c r="B205" s="5931"/>
      <c r="C205" s="1793"/>
      <c r="D205" s="1794" t="s">
        <v>757</v>
      </c>
      <c r="E205" s="1795">
        <f>IF(E203=0,0,IF(E204=0,0,E204-E203))</f>
        <v>3.7430000000000003</v>
      </c>
      <c r="F205" s="1784"/>
      <c r="G205" s="1794" t="s">
        <v>757</v>
      </c>
      <c r="H205" s="1795">
        <f>H203-H206</f>
        <v>3.7439755351681958</v>
      </c>
      <c r="I205" s="1784"/>
      <c r="J205" s="1796" t="s">
        <v>749</v>
      </c>
      <c r="K205" s="1797">
        <f>IF(K203=0,0,IF(ISBLANK(K203),0,K203-K204))</f>
        <v>50</v>
      </c>
      <c r="L205" s="2037" t="str">
        <f>HYPERLINK("#"&amp;ADDRESS(ROW(E205),COLUMN(E205),4),"◀"&amp;ADDRESS(ROW(E205),COLUMN(E205),4))</f>
        <v>◀E205</v>
      </c>
      <c r="M205" s="2065" t="str">
        <f ca="1">_xlfn.FORMULATEXT(E205)</f>
        <v>=SI(E203=0;0;SI(E204=0;0;E204-E203))</v>
      </c>
      <c r="N205" s="1563"/>
      <c r="O205" s="1563"/>
      <c r="P205" s="1563"/>
      <c r="Q205" s="1563"/>
      <c r="R205" s="1563"/>
      <c r="S205" s="1563"/>
      <c r="T205" s="1563"/>
      <c r="U205" s="1563"/>
      <c r="V205" s="1563"/>
      <c r="W205" s="1563"/>
      <c r="X205" s="1563"/>
      <c r="Y205" s="1563"/>
      <c r="Z205" s="1563"/>
      <c r="AA205" s="1563"/>
      <c r="AB205" s="1563"/>
      <c r="AC205" s="1563"/>
      <c r="AD205" s="1563"/>
      <c r="AE205" s="1563"/>
      <c r="AF205" s="1563"/>
      <c r="AG205" s="1563"/>
      <c r="AH205" s="1563"/>
      <c r="AI205" s="1563"/>
      <c r="AJ205" s="1563"/>
      <c r="AK205" s="1563"/>
      <c r="AL205" s="1563"/>
      <c r="AM205" s="1563"/>
      <c r="AN205" s="1563"/>
      <c r="AO205" s="1563"/>
      <c r="AP205" s="1563"/>
      <c r="AQ205" s="1563"/>
      <c r="AR205" s="1563"/>
      <c r="AS205" s="1563"/>
      <c r="AT205" s="1563"/>
      <c r="AU205" s="1563"/>
      <c r="AV205" s="1563"/>
      <c r="AW205" s="1563"/>
      <c r="AX205" s="1563"/>
      <c r="AY205" s="1563"/>
      <c r="AZ205" s="1563"/>
      <c r="BA205" s="3">
        <v>1</v>
      </c>
      <c r="BB205" s="1578"/>
      <c r="BC205" s="1578"/>
    </row>
    <row r="206" spans="1:55" s="1564" customFormat="1" ht="15">
      <c r="A206" s="1563">
        <v>1</v>
      </c>
      <c r="B206" s="5931"/>
      <c r="C206" s="1811"/>
      <c r="D206" s="1812" t="s">
        <v>761</v>
      </c>
      <c r="E206" s="1813">
        <f>IF(E203=0,0,IF(ISBLANK(E203),0,(E205/E203)*100))</f>
        <v>63.472952348651859</v>
      </c>
      <c r="F206" s="1784"/>
      <c r="G206" s="1814" t="s">
        <v>749</v>
      </c>
      <c r="H206" s="1815">
        <f>(H203/(100+H204)*100)</f>
        <v>5.8960244648318048</v>
      </c>
      <c r="I206" s="1784"/>
      <c r="J206" s="1812" t="s">
        <v>761</v>
      </c>
      <c r="K206" s="1816">
        <f>IF(K205=0,0,IF(ISBLANK(K204),0,(K204/K205)*100))</f>
        <v>100</v>
      </c>
      <c r="L206" s="2037" t="str">
        <f>HYPERLINK("#"&amp;ADDRESS(ROW(E206),COLUMN(E206),4),"◀"&amp;ADDRESS(ROW(E206),COLUMN(E206),4))</f>
        <v>◀E206</v>
      </c>
      <c r="M206" s="2065" t="str">
        <f ca="1">_xlfn.FORMULATEXT(E206)</f>
        <v>=SI(E203=0;0;SI(ESTVIDE(E203);0;(E205/E203)*100))</v>
      </c>
      <c r="N206" s="1563"/>
      <c r="O206" s="1563"/>
      <c r="P206" s="1563"/>
      <c r="Q206" s="1563"/>
      <c r="R206" s="1563"/>
      <c r="S206" s="1563"/>
      <c r="T206" s="1563"/>
      <c r="U206" s="1563"/>
      <c r="V206" s="1563"/>
      <c r="W206" s="1563"/>
      <c r="X206" s="1563"/>
      <c r="Y206" s="1563"/>
      <c r="Z206" s="1563"/>
      <c r="AA206" s="1563"/>
      <c r="AB206" s="1563"/>
      <c r="AC206" s="1563"/>
      <c r="AD206" s="1563"/>
      <c r="AE206" s="1563"/>
      <c r="AF206" s="1563"/>
      <c r="AG206" s="1563"/>
      <c r="AH206" s="1563"/>
      <c r="AI206" s="1563"/>
      <c r="AJ206" s="1563"/>
      <c r="AK206" s="1563"/>
      <c r="AL206" s="1563"/>
      <c r="AM206" s="1563"/>
      <c r="AN206" s="1563"/>
      <c r="AO206" s="1563"/>
      <c r="AP206" s="1563"/>
      <c r="AQ206" s="1563"/>
      <c r="AR206" s="1563"/>
      <c r="AS206" s="1563"/>
      <c r="AT206" s="1563"/>
      <c r="AU206" s="1563"/>
      <c r="AV206" s="1563"/>
      <c r="AW206" s="1563"/>
      <c r="AX206" s="1563"/>
      <c r="AY206" s="1563"/>
      <c r="AZ206" s="1563"/>
      <c r="BA206" s="3">
        <v>1</v>
      </c>
    </row>
    <row r="207" spans="1:55" s="1564" customFormat="1" ht="15">
      <c r="A207" s="1563">
        <v>1</v>
      </c>
      <c r="B207" s="5931"/>
      <c r="C207" s="5933" t="s">
        <v>3530</v>
      </c>
      <c r="D207" s="5933"/>
      <c r="E207" s="5933"/>
      <c r="F207" s="5933"/>
      <c r="G207" s="5933"/>
      <c r="H207" s="5933"/>
      <c r="I207" s="5933"/>
      <c r="J207" s="5933"/>
      <c r="K207" s="5934"/>
      <c r="L207" s="1563">
        <v>1</v>
      </c>
      <c r="M207" s="1563">
        <v>1</v>
      </c>
      <c r="N207" s="1563"/>
      <c r="O207" s="1563"/>
      <c r="P207" s="1563"/>
      <c r="Q207" s="1563"/>
      <c r="R207" s="1563"/>
      <c r="S207" s="1563"/>
      <c r="T207" s="1563"/>
      <c r="U207" s="1563"/>
      <c r="V207" s="1563"/>
      <c r="W207" s="1563"/>
      <c r="X207" s="1563"/>
      <c r="Y207" s="1563"/>
      <c r="Z207" s="1563"/>
      <c r="AA207" s="1563"/>
      <c r="AB207" s="1563"/>
      <c r="AC207" s="1563"/>
      <c r="AD207" s="1563"/>
      <c r="AE207" s="1563"/>
      <c r="AF207" s="1563"/>
      <c r="AG207" s="1563"/>
      <c r="AH207" s="1563"/>
      <c r="AI207" s="1563"/>
      <c r="AJ207" s="1563"/>
      <c r="AK207" s="1563"/>
      <c r="AL207" s="1563"/>
      <c r="AM207" s="1563"/>
      <c r="AN207" s="1563"/>
      <c r="AO207" s="1563"/>
      <c r="AP207" s="1563"/>
      <c r="AQ207" s="1563"/>
      <c r="AR207" s="1563"/>
      <c r="AS207" s="1563"/>
      <c r="AT207" s="1563"/>
      <c r="AU207" s="1563"/>
      <c r="AV207" s="1563"/>
      <c r="AW207" s="1563"/>
      <c r="AX207" s="1563"/>
      <c r="AY207" s="1563"/>
      <c r="AZ207" s="1563"/>
      <c r="BA207" s="3">
        <v>1</v>
      </c>
    </row>
    <row r="208" spans="1:55" s="1564" customFormat="1" ht="15">
      <c r="A208" s="1563"/>
      <c r="B208" s="5931"/>
      <c r="C208" s="1619">
        <v>12</v>
      </c>
      <c r="D208" s="1619">
        <v>11</v>
      </c>
      <c r="E208" s="1619">
        <v>11</v>
      </c>
      <c r="F208" s="1619">
        <v>11</v>
      </c>
      <c r="G208" s="1619">
        <v>11</v>
      </c>
      <c r="H208" s="1619">
        <v>11</v>
      </c>
      <c r="I208" s="1619">
        <v>11</v>
      </c>
      <c r="J208" s="1619">
        <v>11</v>
      </c>
      <c r="K208" s="1620">
        <v>11</v>
      </c>
      <c r="L208" s="1621" t="s">
        <v>3419</v>
      </c>
      <c r="M208" s="1563"/>
      <c r="N208" s="1563"/>
      <c r="O208" s="1563"/>
      <c r="P208" s="1563"/>
      <c r="Q208" s="1563"/>
      <c r="R208" s="1563"/>
      <c r="S208" s="1563"/>
      <c r="T208" s="1563"/>
      <c r="U208" s="1563"/>
      <c r="V208" s="1563"/>
      <c r="W208" s="1563"/>
      <c r="X208" s="1563"/>
      <c r="Y208" s="1563"/>
      <c r="Z208" s="1563"/>
      <c r="AA208" s="1563"/>
      <c r="AB208" s="1563"/>
      <c r="AC208" s="1563"/>
      <c r="AD208" s="1563"/>
      <c r="AE208" s="1563"/>
      <c r="AF208" s="1563"/>
      <c r="AG208" s="1563"/>
      <c r="AH208" s="1563"/>
      <c r="AI208" s="1563"/>
      <c r="AJ208" s="1563"/>
      <c r="AK208" s="1563"/>
      <c r="AL208" s="1563"/>
      <c r="AM208" s="1563"/>
      <c r="AN208" s="1563"/>
      <c r="AO208" s="1563"/>
      <c r="AP208" s="1563"/>
      <c r="AQ208" s="1563"/>
      <c r="AR208" s="1563"/>
      <c r="AS208" s="1563"/>
      <c r="AT208" s="1563"/>
      <c r="AU208" s="1563"/>
      <c r="AV208" s="1563"/>
      <c r="AW208" s="1563"/>
      <c r="AX208" s="1563"/>
      <c r="AY208" s="1563"/>
      <c r="AZ208" s="1563"/>
      <c r="BA208" s="3">
        <v>1</v>
      </c>
    </row>
    <row r="209" spans="1:53" s="1564" customFormat="1" thickBot="1">
      <c r="A209" s="1563"/>
      <c r="B209" s="5932"/>
      <c r="C209" s="1107">
        <f ca="1">CELL("largeur",C209)</f>
        <v>13</v>
      </c>
      <c r="D209" s="1107">
        <f t="shared" ref="D209:K209" ca="1" si="5">CELL("largeur",D209)</f>
        <v>21</v>
      </c>
      <c r="E209" s="1107">
        <f t="shared" ca="1" si="5"/>
        <v>13</v>
      </c>
      <c r="F209" s="1107">
        <f ca="1">CELL("largeur",F209)</f>
        <v>13</v>
      </c>
      <c r="G209" s="1107">
        <f t="shared" ca="1" si="5"/>
        <v>13</v>
      </c>
      <c r="H209" s="1107">
        <f t="shared" ca="1" si="5"/>
        <v>13</v>
      </c>
      <c r="I209" s="1107">
        <f t="shared" ca="1" si="5"/>
        <v>16</v>
      </c>
      <c r="J209" s="1107">
        <f t="shared" ca="1" si="5"/>
        <v>18</v>
      </c>
      <c r="K209" s="1108">
        <f t="shared" ca="1" si="5"/>
        <v>16</v>
      </c>
      <c r="L209" s="1621" t="s">
        <v>3422</v>
      </c>
      <c r="M209" s="1563"/>
      <c r="N209" s="1563"/>
      <c r="O209" s="1563"/>
      <c r="P209" s="1563"/>
      <c r="Q209" s="1563"/>
      <c r="R209" s="1563"/>
      <c r="S209" s="1563"/>
      <c r="T209" s="1563"/>
      <c r="U209" s="1563"/>
      <c r="V209" s="1563"/>
      <c r="W209" s="1563"/>
      <c r="X209" s="1563"/>
      <c r="Y209" s="1563"/>
      <c r="Z209" s="1563"/>
      <c r="AA209" s="1563"/>
      <c r="AB209" s="1563"/>
      <c r="AC209" s="1563"/>
      <c r="AD209" s="1563"/>
      <c r="AE209" s="1563"/>
      <c r="AF209" s="1563"/>
      <c r="AG209" s="1563"/>
      <c r="AH209" s="1563"/>
      <c r="AI209" s="1563"/>
      <c r="AJ209" s="1563"/>
      <c r="AK209" s="1563"/>
      <c r="AL209" s="1563"/>
      <c r="AM209" s="1563"/>
      <c r="AN209" s="1563"/>
      <c r="AO209" s="1563"/>
      <c r="AP209" s="1563"/>
      <c r="AQ209" s="1563"/>
      <c r="AR209" s="1563"/>
      <c r="AS209" s="1563"/>
      <c r="AT209" s="1563"/>
      <c r="AU209" s="1563"/>
      <c r="AV209" s="1563"/>
      <c r="AW209" s="1563"/>
      <c r="AX209" s="1563"/>
      <c r="AY209" s="1563"/>
      <c r="AZ209" s="1563"/>
      <c r="BA209" s="3">
        <v>1</v>
      </c>
    </row>
    <row r="210" spans="1:53" s="1564" customFormat="1" thickBot="1">
      <c r="A210" s="1621"/>
      <c r="B210" s="1621"/>
      <c r="C210" s="1621"/>
      <c r="D210" s="1621"/>
      <c r="E210" s="1621"/>
      <c r="F210" s="1621"/>
      <c r="G210" s="1621"/>
      <c r="H210" s="1621"/>
      <c r="I210" s="1621"/>
      <c r="J210" s="1621"/>
      <c r="K210" s="1621"/>
      <c r="L210" s="1563"/>
      <c r="M210" s="1563">
        <v>1</v>
      </c>
      <c r="N210" s="1563"/>
      <c r="O210" s="1563"/>
      <c r="P210" s="1563"/>
      <c r="Q210" s="1563"/>
      <c r="R210" s="1563"/>
      <c r="S210" s="1563"/>
      <c r="T210" s="1563"/>
      <c r="U210" s="1563"/>
      <c r="V210" s="1563"/>
      <c r="W210" s="1563"/>
      <c r="X210" s="1563"/>
      <c r="Y210" s="1563"/>
      <c r="Z210" s="1563"/>
      <c r="AA210" s="1563"/>
      <c r="AB210" s="1563"/>
      <c r="AC210" s="1563"/>
      <c r="AD210" s="1563"/>
      <c r="AE210" s="1563"/>
      <c r="AF210" s="1563"/>
      <c r="AG210" s="1563"/>
      <c r="AH210" s="1563"/>
      <c r="AI210" s="1563"/>
      <c r="AJ210" s="1563"/>
      <c r="AK210" s="1563"/>
      <c r="AL210" s="1563"/>
      <c r="AM210" s="1563"/>
      <c r="AN210" s="1563"/>
      <c r="AO210" s="1563"/>
      <c r="AP210" s="1563"/>
      <c r="AQ210" s="1563"/>
      <c r="AR210" s="1563"/>
      <c r="AS210" s="1563"/>
      <c r="AT210" s="1563"/>
      <c r="AU210" s="1563"/>
      <c r="AV210" s="1563"/>
      <c r="AW210" s="1563"/>
      <c r="AX210" s="1563"/>
      <c r="AY210" s="1563"/>
      <c r="AZ210" s="1563"/>
      <c r="BA210" s="3">
        <v>1</v>
      </c>
    </row>
    <row r="211" spans="1:53" s="1564" customFormat="1" ht="21">
      <c r="A211" s="1563"/>
      <c r="B211" s="1820" t="s">
        <v>167</v>
      </c>
      <c r="C211" s="1817" t="s">
        <v>3531</v>
      </c>
      <c r="D211" s="1818"/>
      <c r="E211" s="1818"/>
      <c r="F211" s="1818"/>
      <c r="G211" s="1818"/>
      <c r="H211" s="1818"/>
      <c r="I211" s="1818"/>
      <c r="J211" s="1818"/>
      <c r="K211" s="1819" t="s">
        <v>3532</v>
      </c>
      <c r="L211" s="1563"/>
      <c r="M211" s="1820" t="s">
        <v>167</v>
      </c>
      <c r="N211" s="5935" t="s">
        <v>3533</v>
      </c>
      <c r="O211" s="5935"/>
      <c r="P211" s="5935"/>
      <c r="Q211" s="5935"/>
      <c r="R211" s="5935"/>
      <c r="S211" s="5935"/>
      <c r="T211" s="5936"/>
      <c r="U211" s="1563"/>
      <c r="V211" s="1563"/>
      <c r="W211" s="1563"/>
      <c r="X211" s="1563"/>
      <c r="Y211" s="1563"/>
      <c r="Z211" s="1563"/>
      <c r="AA211" s="1563"/>
      <c r="AB211" s="1563"/>
      <c r="AC211" s="1563"/>
      <c r="AD211" s="1563"/>
      <c r="AE211" s="1563"/>
      <c r="AF211" s="1563"/>
      <c r="AG211" s="1563"/>
      <c r="AH211" s="1563"/>
      <c r="AI211" s="1563"/>
      <c r="AJ211" s="1563"/>
      <c r="AK211" s="1563"/>
      <c r="AL211" s="1563"/>
      <c r="AM211" s="1563"/>
      <c r="AN211" s="1563"/>
      <c r="AO211" s="1563"/>
      <c r="AP211" s="1563"/>
      <c r="AQ211" s="1563"/>
      <c r="AR211" s="1563"/>
      <c r="AS211" s="1563"/>
      <c r="AT211" s="1563"/>
      <c r="AU211" s="1563"/>
      <c r="AV211" s="1563"/>
      <c r="AW211" s="1563"/>
      <c r="AX211" s="1563"/>
      <c r="AY211" s="1563"/>
      <c r="AZ211" s="1563"/>
      <c r="BA211" s="3">
        <v>1</v>
      </c>
    </row>
    <row r="212" spans="1:53" s="1564" customFormat="1" ht="15" customHeight="1">
      <c r="A212" s="1563"/>
      <c r="B212" s="5931">
        <v>3</v>
      </c>
      <c r="C212" s="1821" t="str">
        <f>ADDRESS(ROW(),COLUMN(),4)</f>
        <v>C212</v>
      </c>
      <c r="D212" s="1822"/>
      <c r="E212" s="1822"/>
      <c r="F212" s="1823"/>
      <c r="G212" s="1822"/>
      <c r="H212" s="1822"/>
      <c r="I212" s="1824"/>
      <c r="J212" s="1824"/>
      <c r="K212" s="1825"/>
      <c r="L212" s="1563"/>
      <c r="M212" s="5931">
        <v>3</v>
      </c>
      <c r="N212" s="1826" t="str">
        <f>ADDRESS(ROW(),COLUMN(),4)</f>
        <v>N212</v>
      </c>
      <c r="O212" s="1778" t="s">
        <v>3529</v>
      </c>
      <c r="P212" s="1779"/>
      <c r="Q212" s="1779"/>
      <c r="R212" s="1779"/>
      <c r="S212" s="1779"/>
      <c r="T212" s="1780"/>
      <c r="U212" s="1563"/>
      <c r="V212" s="1563"/>
      <c r="W212" s="1563"/>
      <c r="X212" s="1563"/>
      <c r="Y212" s="1563"/>
      <c r="Z212" s="1563"/>
      <c r="AA212" s="1563"/>
      <c r="AB212" s="1563"/>
      <c r="AC212" s="1563"/>
      <c r="AD212" s="1563"/>
      <c r="AE212" s="1563"/>
      <c r="AF212" s="1563"/>
      <c r="AG212" s="1563"/>
      <c r="AH212" s="1563"/>
      <c r="AI212" s="1563"/>
      <c r="AJ212" s="1563"/>
      <c r="AK212" s="1563"/>
      <c r="AL212" s="1563"/>
      <c r="AM212" s="1563"/>
      <c r="AN212" s="1563"/>
      <c r="AO212" s="1563"/>
      <c r="AP212" s="1563"/>
      <c r="AQ212" s="1563"/>
      <c r="AR212" s="1563"/>
      <c r="AS212" s="1563"/>
      <c r="AT212" s="1563"/>
      <c r="AU212" s="1563"/>
      <c r="AV212" s="1563"/>
      <c r="AW212" s="1563"/>
      <c r="AX212" s="1563"/>
      <c r="AY212" s="1563"/>
      <c r="AZ212" s="1563"/>
      <c r="BA212" s="3">
        <v>1</v>
      </c>
    </row>
    <row r="213" spans="1:53" s="1564" customFormat="1" ht="15.75" customHeight="1">
      <c r="A213" s="1563"/>
      <c r="B213" s="5931"/>
      <c r="C213" s="1823"/>
      <c r="D213" s="1827" t="s">
        <v>750</v>
      </c>
      <c r="E213" s="1828">
        <v>1</v>
      </c>
      <c r="F213" s="1829"/>
      <c r="G213" s="1830" t="s">
        <v>750</v>
      </c>
      <c r="H213" s="1828">
        <v>1</v>
      </c>
      <c r="I213" s="1831"/>
      <c r="J213" s="1827" t="s">
        <v>750</v>
      </c>
      <c r="K213" s="1832">
        <v>1</v>
      </c>
      <c r="L213" s="1563"/>
      <c r="M213" s="5931"/>
      <c r="N213" s="5937" t="s">
        <v>3534</v>
      </c>
      <c r="O213" s="5937"/>
      <c r="P213" s="5939" t="s">
        <v>3535</v>
      </c>
      <c r="Q213" s="5939"/>
      <c r="R213" s="5939"/>
      <c r="S213" s="5939"/>
      <c r="T213" s="5940"/>
      <c r="U213" s="1563"/>
      <c r="V213" s="1563"/>
      <c r="W213" s="1563"/>
      <c r="X213" s="1563"/>
      <c r="Y213" s="1563"/>
      <c r="Z213" s="1563"/>
      <c r="AA213" s="1563"/>
      <c r="AB213" s="1563"/>
      <c r="AC213" s="1563"/>
      <c r="AD213" s="1563"/>
      <c r="AE213" s="1563"/>
      <c r="AF213" s="1563"/>
      <c r="AG213" s="1563"/>
      <c r="AH213" s="1563"/>
      <c r="AI213" s="1563"/>
      <c r="AJ213" s="1563"/>
      <c r="AK213" s="1563"/>
      <c r="AL213" s="1563"/>
      <c r="AM213" s="1563"/>
      <c r="AN213" s="1563"/>
      <c r="AO213" s="1563"/>
      <c r="AP213" s="1563"/>
      <c r="AQ213" s="1563"/>
      <c r="AR213" s="1563"/>
      <c r="AS213" s="1563"/>
      <c r="AT213" s="1563"/>
      <c r="AU213" s="1563"/>
      <c r="AV213" s="1563"/>
      <c r="AW213" s="1563"/>
      <c r="AX213" s="1563"/>
      <c r="AY213" s="1563"/>
      <c r="AZ213" s="1563"/>
      <c r="BA213" s="3">
        <v>1</v>
      </c>
    </row>
    <row r="214" spans="1:53" s="1564" customFormat="1" ht="15.75" customHeight="1">
      <c r="A214" s="1563"/>
      <c r="B214" s="5931"/>
      <c r="C214" s="1574"/>
      <c r="D214" s="1833" t="s">
        <v>748</v>
      </c>
      <c r="E214" s="1834">
        <v>2</v>
      </c>
      <c r="F214" s="1835"/>
      <c r="G214" s="1836" t="s">
        <v>3536</v>
      </c>
      <c r="H214" s="1834">
        <v>2</v>
      </c>
      <c r="I214" s="1837"/>
      <c r="J214" s="1833" t="s">
        <v>764</v>
      </c>
      <c r="K214" s="1838">
        <v>50</v>
      </c>
      <c r="L214" s="1563"/>
      <c r="M214" s="5931"/>
      <c r="N214" s="5938"/>
      <c r="O214" s="5938"/>
      <c r="P214" s="5941"/>
      <c r="Q214" s="5941"/>
      <c r="R214" s="5941"/>
      <c r="S214" s="5941"/>
      <c r="T214" s="5942"/>
      <c r="U214" s="1563"/>
      <c r="V214" s="1563"/>
      <c r="W214" s="1563"/>
      <c r="X214" s="1563"/>
      <c r="Y214" s="1563"/>
      <c r="Z214" s="1563"/>
      <c r="AA214" s="1563"/>
      <c r="AB214" s="1563"/>
      <c r="AC214" s="1563"/>
      <c r="AD214" s="1563"/>
      <c r="AE214" s="1563"/>
      <c r="AF214" s="1563"/>
      <c r="AG214" s="1563"/>
      <c r="AH214" s="1563"/>
      <c r="AI214" s="1563"/>
      <c r="AJ214" s="1563"/>
      <c r="AK214" s="1563"/>
      <c r="AL214" s="1563"/>
      <c r="AM214" s="1563"/>
      <c r="AN214" s="1563"/>
      <c r="AO214" s="1563"/>
      <c r="AP214" s="1563"/>
      <c r="AQ214" s="1563"/>
      <c r="AR214" s="1563"/>
      <c r="AS214" s="1563"/>
      <c r="AT214" s="1563"/>
      <c r="AU214" s="1563"/>
      <c r="AV214" s="1563"/>
      <c r="AW214" s="1563"/>
      <c r="AX214" s="1563"/>
      <c r="AY214" s="1563"/>
      <c r="AZ214" s="1563"/>
      <c r="BA214" s="3">
        <v>1</v>
      </c>
    </row>
    <row r="215" spans="1:53" s="1564" customFormat="1" ht="15.75" customHeight="1">
      <c r="A215" s="1563"/>
      <c r="B215" s="5931"/>
      <c r="C215" s="1574"/>
      <c r="D215" s="1839" t="s">
        <v>756</v>
      </c>
      <c r="E215" s="1840">
        <f>IF(E213=0,0,IF(E214=0,0,E214-E213))</f>
        <v>1</v>
      </c>
      <c r="F215" s="1835"/>
      <c r="G215" s="1839" t="s">
        <v>3537</v>
      </c>
      <c r="H215" s="1840">
        <f>IF(H213=0,0,H213+H214)</f>
        <v>3</v>
      </c>
      <c r="I215" s="1837"/>
      <c r="J215" s="1839" t="s">
        <v>756</v>
      </c>
      <c r="K215" s="1841">
        <f>K216*K214%</f>
        <v>1</v>
      </c>
      <c r="L215" s="1563"/>
      <c r="M215" s="5931"/>
      <c r="N215" s="5943" t="s">
        <v>3538</v>
      </c>
      <c r="O215" s="5945">
        <f>SUM(N219:N228)</f>
        <v>0.97000000000000008</v>
      </c>
      <c r="P215" s="5947" t="str">
        <f>IF(N218&lt;S218,"Recette incomplète, il manque",IF(N218&gt;S218,"Trop de produits dans la recette",IF(N218=S218,"OK")))</f>
        <v>Recette incomplète, il manque</v>
      </c>
      <c r="Q215" s="5947"/>
      <c r="R215" s="5947"/>
      <c r="S215" s="5947"/>
      <c r="T215" s="5973">
        <f>IF(N218=S218,"",IF(N218&lt;S218,S218-N218,IF(N218&gt;S218,N218-S218)))</f>
        <v>2.9999999999999916E-2</v>
      </c>
      <c r="U215" s="1563"/>
      <c r="V215" s="1563"/>
      <c r="W215" s="1563"/>
      <c r="X215" s="1563"/>
      <c r="Y215" s="1563"/>
      <c r="Z215" s="1563"/>
      <c r="AA215" s="1563"/>
      <c r="AB215" s="1563"/>
      <c r="AC215" s="1563"/>
      <c r="AD215" s="1563"/>
      <c r="AE215" s="1563"/>
      <c r="AF215" s="1563"/>
      <c r="AG215" s="1563"/>
      <c r="AH215" s="1563"/>
      <c r="AI215" s="1563"/>
      <c r="AJ215" s="1563"/>
      <c r="AK215" s="1563"/>
      <c r="AL215" s="1563"/>
      <c r="AM215" s="1563"/>
      <c r="AN215" s="1563"/>
      <c r="AO215" s="1563"/>
      <c r="AP215" s="1563"/>
      <c r="AQ215" s="1563"/>
      <c r="AR215" s="1563"/>
      <c r="AS215" s="1563"/>
      <c r="AT215" s="1563"/>
      <c r="AU215" s="1563"/>
      <c r="AV215" s="1563"/>
      <c r="AW215" s="1563"/>
      <c r="AX215" s="1563"/>
      <c r="AY215" s="1563"/>
      <c r="AZ215" s="1563"/>
      <c r="BA215" s="3">
        <v>1</v>
      </c>
    </row>
    <row r="216" spans="1:53" s="1564" customFormat="1" ht="15.75" customHeight="1">
      <c r="A216" s="1563"/>
      <c r="B216" s="5931"/>
      <c r="C216" s="1842"/>
      <c r="D216" s="1843" t="s">
        <v>760</v>
      </c>
      <c r="E216" s="1844">
        <f>IF(E213=0,0,IF(E214=0,0,E215/E214))</f>
        <v>0.5</v>
      </c>
      <c r="F216" s="1845"/>
      <c r="G216" s="1843" t="s">
        <v>760</v>
      </c>
      <c r="H216" s="1844">
        <f>IF(H213=0,0,H214/H215)</f>
        <v>0.66666666666666663</v>
      </c>
      <c r="I216" s="1846"/>
      <c r="J216" s="1843" t="s">
        <v>3537</v>
      </c>
      <c r="K216" s="1847">
        <f>K213/(100-K214)*100</f>
        <v>2</v>
      </c>
      <c r="L216" s="1563"/>
      <c r="M216" s="5931"/>
      <c r="N216" s="5944"/>
      <c r="O216" s="5946"/>
      <c r="P216" s="5948"/>
      <c r="Q216" s="5948"/>
      <c r="R216" s="5948"/>
      <c r="S216" s="5948"/>
      <c r="T216" s="5974"/>
      <c r="U216" s="1563"/>
      <c r="V216" s="1563"/>
      <c r="W216" s="1563"/>
      <c r="X216" s="1563"/>
      <c r="Y216" s="1563"/>
      <c r="Z216" s="1563"/>
      <c r="AA216" s="1563"/>
      <c r="AB216" s="1563"/>
      <c r="AC216" s="1563"/>
      <c r="AD216" s="1563"/>
      <c r="AE216" s="1563"/>
      <c r="AF216" s="1563"/>
      <c r="AG216" s="1563"/>
      <c r="AH216" s="1563"/>
      <c r="AI216" s="1563"/>
      <c r="AJ216" s="1563"/>
      <c r="AK216" s="1563"/>
      <c r="AL216" s="1563"/>
      <c r="AM216" s="1563"/>
      <c r="AN216" s="1563"/>
      <c r="AO216" s="1563"/>
      <c r="AP216" s="1563"/>
      <c r="AQ216" s="1563"/>
      <c r="AR216" s="1563"/>
      <c r="AS216" s="1563"/>
      <c r="AT216" s="1563"/>
      <c r="AU216" s="1563"/>
      <c r="AV216" s="1563"/>
      <c r="AW216" s="1563"/>
      <c r="AX216" s="1563"/>
      <c r="AY216" s="1563"/>
      <c r="AZ216" s="1563"/>
      <c r="BA216" s="3">
        <v>1</v>
      </c>
    </row>
    <row r="217" spans="1:53" s="1564" customFormat="1">
      <c r="A217" s="1563"/>
      <c r="B217" s="5931"/>
      <c r="C217" s="1823"/>
      <c r="D217" s="1848" t="s">
        <v>748</v>
      </c>
      <c r="E217" s="1849">
        <v>2</v>
      </c>
      <c r="F217" s="1829"/>
      <c r="G217" s="1848" t="s">
        <v>748</v>
      </c>
      <c r="H217" s="1849">
        <v>2</v>
      </c>
      <c r="I217" s="1831"/>
      <c r="J217" s="1848" t="s">
        <v>748</v>
      </c>
      <c r="K217" s="1850">
        <v>1</v>
      </c>
      <c r="L217" s="1563"/>
      <c r="M217" s="5931"/>
      <c r="N217" s="1851" t="s">
        <v>3539</v>
      </c>
      <c r="O217" s="1852"/>
      <c r="P217" s="1852"/>
      <c r="Q217" s="1852"/>
      <c r="R217" s="1853" t="s">
        <v>1743</v>
      </c>
      <c r="S217" s="2066" t="s">
        <v>3540</v>
      </c>
      <c r="T217" s="1854" t="s">
        <v>3541</v>
      </c>
      <c r="U217" s="1563"/>
      <c r="V217" s="1563"/>
      <c r="W217" s="1563"/>
      <c r="X217" s="1563"/>
      <c r="Y217" s="1563"/>
      <c r="Z217" s="1563"/>
      <c r="AA217" s="1563"/>
      <c r="AB217" s="1563"/>
      <c r="AC217" s="1563"/>
      <c r="AD217" s="1563"/>
      <c r="AE217" s="1563"/>
      <c r="AF217" s="1563"/>
      <c r="AG217" s="1563"/>
      <c r="AH217" s="1563"/>
      <c r="AI217" s="1563"/>
      <c r="AJ217" s="1563"/>
      <c r="AK217" s="1563"/>
      <c r="AL217" s="1563"/>
      <c r="AM217" s="1563"/>
      <c r="AN217" s="1563"/>
      <c r="AO217" s="1563"/>
      <c r="AP217" s="1563"/>
      <c r="AQ217" s="1563"/>
      <c r="AR217" s="1563"/>
      <c r="AS217" s="1563"/>
      <c r="AT217" s="1563"/>
      <c r="AU217" s="1563"/>
      <c r="AV217" s="1563"/>
      <c r="AW217" s="1563"/>
      <c r="AX217" s="1563"/>
      <c r="AY217" s="1563"/>
      <c r="AZ217" s="1563"/>
      <c r="BA217" s="3">
        <v>1</v>
      </c>
    </row>
    <row r="218" spans="1:53" s="1564" customFormat="1">
      <c r="A218" s="1563"/>
      <c r="B218" s="5931"/>
      <c r="C218" s="1574"/>
      <c r="D218" s="1855" t="s">
        <v>750</v>
      </c>
      <c r="E218" s="1856">
        <v>1</v>
      </c>
      <c r="F218" s="1835"/>
      <c r="G218" s="1855" t="s">
        <v>3536</v>
      </c>
      <c r="H218" s="1856">
        <v>1</v>
      </c>
      <c r="I218" s="1837"/>
      <c r="J218" s="1855" t="s">
        <v>764</v>
      </c>
      <c r="K218" s="1857">
        <v>50</v>
      </c>
      <c r="L218" s="1563"/>
      <c r="M218" s="5931"/>
      <c r="N218" s="1858">
        <f>SUM(N219:N228)</f>
        <v>0.97000000000000008</v>
      </c>
      <c r="O218" s="1859"/>
      <c r="P218" s="1860"/>
      <c r="Q218" s="1861" t="s">
        <v>3542</v>
      </c>
      <c r="R218" s="2067">
        <v>7</v>
      </c>
      <c r="S218" s="1862">
        <v>1</v>
      </c>
      <c r="T218" s="1863">
        <f>SUM(T219:T228)</f>
        <v>6.9300000000000006</v>
      </c>
      <c r="U218" s="1563"/>
      <c r="V218" s="1563"/>
      <c r="W218" s="1563"/>
      <c r="X218" s="1563"/>
      <c r="Y218" s="1563"/>
      <c r="Z218" s="1563"/>
      <c r="AA218" s="1563"/>
      <c r="AB218" s="1563"/>
      <c r="AC218" s="1563"/>
      <c r="AD218" s="1563"/>
      <c r="AE218" s="1563"/>
      <c r="AF218" s="1563"/>
      <c r="AG218" s="1563"/>
      <c r="AH218" s="1563"/>
      <c r="AI218" s="1563"/>
      <c r="AJ218" s="1563"/>
      <c r="AK218" s="1563"/>
      <c r="AL218" s="1563"/>
      <c r="AM218" s="1563"/>
      <c r="AN218" s="1563"/>
      <c r="AO218" s="1563"/>
      <c r="AP218" s="1563"/>
      <c r="AQ218" s="1563"/>
      <c r="AR218" s="1563"/>
      <c r="AS218" s="1563"/>
      <c r="AT218" s="1563"/>
      <c r="AU218" s="1563"/>
      <c r="AV218" s="1563"/>
      <c r="AW218" s="1563"/>
      <c r="AX218" s="1563"/>
      <c r="AY218" s="1563"/>
      <c r="AZ218" s="1563"/>
      <c r="BA218" s="3">
        <v>1</v>
      </c>
    </row>
    <row r="219" spans="1:53" s="1564" customFormat="1">
      <c r="A219" s="1563"/>
      <c r="B219" s="5931"/>
      <c r="C219" s="1574"/>
      <c r="D219" s="1839" t="s">
        <v>756</v>
      </c>
      <c r="E219" s="1840">
        <f>IF(E217=0,0,IF(E218=0,0,E217-E218))</f>
        <v>1</v>
      </c>
      <c r="F219" s="1835"/>
      <c r="G219" s="1839" t="s">
        <v>767</v>
      </c>
      <c r="H219" s="1840">
        <f>IF(H217=0,0,IF(H218=0,0,H217-H218))</f>
        <v>1</v>
      </c>
      <c r="I219" s="1837"/>
      <c r="J219" s="1839" t="s">
        <v>756</v>
      </c>
      <c r="K219" s="1841">
        <f>K217*K218%</f>
        <v>0.5</v>
      </c>
      <c r="L219" s="1563"/>
      <c r="M219" s="5931"/>
      <c r="N219" s="1864">
        <v>0.12</v>
      </c>
      <c r="O219" s="1865" t="s">
        <v>3543</v>
      </c>
      <c r="P219" s="1865"/>
      <c r="Q219" s="1865"/>
      <c r="R219" s="2068">
        <f>R218*N219</f>
        <v>0.84</v>
      </c>
      <c r="S219" s="1866">
        <v>0</v>
      </c>
      <c r="T219" s="1867">
        <f t="shared" ref="T219:T228" si="6">IF(S219=0,R219,IF(R219="","",R219/(100-S219)*100))</f>
        <v>0.84</v>
      </c>
      <c r="U219" s="1563"/>
      <c r="V219" s="1563"/>
      <c r="W219" s="1563"/>
      <c r="X219" s="1563"/>
      <c r="Y219" s="1563"/>
      <c r="Z219" s="1563"/>
      <c r="AA219" s="1563"/>
      <c r="AB219" s="1563"/>
      <c r="AC219" s="1563"/>
      <c r="AD219" s="1563"/>
      <c r="AE219" s="1563"/>
      <c r="AF219" s="1563"/>
      <c r="AG219" s="1563"/>
      <c r="AH219" s="1563"/>
      <c r="AI219" s="1563"/>
      <c r="AJ219" s="1563"/>
      <c r="AK219" s="1563"/>
      <c r="AL219" s="1563"/>
      <c r="AM219" s="1563"/>
      <c r="AN219" s="1563"/>
      <c r="AO219" s="1563"/>
      <c r="AP219" s="1563"/>
      <c r="AQ219" s="1563"/>
      <c r="AR219" s="1563"/>
      <c r="AS219" s="1563"/>
      <c r="AT219" s="1563"/>
      <c r="AU219" s="1563"/>
      <c r="AV219" s="1563"/>
      <c r="AW219" s="1563"/>
      <c r="AX219" s="1563"/>
      <c r="AY219" s="1563"/>
      <c r="AZ219" s="1563"/>
      <c r="BA219" s="3">
        <v>1</v>
      </c>
    </row>
    <row r="220" spans="1:53" s="1564" customFormat="1">
      <c r="A220" s="1563"/>
      <c r="B220" s="5931"/>
      <c r="C220" s="1842"/>
      <c r="D220" s="1843" t="s">
        <v>760</v>
      </c>
      <c r="E220" s="1844">
        <f>IF(E217=0,0,E219/E217)</f>
        <v>0.5</v>
      </c>
      <c r="F220" s="1845"/>
      <c r="G220" s="1843" t="s">
        <v>760</v>
      </c>
      <c r="H220" s="1844">
        <f>IF(H217=0,0,IF(H218=0,0,H218/H217))</f>
        <v>0.5</v>
      </c>
      <c r="I220" s="1846"/>
      <c r="J220" s="1843" t="s">
        <v>767</v>
      </c>
      <c r="K220" s="1868">
        <f>K217-K219</f>
        <v>0.5</v>
      </c>
      <c r="L220" s="1563"/>
      <c r="M220" s="5931"/>
      <c r="N220" s="1864">
        <v>0.08</v>
      </c>
      <c r="O220" s="1865" t="s">
        <v>3544</v>
      </c>
      <c r="P220" s="1865"/>
      <c r="Q220" s="1865"/>
      <c r="R220" s="1869">
        <f>R218*N220</f>
        <v>0.56000000000000005</v>
      </c>
      <c r="S220" s="1870">
        <v>0</v>
      </c>
      <c r="T220" s="1867">
        <f t="shared" si="6"/>
        <v>0.56000000000000005</v>
      </c>
      <c r="U220" s="1563"/>
      <c r="V220" s="1563"/>
      <c r="W220" s="1563"/>
      <c r="X220" s="1563"/>
      <c r="Y220" s="1563"/>
      <c r="Z220" s="1563"/>
      <c r="AA220" s="1563"/>
      <c r="AB220" s="1563"/>
      <c r="AC220" s="1563"/>
      <c r="AD220" s="1563"/>
      <c r="AE220" s="1563"/>
      <c r="AF220" s="1563"/>
      <c r="AG220" s="1563"/>
      <c r="AH220" s="1563"/>
      <c r="AI220" s="1563"/>
      <c r="AJ220" s="1563"/>
      <c r="AK220" s="1563"/>
      <c r="AL220" s="1563"/>
      <c r="AM220" s="1563"/>
      <c r="AN220" s="1563"/>
      <c r="AO220" s="1563"/>
      <c r="AP220" s="1563"/>
      <c r="AQ220" s="1563"/>
      <c r="AR220" s="1563"/>
      <c r="AS220" s="1563"/>
      <c r="AT220" s="1563"/>
      <c r="AU220" s="1563"/>
      <c r="AV220" s="1563"/>
      <c r="AW220" s="1563"/>
      <c r="AX220" s="1563"/>
      <c r="AY220" s="1563"/>
      <c r="AZ220" s="1563"/>
      <c r="BA220" s="3">
        <v>1</v>
      </c>
    </row>
    <row r="221" spans="1:53" s="1564" customFormat="1">
      <c r="A221" s="1563"/>
      <c r="B221" s="5931"/>
      <c r="C221" s="5956" t="s">
        <v>3530</v>
      </c>
      <c r="D221" s="5956"/>
      <c r="E221" s="5956"/>
      <c r="F221" s="5956"/>
      <c r="G221" s="5956"/>
      <c r="H221" s="5956"/>
      <c r="I221" s="5956"/>
      <c r="J221" s="5956"/>
      <c r="K221" s="5957"/>
      <c r="L221" s="1563"/>
      <c r="M221" s="5931"/>
      <c r="N221" s="1864">
        <v>0.2</v>
      </c>
      <c r="O221" s="1865" t="s">
        <v>3545</v>
      </c>
      <c r="P221" s="1865"/>
      <c r="Q221" s="1865"/>
      <c r="R221" s="1869">
        <f>R218*N221</f>
        <v>1.4000000000000001</v>
      </c>
      <c r="S221" s="1870">
        <v>0</v>
      </c>
      <c r="T221" s="1867">
        <f t="shared" si="6"/>
        <v>1.4000000000000001</v>
      </c>
      <c r="U221" s="1563"/>
      <c r="V221" s="1563"/>
      <c r="W221" s="1563"/>
      <c r="X221" s="1563"/>
      <c r="Y221" s="1563"/>
      <c r="Z221" s="1563"/>
      <c r="AA221" s="1563"/>
      <c r="AB221" s="1563"/>
      <c r="AC221" s="1563"/>
      <c r="AD221" s="1563"/>
      <c r="AE221" s="1563"/>
      <c r="AF221" s="1563"/>
      <c r="AG221" s="1563"/>
      <c r="AH221" s="1563"/>
      <c r="AI221" s="1563"/>
      <c r="AJ221" s="1563"/>
      <c r="AK221" s="1563"/>
      <c r="AL221" s="1563"/>
      <c r="AM221" s="1563"/>
      <c r="AN221" s="1563"/>
      <c r="AO221" s="1563"/>
      <c r="AP221" s="1563"/>
      <c r="AQ221" s="1563"/>
      <c r="AR221" s="1563"/>
      <c r="AS221" s="1563"/>
      <c r="AT221" s="1563"/>
      <c r="AU221" s="1563"/>
      <c r="AV221" s="1563"/>
      <c r="AW221" s="1563"/>
      <c r="AX221" s="1563"/>
      <c r="AY221" s="1563"/>
      <c r="AZ221" s="1563"/>
      <c r="BA221" s="3">
        <v>1</v>
      </c>
    </row>
    <row r="222" spans="1:53" s="1564" customFormat="1">
      <c r="A222" s="1563"/>
      <c r="B222" s="5931"/>
      <c r="C222" s="1619">
        <v>8</v>
      </c>
      <c r="D222" s="1619">
        <v>8</v>
      </c>
      <c r="E222" s="1619">
        <v>11</v>
      </c>
      <c r="F222" s="1619">
        <v>8</v>
      </c>
      <c r="G222" s="1619">
        <v>8</v>
      </c>
      <c r="H222" s="1619">
        <v>11</v>
      </c>
      <c r="I222" s="1619">
        <v>8</v>
      </c>
      <c r="J222" s="1619">
        <v>8</v>
      </c>
      <c r="K222" s="1620">
        <v>11</v>
      </c>
      <c r="L222" s="1563"/>
      <c r="M222" s="5931"/>
      <c r="N222" s="1864">
        <v>0.55000000000000004</v>
      </c>
      <c r="O222" s="1865" t="s">
        <v>3546</v>
      </c>
      <c r="P222" s="1865"/>
      <c r="Q222" s="1865"/>
      <c r="R222" s="1869">
        <f>R218*N222</f>
        <v>3.8500000000000005</v>
      </c>
      <c r="S222" s="1870">
        <v>0</v>
      </c>
      <c r="T222" s="1867">
        <f t="shared" si="6"/>
        <v>3.8500000000000005</v>
      </c>
      <c r="U222" s="1563"/>
      <c r="V222" s="1563"/>
      <c r="W222" s="1563"/>
      <c r="X222" s="1563"/>
      <c r="Y222" s="1563"/>
      <c r="Z222" s="1563"/>
      <c r="AA222" s="1563"/>
      <c r="AB222" s="1563"/>
      <c r="AC222" s="1563"/>
      <c r="AD222" s="1563"/>
      <c r="AE222" s="1563"/>
      <c r="AF222" s="1563"/>
      <c r="AG222" s="1563"/>
      <c r="AH222" s="1563"/>
      <c r="AI222" s="1563"/>
      <c r="AJ222" s="1563"/>
      <c r="AK222" s="1563"/>
      <c r="AL222" s="1563"/>
      <c r="AM222" s="1563"/>
      <c r="AN222" s="1563"/>
      <c r="AO222" s="1563"/>
      <c r="AP222" s="1563"/>
      <c r="AQ222" s="1563"/>
      <c r="AR222" s="1563"/>
      <c r="AS222" s="1563"/>
      <c r="AT222" s="1563"/>
      <c r="AU222" s="1563"/>
      <c r="AV222" s="1563"/>
      <c r="AW222" s="1563"/>
      <c r="AX222" s="1563"/>
      <c r="AY222" s="1563"/>
      <c r="AZ222" s="1563"/>
      <c r="BA222" s="3">
        <v>1</v>
      </c>
    </row>
    <row r="223" spans="1:53" s="1564" customFormat="1" ht="16.5" thickBot="1">
      <c r="A223" s="1563"/>
      <c r="B223" s="5932"/>
      <c r="C223" s="1107">
        <f t="shared" ref="C223:K223" ca="1" si="7">CELL("largeur",C223)</f>
        <v>13</v>
      </c>
      <c r="D223" s="1107">
        <f t="shared" ca="1" si="7"/>
        <v>21</v>
      </c>
      <c r="E223" s="1107">
        <f t="shared" ca="1" si="7"/>
        <v>13</v>
      </c>
      <c r="F223" s="1107">
        <f t="shared" ca="1" si="7"/>
        <v>13</v>
      </c>
      <c r="G223" s="1107">
        <f t="shared" ca="1" si="7"/>
        <v>13</v>
      </c>
      <c r="H223" s="1107">
        <f t="shared" ca="1" si="7"/>
        <v>13</v>
      </c>
      <c r="I223" s="1107">
        <f t="shared" ca="1" si="7"/>
        <v>16</v>
      </c>
      <c r="J223" s="1107">
        <f t="shared" ca="1" si="7"/>
        <v>18</v>
      </c>
      <c r="K223" s="1108">
        <f t="shared" ca="1" si="7"/>
        <v>16</v>
      </c>
      <c r="L223" s="1563"/>
      <c r="M223" s="5931"/>
      <c r="N223" s="1864">
        <v>0.02</v>
      </c>
      <c r="O223" s="1865" t="s">
        <v>3547</v>
      </c>
      <c r="P223" s="1865"/>
      <c r="Q223" s="1865"/>
      <c r="R223" s="1869">
        <f>R218*N223</f>
        <v>0.14000000000000001</v>
      </c>
      <c r="S223" s="1870">
        <v>50</v>
      </c>
      <c r="T223" s="1867">
        <f t="shared" si="6"/>
        <v>0.28000000000000003</v>
      </c>
      <c r="U223" s="1563"/>
      <c r="V223" s="1563"/>
      <c r="W223" s="1563"/>
      <c r="X223" s="1563"/>
      <c r="Y223" s="1563"/>
      <c r="Z223" s="1563"/>
      <c r="AA223" s="1563"/>
      <c r="AB223" s="1563"/>
      <c r="AC223" s="1563"/>
      <c r="AD223" s="1563"/>
      <c r="AE223" s="1563"/>
      <c r="AF223" s="1563"/>
      <c r="AG223" s="1563"/>
      <c r="AH223" s="1563"/>
      <c r="AI223" s="1563"/>
      <c r="AJ223" s="1563"/>
      <c r="AK223" s="1563"/>
      <c r="AL223" s="1563"/>
      <c r="AM223" s="1563"/>
      <c r="AN223" s="1563"/>
      <c r="AO223" s="1563"/>
      <c r="AP223" s="1563"/>
      <c r="AQ223" s="1563"/>
      <c r="AR223" s="1563"/>
      <c r="AS223" s="1563"/>
      <c r="AT223" s="1563"/>
      <c r="AU223" s="1563"/>
      <c r="AV223" s="1563"/>
      <c r="AW223" s="1563"/>
      <c r="AX223" s="1563"/>
      <c r="AY223" s="1563"/>
      <c r="AZ223" s="1563"/>
      <c r="BA223" s="3">
        <v>1</v>
      </c>
    </row>
    <row r="224" spans="1:53" s="1564" customFormat="1" ht="16.5" thickBot="1">
      <c r="A224" s="1563">
        <v>1</v>
      </c>
      <c r="B224" s="1563">
        <v>1</v>
      </c>
      <c r="C224" s="1563">
        <v>1</v>
      </c>
      <c r="D224" s="1563">
        <v>1</v>
      </c>
      <c r="E224" s="1563">
        <v>1</v>
      </c>
      <c r="F224" s="1563">
        <v>1</v>
      </c>
      <c r="G224" s="1563">
        <v>1</v>
      </c>
      <c r="H224" s="1563">
        <v>1</v>
      </c>
      <c r="I224" s="1563"/>
      <c r="J224" s="1563"/>
      <c r="K224" s="1563"/>
      <c r="L224" s="1563"/>
      <c r="M224" s="5931"/>
      <c r="N224" s="1864"/>
      <c r="O224" s="1865"/>
      <c r="P224" s="1865"/>
      <c r="Q224" s="1865"/>
      <c r="R224" s="1869">
        <f>R218*N224</f>
        <v>0</v>
      </c>
      <c r="S224" s="1870"/>
      <c r="T224" s="1867">
        <f t="shared" si="6"/>
        <v>0</v>
      </c>
      <c r="U224" s="1563"/>
      <c r="V224" s="1563"/>
      <c r="W224" s="1563"/>
      <c r="X224" s="1563"/>
      <c r="Y224" s="1563"/>
      <c r="Z224" s="1563"/>
      <c r="AA224" s="1563"/>
      <c r="AB224" s="1563"/>
      <c r="AC224" s="1563"/>
      <c r="AD224" s="1563"/>
      <c r="AE224" s="1563"/>
      <c r="AF224" s="1563"/>
      <c r="AG224" s="1563"/>
      <c r="AH224" s="1563"/>
      <c r="AI224" s="1563"/>
      <c r="AJ224" s="1563"/>
      <c r="AK224" s="1563"/>
      <c r="AL224" s="1563"/>
      <c r="AM224" s="1563"/>
      <c r="AN224" s="1563"/>
      <c r="AO224" s="1563"/>
      <c r="AP224" s="1563"/>
      <c r="AQ224" s="1563"/>
      <c r="AR224" s="1563"/>
      <c r="AS224" s="1563"/>
      <c r="AT224" s="1563"/>
      <c r="AU224" s="1563"/>
      <c r="AV224" s="1563"/>
      <c r="AW224" s="1563"/>
      <c r="AX224" s="1563"/>
      <c r="AY224" s="1563"/>
      <c r="AZ224" s="1563"/>
      <c r="BA224" s="3">
        <v>1</v>
      </c>
    </row>
    <row r="225" spans="1:55" s="1564" customFormat="1">
      <c r="A225" s="1563">
        <v>1</v>
      </c>
      <c r="B225" s="1820" t="s">
        <v>167</v>
      </c>
      <c r="C225" s="5958" t="s">
        <v>3548</v>
      </c>
      <c r="D225" s="5958"/>
      <c r="E225" s="5958"/>
      <c r="F225" s="5958"/>
      <c r="G225" s="5958"/>
      <c r="H225" s="5959"/>
      <c r="I225" s="1563"/>
      <c r="J225" s="1563"/>
      <c r="K225" s="1563"/>
      <c r="L225" s="1563"/>
      <c r="M225" s="5931"/>
      <c r="N225" s="1864"/>
      <c r="O225" s="1865"/>
      <c r="P225" s="1865"/>
      <c r="Q225" s="1865"/>
      <c r="R225" s="1869">
        <f>R218*N225</f>
        <v>0</v>
      </c>
      <c r="S225" s="1870"/>
      <c r="T225" s="1867">
        <f t="shared" si="6"/>
        <v>0</v>
      </c>
      <c r="U225" s="1563"/>
      <c r="V225" s="1563"/>
      <c r="W225" s="1563"/>
      <c r="X225" s="1563"/>
      <c r="Y225" s="1563"/>
      <c r="Z225" s="1563"/>
      <c r="AA225" s="1563"/>
      <c r="AB225" s="1563"/>
      <c r="AC225" s="1563"/>
      <c r="AD225" s="1563"/>
      <c r="AE225" s="1563"/>
      <c r="AF225" s="1563"/>
      <c r="AG225" s="1563"/>
      <c r="AH225" s="1563"/>
      <c r="AI225" s="1563"/>
      <c r="AJ225" s="1563"/>
      <c r="AK225" s="1563"/>
      <c r="AL225" s="1563"/>
      <c r="AM225" s="1563"/>
      <c r="AN225" s="1563"/>
      <c r="AO225" s="1563"/>
      <c r="AP225" s="1563"/>
      <c r="AQ225" s="1563"/>
      <c r="AR225" s="1563"/>
      <c r="AS225" s="1563"/>
      <c r="AT225" s="1563"/>
      <c r="AU225" s="1563"/>
      <c r="AV225" s="1563"/>
      <c r="AW225" s="1563"/>
      <c r="AX225" s="1563"/>
      <c r="AY225" s="1563"/>
      <c r="AZ225" s="1563"/>
      <c r="BA225" s="3">
        <v>1</v>
      </c>
    </row>
    <row r="226" spans="1:55" s="1564" customFormat="1" ht="18.75">
      <c r="A226" s="1563">
        <v>1</v>
      </c>
      <c r="B226" s="5949">
        <v>3</v>
      </c>
      <c r="C226" s="1826" t="str">
        <f>ADDRESS(ROW(),COLUMN(),4)</f>
        <v>C226</v>
      </c>
      <c r="D226" s="1778" t="s">
        <v>3529</v>
      </c>
      <c r="E226" s="1871"/>
      <c r="F226" s="1872"/>
      <c r="G226" s="1873"/>
      <c r="H226" s="1874"/>
      <c r="I226" s="1563"/>
      <c r="J226" s="1563"/>
      <c r="K226" s="1563"/>
      <c r="L226" s="1563"/>
      <c r="M226" s="5931"/>
      <c r="N226" s="1864"/>
      <c r="O226" s="1865"/>
      <c r="P226" s="1865"/>
      <c r="Q226" s="1865"/>
      <c r="R226" s="1869">
        <f>R218*N226</f>
        <v>0</v>
      </c>
      <c r="S226" s="1870"/>
      <c r="T226" s="1867">
        <f t="shared" si="6"/>
        <v>0</v>
      </c>
      <c r="U226" s="1563"/>
      <c r="V226" s="1563"/>
      <c r="W226" s="1563"/>
      <c r="X226" s="1563"/>
      <c r="Y226" s="1563"/>
      <c r="Z226" s="1563"/>
      <c r="AA226" s="1563"/>
      <c r="AB226" s="1563"/>
      <c r="AC226" s="1563"/>
      <c r="AD226" s="1563"/>
      <c r="AE226" s="1563"/>
      <c r="AF226" s="1563"/>
      <c r="AG226" s="1563"/>
      <c r="AH226" s="1563"/>
      <c r="AI226" s="1563"/>
      <c r="AJ226" s="1563"/>
      <c r="AK226" s="1563"/>
      <c r="AL226" s="1563"/>
      <c r="AM226" s="1563"/>
      <c r="AN226" s="1563"/>
      <c r="AO226" s="1563"/>
      <c r="AP226" s="1563"/>
      <c r="AQ226" s="1563"/>
      <c r="AR226" s="1563"/>
      <c r="AS226" s="1563"/>
      <c r="AT226" s="1563"/>
      <c r="AU226" s="1563"/>
      <c r="AV226" s="1563"/>
      <c r="AW226" s="1563"/>
      <c r="AX226" s="1563"/>
      <c r="AY226" s="1563"/>
      <c r="AZ226" s="1563"/>
      <c r="BA226" s="3">
        <v>1</v>
      </c>
    </row>
    <row r="227" spans="1:55" s="1564" customFormat="1">
      <c r="A227" s="1563">
        <v>1</v>
      </c>
      <c r="B227" s="5949"/>
      <c r="C227" s="5951" t="s">
        <v>3549</v>
      </c>
      <c r="D227" s="5951"/>
      <c r="E227" s="1876" t="s">
        <v>3550</v>
      </c>
      <c r="F227" s="1875" t="s">
        <v>3551</v>
      </c>
      <c r="G227" s="5952" t="s">
        <v>50</v>
      </c>
      <c r="H227" s="5953"/>
      <c r="I227" s="1563"/>
      <c r="J227" s="1563"/>
      <c r="K227" s="1563"/>
      <c r="L227" s="1563"/>
      <c r="M227" s="5931"/>
      <c r="N227" s="1864"/>
      <c r="O227" s="1865"/>
      <c r="P227" s="1865"/>
      <c r="Q227" s="1865"/>
      <c r="R227" s="1869">
        <f>R218*N227</f>
        <v>0</v>
      </c>
      <c r="S227" s="1870"/>
      <c r="T227" s="1867">
        <f t="shared" si="6"/>
        <v>0</v>
      </c>
      <c r="U227" s="1563"/>
      <c r="V227" s="1563"/>
      <c r="W227" s="1563"/>
      <c r="X227" s="1563"/>
      <c r="Y227" s="1563"/>
      <c r="Z227" s="1563"/>
      <c r="AA227" s="1563"/>
      <c r="AB227" s="1563"/>
      <c r="AC227" s="1563"/>
      <c r="AD227" s="1563"/>
      <c r="AE227" s="1563"/>
      <c r="AF227" s="1563"/>
      <c r="AG227" s="1563"/>
      <c r="AH227" s="1563"/>
      <c r="AI227" s="1563"/>
      <c r="AJ227" s="1563"/>
      <c r="AK227" s="1563"/>
      <c r="AL227" s="1563"/>
      <c r="AM227" s="1563"/>
      <c r="AN227" s="1563"/>
      <c r="AO227" s="1563"/>
      <c r="AP227" s="1563"/>
      <c r="AQ227" s="1563"/>
      <c r="AR227" s="1563"/>
      <c r="AS227" s="1563"/>
      <c r="AT227" s="1563"/>
      <c r="AU227" s="1563"/>
      <c r="AV227" s="1563"/>
      <c r="AW227" s="1563"/>
      <c r="AX227" s="1563"/>
      <c r="AY227" s="1563"/>
      <c r="AZ227" s="1563"/>
      <c r="BA227" s="3">
        <v>1</v>
      </c>
    </row>
    <row r="228" spans="1:55" s="1564" customFormat="1">
      <c r="A228" s="1563">
        <v>1</v>
      </c>
      <c r="B228" s="5949"/>
      <c r="C228" s="5954">
        <v>20</v>
      </c>
      <c r="D228" s="5955">
        <f>C228/100</f>
        <v>0.2</v>
      </c>
      <c r="E228" s="1877" t="s">
        <v>3552</v>
      </c>
      <c r="F228" s="1878">
        <v>1</v>
      </c>
      <c r="G228" s="1879">
        <f>(C228*F228)*10</f>
        <v>200</v>
      </c>
      <c r="H228" s="1880">
        <f>G228/1000</f>
        <v>0.2</v>
      </c>
      <c r="I228" s="1563"/>
      <c r="J228" s="1563"/>
      <c r="K228" s="1563"/>
      <c r="L228" s="1563"/>
      <c r="M228" s="5931"/>
      <c r="N228" s="1881"/>
      <c r="O228" s="1882"/>
      <c r="P228" s="1882"/>
      <c r="Q228" s="1882"/>
      <c r="R228" s="1883">
        <f>R218*N228</f>
        <v>0</v>
      </c>
      <c r="S228" s="1884"/>
      <c r="T228" s="1885">
        <f t="shared" si="6"/>
        <v>0</v>
      </c>
      <c r="U228" s="1563"/>
      <c r="V228" s="1563"/>
      <c r="W228" s="1563"/>
      <c r="X228" s="1563"/>
      <c r="Y228" s="1563"/>
      <c r="Z228" s="1563"/>
      <c r="AA228" s="1563"/>
      <c r="AB228" s="1563"/>
      <c r="AC228" s="1563"/>
      <c r="AD228" s="1563"/>
      <c r="AE228" s="1563"/>
      <c r="AF228" s="1563"/>
      <c r="AG228" s="1563"/>
      <c r="AH228" s="1563"/>
      <c r="AI228" s="1563"/>
      <c r="AJ228" s="1563"/>
      <c r="AK228" s="1563"/>
      <c r="AL228" s="1563"/>
      <c r="AM228" s="1563"/>
      <c r="AN228" s="1563"/>
      <c r="AO228" s="1563"/>
      <c r="AP228" s="1563"/>
      <c r="AQ228" s="1563"/>
      <c r="AR228" s="1563"/>
      <c r="AS228" s="1563"/>
      <c r="AT228" s="1563"/>
      <c r="AU228" s="1563"/>
      <c r="AV228" s="1563"/>
      <c r="AW228" s="1563"/>
      <c r="AX228" s="1563"/>
      <c r="AY228" s="1563"/>
      <c r="AZ228" s="1563"/>
      <c r="BA228" s="3">
        <v>1</v>
      </c>
    </row>
    <row r="229" spans="1:55" s="1564" customFormat="1" ht="15.75" customHeight="1">
      <c r="A229" s="1563">
        <v>1</v>
      </c>
      <c r="B229" s="5949"/>
      <c r="C229" s="5954"/>
      <c r="D229" s="5955"/>
      <c r="E229" s="1877" t="s">
        <v>3553</v>
      </c>
      <c r="F229" s="1878">
        <v>1.03</v>
      </c>
      <c r="G229" s="1879">
        <f>(C228*F229)*10</f>
        <v>206</v>
      </c>
      <c r="H229" s="1880">
        <f>G229/1000</f>
        <v>0.20599999999999999</v>
      </c>
      <c r="I229" s="1563"/>
      <c r="J229" s="1563"/>
      <c r="K229" s="1563"/>
      <c r="L229" s="1563"/>
      <c r="M229" s="5931"/>
      <c r="N229" s="5963" t="s">
        <v>3554</v>
      </c>
      <c r="O229" s="5963"/>
      <c r="P229" s="5963"/>
      <c r="Q229" s="5963"/>
      <c r="R229" s="5963"/>
      <c r="S229" s="5963"/>
      <c r="T229" s="5964"/>
      <c r="U229" s="1563"/>
      <c r="V229" s="1563"/>
      <c r="W229" s="1563"/>
      <c r="X229" s="1563"/>
      <c r="Y229" s="1563"/>
      <c r="Z229" s="1563"/>
      <c r="AA229" s="1563"/>
      <c r="AB229" s="1563"/>
      <c r="AC229" s="1563"/>
      <c r="AD229" s="1563"/>
      <c r="AE229" s="1563"/>
      <c r="AF229" s="1563"/>
      <c r="AG229" s="1563"/>
      <c r="AH229" s="1563"/>
      <c r="AI229" s="1563"/>
      <c r="AJ229" s="1563"/>
      <c r="AK229" s="1563"/>
      <c r="AL229" s="1563"/>
      <c r="AM229" s="1563"/>
      <c r="AN229" s="1563"/>
      <c r="AO229" s="1563"/>
      <c r="AP229" s="1563"/>
      <c r="AQ229" s="1563"/>
      <c r="AR229" s="1563"/>
      <c r="AS229" s="1563"/>
      <c r="AT229" s="1563"/>
      <c r="AU229" s="1563"/>
      <c r="AV229" s="1563"/>
      <c r="AW229" s="1563"/>
      <c r="AX229" s="1563"/>
      <c r="AY229" s="1563"/>
      <c r="AZ229" s="1563"/>
      <c r="BA229" s="3">
        <v>1</v>
      </c>
    </row>
    <row r="230" spans="1:55" s="1564" customFormat="1">
      <c r="A230" s="1563">
        <v>1</v>
      </c>
      <c r="B230" s="5949"/>
      <c r="C230" s="5954"/>
      <c r="D230" s="5955"/>
      <c r="E230" s="1877" t="s">
        <v>3555</v>
      </c>
      <c r="F230" s="1878">
        <v>1.0149999999999999</v>
      </c>
      <c r="G230" s="1879">
        <f>(F230*C228)*10</f>
        <v>202.99999999999997</v>
      </c>
      <c r="H230" s="1880">
        <f>G230/1000</f>
        <v>0.20299999999999996</v>
      </c>
      <c r="I230" s="1563"/>
      <c r="J230" s="1563"/>
      <c r="K230" s="1563"/>
      <c r="L230" s="1563"/>
      <c r="M230" s="5931"/>
      <c r="N230" s="191"/>
      <c r="O230" s="191" t="s">
        <v>3556</v>
      </c>
      <c r="P230" s="1886"/>
      <c r="Q230" s="1887" t="s">
        <v>3557</v>
      </c>
      <c r="R230" s="1888"/>
      <c r="S230" s="1888"/>
      <c r="T230" s="1889"/>
      <c r="U230" s="1563"/>
      <c r="V230" s="1563"/>
      <c r="W230" s="1563"/>
      <c r="X230" s="1563"/>
      <c r="Y230" s="1563"/>
      <c r="Z230" s="1563"/>
      <c r="AA230" s="1563"/>
      <c r="AB230" s="1563"/>
      <c r="AC230" s="1563"/>
      <c r="AD230" s="1563"/>
      <c r="AE230" s="1563"/>
      <c r="AF230" s="1563"/>
      <c r="AG230" s="1563"/>
      <c r="AH230" s="1563"/>
      <c r="AI230" s="1563"/>
      <c r="AJ230" s="1563"/>
      <c r="AK230" s="1563"/>
      <c r="AL230" s="1563"/>
      <c r="AM230" s="1563"/>
      <c r="AN230" s="1563"/>
      <c r="AO230" s="1563"/>
      <c r="AP230" s="1563"/>
      <c r="AQ230" s="1563"/>
      <c r="AR230" s="1563"/>
      <c r="AS230" s="1563"/>
      <c r="AT230" s="1563"/>
      <c r="AU230" s="1563"/>
      <c r="AV230" s="1563"/>
      <c r="AW230" s="1563"/>
      <c r="AX230" s="1563"/>
      <c r="AY230" s="1563"/>
      <c r="AZ230" s="1563"/>
      <c r="BA230" s="3">
        <v>1</v>
      </c>
    </row>
    <row r="231" spans="1:55" s="1564" customFormat="1" ht="16.5" customHeight="1">
      <c r="A231" s="1563">
        <v>1</v>
      </c>
      <c r="B231" s="5949"/>
      <c r="C231" s="5954"/>
      <c r="D231" s="5955"/>
      <c r="E231" s="1877" t="s">
        <v>3558</v>
      </c>
      <c r="F231" s="1878">
        <v>0.92</v>
      </c>
      <c r="G231" s="1879">
        <f>(F231*C228)*10</f>
        <v>184.00000000000003</v>
      </c>
      <c r="H231" s="1880">
        <f>G231/1000</f>
        <v>0.18400000000000002</v>
      </c>
      <c r="I231" s="1563"/>
      <c r="J231" s="1563"/>
      <c r="K231" s="1563"/>
      <c r="L231" s="1563"/>
      <c r="M231" s="5931"/>
      <c r="N231" s="1886"/>
      <c r="O231" s="1886" t="s">
        <v>3559</v>
      </c>
      <c r="P231" s="1886"/>
      <c r="Q231" s="1886" t="s">
        <v>3560</v>
      </c>
      <c r="R231" s="1888"/>
      <c r="S231" s="1886" t="s">
        <v>3540</v>
      </c>
      <c r="T231" s="1889"/>
      <c r="U231" s="1563"/>
      <c r="V231" s="1563"/>
      <c r="W231" s="1563"/>
      <c r="X231" s="1563"/>
      <c r="Y231" s="1563"/>
      <c r="Z231" s="1563"/>
      <c r="AA231" s="1563"/>
      <c r="AB231" s="1563"/>
      <c r="AC231" s="1563"/>
      <c r="AD231" s="1563"/>
      <c r="AE231" s="1563"/>
      <c r="AF231" s="1563"/>
      <c r="AG231" s="1563"/>
      <c r="AH231" s="1563"/>
      <c r="AI231" s="1563"/>
      <c r="AJ231" s="1563"/>
      <c r="AK231" s="1563"/>
      <c r="AL231" s="1563"/>
      <c r="AM231" s="1563"/>
      <c r="AN231" s="1563"/>
      <c r="AO231" s="1563"/>
      <c r="AP231" s="1563"/>
      <c r="AQ231" s="1563"/>
      <c r="AR231" s="1563"/>
      <c r="AS231" s="1563"/>
      <c r="AT231" s="1563"/>
      <c r="AU231" s="1563"/>
      <c r="AV231" s="1563"/>
      <c r="AW231" s="1563"/>
      <c r="AX231" s="1563"/>
      <c r="AY231" s="1563"/>
      <c r="AZ231" s="1563"/>
      <c r="BA231" s="3">
        <v>1</v>
      </c>
    </row>
    <row r="232" spans="1:55">
      <c r="A232" s="1563">
        <v>1</v>
      </c>
      <c r="B232" s="5949"/>
      <c r="C232" s="5954"/>
      <c r="D232" s="5955"/>
      <c r="E232" s="1877" t="s">
        <v>3561</v>
      </c>
      <c r="F232" s="1878">
        <v>0.8</v>
      </c>
      <c r="G232" s="1879">
        <f>(F232*C228)*10</f>
        <v>160</v>
      </c>
      <c r="H232" s="1880">
        <f>G232/1000</f>
        <v>0.16</v>
      </c>
      <c r="I232" s="1563"/>
      <c r="J232" s="1563"/>
      <c r="K232" s="1563"/>
      <c r="L232" s="1563"/>
      <c r="M232" s="5931"/>
      <c r="N232" s="1619">
        <v>10</v>
      </c>
      <c r="O232" s="1619">
        <v>10</v>
      </c>
      <c r="P232" s="1619">
        <v>10</v>
      </c>
      <c r="Q232" s="1619">
        <v>10</v>
      </c>
      <c r="R232" s="1619">
        <v>13</v>
      </c>
      <c r="S232" s="1619">
        <v>8</v>
      </c>
      <c r="T232" s="1620">
        <v>13</v>
      </c>
      <c r="U232" s="1563"/>
      <c r="V232" s="1563"/>
      <c r="W232" s="1563"/>
      <c r="X232" s="1563"/>
      <c r="Y232" s="1563"/>
      <c r="Z232" s="1563"/>
      <c r="AA232" s="1563"/>
      <c r="AB232" s="1563"/>
      <c r="AC232" s="1563"/>
      <c r="AD232" s="1563"/>
      <c r="AE232" s="1563"/>
      <c r="AF232" s="1563"/>
      <c r="AG232" s="1563"/>
      <c r="AH232" s="1563"/>
      <c r="AI232" s="1563"/>
      <c r="AJ232" s="1563"/>
      <c r="AK232" s="1563"/>
      <c r="AL232" s="1563"/>
      <c r="AM232" s="1563"/>
      <c r="AN232" s="1563"/>
      <c r="AO232" s="1563"/>
      <c r="AP232" s="1563"/>
      <c r="AQ232" s="1563"/>
      <c r="AR232" s="1563"/>
      <c r="AS232" s="1563"/>
      <c r="AT232" s="1563"/>
      <c r="AU232" s="1563"/>
      <c r="AV232" s="1563"/>
      <c r="AW232" s="1563"/>
      <c r="AX232" s="1563"/>
      <c r="AY232" s="1563"/>
      <c r="AZ232" s="1563"/>
      <c r="BA232" s="3">
        <v>1</v>
      </c>
      <c r="BB232" s="1564"/>
      <c r="BC232" s="1564"/>
    </row>
    <row r="233" spans="1:55" ht="16.5" thickBot="1">
      <c r="A233" s="1563">
        <v>1</v>
      </c>
      <c r="B233" s="5949"/>
      <c r="C233" s="5929" t="s">
        <v>3562</v>
      </c>
      <c r="D233" s="5929"/>
      <c r="E233" s="5929"/>
      <c r="F233" s="5929"/>
      <c r="G233" s="5929"/>
      <c r="H233" s="5930"/>
      <c r="I233" s="1563"/>
      <c r="J233" s="1563"/>
      <c r="K233" s="1563"/>
      <c r="L233" s="1563"/>
      <c r="M233" s="5932"/>
      <c r="N233" s="1107">
        <f ca="1">CELL("largeur",N233)</f>
        <v>16</v>
      </c>
      <c r="O233" s="1107">
        <f t="shared" ref="O233:T233" ca="1" si="8">CELL("largeur",O233)</f>
        <v>16</v>
      </c>
      <c r="P233" s="1107">
        <f t="shared" ca="1" si="8"/>
        <v>16</v>
      </c>
      <c r="Q233" s="1107">
        <f t="shared" ca="1" si="8"/>
        <v>11</v>
      </c>
      <c r="R233" s="1107">
        <f t="shared" ca="1" si="8"/>
        <v>11</v>
      </c>
      <c r="S233" s="1107">
        <f ca="1">CELL("largeur",S233)</f>
        <v>11</v>
      </c>
      <c r="T233" s="1108">
        <f t="shared" ca="1" si="8"/>
        <v>11</v>
      </c>
      <c r="U233" s="1563"/>
      <c r="V233" s="1563"/>
      <c r="W233" s="1563"/>
      <c r="X233" s="1563"/>
      <c r="Y233" s="1563"/>
      <c r="Z233" s="1563"/>
      <c r="AA233" s="1563"/>
      <c r="AB233" s="1563"/>
      <c r="AC233" s="1563"/>
      <c r="AD233" s="1563"/>
      <c r="AE233" s="1563"/>
      <c r="AF233" s="1563"/>
      <c r="AG233" s="1563"/>
      <c r="AH233" s="1563"/>
      <c r="AI233" s="1563"/>
      <c r="AJ233" s="1563"/>
      <c r="AK233" s="1563"/>
      <c r="AL233" s="1563"/>
      <c r="AM233" s="1563"/>
      <c r="AN233" s="1563"/>
      <c r="AO233" s="1563"/>
      <c r="AP233" s="1563"/>
      <c r="AQ233" s="1563"/>
      <c r="AR233" s="1563"/>
      <c r="AS233" s="1563"/>
      <c r="AT233" s="1563"/>
      <c r="AU233" s="1563"/>
      <c r="AV233" s="1563"/>
      <c r="AW233" s="1563"/>
      <c r="AX233" s="1563"/>
      <c r="AY233" s="1563"/>
      <c r="AZ233" s="1563"/>
      <c r="BA233" s="3">
        <v>1</v>
      </c>
      <c r="BB233" s="1564"/>
      <c r="BC233" s="1564"/>
    </row>
    <row r="234" spans="1:55">
      <c r="A234" s="1563">
        <v>1</v>
      </c>
      <c r="B234" s="5949"/>
      <c r="C234" s="1619">
        <v>8</v>
      </c>
      <c r="D234" s="1619">
        <v>9</v>
      </c>
      <c r="E234" s="1619">
        <v>11</v>
      </c>
      <c r="F234" s="1619">
        <v>11</v>
      </c>
      <c r="G234" s="1619">
        <v>11</v>
      </c>
      <c r="H234" s="1890">
        <v>11</v>
      </c>
      <c r="I234" s="1563"/>
      <c r="J234" s="1563"/>
      <c r="K234" s="1563"/>
      <c r="L234" s="1563"/>
      <c r="M234" s="1563"/>
      <c r="N234" s="1563"/>
      <c r="O234" s="1563"/>
      <c r="P234" s="1563"/>
      <c r="Q234" s="1563"/>
      <c r="R234" s="1563"/>
      <c r="S234" s="1563"/>
      <c r="T234" s="1563"/>
      <c r="U234" s="1563"/>
      <c r="V234" s="1563"/>
      <c r="W234" s="1563"/>
      <c r="X234" s="1563"/>
      <c r="Y234" s="1563"/>
      <c r="Z234" s="1563"/>
      <c r="AA234" s="1563"/>
      <c r="AB234" s="1563"/>
      <c r="AC234" s="1563"/>
      <c r="AD234" s="1563"/>
      <c r="AE234" s="1563"/>
      <c r="AF234" s="1563"/>
      <c r="AG234" s="1563"/>
      <c r="AH234" s="1563"/>
      <c r="AI234" s="1563"/>
      <c r="AJ234" s="1563"/>
      <c r="AK234" s="1563"/>
      <c r="AL234" s="1563"/>
      <c r="AM234" s="1563"/>
      <c r="AN234" s="1563"/>
      <c r="AO234" s="1563"/>
      <c r="AP234" s="1563"/>
      <c r="AQ234" s="1563"/>
      <c r="AR234" s="1563"/>
      <c r="AS234" s="1563"/>
      <c r="AT234" s="1563"/>
      <c r="AU234" s="1563"/>
      <c r="AV234" s="1563"/>
      <c r="AW234" s="1563"/>
      <c r="AX234" s="1563"/>
      <c r="AY234" s="1563"/>
      <c r="AZ234" s="1563"/>
      <c r="BA234" s="3">
        <v>1</v>
      </c>
      <c r="BB234" s="1564"/>
      <c r="BC234" s="1564"/>
    </row>
    <row r="235" spans="1:55" ht="16.5" thickBot="1">
      <c r="A235" s="1563">
        <v>1</v>
      </c>
      <c r="B235" s="5950"/>
      <c r="C235" s="1107">
        <f t="shared" ref="C235:H235" ca="1" si="9">CELL("largeur",C235)</f>
        <v>13</v>
      </c>
      <c r="D235" s="1107">
        <f t="shared" ca="1" si="9"/>
        <v>21</v>
      </c>
      <c r="E235" s="1107">
        <f t="shared" ca="1" si="9"/>
        <v>13</v>
      </c>
      <c r="F235" s="1107">
        <f t="shared" ca="1" si="9"/>
        <v>13</v>
      </c>
      <c r="G235" s="1107">
        <f t="shared" ca="1" si="9"/>
        <v>13</v>
      </c>
      <c r="H235" s="1891">
        <f t="shared" ca="1" si="9"/>
        <v>13</v>
      </c>
      <c r="I235" s="1563"/>
      <c r="J235" s="1563"/>
      <c r="K235" s="1563"/>
      <c r="L235" s="1563"/>
      <c r="M235" s="1563"/>
      <c r="N235" s="1563"/>
      <c r="O235" s="1563"/>
      <c r="P235" s="1563"/>
      <c r="Q235" s="1563"/>
      <c r="R235" s="1563"/>
      <c r="S235" s="1563"/>
      <c r="T235" s="1563"/>
      <c r="U235" s="1563"/>
      <c r="AZ235" s="1563"/>
      <c r="BA235" s="3">
        <v>1</v>
      </c>
      <c r="BB235" s="1564"/>
      <c r="BC235" s="1564"/>
    </row>
    <row r="236" spans="1:55">
      <c r="A236" s="1563">
        <v>1</v>
      </c>
      <c r="B236" s="1563">
        <v>1</v>
      </c>
      <c r="C236" s="1563">
        <v>1</v>
      </c>
      <c r="D236" s="1563">
        <v>1</v>
      </c>
      <c r="E236" s="1563">
        <v>1</v>
      </c>
      <c r="F236" s="1563">
        <v>1</v>
      </c>
      <c r="G236" s="1563">
        <v>1</v>
      </c>
      <c r="H236" s="1563">
        <v>1</v>
      </c>
      <c r="I236" s="1563"/>
      <c r="J236" s="1563"/>
      <c r="K236" s="1563"/>
      <c r="L236" s="1563"/>
      <c r="M236" s="1563"/>
      <c r="N236" s="1563"/>
      <c r="O236" s="1563"/>
      <c r="P236" s="1563"/>
      <c r="Q236" s="1563"/>
      <c r="R236" s="1563"/>
      <c r="S236" s="1563"/>
      <c r="T236" s="1563"/>
      <c r="U236" s="1563"/>
      <c r="AZ236" s="1563"/>
      <c r="BA236" s="1892" t="s">
        <v>823</v>
      </c>
      <c r="BB236" s="1564"/>
      <c r="BC236" s="1564"/>
    </row>
    <row r="237" spans="1:55">
      <c r="A237" s="3">
        <v>1</v>
      </c>
      <c r="B237" s="3">
        <v>1</v>
      </c>
      <c r="C237" s="3">
        <v>1</v>
      </c>
      <c r="D237" s="3">
        <v>1</v>
      </c>
      <c r="E237" s="3">
        <v>1</v>
      </c>
      <c r="F237" s="3">
        <v>1</v>
      </c>
      <c r="G237" s="3">
        <v>1</v>
      </c>
      <c r="H237" s="3">
        <v>1</v>
      </c>
      <c r="I237" s="3">
        <v>1</v>
      </c>
      <c r="J237" s="3">
        <v>1</v>
      </c>
      <c r="K237" s="3">
        <v>1</v>
      </c>
      <c r="L237" s="3">
        <v>1</v>
      </c>
      <c r="M237" s="3">
        <v>1</v>
      </c>
      <c r="N237" s="3">
        <v>1</v>
      </c>
      <c r="O237" s="3">
        <v>1</v>
      </c>
      <c r="P237" s="3">
        <v>1</v>
      </c>
      <c r="Q237" s="3">
        <v>1</v>
      </c>
      <c r="R237" s="3">
        <v>1</v>
      </c>
      <c r="S237" s="3">
        <v>1</v>
      </c>
      <c r="T237" s="3">
        <v>1</v>
      </c>
      <c r="U237" s="3">
        <v>1</v>
      </c>
      <c r="V237" s="3">
        <v>1</v>
      </c>
      <c r="W237" s="3">
        <v>1</v>
      </c>
      <c r="X237" s="3">
        <v>1</v>
      </c>
      <c r="Y237" s="3">
        <v>1</v>
      </c>
      <c r="Z237" s="3">
        <v>1</v>
      </c>
      <c r="AA237" s="3">
        <v>1</v>
      </c>
      <c r="AB237" s="3">
        <v>1</v>
      </c>
      <c r="AC237" s="3">
        <v>1</v>
      </c>
      <c r="AD237" s="3">
        <v>1</v>
      </c>
      <c r="AE237" s="3">
        <v>1</v>
      </c>
      <c r="AF237" s="3">
        <v>1</v>
      </c>
      <c r="AG237" s="3">
        <v>1</v>
      </c>
      <c r="AH237" s="3">
        <v>1</v>
      </c>
      <c r="AI237" s="3">
        <v>1</v>
      </c>
      <c r="AJ237" s="3">
        <v>1</v>
      </c>
      <c r="AK237" s="3">
        <v>1</v>
      </c>
      <c r="AL237" s="3">
        <v>1</v>
      </c>
      <c r="AM237" s="3">
        <v>1</v>
      </c>
      <c r="AN237" s="3">
        <v>1</v>
      </c>
      <c r="AO237" s="3">
        <v>1</v>
      </c>
      <c r="AP237" s="3">
        <v>1</v>
      </c>
      <c r="AQ237" s="3">
        <v>1</v>
      </c>
      <c r="AR237" s="3">
        <v>1</v>
      </c>
      <c r="AS237" s="3">
        <v>1</v>
      </c>
      <c r="AT237" s="3">
        <v>1</v>
      </c>
      <c r="AU237" s="3">
        <v>1</v>
      </c>
      <c r="AV237" s="3">
        <v>1</v>
      </c>
      <c r="AW237" s="3">
        <v>1</v>
      </c>
      <c r="AX237" s="3">
        <v>1</v>
      </c>
      <c r="AY237" s="3">
        <v>1</v>
      </c>
      <c r="AZ237" s="3">
        <v>1</v>
      </c>
      <c r="BA237" s="1893" t="str">
        <f>ADDRESS(ROW(),COLUMN(),4)</f>
        <v>BA237</v>
      </c>
      <c r="BB237" s="1564"/>
      <c r="BC237" s="1564"/>
    </row>
  </sheetData>
  <mergeCells count="61">
    <mergeCell ref="N229:T229"/>
    <mergeCell ref="O81:U81"/>
    <mergeCell ref="V28:Y28"/>
    <mergeCell ref="AI28:AL28"/>
    <mergeCell ref="O67:S67"/>
    <mergeCell ref="N68:N77"/>
    <mergeCell ref="O74:S75"/>
    <mergeCell ref="O80:U80"/>
    <mergeCell ref="T215:T216"/>
    <mergeCell ref="C221:K221"/>
    <mergeCell ref="C225:H225"/>
    <mergeCell ref="O95:O96"/>
    <mergeCell ref="P95:P96"/>
    <mergeCell ref="O98:O99"/>
    <mergeCell ref="C233:H233"/>
    <mergeCell ref="B197:B209"/>
    <mergeCell ref="C207:K207"/>
    <mergeCell ref="N211:T211"/>
    <mergeCell ref="B212:B223"/>
    <mergeCell ref="M212:M233"/>
    <mergeCell ref="N213:O214"/>
    <mergeCell ref="P213:T214"/>
    <mergeCell ref="N215:N216"/>
    <mergeCell ref="O215:O216"/>
    <mergeCell ref="P215:S216"/>
    <mergeCell ref="B226:B235"/>
    <mergeCell ref="C227:D227"/>
    <mergeCell ref="G227:H227"/>
    <mergeCell ref="C228:C232"/>
    <mergeCell ref="D228:D232"/>
    <mergeCell ref="B160:B161"/>
    <mergeCell ref="C160:F160"/>
    <mergeCell ref="B162:B194"/>
    <mergeCell ref="C162:H162"/>
    <mergeCell ref="C182:H183"/>
    <mergeCell ref="C185:H185"/>
    <mergeCell ref="B130:B131"/>
    <mergeCell ref="C130:F130"/>
    <mergeCell ref="B132:B158"/>
    <mergeCell ref="C132:H132"/>
    <mergeCell ref="F135:H135"/>
    <mergeCell ref="C146:H147"/>
    <mergeCell ref="C149:H149"/>
    <mergeCell ref="B99:B100"/>
    <mergeCell ref="C99:F99"/>
    <mergeCell ref="B101:B127"/>
    <mergeCell ref="C101:H101"/>
    <mergeCell ref="F104:H104"/>
    <mergeCell ref="C115:H116"/>
    <mergeCell ref="C118:H118"/>
    <mergeCell ref="B34:B35"/>
    <mergeCell ref="C34:H34"/>
    <mergeCell ref="B36:B93"/>
    <mergeCell ref="C41:H42"/>
    <mergeCell ref="D47:H48"/>
    <mergeCell ref="D50:H51"/>
    <mergeCell ref="D53:H54"/>
    <mergeCell ref="D56:H57"/>
    <mergeCell ref="D59:H60"/>
    <mergeCell ref="C63:H64"/>
    <mergeCell ref="C68:H69"/>
  </mergeCells>
  <conditionalFormatting sqref="B225">
    <cfRule type="expression" dxfId="41" priority="1" stopIfTrue="1">
      <formula>OR(ROW()=CELL("ligne"),COLUMN()=CELL("colonne"))</formula>
    </cfRule>
  </conditionalFormatting>
  <conditionalFormatting sqref="E106 E112">
    <cfRule type="cellIs" dxfId="40" priority="20" operator="equal">
      <formula>#REF!</formula>
    </cfRule>
    <cfRule type="cellIs" dxfId="39" priority="21" operator="equal">
      <formula>#REF!</formula>
    </cfRule>
  </conditionalFormatting>
  <conditionalFormatting sqref="E106">
    <cfRule type="cellIs" dxfId="38" priority="18" operator="equal">
      <formula>#REF!</formula>
    </cfRule>
    <cfRule type="cellIs" dxfId="37" priority="19" operator="equal">
      <formula>#REF!</formula>
    </cfRule>
  </conditionalFormatting>
  <conditionalFormatting sqref="E137 E143">
    <cfRule type="cellIs" dxfId="36" priority="12" operator="equal">
      <formula>#REF!</formula>
    </cfRule>
    <cfRule type="cellIs" dxfId="35" priority="13" operator="equal">
      <formula>#REF!</formula>
    </cfRule>
  </conditionalFormatting>
  <conditionalFormatting sqref="E137">
    <cfRule type="cellIs" dxfId="34" priority="10" operator="equal">
      <formula>#REF!</formula>
    </cfRule>
    <cfRule type="cellIs" dxfId="33" priority="11" operator="equal">
      <formula>#REF!</formula>
    </cfRule>
  </conditionalFormatting>
  <conditionalFormatting sqref="G106">
    <cfRule type="cellIs" dxfId="32" priority="16" operator="equal">
      <formula>#REF!</formula>
    </cfRule>
    <cfRule type="cellIs" dxfId="31" priority="17" operator="equal">
      <formula>#REF!</formula>
    </cfRule>
  </conditionalFormatting>
  <conditionalFormatting sqref="G172">
    <cfRule type="cellIs" dxfId="30" priority="2" operator="equal">
      <formula>#REF!</formula>
    </cfRule>
    <cfRule type="cellIs" dxfId="29" priority="3" operator="equal">
      <formula>#REF!</formula>
    </cfRule>
  </conditionalFormatting>
  <conditionalFormatting sqref="I96:I97">
    <cfRule type="cellIs" dxfId="28" priority="14" operator="equal">
      <formula>#REF!</formula>
    </cfRule>
    <cfRule type="cellIs" dxfId="27" priority="15" operator="equal">
      <formula>#REF!</formula>
    </cfRule>
  </conditionalFormatting>
  <conditionalFormatting sqref="J106">
    <cfRule type="cellIs" dxfId="26" priority="8" operator="equal">
      <formula>#REF!</formula>
    </cfRule>
    <cfRule type="cellIs" dxfId="25" priority="9" operator="equal">
      <formula>#REF!</formula>
    </cfRule>
  </conditionalFormatting>
  <conditionalFormatting sqref="J112">
    <cfRule type="cellIs" dxfId="24" priority="6" operator="equal">
      <formula>#REF!</formula>
    </cfRule>
    <cfRule type="cellIs" dxfId="23" priority="7" operator="equal">
      <formula>#REF!</formula>
    </cfRule>
  </conditionalFormatting>
  <conditionalFormatting sqref="J143">
    <cfRule type="cellIs" dxfId="22" priority="4" operator="equal">
      <formula>#REF!</formula>
    </cfRule>
    <cfRule type="cellIs" dxfId="21" priority="5" operator="equal">
      <formula>#REF!</formula>
    </cfRule>
  </conditionalFormatting>
  <hyperlinks>
    <hyperlink ref="D85" r:id="rId1" xr:uid="{08E7884F-6E54-46A7-BAF6-BDE72C91409D}"/>
    <hyperlink ref="D87" r:id="rId2" xr:uid="{323460DE-39A9-47AF-9509-940965EE32A2}"/>
    <hyperlink ref="F87" r:id="rId3" xr:uid="{95CAACA9-B29B-4023-A1FF-14BA52A47B26}"/>
    <hyperlink ref="F85" r:id="rId4" xr:uid="{16495E36-FF41-49CD-B04D-F629413511BB}"/>
    <hyperlink ref="D92" r:id="rId5" xr:uid="{D350A946-ED20-4EE1-904A-33DD7DBF85BF}"/>
    <hyperlink ref="R53" r:id="rId6" xr:uid="{A0E0D7FF-90D8-40DF-937C-3CFD71F5278A}"/>
    <hyperlink ref="Q65" r:id="rId7" xr:uid="{5EEE5141-DD0A-40BB-BEE3-60F45B9A9148}"/>
    <hyperlink ref="F22" r:id="rId8" xr:uid="{CD592E03-C326-4670-8737-5AF919535B00}"/>
    <hyperlink ref="F24" r:id="rId9" xr:uid="{3BAA1597-4C64-4B19-822C-340DEF85D700}"/>
    <hyperlink ref="J20" r:id="rId10" xr:uid="{9F620B7C-FB39-4E02-84E9-2858E4408E79}"/>
    <hyperlink ref="O80" r:id="rId11" xr:uid="{38685967-DDB3-4297-9BC9-E399237CF14C}"/>
    <hyperlink ref="O81" r:id="rId12" xr:uid="{9592E851-6C06-4790-8A9F-FC76FE99F2C2}"/>
  </hyperlinks>
  <pageMargins left="0.7" right="0.7" top="0.75" bottom="0.75" header="0.3" footer="0.3"/>
  <pageSetup paperSize="9" orientation="portrait" r:id="rId13"/>
  <drawing r:id="rId14"/>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20844B-ED1B-4D51-B3BC-0ABC8A20E634}">
  <dimension ref="A1:AC196"/>
  <sheetViews>
    <sheetView zoomScaleNormal="100" workbookViewId="0">
      <selection activeCell="G4" sqref="G4"/>
    </sheetView>
  </sheetViews>
  <sheetFormatPr baseColWidth="10" defaultRowHeight="15"/>
  <cols>
    <col min="2" max="2" width="37" customWidth="1"/>
    <col min="3" max="3" width="15.28515625" style="2069" customWidth="1"/>
    <col min="4" max="4" width="47.28515625" style="2069" customWidth="1"/>
    <col min="6" max="6" width="38" customWidth="1"/>
    <col min="7" max="7" width="71.42578125" customWidth="1"/>
    <col min="8" max="8" width="35.7109375" customWidth="1"/>
    <col min="9" max="9" width="3.7109375" customWidth="1"/>
    <col min="10" max="10" width="35.7109375" customWidth="1"/>
    <col min="11" max="11" width="3.7109375" customWidth="1"/>
    <col min="12" max="12" width="35.7109375" customWidth="1"/>
    <col min="13" max="13" width="3.7109375" customWidth="1"/>
    <col min="14" max="14" width="35.7109375" customWidth="1"/>
    <col min="15" max="15" width="3.7109375" customWidth="1"/>
    <col min="16" max="16" width="35.7109375" customWidth="1"/>
    <col min="17" max="17" width="3.7109375" customWidth="1"/>
    <col min="18" max="18" width="35.7109375" customWidth="1"/>
    <col min="19" max="19" width="3.7109375" customWidth="1"/>
    <col min="20" max="20" width="35.7109375" customWidth="1"/>
    <col min="21" max="21" width="3.7109375" customWidth="1"/>
    <col min="22" max="22" width="35.7109375" customWidth="1"/>
    <col min="23" max="23" width="3.7109375" customWidth="1"/>
    <col min="24" max="24" width="35.7109375" customWidth="1"/>
    <col min="25" max="25" width="3.7109375" customWidth="1"/>
    <col min="26" max="26" width="35.7109375" customWidth="1"/>
    <col min="27" max="28" width="11.7109375" customWidth="1"/>
  </cols>
  <sheetData>
    <row r="1" spans="1:29" ht="15.75">
      <c r="AA1" s="1964"/>
    </row>
    <row r="2" spans="1:29" s="2072" customFormat="1" ht="33.75">
      <c r="A2" s="2070"/>
      <c r="B2" s="2071" t="s">
        <v>8584</v>
      </c>
      <c r="C2" s="2071"/>
      <c r="D2" s="2071"/>
      <c r="E2" s="2071"/>
      <c r="F2" s="2071"/>
      <c r="G2" s="2071"/>
      <c r="H2" s="2071"/>
      <c r="I2" s="2071"/>
      <c r="J2" s="2071"/>
      <c r="K2" s="2071"/>
      <c r="L2" s="2071"/>
      <c r="M2" s="2071"/>
      <c r="N2" s="2071"/>
      <c r="O2" s="2071"/>
      <c r="P2" s="2071"/>
      <c r="Q2" s="2071"/>
      <c r="R2" s="2071"/>
      <c r="S2" s="2071"/>
      <c r="T2" s="2071"/>
      <c r="U2" s="2071"/>
      <c r="V2" s="2071"/>
      <c r="W2" s="2071"/>
      <c r="X2" s="2071"/>
      <c r="Y2" s="2071"/>
      <c r="Z2" s="2071"/>
      <c r="AA2" s="1964"/>
      <c r="AB2"/>
      <c r="AC2"/>
    </row>
    <row r="3" spans="1:29" ht="15.75">
      <c r="AA3" s="1964"/>
    </row>
    <row r="4" spans="1:29" ht="18.75">
      <c r="B4" s="2073" t="s">
        <v>8585</v>
      </c>
      <c r="C4" s="2074"/>
      <c r="D4" s="2074" t="s">
        <v>8586</v>
      </c>
      <c r="F4" s="2075" t="s">
        <v>8587</v>
      </c>
      <c r="G4" s="5305" t="str">
        <f>IF(ISNUMBER(IFERROR(VALUE("0,5"),"")),"sur cet ordi.saisissez une VIRGULE comme séparateur décimal",IF(ISNUMBER(IFERROR(VALUE("0.5"),"")),"sur cet ordi.saisissez un POINT comme séparateur décimal","Impossible de déterminer le séparateur décimal"))</f>
        <v>sur cet ordi.saisissez un POINT comme séparateur décimal</v>
      </c>
      <c r="H4" s="2076" t="s">
        <v>8588</v>
      </c>
      <c r="J4" s="2076" t="s">
        <v>8589</v>
      </c>
      <c r="L4" s="2076" t="s">
        <v>8590</v>
      </c>
      <c r="N4" s="2076" t="s">
        <v>8591</v>
      </c>
      <c r="P4" s="2076" t="s">
        <v>8592</v>
      </c>
      <c r="R4" s="2076" t="s">
        <v>8593</v>
      </c>
      <c r="T4" s="2076" t="s">
        <v>3558</v>
      </c>
      <c r="V4" s="2076" t="s">
        <v>8594</v>
      </c>
      <c r="X4" s="2076" t="s">
        <v>8595</v>
      </c>
      <c r="Z4" s="2076" t="s">
        <v>8596</v>
      </c>
      <c r="AA4" s="1964"/>
    </row>
    <row r="5" spans="1:29" ht="15.75">
      <c r="B5" s="2073" t="s">
        <v>8597</v>
      </c>
      <c r="C5" s="2074"/>
      <c r="D5" s="2074" t="s">
        <v>8598</v>
      </c>
      <c r="F5" s="2077" t="s">
        <v>8599</v>
      </c>
      <c r="G5" s="2078" t="s">
        <v>8600</v>
      </c>
      <c r="H5" s="2079" t="s">
        <v>8601</v>
      </c>
      <c r="J5" s="2079" t="s">
        <v>8601</v>
      </c>
      <c r="L5" s="2079" t="s">
        <v>8602</v>
      </c>
      <c r="N5" s="2079" t="s">
        <v>8603</v>
      </c>
      <c r="P5" s="2079" t="s">
        <v>8602</v>
      </c>
      <c r="R5" s="2079" t="s">
        <v>8602</v>
      </c>
      <c r="T5" s="2079" t="s">
        <v>8602</v>
      </c>
      <c r="V5" s="2079" t="s">
        <v>8602</v>
      </c>
      <c r="X5" s="2079" t="s">
        <v>8602</v>
      </c>
      <c r="Z5" s="2079" t="s">
        <v>8604</v>
      </c>
      <c r="AA5" s="1964"/>
    </row>
    <row r="6" spans="1:29" ht="15.75">
      <c r="B6" s="2073" t="s">
        <v>8605</v>
      </c>
      <c r="C6" s="2074"/>
      <c r="D6" s="2074" t="s">
        <v>8606</v>
      </c>
      <c r="F6" s="2080" t="s">
        <v>8607</v>
      </c>
      <c r="G6" t="s">
        <v>8608</v>
      </c>
      <c r="H6" s="2080" t="s">
        <v>8609</v>
      </c>
      <c r="J6" s="2080" t="s">
        <v>8610</v>
      </c>
      <c r="L6" s="2080" t="s">
        <v>8611</v>
      </c>
      <c r="N6" s="2080" t="s">
        <v>8612</v>
      </c>
      <c r="P6" s="2080" t="s">
        <v>8613</v>
      </c>
      <c r="R6" s="2080" t="s">
        <v>8614</v>
      </c>
      <c r="T6" s="2080" t="s">
        <v>8615</v>
      </c>
      <c r="V6" s="2080" t="s">
        <v>8616</v>
      </c>
      <c r="X6" s="2080" t="s">
        <v>8617</v>
      </c>
      <c r="Z6" s="2080" t="s">
        <v>8618</v>
      </c>
      <c r="AA6" s="1964"/>
    </row>
    <row r="7" spans="1:29" ht="15.75">
      <c r="D7" s="2074"/>
      <c r="F7" s="2080" t="s">
        <v>8619</v>
      </c>
      <c r="G7" t="s">
        <v>8620</v>
      </c>
      <c r="H7" s="2081"/>
      <c r="J7" s="2080"/>
      <c r="L7" s="2080" t="s">
        <v>8621</v>
      </c>
      <c r="N7" s="2080" t="s">
        <v>8622</v>
      </c>
      <c r="P7" s="2081"/>
      <c r="R7" s="2081"/>
      <c r="T7" s="2081"/>
      <c r="V7" s="2081"/>
      <c r="X7" s="2081"/>
      <c r="Z7" s="2080" t="s">
        <v>8623</v>
      </c>
      <c r="AA7" s="1964"/>
    </row>
    <row r="8" spans="1:29" ht="15.75">
      <c r="B8" s="2073" t="s">
        <v>8624</v>
      </c>
      <c r="C8" s="2074" t="s">
        <v>8625</v>
      </c>
      <c r="D8" s="2073" t="s">
        <v>8626</v>
      </c>
      <c r="H8" s="2079" t="s">
        <v>8602</v>
      </c>
      <c r="J8" s="2079" t="s">
        <v>8602</v>
      </c>
      <c r="L8" s="2081"/>
      <c r="N8" s="2081"/>
      <c r="P8" s="2079" t="s">
        <v>8603</v>
      </c>
      <c r="R8" s="2079" t="s">
        <v>8603</v>
      </c>
      <c r="T8" s="2079" t="s">
        <v>8603</v>
      </c>
      <c r="V8" s="2079" t="s">
        <v>8603</v>
      </c>
      <c r="X8" s="2079" t="s">
        <v>8603</v>
      </c>
      <c r="Z8" s="2082"/>
      <c r="AA8" s="1964"/>
    </row>
    <row r="9" spans="1:29" ht="15.75">
      <c r="B9" s="2073" t="s">
        <v>8627</v>
      </c>
      <c r="C9" s="2074" t="s">
        <v>8628</v>
      </c>
      <c r="D9" s="2073" t="s">
        <v>8629</v>
      </c>
      <c r="F9" s="2077" t="s">
        <v>8630</v>
      </c>
      <c r="G9" s="2078" t="s">
        <v>8631</v>
      </c>
      <c r="H9" s="2080" t="s">
        <v>8632</v>
      </c>
      <c r="J9" s="2080" t="s">
        <v>8633</v>
      </c>
      <c r="L9" s="2079" t="s">
        <v>8603</v>
      </c>
      <c r="N9" s="2079" t="s">
        <v>8634</v>
      </c>
      <c r="P9" s="2080" t="s">
        <v>8635</v>
      </c>
      <c r="R9" s="2080" t="s">
        <v>8636</v>
      </c>
      <c r="T9" s="2080" t="s">
        <v>8637</v>
      </c>
      <c r="V9" s="2080" t="s">
        <v>8638</v>
      </c>
      <c r="X9" s="2080" t="s">
        <v>8639</v>
      </c>
      <c r="Z9" s="2082"/>
      <c r="AA9" s="1964"/>
    </row>
    <row r="10" spans="1:29" ht="15.75">
      <c r="C10" s="988"/>
      <c r="F10" s="2080" t="s">
        <v>8640</v>
      </c>
      <c r="G10" t="s">
        <v>8641</v>
      </c>
      <c r="H10" s="2080" t="s">
        <v>8642</v>
      </c>
      <c r="J10" s="2080" t="s">
        <v>8643</v>
      </c>
      <c r="L10" s="2080" t="s">
        <v>8644</v>
      </c>
      <c r="N10" s="2080" t="s">
        <v>8645</v>
      </c>
      <c r="P10" s="2081"/>
      <c r="R10" s="2081"/>
      <c r="T10" s="2081"/>
      <c r="V10" s="2081"/>
      <c r="X10" s="2081"/>
      <c r="Z10" s="2081"/>
      <c r="AA10" s="1964"/>
    </row>
    <row r="11" spans="1:29" ht="15.75">
      <c r="B11" s="2073" t="s">
        <v>8646</v>
      </c>
      <c r="C11" s="2074"/>
      <c r="D11" s="2073" t="s">
        <v>8647</v>
      </c>
      <c r="F11" s="2080" t="s">
        <v>8648</v>
      </c>
      <c r="G11" t="s">
        <v>8649</v>
      </c>
      <c r="H11" s="2081"/>
      <c r="J11" s="2080" t="s">
        <v>8650</v>
      </c>
      <c r="L11" s="2080" t="s">
        <v>8651</v>
      </c>
      <c r="N11" s="2081"/>
      <c r="P11" s="2079" t="s">
        <v>8604</v>
      </c>
      <c r="R11" s="2079" t="s">
        <v>8652</v>
      </c>
      <c r="T11" s="2079" t="s">
        <v>8653</v>
      </c>
      <c r="V11" s="2079" t="s">
        <v>8654</v>
      </c>
      <c r="X11" s="2079" t="s">
        <v>8604</v>
      </c>
      <c r="Z11" s="2081"/>
      <c r="AA11" s="1964"/>
    </row>
    <row r="12" spans="1:29" ht="15.75">
      <c r="B12" s="2073" t="s">
        <v>8655</v>
      </c>
      <c r="C12" s="2074"/>
      <c r="D12" s="2074" t="s">
        <v>8656</v>
      </c>
      <c r="H12" s="2079" t="s">
        <v>8603</v>
      </c>
      <c r="J12" s="2080" t="s">
        <v>8657</v>
      </c>
      <c r="L12" s="2080" t="s">
        <v>8658</v>
      </c>
      <c r="N12" s="2079" t="s">
        <v>8604</v>
      </c>
      <c r="P12" s="2080" t="s">
        <v>8659</v>
      </c>
      <c r="R12" s="2080" t="s">
        <v>8660</v>
      </c>
      <c r="T12" s="2080" t="s">
        <v>8661</v>
      </c>
      <c r="V12" s="2080" t="s">
        <v>8662</v>
      </c>
      <c r="X12" s="2080" t="s">
        <v>8663</v>
      </c>
      <c r="Z12" s="2081"/>
      <c r="AA12" s="1964"/>
    </row>
    <row r="13" spans="1:29" ht="15.75">
      <c r="B13" s="2073" t="s">
        <v>8664</v>
      </c>
      <c r="C13" s="2074"/>
      <c r="D13" s="2073" t="s">
        <v>8665</v>
      </c>
      <c r="F13" s="2077" t="s">
        <v>8666</v>
      </c>
      <c r="G13" s="2078" t="s">
        <v>8667</v>
      </c>
      <c r="H13" s="2080" t="s">
        <v>8668</v>
      </c>
      <c r="J13" s="2080" t="s">
        <v>8669</v>
      </c>
      <c r="L13" s="2081"/>
      <c r="N13" s="2080" t="s">
        <v>8670</v>
      </c>
      <c r="P13" s="2081"/>
      <c r="R13" s="2081"/>
      <c r="T13" s="2081"/>
      <c r="V13" s="2081"/>
      <c r="X13" s="2081"/>
      <c r="Z13" s="2081"/>
      <c r="AA13" s="1964"/>
    </row>
    <row r="14" spans="1:29" ht="15.75">
      <c r="F14" s="2080" t="s">
        <v>8671</v>
      </c>
      <c r="G14" t="s">
        <v>8672</v>
      </c>
      <c r="H14" s="2080" t="s">
        <v>8673</v>
      </c>
      <c r="J14" s="2080"/>
      <c r="L14" s="2079" t="s">
        <v>8634</v>
      </c>
      <c r="N14" s="2081"/>
      <c r="P14" s="2079" t="s">
        <v>8653</v>
      </c>
      <c r="R14" s="2079" t="s">
        <v>8634</v>
      </c>
      <c r="T14" s="2079" t="s">
        <v>8604</v>
      </c>
      <c r="V14" s="2081"/>
      <c r="X14" s="2081"/>
      <c r="Z14" s="2081"/>
      <c r="AA14" s="1964"/>
    </row>
    <row r="15" spans="1:29" ht="15.75">
      <c r="B15" s="2073" t="s">
        <v>8674</v>
      </c>
      <c r="C15" s="2074" t="s">
        <v>8675</v>
      </c>
      <c r="D15" s="2074" t="s">
        <v>8676</v>
      </c>
      <c r="F15" s="2080" t="s">
        <v>8677</v>
      </c>
      <c r="G15" t="s">
        <v>8678</v>
      </c>
      <c r="H15" s="2081"/>
      <c r="J15" s="2079" t="s">
        <v>8603</v>
      </c>
      <c r="L15" s="2080" t="s">
        <v>8679</v>
      </c>
      <c r="N15" s="2079" t="s">
        <v>8653</v>
      </c>
      <c r="P15" s="2080" t="s">
        <v>8680</v>
      </c>
      <c r="R15" s="2080" t="s">
        <v>8681</v>
      </c>
      <c r="T15" s="2080" t="s">
        <v>8682</v>
      </c>
      <c r="V15" s="2081"/>
      <c r="X15" s="2081"/>
      <c r="Z15" s="2081"/>
      <c r="AA15" s="1964"/>
    </row>
    <row r="16" spans="1:29" ht="15.75">
      <c r="B16" s="2073" t="s">
        <v>8674</v>
      </c>
      <c r="C16" s="2074" t="s">
        <v>8675</v>
      </c>
      <c r="D16" s="2074" t="s">
        <v>8683</v>
      </c>
      <c r="H16" s="2079" t="s">
        <v>3895</v>
      </c>
      <c r="J16" s="2080" t="s">
        <v>8684</v>
      </c>
      <c r="L16" s="2081"/>
      <c r="N16" s="2080" t="s">
        <v>8685</v>
      </c>
      <c r="P16" s="2081"/>
      <c r="R16" s="2081"/>
      <c r="T16" s="2081"/>
      <c r="V16" s="2081"/>
      <c r="X16" s="2081"/>
      <c r="Z16" s="2081"/>
      <c r="AA16" s="1964"/>
    </row>
    <row r="17" spans="2:27" ht="15.75">
      <c r="B17" s="2073" t="s">
        <v>8674</v>
      </c>
      <c r="C17" s="2074" t="s">
        <v>8675</v>
      </c>
      <c r="D17" s="2074" t="s">
        <v>8686</v>
      </c>
      <c r="F17" s="2077" t="s">
        <v>8687</v>
      </c>
      <c r="G17" s="2078" t="s">
        <v>8688</v>
      </c>
      <c r="H17" s="2083" t="s">
        <v>8689</v>
      </c>
      <c r="J17" s="2080" t="s">
        <v>8690</v>
      </c>
      <c r="L17" s="2079" t="s">
        <v>8691</v>
      </c>
      <c r="N17" s="2081"/>
      <c r="P17" s="2081"/>
      <c r="R17" s="2079" t="s">
        <v>8604</v>
      </c>
      <c r="T17" s="2081"/>
      <c r="V17" s="2081"/>
      <c r="X17" s="2081"/>
      <c r="Z17" s="2081"/>
      <c r="AA17" s="1964"/>
    </row>
    <row r="18" spans="2:27" ht="15.75">
      <c r="F18" s="2080" t="s">
        <v>8692</v>
      </c>
      <c r="G18" t="s">
        <v>8693</v>
      </c>
      <c r="H18" s="2081"/>
      <c r="J18" s="2080" t="s">
        <v>8694</v>
      </c>
      <c r="L18" s="2080" t="s">
        <v>8695</v>
      </c>
      <c r="N18" s="2081"/>
      <c r="P18" s="2081"/>
      <c r="R18" s="2080" t="s">
        <v>8696</v>
      </c>
      <c r="T18" s="2081"/>
      <c r="V18" s="2081"/>
      <c r="X18" s="2081"/>
      <c r="Z18" s="2081"/>
      <c r="AA18" s="1964"/>
    </row>
    <row r="19" spans="2:27" ht="15.75">
      <c r="B19" s="2073" t="s">
        <v>8697</v>
      </c>
      <c r="C19" s="2074"/>
      <c r="D19" s="2074" t="s">
        <v>8698</v>
      </c>
      <c r="F19" s="2080" t="s">
        <v>8699</v>
      </c>
      <c r="G19" t="s">
        <v>8700</v>
      </c>
      <c r="H19" s="2079" t="s">
        <v>8634</v>
      </c>
      <c r="J19" s="2080" t="s">
        <v>8701</v>
      </c>
      <c r="L19" s="2080" t="s">
        <v>8702</v>
      </c>
      <c r="N19" s="2081"/>
      <c r="P19" s="2081"/>
      <c r="R19" s="2081"/>
      <c r="T19" s="2081"/>
      <c r="V19" s="2081"/>
      <c r="X19" s="2081"/>
      <c r="Z19" s="2081"/>
      <c r="AA19" s="1964"/>
    </row>
    <row r="20" spans="2:27" ht="15.75">
      <c r="B20" s="2073" t="s">
        <v>8697</v>
      </c>
      <c r="C20" s="2074"/>
      <c r="D20" s="2074" t="s">
        <v>8703</v>
      </c>
      <c r="H20" s="2080" t="s">
        <v>8704</v>
      </c>
      <c r="J20" s="2080"/>
      <c r="L20" s="2081"/>
      <c r="N20" s="2081"/>
      <c r="P20" s="2081"/>
      <c r="R20" s="2079" t="s">
        <v>8705</v>
      </c>
      <c r="T20" s="2081"/>
      <c r="V20" s="2081"/>
      <c r="X20" s="2081"/>
      <c r="Z20" s="2081"/>
      <c r="AA20" s="1964"/>
    </row>
    <row r="21" spans="2:27" ht="15.75">
      <c r="B21" s="2073" t="s">
        <v>8697</v>
      </c>
      <c r="C21" s="2074"/>
      <c r="D21" s="2074" t="s">
        <v>8706</v>
      </c>
      <c r="F21" s="2077" t="s">
        <v>8707</v>
      </c>
      <c r="G21" s="2078" t="s">
        <v>8708</v>
      </c>
      <c r="H21" s="2080" t="s">
        <v>8709</v>
      </c>
      <c r="J21" s="2079" t="s">
        <v>3895</v>
      </c>
      <c r="L21" s="2081"/>
      <c r="N21" s="2081"/>
      <c r="P21" s="2081"/>
      <c r="R21" s="2080" t="s">
        <v>8710</v>
      </c>
      <c r="T21" s="2081"/>
      <c r="V21" s="2081"/>
      <c r="X21" s="2081"/>
      <c r="Z21" s="2081"/>
      <c r="AA21" s="1964"/>
    </row>
    <row r="22" spans="2:27" ht="15.75">
      <c r="F22" s="2080" t="s">
        <v>8711</v>
      </c>
      <c r="G22" t="s">
        <v>8712</v>
      </c>
      <c r="H22" s="2080"/>
      <c r="J22" s="2083" t="s">
        <v>8713</v>
      </c>
      <c r="L22" s="2081"/>
      <c r="N22" s="2081"/>
      <c r="P22" s="2081"/>
      <c r="R22" s="2081"/>
      <c r="T22" s="2081"/>
      <c r="V22" s="2081"/>
      <c r="X22" s="2081"/>
      <c r="Z22" s="2081"/>
      <c r="AA22" s="1964"/>
    </row>
    <row r="23" spans="2:27" ht="15.75">
      <c r="B23" s="2073" t="s">
        <v>8714</v>
      </c>
      <c r="C23" s="2074" t="s">
        <v>8715</v>
      </c>
      <c r="D23" s="2074" t="s">
        <v>8716</v>
      </c>
      <c r="F23" s="2080" t="s">
        <v>8717</v>
      </c>
      <c r="G23" t="s">
        <v>8718</v>
      </c>
      <c r="H23" s="2079" t="s">
        <v>8604</v>
      </c>
      <c r="J23" s="2083"/>
      <c r="L23" s="2081"/>
      <c r="N23" s="2081"/>
      <c r="P23" s="2081"/>
      <c r="R23" s="2079" t="s">
        <v>8719</v>
      </c>
      <c r="T23" s="2081"/>
      <c r="V23" s="2081"/>
      <c r="X23" s="2081"/>
      <c r="Z23" s="2081"/>
      <c r="AA23" s="1964"/>
    </row>
    <row r="24" spans="2:27" ht="15.75">
      <c r="H24" s="2080" t="s">
        <v>8720</v>
      </c>
      <c r="J24" s="2079" t="s">
        <v>8634</v>
      </c>
      <c r="L24" s="2081"/>
      <c r="N24" s="2081"/>
      <c r="P24" s="2081"/>
      <c r="R24" s="2080" t="s">
        <v>8721</v>
      </c>
      <c r="T24" s="2081"/>
      <c r="V24" s="2081"/>
      <c r="X24" s="2081"/>
      <c r="Z24" s="2081"/>
      <c r="AA24" s="1964"/>
    </row>
    <row r="25" spans="2:27" ht="15.75">
      <c r="B25" s="2073" t="s">
        <v>8722</v>
      </c>
      <c r="C25" s="2074" t="s">
        <v>8723</v>
      </c>
      <c r="D25" s="2074" t="s">
        <v>8724</v>
      </c>
      <c r="F25" s="2077" t="s">
        <v>8725</v>
      </c>
      <c r="G25" s="2078" t="s">
        <v>8726</v>
      </c>
      <c r="H25" s="2080" t="s">
        <v>8727</v>
      </c>
      <c r="J25" s="2080" t="s">
        <v>8728</v>
      </c>
      <c r="L25" s="2081"/>
      <c r="N25" s="2081"/>
      <c r="P25" s="2081"/>
      <c r="R25" s="2081"/>
      <c r="T25" s="2081"/>
      <c r="V25" s="2081"/>
      <c r="X25" s="2081"/>
      <c r="Z25" s="2081"/>
      <c r="AA25" s="1964"/>
    </row>
    <row r="26" spans="2:27" ht="15.75">
      <c r="B26" s="2073" t="s">
        <v>8722</v>
      </c>
      <c r="C26" s="2074" t="s">
        <v>8729</v>
      </c>
      <c r="D26" s="2074" t="s">
        <v>8730</v>
      </c>
      <c r="F26" s="2083" t="s">
        <v>8731</v>
      </c>
      <c r="G26" t="s">
        <v>8732</v>
      </c>
      <c r="H26" s="2080"/>
      <c r="J26" s="2080" t="s">
        <v>8733</v>
      </c>
      <c r="L26" s="2081"/>
      <c r="N26" s="2081"/>
      <c r="P26" s="2081"/>
      <c r="R26" s="2079" t="s">
        <v>8654</v>
      </c>
      <c r="T26" s="2081"/>
      <c r="V26" s="2081"/>
      <c r="X26" s="2081"/>
      <c r="Z26" s="2081"/>
      <c r="AA26" s="1964"/>
    </row>
    <row r="27" spans="2:27" ht="15.75">
      <c r="F27" s="2083" t="s">
        <v>8734</v>
      </c>
      <c r="G27" t="s">
        <v>8735</v>
      </c>
      <c r="H27" s="2079" t="s">
        <v>8736</v>
      </c>
      <c r="J27" s="2080"/>
      <c r="L27" s="2081"/>
      <c r="N27" s="2081"/>
      <c r="P27" s="2081"/>
      <c r="R27" s="2080" t="s">
        <v>8737</v>
      </c>
      <c r="T27" s="2081"/>
      <c r="V27" s="2081"/>
      <c r="X27" s="2081"/>
      <c r="Z27" s="2081"/>
      <c r="AA27" s="1964"/>
    </row>
    <row r="28" spans="2:27" ht="15.75">
      <c r="B28" s="2073" t="s">
        <v>8738</v>
      </c>
      <c r="C28" s="2074" t="s">
        <v>8739</v>
      </c>
      <c r="D28" s="2074" t="s">
        <v>8740</v>
      </c>
      <c r="F28" s="2083" t="s">
        <v>8741</v>
      </c>
      <c r="G28" t="s">
        <v>8742</v>
      </c>
      <c r="H28" s="2083" t="s">
        <v>8743</v>
      </c>
      <c r="J28" s="2079" t="s">
        <v>8604</v>
      </c>
      <c r="L28" s="2081"/>
      <c r="N28" s="2081"/>
      <c r="P28" s="2081"/>
      <c r="R28" s="2081"/>
      <c r="T28" s="2081"/>
      <c r="V28" s="2081"/>
      <c r="X28" s="2081"/>
      <c r="Z28" s="2081"/>
      <c r="AA28" s="1964"/>
    </row>
    <row r="29" spans="2:27" ht="15.75">
      <c r="B29" s="2073" t="s">
        <v>8744</v>
      </c>
      <c r="C29" s="2074" t="s">
        <v>8745</v>
      </c>
      <c r="D29" s="2074" t="s">
        <v>8746</v>
      </c>
      <c r="H29" s="2083" t="s">
        <v>8747</v>
      </c>
      <c r="J29" s="2080" t="s">
        <v>8748</v>
      </c>
      <c r="L29" s="2081"/>
      <c r="N29" s="2081"/>
      <c r="P29" s="2081"/>
      <c r="R29" s="2081"/>
      <c r="T29" s="2081"/>
      <c r="V29" s="2081"/>
      <c r="X29" s="2081"/>
      <c r="Z29" s="2081"/>
      <c r="AA29" s="1964"/>
    </row>
    <row r="30" spans="2:27" ht="15.75">
      <c r="F30" s="2077" t="s">
        <v>8653</v>
      </c>
      <c r="G30" s="2078" t="s">
        <v>8749</v>
      </c>
      <c r="H30" s="2083"/>
      <c r="J30" s="2080"/>
      <c r="L30" s="2081"/>
      <c r="N30" s="2081"/>
      <c r="P30" s="2081"/>
      <c r="R30" s="2081"/>
      <c r="T30" s="2081"/>
      <c r="V30" s="2081"/>
      <c r="X30" s="2081"/>
      <c r="Z30" s="2081"/>
      <c r="AA30" s="1964"/>
    </row>
    <row r="31" spans="2:27" ht="15.75">
      <c r="B31" s="2073" t="s">
        <v>8750</v>
      </c>
      <c r="C31" s="2074" t="s">
        <v>8751</v>
      </c>
      <c r="D31" s="2074" t="s">
        <v>8752</v>
      </c>
      <c r="F31" s="2080" t="s">
        <v>8753</v>
      </c>
      <c r="G31" t="s">
        <v>8754</v>
      </c>
      <c r="H31" s="2079" t="s">
        <v>8755</v>
      </c>
      <c r="J31" s="2079" t="s">
        <v>8736</v>
      </c>
      <c r="L31" s="2081"/>
      <c r="N31" s="2081"/>
      <c r="P31" s="2081"/>
      <c r="R31" s="2081"/>
      <c r="T31" s="2081"/>
      <c r="V31" s="2081"/>
      <c r="X31" s="2081"/>
      <c r="Z31" s="2081"/>
      <c r="AA31" s="1964"/>
    </row>
    <row r="32" spans="2:27" ht="15.75">
      <c r="F32" s="2080" t="s">
        <v>8756</v>
      </c>
      <c r="G32" s="852" t="s">
        <v>8757</v>
      </c>
      <c r="H32" s="2080" t="s">
        <v>8758</v>
      </c>
      <c r="J32" s="2083" t="s">
        <v>8759</v>
      </c>
      <c r="L32" s="2081"/>
      <c r="N32" s="2081"/>
      <c r="P32" s="2081"/>
      <c r="R32" s="2081"/>
      <c r="T32" s="2081"/>
      <c r="V32" s="2081"/>
      <c r="X32" s="2081"/>
      <c r="Z32" s="2081"/>
      <c r="AA32" s="1964"/>
    </row>
    <row r="33" spans="2:27" ht="15.75">
      <c r="B33" s="2073" t="s">
        <v>8760</v>
      </c>
      <c r="C33" s="2074" t="s">
        <v>8723</v>
      </c>
      <c r="D33" s="2074" t="s">
        <v>8724</v>
      </c>
      <c r="F33" s="2080" t="s">
        <v>8761</v>
      </c>
      <c r="G33" s="852" t="s">
        <v>8762</v>
      </c>
      <c r="H33" s="2080" t="s">
        <v>8763</v>
      </c>
      <c r="J33" s="2083" t="s">
        <v>8764</v>
      </c>
      <c r="L33" s="2081"/>
      <c r="N33" s="2081"/>
      <c r="P33" s="2081"/>
      <c r="R33" s="2081"/>
      <c r="T33" s="2081"/>
      <c r="V33" s="2081"/>
      <c r="X33" s="2081"/>
      <c r="Z33" s="2081"/>
      <c r="AA33" s="1964"/>
    </row>
    <row r="34" spans="2:27" ht="15.75">
      <c r="B34" s="2073" t="s">
        <v>8760</v>
      </c>
      <c r="C34" s="2074" t="s">
        <v>8729</v>
      </c>
      <c r="D34" s="2074" t="s">
        <v>8730</v>
      </c>
      <c r="H34" s="2081"/>
      <c r="J34" s="2083"/>
      <c r="L34" s="2081"/>
      <c r="N34" s="2081"/>
      <c r="P34" s="2081"/>
      <c r="R34" s="2081"/>
      <c r="T34" s="2081"/>
      <c r="V34" s="2081"/>
      <c r="X34" s="2081"/>
      <c r="Z34" s="2081"/>
      <c r="AA34" s="1964"/>
    </row>
    <row r="35" spans="2:27" ht="15.75">
      <c r="F35" s="2077" t="s">
        <v>8765</v>
      </c>
      <c r="G35" s="2078" t="s">
        <v>8766</v>
      </c>
      <c r="H35" s="2081"/>
      <c r="J35" s="2079" t="s">
        <v>8755</v>
      </c>
      <c r="L35" s="2081"/>
      <c r="N35" s="2081"/>
      <c r="P35" s="2081"/>
      <c r="R35" s="2081"/>
      <c r="T35" s="2081"/>
      <c r="V35" s="2081"/>
      <c r="X35" s="2081"/>
      <c r="Z35" s="2081"/>
      <c r="AA35" s="1964"/>
    </row>
    <row r="36" spans="2:27" ht="15.75">
      <c r="B36" s="2073" t="s">
        <v>8767</v>
      </c>
      <c r="C36" s="2074" t="s">
        <v>8715</v>
      </c>
      <c r="D36" s="2073" t="s">
        <v>8768</v>
      </c>
      <c r="F36" s="2083" t="s">
        <v>8769</v>
      </c>
      <c r="G36" t="s">
        <v>8770</v>
      </c>
      <c r="H36" s="2081"/>
      <c r="J36" s="2080" t="s">
        <v>8771</v>
      </c>
      <c r="L36" s="2081"/>
      <c r="N36" s="2081"/>
      <c r="P36" s="2081"/>
      <c r="R36" s="2081"/>
      <c r="T36" s="2081"/>
      <c r="V36" s="2081"/>
      <c r="X36" s="2081"/>
      <c r="Z36" s="2081"/>
      <c r="AA36" s="1964"/>
    </row>
    <row r="37" spans="2:27" ht="15.75">
      <c r="F37" s="2083" t="s">
        <v>8772</v>
      </c>
      <c r="G37" t="s">
        <v>8773</v>
      </c>
      <c r="H37" s="2081"/>
      <c r="J37" s="2080" t="s">
        <v>8774</v>
      </c>
      <c r="L37" s="2081"/>
      <c r="N37" s="2081"/>
      <c r="P37" s="2081"/>
      <c r="R37" s="2081"/>
      <c r="T37" s="2081"/>
      <c r="V37" s="2081"/>
      <c r="X37" s="2081"/>
      <c r="Z37" s="2081"/>
      <c r="AA37" s="1964"/>
    </row>
    <row r="38" spans="2:27" ht="15.75">
      <c r="B38" s="2073" t="s">
        <v>8775</v>
      </c>
      <c r="C38" s="2074" t="s">
        <v>8776</v>
      </c>
      <c r="D38" s="2074" t="s">
        <v>8730</v>
      </c>
      <c r="H38" s="2081"/>
      <c r="J38" s="2081"/>
      <c r="L38" s="2081"/>
      <c r="N38" s="2081"/>
      <c r="P38" s="2081"/>
      <c r="R38" s="2081"/>
      <c r="T38" s="2081"/>
      <c r="V38" s="2081"/>
      <c r="X38" s="2081"/>
      <c r="Z38" s="2081"/>
      <c r="AA38" s="1964"/>
    </row>
    <row r="39" spans="2:27" ht="15.75">
      <c r="B39" s="2073" t="s">
        <v>8775</v>
      </c>
      <c r="C39" s="2074" t="s">
        <v>8777</v>
      </c>
      <c r="D39" s="2074" t="s">
        <v>8778</v>
      </c>
      <c r="F39" s="2077" t="s">
        <v>8779</v>
      </c>
      <c r="G39" s="2078" t="s">
        <v>8604</v>
      </c>
      <c r="H39" s="2081"/>
      <c r="J39" s="2081"/>
      <c r="L39" s="2081"/>
      <c r="N39" s="2081"/>
      <c r="P39" s="2081"/>
      <c r="R39" s="2081"/>
      <c r="T39" s="2081"/>
      <c r="V39" s="2081"/>
      <c r="X39" s="2081"/>
      <c r="Z39" s="2081"/>
      <c r="AA39" s="1964"/>
    </row>
    <row r="40" spans="2:27" ht="15.75">
      <c r="F40" s="2073" t="s">
        <v>8780</v>
      </c>
      <c r="G40" t="s">
        <v>8781</v>
      </c>
      <c r="H40" s="2081"/>
      <c r="J40" s="2081"/>
      <c r="L40" s="2081"/>
      <c r="N40" s="2081"/>
      <c r="P40" s="2081"/>
      <c r="R40" s="2081"/>
      <c r="T40" s="2081"/>
      <c r="V40" s="2081"/>
      <c r="X40" s="2081"/>
      <c r="Z40" s="2081"/>
      <c r="AA40" s="1964"/>
    </row>
    <row r="41" spans="2:27" ht="15.75">
      <c r="B41" s="2073" t="s">
        <v>8782</v>
      </c>
      <c r="C41" s="2074" t="s">
        <v>8783</v>
      </c>
      <c r="D41" s="2074" t="s">
        <v>8784</v>
      </c>
      <c r="F41" s="2073" t="s">
        <v>8785</v>
      </c>
      <c r="G41" t="s">
        <v>8786</v>
      </c>
      <c r="H41" s="2081"/>
      <c r="J41" s="2081"/>
      <c r="L41" s="2081"/>
      <c r="N41" s="2081"/>
      <c r="P41" s="2081"/>
      <c r="R41" s="2081"/>
      <c r="T41" s="2081"/>
      <c r="V41" s="2081"/>
      <c r="X41" s="2081"/>
      <c r="Z41" s="2081"/>
      <c r="AA41" s="1964"/>
    </row>
    <row r="42" spans="2:27" ht="15.75">
      <c r="H42" s="2081"/>
      <c r="J42" s="2081"/>
      <c r="L42" s="2081"/>
      <c r="N42" s="2081"/>
      <c r="P42" s="2081"/>
      <c r="R42" s="2081"/>
      <c r="T42" s="2081"/>
      <c r="V42" s="2081"/>
      <c r="X42" s="2081"/>
      <c r="Z42" s="2081"/>
      <c r="AA42" s="1964"/>
    </row>
    <row r="43" spans="2:27" ht="15.75">
      <c r="B43" s="2073" t="s">
        <v>8787</v>
      </c>
      <c r="C43" s="2074" t="s">
        <v>8788</v>
      </c>
      <c r="D43" s="2074" t="s">
        <v>8789</v>
      </c>
      <c r="F43" s="2077" t="s">
        <v>8652</v>
      </c>
      <c r="G43" s="2078" t="s">
        <v>8790</v>
      </c>
      <c r="H43" s="2081"/>
      <c r="J43" s="2081"/>
      <c r="L43" s="2081"/>
      <c r="N43" s="2081"/>
      <c r="P43" s="2081"/>
      <c r="R43" s="2081"/>
      <c r="T43" s="2081"/>
      <c r="V43" s="2081"/>
      <c r="X43" s="2081"/>
      <c r="Z43" s="2081"/>
      <c r="AA43" s="1964"/>
    </row>
    <row r="44" spans="2:27" ht="15.75">
      <c r="B44" s="2073" t="s">
        <v>8791</v>
      </c>
      <c r="C44" s="2074" t="s">
        <v>8792</v>
      </c>
      <c r="D44" s="2074" t="s">
        <v>8793</v>
      </c>
      <c r="F44" s="2073" t="s">
        <v>8794</v>
      </c>
      <c r="G44" t="s">
        <v>8795</v>
      </c>
      <c r="H44" s="2081"/>
      <c r="J44" s="2081"/>
      <c r="L44" s="2081"/>
      <c r="N44" s="2081"/>
      <c r="P44" s="2081"/>
      <c r="R44" s="2081"/>
      <c r="T44" s="2081"/>
      <c r="V44" s="2081"/>
      <c r="X44" s="2081"/>
      <c r="Z44" s="2081"/>
      <c r="AA44" s="1964"/>
    </row>
    <row r="45" spans="2:27" ht="15.75">
      <c r="F45" s="2073" t="s">
        <v>8796</v>
      </c>
      <c r="G45" t="s">
        <v>8797</v>
      </c>
      <c r="H45" s="2081"/>
      <c r="J45" s="2081"/>
      <c r="L45" s="2081"/>
      <c r="N45" s="2081"/>
      <c r="P45" s="2081"/>
      <c r="R45" s="2081"/>
      <c r="T45" s="2081"/>
      <c r="V45" s="2081"/>
      <c r="X45" s="2081"/>
      <c r="Z45" s="2081"/>
      <c r="AA45" s="1964"/>
    </row>
    <row r="46" spans="2:27" ht="15.75">
      <c r="B46" s="2073" t="s">
        <v>8798</v>
      </c>
      <c r="C46" s="2074" t="s">
        <v>8723</v>
      </c>
      <c r="D46" s="2074" t="s">
        <v>8724</v>
      </c>
      <c r="H46" s="2081"/>
      <c r="J46" s="2081"/>
      <c r="L46" s="2081"/>
      <c r="N46" s="2081"/>
      <c r="P46" s="2081"/>
      <c r="R46" s="2081"/>
      <c r="T46" s="2081"/>
      <c r="V46" s="2081"/>
      <c r="X46" s="2081"/>
      <c r="Z46" s="2081"/>
      <c r="AA46" s="1964"/>
    </row>
    <row r="47" spans="2:27" ht="15.75">
      <c r="F47" s="2077" t="s">
        <v>8799</v>
      </c>
      <c r="G47" s="2078" t="s">
        <v>8800</v>
      </c>
      <c r="H47" s="2081"/>
      <c r="J47" s="2081"/>
      <c r="L47" s="2081"/>
      <c r="N47" s="2081"/>
      <c r="P47" s="2081"/>
      <c r="R47" s="2081"/>
      <c r="T47" s="2081"/>
      <c r="V47" s="2081"/>
      <c r="X47" s="2081"/>
      <c r="Z47" s="2081"/>
      <c r="AA47" s="1964"/>
    </row>
    <row r="48" spans="2:27" ht="15.75">
      <c r="B48" s="2073" t="s">
        <v>8801</v>
      </c>
      <c r="C48" s="2074" t="s">
        <v>8802</v>
      </c>
      <c r="D48" s="2074" t="s">
        <v>8802</v>
      </c>
      <c r="F48" s="2073" t="s">
        <v>8803</v>
      </c>
      <c r="G48" t="s">
        <v>8804</v>
      </c>
      <c r="H48" s="2081"/>
      <c r="J48" s="2081"/>
      <c r="L48" s="2081"/>
      <c r="N48" s="2081"/>
      <c r="P48" s="2081"/>
      <c r="R48" s="2081"/>
      <c r="T48" s="2081"/>
      <c r="V48" s="2081"/>
      <c r="X48" s="2081"/>
      <c r="Z48" s="2081"/>
      <c r="AA48" s="1964"/>
    </row>
    <row r="49" spans="2:27" ht="15.75">
      <c r="B49" s="2073" t="s">
        <v>8805</v>
      </c>
      <c r="C49" s="2074" t="s">
        <v>8776</v>
      </c>
      <c r="D49" s="2074" t="s">
        <v>8730</v>
      </c>
      <c r="F49" s="2073" t="s">
        <v>8806</v>
      </c>
      <c r="G49" t="s">
        <v>8807</v>
      </c>
      <c r="H49" s="2081"/>
      <c r="J49" s="2081"/>
      <c r="L49" s="2081"/>
      <c r="N49" s="2081"/>
      <c r="P49" s="2081"/>
      <c r="R49" s="2081"/>
      <c r="T49" s="2081"/>
      <c r="V49" s="2081"/>
      <c r="X49" s="2081"/>
      <c r="Z49" s="2081"/>
      <c r="AA49" s="1964"/>
    </row>
    <row r="50" spans="2:27" ht="15.75">
      <c r="B50" s="2073" t="s">
        <v>8808</v>
      </c>
      <c r="C50" s="2074" t="s">
        <v>8777</v>
      </c>
      <c r="D50" s="2074" t="s">
        <v>8778</v>
      </c>
      <c r="H50" s="2081"/>
      <c r="J50" s="2081"/>
      <c r="L50" s="2081"/>
      <c r="N50" s="2081"/>
      <c r="P50" s="2081"/>
      <c r="R50" s="2081"/>
      <c r="T50" s="2081"/>
      <c r="V50" s="2081"/>
      <c r="X50" s="2081"/>
      <c r="Z50" s="2081"/>
      <c r="AA50" s="1964"/>
    </row>
    <row r="51" spans="2:27" ht="15.75">
      <c r="B51" s="2073" t="s">
        <v>8809</v>
      </c>
      <c r="C51" s="2074" t="s">
        <v>8810</v>
      </c>
      <c r="D51" s="2074" t="s">
        <v>8810</v>
      </c>
      <c r="F51" s="2084" t="s">
        <v>8811</v>
      </c>
      <c r="H51" s="2081"/>
      <c r="J51" s="2081"/>
      <c r="L51" s="2081"/>
      <c r="N51" s="2081"/>
      <c r="P51" s="2081"/>
      <c r="R51" s="2081"/>
      <c r="T51" s="2081"/>
      <c r="V51" s="2081"/>
      <c r="X51" s="2081"/>
      <c r="Z51" s="2081"/>
      <c r="AA51" s="1964"/>
    </row>
    <row r="52" spans="2:27" ht="15.75">
      <c r="B52" s="2073" t="s">
        <v>8812</v>
      </c>
      <c r="C52" s="2074" t="s">
        <v>8813</v>
      </c>
      <c r="D52" s="2074" t="s">
        <v>8814</v>
      </c>
      <c r="F52" s="2085" t="s">
        <v>8815</v>
      </c>
      <c r="H52" s="2081"/>
      <c r="J52" s="2081"/>
      <c r="L52" s="2081"/>
      <c r="N52" s="2081"/>
      <c r="P52" s="2081"/>
      <c r="R52" s="2081"/>
      <c r="T52" s="2081"/>
      <c r="V52" s="2081"/>
      <c r="X52" s="2081"/>
      <c r="Z52" s="2081"/>
      <c r="AA52" s="1964"/>
    </row>
    <row r="53" spans="2:27" ht="15.75">
      <c r="F53" s="2084" t="s">
        <v>8816</v>
      </c>
      <c r="H53" s="2081"/>
      <c r="J53" s="2081"/>
      <c r="L53" s="2081"/>
      <c r="N53" s="2081"/>
      <c r="P53" s="2081"/>
      <c r="R53" s="2081"/>
      <c r="T53" s="2081"/>
      <c r="V53" s="2081"/>
      <c r="X53" s="2081"/>
      <c r="Z53" s="2081"/>
      <c r="AA53" s="1964"/>
    </row>
    <row r="54" spans="2:27" ht="15.75">
      <c r="B54" s="2073" t="s">
        <v>8817</v>
      </c>
      <c r="C54" s="2074" t="s">
        <v>8739</v>
      </c>
      <c r="D54" s="2074" t="s">
        <v>8740</v>
      </c>
    </row>
    <row r="55" spans="2:27" ht="15.75">
      <c r="B55" s="2073" t="s">
        <v>8817</v>
      </c>
      <c r="C55" s="2074" t="s">
        <v>8697</v>
      </c>
      <c r="D55" s="2074" t="s">
        <v>8818</v>
      </c>
      <c r="F55" s="2073" t="s">
        <v>8819</v>
      </c>
    </row>
    <row r="56" spans="2:27" ht="15.75">
      <c r="B56" s="2073" t="s">
        <v>8820</v>
      </c>
      <c r="C56" s="2074" t="s">
        <v>8821</v>
      </c>
      <c r="D56" s="2074" t="s">
        <v>8822</v>
      </c>
      <c r="F56" s="2073" t="s">
        <v>8823</v>
      </c>
    </row>
    <row r="57" spans="2:27" ht="15.75">
      <c r="F57" s="2073" t="s">
        <v>8824</v>
      </c>
    </row>
    <row r="58" spans="2:27" ht="15.75">
      <c r="B58" s="2073" t="s">
        <v>8825</v>
      </c>
      <c r="C58" s="2074" t="s">
        <v>8821</v>
      </c>
      <c r="D58" s="2074" t="s">
        <v>8822</v>
      </c>
      <c r="F58" s="2073" t="s">
        <v>8826</v>
      </c>
    </row>
    <row r="59" spans="2:27" ht="15.75">
      <c r="B59" s="2073" t="s">
        <v>8827</v>
      </c>
      <c r="C59" s="2074" t="s">
        <v>8723</v>
      </c>
      <c r="D59" s="2074" t="s">
        <v>8724</v>
      </c>
      <c r="F59" s="2073" t="s">
        <v>8828</v>
      </c>
    </row>
    <row r="60" spans="2:27" ht="15.75">
      <c r="B60" s="2073" t="s">
        <v>8829</v>
      </c>
      <c r="C60" s="2074" t="s">
        <v>8777</v>
      </c>
      <c r="D60" s="2074" t="s">
        <v>8778</v>
      </c>
      <c r="F60" s="2073" t="s">
        <v>8830</v>
      </c>
    </row>
    <row r="61" spans="2:27" ht="15.75">
      <c r="F61" s="2073" t="s">
        <v>8831</v>
      </c>
    </row>
    <row r="62" spans="2:27" ht="15.75">
      <c r="B62" s="2073" t="s">
        <v>8832</v>
      </c>
      <c r="C62" s="2074" t="s">
        <v>8833</v>
      </c>
      <c r="D62" s="2074" t="s">
        <v>8834</v>
      </c>
    </row>
    <row r="63" spans="2:27" ht="15.75">
      <c r="B63" s="2073" t="s">
        <v>8835</v>
      </c>
      <c r="C63" s="2074" t="s">
        <v>8836</v>
      </c>
      <c r="D63" s="2074" t="s">
        <v>8837</v>
      </c>
      <c r="F63" s="951" t="s">
        <v>8838</v>
      </c>
      <c r="G63" s="1925" t="s">
        <v>8839</v>
      </c>
    </row>
    <row r="64" spans="2:27" ht="15.75">
      <c r="B64" s="2073" t="s">
        <v>8835</v>
      </c>
      <c r="C64" s="2074" t="s">
        <v>8840</v>
      </c>
      <c r="D64" s="2073" t="s">
        <v>8841</v>
      </c>
      <c r="F64" s="951" t="s">
        <v>8842</v>
      </c>
      <c r="G64" s="1925" t="s">
        <v>8843</v>
      </c>
    </row>
    <row r="65" spans="2:7">
      <c r="F65" s="951" t="s">
        <v>8844</v>
      </c>
      <c r="G65" s="2086" t="s">
        <v>8845</v>
      </c>
    </row>
    <row r="66" spans="2:7" ht="15.75">
      <c r="B66" s="2073" t="s">
        <v>8846</v>
      </c>
      <c r="C66" s="2074" t="s">
        <v>1828</v>
      </c>
      <c r="D66" s="2074" t="s">
        <v>8847</v>
      </c>
      <c r="F66" s="951" t="s">
        <v>8848</v>
      </c>
      <c r="G66" s="2086" t="s">
        <v>8849</v>
      </c>
    </row>
    <row r="67" spans="2:7" ht="15.75">
      <c r="B67" s="2073" t="s">
        <v>8850</v>
      </c>
      <c r="C67" s="2074" t="s">
        <v>8821</v>
      </c>
      <c r="D67" s="2074" t="s">
        <v>8822</v>
      </c>
      <c r="F67" s="951" t="s">
        <v>8851</v>
      </c>
      <c r="G67" s="2086" t="s">
        <v>8852</v>
      </c>
    </row>
    <row r="68" spans="2:7" ht="15.75">
      <c r="B68" s="2073" t="s">
        <v>8853</v>
      </c>
      <c r="C68" s="2074" t="s">
        <v>8833</v>
      </c>
      <c r="D68" s="2074" t="s">
        <v>8834</v>
      </c>
      <c r="F68" s="951" t="s">
        <v>8854</v>
      </c>
      <c r="G68" s="2086" t="s">
        <v>8855</v>
      </c>
    </row>
    <row r="69" spans="2:7" ht="15.75">
      <c r="B69" s="2073" t="s">
        <v>8856</v>
      </c>
      <c r="C69" s="2074" t="s">
        <v>8857</v>
      </c>
      <c r="D69" s="2074" t="s">
        <v>8858</v>
      </c>
      <c r="F69" s="951" t="s">
        <v>8859</v>
      </c>
      <c r="G69" s="2086" t="s">
        <v>8860</v>
      </c>
    </row>
    <row r="70" spans="2:7" ht="15.75">
      <c r="B70" s="2073" t="s">
        <v>8861</v>
      </c>
      <c r="C70" s="2074" t="s">
        <v>8862</v>
      </c>
      <c r="D70" s="2074" t="s">
        <v>8863</v>
      </c>
      <c r="F70" s="951" t="s">
        <v>8864</v>
      </c>
      <c r="G70" s="2086" t="s">
        <v>8865</v>
      </c>
    </row>
    <row r="71" spans="2:7">
      <c r="F71" s="951" t="s">
        <v>8866</v>
      </c>
      <c r="G71" s="2086" t="s">
        <v>8867</v>
      </c>
    </row>
    <row r="72" spans="2:7" ht="15.75">
      <c r="B72" s="2073" t="s">
        <v>8868</v>
      </c>
      <c r="C72" s="2074" t="s">
        <v>8777</v>
      </c>
      <c r="D72" s="2074" t="s">
        <v>8778</v>
      </c>
      <c r="F72" s="951" t="s">
        <v>8869</v>
      </c>
      <c r="G72" s="2086" t="s">
        <v>8870</v>
      </c>
    </row>
    <row r="73" spans="2:7">
      <c r="F73" s="951" t="s">
        <v>8871</v>
      </c>
      <c r="G73" s="2086" t="s">
        <v>8872</v>
      </c>
    </row>
    <row r="74" spans="2:7" ht="15.75">
      <c r="B74" s="2073" t="s">
        <v>8873</v>
      </c>
      <c r="C74" s="2074" t="s">
        <v>8874</v>
      </c>
      <c r="D74" s="2074" t="s">
        <v>8875</v>
      </c>
    </row>
    <row r="75" spans="2:7" ht="15.75">
      <c r="B75" s="2073" t="s">
        <v>8873</v>
      </c>
      <c r="C75" s="2074" t="s">
        <v>8876</v>
      </c>
      <c r="D75" s="2074" t="s">
        <v>8847</v>
      </c>
      <c r="F75" t="s">
        <v>8877</v>
      </c>
    </row>
    <row r="76" spans="2:7" ht="15.75">
      <c r="B76" s="2073" t="s">
        <v>8873</v>
      </c>
      <c r="C76" s="2074" t="s">
        <v>8876</v>
      </c>
      <c r="D76" s="2074" t="s">
        <v>8847</v>
      </c>
      <c r="F76" t="s">
        <v>8878</v>
      </c>
    </row>
    <row r="77" spans="2:7" ht="15.75">
      <c r="B77" s="2073" t="s">
        <v>8879</v>
      </c>
      <c r="C77" s="2074" t="s">
        <v>8880</v>
      </c>
      <c r="D77" s="2074" t="s">
        <v>8847</v>
      </c>
      <c r="F77" t="s">
        <v>8881</v>
      </c>
    </row>
    <row r="78" spans="2:7" ht="15.75">
      <c r="B78" s="2073" t="s">
        <v>8879</v>
      </c>
      <c r="C78" s="2074" t="s">
        <v>8874</v>
      </c>
      <c r="D78" s="2074" t="s">
        <v>8875</v>
      </c>
      <c r="F78" t="s">
        <v>8882</v>
      </c>
    </row>
    <row r="79" spans="2:7">
      <c r="F79" t="s">
        <v>8883</v>
      </c>
    </row>
    <row r="80" spans="2:7" ht="15.75">
      <c r="B80" s="2073" t="s">
        <v>8884</v>
      </c>
      <c r="C80" s="2074" t="s">
        <v>8776</v>
      </c>
      <c r="D80" s="2074" t="s">
        <v>8730</v>
      </c>
      <c r="F80" t="s">
        <v>8885</v>
      </c>
    </row>
    <row r="81" spans="2:6" ht="15.75">
      <c r="B81" s="2073" t="s">
        <v>8886</v>
      </c>
      <c r="C81" s="2074" t="s">
        <v>8876</v>
      </c>
      <c r="D81" s="2074" t="s">
        <v>8847</v>
      </c>
      <c r="F81" t="s">
        <v>8887</v>
      </c>
    </row>
    <row r="82" spans="2:6" ht="15.75">
      <c r="B82" s="2073" t="s">
        <v>8888</v>
      </c>
      <c r="C82" s="2074" t="s">
        <v>1828</v>
      </c>
      <c r="D82" s="2074" t="s">
        <v>8847</v>
      </c>
    </row>
    <row r="83" spans="2:6" ht="15.75">
      <c r="B83" s="2073" t="s">
        <v>8889</v>
      </c>
      <c r="C83" s="2074" t="s">
        <v>1828</v>
      </c>
      <c r="D83" s="2074" t="s">
        <v>8847</v>
      </c>
    </row>
    <row r="84" spans="2:6" ht="15.75">
      <c r="B84" s="2073" t="s">
        <v>8890</v>
      </c>
      <c r="C84" s="2074" t="s">
        <v>8715</v>
      </c>
      <c r="D84" s="2073" t="s">
        <v>8891</v>
      </c>
    </row>
    <row r="85" spans="2:6" ht="15.75">
      <c r="B85" s="2073" t="s">
        <v>8892</v>
      </c>
      <c r="C85" s="2074" t="s">
        <v>8776</v>
      </c>
      <c r="D85" s="2074" t="s">
        <v>8730</v>
      </c>
    </row>
    <row r="87" spans="2:6" ht="15.75">
      <c r="B87" s="2073" t="s">
        <v>8893</v>
      </c>
      <c r="C87" s="2074" t="s">
        <v>8894</v>
      </c>
      <c r="D87" s="2074" t="s">
        <v>8895</v>
      </c>
    </row>
    <row r="88" spans="2:6" ht="15.75">
      <c r="B88" s="2073" t="s">
        <v>8896</v>
      </c>
      <c r="C88" s="2074" t="s">
        <v>8897</v>
      </c>
      <c r="D88" s="2074" t="s">
        <v>8898</v>
      </c>
    </row>
    <row r="89" spans="2:6" ht="15.75">
      <c r="B89" s="2073" t="s">
        <v>8896</v>
      </c>
      <c r="C89" s="2074" t="s">
        <v>8899</v>
      </c>
      <c r="D89" s="2074" t="s">
        <v>8900</v>
      </c>
    </row>
    <row r="90" spans="2:6" ht="15.75">
      <c r="B90" s="2073" t="s">
        <v>8901</v>
      </c>
      <c r="C90" s="2074" t="s">
        <v>8902</v>
      </c>
      <c r="D90" s="2074" t="s">
        <v>8903</v>
      </c>
    </row>
    <row r="91" spans="2:6" ht="15.75">
      <c r="B91" s="2073" t="s">
        <v>8904</v>
      </c>
      <c r="C91" s="2074" t="s">
        <v>8876</v>
      </c>
      <c r="D91" s="2074" t="s">
        <v>8847</v>
      </c>
    </row>
    <row r="93" spans="2:6" ht="15.75">
      <c r="B93" s="2073" t="s">
        <v>8905</v>
      </c>
      <c r="C93" s="2074" t="s">
        <v>8906</v>
      </c>
      <c r="D93" s="2074" t="s">
        <v>8907</v>
      </c>
    </row>
    <row r="94" spans="2:6" ht="15.75">
      <c r="B94" s="2073" t="s">
        <v>8905</v>
      </c>
      <c r="C94" s="2074" t="s">
        <v>8776</v>
      </c>
      <c r="D94" s="2074" t="s">
        <v>8730</v>
      </c>
    </row>
    <row r="95" spans="2:6" ht="15.75">
      <c r="B95" s="2073" t="s">
        <v>8905</v>
      </c>
      <c r="C95" s="2074" t="s">
        <v>8908</v>
      </c>
      <c r="D95" s="2074" t="s">
        <v>8740</v>
      </c>
    </row>
    <row r="96" spans="2:6" ht="15.75">
      <c r="B96" s="2073" t="s">
        <v>8905</v>
      </c>
      <c r="C96" s="2074" t="s">
        <v>8909</v>
      </c>
      <c r="D96" s="2074" t="s">
        <v>8910</v>
      </c>
    </row>
    <row r="97" spans="2:4" ht="15.75">
      <c r="B97" s="2073" t="s">
        <v>8905</v>
      </c>
      <c r="C97" s="2074" t="s">
        <v>8906</v>
      </c>
      <c r="D97" s="2074" t="s">
        <v>8907</v>
      </c>
    </row>
    <row r="99" spans="2:4" ht="15.75">
      <c r="B99" s="2073" t="s">
        <v>8911</v>
      </c>
      <c r="C99" s="2074" t="s">
        <v>8745</v>
      </c>
      <c r="D99" s="2074" t="s">
        <v>8746</v>
      </c>
    </row>
    <row r="101" spans="2:4" ht="15.75">
      <c r="B101" s="2073" t="s">
        <v>8912</v>
      </c>
      <c r="C101" s="2074" t="s">
        <v>8913</v>
      </c>
      <c r="D101" s="2074" t="s">
        <v>8914</v>
      </c>
    </row>
    <row r="102" spans="2:4" ht="15.75">
      <c r="B102" s="2073" t="s">
        <v>8912</v>
      </c>
      <c r="C102" s="2074" t="s">
        <v>8913</v>
      </c>
      <c r="D102" s="2074" t="s">
        <v>8914</v>
      </c>
    </row>
    <row r="103" spans="2:4" ht="15.75">
      <c r="B103" s="2073" t="s">
        <v>8912</v>
      </c>
      <c r="C103" s="2074" t="s">
        <v>8874</v>
      </c>
      <c r="D103" s="2074" t="s">
        <v>8875</v>
      </c>
    </row>
    <row r="104" spans="2:4" ht="15.75">
      <c r="B104" s="2073" t="s">
        <v>8912</v>
      </c>
      <c r="C104" s="2074" t="s">
        <v>8876</v>
      </c>
      <c r="D104" s="2074" t="s">
        <v>8847</v>
      </c>
    </row>
    <row r="105" spans="2:4" ht="15.75">
      <c r="B105" s="2073" t="s">
        <v>8915</v>
      </c>
      <c r="C105" s="2074" t="s">
        <v>8902</v>
      </c>
      <c r="D105" s="2074" t="s">
        <v>8752</v>
      </c>
    </row>
    <row r="107" spans="2:4" ht="15.75">
      <c r="B107" s="2073" t="s">
        <v>8916</v>
      </c>
      <c r="C107" s="2074" t="s">
        <v>8821</v>
      </c>
      <c r="D107" s="2074" t="s">
        <v>8822</v>
      </c>
    </row>
    <row r="109" spans="2:4" ht="15.75">
      <c r="B109" s="2073" t="s">
        <v>8917</v>
      </c>
      <c r="C109" s="2074" t="s">
        <v>8918</v>
      </c>
      <c r="D109" s="2074" t="s">
        <v>8919</v>
      </c>
    </row>
    <row r="110" spans="2:4" ht="15.75">
      <c r="B110" s="2073" t="s">
        <v>8917</v>
      </c>
      <c r="C110" s="2074" t="s">
        <v>8821</v>
      </c>
      <c r="D110" s="2074" t="s">
        <v>8822</v>
      </c>
    </row>
    <row r="111" spans="2:4" ht="15.75">
      <c r="B111" s="2073" t="s">
        <v>8917</v>
      </c>
      <c r="C111" s="2074" t="s">
        <v>8913</v>
      </c>
      <c r="D111" s="2074" t="s">
        <v>8914</v>
      </c>
    </row>
    <row r="112" spans="2:4" ht="15.75">
      <c r="B112" s="2073" t="s">
        <v>8917</v>
      </c>
      <c r="C112" s="2074" t="s">
        <v>8745</v>
      </c>
      <c r="D112" s="2074" t="s">
        <v>8746</v>
      </c>
    </row>
    <row r="114" spans="2:4" ht="15.75">
      <c r="B114" s="2073" t="s">
        <v>8920</v>
      </c>
      <c r="C114" s="2074" t="s">
        <v>8862</v>
      </c>
      <c r="D114" s="2074" t="s">
        <v>8863</v>
      </c>
    </row>
    <row r="115" spans="2:4" ht="15.75">
      <c r="B115" s="2073" t="s">
        <v>8921</v>
      </c>
      <c r="C115" s="2074" t="s">
        <v>1828</v>
      </c>
      <c r="D115" s="2074" t="s">
        <v>8922</v>
      </c>
    </row>
    <row r="116" spans="2:4" ht="15.75">
      <c r="B116" s="2073" t="s">
        <v>8923</v>
      </c>
      <c r="C116" s="2074" t="s">
        <v>8776</v>
      </c>
      <c r="D116" s="2074" t="s">
        <v>8730</v>
      </c>
    </row>
    <row r="118" spans="2:4" ht="15.75">
      <c r="B118" s="2073" t="s">
        <v>8924</v>
      </c>
      <c r="C118" s="2074" t="s">
        <v>8874</v>
      </c>
      <c r="D118" s="2074" t="s">
        <v>8875</v>
      </c>
    </row>
    <row r="119" spans="2:4" ht="15.75">
      <c r="B119" s="2073" t="s">
        <v>8924</v>
      </c>
      <c r="C119" s="2074" t="s">
        <v>8788</v>
      </c>
      <c r="D119" s="2074" t="s">
        <v>8925</v>
      </c>
    </row>
    <row r="120" spans="2:4" ht="15.75">
      <c r="B120" s="2073" t="s">
        <v>8926</v>
      </c>
      <c r="C120" s="2074" t="s">
        <v>8833</v>
      </c>
      <c r="D120" s="2074" t="s">
        <v>8834</v>
      </c>
    </row>
    <row r="122" spans="2:4" ht="15.75">
      <c r="B122" s="2073" t="s">
        <v>8927</v>
      </c>
      <c r="C122" s="2074" t="s">
        <v>8874</v>
      </c>
      <c r="D122" s="2074" t="s">
        <v>8875</v>
      </c>
    </row>
    <row r="123" spans="2:4" ht="15.75">
      <c r="B123" s="2073" t="s">
        <v>8928</v>
      </c>
      <c r="C123" s="2074" t="s">
        <v>1946</v>
      </c>
      <c r="D123" s="2074" t="s">
        <v>1946</v>
      </c>
    </row>
    <row r="125" spans="2:4" ht="15.75">
      <c r="B125" s="2073" t="s">
        <v>8929</v>
      </c>
      <c r="C125" s="2074" t="s">
        <v>8723</v>
      </c>
      <c r="D125" s="2074" t="s">
        <v>8724</v>
      </c>
    </row>
    <row r="126" spans="2:4" ht="15.75">
      <c r="B126" s="2073" t="s">
        <v>8930</v>
      </c>
      <c r="C126" s="2074" t="s">
        <v>8776</v>
      </c>
      <c r="D126" s="2074" t="s">
        <v>8730</v>
      </c>
    </row>
    <row r="127" spans="2:4" ht="15.75">
      <c r="B127" s="2073" t="s">
        <v>8930</v>
      </c>
      <c r="C127" s="2074" t="s">
        <v>8931</v>
      </c>
      <c r="D127" s="2074" t="s">
        <v>8746</v>
      </c>
    </row>
    <row r="129" spans="2:4" ht="15.75">
      <c r="B129" s="2073" t="s">
        <v>8932</v>
      </c>
      <c r="C129" s="2074" t="s">
        <v>8874</v>
      </c>
      <c r="D129" s="2074" t="s">
        <v>8875</v>
      </c>
    </row>
    <row r="130" spans="2:4" ht="15.75">
      <c r="B130" s="2073" t="s">
        <v>8933</v>
      </c>
      <c r="C130" s="2074" t="s">
        <v>8899</v>
      </c>
      <c r="D130" s="2074" t="s">
        <v>8900</v>
      </c>
    </row>
    <row r="132" spans="2:4" ht="15.75">
      <c r="B132" s="2073" t="s">
        <v>8934</v>
      </c>
      <c r="C132" s="2074" t="s">
        <v>8935</v>
      </c>
      <c r="D132" s="2074" t="s">
        <v>8724</v>
      </c>
    </row>
    <row r="134" spans="2:4" ht="15.75">
      <c r="B134" s="2073" t="s">
        <v>8936</v>
      </c>
      <c r="C134" s="2074" t="s">
        <v>8745</v>
      </c>
      <c r="D134" s="2074" t="s">
        <v>8746</v>
      </c>
    </row>
    <row r="135" spans="2:4" ht="15.75">
      <c r="B135" s="2073" t="s">
        <v>8936</v>
      </c>
      <c r="C135" s="2074" t="s">
        <v>8918</v>
      </c>
      <c r="D135" s="2074" t="s">
        <v>8937</v>
      </c>
    </row>
    <row r="137" spans="2:4" ht="15.75">
      <c r="B137" s="2073" t="s">
        <v>8938</v>
      </c>
      <c r="C137" s="2074" t="s">
        <v>8876</v>
      </c>
      <c r="D137" s="2074" t="s">
        <v>8939</v>
      </c>
    </row>
    <row r="138" spans="2:4" ht="15.75">
      <c r="B138" s="2073" t="s">
        <v>8940</v>
      </c>
      <c r="C138" s="2074" t="s">
        <v>8857</v>
      </c>
      <c r="D138" s="2074" t="s">
        <v>8858</v>
      </c>
    </row>
    <row r="139" spans="2:4" ht="15.75">
      <c r="B139" s="2073" t="s">
        <v>8941</v>
      </c>
      <c r="C139" s="2074" t="s">
        <v>1828</v>
      </c>
      <c r="D139" s="2074" t="s">
        <v>8847</v>
      </c>
    </row>
    <row r="140" spans="2:4" ht="15.75">
      <c r="B140" s="2073" t="s">
        <v>8942</v>
      </c>
      <c r="C140" s="2074" t="s">
        <v>8876</v>
      </c>
      <c r="D140" s="2074" t="s">
        <v>8847</v>
      </c>
    </row>
    <row r="141" spans="2:4" ht="15.75">
      <c r="B141" s="2073" t="s">
        <v>8943</v>
      </c>
      <c r="C141" s="2074" t="s">
        <v>8745</v>
      </c>
      <c r="D141" s="2074" t="s">
        <v>8746</v>
      </c>
    </row>
    <row r="142" spans="2:4" ht="15.75">
      <c r="B142" s="2073" t="s">
        <v>8944</v>
      </c>
      <c r="C142" s="2074" t="s">
        <v>8874</v>
      </c>
      <c r="D142" s="2074" t="s">
        <v>8875</v>
      </c>
    </row>
    <row r="143" spans="2:4" ht="15.75">
      <c r="B143" s="2073" t="s">
        <v>8945</v>
      </c>
      <c r="C143" s="2074" t="s">
        <v>8906</v>
      </c>
      <c r="D143" s="2074" t="s">
        <v>8907</v>
      </c>
    </row>
    <row r="144" spans="2:4" ht="15.75">
      <c r="B144" s="2073" t="s">
        <v>8946</v>
      </c>
      <c r="C144" s="2074" t="s">
        <v>8876</v>
      </c>
      <c r="D144" s="2074" t="s">
        <v>8939</v>
      </c>
    </row>
    <row r="145" spans="2:4" ht="15.75">
      <c r="B145" s="2073" t="s">
        <v>8947</v>
      </c>
      <c r="C145" s="2074" t="s">
        <v>8948</v>
      </c>
      <c r="D145" s="2074" t="s">
        <v>8778</v>
      </c>
    </row>
    <row r="146" spans="2:4" ht="15.75">
      <c r="B146" s="2073" t="s">
        <v>8947</v>
      </c>
      <c r="C146" s="2074" t="s">
        <v>8776</v>
      </c>
      <c r="D146" s="2074" t="s">
        <v>8730</v>
      </c>
    </row>
    <row r="147" spans="2:4" ht="15.75">
      <c r="B147" s="2073" t="s">
        <v>8947</v>
      </c>
      <c r="C147" s="2074" t="s">
        <v>8723</v>
      </c>
      <c r="D147" s="2074" t="s">
        <v>8724</v>
      </c>
    </row>
    <row r="149" spans="2:4" ht="15.75">
      <c r="B149" s="2073" t="s">
        <v>8949</v>
      </c>
      <c r="C149" s="2074" t="s">
        <v>8833</v>
      </c>
      <c r="D149" s="2074" t="s">
        <v>8834</v>
      </c>
    </row>
    <row r="150" spans="2:4" ht="15.75">
      <c r="B150" s="2073" t="s">
        <v>8950</v>
      </c>
      <c r="C150" s="2074" t="s">
        <v>8951</v>
      </c>
      <c r="D150" s="2074" t="s">
        <v>8952</v>
      </c>
    </row>
    <row r="152" spans="2:4" ht="15.75">
      <c r="B152" s="2073" t="s">
        <v>8953</v>
      </c>
      <c r="C152" s="2074" t="s">
        <v>8776</v>
      </c>
      <c r="D152" s="2074" t="s">
        <v>8730</v>
      </c>
    </row>
    <row r="153" spans="2:4" ht="15.75">
      <c r="B153" s="2073" t="s">
        <v>8954</v>
      </c>
      <c r="C153" s="2074" t="s">
        <v>8739</v>
      </c>
      <c r="D153" s="2074" t="s">
        <v>8740</v>
      </c>
    </row>
    <row r="154" spans="2:4" ht="15.75">
      <c r="B154" s="2073" t="s">
        <v>8954</v>
      </c>
      <c r="C154" s="2074" t="s">
        <v>8745</v>
      </c>
      <c r="D154" s="2074" t="s">
        <v>8746</v>
      </c>
    </row>
    <row r="155" spans="2:4" ht="15.75">
      <c r="B155" s="2073" t="s">
        <v>8954</v>
      </c>
      <c r="C155" s="2074" t="s">
        <v>8777</v>
      </c>
      <c r="D155" s="2074" t="s">
        <v>8778</v>
      </c>
    </row>
    <row r="156" spans="2:4" ht="15.75">
      <c r="B156" s="2073" t="s">
        <v>8954</v>
      </c>
      <c r="C156" s="2074" t="s">
        <v>8955</v>
      </c>
      <c r="D156" s="2074" t="s">
        <v>8752</v>
      </c>
    </row>
    <row r="157" spans="2:4" ht="15.75">
      <c r="B157" s="2073" t="s">
        <v>8956</v>
      </c>
      <c r="C157" s="2074" t="s">
        <v>8745</v>
      </c>
      <c r="D157" s="2074" t="s">
        <v>8746</v>
      </c>
    </row>
    <row r="158" spans="2:4" ht="15.75">
      <c r="B158" s="2073" t="s">
        <v>8956</v>
      </c>
      <c r="C158" s="2074" t="s">
        <v>8697</v>
      </c>
      <c r="D158" s="2074" t="s">
        <v>8822</v>
      </c>
    </row>
    <row r="159" spans="2:4" ht="15.75">
      <c r="B159" s="2073" t="s">
        <v>8956</v>
      </c>
      <c r="C159" s="2074" t="s">
        <v>8876</v>
      </c>
      <c r="D159" s="2074" t="s">
        <v>8847</v>
      </c>
    </row>
    <row r="161" spans="2:4" ht="15.75">
      <c r="B161" s="2073" t="s">
        <v>8957</v>
      </c>
      <c r="C161" s="2074" t="s">
        <v>8958</v>
      </c>
      <c r="D161" s="2074" t="s">
        <v>8959</v>
      </c>
    </row>
    <row r="162" spans="2:4" ht="15.75">
      <c r="B162" s="2073" t="s">
        <v>8960</v>
      </c>
      <c r="C162" s="2074" t="s">
        <v>8876</v>
      </c>
      <c r="D162" s="2074" t="s">
        <v>8939</v>
      </c>
    </row>
    <row r="164" spans="2:4" ht="15.75">
      <c r="B164" s="2073" t="s">
        <v>8961</v>
      </c>
      <c r="C164" s="2074" t="s">
        <v>8776</v>
      </c>
      <c r="D164" s="2074" t="s">
        <v>8730</v>
      </c>
    </row>
    <row r="165" spans="2:4" ht="15.75">
      <c r="B165" s="2073" t="s">
        <v>8962</v>
      </c>
      <c r="C165" s="2074" t="s">
        <v>8723</v>
      </c>
      <c r="D165" s="2074" t="s">
        <v>8724</v>
      </c>
    </row>
    <row r="167" spans="2:4" ht="15.75">
      <c r="B167" s="2073" t="s">
        <v>8963</v>
      </c>
      <c r="C167" s="2074" t="s">
        <v>8964</v>
      </c>
      <c r="D167" s="2074" t="s">
        <v>8965</v>
      </c>
    </row>
    <row r="168" spans="2:4" ht="15.75">
      <c r="B168" s="2073" t="s">
        <v>8966</v>
      </c>
      <c r="C168" s="2074" t="s">
        <v>8902</v>
      </c>
      <c r="D168" s="2074" t="s">
        <v>8752</v>
      </c>
    </row>
    <row r="170" spans="2:4" ht="15.75">
      <c r="B170" s="2073" t="s">
        <v>8967</v>
      </c>
      <c r="C170" s="2074" t="s">
        <v>8715</v>
      </c>
      <c r="D170" s="2074" t="s">
        <v>8968</v>
      </c>
    </row>
    <row r="171" spans="2:4" ht="15.75">
      <c r="B171" s="2073" t="s">
        <v>8969</v>
      </c>
      <c r="C171" s="2074" t="s">
        <v>8862</v>
      </c>
      <c r="D171" s="2074" t="s">
        <v>8863</v>
      </c>
    </row>
    <row r="173" spans="2:4" ht="18">
      <c r="B173" s="2087" t="s">
        <v>8970</v>
      </c>
      <c r="C173" s="2088"/>
      <c r="D173" s="2088"/>
    </row>
    <row r="175" spans="2:4">
      <c r="B175" s="904" t="s">
        <v>8971</v>
      </c>
      <c r="C175" s="988"/>
      <c r="D175" s="988"/>
    </row>
    <row r="176" spans="2:4" ht="15.75">
      <c r="B176" s="2073" t="s">
        <v>8972</v>
      </c>
      <c r="C176" s="2074" t="s">
        <v>8874</v>
      </c>
      <c r="D176" s="2074" t="s">
        <v>8973</v>
      </c>
    </row>
    <row r="177" spans="2:4" ht="15.75">
      <c r="B177" s="2073" t="s">
        <v>8974</v>
      </c>
      <c r="C177" s="2074" t="s">
        <v>8975</v>
      </c>
      <c r="D177" s="2074" t="s">
        <v>8976</v>
      </c>
    </row>
    <row r="178" spans="2:4" ht="15.75">
      <c r="B178" s="2073" t="s">
        <v>8972</v>
      </c>
      <c r="C178" s="2074" t="s">
        <v>8697</v>
      </c>
      <c r="D178" s="2074" t="s">
        <v>8977</v>
      </c>
    </row>
    <row r="180" spans="2:4" ht="15.75">
      <c r="B180" s="2073" t="s">
        <v>8978</v>
      </c>
      <c r="C180" s="2074" t="s">
        <v>8874</v>
      </c>
      <c r="D180" s="2074" t="s">
        <v>8979</v>
      </c>
    </row>
    <row r="181" spans="2:4" ht="15.75">
      <c r="B181" s="2073" t="s">
        <v>8978</v>
      </c>
      <c r="C181" s="2074" t="s">
        <v>8975</v>
      </c>
      <c r="D181" s="2074" t="s">
        <v>8980</v>
      </c>
    </row>
    <row r="182" spans="2:4" ht="15.75">
      <c r="B182" s="2073" t="s">
        <v>8978</v>
      </c>
      <c r="C182" s="2074" t="s">
        <v>8697</v>
      </c>
      <c r="D182" s="2074" t="s">
        <v>8981</v>
      </c>
    </row>
    <row r="183" spans="2:4" ht="15.75">
      <c r="B183" s="2073" t="s">
        <v>8982</v>
      </c>
      <c r="C183" s="2074" t="s">
        <v>8983</v>
      </c>
      <c r="D183" s="2074" t="s">
        <v>8984</v>
      </c>
    </row>
    <row r="184" spans="2:4" ht="15.75">
      <c r="B184" s="2073" t="s">
        <v>8985</v>
      </c>
      <c r="C184" s="2074" t="s">
        <v>8986</v>
      </c>
      <c r="D184" s="2074" t="s">
        <v>8987</v>
      </c>
    </row>
    <row r="186" spans="2:4" ht="15.75">
      <c r="B186" s="2073" t="s">
        <v>8988</v>
      </c>
      <c r="C186" s="2074" t="s">
        <v>8874</v>
      </c>
      <c r="D186" s="2074" t="s">
        <v>8989</v>
      </c>
    </row>
    <row r="187" spans="2:4" ht="15.75">
      <c r="B187" s="2073" t="s">
        <v>8988</v>
      </c>
      <c r="C187" s="2074" t="s">
        <v>8975</v>
      </c>
      <c r="D187" s="2074" t="s">
        <v>8990</v>
      </c>
    </row>
    <row r="188" spans="2:4" ht="15.75">
      <c r="B188" s="2073" t="s">
        <v>8988</v>
      </c>
      <c r="C188" s="2074" t="s">
        <v>8697</v>
      </c>
      <c r="D188" s="2074" t="s">
        <v>8822</v>
      </c>
    </row>
    <row r="189" spans="2:4" ht="15.75">
      <c r="B189" s="2073" t="s">
        <v>8988</v>
      </c>
      <c r="C189" s="2074" t="s">
        <v>8983</v>
      </c>
      <c r="D189" s="2074" t="s">
        <v>8746</v>
      </c>
    </row>
    <row r="190" spans="2:4" ht="15.75">
      <c r="B190" s="2073" t="s">
        <v>8988</v>
      </c>
      <c r="C190" s="2074" t="s">
        <v>8986</v>
      </c>
      <c r="D190" s="2074" t="s">
        <v>8730</v>
      </c>
    </row>
    <row r="192" spans="2:4" ht="15.75">
      <c r="B192" s="2073" t="s">
        <v>8991</v>
      </c>
      <c r="C192" s="2074" t="s">
        <v>8874</v>
      </c>
      <c r="D192" s="2074" t="s">
        <v>8784</v>
      </c>
    </row>
    <row r="193" spans="2:4" ht="15.75">
      <c r="B193" s="2073" t="s">
        <v>8991</v>
      </c>
      <c r="C193" s="2074" t="s">
        <v>8975</v>
      </c>
      <c r="D193" s="2074" t="s">
        <v>8992</v>
      </c>
    </row>
    <row r="194" spans="2:4" ht="15.75">
      <c r="B194" s="2073" t="s">
        <v>8991</v>
      </c>
      <c r="C194" s="2074" t="s">
        <v>8697</v>
      </c>
      <c r="D194" s="2074" t="s">
        <v>8993</v>
      </c>
    </row>
    <row r="195" spans="2:4" ht="15.75">
      <c r="B195" s="2073" t="s">
        <v>8991</v>
      </c>
      <c r="C195" s="2074" t="s">
        <v>8983</v>
      </c>
      <c r="D195" s="2074" t="s">
        <v>8994</v>
      </c>
    </row>
    <row r="196" spans="2:4" ht="15.75">
      <c r="B196" s="2073" t="s">
        <v>8991</v>
      </c>
      <c r="C196" s="2074" t="s">
        <v>8986</v>
      </c>
      <c r="D196" s="2074" t="s">
        <v>8995</v>
      </c>
    </row>
  </sheetData>
  <hyperlinks>
    <hyperlink ref="G64" r:id="rId1" xr:uid="{D557FFAB-4918-4168-93AA-4471C584C398}"/>
    <hyperlink ref="G63" r:id="rId2" xr:uid="{17F69FD9-AEE5-4FA8-82BE-20AC7F8A2C32}"/>
    <hyperlink ref="G65" r:id="rId3" xr:uid="{E1F1D71B-CFF6-42C1-9368-0EB56C3A48F4}"/>
    <hyperlink ref="G66" r:id="rId4" xr:uid="{9E73033B-7ED6-4761-8EDC-BCAF1673B6C6}"/>
    <hyperlink ref="G67" r:id="rId5" xr:uid="{A2799B4B-A9CD-4BDB-BA63-E01D4DD1F586}"/>
    <hyperlink ref="G68" r:id="rId6" xr:uid="{05196E69-D2CD-4DC2-8D39-9A5E73E0BE5C}"/>
    <hyperlink ref="G69" r:id="rId7" xr:uid="{91F80BA5-9F34-4C01-8141-CEE34E5DE75F}"/>
    <hyperlink ref="G70" r:id="rId8" xr:uid="{1AA37498-354F-4200-A5BB-1046698E4942}"/>
    <hyperlink ref="G71" r:id="rId9" xr:uid="{66702FBE-96F5-4BDB-89B1-A983FD76E58A}"/>
    <hyperlink ref="G72" r:id="rId10" xr:uid="{4EA22397-8E6F-4A4C-BA07-9C8B67089C6A}"/>
    <hyperlink ref="G73" r:id="rId11" xr:uid="{822CBC3B-4A5A-4DC5-B2C9-F05058502C5F}"/>
  </hyperlinks>
  <pageMargins left="0.7" right="0.7" top="0.75" bottom="0.75" header="0.3" footer="0.3"/>
  <drawing r:id="rId1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946D59-5197-4BEB-8A27-CC1740171476}">
  <dimension ref="A1:U315"/>
  <sheetViews>
    <sheetView workbookViewId="0">
      <selection activeCell="H6" sqref="H6"/>
    </sheetView>
  </sheetViews>
  <sheetFormatPr baseColWidth="10" defaultRowHeight="15"/>
  <cols>
    <col min="1" max="1" width="15.85546875" style="852" customWidth="1"/>
    <col min="2" max="2" width="4.5703125" style="852" customWidth="1"/>
    <col min="3" max="3" width="16.5703125" style="852" customWidth="1"/>
    <col min="4" max="4" width="21.42578125" style="852" customWidth="1"/>
    <col min="5" max="5" width="23" style="852" customWidth="1"/>
    <col min="6" max="6" width="29.42578125" style="852" customWidth="1"/>
    <col min="7" max="16384" width="11.42578125" style="852"/>
  </cols>
  <sheetData>
    <row r="1" spans="1:21">
      <c r="A1" s="183"/>
      <c r="B1" s="183"/>
      <c r="C1" s="183"/>
      <c r="D1" s="183"/>
      <c r="E1" s="183"/>
      <c r="F1" s="183"/>
      <c r="G1" s="183"/>
      <c r="H1" s="183"/>
      <c r="I1" s="183"/>
      <c r="J1" s="183"/>
      <c r="K1" s="183"/>
      <c r="L1" s="183"/>
      <c r="M1" s="183"/>
      <c r="N1" s="183"/>
      <c r="O1" s="183"/>
      <c r="P1" s="183"/>
      <c r="Q1" s="183"/>
      <c r="R1" s="183"/>
      <c r="S1" s="183"/>
      <c r="T1" s="183"/>
      <c r="U1" s="183"/>
    </row>
    <row r="2" spans="1:21">
      <c r="A2" s="183"/>
      <c r="B2" s="183"/>
      <c r="C2" s="183"/>
      <c r="D2" s="183"/>
      <c r="E2" s="183"/>
      <c r="F2" s="183"/>
      <c r="G2" s="183"/>
      <c r="H2" s="183"/>
      <c r="I2" s="183"/>
      <c r="J2" s="183"/>
      <c r="K2" s="183"/>
      <c r="L2" s="183"/>
      <c r="M2" s="183"/>
      <c r="N2" s="183"/>
      <c r="O2" s="183"/>
      <c r="P2" s="183"/>
      <c r="Q2" s="183"/>
      <c r="R2" s="183"/>
      <c r="S2" s="183"/>
      <c r="T2" s="183"/>
      <c r="U2" s="183"/>
    </row>
    <row r="3" spans="1:21">
      <c r="A3" s="183"/>
      <c r="B3" s="183"/>
      <c r="C3" s="183"/>
      <c r="D3" s="183"/>
      <c r="E3" s="183"/>
      <c r="F3" s="183"/>
      <c r="G3" s="183"/>
      <c r="H3" s="183"/>
      <c r="I3" s="183"/>
      <c r="J3" s="183"/>
      <c r="K3" s="183"/>
      <c r="L3" s="183"/>
      <c r="M3" s="183"/>
      <c r="N3" s="183"/>
      <c r="O3" s="183"/>
      <c r="P3" s="183"/>
      <c r="Q3" s="183"/>
      <c r="R3" s="183"/>
      <c r="S3" s="183"/>
      <c r="T3" s="183"/>
      <c r="U3" s="183"/>
    </row>
    <row r="4" spans="1:21" ht="18.75">
      <c r="A4" s="183"/>
      <c r="B4" s="183"/>
      <c r="C4" s="627" t="s">
        <v>4103</v>
      </c>
      <c r="D4" s="183"/>
      <c r="E4" s="183"/>
      <c r="F4" s="183"/>
      <c r="G4" s="183"/>
      <c r="H4" s="5975" t="str">
        <f>IF(ISNUMBER(IFERROR(VALUE("0,5"),"")),"sur cet ordi.saisissez une VIRGULE comme séparateur décimal",IF(ISNUMBER(IFERROR(VALUE("0.5"),"")),"sur cet ordi.saisissez un POINT comme séparateur décimal","Impossible de déterminer le séparateur décimal"))</f>
        <v>sur cet ordi.saisissez un POINT comme séparateur décimal</v>
      </c>
      <c r="I4" s="5975"/>
      <c r="J4" s="5975"/>
      <c r="K4" s="5975"/>
      <c r="L4" s="5975"/>
      <c r="M4" s="5975"/>
      <c r="N4" s="5975"/>
      <c r="O4" s="5975"/>
      <c r="P4" s="183"/>
      <c r="Q4" s="183"/>
      <c r="R4" s="183"/>
      <c r="S4" s="183"/>
      <c r="T4" s="183"/>
      <c r="U4" s="183"/>
    </row>
    <row r="5" spans="1:21">
      <c r="A5" s="183"/>
      <c r="B5" s="183"/>
      <c r="C5" s="58"/>
      <c r="D5" s="183"/>
      <c r="E5" s="183"/>
      <c r="F5" s="183"/>
      <c r="G5" s="183"/>
      <c r="H5" s="5975"/>
      <c r="I5" s="5975"/>
      <c r="J5" s="5975"/>
      <c r="K5" s="5975"/>
      <c r="L5" s="5975"/>
      <c r="M5" s="5975"/>
      <c r="N5" s="5975"/>
      <c r="O5" s="5975"/>
      <c r="P5" s="183"/>
      <c r="Q5" s="183"/>
      <c r="R5" s="183"/>
      <c r="S5" s="183"/>
      <c r="T5" s="183"/>
      <c r="U5" s="183"/>
    </row>
    <row r="6" spans="1:21">
      <c r="A6" s="183"/>
      <c r="B6" s="183"/>
      <c r="C6" s="58" t="s">
        <v>4104</v>
      </c>
      <c r="D6" s="183"/>
      <c r="E6" s="183"/>
      <c r="F6" s="183"/>
      <c r="G6" s="183"/>
      <c r="H6" s="183"/>
      <c r="I6" s="183"/>
      <c r="J6" s="183"/>
      <c r="K6" s="183"/>
      <c r="L6" s="183"/>
      <c r="M6" s="183"/>
      <c r="N6" s="183"/>
      <c r="O6" s="183"/>
      <c r="P6" s="183"/>
      <c r="Q6" s="183"/>
      <c r="R6" s="183"/>
      <c r="S6" s="183"/>
      <c r="T6" s="183"/>
      <c r="U6" s="183"/>
    </row>
    <row r="7" spans="1:21">
      <c r="A7" s="183"/>
      <c r="B7" s="183"/>
      <c r="C7" s="58" t="s">
        <v>4105</v>
      </c>
      <c r="D7" s="183"/>
      <c r="E7" s="183"/>
      <c r="F7" s="183"/>
      <c r="G7" s="183"/>
      <c r="H7" s="183"/>
      <c r="I7" s="183"/>
      <c r="J7" s="183"/>
      <c r="K7" s="183"/>
      <c r="L7" s="183"/>
      <c r="M7" s="183"/>
      <c r="N7" s="183"/>
      <c r="O7" s="183"/>
      <c r="P7" s="183"/>
      <c r="Q7" s="183"/>
      <c r="R7" s="183"/>
      <c r="S7" s="183"/>
      <c r="T7" s="183"/>
      <c r="U7" s="183"/>
    </row>
    <row r="8" spans="1:21">
      <c r="A8" s="183"/>
      <c r="B8" s="183"/>
      <c r="C8" s="58" t="s">
        <v>4106</v>
      </c>
      <c r="D8" s="183"/>
      <c r="E8" s="183"/>
      <c r="F8" s="183"/>
      <c r="G8" s="183"/>
      <c r="H8" s="183"/>
      <c r="I8" s="183"/>
      <c r="J8" s="183"/>
      <c r="K8" s="183"/>
      <c r="L8" s="183"/>
      <c r="M8" s="183"/>
      <c r="N8" s="183"/>
      <c r="O8" s="183"/>
      <c r="P8" s="183"/>
      <c r="Q8" s="183"/>
      <c r="R8" s="183"/>
      <c r="S8" s="183"/>
      <c r="T8" s="183"/>
      <c r="U8" s="183"/>
    </row>
    <row r="9" spans="1:21">
      <c r="A9" s="183"/>
      <c r="B9" s="183"/>
      <c r="C9" s="58" t="s">
        <v>4107</v>
      </c>
      <c r="D9" s="183"/>
      <c r="E9" s="183"/>
      <c r="F9" s="183"/>
      <c r="G9" s="183"/>
      <c r="H9" s="183"/>
      <c r="I9" s="183"/>
      <c r="J9" s="183"/>
      <c r="K9" s="183"/>
      <c r="L9" s="183"/>
      <c r="M9" s="183"/>
      <c r="N9" s="183"/>
      <c r="O9" s="183"/>
      <c r="P9" s="183"/>
      <c r="Q9" s="183"/>
      <c r="R9" s="183"/>
      <c r="S9" s="183"/>
      <c r="T9" s="183"/>
      <c r="U9" s="183"/>
    </row>
    <row r="10" spans="1:21">
      <c r="A10" s="183"/>
      <c r="B10" s="183"/>
      <c r="C10" s="58"/>
      <c r="D10" s="183"/>
      <c r="E10" s="183"/>
      <c r="F10" s="183"/>
      <c r="G10" s="183"/>
      <c r="H10" s="183"/>
      <c r="I10" s="183"/>
      <c r="J10" s="183"/>
      <c r="K10" s="183"/>
      <c r="L10" s="183"/>
      <c r="M10" s="183"/>
      <c r="N10" s="183"/>
      <c r="O10" s="183"/>
      <c r="P10" s="183"/>
      <c r="Q10" s="183"/>
      <c r="R10" s="183"/>
      <c r="S10" s="183"/>
      <c r="T10" s="183"/>
      <c r="U10" s="183"/>
    </row>
    <row r="11" spans="1:21" ht="15.75">
      <c r="A11" s="183"/>
      <c r="B11" s="183"/>
      <c r="C11" s="1910" t="s">
        <v>4108</v>
      </c>
      <c r="D11" s="183"/>
      <c r="E11" s="183"/>
      <c r="F11" s="183"/>
      <c r="G11" s="183"/>
      <c r="H11" s="183"/>
      <c r="I11" s="183"/>
      <c r="J11" s="183"/>
      <c r="K11" s="183"/>
      <c r="L11" s="183"/>
      <c r="M11" s="183"/>
      <c r="N11" s="183"/>
      <c r="O11" s="183"/>
      <c r="P11" s="183"/>
      <c r="Q11" s="183"/>
      <c r="R11" s="183"/>
      <c r="S11" s="183"/>
      <c r="T11" s="183"/>
      <c r="U11" s="183"/>
    </row>
    <row r="12" spans="1:21">
      <c r="A12" s="183"/>
      <c r="B12" s="183"/>
      <c r="C12" s="183"/>
      <c r="D12" s="183"/>
      <c r="E12" s="183"/>
      <c r="F12" s="183"/>
      <c r="G12" s="183"/>
      <c r="H12" s="183"/>
      <c r="I12" s="183"/>
      <c r="J12" s="183"/>
      <c r="K12" s="183"/>
      <c r="L12" s="183"/>
      <c r="M12" s="183"/>
      <c r="N12" s="183"/>
      <c r="O12" s="183"/>
      <c r="P12" s="183"/>
      <c r="Q12" s="183"/>
      <c r="R12" s="183"/>
      <c r="S12" s="183"/>
      <c r="T12" s="183"/>
      <c r="U12" s="183"/>
    </row>
    <row r="13" spans="1:21">
      <c r="A13" s="183"/>
      <c r="B13" s="183"/>
      <c r="C13" s="183" t="s">
        <v>4109</v>
      </c>
      <c r="D13" s="183"/>
      <c r="E13" s="183"/>
      <c r="F13" s="183"/>
      <c r="G13" s="183"/>
      <c r="H13" s="183"/>
      <c r="I13" s="183"/>
      <c r="J13" s="183"/>
      <c r="K13" s="183"/>
      <c r="L13" s="183"/>
      <c r="M13" s="183"/>
      <c r="N13" s="183"/>
      <c r="O13" s="183"/>
      <c r="P13" s="183"/>
      <c r="Q13" s="183"/>
      <c r="R13" s="183"/>
      <c r="S13" s="183"/>
      <c r="T13" s="183"/>
      <c r="U13" s="183"/>
    </row>
    <row r="14" spans="1:21">
      <c r="A14" s="183"/>
      <c r="B14" s="183"/>
      <c r="C14" s="183"/>
      <c r="D14" s="183"/>
      <c r="E14" s="183"/>
      <c r="F14" s="183"/>
      <c r="G14" s="183"/>
      <c r="H14" s="183"/>
      <c r="I14" s="183"/>
      <c r="J14" s="183"/>
      <c r="K14" s="183"/>
      <c r="L14" s="183"/>
      <c r="M14" s="183"/>
      <c r="N14" s="183"/>
      <c r="O14" s="183"/>
      <c r="P14" s="183"/>
      <c r="Q14" s="183"/>
      <c r="R14" s="183"/>
      <c r="S14" s="183"/>
      <c r="T14" s="183"/>
      <c r="U14" s="183"/>
    </row>
    <row r="15" spans="1:21">
      <c r="A15" s="183"/>
      <c r="B15" s="183"/>
      <c r="C15" s="183" t="s">
        <v>4110</v>
      </c>
      <c r="D15" s="183"/>
      <c r="E15" s="183"/>
      <c r="F15" s="183"/>
      <c r="G15" s="183"/>
      <c r="H15" s="183"/>
      <c r="I15" s="183"/>
      <c r="J15" s="183"/>
      <c r="K15" s="183"/>
      <c r="L15" s="183"/>
      <c r="M15" s="183"/>
      <c r="N15" s="183"/>
      <c r="O15" s="183"/>
      <c r="P15" s="183"/>
      <c r="Q15" s="183"/>
      <c r="R15" s="183"/>
      <c r="S15" s="183"/>
      <c r="T15" s="183"/>
      <c r="U15" s="183"/>
    </row>
    <row r="16" spans="1:21">
      <c r="A16" s="183"/>
      <c r="B16" s="183"/>
      <c r="C16" s="183"/>
      <c r="D16" s="183"/>
      <c r="E16" s="183"/>
      <c r="F16" s="183"/>
      <c r="G16" s="183"/>
      <c r="H16" s="183"/>
      <c r="I16" s="183"/>
      <c r="J16" s="183"/>
      <c r="K16" s="183"/>
      <c r="L16" s="183"/>
      <c r="M16" s="183"/>
      <c r="N16" s="183"/>
      <c r="O16" s="183"/>
      <c r="P16" s="183"/>
      <c r="Q16" s="183"/>
      <c r="R16" s="183"/>
      <c r="S16" s="183"/>
      <c r="T16" s="183"/>
      <c r="U16" s="183"/>
    </row>
    <row r="17" spans="1:21" ht="15.75">
      <c r="A17" s="183"/>
      <c r="B17" s="183"/>
      <c r="C17" s="1910" t="s">
        <v>4111</v>
      </c>
      <c r="D17" s="183"/>
      <c r="E17" s="183"/>
      <c r="F17" s="183"/>
      <c r="G17" s="183"/>
      <c r="H17" s="183"/>
      <c r="I17" s="183"/>
      <c r="J17" s="183"/>
      <c r="K17" s="183"/>
      <c r="L17" s="183"/>
      <c r="M17" s="183"/>
      <c r="N17" s="183"/>
      <c r="O17" s="183"/>
      <c r="P17" s="183"/>
      <c r="Q17" s="183"/>
      <c r="R17" s="183"/>
      <c r="S17" s="183"/>
      <c r="T17" s="183"/>
      <c r="U17" s="183"/>
    </row>
    <row r="18" spans="1:21">
      <c r="A18" s="183"/>
      <c r="B18" s="183"/>
      <c r="C18" s="183"/>
      <c r="D18" s="183"/>
      <c r="E18" s="183"/>
      <c r="F18" s="183"/>
      <c r="G18" s="183"/>
      <c r="H18" s="183"/>
      <c r="I18" s="183"/>
      <c r="J18" s="183"/>
      <c r="K18" s="183"/>
      <c r="L18" s="183"/>
      <c r="M18" s="183"/>
      <c r="N18" s="183"/>
      <c r="O18" s="183"/>
      <c r="P18" s="183"/>
      <c r="Q18" s="183"/>
      <c r="R18" s="183"/>
      <c r="S18" s="183"/>
      <c r="T18" s="183"/>
      <c r="U18" s="183"/>
    </row>
    <row r="19" spans="1:21" ht="15.75">
      <c r="A19" s="183"/>
      <c r="B19" s="183"/>
      <c r="C19" s="1911" t="s">
        <v>4112</v>
      </c>
      <c r="D19" s="183"/>
      <c r="E19" s="183"/>
      <c r="F19" s="183"/>
      <c r="G19" s="183"/>
      <c r="H19" s="183"/>
      <c r="I19" s="183"/>
      <c r="J19" s="183"/>
      <c r="K19" s="183"/>
      <c r="L19" s="183"/>
      <c r="M19" s="183"/>
      <c r="N19" s="183"/>
      <c r="O19" s="183"/>
      <c r="P19" s="183"/>
      <c r="Q19" s="183"/>
      <c r="R19" s="183"/>
      <c r="S19" s="183"/>
      <c r="T19" s="183"/>
      <c r="U19" s="183"/>
    </row>
    <row r="20" spans="1:21" ht="15.75">
      <c r="A20" s="183"/>
      <c r="B20" s="183"/>
      <c r="C20" s="1911" t="s">
        <v>4113</v>
      </c>
      <c r="D20" s="183"/>
      <c r="E20" s="183"/>
      <c r="F20" s="183"/>
      <c r="G20" s="183"/>
      <c r="H20" s="183"/>
      <c r="I20" s="183"/>
      <c r="J20" s="183"/>
      <c r="K20" s="183"/>
      <c r="L20" s="183"/>
      <c r="M20" s="183"/>
      <c r="N20" s="183"/>
      <c r="O20" s="183"/>
      <c r="P20" s="183"/>
      <c r="Q20" s="183"/>
      <c r="R20" s="183"/>
      <c r="S20" s="183"/>
      <c r="T20" s="183"/>
      <c r="U20" s="183"/>
    </row>
    <row r="21" spans="1:21" ht="15.75">
      <c r="A21" s="183"/>
      <c r="B21" s="183"/>
      <c r="C21" s="1911" t="s">
        <v>4114</v>
      </c>
      <c r="D21" s="183"/>
      <c r="E21" s="183"/>
      <c r="F21" s="183"/>
      <c r="G21" s="183"/>
      <c r="H21" s="183"/>
      <c r="I21" s="183"/>
      <c r="J21" s="183"/>
      <c r="K21" s="183"/>
      <c r="L21" s="183"/>
      <c r="M21" s="183"/>
      <c r="N21" s="183"/>
      <c r="O21" s="183"/>
      <c r="P21" s="183"/>
      <c r="Q21" s="183"/>
      <c r="R21" s="183"/>
      <c r="S21" s="183"/>
      <c r="T21" s="183"/>
      <c r="U21" s="183"/>
    </row>
    <row r="22" spans="1:21">
      <c r="A22" s="183"/>
      <c r="B22" s="183"/>
      <c r="C22" s="183"/>
      <c r="D22" s="183"/>
      <c r="E22" s="183"/>
      <c r="F22" s="183"/>
      <c r="G22" s="183"/>
      <c r="H22" s="183"/>
      <c r="I22" s="183"/>
      <c r="J22" s="183"/>
      <c r="K22" s="183"/>
      <c r="L22" s="183"/>
      <c r="M22" s="183"/>
      <c r="N22" s="183"/>
      <c r="O22" s="183"/>
      <c r="P22" s="183"/>
      <c r="Q22" s="183"/>
      <c r="R22" s="183"/>
      <c r="S22" s="183"/>
      <c r="T22" s="183"/>
      <c r="U22" s="183"/>
    </row>
    <row r="23" spans="1:21">
      <c r="A23" s="183"/>
      <c r="B23" s="183"/>
      <c r="C23" s="1912" t="s">
        <v>4115</v>
      </c>
      <c r="D23" s="183"/>
      <c r="E23" s="183"/>
      <c r="F23" s="183"/>
      <c r="G23" s="183"/>
      <c r="H23" s="183"/>
      <c r="I23" s="183"/>
      <c r="J23" s="183"/>
      <c r="K23" s="183"/>
      <c r="L23" s="183"/>
      <c r="M23" s="183"/>
      <c r="N23" s="183"/>
      <c r="O23" s="183"/>
      <c r="P23" s="183"/>
      <c r="Q23" s="183"/>
      <c r="R23" s="183"/>
      <c r="S23" s="183"/>
      <c r="T23" s="183"/>
      <c r="U23" s="183"/>
    </row>
    <row r="24" spans="1:21">
      <c r="A24" s="183"/>
      <c r="B24" s="183"/>
      <c r="C24" s="1912" t="s">
        <v>4116</v>
      </c>
      <c r="D24" s="183"/>
      <c r="E24" s="183"/>
      <c r="F24" s="183"/>
      <c r="G24" s="183"/>
      <c r="H24" s="183"/>
      <c r="I24" s="183"/>
      <c r="J24" s="183"/>
      <c r="K24" s="183"/>
      <c r="L24" s="183"/>
      <c r="M24" s="183"/>
      <c r="N24" s="183"/>
      <c r="O24" s="183"/>
      <c r="P24" s="183"/>
      <c r="Q24" s="183"/>
      <c r="R24" s="183"/>
      <c r="S24" s="183"/>
      <c r="T24" s="183"/>
      <c r="U24" s="183"/>
    </row>
    <row r="25" spans="1:21">
      <c r="A25" s="183"/>
      <c r="B25" s="183"/>
      <c r="C25" s="1912"/>
      <c r="D25" s="183"/>
      <c r="E25" s="183"/>
      <c r="F25" s="183"/>
      <c r="G25" s="183"/>
      <c r="H25" s="183"/>
      <c r="I25" s="183"/>
      <c r="J25" s="183"/>
      <c r="K25" s="183"/>
      <c r="L25" s="183"/>
      <c r="M25" s="183"/>
      <c r="N25" s="183"/>
      <c r="O25" s="183"/>
      <c r="P25" s="183"/>
      <c r="Q25" s="183"/>
      <c r="R25" s="183"/>
      <c r="S25" s="183"/>
      <c r="T25" s="183"/>
      <c r="U25" s="183"/>
    </row>
    <row r="26" spans="1:21">
      <c r="A26" s="183"/>
      <c r="B26" s="183"/>
      <c r="C26" s="1912" t="s">
        <v>4117</v>
      </c>
      <c r="D26" s="183"/>
      <c r="E26" s="183"/>
      <c r="F26" s="183"/>
      <c r="G26" s="183"/>
      <c r="H26" s="183"/>
      <c r="I26" s="183"/>
      <c r="J26" s="183"/>
      <c r="K26" s="183"/>
      <c r="L26" s="183"/>
      <c r="M26" s="183"/>
      <c r="N26" s="183"/>
      <c r="O26" s="183"/>
      <c r="P26" s="183"/>
      <c r="Q26" s="183"/>
      <c r="R26" s="183"/>
      <c r="S26" s="183"/>
      <c r="T26" s="183"/>
      <c r="U26" s="183"/>
    </row>
    <row r="27" spans="1:21">
      <c r="A27" s="183"/>
      <c r="B27" s="183"/>
      <c r="C27" s="1912"/>
      <c r="D27" s="183"/>
      <c r="E27" s="183"/>
      <c r="F27" s="183"/>
      <c r="G27" s="183"/>
      <c r="H27" s="183"/>
      <c r="I27" s="183"/>
      <c r="J27" s="183"/>
      <c r="K27" s="183"/>
      <c r="L27" s="183"/>
      <c r="M27" s="183"/>
      <c r="N27" s="183"/>
      <c r="O27" s="183"/>
      <c r="P27" s="183"/>
      <c r="Q27" s="183"/>
      <c r="R27" s="183"/>
      <c r="S27" s="183"/>
      <c r="T27" s="183"/>
      <c r="U27" s="183"/>
    </row>
    <row r="28" spans="1:21">
      <c r="A28" s="183"/>
      <c r="B28" s="183"/>
      <c r="C28" s="183" t="s">
        <v>4118</v>
      </c>
      <c r="D28" s="183"/>
      <c r="E28" s="183"/>
      <c r="F28" s="183"/>
      <c r="G28" s="183"/>
      <c r="H28" s="183"/>
      <c r="I28" s="183"/>
      <c r="J28" s="183"/>
      <c r="K28" s="183"/>
      <c r="L28" s="183"/>
      <c r="M28" s="183"/>
      <c r="N28" s="183"/>
      <c r="O28" s="183"/>
      <c r="P28" s="183"/>
      <c r="Q28" s="183"/>
      <c r="R28" s="183"/>
      <c r="S28" s="183"/>
      <c r="T28" s="183"/>
      <c r="U28" s="183"/>
    </row>
    <row r="29" spans="1:21">
      <c r="A29" s="183"/>
      <c r="B29" s="183"/>
      <c r="C29" s="1912" t="s">
        <v>4119</v>
      </c>
      <c r="D29" s="183"/>
      <c r="E29" s="183"/>
      <c r="F29" s="183"/>
      <c r="G29" s="183"/>
      <c r="H29" s="183"/>
      <c r="I29" s="183"/>
      <c r="J29" s="183"/>
      <c r="K29" s="183"/>
      <c r="L29" s="183"/>
      <c r="M29" s="183"/>
      <c r="N29" s="183"/>
      <c r="O29" s="183"/>
      <c r="P29" s="183"/>
      <c r="Q29" s="183"/>
      <c r="R29" s="183"/>
      <c r="S29" s="183"/>
      <c r="T29" s="183"/>
      <c r="U29" s="183"/>
    </row>
    <row r="30" spans="1:21">
      <c r="A30" s="183"/>
      <c r="B30" s="183"/>
      <c r="C30" s="183"/>
      <c r="D30" s="183"/>
      <c r="E30" s="183"/>
      <c r="F30" s="183"/>
      <c r="G30" s="183"/>
      <c r="H30" s="183"/>
      <c r="I30" s="183"/>
      <c r="J30" s="183"/>
      <c r="K30" s="183"/>
      <c r="L30" s="183"/>
      <c r="M30" s="183"/>
      <c r="N30" s="183"/>
      <c r="O30" s="183"/>
      <c r="P30" s="183"/>
      <c r="Q30" s="183"/>
      <c r="R30" s="183"/>
      <c r="S30" s="183"/>
      <c r="T30" s="183"/>
      <c r="U30" s="183"/>
    </row>
    <row r="31" spans="1:21">
      <c r="A31" s="183"/>
      <c r="B31" s="183"/>
      <c r="C31" s="183" t="s">
        <v>4120</v>
      </c>
      <c r="D31" s="183"/>
      <c r="E31" s="183"/>
      <c r="F31" s="183"/>
      <c r="G31" s="183"/>
      <c r="H31" s="183"/>
      <c r="I31" s="183"/>
      <c r="J31" s="183"/>
      <c r="K31" s="183"/>
      <c r="L31" s="183"/>
      <c r="M31" s="183"/>
      <c r="N31" s="183"/>
      <c r="O31" s="183"/>
      <c r="P31" s="183"/>
      <c r="Q31" s="183"/>
      <c r="R31" s="183"/>
      <c r="S31" s="183"/>
      <c r="T31" s="183"/>
      <c r="U31" s="183"/>
    </row>
    <row r="32" spans="1:21">
      <c r="A32" s="183"/>
      <c r="B32" s="183"/>
      <c r="C32" s="183"/>
      <c r="D32" s="183"/>
      <c r="E32" s="183"/>
      <c r="F32" s="183"/>
      <c r="G32" s="183"/>
      <c r="H32" s="183"/>
      <c r="I32" s="183"/>
      <c r="J32" s="183"/>
      <c r="K32" s="183"/>
      <c r="L32" s="183"/>
      <c r="M32" s="183"/>
      <c r="N32" s="183"/>
      <c r="O32" s="183"/>
      <c r="P32" s="183"/>
      <c r="Q32" s="183"/>
      <c r="R32" s="183"/>
      <c r="S32" s="183"/>
      <c r="T32" s="183"/>
      <c r="U32" s="183"/>
    </row>
    <row r="33" spans="1:21">
      <c r="A33" s="183"/>
      <c r="B33" s="183"/>
      <c r="C33" s="183" t="s">
        <v>4121</v>
      </c>
      <c r="D33" s="183"/>
      <c r="E33" s="183"/>
      <c r="F33" s="183"/>
      <c r="G33" s="183"/>
      <c r="H33" s="183"/>
      <c r="I33" s="183"/>
      <c r="J33" s="183"/>
      <c r="K33" s="183"/>
      <c r="L33" s="183"/>
      <c r="M33" s="183"/>
      <c r="N33" s="183"/>
      <c r="O33" s="183"/>
      <c r="P33" s="183"/>
      <c r="Q33" s="183"/>
      <c r="R33" s="183"/>
      <c r="S33" s="183"/>
      <c r="T33" s="183"/>
      <c r="U33" s="183"/>
    </row>
    <row r="34" spans="1:21">
      <c r="A34" s="183"/>
      <c r="B34" s="183"/>
      <c r="C34" s="183" t="s">
        <v>4122</v>
      </c>
      <c r="D34" s="183"/>
      <c r="E34" s="183"/>
      <c r="F34" s="183"/>
      <c r="G34" s="183"/>
      <c r="H34" s="183"/>
      <c r="I34" s="183"/>
      <c r="J34" s="183"/>
      <c r="K34" s="183"/>
      <c r="L34" s="183"/>
      <c r="M34" s="183"/>
      <c r="N34" s="183"/>
      <c r="O34" s="183"/>
      <c r="P34" s="183"/>
      <c r="Q34" s="183"/>
      <c r="R34" s="183"/>
      <c r="S34" s="183"/>
      <c r="T34" s="183"/>
      <c r="U34" s="183"/>
    </row>
    <row r="35" spans="1:21">
      <c r="A35" s="183"/>
      <c r="B35" s="183"/>
      <c r="C35" s="183"/>
      <c r="D35" s="183"/>
      <c r="E35" s="183"/>
      <c r="F35" s="183"/>
      <c r="G35" s="183"/>
      <c r="H35" s="183"/>
      <c r="I35" s="183"/>
      <c r="J35" s="183"/>
      <c r="K35" s="183"/>
      <c r="L35" s="183"/>
      <c r="M35" s="183"/>
      <c r="N35" s="183"/>
      <c r="O35" s="183"/>
      <c r="P35" s="183"/>
      <c r="Q35" s="183"/>
      <c r="R35" s="183"/>
      <c r="S35" s="183"/>
      <c r="T35" s="183"/>
      <c r="U35" s="183"/>
    </row>
    <row r="36" spans="1:21" ht="18">
      <c r="A36" s="183"/>
      <c r="B36" s="183"/>
      <c r="C36" s="1913" t="s">
        <v>4123</v>
      </c>
      <c r="D36" s="183"/>
      <c r="E36" s="183"/>
      <c r="F36" s="183"/>
      <c r="G36" s="183"/>
      <c r="H36" s="183"/>
      <c r="I36" s="183"/>
      <c r="J36" s="183"/>
      <c r="K36" s="183"/>
      <c r="L36" s="183"/>
      <c r="M36" s="183"/>
      <c r="N36" s="183"/>
      <c r="O36" s="183"/>
      <c r="P36" s="183"/>
      <c r="Q36" s="183"/>
      <c r="R36" s="183"/>
      <c r="S36" s="183"/>
      <c r="T36" s="183"/>
      <c r="U36" s="183"/>
    </row>
    <row r="37" spans="1:21">
      <c r="A37" s="183"/>
      <c r="B37" s="183"/>
      <c r="C37" s="58"/>
      <c r="D37" s="183"/>
      <c r="E37" s="183"/>
      <c r="F37" s="183"/>
      <c r="G37" s="183"/>
      <c r="H37" s="183"/>
      <c r="I37" s="183"/>
      <c r="J37" s="183"/>
      <c r="K37" s="183"/>
      <c r="L37" s="183"/>
      <c r="M37" s="183"/>
      <c r="N37" s="183"/>
      <c r="O37" s="183"/>
      <c r="P37" s="183"/>
      <c r="Q37" s="183"/>
      <c r="R37" s="183"/>
      <c r="S37" s="183"/>
      <c r="T37" s="183"/>
      <c r="U37" s="183"/>
    </row>
    <row r="38" spans="1:21">
      <c r="A38" s="183"/>
      <c r="B38" s="183"/>
      <c r="C38" s="903" t="s">
        <v>4124</v>
      </c>
      <c r="D38" s="183"/>
      <c r="E38" s="183"/>
      <c r="F38" s="183"/>
      <c r="G38" s="183"/>
      <c r="H38" s="183"/>
      <c r="I38" s="183"/>
      <c r="J38" s="183"/>
      <c r="K38" s="183"/>
      <c r="L38" s="183"/>
      <c r="M38" s="183"/>
      <c r="N38" s="183"/>
      <c r="O38" s="183"/>
      <c r="P38" s="183"/>
      <c r="Q38" s="183"/>
      <c r="R38" s="183"/>
      <c r="S38" s="183"/>
      <c r="T38" s="183"/>
      <c r="U38" s="183"/>
    </row>
    <row r="39" spans="1:21">
      <c r="A39" s="183"/>
      <c r="B39" s="183"/>
      <c r="C39" s="58"/>
      <c r="D39" s="183"/>
      <c r="E39" s="183"/>
      <c r="F39" s="183"/>
      <c r="G39" s="183"/>
      <c r="H39" s="183"/>
      <c r="I39" s="183"/>
      <c r="J39" s="183"/>
      <c r="K39" s="183"/>
      <c r="L39" s="183"/>
      <c r="M39" s="183"/>
      <c r="N39" s="183"/>
      <c r="O39" s="183"/>
      <c r="P39" s="183"/>
      <c r="Q39" s="183"/>
      <c r="R39" s="183"/>
      <c r="S39" s="183"/>
      <c r="T39" s="183"/>
      <c r="U39" s="183"/>
    </row>
    <row r="40" spans="1:21">
      <c r="A40" s="183"/>
      <c r="B40" s="183"/>
      <c r="C40" s="58" t="s">
        <v>4125</v>
      </c>
      <c r="D40" s="183"/>
      <c r="E40" s="183"/>
      <c r="F40" s="183"/>
      <c r="G40" s="183"/>
      <c r="H40" s="183"/>
      <c r="I40" s="183"/>
      <c r="J40" s="183"/>
      <c r="K40" s="183"/>
      <c r="L40" s="183"/>
      <c r="M40" s="183"/>
      <c r="N40" s="183"/>
      <c r="O40" s="183"/>
      <c r="P40" s="183"/>
      <c r="Q40" s="183"/>
      <c r="R40" s="183"/>
      <c r="S40" s="183"/>
      <c r="T40" s="183"/>
      <c r="U40" s="183"/>
    </row>
    <row r="41" spans="1:21">
      <c r="A41" s="183"/>
      <c r="B41" s="183"/>
      <c r="C41" s="58" t="s">
        <v>4126</v>
      </c>
      <c r="D41" s="183"/>
      <c r="E41" s="183"/>
      <c r="F41" s="183"/>
      <c r="G41" s="183"/>
      <c r="H41" s="183"/>
      <c r="I41" s="183"/>
      <c r="J41" s="183"/>
      <c r="K41" s="183"/>
      <c r="L41" s="183"/>
      <c r="M41" s="183"/>
      <c r="N41" s="183"/>
      <c r="O41" s="183"/>
      <c r="P41" s="183"/>
      <c r="Q41" s="183"/>
      <c r="R41" s="183"/>
      <c r="S41" s="183"/>
      <c r="T41" s="183"/>
      <c r="U41" s="183"/>
    </row>
    <row r="42" spans="1:21">
      <c r="A42" s="183"/>
      <c r="B42" s="183"/>
      <c r="C42" s="1914" t="s">
        <v>4127</v>
      </c>
      <c r="D42" s="183"/>
      <c r="E42" s="183"/>
      <c r="F42" s="183"/>
      <c r="G42" s="183"/>
      <c r="H42" s="183"/>
      <c r="I42" s="183"/>
      <c r="J42" s="183"/>
      <c r="K42" s="183"/>
      <c r="L42" s="183"/>
      <c r="M42" s="183"/>
      <c r="N42" s="183"/>
      <c r="O42" s="183"/>
      <c r="P42" s="183"/>
      <c r="Q42" s="183"/>
      <c r="R42" s="183"/>
      <c r="S42" s="183"/>
      <c r="T42" s="183"/>
      <c r="U42" s="183"/>
    </row>
    <row r="43" spans="1:21">
      <c r="A43" s="183"/>
      <c r="B43" s="183"/>
      <c r="C43" s="58"/>
      <c r="D43" s="183"/>
      <c r="E43" s="183"/>
      <c r="F43" s="183"/>
      <c r="G43" s="183"/>
      <c r="H43" s="183"/>
      <c r="I43" s="183"/>
      <c r="J43" s="183"/>
      <c r="K43" s="183"/>
      <c r="L43" s="183"/>
      <c r="M43" s="183"/>
      <c r="N43" s="183"/>
      <c r="O43" s="183"/>
      <c r="P43" s="183"/>
      <c r="Q43" s="183"/>
      <c r="R43" s="183"/>
      <c r="S43" s="183"/>
      <c r="T43" s="183"/>
      <c r="U43" s="183"/>
    </row>
    <row r="44" spans="1:21">
      <c r="A44" s="183"/>
      <c r="B44" s="183"/>
      <c r="C44" s="903" t="s">
        <v>4128</v>
      </c>
      <c r="D44" s="183"/>
      <c r="E44" s="183"/>
      <c r="F44" s="183"/>
      <c r="G44" s="183"/>
      <c r="H44" s="183"/>
      <c r="I44" s="183"/>
      <c r="J44" s="183"/>
      <c r="K44" s="183"/>
      <c r="L44" s="183"/>
      <c r="M44" s="183"/>
      <c r="N44" s="183"/>
      <c r="O44" s="183"/>
      <c r="P44" s="183"/>
      <c r="Q44" s="183"/>
      <c r="R44" s="183"/>
      <c r="S44" s="183"/>
      <c r="T44" s="183"/>
      <c r="U44" s="183"/>
    </row>
    <row r="45" spans="1:21">
      <c r="A45" s="183"/>
      <c r="B45" s="183"/>
      <c r="C45" s="1914" t="s">
        <v>4129</v>
      </c>
      <c r="D45" s="183"/>
      <c r="E45" s="183"/>
      <c r="F45" s="183"/>
      <c r="G45" s="183"/>
      <c r="H45" s="183"/>
      <c r="I45" s="183"/>
      <c r="J45" s="183"/>
      <c r="K45" s="183"/>
      <c r="L45" s="183"/>
      <c r="M45" s="183"/>
      <c r="N45" s="183"/>
      <c r="O45" s="183"/>
      <c r="P45" s="183"/>
      <c r="Q45" s="183"/>
      <c r="R45" s="183"/>
      <c r="S45" s="183"/>
      <c r="T45" s="183"/>
      <c r="U45" s="183"/>
    </row>
    <row r="46" spans="1:21">
      <c r="A46" s="183"/>
      <c r="B46" s="183"/>
      <c r="C46" s="58" t="s">
        <v>4130</v>
      </c>
      <c r="D46" s="183"/>
      <c r="E46" s="183"/>
      <c r="F46" s="183"/>
      <c r="G46" s="183"/>
      <c r="H46" s="183"/>
      <c r="I46" s="183"/>
      <c r="J46" s="183"/>
      <c r="K46" s="183"/>
      <c r="L46" s="183"/>
      <c r="M46" s="183"/>
      <c r="N46" s="183"/>
      <c r="O46" s="183"/>
      <c r="P46" s="183"/>
      <c r="Q46" s="183"/>
      <c r="R46" s="183"/>
      <c r="S46" s="183"/>
      <c r="T46" s="183"/>
      <c r="U46" s="183"/>
    </row>
    <row r="47" spans="1:21">
      <c r="A47" s="183"/>
      <c r="B47" s="183"/>
      <c r="C47" s="183"/>
      <c r="D47" s="183"/>
      <c r="E47" s="183"/>
      <c r="F47" s="183"/>
      <c r="G47" s="183"/>
      <c r="H47" s="183"/>
      <c r="I47" s="183"/>
      <c r="J47" s="183"/>
      <c r="K47" s="183"/>
      <c r="L47" s="183"/>
      <c r="M47" s="183"/>
      <c r="N47" s="183"/>
      <c r="O47" s="183"/>
      <c r="P47" s="183"/>
      <c r="Q47" s="183"/>
      <c r="R47" s="183"/>
      <c r="S47" s="183"/>
      <c r="T47" s="183"/>
      <c r="U47" s="183"/>
    </row>
    <row r="48" spans="1:21" ht="18">
      <c r="A48" s="183"/>
      <c r="B48" s="183"/>
      <c r="C48" s="1913" t="s">
        <v>4131</v>
      </c>
      <c r="D48" s="183"/>
      <c r="E48" s="183"/>
      <c r="F48" s="183"/>
      <c r="G48" s="183"/>
      <c r="H48" s="183"/>
      <c r="I48" s="183"/>
      <c r="J48" s="183"/>
      <c r="K48" s="183"/>
      <c r="L48" s="183"/>
      <c r="M48" s="183"/>
      <c r="N48" s="183"/>
      <c r="O48" s="183"/>
      <c r="P48" s="183"/>
      <c r="Q48" s="183"/>
      <c r="R48" s="183"/>
      <c r="S48" s="183"/>
      <c r="T48" s="183"/>
      <c r="U48" s="183"/>
    </row>
    <row r="49" spans="1:21">
      <c r="A49" s="183"/>
      <c r="B49" s="183"/>
      <c r="C49" s="183" t="s">
        <v>4132</v>
      </c>
      <c r="D49" s="183"/>
      <c r="E49" s="183"/>
      <c r="F49" s="183"/>
      <c r="G49" s="183"/>
      <c r="H49" s="183"/>
      <c r="I49" s="183"/>
      <c r="J49" s="183"/>
      <c r="K49" s="183"/>
      <c r="L49" s="183"/>
      <c r="M49" s="183"/>
      <c r="N49" s="183"/>
      <c r="O49" s="183"/>
      <c r="P49" s="183"/>
      <c r="Q49" s="183"/>
      <c r="R49" s="183"/>
      <c r="S49" s="183"/>
      <c r="T49" s="183"/>
      <c r="U49" s="183"/>
    </row>
    <row r="50" spans="1:21">
      <c r="A50" s="183"/>
      <c r="B50" s="183"/>
      <c r="C50" s="1912" t="s">
        <v>4133</v>
      </c>
      <c r="D50" s="183"/>
      <c r="E50" s="183"/>
      <c r="F50" s="183"/>
      <c r="G50" s="183"/>
      <c r="H50" s="183"/>
      <c r="I50" s="183"/>
      <c r="J50" s="183"/>
      <c r="K50" s="183"/>
      <c r="L50" s="183"/>
      <c r="M50" s="183"/>
      <c r="N50" s="183"/>
      <c r="O50" s="183"/>
      <c r="P50" s="183"/>
      <c r="Q50" s="183"/>
      <c r="R50" s="183"/>
      <c r="S50" s="183"/>
      <c r="T50" s="183"/>
      <c r="U50" s="183"/>
    </row>
    <row r="51" spans="1:21">
      <c r="A51" s="183"/>
      <c r="B51" s="183"/>
      <c r="C51" s="183"/>
      <c r="D51" s="183"/>
      <c r="E51" s="183"/>
      <c r="F51" s="183"/>
      <c r="G51" s="183"/>
      <c r="H51" s="183"/>
      <c r="I51" s="183"/>
      <c r="J51" s="183"/>
      <c r="K51" s="183"/>
      <c r="L51" s="183"/>
      <c r="M51" s="183"/>
      <c r="N51" s="183"/>
      <c r="O51" s="183"/>
      <c r="P51" s="183"/>
      <c r="Q51" s="183"/>
      <c r="R51" s="183"/>
      <c r="S51" s="183"/>
      <c r="T51" s="183"/>
      <c r="U51" s="183"/>
    </row>
    <row r="52" spans="1:21">
      <c r="A52" s="183"/>
      <c r="B52" s="183"/>
      <c r="C52" s="183" t="s">
        <v>4134</v>
      </c>
      <c r="D52" s="183"/>
      <c r="E52" s="183"/>
      <c r="F52" s="183"/>
      <c r="G52" s="183"/>
      <c r="H52" s="183"/>
      <c r="I52" s="183"/>
      <c r="J52" s="183"/>
      <c r="K52" s="183"/>
      <c r="L52" s="183"/>
      <c r="M52" s="183"/>
      <c r="N52" s="183"/>
      <c r="O52" s="183"/>
      <c r="P52" s="183"/>
      <c r="Q52" s="183"/>
      <c r="R52" s="183"/>
      <c r="S52" s="183"/>
      <c r="T52" s="183"/>
      <c r="U52" s="183"/>
    </row>
    <row r="53" spans="1:21">
      <c r="A53" s="183"/>
      <c r="B53" s="183"/>
      <c r="C53" s="183"/>
      <c r="D53" s="183"/>
      <c r="E53" s="183"/>
      <c r="F53" s="183"/>
      <c r="G53" s="183"/>
      <c r="H53" s="183"/>
      <c r="I53" s="183"/>
      <c r="J53" s="183"/>
      <c r="K53" s="183"/>
      <c r="L53" s="183"/>
      <c r="M53" s="183"/>
      <c r="N53" s="183"/>
      <c r="O53" s="183"/>
      <c r="P53" s="183"/>
      <c r="Q53" s="183"/>
      <c r="R53" s="183"/>
      <c r="S53" s="183"/>
      <c r="T53" s="183"/>
      <c r="U53" s="183"/>
    </row>
    <row r="54" spans="1:21">
      <c r="A54" s="183"/>
      <c r="B54" s="183"/>
      <c r="C54" s="183" t="s">
        <v>4135</v>
      </c>
      <c r="D54" s="183"/>
      <c r="E54" s="183"/>
      <c r="F54" s="183"/>
      <c r="G54" s="183"/>
      <c r="H54" s="183"/>
      <c r="I54" s="183"/>
      <c r="J54" s="183"/>
      <c r="K54" s="183"/>
      <c r="L54" s="183"/>
      <c r="M54" s="183"/>
      <c r="N54" s="183"/>
      <c r="O54" s="183"/>
      <c r="P54" s="183"/>
      <c r="Q54" s="183"/>
      <c r="R54" s="183"/>
      <c r="S54" s="183"/>
      <c r="T54" s="183"/>
      <c r="U54" s="183"/>
    </row>
    <row r="55" spans="1:21">
      <c r="A55" s="183"/>
      <c r="B55" s="183"/>
      <c r="C55" s="183"/>
      <c r="D55" s="183"/>
      <c r="E55" s="183"/>
      <c r="F55" s="183"/>
      <c r="G55" s="183"/>
      <c r="H55" s="183"/>
      <c r="I55" s="183"/>
      <c r="J55" s="183"/>
      <c r="K55" s="183"/>
      <c r="L55" s="183"/>
      <c r="M55" s="183"/>
      <c r="N55" s="183"/>
      <c r="O55" s="183"/>
      <c r="P55" s="183"/>
      <c r="Q55" s="183"/>
      <c r="R55" s="183"/>
      <c r="S55" s="183"/>
      <c r="T55" s="183"/>
      <c r="U55" s="183"/>
    </row>
    <row r="56" spans="1:21">
      <c r="A56" s="183"/>
      <c r="B56" s="183"/>
      <c r="C56" s="183"/>
      <c r="D56" s="183"/>
      <c r="E56" s="183"/>
      <c r="F56" s="183"/>
      <c r="G56" s="183"/>
      <c r="H56" s="183"/>
      <c r="I56" s="183"/>
      <c r="J56" s="183"/>
      <c r="K56" s="183"/>
      <c r="L56" s="183"/>
      <c r="M56" s="183"/>
      <c r="N56" s="183"/>
      <c r="O56" s="183"/>
      <c r="P56" s="183"/>
      <c r="Q56" s="183"/>
      <c r="R56" s="183"/>
      <c r="S56" s="183"/>
      <c r="T56" s="183"/>
      <c r="U56" s="183"/>
    </row>
    <row r="57" spans="1:21" ht="18.75">
      <c r="A57" s="183"/>
      <c r="B57" s="183"/>
      <c r="C57" s="1915" t="s">
        <v>4136</v>
      </c>
      <c r="D57" s="1916"/>
      <c r="E57" s="183"/>
      <c r="F57" s="183"/>
      <c r="G57" s="183"/>
      <c r="H57" s="183"/>
      <c r="I57" s="183"/>
      <c r="J57" s="183"/>
      <c r="K57" s="183"/>
      <c r="L57" s="183"/>
      <c r="M57" s="183"/>
      <c r="N57" s="183"/>
      <c r="O57" s="183"/>
      <c r="P57" s="183"/>
      <c r="Q57" s="183"/>
      <c r="R57" s="183"/>
      <c r="S57" s="183"/>
      <c r="T57" s="183"/>
      <c r="U57" s="183"/>
    </row>
    <row r="58" spans="1:21" ht="15.75">
      <c r="A58" s="183"/>
      <c r="B58" s="183"/>
      <c r="C58" s="1917"/>
      <c r="D58" s="1916"/>
      <c r="E58" s="183"/>
      <c r="F58" s="183"/>
      <c r="G58" s="183"/>
      <c r="H58" s="183"/>
      <c r="I58" s="183"/>
      <c r="J58" s="183"/>
      <c r="K58" s="183"/>
      <c r="L58" s="183"/>
      <c r="M58" s="183"/>
      <c r="N58" s="183"/>
      <c r="O58" s="183"/>
      <c r="P58" s="183"/>
      <c r="Q58" s="183"/>
      <c r="R58" s="183"/>
      <c r="S58" s="183"/>
      <c r="T58" s="183"/>
      <c r="U58" s="183"/>
    </row>
    <row r="59" spans="1:21" ht="18.75">
      <c r="A59" s="183"/>
      <c r="B59" s="183"/>
      <c r="C59" s="1555" t="s">
        <v>4137</v>
      </c>
      <c r="D59" s="1916"/>
      <c r="E59" s="183"/>
      <c r="F59" s="183"/>
      <c r="G59" s="183"/>
      <c r="H59" s="183"/>
      <c r="I59" s="183"/>
      <c r="J59" s="183"/>
      <c r="K59" s="183"/>
      <c r="L59" s="183"/>
      <c r="M59" s="183"/>
      <c r="N59" s="183"/>
      <c r="O59" s="183"/>
      <c r="P59" s="183"/>
      <c r="Q59" s="183"/>
      <c r="R59" s="183"/>
      <c r="S59" s="183"/>
      <c r="T59" s="183"/>
      <c r="U59" s="183"/>
    </row>
    <row r="60" spans="1:21" ht="18.75">
      <c r="A60" s="183"/>
      <c r="B60" s="183"/>
      <c r="C60" s="1555"/>
      <c r="D60" s="1916"/>
      <c r="E60" s="183"/>
      <c r="F60" s="183"/>
      <c r="G60" s="183"/>
      <c r="H60" s="183"/>
      <c r="I60" s="183"/>
      <c r="J60" s="183"/>
      <c r="K60" s="183"/>
      <c r="L60" s="183"/>
      <c r="M60" s="183"/>
      <c r="N60" s="183"/>
      <c r="O60" s="183"/>
      <c r="P60" s="183"/>
      <c r="Q60" s="183"/>
      <c r="R60" s="183"/>
      <c r="S60" s="183"/>
      <c r="T60" s="183"/>
      <c r="U60" s="183"/>
    </row>
    <row r="61" spans="1:21" ht="15.75">
      <c r="A61" s="183"/>
      <c r="B61" s="183"/>
      <c r="C61" s="1918" t="s">
        <v>4138</v>
      </c>
      <c r="D61" s="1916"/>
      <c r="E61" s="183"/>
      <c r="F61" s="183"/>
      <c r="G61" s="183"/>
      <c r="H61" s="183"/>
      <c r="I61" s="183"/>
      <c r="J61" s="183"/>
      <c r="K61" s="183"/>
      <c r="L61" s="183"/>
      <c r="M61" s="183"/>
      <c r="N61" s="183"/>
      <c r="O61" s="183"/>
      <c r="P61" s="183"/>
      <c r="Q61" s="183"/>
      <c r="R61" s="183"/>
      <c r="S61" s="183"/>
      <c r="T61" s="183"/>
      <c r="U61" s="183"/>
    </row>
    <row r="62" spans="1:21">
      <c r="A62" s="183"/>
      <c r="B62" s="183"/>
      <c r="C62" s="183"/>
      <c r="D62" s="1916"/>
      <c r="E62" s="183"/>
      <c r="F62" s="183"/>
      <c r="G62" s="183"/>
      <c r="H62" s="183"/>
      <c r="I62" s="183"/>
      <c r="J62" s="183"/>
      <c r="K62" s="183"/>
      <c r="L62" s="183"/>
      <c r="M62" s="183"/>
      <c r="N62" s="183"/>
      <c r="O62" s="183"/>
      <c r="P62" s="183"/>
      <c r="Q62" s="183"/>
      <c r="R62" s="183"/>
      <c r="S62" s="183"/>
      <c r="T62" s="183"/>
      <c r="U62" s="183"/>
    </row>
    <row r="63" spans="1:21" ht="15.75">
      <c r="A63" s="1577" t="s">
        <v>4139</v>
      </c>
      <c r="B63" s="183"/>
      <c r="C63" s="1917" t="s">
        <v>4110</v>
      </c>
      <c r="D63" s="1916"/>
      <c r="E63" s="183"/>
      <c r="F63" s="183"/>
      <c r="G63" s="183"/>
      <c r="H63" s="183"/>
      <c r="I63" s="183"/>
      <c r="J63" s="183"/>
      <c r="K63" s="183"/>
      <c r="L63" s="183"/>
      <c r="M63" s="183"/>
      <c r="N63" s="183"/>
      <c r="O63" s="183"/>
      <c r="P63" s="183"/>
      <c r="Q63" s="183"/>
      <c r="R63" s="183"/>
      <c r="S63" s="183"/>
      <c r="T63" s="183"/>
      <c r="U63" s="183"/>
    </row>
    <row r="64" spans="1:21" ht="15.75">
      <c r="A64" s="1919">
        <f>LEN(C64)</f>
        <v>877</v>
      </c>
      <c r="B64" s="1577"/>
      <c r="C64" s="1910" t="s">
        <v>4140</v>
      </c>
      <c r="D64" s="183"/>
      <c r="E64" s="183"/>
      <c r="F64" s="183"/>
      <c r="G64" s="183"/>
      <c r="H64" s="183"/>
      <c r="I64" s="183"/>
      <c r="J64" s="183"/>
      <c r="K64" s="183"/>
      <c r="L64" s="183"/>
      <c r="M64" s="183"/>
      <c r="N64" s="183"/>
      <c r="O64" s="183"/>
      <c r="P64" s="183"/>
      <c r="Q64" s="183"/>
      <c r="R64" s="183"/>
      <c r="S64" s="183"/>
      <c r="T64" s="183"/>
      <c r="U64" s="183"/>
    </row>
    <row r="65" spans="1:21" ht="15.75">
      <c r="A65" s="183"/>
      <c r="B65" s="183"/>
      <c r="C65" s="1910"/>
      <c r="D65" s="183"/>
      <c r="E65" s="183"/>
      <c r="F65" s="183"/>
      <c r="G65" s="183"/>
      <c r="H65" s="183"/>
      <c r="I65" s="183"/>
      <c r="J65" s="183"/>
      <c r="K65" s="183"/>
      <c r="L65" s="183"/>
      <c r="M65" s="183"/>
      <c r="N65" s="183"/>
      <c r="O65" s="183"/>
      <c r="P65" s="183"/>
      <c r="Q65" s="183"/>
      <c r="R65" s="183"/>
      <c r="S65" s="183"/>
      <c r="T65" s="183"/>
      <c r="U65" s="183"/>
    </row>
    <row r="66" spans="1:21">
      <c r="A66" s="183"/>
      <c r="B66" s="183"/>
      <c r="C66" s="1912" t="s">
        <v>4141</v>
      </c>
      <c r="D66" s="183"/>
      <c r="E66" s="183"/>
      <c r="F66" s="183"/>
      <c r="G66" s="183"/>
      <c r="H66" s="183"/>
      <c r="I66" s="183"/>
      <c r="J66" s="183"/>
      <c r="K66" s="183"/>
      <c r="L66" s="183"/>
      <c r="M66" s="183"/>
      <c r="N66" s="183"/>
      <c r="O66" s="183"/>
      <c r="P66" s="183"/>
      <c r="Q66" s="183"/>
      <c r="R66" s="183"/>
      <c r="S66" s="183"/>
      <c r="T66" s="183"/>
      <c r="U66" s="183"/>
    </row>
    <row r="67" spans="1:21">
      <c r="A67" s="183"/>
      <c r="B67" s="183"/>
      <c r="C67" s="183"/>
      <c r="D67" s="183"/>
      <c r="E67" s="183"/>
      <c r="F67" s="183"/>
      <c r="G67" s="183"/>
      <c r="H67" s="183"/>
      <c r="I67" s="183"/>
      <c r="J67" s="183"/>
      <c r="K67" s="183"/>
      <c r="L67" s="183"/>
      <c r="M67" s="183"/>
      <c r="N67" s="183"/>
      <c r="O67" s="183"/>
      <c r="P67" s="183"/>
      <c r="Q67" s="183"/>
      <c r="R67" s="183"/>
      <c r="S67" s="183"/>
      <c r="T67" s="183"/>
      <c r="U67" s="183"/>
    </row>
    <row r="68" spans="1:21" ht="30" customHeight="1">
      <c r="A68" s="183"/>
      <c r="B68" s="183"/>
      <c r="C68" s="1917" t="s">
        <v>3442</v>
      </c>
      <c r="D68" s="183"/>
      <c r="E68" s="183"/>
      <c r="F68" s="183"/>
      <c r="G68" s="183"/>
      <c r="H68" s="183"/>
      <c r="I68" s="183"/>
      <c r="J68" s="183"/>
      <c r="K68" s="183"/>
      <c r="L68" s="183"/>
      <c r="M68" s="183"/>
      <c r="N68" s="183"/>
      <c r="O68" s="183"/>
      <c r="P68" s="183"/>
      <c r="Q68" s="183"/>
      <c r="R68" s="183"/>
      <c r="S68" s="183"/>
      <c r="T68" s="183"/>
      <c r="U68" s="183"/>
    </row>
    <row r="69" spans="1:21">
      <c r="A69" s="58"/>
      <c r="B69" s="183"/>
      <c r="C69" s="183"/>
      <c r="D69" s="183"/>
      <c r="E69" s="183"/>
      <c r="F69" s="183"/>
      <c r="G69" s="183"/>
      <c r="H69" s="183"/>
      <c r="I69" s="183"/>
      <c r="J69" s="183"/>
      <c r="K69" s="183"/>
      <c r="L69" s="183"/>
      <c r="M69" s="183"/>
      <c r="N69" s="183"/>
      <c r="O69" s="183"/>
      <c r="P69" s="183"/>
      <c r="Q69" s="183"/>
      <c r="R69" s="183"/>
      <c r="S69" s="183"/>
      <c r="T69" s="183"/>
      <c r="U69" s="183"/>
    </row>
    <row r="70" spans="1:21">
      <c r="A70" s="1577">
        <f>LEN(C70)</f>
        <v>64</v>
      </c>
      <c r="B70" s="1577"/>
      <c r="C70" s="183" t="s">
        <v>4142</v>
      </c>
      <c r="D70" s="183"/>
      <c r="E70" s="183"/>
      <c r="F70" s="183"/>
      <c r="G70" s="183"/>
      <c r="H70" s="183"/>
      <c r="I70" s="183"/>
      <c r="J70" s="183"/>
      <c r="K70" s="183"/>
      <c r="L70" s="183"/>
      <c r="M70" s="183"/>
      <c r="N70" s="183"/>
      <c r="O70" s="183"/>
      <c r="P70" s="183"/>
      <c r="Q70" s="183"/>
      <c r="R70" s="183"/>
      <c r="S70" s="183"/>
      <c r="T70" s="183"/>
      <c r="U70" s="183"/>
    </row>
    <row r="71" spans="1:21">
      <c r="A71" s="1577">
        <f>LEN(C71)</f>
        <v>70</v>
      </c>
      <c r="B71" s="1577"/>
      <c r="C71" s="183" t="s">
        <v>4143</v>
      </c>
      <c r="D71" s="183"/>
      <c r="E71" s="183"/>
      <c r="F71" s="183"/>
      <c r="G71" s="183"/>
      <c r="H71" s="183"/>
      <c r="I71" s="183"/>
      <c r="J71" s="183"/>
      <c r="K71" s="183"/>
      <c r="L71" s="183"/>
      <c r="M71" s="183"/>
      <c r="N71" s="183"/>
      <c r="O71" s="183"/>
      <c r="P71" s="183"/>
      <c r="Q71" s="183"/>
      <c r="R71" s="183"/>
      <c r="S71" s="183"/>
      <c r="T71" s="183"/>
      <c r="U71" s="183"/>
    </row>
    <row r="72" spans="1:21">
      <c r="A72" s="183"/>
      <c r="B72" s="183"/>
      <c r="C72" s="183"/>
      <c r="D72" s="183"/>
      <c r="E72" s="183"/>
      <c r="F72" s="183"/>
      <c r="G72" s="183"/>
      <c r="H72" s="183"/>
      <c r="I72" s="183"/>
      <c r="J72" s="183"/>
      <c r="K72" s="183"/>
      <c r="L72" s="183"/>
      <c r="M72" s="183"/>
      <c r="N72" s="183"/>
      <c r="O72" s="183"/>
      <c r="P72" s="183"/>
      <c r="Q72" s="183"/>
      <c r="R72" s="183"/>
      <c r="S72" s="183"/>
      <c r="T72" s="183"/>
      <c r="U72" s="183"/>
    </row>
    <row r="73" spans="1:21">
      <c r="A73" s="1577">
        <f t="shared" ref="A73:A75" si="0">LEN(C73)</f>
        <v>65</v>
      </c>
      <c r="B73" s="1577"/>
      <c r="C73" s="183" t="s">
        <v>4144</v>
      </c>
      <c r="D73" s="183"/>
      <c r="E73" s="183"/>
      <c r="F73" s="183"/>
      <c r="G73" s="183"/>
      <c r="H73" s="183"/>
      <c r="I73" s="183"/>
      <c r="J73" s="183"/>
      <c r="K73" s="183"/>
      <c r="L73" s="183"/>
      <c r="M73" s="183"/>
      <c r="N73" s="183"/>
      <c r="O73" s="183"/>
      <c r="P73" s="183"/>
      <c r="Q73" s="183"/>
      <c r="R73" s="183"/>
      <c r="S73" s="183"/>
      <c r="T73" s="183"/>
      <c r="U73" s="183"/>
    </row>
    <row r="74" spans="1:21">
      <c r="A74" s="1577">
        <f t="shared" si="0"/>
        <v>67</v>
      </c>
      <c r="B74" s="1577"/>
      <c r="C74" s="183" t="s">
        <v>4145</v>
      </c>
      <c r="D74" s="183"/>
      <c r="E74" s="183"/>
      <c r="F74" s="183"/>
      <c r="G74" s="183"/>
      <c r="H74" s="183"/>
      <c r="I74" s="183"/>
      <c r="J74" s="183"/>
      <c r="K74" s="183"/>
      <c r="L74" s="183"/>
      <c r="M74" s="183"/>
      <c r="N74" s="183"/>
      <c r="O74" s="183"/>
      <c r="P74" s="183"/>
      <c r="Q74" s="183"/>
      <c r="R74" s="183"/>
      <c r="S74" s="183"/>
      <c r="T74" s="183"/>
      <c r="U74" s="183"/>
    </row>
    <row r="75" spans="1:21">
      <c r="A75" s="1577">
        <f t="shared" si="0"/>
        <v>33</v>
      </c>
      <c r="B75" s="1577"/>
      <c r="C75" s="183" t="s">
        <v>4146</v>
      </c>
      <c r="D75" s="183"/>
      <c r="E75" s="183"/>
      <c r="F75" s="183"/>
      <c r="G75" s="183"/>
      <c r="H75" s="183"/>
      <c r="I75" s="183"/>
      <c r="J75" s="183"/>
      <c r="K75" s="183"/>
      <c r="L75" s="183"/>
      <c r="M75" s="183"/>
      <c r="N75" s="183"/>
      <c r="O75" s="183"/>
      <c r="P75" s="183"/>
      <c r="Q75" s="183"/>
      <c r="R75" s="183"/>
      <c r="S75" s="183"/>
      <c r="T75" s="183"/>
      <c r="U75" s="183"/>
    </row>
    <row r="76" spans="1:21">
      <c r="A76" s="183"/>
      <c r="B76" s="183"/>
      <c r="C76" s="183"/>
      <c r="D76" s="183"/>
      <c r="E76" s="183"/>
      <c r="F76" s="183"/>
      <c r="G76" s="183"/>
      <c r="H76" s="183"/>
      <c r="I76" s="183"/>
      <c r="J76" s="183"/>
      <c r="K76" s="183"/>
      <c r="L76" s="183"/>
      <c r="M76" s="183"/>
      <c r="N76" s="183"/>
      <c r="O76" s="183"/>
      <c r="P76" s="183"/>
      <c r="Q76" s="183"/>
      <c r="R76" s="183"/>
      <c r="S76" s="183"/>
      <c r="T76" s="183"/>
      <c r="U76" s="183"/>
    </row>
    <row r="77" spans="1:21">
      <c r="A77" s="1577">
        <f t="shared" ref="A77:A78" si="1">LEN(C77)</f>
        <v>64</v>
      </c>
      <c r="B77" s="1577"/>
      <c r="C77" s="183" t="s">
        <v>4147</v>
      </c>
      <c r="D77" s="183"/>
      <c r="E77" s="183"/>
      <c r="F77" s="183"/>
      <c r="G77" s="183"/>
      <c r="H77" s="183"/>
      <c r="I77" s="183"/>
      <c r="J77" s="183"/>
      <c r="K77" s="183"/>
      <c r="L77" s="183"/>
      <c r="M77" s="183"/>
      <c r="N77" s="183"/>
      <c r="O77" s="183"/>
      <c r="P77" s="183"/>
      <c r="Q77" s="183"/>
      <c r="R77" s="183"/>
      <c r="S77" s="183"/>
      <c r="T77" s="183"/>
      <c r="U77" s="183"/>
    </row>
    <row r="78" spans="1:21">
      <c r="A78" s="1577">
        <f t="shared" si="1"/>
        <v>56</v>
      </c>
      <c r="B78" s="1577"/>
      <c r="C78" s="183" t="s">
        <v>4148</v>
      </c>
      <c r="D78" s="183"/>
      <c r="E78" s="183"/>
      <c r="F78" s="183"/>
      <c r="G78" s="183"/>
      <c r="H78" s="183"/>
      <c r="I78" s="183"/>
      <c r="J78" s="183"/>
      <c r="K78" s="183"/>
      <c r="L78" s="183"/>
      <c r="M78" s="183"/>
      <c r="N78" s="183"/>
      <c r="O78" s="183"/>
      <c r="P78" s="183"/>
      <c r="Q78" s="183"/>
      <c r="R78" s="183"/>
      <c r="S78" s="183"/>
      <c r="T78" s="183"/>
      <c r="U78" s="183"/>
    </row>
    <row r="79" spans="1:21">
      <c r="A79" s="183"/>
      <c r="B79" s="183"/>
      <c r="C79" s="183"/>
      <c r="D79" s="183"/>
      <c r="E79" s="183"/>
      <c r="F79" s="183"/>
      <c r="G79" s="183"/>
      <c r="H79" s="183"/>
      <c r="I79" s="183"/>
      <c r="J79" s="183"/>
      <c r="K79" s="183"/>
      <c r="L79" s="183"/>
      <c r="M79" s="183"/>
      <c r="N79" s="183"/>
      <c r="O79" s="183"/>
      <c r="P79" s="183"/>
      <c r="Q79" s="183"/>
      <c r="R79" s="183"/>
      <c r="S79" s="183"/>
      <c r="T79" s="183"/>
      <c r="U79" s="183"/>
    </row>
    <row r="80" spans="1:21">
      <c r="A80" s="1577">
        <f t="shared" ref="A80:A82" si="2">LEN(C80)</f>
        <v>61</v>
      </c>
      <c r="B80" s="1577"/>
      <c r="C80" s="183" t="s">
        <v>4149</v>
      </c>
      <c r="D80" s="183"/>
      <c r="E80" s="183"/>
      <c r="F80" s="183"/>
      <c r="G80" s="183"/>
      <c r="H80" s="183"/>
      <c r="I80" s="183"/>
      <c r="J80" s="183"/>
      <c r="K80" s="183"/>
      <c r="L80" s="183"/>
      <c r="M80" s="183"/>
      <c r="N80" s="183"/>
      <c r="O80" s="183"/>
      <c r="P80" s="183"/>
      <c r="Q80" s="183"/>
      <c r="R80" s="183"/>
      <c r="S80" s="183"/>
      <c r="T80" s="183"/>
      <c r="U80" s="183"/>
    </row>
    <row r="81" spans="1:21">
      <c r="A81" s="1577">
        <f t="shared" si="2"/>
        <v>62</v>
      </c>
      <c r="B81" s="1577"/>
      <c r="C81" s="183" t="s">
        <v>4150</v>
      </c>
      <c r="D81" s="183"/>
      <c r="E81" s="183"/>
      <c r="F81" s="183"/>
      <c r="G81" s="183"/>
      <c r="H81" s="183"/>
      <c r="I81" s="183"/>
      <c r="J81" s="183"/>
      <c r="K81" s="183"/>
      <c r="L81" s="183"/>
      <c r="M81" s="183"/>
      <c r="N81" s="183"/>
      <c r="O81" s="183"/>
      <c r="P81" s="183"/>
      <c r="Q81" s="183"/>
      <c r="R81" s="183"/>
      <c r="S81" s="183"/>
      <c r="T81" s="183"/>
      <c r="U81" s="183"/>
    </row>
    <row r="82" spans="1:21">
      <c r="A82" s="1577">
        <f t="shared" si="2"/>
        <v>29</v>
      </c>
      <c r="B82" s="1577"/>
      <c r="C82" s="183" t="s">
        <v>4151</v>
      </c>
      <c r="D82" s="183"/>
      <c r="E82" s="183"/>
      <c r="F82" s="183"/>
      <c r="G82" s="183"/>
      <c r="H82" s="183"/>
      <c r="I82" s="183"/>
      <c r="J82" s="183"/>
      <c r="K82" s="183"/>
      <c r="L82" s="183"/>
      <c r="M82" s="183"/>
      <c r="N82" s="183"/>
      <c r="O82" s="183"/>
      <c r="P82" s="183"/>
      <c r="Q82" s="183"/>
      <c r="R82" s="183"/>
      <c r="S82" s="183"/>
      <c r="T82" s="183"/>
      <c r="U82" s="183"/>
    </row>
    <row r="83" spans="1:21">
      <c r="A83" s="183"/>
      <c r="B83" s="183"/>
      <c r="C83" s="183"/>
      <c r="D83" s="183"/>
      <c r="E83" s="183"/>
      <c r="F83" s="183"/>
      <c r="G83" s="183"/>
      <c r="H83" s="183"/>
      <c r="I83" s="183"/>
      <c r="J83" s="183"/>
      <c r="K83" s="183"/>
      <c r="L83" s="183"/>
      <c r="M83" s="183"/>
      <c r="N83" s="183"/>
      <c r="O83" s="183"/>
      <c r="P83" s="183"/>
      <c r="Q83" s="183"/>
      <c r="R83" s="183"/>
      <c r="S83" s="183"/>
      <c r="T83" s="183"/>
      <c r="U83" s="183"/>
    </row>
    <row r="84" spans="1:21">
      <c r="A84" s="1577">
        <f t="shared" ref="A84:A85" si="3">LEN(C84)</f>
        <v>65</v>
      </c>
      <c r="B84" s="1577"/>
      <c r="C84" s="183" t="s">
        <v>4152</v>
      </c>
      <c r="D84" s="183"/>
      <c r="E84" s="183"/>
      <c r="F84" s="183"/>
      <c r="G84" s="183"/>
      <c r="H84" s="183"/>
      <c r="I84" s="183"/>
      <c r="J84" s="183"/>
      <c r="K84" s="183"/>
      <c r="L84" s="183"/>
      <c r="M84" s="183"/>
      <c r="N84" s="183"/>
      <c r="O84" s="183"/>
      <c r="P84" s="183"/>
      <c r="Q84" s="183"/>
      <c r="R84" s="183"/>
      <c r="S84" s="183"/>
      <c r="T84" s="183"/>
      <c r="U84" s="183"/>
    </row>
    <row r="85" spans="1:21">
      <c r="A85" s="1577">
        <f t="shared" si="3"/>
        <v>9</v>
      </c>
      <c r="B85" s="1577"/>
      <c r="C85" s="183" t="s">
        <v>4153</v>
      </c>
      <c r="D85" s="183"/>
      <c r="E85" s="183"/>
      <c r="F85" s="183"/>
      <c r="G85" s="183"/>
      <c r="H85" s="183"/>
      <c r="I85" s="183"/>
      <c r="J85" s="183"/>
      <c r="K85" s="183"/>
      <c r="L85" s="183"/>
      <c r="M85" s="183"/>
      <c r="N85" s="183"/>
      <c r="O85" s="183"/>
      <c r="P85" s="183"/>
      <c r="Q85" s="183"/>
      <c r="R85" s="183"/>
      <c r="S85" s="183"/>
      <c r="T85" s="183"/>
      <c r="U85" s="183"/>
    </row>
    <row r="86" spans="1:21">
      <c r="A86" s="183"/>
      <c r="B86" s="183"/>
      <c r="C86" s="183"/>
      <c r="D86" s="183"/>
      <c r="E86" s="183"/>
      <c r="F86" s="183"/>
      <c r="G86" s="183"/>
      <c r="H86" s="183"/>
      <c r="I86" s="183"/>
      <c r="J86" s="183"/>
      <c r="K86" s="183"/>
      <c r="L86" s="183"/>
      <c r="M86" s="183"/>
      <c r="N86" s="183"/>
      <c r="O86" s="183"/>
      <c r="P86" s="183"/>
      <c r="Q86" s="183"/>
      <c r="R86" s="183"/>
      <c r="S86" s="183"/>
      <c r="T86" s="183"/>
      <c r="U86" s="183"/>
    </row>
    <row r="87" spans="1:21">
      <c r="A87" s="1577">
        <f t="shared" ref="A87:A89" si="4">LEN(C87)</f>
        <v>8</v>
      </c>
      <c r="B87" s="1577"/>
      <c r="C87" s="1912" t="s">
        <v>532</v>
      </c>
      <c r="D87" s="183"/>
      <c r="E87" s="183"/>
      <c r="F87" s="183"/>
      <c r="G87" s="183"/>
      <c r="H87" s="183"/>
      <c r="I87" s="183"/>
      <c r="J87" s="183"/>
      <c r="K87" s="183"/>
      <c r="L87" s="183"/>
      <c r="M87" s="183"/>
      <c r="N87" s="183"/>
      <c r="O87" s="183"/>
      <c r="P87" s="183"/>
      <c r="Q87" s="183"/>
      <c r="R87" s="183"/>
      <c r="S87" s="183"/>
      <c r="T87" s="183"/>
      <c r="U87" s="183"/>
    </row>
    <row r="88" spans="1:21">
      <c r="A88" s="1577">
        <f t="shared" si="4"/>
        <v>67</v>
      </c>
      <c r="B88" s="1577"/>
      <c r="C88" s="183" t="s">
        <v>4154</v>
      </c>
      <c r="D88" s="183"/>
      <c r="E88" s="183"/>
      <c r="F88" s="183"/>
      <c r="G88" s="183"/>
      <c r="H88" s="183"/>
      <c r="I88" s="183"/>
      <c r="J88" s="183"/>
      <c r="K88" s="183"/>
      <c r="L88" s="183"/>
      <c r="M88" s="183"/>
      <c r="N88" s="183"/>
      <c r="O88" s="183"/>
      <c r="P88" s="183"/>
      <c r="Q88" s="183"/>
      <c r="R88" s="183"/>
      <c r="S88" s="183"/>
      <c r="T88" s="183"/>
      <c r="U88" s="183"/>
    </row>
    <row r="89" spans="1:21">
      <c r="A89" s="1577">
        <f t="shared" si="4"/>
        <v>66</v>
      </c>
      <c r="B89" s="1577"/>
      <c r="C89" s="183" t="s">
        <v>4155</v>
      </c>
      <c r="D89" s="183"/>
      <c r="E89" s="183"/>
      <c r="F89" s="183"/>
      <c r="G89" s="183"/>
      <c r="H89" s="183"/>
      <c r="I89" s="183"/>
      <c r="J89" s="183"/>
      <c r="K89" s="183"/>
      <c r="L89" s="183"/>
      <c r="M89" s="183"/>
      <c r="N89" s="183"/>
      <c r="O89" s="183"/>
      <c r="P89" s="183"/>
      <c r="Q89" s="183"/>
      <c r="R89" s="183"/>
      <c r="S89" s="183"/>
      <c r="T89" s="183"/>
      <c r="U89" s="183"/>
    </row>
    <row r="90" spans="1:21">
      <c r="A90" s="183"/>
      <c r="B90" s="183"/>
      <c r="C90" s="183"/>
      <c r="D90" s="183"/>
      <c r="E90" s="183"/>
      <c r="F90" s="183"/>
      <c r="G90" s="183"/>
      <c r="H90" s="183"/>
      <c r="I90" s="183"/>
      <c r="J90" s="183"/>
      <c r="K90" s="183"/>
      <c r="L90" s="183"/>
      <c r="M90" s="183"/>
      <c r="N90" s="183"/>
      <c r="O90" s="183"/>
      <c r="P90" s="183"/>
      <c r="Q90" s="183"/>
      <c r="R90" s="183"/>
      <c r="S90" s="183"/>
      <c r="T90" s="183"/>
      <c r="U90" s="183"/>
    </row>
    <row r="91" spans="1:21">
      <c r="A91" s="183"/>
      <c r="B91" s="183"/>
      <c r="C91" s="183"/>
      <c r="D91" s="183"/>
      <c r="E91" s="183"/>
      <c r="F91" s="183"/>
      <c r="G91" s="183"/>
      <c r="H91" s="183"/>
      <c r="I91" s="183"/>
      <c r="J91" s="183"/>
      <c r="K91" s="183"/>
      <c r="L91" s="183"/>
      <c r="M91" s="183"/>
      <c r="N91" s="183"/>
      <c r="O91" s="183"/>
      <c r="P91" s="183"/>
      <c r="Q91" s="183"/>
      <c r="R91" s="183"/>
      <c r="S91" s="183"/>
      <c r="T91" s="183"/>
      <c r="U91" s="183"/>
    </row>
    <row r="92" spans="1:21" ht="15.75">
      <c r="A92" s="183"/>
      <c r="B92" s="1920" t="s">
        <v>4156</v>
      </c>
      <c r="C92" s="1921" t="s">
        <v>4157</v>
      </c>
      <c r="D92" s="183"/>
      <c r="E92" s="183"/>
      <c r="F92" s="183"/>
      <c r="G92" s="183"/>
      <c r="H92" s="183"/>
      <c r="I92" s="183"/>
      <c r="J92" s="183"/>
      <c r="K92" s="183"/>
      <c r="L92" s="183"/>
      <c r="M92" s="183"/>
      <c r="N92" s="183"/>
      <c r="O92" s="183"/>
      <c r="P92" s="183"/>
      <c r="Q92" s="183"/>
      <c r="R92" s="183"/>
      <c r="S92" s="183"/>
      <c r="T92" s="183"/>
      <c r="U92" s="183"/>
    </row>
    <row r="93" spans="1:21">
      <c r="A93" s="183"/>
      <c r="B93" s="183"/>
      <c r="C93" s="1912" t="s">
        <v>4158</v>
      </c>
      <c r="D93" s="183"/>
      <c r="E93" s="183"/>
      <c r="F93" s="183"/>
      <c r="G93" s="183"/>
      <c r="H93" s="183"/>
      <c r="I93" s="183"/>
      <c r="J93" s="183"/>
      <c r="K93" s="183"/>
      <c r="L93" s="183"/>
      <c r="M93" s="183"/>
      <c r="N93" s="183"/>
      <c r="O93" s="183"/>
      <c r="P93" s="183"/>
      <c r="Q93" s="183"/>
      <c r="R93" s="183"/>
      <c r="S93" s="183"/>
      <c r="T93" s="183"/>
      <c r="U93" s="183"/>
    </row>
    <row r="94" spans="1:21">
      <c r="A94" s="183"/>
      <c r="B94" s="183"/>
      <c r="C94" s="1921" t="s">
        <v>4159</v>
      </c>
      <c r="D94" s="183"/>
      <c r="E94" s="183"/>
      <c r="F94" s="183"/>
      <c r="G94" s="183"/>
      <c r="H94" s="183"/>
      <c r="I94" s="183"/>
      <c r="J94" s="183"/>
      <c r="K94" s="183"/>
      <c r="L94" s="183"/>
      <c r="M94" s="183"/>
      <c r="N94" s="183"/>
      <c r="O94" s="183"/>
      <c r="P94" s="183"/>
      <c r="Q94" s="183"/>
      <c r="R94" s="183"/>
      <c r="S94" s="183"/>
      <c r="T94" s="183"/>
      <c r="U94" s="183"/>
    </row>
    <row r="95" spans="1:21">
      <c r="A95" s="183"/>
      <c r="B95" s="183"/>
      <c r="C95" s="183"/>
      <c r="D95" s="183"/>
      <c r="E95" s="183"/>
      <c r="F95" s="183"/>
      <c r="G95" s="183"/>
      <c r="H95" s="183"/>
      <c r="I95" s="183"/>
      <c r="J95" s="183"/>
      <c r="K95" s="183"/>
      <c r="L95" s="183"/>
      <c r="M95" s="183"/>
      <c r="N95" s="183"/>
      <c r="O95" s="183"/>
      <c r="P95" s="183"/>
      <c r="Q95" s="183"/>
      <c r="R95" s="183"/>
      <c r="S95" s="183"/>
      <c r="T95" s="183"/>
      <c r="U95" s="183"/>
    </row>
    <row r="96" spans="1:21" ht="15.75">
      <c r="A96" s="183"/>
      <c r="B96" s="1920" t="s">
        <v>4160</v>
      </c>
      <c r="C96" s="183" t="s">
        <v>4161</v>
      </c>
      <c r="D96" s="183"/>
      <c r="E96" s="183"/>
      <c r="F96" s="183"/>
      <c r="G96" s="183"/>
      <c r="H96" s="183"/>
      <c r="I96" s="183"/>
      <c r="J96" s="183"/>
      <c r="K96" s="183"/>
      <c r="L96" s="183"/>
      <c r="M96" s="183"/>
      <c r="N96" s="183"/>
      <c r="O96" s="183"/>
      <c r="P96" s="183"/>
      <c r="Q96" s="183"/>
      <c r="R96" s="183"/>
      <c r="S96" s="183"/>
      <c r="T96" s="183"/>
      <c r="U96" s="183"/>
    </row>
    <row r="97" spans="1:21">
      <c r="A97" s="183"/>
      <c r="B97" s="183"/>
      <c r="C97" s="183" t="s">
        <v>4162</v>
      </c>
      <c r="D97" s="183"/>
      <c r="E97" s="183"/>
      <c r="F97" s="183"/>
      <c r="G97" s="183"/>
      <c r="H97" s="183"/>
      <c r="I97" s="183"/>
      <c r="J97" s="183"/>
      <c r="K97" s="183"/>
      <c r="L97" s="183"/>
      <c r="M97" s="183"/>
      <c r="N97" s="183"/>
      <c r="O97" s="183"/>
      <c r="P97" s="183"/>
      <c r="Q97" s="183"/>
      <c r="R97" s="183"/>
      <c r="S97" s="183"/>
      <c r="T97" s="183"/>
      <c r="U97" s="183"/>
    </row>
    <row r="98" spans="1:21">
      <c r="A98" s="183"/>
      <c r="B98" s="183"/>
      <c r="C98" s="183" t="s">
        <v>4163</v>
      </c>
      <c r="D98" s="183"/>
      <c r="E98" s="183"/>
      <c r="F98" s="183"/>
      <c r="G98" s="183"/>
      <c r="H98" s="183"/>
      <c r="I98" s="183"/>
      <c r="J98" s="183"/>
      <c r="K98" s="183"/>
      <c r="L98" s="183"/>
      <c r="M98" s="183"/>
      <c r="N98" s="183"/>
      <c r="O98" s="183"/>
      <c r="P98" s="183"/>
      <c r="Q98" s="183"/>
      <c r="R98" s="183"/>
      <c r="S98" s="183"/>
      <c r="T98" s="183"/>
      <c r="U98" s="183"/>
    </row>
    <row r="99" spans="1:21">
      <c r="A99" s="183"/>
      <c r="B99" s="183"/>
      <c r="C99" s="183"/>
      <c r="D99" s="183"/>
      <c r="E99" s="183"/>
      <c r="F99" s="183"/>
      <c r="G99" s="183"/>
      <c r="H99" s="183"/>
      <c r="I99" s="183"/>
      <c r="J99" s="183"/>
      <c r="K99" s="183"/>
      <c r="L99" s="183"/>
      <c r="M99" s="183"/>
      <c r="N99" s="183"/>
      <c r="O99" s="183"/>
      <c r="P99" s="183"/>
      <c r="Q99" s="183"/>
      <c r="R99" s="183"/>
      <c r="S99" s="183"/>
      <c r="T99" s="183"/>
      <c r="U99" s="183"/>
    </row>
    <row r="100" spans="1:21">
      <c r="A100" s="183"/>
      <c r="B100" s="183"/>
      <c r="C100" s="183" t="s">
        <v>4164</v>
      </c>
      <c r="D100" s="183"/>
      <c r="E100" s="183"/>
      <c r="F100" s="183"/>
      <c r="G100" s="183"/>
      <c r="H100" s="183"/>
      <c r="I100" s="183"/>
      <c r="J100" s="183"/>
      <c r="K100" s="183"/>
      <c r="L100" s="183"/>
      <c r="M100" s="183"/>
      <c r="N100" s="183"/>
      <c r="O100" s="183"/>
      <c r="P100" s="183"/>
      <c r="Q100" s="183"/>
      <c r="R100" s="183"/>
      <c r="S100" s="183"/>
      <c r="T100" s="183"/>
      <c r="U100" s="183"/>
    </row>
    <row r="101" spans="1:21">
      <c r="A101" s="183"/>
      <c r="B101" s="183"/>
      <c r="C101" s="183" t="s">
        <v>4165</v>
      </c>
      <c r="D101" s="183"/>
      <c r="E101" s="183"/>
      <c r="F101" s="183"/>
      <c r="G101" s="183"/>
      <c r="H101" s="183"/>
      <c r="I101" s="183"/>
      <c r="J101" s="183"/>
      <c r="K101" s="183"/>
      <c r="L101" s="183"/>
      <c r="M101" s="183"/>
      <c r="N101" s="183"/>
      <c r="O101" s="183"/>
      <c r="P101" s="183"/>
      <c r="Q101" s="183"/>
      <c r="R101" s="183"/>
      <c r="S101" s="183"/>
      <c r="T101" s="183"/>
      <c r="U101" s="183"/>
    </row>
    <row r="102" spans="1:21">
      <c r="A102" s="183"/>
      <c r="B102" s="183"/>
      <c r="C102" s="183" t="s">
        <v>4166</v>
      </c>
      <c r="D102" s="183"/>
      <c r="E102" s="183"/>
      <c r="F102" s="183"/>
      <c r="G102" s="183"/>
      <c r="H102" s="183"/>
      <c r="I102" s="183"/>
      <c r="J102" s="183"/>
      <c r="K102" s="183"/>
      <c r="L102" s="183"/>
      <c r="M102" s="183"/>
      <c r="N102" s="183"/>
      <c r="O102" s="183"/>
      <c r="P102" s="183"/>
      <c r="Q102" s="183"/>
      <c r="R102" s="183"/>
      <c r="S102" s="183"/>
      <c r="T102" s="183"/>
      <c r="U102" s="183"/>
    </row>
    <row r="103" spans="1:21">
      <c r="A103" s="183"/>
      <c r="B103" s="183"/>
      <c r="C103" s="183"/>
      <c r="D103" s="183"/>
      <c r="E103" s="183"/>
      <c r="F103" s="183"/>
      <c r="G103" s="183"/>
      <c r="H103" s="183"/>
      <c r="I103" s="183"/>
      <c r="J103" s="183"/>
      <c r="K103" s="183"/>
      <c r="L103" s="183"/>
      <c r="M103" s="183"/>
      <c r="N103" s="183"/>
      <c r="O103" s="183"/>
      <c r="P103" s="183"/>
      <c r="Q103" s="183"/>
      <c r="R103" s="183"/>
      <c r="S103" s="183"/>
      <c r="T103" s="183"/>
      <c r="U103" s="183"/>
    </row>
    <row r="104" spans="1:21">
      <c r="A104" s="183"/>
      <c r="B104" s="183"/>
      <c r="C104" s="183" t="s">
        <v>4167</v>
      </c>
      <c r="D104" s="183"/>
      <c r="E104" s="183"/>
      <c r="F104" s="183"/>
      <c r="G104" s="183"/>
      <c r="H104" s="183"/>
      <c r="I104" s="183"/>
      <c r="J104" s="183"/>
      <c r="K104" s="183"/>
      <c r="L104" s="183"/>
      <c r="M104" s="183"/>
      <c r="N104" s="183"/>
      <c r="O104" s="183"/>
      <c r="P104" s="183"/>
      <c r="Q104" s="183"/>
      <c r="R104" s="183"/>
      <c r="S104" s="183"/>
      <c r="T104" s="183"/>
      <c r="U104" s="183"/>
    </row>
    <row r="105" spans="1:21">
      <c r="A105" s="183"/>
      <c r="B105" s="183"/>
      <c r="C105" s="183" t="s">
        <v>4168</v>
      </c>
      <c r="D105" s="183"/>
      <c r="E105" s="183"/>
      <c r="F105" s="183"/>
      <c r="G105" s="183"/>
      <c r="H105" s="183"/>
      <c r="I105" s="183"/>
      <c r="J105" s="183"/>
      <c r="K105" s="183"/>
      <c r="L105" s="183"/>
      <c r="M105" s="183"/>
      <c r="N105" s="183"/>
      <c r="O105" s="183"/>
      <c r="P105" s="183"/>
      <c r="Q105" s="183"/>
      <c r="R105" s="183"/>
      <c r="S105" s="183"/>
      <c r="T105" s="183"/>
      <c r="U105" s="183"/>
    </row>
    <row r="106" spans="1:21">
      <c r="A106" s="183"/>
      <c r="B106" s="183"/>
      <c r="C106" s="183"/>
      <c r="D106" s="183"/>
      <c r="E106" s="183"/>
      <c r="F106" s="183"/>
      <c r="G106" s="183"/>
      <c r="H106" s="183"/>
      <c r="I106" s="183"/>
      <c r="J106" s="183"/>
      <c r="K106" s="183"/>
      <c r="L106" s="183"/>
      <c r="M106" s="183"/>
      <c r="N106" s="183"/>
      <c r="O106" s="183"/>
      <c r="P106" s="183"/>
      <c r="Q106" s="183"/>
      <c r="R106" s="183"/>
      <c r="S106" s="183"/>
      <c r="T106" s="183"/>
      <c r="U106" s="183"/>
    </row>
    <row r="107" spans="1:21">
      <c r="A107" s="183"/>
      <c r="B107" s="183"/>
      <c r="C107" s="183" t="s">
        <v>4169</v>
      </c>
      <c r="D107" s="183"/>
      <c r="E107" s="183"/>
      <c r="F107" s="183"/>
      <c r="G107" s="183"/>
      <c r="H107" s="183"/>
      <c r="I107" s="183"/>
      <c r="J107" s="183"/>
      <c r="K107" s="183"/>
      <c r="L107" s="183"/>
      <c r="M107" s="183"/>
      <c r="N107" s="183"/>
      <c r="O107" s="183"/>
      <c r="P107" s="183"/>
      <c r="Q107" s="183"/>
      <c r="R107" s="183"/>
      <c r="S107" s="183"/>
      <c r="T107" s="183"/>
      <c r="U107" s="183"/>
    </row>
    <row r="108" spans="1:21">
      <c r="A108" s="183"/>
      <c r="B108" s="183"/>
      <c r="C108" s="183" t="s">
        <v>4170</v>
      </c>
      <c r="D108" s="183"/>
      <c r="E108" s="183"/>
      <c r="F108" s="183"/>
      <c r="G108" s="183"/>
      <c r="H108" s="183"/>
      <c r="I108" s="183"/>
      <c r="J108" s="183"/>
      <c r="K108" s="183"/>
      <c r="L108" s="183"/>
      <c r="M108" s="183"/>
      <c r="N108" s="183"/>
      <c r="O108" s="183"/>
      <c r="P108" s="183"/>
      <c r="Q108" s="183"/>
      <c r="R108" s="183"/>
      <c r="S108" s="183"/>
      <c r="T108" s="183"/>
      <c r="U108" s="183"/>
    </row>
    <row r="109" spans="1:21">
      <c r="A109" s="183"/>
      <c r="B109" s="183"/>
      <c r="C109" s="183"/>
      <c r="D109" s="183"/>
      <c r="E109" s="183"/>
      <c r="F109" s="183"/>
      <c r="G109" s="183"/>
      <c r="H109" s="183"/>
      <c r="I109" s="183"/>
      <c r="J109" s="183"/>
      <c r="K109" s="183"/>
      <c r="L109" s="183"/>
      <c r="M109" s="183"/>
      <c r="N109" s="183"/>
      <c r="O109" s="183"/>
      <c r="P109" s="183"/>
      <c r="Q109" s="183"/>
      <c r="R109" s="183"/>
      <c r="S109" s="183"/>
      <c r="T109" s="183"/>
      <c r="U109" s="183"/>
    </row>
    <row r="110" spans="1:21">
      <c r="A110" s="183"/>
      <c r="B110" s="183"/>
      <c r="C110" s="183" t="s">
        <v>4171</v>
      </c>
      <c r="D110" s="183"/>
      <c r="E110" s="183"/>
      <c r="F110" s="183"/>
      <c r="G110" s="183"/>
      <c r="H110" s="183"/>
      <c r="I110" s="183"/>
      <c r="J110" s="183"/>
      <c r="K110" s="183"/>
      <c r="L110" s="183"/>
      <c r="M110" s="183"/>
      <c r="N110" s="183"/>
      <c r="O110" s="183"/>
      <c r="P110" s="183"/>
      <c r="Q110" s="183"/>
      <c r="R110" s="183"/>
      <c r="S110" s="183"/>
      <c r="T110" s="183"/>
      <c r="U110" s="183"/>
    </row>
    <row r="111" spans="1:21">
      <c r="A111" s="183"/>
      <c r="B111" s="183"/>
      <c r="C111" s="183" t="s">
        <v>4172</v>
      </c>
      <c r="D111" s="183"/>
      <c r="E111" s="183"/>
      <c r="F111" s="183"/>
      <c r="G111" s="183"/>
      <c r="H111" s="183"/>
      <c r="I111" s="183"/>
      <c r="J111" s="183"/>
      <c r="K111" s="183"/>
      <c r="L111" s="183"/>
      <c r="M111" s="183"/>
      <c r="N111" s="183"/>
      <c r="O111" s="183"/>
      <c r="P111" s="183"/>
      <c r="Q111" s="183"/>
      <c r="R111" s="183"/>
      <c r="S111" s="183"/>
      <c r="T111" s="183"/>
      <c r="U111" s="183"/>
    </row>
    <row r="112" spans="1:21">
      <c r="A112" s="183"/>
      <c r="B112" s="183"/>
      <c r="C112" s="183" t="s">
        <v>4173</v>
      </c>
      <c r="D112" s="183"/>
      <c r="E112" s="183"/>
      <c r="F112" s="183"/>
      <c r="G112" s="183"/>
      <c r="H112" s="183"/>
      <c r="I112" s="183"/>
      <c r="J112" s="183"/>
      <c r="K112" s="183"/>
      <c r="L112" s="183"/>
      <c r="M112" s="183"/>
      <c r="N112" s="183"/>
      <c r="O112" s="183"/>
      <c r="P112" s="183"/>
      <c r="Q112" s="183"/>
      <c r="R112" s="183"/>
      <c r="S112" s="183"/>
      <c r="T112" s="183"/>
      <c r="U112" s="183"/>
    </row>
    <row r="113" spans="1:21">
      <c r="A113" s="183"/>
      <c r="B113" s="183"/>
      <c r="C113" s="183"/>
      <c r="D113" s="183"/>
      <c r="E113" s="183"/>
      <c r="F113" s="183"/>
      <c r="G113" s="183"/>
      <c r="H113" s="183"/>
      <c r="I113" s="183"/>
      <c r="J113" s="183"/>
      <c r="K113" s="183"/>
      <c r="L113" s="183"/>
      <c r="M113" s="183"/>
      <c r="N113" s="183"/>
      <c r="O113" s="183"/>
      <c r="P113" s="183"/>
      <c r="Q113" s="183"/>
      <c r="R113" s="183"/>
      <c r="S113" s="183"/>
      <c r="T113" s="183"/>
      <c r="U113" s="183"/>
    </row>
    <row r="114" spans="1:21" ht="15.75">
      <c r="A114" s="183"/>
      <c r="B114" s="1922" t="s">
        <v>4174</v>
      </c>
      <c r="C114" s="183"/>
      <c r="D114" s="183"/>
      <c r="E114" s="183"/>
      <c r="F114" s="183"/>
      <c r="G114" s="183"/>
      <c r="H114" s="183"/>
      <c r="I114" s="183"/>
      <c r="J114" s="183"/>
      <c r="K114" s="183"/>
      <c r="L114" s="183"/>
      <c r="M114" s="183"/>
      <c r="N114" s="183"/>
      <c r="O114" s="183"/>
      <c r="P114" s="183"/>
      <c r="Q114" s="183"/>
      <c r="R114" s="183"/>
      <c r="S114" s="183"/>
      <c r="T114" s="183"/>
      <c r="U114" s="183"/>
    </row>
    <row r="115" spans="1:21">
      <c r="A115" s="183"/>
      <c r="B115" s="183"/>
      <c r="C115" s="183" t="s">
        <v>4175</v>
      </c>
      <c r="D115" s="183"/>
      <c r="E115" s="183"/>
      <c r="F115" s="183"/>
      <c r="G115" s="183"/>
      <c r="H115" s="183"/>
      <c r="I115" s="183"/>
      <c r="J115" s="183"/>
      <c r="K115" s="183"/>
      <c r="L115" s="183"/>
      <c r="M115" s="183"/>
      <c r="N115" s="183"/>
      <c r="O115" s="183"/>
      <c r="P115" s="183"/>
      <c r="Q115" s="183"/>
      <c r="R115" s="183"/>
      <c r="S115" s="183"/>
      <c r="T115" s="183"/>
      <c r="U115" s="183"/>
    </row>
    <row r="116" spans="1:21">
      <c r="A116" s="183"/>
      <c r="B116" s="183"/>
      <c r="C116" s="183" t="s">
        <v>4176</v>
      </c>
      <c r="D116" s="183"/>
      <c r="E116" s="183"/>
      <c r="F116" s="183"/>
      <c r="G116" s="183"/>
      <c r="H116" s="183"/>
      <c r="I116" s="183"/>
      <c r="J116" s="183"/>
      <c r="K116" s="183"/>
      <c r="L116" s="183"/>
      <c r="M116" s="183"/>
      <c r="N116" s="183"/>
      <c r="O116" s="183"/>
      <c r="P116" s="183"/>
      <c r="Q116" s="183"/>
      <c r="R116" s="183"/>
      <c r="S116" s="183"/>
      <c r="T116" s="183"/>
      <c r="U116" s="183"/>
    </row>
    <row r="117" spans="1:21">
      <c r="A117" s="183"/>
      <c r="B117" s="183"/>
      <c r="C117" s="183"/>
      <c r="D117" s="183"/>
      <c r="E117" s="183"/>
      <c r="F117" s="183"/>
      <c r="G117" s="183"/>
      <c r="H117" s="183"/>
      <c r="I117" s="183"/>
      <c r="J117" s="183"/>
      <c r="K117" s="183"/>
      <c r="L117" s="183"/>
      <c r="M117" s="183"/>
      <c r="N117" s="183"/>
      <c r="O117" s="183"/>
      <c r="P117" s="183"/>
      <c r="Q117" s="183"/>
      <c r="R117" s="183"/>
      <c r="S117" s="183"/>
      <c r="T117" s="183"/>
      <c r="U117" s="183"/>
    </row>
    <row r="118" spans="1:21" ht="15.75">
      <c r="A118" s="183"/>
      <c r="B118" s="1922" t="s">
        <v>4177</v>
      </c>
      <c r="C118" s="183"/>
      <c r="D118" s="183"/>
      <c r="E118" s="183"/>
      <c r="F118" s="183"/>
      <c r="G118" s="183"/>
      <c r="H118" s="183"/>
      <c r="I118" s="183"/>
      <c r="J118" s="183"/>
      <c r="K118" s="183"/>
      <c r="L118" s="183"/>
      <c r="M118" s="183"/>
      <c r="N118" s="183"/>
      <c r="O118" s="183"/>
      <c r="P118" s="183"/>
      <c r="Q118" s="183"/>
      <c r="R118" s="183"/>
      <c r="S118" s="183"/>
      <c r="T118" s="183"/>
      <c r="U118" s="183"/>
    </row>
    <row r="119" spans="1:21">
      <c r="A119" s="183"/>
      <c r="B119" s="183"/>
      <c r="C119" s="183" t="s">
        <v>4178</v>
      </c>
      <c r="D119" s="183"/>
      <c r="E119" s="183"/>
      <c r="F119" s="183"/>
      <c r="G119" s="183"/>
      <c r="H119" s="183"/>
      <c r="I119" s="183"/>
      <c r="J119" s="183"/>
      <c r="K119" s="183"/>
      <c r="L119" s="183"/>
      <c r="M119" s="183"/>
      <c r="N119" s="183"/>
      <c r="O119" s="183"/>
      <c r="P119" s="183"/>
      <c r="Q119" s="183"/>
      <c r="R119" s="183"/>
      <c r="S119" s="183"/>
      <c r="T119" s="183"/>
      <c r="U119" s="183"/>
    </row>
    <row r="120" spans="1:21">
      <c r="A120" s="183"/>
      <c r="B120" s="183"/>
      <c r="C120" s="183"/>
      <c r="D120" s="183"/>
      <c r="E120" s="183"/>
      <c r="F120" s="183"/>
      <c r="G120" s="183"/>
      <c r="H120" s="183"/>
      <c r="I120" s="183"/>
      <c r="J120" s="183"/>
      <c r="K120" s="183"/>
      <c r="L120" s="183"/>
      <c r="M120" s="183"/>
      <c r="N120" s="183"/>
      <c r="O120" s="183"/>
      <c r="P120" s="183"/>
      <c r="Q120" s="183"/>
      <c r="R120" s="183"/>
      <c r="S120" s="183"/>
      <c r="T120" s="183"/>
      <c r="U120" s="183"/>
    </row>
    <row r="121" spans="1:21" ht="18">
      <c r="A121" s="183"/>
      <c r="B121" s="183"/>
      <c r="C121" s="1913" t="s">
        <v>4179</v>
      </c>
      <c r="D121" s="183"/>
      <c r="E121" s="183"/>
      <c r="F121" s="183"/>
      <c r="G121" s="183"/>
      <c r="H121" s="183"/>
      <c r="I121" s="183"/>
      <c r="J121" s="183"/>
      <c r="K121" s="183"/>
      <c r="L121" s="183"/>
      <c r="M121" s="183"/>
      <c r="N121" s="1913" t="s">
        <v>4180</v>
      </c>
      <c r="O121" s="183"/>
      <c r="P121" s="183"/>
      <c r="Q121" s="183"/>
      <c r="R121" s="183"/>
      <c r="S121" s="183"/>
      <c r="T121" s="183"/>
      <c r="U121" s="183"/>
    </row>
    <row r="122" spans="1:21">
      <c r="A122" s="183"/>
      <c r="B122" s="183"/>
      <c r="C122" s="183"/>
      <c r="D122" s="183"/>
      <c r="E122" s="183"/>
      <c r="F122" s="183"/>
      <c r="G122" s="183"/>
      <c r="H122" s="183"/>
      <c r="I122" s="183"/>
      <c r="J122" s="183"/>
      <c r="K122" s="183"/>
      <c r="L122" s="183"/>
      <c r="M122" s="183"/>
      <c r="N122" s="58"/>
      <c r="O122" s="183"/>
      <c r="P122" s="183"/>
      <c r="Q122" s="183"/>
      <c r="R122" s="183"/>
      <c r="S122" s="183"/>
      <c r="T122" s="183"/>
      <c r="U122" s="183"/>
    </row>
    <row r="123" spans="1:21">
      <c r="A123" s="183"/>
      <c r="B123" s="183"/>
      <c r="C123" s="183" t="s">
        <v>4181</v>
      </c>
      <c r="D123" s="183"/>
      <c r="E123" s="183"/>
      <c r="F123" s="183"/>
      <c r="G123" s="183"/>
      <c r="H123" s="183"/>
      <c r="I123" s="183"/>
      <c r="J123" s="183"/>
      <c r="K123" s="183"/>
      <c r="L123" s="183"/>
      <c r="M123" s="183"/>
      <c r="N123" s="903" t="s">
        <v>4182</v>
      </c>
      <c r="O123" s="183"/>
      <c r="P123" s="183"/>
      <c r="Q123" s="183"/>
      <c r="R123" s="183"/>
      <c r="S123" s="183"/>
      <c r="T123" s="183"/>
      <c r="U123" s="183"/>
    </row>
    <row r="124" spans="1:21">
      <c r="A124" s="183"/>
      <c r="B124" s="183"/>
      <c r="C124" s="183"/>
      <c r="D124" s="183"/>
      <c r="E124" s="183"/>
      <c r="F124" s="183"/>
      <c r="G124" s="183"/>
      <c r="H124" s="183"/>
      <c r="I124" s="183"/>
      <c r="J124" s="183"/>
      <c r="K124" s="183"/>
      <c r="L124" s="183"/>
      <c r="M124" s="183"/>
      <c r="N124" s="903" t="s">
        <v>4183</v>
      </c>
      <c r="O124" s="183"/>
      <c r="P124" s="183"/>
      <c r="Q124" s="183"/>
      <c r="R124" s="183"/>
      <c r="S124" s="183"/>
      <c r="T124" s="183"/>
      <c r="U124" s="183"/>
    </row>
    <row r="125" spans="1:21">
      <c r="A125" s="183"/>
      <c r="B125" s="183"/>
      <c r="C125" s="183" t="s">
        <v>4184</v>
      </c>
      <c r="D125" s="183"/>
      <c r="E125" s="183"/>
      <c r="F125" s="183"/>
      <c r="G125" s="183"/>
      <c r="H125" s="183"/>
      <c r="I125" s="183"/>
      <c r="J125" s="183"/>
      <c r="K125" s="183"/>
      <c r="L125" s="183"/>
      <c r="M125" s="183"/>
      <c r="N125" s="903" t="s">
        <v>4185</v>
      </c>
      <c r="O125" s="183"/>
      <c r="P125" s="183"/>
      <c r="Q125" s="183"/>
      <c r="R125" s="183"/>
      <c r="S125" s="183"/>
      <c r="T125" s="183"/>
      <c r="U125" s="183"/>
    </row>
    <row r="126" spans="1:21">
      <c r="A126" s="183"/>
      <c r="B126" s="183"/>
      <c r="C126" s="58"/>
      <c r="D126" s="183"/>
      <c r="E126" s="183"/>
      <c r="F126" s="183"/>
      <c r="G126" s="183"/>
      <c r="H126" s="183"/>
      <c r="I126" s="183"/>
      <c r="J126" s="183"/>
      <c r="K126" s="183"/>
      <c r="L126" s="183"/>
      <c r="M126" s="183"/>
      <c r="N126" s="903" t="s">
        <v>4186</v>
      </c>
      <c r="O126" s="183"/>
      <c r="P126" s="183"/>
      <c r="Q126" s="183"/>
      <c r="R126" s="183"/>
      <c r="S126" s="183"/>
      <c r="T126" s="183"/>
      <c r="U126" s="183"/>
    </row>
    <row r="127" spans="1:21">
      <c r="A127" s="183"/>
      <c r="B127" s="183"/>
      <c r="C127" s="1923" t="s">
        <v>4187</v>
      </c>
      <c r="D127" s="183"/>
      <c r="E127" s="183"/>
      <c r="F127" s="183"/>
      <c r="G127" s="183"/>
      <c r="H127" s="183"/>
      <c r="I127" s="183"/>
      <c r="J127" s="183"/>
      <c r="K127" s="183"/>
      <c r="L127" s="183"/>
      <c r="M127" s="183"/>
      <c r="N127" s="903" t="s">
        <v>4188</v>
      </c>
      <c r="O127" s="183"/>
      <c r="P127" s="183"/>
      <c r="Q127" s="183"/>
      <c r="R127" s="183"/>
      <c r="S127" s="183"/>
      <c r="T127" s="183"/>
      <c r="U127" s="183"/>
    </row>
    <row r="128" spans="1:21">
      <c r="A128" s="183"/>
      <c r="B128" s="183"/>
      <c r="C128" s="1923" t="s">
        <v>4189</v>
      </c>
      <c r="D128" s="183"/>
      <c r="E128" s="183"/>
      <c r="F128" s="183"/>
      <c r="G128" s="183"/>
      <c r="H128" s="183"/>
      <c r="I128" s="183"/>
      <c r="J128" s="183"/>
      <c r="K128" s="183"/>
      <c r="L128" s="183"/>
      <c r="M128" s="183"/>
      <c r="N128" s="903" t="s">
        <v>4190</v>
      </c>
      <c r="O128" s="183"/>
      <c r="P128" s="183"/>
      <c r="Q128" s="183"/>
      <c r="R128" s="183"/>
      <c r="S128" s="183"/>
      <c r="T128" s="183"/>
      <c r="U128" s="183"/>
    </row>
    <row r="129" spans="1:21">
      <c r="A129" s="183"/>
      <c r="B129" s="183"/>
      <c r="C129" s="1923" t="s">
        <v>4191</v>
      </c>
      <c r="D129" s="183"/>
      <c r="E129" s="183"/>
      <c r="F129" s="183"/>
      <c r="G129" s="183"/>
      <c r="H129" s="183"/>
      <c r="I129" s="183"/>
      <c r="J129" s="183"/>
      <c r="K129" s="183"/>
      <c r="L129" s="183"/>
      <c r="M129" s="183"/>
      <c r="N129" s="903" t="s">
        <v>4192</v>
      </c>
      <c r="O129" s="183"/>
      <c r="P129" s="183"/>
      <c r="Q129" s="183"/>
      <c r="R129" s="183"/>
      <c r="S129" s="183"/>
      <c r="T129" s="183"/>
      <c r="U129" s="183"/>
    </row>
    <row r="130" spans="1:21">
      <c r="A130" s="183"/>
      <c r="B130" s="183"/>
      <c r="C130" s="1923" t="s">
        <v>4193</v>
      </c>
      <c r="D130" s="183"/>
      <c r="E130" s="183"/>
      <c r="F130" s="183"/>
      <c r="G130" s="183"/>
      <c r="H130" s="183"/>
      <c r="I130" s="183"/>
      <c r="J130" s="183"/>
      <c r="K130" s="183"/>
      <c r="L130" s="183"/>
      <c r="M130" s="183"/>
      <c r="N130" s="903" t="s">
        <v>4194</v>
      </c>
      <c r="O130" s="183"/>
      <c r="P130" s="183"/>
      <c r="Q130" s="183"/>
      <c r="R130" s="183"/>
      <c r="S130" s="183"/>
      <c r="T130" s="183"/>
      <c r="U130" s="183"/>
    </row>
    <row r="131" spans="1:21">
      <c r="A131" s="183"/>
      <c r="B131" s="183"/>
      <c r="C131" s="183"/>
      <c r="D131" s="183"/>
      <c r="E131" s="183"/>
      <c r="F131" s="183"/>
      <c r="G131" s="183"/>
      <c r="H131" s="183"/>
      <c r="I131" s="183"/>
      <c r="J131" s="183"/>
      <c r="K131" s="183"/>
      <c r="L131" s="183"/>
      <c r="M131" s="183"/>
      <c r="N131" s="903" t="s">
        <v>4195</v>
      </c>
      <c r="O131" s="183"/>
      <c r="P131" s="183"/>
      <c r="Q131" s="183"/>
      <c r="R131" s="183"/>
      <c r="S131" s="183"/>
      <c r="T131" s="183"/>
      <c r="U131" s="183"/>
    </row>
    <row r="132" spans="1:21" ht="18">
      <c r="A132" s="183"/>
      <c r="B132" s="183"/>
      <c r="C132" s="1913" t="s">
        <v>4196</v>
      </c>
      <c r="D132" s="183"/>
      <c r="E132" s="183"/>
      <c r="F132" s="183"/>
      <c r="G132" s="183"/>
      <c r="H132" s="183"/>
      <c r="I132" s="183"/>
      <c r="J132" s="183"/>
      <c r="K132" s="183"/>
      <c r="L132" s="183"/>
      <c r="M132" s="183"/>
      <c r="N132" s="903" t="s">
        <v>4197</v>
      </c>
      <c r="O132" s="183"/>
      <c r="P132" s="183"/>
      <c r="Q132" s="183"/>
      <c r="R132" s="183"/>
      <c r="S132" s="183"/>
      <c r="T132" s="183"/>
      <c r="U132" s="183"/>
    </row>
    <row r="133" spans="1:21">
      <c r="A133" s="183"/>
      <c r="B133" s="183"/>
      <c r="C133" s="183"/>
      <c r="D133" s="183"/>
      <c r="E133" s="183"/>
      <c r="F133" s="183"/>
      <c r="G133" s="183"/>
      <c r="H133" s="183"/>
      <c r="I133" s="183"/>
      <c r="J133" s="183"/>
      <c r="K133" s="183"/>
      <c r="L133" s="183"/>
      <c r="M133" s="183"/>
      <c r="N133" s="183"/>
      <c r="O133" s="183"/>
      <c r="P133" s="183"/>
      <c r="Q133" s="183"/>
      <c r="R133" s="183"/>
      <c r="S133" s="183"/>
      <c r="T133" s="183"/>
      <c r="U133" s="183"/>
    </row>
    <row r="134" spans="1:21" ht="18">
      <c r="A134" s="183"/>
      <c r="B134" s="183"/>
      <c r="C134" s="1912" t="s">
        <v>4198</v>
      </c>
      <c r="D134" s="183"/>
      <c r="E134" s="183"/>
      <c r="F134" s="183"/>
      <c r="G134" s="183"/>
      <c r="H134" s="183"/>
      <c r="I134" s="183"/>
      <c r="J134" s="183"/>
      <c r="K134" s="183"/>
      <c r="L134" s="183"/>
      <c r="M134" s="183"/>
      <c r="N134" s="1913" t="s">
        <v>4199</v>
      </c>
      <c r="O134" s="183"/>
      <c r="P134" s="183"/>
      <c r="Q134" s="183"/>
      <c r="R134" s="183"/>
      <c r="S134" s="183"/>
      <c r="T134" s="183"/>
      <c r="U134" s="183"/>
    </row>
    <row r="135" spans="1:21">
      <c r="A135" s="183"/>
      <c r="B135" s="183"/>
      <c r="C135" s="183"/>
      <c r="D135" s="183"/>
      <c r="E135" s="183"/>
      <c r="F135" s="183"/>
      <c r="G135" s="183"/>
      <c r="H135" s="183"/>
      <c r="I135" s="183"/>
      <c r="J135" s="183"/>
      <c r="K135" s="183"/>
      <c r="L135" s="183"/>
      <c r="M135" s="183"/>
      <c r="N135" s="58"/>
      <c r="O135" s="183"/>
      <c r="P135" s="183"/>
      <c r="Q135" s="183"/>
      <c r="R135" s="183"/>
      <c r="S135" s="183"/>
      <c r="T135" s="183"/>
      <c r="U135" s="183"/>
    </row>
    <row r="136" spans="1:21">
      <c r="A136" s="183"/>
      <c r="B136" s="183"/>
      <c r="C136" s="183" t="s">
        <v>4184</v>
      </c>
      <c r="D136" s="183"/>
      <c r="E136" s="183"/>
      <c r="F136" s="183"/>
      <c r="G136" s="183"/>
      <c r="H136" s="183"/>
      <c r="I136" s="183"/>
      <c r="J136" s="183"/>
      <c r="K136" s="183"/>
      <c r="L136" s="183"/>
      <c r="M136" s="183"/>
      <c r="N136" s="903" t="s">
        <v>4200</v>
      </c>
      <c r="O136" s="183"/>
      <c r="P136" s="183"/>
      <c r="Q136" s="183"/>
      <c r="R136" s="183"/>
      <c r="S136" s="183"/>
      <c r="T136" s="183"/>
      <c r="U136" s="183"/>
    </row>
    <row r="137" spans="1:21">
      <c r="A137" s="183"/>
      <c r="B137" s="183"/>
      <c r="C137" s="58"/>
      <c r="D137" s="183"/>
      <c r="E137" s="183"/>
      <c r="F137" s="183"/>
      <c r="G137" s="183"/>
      <c r="H137" s="183"/>
      <c r="I137" s="183"/>
      <c r="J137" s="183"/>
      <c r="K137" s="183"/>
      <c r="L137" s="183"/>
      <c r="M137" s="183"/>
      <c r="N137" s="903" t="s">
        <v>4201</v>
      </c>
      <c r="O137" s="183"/>
      <c r="P137" s="183"/>
      <c r="Q137" s="183"/>
      <c r="R137" s="183"/>
      <c r="S137" s="183"/>
      <c r="T137" s="183"/>
      <c r="U137" s="183"/>
    </row>
    <row r="138" spans="1:21">
      <c r="A138" s="183"/>
      <c r="B138" s="183"/>
      <c r="C138" s="1923" t="s">
        <v>4202</v>
      </c>
      <c r="D138" s="183"/>
      <c r="E138" s="183"/>
      <c r="F138" s="183"/>
      <c r="G138" s="183"/>
      <c r="H138" s="183"/>
      <c r="I138" s="183"/>
      <c r="J138" s="183"/>
      <c r="K138" s="183"/>
      <c r="L138" s="183"/>
      <c r="M138" s="183"/>
      <c r="N138" s="903" t="s">
        <v>4203</v>
      </c>
      <c r="O138" s="183"/>
      <c r="P138" s="183"/>
      <c r="Q138" s="183"/>
      <c r="R138" s="183"/>
      <c r="S138" s="183"/>
      <c r="T138" s="183"/>
      <c r="U138" s="183"/>
    </row>
    <row r="139" spans="1:21">
      <c r="A139" s="183"/>
      <c r="B139" s="183"/>
      <c r="C139" s="1923" t="s">
        <v>4204</v>
      </c>
      <c r="D139" s="183"/>
      <c r="E139" s="183"/>
      <c r="F139" s="183"/>
      <c r="G139" s="183"/>
      <c r="H139" s="183"/>
      <c r="I139" s="183"/>
      <c r="J139" s="183"/>
      <c r="K139" s="183"/>
      <c r="L139" s="183"/>
      <c r="M139" s="183"/>
      <c r="N139" s="903" t="s">
        <v>4205</v>
      </c>
      <c r="O139" s="183"/>
      <c r="P139" s="183"/>
      <c r="Q139" s="183"/>
      <c r="R139" s="183"/>
      <c r="S139" s="183"/>
      <c r="T139" s="183"/>
      <c r="U139" s="183"/>
    </row>
    <row r="140" spans="1:21">
      <c r="A140" s="183"/>
      <c r="B140" s="183"/>
      <c r="C140" s="1923" t="s">
        <v>4206</v>
      </c>
      <c r="D140" s="183"/>
      <c r="E140" s="183"/>
      <c r="F140" s="183"/>
      <c r="G140" s="183"/>
      <c r="H140" s="183"/>
      <c r="I140" s="183"/>
      <c r="J140" s="183"/>
      <c r="K140" s="183"/>
      <c r="L140" s="183"/>
      <c r="M140" s="183"/>
      <c r="N140" s="903" t="s">
        <v>4207</v>
      </c>
      <c r="O140" s="183"/>
      <c r="P140" s="183"/>
      <c r="Q140" s="183"/>
      <c r="R140" s="183"/>
      <c r="S140" s="183"/>
      <c r="T140" s="183"/>
      <c r="U140" s="183"/>
    </row>
    <row r="141" spans="1:21">
      <c r="A141" s="183"/>
      <c r="B141" s="183"/>
      <c r="C141" s="1923" t="s">
        <v>4208</v>
      </c>
      <c r="D141" s="183"/>
      <c r="E141" s="183"/>
      <c r="F141" s="183"/>
      <c r="G141" s="183"/>
      <c r="H141" s="183"/>
      <c r="I141" s="183"/>
      <c r="J141" s="183"/>
      <c r="K141" s="183"/>
      <c r="L141" s="183"/>
      <c r="M141" s="183"/>
      <c r="N141" s="903" t="s">
        <v>4209</v>
      </c>
      <c r="O141" s="183"/>
      <c r="P141" s="183"/>
      <c r="Q141" s="183"/>
      <c r="R141" s="183"/>
      <c r="S141" s="183"/>
      <c r="T141" s="183"/>
      <c r="U141" s="183"/>
    </row>
    <row r="142" spans="1:21">
      <c r="A142" s="183"/>
      <c r="B142" s="183"/>
      <c r="C142" s="183"/>
      <c r="D142" s="183"/>
      <c r="E142" s="183"/>
      <c r="F142" s="183"/>
      <c r="G142" s="183"/>
      <c r="H142" s="183"/>
      <c r="I142" s="183"/>
      <c r="J142" s="183"/>
      <c r="K142" s="183"/>
      <c r="L142" s="183"/>
      <c r="M142" s="183"/>
      <c r="N142" s="903" t="s">
        <v>4210</v>
      </c>
      <c r="O142" s="183"/>
      <c r="P142" s="183"/>
      <c r="Q142" s="183"/>
      <c r="R142" s="183"/>
      <c r="S142" s="183"/>
      <c r="T142" s="183"/>
      <c r="U142" s="183"/>
    </row>
    <row r="143" spans="1:21" ht="18">
      <c r="A143" s="183"/>
      <c r="B143" s="183"/>
      <c r="C143" s="1913" t="s">
        <v>4211</v>
      </c>
      <c r="D143" s="183"/>
      <c r="E143" s="183"/>
      <c r="F143" s="183"/>
      <c r="G143" s="183"/>
      <c r="H143" s="183"/>
      <c r="I143" s="183"/>
      <c r="J143" s="183"/>
      <c r="K143" s="183"/>
      <c r="L143" s="183"/>
      <c r="M143" s="183"/>
      <c r="N143" s="903" t="s">
        <v>4212</v>
      </c>
      <c r="O143" s="183"/>
      <c r="P143" s="183"/>
      <c r="Q143" s="183"/>
      <c r="R143" s="183"/>
      <c r="S143" s="183"/>
      <c r="T143" s="183"/>
      <c r="U143" s="183"/>
    </row>
    <row r="144" spans="1:21">
      <c r="A144" s="183"/>
      <c r="B144" s="183"/>
      <c r="C144" s="183"/>
      <c r="D144" s="183"/>
      <c r="E144" s="183"/>
      <c r="F144" s="183"/>
      <c r="G144" s="183"/>
      <c r="H144" s="183"/>
      <c r="I144" s="183"/>
      <c r="J144" s="183"/>
      <c r="K144" s="183"/>
      <c r="L144" s="183"/>
      <c r="M144" s="183"/>
      <c r="N144" s="903" t="s">
        <v>4213</v>
      </c>
      <c r="O144" s="183"/>
      <c r="P144" s="183"/>
      <c r="Q144" s="183"/>
      <c r="R144" s="183"/>
      <c r="S144" s="183"/>
      <c r="T144" s="183"/>
      <c r="U144" s="183"/>
    </row>
    <row r="145" spans="1:21">
      <c r="A145" s="183"/>
      <c r="B145" s="183"/>
      <c r="C145" s="183" t="s">
        <v>4214</v>
      </c>
      <c r="D145" s="183"/>
      <c r="E145" s="183"/>
      <c r="F145" s="183"/>
      <c r="G145" s="183"/>
      <c r="H145" s="183"/>
      <c r="I145" s="183"/>
      <c r="J145" s="183"/>
      <c r="K145" s="183"/>
      <c r="L145" s="183"/>
      <c r="M145" s="183"/>
      <c r="N145" s="903" t="s">
        <v>4215</v>
      </c>
      <c r="O145" s="183"/>
      <c r="P145" s="183"/>
      <c r="Q145" s="183"/>
      <c r="R145" s="183"/>
      <c r="S145" s="183"/>
      <c r="T145" s="183"/>
      <c r="U145" s="183"/>
    </row>
    <row r="146" spans="1:21">
      <c r="A146" s="183"/>
      <c r="B146" s="183"/>
      <c r="C146" s="183"/>
      <c r="D146" s="183"/>
      <c r="E146" s="183"/>
      <c r="F146" s="183"/>
      <c r="G146" s="183"/>
      <c r="H146" s="183"/>
      <c r="I146" s="183"/>
      <c r="J146" s="183"/>
      <c r="K146" s="183"/>
      <c r="L146" s="183"/>
      <c r="M146" s="183"/>
      <c r="N146" s="183"/>
      <c r="O146" s="183"/>
      <c r="P146" s="183"/>
      <c r="Q146" s="183"/>
      <c r="R146" s="183"/>
      <c r="S146" s="183"/>
      <c r="T146" s="183"/>
      <c r="U146" s="183"/>
    </row>
    <row r="147" spans="1:21" ht="18">
      <c r="A147" s="183"/>
      <c r="B147" s="183"/>
      <c r="C147" s="183" t="s">
        <v>4184</v>
      </c>
      <c r="D147" s="183"/>
      <c r="E147" s="183"/>
      <c r="F147" s="183"/>
      <c r="G147" s="183"/>
      <c r="H147" s="183"/>
      <c r="I147" s="183"/>
      <c r="J147" s="183"/>
      <c r="K147" s="183"/>
      <c r="L147" s="183"/>
      <c r="M147" s="183"/>
      <c r="N147" s="1913" t="s">
        <v>4216</v>
      </c>
      <c r="O147" s="183"/>
      <c r="P147" s="183"/>
      <c r="Q147" s="183"/>
      <c r="R147" s="183"/>
      <c r="S147" s="183"/>
      <c r="T147" s="183"/>
      <c r="U147" s="183"/>
    </row>
    <row r="148" spans="1:21">
      <c r="A148" s="183"/>
      <c r="B148" s="183"/>
      <c r="C148" s="58"/>
      <c r="D148" s="183"/>
      <c r="E148" s="183"/>
      <c r="F148" s="183"/>
      <c r="G148" s="183"/>
      <c r="H148" s="183"/>
      <c r="I148" s="183"/>
      <c r="J148" s="183"/>
      <c r="K148" s="183"/>
      <c r="L148" s="183"/>
      <c r="M148" s="183"/>
      <c r="N148" s="58"/>
      <c r="O148" s="183"/>
      <c r="P148" s="183"/>
      <c r="Q148" s="183"/>
      <c r="R148" s="183"/>
      <c r="S148" s="183"/>
      <c r="T148" s="183"/>
      <c r="U148" s="183"/>
    </row>
    <row r="149" spans="1:21">
      <c r="A149" s="183"/>
      <c r="B149" s="183"/>
      <c r="C149" s="1923" t="s">
        <v>4217</v>
      </c>
      <c r="D149" s="183"/>
      <c r="E149" s="183"/>
      <c r="F149" s="183"/>
      <c r="G149" s="183"/>
      <c r="H149" s="183"/>
      <c r="I149" s="183"/>
      <c r="J149" s="183"/>
      <c r="K149" s="183"/>
      <c r="L149" s="183"/>
      <c r="M149" s="183"/>
      <c r="N149" s="903" t="s">
        <v>4218</v>
      </c>
      <c r="O149" s="183"/>
      <c r="P149" s="183"/>
      <c r="Q149" s="183"/>
      <c r="R149" s="183"/>
      <c r="S149" s="183"/>
      <c r="T149" s="183"/>
      <c r="U149" s="183"/>
    </row>
    <row r="150" spans="1:21">
      <c r="A150" s="183"/>
      <c r="B150" s="183"/>
      <c r="C150" s="1923" t="s">
        <v>4219</v>
      </c>
      <c r="D150" s="183"/>
      <c r="E150" s="183"/>
      <c r="F150" s="183"/>
      <c r="G150" s="183"/>
      <c r="H150" s="183"/>
      <c r="I150" s="183"/>
      <c r="J150" s="183"/>
      <c r="K150" s="183"/>
      <c r="L150" s="183"/>
      <c r="M150" s="183"/>
      <c r="N150" s="903" t="s">
        <v>4220</v>
      </c>
      <c r="O150" s="183"/>
      <c r="P150" s="183"/>
      <c r="Q150" s="183"/>
      <c r="R150" s="183"/>
      <c r="S150" s="183"/>
      <c r="T150" s="183"/>
      <c r="U150" s="183"/>
    </row>
    <row r="151" spans="1:21">
      <c r="A151" s="183"/>
      <c r="B151" s="183"/>
      <c r="C151" s="1923" t="s">
        <v>4221</v>
      </c>
      <c r="D151" s="183"/>
      <c r="E151" s="183"/>
      <c r="F151" s="183"/>
      <c r="G151" s="183"/>
      <c r="H151" s="183"/>
      <c r="I151" s="183"/>
      <c r="J151" s="183"/>
      <c r="K151" s="183"/>
      <c r="L151" s="183"/>
      <c r="M151" s="183"/>
      <c r="N151" s="903" t="s">
        <v>4222</v>
      </c>
      <c r="O151" s="183"/>
      <c r="P151" s="183"/>
      <c r="Q151" s="183"/>
      <c r="R151" s="183"/>
      <c r="S151" s="183"/>
      <c r="T151" s="183"/>
      <c r="U151" s="183"/>
    </row>
    <row r="152" spans="1:21">
      <c r="A152" s="183"/>
      <c r="B152" s="183"/>
      <c r="C152" s="183"/>
      <c r="D152" s="183"/>
      <c r="E152" s="183"/>
      <c r="F152" s="183"/>
      <c r="G152" s="183"/>
      <c r="H152" s="183"/>
      <c r="I152" s="183"/>
      <c r="J152" s="183"/>
      <c r="K152" s="183"/>
      <c r="L152" s="183"/>
      <c r="M152" s="183"/>
      <c r="N152" s="903" t="s">
        <v>4223</v>
      </c>
      <c r="O152" s="183"/>
      <c r="P152" s="183"/>
      <c r="Q152" s="183"/>
      <c r="R152" s="183"/>
      <c r="S152" s="183"/>
      <c r="T152" s="183"/>
      <c r="U152" s="183"/>
    </row>
    <row r="153" spans="1:21" ht="18">
      <c r="A153" s="183"/>
      <c r="B153" s="183"/>
      <c r="C153" s="1913" t="s">
        <v>4224</v>
      </c>
      <c r="D153" s="183"/>
      <c r="E153" s="183"/>
      <c r="F153" s="183"/>
      <c r="G153" s="183"/>
      <c r="H153" s="183"/>
      <c r="I153" s="183"/>
      <c r="J153" s="183"/>
      <c r="K153" s="183"/>
      <c r="L153" s="183"/>
      <c r="M153" s="183"/>
      <c r="N153" s="903" t="s">
        <v>4225</v>
      </c>
      <c r="O153" s="183"/>
      <c r="P153" s="183"/>
      <c r="Q153" s="183"/>
      <c r="R153" s="183"/>
      <c r="S153" s="183"/>
      <c r="T153" s="183"/>
      <c r="U153" s="183"/>
    </row>
    <row r="154" spans="1:21">
      <c r="A154" s="183"/>
      <c r="B154" s="183"/>
      <c r="C154" s="183"/>
      <c r="D154" s="183"/>
      <c r="E154" s="183"/>
      <c r="F154" s="183"/>
      <c r="G154" s="183"/>
      <c r="H154" s="183"/>
      <c r="I154" s="183"/>
      <c r="J154" s="183"/>
      <c r="K154" s="183"/>
      <c r="L154" s="183"/>
      <c r="M154" s="183"/>
      <c r="N154" s="903" t="s">
        <v>4226</v>
      </c>
      <c r="O154" s="183"/>
      <c r="P154" s="183"/>
      <c r="Q154" s="183"/>
      <c r="R154" s="183"/>
      <c r="S154" s="183"/>
      <c r="T154" s="183"/>
      <c r="U154" s="183"/>
    </row>
    <row r="155" spans="1:21">
      <c r="A155" s="183"/>
      <c r="B155" s="183"/>
      <c r="C155" s="183" t="s">
        <v>4227</v>
      </c>
      <c r="D155" s="183"/>
      <c r="E155" s="183"/>
      <c r="F155" s="183"/>
      <c r="G155" s="183"/>
      <c r="H155" s="183"/>
      <c r="I155" s="183"/>
      <c r="J155" s="183"/>
      <c r="K155" s="183"/>
      <c r="L155" s="183"/>
      <c r="M155" s="183"/>
      <c r="N155" s="903" t="s">
        <v>4228</v>
      </c>
      <c r="O155" s="183"/>
      <c r="P155" s="183"/>
      <c r="Q155" s="183"/>
      <c r="R155" s="183"/>
      <c r="S155" s="183"/>
      <c r="T155" s="183"/>
      <c r="U155" s="183"/>
    </row>
    <row r="156" spans="1:21">
      <c r="A156" s="183"/>
      <c r="B156" s="183"/>
      <c r="C156" s="183"/>
      <c r="D156" s="183"/>
      <c r="E156" s="183"/>
      <c r="F156" s="183"/>
      <c r="G156" s="183"/>
      <c r="H156" s="183"/>
      <c r="I156" s="183"/>
      <c r="J156" s="183"/>
      <c r="K156" s="183"/>
      <c r="L156" s="183"/>
      <c r="M156" s="183"/>
      <c r="N156" s="903" t="s">
        <v>4229</v>
      </c>
      <c r="O156" s="183"/>
      <c r="P156" s="183"/>
      <c r="Q156" s="183"/>
      <c r="R156" s="183"/>
      <c r="S156" s="183"/>
      <c r="T156" s="183"/>
      <c r="U156" s="183"/>
    </row>
    <row r="157" spans="1:21">
      <c r="A157" s="183"/>
      <c r="B157" s="183"/>
      <c r="C157" s="183" t="s">
        <v>4184</v>
      </c>
      <c r="D157" s="183"/>
      <c r="E157" s="183"/>
      <c r="F157" s="183"/>
      <c r="G157" s="183"/>
      <c r="H157" s="183"/>
      <c r="I157" s="183"/>
      <c r="J157" s="183"/>
      <c r="K157" s="183"/>
      <c r="L157" s="183"/>
      <c r="M157" s="183"/>
      <c r="N157" s="903" t="s">
        <v>4230</v>
      </c>
      <c r="O157" s="183"/>
      <c r="P157" s="183"/>
      <c r="Q157" s="183"/>
      <c r="R157" s="183"/>
      <c r="S157" s="183"/>
      <c r="T157" s="183"/>
      <c r="U157" s="183"/>
    </row>
    <row r="158" spans="1:21">
      <c r="A158" s="183"/>
      <c r="B158" s="183"/>
      <c r="C158" s="58"/>
      <c r="D158" s="183"/>
      <c r="E158" s="183"/>
      <c r="F158" s="183"/>
      <c r="G158" s="183"/>
      <c r="H158" s="183"/>
      <c r="I158" s="183"/>
      <c r="J158" s="183"/>
      <c r="K158" s="183"/>
      <c r="L158" s="183"/>
      <c r="M158" s="183"/>
      <c r="N158" s="903" t="s">
        <v>4231</v>
      </c>
      <c r="O158" s="183"/>
      <c r="P158" s="183"/>
      <c r="Q158" s="183"/>
      <c r="R158" s="183"/>
      <c r="S158" s="183"/>
      <c r="T158" s="183"/>
      <c r="U158" s="183"/>
    </row>
    <row r="159" spans="1:21">
      <c r="A159" s="183"/>
      <c r="B159" s="183"/>
      <c r="C159" s="1923" t="s">
        <v>4232</v>
      </c>
      <c r="D159" s="183"/>
      <c r="E159" s="183"/>
      <c r="F159" s="183"/>
      <c r="G159" s="183"/>
      <c r="H159" s="183"/>
      <c r="I159" s="183"/>
      <c r="J159" s="183"/>
      <c r="K159" s="183"/>
      <c r="L159" s="183"/>
      <c r="M159" s="183"/>
      <c r="N159" s="183"/>
      <c r="O159" s="183"/>
      <c r="P159" s="183"/>
      <c r="Q159" s="183"/>
      <c r="R159" s="183"/>
      <c r="S159" s="183"/>
      <c r="T159" s="183"/>
      <c r="U159" s="183"/>
    </row>
    <row r="160" spans="1:21" ht="18">
      <c r="A160" s="183"/>
      <c r="B160" s="183"/>
      <c r="C160" s="1923" t="s">
        <v>4233</v>
      </c>
      <c r="D160" s="183"/>
      <c r="E160" s="183"/>
      <c r="F160" s="183"/>
      <c r="G160" s="183"/>
      <c r="H160" s="183"/>
      <c r="I160" s="183"/>
      <c r="J160" s="183"/>
      <c r="K160" s="183"/>
      <c r="L160" s="183"/>
      <c r="M160" s="183"/>
      <c r="N160" s="1913" t="s">
        <v>4234</v>
      </c>
      <c r="O160" s="183"/>
      <c r="P160" s="183"/>
      <c r="Q160" s="183"/>
      <c r="R160" s="183"/>
      <c r="S160" s="183"/>
      <c r="T160" s="183"/>
      <c r="U160" s="183"/>
    </row>
    <row r="161" spans="1:21">
      <c r="A161" s="183"/>
      <c r="B161" s="183"/>
      <c r="C161" s="1923" t="s">
        <v>4235</v>
      </c>
      <c r="D161" s="183"/>
      <c r="E161" s="183"/>
      <c r="F161" s="183"/>
      <c r="G161" s="183"/>
      <c r="H161" s="183"/>
      <c r="I161" s="183"/>
      <c r="J161" s="183"/>
      <c r="K161" s="183"/>
      <c r="L161" s="183"/>
      <c r="M161" s="183"/>
      <c r="N161" s="58"/>
      <c r="O161" s="183"/>
      <c r="P161" s="183"/>
      <c r="Q161" s="183"/>
      <c r="R161" s="183"/>
      <c r="S161" s="183"/>
      <c r="T161" s="183"/>
      <c r="U161" s="183"/>
    </row>
    <row r="162" spans="1:21">
      <c r="A162" s="183"/>
      <c r="B162" s="183"/>
      <c r="C162" s="183"/>
      <c r="D162" s="183"/>
      <c r="E162" s="183"/>
      <c r="F162" s="183"/>
      <c r="G162" s="183"/>
      <c r="H162" s="183"/>
      <c r="I162" s="183"/>
      <c r="J162" s="183"/>
      <c r="K162" s="183"/>
      <c r="L162" s="183"/>
      <c r="M162" s="183"/>
      <c r="N162" s="903" t="s">
        <v>4236</v>
      </c>
      <c r="O162" s="183"/>
      <c r="P162" s="183"/>
      <c r="Q162" s="183"/>
      <c r="R162" s="183"/>
      <c r="S162" s="183"/>
      <c r="T162" s="183"/>
      <c r="U162" s="183"/>
    </row>
    <row r="163" spans="1:21" ht="18">
      <c r="A163" s="183"/>
      <c r="B163" s="183"/>
      <c r="C163" s="1913" t="s">
        <v>4237</v>
      </c>
      <c r="D163" s="183"/>
      <c r="E163" s="183"/>
      <c r="F163" s="183"/>
      <c r="G163" s="183"/>
      <c r="H163" s="183"/>
      <c r="I163" s="183"/>
      <c r="J163" s="183"/>
      <c r="K163" s="183"/>
      <c r="L163" s="183"/>
      <c r="M163" s="183"/>
      <c r="N163" s="903" t="s">
        <v>4238</v>
      </c>
      <c r="O163" s="183"/>
      <c r="P163" s="183"/>
      <c r="Q163" s="183"/>
      <c r="R163" s="183"/>
      <c r="S163" s="183"/>
      <c r="T163" s="183"/>
      <c r="U163" s="183"/>
    </row>
    <row r="164" spans="1:21">
      <c r="A164" s="183"/>
      <c r="B164" s="183"/>
      <c r="C164" s="183"/>
      <c r="D164" s="183"/>
      <c r="E164" s="183"/>
      <c r="F164" s="183"/>
      <c r="G164" s="183"/>
      <c r="H164" s="183"/>
      <c r="I164" s="183"/>
      <c r="J164" s="183"/>
      <c r="K164" s="183"/>
      <c r="L164" s="183"/>
      <c r="M164" s="183"/>
      <c r="N164" s="903" t="s">
        <v>4239</v>
      </c>
      <c r="O164" s="183"/>
      <c r="P164" s="183"/>
      <c r="Q164" s="183"/>
      <c r="R164" s="183"/>
      <c r="S164" s="183"/>
      <c r="T164" s="183"/>
      <c r="U164" s="183"/>
    </row>
    <row r="165" spans="1:21">
      <c r="A165" s="183"/>
      <c r="B165" s="183"/>
      <c r="C165" s="183" t="s">
        <v>4240</v>
      </c>
      <c r="D165" s="183"/>
      <c r="E165" s="183"/>
      <c r="F165" s="183"/>
      <c r="G165" s="183"/>
      <c r="H165" s="183"/>
      <c r="I165" s="183"/>
      <c r="J165" s="183"/>
      <c r="K165" s="183"/>
      <c r="L165" s="183"/>
      <c r="M165" s="183"/>
      <c r="N165" s="903" t="s">
        <v>4241</v>
      </c>
      <c r="O165" s="183"/>
      <c r="P165" s="183"/>
      <c r="Q165" s="183"/>
      <c r="R165" s="183"/>
      <c r="S165" s="183"/>
      <c r="T165" s="183"/>
      <c r="U165" s="183"/>
    </row>
    <row r="166" spans="1:21">
      <c r="A166" s="183"/>
      <c r="B166" s="183"/>
      <c r="C166" s="183"/>
      <c r="D166" s="183"/>
      <c r="E166" s="183"/>
      <c r="F166" s="183"/>
      <c r="G166" s="183"/>
      <c r="H166" s="183"/>
      <c r="I166" s="183"/>
      <c r="J166" s="183"/>
      <c r="K166" s="183"/>
      <c r="L166" s="183"/>
      <c r="M166" s="183"/>
      <c r="N166" s="903" t="s">
        <v>4242</v>
      </c>
      <c r="O166" s="183"/>
      <c r="P166" s="183"/>
      <c r="Q166" s="183"/>
      <c r="R166" s="183"/>
      <c r="S166" s="183"/>
      <c r="T166" s="183"/>
      <c r="U166" s="183"/>
    </row>
    <row r="167" spans="1:21">
      <c r="A167" s="183"/>
      <c r="B167" s="183"/>
      <c r="C167" s="183" t="s">
        <v>4184</v>
      </c>
      <c r="D167" s="183"/>
      <c r="E167" s="183"/>
      <c r="F167" s="183"/>
      <c r="G167" s="183"/>
      <c r="H167" s="183"/>
      <c r="I167" s="183"/>
      <c r="J167" s="183"/>
      <c r="K167" s="183"/>
      <c r="L167" s="183"/>
      <c r="M167" s="183"/>
      <c r="N167" s="903" t="s">
        <v>4243</v>
      </c>
      <c r="O167" s="183"/>
      <c r="P167" s="183"/>
      <c r="Q167" s="183"/>
      <c r="R167" s="183"/>
      <c r="S167" s="183"/>
      <c r="T167" s="183"/>
      <c r="U167" s="183"/>
    </row>
    <row r="168" spans="1:21">
      <c r="A168" s="183"/>
      <c r="B168" s="183"/>
      <c r="C168" s="58"/>
      <c r="D168" s="183"/>
      <c r="E168" s="183"/>
      <c r="F168" s="183"/>
      <c r="G168" s="183"/>
      <c r="H168" s="183"/>
      <c r="I168" s="183"/>
      <c r="J168" s="183"/>
      <c r="K168" s="183"/>
      <c r="L168" s="183"/>
      <c r="M168" s="183"/>
      <c r="N168" s="903" t="s">
        <v>4244</v>
      </c>
      <c r="O168" s="183"/>
      <c r="P168" s="183"/>
      <c r="Q168" s="183"/>
      <c r="R168" s="183"/>
      <c r="S168" s="183"/>
      <c r="T168" s="183"/>
      <c r="U168" s="183"/>
    </row>
    <row r="169" spans="1:21">
      <c r="A169" s="183"/>
      <c r="B169" s="183"/>
      <c r="C169" s="1923" t="s">
        <v>4245</v>
      </c>
      <c r="D169" s="183"/>
      <c r="E169" s="183"/>
      <c r="F169" s="183"/>
      <c r="G169" s="183"/>
      <c r="H169" s="183"/>
      <c r="I169" s="183"/>
      <c r="J169" s="183"/>
      <c r="K169" s="183"/>
      <c r="L169" s="183"/>
      <c r="M169" s="183"/>
      <c r="N169" s="903" t="s">
        <v>4246</v>
      </c>
      <c r="O169" s="183"/>
      <c r="P169" s="183"/>
      <c r="Q169" s="183"/>
      <c r="R169" s="183"/>
      <c r="S169" s="183"/>
      <c r="T169" s="183"/>
      <c r="U169" s="183"/>
    </row>
    <row r="170" spans="1:21">
      <c r="A170" s="183"/>
      <c r="B170" s="183"/>
      <c r="C170" s="1923" t="s">
        <v>4247</v>
      </c>
      <c r="D170" s="183"/>
      <c r="E170" s="183"/>
      <c r="F170" s="183"/>
      <c r="G170" s="183"/>
      <c r="H170" s="183"/>
      <c r="I170" s="183"/>
      <c r="J170" s="183"/>
      <c r="K170" s="183"/>
      <c r="L170" s="183"/>
      <c r="M170" s="183"/>
      <c r="N170" s="903" t="s">
        <v>4248</v>
      </c>
      <c r="O170" s="183"/>
      <c r="P170" s="183"/>
      <c r="Q170" s="183"/>
      <c r="R170" s="183"/>
      <c r="S170" s="183"/>
      <c r="T170" s="183"/>
      <c r="U170" s="183"/>
    </row>
    <row r="171" spans="1:21">
      <c r="A171" s="183"/>
      <c r="B171" s="183"/>
      <c r="C171" s="1923" t="s">
        <v>4249</v>
      </c>
      <c r="D171" s="183"/>
      <c r="E171" s="183"/>
      <c r="F171" s="183"/>
      <c r="G171" s="183"/>
      <c r="H171" s="183"/>
      <c r="I171" s="183"/>
      <c r="J171" s="183"/>
      <c r="K171" s="183"/>
      <c r="L171" s="183"/>
      <c r="M171" s="183"/>
      <c r="N171" s="903" t="s">
        <v>4250</v>
      </c>
      <c r="O171" s="183"/>
      <c r="P171" s="183"/>
      <c r="Q171" s="183"/>
      <c r="R171" s="183"/>
      <c r="S171" s="183"/>
      <c r="T171" s="183"/>
      <c r="U171" s="183"/>
    </row>
    <row r="172" spans="1:21">
      <c r="A172" s="183"/>
      <c r="B172" s="183"/>
      <c r="C172" s="183"/>
      <c r="D172" s="183"/>
      <c r="E172" s="183"/>
      <c r="F172" s="183"/>
      <c r="G172" s="183"/>
      <c r="H172" s="183"/>
      <c r="I172" s="183"/>
      <c r="J172" s="183"/>
      <c r="K172" s="183"/>
      <c r="L172" s="183"/>
      <c r="M172" s="183"/>
      <c r="N172" s="183"/>
      <c r="O172" s="183"/>
      <c r="P172" s="183"/>
      <c r="Q172" s="183"/>
      <c r="R172" s="183"/>
      <c r="S172" s="183"/>
      <c r="T172" s="183"/>
      <c r="U172" s="183"/>
    </row>
    <row r="173" spans="1:21" ht="18">
      <c r="A173" s="183"/>
      <c r="B173" s="183"/>
      <c r="C173" s="1913" t="s">
        <v>4251</v>
      </c>
      <c r="D173" s="183"/>
      <c r="E173" s="183"/>
      <c r="F173" s="183"/>
      <c r="G173" s="183"/>
      <c r="H173" s="183"/>
      <c r="I173" s="183"/>
      <c r="J173" s="183"/>
      <c r="K173" s="183"/>
      <c r="L173" s="183"/>
      <c r="M173" s="183"/>
      <c r="N173" s="1913" t="s">
        <v>4252</v>
      </c>
      <c r="O173" s="183"/>
      <c r="P173" s="183"/>
      <c r="Q173" s="183"/>
      <c r="R173" s="183"/>
      <c r="S173" s="183"/>
      <c r="T173" s="183"/>
      <c r="U173" s="183"/>
    </row>
    <row r="174" spans="1:21">
      <c r="A174" s="183"/>
      <c r="B174" s="183"/>
      <c r="C174" s="183"/>
      <c r="D174" s="183"/>
      <c r="E174" s="183"/>
      <c r="F174" s="183"/>
      <c r="G174" s="183"/>
      <c r="H174" s="183"/>
      <c r="I174" s="183"/>
      <c r="J174" s="183"/>
      <c r="K174" s="183"/>
      <c r="L174" s="183"/>
      <c r="M174" s="183"/>
      <c r="N174" s="58"/>
      <c r="O174" s="183"/>
      <c r="P174" s="183"/>
      <c r="Q174" s="183"/>
      <c r="R174" s="183"/>
      <c r="S174" s="183"/>
      <c r="T174" s="183"/>
      <c r="U174" s="183"/>
    </row>
    <row r="175" spans="1:21">
      <c r="A175" s="183"/>
      <c r="B175" s="183"/>
      <c r="C175" s="183" t="s">
        <v>4253</v>
      </c>
      <c r="D175" s="183"/>
      <c r="E175" s="183"/>
      <c r="F175" s="183"/>
      <c r="G175" s="183"/>
      <c r="H175" s="183"/>
      <c r="I175" s="183"/>
      <c r="J175" s="183"/>
      <c r="K175" s="183"/>
      <c r="L175" s="183"/>
      <c r="M175" s="183"/>
      <c r="N175" s="903" t="s">
        <v>4254</v>
      </c>
      <c r="O175" s="183"/>
      <c r="P175" s="183"/>
      <c r="Q175" s="183"/>
      <c r="R175" s="183"/>
      <c r="S175" s="183"/>
      <c r="T175" s="183"/>
      <c r="U175" s="183"/>
    </row>
    <row r="176" spans="1:21">
      <c r="A176" s="183"/>
      <c r="B176" s="183"/>
      <c r="C176" s="183"/>
      <c r="D176" s="183"/>
      <c r="E176" s="183"/>
      <c r="F176" s="183"/>
      <c r="G176" s="183"/>
      <c r="H176" s="183"/>
      <c r="I176" s="183"/>
      <c r="J176" s="183"/>
      <c r="K176" s="183"/>
      <c r="L176" s="183"/>
      <c r="M176" s="183"/>
      <c r="N176" s="903" t="s">
        <v>4255</v>
      </c>
      <c r="O176" s="183"/>
      <c r="P176" s="183"/>
      <c r="Q176" s="183"/>
      <c r="R176" s="183"/>
      <c r="S176" s="183"/>
      <c r="T176" s="183"/>
      <c r="U176" s="183"/>
    </row>
    <row r="177" spans="1:21">
      <c r="A177" s="183"/>
      <c r="B177" s="183"/>
      <c r="C177" s="183" t="s">
        <v>4184</v>
      </c>
      <c r="D177" s="183"/>
      <c r="E177" s="183"/>
      <c r="F177" s="183"/>
      <c r="G177" s="183"/>
      <c r="H177" s="183"/>
      <c r="I177" s="183"/>
      <c r="J177" s="183"/>
      <c r="K177" s="183"/>
      <c r="L177" s="183"/>
      <c r="M177" s="183"/>
      <c r="N177" s="903" t="s">
        <v>4256</v>
      </c>
      <c r="O177" s="183"/>
      <c r="P177" s="183"/>
      <c r="Q177" s="183"/>
      <c r="R177" s="183"/>
      <c r="S177" s="183"/>
      <c r="T177" s="183"/>
      <c r="U177" s="183"/>
    </row>
    <row r="178" spans="1:21">
      <c r="A178" s="183"/>
      <c r="B178" s="183"/>
      <c r="C178" s="58"/>
      <c r="D178" s="183"/>
      <c r="E178" s="183"/>
      <c r="F178" s="183"/>
      <c r="G178" s="183"/>
      <c r="H178" s="183"/>
      <c r="I178" s="183"/>
      <c r="J178" s="183"/>
      <c r="K178" s="183"/>
      <c r="L178" s="183"/>
      <c r="M178" s="183"/>
      <c r="N178" s="903" t="s">
        <v>4257</v>
      </c>
      <c r="O178" s="183"/>
      <c r="P178" s="183"/>
      <c r="Q178" s="183"/>
      <c r="R178" s="183"/>
      <c r="S178" s="183"/>
      <c r="T178" s="183"/>
      <c r="U178" s="183"/>
    </row>
    <row r="179" spans="1:21">
      <c r="A179" s="183"/>
      <c r="B179" s="183"/>
      <c r="C179" s="1923" t="s">
        <v>4258</v>
      </c>
      <c r="D179" s="183"/>
      <c r="E179" s="183"/>
      <c r="F179" s="183"/>
      <c r="G179" s="183"/>
      <c r="H179" s="183"/>
      <c r="I179" s="183"/>
      <c r="J179" s="183"/>
      <c r="K179" s="183"/>
      <c r="L179" s="183"/>
      <c r="M179" s="183"/>
      <c r="N179" s="903" t="s">
        <v>4259</v>
      </c>
      <c r="O179" s="183"/>
      <c r="P179" s="183"/>
      <c r="Q179" s="183"/>
      <c r="R179" s="183"/>
      <c r="S179" s="183"/>
      <c r="T179" s="183"/>
      <c r="U179" s="183"/>
    </row>
    <row r="180" spans="1:21">
      <c r="A180" s="183"/>
      <c r="B180" s="183"/>
      <c r="C180" s="1923" t="s">
        <v>4260</v>
      </c>
      <c r="D180" s="183"/>
      <c r="E180" s="183"/>
      <c r="F180" s="183"/>
      <c r="G180" s="183"/>
      <c r="H180" s="183"/>
      <c r="I180" s="183"/>
      <c r="J180" s="183"/>
      <c r="K180" s="183"/>
      <c r="L180" s="183"/>
      <c r="M180" s="183"/>
      <c r="N180" s="903" t="s">
        <v>4261</v>
      </c>
      <c r="O180" s="183"/>
      <c r="P180" s="183"/>
      <c r="Q180" s="183"/>
      <c r="R180" s="183"/>
      <c r="S180" s="183"/>
      <c r="T180" s="183"/>
      <c r="U180" s="183"/>
    </row>
    <row r="181" spans="1:21">
      <c r="A181" s="183"/>
      <c r="B181" s="183"/>
      <c r="C181" s="1923" t="s">
        <v>4262</v>
      </c>
      <c r="D181" s="183"/>
      <c r="E181" s="183"/>
      <c r="F181" s="183"/>
      <c r="G181" s="183"/>
      <c r="H181" s="183"/>
      <c r="I181" s="183"/>
      <c r="J181" s="183"/>
      <c r="K181" s="183"/>
      <c r="L181" s="183"/>
      <c r="M181" s="183"/>
      <c r="N181" s="903" t="s">
        <v>4263</v>
      </c>
      <c r="O181" s="183"/>
      <c r="P181" s="183"/>
      <c r="Q181" s="183"/>
      <c r="R181" s="183"/>
      <c r="S181" s="183"/>
      <c r="T181" s="183"/>
      <c r="U181" s="183"/>
    </row>
    <row r="182" spans="1:21">
      <c r="A182" s="183"/>
      <c r="B182" s="183"/>
      <c r="C182" s="183"/>
      <c r="D182" s="183"/>
      <c r="E182" s="183"/>
      <c r="F182" s="183"/>
      <c r="G182" s="183"/>
      <c r="H182" s="183"/>
      <c r="I182" s="183"/>
      <c r="J182" s="183"/>
      <c r="K182" s="183"/>
      <c r="L182" s="183"/>
      <c r="M182" s="183"/>
      <c r="N182" s="903" t="s">
        <v>4264</v>
      </c>
      <c r="O182" s="183"/>
      <c r="P182" s="183"/>
      <c r="Q182" s="183"/>
      <c r="R182" s="183"/>
      <c r="S182" s="183"/>
      <c r="T182" s="183"/>
      <c r="U182" s="183"/>
    </row>
    <row r="183" spans="1:21" ht="18">
      <c r="A183" s="183"/>
      <c r="B183" s="183"/>
      <c r="C183" s="1913" t="s">
        <v>4265</v>
      </c>
      <c r="D183" s="183"/>
      <c r="E183" s="183"/>
      <c r="F183" s="183"/>
      <c r="G183" s="183"/>
      <c r="H183" s="183"/>
      <c r="I183" s="183"/>
      <c r="J183" s="183"/>
      <c r="K183" s="183"/>
      <c r="L183" s="183"/>
      <c r="M183" s="183"/>
      <c r="N183" s="903" t="s">
        <v>4266</v>
      </c>
      <c r="O183" s="183"/>
      <c r="P183" s="183"/>
      <c r="Q183" s="183"/>
      <c r="R183" s="183"/>
      <c r="S183" s="183"/>
      <c r="T183" s="183"/>
      <c r="U183" s="183"/>
    </row>
    <row r="184" spans="1:21">
      <c r="A184" s="183"/>
      <c r="B184" s="183"/>
      <c r="C184" s="183"/>
      <c r="D184" s="183"/>
      <c r="E184" s="183"/>
      <c r="F184" s="183"/>
      <c r="G184" s="183"/>
      <c r="H184" s="183"/>
      <c r="I184" s="183"/>
      <c r="J184" s="183"/>
      <c r="K184" s="183"/>
      <c r="L184" s="183"/>
      <c r="M184" s="183"/>
      <c r="N184" s="903" t="s">
        <v>4267</v>
      </c>
      <c r="O184" s="183"/>
      <c r="P184" s="183"/>
      <c r="Q184" s="183"/>
      <c r="R184" s="183"/>
      <c r="S184" s="183"/>
      <c r="T184" s="183"/>
      <c r="U184" s="183"/>
    </row>
    <row r="185" spans="1:21">
      <c r="A185" s="183"/>
      <c r="B185" s="183"/>
      <c r="C185" s="183" t="s">
        <v>4268</v>
      </c>
      <c r="D185" s="183"/>
      <c r="E185" s="183"/>
      <c r="F185" s="183"/>
      <c r="G185" s="183"/>
      <c r="H185" s="183"/>
      <c r="I185" s="183"/>
      <c r="J185" s="183"/>
      <c r="K185" s="183"/>
      <c r="L185" s="183"/>
      <c r="M185" s="183"/>
      <c r="N185" s="183"/>
      <c r="O185" s="183"/>
      <c r="P185" s="183"/>
      <c r="Q185" s="183"/>
      <c r="R185" s="183"/>
      <c r="S185" s="183"/>
      <c r="T185" s="183"/>
      <c r="U185" s="183"/>
    </row>
    <row r="186" spans="1:21" ht="18">
      <c r="A186" s="183"/>
      <c r="B186" s="183"/>
      <c r="C186" s="183"/>
      <c r="D186" s="183"/>
      <c r="E186" s="183"/>
      <c r="F186" s="183"/>
      <c r="G186" s="183"/>
      <c r="H186" s="183"/>
      <c r="I186" s="183"/>
      <c r="J186" s="183"/>
      <c r="K186" s="183"/>
      <c r="L186" s="183"/>
      <c r="M186" s="183"/>
      <c r="N186" s="1913" t="s">
        <v>4269</v>
      </c>
      <c r="O186" s="183"/>
      <c r="P186" s="183"/>
      <c r="Q186" s="183"/>
      <c r="R186" s="183"/>
      <c r="S186" s="183"/>
      <c r="T186" s="183"/>
      <c r="U186" s="183"/>
    </row>
    <row r="187" spans="1:21">
      <c r="A187" s="183"/>
      <c r="B187" s="183"/>
      <c r="C187" s="183" t="s">
        <v>4184</v>
      </c>
      <c r="D187" s="183"/>
      <c r="E187" s="183"/>
      <c r="F187" s="183"/>
      <c r="G187" s="183"/>
      <c r="H187" s="183"/>
      <c r="I187" s="183"/>
      <c r="J187" s="183"/>
      <c r="K187" s="183"/>
      <c r="L187" s="183"/>
      <c r="M187" s="183"/>
      <c r="N187" s="58"/>
      <c r="O187" s="183"/>
      <c r="P187" s="183"/>
      <c r="Q187" s="183"/>
      <c r="R187" s="183"/>
      <c r="S187" s="183"/>
      <c r="T187" s="183"/>
      <c r="U187" s="183"/>
    </row>
    <row r="188" spans="1:21">
      <c r="A188" s="183"/>
      <c r="B188" s="183"/>
      <c r="C188" s="58"/>
      <c r="D188" s="183"/>
      <c r="E188" s="183"/>
      <c r="F188" s="183"/>
      <c r="G188" s="183"/>
      <c r="H188" s="183"/>
      <c r="I188" s="183"/>
      <c r="J188" s="183"/>
      <c r="K188" s="183"/>
      <c r="L188" s="183"/>
      <c r="M188" s="183"/>
      <c r="N188" s="903" t="s">
        <v>4270</v>
      </c>
      <c r="O188" s="183"/>
      <c r="P188" s="183"/>
      <c r="Q188" s="183"/>
      <c r="R188" s="183"/>
      <c r="S188" s="183"/>
      <c r="T188" s="183"/>
      <c r="U188" s="183"/>
    </row>
    <row r="189" spans="1:21">
      <c r="A189" s="183"/>
      <c r="B189" s="183"/>
      <c r="C189" s="1923" t="s">
        <v>4271</v>
      </c>
      <c r="D189" s="183"/>
      <c r="E189" s="183"/>
      <c r="F189" s="183"/>
      <c r="G189" s="183"/>
      <c r="H189" s="183"/>
      <c r="I189" s="183"/>
      <c r="J189" s="183"/>
      <c r="K189" s="183"/>
      <c r="L189" s="183"/>
      <c r="M189" s="183"/>
      <c r="N189" s="903" t="s">
        <v>4272</v>
      </c>
      <c r="O189" s="183"/>
      <c r="P189" s="183"/>
      <c r="Q189" s="183"/>
      <c r="R189" s="183"/>
      <c r="S189" s="183"/>
      <c r="T189" s="183"/>
      <c r="U189" s="183"/>
    </row>
    <row r="190" spans="1:21">
      <c r="A190" s="183"/>
      <c r="B190" s="183"/>
      <c r="C190" s="1923" t="s">
        <v>4273</v>
      </c>
      <c r="D190" s="183"/>
      <c r="E190" s="183"/>
      <c r="F190" s="183"/>
      <c r="G190" s="183"/>
      <c r="H190" s="183"/>
      <c r="I190" s="183"/>
      <c r="J190" s="183"/>
      <c r="K190" s="183"/>
      <c r="L190" s="183"/>
      <c r="M190" s="183"/>
      <c r="N190" s="903" t="s">
        <v>4274</v>
      </c>
      <c r="O190" s="183"/>
      <c r="P190" s="183"/>
      <c r="Q190" s="183"/>
      <c r="R190" s="183"/>
      <c r="S190" s="183"/>
      <c r="T190" s="183"/>
      <c r="U190" s="183"/>
    </row>
    <row r="191" spans="1:21">
      <c r="A191" s="183"/>
      <c r="B191" s="183"/>
      <c r="C191" s="1923" t="s">
        <v>4275</v>
      </c>
      <c r="D191" s="183"/>
      <c r="E191" s="183"/>
      <c r="F191" s="183"/>
      <c r="G191" s="183"/>
      <c r="H191" s="183"/>
      <c r="I191" s="183"/>
      <c r="J191" s="183"/>
      <c r="K191" s="183"/>
      <c r="L191" s="183"/>
      <c r="M191" s="183"/>
      <c r="N191" s="903" t="s">
        <v>4276</v>
      </c>
      <c r="O191" s="183"/>
      <c r="P191" s="183"/>
      <c r="Q191" s="183"/>
      <c r="R191" s="183"/>
      <c r="S191" s="183"/>
      <c r="T191" s="183"/>
      <c r="U191" s="183"/>
    </row>
    <row r="192" spans="1:21">
      <c r="A192" s="183"/>
      <c r="B192" s="183"/>
      <c r="C192" s="183"/>
      <c r="D192" s="183"/>
      <c r="E192" s="183"/>
      <c r="F192" s="183"/>
      <c r="G192" s="183"/>
      <c r="H192" s="183"/>
      <c r="I192" s="183"/>
      <c r="J192" s="183"/>
      <c r="K192" s="183"/>
      <c r="L192" s="183"/>
      <c r="M192" s="183"/>
      <c r="N192" s="903" t="s">
        <v>4277</v>
      </c>
      <c r="O192" s="183"/>
      <c r="P192" s="183"/>
      <c r="Q192" s="183"/>
      <c r="R192" s="183"/>
      <c r="S192" s="183"/>
      <c r="T192" s="183"/>
      <c r="U192" s="183"/>
    </row>
    <row r="193" spans="1:21">
      <c r="A193" s="183"/>
      <c r="B193" s="183"/>
      <c r="C193" s="183" t="s">
        <v>4278</v>
      </c>
      <c r="D193" s="183"/>
      <c r="E193" s="183"/>
      <c r="F193" s="183"/>
      <c r="G193" s="183"/>
      <c r="H193" s="183"/>
      <c r="I193" s="183"/>
      <c r="J193" s="183"/>
      <c r="K193" s="183"/>
      <c r="L193" s="183"/>
      <c r="M193" s="183"/>
      <c r="N193" s="903" t="s">
        <v>4279</v>
      </c>
      <c r="O193" s="183"/>
      <c r="P193" s="183"/>
      <c r="Q193" s="183"/>
      <c r="R193" s="183"/>
      <c r="S193" s="183"/>
      <c r="T193" s="183"/>
      <c r="U193" s="183"/>
    </row>
    <row r="194" spans="1:21">
      <c r="A194" s="183"/>
      <c r="B194" s="183"/>
      <c r="C194" s="183" t="s">
        <v>4280</v>
      </c>
      <c r="D194" s="183"/>
      <c r="E194" s="183"/>
      <c r="F194" s="183"/>
      <c r="G194" s="183"/>
      <c r="H194" s="183"/>
      <c r="I194" s="183"/>
      <c r="J194" s="183"/>
      <c r="K194" s="183"/>
      <c r="L194" s="183"/>
      <c r="M194" s="183"/>
      <c r="N194" s="903" t="s">
        <v>4281</v>
      </c>
      <c r="O194" s="183"/>
      <c r="P194" s="183"/>
      <c r="Q194" s="183"/>
      <c r="R194" s="183"/>
      <c r="S194" s="183"/>
      <c r="T194" s="183"/>
      <c r="U194" s="183"/>
    </row>
    <row r="195" spans="1:21">
      <c r="A195" s="183"/>
      <c r="B195" s="183"/>
      <c r="C195" s="183"/>
      <c r="D195" s="183"/>
      <c r="E195" s="183"/>
      <c r="F195" s="183"/>
      <c r="G195" s="183"/>
      <c r="H195" s="183"/>
      <c r="I195" s="183"/>
      <c r="J195" s="183"/>
      <c r="K195" s="183"/>
      <c r="L195" s="183"/>
      <c r="M195" s="183"/>
      <c r="N195" s="903" t="s">
        <v>4282</v>
      </c>
      <c r="O195" s="183"/>
      <c r="P195" s="183"/>
      <c r="Q195" s="183"/>
      <c r="R195" s="183"/>
      <c r="S195" s="183"/>
      <c r="T195" s="183"/>
      <c r="U195" s="183"/>
    </row>
    <row r="196" spans="1:21">
      <c r="A196" s="183"/>
      <c r="B196" s="183"/>
      <c r="C196" s="183"/>
      <c r="D196" s="183"/>
      <c r="E196" s="183"/>
      <c r="F196" s="183"/>
      <c r="G196" s="183"/>
      <c r="H196" s="183"/>
      <c r="I196" s="183"/>
      <c r="J196" s="183"/>
      <c r="K196" s="183"/>
      <c r="L196" s="183"/>
      <c r="M196" s="183"/>
      <c r="N196" s="903" t="s">
        <v>4283</v>
      </c>
      <c r="O196" s="183"/>
      <c r="P196" s="183"/>
      <c r="Q196" s="183"/>
      <c r="R196" s="183"/>
      <c r="S196" s="183"/>
      <c r="T196" s="183"/>
      <c r="U196" s="183"/>
    </row>
    <row r="197" spans="1:21">
      <c r="A197" s="183"/>
      <c r="B197" s="183"/>
      <c r="C197" s="1912" t="s">
        <v>4284</v>
      </c>
      <c r="D197" s="183"/>
      <c r="E197" s="183"/>
      <c r="F197" s="183"/>
      <c r="G197" s="183"/>
      <c r="H197" s="183"/>
      <c r="I197" s="183"/>
      <c r="J197" s="183"/>
      <c r="K197" s="183"/>
      <c r="L197" s="183"/>
      <c r="M197" s="183"/>
      <c r="N197" s="903" t="s">
        <v>4285</v>
      </c>
      <c r="O197" s="183"/>
      <c r="P197" s="183"/>
      <c r="Q197" s="183"/>
      <c r="R197" s="183"/>
      <c r="S197" s="183"/>
      <c r="T197" s="183"/>
      <c r="U197" s="183"/>
    </row>
    <row r="198" spans="1:21">
      <c r="A198" s="183"/>
      <c r="B198" s="183"/>
      <c r="C198" s="183" t="s">
        <v>4286</v>
      </c>
      <c r="D198" s="183"/>
      <c r="E198" s="183"/>
      <c r="F198" s="183"/>
      <c r="G198" s="183"/>
      <c r="H198" s="183"/>
      <c r="I198" s="183"/>
      <c r="J198" s="183"/>
      <c r="K198" s="183"/>
      <c r="L198" s="183"/>
      <c r="M198" s="183"/>
      <c r="N198" s="183"/>
      <c r="O198" s="183"/>
      <c r="P198" s="183"/>
      <c r="Q198" s="183"/>
      <c r="R198" s="183"/>
      <c r="S198" s="183"/>
      <c r="T198" s="183"/>
      <c r="U198" s="183"/>
    </row>
    <row r="199" spans="1:21">
      <c r="A199" s="183"/>
      <c r="B199" s="183"/>
      <c r="C199" s="183"/>
      <c r="D199" s="183"/>
      <c r="E199" s="183"/>
      <c r="F199" s="183"/>
      <c r="G199" s="183"/>
      <c r="H199" s="183"/>
      <c r="I199" s="183"/>
      <c r="J199" s="183"/>
      <c r="K199" s="183"/>
      <c r="L199" s="183"/>
      <c r="M199" s="183"/>
      <c r="N199" s="183" t="s">
        <v>4287</v>
      </c>
      <c r="O199" s="183"/>
      <c r="P199" s="183"/>
      <c r="Q199" s="183"/>
      <c r="R199" s="183"/>
      <c r="S199" s="183"/>
      <c r="T199" s="183"/>
      <c r="U199" s="183"/>
    </row>
    <row r="200" spans="1:21">
      <c r="A200" s="183"/>
      <c r="B200" s="183"/>
      <c r="C200" s="1912" t="s">
        <v>4288</v>
      </c>
      <c r="D200" s="183"/>
      <c r="E200" s="183"/>
      <c r="F200" s="183"/>
      <c r="G200" s="183"/>
      <c r="H200" s="183"/>
      <c r="I200" s="183"/>
      <c r="J200" s="183"/>
      <c r="K200" s="183"/>
      <c r="L200" s="183"/>
      <c r="M200" s="183"/>
      <c r="N200" s="183" t="s">
        <v>4289</v>
      </c>
      <c r="O200" s="183"/>
      <c r="P200" s="183"/>
      <c r="Q200" s="183"/>
      <c r="R200" s="183"/>
      <c r="S200" s="183"/>
      <c r="T200" s="183"/>
      <c r="U200" s="183"/>
    </row>
    <row r="201" spans="1:21">
      <c r="A201" s="183"/>
      <c r="B201" s="183"/>
      <c r="C201" s="878" t="s">
        <v>4290</v>
      </c>
      <c r="D201" s="183"/>
      <c r="E201" s="183"/>
      <c r="F201" s="183"/>
      <c r="G201" s="183"/>
      <c r="H201" s="183"/>
      <c r="I201" s="183"/>
      <c r="J201" s="183"/>
      <c r="K201" s="183"/>
      <c r="L201" s="183"/>
      <c r="M201" s="183"/>
      <c r="N201" s="183"/>
      <c r="O201" s="183"/>
      <c r="P201" s="183"/>
      <c r="Q201" s="183"/>
      <c r="R201" s="183"/>
      <c r="S201" s="183"/>
      <c r="T201" s="183"/>
      <c r="U201" s="183"/>
    </row>
    <row r="202" spans="1:21">
      <c r="A202" s="183"/>
      <c r="B202" s="183"/>
      <c r="C202" s="183"/>
      <c r="D202" s="183"/>
      <c r="E202" s="183"/>
      <c r="F202" s="183"/>
      <c r="G202" s="183"/>
      <c r="H202" s="183"/>
      <c r="I202" s="183"/>
      <c r="J202" s="183"/>
      <c r="K202" s="183"/>
      <c r="L202" s="183"/>
      <c r="M202" s="183"/>
      <c r="N202" s="183"/>
      <c r="O202" s="183"/>
      <c r="P202" s="183"/>
      <c r="Q202" s="183"/>
      <c r="R202" s="183"/>
      <c r="S202" s="183"/>
      <c r="T202" s="183"/>
      <c r="U202" s="183"/>
    </row>
    <row r="203" spans="1:21">
      <c r="A203" s="183"/>
      <c r="B203" s="183"/>
      <c r="C203" s="1912" t="s">
        <v>4291</v>
      </c>
      <c r="D203" s="183"/>
      <c r="E203" s="183"/>
      <c r="F203" s="183"/>
      <c r="G203" s="183"/>
      <c r="H203" s="183"/>
      <c r="I203" s="183"/>
      <c r="J203" s="183"/>
      <c r="K203" s="183"/>
      <c r="L203" s="183"/>
      <c r="M203" s="183"/>
      <c r="N203" s="183"/>
      <c r="O203" s="183"/>
      <c r="P203" s="183"/>
      <c r="Q203" s="183"/>
      <c r="R203" s="183"/>
      <c r="S203" s="183"/>
      <c r="T203" s="183"/>
      <c r="U203" s="183"/>
    </row>
    <row r="204" spans="1:21">
      <c r="A204" s="183"/>
      <c r="B204" s="183"/>
      <c r="C204" s="878" t="s">
        <v>4292</v>
      </c>
      <c r="D204" s="183"/>
      <c r="E204" s="183"/>
      <c r="F204" s="183"/>
      <c r="G204" s="183"/>
      <c r="H204" s="183"/>
      <c r="I204" s="183"/>
      <c r="J204" s="183"/>
      <c r="K204" s="183"/>
      <c r="L204" s="183"/>
      <c r="M204" s="183"/>
      <c r="N204" s="183"/>
      <c r="O204" s="183"/>
      <c r="P204" s="183"/>
      <c r="Q204" s="183"/>
      <c r="R204" s="183"/>
      <c r="S204" s="183"/>
      <c r="T204" s="183"/>
      <c r="U204" s="183"/>
    </row>
    <row r="205" spans="1:21">
      <c r="A205" s="183"/>
      <c r="B205" s="183"/>
      <c r="C205" s="183"/>
      <c r="D205" s="183"/>
      <c r="E205" s="183"/>
      <c r="F205" s="183"/>
      <c r="G205" s="183"/>
      <c r="H205" s="183"/>
      <c r="I205" s="183"/>
      <c r="J205" s="183"/>
      <c r="K205" s="183"/>
      <c r="L205" s="183"/>
      <c r="M205" s="183"/>
      <c r="N205" s="183"/>
      <c r="O205" s="183"/>
      <c r="P205" s="183"/>
      <c r="Q205" s="183"/>
      <c r="R205" s="183"/>
      <c r="S205" s="183"/>
      <c r="T205" s="183"/>
      <c r="U205" s="183"/>
    </row>
    <row r="206" spans="1:21">
      <c r="A206" s="183"/>
      <c r="B206" s="183"/>
      <c r="C206" s="1912" t="s">
        <v>4293</v>
      </c>
      <c r="D206" s="183"/>
      <c r="E206" s="183"/>
      <c r="F206" s="183"/>
      <c r="G206" s="183"/>
      <c r="H206" s="183"/>
      <c r="I206" s="183"/>
      <c r="J206" s="183"/>
      <c r="K206" s="183"/>
      <c r="L206" s="183"/>
      <c r="M206" s="183"/>
      <c r="N206" s="1912" t="s">
        <v>4294</v>
      </c>
      <c r="O206" s="183"/>
      <c r="P206" s="183"/>
      <c r="Q206" s="183"/>
      <c r="R206" s="183"/>
      <c r="S206" s="183"/>
      <c r="T206" s="183"/>
      <c r="U206" s="183"/>
    </row>
    <row r="207" spans="1:21">
      <c r="A207" s="183"/>
      <c r="B207" s="183"/>
      <c r="C207" s="878" t="s">
        <v>4295</v>
      </c>
      <c r="D207" s="183"/>
      <c r="E207" s="183"/>
      <c r="F207" s="183"/>
      <c r="G207" s="183"/>
      <c r="H207" s="183"/>
      <c r="I207" s="183"/>
      <c r="J207" s="183"/>
      <c r="K207" s="183"/>
      <c r="L207" s="183"/>
      <c r="M207" s="183"/>
      <c r="N207" s="878" t="s">
        <v>4296</v>
      </c>
      <c r="O207" s="183"/>
      <c r="P207" s="183"/>
      <c r="Q207" s="183"/>
      <c r="R207" s="183"/>
      <c r="S207" s="183"/>
      <c r="T207" s="183"/>
      <c r="U207" s="183"/>
    </row>
    <row r="208" spans="1:21">
      <c r="A208" s="183"/>
      <c r="B208" s="183"/>
      <c r="C208" s="183"/>
      <c r="D208" s="183"/>
      <c r="E208" s="183"/>
      <c r="F208" s="183"/>
      <c r="G208" s="183"/>
      <c r="H208" s="183"/>
      <c r="I208" s="183"/>
      <c r="J208" s="183"/>
      <c r="K208" s="183"/>
      <c r="L208" s="183"/>
      <c r="M208" s="183"/>
      <c r="N208" s="183"/>
      <c r="O208" s="183"/>
      <c r="P208" s="183"/>
      <c r="Q208" s="183"/>
      <c r="R208" s="183"/>
      <c r="S208" s="183"/>
      <c r="T208" s="183"/>
      <c r="U208" s="183"/>
    </row>
    <row r="209" spans="1:21">
      <c r="A209" s="183"/>
      <c r="B209" s="183"/>
      <c r="C209" s="1924" t="s">
        <v>4297</v>
      </c>
      <c r="D209" s="1925" t="s">
        <v>4298</v>
      </c>
      <c r="F209" s="183"/>
      <c r="G209" s="183"/>
      <c r="H209" s="183"/>
      <c r="I209" s="183"/>
      <c r="J209" s="183"/>
      <c r="K209" s="183"/>
      <c r="L209" s="183"/>
      <c r="M209" s="183"/>
      <c r="N209" s="183"/>
      <c r="O209" s="183"/>
      <c r="P209" s="183"/>
      <c r="Q209" s="183"/>
      <c r="R209" s="183"/>
      <c r="S209" s="183"/>
      <c r="T209" s="183"/>
      <c r="U209" s="183"/>
    </row>
    <row r="210" spans="1:21">
      <c r="A210" s="183"/>
      <c r="B210" s="183"/>
      <c r="C210" s="183"/>
      <c r="D210" s="183"/>
      <c r="E210" s="183"/>
      <c r="F210" s="183"/>
      <c r="G210" s="183"/>
      <c r="H210" s="183"/>
      <c r="I210" s="183"/>
      <c r="J210" s="183"/>
      <c r="K210" s="183"/>
      <c r="L210" s="183"/>
      <c r="M210" s="183"/>
      <c r="N210" s="183"/>
      <c r="O210" s="183"/>
      <c r="P210" s="183"/>
      <c r="Q210" s="183"/>
      <c r="R210" s="183"/>
      <c r="S210" s="183"/>
      <c r="T210" s="183"/>
      <c r="U210" s="183"/>
    </row>
    <row r="211" spans="1:21">
      <c r="A211" s="183"/>
      <c r="B211" s="183"/>
      <c r="C211" s="183"/>
      <c r="D211" s="183"/>
      <c r="E211" s="183"/>
      <c r="F211" s="183"/>
      <c r="G211" s="183"/>
      <c r="H211" s="183"/>
      <c r="I211" s="183"/>
      <c r="J211" s="183"/>
      <c r="K211" s="183"/>
      <c r="L211" s="183"/>
      <c r="M211" s="183"/>
      <c r="N211" s="183"/>
      <c r="O211" s="183"/>
      <c r="P211" s="183"/>
      <c r="Q211" s="183"/>
      <c r="R211" s="183"/>
      <c r="S211" s="183"/>
      <c r="T211" s="183"/>
      <c r="U211" s="183"/>
    </row>
    <row r="212" spans="1:21" ht="18.75">
      <c r="A212" s="183"/>
      <c r="B212" s="183"/>
      <c r="C212" s="1926" t="s">
        <v>4299</v>
      </c>
      <c r="D212" s="183"/>
      <c r="E212" s="183"/>
      <c r="F212" s="183"/>
      <c r="G212" s="183"/>
      <c r="H212" s="183"/>
      <c r="I212" s="183"/>
      <c r="J212" s="183"/>
      <c r="K212" s="183"/>
      <c r="L212" s="183"/>
      <c r="M212" s="183"/>
      <c r="N212" s="183"/>
      <c r="O212" s="183"/>
      <c r="P212" s="183"/>
      <c r="Q212" s="183"/>
      <c r="R212" s="183"/>
      <c r="S212" s="183"/>
      <c r="T212" s="183"/>
      <c r="U212" s="183"/>
    </row>
    <row r="213" spans="1:21">
      <c r="A213" s="183"/>
      <c r="B213" s="183"/>
      <c r="C213" s="183"/>
      <c r="D213" s="183"/>
      <c r="E213" s="183"/>
      <c r="F213" s="183"/>
      <c r="G213" s="183"/>
      <c r="H213" s="183"/>
      <c r="I213" s="183"/>
      <c r="J213" s="183"/>
      <c r="K213" s="183"/>
      <c r="L213" s="183"/>
      <c r="M213" s="183"/>
      <c r="N213" s="183"/>
      <c r="O213" s="183"/>
      <c r="P213" s="183"/>
      <c r="Q213" s="183"/>
      <c r="R213" s="183"/>
      <c r="S213" s="183"/>
      <c r="T213" s="183"/>
      <c r="U213" s="183"/>
    </row>
    <row r="214" spans="1:21" ht="18">
      <c r="A214" s="183"/>
      <c r="B214" s="183"/>
      <c r="C214" s="1913" t="s">
        <v>4300</v>
      </c>
      <c r="D214" s="9"/>
      <c r="E214" s="9"/>
      <c r="F214" s="9"/>
      <c r="G214" s="183"/>
      <c r="H214" s="183"/>
      <c r="I214" s="183"/>
      <c r="J214" s="183"/>
      <c r="K214" s="183"/>
      <c r="L214" s="183"/>
      <c r="M214" s="183"/>
      <c r="N214" s="183"/>
      <c r="O214" s="183"/>
      <c r="P214" s="183"/>
      <c r="Q214" s="183"/>
      <c r="R214" s="183"/>
      <c r="S214" s="183"/>
      <c r="T214" s="183"/>
      <c r="U214" s="183"/>
    </row>
    <row r="215" spans="1:21">
      <c r="A215" s="183"/>
      <c r="B215" s="183"/>
      <c r="C215" s="9"/>
      <c r="D215" s="9"/>
      <c r="E215" s="9"/>
      <c r="F215" s="9"/>
      <c r="G215" s="183"/>
      <c r="H215" s="183"/>
      <c r="I215" s="183"/>
      <c r="J215" s="183"/>
      <c r="K215" s="183"/>
      <c r="L215" s="183"/>
      <c r="M215" s="183"/>
      <c r="N215" s="183"/>
      <c r="O215" s="183"/>
      <c r="P215" s="183"/>
      <c r="Q215" s="183"/>
      <c r="R215" s="183"/>
      <c r="S215" s="183"/>
      <c r="T215" s="183"/>
      <c r="U215" s="183"/>
    </row>
    <row r="216" spans="1:21">
      <c r="A216" s="183"/>
      <c r="B216" s="183"/>
      <c r="C216" s="9" t="s">
        <v>4301</v>
      </c>
      <c r="D216" s="9"/>
      <c r="E216" s="9"/>
      <c r="F216" s="9"/>
      <c r="G216" s="183"/>
      <c r="H216" s="183"/>
      <c r="I216" s="183"/>
      <c r="J216" s="183"/>
      <c r="K216" s="183"/>
      <c r="L216" s="183"/>
      <c r="M216" s="183"/>
      <c r="N216" s="183"/>
      <c r="O216" s="183"/>
      <c r="P216" s="183"/>
      <c r="Q216" s="183"/>
      <c r="R216" s="183"/>
      <c r="S216" s="183"/>
      <c r="T216" s="183"/>
      <c r="U216" s="183"/>
    </row>
    <row r="217" spans="1:21">
      <c r="A217" s="183"/>
      <c r="B217" s="183"/>
      <c r="C217" s="9"/>
      <c r="D217" s="9"/>
      <c r="E217" s="9"/>
      <c r="F217" s="9"/>
      <c r="G217" s="183"/>
      <c r="H217" s="183"/>
      <c r="I217" s="183"/>
      <c r="J217" s="183"/>
      <c r="K217" s="183"/>
      <c r="L217" s="183"/>
      <c r="M217" s="183"/>
      <c r="N217" s="183"/>
      <c r="O217" s="183"/>
      <c r="P217" s="183"/>
      <c r="Q217" s="183"/>
      <c r="R217" s="183"/>
      <c r="S217" s="183"/>
      <c r="T217" s="183"/>
      <c r="U217" s="183"/>
    </row>
    <row r="218" spans="1:21">
      <c r="A218" s="183"/>
      <c r="B218" s="183"/>
      <c r="C218" s="183"/>
      <c r="D218" s="878" t="s">
        <v>4302</v>
      </c>
      <c r="E218" s="9"/>
      <c r="F218" s="9"/>
      <c r="G218" s="183"/>
      <c r="H218" s="183"/>
      <c r="I218" s="183"/>
      <c r="J218" s="183"/>
      <c r="K218" s="183"/>
      <c r="L218" s="183"/>
      <c r="M218" s="183"/>
      <c r="N218" s="183"/>
      <c r="O218" s="183"/>
      <c r="P218" s="183"/>
      <c r="Q218" s="183"/>
      <c r="R218" s="183"/>
      <c r="S218" s="183"/>
      <c r="T218" s="183"/>
      <c r="U218" s="183"/>
    </row>
    <row r="219" spans="1:21">
      <c r="A219" s="183"/>
      <c r="B219" s="183"/>
      <c r="C219" s="9"/>
      <c r="D219" s="9"/>
      <c r="E219" s="9"/>
      <c r="F219" s="9"/>
      <c r="G219" s="183"/>
      <c r="H219" s="183"/>
      <c r="I219" s="183"/>
      <c r="J219" s="183"/>
      <c r="K219" s="183"/>
      <c r="L219" s="183"/>
      <c r="M219" s="183"/>
      <c r="N219" s="183"/>
      <c r="O219" s="183"/>
      <c r="P219" s="183"/>
      <c r="Q219" s="183"/>
      <c r="R219" s="183"/>
      <c r="S219" s="183"/>
      <c r="T219" s="183"/>
      <c r="U219" s="183"/>
    </row>
    <row r="220" spans="1:21" ht="23.25">
      <c r="A220" s="183"/>
      <c r="B220" s="183"/>
      <c r="C220" s="1927" t="s">
        <v>4303</v>
      </c>
      <c r="D220" s="9"/>
      <c r="E220" s="9"/>
      <c r="F220" s="9"/>
      <c r="G220" s="183"/>
      <c r="H220" s="183"/>
      <c r="I220" s="183"/>
      <c r="J220" s="183"/>
      <c r="K220" s="183"/>
      <c r="L220" s="183"/>
      <c r="M220" s="183"/>
      <c r="N220" s="183"/>
      <c r="O220" s="183"/>
      <c r="P220" s="183"/>
      <c r="Q220" s="183"/>
      <c r="R220" s="183"/>
      <c r="S220" s="183"/>
      <c r="T220" s="183"/>
      <c r="U220" s="183"/>
    </row>
    <row r="221" spans="1:21">
      <c r="A221" s="183"/>
      <c r="B221" s="183"/>
      <c r="C221" s="1928"/>
      <c r="D221" s="9"/>
      <c r="E221" s="9"/>
      <c r="F221" s="9"/>
      <c r="G221" s="183"/>
      <c r="H221" s="183"/>
      <c r="I221" s="183"/>
      <c r="J221" s="183"/>
      <c r="K221" s="183"/>
      <c r="L221" s="183"/>
      <c r="M221" s="183"/>
      <c r="N221" s="183"/>
      <c r="O221" s="183"/>
      <c r="P221" s="183"/>
      <c r="Q221" s="183"/>
      <c r="R221" s="183"/>
      <c r="S221" s="183"/>
      <c r="T221" s="183"/>
      <c r="U221" s="183"/>
    </row>
    <row r="222" spans="1:21">
      <c r="A222" s="183"/>
      <c r="B222" s="183"/>
      <c r="C222" s="1929" t="s">
        <v>4304</v>
      </c>
      <c r="D222" s="9"/>
      <c r="E222" s="9"/>
      <c r="F222" s="9"/>
      <c r="G222" s="183"/>
      <c r="H222" s="183"/>
      <c r="I222" s="183"/>
      <c r="J222" s="183"/>
      <c r="K222" s="183"/>
      <c r="L222" s="183"/>
      <c r="M222" s="183"/>
      <c r="N222" s="183"/>
      <c r="O222" s="183"/>
      <c r="P222" s="183"/>
      <c r="Q222" s="183"/>
      <c r="R222" s="183"/>
      <c r="S222" s="183"/>
      <c r="T222" s="183"/>
      <c r="U222" s="183"/>
    </row>
    <row r="223" spans="1:21">
      <c r="A223" s="183"/>
      <c r="B223" s="183"/>
      <c r="C223" s="1929" t="s">
        <v>4305</v>
      </c>
      <c r="D223" s="9"/>
      <c r="E223" s="9"/>
      <c r="F223" s="9"/>
      <c r="G223" s="183"/>
      <c r="H223" s="183"/>
      <c r="I223" s="183"/>
      <c r="J223" s="183"/>
      <c r="K223" s="183"/>
      <c r="L223" s="183"/>
      <c r="M223" s="183"/>
      <c r="N223" s="183"/>
      <c r="O223" s="183"/>
      <c r="P223" s="183"/>
      <c r="Q223" s="183"/>
      <c r="R223" s="183"/>
      <c r="S223" s="183"/>
      <c r="T223" s="183"/>
      <c r="U223" s="183"/>
    </row>
    <row r="224" spans="1:21">
      <c r="A224" s="183"/>
      <c r="B224" s="183"/>
      <c r="C224" s="1929" t="s">
        <v>4306</v>
      </c>
      <c r="D224" s="9"/>
      <c r="E224" s="9"/>
      <c r="F224" s="9"/>
      <c r="G224" s="183"/>
      <c r="H224" s="183"/>
      <c r="I224" s="183"/>
      <c r="J224" s="183"/>
      <c r="K224" s="183"/>
      <c r="L224" s="183"/>
      <c r="M224" s="183"/>
      <c r="N224" s="183"/>
      <c r="O224" s="183"/>
      <c r="P224" s="183"/>
      <c r="Q224" s="183"/>
      <c r="R224" s="183"/>
      <c r="S224" s="183"/>
      <c r="T224" s="183"/>
      <c r="U224" s="183"/>
    </row>
    <row r="225" spans="1:21">
      <c r="A225" s="183"/>
      <c r="B225" s="183"/>
      <c r="C225" s="1929" t="s">
        <v>4307</v>
      </c>
      <c r="D225" s="9"/>
      <c r="E225" s="9"/>
      <c r="F225" s="9"/>
      <c r="G225" s="183"/>
      <c r="H225" s="183"/>
      <c r="I225" s="183"/>
      <c r="J225" s="183"/>
      <c r="K225" s="183"/>
      <c r="L225" s="183"/>
      <c r="M225" s="183"/>
      <c r="N225" s="183"/>
      <c r="O225" s="183"/>
      <c r="P225" s="183"/>
      <c r="Q225" s="183"/>
      <c r="R225" s="183"/>
      <c r="S225" s="183"/>
      <c r="T225" s="183"/>
      <c r="U225" s="183"/>
    </row>
    <row r="226" spans="1:21">
      <c r="A226" s="183"/>
      <c r="B226" s="183"/>
      <c r="C226" s="1929" t="s">
        <v>4308</v>
      </c>
      <c r="D226" s="9"/>
      <c r="E226" s="9"/>
      <c r="F226" s="9"/>
      <c r="G226" s="183"/>
      <c r="H226" s="183"/>
      <c r="I226" s="183"/>
      <c r="J226" s="183"/>
      <c r="K226" s="183"/>
      <c r="L226" s="183"/>
      <c r="M226" s="183"/>
      <c r="N226" s="183"/>
      <c r="O226" s="183"/>
      <c r="P226" s="183"/>
      <c r="Q226" s="183"/>
      <c r="R226" s="183"/>
      <c r="S226" s="183"/>
      <c r="T226" s="183"/>
      <c r="U226" s="183"/>
    </row>
    <row r="227" spans="1:21">
      <c r="A227" s="183"/>
      <c r="B227" s="183"/>
      <c r="C227" s="1929" t="s">
        <v>4309</v>
      </c>
      <c r="D227" s="9"/>
      <c r="E227" s="9"/>
      <c r="F227" s="9"/>
      <c r="G227" s="183"/>
      <c r="H227" s="183"/>
      <c r="I227" s="183"/>
      <c r="J227" s="183"/>
      <c r="K227" s="183"/>
      <c r="L227" s="183"/>
      <c r="M227" s="183"/>
      <c r="N227" s="183"/>
      <c r="O227" s="183"/>
      <c r="P227" s="183"/>
      <c r="Q227" s="183"/>
      <c r="R227" s="183"/>
      <c r="S227" s="183"/>
      <c r="T227" s="183"/>
      <c r="U227" s="183"/>
    </row>
    <row r="228" spans="1:21">
      <c r="A228" s="183"/>
      <c r="B228" s="183"/>
      <c r="C228" s="1929" t="s">
        <v>4310</v>
      </c>
      <c r="D228" s="9"/>
      <c r="E228" s="9"/>
      <c r="F228" s="9"/>
      <c r="G228" s="183"/>
      <c r="H228" s="183"/>
      <c r="I228" s="183"/>
      <c r="J228" s="183"/>
      <c r="K228" s="183"/>
      <c r="L228" s="183"/>
      <c r="M228" s="183"/>
      <c r="N228" s="183"/>
      <c r="O228" s="183"/>
      <c r="P228" s="183"/>
      <c r="Q228" s="183"/>
      <c r="R228" s="183"/>
      <c r="S228" s="183"/>
      <c r="T228" s="183"/>
      <c r="U228" s="183"/>
    </row>
    <row r="229" spans="1:21">
      <c r="A229" s="183"/>
      <c r="B229" s="183"/>
      <c r="C229" s="1929" t="s">
        <v>4311</v>
      </c>
      <c r="D229" s="9"/>
      <c r="E229" s="9"/>
      <c r="F229" s="9"/>
      <c r="G229" s="183"/>
      <c r="H229" s="183"/>
      <c r="I229" s="183"/>
      <c r="J229" s="183"/>
      <c r="K229" s="183"/>
      <c r="L229" s="183"/>
      <c r="M229" s="183"/>
      <c r="N229" s="183"/>
      <c r="O229" s="183"/>
      <c r="P229" s="183"/>
      <c r="Q229" s="183"/>
      <c r="R229" s="183"/>
      <c r="S229" s="183"/>
      <c r="T229" s="183"/>
      <c r="U229" s="183"/>
    </row>
    <row r="230" spans="1:21">
      <c r="A230" s="183"/>
      <c r="B230" s="183"/>
      <c r="C230" s="1929" t="s">
        <v>4312</v>
      </c>
      <c r="D230" s="9"/>
      <c r="E230" s="9"/>
      <c r="F230" s="9"/>
      <c r="G230" s="183"/>
      <c r="H230" s="183"/>
      <c r="I230" s="183"/>
      <c r="J230" s="183"/>
      <c r="K230" s="183"/>
      <c r="L230" s="183"/>
      <c r="M230" s="183"/>
      <c r="N230" s="183"/>
      <c r="O230" s="183"/>
      <c r="P230" s="183"/>
      <c r="Q230" s="183"/>
      <c r="R230" s="183"/>
      <c r="S230" s="183"/>
      <c r="T230" s="183"/>
      <c r="U230" s="183"/>
    </row>
    <row r="231" spans="1:21">
      <c r="A231" s="183"/>
      <c r="B231" s="183"/>
      <c r="C231" s="1929" t="s">
        <v>4313</v>
      </c>
      <c r="D231" s="9"/>
      <c r="E231" s="9"/>
      <c r="F231" s="9"/>
      <c r="G231" s="183"/>
      <c r="H231" s="183"/>
      <c r="I231" s="183"/>
      <c r="J231" s="183"/>
      <c r="K231" s="183"/>
      <c r="L231" s="183"/>
      <c r="M231" s="183"/>
      <c r="N231" s="183"/>
      <c r="O231" s="183"/>
      <c r="P231" s="183"/>
      <c r="Q231" s="183"/>
      <c r="R231" s="183"/>
      <c r="S231" s="183"/>
      <c r="T231" s="183"/>
      <c r="U231" s="183"/>
    </row>
    <row r="232" spans="1:21">
      <c r="A232" s="183"/>
      <c r="B232" s="183"/>
      <c r="C232" s="1929" t="s">
        <v>4314</v>
      </c>
      <c r="D232" s="9"/>
      <c r="E232" s="9"/>
      <c r="F232" s="9"/>
      <c r="G232" s="183"/>
      <c r="H232" s="183"/>
      <c r="I232" s="183"/>
      <c r="J232" s="183"/>
      <c r="K232" s="183"/>
      <c r="L232" s="183"/>
      <c r="M232" s="183"/>
      <c r="N232" s="183"/>
      <c r="O232" s="183"/>
      <c r="P232" s="183"/>
      <c r="Q232" s="183"/>
      <c r="R232" s="183"/>
      <c r="S232" s="183"/>
      <c r="T232" s="183"/>
      <c r="U232" s="183"/>
    </row>
    <row r="233" spans="1:21">
      <c r="A233" s="183"/>
      <c r="B233" s="183"/>
      <c r="C233" s="1929" t="s">
        <v>4315</v>
      </c>
      <c r="D233" s="9"/>
      <c r="E233" s="9"/>
      <c r="F233" s="9"/>
      <c r="G233" s="183"/>
      <c r="H233" s="183"/>
      <c r="I233" s="183"/>
      <c r="J233" s="183"/>
      <c r="K233" s="183"/>
      <c r="L233" s="183"/>
      <c r="M233" s="183"/>
      <c r="N233" s="183"/>
      <c r="O233" s="183"/>
      <c r="P233" s="183"/>
      <c r="Q233" s="183"/>
      <c r="R233" s="183"/>
      <c r="S233" s="183"/>
      <c r="T233" s="183"/>
      <c r="U233" s="183"/>
    </row>
    <row r="234" spans="1:21">
      <c r="A234" s="183"/>
      <c r="B234" s="183"/>
      <c r="C234" s="1929" t="s">
        <v>4316</v>
      </c>
      <c r="D234" s="9"/>
      <c r="E234" s="9"/>
      <c r="F234" s="9"/>
      <c r="G234" s="183"/>
      <c r="H234" s="183"/>
      <c r="I234" s="183"/>
      <c r="J234" s="183"/>
      <c r="K234" s="183"/>
      <c r="L234" s="183"/>
      <c r="M234" s="183"/>
      <c r="N234" s="183"/>
      <c r="O234" s="183"/>
      <c r="P234" s="183"/>
      <c r="Q234" s="183"/>
      <c r="R234" s="183"/>
      <c r="S234" s="183"/>
      <c r="T234" s="183"/>
      <c r="U234" s="183"/>
    </row>
    <row r="235" spans="1:21">
      <c r="A235" s="183"/>
      <c r="B235" s="183"/>
      <c r="C235" s="1929" t="s">
        <v>4317</v>
      </c>
      <c r="D235" s="9"/>
      <c r="E235" s="9"/>
      <c r="F235" s="9"/>
      <c r="G235" s="183"/>
      <c r="H235" s="183"/>
      <c r="I235" s="183"/>
      <c r="J235" s="183"/>
      <c r="K235" s="183"/>
      <c r="L235" s="183"/>
      <c r="M235" s="183"/>
      <c r="N235" s="183"/>
      <c r="O235" s="183"/>
      <c r="P235" s="183"/>
      <c r="Q235" s="183"/>
      <c r="R235" s="183"/>
      <c r="S235" s="183"/>
      <c r="T235" s="183"/>
      <c r="U235" s="183"/>
    </row>
    <row r="236" spans="1:21">
      <c r="A236" s="183"/>
      <c r="B236" s="183"/>
      <c r="C236" s="1929" t="s">
        <v>4318</v>
      </c>
      <c r="D236" s="9"/>
      <c r="E236" s="9"/>
      <c r="F236" s="9"/>
      <c r="G236" s="183"/>
      <c r="H236" s="183"/>
      <c r="I236" s="183"/>
      <c r="J236" s="183"/>
      <c r="K236" s="183"/>
      <c r="L236" s="183"/>
      <c r="M236" s="183"/>
      <c r="N236" s="183"/>
      <c r="O236" s="183"/>
      <c r="P236" s="183"/>
      <c r="Q236" s="183"/>
      <c r="R236" s="183"/>
      <c r="S236" s="183"/>
      <c r="T236" s="183"/>
      <c r="U236" s="183"/>
    </row>
    <row r="237" spans="1:21">
      <c r="A237" s="183"/>
      <c r="B237" s="183"/>
      <c r="C237" s="1929" t="s">
        <v>4319</v>
      </c>
      <c r="D237" s="9"/>
      <c r="E237" s="9"/>
      <c r="F237" s="9"/>
      <c r="G237" s="183"/>
      <c r="H237" s="183"/>
      <c r="I237" s="183"/>
      <c r="J237" s="183"/>
      <c r="K237" s="183"/>
      <c r="L237" s="183"/>
      <c r="M237" s="183"/>
      <c r="N237" s="183"/>
      <c r="O237" s="183"/>
      <c r="P237" s="183"/>
      <c r="Q237" s="183"/>
      <c r="R237" s="183"/>
      <c r="S237" s="183"/>
      <c r="T237" s="183"/>
      <c r="U237" s="183"/>
    </row>
    <row r="238" spans="1:21">
      <c r="A238" s="183"/>
      <c r="B238" s="183"/>
      <c r="C238" s="9"/>
      <c r="D238" s="9"/>
      <c r="E238" s="9"/>
      <c r="F238" s="9"/>
      <c r="G238" s="183"/>
      <c r="H238" s="183"/>
      <c r="I238" s="183"/>
      <c r="J238" s="183"/>
      <c r="K238" s="183"/>
      <c r="L238" s="183"/>
      <c r="M238" s="183"/>
      <c r="N238" s="183"/>
      <c r="O238" s="183"/>
      <c r="P238" s="183"/>
      <c r="Q238" s="183"/>
      <c r="R238" s="183"/>
      <c r="S238" s="183"/>
      <c r="T238" s="183"/>
      <c r="U238" s="183"/>
    </row>
    <row r="239" spans="1:21" ht="23.25">
      <c r="A239" s="183"/>
      <c r="B239" s="183"/>
      <c r="C239" s="1927" t="s">
        <v>4320</v>
      </c>
      <c r="D239" s="9"/>
      <c r="E239" s="9"/>
      <c r="F239" s="9"/>
      <c r="G239" s="183"/>
      <c r="H239" s="183"/>
      <c r="I239" s="183"/>
      <c r="J239" s="183"/>
      <c r="K239" s="183"/>
      <c r="L239" s="183"/>
      <c r="M239" s="183"/>
      <c r="N239" s="183"/>
      <c r="O239" s="183"/>
      <c r="P239" s="183"/>
      <c r="Q239" s="183"/>
      <c r="R239" s="183"/>
      <c r="S239" s="183"/>
      <c r="T239" s="183"/>
      <c r="U239" s="183"/>
    </row>
    <row r="240" spans="1:21">
      <c r="A240" s="183"/>
      <c r="B240" s="183"/>
      <c r="C240" s="9"/>
      <c r="D240" s="9"/>
      <c r="E240" s="9"/>
      <c r="F240" s="9"/>
      <c r="G240" s="183"/>
      <c r="H240" s="183"/>
      <c r="I240" s="183"/>
      <c r="J240" s="183"/>
      <c r="K240" s="183"/>
      <c r="L240" s="183"/>
      <c r="M240" s="183"/>
      <c r="N240" s="183"/>
      <c r="O240" s="183"/>
      <c r="P240" s="183"/>
      <c r="Q240" s="183"/>
      <c r="R240" s="183"/>
      <c r="S240" s="183"/>
      <c r="T240" s="183"/>
      <c r="U240" s="183"/>
    </row>
    <row r="241" spans="1:21" ht="18">
      <c r="A241" s="183"/>
      <c r="B241" s="183"/>
      <c r="C241" s="1913" t="s">
        <v>4321</v>
      </c>
      <c r="D241" s="9"/>
      <c r="E241" s="9"/>
      <c r="F241" s="9"/>
      <c r="G241" s="183"/>
      <c r="H241" s="183"/>
      <c r="I241" s="183"/>
      <c r="J241" s="183"/>
      <c r="K241" s="183"/>
      <c r="L241" s="183"/>
      <c r="M241" s="183"/>
      <c r="N241" s="183"/>
      <c r="O241" s="183"/>
      <c r="P241" s="183"/>
      <c r="Q241" s="183"/>
      <c r="R241" s="183"/>
      <c r="S241" s="183"/>
      <c r="T241" s="183"/>
      <c r="U241" s="183"/>
    </row>
    <row r="242" spans="1:21">
      <c r="A242" s="183"/>
      <c r="B242" s="183"/>
      <c r="C242" s="9"/>
      <c r="D242" s="9"/>
      <c r="E242" s="9"/>
      <c r="F242" s="9"/>
      <c r="G242" s="183"/>
      <c r="H242" s="183"/>
      <c r="I242" s="183"/>
      <c r="J242" s="183"/>
      <c r="K242" s="183"/>
      <c r="L242" s="183"/>
      <c r="M242" s="183"/>
      <c r="N242" s="183"/>
      <c r="O242" s="183"/>
      <c r="P242" s="183"/>
      <c r="Q242" s="183"/>
      <c r="R242" s="183"/>
      <c r="S242" s="183"/>
      <c r="T242" s="183"/>
      <c r="U242" s="183"/>
    </row>
    <row r="243" spans="1:21">
      <c r="A243" s="183"/>
      <c r="B243" s="183"/>
      <c r="C243" s="9" t="s">
        <v>4322</v>
      </c>
      <c r="D243" s="9"/>
      <c r="E243" s="9"/>
      <c r="F243" s="9"/>
      <c r="G243" s="183"/>
      <c r="H243" s="183"/>
      <c r="I243" s="183"/>
      <c r="J243" s="183"/>
      <c r="K243" s="183"/>
      <c r="L243" s="183"/>
      <c r="M243" s="183"/>
      <c r="N243" s="183"/>
      <c r="O243" s="183"/>
      <c r="P243" s="183"/>
      <c r="Q243" s="183"/>
      <c r="R243" s="183"/>
      <c r="S243" s="183"/>
      <c r="T243" s="183"/>
      <c r="U243" s="183"/>
    </row>
    <row r="244" spans="1:21">
      <c r="A244" s="183"/>
      <c r="B244" s="183"/>
      <c r="C244" s="1928"/>
      <c r="D244" s="9"/>
      <c r="E244" s="9"/>
      <c r="F244" s="9"/>
      <c r="G244" s="183"/>
      <c r="H244" s="183"/>
      <c r="I244" s="183"/>
      <c r="J244" s="183"/>
      <c r="K244" s="183"/>
      <c r="L244" s="183"/>
      <c r="M244" s="183"/>
      <c r="N244" s="183"/>
      <c r="O244" s="183"/>
      <c r="P244" s="183"/>
      <c r="Q244" s="183"/>
      <c r="R244" s="183"/>
      <c r="S244" s="183"/>
      <c r="T244" s="183"/>
      <c r="U244" s="183"/>
    </row>
    <row r="245" spans="1:21">
      <c r="A245" s="183"/>
      <c r="B245" s="183"/>
      <c r="C245" s="1928" t="s">
        <v>4323</v>
      </c>
      <c r="D245" s="9"/>
      <c r="E245" s="9"/>
      <c r="F245" s="9"/>
      <c r="G245" s="183"/>
      <c r="H245" s="183"/>
      <c r="I245" s="183"/>
      <c r="J245" s="183"/>
      <c r="K245" s="183"/>
      <c r="L245" s="183"/>
      <c r="M245" s="183"/>
      <c r="N245" s="183"/>
      <c r="O245" s="183"/>
      <c r="P245" s="183"/>
      <c r="Q245" s="183"/>
      <c r="R245" s="183"/>
      <c r="S245" s="183"/>
      <c r="T245" s="183"/>
      <c r="U245" s="183"/>
    </row>
    <row r="246" spans="1:21">
      <c r="A246" s="183"/>
      <c r="B246" s="183"/>
      <c r="C246" s="1928" t="s">
        <v>4324</v>
      </c>
      <c r="D246" s="9"/>
      <c r="E246" s="9"/>
      <c r="F246" s="9"/>
      <c r="G246" s="183"/>
      <c r="H246" s="183"/>
      <c r="I246" s="183"/>
      <c r="J246" s="183"/>
      <c r="K246" s="183"/>
      <c r="L246" s="183"/>
      <c r="M246" s="183"/>
      <c r="N246" s="183"/>
      <c r="O246" s="183"/>
      <c r="P246" s="183"/>
      <c r="Q246" s="183"/>
      <c r="R246" s="183"/>
      <c r="S246" s="183"/>
      <c r="T246" s="183"/>
      <c r="U246" s="183"/>
    </row>
    <row r="247" spans="1:21">
      <c r="A247" s="183"/>
      <c r="B247" s="183"/>
      <c r="C247" s="1928" t="s">
        <v>4325</v>
      </c>
      <c r="D247" s="9"/>
      <c r="E247" s="9"/>
      <c r="F247" s="9"/>
      <c r="G247" s="183"/>
      <c r="H247" s="183"/>
      <c r="I247" s="183"/>
      <c r="J247" s="183"/>
      <c r="K247" s="183"/>
      <c r="L247" s="183"/>
      <c r="M247" s="183"/>
      <c r="N247" s="183"/>
      <c r="O247" s="183"/>
      <c r="P247" s="183"/>
      <c r="Q247" s="183"/>
      <c r="R247" s="183"/>
      <c r="S247" s="183"/>
      <c r="T247" s="183"/>
      <c r="U247" s="183"/>
    </row>
    <row r="248" spans="1:21">
      <c r="A248" s="183"/>
      <c r="B248" s="183"/>
      <c r="C248" s="1928" t="s">
        <v>4326</v>
      </c>
      <c r="D248" s="9"/>
      <c r="E248" s="9"/>
      <c r="F248" s="9"/>
      <c r="G248" s="183"/>
      <c r="H248" s="183"/>
      <c r="I248" s="183"/>
      <c r="J248" s="183"/>
      <c r="K248" s="183"/>
      <c r="L248" s="183"/>
      <c r="M248" s="183"/>
      <c r="N248" s="183"/>
      <c r="O248" s="183"/>
      <c r="P248" s="183"/>
      <c r="Q248" s="183"/>
      <c r="R248" s="183"/>
      <c r="S248" s="183"/>
      <c r="T248" s="183"/>
      <c r="U248" s="183"/>
    </row>
    <row r="249" spans="1:21">
      <c r="A249" s="183"/>
      <c r="B249" s="183"/>
      <c r="C249" s="9"/>
      <c r="D249" s="9"/>
      <c r="E249" s="9"/>
      <c r="F249" s="9"/>
      <c r="G249" s="183"/>
      <c r="H249" s="183"/>
      <c r="I249" s="183"/>
      <c r="J249" s="183"/>
      <c r="K249" s="183"/>
      <c r="L249" s="183"/>
      <c r="M249" s="183"/>
      <c r="N249" s="183"/>
      <c r="O249" s="183"/>
      <c r="P249" s="183"/>
      <c r="Q249" s="183"/>
      <c r="R249" s="183"/>
      <c r="S249" s="183"/>
      <c r="T249" s="183"/>
      <c r="U249" s="183"/>
    </row>
    <row r="250" spans="1:21" ht="18">
      <c r="A250" s="183"/>
      <c r="B250" s="183"/>
      <c r="C250" s="1913" t="s">
        <v>4327</v>
      </c>
      <c r="D250" s="9"/>
      <c r="E250" s="9"/>
      <c r="F250" s="9"/>
      <c r="G250" s="183"/>
      <c r="H250" s="183"/>
      <c r="I250" s="183"/>
      <c r="J250" s="183"/>
      <c r="K250" s="183"/>
      <c r="L250" s="183"/>
      <c r="M250" s="183"/>
      <c r="N250" s="183"/>
      <c r="O250" s="183"/>
      <c r="P250" s="183"/>
      <c r="Q250" s="183"/>
      <c r="R250" s="183"/>
      <c r="S250" s="183"/>
      <c r="T250" s="183"/>
      <c r="U250" s="183"/>
    </row>
    <row r="251" spans="1:21">
      <c r="A251" s="183"/>
      <c r="B251" s="183"/>
      <c r="C251" s="9"/>
      <c r="D251" s="9"/>
      <c r="E251" s="9"/>
      <c r="F251" s="9"/>
      <c r="G251" s="183"/>
      <c r="H251" s="183"/>
      <c r="I251" s="183"/>
      <c r="J251" s="183"/>
      <c r="K251" s="183"/>
      <c r="L251" s="183"/>
      <c r="M251" s="183"/>
      <c r="N251" s="183"/>
      <c r="O251" s="183"/>
      <c r="P251" s="183"/>
      <c r="Q251" s="183"/>
      <c r="R251" s="183"/>
      <c r="S251" s="183"/>
      <c r="T251" s="183"/>
      <c r="U251" s="183"/>
    </row>
    <row r="252" spans="1:21">
      <c r="A252" s="183"/>
      <c r="B252" s="183"/>
      <c r="C252" s="9" t="s">
        <v>4328</v>
      </c>
      <c r="D252" s="9"/>
      <c r="E252" s="9"/>
      <c r="F252" s="9"/>
      <c r="G252" s="183"/>
      <c r="H252" s="183"/>
      <c r="I252" s="183"/>
      <c r="J252" s="183"/>
      <c r="K252" s="183"/>
      <c r="L252" s="183"/>
      <c r="M252" s="183"/>
      <c r="N252" s="183"/>
      <c r="O252" s="183"/>
      <c r="P252" s="183"/>
      <c r="Q252" s="183"/>
      <c r="R252" s="183"/>
      <c r="S252" s="183"/>
      <c r="T252" s="183"/>
      <c r="U252" s="183"/>
    </row>
    <row r="253" spans="1:21">
      <c r="A253" s="183"/>
      <c r="B253" s="183"/>
      <c r="C253" s="1928"/>
      <c r="D253" s="9"/>
      <c r="E253" s="9"/>
      <c r="F253" s="9"/>
      <c r="G253" s="183"/>
      <c r="H253" s="183"/>
      <c r="I253" s="183"/>
      <c r="J253" s="183"/>
      <c r="K253" s="183"/>
      <c r="L253" s="183"/>
      <c r="M253" s="183"/>
      <c r="N253" s="183"/>
      <c r="O253" s="183"/>
      <c r="P253" s="183"/>
      <c r="Q253" s="183"/>
      <c r="R253" s="183"/>
      <c r="S253" s="183"/>
      <c r="T253" s="183"/>
      <c r="U253" s="183"/>
    </row>
    <row r="254" spans="1:21">
      <c r="A254" s="183"/>
      <c r="B254" s="183"/>
      <c r="C254" s="1928" t="s">
        <v>4329</v>
      </c>
      <c r="D254" s="9"/>
      <c r="E254" s="9"/>
      <c r="F254" s="9"/>
      <c r="G254" s="183"/>
      <c r="H254" s="183"/>
      <c r="I254" s="183"/>
      <c r="J254" s="183"/>
      <c r="K254" s="183"/>
      <c r="L254" s="183"/>
      <c r="M254" s="183"/>
      <c r="N254" s="183"/>
      <c r="O254" s="183"/>
      <c r="P254" s="183"/>
      <c r="Q254" s="183"/>
      <c r="R254" s="183"/>
      <c r="S254" s="183"/>
      <c r="T254" s="183"/>
      <c r="U254" s="183"/>
    </row>
    <row r="255" spans="1:21">
      <c r="A255" s="183"/>
      <c r="B255" s="183"/>
      <c r="C255" s="1928" t="s">
        <v>4330</v>
      </c>
      <c r="D255" s="9"/>
      <c r="E255" s="9"/>
      <c r="F255" s="9"/>
      <c r="G255" s="183"/>
      <c r="H255" s="183"/>
      <c r="I255" s="183"/>
      <c r="J255" s="183"/>
      <c r="K255" s="183"/>
      <c r="L255" s="183"/>
      <c r="M255" s="183"/>
      <c r="N255" s="183"/>
      <c r="O255" s="183"/>
      <c r="P255" s="183"/>
      <c r="Q255" s="183"/>
      <c r="R255" s="183"/>
      <c r="S255" s="183"/>
      <c r="T255" s="183"/>
      <c r="U255" s="183"/>
    </row>
    <row r="256" spans="1:21">
      <c r="A256" s="183"/>
      <c r="B256" s="183"/>
      <c r="C256" s="9"/>
      <c r="D256" s="9"/>
      <c r="E256" s="9"/>
      <c r="F256" s="9"/>
      <c r="G256" s="183"/>
      <c r="H256" s="183"/>
      <c r="I256" s="183"/>
      <c r="J256" s="183"/>
      <c r="K256" s="183"/>
      <c r="L256" s="183"/>
      <c r="M256" s="183"/>
      <c r="N256" s="183"/>
      <c r="O256" s="183"/>
      <c r="P256" s="183"/>
      <c r="Q256" s="183"/>
      <c r="R256" s="183"/>
      <c r="S256" s="183"/>
      <c r="T256" s="183"/>
      <c r="U256" s="183"/>
    </row>
    <row r="257" spans="1:21">
      <c r="A257" s="183"/>
      <c r="B257" s="183"/>
      <c r="C257" s="9" t="s">
        <v>4331</v>
      </c>
      <c r="D257" s="9"/>
      <c r="E257" s="9"/>
      <c r="F257" s="9"/>
      <c r="G257" s="183"/>
      <c r="H257" s="183"/>
      <c r="I257" s="183"/>
      <c r="J257" s="183"/>
      <c r="K257" s="183"/>
      <c r="L257" s="183"/>
      <c r="M257" s="183"/>
      <c r="N257" s="183"/>
      <c r="O257" s="183"/>
      <c r="P257" s="183"/>
      <c r="Q257" s="183"/>
      <c r="R257" s="183"/>
      <c r="S257" s="183"/>
      <c r="T257" s="183"/>
      <c r="U257" s="183"/>
    </row>
    <row r="258" spans="1:21">
      <c r="A258" s="183"/>
      <c r="B258" s="183"/>
      <c r="C258" s="1928"/>
      <c r="D258" s="9"/>
      <c r="E258" s="9"/>
      <c r="F258" s="9"/>
      <c r="G258" s="183"/>
      <c r="H258" s="183"/>
      <c r="I258" s="183"/>
      <c r="J258" s="183"/>
      <c r="K258" s="183"/>
      <c r="L258" s="183"/>
      <c r="M258" s="183"/>
      <c r="N258" s="183"/>
      <c r="O258" s="183"/>
      <c r="P258" s="183"/>
      <c r="Q258" s="183"/>
      <c r="R258" s="183"/>
      <c r="S258" s="183"/>
      <c r="T258" s="183"/>
      <c r="U258" s="183"/>
    </row>
    <row r="259" spans="1:21">
      <c r="A259" s="183"/>
      <c r="B259" s="183"/>
      <c r="C259" s="1928" t="s">
        <v>4332</v>
      </c>
      <c r="D259" s="9"/>
      <c r="E259" s="9"/>
      <c r="F259" s="9"/>
      <c r="G259" s="183"/>
      <c r="H259" s="183"/>
      <c r="I259" s="183"/>
      <c r="J259" s="183"/>
      <c r="K259" s="183"/>
      <c r="L259" s="183"/>
      <c r="M259" s="183"/>
      <c r="N259" s="183"/>
      <c r="O259" s="183"/>
      <c r="P259" s="183"/>
      <c r="Q259" s="183"/>
      <c r="R259" s="183"/>
      <c r="S259" s="183"/>
      <c r="T259" s="183"/>
      <c r="U259" s="183"/>
    </row>
    <row r="260" spans="1:21">
      <c r="A260" s="183"/>
      <c r="B260" s="183"/>
      <c r="C260" s="1928"/>
      <c r="D260" s="9"/>
      <c r="E260" s="9"/>
      <c r="F260" s="9"/>
      <c r="G260" s="183"/>
      <c r="H260" s="183"/>
      <c r="I260" s="183"/>
      <c r="J260" s="183"/>
      <c r="K260" s="183"/>
      <c r="L260" s="183"/>
      <c r="M260" s="183"/>
      <c r="N260" s="183"/>
      <c r="O260" s="183"/>
      <c r="P260" s="183"/>
      <c r="Q260" s="183"/>
      <c r="R260" s="183"/>
      <c r="S260" s="183"/>
      <c r="T260" s="183"/>
      <c r="U260" s="183"/>
    </row>
    <row r="261" spans="1:21">
      <c r="A261" s="183"/>
      <c r="B261" s="183"/>
      <c r="C261" s="1928" t="s">
        <v>4333</v>
      </c>
      <c r="D261" s="9"/>
      <c r="E261" s="9"/>
      <c r="F261" s="9"/>
      <c r="G261" s="183"/>
      <c r="H261" s="183"/>
      <c r="I261" s="183"/>
      <c r="J261" s="183"/>
      <c r="K261" s="183"/>
      <c r="L261" s="183"/>
      <c r="M261" s="183"/>
      <c r="N261" s="183"/>
      <c r="O261" s="183"/>
      <c r="P261" s="183"/>
      <c r="Q261" s="183"/>
      <c r="R261" s="183"/>
      <c r="S261" s="183"/>
      <c r="T261" s="183"/>
      <c r="U261" s="183"/>
    </row>
    <row r="262" spans="1:21">
      <c r="A262" s="183"/>
      <c r="B262" s="183"/>
      <c r="C262" s="1928" t="s">
        <v>4334</v>
      </c>
      <c r="D262" s="9"/>
      <c r="E262" s="9"/>
      <c r="F262" s="9"/>
      <c r="G262" s="183"/>
      <c r="H262" s="183"/>
      <c r="I262" s="183"/>
      <c r="J262" s="183"/>
      <c r="K262" s="183"/>
      <c r="L262" s="183"/>
      <c r="M262" s="183"/>
      <c r="N262" s="183"/>
      <c r="O262" s="183"/>
      <c r="P262" s="183"/>
      <c r="Q262" s="183"/>
      <c r="R262" s="183"/>
      <c r="S262" s="183"/>
      <c r="T262" s="183"/>
      <c r="U262" s="183"/>
    </row>
    <row r="263" spans="1:21">
      <c r="A263" s="183"/>
      <c r="B263" s="183"/>
      <c r="C263" s="1928" t="s">
        <v>4335</v>
      </c>
      <c r="D263" s="9"/>
      <c r="E263" s="9"/>
      <c r="F263" s="9"/>
      <c r="G263" s="183"/>
      <c r="H263" s="183"/>
      <c r="I263" s="183"/>
      <c r="J263" s="183"/>
      <c r="K263" s="183"/>
      <c r="L263" s="183"/>
      <c r="M263" s="183"/>
      <c r="N263" s="183"/>
      <c r="O263" s="183"/>
      <c r="P263" s="183"/>
      <c r="Q263" s="183"/>
      <c r="R263" s="183"/>
      <c r="S263" s="183"/>
      <c r="T263" s="183"/>
      <c r="U263" s="183"/>
    </row>
    <row r="264" spans="1:21">
      <c r="A264" s="183"/>
      <c r="B264" s="183"/>
      <c r="C264" s="9"/>
      <c r="D264" s="9"/>
      <c r="E264" s="9"/>
      <c r="F264" s="9"/>
      <c r="G264" s="183"/>
      <c r="H264" s="183"/>
      <c r="I264" s="183"/>
      <c r="J264" s="183"/>
      <c r="K264" s="183"/>
      <c r="L264" s="183"/>
      <c r="M264" s="183"/>
      <c r="N264" s="183"/>
      <c r="O264" s="183"/>
      <c r="P264" s="183"/>
      <c r="Q264" s="183"/>
      <c r="R264" s="183"/>
      <c r="S264" s="183"/>
      <c r="T264" s="183"/>
      <c r="U264" s="183"/>
    </row>
    <row r="265" spans="1:21" ht="18">
      <c r="A265" s="183"/>
      <c r="B265" s="183"/>
      <c r="C265" s="1913" t="s">
        <v>4336</v>
      </c>
      <c r="D265" s="9"/>
      <c r="E265" s="9"/>
      <c r="F265" s="9"/>
      <c r="G265" s="183"/>
      <c r="H265" s="183"/>
      <c r="I265" s="183"/>
      <c r="J265" s="183"/>
      <c r="K265" s="183"/>
      <c r="L265" s="183"/>
      <c r="M265" s="183"/>
      <c r="N265" s="183"/>
      <c r="O265" s="183"/>
      <c r="P265" s="183"/>
      <c r="Q265" s="183"/>
      <c r="R265" s="183"/>
      <c r="S265" s="183"/>
      <c r="T265" s="183"/>
      <c r="U265" s="183"/>
    </row>
    <row r="266" spans="1:21">
      <c r="A266" s="183"/>
      <c r="B266" s="183"/>
      <c r="C266" s="1928"/>
      <c r="D266" s="9"/>
      <c r="E266" s="9"/>
      <c r="F266" s="9"/>
      <c r="G266" s="183"/>
      <c r="H266" s="183"/>
      <c r="I266" s="183"/>
      <c r="J266" s="183"/>
      <c r="K266" s="183"/>
      <c r="L266" s="183"/>
      <c r="M266" s="183"/>
      <c r="N266" s="183"/>
      <c r="O266" s="183"/>
      <c r="P266" s="183"/>
      <c r="Q266" s="183"/>
      <c r="R266" s="183"/>
      <c r="S266" s="183"/>
      <c r="T266" s="183"/>
      <c r="U266" s="183"/>
    </row>
    <row r="267" spans="1:21">
      <c r="A267" s="183"/>
      <c r="B267" s="183"/>
      <c r="C267" s="1928" t="s">
        <v>4337</v>
      </c>
      <c r="D267" s="9"/>
      <c r="E267" s="9"/>
      <c r="F267" s="9"/>
      <c r="G267" s="183"/>
      <c r="H267" s="183"/>
      <c r="I267" s="183"/>
      <c r="J267" s="183"/>
      <c r="K267" s="183"/>
      <c r="L267" s="183"/>
      <c r="M267" s="183"/>
      <c r="N267" s="183"/>
      <c r="O267" s="183"/>
      <c r="P267" s="183"/>
      <c r="Q267" s="183"/>
      <c r="R267" s="183"/>
      <c r="S267" s="183"/>
      <c r="T267" s="183"/>
      <c r="U267" s="183"/>
    </row>
    <row r="268" spans="1:21">
      <c r="A268" s="183"/>
      <c r="B268" s="183"/>
      <c r="C268" s="1928" t="s">
        <v>4338</v>
      </c>
      <c r="D268" s="9"/>
      <c r="E268" s="9"/>
      <c r="F268" s="9"/>
      <c r="G268" s="183"/>
      <c r="H268" s="183"/>
      <c r="I268" s="183"/>
      <c r="J268" s="183"/>
      <c r="K268" s="183"/>
      <c r="L268" s="183"/>
      <c r="M268" s="183"/>
      <c r="N268" s="183"/>
      <c r="O268" s="183"/>
      <c r="P268" s="183"/>
      <c r="Q268" s="183"/>
      <c r="R268" s="183"/>
      <c r="S268" s="183"/>
      <c r="T268" s="183"/>
      <c r="U268" s="183"/>
    </row>
    <row r="269" spans="1:21">
      <c r="A269" s="183"/>
      <c r="B269" s="183"/>
      <c r="C269" s="9"/>
      <c r="D269" s="9"/>
      <c r="E269" s="9"/>
      <c r="F269" s="9"/>
      <c r="G269" s="183"/>
      <c r="H269" s="183"/>
      <c r="I269" s="183"/>
      <c r="J269" s="183"/>
      <c r="K269" s="183"/>
      <c r="L269" s="183"/>
      <c r="M269" s="183"/>
      <c r="N269" s="183"/>
      <c r="O269" s="183"/>
      <c r="P269" s="183"/>
      <c r="Q269" s="183"/>
      <c r="R269" s="183"/>
      <c r="S269" s="183"/>
      <c r="T269" s="183"/>
      <c r="U269" s="183"/>
    </row>
    <row r="270" spans="1:21">
      <c r="A270" s="183"/>
      <c r="B270" s="183"/>
      <c r="C270" s="9" t="s">
        <v>4339</v>
      </c>
      <c r="D270" s="9"/>
      <c r="E270" s="9"/>
      <c r="F270" s="9"/>
      <c r="G270" s="183"/>
      <c r="H270" s="183"/>
      <c r="I270" s="183"/>
      <c r="J270" s="183"/>
      <c r="K270" s="183"/>
      <c r="L270" s="183"/>
      <c r="M270" s="183"/>
      <c r="N270" s="183"/>
      <c r="O270" s="183"/>
      <c r="P270" s="183"/>
      <c r="Q270" s="183"/>
      <c r="R270" s="183"/>
      <c r="S270" s="183"/>
      <c r="T270" s="183"/>
      <c r="U270" s="183"/>
    </row>
    <row r="271" spans="1:21">
      <c r="A271" s="183"/>
      <c r="B271" s="183"/>
      <c r="C271" s="1928"/>
      <c r="D271" s="9"/>
      <c r="E271" s="9"/>
      <c r="F271" s="9"/>
      <c r="G271" s="183"/>
      <c r="H271" s="183"/>
      <c r="I271" s="183"/>
      <c r="J271" s="183"/>
      <c r="K271" s="183"/>
      <c r="L271" s="183"/>
      <c r="M271" s="183"/>
      <c r="N271" s="183"/>
      <c r="O271" s="183"/>
      <c r="P271" s="183"/>
      <c r="Q271" s="183"/>
      <c r="R271" s="183"/>
      <c r="S271" s="183"/>
      <c r="T271" s="183"/>
      <c r="U271" s="183"/>
    </row>
    <row r="272" spans="1:21">
      <c r="A272" s="183"/>
      <c r="B272" s="183"/>
      <c r="C272" s="1928" t="s">
        <v>4340</v>
      </c>
      <c r="D272" s="9"/>
      <c r="E272" s="9"/>
      <c r="F272" s="9"/>
      <c r="G272" s="183"/>
      <c r="H272" s="183"/>
      <c r="I272" s="183"/>
      <c r="J272" s="183"/>
      <c r="K272" s="183"/>
      <c r="L272" s="183"/>
      <c r="M272" s="183"/>
      <c r="N272" s="183"/>
      <c r="O272" s="183"/>
      <c r="P272" s="183"/>
      <c r="Q272" s="183"/>
      <c r="R272" s="183"/>
      <c r="S272" s="183"/>
      <c r="T272" s="183"/>
      <c r="U272" s="183"/>
    </row>
    <row r="273" spans="1:21">
      <c r="A273" s="183"/>
      <c r="B273" s="183"/>
      <c r="C273" s="9"/>
      <c r="D273" s="9"/>
      <c r="E273" s="9"/>
      <c r="F273" s="9"/>
      <c r="G273" s="183"/>
      <c r="H273" s="183"/>
      <c r="I273" s="183"/>
      <c r="J273" s="183"/>
      <c r="K273" s="183"/>
      <c r="L273" s="183"/>
      <c r="M273" s="183"/>
      <c r="N273" s="183"/>
      <c r="O273" s="183"/>
      <c r="P273" s="183"/>
      <c r="Q273" s="183"/>
      <c r="R273" s="183"/>
      <c r="S273" s="183"/>
      <c r="T273" s="183"/>
      <c r="U273" s="183"/>
    </row>
    <row r="274" spans="1:21" ht="18">
      <c r="A274" s="183"/>
      <c r="B274" s="183"/>
      <c r="C274" s="1913" t="s">
        <v>4341</v>
      </c>
      <c r="D274" s="9"/>
      <c r="E274" s="9"/>
      <c r="F274" s="9"/>
      <c r="G274" s="183"/>
      <c r="H274" s="183"/>
      <c r="I274" s="183"/>
      <c r="J274" s="183"/>
      <c r="K274" s="183"/>
      <c r="L274" s="183"/>
      <c r="M274" s="183"/>
      <c r="N274" s="183"/>
      <c r="O274" s="183"/>
      <c r="P274" s="183"/>
      <c r="Q274" s="183"/>
      <c r="R274" s="183"/>
      <c r="S274" s="183"/>
      <c r="T274" s="183"/>
      <c r="U274" s="183"/>
    </row>
    <row r="275" spans="1:21">
      <c r="A275" s="183"/>
      <c r="B275" s="183"/>
      <c r="C275" s="1928"/>
      <c r="D275" s="9"/>
      <c r="E275" s="9"/>
      <c r="F275" s="9"/>
      <c r="G275" s="183"/>
      <c r="H275" s="183"/>
      <c r="I275" s="183"/>
      <c r="J275" s="183"/>
      <c r="K275" s="183"/>
      <c r="L275" s="183"/>
      <c r="M275" s="183"/>
      <c r="N275" s="183"/>
      <c r="O275" s="183"/>
      <c r="P275" s="183"/>
      <c r="Q275" s="183"/>
      <c r="R275" s="183"/>
      <c r="S275" s="183"/>
      <c r="T275" s="183"/>
      <c r="U275" s="183"/>
    </row>
    <row r="276" spans="1:21">
      <c r="A276" s="183"/>
      <c r="B276" s="183"/>
      <c r="C276" s="1928" t="s">
        <v>4342</v>
      </c>
      <c r="D276" s="9"/>
      <c r="E276" s="9"/>
      <c r="F276" s="9"/>
      <c r="G276" s="183"/>
      <c r="H276" s="183"/>
      <c r="I276" s="183"/>
      <c r="J276" s="183"/>
      <c r="K276" s="183"/>
      <c r="L276" s="183"/>
      <c r="M276" s="183"/>
      <c r="N276" s="183"/>
      <c r="O276" s="183"/>
      <c r="P276" s="183"/>
      <c r="Q276" s="183"/>
      <c r="R276" s="183"/>
      <c r="S276" s="183"/>
      <c r="T276" s="183"/>
      <c r="U276" s="183"/>
    </row>
    <row r="277" spans="1:21">
      <c r="A277" s="183"/>
      <c r="B277" s="183"/>
      <c r="C277" s="1928" t="s">
        <v>4343</v>
      </c>
      <c r="D277" s="9"/>
      <c r="E277" s="9"/>
      <c r="F277" s="9"/>
      <c r="G277" s="183"/>
      <c r="H277" s="183"/>
      <c r="I277" s="183"/>
      <c r="J277" s="183"/>
      <c r="K277" s="183"/>
      <c r="L277" s="183"/>
      <c r="M277" s="183"/>
      <c r="N277" s="183"/>
      <c r="O277" s="183"/>
      <c r="P277" s="183"/>
      <c r="Q277" s="183"/>
      <c r="R277" s="183"/>
      <c r="S277" s="183"/>
      <c r="T277" s="183"/>
      <c r="U277" s="183"/>
    </row>
    <row r="278" spans="1:21">
      <c r="A278" s="183"/>
      <c r="B278" s="183"/>
      <c r="C278" s="1928" t="s">
        <v>4344</v>
      </c>
      <c r="D278" s="9"/>
      <c r="E278" s="9"/>
      <c r="F278" s="9"/>
      <c r="G278" s="183"/>
      <c r="H278" s="183"/>
      <c r="I278" s="183"/>
      <c r="J278" s="183"/>
      <c r="K278" s="183"/>
      <c r="L278" s="183"/>
      <c r="M278" s="183"/>
      <c r="N278" s="183"/>
      <c r="O278" s="183"/>
      <c r="P278" s="183"/>
      <c r="Q278" s="183"/>
      <c r="R278" s="183"/>
      <c r="S278" s="183"/>
      <c r="T278" s="183"/>
      <c r="U278" s="183"/>
    </row>
    <row r="279" spans="1:21">
      <c r="A279" s="183"/>
      <c r="B279" s="183"/>
      <c r="C279" s="9"/>
      <c r="D279" s="9"/>
      <c r="E279" s="9"/>
      <c r="F279" s="9"/>
      <c r="G279" s="183"/>
      <c r="H279" s="183"/>
      <c r="I279" s="183"/>
      <c r="J279" s="183"/>
      <c r="K279" s="183"/>
      <c r="L279" s="183"/>
      <c r="M279" s="183"/>
      <c r="N279" s="183"/>
      <c r="O279" s="183"/>
      <c r="P279" s="183"/>
      <c r="Q279" s="183"/>
      <c r="R279" s="183"/>
      <c r="S279" s="183"/>
      <c r="T279" s="183"/>
      <c r="U279" s="183"/>
    </row>
    <row r="280" spans="1:21">
      <c r="A280" s="183"/>
      <c r="B280" s="183"/>
      <c r="C280" s="9" t="s">
        <v>4345</v>
      </c>
      <c r="D280" s="9"/>
      <c r="E280" s="9"/>
      <c r="F280" s="9"/>
      <c r="G280" s="183"/>
      <c r="H280" s="183"/>
      <c r="I280" s="183"/>
      <c r="J280" s="183"/>
      <c r="K280" s="183"/>
      <c r="L280" s="183"/>
      <c r="M280" s="183"/>
      <c r="N280" s="183"/>
      <c r="O280" s="183"/>
      <c r="P280" s="183"/>
      <c r="Q280" s="183"/>
      <c r="R280" s="183"/>
      <c r="S280" s="183"/>
      <c r="T280" s="183"/>
      <c r="U280" s="183"/>
    </row>
    <row r="281" spans="1:21">
      <c r="A281" s="183"/>
      <c r="B281" s="183"/>
      <c r="C281" s="1928"/>
      <c r="D281" s="9"/>
      <c r="E281" s="9"/>
      <c r="F281" s="9"/>
      <c r="G281" s="183"/>
      <c r="H281" s="183"/>
      <c r="I281" s="183"/>
      <c r="J281" s="183"/>
      <c r="K281" s="183"/>
      <c r="L281" s="183"/>
      <c r="M281" s="183"/>
      <c r="N281" s="183"/>
      <c r="O281" s="183"/>
      <c r="P281" s="183"/>
      <c r="Q281" s="183"/>
      <c r="R281" s="183"/>
      <c r="S281" s="183"/>
      <c r="T281" s="183"/>
      <c r="U281" s="183"/>
    </row>
    <row r="282" spans="1:21">
      <c r="A282" s="183"/>
      <c r="B282" s="183"/>
      <c r="C282" s="1928" t="s">
        <v>4346</v>
      </c>
      <c r="D282" s="9"/>
      <c r="E282" s="9"/>
      <c r="F282" s="9"/>
      <c r="G282" s="183"/>
      <c r="H282" s="183"/>
      <c r="I282" s="183"/>
      <c r="J282" s="183"/>
      <c r="K282" s="183"/>
      <c r="L282" s="183"/>
      <c r="M282" s="183"/>
      <c r="N282" s="183"/>
      <c r="O282" s="183"/>
      <c r="P282" s="183"/>
      <c r="Q282" s="183"/>
      <c r="R282" s="183"/>
      <c r="S282" s="183"/>
      <c r="T282" s="183"/>
      <c r="U282" s="183"/>
    </row>
    <row r="283" spans="1:21">
      <c r="A283" s="183"/>
      <c r="B283" s="183"/>
      <c r="C283" s="9"/>
      <c r="D283" s="9"/>
      <c r="E283" s="9"/>
      <c r="F283" s="9"/>
      <c r="G283" s="183"/>
      <c r="H283" s="183"/>
      <c r="I283" s="183"/>
      <c r="J283" s="183"/>
      <c r="K283" s="183"/>
      <c r="L283" s="183"/>
      <c r="M283" s="183"/>
      <c r="N283" s="183"/>
      <c r="O283" s="183"/>
      <c r="P283" s="183"/>
      <c r="Q283" s="183"/>
      <c r="R283" s="183"/>
      <c r="S283" s="183"/>
      <c r="T283" s="183"/>
      <c r="U283" s="183"/>
    </row>
    <row r="284" spans="1:21" ht="18">
      <c r="A284" s="183"/>
      <c r="B284" s="183"/>
      <c r="C284" s="1913" t="s">
        <v>4347</v>
      </c>
      <c r="D284" s="9"/>
      <c r="E284" s="9"/>
      <c r="F284" s="9"/>
      <c r="G284" s="183"/>
      <c r="H284" s="183"/>
      <c r="I284" s="183"/>
      <c r="J284" s="183"/>
      <c r="K284" s="183"/>
      <c r="L284" s="183"/>
      <c r="M284" s="183"/>
      <c r="N284" s="183"/>
      <c r="O284" s="183"/>
      <c r="P284" s="183"/>
      <c r="Q284" s="183"/>
      <c r="R284" s="183"/>
      <c r="S284" s="183"/>
      <c r="T284" s="183"/>
      <c r="U284" s="183"/>
    </row>
    <row r="285" spans="1:21">
      <c r="A285" s="183"/>
      <c r="B285" s="183"/>
      <c r="C285" s="9"/>
      <c r="D285" s="9"/>
      <c r="E285" s="9"/>
      <c r="F285" s="9"/>
      <c r="G285" s="183"/>
      <c r="H285" s="183"/>
      <c r="I285" s="183"/>
      <c r="J285" s="183"/>
      <c r="K285" s="183"/>
      <c r="L285" s="183"/>
      <c r="M285" s="183"/>
      <c r="N285" s="183"/>
      <c r="O285" s="183"/>
      <c r="P285" s="183"/>
      <c r="Q285" s="183"/>
      <c r="R285" s="183"/>
      <c r="S285" s="183"/>
      <c r="T285" s="183"/>
      <c r="U285" s="183"/>
    </row>
    <row r="286" spans="1:21">
      <c r="A286" s="183"/>
      <c r="B286" s="183"/>
      <c r="C286" s="9" t="s">
        <v>4348</v>
      </c>
      <c r="D286" s="9"/>
      <c r="E286" s="9"/>
      <c r="F286" s="9"/>
      <c r="G286" s="183"/>
      <c r="H286" s="183"/>
      <c r="I286" s="183"/>
      <c r="J286" s="183"/>
      <c r="K286" s="183"/>
      <c r="L286" s="183"/>
      <c r="M286" s="183"/>
      <c r="N286" s="183"/>
      <c r="O286" s="183"/>
      <c r="P286" s="183"/>
      <c r="Q286" s="183"/>
      <c r="R286" s="183"/>
      <c r="S286" s="183"/>
      <c r="T286" s="183"/>
      <c r="U286" s="183"/>
    </row>
    <row r="287" spans="1:21">
      <c r="A287" s="183"/>
      <c r="B287" s="183"/>
      <c r="C287" s="1928"/>
      <c r="D287" s="9"/>
      <c r="E287" s="9"/>
      <c r="F287" s="9"/>
      <c r="G287" s="183"/>
      <c r="H287" s="183"/>
      <c r="I287" s="183"/>
      <c r="J287" s="183"/>
      <c r="K287" s="183"/>
      <c r="L287" s="183"/>
      <c r="M287" s="183"/>
      <c r="N287" s="183"/>
      <c r="O287" s="183"/>
      <c r="P287" s="183"/>
      <c r="Q287" s="183"/>
      <c r="R287" s="183"/>
      <c r="S287" s="183"/>
      <c r="T287" s="183"/>
      <c r="U287" s="183"/>
    </row>
    <row r="288" spans="1:21">
      <c r="A288" s="183"/>
      <c r="B288" s="183"/>
      <c r="C288" s="1928" t="s">
        <v>4349</v>
      </c>
      <c r="D288" s="9"/>
      <c r="E288" s="9"/>
      <c r="F288" s="9"/>
      <c r="G288" s="183"/>
      <c r="H288" s="183"/>
      <c r="I288" s="183"/>
      <c r="J288" s="183"/>
      <c r="K288" s="183"/>
      <c r="L288" s="183"/>
      <c r="M288" s="183"/>
      <c r="N288" s="183"/>
      <c r="O288" s="183"/>
      <c r="P288" s="183"/>
      <c r="Q288" s="183"/>
      <c r="R288" s="183"/>
      <c r="S288" s="183"/>
      <c r="T288" s="183"/>
      <c r="U288" s="183"/>
    </row>
    <row r="289" spans="1:21">
      <c r="A289" s="183"/>
      <c r="B289" s="183"/>
      <c r="C289" s="9"/>
      <c r="D289" s="9"/>
      <c r="E289" s="9"/>
      <c r="F289" s="9"/>
      <c r="G289" s="183"/>
      <c r="H289" s="183"/>
      <c r="I289" s="183"/>
      <c r="J289" s="183"/>
      <c r="K289" s="183"/>
      <c r="L289" s="183"/>
      <c r="M289" s="183"/>
      <c r="N289" s="183"/>
      <c r="O289" s="183"/>
      <c r="P289" s="183"/>
      <c r="Q289" s="183"/>
      <c r="R289" s="183"/>
      <c r="S289" s="183"/>
      <c r="T289" s="183"/>
      <c r="U289" s="183"/>
    </row>
    <row r="290" spans="1:21">
      <c r="A290" s="183"/>
      <c r="B290" s="183"/>
      <c r="C290" s="9" t="s">
        <v>4350</v>
      </c>
      <c r="D290" s="9"/>
      <c r="E290" s="9"/>
      <c r="F290" s="9"/>
      <c r="G290" s="183"/>
      <c r="H290" s="183"/>
      <c r="I290" s="183"/>
      <c r="J290" s="183"/>
      <c r="K290" s="183"/>
      <c r="L290" s="183"/>
      <c r="M290" s="183"/>
      <c r="N290" s="183"/>
      <c r="O290" s="183"/>
      <c r="P290" s="183"/>
      <c r="Q290" s="183"/>
      <c r="R290" s="183"/>
      <c r="S290" s="183"/>
      <c r="T290" s="183"/>
      <c r="U290" s="183"/>
    </row>
    <row r="291" spans="1:21">
      <c r="A291" s="183"/>
      <c r="B291" s="183"/>
      <c r="C291" s="1928"/>
      <c r="D291" s="9"/>
      <c r="E291" s="9"/>
      <c r="F291" s="9"/>
      <c r="G291" s="183"/>
      <c r="H291" s="183"/>
      <c r="I291" s="183"/>
      <c r="J291" s="183"/>
      <c r="K291" s="183"/>
      <c r="L291" s="183"/>
      <c r="M291" s="183"/>
      <c r="N291" s="183"/>
      <c r="O291" s="183"/>
      <c r="P291" s="183"/>
      <c r="Q291" s="183"/>
      <c r="R291" s="183"/>
      <c r="S291" s="183"/>
      <c r="T291" s="183"/>
      <c r="U291" s="183"/>
    </row>
    <row r="292" spans="1:21">
      <c r="A292" s="183"/>
      <c r="B292" s="183"/>
      <c r="C292" s="1928" t="s">
        <v>4351</v>
      </c>
      <c r="D292" s="9"/>
      <c r="E292" s="9"/>
      <c r="F292" s="9"/>
      <c r="G292" s="183"/>
      <c r="H292" s="183"/>
      <c r="I292" s="183"/>
      <c r="J292" s="183"/>
      <c r="K292" s="183"/>
      <c r="L292" s="183"/>
      <c r="M292" s="183"/>
      <c r="N292" s="183"/>
      <c r="O292" s="183"/>
      <c r="P292" s="183"/>
      <c r="Q292" s="183"/>
      <c r="R292" s="183"/>
      <c r="S292" s="183"/>
      <c r="T292" s="183"/>
      <c r="U292" s="183"/>
    </row>
    <row r="293" spans="1:21">
      <c r="A293" s="183"/>
      <c r="B293" s="183"/>
      <c r="C293" s="1928" t="s">
        <v>4352</v>
      </c>
      <c r="D293" s="9"/>
      <c r="E293" s="9"/>
      <c r="F293" s="9"/>
      <c r="G293" s="183"/>
      <c r="H293" s="183"/>
      <c r="I293" s="183"/>
      <c r="J293" s="183"/>
      <c r="K293" s="183"/>
      <c r="L293" s="183"/>
      <c r="M293" s="183"/>
      <c r="N293" s="183"/>
      <c r="O293" s="183"/>
      <c r="P293" s="183"/>
      <c r="Q293" s="183"/>
      <c r="R293" s="183"/>
      <c r="S293" s="183"/>
      <c r="T293" s="183"/>
      <c r="U293" s="183"/>
    </row>
    <row r="294" spans="1:21">
      <c r="A294" s="183"/>
      <c r="B294" s="183"/>
      <c r="C294" s="9"/>
      <c r="D294" s="9"/>
      <c r="E294" s="9"/>
      <c r="F294" s="9"/>
      <c r="G294" s="183"/>
      <c r="H294" s="183"/>
      <c r="I294" s="183"/>
      <c r="J294" s="183"/>
      <c r="K294" s="183"/>
      <c r="L294" s="183"/>
      <c r="M294" s="183"/>
      <c r="N294" s="183"/>
      <c r="O294" s="183"/>
      <c r="P294" s="183"/>
      <c r="Q294" s="183"/>
      <c r="R294" s="183"/>
      <c r="S294" s="183"/>
      <c r="T294" s="183"/>
      <c r="U294" s="183"/>
    </row>
    <row r="295" spans="1:21" ht="18">
      <c r="A295" s="183"/>
      <c r="B295" s="183"/>
      <c r="C295" s="1913" t="s">
        <v>4353</v>
      </c>
      <c r="D295" s="9"/>
      <c r="E295" s="9"/>
      <c r="F295" s="9"/>
      <c r="G295" s="183"/>
      <c r="H295" s="183"/>
      <c r="I295" s="183"/>
      <c r="J295" s="183"/>
      <c r="K295" s="183"/>
      <c r="L295" s="183"/>
      <c r="M295" s="183"/>
      <c r="N295" s="183"/>
      <c r="O295" s="183"/>
      <c r="P295" s="183"/>
      <c r="Q295" s="183"/>
      <c r="R295" s="183"/>
      <c r="S295" s="183"/>
      <c r="T295" s="183"/>
      <c r="U295" s="183"/>
    </row>
    <row r="296" spans="1:21">
      <c r="A296" s="183"/>
      <c r="B296" s="183"/>
      <c r="C296" s="1928"/>
      <c r="D296" s="9"/>
      <c r="E296" s="9"/>
      <c r="F296" s="9"/>
      <c r="G296" s="183"/>
      <c r="H296" s="183"/>
      <c r="I296" s="183"/>
      <c r="J296" s="183"/>
      <c r="K296" s="183"/>
      <c r="L296" s="183"/>
      <c r="M296" s="183"/>
      <c r="N296" s="183"/>
      <c r="O296" s="183"/>
      <c r="P296" s="183"/>
      <c r="Q296" s="183"/>
      <c r="R296" s="183"/>
      <c r="S296" s="183"/>
      <c r="T296" s="183"/>
      <c r="U296" s="183"/>
    </row>
    <row r="297" spans="1:21">
      <c r="A297" s="183"/>
      <c r="B297" s="183"/>
      <c r="C297" s="1928" t="s">
        <v>4354</v>
      </c>
      <c r="D297" s="9"/>
      <c r="E297" s="9"/>
      <c r="F297" s="9"/>
      <c r="G297" s="183"/>
      <c r="H297" s="183"/>
      <c r="I297" s="183"/>
      <c r="J297" s="183"/>
      <c r="K297" s="183"/>
      <c r="L297" s="183"/>
      <c r="M297" s="183"/>
      <c r="N297" s="183"/>
      <c r="O297" s="183"/>
      <c r="P297" s="183"/>
      <c r="Q297" s="183"/>
      <c r="R297" s="183"/>
      <c r="S297" s="183"/>
      <c r="T297" s="183"/>
      <c r="U297" s="183"/>
    </row>
    <row r="298" spans="1:21">
      <c r="A298" s="183"/>
      <c r="B298" s="183"/>
      <c r="C298" s="1928" t="s">
        <v>4355</v>
      </c>
      <c r="D298" s="9"/>
      <c r="E298" s="9"/>
      <c r="F298" s="9"/>
      <c r="G298" s="183"/>
      <c r="H298" s="183"/>
      <c r="I298" s="183"/>
      <c r="J298" s="183"/>
      <c r="K298" s="183"/>
      <c r="L298" s="183"/>
      <c r="M298" s="183"/>
      <c r="N298" s="183"/>
      <c r="O298" s="183"/>
      <c r="P298" s="183"/>
      <c r="Q298" s="183"/>
      <c r="R298" s="183"/>
      <c r="S298" s="183"/>
      <c r="T298" s="183"/>
      <c r="U298" s="183"/>
    </row>
    <row r="299" spans="1:21">
      <c r="A299" s="183"/>
      <c r="B299" s="183"/>
      <c r="C299" s="9"/>
      <c r="D299" s="9"/>
      <c r="E299" s="9"/>
      <c r="F299" s="9"/>
      <c r="G299" s="183"/>
      <c r="H299" s="183"/>
      <c r="I299" s="183"/>
      <c r="J299" s="183"/>
      <c r="K299" s="183"/>
      <c r="L299" s="183"/>
      <c r="M299" s="183"/>
      <c r="N299" s="183"/>
      <c r="O299" s="183"/>
      <c r="P299" s="183"/>
      <c r="Q299" s="183"/>
      <c r="R299" s="183"/>
      <c r="S299" s="183"/>
      <c r="T299" s="183"/>
      <c r="U299" s="183"/>
    </row>
    <row r="300" spans="1:21">
      <c r="A300" s="183"/>
      <c r="B300" s="183"/>
      <c r="C300" s="9"/>
      <c r="D300" s="9"/>
      <c r="E300" s="9"/>
      <c r="F300" s="9"/>
      <c r="G300" s="183"/>
      <c r="H300" s="183"/>
      <c r="I300" s="183"/>
      <c r="J300" s="183"/>
      <c r="K300" s="183"/>
      <c r="L300" s="183"/>
      <c r="M300" s="183"/>
      <c r="N300" s="183"/>
      <c r="O300" s="183"/>
      <c r="P300" s="183"/>
      <c r="Q300" s="183"/>
      <c r="R300" s="183"/>
      <c r="S300" s="183"/>
      <c r="T300" s="183"/>
      <c r="U300" s="183"/>
    </row>
    <row r="301" spans="1:21">
      <c r="A301" s="183"/>
      <c r="B301" s="183"/>
      <c r="C301" s="9"/>
      <c r="D301" s="9"/>
      <c r="E301" s="9"/>
      <c r="F301" s="9"/>
      <c r="G301" s="183"/>
      <c r="H301" s="183"/>
      <c r="I301" s="183"/>
      <c r="J301" s="183"/>
      <c r="K301" s="183"/>
      <c r="L301" s="183"/>
      <c r="M301" s="183"/>
      <c r="N301" s="183"/>
      <c r="O301" s="183"/>
      <c r="P301" s="183"/>
      <c r="Q301" s="183"/>
      <c r="R301" s="183"/>
      <c r="S301" s="183"/>
      <c r="T301" s="183"/>
      <c r="U301" s="183"/>
    </row>
    <row r="302" spans="1:21" ht="23.25">
      <c r="A302" s="183"/>
      <c r="B302" s="183"/>
      <c r="C302" s="1927" t="s">
        <v>4356</v>
      </c>
      <c r="D302" s="9"/>
      <c r="E302" s="9"/>
      <c r="F302" s="9"/>
      <c r="G302" s="183"/>
      <c r="H302" s="183"/>
      <c r="I302" s="183"/>
      <c r="J302" s="183"/>
      <c r="K302" s="183"/>
      <c r="L302" s="183"/>
      <c r="M302" s="183"/>
      <c r="N302" s="183"/>
      <c r="O302" s="183"/>
      <c r="P302" s="183"/>
      <c r="Q302" s="183"/>
      <c r="R302" s="183"/>
      <c r="S302" s="183"/>
      <c r="T302" s="183"/>
      <c r="U302" s="183"/>
    </row>
    <row r="303" spans="1:21">
      <c r="A303" s="183"/>
      <c r="B303" s="183"/>
      <c r="C303" s="9"/>
      <c r="D303" s="9"/>
      <c r="E303" s="9"/>
      <c r="F303" s="9"/>
      <c r="G303" s="183"/>
      <c r="H303" s="183"/>
      <c r="I303" s="183"/>
      <c r="J303" s="183"/>
      <c r="K303" s="183"/>
      <c r="L303" s="183"/>
      <c r="M303" s="183"/>
      <c r="N303" s="183"/>
      <c r="O303" s="183"/>
      <c r="P303" s="183"/>
      <c r="Q303" s="183"/>
      <c r="R303" s="183"/>
      <c r="S303" s="183"/>
      <c r="T303" s="183"/>
      <c r="U303" s="183"/>
    </row>
    <row r="304" spans="1:21">
      <c r="A304" s="183"/>
      <c r="B304" s="183"/>
      <c r="C304" s="1930" t="s">
        <v>4357</v>
      </c>
      <c r="D304" s="1930" t="s">
        <v>4358</v>
      </c>
      <c r="E304" s="1930" t="s">
        <v>4359</v>
      </c>
      <c r="F304" s="1930" t="s">
        <v>4360</v>
      </c>
      <c r="G304" s="183"/>
      <c r="H304" s="183"/>
      <c r="I304" s="183"/>
      <c r="J304" s="183"/>
      <c r="K304" s="183"/>
      <c r="L304" s="183"/>
      <c r="M304" s="183"/>
      <c r="N304" s="183"/>
      <c r="O304" s="183"/>
      <c r="P304" s="183"/>
      <c r="Q304" s="183"/>
      <c r="R304" s="183"/>
      <c r="S304" s="183"/>
      <c r="T304" s="183"/>
      <c r="U304" s="183"/>
    </row>
    <row r="305" spans="1:21" ht="30">
      <c r="A305" s="183"/>
      <c r="B305" s="183"/>
      <c r="C305" s="1931" t="s">
        <v>4361</v>
      </c>
      <c r="D305" s="1931" t="s">
        <v>4362</v>
      </c>
      <c r="E305" s="1931" t="s">
        <v>4363</v>
      </c>
      <c r="F305" s="1931" t="s">
        <v>4364</v>
      </c>
      <c r="G305" s="183"/>
      <c r="H305" s="183"/>
      <c r="I305" s="183"/>
      <c r="J305" s="183"/>
      <c r="K305" s="183"/>
      <c r="L305" s="183"/>
      <c r="M305" s="183"/>
      <c r="N305" s="183"/>
      <c r="O305" s="183"/>
      <c r="P305" s="183"/>
      <c r="Q305" s="183"/>
      <c r="R305" s="183"/>
      <c r="S305" s="183"/>
      <c r="T305" s="183"/>
      <c r="U305" s="183"/>
    </row>
    <row r="306" spans="1:21" ht="30">
      <c r="A306" s="183"/>
      <c r="B306" s="183"/>
      <c r="C306" s="1931" t="s">
        <v>4365</v>
      </c>
      <c r="D306" s="1931" t="s">
        <v>4366</v>
      </c>
      <c r="E306" s="1931" t="s">
        <v>4367</v>
      </c>
      <c r="F306" s="1931" t="s">
        <v>4368</v>
      </c>
      <c r="G306" s="183"/>
      <c r="H306" s="183"/>
      <c r="I306" s="183"/>
      <c r="J306" s="183"/>
      <c r="K306" s="183"/>
      <c r="L306" s="183"/>
      <c r="M306" s="183"/>
      <c r="N306" s="183"/>
      <c r="O306" s="183"/>
      <c r="P306" s="183"/>
      <c r="Q306" s="183"/>
      <c r="R306" s="183"/>
      <c r="S306" s="183"/>
      <c r="T306" s="183"/>
      <c r="U306" s="183"/>
    </row>
    <row r="307" spans="1:21" ht="30">
      <c r="A307" s="183"/>
      <c r="B307" s="183"/>
      <c r="C307" s="1931" t="s">
        <v>4369</v>
      </c>
      <c r="D307" s="1931" t="s">
        <v>4370</v>
      </c>
      <c r="E307" s="1931" t="s">
        <v>4371</v>
      </c>
      <c r="F307" s="1931" t="s">
        <v>4372</v>
      </c>
      <c r="G307" s="183"/>
      <c r="H307" s="183"/>
      <c r="I307" s="183"/>
      <c r="J307" s="183"/>
      <c r="K307" s="183"/>
      <c r="L307" s="183"/>
      <c r="M307" s="183"/>
      <c r="N307" s="183"/>
      <c r="O307" s="183"/>
      <c r="P307" s="183"/>
      <c r="Q307" s="183"/>
      <c r="R307" s="183"/>
      <c r="S307" s="183"/>
      <c r="T307" s="183"/>
      <c r="U307" s="183"/>
    </row>
    <row r="308" spans="1:21" ht="30">
      <c r="A308" s="183"/>
      <c r="B308" s="183"/>
      <c r="C308" s="1931" t="s">
        <v>4373</v>
      </c>
      <c r="D308" s="1931" t="s">
        <v>4374</v>
      </c>
      <c r="E308" s="1931" t="s">
        <v>4375</v>
      </c>
      <c r="F308" s="1931" t="s">
        <v>4376</v>
      </c>
      <c r="G308" s="183"/>
      <c r="H308" s="183"/>
      <c r="I308" s="183"/>
      <c r="J308" s="183"/>
      <c r="K308" s="183"/>
      <c r="L308" s="183"/>
      <c r="M308" s="183"/>
      <c r="N308" s="183"/>
      <c r="O308" s="183"/>
      <c r="P308" s="183"/>
      <c r="Q308" s="183"/>
      <c r="R308" s="183"/>
      <c r="S308" s="183"/>
      <c r="T308" s="183"/>
      <c r="U308" s="183"/>
    </row>
    <row r="309" spans="1:21" ht="30">
      <c r="A309" s="183"/>
      <c r="B309" s="183"/>
      <c r="C309" s="1931" t="s">
        <v>457</v>
      </c>
      <c r="D309" s="1931" t="s">
        <v>4370</v>
      </c>
      <c r="E309" s="1931" t="s">
        <v>4377</v>
      </c>
      <c r="F309" s="1931" t="s">
        <v>4378</v>
      </c>
      <c r="G309" s="183"/>
      <c r="H309" s="183"/>
      <c r="I309" s="183"/>
      <c r="J309" s="183"/>
      <c r="K309" s="183"/>
      <c r="L309" s="183"/>
      <c r="M309" s="183"/>
      <c r="N309" s="183"/>
      <c r="O309" s="183"/>
      <c r="P309" s="183"/>
      <c r="Q309" s="183"/>
      <c r="R309" s="183"/>
      <c r="S309" s="183"/>
      <c r="T309" s="183"/>
      <c r="U309" s="183"/>
    </row>
    <row r="310" spans="1:21" ht="30">
      <c r="A310" s="183"/>
      <c r="B310" s="183"/>
      <c r="C310" s="1931" t="s">
        <v>4379</v>
      </c>
      <c r="D310" s="1931" t="s">
        <v>4380</v>
      </c>
      <c r="E310" s="1931" t="s">
        <v>4381</v>
      </c>
      <c r="F310" s="1931" t="s">
        <v>4382</v>
      </c>
      <c r="G310" s="183"/>
      <c r="H310" s="183"/>
      <c r="I310" s="183"/>
      <c r="J310" s="183"/>
      <c r="K310" s="183"/>
      <c r="L310" s="183"/>
      <c r="M310" s="183"/>
      <c r="N310" s="183"/>
      <c r="O310" s="183"/>
      <c r="P310" s="183"/>
      <c r="Q310" s="183"/>
      <c r="R310" s="183"/>
      <c r="S310" s="183"/>
      <c r="T310" s="183"/>
      <c r="U310" s="183"/>
    </row>
    <row r="311" spans="1:21">
      <c r="A311" s="183"/>
      <c r="B311" s="183"/>
      <c r="C311" s="9"/>
      <c r="D311" s="9"/>
      <c r="E311" s="9"/>
      <c r="F311" s="9"/>
      <c r="G311" s="183"/>
      <c r="H311" s="183"/>
      <c r="I311" s="183"/>
      <c r="J311" s="183"/>
      <c r="K311" s="183"/>
      <c r="L311" s="183"/>
      <c r="M311" s="183"/>
      <c r="N311" s="183"/>
      <c r="O311" s="183"/>
      <c r="P311" s="183"/>
      <c r="Q311" s="183"/>
      <c r="R311" s="183"/>
      <c r="S311" s="183"/>
      <c r="T311" s="183"/>
      <c r="U311" s="183"/>
    </row>
    <row r="312" spans="1:21">
      <c r="A312" s="183"/>
      <c r="B312" s="183"/>
      <c r="C312" s="9"/>
      <c r="D312" s="9"/>
      <c r="E312" s="9"/>
      <c r="F312" s="9"/>
      <c r="G312" s="183"/>
      <c r="H312" s="183"/>
      <c r="I312" s="183"/>
      <c r="J312" s="183"/>
      <c r="K312" s="183"/>
      <c r="L312" s="183"/>
      <c r="M312" s="183"/>
      <c r="N312" s="183"/>
      <c r="O312" s="183"/>
      <c r="P312" s="183"/>
      <c r="Q312" s="183"/>
      <c r="R312" s="183"/>
      <c r="S312" s="183"/>
      <c r="T312" s="183"/>
      <c r="U312" s="183"/>
    </row>
    <row r="313" spans="1:21">
      <c r="A313" s="183"/>
      <c r="B313" s="183"/>
      <c r="C313" s="9" t="s">
        <v>4383</v>
      </c>
      <c r="D313" s="9"/>
      <c r="E313" s="9"/>
      <c r="F313" s="9"/>
      <c r="G313" s="183"/>
      <c r="H313" s="183"/>
      <c r="I313" s="183"/>
      <c r="J313" s="183"/>
      <c r="K313" s="183"/>
      <c r="L313" s="183"/>
      <c r="M313" s="183"/>
      <c r="N313" s="183"/>
      <c r="O313" s="183"/>
      <c r="P313" s="183"/>
      <c r="Q313" s="183"/>
      <c r="R313" s="183"/>
      <c r="S313" s="183"/>
      <c r="T313" s="183"/>
      <c r="U313" s="183"/>
    </row>
    <row r="314" spans="1:21">
      <c r="A314" s="183"/>
      <c r="B314" s="183"/>
      <c r="C314" s="183"/>
      <c r="D314" s="183"/>
      <c r="E314" s="183"/>
      <c r="F314" s="183"/>
      <c r="G314" s="183"/>
      <c r="H314" s="183"/>
      <c r="I314" s="183"/>
      <c r="J314" s="183"/>
      <c r="K314" s="183"/>
      <c r="L314" s="183"/>
      <c r="M314" s="183"/>
      <c r="N314" s="183"/>
      <c r="O314" s="183"/>
      <c r="P314" s="183"/>
      <c r="Q314" s="183"/>
      <c r="R314" s="183"/>
      <c r="S314" s="183"/>
      <c r="T314" s="183"/>
      <c r="U314" s="183"/>
    </row>
    <row r="315" spans="1:21">
      <c r="A315" s="183"/>
      <c r="B315" s="183"/>
      <c r="C315" s="183"/>
      <c r="D315" s="183"/>
      <c r="E315" s="183"/>
      <c r="F315" s="183"/>
      <c r="G315" s="183"/>
      <c r="H315" s="183"/>
      <c r="I315" s="183"/>
      <c r="J315" s="183"/>
      <c r="K315" s="183"/>
      <c r="L315" s="183"/>
      <c r="M315" s="183"/>
      <c r="N315" s="183"/>
      <c r="O315" s="183"/>
      <c r="P315" s="183"/>
      <c r="Q315" s="183"/>
      <c r="R315" s="183"/>
      <c r="S315" s="183"/>
      <c r="T315" s="183"/>
      <c r="U315" s="183"/>
    </row>
  </sheetData>
  <mergeCells count="1">
    <mergeCell ref="H4:O5"/>
  </mergeCells>
  <hyperlinks>
    <hyperlink ref="C201" r:id="rId1" xr:uid="{49EB0195-0CCA-493D-8C5D-B000DB5E5E85}"/>
    <hyperlink ref="C207" r:id="rId2" xr:uid="{B90CF977-0E2C-4FE8-B0CB-175D77DA5161}"/>
    <hyperlink ref="C204" r:id="rId3" xr:uid="{7C963A10-D041-4EB3-8F50-A4A9C4E8454B}"/>
    <hyperlink ref="N207" r:id="rId4" xr:uid="{6E96A344-0C0E-46AD-BF7D-96BAE5610DDA}"/>
    <hyperlink ref="D209" r:id="rId5" xr:uid="{5606CCA2-FB6D-4675-AA45-1CA8F5C3BC14}"/>
    <hyperlink ref="D218" r:id="rId6" xr:uid="{E5EC5279-52C5-42C4-8FF4-48CCB3A52237}"/>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DBCA42-9789-4E11-96C1-9CDDE8602E9E}">
  <dimension ref="A1:AA495"/>
  <sheetViews>
    <sheetView zoomScaleNormal="100" workbookViewId="0">
      <selection activeCell="H78" sqref="H78"/>
    </sheetView>
  </sheetViews>
  <sheetFormatPr baseColWidth="10" defaultColWidth="11.42578125" defaultRowHeight="15.75"/>
  <cols>
    <col min="1" max="1" width="6.5703125" style="1578" customWidth="1"/>
    <col min="2" max="2" width="11.42578125" style="1578"/>
    <col min="3" max="3" width="15.5703125" style="1578" customWidth="1"/>
    <col min="4" max="4" width="11.42578125" style="1578"/>
    <col min="5" max="5" width="16.28515625" style="1578" customWidth="1"/>
    <col min="6" max="6" width="13.85546875" style="1578" customWidth="1"/>
    <col min="7" max="7" width="14.7109375" style="1578" customWidth="1"/>
    <col min="8" max="8" width="13.85546875" style="1578" customWidth="1"/>
    <col min="9" max="14" width="11.42578125" style="1578"/>
    <col min="15" max="15" width="19.42578125" style="1578" customWidth="1"/>
    <col min="16" max="17" width="11.42578125" style="1578"/>
    <col min="18" max="18" width="16.42578125" style="1578" customWidth="1"/>
    <col min="19" max="20" width="11.42578125" style="1578"/>
    <col min="21" max="21" width="13.7109375" style="1578" customWidth="1"/>
    <col min="22" max="16384" width="11.42578125" style="1578"/>
  </cols>
  <sheetData>
    <row r="1" spans="1:27">
      <c r="R1" s="871">
        <v>1</v>
      </c>
      <c r="S1" s="871">
        <v>1</v>
      </c>
      <c r="T1" s="871">
        <v>1</v>
      </c>
      <c r="U1" s="871">
        <v>1</v>
      </c>
      <c r="V1" s="871">
        <v>1</v>
      </c>
      <c r="W1" s="871">
        <v>1</v>
      </c>
      <c r="X1" s="871">
        <v>1</v>
      </c>
      <c r="Y1" s="871">
        <v>1</v>
      </c>
      <c r="Z1" s="871">
        <v>1</v>
      </c>
      <c r="AA1" s="871">
        <v>1</v>
      </c>
    </row>
    <row r="2" spans="1:27" s="2072" customFormat="1" ht="33">
      <c r="A2" s="2070">
        <f>(ROW())</f>
        <v>2</v>
      </c>
      <c r="B2" s="5976" t="s">
        <v>8996</v>
      </c>
      <c r="C2" s="5976"/>
      <c r="D2" s="5976"/>
      <c r="E2" s="5976"/>
      <c r="F2" s="5976"/>
      <c r="G2" s="5976"/>
      <c r="H2" s="5976"/>
      <c r="I2" s="5976"/>
      <c r="J2" s="5976"/>
      <c r="K2" s="5976"/>
      <c r="L2" s="5976"/>
      <c r="M2" s="5976"/>
      <c r="N2" s="5976"/>
      <c r="O2" s="5976"/>
      <c r="P2" s="5976"/>
      <c r="Q2" s="5976"/>
      <c r="R2" s="871"/>
      <c r="S2" s="871"/>
      <c r="T2" s="2089" t="s">
        <v>1676</v>
      </c>
      <c r="U2" s="1" t="str">
        <f>AA495</f>
        <v>AA495</v>
      </c>
      <c r="V2" s="871">
        <v>1</v>
      </c>
      <c r="W2" s="871">
        <v>1</v>
      </c>
      <c r="X2" s="871">
        <v>1</v>
      </c>
      <c r="Y2" s="871">
        <v>1</v>
      </c>
      <c r="Z2" s="871">
        <v>1</v>
      </c>
      <c r="AA2" s="871">
        <v>1</v>
      </c>
    </row>
    <row r="3" spans="1:27" s="2072" customFormat="1" ht="15">
      <c r="A3" s="2090"/>
      <c r="B3" s="2091"/>
      <c r="C3" s="2091"/>
      <c r="D3" s="2091"/>
      <c r="E3" s="2091"/>
      <c r="F3" s="2091"/>
      <c r="G3" s="2091"/>
      <c r="H3" s="2090"/>
      <c r="I3" s="2090"/>
      <c r="J3" s="2090"/>
      <c r="K3" s="2090"/>
      <c r="L3" s="2090"/>
      <c r="M3" s="2090"/>
      <c r="N3" s="2090"/>
      <c r="O3" s="2090"/>
      <c r="P3" s="2090"/>
      <c r="Q3" s="2090"/>
      <c r="R3" s="871">
        <v>1</v>
      </c>
      <c r="S3" s="871">
        <v>1</v>
      </c>
      <c r="T3" s="871">
        <v>1</v>
      </c>
      <c r="U3" s="871">
        <v>1</v>
      </c>
      <c r="V3" s="871">
        <v>1</v>
      </c>
      <c r="W3" s="871">
        <v>1</v>
      </c>
      <c r="X3" s="871">
        <v>1</v>
      </c>
      <c r="Y3" s="871">
        <v>1</v>
      </c>
      <c r="Z3" s="871">
        <v>1</v>
      </c>
      <c r="AA3" s="871">
        <v>1</v>
      </c>
    </row>
    <row r="4" spans="1:27" s="2072" customFormat="1" ht="23.25">
      <c r="A4" s="2090"/>
      <c r="B4" s="2091"/>
      <c r="C4" s="2092" t="s">
        <v>8997</v>
      </c>
      <c r="D4" s="2092"/>
      <c r="E4" s="2093"/>
      <c r="F4" s="2093"/>
      <c r="G4" s="2093"/>
      <c r="H4" s="2093"/>
      <c r="I4" s="2090"/>
      <c r="J4" s="2094" t="s">
        <v>8998</v>
      </c>
      <c r="K4" s="2095"/>
      <c r="L4" s="2095"/>
      <c r="M4" s="2095"/>
      <c r="N4" s="2095"/>
      <c r="O4" s="2095"/>
      <c r="P4" s="2090"/>
      <c r="Q4" s="2096" t="str">
        <f ca="1">"Page N°"&amp;_xlfn.SHEET()</f>
        <v>Page N°25</v>
      </c>
      <c r="R4" s="871">
        <v>1</v>
      </c>
      <c r="S4" s="871">
        <v>1</v>
      </c>
      <c r="T4" s="871">
        <v>1</v>
      </c>
      <c r="U4" s="871">
        <v>1</v>
      </c>
      <c r="V4" s="871">
        <v>1</v>
      </c>
      <c r="W4" s="871">
        <v>1</v>
      </c>
      <c r="X4" s="871">
        <v>1</v>
      </c>
      <c r="Y4" s="871">
        <v>1</v>
      </c>
      <c r="Z4" s="871">
        <v>1</v>
      </c>
      <c r="AA4" s="871">
        <v>1</v>
      </c>
    </row>
    <row r="5" spans="1:27" s="2072" customFormat="1" ht="21">
      <c r="A5" s="2090"/>
      <c r="B5" s="2091"/>
      <c r="C5" s="2097" t="str">
        <f>B54</f>
        <v>B54</v>
      </c>
      <c r="D5" s="2098" t="s">
        <v>3529</v>
      </c>
      <c r="E5" s="2093"/>
      <c r="F5" s="2093"/>
      <c r="G5" s="2093"/>
      <c r="H5" s="2093"/>
      <c r="I5" s="2090"/>
      <c r="J5" s="2097" t="str">
        <f>J54</f>
        <v>J54</v>
      </c>
      <c r="K5" s="2098" t="s">
        <v>3529</v>
      </c>
      <c r="L5" s="2099"/>
      <c r="M5" s="2099"/>
      <c r="N5" s="2099"/>
      <c r="O5" s="2099"/>
      <c r="P5" s="2090"/>
      <c r="Q5" s="2090"/>
      <c r="R5" s="871">
        <v>1</v>
      </c>
      <c r="S5" s="871">
        <v>1</v>
      </c>
      <c r="T5" s="871">
        <v>1</v>
      </c>
      <c r="U5" s="871">
        <v>1</v>
      </c>
      <c r="V5" s="871">
        <v>1</v>
      </c>
      <c r="W5" s="871">
        <v>1</v>
      </c>
      <c r="X5" s="871">
        <v>1</v>
      </c>
      <c r="Y5" s="871">
        <v>1</v>
      </c>
      <c r="Z5" s="871">
        <v>1</v>
      </c>
      <c r="AA5" s="871">
        <v>1</v>
      </c>
    </row>
    <row r="6" spans="1:27" s="2072" customFormat="1" ht="18.75">
      <c r="A6" s="2090"/>
      <c r="B6" s="2091"/>
      <c r="E6" s="2099"/>
      <c r="F6" s="2100"/>
      <c r="G6" s="2101"/>
      <c r="H6" s="2101"/>
      <c r="I6" s="2090"/>
      <c r="J6" s="2090"/>
      <c r="K6" s="2090"/>
      <c r="L6" s="2090"/>
      <c r="M6" s="2090"/>
      <c r="N6" s="2090"/>
      <c r="O6" s="2090"/>
      <c r="P6" s="2090"/>
      <c r="Q6" s="2090"/>
      <c r="R6" s="871">
        <v>1</v>
      </c>
      <c r="S6" s="871">
        <v>1</v>
      </c>
      <c r="T6" s="871">
        <v>1</v>
      </c>
      <c r="U6" s="871">
        <v>1</v>
      </c>
      <c r="V6" s="871">
        <v>1</v>
      </c>
      <c r="W6" s="871">
        <v>1</v>
      </c>
      <c r="X6" s="871">
        <v>1</v>
      </c>
      <c r="Y6" s="871">
        <v>1</v>
      </c>
      <c r="Z6" s="871">
        <v>1</v>
      </c>
      <c r="AA6" s="871">
        <v>1</v>
      </c>
    </row>
    <row r="7" spans="1:27" s="2072" customFormat="1" ht="15" customHeight="1">
      <c r="A7" s="2090"/>
      <c r="B7" s="2091"/>
      <c r="C7" s="2092" t="s">
        <v>8999</v>
      </c>
      <c r="D7" s="2093"/>
      <c r="E7" s="2102"/>
      <c r="F7" s="2102"/>
      <c r="G7" s="2092"/>
      <c r="H7" s="2102"/>
      <c r="I7" s="2090"/>
      <c r="J7" s="2092" t="s">
        <v>9000</v>
      </c>
      <c r="K7" s="2103"/>
      <c r="L7" s="2103"/>
      <c r="M7" s="2090"/>
      <c r="N7" s="2090"/>
      <c r="O7" s="2090"/>
      <c r="P7" s="2090"/>
      <c r="Q7" s="2090"/>
      <c r="R7" s="871">
        <v>1</v>
      </c>
      <c r="S7" s="871">
        <v>1</v>
      </c>
      <c r="T7" s="871">
        <v>1</v>
      </c>
      <c r="U7" s="871">
        <v>1</v>
      </c>
      <c r="V7" s="871">
        <v>1</v>
      </c>
      <c r="W7" s="871">
        <v>1</v>
      </c>
      <c r="X7" s="871">
        <v>1</v>
      </c>
      <c r="Y7" s="871">
        <v>1</v>
      </c>
      <c r="Z7" s="871">
        <v>1</v>
      </c>
      <c r="AA7" s="871">
        <v>1</v>
      </c>
    </row>
    <row r="8" spans="1:27" s="2072" customFormat="1" ht="21">
      <c r="A8" s="2090"/>
      <c r="B8" s="2091"/>
      <c r="C8" s="2097" t="str">
        <f>B71</f>
        <v>B71</v>
      </c>
      <c r="D8" s="2098" t="s">
        <v>3529</v>
      </c>
      <c r="E8" s="2099"/>
      <c r="F8" s="2100"/>
      <c r="G8" s="2100"/>
      <c r="H8" s="2100"/>
      <c r="I8" s="2090"/>
      <c r="J8" s="2097" t="str">
        <f>H185</f>
        <v>H185</v>
      </c>
      <c r="K8" s="2098" t="s">
        <v>3529</v>
      </c>
      <c r="L8" s="2099"/>
      <c r="M8" s="2090"/>
      <c r="N8" s="2090"/>
      <c r="O8" s="2090"/>
      <c r="P8" s="2090"/>
      <c r="Q8" s="2090"/>
      <c r="R8" s="871">
        <v>1</v>
      </c>
      <c r="S8" s="871">
        <v>1</v>
      </c>
      <c r="T8" s="871">
        <v>1</v>
      </c>
      <c r="U8" s="871">
        <v>1</v>
      </c>
      <c r="V8" s="871">
        <v>1</v>
      </c>
      <c r="W8" s="871">
        <v>1</v>
      </c>
      <c r="X8" s="871">
        <v>1</v>
      </c>
      <c r="Y8" s="871">
        <v>1</v>
      </c>
      <c r="Z8" s="871">
        <v>1</v>
      </c>
      <c r="AA8" s="871">
        <v>1</v>
      </c>
    </row>
    <row r="9" spans="1:27" s="2072" customFormat="1" ht="18.75">
      <c r="A9" s="2090"/>
      <c r="B9" s="2099"/>
      <c r="C9" s="2099"/>
      <c r="D9" s="2099"/>
      <c r="E9" s="2099"/>
      <c r="F9" s="2100"/>
      <c r="G9" s="2100"/>
      <c r="H9" s="2100"/>
      <c r="I9" s="2090"/>
      <c r="J9" s="2104"/>
      <c r="K9" s="2104"/>
      <c r="L9" s="2099"/>
      <c r="M9" s="2090"/>
      <c r="N9" s="2090"/>
      <c r="O9" s="2090"/>
      <c r="P9" s="2090"/>
      <c r="Q9" s="2090"/>
      <c r="R9" s="871">
        <v>1</v>
      </c>
      <c r="S9" s="871">
        <v>1</v>
      </c>
      <c r="T9" s="871">
        <v>1</v>
      </c>
      <c r="U9" s="871">
        <v>1</v>
      </c>
      <c r="V9" s="871">
        <v>1</v>
      </c>
      <c r="W9" s="871">
        <v>1</v>
      </c>
      <c r="X9" s="871">
        <v>1</v>
      </c>
      <c r="Y9" s="871">
        <v>1</v>
      </c>
      <c r="Z9" s="871">
        <v>1</v>
      </c>
      <c r="AA9" s="871">
        <v>1</v>
      </c>
    </row>
    <row r="10" spans="1:27" s="2072" customFormat="1" ht="30">
      <c r="A10" s="2090"/>
      <c r="B10" s="2091"/>
      <c r="C10" s="2092" t="s">
        <v>9001</v>
      </c>
      <c r="D10" s="2105"/>
      <c r="E10" s="2105"/>
      <c r="F10" s="2092"/>
      <c r="G10" s="2092"/>
      <c r="H10" s="2092"/>
      <c r="I10" s="2092"/>
      <c r="J10" s="2092" t="s">
        <v>9002</v>
      </c>
      <c r="K10" s="2103"/>
      <c r="L10" s="2105"/>
      <c r="M10" s="2105"/>
      <c r="N10" s="2105"/>
      <c r="O10" s="2105"/>
      <c r="P10" s="2105"/>
      <c r="Q10" s="2105"/>
      <c r="R10" s="871">
        <v>1</v>
      </c>
      <c r="S10" s="871">
        <v>1</v>
      </c>
      <c r="T10" s="871">
        <v>1</v>
      </c>
      <c r="U10" s="871">
        <v>1</v>
      </c>
      <c r="V10" s="871">
        <v>1</v>
      </c>
      <c r="W10" s="871">
        <v>1</v>
      </c>
      <c r="X10" s="871">
        <v>1</v>
      </c>
      <c r="Y10" s="871">
        <v>1</v>
      </c>
      <c r="Z10" s="871">
        <v>1</v>
      </c>
      <c r="AA10" s="871">
        <v>1</v>
      </c>
    </row>
    <row r="11" spans="1:27" s="2072" customFormat="1" ht="21">
      <c r="A11" s="2090"/>
      <c r="B11" s="2091"/>
      <c r="C11" s="2097" t="str">
        <f>B101</f>
        <v>B101</v>
      </c>
      <c r="D11" s="2098" t="s">
        <v>3529</v>
      </c>
      <c r="E11" s="2106"/>
      <c r="F11" s="2106"/>
      <c r="G11" s="2106"/>
      <c r="H11" s="2106"/>
      <c r="I11" s="2106"/>
      <c r="J11" s="2097" t="str">
        <f>H200</f>
        <v>H200</v>
      </c>
      <c r="K11" s="2098" t="s">
        <v>3529</v>
      </c>
      <c r="L11" s="2090"/>
      <c r="M11" s="2106"/>
      <c r="N11" s="2106"/>
      <c r="O11" s="2106"/>
      <c r="P11" s="2107"/>
      <c r="Q11" s="2106"/>
      <c r="R11" s="871">
        <v>1</v>
      </c>
      <c r="S11" s="871">
        <v>1</v>
      </c>
      <c r="T11" s="871">
        <v>1</v>
      </c>
      <c r="U11" s="871">
        <v>1</v>
      </c>
      <c r="V11" s="871">
        <v>1</v>
      </c>
      <c r="W11" s="871">
        <v>1</v>
      </c>
      <c r="X11" s="871">
        <v>1</v>
      </c>
      <c r="Y11" s="871">
        <v>1</v>
      </c>
      <c r="Z11" s="871">
        <v>1</v>
      </c>
      <c r="AA11" s="871">
        <v>1</v>
      </c>
    </row>
    <row r="12" spans="1:27" s="2072" customFormat="1" ht="15">
      <c r="A12" s="2090"/>
      <c r="B12" s="2091"/>
      <c r="C12" s="2091"/>
      <c r="D12" s="2091"/>
      <c r="E12" s="2091"/>
      <c r="F12" s="2091"/>
      <c r="G12" s="2091"/>
      <c r="H12" s="2090"/>
      <c r="I12" s="2090"/>
      <c r="J12" s="2090"/>
      <c r="K12" s="2090"/>
      <c r="L12" s="2090"/>
      <c r="M12" s="2090"/>
      <c r="N12" s="2090"/>
      <c r="O12" s="2090"/>
      <c r="P12" s="2090"/>
      <c r="Q12" s="2090"/>
      <c r="R12" s="871">
        <v>1</v>
      </c>
      <c r="S12" s="871">
        <v>1</v>
      </c>
      <c r="T12" s="871">
        <v>1</v>
      </c>
      <c r="U12" s="871">
        <v>1</v>
      </c>
      <c r="V12" s="871">
        <v>1</v>
      </c>
      <c r="W12" s="871">
        <v>1</v>
      </c>
      <c r="X12" s="871">
        <v>1</v>
      </c>
      <c r="Y12" s="871">
        <v>1</v>
      </c>
      <c r="Z12" s="871">
        <v>1</v>
      </c>
      <c r="AA12" s="871">
        <v>1</v>
      </c>
    </row>
    <row r="13" spans="1:27" s="2072" customFormat="1" ht="21">
      <c r="A13" s="2090"/>
      <c r="B13" s="2091"/>
      <c r="C13" s="2092" t="s">
        <v>9003</v>
      </c>
      <c r="D13" s="2108"/>
      <c r="E13" s="2108"/>
      <c r="F13" s="2108"/>
      <c r="G13" s="2108"/>
      <c r="H13" s="2090"/>
      <c r="I13" s="2090"/>
      <c r="J13" s="2092" t="s">
        <v>9004</v>
      </c>
      <c r="K13" s="2103"/>
      <c r="L13" s="2090"/>
      <c r="M13" s="2090"/>
      <c r="N13" s="2090"/>
      <c r="O13" s="2090"/>
      <c r="P13" s="2090"/>
      <c r="Q13" s="2090"/>
      <c r="R13" s="871">
        <v>1</v>
      </c>
      <c r="S13" s="871">
        <v>1</v>
      </c>
      <c r="T13" s="871">
        <v>1</v>
      </c>
      <c r="U13" s="871">
        <v>1</v>
      </c>
      <c r="V13" s="871">
        <v>1</v>
      </c>
      <c r="W13" s="871">
        <v>1</v>
      </c>
      <c r="X13" s="871">
        <v>1</v>
      </c>
      <c r="Y13" s="871">
        <v>1</v>
      </c>
      <c r="Z13" s="871">
        <v>1</v>
      </c>
      <c r="AA13" s="871">
        <v>1</v>
      </c>
    </row>
    <row r="14" spans="1:27" s="2072" customFormat="1" ht="21">
      <c r="A14" s="2090"/>
      <c r="B14" s="2091"/>
      <c r="C14" s="2097" t="str">
        <f>B121</f>
        <v>B121</v>
      </c>
      <c r="D14" s="2098" t="s">
        <v>3529</v>
      </c>
      <c r="E14" s="2109"/>
      <c r="F14" s="2109"/>
      <c r="G14" s="2109"/>
      <c r="H14" s="2090"/>
      <c r="I14" s="2090"/>
      <c r="J14" s="2097" t="str">
        <f>N219</f>
        <v>N219</v>
      </c>
      <c r="K14" s="2098" t="s">
        <v>3529</v>
      </c>
      <c r="L14" s="2090"/>
      <c r="M14" s="2090"/>
      <c r="N14" s="2090"/>
      <c r="O14" s="2090"/>
      <c r="P14" s="2090"/>
      <c r="Q14" s="2090"/>
      <c r="R14" s="871">
        <v>1</v>
      </c>
      <c r="S14" s="871">
        <v>1</v>
      </c>
      <c r="T14" s="871">
        <v>1</v>
      </c>
      <c r="U14" s="871">
        <v>1</v>
      </c>
      <c r="V14" s="871">
        <v>1</v>
      </c>
      <c r="W14" s="871">
        <v>1</v>
      </c>
      <c r="X14" s="871">
        <v>1</v>
      </c>
      <c r="Y14" s="871">
        <v>1</v>
      </c>
      <c r="Z14" s="871">
        <v>1</v>
      </c>
      <c r="AA14" s="871">
        <v>1</v>
      </c>
    </row>
    <row r="15" spans="1:27" s="2072" customFormat="1" ht="20.25">
      <c r="A15" s="2090"/>
      <c r="B15" s="2091"/>
      <c r="C15" s="2091"/>
      <c r="D15" s="2091"/>
      <c r="E15" s="2091"/>
      <c r="F15" s="2091"/>
      <c r="G15" s="2091"/>
      <c r="H15" s="2090"/>
      <c r="I15" s="2090"/>
      <c r="J15" s="2110"/>
      <c r="K15" s="2110"/>
      <c r="L15" s="2090"/>
      <c r="M15" s="2090"/>
      <c r="N15" s="2090"/>
      <c r="O15" s="2090"/>
      <c r="P15" s="2090"/>
      <c r="Q15" s="2090"/>
      <c r="R15" s="871">
        <v>1</v>
      </c>
      <c r="S15" s="871">
        <v>1</v>
      </c>
      <c r="T15" s="871">
        <v>1</v>
      </c>
      <c r="U15" s="871">
        <v>1</v>
      </c>
      <c r="V15" s="871">
        <v>1</v>
      </c>
      <c r="W15" s="871">
        <v>1</v>
      </c>
      <c r="X15" s="871">
        <v>1</v>
      </c>
      <c r="Y15" s="871">
        <v>1</v>
      </c>
      <c r="Z15" s="871">
        <v>1</v>
      </c>
      <c r="AA15" s="871">
        <v>1</v>
      </c>
    </row>
    <row r="16" spans="1:27" s="2072" customFormat="1" ht="21">
      <c r="A16" s="2090"/>
      <c r="B16" s="2091"/>
      <c r="C16" s="2092" t="s">
        <v>9005</v>
      </c>
      <c r="D16" s="2110"/>
      <c r="E16" s="2110"/>
      <c r="F16" s="2110"/>
      <c r="G16" s="2110"/>
      <c r="H16" s="2110"/>
      <c r="I16" s="2110"/>
      <c r="J16" s="2092" t="s">
        <v>9006</v>
      </c>
      <c r="K16" s="2103"/>
      <c r="L16" s="2090"/>
      <c r="M16" s="2110"/>
      <c r="N16" s="2090"/>
      <c r="O16" s="2090"/>
      <c r="P16" s="2090"/>
      <c r="Q16" s="2090"/>
      <c r="R16" s="871">
        <v>1</v>
      </c>
      <c r="S16" s="871">
        <v>1</v>
      </c>
      <c r="T16" s="871">
        <v>1</v>
      </c>
      <c r="U16" s="871">
        <v>1</v>
      </c>
      <c r="V16" s="871">
        <v>1</v>
      </c>
      <c r="W16" s="871">
        <v>1</v>
      </c>
      <c r="X16" s="871">
        <v>1</v>
      </c>
      <c r="Y16" s="871">
        <v>1</v>
      </c>
      <c r="Z16" s="871">
        <v>1</v>
      </c>
      <c r="AA16" s="871">
        <v>1</v>
      </c>
    </row>
    <row r="17" spans="1:27" s="2072" customFormat="1" ht="21">
      <c r="A17" s="2090"/>
      <c r="B17" s="2091"/>
      <c r="C17" s="2097" t="str">
        <f>B136</f>
        <v>B136</v>
      </c>
      <c r="D17" s="2098" t="s">
        <v>3529</v>
      </c>
      <c r="E17" s="2099"/>
      <c r="F17" s="2099"/>
      <c r="G17" s="2099"/>
      <c r="H17" s="2099"/>
      <c r="I17" s="2099"/>
      <c r="J17" s="2097" t="str">
        <f>N231</f>
        <v>N231</v>
      </c>
      <c r="K17" s="2098" t="s">
        <v>3529</v>
      </c>
      <c r="L17" s="2090"/>
      <c r="M17" s="2099"/>
      <c r="N17" s="2090"/>
      <c r="O17" s="2090"/>
      <c r="P17" s="2090"/>
      <c r="Q17" s="2090"/>
      <c r="R17" s="871">
        <v>1</v>
      </c>
      <c r="S17" s="871">
        <v>1</v>
      </c>
      <c r="T17" s="871">
        <v>1</v>
      </c>
      <c r="U17" s="871">
        <v>1</v>
      </c>
      <c r="V17" s="871">
        <v>1</v>
      </c>
      <c r="W17" s="871">
        <v>1</v>
      </c>
      <c r="X17" s="871">
        <v>1</v>
      </c>
      <c r="Y17" s="871">
        <v>1</v>
      </c>
      <c r="Z17" s="871">
        <v>1</v>
      </c>
      <c r="AA17" s="871">
        <v>1</v>
      </c>
    </row>
    <row r="18" spans="1:27" s="2072" customFormat="1" ht="15">
      <c r="A18" s="2090"/>
      <c r="B18" s="2091"/>
      <c r="C18" s="2091"/>
      <c r="D18" s="2091"/>
      <c r="E18" s="2091"/>
      <c r="F18" s="2091"/>
      <c r="G18" s="2091"/>
      <c r="H18" s="2090"/>
      <c r="I18" s="2090"/>
      <c r="J18" s="2090"/>
      <c r="K18" s="2090"/>
      <c r="L18" s="2090"/>
      <c r="M18" s="2090"/>
      <c r="N18" s="2090"/>
      <c r="O18" s="2090"/>
      <c r="P18" s="2090"/>
      <c r="Q18" s="2090"/>
      <c r="R18" s="871">
        <v>1</v>
      </c>
      <c r="S18" s="871">
        <v>1</v>
      </c>
      <c r="T18" s="871">
        <v>1</v>
      </c>
      <c r="U18" s="871">
        <v>1</v>
      </c>
      <c r="V18" s="871">
        <v>1</v>
      </c>
      <c r="W18" s="871">
        <v>1</v>
      </c>
      <c r="X18" s="871">
        <v>1</v>
      </c>
      <c r="Y18" s="871">
        <v>1</v>
      </c>
      <c r="Z18" s="871">
        <v>1</v>
      </c>
      <c r="AA18" s="871">
        <v>1</v>
      </c>
    </row>
    <row r="19" spans="1:27" s="2072" customFormat="1" ht="21">
      <c r="A19" s="2090"/>
      <c r="B19" s="2091"/>
      <c r="C19" s="2092" t="s">
        <v>9007</v>
      </c>
      <c r="D19" s="2091"/>
      <c r="E19" s="2091"/>
      <c r="F19" s="2091"/>
      <c r="G19" s="2091"/>
      <c r="H19" s="2090"/>
      <c r="I19" s="2090"/>
      <c r="J19" s="2092" t="s">
        <v>9008</v>
      </c>
      <c r="K19" s="2103"/>
      <c r="L19" s="2090"/>
      <c r="M19" s="2090"/>
      <c r="N19" s="2090"/>
      <c r="O19" s="2090"/>
      <c r="P19" s="2090"/>
      <c r="Q19" s="2090"/>
      <c r="R19" s="871">
        <v>1</v>
      </c>
      <c r="S19" s="871">
        <v>1</v>
      </c>
      <c r="T19" s="871">
        <v>1</v>
      </c>
      <c r="U19" s="871">
        <v>1</v>
      </c>
      <c r="V19" s="871">
        <v>1</v>
      </c>
      <c r="W19" s="871">
        <v>1</v>
      </c>
      <c r="X19" s="871">
        <v>1</v>
      </c>
      <c r="Y19" s="871">
        <v>1</v>
      </c>
      <c r="Z19" s="871">
        <v>1</v>
      </c>
      <c r="AA19" s="871">
        <v>1</v>
      </c>
    </row>
    <row r="20" spans="1:27" s="2072" customFormat="1" ht="21">
      <c r="A20" s="2090"/>
      <c r="B20" s="2091"/>
      <c r="C20" s="2097" t="str">
        <f>B157</f>
        <v>B157</v>
      </c>
      <c r="D20" s="2098" t="s">
        <v>3529</v>
      </c>
      <c r="E20" s="2091"/>
      <c r="F20" s="2091"/>
      <c r="G20" s="2091"/>
      <c r="H20" s="2090"/>
      <c r="I20" s="2090"/>
      <c r="J20" s="2097" t="str">
        <f>M248</f>
        <v>M248</v>
      </c>
      <c r="K20" s="2098" t="s">
        <v>3529</v>
      </c>
      <c r="L20" s="2090"/>
      <c r="M20" s="2090"/>
      <c r="N20" s="2090"/>
      <c r="O20" s="2090"/>
      <c r="P20" s="2090"/>
      <c r="Q20" s="2090"/>
      <c r="R20" s="871">
        <v>1</v>
      </c>
      <c r="S20" s="871">
        <v>1</v>
      </c>
      <c r="T20" s="871">
        <v>1</v>
      </c>
      <c r="U20" s="871">
        <v>1</v>
      </c>
      <c r="V20" s="871">
        <v>1</v>
      </c>
      <c r="W20" s="871">
        <v>1</v>
      </c>
      <c r="X20" s="871">
        <v>1</v>
      </c>
      <c r="Y20" s="871">
        <v>1</v>
      </c>
      <c r="Z20" s="871">
        <v>1</v>
      </c>
      <c r="AA20" s="871">
        <v>1</v>
      </c>
    </row>
    <row r="21" spans="1:27" s="2072" customFormat="1" ht="15">
      <c r="A21" s="2090"/>
      <c r="B21" s="2091"/>
      <c r="C21" s="2091"/>
      <c r="D21" s="2091"/>
      <c r="E21" s="2091"/>
      <c r="F21" s="2091"/>
      <c r="G21" s="2091"/>
      <c r="H21" s="2090"/>
      <c r="I21" s="2090"/>
      <c r="K21" s="2090"/>
      <c r="L21" s="2090"/>
      <c r="M21" s="2090"/>
      <c r="N21" s="2090"/>
      <c r="O21" s="2090"/>
      <c r="P21" s="2090"/>
      <c r="Q21" s="2090"/>
      <c r="R21" s="871">
        <v>1</v>
      </c>
      <c r="S21" s="871">
        <v>1</v>
      </c>
      <c r="T21" s="871">
        <v>1</v>
      </c>
      <c r="U21" s="871">
        <v>1</v>
      </c>
      <c r="V21" s="871">
        <v>1</v>
      </c>
      <c r="W21" s="871">
        <v>1</v>
      </c>
      <c r="X21" s="871">
        <v>1</v>
      </c>
      <c r="Y21" s="871">
        <v>1</v>
      </c>
      <c r="Z21" s="871">
        <v>1</v>
      </c>
      <c r="AA21" s="871">
        <v>1</v>
      </c>
    </row>
    <row r="22" spans="1:27" s="2072" customFormat="1" ht="21">
      <c r="A22" s="2090"/>
      <c r="B22" s="2091"/>
      <c r="C22" s="2092" t="s">
        <v>9009</v>
      </c>
      <c r="D22" s="2091"/>
      <c r="E22" s="2091"/>
      <c r="F22" s="2091"/>
      <c r="G22" s="2091"/>
      <c r="H22" s="2090"/>
      <c r="I22" s="2090"/>
      <c r="J22" s="2092" t="s">
        <v>9010</v>
      </c>
      <c r="K22" s="2108"/>
      <c r="L22" s="2090"/>
      <c r="M22" s="2090"/>
      <c r="N22" s="2090"/>
      <c r="O22" s="2090"/>
      <c r="P22" s="2090"/>
      <c r="Q22" s="2090"/>
      <c r="R22" s="871">
        <v>1</v>
      </c>
      <c r="S22" s="871">
        <v>1</v>
      </c>
      <c r="T22" s="871">
        <v>1</v>
      </c>
      <c r="U22" s="871">
        <v>1</v>
      </c>
      <c r="V22" s="871">
        <v>1</v>
      </c>
      <c r="W22" s="871">
        <v>1</v>
      </c>
      <c r="X22" s="871">
        <v>1</v>
      </c>
      <c r="Y22" s="871">
        <v>1</v>
      </c>
      <c r="Z22" s="871">
        <v>1</v>
      </c>
      <c r="AA22" s="871">
        <v>1</v>
      </c>
    </row>
    <row r="23" spans="1:27" s="2072" customFormat="1" ht="21">
      <c r="A23" s="2090"/>
      <c r="B23" s="2091"/>
      <c r="C23" s="2097" t="str">
        <f>B170</f>
        <v>B170</v>
      </c>
      <c r="D23" s="2098" t="s">
        <v>3529</v>
      </c>
      <c r="E23" s="2091"/>
      <c r="F23" s="2091"/>
      <c r="G23" s="2091"/>
      <c r="H23" s="2090"/>
      <c r="I23" s="2090"/>
      <c r="J23" s="2097" t="str">
        <f>B356</f>
        <v>B356</v>
      </c>
      <c r="K23" s="2098" t="s">
        <v>3529</v>
      </c>
      <c r="L23" s="2090"/>
      <c r="M23" s="2090"/>
      <c r="N23" s="2090"/>
      <c r="O23" s="2090"/>
      <c r="P23" s="2090"/>
      <c r="Q23" s="2090"/>
      <c r="R23" s="871">
        <v>1</v>
      </c>
      <c r="S23" s="871">
        <v>1</v>
      </c>
      <c r="T23" s="871">
        <v>1</v>
      </c>
      <c r="U23" s="871">
        <v>1</v>
      </c>
      <c r="V23" s="871">
        <v>1</v>
      </c>
      <c r="W23" s="871">
        <v>1</v>
      </c>
      <c r="X23" s="871">
        <v>1</v>
      </c>
      <c r="Y23" s="871">
        <v>1</v>
      </c>
      <c r="Z23" s="871">
        <v>1</v>
      </c>
      <c r="AA23" s="871">
        <v>1</v>
      </c>
    </row>
    <row r="24" spans="1:27" s="2072" customFormat="1" ht="15">
      <c r="A24" s="2090"/>
      <c r="B24" s="2091"/>
      <c r="C24" s="2091"/>
      <c r="D24" s="2091"/>
      <c r="E24" s="2091"/>
      <c r="F24" s="2091"/>
      <c r="G24" s="2091"/>
      <c r="H24" s="2090"/>
      <c r="I24" s="2090"/>
      <c r="J24" s="2091"/>
      <c r="K24" s="2091"/>
      <c r="L24" s="2090"/>
      <c r="M24" s="2090"/>
      <c r="N24" s="2090"/>
      <c r="O24" s="2090"/>
      <c r="P24" s="2090"/>
      <c r="Q24" s="2090"/>
      <c r="R24" s="871">
        <v>1</v>
      </c>
      <c r="S24" s="871">
        <v>1</v>
      </c>
      <c r="T24" s="871">
        <v>1</v>
      </c>
      <c r="U24" s="871">
        <v>1</v>
      </c>
      <c r="V24" s="871">
        <v>1</v>
      </c>
      <c r="W24" s="871">
        <v>1</v>
      </c>
      <c r="X24" s="871">
        <v>1</v>
      </c>
      <c r="Y24" s="871">
        <v>1</v>
      </c>
      <c r="Z24" s="871">
        <v>1</v>
      </c>
      <c r="AA24" s="871">
        <v>1</v>
      </c>
    </row>
    <row r="25" spans="1:27" s="2072" customFormat="1" ht="21">
      <c r="A25" s="2090"/>
      <c r="B25" s="2091"/>
      <c r="C25" s="2092" t="s">
        <v>9000</v>
      </c>
      <c r="D25" s="2103"/>
      <c r="E25" s="2103"/>
      <c r="F25" s="2103"/>
      <c r="G25" s="2091"/>
      <c r="H25" s="2090"/>
      <c r="I25" s="2090"/>
      <c r="J25" s="2092" t="s">
        <v>9011</v>
      </c>
      <c r="K25" s="2108"/>
      <c r="L25" s="2090"/>
      <c r="M25" s="2090"/>
      <c r="N25" s="2090"/>
      <c r="O25" s="2090"/>
      <c r="P25" s="2090"/>
      <c r="Q25" s="2090"/>
      <c r="R25" s="871">
        <v>1</v>
      </c>
      <c r="S25" s="871">
        <v>1</v>
      </c>
      <c r="T25" s="871">
        <v>1</v>
      </c>
      <c r="U25" s="871">
        <v>1</v>
      </c>
      <c r="V25" s="871">
        <v>1</v>
      </c>
      <c r="W25" s="871">
        <v>1</v>
      </c>
      <c r="X25" s="871">
        <v>1</v>
      </c>
      <c r="Y25" s="871">
        <v>1</v>
      </c>
      <c r="Z25" s="871">
        <v>1</v>
      </c>
      <c r="AA25" s="871">
        <v>1</v>
      </c>
    </row>
    <row r="26" spans="1:27" s="2072" customFormat="1" ht="21">
      <c r="A26" s="2090"/>
      <c r="B26" s="2091"/>
      <c r="C26" s="2097" t="str">
        <f>B185</f>
        <v>B185</v>
      </c>
      <c r="D26" s="2098" t="s">
        <v>3529</v>
      </c>
      <c r="E26" s="2099"/>
      <c r="F26" s="2111"/>
      <c r="G26" s="2091"/>
      <c r="H26" s="2090"/>
      <c r="I26" s="2090"/>
      <c r="J26" s="2097" t="str">
        <f>H343</f>
        <v>H343</v>
      </c>
      <c r="K26" s="2098" t="s">
        <v>3529</v>
      </c>
      <c r="L26" s="2090"/>
      <c r="M26" s="2090"/>
      <c r="N26" s="2090"/>
      <c r="O26" s="2090"/>
      <c r="P26" s="2090"/>
      <c r="Q26" s="2090"/>
      <c r="R26" s="871">
        <v>1</v>
      </c>
      <c r="S26" s="871">
        <v>1</v>
      </c>
      <c r="T26" s="871">
        <v>1</v>
      </c>
      <c r="U26" s="871">
        <v>1</v>
      </c>
      <c r="V26" s="871">
        <v>1</v>
      </c>
      <c r="W26" s="871">
        <v>1</v>
      </c>
      <c r="X26" s="871">
        <v>1</v>
      </c>
      <c r="Y26" s="871">
        <v>1</v>
      </c>
      <c r="Z26" s="871">
        <v>1</v>
      </c>
      <c r="AA26" s="871">
        <v>1</v>
      </c>
    </row>
    <row r="27" spans="1:27" s="2072" customFormat="1" ht="15">
      <c r="A27" s="2090"/>
      <c r="B27" s="2091"/>
      <c r="C27" s="2091"/>
      <c r="D27" s="2091"/>
      <c r="E27" s="2091"/>
      <c r="F27" s="2091"/>
      <c r="G27" s="2091"/>
      <c r="H27" s="2090"/>
      <c r="I27" s="2090"/>
      <c r="L27" s="2090"/>
      <c r="M27" s="2090"/>
      <c r="N27" s="2090"/>
      <c r="O27" s="2090"/>
      <c r="P27" s="2090"/>
      <c r="Q27" s="2090"/>
      <c r="R27" s="871">
        <v>1</v>
      </c>
      <c r="S27" s="871">
        <v>1</v>
      </c>
      <c r="T27" s="871">
        <v>1</v>
      </c>
      <c r="U27" s="871">
        <v>1</v>
      </c>
      <c r="V27" s="871">
        <v>1</v>
      </c>
      <c r="W27" s="871">
        <v>1</v>
      </c>
      <c r="X27" s="871">
        <v>1</v>
      </c>
      <c r="Y27" s="871">
        <v>1</v>
      </c>
      <c r="Z27" s="871">
        <v>1</v>
      </c>
      <c r="AA27" s="871">
        <v>1</v>
      </c>
    </row>
    <row r="28" spans="1:27" s="2072" customFormat="1" ht="21">
      <c r="A28" s="2090"/>
      <c r="B28" s="2091"/>
      <c r="C28" s="2092" t="s">
        <v>9002</v>
      </c>
      <c r="D28" s="2103"/>
      <c r="E28" s="2103"/>
      <c r="F28" s="2091"/>
      <c r="G28" s="2091"/>
      <c r="H28" s="2090"/>
      <c r="I28" s="2090"/>
      <c r="J28" s="2092" t="s">
        <v>9012</v>
      </c>
      <c r="K28" s="2108"/>
      <c r="L28" s="2108"/>
      <c r="M28" s="2108"/>
      <c r="N28" s="2108"/>
      <c r="O28" s="2090"/>
      <c r="P28" s="2090"/>
      <c r="Q28" s="2090"/>
      <c r="R28" s="871">
        <v>1</v>
      </c>
      <c r="S28" s="871">
        <v>1</v>
      </c>
      <c r="T28" s="871">
        <v>1</v>
      </c>
      <c r="U28" s="871">
        <v>1</v>
      </c>
      <c r="V28" s="871">
        <v>1</v>
      </c>
      <c r="W28" s="871">
        <v>1</v>
      </c>
      <c r="X28" s="871">
        <v>1</v>
      </c>
      <c r="Y28" s="871">
        <v>1</v>
      </c>
      <c r="Z28" s="871">
        <v>1</v>
      </c>
      <c r="AA28" s="871">
        <v>1</v>
      </c>
    </row>
    <row r="29" spans="1:27" s="2072" customFormat="1" ht="21">
      <c r="A29" s="2090"/>
      <c r="B29" s="2091"/>
      <c r="C29" s="2097" t="str">
        <f>B200</f>
        <v>B200</v>
      </c>
      <c r="D29" s="2098" t="s">
        <v>3529</v>
      </c>
      <c r="E29" s="2099"/>
      <c r="F29" s="2091"/>
      <c r="G29" s="2091"/>
      <c r="H29" s="2090"/>
      <c r="I29" s="2090"/>
      <c r="J29" s="2097" t="str">
        <f>B383</f>
        <v>B383</v>
      </c>
      <c r="K29" s="2098" t="s">
        <v>3529</v>
      </c>
      <c r="L29" s="2109"/>
      <c r="M29" s="2109"/>
      <c r="N29" s="2109"/>
      <c r="O29" s="2090"/>
      <c r="P29" s="2090"/>
      <c r="Q29" s="2090"/>
      <c r="R29" s="871">
        <v>1</v>
      </c>
      <c r="S29" s="871">
        <v>1</v>
      </c>
      <c r="T29" s="871">
        <v>1</v>
      </c>
      <c r="U29" s="871">
        <v>1</v>
      </c>
      <c r="V29" s="871">
        <v>1</v>
      </c>
      <c r="W29" s="871">
        <v>1</v>
      </c>
      <c r="X29" s="871">
        <v>1</v>
      </c>
      <c r="Y29" s="871">
        <v>1</v>
      </c>
      <c r="Z29" s="871">
        <v>1</v>
      </c>
      <c r="AA29" s="871">
        <v>1</v>
      </c>
    </row>
    <row r="30" spans="1:27" s="2072" customFormat="1" ht="18.75">
      <c r="A30" s="2090"/>
      <c r="B30" s="2091"/>
      <c r="C30" s="2091"/>
      <c r="D30" s="2091"/>
      <c r="E30" s="2091"/>
      <c r="F30" s="2091"/>
      <c r="G30" s="2091"/>
      <c r="H30" s="2090"/>
      <c r="I30" s="2090"/>
      <c r="J30" s="2091"/>
      <c r="K30" s="2091"/>
      <c r="L30" s="2091"/>
      <c r="M30" s="2090"/>
      <c r="N30" s="2109"/>
      <c r="O30" s="2109"/>
      <c r="P30" s="2090"/>
      <c r="Q30" s="2090"/>
      <c r="R30" s="871">
        <v>1</v>
      </c>
      <c r="S30" s="871">
        <v>1</v>
      </c>
      <c r="T30" s="871">
        <v>1</v>
      </c>
      <c r="U30" s="871">
        <v>1</v>
      </c>
      <c r="V30" s="871">
        <v>1</v>
      </c>
      <c r="W30" s="871">
        <v>1</v>
      </c>
      <c r="X30" s="871">
        <v>1</v>
      </c>
      <c r="Y30" s="871">
        <v>1</v>
      </c>
      <c r="Z30" s="871">
        <v>1</v>
      </c>
      <c r="AA30" s="871">
        <v>1</v>
      </c>
    </row>
    <row r="31" spans="1:27" s="2072" customFormat="1" ht="21">
      <c r="A31" s="2090"/>
      <c r="B31" s="2091"/>
      <c r="C31" s="2092" t="s">
        <v>9001</v>
      </c>
      <c r="D31" s="2091"/>
      <c r="E31" s="2091"/>
      <c r="F31" s="2091"/>
      <c r="G31" s="2091"/>
      <c r="H31" s="2090"/>
      <c r="I31" s="2090"/>
      <c r="J31" s="2092" t="s">
        <v>9013</v>
      </c>
      <c r="K31" s="2108"/>
      <c r="L31" s="2108"/>
      <c r="M31" s="2108"/>
      <c r="N31" s="2109"/>
      <c r="O31" s="2109"/>
      <c r="P31" s="2090"/>
      <c r="Q31" s="2090"/>
      <c r="R31" s="871">
        <v>1</v>
      </c>
      <c r="S31" s="871">
        <v>1</v>
      </c>
      <c r="T31" s="871">
        <v>1</v>
      </c>
      <c r="U31" s="871">
        <v>1</v>
      </c>
      <c r="V31" s="871">
        <v>1</v>
      </c>
      <c r="W31" s="871">
        <v>1</v>
      </c>
      <c r="X31" s="871">
        <v>1</v>
      </c>
      <c r="Y31" s="871">
        <v>1</v>
      </c>
      <c r="Z31" s="871">
        <v>1</v>
      </c>
      <c r="AA31" s="871">
        <v>1</v>
      </c>
    </row>
    <row r="32" spans="1:27" s="2072" customFormat="1" ht="21">
      <c r="A32" s="2090"/>
      <c r="B32" s="2091"/>
      <c r="C32" s="2097" t="str">
        <f>B219</f>
        <v>B219</v>
      </c>
      <c r="D32" s="2098" t="s">
        <v>3529</v>
      </c>
      <c r="E32" s="2091"/>
      <c r="F32" s="2091"/>
      <c r="G32" s="2091"/>
      <c r="H32" s="2090"/>
      <c r="I32" s="2090"/>
      <c r="J32" s="2097" t="str">
        <f>B403</f>
        <v>B403</v>
      </c>
      <c r="K32" s="2098" t="s">
        <v>3529</v>
      </c>
      <c r="L32" s="2109"/>
      <c r="M32" s="2109"/>
      <c r="N32" s="2109"/>
      <c r="O32" s="2090"/>
      <c r="P32" s="2090"/>
      <c r="Q32" s="2090"/>
      <c r="R32" s="871">
        <v>1</v>
      </c>
      <c r="S32" s="871">
        <v>1</v>
      </c>
      <c r="T32" s="871">
        <v>1</v>
      </c>
      <c r="U32" s="871">
        <v>1</v>
      </c>
      <c r="V32" s="871">
        <v>1</v>
      </c>
      <c r="W32" s="871">
        <v>1</v>
      </c>
      <c r="X32" s="871">
        <v>1</v>
      </c>
      <c r="Y32" s="871">
        <v>1</v>
      </c>
      <c r="Z32" s="871">
        <v>1</v>
      </c>
      <c r="AA32" s="871">
        <v>1</v>
      </c>
    </row>
    <row r="33" spans="1:27" s="2072" customFormat="1" ht="15">
      <c r="A33" s="2090"/>
      <c r="B33" s="2091"/>
      <c r="C33" s="2091"/>
      <c r="D33" s="2091"/>
      <c r="E33" s="2091"/>
      <c r="F33" s="2091"/>
      <c r="G33" s="2091"/>
      <c r="H33" s="2090"/>
      <c r="I33" s="2090"/>
      <c r="J33" s="2091"/>
      <c r="K33" s="2091"/>
      <c r="L33" s="2091"/>
      <c r="M33" s="2090"/>
      <c r="N33" s="2090"/>
      <c r="O33" s="2090"/>
      <c r="P33" s="2090"/>
      <c r="Q33" s="2090"/>
      <c r="R33" s="871">
        <v>1</v>
      </c>
      <c r="S33" s="871">
        <v>1</v>
      </c>
      <c r="T33" s="871">
        <v>1</v>
      </c>
      <c r="U33" s="871">
        <v>1</v>
      </c>
      <c r="V33" s="871">
        <v>1</v>
      </c>
      <c r="W33" s="871">
        <v>1</v>
      </c>
      <c r="X33" s="871">
        <v>1</v>
      </c>
      <c r="Y33" s="871">
        <v>1</v>
      </c>
      <c r="Z33" s="871">
        <v>1</v>
      </c>
      <c r="AA33" s="871">
        <v>1</v>
      </c>
    </row>
    <row r="34" spans="1:27" s="2072" customFormat="1" ht="21">
      <c r="A34" s="2090"/>
      <c r="B34" s="2091"/>
      <c r="C34" s="2092" t="s">
        <v>9014</v>
      </c>
      <c r="D34" s="2108"/>
      <c r="E34" s="2108"/>
      <c r="F34" s="2108"/>
      <c r="G34" s="2108"/>
      <c r="H34" s="2090"/>
      <c r="I34" s="2090"/>
      <c r="J34" s="2092" t="s">
        <v>9015</v>
      </c>
      <c r="K34" s="2108"/>
      <c r="L34" s="2108"/>
      <c r="M34" s="2108"/>
      <c r="N34" s="2108"/>
      <c r="O34" s="2090"/>
      <c r="P34" s="2090"/>
      <c r="Q34" s="2090"/>
      <c r="R34" s="871">
        <v>1</v>
      </c>
      <c r="S34" s="871">
        <v>1</v>
      </c>
      <c r="T34" s="871">
        <v>1</v>
      </c>
      <c r="U34" s="871">
        <v>1</v>
      </c>
      <c r="V34" s="871">
        <v>1</v>
      </c>
      <c r="W34" s="871">
        <v>1</v>
      </c>
      <c r="X34" s="871">
        <v>1</v>
      </c>
      <c r="Y34" s="871">
        <v>1</v>
      </c>
      <c r="Z34" s="871">
        <v>1</v>
      </c>
      <c r="AA34" s="871">
        <v>1</v>
      </c>
    </row>
    <row r="35" spans="1:27" s="2072" customFormat="1" ht="21">
      <c r="A35" s="2090"/>
      <c r="B35" s="2091"/>
      <c r="C35" s="2097" t="str">
        <f>B239</f>
        <v>B239</v>
      </c>
      <c r="D35" s="2098" t="s">
        <v>3529</v>
      </c>
      <c r="E35" s="2109"/>
      <c r="F35" s="2109"/>
      <c r="G35" s="2109"/>
      <c r="H35" s="2090"/>
      <c r="I35" s="2090"/>
      <c r="J35" s="2097" t="str">
        <f>B417</f>
        <v>B417</v>
      </c>
      <c r="K35" s="2098" t="s">
        <v>3529</v>
      </c>
      <c r="L35" s="2109"/>
      <c r="M35" s="2109"/>
      <c r="N35" s="2109"/>
      <c r="O35" s="2090"/>
      <c r="P35" s="2090"/>
      <c r="Q35" s="2090"/>
      <c r="R35" s="871">
        <v>1</v>
      </c>
      <c r="S35" s="871">
        <v>1</v>
      </c>
      <c r="T35" s="871">
        <v>1</v>
      </c>
      <c r="U35" s="871">
        <v>1</v>
      </c>
      <c r="V35" s="871">
        <v>1</v>
      </c>
      <c r="W35" s="871">
        <v>1</v>
      </c>
      <c r="X35" s="871">
        <v>1</v>
      </c>
      <c r="Y35" s="871">
        <v>1</v>
      </c>
      <c r="Z35" s="871">
        <v>1</v>
      </c>
      <c r="AA35" s="871">
        <v>1</v>
      </c>
    </row>
    <row r="36" spans="1:27" s="2072" customFormat="1" ht="15">
      <c r="A36" s="2090"/>
      <c r="B36" s="2091"/>
      <c r="C36" s="2091"/>
      <c r="D36" s="2091"/>
      <c r="E36" s="2091"/>
      <c r="F36" s="2091"/>
      <c r="G36" s="2091"/>
      <c r="H36" s="2090"/>
      <c r="I36" s="2090"/>
      <c r="J36" s="2091"/>
      <c r="K36" s="2091"/>
      <c r="L36" s="2091"/>
      <c r="M36" s="2090"/>
      <c r="N36" s="2090"/>
      <c r="O36" s="2090"/>
      <c r="P36" s="2090"/>
      <c r="Q36" s="2090"/>
      <c r="R36" s="871">
        <v>1</v>
      </c>
      <c r="S36" s="871">
        <v>1</v>
      </c>
      <c r="T36" s="871">
        <v>1</v>
      </c>
      <c r="U36" s="871">
        <v>1</v>
      </c>
      <c r="V36" s="871">
        <v>1</v>
      </c>
      <c r="W36" s="871">
        <v>1</v>
      </c>
      <c r="X36" s="871">
        <v>1</v>
      </c>
      <c r="Y36" s="871">
        <v>1</v>
      </c>
      <c r="Z36" s="871">
        <v>1</v>
      </c>
      <c r="AA36" s="871">
        <v>1</v>
      </c>
    </row>
    <row r="37" spans="1:27" s="2072" customFormat="1" ht="21">
      <c r="A37" s="2090"/>
      <c r="B37" s="2091"/>
      <c r="C37" s="2092" t="s">
        <v>9016</v>
      </c>
      <c r="D37" s="2108"/>
      <c r="E37" s="2108"/>
      <c r="F37" s="2108"/>
      <c r="G37" s="2108"/>
      <c r="H37" s="2090"/>
      <c r="I37" s="2090"/>
      <c r="J37" s="2092" t="s">
        <v>9017</v>
      </c>
      <c r="K37" s="2108"/>
      <c r="L37" s="2108"/>
      <c r="M37" s="2108"/>
      <c r="N37" s="2108"/>
      <c r="O37" s="2090"/>
      <c r="P37" s="2090"/>
      <c r="Q37" s="2090"/>
      <c r="R37" s="871">
        <v>1</v>
      </c>
      <c r="S37" s="871">
        <v>1</v>
      </c>
      <c r="T37" s="871">
        <v>1</v>
      </c>
      <c r="U37" s="871">
        <v>1</v>
      </c>
      <c r="V37" s="871">
        <v>1</v>
      </c>
      <c r="W37" s="871">
        <v>1</v>
      </c>
      <c r="X37" s="871">
        <v>1</v>
      </c>
      <c r="Y37" s="871">
        <v>1</v>
      </c>
      <c r="Z37" s="871">
        <v>1</v>
      </c>
      <c r="AA37" s="871">
        <v>1</v>
      </c>
    </row>
    <row r="38" spans="1:27" s="2072" customFormat="1" ht="21">
      <c r="A38" s="2090"/>
      <c r="B38" s="2091"/>
      <c r="C38" s="2097" t="str">
        <f>B248</f>
        <v>B248</v>
      </c>
      <c r="D38" s="2098" t="s">
        <v>3529</v>
      </c>
      <c r="E38" s="2109"/>
      <c r="F38" s="2109"/>
      <c r="G38" s="2109"/>
      <c r="H38" s="2090"/>
      <c r="I38" s="2090"/>
      <c r="J38" s="2097" t="str">
        <f>B447</f>
        <v>B447</v>
      </c>
      <c r="K38" s="2098" t="s">
        <v>3529</v>
      </c>
      <c r="L38" s="2109"/>
      <c r="M38" s="2109"/>
      <c r="N38" s="2109"/>
      <c r="O38" s="2090"/>
      <c r="P38" s="2090"/>
      <c r="Q38" s="2090"/>
      <c r="R38" s="871">
        <v>1</v>
      </c>
      <c r="S38" s="871">
        <v>1</v>
      </c>
      <c r="T38" s="871">
        <v>1</v>
      </c>
      <c r="U38" s="871">
        <v>1</v>
      </c>
      <c r="V38" s="871">
        <v>1</v>
      </c>
      <c r="W38" s="871">
        <v>1</v>
      </c>
      <c r="X38" s="871">
        <v>1</v>
      </c>
      <c r="Y38" s="871">
        <v>1</v>
      </c>
      <c r="Z38" s="871">
        <v>1</v>
      </c>
      <c r="AA38" s="871">
        <v>1</v>
      </c>
    </row>
    <row r="39" spans="1:27" s="2072" customFormat="1" ht="15">
      <c r="A39" s="2090"/>
      <c r="B39" s="2091"/>
      <c r="C39" s="2091"/>
      <c r="D39" s="2091"/>
      <c r="E39" s="2091"/>
      <c r="F39" s="2091"/>
      <c r="G39" s="2091"/>
      <c r="H39" s="2090"/>
      <c r="I39" s="2090"/>
      <c r="J39" s="2091"/>
      <c r="K39" s="2091"/>
      <c r="L39" s="2091"/>
      <c r="M39" s="2090"/>
      <c r="N39" s="2090"/>
      <c r="O39" s="2090"/>
      <c r="P39" s="2090"/>
      <c r="Q39" s="2090"/>
      <c r="R39" s="871">
        <v>1</v>
      </c>
      <c r="S39" s="871">
        <v>1</v>
      </c>
      <c r="T39" s="871">
        <v>1</v>
      </c>
      <c r="U39" s="871">
        <v>1</v>
      </c>
      <c r="V39" s="871">
        <v>1</v>
      </c>
      <c r="W39" s="871">
        <v>1</v>
      </c>
      <c r="X39" s="871">
        <v>1</v>
      </c>
      <c r="Y39" s="871">
        <v>1</v>
      </c>
      <c r="Z39" s="871">
        <v>1</v>
      </c>
      <c r="AA39" s="871">
        <v>1</v>
      </c>
    </row>
    <row r="40" spans="1:27" s="2072" customFormat="1" ht="21">
      <c r="A40" s="2090"/>
      <c r="B40" s="2091"/>
      <c r="C40" s="2092" t="s">
        <v>9018</v>
      </c>
      <c r="D40" s="2108"/>
      <c r="E40" s="2108"/>
      <c r="F40" s="2108"/>
      <c r="G40" s="2108"/>
      <c r="H40" s="2090"/>
      <c r="I40" s="2090"/>
      <c r="J40" s="2092" t="s">
        <v>9019</v>
      </c>
      <c r="K40" s="2108"/>
      <c r="L40" s="2108"/>
      <c r="M40" s="2108"/>
      <c r="N40" s="2108"/>
      <c r="O40" s="2090"/>
      <c r="P40" s="2090"/>
      <c r="Q40" s="2090"/>
      <c r="R40" s="871">
        <v>1</v>
      </c>
      <c r="S40" s="871">
        <v>1</v>
      </c>
      <c r="T40" s="871">
        <v>1</v>
      </c>
      <c r="U40" s="871">
        <v>1</v>
      </c>
      <c r="V40" s="871">
        <v>1</v>
      </c>
      <c r="W40" s="871">
        <v>1</v>
      </c>
      <c r="X40" s="871">
        <v>1</v>
      </c>
      <c r="Y40" s="871">
        <v>1</v>
      </c>
      <c r="Z40" s="871">
        <v>1</v>
      </c>
      <c r="AA40" s="871">
        <v>1</v>
      </c>
    </row>
    <row r="41" spans="1:27" s="2072" customFormat="1" ht="21">
      <c r="A41" s="2090"/>
      <c r="B41" s="2091"/>
      <c r="C41" s="2097" t="str">
        <f>B276</f>
        <v>B276</v>
      </c>
      <c r="D41" s="2098" t="s">
        <v>3529</v>
      </c>
      <c r="E41" s="2109"/>
      <c r="F41" s="2109"/>
      <c r="G41" s="2109"/>
      <c r="H41" s="2090"/>
      <c r="I41" s="2090"/>
      <c r="J41" s="2097" t="str">
        <f>B480</f>
        <v>B480</v>
      </c>
      <c r="K41" s="2098" t="s">
        <v>3529</v>
      </c>
      <c r="L41" s="2109"/>
      <c r="M41" s="2109"/>
      <c r="N41" s="2109"/>
      <c r="O41" s="2090"/>
      <c r="P41" s="2090"/>
      <c r="Q41" s="2090"/>
      <c r="R41" s="871">
        <v>1</v>
      </c>
      <c r="S41" s="871">
        <v>1</v>
      </c>
      <c r="T41" s="871">
        <v>1</v>
      </c>
      <c r="U41" s="871">
        <v>1</v>
      </c>
      <c r="V41" s="871">
        <v>1</v>
      </c>
      <c r="W41" s="871">
        <v>1</v>
      </c>
      <c r="X41" s="871">
        <v>1</v>
      </c>
      <c r="Y41" s="871">
        <v>1</v>
      </c>
      <c r="Z41" s="871">
        <v>1</v>
      </c>
      <c r="AA41" s="871">
        <v>1</v>
      </c>
    </row>
    <row r="42" spans="1:27" s="2072" customFormat="1" ht="15">
      <c r="A42" s="2090"/>
      <c r="B42" s="2091"/>
      <c r="D42" s="2090"/>
      <c r="E42" s="2090"/>
      <c r="F42" s="2091"/>
      <c r="G42" s="2091"/>
      <c r="H42" s="2090"/>
      <c r="I42" s="2090"/>
      <c r="J42" s="2090"/>
      <c r="K42" s="2090"/>
      <c r="L42" s="2091"/>
      <c r="M42" s="2090"/>
      <c r="N42" s="2090"/>
      <c r="O42" s="2090"/>
      <c r="P42" s="2090"/>
      <c r="Q42" s="2090"/>
      <c r="R42" s="871">
        <v>1</v>
      </c>
      <c r="S42" s="871">
        <v>1</v>
      </c>
      <c r="T42" s="871">
        <v>1</v>
      </c>
      <c r="U42" s="871">
        <v>1</v>
      </c>
      <c r="V42" s="871">
        <v>1</v>
      </c>
      <c r="W42" s="871">
        <v>1</v>
      </c>
      <c r="X42" s="871">
        <v>1</v>
      </c>
      <c r="Y42" s="871">
        <v>1</v>
      </c>
      <c r="Z42" s="871">
        <v>1</v>
      </c>
      <c r="AA42" s="871">
        <v>1</v>
      </c>
    </row>
    <row r="43" spans="1:27" s="2072" customFormat="1" ht="21">
      <c r="A43" s="2090"/>
      <c r="B43" s="2091"/>
      <c r="C43" s="2092" t="s">
        <v>9020</v>
      </c>
      <c r="D43" s="2108"/>
      <c r="E43" s="2108"/>
      <c r="F43" s="2108"/>
      <c r="G43" s="2108"/>
      <c r="H43" s="2090"/>
      <c r="I43" s="2090"/>
      <c r="J43" s="2090"/>
      <c r="K43" s="2090"/>
      <c r="L43" s="2108"/>
      <c r="M43" s="2108"/>
      <c r="N43" s="2108"/>
      <c r="O43" s="2090"/>
      <c r="P43" s="2090"/>
      <c r="Q43" s="2090"/>
      <c r="R43" s="871">
        <v>1</v>
      </c>
      <c r="S43" s="871">
        <v>1</v>
      </c>
      <c r="T43" s="871">
        <v>1</v>
      </c>
      <c r="U43" s="871">
        <v>1</v>
      </c>
      <c r="V43" s="871">
        <v>1</v>
      </c>
      <c r="W43" s="871">
        <v>1</v>
      </c>
      <c r="X43" s="871">
        <v>1</v>
      </c>
      <c r="Y43" s="871">
        <v>1</v>
      </c>
      <c r="Z43" s="871">
        <v>1</v>
      </c>
      <c r="AA43" s="871">
        <v>1</v>
      </c>
    </row>
    <row r="44" spans="1:27" s="2072" customFormat="1" ht="21">
      <c r="A44" s="2090"/>
      <c r="B44" s="2091"/>
      <c r="C44" s="2097" t="str">
        <f>B306</f>
        <v>B306</v>
      </c>
      <c r="D44" s="2098" t="s">
        <v>3529</v>
      </c>
      <c r="E44" s="2109"/>
      <c r="F44" s="2109"/>
      <c r="G44" s="2109"/>
      <c r="H44" s="2090"/>
      <c r="I44" s="2090"/>
      <c r="J44" s="2090"/>
      <c r="K44" s="2090"/>
      <c r="L44" s="2109"/>
      <c r="M44" s="2109"/>
      <c r="N44" s="2109"/>
      <c r="O44" s="2090"/>
      <c r="P44" s="2090"/>
      <c r="Q44" s="2090"/>
      <c r="R44" s="871">
        <v>1</v>
      </c>
      <c r="S44" s="871">
        <v>1</v>
      </c>
      <c r="T44" s="871">
        <v>1</v>
      </c>
      <c r="U44" s="871">
        <v>1</v>
      </c>
      <c r="V44" s="871">
        <v>1</v>
      </c>
      <c r="W44" s="871">
        <v>1</v>
      </c>
      <c r="X44" s="871">
        <v>1</v>
      </c>
      <c r="Y44" s="871">
        <v>1</v>
      </c>
      <c r="Z44" s="871">
        <v>1</v>
      </c>
      <c r="AA44" s="871">
        <v>1</v>
      </c>
    </row>
    <row r="45" spans="1:27" s="2072" customFormat="1" ht="15">
      <c r="A45" s="2090"/>
      <c r="B45" s="2091"/>
      <c r="C45" s="2091"/>
      <c r="D45" s="2091"/>
      <c r="E45" s="2091"/>
      <c r="F45" s="2091"/>
      <c r="G45" s="2091"/>
      <c r="H45" s="2090"/>
      <c r="I45" s="2090"/>
      <c r="J45" s="2090"/>
      <c r="K45" s="2090"/>
      <c r="L45" s="2090"/>
      <c r="M45" s="2090"/>
      <c r="N45" s="2090"/>
      <c r="O45" s="2090"/>
      <c r="P45" s="2090"/>
      <c r="Q45" s="2090"/>
      <c r="R45" s="871">
        <v>1</v>
      </c>
      <c r="S45" s="871">
        <v>1</v>
      </c>
      <c r="T45" s="871">
        <v>1</v>
      </c>
      <c r="U45" s="871">
        <v>1</v>
      </c>
      <c r="V45" s="871">
        <v>1</v>
      </c>
      <c r="W45" s="871">
        <v>1</v>
      </c>
      <c r="X45" s="871">
        <v>1</v>
      </c>
      <c r="Y45" s="871">
        <v>1</v>
      </c>
      <c r="Z45" s="871">
        <v>1</v>
      </c>
      <c r="AA45" s="871">
        <v>1</v>
      </c>
    </row>
    <row r="46" spans="1:27" s="2072" customFormat="1" ht="21">
      <c r="A46" s="2090"/>
      <c r="B46" s="2091"/>
      <c r="C46" s="2092" t="s">
        <v>9021</v>
      </c>
      <c r="D46" s="2108"/>
      <c r="E46" s="2108"/>
      <c r="F46" s="2108"/>
      <c r="G46" s="2108"/>
      <c r="H46" s="2090"/>
      <c r="I46" s="2090"/>
      <c r="J46" s="2090"/>
      <c r="K46" s="2090"/>
      <c r="L46" s="2090"/>
      <c r="M46" s="2090"/>
      <c r="N46" s="2090"/>
      <c r="O46" s="2090"/>
      <c r="P46" s="2090"/>
      <c r="Q46" s="2090"/>
      <c r="R46" s="871">
        <v>1</v>
      </c>
      <c r="S46" s="871">
        <v>1</v>
      </c>
      <c r="T46" s="871">
        <v>1</v>
      </c>
      <c r="U46" s="871">
        <v>1</v>
      </c>
      <c r="V46" s="871">
        <v>1</v>
      </c>
      <c r="W46" s="871">
        <v>1</v>
      </c>
      <c r="X46" s="871">
        <v>1</v>
      </c>
      <c r="Y46" s="871">
        <v>1</v>
      </c>
      <c r="Z46" s="871">
        <v>1</v>
      </c>
      <c r="AA46" s="871">
        <v>1</v>
      </c>
    </row>
    <row r="47" spans="1:27" s="2072" customFormat="1" ht="21">
      <c r="A47" s="2090"/>
      <c r="B47" s="2091"/>
      <c r="C47" s="2097" t="str">
        <f>B343</f>
        <v>B343</v>
      </c>
      <c r="D47" s="2098" t="s">
        <v>3529</v>
      </c>
      <c r="E47" s="2109"/>
      <c r="F47" s="2109"/>
      <c r="G47" s="2109"/>
      <c r="H47" s="2090"/>
      <c r="I47" s="2090"/>
      <c r="J47" s="2090"/>
      <c r="K47" s="2090"/>
      <c r="L47" s="2090"/>
      <c r="M47" s="2090"/>
      <c r="N47" s="2090"/>
      <c r="O47" s="2090"/>
      <c r="P47" s="2090"/>
      <c r="Q47" s="2090"/>
      <c r="R47" s="871">
        <v>1</v>
      </c>
      <c r="S47" s="871">
        <v>1</v>
      </c>
      <c r="T47" s="871">
        <v>1</v>
      </c>
      <c r="U47" s="871">
        <v>1</v>
      </c>
      <c r="V47" s="871">
        <v>1</v>
      </c>
      <c r="W47" s="871">
        <v>1</v>
      </c>
      <c r="X47" s="871">
        <v>1</v>
      </c>
      <c r="Y47" s="871">
        <v>1</v>
      </c>
      <c r="Z47" s="871">
        <v>1</v>
      </c>
      <c r="AA47" s="871">
        <v>1</v>
      </c>
    </row>
    <row r="48" spans="1:27" s="2072" customFormat="1" ht="15">
      <c r="A48" s="2090"/>
      <c r="B48" s="2091"/>
      <c r="C48" s="2091"/>
      <c r="D48" s="2091"/>
      <c r="E48" s="2091"/>
      <c r="F48" s="2091"/>
      <c r="G48" s="2091"/>
      <c r="H48" s="2090"/>
      <c r="I48" s="2090"/>
      <c r="J48" s="2090"/>
      <c r="K48" s="2090"/>
      <c r="L48" s="2090"/>
      <c r="M48" s="2090"/>
      <c r="N48" s="2090"/>
      <c r="O48" s="2090"/>
      <c r="P48" s="2090"/>
      <c r="Q48" s="2090"/>
      <c r="R48" s="871">
        <v>1</v>
      </c>
      <c r="S48" s="871">
        <v>1</v>
      </c>
      <c r="T48" s="871">
        <v>1</v>
      </c>
      <c r="U48" s="871">
        <v>1</v>
      </c>
      <c r="V48" s="871">
        <v>1</v>
      </c>
      <c r="W48" s="871">
        <v>1</v>
      </c>
      <c r="X48" s="871">
        <v>1</v>
      </c>
      <c r="Y48" s="871">
        <v>1</v>
      </c>
      <c r="Z48" s="871">
        <v>1</v>
      </c>
      <c r="AA48" s="871">
        <v>1</v>
      </c>
    </row>
    <row r="49" spans="1:27" s="2072" customFormat="1" ht="27" customHeight="1">
      <c r="A49" s="2112" t="s">
        <v>167</v>
      </c>
      <c r="B49" s="5977" t="s">
        <v>9022</v>
      </c>
      <c r="C49" s="5977"/>
      <c r="D49" s="5977"/>
      <c r="E49" s="5977"/>
      <c r="F49" s="5977"/>
      <c r="G49" s="5977"/>
      <c r="H49" s="5977"/>
      <c r="I49" s="5977"/>
      <c r="J49" s="5977"/>
      <c r="K49" s="5977"/>
      <c r="L49" s="5977"/>
      <c r="M49" s="5977"/>
      <c r="N49" s="5977"/>
      <c r="O49" s="5977"/>
      <c r="P49" s="5977"/>
      <c r="Q49" s="5977"/>
      <c r="R49" s="871">
        <v>1</v>
      </c>
      <c r="S49" s="871">
        <v>1</v>
      </c>
      <c r="T49" s="871">
        <v>1</v>
      </c>
      <c r="U49" s="871">
        <v>1</v>
      </c>
      <c r="V49" s="871">
        <v>1</v>
      </c>
      <c r="W49" s="871">
        <v>1</v>
      </c>
      <c r="X49" s="871">
        <v>1</v>
      </c>
      <c r="Y49" s="871">
        <v>1</v>
      </c>
      <c r="Z49" s="871">
        <v>1</v>
      </c>
      <c r="AA49" s="871">
        <v>1</v>
      </c>
    </row>
    <row r="50" spans="1:27" s="2072" customFormat="1" ht="27" customHeight="1">
      <c r="A50" s="2113"/>
      <c r="B50" s="5977"/>
      <c r="C50" s="5977"/>
      <c r="D50" s="5977"/>
      <c r="E50" s="5977"/>
      <c r="F50" s="5977"/>
      <c r="G50" s="5977"/>
      <c r="H50" s="5977"/>
      <c r="I50" s="5977"/>
      <c r="J50" s="5977"/>
      <c r="K50" s="5977"/>
      <c r="L50" s="5977"/>
      <c r="M50" s="5977"/>
      <c r="N50" s="5977"/>
      <c r="O50" s="5977"/>
      <c r="P50" s="5977"/>
      <c r="Q50" s="5977"/>
      <c r="R50" s="871">
        <v>1</v>
      </c>
      <c r="S50" s="871">
        <v>1</v>
      </c>
      <c r="T50" s="871">
        <v>1</v>
      </c>
      <c r="U50" s="871">
        <v>1</v>
      </c>
      <c r="V50" s="871">
        <v>1</v>
      </c>
      <c r="W50" s="871">
        <v>1</v>
      </c>
      <c r="X50" s="871">
        <v>1</v>
      </c>
      <c r="Y50" s="871">
        <v>1</v>
      </c>
      <c r="Z50" s="871">
        <v>1</v>
      </c>
      <c r="AA50" s="871">
        <v>1</v>
      </c>
    </row>
    <row r="51" spans="1:27" s="2072" customFormat="1" thickBot="1">
      <c r="A51" s="2090"/>
      <c r="B51" s="2091"/>
      <c r="C51" s="2091"/>
      <c r="D51" s="2091"/>
      <c r="E51" s="2091"/>
      <c r="F51" s="2091"/>
      <c r="G51" s="2091"/>
      <c r="H51" s="2090"/>
      <c r="I51" s="2090"/>
      <c r="J51" s="2090"/>
      <c r="K51" s="2090"/>
      <c r="L51" s="2090"/>
      <c r="M51" s="2090"/>
      <c r="N51" s="2090"/>
      <c r="O51" s="2090"/>
      <c r="P51" s="2090"/>
      <c r="Q51" s="2090"/>
      <c r="R51" s="871">
        <v>1</v>
      </c>
      <c r="S51" s="871">
        <v>1</v>
      </c>
      <c r="T51" s="871">
        <v>1</v>
      </c>
      <c r="U51" s="871">
        <v>1</v>
      </c>
      <c r="V51" s="871">
        <v>1</v>
      </c>
      <c r="W51" s="871">
        <v>1</v>
      </c>
      <c r="X51" s="871">
        <v>1</v>
      </c>
      <c r="Y51" s="871">
        <v>1</v>
      </c>
      <c r="Z51" s="871">
        <v>1</v>
      </c>
      <c r="AA51" s="871">
        <v>1</v>
      </c>
    </row>
    <row r="52" spans="1:27" s="2072" customFormat="1" ht="15" customHeight="1">
      <c r="A52" s="2114" t="s">
        <v>167</v>
      </c>
      <c r="B52" s="5978" t="s">
        <v>8997</v>
      </c>
      <c r="C52" s="5979"/>
      <c r="D52" s="5979"/>
      <c r="E52" s="5979"/>
      <c r="F52" s="5979"/>
      <c r="G52" s="5980"/>
      <c r="H52" s="2090"/>
      <c r="I52" s="2115" t="s">
        <v>167</v>
      </c>
      <c r="J52" s="5984" t="s">
        <v>8998</v>
      </c>
      <c r="K52" s="5985"/>
      <c r="L52" s="5985"/>
      <c r="M52" s="5985"/>
      <c r="N52" s="5985"/>
      <c r="O52" s="5986"/>
      <c r="P52" s="871">
        <v>1</v>
      </c>
      <c r="Q52" s="871">
        <v>1</v>
      </c>
      <c r="R52" s="871">
        <v>1</v>
      </c>
      <c r="S52" s="871">
        <v>1</v>
      </c>
      <c r="T52" s="871">
        <v>1</v>
      </c>
      <c r="U52" s="871">
        <v>1</v>
      </c>
      <c r="V52" s="871">
        <v>1</v>
      </c>
      <c r="W52" s="871">
        <v>1</v>
      </c>
      <c r="X52" s="871">
        <v>1</v>
      </c>
      <c r="Y52" s="871">
        <v>1</v>
      </c>
      <c r="Z52" s="871">
        <v>1</v>
      </c>
      <c r="AA52" s="871">
        <v>1</v>
      </c>
    </row>
    <row r="53" spans="1:27" s="2072" customFormat="1" ht="15.75" customHeight="1">
      <c r="A53" s="5987" t="str">
        <f>B52</f>
        <v>LIAISON AU TAPIOCA</v>
      </c>
      <c r="B53" s="5981"/>
      <c r="C53" s="5982"/>
      <c r="D53" s="5982"/>
      <c r="E53" s="5982"/>
      <c r="F53" s="5982"/>
      <c r="G53" s="5983"/>
      <c r="H53" s="2090"/>
      <c r="I53" s="5988" t="str">
        <f>J52</f>
        <v>Gastro Norm</v>
      </c>
      <c r="J53" s="2116" t="s">
        <v>9023</v>
      </c>
      <c r="K53" s="5989" t="s">
        <v>9024</v>
      </c>
      <c r="L53" s="5989"/>
      <c r="M53" s="5989"/>
      <c r="N53" s="5989"/>
      <c r="O53" s="5990"/>
      <c r="P53" s="871">
        <v>1</v>
      </c>
      <c r="Q53" s="871">
        <v>1</v>
      </c>
      <c r="R53" s="871">
        <v>1</v>
      </c>
      <c r="S53" s="871">
        <v>1</v>
      </c>
      <c r="T53" s="871">
        <v>1</v>
      </c>
      <c r="U53" s="871">
        <v>1</v>
      </c>
      <c r="V53" s="871">
        <v>1</v>
      </c>
      <c r="W53" s="871">
        <v>1</v>
      </c>
      <c r="X53" s="871">
        <v>1</v>
      </c>
      <c r="Y53" s="871">
        <v>1</v>
      </c>
      <c r="Z53" s="871">
        <v>1</v>
      </c>
      <c r="AA53" s="871">
        <v>1</v>
      </c>
    </row>
    <row r="54" spans="1:27" s="2072" customFormat="1" ht="15.75" customHeight="1">
      <c r="A54" s="5987"/>
      <c r="B54" s="2117" t="str">
        <f>ADDRESS(ROW(),COLUMN(),4)</f>
        <v>B54</v>
      </c>
      <c r="C54" s="1778" t="s">
        <v>3529</v>
      </c>
      <c r="D54" s="2118"/>
      <c r="E54" s="1872"/>
      <c r="F54" s="2119"/>
      <c r="G54" s="2120"/>
      <c r="H54" s="2090"/>
      <c r="I54" s="5988"/>
      <c r="J54" s="2121" t="str">
        <f>ADDRESS(ROW(),COLUMN(),4)</f>
        <v>J54</v>
      </c>
      <c r="K54" s="1778" t="s">
        <v>3529</v>
      </c>
      <c r="L54" s="2118"/>
      <c r="M54" s="2118"/>
      <c r="N54" s="2118"/>
      <c r="O54" s="2122"/>
      <c r="P54" s="871">
        <v>1</v>
      </c>
      <c r="Q54" s="871">
        <v>1</v>
      </c>
      <c r="R54" s="871">
        <v>1</v>
      </c>
      <c r="S54" s="871">
        <v>1</v>
      </c>
      <c r="T54" s="871">
        <v>1</v>
      </c>
      <c r="U54" s="871">
        <v>1</v>
      </c>
      <c r="V54" s="871">
        <v>1</v>
      </c>
      <c r="W54" s="871">
        <v>1</v>
      </c>
      <c r="X54" s="871">
        <v>1</v>
      </c>
      <c r="Y54" s="871">
        <v>1</v>
      </c>
      <c r="Z54" s="871">
        <v>1</v>
      </c>
      <c r="AA54" s="871">
        <v>1</v>
      </c>
    </row>
    <row r="55" spans="1:27" s="2072" customFormat="1" ht="15.75" customHeight="1">
      <c r="A55" s="5987"/>
      <c r="B55" s="5991" t="s">
        <v>9025</v>
      </c>
      <c r="C55" s="5992"/>
      <c r="D55" s="5992"/>
      <c r="E55" s="5992"/>
      <c r="F55" s="5992"/>
      <c r="G55" s="5993"/>
      <c r="H55" s="2090"/>
      <c r="I55" s="5988"/>
      <c r="J55" s="5994" t="s">
        <v>9026</v>
      </c>
      <c r="K55" s="5995"/>
      <c r="L55" s="5995"/>
      <c r="M55" s="5995"/>
      <c r="N55" s="5995"/>
      <c r="O55" s="5996"/>
      <c r="P55" s="871">
        <v>1</v>
      </c>
      <c r="Q55" s="871">
        <v>1</v>
      </c>
      <c r="R55" s="871">
        <v>1</v>
      </c>
      <c r="S55" s="871">
        <v>1</v>
      </c>
      <c r="T55" s="871">
        <v>1</v>
      </c>
      <c r="U55" s="871">
        <v>1</v>
      </c>
      <c r="V55" s="871">
        <v>1</v>
      </c>
      <c r="W55" s="871">
        <v>1</v>
      </c>
      <c r="X55" s="871">
        <v>1</v>
      </c>
      <c r="Y55" s="871">
        <v>1</v>
      </c>
      <c r="Z55" s="871">
        <v>1</v>
      </c>
      <c r="AA55" s="871">
        <v>1</v>
      </c>
    </row>
    <row r="56" spans="1:27" s="2072" customFormat="1" ht="16.5" customHeight="1">
      <c r="A56" s="5987"/>
      <c r="B56" s="5991"/>
      <c r="C56" s="5992"/>
      <c r="D56" s="5992"/>
      <c r="E56" s="5992"/>
      <c r="F56" s="5992"/>
      <c r="G56" s="5993"/>
      <c r="H56" s="2090"/>
      <c r="I56" s="5988"/>
      <c r="J56" s="5994"/>
      <c r="K56" s="5995"/>
      <c r="L56" s="5995"/>
      <c r="M56" s="5995"/>
      <c r="N56" s="5995"/>
      <c r="O56" s="5996"/>
      <c r="P56" s="871">
        <v>1</v>
      </c>
      <c r="Q56" s="871">
        <v>1</v>
      </c>
      <c r="R56" s="871">
        <v>1</v>
      </c>
      <c r="S56" s="871">
        <v>1</v>
      </c>
      <c r="T56" s="871">
        <v>1</v>
      </c>
      <c r="U56" s="871">
        <v>1</v>
      </c>
      <c r="V56" s="871">
        <v>1</v>
      </c>
      <c r="W56" s="871">
        <v>1</v>
      </c>
      <c r="X56" s="871">
        <v>1</v>
      </c>
      <c r="Y56" s="871">
        <v>1</v>
      </c>
      <c r="Z56" s="871">
        <v>1</v>
      </c>
      <c r="AA56" s="871">
        <v>1</v>
      </c>
    </row>
    <row r="57" spans="1:27" s="2072" customFormat="1" ht="15">
      <c r="A57" s="5987"/>
      <c r="B57" s="2123" t="s">
        <v>9027</v>
      </c>
      <c r="C57" s="5997" t="s">
        <v>9028</v>
      </c>
      <c r="D57" s="5997"/>
      <c r="E57" s="5997"/>
      <c r="F57" s="5997"/>
      <c r="G57" s="5998"/>
      <c r="H57" s="2090"/>
      <c r="I57" s="5988"/>
      <c r="J57" s="5994"/>
      <c r="K57" s="5995"/>
      <c r="L57" s="5995"/>
      <c r="M57" s="5995"/>
      <c r="N57" s="5995"/>
      <c r="O57" s="5996"/>
      <c r="P57" s="871">
        <v>1</v>
      </c>
      <c r="Q57" s="871">
        <v>1</v>
      </c>
      <c r="R57" s="871">
        <v>1</v>
      </c>
      <c r="S57" s="871">
        <v>1</v>
      </c>
      <c r="T57" s="871">
        <v>1</v>
      </c>
      <c r="U57" s="871">
        <v>1</v>
      </c>
      <c r="V57" s="871">
        <v>1</v>
      </c>
      <c r="W57" s="871">
        <v>1</v>
      </c>
      <c r="X57" s="871">
        <v>1</v>
      </c>
      <c r="Y57" s="871">
        <v>1</v>
      </c>
      <c r="Z57" s="871">
        <v>1</v>
      </c>
      <c r="AA57" s="871">
        <v>1</v>
      </c>
    </row>
    <row r="58" spans="1:27" s="2072" customFormat="1" ht="15.75" customHeight="1">
      <c r="A58" s="5987"/>
      <c r="B58" s="2123" t="s">
        <v>9027</v>
      </c>
      <c r="C58" s="5997" t="s">
        <v>9029</v>
      </c>
      <c r="D58" s="5997"/>
      <c r="E58" s="5997"/>
      <c r="F58" s="5997"/>
      <c r="G58" s="5998"/>
      <c r="H58" s="2090"/>
      <c r="I58" s="5988"/>
      <c r="J58" s="2125"/>
      <c r="K58" s="2126"/>
      <c r="L58" s="2126"/>
      <c r="M58" s="2126"/>
      <c r="N58" s="2126"/>
      <c r="O58" s="2127"/>
      <c r="P58" s="871">
        <v>1</v>
      </c>
      <c r="Q58" s="871">
        <v>1</v>
      </c>
      <c r="R58" s="871">
        <v>1</v>
      </c>
      <c r="S58" s="871">
        <v>1</v>
      </c>
      <c r="T58" s="871">
        <v>1</v>
      </c>
      <c r="U58" s="871">
        <v>1</v>
      </c>
      <c r="V58" s="871">
        <v>1</v>
      </c>
      <c r="W58" s="871">
        <v>1</v>
      </c>
      <c r="X58" s="871">
        <v>1</v>
      </c>
      <c r="Y58" s="871">
        <v>1</v>
      </c>
      <c r="Z58" s="871">
        <v>1</v>
      </c>
      <c r="AA58" s="871">
        <v>1</v>
      </c>
    </row>
    <row r="59" spans="1:27" s="2072" customFormat="1" ht="15.75" customHeight="1">
      <c r="A59" s="5987"/>
      <c r="B59" s="2123" t="s">
        <v>9027</v>
      </c>
      <c r="C59" s="5997" t="s">
        <v>9030</v>
      </c>
      <c r="D59" s="5997"/>
      <c r="E59" s="5997"/>
      <c r="F59" s="5997"/>
      <c r="G59" s="5998"/>
      <c r="H59" s="2090"/>
      <c r="I59" s="5988"/>
      <c r="J59" s="2125"/>
      <c r="K59" s="2126"/>
      <c r="L59" s="2126"/>
      <c r="M59" s="2126"/>
      <c r="N59" s="2126"/>
      <c r="O59" s="2127"/>
      <c r="P59" s="871">
        <v>1</v>
      </c>
      <c r="Q59" s="871">
        <v>1</v>
      </c>
      <c r="R59" s="871">
        <v>1</v>
      </c>
      <c r="S59" s="871">
        <v>1</v>
      </c>
      <c r="T59" s="871">
        <v>1</v>
      </c>
      <c r="U59" s="871">
        <v>1</v>
      </c>
      <c r="V59" s="871">
        <v>1</v>
      </c>
      <c r="W59" s="871">
        <v>1</v>
      </c>
      <c r="X59" s="871">
        <v>1</v>
      </c>
      <c r="Y59" s="871">
        <v>1</v>
      </c>
      <c r="Z59" s="871">
        <v>1</v>
      </c>
      <c r="AA59" s="871">
        <v>1</v>
      </c>
    </row>
    <row r="60" spans="1:27" s="2072" customFormat="1" ht="15" customHeight="1">
      <c r="A60" s="5987"/>
      <c r="B60" s="2123" t="s">
        <v>9031</v>
      </c>
      <c r="C60" s="5997" t="s">
        <v>9032</v>
      </c>
      <c r="D60" s="5997"/>
      <c r="E60" s="5997"/>
      <c r="F60" s="5997"/>
      <c r="G60" s="5998"/>
      <c r="H60" s="2090"/>
      <c r="I60" s="5988"/>
      <c r="J60" s="2125"/>
      <c r="K60" s="2126"/>
      <c r="L60" s="2126"/>
      <c r="M60" s="2126"/>
      <c r="N60" s="2126"/>
      <c r="O60" s="2127"/>
      <c r="P60" s="871">
        <v>1</v>
      </c>
      <c r="Q60" s="871">
        <v>1</v>
      </c>
      <c r="R60" s="871">
        <v>1</v>
      </c>
      <c r="S60" s="871">
        <v>1</v>
      </c>
      <c r="T60" s="871">
        <v>1</v>
      </c>
      <c r="U60" s="871">
        <v>1</v>
      </c>
      <c r="V60" s="871">
        <v>1</v>
      </c>
      <c r="W60" s="871">
        <v>1</v>
      </c>
      <c r="X60" s="871">
        <v>1</v>
      </c>
      <c r="Y60" s="871">
        <v>1</v>
      </c>
      <c r="Z60" s="871">
        <v>1</v>
      </c>
      <c r="AA60" s="871">
        <v>1</v>
      </c>
    </row>
    <row r="61" spans="1:27" s="2072" customFormat="1" ht="15">
      <c r="A61" s="5987"/>
      <c r="B61" s="2123" t="s">
        <v>9033</v>
      </c>
      <c r="C61" s="5997" t="s">
        <v>9034</v>
      </c>
      <c r="D61" s="5997"/>
      <c r="E61" s="5997"/>
      <c r="F61" s="5997"/>
      <c r="G61" s="5998"/>
      <c r="H61" s="2091"/>
      <c r="I61" s="5988"/>
      <c r="J61" s="2125"/>
      <c r="K61" s="2126"/>
      <c r="L61" s="2126"/>
      <c r="M61" s="2126"/>
      <c r="N61" s="2126"/>
      <c r="O61" s="2127"/>
      <c r="P61" s="871">
        <v>1</v>
      </c>
      <c r="Q61" s="871">
        <v>1</v>
      </c>
      <c r="R61" s="871">
        <v>1</v>
      </c>
      <c r="S61" s="871">
        <v>1</v>
      </c>
      <c r="T61" s="871">
        <v>1</v>
      </c>
      <c r="U61" s="871">
        <v>1</v>
      </c>
      <c r="V61" s="871">
        <v>1</v>
      </c>
      <c r="W61" s="871">
        <v>1</v>
      </c>
      <c r="X61" s="871">
        <v>1</v>
      </c>
      <c r="Y61" s="871">
        <v>1</v>
      </c>
      <c r="Z61" s="871">
        <v>1</v>
      </c>
      <c r="AA61" s="871">
        <v>1</v>
      </c>
    </row>
    <row r="62" spans="1:27" s="2072" customFormat="1" ht="15">
      <c r="A62" s="5987"/>
      <c r="B62" s="2123" t="s">
        <v>9035</v>
      </c>
      <c r="C62" s="5997" t="s">
        <v>9036</v>
      </c>
      <c r="D62" s="5997"/>
      <c r="E62" s="5997"/>
      <c r="F62" s="5997"/>
      <c r="G62" s="5998"/>
      <c r="H62" s="2091"/>
      <c r="I62" s="5988"/>
      <c r="J62" s="2125"/>
      <c r="K62" s="2126"/>
      <c r="L62" s="2126"/>
      <c r="M62" s="2126"/>
      <c r="N62" s="2126"/>
      <c r="O62" s="2127"/>
      <c r="P62" s="871">
        <v>1</v>
      </c>
      <c r="Q62" s="871">
        <v>1</v>
      </c>
      <c r="R62" s="871">
        <v>1</v>
      </c>
      <c r="S62" s="871">
        <v>1</v>
      </c>
      <c r="T62" s="871">
        <v>1</v>
      </c>
      <c r="U62" s="871">
        <v>1</v>
      </c>
      <c r="V62" s="871">
        <v>1</v>
      </c>
      <c r="W62" s="871">
        <v>1</v>
      </c>
      <c r="X62" s="871">
        <v>1</v>
      </c>
      <c r="Y62" s="871">
        <v>1</v>
      </c>
      <c r="Z62" s="871">
        <v>1</v>
      </c>
      <c r="AA62" s="871">
        <v>1</v>
      </c>
    </row>
    <row r="63" spans="1:27" s="2072" customFormat="1" ht="15" customHeight="1">
      <c r="A63" s="5987"/>
      <c r="B63" s="2123" t="s">
        <v>9035</v>
      </c>
      <c r="C63" s="5997" t="s">
        <v>9037</v>
      </c>
      <c r="D63" s="5997"/>
      <c r="E63" s="5997"/>
      <c r="F63" s="5997"/>
      <c r="G63" s="5998"/>
      <c r="H63" s="2091"/>
      <c r="I63" s="5988"/>
      <c r="J63" s="2125"/>
      <c r="K63" s="2126"/>
      <c r="L63" s="2126"/>
      <c r="M63" s="2126"/>
      <c r="N63" s="2126"/>
      <c r="O63" s="2127"/>
      <c r="P63" s="871">
        <v>1</v>
      </c>
      <c r="Q63" s="871">
        <v>1</v>
      </c>
      <c r="R63" s="871">
        <v>1</v>
      </c>
      <c r="S63" s="871">
        <v>1</v>
      </c>
      <c r="T63" s="871">
        <v>1</v>
      </c>
      <c r="U63" s="871">
        <v>1</v>
      </c>
      <c r="V63" s="871">
        <v>1</v>
      </c>
      <c r="W63" s="871">
        <v>1</v>
      </c>
      <c r="X63" s="871">
        <v>1</v>
      </c>
      <c r="Y63" s="871">
        <v>1</v>
      </c>
      <c r="Z63" s="871">
        <v>1</v>
      </c>
      <c r="AA63" s="871">
        <v>1</v>
      </c>
    </row>
    <row r="64" spans="1:27" s="2072" customFormat="1" ht="15">
      <c r="A64" s="5987"/>
      <c r="B64" s="5991" t="s">
        <v>9038</v>
      </c>
      <c r="C64" s="5992" t="s">
        <v>9039</v>
      </c>
      <c r="D64" s="5992"/>
      <c r="E64" s="5992"/>
      <c r="F64" s="5992"/>
      <c r="G64" s="5993"/>
      <c r="H64" s="2091"/>
      <c r="I64" s="5988"/>
      <c r="J64" s="2125"/>
      <c r="K64" s="2126"/>
      <c r="L64" s="2126"/>
      <c r="M64" s="2126"/>
      <c r="N64" s="2126"/>
      <c r="O64" s="2127"/>
      <c r="P64" s="871">
        <v>1</v>
      </c>
      <c r="Q64" s="871">
        <v>1</v>
      </c>
      <c r="R64" s="871">
        <v>1</v>
      </c>
      <c r="S64" s="871">
        <v>1</v>
      </c>
      <c r="T64" s="871">
        <v>1</v>
      </c>
      <c r="U64" s="871">
        <v>1</v>
      </c>
      <c r="V64" s="871">
        <v>1</v>
      </c>
      <c r="W64" s="871">
        <v>1</v>
      </c>
      <c r="X64" s="871">
        <v>1</v>
      </c>
      <c r="Y64" s="871">
        <v>1</v>
      </c>
      <c r="Z64" s="871">
        <v>1</v>
      </c>
      <c r="AA64" s="871">
        <v>1</v>
      </c>
    </row>
    <row r="65" spans="1:27" s="2072" customFormat="1" ht="15" customHeight="1">
      <c r="A65" s="5987"/>
      <c r="B65" s="5991"/>
      <c r="C65" s="5992"/>
      <c r="D65" s="5992"/>
      <c r="E65" s="5992"/>
      <c r="F65" s="5992"/>
      <c r="G65" s="5993"/>
      <c r="H65" s="2091"/>
      <c r="I65" s="5988"/>
      <c r="J65" s="2125"/>
      <c r="K65" s="2126"/>
      <c r="L65" s="2126"/>
      <c r="M65" s="2126"/>
      <c r="N65" s="2126"/>
      <c r="O65" s="2127"/>
      <c r="P65" s="871">
        <v>1</v>
      </c>
      <c r="Q65" s="871">
        <v>1</v>
      </c>
      <c r="R65" s="871">
        <v>1</v>
      </c>
      <c r="S65" s="871">
        <v>1</v>
      </c>
      <c r="T65" s="871">
        <v>1</v>
      </c>
      <c r="U65" s="871">
        <v>1</v>
      </c>
      <c r="V65" s="871">
        <v>1</v>
      </c>
      <c r="W65" s="871">
        <v>1</v>
      </c>
      <c r="X65" s="871">
        <v>1</v>
      </c>
      <c r="Y65" s="871">
        <v>1</v>
      </c>
      <c r="Z65" s="871">
        <v>1</v>
      </c>
      <c r="AA65" s="871">
        <v>1</v>
      </c>
    </row>
    <row r="66" spans="1:27" s="2072" customFormat="1" ht="15">
      <c r="A66" s="5987"/>
      <c r="B66" s="5991" t="s">
        <v>9040</v>
      </c>
      <c r="C66" s="5992" t="s">
        <v>9041</v>
      </c>
      <c r="D66" s="5992"/>
      <c r="E66" s="5992"/>
      <c r="F66" s="5992"/>
      <c r="G66" s="5993"/>
      <c r="H66" s="2091"/>
      <c r="I66" s="5988"/>
      <c r="J66" s="2125"/>
      <c r="K66" s="2126"/>
      <c r="L66" s="2126"/>
      <c r="M66" s="2126"/>
      <c r="N66" s="2126"/>
      <c r="O66" s="2127"/>
      <c r="P66" s="871">
        <v>1</v>
      </c>
      <c r="Q66" s="871">
        <v>1</v>
      </c>
      <c r="R66" s="871">
        <v>1</v>
      </c>
      <c r="S66" s="871">
        <v>1</v>
      </c>
      <c r="T66" s="871">
        <v>1</v>
      </c>
      <c r="U66" s="871">
        <v>1</v>
      </c>
      <c r="V66" s="871">
        <v>1</v>
      </c>
      <c r="W66" s="871">
        <v>1</v>
      </c>
      <c r="X66" s="871">
        <v>1</v>
      </c>
      <c r="Y66" s="871">
        <v>1</v>
      </c>
      <c r="Z66" s="871">
        <v>1</v>
      </c>
      <c r="AA66" s="871">
        <v>1</v>
      </c>
    </row>
    <row r="67" spans="1:27" s="2072" customFormat="1" ht="15">
      <c r="A67" s="5987"/>
      <c r="B67" s="5999"/>
      <c r="C67" s="6000"/>
      <c r="D67" s="6000"/>
      <c r="E67" s="6000"/>
      <c r="F67" s="6000"/>
      <c r="G67" s="6001"/>
      <c r="H67" s="2091"/>
      <c r="I67" s="5988"/>
      <c r="J67" s="2125"/>
      <c r="K67" s="2126"/>
      <c r="L67" s="2126"/>
      <c r="M67" s="2126"/>
      <c r="N67" s="2126"/>
      <c r="O67" s="2127"/>
      <c r="P67" s="871">
        <v>1</v>
      </c>
      <c r="Q67" s="871">
        <v>1</v>
      </c>
      <c r="R67" s="871">
        <v>1</v>
      </c>
      <c r="S67" s="871">
        <v>1</v>
      </c>
      <c r="T67" s="871">
        <v>1</v>
      </c>
      <c r="U67" s="871">
        <v>1</v>
      </c>
      <c r="V67" s="871">
        <v>1</v>
      </c>
      <c r="W67" s="871">
        <v>1</v>
      </c>
      <c r="X67" s="871">
        <v>1</v>
      </c>
      <c r="Y67" s="871">
        <v>1</v>
      </c>
      <c r="Z67" s="871">
        <v>1</v>
      </c>
      <c r="AA67" s="871">
        <v>1</v>
      </c>
    </row>
    <row r="68" spans="1:27" s="2072" customFormat="1" thickBot="1">
      <c r="A68" s="2090"/>
      <c r="B68" s="2124"/>
      <c r="C68" s="2124"/>
      <c r="D68" s="2124"/>
      <c r="E68" s="2124"/>
      <c r="F68" s="2124"/>
      <c r="G68" s="2124"/>
      <c r="H68" s="2091"/>
      <c r="I68" s="5988"/>
      <c r="J68" s="2125"/>
      <c r="K68" s="2126"/>
      <c r="L68" s="2126"/>
      <c r="M68" s="2126"/>
      <c r="N68" s="2126"/>
      <c r="O68" s="2127"/>
      <c r="P68" s="871">
        <v>1</v>
      </c>
      <c r="Q68" s="871">
        <v>1</v>
      </c>
      <c r="R68" s="871">
        <v>1</v>
      </c>
      <c r="S68" s="871">
        <v>1</v>
      </c>
      <c r="T68" s="871">
        <v>1</v>
      </c>
      <c r="U68" s="871">
        <v>1</v>
      </c>
      <c r="V68" s="871">
        <v>1</v>
      </c>
      <c r="W68" s="871">
        <v>1</v>
      </c>
      <c r="X68" s="871">
        <v>1</v>
      </c>
      <c r="Y68" s="871">
        <v>1</v>
      </c>
      <c r="Z68" s="871">
        <v>1</v>
      </c>
      <c r="AA68" s="871">
        <v>1</v>
      </c>
    </row>
    <row r="69" spans="1:27" s="2072" customFormat="1" ht="15">
      <c r="A69" s="2114" t="s">
        <v>167</v>
      </c>
      <c r="B69" s="6002" t="s">
        <v>8999</v>
      </c>
      <c r="C69" s="6003"/>
      <c r="D69" s="6006" t="s">
        <v>9042</v>
      </c>
      <c r="E69" s="6006"/>
      <c r="F69" s="6008" t="s">
        <v>9043</v>
      </c>
      <c r="G69" s="6010" t="s">
        <v>9044</v>
      </c>
      <c r="H69" s="2091"/>
      <c r="I69" s="5988"/>
      <c r="J69" s="2128"/>
      <c r="K69" s="2090"/>
      <c r="L69" s="2090"/>
      <c r="M69" s="2090"/>
      <c r="N69" s="2090"/>
      <c r="O69" s="2127"/>
      <c r="P69" s="871">
        <v>1</v>
      </c>
      <c r="Q69" s="871">
        <v>1</v>
      </c>
      <c r="R69" s="871">
        <v>1</v>
      </c>
      <c r="S69" s="871">
        <v>1</v>
      </c>
      <c r="T69" s="871">
        <v>1</v>
      </c>
      <c r="U69" s="871">
        <v>1</v>
      </c>
      <c r="V69" s="871">
        <v>1</v>
      </c>
      <c r="W69" s="871">
        <v>1</v>
      </c>
      <c r="X69" s="871">
        <v>1</v>
      </c>
      <c r="Y69" s="871">
        <v>1</v>
      </c>
      <c r="Z69" s="871">
        <v>1</v>
      </c>
      <c r="AA69" s="871">
        <v>1</v>
      </c>
    </row>
    <row r="70" spans="1:27" s="2072" customFormat="1" ht="15">
      <c r="A70" s="5987" t="str">
        <f>B69</f>
        <v>SERVICE DES SAUCES</v>
      </c>
      <c r="B70" s="6004"/>
      <c r="C70" s="6005"/>
      <c r="D70" s="6007"/>
      <c r="E70" s="6007"/>
      <c r="F70" s="6009"/>
      <c r="G70" s="6011"/>
      <c r="H70" s="2091"/>
      <c r="I70" s="5988"/>
      <c r="J70" s="2128"/>
      <c r="K70" s="2090"/>
      <c r="L70" s="2090"/>
      <c r="M70" s="2090"/>
      <c r="N70" s="2090"/>
      <c r="O70" s="2127"/>
      <c r="P70" s="871">
        <v>1</v>
      </c>
      <c r="Q70" s="871">
        <v>1</v>
      </c>
      <c r="R70" s="871">
        <v>1</v>
      </c>
      <c r="S70" s="871">
        <v>1</v>
      </c>
      <c r="T70" s="871">
        <v>1</v>
      </c>
      <c r="U70" s="871">
        <v>1</v>
      </c>
      <c r="V70" s="871">
        <v>1</v>
      </c>
      <c r="W70" s="871">
        <v>1</v>
      </c>
      <c r="X70" s="871">
        <v>1</v>
      </c>
      <c r="Y70" s="871">
        <v>1</v>
      </c>
      <c r="Z70" s="871">
        <v>1</v>
      </c>
      <c r="AA70" s="871">
        <v>1</v>
      </c>
    </row>
    <row r="71" spans="1:27" s="2072" customFormat="1" ht="18.75">
      <c r="A71" s="5987"/>
      <c r="B71" s="2129" t="str">
        <f>ADDRESS(ROW(),COLUMN(),4)</f>
        <v>B71</v>
      </c>
      <c r="C71" s="1778" t="s">
        <v>3529</v>
      </c>
      <c r="D71" s="2118"/>
      <c r="E71" s="1872"/>
      <c r="F71" s="1872"/>
      <c r="G71" s="2130"/>
      <c r="H71" s="2091"/>
      <c r="I71" s="5988"/>
      <c r="J71" s="2128"/>
      <c r="K71" s="2090"/>
      <c r="L71" s="2090"/>
      <c r="M71" s="2090"/>
      <c r="N71" s="2090"/>
      <c r="O71" s="2127"/>
      <c r="P71" s="871">
        <v>1</v>
      </c>
      <c r="Q71" s="871">
        <v>1</v>
      </c>
      <c r="R71" s="871">
        <v>1</v>
      </c>
      <c r="S71" s="871">
        <v>1</v>
      </c>
      <c r="T71" s="871">
        <v>1</v>
      </c>
      <c r="U71" s="871">
        <v>1</v>
      </c>
      <c r="V71" s="871">
        <v>1</v>
      </c>
      <c r="W71" s="871">
        <v>1</v>
      </c>
      <c r="X71" s="871">
        <v>1</v>
      </c>
      <c r="Y71" s="871">
        <v>1</v>
      </c>
      <c r="Z71" s="871">
        <v>1</v>
      </c>
      <c r="AA71" s="871">
        <v>1</v>
      </c>
    </row>
    <row r="72" spans="1:27" s="2072" customFormat="1" ht="15">
      <c r="A72" s="5987"/>
      <c r="B72" s="6031" t="s">
        <v>9045</v>
      </c>
      <c r="C72" s="6032"/>
      <c r="D72" s="2131" t="s">
        <v>9046</v>
      </c>
      <c r="E72" s="2131"/>
      <c r="F72" s="2132"/>
      <c r="G72" s="2133"/>
      <c r="H72" s="2091"/>
      <c r="I72" s="5988"/>
      <c r="J72" s="6033" t="s">
        <v>9047</v>
      </c>
      <c r="K72" s="6034"/>
      <c r="L72" s="6034"/>
      <c r="M72" s="6034"/>
      <c r="N72" s="6034"/>
      <c r="O72" s="2127"/>
      <c r="P72" s="871">
        <v>1</v>
      </c>
      <c r="Q72" s="871">
        <v>1</v>
      </c>
      <c r="R72" s="871">
        <v>1</v>
      </c>
      <c r="S72" s="871">
        <v>1</v>
      </c>
      <c r="T72" s="871">
        <v>1</v>
      </c>
      <c r="U72" s="871">
        <v>1</v>
      </c>
      <c r="V72" s="871">
        <v>1</v>
      </c>
      <c r="W72" s="871">
        <v>1</v>
      </c>
      <c r="X72" s="871">
        <v>1</v>
      </c>
      <c r="Y72" s="871">
        <v>1</v>
      </c>
      <c r="Z72" s="871">
        <v>1</v>
      </c>
      <c r="AA72" s="871">
        <v>1</v>
      </c>
    </row>
    <row r="73" spans="1:27" s="2072" customFormat="1" ht="15">
      <c r="A73" s="5987"/>
      <c r="B73" s="6037" t="s">
        <v>9048</v>
      </c>
      <c r="C73" s="6038"/>
      <c r="D73" s="2135" t="s">
        <v>9049</v>
      </c>
      <c r="E73" s="2135"/>
      <c r="F73" s="2134" t="s">
        <v>9050</v>
      </c>
      <c r="G73" s="2136" t="s">
        <v>9051</v>
      </c>
      <c r="H73" s="2091"/>
      <c r="I73" s="5988"/>
      <c r="J73" s="6033"/>
      <c r="K73" s="6034"/>
      <c r="L73" s="6034"/>
      <c r="M73" s="6034"/>
      <c r="N73" s="6034"/>
      <c r="O73" s="2127"/>
      <c r="P73" s="871">
        <v>1</v>
      </c>
      <c r="Q73" s="871">
        <v>1</v>
      </c>
      <c r="R73" s="871">
        <v>1</v>
      </c>
      <c r="S73" s="871">
        <v>1</v>
      </c>
      <c r="T73" s="871">
        <v>1</v>
      </c>
      <c r="U73" s="871">
        <v>1</v>
      </c>
      <c r="V73" s="871">
        <v>1</v>
      </c>
      <c r="W73" s="871">
        <v>1</v>
      </c>
      <c r="X73" s="871">
        <v>1</v>
      </c>
      <c r="Y73" s="871">
        <v>1</v>
      </c>
      <c r="Z73" s="871">
        <v>1</v>
      </c>
      <c r="AA73" s="871">
        <v>1</v>
      </c>
    </row>
    <row r="74" spans="1:27" s="2072" customFormat="1" thickBot="1">
      <c r="A74" s="5987"/>
      <c r="B74" s="6037" t="s">
        <v>9052</v>
      </c>
      <c r="C74" s="6038"/>
      <c r="D74" s="2135" t="s">
        <v>9053</v>
      </c>
      <c r="E74" s="2135"/>
      <c r="F74" s="2134" t="s">
        <v>9054</v>
      </c>
      <c r="G74" s="2136" t="s">
        <v>9055</v>
      </c>
      <c r="H74" s="2091"/>
      <c r="I74" s="5988"/>
      <c r="J74" s="6035"/>
      <c r="K74" s="6036"/>
      <c r="L74" s="6036"/>
      <c r="M74" s="6036"/>
      <c r="N74" s="6036"/>
      <c r="O74" s="2137"/>
      <c r="P74" s="871">
        <v>1</v>
      </c>
      <c r="Q74" s="871">
        <v>1</v>
      </c>
      <c r="R74" s="871">
        <v>1</v>
      </c>
      <c r="S74" s="871">
        <v>1</v>
      </c>
      <c r="T74" s="871">
        <v>1</v>
      </c>
      <c r="U74" s="871">
        <v>1</v>
      </c>
      <c r="V74" s="871">
        <v>1</v>
      </c>
      <c r="W74" s="871">
        <v>1</v>
      </c>
      <c r="X74" s="871">
        <v>1</v>
      </c>
      <c r="Y74" s="871">
        <v>1</v>
      </c>
      <c r="Z74" s="871">
        <v>1</v>
      </c>
      <c r="AA74" s="871">
        <v>1</v>
      </c>
    </row>
    <row r="75" spans="1:27" s="2072" customFormat="1" ht="15">
      <c r="A75" s="5987"/>
      <c r="B75" s="6037" t="s">
        <v>9056</v>
      </c>
      <c r="C75" s="6038"/>
      <c r="D75" s="2135" t="s">
        <v>9057</v>
      </c>
      <c r="E75" s="2135"/>
      <c r="F75" s="2134" t="s">
        <v>9058</v>
      </c>
      <c r="G75" s="2136" t="s">
        <v>9059</v>
      </c>
      <c r="H75" s="2091"/>
      <c r="I75" s="2090"/>
      <c r="J75" s="2090"/>
      <c r="K75" s="2090"/>
      <c r="L75" s="2090"/>
      <c r="M75" s="2090"/>
      <c r="N75" s="2090"/>
      <c r="O75" s="2090"/>
      <c r="P75" s="871">
        <v>1</v>
      </c>
      <c r="Q75" s="871">
        <v>1</v>
      </c>
      <c r="R75" s="871">
        <v>1</v>
      </c>
      <c r="S75" s="871">
        <v>1</v>
      </c>
      <c r="T75" s="871">
        <v>1</v>
      </c>
      <c r="U75" s="871">
        <v>1</v>
      </c>
      <c r="V75" s="871">
        <v>1</v>
      </c>
      <c r="W75" s="871">
        <v>1</v>
      </c>
      <c r="X75" s="871">
        <v>1</v>
      </c>
      <c r="Y75" s="871">
        <v>1</v>
      </c>
      <c r="Z75" s="871">
        <v>1</v>
      </c>
      <c r="AA75" s="871">
        <v>1</v>
      </c>
    </row>
    <row r="76" spans="1:27" s="2072" customFormat="1" thickBot="1">
      <c r="A76" s="5987"/>
      <c r="B76" s="6039" t="s">
        <v>9060</v>
      </c>
      <c r="C76" s="6040"/>
      <c r="D76" s="2139" t="s">
        <v>9061</v>
      </c>
      <c r="E76" s="2139"/>
      <c r="F76" s="2138" t="s">
        <v>9062</v>
      </c>
      <c r="G76" s="2140" t="s">
        <v>9063</v>
      </c>
      <c r="H76" s="2091"/>
      <c r="I76" s="2090"/>
      <c r="J76" s="2090"/>
      <c r="K76" s="2090"/>
      <c r="L76" s="2090"/>
      <c r="M76" s="2090"/>
      <c r="N76" s="2090"/>
      <c r="O76" s="2090"/>
      <c r="P76" s="871">
        <v>1</v>
      </c>
      <c r="Q76" s="871">
        <v>1</v>
      </c>
      <c r="R76" s="871">
        <v>1</v>
      </c>
      <c r="S76" s="871">
        <v>1</v>
      </c>
      <c r="T76" s="871">
        <v>1</v>
      </c>
      <c r="U76" s="871">
        <v>1</v>
      </c>
      <c r="V76" s="871">
        <v>1</v>
      </c>
      <c r="W76" s="871">
        <v>1</v>
      </c>
      <c r="X76" s="871">
        <v>1</v>
      </c>
      <c r="Y76" s="871">
        <v>1</v>
      </c>
      <c r="Z76" s="871">
        <v>1</v>
      </c>
      <c r="AA76" s="871">
        <v>1</v>
      </c>
    </row>
    <row r="77" spans="1:27" s="2072" customFormat="1" ht="15">
      <c r="A77" s="2090"/>
      <c r="B77" s="2124"/>
      <c r="C77" s="2124"/>
      <c r="D77" s="2124"/>
      <c r="E77" s="2124"/>
      <c r="F77" s="2124"/>
      <c r="G77" s="2124"/>
      <c r="H77" s="2091"/>
      <c r="I77" s="2090"/>
      <c r="J77" s="2090"/>
      <c r="K77" s="2090"/>
      <c r="L77" s="2090"/>
      <c r="M77" s="2090"/>
      <c r="N77" s="2090"/>
      <c r="O77" s="2090"/>
      <c r="P77" s="871">
        <v>1</v>
      </c>
      <c r="Q77" s="871">
        <v>1</v>
      </c>
      <c r="R77" s="871">
        <v>1</v>
      </c>
      <c r="S77" s="871">
        <v>1</v>
      </c>
      <c r="T77" s="871">
        <v>1</v>
      </c>
      <c r="U77" s="871">
        <v>1</v>
      </c>
      <c r="V77" s="871">
        <v>1</v>
      </c>
      <c r="W77" s="871">
        <v>1</v>
      </c>
      <c r="X77" s="871">
        <v>1</v>
      </c>
      <c r="Y77" s="871">
        <v>1</v>
      </c>
      <c r="Z77" s="871">
        <v>1</v>
      </c>
      <c r="AA77" s="871">
        <v>1</v>
      </c>
    </row>
    <row r="78" spans="1:27" s="2072" customFormat="1" ht="15" customHeight="1">
      <c r="A78" s="2090"/>
      <c r="B78" s="2141"/>
      <c r="C78" s="2142" t="s">
        <v>9064</v>
      </c>
      <c r="D78" s="2090"/>
      <c r="E78" s="2141"/>
      <c r="F78" s="2141"/>
      <c r="G78" s="2090"/>
      <c r="H78" s="2090"/>
      <c r="I78" s="2090"/>
      <c r="J78" s="2090"/>
      <c r="K78" s="2090"/>
      <c r="L78" s="6012" t="s">
        <v>9065</v>
      </c>
      <c r="M78" s="6013"/>
      <c r="N78" s="6013"/>
      <c r="O78" s="6014"/>
      <c r="P78" s="871">
        <v>1</v>
      </c>
      <c r="Q78" s="871">
        <v>1</v>
      </c>
      <c r="R78" s="871">
        <v>1</v>
      </c>
      <c r="S78" s="871">
        <v>1</v>
      </c>
      <c r="T78" s="871">
        <v>1</v>
      </c>
      <c r="U78" s="871">
        <v>1</v>
      </c>
      <c r="V78" s="871">
        <v>1</v>
      </c>
      <c r="W78" s="871">
        <v>1</v>
      </c>
      <c r="X78" s="871">
        <v>1</v>
      </c>
      <c r="Y78" s="871">
        <v>1</v>
      </c>
      <c r="Z78" s="871">
        <v>1</v>
      </c>
      <c r="AA78" s="871">
        <v>1</v>
      </c>
    </row>
    <row r="79" spans="1:27" s="2072" customFormat="1" ht="15" customHeight="1">
      <c r="A79" s="2090"/>
      <c r="B79" s="2141"/>
      <c r="C79" s="2142"/>
      <c r="D79" s="2090"/>
      <c r="E79" s="2141"/>
      <c r="F79" s="2141"/>
      <c r="G79" s="2090"/>
      <c r="H79" s="2090"/>
      <c r="I79" s="2090"/>
      <c r="J79" s="2090"/>
      <c r="K79" s="2090"/>
      <c r="L79" s="6015"/>
      <c r="M79" s="6016"/>
      <c r="N79" s="6016"/>
      <c r="O79" s="6017"/>
      <c r="P79" s="871">
        <v>1</v>
      </c>
      <c r="Q79" s="871">
        <v>1</v>
      </c>
      <c r="R79" s="871">
        <v>1</v>
      </c>
      <c r="S79" s="871">
        <v>1</v>
      </c>
      <c r="T79" s="871">
        <v>1</v>
      </c>
      <c r="U79" s="871">
        <v>1</v>
      </c>
      <c r="V79" s="871">
        <v>1</v>
      </c>
      <c r="W79" s="871">
        <v>1</v>
      </c>
      <c r="X79" s="871">
        <v>1</v>
      </c>
      <c r="Y79" s="871">
        <v>1</v>
      </c>
      <c r="Z79" s="871">
        <v>1</v>
      </c>
      <c r="AA79" s="871">
        <v>1</v>
      </c>
    </row>
    <row r="80" spans="1:27" s="2072" customFormat="1" ht="15" customHeight="1">
      <c r="A80" s="2090"/>
      <c r="B80" s="2143" t="s">
        <v>9023</v>
      </c>
      <c r="C80" s="2144" t="s">
        <v>9066</v>
      </c>
      <c r="D80" s="2090"/>
      <c r="E80" s="2144"/>
      <c r="F80" s="2144"/>
      <c r="G80" s="2145"/>
      <c r="H80" s="2090"/>
      <c r="I80" s="2090"/>
      <c r="J80" s="2090"/>
      <c r="K80" s="2090"/>
      <c r="L80" s="6015"/>
      <c r="M80" s="6016"/>
      <c r="N80" s="6016"/>
      <c r="O80" s="6017"/>
      <c r="P80" s="871">
        <v>1</v>
      </c>
      <c r="Q80" s="871">
        <v>1</v>
      </c>
      <c r="R80" s="871">
        <v>1</v>
      </c>
      <c r="S80" s="871">
        <v>1</v>
      </c>
      <c r="T80" s="871">
        <v>1</v>
      </c>
      <c r="U80" s="871">
        <v>1</v>
      </c>
      <c r="V80" s="871">
        <v>1</v>
      </c>
      <c r="W80" s="871">
        <v>1</v>
      </c>
      <c r="X80" s="871">
        <v>1</v>
      </c>
      <c r="Y80" s="871">
        <v>1</v>
      </c>
      <c r="Z80" s="871">
        <v>1</v>
      </c>
      <c r="AA80" s="871">
        <v>1</v>
      </c>
    </row>
    <row r="81" spans="1:27" s="2072" customFormat="1" ht="21">
      <c r="A81" s="2090"/>
      <c r="B81" s="2146"/>
      <c r="C81" s="2146"/>
      <c r="D81" s="2090"/>
      <c r="E81" s="2144"/>
      <c r="F81" s="2144"/>
      <c r="G81" s="2145"/>
      <c r="H81" s="2090"/>
      <c r="I81" s="2090"/>
      <c r="J81" s="2090"/>
      <c r="K81" s="2090"/>
      <c r="L81" s="6015"/>
      <c r="M81" s="6016"/>
      <c r="N81" s="6016"/>
      <c r="O81" s="6017"/>
      <c r="P81" s="871">
        <v>1</v>
      </c>
      <c r="Q81" s="871">
        <v>1</v>
      </c>
      <c r="R81" s="871">
        <v>1</v>
      </c>
      <c r="S81" s="871">
        <v>1</v>
      </c>
      <c r="T81" s="871">
        <v>1</v>
      </c>
      <c r="U81" s="871">
        <v>1</v>
      </c>
      <c r="V81" s="871">
        <v>1</v>
      </c>
      <c r="W81" s="871">
        <v>1</v>
      </c>
      <c r="X81" s="871">
        <v>1</v>
      </c>
      <c r="Y81" s="871">
        <v>1</v>
      </c>
      <c r="Z81" s="871">
        <v>1</v>
      </c>
      <c r="AA81" s="871">
        <v>1</v>
      </c>
    </row>
    <row r="82" spans="1:27" s="2072" customFormat="1" ht="15" customHeight="1">
      <c r="A82" s="2090"/>
      <c r="B82" s="2143" t="s">
        <v>9023</v>
      </c>
      <c r="C82" s="6018" t="s">
        <v>9067</v>
      </c>
      <c r="D82" s="6019"/>
      <c r="E82" s="6019"/>
      <c r="F82" s="6019"/>
      <c r="G82" s="6019"/>
      <c r="H82" s="6019"/>
      <c r="I82" s="2145"/>
      <c r="J82" s="2091"/>
      <c r="K82" s="2090"/>
      <c r="L82" s="6020" t="s">
        <v>9068</v>
      </c>
      <c r="M82" s="6021"/>
      <c r="N82" s="6021"/>
      <c r="O82" s="6022"/>
      <c r="P82" s="871">
        <v>1</v>
      </c>
      <c r="Q82" s="871">
        <v>1</v>
      </c>
      <c r="R82" s="871">
        <v>1</v>
      </c>
      <c r="S82" s="871">
        <v>1</v>
      </c>
      <c r="T82" s="871">
        <v>1</v>
      </c>
      <c r="U82" s="871">
        <v>1</v>
      </c>
      <c r="V82" s="871">
        <v>1</v>
      </c>
      <c r="W82" s="871">
        <v>1</v>
      </c>
      <c r="X82" s="871">
        <v>1</v>
      </c>
      <c r="Y82" s="871">
        <v>1</v>
      </c>
      <c r="Z82" s="871">
        <v>1</v>
      </c>
      <c r="AA82" s="871">
        <v>1</v>
      </c>
    </row>
    <row r="83" spans="1:27" s="2072" customFormat="1" ht="21">
      <c r="A83" s="2090"/>
      <c r="B83" s="2146"/>
      <c r="C83" s="2141"/>
      <c r="D83" s="2090"/>
      <c r="E83" s="2141"/>
      <c r="F83" s="2141"/>
      <c r="G83" s="2145"/>
      <c r="H83" s="2145"/>
      <c r="I83" s="2145"/>
      <c r="J83" s="2091"/>
      <c r="K83" s="2090"/>
      <c r="L83" s="6020"/>
      <c r="M83" s="6021"/>
      <c r="N83" s="6021"/>
      <c r="O83" s="6022"/>
      <c r="P83" s="871">
        <v>1</v>
      </c>
      <c r="Q83" s="871">
        <v>1</v>
      </c>
      <c r="R83" s="871">
        <v>1</v>
      </c>
      <c r="S83" s="871">
        <v>1</v>
      </c>
      <c r="T83" s="871">
        <v>1</v>
      </c>
      <c r="U83" s="871">
        <v>1</v>
      </c>
      <c r="V83" s="871">
        <v>1</v>
      </c>
      <c r="W83" s="871">
        <v>1</v>
      </c>
      <c r="X83" s="871">
        <v>1</v>
      </c>
      <c r="Y83" s="871">
        <v>1</v>
      </c>
      <c r="Z83" s="871">
        <v>1</v>
      </c>
      <c r="AA83" s="871">
        <v>1</v>
      </c>
    </row>
    <row r="84" spans="1:27" s="2072" customFormat="1" ht="21">
      <c r="A84" s="2090"/>
      <c r="B84" s="2141"/>
      <c r="C84" s="2142" t="s">
        <v>9069</v>
      </c>
      <c r="D84" s="2090"/>
      <c r="E84" s="2141"/>
      <c r="F84" s="2141"/>
      <c r="G84" s="2145"/>
      <c r="H84" s="2145"/>
      <c r="I84" s="2145"/>
      <c r="J84" s="2091"/>
      <c r="K84" s="2090"/>
      <c r="L84" s="6023"/>
      <c r="M84" s="6024"/>
      <c r="N84" s="6024"/>
      <c r="O84" s="6025"/>
      <c r="P84" s="871">
        <v>1</v>
      </c>
      <c r="Q84" s="871">
        <v>1</v>
      </c>
      <c r="R84" s="871">
        <v>1</v>
      </c>
      <c r="S84" s="871">
        <v>1</v>
      </c>
      <c r="T84" s="871">
        <v>1</v>
      </c>
      <c r="U84" s="871">
        <v>1</v>
      </c>
      <c r="V84" s="871">
        <v>1</v>
      </c>
      <c r="W84" s="871">
        <v>1</v>
      </c>
      <c r="X84" s="871">
        <v>1</v>
      </c>
      <c r="Y84" s="871">
        <v>1</v>
      </c>
      <c r="Z84" s="871">
        <v>1</v>
      </c>
      <c r="AA84" s="871">
        <v>1</v>
      </c>
    </row>
    <row r="85" spans="1:27" s="2072" customFormat="1" ht="21">
      <c r="A85" s="2090"/>
      <c r="B85" s="2143" t="s">
        <v>9023</v>
      </c>
      <c r="C85" s="6026" t="s">
        <v>9070</v>
      </c>
      <c r="D85" s="6026"/>
      <c r="E85" s="6026"/>
      <c r="F85" s="6026"/>
      <c r="G85" s="6026"/>
      <c r="H85" s="6026"/>
      <c r="I85" s="6026"/>
      <c r="J85" s="6026"/>
      <c r="K85" s="2090"/>
      <c r="L85" s="2090"/>
      <c r="M85" s="2090"/>
      <c r="N85" s="2090"/>
      <c r="O85" s="2090"/>
      <c r="P85" s="871">
        <v>1</v>
      </c>
      <c r="Q85" s="871">
        <v>1</v>
      </c>
      <c r="R85" s="871">
        <v>1</v>
      </c>
      <c r="S85" s="871">
        <v>1</v>
      </c>
      <c r="T85" s="871">
        <v>1</v>
      </c>
      <c r="U85" s="871">
        <v>1</v>
      </c>
      <c r="V85" s="871">
        <v>1</v>
      </c>
      <c r="W85" s="871">
        <v>1</v>
      </c>
      <c r="X85" s="871">
        <v>1</v>
      </c>
      <c r="Y85" s="871">
        <v>1</v>
      </c>
      <c r="Z85" s="871">
        <v>1</v>
      </c>
      <c r="AA85" s="871">
        <v>1</v>
      </c>
    </row>
    <row r="86" spans="1:27" s="2072" customFormat="1" ht="21">
      <c r="A86" s="2090"/>
      <c r="B86" s="2144"/>
      <c r="C86" s="2144"/>
      <c r="D86" s="2090"/>
      <c r="E86" s="2144"/>
      <c r="F86" s="2144"/>
      <c r="G86" s="2145"/>
      <c r="H86" s="2147"/>
      <c r="I86" s="2145"/>
      <c r="J86" s="2091"/>
      <c r="K86" s="2091"/>
      <c r="L86" s="2091"/>
      <c r="M86" s="2091"/>
      <c r="N86" s="2091"/>
      <c r="O86" s="2091"/>
      <c r="P86" s="871">
        <v>1</v>
      </c>
      <c r="Q86" s="871">
        <v>1</v>
      </c>
      <c r="R86" s="871">
        <v>1</v>
      </c>
      <c r="S86" s="871">
        <v>1</v>
      </c>
      <c r="T86" s="871">
        <v>1</v>
      </c>
      <c r="U86" s="871">
        <v>1</v>
      </c>
      <c r="V86" s="871">
        <v>1</v>
      </c>
      <c r="W86" s="871">
        <v>1</v>
      </c>
      <c r="X86" s="871">
        <v>1</v>
      </c>
      <c r="Y86" s="871">
        <v>1</v>
      </c>
      <c r="Z86" s="871">
        <v>1</v>
      </c>
      <c r="AA86" s="871">
        <v>1</v>
      </c>
    </row>
    <row r="87" spans="1:27" s="2072" customFormat="1" ht="21">
      <c r="A87" s="2090"/>
      <c r="B87" s="2143" t="s">
        <v>9023</v>
      </c>
      <c r="C87" s="6027" t="s">
        <v>9071</v>
      </c>
      <c r="D87" s="6027"/>
      <c r="E87" s="6027"/>
      <c r="F87" s="6027"/>
      <c r="G87" s="6027"/>
      <c r="H87" s="6027"/>
      <c r="I87" s="6027"/>
      <c r="J87" s="2091"/>
      <c r="K87" s="2091"/>
      <c r="L87" s="6028" t="s">
        <v>9072</v>
      </c>
      <c r="M87" s="6029"/>
      <c r="N87" s="6029"/>
      <c r="O87" s="6030"/>
      <c r="P87" s="871">
        <v>1</v>
      </c>
      <c r="Q87" s="871">
        <v>1</v>
      </c>
      <c r="R87" s="871">
        <v>1</v>
      </c>
      <c r="S87" s="871">
        <v>1</v>
      </c>
      <c r="T87" s="871">
        <v>1</v>
      </c>
      <c r="U87" s="871">
        <v>1</v>
      </c>
      <c r="V87" s="871">
        <v>1</v>
      </c>
      <c r="W87" s="871">
        <v>1</v>
      </c>
      <c r="X87" s="871">
        <v>1</v>
      </c>
      <c r="Y87" s="871">
        <v>1</v>
      </c>
      <c r="Z87" s="871">
        <v>1</v>
      </c>
      <c r="AA87" s="871">
        <v>1</v>
      </c>
    </row>
    <row r="88" spans="1:27" s="2072" customFormat="1" ht="21" customHeight="1">
      <c r="A88" s="2090"/>
      <c r="B88" s="2147"/>
      <c r="C88" s="2147"/>
      <c r="D88" s="2147"/>
      <c r="E88" s="2147"/>
      <c r="F88" s="2145"/>
      <c r="G88" s="2145"/>
      <c r="H88" s="2147"/>
      <c r="I88" s="2145"/>
      <c r="J88" s="2091"/>
      <c r="K88" s="2091"/>
      <c r="L88" s="6041" t="s">
        <v>9073</v>
      </c>
      <c r="M88" s="6042"/>
      <c r="N88" s="6042"/>
      <c r="O88" s="6043"/>
      <c r="P88" s="871">
        <v>1</v>
      </c>
      <c r="Q88" s="871">
        <v>1</v>
      </c>
      <c r="R88" s="871">
        <v>1</v>
      </c>
      <c r="S88" s="871">
        <v>1</v>
      </c>
      <c r="T88" s="871">
        <v>1</v>
      </c>
      <c r="U88" s="871">
        <v>1</v>
      </c>
      <c r="V88" s="871">
        <v>1</v>
      </c>
      <c r="W88" s="871">
        <v>1</v>
      </c>
      <c r="X88" s="871">
        <v>1</v>
      </c>
      <c r="Y88" s="871">
        <v>1</v>
      </c>
      <c r="Z88" s="871">
        <v>1</v>
      </c>
      <c r="AA88" s="871">
        <v>1</v>
      </c>
    </row>
    <row r="89" spans="1:27" s="2072" customFormat="1" ht="18.75">
      <c r="A89" s="2090"/>
      <c r="B89" s="2143" t="s">
        <v>9023</v>
      </c>
      <c r="C89" s="2148" t="s">
        <v>9074</v>
      </c>
      <c r="D89" s="2145"/>
      <c r="E89" s="2145"/>
      <c r="F89" s="2145"/>
      <c r="G89" s="2145"/>
      <c r="H89" s="2147"/>
      <c r="I89" s="2145"/>
      <c r="J89" s="2091"/>
      <c r="K89" s="2091"/>
      <c r="L89" s="6041"/>
      <c r="M89" s="6042"/>
      <c r="N89" s="6042"/>
      <c r="O89" s="6043"/>
      <c r="P89" s="871">
        <v>1</v>
      </c>
      <c r="Q89" s="871">
        <v>1</v>
      </c>
      <c r="R89" s="871">
        <v>1</v>
      </c>
      <c r="S89" s="871">
        <v>1</v>
      </c>
      <c r="T89" s="871">
        <v>1</v>
      </c>
      <c r="U89" s="871">
        <v>1</v>
      </c>
      <c r="V89" s="871">
        <v>1</v>
      </c>
      <c r="W89" s="871">
        <v>1</v>
      </c>
      <c r="X89" s="871">
        <v>1</v>
      </c>
      <c r="Y89" s="871">
        <v>1</v>
      </c>
      <c r="Z89" s="871">
        <v>1</v>
      </c>
      <c r="AA89" s="871">
        <v>1</v>
      </c>
    </row>
    <row r="90" spans="1:27" s="2072" customFormat="1" ht="21">
      <c r="A90" s="2090"/>
      <c r="B90" s="2144"/>
      <c r="C90" s="2149"/>
      <c r="D90" s="2144"/>
      <c r="E90" s="2147"/>
      <c r="F90" s="2145"/>
      <c r="G90" s="2145"/>
      <c r="H90" s="2147"/>
      <c r="I90" s="2145"/>
      <c r="J90" s="2091"/>
      <c r="K90" s="2091"/>
      <c r="L90" s="6041"/>
      <c r="M90" s="6042"/>
      <c r="N90" s="6042"/>
      <c r="O90" s="6043"/>
      <c r="P90" s="871">
        <v>1</v>
      </c>
      <c r="Q90" s="871">
        <v>1</v>
      </c>
      <c r="R90" s="871">
        <v>1</v>
      </c>
      <c r="S90" s="871">
        <v>1</v>
      </c>
      <c r="T90" s="871">
        <v>1</v>
      </c>
      <c r="U90" s="871">
        <v>1</v>
      </c>
      <c r="V90" s="871">
        <v>1</v>
      </c>
      <c r="W90" s="871">
        <v>1</v>
      </c>
      <c r="X90" s="871">
        <v>1</v>
      </c>
      <c r="Y90" s="871">
        <v>1</v>
      </c>
      <c r="Z90" s="871">
        <v>1</v>
      </c>
      <c r="AA90" s="871">
        <v>1</v>
      </c>
    </row>
    <row r="91" spans="1:27" s="2072" customFormat="1" ht="18.75">
      <c r="A91" s="2090"/>
      <c r="B91" s="2143" t="s">
        <v>9023</v>
      </c>
      <c r="C91" s="2150" t="s">
        <v>9075</v>
      </c>
      <c r="I91" s="2145"/>
      <c r="J91" s="2091"/>
      <c r="K91" s="2090"/>
      <c r="L91" s="6041"/>
      <c r="M91" s="6042"/>
      <c r="N91" s="6042"/>
      <c r="O91" s="6043"/>
      <c r="P91" s="871">
        <v>1</v>
      </c>
      <c r="Q91" s="871">
        <v>1</v>
      </c>
      <c r="R91" s="871">
        <v>1</v>
      </c>
      <c r="S91" s="871">
        <v>1</v>
      </c>
      <c r="T91" s="871">
        <v>1</v>
      </c>
      <c r="U91" s="871">
        <v>1</v>
      </c>
      <c r="V91" s="871">
        <v>1</v>
      </c>
      <c r="W91" s="871">
        <v>1</v>
      </c>
      <c r="X91" s="871">
        <v>1</v>
      </c>
      <c r="Y91" s="871">
        <v>1</v>
      </c>
      <c r="Z91" s="871">
        <v>1</v>
      </c>
      <c r="AA91" s="871">
        <v>1</v>
      </c>
    </row>
    <row r="92" spans="1:27" s="2072" customFormat="1" ht="15">
      <c r="A92" s="2090"/>
      <c r="B92" s="2091"/>
      <c r="C92" s="2145"/>
      <c r="D92" s="2145"/>
      <c r="E92" s="2145"/>
      <c r="F92" s="2145"/>
      <c r="G92" s="2145"/>
      <c r="H92" s="2147"/>
      <c r="I92" s="2145"/>
      <c r="J92" s="2091"/>
      <c r="K92" s="2090"/>
      <c r="L92" s="6044" t="s">
        <v>9076</v>
      </c>
      <c r="M92" s="6045"/>
      <c r="N92" s="6045"/>
      <c r="O92" s="6046"/>
      <c r="P92" s="871">
        <v>1</v>
      </c>
      <c r="Q92" s="871">
        <v>1</v>
      </c>
      <c r="R92" s="871">
        <v>1</v>
      </c>
      <c r="S92" s="871">
        <v>1</v>
      </c>
      <c r="T92" s="871">
        <v>1</v>
      </c>
      <c r="U92" s="871">
        <v>1</v>
      </c>
      <c r="V92" s="871">
        <v>1</v>
      </c>
      <c r="W92" s="871">
        <v>1</v>
      </c>
      <c r="X92" s="871">
        <v>1</v>
      </c>
      <c r="Y92" s="871">
        <v>1</v>
      </c>
      <c r="Z92" s="871">
        <v>1</v>
      </c>
      <c r="AA92" s="871">
        <v>1</v>
      </c>
    </row>
    <row r="93" spans="1:27" s="2072" customFormat="1" ht="15">
      <c r="A93" s="2090"/>
      <c r="G93" s="2145"/>
      <c r="H93" s="2147"/>
      <c r="I93" s="2145"/>
      <c r="J93" s="2091"/>
      <c r="K93" s="2090"/>
      <c r="L93" s="6044"/>
      <c r="M93" s="6045"/>
      <c r="N93" s="6045"/>
      <c r="O93" s="6046"/>
      <c r="P93" s="871">
        <v>1</v>
      </c>
      <c r="Q93" s="871">
        <v>1</v>
      </c>
      <c r="R93" s="871">
        <v>1</v>
      </c>
      <c r="S93" s="871">
        <v>1</v>
      </c>
      <c r="T93" s="871">
        <v>1</v>
      </c>
      <c r="U93" s="871">
        <v>1</v>
      </c>
      <c r="V93" s="871">
        <v>1</v>
      </c>
      <c r="W93" s="871">
        <v>1</v>
      </c>
      <c r="X93" s="871">
        <v>1</v>
      </c>
      <c r="Y93" s="871">
        <v>1</v>
      </c>
      <c r="Z93" s="871">
        <v>1</v>
      </c>
      <c r="AA93" s="871">
        <v>1</v>
      </c>
    </row>
    <row r="94" spans="1:27" s="2072" customFormat="1" ht="21">
      <c r="A94" s="2090"/>
      <c r="B94" s="2144"/>
      <c r="C94" s="2144"/>
      <c r="D94" s="2147"/>
      <c r="E94" s="2147"/>
      <c r="F94" s="2147"/>
      <c r="G94" s="2145"/>
      <c r="H94" s="2147"/>
      <c r="I94" s="2145"/>
      <c r="J94" s="2091"/>
      <c r="K94" s="2090"/>
      <c r="L94" s="6044"/>
      <c r="M94" s="6045"/>
      <c r="N94" s="6045"/>
      <c r="O94" s="6046"/>
      <c r="P94" s="871">
        <v>1</v>
      </c>
      <c r="Q94" s="871">
        <v>1</v>
      </c>
      <c r="R94" s="871">
        <v>1</v>
      </c>
      <c r="S94" s="871">
        <v>1</v>
      </c>
      <c r="T94" s="871">
        <v>1</v>
      </c>
      <c r="U94" s="871">
        <v>1</v>
      </c>
      <c r="V94" s="871">
        <v>1</v>
      </c>
      <c r="W94" s="871">
        <v>1</v>
      </c>
      <c r="X94" s="871">
        <v>1</v>
      </c>
      <c r="Y94" s="871">
        <v>1</v>
      </c>
      <c r="Z94" s="871">
        <v>1</v>
      </c>
      <c r="AA94" s="871">
        <v>1</v>
      </c>
    </row>
    <row r="95" spans="1:27" s="2072" customFormat="1" ht="15">
      <c r="A95" s="2090"/>
      <c r="B95" s="2090"/>
      <c r="C95" s="2090"/>
      <c r="D95" s="2090"/>
      <c r="E95" s="2090"/>
      <c r="F95" s="2090"/>
      <c r="G95" s="2145"/>
      <c r="H95" s="2147"/>
      <c r="I95" s="2145"/>
      <c r="J95" s="2091"/>
      <c r="K95" s="2090"/>
      <c r="L95" s="6047" t="s">
        <v>9077</v>
      </c>
      <c r="M95" s="6048"/>
      <c r="N95" s="6048"/>
      <c r="O95" s="6049"/>
      <c r="P95" s="871">
        <v>1</v>
      </c>
      <c r="Q95" s="871">
        <v>1</v>
      </c>
      <c r="R95" s="871">
        <v>1</v>
      </c>
      <c r="S95" s="871">
        <v>1</v>
      </c>
      <c r="T95" s="871">
        <v>1</v>
      </c>
      <c r="U95" s="871">
        <v>1</v>
      </c>
      <c r="V95" s="871">
        <v>1</v>
      </c>
      <c r="W95" s="871">
        <v>1</v>
      </c>
      <c r="X95" s="871">
        <v>1</v>
      </c>
      <c r="Y95" s="871">
        <v>1</v>
      </c>
      <c r="Z95" s="871">
        <v>1</v>
      </c>
      <c r="AA95" s="871">
        <v>1</v>
      </c>
    </row>
    <row r="96" spans="1:27" s="2072" customFormat="1" ht="15" customHeight="1">
      <c r="A96" s="2090"/>
      <c r="B96" s="2090"/>
      <c r="C96" s="2090"/>
      <c r="D96" s="2090"/>
      <c r="E96" s="2090"/>
      <c r="F96" s="2090"/>
      <c r="G96" s="2145"/>
      <c r="H96" s="2145"/>
      <c r="I96" s="2145"/>
      <c r="J96" s="2091"/>
      <c r="K96" s="2090"/>
      <c r="L96" s="6047"/>
      <c r="M96" s="6048"/>
      <c r="N96" s="6048"/>
      <c r="O96" s="6049"/>
      <c r="P96" s="871">
        <v>1</v>
      </c>
      <c r="Q96" s="871">
        <v>1</v>
      </c>
      <c r="R96" s="871">
        <v>1</v>
      </c>
      <c r="S96" s="871">
        <v>1</v>
      </c>
      <c r="T96" s="871">
        <v>1</v>
      </c>
      <c r="U96" s="871">
        <v>1</v>
      </c>
      <c r="V96" s="871">
        <v>1</v>
      </c>
      <c r="W96" s="871">
        <v>1</v>
      </c>
      <c r="X96" s="871">
        <v>1</v>
      </c>
      <c r="Y96" s="871">
        <v>1</v>
      </c>
      <c r="Z96" s="871">
        <v>1</v>
      </c>
      <c r="AA96" s="871">
        <v>1</v>
      </c>
    </row>
    <row r="97" spans="1:27" s="2072" customFormat="1" ht="15">
      <c r="A97" s="2090"/>
      <c r="B97" s="2090"/>
      <c r="C97" s="2090"/>
      <c r="D97" s="2090"/>
      <c r="E97" s="2090"/>
      <c r="F97" s="2090"/>
      <c r="G97" s="2145"/>
      <c r="H97" s="2145"/>
      <c r="I97" s="2145"/>
      <c r="J97" s="2091"/>
      <c r="K97" s="2090"/>
      <c r="L97" s="6050"/>
      <c r="M97" s="6051"/>
      <c r="N97" s="6051"/>
      <c r="O97" s="6052"/>
      <c r="P97" s="871">
        <v>1</v>
      </c>
      <c r="Q97" s="871">
        <v>1</v>
      </c>
      <c r="R97" s="871">
        <v>1</v>
      </c>
      <c r="S97" s="871">
        <v>1</v>
      </c>
      <c r="T97" s="871">
        <v>1</v>
      </c>
      <c r="U97" s="871">
        <v>1</v>
      </c>
      <c r="V97" s="871">
        <v>1</v>
      </c>
      <c r="W97" s="871">
        <v>1</v>
      </c>
      <c r="X97" s="871">
        <v>1</v>
      </c>
      <c r="Y97" s="871">
        <v>1</v>
      </c>
      <c r="Z97" s="871">
        <v>1</v>
      </c>
      <c r="AA97" s="871">
        <v>1</v>
      </c>
    </row>
    <row r="98" spans="1:27" s="2072" customFormat="1" ht="15">
      <c r="A98" s="2090"/>
      <c r="B98" s="2090"/>
      <c r="C98" s="2090"/>
      <c r="D98" s="2090"/>
      <c r="E98" s="2090"/>
      <c r="F98" s="2090"/>
      <c r="G98" s="2090"/>
      <c r="H98" s="2090"/>
      <c r="I98" s="2090"/>
      <c r="J98" s="2090"/>
      <c r="K98" s="2091"/>
      <c r="L98" s="2090"/>
      <c r="M98" s="2090"/>
      <c r="N98" s="2090"/>
      <c r="O98" s="2090"/>
      <c r="P98" s="871">
        <v>1</v>
      </c>
      <c r="Q98" s="871">
        <v>1</v>
      </c>
      <c r="R98" s="871">
        <v>1</v>
      </c>
      <c r="S98" s="871">
        <v>1</v>
      </c>
      <c r="T98" s="871">
        <v>1</v>
      </c>
      <c r="U98" s="871">
        <v>1</v>
      </c>
      <c r="V98" s="871">
        <v>1</v>
      </c>
      <c r="W98" s="871">
        <v>1</v>
      </c>
      <c r="X98" s="871">
        <v>1</v>
      </c>
      <c r="Y98" s="871">
        <v>1</v>
      </c>
      <c r="Z98" s="871">
        <v>1</v>
      </c>
      <c r="AA98" s="871">
        <v>1</v>
      </c>
    </row>
    <row r="99" spans="1:27" s="2072" customFormat="1" ht="15">
      <c r="A99" s="2090"/>
      <c r="B99" s="2090"/>
      <c r="C99" s="2090"/>
      <c r="D99" s="2090"/>
      <c r="E99" s="2090"/>
      <c r="F99" s="2090"/>
      <c r="G99" s="2090"/>
      <c r="H99" s="2090"/>
      <c r="I99" s="2090"/>
      <c r="J99" s="2090"/>
      <c r="K99" s="2091"/>
      <c r="L99" s="2090"/>
      <c r="M99" s="2090"/>
      <c r="N99" s="2090"/>
      <c r="O99" s="2090"/>
      <c r="P99" s="2090"/>
      <c r="Q99" s="2090"/>
      <c r="U99" s="871">
        <v>1</v>
      </c>
      <c r="V99" s="871">
        <v>1</v>
      </c>
      <c r="W99" s="871">
        <v>1</v>
      </c>
      <c r="X99" s="871">
        <v>1</v>
      </c>
      <c r="Y99" s="871">
        <v>1</v>
      </c>
      <c r="Z99" s="871">
        <v>1</v>
      </c>
      <c r="AA99" s="871">
        <v>1</v>
      </c>
    </row>
    <row r="100" spans="1:27" ht="46.5" customHeight="1">
      <c r="A100" s="2115" t="s">
        <v>167</v>
      </c>
      <c r="B100" s="6053" t="s">
        <v>9001</v>
      </c>
      <c r="C100" s="6054"/>
      <c r="D100" s="6054"/>
      <c r="E100" s="6054"/>
      <c r="F100" s="6054"/>
      <c r="G100" s="6054"/>
      <c r="H100" s="6054"/>
      <c r="I100" s="6054"/>
      <c r="J100" s="6054"/>
      <c r="K100" s="6054"/>
      <c r="L100" s="6054"/>
      <c r="M100" s="6054"/>
      <c r="N100" s="6054"/>
      <c r="O100" s="6054"/>
      <c r="P100" s="6054"/>
      <c r="Q100" s="6054"/>
      <c r="R100" s="6054"/>
      <c r="S100" s="6054"/>
      <c r="T100" s="6055"/>
      <c r="U100" s="871">
        <v>1</v>
      </c>
      <c r="V100" s="871">
        <v>1</v>
      </c>
      <c r="W100" s="871">
        <v>1</v>
      </c>
      <c r="X100" s="871">
        <v>1</v>
      </c>
      <c r="Y100" s="871">
        <v>1</v>
      </c>
      <c r="Z100" s="871">
        <v>1</v>
      </c>
      <c r="AA100" s="871">
        <v>1</v>
      </c>
    </row>
    <row r="101" spans="1:27" ht="26.25" customHeight="1">
      <c r="A101" s="6056" t="str">
        <f>B100</f>
        <v>Gastronormes tableau N° 1</v>
      </c>
      <c r="B101" s="2151" t="str">
        <f>ADDRESS(ROW(),COLUMN(),4)</f>
        <v>B101</v>
      </c>
      <c r="C101" s="2152" t="s">
        <v>3529</v>
      </c>
      <c r="D101" s="2106"/>
      <c r="E101" s="2106"/>
      <c r="F101" s="2106"/>
      <c r="G101" s="2106"/>
      <c r="H101" s="2106"/>
      <c r="I101" s="2106"/>
      <c r="J101" s="2106"/>
      <c r="K101" s="2106"/>
      <c r="L101" s="2106"/>
      <c r="M101" s="2106"/>
      <c r="N101" s="2106"/>
      <c r="O101" s="2107"/>
      <c r="P101" s="2106"/>
      <c r="Q101" s="2107"/>
      <c r="R101" s="2107"/>
      <c r="S101" s="2107"/>
      <c r="T101" s="2153" t="s">
        <v>9078</v>
      </c>
      <c r="U101" s="871">
        <v>1</v>
      </c>
      <c r="V101" s="871">
        <v>1</v>
      </c>
      <c r="W101" s="871">
        <v>1</v>
      </c>
      <c r="X101" s="871">
        <v>1</v>
      </c>
      <c r="Y101" s="871">
        <v>1</v>
      </c>
      <c r="Z101" s="871">
        <v>1</v>
      </c>
      <c r="AA101" s="871">
        <v>1</v>
      </c>
    </row>
    <row r="102" spans="1:27" ht="20.100000000000001" customHeight="1">
      <c r="A102" s="6056"/>
      <c r="B102" s="6057" t="s">
        <v>9079</v>
      </c>
      <c r="C102" s="6058"/>
      <c r="D102" s="6058"/>
      <c r="E102" s="6058"/>
      <c r="F102" s="6058"/>
      <c r="G102" s="6058"/>
      <c r="H102" s="6058"/>
      <c r="I102" s="6058"/>
      <c r="J102" s="6058"/>
      <c r="K102" s="6058"/>
      <c r="L102" s="6059" t="s">
        <v>9080</v>
      </c>
      <c r="M102" s="6060"/>
      <c r="N102" s="6060"/>
      <c r="O102" s="6060"/>
      <c r="P102" s="6060"/>
      <c r="Q102" s="6060"/>
      <c r="R102" s="6060"/>
      <c r="S102" s="6060"/>
      <c r="T102" s="6061"/>
      <c r="U102" s="871">
        <v>1</v>
      </c>
      <c r="V102" s="871">
        <v>1</v>
      </c>
      <c r="W102" s="871">
        <v>1</v>
      </c>
      <c r="X102" s="871">
        <v>1</v>
      </c>
      <c r="Y102" s="871">
        <v>1</v>
      </c>
      <c r="Z102" s="871">
        <v>1</v>
      </c>
      <c r="AA102" s="871">
        <v>1</v>
      </c>
    </row>
    <row r="103" spans="1:27" ht="20.100000000000001" customHeight="1">
      <c r="A103" s="6056"/>
      <c r="B103" s="6062" t="s">
        <v>9081</v>
      </c>
      <c r="C103" s="6063"/>
      <c r="D103" s="6063"/>
      <c r="E103" s="6068" t="s">
        <v>9003</v>
      </c>
      <c r="F103" s="6071" t="s">
        <v>9082</v>
      </c>
      <c r="G103" s="6077" t="s">
        <v>9083</v>
      </c>
      <c r="H103" s="6078"/>
      <c r="I103" s="6078"/>
      <c r="J103" s="6078"/>
      <c r="K103" s="6079"/>
      <c r="L103" s="6080" t="s">
        <v>9084</v>
      </c>
      <c r="M103" s="6081"/>
      <c r="N103" s="6084" t="s">
        <v>9085</v>
      </c>
      <c r="O103" s="6085"/>
      <c r="P103" s="6085"/>
      <c r="Q103" s="6085"/>
      <c r="R103" s="6085"/>
      <c r="S103" s="6085"/>
      <c r="T103" s="6086"/>
      <c r="U103" s="871">
        <v>1</v>
      </c>
      <c r="V103" s="871">
        <v>1</v>
      </c>
      <c r="W103" s="871">
        <v>1</v>
      </c>
      <c r="X103" s="871">
        <v>1</v>
      </c>
      <c r="Y103" s="871">
        <v>1</v>
      </c>
      <c r="Z103" s="871">
        <v>1</v>
      </c>
      <c r="AA103" s="871">
        <v>1</v>
      </c>
    </row>
    <row r="104" spans="1:27" ht="20.100000000000001" customHeight="1">
      <c r="A104" s="6056"/>
      <c r="B104" s="6064"/>
      <c r="C104" s="6065"/>
      <c r="D104" s="6065"/>
      <c r="E104" s="6069"/>
      <c r="F104" s="6072"/>
      <c r="G104" s="2154" t="s">
        <v>9086</v>
      </c>
      <c r="H104" s="2155" t="s">
        <v>9087</v>
      </c>
      <c r="I104" s="2156" t="s">
        <v>9088</v>
      </c>
      <c r="J104" s="2156" t="s">
        <v>9089</v>
      </c>
      <c r="K104" s="2156" t="s">
        <v>9090</v>
      </c>
      <c r="L104" s="6082"/>
      <c r="M104" s="6083"/>
      <c r="N104" s="6087"/>
      <c r="O104" s="6088"/>
      <c r="P104" s="6088"/>
      <c r="Q104" s="6088"/>
      <c r="R104" s="6088"/>
      <c r="S104" s="6088"/>
      <c r="T104" s="6089"/>
      <c r="U104" s="871">
        <v>1</v>
      </c>
      <c r="V104" s="871">
        <v>1</v>
      </c>
      <c r="W104" s="871">
        <v>1</v>
      </c>
      <c r="X104" s="871">
        <v>1</v>
      </c>
      <c r="Y104" s="871">
        <v>1</v>
      </c>
      <c r="Z104" s="871">
        <v>1</v>
      </c>
      <c r="AA104" s="871">
        <v>1</v>
      </c>
    </row>
    <row r="105" spans="1:27" ht="20.100000000000001" customHeight="1">
      <c r="A105" s="6056"/>
      <c r="B105" s="6064"/>
      <c r="C105" s="6065"/>
      <c r="D105" s="6065"/>
      <c r="E105" s="6069"/>
      <c r="F105" s="6072"/>
      <c r="G105" s="2157">
        <v>12</v>
      </c>
      <c r="H105" s="2157">
        <v>25</v>
      </c>
      <c r="I105" s="2157">
        <v>14</v>
      </c>
      <c r="J105" s="2157">
        <v>7</v>
      </c>
      <c r="K105" s="2157">
        <v>10</v>
      </c>
      <c r="L105" s="6093" t="s">
        <v>9091</v>
      </c>
      <c r="M105" s="6094"/>
      <c r="N105" s="6087"/>
      <c r="O105" s="6088"/>
      <c r="P105" s="6088"/>
      <c r="Q105" s="6088"/>
      <c r="R105" s="6088"/>
      <c r="S105" s="6088"/>
      <c r="T105" s="6089"/>
      <c r="U105" s="871">
        <v>1</v>
      </c>
      <c r="V105" s="871">
        <v>1</v>
      </c>
      <c r="W105" s="871">
        <v>1</v>
      </c>
      <c r="X105" s="871">
        <v>1</v>
      </c>
      <c r="Y105" s="871">
        <v>1</v>
      </c>
      <c r="Z105" s="871">
        <v>1</v>
      </c>
      <c r="AA105" s="871">
        <v>1</v>
      </c>
    </row>
    <row r="106" spans="1:27" ht="20.100000000000001" customHeight="1" thickBot="1">
      <c r="A106" s="6056"/>
      <c r="B106" s="6066"/>
      <c r="C106" s="6067"/>
      <c r="D106" s="6067"/>
      <c r="E106" s="6070"/>
      <c r="F106" s="6073"/>
      <c r="G106" s="6095" t="s">
        <v>9092</v>
      </c>
      <c r="H106" s="6095"/>
      <c r="I106" s="6095"/>
      <c r="J106" s="6095"/>
      <c r="K106" s="6095"/>
      <c r="L106" s="6096">
        <f>SUM(G105:K105)</f>
        <v>68</v>
      </c>
      <c r="M106" s="6097"/>
      <c r="N106" s="6090"/>
      <c r="O106" s="6091"/>
      <c r="P106" s="6091"/>
      <c r="Q106" s="6091"/>
      <c r="R106" s="6091"/>
      <c r="S106" s="6091"/>
      <c r="T106" s="6092"/>
      <c r="U106" s="871">
        <v>1</v>
      </c>
      <c r="V106" s="871">
        <v>1</v>
      </c>
      <c r="W106" s="871">
        <v>1</v>
      </c>
      <c r="X106" s="871">
        <v>1</v>
      </c>
      <c r="Y106" s="871">
        <v>1</v>
      </c>
      <c r="Z106" s="871">
        <v>1</v>
      </c>
      <c r="AA106" s="871">
        <v>1</v>
      </c>
    </row>
    <row r="107" spans="1:27" ht="20.100000000000001" customHeight="1">
      <c r="A107" s="6056"/>
      <c r="B107" s="2158" t="s">
        <v>9093</v>
      </c>
      <c r="C107" s="2159"/>
      <c r="D107" s="2159"/>
      <c r="E107" s="2159"/>
      <c r="F107" s="2159"/>
      <c r="G107" s="2159"/>
      <c r="H107" s="2159"/>
      <c r="I107" s="2159"/>
      <c r="J107" s="2159"/>
      <c r="K107" s="2159"/>
      <c r="L107" s="2159"/>
      <c r="M107" s="2159"/>
      <c r="N107" s="2159"/>
      <c r="O107" s="2159"/>
      <c r="P107" s="2159"/>
      <c r="Q107" s="2159"/>
      <c r="R107" s="2159"/>
      <c r="S107" s="2159"/>
      <c r="T107" s="2160" t="s">
        <v>9093</v>
      </c>
      <c r="U107" s="871">
        <v>1</v>
      </c>
      <c r="V107" s="871">
        <v>1</v>
      </c>
      <c r="W107" s="871">
        <v>1</v>
      </c>
      <c r="X107" s="871">
        <v>1</v>
      </c>
      <c r="Y107" s="871">
        <v>1</v>
      </c>
      <c r="Z107" s="871">
        <v>1</v>
      </c>
      <c r="AA107" s="871">
        <v>1</v>
      </c>
    </row>
    <row r="108" spans="1:27" ht="20.100000000000001" customHeight="1">
      <c r="A108" s="6056"/>
      <c r="B108" s="6074" t="s">
        <v>9094</v>
      </c>
      <c r="C108" s="6075"/>
      <c r="D108" s="6075"/>
      <c r="E108" s="2161">
        <v>25</v>
      </c>
      <c r="F108" s="2162" t="s">
        <v>9095</v>
      </c>
      <c r="G108" s="2163">
        <v>0.5</v>
      </c>
      <c r="H108" s="2163">
        <v>1</v>
      </c>
      <c r="I108" s="2163">
        <v>1</v>
      </c>
      <c r="J108" s="2163">
        <v>1</v>
      </c>
      <c r="K108" s="2163">
        <v>1</v>
      </c>
      <c r="L108" s="2164">
        <f>(G108*G105)+(H108*H105)+(I108*I105)+(J108*J105)+(K108*K105)</f>
        <v>62</v>
      </c>
      <c r="M108" s="6076" t="str">
        <f>F108</f>
        <v>paupiettes</v>
      </c>
      <c r="N108" s="6076"/>
      <c r="O108" s="2165">
        <f>IF(L108=0,0,INT(L108/E108))</f>
        <v>2</v>
      </c>
      <c r="P108" s="2166">
        <f>L108-(O108*E108)</f>
        <v>12</v>
      </c>
      <c r="Q108" s="2167" t="str">
        <f>IF(P108=0,0,F108)</f>
        <v>paupiettes</v>
      </c>
      <c r="R108" s="2168">
        <f>IF(P108=0,0,O108+1)</f>
        <v>3</v>
      </c>
      <c r="S108" s="2166">
        <f>IF(P108=0,0,L108-(R108*E108))</f>
        <v>-13</v>
      </c>
      <c r="T108" s="2169" t="str">
        <f>IF(S108=0,0,F108)</f>
        <v>paupiettes</v>
      </c>
      <c r="U108" s="871">
        <v>1</v>
      </c>
      <c r="V108" s="871">
        <v>1</v>
      </c>
      <c r="W108" s="871">
        <v>1</v>
      </c>
      <c r="X108" s="871">
        <v>1</v>
      </c>
      <c r="Y108" s="871">
        <v>1</v>
      </c>
      <c r="Z108" s="871">
        <v>1</v>
      </c>
      <c r="AA108" s="871">
        <v>1</v>
      </c>
    </row>
    <row r="109" spans="1:27" ht="20.100000000000001" customHeight="1">
      <c r="A109" s="6056"/>
      <c r="B109" s="6074" t="s">
        <v>9096</v>
      </c>
      <c r="C109" s="6075"/>
      <c r="D109" s="6075"/>
      <c r="E109" s="2161">
        <v>12</v>
      </c>
      <c r="F109" s="2162" t="s">
        <v>9097</v>
      </c>
      <c r="G109" s="2163">
        <v>1</v>
      </c>
      <c r="H109" s="2163">
        <v>1</v>
      </c>
      <c r="I109" s="2163">
        <v>1</v>
      </c>
      <c r="J109" s="2163">
        <v>1</v>
      </c>
      <c r="K109" s="2163">
        <v>1</v>
      </c>
      <c r="L109" s="2164">
        <f>(G109*G105)+(H109*H105)+(I109*I105)+(J109*J105)+(K109*K105)</f>
        <v>68</v>
      </c>
      <c r="M109" s="6076" t="str">
        <f>F109</f>
        <v>Cuisses</v>
      </c>
      <c r="N109" s="6076"/>
      <c r="O109" s="2165">
        <f>IF(L109=0,0,INT(L109/E109))</f>
        <v>5</v>
      </c>
      <c r="P109" s="2166">
        <f>L109-(O109*E109)</f>
        <v>8</v>
      </c>
      <c r="Q109" s="2167" t="str">
        <f>IF(P109=0,0,F109)</f>
        <v>Cuisses</v>
      </c>
      <c r="R109" s="2168">
        <f>IF(P109=0,0,O109+1)</f>
        <v>6</v>
      </c>
      <c r="S109" s="2166">
        <f>IF(P109=0,0,L109-(R109*E109))</f>
        <v>-4</v>
      </c>
      <c r="T109" s="2169" t="str">
        <f>IF(S109=0,0,F109)</f>
        <v>Cuisses</v>
      </c>
      <c r="U109" s="871">
        <v>1</v>
      </c>
      <c r="V109" s="871">
        <v>1</v>
      </c>
      <c r="W109" s="871">
        <v>1</v>
      </c>
      <c r="X109" s="871">
        <v>1</v>
      </c>
      <c r="Y109" s="871">
        <v>1</v>
      </c>
      <c r="Z109" s="871">
        <v>1</v>
      </c>
      <c r="AA109" s="871">
        <v>1</v>
      </c>
    </row>
    <row r="110" spans="1:27" ht="20.100000000000001" customHeight="1">
      <c r="A110" s="6056"/>
      <c r="B110" s="6074" t="s">
        <v>9098</v>
      </c>
      <c r="C110" s="6075"/>
      <c r="D110" s="6075"/>
      <c r="E110" s="2161">
        <v>60</v>
      </c>
      <c r="F110" s="2162" t="s">
        <v>919</v>
      </c>
      <c r="G110" s="2163">
        <v>1</v>
      </c>
      <c r="H110" s="2170">
        <v>1.5</v>
      </c>
      <c r="I110" s="2163">
        <v>2</v>
      </c>
      <c r="J110" s="2163">
        <v>3</v>
      </c>
      <c r="K110" s="2163">
        <v>2</v>
      </c>
      <c r="L110" s="2164">
        <f>(G110*G105)+(H110*H105)+(I110*I105)+(J110*J105)+(K110*K105)</f>
        <v>118.5</v>
      </c>
      <c r="M110" s="6076" t="str">
        <f>F110</f>
        <v>tranches</v>
      </c>
      <c r="N110" s="6076"/>
      <c r="O110" s="2165">
        <f>IF(L110=0,0,INT(L110/E110))</f>
        <v>1</v>
      </c>
      <c r="P110" s="2166">
        <f>L110-(O110*E110)</f>
        <v>58.5</v>
      </c>
      <c r="Q110" s="2167" t="str">
        <f>IF(P110=0,0,F110)</f>
        <v>tranches</v>
      </c>
      <c r="R110" s="2168">
        <f>IF(P110=0,0,O110+1)</f>
        <v>2</v>
      </c>
      <c r="S110" s="2166">
        <f>IF(P110=0,0,L110-(R110*E110))</f>
        <v>-1.5</v>
      </c>
      <c r="T110" s="2169" t="str">
        <f>IF(S110=0,0,F110)</f>
        <v>tranches</v>
      </c>
      <c r="U110" s="871">
        <v>1</v>
      </c>
      <c r="V110" s="871">
        <v>1</v>
      </c>
      <c r="W110" s="871">
        <v>1</v>
      </c>
      <c r="X110" s="871">
        <v>1</v>
      </c>
      <c r="Y110" s="871">
        <v>1</v>
      </c>
      <c r="Z110" s="871">
        <v>1</v>
      </c>
      <c r="AA110" s="871">
        <v>1</v>
      </c>
    </row>
    <row r="111" spans="1:27" ht="20.100000000000001" customHeight="1" thickBot="1">
      <c r="A111" s="6056"/>
      <c r="B111" s="6074" t="s">
        <v>9099</v>
      </c>
      <c r="C111" s="6075"/>
      <c r="D111" s="6075"/>
      <c r="E111" s="2161">
        <v>20</v>
      </c>
      <c r="F111" s="2162" t="s">
        <v>9100</v>
      </c>
      <c r="G111" s="2163">
        <v>1</v>
      </c>
      <c r="H111" s="2163">
        <v>1.5</v>
      </c>
      <c r="I111" s="2163">
        <v>2</v>
      </c>
      <c r="J111" s="2163">
        <v>3</v>
      </c>
      <c r="K111" s="2163">
        <v>2</v>
      </c>
      <c r="L111" s="2171">
        <f>(G111*G105)+(H111*H105)+(I111*I105)+(J111*J105)+(K111*K105)</f>
        <v>118.5</v>
      </c>
      <c r="M111" s="6101" t="str">
        <f>F111</f>
        <v>tomates</v>
      </c>
      <c r="N111" s="6101"/>
      <c r="O111" s="2172">
        <f>IF(L111=0,0,INT(L111/E111))</f>
        <v>5</v>
      </c>
      <c r="P111" s="2173">
        <f>L111-(O111*E111)</f>
        <v>18.5</v>
      </c>
      <c r="Q111" s="2174" t="str">
        <f>IF(P111=0,0,F111)</f>
        <v>tomates</v>
      </c>
      <c r="R111" s="2175">
        <f>IF(P111=0,0,O111+1)</f>
        <v>6</v>
      </c>
      <c r="S111" s="2173">
        <f>IF(P111=0,0,L111-(R111*E111))</f>
        <v>-1.5</v>
      </c>
      <c r="T111" s="2176" t="str">
        <f>IF(S111=0,0,F111)</f>
        <v>tomates</v>
      </c>
      <c r="U111" s="871">
        <v>1</v>
      </c>
      <c r="V111" s="871">
        <v>1</v>
      </c>
      <c r="W111" s="871">
        <v>1</v>
      </c>
      <c r="X111" s="871">
        <v>1</v>
      </c>
      <c r="Y111" s="871">
        <v>1</v>
      </c>
      <c r="Z111" s="871">
        <v>1</v>
      </c>
      <c r="AA111" s="871">
        <v>1</v>
      </c>
    </row>
    <row r="112" spans="1:27" ht="20.100000000000001" customHeight="1">
      <c r="A112" s="6056"/>
      <c r="B112" s="2177" t="s">
        <v>9101</v>
      </c>
      <c r="C112" s="2178"/>
      <c r="D112" s="2178"/>
      <c r="E112" s="2178"/>
      <c r="F112" s="2178"/>
      <c r="G112" s="2178"/>
      <c r="H112" s="2178"/>
      <c r="I112" s="2178"/>
      <c r="J112" s="2178"/>
      <c r="K112" s="2178"/>
      <c r="L112" s="2178"/>
      <c r="M112" s="2178"/>
      <c r="N112" s="2178"/>
      <c r="O112" s="2178"/>
      <c r="P112" s="2178"/>
      <c r="Q112" s="2178"/>
      <c r="R112" s="2178"/>
      <c r="S112" s="2178"/>
      <c r="T112" s="2179" t="s">
        <v>9101</v>
      </c>
      <c r="U112" s="871">
        <v>1</v>
      </c>
      <c r="V112" s="871">
        <v>1</v>
      </c>
      <c r="W112" s="871">
        <v>1</v>
      </c>
      <c r="X112" s="871">
        <v>1</v>
      </c>
      <c r="Y112" s="871">
        <v>1</v>
      </c>
      <c r="Z112" s="871">
        <v>1</v>
      </c>
      <c r="AA112" s="871">
        <v>1</v>
      </c>
    </row>
    <row r="113" spans="1:27" ht="20.100000000000001" customHeight="1">
      <c r="A113" s="6056"/>
      <c r="B113" s="6102" t="s">
        <v>9102</v>
      </c>
      <c r="C113" s="6075"/>
      <c r="D113" s="6075"/>
      <c r="E113" s="2161">
        <v>3</v>
      </c>
      <c r="F113" s="2162" t="s">
        <v>872</v>
      </c>
      <c r="G113" s="2163">
        <v>7.4999999999999997E-2</v>
      </c>
      <c r="H113" s="2180">
        <v>0.09</v>
      </c>
      <c r="I113" s="2180">
        <v>0.15</v>
      </c>
      <c r="J113" s="2180">
        <v>0.18</v>
      </c>
      <c r="K113" s="2180">
        <v>0.13</v>
      </c>
      <c r="L113" s="2181">
        <f>(G113*G105)+(H113*H105)+(I113*I105)+(J113*J105)+(K113*K105)</f>
        <v>7.81</v>
      </c>
      <c r="M113" s="6076" t="str">
        <f>F113</f>
        <v>Kg</v>
      </c>
      <c r="N113" s="6076"/>
      <c r="O113" s="2165">
        <f>IF(L113=0,0,INT(L113/E113))</f>
        <v>2</v>
      </c>
      <c r="P113" s="2182">
        <f>L113-(O113*E113)</f>
        <v>1.8099999999999996</v>
      </c>
      <c r="Q113" s="2167" t="str">
        <f>IF(P113=0,0,F113)</f>
        <v>Kg</v>
      </c>
      <c r="R113" s="2168">
        <f>IF(P113=0,0,O113+1)</f>
        <v>3</v>
      </c>
      <c r="S113" s="2166">
        <f>IF(P113=0,0,L113-(R113*E113))</f>
        <v>-1.1900000000000004</v>
      </c>
      <c r="T113" s="2183" t="str">
        <f>IF(S113=0,0,F113)</f>
        <v>Kg</v>
      </c>
      <c r="U113" s="871">
        <v>1</v>
      </c>
      <c r="V113" s="871">
        <v>1</v>
      </c>
      <c r="W113" s="871">
        <v>1</v>
      </c>
      <c r="X113" s="871">
        <v>1</v>
      </c>
      <c r="Y113" s="871">
        <v>1</v>
      </c>
      <c r="Z113" s="871">
        <v>1</v>
      </c>
      <c r="AA113" s="871">
        <v>1</v>
      </c>
    </row>
    <row r="114" spans="1:27" ht="20.100000000000001" customHeight="1">
      <c r="A114" s="6056"/>
      <c r="B114" s="6102" t="s">
        <v>9103</v>
      </c>
      <c r="C114" s="6075"/>
      <c r="D114" s="6075"/>
      <c r="E114" s="2161">
        <v>7.2</v>
      </c>
      <c r="F114" s="2184" t="s">
        <v>872</v>
      </c>
      <c r="G114" s="2180">
        <v>0.2</v>
      </c>
      <c r="H114" s="2180">
        <v>0.25</v>
      </c>
      <c r="I114" s="2180">
        <v>0.35</v>
      </c>
      <c r="J114" s="2180">
        <v>0.45</v>
      </c>
      <c r="K114" s="2180">
        <v>0.35</v>
      </c>
      <c r="L114" s="2181">
        <f>(G114*G105)+(H114*H105)+(I114*I105)+(J114*J105)+(K114*K105)</f>
        <v>20.2</v>
      </c>
      <c r="M114" s="6076" t="str">
        <f>F114</f>
        <v>Kg</v>
      </c>
      <c r="N114" s="6076"/>
      <c r="O114" s="2165">
        <f>IF(L114=0,0,INT(L114/E114))</f>
        <v>2</v>
      </c>
      <c r="P114" s="2182">
        <f>L114-(O114*E114)</f>
        <v>5.7999999999999989</v>
      </c>
      <c r="Q114" s="2167" t="str">
        <f>IF(P114=0,0,F114)</f>
        <v>Kg</v>
      </c>
      <c r="R114" s="2168">
        <f>IF(P114=0,0,O114+1)</f>
        <v>3</v>
      </c>
      <c r="S114" s="2166">
        <f>IF(P114=0,0,L114-(R114*E114))</f>
        <v>-1.4000000000000021</v>
      </c>
      <c r="T114" s="2183" t="str">
        <f>IF(S114=0,0,F114)</f>
        <v>Kg</v>
      </c>
      <c r="U114" s="871">
        <v>1</v>
      </c>
      <c r="V114" s="871">
        <v>1</v>
      </c>
      <c r="W114" s="871">
        <v>1</v>
      </c>
      <c r="X114" s="871">
        <v>1</v>
      </c>
      <c r="Y114" s="871">
        <v>1</v>
      </c>
      <c r="Z114" s="871">
        <v>1</v>
      </c>
      <c r="AA114" s="871">
        <v>1</v>
      </c>
    </row>
    <row r="115" spans="1:27" ht="20.100000000000001" customHeight="1">
      <c r="A115" s="6056"/>
      <c r="B115" s="6105" t="s">
        <v>9104</v>
      </c>
      <c r="C115" s="6106"/>
      <c r="D115" s="6106"/>
      <c r="E115" s="2185">
        <v>4</v>
      </c>
      <c r="F115" s="2186" t="s">
        <v>872</v>
      </c>
      <c r="G115" s="2187">
        <v>0.2</v>
      </c>
      <c r="H115" s="2187">
        <v>0.25</v>
      </c>
      <c r="I115" s="2187">
        <v>0.35</v>
      </c>
      <c r="J115" s="2187">
        <v>0.45</v>
      </c>
      <c r="K115" s="2187">
        <v>0.35</v>
      </c>
      <c r="L115" s="2188">
        <f>(G115*G105)+(H115*H105)+(I115*I105)+(J115*J105)+(K115*K105)</f>
        <v>20.2</v>
      </c>
      <c r="M115" s="6107" t="str">
        <f>F115</f>
        <v>Kg</v>
      </c>
      <c r="N115" s="6107"/>
      <c r="O115" s="2189">
        <f>IF(L115=0,0,INT(L115/E115))</f>
        <v>5</v>
      </c>
      <c r="P115" s="2190">
        <f>L115-(O115*E115)</f>
        <v>0.19999999999999929</v>
      </c>
      <c r="Q115" s="2191" t="str">
        <f>IF(P115=0,0,F115)</f>
        <v>Kg</v>
      </c>
      <c r="R115" s="2192">
        <f>IF(P115=0,0,O115+1)</f>
        <v>6</v>
      </c>
      <c r="S115" s="2193">
        <f>IF(P115=0,0,L115-(R115*E115))</f>
        <v>-3.8000000000000007</v>
      </c>
      <c r="T115" s="2194" t="str">
        <f>IF(S115=0,0,F115)</f>
        <v>Kg</v>
      </c>
      <c r="U115" s="871">
        <v>1</v>
      </c>
      <c r="V115" s="871">
        <v>1</v>
      </c>
      <c r="W115" s="871">
        <v>1</v>
      </c>
      <c r="X115" s="871">
        <v>1</v>
      </c>
      <c r="Y115" s="871">
        <v>1</v>
      </c>
      <c r="Z115" s="871">
        <v>1</v>
      </c>
      <c r="AA115" s="871">
        <v>1</v>
      </c>
    </row>
    <row r="116" spans="1:27" ht="20.100000000000001" customHeight="1">
      <c r="A116" s="6056"/>
      <c r="B116" s="2195" t="s">
        <v>9105</v>
      </c>
      <c r="C116" s="2196"/>
      <c r="D116" s="2196"/>
      <c r="E116" s="2197"/>
      <c r="F116" s="2198"/>
      <c r="G116" s="2199"/>
      <c r="H116" s="2199"/>
      <c r="I116" s="2199"/>
      <c r="J116" s="2199"/>
      <c r="K116" s="2199"/>
      <c r="L116" s="2200"/>
      <c r="M116" s="2201"/>
      <c r="N116" s="2201"/>
      <c r="O116" s="2202"/>
      <c r="P116" s="2203"/>
      <c r="Q116" s="2204"/>
      <c r="R116" s="2202"/>
      <c r="S116" s="2205"/>
      <c r="T116" s="2206"/>
      <c r="U116" s="871">
        <v>1</v>
      </c>
      <c r="V116" s="871">
        <v>1</v>
      </c>
      <c r="W116" s="871">
        <v>1</v>
      </c>
      <c r="X116" s="871">
        <v>1</v>
      </c>
      <c r="Y116" s="871">
        <v>1</v>
      </c>
      <c r="Z116" s="871">
        <v>1</v>
      </c>
      <c r="AA116" s="871">
        <v>1</v>
      </c>
    </row>
    <row r="117" spans="1:27" ht="20.100000000000001" customHeight="1">
      <c r="A117" s="6056"/>
      <c r="B117" s="2207" t="s">
        <v>9106</v>
      </c>
      <c r="C117" s="2208"/>
      <c r="D117" s="2208"/>
      <c r="E117" s="2209"/>
      <c r="F117" s="2210"/>
      <c r="G117" s="2211"/>
      <c r="H117" s="2211"/>
      <c r="I117" s="2211"/>
      <c r="J117" s="2211"/>
      <c r="K117" s="2211"/>
      <c r="L117" s="2212"/>
      <c r="M117" s="2213"/>
      <c r="N117" s="2213"/>
      <c r="O117" s="2214"/>
      <c r="P117" s="2215"/>
      <c r="Q117" s="2216"/>
      <c r="R117" s="2214"/>
      <c r="S117" s="2217"/>
      <c r="T117" s="2218"/>
      <c r="U117" s="871">
        <v>1</v>
      </c>
      <c r="V117" s="871">
        <v>1</v>
      </c>
      <c r="W117" s="871">
        <v>1</v>
      </c>
      <c r="X117" s="871">
        <v>1</v>
      </c>
      <c r="Y117" s="871">
        <v>1</v>
      </c>
      <c r="Z117" s="871">
        <v>1</v>
      </c>
      <c r="AA117" s="871">
        <v>1</v>
      </c>
    </row>
    <row r="118" spans="1:27" ht="20.100000000000001" customHeight="1">
      <c r="A118" s="6056"/>
      <c r="B118" s="2219"/>
      <c r="C118" s="2219"/>
      <c r="D118" s="2219"/>
      <c r="E118" s="2219"/>
      <c r="F118" s="2219"/>
      <c r="G118" s="6108" t="s">
        <v>3554</v>
      </c>
      <c r="H118" s="6108"/>
      <c r="I118" s="6108"/>
      <c r="J118" s="6108"/>
      <c r="K118" s="6108"/>
      <c r="L118" s="2219"/>
      <c r="M118" s="2219"/>
      <c r="N118" s="2219"/>
      <c r="O118" s="2219"/>
      <c r="P118" s="2219"/>
      <c r="Q118" s="2219"/>
      <c r="R118" s="2219"/>
      <c r="S118" s="2220"/>
      <c r="T118" s="2221"/>
      <c r="U118" s="871">
        <v>1</v>
      </c>
      <c r="V118" s="871">
        <v>1</v>
      </c>
      <c r="W118" s="871">
        <v>1</v>
      </c>
      <c r="X118" s="871">
        <v>1</v>
      </c>
      <c r="Y118" s="871">
        <v>1</v>
      </c>
      <c r="Z118" s="871">
        <v>1</v>
      </c>
      <c r="AA118" s="871">
        <v>1</v>
      </c>
    </row>
    <row r="119" spans="1:27" s="2072" customFormat="1" thickBot="1">
      <c r="A119" s="2090"/>
      <c r="B119" s="2090"/>
      <c r="C119" s="2090"/>
      <c r="D119" s="2090"/>
      <c r="E119" s="2090"/>
      <c r="F119" s="2090"/>
      <c r="G119" s="2090"/>
      <c r="H119" s="2090"/>
      <c r="I119" s="2090"/>
      <c r="J119" s="2090"/>
      <c r="K119" s="2091"/>
      <c r="L119" s="2091"/>
      <c r="M119" s="2090"/>
      <c r="N119" s="2090"/>
      <c r="O119" s="2090"/>
      <c r="P119" s="2090"/>
      <c r="Q119" s="2090"/>
      <c r="R119" s="871">
        <v>1</v>
      </c>
      <c r="S119" s="871">
        <v>1</v>
      </c>
      <c r="T119" s="871">
        <v>1</v>
      </c>
      <c r="U119" s="871">
        <v>1</v>
      </c>
      <c r="V119" s="871">
        <v>1</v>
      </c>
      <c r="W119" s="871">
        <v>1</v>
      </c>
      <c r="X119" s="871">
        <v>1</v>
      </c>
      <c r="Y119" s="871">
        <v>1</v>
      </c>
      <c r="Z119" s="871">
        <v>1</v>
      </c>
      <c r="AA119" s="871">
        <v>1</v>
      </c>
    </row>
    <row r="120" spans="1:27" s="2072" customFormat="1" ht="18.75">
      <c r="A120" s="2114" t="s">
        <v>167</v>
      </c>
      <c r="B120" s="6109" t="s">
        <v>9003</v>
      </c>
      <c r="C120" s="6110"/>
      <c r="D120" s="6110"/>
      <c r="E120" s="6110"/>
      <c r="F120" s="6111"/>
      <c r="G120" s="2090"/>
      <c r="H120" s="2090"/>
      <c r="I120" s="2090"/>
      <c r="J120" s="2090"/>
      <c r="K120" s="2091"/>
      <c r="L120" s="2091"/>
      <c r="M120" s="2090"/>
      <c r="N120" s="2090"/>
      <c r="O120" s="2090"/>
      <c r="P120" s="2090"/>
      <c r="Q120" s="2090"/>
      <c r="R120" s="871">
        <v>1</v>
      </c>
      <c r="S120" s="871">
        <v>1</v>
      </c>
      <c r="T120" s="871">
        <v>1</v>
      </c>
      <c r="U120" s="871">
        <v>1</v>
      </c>
      <c r="V120" s="871">
        <v>1</v>
      </c>
      <c r="W120" s="871">
        <v>1</v>
      </c>
      <c r="X120" s="871">
        <v>1</v>
      </c>
      <c r="Y120" s="871">
        <v>1</v>
      </c>
      <c r="Z120" s="871">
        <v>1</v>
      </c>
      <c r="AA120" s="871">
        <v>1</v>
      </c>
    </row>
    <row r="121" spans="1:27" s="2072" customFormat="1" ht="18.75">
      <c r="A121" s="6098" t="str">
        <f>B120</f>
        <v>Contenance 1 Gastro</v>
      </c>
      <c r="B121" s="2129" t="str">
        <f>ADDRESS(ROW(),COLUMN(),4)</f>
        <v>B121</v>
      </c>
      <c r="C121" s="1778" t="s">
        <v>3529</v>
      </c>
      <c r="D121" s="2222"/>
      <c r="E121" s="2222"/>
      <c r="F121" s="2223"/>
      <c r="G121" s="2090"/>
      <c r="H121" s="2090"/>
      <c r="I121" s="2090"/>
      <c r="J121" s="2090"/>
      <c r="K121" s="2091"/>
      <c r="L121" s="2091"/>
      <c r="M121" s="2090"/>
      <c r="N121" s="2090"/>
      <c r="O121" s="2090"/>
      <c r="P121" s="2090"/>
      <c r="Q121" s="2090"/>
      <c r="R121" s="871">
        <v>1</v>
      </c>
      <c r="S121" s="871">
        <v>1</v>
      </c>
      <c r="T121" s="871">
        <v>1</v>
      </c>
      <c r="U121" s="871">
        <v>1</v>
      </c>
      <c r="V121" s="871">
        <v>1</v>
      </c>
      <c r="W121" s="871">
        <v>1</v>
      </c>
      <c r="X121" s="871">
        <v>1</v>
      </c>
      <c r="Y121" s="871">
        <v>1</v>
      </c>
      <c r="Z121" s="871">
        <v>1</v>
      </c>
      <c r="AA121" s="871">
        <v>1</v>
      </c>
    </row>
    <row r="122" spans="1:27" s="2072" customFormat="1">
      <c r="A122" s="6098"/>
      <c r="B122" s="6099" t="s">
        <v>9107</v>
      </c>
      <c r="C122" s="6100"/>
      <c r="D122" s="6100"/>
      <c r="E122" s="2224">
        <v>16</v>
      </c>
      <c r="F122" s="2225" t="s">
        <v>9097</v>
      </c>
      <c r="G122" s="2090"/>
      <c r="H122" s="2090"/>
      <c r="I122" s="2090"/>
      <c r="J122" s="2090"/>
      <c r="K122" s="2091"/>
      <c r="L122" s="2091"/>
      <c r="M122" s="2091"/>
      <c r="N122" s="2091"/>
      <c r="O122" s="2090"/>
      <c r="P122" s="2090"/>
      <c r="Q122" s="2090"/>
      <c r="R122" s="871">
        <v>1</v>
      </c>
      <c r="S122" s="871">
        <v>1</v>
      </c>
      <c r="T122" s="871">
        <v>1</v>
      </c>
      <c r="U122" s="871">
        <v>1</v>
      </c>
      <c r="V122" s="871">
        <v>1</v>
      </c>
      <c r="W122" s="871">
        <v>1</v>
      </c>
      <c r="X122" s="871">
        <v>1</v>
      </c>
      <c r="Y122" s="871">
        <v>1</v>
      </c>
      <c r="Z122" s="871">
        <v>1</v>
      </c>
      <c r="AA122" s="871">
        <v>1</v>
      </c>
    </row>
    <row r="123" spans="1:27" s="2072" customFormat="1">
      <c r="A123" s="6098"/>
      <c r="B123" s="6099" t="s">
        <v>9108</v>
      </c>
      <c r="C123" s="6100"/>
      <c r="D123" s="6100"/>
      <c r="E123" s="2224">
        <v>24</v>
      </c>
      <c r="F123" s="2225" t="s">
        <v>9097</v>
      </c>
      <c r="G123" s="2090"/>
      <c r="H123" s="2090"/>
      <c r="I123" s="2090"/>
      <c r="J123" s="2090"/>
      <c r="K123" s="2091"/>
      <c r="L123" s="2091"/>
      <c r="M123" s="2091"/>
      <c r="N123" s="2091"/>
      <c r="O123" s="2090"/>
      <c r="P123" s="2090"/>
      <c r="Q123" s="2090"/>
      <c r="R123" s="871">
        <v>1</v>
      </c>
      <c r="S123" s="871">
        <v>1</v>
      </c>
      <c r="T123" s="871">
        <v>1</v>
      </c>
      <c r="U123" s="871">
        <v>1</v>
      </c>
      <c r="V123" s="871">
        <v>1</v>
      </c>
      <c r="W123" s="871">
        <v>1</v>
      </c>
      <c r="X123" s="871">
        <v>1</v>
      </c>
      <c r="Y123" s="871">
        <v>1</v>
      </c>
      <c r="Z123" s="871">
        <v>1</v>
      </c>
      <c r="AA123" s="871">
        <v>1</v>
      </c>
    </row>
    <row r="124" spans="1:27" s="2072" customFormat="1">
      <c r="A124" s="6098"/>
      <c r="B124" s="6099" t="s">
        <v>9109</v>
      </c>
      <c r="C124" s="6100"/>
      <c r="D124" s="6100"/>
      <c r="E124" s="2224">
        <v>20</v>
      </c>
      <c r="F124" s="2225" t="s">
        <v>9097</v>
      </c>
      <c r="G124" s="2090"/>
      <c r="H124" s="2090"/>
      <c r="I124" s="2090"/>
      <c r="J124" s="2090"/>
      <c r="K124" s="2091"/>
      <c r="L124" s="2091"/>
      <c r="M124" s="2091"/>
      <c r="N124" s="2091"/>
      <c r="O124" s="2090"/>
      <c r="P124" s="2090"/>
      <c r="Q124" s="2090"/>
      <c r="R124" s="871">
        <v>1</v>
      </c>
      <c r="S124" s="871">
        <v>1</v>
      </c>
      <c r="T124" s="871">
        <v>1</v>
      </c>
      <c r="U124" s="871">
        <v>1</v>
      </c>
      <c r="V124" s="871">
        <v>1</v>
      </c>
      <c r="W124" s="871">
        <v>1</v>
      </c>
      <c r="X124" s="871">
        <v>1</v>
      </c>
      <c r="Y124" s="871">
        <v>1</v>
      </c>
      <c r="Z124" s="871">
        <v>1</v>
      </c>
      <c r="AA124" s="871">
        <v>1</v>
      </c>
    </row>
    <row r="125" spans="1:27" s="2072" customFormat="1">
      <c r="A125" s="6098"/>
      <c r="B125" s="6099" t="s">
        <v>9110</v>
      </c>
      <c r="C125" s="6100"/>
      <c r="D125" s="6100"/>
      <c r="E125" s="2224">
        <v>25</v>
      </c>
      <c r="F125" s="2225" t="s">
        <v>9111</v>
      </c>
      <c r="G125" s="2090"/>
      <c r="H125" s="2090"/>
      <c r="I125" s="2090"/>
      <c r="J125" s="2090"/>
      <c r="K125" s="2091"/>
      <c r="L125" s="2091"/>
      <c r="M125" s="2090"/>
      <c r="N125" s="2090"/>
      <c r="O125" s="2090"/>
      <c r="P125" s="2090"/>
      <c r="Q125" s="2090"/>
      <c r="R125" s="871">
        <v>1</v>
      </c>
      <c r="S125" s="871">
        <v>1</v>
      </c>
      <c r="T125" s="871">
        <v>1</v>
      </c>
      <c r="U125" s="871">
        <v>1</v>
      </c>
      <c r="V125" s="871">
        <v>1</v>
      </c>
      <c r="W125" s="871">
        <v>1</v>
      </c>
      <c r="X125" s="871">
        <v>1</v>
      </c>
      <c r="Y125" s="871">
        <v>1</v>
      </c>
      <c r="Z125" s="871">
        <v>1</v>
      </c>
      <c r="AA125" s="871">
        <v>1</v>
      </c>
    </row>
    <row r="126" spans="1:27" s="2072" customFormat="1">
      <c r="A126" s="6098"/>
      <c r="B126" s="6099" t="s">
        <v>9094</v>
      </c>
      <c r="C126" s="6100"/>
      <c r="D126" s="6100"/>
      <c r="E126" s="2224">
        <v>25</v>
      </c>
      <c r="F126" s="2225" t="s">
        <v>9095</v>
      </c>
      <c r="G126" s="2090"/>
      <c r="H126" s="2090"/>
      <c r="I126" s="2090"/>
      <c r="J126" s="2090"/>
      <c r="K126" s="2091"/>
      <c r="L126" s="2091"/>
      <c r="M126" s="2090"/>
      <c r="N126" s="2090"/>
      <c r="O126" s="2090"/>
      <c r="P126" s="2090"/>
      <c r="Q126" s="2090"/>
      <c r="R126" s="871">
        <v>1</v>
      </c>
      <c r="S126" s="871">
        <v>1</v>
      </c>
      <c r="T126" s="871">
        <v>1</v>
      </c>
      <c r="U126" s="871">
        <v>1</v>
      </c>
      <c r="V126" s="871">
        <v>1</v>
      </c>
      <c r="W126" s="871">
        <v>1</v>
      </c>
      <c r="X126" s="871">
        <v>1</v>
      </c>
      <c r="Y126" s="871">
        <v>1</v>
      </c>
      <c r="Z126" s="871">
        <v>1</v>
      </c>
      <c r="AA126" s="871">
        <v>1</v>
      </c>
    </row>
    <row r="127" spans="1:27" s="2072" customFormat="1">
      <c r="A127" s="6098"/>
      <c r="B127" s="6099" t="s">
        <v>9096</v>
      </c>
      <c r="C127" s="6100"/>
      <c r="D127" s="6100"/>
      <c r="E127" s="2224">
        <v>12</v>
      </c>
      <c r="F127" s="2225" t="s">
        <v>9097</v>
      </c>
      <c r="G127" s="2090"/>
      <c r="H127" s="2090"/>
      <c r="I127" s="2090"/>
      <c r="J127" s="2090"/>
      <c r="K127" s="2091"/>
      <c r="L127" s="2091"/>
      <c r="M127" s="2090"/>
      <c r="N127" s="2090"/>
      <c r="O127" s="2090"/>
      <c r="P127" s="2090"/>
      <c r="Q127" s="2090"/>
      <c r="R127" s="871">
        <v>1</v>
      </c>
      <c r="S127" s="871">
        <v>1</v>
      </c>
      <c r="T127" s="871">
        <v>1</v>
      </c>
      <c r="U127" s="871">
        <v>1</v>
      </c>
      <c r="V127" s="871">
        <v>1</v>
      </c>
      <c r="W127" s="871">
        <v>1</v>
      </c>
      <c r="X127" s="871">
        <v>1</v>
      </c>
      <c r="Y127" s="871">
        <v>1</v>
      </c>
      <c r="Z127" s="871">
        <v>1</v>
      </c>
      <c r="AA127" s="871">
        <v>1</v>
      </c>
    </row>
    <row r="128" spans="1:27" s="2072" customFormat="1">
      <c r="A128" s="6098"/>
      <c r="B128" s="6099" t="s">
        <v>9098</v>
      </c>
      <c r="C128" s="6100"/>
      <c r="D128" s="6100"/>
      <c r="E128" s="2224">
        <v>60</v>
      </c>
      <c r="F128" s="2225" t="s">
        <v>919</v>
      </c>
      <c r="G128" s="2090"/>
      <c r="H128" s="2090"/>
      <c r="I128" s="2090"/>
      <c r="J128" s="2090"/>
      <c r="K128" s="2091"/>
      <c r="L128" s="2091"/>
      <c r="M128" s="2090"/>
      <c r="N128" s="2090"/>
      <c r="O128" s="2090"/>
      <c r="P128" s="2090"/>
      <c r="Q128" s="2090"/>
      <c r="R128" s="871">
        <v>1</v>
      </c>
      <c r="S128" s="871">
        <v>1</v>
      </c>
      <c r="T128" s="871">
        <v>1</v>
      </c>
      <c r="U128" s="871">
        <v>1</v>
      </c>
      <c r="V128" s="871">
        <v>1</v>
      </c>
      <c r="W128" s="871">
        <v>1</v>
      </c>
      <c r="X128" s="871">
        <v>1</v>
      </c>
      <c r="Y128" s="871">
        <v>1</v>
      </c>
      <c r="Z128" s="871">
        <v>1</v>
      </c>
      <c r="AA128" s="871">
        <v>1</v>
      </c>
    </row>
    <row r="129" spans="1:27" s="2072" customFormat="1">
      <c r="A129" s="6098"/>
      <c r="B129" s="6099" t="s">
        <v>9099</v>
      </c>
      <c r="C129" s="6100"/>
      <c r="D129" s="6100"/>
      <c r="E129" s="2224">
        <v>20</v>
      </c>
      <c r="F129" s="2225" t="s">
        <v>9100</v>
      </c>
      <c r="G129" s="2090"/>
      <c r="H129" s="2090"/>
      <c r="I129" s="2090"/>
      <c r="J129" s="2090"/>
      <c r="K129" s="2091"/>
      <c r="L129" s="2091"/>
      <c r="M129" s="2090"/>
      <c r="N129" s="2090"/>
      <c r="O129" s="2090"/>
      <c r="P129" s="2090"/>
      <c r="Q129" s="2090"/>
      <c r="R129" s="871">
        <v>1</v>
      </c>
      <c r="S129" s="871">
        <v>1</v>
      </c>
      <c r="T129" s="871">
        <v>1</v>
      </c>
      <c r="U129" s="871">
        <v>1</v>
      </c>
      <c r="V129" s="871">
        <v>1</v>
      </c>
      <c r="W129" s="871">
        <v>1</v>
      </c>
      <c r="X129" s="871">
        <v>1</v>
      </c>
      <c r="Y129" s="871">
        <v>1</v>
      </c>
      <c r="Z129" s="871">
        <v>1</v>
      </c>
      <c r="AA129" s="871">
        <v>1</v>
      </c>
    </row>
    <row r="130" spans="1:27" s="2072" customFormat="1" ht="15">
      <c r="A130" s="6098"/>
      <c r="B130" s="2226"/>
      <c r="C130" s="2227"/>
      <c r="D130" s="2227"/>
      <c r="E130" s="2227"/>
      <c r="F130" s="2228"/>
      <c r="G130" s="2090"/>
      <c r="H130" s="2090"/>
      <c r="I130" s="2090"/>
      <c r="J130" s="2090"/>
      <c r="K130" s="2091"/>
      <c r="L130" s="2091"/>
      <c r="M130" s="2090"/>
      <c r="N130" s="2090"/>
      <c r="O130" s="2090"/>
      <c r="P130" s="2090"/>
      <c r="Q130" s="2090"/>
      <c r="R130" s="871">
        <v>1</v>
      </c>
      <c r="S130" s="871">
        <v>1</v>
      </c>
      <c r="T130" s="871">
        <v>1</v>
      </c>
      <c r="U130" s="871">
        <v>1</v>
      </c>
      <c r="V130" s="871">
        <v>1</v>
      </c>
      <c r="W130" s="871">
        <v>1</v>
      </c>
      <c r="X130" s="871">
        <v>1</v>
      </c>
      <c r="Y130" s="871">
        <v>1</v>
      </c>
      <c r="Z130" s="871">
        <v>1</v>
      </c>
      <c r="AA130" s="871">
        <v>1</v>
      </c>
    </row>
    <row r="131" spans="1:27" s="2072" customFormat="1">
      <c r="A131" s="6098"/>
      <c r="B131" s="6099" t="s">
        <v>9102</v>
      </c>
      <c r="C131" s="6100"/>
      <c r="D131" s="6100"/>
      <c r="E131" s="2224">
        <v>3</v>
      </c>
      <c r="F131" s="2225" t="s">
        <v>872</v>
      </c>
      <c r="G131" s="2090"/>
      <c r="H131" s="2090"/>
      <c r="I131" s="2090"/>
      <c r="J131" s="2090"/>
      <c r="K131" s="2091"/>
      <c r="L131" s="2091"/>
      <c r="M131" s="2090"/>
      <c r="N131" s="2090"/>
      <c r="O131" s="2090"/>
      <c r="P131" s="2090"/>
      <c r="Q131" s="2090"/>
      <c r="R131" s="871">
        <v>1</v>
      </c>
      <c r="S131" s="871">
        <v>1</v>
      </c>
      <c r="T131" s="871">
        <v>1</v>
      </c>
      <c r="U131" s="871">
        <v>1</v>
      </c>
      <c r="V131" s="871">
        <v>1</v>
      </c>
      <c r="W131" s="871">
        <v>1</v>
      </c>
      <c r="X131" s="871">
        <v>1</v>
      </c>
      <c r="Y131" s="871">
        <v>1</v>
      </c>
      <c r="Z131" s="871">
        <v>1</v>
      </c>
      <c r="AA131" s="871">
        <v>1</v>
      </c>
    </row>
    <row r="132" spans="1:27" s="2072" customFormat="1">
      <c r="A132" s="6098"/>
      <c r="B132" s="6099" t="s">
        <v>9103</v>
      </c>
      <c r="C132" s="6100"/>
      <c r="D132" s="6100"/>
      <c r="E132" s="2224">
        <v>7.2</v>
      </c>
      <c r="F132" s="2225" t="s">
        <v>872</v>
      </c>
      <c r="G132" s="2090"/>
      <c r="H132" s="2090"/>
      <c r="I132" s="2090"/>
      <c r="J132" s="2090"/>
      <c r="K132" s="2091"/>
      <c r="L132" s="2091"/>
      <c r="M132" s="2090"/>
      <c r="N132" s="2090"/>
      <c r="O132" s="2090"/>
      <c r="P132" s="2090"/>
      <c r="Q132" s="2090"/>
      <c r="R132" s="871">
        <v>1</v>
      </c>
      <c r="S132" s="871">
        <v>1</v>
      </c>
      <c r="T132" s="871">
        <v>1</v>
      </c>
      <c r="U132" s="871">
        <v>1</v>
      </c>
      <c r="V132" s="871">
        <v>1</v>
      </c>
      <c r="W132" s="871">
        <v>1</v>
      </c>
      <c r="X132" s="871">
        <v>1</v>
      </c>
      <c r="Y132" s="871">
        <v>1</v>
      </c>
      <c r="Z132" s="871">
        <v>1</v>
      </c>
      <c r="AA132" s="871">
        <v>1</v>
      </c>
    </row>
    <row r="133" spans="1:27" s="2072" customFormat="1" ht="16.5" thickBot="1">
      <c r="A133" s="6098"/>
      <c r="B133" s="6103" t="s">
        <v>9104</v>
      </c>
      <c r="C133" s="6104"/>
      <c r="D133" s="6104"/>
      <c r="E133" s="2229">
        <v>4</v>
      </c>
      <c r="F133" s="2230" t="s">
        <v>872</v>
      </c>
      <c r="G133" s="2090"/>
      <c r="H133" s="2090"/>
      <c r="I133" s="2090"/>
      <c r="J133" s="2090"/>
      <c r="K133" s="2091"/>
      <c r="L133" s="2091"/>
      <c r="M133" s="2090"/>
      <c r="N133" s="2090"/>
      <c r="O133" s="2090"/>
      <c r="P133" s="2090"/>
      <c r="Q133" s="2090"/>
      <c r="R133" s="871">
        <v>1</v>
      </c>
      <c r="S133" s="871">
        <v>1</v>
      </c>
      <c r="T133" s="871">
        <v>1</v>
      </c>
      <c r="U133" s="871">
        <v>1</v>
      </c>
      <c r="V133" s="871">
        <v>1</v>
      </c>
      <c r="W133" s="871">
        <v>1</v>
      </c>
      <c r="X133" s="871">
        <v>1</v>
      </c>
      <c r="Y133" s="871">
        <v>1</v>
      </c>
      <c r="Z133" s="871">
        <v>1</v>
      </c>
      <c r="AA133" s="871">
        <v>1</v>
      </c>
    </row>
    <row r="134" spans="1:27" s="2072" customFormat="1" thickBot="1">
      <c r="A134" s="2090"/>
      <c r="B134" s="2090"/>
      <c r="C134" s="2090"/>
      <c r="D134" s="2090"/>
      <c r="E134" s="2090"/>
      <c r="F134" s="2090"/>
      <c r="G134" s="2090"/>
      <c r="H134" s="2090"/>
      <c r="I134" s="2090"/>
      <c r="J134" s="2090"/>
      <c r="K134" s="2091"/>
      <c r="L134" s="2091"/>
      <c r="M134" s="2090"/>
      <c r="N134" s="2090"/>
      <c r="O134" s="2090"/>
      <c r="P134" s="2090"/>
      <c r="Q134" s="2090"/>
      <c r="R134" s="871">
        <v>1</v>
      </c>
      <c r="S134" s="871">
        <v>1</v>
      </c>
      <c r="T134" s="871">
        <v>1</v>
      </c>
      <c r="U134" s="871">
        <v>1</v>
      </c>
      <c r="V134" s="871">
        <v>1</v>
      </c>
      <c r="W134" s="871">
        <v>1</v>
      </c>
      <c r="X134" s="871">
        <v>1</v>
      </c>
      <c r="Y134" s="871">
        <v>1</v>
      </c>
      <c r="Z134" s="871">
        <v>1</v>
      </c>
      <c r="AA134" s="871">
        <v>1</v>
      </c>
    </row>
    <row r="135" spans="1:27" ht="20.25">
      <c r="A135" s="2231" t="s">
        <v>167</v>
      </c>
      <c r="B135" s="6112" t="s">
        <v>9005</v>
      </c>
      <c r="C135" s="6113"/>
      <c r="D135" s="6113"/>
      <c r="E135" s="6113"/>
      <c r="F135" s="6113"/>
      <c r="G135" s="6113"/>
      <c r="H135" s="6113"/>
      <c r="I135" s="6113"/>
      <c r="J135" s="6113"/>
      <c r="K135" s="6113"/>
      <c r="L135" s="6114"/>
      <c r="M135" s="2090"/>
      <c r="N135" s="2090"/>
      <c r="O135" s="2090"/>
      <c r="P135" s="2090"/>
      <c r="Q135" s="2090"/>
      <c r="R135" s="871">
        <v>1</v>
      </c>
      <c r="S135" s="871">
        <v>1</v>
      </c>
      <c r="T135" s="871">
        <v>1</v>
      </c>
      <c r="U135" s="871">
        <v>1</v>
      </c>
      <c r="V135" s="871">
        <v>1</v>
      </c>
      <c r="W135" s="871">
        <v>1</v>
      </c>
      <c r="X135" s="871">
        <v>1</v>
      </c>
      <c r="Y135" s="871">
        <v>1</v>
      </c>
      <c r="Z135" s="871">
        <v>1</v>
      </c>
      <c r="AA135" s="871">
        <v>1</v>
      </c>
    </row>
    <row r="136" spans="1:27" ht="21.75" customHeight="1">
      <c r="A136" s="6098" t="str">
        <f>B135</f>
        <v>une fonction intéressante : MODULO &gt; MOD</v>
      </c>
      <c r="B136" s="2151" t="str">
        <f>ADDRESS(ROW(),COLUMN(),4)</f>
        <v>B136</v>
      </c>
      <c r="C136" s="2152" t="s">
        <v>3529</v>
      </c>
      <c r="D136" s="2232"/>
      <c r="E136" s="2232"/>
      <c r="F136" s="2232"/>
      <c r="G136" s="2232"/>
      <c r="H136" s="2232"/>
      <c r="I136" s="2232"/>
      <c r="J136" s="2232"/>
      <c r="K136" s="2232"/>
      <c r="L136" s="2233"/>
      <c r="M136" s="2090"/>
      <c r="N136" s="2090"/>
      <c r="O136" s="2090"/>
      <c r="P136" s="2090"/>
      <c r="Q136" s="2090"/>
      <c r="R136" s="871">
        <v>1</v>
      </c>
      <c r="S136" s="871">
        <v>1</v>
      </c>
      <c r="T136" s="871">
        <v>1</v>
      </c>
      <c r="U136" s="871">
        <v>1</v>
      </c>
      <c r="V136" s="871">
        <v>1</v>
      </c>
      <c r="W136" s="871">
        <v>1</v>
      </c>
      <c r="X136" s="871">
        <v>1</v>
      </c>
      <c r="Y136" s="871">
        <v>1</v>
      </c>
      <c r="Z136" s="871">
        <v>1</v>
      </c>
      <c r="AA136" s="871">
        <v>1</v>
      </c>
    </row>
    <row r="137" spans="1:27" ht="21" customHeight="1">
      <c r="A137" s="6098"/>
      <c r="B137" s="2234" t="s">
        <v>9112</v>
      </c>
      <c r="C137" s="6115" t="s">
        <v>9113</v>
      </c>
      <c r="D137" s="6115"/>
      <c r="E137" s="2236" t="s">
        <v>9114</v>
      </c>
      <c r="F137" s="2237"/>
      <c r="G137" s="6116" t="s">
        <v>9115</v>
      </c>
      <c r="H137" s="6116"/>
      <c r="I137" s="2239"/>
      <c r="J137" s="2239"/>
      <c r="K137" s="2240"/>
      <c r="L137" s="2241"/>
      <c r="M137" s="2090"/>
      <c r="N137" s="2090"/>
      <c r="O137" s="2090"/>
      <c r="P137" s="2090"/>
      <c r="Q137" s="2090"/>
      <c r="R137" s="871">
        <v>1</v>
      </c>
      <c r="S137" s="871">
        <v>1</v>
      </c>
      <c r="T137" s="871">
        <v>1</v>
      </c>
      <c r="U137" s="871">
        <v>1</v>
      </c>
      <c r="V137" s="871">
        <v>1</v>
      </c>
      <c r="W137" s="871">
        <v>1</v>
      </c>
      <c r="X137" s="871">
        <v>1</v>
      </c>
      <c r="Y137" s="871">
        <v>1</v>
      </c>
      <c r="Z137" s="871">
        <v>1</v>
      </c>
      <c r="AA137" s="871">
        <v>1</v>
      </c>
    </row>
    <row r="138" spans="1:27" ht="21">
      <c r="A138" s="6098"/>
      <c r="B138" s="2242" t="s">
        <v>9116</v>
      </c>
      <c r="C138" s="2235"/>
      <c r="D138" s="2235"/>
      <c r="E138" s="2236"/>
      <c r="F138" s="2237"/>
      <c r="G138" s="2238"/>
      <c r="H138" s="2238"/>
      <c r="I138" s="2235"/>
      <c r="J138" s="2235"/>
      <c r="K138" s="2240"/>
      <c r="L138" s="2241"/>
      <c r="M138" s="2090"/>
      <c r="N138" s="2090"/>
      <c r="O138" s="2090"/>
      <c r="P138" s="2090"/>
      <c r="Q138" s="2090"/>
      <c r="R138" s="871">
        <v>1</v>
      </c>
      <c r="S138" s="871">
        <v>1</v>
      </c>
      <c r="T138" s="871">
        <v>1</v>
      </c>
      <c r="U138" s="871">
        <v>1</v>
      </c>
      <c r="V138" s="871">
        <v>1</v>
      </c>
      <c r="W138" s="871">
        <v>1</v>
      </c>
      <c r="X138" s="871">
        <v>1</v>
      </c>
      <c r="Y138" s="871">
        <v>1</v>
      </c>
      <c r="Z138" s="871">
        <v>1</v>
      </c>
      <c r="AA138" s="871">
        <v>1</v>
      </c>
    </row>
    <row r="139" spans="1:27" ht="18.75" customHeight="1">
      <c r="A139" s="6098"/>
      <c r="B139" s="2243"/>
      <c r="C139" s="6117" t="s">
        <v>9084</v>
      </c>
      <c r="D139" s="6118" t="s">
        <v>9117</v>
      </c>
      <c r="E139" s="6119" t="s">
        <v>9118</v>
      </c>
      <c r="F139" s="6119" t="s">
        <v>9119</v>
      </c>
      <c r="G139" s="1586"/>
      <c r="H139" s="2244"/>
      <c r="I139" s="2245"/>
      <c r="J139" s="2246"/>
      <c r="K139" s="2247"/>
      <c r="L139" s="2241"/>
      <c r="M139" s="2090"/>
      <c r="N139" s="2090"/>
      <c r="O139" s="2090"/>
      <c r="P139" s="2090"/>
      <c r="Q139" s="2090"/>
      <c r="R139" s="871">
        <v>1</v>
      </c>
      <c r="S139" s="871">
        <v>1</v>
      </c>
      <c r="T139" s="871">
        <v>1</v>
      </c>
      <c r="U139" s="871">
        <v>1</v>
      </c>
      <c r="V139" s="871">
        <v>1</v>
      </c>
      <c r="W139" s="871">
        <v>1</v>
      </c>
      <c r="X139" s="871">
        <v>1</v>
      </c>
      <c r="Y139" s="871">
        <v>1</v>
      </c>
      <c r="Z139" s="871">
        <v>1</v>
      </c>
      <c r="AA139" s="871">
        <v>1</v>
      </c>
    </row>
    <row r="140" spans="1:27" ht="18" customHeight="1">
      <c r="A140" s="6098"/>
      <c r="B140" s="2243"/>
      <c r="C140" s="6117"/>
      <c r="D140" s="6118"/>
      <c r="E140" s="6119"/>
      <c r="F140" s="6119"/>
      <c r="G140" s="1582"/>
      <c r="H140" s="2248"/>
      <c r="I140" s="2248">
        <f>E141</f>
        <v>16</v>
      </c>
      <c r="J140" s="2249"/>
      <c r="K140" s="2249">
        <f>F141</f>
        <v>0.66999999999999993</v>
      </c>
      <c r="L140" s="2241"/>
      <c r="M140" s="2090"/>
      <c r="N140" s="2090"/>
      <c r="O140" s="2090"/>
      <c r="P140" s="2090"/>
      <c r="Q140" s="2090"/>
      <c r="R140" s="871">
        <v>1</v>
      </c>
      <c r="S140" s="871">
        <v>1</v>
      </c>
      <c r="T140" s="871">
        <v>1</v>
      </c>
      <c r="U140" s="871">
        <v>1</v>
      </c>
      <c r="V140" s="871">
        <v>1</v>
      </c>
      <c r="W140" s="871">
        <v>1</v>
      </c>
      <c r="X140" s="871">
        <v>1</v>
      </c>
      <c r="Y140" s="871">
        <v>1</v>
      </c>
      <c r="Z140" s="871">
        <v>1</v>
      </c>
      <c r="AA140" s="871">
        <v>1</v>
      </c>
    </row>
    <row r="141" spans="1:27" ht="18.75">
      <c r="A141" s="6098"/>
      <c r="B141" s="2243"/>
      <c r="C141" s="2250">
        <v>13.63</v>
      </c>
      <c r="D141" s="2251">
        <v>0.81</v>
      </c>
      <c r="E141" s="2252">
        <f>INT(C141/D141)</f>
        <v>16</v>
      </c>
      <c r="F141" s="2253">
        <f>MOD(C141,D141)</f>
        <v>0.66999999999999993</v>
      </c>
      <c r="G141" s="2237"/>
      <c r="H141" s="2254" t="s">
        <v>9120</v>
      </c>
      <c r="I141" s="2255" t="str">
        <f ca="1">_xlfn.FORMULATEXT(E141)</f>
        <v>=ENT(C141/D141)</v>
      </c>
      <c r="J141" s="2256" t="s">
        <v>9120</v>
      </c>
      <c r="K141" s="2257" t="str">
        <f ca="1">_xlfn.FORMULATEXT(F141)</f>
        <v>=MOD(C141;D141)</v>
      </c>
      <c r="L141" s="2241"/>
      <c r="M141" s="2090"/>
      <c r="N141" s="2090"/>
      <c r="O141" s="2090"/>
      <c r="P141" s="2090"/>
      <c r="Q141" s="2090"/>
      <c r="R141" s="871">
        <v>1</v>
      </c>
      <c r="S141" s="871">
        <v>1</v>
      </c>
      <c r="T141" s="871">
        <v>1</v>
      </c>
      <c r="U141" s="871">
        <v>1</v>
      </c>
      <c r="V141" s="871">
        <v>1</v>
      </c>
      <c r="W141" s="871">
        <v>1</v>
      </c>
      <c r="X141" s="871">
        <v>1</v>
      </c>
      <c r="Y141" s="871">
        <v>1</v>
      </c>
      <c r="Z141" s="871">
        <v>1</v>
      </c>
      <c r="AA141" s="871">
        <v>1</v>
      </c>
    </row>
    <row r="142" spans="1:27" ht="18">
      <c r="A142" s="6098"/>
      <c r="B142" s="2243"/>
      <c r="C142" s="2258" t="str">
        <f>LEFT(ADDRESS(1,COLUMN(),4),LEN(ADDRESS(1,COLUMN(),4))-1)</f>
        <v>C</v>
      </c>
      <c r="D142" s="2258" t="str">
        <f>LEFT(ADDRESS(1,COLUMN(),4),LEN(ADDRESS(1,COLUMN(),4))-1)</f>
        <v>D</v>
      </c>
      <c r="E142" s="2258" t="str">
        <f>LEFT(ADDRESS(1,COLUMN(),4),LEN(ADDRESS(1,COLUMN(),4))-1)</f>
        <v>E</v>
      </c>
      <c r="F142" s="2258" t="str">
        <f>LEFT(ADDRESS(1,COLUMN(),4),LEN(ADDRESS(1,COLUMN(),4))-1)</f>
        <v>F</v>
      </c>
      <c r="G142" s="2237"/>
      <c r="H142" s="2254"/>
      <c r="I142" s="2255"/>
      <c r="J142" s="2256"/>
      <c r="K142" s="2257"/>
      <c r="L142" s="2241"/>
      <c r="M142" s="2090"/>
      <c r="N142" s="2090"/>
      <c r="O142" s="2090"/>
      <c r="P142" s="2090"/>
      <c r="Q142" s="2090"/>
      <c r="R142" s="871">
        <v>1</v>
      </c>
      <c r="S142" s="871">
        <v>1</v>
      </c>
      <c r="T142" s="871">
        <v>1</v>
      </c>
      <c r="U142" s="871">
        <v>1</v>
      </c>
      <c r="V142" s="871">
        <v>1</v>
      </c>
      <c r="W142" s="871">
        <v>1</v>
      </c>
      <c r="X142" s="871">
        <v>1</v>
      </c>
      <c r="Y142" s="871">
        <v>1</v>
      </c>
      <c r="Z142" s="871">
        <v>1</v>
      </c>
      <c r="AA142" s="871">
        <v>1</v>
      </c>
    </row>
    <row r="143" spans="1:27" ht="18.75" customHeight="1">
      <c r="A143" s="6098"/>
      <c r="B143" s="2243"/>
      <c r="C143" s="507" t="s">
        <v>9121</v>
      </c>
      <c r="D143" s="2245"/>
      <c r="E143" s="2254"/>
      <c r="F143" s="2257"/>
      <c r="G143" s="2237"/>
      <c r="H143" s="1582"/>
      <c r="I143" s="1582"/>
      <c r="J143" s="1582"/>
      <c r="K143" s="1582"/>
      <c r="L143" s="2241"/>
      <c r="M143" s="2090"/>
      <c r="N143" s="2090"/>
      <c r="O143" s="2090"/>
      <c r="P143" s="2090"/>
      <c r="Q143" s="2090"/>
      <c r="R143" s="871">
        <v>1</v>
      </c>
      <c r="S143" s="871">
        <v>1</v>
      </c>
      <c r="T143" s="871">
        <v>1</v>
      </c>
      <c r="U143" s="871">
        <v>1</v>
      </c>
      <c r="V143" s="871">
        <v>1</v>
      </c>
      <c r="W143" s="871">
        <v>1</v>
      </c>
      <c r="X143" s="871">
        <v>1</v>
      </c>
      <c r="Y143" s="871">
        <v>1</v>
      </c>
      <c r="Z143" s="871">
        <v>1</v>
      </c>
      <c r="AA143" s="871">
        <v>1</v>
      </c>
    </row>
    <row r="144" spans="1:27" ht="18">
      <c r="A144" s="6098"/>
      <c r="B144" s="2243"/>
      <c r="C144" s="2259"/>
      <c r="D144" s="2260" t="s">
        <v>9084</v>
      </c>
      <c r="E144" s="2261">
        <v>13.63</v>
      </c>
      <c r="F144" s="2262">
        <f>IF(MOD(E144,E145)&gt;MOD(E144,E145)/2,INT(E144/E145)+1,INT(E144/E145))</f>
        <v>17</v>
      </c>
      <c r="G144" s="2263" t="s">
        <v>9122</v>
      </c>
      <c r="H144" s="2264"/>
      <c r="I144" s="2265"/>
      <c r="J144" s="1582"/>
      <c r="K144" s="1582"/>
      <c r="L144" s="2241"/>
      <c r="M144" s="2090"/>
      <c r="N144" s="2090"/>
      <c r="O144" s="2090"/>
      <c r="P144" s="2090"/>
      <c r="Q144" s="2090"/>
      <c r="R144" s="871">
        <v>1</v>
      </c>
      <c r="S144" s="871">
        <v>1</v>
      </c>
      <c r="T144" s="871">
        <v>1</v>
      </c>
      <c r="U144" s="871">
        <v>1</v>
      </c>
      <c r="V144" s="871">
        <v>1</v>
      </c>
      <c r="W144" s="871">
        <v>1</v>
      </c>
      <c r="X144" s="871">
        <v>1</v>
      </c>
      <c r="Y144" s="871">
        <v>1</v>
      </c>
      <c r="Z144" s="871">
        <v>1</v>
      </c>
      <c r="AA144" s="871">
        <v>1</v>
      </c>
    </row>
    <row r="145" spans="1:27" ht="18">
      <c r="A145" s="6098"/>
      <c r="B145" s="2243"/>
      <c r="C145" s="2266"/>
      <c r="D145" s="2267" t="s">
        <v>9117</v>
      </c>
      <c r="E145" s="2268">
        <v>0.81</v>
      </c>
      <c r="F145" s="2269">
        <f>INT(E144/E145)</f>
        <v>16</v>
      </c>
      <c r="G145" s="2270">
        <f>E145</f>
        <v>0.81</v>
      </c>
      <c r="H145" s="2271" t="str">
        <f>IF(I145&gt;0,"Plus 1 de")</f>
        <v>Plus 1 de</v>
      </c>
      <c r="I145" s="2272">
        <f>MOD(E144,E145)</f>
        <v>0.66999999999999993</v>
      </c>
      <c r="J145" s="1582"/>
      <c r="K145" s="1582"/>
      <c r="L145" s="2241"/>
      <c r="M145" s="2090"/>
      <c r="N145" s="2090"/>
      <c r="O145" s="2090"/>
      <c r="P145" s="2090"/>
      <c r="Q145" s="2090"/>
      <c r="R145" s="871">
        <v>1</v>
      </c>
      <c r="S145" s="871">
        <v>1</v>
      </c>
      <c r="T145" s="871">
        <v>1</v>
      </c>
      <c r="U145" s="871">
        <v>1</v>
      </c>
      <c r="V145" s="871">
        <v>1</v>
      </c>
      <c r="W145" s="871">
        <v>1</v>
      </c>
      <c r="X145" s="871">
        <v>1</v>
      </c>
      <c r="Y145" s="871">
        <v>1</v>
      </c>
      <c r="Z145" s="871">
        <v>1</v>
      </c>
      <c r="AA145" s="871">
        <v>1</v>
      </c>
    </row>
    <row r="146" spans="1:27" ht="18">
      <c r="A146" s="6098"/>
      <c r="B146" s="2243"/>
      <c r="C146" s="6120" t="s">
        <v>3554</v>
      </c>
      <c r="D146" s="6121"/>
      <c r="E146" s="6122"/>
      <c r="F146" s="2273" t="s">
        <v>9123</v>
      </c>
      <c r="G146" s="2274"/>
      <c r="H146" s="2275"/>
      <c r="I146" s="2276"/>
      <c r="J146" s="1582"/>
      <c r="K146" s="1582"/>
      <c r="L146" s="2241"/>
      <c r="M146" s="2090"/>
      <c r="N146" s="2090"/>
      <c r="O146" s="2090"/>
      <c r="P146" s="2090"/>
      <c r="Q146" s="2090"/>
      <c r="R146" s="871">
        <v>1</v>
      </c>
      <c r="S146" s="871">
        <v>1</v>
      </c>
      <c r="T146" s="871">
        <v>1</v>
      </c>
      <c r="U146" s="871">
        <v>1</v>
      </c>
      <c r="V146" s="871">
        <v>1</v>
      </c>
      <c r="W146" s="871">
        <v>1</v>
      </c>
      <c r="X146" s="871">
        <v>1</v>
      </c>
      <c r="Y146" s="871">
        <v>1</v>
      </c>
      <c r="Z146" s="871">
        <v>1</v>
      </c>
      <c r="AA146" s="871">
        <v>1</v>
      </c>
    </row>
    <row r="147" spans="1:27" ht="18.75">
      <c r="A147" s="6098"/>
      <c r="B147" s="2243"/>
      <c r="C147" s="507"/>
      <c r="D147" s="2245"/>
      <c r="E147" s="2254"/>
      <c r="F147" s="2257"/>
      <c r="G147" s="2277" t="s">
        <v>9124</v>
      </c>
      <c r="H147" s="2278" t="s">
        <v>9125</v>
      </c>
      <c r="I147" s="2279" t="s">
        <v>9126</v>
      </c>
      <c r="J147" s="1582"/>
      <c r="K147" s="1582"/>
      <c r="L147" s="2241"/>
      <c r="M147" s="2090"/>
      <c r="N147" s="2090"/>
      <c r="O147" s="2090"/>
      <c r="P147" s="2090"/>
      <c r="Q147" s="2090"/>
      <c r="R147" s="871">
        <v>1</v>
      </c>
      <c r="S147" s="871">
        <v>1</v>
      </c>
      <c r="T147" s="871">
        <v>1</v>
      </c>
      <c r="U147" s="871">
        <v>1</v>
      </c>
      <c r="V147" s="871">
        <v>1</v>
      </c>
      <c r="W147" s="871">
        <v>1</v>
      </c>
      <c r="X147" s="871">
        <v>1</v>
      </c>
      <c r="Y147" s="871">
        <v>1</v>
      </c>
      <c r="Z147" s="871">
        <v>1</v>
      </c>
      <c r="AA147" s="871">
        <v>1</v>
      </c>
    </row>
    <row r="148" spans="1:27" ht="19.5" customHeight="1">
      <c r="A148" s="6098"/>
      <c r="B148" s="2243"/>
      <c r="C148" s="2254"/>
      <c r="D148" s="2254"/>
      <c r="E148" s="2254"/>
      <c r="F148" s="2254"/>
      <c r="G148" s="2237"/>
      <c r="H148" s="2271">
        <f>F144</f>
        <v>17</v>
      </c>
      <c r="I148" s="2280" t="str">
        <f ca="1">_xlfn.FORMULATEXT(F144)</f>
        <v>=SI(MOD(E144;E145)&gt;MOD(E144;E145)/2;ENT(E144/E145)+1;ENT(E144/E145))</v>
      </c>
      <c r="J148" s="1582"/>
      <c r="K148" s="1582"/>
      <c r="L148" s="2241"/>
      <c r="M148" s="2090"/>
      <c r="N148" s="2090"/>
      <c r="O148" s="2090"/>
      <c r="P148" s="2090"/>
      <c r="Q148" s="2090"/>
      <c r="R148" s="871">
        <v>1</v>
      </c>
      <c r="S148" s="871">
        <v>1</v>
      </c>
      <c r="T148" s="871">
        <v>1</v>
      </c>
      <c r="U148" s="871">
        <v>1</v>
      </c>
      <c r="V148" s="871">
        <v>1</v>
      </c>
      <c r="W148" s="871">
        <v>1</v>
      </c>
      <c r="X148" s="871">
        <v>1</v>
      </c>
      <c r="Y148" s="871">
        <v>1</v>
      </c>
      <c r="Z148" s="871">
        <v>1</v>
      </c>
      <c r="AA148" s="871">
        <v>1</v>
      </c>
    </row>
    <row r="149" spans="1:27" ht="19.5" customHeight="1">
      <c r="A149" s="6098"/>
      <c r="B149" s="2243"/>
      <c r="C149" s="2254"/>
      <c r="D149" s="2254"/>
      <c r="E149" s="2254"/>
      <c r="F149" s="2254"/>
      <c r="G149" s="2237"/>
      <c r="H149" s="2271">
        <f>F145</f>
        <v>16</v>
      </c>
      <c r="I149" s="2280" t="str">
        <f ca="1">_xlfn.FORMULATEXT(F145)</f>
        <v>=ENT(E144/E145)</v>
      </c>
      <c r="J149" s="1582"/>
      <c r="K149" s="1582"/>
      <c r="L149" s="2241"/>
      <c r="M149" s="2090"/>
      <c r="N149" s="2090"/>
      <c r="O149" s="2090"/>
      <c r="P149" s="2090"/>
      <c r="Q149" s="2090"/>
      <c r="R149" s="871">
        <v>1</v>
      </c>
      <c r="S149" s="871">
        <v>1</v>
      </c>
      <c r="T149" s="871">
        <v>1</v>
      </c>
      <c r="U149" s="871">
        <v>1</v>
      </c>
      <c r="V149" s="871">
        <v>1</v>
      </c>
      <c r="W149" s="871">
        <v>1</v>
      </c>
      <c r="X149" s="871">
        <v>1</v>
      </c>
      <c r="Y149" s="871">
        <v>1</v>
      </c>
      <c r="Z149" s="871">
        <v>1</v>
      </c>
      <c r="AA149" s="871">
        <v>1</v>
      </c>
    </row>
    <row r="150" spans="1:27" ht="19.5" customHeight="1">
      <c r="A150" s="6098"/>
      <c r="B150" s="2243"/>
      <c r="C150" s="2254"/>
      <c r="D150" s="2254"/>
      <c r="E150" s="2254"/>
      <c r="F150" s="2254"/>
      <c r="G150" s="2245"/>
      <c r="H150" s="2270">
        <f>G145</f>
        <v>0.81</v>
      </c>
      <c r="I150" s="2280" t="str">
        <f ca="1">_xlfn.FORMULATEXT(G145)</f>
        <v>=E145</v>
      </c>
      <c r="J150" s="1582"/>
      <c r="K150" s="1582"/>
      <c r="L150" s="2241"/>
      <c r="M150" s="2090"/>
      <c r="N150" s="2090"/>
      <c r="O150" s="2090"/>
      <c r="P150" s="2090"/>
      <c r="Q150" s="2090"/>
      <c r="R150" s="871">
        <v>1</v>
      </c>
      <c r="S150" s="871">
        <v>1</v>
      </c>
      <c r="T150" s="871">
        <v>1</v>
      </c>
      <c r="U150" s="871">
        <v>1</v>
      </c>
      <c r="V150" s="871">
        <v>1</v>
      </c>
      <c r="W150" s="871">
        <v>1</v>
      </c>
      <c r="X150" s="871">
        <v>1</v>
      </c>
      <c r="Y150" s="871">
        <v>1</v>
      </c>
      <c r="Z150" s="871">
        <v>1</v>
      </c>
      <c r="AA150" s="871">
        <v>1</v>
      </c>
    </row>
    <row r="151" spans="1:27" ht="19.5" customHeight="1">
      <c r="A151" s="6098"/>
      <c r="B151" s="2243"/>
      <c r="C151" s="2245"/>
      <c r="D151" s="2245"/>
      <c r="E151" s="2245"/>
      <c r="F151" s="2245"/>
      <c r="G151" s="2245"/>
      <c r="H151" s="2271" t="str">
        <f>H145</f>
        <v>Plus 1 de</v>
      </c>
      <c r="I151" s="2280" t="str">
        <f ca="1">_xlfn.FORMULATEXT(H145)</f>
        <v>=SI(I145&gt;0;"Plus 1 de")</v>
      </c>
      <c r="J151" s="1582"/>
      <c r="K151" s="1582"/>
      <c r="L151" s="2241"/>
      <c r="M151" s="2090"/>
      <c r="N151" s="2090"/>
      <c r="O151" s="2090"/>
      <c r="P151" s="2090"/>
      <c r="Q151" s="2090"/>
      <c r="R151" s="871">
        <v>1</v>
      </c>
      <c r="S151" s="871">
        <v>1</v>
      </c>
      <c r="T151" s="871">
        <v>1</v>
      </c>
      <c r="U151" s="871">
        <v>1</v>
      </c>
      <c r="V151" s="871">
        <v>1</v>
      </c>
      <c r="W151" s="871">
        <v>1</v>
      </c>
      <c r="X151" s="871">
        <v>1</v>
      </c>
      <c r="Y151" s="871">
        <v>1</v>
      </c>
      <c r="Z151" s="871">
        <v>1</v>
      </c>
      <c r="AA151" s="871">
        <v>1</v>
      </c>
    </row>
    <row r="152" spans="1:27" ht="19.5" customHeight="1">
      <c r="A152" s="6098"/>
      <c r="B152" s="2243" t="s">
        <v>9123</v>
      </c>
      <c r="C152" s="2245"/>
      <c r="D152" s="2245"/>
      <c r="E152" s="2245"/>
      <c r="F152" s="2245"/>
      <c r="G152" s="2245"/>
      <c r="H152" s="2281">
        <f>I145</f>
        <v>0.66999999999999993</v>
      </c>
      <c r="I152" s="2282" t="str">
        <f ca="1">_xlfn.FORMULATEXT(I145)</f>
        <v>=MOD(E144;E145)</v>
      </c>
      <c r="J152" s="1582"/>
      <c r="K152" s="1582"/>
      <c r="L152" s="2241"/>
      <c r="M152" s="2090"/>
      <c r="N152" s="2090"/>
      <c r="O152" s="2090"/>
      <c r="P152" s="2090"/>
      <c r="Q152" s="2090"/>
      <c r="R152" s="871">
        <v>1</v>
      </c>
      <c r="S152" s="871">
        <v>1</v>
      </c>
      <c r="T152" s="871">
        <v>1</v>
      </c>
      <c r="U152" s="871">
        <v>1</v>
      </c>
      <c r="V152" s="871">
        <v>1</v>
      </c>
      <c r="W152" s="871">
        <v>1</v>
      </c>
      <c r="X152" s="871">
        <v>1</v>
      </c>
      <c r="Y152" s="871">
        <v>1</v>
      </c>
      <c r="Z152" s="871">
        <v>1</v>
      </c>
      <c r="AA152" s="871">
        <v>1</v>
      </c>
    </row>
    <row r="153" spans="1:27" ht="19.5" customHeight="1">
      <c r="A153" s="6098"/>
      <c r="B153" s="2195" t="s">
        <v>9105</v>
      </c>
      <c r="C153" s="2283"/>
      <c r="D153" s="2283"/>
      <c r="E153" s="2283"/>
      <c r="F153" s="2283"/>
      <c r="G153" s="2283"/>
      <c r="H153" s="2284"/>
      <c r="I153" s="2285"/>
      <c r="J153" s="2286"/>
      <c r="K153" s="2286"/>
      <c r="L153" s="2287"/>
      <c r="M153" s="2090"/>
      <c r="N153" s="2090"/>
      <c r="O153" s="2090"/>
      <c r="P153" s="2090"/>
      <c r="Q153" s="2090"/>
      <c r="R153" s="871">
        <v>1</v>
      </c>
      <c r="S153" s="871">
        <v>1</v>
      </c>
      <c r="T153" s="871">
        <v>1</v>
      </c>
      <c r="U153" s="871">
        <v>1</v>
      </c>
      <c r="V153" s="871">
        <v>1</v>
      </c>
      <c r="W153" s="871">
        <v>1</v>
      </c>
      <c r="X153" s="871">
        <v>1</v>
      </c>
      <c r="Y153" s="871">
        <v>1</v>
      </c>
      <c r="Z153" s="871">
        <v>1</v>
      </c>
      <c r="AA153" s="871">
        <v>1</v>
      </c>
    </row>
    <row r="154" spans="1:27" ht="19.5" customHeight="1" thickBot="1">
      <c r="A154" s="6098"/>
      <c r="B154" s="2288" t="s">
        <v>9106</v>
      </c>
      <c r="C154" s="2289"/>
      <c r="D154" s="2289"/>
      <c r="E154" s="2289"/>
      <c r="F154" s="2289"/>
      <c r="G154" s="2289"/>
      <c r="H154" s="2290"/>
      <c r="I154" s="2291"/>
      <c r="J154" s="1666"/>
      <c r="K154" s="1666"/>
      <c r="L154" s="2292"/>
      <c r="M154" s="2090"/>
      <c r="N154" s="2090"/>
      <c r="O154" s="2090"/>
      <c r="P154" s="2090"/>
      <c r="Q154" s="2090"/>
      <c r="R154" s="871">
        <v>1</v>
      </c>
      <c r="S154" s="871">
        <v>1</v>
      </c>
      <c r="T154" s="871">
        <v>1</v>
      </c>
      <c r="U154" s="871">
        <v>1</v>
      </c>
      <c r="V154" s="871">
        <v>1</v>
      </c>
      <c r="W154" s="871">
        <v>1</v>
      </c>
      <c r="X154" s="871">
        <v>1</v>
      </c>
      <c r="Y154" s="871">
        <v>1</v>
      </c>
      <c r="Z154" s="871">
        <v>1</v>
      </c>
      <c r="AA154" s="871">
        <v>1</v>
      </c>
    </row>
    <row r="155" spans="1:27" s="2072" customFormat="1" thickBot="1">
      <c r="A155" s="2090"/>
      <c r="B155" s="2124"/>
      <c r="C155" s="2124"/>
      <c r="D155" s="2124"/>
      <c r="E155" s="2124"/>
      <c r="F155" s="2124"/>
      <c r="G155" s="2124"/>
      <c r="H155" s="2091"/>
      <c r="I155" s="2134"/>
      <c r="J155" s="2134"/>
      <c r="K155" s="2135"/>
      <c r="L155" s="2135"/>
      <c r="M155" s="2134"/>
      <c r="N155" s="2134"/>
      <c r="O155" s="2090"/>
      <c r="P155" s="2090"/>
      <c r="Q155" s="2090"/>
      <c r="R155" s="871">
        <v>1</v>
      </c>
      <c r="S155" s="871">
        <v>1</v>
      </c>
      <c r="T155" s="871">
        <v>1</v>
      </c>
      <c r="U155" s="871">
        <v>1</v>
      </c>
      <c r="V155" s="871">
        <v>1</v>
      </c>
      <c r="W155" s="871">
        <v>1</v>
      </c>
      <c r="X155" s="871">
        <v>1</v>
      </c>
      <c r="Y155" s="871">
        <v>1</v>
      </c>
      <c r="Z155" s="871">
        <v>1</v>
      </c>
      <c r="AA155" s="871">
        <v>1</v>
      </c>
    </row>
    <row r="156" spans="1:27" s="2072" customFormat="1" ht="23.25">
      <c r="A156" s="2293" t="s">
        <v>167</v>
      </c>
      <c r="B156" s="6123" t="s">
        <v>9007</v>
      </c>
      <c r="C156" s="6124"/>
      <c r="D156" s="6124"/>
      <c r="E156" s="6124"/>
      <c r="F156" s="6124"/>
      <c r="G156" s="6124"/>
      <c r="H156" s="6124"/>
      <c r="I156" s="6124"/>
      <c r="J156" s="6124"/>
      <c r="K156" s="6124"/>
      <c r="L156" s="6125"/>
      <c r="M156" s="2134"/>
      <c r="N156" s="2134"/>
      <c r="O156" s="2090"/>
      <c r="P156" s="2090"/>
      <c r="Q156" s="2090"/>
      <c r="R156" s="871">
        <v>1</v>
      </c>
      <c r="S156" s="871">
        <v>1</v>
      </c>
      <c r="T156" s="871">
        <v>1</v>
      </c>
      <c r="U156" s="871">
        <v>1</v>
      </c>
      <c r="V156" s="871">
        <v>1</v>
      </c>
      <c r="W156" s="871">
        <v>1</v>
      </c>
      <c r="X156" s="871">
        <v>1</v>
      </c>
      <c r="Y156" s="871">
        <v>1</v>
      </c>
      <c r="Z156" s="871">
        <v>1</v>
      </c>
      <c r="AA156" s="871">
        <v>1</v>
      </c>
    </row>
    <row r="157" spans="1:27" s="2072" customFormat="1" ht="23.25">
      <c r="A157" s="6126" t="str">
        <f>B156</f>
        <v>Nombre de contenants a la pièce avec la fonction MODULO</v>
      </c>
      <c r="B157" s="2294" t="str">
        <f>ADDRESS(ROW(),COLUMN(),4)</f>
        <v>B157</v>
      </c>
      <c r="C157" s="2295" t="s">
        <v>3529</v>
      </c>
      <c r="D157" s="2296"/>
      <c r="E157" s="2296"/>
      <c r="F157" s="2296"/>
      <c r="G157" s="2296"/>
      <c r="H157" s="2296"/>
      <c r="I157" s="2296"/>
      <c r="J157" s="2297"/>
      <c r="K157" s="2298" t="str">
        <f ca="1">MID(CELL("filename",B157),SEARCH("[",CELL("filename",B157))+1,SEARCH("]",CELL("filename",B157))-SEARCH("[",CELL("filename",B157))-1)</f>
        <v>ff.FICHE.TRILINGUE.15.COLONNES.29.11.2025.xlsx</v>
      </c>
      <c r="L157" s="2299">
        <v>5</v>
      </c>
      <c r="M157" s="2134"/>
      <c r="N157" s="2134"/>
      <c r="O157" s="2090"/>
      <c r="P157" s="2090"/>
      <c r="Q157" s="2090"/>
      <c r="R157" s="871">
        <v>1</v>
      </c>
      <c r="S157" s="871">
        <v>1</v>
      </c>
      <c r="T157" s="871">
        <v>1</v>
      </c>
      <c r="U157" s="871">
        <v>1</v>
      </c>
      <c r="V157" s="871">
        <v>1</v>
      </c>
      <c r="W157" s="871">
        <v>1</v>
      </c>
      <c r="X157" s="871">
        <v>1</v>
      </c>
      <c r="Y157" s="871">
        <v>1</v>
      </c>
      <c r="Z157" s="871">
        <v>1</v>
      </c>
      <c r="AA157" s="871">
        <v>1</v>
      </c>
    </row>
    <row r="158" spans="1:27" s="2072" customFormat="1" ht="15">
      <c r="A158" s="6126"/>
      <c r="B158" s="2300"/>
      <c r="C158" s="2301"/>
      <c r="D158" s="2301"/>
      <c r="E158" s="2301"/>
      <c r="F158" s="2301"/>
      <c r="G158" s="2301"/>
      <c r="H158" s="2301"/>
      <c r="I158" s="2301"/>
      <c r="J158" s="2301"/>
      <c r="K158" s="2301"/>
      <c r="L158" s="2302"/>
      <c r="M158" s="2134"/>
      <c r="N158" s="2134"/>
      <c r="O158" s="2090"/>
      <c r="P158" s="2090"/>
      <c r="Q158" s="2090"/>
      <c r="R158" s="871">
        <v>1</v>
      </c>
      <c r="S158" s="871">
        <v>1</v>
      </c>
      <c r="T158" s="871">
        <v>1</v>
      </c>
      <c r="U158" s="871">
        <v>1</v>
      </c>
      <c r="V158" s="871">
        <v>1</v>
      </c>
      <c r="W158" s="871">
        <v>1</v>
      </c>
      <c r="X158" s="871">
        <v>1</v>
      </c>
      <c r="Y158" s="871">
        <v>1</v>
      </c>
      <c r="Z158" s="871">
        <v>1</v>
      </c>
      <c r="AA158" s="871">
        <v>1</v>
      </c>
    </row>
    <row r="159" spans="1:27" s="2072" customFormat="1" ht="18">
      <c r="A159" s="6126"/>
      <c r="B159" s="2303"/>
      <c r="C159" s="2304"/>
      <c r="D159" s="2305" t="s">
        <v>9084</v>
      </c>
      <c r="E159" s="2306">
        <v>680</v>
      </c>
      <c r="F159" s="2307" t="s">
        <v>9127</v>
      </c>
      <c r="G159" s="2308">
        <f>IF(MOD(E159,E161)&gt;MOD(E159,E161)/2,INT(E159/E161)+1,INT(E159/E161))</f>
        <v>57</v>
      </c>
      <c r="H159" s="2308" t="s">
        <v>9122</v>
      </c>
      <c r="I159" s="2308"/>
      <c r="J159" s="2308"/>
      <c r="K159" s="2308"/>
      <c r="L159" s="2302"/>
      <c r="M159" s="2134"/>
      <c r="N159" s="2134"/>
      <c r="O159" s="2090"/>
      <c r="P159" s="2090"/>
      <c r="Q159" s="2090"/>
      <c r="R159" s="871">
        <v>1</v>
      </c>
      <c r="S159" s="871">
        <v>1</v>
      </c>
      <c r="T159" s="871">
        <v>1</v>
      </c>
      <c r="U159" s="871">
        <v>1</v>
      </c>
      <c r="V159" s="871">
        <v>1</v>
      </c>
      <c r="W159" s="871">
        <v>1</v>
      </c>
      <c r="X159" s="871">
        <v>1</v>
      </c>
      <c r="Y159" s="871">
        <v>1</v>
      </c>
      <c r="Z159" s="871">
        <v>1</v>
      </c>
      <c r="AA159" s="871">
        <v>1</v>
      </c>
    </row>
    <row r="160" spans="1:27" s="2072" customFormat="1" ht="18">
      <c r="A160" s="6126"/>
      <c r="B160" s="2303"/>
      <c r="C160" s="2309"/>
      <c r="D160" s="2310"/>
      <c r="E160" s="2309"/>
      <c r="F160" s="2309"/>
      <c r="G160" s="2309"/>
      <c r="H160" s="2309"/>
      <c r="I160" s="2309"/>
      <c r="J160" s="2309"/>
      <c r="K160" s="2309"/>
      <c r="L160" s="2302"/>
      <c r="M160" s="2134"/>
      <c r="N160" s="2134"/>
      <c r="O160" s="2090"/>
      <c r="P160" s="2090"/>
      <c r="Q160" s="2090"/>
      <c r="R160" s="871">
        <v>1</v>
      </c>
      <c r="S160" s="871">
        <v>1</v>
      </c>
      <c r="T160" s="871">
        <v>1</v>
      </c>
      <c r="U160" s="871">
        <v>1</v>
      </c>
      <c r="V160" s="871">
        <v>1</v>
      </c>
      <c r="W160" s="871">
        <v>1</v>
      </c>
      <c r="X160" s="871">
        <v>1</v>
      </c>
      <c r="Y160" s="871">
        <v>1</v>
      </c>
      <c r="Z160" s="871">
        <v>1</v>
      </c>
      <c r="AA160" s="871">
        <v>1</v>
      </c>
    </row>
    <row r="161" spans="1:27" s="2072" customFormat="1" ht="18">
      <c r="A161" s="6126"/>
      <c r="B161" s="2303"/>
      <c r="C161" s="2311"/>
      <c r="D161" s="2312" t="s">
        <v>9117</v>
      </c>
      <c r="E161" s="2306">
        <v>12</v>
      </c>
      <c r="F161" s="1717" t="str">
        <f>F159</f>
        <v>chouquettes</v>
      </c>
      <c r="G161" s="2308">
        <f>INT(E159/E161)</f>
        <v>56</v>
      </c>
      <c r="H161" s="2313" t="s">
        <v>93</v>
      </c>
      <c r="I161" s="2314">
        <f>E161</f>
        <v>12</v>
      </c>
      <c r="J161" s="1717" t="str">
        <f>F161</f>
        <v>chouquettes</v>
      </c>
      <c r="K161" s="2313">
        <f>I161*G161</f>
        <v>672</v>
      </c>
      <c r="L161" s="2315"/>
      <c r="M161" s="2134"/>
      <c r="N161" s="2134"/>
      <c r="O161" s="2090"/>
      <c r="P161" s="2090"/>
      <c r="Q161" s="2090"/>
      <c r="R161" s="871">
        <v>1</v>
      </c>
      <c r="S161" s="871">
        <v>1</v>
      </c>
      <c r="T161" s="871">
        <v>1</v>
      </c>
      <c r="U161" s="871">
        <v>1</v>
      </c>
      <c r="V161" s="871">
        <v>1</v>
      </c>
      <c r="W161" s="871">
        <v>1</v>
      </c>
      <c r="X161" s="871">
        <v>1</v>
      </c>
      <c r="Y161" s="871">
        <v>1</v>
      </c>
      <c r="Z161" s="871">
        <v>1</v>
      </c>
      <c r="AA161" s="871">
        <v>1</v>
      </c>
    </row>
    <row r="162" spans="1:27" s="2072" customFormat="1" ht="18">
      <c r="A162" s="6126"/>
      <c r="B162" s="2316"/>
      <c r="C162" s="2309"/>
      <c r="D162" s="2309"/>
      <c r="E162" s="2309"/>
      <c r="F162" s="2309"/>
      <c r="G162" s="2309"/>
      <c r="H162" s="2317" t="str">
        <f>IF(K161=E159,"",IF(I162&gt;0,"Plus 1 de"))</f>
        <v>Plus 1 de</v>
      </c>
      <c r="I162" s="2314">
        <f>IF(K161=E159,"",MOD(E159,E161))</f>
        <v>8</v>
      </c>
      <c r="J162" s="1717" t="str">
        <f>IF(K161=E159,"",J161)</f>
        <v>chouquettes</v>
      </c>
      <c r="K162" s="2313">
        <f>IF(K161=E159,"",K161+I162)</f>
        <v>680</v>
      </c>
      <c r="L162" s="2315"/>
      <c r="M162" s="2134"/>
      <c r="N162" s="2134"/>
      <c r="O162" s="2090"/>
      <c r="P162" s="2090"/>
      <c r="Q162" s="2090"/>
      <c r="R162" s="871">
        <v>1</v>
      </c>
      <c r="S162" s="871">
        <v>1</v>
      </c>
      <c r="T162" s="871">
        <v>1</v>
      </c>
      <c r="U162" s="871">
        <v>1</v>
      </c>
      <c r="V162" s="871">
        <v>1</v>
      </c>
      <c r="W162" s="871">
        <v>1</v>
      </c>
      <c r="X162" s="871">
        <v>1</v>
      </c>
      <c r="Y162" s="871">
        <v>1</v>
      </c>
      <c r="Z162" s="871">
        <v>1</v>
      </c>
      <c r="AA162" s="871">
        <v>1</v>
      </c>
    </row>
    <row r="163" spans="1:27" s="2072" customFormat="1" ht="18">
      <c r="A163" s="6126"/>
      <c r="B163" s="2316"/>
      <c r="C163" s="2309"/>
      <c r="D163" s="2309"/>
      <c r="E163" s="2309"/>
      <c r="F163" s="2309"/>
      <c r="G163" s="2309"/>
      <c r="H163" s="2317"/>
      <c r="I163" s="2318"/>
      <c r="J163" s="2319"/>
      <c r="K163" s="2320"/>
      <c r="L163" s="2315"/>
      <c r="M163" s="2134"/>
      <c r="N163" s="2134"/>
      <c r="O163" s="2090"/>
      <c r="P163" s="2090"/>
      <c r="Q163" s="2090"/>
      <c r="R163" s="871">
        <v>1</v>
      </c>
      <c r="S163" s="871">
        <v>1</v>
      </c>
      <c r="T163" s="871">
        <v>1</v>
      </c>
      <c r="U163" s="871">
        <v>1</v>
      </c>
      <c r="V163" s="871">
        <v>1</v>
      </c>
      <c r="W163" s="871">
        <v>1</v>
      </c>
      <c r="X163" s="871">
        <v>1</v>
      </c>
      <c r="Y163" s="871">
        <v>1</v>
      </c>
      <c r="Z163" s="871">
        <v>1</v>
      </c>
      <c r="AA163" s="871">
        <v>1</v>
      </c>
    </row>
    <row r="164" spans="1:27" s="2072" customFormat="1" ht="15">
      <c r="A164" s="6126"/>
      <c r="B164" s="6128" t="s">
        <v>3502</v>
      </c>
      <c r="C164" s="6129"/>
      <c r="D164" s="6129"/>
      <c r="E164" s="6129"/>
      <c r="F164" s="6129"/>
      <c r="G164" s="6129"/>
      <c r="H164" s="6129"/>
      <c r="I164" s="6129"/>
      <c r="J164" s="6129"/>
      <c r="K164" s="6129"/>
      <c r="L164" s="2302"/>
      <c r="M164" s="2134"/>
      <c r="N164" s="2134"/>
      <c r="O164" s="2090"/>
      <c r="P164" s="2090"/>
      <c r="Q164" s="2090"/>
      <c r="R164" s="871">
        <v>1</v>
      </c>
      <c r="S164" s="871">
        <v>1</v>
      </c>
      <c r="T164" s="871">
        <v>1</v>
      </c>
      <c r="U164" s="871">
        <v>1</v>
      </c>
      <c r="V164" s="871">
        <v>1</v>
      </c>
      <c r="W164" s="871">
        <v>1</v>
      </c>
      <c r="X164" s="871">
        <v>1</v>
      </c>
      <c r="Y164" s="871">
        <v>1</v>
      </c>
      <c r="Z164" s="871">
        <v>1</v>
      </c>
      <c r="AA164" s="871">
        <v>1</v>
      </c>
    </row>
    <row r="165" spans="1:27" s="2072" customFormat="1">
      <c r="A165" s="6126"/>
      <c r="B165" s="6130" t="s">
        <v>3554</v>
      </c>
      <c r="C165" s="6131"/>
      <c r="D165" s="6131"/>
      <c r="E165" s="6131"/>
      <c r="F165" s="6131"/>
      <c r="G165" s="6131"/>
      <c r="H165" s="6131"/>
      <c r="I165" s="6131"/>
      <c r="J165" s="6131"/>
      <c r="K165" s="6131"/>
      <c r="L165" s="2302"/>
      <c r="M165" s="2134"/>
      <c r="N165" s="2134"/>
      <c r="O165" s="2090"/>
      <c r="P165" s="2090"/>
      <c r="Q165" s="2090"/>
      <c r="R165" s="871">
        <v>1</v>
      </c>
      <c r="S165" s="871">
        <v>1</v>
      </c>
      <c r="T165" s="871">
        <v>1</v>
      </c>
      <c r="U165" s="871">
        <v>1</v>
      </c>
      <c r="V165" s="871">
        <v>1</v>
      </c>
      <c r="W165" s="871">
        <v>1</v>
      </c>
      <c r="X165" s="871">
        <v>1</v>
      </c>
      <c r="Y165" s="871">
        <v>1</v>
      </c>
      <c r="Z165" s="871">
        <v>1</v>
      </c>
      <c r="AA165" s="871">
        <v>1</v>
      </c>
    </row>
    <row r="166" spans="1:27" s="2072" customFormat="1" ht="15">
      <c r="A166" s="6126"/>
      <c r="B166" s="2321" t="s">
        <v>208</v>
      </c>
      <c r="C166" s="2322" t="str">
        <f ca="1">CELL("nomfichier")</f>
        <v>D:\Données\1.UPRT\0-UPRT.fait\1-UPRT.FR-SITE-WEB\ff-fiches-fabrications\ff.fiches.fabrication.2023\ffr.restaurant.2023\[ff.FICHE.TRILINGUE.15.COLONNES.29.11.2025.xlsx]Notice.utilisateur</v>
      </c>
      <c r="D166" s="2322"/>
      <c r="E166" s="2322"/>
      <c r="F166" s="2322"/>
      <c r="G166" s="2322"/>
      <c r="H166" s="2322"/>
      <c r="I166" s="2322"/>
      <c r="J166" s="2322"/>
      <c r="K166" s="2322"/>
      <c r="L166" s="2323"/>
      <c r="M166" s="2134" t="s">
        <v>22</v>
      </c>
      <c r="N166" s="2134"/>
      <c r="O166" s="2090"/>
      <c r="P166" s="2090"/>
      <c r="Q166" s="2090"/>
      <c r="R166" s="871">
        <v>1</v>
      </c>
      <c r="S166" s="871">
        <v>1</v>
      </c>
      <c r="T166" s="871">
        <v>1</v>
      </c>
      <c r="U166" s="871">
        <v>1</v>
      </c>
      <c r="V166" s="871">
        <v>1</v>
      </c>
      <c r="W166" s="871">
        <v>1</v>
      </c>
      <c r="X166" s="871">
        <v>1</v>
      </c>
      <c r="Y166" s="871">
        <v>1</v>
      </c>
      <c r="Z166" s="871">
        <v>1</v>
      </c>
      <c r="AA166" s="871">
        <v>1</v>
      </c>
    </row>
    <row r="167" spans="1:27" s="2072" customFormat="1" ht="16.5" thickBot="1">
      <c r="A167" s="6127"/>
      <c r="B167" s="2324" t="s">
        <v>9128</v>
      </c>
      <c r="C167" s="2325"/>
      <c r="D167" s="2325"/>
      <c r="E167" s="2325"/>
      <c r="F167" s="2325"/>
      <c r="G167" s="2325"/>
      <c r="H167" s="2325"/>
      <c r="I167" s="2325"/>
      <c r="J167" s="2325"/>
      <c r="K167" s="2325"/>
      <c r="L167" s="2326"/>
      <c r="M167" s="2134"/>
      <c r="N167" s="2134"/>
      <c r="O167" s="2090"/>
      <c r="P167" s="2090"/>
      <c r="Q167" s="2090"/>
      <c r="R167" s="871">
        <v>1</v>
      </c>
      <c r="S167" s="871">
        <v>1</v>
      </c>
      <c r="T167" s="871">
        <v>1</v>
      </c>
      <c r="U167" s="871">
        <v>1</v>
      </c>
      <c r="V167" s="871">
        <v>1</v>
      </c>
      <c r="W167" s="871">
        <v>1</v>
      </c>
      <c r="X167" s="871">
        <v>1</v>
      </c>
      <c r="Y167" s="871">
        <v>1</v>
      </c>
      <c r="Z167" s="871">
        <v>1</v>
      </c>
      <c r="AA167" s="871">
        <v>1</v>
      </c>
    </row>
    <row r="168" spans="1:27" s="2072" customFormat="1" thickBot="1">
      <c r="A168" s="2090"/>
      <c r="B168" s="2124"/>
      <c r="C168" s="2124"/>
      <c r="D168" s="2124"/>
      <c r="E168" s="2124"/>
      <c r="F168" s="2124"/>
      <c r="G168" s="2124"/>
      <c r="H168" s="2091"/>
      <c r="I168" s="2134"/>
      <c r="J168" s="2134"/>
      <c r="K168" s="2135"/>
      <c r="L168" s="2135"/>
      <c r="M168" s="2134"/>
      <c r="N168" s="2134"/>
      <c r="O168" s="2090"/>
      <c r="P168" s="2090"/>
      <c r="Q168" s="2090"/>
      <c r="R168" s="871">
        <v>1</v>
      </c>
      <c r="S168" s="871">
        <v>1</v>
      </c>
      <c r="T168" s="871">
        <v>1</v>
      </c>
      <c r="U168" s="871">
        <v>1</v>
      </c>
      <c r="V168" s="871">
        <v>1</v>
      </c>
      <c r="W168" s="871">
        <v>1</v>
      </c>
      <c r="X168" s="871">
        <v>1</v>
      </c>
      <c r="Y168" s="871">
        <v>1</v>
      </c>
      <c r="Z168" s="871">
        <v>1</v>
      </c>
      <c r="AA168" s="871">
        <v>1</v>
      </c>
    </row>
    <row r="169" spans="1:27" s="2072" customFormat="1" ht="23.25">
      <c r="A169" s="2293" t="s">
        <v>167</v>
      </c>
      <c r="B169" s="6123" t="s">
        <v>9009</v>
      </c>
      <c r="C169" s="6124"/>
      <c r="D169" s="6124"/>
      <c r="E169" s="6124"/>
      <c r="F169" s="6124"/>
      <c r="G169" s="6124"/>
      <c r="H169" s="6124"/>
      <c r="I169" s="6124"/>
      <c r="J169" s="6124"/>
      <c r="K169" s="6125"/>
      <c r="L169" s="2135"/>
      <c r="M169" s="2134"/>
      <c r="N169" s="2134"/>
      <c r="O169" s="2090"/>
      <c r="P169" s="2090"/>
      <c r="Q169" s="2090"/>
      <c r="R169" s="871">
        <v>1</v>
      </c>
      <c r="S169" s="871">
        <v>1</v>
      </c>
      <c r="T169" s="871">
        <v>1</v>
      </c>
      <c r="U169" s="871">
        <v>1</v>
      </c>
      <c r="V169" s="871">
        <v>1</v>
      </c>
      <c r="W169" s="871">
        <v>1</v>
      </c>
      <c r="X169" s="871">
        <v>1</v>
      </c>
      <c r="Y169" s="871">
        <v>1</v>
      </c>
      <c r="Z169" s="871">
        <v>1</v>
      </c>
      <c r="AA169" s="871">
        <v>1</v>
      </c>
    </row>
    <row r="170" spans="1:27" s="2072" customFormat="1" ht="23.25">
      <c r="A170" s="6126" t="str">
        <f>B169</f>
        <v>Nombre de contenants au poids avec la fonction MODULO</v>
      </c>
      <c r="B170" s="2294" t="str">
        <f>ADDRESS(ROW(),COLUMN(),4)</f>
        <v>B170</v>
      </c>
      <c r="C170" s="2295" t="s">
        <v>3529</v>
      </c>
      <c r="D170" s="2296"/>
      <c r="E170" s="2296"/>
      <c r="F170" s="2296"/>
      <c r="G170" s="2296"/>
      <c r="H170" s="2296"/>
      <c r="I170" s="2297"/>
      <c r="J170" s="2298" t="str">
        <f ca="1">MID(CELL("filename",B170),SEARCH("[",CELL("filename",B170))+1,SEARCH("]",CELL("filename",B170))-SEARCH("[",CELL("filename",B170))-1)</f>
        <v>ff.FICHE.TRILINGUE.15.COLONNES.29.11.2025.xlsx</v>
      </c>
      <c r="K170" s="2299">
        <v>5</v>
      </c>
      <c r="L170" s="2135"/>
      <c r="M170" s="2134"/>
      <c r="N170" s="2134"/>
      <c r="O170" s="2090"/>
      <c r="P170" s="2090"/>
      <c r="Q170" s="2090"/>
      <c r="R170" s="871">
        <v>1</v>
      </c>
      <c r="S170" s="871">
        <v>1</v>
      </c>
      <c r="T170" s="871">
        <v>1</v>
      </c>
      <c r="U170" s="871">
        <v>1</v>
      </c>
      <c r="V170" s="871">
        <v>1</v>
      </c>
      <c r="W170" s="871">
        <v>1</v>
      </c>
      <c r="X170" s="871">
        <v>1</v>
      </c>
      <c r="Y170" s="871">
        <v>1</v>
      </c>
      <c r="Z170" s="871">
        <v>1</v>
      </c>
      <c r="AA170" s="871">
        <v>1</v>
      </c>
    </row>
    <row r="171" spans="1:27" s="2072" customFormat="1" ht="15">
      <c r="A171" s="6126"/>
      <c r="B171" s="2300"/>
      <c r="C171" s="2301"/>
      <c r="D171" s="2301"/>
      <c r="E171" s="2301"/>
      <c r="F171" s="2301"/>
      <c r="G171" s="2301"/>
      <c r="H171" s="2301"/>
      <c r="I171" s="2301"/>
      <c r="J171" s="2301"/>
      <c r="K171" s="2302"/>
      <c r="L171" s="2135"/>
      <c r="M171" s="2134"/>
      <c r="N171" s="2134"/>
      <c r="O171" s="2090"/>
      <c r="P171" s="2090"/>
      <c r="Q171" s="2090"/>
      <c r="R171" s="871">
        <v>1</v>
      </c>
      <c r="S171" s="871">
        <v>1</v>
      </c>
      <c r="T171" s="871">
        <v>1</v>
      </c>
      <c r="U171" s="871">
        <v>1</v>
      </c>
      <c r="V171" s="871">
        <v>1</v>
      </c>
      <c r="W171" s="871">
        <v>1</v>
      </c>
      <c r="X171" s="871">
        <v>1</v>
      </c>
      <c r="Y171" s="871">
        <v>1</v>
      </c>
      <c r="Z171" s="871">
        <v>1</v>
      </c>
      <c r="AA171" s="871">
        <v>1</v>
      </c>
    </row>
    <row r="172" spans="1:27" s="2072" customFormat="1" ht="18">
      <c r="A172" s="6126"/>
      <c r="B172" s="2303"/>
      <c r="C172" s="2304"/>
      <c r="D172" s="2305" t="s">
        <v>9084</v>
      </c>
      <c r="E172" s="2327">
        <v>11</v>
      </c>
      <c r="F172" s="2308">
        <f>IF(MOD(E172,E174)&gt;MOD(E172,E174)/2,INT(E172/E174)+1,INT(E172/E174))</f>
        <v>37</v>
      </c>
      <c r="G172" s="2308" t="s">
        <v>9122</v>
      </c>
      <c r="H172" s="2308"/>
      <c r="I172" s="2308"/>
      <c r="J172" s="2308"/>
      <c r="K172" s="2302"/>
      <c r="L172" s="2135"/>
      <c r="M172" s="2134"/>
      <c r="N172" s="2134"/>
      <c r="O172" s="2090"/>
      <c r="P172" s="2090"/>
      <c r="Q172" s="2090"/>
      <c r="R172" s="871">
        <v>1</v>
      </c>
      <c r="S172" s="871">
        <v>1</v>
      </c>
      <c r="T172" s="871">
        <v>1</v>
      </c>
      <c r="U172" s="871">
        <v>1</v>
      </c>
      <c r="V172" s="871">
        <v>1</v>
      </c>
      <c r="W172" s="871">
        <v>1</v>
      </c>
      <c r="X172" s="871">
        <v>1</v>
      </c>
      <c r="Y172" s="871">
        <v>1</v>
      </c>
      <c r="Z172" s="871">
        <v>1</v>
      </c>
      <c r="AA172" s="871">
        <v>1</v>
      </c>
    </row>
    <row r="173" spans="1:27" s="2072" customFormat="1" ht="18">
      <c r="A173" s="6126"/>
      <c r="B173" s="2303"/>
      <c r="C173" s="2309"/>
      <c r="D173" s="2310"/>
      <c r="E173" s="2309"/>
      <c r="F173" s="2309"/>
      <c r="G173" s="2309"/>
      <c r="H173" s="2309"/>
      <c r="I173" s="2309"/>
      <c r="J173" s="2309"/>
      <c r="K173" s="2302"/>
      <c r="L173" s="2135"/>
      <c r="M173" s="2134"/>
      <c r="N173" s="2134"/>
      <c r="O173" s="2090"/>
      <c r="P173" s="2090"/>
      <c r="Q173" s="2090"/>
      <c r="R173" s="871">
        <v>1</v>
      </c>
      <c r="S173" s="871">
        <v>1</v>
      </c>
      <c r="T173" s="871">
        <v>1</v>
      </c>
      <c r="U173" s="871">
        <v>1</v>
      </c>
      <c r="V173" s="871">
        <v>1</v>
      </c>
      <c r="W173" s="871">
        <v>1</v>
      </c>
      <c r="X173" s="871">
        <v>1</v>
      </c>
      <c r="Y173" s="871">
        <v>1</v>
      </c>
      <c r="Z173" s="871">
        <v>1</v>
      </c>
      <c r="AA173" s="871">
        <v>1</v>
      </c>
    </row>
    <row r="174" spans="1:27" s="2072" customFormat="1" ht="18">
      <c r="A174" s="6126"/>
      <c r="B174" s="2303"/>
      <c r="C174" s="2311"/>
      <c r="D174" s="2312" t="s">
        <v>9117</v>
      </c>
      <c r="E174" s="2328">
        <v>0.3</v>
      </c>
      <c r="F174" s="2308">
        <f>INT(E172/E174)</f>
        <v>36</v>
      </c>
      <c r="G174" s="6132">
        <f>E174</f>
        <v>0.3</v>
      </c>
      <c r="H174" s="6132"/>
      <c r="I174" s="2309"/>
      <c r="J174" s="2329">
        <f>E174*F174</f>
        <v>10.799999999999999</v>
      </c>
      <c r="K174" s="2302"/>
      <c r="L174" s="2135"/>
      <c r="M174" s="2134"/>
      <c r="N174" s="2134"/>
      <c r="O174" s="2090"/>
      <c r="P174" s="2090"/>
      <c r="Q174" s="2090"/>
      <c r="R174" s="871">
        <v>1</v>
      </c>
      <c r="S174" s="871">
        <v>1</v>
      </c>
      <c r="T174" s="871">
        <v>1</v>
      </c>
      <c r="U174" s="871">
        <v>1</v>
      </c>
      <c r="V174" s="871">
        <v>1</v>
      </c>
      <c r="W174" s="871">
        <v>1</v>
      </c>
      <c r="X174" s="871">
        <v>1</v>
      </c>
      <c r="Y174" s="871">
        <v>1</v>
      </c>
      <c r="Z174" s="871">
        <v>1</v>
      </c>
      <c r="AA174" s="871">
        <v>1</v>
      </c>
    </row>
    <row r="175" spans="1:27" s="2072" customFormat="1" ht="18">
      <c r="A175" s="6126"/>
      <c r="B175" s="2316"/>
      <c r="C175" s="2309"/>
      <c r="D175" s="2309"/>
      <c r="E175" s="2309"/>
      <c r="F175" s="2330"/>
      <c r="G175" s="2317" t="str">
        <f>IF(J174=E172,"","Plus 1 de")</f>
        <v>Plus 1 de</v>
      </c>
      <c r="H175" s="2331">
        <f>IF(J174=E172,"",MOD(E172,E174))</f>
        <v>0.2000000000000004</v>
      </c>
      <c r="I175" s="2319"/>
      <c r="J175" s="2329">
        <f>IF(J174=E172,"",J174+H175)</f>
        <v>11</v>
      </c>
      <c r="K175" s="2302"/>
      <c r="L175" s="2135"/>
      <c r="M175" s="2134"/>
      <c r="N175" s="2134"/>
      <c r="O175" s="2090"/>
      <c r="P175" s="2090"/>
      <c r="Q175" s="2090"/>
      <c r="R175" s="871">
        <v>1</v>
      </c>
      <c r="S175" s="871">
        <v>1</v>
      </c>
      <c r="T175" s="871">
        <v>1</v>
      </c>
      <c r="U175" s="871">
        <v>1</v>
      </c>
      <c r="V175" s="871">
        <v>1</v>
      </c>
      <c r="W175" s="871">
        <v>1</v>
      </c>
      <c r="X175" s="871">
        <v>1</v>
      </c>
      <c r="Y175" s="871">
        <v>1</v>
      </c>
      <c r="Z175" s="871">
        <v>1</v>
      </c>
      <c r="AA175" s="871">
        <v>1</v>
      </c>
    </row>
    <row r="176" spans="1:27" s="2072" customFormat="1" ht="15">
      <c r="A176" s="6126"/>
      <c r="B176" s="6128" t="s">
        <v>3502</v>
      </c>
      <c r="C176" s="6129"/>
      <c r="D176" s="6129"/>
      <c r="E176" s="6129"/>
      <c r="F176" s="6129"/>
      <c r="G176" s="6129"/>
      <c r="H176" s="6129"/>
      <c r="I176" s="6129"/>
      <c r="J176" s="6129"/>
      <c r="K176" s="2302"/>
      <c r="L176" s="2135"/>
      <c r="M176" s="2134"/>
      <c r="N176" s="2134"/>
      <c r="O176" s="2090"/>
      <c r="P176" s="2090"/>
      <c r="Q176" s="2090"/>
      <c r="R176" s="871">
        <v>1</v>
      </c>
      <c r="S176" s="871">
        <v>1</v>
      </c>
      <c r="T176" s="871">
        <v>1</v>
      </c>
      <c r="U176" s="871">
        <v>1</v>
      </c>
      <c r="V176" s="871">
        <v>1</v>
      </c>
      <c r="W176" s="871">
        <v>1</v>
      </c>
      <c r="X176" s="871">
        <v>1</v>
      </c>
      <c r="Y176" s="871">
        <v>1</v>
      </c>
      <c r="Z176" s="871">
        <v>1</v>
      </c>
      <c r="AA176" s="871">
        <v>1</v>
      </c>
    </row>
    <row r="177" spans="1:27" s="2072" customFormat="1">
      <c r="A177" s="6126"/>
      <c r="B177" s="6133" t="s">
        <v>3554</v>
      </c>
      <c r="C177" s="6134"/>
      <c r="D177" s="6134"/>
      <c r="E177" s="6134"/>
      <c r="F177" s="6134"/>
      <c r="G177" s="6134"/>
      <c r="H177" s="6134"/>
      <c r="I177" s="6134"/>
      <c r="J177" s="6134"/>
      <c r="K177" s="6135"/>
      <c r="L177" s="2135"/>
      <c r="M177" s="2134"/>
      <c r="N177" s="2134"/>
      <c r="O177" s="2090"/>
      <c r="P177" s="2090"/>
      <c r="Q177" s="2090"/>
      <c r="R177" s="871">
        <v>1</v>
      </c>
      <c r="S177" s="871">
        <v>1</v>
      </c>
      <c r="T177" s="871">
        <v>1</v>
      </c>
      <c r="U177" s="871">
        <v>1</v>
      </c>
      <c r="V177" s="871">
        <v>1</v>
      </c>
      <c r="W177" s="871">
        <v>1</v>
      </c>
      <c r="X177" s="871">
        <v>1</v>
      </c>
      <c r="Y177" s="871">
        <v>1</v>
      </c>
      <c r="Z177" s="871">
        <v>1</v>
      </c>
      <c r="AA177" s="871">
        <v>1</v>
      </c>
    </row>
    <row r="178" spans="1:27" s="2072" customFormat="1">
      <c r="A178" s="6126"/>
      <c r="B178" s="1995" t="s">
        <v>9105</v>
      </c>
      <c r="C178" s="2332"/>
      <c r="D178" s="2332"/>
      <c r="E178" s="2332"/>
      <c r="F178" s="2332"/>
      <c r="G178" s="2332"/>
      <c r="H178" s="2332"/>
      <c r="I178" s="2332"/>
      <c r="J178" s="2332"/>
      <c r="K178" s="2302"/>
      <c r="L178" s="2135"/>
      <c r="M178" s="2134"/>
      <c r="N178" s="2134"/>
      <c r="O178" s="2090"/>
      <c r="P178" s="2090"/>
      <c r="Q178" s="2090"/>
      <c r="R178" s="871">
        <v>1</v>
      </c>
      <c r="S178" s="871">
        <v>1</v>
      </c>
      <c r="T178" s="871">
        <v>1</v>
      </c>
      <c r="U178" s="871">
        <v>1</v>
      </c>
      <c r="V178" s="871">
        <v>1</v>
      </c>
      <c r="W178" s="871">
        <v>1</v>
      </c>
      <c r="X178" s="871">
        <v>1</v>
      </c>
      <c r="Y178" s="871">
        <v>1</v>
      </c>
      <c r="Z178" s="871">
        <v>1</v>
      </c>
      <c r="AA178" s="871">
        <v>1</v>
      </c>
    </row>
    <row r="179" spans="1:27" s="2072" customFormat="1">
      <c r="A179" s="6126"/>
      <c r="B179" s="2207" t="s">
        <v>9106</v>
      </c>
      <c r="C179" s="2333"/>
      <c r="D179" s="2333"/>
      <c r="E179" s="2333"/>
      <c r="F179" s="2333"/>
      <c r="G179" s="2333"/>
      <c r="H179" s="2333"/>
      <c r="I179" s="2333"/>
      <c r="J179" s="2333"/>
      <c r="K179" s="2334"/>
      <c r="L179" s="2135"/>
      <c r="M179" s="2134"/>
      <c r="N179" s="2134"/>
      <c r="O179" s="2090"/>
      <c r="P179" s="2090"/>
      <c r="Q179" s="2090"/>
      <c r="R179" s="871">
        <v>1</v>
      </c>
      <c r="S179" s="871">
        <v>1</v>
      </c>
      <c r="T179" s="871">
        <v>1</v>
      </c>
      <c r="U179" s="871">
        <v>1</v>
      </c>
      <c r="V179" s="871">
        <v>1</v>
      </c>
      <c r="W179" s="871">
        <v>1</v>
      </c>
      <c r="X179" s="871">
        <v>1</v>
      </c>
      <c r="Y179" s="871">
        <v>1</v>
      </c>
      <c r="Z179" s="871">
        <v>1</v>
      </c>
      <c r="AA179" s="871">
        <v>1</v>
      </c>
    </row>
    <row r="180" spans="1:27" s="2072" customFormat="1" ht="15">
      <c r="A180" s="6126"/>
      <c r="B180" s="2321" t="s">
        <v>208</v>
      </c>
      <c r="C180" s="2322" t="str">
        <f ca="1">CELL("nomfichier")</f>
        <v>D:\Données\1.UPRT\0-UPRT.fait\1-UPRT.FR-SITE-WEB\ff-fiches-fabrications\ff.fiches.fabrication.2023\ffr.restaurant.2023\[ff.FICHE.TRILINGUE.15.COLONNES.29.11.2025.xlsx]Notice.utilisateur</v>
      </c>
      <c r="D180" s="2322"/>
      <c r="E180" s="2322"/>
      <c r="F180" s="2322"/>
      <c r="G180" s="2322"/>
      <c r="H180" s="2322"/>
      <c r="I180" s="2322"/>
      <c r="J180" s="2322"/>
      <c r="K180" s="2323"/>
      <c r="L180" s="2135"/>
      <c r="M180" s="2134"/>
      <c r="N180" s="2134"/>
      <c r="O180" s="2090"/>
      <c r="P180" s="2090"/>
      <c r="Q180" s="2090"/>
      <c r="R180" s="871">
        <v>1</v>
      </c>
      <c r="S180" s="871">
        <v>1</v>
      </c>
      <c r="T180" s="871">
        <v>1</v>
      </c>
      <c r="U180" s="871">
        <v>1</v>
      </c>
      <c r="V180" s="871">
        <v>1</v>
      </c>
      <c r="W180" s="871">
        <v>1</v>
      </c>
      <c r="X180" s="871">
        <v>1</v>
      </c>
      <c r="Y180" s="871">
        <v>1</v>
      </c>
      <c r="Z180" s="871">
        <v>1</v>
      </c>
      <c r="AA180" s="871">
        <v>1</v>
      </c>
    </row>
    <row r="181" spans="1:27" s="2072" customFormat="1" ht="16.5" thickBot="1">
      <c r="A181" s="6127"/>
      <c r="B181" s="2324" t="s">
        <v>9128</v>
      </c>
      <c r="C181" s="2325"/>
      <c r="D181" s="2325"/>
      <c r="E181" s="2325"/>
      <c r="F181" s="2325"/>
      <c r="G181" s="2325"/>
      <c r="H181" s="2325"/>
      <c r="I181" s="2325"/>
      <c r="J181" s="2325"/>
      <c r="K181" s="2326"/>
      <c r="L181" s="2135"/>
      <c r="M181" s="2134"/>
      <c r="N181" s="2134"/>
      <c r="O181" s="2090"/>
      <c r="P181" s="2090"/>
      <c r="Q181" s="2090"/>
      <c r="R181" s="871">
        <v>1</v>
      </c>
      <c r="S181" s="871">
        <v>1</v>
      </c>
      <c r="T181" s="871">
        <v>1</v>
      </c>
      <c r="U181" s="871">
        <v>1</v>
      </c>
      <c r="V181" s="871">
        <v>1</v>
      </c>
      <c r="W181" s="871">
        <v>1</v>
      </c>
      <c r="X181" s="871">
        <v>1</v>
      </c>
      <c r="Y181" s="871">
        <v>1</v>
      </c>
      <c r="Z181" s="871">
        <v>1</v>
      </c>
      <c r="AA181" s="871">
        <v>1</v>
      </c>
    </row>
    <row r="182" spans="1:27" s="2072" customFormat="1" ht="15">
      <c r="A182" s="2090"/>
      <c r="B182" s="2124"/>
      <c r="C182" s="2124"/>
      <c r="D182" s="2124"/>
      <c r="E182" s="2124"/>
      <c r="F182" s="2124"/>
      <c r="G182" s="2124"/>
      <c r="H182" s="2091"/>
      <c r="I182" s="2134"/>
      <c r="J182" s="2134"/>
      <c r="K182" s="2135"/>
      <c r="L182" s="2135"/>
      <c r="M182" s="2134"/>
      <c r="N182" s="2134"/>
      <c r="O182" s="2090"/>
      <c r="P182" s="2090"/>
      <c r="Q182" s="2090"/>
      <c r="R182" s="871">
        <v>1</v>
      </c>
      <c r="S182" s="871">
        <v>1</v>
      </c>
      <c r="T182" s="871">
        <v>1</v>
      </c>
      <c r="U182" s="871">
        <v>1</v>
      </c>
      <c r="V182" s="871">
        <v>1</v>
      </c>
      <c r="W182" s="871">
        <v>1</v>
      </c>
      <c r="X182" s="871">
        <v>1</v>
      </c>
      <c r="Y182" s="871">
        <v>1</v>
      </c>
      <c r="Z182" s="871">
        <v>1</v>
      </c>
      <c r="AA182" s="871">
        <v>1</v>
      </c>
    </row>
    <row r="183" spans="1:27" s="2072" customFormat="1" thickBot="1">
      <c r="A183" s="2090"/>
      <c r="B183" s="2124"/>
      <c r="C183" s="2124"/>
      <c r="D183" s="2124"/>
      <c r="E183" s="2124"/>
      <c r="F183" s="2124"/>
      <c r="G183" s="2124"/>
      <c r="H183" s="2091"/>
      <c r="I183" s="2134"/>
      <c r="J183" s="2134"/>
      <c r="K183" s="2135"/>
      <c r="L183" s="2135"/>
      <c r="M183" s="2134"/>
      <c r="N183" s="2134"/>
      <c r="O183" s="2090"/>
      <c r="P183" s="2090"/>
      <c r="Q183" s="2090"/>
      <c r="R183" s="871">
        <v>1</v>
      </c>
      <c r="S183" s="871">
        <v>1</v>
      </c>
      <c r="T183" s="871">
        <v>1</v>
      </c>
      <c r="U183" s="871">
        <v>1</v>
      </c>
      <c r="V183" s="871">
        <v>1</v>
      </c>
      <c r="W183" s="871">
        <v>1</v>
      </c>
      <c r="X183" s="871">
        <v>1</v>
      </c>
      <c r="Y183" s="871">
        <v>1</v>
      </c>
      <c r="Z183" s="871">
        <v>1</v>
      </c>
      <c r="AA183" s="871">
        <v>1</v>
      </c>
    </row>
    <row r="184" spans="1:27" s="2072" customFormat="1">
      <c r="A184" s="2114" t="s">
        <v>167</v>
      </c>
      <c r="B184" s="6136" t="s">
        <v>9000</v>
      </c>
      <c r="C184" s="6137"/>
      <c r="D184" s="6137"/>
      <c r="E184" s="6138"/>
      <c r="F184" s="1582"/>
      <c r="G184" s="2115" t="s">
        <v>167</v>
      </c>
      <c r="H184" s="6139" t="s">
        <v>9000</v>
      </c>
      <c r="I184" s="6140"/>
      <c r="J184" s="6140"/>
      <c r="K184" s="6140"/>
      <c r="L184" s="6140"/>
      <c r="M184" s="6140"/>
      <c r="N184" s="6140"/>
      <c r="O184" s="6140"/>
      <c r="P184" s="6140"/>
      <c r="Q184" s="6140"/>
      <c r="R184" s="6140"/>
      <c r="S184" s="6141"/>
      <c r="T184" s="871">
        <v>1</v>
      </c>
      <c r="U184" s="871">
        <v>1</v>
      </c>
      <c r="V184" s="871">
        <v>1</v>
      </c>
      <c r="W184" s="871">
        <v>1</v>
      </c>
      <c r="X184" s="871">
        <v>1</v>
      </c>
      <c r="Y184" s="871">
        <v>1</v>
      </c>
      <c r="Z184" s="871">
        <v>1</v>
      </c>
      <c r="AA184" s="871">
        <v>1</v>
      </c>
    </row>
    <row r="185" spans="1:27" s="2072" customFormat="1" ht="30.75" customHeight="1">
      <c r="A185" s="6098" t="str">
        <f>B184</f>
        <v>CONDITIONNEMENT AU POIDS</v>
      </c>
      <c r="B185" s="2151" t="str">
        <f>ADDRESS(ROW(),COLUMN(),4)</f>
        <v>B185</v>
      </c>
      <c r="C185" s="2152" t="s">
        <v>3529</v>
      </c>
      <c r="D185" s="2232"/>
      <c r="E185" s="2335"/>
      <c r="F185" s="1582"/>
      <c r="G185" s="6098" t="str">
        <f>H184</f>
        <v>CONDITIONNEMENT AU POIDS</v>
      </c>
      <c r="H185" s="2336" t="str">
        <f>ADDRESS(ROW(),COLUMN(),4)</f>
        <v>H185</v>
      </c>
      <c r="I185" s="2104" t="s">
        <v>3529</v>
      </c>
      <c r="J185" s="2099"/>
      <c r="K185" s="2111"/>
      <c r="L185" s="2111"/>
      <c r="M185" s="2111"/>
      <c r="N185" s="2111"/>
      <c r="O185" s="2111"/>
      <c r="P185" s="2337"/>
      <c r="Q185" s="2338" t="s">
        <v>9129</v>
      </c>
      <c r="R185" s="2339">
        <f>M186+Q186</f>
        <v>2</v>
      </c>
      <c r="S185" s="2340"/>
      <c r="T185" s="871">
        <v>1</v>
      </c>
      <c r="U185" s="871">
        <v>1</v>
      </c>
      <c r="V185" s="871">
        <v>1</v>
      </c>
      <c r="W185" s="871">
        <v>1</v>
      </c>
      <c r="X185" s="871">
        <v>1</v>
      </c>
      <c r="Y185" s="871">
        <v>1</v>
      </c>
      <c r="Z185" s="871">
        <v>1</v>
      </c>
      <c r="AA185" s="871">
        <v>1</v>
      </c>
    </row>
    <row r="186" spans="1:27" s="2072" customFormat="1" ht="15.75" customHeight="1">
      <c r="A186" s="6098"/>
      <c r="B186" s="6142" t="s">
        <v>9130</v>
      </c>
      <c r="C186" s="6144" t="s">
        <v>9131</v>
      </c>
      <c r="D186" s="6146" t="s">
        <v>9132</v>
      </c>
      <c r="E186" s="6148" t="s">
        <v>9133</v>
      </c>
      <c r="F186" s="1582"/>
      <c r="G186" s="6098"/>
      <c r="H186" s="6142" t="s">
        <v>9130</v>
      </c>
      <c r="I186" s="6144" t="s">
        <v>9131</v>
      </c>
      <c r="J186" s="6146" t="s">
        <v>9132</v>
      </c>
      <c r="K186" s="6164" t="s">
        <v>9133</v>
      </c>
      <c r="L186" s="6166" t="s">
        <v>9118</v>
      </c>
      <c r="M186" s="6169">
        <f>IF(ISBLANK(I188),0,INT(H188/I188))</f>
        <v>1</v>
      </c>
      <c r="N186" s="2341" t="s">
        <v>93</v>
      </c>
      <c r="O186" s="2342" t="s">
        <v>9134</v>
      </c>
      <c r="P186" s="6171" t="s">
        <v>9135</v>
      </c>
      <c r="Q186" s="6169">
        <f>IF(ISBLANK(I188),0,ROUNDUP((H188/I188)-INT(H188/I188),0))</f>
        <v>1</v>
      </c>
      <c r="R186" s="2341" t="s">
        <v>93</v>
      </c>
      <c r="S186" s="2343" t="s">
        <v>9134</v>
      </c>
      <c r="T186" s="871">
        <v>1</v>
      </c>
      <c r="U186" s="871">
        <v>1</v>
      </c>
      <c r="V186" s="871">
        <v>1</v>
      </c>
      <c r="W186" s="871">
        <v>1</v>
      </c>
      <c r="X186" s="871">
        <v>1</v>
      </c>
      <c r="Y186" s="871">
        <v>1</v>
      </c>
      <c r="Z186" s="871">
        <v>1</v>
      </c>
      <c r="AA186" s="871">
        <v>1</v>
      </c>
    </row>
    <row r="187" spans="1:27" s="2072" customFormat="1">
      <c r="A187" s="6098"/>
      <c r="B187" s="6143"/>
      <c r="C187" s="6145"/>
      <c r="D187" s="6147"/>
      <c r="E187" s="6148"/>
      <c r="F187" s="1582"/>
      <c r="G187" s="6098"/>
      <c r="H187" s="6149"/>
      <c r="I187" s="6145"/>
      <c r="J187" s="6147"/>
      <c r="K187" s="6165"/>
      <c r="L187" s="6167"/>
      <c r="M187" s="6170"/>
      <c r="N187" s="6150">
        <f>IF(J188*I188&gt;K188,0,J188*I188)</f>
        <v>0.84000000000000008</v>
      </c>
      <c r="O187" s="6174">
        <f>M186*I188</f>
        <v>12</v>
      </c>
      <c r="P187" s="6172"/>
      <c r="Q187" s="6170"/>
      <c r="R187" s="6150">
        <f>(J188*H188)-(J188*I188)*M186</f>
        <v>7.0000000000000062E-2</v>
      </c>
      <c r="S187" s="6152">
        <f>IF(J188=0,0,R187/J188)</f>
        <v>1.0000000000000009</v>
      </c>
      <c r="T187" s="871">
        <v>1</v>
      </c>
      <c r="U187" s="871">
        <v>1</v>
      </c>
      <c r="V187" s="871">
        <v>1</v>
      </c>
      <c r="W187" s="871">
        <v>1</v>
      </c>
      <c r="X187" s="871">
        <v>1</v>
      </c>
      <c r="Y187" s="871">
        <v>1</v>
      </c>
      <c r="Z187" s="871">
        <v>1</v>
      </c>
      <c r="AA187" s="871">
        <v>1</v>
      </c>
    </row>
    <row r="188" spans="1:27" s="2072" customFormat="1">
      <c r="A188" s="6098"/>
      <c r="B188" s="2346">
        <v>13</v>
      </c>
      <c r="C188" s="2347">
        <v>12</v>
      </c>
      <c r="D188" s="2348">
        <v>7.0000000000000007E-2</v>
      </c>
      <c r="E188" s="2349">
        <f>D188*B188</f>
        <v>0.91000000000000014</v>
      </c>
      <c r="F188" s="1582"/>
      <c r="G188" s="6098"/>
      <c r="H188" s="2346">
        <v>13</v>
      </c>
      <c r="I188" s="2347">
        <v>12</v>
      </c>
      <c r="J188" s="2348">
        <v>7.0000000000000007E-2</v>
      </c>
      <c r="K188" s="2350">
        <f>J188*H188</f>
        <v>0.91000000000000014</v>
      </c>
      <c r="L188" s="6168"/>
      <c r="M188" s="2351" t="s">
        <v>9136</v>
      </c>
      <c r="N188" s="6151"/>
      <c r="O188" s="6175"/>
      <c r="P188" s="6173"/>
      <c r="Q188" s="2351" t="s">
        <v>9136</v>
      </c>
      <c r="R188" s="6151"/>
      <c r="S188" s="6153"/>
      <c r="T188" s="871">
        <v>1</v>
      </c>
      <c r="U188" s="871">
        <v>1</v>
      </c>
      <c r="V188" s="871">
        <v>1</v>
      </c>
      <c r="W188" s="871">
        <v>1</v>
      </c>
      <c r="X188" s="871">
        <v>1</v>
      </c>
      <c r="Y188" s="871">
        <v>1</v>
      </c>
      <c r="Z188" s="871">
        <v>1</v>
      </c>
      <c r="AA188" s="871">
        <v>1</v>
      </c>
    </row>
    <row r="189" spans="1:27" s="2072" customFormat="1" ht="16.5" thickBot="1">
      <c r="A189" s="6098"/>
      <c r="B189" s="6154" t="s">
        <v>9118</v>
      </c>
      <c r="C189" s="2353">
        <f>IF(ISBLANK(C188),0,INT(B188/C188))</f>
        <v>1</v>
      </c>
      <c r="D189" s="2354" t="s">
        <v>93</v>
      </c>
      <c r="E189" s="2355" t="s">
        <v>9134</v>
      </c>
      <c r="F189" s="1582"/>
      <c r="G189" s="6098"/>
      <c r="H189" s="6156" t="s">
        <v>3554</v>
      </c>
      <c r="I189" s="6157"/>
      <c r="J189" s="6157"/>
      <c r="K189" s="6158"/>
      <c r="L189" s="2356"/>
      <c r="M189" s="1666"/>
      <c r="N189" s="1666"/>
      <c r="O189" s="1666"/>
      <c r="P189" s="1666"/>
      <c r="Q189" s="1666"/>
      <c r="R189" s="1666"/>
      <c r="S189" s="1667"/>
      <c r="T189" s="871">
        <v>1</v>
      </c>
      <c r="U189" s="871">
        <v>1</v>
      </c>
      <c r="V189" s="871">
        <v>1</v>
      </c>
      <c r="W189" s="871">
        <v>1</v>
      </c>
      <c r="X189" s="871">
        <v>1</v>
      </c>
      <c r="Y189" s="871">
        <v>1</v>
      </c>
      <c r="Z189" s="871">
        <v>1</v>
      </c>
      <c r="AA189" s="871">
        <v>1</v>
      </c>
    </row>
    <row r="190" spans="1:27" s="2072" customFormat="1">
      <c r="A190" s="6098"/>
      <c r="B190" s="6155"/>
      <c r="C190" s="2351" t="s">
        <v>9136</v>
      </c>
      <c r="D190" s="2352">
        <f>IF(D188*C188&gt;E188,0,D188*C188)</f>
        <v>0.84000000000000008</v>
      </c>
      <c r="E190" s="2357">
        <f>C189*C188</f>
        <v>12</v>
      </c>
      <c r="F190" s="1582"/>
      <c r="G190" s="1582"/>
      <c r="H190" s="1582"/>
      <c r="I190" s="1582"/>
      <c r="J190" s="1582"/>
      <c r="K190" s="1582"/>
      <c r="L190" s="1582"/>
      <c r="M190" s="1582"/>
      <c r="N190" s="1582"/>
      <c r="O190" s="1582"/>
      <c r="P190" s="1582"/>
      <c r="Q190" s="1582"/>
      <c r="R190" s="1578"/>
      <c r="S190" s="1578"/>
      <c r="T190" s="871">
        <v>1</v>
      </c>
      <c r="U190" s="871">
        <v>1</v>
      </c>
      <c r="V190" s="871">
        <v>1</v>
      </c>
      <c r="W190" s="871">
        <v>1</v>
      </c>
      <c r="X190" s="871">
        <v>1</v>
      </c>
      <c r="Y190" s="871">
        <v>1</v>
      </c>
      <c r="Z190" s="871">
        <v>1</v>
      </c>
      <c r="AA190" s="871">
        <v>1</v>
      </c>
    </row>
    <row r="191" spans="1:27" s="2072" customFormat="1">
      <c r="A191" s="6098"/>
      <c r="B191" s="6154" t="s">
        <v>9135</v>
      </c>
      <c r="C191" s="2353">
        <f>IF(ISBLANK(C188),0,ROUNDUP((B188/C188)-INT(B188/C188),0))</f>
        <v>1</v>
      </c>
      <c r="D191" s="2354" t="s">
        <v>93</v>
      </c>
      <c r="E191" s="2355" t="s">
        <v>9134</v>
      </c>
      <c r="F191" s="1582"/>
      <c r="G191" s="1582"/>
      <c r="H191" s="1582"/>
      <c r="I191" s="1582"/>
      <c r="J191" s="1582"/>
      <c r="K191" s="1582"/>
      <c r="L191" s="1582"/>
      <c r="M191" s="1582"/>
      <c r="N191" s="1582"/>
      <c r="O191" s="1582"/>
      <c r="P191" s="1582"/>
      <c r="Q191" s="1582"/>
      <c r="R191" s="1578"/>
      <c r="S191" s="1578"/>
      <c r="T191" s="871">
        <v>1</v>
      </c>
      <c r="U191" s="871">
        <v>1</v>
      </c>
      <c r="V191" s="871">
        <v>1</v>
      </c>
      <c r="W191" s="871">
        <v>1</v>
      </c>
      <c r="X191" s="871">
        <v>1</v>
      </c>
      <c r="Y191" s="871">
        <v>1</v>
      </c>
      <c r="Z191" s="871">
        <v>1</v>
      </c>
      <c r="AA191" s="871">
        <v>1</v>
      </c>
    </row>
    <row r="192" spans="1:27" s="2072" customFormat="1">
      <c r="A192" s="6098"/>
      <c r="B192" s="6159"/>
      <c r="C192" s="2351" t="s">
        <v>9136</v>
      </c>
      <c r="D192" s="2344">
        <f>(D188*B188)-(D188*C188)*C189</f>
        <v>7.0000000000000062E-2</v>
      </c>
      <c r="E192" s="2345">
        <f>IF(D188=0,0,D192/D188)</f>
        <v>1.0000000000000009</v>
      </c>
      <c r="F192" s="1582"/>
      <c r="G192" s="1582"/>
      <c r="H192" s="1582"/>
      <c r="I192" s="1582"/>
      <c r="J192" s="1582"/>
      <c r="K192" s="1582"/>
      <c r="L192" s="1582"/>
      <c r="M192" s="1582"/>
      <c r="N192" s="1582"/>
      <c r="O192" s="1582"/>
      <c r="P192" s="1582"/>
      <c r="Q192" s="1582"/>
      <c r="R192" s="1578"/>
      <c r="S192" s="1578"/>
      <c r="T192" s="871">
        <v>1</v>
      </c>
      <c r="U192" s="871">
        <v>1</v>
      </c>
      <c r="V192" s="871">
        <v>1</v>
      </c>
      <c r="W192" s="871">
        <v>1</v>
      </c>
      <c r="X192" s="871">
        <v>1</v>
      </c>
      <c r="Y192" s="871">
        <v>1</v>
      </c>
      <c r="Z192" s="871">
        <v>1</v>
      </c>
      <c r="AA192" s="871">
        <v>1</v>
      </c>
    </row>
    <row r="193" spans="1:27" s="2072" customFormat="1" ht="16.5" thickBot="1">
      <c r="A193" s="6098"/>
      <c r="B193" s="2359"/>
      <c r="C193" s="2360" t="s">
        <v>9129</v>
      </c>
      <c r="D193" s="2361">
        <f>C189+C191</f>
        <v>2</v>
      </c>
      <c r="E193" s="2362"/>
      <c r="F193" s="1582"/>
      <c r="G193" s="1582"/>
      <c r="H193" s="1582"/>
      <c r="I193" s="1582"/>
      <c r="J193" s="1582"/>
      <c r="K193" s="1582"/>
      <c r="L193" s="1582"/>
      <c r="M193" s="1582"/>
      <c r="N193" s="1582"/>
      <c r="O193" s="1582"/>
      <c r="P193" s="1582"/>
      <c r="Q193" s="1582"/>
      <c r="R193" s="1578"/>
      <c r="S193" s="1578"/>
      <c r="T193" s="871">
        <v>1</v>
      </c>
      <c r="U193" s="871">
        <v>1</v>
      </c>
      <c r="V193" s="871">
        <v>1</v>
      </c>
      <c r="W193" s="871">
        <v>1</v>
      </c>
      <c r="X193" s="871">
        <v>1</v>
      </c>
      <c r="Y193" s="871">
        <v>1</v>
      </c>
      <c r="Z193" s="871">
        <v>1</v>
      </c>
      <c r="AA193" s="871">
        <v>1</v>
      </c>
    </row>
    <row r="194" spans="1:27" s="2072" customFormat="1">
      <c r="A194" s="6098"/>
      <c r="B194" s="6160" t="s">
        <v>9105</v>
      </c>
      <c r="C194" s="6161"/>
      <c r="D194" s="6161"/>
      <c r="E194" s="6162"/>
      <c r="F194" s="1582"/>
      <c r="G194" s="1582"/>
      <c r="H194" s="1582"/>
      <c r="I194" s="1582"/>
      <c r="J194" s="1582"/>
      <c r="K194" s="1582"/>
      <c r="L194" s="1582"/>
      <c r="M194" s="1582"/>
      <c r="N194" s="1582"/>
      <c r="O194" s="1582"/>
      <c r="P194" s="1582"/>
      <c r="Q194" s="1582"/>
      <c r="R194" s="1578"/>
      <c r="S194" s="1578"/>
      <c r="T194" s="871">
        <v>1</v>
      </c>
      <c r="U194" s="871">
        <v>1</v>
      </c>
      <c r="V194" s="871">
        <v>1</v>
      </c>
      <c r="W194" s="871">
        <v>1</v>
      </c>
      <c r="X194" s="871">
        <v>1</v>
      </c>
      <c r="Y194" s="871">
        <v>1</v>
      </c>
      <c r="Z194" s="871">
        <v>1</v>
      </c>
      <c r="AA194" s="871">
        <v>1</v>
      </c>
    </row>
    <row r="195" spans="1:27" s="2072" customFormat="1">
      <c r="A195" s="6098"/>
      <c r="B195" s="6163"/>
      <c r="C195" s="5904"/>
      <c r="D195" s="5904"/>
      <c r="E195" s="5905"/>
      <c r="F195" s="1582"/>
      <c r="G195" s="1582"/>
      <c r="H195" s="1582"/>
      <c r="I195" s="1582"/>
      <c r="J195" s="1582"/>
      <c r="K195" s="1582"/>
      <c r="L195" s="1582"/>
      <c r="M195" s="1582"/>
      <c r="N195" s="1582"/>
      <c r="O195" s="1582"/>
      <c r="P195" s="1582"/>
      <c r="Q195" s="1582"/>
      <c r="R195" s="1578"/>
      <c r="S195" s="1578"/>
      <c r="T195" s="871">
        <v>1</v>
      </c>
      <c r="U195" s="871">
        <v>1</v>
      </c>
      <c r="V195" s="871">
        <v>1</v>
      </c>
      <c r="W195" s="871">
        <v>1</v>
      </c>
      <c r="X195" s="871">
        <v>1</v>
      </c>
      <c r="Y195" s="871">
        <v>1</v>
      </c>
      <c r="Z195" s="871">
        <v>1</v>
      </c>
      <c r="AA195" s="871">
        <v>1</v>
      </c>
    </row>
    <row r="196" spans="1:27" s="2072" customFormat="1">
      <c r="A196" s="6098"/>
      <c r="B196" s="6176" t="s">
        <v>9106</v>
      </c>
      <c r="C196" s="5902"/>
      <c r="D196" s="5902"/>
      <c r="E196" s="5903"/>
      <c r="F196" s="1582"/>
      <c r="G196" s="1582"/>
      <c r="H196" s="1582"/>
      <c r="I196" s="1582"/>
      <c r="J196" s="1582"/>
      <c r="K196" s="1582"/>
      <c r="L196" s="1582"/>
      <c r="M196" s="1582"/>
      <c r="N196" s="1582"/>
      <c r="O196" s="1582"/>
      <c r="P196" s="1582"/>
      <c r="Q196" s="1582"/>
      <c r="R196" s="1578"/>
      <c r="S196" s="1578"/>
      <c r="T196" s="871">
        <v>1</v>
      </c>
      <c r="U196" s="871">
        <v>1</v>
      </c>
      <c r="V196" s="871">
        <v>1</v>
      </c>
      <c r="W196" s="871">
        <v>1</v>
      </c>
      <c r="X196" s="871">
        <v>1</v>
      </c>
      <c r="Y196" s="871">
        <v>1</v>
      </c>
      <c r="Z196" s="871">
        <v>1</v>
      </c>
      <c r="AA196" s="871">
        <v>1</v>
      </c>
    </row>
    <row r="197" spans="1:27" s="2072" customFormat="1" ht="16.5" thickBot="1">
      <c r="A197" s="6098"/>
      <c r="B197" s="6177"/>
      <c r="C197" s="6178"/>
      <c r="D197" s="6178"/>
      <c r="E197" s="6179"/>
      <c r="F197" s="1582"/>
      <c r="G197" s="1582"/>
      <c r="H197" s="1582"/>
      <c r="I197" s="1582"/>
      <c r="J197" s="1582"/>
      <c r="K197" s="1582"/>
      <c r="L197" s="1582"/>
      <c r="M197" s="1582"/>
      <c r="N197" s="1582"/>
      <c r="O197" s="1582"/>
      <c r="P197" s="1582"/>
      <c r="Q197" s="1582"/>
      <c r="R197" s="1578"/>
      <c r="S197" s="1578"/>
      <c r="T197" s="871">
        <v>1</v>
      </c>
      <c r="U197" s="871">
        <v>1</v>
      </c>
      <c r="V197" s="871">
        <v>1</v>
      </c>
      <c r="W197" s="871">
        <v>1</v>
      </c>
      <c r="X197" s="871">
        <v>1</v>
      </c>
      <c r="Y197" s="871">
        <v>1</v>
      </c>
      <c r="Z197" s="871">
        <v>1</v>
      </c>
      <c r="AA197" s="871">
        <v>1</v>
      </c>
    </row>
    <row r="198" spans="1:27" s="2072" customFormat="1" thickBot="1">
      <c r="A198" s="2090"/>
      <c r="B198" s="2124"/>
      <c r="C198" s="2124"/>
      <c r="D198" s="2124"/>
      <c r="E198" s="2124"/>
      <c r="F198" s="2124"/>
      <c r="G198" s="2124"/>
      <c r="H198" s="2091"/>
      <c r="I198" s="2134"/>
      <c r="J198" s="2134"/>
      <c r="K198" s="2135"/>
      <c r="L198" s="2135"/>
      <c r="M198" s="2134"/>
      <c r="N198" s="2134"/>
      <c r="O198" s="2090"/>
      <c r="P198" s="2090"/>
      <c r="Q198" s="2090"/>
      <c r="T198" s="871">
        <v>1</v>
      </c>
      <c r="U198" s="871">
        <v>1</v>
      </c>
      <c r="V198" s="871">
        <v>1</v>
      </c>
      <c r="W198" s="871">
        <v>1</v>
      </c>
      <c r="X198" s="871">
        <v>1</v>
      </c>
      <c r="Y198" s="871">
        <v>1</v>
      </c>
      <c r="Z198" s="871">
        <v>1</v>
      </c>
      <c r="AA198" s="871">
        <v>1</v>
      </c>
    </row>
    <row r="199" spans="1:27" s="2072" customFormat="1">
      <c r="A199" s="2114" t="s">
        <v>167</v>
      </c>
      <c r="B199" s="6136" t="s">
        <v>9002</v>
      </c>
      <c r="C199" s="6137"/>
      <c r="D199" s="6137"/>
      <c r="E199" s="6138"/>
      <c r="F199" s="1582"/>
      <c r="G199" s="2115" t="s">
        <v>167</v>
      </c>
      <c r="H199" s="6139" t="s">
        <v>9002</v>
      </c>
      <c r="I199" s="6140"/>
      <c r="J199" s="6140"/>
      <c r="K199" s="6140"/>
      <c r="L199" s="6140"/>
      <c r="M199" s="6140"/>
      <c r="N199" s="6140"/>
      <c r="O199" s="6140"/>
      <c r="P199" s="6140"/>
      <c r="Q199" s="6140"/>
      <c r="R199" s="6140"/>
      <c r="S199" s="6141"/>
      <c r="T199" s="871">
        <v>1</v>
      </c>
      <c r="U199" s="871">
        <v>1</v>
      </c>
      <c r="V199" s="871">
        <v>1</v>
      </c>
      <c r="W199" s="871">
        <v>1</v>
      </c>
      <c r="X199" s="871">
        <v>1</v>
      </c>
      <c r="Y199" s="871">
        <v>1</v>
      </c>
      <c r="Z199" s="871">
        <v>1</v>
      </c>
      <c r="AA199" s="871">
        <v>1</v>
      </c>
    </row>
    <row r="200" spans="1:27" s="2072" customFormat="1" ht="30" customHeight="1">
      <c r="A200" s="6098" t="str">
        <f>B199</f>
        <v>CONDITIONNEMENT A LA PIÈCE</v>
      </c>
      <c r="B200" s="2129" t="str">
        <f>ADDRESS(ROW(),COLUMN(),4)</f>
        <v>B200</v>
      </c>
      <c r="C200" s="1778" t="s">
        <v>3529</v>
      </c>
      <c r="D200" s="2118"/>
      <c r="E200" s="2363"/>
      <c r="F200" s="1582"/>
      <c r="G200" s="6098" t="str">
        <f>H199</f>
        <v>CONDITIONNEMENT A LA PIÈCE</v>
      </c>
      <c r="H200" s="2129" t="str">
        <f>ADDRESS(ROW(),COLUMN(),4)</f>
        <v>H200</v>
      </c>
      <c r="I200" s="1778" t="s">
        <v>3529</v>
      </c>
      <c r="J200" s="2118"/>
      <c r="K200" s="2364"/>
      <c r="L200" s="2365" t="s">
        <v>9137</v>
      </c>
      <c r="M200" s="6180" t="s">
        <v>9138</v>
      </c>
      <c r="N200" s="6180"/>
      <c r="O200" s="6181"/>
      <c r="P200" s="2366"/>
      <c r="Q200" s="2367" t="s">
        <v>9129</v>
      </c>
      <c r="R200" s="2368">
        <f>M201+Q201</f>
        <v>24</v>
      </c>
      <c r="S200" s="2369"/>
      <c r="T200" s="871">
        <v>1</v>
      </c>
      <c r="U200" s="871">
        <v>1</v>
      </c>
      <c r="V200" s="871">
        <v>1</v>
      </c>
      <c r="W200" s="871">
        <v>1</v>
      </c>
      <c r="X200" s="871">
        <v>1</v>
      </c>
      <c r="Y200" s="871">
        <v>1</v>
      </c>
      <c r="Z200" s="871">
        <v>1</v>
      </c>
      <c r="AA200" s="871">
        <v>1</v>
      </c>
    </row>
    <row r="201" spans="1:27" s="2072" customFormat="1" ht="15.75" customHeight="1">
      <c r="A201" s="6098"/>
      <c r="B201" s="2370" t="s">
        <v>9137</v>
      </c>
      <c r="C201" s="6182" t="s">
        <v>9138</v>
      </c>
      <c r="D201" s="6182"/>
      <c r="E201" s="6183"/>
      <c r="F201" s="1582"/>
      <c r="G201" s="6098"/>
      <c r="H201" s="6143" t="s">
        <v>9130</v>
      </c>
      <c r="I201" s="6184" t="s">
        <v>9131</v>
      </c>
      <c r="J201" s="6185" t="s">
        <v>9139</v>
      </c>
      <c r="K201" s="6186" t="s">
        <v>183</v>
      </c>
      <c r="L201" s="6187" t="s">
        <v>9118</v>
      </c>
      <c r="M201" s="6170">
        <f>IF(ISBLANK(I203),0,INT(H203/I203))</f>
        <v>23</v>
      </c>
      <c r="N201" s="2371" t="s">
        <v>93</v>
      </c>
      <c r="O201" s="2372" t="s">
        <v>9134</v>
      </c>
      <c r="P201" s="6189" t="s">
        <v>9135</v>
      </c>
      <c r="Q201" s="6170">
        <f>IF(ISBLANK(I203),0,ROUNDUP((H203/I203)-INT(H203/I203),0))</f>
        <v>1</v>
      </c>
      <c r="R201" s="2371" t="s">
        <v>93</v>
      </c>
      <c r="S201" s="2373" t="s">
        <v>9134</v>
      </c>
      <c r="T201" s="871">
        <v>1</v>
      </c>
      <c r="U201" s="871">
        <v>1</v>
      </c>
      <c r="V201" s="871">
        <v>1</v>
      </c>
      <c r="W201" s="871">
        <v>1</v>
      </c>
      <c r="X201" s="871">
        <v>1</v>
      </c>
      <c r="Y201" s="871">
        <v>1</v>
      </c>
      <c r="Z201" s="871">
        <v>1</v>
      </c>
      <c r="AA201" s="871">
        <v>1</v>
      </c>
    </row>
    <row r="202" spans="1:27" s="2072" customFormat="1" ht="24.75" customHeight="1">
      <c r="A202" s="6098"/>
      <c r="B202" s="6190" t="s">
        <v>9130</v>
      </c>
      <c r="C202" s="6191" t="s">
        <v>9131</v>
      </c>
      <c r="D202" s="6185" t="s">
        <v>9139</v>
      </c>
      <c r="E202" s="6148" t="s">
        <v>183</v>
      </c>
      <c r="F202" s="1582"/>
      <c r="G202" s="6098"/>
      <c r="H202" s="6149"/>
      <c r="I202" s="6145"/>
      <c r="J202" s="6147"/>
      <c r="K202" s="6186"/>
      <c r="L202" s="6187"/>
      <c r="M202" s="6170"/>
      <c r="N202" s="2374">
        <f>IF(J203*I203&gt;K203,0,J203*I203)</f>
        <v>9</v>
      </c>
      <c r="O202" s="6174">
        <f>M201*I203</f>
        <v>69</v>
      </c>
      <c r="P202" s="6189"/>
      <c r="Q202" s="6170"/>
      <c r="R202" s="2374">
        <f>(J203*H203)-(J203*I203)*M201</f>
        <v>3</v>
      </c>
      <c r="S202" s="2375">
        <f>IF(J203=0,0,R202/J203)</f>
        <v>1</v>
      </c>
      <c r="T202" s="871">
        <v>1</v>
      </c>
      <c r="U202" s="871">
        <v>1</v>
      </c>
      <c r="V202" s="871">
        <v>1</v>
      </c>
      <c r="W202" s="871">
        <v>1</v>
      </c>
      <c r="X202" s="871">
        <v>1</v>
      </c>
      <c r="Y202" s="871">
        <v>1</v>
      </c>
      <c r="Z202" s="871">
        <v>1</v>
      </c>
      <c r="AA202" s="871">
        <v>1</v>
      </c>
    </row>
    <row r="203" spans="1:27" s="2072" customFormat="1" ht="17.25" customHeight="1">
      <c r="A203" s="6098"/>
      <c r="B203" s="6149"/>
      <c r="C203" s="6192"/>
      <c r="D203" s="6147"/>
      <c r="E203" s="6148"/>
      <c r="F203" s="1582"/>
      <c r="G203" s="6098"/>
      <c r="H203" s="2346">
        <v>70</v>
      </c>
      <c r="I203" s="2376">
        <v>3</v>
      </c>
      <c r="J203" s="2377">
        <v>3</v>
      </c>
      <c r="K203" s="2378">
        <f>J203*H203</f>
        <v>210</v>
      </c>
      <c r="L203" s="6188"/>
      <c r="M203" s="2379" t="s">
        <v>9136</v>
      </c>
      <c r="N203" s="2380" t="str">
        <f>M200</f>
        <v>Tranches</v>
      </c>
      <c r="O203" s="6193"/>
      <c r="P203" s="2381"/>
      <c r="Q203" s="2379" t="s">
        <v>9136</v>
      </c>
      <c r="R203" s="2380" t="str">
        <f>M200</f>
        <v>Tranches</v>
      </c>
      <c r="S203" s="2382"/>
      <c r="T203" s="871">
        <v>1</v>
      </c>
      <c r="U203" s="871">
        <v>1</v>
      </c>
      <c r="V203" s="871">
        <v>1</v>
      </c>
      <c r="W203" s="871">
        <v>1</v>
      </c>
      <c r="X203" s="871">
        <v>1</v>
      </c>
      <c r="Y203" s="871">
        <v>1</v>
      </c>
      <c r="Z203" s="871">
        <v>1</v>
      </c>
      <c r="AA203" s="871">
        <v>1</v>
      </c>
    </row>
    <row r="204" spans="1:27" s="2072" customFormat="1" ht="17.25" customHeight="1">
      <c r="A204" s="6098"/>
      <c r="B204" s="2346">
        <v>70</v>
      </c>
      <c r="C204" s="2347">
        <v>3</v>
      </c>
      <c r="D204" s="2383">
        <v>3</v>
      </c>
      <c r="E204" s="2384">
        <f>D204*B204</f>
        <v>210</v>
      </c>
      <c r="F204" s="1582"/>
      <c r="G204" s="6098"/>
      <c r="H204" s="6215" t="s">
        <v>3554</v>
      </c>
      <c r="I204" s="5929"/>
      <c r="J204" s="5929"/>
      <c r="K204" s="5929"/>
      <c r="L204" s="2385" t="s">
        <v>9137</v>
      </c>
      <c r="M204" s="2386" t="s">
        <v>9140</v>
      </c>
      <c r="N204" s="1582"/>
      <c r="O204" s="2387"/>
      <c r="P204" s="2388"/>
      <c r="Q204" s="2389"/>
      <c r="R204" s="2389"/>
      <c r="S204" s="2390"/>
      <c r="T204" s="871">
        <v>1</v>
      </c>
      <c r="U204" s="871">
        <v>1</v>
      </c>
      <c r="V204" s="871">
        <v>1</v>
      </c>
      <c r="W204" s="871">
        <v>1</v>
      </c>
      <c r="X204" s="871">
        <v>1</v>
      </c>
      <c r="Y204" s="871">
        <v>1</v>
      </c>
      <c r="Z204" s="871">
        <v>1</v>
      </c>
      <c r="AA204" s="871">
        <v>1</v>
      </c>
    </row>
    <row r="205" spans="1:27" s="2072" customFormat="1" ht="17.25" customHeight="1" thickBot="1">
      <c r="A205" s="6098"/>
      <c r="B205" s="6216" t="s">
        <v>9118</v>
      </c>
      <c r="C205" s="6219">
        <f>IF(ISBLANK(C204),0,INT(B204/C204))</f>
        <v>23</v>
      </c>
      <c r="D205" s="2354" t="s">
        <v>93</v>
      </c>
      <c r="E205" s="2355" t="s">
        <v>9134</v>
      </c>
      <c r="F205" s="1582"/>
      <c r="G205" s="6098"/>
      <c r="H205" s="2391" t="s">
        <v>9141</v>
      </c>
      <c r="I205" s="1666"/>
      <c r="J205" s="1666"/>
      <c r="K205" s="1666"/>
      <c r="L205" s="2392" t="s">
        <v>9142</v>
      </c>
      <c r="M205" s="2393"/>
      <c r="N205" s="2393"/>
      <c r="O205" s="2394"/>
      <c r="P205" s="2395"/>
      <c r="Q205" s="2395"/>
      <c r="R205" s="2395"/>
      <c r="S205" s="2396"/>
      <c r="T205" s="871">
        <v>1</v>
      </c>
      <c r="U205" s="871">
        <v>1</v>
      </c>
      <c r="V205" s="871">
        <v>1</v>
      </c>
      <c r="W205" s="871">
        <v>1</v>
      </c>
      <c r="X205" s="871">
        <v>1</v>
      </c>
      <c r="Y205" s="871">
        <v>1</v>
      </c>
      <c r="Z205" s="871">
        <v>1</v>
      </c>
      <c r="AA205" s="871">
        <v>1</v>
      </c>
    </row>
    <row r="206" spans="1:27" s="2072" customFormat="1" ht="17.25" customHeight="1">
      <c r="A206" s="6098"/>
      <c r="B206" s="6217"/>
      <c r="C206" s="6170"/>
      <c r="D206" s="2374">
        <f>IF(D204*C204&gt;E204,0,D204*C204)</f>
        <v>9</v>
      </c>
      <c r="E206" s="6220">
        <f>C205*C204</f>
        <v>69</v>
      </c>
      <c r="F206" s="1582"/>
      <c r="G206" s="1582"/>
      <c r="H206" s="1582"/>
      <c r="I206" s="1582"/>
      <c r="J206" s="1582"/>
      <c r="K206" s="1582"/>
      <c r="L206" s="1582"/>
      <c r="M206" s="1582"/>
      <c r="N206" s="1582"/>
      <c r="O206" s="1582"/>
      <c r="P206" s="1582"/>
      <c r="Q206" s="1582"/>
      <c r="R206" s="871">
        <v>1</v>
      </c>
      <c r="S206" s="871">
        <v>1</v>
      </c>
      <c r="T206" s="871">
        <v>1</v>
      </c>
      <c r="U206" s="871">
        <v>1</v>
      </c>
      <c r="V206" s="871">
        <v>1</v>
      </c>
      <c r="W206" s="871">
        <v>1</v>
      </c>
      <c r="X206" s="871">
        <v>1</v>
      </c>
      <c r="Y206" s="871">
        <v>1</v>
      </c>
      <c r="Z206" s="871">
        <v>1</v>
      </c>
      <c r="AA206" s="871">
        <v>1</v>
      </c>
    </row>
    <row r="207" spans="1:27" s="2072" customFormat="1" ht="17.25" customHeight="1">
      <c r="A207" s="6098"/>
      <c r="B207" s="6218"/>
      <c r="C207" s="2351" t="s">
        <v>9136</v>
      </c>
      <c r="D207" s="2397" t="str">
        <f>C201</f>
        <v>Tranches</v>
      </c>
      <c r="E207" s="6221"/>
      <c r="F207" s="1582"/>
      <c r="G207" s="1582"/>
      <c r="H207" s="1582"/>
      <c r="I207" s="1582"/>
      <c r="J207" s="1582"/>
      <c r="K207" s="1582"/>
      <c r="L207" s="1582"/>
      <c r="M207" s="1582"/>
      <c r="N207" s="1582"/>
      <c r="O207" s="1582"/>
      <c r="P207" s="1582"/>
      <c r="Q207" s="1582"/>
      <c r="R207" s="871">
        <v>1</v>
      </c>
      <c r="S207" s="871">
        <v>1</v>
      </c>
      <c r="T207" s="871">
        <v>1</v>
      </c>
      <c r="U207" s="871">
        <v>1</v>
      </c>
      <c r="V207" s="871">
        <v>1</v>
      </c>
      <c r="W207" s="871">
        <v>1</v>
      </c>
      <c r="X207" s="871">
        <v>1</v>
      </c>
      <c r="Y207" s="871">
        <v>1</v>
      </c>
      <c r="Z207" s="871">
        <v>1</v>
      </c>
      <c r="AA207" s="871">
        <v>1</v>
      </c>
    </row>
    <row r="208" spans="1:27" s="2072" customFormat="1" ht="17.25" customHeight="1">
      <c r="A208" s="6098"/>
      <c r="B208" s="6222" t="s">
        <v>9135</v>
      </c>
      <c r="C208" s="6219">
        <f>IF(ISBLANK(C204),0,ROUNDUP((B204/C204)-INT(B204/C204),0))</f>
        <v>1</v>
      </c>
      <c r="D208" s="2354" t="s">
        <v>93</v>
      </c>
      <c r="E208" s="2355" t="s">
        <v>9134</v>
      </c>
      <c r="F208" s="1582"/>
      <c r="G208" s="1582"/>
      <c r="H208" s="1582"/>
      <c r="I208" s="1582"/>
      <c r="J208" s="1582"/>
      <c r="K208" s="1582"/>
      <c r="L208" s="1582"/>
      <c r="M208" s="1582"/>
      <c r="N208" s="1582"/>
      <c r="O208" s="1582"/>
      <c r="P208" s="1582"/>
      <c r="Q208" s="1582"/>
      <c r="R208" s="871">
        <v>1</v>
      </c>
      <c r="S208" s="871">
        <v>1</v>
      </c>
      <c r="T208" s="871">
        <v>1</v>
      </c>
      <c r="U208" s="871">
        <v>1</v>
      </c>
      <c r="V208" s="871">
        <v>1</v>
      </c>
      <c r="W208" s="871">
        <v>1</v>
      </c>
      <c r="X208" s="871">
        <v>1</v>
      </c>
      <c r="Y208" s="871">
        <v>1</v>
      </c>
      <c r="Z208" s="871">
        <v>1</v>
      </c>
      <c r="AA208" s="871">
        <v>1</v>
      </c>
    </row>
    <row r="209" spans="1:27" s="2072" customFormat="1" ht="17.25" customHeight="1">
      <c r="A209" s="6098"/>
      <c r="B209" s="6223"/>
      <c r="C209" s="6170"/>
      <c r="D209" s="2374">
        <f>(D204*B204)-(D204*C204)*C205</f>
        <v>3</v>
      </c>
      <c r="E209" s="2375">
        <f>IF(D204=0,0,D209/D204)</f>
        <v>1</v>
      </c>
      <c r="F209" s="1582"/>
      <c r="G209" s="1582"/>
      <c r="H209" s="1582"/>
      <c r="I209" s="1582"/>
      <c r="J209" s="1582"/>
      <c r="K209" s="1582"/>
      <c r="L209" s="1582"/>
      <c r="M209" s="1582"/>
      <c r="N209" s="1582"/>
      <c r="O209" s="1582"/>
      <c r="P209" s="1582"/>
      <c r="Q209" s="1582"/>
      <c r="R209" s="871">
        <v>1</v>
      </c>
      <c r="S209" s="871">
        <v>1</v>
      </c>
      <c r="T209" s="871">
        <v>1</v>
      </c>
      <c r="U209" s="871">
        <v>1</v>
      </c>
      <c r="V209" s="871">
        <v>1</v>
      </c>
      <c r="W209" s="871">
        <v>1</v>
      </c>
      <c r="X209" s="871">
        <v>1</v>
      </c>
      <c r="Y209" s="871">
        <v>1</v>
      </c>
      <c r="Z209" s="871">
        <v>1</v>
      </c>
      <c r="AA209" s="871">
        <v>1</v>
      </c>
    </row>
    <row r="210" spans="1:27" s="2072" customFormat="1" ht="17.25" customHeight="1">
      <c r="A210" s="6098"/>
      <c r="B210" s="2358"/>
      <c r="C210" s="2351" t="s">
        <v>9136</v>
      </c>
      <c r="D210" s="2397" t="str">
        <f>C201</f>
        <v>Tranches</v>
      </c>
      <c r="E210" s="2382"/>
      <c r="F210" s="1582"/>
      <c r="G210" s="1582"/>
      <c r="H210" s="1582"/>
      <c r="I210" s="1582"/>
      <c r="J210" s="1582"/>
      <c r="K210" s="1582"/>
      <c r="L210" s="1582"/>
      <c r="M210" s="1582"/>
      <c r="N210" s="1582"/>
      <c r="O210" s="1582"/>
      <c r="P210" s="1582"/>
      <c r="Q210" s="1582"/>
      <c r="R210" s="871">
        <v>1</v>
      </c>
      <c r="S210" s="871">
        <v>1</v>
      </c>
      <c r="T210" s="871">
        <v>1</v>
      </c>
      <c r="U210" s="871">
        <v>1</v>
      </c>
      <c r="V210" s="871">
        <v>1</v>
      </c>
      <c r="W210" s="871">
        <v>1</v>
      </c>
      <c r="X210" s="871">
        <v>1</v>
      </c>
      <c r="Y210" s="871">
        <v>1</v>
      </c>
      <c r="Z210" s="871">
        <v>1</v>
      </c>
      <c r="AA210" s="871">
        <v>1</v>
      </c>
    </row>
    <row r="211" spans="1:27" s="2072" customFormat="1">
      <c r="A211" s="6098"/>
      <c r="B211" s="2398"/>
      <c r="C211" s="2399" t="s">
        <v>9129</v>
      </c>
      <c r="D211" s="2400">
        <f>C205+C208</f>
        <v>24</v>
      </c>
      <c r="E211" s="2401"/>
      <c r="F211" s="1582"/>
      <c r="G211" s="1582"/>
      <c r="H211" s="1582"/>
      <c r="I211" s="1582"/>
      <c r="J211" s="1582"/>
      <c r="K211" s="1582"/>
      <c r="L211" s="1582"/>
      <c r="M211" s="1582"/>
      <c r="N211" s="1582"/>
      <c r="O211" s="1582"/>
      <c r="P211" s="1582"/>
      <c r="Q211" s="1582"/>
      <c r="R211" s="871">
        <v>1</v>
      </c>
      <c r="S211" s="871">
        <v>1</v>
      </c>
      <c r="T211" s="871">
        <v>1</v>
      </c>
      <c r="U211" s="871">
        <v>1</v>
      </c>
      <c r="V211" s="871">
        <v>1</v>
      </c>
      <c r="W211" s="871">
        <v>1</v>
      </c>
      <c r="X211" s="871">
        <v>1</v>
      </c>
      <c r="Y211" s="871">
        <v>1</v>
      </c>
      <c r="Z211" s="871">
        <v>1</v>
      </c>
      <c r="AA211" s="871">
        <v>1</v>
      </c>
    </row>
    <row r="212" spans="1:27" s="2072" customFormat="1" ht="15.75" customHeight="1">
      <c r="A212" s="6098"/>
      <c r="B212" s="6215" t="s">
        <v>3554</v>
      </c>
      <c r="C212" s="5929"/>
      <c r="D212" s="5929"/>
      <c r="E212" s="6238"/>
      <c r="F212" s="1582"/>
      <c r="G212" s="1582"/>
      <c r="H212" s="1582"/>
      <c r="I212" s="1582"/>
      <c r="J212" s="1582"/>
      <c r="K212" s="1582"/>
      <c r="L212" s="1582"/>
      <c r="M212" s="1582"/>
      <c r="N212" s="1582"/>
      <c r="O212" s="1582"/>
      <c r="P212" s="1582"/>
      <c r="Q212" s="1582"/>
      <c r="R212" s="871">
        <v>1</v>
      </c>
      <c r="S212" s="871">
        <v>1</v>
      </c>
      <c r="T212" s="871">
        <v>1</v>
      </c>
      <c r="U212" s="871">
        <v>1</v>
      </c>
      <c r="V212" s="871">
        <v>1</v>
      </c>
      <c r="W212" s="871">
        <v>1</v>
      </c>
      <c r="X212" s="871">
        <v>1</v>
      </c>
      <c r="Y212" s="871">
        <v>1</v>
      </c>
      <c r="Z212" s="871">
        <v>1</v>
      </c>
      <c r="AA212" s="871">
        <v>1</v>
      </c>
    </row>
    <row r="213" spans="1:27" s="2072" customFormat="1" ht="16.5" customHeight="1">
      <c r="A213" s="6098"/>
      <c r="B213" s="2402" t="s">
        <v>9137</v>
      </c>
      <c r="C213" s="1582" t="s">
        <v>9140</v>
      </c>
      <c r="D213" s="1582"/>
      <c r="E213" s="1583"/>
      <c r="F213" s="1582"/>
      <c r="G213" s="1582"/>
      <c r="H213" s="1582"/>
      <c r="I213" s="1582"/>
      <c r="J213" s="1582"/>
      <c r="K213" s="1582"/>
      <c r="L213" s="1582"/>
      <c r="M213" s="1582"/>
      <c r="N213" s="1582"/>
      <c r="O213" s="1582"/>
      <c r="P213" s="1582"/>
      <c r="Q213" s="1582"/>
      <c r="R213" s="871">
        <v>1</v>
      </c>
      <c r="S213" s="871">
        <v>1</v>
      </c>
      <c r="T213" s="871">
        <v>1</v>
      </c>
      <c r="U213" s="871">
        <v>1</v>
      </c>
      <c r="V213" s="871">
        <v>1</v>
      </c>
      <c r="W213" s="871">
        <v>1</v>
      </c>
      <c r="X213" s="871">
        <v>1</v>
      </c>
      <c r="Y213" s="871">
        <v>1</v>
      </c>
      <c r="Z213" s="871">
        <v>1</v>
      </c>
      <c r="AA213" s="871">
        <v>1</v>
      </c>
    </row>
    <row r="214" spans="1:27" s="2072" customFormat="1">
      <c r="A214" s="6098"/>
      <c r="B214" s="2403" t="s">
        <v>9142</v>
      </c>
      <c r="C214" s="1582"/>
      <c r="D214" s="1582"/>
      <c r="E214" s="1583"/>
      <c r="F214" s="1582"/>
      <c r="G214" s="1582"/>
      <c r="H214" s="1582"/>
      <c r="I214" s="1582"/>
      <c r="J214" s="1582"/>
      <c r="K214" s="1582"/>
      <c r="L214" s="1582"/>
      <c r="M214" s="1582"/>
      <c r="N214" s="1582"/>
      <c r="O214" s="1582"/>
      <c r="P214" s="1582"/>
      <c r="Q214" s="1582"/>
      <c r="R214" s="871">
        <v>1</v>
      </c>
      <c r="S214" s="871">
        <v>1</v>
      </c>
      <c r="T214" s="871">
        <v>1</v>
      </c>
      <c r="U214" s="871">
        <v>1</v>
      </c>
      <c r="V214" s="871">
        <v>1</v>
      </c>
      <c r="W214" s="871">
        <v>1</v>
      </c>
      <c r="X214" s="871">
        <v>1</v>
      </c>
      <c r="Y214" s="871">
        <v>1</v>
      </c>
      <c r="Z214" s="871">
        <v>1</v>
      </c>
      <c r="AA214" s="871">
        <v>1</v>
      </c>
    </row>
    <row r="215" spans="1:27" s="2072" customFormat="1" ht="16.5" thickBot="1">
      <c r="A215" s="6098"/>
      <c r="B215" s="2391" t="s">
        <v>9141</v>
      </c>
      <c r="C215" s="1666"/>
      <c r="D215" s="1666"/>
      <c r="E215" s="1667"/>
      <c r="F215" s="1582"/>
      <c r="G215" s="1582"/>
      <c r="H215" s="1582"/>
      <c r="I215" s="1582"/>
      <c r="J215" s="1582"/>
      <c r="K215" s="1582"/>
      <c r="L215" s="1582"/>
      <c r="M215" s="1582"/>
      <c r="N215" s="1582"/>
      <c r="O215" s="1582"/>
      <c r="P215" s="1582"/>
      <c r="Q215" s="1582"/>
      <c r="R215" s="871">
        <v>1</v>
      </c>
      <c r="S215" s="871">
        <v>1</v>
      </c>
      <c r="T215" s="871">
        <v>1</v>
      </c>
      <c r="U215" s="871">
        <v>1</v>
      </c>
      <c r="V215" s="871">
        <v>1</v>
      </c>
      <c r="W215" s="871">
        <v>1</v>
      </c>
      <c r="X215" s="871">
        <v>1</v>
      </c>
      <c r="Y215" s="871">
        <v>1</v>
      </c>
      <c r="Z215" s="871">
        <v>1</v>
      </c>
      <c r="AA215" s="871">
        <v>1</v>
      </c>
    </row>
    <row r="216" spans="1:27" s="2072" customFormat="1" ht="15">
      <c r="A216" s="2090"/>
      <c r="B216" s="2124"/>
      <c r="C216" s="2124"/>
      <c r="D216" s="2124"/>
      <c r="E216" s="2124"/>
      <c r="F216" s="2124"/>
      <c r="G216" s="2124"/>
      <c r="H216" s="2091"/>
      <c r="I216" s="2134"/>
      <c r="J216" s="2134"/>
      <c r="K216" s="2135"/>
      <c r="L216" s="2135"/>
      <c r="M216" s="2134"/>
      <c r="N216" s="2134"/>
      <c r="O216" s="2090"/>
      <c r="P216" s="2090"/>
      <c r="Q216" s="2090"/>
      <c r="R216" s="871">
        <v>1</v>
      </c>
      <c r="S216" s="871">
        <v>1</v>
      </c>
      <c r="T216" s="871">
        <v>1</v>
      </c>
      <c r="U216" s="871">
        <v>1</v>
      </c>
      <c r="V216" s="871">
        <v>1</v>
      </c>
      <c r="W216" s="871">
        <v>1</v>
      </c>
      <c r="X216" s="871">
        <v>1</v>
      </c>
      <c r="Y216" s="871">
        <v>1</v>
      </c>
      <c r="Z216" s="871">
        <v>1</v>
      </c>
      <c r="AA216" s="871">
        <v>1</v>
      </c>
    </row>
    <row r="217" spans="1:27" s="2072" customFormat="1" thickBot="1">
      <c r="A217" s="2090"/>
      <c r="B217" s="2124"/>
      <c r="C217" s="2124"/>
      <c r="D217" s="2124"/>
      <c r="E217" s="2124"/>
      <c r="F217" s="2124"/>
      <c r="G217" s="2124"/>
      <c r="H217" s="2091"/>
      <c r="I217" s="2134"/>
      <c r="J217" s="2134"/>
      <c r="K217" s="2135"/>
      <c r="L217" s="2135"/>
      <c r="M217" s="2134"/>
      <c r="N217" s="2134"/>
      <c r="O217" s="2090"/>
      <c r="P217" s="2090"/>
      <c r="Q217" s="2090"/>
      <c r="R217" s="871">
        <v>1</v>
      </c>
      <c r="S217" s="871">
        <v>1</v>
      </c>
      <c r="X217" s="871">
        <v>1</v>
      </c>
      <c r="Y217" s="871">
        <v>1</v>
      </c>
      <c r="Z217" s="871">
        <v>1</v>
      </c>
      <c r="AA217" s="871">
        <v>1</v>
      </c>
    </row>
    <row r="218" spans="1:27" s="2072" customFormat="1" ht="26.25">
      <c r="A218" s="2115" t="s">
        <v>167</v>
      </c>
      <c r="B218" s="6239" t="s">
        <v>9001</v>
      </c>
      <c r="C218" s="6240"/>
      <c r="D218" s="6240"/>
      <c r="E218" s="6240"/>
      <c r="F218" s="6240"/>
      <c r="G218" s="6240"/>
      <c r="H218" s="6240"/>
      <c r="I218" s="6240"/>
      <c r="J218" s="6240"/>
      <c r="K218" s="6241"/>
      <c r="L218" s="2135"/>
      <c r="M218" s="2115" t="s">
        <v>167</v>
      </c>
      <c r="N218" s="6242" t="s">
        <v>9004</v>
      </c>
      <c r="O218" s="6243"/>
      <c r="P218" s="6243"/>
      <c r="Q218" s="6243"/>
      <c r="R218" s="6243"/>
      <c r="S218" s="6243"/>
      <c r="T218" s="6243"/>
      <c r="U218" s="6243"/>
      <c r="V218" s="6243"/>
      <c r="W218" s="6244"/>
      <c r="X218" s="871">
        <v>1</v>
      </c>
      <c r="Y218" s="871">
        <v>1</v>
      </c>
      <c r="Z218" s="871">
        <v>1</v>
      </c>
      <c r="AA218" s="871">
        <v>1</v>
      </c>
    </row>
    <row r="219" spans="1:27" s="2072" customFormat="1" ht="18.75" customHeight="1">
      <c r="A219" s="6194" t="str">
        <f>B218</f>
        <v>Gastronormes tableau N° 1</v>
      </c>
      <c r="B219" s="2129" t="str">
        <f>ADDRESS(ROW(),COLUMN(),4)</f>
        <v>B219</v>
      </c>
      <c r="C219" s="1778" t="s">
        <v>3529</v>
      </c>
      <c r="D219" s="2222"/>
      <c r="E219" s="2222"/>
      <c r="F219" s="2222"/>
      <c r="G219" s="2222"/>
      <c r="H219" s="2222"/>
      <c r="I219" s="2222"/>
      <c r="J219" s="2222"/>
      <c r="K219" s="2223"/>
      <c r="L219" s="2135"/>
      <c r="M219" s="6194" t="str">
        <f>N218</f>
        <v>Gastronormes tableau N° 2</v>
      </c>
      <c r="N219" s="2129" t="str">
        <f>ADDRESS(ROW(),COLUMN(),4)</f>
        <v>N219</v>
      </c>
      <c r="O219" s="1778" t="s">
        <v>3529</v>
      </c>
      <c r="P219" s="2222"/>
      <c r="Q219" s="2222"/>
      <c r="R219" s="2222"/>
      <c r="S219" s="2222"/>
      <c r="T219" s="2222"/>
      <c r="U219" s="2222"/>
      <c r="V219" s="2222"/>
      <c r="W219" s="2223"/>
      <c r="X219" s="871">
        <v>1</v>
      </c>
      <c r="Y219" s="871">
        <v>1</v>
      </c>
      <c r="Z219" s="871">
        <v>1</v>
      </c>
      <c r="AA219" s="871">
        <v>1</v>
      </c>
    </row>
    <row r="220" spans="1:27" s="2072" customFormat="1" ht="32.25" customHeight="1">
      <c r="A220" s="6194"/>
      <c r="B220" s="6195" t="s">
        <v>9143</v>
      </c>
      <c r="C220" s="6196"/>
      <c r="D220" s="6196"/>
      <c r="E220" s="6196"/>
      <c r="F220" s="6196"/>
      <c r="G220" s="2404"/>
      <c r="H220" s="2404"/>
      <c r="I220" s="2404"/>
      <c r="J220" s="2405"/>
      <c r="K220" s="2406" t="s">
        <v>9078</v>
      </c>
      <c r="L220" s="2135"/>
      <c r="M220" s="6194"/>
      <c r="N220" s="6199" t="s">
        <v>9144</v>
      </c>
      <c r="O220" s="6200"/>
      <c r="P220" s="6200"/>
      <c r="Q220" s="6200"/>
      <c r="R220" s="6200"/>
      <c r="S220" s="2407"/>
      <c r="T220" s="2407"/>
      <c r="U220" s="2407"/>
      <c r="V220" s="2408"/>
      <c r="W220" s="2409" t="s">
        <v>9078</v>
      </c>
      <c r="X220" s="871">
        <v>1</v>
      </c>
      <c r="Y220" s="871">
        <v>1</v>
      </c>
      <c r="Z220" s="871">
        <v>1</v>
      </c>
      <c r="AA220" s="871">
        <v>1</v>
      </c>
    </row>
    <row r="221" spans="1:27" s="2072" customFormat="1" ht="32.25">
      <c r="A221" s="6194"/>
      <c r="B221" s="6197"/>
      <c r="C221" s="6198"/>
      <c r="D221" s="6198"/>
      <c r="E221" s="6198"/>
      <c r="F221" s="6198"/>
      <c r="G221" s="2410"/>
      <c r="H221" s="2410"/>
      <c r="I221" s="2410"/>
      <c r="J221" s="2411"/>
      <c r="K221" s="2412" t="s">
        <v>9145</v>
      </c>
      <c r="L221" s="2135"/>
      <c r="M221" s="6194"/>
      <c r="N221" s="6201"/>
      <c r="O221" s="6202"/>
      <c r="P221" s="6202"/>
      <c r="Q221" s="6202"/>
      <c r="R221" s="6202"/>
      <c r="S221" s="2407"/>
      <c r="T221" s="2407"/>
      <c r="U221" s="2407"/>
      <c r="V221" s="2408"/>
      <c r="W221" s="2413" t="s">
        <v>9146</v>
      </c>
      <c r="X221" s="871">
        <v>1</v>
      </c>
      <c r="Y221" s="871">
        <v>1</v>
      </c>
      <c r="Z221" s="871">
        <v>1</v>
      </c>
      <c r="AA221" s="871">
        <v>1</v>
      </c>
    </row>
    <row r="222" spans="1:27" s="2072" customFormat="1" ht="21">
      <c r="A222" s="6194"/>
      <c r="B222" s="6203" t="s">
        <v>9079</v>
      </c>
      <c r="C222" s="6204"/>
      <c r="D222" s="6204"/>
      <c r="E222" s="6204"/>
      <c r="F222" s="6204"/>
      <c r="G222" s="6204"/>
      <c r="H222" s="6204"/>
      <c r="I222" s="6204"/>
      <c r="J222" s="6204"/>
      <c r="K222" s="6205"/>
      <c r="L222" s="2135"/>
      <c r="M222" s="6194"/>
      <c r="N222" s="6206" t="s">
        <v>9079</v>
      </c>
      <c r="O222" s="6207"/>
      <c r="P222" s="6207"/>
      <c r="Q222" s="6207"/>
      <c r="R222" s="6207"/>
      <c r="S222" s="6207"/>
      <c r="T222" s="6207"/>
      <c r="U222" s="6207"/>
      <c r="V222" s="6207"/>
      <c r="W222" s="6208"/>
      <c r="X222" s="871">
        <v>1</v>
      </c>
      <c r="Y222" s="871">
        <v>1</v>
      </c>
      <c r="Z222" s="871">
        <v>1</v>
      </c>
      <c r="AA222" s="871">
        <v>1</v>
      </c>
    </row>
    <row r="223" spans="1:27" s="2072" customFormat="1" ht="25.5">
      <c r="A223" s="6194"/>
      <c r="B223" s="6209" t="s">
        <v>9081</v>
      </c>
      <c r="C223" s="6210"/>
      <c r="D223" s="6210"/>
      <c r="E223" s="6211"/>
      <c r="F223" s="6224" t="s">
        <v>9003</v>
      </c>
      <c r="G223" s="6226" t="s">
        <v>9082</v>
      </c>
      <c r="H223" s="6228" t="s">
        <v>9147</v>
      </c>
      <c r="I223" s="6229"/>
      <c r="J223" s="6224" t="s">
        <v>9148</v>
      </c>
      <c r="K223" s="6232"/>
      <c r="L223" s="2135"/>
      <c r="M223" s="6194"/>
      <c r="N223" s="6212" t="s">
        <v>9081</v>
      </c>
      <c r="O223" s="6213"/>
      <c r="P223" s="6213"/>
      <c r="Q223" s="6213"/>
      <c r="R223" s="2414" t="s">
        <v>9003</v>
      </c>
      <c r="S223" s="6234" t="s">
        <v>9082</v>
      </c>
      <c r="T223" s="6234"/>
      <c r="U223" s="2416" t="s">
        <v>9149</v>
      </c>
      <c r="V223" s="2415" t="s">
        <v>9148</v>
      </c>
      <c r="W223" s="1695"/>
      <c r="X223" s="871">
        <v>1</v>
      </c>
      <c r="Y223" s="871">
        <v>1</v>
      </c>
      <c r="Z223" s="871">
        <v>1</v>
      </c>
      <c r="AA223" s="871">
        <v>1</v>
      </c>
    </row>
    <row r="224" spans="1:27" s="2072" customFormat="1" ht="18.75" customHeight="1">
      <c r="A224" s="6194"/>
      <c r="B224" s="6212"/>
      <c r="C224" s="6213"/>
      <c r="D224" s="6213"/>
      <c r="E224" s="6214"/>
      <c r="F224" s="6225"/>
      <c r="G224" s="6227"/>
      <c r="H224" s="6230"/>
      <c r="I224" s="6231"/>
      <c r="J224" s="6225"/>
      <c r="K224" s="6233"/>
      <c r="L224" s="2135"/>
      <c r="M224" s="6194"/>
      <c r="N224" s="6235" t="s">
        <v>9150</v>
      </c>
      <c r="O224" s="6236"/>
      <c r="P224" s="6236"/>
      <c r="Q224" s="6236"/>
      <c r="R224" s="2417">
        <v>16</v>
      </c>
      <c r="S224" s="6237" t="s">
        <v>9097</v>
      </c>
      <c r="T224" s="6237"/>
      <c r="U224" s="2418">
        <v>1</v>
      </c>
      <c r="V224" s="2419">
        <v>1250</v>
      </c>
      <c r="W224" s="2420"/>
      <c r="X224" s="871">
        <v>1</v>
      </c>
      <c r="Y224" s="871">
        <v>1</v>
      </c>
      <c r="Z224" s="871">
        <v>1</v>
      </c>
      <c r="AA224" s="871">
        <v>1</v>
      </c>
    </row>
    <row r="225" spans="1:27" s="2072" customFormat="1" ht="18.75">
      <c r="A225" s="6194"/>
      <c r="B225" s="6269" t="s">
        <v>9102</v>
      </c>
      <c r="C225" s="6270"/>
      <c r="D225" s="6270"/>
      <c r="E225" s="6271"/>
      <c r="F225" s="6275">
        <v>3</v>
      </c>
      <c r="G225" s="6277" t="s">
        <v>872</v>
      </c>
      <c r="H225" s="6279">
        <v>23</v>
      </c>
      <c r="I225" s="6279"/>
      <c r="J225" s="6281">
        <v>100</v>
      </c>
      <c r="K225" s="6282"/>
      <c r="L225" s="2135"/>
      <c r="M225" s="6194"/>
      <c r="N225" s="6285" t="s">
        <v>9080</v>
      </c>
      <c r="O225" s="6286"/>
      <c r="P225" s="6286"/>
      <c r="Q225" s="6286"/>
      <c r="R225" s="6286"/>
      <c r="S225" s="6286"/>
      <c r="T225" s="6286"/>
      <c r="U225" s="6286"/>
      <c r="V225" s="6286"/>
      <c r="W225" s="6287"/>
      <c r="X225" s="871">
        <v>1</v>
      </c>
      <c r="Y225" s="871">
        <v>1</v>
      </c>
      <c r="Z225" s="871">
        <v>1</v>
      </c>
      <c r="AA225" s="871">
        <v>1</v>
      </c>
    </row>
    <row r="226" spans="1:27" s="2072" customFormat="1" ht="18.75" customHeight="1">
      <c r="A226" s="6194"/>
      <c r="B226" s="6272"/>
      <c r="C226" s="6273"/>
      <c r="D226" s="6273"/>
      <c r="E226" s="6274"/>
      <c r="F226" s="6276"/>
      <c r="G226" s="6278"/>
      <c r="H226" s="6280"/>
      <c r="I226" s="6280"/>
      <c r="J226" s="6283"/>
      <c r="K226" s="6284"/>
      <c r="L226" s="2135"/>
      <c r="M226" s="6194"/>
      <c r="N226" s="2421" t="s">
        <v>9151</v>
      </c>
      <c r="O226" s="6288" t="s">
        <v>9084</v>
      </c>
      <c r="P226" s="6289"/>
      <c r="Q226" s="6289"/>
      <c r="R226" s="6288" t="s">
        <v>9085</v>
      </c>
      <c r="S226" s="6289"/>
      <c r="T226" s="6289"/>
      <c r="U226" s="6289"/>
      <c r="V226" s="6289"/>
      <c r="W226" s="6290"/>
      <c r="X226" s="871">
        <v>1</v>
      </c>
      <c r="Y226" s="871">
        <v>1</v>
      </c>
      <c r="Z226" s="871">
        <v>1</v>
      </c>
      <c r="AA226" s="871">
        <v>1</v>
      </c>
    </row>
    <row r="227" spans="1:27" s="2072" customFormat="1" ht="18.75">
      <c r="A227" s="6194"/>
      <c r="B227" s="6245" t="s">
        <v>9080</v>
      </c>
      <c r="C227" s="6246"/>
      <c r="D227" s="6246"/>
      <c r="E227" s="6246"/>
      <c r="F227" s="6246"/>
      <c r="G227" s="6246"/>
      <c r="H227" s="6246"/>
      <c r="I227" s="6246"/>
      <c r="J227" s="6246"/>
      <c r="K227" s="6247"/>
      <c r="L227" s="2135"/>
      <c r="M227" s="6194"/>
      <c r="N227" s="2422">
        <f>R224/U224</f>
        <v>16</v>
      </c>
      <c r="O227" s="2423">
        <f>U224*V224</f>
        <v>1250</v>
      </c>
      <c r="P227" s="6251" t="str">
        <f>S224</f>
        <v>Cuisses</v>
      </c>
      <c r="Q227" s="6251"/>
      <c r="R227" s="2424">
        <f>IF(O227=0,0,INT(O227/R224))</f>
        <v>78</v>
      </c>
      <c r="S227" s="2425">
        <f>O227-(R227*R224)</f>
        <v>2</v>
      </c>
      <c r="T227" s="2426" t="str">
        <f>IF(S227=0,0,S224)</f>
        <v>Cuisses</v>
      </c>
      <c r="U227" s="2427">
        <f>IF(S227=0,0,R227+1)</f>
        <v>79</v>
      </c>
      <c r="V227" s="2425">
        <f>IF(S227=0,0,O227-(U227*R224))</f>
        <v>-14</v>
      </c>
      <c r="W227" s="2428" t="str">
        <f>IF(V227=0,0,S224)</f>
        <v>Cuisses</v>
      </c>
      <c r="X227" s="871">
        <v>1</v>
      </c>
      <c r="Y227" s="871">
        <v>1</v>
      </c>
      <c r="Z227" s="871">
        <v>1</v>
      </c>
      <c r="AA227" s="871">
        <v>1</v>
      </c>
    </row>
    <row r="228" spans="1:27" s="2072" customFormat="1" ht="16.5" customHeight="1" thickBot="1">
      <c r="A228" s="6194"/>
      <c r="B228" s="6248"/>
      <c r="C228" s="6249"/>
      <c r="D228" s="6249"/>
      <c r="E228" s="6249"/>
      <c r="F228" s="6249"/>
      <c r="G228" s="6249"/>
      <c r="H228" s="6249"/>
      <c r="I228" s="6249"/>
      <c r="J228" s="6249"/>
      <c r="K228" s="6250"/>
      <c r="L228" s="2135"/>
      <c r="M228" s="6194"/>
      <c r="N228" s="6252" t="s">
        <v>9116</v>
      </c>
      <c r="O228" s="6253"/>
      <c r="P228" s="6253"/>
      <c r="Q228" s="6253"/>
      <c r="R228" s="6253"/>
      <c r="S228" s="6253"/>
      <c r="T228" s="6253"/>
      <c r="U228" s="6253"/>
      <c r="V228" s="6253"/>
      <c r="W228" s="6254"/>
      <c r="X228" s="871">
        <v>1</v>
      </c>
      <c r="Y228" s="871">
        <v>1</v>
      </c>
      <c r="Z228" s="871">
        <v>1</v>
      </c>
      <c r="AA228" s="871">
        <v>1</v>
      </c>
    </row>
    <row r="229" spans="1:27" s="2072" customFormat="1" ht="15.75" customHeight="1" thickBot="1">
      <c r="A229" s="6194"/>
      <c r="B229" s="6255" t="s">
        <v>9149</v>
      </c>
      <c r="C229" s="6256"/>
      <c r="D229" s="6258" t="s">
        <v>9084</v>
      </c>
      <c r="E229" s="6259"/>
      <c r="F229" s="6262" t="s">
        <v>9085</v>
      </c>
      <c r="G229" s="6262"/>
      <c r="H229" s="6262"/>
      <c r="I229" s="6262"/>
      <c r="J229" s="6262"/>
      <c r="K229" s="6263"/>
      <c r="L229" s="2135"/>
      <c r="M229" s="2134"/>
      <c r="N229" s="2134"/>
      <c r="O229" s="2090"/>
      <c r="P229" s="2090"/>
      <c r="Q229" s="2090"/>
      <c r="X229" s="871">
        <v>1</v>
      </c>
      <c r="Y229" s="871">
        <v>1</v>
      </c>
      <c r="Z229" s="871">
        <v>1</v>
      </c>
      <c r="AA229" s="871">
        <v>1</v>
      </c>
    </row>
    <row r="230" spans="1:27" s="2072" customFormat="1" ht="31.5" customHeight="1">
      <c r="A230" s="6194"/>
      <c r="B230" s="6257"/>
      <c r="C230" s="6227"/>
      <c r="D230" s="6260"/>
      <c r="E230" s="6261"/>
      <c r="F230" s="6264"/>
      <c r="G230" s="6264"/>
      <c r="H230" s="6264"/>
      <c r="I230" s="6264"/>
      <c r="J230" s="6264"/>
      <c r="K230" s="6265"/>
      <c r="L230" s="2135"/>
      <c r="M230" s="2115" t="s">
        <v>167</v>
      </c>
      <c r="N230" s="6266" t="s">
        <v>9006</v>
      </c>
      <c r="O230" s="6267"/>
      <c r="P230" s="6267"/>
      <c r="Q230" s="6267"/>
      <c r="R230" s="6267"/>
      <c r="S230" s="6267"/>
      <c r="T230" s="6267"/>
      <c r="U230" s="6267"/>
      <c r="V230" s="6267"/>
      <c r="W230" s="6267"/>
      <c r="X230" s="6267"/>
      <c r="Y230" s="6267"/>
      <c r="Z230" s="6268"/>
      <c r="AA230" s="871">
        <v>1</v>
      </c>
    </row>
    <row r="231" spans="1:27" s="2072" customFormat="1" ht="18.75" customHeight="1">
      <c r="A231" s="6194"/>
      <c r="B231" s="6316">
        <f>F225/H225</f>
        <v>0.13043478260869565</v>
      </c>
      <c r="C231" s="6317"/>
      <c r="D231" s="6320">
        <f>B231*J225</f>
        <v>13.043478260869565</v>
      </c>
      <c r="E231" s="6322" t="str">
        <f>G225</f>
        <v>Kg</v>
      </c>
      <c r="F231" s="6296">
        <f>IF(D231=0,0,INT(D231/F225))</f>
        <v>4</v>
      </c>
      <c r="G231" s="6298">
        <f>D231-(F231*F225)</f>
        <v>1.0434782608695645</v>
      </c>
      <c r="H231" s="6324" t="str">
        <f>IF(G231=0,0,G225)</f>
        <v>Kg</v>
      </c>
      <c r="I231" s="6296">
        <f>IF(G231=0,0,F231+1)</f>
        <v>5</v>
      </c>
      <c r="J231" s="6298">
        <f>IF(G231=0,0,D231-(I231*F225))</f>
        <v>-1.9565217391304355</v>
      </c>
      <c r="K231" s="6300" t="str">
        <f>IF(J231=0,0,G225)</f>
        <v>Kg</v>
      </c>
      <c r="L231" s="2135"/>
      <c r="M231" s="6194" t="str">
        <f>N230</f>
        <v>Service au choix : au poids ou à la portion</v>
      </c>
      <c r="N231" s="2336" t="str">
        <f>ADDRESS(ROW(),COLUMN(),4)</f>
        <v>N231</v>
      </c>
      <c r="O231" s="2104" t="s">
        <v>3529</v>
      </c>
      <c r="P231" s="2109"/>
      <c r="Q231" s="2109"/>
      <c r="R231" s="2109"/>
      <c r="S231" s="2109"/>
      <c r="T231" s="2109"/>
      <c r="U231" s="2109"/>
      <c r="V231" s="2109"/>
      <c r="W231" s="2109"/>
      <c r="X231" s="2109"/>
      <c r="Y231" s="2109"/>
      <c r="Z231" s="2429"/>
      <c r="AA231" s="871">
        <v>1</v>
      </c>
    </row>
    <row r="232" spans="1:27" s="2072" customFormat="1" ht="32.25" thickBot="1">
      <c r="A232" s="6194"/>
      <c r="B232" s="6318"/>
      <c r="C232" s="6319"/>
      <c r="D232" s="6321"/>
      <c r="E232" s="6323"/>
      <c r="F232" s="6297"/>
      <c r="G232" s="6299"/>
      <c r="H232" s="6325"/>
      <c r="I232" s="6297"/>
      <c r="J232" s="6299"/>
      <c r="K232" s="6301"/>
      <c r="L232" s="2135"/>
      <c r="M232" s="6194"/>
      <c r="N232" s="6302" t="s">
        <v>9152</v>
      </c>
      <c r="O232" s="6303"/>
      <c r="P232" s="6303"/>
      <c r="Q232" s="6303"/>
      <c r="R232" s="6303"/>
      <c r="S232" s="6303"/>
      <c r="T232" s="2430"/>
      <c r="U232" s="2431"/>
      <c r="V232" s="2431"/>
      <c r="W232" s="2431"/>
      <c r="X232" s="2431"/>
      <c r="Y232" s="2431"/>
      <c r="Z232" s="2432"/>
      <c r="AA232" s="871">
        <v>1</v>
      </c>
    </row>
    <row r="233" spans="1:27" s="2072" customFormat="1" ht="32.25">
      <c r="A233" s="6194"/>
      <c r="B233" s="6304" t="str">
        <f ca="1">_xlfn.FORMULATEXT(B231)</f>
        <v>=F225/H225</v>
      </c>
      <c r="C233" s="6305"/>
      <c r="D233" s="2433" t="str">
        <f ca="1">_xlfn.FORMULATEXT(D231)</f>
        <v>=B231*J225</v>
      </c>
      <c r="E233" s="2434"/>
      <c r="F233" s="2435" t="str">
        <f ca="1">_xlfn.FORMULATEXT(F231)</f>
        <v>=SI(D231=0;0;ENT(D231/F225))</v>
      </c>
      <c r="G233" s="2436"/>
      <c r="H233" s="2437" t="str">
        <f ca="1">_xlfn.FORMULATEXT(H231)</f>
        <v>=SI(G231=0;0;G225)</v>
      </c>
      <c r="I233" s="2438"/>
      <c r="J233" s="2436" t="str">
        <f ca="1">_xlfn.FORMULATEXT(I231)</f>
        <v>=SI(G231=0;0;F231+1)</v>
      </c>
      <c r="K233" s="2439"/>
      <c r="L233" s="2135"/>
      <c r="M233" s="6194"/>
      <c r="N233" s="2440"/>
      <c r="O233" s="2441"/>
      <c r="P233" s="2442"/>
      <c r="Q233" s="6306" t="s">
        <v>9083</v>
      </c>
      <c r="R233" s="6306"/>
      <c r="S233" s="2443"/>
      <c r="T233" s="2442"/>
      <c r="U233" s="2442"/>
      <c r="V233" s="2442"/>
      <c r="W233" s="2442"/>
      <c r="X233" s="2442"/>
      <c r="Y233" s="2444"/>
      <c r="Z233" s="2445"/>
      <c r="AA233" s="871">
        <v>1</v>
      </c>
    </row>
    <row r="234" spans="1:27" s="2072" customFormat="1" ht="26.25" customHeight="1">
      <c r="A234" s="6194"/>
      <c r="B234" s="2446" t="s">
        <v>4256</v>
      </c>
      <c r="C234" s="1784"/>
      <c r="D234" s="1784"/>
      <c r="E234" s="1784"/>
      <c r="F234" s="1784"/>
      <c r="G234" s="2447" t="str">
        <f ca="1">_xlfn.FORMULATEXT(G231)</f>
        <v>=D231-(F231*F225)</v>
      </c>
      <c r="H234" s="1784"/>
      <c r="I234" s="2435" t="str">
        <f ca="1">_xlfn.FORMULATEXT(J231)</f>
        <v>=SI(G231=0;0;D231-(I231*F225))</v>
      </c>
      <c r="J234" s="1784"/>
      <c r="K234" s="2439"/>
      <c r="L234" s="2135"/>
      <c r="M234" s="6194"/>
      <c r="N234" s="2440"/>
      <c r="O234" s="2442"/>
      <c r="P234" s="2441" t="s">
        <v>9153</v>
      </c>
      <c r="Q234" s="2448" t="s">
        <v>9088</v>
      </c>
      <c r="R234" s="2448" t="s">
        <v>9154</v>
      </c>
      <c r="S234" s="2443"/>
      <c r="T234" s="6291" t="s">
        <v>9155</v>
      </c>
      <c r="U234" s="6291"/>
      <c r="V234" s="6291"/>
      <c r="W234" s="6291"/>
      <c r="X234" s="6292">
        <v>10</v>
      </c>
      <c r="Y234" s="6293" t="s">
        <v>1571</v>
      </c>
      <c r="Z234" s="6294">
        <f>O235*X234</f>
        <v>4.5</v>
      </c>
      <c r="AA234" s="871">
        <v>1</v>
      </c>
    </row>
    <row r="235" spans="1:27" s="2072" customFormat="1" ht="32.25" customHeight="1" thickBot="1">
      <c r="A235" s="6194"/>
      <c r="B235" s="6252" t="s">
        <v>9116</v>
      </c>
      <c r="C235" s="6253"/>
      <c r="D235" s="6253"/>
      <c r="E235" s="6253"/>
      <c r="F235" s="6253"/>
      <c r="G235" s="6253"/>
      <c r="H235" s="6253"/>
      <c r="I235" s="6253"/>
      <c r="J235" s="6253"/>
      <c r="K235" s="6254"/>
      <c r="L235" s="2135"/>
      <c r="M235" s="6194"/>
      <c r="N235" s="2449"/>
      <c r="O235" s="2450">
        <v>0.45</v>
      </c>
      <c r="P235" s="2451" t="s">
        <v>872</v>
      </c>
      <c r="Q235" s="2452">
        <v>25</v>
      </c>
      <c r="R235" s="2452">
        <v>7</v>
      </c>
      <c r="S235" s="2443"/>
      <c r="T235" s="6291"/>
      <c r="U235" s="6291"/>
      <c r="V235" s="6291"/>
      <c r="W235" s="6291"/>
      <c r="X235" s="6292"/>
      <c r="Y235" s="6293"/>
      <c r="Z235" s="6294"/>
      <c r="AA235" s="871">
        <v>1</v>
      </c>
    </row>
    <row r="236" spans="1:27" s="2072" customFormat="1" ht="32.25">
      <c r="A236" s="1582"/>
      <c r="B236" s="1582"/>
      <c r="C236" s="1582"/>
      <c r="D236" s="1582"/>
      <c r="E236" s="1582"/>
      <c r="F236" s="1582"/>
      <c r="G236" s="1582"/>
      <c r="H236" s="1582"/>
      <c r="I236" s="1582"/>
      <c r="J236" s="1582"/>
      <c r="K236" s="1582"/>
      <c r="L236" s="2135"/>
      <c r="M236" s="6194"/>
      <c r="N236" s="2449"/>
      <c r="O236" s="2443"/>
      <c r="P236" s="2443"/>
      <c r="Q236" s="2453" t="s">
        <v>9088</v>
      </c>
      <c r="R236" s="2453" t="s">
        <v>9154</v>
      </c>
      <c r="S236" s="2443"/>
      <c r="T236" s="2442"/>
      <c r="U236" s="6295" t="s">
        <v>9156</v>
      </c>
      <c r="V236" s="6295"/>
      <c r="W236" s="6295"/>
      <c r="X236" s="6295"/>
      <c r="Y236" s="6295"/>
      <c r="Z236" s="2445"/>
      <c r="AA236" s="871">
        <v>1</v>
      </c>
    </row>
    <row r="237" spans="1:27" s="2072" customFormat="1" ht="19.5" thickBot="1">
      <c r="A237" s="2090"/>
      <c r="B237" s="2124"/>
      <c r="C237" s="2124"/>
      <c r="D237" s="2124"/>
      <c r="E237" s="2124"/>
      <c r="F237" s="2124"/>
      <c r="G237" s="2124"/>
      <c r="H237" s="2091"/>
      <c r="I237" s="2134"/>
      <c r="J237" s="2134"/>
      <c r="K237" s="2135"/>
      <c r="L237" s="2135"/>
      <c r="M237" s="6194"/>
      <c r="N237" s="2454"/>
      <c r="O237" s="2455" t="s">
        <v>9157</v>
      </c>
      <c r="P237" s="2455"/>
      <c r="Q237" s="2456">
        <v>0.2</v>
      </c>
      <c r="R237" s="2456">
        <v>0.25</v>
      </c>
      <c r="S237" s="2457">
        <f>(Q237*Q235)+(R237*R235)</f>
        <v>6.75</v>
      </c>
      <c r="T237" s="2458" t="str">
        <f>P235</f>
        <v>Kg</v>
      </c>
      <c r="U237" s="2459">
        <f>IF(S237=0,0,INT(S237/(O235*X234)))</f>
        <v>1</v>
      </c>
      <c r="V237" s="2460">
        <f>S237-(U237*(O235*X234))</f>
        <v>2.25</v>
      </c>
      <c r="W237" s="2461" t="str">
        <f>IF(V237=0,0,P235)</f>
        <v>Kg</v>
      </c>
      <c r="X237" s="2459">
        <f>IF(V237=0,0,U237+1)</f>
        <v>2</v>
      </c>
      <c r="Y237" s="2460">
        <f>IF(V237=0,0,S237-(X237*Z234))</f>
        <v>-2.25</v>
      </c>
      <c r="Z237" s="2462" t="str">
        <f>IF(Y237=0,0,P235)</f>
        <v>Kg</v>
      </c>
      <c r="AA237" s="871">
        <v>1</v>
      </c>
    </row>
    <row r="238" spans="1:27" s="2072" customFormat="1" ht="32.25" customHeight="1">
      <c r="A238" s="2115" t="s">
        <v>167</v>
      </c>
      <c r="B238" s="6307" t="s">
        <v>9014</v>
      </c>
      <c r="C238" s="6308"/>
      <c r="D238" s="6308"/>
      <c r="E238" s="6308"/>
      <c r="F238" s="6308"/>
      <c r="G238" s="6308"/>
      <c r="H238" s="6308"/>
      <c r="I238" s="6308"/>
      <c r="J238" s="6308"/>
      <c r="K238" s="6309"/>
      <c r="L238" s="2135"/>
      <c r="M238" s="6194"/>
      <c r="N238" s="6310" t="s">
        <v>9158</v>
      </c>
      <c r="O238" s="6311"/>
      <c r="P238" s="6311"/>
      <c r="Q238" s="6314">
        <f>Q237/O235</f>
        <v>0.44444444444444448</v>
      </c>
      <c r="R238" s="6314">
        <f>R237/O235</f>
        <v>0.55555555555555558</v>
      </c>
      <c r="S238" s="6341">
        <f>(Q238*Q235)+(R238*R235)</f>
        <v>15.000000000000002</v>
      </c>
      <c r="T238" s="6343" t="str">
        <f>Y234</f>
        <v>portions</v>
      </c>
      <c r="U238" s="6345">
        <f>IF(S238=0,0,INT(S238/X234))</f>
        <v>1</v>
      </c>
      <c r="V238" s="6347">
        <f>S238-(U238*X234)</f>
        <v>5.0000000000000018</v>
      </c>
      <c r="W238" s="6349" t="str">
        <f>IF(V238=0,0,Y234)</f>
        <v>portions</v>
      </c>
      <c r="X238" s="6355">
        <f>IF(V238=0,0,U238+1)</f>
        <v>2</v>
      </c>
      <c r="Y238" s="6357">
        <f>IF(V238=0,0,S238-(X238*X234))</f>
        <v>-4.9999999999999982</v>
      </c>
      <c r="Z238" s="6359" t="str">
        <f>IF(Y238=0,0,Y234)</f>
        <v>portions</v>
      </c>
      <c r="AA238" s="871">
        <v>1</v>
      </c>
    </row>
    <row r="239" spans="1:27" s="2072" customFormat="1" ht="19.5" customHeight="1">
      <c r="A239" s="6194" t="str">
        <f>B238</f>
        <v>Poids de sauce à servir</v>
      </c>
      <c r="B239" s="2129" t="str">
        <f>ADDRESS(ROW(),COLUMN(),4)</f>
        <v>B239</v>
      </c>
      <c r="C239" s="1778" t="s">
        <v>3529</v>
      </c>
      <c r="D239" s="2222"/>
      <c r="E239" s="2222"/>
      <c r="F239" s="2222"/>
      <c r="G239" s="2222"/>
      <c r="H239" s="2222"/>
      <c r="I239" s="2222"/>
      <c r="J239" s="2222"/>
      <c r="K239" s="2223"/>
      <c r="L239" s="2135"/>
      <c r="M239" s="6194"/>
      <c r="N239" s="6312"/>
      <c r="O239" s="6313"/>
      <c r="P239" s="6313"/>
      <c r="Q239" s="6315"/>
      <c r="R239" s="6315"/>
      <c r="S239" s="6342"/>
      <c r="T239" s="6344"/>
      <c r="U239" s="6346"/>
      <c r="V239" s="6348"/>
      <c r="W239" s="6350"/>
      <c r="X239" s="6356"/>
      <c r="Y239" s="6358"/>
      <c r="Z239" s="6360"/>
      <c r="AA239" s="871">
        <v>1</v>
      </c>
    </row>
    <row r="240" spans="1:27" s="2072" customFormat="1" ht="15" customHeight="1" thickBot="1">
      <c r="A240" s="6194"/>
      <c r="B240" s="6326" t="s">
        <v>9159</v>
      </c>
      <c r="C240" s="6327"/>
      <c r="D240" s="6327"/>
      <c r="E240" s="6327"/>
      <c r="F240" s="6330" t="s">
        <v>9160</v>
      </c>
      <c r="G240" s="6330"/>
      <c r="H240" s="6330"/>
      <c r="I240" s="6330"/>
      <c r="J240" s="6332">
        <v>0.15</v>
      </c>
      <c r="K240" s="6333"/>
      <c r="L240" s="2135"/>
      <c r="M240" s="6194"/>
      <c r="N240" s="6336" t="s">
        <v>9116</v>
      </c>
      <c r="O240" s="6337"/>
      <c r="P240" s="6337"/>
      <c r="Q240" s="6337"/>
      <c r="R240" s="6337"/>
      <c r="S240" s="6337"/>
      <c r="T240" s="6337"/>
      <c r="U240" s="6337"/>
      <c r="V240" s="6337"/>
      <c r="W240" s="6337"/>
      <c r="X240" s="6337"/>
      <c r="Y240" s="6337"/>
      <c r="Z240" s="6338"/>
      <c r="AA240" s="871">
        <v>1</v>
      </c>
    </row>
    <row r="241" spans="1:27" s="2072" customFormat="1" ht="15">
      <c r="A241" s="6194"/>
      <c r="B241" s="6328"/>
      <c r="C241" s="6329"/>
      <c r="D241" s="6329"/>
      <c r="E241" s="6329"/>
      <c r="F241" s="6331"/>
      <c r="G241" s="6331"/>
      <c r="H241" s="6331"/>
      <c r="I241" s="6331"/>
      <c r="J241" s="6334"/>
      <c r="K241" s="6335"/>
      <c r="L241" s="2135"/>
      <c r="R241" s="871">
        <v>1</v>
      </c>
      <c r="S241" s="871">
        <v>1</v>
      </c>
      <c r="T241" s="871">
        <v>1</v>
      </c>
      <c r="U241" s="871">
        <v>1</v>
      </c>
      <c r="V241" s="871">
        <v>1</v>
      </c>
      <c r="W241" s="871">
        <v>1</v>
      </c>
      <c r="X241" s="871">
        <v>1</v>
      </c>
      <c r="Y241" s="871">
        <v>1</v>
      </c>
      <c r="Z241" s="871">
        <v>1</v>
      </c>
      <c r="AA241" s="871">
        <v>1</v>
      </c>
    </row>
    <row r="242" spans="1:27" s="2072" customFormat="1" ht="15">
      <c r="A242" s="6194"/>
      <c r="B242" s="6339" t="s">
        <v>9148</v>
      </c>
      <c r="C242" s="6340" t="s">
        <v>9161</v>
      </c>
      <c r="D242" s="6351" t="s">
        <v>9162</v>
      </c>
      <c r="E242" s="6352" t="s">
        <v>9163</v>
      </c>
      <c r="F242" s="6352"/>
      <c r="G242" s="6353" t="s">
        <v>9164</v>
      </c>
      <c r="H242" s="6352" t="s">
        <v>9165</v>
      </c>
      <c r="I242" s="6352"/>
      <c r="J242" s="6352" t="s">
        <v>9166</v>
      </c>
      <c r="K242" s="6354"/>
      <c r="L242" s="2135"/>
      <c r="M242" s="2134"/>
      <c r="N242" s="2134"/>
      <c r="O242" s="2090"/>
      <c r="P242" s="2090"/>
      <c r="Q242" s="2090"/>
      <c r="R242" s="871">
        <v>1</v>
      </c>
      <c r="S242" s="871">
        <v>1</v>
      </c>
      <c r="T242" s="871">
        <v>1</v>
      </c>
      <c r="U242" s="871">
        <v>1</v>
      </c>
      <c r="V242" s="871">
        <v>1</v>
      </c>
      <c r="W242" s="871">
        <v>1</v>
      </c>
      <c r="X242" s="871">
        <v>1</v>
      </c>
      <c r="Y242" s="871">
        <v>1</v>
      </c>
      <c r="Z242" s="871">
        <v>1</v>
      </c>
      <c r="AA242" s="871">
        <v>1</v>
      </c>
    </row>
    <row r="243" spans="1:27" s="2072" customFormat="1" ht="15">
      <c r="A243" s="6194"/>
      <c r="B243" s="6339"/>
      <c r="C243" s="6340"/>
      <c r="D243" s="6351"/>
      <c r="E243" s="6352"/>
      <c r="F243" s="6352"/>
      <c r="G243" s="6353"/>
      <c r="H243" s="6352"/>
      <c r="I243" s="6352"/>
      <c r="J243" s="6352"/>
      <c r="K243" s="6354"/>
      <c r="L243" s="2135"/>
      <c r="M243" s="2134"/>
      <c r="N243" s="2134"/>
      <c r="O243" s="2090"/>
      <c r="P243" s="2090"/>
      <c r="Q243" s="2090"/>
      <c r="R243" s="871">
        <v>1</v>
      </c>
      <c r="S243" s="871">
        <v>1</v>
      </c>
      <c r="T243" s="871">
        <v>1</v>
      </c>
      <c r="U243" s="871">
        <v>1</v>
      </c>
      <c r="V243" s="871">
        <v>1</v>
      </c>
      <c r="W243" s="871">
        <v>1</v>
      </c>
      <c r="X243" s="871">
        <v>1</v>
      </c>
      <c r="Y243" s="871">
        <v>1</v>
      </c>
      <c r="Z243" s="871">
        <v>1</v>
      </c>
      <c r="AA243" s="871">
        <v>1</v>
      </c>
    </row>
    <row r="244" spans="1:27" s="2072" customFormat="1" ht="18.75">
      <c r="A244" s="6194"/>
      <c r="B244" s="2463">
        <v>50</v>
      </c>
      <c r="C244" s="2464">
        <v>0.03</v>
      </c>
      <c r="D244" s="2465">
        <v>2</v>
      </c>
      <c r="E244" s="2466">
        <f>IF(B244=0,0,(C244/(100-D244)*100))</f>
        <v>3.0612244897959183E-2</v>
      </c>
      <c r="F244" s="2467" t="s">
        <v>872</v>
      </c>
      <c r="G244" s="2468">
        <f>J240/C244</f>
        <v>5</v>
      </c>
      <c r="H244" s="2469">
        <f>C244*B244</f>
        <v>1.5</v>
      </c>
      <c r="I244" s="2467" t="s">
        <v>872</v>
      </c>
      <c r="J244" s="2470">
        <f>E244*B244</f>
        <v>1.5306122448979591</v>
      </c>
      <c r="K244" s="2471" t="s">
        <v>872</v>
      </c>
      <c r="L244" s="2135"/>
      <c r="M244" s="2134"/>
      <c r="N244" s="2134"/>
      <c r="O244" s="2090"/>
      <c r="P244" s="2090"/>
      <c r="Q244" s="2090"/>
      <c r="R244" s="871">
        <v>1</v>
      </c>
      <c r="S244" s="871">
        <v>1</v>
      </c>
      <c r="T244" s="871">
        <v>1</v>
      </c>
      <c r="U244" s="871">
        <v>1</v>
      </c>
      <c r="V244" s="871">
        <v>1</v>
      </c>
      <c r="W244" s="871">
        <v>1</v>
      </c>
      <c r="X244" s="871">
        <v>1</v>
      </c>
      <c r="Y244" s="871">
        <v>1</v>
      </c>
      <c r="Z244" s="871">
        <v>1</v>
      </c>
      <c r="AA244" s="871">
        <v>1</v>
      </c>
    </row>
    <row r="245" spans="1:27" s="2072" customFormat="1" ht="16.5" thickBot="1">
      <c r="A245" s="6194"/>
      <c r="B245" s="6252" t="s">
        <v>9116</v>
      </c>
      <c r="C245" s="6253"/>
      <c r="D245" s="6253"/>
      <c r="E245" s="6253"/>
      <c r="F245" s="6253"/>
      <c r="G245" s="6253"/>
      <c r="H245" s="6253"/>
      <c r="I245" s="6253"/>
      <c r="J245" s="6253"/>
      <c r="K245" s="6254"/>
      <c r="L245" s="2135"/>
      <c r="M245" s="2134"/>
      <c r="N245" s="2134"/>
      <c r="O245" s="2090"/>
      <c r="P245" s="2090"/>
      <c r="Q245" s="2090"/>
      <c r="R245" s="871">
        <v>1</v>
      </c>
      <c r="S245" s="871">
        <v>1</v>
      </c>
      <c r="T245" s="871">
        <v>1</v>
      </c>
      <c r="U245" s="871">
        <v>1</v>
      </c>
      <c r="V245" s="871">
        <v>1</v>
      </c>
      <c r="W245" s="871">
        <v>1</v>
      </c>
      <c r="X245" s="871">
        <v>1</v>
      </c>
      <c r="Y245" s="871">
        <v>1</v>
      </c>
      <c r="Z245" s="871">
        <v>1</v>
      </c>
      <c r="AA245" s="871">
        <v>1</v>
      </c>
    </row>
    <row r="246" spans="1:27" s="2072" customFormat="1" thickBot="1">
      <c r="A246" s="2090"/>
      <c r="B246" s="2124"/>
      <c r="C246" s="2124"/>
      <c r="D246" s="2124"/>
      <c r="E246" s="2124"/>
      <c r="F246" s="2124"/>
      <c r="G246" s="2124"/>
      <c r="H246" s="2091"/>
      <c r="I246" s="2134"/>
      <c r="J246" s="2134"/>
      <c r="K246" s="2135"/>
      <c r="L246" s="2135"/>
      <c r="M246" s="2134"/>
      <c r="N246" s="2134"/>
      <c r="O246" s="2090"/>
      <c r="P246" s="2090"/>
      <c r="Q246" s="2090"/>
      <c r="R246" s="871">
        <v>1</v>
      </c>
      <c r="S246" s="871">
        <v>1</v>
      </c>
      <c r="T246" s="871">
        <v>1</v>
      </c>
      <c r="U246" s="871">
        <v>1</v>
      </c>
      <c r="V246" s="871">
        <v>1</v>
      </c>
      <c r="W246" s="871">
        <v>1</v>
      </c>
      <c r="X246" s="871">
        <v>1</v>
      </c>
      <c r="Y246" s="871">
        <v>1</v>
      </c>
      <c r="Z246" s="871">
        <v>1</v>
      </c>
      <c r="AA246" s="871">
        <v>1</v>
      </c>
    </row>
    <row r="247" spans="1:27" s="2072" customFormat="1" ht="18">
      <c r="A247" s="2115" t="s">
        <v>167</v>
      </c>
      <c r="B247" s="6370" t="s">
        <v>9016</v>
      </c>
      <c r="C247" s="6371"/>
      <c r="D247" s="6371"/>
      <c r="E247" s="6371"/>
      <c r="F247" s="6371"/>
      <c r="G247" s="6371"/>
      <c r="H247" s="6371"/>
      <c r="I247" s="6371"/>
      <c r="J247" s="6372"/>
      <c r="K247" s="2090"/>
      <c r="L247" s="2115" t="s">
        <v>167</v>
      </c>
      <c r="M247" s="6370" t="s">
        <v>9008</v>
      </c>
      <c r="N247" s="6371"/>
      <c r="O247" s="6371"/>
      <c r="P247" s="6371"/>
      <c r="Q247" s="6372"/>
      <c r="R247" s="871">
        <v>1</v>
      </c>
      <c r="S247" s="871">
        <v>1</v>
      </c>
      <c r="T247" s="871">
        <v>1</v>
      </c>
      <c r="U247" s="871">
        <v>1</v>
      </c>
      <c r="V247" s="871">
        <v>1</v>
      </c>
      <c r="W247" s="871">
        <v>1</v>
      </c>
      <c r="X247" s="871">
        <v>1</v>
      </c>
      <c r="Y247" s="871">
        <v>1</v>
      </c>
      <c r="Z247" s="871">
        <v>1</v>
      </c>
      <c r="AA247" s="871">
        <v>1</v>
      </c>
    </row>
    <row r="248" spans="1:27" s="2072" customFormat="1" ht="16.5" customHeight="1">
      <c r="A248" s="6373" t="str">
        <f>B247</f>
        <v>Total Mx dans 1 contenant</v>
      </c>
      <c r="B248" s="2129" t="str">
        <f>ADDRESS(ROW(),COLUMN(),4)</f>
        <v>B248</v>
      </c>
      <c r="C248" s="1778" t="s">
        <v>3529</v>
      </c>
      <c r="D248" s="2118"/>
      <c r="E248" s="2118"/>
      <c r="F248" s="2118"/>
      <c r="G248" s="2118"/>
      <c r="H248" s="2118"/>
      <c r="I248" s="2118"/>
      <c r="J248" s="2122"/>
      <c r="K248" s="2090"/>
      <c r="L248" s="6373"/>
      <c r="M248" s="2129" t="str">
        <f>ADDRESS(ROW(),COLUMN(),4)</f>
        <v>M248</v>
      </c>
      <c r="N248" s="1778" t="s">
        <v>3529</v>
      </c>
      <c r="O248" s="2118"/>
      <c r="P248" s="2118"/>
      <c r="Q248" s="2122"/>
      <c r="R248" s="871">
        <v>1</v>
      </c>
      <c r="S248" s="871">
        <v>1</v>
      </c>
      <c r="T248" s="871">
        <v>1</v>
      </c>
      <c r="U248" s="871">
        <v>1</v>
      </c>
      <c r="V248" s="871">
        <v>1</v>
      </c>
      <c r="W248" s="871">
        <v>1</v>
      </c>
      <c r="X248" s="871">
        <v>1</v>
      </c>
      <c r="Y248" s="871">
        <v>1</v>
      </c>
      <c r="Z248" s="871">
        <v>1</v>
      </c>
      <c r="AA248" s="871">
        <v>1</v>
      </c>
    </row>
    <row r="249" spans="1:27" s="2072" customFormat="1" ht="15" customHeight="1">
      <c r="A249" s="6373"/>
      <c r="B249" s="6374" t="s">
        <v>9016</v>
      </c>
      <c r="C249" s="6376" t="s">
        <v>9167</v>
      </c>
      <c r="D249" s="6378" t="s">
        <v>9168</v>
      </c>
      <c r="E249" s="2472" t="s">
        <v>9169</v>
      </c>
      <c r="F249" s="2472"/>
      <c r="G249" s="2472"/>
      <c r="H249" s="2472"/>
      <c r="I249" s="2472"/>
      <c r="J249" s="2473"/>
      <c r="K249" s="2090"/>
      <c r="L249" s="6373"/>
      <c r="M249" s="6361" t="s">
        <v>9170</v>
      </c>
      <c r="N249" s="2475"/>
      <c r="O249" s="6363" t="s">
        <v>9171</v>
      </c>
      <c r="P249" s="2477"/>
      <c r="Q249" s="6380" t="s">
        <v>9172</v>
      </c>
      <c r="R249" s="871">
        <v>1</v>
      </c>
      <c r="S249" s="871">
        <v>1</v>
      </c>
      <c r="T249" s="871">
        <v>1</v>
      </c>
      <c r="U249" s="871">
        <v>1</v>
      </c>
      <c r="V249" s="871">
        <v>1</v>
      </c>
      <c r="W249" s="871">
        <v>1</v>
      </c>
      <c r="X249" s="871">
        <v>1</v>
      </c>
      <c r="Y249" s="871">
        <v>1</v>
      </c>
      <c r="Z249" s="871">
        <v>1</v>
      </c>
      <c r="AA249" s="871">
        <v>1</v>
      </c>
    </row>
    <row r="250" spans="1:27" s="2072" customFormat="1">
      <c r="A250" s="6373"/>
      <c r="B250" s="6375"/>
      <c r="C250" s="6377"/>
      <c r="D250" s="6379"/>
      <c r="E250" s="2478"/>
      <c r="F250" s="2478"/>
      <c r="G250" s="2478"/>
      <c r="H250" s="2478"/>
      <c r="I250" s="2478"/>
      <c r="J250" s="2479"/>
      <c r="K250" s="2090"/>
      <c r="L250" s="6373"/>
      <c r="M250" s="6361"/>
      <c r="N250" s="2475"/>
      <c r="O250" s="6363"/>
      <c r="P250" s="2477"/>
      <c r="Q250" s="6380"/>
      <c r="R250" s="871">
        <v>1</v>
      </c>
      <c r="S250" s="871">
        <v>1</v>
      </c>
      <c r="T250" s="871">
        <v>1</v>
      </c>
      <c r="U250" s="871">
        <v>1</v>
      </c>
      <c r="V250" s="871">
        <v>1</v>
      </c>
      <c r="W250" s="871">
        <v>1</v>
      </c>
      <c r="X250" s="871">
        <v>1</v>
      </c>
      <c r="Y250" s="871">
        <v>1</v>
      </c>
      <c r="Z250" s="871">
        <v>1</v>
      </c>
      <c r="AA250" s="871">
        <v>1</v>
      </c>
    </row>
    <row r="251" spans="1:27" s="2072" customFormat="1" ht="15" customHeight="1">
      <c r="A251" s="6373"/>
      <c r="B251" s="6375"/>
      <c r="C251" s="6377"/>
      <c r="D251" s="6379"/>
      <c r="E251" s="2480"/>
      <c r="F251" s="2480"/>
      <c r="G251" s="2480"/>
      <c r="H251" s="2480"/>
      <c r="I251" s="2480"/>
      <c r="J251" s="2481"/>
      <c r="K251" s="2090"/>
      <c r="L251" s="6373"/>
      <c r="M251" s="6361"/>
      <c r="N251" s="2475"/>
      <c r="O251" s="6363"/>
      <c r="P251" s="2477"/>
      <c r="Q251" s="6380"/>
      <c r="R251" s="871">
        <v>1</v>
      </c>
      <c r="S251" s="871">
        <v>1</v>
      </c>
      <c r="T251" s="871">
        <v>1</v>
      </c>
      <c r="U251" s="871">
        <v>1</v>
      </c>
      <c r="V251" s="871">
        <v>1</v>
      </c>
      <c r="W251" s="871">
        <v>1</v>
      </c>
      <c r="X251" s="871">
        <v>1</v>
      </c>
      <c r="Y251" s="871">
        <v>1</v>
      </c>
      <c r="Z251" s="871">
        <v>1</v>
      </c>
      <c r="AA251" s="871">
        <v>1</v>
      </c>
    </row>
    <row r="252" spans="1:27" s="2072" customFormat="1" ht="15" customHeight="1">
      <c r="A252" s="6373"/>
      <c r="B252" s="2482">
        <v>32</v>
      </c>
      <c r="C252" s="2483">
        <v>1.45</v>
      </c>
      <c r="D252" s="2484">
        <f>B252/C252</f>
        <v>22.068965517241381</v>
      </c>
      <c r="E252" s="2485" t="s">
        <v>9173</v>
      </c>
      <c r="F252" s="2486"/>
      <c r="G252" s="2486"/>
      <c r="H252" s="2486"/>
      <c r="I252" s="2486"/>
      <c r="J252" s="2487"/>
      <c r="K252" s="2090"/>
      <c r="L252" s="6373"/>
      <c r="M252" s="2488">
        <v>10</v>
      </c>
      <c r="N252" s="2489"/>
      <c r="O252" s="2489">
        <v>0.1</v>
      </c>
      <c r="P252" s="2489"/>
      <c r="Q252" s="2490">
        <f>M252/O252</f>
        <v>100</v>
      </c>
      <c r="R252" s="871">
        <v>1</v>
      </c>
      <c r="S252" s="871">
        <v>1</v>
      </c>
      <c r="T252" s="871">
        <v>1</v>
      </c>
      <c r="U252" s="871">
        <v>1</v>
      </c>
      <c r="V252" s="871">
        <v>1</v>
      </c>
      <c r="W252" s="871">
        <v>1</v>
      </c>
      <c r="X252" s="871">
        <v>1</v>
      </c>
      <c r="Y252" s="871">
        <v>1</v>
      </c>
      <c r="Z252" s="871">
        <v>1</v>
      </c>
      <c r="AA252" s="871">
        <v>1</v>
      </c>
    </row>
    <row r="253" spans="1:27" s="2072" customFormat="1">
      <c r="A253" s="6373"/>
      <c r="B253" s="2491"/>
      <c r="C253" s="2492"/>
      <c r="D253" s="2493"/>
      <c r="E253" s="2486"/>
      <c r="F253" s="2486"/>
      <c r="G253" s="2486"/>
      <c r="H253" s="2486"/>
      <c r="I253" s="2486"/>
      <c r="J253" s="2487"/>
      <c r="K253" s="2090"/>
      <c r="L253" s="6373"/>
      <c r="M253" s="2488">
        <v>1</v>
      </c>
      <c r="N253" s="2489"/>
      <c r="O253" s="2489">
        <v>7.0000000000000007E-2</v>
      </c>
      <c r="P253" s="2489"/>
      <c r="Q253" s="2490">
        <f>M253/O253</f>
        <v>14.285714285714285</v>
      </c>
      <c r="R253" s="871">
        <v>1</v>
      </c>
      <c r="S253" s="871">
        <v>1</v>
      </c>
      <c r="T253" s="871">
        <v>1</v>
      </c>
      <c r="U253" s="871">
        <v>1</v>
      </c>
      <c r="V253" s="871">
        <v>1</v>
      </c>
      <c r="W253" s="871">
        <v>1</v>
      </c>
      <c r="X253" s="871">
        <v>1</v>
      </c>
      <c r="Y253" s="871">
        <v>1</v>
      </c>
      <c r="Z253" s="871">
        <v>1</v>
      </c>
      <c r="AA253" s="871">
        <v>1</v>
      </c>
    </row>
    <row r="254" spans="1:27" s="2072" customFormat="1">
      <c r="A254" s="6373"/>
      <c r="B254" s="2494" t="s">
        <v>9174</v>
      </c>
      <c r="C254" s="2495"/>
      <c r="D254" s="2495"/>
      <c r="E254" s="2495"/>
      <c r="F254" s="2495"/>
      <c r="G254" s="2495"/>
      <c r="H254" s="2495"/>
      <c r="I254" s="2495"/>
      <c r="J254" s="2496"/>
      <c r="K254" s="2090"/>
      <c r="L254" s="6373"/>
      <c r="M254" s="2497"/>
      <c r="N254" s="2498"/>
      <c r="O254" s="2499"/>
      <c r="P254" s="2498"/>
      <c r="Q254" s="2127"/>
      <c r="R254" s="871">
        <v>1</v>
      </c>
      <c r="S254" s="871">
        <v>1</v>
      </c>
      <c r="T254" s="871">
        <v>1</v>
      </c>
      <c r="U254" s="871">
        <v>1</v>
      </c>
      <c r="V254" s="871">
        <v>1</v>
      </c>
      <c r="W254" s="871">
        <v>1</v>
      </c>
      <c r="X254" s="871">
        <v>1</v>
      </c>
      <c r="Y254" s="871">
        <v>1</v>
      </c>
      <c r="Z254" s="871">
        <v>1</v>
      </c>
      <c r="AA254" s="871">
        <v>1</v>
      </c>
    </row>
    <row r="255" spans="1:27" s="2072" customFormat="1">
      <c r="A255" s="6373"/>
      <c r="B255" s="2500">
        <v>32</v>
      </c>
      <c r="C255" s="2501">
        <v>1.2</v>
      </c>
      <c r="D255" s="2484">
        <f t="shared" ref="D255:D266" si="0">B255/C255</f>
        <v>26.666666666666668</v>
      </c>
      <c r="E255" s="2502" t="s">
        <v>9175</v>
      </c>
      <c r="F255" s="2503"/>
      <c r="G255" s="2503"/>
      <c r="H255" s="2503"/>
      <c r="I255" s="2504"/>
      <c r="J255" s="2505"/>
      <c r="K255" s="2090"/>
      <c r="L255" s="6373"/>
      <c r="M255" s="2506" t="s">
        <v>9176</v>
      </c>
      <c r="N255" s="2507"/>
      <c r="O255" s="2499"/>
      <c r="P255" s="2091"/>
      <c r="Q255" s="2127"/>
      <c r="R255" s="871">
        <v>1</v>
      </c>
      <c r="S255" s="871">
        <v>1</v>
      </c>
      <c r="T255" s="871">
        <v>1</v>
      </c>
      <c r="U255" s="871">
        <v>1</v>
      </c>
      <c r="V255" s="871">
        <v>1</v>
      </c>
      <c r="W255" s="871">
        <v>1</v>
      </c>
      <c r="X255" s="871">
        <v>1</v>
      </c>
      <c r="Y255" s="871">
        <v>1</v>
      </c>
      <c r="Z255" s="871">
        <v>1</v>
      </c>
      <c r="AA255" s="871">
        <v>1</v>
      </c>
    </row>
    <row r="256" spans="1:27" s="2072" customFormat="1">
      <c r="A256" s="6373"/>
      <c r="B256" s="2500">
        <v>12</v>
      </c>
      <c r="C256" s="2501">
        <v>1</v>
      </c>
      <c r="D256" s="2484">
        <f t="shared" si="0"/>
        <v>12</v>
      </c>
      <c r="E256" s="2502" t="s">
        <v>9177</v>
      </c>
      <c r="F256" s="2503"/>
      <c r="G256" s="2503"/>
      <c r="H256" s="2503"/>
      <c r="I256" s="2504"/>
      <c r="J256" s="2505"/>
      <c r="K256" s="2090"/>
      <c r="L256" s="6373"/>
      <c r="M256" s="2508" t="s">
        <v>9178</v>
      </c>
      <c r="N256" s="2507"/>
      <c r="O256" s="2499"/>
      <c r="P256" s="2091"/>
      <c r="Q256" s="2127"/>
      <c r="R256" s="871">
        <v>1</v>
      </c>
      <c r="S256" s="871">
        <v>1</v>
      </c>
      <c r="T256" s="871">
        <v>1</v>
      </c>
      <c r="U256" s="871">
        <v>1</v>
      </c>
      <c r="V256" s="871">
        <v>1</v>
      </c>
      <c r="W256" s="871">
        <v>1</v>
      </c>
      <c r="X256" s="871">
        <v>1</v>
      </c>
      <c r="Y256" s="871">
        <v>1</v>
      </c>
      <c r="Z256" s="871">
        <v>1</v>
      </c>
      <c r="AA256" s="871">
        <v>1</v>
      </c>
    </row>
    <row r="257" spans="1:27" s="2072" customFormat="1">
      <c r="A257" s="6373"/>
      <c r="B257" s="2500">
        <v>32</v>
      </c>
      <c r="C257" s="2501">
        <v>2</v>
      </c>
      <c r="D257" s="2484">
        <f t="shared" si="0"/>
        <v>16</v>
      </c>
      <c r="E257" s="2502" t="s">
        <v>9179</v>
      </c>
      <c r="F257" s="2503"/>
      <c r="G257" s="2503"/>
      <c r="H257" s="2503"/>
      <c r="I257" s="2504"/>
      <c r="J257" s="2505"/>
      <c r="K257" s="2090"/>
      <c r="L257" s="6373"/>
      <c r="M257" s="2509"/>
      <c r="N257" s="2510"/>
      <c r="O257" s="2510"/>
      <c r="P257" s="2510"/>
      <c r="Q257" s="2511"/>
      <c r="R257" s="871">
        <v>1</v>
      </c>
      <c r="S257" s="871">
        <v>1</v>
      </c>
      <c r="T257" s="871">
        <v>1</v>
      </c>
      <c r="U257" s="871">
        <v>1</v>
      </c>
      <c r="V257" s="871">
        <v>1</v>
      </c>
      <c r="W257" s="871">
        <v>1</v>
      </c>
      <c r="X257" s="871">
        <v>1</v>
      </c>
      <c r="Y257" s="871">
        <v>1</v>
      </c>
      <c r="Z257" s="871">
        <v>1</v>
      </c>
      <c r="AA257" s="871">
        <v>1</v>
      </c>
    </row>
    <row r="258" spans="1:27" s="2072" customFormat="1">
      <c r="A258" s="6373"/>
      <c r="B258" s="2500">
        <v>32</v>
      </c>
      <c r="C258" s="2501">
        <v>1.2</v>
      </c>
      <c r="D258" s="2484">
        <f t="shared" si="0"/>
        <v>26.666666666666668</v>
      </c>
      <c r="E258" s="2502" t="s">
        <v>9179</v>
      </c>
      <c r="F258" s="2503"/>
      <c r="G258" s="2503"/>
      <c r="H258" s="2503"/>
      <c r="I258" s="2504"/>
      <c r="J258" s="2505"/>
      <c r="K258" s="2090"/>
      <c r="L258" s="6373"/>
      <c r="M258" s="6361" t="s">
        <v>9170</v>
      </c>
      <c r="N258" s="6362"/>
      <c r="O258" s="6363" t="s">
        <v>9180</v>
      </c>
      <c r="P258" s="6363"/>
      <c r="Q258" s="6364" t="s">
        <v>9181</v>
      </c>
      <c r="R258" s="871">
        <v>1</v>
      </c>
      <c r="S258" s="871">
        <v>1</v>
      </c>
      <c r="T258" s="871">
        <v>1</v>
      </c>
      <c r="U258" s="871">
        <v>1</v>
      </c>
      <c r="V258" s="871">
        <v>1</v>
      </c>
      <c r="W258" s="871">
        <v>1</v>
      </c>
      <c r="X258" s="871">
        <v>1</v>
      </c>
      <c r="Y258" s="871">
        <v>1</v>
      </c>
      <c r="Z258" s="871">
        <v>1</v>
      </c>
      <c r="AA258" s="871">
        <v>1</v>
      </c>
    </row>
    <row r="259" spans="1:27" s="2072" customFormat="1">
      <c r="A259" s="6373"/>
      <c r="B259" s="2500">
        <v>33</v>
      </c>
      <c r="C259" s="2501">
        <v>1.3</v>
      </c>
      <c r="D259" s="2484">
        <f t="shared" si="0"/>
        <v>25.384615384615383</v>
      </c>
      <c r="E259" s="2502" t="s">
        <v>9182</v>
      </c>
      <c r="F259" s="2503"/>
      <c r="G259" s="2503"/>
      <c r="H259" s="2503"/>
      <c r="I259" s="2504"/>
      <c r="J259" s="2505"/>
      <c r="K259" s="2090"/>
      <c r="L259" s="6373"/>
      <c r="M259" s="6361"/>
      <c r="N259" s="6362"/>
      <c r="O259" s="6363"/>
      <c r="P259" s="6363"/>
      <c r="Q259" s="6364"/>
      <c r="R259" s="871">
        <v>1</v>
      </c>
      <c r="S259" s="871">
        <v>1</v>
      </c>
      <c r="T259" s="871">
        <v>1</v>
      </c>
      <c r="U259" s="871">
        <v>1</v>
      </c>
      <c r="V259" s="871">
        <v>1</v>
      </c>
      <c r="W259" s="871">
        <v>1</v>
      </c>
      <c r="X259" s="871">
        <v>1</v>
      </c>
      <c r="Y259" s="871">
        <v>1</v>
      </c>
      <c r="Z259" s="871">
        <v>1</v>
      </c>
      <c r="AA259" s="871">
        <v>1</v>
      </c>
    </row>
    <row r="260" spans="1:27" s="2072" customFormat="1">
      <c r="A260" s="6373"/>
      <c r="B260" s="2500">
        <v>33</v>
      </c>
      <c r="C260" s="2501">
        <v>1.5</v>
      </c>
      <c r="D260" s="2484">
        <f t="shared" si="0"/>
        <v>22</v>
      </c>
      <c r="E260" s="2502" t="s">
        <v>9183</v>
      </c>
      <c r="F260" s="2503"/>
      <c r="G260" s="2503"/>
      <c r="H260" s="2503"/>
      <c r="I260" s="2504"/>
      <c r="J260" s="2505"/>
      <c r="K260" s="2090"/>
      <c r="L260" s="6373"/>
      <c r="M260" s="2474"/>
      <c r="N260" s="2512"/>
      <c r="O260" s="2476"/>
      <c r="P260" s="2476"/>
      <c r="Q260" s="2513"/>
      <c r="R260" s="871">
        <v>1</v>
      </c>
      <c r="S260" s="871">
        <v>1</v>
      </c>
      <c r="T260" s="871">
        <v>1</v>
      </c>
      <c r="U260" s="871">
        <v>1</v>
      </c>
      <c r="V260" s="871">
        <v>1</v>
      </c>
      <c r="W260" s="871">
        <v>1</v>
      </c>
      <c r="X260" s="871">
        <v>1</v>
      </c>
      <c r="Y260" s="871">
        <v>1</v>
      </c>
      <c r="Z260" s="871">
        <v>1</v>
      </c>
      <c r="AA260" s="871">
        <v>1</v>
      </c>
    </row>
    <row r="261" spans="1:27" s="2072" customFormat="1">
      <c r="A261" s="6373"/>
      <c r="B261" s="2500">
        <v>30</v>
      </c>
      <c r="C261" s="2501">
        <v>1.2</v>
      </c>
      <c r="D261" s="2484">
        <f t="shared" si="0"/>
        <v>25</v>
      </c>
      <c r="E261" s="2502" t="s">
        <v>9184</v>
      </c>
      <c r="F261" s="2503"/>
      <c r="G261" s="2503"/>
      <c r="H261" s="2503"/>
      <c r="I261" s="2504"/>
      <c r="J261" s="2505"/>
      <c r="K261" s="2090"/>
      <c r="L261" s="6373"/>
      <c r="M261" s="2514">
        <v>0.25</v>
      </c>
      <c r="N261" s="2515"/>
      <c r="O261" s="2516">
        <v>2</v>
      </c>
      <c r="P261" s="2517"/>
      <c r="Q261" s="2518">
        <f>M261/O261</f>
        <v>0.125</v>
      </c>
      <c r="R261" s="871">
        <v>1</v>
      </c>
      <c r="S261" s="871">
        <v>1</v>
      </c>
      <c r="T261" s="871">
        <v>1</v>
      </c>
      <c r="U261" s="871">
        <v>1</v>
      </c>
      <c r="V261" s="871">
        <v>1</v>
      </c>
      <c r="W261" s="871">
        <v>1</v>
      </c>
      <c r="X261" s="871">
        <v>1</v>
      </c>
      <c r="Y261" s="871">
        <v>1</v>
      </c>
      <c r="Z261" s="871">
        <v>1</v>
      </c>
      <c r="AA261" s="871">
        <v>1</v>
      </c>
    </row>
    <row r="262" spans="1:27" s="2072" customFormat="1">
      <c r="A262" s="6373"/>
      <c r="B262" s="2500">
        <v>33</v>
      </c>
      <c r="C262" s="2501">
        <v>1.6</v>
      </c>
      <c r="D262" s="2484">
        <f t="shared" si="0"/>
        <v>20.625</v>
      </c>
      <c r="E262" s="2502" t="s">
        <v>9185</v>
      </c>
      <c r="F262" s="2503"/>
      <c r="G262" s="2503"/>
      <c r="H262" s="2503"/>
      <c r="I262" s="2504"/>
      <c r="J262" s="2505"/>
      <c r="K262" s="2090"/>
      <c r="L262" s="6373"/>
      <c r="M262" s="2514">
        <v>3.5</v>
      </c>
      <c r="N262" s="2515"/>
      <c r="O262" s="2516">
        <v>20</v>
      </c>
      <c r="P262" s="2517"/>
      <c r="Q262" s="2518">
        <f>M262/O262</f>
        <v>0.17499999999999999</v>
      </c>
      <c r="R262" s="871">
        <v>1</v>
      </c>
      <c r="S262" s="871">
        <v>1</v>
      </c>
      <c r="T262" s="871">
        <v>1</v>
      </c>
      <c r="U262" s="871">
        <v>1</v>
      </c>
      <c r="V262" s="871">
        <v>1</v>
      </c>
      <c r="W262" s="871">
        <v>1</v>
      </c>
      <c r="X262" s="871">
        <v>1</v>
      </c>
      <c r="Y262" s="871">
        <v>1</v>
      </c>
      <c r="Z262" s="871">
        <v>1</v>
      </c>
      <c r="AA262" s="871">
        <v>1</v>
      </c>
    </row>
    <row r="263" spans="1:27" s="2072" customFormat="1">
      <c r="A263" s="6373"/>
      <c r="B263" s="2500">
        <v>33</v>
      </c>
      <c r="C263" s="2501">
        <v>2</v>
      </c>
      <c r="D263" s="2484">
        <f t="shared" si="0"/>
        <v>16.5</v>
      </c>
      <c r="E263" s="2502" t="s">
        <v>9186</v>
      </c>
      <c r="F263" s="2503"/>
      <c r="G263" s="2503"/>
      <c r="H263" s="2503"/>
      <c r="I263" s="2504"/>
      <c r="J263" s="2505"/>
      <c r="K263" s="2090"/>
      <c r="L263" s="6373"/>
      <c r="M263" s="2519"/>
      <c r="N263" s="2520"/>
      <c r="O263" s="2521"/>
      <c r="P263" s="2521"/>
      <c r="Q263" s="2522"/>
      <c r="R263" s="871">
        <v>1</v>
      </c>
      <c r="S263" s="871">
        <v>1</v>
      </c>
      <c r="T263" s="871">
        <v>1</v>
      </c>
      <c r="U263" s="871">
        <v>1</v>
      </c>
      <c r="V263" s="871">
        <v>1</v>
      </c>
      <c r="W263" s="871">
        <v>1</v>
      </c>
      <c r="X263" s="871">
        <v>1</v>
      </c>
      <c r="Y263" s="871">
        <v>1</v>
      </c>
      <c r="Z263" s="871">
        <v>1</v>
      </c>
      <c r="AA263" s="871">
        <v>1</v>
      </c>
    </row>
    <row r="264" spans="1:27" s="2072" customFormat="1">
      <c r="A264" s="6373"/>
      <c r="B264" s="2500">
        <v>48</v>
      </c>
      <c r="C264" s="2501">
        <v>6</v>
      </c>
      <c r="D264" s="2484">
        <f t="shared" si="0"/>
        <v>8</v>
      </c>
      <c r="E264" s="2502" t="s">
        <v>9187</v>
      </c>
      <c r="F264" s="2503"/>
      <c r="G264" s="2503"/>
      <c r="H264" s="2503"/>
      <c r="I264" s="2504"/>
      <c r="J264" s="2505"/>
      <c r="K264" s="2090"/>
      <c r="L264" s="6373"/>
      <c r="M264" s="2523" t="s">
        <v>9176</v>
      </c>
      <c r="N264" s="2524"/>
      <c r="O264" s="2525"/>
      <c r="P264" s="2526"/>
      <c r="Q264" s="2527"/>
      <c r="R264" s="871">
        <v>1</v>
      </c>
      <c r="S264" s="871">
        <v>1</v>
      </c>
      <c r="T264" s="871">
        <v>1</v>
      </c>
      <c r="U264" s="871">
        <v>1</v>
      </c>
      <c r="V264" s="871">
        <v>1</v>
      </c>
      <c r="W264" s="871">
        <v>1</v>
      </c>
      <c r="X264" s="871">
        <v>1</v>
      </c>
      <c r="Y264" s="871">
        <v>1</v>
      </c>
      <c r="Z264" s="871">
        <v>1</v>
      </c>
      <c r="AA264" s="871">
        <v>1</v>
      </c>
    </row>
    <row r="265" spans="1:27" s="2072" customFormat="1">
      <c r="A265" s="6373"/>
      <c r="B265" s="2500">
        <v>1</v>
      </c>
      <c r="C265" s="2501">
        <v>0.25</v>
      </c>
      <c r="D265" s="2484">
        <f t="shared" si="0"/>
        <v>4</v>
      </c>
      <c r="E265" s="2502" t="s">
        <v>9188</v>
      </c>
      <c r="F265" s="2503"/>
      <c r="G265" s="2503"/>
      <c r="H265" s="2503"/>
      <c r="I265" s="2504"/>
      <c r="J265" s="2505"/>
      <c r="K265" s="2090"/>
      <c r="L265" s="6373"/>
      <c r="M265" s="2528" t="s">
        <v>9189</v>
      </c>
      <c r="N265" s="2524"/>
      <c r="O265" s="2525"/>
      <c r="P265" s="2526"/>
      <c r="Q265" s="2527"/>
      <c r="R265" s="871">
        <v>1</v>
      </c>
      <c r="S265" s="871">
        <v>1</v>
      </c>
      <c r="T265" s="871">
        <v>1</v>
      </c>
      <c r="U265" s="871">
        <v>1</v>
      </c>
      <c r="V265" s="871">
        <v>1</v>
      </c>
      <c r="W265" s="871">
        <v>1</v>
      </c>
      <c r="X265" s="871">
        <v>1</v>
      </c>
      <c r="Y265" s="871">
        <v>1</v>
      </c>
      <c r="Z265" s="871">
        <v>1</v>
      </c>
      <c r="AA265" s="871">
        <v>1</v>
      </c>
    </row>
    <row r="266" spans="1:27" s="2072" customFormat="1">
      <c r="A266" s="6373"/>
      <c r="B266" s="2500">
        <v>25</v>
      </c>
      <c r="C266" s="2501">
        <v>1</v>
      </c>
      <c r="D266" s="2484">
        <f t="shared" si="0"/>
        <v>25</v>
      </c>
      <c r="E266" s="2502" t="s">
        <v>9190</v>
      </c>
      <c r="F266" s="2503"/>
      <c r="G266" s="2503"/>
      <c r="H266" s="2503"/>
      <c r="I266" s="2504"/>
      <c r="J266" s="2505"/>
      <c r="K266" s="2090"/>
      <c r="L266" s="6373"/>
      <c r="M266" s="6365" t="s">
        <v>4242</v>
      </c>
      <c r="N266" s="6366"/>
      <c r="O266" s="6366"/>
      <c r="P266" s="2529"/>
      <c r="Q266" s="6369" t="s">
        <v>9181</v>
      </c>
      <c r="R266" s="871">
        <v>1</v>
      </c>
      <c r="S266" s="871">
        <v>1</v>
      </c>
      <c r="T266" s="871">
        <v>1</v>
      </c>
      <c r="U266" s="871">
        <v>1</v>
      </c>
      <c r="V266" s="871">
        <v>1</v>
      </c>
      <c r="W266" s="871">
        <v>1</v>
      </c>
      <c r="X266" s="871">
        <v>1</v>
      </c>
      <c r="Y266" s="871">
        <v>1</v>
      </c>
      <c r="Z266" s="871">
        <v>1</v>
      </c>
      <c r="AA266" s="871">
        <v>1</v>
      </c>
    </row>
    <row r="267" spans="1:27" s="2072" customFormat="1">
      <c r="A267" s="6373"/>
      <c r="B267" s="2530"/>
      <c r="C267" s="2531"/>
      <c r="D267" s="2484"/>
      <c r="E267" s="2532"/>
      <c r="F267" s="2503"/>
      <c r="G267" s="2503"/>
      <c r="H267" s="2503"/>
      <c r="I267" s="2504"/>
      <c r="J267" s="2505"/>
      <c r="K267" s="2090"/>
      <c r="L267" s="6373"/>
      <c r="M267" s="6367"/>
      <c r="N267" s="6368"/>
      <c r="O267" s="6368"/>
      <c r="P267" s="2533" t="s">
        <v>851</v>
      </c>
      <c r="Q267" s="6364"/>
      <c r="R267" s="871">
        <v>1</v>
      </c>
      <c r="S267" s="871">
        <v>1</v>
      </c>
      <c r="T267" s="871">
        <v>1</v>
      </c>
      <c r="U267" s="871">
        <v>1</v>
      </c>
      <c r="V267" s="871">
        <v>1</v>
      </c>
      <c r="W267" s="871">
        <v>1</v>
      </c>
      <c r="X267" s="871">
        <v>1</v>
      </c>
      <c r="Y267" s="871">
        <v>1</v>
      </c>
      <c r="Z267" s="871">
        <v>1</v>
      </c>
      <c r="AA267" s="871">
        <v>1</v>
      </c>
    </row>
    <row r="268" spans="1:27" s="2072" customFormat="1" ht="15" customHeight="1">
      <c r="A268" s="6373"/>
      <c r="B268" s="2534" t="s">
        <v>9191</v>
      </c>
      <c r="C268" s="2531"/>
      <c r="D268" s="2484"/>
      <c r="E268" s="2532"/>
      <c r="F268" s="2503"/>
      <c r="G268" s="2503"/>
      <c r="H268" s="2503"/>
      <c r="I268" s="2504"/>
      <c r="J268" s="2505"/>
      <c r="K268" s="2090"/>
      <c r="L268" s="6373"/>
      <c r="M268" s="2535" t="s">
        <v>9192</v>
      </c>
      <c r="N268" s="2536"/>
      <c r="O268" s="2525">
        <v>0.9</v>
      </c>
      <c r="P268" s="2526">
        <v>7</v>
      </c>
      <c r="Q268" s="2527">
        <f>O268/P268</f>
        <v>0.12857142857142859</v>
      </c>
      <c r="R268" s="871">
        <v>1</v>
      </c>
      <c r="S268" s="871">
        <v>1</v>
      </c>
      <c r="T268" s="871">
        <v>1</v>
      </c>
      <c r="U268" s="871">
        <v>1</v>
      </c>
      <c r="V268" s="871">
        <v>1</v>
      </c>
      <c r="W268" s="871">
        <v>1</v>
      </c>
      <c r="X268" s="871">
        <v>1</v>
      </c>
      <c r="Y268" s="871">
        <v>1</v>
      </c>
      <c r="Z268" s="871">
        <v>1</v>
      </c>
      <c r="AA268" s="871">
        <v>1</v>
      </c>
    </row>
    <row r="269" spans="1:27" s="2072" customFormat="1" ht="15" customHeight="1">
      <c r="A269" s="6373"/>
      <c r="B269" s="6381" t="s">
        <v>9193</v>
      </c>
      <c r="C269" s="6382"/>
      <c r="D269" s="6382"/>
      <c r="E269" s="6382"/>
      <c r="F269" s="6382"/>
      <c r="G269" s="6382"/>
      <c r="H269" s="6382"/>
      <c r="I269" s="6382"/>
      <c r="J269" s="6383"/>
      <c r="K269" s="2090"/>
      <c r="L269" s="6373"/>
      <c r="M269" s="2535" t="s">
        <v>9194</v>
      </c>
      <c r="N269" s="2536"/>
      <c r="O269" s="2525">
        <v>3.5</v>
      </c>
      <c r="P269" s="2526">
        <v>20</v>
      </c>
      <c r="Q269" s="2527">
        <f>O269/P269</f>
        <v>0.17499999999999999</v>
      </c>
      <c r="R269" s="871">
        <v>1</v>
      </c>
      <c r="S269" s="871">
        <v>1</v>
      </c>
      <c r="T269" s="871">
        <v>1</v>
      </c>
      <c r="U269" s="871">
        <v>1</v>
      </c>
      <c r="V269" s="871">
        <v>1</v>
      </c>
      <c r="W269" s="871">
        <v>1</v>
      </c>
      <c r="X269" s="871">
        <v>1</v>
      </c>
      <c r="Y269" s="871">
        <v>1</v>
      </c>
      <c r="Z269" s="871">
        <v>1</v>
      </c>
      <c r="AA269" s="871">
        <v>1</v>
      </c>
    </row>
    <row r="270" spans="1:27" s="2072" customFormat="1" ht="15" customHeight="1">
      <c r="A270" s="6373"/>
      <c r="B270" s="6381"/>
      <c r="C270" s="6382"/>
      <c r="D270" s="6382"/>
      <c r="E270" s="6382"/>
      <c r="F270" s="6382"/>
      <c r="G270" s="6382"/>
      <c r="H270" s="6382"/>
      <c r="I270" s="6382"/>
      <c r="J270" s="6383"/>
      <c r="K270" s="2090"/>
      <c r="L270" s="6373"/>
      <c r="M270" s="2519"/>
      <c r="N270" s="2520"/>
      <c r="O270" s="2521"/>
      <c r="P270" s="2521"/>
      <c r="Q270" s="2522"/>
      <c r="R270" s="871">
        <v>1</v>
      </c>
      <c r="S270" s="871">
        <v>1</v>
      </c>
      <c r="T270" s="871">
        <v>1</v>
      </c>
      <c r="U270" s="871">
        <v>1</v>
      </c>
      <c r="V270" s="871">
        <v>1</v>
      </c>
      <c r="W270" s="871">
        <v>1</v>
      </c>
      <c r="X270" s="871">
        <v>1</v>
      </c>
      <c r="Y270" s="871">
        <v>1</v>
      </c>
      <c r="Z270" s="871">
        <v>1</v>
      </c>
      <c r="AA270" s="871">
        <v>1</v>
      </c>
    </row>
    <row r="271" spans="1:27" s="2072" customFormat="1" thickBot="1">
      <c r="A271" s="6373"/>
      <c r="B271" s="6384"/>
      <c r="C271" s="6385"/>
      <c r="D271" s="6385"/>
      <c r="E271" s="6385"/>
      <c r="F271" s="6385"/>
      <c r="G271" s="6385"/>
      <c r="H271" s="6385"/>
      <c r="I271" s="6385"/>
      <c r="J271" s="6386"/>
      <c r="K271" s="2090"/>
      <c r="L271" s="6373"/>
      <c r="M271" s="2537" t="s">
        <v>9169</v>
      </c>
      <c r="N271" s="2538"/>
      <c r="O271" s="2538"/>
      <c r="P271" s="2538"/>
      <c r="Q271" s="2539"/>
      <c r="R271" s="871">
        <v>1</v>
      </c>
      <c r="S271" s="871">
        <v>1</v>
      </c>
      <c r="T271" s="871">
        <v>1</v>
      </c>
      <c r="U271" s="871">
        <v>1</v>
      </c>
      <c r="V271" s="871">
        <v>1</v>
      </c>
      <c r="W271" s="871">
        <v>1</v>
      </c>
      <c r="X271" s="871">
        <v>1</v>
      </c>
      <c r="Y271" s="871">
        <v>1</v>
      </c>
      <c r="Z271" s="871">
        <v>1</v>
      </c>
      <c r="AA271" s="871">
        <v>1</v>
      </c>
    </row>
    <row r="272" spans="1:27" s="2072" customFormat="1" thickBot="1">
      <c r="A272" s="2090"/>
      <c r="B272" s="2091"/>
      <c r="C272" s="2091"/>
      <c r="D272" s="2091"/>
      <c r="E272" s="2091"/>
      <c r="F272" s="2091"/>
      <c r="G272" s="2091"/>
      <c r="H272" s="2091"/>
      <c r="I272" s="2091"/>
      <c r="J272" s="2091"/>
      <c r="K272" s="2091"/>
      <c r="L272" s="6373"/>
      <c r="M272" s="2540"/>
      <c r="N272" s="2541"/>
      <c r="O272" s="2542"/>
      <c r="P272" s="2541"/>
      <c r="Q272" s="2137"/>
      <c r="R272" s="871">
        <v>1</v>
      </c>
      <c r="S272" s="871">
        <v>1</v>
      </c>
      <c r="T272" s="871">
        <v>1</v>
      </c>
      <c r="U272" s="871">
        <v>1</v>
      </c>
      <c r="V272" s="871">
        <v>1</v>
      </c>
      <c r="W272" s="871">
        <v>1</v>
      </c>
      <c r="X272" s="871">
        <v>1</v>
      </c>
      <c r="Y272" s="871">
        <v>1</v>
      </c>
      <c r="Z272" s="871">
        <v>1</v>
      </c>
      <c r="AA272" s="871">
        <v>1</v>
      </c>
    </row>
    <row r="273" spans="1:27" s="2072" customFormat="1" ht="15.75" customHeight="1" thickBot="1">
      <c r="A273" s="2090"/>
      <c r="B273" s="2124"/>
      <c r="C273" s="2124"/>
      <c r="D273" s="2124"/>
      <c r="E273" s="2124"/>
      <c r="F273" s="2124"/>
      <c r="G273" s="2124"/>
      <c r="H273" s="2091"/>
      <c r="I273" s="2134"/>
      <c r="J273" s="2134"/>
      <c r="K273" s="2135"/>
      <c r="L273" s="2135"/>
      <c r="M273" s="2134"/>
      <c r="N273" s="2134"/>
      <c r="O273" s="2090"/>
      <c r="P273" s="2090"/>
      <c r="Q273" s="2090"/>
      <c r="R273" s="871">
        <v>1</v>
      </c>
      <c r="S273" s="871">
        <v>1</v>
      </c>
      <c r="T273" s="871">
        <v>1</v>
      </c>
      <c r="U273" s="871">
        <v>1</v>
      </c>
      <c r="V273" s="871">
        <v>1</v>
      </c>
      <c r="W273" s="871">
        <v>1</v>
      </c>
      <c r="X273" s="871">
        <v>1</v>
      </c>
      <c r="Y273" s="871">
        <v>1</v>
      </c>
      <c r="Z273" s="871">
        <v>1</v>
      </c>
      <c r="AA273" s="871">
        <v>1</v>
      </c>
    </row>
    <row r="274" spans="1:27" s="2072" customFormat="1" ht="15">
      <c r="A274" s="6387" t="s">
        <v>167</v>
      </c>
      <c r="B274" s="6389" t="s">
        <v>9018</v>
      </c>
      <c r="C274" s="6390"/>
      <c r="D274" s="6390"/>
      <c r="E274" s="6390"/>
      <c r="F274" s="6390"/>
      <c r="G274" s="6390"/>
      <c r="H274" s="6390"/>
      <c r="I274" s="6390"/>
      <c r="J274" s="6390"/>
      <c r="K274" s="6390"/>
      <c r="L274" s="6390"/>
      <c r="M274" s="6390"/>
      <c r="N274" s="6393">
        <v>1</v>
      </c>
      <c r="O274" s="2090"/>
      <c r="P274" s="2090"/>
      <c r="Q274" s="2090"/>
      <c r="R274" s="871">
        <v>1</v>
      </c>
      <c r="S274" s="871">
        <v>1</v>
      </c>
      <c r="T274" s="871">
        <v>1</v>
      </c>
      <c r="U274" s="871">
        <v>1</v>
      </c>
      <c r="V274" s="871">
        <v>1</v>
      </c>
      <c r="W274" s="871">
        <v>1</v>
      </c>
      <c r="X274" s="871">
        <v>1</v>
      </c>
      <c r="Y274" s="871">
        <v>1</v>
      </c>
      <c r="Z274" s="871">
        <v>1</v>
      </c>
      <c r="AA274" s="871">
        <v>1</v>
      </c>
    </row>
    <row r="275" spans="1:27" s="2072" customFormat="1" ht="15">
      <c r="A275" s="6388"/>
      <c r="B275" s="6391"/>
      <c r="C275" s="6392"/>
      <c r="D275" s="6392"/>
      <c r="E275" s="6392"/>
      <c r="F275" s="6392"/>
      <c r="G275" s="6392"/>
      <c r="H275" s="6392"/>
      <c r="I275" s="6392"/>
      <c r="J275" s="6392"/>
      <c r="K275" s="6392"/>
      <c r="L275" s="6392"/>
      <c r="M275" s="6392"/>
      <c r="N275" s="6394"/>
      <c r="O275" s="2090"/>
      <c r="P275" s="2090"/>
      <c r="Q275" s="2090"/>
      <c r="R275" s="871">
        <v>1</v>
      </c>
      <c r="S275" s="871">
        <v>1</v>
      </c>
      <c r="T275" s="871">
        <v>1</v>
      </c>
      <c r="U275" s="871">
        <v>1</v>
      </c>
      <c r="V275" s="871">
        <v>1</v>
      </c>
      <c r="W275" s="871">
        <v>1</v>
      </c>
      <c r="X275" s="871">
        <v>1</v>
      </c>
      <c r="Y275" s="871">
        <v>1</v>
      </c>
      <c r="Z275" s="871">
        <v>1</v>
      </c>
      <c r="AA275" s="871">
        <v>1</v>
      </c>
    </row>
    <row r="276" spans="1:27" s="2072" customFormat="1">
      <c r="A276" s="6395" t="str">
        <f>B274</f>
        <v>QUANTITÉS A SERVIR OU A COMMANDER</v>
      </c>
      <c r="B276" s="2543" t="str">
        <f>ADDRESS(ROW(),COLUMN(),4)</f>
        <v>B276</v>
      </c>
      <c r="C276" s="2544" t="s">
        <v>3529</v>
      </c>
      <c r="D276" s="2545"/>
      <c r="E276" s="2545"/>
      <c r="F276" s="2545"/>
      <c r="G276" s="2545"/>
      <c r="H276" s="2545"/>
      <c r="I276" s="2545"/>
      <c r="J276" s="2545"/>
      <c r="K276" s="2545"/>
      <c r="L276" s="2545"/>
      <c r="M276" s="2545"/>
      <c r="N276" s="2546"/>
      <c r="O276" s="2090"/>
      <c r="P276" s="2090"/>
      <c r="Q276" s="2090"/>
      <c r="R276" s="871">
        <v>1</v>
      </c>
      <c r="S276" s="871">
        <v>1</v>
      </c>
      <c r="T276" s="871">
        <v>1</v>
      </c>
      <c r="U276" s="871">
        <v>1</v>
      </c>
      <c r="V276" s="871">
        <v>1</v>
      </c>
      <c r="W276" s="871">
        <v>1</v>
      </c>
      <c r="X276" s="871">
        <v>1</v>
      </c>
      <c r="Y276" s="871">
        <v>1</v>
      </c>
      <c r="Z276" s="871">
        <v>1</v>
      </c>
      <c r="AA276" s="871">
        <v>1</v>
      </c>
    </row>
    <row r="277" spans="1:27" s="2072" customFormat="1" ht="20.25">
      <c r="A277" s="6395"/>
      <c r="B277" s="6396" t="s">
        <v>9195</v>
      </c>
      <c r="C277" s="6397"/>
      <c r="D277" s="6397"/>
      <c r="E277" s="6397"/>
      <c r="F277" s="6397"/>
      <c r="G277" s="6397"/>
      <c r="H277" s="6397"/>
      <c r="I277" s="6397"/>
      <c r="J277" s="6397"/>
      <c r="K277" s="6397"/>
      <c r="L277" s="6397"/>
      <c r="M277" s="6397"/>
      <c r="N277" s="6398"/>
      <c r="O277" s="2090"/>
      <c r="P277" s="2090"/>
      <c r="Q277" s="2090"/>
      <c r="R277" s="871">
        <v>1</v>
      </c>
      <c r="S277" s="871">
        <v>1</v>
      </c>
      <c r="T277" s="871">
        <v>1</v>
      </c>
      <c r="U277" s="871">
        <v>1</v>
      </c>
      <c r="V277" s="871">
        <v>1</v>
      </c>
      <c r="W277" s="871">
        <v>1</v>
      </c>
      <c r="X277" s="871">
        <v>1</v>
      </c>
      <c r="Y277" s="871">
        <v>1</v>
      </c>
      <c r="Z277" s="871">
        <v>1</v>
      </c>
      <c r="AA277" s="871">
        <v>1</v>
      </c>
    </row>
    <row r="278" spans="1:27" s="2072" customFormat="1" ht="15">
      <c r="A278" s="6395"/>
      <c r="B278" s="6399" t="s">
        <v>9196</v>
      </c>
      <c r="C278" s="6400"/>
      <c r="D278" s="6400"/>
      <c r="E278" s="6400"/>
      <c r="F278" s="6400"/>
      <c r="G278" s="6400"/>
      <c r="H278" s="6400"/>
      <c r="I278" s="6400"/>
      <c r="J278" s="6400"/>
      <c r="K278" s="6400"/>
      <c r="L278" s="6400"/>
      <c r="M278" s="6400"/>
      <c r="N278" s="6401"/>
      <c r="O278" s="2090"/>
      <c r="P278" s="2090"/>
      <c r="Q278" s="2090"/>
      <c r="R278" s="871">
        <v>1</v>
      </c>
      <c r="S278" s="871">
        <v>1</v>
      </c>
      <c r="T278" s="871">
        <v>1</v>
      </c>
      <c r="U278" s="871">
        <v>1</v>
      </c>
      <c r="V278" s="871">
        <v>1</v>
      </c>
      <c r="W278" s="871">
        <v>1</v>
      </c>
      <c r="X278" s="871">
        <v>1</v>
      </c>
      <c r="Y278" s="871">
        <v>1</v>
      </c>
      <c r="Z278" s="871">
        <v>1</v>
      </c>
      <c r="AA278" s="871">
        <v>1</v>
      </c>
    </row>
    <row r="279" spans="1:27" s="2072" customFormat="1" ht="15">
      <c r="A279" s="6395"/>
      <c r="B279" s="6399"/>
      <c r="C279" s="6400"/>
      <c r="D279" s="6400"/>
      <c r="E279" s="6400"/>
      <c r="F279" s="6400"/>
      <c r="G279" s="6400"/>
      <c r="H279" s="6400"/>
      <c r="I279" s="6400"/>
      <c r="J279" s="6400"/>
      <c r="K279" s="6400"/>
      <c r="L279" s="6400"/>
      <c r="M279" s="6400"/>
      <c r="N279" s="6401"/>
      <c r="O279" s="2090"/>
      <c r="P279" s="2090"/>
      <c r="Q279" s="2090"/>
      <c r="R279" s="871">
        <v>1</v>
      </c>
      <c r="S279" s="871">
        <v>1</v>
      </c>
      <c r="T279" s="871">
        <v>1</v>
      </c>
      <c r="U279" s="871">
        <v>1</v>
      </c>
      <c r="V279" s="871">
        <v>1</v>
      </c>
      <c r="W279" s="871">
        <v>1</v>
      </c>
      <c r="X279" s="871">
        <v>1</v>
      </c>
      <c r="Y279" s="871">
        <v>1</v>
      </c>
      <c r="Z279" s="871">
        <v>1</v>
      </c>
      <c r="AA279" s="871">
        <v>1</v>
      </c>
    </row>
    <row r="280" spans="1:27" s="2072" customFormat="1" ht="15">
      <c r="A280" s="6395"/>
      <c r="B280" s="6399"/>
      <c r="C280" s="6400"/>
      <c r="D280" s="6400"/>
      <c r="E280" s="6400"/>
      <c r="F280" s="6400"/>
      <c r="G280" s="6400"/>
      <c r="H280" s="6400"/>
      <c r="I280" s="6400"/>
      <c r="J280" s="6400"/>
      <c r="K280" s="6400"/>
      <c r="L280" s="6400"/>
      <c r="M280" s="6400"/>
      <c r="N280" s="6401"/>
      <c r="O280" s="2090"/>
      <c r="P280" s="2090"/>
      <c r="Q280" s="2090"/>
      <c r="R280" s="871">
        <v>1</v>
      </c>
      <c r="S280" s="871">
        <v>1</v>
      </c>
      <c r="T280" s="871">
        <v>1</v>
      </c>
      <c r="U280" s="871">
        <v>1</v>
      </c>
      <c r="V280" s="871">
        <v>1</v>
      </c>
      <c r="W280" s="871">
        <v>1</v>
      </c>
      <c r="X280" s="871">
        <v>1</v>
      </c>
      <c r="Y280" s="871">
        <v>1</v>
      </c>
      <c r="Z280" s="871">
        <v>1</v>
      </c>
      <c r="AA280" s="871">
        <v>1</v>
      </c>
    </row>
    <row r="281" spans="1:27" s="2072" customFormat="1" ht="15">
      <c r="A281" s="6395"/>
      <c r="B281" s="6399"/>
      <c r="C281" s="6400"/>
      <c r="D281" s="6400"/>
      <c r="E281" s="6400"/>
      <c r="F281" s="6400"/>
      <c r="G281" s="6400"/>
      <c r="H281" s="6400"/>
      <c r="I281" s="6400"/>
      <c r="J281" s="6400"/>
      <c r="K281" s="6400"/>
      <c r="L281" s="6400"/>
      <c r="M281" s="6400"/>
      <c r="N281" s="6401"/>
      <c r="O281" s="2090"/>
      <c r="P281" s="2090"/>
      <c r="Q281" s="2090"/>
      <c r="R281" s="871">
        <v>1</v>
      </c>
      <c r="S281" s="871">
        <v>1</v>
      </c>
      <c r="T281" s="871">
        <v>1</v>
      </c>
      <c r="U281" s="871">
        <v>1</v>
      </c>
      <c r="V281" s="871">
        <v>1</v>
      </c>
      <c r="W281" s="871">
        <v>1</v>
      </c>
      <c r="X281" s="871">
        <v>1</v>
      </c>
      <c r="Y281" s="871">
        <v>1</v>
      </c>
      <c r="Z281" s="871">
        <v>1</v>
      </c>
      <c r="AA281" s="871">
        <v>1</v>
      </c>
    </row>
    <row r="282" spans="1:27" s="2072" customFormat="1" ht="15">
      <c r="A282" s="6395"/>
      <c r="B282" s="6402"/>
      <c r="C282" s="6403"/>
      <c r="D282" s="6403"/>
      <c r="E282" s="6403"/>
      <c r="F282" s="6403"/>
      <c r="G282" s="6403"/>
      <c r="H282" s="6403"/>
      <c r="I282" s="6403"/>
      <c r="J282" s="6403"/>
      <c r="K282" s="6403"/>
      <c r="L282" s="6403"/>
      <c r="M282" s="6403"/>
      <c r="N282" s="6404"/>
      <c r="O282" s="2090"/>
      <c r="P282" s="2090"/>
      <c r="Q282" s="2090"/>
      <c r="R282" s="871">
        <v>1</v>
      </c>
      <c r="S282" s="871">
        <v>1</v>
      </c>
      <c r="T282" s="871">
        <v>1</v>
      </c>
      <c r="U282" s="871">
        <v>1</v>
      </c>
      <c r="V282" s="871">
        <v>1</v>
      </c>
      <c r="W282" s="871">
        <v>1</v>
      </c>
      <c r="X282" s="871">
        <v>1</v>
      </c>
      <c r="Y282" s="871">
        <v>1</v>
      </c>
      <c r="Z282" s="871">
        <v>1</v>
      </c>
      <c r="AA282" s="871">
        <v>1</v>
      </c>
    </row>
    <row r="283" spans="1:27" s="2072" customFormat="1" ht="15">
      <c r="A283" s="6395"/>
      <c r="B283" s="2547"/>
      <c r="C283" s="2548"/>
      <c r="D283" s="2548"/>
      <c r="E283" s="2548"/>
      <c r="F283" s="2548"/>
      <c r="G283" s="2548"/>
      <c r="H283" s="2548"/>
      <c r="I283" s="2548"/>
      <c r="J283" s="2548"/>
      <c r="K283" s="2548"/>
      <c r="L283" s="6405" t="s">
        <v>2851</v>
      </c>
      <c r="M283" s="6405"/>
      <c r="N283" s="2549"/>
      <c r="O283" s="2090"/>
      <c r="P283" s="2090"/>
      <c r="Q283" s="2090"/>
      <c r="R283" s="871">
        <v>1</v>
      </c>
      <c r="S283" s="871">
        <v>1</v>
      </c>
      <c r="T283" s="871">
        <v>1</v>
      </c>
      <c r="U283" s="871">
        <v>1</v>
      </c>
      <c r="V283" s="871">
        <v>1</v>
      </c>
      <c r="W283" s="871">
        <v>1</v>
      </c>
      <c r="X283" s="871">
        <v>1</v>
      </c>
      <c r="Y283" s="871">
        <v>1</v>
      </c>
      <c r="Z283" s="871">
        <v>1</v>
      </c>
      <c r="AA283" s="871">
        <v>1</v>
      </c>
    </row>
    <row r="284" spans="1:27" s="2072" customFormat="1">
      <c r="A284" s="6395"/>
      <c r="B284" s="2548"/>
      <c r="C284" s="2548"/>
      <c r="D284" s="2548"/>
      <c r="E284" s="2548"/>
      <c r="F284" s="2548"/>
      <c r="G284" s="2548"/>
      <c r="H284" s="2548"/>
      <c r="I284" s="2548"/>
      <c r="J284" s="2548"/>
      <c r="K284" s="2550" t="s">
        <v>9197</v>
      </c>
      <c r="L284" s="6406" t="s">
        <v>298</v>
      </c>
      <c r="M284" s="6407"/>
      <c r="N284" s="2549"/>
      <c r="O284" s="2090"/>
      <c r="P284" s="2090"/>
      <c r="Q284" s="2090"/>
      <c r="R284" s="871">
        <v>1</v>
      </c>
      <c r="S284" s="871">
        <v>1</v>
      </c>
      <c r="T284" s="871">
        <v>1</v>
      </c>
      <c r="U284" s="871">
        <v>1</v>
      </c>
      <c r="V284" s="871">
        <v>1</v>
      </c>
      <c r="W284" s="871">
        <v>1</v>
      </c>
      <c r="X284" s="871">
        <v>1</v>
      </c>
      <c r="Y284" s="871">
        <v>1</v>
      </c>
      <c r="Z284" s="871">
        <v>1</v>
      </c>
      <c r="AA284" s="871">
        <v>1</v>
      </c>
    </row>
    <row r="285" spans="1:27" s="2072" customFormat="1" ht="15">
      <c r="A285" s="6395"/>
      <c r="B285" s="2547"/>
      <c r="C285" s="2548"/>
      <c r="D285" s="2548"/>
      <c r="E285" s="2548"/>
      <c r="F285" s="2548"/>
      <c r="G285" s="2548"/>
      <c r="H285" s="2548"/>
      <c r="I285" s="2548"/>
      <c r="J285" s="2548"/>
      <c r="K285" s="2548"/>
      <c r="L285" s="2548"/>
      <c r="M285" s="2551"/>
      <c r="N285" s="2549"/>
      <c r="O285" s="2090"/>
      <c r="P285" s="2090"/>
      <c r="Q285" s="2090"/>
      <c r="R285" s="871">
        <v>1</v>
      </c>
      <c r="S285" s="871">
        <v>1</v>
      </c>
      <c r="T285" s="871">
        <v>1</v>
      </c>
      <c r="U285" s="871">
        <v>1</v>
      </c>
      <c r="V285" s="871">
        <v>1</v>
      </c>
      <c r="W285" s="871">
        <v>1</v>
      </c>
      <c r="X285" s="871">
        <v>1</v>
      </c>
      <c r="Y285" s="871">
        <v>1</v>
      </c>
      <c r="Z285" s="871">
        <v>1</v>
      </c>
      <c r="AA285" s="871">
        <v>1</v>
      </c>
    </row>
    <row r="286" spans="1:27" s="2072" customFormat="1" ht="18">
      <c r="A286" s="6395"/>
      <c r="B286" s="2547"/>
      <c r="C286" s="2548"/>
      <c r="D286" s="2548"/>
      <c r="E286" s="2548"/>
      <c r="F286" s="2552" t="s">
        <v>9198</v>
      </c>
      <c r="G286" s="2553" t="s">
        <v>9086</v>
      </c>
      <c r="H286" s="2554" t="s">
        <v>9087</v>
      </c>
      <c r="I286" s="2555" t="s">
        <v>9088</v>
      </c>
      <c r="J286" s="2554" t="s">
        <v>9089</v>
      </c>
      <c r="K286" s="2554" t="s">
        <v>9154</v>
      </c>
      <c r="L286" s="2548"/>
      <c r="M286" s="2548"/>
      <c r="N286" s="2549"/>
      <c r="O286" s="2090"/>
      <c r="P286" s="2090"/>
      <c r="Q286" s="2090"/>
      <c r="R286" s="871">
        <v>1</v>
      </c>
      <c r="S286" s="871">
        <v>1</v>
      </c>
      <c r="T286" s="871">
        <v>1</v>
      </c>
      <c r="U286" s="871">
        <v>1</v>
      </c>
      <c r="V286" s="871">
        <v>1</v>
      </c>
      <c r="W286" s="871">
        <v>1</v>
      </c>
      <c r="X286" s="871">
        <v>1</v>
      </c>
      <c r="Y286" s="871">
        <v>1</v>
      </c>
      <c r="Z286" s="871">
        <v>1</v>
      </c>
      <c r="AA286" s="871">
        <v>1</v>
      </c>
    </row>
    <row r="287" spans="1:27" s="2072" customFormat="1" ht="18.75">
      <c r="A287" s="6395"/>
      <c r="B287" s="2547"/>
      <c r="C287" s="2548"/>
      <c r="D287" s="2548"/>
      <c r="E287" s="2548"/>
      <c r="F287" s="2556" t="s">
        <v>9199</v>
      </c>
      <c r="G287" s="2557">
        <v>50</v>
      </c>
      <c r="H287" s="2557">
        <v>500</v>
      </c>
      <c r="I287" s="2557">
        <v>150</v>
      </c>
      <c r="J287" s="2557">
        <v>13</v>
      </c>
      <c r="K287" s="2557">
        <v>13</v>
      </c>
      <c r="L287" s="2558">
        <f>SUM(G287:K287)</f>
        <v>726</v>
      </c>
      <c r="M287" s="2559" t="s">
        <v>36</v>
      </c>
      <c r="N287" s="2549"/>
      <c r="O287" s="2090"/>
      <c r="P287" s="2090"/>
      <c r="Q287" s="2090"/>
      <c r="R287" s="871">
        <v>1</v>
      </c>
      <c r="S287" s="871">
        <v>1</v>
      </c>
      <c r="T287" s="871">
        <v>1</v>
      </c>
      <c r="U287" s="871">
        <v>1</v>
      </c>
      <c r="V287" s="871">
        <v>1</v>
      </c>
      <c r="W287" s="871">
        <v>1</v>
      </c>
      <c r="X287" s="871">
        <v>1</v>
      </c>
      <c r="Y287" s="871">
        <v>1</v>
      </c>
      <c r="Z287" s="871">
        <v>1</v>
      </c>
      <c r="AA287" s="871">
        <v>1</v>
      </c>
    </row>
    <row r="288" spans="1:27" s="2072" customFormat="1" ht="18.75">
      <c r="A288" s="6395"/>
      <c r="B288" s="2547"/>
      <c r="C288" s="2548"/>
      <c r="D288" s="2548"/>
      <c r="E288" s="2548"/>
      <c r="F288" s="2560" t="s">
        <v>9200</v>
      </c>
      <c r="G288" s="2561">
        <v>0.5</v>
      </c>
      <c r="H288" s="2561">
        <v>1</v>
      </c>
      <c r="I288" s="2561">
        <v>1</v>
      </c>
      <c r="J288" s="2561">
        <v>2</v>
      </c>
      <c r="K288" s="2561">
        <v>1</v>
      </c>
      <c r="L288" s="2562">
        <f>SUM(G288:K288)/COUNTIF(G288:K288,"&gt;0")</f>
        <v>1.1000000000000001</v>
      </c>
      <c r="M288" s="2559" t="s">
        <v>9201</v>
      </c>
      <c r="N288" s="2549"/>
      <c r="O288" s="2090"/>
      <c r="P288" s="2090"/>
      <c r="Q288" s="2090"/>
      <c r="R288" s="871">
        <v>1</v>
      </c>
      <c r="S288" s="871">
        <v>1</v>
      </c>
      <c r="T288" s="871">
        <v>1</v>
      </c>
      <c r="U288" s="871">
        <v>1</v>
      </c>
      <c r="V288" s="871">
        <v>1</v>
      </c>
      <c r="W288" s="871">
        <v>1</v>
      </c>
      <c r="X288" s="871">
        <v>1</v>
      </c>
      <c r="Y288" s="871">
        <v>1</v>
      </c>
      <c r="Z288" s="871">
        <v>1</v>
      </c>
      <c r="AA288" s="871">
        <v>1</v>
      </c>
    </row>
    <row r="289" spans="1:27" s="2072" customFormat="1" ht="18">
      <c r="A289" s="6395"/>
      <c r="B289" s="2547"/>
      <c r="C289" s="2548"/>
      <c r="D289" s="2548"/>
      <c r="E289" s="2548"/>
      <c r="F289" s="2563" t="s">
        <v>9202</v>
      </c>
      <c r="G289" s="2564">
        <f>G288*G287</f>
        <v>25</v>
      </c>
      <c r="H289" s="2565">
        <f>H288*H287</f>
        <v>500</v>
      </c>
      <c r="I289" s="2565">
        <f>I288*I287</f>
        <v>150</v>
      </c>
      <c r="J289" s="2565">
        <f>J288*J287</f>
        <v>26</v>
      </c>
      <c r="K289" s="2565">
        <f>K288*K287</f>
        <v>13</v>
      </c>
      <c r="L289" s="2558">
        <f>SUM(G289:K289)</f>
        <v>714</v>
      </c>
      <c r="M289" s="2559" t="str">
        <f>L284</f>
        <v>pommes</v>
      </c>
      <c r="N289" s="2549"/>
      <c r="O289" s="2090"/>
      <c r="P289" s="2090"/>
      <c r="Q289" s="2090"/>
      <c r="R289" s="871">
        <v>1</v>
      </c>
      <c r="S289" s="871">
        <v>1</v>
      </c>
      <c r="T289" s="871">
        <v>1</v>
      </c>
      <c r="U289" s="871">
        <v>1</v>
      </c>
      <c r="V289" s="871">
        <v>1</v>
      </c>
      <c r="W289" s="871">
        <v>1</v>
      </c>
      <c r="X289" s="871">
        <v>1</v>
      </c>
      <c r="Y289" s="871">
        <v>1</v>
      </c>
      <c r="Z289" s="871">
        <v>1</v>
      </c>
      <c r="AA289" s="871">
        <v>1</v>
      </c>
    </row>
    <row r="290" spans="1:27" s="2072" customFormat="1" ht="15">
      <c r="A290" s="6395"/>
      <c r="B290" s="2547"/>
      <c r="C290" s="2548"/>
      <c r="D290" s="2548"/>
      <c r="E290" s="2548"/>
      <c r="F290" s="2548"/>
      <c r="G290" s="2566" t="str">
        <f>L284</f>
        <v>pommes</v>
      </c>
      <c r="H290" s="2566" t="str">
        <f>L284</f>
        <v>pommes</v>
      </c>
      <c r="I290" s="2566" t="str">
        <f>L284</f>
        <v>pommes</v>
      </c>
      <c r="J290" s="2566" t="str">
        <f>L284</f>
        <v>pommes</v>
      </c>
      <c r="K290" s="2566" t="str">
        <f>L284</f>
        <v>pommes</v>
      </c>
      <c r="L290" s="2548"/>
      <c r="M290" s="2551"/>
      <c r="N290" s="2549"/>
      <c r="O290" s="2090"/>
      <c r="P290" s="2090"/>
      <c r="Q290" s="2090"/>
      <c r="R290" s="871">
        <v>1</v>
      </c>
      <c r="S290" s="871">
        <v>1</v>
      </c>
      <c r="T290" s="871">
        <v>1</v>
      </c>
      <c r="U290" s="871">
        <v>1</v>
      </c>
      <c r="V290" s="871">
        <v>1</v>
      </c>
      <c r="W290" s="871">
        <v>1</v>
      </c>
      <c r="X290" s="871">
        <v>1</v>
      </c>
      <c r="Y290" s="871">
        <v>1</v>
      </c>
      <c r="Z290" s="871">
        <v>1</v>
      </c>
      <c r="AA290" s="871">
        <v>1</v>
      </c>
    </row>
    <row r="291" spans="1:27" s="2072" customFormat="1" ht="18">
      <c r="A291" s="6395"/>
      <c r="B291" s="2567"/>
      <c r="C291" s="2568" t="s">
        <v>9203</v>
      </c>
      <c r="D291" s="2569">
        <v>10</v>
      </c>
      <c r="E291" s="2570" t="s">
        <v>17</v>
      </c>
      <c r="F291" s="2571"/>
      <c r="G291" s="2571"/>
      <c r="H291" s="2548"/>
      <c r="I291" s="2548"/>
      <c r="J291" s="2548"/>
      <c r="K291" s="2548"/>
      <c r="L291" s="2548"/>
      <c r="M291" s="2551"/>
      <c r="N291" s="2549"/>
      <c r="O291" s="2090"/>
      <c r="P291" s="2090"/>
      <c r="Q291" s="2090"/>
      <c r="R291" s="871">
        <v>1</v>
      </c>
      <c r="S291" s="871">
        <v>1</v>
      </c>
      <c r="T291" s="871">
        <v>1</v>
      </c>
      <c r="U291" s="871">
        <v>1</v>
      </c>
      <c r="V291" s="871">
        <v>1</v>
      </c>
      <c r="W291" s="871">
        <v>1</v>
      </c>
      <c r="X291" s="871">
        <v>1</v>
      </c>
      <c r="Y291" s="871">
        <v>1</v>
      </c>
      <c r="Z291" s="871">
        <v>1</v>
      </c>
      <c r="AA291" s="871">
        <v>1</v>
      </c>
    </row>
    <row r="292" spans="1:27" s="2072" customFormat="1" ht="18">
      <c r="A292" s="6395"/>
      <c r="B292" s="2547"/>
      <c r="C292" s="2548"/>
      <c r="D292" s="2548"/>
      <c r="E292" s="2548"/>
      <c r="F292" s="2563" t="s">
        <v>9204</v>
      </c>
      <c r="G292" s="2572">
        <f>G289/(100-D291)*100</f>
        <v>27.777777777777779</v>
      </c>
      <c r="H292" s="2572">
        <f>H289/(100-D291)*100</f>
        <v>555.55555555555554</v>
      </c>
      <c r="I292" s="2572">
        <f>I289/(100-D291)*100</f>
        <v>166.66666666666669</v>
      </c>
      <c r="J292" s="2572">
        <f>J289/(100-D291)*100</f>
        <v>28.888888888888886</v>
      </c>
      <c r="K292" s="2572">
        <f>K289/(100-D291)*100</f>
        <v>14.444444444444443</v>
      </c>
      <c r="L292" s="2573">
        <f>SUM(G292:K292)</f>
        <v>793.33333333333337</v>
      </c>
      <c r="M292" s="2559" t="str">
        <f>L284</f>
        <v>pommes</v>
      </c>
      <c r="N292" s="2549"/>
      <c r="O292" s="2090"/>
      <c r="P292" s="2090"/>
      <c r="Q292" s="2090"/>
      <c r="R292" s="871">
        <v>1</v>
      </c>
      <c r="S292" s="871">
        <v>1</v>
      </c>
      <c r="T292" s="871">
        <v>1</v>
      </c>
      <c r="U292" s="871">
        <v>1</v>
      </c>
      <c r="V292" s="871">
        <v>1</v>
      </c>
      <c r="W292" s="871">
        <v>1</v>
      </c>
      <c r="X292" s="871">
        <v>1</v>
      </c>
      <c r="Y292" s="871">
        <v>1</v>
      </c>
      <c r="Z292" s="871">
        <v>1</v>
      </c>
      <c r="AA292" s="871">
        <v>1</v>
      </c>
    </row>
    <row r="293" spans="1:27" s="2072" customFormat="1" ht="18">
      <c r="A293" s="6395"/>
      <c r="B293" s="2547"/>
      <c r="C293" s="2548"/>
      <c r="D293" s="2548"/>
      <c r="E293" s="2548"/>
      <c r="F293" s="2563"/>
      <c r="G293" s="2574" t="str">
        <f>L284</f>
        <v>pommes</v>
      </c>
      <c r="H293" s="2574" t="str">
        <f>L284</f>
        <v>pommes</v>
      </c>
      <c r="I293" s="2574" t="str">
        <f>L284</f>
        <v>pommes</v>
      </c>
      <c r="J293" s="2574" t="str">
        <f>L284</f>
        <v>pommes</v>
      </c>
      <c r="K293" s="2574" t="str">
        <f>L284</f>
        <v>pommes</v>
      </c>
      <c r="L293" s="2558"/>
      <c r="M293" s="2559"/>
      <c r="N293" s="2549"/>
      <c r="O293" s="2090"/>
      <c r="P293" s="2090"/>
      <c r="Q293" s="2090"/>
      <c r="R293" s="871">
        <v>1</v>
      </c>
      <c r="S293" s="871">
        <v>1</v>
      </c>
      <c r="T293" s="871">
        <v>1</v>
      </c>
      <c r="U293" s="871">
        <v>1</v>
      </c>
      <c r="V293" s="871">
        <v>1</v>
      </c>
      <c r="W293" s="871">
        <v>1</v>
      </c>
      <c r="X293" s="871">
        <v>1</v>
      </c>
      <c r="Y293" s="871">
        <v>1</v>
      </c>
      <c r="Z293" s="871">
        <v>1</v>
      </c>
      <c r="AA293" s="871">
        <v>1</v>
      </c>
    </row>
    <row r="294" spans="1:27" s="2072" customFormat="1" ht="15">
      <c r="A294" s="6395"/>
      <c r="B294" s="2575"/>
      <c r="C294" s="2576"/>
      <c r="D294" s="2576"/>
      <c r="E294" s="2576"/>
      <c r="F294" s="2576"/>
      <c r="G294" s="2576"/>
      <c r="H294" s="2576"/>
      <c r="I294" s="2576"/>
      <c r="J294" s="2576"/>
      <c r="K294" s="2576"/>
      <c r="L294" s="2576"/>
      <c r="M294" s="2576"/>
      <c r="N294" s="2577"/>
      <c r="O294" s="2090"/>
      <c r="P294" s="2090"/>
      <c r="Q294" s="2090"/>
      <c r="R294" s="871">
        <v>1</v>
      </c>
      <c r="S294" s="871">
        <v>1</v>
      </c>
      <c r="T294" s="871">
        <v>1</v>
      </c>
      <c r="U294" s="871">
        <v>1</v>
      </c>
      <c r="V294" s="871">
        <v>1</v>
      </c>
      <c r="W294" s="871">
        <v>1</v>
      </c>
      <c r="X294" s="871">
        <v>1</v>
      </c>
      <c r="Y294" s="871">
        <v>1</v>
      </c>
      <c r="Z294" s="871">
        <v>1</v>
      </c>
      <c r="AA294" s="871">
        <v>1</v>
      </c>
    </row>
    <row r="295" spans="1:27" s="2072" customFormat="1" ht="18.75">
      <c r="A295" s="6395"/>
      <c r="B295" s="2578" t="s">
        <v>2851</v>
      </c>
      <c r="C295" s="2579" t="s">
        <v>9205</v>
      </c>
      <c r="D295" s="2580"/>
      <c r="E295" s="2580"/>
      <c r="F295" s="2580"/>
      <c r="G295" s="2580"/>
      <c r="H295" s="2580"/>
      <c r="I295" s="2580"/>
      <c r="J295" s="2580"/>
      <c r="K295" s="2580"/>
      <c r="L295" s="2580"/>
      <c r="M295" s="2580"/>
      <c r="N295" s="2581"/>
      <c r="O295" s="2090"/>
      <c r="P295" s="2090"/>
      <c r="Q295" s="2090"/>
      <c r="R295" s="871">
        <v>1</v>
      </c>
      <c r="S295" s="871">
        <v>1</v>
      </c>
      <c r="T295" s="871">
        <v>1</v>
      </c>
      <c r="U295" s="871">
        <v>1</v>
      </c>
      <c r="V295" s="871">
        <v>1</v>
      </c>
      <c r="W295" s="871">
        <v>1</v>
      </c>
      <c r="X295" s="871">
        <v>1</v>
      </c>
      <c r="Y295" s="871">
        <v>1</v>
      </c>
      <c r="Z295" s="871">
        <v>1</v>
      </c>
      <c r="AA295" s="871">
        <v>1</v>
      </c>
    </row>
    <row r="296" spans="1:27" s="2072" customFormat="1" ht="18.75">
      <c r="A296" s="6395"/>
      <c r="B296" s="2582"/>
      <c r="C296" s="6406" t="s">
        <v>321</v>
      </c>
      <c r="D296" s="6407"/>
      <c r="E296" s="2583"/>
      <c r="F296" s="6406" t="s">
        <v>872</v>
      </c>
      <c r="G296" s="6407"/>
      <c r="H296" s="2583"/>
      <c r="I296" s="6406" t="s">
        <v>9206</v>
      </c>
      <c r="J296" s="6407"/>
      <c r="K296" s="2583"/>
      <c r="L296" s="6406" t="s">
        <v>9207</v>
      </c>
      <c r="M296" s="6407"/>
      <c r="N296" s="2584"/>
      <c r="O296" s="2090"/>
      <c r="P296" s="2090"/>
      <c r="Q296" s="2090"/>
      <c r="R296" s="871">
        <v>1</v>
      </c>
      <c r="S296" s="871">
        <v>1</v>
      </c>
      <c r="T296" s="871">
        <v>1</v>
      </c>
      <c r="U296" s="871">
        <v>1</v>
      </c>
      <c r="V296" s="871">
        <v>1</v>
      </c>
      <c r="W296" s="871">
        <v>1</v>
      </c>
      <c r="X296" s="871">
        <v>1</v>
      </c>
      <c r="Y296" s="871">
        <v>1</v>
      </c>
      <c r="Z296" s="871">
        <v>1</v>
      </c>
      <c r="AA296" s="871">
        <v>1</v>
      </c>
    </row>
    <row r="297" spans="1:27" s="2072" customFormat="1" ht="18.75">
      <c r="A297" s="6395"/>
      <c r="B297" s="2585" t="s">
        <v>17</v>
      </c>
      <c r="C297" s="2586" t="s">
        <v>9208</v>
      </c>
      <c r="D297" s="2583"/>
      <c r="E297" s="2583"/>
      <c r="F297" s="2583"/>
      <c r="G297" s="2583"/>
      <c r="H297" s="2583"/>
      <c r="I297" s="2583"/>
      <c r="J297" s="2583"/>
      <c r="K297" s="2583"/>
      <c r="L297" s="2583"/>
      <c r="M297" s="2583"/>
      <c r="N297" s="2584"/>
      <c r="O297" s="2090"/>
      <c r="P297" s="2090"/>
      <c r="Q297" s="2090"/>
      <c r="R297" s="871">
        <v>1</v>
      </c>
      <c r="S297" s="871">
        <v>1</v>
      </c>
      <c r="T297" s="871">
        <v>1</v>
      </c>
      <c r="U297" s="871">
        <v>1</v>
      </c>
      <c r="V297" s="871">
        <v>1</v>
      </c>
      <c r="W297" s="871">
        <v>1</v>
      </c>
      <c r="X297" s="871">
        <v>1</v>
      </c>
      <c r="Y297" s="871">
        <v>1</v>
      </c>
      <c r="Z297" s="871">
        <v>1</v>
      </c>
      <c r="AA297" s="871">
        <v>1</v>
      </c>
    </row>
    <row r="298" spans="1:27" s="2072" customFormat="1" ht="15">
      <c r="A298" s="6395"/>
      <c r="B298" s="6413" t="s">
        <v>9209</v>
      </c>
      <c r="C298" s="6414"/>
      <c r="D298" s="6414"/>
      <c r="E298" s="6414"/>
      <c r="F298" s="6414"/>
      <c r="G298" s="6414"/>
      <c r="H298" s="6414"/>
      <c r="I298" s="6414"/>
      <c r="J298" s="6414"/>
      <c r="K298" s="6414"/>
      <c r="L298" s="6414"/>
      <c r="M298" s="6414"/>
      <c r="N298" s="6415"/>
      <c r="O298" s="2090"/>
      <c r="P298" s="2090"/>
      <c r="Q298" s="2090"/>
      <c r="R298" s="871">
        <v>1</v>
      </c>
      <c r="S298" s="871">
        <v>1</v>
      </c>
      <c r="T298" s="871">
        <v>1</v>
      </c>
      <c r="U298" s="871">
        <v>1</v>
      </c>
      <c r="V298" s="871">
        <v>1</v>
      </c>
      <c r="W298" s="871">
        <v>1</v>
      </c>
      <c r="X298" s="871">
        <v>1</v>
      </c>
      <c r="Y298" s="871">
        <v>1</v>
      </c>
      <c r="Z298" s="871">
        <v>1</v>
      </c>
      <c r="AA298" s="871">
        <v>1</v>
      </c>
    </row>
    <row r="299" spans="1:27" s="2072" customFormat="1" ht="15">
      <c r="A299" s="6395"/>
      <c r="B299" s="6416"/>
      <c r="C299" s="6417"/>
      <c r="D299" s="6417"/>
      <c r="E299" s="6417"/>
      <c r="F299" s="6417"/>
      <c r="G299" s="6417"/>
      <c r="H299" s="6417"/>
      <c r="I299" s="6417"/>
      <c r="J299" s="6417"/>
      <c r="K299" s="6417"/>
      <c r="L299" s="6417"/>
      <c r="M299" s="6417"/>
      <c r="N299" s="6418"/>
      <c r="O299" s="2090"/>
      <c r="P299" s="2090"/>
      <c r="Q299" s="2090"/>
      <c r="R299" s="871">
        <v>1</v>
      </c>
      <c r="S299" s="871">
        <v>1</v>
      </c>
      <c r="T299" s="871">
        <v>1</v>
      </c>
      <c r="U299" s="871">
        <v>1</v>
      </c>
      <c r="V299" s="871">
        <v>1</v>
      </c>
      <c r="W299" s="871">
        <v>1</v>
      </c>
      <c r="X299" s="871">
        <v>1</v>
      </c>
      <c r="Y299" s="871">
        <v>1</v>
      </c>
      <c r="Z299" s="871">
        <v>1</v>
      </c>
      <c r="AA299" s="871">
        <v>1</v>
      </c>
    </row>
    <row r="300" spans="1:27" s="2072" customFormat="1" ht="15">
      <c r="A300" s="6395"/>
      <c r="B300" s="2587" t="s">
        <v>208</v>
      </c>
      <c r="C300" s="6419" t="str">
        <f ca="1">CELL("nomfichier")</f>
        <v>D:\Données\1.UPRT\0-UPRT.fait\1-UPRT.FR-SITE-WEB\ff-fiches-fabrications\ff.fiches.fabrication.2023\ffr.restaurant.2023\[ff.FICHE.TRILINGUE.15.COLONNES.29.11.2025.xlsx]Notice.utilisateur</v>
      </c>
      <c r="D300" s="6419"/>
      <c r="E300" s="6419"/>
      <c r="F300" s="6419"/>
      <c r="G300" s="6419"/>
      <c r="H300" s="6419"/>
      <c r="I300" s="6419"/>
      <c r="J300" s="6419"/>
      <c r="K300" s="6419"/>
      <c r="L300" s="6419"/>
      <c r="M300" s="6419"/>
      <c r="N300" s="6420"/>
      <c r="O300" s="2090"/>
      <c r="P300" s="2090"/>
      <c r="Q300" s="2090"/>
      <c r="R300" s="871">
        <v>1</v>
      </c>
      <c r="S300" s="871">
        <v>1</v>
      </c>
      <c r="T300" s="871">
        <v>1</v>
      </c>
      <c r="U300" s="871">
        <v>1</v>
      </c>
      <c r="V300" s="871">
        <v>1</v>
      </c>
      <c r="W300" s="871">
        <v>1</v>
      </c>
      <c r="X300" s="871">
        <v>1</v>
      </c>
      <c r="Y300" s="871">
        <v>1</v>
      </c>
      <c r="Z300" s="871">
        <v>1</v>
      </c>
      <c r="AA300" s="871">
        <v>1</v>
      </c>
    </row>
    <row r="301" spans="1:27" s="2072" customFormat="1" ht="15">
      <c r="A301" s="6395"/>
      <c r="B301" s="2588" t="s">
        <v>9210</v>
      </c>
      <c r="C301" s="6428" t="s">
        <v>9211</v>
      </c>
      <c r="D301" s="6428"/>
      <c r="E301" s="6428"/>
      <c r="F301" s="6428"/>
      <c r="G301" s="6428"/>
      <c r="H301" s="6428"/>
      <c r="I301" s="6428"/>
      <c r="J301" s="6428"/>
      <c r="K301" s="6428"/>
      <c r="L301" s="6428"/>
      <c r="M301" s="6428"/>
      <c r="N301" s="6429"/>
      <c r="O301" s="2090"/>
      <c r="P301" s="2090"/>
      <c r="Q301" s="2090"/>
      <c r="R301" s="871">
        <v>1</v>
      </c>
      <c r="S301" s="871">
        <v>1</v>
      </c>
      <c r="T301" s="871">
        <v>1</v>
      </c>
      <c r="U301" s="871">
        <v>1</v>
      </c>
      <c r="V301" s="871">
        <v>1</v>
      </c>
      <c r="W301" s="871">
        <v>1</v>
      </c>
      <c r="X301" s="871">
        <v>1</v>
      </c>
      <c r="Y301" s="871">
        <v>1</v>
      </c>
      <c r="Z301" s="871">
        <v>1</v>
      </c>
      <c r="AA301" s="871">
        <v>1</v>
      </c>
    </row>
    <row r="302" spans="1:27" s="2072" customFormat="1" thickBot="1">
      <c r="A302" s="6395"/>
      <c r="B302" s="6408" t="s">
        <v>9128</v>
      </c>
      <c r="C302" s="6409"/>
      <c r="D302" s="6409"/>
      <c r="E302" s="6409"/>
      <c r="F302" s="6409"/>
      <c r="G302" s="6409"/>
      <c r="H302" s="6409"/>
      <c r="I302" s="6409"/>
      <c r="J302" s="6409"/>
      <c r="K302" s="6409"/>
      <c r="L302" s="6409"/>
      <c r="M302" s="6409"/>
      <c r="N302" s="6410"/>
      <c r="O302" s="2090"/>
      <c r="P302" s="2090"/>
      <c r="Q302" s="2090"/>
      <c r="R302" s="871">
        <v>1</v>
      </c>
      <c r="S302" s="871">
        <v>1</v>
      </c>
      <c r="T302" s="871">
        <v>1</v>
      </c>
      <c r="U302" s="871">
        <v>1</v>
      </c>
      <c r="V302" s="871">
        <v>1</v>
      </c>
      <c r="W302" s="871">
        <v>1</v>
      </c>
      <c r="X302" s="871">
        <v>1</v>
      </c>
      <c r="Y302" s="871">
        <v>1</v>
      </c>
      <c r="Z302" s="871">
        <v>1</v>
      </c>
      <c r="AA302" s="871">
        <v>1</v>
      </c>
    </row>
    <row r="303" spans="1:27" s="2072" customFormat="1" ht="15.75" customHeight="1" thickBot="1">
      <c r="A303" s="2090"/>
      <c r="B303" s="2124"/>
      <c r="C303" s="2124"/>
      <c r="D303" s="2124"/>
      <c r="E303" s="2124"/>
      <c r="F303" s="2124"/>
      <c r="G303" s="2124"/>
      <c r="H303" s="2091"/>
      <c r="I303" s="2134"/>
      <c r="J303" s="2134"/>
      <c r="K303" s="2135"/>
      <c r="L303" s="2135"/>
      <c r="M303" s="2134"/>
      <c r="N303" s="2134"/>
      <c r="O303" s="2090"/>
      <c r="P303" s="2090"/>
      <c r="Q303" s="2090"/>
      <c r="R303" s="871">
        <v>1</v>
      </c>
      <c r="S303" s="871">
        <v>1</v>
      </c>
      <c r="T303" s="871">
        <v>1</v>
      </c>
      <c r="U303" s="871">
        <v>1</v>
      </c>
      <c r="V303" s="871">
        <v>1</v>
      </c>
      <c r="W303" s="871">
        <v>1</v>
      </c>
      <c r="X303" s="871">
        <v>1</v>
      </c>
      <c r="Y303" s="871">
        <v>1</v>
      </c>
      <c r="Z303" s="871">
        <v>1</v>
      </c>
      <c r="AA303" s="871">
        <v>1</v>
      </c>
    </row>
    <row r="304" spans="1:27" s="2072" customFormat="1" ht="15">
      <c r="A304" s="6387" t="s">
        <v>167</v>
      </c>
      <c r="B304" s="6389" t="s">
        <v>9020</v>
      </c>
      <c r="C304" s="6390"/>
      <c r="D304" s="6390"/>
      <c r="E304" s="6390"/>
      <c r="F304" s="6390"/>
      <c r="G304" s="6390"/>
      <c r="H304" s="6390"/>
      <c r="I304" s="6390"/>
      <c r="J304" s="6390"/>
      <c r="K304" s="6390"/>
      <c r="L304" s="6390"/>
      <c r="M304" s="6390"/>
      <c r="N304" s="6393">
        <v>2</v>
      </c>
      <c r="O304" s="2090"/>
      <c r="P304" s="2090"/>
      <c r="Q304" s="2090"/>
      <c r="R304" s="871">
        <v>1</v>
      </c>
      <c r="S304" s="871">
        <v>1</v>
      </c>
      <c r="T304" s="871">
        <v>1</v>
      </c>
      <c r="U304" s="871">
        <v>1</v>
      </c>
      <c r="V304" s="871">
        <v>1</v>
      </c>
      <c r="W304" s="871">
        <v>1</v>
      </c>
      <c r="X304" s="871">
        <v>1</v>
      </c>
      <c r="Y304" s="871">
        <v>1</v>
      </c>
      <c r="Z304" s="871">
        <v>1</v>
      </c>
      <c r="AA304" s="871">
        <v>1</v>
      </c>
    </row>
    <row r="305" spans="1:27" s="2072" customFormat="1" ht="15">
      <c r="A305" s="6388"/>
      <c r="B305" s="6391"/>
      <c r="C305" s="6392"/>
      <c r="D305" s="6392"/>
      <c r="E305" s="6392"/>
      <c r="F305" s="6392"/>
      <c r="G305" s="6392"/>
      <c r="H305" s="6392"/>
      <c r="I305" s="6392"/>
      <c r="J305" s="6392"/>
      <c r="K305" s="6392"/>
      <c r="L305" s="6392"/>
      <c r="M305" s="6392"/>
      <c r="N305" s="6394"/>
      <c r="O305" s="2090"/>
      <c r="P305" s="2090"/>
      <c r="Q305" s="2090"/>
      <c r="R305" s="871">
        <v>1</v>
      </c>
      <c r="S305" s="871">
        <v>1</v>
      </c>
      <c r="T305" s="871">
        <v>1</v>
      </c>
      <c r="U305" s="871">
        <v>1</v>
      </c>
      <c r="V305" s="871">
        <v>1</v>
      </c>
      <c r="W305" s="871">
        <v>1</v>
      </c>
      <c r="X305" s="871">
        <v>1</v>
      </c>
      <c r="Y305" s="871">
        <v>1</v>
      </c>
      <c r="Z305" s="871">
        <v>1</v>
      </c>
      <c r="AA305" s="871">
        <v>1</v>
      </c>
    </row>
    <row r="306" spans="1:27" s="2072" customFormat="1">
      <c r="A306" s="6395" t="str">
        <f>B304</f>
        <v>COMBIEN POURRIEZ VOUS SERVIR AVEC</v>
      </c>
      <c r="B306" s="2543" t="str">
        <f>ADDRESS(ROW(),COLUMN(),4)</f>
        <v>B306</v>
      </c>
      <c r="C306" s="2544" t="s">
        <v>3529</v>
      </c>
      <c r="D306" s="2545"/>
      <c r="E306" s="2545"/>
      <c r="F306" s="2545"/>
      <c r="G306" s="2545"/>
      <c r="H306" s="2545"/>
      <c r="I306" s="2545"/>
      <c r="J306" s="2545"/>
      <c r="K306" s="2545"/>
      <c r="L306" s="2545"/>
      <c r="M306" s="2545"/>
      <c r="N306" s="2546"/>
      <c r="O306" s="2090"/>
      <c r="P306" s="2090"/>
      <c r="Q306" s="2090"/>
      <c r="R306" s="871">
        <v>1</v>
      </c>
      <c r="S306" s="871">
        <v>1</v>
      </c>
      <c r="T306" s="871">
        <v>1</v>
      </c>
      <c r="U306" s="871">
        <v>1</v>
      </c>
      <c r="V306" s="871">
        <v>1</v>
      </c>
      <c r="W306" s="871">
        <v>1</v>
      </c>
      <c r="X306" s="871">
        <v>1</v>
      </c>
      <c r="Y306" s="871">
        <v>1</v>
      </c>
      <c r="Z306" s="871">
        <v>1</v>
      </c>
      <c r="AA306" s="871">
        <v>1</v>
      </c>
    </row>
    <row r="307" spans="1:27" s="2072" customFormat="1" ht="20.25">
      <c r="A307" s="6395"/>
      <c r="B307" s="6396" t="s">
        <v>9195</v>
      </c>
      <c r="C307" s="6397"/>
      <c r="D307" s="6397"/>
      <c r="E307" s="6397"/>
      <c r="F307" s="6397"/>
      <c r="G307" s="6397"/>
      <c r="H307" s="6397"/>
      <c r="I307" s="6397"/>
      <c r="J307" s="6397"/>
      <c r="K307" s="6397"/>
      <c r="L307" s="6397"/>
      <c r="M307" s="6397"/>
      <c r="N307" s="6398"/>
      <c r="O307" s="2090"/>
      <c r="P307" s="2090"/>
      <c r="Q307" s="2090"/>
      <c r="R307" s="871">
        <v>1</v>
      </c>
      <c r="S307" s="871">
        <v>1</v>
      </c>
      <c r="T307" s="871">
        <v>1</v>
      </c>
      <c r="U307" s="871">
        <v>1</v>
      </c>
      <c r="V307" s="871">
        <v>1</v>
      </c>
      <c r="W307" s="871">
        <v>1</v>
      </c>
      <c r="X307" s="871">
        <v>1</v>
      </c>
      <c r="Y307" s="871">
        <v>1</v>
      </c>
      <c r="Z307" s="871">
        <v>1</v>
      </c>
      <c r="AA307" s="871">
        <v>1</v>
      </c>
    </row>
    <row r="308" spans="1:27" s="2072" customFormat="1" ht="15">
      <c r="A308" s="6395"/>
      <c r="B308" s="6399" t="s">
        <v>9212</v>
      </c>
      <c r="C308" s="6400"/>
      <c r="D308" s="6400"/>
      <c r="E308" s="6400"/>
      <c r="F308" s="6400"/>
      <c r="G308" s="6400"/>
      <c r="H308" s="6400"/>
      <c r="I308" s="6400"/>
      <c r="J308" s="6400"/>
      <c r="K308" s="6400"/>
      <c r="L308" s="6400"/>
      <c r="M308" s="6400"/>
      <c r="N308" s="6401"/>
      <c r="O308" s="2090"/>
      <c r="P308" s="2090"/>
      <c r="Q308" s="2090"/>
      <c r="R308" s="871">
        <v>1</v>
      </c>
      <c r="S308" s="871">
        <v>1</v>
      </c>
      <c r="T308" s="871">
        <v>1</v>
      </c>
      <c r="U308" s="871">
        <v>1</v>
      </c>
      <c r="V308" s="871">
        <v>1</v>
      </c>
      <c r="W308" s="871">
        <v>1</v>
      </c>
      <c r="X308" s="871">
        <v>1</v>
      </c>
      <c r="Y308" s="871">
        <v>1</v>
      </c>
      <c r="Z308" s="871">
        <v>1</v>
      </c>
      <c r="AA308" s="871">
        <v>1</v>
      </c>
    </row>
    <row r="309" spans="1:27" s="2072" customFormat="1" ht="15">
      <c r="A309" s="6395"/>
      <c r="B309" s="6399"/>
      <c r="C309" s="6400"/>
      <c r="D309" s="6400"/>
      <c r="E309" s="6400"/>
      <c r="F309" s="6400"/>
      <c r="G309" s="6400"/>
      <c r="H309" s="6400"/>
      <c r="I309" s="6400"/>
      <c r="J309" s="6400"/>
      <c r="K309" s="6400"/>
      <c r="L309" s="6400"/>
      <c r="M309" s="6400"/>
      <c r="N309" s="6401"/>
      <c r="O309" s="2090"/>
      <c r="P309" s="2090"/>
      <c r="Q309" s="2090"/>
      <c r="R309" s="871">
        <v>1</v>
      </c>
      <c r="S309" s="871">
        <v>1</v>
      </c>
      <c r="T309" s="871">
        <v>1</v>
      </c>
      <c r="U309" s="871">
        <v>1</v>
      </c>
      <c r="V309" s="871">
        <v>1</v>
      </c>
      <c r="W309" s="871">
        <v>1</v>
      </c>
      <c r="X309" s="871">
        <v>1</v>
      </c>
      <c r="Y309" s="871">
        <v>1</v>
      </c>
      <c r="Z309" s="871">
        <v>1</v>
      </c>
      <c r="AA309" s="871">
        <v>1</v>
      </c>
    </row>
    <row r="310" spans="1:27" s="2072" customFormat="1" ht="15">
      <c r="A310" s="6395"/>
      <c r="B310" s="6399"/>
      <c r="C310" s="6400"/>
      <c r="D310" s="6400"/>
      <c r="E310" s="6400"/>
      <c r="F310" s="6400"/>
      <c r="G310" s="6400"/>
      <c r="H310" s="6400"/>
      <c r="I310" s="6400"/>
      <c r="J310" s="6400"/>
      <c r="K310" s="6400"/>
      <c r="L310" s="6400"/>
      <c r="M310" s="6400"/>
      <c r="N310" s="6401"/>
      <c r="O310" s="2090"/>
      <c r="P310" s="2090"/>
      <c r="Q310" s="2090"/>
      <c r="R310" s="871">
        <v>1</v>
      </c>
      <c r="S310" s="871">
        <v>1</v>
      </c>
      <c r="T310" s="871">
        <v>1</v>
      </c>
      <c r="U310" s="871">
        <v>1</v>
      </c>
      <c r="V310" s="871">
        <v>1</v>
      </c>
      <c r="W310" s="871">
        <v>1</v>
      </c>
      <c r="X310" s="871">
        <v>1</v>
      </c>
      <c r="Y310" s="871">
        <v>1</v>
      </c>
      <c r="Z310" s="871">
        <v>1</v>
      </c>
      <c r="AA310" s="871">
        <v>1</v>
      </c>
    </row>
    <row r="311" spans="1:27" s="2072" customFormat="1" ht="15">
      <c r="A311" s="6395"/>
      <c r="B311" s="6399"/>
      <c r="C311" s="6400"/>
      <c r="D311" s="6400"/>
      <c r="E311" s="6400"/>
      <c r="F311" s="6400"/>
      <c r="G311" s="6400"/>
      <c r="H311" s="6400"/>
      <c r="I311" s="6400"/>
      <c r="J311" s="6400"/>
      <c r="K311" s="6400"/>
      <c r="L311" s="6400"/>
      <c r="M311" s="6400"/>
      <c r="N311" s="6401"/>
      <c r="O311" s="2090"/>
      <c r="P311" s="2090"/>
      <c r="Q311" s="2090"/>
      <c r="R311" s="871">
        <v>1</v>
      </c>
      <c r="S311" s="871">
        <v>1</v>
      </c>
      <c r="T311" s="871">
        <v>1</v>
      </c>
      <c r="U311" s="871">
        <v>1</v>
      </c>
      <c r="V311" s="871">
        <v>1</v>
      </c>
      <c r="W311" s="871">
        <v>1</v>
      </c>
      <c r="X311" s="871">
        <v>1</v>
      </c>
      <c r="Y311" s="871">
        <v>1</v>
      </c>
      <c r="Z311" s="871">
        <v>1</v>
      </c>
      <c r="AA311" s="871">
        <v>1</v>
      </c>
    </row>
    <row r="312" spans="1:27" s="2072" customFormat="1" ht="15">
      <c r="A312" s="6395"/>
      <c r="B312" s="6402"/>
      <c r="C312" s="6403"/>
      <c r="D312" s="6403"/>
      <c r="E312" s="6403"/>
      <c r="F312" s="6403"/>
      <c r="G312" s="6403"/>
      <c r="H312" s="6403"/>
      <c r="I312" s="6403"/>
      <c r="J312" s="6403"/>
      <c r="K312" s="6403"/>
      <c r="L312" s="6403"/>
      <c r="M312" s="6403"/>
      <c r="N312" s="6404"/>
      <c r="O312" s="2090"/>
      <c r="P312" s="2090"/>
      <c r="Q312" s="2090"/>
      <c r="R312" s="871">
        <v>1</v>
      </c>
      <c r="S312" s="871">
        <v>1</v>
      </c>
      <c r="T312" s="871">
        <v>1</v>
      </c>
      <c r="U312" s="871">
        <v>1</v>
      </c>
      <c r="V312" s="871">
        <v>1</v>
      </c>
      <c r="W312" s="871">
        <v>1</v>
      </c>
      <c r="X312" s="871">
        <v>1</v>
      </c>
      <c r="Y312" s="871">
        <v>1</v>
      </c>
      <c r="Z312" s="871">
        <v>1</v>
      </c>
      <c r="AA312" s="871">
        <v>1</v>
      </c>
    </row>
    <row r="313" spans="1:27" s="2072" customFormat="1" ht="15">
      <c r="A313" s="6395"/>
      <c r="B313" s="2589"/>
      <c r="C313" s="2590"/>
      <c r="D313" s="2590"/>
      <c r="E313" s="2590"/>
      <c r="F313" s="2590"/>
      <c r="G313" s="2590"/>
      <c r="H313" s="2590"/>
      <c r="I313" s="2590"/>
      <c r="J313" s="2590"/>
      <c r="K313" s="2590"/>
      <c r="L313" s="6411" t="s">
        <v>2851</v>
      </c>
      <c r="M313" s="6412"/>
      <c r="N313" s="2591"/>
      <c r="O313" s="2090"/>
      <c r="P313" s="2090"/>
      <c r="Q313" s="2090"/>
      <c r="R313" s="871">
        <v>1</v>
      </c>
      <c r="S313" s="871">
        <v>1</v>
      </c>
      <c r="T313" s="871">
        <v>1</v>
      </c>
      <c r="U313" s="871">
        <v>1</v>
      </c>
      <c r="V313" s="871">
        <v>1</v>
      </c>
      <c r="W313" s="871">
        <v>1</v>
      </c>
      <c r="X313" s="871">
        <v>1</v>
      </c>
      <c r="Y313" s="871">
        <v>1</v>
      </c>
      <c r="Z313" s="871">
        <v>1</v>
      </c>
      <c r="AA313" s="871">
        <v>1</v>
      </c>
    </row>
    <row r="314" spans="1:27" s="2072" customFormat="1" ht="18">
      <c r="A314" s="6395"/>
      <c r="B314" s="2589"/>
      <c r="C314" s="2590"/>
      <c r="D314" s="2590"/>
      <c r="E314" s="2590"/>
      <c r="F314" s="2590"/>
      <c r="G314" s="2590"/>
      <c r="H314" s="2590"/>
      <c r="I314" s="2590"/>
      <c r="K314" s="2563" t="s">
        <v>9213</v>
      </c>
      <c r="L314" s="6421">
        <v>2.4</v>
      </c>
      <c r="M314" s="6421"/>
      <c r="N314" s="2591"/>
      <c r="O314" s="2090"/>
      <c r="P314" s="2090"/>
      <c r="Q314" s="2090"/>
      <c r="R314" s="871">
        <v>1</v>
      </c>
      <c r="S314" s="871">
        <v>1</v>
      </c>
      <c r="T314" s="871">
        <v>1</v>
      </c>
      <c r="U314" s="871">
        <v>1</v>
      </c>
      <c r="V314" s="871">
        <v>1</v>
      </c>
      <c r="W314" s="871">
        <v>1</v>
      </c>
      <c r="X314" s="871">
        <v>1</v>
      </c>
      <c r="Y314" s="871">
        <v>1</v>
      </c>
      <c r="Z314" s="871">
        <v>1</v>
      </c>
      <c r="AA314" s="871">
        <v>1</v>
      </c>
    </row>
    <row r="315" spans="1:27" s="2072" customFormat="1" ht="15">
      <c r="A315" s="6395"/>
      <c r="B315" s="2592"/>
      <c r="C315" s="2593"/>
      <c r="D315" s="2593"/>
      <c r="E315" s="2593"/>
      <c r="F315" s="2590"/>
      <c r="G315" s="2590"/>
      <c r="H315" s="2590"/>
      <c r="I315" s="2590"/>
      <c r="J315" s="2590"/>
      <c r="K315" s="2594"/>
      <c r="L315" s="6421"/>
      <c r="M315" s="6421"/>
      <c r="N315" s="2591"/>
      <c r="O315" s="2090"/>
      <c r="P315" s="2090"/>
      <c r="Q315" s="2090"/>
      <c r="R315" s="871">
        <v>1</v>
      </c>
      <c r="S315" s="871">
        <v>1</v>
      </c>
      <c r="T315" s="871">
        <v>1</v>
      </c>
      <c r="U315" s="871">
        <v>1</v>
      </c>
      <c r="V315" s="871">
        <v>1</v>
      </c>
      <c r="W315" s="871">
        <v>1</v>
      </c>
      <c r="X315" s="871">
        <v>1</v>
      </c>
      <c r="Y315" s="871">
        <v>1</v>
      </c>
      <c r="Z315" s="871">
        <v>1</v>
      </c>
      <c r="AA315" s="871">
        <v>1</v>
      </c>
    </row>
    <row r="316" spans="1:27" s="2072" customFormat="1" ht="15">
      <c r="A316" s="6395"/>
      <c r="B316" s="2589"/>
      <c r="C316" s="2590"/>
      <c r="D316" s="2590"/>
      <c r="E316" s="2590"/>
      <c r="F316" s="2590"/>
      <c r="G316" s="2590"/>
      <c r="H316" s="2590"/>
      <c r="I316" s="2590"/>
      <c r="J316" s="2590"/>
      <c r="K316" s="2590"/>
      <c r="L316" s="2590"/>
      <c r="M316" s="2590"/>
      <c r="N316" s="2591"/>
      <c r="O316" s="2090"/>
      <c r="P316" s="2090"/>
      <c r="Q316" s="2090"/>
      <c r="R316" s="871">
        <v>1</v>
      </c>
      <c r="S316" s="871">
        <v>1</v>
      </c>
      <c r="T316" s="871">
        <v>1</v>
      </c>
      <c r="U316" s="871">
        <v>1</v>
      </c>
      <c r="V316" s="871">
        <v>1</v>
      </c>
      <c r="W316" s="871">
        <v>1</v>
      </c>
      <c r="X316" s="871">
        <v>1</v>
      </c>
      <c r="Y316" s="871">
        <v>1</v>
      </c>
      <c r="Z316" s="871">
        <v>1</v>
      </c>
      <c r="AA316" s="871">
        <v>1</v>
      </c>
    </row>
    <row r="317" spans="1:27" s="2072" customFormat="1" ht="18">
      <c r="A317" s="6395"/>
      <c r="B317" s="2589"/>
      <c r="C317" s="2590"/>
      <c r="D317" s="2590"/>
      <c r="E317" s="2590"/>
      <c r="F317" s="2595" t="s">
        <v>9198</v>
      </c>
      <c r="G317" s="2596" t="s">
        <v>9086</v>
      </c>
      <c r="H317" s="2596" t="s">
        <v>9087</v>
      </c>
      <c r="I317" s="2597" t="s">
        <v>9088</v>
      </c>
      <c r="J317" s="2596" t="s">
        <v>9089</v>
      </c>
      <c r="K317" s="2596" t="s">
        <v>9154</v>
      </c>
      <c r="L317" s="2590"/>
      <c r="M317" s="2590"/>
      <c r="N317" s="2591"/>
      <c r="O317" s="2090"/>
      <c r="P317" s="2090"/>
      <c r="Q317" s="2090"/>
      <c r="R317" s="871">
        <v>1</v>
      </c>
      <c r="S317" s="871">
        <v>1</v>
      </c>
      <c r="T317" s="871">
        <v>1</v>
      </c>
      <c r="U317" s="871">
        <v>1</v>
      </c>
      <c r="V317" s="871">
        <v>1</v>
      </c>
      <c r="W317" s="871">
        <v>1</v>
      </c>
      <c r="X317" s="871">
        <v>1</v>
      </c>
      <c r="Y317" s="871">
        <v>1</v>
      </c>
      <c r="Z317" s="871">
        <v>1</v>
      </c>
      <c r="AA317" s="871">
        <v>1</v>
      </c>
    </row>
    <row r="318" spans="1:27" s="2072" customFormat="1" ht="18">
      <c r="A318" s="6395"/>
      <c r="B318" s="2589"/>
      <c r="C318" s="2590"/>
      <c r="D318" s="2590"/>
      <c r="E318" s="2590"/>
      <c r="F318" s="2560" t="s">
        <v>9214</v>
      </c>
      <c r="G318" s="2598">
        <v>0.05</v>
      </c>
      <c r="H318" s="2598">
        <v>0.08</v>
      </c>
      <c r="I318" s="2598">
        <v>0.11</v>
      </c>
      <c r="J318" s="2598">
        <v>0.125</v>
      </c>
      <c r="K318" s="2598">
        <v>7.0000000000000007E-2</v>
      </c>
      <c r="L318" s="2562">
        <f>SUM(G318:K318)/COUNTIF(G318:K318,"&gt;0")</f>
        <v>8.6999999999999994E-2</v>
      </c>
      <c r="M318" s="2559" t="s">
        <v>9201</v>
      </c>
      <c r="N318" s="2591"/>
      <c r="O318" s="2090"/>
      <c r="P318" s="2090"/>
      <c r="Q318" s="2090"/>
      <c r="R318" s="871">
        <v>1</v>
      </c>
      <c r="S318" s="871">
        <v>1</v>
      </c>
      <c r="T318" s="871">
        <v>1</v>
      </c>
      <c r="U318" s="871">
        <v>1</v>
      </c>
      <c r="V318" s="871">
        <v>1</v>
      </c>
      <c r="W318" s="871">
        <v>1</v>
      </c>
      <c r="X318" s="871">
        <v>1</v>
      </c>
      <c r="Y318" s="871">
        <v>1</v>
      </c>
      <c r="Z318" s="871">
        <v>1</v>
      </c>
      <c r="AA318" s="871">
        <v>1</v>
      </c>
    </row>
    <row r="319" spans="1:27" s="2072" customFormat="1" ht="18.75">
      <c r="A319" s="6395"/>
      <c r="B319" s="2589"/>
      <c r="C319" s="2590"/>
      <c r="D319" s="2590"/>
      <c r="E319" s="2590"/>
      <c r="F319" s="2563" t="s">
        <v>9215</v>
      </c>
      <c r="G319" s="2599">
        <f>L314/G318</f>
        <v>47.999999999999993</v>
      </c>
      <c r="H319" s="2599">
        <f>L314/H318</f>
        <v>30</v>
      </c>
      <c r="I319" s="2599">
        <f>L314/I318</f>
        <v>21.818181818181817</v>
      </c>
      <c r="J319" s="2599">
        <f>L314/J318</f>
        <v>19.2</v>
      </c>
      <c r="K319" s="2599">
        <f>L314/K318</f>
        <v>34.285714285714285</v>
      </c>
      <c r="L319" s="2600" t="s">
        <v>9216</v>
      </c>
      <c r="M319" s="2559"/>
      <c r="N319" s="2591"/>
      <c r="O319" s="2090"/>
      <c r="P319" s="2090"/>
      <c r="Q319" s="2090"/>
      <c r="R319" s="871">
        <v>1</v>
      </c>
      <c r="S319" s="871">
        <v>1</v>
      </c>
      <c r="T319" s="871">
        <v>1</v>
      </c>
      <c r="U319" s="871">
        <v>1</v>
      </c>
      <c r="V319" s="871">
        <v>1</v>
      </c>
      <c r="W319" s="871">
        <v>1</v>
      </c>
      <c r="X319" s="871">
        <v>1</v>
      </c>
      <c r="Y319" s="871">
        <v>1</v>
      </c>
      <c r="Z319" s="871">
        <v>1</v>
      </c>
      <c r="AA319" s="871">
        <v>1</v>
      </c>
    </row>
    <row r="320" spans="1:27" s="2072" customFormat="1" ht="18.75">
      <c r="A320" s="6395"/>
      <c r="B320" s="2601" t="s">
        <v>2851</v>
      </c>
      <c r="C320" s="2602" t="s">
        <v>9217</v>
      </c>
      <c r="D320" s="2590"/>
      <c r="E320" s="2590"/>
      <c r="F320" s="2563"/>
      <c r="G320" s="2603"/>
      <c r="H320" s="2603"/>
      <c r="I320" s="2603"/>
      <c r="J320" s="2603"/>
      <c r="K320" s="2603"/>
      <c r="L320" s="2600"/>
      <c r="M320" s="2559"/>
      <c r="N320" s="2591"/>
      <c r="O320" s="2090"/>
      <c r="P320" s="2090"/>
      <c r="Q320" s="2090"/>
      <c r="R320" s="871">
        <v>1</v>
      </c>
      <c r="S320" s="871">
        <v>1</v>
      </c>
      <c r="T320" s="871">
        <v>1</v>
      </c>
      <c r="U320" s="871">
        <v>1</v>
      </c>
      <c r="V320" s="871">
        <v>1</v>
      </c>
      <c r="W320" s="871">
        <v>1</v>
      </c>
      <c r="X320" s="871">
        <v>1</v>
      </c>
      <c r="Y320" s="871">
        <v>1</v>
      </c>
      <c r="Z320" s="871">
        <v>1</v>
      </c>
      <c r="AA320" s="871">
        <v>1</v>
      </c>
    </row>
    <row r="321" spans="1:27" s="2072" customFormat="1" ht="15">
      <c r="A321" s="6395"/>
      <c r="B321" s="6422" t="s">
        <v>9218</v>
      </c>
      <c r="C321" s="6423"/>
      <c r="D321" s="6423"/>
      <c r="E321" s="6423"/>
      <c r="F321" s="6423"/>
      <c r="G321" s="6423"/>
      <c r="H321" s="6423"/>
      <c r="I321" s="6423"/>
      <c r="J321" s="6423"/>
      <c r="K321" s="6423"/>
      <c r="L321" s="6423"/>
      <c r="M321" s="6423"/>
      <c r="N321" s="6424"/>
      <c r="O321" s="2090"/>
      <c r="P321" s="2090"/>
      <c r="Q321" s="2090"/>
      <c r="R321" s="871">
        <v>1</v>
      </c>
      <c r="S321" s="871">
        <v>1</v>
      </c>
      <c r="T321" s="871">
        <v>1</v>
      </c>
      <c r="U321" s="871">
        <v>1</v>
      </c>
      <c r="V321" s="871">
        <v>1</v>
      </c>
      <c r="W321" s="871">
        <v>1</v>
      </c>
      <c r="X321" s="871">
        <v>1</v>
      </c>
      <c r="Y321" s="871">
        <v>1</v>
      </c>
      <c r="Z321" s="871">
        <v>1</v>
      </c>
      <c r="AA321" s="871">
        <v>1</v>
      </c>
    </row>
    <row r="322" spans="1:27" s="2072" customFormat="1">
      <c r="A322" s="6395"/>
      <c r="B322" s="2604"/>
      <c r="C322" s="2605"/>
      <c r="D322" s="2605"/>
      <c r="E322" s="2605"/>
      <c r="F322" s="2590"/>
      <c r="G322" s="2590"/>
      <c r="H322" s="2558"/>
      <c r="I322" s="2558"/>
      <c r="J322" s="2558"/>
      <c r="K322" s="2558"/>
      <c r="L322" s="6425" t="s">
        <v>17</v>
      </c>
      <c r="M322" s="6425"/>
      <c r="N322" s="2591"/>
      <c r="O322" s="2090"/>
      <c r="P322" s="2090"/>
      <c r="Q322" s="2090"/>
      <c r="R322" s="871">
        <v>1</v>
      </c>
      <c r="S322" s="871">
        <v>1</v>
      </c>
      <c r="T322" s="871">
        <v>1</v>
      </c>
      <c r="U322" s="871">
        <v>1</v>
      </c>
      <c r="V322" s="871">
        <v>1</v>
      </c>
      <c r="W322" s="871">
        <v>1</v>
      </c>
      <c r="X322" s="871">
        <v>1</v>
      </c>
      <c r="Y322" s="871">
        <v>1</v>
      </c>
      <c r="Z322" s="871">
        <v>1</v>
      </c>
      <c r="AA322" s="871">
        <v>1</v>
      </c>
    </row>
    <row r="323" spans="1:27" s="2072" customFormat="1">
      <c r="A323" s="6395"/>
      <c r="B323" s="2604"/>
      <c r="C323" s="2605"/>
      <c r="D323" s="2605"/>
      <c r="E323" s="2605"/>
      <c r="F323" s="2590"/>
      <c r="G323" s="2590"/>
      <c r="H323" s="2558"/>
      <c r="I323" s="2558"/>
      <c r="J323" s="2558"/>
      <c r="K323" s="2606" t="s">
        <v>9197</v>
      </c>
      <c r="L323" s="6426" t="s">
        <v>872</v>
      </c>
      <c r="M323" s="6427"/>
      <c r="N323" s="2591"/>
      <c r="O323" s="2090"/>
      <c r="P323" s="2090"/>
      <c r="Q323" s="2090"/>
      <c r="R323" s="871">
        <v>1</v>
      </c>
      <c r="S323" s="871">
        <v>1</v>
      </c>
      <c r="T323" s="871">
        <v>1</v>
      </c>
      <c r="U323" s="871">
        <v>1</v>
      </c>
      <c r="V323" s="871">
        <v>1</v>
      </c>
      <c r="W323" s="871">
        <v>1</v>
      </c>
      <c r="X323" s="871">
        <v>1</v>
      </c>
      <c r="Y323" s="871">
        <v>1</v>
      </c>
      <c r="Z323" s="871">
        <v>1</v>
      </c>
      <c r="AA323" s="871">
        <v>1</v>
      </c>
    </row>
    <row r="324" spans="1:27" s="2072" customFormat="1" ht="18">
      <c r="A324" s="6395"/>
      <c r="B324" s="2589"/>
      <c r="C324" s="2590"/>
      <c r="D324" s="2558"/>
      <c r="E324" s="2558"/>
      <c r="F324" s="2558"/>
      <c r="G324" s="2558"/>
      <c r="H324" s="2558"/>
      <c r="I324" s="2558"/>
      <c r="J324" s="2558"/>
      <c r="K324" s="2558"/>
      <c r="L324" s="2558"/>
      <c r="M324" s="2559"/>
      <c r="N324" s="2591"/>
      <c r="O324" s="2090"/>
      <c r="P324" s="2090"/>
      <c r="Q324" s="2090"/>
      <c r="R324" s="871">
        <v>1</v>
      </c>
      <c r="S324" s="871">
        <v>1</v>
      </c>
      <c r="T324" s="871">
        <v>1</v>
      </c>
      <c r="U324" s="871">
        <v>1</v>
      </c>
      <c r="V324" s="871">
        <v>1</v>
      </c>
      <c r="W324" s="871">
        <v>1</v>
      </c>
      <c r="X324" s="871">
        <v>1</v>
      </c>
      <c r="Y324" s="871">
        <v>1</v>
      </c>
      <c r="Z324" s="871">
        <v>1</v>
      </c>
      <c r="AA324" s="871">
        <v>1</v>
      </c>
    </row>
    <row r="325" spans="1:27" s="2072" customFormat="1" ht="18.75">
      <c r="A325" s="6395"/>
      <c r="B325" s="2589"/>
      <c r="C325" s="2590"/>
      <c r="D325" s="2590"/>
      <c r="E325" s="2590"/>
      <c r="F325" s="2556" t="s">
        <v>9199</v>
      </c>
      <c r="G325" s="2557">
        <v>50</v>
      </c>
      <c r="H325" s="2557">
        <v>500</v>
      </c>
      <c r="I325" s="2557">
        <v>150</v>
      </c>
      <c r="J325" s="2557">
        <v>13</v>
      </c>
      <c r="K325" s="2557">
        <v>13</v>
      </c>
      <c r="L325" s="2558">
        <f>SUM(G325:K325)</f>
        <v>726</v>
      </c>
      <c r="M325" s="2559" t="s">
        <v>36</v>
      </c>
      <c r="N325" s="2591"/>
      <c r="O325" s="2090"/>
      <c r="P325" s="2090"/>
      <c r="Q325" s="2090"/>
      <c r="R325" s="871">
        <v>1</v>
      </c>
      <c r="S325" s="871">
        <v>1</v>
      </c>
      <c r="T325" s="871">
        <v>1</v>
      </c>
      <c r="U325" s="871">
        <v>1</v>
      </c>
      <c r="V325" s="871">
        <v>1</v>
      </c>
      <c r="W325" s="871">
        <v>1</v>
      </c>
      <c r="X325" s="871">
        <v>1</v>
      </c>
      <c r="Y325" s="871">
        <v>1</v>
      </c>
      <c r="Z325" s="871">
        <v>1</v>
      </c>
      <c r="AA325" s="871">
        <v>1</v>
      </c>
    </row>
    <row r="326" spans="1:27" s="2072" customFormat="1" ht="18.75">
      <c r="A326" s="6395"/>
      <c r="B326" s="2589"/>
      <c r="C326" s="2590"/>
      <c r="D326" s="2590"/>
      <c r="E326" s="2590"/>
      <c r="F326" s="2563" t="s">
        <v>9219</v>
      </c>
      <c r="G326" s="2607">
        <f>G318*G325</f>
        <v>2.5</v>
      </c>
      <c r="H326" s="2607">
        <f>H318*H325</f>
        <v>40</v>
      </c>
      <c r="I326" s="2607">
        <f>I318*I325</f>
        <v>16.5</v>
      </c>
      <c r="J326" s="2607">
        <f>J318*J325</f>
        <v>1.625</v>
      </c>
      <c r="K326" s="2607">
        <f>K318*K325</f>
        <v>0.91000000000000014</v>
      </c>
      <c r="L326" s="2558">
        <f>SUM(G326:K326)</f>
        <v>61.534999999999997</v>
      </c>
      <c r="M326" s="2559" t="str">
        <f>L323</f>
        <v>Kg</v>
      </c>
      <c r="N326" s="2591"/>
      <c r="O326" s="2090"/>
      <c r="P326" s="2090"/>
      <c r="Q326" s="2090"/>
      <c r="R326" s="871">
        <v>1</v>
      </c>
      <c r="S326" s="871">
        <v>1</v>
      </c>
      <c r="T326" s="871">
        <v>1</v>
      </c>
      <c r="U326" s="871">
        <v>1</v>
      </c>
      <c r="V326" s="871">
        <v>1</v>
      </c>
      <c r="W326" s="871">
        <v>1</v>
      </c>
      <c r="X326" s="871">
        <v>1</v>
      </c>
      <c r="Y326" s="871">
        <v>1</v>
      </c>
      <c r="Z326" s="871">
        <v>1</v>
      </c>
      <c r="AA326" s="871">
        <v>1</v>
      </c>
    </row>
    <row r="327" spans="1:27" s="2072" customFormat="1" ht="15">
      <c r="A327" s="6395"/>
      <c r="B327" s="2589"/>
      <c r="C327" s="2590"/>
      <c r="D327" s="2590"/>
      <c r="E327" s="2590"/>
      <c r="F327" s="2590"/>
      <c r="G327" s="2608" t="str">
        <f>L323</f>
        <v>Kg</v>
      </c>
      <c r="H327" s="2608" t="str">
        <f>L323</f>
        <v>Kg</v>
      </c>
      <c r="I327" s="2608" t="str">
        <f>L323</f>
        <v>Kg</v>
      </c>
      <c r="J327" s="2608" t="str">
        <f>L323</f>
        <v>Kg</v>
      </c>
      <c r="K327" s="2608" t="str">
        <f>L323</f>
        <v>Kg</v>
      </c>
      <c r="L327" s="2590"/>
      <c r="M327" s="2609"/>
      <c r="N327" s="2591"/>
      <c r="O327" s="2090"/>
      <c r="P327" s="2090"/>
      <c r="Q327" s="2090"/>
      <c r="R327" s="871">
        <v>1</v>
      </c>
      <c r="S327" s="871">
        <v>1</v>
      </c>
      <c r="T327" s="871">
        <v>1</v>
      </c>
      <c r="U327" s="871">
        <v>1</v>
      </c>
      <c r="V327" s="871">
        <v>1</v>
      </c>
      <c r="W327" s="871">
        <v>1</v>
      </c>
      <c r="X327" s="871">
        <v>1</v>
      </c>
      <c r="Y327" s="871">
        <v>1</v>
      </c>
      <c r="Z327" s="871">
        <v>1</v>
      </c>
      <c r="AA327" s="871">
        <v>1</v>
      </c>
    </row>
    <row r="328" spans="1:27" s="2072" customFormat="1" ht="18">
      <c r="A328" s="6395"/>
      <c r="B328" s="2610"/>
      <c r="C328" s="2568" t="s">
        <v>9203</v>
      </c>
      <c r="D328" s="2569">
        <v>50</v>
      </c>
      <c r="E328" s="2570" t="s">
        <v>2852</v>
      </c>
      <c r="H328" s="2590"/>
      <c r="I328" s="2590"/>
      <c r="J328" s="2590"/>
      <c r="K328" s="2590"/>
      <c r="L328" s="2590"/>
      <c r="M328" s="2609"/>
      <c r="N328" s="2591"/>
      <c r="O328" s="2090"/>
      <c r="P328" s="2090"/>
      <c r="Q328" s="2090"/>
      <c r="R328" s="871">
        <v>1</v>
      </c>
      <c r="S328" s="871">
        <v>1</v>
      </c>
      <c r="T328" s="871">
        <v>1</v>
      </c>
      <c r="U328" s="871">
        <v>1</v>
      </c>
      <c r="V328" s="871">
        <v>1</v>
      </c>
      <c r="W328" s="871">
        <v>1</v>
      </c>
      <c r="X328" s="871">
        <v>1</v>
      </c>
      <c r="Y328" s="871">
        <v>1</v>
      </c>
      <c r="Z328" s="871">
        <v>1</v>
      </c>
      <c r="AA328" s="871">
        <v>1</v>
      </c>
    </row>
    <row r="329" spans="1:27" s="2072" customFormat="1" ht="18">
      <c r="A329" s="6395"/>
      <c r="B329" s="2589"/>
      <c r="C329" s="2590"/>
      <c r="D329" s="2590"/>
      <c r="E329" s="2590"/>
      <c r="F329" s="2563" t="s">
        <v>9204</v>
      </c>
      <c r="G329" s="2572">
        <f>G326/(100-D328)*100</f>
        <v>5</v>
      </c>
      <c r="H329" s="2572">
        <f>H326/(100-D328)*100</f>
        <v>80</v>
      </c>
      <c r="I329" s="2572">
        <f>I326/(100-D328)*100</f>
        <v>33</v>
      </c>
      <c r="J329" s="2572">
        <f>J326/(100-D328)*100</f>
        <v>3.25</v>
      </c>
      <c r="K329" s="2572">
        <f>K326/(100-D328)*100</f>
        <v>1.8200000000000005</v>
      </c>
      <c r="L329" s="2558">
        <f>SUM(G329:K329)</f>
        <v>123.07000000000001</v>
      </c>
      <c r="M329" s="2559" t="str">
        <f>L323</f>
        <v>Kg</v>
      </c>
      <c r="N329" s="2591"/>
      <c r="O329" s="2090"/>
      <c r="P329" s="2090"/>
      <c r="Q329" s="2090"/>
      <c r="R329" s="871">
        <v>1</v>
      </c>
      <c r="S329" s="871">
        <v>1</v>
      </c>
      <c r="T329" s="871">
        <v>1</v>
      </c>
      <c r="U329" s="871">
        <v>1</v>
      </c>
      <c r="V329" s="871">
        <v>1</v>
      </c>
      <c r="W329" s="871">
        <v>1</v>
      </c>
      <c r="X329" s="871">
        <v>1</v>
      </c>
      <c r="Y329" s="871">
        <v>1</v>
      </c>
      <c r="Z329" s="871">
        <v>1</v>
      </c>
      <c r="AA329" s="871">
        <v>1</v>
      </c>
    </row>
    <row r="330" spans="1:27" s="2072" customFormat="1" ht="18">
      <c r="A330" s="6395"/>
      <c r="B330" s="2589"/>
      <c r="C330" s="2590"/>
      <c r="D330" s="2590"/>
      <c r="E330" s="2590"/>
      <c r="F330" s="2563"/>
      <c r="G330" s="2574" t="str">
        <f>L323</f>
        <v>Kg</v>
      </c>
      <c r="H330" s="2574" t="str">
        <f>L323</f>
        <v>Kg</v>
      </c>
      <c r="I330" s="2574" t="str">
        <f>L323</f>
        <v>Kg</v>
      </c>
      <c r="J330" s="2574" t="str">
        <f>L323</f>
        <v>Kg</v>
      </c>
      <c r="K330" s="2574" t="str">
        <f>L323</f>
        <v>Kg</v>
      </c>
      <c r="L330" s="2558"/>
      <c r="M330" s="2559"/>
      <c r="N330" s="2591"/>
      <c r="O330" s="2090"/>
      <c r="P330" s="2090"/>
      <c r="Q330" s="2090"/>
      <c r="R330" s="871">
        <v>1</v>
      </c>
      <c r="S330" s="871">
        <v>1</v>
      </c>
      <c r="T330" s="871">
        <v>1</v>
      </c>
      <c r="U330" s="871">
        <v>1</v>
      </c>
      <c r="V330" s="871">
        <v>1</v>
      </c>
      <c r="W330" s="871">
        <v>1</v>
      </c>
      <c r="X330" s="871">
        <v>1</v>
      </c>
      <c r="Y330" s="871">
        <v>1</v>
      </c>
      <c r="Z330" s="871">
        <v>1</v>
      </c>
      <c r="AA330" s="871">
        <v>1</v>
      </c>
    </row>
    <row r="331" spans="1:27" s="2072" customFormat="1">
      <c r="A331" s="6395"/>
      <c r="B331" s="2611" t="s">
        <v>2852</v>
      </c>
      <c r="C331" s="2586" t="s">
        <v>9208</v>
      </c>
      <c r="D331" s="2612"/>
      <c r="E331" s="2612"/>
      <c r="F331" s="2612"/>
      <c r="G331" s="2612"/>
      <c r="H331" s="2612"/>
      <c r="I331" s="2612"/>
      <c r="J331" s="2612"/>
      <c r="K331" s="2612"/>
      <c r="L331" s="2612"/>
      <c r="M331" s="2612"/>
      <c r="N331" s="2613"/>
      <c r="O331" s="2090"/>
      <c r="P331" s="2090"/>
      <c r="Q331" s="2090"/>
      <c r="R331" s="871">
        <v>1</v>
      </c>
      <c r="S331" s="871">
        <v>1</v>
      </c>
      <c r="T331" s="871">
        <v>1</v>
      </c>
      <c r="U331" s="871">
        <v>1</v>
      </c>
      <c r="V331" s="871">
        <v>1</v>
      </c>
      <c r="W331" s="871">
        <v>1</v>
      </c>
      <c r="X331" s="871">
        <v>1</v>
      </c>
      <c r="Y331" s="871">
        <v>1</v>
      </c>
      <c r="Z331" s="871">
        <v>1</v>
      </c>
      <c r="AA331" s="871">
        <v>1</v>
      </c>
    </row>
    <row r="332" spans="1:27" s="2072" customFormat="1" ht="18.75">
      <c r="A332" s="6395"/>
      <c r="B332" s="2614" t="s">
        <v>17</v>
      </c>
      <c r="C332" s="2615" t="s">
        <v>9205</v>
      </c>
      <c r="D332" s="2580"/>
      <c r="E332" s="2580"/>
      <c r="F332" s="2580"/>
      <c r="G332" s="2580"/>
      <c r="H332" s="2580"/>
      <c r="I332" s="2580"/>
      <c r="J332" s="2580"/>
      <c r="K332" s="2580"/>
      <c r="L332" s="2580"/>
      <c r="M332" s="2580"/>
      <c r="N332" s="2581"/>
      <c r="O332" s="2090"/>
      <c r="P332" s="2090"/>
      <c r="Q332" s="2090"/>
      <c r="R332" s="871">
        <v>1</v>
      </c>
      <c r="S332" s="871">
        <v>1</v>
      </c>
      <c r="T332" s="871">
        <v>1</v>
      </c>
      <c r="U332" s="871">
        <v>1</v>
      </c>
      <c r="V332" s="871">
        <v>1</v>
      </c>
      <c r="W332" s="871">
        <v>1</v>
      </c>
      <c r="X332" s="871">
        <v>1</v>
      </c>
      <c r="Y332" s="871">
        <v>1</v>
      </c>
      <c r="Z332" s="871">
        <v>1</v>
      </c>
      <c r="AA332" s="871">
        <v>1</v>
      </c>
    </row>
    <row r="333" spans="1:27" s="2072" customFormat="1" ht="18.75">
      <c r="A333" s="6395"/>
      <c r="B333" s="2582"/>
      <c r="C333" s="6426" t="s">
        <v>872</v>
      </c>
      <c r="D333" s="6427"/>
      <c r="E333" s="2583"/>
      <c r="F333" s="6426" t="s">
        <v>9206</v>
      </c>
      <c r="G333" s="6427"/>
      <c r="H333" s="2583"/>
      <c r="I333" s="6426" t="s">
        <v>9207</v>
      </c>
      <c r="J333" s="6427"/>
      <c r="K333" s="2583"/>
      <c r="L333" s="6426" t="s">
        <v>321</v>
      </c>
      <c r="M333" s="6427"/>
      <c r="N333" s="2584"/>
      <c r="O333" s="2090"/>
      <c r="P333" s="2090"/>
      <c r="Q333" s="2090"/>
      <c r="R333" s="871">
        <v>1</v>
      </c>
      <c r="S333" s="871">
        <v>1</v>
      </c>
      <c r="T333" s="871">
        <v>1</v>
      </c>
      <c r="U333" s="871">
        <v>1</v>
      </c>
      <c r="V333" s="871">
        <v>1</v>
      </c>
      <c r="W333" s="871">
        <v>1</v>
      </c>
      <c r="X333" s="871">
        <v>1</v>
      </c>
      <c r="Y333" s="871">
        <v>1</v>
      </c>
      <c r="Z333" s="871">
        <v>1</v>
      </c>
      <c r="AA333" s="871">
        <v>1</v>
      </c>
    </row>
    <row r="334" spans="1:27" s="2072" customFormat="1" ht="18.75">
      <c r="A334" s="6395"/>
      <c r="B334" s="2582"/>
      <c r="C334" s="2583"/>
      <c r="D334" s="2583"/>
      <c r="E334" s="2583"/>
      <c r="F334" s="2583"/>
      <c r="G334" s="2583"/>
      <c r="H334" s="2583"/>
      <c r="I334" s="2583"/>
      <c r="J334" s="2583"/>
      <c r="K334" s="2583"/>
      <c r="L334" s="2583"/>
      <c r="M334" s="2583"/>
      <c r="N334" s="2584"/>
      <c r="O334" s="2090"/>
      <c r="P334" s="2090"/>
      <c r="Q334" s="2090"/>
      <c r="R334" s="871">
        <v>1</v>
      </c>
      <c r="S334" s="871">
        <v>1</v>
      </c>
      <c r="T334" s="871">
        <v>1</v>
      </c>
      <c r="U334" s="871">
        <v>1</v>
      </c>
      <c r="V334" s="871">
        <v>1</v>
      </c>
      <c r="W334" s="871">
        <v>1</v>
      </c>
      <c r="X334" s="871">
        <v>1</v>
      </c>
      <c r="Y334" s="871">
        <v>1</v>
      </c>
      <c r="Z334" s="871">
        <v>1</v>
      </c>
      <c r="AA334" s="871">
        <v>1</v>
      </c>
    </row>
    <row r="335" spans="1:27" s="2072" customFormat="1" ht="15">
      <c r="A335" s="6395"/>
      <c r="B335" s="6430" t="s">
        <v>9209</v>
      </c>
      <c r="C335" s="6414"/>
      <c r="D335" s="6414"/>
      <c r="E335" s="6414"/>
      <c r="F335" s="6414"/>
      <c r="G335" s="6414"/>
      <c r="H335" s="6414"/>
      <c r="I335" s="6414"/>
      <c r="J335" s="6414"/>
      <c r="K335" s="6414"/>
      <c r="L335" s="6414"/>
      <c r="M335" s="6414"/>
      <c r="N335" s="6431"/>
      <c r="O335" s="2090"/>
      <c r="P335" s="2090"/>
      <c r="Q335" s="2090"/>
      <c r="R335" s="871">
        <v>1</v>
      </c>
      <c r="S335" s="871">
        <v>1</v>
      </c>
      <c r="T335" s="871">
        <v>1</v>
      </c>
      <c r="U335" s="871">
        <v>1</v>
      </c>
      <c r="V335" s="871">
        <v>1</v>
      </c>
      <c r="W335" s="871">
        <v>1</v>
      </c>
      <c r="X335" s="871">
        <v>1</v>
      </c>
      <c r="Y335" s="871">
        <v>1</v>
      </c>
      <c r="Z335" s="871">
        <v>1</v>
      </c>
      <c r="AA335" s="871">
        <v>1</v>
      </c>
    </row>
    <row r="336" spans="1:27" s="2072" customFormat="1" ht="15">
      <c r="A336" s="6395"/>
      <c r="B336" s="6416"/>
      <c r="C336" s="6417"/>
      <c r="D336" s="6417"/>
      <c r="E336" s="6417"/>
      <c r="F336" s="6417"/>
      <c r="G336" s="6417"/>
      <c r="H336" s="6417"/>
      <c r="I336" s="6417"/>
      <c r="J336" s="6417"/>
      <c r="K336" s="6417"/>
      <c r="L336" s="6417"/>
      <c r="M336" s="6417"/>
      <c r="N336" s="6418"/>
      <c r="O336" s="2090"/>
      <c r="P336" s="2090"/>
      <c r="Q336" s="2090"/>
      <c r="R336" s="871">
        <v>1</v>
      </c>
      <c r="S336" s="871">
        <v>1</v>
      </c>
      <c r="T336" s="871">
        <v>1</v>
      </c>
      <c r="U336" s="871">
        <v>1</v>
      </c>
      <c r="V336" s="871">
        <v>1</v>
      </c>
      <c r="W336" s="871">
        <v>1</v>
      </c>
      <c r="X336" s="871">
        <v>1</v>
      </c>
      <c r="Y336" s="871">
        <v>1</v>
      </c>
      <c r="Z336" s="871">
        <v>1</v>
      </c>
      <c r="AA336" s="871">
        <v>1</v>
      </c>
    </row>
    <row r="337" spans="1:27" s="2072" customFormat="1" ht="15">
      <c r="A337" s="6395"/>
      <c r="B337" s="2587" t="s">
        <v>208</v>
      </c>
      <c r="C337" s="6419" t="str">
        <f ca="1">CELL("nomfichier")</f>
        <v>D:\Données\1.UPRT\0-UPRT.fait\1-UPRT.FR-SITE-WEB\ff-fiches-fabrications\ff.fiches.fabrication.2023\ffr.restaurant.2023\[ff.FICHE.TRILINGUE.15.COLONNES.29.11.2025.xlsx]Notice.utilisateur</v>
      </c>
      <c r="D337" s="6419"/>
      <c r="E337" s="6419"/>
      <c r="F337" s="6419"/>
      <c r="G337" s="6419"/>
      <c r="H337" s="6419"/>
      <c r="I337" s="6419"/>
      <c r="J337" s="6419"/>
      <c r="K337" s="6419"/>
      <c r="L337" s="6419"/>
      <c r="M337" s="6419"/>
      <c r="N337" s="6420"/>
      <c r="O337" s="2090"/>
      <c r="P337" s="2090"/>
      <c r="Q337" s="2090"/>
      <c r="R337" s="871">
        <v>1</v>
      </c>
      <c r="S337" s="871">
        <v>1</v>
      </c>
      <c r="T337" s="871">
        <v>1</v>
      </c>
      <c r="U337" s="871">
        <v>1</v>
      </c>
      <c r="V337" s="871">
        <v>1</v>
      </c>
      <c r="W337" s="871">
        <v>1</v>
      </c>
      <c r="X337" s="871">
        <v>1</v>
      </c>
      <c r="Y337" s="871">
        <v>1</v>
      </c>
      <c r="Z337" s="871">
        <v>1</v>
      </c>
      <c r="AA337" s="871">
        <v>1</v>
      </c>
    </row>
    <row r="338" spans="1:27" s="2072" customFormat="1" ht="15">
      <c r="A338" s="6395"/>
      <c r="B338" s="2588" t="s">
        <v>9210</v>
      </c>
      <c r="C338" s="6428" t="s">
        <v>9211</v>
      </c>
      <c r="D338" s="6428"/>
      <c r="E338" s="6428"/>
      <c r="F338" s="6428"/>
      <c r="G338" s="6428"/>
      <c r="H338" s="6428"/>
      <c r="I338" s="6428"/>
      <c r="J338" s="6428"/>
      <c r="K338" s="6428"/>
      <c r="L338" s="6428"/>
      <c r="M338" s="6428"/>
      <c r="N338" s="6429"/>
      <c r="O338" s="2090"/>
      <c r="P338" s="2090"/>
      <c r="Q338" s="2090"/>
      <c r="R338" s="871">
        <v>1</v>
      </c>
      <c r="S338" s="871">
        <v>1</v>
      </c>
      <c r="T338" s="871">
        <v>1</v>
      </c>
      <c r="U338" s="871">
        <v>1</v>
      </c>
      <c r="V338" s="871">
        <v>1</v>
      </c>
      <c r="W338" s="871">
        <v>1</v>
      </c>
      <c r="X338" s="871">
        <v>1</v>
      </c>
      <c r="Y338" s="871">
        <v>1</v>
      </c>
      <c r="Z338" s="871">
        <v>1</v>
      </c>
      <c r="AA338" s="871">
        <v>1</v>
      </c>
    </row>
    <row r="339" spans="1:27" s="2072" customFormat="1" thickBot="1">
      <c r="A339" s="6395"/>
      <c r="B339" s="6408" t="s">
        <v>9128</v>
      </c>
      <c r="C339" s="6409"/>
      <c r="D339" s="6409"/>
      <c r="E339" s="6409"/>
      <c r="F339" s="6409"/>
      <c r="G339" s="6409"/>
      <c r="H339" s="6409"/>
      <c r="I339" s="6409"/>
      <c r="J339" s="6409"/>
      <c r="K339" s="6409"/>
      <c r="L339" s="6409"/>
      <c r="M339" s="6409"/>
      <c r="N339" s="6410"/>
      <c r="O339" s="2090"/>
      <c r="P339" s="2090"/>
      <c r="Q339" s="2090"/>
      <c r="R339" s="871">
        <v>1</v>
      </c>
      <c r="S339" s="871">
        <v>1</v>
      </c>
      <c r="T339" s="871">
        <v>1</v>
      </c>
      <c r="U339" s="871">
        <v>1</v>
      </c>
      <c r="V339" s="871">
        <v>1</v>
      </c>
      <c r="W339" s="871">
        <v>1</v>
      </c>
      <c r="X339" s="871">
        <v>1</v>
      </c>
      <c r="Y339" s="871">
        <v>1</v>
      </c>
      <c r="Z339" s="871">
        <v>1</v>
      </c>
      <c r="AA339" s="871">
        <v>1</v>
      </c>
    </row>
    <row r="340" spans="1:27" s="2072" customFormat="1" ht="15.75" customHeight="1">
      <c r="A340" s="2090"/>
      <c r="B340" s="2124"/>
      <c r="C340" s="2124"/>
      <c r="D340" s="2124"/>
      <c r="E340" s="2124"/>
      <c r="F340" s="2124"/>
      <c r="G340" s="2124"/>
      <c r="H340" s="2091"/>
      <c r="I340" s="2134"/>
      <c r="J340" s="2134"/>
      <c r="K340" s="2135"/>
      <c r="L340" s="2135"/>
      <c r="M340" s="2134"/>
      <c r="N340" s="2134"/>
      <c r="O340" s="2090"/>
      <c r="P340" s="2090"/>
      <c r="Q340" s="2090"/>
      <c r="R340" s="871">
        <v>1</v>
      </c>
      <c r="S340" s="871">
        <v>1</v>
      </c>
      <c r="T340" s="871">
        <v>1</v>
      </c>
      <c r="U340" s="871">
        <v>1</v>
      </c>
      <c r="V340" s="871">
        <v>1</v>
      </c>
      <c r="W340" s="871">
        <v>1</v>
      </c>
      <c r="X340" s="871">
        <v>1</v>
      </c>
      <c r="Y340" s="871">
        <v>1</v>
      </c>
      <c r="Z340" s="871">
        <v>1</v>
      </c>
      <c r="AA340" s="871">
        <v>1</v>
      </c>
    </row>
    <row r="341" spans="1:27" s="2072" customFormat="1" thickBot="1">
      <c r="A341" s="2090"/>
      <c r="B341" s="2124"/>
      <c r="C341" s="2124"/>
      <c r="D341" s="2124"/>
      <c r="E341" s="2124"/>
      <c r="F341" s="2124"/>
      <c r="G341" s="2124"/>
      <c r="H341" s="2091"/>
      <c r="I341" s="2134"/>
      <c r="J341" s="2134"/>
      <c r="K341" s="2135"/>
      <c r="L341" s="2135"/>
      <c r="M341" s="2134"/>
      <c r="N341" s="2134"/>
      <c r="O341" s="2090"/>
      <c r="P341" s="2090"/>
      <c r="Q341" s="2090"/>
      <c r="R341" s="871">
        <v>1</v>
      </c>
      <c r="S341" s="871">
        <v>1</v>
      </c>
      <c r="T341" s="871">
        <v>1</v>
      </c>
      <c r="U341" s="871">
        <v>1</v>
      </c>
      <c r="V341" s="871">
        <v>1</v>
      </c>
      <c r="W341" s="871">
        <v>1</v>
      </c>
      <c r="X341" s="871">
        <v>1</v>
      </c>
      <c r="Y341" s="871">
        <v>1</v>
      </c>
      <c r="Z341" s="871">
        <v>1</v>
      </c>
      <c r="AA341" s="871">
        <v>1</v>
      </c>
    </row>
    <row r="342" spans="1:27" s="2072" customFormat="1" ht="15.75" customHeight="1">
      <c r="A342" s="2115" t="s">
        <v>167</v>
      </c>
      <c r="B342" s="2616" t="s">
        <v>9021</v>
      </c>
      <c r="C342" s="2617"/>
      <c r="D342" s="2618"/>
      <c r="E342" s="2619"/>
      <c r="F342" s="2090"/>
      <c r="G342" s="2231" t="s">
        <v>167</v>
      </c>
      <c r="H342" s="2620" t="s">
        <v>9011</v>
      </c>
      <c r="I342" s="2621"/>
      <c r="J342" s="2622"/>
      <c r="K342" s="2622"/>
      <c r="L342" s="2622"/>
      <c r="M342" s="2622"/>
      <c r="N342" s="2623"/>
      <c r="O342" s="2090"/>
      <c r="P342" s="2090"/>
      <c r="Q342" s="2090"/>
      <c r="R342" s="871">
        <v>1</v>
      </c>
      <c r="S342" s="871">
        <v>1</v>
      </c>
      <c r="T342" s="871">
        <v>1</v>
      </c>
      <c r="U342" s="871">
        <v>1</v>
      </c>
      <c r="V342" s="871">
        <v>1</v>
      </c>
      <c r="W342" s="871">
        <v>1</v>
      </c>
      <c r="X342" s="871">
        <v>1</v>
      </c>
      <c r="Y342" s="871">
        <v>1</v>
      </c>
      <c r="Z342" s="871">
        <v>1</v>
      </c>
      <c r="AA342" s="871">
        <v>1</v>
      </c>
    </row>
    <row r="343" spans="1:27" s="2072" customFormat="1" ht="18.75">
      <c r="A343" s="6056" t="str">
        <f>B342</f>
        <v xml:space="preserve">Quantités nettes à prévoir : Mater Prim Adul Adul +  </v>
      </c>
      <c r="B343" s="2129" t="str">
        <f>ADDRESS(ROW(),COLUMN(),4)</f>
        <v>B343</v>
      </c>
      <c r="C343" s="1778" t="s">
        <v>3529</v>
      </c>
      <c r="D343" s="2118"/>
      <c r="E343" s="2122"/>
      <c r="F343" s="2090"/>
      <c r="G343" s="6056" t="str">
        <f>H342</f>
        <v>PURÉE DÉSHYDRATÉE</v>
      </c>
      <c r="H343" s="2129" t="str">
        <f>ADDRESS(ROW(),COLUMN(),4)</f>
        <v>H343</v>
      </c>
      <c r="I343" s="1778" t="s">
        <v>3529</v>
      </c>
      <c r="J343" s="2118"/>
      <c r="K343" s="1872"/>
      <c r="L343" s="1872"/>
      <c r="M343" s="1872"/>
      <c r="N343" s="2130"/>
      <c r="O343" s="2090"/>
      <c r="P343" s="2090"/>
      <c r="Q343" s="2090"/>
      <c r="R343" s="871">
        <v>1</v>
      </c>
      <c r="S343" s="871">
        <v>1</v>
      </c>
      <c r="T343" s="871">
        <v>1</v>
      </c>
      <c r="U343" s="871">
        <v>1</v>
      </c>
      <c r="V343" s="871">
        <v>1</v>
      </c>
      <c r="W343" s="871">
        <v>1</v>
      </c>
      <c r="X343" s="871">
        <v>1</v>
      </c>
      <c r="Y343" s="871">
        <v>1</v>
      </c>
      <c r="Z343" s="871">
        <v>1</v>
      </c>
      <c r="AA343" s="871">
        <v>1</v>
      </c>
    </row>
    <row r="344" spans="1:27" s="2072" customFormat="1" ht="25.5">
      <c r="A344" s="6056"/>
      <c r="B344" s="6432" t="s">
        <v>9220</v>
      </c>
      <c r="C344" s="6433"/>
      <c r="D344" s="6436" t="s">
        <v>9221</v>
      </c>
      <c r="E344" s="6438">
        <f>(B346*B349)+(C346*C349)+(D346*D349)+(E346*E349)</f>
        <v>228.85000000000002</v>
      </c>
      <c r="F344" s="2090"/>
      <c r="G344" s="6056"/>
      <c r="H344" s="2624" t="s">
        <v>9222</v>
      </c>
      <c r="I344" s="2625" t="s">
        <v>3552</v>
      </c>
      <c r="J344" s="2625" t="s">
        <v>9223</v>
      </c>
      <c r="K344" s="2625" t="s">
        <v>9224</v>
      </c>
      <c r="L344" s="2625" t="s">
        <v>9225</v>
      </c>
      <c r="M344" s="2625" t="s">
        <v>8767</v>
      </c>
      <c r="N344" s="2626" t="s">
        <v>9226</v>
      </c>
      <c r="O344" s="2090"/>
      <c r="P344" s="2090"/>
      <c r="Q344" s="2090"/>
      <c r="R344" s="871">
        <v>1</v>
      </c>
      <c r="S344" s="871">
        <v>1</v>
      </c>
      <c r="T344" s="871">
        <v>1</v>
      </c>
      <c r="U344" s="871">
        <v>1</v>
      </c>
      <c r="V344" s="871">
        <v>1</v>
      </c>
      <c r="W344" s="871">
        <v>1</v>
      </c>
      <c r="X344" s="871">
        <v>1</v>
      </c>
      <c r="Y344" s="871">
        <v>1</v>
      </c>
      <c r="Z344" s="871">
        <v>1</v>
      </c>
      <c r="AA344" s="871">
        <v>1</v>
      </c>
    </row>
    <row r="345" spans="1:27" s="2072" customFormat="1" ht="15">
      <c r="A345" s="6056"/>
      <c r="B345" s="6434"/>
      <c r="C345" s="6435"/>
      <c r="D345" s="6437"/>
      <c r="E345" s="6439"/>
      <c r="F345" s="2090"/>
      <c r="G345" s="6056"/>
      <c r="H345" s="6440">
        <v>0.12</v>
      </c>
      <c r="I345" s="6459">
        <v>1</v>
      </c>
      <c r="J345" s="6459">
        <v>0.11</v>
      </c>
      <c r="K345" s="6459">
        <v>0</v>
      </c>
      <c r="L345" s="6459">
        <v>0.01</v>
      </c>
      <c r="M345" s="6459">
        <v>5.0000000000000001E-3</v>
      </c>
      <c r="N345" s="6460">
        <f>SUM(H345:M345)</f>
        <v>1.2450000000000001</v>
      </c>
      <c r="O345" s="2090"/>
      <c r="P345" s="2090"/>
      <c r="Q345" s="2090"/>
      <c r="R345" s="871">
        <v>1</v>
      </c>
      <c r="S345" s="871">
        <v>1</v>
      </c>
      <c r="T345" s="871">
        <v>1</v>
      </c>
      <c r="U345" s="871">
        <v>1</v>
      </c>
      <c r="V345" s="871">
        <v>1</v>
      </c>
      <c r="W345" s="871">
        <v>1</v>
      </c>
      <c r="X345" s="871">
        <v>1</v>
      </c>
      <c r="Y345" s="871">
        <v>1</v>
      </c>
      <c r="Z345" s="871">
        <v>1</v>
      </c>
      <c r="AA345" s="871">
        <v>1</v>
      </c>
    </row>
    <row r="346" spans="1:27" s="2072" customFormat="1" ht="15">
      <c r="A346" s="6056"/>
      <c r="B346" s="6452">
        <v>6.5000000000000002E-2</v>
      </c>
      <c r="C346" s="6454">
        <v>7.4999999999999997E-2</v>
      </c>
      <c r="D346" s="6454">
        <v>0.12</v>
      </c>
      <c r="E346" s="6456">
        <v>0.15</v>
      </c>
      <c r="F346" s="2090"/>
      <c r="G346" s="6056"/>
      <c r="H346" s="6440"/>
      <c r="I346" s="6459"/>
      <c r="J346" s="6459"/>
      <c r="K346" s="6459"/>
      <c r="L346" s="6459"/>
      <c r="M346" s="6459"/>
      <c r="N346" s="6460"/>
      <c r="O346" s="2090"/>
      <c r="P346" s="2090"/>
      <c r="Q346" s="2090"/>
      <c r="R346" s="871">
        <v>1</v>
      </c>
      <c r="S346" s="871">
        <v>1</v>
      </c>
      <c r="T346" s="871">
        <v>1</v>
      </c>
      <c r="U346" s="871">
        <v>1</v>
      </c>
      <c r="V346" s="871">
        <v>1</v>
      </c>
      <c r="W346" s="871">
        <v>1</v>
      </c>
      <c r="X346" s="871">
        <v>1</v>
      </c>
      <c r="Y346" s="871">
        <v>1</v>
      </c>
      <c r="Z346" s="871">
        <v>1</v>
      </c>
      <c r="AA346" s="871">
        <v>1</v>
      </c>
    </row>
    <row r="347" spans="1:27" s="2072" customFormat="1" ht="15">
      <c r="A347" s="6056"/>
      <c r="B347" s="6453"/>
      <c r="C347" s="6455"/>
      <c r="D347" s="6455"/>
      <c r="E347" s="6457"/>
      <c r="F347" s="2090"/>
      <c r="G347" s="6056"/>
      <c r="H347" s="6458">
        <f>(H345/N345)*N347</f>
        <v>2.1204819277108431</v>
      </c>
      <c r="I347" s="6441">
        <f>(I345/N345)*N347</f>
        <v>17.670682730923691</v>
      </c>
      <c r="J347" s="6441">
        <f>(J345/N345)*N347</f>
        <v>1.9437751004016062</v>
      </c>
      <c r="K347" s="6441">
        <f>(K345/N345)*N347</f>
        <v>0</v>
      </c>
      <c r="L347" s="6441">
        <f>(L345/N345)*N347</f>
        <v>0.17670682730923692</v>
      </c>
      <c r="M347" s="6441">
        <f>(M345/N345)*N347</f>
        <v>8.8353413654618462E-2</v>
      </c>
      <c r="N347" s="6442">
        <v>22</v>
      </c>
      <c r="O347" s="2090"/>
      <c r="P347" s="2090"/>
      <c r="Q347" s="2090"/>
      <c r="R347" s="871">
        <v>1</v>
      </c>
      <c r="S347" s="871">
        <v>1</v>
      </c>
      <c r="T347" s="871">
        <v>1</v>
      </c>
      <c r="U347" s="871">
        <v>1</v>
      </c>
      <c r="V347" s="871">
        <v>1</v>
      </c>
      <c r="W347" s="871">
        <v>1</v>
      </c>
      <c r="X347" s="871">
        <v>1</v>
      </c>
      <c r="Y347" s="871">
        <v>1</v>
      </c>
      <c r="Z347" s="871">
        <v>1</v>
      </c>
      <c r="AA347" s="871">
        <v>1</v>
      </c>
    </row>
    <row r="348" spans="1:27" s="2072" customFormat="1" ht="15">
      <c r="A348" s="6056"/>
      <c r="B348" s="2627" t="s">
        <v>9227</v>
      </c>
      <c r="C348" s="2628" t="s">
        <v>9228</v>
      </c>
      <c r="D348" s="2628" t="s">
        <v>9229</v>
      </c>
      <c r="E348" s="2629" t="s">
        <v>9089</v>
      </c>
      <c r="F348" s="2090"/>
      <c r="G348" s="6056"/>
      <c r="H348" s="6458"/>
      <c r="I348" s="6441"/>
      <c r="J348" s="6441"/>
      <c r="K348" s="6441"/>
      <c r="L348" s="6441"/>
      <c r="M348" s="6441"/>
      <c r="N348" s="6442"/>
      <c r="O348" s="2090"/>
      <c r="P348" s="2090"/>
      <c r="Q348" s="2090"/>
      <c r="R348" s="871">
        <v>1</v>
      </c>
      <c r="S348" s="871">
        <v>1</v>
      </c>
      <c r="T348" s="871">
        <v>1</v>
      </c>
      <c r="U348" s="871">
        <v>1</v>
      </c>
      <c r="V348" s="871">
        <v>1</v>
      </c>
      <c r="W348" s="871">
        <v>1</v>
      </c>
      <c r="X348" s="871">
        <v>1</v>
      </c>
      <c r="Y348" s="871">
        <v>1</v>
      </c>
      <c r="Z348" s="871">
        <v>1</v>
      </c>
      <c r="AA348" s="871">
        <v>1</v>
      </c>
    </row>
    <row r="349" spans="1:27" s="2072" customFormat="1" ht="15" customHeight="1">
      <c r="A349" s="6056"/>
      <c r="B349" s="6443">
        <v>920</v>
      </c>
      <c r="C349" s="6445">
        <v>1700</v>
      </c>
      <c r="D349" s="6445">
        <v>240</v>
      </c>
      <c r="E349" s="6447">
        <v>85</v>
      </c>
      <c r="F349" s="2090"/>
      <c r="G349" s="6056"/>
      <c r="H349" s="6449" t="s">
        <v>9230</v>
      </c>
      <c r="I349" s="6450"/>
      <c r="J349" s="6450"/>
      <c r="K349" s="6450"/>
      <c r="L349" s="6450"/>
      <c r="M349" s="6450"/>
      <c r="N349" s="6451"/>
      <c r="O349" s="2090"/>
      <c r="P349" s="2090"/>
      <c r="Q349" s="2090"/>
      <c r="R349" s="871">
        <v>1</v>
      </c>
      <c r="S349" s="871">
        <v>1</v>
      </c>
      <c r="T349" s="871">
        <v>1</v>
      </c>
      <c r="U349" s="871">
        <v>1</v>
      </c>
      <c r="V349" s="871">
        <v>1</v>
      </c>
      <c r="W349" s="871">
        <v>1</v>
      </c>
      <c r="X349" s="871">
        <v>1</v>
      </c>
      <c r="Y349" s="871">
        <v>1</v>
      </c>
      <c r="Z349" s="871">
        <v>1</v>
      </c>
      <c r="AA349" s="871">
        <v>1</v>
      </c>
    </row>
    <row r="350" spans="1:27" s="2072" customFormat="1" ht="15" customHeight="1">
      <c r="A350" s="6056"/>
      <c r="B350" s="6444"/>
      <c r="C350" s="6446"/>
      <c r="D350" s="6446"/>
      <c r="E350" s="6448"/>
      <c r="F350" s="2090"/>
      <c r="G350" s="6056"/>
      <c r="H350" s="6473">
        <f t="shared" ref="H350:M350" si="1">ROUNDUP(H347,2)</f>
        <v>2.13</v>
      </c>
      <c r="I350" s="6474">
        <f t="shared" si="1"/>
        <v>17.680000000000003</v>
      </c>
      <c r="J350" s="6474">
        <f t="shared" si="1"/>
        <v>1.95</v>
      </c>
      <c r="K350" s="6474">
        <f t="shared" si="1"/>
        <v>0</v>
      </c>
      <c r="L350" s="6474">
        <f t="shared" si="1"/>
        <v>0.18000000000000002</v>
      </c>
      <c r="M350" s="6474">
        <f t="shared" si="1"/>
        <v>0.09</v>
      </c>
      <c r="N350" s="6461">
        <f>SUM(H350:M350)</f>
        <v>22.03</v>
      </c>
      <c r="O350" s="2090"/>
      <c r="P350" s="2090"/>
      <c r="Q350" s="2090"/>
      <c r="R350" s="871">
        <v>1</v>
      </c>
      <c r="S350" s="871">
        <v>1</v>
      </c>
      <c r="T350" s="871">
        <v>1</v>
      </c>
      <c r="U350" s="871">
        <v>1</v>
      </c>
      <c r="V350" s="871">
        <v>1</v>
      </c>
      <c r="W350" s="871">
        <v>1</v>
      </c>
      <c r="X350" s="871">
        <v>1</v>
      </c>
      <c r="Y350" s="871">
        <v>1</v>
      </c>
      <c r="Z350" s="871">
        <v>1</v>
      </c>
      <c r="AA350" s="871">
        <v>1</v>
      </c>
    </row>
    <row r="351" spans="1:27" s="2072" customFormat="1" ht="15.75" customHeight="1">
      <c r="A351" s="6056"/>
      <c r="B351" s="6462" t="s">
        <v>9231</v>
      </c>
      <c r="C351" s="6464">
        <f>SUM(B349:E349)</f>
        <v>2945</v>
      </c>
      <c r="D351" s="6466" t="s">
        <v>9232</v>
      </c>
      <c r="E351" s="6468">
        <f>IF(E344=0,0,E344/D346)</f>
        <v>1907.0833333333335</v>
      </c>
      <c r="F351" s="2090"/>
      <c r="G351" s="6056"/>
      <c r="H351" s="6473"/>
      <c r="I351" s="6474"/>
      <c r="J351" s="6474"/>
      <c r="K351" s="6474"/>
      <c r="L351" s="6474"/>
      <c r="M351" s="6474"/>
      <c r="N351" s="6461"/>
      <c r="O351" s="2090"/>
      <c r="P351" s="2090"/>
      <c r="Q351" s="2090"/>
      <c r="R351" s="871">
        <v>1</v>
      </c>
      <c r="S351" s="871">
        <v>1</v>
      </c>
      <c r="T351" s="871">
        <v>1</v>
      </c>
      <c r="U351" s="871">
        <v>1</v>
      </c>
      <c r="V351" s="871">
        <v>1</v>
      </c>
      <c r="W351" s="871">
        <v>1</v>
      </c>
      <c r="X351" s="871">
        <v>1</v>
      </c>
      <c r="Y351" s="871">
        <v>1</v>
      </c>
      <c r="Z351" s="871">
        <v>1</v>
      </c>
      <c r="AA351" s="871">
        <v>1</v>
      </c>
    </row>
    <row r="352" spans="1:27" s="2072" customFormat="1" ht="15.75" customHeight="1" thickBot="1">
      <c r="A352" s="6056"/>
      <c r="B352" s="6463"/>
      <c r="C352" s="6465"/>
      <c r="D352" s="6467"/>
      <c r="E352" s="6469"/>
      <c r="F352" s="2090"/>
      <c r="G352" s="6056"/>
      <c r="H352" s="6470" t="s">
        <v>9233</v>
      </c>
      <c r="I352" s="6471"/>
      <c r="J352" s="6471"/>
      <c r="K352" s="6471"/>
      <c r="L352" s="6471"/>
      <c r="M352" s="6471"/>
      <c r="N352" s="6472"/>
      <c r="O352" s="2090"/>
      <c r="P352" s="2090"/>
      <c r="Q352" s="2090"/>
      <c r="R352" s="871">
        <v>1</v>
      </c>
      <c r="S352" s="871">
        <v>1</v>
      </c>
      <c r="T352" s="871">
        <v>1</v>
      </c>
      <c r="U352" s="871">
        <v>1</v>
      </c>
      <c r="V352" s="871">
        <v>1</v>
      </c>
      <c r="W352" s="871">
        <v>1</v>
      </c>
      <c r="X352" s="871">
        <v>1</v>
      </c>
      <c r="Y352" s="871">
        <v>1</v>
      </c>
      <c r="Z352" s="871">
        <v>1</v>
      </c>
      <c r="AA352" s="871">
        <v>1</v>
      </c>
    </row>
    <row r="353" spans="1:27" s="2072" customFormat="1" ht="16.5" thickBot="1">
      <c r="A353" s="6056"/>
      <c r="B353" s="6475" t="s">
        <v>3554</v>
      </c>
      <c r="C353" s="6476"/>
      <c r="D353" s="6476"/>
      <c r="E353" s="6477"/>
      <c r="F353" s="2090"/>
      <c r="G353" s="6056"/>
      <c r="H353" s="6475" t="s">
        <v>3554</v>
      </c>
      <c r="I353" s="6476"/>
      <c r="J353" s="6476"/>
      <c r="K353" s="6476"/>
      <c r="L353" s="1666"/>
      <c r="M353" s="1666"/>
      <c r="N353" s="1667"/>
      <c r="O353" s="2091"/>
      <c r="P353" s="2091"/>
      <c r="Q353" s="2091"/>
      <c r="R353" s="871">
        <v>1</v>
      </c>
      <c r="S353" s="871">
        <v>1</v>
      </c>
      <c r="T353" s="871">
        <v>1</v>
      </c>
      <c r="U353" s="871">
        <v>1</v>
      </c>
      <c r="V353" s="871">
        <v>1</v>
      </c>
      <c r="W353" s="871">
        <v>1</v>
      </c>
      <c r="X353" s="871">
        <v>1</v>
      </c>
      <c r="Y353" s="871">
        <v>1</v>
      </c>
      <c r="Z353" s="871">
        <v>1</v>
      </c>
      <c r="AA353" s="871">
        <v>1</v>
      </c>
    </row>
    <row r="354" spans="1:27" s="2072" customFormat="1" thickBot="1">
      <c r="A354" s="2090"/>
      <c r="B354" s="2091"/>
      <c r="C354" s="2091"/>
      <c r="D354" s="2091"/>
      <c r="E354" s="2091"/>
      <c r="F354" s="2091"/>
      <c r="G354" s="2091"/>
      <c r="H354" s="2091"/>
      <c r="I354" s="2091"/>
      <c r="J354" s="2091"/>
      <c r="K354" s="2091"/>
      <c r="L354" s="2091"/>
      <c r="M354" s="2091"/>
      <c r="N354" s="2091"/>
      <c r="O354" s="2091"/>
      <c r="P354" s="2091"/>
      <c r="Q354" s="2091"/>
      <c r="R354" s="871">
        <v>1</v>
      </c>
      <c r="S354" s="871">
        <v>1</v>
      </c>
      <c r="T354" s="871">
        <v>1</v>
      </c>
      <c r="U354" s="871">
        <v>1</v>
      </c>
      <c r="V354" s="871">
        <v>1</v>
      </c>
      <c r="W354" s="871">
        <v>1</v>
      </c>
      <c r="X354" s="871">
        <v>1</v>
      </c>
      <c r="Y354" s="871">
        <v>1</v>
      </c>
      <c r="Z354" s="871">
        <v>1</v>
      </c>
      <c r="AA354" s="871">
        <v>1</v>
      </c>
    </row>
    <row r="355" spans="1:27" s="2072" customFormat="1" ht="18.75">
      <c r="A355" s="2115" t="s">
        <v>167</v>
      </c>
      <c r="B355" s="6478" t="str">
        <f>B357</f>
        <v>Gélatine alimentaire</v>
      </c>
      <c r="C355" s="6479"/>
      <c r="D355" s="6479"/>
      <c r="E355" s="6479"/>
      <c r="F355" s="6479"/>
      <c r="G355" s="6479"/>
      <c r="H355" s="6479"/>
      <c r="I355" s="6479"/>
      <c r="J355" s="6479"/>
      <c r="K355" s="6479"/>
      <c r="L355" s="6479"/>
      <c r="M355" s="6479"/>
      <c r="N355" s="6480"/>
      <c r="O355" s="2090"/>
      <c r="P355" s="2090"/>
      <c r="Q355" s="2090"/>
      <c r="R355" s="871">
        <v>1</v>
      </c>
      <c r="S355" s="871">
        <v>1</v>
      </c>
      <c r="T355" s="871">
        <v>1</v>
      </c>
      <c r="U355" s="871">
        <v>1</v>
      </c>
      <c r="V355" s="871">
        <v>1</v>
      </c>
      <c r="W355" s="871">
        <v>1</v>
      </c>
      <c r="X355" s="871">
        <v>1</v>
      </c>
      <c r="Y355" s="871">
        <v>1</v>
      </c>
      <c r="Z355" s="871">
        <v>1</v>
      </c>
      <c r="AA355" s="871">
        <v>1</v>
      </c>
    </row>
    <row r="356" spans="1:27" s="2072" customFormat="1" ht="22.5" customHeight="1">
      <c r="A356" s="5987" t="str">
        <f>B357</f>
        <v>Gélatine alimentaire</v>
      </c>
      <c r="B356" s="2129" t="str">
        <f>ADDRESS(ROW(),COLUMN(),4)</f>
        <v>B356</v>
      </c>
      <c r="C356" s="1778" t="s">
        <v>3529</v>
      </c>
      <c r="D356" s="2118"/>
      <c r="E356" s="2118"/>
      <c r="F356" s="2118"/>
      <c r="G356" s="2118"/>
      <c r="H356" s="2118"/>
      <c r="I356" s="2118"/>
      <c r="J356" s="2118"/>
      <c r="K356" s="2118"/>
      <c r="L356" s="2118"/>
      <c r="M356" s="2118"/>
      <c r="N356" s="2122"/>
      <c r="O356" s="2090"/>
      <c r="P356" s="2090"/>
      <c r="Q356" s="2090"/>
      <c r="R356" s="871">
        <v>1</v>
      </c>
      <c r="S356" s="871">
        <v>1</v>
      </c>
      <c r="T356" s="871">
        <v>1</v>
      </c>
      <c r="U356" s="871">
        <v>1</v>
      </c>
      <c r="V356" s="871">
        <v>1</v>
      </c>
      <c r="W356" s="871">
        <v>1</v>
      </c>
      <c r="X356" s="871">
        <v>1</v>
      </c>
      <c r="Y356" s="871">
        <v>1</v>
      </c>
      <c r="Z356" s="871">
        <v>1</v>
      </c>
      <c r="AA356" s="871">
        <v>1</v>
      </c>
    </row>
    <row r="357" spans="1:27" s="2072" customFormat="1" ht="15" customHeight="1">
      <c r="A357" s="6056"/>
      <c r="B357" s="6481" t="s">
        <v>9010</v>
      </c>
      <c r="C357" s="6482"/>
      <c r="D357" s="6482"/>
      <c r="E357" s="6482"/>
      <c r="F357" s="6482"/>
      <c r="G357" s="6482"/>
      <c r="H357" s="6482"/>
      <c r="I357" s="6482"/>
      <c r="J357" s="6482"/>
      <c r="K357" s="6482"/>
      <c r="L357" s="6482"/>
      <c r="M357" s="6482"/>
      <c r="N357" s="6483"/>
      <c r="O357" s="2090"/>
      <c r="P357" s="2090"/>
      <c r="Q357" s="2090"/>
      <c r="R357" s="871">
        <v>1</v>
      </c>
      <c r="S357" s="871">
        <v>1</v>
      </c>
      <c r="T357" s="871">
        <v>1</v>
      </c>
      <c r="U357" s="871">
        <v>1</v>
      </c>
      <c r="V357" s="871">
        <v>1</v>
      </c>
      <c r="W357" s="871">
        <v>1</v>
      </c>
      <c r="X357" s="871">
        <v>1</v>
      </c>
      <c r="Y357" s="871">
        <v>1</v>
      </c>
      <c r="Z357" s="871">
        <v>1</v>
      </c>
      <c r="AA357" s="871">
        <v>1</v>
      </c>
    </row>
    <row r="358" spans="1:27" s="2072" customFormat="1" ht="15" customHeight="1">
      <c r="A358" s="6056"/>
      <c r="B358" s="6481"/>
      <c r="C358" s="6482"/>
      <c r="D358" s="6482"/>
      <c r="E358" s="6482"/>
      <c r="F358" s="6482"/>
      <c r="G358" s="6482"/>
      <c r="H358" s="6482"/>
      <c r="I358" s="6482"/>
      <c r="J358" s="6482"/>
      <c r="K358" s="6482"/>
      <c r="L358" s="6482"/>
      <c r="M358" s="6482"/>
      <c r="N358" s="6483"/>
      <c r="O358" s="2090"/>
      <c r="P358" s="2090"/>
      <c r="Q358" s="2090"/>
      <c r="R358" s="871">
        <v>1</v>
      </c>
      <c r="S358" s="871">
        <v>1</v>
      </c>
      <c r="T358" s="871">
        <v>1</v>
      </c>
      <c r="U358" s="871">
        <v>1</v>
      </c>
      <c r="V358" s="871">
        <v>1</v>
      </c>
      <c r="W358" s="871">
        <v>1</v>
      </c>
      <c r="X358" s="871">
        <v>1</v>
      </c>
      <c r="Y358" s="871">
        <v>1</v>
      </c>
      <c r="Z358" s="871">
        <v>1</v>
      </c>
      <c r="AA358" s="871">
        <v>1</v>
      </c>
    </row>
    <row r="359" spans="1:27" s="2072" customFormat="1" ht="15" customHeight="1">
      <c r="A359" s="6056"/>
      <c r="B359" s="6484" t="s">
        <v>9234</v>
      </c>
      <c r="C359" s="6485"/>
      <c r="D359" s="6485"/>
      <c r="E359" s="6485"/>
      <c r="F359" s="6485"/>
      <c r="G359" s="6485"/>
      <c r="H359" s="6485"/>
      <c r="I359" s="6485"/>
      <c r="J359" s="6485"/>
      <c r="K359" s="6485"/>
      <c r="L359" s="6485"/>
      <c r="M359" s="6485"/>
      <c r="N359" s="6486"/>
      <c r="O359" s="2090"/>
      <c r="P359" s="2090"/>
      <c r="Q359" s="2090"/>
      <c r="R359" s="871">
        <v>1</v>
      </c>
      <c r="S359" s="871">
        <v>1</v>
      </c>
      <c r="T359" s="871">
        <v>1</v>
      </c>
      <c r="U359" s="871">
        <v>1</v>
      </c>
      <c r="V359" s="871">
        <v>1</v>
      </c>
      <c r="W359" s="871">
        <v>1</v>
      </c>
      <c r="X359" s="871">
        <v>1</v>
      </c>
      <c r="Y359" s="871">
        <v>1</v>
      </c>
      <c r="Z359" s="871">
        <v>1</v>
      </c>
      <c r="AA359" s="871">
        <v>1</v>
      </c>
    </row>
    <row r="360" spans="1:27" s="2072" customFormat="1" ht="15.75" customHeight="1">
      <c r="A360" s="6056"/>
      <c r="B360" s="6487"/>
      <c r="C360" s="6488"/>
      <c r="D360" s="6488"/>
      <c r="E360" s="6488"/>
      <c r="F360" s="6488"/>
      <c r="G360" s="6488"/>
      <c r="H360" s="6488"/>
      <c r="I360" s="6488"/>
      <c r="J360" s="6488"/>
      <c r="K360" s="6488"/>
      <c r="L360" s="6488"/>
      <c r="M360" s="6488"/>
      <c r="N360" s="6489"/>
      <c r="O360" s="2090"/>
      <c r="P360" s="2090"/>
      <c r="Q360" s="2090"/>
      <c r="R360" s="871">
        <v>1</v>
      </c>
      <c r="S360" s="871">
        <v>1</v>
      </c>
      <c r="T360" s="871">
        <v>1</v>
      </c>
      <c r="U360" s="871">
        <v>1</v>
      </c>
      <c r="V360" s="871">
        <v>1</v>
      </c>
      <c r="W360" s="871">
        <v>1</v>
      </c>
      <c r="X360" s="871">
        <v>1</v>
      </c>
      <c r="Y360" s="871">
        <v>1</v>
      </c>
      <c r="Z360" s="871">
        <v>1</v>
      </c>
      <c r="AA360" s="871">
        <v>1</v>
      </c>
    </row>
    <row r="361" spans="1:27" s="2072" customFormat="1" ht="15.75" customHeight="1">
      <c r="A361" s="6056"/>
      <c r="B361" s="2630"/>
      <c r="C361" s="2631"/>
      <c r="D361" s="2631"/>
      <c r="E361" s="2631"/>
      <c r="F361" s="2631"/>
      <c r="G361" s="2631"/>
      <c r="H361" s="2631"/>
      <c r="I361" s="2631"/>
      <c r="J361" s="2631"/>
      <c r="K361" s="2631"/>
      <c r="L361" s="2631"/>
      <c r="M361" s="2631"/>
      <c r="N361" s="2632" t="s">
        <v>9235</v>
      </c>
      <c r="O361" s="2090"/>
      <c r="P361" s="2090"/>
      <c r="Q361" s="2090"/>
      <c r="R361" s="871">
        <v>1</v>
      </c>
      <c r="S361" s="871">
        <v>1</v>
      </c>
      <c r="T361" s="871">
        <v>1</v>
      </c>
      <c r="U361" s="871">
        <v>1</v>
      </c>
      <c r="V361" s="871">
        <v>1</v>
      </c>
      <c r="W361" s="871">
        <v>1</v>
      </c>
      <c r="X361" s="871">
        <v>1</v>
      </c>
      <c r="Y361" s="871">
        <v>1</v>
      </c>
      <c r="Z361" s="871">
        <v>1</v>
      </c>
      <c r="AA361" s="871">
        <v>1</v>
      </c>
    </row>
    <row r="362" spans="1:27" s="2072" customFormat="1" ht="16.5" customHeight="1">
      <c r="A362" s="6056"/>
      <c r="B362" s="2630"/>
      <c r="C362" s="2633" t="s">
        <v>9236</v>
      </c>
      <c r="D362" s="2631"/>
      <c r="E362" s="2631"/>
      <c r="F362" s="2631"/>
      <c r="G362" s="2631"/>
      <c r="H362" s="2631"/>
      <c r="I362" s="2631"/>
      <c r="J362" s="2631"/>
      <c r="K362" s="2631"/>
      <c r="L362" s="2631"/>
      <c r="M362" s="2631"/>
      <c r="N362" s="2634"/>
      <c r="O362" s="2090"/>
      <c r="P362" s="2090"/>
      <c r="Q362" s="2090"/>
      <c r="R362" s="871">
        <v>1</v>
      </c>
      <c r="S362" s="871">
        <v>1</v>
      </c>
      <c r="T362" s="871">
        <v>1</v>
      </c>
      <c r="U362" s="871">
        <v>1</v>
      </c>
      <c r="V362" s="871">
        <v>1</v>
      </c>
      <c r="W362" s="871">
        <v>1</v>
      </c>
      <c r="X362" s="871">
        <v>1</v>
      </c>
      <c r="Y362" s="871">
        <v>1</v>
      </c>
      <c r="Z362" s="871">
        <v>1</v>
      </c>
      <c r="AA362" s="871">
        <v>1</v>
      </c>
    </row>
    <row r="363" spans="1:27" s="2072" customFormat="1" ht="15.75" customHeight="1">
      <c r="A363" s="6056"/>
      <c r="B363" s="2630"/>
      <c r="C363" s="2633" t="s">
        <v>9237</v>
      </c>
      <c r="D363" s="2631"/>
      <c r="E363" s="2631"/>
      <c r="F363" s="2631"/>
      <c r="G363" s="2631"/>
      <c r="H363" s="2631"/>
      <c r="I363" s="2631"/>
      <c r="J363" s="2631"/>
      <c r="K363" s="2631"/>
      <c r="L363" s="2631"/>
      <c r="M363" s="2631"/>
      <c r="N363" s="2634"/>
      <c r="O363" s="2090"/>
      <c r="P363" s="2090"/>
      <c r="Q363" s="2090"/>
      <c r="R363" s="871">
        <v>1</v>
      </c>
      <c r="S363" s="871">
        <v>1</v>
      </c>
      <c r="T363" s="871">
        <v>1</v>
      </c>
      <c r="U363" s="871">
        <v>1</v>
      </c>
      <c r="V363" s="871">
        <v>1</v>
      </c>
      <c r="W363" s="871">
        <v>1</v>
      </c>
      <c r="X363" s="871">
        <v>1</v>
      </c>
      <c r="Y363" s="871">
        <v>1</v>
      </c>
      <c r="Z363" s="871">
        <v>1</v>
      </c>
      <c r="AA363" s="871">
        <v>1</v>
      </c>
    </row>
    <row r="364" spans="1:27" s="2072" customFormat="1">
      <c r="A364" s="6056"/>
      <c r="B364" s="2630"/>
      <c r="C364" s="2633" t="s">
        <v>9238</v>
      </c>
      <c r="D364" s="2631"/>
      <c r="E364" s="2631"/>
      <c r="F364" s="2631"/>
      <c r="G364" s="2631"/>
      <c r="H364" s="2631"/>
      <c r="I364" s="2631"/>
      <c r="J364" s="2631"/>
      <c r="K364" s="2631"/>
      <c r="L364" s="2631"/>
      <c r="M364" s="2631"/>
      <c r="N364" s="2634"/>
      <c r="O364" s="2090"/>
      <c r="P364" s="2090"/>
      <c r="Q364" s="2090"/>
      <c r="R364" s="871">
        <v>1</v>
      </c>
      <c r="S364" s="871">
        <v>1</v>
      </c>
      <c r="T364" s="871">
        <v>1</v>
      </c>
      <c r="U364" s="871">
        <v>1</v>
      </c>
      <c r="V364" s="871">
        <v>1</v>
      </c>
      <c r="W364" s="871">
        <v>1</v>
      </c>
      <c r="X364" s="871">
        <v>1</v>
      </c>
      <c r="Y364" s="871">
        <v>1</v>
      </c>
      <c r="Z364" s="871">
        <v>1</v>
      </c>
      <c r="AA364" s="871">
        <v>1</v>
      </c>
    </row>
    <row r="365" spans="1:27" s="2072" customFormat="1" ht="15.75" customHeight="1">
      <c r="A365" s="6056"/>
      <c r="B365" s="2630"/>
      <c r="C365" s="2633" t="s">
        <v>9239</v>
      </c>
      <c r="D365" s="2631"/>
      <c r="E365" s="2631"/>
      <c r="F365" s="2631"/>
      <c r="G365" s="2631"/>
      <c r="H365" s="2631"/>
      <c r="I365" s="2631"/>
      <c r="J365" s="2631"/>
      <c r="K365" s="2631"/>
      <c r="L365" s="2631"/>
      <c r="M365" s="2631"/>
      <c r="N365" s="2634"/>
      <c r="O365" s="2090"/>
      <c r="P365" s="2090"/>
      <c r="Q365" s="2090"/>
      <c r="R365" s="871">
        <v>1</v>
      </c>
      <c r="S365" s="871">
        <v>1</v>
      </c>
      <c r="T365" s="871">
        <v>1</v>
      </c>
      <c r="U365" s="871">
        <v>1</v>
      </c>
      <c r="V365" s="871">
        <v>1</v>
      </c>
      <c r="W365" s="871">
        <v>1</v>
      </c>
      <c r="X365" s="871">
        <v>1</v>
      </c>
      <c r="Y365" s="871">
        <v>1</v>
      </c>
      <c r="Z365" s="871">
        <v>1</v>
      </c>
      <c r="AA365" s="871">
        <v>1</v>
      </c>
    </row>
    <row r="366" spans="1:27" s="2072" customFormat="1">
      <c r="A366" s="6056"/>
      <c r="B366" s="2630"/>
      <c r="C366" s="2633" t="s">
        <v>9240</v>
      </c>
      <c r="D366" s="2631"/>
      <c r="E366" s="2631"/>
      <c r="F366" s="2631"/>
      <c r="G366" s="2631"/>
      <c r="H366" s="2631"/>
      <c r="I366" s="2631"/>
      <c r="J366" s="2631"/>
      <c r="K366" s="2631"/>
      <c r="L366" s="2631"/>
      <c r="M366" s="2631"/>
      <c r="N366" s="2634"/>
      <c r="O366" s="2090"/>
      <c r="P366" s="2090"/>
      <c r="Q366" s="2090"/>
      <c r="R366" s="871">
        <v>1</v>
      </c>
      <c r="S366" s="871">
        <v>1</v>
      </c>
      <c r="T366" s="871">
        <v>1</v>
      </c>
      <c r="U366" s="871">
        <v>1</v>
      </c>
      <c r="V366" s="871">
        <v>1</v>
      </c>
      <c r="W366" s="871">
        <v>1</v>
      </c>
      <c r="X366" s="871">
        <v>1</v>
      </c>
      <c r="Y366" s="871">
        <v>1</v>
      </c>
      <c r="Z366" s="871">
        <v>1</v>
      </c>
      <c r="AA366" s="871">
        <v>1</v>
      </c>
    </row>
    <row r="367" spans="1:27" s="2072" customFormat="1">
      <c r="A367" s="6056"/>
      <c r="B367" s="2630"/>
      <c r="C367" s="2633" t="s">
        <v>9241</v>
      </c>
      <c r="D367" s="2631"/>
      <c r="E367" s="2631"/>
      <c r="F367" s="2631"/>
      <c r="G367" s="2631"/>
      <c r="H367" s="2631"/>
      <c r="I367" s="2631"/>
      <c r="J367" s="2631"/>
      <c r="K367" s="2631"/>
      <c r="L367" s="2631"/>
      <c r="M367" s="2631"/>
      <c r="N367" s="2634"/>
      <c r="O367" s="2090"/>
      <c r="P367" s="2090"/>
      <c r="Q367" s="2090"/>
      <c r="R367" s="871">
        <v>1</v>
      </c>
      <c r="S367" s="871">
        <v>1</v>
      </c>
      <c r="T367" s="871">
        <v>1</v>
      </c>
      <c r="U367" s="871">
        <v>1</v>
      </c>
      <c r="V367" s="871">
        <v>1</v>
      </c>
      <c r="W367" s="871">
        <v>1</v>
      </c>
      <c r="X367" s="871">
        <v>1</v>
      </c>
      <c r="Y367" s="871">
        <v>1</v>
      </c>
      <c r="Z367" s="871">
        <v>1</v>
      </c>
      <c r="AA367" s="871">
        <v>1</v>
      </c>
    </row>
    <row r="368" spans="1:27" s="2072" customFormat="1">
      <c r="A368" s="6056"/>
      <c r="B368" s="2630"/>
      <c r="C368" s="2633" t="s">
        <v>9242</v>
      </c>
      <c r="D368" s="2631"/>
      <c r="E368" s="2631"/>
      <c r="F368" s="2631"/>
      <c r="G368" s="2631"/>
      <c r="H368" s="2631"/>
      <c r="I368" s="2631"/>
      <c r="J368" s="2631"/>
      <c r="K368" s="2631"/>
      <c r="L368" s="2631"/>
      <c r="M368" s="2631"/>
      <c r="N368" s="2634"/>
      <c r="O368" s="2090"/>
      <c r="P368" s="2090"/>
      <c r="Q368" s="2090"/>
      <c r="R368" s="871">
        <v>1</v>
      </c>
      <c r="S368" s="871">
        <v>1</v>
      </c>
      <c r="T368" s="871">
        <v>1</v>
      </c>
      <c r="U368" s="871">
        <v>1</v>
      </c>
      <c r="V368" s="871">
        <v>1</v>
      </c>
      <c r="W368" s="871">
        <v>1</v>
      </c>
      <c r="X368" s="871">
        <v>1</v>
      </c>
      <c r="Y368" s="871">
        <v>1</v>
      </c>
      <c r="Z368" s="871">
        <v>1</v>
      </c>
      <c r="AA368" s="871">
        <v>1</v>
      </c>
    </row>
    <row r="369" spans="1:27" s="2072" customFormat="1" ht="15">
      <c r="A369" s="6056"/>
      <c r="B369" s="2630"/>
      <c r="C369" s="2631"/>
      <c r="D369" s="2631"/>
      <c r="E369" s="2631"/>
      <c r="F369" s="2631"/>
      <c r="G369" s="2631"/>
      <c r="H369" s="2631"/>
      <c r="I369" s="2631"/>
      <c r="J369" s="2631"/>
      <c r="K369" s="2631"/>
      <c r="L369" s="2631"/>
      <c r="M369" s="2631"/>
      <c r="N369" s="2634"/>
      <c r="O369" s="2090"/>
      <c r="P369" s="2090"/>
      <c r="Q369" s="2090"/>
      <c r="R369" s="871">
        <v>1</v>
      </c>
      <c r="S369" s="871">
        <v>1</v>
      </c>
      <c r="T369" s="871">
        <v>1</v>
      </c>
      <c r="U369" s="871">
        <v>1</v>
      </c>
      <c r="V369" s="871">
        <v>1</v>
      </c>
      <c r="W369" s="871">
        <v>1</v>
      </c>
      <c r="X369" s="871">
        <v>1</v>
      </c>
      <c r="Y369" s="871">
        <v>1</v>
      </c>
      <c r="Z369" s="871">
        <v>1</v>
      </c>
      <c r="AA369" s="871">
        <v>1</v>
      </c>
    </row>
    <row r="370" spans="1:27" s="2072" customFormat="1" ht="15">
      <c r="A370" s="6056"/>
      <c r="B370" s="2630"/>
      <c r="C370" s="6490" t="s">
        <v>9243</v>
      </c>
      <c r="D370" s="6491"/>
      <c r="E370" s="6491"/>
      <c r="F370" s="6491"/>
      <c r="G370" s="6491"/>
      <c r="H370" s="6491"/>
      <c r="I370" s="6491"/>
      <c r="J370" s="6491"/>
      <c r="K370" s="6491"/>
      <c r="L370" s="6491"/>
      <c r="M370" s="6492"/>
      <c r="N370" s="2634"/>
      <c r="O370" s="2090"/>
      <c r="P370" s="2090"/>
      <c r="Q370" s="2090"/>
      <c r="R370" s="871">
        <v>1</v>
      </c>
      <c r="S370" s="871">
        <v>1</v>
      </c>
      <c r="T370" s="871">
        <v>1</v>
      </c>
      <c r="U370" s="871">
        <v>1</v>
      </c>
      <c r="V370" s="871">
        <v>1</v>
      </c>
      <c r="W370" s="871">
        <v>1</v>
      </c>
      <c r="X370" s="871">
        <v>1</v>
      </c>
      <c r="Y370" s="871">
        <v>1</v>
      </c>
      <c r="Z370" s="871">
        <v>1</v>
      </c>
      <c r="AA370" s="871">
        <v>1</v>
      </c>
    </row>
    <row r="371" spans="1:27" s="2072" customFormat="1" ht="15">
      <c r="A371" s="6056"/>
      <c r="B371" s="2630"/>
      <c r="C371" s="2635"/>
      <c r="D371" s="2636"/>
      <c r="E371" s="2090"/>
      <c r="F371" s="2637" t="s">
        <v>2851</v>
      </c>
      <c r="G371" s="2636"/>
      <c r="H371" s="6493" t="s">
        <v>9112</v>
      </c>
      <c r="I371" s="6493"/>
      <c r="J371" s="6493"/>
      <c r="K371" s="6493"/>
      <c r="L371" s="6493"/>
      <c r="M371" s="6494"/>
      <c r="N371" s="2634"/>
      <c r="O371" s="2090"/>
      <c r="P371" s="2090"/>
      <c r="Q371" s="2090"/>
      <c r="R371" s="871">
        <v>1</v>
      </c>
      <c r="S371" s="871">
        <v>1</v>
      </c>
      <c r="T371" s="871">
        <v>1</v>
      </c>
      <c r="U371" s="871">
        <v>1</v>
      </c>
      <c r="V371" s="871">
        <v>1</v>
      </c>
      <c r="W371" s="871">
        <v>1</v>
      </c>
      <c r="X371" s="871">
        <v>1</v>
      </c>
      <c r="Y371" s="871">
        <v>1</v>
      </c>
      <c r="Z371" s="871">
        <v>1</v>
      </c>
      <c r="AA371" s="871">
        <v>1</v>
      </c>
    </row>
    <row r="372" spans="1:27" s="2072" customFormat="1">
      <c r="A372" s="6056"/>
      <c r="B372" s="2630"/>
      <c r="C372" s="2638" t="s">
        <v>17</v>
      </c>
      <c r="D372" s="6495" t="s">
        <v>9244</v>
      </c>
      <c r="E372" s="6495"/>
      <c r="F372" s="2639">
        <v>2</v>
      </c>
      <c r="G372" s="2640"/>
      <c r="H372" s="2086" t="s">
        <v>9245</v>
      </c>
      <c r="I372" s="2640"/>
      <c r="J372" s="2640"/>
      <c r="K372" s="2641"/>
      <c r="L372" s="2641"/>
      <c r="M372" s="2642"/>
      <c r="N372" s="2634"/>
      <c r="O372" s="2090"/>
      <c r="P372" s="2090"/>
      <c r="Q372" s="2090"/>
      <c r="R372" s="871">
        <v>1</v>
      </c>
      <c r="S372" s="871">
        <v>1</v>
      </c>
      <c r="T372" s="871">
        <v>1</v>
      </c>
      <c r="U372" s="871">
        <v>1</v>
      </c>
      <c r="V372" s="871">
        <v>1</v>
      </c>
      <c r="W372" s="871">
        <v>1</v>
      </c>
      <c r="X372" s="871">
        <v>1</v>
      </c>
      <c r="Y372" s="871">
        <v>1</v>
      </c>
      <c r="Z372" s="871">
        <v>1</v>
      </c>
      <c r="AA372" s="871">
        <v>1</v>
      </c>
    </row>
    <row r="373" spans="1:27" s="2072" customFormat="1">
      <c r="A373" s="6056"/>
      <c r="B373" s="2630"/>
      <c r="C373" s="2643">
        <v>10</v>
      </c>
      <c r="D373" s="2644" t="s">
        <v>9246</v>
      </c>
      <c r="E373" s="2090"/>
      <c r="F373" s="2645">
        <f>C373*F372</f>
        <v>20</v>
      </c>
      <c r="G373" s="2646"/>
      <c r="H373" s="2086" t="s">
        <v>9247</v>
      </c>
      <c r="I373" s="2640"/>
      <c r="J373" s="2640"/>
      <c r="K373" s="2641"/>
      <c r="L373" s="2641"/>
      <c r="M373" s="2642"/>
      <c r="N373" s="2634"/>
      <c r="O373" s="2090"/>
      <c r="P373" s="2090"/>
      <c r="Q373" s="2090"/>
      <c r="R373" s="871">
        <v>1</v>
      </c>
      <c r="S373" s="871">
        <v>1</v>
      </c>
      <c r="T373" s="871">
        <v>1</v>
      </c>
      <c r="U373" s="871">
        <v>1</v>
      </c>
      <c r="V373" s="871">
        <v>1</v>
      </c>
      <c r="W373" s="871">
        <v>1</v>
      </c>
      <c r="X373" s="871">
        <v>1</v>
      </c>
      <c r="Y373" s="871">
        <v>1</v>
      </c>
      <c r="Z373" s="871">
        <v>1</v>
      </c>
      <c r="AA373" s="871">
        <v>1</v>
      </c>
    </row>
    <row r="374" spans="1:27" s="2072" customFormat="1">
      <c r="A374" s="6056"/>
      <c r="B374" s="2630"/>
      <c r="C374" s="2647"/>
      <c r="D374" s="2648"/>
      <c r="E374" s="2641"/>
      <c r="F374" s="2641"/>
      <c r="G374" s="2641"/>
      <c r="H374" s="2086" t="s">
        <v>9248</v>
      </c>
      <c r="I374" s="2649"/>
      <c r="J374" s="2640"/>
      <c r="K374" s="2641"/>
      <c r="L374" s="2641"/>
      <c r="M374" s="2642"/>
      <c r="N374" s="2634"/>
      <c r="O374" s="2090"/>
      <c r="P374" s="2090"/>
      <c r="Q374" s="2090"/>
      <c r="R374" s="871">
        <v>1</v>
      </c>
      <c r="S374" s="871">
        <v>1</v>
      </c>
      <c r="T374" s="871">
        <v>1</v>
      </c>
      <c r="U374" s="871">
        <v>1</v>
      </c>
      <c r="V374" s="871">
        <v>1</v>
      </c>
      <c r="W374" s="871">
        <v>1</v>
      </c>
      <c r="X374" s="871">
        <v>1</v>
      </c>
      <c r="Y374" s="871">
        <v>1</v>
      </c>
      <c r="Z374" s="871">
        <v>1</v>
      </c>
      <c r="AA374" s="871">
        <v>1</v>
      </c>
    </row>
    <row r="375" spans="1:27" s="2072" customFormat="1">
      <c r="A375" s="6056"/>
      <c r="B375" s="2630"/>
      <c r="C375" s="2638"/>
      <c r="D375" s="2650"/>
      <c r="E375" s="2641"/>
      <c r="F375" s="2641"/>
      <c r="G375" s="2641"/>
      <c r="H375" s="2086"/>
      <c r="I375" s="2640"/>
      <c r="J375" s="2640"/>
      <c r="K375" s="2641"/>
      <c r="L375" s="2641"/>
      <c r="M375" s="2642"/>
      <c r="N375" s="2634"/>
      <c r="O375" s="2090"/>
      <c r="P375" s="2090"/>
      <c r="Q375" s="2090"/>
      <c r="R375" s="871">
        <v>1</v>
      </c>
      <c r="S375" s="871">
        <v>1</v>
      </c>
      <c r="T375" s="871">
        <v>1</v>
      </c>
      <c r="U375" s="871">
        <v>1</v>
      </c>
      <c r="V375" s="871">
        <v>1</v>
      </c>
      <c r="W375" s="871">
        <v>1</v>
      </c>
      <c r="X375" s="871">
        <v>1</v>
      </c>
      <c r="Y375" s="871">
        <v>1</v>
      </c>
      <c r="Z375" s="871">
        <v>1</v>
      </c>
      <c r="AA375" s="871">
        <v>1</v>
      </c>
    </row>
    <row r="376" spans="1:27" s="2072" customFormat="1">
      <c r="A376" s="6056"/>
      <c r="B376" s="2630"/>
      <c r="C376" s="2651" t="s">
        <v>2851</v>
      </c>
      <c r="D376" s="2652" t="s">
        <v>9249</v>
      </c>
      <c r="E376" s="2653"/>
      <c r="F376" s="2653"/>
      <c r="G376" s="2653"/>
      <c r="H376" s="2653"/>
      <c r="I376" s="2653"/>
      <c r="J376" s="2653"/>
      <c r="K376" s="2653"/>
      <c r="L376" s="2653"/>
      <c r="M376" s="2654"/>
      <c r="N376" s="2634"/>
      <c r="O376" s="2090"/>
      <c r="P376" s="2090"/>
      <c r="Q376" s="2090"/>
      <c r="R376" s="871">
        <v>1</v>
      </c>
      <c r="S376" s="871">
        <v>1</v>
      </c>
      <c r="T376" s="871">
        <v>1</v>
      </c>
      <c r="U376" s="871">
        <v>1</v>
      </c>
      <c r="V376" s="871">
        <v>1</v>
      </c>
      <c r="W376" s="871">
        <v>1</v>
      </c>
      <c r="X376" s="871">
        <v>1</v>
      </c>
      <c r="Y376" s="871">
        <v>1</v>
      </c>
      <c r="Z376" s="871">
        <v>1</v>
      </c>
      <c r="AA376" s="871">
        <v>1</v>
      </c>
    </row>
    <row r="377" spans="1:27" s="2072" customFormat="1">
      <c r="A377" s="6056"/>
      <c r="B377" s="2630"/>
      <c r="C377" s="2655" t="s">
        <v>17</v>
      </c>
      <c r="D377" s="2656" t="s">
        <v>9250</v>
      </c>
      <c r="E377" s="2657"/>
      <c r="F377" s="2657"/>
      <c r="G377" s="2657"/>
      <c r="H377" s="2657"/>
      <c r="I377" s="2657"/>
      <c r="J377" s="2657"/>
      <c r="K377" s="2657"/>
      <c r="L377" s="2657"/>
      <c r="M377" s="2658"/>
      <c r="N377" s="2634"/>
      <c r="O377" s="2090"/>
      <c r="P377" s="2090"/>
      <c r="Q377" s="2090"/>
      <c r="R377" s="871">
        <v>1</v>
      </c>
      <c r="S377" s="871">
        <v>1</v>
      </c>
      <c r="T377" s="871">
        <v>1</v>
      </c>
      <c r="U377" s="871">
        <v>1</v>
      </c>
      <c r="V377" s="871">
        <v>1</v>
      </c>
      <c r="W377" s="871">
        <v>1</v>
      </c>
      <c r="X377" s="871">
        <v>1</v>
      </c>
      <c r="Y377" s="871">
        <v>1</v>
      </c>
      <c r="Z377" s="871">
        <v>1</v>
      </c>
      <c r="AA377" s="871">
        <v>1</v>
      </c>
    </row>
    <row r="378" spans="1:27" s="2072" customFormat="1" ht="15">
      <c r="A378" s="6056"/>
      <c r="B378" s="2659" t="str">
        <f ca="1">CELL("nomfichier",A374)</f>
        <v>D:\Données\1.UPRT\0-UPRT.fait\1-UPRT.FR-SITE-WEB\ff-fiches-fabrications\ff.fiches.fabrication.2023\ffr.restaurant.2023\[ff.FICHE.TRILINGUE.15.COLONNES.29.11.2025.xlsx]aides cuisine</v>
      </c>
      <c r="C378" s="2631"/>
      <c r="D378" s="2631"/>
      <c r="E378" s="2631"/>
      <c r="F378" s="2631"/>
      <c r="G378" s="2631"/>
      <c r="H378" s="2631"/>
      <c r="I378" s="2631"/>
      <c r="J378" s="2631"/>
      <c r="K378" s="2631"/>
      <c r="L378" s="2631"/>
      <c r="M378" s="2631"/>
      <c r="N378" s="2634"/>
      <c r="O378" s="2090"/>
      <c r="P378" s="2090"/>
      <c r="Q378" s="2090"/>
      <c r="R378" s="871">
        <v>1</v>
      </c>
      <c r="S378" s="871">
        <v>1</v>
      </c>
      <c r="T378" s="871">
        <v>1</v>
      </c>
      <c r="U378" s="871">
        <v>1</v>
      </c>
      <c r="V378" s="871">
        <v>1</v>
      </c>
      <c r="W378" s="871">
        <v>1</v>
      </c>
      <c r="X378" s="871">
        <v>1</v>
      </c>
      <c r="Y378" s="871">
        <v>1</v>
      </c>
      <c r="Z378" s="871">
        <v>1</v>
      </c>
      <c r="AA378" s="871">
        <v>1</v>
      </c>
    </row>
    <row r="379" spans="1:27" s="2072" customFormat="1" ht="15" customHeight="1">
      <c r="A379" s="6056"/>
      <c r="B379" s="6496" t="s">
        <v>9251</v>
      </c>
      <c r="C379" s="6497"/>
      <c r="D379" s="6497"/>
      <c r="E379" s="6497"/>
      <c r="F379" s="6497"/>
      <c r="G379" s="6497"/>
      <c r="H379" s="6497"/>
      <c r="I379" s="6497"/>
      <c r="J379" s="6497"/>
      <c r="K379" s="6497"/>
      <c r="L379" s="6497"/>
      <c r="M379" s="6497"/>
      <c r="N379" s="6498"/>
      <c r="O379" s="2090"/>
      <c r="P379" s="2090"/>
      <c r="Q379" s="2090"/>
      <c r="R379" s="871">
        <v>1</v>
      </c>
      <c r="S379" s="871">
        <v>1</v>
      </c>
      <c r="T379" s="871">
        <v>1</v>
      </c>
      <c r="U379" s="871">
        <v>1</v>
      </c>
      <c r="V379" s="871">
        <v>1</v>
      </c>
      <c r="W379" s="871">
        <v>1</v>
      </c>
      <c r="X379" s="871">
        <v>1</v>
      </c>
      <c r="Y379" s="871">
        <v>1</v>
      </c>
      <c r="Z379" s="871">
        <v>1</v>
      </c>
      <c r="AA379" s="871">
        <v>1</v>
      </c>
    </row>
    <row r="380" spans="1:27" s="2072" customFormat="1" thickBot="1">
      <c r="A380" s="6056"/>
      <c r="B380" s="6499"/>
      <c r="C380" s="6500"/>
      <c r="D380" s="6500"/>
      <c r="E380" s="6500"/>
      <c r="F380" s="6500"/>
      <c r="G380" s="6500"/>
      <c r="H380" s="6500"/>
      <c r="I380" s="6500"/>
      <c r="J380" s="6500"/>
      <c r="K380" s="6500"/>
      <c r="L380" s="6500"/>
      <c r="M380" s="6500"/>
      <c r="N380" s="6501"/>
      <c r="O380" s="2090"/>
      <c r="P380" s="2090"/>
      <c r="Q380" s="2090"/>
      <c r="R380" s="871">
        <v>1</v>
      </c>
      <c r="S380" s="871">
        <v>1</v>
      </c>
      <c r="T380" s="871">
        <v>1</v>
      </c>
      <c r="U380" s="871">
        <v>1</v>
      </c>
      <c r="V380" s="871">
        <v>1</v>
      </c>
      <c r="W380" s="871">
        <v>1</v>
      </c>
      <c r="X380" s="871">
        <v>1</v>
      </c>
      <c r="Y380" s="871">
        <v>1</v>
      </c>
      <c r="Z380" s="871">
        <v>1</v>
      </c>
      <c r="AA380" s="871">
        <v>1</v>
      </c>
    </row>
    <row r="381" spans="1:27" s="2072" customFormat="1" thickBot="1">
      <c r="B381" s="2090"/>
      <c r="C381" s="2090"/>
      <c r="D381" s="2090"/>
      <c r="E381" s="2090"/>
      <c r="F381" s="2090"/>
      <c r="G381" s="2090"/>
      <c r="H381" s="2090"/>
      <c r="I381" s="2090"/>
      <c r="J381" s="2090"/>
      <c r="K381" s="2090"/>
      <c r="L381" s="2090"/>
      <c r="M381" s="2090"/>
      <c r="N381" s="2090"/>
      <c r="O381" s="2090"/>
      <c r="P381" s="2090"/>
      <c r="Q381" s="2090"/>
      <c r="R381" s="871">
        <v>1</v>
      </c>
      <c r="S381" s="871">
        <v>1</v>
      </c>
      <c r="T381" s="871">
        <v>1</v>
      </c>
      <c r="U381" s="871">
        <v>1</v>
      </c>
      <c r="V381" s="871">
        <v>1</v>
      </c>
      <c r="W381" s="871">
        <v>1</v>
      </c>
      <c r="X381" s="871">
        <v>1</v>
      </c>
      <c r="Y381" s="871">
        <v>1</v>
      </c>
      <c r="Z381" s="871">
        <v>1</v>
      </c>
      <c r="AA381" s="871">
        <v>1</v>
      </c>
    </row>
    <row r="382" spans="1:27" s="2072" customFormat="1" ht="18.75">
      <c r="A382" s="2115" t="s">
        <v>167</v>
      </c>
      <c r="B382" s="6478" t="str">
        <f>B384</f>
        <v>ŒUFS poids et %</v>
      </c>
      <c r="C382" s="6479"/>
      <c r="D382" s="6479"/>
      <c r="E382" s="6479"/>
      <c r="F382" s="6479"/>
      <c r="G382" s="6479"/>
      <c r="H382" s="6479"/>
      <c r="I382" s="6479"/>
      <c r="J382" s="6479"/>
      <c r="K382" s="6479"/>
      <c r="L382" s="6479"/>
      <c r="M382" s="6479"/>
      <c r="N382" s="6480"/>
      <c r="O382" s="2090"/>
      <c r="P382" s="2090"/>
      <c r="Q382" s="2090"/>
      <c r="R382" s="871">
        <v>1</v>
      </c>
      <c r="S382" s="871">
        <v>1</v>
      </c>
      <c r="T382" s="871">
        <v>1</v>
      </c>
      <c r="U382" s="871">
        <v>1</v>
      </c>
      <c r="V382" s="871">
        <v>1</v>
      </c>
      <c r="W382" s="871">
        <v>1</v>
      </c>
      <c r="X382" s="871">
        <v>1</v>
      </c>
      <c r="Y382" s="871">
        <v>1</v>
      </c>
      <c r="Z382" s="871">
        <v>1</v>
      </c>
      <c r="AA382" s="871">
        <v>1</v>
      </c>
    </row>
    <row r="383" spans="1:27" s="2072" customFormat="1" ht="16.5" customHeight="1">
      <c r="A383" s="5987" t="str">
        <f>B384</f>
        <v>ŒUFS poids et %</v>
      </c>
      <c r="B383" s="2129" t="str">
        <f>ADDRESS(ROW(),COLUMN(),4)</f>
        <v>B383</v>
      </c>
      <c r="C383" s="1778" t="s">
        <v>3529</v>
      </c>
      <c r="D383" s="2118"/>
      <c r="E383" s="2118"/>
      <c r="F383" s="2118"/>
      <c r="G383" s="2118"/>
      <c r="H383" s="2118"/>
      <c r="I383" s="2118"/>
      <c r="J383" s="2118"/>
      <c r="K383" s="2118"/>
      <c r="L383" s="2118"/>
      <c r="M383" s="2118"/>
      <c r="N383" s="2122"/>
      <c r="O383" s="2090"/>
      <c r="P383" s="2090"/>
      <c r="Q383" s="2090"/>
      <c r="R383" s="871">
        <v>1</v>
      </c>
      <c r="S383" s="871">
        <v>1</v>
      </c>
      <c r="T383" s="871">
        <v>1</v>
      </c>
      <c r="U383" s="871">
        <v>1</v>
      </c>
      <c r="V383" s="871">
        <v>1</v>
      </c>
      <c r="W383" s="871">
        <v>1</v>
      </c>
      <c r="X383" s="871">
        <v>1</v>
      </c>
      <c r="Y383" s="871">
        <v>1</v>
      </c>
      <c r="Z383" s="871">
        <v>1</v>
      </c>
      <c r="AA383" s="871">
        <v>1</v>
      </c>
    </row>
    <row r="384" spans="1:27" s="2072" customFormat="1" ht="15" customHeight="1">
      <c r="A384" s="6056"/>
      <c r="B384" s="6481" t="s">
        <v>9012</v>
      </c>
      <c r="C384" s="6482"/>
      <c r="D384" s="6482"/>
      <c r="E384" s="6482"/>
      <c r="F384" s="6482"/>
      <c r="G384" s="6482"/>
      <c r="H384" s="6482"/>
      <c r="I384" s="6482"/>
      <c r="J384" s="6482"/>
      <c r="K384" s="6482"/>
      <c r="L384" s="6482"/>
      <c r="M384" s="6482"/>
      <c r="N384" s="6483"/>
      <c r="O384" s="2090"/>
      <c r="P384" s="2090"/>
      <c r="Q384" s="2090"/>
      <c r="R384" s="871">
        <v>1</v>
      </c>
      <c r="S384" s="871">
        <v>1</v>
      </c>
      <c r="T384" s="871">
        <v>1</v>
      </c>
      <c r="U384" s="871">
        <v>1</v>
      </c>
      <c r="V384" s="871">
        <v>1</v>
      </c>
      <c r="W384" s="871">
        <v>1</v>
      </c>
      <c r="X384" s="871">
        <v>1</v>
      </c>
      <c r="Y384" s="871">
        <v>1</v>
      </c>
      <c r="Z384" s="871">
        <v>1</v>
      </c>
      <c r="AA384" s="871">
        <v>1</v>
      </c>
    </row>
    <row r="385" spans="1:27" s="2072" customFormat="1" ht="15" customHeight="1">
      <c r="A385" s="6056"/>
      <c r="B385" s="6481"/>
      <c r="C385" s="6482"/>
      <c r="D385" s="6482"/>
      <c r="E385" s="6482"/>
      <c r="F385" s="6482"/>
      <c r="G385" s="6482"/>
      <c r="H385" s="6482"/>
      <c r="I385" s="6482"/>
      <c r="J385" s="6482"/>
      <c r="K385" s="6482"/>
      <c r="L385" s="6482"/>
      <c r="M385" s="6482"/>
      <c r="N385" s="6483"/>
      <c r="O385" s="2090"/>
      <c r="P385" s="2090"/>
      <c r="Q385" s="2090"/>
      <c r="R385" s="871">
        <v>1</v>
      </c>
      <c r="S385" s="871">
        <v>1</v>
      </c>
      <c r="T385" s="871">
        <v>1</v>
      </c>
      <c r="U385" s="871">
        <v>1</v>
      </c>
      <c r="V385" s="871">
        <v>1</v>
      </c>
      <c r="W385" s="871">
        <v>1</v>
      </c>
      <c r="X385" s="871">
        <v>1</v>
      </c>
      <c r="Y385" s="871">
        <v>1</v>
      </c>
      <c r="Z385" s="871">
        <v>1</v>
      </c>
      <c r="AA385" s="871">
        <v>1</v>
      </c>
    </row>
    <row r="386" spans="1:27" s="2072" customFormat="1" ht="15" customHeight="1">
      <c r="A386" s="6056"/>
      <c r="B386" s="6484" t="s">
        <v>9169</v>
      </c>
      <c r="C386" s="6485"/>
      <c r="D386" s="6485"/>
      <c r="E386" s="6485"/>
      <c r="F386" s="6485"/>
      <c r="G386" s="6485"/>
      <c r="H386" s="6485"/>
      <c r="I386" s="6485"/>
      <c r="J386" s="6485"/>
      <c r="K386" s="6485"/>
      <c r="L386" s="6485"/>
      <c r="M386" s="6485"/>
      <c r="N386" s="6486"/>
      <c r="O386" s="2090"/>
      <c r="P386" s="2090"/>
      <c r="Q386" s="2090"/>
      <c r="R386" s="871">
        <v>1</v>
      </c>
      <c r="S386" s="871">
        <v>1</v>
      </c>
      <c r="T386" s="871">
        <v>1</v>
      </c>
      <c r="U386" s="871">
        <v>1</v>
      </c>
      <c r="V386" s="871">
        <v>1</v>
      </c>
      <c r="W386" s="871">
        <v>1</v>
      </c>
      <c r="X386" s="871">
        <v>1</v>
      </c>
      <c r="Y386" s="871">
        <v>1</v>
      </c>
      <c r="Z386" s="871">
        <v>1</v>
      </c>
      <c r="AA386" s="871">
        <v>1</v>
      </c>
    </row>
    <row r="387" spans="1:27" s="2072" customFormat="1" ht="15.75" customHeight="1">
      <c r="A387" s="6056"/>
      <c r="B387" s="6487"/>
      <c r="C387" s="6488"/>
      <c r="D387" s="6488"/>
      <c r="E387" s="6488"/>
      <c r="F387" s="6488"/>
      <c r="G387" s="6488"/>
      <c r="H387" s="6488"/>
      <c r="I387" s="6488"/>
      <c r="J387" s="6488"/>
      <c r="K387" s="6488"/>
      <c r="L387" s="6488"/>
      <c r="M387" s="6488"/>
      <c r="N387" s="6489"/>
      <c r="O387" s="2090"/>
      <c r="P387" s="2090"/>
      <c r="Q387" s="2090"/>
      <c r="R387" s="871">
        <v>1</v>
      </c>
      <c r="S387" s="871">
        <v>1</v>
      </c>
      <c r="T387" s="871">
        <v>1</v>
      </c>
      <c r="U387" s="871">
        <v>1</v>
      </c>
      <c r="V387" s="871">
        <v>1</v>
      </c>
      <c r="W387" s="871">
        <v>1</v>
      </c>
      <c r="X387" s="871">
        <v>1</v>
      </c>
      <c r="Y387" s="871">
        <v>1</v>
      </c>
      <c r="Z387" s="871">
        <v>1</v>
      </c>
      <c r="AA387" s="871">
        <v>1</v>
      </c>
    </row>
    <row r="388" spans="1:27" s="2072" customFormat="1" ht="15" customHeight="1">
      <c r="A388" s="6056"/>
      <c r="B388" s="6502" t="s">
        <v>9012</v>
      </c>
      <c r="C388" s="6503"/>
      <c r="D388" s="6503"/>
      <c r="E388" s="6503"/>
      <c r="F388" s="6503"/>
      <c r="G388" s="6503"/>
      <c r="H388" s="6503"/>
      <c r="I388" s="6503"/>
      <c r="J388" s="6503"/>
      <c r="K388" s="6503"/>
      <c r="L388" s="6503"/>
      <c r="M388" s="6503"/>
      <c r="N388" s="6504"/>
      <c r="O388" s="2090"/>
      <c r="P388" s="2090"/>
      <c r="Q388" s="2090"/>
      <c r="R388" s="871">
        <v>1</v>
      </c>
      <c r="S388" s="871">
        <v>1</v>
      </c>
      <c r="T388" s="871">
        <v>1</v>
      </c>
      <c r="U388" s="871">
        <v>1</v>
      </c>
      <c r="V388" s="871">
        <v>1</v>
      </c>
      <c r="W388" s="871">
        <v>1</v>
      </c>
      <c r="X388" s="871">
        <v>1</v>
      </c>
      <c r="Y388" s="871">
        <v>1</v>
      </c>
      <c r="Z388" s="871">
        <v>1</v>
      </c>
      <c r="AA388" s="871">
        <v>1</v>
      </c>
    </row>
    <row r="389" spans="1:27" s="2072" customFormat="1" ht="15.75" customHeight="1">
      <c r="A389" s="6056"/>
      <c r="B389" s="2660" t="s">
        <v>17</v>
      </c>
      <c r="C389" s="2661"/>
      <c r="D389" s="2662" t="s">
        <v>2851</v>
      </c>
      <c r="E389" s="2661"/>
      <c r="F389" s="2661"/>
      <c r="G389" s="2663" t="s">
        <v>17</v>
      </c>
      <c r="H389" s="2661"/>
      <c r="I389" s="2662" t="s">
        <v>2851</v>
      </c>
      <c r="J389" s="2661"/>
      <c r="K389" s="2663" t="s">
        <v>17</v>
      </c>
      <c r="L389" s="2661"/>
      <c r="M389" s="2662" t="s">
        <v>2851</v>
      </c>
      <c r="N389" s="2664"/>
      <c r="O389" s="2090"/>
      <c r="P389" s="2090"/>
      <c r="Q389" s="2090"/>
      <c r="R389" s="871">
        <v>1</v>
      </c>
      <c r="S389" s="871">
        <v>1</v>
      </c>
      <c r="T389" s="871">
        <v>1</v>
      </c>
      <c r="U389" s="871">
        <v>1</v>
      </c>
      <c r="V389" s="871">
        <v>1</v>
      </c>
      <c r="W389" s="871">
        <v>1</v>
      </c>
      <c r="X389" s="871">
        <v>1</v>
      </c>
      <c r="Y389" s="871">
        <v>1</v>
      </c>
      <c r="Z389" s="871">
        <v>1</v>
      </c>
      <c r="AA389" s="871">
        <v>1</v>
      </c>
    </row>
    <row r="390" spans="1:27" s="2072" customFormat="1" ht="18.75" customHeight="1">
      <c r="A390" s="6056"/>
      <c r="B390" s="6505" t="s">
        <v>9252</v>
      </c>
      <c r="C390" s="6506"/>
      <c r="D390" s="2665">
        <v>50</v>
      </c>
      <c r="E390" s="2666">
        <v>1</v>
      </c>
      <c r="F390" s="2667"/>
      <c r="G390" s="6507" t="s">
        <v>9253</v>
      </c>
      <c r="H390" s="6508"/>
      <c r="I390" s="2665">
        <v>20</v>
      </c>
      <c r="J390" s="2668">
        <f>I390/D390</f>
        <v>0.4</v>
      </c>
      <c r="K390" s="6507" t="s">
        <v>9254</v>
      </c>
      <c r="L390" s="6508"/>
      <c r="M390" s="2665">
        <v>30</v>
      </c>
      <c r="N390" s="2669">
        <f>M390/D390</f>
        <v>0.6</v>
      </c>
      <c r="O390" s="2090"/>
      <c r="P390" s="2090"/>
      <c r="Q390" s="2090"/>
      <c r="R390" s="871">
        <v>1</v>
      </c>
      <c r="S390" s="871">
        <v>1</v>
      </c>
      <c r="T390" s="871">
        <v>1</v>
      </c>
      <c r="U390" s="871">
        <v>1</v>
      </c>
      <c r="V390" s="871">
        <v>1</v>
      </c>
      <c r="W390" s="871">
        <v>1</v>
      </c>
      <c r="X390" s="871">
        <v>1</v>
      </c>
      <c r="Y390" s="871">
        <v>1</v>
      </c>
      <c r="Z390" s="871">
        <v>1</v>
      </c>
      <c r="AA390" s="871">
        <v>1</v>
      </c>
    </row>
    <row r="391" spans="1:27" s="2072" customFormat="1">
      <c r="A391" s="6056"/>
      <c r="B391" s="2670">
        <v>4</v>
      </c>
      <c r="C391" s="2671" t="s">
        <v>9255</v>
      </c>
      <c r="D391" s="2671">
        <f>B391*D390</f>
        <v>200</v>
      </c>
      <c r="E391" s="2644" t="s">
        <v>9256</v>
      </c>
      <c r="F391" s="2090"/>
      <c r="G391" s="2670">
        <v>10</v>
      </c>
      <c r="H391" s="2671" t="s">
        <v>9257</v>
      </c>
      <c r="I391" s="2671">
        <f>G391*I390</f>
        <v>200</v>
      </c>
      <c r="J391" s="2644" t="s">
        <v>9256</v>
      </c>
      <c r="K391" s="2670">
        <v>12</v>
      </c>
      <c r="L391" s="2671" t="s">
        <v>9258</v>
      </c>
      <c r="M391" s="2671">
        <f>K391*M390</f>
        <v>360</v>
      </c>
      <c r="N391" s="2672" t="s">
        <v>9256</v>
      </c>
      <c r="O391" s="2090"/>
      <c r="P391" s="2090"/>
      <c r="Q391" s="2090"/>
      <c r="R391" s="871">
        <v>1</v>
      </c>
      <c r="S391" s="871">
        <v>1</v>
      </c>
      <c r="T391" s="871">
        <v>1</v>
      </c>
      <c r="U391" s="871">
        <v>1</v>
      </c>
      <c r="V391" s="871">
        <v>1</v>
      </c>
      <c r="W391" s="871">
        <v>1</v>
      </c>
      <c r="X391" s="871">
        <v>1</v>
      </c>
      <c r="Y391" s="871">
        <v>1</v>
      </c>
      <c r="Z391" s="871">
        <v>1</v>
      </c>
      <c r="AA391" s="871">
        <v>1</v>
      </c>
    </row>
    <row r="392" spans="1:27" s="2072" customFormat="1" ht="15.75" customHeight="1">
      <c r="A392" s="6056"/>
      <c r="B392" s="2673" t="s">
        <v>50</v>
      </c>
      <c r="C392" s="2674" t="s">
        <v>9259</v>
      </c>
      <c r="D392" s="2674" t="s">
        <v>9260</v>
      </c>
      <c r="E392" s="2674" t="s">
        <v>8853</v>
      </c>
      <c r="F392" s="2090"/>
      <c r="G392" s="2673" t="s">
        <v>50</v>
      </c>
      <c r="H392" s="2674" t="s">
        <v>9259</v>
      </c>
      <c r="I392" s="2674" t="s">
        <v>9260</v>
      </c>
      <c r="J392" s="2674" t="s">
        <v>8853</v>
      </c>
      <c r="K392" s="2673" t="s">
        <v>50</v>
      </c>
      <c r="L392" s="2674" t="s">
        <v>9259</v>
      </c>
      <c r="M392" s="2674" t="s">
        <v>9260</v>
      </c>
      <c r="N392" s="2675" t="s">
        <v>8853</v>
      </c>
      <c r="O392" s="2090"/>
      <c r="P392" s="2090"/>
      <c r="Q392" s="2090"/>
      <c r="R392" s="871">
        <v>1</v>
      </c>
      <c r="S392" s="871">
        <v>1</v>
      </c>
      <c r="T392" s="871">
        <v>1</v>
      </c>
      <c r="U392" s="871">
        <v>1</v>
      </c>
      <c r="V392" s="871">
        <v>1</v>
      </c>
      <c r="W392" s="871">
        <v>1</v>
      </c>
      <c r="X392" s="871">
        <v>1</v>
      </c>
      <c r="Y392" s="871">
        <v>1</v>
      </c>
      <c r="Z392" s="871">
        <v>1</v>
      </c>
      <c r="AA392" s="871">
        <v>1</v>
      </c>
    </row>
    <row r="393" spans="1:27" s="2072" customFormat="1" ht="15">
      <c r="A393" s="6056"/>
      <c r="B393" s="2676">
        <f>D391</f>
        <v>200</v>
      </c>
      <c r="C393" s="2677">
        <f>B393*C394</f>
        <v>24.489795918367346</v>
      </c>
      <c r="D393" s="2677">
        <f>B393*D394</f>
        <v>22.448979591836736</v>
      </c>
      <c r="E393" s="2677">
        <f>B393*E394</f>
        <v>153.0612244897959</v>
      </c>
      <c r="F393" s="2090"/>
      <c r="G393" s="2676">
        <f>I391</f>
        <v>200</v>
      </c>
      <c r="H393" s="2678">
        <f>G393*H394</f>
        <v>34.4</v>
      </c>
      <c r="I393" s="2678">
        <f>G393*I394</f>
        <v>64.600000000000009</v>
      </c>
      <c r="J393" s="2678">
        <f>G393*J394</f>
        <v>101</v>
      </c>
      <c r="K393" s="2676">
        <f>M391</f>
        <v>360</v>
      </c>
      <c r="L393" s="2677">
        <f>K393*L394</f>
        <v>39.96</v>
      </c>
      <c r="M393" s="2677">
        <f>K393*M394</f>
        <v>0</v>
      </c>
      <c r="N393" s="2679">
        <f>K393*N394</f>
        <v>320</v>
      </c>
      <c r="O393" s="2090"/>
      <c r="P393" s="2090"/>
      <c r="Q393" s="2090"/>
      <c r="R393" s="871">
        <v>1</v>
      </c>
      <c r="S393" s="871">
        <v>1</v>
      </c>
      <c r="T393" s="871">
        <v>1</v>
      </c>
      <c r="U393" s="871">
        <v>1</v>
      </c>
      <c r="V393" s="871">
        <v>1</v>
      </c>
      <c r="W393" s="871">
        <v>1</v>
      </c>
      <c r="X393" s="871">
        <v>1</v>
      </c>
      <c r="Y393" s="871">
        <v>1</v>
      </c>
      <c r="Z393" s="871">
        <v>1</v>
      </c>
      <c r="AA393" s="871">
        <v>1</v>
      </c>
    </row>
    <row r="394" spans="1:27" s="2072" customFormat="1" ht="15">
      <c r="A394" s="6056"/>
      <c r="B394" s="2680">
        <f>C394+D394+E394</f>
        <v>1</v>
      </c>
      <c r="C394" s="2681">
        <v>0.12244897959183673</v>
      </c>
      <c r="D394" s="2681">
        <v>0.11224489795918367</v>
      </c>
      <c r="E394" s="2681">
        <v>0.76530612244897955</v>
      </c>
      <c r="F394" s="2090"/>
      <c r="G394" s="2680">
        <f>H394+I394+J394</f>
        <v>1</v>
      </c>
      <c r="H394" s="2681">
        <v>0.17199999999999999</v>
      </c>
      <c r="I394" s="2681">
        <v>0.32300000000000001</v>
      </c>
      <c r="J394" s="2681">
        <v>0.505</v>
      </c>
      <c r="K394" s="2680">
        <f>L394+M394+N394</f>
        <v>0.99988888888888894</v>
      </c>
      <c r="L394" s="2681">
        <v>0.111</v>
      </c>
      <c r="M394" s="2682">
        <v>0</v>
      </c>
      <c r="N394" s="2683">
        <v>0.88888888888888895</v>
      </c>
      <c r="O394" s="2090"/>
      <c r="P394" s="2090"/>
      <c r="Q394" s="2090"/>
      <c r="R394" s="871">
        <v>1</v>
      </c>
      <c r="S394" s="871">
        <v>1</v>
      </c>
      <c r="T394" s="871">
        <v>1</v>
      </c>
      <c r="U394" s="871">
        <v>1</v>
      </c>
      <c r="V394" s="871">
        <v>1</v>
      </c>
      <c r="W394" s="871">
        <v>1</v>
      </c>
      <c r="X394" s="871">
        <v>1</v>
      </c>
      <c r="Y394" s="871">
        <v>1</v>
      </c>
      <c r="Z394" s="871">
        <v>1</v>
      </c>
      <c r="AA394" s="871">
        <v>1</v>
      </c>
    </row>
    <row r="395" spans="1:27" s="2072" customFormat="1" ht="15">
      <c r="A395" s="6056"/>
      <c r="B395" s="2684"/>
      <c r="C395" s="2662" t="s">
        <v>2851</v>
      </c>
      <c r="D395" s="2662" t="s">
        <v>2851</v>
      </c>
      <c r="E395" s="2662" t="s">
        <v>2851</v>
      </c>
      <c r="F395" s="2685"/>
      <c r="G395" s="2684"/>
      <c r="H395" s="2662" t="s">
        <v>2851</v>
      </c>
      <c r="I395" s="2662" t="s">
        <v>2851</v>
      </c>
      <c r="J395" s="2662" t="s">
        <v>2851</v>
      </c>
      <c r="K395" s="2684"/>
      <c r="L395" s="2662" t="s">
        <v>2851</v>
      </c>
      <c r="M395" s="2686"/>
      <c r="N395" s="2687" t="s">
        <v>2851</v>
      </c>
      <c r="O395" s="2090"/>
      <c r="P395" s="2090"/>
      <c r="Q395" s="2090"/>
      <c r="R395" s="871">
        <v>1</v>
      </c>
      <c r="S395" s="871">
        <v>1</v>
      </c>
      <c r="T395" s="871">
        <v>1</v>
      </c>
      <c r="U395" s="871">
        <v>1</v>
      </c>
      <c r="V395" s="871">
        <v>1</v>
      </c>
      <c r="W395" s="871">
        <v>1</v>
      </c>
      <c r="X395" s="871">
        <v>1</v>
      </c>
      <c r="Y395" s="871">
        <v>1</v>
      </c>
      <c r="Z395" s="871">
        <v>1</v>
      </c>
      <c r="AA395" s="871">
        <v>1</v>
      </c>
    </row>
    <row r="396" spans="1:27" s="2072" customFormat="1" ht="15">
      <c r="A396" s="6056"/>
      <c r="B396" s="2688" t="s">
        <v>2851</v>
      </c>
      <c r="C396" s="2689" t="s">
        <v>9261</v>
      </c>
      <c r="D396" s="2690"/>
      <c r="E396" s="2690"/>
      <c r="F396" s="2690"/>
      <c r="G396" s="2690"/>
      <c r="H396" s="2690"/>
      <c r="I396" s="2690"/>
      <c r="J396" s="2690"/>
      <c r="K396" s="2690"/>
      <c r="L396" s="2690"/>
      <c r="M396" s="2690"/>
      <c r="N396" s="2691"/>
      <c r="O396" s="2090"/>
      <c r="P396" s="2090"/>
      <c r="Q396" s="2090"/>
      <c r="R396" s="871">
        <v>1</v>
      </c>
      <c r="S396" s="871">
        <v>1</v>
      </c>
      <c r="T396" s="871">
        <v>1</v>
      </c>
      <c r="U396" s="871">
        <v>1</v>
      </c>
      <c r="V396" s="871">
        <v>1</v>
      </c>
      <c r="W396" s="871">
        <v>1</v>
      </c>
      <c r="X396" s="871">
        <v>1</v>
      </c>
      <c r="Y396" s="871">
        <v>1</v>
      </c>
      <c r="Z396" s="871">
        <v>1</v>
      </c>
      <c r="AA396" s="871">
        <v>1</v>
      </c>
    </row>
    <row r="397" spans="1:27" s="2072" customFormat="1">
      <c r="A397" s="6056"/>
      <c r="B397" s="2692" t="s">
        <v>17</v>
      </c>
      <c r="C397" s="2693" t="s">
        <v>9262</v>
      </c>
      <c r="D397" s="2690"/>
      <c r="E397" s="2690"/>
      <c r="F397" s="2690"/>
      <c r="G397" s="2690"/>
      <c r="H397" s="2690"/>
      <c r="I397" s="2690"/>
      <c r="J397" s="2690"/>
      <c r="K397" s="2690"/>
      <c r="L397" s="2690"/>
      <c r="M397" s="2631"/>
      <c r="N397" s="2694" t="s">
        <v>9235</v>
      </c>
      <c r="O397" s="2090"/>
      <c r="P397" s="2090"/>
      <c r="Q397" s="2090"/>
      <c r="R397" s="871">
        <v>1</v>
      </c>
      <c r="S397" s="871">
        <v>1</v>
      </c>
      <c r="T397" s="871">
        <v>1</v>
      </c>
      <c r="U397" s="871">
        <v>1</v>
      </c>
      <c r="V397" s="871">
        <v>1</v>
      </c>
      <c r="W397" s="871">
        <v>1</v>
      </c>
      <c r="X397" s="871">
        <v>1</v>
      </c>
      <c r="Y397" s="871">
        <v>1</v>
      </c>
      <c r="Z397" s="871">
        <v>1</v>
      </c>
      <c r="AA397" s="871">
        <v>1</v>
      </c>
    </row>
    <row r="398" spans="1:27" s="2072" customFormat="1" ht="15">
      <c r="A398" s="6056"/>
      <c r="B398" s="2695"/>
      <c r="C398" s="2637"/>
      <c r="D398" s="2696" t="s">
        <v>9263</v>
      </c>
      <c r="E398" s="2086" t="s">
        <v>9264</v>
      </c>
      <c r="F398" s="2090"/>
      <c r="G398" s="2682"/>
      <c r="H398" s="2637"/>
      <c r="I398" s="2637"/>
      <c r="J398" s="2637"/>
      <c r="K398" s="2690"/>
      <c r="L398" s="2690"/>
      <c r="M398" s="2631"/>
      <c r="N398" s="2691"/>
      <c r="O398" s="2090"/>
      <c r="P398" s="2090"/>
      <c r="Q398" s="2090"/>
      <c r="R398" s="871">
        <v>1</v>
      </c>
      <c r="S398" s="871">
        <v>1</v>
      </c>
      <c r="T398" s="871">
        <v>1</v>
      </c>
      <c r="U398" s="871">
        <v>1</v>
      </c>
      <c r="V398" s="871">
        <v>1</v>
      </c>
      <c r="W398" s="871">
        <v>1</v>
      </c>
      <c r="X398" s="871">
        <v>1</v>
      </c>
      <c r="Y398" s="871">
        <v>1</v>
      </c>
      <c r="Z398" s="871">
        <v>1</v>
      </c>
      <c r="AA398" s="871">
        <v>1</v>
      </c>
    </row>
    <row r="399" spans="1:27" s="2072" customFormat="1" ht="15" customHeight="1">
      <c r="A399" s="6056"/>
      <c r="B399" s="6496" t="s">
        <v>9251</v>
      </c>
      <c r="C399" s="6497"/>
      <c r="D399" s="6497"/>
      <c r="E399" s="6497"/>
      <c r="F399" s="6497"/>
      <c r="G399" s="6497"/>
      <c r="H399" s="6497"/>
      <c r="I399" s="6497"/>
      <c r="J399" s="6497"/>
      <c r="K399" s="6497"/>
      <c r="L399" s="6497"/>
      <c r="M399" s="6497"/>
      <c r="N399" s="6498"/>
      <c r="O399" s="2090"/>
      <c r="P399" s="2090"/>
      <c r="Q399" s="2090"/>
      <c r="R399" s="871">
        <v>1</v>
      </c>
      <c r="S399" s="871">
        <v>1</v>
      </c>
      <c r="T399" s="871">
        <v>1</v>
      </c>
      <c r="U399" s="871">
        <v>1</v>
      </c>
      <c r="V399" s="871">
        <v>1</v>
      </c>
      <c r="W399" s="871">
        <v>1</v>
      </c>
      <c r="X399" s="871">
        <v>1</v>
      </c>
      <c r="Y399" s="871">
        <v>1</v>
      </c>
      <c r="Z399" s="871">
        <v>1</v>
      </c>
      <c r="AA399" s="871">
        <v>1</v>
      </c>
    </row>
    <row r="400" spans="1:27" s="2072" customFormat="1" thickBot="1">
      <c r="A400" s="6056"/>
      <c r="B400" s="6499"/>
      <c r="C400" s="6500"/>
      <c r="D400" s="6500"/>
      <c r="E400" s="6500"/>
      <c r="F400" s="6500"/>
      <c r="G400" s="6500"/>
      <c r="H400" s="6500"/>
      <c r="I400" s="6500"/>
      <c r="J400" s="6500"/>
      <c r="K400" s="6500"/>
      <c r="L400" s="6500"/>
      <c r="M400" s="6500"/>
      <c r="N400" s="6501"/>
      <c r="O400" s="2090"/>
      <c r="P400" s="2090"/>
      <c r="Q400" s="2090"/>
      <c r="R400" s="871">
        <v>1</v>
      </c>
      <c r="S400" s="871">
        <v>1</v>
      </c>
      <c r="T400" s="871">
        <v>1</v>
      </c>
      <c r="U400" s="871">
        <v>1</v>
      </c>
      <c r="V400" s="871">
        <v>1</v>
      </c>
      <c r="W400" s="871">
        <v>1</v>
      </c>
      <c r="X400" s="871">
        <v>1</v>
      </c>
      <c r="Y400" s="871">
        <v>1</v>
      </c>
      <c r="Z400" s="871">
        <v>1</v>
      </c>
      <c r="AA400" s="871">
        <v>1</v>
      </c>
    </row>
    <row r="401" spans="1:27" s="2072" customFormat="1" thickBot="1">
      <c r="A401" s="2090"/>
      <c r="B401" s="2091"/>
      <c r="C401" s="2091"/>
      <c r="D401" s="2091"/>
      <c r="E401" s="2091"/>
      <c r="F401" s="2091"/>
      <c r="G401" s="2091"/>
      <c r="H401" s="2091"/>
      <c r="I401" s="2091"/>
      <c r="J401" s="2091"/>
      <c r="K401" s="2091"/>
      <c r="L401" s="2091"/>
      <c r="M401" s="2091"/>
      <c r="N401" s="2091"/>
      <c r="O401" s="2091"/>
      <c r="P401" s="2091"/>
      <c r="Q401" s="2091"/>
      <c r="R401" s="871">
        <v>1</v>
      </c>
      <c r="S401" s="871">
        <v>1</v>
      </c>
      <c r="T401" s="871">
        <v>1</v>
      </c>
      <c r="U401" s="871">
        <v>1</v>
      </c>
      <c r="V401" s="871">
        <v>1</v>
      </c>
      <c r="W401" s="871">
        <v>1</v>
      </c>
      <c r="X401" s="871">
        <v>1</v>
      </c>
      <c r="Y401" s="871">
        <v>1</v>
      </c>
      <c r="Z401" s="871">
        <v>1</v>
      </c>
      <c r="AA401" s="871">
        <v>1</v>
      </c>
    </row>
    <row r="402" spans="1:27" s="2072" customFormat="1">
      <c r="A402" s="2115" t="s">
        <v>167</v>
      </c>
      <c r="B402" s="6514" t="s">
        <v>9013</v>
      </c>
      <c r="C402" s="6515"/>
      <c r="D402" s="6515"/>
      <c r="E402" s="6515"/>
      <c r="F402" s="6515"/>
      <c r="G402" s="6515"/>
      <c r="H402" s="6515"/>
      <c r="I402" s="6515"/>
      <c r="J402" s="6515"/>
      <c r="K402" s="6516"/>
      <c r="L402" s="2090"/>
      <c r="M402" s="2090"/>
      <c r="N402" s="2090"/>
      <c r="O402" s="2090"/>
      <c r="P402" s="2090"/>
      <c r="Q402" s="2090"/>
      <c r="R402" s="871">
        <v>1</v>
      </c>
      <c r="S402" s="871">
        <v>1</v>
      </c>
      <c r="T402" s="871">
        <v>1</v>
      </c>
      <c r="U402" s="871">
        <v>1</v>
      </c>
      <c r="V402" s="871">
        <v>1</v>
      </c>
      <c r="W402" s="871">
        <v>1</v>
      </c>
      <c r="X402" s="871">
        <v>1</v>
      </c>
      <c r="Y402" s="871">
        <v>1</v>
      </c>
      <c r="Z402" s="871">
        <v>1</v>
      </c>
      <c r="AA402" s="871">
        <v>1</v>
      </c>
    </row>
    <row r="403" spans="1:27" s="2072" customFormat="1" ht="15.75" customHeight="1">
      <c r="A403" s="6373" t="str">
        <f>B402</f>
        <v>Composition d'une garniture "COUSCOUS"</v>
      </c>
      <c r="B403" s="2129" t="str">
        <f>ADDRESS(ROW(),COLUMN(),4)</f>
        <v>B403</v>
      </c>
      <c r="C403" s="1778" t="s">
        <v>3529</v>
      </c>
      <c r="D403" s="2697"/>
      <c r="E403" s="2697"/>
      <c r="F403" s="2697"/>
      <c r="G403" s="2697"/>
      <c r="H403" s="2697"/>
      <c r="I403" s="2697"/>
      <c r="J403" s="2697"/>
      <c r="K403" s="2698"/>
      <c r="L403" s="2090"/>
      <c r="M403" s="2090"/>
      <c r="N403" s="2090"/>
      <c r="O403" s="2090"/>
      <c r="P403" s="2090"/>
      <c r="Q403" s="2090"/>
      <c r="R403" s="871">
        <v>1</v>
      </c>
      <c r="S403" s="871">
        <v>1</v>
      </c>
      <c r="T403" s="871">
        <v>1</v>
      </c>
      <c r="U403" s="871">
        <v>1</v>
      </c>
      <c r="V403" s="871">
        <v>1</v>
      </c>
      <c r="W403" s="871">
        <v>1</v>
      </c>
      <c r="X403" s="871">
        <v>1</v>
      </c>
      <c r="Y403" s="871">
        <v>1</v>
      </c>
      <c r="Z403" s="871">
        <v>1</v>
      </c>
      <c r="AA403" s="871">
        <v>1</v>
      </c>
    </row>
    <row r="404" spans="1:27" s="2072" customFormat="1" ht="30" customHeight="1">
      <c r="A404" s="6373"/>
      <c r="B404" s="6517" t="s">
        <v>9265</v>
      </c>
      <c r="C404" s="6518"/>
      <c r="D404" s="6518"/>
      <c r="E404" s="2699">
        <v>1</v>
      </c>
      <c r="F404" s="2700">
        <f>E404</f>
        <v>1</v>
      </c>
      <c r="G404" s="6519" t="s">
        <v>9266</v>
      </c>
      <c r="H404" s="6519"/>
      <c r="I404" s="2701" t="s">
        <v>9267</v>
      </c>
      <c r="J404" s="6520" t="s">
        <v>9268</v>
      </c>
      <c r="K404" s="6521"/>
      <c r="L404" s="2090"/>
      <c r="M404" s="2090"/>
      <c r="N404" s="2090"/>
      <c r="O404" s="2090"/>
      <c r="P404" s="2090"/>
      <c r="Q404" s="2090"/>
      <c r="R404" s="871">
        <v>1</v>
      </c>
      <c r="S404" s="871">
        <v>1</v>
      </c>
      <c r="T404" s="871">
        <v>1</v>
      </c>
      <c r="U404" s="871">
        <v>1</v>
      </c>
      <c r="V404" s="871">
        <v>1</v>
      </c>
      <c r="W404" s="871">
        <v>1</v>
      </c>
      <c r="X404" s="871">
        <v>1</v>
      </c>
      <c r="Y404" s="871">
        <v>1</v>
      </c>
      <c r="Z404" s="871">
        <v>1</v>
      </c>
      <c r="AA404" s="871">
        <v>1</v>
      </c>
    </row>
    <row r="405" spans="1:27" s="2072" customFormat="1" ht="15">
      <c r="A405" s="6373"/>
      <c r="B405" s="6511" t="s">
        <v>9269</v>
      </c>
      <c r="C405" s="6512"/>
      <c r="D405" s="6512"/>
      <c r="E405" s="2702">
        <v>25</v>
      </c>
      <c r="F405" s="2700">
        <f>F404</f>
        <v>1</v>
      </c>
      <c r="G405" s="6513">
        <f t="shared" ref="G405:G411" si="2">(F405*E405)/100</f>
        <v>0.25</v>
      </c>
      <c r="H405" s="6513"/>
      <c r="I405" s="2703">
        <v>20</v>
      </c>
      <c r="J405" s="6509">
        <f t="shared" ref="J405:J411" si="3">G405/(100-I405)*100</f>
        <v>0.3125</v>
      </c>
      <c r="K405" s="6510"/>
      <c r="L405" s="2090"/>
      <c r="M405" s="2090"/>
      <c r="N405" s="2090"/>
      <c r="O405" s="2090"/>
      <c r="P405" s="2090"/>
      <c r="Q405" s="2090"/>
      <c r="R405" s="871">
        <v>1</v>
      </c>
      <c r="S405" s="871">
        <v>1</v>
      </c>
      <c r="T405" s="871">
        <v>1</v>
      </c>
      <c r="U405" s="871">
        <v>1</v>
      </c>
      <c r="V405" s="871">
        <v>1</v>
      </c>
      <c r="W405" s="871">
        <v>1</v>
      </c>
      <c r="X405" s="871">
        <v>1</v>
      </c>
      <c r="Y405" s="871">
        <v>1</v>
      </c>
      <c r="Z405" s="871">
        <v>1</v>
      </c>
      <c r="AA405" s="871">
        <v>1</v>
      </c>
    </row>
    <row r="406" spans="1:27" s="2072" customFormat="1" ht="15">
      <c r="A406" s="6373"/>
      <c r="B406" s="6511" t="s">
        <v>9270</v>
      </c>
      <c r="C406" s="6512"/>
      <c r="D406" s="6512"/>
      <c r="E406" s="2702">
        <v>20</v>
      </c>
      <c r="F406" s="2700">
        <f>F404</f>
        <v>1</v>
      </c>
      <c r="G406" s="6513">
        <f t="shared" si="2"/>
        <v>0.2</v>
      </c>
      <c r="H406" s="6513"/>
      <c r="I406" s="2703">
        <v>25</v>
      </c>
      <c r="J406" s="6509">
        <f t="shared" si="3"/>
        <v>0.26666666666666672</v>
      </c>
      <c r="K406" s="6510"/>
      <c r="L406" s="2090"/>
      <c r="M406" s="2090"/>
      <c r="N406" s="2090"/>
      <c r="O406" s="2090"/>
      <c r="P406" s="2090"/>
      <c r="Q406" s="2090"/>
      <c r="R406" s="871">
        <v>1</v>
      </c>
      <c r="S406" s="871">
        <v>1</v>
      </c>
      <c r="T406" s="871">
        <v>1</v>
      </c>
      <c r="U406" s="871">
        <v>1</v>
      </c>
      <c r="V406" s="871">
        <v>1</v>
      </c>
      <c r="W406" s="871">
        <v>1</v>
      </c>
      <c r="X406" s="871">
        <v>1</v>
      </c>
      <c r="Y406" s="871">
        <v>1</v>
      </c>
      <c r="Z406" s="871">
        <v>1</v>
      </c>
      <c r="AA406" s="871">
        <v>1</v>
      </c>
    </row>
    <row r="407" spans="1:27" s="2072" customFormat="1" ht="15">
      <c r="A407" s="6373"/>
      <c r="B407" s="6511" t="s">
        <v>9271</v>
      </c>
      <c r="C407" s="6512"/>
      <c r="D407" s="6512"/>
      <c r="E407" s="2702">
        <v>15</v>
      </c>
      <c r="F407" s="2700">
        <f>F404</f>
        <v>1</v>
      </c>
      <c r="G407" s="6513">
        <f t="shared" si="2"/>
        <v>0.15</v>
      </c>
      <c r="H407" s="6513"/>
      <c r="I407" s="2703">
        <v>20</v>
      </c>
      <c r="J407" s="6509">
        <f t="shared" si="3"/>
        <v>0.1875</v>
      </c>
      <c r="K407" s="6510"/>
      <c r="L407" s="2090"/>
      <c r="M407" s="2090"/>
      <c r="N407" s="2090"/>
      <c r="O407" s="2090"/>
      <c r="P407" s="2090"/>
      <c r="Q407" s="2090"/>
      <c r="R407" s="871">
        <v>1</v>
      </c>
      <c r="S407" s="871">
        <v>1</v>
      </c>
      <c r="T407" s="871">
        <v>1</v>
      </c>
      <c r="U407" s="871">
        <v>1</v>
      </c>
      <c r="V407" s="871">
        <v>1</v>
      </c>
      <c r="W407" s="871">
        <v>1</v>
      </c>
      <c r="X407" s="871">
        <v>1</v>
      </c>
      <c r="Y407" s="871">
        <v>1</v>
      </c>
      <c r="Z407" s="871">
        <v>1</v>
      </c>
      <c r="AA407" s="871">
        <v>1</v>
      </c>
    </row>
    <row r="408" spans="1:27" s="2072" customFormat="1" ht="15">
      <c r="A408" s="6373"/>
      <c r="B408" s="6511" t="s">
        <v>9272</v>
      </c>
      <c r="C408" s="6512"/>
      <c r="D408" s="6512"/>
      <c r="E408" s="2702">
        <v>15</v>
      </c>
      <c r="F408" s="2700">
        <f>F404</f>
        <v>1</v>
      </c>
      <c r="G408" s="6513">
        <f t="shared" si="2"/>
        <v>0.15</v>
      </c>
      <c r="H408" s="6513"/>
      <c r="I408" s="2703">
        <v>0</v>
      </c>
      <c r="J408" s="6509">
        <f t="shared" si="3"/>
        <v>0.15</v>
      </c>
      <c r="K408" s="6510"/>
      <c r="L408" s="2090"/>
      <c r="M408" s="2090"/>
      <c r="N408" s="2090"/>
      <c r="O408" s="2090"/>
      <c r="P408" s="2090"/>
      <c r="Q408" s="2090"/>
      <c r="R408" s="871">
        <v>1</v>
      </c>
      <c r="S408" s="871">
        <v>1</v>
      </c>
      <c r="T408" s="871">
        <v>1</v>
      </c>
      <c r="U408" s="871">
        <v>1</v>
      </c>
      <c r="V408" s="871">
        <v>1</v>
      </c>
      <c r="W408" s="871">
        <v>1</v>
      </c>
      <c r="X408" s="871">
        <v>1</v>
      </c>
      <c r="Y408" s="871">
        <v>1</v>
      </c>
      <c r="Z408" s="871">
        <v>1</v>
      </c>
      <c r="AA408" s="871">
        <v>1</v>
      </c>
    </row>
    <row r="409" spans="1:27" s="2072" customFormat="1" ht="15">
      <c r="A409" s="6373"/>
      <c r="B409" s="6511" t="s">
        <v>9273</v>
      </c>
      <c r="C409" s="6512"/>
      <c r="D409" s="6512"/>
      <c r="E409" s="2702">
        <v>10</v>
      </c>
      <c r="F409" s="2700">
        <f>F404</f>
        <v>1</v>
      </c>
      <c r="G409" s="6513">
        <f t="shared" si="2"/>
        <v>0.1</v>
      </c>
      <c r="H409" s="6513"/>
      <c r="I409" s="2703">
        <v>20</v>
      </c>
      <c r="J409" s="6509">
        <f t="shared" si="3"/>
        <v>0.125</v>
      </c>
      <c r="K409" s="6510"/>
      <c r="L409" s="2090"/>
      <c r="M409" s="2090"/>
      <c r="N409" s="2090"/>
      <c r="O409" s="2090"/>
      <c r="P409" s="2090"/>
      <c r="Q409" s="2090"/>
      <c r="R409" s="871">
        <v>1</v>
      </c>
      <c r="S409" s="871">
        <v>1</v>
      </c>
      <c r="T409" s="871">
        <v>1</v>
      </c>
      <c r="U409" s="871">
        <v>1</v>
      </c>
      <c r="V409" s="871">
        <v>1</v>
      </c>
      <c r="W409" s="871">
        <v>1</v>
      </c>
      <c r="X409" s="871">
        <v>1</v>
      </c>
      <c r="Y409" s="871">
        <v>1</v>
      </c>
      <c r="Z409" s="871">
        <v>1</v>
      </c>
      <c r="AA409" s="871">
        <v>1</v>
      </c>
    </row>
    <row r="410" spans="1:27" s="2072" customFormat="1" ht="15">
      <c r="A410" s="6373"/>
      <c r="B410" s="6511" t="s">
        <v>9274</v>
      </c>
      <c r="C410" s="6512"/>
      <c r="D410" s="6512"/>
      <c r="E410" s="2702">
        <v>7.5</v>
      </c>
      <c r="F410" s="2700">
        <f>F404</f>
        <v>1</v>
      </c>
      <c r="G410" s="6513">
        <f t="shared" si="2"/>
        <v>7.4999999999999997E-2</v>
      </c>
      <c r="H410" s="6513"/>
      <c r="I410" s="2703">
        <v>20</v>
      </c>
      <c r="J410" s="6509">
        <f t="shared" si="3"/>
        <v>9.375E-2</v>
      </c>
      <c r="K410" s="6510"/>
      <c r="L410" s="2090"/>
      <c r="M410" s="2090"/>
      <c r="N410" s="2090"/>
      <c r="O410" s="2090"/>
      <c r="P410" s="2090"/>
      <c r="Q410" s="2090"/>
      <c r="R410" s="871">
        <v>1</v>
      </c>
      <c r="S410" s="871">
        <v>1</v>
      </c>
      <c r="T410" s="871">
        <v>1</v>
      </c>
      <c r="U410" s="871">
        <v>1</v>
      </c>
      <c r="V410" s="871">
        <v>1</v>
      </c>
      <c r="W410" s="871">
        <v>1</v>
      </c>
      <c r="X410" s="871">
        <v>1</v>
      </c>
      <c r="Y410" s="871">
        <v>1</v>
      </c>
      <c r="Z410" s="871">
        <v>1</v>
      </c>
      <c r="AA410" s="871">
        <v>1</v>
      </c>
    </row>
    <row r="411" spans="1:27" s="2072" customFormat="1" ht="15">
      <c r="A411" s="6373"/>
      <c r="B411" s="6511" t="s">
        <v>9275</v>
      </c>
      <c r="C411" s="6512"/>
      <c r="D411" s="6512"/>
      <c r="E411" s="2702">
        <v>7.5</v>
      </c>
      <c r="F411" s="2700">
        <f>F404</f>
        <v>1</v>
      </c>
      <c r="G411" s="6513">
        <f t="shared" si="2"/>
        <v>7.4999999999999997E-2</v>
      </c>
      <c r="H411" s="6513"/>
      <c r="I411" s="2703">
        <v>20</v>
      </c>
      <c r="J411" s="6509">
        <f t="shared" si="3"/>
        <v>9.375E-2</v>
      </c>
      <c r="K411" s="6510"/>
      <c r="L411" s="2090"/>
      <c r="M411" s="2090"/>
      <c r="N411" s="2090"/>
      <c r="O411" s="2090"/>
      <c r="P411" s="2090"/>
      <c r="Q411" s="2090"/>
      <c r="R411" s="871">
        <v>1</v>
      </c>
      <c r="S411" s="871">
        <v>1</v>
      </c>
      <c r="T411" s="871">
        <v>1</v>
      </c>
      <c r="U411" s="871">
        <v>1</v>
      </c>
      <c r="V411" s="871">
        <v>1</v>
      </c>
      <c r="W411" s="871">
        <v>1</v>
      </c>
      <c r="X411" s="871">
        <v>1</v>
      </c>
      <c r="Y411" s="871">
        <v>1</v>
      </c>
      <c r="Z411" s="871">
        <v>1</v>
      </c>
      <c r="AA411" s="871">
        <v>1</v>
      </c>
    </row>
    <row r="412" spans="1:27" s="2072" customFormat="1" ht="15">
      <c r="A412" s="6373"/>
      <c r="B412" s="6522" t="s">
        <v>183</v>
      </c>
      <c r="C412" s="6523"/>
      <c r="D412" s="6523"/>
      <c r="E412" s="2704">
        <f>SUM(E405:E411)</f>
        <v>100</v>
      </c>
      <c r="F412" s="2705"/>
      <c r="G412" s="2640"/>
      <c r="H412" s="2091"/>
      <c r="I412" s="2640"/>
      <c r="J412" s="2640"/>
      <c r="K412" s="2706"/>
      <c r="L412" s="2090"/>
      <c r="M412" s="2090"/>
      <c r="N412" s="2090"/>
      <c r="O412" s="2090"/>
      <c r="P412" s="2090"/>
      <c r="Q412" s="2090"/>
      <c r="R412" s="871">
        <v>1</v>
      </c>
      <c r="S412" s="871">
        <v>1</v>
      </c>
      <c r="T412" s="871">
        <v>1</v>
      </c>
      <c r="U412" s="871">
        <v>1</v>
      </c>
      <c r="V412" s="871">
        <v>1</v>
      </c>
      <c r="W412" s="871">
        <v>1</v>
      </c>
      <c r="X412" s="871">
        <v>1</v>
      </c>
      <c r="Y412" s="871">
        <v>1</v>
      </c>
      <c r="Z412" s="871">
        <v>1</v>
      </c>
      <c r="AA412" s="871">
        <v>1</v>
      </c>
    </row>
    <row r="413" spans="1:27" s="2072" customFormat="1">
      <c r="A413" s="6373"/>
      <c r="B413" s="2707"/>
      <c r="C413" s="2685"/>
      <c r="D413" s="2685"/>
      <c r="E413" s="2708"/>
      <c r="F413" s="2709" t="str">
        <f>SUBSTITUTE(ADDRESS(1,COLUMN(),4),"1","")</f>
        <v>F</v>
      </c>
      <c r="G413" s="2710" t="s">
        <v>9276</v>
      </c>
      <c r="H413" s="2710"/>
      <c r="I413" s="2711"/>
      <c r="J413" s="2711"/>
      <c r="K413" s="2712"/>
      <c r="L413" s="2090"/>
      <c r="M413" s="2090"/>
      <c r="N413" s="2090"/>
      <c r="O413" s="2090"/>
      <c r="P413" s="2090"/>
      <c r="Q413" s="2090"/>
      <c r="R413" s="871">
        <v>1</v>
      </c>
      <c r="S413" s="871">
        <v>1</v>
      </c>
      <c r="T413" s="871">
        <v>1</v>
      </c>
      <c r="U413" s="871">
        <v>1</v>
      </c>
      <c r="V413" s="871">
        <v>1</v>
      </c>
      <c r="W413" s="871">
        <v>1</v>
      </c>
      <c r="X413" s="871">
        <v>1</v>
      </c>
      <c r="Y413" s="871">
        <v>1</v>
      </c>
      <c r="Z413" s="871">
        <v>1</v>
      </c>
      <c r="AA413" s="871">
        <v>1</v>
      </c>
    </row>
    <row r="414" spans="1:27" s="2072" customFormat="1" ht="16.5" thickBot="1">
      <c r="A414" s="6373"/>
      <c r="B414" s="6524" t="s">
        <v>9277</v>
      </c>
      <c r="C414" s="6525"/>
      <c r="D414" s="6525"/>
      <c r="E414" s="6525"/>
      <c r="F414" s="6525"/>
      <c r="G414" s="6525"/>
      <c r="H414" s="6525"/>
      <c r="I414" s="6525"/>
      <c r="J414" s="6525"/>
      <c r="K414" s="6526"/>
      <c r="L414" s="1578"/>
      <c r="M414" s="2090"/>
      <c r="N414" s="2090"/>
      <c r="O414" s="2090"/>
      <c r="P414" s="2090"/>
      <c r="Q414" s="2090"/>
      <c r="R414" s="871">
        <v>1</v>
      </c>
      <c r="S414" s="871">
        <v>1</v>
      </c>
      <c r="T414" s="871">
        <v>1</v>
      </c>
      <c r="U414" s="871">
        <v>1</v>
      </c>
      <c r="V414" s="871">
        <v>1</v>
      </c>
      <c r="W414" s="871">
        <v>1</v>
      </c>
      <c r="X414" s="871">
        <v>1</v>
      </c>
      <c r="Y414" s="871">
        <v>1</v>
      </c>
      <c r="Z414" s="871">
        <v>1</v>
      </c>
      <c r="AA414" s="871">
        <v>1</v>
      </c>
    </row>
    <row r="415" spans="1:27" s="2072" customFormat="1" thickBot="1">
      <c r="A415" s="2090"/>
      <c r="B415" s="2091"/>
      <c r="C415" s="2091"/>
      <c r="D415" s="2091"/>
      <c r="E415" s="2091"/>
      <c r="F415" s="2091"/>
      <c r="G415" s="2091"/>
      <c r="H415" s="2091"/>
      <c r="I415" s="2091"/>
      <c r="J415" s="2091"/>
      <c r="K415" s="2091"/>
      <c r="L415" s="2091"/>
      <c r="M415" s="2090"/>
      <c r="N415" s="2090"/>
      <c r="O415" s="2090"/>
      <c r="P415" s="2090"/>
      <c r="Q415" s="2090"/>
      <c r="R415" s="871">
        <v>1</v>
      </c>
      <c r="S415" s="871">
        <v>1</v>
      </c>
      <c r="T415" s="871">
        <v>1</v>
      </c>
      <c r="U415" s="871">
        <v>1</v>
      </c>
      <c r="V415" s="871">
        <v>1</v>
      </c>
      <c r="W415" s="871">
        <v>1</v>
      </c>
      <c r="X415" s="871">
        <v>1</v>
      </c>
      <c r="Y415" s="871">
        <v>1</v>
      </c>
      <c r="Z415" s="871">
        <v>1</v>
      </c>
      <c r="AA415" s="871">
        <v>1</v>
      </c>
    </row>
    <row r="416" spans="1:27" s="2072" customFormat="1" ht="19.5" customHeight="1">
      <c r="A416" s="2115" t="s">
        <v>167</v>
      </c>
      <c r="B416" s="6527" t="s">
        <v>9015</v>
      </c>
      <c r="C416" s="6528"/>
      <c r="D416" s="6528"/>
      <c r="E416" s="6528"/>
      <c r="F416" s="6528"/>
      <c r="G416" s="6528"/>
      <c r="H416" s="6528"/>
      <c r="I416" s="6528"/>
      <c r="J416" s="6528"/>
      <c r="K416" s="6529"/>
      <c r="L416" s="2091"/>
      <c r="M416" s="2090"/>
      <c r="N416" s="2090"/>
      <c r="O416" s="2090"/>
      <c r="P416" s="2090"/>
      <c r="Q416" s="2090"/>
      <c r="R416" s="871">
        <v>1</v>
      </c>
      <c r="S416" s="871">
        <v>1</v>
      </c>
      <c r="T416" s="871">
        <v>1</v>
      </c>
      <c r="U416" s="871">
        <v>1</v>
      </c>
      <c r="V416" s="871">
        <v>1</v>
      </c>
      <c r="W416" s="871">
        <v>1</v>
      </c>
      <c r="X416" s="871">
        <v>1</v>
      </c>
      <c r="Y416" s="871">
        <v>1</v>
      </c>
      <c r="Z416" s="871">
        <v>1</v>
      </c>
      <c r="AA416" s="871">
        <v>1</v>
      </c>
    </row>
    <row r="417" spans="1:27" s="2072" customFormat="1" ht="15.75" customHeight="1">
      <c r="A417" s="6373" t="str">
        <f>B416</f>
        <v>COMPOSITION ET SERVICE D'UN PLAT COMPLET</v>
      </c>
      <c r="B417" s="2129" t="str">
        <f>ADDRESS(ROW(),COLUMN(),4)</f>
        <v>B417</v>
      </c>
      <c r="C417" s="1778" t="s">
        <v>3529</v>
      </c>
      <c r="D417" s="2118"/>
      <c r="E417" s="2118"/>
      <c r="F417" s="2118"/>
      <c r="G417" s="2118"/>
      <c r="H417" s="2118"/>
      <c r="I417" s="2118"/>
      <c r="J417" s="2118"/>
      <c r="K417" s="2122"/>
      <c r="L417" s="2091"/>
      <c r="M417" s="2090"/>
      <c r="N417" s="2090"/>
      <c r="O417" s="2090"/>
      <c r="P417" s="2090"/>
      <c r="Q417" s="2090"/>
      <c r="R417" s="871">
        <v>1</v>
      </c>
      <c r="S417" s="871">
        <v>1</v>
      </c>
      <c r="T417" s="871">
        <v>1</v>
      </c>
      <c r="U417" s="871">
        <v>1</v>
      </c>
      <c r="V417" s="871">
        <v>1</v>
      </c>
      <c r="W417" s="871">
        <v>1</v>
      </c>
      <c r="X417" s="871">
        <v>1</v>
      </c>
      <c r="Y417" s="871">
        <v>1</v>
      </c>
      <c r="Z417" s="871">
        <v>1</v>
      </c>
      <c r="AA417" s="871">
        <v>1</v>
      </c>
    </row>
    <row r="418" spans="1:27" s="2072" customFormat="1" ht="15" customHeight="1">
      <c r="A418" s="6373"/>
      <c r="B418" s="6530" t="s">
        <v>9277</v>
      </c>
      <c r="C418" s="6531"/>
      <c r="D418" s="6531"/>
      <c r="E418" s="6531"/>
      <c r="F418" s="6531"/>
      <c r="G418" s="6531"/>
      <c r="H418" s="6531"/>
      <c r="I418" s="6531"/>
      <c r="J418" s="6531"/>
      <c r="K418" s="6532"/>
      <c r="L418" s="2091"/>
      <c r="M418" s="2090"/>
      <c r="N418" s="2090"/>
      <c r="O418" s="2090"/>
      <c r="P418" s="2090"/>
      <c r="Q418" s="2090"/>
      <c r="R418" s="871">
        <v>1</v>
      </c>
      <c r="S418" s="871">
        <v>1</v>
      </c>
      <c r="T418" s="871">
        <v>1</v>
      </c>
      <c r="U418" s="871">
        <v>1</v>
      </c>
      <c r="V418" s="871">
        <v>1</v>
      </c>
      <c r="W418" s="871">
        <v>1</v>
      </c>
      <c r="X418" s="871">
        <v>1</v>
      </c>
      <c r="Y418" s="871">
        <v>1</v>
      </c>
      <c r="Z418" s="871">
        <v>1</v>
      </c>
      <c r="AA418" s="871">
        <v>1</v>
      </c>
    </row>
    <row r="419" spans="1:27" s="2072" customFormat="1" ht="18">
      <c r="A419" s="6373"/>
      <c r="B419" s="6533" t="s">
        <v>9278</v>
      </c>
      <c r="C419" s="6534"/>
      <c r="D419" s="6534"/>
      <c r="E419" s="6534"/>
      <c r="F419" s="6534"/>
      <c r="G419" s="6534"/>
      <c r="H419" s="6534"/>
      <c r="I419" s="6534"/>
      <c r="J419" s="6534"/>
      <c r="K419" s="6535"/>
      <c r="L419" s="2091"/>
      <c r="M419" s="2090"/>
      <c r="N419" s="2090"/>
      <c r="O419" s="2090"/>
      <c r="P419" s="2090"/>
      <c r="Q419" s="2090"/>
      <c r="R419" s="871">
        <v>1</v>
      </c>
      <c r="S419" s="871">
        <v>1</v>
      </c>
      <c r="T419" s="871">
        <v>1</v>
      </c>
      <c r="U419" s="871">
        <v>1</v>
      </c>
      <c r="V419" s="871">
        <v>1</v>
      </c>
      <c r="W419" s="871">
        <v>1</v>
      </c>
      <c r="X419" s="871">
        <v>1</v>
      </c>
      <c r="Y419" s="871">
        <v>1</v>
      </c>
      <c r="Z419" s="871">
        <v>1</v>
      </c>
      <c r="AA419" s="871">
        <v>1</v>
      </c>
    </row>
    <row r="420" spans="1:27" s="2072" customFormat="1" ht="15" customHeight="1">
      <c r="A420" s="6373"/>
      <c r="B420" s="6536" t="str">
        <f ca="1">CELL("nomfichier")</f>
        <v>D:\Données\1.UPRT\0-UPRT.fait\1-UPRT.FR-SITE-WEB\ff-fiches-fabrications\ff.fiches.fabrication.2023\ffr.restaurant.2023\[ff.FICHE.TRILINGUE.15.COLONNES.29.11.2025.xlsx]Notice.utilisateur</v>
      </c>
      <c r="C420" s="6537"/>
      <c r="D420" s="6537"/>
      <c r="E420" s="6537"/>
      <c r="F420" s="6537"/>
      <c r="G420" s="6537"/>
      <c r="H420" s="6537"/>
      <c r="I420" s="6537"/>
      <c r="J420" s="6537"/>
      <c r="K420" s="6538"/>
      <c r="L420" s="2091"/>
      <c r="M420" s="2090"/>
      <c r="N420" s="2090"/>
      <c r="O420" s="2090"/>
      <c r="P420" s="2090"/>
      <c r="Q420" s="2090"/>
      <c r="R420" s="871">
        <v>1</v>
      </c>
      <c r="S420" s="871">
        <v>1</v>
      </c>
      <c r="T420" s="871">
        <v>1</v>
      </c>
      <c r="U420" s="871">
        <v>1</v>
      </c>
      <c r="V420" s="871">
        <v>1</v>
      </c>
      <c r="W420" s="871">
        <v>1</v>
      </c>
      <c r="X420" s="871">
        <v>1</v>
      </c>
      <c r="Y420" s="871">
        <v>1</v>
      </c>
      <c r="Z420" s="871">
        <v>1</v>
      </c>
      <c r="AA420" s="871">
        <v>1</v>
      </c>
    </row>
    <row r="421" spans="1:27" s="2072" customFormat="1" ht="26.25">
      <c r="A421" s="6373"/>
      <c r="B421" s="6539" t="s">
        <v>9279</v>
      </c>
      <c r="C421" s="6540"/>
      <c r="D421" s="6540"/>
      <c r="E421" s="6540"/>
      <c r="F421" s="6540"/>
      <c r="G421" s="6540"/>
      <c r="H421" s="6540"/>
      <c r="I421" s="6540"/>
      <c r="J421" s="6540"/>
      <c r="K421" s="6541"/>
      <c r="L421" s="2091"/>
      <c r="M421" s="2090"/>
      <c r="N421" s="2090"/>
      <c r="O421" s="2090"/>
      <c r="P421" s="2090"/>
      <c r="Q421" s="2090"/>
      <c r="R421" s="871">
        <v>1</v>
      </c>
      <c r="S421" s="871">
        <v>1</v>
      </c>
      <c r="T421" s="871">
        <v>1</v>
      </c>
      <c r="U421" s="871">
        <v>1</v>
      </c>
      <c r="V421" s="871">
        <v>1</v>
      </c>
      <c r="W421" s="871">
        <v>1</v>
      </c>
      <c r="X421" s="871">
        <v>1</v>
      </c>
      <c r="Y421" s="871">
        <v>1</v>
      </c>
      <c r="Z421" s="871">
        <v>1</v>
      </c>
      <c r="AA421" s="871">
        <v>1</v>
      </c>
    </row>
    <row r="422" spans="1:27" s="2072" customFormat="1" ht="26.25">
      <c r="A422" s="6373"/>
      <c r="B422" s="2610"/>
      <c r="C422" s="2713"/>
      <c r="D422" s="2713" t="s">
        <v>9280</v>
      </c>
      <c r="E422" s="2091"/>
      <c r="F422" s="2714">
        <f ca="1">TODAY()</f>
        <v>45990</v>
      </c>
      <c r="G422" s="2715"/>
      <c r="H422" s="2716"/>
      <c r="I422" s="2717">
        <f ca="1">NOW()</f>
        <v>45990.762720254628</v>
      </c>
      <c r="J422" s="2717"/>
      <c r="K422" s="2718"/>
      <c r="L422" s="2091"/>
      <c r="M422" s="2090"/>
      <c r="N422" s="2090"/>
      <c r="O422" s="2090"/>
      <c r="P422" s="2090"/>
      <c r="Q422" s="2090"/>
      <c r="R422" s="871">
        <v>1</v>
      </c>
      <c r="S422" s="871">
        <v>1</v>
      </c>
      <c r="T422" s="871">
        <v>1</v>
      </c>
      <c r="U422" s="871">
        <v>1</v>
      </c>
      <c r="V422" s="871">
        <v>1</v>
      </c>
      <c r="W422" s="871">
        <v>1</v>
      </c>
      <c r="X422" s="871">
        <v>1</v>
      </c>
      <c r="Y422" s="871">
        <v>1</v>
      </c>
      <c r="Z422" s="871">
        <v>1</v>
      </c>
      <c r="AA422" s="871">
        <v>1</v>
      </c>
    </row>
    <row r="423" spans="1:27" s="2072" customFormat="1">
      <c r="A423" s="6373"/>
      <c r="B423" s="2719" t="s">
        <v>2851</v>
      </c>
      <c r="C423" s="2720" t="s">
        <v>714</v>
      </c>
      <c r="D423" s="2090"/>
      <c r="E423" s="2091"/>
      <c r="F423" s="2091"/>
      <c r="G423" s="2091"/>
      <c r="H423" s="2721"/>
      <c r="I423" s="2721"/>
      <c r="J423" s="2721"/>
      <c r="K423" s="2722"/>
      <c r="L423" s="2091"/>
      <c r="M423" s="2090"/>
      <c r="N423" s="2090"/>
      <c r="O423" s="2090"/>
      <c r="P423" s="2090"/>
      <c r="Q423" s="2090"/>
      <c r="R423" s="871">
        <v>1</v>
      </c>
      <c r="S423" s="871">
        <v>1</v>
      </c>
      <c r="T423" s="871">
        <v>1</v>
      </c>
      <c r="U423" s="871">
        <v>1</v>
      </c>
      <c r="V423" s="871">
        <v>1</v>
      </c>
      <c r="W423" s="871">
        <v>1</v>
      </c>
      <c r="X423" s="871">
        <v>1</v>
      </c>
      <c r="Y423" s="871">
        <v>1</v>
      </c>
      <c r="Z423" s="871">
        <v>1</v>
      </c>
      <c r="AA423" s="871">
        <v>1</v>
      </c>
    </row>
    <row r="424" spans="1:27" s="2072" customFormat="1" ht="15" customHeight="1">
      <c r="A424" s="6373"/>
      <c r="B424" s="2128"/>
      <c r="C424" s="2723" t="s">
        <v>9086</v>
      </c>
      <c r="D424" s="2724" t="s">
        <v>9087</v>
      </c>
      <c r="E424" s="2724" t="s">
        <v>9088</v>
      </c>
      <c r="F424" s="2724" t="s">
        <v>9089</v>
      </c>
      <c r="G424" s="2725" t="s">
        <v>9090</v>
      </c>
      <c r="H424" s="6542" t="s">
        <v>9198</v>
      </c>
      <c r="I424" s="6542"/>
      <c r="J424" s="6542"/>
      <c r="K424" s="2726"/>
      <c r="L424" s="2091"/>
      <c r="M424" s="2090"/>
      <c r="N424" s="2090"/>
      <c r="O424" s="2090"/>
      <c r="P424" s="2090"/>
      <c r="Q424" s="2090"/>
      <c r="R424" s="871">
        <v>1</v>
      </c>
      <c r="S424" s="871">
        <v>1</v>
      </c>
      <c r="T424" s="871">
        <v>1</v>
      </c>
      <c r="U424" s="871">
        <v>1</v>
      </c>
      <c r="V424" s="871">
        <v>1</v>
      </c>
      <c r="W424" s="871">
        <v>1</v>
      </c>
      <c r="X424" s="871">
        <v>1</v>
      </c>
      <c r="Y424" s="871">
        <v>1</v>
      </c>
      <c r="Z424" s="871">
        <v>1</v>
      </c>
      <c r="AA424" s="871">
        <v>1</v>
      </c>
    </row>
    <row r="425" spans="1:27" s="2072" customFormat="1">
      <c r="A425" s="6373"/>
      <c r="B425" s="2128"/>
      <c r="C425" s="2727">
        <v>550</v>
      </c>
      <c r="D425" s="2727">
        <v>920</v>
      </c>
      <c r="E425" s="2727">
        <v>340</v>
      </c>
      <c r="F425" s="2727">
        <v>150</v>
      </c>
      <c r="G425" s="2727">
        <v>210</v>
      </c>
      <c r="H425" s="6543" t="s">
        <v>9091</v>
      </c>
      <c r="I425" s="6543"/>
      <c r="J425" s="6543"/>
      <c r="K425" s="2729">
        <f>SUM(C425:J425)</f>
        <v>2170</v>
      </c>
      <c r="L425" s="2091"/>
      <c r="M425" s="2090"/>
      <c r="N425" s="2090"/>
      <c r="O425" s="2090"/>
      <c r="P425" s="2090"/>
      <c r="Q425" s="2090"/>
      <c r="R425" s="871">
        <v>1</v>
      </c>
      <c r="S425" s="871">
        <v>1</v>
      </c>
      <c r="T425" s="871">
        <v>1</v>
      </c>
      <c r="U425" s="871">
        <v>1</v>
      </c>
      <c r="V425" s="871">
        <v>1</v>
      </c>
      <c r="W425" s="871">
        <v>1</v>
      </c>
      <c r="X425" s="871">
        <v>1</v>
      </c>
      <c r="Y425" s="871">
        <v>1</v>
      </c>
      <c r="Z425" s="871">
        <v>1</v>
      </c>
      <c r="AA425" s="871">
        <v>1</v>
      </c>
    </row>
    <row r="426" spans="1:27" s="2072" customFormat="1">
      <c r="A426" s="6373"/>
      <c r="B426" s="2730"/>
      <c r="C426" s="2731"/>
      <c r="D426" s="2731"/>
      <c r="E426" s="2731"/>
      <c r="F426" s="2731"/>
      <c r="G426" s="2731"/>
      <c r="H426" s="2728"/>
      <c r="I426" s="2728"/>
      <c r="J426" s="2728"/>
      <c r="K426" s="2729"/>
      <c r="L426" s="2091"/>
      <c r="M426" s="2090"/>
      <c r="N426" s="2090"/>
      <c r="O426" s="2090"/>
      <c r="P426" s="2090"/>
      <c r="Q426" s="2090"/>
      <c r="R426" s="871">
        <v>1</v>
      </c>
      <c r="S426" s="871">
        <v>1</v>
      </c>
      <c r="T426" s="871">
        <v>1</v>
      </c>
      <c r="U426" s="871">
        <v>1</v>
      </c>
      <c r="V426" s="871">
        <v>1</v>
      </c>
      <c r="W426" s="871">
        <v>1</v>
      </c>
      <c r="X426" s="871">
        <v>1</v>
      </c>
      <c r="Y426" s="871">
        <v>1</v>
      </c>
      <c r="Z426" s="871">
        <v>1</v>
      </c>
      <c r="AA426" s="871">
        <v>1</v>
      </c>
    </row>
    <row r="427" spans="1:27" s="2072" customFormat="1">
      <c r="A427" s="6373"/>
      <c r="B427" s="2719" t="s">
        <v>17</v>
      </c>
      <c r="C427" s="2720" t="s">
        <v>9281</v>
      </c>
      <c r="D427" s="2731"/>
      <c r="E427" s="2731"/>
      <c r="F427" s="2731"/>
      <c r="G427" s="2731"/>
      <c r="H427" s="2728"/>
      <c r="I427" s="2728"/>
      <c r="J427" s="2728"/>
      <c r="K427" s="2732"/>
      <c r="L427" s="2091"/>
      <c r="M427" s="2090"/>
      <c r="N427" s="2090"/>
      <c r="O427" s="2090"/>
      <c r="P427" s="2090"/>
      <c r="Q427" s="2090"/>
      <c r="R427" s="871">
        <v>1</v>
      </c>
      <c r="S427" s="871">
        <v>1</v>
      </c>
      <c r="T427" s="871">
        <v>1</v>
      </c>
      <c r="U427" s="871">
        <v>1</v>
      </c>
      <c r="V427" s="871">
        <v>1</v>
      </c>
      <c r="W427" s="871">
        <v>1</v>
      </c>
      <c r="X427" s="871">
        <v>1</v>
      </c>
      <c r="Y427" s="871">
        <v>1</v>
      </c>
      <c r="Z427" s="871">
        <v>1</v>
      </c>
      <c r="AA427" s="871">
        <v>1</v>
      </c>
    </row>
    <row r="428" spans="1:27" s="2072" customFormat="1" ht="15" customHeight="1">
      <c r="A428" s="6373"/>
      <c r="B428" s="2730"/>
      <c r="C428" s="2090"/>
      <c r="D428" s="2090"/>
      <c r="E428" s="2090"/>
      <c r="F428" s="2090"/>
      <c r="G428" s="2090"/>
      <c r="H428" s="2733"/>
      <c r="I428" s="2090"/>
      <c r="J428" s="2091"/>
      <c r="K428" s="2127"/>
      <c r="L428" s="2091"/>
      <c r="M428" s="2090"/>
      <c r="N428" s="2090"/>
      <c r="O428" s="2090"/>
      <c r="P428" s="2090"/>
      <c r="Q428" s="2090"/>
      <c r="R428" s="871">
        <v>1</v>
      </c>
      <c r="S428" s="871">
        <v>1</v>
      </c>
      <c r="T428" s="871">
        <v>1</v>
      </c>
      <c r="U428" s="871">
        <v>1</v>
      </c>
      <c r="V428" s="871">
        <v>1</v>
      </c>
      <c r="W428" s="871">
        <v>1</v>
      </c>
      <c r="X428" s="871">
        <v>1</v>
      </c>
      <c r="Y428" s="871">
        <v>1</v>
      </c>
      <c r="Z428" s="871">
        <v>1</v>
      </c>
      <c r="AA428" s="871">
        <v>1</v>
      </c>
    </row>
    <row r="429" spans="1:27" s="2072" customFormat="1" ht="15" customHeight="1">
      <c r="A429" s="6373"/>
      <c r="B429" s="2730"/>
      <c r="C429" s="2734">
        <v>0</v>
      </c>
      <c r="D429" s="2734">
        <v>1</v>
      </c>
      <c r="E429" s="2734">
        <v>1</v>
      </c>
      <c r="F429" s="2734">
        <v>0</v>
      </c>
      <c r="G429" s="2734">
        <v>1</v>
      </c>
      <c r="H429" s="6544" t="s">
        <v>9282</v>
      </c>
      <c r="I429" s="6544"/>
      <c r="J429" s="6544"/>
      <c r="K429" s="2735">
        <f>(C429*C425)+(D429*D425)+(E429*E425)+(F429*F425)+(G429*G425)</f>
        <v>1470</v>
      </c>
      <c r="L429" s="2091"/>
      <c r="M429" s="2090"/>
      <c r="N429" s="2090"/>
      <c r="O429" s="2090"/>
      <c r="P429" s="2090"/>
      <c r="Q429" s="2090"/>
      <c r="R429" s="871">
        <v>1</v>
      </c>
      <c r="S429" s="871">
        <v>1</v>
      </c>
      <c r="T429" s="871">
        <v>1</v>
      </c>
      <c r="U429" s="871">
        <v>1</v>
      </c>
      <c r="V429" s="871">
        <v>1</v>
      </c>
      <c r="W429" s="871">
        <v>1</v>
      </c>
      <c r="X429" s="871">
        <v>1</v>
      </c>
      <c r="Y429" s="871">
        <v>1</v>
      </c>
      <c r="Z429" s="871">
        <v>1</v>
      </c>
      <c r="AA429" s="871">
        <v>1</v>
      </c>
    </row>
    <row r="430" spans="1:27" s="2072" customFormat="1" ht="15" customHeight="1">
      <c r="A430" s="6373"/>
      <c r="B430" s="2730"/>
      <c r="C430" s="2734">
        <v>1</v>
      </c>
      <c r="D430" s="2734">
        <v>0</v>
      </c>
      <c r="E430" s="2734">
        <v>0</v>
      </c>
      <c r="F430" s="2734">
        <v>2</v>
      </c>
      <c r="G430" s="2734">
        <v>0</v>
      </c>
      <c r="H430" s="6544" t="s">
        <v>9283</v>
      </c>
      <c r="I430" s="6544"/>
      <c r="J430" s="6544"/>
      <c r="K430" s="2735">
        <f>(C430*C425)+(D430*D425)+(E430*E425)+(F430*F425)+(G430*G425)</f>
        <v>850</v>
      </c>
      <c r="L430" s="2091"/>
      <c r="M430" s="2090"/>
      <c r="N430" s="2090"/>
      <c r="O430" s="2090"/>
      <c r="P430" s="2090"/>
      <c r="Q430" s="2090"/>
      <c r="R430" s="871">
        <v>1</v>
      </c>
      <c r="S430" s="871">
        <v>1</v>
      </c>
      <c r="T430" s="871">
        <v>1</v>
      </c>
      <c r="U430" s="871">
        <v>1</v>
      </c>
      <c r="V430" s="871">
        <v>1</v>
      </c>
      <c r="W430" s="871">
        <v>1</v>
      </c>
      <c r="X430" s="871">
        <v>1</v>
      </c>
      <c r="Y430" s="871">
        <v>1</v>
      </c>
      <c r="Z430" s="871">
        <v>1</v>
      </c>
      <c r="AA430" s="871">
        <v>1</v>
      </c>
    </row>
    <row r="431" spans="1:27" s="2072" customFormat="1" ht="15" customHeight="1">
      <c r="A431" s="6373"/>
      <c r="B431" s="2730"/>
      <c r="C431" s="2736">
        <v>0.5</v>
      </c>
      <c r="D431" s="2734">
        <v>1</v>
      </c>
      <c r="E431" s="2734">
        <v>1</v>
      </c>
      <c r="F431" s="2734">
        <v>1</v>
      </c>
      <c r="G431" s="2734">
        <v>1</v>
      </c>
      <c r="H431" s="6544" t="s">
        <v>9284</v>
      </c>
      <c r="I431" s="6544"/>
      <c r="J431" s="6544"/>
      <c r="K431" s="2735">
        <f>(C431*C425)+(D431*D425)+(E431*E425)+(F431*F425)+(G431*G425)</f>
        <v>1895</v>
      </c>
      <c r="L431" s="2091"/>
      <c r="M431" s="2090"/>
      <c r="N431" s="2090"/>
      <c r="O431" s="2090"/>
      <c r="P431" s="2090"/>
      <c r="Q431" s="2090"/>
      <c r="R431" s="871">
        <v>1</v>
      </c>
      <c r="S431" s="871">
        <v>1</v>
      </c>
      <c r="T431" s="871">
        <v>1</v>
      </c>
      <c r="U431" s="871">
        <v>1</v>
      </c>
      <c r="V431" s="871">
        <v>1</v>
      </c>
      <c r="W431" s="871">
        <v>1</v>
      </c>
      <c r="X431" s="871">
        <v>1</v>
      </c>
      <c r="Y431" s="871">
        <v>1</v>
      </c>
      <c r="Z431" s="871">
        <v>1</v>
      </c>
      <c r="AA431" s="871">
        <v>1</v>
      </c>
    </row>
    <row r="432" spans="1:27" s="2072" customFormat="1" ht="15" customHeight="1">
      <c r="A432" s="6373"/>
      <c r="B432" s="2730"/>
      <c r="C432" s="2734">
        <v>0</v>
      </c>
      <c r="D432" s="2734">
        <v>0</v>
      </c>
      <c r="E432" s="2734">
        <v>2</v>
      </c>
      <c r="F432" s="2734">
        <v>2</v>
      </c>
      <c r="G432" s="2734">
        <v>1</v>
      </c>
      <c r="H432" s="6544" t="s">
        <v>9285</v>
      </c>
      <c r="I432" s="6544"/>
      <c r="J432" s="6544"/>
      <c r="K432" s="2735">
        <f>(C432*C425)+(D432*D425)+(E432*E425)+(F432*F425)+(G432*G425)</f>
        <v>1190</v>
      </c>
      <c r="L432" s="2091"/>
      <c r="M432" s="2090"/>
      <c r="N432" s="2090"/>
      <c r="O432" s="2090"/>
      <c r="P432" s="2090"/>
      <c r="Q432" s="2090"/>
      <c r="R432" s="871">
        <v>1</v>
      </c>
      <c r="S432" s="871">
        <v>1</v>
      </c>
      <c r="T432" s="871">
        <v>1</v>
      </c>
      <c r="U432" s="871">
        <v>1</v>
      </c>
      <c r="V432" s="871">
        <v>1</v>
      </c>
      <c r="W432" s="871">
        <v>1</v>
      </c>
      <c r="X432" s="871">
        <v>1</v>
      </c>
      <c r="Y432" s="871">
        <v>1</v>
      </c>
      <c r="Z432" s="871">
        <v>1</v>
      </c>
      <c r="AA432" s="871">
        <v>1</v>
      </c>
    </row>
    <row r="433" spans="1:27" s="2072" customFormat="1">
      <c r="A433" s="6373"/>
      <c r="B433" s="2730"/>
      <c r="C433" s="2734">
        <v>1</v>
      </c>
      <c r="D433" s="2734">
        <v>2</v>
      </c>
      <c r="E433" s="2734">
        <v>0</v>
      </c>
      <c r="F433" s="2734">
        <v>1</v>
      </c>
      <c r="G433" s="2734">
        <v>0</v>
      </c>
      <c r="H433" s="6544" t="s">
        <v>9286</v>
      </c>
      <c r="I433" s="6544"/>
      <c r="J433" s="6544"/>
      <c r="K433" s="2735">
        <f>(C433*C425)+(D433*D425)+(E433*E425)+(F433*F425)+(G433*G425)</f>
        <v>2540</v>
      </c>
      <c r="L433" s="2091"/>
      <c r="M433" s="2090"/>
      <c r="N433" s="2090"/>
      <c r="O433" s="2090"/>
      <c r="P433" s="2090"/>
      <c r="Q433" s="2090"/>
      <c r="R433" s="871">
        <v>1</v>
      </c>
      <c r="S433" s="871">
        <v>1</v>
      </c>
      <c r="T433" s="871">
        <v>1</v>
      </c>
      <c r="U433" s="871">
        <v>1</v>
      </c>
      <c r="V433" s="871">
        <v>1</v>
      </c>
      <c r="W433" s="871">
        <v>1</v>
      </c>
      <c r="X433" s="871">
        <v>1</v>
      </c>
      <c r="Y433" s="871">
        <v>1</v>
      </c>
      <c r="Z433" s="871">
        <v>1</v>
      </c>
      <c r="AA433" s="871">
        <v>1</v>
      </c>
    </row>
    <row r="434" spans="1:27" s="2072" customFormat="1">
      <c r="A434" s="6373"/>
      <c r="B434" s="2730"/>
      <c r="C434" s="2723" t="s">
        <v>9086</v>
      </c>
      <c r="D434" s="2724" t="s">
        <v>9087</v>
      </c>
      <c r="E434" s="2724" t="s">
        <v>9088</v>
      </c>
      <c r="F434" s="2724" t="s">
        <v>9089</v>
      </c>
      <c r="G434" s="2725" t="s">
        <v>9090</v>
      </c>
      <c r="H434" s="2737"/>
      <c r="I434" s="2090"/>
      <c r="J434" s="2091"/>
      <c r="K434" s="2735"/>
      <c r="L434" s="2091"/>
      <c r="M434" s="2090"/>
      <c r="N434" s="2090"/>
      <c r="O434" s="2090"/>
      <c r="P434" s="2090"/>
      <c r="Q434" s="2090"/>
      <c r="R434" s="871">
        <v>1</v>
      </c>
      <c r="S434" s="871">
        <v>1</v>
      </c>
      <c r="T434" s="871">
        <v>1</v>
      </c>
      <c r="U434" s="871">
        <v>1</v>
      </c>
      <c r="V434" s="871">
        <v>1</v>
      </c>
      <c r="W434" s="871">
        <v>1</v>
      </c>
      <c r="X434" s="871">
        <v>1</v>
      </c>
      <c r="Y434" s="871">
        <v>1</v>
      </c>
      <c r="Z434" s="871">
        <v>1</v>
      </c>
      <c r="AA434" s="871">
        <v>1</v>
      </c>
    </row>
    <row r="435" spans="1:27" s="2072" customFormat="1">
      <c r="A435" s="6373"/>
      <c r="B435" s="2730"/>
      <c r="C435" s="2738">
        <f>SUM(C429:C433)</f>
        <v>2.5</v>
      </c>
      <c r="D435" s="2738">
        <f>SUM(D429:D433)</f>
        <v>4</v>
      </c>
      <c r="E435" s="2738">
        <f>SUM(E429:E433)</f>
        <v>4</v>
      </c>
      <c r="F435" s="2738">
        <f>SUM(F429:F433)</f>
        <v>6</v>
      </c>
      <c r="G435" s="2738">
        <f>SUM(G429:G433)</f>
        <v>3</v>
      </c>
      <c r="H435" s="2739" t="s">
        <v>9287</v>
      </c>
      <c r="I435" s="2090"/>
      <c r="J435" s="2091"/>
      <c r="K435" s="2740"/>
      <c r="L435" s="2091"/>
      <c r="M435" s="2090"/>
      <c r="N435" s="2090"/>
      <c r="O435" s="2090"/>
      <c r="P435" s="2090"/>
      <c r="Q435" s="2090"/>
      <c r="R435" s="871">
        <v>1</v>
      </c>
      <c r="S435" s="871">
        <v>1</v>
      </c>
      <c r="T435" s="871">
        <v>1</v>
      </c>
      <c r="U435" s="871">
        <v>1</v>
      </c>
      <c r="V435" s="871">
        <v>1</v>
      </c>
      <c r="W435" s="871">
        <v>1</v>
      </c>
      <c r="X435" s="871">
        <v>1</v>
      </c>
      <c r="Y435" s="871">
        <v>1</v>
      </c>
      <c r="Z435" s="871">
        <v>1</v>
      </c>
      <c r="AA435" s="871">
        <v>1</v>
      </c>
    </row>
    <row r="436" spans="1:27" s="2072" customFormat="1" ht="15.75" customHeight="1">
      <c r="A436" s="6373"/>
      <c r="B436" s="2741"/>
      <c r="C436" s="2742"/>
      <c r="D436" s="2742"/>
      <c r="E436" s="2742"/>
      <c r="F436" s="2742"/>
      <c r="G436" s="2742"/>
      <c r="H436" s="2737"/>
      <c r="I436" s="2090"/>
      <c r="J436" s="2091"/>
      <c r="K436" s="2743"/>
      <c r="L436" s="2091"/>
      <c r="M436" s="2090"/>
      <c r="N436" s="2090"/>
      <c r="O436" s="2090"/>
      <c r="P436" s="2090"/>
      <c r="Q436" s="2090"/>
      <c r="R436" s="871">
        <v>1</v>
      </c>
      <c r="S436" s="871">
        <v>1</v>
      </c>
      <c r="T436" s="871">
        <v>1</v>
      </c>
      <c r="U436" s="871">
        <v>1</v>
      </c>
      <c r="V436" s="871">
        <v>1</v>
      </c>
      <c r="W436" s="871">
        <v>1</v>
      </c>
      <c r="X436" s="871">
        <v>1</v>
      </c>
      <c r="Y436" s="871">
        <v>1</v>
      </c>
      <c r="Z436" s="871">
        <v>1</v>
      </c>
      <c r="AA436" s="871">
        <v>1</v>
      </c>
    </row>
    <row r="437" spans="1:27" s="2072" customFormat="1">
      <c r="A437" s="6373"/>
      <c r="B437" s="2719" t="s">
        <v>2852</v>
      </c>
      <c r="C437" s="2744">
        <v>0.06</v>
      </c>
      <c r="D437" s="2744">
        <v>0.08</v>
      </c>
      <c r="E437" s="2744">
        <v>0.15</v>
      </c>
      <c r="F437" s="2744">
        <v>0.2</v>
      </c>
      <c r="G437" s="2744">
        <v>0.1</v>
      </c>
      <c r="H437" s="6544" t="s">
        <v>9288</v>
      </c>
      <c r="I437" s="6544"/>
      <c r="J437" s="6544"/>
      <c r="K437" s="2745">
        <f>(C437*C425)+(D437*D425)+(E437*E425)+(F437*F425)+(G437*G425)</f>
        <v>208.60000000000002</v>
      </c>
      <c r="L437" s="2091"/>
      <c r="M437" s="2090"/>
      <c r="N437" s="2090"/>
      <c r="O437" s="2090"/>
      <c r="P437" s="2090"/>
      <c r="Q437" s="2090"/>
      <c r="R437" s="871">
        <v>1</v>
      </c>
      <c r="S437" s="871">
        <v>1</v>
      </c>
      <c r="T437" s="871">
        <v>1</v>
      </c>
      <c r="U437" s="871">
        <v>1</v>
      </c>
      <c r="V437" s="871">
        <v>1</v>
      </c>
      <c r="W437" s="871">
        <v>1</v>
      </c>
      <c r="X437" s="871">
        <v>1</v>
      </c>
      <c r="Y437" s="871">
        <v>1</v>
      </c>
      <c r="Z437" s="871">
        <v>1</v>
      </c>
      <c r="AA437" s="871">
        <v>1</v>
      </c>
    </row>
    <row r="438" spans="1:27" s="2072" customFormat="1" ht="15">
      <c r="A438" s="6373"/>
      <c r="B438" s="2741"/>
      <c r="C438" s="2742"/>
      <c r="D438" s="2742"/>
      <c r="E438" s="2742"/>
      <c r="F438" s="2742"/>
      <c r="G438" s="2742"/>
      <c r="H438" s="2746"/>
      <c r="I438" s="2747"/>
      <c r="J438" s="2748"/>
      <c r="K438" s="2735"/>
      <c r="L438" s="2091"/>
      <c r="M438" s="2090"/>
      <c r="N438" s="2090"/>
      <c r="O438" s="2090"/>
      <c r="P438" s="2090"/>
      <c r="Q438" s="2090"/>
      <c r="R438" s="871">
        <v>1</v>
      </c>
      <c r="S438" s="871">
        <v>1</v>
      </c>
      <c r="T438" s="871">
        <v>1</v>
      </c>
      <c r="U438" s="871">
        <v>1</v>
      </c>
      <c r="V438" s="871">
        <v>1</v>
      </c>
      <c r="W438" s="871">
        <v>1</v>
      </c>
      <c r="X438" s="871">
        <v>1</v>
      </c>
      <c r="Y438" s="871">
        <v>1</v>
      </c>
      <c r="Z438" s="871">
        <v>1</v>
      </c>
      <c r="AA438" s="871">
        <v>1</v>
      </c>
    </row>
    <row r="439" spans="1:27" s="2072" customFormat="1">
      <c r="A439" s="6373"/>
      <c r="B439" s="2719" t="s">
        <v>2853</v>
      </c>
      <c r="C439" s="2744">
        <v>0.06</v>
      </c>
      <c r="D439" s="2744">
        <v>0.1</v>
      </c>
      <c r="E439" s="2744">
        <v>0.12</v>
      </c>
      <c r="F439" s="2744">
        <v>0.15</v>
      </c>
      <c r="G439" s="2744">
        <v>0.12</v>
      </c>
      <c r="H439" s="6544" t="s">
        <v>9289</v>
      </c>
      <c r="I439" s="6544"/>
      <c r="J439" s="6544"/>
      <c r="K439" s="2745">
        <f>(C439*C425)+(D439*D425)+(E439*E425)+(F439*F425)+(G439*G425)</f>
        <v>213.5</v>
      </c>
      <c r="L439" s="2091"/>
      <c r="M439" s="2090"/>
      <c r="N439" s="2090"/>
      <c r="O439" s="2090"/>
      <c r="P439" s="2090"/>
      <c r="Q439" s="2090"/>
      <c r="R439" s="871">
        <v>1</v>
      </c>
      <c r="S439" s="871">
        <v>1</v>
      </c>
      <c r="T439" s="871">
        <v>1</v>
      </c>
      <c r="U439" s="871">
        <v>1</v>
      </c>
      <c r="V439" s="871">
        <v>1</v>
      </c>
      <c r="W439" s="871">
        <v>1</v>
      </c>
      <c r="X439" s="871">
        <v>1</v>
      </c>
      <c r="Y439" s="871">
        <v>1</v>
      </c>
      <c r="Z439" s="871">
        <v>1</v>
      </c>
      <c r="AA439" s="871">
        <v>1</v>
      </c>
    </row>
    <row r="440" spans="1:27" s="2072" customFormat="1" ht="15">
      <c r="A440" s="6373"/>
      <c r="B440" s="2741"/>
      <c r="C440" s="2742"/>
      <c r="D440" s="2742"/>
      <c r="E440" s="2742"/>
      <c r="F440" s="2742"/>
      <c r="G440" s="2742"/>
      <c r="H440" s="2746"/>
      <c r="I440" s="2747"/>
      <c r="J440" s="2748"/>
      <c r="K440" s="2735"/>
      <c r="L440" s="2091"/>
      <c r="M440" s="2090"/>
      <c r="N440" s="2090"/>
      <c r="O440" s="2090"/>
      <c r="P440" s="2090"/>
      <c r="Q440" s="2090"/>
      <c r="R440" s="871">
        <v>1</v>
      </c>
      <c r="S440" s="871">
        <v>1</v>
      </c>
      <c r="T440" s="871">
        <v>1</v>
      </c>
      <c r="U440" s="871">
        <v>1</v>
      </c>
      <c r="V440" s="871">
        <v>1</v>
      </c>
      <c r="W440" s="871">
        <v>1</v>
      </c>
      <c r="X440" s="871">
        <v>1</v>
      </c>
      <c r="Y440" s="871">
        <v>1</v>
      </c>
      <c r="Z440" s="871">
        <v>1</v>
      </c>
      <c r="AA440" s="871">
        <v>1</v>
      </c>
    </row>
    <row r="441" spans="1:27" s="2072" customFormat="1">
      <c r="A441" s="6373"/>
      <c r="B441" s="2719" t="s">
        <v>2854</v>
      </c>
      <c r="C441" s="2744">
        <v>0.06</v>
      </c>
      <c r="D441" s="2744">
        <v>0.1</v>
      </c>
      <c r="E441" s="2744">
        <v>0.15</v>
      </c>
      <c r="F441" s="2744">
        <v>0.2</v>
      </c>
      <c r="G441" s="2744">
        <v>0.15</v>
      </c>
      <c r="H441" s="6544" t="s">
        <v>9060</v>
      </c>
      <c r="I441" s="6544"/>
      <c r="J441" s="6544"/>
      <c r="K441" s="2745">
        <f>(C441*C425)+(D441*D425)+(E441*E425)+(F441*F425)+(G441*G425)</f>
        <v>237.5</v>
      </c>
      <c r="L441" s="2091"/>
      <c r="M441" s="2090"/>
      <c r="N441" s="2090"/>
      <c r="O441" s="2090"/>
      <c r="P441" s="2090"/>
      <c r="Q441" s="2090"/>
      <c r="R441" s="871">
        <v>1</v>
      </c>
      <c r="S441" s="871">
        <v>1</v>
      </c>
      <c r="T441" s="871">
        <v>1</v>
      </c>
      <c r="U441" s="871">
        <v>1</v>
      </c>
      <c r="V441" s="871">
        <v>1</v>
      </c>
      <c r="W441" s="871">
        <v>1</v>
      </c>
      <c r="X441" s="871">
        <v>1</v>
      </c>
      <c r="Y441" s="871">
        <v>1</v>
      </c>
      <c r="Z441" s="871">
        <v>1</v>
      </c>
      <c r="AA441" s="871">
        <v>1</v>
      </c>
    </row>
    <row r="442" spans="1:27" s="2072" customFormat="1" thickBot="1">
      <c r="A442" s="6373"/>
      <c r="B442" s="2749"/>
      <c r="C442" s="2750"/>
      <c r="D442" s="2542"/>
      <c r="E442" s="2751"/>
      <c r="F442" s="2752"/>
      <c r="G442" s="2753"/>
      <c r="H442" s="2753"/>
      <c r="I442" s="2542"/>
      <c r="J442" s="2542"/>
      <c r="K442" s="2137"/>
      <c r="L442" s="2091"/>
      <c r="M442" s="2090"/>
      <c r="N442" s="2090"/>
      <c r="O442" s="2090"/>
      <c r="P442" s="2090"/>
      <c r="Q442" s="2090"/>
      <c r="R442" s="871">
        <v>1</v>
      </c>
      <c r="S442" s="871">
        <v>1</v>
      </c>
      <c r="T442" s="871">
        <v>1</v>
      </c>
      <c r="U442" s="871">
        <v>1</v>
      </c>
      <c r="V442" s="871">
        <v>1</v>
      </c>
      <c r="W442" s="871">
        <v>1</v>
      </c>
      <c r="X442" s="871">
        <v>1</v>
      </c>
      <c r="Y442" s="871">
        <v>1</v>
      </c>
      <c r="Z442" s="871">
        <v>1</v>
      </c>
      <c r="AA442" s="871">
        <v>1</v>
      </c>
    </row>
    <row r="443" spans="1:27" s="2072" customFormat="1" ht="15">
      <c r="A443" s="2090"/>
      <c r="B443" s="2091"/>
      <c r="C443" s="2091"/>
      <c r="D443" s="2091"/>
      <c r="E443" s="2091"/>
      <c r="F443" s="2091"/>
      <c r="G443" s="2091"/>
      <c r="H443" s="2091"/>
      <c r="I443" s="2091"/>
      <c r="J443" s="2091"/>
      <c r="K443" s="2091"/>
      <c r="L443" s="2091"/>
      <c r="M443" s="2090"/>
      <c r="N443" s="2090"/>
      <c r="O443" s="2090"/>
      <c r="P443" s="2090"/>
      <c r="Q443" s="2090"/>
      <c r="R443" s="871">
        <v>1</v>
      </c>
      <c r="S443" s="871">
        <v>1</v>
      </c>
      <c r="T443" s="871">
        <v>1</v>
      </c>
      <c r="U443" s="871">
        <v>1</v>
      </c>
      <c r="V443" s="871">
        <v>1</v>
      </c>
      <c r="W443" s="871">
        <v>1</v>
      </c>
      <c r="X443" s="871">
        <v>1</v>
      </c>
      <c r="Y443" s="871">
        <v>1</v>
      </c>
      <c r="Z443" s="871">
        <v>1</v>
      </c>
      <c r="AA443" s="871">
        <v>1</v>
      </c>
    </row>
    <row r="444" spans="1:27" s="2072" customFormat="1" ht="15">
      <c r="A444" s="2754"/>
      <c r="B444" s="2755"/>
      <c r="C444" s="2756"/>
      <c r="D444" s="2756"/>
      <c r="E444" s="2756"/>
      <c r="F444" s="2756"/>
      <c r="G444" s="2756"/>
      <c r="H444" s="2756"/>
      <c r="I444" s="2756"/>
      <c r="J444" s="2755"/>
      <c r="K444" s="2755"/>
      <c r="L444" s="2755"/>
      <c r="M444" s="2754"/>
      <c r="N444" s="2754"/>
      <c r="O444" s="2754"/>
      <c r="P444" s="2754"/>
      <c r="Q444" s="2754"/>
      <c r="R444" s="871">
        <v>1</v>
      </c>
      <c r="S444" s="871">
        <v>1</v>
      </c>
      <c r="T444" s="871">
        <v>1</v>
      </c>
      <c r="U444" s="871">
        <v>1</v>
      </c>
      <c r="V444" s="871">
        <v>1</v>
      </c>
      <c r="W444" s="871">
        <v>1</v>
      </c>
      <c r="X444" s="871">
        <v>1</v>
      </c>
      <c r="Y444" s="871">
        <v>1</v>
      </c>
      <c r="Z444" s="871">
        <v>1</v>
      </c>
      <c r="AA444" s="871">
        <v>1</v>
      </c>
    </row>
    <row r="445" spans="1:27" s="2072" customFormat="1" thickBot="1">
      <c r="A445" s="2090"/>
      <c r="B445" s="2091"/>
      <c r="C445" s="2091"/>
      <c r="D445" s="2091"/>
      <c r="E445" s="2091"/>
      <c r="F445" s="2091"/>
      <c r="G445" s="2091"/>
      <c r="H445" s="2091"/>
      <c r="I445" s="2091"/>
      <c r="J445" s="2091"/>
      <c r="K445" s="2091"/>
      <c r="L445" s="2091"/>
      <c r="M445" s="2090"/>
      <c r="N445" s="2090"/>
      <c r="O445" s="2090"/>
      <c r="P445" s="2090"/>
      <c r="Q445" s="2090"/>
      <c r="R445" s="871">
        <v>1</v>
      </c>
      <c r="S445" s="871">
        <v>1</v>
      </c>
      <c r="T445" s="871">
        <v>1</v>
      </c>
      <c r="U445" s="871">
        <v>1</v>
      </c>
      <c r="V445" s="871">
        <v>1</v>
      </c>
      <c r="W445" s="871">
        <v>1</v>
      </c>
      <c r="X445" s="871">
        <v>1</v>
      </c>
      <c r="Y445" s="871">
        <v>1</v>
      </c>
      <c r="Z445" s="871">
        <v>1</v>
      </c>
      <c r="AA445" s="871">
        <v>1</v>
      </c>
    </row>
    <row r="446" spans="1:27" s="2072" customFormat="1" ht="18">
      <c r="A446" s="2115" t="s">
        <v>167</v>
      </c>
      <c r="B446" s="6545" t="s">
        <v>9017</v>
      </c>
      <c r="C446" s="6546"/>
      <c r="D446" s="6546"/>
      <c r="E446" s="6546"/>
      <c r="F446" s="6546"/>
      <c r="G446" s="6546"/>
      <c r="H446" s="6546"/>
      <c r="I446" s="6546"/>
      <c r="J446" s="6546"/>
      <c r="K446" s="6547"/>
      <c r="L446" s="2090"/>
      <c r="M446" s="2090"/>
      <c r="N446" s="2090"/>
      <c r="O446" s="2090"/>
      <c r="P446" s="2090"/>
      <c r="Q446" s="2090"/>
      <c r="R446" s="871">
        <v>1</v>
      </c>
      <c r="S446" s="871">
        <v>1</v>
      </c>
      <c r="T446" s="871">
        <v>1</v>
      </c>
      <c r="U446" s="871">
        <v>1</v>
      </c>
      <c r="V446" s="871">
        <v>1</v>
      </c>
      <c r="W446" s="871">
        <v>1</v>
      </c>
      <c r="X446" s="871">
        <v>1</v>
      </c>
      <c r="Y446" s="871">
        <v>1</v>
      </c>
      <c r="Z446" s="871">
        <v>1</v>
      </c>
      <c r="AA446" s="871">
        <v>1</v>
      </c>
    </row>
    <row r="447" spans="1:27" s="2072" customFormat="1" ht="15.75" customHeight="1">
      <c r="A447" s="5988" t="str">
        <f>B446</f>
        <v>Comment respecter un grammage à servir Exemple N° 1</v>
      </c>
      <c r="B447" s="2129" t="str">
        <f>ADDRESS(ROW(),COLUMN(),4)</f>
        <v>B447</v>
      </c>
      <c r="C447" s="1778" t="s">
        <v>3529</v>
      </c>
      <c r="D447" s="2118"/>
      <c r="E447" s="2118"/>
      <c r="F447" s="2118"/>
      <c r="G447" s="2118"/>
      <c r="H447" s="2118"/>
      <c r="I447" s="2118"/>
      <c r="J447" s="2118"/>
      <c r="K447" s="2122"/>
      <c r="L447" s="2090"/>
      <c r="M447" s="2090"/>
      <c r="N447" s="2090"/>
      <c r="O447" s="2090"/>
      <c r="P447" s="2090"/>
      <c r="Q447" s="2090"/>
      <c r="R447" s="871">
        <v>1</v>
      </c>
      <c r="S447" s="871">
        <v>1</v>
      </c>
      <c r="T447" s="871">
        <v>1</v>
      </c>
      <c r="U447" s="871">
        <v>1</v>
      </c>
      <c r="V447" s="871">
        <v>1</v>
      </c>
      <c r="W447" s="871">
        <v>1</v>
      </c>
      <c r="X447" s="871">
        <v>1</v>
      </c>
      <c r="Y447" s="871">
        <v>1</v>
      </c>
      <c r="Z447" s="871">
        <v>1</v>
      </c>
      <c r="AA447" s="871">
        <v>1</v>
      </c>
    </row>
    <row r="448" spans="1:27" s="2072" customFormat="1" ht="15" customHeight="1">
      <c r="A448" s="5988"/>
      <c r="B448" s="6584" t="s">
        <v>9290</v>
      </c>
      <c r="C448" s="6585"/>
      <c r="D448" s="6585"/>
      <c r="E448" s="6585"/>
      <c r="F448" s="6585"/>
      <c r="G448" s="6585"/>
      <c r="H448" s="6585"/>
      <c r="I448" s="6585"/>
      <c r="J448" s="6585"/>
      <c r="K448" s="6586"/>
      <c r="L448" s="2090"/>
      <c r="M448" s="2090"/>
      <c r="N448" s="2090"/>
      <c r="O448" s="2090"/>
      <c r="P448" s="2090"/>
      <c r="Q448" s="2090"/>
      <c r="R448" s="871">
        <v>1</v>
      </c>
      <c r="S448" s="871">
        <v>1</v>
      </c>
      <c r="T448" s="871">
        <v>1</v>
      </c>
      <c r="U448" s="871">
        <v>1</v>
      </c>
      <c r="V448" s="871">
        <v>1</v>
      </c>
      <c r="W448" s="871">
        <v>1</v>
      </c>
      <c r="X448" s="871">
        <v>1</v>
      </c>
      <c r="Y448" s="871">
        <v>1</v>
      </c>
      <c r="Z448" s="871">
        <v>1</v>
      </c>
      <c r="AA448" s="871">
        <v>1</v>
      </c>
    </row>
    <row r="449" spans="1:27" s="2072" customFormat="1" ht="15" customHeight="1">
      <c r="A449" s="5988"/>
      <c r="B449" s="6587"/>
      <c r="C449" s="6588"/>
      <c r="D449" s="6588"/>
      <c r="E449" s="6588"/>
      <c r="F449" s="6588"/>
      <c r="G449" s="6588"/>
      <c r="H449" s="6588"/>
      <c r="I449" s="6588"/>
      <c r="J449" s="6588"/>
      <c r="K449" s="6589"/>
      <c r="L449" s="2090"/>
      <c r="M449" s="2090"/>
      <c r="N449" s="2090"/>
      <c r="O449" s="2090"/>
      <c r="P449" s="2090"/>
      <c r="Q449" s="2090"/>
      <c r="R449" s="871">
        <v>1</v>
      </c>
      <c r="S449" s="871">
        <v>1</v>
      </c>
      <c r="T449" s="871">
        <v>1</v>
      </c>
      <c r="U449" s="871">
        <v>1</v>
      </c>
      <c r="V449" s="871">
        <v>1</v>
      </c>
      <c r="W449" s="871">
        <v>1</v>
      </c>
      <c r="X449" s="871">
        <v>1</v>
      </c>
      <c r="Y449" s="871">
        <v>1</v>
      </c>
      <c r="Z449" s="871">
        <v>1</v>
      </c>
      <c r="AA449" s="871">
        <v>1</v>
      </c>
    </row>
    <row r="450" spans="1:27" s="2072" customFormat="1" ht="15.75" customHeight="1">
      <c r="A450" s="5988"/>
      <c r="B450" s="6590" t="s">
        <v>9291</v>
      </c>
      <c r="C450" s="6591"/>
      <c r="D450" s="6592">
        <v>130</v>
      </c>
      <c r="E450" s="6594" t="s">
        <v>9292</v>
      </c>
      <c r="F450" s="6594"/>
      <c r="G450" s="6556">
        <v>70</v>
      </c>
      <c r="H450" s="2757"/>
      <c r="I450" s="6558" t="str">
        <f>IF(K450="","produit à servir","produits entiers à couper en ")</f>
        <v xml:space="preserve">produits entiers à couper en </v>
      </c>
      <c r="J450" s="6558"/>
      <c r="K450" s="6573">
        <f>IF(J461=1,"",J461)</f>
        <v>0.5</v>
      </c>
      <c r="L450" s="2090"/>
      <c r="M450" s="2090"/>
      <c r="N450" s="2090"/>
      <c r="O450" s="2090"/>
      <c r="P450" s="2090"/>
      <c r="Q450" s="2090"/>
      <c r="R450" s="871">
        <v>1</v>
      </c>
      <c r="S450" s="871">
        <v>1</v>
      </c>
      <c r="T450" s="871">
        <v>1</v>
      </c>
      <c r="U450" s="871">
        <v>1</v>
      </c>
      <c r="V450" s="871">
        <v>1</v>
      </c>
      <c r="W450" s="871">
        <v>1</v>
      </c>
      <c r="X450" s="871">
        <v>1</v>
      </c>
      <c r="Y450" s="871">
        <v>1</v>
      </c>
      <c r="Z450" s="871">
        <v>1</v>
      </c>
      <c r="AA450" s="871">
        <v>1</v>
      </c>
    </row>
    <row r="451" spans="1:27" s="2072" customFormat="1">
      <c r="A451" s="5988"/>
      <c r="B451" s="6590"/>
      <c r="C451" s="6591"/>
      <c r="D451" s="6593"/>
      <c r="E451" s="6594"/>
      <c r="F451" s="6594"/>
      <c r="G451" s="6557"/>
      <c r="H451" s="2757"/>
      <c r="I451" s="6558"/>
      <c r="J451" s="6558"/>
      <c r="K451" s="6573"/>
      <c r="L451" s="2090"/>
      <c r="M451" s="2090"/>
      <c r="N451" s="2090"/>
      <c r="O451" s="2090"/>
      <c r="P451" s="2090"/>
      <c r="Q451" s="2090"/>
      <c r="R451" s="871">
        <v>1</v>
      </c>
      <c r="S451" s="871">
        <v>1</v>
      </c>
      <c r="T451" s="871">
        <v>1</v>
      </c>
      <c r="U451" s="871">
        <v>1</v>
      </c>
      <c r="V451" s="871">
        <v>1</v>
      </c>
      <c r="W451" s="871">
        <v>1</v>
      </c>
      <c r="X451" s="871">
        <v>1</v>
      </c>
      <c r="Y451" s="871">
        <v>1</v>
      </c>
      <c r="Z451" s="871">
        <v>1</v>
      </c>
      <c r="AA451" s="871">
        <v>1</v>
      </c>
    </row>
    <row r="452" spans="1:27" s="2072" customFormat="1">
      <c r="A452" s="5988"/>
      <c r="B452" s="2758"/>
      <c r="C452" s="2759"/>
      <c r="D452" s="6548" t="s">
        <v>9293</v>
      </c>
      <c r="E452" s="6550">
        <f>LARGE(E462:E466,1)</f>
        <v>5</v>
      </c>
      <c r="F452" s="6548" t="s">
        <v>9294</v>
      </c>
      <c r="G452" s="6550" t="s">
        <v>851</v>
      </c>
      <c r="H452" s="6548">
        <f>LARGE(F462:F466,1)</f>
        <v>9</v>
      </c>
      <c r="I452" s="6548" t="s">
        <v>9295</v>
      </c>
      <c r="J452" s="2760"/>
      <c r="K452" s="2761"/>
      <c r="L452" s="2090"/>
      <c r="M452" s="2090"/>
      <c r="N452" s="2090"/>
      <c r="O452" s="2090"/>
      <c r="P452" s="2090"/>
      <c r="Q452" s="2090"/>
      <c r="R452" s="871">
        <v>1</v>
      </c>
      <c r="S452" s="871">
        <v>1</v>
      </c>
      <c r="T452" s="871">
        <v>1</v>
      </c>
      <c r="U452" s="871">
        <v>1</v>
      </c>
      <c r="V452" s="871">
        <v>1</v>
      </c>
      <c r="W452" s="871">
        <v>1</v>
      </c>
      <c r="X452" s="871">
        <v>1</v>
      </c>
      <c r="Y452" s="871">
        <v>1</v>
      </c>
      <c r="Z452" s="871">
        <v>1</v>
      </c>
      <c r="AA452" s="871">
        <v>1</v>
      </c>
    </row>
    <row r="453" spans="1:27" s="2072" customFormat="1" ht="15.75" customHeight="1">
      <c r="A453" s="5988"/>
      <c r="B453" s="2762"/>
      <c r="C453" s="2763"/>
      <c r="D453" s="6549"/>
      <c r="E453" s="6551"/>
      <c r="F453" s="6549"/>
      <c r="G453" s="6551"/>
      <c r="H453" s="6549"/>
      <c r="I453" s="6549"/>
      <c r="J453" s="2118"/>
      <c r="K453" s="2122"/>
      <c r="L453" s="2090"/>
      <c r="M453" s="2090"/>
      <c r="N453" s="2090"/>
      <c r="O453" s="2090"/>
      <c r="P453" s="2090"/>
      <c r="Q453" s="2090"/>
      <c r="R453" s="871">
        <v>1</v>
      </c>
      <c r="S453" s="871">
        <v>1</v>
      </c>
      <c r="T453" s="871">
        <v>1</v>
      </c>
      <c r="U453" s="871">
        <v>1</v>
      </c>
      <c r="V453" s="871">
        <v>1</v>
      </c>
      <c r="W453" s="871">
        <v>1</v>
      </c>
      <c r="X453" s="871">
        <v>1</v>
      </c>
      <c r="Y453" s="871">
        <v>1</v>
      </c>
      <c r="Z453" s="871">
        <v>1</v>
      </c>
      <c r="AA453" s="871">
        <v>1</v>
      </c>
    </row>
    <row r="454" spans="1:27" s="2072" customFormat="1" ht="15" customHeight="1">
      <c r="A454" s="5988"/>
      <c r="B454" s="6559" t="s">
        <v>9296</v>
      </c>
      <c r="C454" s="6560"/>
      <c r="D454" s="6560"/>
      <c r="E454" s="6560"/>
      <c r="F454" s="6560"/>
      <c r="G454" s="6560"/>
      <c r="H454" s="6560"/>
      <c r="I454" s="6560"/>
      <c r="J454" s="6560"/>
      <c r="K454" s="6561"/>
      <c r="L454" s="2090"/>
      <c r="M454" s="2090"/>
      <c r="N454" s="2090"/>
      <c r="O454" s="2090"/>
      <c r="P454" s="2090"/>
      <c r="Q454" s="2090"/>
      <c r="R454" s="871">
        <v>1</v>
      </c>
      <c r="S454" s="871">
        <v>1</v>
      </c>
      <c r="T454" s="871">
        <v>1</v>
      </c>
      <c r="U454" s="871">
        <v>1</v>
      </c>
      <c r="V454" s="871">
        <v>1</v>
      </c>
      <c r="W454" s="871">
        <v>1</v>
      </c>
      <c r="X454" s="871">
        <v>1</v>
      </c>
      <c r="Y454" s="871">
        <v>1</v>
      </c>
      <c r="Z454" s="871">
        <v>1</v>
      </c>
      <c r="AA454" s="871">
        <v>1</v>
      </c>
    </row>
    <row r="455" spans="1:27" s="2072" customFormat="1" ht="15" customHeight="1">
      <c r="A455" s="5988"/>
      <c r="B455" s="6562"/>
      <c r="C455" s="6563"/>
      <c r="D455" s="6563"/>
      <c r="E455" s="6563"/>
      <c r="F455" s="6563"/>
      <c r="G455" s="6563"/>
      <c r="H455" s="6563"/>
      <c r="I455" s="6563"/>
      <c r="J455" s="6563"/>
      <c r="K455" s="6564"/>
      <c r="L455" s="2090"/>
      <c r="M455" s="2090"/>
      <c r="N455" s="2090"/>
      <c r="O455" s="2090"/>
      <c r="P455" s="2090"/>
      <c r="Q455" s="2090"/>
      <c r="R455" s="871">
        <v>1</v>
      </c>
      <c r="S455" s="871">
        <v>1</v>
      </c>
      <c r="T455" s="871">
        <v>1</v>
      </c>
      <c r="U455" s="871">
        <v>1</v>
      </c>
      <c r="V455" s="871">
        <v>1</v>
      </c>
      <c r="W455" s="871">
        <v>1</v>
      </c>
      <c r="X455" s="871">
        <v>1</v>
      </c>
      <c r="Y455" s="871">
        <v>1</v>
      </c>
      <c r="Z455" s="871">
        <v>1</v>
      </c>
      <c r="AA455" s="871">
        <v>1</v>
      </c>
    </row>
    <row r="456" spans="1:27" s="2072" customFormat="1" ht="15" customHeight="1">
      <c r="A456" s="5988"/>
      <c r="B456" s="6565" t="str">
        <f>IF(C456="","MOINS","Servir ")</f>
        <v xml:space="preserve">Servir </v>
      </c>
      <c r="C456" s="6566">
        <f>IF(E452-1=0,"",E452-1)</f>
        <v>4</v>
      </c>
      <c r="D456" s="6552" t="str">
        <f>IF(C456="","",IF(F456=1,"produits entiers de","produits coupés en "))</f>
        <v xml:space="preserve">produits coupés en </v>
      </c>
      <c r="E456" s="6552"/>
      <c r="F456" s="6553">
        <f>IF(C456="","",H452/C456)</f>
        <v>2.25</v>
      </c>
      <c r="G456" s="6554" t="str">
        <f>IF(C456="","","parts")</f>
        <v>parts</v>
      </c>
      <c r="H456" s="6552" t="str">
        <f>IF(C456="","","grammage unitaire")</f>
        <v>grammage unitaire</v>
      </c>
      <c r="I456" s="6552"/>
      <c r="J456" s="6580">
        <f>IF(C456="","",B467/F456)</f>
        <v>5.7777777777777782E-2</v>
      </c>
      <c r="K456" s="2767"/>
      <c r="L456" s="2090"/>
      <c r="M456" s="2090"/>
      <c r="N456" s="2090"/>
      <c r="O456" s="2090"/>
      <c r="P456" s="2090"/>
      <c r="Q456" s="2090"/>
      <c r="R456" s="871">
        <v>1</v>
      </c>
      <c r="S456" s="871">
        <v>1</v>
      </c>
      <c r="T456" s="871">
        <v>1</v>
      </c>
      <c r="U456" s="871">
        <v>1</v>
      </c>
      <c r="V456" s="871">
        <v>1</v>
      </c>
      <c r="W456" s="871">
        <v>1</v>
      </c>
      <c r="X456" s="871">
        <v>1</v>
      </c>
      <c r="Y456" s="871">
        <v>1</v>
      </c>
      <c r="Z456" s="871">
        <v>1</v>
      </c>
      <c r="AA456" s="871">
        <v>1</v>
      </c>
    </row>
    <row r="457" spans="1:27" s="2072" customFormat="1" ht="15" customHeight="1">
      <c r="A457" s="5988"/>
      <c r="B457" s="6565"/>
      <c r="C457" s="6566"/>
      <c r="D457" s="6552"/>
      <c r="E457" s="6552"/>
      <c r="F457" s="6553"/>
      <c r="G457" s="6554"/>
      <c r="H457" s="6552"/>
      <c r="I457" s="6552"/>
      <c r="J457" s="6580"/>
      <c r="K457" s="2768" t="s">
        <v>9297</v>
      </c>
      <c r="L457" s="2090"/>
      <c r="M457" s="2090"/>
      <c r="N457" s="2090"/>
      <c r="O457" s="2090"/>
      <c r="P457" s="2090"/>
      <c r="Q457" s="2090"/>
      <c r="R457" s="871">
        <v>1</v>
      </c>
      <c r="S457" s="871">
        <v>1</v>
      </c>
      <c r="T457" s="871">
        <v>1</v>
      </c>
      <c r="U457" s="871">
        <v>1</v>
      </c>
      <c r="V457" s="871">
        <v>1</v>
      </c>
      <c r="W457" s="871">
        <v>1</v>
      </c>
      <c r="X457" s="871">
        <v>1</v>
      </c>
      <c r="Y457" s="871">
        <v>1</v>
      </c>
      <c r="Z457" s="871">
        <v>1</v>
      </c>
      <c r="AA457" s="871">
        <v>1</v>
      </c>
    </row>
    <row r="458" spans="1:27" s="2072" customFormat="1" ht="15" customHeight="1">
      <c r="A458" s="5988"/>
      <c r="B458" s="6565" t="str">
        <f>IF(C456="","","plus")</f>
        <v>plus</v>
      </c>
      <c r="C458" s="6581">
        <f>IF(C456="","",E452-C456)</f>
        <v>1</v>
      </c>
      <c r="D458" s="6552" t="str">
        <f>IF(C458="","","produit coupé en ")</f>
        <v xml:space="preserve">produit coupé en </v>
      </c>
      <c r="E458" s="6552"/>
      <c r="F458" s="6582">
        <f>IF(D458="","",H452)</f>
        <v>9</v>
      </c>
      <c r="G458" s="6554" t="str">
        <f>IF(D458="","","parts")</f>
        <v>parts</v>
      </c>
      <c r="H458" s="2771"/>
      <c r="I458" s="6583" t="str">
        <f>IF(C458="","moins"," de")</f>
        <v xml:space="preserve"> de</v>
      </c>
      <c r="J458" s="6580">
        <f>IF(D458="",B467-C467,B467/F458)</f>
        <v>1.4444444444444446E-2</v>
      </c>
      <c r="K458" s="6555">
        <f>(D450/H452)*E452</f>
        <v>72.222222222222229</v>
      </c>
      <c r="L458" s="2090"/>
      <c r="M458" s="2090"/>
      <c r="N458" s="2090"/>
      <c r="O458" s="2090"/>
      <c r="P458" s="2090"/>
      <c r="Q458" s="2090"/>
      <c r="R458" s="871">
        <v>1</v>
      </c>
      <c r="S458" s="871">
        <v>1</v>
      </c>
      <c r="T458" s="871">
        <v>1</v>
      </c>
      <c r="U458" s="871">
        <v>1</v>
      </c>
      <c r="V458" s="871">
        <v>1</v>
      </c>
      <c r="W458" s="871">
        <v>1</v>
      </c>
      <c r="X458" s="871">
        <v>1</v>
      </c>
      <c r="Y458" s="871">
        <v>1</v>
      </c>
      <c r="Z458" s="871">
        <v>1</v>
      </c>
      <c r="AA458" s="871">
        <v>1</v>
      </c>
    </row>
    <row r="459" spans="1:27" s="2072" customFormat="1" ht="15" customHeight="1">
      <c r="A459" s="5988"/>
      <c r="B459" s="6565"/>
      <c r="C459" s="6581"/>
      <c r="D459" s="6552"/>
      <c r="E459" s="6552"/>
      <c r="F459" s="6582"/>
      <c r="G459" s="6554"/>
      <c r="H459" s="2771"/>
      <c r="I459" s="6583"/>
      <c r="J459" s="6580"/>
      <c r="K459" s="6555"/>
      <c r="L459" s="2090"/>
      <c r="M459" s="2090"/>
      <c r="N459" s="2090"/>
      <c r="O459" s="2090"/>
      <c r="P459" s="2090"/>
      <c r="Q459" s="2090"/>
      <c r="R459" s="871">
        <v>1</v>
      </c>
      <c r="S459" s="871">
        <v>1</v>
      </c>
      <c r="T459" s="871">
        <v>1</v>
      </c>
      <c r="U459" s="871">
        <v>1</v>
      </c>
      <c r="V459" s="871">
        <v>1</v>
      </c>
      <c r="W459" s="871">
        <v>1</v>
      </c>
      <c r="X459" s="871">
        <v>1</v>
      </c>
      <c r="Y459" s="871">
        <v>1</v>
      </c>
      <c r="Z459" s="871">
        <v>1</v>
      </c>
      <c r="AA459" s="871">
        <v>1</v>
      </c>
    </row>
    <row r="460" spans="1:27" s="2072" customFormat="1" ht="22.5" customHeight="1">
      <c r="A460" s="5988"/>
      <c r="B460" s="2764"/>
      <c r="C460" s="2769"/>
      <c r="D460" s="2765"/>
      <c r="E460" s="2765"/>
      <c r="F460" s="2770"/>
      <c r="G460" s="2558"/>
      <c r="H460" s="2771"/>
      <c r="I460" s="2772"/>
      <c r="J460" s="2766"/>
      <c r="K460" s="2768"/>
      <c r="L460" s="2090"/>
      <c r="M460" s="2090"/>
      <c r="N460" s="2090"/>
      <c r="O460" s="2090"/>
      <c r="P460" s="2090"/>
      <c r="Q460" s="2090"/>
      <c r="R460" s="871">
        <v>1</v>
      </c>
      <c r="S460" s="871">
        <v>1</v>
      </c>
      <c r="T460" s="871">
        <v>1</v>
      </c>
      <c r="U460" s="871">
        <v>1</v>
      </c>
      <c r="V460" s="871">
        <v>1</v>
      </c>
      <c r="W460" s="871">
        <v>1</v>
      </c>
      <c r="X460" s="871">
        <v>1</v>
      </c>
      <c r="Y460" s="871">
        <v>1</v>
      </c>
      <c r="Z460" s="871">
        <v>1</v>
      </c>
      <c r="AA460" s="871">
        <v>1</v>
      </c>
    </row>
    <row r="461" spans="1:27" s="2072" customFormat="1" ht="15" customHeight="1">
      <c r="A461" s="5988"/>
      <c r="B461" s="2773" t="s">
        <v>9298</v>
      </c>
      <c r="C461" s="2774" t="s">
        <v>9299</v>
      </c>
      <c r="D461" s="2774" t="s">
        <v>9300</v>
      </c>
      <c r="E461" s="2775" t="s">
        <v>9301</v>
      </c>
      <c r="F461" s="2775"/>
      <c r="G461" s="2776" t="s">
        <v>9302</v>
      </c>
      <c r="H461" s="2777" t="s">
        <v>851</v>
      </c>
      <c r="I461" s="2777"/>
      <c r="J461" s="2778">
        <f>LARGE(K462:K466,1)</f>
        <v>0.5</v>
      </c>
      <c r="K461" s="2779">
        <f>SMALL(D462:D466,COUNTIF(D462:D466,0)+1)</f>
        <v>1.9999999999999907E-2</v>
      </c>
      <c r="L461" s="2090"/>
      <c r="M461" s="2090"/>
      <c r="N461" s="2090"/>
      <c r="O461" s="2090"/>
      <c r="P461" s="2090"/>
      <c r="Q461" s="2090"/>
      <c r="R461" s="871">
        <v>1</v>
      </c>
      <c r="S461" s="871">
        <v>1</v>
      </c>
      <c r="T461" s="871">
        <v>1</v>
      </c>
      <c r="U461" s="871">
        <v>1</v>
      </c>
      <c r="V461" s="871">
        <v>1</v>
      </c>
      <c r="W461" s="871">
        <v>1</v>
      </c>
      <c r="X461" s="871">
        <v>1</v>
      </c>
      <c r="Y461" s="871">
        <v>1</v>
      </c>
      <c r="Z461" s="871">
        <v>1</v>
      </c>
      <c r="AA461" s="871">
        <v>1</v>
      </c>
    </row>
    <row r="462" spans="1:27" s="2072" customFormat="1" ht="15">
      <c r="A462" s="5988"/>
      <c r="B462" s="2780">
        <f>C467*H462</f>
        <v>7.0000000000000007E-2</v>
      </c>
      <c r="C462" s="2781">
        <f>B467*G462</f>
        <v>0.13</v>
      </c>
      <c r="D462" s="2781">
        <f>C462-B462</f>
        <v>0.06</v>
      </c>
      <c r="E462" s="2782">
        <f>IF(D462=0,0,IF(D462=K461,G462,0))</f>
        <v>0</v>
      </c>
      <c r="F462" s="2782">
        <f>IF(E462&gt;0,H462,0)</f>
        <v>0</v>
      </c>
      <c r="G462" s="2778">
        <v>1</v>
      </c>
      <c r="H462" s="2783">
        <f>INT(I462)</f>
        <v>1</v>
      </c>
      <c r="I462" s="2783">
        <f>C462/C467</f>
        <v>1.857142857142857</v>
      </c>
      <c r="J462" s="2778">
        <f>IF(E462=0,0,E462/F462)</f>
        <v>0</v>
      </c>
      <c r="K462" s="2784">
        <f>ROUNDDOWN(J462,1)</f>
        <v>0</v>
      </c>
      <c r="L462" s="2090"/>
      <c r="M462" s="2090"/>
      <c r="N462" s="2090"/>
      <c r="O462" s="2090"/>
      <c r="P462" s="2090"/>
      <c r="Q462" s="2090"/>
      <c r="R462" s="871">
        <v>1</v>
      </c>
      <c r="S462" s="871">
        <v>1</v>
      </c>
      <c r="T462" s="871">
        <v>1</v>
      </c>
      <c r="U462" s="871">
        <v>1</v>
      </c>
      <c r="V462" s="871">
        <v>1</v>
      </c>
      <c r="W462" s="871">
        <v>1</v>
      </c>
      <c r="X462" s="871">
        <v>1</v>
      </c>
      <c r="Y462" s="871">
        <v>1</v>
      </c>
      <c r="Z462" s="871">
        <v>1</v>
      </c>
      <c r="AA462" s="871">
        <v>1</v>
      </c>
    </row>
    <row r="463" spans="1:27" s="2072" customFormat="1" ht="15" customHeight="1">
      <c r="A463" s="5988"/>
      <c r="B463" s="2780">
        <f>C467*H463</f>
        <v>0.21000000000000002</v>
      </c>
      <c r="C463" s="2781">
        <f>B467*G463</f>
        <v>0.26</v>
      </c>
      <c r="D463" s="2781">
        <f>C463-B463</f>
        <v>4.9999999999999989E-2</v>
      </c>
      <c r="E463" s="2782">
        <f>IF(D463=0,0,IF(D463=K461,G463,0))</f>
        <v>0</v>
      </c>
      <c r="F463" s="2782">
        <f>IF(E463&gt;0,H463,0)</f>
        <v>0</v>
      </c>
      <c r="G463" s="2778">
        <v>2</v>
      </c>
      <c r="H463" s="2783">
        <f>INT(I463)</f>
        <v>3</v>
      </c>
      <c r="I463" s="2783">
        <f>C463/C467</f>
        <v>3.714285714285714</v>
      </c>
      <c r="J463" s="2778">
        <f>IF(E463=0,0,E463/F463)</f>
        <v>0</v>
      </c>
      <c r="K463" s="2784">
        <f>ROUNDDOWN(J463,1)</f>
        <v>0</v>
      </c>
      <c r="L463" s="2090"/>
      <c r="M463" s="2090"/>
      <c r="N463" s="2090"/>
      <c r="O463" s="2090"/>
      <c r="P463" s="2090"/>
      <c r="Q463" s="2090"/>
      <c r="R463" s="871">
        <v>1</v>
      </c>
      <c r="S463" s="871">
        <v>1</v>
      </c>
      <c r="T463" s="871">
        <v>1</v>
      </c>
      <c r="U463" s="871">
        <v>1</v>
      </c>
      <c r="V463" s="871">
        <v>1</v>
      </c>
      <c r="W463" s="871">
        <v>1</v>
      </c>
      <c r="X463" s="871">
        <v>1</v>
      </c>
      <c r="Y463" s="871">
        <v>1</v>
      </c>
      <c r="Z463" s="871">
        <v>1</v>
      </c>
      <c r="AA463" s="871">
        <v>1</v>
      </c>
    </row>
    <row r="464" spans="1:27" s="2072" customFormat="1" ht="15" customHeight="1">
      <c r="A464" s="5988"/>
      <c r="B464" s="2780">
        <f>C467*H464</f>
        <v>0.35000000000000003</v>
      </c>
      <c r="C464" s="2781">
        <f>B467*G464</f>
        <v>0.39</v>
      </c>
      <c r="D464" s="2781">
        <f>C464-B464</f>
        <v>3.999999999999998E-2</v>
      </c>
      <c r="E464" s="2782">
        <f>IF(D464=0,0,IF(D464=K461,G464,0))</f>
        <v>0</v>
      </c>
      <c r="F464" s="2782">
        <f>IF(E464&gt;0,H464,0)</f>
        <v>0</v>
      </c>
      <c r="G464" s="2778">
        <v>3</v>
      </c>
      <c r="H464" s="2783">
        <f>INT(I464)</f>
        <v>5</v>
      </c>
      <c r="I464" s="2783">
        <f>C464/C467</f>
        <v>5.5714285714285712</v>
      </c>
      <c r="J464" s="2778">
        <f>IF(E464=0,0,E464/F464)</f>
        <v>0</v>
      </c>
      <c r="K464" s="2784">
        <f>ROUNDDOWN(J464,1)</f>
        <v>0</v>
      </c>
      <c r="L464" s="2090"/>
      <c r="M464" s="2090"/>
      <c r="N464" s="2090"/>
      <c r="O464" s="2090"/>
      <c r="P464" s="2090"/>
      <c r="Q464" s="2090"/>
      <c r="R464" s="871">
        <v>1</v>
      </c>
      <c r="S464" s="871">
        <v>1</v>
      </c>
      <c r="T464" s="871">
        <v>1</v>
      </c>
      <c r="U464" s="871">
        <v>1</v>
      </c>
      <c r="V464" s="871">
        <v>1</v>
      </c>
      <c r="W464" s="871">
        <v>1</v>
      </c>
      <c r="X464" s="871">
        <v>1</v>
      </c>
      <c r="Y464" s="871">
        <v>1</v>
      </c>
      <c r="Z464" s="871">
        <v>1</v>
      </c>
      <c r="AA464" s="871">
        <v>1</v>
      </c>
    </row>
    <row r="465" spans="1:27" s="2072" customFormat="1" ht="15" customHeight="1">
      <c r="A465" s="5988"/>
      <c r="B465" s="2780">
        <f>C467*H465</f>
        <v>0.49000000000000005</v>
      </c>
      <c r="C465" s="2781">
        <f>B467*G465</f>
        <v>0.52</v>
      </c>
      <c r="D465" s="2781">
        <f>C465-B465</f>
        <v>2.9999999999999971E-2</v>
      </c>
      <c r="E465" s="2782">
        <f>IF(D465=0,0,IF(D465=K461,G465,0))</f>
        <v>0</v>
      </c>
      <c r="F465" s="2782">
        <f>IF(E465&gt;0,H465,0)</f>
        <v>0</v>
      </c>
      <c r="G465" s="2778">
        <v>4</v>
      </c>
      <c r="H465" s="2783">
        <f>INT(I465)</f>
        <v>7</v>
      </c>
      <c r="I465" s="2783">
        <f>C465/C467</f>
        <v>7.4285714285714279</v>
      </c>
      <c r="J465" s="2778">
        <f>IF(E465=0,0,E465/F465)</f>
        <v>0</v>
      </c>
      <c r="K465" s="2784">
        <f>ROUNDDOWN(J465,1)</f>
        <v>0</v>
      </c>
      <c r="L465" s="2090"/>
      <c r="M465" s="2090"/>
      <c r="N465" s="2090"/>
      <c r="O465" s="2090"/>
      <c r="P465" s="2090"/>
      <c r="Q465" s="2090"/>
      <c r="R465" s="871">
        <v>1</v>
      </c>
      <c r="S465" s="871">
        <v>1</v>
      </c>
      <c r="T465" s="871">
        <v>1</v>
      </c>
      <c r="U465" s="871">
        <v>1</v>
      </c>
      <c r="V465" s="871">
        <v>1</v>
      </c>
      <c r="W465" s="871">
        <v>1</v>
      </c>
      <c r="X465" s="871">
        <v>1</v>
      </c>
      <c r="Y465" s="871">
        <v>1</v>
      </c>
      <c r="Z465" s="871">
        <v>1</v>
      </c>
      <c r="AA465" s="871">
        <v>1</v>
      </c>
    </row>
    <row r="466" spans="1:27" s="2072" customFormat="1" ht="15.75" customHeight="1">
      <c r="A466" s="5988"/>
      <c r="B466" s="2785">
        <f>C467*H466</f>
        <v>0.63000000000000012</v>
      </c>
      <c r="C466" s="2786">
        <f>B467*G466</f>
        <v>0.65</v>
      </c>
      <c r="D466" s="2786">
        <f>C466-B466</f>
        <v>1.9999999999999907E-2</v>
      </c>
      <c r="E466" s="2787">
        <f>IF(D466=0,0,IF(D466=K461,G466,0))</f>
        <v>5</v>
      </c>
      <c r="F466" s="2787">
        <f>IF(E466&gt;0,H466,0)</f>
        <v>9</v>
      </c>
      <c r="G466" s="2788">
        <v>5</v>
      </c>
      <c r="H466" s="2789">
        <f>INT(I466)</f>
        <v>9</v>
      </c>
      <c r="I466" s="2789">
        <f>C466/C467</f>
        <v>9.2857142857142847</v>
      </c>
      <c r="J466" s="2788">
        <f>IF(E466=0,0,E466/F466)</f>
        <v>0.55555555555555558</v>
      </c>
      <c r="K466" s="2790">
        <f>ROUNDDOWN(J466,1)</f>
        <v>0.5</v>
      </c>
      <c r="L466" s="2090"/>
      <c r="M466" s="2090"/>
      <c r="N466" s="2090"/>
      <c r="O466" s="2090"/>
      <c r="P466" s="2090"/>
      <c r="Q466" s="2090"/>
      <c r="R466" s="871">
        <v>1</v>
      </c>
      <c r="S466" s="871">
        <v>1</v>
      </c>
      <c r="T466" s="871">
        <v>1</v>
      </c>
      <c r="U466" s="871">
        <v>1</v>
      </c>
      <c r="V466" s="871">
        <v>1</v>
      </c>
      <c r="W466" s="871">
        <v>1</v>
      </c>
      <c r="X466" s="871">
        <v>1</v>
      </c>
      <c r="Y466" s="871">
        <v>1</v>
      </c>
      <c r="Z466" s="871">
        <v>1</v>
      </c>
      <c r="AA466" s="871">
        <v>1</v>
      </c>
    </row>
    <row r="467" spans="1:27" s="2072" customFormat="1" ht="15" customHeight="1">
      <c r="A467" s="5988"/>
      <c r="B467" s="2781">
        <f>D450/1000</f>
        <v>0.13</v>
      </c>
      <c r="C467" s="2781">
        <f>G450/1000</f>
        <v>7.0000000000000007E-2</v>
      </c>
      <c r="D467" s="2781"/>
      <c r="E467" s="2782"/>
      <c r="F467" s="2782"/>
      <c r="G467" s="2778"/>
      <c r="H467" s="2783"/>
      <c r="I467" s="2783"/>
      <c r="J467" s="2778"/>
      <c r="K467" s="2784"/>
      <c r="L467" s="2090"/>
      <c r="M467" s="2090"/>
      <c r="N467" s="2090"/>
      <c r="O467" s="2090"/>
      <c r="P467" s="2090"/>
      <c r="Q467" s="2090"/>
      <c r="R467" s="871">
        <v>1</v>
      </c>
      <c r="S467" s="871">
        <v>1</v>
      </c>
      <c r="T467" s="871">
        <v>1</v>
      </c>
      <c r="U467" s="871">
        <v>1</v>
      </c>
      <c r="V467" s="871">
        <v>1</v>
      </c>
      <c r="W467" s="871">
        <v>1</v>
      </c>
      <c r="X467" s="871">
        <v>1</v>
      </c>
      <c r="Y467" s="871">
        <v>1</v>
      </c>
      <c r="Z467" s="871">
        <v>1</v>
      </c>
      <c r="AA467" s="871">
        <v>1</v>
      </c>
    </row>
    <row r="468" spans="1:27" s="2072" customFormat="1" ht="15" customHeight="1">
      <c r="A468" s="5988"/>
      <c r="B468" s="6567" t="s">
        <v>3554</v>
      </c>
      <c r="C468" s="6568"/>
      <c r="D468" s="6568"/>
      <c r="E468" s="6568"/>
      <c r="F468" s="6568"/>
      <c r="G468" s="6568"/>
      <c r="H468" s="6568"/>
      <c r="I468" s="6568"/>
      <c r="J468" s="6568"/>
      <c r="K468" s="6569"/>
      <c r="L468" s="2090"/>
      <c r="M468" s="2090"/>
      <c r="N468" s="2090"/>
      <c r="O468" s="2090"/>
      <c r="P468" s="2090"/>
      <c r="Q468" s="2090"/>
      <c r="R468" s="871">
        <v>1</v>
      </c>
      <c r="S468" s="871">
        <v>1</v>
      </c>
      <c r="T468" s="871">
        <v>1</v>
      </c>
      <c r="U468" s="871">
        <v>1</v>
      </c>
      <c r="V468" s="871">
        <v>1</v>
      </c>
      <c r="W468" s="871">
        <v>1</v>
      </c>
      <c r="X468" s="871">
        <v>1</v>
      </c>
      <c r="Y468" s="871">
        <v>1</v>
      </c>
      <c r="Z468" s="871">
        <v>1</v>
      </c>
      <c r="AA468" s="871">
        <v>1</v>
      </c>
    </row>
    <row r="469" spans="1:27" s="2072" customFormat="1" ht="15" customHeight="1">
      <c r="A469" s="5988"/>
      <c r="B469" s="6570" t="s">
        <v>9303</v>
      </c>
      <c r="C469" s="6571"/>
      <c r="D469" s="6571"/>
      <c r="E469" s="6571"/>
      <c r="F469" s="6571"/>
      <c r="G469" s="6571"/>
      <c r="H469" s="6571"/>
      <c r="I469" s="6571"/>
      <c r="J469" s="6571"/>
      <c r="K469" s="6572"/>
      <c r="L469" s="2090"/>
      <c r="M469" s="2090"/>
      <c r="N469" s="2090"/>
      <c r="O469" s="2090"/>
      <c r="P469" s="2090"/>
      <c r="Q469" s="2090"/>
      <c r="R469" s="871">
        <v>1</v>
      </c>
      <c r="S469" s="871">
        <v>1</v>
      </c>
      <c r="T469" s="871">
        <v>1</v>
      </c>
      <c r="U469" s="871">
        <v>1</v>
      </c>
      <c r="V469" s="871">
        <v>1</v>
      </c>
      <c r="W469" s="871">
        <v>1</v>
      </c>
      <c r="X469" s="871">
        <v>1</v>
      </c>
      <c r="Y469" s="871">
        <v>1</v>
      </c>
      <c r="Z469" s="871">
        <v>1</v>
      </c>
      <c r="AA469" s="871">
        <v>1</v>
      </c>
    </row>
    <row r="470" spans="1:27" s="2072" customFormat="1" ht="15" customHeight="1">
      <c r="A470" s="5988"/>
      <c r="B470" s="6570"/>
      <c r="C470" s="6571"/>
      <c r="D470" s="6571"/>
      <c r="E470" s="6571"/>
      <c r="F470" s="6571"/>
      <c r="G470" s="6571"/>
      <c r="H470" s="6571"/>
      <c r="I470" s="6571"/>
      <c r="J470" s="6571"/>
      <c r="K470" s="6572"/>
      <c r="L470" s="2090"/>
      <c r="M470" s="2090"/>
      <c r="N470" s="2090"/>
      <c r="O470" s="2090"/>
      <c r="P470" s="2090"/>
      <c r="Q470" s="2090"/>
      <c r="R470" s="871">
        <v>1</v>
      </c>
      <c r="S470" s="871">
        <v>1</v>
      </c>
      <c r="T470" s="871">
        <v>1</v>
      </c>
      <c r="U470" s="871">
        <v>1</v>
      </c>
      <c r="V470" s="871">
        <v>1</v>
      </c>
      <c r="W470" s="871">
        <v>1</v>
      </c>
      <c r="X470" s="871">
        <v>1</v>
      </c>
      <c r="Y470" s="871">
        <v>1</v>
      </c>
      <c r="Z470" s="871">
        <v>1</v>
      </c>
      <c r="AA470" s="871">
        <v>1</v>
      </c>
    </row>
    <row r="471" spans="1:27" s="2072" customFormat="1" ht="15" customHeight="1">
      <c r="A471" s="5988"/>
      <c r="B471" s="6570"/>
      <c r="C471" s="6571"/>
      <c r="D471" s="6571"/>
      <c r="E471" s="6571"/>
      <c r="F471" s="6571"/>
      <c r="G471" s="6571"/>
      <c r="H471" s="6571"/>
      <c r="I471" s="6571"/>
      <c r="J471" s="6571"/>
      <c r="K471" s="6572"/>
      <c r="L471" s="2090"/>
      <c r="M471" s="2090"/>
      <c r="N471" s="2090"/>
      <c r="O471" s="2090"/>
      <c r="P471" s="2090"/>
      <c r="Q471" s="2090"/>
      <c r="R471" s="871">
        <v>1</v>
      </c>
      <c r="S471" s="871">
        <v>1</v>
      </c>
      <c r="T471" s="871">
        <v>1</v>
      </c>
      <c r="U471" s="871">
        <v>1</v>
      </c>
      <c r="V471" s="871">
        <v>1</v>
      </c>
      <c r="W471" s="871">
        <v>1</v>
      </c>
      <c r="X471" s="871">
        <v>1</v>
      </c>
      <c r="Y471" s="871">
        <v>1</v>
      </c>
      <c r="Z471" s="871">
        <v>1</v>
      </c>
      <c r="AA471" s="871">
        <v>1</v>
      </c>
    </row>
    <row r="472" spans="1:27" s="2072" customFormat="1" ht="15" customHeight="1">
      <c r="A472" s="5988"/>
      <c r="B472" s="6570" t="s">
        <v>9304</v>
      </c>
      <c r="C472" s="6571"/>
      <c r="D472" s="6571"/>
      <c r="E472" s="6571"/>
      <c r="F472" s="6571"/>
      <c r="G472" s="6571"/>
      <c r="H472" s="6571"/>
      <c r="I472" s="6571"/>
      <c r="J472" s="6571"/>
      <c r="K472" s="6572"/>
      <c r="L472" s="2090"/>
      <c r="M472" s="2090"/>
      <c r="N472" s="2090"/>
      <c r="O472" s="2090"/>
      <c r="P472" s="2090"/>
      <c r="Q472" s="2090"/>
      <c r="R472" s="871">
        <v>1</v>
      </c>
      <c r="S472" s="871">
        <v>1</v>
      </c>
      <c r="T472" s="871">
        <v>1</v>
      </c>
      <c r="U472" s="871">
        <v>1</v>
      </c>
      <c r="V472" s="871">
        <v>1</v>
      </c>
      <c r="W472" s="871">
        <v>1</v>
      </c>
      <c r="X472" s="871">
        <v>1</v>
      </c>
      <c r="Y472" s="871">
        <v>1</v>
      </c>
      <c r="Z472" s="871">
        <v>1</v>
      </c>
      <c r="AA472" s="871">
        <v>1</v>
      </c>
    </row>
    <row r="473" spans="1:27" s="2072" customFormat="1" ht="15">
      <c r="A473" s="5988"/>
      <c r="B473" s="6570"/>
      <c r="C473" s="6571"/>
      <c r="D473" s="6571"/>
      <c r="E473" s="6571"/>
      <c r="F473" s="6571"/>
      <c r="G473" s="6571"/>
      <c r="H473" s="6571"/>
      <c r="I473" s="6571"/>
      <c r="J473" s="6571"/>
      <c r="K473" s="6572"/>
      <c r="L473" s="2090"/>
      <c r="M473" s="2090"/>
      <c r="N473" s="2090"/>
      <c r="O473" s="2090"/>
      <c r="P473" s="2090"/>
      <c r="Q473" s="2090"/>
      <c r="R473" s="871">
        <v>1</v>
      </c>
      <c r="S473" s="871">
        <v>1</v>
      </c>
      <c r="T473" s="871">
        <v>1</v>
      </c>
      <c r="U473" s="871">
        <v>1</v>
      </c>
      <c r="V473" s="871">
        <v>1</v>
      </c>
      <c r="W473" s="871">
        <v>1</v>
      </c>
      <c r="X473" s="871">
        <v>1</v>
      </c>
      <c r="Y473" s="871">
        <v>1</v>
      </c>
      <c r="Z473" s="871">
        <v>1</v>
      </c>
      <c r="AA473" s="871">
        <v>1</v>
      </c>
    </row>
    <row r="474" spans="1:27" s="2072" customFormat="1" ht="15">
      <c r="A474" s="5988"/>
      <c r="B474" s="6570"/>
      <c r="C474" s="6571"/>
      <c r="D474" s="6571"/>
      <c r="E474" s="6571"/>
      <c r="F474" s="6571"/>
      <c r="G474" s="6571"/>
      <c r="H474" s="6571"/>
      <c r="I474" s="6571"/>
      <c r="J474" s="6571"/>
      <c r="K474" s="6572"/>
      <c r="L474" s="2091"/>
      <c r="M474" s="2090"/>
      <c r="N474" s="2090"/>
      <c r="O474" s="2090"/>
      <c r="P474" s="2090"/>
      <c r="Q474" s="2090"/>
      <c r="R474" s="871">
        <v>1</v>
      </c>
      <c r="S474" s="871">
        <v>1</v>
      </c>
      <c r="T474" s="871">
        <v>1</v>
      </c>
      <c r="U474" s="871">
        <v>1</v>
      </c>
      <c r="V474" s="871">
        <v>1</v>
      </c>
      <c r="W474" s="871">
        <v>1</v>
      </c>
      <c r="X474" s="871">
        <v>1</v>
      </c>
      <c r="Y474" s="871">
        <v>1</v>
      </c>
      <c r="Z474" s="871">
        <v>1</v>
      </c>
      <c r="AA474" s="871">
        <v>1</v>
      </c>
    </row>
    <row r="475" spans="1:27" s="2072" customFormat="1" ht="16.5" thickBot="1">
      <c r="A475" s="5988"/>
      <c r="B475" s="2791"/>
      <c r="C475" s="2792"/>
      <c r="D475" s="2792"/>
      <c r="E475" s="2792"/>
      <c r="F475" s="2792"/>
      <c r="G475" s="2792"/>
      <c r="H475" s="2792"/>
      <c r="I475" s="2792"/>
      <c r="J475" s="2792"/>
      <c r="K475" s="2793"/>
      <c r="L475" s="2091"/>
      <c r="M475" s="2090"/>
      <c r="N475" s="2090"/>
      <c r="O475" s="2090"/>
      <c r="P475" s="2090"/>
      <c r="Q475" s="2090"/>
      <c r="R475" s="871">
        <v>1</v>
      </c>
      <c r="S475" s="871">
        <v>1</v>
      </c>
      <c r="T475" s="871">
        <v>1</v>
      </c>
      <c r="U475" s="871">
        <v>1</v>
      </c>
      <c r="V475" s="871">
        <v>1</v>
      </c>
      <c r="W475" s="871">
        <v>1</v>
      </c>
      <c r="X475" s="871">
        <v>1</v>
      </c>
      <c r="Y475" s="871">
        <v>1</v>
      </c>
      <c r="Z475" s="871">
        <v>1</v>
      </c>
      <c r="AA475" s="871">
        <v>1</v>
      </c>
    </row>
    <row r="476" spans="1:27" s="2072" customFormat="1" ht="15">
      <c r="A476" s="2090"/>
      <c r="B476" s="2091"/>
      <c r="C476" s="2091"/>
      <c r="D476" s="2091"/>
      <c r="E476" s="2091"/>
      <c r="F476" s="2091"/>
      <c r="G476" s="2091"/>
      <c r="H476" s="2091"/>
      <c r="I476" s="2091"/>
      <c r="J476" s="2091"/>
      <c r="K476" s="2091"/>
      <c r="L476" s="2091"/>
      <c r="M476" s="2090"/>
      <c r="N476" s="2090"/>
      <c r="O476" s="2090"/>
      <c r="P476" s="2090"/>
      <c r="Q476" s="2090"/>
      <c r="R476" s="871">
        <v>1</v>
      </c>
      <c r="S476" s="871">
        <v>1</v>
      </c>
      <c r="T476" s="871">
        <v>1</v>
      </c>
      <c r="U476" s="871">
        <v>1</v>
      </c>
      <c r="V476" s="871">
        <v>1</v>
      </c>
      <c r="W476" s="871">
        <v>1</v>
      </c>
      <c r="X476" s="871">
        <v>1</v>
      </c>
      <c r="Y476" s="871">
        <v>1</v>
      </c>
      <c r="Z476" s="871">
        <v>1</v>
      </c>
      <c r="AA476" s="871">
        <v>1</v>
      </c>
    </row>
    <row r="477" spans="1:27" s="2072" customFormat="1" ht="15">
      <c r="A477" s="2754"/>
      <c r="B477" s="2755"/>
      <c r="C477" s="2756"/>
      <c r="D477" s="2756"/>
      <c r="E477" s="2756"/>
      <c r="F477" s="2756"/>
      <c r="G477" s="2756"/>
      <c r="H477" s="2756"/>
      <c r="I477" s="2756"/>
      <c r="J477" s="2755"/>
      <c r="K477" s="2755"/>
      <c r="L477" s="2755"/>
      <c r="M477" s="2754"/>
      <c r="N477" s="2754"/>
      <c r="O477" s="2754"/>
      <c r="P477" s="2754"/>
      <c r="Q477" s="2754"/>
      <c r="R477" s="871">
        <v>1</v>
      </c>
      <c r="S477" s="871">
        <v>1</v>
      </c>
      <c r="T477" s="871">
        <v>1</v>
      </c>
      <c r="U477" s="871">
        <v>1</v>
      </c>
      <c r="V477" s="871">
        <v>1</v>
      </c>
      <c r="W477" s="871">
        <v>1</v>
      </c>
      <c r="X477" s="871">
        <v>1</v>
      </c>
      <c r="Y477" s="871">
        <v>1</v>
      </c>
      <c r="Z477" s="871">
        <v>1</v>
      </c>
      <c r="AA477" s="871">
        <v>1</v>
      </c>
    </row>
    <row r="478" spans="1:27" s="2072" customFormat="1" ht="15">
      <c r="A478" s="2090"/>
      <c r="B478" s="2091"/>
      <c r="C478" s="2091"/>
      <c r="D478" s="2091"/>
      <c r="E478" s="2091"/>
      <c r="F478" s="2091"/>
      <c r="G478" s="2091"/>
      <c r="H478" s="2091"/>
      <c r="I478" s="2091"/>
      <c r="J478" s="2091"/>
      <c r="K478" s="2091"/>
      <c r="L478" s="2091"/>
      <c r="M478" s="2090"/>
      <c r="N478" s="2090"/>
      <c r="O478" s="2090"/>
      <c r="P478" s="2090"/>
      <c r="Q478" s="2090"/>
      <c r="R478" s="871">
        <v>1</v>
      </c>
      <c r="S478" s="871">
        <v>1</v>
      </c>
      <c r="T478" s="871">
        <v>1</v>
      </c>
      <c r="U478" s="871">
        <v>1</v>
      </c>
      <c r="V478" s="871">
        <v>1</v>
      </c>
      <c r="W478" s="871">
        <v>1</v>
      </c>
      <c r="X478" s="871">
        <v>1</v>
      </c>
      <c r="Y478" s="871">
        <v>1</v>
      </c>
      <c r="Z478" s="871">
        <v>1</v>
      </c>
      <c r="AA478" s="871">
        <v>1</v>
      </c>
    </row>
    <row r="479" spans="1:27" s="2072" customFormat="1" ht="20.25">
      <c r="A479" s="2115" t="s">
        <v>167</v>
      </c>
      <c r="B479" s="6574" t="s">
        <v>9019</v>
      </c>
      <c r="C479" s="6574"/>
      <c r="D479" s="6574"/>
      <c r="E479" s="6574"/>
      <c r="F479" s="6574"/>
      <c r="G479" s="6574"/>
      <c r="H479" s="6574"/>
      <c r="I479" s="6574"/>
      <c r="J479" s="6574"/>
      <c r="K479" s="6574"/>
      <c r="L479" s="6574"/>
      <c r="M479" s="6574"/>
      <c r="N479" s="6574"/>
      <c r="O479" s="2091"/>
      <c r="P479" s="2091"/>
      <c r="Q479" s="2091"/>
      <c r="R479" s="871">
        <v>1</v>
      </c>
      <c r="S479" s="871">
        <v>1</v>
      </c>
      <c r="T479" s="871">
        <v>1</v>
      </c>
      <c r="U479" s="871">
        <v>1</v>
      </c>
      <c r="V479" s="871">
        <v>1</v>
      </c>
      <c r="W479" s="871">
        <v>1</v>
      </c>
      <c r="X479" s="871">
        <v>1</v>
      </c>
      <c r="Y479" s="871">
        <v>1</v>
      </c>
      <c r="Z479" s="871">
        <v>1</v>
      </c>
      <c r="AA479" s="871">
        <v>1</v>
      </c>
    </row>
    <row r="480" spans="1:27" s="2072" customFormat="1" ht="15.75" customHeight="1">
      <c r="A480" s="6575" t="str">
        <f>B479</f>
        <v>Combien faut-il commander pour des effectifs et des grammages différents</v>
      </c>
      <c r="B480" s="2543" t="str">
        <f>ADDRESS(ROW(),COLUMN(),4)</f>
        <v>B480</v>
      </c>
      <c r="C480" s="2544" t="s">
        <v>3529</v>
      </c>
      <c r="D480" s="2545"/>
      <c r="E480" s="2545"/>
      <c r="F480" s="2545"/>
      <c r="G480" s="2545"/>
      <c r="H480" s="2545"/>
      <c r="I480" s="2545"/>
      <c r="J480" s="2545"/>
      <c r="K480" s="2545"/>
      <c r="L480" s="2545"/>
      <c r="M480" s="2545"/>
      <c r="N480" s="2794"/>
      <c r="O480" s="2091"/>
      <c r="P480" s="2091"/>
      <c r="Q480" s="2091"/>
      <c r="R480" s="871">
        <v>1</v>
      </c>
      <c r="S480" s="871">
        <v>1</v>
      </c>
      <c r="T480" s="871">
        <v>1</v>
      </c>
      <c r="U480" s="871">
        <v>1</v>
      </c>
      <c r="V480" s="871">
        <v>1</v>
      </c>
      <c r="W480" s="871">
        <v>1</v>
      </c>
      <c r="X480" s="871">
        <v>1</v>
      </c>
      <c r="Y480" s="871">
        <v>1</v>
      </c>
      <c r="Z480" s="871">
        <v>1</v>
      </c>
      <c r="AA480" s="871">
        <v>1</v>
      </c>
    </row>
    <row r="481" spans="1:27" s="2072" customFormat="1" ht="15">
      <c r="A481" s="6575"/>
      <c r="B481" s="2795"/>
      <c r="C481" s="2091"/>
      <c r="D481" s="2091"/>
      <c r="E481" s="2091"/>
      <c r="F481" s="2091"/>
      <c r="G481" s="2091"/>
      <c r="H481" s="2091"/>
      <c r="I481" s="2091"/>
      <c r="J481" s="2091"/>
      <c r="K481" s="2091"/>
      <c r="L481" s="2091"/>
      <c r="M481" s="2091"/>
      <c r="N481" s="2796"/>
      <c r="O481" s="2091"/>
      <c r="P481" s="2091"/>
      <c r="Q481" s="2091"/>
      <c r="R481" s="871">
        <v>1</v>
      </c>
      <c r="S481" s="871">
        <v>1</v>
      </c>
      <c r="T481" s="871">
        <v>1</v>
      </c>
      <c r="U481" s="871">
        <v>1</v>
      </c>
      <c r="V481" s="871">
        <v>1</v>
      </c>
      <c r="W481" s="871">
        <v>1</v>
      </c>
      <c r="X481" s="871">
        <v>1</v>
      </c>
      <c r="Y481" s="871">
        <v>1</v>
      </c>
      <c r="Z481" s="871">
        <v>1</v>
      </c>
      <c r="AA481" s="871">
        <v>1</v>
      </c>
    </row>
    <row r="482" spans="1:27" s="2072" customFormat="1" ht="18">
      <c r="A482" s="6575"/>
      <c r="B482" s="6576" t="s">
        <v>9305</v>
      </c>
      <c r="C482" s="6577"/>
      <c r="D482" s="6577"/>
      <c r="E482" s="6577"/>
      <c r="F482" s="6577"/>
      <c r="G482" s="6577"/>
      <c r="H482" s="6577"/>
      <c r="I482" s="6577"/>
      <c r="J482" s="6577"/>
      <c r="K482" s="6577"/>
      <c r="L482" s="6577"/>
      <c r="M482" s="6577"/>
      <c r="N482" s="6578"/>
      <c r="O482" s="2091"/>
      <c r="P482" s="2091"/>
      <c r="Q482" s="2091"/>
      <c r="R482" s="871">
        <v>1</v>
      </c>
      <c r="S482" s="871">
        <v>1</v>
      </c>
      <c r="T482" s="871">
        <v>1</v>
      </c>
      <c r="U482" s="871">
        <v>1</v>
      </c>
      <c r="V482" s="871">
        <v>1</v>
      </c>
      <c r="W482" s="871">
        <v>1</v>
      </c>
      <c r="X482" s="871">
        <v>1</v>
      </c>
      <c r="Y482" s="871">
        <v>1</v>
      </c>
      <c r="Z482" s="871">
        <v>1</v>
      </c>
      <c r="AA482" s="871">
        <v>1</v>
      </c>
    </row>
    <row r="483" spans="1:27" s="2072" customFormat="1" ht="18">
      <c r="A483" s="6575"/>
      <c r="B483" s="2797"/>
      <c r="C483" s="2798"/>
      <c r="D483" s="2798"/>
      <c r="E483" s="2798"/>
      <c r="F483" s="2798"/>
      <c r="G483" s="2798"/>
      <c r="H483" s="2798"/>
      <c r="I483" s="2798"/>
      <c r="J483" s="2798"/>
      <c r="K483" s="2798"/>
      <c r="L483" s="2798"/>
      <c r="M483" s="2798"/>
      <c r="N483" s="2799"/>
      <c r="O483" s="2091"/>
      <c r="P483" s="2091"/>
      <c r="Q483" s="2091"/>
      <c r="R483" s="871">
        <v>1</v>
      </c>
      <c r="S483" s="871">
        <v>1</v>
      </c>
      <c r="T483" s="871">
        <v>1</v>
      </c>
      <c r="U483" s="871">
        <v>1</v>
      </c>
      <c r="V483" s="871">
        <v>1</v>
      </c>
      <c r="W483" s="871">
        <v>1</v>
      </c>
      <c r="X483" s="871">
        <v>1</v>
      </c>
      <c r="Y483" s="871">
        <v>1</v>
      </c>
      <c r="Z483" s="871">
        <v>1</v>
      </c>
      <c r="AA483" s="871">
        <v>1</v>
      </c>
    </row>
    <row r="484" spans="1:27" s="2072" customFormat="1">
      <c r="A484" s="6575"/>
      <c r="B484" s="2800"/>
      <c r="C484" s="2801"/>
      <c r="D484" s="2801"/>
      <c r="E484" s="2802" t="s">
        <v>9199</v>
      </c>
      <c r="F484" s="2803">
        <v>250</v>
      </c>
      <c r="G484" s="2803">
        <v>620</v>
      </c>
      <c r="H484" s="2803">
        <v>37</v>
      </c>
      <c r="I484" s="2803">
        <v>14</v>
      </c>
      <c r="J484" s="2558">
        <f>SUM(F484:I484)</f>
        <v>921</v>
      </c>
      <c r="K484" s="2804" t="s">
        <v>36</v>
      </c>
      <c r="L484" s="2805"/>
      <c r="M484" s="2090"/>
      <c r="N484" s="2806"/>
      <c r="O484" s="2091"/>
      <c r="P484" s="2091"/>
      <c r="Q484" s="2091"/>
      <c r="R484" s="871">
        <v>1</v>
      </c>
      <c r="S484" s="871">
        <v>1</v>
      </c>
      <c r="T484" s="871">
        <v>1</v>
      </c>
      <c r="U484" s="871">
        <v>1</v>
      </c>
      <c r="V484" s="871">
        <v>1</v>
      </c>
      <c r="W484" s="871">
        <v>1</v>
      </c>
      <c r="X484" s="871">
        <v>1</v>
      </c>
      <c r="Y484" s="871">
        <v>1</v>
      </c>
      <c r="Z484" s="871">
        <v>1</v>
      </c>
      <c r="AA484" s="871">
        <v>1</v>
      </c>
    </row>
    <row r="485" spans="1:27" s="2072" customFormat="1">
      <c r="A485" s="6575"/>
      <c r="B485" s="2800"/>
      <c r="C485" s="2801"/>
      <c r="D485" s="2801"/>
      <c r="E485" s="2807" t="s">
        <v>9306</v>
      </c>
      <c r="F485" s="2808">
        <v>4.4999999999999998E-2</v>
      </c>
      <c r="G485" s="2808">
        <v>7.0000000000000007E-2</v>
      </c>
      <c r="H485" s="2808">
        <v>0.11</v>
      </c>
      <c r="I485" s="2809">
        <v>0.13</v>
      </c>
      <c r="J485" s="2090"/>
      <c r="K485" s="2810" t="s">
        <v>9203</v>
      </c>
      <c r="L485" s="2811">
        <v>25</v>
      </c>
      <c r="M485" s="2812" t="s">
        <v>1939</v>
      </c>
      <c r="N485" s="2806"/>
      <c r="O485" s="2091"/>
      <c r="P485" s="2091"/>
      <c r="Q485" s="2091"/>
      <c r="R485" s="871">
        <v>1</v>
      </c>
      <c r="S485" s="871">
        <v>1</v>
      </c>
      <c r="T485" s="871">
        <v>1</v>
      </c>
      <c r="U485" s="871">
        <v>1</v>
      </c>
      <c r="V485" s="871">
        <v>1</v>
      </c>
      <c r="W485" s="871">
        <v>1</v>
      </c>
      <c r="X485" s="871">
        <v>1</v>
      </c>
      <c r="Y485" s="871">
        <v>1</v>
      </c>
      <c r="Z485" s="871">
        <v>1</v>
      </c>
      <c r="AA485" s="871">
        <v>1</v>
      </c>
    </row>
    <row r="486" spans="1:27" s="2072" customFormat="1">
      <c r="A486" s="6575"/>
      <c r="B486" s="2800"/>
      <c r="C486" s="2801"/>
      <c r="D486" s="2801"/>
      <c r="E486" s="2813" t="s">
        <v>9307</v>
      </c>
      <c r="F486" s="2814" t="s">
        <v>9086</v>
      </c>
      <c r="G486" s="2815" t="s">
        <v>9087</v>
      </c>
      <c r="H486" s="2816" t="s">
        <v>9088</v>
      </c>
      <c r="I486" s="2815" t="s">
        <v>9089</v>
      </c>
      <c r="J486" s="6579" t="s">
        <v>9308</v>
      </c>
      <c r="K486" s="6579"/>
      <c r="L486" s="6579"/>
      <c r="M486" s="2090"/>
      <c r="N486" s="2806"/>
      <c r="O486" s="2091"/>
      <c r="P486" s="2091"/>
      <c r="Q486" s="2091"/>
      <c r="R486" s="871">
        <v>1</v>
      </c>
      <c r="S486" s="871">
        <v>1</v>
      </c>
      <c r="T486" s="871">
        <v>1</v>
      </c>
      <c r="U486" s="871">
        <v>1</v>
      </c>
      <c r="V486" s="871">
        <v>1</v>
      </c>
      <c r="W486" s="871">
        <v>1</v>
      </c>
      <c r="X486" s="871">
        <v>1</v>
      </c>
      <c r="Y486" s="871">
        <v>1</v>
      </c>
      <c r="Z486" s="871">
        <v>1</v>
      </c>
      <c r="AA486" s="871">
        <v>1</v>
      </c>
    </row>
    <row r="487" spans="1:27" s="2072" customFormat="1" ht="15">
      <c r="A487" s="6575"/>
      <c r="B487" s="2800"/>
      <c r="C487" s="2801"/>
      <c r="D487" s="2801"/>
      <c r="E487" s="2817" t="s">
        <v>9309</v>
      </c>
      <c r="F487" s="2818">
        <f>F485*F484</f>
        <v>11.25</v>
      </c>
      <c r="G487" s="2818">
        <f>G485*G484</f>
        <v>43.400000000000006</v>
      </c>
      <c r="H487" s="2818">
        <f>H485*H484</f>
        <v>4.07</v>
      </c>
      <c r="I487" s="2819">
        <f>I485*I484</f>
        <v>1.82</v>
      </c>
      <c r="J487" s="2820">
        <f>SUM(F487:I487)</f>
        <v>60.540000000000006</v>
      </c>
      <c r="K487" s="2820"/>
      <c r="L487" s="2821" t="s">
        <v>9310</v>
      </c>
      <c r="M487" s="2090"/>
      <c r="N487" s="2822"/>
      <c r="O487" s="2091"/>
      <c r="P487" s="2091"/>
      <c r="Q487" s="2091"/>
      <c r="R487" s="871">
        <v>1</v>
      </c>
      <c r="S487" s="871">
        <v>1</v>
      </c>
      <c r="T487" s="871">
        <v>1</v>
      </c>
      <c r="U487" s="871">
        <v>1</v>
      </c>
      <c r="V487" s="871">
        <v>1</v>
      </c>
      <c r="W487" s="871">
        <v>1</v>
      </c>
      <c r="X487" s="871">
        <v>1</v>
      </c>
      <c r="Y487" s="871">
        <v>1</v>
      </c>
      <c r="Z487" s="871">
        <v>1</v>
      </c>
      <c r="AA487" s="871">
        <v>1</v>
      </c>
    </row>
    <row r="488" spans="1:27" s="2072" customFormat="1" ht="18">
      <c r="A488" s="6575"/>
      <c r="B488" s="2800"/>
      <c r="C488" s="2801"/>
      <c r="D488" s="2801"/>
      <c r="E488" s="2823" t="s">
        <v>9204</v>
      </c>
      <c r="F488" s="2824">
        <f>F487/(100-L485)*100</f>
        <v>15</v>
      </c>
      <c r="G488" s="2824">
        <f>G487/(100-L485)*100</f>
        <v>57.866666666666674</v>
      </c>
      <c r="H488" s="2824">
        <f>H487/(100-L485)*100</f>
        <v>5.4266666666666667</v>
      </c>
      <c r="I488" s="2825">
        <f>I487/(100-L485)*100</f>
        <v>2.4266666666666667</v>
      </c>
      <c r="J488" s="2826">
        <f>SUM(F488:I488)</f>
        <v>80.72</v>
      </c>
      <c r="K488" s="2827"/>
      <c r="L488" s="2600" t="s">
        <v>9311</v>
      </c>
      <c r="M488" s="2090"/>
      <c r="N488" s="2822"/>
      <c r="O488" s="2091"/>
      <c r="P488" s="2091"/>
      <c r="Q488" s="2091"/>
      <c r="R488" s="871">
        <v>1</v>
      </c>
      <c r="S488" s="871">
        <v>1</v>
      </c>
      <c r="T488" s="871">
        <v>1</v>
      </c>
      <c r="U488" s="871">
        <v>1</v>
      </c>
      <c r="V488" s="871">
        <v>1</v>
      </c>
      <c r="W488" s="871">
        <v>1</v>
      </c>
      <c r="X488" s="871">
        <v>1</v>
      </c>
      <c r="Y488" s="871">
        <v>1</v>
      </c>
      <c r="Z488" s="871">
        <v>1</v>
      </c>
      <c r="AA488" s="871">
        <v>1</v>
      </c>
    </row>
    <row r="489" spans="1:27" s="2072" customFormat="1" ht="15">
      <c r="A489" s="6575"/>
      <c r="B489" s="2800"/>
      <c r="C489" s="2801"/>
      <c r="D489" s="2801"/>
      <c r="E489" s="2801"/>
      <c r="F489" s="2801"/>
      <c r="G489" s="2801"/>
      <c r="H489" s="2801"/>
      <c r="I489" s="2801"/>
      <c r="J489" s="2828">
        <f>J488-J487</f>
        <v>20.179999999999993</v>
      </c>
      <c r="K489" s="2828"/>
      <c r="L489" s="2829" t="s">
        <v>9312</v>
      </c>
      <c r="M489" s="2830"/>
      <c r="N489" s="2806"/>
      <c r="O489" s="2091"/>
      <c r="P489" s="2091"/>
      <c r="Q489" s="2091"/>
      <c r="R489" s="871">
        <v>1</v>
      </c>
      <c r="S489" s="871">
        <v>1</v>
      </c>
      <c r="T489" s="871">
        <v>1</v>
      </c>
      <c r="U489" s="871">
        <v>1</v>
      </c>
      <c r="V489" s="871">
        <v>1</v>
      </c>
      <c r="W489" s="871">
        <v>1</v>
      </c>
      <c r="X489" s="871">
        <v>1</v>
      </c>
      <c r="Y489" s="871">
        <v>1</v>
      </c>
      <c r="Z489" s="871">
        <v>1</v>
      </c>
      <c r="AA489" s="871">
        <v>1</v>
      </c>
    </row>
    <row r="490" spans="1:27" s="2072" customFormat="1" ht="15">
      <c r="A490" s="6575"/>
      <c r="B490" s="2800"/>
      <c r="C490" s="2801"/>
      <c r="D490" s="2801"/>
      <c r="E490" s="2801"/>
      <c r="F490" s="2801"/>
      <c r="G490" s="2801"/>
      <c r="H490" s="2801"/>
      <c r="I490" s="2801"/>
      <c r="J490" s="2831">
        <f>(J489/J484)*1000</f>
        <v>21.910966340933761</v>
      </c>
      <c r="K490" s="2828"/>
      <c r="L490" s="2829" t="s">
        <v>9313</v>
      </c>
      <c r="M490" s="2830"/>
      <c r="N490" s="2806"/>
      <c r="O490" s="2091"/>
      <c r="P490" s="2091"/>
      <c r="Q490" s="2091"/>
      <c r="R490" s="871">
        <v>1</v>
      </c>
      <c r="S490" s="871">
        <v>1</v>
      </c>
      <c r="T490" s="871">
        <v>1</v>
      </c>
      <c r="U490" s="871">
        <v>1</v>
      </c>
      <c r="V490" s="871">
        <v>1</v>
      </c>
      <c r="W490" s="871">
        <v>1</v>
      </c>
      <c r="X490" s="871">
        <v>1</v>
      </c>
      <c r="Y490" s="871">
        <v>1</v>
      </c>
      <c r="Z490" s="871">
        <v>1</v>
      </c>
      <c r="AA490" s="871">
        <v>1</v>
      </c>
    </row>
    <row r="491" spans="1:27" s="2072" customFormat="1" ht="15">
      <c r="A491" s="6575"/>
      <c r="B491" s="2800"/>
      <c r="C491" s="2832" t="s">
        <v>1939</v>
      </c>
      <c r="D491" s="2833" t="s">
        <v>9314</v>
      </c>
      <c r="E491" s="2801"/>
      <c r="F491" s="2801"/>
      <c r="G491" s="2801"/>
      <c r="H491" s="2801"/>
      <c r="I491" s="2801"/>
      <c r="J491" s="2801"/>
      <c r="K491" s="2801"/>
      <c r="L491" s="2801"/>
      <c r="M491" s="2801"/>
      <c r="N491" s="2806"/>
      <c r="O491" s="2091"/>
      <c r="P491" s="2091"/>
      <c r="Q491" s="2091"/>
      <c r="R491" s="871">
        <v>1</v>
      </c>
      <c r="S491" s="871">
        <v>1</v>
      </c>
      <c r="T491" s="871">
        <v>1</v>
      </c>
      <c r="U491" s="871">
        <v>1</v>
      </c>
      <c r="V491" s="871">
        <v>1</v>
      </c>
      <c r="W491" s="871">
        <v>1</v>
      </c>
      <c r="X491" s="871">
        <v>1</v>
      </c>
      <c r="Y491" s="871">
        <v>1</v>
      </c>
      <c r="Z491" s="871">
        <v>1</v>
      </c>
      <c r="AA491" s="871">
        <v>1</v>
      </c>
    </row>
    <row r="492" spans="1:27" s="2072" customFormat="1" ht="15">
      <c r="A492" s="6575"/>
      <c r="B492" s="2800"/>
      <c r="C492" s="2834"/>
      <c r="D492" s="2833" t="s">
        <v>9315</v>
      </c>
      <c r="E492" s="2801"/>
      <c r="F492" s="2801"/>
      <c r="G492" s="2801"/>
      <c r="H492" s="2801"/>
      <c r="I492" s="2801"/>
      <c r="J492" s="2801"/>
      <c r="K492" s="2801"/>
      <c r="L492" s="2801"/>
      <c r="M492" s="2801"/>
      <c r="N492" s="2806"/>
      <c r="O492" s="2091"/>
      <c r="P492" s="2091"/>
      <c r="Q492" s="2091"/>
      <c r="R492" s="871">
        <v>1</v>
      </c>
      <c r="S492" s="871">
        <v>1</v>
      </c>
      <c r="T492" s="871">
        <v>1</v>
      </c>
      <c r="U492" s="871">
        <v>1</v>
      </c>
      <c r="V492" s="871">
        <v>1</v>
      </c>
      <c r="W492" s="871">
        <v>1</v>
      </c>
      <c r="X492" s="871">
        <v>1</v>
      </c>
      <c r="Y492" s="871">
        <v>1</v>
      </c>
      <c r="Z492" s="871">
        <v>1</v>
      </c>
      <c r="AA492" s="871">
        <v>1</v>
      </c>
    </row>
    <row r="493" spans="1:27" s="2072" customFormat="1" ht="15">
      <c r="A493" s="6575"/>
      <c r="B493" s="2835"/>
      <c r="C493" s="2710"/>
      <c r="D493" s="2710"/>
      <c r="E493" s="2710"/>
      <c r="F493" s="2710"/>
      <c r="G493" s="2710"/>
      <c r="H493" s="2710"/>
      <c r="I493" s="2710"/>
      <c r="J493" s="2710"/>
      <c r="K493" s="2710"/>
      <c r="L493" s="2710"/>
      <c r="M493" s="2710"/>
      <c r="N493" s="2836"/>
      <c r="O493" s="2091"/>
      <c r="P493" s="2091"/>
      <c r="Q493" s="2091"/>
      <c r="R493" s="871">
        <v>1</v>
      </c>
      <c r="S493" s="871">
        <v>1</v>
      </c>
      <c r="T493" s="871">
        <v>1</v>
      </c>
      <c r="U493" s="871">
        <v>1</v>
      </c>
      <c r="V493" s="871">
        <v>1</v>
      </c>
      <c r="W493" s="871">
        <v>1</v>
      </c>
      <c r="X493" s="871">
        <v>1</v>
      </c>
      <c r="Y493" s="871">
        <v>1</v>
      </c>
      <c r="Z493" s="871">
        <v>1</v>
      </c>
      <c r="AA493" s="871">
        <v>1</v>
      </c>
    </row>
    <row r="494" spans="1:27" s="2072" customFormat="1" ht="15">
      <c r="A494" s="2091"/>
      <c r="B494" s="2091"/>
      <c r="C494" s="2091"/>
      <c r="D494" s="2091"/>
      <c r="E494" s="2091"/>
      <c r="F494" s="2091"/>
      <c r="G494" s="2091"/>
      <c r="H494" s="2091"/>
      <c r="I494" s="2091"/>
      <c r="J494" s="2091"/>
      <c r="K494" s="2091"/>
      <c r="L494" s="2091"/>
      <c r="M494" s="2090"/>
      <c r="N494" s="2090"/>
      <c r="O494" s="2090"/>
      <c r="P494" s="2090"/>
      <c r="Q494" s="2090"/>
      <c r="R494" s="871">
        <v>1</v>
      </c>
      <c r="S494" s="871">
        <v>1</v>
      </c>
      <c r="T494" s="871">
        <v>1</v>
      </c>
      <c r="U494" s="871">
        <v>1</v>
      </c>
      <c r="V494" s="871">
        <v>1</v>
      </c>
      <c r="W494" s="871">
        <v>1</v>
      </c>
      <c r="X494" s="871">
        <v>1</v>
      </c>
      <c r="Y494" s="871">
        <v>1</v>
      </c>
      <c r="Z494" s="871">
        <v>1</v>
      </c>
      <c r="AA494" s="2837" t="s">
        <v>823</v>
      </c>
    </row>
    <row r="495" spans="1:27" s="2072" customFormat="1" ht="15">
      <c r="A495" s="2090"/>
      <c r="B495" s="2091"/>
      <c r="C495" s="2091"/>
      <c r="D495" s="2091"/>
      <c r="E495" s="2091"/>
      <c r="F495" s="2091"/>
      <c r="G495" s="2091"/>
      <c r="H495" s="2091"/>
      <c r="I495" s="2091"/>
      <c r="J495" s="2091"/>
      <c r="K495" s="2091"/>
      <c r="L495" s="2091"/>
      <c r="M495" s="2091"/>
      <c r="N495" s="2091"/>
      <c r="O495" s="2091"/>
      <c r="P495" s="2091"/>
      <c r="Q495" s="2091"/>
      <c r="R495" s="871">
        <v>1</v>
      </c>
      <c r="S495" s="871">
        <v>1</v>
      </c>
      <c r="T495" s="871">
        <v>1</v>
      </c>
      <c r="U495" s="871">
        <v>1</v>
      </c>
      <c r="V495" s="871">
        <v>1</v>
      </c>
      <c r="W495" s="871">
        <v>1</v>
      </c>
      <c r="X495" s="871">
        <v>1</v>
      </c>
      <c r="Y495" s="871">
        <v>1</v>
      </c>
      <c r="Z495" s="871">
        <v>1</v>
      </c>
      <c r="AA495" s="1" t="str">
        <f>ADDRESS(ROW(),COLUMN(),4)</f>
        <v>AA495</v>
      </c>
    </row>
  </sheetData>
  <mergeCells count="422">
    <mergeCell ref="B468:K468"/>
    <mergeCell ref="B469:K471"/>
    <mergeCell ref="K450:K451"/>
    <mergeCell ref="D452:D453"/>
    <mergeCell ref="E452:E453"/>
    <mergeCell ref="B472:K474"/>
    <mergeCell ref="B479:N479"/>
    <mergeCell ref="A480:A493"/>
    <mergeCell ref="B482:N482"/>
    <mergeCell ref="J486:L486"/>
    <mergeCell ref="H456:I457"/>
    <mergeCell ref="J456:J457"/>
    <mergeCell ref="B458:B459"/>
    <mergeCell ref="C458:C459"/>
    <mergeCell ref="D458:E459"/>
    <mergeCell ref="F458:F459"/>
    <mergeCell ref="G458:G459"/>
    <mergeCell ref="I458:I459"/>
    <mergeCell ref="J458:J459"/>
    <mergeCell ref="A447:A475"/>
    <mergeCell ref="B448:K449"/>
    <mergeCell ref="B450:C451"/>
    <mergeCell ref="D450:D451"/>
    <mergeCell ref="E450:F451"/>
    <mergeCell ref="B446:K446"/>
    <mergeCell ref="F452:F453"/>
    <mergeCell ref="G452:G453"/>
    <mergeCell ref="H452:H453"/>
    <mergeCell ref="I452:I453"/>
    <mergeCell ref="D456:E457"/>
    <mergeCell ref="F456:F457"/>
    <mergeCell ref="G456:G457"/>
    <mergeCell ref="K458:K459"/>
    <mergeCell ref="G450:G451"/>
    <mergeCell ref="I450:J451"/>
    <mergeCell ref="B454:K455"/>
    <mergeCell ref="B456:B457"/>
    <mergeCell ref="C456:C457"/>
    <mergeCell ref="B416:K416"/>
    <mergeCell ref="B409:D409"/>
    <mergeCell ref="G409:H409"/>
    <mergeCell ref="J409:K409"/>
    <mergeCell ref="B410:D410"/>
    <mergeCell ref="G410:H410"/>
    <mergeCell ref="J410:K410"/>
    <mergeCell ref="A417:A442"/>
    <mergeCell ref="B418:K418"/>
    <mergeCell ref="B419:K419"/>
    <mergeCell ref="B420:K420"/>
    <mergeCell ref="B421:K421"/>
    <mergeCell ref="H424:J424"/>
    <mergeCell ref="H425:J425"/>
    <mergeCell ref="H429:J429"/>
    <mergeCell ref="H430:J430"/>
    <mergeCell ref="H431:J431"/>
    <mergeCell ref="H432:J432"/>
    <mergeCell ref="H433:J433"/>
    <mergeCell ref="H437:J437"/>
    <mergeCell ref="H439:J439"/>
    <mergeCell ref="H441:J441"/>
    <mergeCell ref="J406:K406"/>
    <mergeCell ref="B407:D407"/>
    <mergeCell ref="G407:H407"/>
    <mergeCell ref="J407:K407"/>
    <mergeCell ref="B408:D408"/>
    <mergeCell ref="G408:H408"/>
    <mergeCell ref="J408:K408"/>
    <mergeCell ref="B402:K402"/>
    <mergeCell ref="A403:A414"/>
    <mergeCell ref="B404:D404"/>
    <mergeCell ref="G404:H404"/>
    <mergeCell ref="J404:K404"/>
    <mergeCell ref="B405:D405"/>
    <mergeCell ref="G405:H405"/>
    <mergeCell ref="J405:K405"/>
    <mergeCell ref="B406:D406"/>
    <mergeCell ref="G406:H406"/>
    <mergeCell ref="B411:D411"/>
    <mergeCell ref="G411:H411"/>
    <mergeCell ref="J411:K411"/>
    <mergeCell ref="B412:D412"/>
    <mergeCell ref="B414:K414"/>
    <mergeCell ref="B382:N382"/>
    <mergeCell ref="A383:A400"/>
    <mergeCell ref="B384:N385"/>
    <mergeCell ref="B386:N387"/>
    <mergeCell ref="B388:N388"/>
    <mergeCell ref="B390:C390"/>
    <mergeCell ref="G390:H390"/>
    <mergeCell ref="K390:L390"/>
    <mergeCell ref="B399:N400"/>
    <mergeCell ref="B353:E353"/>
    <mergeCell ref="H353:K353"/>
    <mergeCell ref="B355:N355"/>
    <mergeCell ref="A356:A380"/>
    <mergeCell ref="B357:N358"/>
    <mergeCell ref="B359:N360"/>
    <mergeCell ref="C370:M370"/>
    <mergeCell ref="H371:M371"/>
    <mergeCell ref="D372:E372"/>
    <mergeCell ref="B379:N380"/>
    <mergeCell ref="B351:B352"/>
    <mergeCell ref="C351:C352"/>
    <mergeCell ref="D351:D352"/>
    <mergeCell ref="E351:E352"/>
    <mergeCell ref="H352:N352"/>
    <mergeCell ref="H350:H351"/>
    <mergeCell ref="I350:I351"/>
    <mergeCell ref="J350:J351"/>
    <mergeCell ref="K350:K351"/>
    <mergeCell ref="L350:L351"/>
    <mergeCell ref="M350:M351"/>
    <mergeCell ref="H347:H348"/>
    <mergeCell ref="I347:I348"/>
    <mergeCell ref="I345:I346"/>
    <mergeCell ref="J345:J346"/>
    <mergeCell ref="K345:K346"/>
    <mergeCell ref="L345:L346"/>
    <mergeCell ref="M345:M346"/>
    <mergeCell ref="N345:N346"/>
    <mergeCell ref="N350:N351"/>
    <mergeCell ref="B335:N336"/>
    <mergeCell ref="C337:N337"/>
    <mergeCell ref="C338:N338"/>
    <mergeCell ref="B339:N339"/>
    <mergeCell ref="A343:A353"/>
    <mergeCell ref="G343:G353"/>
    <mergeCell ref="B344:C345"/>
    <mergeCell ref="D344:D345"/>
    <mergeCell ref="E344:E345"/>
    <mergeCell ref="H345:H346"/>
    <mergeCell ref="J347:J348"/>
    <mergeCell ref="K347:K348"/>
    <mergeCell ref="L347:L348"/>
    <mergeCell ref="M347:M348"/>
    <mergeCell ref="N347:N348"/>
    <mergeCell ref="B349:B350"/>
    <mergeCell ref="C349:C350"/>
    <mergeCell ref="D349:D350"/>
    <mergeCell ref="E349:E350"/>
    <mergeCell ref="H349:N349"/>
    <mergeCell ref="B346:B347"/>
    <mergeCell ref="C346:C347"/>
    <mergeCell ref="D346:D347"/>
    <mergeCell ref="E346:E347"/>
    <mergeCell ref="A248:A271"/>
    <mergeCell ref="A304:A305"/>
    <mergeCell ref="B304:M305"/>
    <mergeCell ref="N304:N305"/>
    <mergeCell ref="A306:A339"/>
    <mergeCell ref="B307:N307"/>
    <mergeCell ref="B308:N311"/>
    <mergeCell ref="B312:N312"/>
    <mergeCell ref="L313:M313"/>
    <mergeCell ref="C296:D296"/>
    <mergeCell ref="F296:G296"/>
    <mergeCell ref="I296:J296"/>
    <mergeCell ref="L296:M296"/>
    <mergeCell ref="B298:N299"/>
    <mergeCell ref="C300:N300"/>
    <mergeCell ref="L314:M315"/>
    <mergeCell ref="B321:N321"/>
    <mergeCell ref="L322:M322"/>
    <mergeCell ref="L323:M323"/>
    <mergeCell ref="C333:D333"/>
    <mergeCell ref="F333:G333"/>
    <mergeCell ref="I333:J333"/>
    <mergeCell ref="L333:M333"/>
    <mergeCell ref="C301:N301"/>
    <mergeCell ref="A274:A275"/>
    <mergeCell ref="B274:M275"/>
    <mergeCell ref="N274:N275"/>
    <mergeCell ref="A276:A302"/>
    <mergeCell ref="B277:N277"/>
    <mergeCell ref="B278:N281"/>
    <mergeCell ref="B282:N282"/>
    <mergeCell ref="L283:M283"/>
    <mergeCell ref="L284:M284"/>
    <mergeCell ref="B302:N302"/>
    <mergeCell ref="M258:M259"/>
    <mergeCell ref="N258:N259"/>
    <mergeCell ref="O258:O259"/>
    <mergeCell ref="P258:P259"/>
    <mergeCell ref="Q258:Q259"/>
    <mergeCell ref="M266:O267"/>
    <mergeCell ref="Q266:Q267"/>
    <mergeCell ref="B247:J247"/>
    <mergeCell ref="M247:Q247"/>
    <mergeCell ref="L248:L272"/>
    <mergeCell ref="B249:B251"/>
    <mergeCell ref="C249:C251"/>
    <mergeCell ref="D249:D251"/>
    <mergeCell ref="M249:M251"/>
    <mergeCell ref="O249:O251"/>
    <mergeCell ref="Q249:Q251"/>
    <mergeCell ref="B269:J271"/>
    <mergeCell ref="A239:A245"/>
    <mergeCell ref="B240:E241"/>
    <mergeCell ref="F240:I241"/>
    <mergeCell ref="J240:K241"/>
    <mergeCell ref="N240:Z240"/>
    <mergeCell ref="B242:B243"/>
    <mergeCell ref="C242:C243"/>
    <mergeCell ref="R238:R239"/>
    <mergeCell ref="S238:S239"/>
    <mergeCell ref="T238:T239"/>
    <mergeCell ref="U238:U239"/>
    <mergeCell ref="V238:V239"/>
    <mergeCell ref="W238:W239"/>
    <mergeCell ref="D242:D243"/>
    <mergeCell ref="E242:F243"/>
    <mergeCell ref="G242:G243"/>
    <mergeCell ref="H242:I243"/>
    <mergeCell ref="J242:K243"/>
    <mergeCell ref="B245:K245"/>
    <mergeCell ref="X238:X239"/>
    <mergeCell ref="Y238:Y239"/>
    <mergeCell ref="Z238:Z239"/>
    <mergeCell ref="T234:W235"/>
    <mergeCell ref="X234:X235"/>
    <mergeCell ref="Y234:Y235"/>
    <mergeCell ref="Z234:Z235"/>
    <mergeCell ref="B235:K235"/>
    <mergeCell ref="U236:Y236"/>
    <mergeCell ref="I231:I232"/>
    <mergeCell ref="J231:J232"/>
    <mergeCell ref="K231:K232"/>
    <mergeCell ref="M231:M240"/>
    <mergeCell ref="N232:S232"/>
    <mergeCell ref="B233:C233"/>
    <mergeCell ref="Q233:R233"/>
    <mergeCell ref="B238:K238"/>
    <mergeCell ref="N238:P239"/>
    <mergeCell ref="Q238:Q239"/>
    <mergeCell ref="B231:C232"/>
    <mergeCell ref="D231:D232"/>
    <mergeCell ref="E231:E232"/>
    <mergeCell ref="F231:F232"/>
    <mergeCell ref="G231:G232"/>
    <mergeCell ref="H231:H232"/>
    <mergeCell ref="B227:K228"/>
    <mergeCell ref="P227:Q227"/>
    <mergeCell ref="N228:W228"/>
    <mergeCell ref="B229:C230"/>
    <mergeCell ref="D229:E230"/>
    <mergeCell ref="F229:K230"/>
    <mergeCell ref="N230:Z230"/>
    <mergeCell ref="B225:E226"/>
    <mergeCell ref="F225:F226"/>
    <mergeCell ref="G225:G226"/>
    <mergeCell ref="H225:I226"/>
    <mergeCell ref="J225:K226"/>
    <mergeCell ref="N225:W225"/>
    <mergeCell ref="O226:Q226"/>
    <mergeCell ref="R226:W226"/>
    <mergeCell ref="A219:A235"/>
    <mergeCell ref="M219:M228"/>
    <mergeCell ref="B220:F221"/>
    <mergeCell ref="N220:R221"/>
    <mergeCell ref="B222:K222"/>
    <mergeCell ref="N222:W222"/>
    <mergeCell ref="B223:E224"/>
    <mergeCell ref="H204:K204"/>
    <mergeCell ref="B205:B207"/>
    <mergeCell ref="C205:C206"/>
    <mergeCell ref="E206:E207"/>
    <mergeCell ref="B208:B209"/>
    <mergeCell ref="C208:C209"/>
    <mergeCell ref="F223:F224"/>
    <mergeCell ref="G223:G224"/>
    <mergeCell ref="H223:I224"/>
    <mergeCell ref="J223:K224"/>
    <mergeCell ref="N223:Q223"/>
    <mergeCell ref="S223:T223"/>
    <mergeCell ref="N224:Q224"/>
    <mergeCell ref="S224:T224"/>
    <mergeCell ref="B212:E212"/>
    <mergeCell ref="B218:K218"/>
    <mergeCell ref="N218:W218"/>
    <mergeCell ref="B196:E197"/>
    <mergeCell ref="B199:E199"/>
    <mergeCell ref="H199:S199"/>
    <mergeCell ref="A200:A215"/>
    <mergeCell ref="G200:G205"/>
    <mergeCell ref="M200:O200"/>
    <mergeCell ref="C201:E201"/>
    <mergeCell ref="H201:H202"/>
    <mergeCell ref="I201:I202"/>
    <mergeCell ref="J201:J202"/>
    <mergeCell ref="K201:K202"/>
    <mergeCell ref="L201:L203"/>
    <mergeCell ref="M201:M202"/>
    <mergeCell ref="P201:P202"/>
    <mergeCell ref="Q201:Q202"/>
    <mergeCell ref="B202:B203"/>
    <mergeCell ref="C202:C203"/>
    <mergeCell ref="D202:D203"/>
    <mergeCell ref="E202:E203"/>
    <mergeCell ref="O202:O203"/>
    <mergeCell ref="B184:E184"/>
    <mergeCell ref="H184:S184"/>
    <mergeCell ref="A185:A197"/>
    <mergeCell ref="G185:G189"/>
    <mergeCell ref="B186:B187"/>
    <mergeCell ref="C186:C187"/>
    <mergeCell ref="D186:D187"/>
    <mergeCell ref="E186:E187"/>
    <mergeCell ref="H186:H187"/>
    <mergeCell ref="I186:I187"/>
    <mergeCell ref="R187:R188"/>
    <mergeCell ref="S187:S188"/>
    <mergeCell ref="B189:B190"/>
    <mergeCell ref="H189:K189"/>
    <mergeCell ref="B191:B192"/>
    <mergeCell ref="B194:E195"/>
    <mergeCell ref="J186:J187"/>
    <mergeCell ref="K186:K187"/>
    <mergeCell ref="L186:L188"/>
    <mergeCell ref="M186:M187"/>
    <mergeCell ref="P186:P188"/>
    <mergeCell ref="Q186:Q187"/>
    <mergeCell ref="N187:N188"/>
    <mergeCell ref="O187:O188"/>
    <mergeCell ref="B156:L156"/>
    <mergeCell ref="A157:A167"/>
    <mergeCell ref="B164:K164"/>
    <mergeCell ref="B165:K165"/>
    <mergeCell ref="B169:K169"/>
    <mergeCell ref="A170:A181"/>
    <mergeCell ref="G174:H174"/>
    <mergeCell ref="B176:J176"/>
    <mergeCell ref="B177:K177"/>
    <mergeCell ref="B135:L135"/>
    <mergeCell ref="A136:A154"/>
    <mergeCell ref="C137:D137"/>
    <mergeCell ref="G137:H137"/>
    <mergeCell ref="C139:C140"/>
    <mergeCell ref="D139:D140"/>
    <mergeCell ref="E139:E140"/>
    <mergeCell ref="F139:F140"/>
    <mergeCell ref="C146:E146"/>
    <mergeCell ref="A121:A133"/>
    <mergeCell ref="B122:D122"/>
    <mergeCell ref="B123:D123"/>
    <mergeCell ref="B124:D124"/>
    <mergeCell ref="B125:D125"/>
    <mergeCell ref="B126:D126"/>
    <mergeCell ref="B111:D111"/>
    <mergeCell ref="M111:N111"/>
    <mergeCell ref="B113:D113"/>
    <mergeCell ref="M113:N113"/>
    <mergeCell ref="B114:D114"/>
    <mergeCell ref="M114:N114"/>
    <mergeCell ref="B127:D127"/>
    <mergeCell ref="B128:D128"/>
    <mergeCell ref="B129:D129"/>
    <mergeCell ref="B131:D131"/>
    <mergeCell ref="B132:D132"/>
    <mergeCell ref="B133:D133"/>
    <mergeCell ref="B115:D115"/>
    <mergeCell ref="M115:N115"/>
    <mergeCell ref="G118:K118"/>
    <mergeCell ref="B120:F120"/>
    <mergeCell ref="L88:O91"/>
    <mergeCell ref="L92:O94"/>
    <mergeCell ref="L95:O97"/>
    <mergeCell ref="B100:T100"/>
    <mergeCell ref="A101:A118"/>
    <mergeCell ref="B102:K102"/>
    <mergeCell ref="L102:T102"/>
    <mergeCell ref="B103:D106"/>
    <mergeCell ref="E103:E106"/>
    <mergeCell ref="F103:F106"/>
    <mergeCell ref="B108:D108"/>
    <mergeCell ref="M108:N108"/>
    <mergeCell ref="B109:D109"/>
    <mergeCell ref="M109:N109"/>
    <mergeCell ref="B110:D110"/>
    <mergeCell ref="M110:N110"/>
    <mergeCell ref="G103:K103"/>
    <mergeCell ref="L103:M104"/>
    <mergeCell ref="N103:T106"/>
    <mergeCell ref="L105:M105"/>
    <mergeCell ref="G106:K106"/>
    <mergeCell ref="L106:M106"/>
    <mergeCell ref="L78:O81"/>
    <mergeCell ref="C82:H82"/>
    <mergeCell ref="L82:O84"/>
    <mergeCell ref="C85:J85"/>
    <mergeCell ref="C87:I87"/>
    <mergeCell ref="L87:O87"/>
    <mergeCell ref="A70:A76"/>
    <mergeCell ref="B72:C72"/>
    <mergeCell ref="J72:N74"/>
    <mergeCell ref="B73:C73"/>
    <mergeCell ref="B74:C74"/>
    <mergeCell ref="B75:C75"/>
    <mergeCell ref="B76:C76"/>
    <mergeCell ref="B2:Q2"/>
    <mergeCell ref="B49:Q50"/>
    <mergeCell ref="B52:G53"/>
    <mergeCell ref="J52:O52"/>
    <mergeCell ref="A53:A67"/>
    <mergeCell ref="I53:I74"/>
    <mergeCell ref="K53:O53"/>
    <mergeCell ref="B55:G56"/>
    <mergeCell ref="J55:O57"/>
    <mergeCell ref="C57:G57"/>
    <mergeCell ref="B64:B65"/>
    <mergeCell ref="C64:G65"/>
    <mergeCell ref="B66:B67"/>
    <mergeCell ref="C66:G67"/>
    <mergeCell ref="B69:C70"/>
    <mergeCell ref="D69:E70"/>
    <mergeCell ref="F69:F70"/>
    <mergeCell ref="G69:G70"/>
    <mergeCell ref="C58:G58"/>
    <mergeCell ref="C59:G59"/>
    <mergeCell ref="C60:G60"/>
    <mergeCell ref="C61:G61"/>
    <mergeCell ref="C62:G62"/>
    <mergeCell ref="C63:G63"/>
  </mergeCells>
  <conditionalFormatting sqref="A49">
    <cfRule type="expression" dxfId="20" priority="8" stopIfTrue="1">
      <formula>OR(ROW()=CELL("ligne"),COLUMN()=CELL("colonne"))</formula>
    </cfRule>
  </conditionalFormatting>
  <conditionalFormatting sqref="A52">
    <cfRule type="expression" dxfId="19" priority="19" stopIfTrue="1">
      <formula>OR(ROW()=CELL("ligne"),COLUMN()=CELL("colonne"))</formula>
    </cfRule>
  </conditionalFormatting>
  <conditionalFormatting sqref="A69">
    <cfRule type="expression" dxfId="18" priority="18" stopIfTrue="1">
      <formula>OR(ROW()=CELL("ligne"),COLUMN()=CELL("colonne"))</formula>
    </cfRule>
  </conditionalFormatting>
  <conditionalFormatting sqref="A100">
    <cfRule type="expression" dxfId="17" priority="7" stopIfTrue="1">
      <formula>OR(ROW()=CELL("ligne"),COLUMN()=CELL("colonne"))</formula>
    </cfRule>
  </conditionalFormatting>
  <conditionalFormatting sqref="A120:A121">
    <cfRule type="expression" dxfId="16" priority="13" stopIfTrue="1">
      <formula>OR(ROW()=CELL("ligne"),COLUMN()=CELL("colonne"))</formula>
    </cfRule>
  </conditionalFormatting>
  <conditionalFormatting sqref="A135:A136">
    <cfRule type="expression" dxfId="15" priority="14" stopIfTrue="1">
      <formula>OR(ROW()=CELL("ligne"),COLUMN()=CELL("colonne"))</formula>
    </cfRule>
  </conditionalFormatting>
  <conditionalFormatting sqref="A156:A157">
    <cfRule type="expression" dxfId="14" priority="2" stopIfTrue="1">
      <formula>OR(ROW()=CELL("ligne"),COLUMN()=CELL("colonne"))</formula>
    </cfRule>
  </conditionalFormatting>
  <conditionalFormatting sqref="A169:A170">
    <cfRule type="expression" dxfId="13" priority="1" stopIfTrue="1">
      <formula>OR(ROW()=CELL("ligne"),COLUMN()=CELL("colonne"))</formula>
    </cfRule>
  </conditionalFormatting>
  <conditionalFormatting sqref="A184:A185">
    <cfRule type="expression" dxfId="12" priority="16" stopIfTrue="1">
      <formula>OR(ROW()=CELL("ligne"),COLUMN()=CELL("colonne"))</formula>
    </cfRule>
  </conditionalFormatting>
  <conditionalFormatting sqref="A199:A200">
    <cfRule type="expression" dxfId="11" priority="15" stopIfTrue="1">
      <formula>OR(ROW()=CELL("ligne"),COLUMN()=CELL("colonne"))</formula>
    </cfRule>
  </conditionalFormatting>
  <conditionalFormatting sqref="A219">
    <cfRule type="expression" dxfId="10" priority="9" stopIfTrue="1">
      <formula>OR(ROW()=CELL("ligne"),COLUMN()=CELL("colonne"))</formula>
    </cfRule>
  </conditionalFormatting>
  <conditionalFormatting sqref="A239">
    <cfRule type="expression" dxfId="9" priority="11" stopIfTrue="1">
      <formula>OR(ROW()=CELL("ligne"),COLUMN()=CELL("colonne"))</formula>
    </cfRule>
  </conditionalFormatting>
  <conditionalFormatting sqref="A342">
    <cfRule type="expression" dxfId="8" priority="4" stopIfTrue="1">
      <formula>OR(ROW()=CELL("ligne"),COLUMN()=CELL("colonne"))</formula>
    </cfRule>
  </conditionalFormatting>
  <conditionalFormatting sqref="A479">
    <cfRule type="expression" dxfId="7" priority="3" stopIfTrue="1">
      <formula>OR(ROW()=CELL("ligne"),COLUMN()=CELL("colonne"))</formula>
    </cfRule>
  </conditionalFormatting>
  <conditionalFormatting sqref="G184:G185">
    <cfRule type="expression" dxfId="6" priority="6" stopIfTrue="1">
      <formula>OR(ROW()=CELL("ligne"),COLUMN()=CELL("colonne"))</formula>
    </cfRule>
  </conditionalFormatting>
  <conditionalFormatting sqref="G199:G200">
    <cfRule type="expression" dxfId="5" priority="5" stopIfTrue="1">
      <formula>OR(ROW()=CELL("ligne"),COLUMN()=CELL("colonne"))</formula>
    </cfRule>
  </conditionalFormatting>
  <conditionalFormatting sqref="G342">
    <cfRule type="expression" dxfId="4" priority="17" stopIfTrue="1">
      <formula>OR(ROW()=CELL("ligne"),COLUMN()=CELL("colonne"))</formula>
    </cfRule>
  </conditionalFormatting>
  <conditionalFormatting sqref="I52">
    <cfRule type="expression" dxfId="3" priority="20" stopIfTrue="1">
      <formula>OR(ROW()=CELL("ligne"),COLUMN()=CELL("colonne"))</formula>
    </cfRule>
  </conditionalFormatting>
  <conditionalFormatting sqref="M219">
    <cfRule type="expression" dxfId="2" priority="12" stopIfTrue="1">
      <formula>OR(ROW()=CELL("ligne"),COLUMN()=CELL("colonne"))</formula>
    </cfRule>
  </conditionalFormatting>
  <conditionalFormatting sqref="M231">
    <cfRule type="expression" dxfId="1" priority="10" stopIfTrue="1">
      <formula>OR(ROW()=CELL("ligne"),COLUMN()=CELL("colonne"))</formula>
    </cfRule>
  </conditionalFormatting>
  <hyperlinks>
    <hyperlink ref="K53" r:id="rId1" xr:uid="{67AA794C-2462-4568-B910-C8E4DA55F24D}"/>
    <hyperlink ref="C80" r:id="rId2" xr:uid="{B5904330-F43B-49C0-B9BD-CD6C678C40D0}"/>
    <hyperlink ref="C82" r:id="rId3" xr:uid="{40E9826B-6302-4091-9725-BCE9E125932D}"/>
    <hyperlink ref="C85" r:id="rId4" xr:uid="{53A36FCC-B490-4957-B35A-AB12AEE15456}"/>
    <hyperlink ref="C87" r:id="rId5" xr:uid="{731C5ECE-41A4-4794-9881-226770F26803}"/>
    <hyperlink ref="C137" r:id="rId6" xr:uid="{84790ECC-AE5F-4CD9-BE4D-A6BCF9D066CA}"/>
    <hyperlink ref="E137" r:id="rId7" xr:uid="{8D681572-2612-4907-A3C6-CA2E2808A9AD}"/>
    <hyperlink ref="G137" r:id="rId8" xr:uid="{53D6CFEA-48CB-4F7E-A3F1-642B17910424}"/>
    <hyperlink ref="H373" r:id="rId9" xr:uid="{AFCC78CD-798C-4FF3-ACBF-D3AB160970D0}"/>
    <hyperlink ref="H372" r:id="rId10" display="feuilles de gélatine - Le Salon du Blog Culinaire" xr:uid="{4FF6AFE1-8C98-4E25-AF80-0CCB23E12AF7}"/>
    <hyperlink ref="H374" r:id="rId11" xr:uid="{E081AAA4-88A6-447E-9E1A-C8C3627DD076}"/>
    <hyperlink ref="E398" r:id="rId12" xr:uid="{13A7402D-1397-444D-B2D1-A2F35B046A17}"/>
    <hyperlink ref="C89" r:id="rId13" xr:uid="{E956B328-F1F0-4BE6-810D-4173C8F084B5}"/>
    <hyperlink ref="C91" r:id="rId14" xr:uid="{08847DB9-058C-436B-89B3-CA9F13EFE8CD}"/>
  </hyperlinks>
  <pageMargins left="0.7" right="0.7" top="0.75" bottom="0.75" header="0.3" footer="0.3"/>
  <drawing r:id="rId15"/>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CCA930-3B3B-495C-8A11-E5E7B44C8791}">
  <dimension ref="A2:Q163"/>
  <sheetViews>
    <sheetView workbookViewId="0">
      <selection activeCell="M21" sqref="M21"/>
    </sheetView>
  </sheetViews>
  <sheetFormatPr baseColWidth="10" defaultColWidth="11.42578125" defaultRowHeight="15.75"/>
  <cols>
    <col min="1" max="1" width="6.85546875" style="1578" customWidth="1"/>
    <col min="2" max="2" width="16.7109375" style="1578" customWidth="1"/>
    <col min="3" max="3" width="11.42578125" style="1578"/>
    <col min="4" max="4" width="16.85546875" style="1578" customWidth="1"/>
    <col min="5" max="5" width="11.42578125" style="1578"/>
    <col min="6" max="6" width="14.42578125" style="1578" customWidth="1"/>
    <col min="7" max="10" width="11.42578125" style="1578"/>
    <col min="11" max="11" width="13.42578125" style="1578" customWidth="1"/>
    <col min="12" max="12" width="11.42578125" style="1578"/>
    <col min="13" max="13" width="18.7109375" style="1578" customWidth="1"/>
    <col min="14" max="14" width="11.42578125" style="1578"/>
    <col min="15" max="15" width="13.85546875" style="1578" customWidth="1"/>
    <col min="16" max="16384" width="11.42578125" style="1578"/>
  </cols>
  <sheetData>
    <row r="2" spans="1:17" s="2072" customFormat="1" ht="33.75">
      <c r="A2" s="2070">
        <f>(ROW())</f>
        <v>2</v>
      </c>
      <c r="B2" s="6595" t="s">
        <v>9316</v>
      </c>
      <c r="C2" s="6595"/>
      <c r="D2" s="6595"/>
      <c r="E2" s="6595"/>
      <c r="F2" s="6595"/>
      <c r="G2" s="6595"/>
      <c r="H2" s="6595"/>
      <c r="I2" s="6595"/>
      <c r="J2" s="6595"/>
      <c r="K2" s="6595"/>
      <c r="L2" s="6595"/>
      <c r="M2" s="6595"/>
      <c r="N2" s="6595"/>
      <c r="O2" s="6595"/>
      <c r="P2" s="6595"/>
      <c r="Q2" s="6595"/>
    </row>
    <row r="3" spans="1:17" s="2072" customFormat="1" ht="18.75">
      <c r="A3" s="2090"/>
      <c r="B3" s="2838"/>
      <c r="C3" s="2839"/>
      <c r="D3" s="2839"/>
      <c r="E3" s="2839"/>
      <c r="F3" s="2839"/>
      <c r="G3" s="2839"/>
      <c r="H3" s="1784"/>
      <c r="I3" s="1784"/>
      <c r="J3" s="1784"/>
      <c r="K3" s="1784"/>
      <c r="L3" s="1784"/>
      <c r="M3" s="1784"/>
      <c r="N3" s="1784"/>
      <c r="O3" s="1784"/>
      <c r="P3" s="2089" t="s">
        <v>1676</v>
      </c>
      <c r="Q3" s="1" t="str">
        <f>Q163</f>
        <v>Q163</v>
      </c>
    </row>
    <row r="4" spans="1:17" s="2072" customFormat="1" ht="27" customHeight="1">
      <c r="A4" s="2840" t="s">
        <v>167</v>
      </c>
      <c r="B4" s="5977" t="s">
        <v>9022</v>
      </c>
      <c r="C4" s="5977"/>
      <c r="D4" s="5977"/>
      <c r="E4" s="5977"/>
      <c r="F4" s="5977"/>
      <c r="G4" s="5977"/>
      <c r="H4" s="5977"/>
      <c r="I4" s="5977"/>
      <c r="J4" s="5977"/>
      <c r="K4" s="5977"/>
      <c r="L4" s="5977"/>
      <c r="M4" s="5977"/>
      <c r="N4" s="5977"/>
      <c r="O4" s="5977"/>
      <c r="P4" s="5977"/>
      <c r="Q4" s="5977"/>
    </row>
    <row r="5" spans="1:17" s="2072" customFormat="1" ht="27" customHeight="1">
      <c r="A5" s="2113"/>
      <c r="B5" s="5977"/>
      <c r="C5" s="5977"/>
      <c r="D5" s="5977"/>
      <c r="E5" s="5977"/>
      <c r="F5" s="5977"/>
      <c r="G5" s="5977"/>
      <c r="H5" s="5977"/>
      <c r="I5" s="5977"/>
      <c r="J5" s="5977"/>
      <c r="K5" s="5977"/>
      <c r="L5" s="5977"/>
      <c r="M5" s="5977"/>
      <c r="N5" s="5977"/>
      <c r="O5" s="5977"/>
      <c r="P5" s="5977"/>
      <c r="Q5" s="5977"/>
    </row>
    <row r="6" spans="1:17" s="2072" customFormat="1">
      <c r="A6" s="2090"/>
      <c r="B6" s="2838"/>
      <c r="C6" s="2839"/>
      <c r="D6" s="2839"/>
      <c r="E6" s="2839"/>
      <c r="F6" s="2839"/>
      <c r="G6" s="2839"/>
      <c r="H6" s="1784"/>
      <c r="I6" s="1784"/>
      <c r="J6" s="1784"/>
      <c r="K6" s="1784"/>
      <c r="L6" s="1784"/>
      <c r="M6" s="1784"/>
      <c r="N6" s="1784"/>
      <c r="O6" s="1784"/>
      <c r="P6" s="1784"/>
      <c r="Q6" s="2096" t="str">
        <f ca="1">"Page N°"&amp;_xlfn.SHEET()</f>
        <v>Page N°26</v>
      </c>
    </row>
    <row r="7" spans="1:17" s="2072" customFormat="1" ht="21">
      <c r="A7" s="2090"/>
      <c r="B7" s="2838"/>
      <c r="C7" s="2092" t="s">
        <v>3527</v>
      </c>
      <c r="D7" s="2092"/>
      <c r="E7" s="1784"/>
      <c r="F7" s="1784"/>
      <c r="G7" s="1784"/>
      <c r="H7" s="1784"/>
      <c r="I7" s="1784"/>
      <c r="J7" s="1784"/>
      <c r="K7" s="1784"/>
      <c r="L7" s="1784"/>
      <c r="M7" s="1784"/>
      <c r="N7" s="1784"/>
      <c r="O7" s="1784"/>
      <c r="P7" s="1784"/>
      <c r="Q7" s="2090"/>
    </row>
    <row r="8" spans="1:17" s="2072" customFormat="1" ht="21">
      <c r="A8" s="2090"/>
      <c r="B8" s="2838"/>
      <c r="C8" s="2097" t="str">
        <f>B21</f>
        <v>B21</v>
      </c>
      <c r="D8" s="2841" t="s">
        <v>3529</v>
      </c>
      <c r="E8" s="2099"/>
      <c r="F8" s="2099"/>
      <c r="G8" s="2099"/>
      <c r="H8" s="2099"/>
      <c r="I8" s="2099"/>
      <c r="J8" s="2099"/>
      <c r="K8" s="1784"/>
      <c r="L8" s="1784"/>
      <c r="M8" s="1784"/>
      <c r="N8" s="1784"/>
      <c r="O8" s="1784"/>
      <c r="P8" s="1784"/>
      <c r="Q8" s="2090"/>
    </row>
    <row r="9" spans="1:17" s="2072" customFormat="1">
      <c r="A9" s="2090"/>
      <c r="B9" s="2838"/>
      <c r="C9" s="2838"/>
      <c r="D9" s="2839"/>
      <c r="E9" s="2839"/>
      <c r="F9" s="2839"/>
      <c r="G9" s="2839"/>
      <c r="H9" s="1784"/>
      <c r="I9" s="1784"/>
      <c r="J9" s="1784"/>
      <c r="K9" s="1784"/>
      <c r="L9" s="1784"/>
      <c r="M9" s="1784"/>
      <c r="N9" s="1784"/>
      <c r="O9" s="1784"/>
      <c r="P9" s="1784"/>
      <c r="Q9" s="2090"/>
    </row>
    <row r="10" spans="1:17" s="2072" customFormat="1" ht="21">
      <c r="A10" s="2090"/>
      <c r="B10" s="2838"/>
      <c r="C10" s="2092" t="s">
        <v>9317</v>
      </c>
      <c r="D10" s="2092"/>
      <c r="E10" s="2092" t="s">
        <v>3532</v>
      </c>
      <c r="F10" s="2842"/>
      <c r="G10" s="2843"/>
      <c r="H10" s="1784"/>
      <c r="I10" s="1784"/>
      <c r="J10" s="2092" t="s">
        <v>3531</v>
      </c>
      <c r="K10" s="2092"/>
      <c r="L10" s="2092" t="s">
        <v>3532</v>
      </c>
      <c r="M10" s="2842"/>
      <c r="N10" s="2842"/>
      <c r="O10" s="2843"/>
      <c r="P10" s="1784"/>
      <c r="Q10" s="2090"/>
    </row>
    <row r="11" spans="1:17" s="2072" customFormat="1" ht="21">
      <c r="A11" s="2090"/>
      <c r="B11" s="2838"/>
      <c r="C11" s="2097" t="str">
        <f>B36</f>
        <v>B36</v>
      </c>
      <c r="D11" s="2841" t="s">
        <v>3529</v>
      </c>
      <c r="E11" s="2099"/>
      <c r="F11" s="2099"/>
      <c r="G11" s="2099"/>
      <c r="H11" s="1784"/>
      <c r="I11" s="1784"/>
      <c r="J11" s="2097" t="str">
        <f>K36</f>
        <v>K36</v>
      </c>
      <c r="K11" s="2841" t="s">
        <v>3529</v>
      </c>
      <c r="L11" s="2099"/>
      <c r="M11" s="2099"/>
      <c r="N11" s="2099"/>
      <c r="O11" s="2099"/>
      <c r="P11" s="1784"/>
      <c r="Q11" s="2090"/>
    </row>
    <row r="12" spans="1:17" s="2072" customFormat="1">
      <c r="A12" s="2090"/>
      <c r="B12" s="2838"/>
      <c r="C12" s="2838"/>
      <c r="D12" s="2839"/>
      <c r="E12" s="2839"/>
      <c r="F12" s="2839"/>
      <c r="G12" s="2839"/>
      <c r="H12" s="1784"/>
      <c r="I12" s="1784"/>
      <c r="J12" s="1784"/>
      <c r="K12" s="1784"/>
      <c r="L12" s="1784"/>
      <c r="M12" s="1784"/>
      <c r="N12" s="1784"/>
      <c r="O12" s="1784"/>
      <c r="P12" s="1784"/>
      <c r="Q12" s="2090"/>
    </row>
    <row r="13" spans="1:17" s="2072" customFormat="1" ht="15" customHeight="1">
      <c r="A13" s="2090"/>
      <c r="B13" s="2838"/>
      <c r="C13" s="2092" t="s">
        <v>9318</v>
      </c>
      <c r="D13" s="2092"/>
      <c r="E13" s="2839"/>
      <c r="F13" s="2839"/>
      <c r="G13" s="2839"/>
      <c r="H13" s="1784"/>
      <c r="I13" s="1784"/>
      <c r="J13" s="2092" t="s">
        <v>9319</v>
      </c>
      <c r="K13" s="2092"/>
      <c r="L13" s="1784"/>
      <c r="M13" s="1784"/>
      <c r="N13" s="1784"/>
      <c r="O13" s="1784"/>
      <c r="P13" s="1784"/>
      <c r="Q13" s="2090"/>
    </row>
    <row r="14" spans="1:17" s="2072" customFormat="1" ht="21">
      <c r="A14" s="2090"/>
      <c r="B14" s="2838"/>
      <c r="C14" s="2097" t="str">
        <f>B51</f>
        <v>B51</v>
      </c>
      <c r="D14" s="2841" t="s">
        <v>3529</v>
      </c>
      <c r="E14" s="2839"/>
      <c r="F14" s="2839"/>
      <c r="G14" s="2839"/>
      <c r="H14" s="1784"/>
      <c r="I14" s="1784"/>
      <c r="J14" s="2097" t="str">
        <f>K51</f>
        <v>K51</v>
      </c>
      <c r="K14" s="2841" t="s">
        <v>3529</v>
      </c>
      <c r="L14" s="1784"/>
      <c r="M14" s="1784"/>
      <c r="N14" s="1784"/>
      <c r="O14" s="1784"/>
      <c r="P14" s="1784"/>
      <c r="Q14" s="2090"/>
    </row>
    <row r="15" spans="1:17" s="2072" customFormat="1">
      <c r="A15" s="2090"/>
      <c r="B15" s="2838"/>
      <c r="C15" s="2839"/>
      <c r="D15" s="2839"/>
      <c r="E15" s="2839"/>
      <c r="F15" s="2839"/>
      <c r="G15" s="2839"/>
      <c r="H15" s="1784"/>
      <c r="I15" s="1784"/>
      <c r="J15" s="1784"/>
      <c r="K15" s="1784"/>
      <c r="L15" s="1784"/>
      <c r="M15" s="1784"/>
      <c r="N15" s="1784"/>
      <c r="O15" s="1784"/>
      <c r="P15" s="1784"/>
      <c r="Q15" s="2090"/>
    </row>
    <row r="16" spans="1:17" s="2072" customFormat="1" ht="15.75" customHeight="1">
      <c r="A16" s="2090"/>
      <c r="B16" s="2838"/>
      <c r="C16" s="2092" t="s">
        <v>9320</v>
      </c>
      <c r="D16" s="2092"/>
      <c r="E16" s="2839"/>
      <c r="F16" s="2839"/>
      <c r="G16" s="2839"/>
      <c r="H16" s="1784"/>
      <c r="I16" s="1784"/>
      <c r="J16" s="2092" t="s">
        <v>9321</v>
      </c>
      <c r="K16" s="2092"/>
      <c r="L16" s="1784"/>
      <c r="M16" s="1784"/>
      <c r="N16" s="1784"/>
      <c r="O16" s="1784"/>
      <c r="P16" s="1784"/>
      <c r="Q16" s="2090"/>
    </row>
    <row r="17" spans="1:17" s="2072" customFormat="1" ht="21">
      <c r="A17" s="2090"/>
      <c r="B17" s="2838"/>
      <c r="C17" s="2097" t="str">
        <f>B59</f>
        <v>B59</v>
      </c>
      <c r="D17" s="2841" t="s">
        <v>3529</v>
      </c>
      <c r="E17" s="2839"/>
      <c r="F17" s="2839"/>
      <c r="G17" s="2839"/>
      <c r="H17" s="1784"/>
      <c r="I17" s="1784"/>
      <c r="J17" s="2097" t="str">
        <f>K59</f>
        <v>K59</v>
      </c>
      <c r="K17" s="2841" t="s">
        <v>3529</v>
      </c>
      <c r="L17" s="1784"/>
      <c r="M17" s="1784"/>
      <c r="N17" s="1784"/>
      <c r="O17" s="1784"/>
      <c r="P17" s="1784"/>
      <c r="Q17" s="2090"/>
    </row>
    <row r="18" spans="1:17" s="2072" customFormat="1">
      <c r="A18" s="2090"/>
      <c r="B18" s="2838"/>
      <c r="C18" s="2839"/>
      <c r="D18" s="2839"/>
      <c r="E18" s="2839"/>
      <c r="F18" s="2839"/>
      <c r="G18" s="2839"/>
      <c r="H18" s="1784"/>
      <c r="I18" s="1784"/>
      <c r="J18" s="1784"/>
      <c r="K18" s="1784"/>
      <c r="L18" s="1784"/>
      <c r="M18" s="1784"/>
      <c r="N18" s="1784"/>
      <c r="O18" s="1784"/>
      <c r="P18" s="1784"/>
      <c r="Q18" s="2090"/>
    </row>
    <row r="19" spans="1:17" s="2072" customFormat="1" ht="16.5" thickBot="1">
      <c r="A19" s="2090"/>
      <c r="B19" s="2838"/>
      <c r="C19" s="2839"/>
      <c r="D19" s="2839"/>
      <c r="E19" s="2839"/>
      <c r="F19" s="2839"/>
      <c r="G19" s="2839"/>
      <c r="H19" s="1784"/>
      <c r="I19" s="1784"/>
      <c r="J19" s="1784"/>
      <c r="K19" s="1784"/>
      <c r="L19" s="1784"/>
      <c r="M19" s="1784"/>
      <c r="N19" s="1784"/>
      <c r="O19" s="1784"/>
      <c r="P19" s="1784"/>
      <c r="Q19" s="2090"/>
    </row>
    <row r="20" spans="1:17" s="2072" customFormat="1">
      <c r="A20" s="1579" t="s">
        <v>167</v>
      </c>
      <c r="B20" s="1772"/>
      <c r="C20" s="1773"/>
      <c r="D20" s="1773"/>
      <c r="E20" s="1773"/>
      <c r="F20" s="1773"/>
      <c r="G20" s="1774"/>
      <c r="H20" s="1773"/>
      <c r="I20" s="1773"/>
      <c r="J20" s="1775" t="s">
        <v>3527</v>
      </c>
      <c r="K20" s="1784"/>
      <c r="L20" s="1784"/>
      <c r="M20" s="1784"/>
      <c r="N20" s="1784"/>
      <c r="O20" s="1784"/>
      <c r="P20" s="1784"/>
      <c r="Q20" s="2090"/>
    </row>
    <row r="21" spans="1:17" s="2072" customFormat="1" ht="15" customHeight="1">
      <c r="A21" s="5988" t="str">
        <f>J20</f>
        <v>Prix D'ACHAT / Prix de VENTE</v>
      </c>
      <c r="B21" s="2543" t="str">
        <f>ADDRESS(ROW(),COLUMN(),4)</f>
        <v>B21</v>
      </c>
      <c r="C21" s="1778" t="s">
        <v>3529</v>
      </c>
      <c r="D21" s="2697"/>
      <c r="E21" s="2697"/>
      <c r="F21" s="2697"/>
      <c r="G21" s="2697"/>
      <c r="H21" s="2697"/>
      <c r="I21" s="2697"/>
      <c r="J21" s="2698"/>
      <c r="K21" s="1784"/>
      <c r="L21" s="1784"/>
      <c r="M21" s="1784"/>
      <c r="N21" s="1784"/>
      <c r="O21" s="1784"/>
      <c r="P21" s="1784"/>
      <c r="Q21" s="2090"/>
    </row>
    <row r="22" spans="1:17" s="2072" customFormat="1" ht="20.100000000000001" customHeight="1">
      <c r="A22" s="5988"/>
      <c r="B22" s="2844"/>
      <c r="C22" s="2845" t="s">
        <v>749</v>
      </c>
      <c r="D22" s="2846">
        <v>0.44</v>
      </c>
      <c r="E22" s="1784"/>
      <c r="F22" s="2847" t="s">
        <v>749</v>
      </c>
      <c r="G22" s="2846">
        <v>100</v>
      </c>
      <c r="H22" s="1784"/>
      <c r="I22" s="647" t="s">
        <v>751</v>
      </c>
      <c r="J22" s="2848">
        <v>115</v>
      </c>
      <c r="K22" s="1784"/>
      <c r="L22" s="1784"/>
      <c r="M22" s="2090"/>
      <c r="N22" s="2090"/>
      <c r="O22" s="2090"/>
      <c r="P22" s="2090"/>
      <c r="Q22" s="2090"/>
    </row>
    <row r="23" spans="1:17" s="2072" customFormat="1" ht="20.100000000000001" customHeight="1">
      <c r="A23" s="5988"/>
      <c r="B23" s="2849"/>
      <c r="C23" s="664" t="s">
        <v>761</v>
      </c>
      <c r="D23" s="2850">
        <v>60</v>
      </c>
      <c r="E23" s="1784"/>
      <c r="F23" s="664" t="s">
        <v>757</v>
      </c>
      <c r="G23" s="2851">
        <v>10</v>
      </c>
      <c r="H23" s="1784"/>
      <c r="I23" s="2847" t="s">
        <v>749</v>
      </c>
      <c r="J23" s="2852">
        <v>133</v>
      </c>
      <c r="K23" s="1784"/>
      <c r="L23" s="1784"/>
      <c r="M23" s="2090"/>
      <c r="N23" s="2090"/>
      <c r="O23" s="2090"/>
      <c r="P23" s="2090"/>
      <c r="Q23" s="2090"/>
    </row>
    <row r="24" spans="1:17" s="2072" customFormat="1" ht="20.100000000000001" customHeight="1">
      <c r="A24" s="5988"/>
      <c r="B24" s="2853"/>
      <c r="C24" s="655" t="s">
        <v>757</v>
      </c>
      <c r="D24" s="2854">
        <f>D22*D23%</f>
        <v>0.26400000000000001</v>
      </c>
      <c r="E24" s="1784"/>
      <c r="F24" s="667" t="s">
        <v>751</v>
      </c>
      <c r="G24" s="2854">
        <f>IF(G22=0,0,G22+G23)</f>
        <v>110</v>
      </c>
      <c r="H24" s="1784"/>
      <c r="I24" s="655" t="s">
        <v>757</v>
      </c>
      <c r="J24" s="2855">
        <f>IF(J22=0,0,IF(J23=0,0,J22-J23))</f>
        <v>-18</v>
      </c>
      <c r="K24" s="1784"/>
      <c r="L24" s="1784"/>
      <c r="M24" s="2090"/>
      <c r="N24" s="2090"/>
      <c r="O24" s="2090"/>
      <c r="P24" s="2090"/>
      <c r="Q24" s="2090"/>
    </row>
    <row r="25" spans="1:17" s="2072" customFormat="1" ht="20.100000000000001" customHeight="1">
      <c r="A25" s="5988"/>
      <c r="B25" s="2856"/>
      <c r="C25" s="667" t="s">
        <v>751</v>
      </c>
      <c r="D25" s="2854">
        <f>((D22*D23)/100)+D22</f>
        <v>0.70399999999999996</v>
      </c>
      <c r="E25" s="1784"/>
      <c r="F25" s="660" t="s">
        <v>761</v>
      </c>
      <c r="G25" s="2857">
        <f>IF(G22=0,0,IF(ISBLANK(G22),0,(G23/G22)*100))</f>
        <v>10</v>
      </c>
      <c r="H25" s="1784"/>
      <c r="I25" s="660" t="s">
        <v>761</v>
      </c>
      <c r="J25" s="2858">
        <f>IF(J23=0,0,IF(ISBLANK(J23),0,(J24/J23)*100))</f>
        <v>-13.533834586466165</v>
      </c>
      <c r="K25" s="1784"/>
      <c r="L25" s="1784"/>
      <c r="M25" s="2090"/>
      <c r="N25" s="2090"/>
      <c r="O25" s="2090"/>
      <c r="P25" s="2090"/>
      <c r="Q25" s="2090"/>
    </row>
    <row r="26" spans="1:17" s="2072" customFormat="1" ht="20.100000000000001" customHeight="1">
      <c r="A26" s="5988"/>
      <c r="B26" s="2859"/>
      <c r="C26" s="2860"/>
      <c r="D26" s="2861"/>
      <c r="E26" s="2862"/>
      <c r="F26" s="2863"/>
      <c r="G26" s="2864"/>
      <c r="H26" s="2862"/>
      <c r="I26" s="2863"/>
      <c r="J26" s="2865"/>
      <c r="K26" s="1784"/>
      <c r="L26" s="1784"/>
      <c r="M26" s="2090"/>
      <c r="N26" s="2090"/>
      <c r="O26" s="2090"/>
      <c r="P26" s="2090"/>
      <c r="Q26" s="2090"/>
    </row>
    <row r="27" spans="1:17" s="2072" customFormat="1" ht="20.100000000000001" customHeight="1">
      <c r="A27" s="5988"/>
      <c r="B27" s="2844"/>
      <c r="C27" s="2847" t="s">
        <v>749</v>
      </c>
      <c r="D27" s="2846">
        <v>5.8970000000000002</v>
      </c>
      <c r="E27" s="1784"/>
      <c r="F27" s="647" t="s">
        <v>751</v>
      </c>
      <c r="G27" s="2851">
        <v>9.64</v>
      </c>
      <c r="H27" s="1784"/>
      <c r="I27" s="647" t="s">
        <v>751</v>
      </c>
      <c r="J27" s="2848">
        <v>100</v>
      </c>
      <c r="K27" s="1784"/>
      <c r="L27" s="1784"/>
      <c r="M27" s="2090"/>
      <c r="N27" s="2090"/>
      <c r="O27" s="2090"/>
      <c r="P27" s="2090"/>
      <c r="Q27" s="2090"/>
    </row>
    <row r="28" spans="1:17" s="2072" customFormat="1" ht="25.5" customHeight="1">
      <c r="A28" s="5988"/>
      <c r="B28" s="2866"/>
      <c r="C28" s="647" t="s">
        <v>751</v>
      </c>
      <c r="D28" s="2851">
        <v>9.64</v>
      </c>
      <c r="E28" s="1784"/>
      <c r="F28" s="2867" t="s">
        <v>761</v>
      </c>
      <c r="G28" s="2868">
        <v>63.5</v>
      </c>
      <c r="H28" s="1784"/>
      <c r="I28" s="2869" t="s">
        <v>757</v>
      </c>
      <c r="J28" s="2848">
        <v>50</v>
      </c>
      <c r="K28" s="1784"/>
      <c r="L28" s="1784"/>
      <c r="M28" s="2090"/>
      <c r="N28" s="2090"/>
      <c r="O28" s="2090"/>
      <c r="P28" s="2090"/>
      <c r="Q28" s="2090"/>
    </row>
    <row r="29" spans="1:17" s="2072" customFormat="1" ht="20.100000000000001" customHeight="1">
      <c r="A29" s="5988"/>
      <c r="B29" s="2853"/>
      <c r="C29" s="655" t="s">
        <v>757</v>
      </c>
      <c r="D29" s="2854">
        <f>IF(D27=0,0,IF(D28=0,0,D28-D27))</f>
        <v>3.7430000000000003</v>
      </c>
      <c r="E29" s="1784"/>
      <c r="F29" s="655" t="s">
        <v>757</v>
      </c>
      <c r="G29" s="2854">
        <f>G27-G30</f>
        <v>3.7439755351681958</v>
      </c>
      <c r="H29" s="1784"/>
      <c r="I29" s="667" t="s">
        <v>749</v>
      </c>
      <c r="J29" s="2855">
        <f>IF(J27=0,0,IF(ISBLANK(J27),0,J27-J28))</f>
        <v>50</v>
      </c>
      <c r="K29" s="1784"/>
      <c r="L29" s="1784"/>
      <c r="M29" s="2090"/>
      <c r="N29" s="2090"/>
      <c r="O29" s="2090"/>
      <c r="P29" s="2090"/>
      <c r="Q29" s="2090"/>
    </row>
    <row r="30" spans="1:17" s="2072" customFormat="1" ht="20.100000000000001" customHeight="1">
      <c r="A30" s="5988"/>
      <c r="B30" s="2870"/>
      <c r="C30" s="2871" t="s">
        <v>761</v>
      </c>
      <c r="D30" s="2872">
        <f>IF(D27=0,0,IF(ISBLANK(D27),0,(D29/D27)*100))</f>
        <v>63.472952348651859</v>
      </c>
      <c r="E30" s="1784"/>
      <c r="F30" s="2873" t="s">
        <v>749</v>
      </c>
      <c r="G30" s="2874">
        <f>(G27/(100+G28)*100)</f>
        <v>5.8960244648318048</v>
      </c>
      <c r="H30" s="1784"/>
      <c r="I30" s="2871" t="s">
        <v>761</v>
      </c>
      <c r="J30" s="2875">
        <f>IF(J29=0,0,IF(ISBLANK(J28),0,(J28/J29)*100))</f>
        <v>100</v>
      </c>
      <c r="K30" s="1784"/>
      <c r="L30" s="1784"/>
      <c r="M30" s="2090"/>
      <c r="N30" s="2090"/>
      <c r="O30" s="2090"/>
      <c r="P30" s="2090"/>
      <c r="Q30" s="2090"/>
    </row>
    <row r="31" spans="1:17" s="2072" customFormat="1" ht="20.100000000000001" customHeight="1">
      <c r="A31" s="5988"/>
      <c r="B31" s="6596" t="s">
        <v>9233</v>
      </c>
      <c r="C31" s="6597"/>
      <c r="D31" s="6597"/>
      <c r="E31" s="6597"/>
      <c r="F31" s="6597"/>
      <c r="G31" s="6597"/>
      <c r="H31" s="6597"/>
      <c r="I31" s="6597"/>
      <c r="J31" s="6597"/>
      <c r="K31" s="1784"/>
      <c r="L31" s="1784"/>
      <c r="M31" s="2090"/>
      <c r="N31" s="2090"/>
      <c r="O31" s="2090"/>
      <c r="P31" s="2090"/>
      <c r="Q31" s="2090"/>
    </row>
    <row r="32" spans="1:17" s="2072" customFormat="1" ht="15">
      <c r="A32" s="2090"/>
      <c r="B32" s="1981"/>
      <c r="C32" s="1981"/>
      <c r="D32" s="1981"/>
      <c r="E32" s="1981"/>
      <c r="F32" s="1981"/>
      <c r="G32" s="1981"/>
      <c r="H32" s="1784"/>
      <c r="I32" s="2876"/>
      <c r="J32" s="2876"/>
      <c r="K32" s="2877"/>
      <c r="L32" s="2877"/>
      <c r="M32" s="2876"/>
      <c r="N32" s="2090"/>
      <c r="O32" s="2090"/>
      <c r="P32" s="2090"/>
      <c r="Q32" s="2090"/>
    </row>
    <row r="33" spans="1:17" s="2072" customFormat="1" ht="15">
      <c r="A33" s="2090"/>
      <c r="B33" s="1981"/>
      <c r="C33" s="1981"/>
      <c r="D33" s="1981"/>
      <c r="E33" s="1981"/>
      <c r="F33" s="1981"/>
      <c r="G33" s="1981"/>
      <c r="H33" s="1784"/>
      <c r="I33" s="2876"/>
      <c r="J33" s="2876"/>
      <c r="K33" s="2877"/>
      <c r="L33" s="2877"/>
      <c r="M33" s="2876"/>
      <c r="N33" s="2090"/>
      <c r="O33" s="2090"/>
      <c r="P33" s="2090"/>
      <c r="Q33" s="2090"/>
    </row>
    <row r="34" spans="1:17" s="2072" customFormat="1" ht="15">
      <c r="A34" s="2090"/>
      <c r="B34" s="2878">
        <v>15</v>
      </c>
      <c r="C34" s="2878">
        <v>15</v>
      </c>
      <c r="D34" s="2878">
        <v>15</v>
      </c>
      <c r="E34" s="2878">
        <v>15</v>
      </c>
      <c r="F34" s="2878">
        <v>15</v>
      </c>
      <c r="G34" s="2878">
        <v>15</v>
      </c>
      <c r="H34" s="2090"/>
      <c r="I34" s="2090"/>
      <c r="J34" s="2879" t="s">
        <v>9322</v>
      </c>
      <c r="K34" s="2878">
        <v>15</v>
      </c>
      <c r="L34" s="2878">
        <v>15</v>
      </c>
      <c r="M34" s="2878">
        <v>15</v>
      </c>
      <c r="N34" s="2878">
        <v>15</v>
      </c>
      <c r="O34" s="2878">
        <v>15</v>
      </c>
      <c r="P34" s="2878">
        <v>15</v>
      </c>
      <c r="Q34" s="2880" t="s">
        <v>9322</v>
      </c>
    </row>
    <row r="35" spans="1:17" s="2072" customFormat="1" ht="18.75">
      <c r="A35" s="1579" t="s">
        <v>167</v>
      </c>
      <c r="B35" s="2881" t="s">
        <v>9317</v>
      </c>
      <c r="C35" s="2882"/>
      <c r="D35" s="2882"/>
      <c r="E35" s="2882"/>
      <c r="F35" s="2882"/>
      <c r="G35" s="2883" t="s">
        <v>3532</v>
      </c>
      <c r="H35" s="2090"/>
      <c r="I35" s="2090"/>
      <c r="J35" s="1579" t="s">
        <v>167</v>
      </c>
      <c r="K35" s="2884" t="s">
        <v>3531</v>
      </c>
      <c r="L35" s="2882"/>
      <c r="M35" s="2882"/>
      <c r="N35" s="2882"/>
      <c r="O35" s="2882"/>
      <c r="P35" s="2883" t="s">
        <v>3532</v>
      </c>
      <c r="Q35" s="2090"/>
    </row>
    <row r="36" spans="1:17" s="2072" customFormat="1" ht="19.5" customHeight="1">
      <c r="A36" s="6373" t="str">
        <f>B35</f>
        <v>Aide à la décision en Gr</v>
      </c>
      <c r="B36" s="2543" t="str">
        <f>ADDRESS(ROW(),COLUMN(),4)</f>
        <v>B36</v>
      </c>
      <c r="C36" s="1778" t="s">
        <v>3529</v>
      </c>
      <c r="D36" s="2697"/>
      <c r="E36" s="2697"/>
      <c r="F36" s="2697"/>
      <c r="G36" s="2794"/>
      <c r="H36" s="2090"/>
      <c r="I36" s="2090"/>
      <c r="J36" s="6373" t="str">
        <f>K35</f>
        <v>Aide à la décision en Kg</v>
      </c>
      <c r="K36" s="2543" t="str">
        <f>ADDRESS(ROW(),COLUMN(),4)</f>
        <v>K36</v>
      </c>
      <c r="L36" s="1778" t="s">
        <v>3529</v>
      </c>
      <c r="M36" s="2697"/>
      <c r="N36" s="2697"/>
      <c r="O36" s="2697"/>
      <c r="P36" s="2794"/>
      <c r="Q36" s="2090"/>
    </row>
    <row r="37" spans="1:17" s="2072" customFormat="1" ht="19.5" customHeight="1">
      <c r="A37" s="6373"/>
      <c r="B37" s="2885" t="s">
        <v>750</v>
      </c>
      <c r="C37" s="2886">
        <v>1000</v>
      </c>
      <c r="D37" s="2887" t="s">
        <v>750</v>
      </c>
      <c r="E37" s="2886">
        <v>1000</v>
      </c>
      <c r="F37" s="2885" t="s">
        <v>750</v>
      </c>
      <c r="G37" s="2886">
        <v>100</v>
      </c>
      <c r="H37" s="2090"/>
      <c r="I37" s="2090"/>
      <c r="J37" s="6373"/>
      <c r="K37" s="2885" t="s">
        <v>750</v>
      </c>
      <c r="L37" s="2888">
        <v>1</v>
      </c>
      <c r="M37" s="2887" t="s">
        <v>750</v>
      </c>
      <c r="N37" s="2888">
        <v>1</v>
      </c>
      <c r="O37" s="2885" t="s">
        <v>750</v>
      </c>
      <c r="P37" s="2888">
        <v>1</v>
      </c>
      <c r="Q37" s="2090"/>
    </row>
    <row r="38" spans="1:17" s="2072" customFormat="1">
      <c r="A38" s="6373"/>
      <c r="B38" s="2889" t="s">
        <v>748</v>
      </c>
      <c r="C38" s="2890">
        <v>2000</v>
      </c>
      <c r="D38" s="2891" t="s">
        <v>3536</v>
      </c>
      <c r="E38" s="2890">
        <v>327</v>
      </c>
      <c r="F38" s="2889" t="s">
        <v>764</v>
      </c>
      <c r="G38" s="2892">
        <v>40</v>
      </c>
      <c r="H38" s="2090"/>
      <c r="I38" s="2090"/>
      <c r="J38" s="6373"/>
      <c r="K38" s="2889" t="s">
        <v>748</v>
      </c>
      <c r="L38" s="2893">
        <v>2</v>
      </c>
      <c r="M38" s="2891" t="s">
        <v>3536</v>
      </c>
      <c r="N38" s="2893">
        <v>2</v>
      </c>
      <c r="O38" s="2889" t="s">
        <v>764</v>
      </c>
      <c r="P38" s="2892">
        <v>50</v>
      </c>
      <c r="Q38" s="2090"/>
    </row>
    <row r="39" spans="1:17" s="2072" customFormat="1">
      <c r="A39" s="6373"/>
      <c r="B39" s="2894" t="s">
        <v>756</v>
      </c>
      <c r="C39" s="2895">
        <f>IF(C37=0,0,IF(C38=0,0,C38-C37))</f>
        <v>1000</v>
      </c>
      <c r="D39" s="2894" t="s">
        <v>3537</v>
      </c>
      <c r="E39" s="2895">
        <f>IF(E37=0,0,E37+E38)</f>
        <v>1327</v>
      </c>
      <c r="F39" s="2894" t="s">
        <v>756</v>
      </c>
      <c r="G39" s="2896">
        <f>G40*G38%</f>
        <v>66.666666666666671</v>
      </c>
      <c r="H39" s="2090"/>
      <c r="I39" s="2090"/>
      <c r="J39" s="6373"/>
      <c r="K39" s="2894" t="s">
        <v>756</v>
      </c>
      <c r="L39" s="2897">
        <f>IF(L37=0,0,IF(L38=0,0,L38-L37))</f>
        <v>1</v>
      </c>
      <c r="M39" s="2894" t="s">
        <v>3537</v>
      </c>
      <c r="N39" s="2897">
        <f>IF(N37=0,0,N37+N38)</f>
        <v>3</v>
      </c>
      <c r="O39" s="2894" t="s">
        <v>756</v>
      </c>
      <c r="P39" s="2897">
        <f>P40*P38%</f>
        <v>1</v>
      </c>
      <c r="Q39" s="2090"/>
    </row>
    <row r="40" spans="1:17" s="2072" customFormat="1">
      <c r="A40" s="6373"/>
      <c r="B40" s="2898" t="s">
        <v>760</v>
      </c>
      <c r="C40" s="2899">
        <f>IF(C37=0,0,IF(C38=0,0,C39/C38))</f>
        <v>0.5</v>
      </c>
      <c r="D40" s="2898" t="s">
        <v>760</v>
      </c>
      <c r="E40" s="2899">
        <f>IF(E37=0,0,E38/E39)</f>
        <v>0.24642049736247174</v>
      </c>
      <c r="F40" s="2894" t="s">
        <v>3537</v>
      </c>
      <c r="G40" s="2896">
        <f>G37/(100-G38)*100</f>
        <v>166.66666666666669</v>
      </c>
      <c r="H40" s="2090"/>
      <c r="I40" s="2090"/>
      <c r="J40" s="6373"/>
      <c r="K40" s="2898" t="s">
        <v>760</v>
      </c>
      <c r="L40" s="2899">
        <f>IF(L37=0,0,IF(L38=0,0,L39/L38))</f>
        <v>0.5</v>
      </c>
      <c r="M40" s="2898" t="s">
        <v>760</v>
      </c>
      <c r="N40" s="2899">
        <f>IF(N37=0,0,N38/N39)</f>
        <v>0.66666666666666663</v>
      </c>
      <c r="O40" s="2894" t="s">
        <v>3537</v>
      </c>
      <c r="P40" s="2900">
        <f>P37/(100-P38)*100</f>
        <v>2</v>
      </c>
      <c r="Q40" s="2090"/>
    </row>
    <row r="41" spans="1:17" s="2072" customFormat="1">
      <c r="A41" s="6373"/>
      <c r="B41" s="2901" t="s">
        <v>748</v>
      </c>
      <c r="C41" s="2890">
        <v>1780</v>
      </c>
      <c r="D41" s="2902" t="s">
        <v>748</v>
      </c>
      <c r="E41" s="2890">
        <v>2310</v>
      </c>
      <c r="F41" s="2903" t="s">
        <v>748</v>
      </c>
      <c r="G41" s="2904">
        <v>500</v>
      </c>
      <c r="H41" s="2090"/>
      <c r="I41" s="2090"/>
      <c r="J41" s="6373"/>
      <c r="K41" s="2901" t="s">
        <v>748</v>
      </c>
      <c r="L41" s="2905">
        <v>2</v>
      </c>
      <c r="M41" s="2902" t="s">
        <v>748</v>
      </c>
      <c r="N41" s="2906">
        <v>2</v>
      </c>
      <c r="O41" s="2902" t="s">
        <v>748</v>
      </c>
      <c r="P41" s="2905">
        <v>1</v>
      </c>
      <c r="Q41" s="2090"/>
    </row>
    <row r="42" spans="1:17" s="2072" customFormat="1">
      <c r="A42" s="6373"/>
      <c r="B42" s="2885" t="s">
        <v>750</v>
      </c>
      <c r="C42" s="2886">
        <v>1000</v>
      </c>
      <c r="D42" s="2907" t="s">
        <v>3536</v>
      </c>
      <c r="E42" s="2886">
        <v>720</v>
      </c>
      <c r="F42" s="2907" t="s">
        <v>764</v>
      </c>
      <c r="G42" s="2908">
        <v>50</v>
      </c>
      <c r="H42" s="2090"/>
      <c r="I42" s="2090"/>
      <c r="J42" s="6373"/>
      <c r="K42" s="2885" t="s">
        <v>750</v>
      </c>
      <c r="L42" s="2909">
        <v>1</v>
      </c>
      <c r="M42" s="2907" t="s">
        <v>3536</v>
      </c>
      <c r="N42" s="2909">
        <v>1</v>
      </c>
      <c r="O42" s="2907" t="s">
        <v>764</v>
      </c>
      <c r="P42" s="2908">
        <v>50</v>
      </c>
      <c r="Q42" s="2090"/>
    </row>
    <row r="43" spans="1:17" s="2072" customFormat="1">
      <c r="A43" s="6373"/>
      <c r="B43" s="2894" t="s">
        <v>756</v>
      </c>
      <c r="C43" s="2895">
        <f>IF(C41=0,0,IF(C42=0,0,C41-C42))</f>
        <v>780</v>
      </c>
      <c r="D43" s="2894" t="s">
        <v>767</v>
      </c>
      <c r="E43" s="2895">
        <f>IF(E41=0,0,IF(E42=0,0,E41-E42))</f>
        <v>1590</v>
      </c>
      <c r="F43" s="2894" t="s">
        <v>756</v>
      </c>
      <c r="G43" s="2895">
        <f>G41*G42%</f>
        <v>250</v>
      </c>
      <c r="H43" s="2090"/>
      <c r="I43" s="2090"/>
      <c r="J43" s="6373"/>
      <c r="K43" s="2894" t="s">
        <v>756</v>
      </c>
      <c r="L43" s="2897">
        <f>IF(L41=0,0,IF(L42=0,0,L41-L42))</f>
        <v>1</v>
      </c>
      <c r="M43" s="2894" t="s">
        <v>767</v>
      </c>
      <c r="N43" s="2897">
        <f>IF(N41=0,0,IF(N42=0,0,N41-N42))</f>
        <v>1</v>
      </c>
      <c r="O43" s="2894" t="s">
        <v>756</v>
      </c>
      <c r="P43" s="2897">
        <f>P41*P42%</f>
        <v>0.5</v>
      </c>
      <c r="Q43" s="2090"/>
    </row>
    <row r="44" spans="1:17" s="2072" customFormat="1">
      <c r="A44" s="6373"/>
      <c r="B44" s="2898" t="s">
        <v>760</v>
      </c>
      <c r="C44" s="2899">
        <f>IF(C41=0,0,C43/C41)</f>
        <v>0.43820224719101125</v>
      </c>
      <c r="D44" s="2898" t="s">
        <v>760</v>
      </c>
      <c r="E44" s="2899">
        <f>IF(E41=0,0,IF(E42=0,0,E42/E41))</f>
        <v>0.31168831168831168</v>
      </c>
      <c r="F44" s="2898" t="s">
        <v>767</v>
      </c>
      <c r="G44" s="2910">
        <f>G41-G43</f>
        <v>250</v>
      </c>
      <c r="H44" s="2090"/>
      <c r="I44" s="2090"/>
      <c r="J44" s="6373"/>
      <c r="K44" s="2898" t="s">
        <v>760</v>
      </c>
      <c r="L44" s="2899">
        <f>IF(L41=0,0,L43/L41)</f>
        <v>0.5</v>
      </c>
      <c r="M44" s="2898" t="s">
        <v>760</v>
      </c>
      <c r="N44" s="2899">
        <f>IF(N41=0,0,IF(N42=0,0,N42/N41))</f>
        <v>0.5</v>
      </c>
      <c r="O44" s="2898" t="s">
        <v>767</v>
      </c>
      <c r="P44" s="2911">
        <f>P41-P43</f>
        <v>0.5</v>
      </c>
      <c r="Q44" s="2090"/>
    </row>
    <row r="45" spans="1:17" s="2072" customFormat="1" ht="15">
      <c r="A45" s="6373"/>
      <c r="B45" s="6598" t="s">
        <v>9233</v>
      </c>
      <c r="C45" s="6599"/>
      <c r="D45" s="6599"/>
      <c r="E45" s="6599"/>
      <c r="F45" s="6599"/>
      <c r="G45" s="6599"/>
      <c r="H45" s="2090"/>
      <c r="I45" s="2090"/>
      <c r="J45" s="6373"/>
      <c r="K45" s="6598" t="s">
        <v>9233</v>
      </c>
      <c r="L45" s="6599"/>
      <c r="M45" s="6599"/>
      <c r="N45" s="6599"/>
      <c r="O45" s="6599"/>
      <c r="P45" s="6599"/>
      <c r="Q45" s="2090"/>
    </row>
    <row r="46" spans="1:17" s="2072" customFormat="1" ht="15">
      <c r="A46" s="1981"/>
      <c r="B46" s="1981"/>
      <c r="C46" s="1981"/>
      <c r="D46" s="1981"/>
      <c r="E46" s="1981"/>
      <c r="F46" s="1981"/>
      <c r="G46" s="1981"/>
      <c r="H46" s="1784"/>
      <c r="I46" s="2876"/>
      <c r="J46" s="2876"/>
      <c r="K46" s="2877"/>
      <c r="L46" s="2877"/>
      <c r="M46" s="2876"/>
      <c r="N46" s="2876"/>
      <c r="O46" s="2090"/>
      <c r="P46" s="2090"/>
      <c r="Q46" s="1784"/>
    </row>
    <row r="47" spans="1:17" s="2072" customFormat="1">
      <c r="A47" s="2090"/>
      <c r="B47" s="2912"/>
      <c r="C47" s="2090"/>
      <c r="D47" s="2913"/>
      <c r="E47" s="2913"/>
      <c r="F47" s="1981"/>
      <c r="G47" s="1981"/>
      <c r="H47" s="1784"/>
      <c r="I47" s="2090"/>
      <c r="J47" s="2914"/>
      <c r="K47" s="2914"/>
      <c r="L47" s="2914"/>
      <c r="M47" s="2914"/>
      <c r="N47" s="2914"/>
      <c r="O47" s="2090"/>
      <c r="P47" s="2090"/>
      <c r="Q47" s="2090"/>
    </row>
    <row r="48" spans="1:17" s="2072" customFormat="1" ht="16.5" thickBot="1">
      <c r="A48" s="2090"/>
      <c r="B48" s="2912"/>
      <c r="C48" s="2090"/>
      <c r="D48" s="2913" t="s">
        <v>9323</v>
      </c>
      <c r="E48" s="2915"/>
      <c r="F48" s="1981"/>
      <c r="G48" s="1981"/>
      <c r="H48" s="1784"/>
      <c r="I48" s="2090"/>
      <c r="J48" s="2914"/>
      <c r="K48" s="2090"/>
      <c r="L48" s="2090"/>
      <c r="M48" s="2090"/>
      <c r="N48" s="2090"/>
      <c r="O48" s="2915"/>
      <c r="P48" s="2090"/>
      <c r="Q48" s="2090"/>
    </row>
    <row r="49" spans="1:17" s="2072" customFormat="1">
      <c r="A49" s="1579" t="s">
        <v>167</v>
      </c>
      <c r="B49" s="6602" t="s">
        <v>9318</v>
      </c>
      <c r="C49" s="6603"/>
      <c r="D49" s="2916" t="s">
        <v>9318</v>
      </c>
      <c r="E49" s="2914"/>
      <c r="F49" s="1981"/>
      <c r="G49" s="1981"/>
      <c r="H49" s="1784"/>
      <c r="I49" s="2090"/>
      <c r="J49" s="1579" t="s">
        <v>167</v>
      </c>
      <c r="K49" s="6602" t="s">
        <v>9319</v>
      </c>
      <c r="L49" s="6603"/>
      <c r="M49" s="2916" t="s">
        <v>9319</v>
      </c>
      <c r="O49" s="2914"/>
      <c r="P49" s="2090"/>
      <c r="Q49" s="2090"/>
    </row>
    <row r="50" spans="1:17" s="2072" customFormat="1">
      <c r="A50" s="6606" t="str">
        <f>B49</f>
        <v>Pour prendre, par exemple, le 5 % de 87 Kg</v>
      </c>
      <c r="B50" s="6604"/>
      <c r="C50" s="6605"/>
      <c r="D50" s="2914" t="s">
        <v>9324</v>
      </c>
      <c r="E50" s="2914"/>
      <c r="F50" s="1981"/>
      <c r="G50" s="1981"/>
      <c r="H50" s="1784"/>
      <c r="I50" s="2090"/>
      <c r="J50" s="6607" t="str">
        <f>K49</f>
        <v>Pour déduire, par exemple, le 5 % de 87 Kg</v>
      </c>
      <c r="K50" s="6604"/>
      <c r="L50" s="6605"/>
      <c r="M50" s="2914" t="s">
        <v>9325</v>
      </c>
      <c r="O50" s="2913"/>
      <c r="P50" s="2090"/>
      <c r="Q50" s="2090"/>
    </row>
    <row r="51" spans="1:17" s="2072" customFormat="1">
      <c r="A51" s="6606"/>
      <c r="B51" s="2917" t="str">
        <f>ADDRESS(ROW(),COLUMN(),4)</f>
        <v>B51</v>
      </c>
      <c r="C51" s="2918" t="s">
        <v>3529</v>
      </c>
      <c r="D51" s="2914" t="s">
        <v>9326</v>
      </c>
      <c r="E51" s="2914"/>
      <c r="F51" s="1981"/>
      <c r="G51" s="1981"/>
      <c r="H51" s="1784"/>
      <c r="I51" s="2090"/>
      <c r="J51" s="6607"/>
      <c r="K51" s="2917" t="str">
        <f>ADDRESS(ROW(),COLUMN(),4)</f>
        <v>K51</v>
      </c>
      <c r="L51" s="2918" t="s">
        <v>3529</v>
      </c>
      <c r="M51" s="2913" t="s">
        <v>9327</v>
      </c>
      <c r="O51" s="2913"/>
      <c r="P51" s="2090"/>
      <c r="Q51" s="2090"/>
    </row>
    <row r="52" spans="1:17" s="2072" customFormat="1">
      <c r="A52" s="6606"/>
      <c r="B52" s="2919" t="s">
        <v>748</v>
      </c>
      <c r="C52" s="2920">
        <v>87</v>
      </c>
      <c r="D52" s="2913" t="s">
        <v>9328</v>
      </c>
      <c r="E52" s="2913"/>
      <c r="F52" s="1981"/>
      <c r="G52" s="1981"/>
      <c r="H52" s="1784"/>
      <c r="I52" s="2090"/>
      <c r="J52" s="6607"/>
      <c r="K52" s="2919" t="s">
        <v>748</v>
      </c>
      <c r="L52" s="2921">
        <v>87</v>
      </c>
      <c r="M52" s="2914" t="s">
        <v>9329</v>
      </c>
      <c r="O52" s="2914"/>
      <c r="P52" s="2090"/>
      <c r="Q52" s="2090"/>
    </row>
    <row r="53" spans="1:17" s="2072" customFormat="1">
      <c r="A53" s="6606"/>
      <c r="B53" s="2922" t="s">
        <v>764</v>
      </c>
      <c r="C53" s="2923">
        <v>5</v>
      </c>
      <c r="D53" s="2914" t="s">
        <v>9330</v>
      </c>
      <c r="E53" s="2914"/>
      <c r="F53" s="1981"/>
      <c r="G53" s="1981"/>
      <c r="H53" s="1784"/>
      <c r="I53" s="2090"/>
      <c r="J53" s="6607"/>
      <c r="K53" s="2922" t="s">
        <v>764</v>
      </c>
      <c r="L53" s="2923">
        <v>5</v>
      </c>
      <c r="M53" s="2913" t="s">
        <v>9331</v>
      </c>
      <c r="O53" s="2913"/>
      <c r="P53" s="2090"/>
      <c r="Q53" s="2090"/>
    </row>
    <row r="54" spans="1:17" s="2072" customFormat="1">
      <c r="A54" s="6606"/>
      <c r="B54" s="2924" t="s">
        <v>9332</v>
      </c>
      <c r="C54" s="2925">
        <f>C53/100</f>
        <v>0.05</v>
      </c>
      <c r="D54" s="2914" t="s">
        <v>9333</v>
      </c>
      <c r="E54" s="2914"/>
      <c r="F54" s="1981"/>
      <c r="G54" s="1981"/>
      <c r="H54" s="1784"/>
      <c r="I54" s="2090"/>
      <c r="J54" s="6607"/>
      <c r="K54" s="2924" t="s">
        <v>9332</v>
      </c>
      <c r="L54" s="2925">
        <f>(100-L53)/100</f>
        <v>0.95</v>
      </c>
      <c r="M54" s="2914" t="s">
        <v>9334</v>
      </c>
      <c r="O54" s="2914"/>
      <c r="P54" s="2090"/>
      <c r="Q54" s="2090"/>
    </row>
    <row r="55" spans="1:17" s="2072" customFormat="1" ht="16.5" thickBot="1">
      <c r="A55" s="6606"/>
      <c r="B55" s="2926" t="s">
        <v>756</v>
      </c>
      <c r="C55" s="2927">
        <f>C52*C54</f>
        <v>4.3500000000000005</v>
      </c>
      <c r="D55" s="2913" t="s">
        <v>9335</v>
      </c>
      <c r="E55" s="2913"/>
      <c r="F55" s="1981"/>
      <c r="G55" s="1981"/>
      <c r="H55" s="1784"/>
      <c r="I55" s="2090"/>
      <c r="J55" s="6607"/>
      <c r="K55" s="2926" t="s">
        <v>767</v>
      </c>
      <c r="L55" s="2927">
        <f>L52*L54</f>
        <v>82.649999999999991</v>
      </c>
      <c r="M55" s="2914"/>
      <c r="N55" s="2914"/>
      <c r="O55" s="2090"/>
      <c r="P55" s="2090"/>
      <c r="Q55" s="2090"/>
    </row>
    <row r="56" spans="1:17" s="2072" customFormat="1" ht="35.25" customHeight="1" thickBot="1">
      <c r="A56" s="2912"/>
      <c r="B56" s="2912"/>
      <c r="C56" s="2090"/>
      <c r="D56" s="2090"/>
      <c r="F56" s="1981"/>
      <c r="G56" s="1981"/>
      <c r="H56" s="1784"/>
      <c r="I56" s="2876"/>
      <c r="J56" s="2914"/>
      <c r="K56" s="2914"/>
      <c r="L56" s="2914"/>
      <c r="M56" s="2914"/>
      <c r="N56" s="2914"/>
      <c r="O56" s="2090"/>
      <c r="P56" s="2090"/>
      <c r="Q56" s="2090"/>
    </row>
    <row r="57" spans="1:17" s="2072" customFormat="1">
      <c r="A57" s="1579" t="s">
        <v>167</v>
      </c>
      <c r="B57" s="6608" t="s">
        <v>9320</v>
      </c>
      <c r="C57" s="6609"/>
      <c r="D57" s="2914" t="s">
        <v>9320</v>
      </c>
      <c r="E57" s="2090"/>
      <c r="F57" s="1981"/>
      <c r="G57" s="1981"/>
      <c r="H57" s="1784"/>
      <c r="I57" s="2876"/>
      <c r="J57" s="1579" t="s">
        <v>167</v>
      </c>
      <c r="K57" s="6610" t="s">
        <v>9321</v>
      </c>
      <c r="L57" s="6611"/>
      <c r="M57" s="2914" t="s">
        <v>9321</v>
      </c>
      <c r="N57" s="2914"/>
      <c r="O57" s="2090"/>
      <c r="P57" s="2090"/>
      <c r="Q57" s="2090"/>
    </row>
    <row r="58" spans="1:17" s="2072" customFormat="1" ht="15">
      <c r="A58" s="5988" t="str">
        <f>B57</f>
        <v>Pour prendre 20% de 140</v>
      </c>
      <c r="B58" s="6614" t="s">
        <v>9336</v>
      </c>
      <c r="C58" s="6615"/>
      <c r="D58" s="2914" t="s">
        <v>9336</v>
      </c>
      <c r="E58" s="2090"/>
      <c r="F58" s="1981"/>
      <c r="G58" s="1981"/>
      <c r="H58" s="1784"/>
      <c r="I58" s="2876"/>
      <c r="J58" s="6607" t="str">
        <f>K57</f>
        <v xml:space="preserve">Voici la formule pour calculer un pourcentage, </v>
      </c>
      <c r="K58" s="6612"/>
      <c r="L58" s="6613"/>
      <c r="M58" s="2914" t="s">
        <v>9337</v>
      </c>
      <c r="N58" s="2914"/>
      <c r="O58" s="2090"/>
      <c r="P58" s="2090"/>
      <c r="Q58" s="2090"/>
    </row>
    <row r="59" spans="1:17" s="2072" customFormat="1" ht="15">
      <c r="A59" s="5988"/>
      <c r="B59" s="2917" t="str">
        <f>ADDRESS(ROW(),COLUMN(),4)</f>
        <v>B59</v>
      </c>
      <c r="C59" s="2918" t="s">
        <v>3529</v>
      </c>
      <c r="D59" s="2914" t="s">
        <v>9338</v>
      </c>
      <c r="E59" s="2090"/>
      <c r="F59" s="1981"/>
      <c r="G59" s="1981"/>
      <c r="H59" s="1784"/>
      <c r="I59" s="2876"/>
      <c r="J59" s="6607"/>
      <c r="K59" s="2917" t="str">
        <f>ADDRESS(ROW(),COLUMN(),4)</f>
        <v>K59</v>
      </c>
      <c r="L59" s="2918" t="s">
        <v>3529</v>
      </c>
      <c r="M59" s="2914" t="s">
        <v>9339</v>
      </c>
      <c r="N59" s="2914"/>
      <c r="O59" s="2090"/>
      <c r="P59" s="2090"/>
      <c r="Q59" s="2090"/>
    </row>
    <row r="60" spans="1:17" s="2072" customFormat="1">
      <c r="A60" s="5988"/>
      <c r="B60" s="2928" t="s">
        <v>748</v>
      </c>
      <c r="C60" s="2929">
        <v>140</v>
      </c>
      <c r="D60" s="2913" t="s">
        <v>9340</v>
      </c>
      <c r="E60" s="2090"/>
      <c r="F60" s="1981"/>
      <c r="G60" s="1981"/>
      <c r="H60" s="1784"/>
      <c r="I60" s="2876"/>
      <c r="J60" s="6607"/>
      <c r="K60" s="6616" t="s">
        <v>9337</v>
      </c>
      <c r="L60" s="6617"/>
      <c r="M60" s="2914" t="s">
        <v>9341</v>
      </c>
      <c r="N60" s="2914"/>
      <c r="O60" s="2090"/>
      <c r="P60" s="2090"/>
      <c r="Q60" s="2090"/>
    </row>
    <row r="61" spans="1:17" s="2072" customFormat="1">
      <c r="A61" s="5988"/>
      <c r="B61" s="2930" t="s">
        <v>764</v>
      </c>
      <c r="C61" s="2931">
        <v>20</v>
      </c>
      <c r="D61" s="2914" t="s">
        <v>9342</v>
      </c>
      <c r="E61" s="2090"/>
      <c r="F61" s="1981"/>
      <c r="G61" s="1981"/>
      <c r="H61" s="1784"/>
      <c r="I61" s="2876"/>
      <c r="J61" s="6607"/>
      <c r="K61" s="6618" t="s">
        <v>9339</v>
      </c>
      <c r="L61" s="6619"/>
      <c r="M61" s="2914" t="s">
        <v>9343</v>
      </c>
      <c r="N61" s="2914"/>
      <c r="O61" s="2090"/>
      <c r="P61" s="2090"/>
      <c r="Q61" s="2090"/>
    </row>
    <row r="62" spans="1:17" s="2072" customFormat="1">
      <c r="A62" s="5988"/>
      <c r="B62" s="2932" t="s">
        <v>756</v>
      </c>
      <c r="C62" s="2933">
        <f>(C60*C61)/100</f>
        <v>28</v>
      </c>
      <c r="D62" s="2913" t="s">
        <v>9344</v>
      </c>
      <c r="E62" s="2090"/>
      <c r="F62" s="1981"/>
      <c r="G62" s="1981"/>
      <c r="H62" s="1784"/>
      <c r="I62" s="2876"/>
      <c r="J62" s="6607"/>
      <c r="K62" s="2934" t="s">
        <v>748</v>
      </c>
      <c r="L62" s="2935">
        <v>500</v>
      </c>
      <c r="M62" s="2914" t="s">
        <v>9345</v>
      </c>
      <c r="N62" s="2914"/>
      <c r="O62" s="2090"/>
      <c r="P62" s="2090"/>
      <c r="Q62" s="2090"/>
    </row>
    <row r="63" spans="1:17" s="2072" customFormat="1">
      <c r="A63" s="5988"/>
      <c r="B63" s="2932" t="s">
        <v>9332</v>
      </c>
      <c r="C63" s="2936">
        <f>C61/100</f>
        <v>0.2</v>
      </c>
      <c r="D63" s="2914" t="s">
        <v>9346</v>
      </c>
      <c r="E63" s="2090"/>
      <c r="F63" s="1981"/>
      <c r="G63" s="1981"/>
      <c r="H63" s="1784"/>
      <c r="I63" s="2876"/>
      <c r="J63" s="6607"/>
      <c r="K63" s="2937" t="s">
        <v>764</v>
      </c>
      <c r="L63" s="2938">
        <v>8</v>
      </c>
      <c r="M63" s="2090"/>
      <c r="N63" s="2914"/>
      <c r="O63" s="2090"/>
      <c r="P63" s="2090"/>
      <c r="Q63" s="2090"/>
    </row>
    <row r="64" spans="1:17" s="2072" customFormat="1">
      <c r="A64" s="5988"/>
      <c r="B64" s="2924" t="s">
        <v>756</v>
      </c>
      <c r="C64" s="2939">
        <f>C60*C63</f>
        <v>28</v>
      </c>
      <c r="D64" s="2913" t="s">
        <v>9347</v>
      </c>
      <c r="E64" s="2090"/>
      <c r="F64" s="1981"/>
      <c r="G64" s="1981"/>
      <c r="H64" s="1784"/>
      <c r="I64" s="2876"/>
      <c r="J64" s="6607"/>
      <c r="K64" s="2924" t="s">
        <v>756</v>
      </c>
      <c r="L64" s="2939">
        <f>L62*(L63/100)</f>
        <v>40</v>
      </c>
      <c r="M64" s="2090"/>
      <c r="N64" s="2914"/>
      <c r="O64" s="2090"/>
      <c r="P64" s="2090"/>
      <c r="Q64" s="2090"/>
    </row>
    <row r="65" spans="1:17" s="2072" customFormat="1">
      <c r="A65" s="5988"/>
      <c r="B65" s="6620" t="s">
        <v>9340</v>
      </c>
      <c r="C65" s="6621"/>
      <c r="D65" s="2090"/>
      <c r="E65" s="2090"/>
      <c r="F65" s="1981"/>
      <c r="G65" s="1981"/>
      <c r="H65" s="1784"/>
      <c r="I65" s="2876"/>
      <c r="J65" s="6607"/>
      <c r="K65" s="6622" t="s">
        <v>9341</v>
      </c>
      <c r="L65" s="6623"/>
      <c r="M65" s="2090"/>
      <c r="N65" s="2914"/>
      <c r="O65" s="2090"/>
      <c r="P65" s="2090"/>
      <c r="Q65" s="2090"/>
    </row>
    <row r="66" spans="1:17" s="2072" customFormat="1" ht="15">
      <c r="A66" s="5988"/>
      <c r="B66" s="6624" t="s">
        <v>9342</v>
      </c>
      <c r="C66" s="6625"/>
      <c r="D66" s="2090"/>
      <c r="E66" s="2090"/>
      <c r="F66" s="1981"/>
      <c r="G66" s="1981"/>
      <c r="H66" s="1784"/>
      <c r="I66" s="2876"/>
      <c r="J66" s="6607"/>
      <c r="K66" s="6618" t="s">
        <v>9343</v>
      </c>
      <c r="L66" s="6619"/>
      <c r="M66" s="2090"/>
      <c r="N66" s="2914"/>
      <c r="O66" s="2090"/>
      <c r="P66" s="2090"/>
      <c r="Q66" s="2090"/>
    </row>
    <row r="67" spans="1:17" s="2072" customFormat="1" ht="16.5" thickBot="1">
      <c r="A67" s="5988"/>
      <c r="B67" s="2940">
        <f>C63</f>
        <v>0.2</v>
      </c>
      <c r="C67" s="2941">
        <f>C60*B67</f>
        <v>28</v>
      </c>
      <c r="D67" s="2090"/>
      <c r="E67" s="2090"/>
      <c r="F67" s="1981"/>
      <c r="G67" s="1981"/>
      <c r="H67" s="1784"/>
      <c r="I67" s="2876"/>
      <c r="J67" s="6607"/>
      <c r="K67" s="2942">
        <f>L63/100</f>
        <v>0.08</v>
      </c>
      <c r="L67" s="2943">
        <f>L62*K67</f>
        <v>40</v>
      </c>
      <c r="M67" s="2914"/>
      <c r="N67" s="2914"/>
      <c r="O67" s="2090"/>
      <c r="P67" s="2090"/>
      <c r="Q67" s="2090"/>
    </row>
    <row r="68" spans="1:17" s="2072" customFormat="1" ht="15">
      <c r="A68" s="5988"/>
      <c r="B68" s="6600" t="s">
        <v>9344</v>
      </c>
      <c r="C68" s="6601"/>
      <c r="D68" s="2090"/>
      <c r="E68" s="2090"/>
      <c r="F68" s="1981"/>
      <c r="G68" s="1981"/>
      <c r="H68" s="1784"/>
      <c r="I68" s="2876"/>
      <c r="J68" s="2914"/>
      <c r="K68" s="2090"/>
      <c r="L68" s="2090"/>
      <c r="M68" s="2914"/>
      <c r="N68" s="2914"/>
      <c r="O68" s="2090"/>
      <c r="P68" s="2090"/>
      <c r="Q68" s="2090"/>
    </row>
    <row r="69" spans="1:17" s="2072" customFormat="1" ht="15.75" customHeight="1">
      <c r="A69" s="5988"/>
      <c r="B69" s="2128" t="s">
        <v>9346</v>
      </c>
      <c r="C69" s="2127"/>
      <c r="D69" s="2090"/>
      <c r="E69" s="2090"/>
      <c r="F69" s="2090"/>
      <c r="G69" s="1981"/>
      <c r="H69" s="1784"/>
      <c r="I69" s="2876"/>
      <c r="J69" s="2876"/>
      <c r="K69" s="2090"/>
      <c r="L69" s="2090"/>
      <c r="M69" s="2876"/>
      <c r="N69" s="2876"/>
      <c r="O69" s="2090"/>
      <c r="P69" s="2090"/>
      <c r="Q69" s="2090"/>
    </row>
    <row r="70" spans="1:17" s="2072" customFormat="1" ht="15">
      <c r="A70" s="5988"/>
      <c r="B70" s="2937" t="s">
        <v>764</v>
      </c>
      <c r="C70" s="2938">
        <v>40</v>
      </c>
      <c r="D70" s="2090"/>
      <c r="E70" s="2090"/>
      <c r="F70" s="2090"/>
      <c r="G70" s="1981"/>
      <c r="H70" s="1784"/>
      <c r="I70" s="2876"/>
      <c r="J70" s="2876"/>
      <c r="K70" s="2090"/>
      <c r="L70" s="2090"/>
      <c r="M70" s="2876"/>
      <c r="N70" s="2876"/>
      <c r="O70" s="2090"/>
      <c r="P70" s="2090"/>
      <c r="Q70" s="2090"/>
    </row>
    <row r="71" spans="1:17" s="2072" customFormat="1">
      <c r="A71" s="5988"/>
      <c r="B71" s="2940">
        <f>C70/100</f>
        <v>0.4</v>
      </c>
      <c r="C71" s="2941">
        <f>C60*B71</f>
        <v>56</v>
      </c>
      <c r="D71" s="2090"/>
      <c r="E71" s="2090"/>
      <c r="F71" s="2090"/>
      <c r="G71" s="1981"/>
      <c r="H71" s="1784"/>
      <c r="I71" s="2876"/>
      <c r="J71" s="2876"/>
      <c r="K71" s="2090"/>
      <c r="L71" s="2090"/>
      <c r="M71" s="2876"/>
      <c r="N71" s="2876"/>
      <c r="O71" s="2090"/>
      <c r="P71" s="2090"/>
      <c r="Q71" s="2090"/>
    </row>
    <row r="72" spans="1:17" s="2072" customFormat="1" ht="15">
      <c r="A72" s="5988"/>
      <c r="B72" s="2937" t="s">
        <v>764</v>
      </c>
      <c r="C72" s="2938">
        <v>90</v>
      </c>
      <c r="D72" s="2090"/>
      <c r="E72" s="2090"/>
      <c r="F72" s="2090"/>
      <c r="G72" s="1981"/>
      <c r="H72" s="1784"/>
      <c r="I72" s="2876"/>
      <c r="J72" s="2876"/>
      <c r="K72" s="2090"/>
      <c r="L72" s="2090"/>
      <c r="M72" s="2876"/>
      <c r="N72" s="2876"/>
      <c r="O72" s="2090"/>
      <c r="P72" s="2090"/>
      <c r="Q72" s="2090"/>
    </row>
    <row r="73" spans="1:17" s="2072" customFormat="1" ht="15">
      <c r="A73" s="5988"/>
      <c r="B73" s="6624" t="s">
        <v>9347</v>
      </c>
      <c r="C73" s="6625"/>
      <c r="D73" s="2090"/>
      <c r="E73" s="2090"/>
      <c r="F73" s="2090"/>
      <c r="G73" s="1981"/>
      <c r="H73" s="1784"/>
      <c r="I73" s="2876"/>
      <c r="J73" s="2876"/>
      <c r="K73" s="2090"/>
      <c r="L73" s="2090"/>
      <c r="M73" s="2876"/>
      <c r="N73" s="2876"/>
      <c r="O73" s="2090"/>
      <c r="P73" s="2090"/>
      <c r="Q73" s="2090"/>
    </row>
    <row r="74" spans="1:17" s="2072" customFormat="1" ht="16.5" thickBot="1">
      <c r="A74" s="5988"/>
      <c r="B74" s="2944">
        <f>C72/100</f>
        <v>0.9</v>
      </c>
      <c r="C74" s="2943">
        <f>C60*B74</f>
        <v>126</v>
      </c>
      <c r="D74" s="2090"/>
      <c r="E74" s="2090"/>
      <c r="F74" s="2090"/>
      <c r="G74" s="1981"/>
      <c r="H74" s="1784"/>
      <c r="I74" s="2876"/>
      <c r="J74" s="2876"/>
      <c r="K74" s="2090"/>
      <c r="L74" s="2090"/>
      <c r="M74" s="2876"/>
      <c r="N74" s="2876"/>
      <c r="O74" s="2090"/>
      <c r="P74" s="2090"/>
      <c r="Q74" s="2090"/>
    </row>
    <row r="75" spans="1:17" s="2072" customFormat="1" ht="15">
      <c r="A75" s="1981"/>
      <c r="B75" s="1981"/>
      <c r="C75" s="1981"/>
      <c r="D75" s="1981"/>
      <c r="E75" s="1981"/>
      <c r="F75" s="1981"/>
      <c r="G75" s="1981"/>
      <c r="H75" s="1784"/>
      <c r="I75" s="2876"/>
      <c r="J75" s="2876"/>
      <c r="K75" s="2877"/>
      <c r="L75" s="2877"/>
      <c r="M75" s="2876"/>
      <c r="N75" s="2876"/>
      <c r="O75" s="2090"/>
      <c r="P75" s="2090"/>
      <c r="Q75" s="1784"/>
    </row>
    <row r="76" spans="1:17" s="2072" customFormat="1" ht="33.75">
      <c r="A76" s="2070">
        <f>(ROW())</f>
        <v>76</v>
      </c>
      <c r="B76" s="6595" t="s">
        <v>9348</v>
      </c>
      <c r="C76" s="6595"/>
      <c r="D76" s="6595"/>
      <c r="E76" s="6595"/>
      <c r="F76" s="6595"/>
      <c r="G76" s="6595"/>
      <c r="H76" s="6595"/>
      <c r="I76" s="6595"/>
      <c r="J76" s="6595"/>
      <c r="K76" s="6595"/>
      <c r="L76" s="6595"/>
      <c r="M76" s="6595"/>
      <c r="N76" s="6595"/>
      <c r="O76" s="6595"/>
      <c r="P76" s="6595"/>
      <c r="Q76" s="6595"/>
    </row>
    <row r="77" spans="1:17" s="2072" customFormat="1" ht="15">
      <c r="A77" s="2090"/>
      <c r="B77" s="1981"/>
      <c r="C77" s="1981"/>
      <c r="D77" s="1981"/>
      <c r="E77" s="1981"/>
      <c r="F77" s="1981"/>
      <c r="G77" s="1981"/>
      <c r="H77" s="1784"/>
      <c r="I77" s="2876"/>
      <c r="J77" s="2876"/>
      <c r="K77" s="2877"/>
      <c r="L77" s="2877"/>
      <c r="M77" s="2876"/>
      <c r="N77" s="2876"/>
      <c r="O77" s="2090"/>
      <c r="P77" s="2090"/>
      <c r="Q77" s="1784"/>
    </row>
    <row r="78" spans="1:17" s="2072" customFormat="1" ht="15">
      <c r="A78" s="2090"/>
      <c r="B78" s="1981"/>
      <c r="C78" s="1981"/>
      <c r="D78" s="1981"/>
      <c r="E78" s="1981"/>
      <c r="F78" s="1981"/>
      <c r="G78" s="1981"/>
      <c r="H78" s="1784"/>
      <c r="I78" s="2876"/>
      <c r="J78" s="2876"/>
      <c r="K78" s="2877"/>
      <c r="L78" s="2877"/>
      <c r="M78" s="2876"/>
      <c r="N78" s="2876"/>
      <c r="O78" s="2090"/>
      <c r="P78" s="2090"/>
      <c r="Q78" s="1784"/>
    </row>
    <row r="79" spans="1:17" s="2072" customFormat="1" ht="21">
      <c r="A79" s="2090"/>
      <c r="B79" s="1981"/>
      <c r="C79" s="2092" t="s">
        <v>9349</v>
      </c>
      <c r="D79" s="2092"/>
      <c r="E79" s="1784"/>
      <c r="F79" s="1784"/>
      <c r="G79" s="1784"/>
      <c r="H79" s="1784"/>
      <c r="I79" s="2876"/>
      <c r="J79" s="2092" t="s">
        <v>3533</v>
      </c>
      <c r="K79" s="2092"/>
      <c r="L79" s="1784"/>
      <c r="M79" s="2092"/>
      <c r="N79" s="2092"/>
      <c r="O79" s="1784"/>
      <c r="P79" s="2092"/>
      <c r="Q79" s="1784"/>
    </row>
    <row r="80" spans="1:17" s="2072" customFormat="1" ht="21">
      <c r="A80" s="2090"/>
      <c r="B80" s="1981"/>
      <c r="C80" s="2097" t="str">
        <f>B109</f>
        <v>B109</v>
      </c>
      <c r="D80" s="2841" t="s">
        <v>3529</v>
      </c>
      <c r="E80" s="2104"/>
      <c r="F80" s="2914"/>
      <c r="G80" s="2090"/>
      <c r="H80" s="1784"/>
      <c r="I80" s="2876"/>
      <c r="J80" s="2097" t="str">
        <f>J109</f>
        <v>J109</v>
      </c>
      <c r="K80" s="2841" t="s">
        <v>3529</v>
      </c>
      <c r="L80" s="2099"/>
      <c r="M80" s="2099"/>
      <c r="N80" s="2099"/>
      <c r="O80" s="2099"/>
      <c r="P80" s="2099"/>
      <c r="Q80" s="1784"/>
    </row>
    <row r="81" spans="1:17" s="2072" customFormat="1" ht="15">
      <c r="A81" s="2090"/>
      <c r="B81" s="1981"/>
      <c r="C81" s="1981"/>
      <c r="D81" s="1981"/>
      <c r="E81" s="1981"/>
      <c r="F81" s="1981"/>
      <c r="G81" s="1981"/>
      <c r="H81" s="1784"/>
      <c r="I81" s="2876"/>
      <c r="J81" s="2876"/>
      <c r="K81" s="2877"/>
      <c r="L81" s="2877"/>
      <c r="M81" s="2876"/>
      <c r="N81" s="2876"/>
      <c r="O81" s="2090"/>
      <c r="P81" s="2090"/>
      <c r="Q81" s="1784"/>
    </row>
    <row r="82" spans="1:17" s="2072" customFormat="1" ht="15">
      <c r="A82" s="2090"/>
      <c r="B82" s="1981"/>
      <c r="C82" s="1981"/>
      <c r="D82" s="1981"/>
      <c r="E82" s="1981"/>
      <c r="F82" s="1981"/>
      <c r="G82" s="1981"/>
      <c r="H82" s="1784"/>
      <c r="I82" s="2876"/>
      <c r="J82" s="2876"/>
      <c r="K82" s="2877"/>
      <c r="L82" s="2877"/>
      <c r="M82" s="2876"/>
      <c r="N82" s="2876"/>
      <c r="O82" s="2090"/>
      <c r="P82" s="2090"/>
      <c r="Q82" s="1784"/>
    </row>
    <row r="83" spans="1:17" s="2072" customFormat="1" ht="15">
      <c r="A83" s="2090"/>
      <c r="B83" s="1981"/>
      <c r="C83" s="1981"/>
      <c r="D83" s="1981"/>
      <c r="E83" s="1981"/>
      <c r="F83" s="1981"/>
      <c r="G83" s="1981"/>
      <c r="H83" s="1784"/>
      <c r="I83" s="2876"/>
      <c r="J83" s="2090"/>
      <c r="K83" s="2090"/>
      <c r="L83" s="2090"/>
      <c r="M83" s="2090"/>
      <c r="N83" s="2090"/>
      <c r="O83" s="2090"/>
      <c r="P83" s="2090"/>
      <c r="Q83" s="1784"/>
    </row>
    <row r="84" spans="1:17" s="2072" customFormat="1" ht="15">
      <c r="A84" s="2090"/>
      <c r="B84" s="1981"/>
      <c r="C84" s="1981"/>
      <c r="D84" s="1981"/>
      <c r="E84" s="1981"/>
      <c r="F84" s="1981"/>
      <c r="G84" s="1981"/>
      <c r="H84" s="1784"/>
      <c r="I84" s="2876"/>
      <c r="J84" s="2090"/>
      <c r="K84" s="2090"/>
      <c r="L84" s="2090"/>
      <c r="M84" s="2090"/>
      <c r="N84" s="2090"/>
      <c r="O84" s="2090"/>
      <c r="P84" s="2090"/>
      <c r="Q84" s="1784"/>
    </row>
    <row r="85" spans="1:17" s="2072" customFormat="1" ht="15">
      <c r="A85" s="2090"/>
      <c r="B85" s="1981"/>
      <c r="C85" s="1981"/>
      <c r="D85" s="1981"/>
      <c r="E85" s="1981"/>
      <c r="F85" s="1981"/>
      <c r="G85" s="1981"/>
      <c r="H85" s="1784"/>
      <c r="I85" s="2876"/>
      <c r="J85" s="2090"/>
      <c r="K85" s="2090"/>
      <c r="L85" s="2090"/>
      <c r="M85" s="2090"/>
      <c r="N85" s="2090"/>
      <c r="O85" s="2090"/>
      <c r="P85" s="2090"/>
      <c r="Q85" s="1784"/>
    </row>
    <row r="86" spans="1:17" s="2072" customFormat="1" ht="15">
      <c r="A86" s="2090"/>
      <c r="B86" s="1981"/>
      <c r="C86" s="1981"/>
      <c r="D86" s="1981"/>
      <c r="E86" s="1981"/>
      <c r="F86" s="1981"/>
      <c r="G86" s="1981"/>
      <c r="H86" s="1784"/>
      <c r="I86" s="2876"/>
      <c r="J86" s="2090"/>
      <c r="K86" s="2090"/>
      <c r="L86" s="2090"/>
      <c r="M86" s="2090"/>
      <c r="N86" s="2090"/>
      <c r="O86" s="2090"/>
      <c r="P86" s="2090"/>
      <c r="Q86" s="1784"/>
    </row>
    <row r="87" spans="1:17" s="2072" customFormat="1" ht="15">
      <c r="A87" s="2090"/>
      <c r="B87" s="1981"/>
      <c r="C87" s="1981"/>
      <c r="D87" s="1981"/>
      <c r="E87" s="1981"/>
      <c r="F87" s="1981"/>
      <c r="G87" s="1981"/>
      <c r="H87" s="1784"/>
      <c r="I87" s="2876"/>
      <c r="J87" s="2090"/>
      <c r="K87" s="2090"/>
      <c r="L87" s="2090"/>
      <c r="M87" s="2090"/>
      <c r="N87" s="2090"/>
      <c r="O87" s="2090"/>
      <c r="P87" s="2090"/>
      <c r="Q87" s="1784"/>
    </row>
    <row r="88" spans="1:17" s="2072" customFormat="1" ht="15">
      <c r="A88" s="2090"/>
      <c r="B88" s="1981"/>
      <c r="C88" s="1981"/>
      <c r="D88" s="1981"/>
      <c r="E88" s="1981"/>
      <c r="F88" s="1981"/>
      <c r="G88" s="1981"/>
      <c r="H88" s="1784"/>
      <c r="I88" s="2876"/>
      <c r="J88" s="2090"/>
      <c r="K88" s="2090"/>
      <c r="L88" s="2090"/>
      <c r="M88" s="2090"/>
      <c r="N88" s="2090"/>
      <c r="O88" s="2090"/>
      <c r="P88" s="2090"/>
      <c r="Q88" s="1784"/>
    </row>
    <row r="89" spans="1:17" s="2072" customFormat="1" ht="15">
      <c r="A89" s="2090"/>
      <c r="B89" s="1981"/>
      <c r="C89" s="1981"/>
      <c r="D89" s="1981"/>
      <c r="E89" s="1981"/>
      <c r="F89" s="1981"/>
      <c r="G89" s="1981"/>
      <c r="H89" s="1784"/>
      <c r="I89" s="2876"/>
      <c r="J89" s="2090"/>
      <c r="K89" s="2090"/>
      <c r="L89" s="2090"/>
      <c r="M89" s="2090"/>
      <c r="N89" s="2090"/>
      <c r="O89" s="2090"/>
      <c r="P89" s="2090"/>
      <c r="Q89" s="1784"/>
    </row>
    <row r="90" spans="1:17" s="2072" customFormat="1">
      <c r="A90" s="2090"/>
      <c r="B90" s="2945" t="s">
        <v>9350</v>
      </c>
      <c r="C90" s="1981"/>
      <c r="D90" s="1981"/>
      <c r="E90" s="1981"/>
      <c r="F90" s="1981"/>
      <c r="G90" s="1981"/>
      <c r="H90" s="1784"/>
      <c r="I90" s="2876"/>
      <c r="J90" s="2090"/>
      <c r="K90" s="2090"/>
      <c r="L90" s="2090"/>
      <c r="M90" s="2090"/>
      <c r="N90" s="2090"/>
      <c r="O90" s="2090"/>
      <c r="P90" s="2090"/>
      <c r="Q90" s="1784"/>
    </row>
    <row r="91" spans="1:17" s="2072" customFormat="1">
      <c r="A91" s="2090"/>
      <c r="B91" s="2945" t="s">
        <v>9351</v>
      </c>
      <c r="C91" s="1981"/>
      <c r="D91" s="1981"/>
      <c r="E91" s="1981"/>
      <c r="F91" s="1981"/>
      <c r="G91" s="1981"/>
      <c r="H91" s="1784"/>
      <c r="I91" s="2876"/>
      <c r="J91" s="2090"/>
      <c r="K91" s="2090"/>
      <c r="L91" s="2090"/>
      <c r="M91" s="2090"/>
      <c r="N91" s="2090"/>
      <c r="O91" s="2090"/>
      <c r="P91" s="2090"/>
      <c r="Q91" s="1784"/>
    </row>
    <row r="92" spans="1:17" s="2072" customFormat="1" ht="15">
      <c r="A92" s="2090"/>
      <c r="B92" s="1981"/>
      <c r="C92" s="1981"/>
      <c r="D92" s="1981"/>
      <c r="E92" s="1981"/>
      <c r="F92" s="1981"/>
      <c r="G92" s="1981"/>
      <c r="H92" s="1784"/>
      <c r="I92" s="2876"/>
      <c r="J92" s="2090"/>
      <c r="K92" s="2090"/>
      <c r="L92" s="2090"/>
      <c r="M92" s="2090"/>
      <c r="N92" s="2090"/>
      <c r="O92" s="2090"/>
      <c r="P92" s="2090"/>
      <c r="Q92" s="1784"/>
    </row>
    <row r="93" spans="1:17" s="2072" customFormat="1" ht="18.75">
      <c r="A93" s="2090"/>
      <c r="B93" s="2946" t="s">
        <v>9352</v>
      </c>
      <c r="C93" s="2090"/>
      <c r="D93" s="2090"/>
      <c r="E93" s="2090"/>
      <c r="F93" s="1981"/>
      <c r="G93" s="1981"/>
      <c r="H93" s="1784"/>
      <c r="I93" s="2876"/>
      <c r="J93" s="2090"/>
      <c r="K93" s="2090"/>
      <c r="L93" s="2090"/>
      <c r="M93" s="2090"/>
      <c r="N93" s="2090"/>
      <c r="O93" s="2090"/>
      <c r="P93" s="2090"/>
      <c r="Q93" s="1784"/>
    </row>
    <row r="94" spans="1:17" s="2072" customFormat="1" ht="15">
      <c r="A94" s="2090"/>
      <c r="C94" s="2090"/>
      <c r="D94" s="2090"/>
      <c r="E94" s="2090"/>
      <c r="F94" s="1981"/>
      <c r="G94" s="1981"/>
      <c r="H94" s="1784"/>
      <c r="I94" s="2876"/>
      <c r="J94" s="2876"/>
      <c r="K94" s="2877"/>
      <c r="L94" s="2877"/>
      <c r="M94" s="2876"/>
      <c r="N94" s="2876"/>
      <c r="O94" s="2090"/>
      <c r="P94" s="2090"/>
      <c r="Q94" s="1784"/>
    </row>
    <row r="95" spans="1:17" s="2072" customFormat="1" ht="18.75">
      <c r="A95" s="2090"/>
      <c r="B95" s="2947" t="s">
        <v>9023</v>
      </c>
      <c r="C95" s="6627" t="s">
        <v>9353</v>
      </c>
      <c r="D95" s="6628"/>
      <c r="E95" s="6628"/>
      <c r="F95" s="6628"/>
      <c r="G95" s="6628"/>
      <c r="H95" s="6628"/>
      <c r="I95" s="6628"/>
      <c r="J95" s="6628"/>
      <c r="K95" s="6628"/>
      <c r="L95" s="6628"/>
      <c r="M95" s="2876"/>
      <c r="N95" s="2876"/>
      <c r="O95" s="2090"/>
      <c r="P95" s="2090"/>
      <c r="Q95" s="1784"/>
    </row>
    <row r="96" spans="1:17" s="2072" customFormat="1" ht="31.5" customHeight="1">
      <c r="A96" s="2090"/>
      <c r="B96" s="2945"/>
      <c r="C96" s="2914"/>
      <c r="D96" s="2914"/>
      <c r="E96" s="2914"/>
      <c r="F96" s="1981"/>
      <c r="G96" s="1981"/>
      <c r="H96" s="1784"/>
      <c r="I96" s="2876"/>
      <c r="J96" s="507"/>
      <c r="K96" s="2877"/>
      <c r="M96" s="2090"/>
      <c r="N96" s="2090"/>
      <c r="O96" s="2090"/>
      <c r="P96" s="2090"/>
      <c r="Q96" s="1784"/>
    </row>
    <row r="97" spans="1:17" s="2072" customFormat="1" ht="16.5" customHeight="1">
      <c r="A97" s="2090"/>
      <c r="B97" s="2948" t="s">
        <v>9354</v>
      </c>
      <c r="C97" s="2949"/>
      <c r="D97" s="2949"/>
      <c r="E97" s="2950"/>
      <c r="F97" s="2950"/>
      <c r="G97" s="1981"/>
      <c r="H97" s="1784"/>
      <c r="I97" s="2876"/>
      <c r="J97" s="2951"/>
      <c r="K97" s="2877"/>
      <c r="L97" s="2877"/>
      <c r="M97" s="2090"/>
      <c r="N97" s="2090"/>
      <c r="O97" s="2090"/>
      <c r="P97" s="2090"/>
      <c r="Q97" s="1784"/>
    </row>
    <row r="98" spans="1:17" s="2072" customFormat="1" ht="15">
      <c r="A98" s="2090"/>
      <c r="B98" s="2876"/>
      <c r="C98" s="2877"/>
      <c r="D98" s="2877"/>
      <c r="E98" s="2876"/>
      <c r="F98" s="2876"/>
      <c r="G98" s="2090"/>
      <c r="H98" s="2090"/>
      <c r="I98" s="2876"/>
      <c r="J98" s="2914"/>
      <c r="K98" s="2914"/>
      <c r="L98" s="2877"/>
      <c r="M98" s="2090"/>
      <c r="N98" s="2090"/>
      <c r="O98" s="2090"/>
      <c r="P98" s="2090"/>
      <c r="Q98" s="1784"/>
    </row>
    <row r="99" spans="1:17" s="2072" customFormat="1" ht="21">
      <c r="A99" s="2090"/>
      <c r="B99" s="2952" t="s">
        <v>9355</v>
      </c>
      <c r="C99" s="2090"/>
      <c r="D99" s="2090"/>
      <c r="E99" s="2090"/>
      <c r="F99" s="2090"/>
      <c r="G99" s="2090"/>
      <c r="H99" s="2090"/>
      <c r="I99" s="2876"/>
      <c r="J99" s="2090"/>
      <c r="K99" s="2914"/>
      <c r="L99" s="2877"/>
      <c r="M99" s="2090"/>
      <c r="N99" s="2090"/>
      <c r="O99" s="2090"/>
      <c r="P99" s="2090"/>
      <c r="Q99" s="1784"/>
    </row>
    <row r="100" spans="1:17" s="2072" customFormat="1" ht="15.75" customHeight="1">
      <c r="A100" s="2090"/>
      <c r="B100" s="6629" t="s">
        <v>9356</v>
      </c>
      <c r="C100" s="6629"/>
      <c r="D100" s="6629"/>
      <c r="E100" s="6629"/>
      <c r="F100" s="6629"/>
      <c r="G100" s="2090"/>
      <c r="H100" s="2090"/>
      <c r="I100" s="2876"/>
      <c r="J100" s="2090"/>
      <c r="K100" s="2914"/>
      <c r="L100" s="2877"/>
      <c r="M100" s="2090"/>
      <c r="N100" s="2090"/>
      <c r="O100" s="2090"/>
      <c r="P100" s="2090"/>
      <c r="Q100" s="2090"/>
    </row>
    <row r="101" spans="1:17" s="2072" customFormat="1" ht="21" customHeight="1">
      <c r="A101" s="2090"/>
      <c r="B101" s="2947" t="s">
        <v>9023</v>
      </c>
      <c r="C101" s="6628" t="s">
        <v>9357</v>
      </c>
      <c r="D101" s="6628"/>
      <c r="E101" s="6628"/>
      <c r="F101" s="6628"/>
      <c r="G101" s="6628"/>
      <c r="H101" s="6628"/>
      <c r="I101" s="2876"/>
      <c r="J101" s="2090"/>
      <c r="K101" s="2914"/>
      <c r="L101" s="2877"/>
      <c r="M101" s="2090"/>
      <c r="N101" s="2090"/>
      <c r="O101" s="2090"/>
      <c r="P101" s="2090"/>
      <c r="Q101" s="2090"/>
    </row>
    <row r="102" spans="1:17" s="2072" customFormat="1" ht="21">
      <c r="A102" s="2090"/>
      <c r="B102" s="2953"/>
      <c r="C102" s="6627" t="s">
        <v>9358</v>
      </c>
      <c r="D102" s="6627"/>
      <c r="E102" s="6627"/>
      <c r="F102" s="6627"/>
      <c r="G102" s="6627"/>
      <c r="H102" s="2954"/>
      <c r="I102" s="2876"/>
      <c r="J102" s="2090"/>
      <c r="K102" s="2090"/>
      <c r="L102" s="2090"/>
      <c r="M102" s="2090"/>
      <c r="N102" s="2090"/>
      <c r="O102" s="2090"/>
      <c r="P102" s="2090"/>
      <c r="Q102" s="2090"/>
    </row>
    <row r="103" spans="1:17" s="2072" customFormat="1" ht="21">
      <c r="A103" s="2090"/>
      <c r="B103" s="2953"/>
      <c r="C103" s="6628" t="s">
        <v>9359</v>
      </c>
      <c r="D103" s="6628"/>
      <c r="E103" s="6628"/>
      <c r="F103" s="6628"/>
      <c r="G103" s="6628"/>
      <c r="H103" s="6628"/>
      <c r="I103" s="2876"/>
      <c r="J103" s="2090"/>
      <c r="K103" s="2090"/>
      <c r="L103" s="2090"/>
      <c r="M103" s="2090"/>
      <c r="N103" s="2090"/>
      <c r="O103" s="2090"/>
      <c r="P103" s="2090"/>
      <c r="Q103" s="2090"/>
    </row>
    <row r="104" spans="1:17" s="2072" customFormat="1" ht="21">
      <c r="A104" s="2090"/>
      <c r="B104" s="2953"/>
      <c r="C104" s="6628" t="s">
        <v>9360</v>
      </c>
      <c r="D104" s="6628"/>
      <c r="E104" s="6628"/>
      <c r="F104" s="6628"/>
      <c r="G104" s="6628"/>
      <c r="H104" s="6628"/>
      <c r="I104" s="2876"/>
      <c r="J104" s="2090"/>
      <c r="K104" s="2090"/>
      <c r="L104" s="2090"/>
      <c r="M104" s="2090"/>
      <c r="N104" s="2090"/>
      <c r="O104" s="2090"/>
      <c r="P104" s="2090"/>
      <c r="Q104" s="2090"/>
    </row>
    <row r="105" spans="1:17" s="2072" customFormat="1" ht="21">
      <c r="A105" s="2090"/>
      <c r="B105" s="2953"/>
      <c r="C105" s="6628" t="s">
        <v>9361</v>
      </c>
      <c r="D105" s="6628"/>
      <c r="E105" s="6628"/>
      <c r="F105" s="6628"/>
      <c r="G105" s="6628"/>
      <c r="H105" s="6628"/>
      <c r="I105" s="2876"/>
      <c r="J105" s="2090"/>
      <c r="K105" s="2090"/>
      <c r="L105" s="2090"/>
      <c r="M105" s="2090"/>
      <c r="N105" s="2090"/>
      <c r="O105" s="2090"/>
      <c r="P105" s="2090"/>
      <c r="Q105" s="2090"/>
    </row>
    <row r="106" spans="1:17" s="2072" customFormat="1" ht="21">
      <c r="A106" s="2090"/>
      <c r="B106" s="2953"/>
      <c r="C106" s="6628" t="s">
        <v>9362</v>
      </c>
      <c r="D106" s="6628"/>
      <c r="E106" s="6628"/>
      <c r="F106" s="6628"/>
      <c r="G106" s="6628"/>
      <c r="H106" s="6628"/>
      <c r="I106" s="2876"/>
      <c r="J106" s="2090"/>
      <c r="K106" s="2090"/>
      <c r="L106" s="2090"/>
      <c r="M106" s="2090"/>
      <c r="N106" s="2090"/>
      <c r="O106" s="2090"/>
      <c r="P106" s="2090"/>
      <c r="Q106" s="2090"/>
    </row>
    <row r="107" spans="1:17" s="2072" customFormat="1" ht="16.5" thickBot="1">
      <c r="A107" s="2090"/>
      <c r="B107" s="2912"/>
      <c r="C107" s="2090"/>
      <c r="D107" s="2090"/>
      <c r="E107" s="2090"/>
      <c r="F107" s="1981"/>
      <c r="G107" s="1981"/>
      <c r="H107" s="1784"/>
      <c r="I107" s="2876"/>
      <c r="J107" s="2914"/>
      <c r="K107" s="2914"/>
      <c r="L107" s="2914"/>
      <c r="M107" s="2914"/>
      <c r="N107" s="2914"/>
      <c r="O107" s="2090"/>
      <c r="P107" s="2090"/>
      <c r="Q107" s="2090"/>
    </row>
    <row r="108" spans="1:17" s="2072" customFormat="1" ht="21">
      <c r="A108" s="1579" t="s">
        <v>167</v>
      </c>
      <c r="B108" s="6630" t="s">
        <v>9349</v>
      </c>
      <c r="C108" s="6631"/>
      <c r="D108" s="6631"/>
      <c r="E108" s="6631"/>
      <c r="F108" s="6632"/>
      <c r="G108" s="1981"/>
      <c r="H108" s="1784"/>
      <c r="I108" s="1579" t="s">
        <v>167</v>
      </c>
      <c r="J108" s="6626" t="s">
        <v>3533</v>
      </c>
      <c r="K108" s="5935"/>
      <c r="L108" s="5935"/>
      <c r="M108" s="5935"/>
      <c r="N108" s="5935"/>
      <c r="O108" s="5935"/>
      <c r="P108" s="5936"/>
      <c r="Q108" s="2090"/>
    </row>
    <row r="109" spans="1:17" s="2072" customFormat="1">
      <c r="A109" s="5988" t="str">
        <f>B108</f>
        <v>Formule avec DONT</v>
      </c>
      <c r="B109" s="2129" t="str">
        <f>ADDRESS(ROW(),COLUMN(),4)</f>
        <v>B109</v>
      </c>
      <c r="C109" s="1778" t="s">
        <v>3529</v>
      </c>
      <c r="D109" s="2104"/>
      <c r="E109" s="2914"/>
      <c r="F109" s="2127"/>
      <c r="G109" s="1981"/>
      <c r="H109" s="1784"/>
      <c r="I109" s="5988" t="str">
        <f>J108</f>
        <v>Décriptage d'une recette par les pourcentages</v>
      </c>
      <c r="J109" s="2129" t="str">
        <f>ADDRESS(ROW(),COLUMN(),4)</f>
        <v>J109</v>
      </c>
      <c r="K109" s="1778" t="s">
        <v>3529</v>
      </c>
      <c r="L109" s="2697"/>
      <c r="M109" s="2697"/>
      <c r="N109" s="2697"/>
      <c r="O109" s="2697"/>
      <c r="P109" s="2698"/>
      <c r="Q109" s="2090"/>
    </row>
    <row r="110" spans="1:17" s="2072" customFormat="1" ht="15">
      <c r="A110" s="5988"/>
      <c r="B110" s="6649" t="s">
        <v>3534</v>
      </c>
      <c r="C110" s="6633" t="s">
        <v>9363</v>
      </c>
      <c r="D110" s="6633"/>
      <c r="E110" s="6633"/>
      <c r="F110" s="6634"/>
      <c r="G110" s="1981"/>
      <c r="H110" s="1784"/>
      <c r="I110" s="5988"/>
      <c r="J110" s="6653" t="s">
        <v>3534</v>
      </c>
      <c r="K110" s="6633" t="s">
        <v>3535</v>
      </c>
      <c r="L110" s="6633"/>
      <c r="M110" s="6633"/>
      <c r="N110" s="6633"/>
      <c r="O110" s="6633"/>
      <c r="P110" s="6634"/>
      <c r="Q110" s="2090"/>
    </row>
    <row r="111" spans="1:17" s="2072" customFormat="1" ht="15">
      <c r="A111" s="5988"/>
      <c r="B111" s="6650"/>
      <c r="C111" s="6651"/>
      <c r="D111" s="6651"/>
      <c r="E111" s="6651"/>
      <c r="F111" s="6652"/>
      <c r="G111" s="1981"/>
      <c r="H111" s="1784"/>
      <c r="I111" s="5988"/>
      <c r="J111" s="6654"/>
      <c r="K111" s="6635"/>
      <c r="L111" s="6635"/>
      <c r="M111" s="6635"/>
      <c r="N111" s="6635"/>
      <c r="O111" s="6635"/>
      <c r="P111" s="6636"/>
      <c r="Q111" s="2090"/>
    </row>
    <row r="112" spans="1:17" s="2072" customFormat="1" ht="15" customHeight="1">
      <c r="A112" s="5988"/>
      <c r="B112" s="6637" t="s">
        <v>3542</v>
      </c>
      <c r="C112" s="6638"/>
      <c r="D112" s="6638"/>
      <c r="E112" s="6641">
        <v>1000</v>
      </c>
      <c r="F112" s="6643">
        <f>(F114+F120)/E112*100</f>
        <v>100</v>
      </c>
      <c r="G112" s="1981"/>
      <c r="H112" s="1784"/>
      <c r="I112" s="5988"/>
      <c r="J112" s="6645" t="s">
        <v>3538</v>
      </c>
      <c r="K112" s="5945">
        <f>SUM(J116:J125)</f>
        <v>0.97000000000000008</v>
      </c>
      <c r="L112" s="5947" t="str">
        <f>IF(J115&lt;O115,"Recette incomplète, il manque",IF(J115&gt;O115,"Trop de produits dans la recette",IF(J115=O115,"OK")))</f>
        <v>Recette incomplète, il manque</v>
      </c>
      <c r="M112" s="5947"/>
      <c r="N112" s="5947"/>
      <c r="O112" s="5947"/>
      <c r="P112" s="6647">
        <f>IF(J115=O115,"",IF(J115&lt;O115,O115-J115,IF(J115&gt;O115,J115-O115)))</f>
        <v>2.9999999999999916E-2</v>
      </c>
      <c r="Q112" s="2090"/>
    </row>
    <row r="113" spans="1:17" s="2072" customFormat="1" ht="15" customHeight="1">
      <c r="A113" s="5988"/>
      <c r="B113" s="6639"/>
      <c r="C113" s="6640"/>
      <c r="D113" s="6640"/>
      <c r="E113" s="6642"/>
      <c r="F113" s="6644"/>
      <c r="G113" s="1981"/>
      <c r="H113" s="1784"/>
      <c r="I113" s="5988"/>
      <c r="J113" s="6646"/>
      <c r="K113" s="5946"/>
      <c r="L113" s="5948"/>
      <c r="M113" s="5948"/>
      <c r="N113" s="5948"/>
      <c r="O113" s="5948"/>
      <c r="P113" s="6648"/>
      <c r="Q113" s="2090"/>
    </row>
    <row r="114" spans="1:17" s="2072" customFormat="1" ht="30">
      <c r="A114" s="5988"/>
      <c r="B114" s="6655" t="s">
        <v>2851</v>
      </c>
      <c r="C114" s="6657" t="s">
        <v>9364</v>
      </c>
      <c r="D114" s="6657"/>
      <c r="E114" s="6659">
        <v>20</v>
      </c>
      <c r="F114" s="6661">
        <f>(E112*E114)/100</f>
        <v>200</v>
      </c>
      <c r="G114" s="1981"/>
      <c r="H114" s="1784"/>
      <c r="I114" s="5988"/>
      <c r="J114" s="2955" t="s">
        <v>3539</v>
      </c>
      <c r="K114" s="2956"/>
      <c r="L114" s="2956"/>
      <c r="M114" s="2956"/>
      <c r="N114" s="2957" t="s">
        <v>1743</v>
      </c>
      <c r="O114" s="2958" t="s">
        <v>3540</v>
      </c>
      <c r="P114" s="2959" t="s">
        <v>3541</v>
      </c>
      <c r="Q114" s="2090"/>
    </row>
    <row r="115" spans="1:17" s="2072" customFormat="1">
      <c r="A115" s="5988"/>
      <c r="B115" s="6655"/>
      <c r="C115" s="6657"/>
      <c r="D115" s="6657"/>
      <c r="E115" s="6659"/>
      <c r="F115" s="6661"/>
      <c r="G115" s="1981"/>
      <c r="H115" s="1784"/>
      <c r="I115" s="5988"/>
      <c r="J115" s="2960">
        <f>SUM(J116:J125)</f>
        <v>0.97000000000000008</v>
      </c>
      <c r="K115" s="1859"/>
      <c r="L115" s="2961"/>
      <c r="M115" s="1861" t="s">
        <v>3542</v>
      </c>
      <c r="N115" s="2067">
        <v>7</v>
      </c>
      <c r="O115" s="2962">
        <v>1</v>
      </c>
      <c r="P115" s="2963">
        <f>SUM(P116:P125)</f>
        <v>6.9300000000000006</v>
      </c>
      <c r="Q115" s="2090"/>
    </row>
    <row r="116" spans="1:17" s="2072" customFormat="1" ht="15.75" customHeight="1">
      <c r="A116" s="5988"/>
      <c r="B116" s="6656"/>
      <c r="C116" s="6658"/>
      <c r="D116" s="6658"/>
      <c r="E116" s="6660"/>
      <c r="F116" s="6662"/>
      <c r="G116" s="1981"/>
      <c r="H116" s="1784"/>
      <c r="I116" s="5988"/>
      <c r="J116" s="2964">
        <v>0.12</v>
      </c>
      <c r="K116" s="1865" t="s">
        <v>3543</v>
      </c>
      <c r="L116" s="1865"/>
      <c r="M116" s="1865"/>
      <c r="N116" s="2965">
        <f>N115*J116</f>
        <v>0.84</v>
      </c>
      <c r="O116" s="2966">
        <v>0</v>
      </c>
      <c r="P116" s="2967">
        <f t="shared" ref="P116:P125" si="0">IF(O116=0,N116,IF(N116="","",N116/(100-O116)*100))</f>
        <v>0.84</v>
      </c>
      <c r="Q116" s="2090"/>
    </row>
    <row r="117" spans="1:17" s="2072" customFormat="1" ht="16.5" customHeight="1">
      <c r="A117" s="5988"/>
      <c r="B117" s="6672" t="s">
        <v>17</v>
      </c>
      <c r="C117" s="6673" t="s">
        <v>9365</v>
      </c>
      <c r="D117" s="6673"/>
      <c r="E117" s="6674">
        <v>26.5</v>
      </c>
      <c r="F117" s="6661">
        <f>(E114*E117)/10</f>
        <v>53</v>
      </c>
      <c r="G117" s="1981"/>
      <c r="H117" s="1784"/>
      <c r="I117" s="5988"/>
      <c r="J117" s="2964">
        <v>0.08</v>
      </c>
      <c r="K117" s="1865" t="s">
        <v>3544</v>
      </c>
      <c r="L117" s="1865"/>
      <c r="M117" s="1865"/>
      <c r="N117" s="2968">
        <f>N115*J117</f>
        <v>0.56000000000000005</v>
      </c>
      <c r="O117" s="2969">
        <v>0</v>
      </c>
      <c r="P117" s="2967">
        <f t="shared" si="0"/>
        <v>0.56000000000000005</v>
      </c>
      <c r="Q117" s="2090"/>
    </row>
    <row r="118" spans="1:17" s="2072" customFormat="1" ht="16.5" customHeight="1">
      <c r="A118" s="5988"/>
      <c r="B118" s="6672"/>
      <c r="C118" s="6673"/>
      <c r="D118" s="6673"/>
      <c r="E118" s="6674"/>
      <c r="F118" s="6661"/>
      <c r="G118" s="1981"/>
      <c r="H118" s="1784"/>
      <c r="I118" s="5988"/>
      <c r="J118" s="2964">
        <v>0.2</v>
      </c>
      <c r="K118" s="1865" t="s">
        <v>3545</v>
      </c>
      <c r="L118" s="1865"/>
      <c r="M118" s="1865"/>
      <c r="N118" s="2968">
        <f>N115*J118</f>
        <v>1.4000000000000001</v>
      </c>
      <c r="O118" s="2969">
        <v>0</v>
      </c>
      <c r="P118" s="2967">
        <f t="shared" si="0"/>
        <v>1.4000000000000001</v>
      </c>
      <c r="Q118" s="2090"/>
    </row>
    <row r="119" spans="1:17" s="2072" customFormat="1" ht="16.5" customHeight="1" thickBot="1">
      <c r="A119" s="5988"/>
      <c r="B119" s="6672"/>
      <c r="C119" s="6673"/>
      <c r="D119" s="6673"/>
      <c r="E119" s="6674"/>
      <c r="F119" s="6661"/>
      <c r="G119" s="1981"/>
      <c r="H119" s="1784"/>
      <c r="I119" s="5988"/>
      <c r="J119" s="2964">
        <v>0.55000000000000004</v>
      </c>
      <c r="K119" s="1865" t="s">
        <v>3546</v>
      </c>
      <c r="L119" s="1865"/>
      <c r="M119" s="1865"/>
      <c r="N119" s="2968">
        <f>N115*J119</f>
        <v>3.8500000000000005</v>
      </c>
      <c r="O119" s="2969">
        <v>0</v>
      </c>
      <c r="P119" s="2967">
        <f t="shared" si="0"/>
        <v>3.8500000000000005</v>
      </c>
      <c r="Q119" s="2090"/>
    </row>
    <row r="120" spans="1:17" s="2072" customFormat="1" ht="20.25" customHeight="1">
      <c r="A120" s="5988"/>
      <c r="B120" s="6675" t="s">
        <v>2852</v>
      </c>
      <c r="C120" s="6676" t="s">
        <v>9366</v>
      </c>
      <c r="D120" s="6676"/>
      <c r="E120" s="6678">
        <f>(F112/E112)*F120</f>
        <v>80</v>
      </c>
      <c r="F120" s="6680">
        <f>E112-F114</f>
        <v>800</v>
      </c>
      <c r="G120" s="2090"/>
      <c r="H120" s="2090"/>
      <c r="I120" s="5988"/>
      <c r="J120" s="2964">
        <v>0.02</v>
      </c>
      <c r="K120" s="1865" t="s">
        <v>3547</v>
      </c>
      <c r="L120" s="1865"/>
      <c r="M120" s="1865"/>
      <c r="N120" s="2968">
        <f>N115*J120</f>
        <v>0.14000000000000001</v>
      </c>
      <c r="O120" s="2969">
        <v>50</v>
      </c>
      <c r="P120" s="2967">
        <f t="shared" si="0"/>
        <v>0.28000000000000003</v>
      </c>
      <c r="Q120" s="2090"/>
    </row>
    <row r="121" spans="1:17" s="2072" customFormat="1" ht="15.75" customHeight="1">
      <c r="A121" s="5988"/>
      <c r="B121" s="6663"/>
      <c r="C121" s="6677"/>
      <c r="D121" s="6677"/>
      <c r="E121" s="6679"/>
      <c r="F121" s="6681"/>
      <c r="G121" s="2090"/>
      <c r="H121" s="2090"/>
      <c r="I121" s="5988"/>
      <c r="J121" s="2964"/>
      <c r="K121" s="1865"/>
      <c r="L121" s="1865"/>
      <c r="M121" s="1865"/>
      <c r="N121" s="2968">
        <f>N115*J121</f>
        <v>0</v>
      </c>
      <c r="O121" s="2969"/>
      <c r="P121" s="2967">
        <f t="shared" si="0"/>
        <v>0</v>
      </c>
      <c r="Q121" s="2090"/>
    </row>
    <row r="122" spans="1:17" s="2072" customFormat="1" ht="15.75" customHeight="1">
      <c r="A122" s="5988"/>
      <c r="B122" s="6663" t="s">
        <v>2853</v>
      </c>
      <c r="C122" s="6682" t="s">
        <v>9367</v>
      </c>
      <c r="D122" s="6683" t="s">
        <v>9368</v>
      </c>
      <c r="E122" s="6668">
        <f>(F112/E112)*F122</f>
        <v>14.700000000000001</v>
      </c>
      <c r="F122" s="6670">
        <f>F114-F124</f>
        <v>147</v>
      </c>
      <c r="G122" s="2090"/>
      <c r="H122" s="2090"/>
      <c r="I122" s="5988"/>
      <c r="J122" s="2964"/>
      <c r="K122" s="1865"/>
      <c r="L122" s="1865"/>
      <c r="M122" s="1865"/>
      <c r="N122" s="2968">
        <f>N115*J122</f>
        <v>0</v>
      </c>
      <c r="O122" s="2969"/>
      <c r="P122" s="2967">
        <f t="shared" si="0"/>
        <v>0</v>
      </c>
      <c r="Q122" s="2090"/>
    </row>
    <row r="123" spans="1:17" s="2072" customFormat="1" ht="15.75" customHeight="1">
      <c r="A123" s="5988"/>
      <c r="B123" s="6663"/>
      <c r="C123" s="6682"/>
      <c r="D123" s="6684"/>
      <c r="E123" s="6668"/>
      <c r="F123" s="6670"/>
      <c r="G123" s="2090"/>
      <c r="H123" s="2090"/>
      <c r="I123" s="5988"/>
      <c r="J123" s="2964"/>
      <c r="K123" s="1865"/>
      <c r="L123" s="1865"/>
      <c r="M123" s="1865"/>
      <c r="N123" s="2968">
        <f>N115*J123</f>
        <v>0</v>
      </c>
      <c r="O123" s="2969"/>
      <c r="P123" s="2967">
        <f t="shared" si="0"/>
        <v>0</v>
      </c>
      <c r="Q123" s="2090"/>
    </row>
    <row r="124" spans="1:17" s="2072" customFormat="1" ht="15.75" customHeight="1">
      <c r="A124" s="5988"/>
      <c r="B124" s="6663" t="s">
        <v>2854</v>
      </c>
      <c r="C124" s="6665" t="s">
        <v>9369</v>
      </c>
      <c r="D124" s="6666"/>
      <c r="E124" s="6668">
        <f>(F112/E112)*F124</f>
        <v>5.3000000000000007</v>
      </c>
      <c r="F124" s="6670">
        <f>(F114*E117)/100</f>
        <v>53</v>
      </c>
      <c r="G124" s="2090"/>
      <c r="H124" s="2090"/>
      <c r="I124" s="5988"/>
      <c r="J124" s="2964"/>
      <c r="K124" s="1865"/>
      <c r="L124" s="1865"/>
      <c r="M124" s="1865"/>
      <c r="N124" s="2968">
        <f>N115*J124</f>
        <v>0</v>
      </c>
      <c r="O124" s="2969"/>
      <c r="P124" s="2967">
        <f t="shared" si="0"/>
        <v>0</v>
      </c>
      <c r="Q124" s="2090"/>
    </row>
    <row r="125" spans="1:17" s="2072" customFormat="1" ht="15.75" customHeight="1">
      <c r="A125" s="5988"/>
      <c r="B125" s="6664"/>
      <c r="C125" s="6667"/>
      <c r="D125" s="6667"/>
      <c r="E125" s="6669"/>
      <c r="F125" s="6671"/>
      <c r="G125" s="2090"/>
      <c r="H125" s="2090"/>
      <c r="I125" s="5988"/>
      <c r="J125" s="2970"/>
      <c r="K125" s="1882"/>
      <c r="L125" s="1882"/>
      <c r="M125" s="1882"/>
      <c r="N125" s="2971">
        <f>N115*J125</f>
        <v>0</v>
      </c>
      <c r="O125" s="2972"/>
      <c r="P125" s="2973">
        <f t="shared" si="0"/>
        <v>0</v>
      </c>
      <c r="Q125" s="2090"/>
    </row>
    <row r="126" spans="1:17" s="2072" customFormat="1" ht="15.75" customHeight="1">
      <c r="A126" s="5988"/>
      <c r="B126" s="2974"/>
      <c r="C126" s="2975"/>
      <c r="D126" s="2975"/>
      <c r="E126" s="2976">
        <f>SUM(E120:E125)</f>
        <v>100</v>
      </c>
      <c r="F126" s="2977">
        <f>SUM(F120:F125)</f>
        <v>1000</v>
      </c>
      <c r="G126" s="2090"/>
      <c r="H126" s="2090"/>
      <c r="I126" s="5988"/>
      <c r="J126" s="6687" t="s">
        <v>3554</v>
      </c>
      <c r="K126" s="5963"/>
      <c r="L126" s="5963"/>
      <c r="M126" s="5963"/>
      <c r="N126" s="5963"/>
      <c r="O126" s="5963"/>
      <c r="P126" s="5964"/>
      <c r="Q126" s="2090"/>
    </row>
    <row r="127" spans="1:17" s="2072" customFormat="1" ht="15.75" customHeight="1">
      <c r="A127" s="5988"/>
      <c r="B127" s="6567" t="s">
        <v>3554</v>
      </c>
      <c r="C127" s="6568"/>
      <c r="D127" s="6568"/>
      <c r="E127" s="6568"/>
      <c r="F127" s="6569"/>
      <c r="G127" s="2090"/>
      <c r="H127" s="2090"/>
      <c r="I127" s="5988"/>
      <c r="J127" s="2978"/>
      <c r="K127" s="191" t="s">
        <v>3556</v>
      </c>
      <c r="L127" s="2090"/>
      <c r="M127" s="2979" t="s">
        <v>3557</v>
      </c>
      <c r="N127" s="1888"/>
      <c r="O127" s="1888"/>
      <c r="P127" s="1889"/>
      <c r="Q127" s="2090"/>
    </row>
    <row r="128" spans="1:17" s="2072" customFormat="1" ht="15.75" customHeight="1" thickBot="1">
      <c r="A128" s="5988"/>
      <c r="B128" s="2980" t="s">
        <v>2851</v>
      </c>
      <c r="C128" s="2090" t="s">
        <v>9370</v>
      </c>
      <c r="D128" s="2090"/>
      <c r="E128" s="2914"/>
      <c r="F128" s="2127"/>
      <c r="G128" s="2090"/>
      <c r="H128" s="2090"/>
      <c r="I128" s="5988"/>
      <c r="J128" s="2540"/>
      <c r="K128" s="2542" t="s">
        <v>3559</v>
      </c>
      <c r="L128" s="2542"/>
      <c r="M128" s="2542" t="s">
        <v>3560</v>
      </c>
      <c r="N128" s="2981"/>
      <c r="O128" s="2542" t="s">
        <v>3540</v>
      </c>
      <c r="P128" s="2982"/>
      <c r="Q128" s="2090"/>
    </row>
    <row r="129" spans="1:17" s="2072" customFormat="1" ht="15.75" customHeight="1">
      <c r="A129" s="5988"/>
      <c r="B129" s="2980" t="s">
        <v>17</v>
      </c>
      <c r="C129" s="2090" t="s">
        <v>9371</v>
      </c>
      <c r="D129" s="2090"/>
      <c r="E129" s="2090"/>
      <c r="F129" s="2127"/>
      <c r="G129" s="2090"/>
      <c r="H129" s="2090"/>
      <c r="I129" s="2876"/>
      <c r="J129" s="2090"/>
      <c r="K129" s="2090"/>
      <c r="L129" s="2090"/>
      <c r="M129" s="2090"/>
      <c r="N129" s="2090"/>
      <c r="O129" s="2090"/>
      <c r="P129" s="2090"/>
      <c r="Q129" s="2090"/>
    </row>
    <row r="130" spans="1:17" s="2072" customFormat="1" ht="15.75" customHeight="1" thickBot="1">
      <c r="A130" s="5988"/>
      <c r="B130" s="2983" t="s">
        <v>2852</v>
      </c>
      <c r="C130" s="2984" t="s">
        <v>9372</v>
      </c>
      <c r="D130" s="2984"/>
      <c r="E130" s="2985"/>
      <c r="F130" s="2986"/>
      <c r="G130" s="2090"/>
      <c r="H130" s="2090"/>
      <c r="I130" s="2876"/>
      <c r="J130" s="2090"/>
      <c r="K130" s="2090"/>
      <c r="L130" s="2090"/>
      <c r="M130" s="2090"/>
      <c r="N130" s="2090"/>
      <c r="O130" s="2090"/>
      <c r="P130" s="2090"/>
      <c r="Q130" s="2090"/>
    </row>
    <row r="131" spans="1:17" s="2072" customFormat="1" ht="18.75" customHeight="1">
      <c r="A131" s="5988"/>
      <c r="B131" s="2987"/>
      <c r="C131" s="2988" t="s">
        <v>3556</v>
      </c>
      <c r="D131" s="2988"/>
      <c r="E131" s="2989" t="s">
        <v>3560</v>
      </c>
      <c r="F131" s="2990"/>
      <c r="G131" s="2090"/>
      <c r="H131" s="2090"/>
      <c r="I131" s="2876"/>
      <c r="J131" s="2090"/>
      <c r="K131" s="2090"/>
      <c r="L131" s="2090"/>
      <c r="M131" s="2090"/>
      <c r="N131" s="2090"/>
      <c r="O131" s="2090"/>
      <c r="P131" s="2090"/>
      <c r="Q131" s="2090"/>
    </row>
    <row r="132" spans="1:17" s="2072" customFormat="1" ht="16.5" customHeight="1" thickBot="1">
      <c r="A132" s="5988"/>
      <c r="B132" s="2540"/>
      <c r="C132" s="2991" t="s">
        <v>3557</v>
      </c>
      <c r="D132" s="2992"/>
      <c r="E132" s="2542"/>
      <c r="F132" s="2982"/>
      <c r="G132" s="2090"/>
      <c r="H132" s="2090"/>
      <c r="I132" s="2876"/>
      <c r="J132" s="2090"/>
      <c r="K132" s="2090"/>
      <c r="L132" s="2090"/>
      <c r="M132" s="2090"/>
      <c r="N132" s="2090"/>
      <c r="O132" s="2090"/>
      <c r="P132" s="2090"/>
      <c r="Q132" s="2090"/>
    </row>
    <row r="133" spans="1:17" s="2072" customFormat="1">
      <c r="A133" s="2912"/>
      <c r="B133" s="2912"/>
      <c r="C133" s="2090"/>
      <c r="D133" s="2090"/>
      <c r="E133" s="2090"/>
      <c r="F133" s="1981"/>
      <c r="G133" s="1981"/>
      <c r="H133" s="1784"/>
      <c r="I133" s="2876"/>
      <c r="J133" s="2914"/>
      <c r="K133" s="2914"/>
      <c r="L133" s="2914"/>
      <c r="M133" s="2914"/>
      <c r="N133" s="2914"/>
      <c r="O133" s="2090"/>
      <c r="P133" s="2090"/>
      <c r="Q133" s="2090"/>
    </row>
    <row r="134" spans="1:17" s="2072" customFormat="1" ht="33.75">
      <c r="A134" s="2070">
        <f>(ROW())</f>
        <v>134</v>
      </c>
      <c r="B134" s="6595" t="s">
        <v>9373</v>
      </c>
      <c r="C134" s="6595"/>
      <c r="D134" s="6595"/>
      <c r="E134" s="6595"/>
      <c r="F134" s="6595"/>
      <c r="G134" s="6595"/>
      <c r="H134" s="6595"/>
      <c r="I134" s="6595"/>
      <c r="J134" s="6595"/>
      <c r="K134" s="6595"/>
      <c r="L134" s="6595"/>
      <c r="M134" s="6595"/>
      <c r="N134" s="6595"/>
      <c r="O134" s="6595"/>
      <c r="P134" s="6595"/>
      <c r="Q134" s="6595"/>
    </row>
    <row r="135" spans="1:17" s="2072" customFormat="1">
      <c r="A135" s="2090"/>
      <c r="B135" s="2912"/>
      <c r="C135" s="2090"/>
      <c r="D135" s="2090"/>
      <c r="E135" s="2090"/>
      <c r="F135" s="1981"/>
      <c r="G135" s="1981"/>
      <c r="H135" s="1784"/>
      <c r="I135" s="2876"/>
      <c r="J135" s="2914"/>
      <c r="K135" s="2914"/>
      <c r="L135" s="2914"/>
      <c r="M135" s="2914"/>
      <c r="N135" s="2914"/>
      <c r="O135" s="2090"/>
      <c r="P135" s="2090"/>
      <c r="Q135" s="2090"/>
    </row>
    <row r="136" spans="1:17" s="2072" customFormat="1" ht="18.75">
      <c r="A136" s="2993" t="s">
        <v>2851</v>
      </c>
      <c r="B136" s="2108" t="s">
        <v>9374</v>
      </c>
      <c r="C136" s="2954"/>
      <c r="D136" s="2954"/>
      <c r="E136" s="2954"/>
      <c r="F136" s="2994"/>
      <c r="G136" s="2994"/>
      <c r="H136" s="2995"/>
      <c r="I136" s="1556"/>
      <c r="J136" s="2954"/>
      <c r="K136" s="2954"/>
      <c r="L136" s="2996"/>
      <c r="M136" s="2997"/>
      <c r="N136" s="2998"/>
      <c r="O136" s="2090"/>
      <c r="P136" s="2090"/>
      <c r="Q136" s="2090"/>
    </row>
    <row r="137" spans="1:17" s="2072" customFormat="1" ht="18.75">
      <c r="A137" s="2954"/>
      <c r="B137" s="6686" t="s">
        <v>9375</v>
      </c>
      <c r="C137" s="6686"/>
      <c r="D137" s="6686"/>
      <c r="E137" s="6686"/>
      <c r="F137" s="6686"/>
      <c r="G137" s="6686"/>
      <c r="H137" s="2995"/>
      <c r="I137" s="2999" t="s">
        <v>2856</v>
      </c>
      <c r="J137" s="3000" t="s">
        <v>9376</v>
      </c>
      <c r="K137" s="2954"/>
      <c r="L137" s="2996"/>
      <c r="M137" s="1556"/>
      <c r="N137" s="2876"/>
      <c r="O137" s="2090"/>
      <c r="P137" s="2090"/>
      <c r="Q137" s="2090"/>
    </row>
    <row r="138" spans="1:17" s="2072" customFormat="1" ht="18.75">
      <c r="A138" s="2954"/>
      <c r="B138" s="2954"/>
      <c r="C138" s="2954"/>
      <c r="D138" s="2954"/>
      <c r="E138" s="2954"/>
      <c r="F138" s="2994"/>
      <c r="G138" s="2994"/>
      <c r="H138" s="2995"/>
      <c r="I138" s="1556"/>
      <c r="J138" s="3001" t="s">
        <v>9377</v>
      </c>
      <c r="K138" s="2954"/>
      <c r="L138" s="2996"/>
      <c r="M138" s="1556"/>
      <c r="N138" s="2876"/>
      <c r="O138" s="2090"/>
      <c r="P138" s="2090"/>
      <c r="Q138" s="2090"/>
    </row>
    <row r="139" spans="1:17" s="2072" customFormat="1" ht="18.75">
      <c r="A139" s="2993" t="s">
        <v>17</v>
      </c>
      <c r="B139" s="2954" t="s">
        <v>9378</v>
      </c>
      <c r="C139" s="2954"/>
      <c r="D139" s="2954"/>
      <c r="E139" s="2954"/>
      <c r="F139" s="2994"/>
      <c r="G139" s="2994"/>
      <c r="H139" s="2995"/>
      <c r="I139" s="1556"/>
      <c r="J139" s="2954"/>
      <c r="K139" s="2954"/>
      <c r="L139" s="2996"/>
      <c r="M139" s="1556"/>
      <c r="N139" s="2876"/>
      <c r="O139" s="2090"/>
      <c r="P139" s="2090"/>
      <c r="Q139" s="2090"/>
    </row>
    <row r="140" spans="1:17" s="2072" customFormat="1" ht="18.75">
      <c r="A140" s="2954"/>
      <c r="B140" s="2954" t="s">
        <v>9379</v>
      </c>
      <c r="C140" s="2954"/>
      <c r="D140" s="2954"/>
      <c r="E140" s="2954"/>
      <c r="F140" s="2994"/>
      <c r="G140" s="2994"/>
      <c r="H140" s="2995"/>
      <c r="I140" s="2999" t="s">
        <v>2857</v>
      </c>
      <c r="J140" s="3000" t="s">
        <v>9380</v>
      </c>
      <c r="K140" s="2954"/>
      <c r="L140" s="2996"/>
      <c r="M140" s="1556"/>
      <c r="N140" s="2876"/>
      <c r="O140" s="2090"/>
      <c r="P140" s="2090"/>
      <c r="Q140" s="2090"/>
    </row>
    <row r="141" spans="1:17" s="2072" customFormat="1" ht="18.75">
      <c r="A141" s="2954"/>
      <c r="B141" s="2954" t="s">
        <v>9381</v>
      </c>
      <c r="C141" s="2954"/>
      <c r="D141" s="2954"/>
      <c r="E141" s="2954"/>
      <c r="F141" s="2994"/>
      <c r="G141" s="2994"/>
      <c r="H141" s="2995"/>
      <c r="I141" s="1556"/>
      <c r="J141" s="2954" t="s">
        <v>9382</v>
      </c>
      <c r="K141" s="2954"/>
      <c r="L141" s="2996"/>
      <c r="M141" s="1556"/>
      <c r="N141" s="2876"/>
      <c r="O141" s="2090"/>
      <c r="P141" s="2090"/>
      <c r="Q141" s="2090"/>
    </row>
    <row r="142" spans="1:17" s="2072" customFormat="1" ht="18.75">
      <c r="A142" s="2954"/>
      <c r="B142" s="2954" t="s">
        <v>9383</v>
      </c>
      <c r="C142" s="2954"/>
      <c r="D142" s="2954"/>
      <c r="E142" s="2954"/>
      <c r="F142" s="2994"/>
      <c r="G142" s="2994"/>
      <c r="H142" s="2995"/>
      <c r="I142" s="1556"/>
      <c r="J142" s="2954" t="s">
        <v>9384</v>
      </c>
      <c r="K142" s="2954"/>
      <c r="L142" s="2996"/>
      <c r="M142" s="1556"/>
      <c r="N142" s="2876"/>
      <c r="O142" s="2090"/>
      <c r="P142" s="2090"/>
      <c r="Q142" s="1784"/>
    </row>
    <row r="143" spans="1:17" s="2072" customFormat="1" ht="18.75">
      <c r="A143" s="2954"/>
      <c r="B143" s="6686" t="s">
        <v>9385</v>
      </c>
      <c r="C143" s="6686"/>
      <c r="D143" s="6686"/>
      <c r="E143" s="6686"/>
      <c r="F143" s="2994"/>
      <c r="G143" s="2994"/>
      <c r="H143" s="2995"/>
      <c r="I143" s="1556"/>
      <c r="J143" s="2954" t="s">
        <v>9386</v>
      </c>
      <c r="K143" s="2954"/>
      <c r="L143" s="2996"/>
      <c r="M143" s="1556"/>
      <c r="N143" s="2876"/>
      <c r="O143" s="2090"/>
      <c r="P143" s="2090"/>
      <c r="Q143" s="1784"/>
    </row>
    <row r="144" spans="1:17" s="2072" customFormat="1" ht="18.75">
      <c r="A144" s="2954"/>
      <c r="B144" s="2954"/>
      <c r="C144" s="2954"/>
      <c r="D144" s="2954"/>
      <c r="E144" s="2954"/>
      <c r="F144" s="2994"/>
      <c r="G144" s="2994"/>
      <c r="H144" s="2995"/>
      <c r="I144" s="1556"/>
      <c r="J144" s="3001" t="s">
        <v>9387</v>
      </c>
      <c r="K144" s="2954"/>
      <c r="L144" s="2996"/>
      <c r="M144" s="1556"/>
      <c r="N144" s="2876"/>
      <c r="O144" s="2090"/>
      <c r="P144" s="2090"/>
      <c r="Q144" s="1784"/>
    </row>
    <row r="145" spans="1:17" s="2072" customFormat="1" ht="18.75">
      <c r="A145" s="2993" t="s">
        <v>2852</v>
      </c>
      <c r="B145" s="3000" t="s">
        <v>9388</v>
      </c>
      <c r="C145" s="2954"/>
      <c r="D145" s="2954"/>
      <c r="E145" s="2954"/>
      <c r="F145" s="2994"/>
      <c r="G145" s="2994"/>
      <c r="H145" s="2995"/>
      <c r="I145" s="1556"/>
      <c r="J145" s="3001" t="s">
        <v>9389</v>
      </c>
      <c r="K145" s="2954"/>
      <c r="L145" s="2996"/>
      <c r="M145" s="1556"/>
      <c r="N145" s="2876"/>
      <c r="O145" s="2090"/>
      <c r="P145" s="2090"/>
      <c r="Q145" s="1784"/>
    </row>
    <row r="146" spans="1:17" s="2072" customFormat="1" ht="18.75">
      <c r="A146" s="2954"/>
      <c r="B146" s="6686" t="s">
        <v>9390</v>
      </c>
      <c r="C146" s="6686"/>
      <c r="D146" s="6686"/>
      <c r="E146" s="6686"/>
      <c r="F146" s="6686"/>
      <c r="G146" s="2994"/>
      <c r="H146" s="2995"/>
      <c r="I146" s="1556"/>
      <c r="J146" s="2954"/>
      <c r="K146" s="2954"/>
      <c r="L146" s="2996"/>
      <c r="M146" s="1556"/>
      <c r="N146" s="2876"/>
      <c r="O146" s="2090"/>
      <c r="P146" s="2090"/>
      <c r="Q146" s="1784"/>
    </row>
    <row r="147" spans="1:17" s="2072" customFormat="1" ht="18.75">
      <c r="A147" s="2954"/>
      <c r="B147" s="2954"/>
      <c r="C147" s="2954"/>
      <c r="D147" s="2954"/>
      <c r="E147" s="2954"/>
      <c r="F147" s="2994"/>
      <c r="G147" s="2994"/>
      <c r="H147" s="2995"/>
      <c r="I147" s="2999" t="s">
        <v>458</v>
      </c>
      <c r="J147" s="3000" t="s">
        <v>9391</v>
      </c>
      <c r="K147" s="2954"/>
      <c r="L147" s="2996"/>
      <c r="M147" s="1556"/>
      <c r="N147" s="2876"/>
      <c r="O147" s="2090"/>
      <c r="P147" s="2090"/>
      <c r="Q147" s="1784"/>
    </row>
    <row r="148" spans="1:17" s="2072" customFormat="1" ht="18.75">
      <c r="A148" s="2954"/>
      <c r="B148" s="2954"/>
      <c r="C148" s="2954"/>
      <c r="D148" s="2954"/>
      <c r="E148" s="2954"/>
      <c r="F148" s="2994"/>
      <c r="G148" s="2994"/>
      <c r="H148" s="2995"/>
      <c r="I148" s="1556"/>
      <c r="J148" s="3001" t="s">
        <v>9392</v>
      </c>
      <c r="K148" s="2954"/>
      <c r="L148" s="2996"/>
      <c r="M148" s="1556"/>
      <c r="N148" s="2876"/>
      <c r="O148" s="2090"/>
      <c r="P148" s="2090"/>
      <c r="Q148" s="1784"/>
    </row>
    <row r="149" spans="1:17" s="2072" customFormat="1" ht="18.75">
      <c r="A149" s="2993" t="s">
        <v>2853</v>
      </c>
      <c r="B149" s="3000" t="s">
        <v>9393</v>
      </c>
      <c r="C149" s="2954"/>
      <c r="D149" s="2954"/>
      <c r="E149" s="2954"/>
      <c r="F149" s="2994"/>
      <c r="G149" s="2994"/>
      <c r="H149" s="2995"/>
      <c r="I149" s="1556"/>
      <c r="J149" s="2954"/>
      <c r="K149" s="2954"/>
      <c r="L149" s="2996"/>
      <c r="M149" s="1556"/>
      <c r="N149" s="2876"/>
      <c r="O149" s="2090"/>
      <c r="P149" s="2090"/>
      <c r="Q149" s="1784"/>
    </row>
    <row r="150" spans="1:17" s="2072" customFormat="1" ht="18.75">
      <c r="A150" s="2954"/>
      <c r="B150" s="6685" t="s">
        <v>9394</v>
      </c>
      <c r="C150" s="6685"/>
      <c r="D150" s="6685"/>
      <c r="E150" s="6685"/>
      <c r="F150" s="6685"/>
      <c r="G150" s="6685"/>
      <c r="H150" s="2995"/>
      <c r="I150" s="2999" t="s">
        <v>2858</v>
      </c>
      <c r="J150" s="3000" t="s">
        <v>9395</v>
      </c>
      <c r="K150" s="2954"/>
      <c r="L150" s="2996"/>
      <c r="M150" s="1556"/>
      <c r="N150" s="2876"/>
      <c r="O150" s="2090"/>
      <c r="P150" s="2090"/>
      <c r="Q150" s="1784"/>
    </row>
    <row r="151" spans="1:17" s="2072" customFormat="1" ht="18.75">
      <c r="A151" s="2954"/>
      <c r="B151" s="6686" t="s">
        <v>9396</v>
      </c>
      <c r="C151" s="6686"/>
      <c r="D151" s="6686"/>
      <c r="E151" s="6686"/>
      <c r="F151" s="6686"/>
      <c r="G151" s="6686"/>
      <c r="H151" s="2995"/>
      <c r="I151" s="1556"/>
      <c r="J151" t="s">
        <v>9397</v>
      </c>
      <c r="K151" s="2954"/>
      <c r="L151" s="2996"/>
      <c r="M151" s="1556"/>
      <c r="N151" s="2876"/>
      <c r="O151" s="2090"/>
      <c r="P151" s="2090"/>
      <c r="Q151" s="871">
        <v>1</v>
      </c>
    </row>
    <row r="152" spans="1:17" s="2072" customFormat="1" ht="18.75">
      <c r="A152" s="2954"/>
      <c r="B152" s="2954"/>
      <c r="C152" s="2954"/>
      <c r="D152" s="2954"/>
      <c r="E152" s="2954"/>
      <c r="F152" s="2994"/>
      <c r="G152" s="2994"/>
      <c r="H152" s="2995"/>
      <c r="I152" s="1556"/>
      <c r="J152" s="2954"/>
      <c r="K152" s="2954"/>
      <c r="L152" s="2996"/>
      <c r="M152" s="1556"/>
      <c r="N152" s="2876"/>
      <c r="O152" s="2090"/>
      <c r="P152" s="2090"/>
      <c r="Q152" s="871">
        <v>1</v>
      </c>
    </row>
    <row r="153" spans="1:17" s="2072" customFormat="1" ht="18.75">
      <c r="A153" s="2993" t="s">
        <v>2854</v>
      </c>
      <c r="B153" s="3000" t="s">
        <v>9398</v>
      </c>
      <c r="C153" s="2954"/>
      <c r="D153" s="2954"/>
      <c r="E153" s="2954"/>
      <c r="F153" s="2994"/>
      <c r="G153" s="2994"/>
      <c r="H153" s="2995"/>
      <c r="I153" s="2999" t="s">
        <v>519</v>
      </c>
      <c r="J153" s="3000" t="s">
        <v>9399</v>
      </c>
      <c r="K153" s="2954"/>
      <c r="L153" s="2996"/>
      <c r="M153" s="1556"/>
      <c r="N153" s="2876"/>
      <c r="O153" s="2090"/>
      <c r="P153" s="2090"/>
      <c r="Q153" s="871">
        <v>1</v>
      </c>
    </row>
    <row r="154" spans="1:17" s="2072" customFormat="1" ht="18.75">
      <c r="A154" s="2954"/>
      <c r="B154" s="2954" t="s">
        <v>9400</v>
      </c>
      <c r="C154" s="2954"/>
      <c r="D154" s="2954"/>
      <c r="E154" s="2954"/>
      <c r="F154" s="2994"/>
      <c r="G154" s="2994"/>
      <c r="H154" s="2995"/>
      <c r="I154" s="1556"/>
      <c r="J154" s="3001" t="s">
        <v>9401</v>
      </c>
      <c r="K154" s="2954"/>
      <c r="L154" s="2996"/>
      <c r="M154" s="1556"/>
      <c r="N154" s="2876"/>
      <c r="O154" s="2090"/>
      <c r="P154" s="2090"/>
      <c r="Q154" s="871">
        <v>1</v>
      </c>
    </row>
    <row r="155" spans="1:17" s="2072" customFormat="1" ht="18.75">
      <c r="A155" s="2954"/>
      <c r="B155" s="2954" t="s">
        <v>9402</v>
      </c>
      <c r="C155" s="2954"/>
      <c r="D155" s="2954"/>
      <c r="E155" s="2954"/>
      <c r="F155" s="2994"/>
      <c r="G155" s="2994"/>
      <c r="H155" s="2995"/>
      <c r="I155" s="1556"/>
      <c r="J155" s="2954"/>
      <c r="K155" s="2954"/>
      <c r="L155" s="2996"/>
      <c r="M155" s="1556"/>
      <c r="N155" s="2876"/>
      <c r="O155" s="2090"/>
      <c r="P155" s="2090"/>
      <c r="Q155" s="871">
        <v>1</v>
      </c>
    </row>
    <row r="156" spans="1:17" s="2072" customFormat="1" ht="18.75">
      <c r="A156" s="2954"/>
      <c r="B156" s="2954" t="s">
        <v>9403</v>
      </c>
      <c r="C156" s="2954"/>
      <c r="D156" s="2954"/>
      <c r="E156" s="2954"/>
      <c r="F156" s="2994"/>
      <c r="G156" s="2994"/>
      <c r="H156" s="2995"/>
      <c r="I156" s="2999" t="s">
        <v>2871</v>
      </c>
      <c r="J156" s="3002" t="s">
        <v>9404</v>
      </c>
      <c r="K156" s="2954"/>
      <c r="L156" s="2996"/>
      <c r="M156" s="1556"/>
      <c r="N156" s="2876"/>
      <c r="O156" s="2090"/>
      <c r="P156" s="2090"/>
      <c r="Q156" s="871">
        <v>1</v>
      </c>
    </row>
    <row r="157" spans="1:17" s="2072" customFormat="1" ht="18.75">
      <c r="A157" s="2954"/>
      <c r="B157" s="6686" t="s">
        <v>9405</v>
      </c>
      <c r="C157" s="6686"/>
      <c r="D157" s="6686"/>
      <c r="E157" s="6686"/>
      <c r="F157" s="6686"/>
      <c r="G157" s="2994"/>
      <c r="H157" s="2995"/>
      <c r="I157" s="1556"/>
      <c r="J157" s="3001" t="s">
        <v>9406</v>
      </c>
      <c r="K157" s="2954"/>
      <c r="L157" s="2996"/>
      <c r="M157" s="1556"/>
      <c r="N157" s="2876"/>
      <c r="O157" s="2090"/>
      <c r="P157" s="2090"/>
      <c r="Q157" s="871">
        <v>1</v>
      </c>
    </row>
    <row r="158" spans="1:17" s="2072" customFormat="1" ht="18.75">
      <c r="A158" s="2954"/>
      <c r="B158" s="2954"/>
      <c r="C158" s="2954"/>
      <c r="D158" s="2954"/>
      <c r="E158" s="2954"/>
      <c r="F158" s="2994"/>
      <c r="G158" s="2994"/>
      <c r="H158" s="2995"/>
      <c r="I158" s="1556"/>
      <c r="J158" s="3001" t="s">
        <v>9407</v>
      </c>
      <c r="K158" s="2954"/>
      <c r="L158" s="2996"/>
      <c r="M158" s="1556"/>
      <c r="N158" s="2876"/>
      <c r="O158" s="2090"/>
      <c r="P158" s="2090"/>
      <c r="Q158" s="871">
        <v>1</v>
      </c>
    </row>
    <row r="159" spans="1:17" s="2072" customFormat="1" ht="18.75">
      <c r="A159" s="2954"/>
      <c r="B159" s="2954"/>
      <c r="C159" s="2954"/>
      <c r="D159" s="2954"/>
      <c r="E159" s="2954"/>
      <c r="F159" s="2994"/>
      <c r="G159" s="2994"/>
      <c r="H159" s="2995"/>
      <c r="I159" s="1556"/>
      <c r="J159" s="3001" t="s">
        <v>9408</v>
      </c>
      <c r="K159" s="2954"/>
      <c r="L159" s="2996"/>
      <c r="M159" s="1556"/>
      <c r="N159" s="2876"/>
      <c r="O159" s="2090"/>
      <c r="P159" s="2090"/>
      <c r="Q159" s="871">
        <v>1</v>
      </c>
    </row>
    <row r="160" spans="1:17" s="2072" customFormat="1" ht="18.75">
      <c r="A160" s="2993" t="s">
        <v>2855</v>
      </c>
      <c r="B160" s="3000" t="s">
        <v>9409</v>
      </c>
      <c r="C160" s="2954"/>
      <c r="D160" s="2954"/>
      <c r="E160" s="2954"/>
      <c r="F160" s="2994"/>
      <c r="G160" s="2994"/>
      <c r="H160" s="2995"/>
      <c r="I160" s="1556"/>
      <c r="J160" s="2954"/>
      <c r="K160" s="2954"/>
      <c r="L160" s="2996"/>
      <c r="M160" s="1556"/>
      <c r="N160" s="2876"/>
      <c r="O160" s="2090"/>
      <c r="P160" s="2090"/>
      <c r="Q160" s="871">
        <v>1</v>
      </c>
    </row>
    <row r="161" spans="1:17" s="2072" customFormat="1" ht="18.75">
      <c r="A161" s="2954"/>
      <c r="B161" s="6686" t="s">
        <v>9410</v>
      </c>
      <c r="C161" s="6686"/>
      <c r="D161" s="6686"/>
      <c r="E161" s="6686"/>
      <c r="F161" s="2994"/>
      <c r="G161" s="2994"/>
      <c r="H161" s="2995"/>
      <c r="I161" s="2999" t="s">
        <v>2872</v>
      </c>
      <c r="J161" s="3000" t="s">
        <v>9411</v>
      </c>
      <c r="K161" s="2954"/>
      <c r="L161" s="2996"/>
      <c r="M161" s="1556"/>
      <c r="N161" s="2876"/>
      <c r="O161" s="2090"/>
      <c r="P161" s="2090"/>
    </row>
    <row r="162" spans="1:17" s="2072" customFormat="1" ht="18.75">
      <c r="A162" s="2954"/>
      <c r="B162" s="2954"/>
      <c r="C162" s="2954"/>
      <c r="D162" s="2954"/>
      <c r="E162" s="2954"/>
      <c r="F162" s="2994"/>
      <c r="G162" s="2994"/>
      <c r="H162" s="2995"/>
      <c r="I162" s="1556"/>
      <c r="J162" s="3003" t="s">
        <v>9412</v>
      </c>
      <c r="K162" s="2954"/>
      <c r="L162" s="2996"/>
      <c r="M162" s="1556"/>
      <c r="N162" s="2876"/>
      <c r="O162" s="2090"/>
      <c r="P162" s="2090"/>
      <c r="Q162" s="2837" t="s">
        <v>823</v>
      </c>
    </row>
    <row r="163" spans="1:17">
      <c r="Q163" s="1" t="str">
        <f>ADDRESS(ROW(),COLUMN(),4)</f>
        <v>Q163</v>
      </c>
    </row>
  </sheetData>
  <mergeCells count="80">
    <mergeCell ref="B150:G150"/>
    <mergeCell ref="B151:G151"/>
    <mergeCell ref="B157:F157"/>
    <mergeCell ref="B161:E161"/>
    <mergeCell ref="J126:P126"/>
    <mergeCell ref="B127:F127"/>
    <mergeCell ref="B134:Q134"/>
    <mergeCell ref="B137:G137"/>
    <mergeCell ref="B143:E143"/>
    <mergeCell ref="B146:F146"/>
    <mergeCell ref="B122:B123"/>
    <mergeCell ref="C122:C123"/>
    <mergeCell ref="D122:D123"/>
    <mergeCell ref="E122:E123"/>
    <mergeCell ref="F122:F123"/>
    <mergeCell ref="F117:F119"/>
    <mergeCell ref="B120:B121"/>
    <mergeCell ref="C120:D121"/>
    <mergeCell ref="E120:E121"/>
    <mergeCell ref="F120:F121"/>
    <mergeCell ref="A109:A132"/>
    <mergeCell ref="I109:I128"/>
    <mergeCell ref="B110:B111"/>
    <mergeCell ref="C110:F111"/>
    <mergeCell ref="J110:J111"/>
    <mergeCell ref="B114:B116"/>
    <mergeCell ref="C114:D116"/>
    <mergeCell ref="E114:E116"/>
    <mergeCell ref="F114:F116"/>
    <mergeCell ref="B124:B125"/>
    <mergeCell ref="C124:D125"/>
    <mergeCell ref="E124:E125"/>
    <mergeCell ref="F124:F125"/>
    <mergeCell ref="B117:B119"/>
    <mergeCell ref="C117:D119"/>
    <mergeCell ref="E117:E119"/>
    <mergeCell ref="K110:P111"/>
    <mergeCell ref="B112:D113"/>
    <mergeCell ref="E112:E113"/>
    <mergeCell ref="F112:F113"/>
    <mergeCell ref="J112:J113"/>
    <mergeCell ref="K112:K113"/>
    <mergeCell ref="L112:O113"/>
    <mergeCell ref="P112:P113"/>
    <mergeCell ref="J108:P108"/>
    <mergeCell ref="B73:C73"/>
    <mergeCell ref="B76:Q76"/>
    <mergeCell ref="C95:L95"/>
    <mergeCell ref="B100:F100"/>
    <mergeCell ref="C101:H101"/>
    <mergeCell ref="C102:G102"/>
    <mergeCell ref="C103:H103"/>
    <mergeCell ref="C104:H104"/>
    <mergeCell ref="C105:H105"/>
    <mergeCell ref="C106:H106"/>
    <mergeCell ref="B108:F108"/>
    <mergeCell ref="B68:C68"/>
    <mergeCell ref="B49:C50"/>
    <mergeCell ref="K49:L50"/>
    <mergeCell ref="A50:A55"/>
    <mergeCell ref="J50:J55"/>
    <mergeCell ref="B57:C57"/>
    <mergeCell ref="K57:L58"/>
    <mergeCell ref="A58:A74"/>
    <mergeCell ref="B58:C58"/>
    <mergeCell ref="J58:J67"/>
    <mergeCell ref="K60:L60"/>
    <mergeCell ref="K61:L61"/>
    <mergeCell ref="B65:C65"/>
    <mergeCell ref="K65:L65"/>
    <mergeCell ref="B66:C66"/>
    <mergeCell ref="K66:L66"/>
    <mergeCell ref="B2:Q2"/>
    <mergeCell ref="B4:Q5"/>
    <mergeCell ref="A21:A31"/>
    <mergeCell ref="B31:J31"/>
    <mergeCell ref="A36:A45"/>
    <mergeCell ref="J36:J45"/>
    <mergeCell ref="B45:G45"/>
    <mergeCell ref="K45:P45"/>
  </mergeCells>
  <conditionalFormatting sqref="A4">
    <cfRule type="expression" dxfId="0" priority="1" stopIfTrue="1">
      <formula>OR(ROW()=CELL("ligne"),COLUMN()=CELL("colonne"))</formula>
    </cfRule>
  </conditionalFormatting>
  <hyperlinks>
    <hyperlink ref="B137" r:id="rId1" xr:uid="{DA22CF09-6C1E-4881-99AA-75A53D0CFB7C}"/>
    <hyperlink ref="B143" r:id="rId2" xr:uid="{904736F3-9924-4B0E-8AD0-9EF43E6F68DC}"/>
    <hyperlink ref="B151" r:id="rId3" xr:uid="{27397664-D9E8-4637-80BF-86E8BCFBD3EA}"/>
    <hyperlink ref="B157" r:id="rId4" xr:uid="{9609477A-38BC-43C4-9651-B4B6BE86CFEA}"/>
    <hyperlink ref="B161" r:id="rId5" xr:uid="{C52FC19B-DF3E-4F31-B4E1-A1EC20AB7587}"/>
    <hyperlink ref="B146" r:id="rId6" xr:uid="{53B8031F-56A1-4F62-BC6F-3D8A2758E39B}"/>
    <hyperlink ref="J144" r:id="rId7" xr:uid="{12BA8D1B-E484-483A-BEC2-6CC93F0624A5}"/>
    <hyperlink ref="J145" r:id="rId8" xr:uid="{FB32CA7A-5D46-40F9-AF15-E66941BC46B2}"/>
    <hyperlink ref="J138" r:id="rId9" xr:uid="{D9F17DFC-0496-45A2-AB26-38B6AF4D88F0}"/>
    <hyperlink ref="J157" r:id="rId10" xr:uid="{CCCB61D9-800D-4F67-93D1-81D199639020}"/>
    <hyperlink ref="J148" r:id="rId11" xr:uid="{51A1500E-5919-4D62-980D-AA4E31A05C93}"/>
    <hyperlink ref="J162" r:id="rId12" xr:uid="{F01D16F8-B501-4141-AB6F-48709DE2ECFC}"/>
    <hyperlink ref="J158" r:id="rId13" xr:uid="{94D25D10-EBD9-40D7-ABF9-54F71E294981}"/>
    <hyperlink ref="J159" r:id="rId14" xr:uid="{EDB063A0-E2C8-4EF6-B36F-4E05067831B4}"/>
    <hyperlink ref="J154" r:id="rId15" xr:uid="{2D239F30-B5CF-4AA9-A651-7BB6A5BCD4FD}"/>
    <hyperlink ref="B100" r:id="rId16" xr:uid="{11FAFA30-BB1A-464E-9028-8BDE53A1EFE9}"/>
    <hyperlink ref="C102" r:id="rId17" xr:uid="{69AFC03C-72F4-42E2-83F2-695A63AE884D}"/>
    <hyperlink ref="C104" r:id="rId18" xr:uid="{A1999ADB-CCCC-49F0-A3AE-4F53F7011930}"/>
    <hyperlink ref="C105" r:id="rId19" xr:uid="{35E81A31-D81C-44B0-822E-06BB93761383}"/>
    <hyperlink ref="C101" r:id="rId20" xr:uid="{D363C919-B872-4DB6-96D2-E3BDE05C16B8}"/>
    <hyperlink ref="C106" r:id="rId21" xr:uid="{CD84FE0B-A951-47F2-8DCE-81F00E89ABC1}"/>
    <hyperlink ref="C103" r:id="rId22" xr:uid="{5AABD157-CAB6-447C-AA6D-F80F9A050E18}"/>
    <hyperlink ref="B90" r:id="rId23" xr:uid="{6E603BEA-A72D-4ACE-9118-5431DED364A1}"/>
    <hyperlink ref="B91" r:id="rId24" xr:uid="{70004110-F421-48C0-B571-8D12DA8E00EE}"/>
    <hyperlink ref="B150:G150" r:id="rId25" display="http://calc.name/blog/comment-compter-le-pourcentage-de-tete-vite-et-facilement/" xr:uid="{9E417182-F6F1-4156-94D5-0EF66B341B13}"/>
    <hyperlink ref="C95" r:id="rId26" display="https://www.google.com/search?client=firefox-b-d&amp;sca_esv=564255901&amp;sxsrf=AB5stBihJ69cL1ng1vQDYXKmUFWjQYd6jQ:1694407722726&amp;q=dgccrf+Poids+brut+ou+poids+net+?+Ne+payer+pas+l%27emballage+!&amp;spell=1&amp;sa=X&amp;ved=2ahUKEwjRtKvT4KGBAxVJWqQEHb3mCrcQBSgAegQICBAB&amp;biw=1564&amp;bih=722&amp;dpr=1.2" xr:uid="{2C64F7E1-CB6D-45D7-B1D1-4373EBEDF849}"/>
  </hyperlinks>
  <pageMargins left="0.7" right="0.7" top="0.75" bottom="0.75" header="0.3" footer="0.3"/>
  <drawing r:id="rId27"/>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DF937A-3C16-4080-AF36-0948FAB99609}">
  <dimension ref="A1:AS408"/>
  <sheetViews>
    <sheetView showZeros="0" zoomScaleNormal="100" workbookViewId="0">
      <selection activeCell="I10" sqref="I10"/>
    </sheetView>
  </sheetViews>
  <sheetFormatPr baseColWidth="10" defaultRowHeight="15"/>
  <cols>
    <col min="1" max="1" width="6.7109375" customWidth="1"/>
    <col min="2" max="2" width="11.7109375" style="856" customWidth="1"/>
    <col min="3" max="3" width="12.7109375" style="856" customWidth="1"/>
    <col min="4" max="4" width="4.5703125" style="856" customWidth="1"/>
    <col min="5" max="5" width="11.7109375" style="856" customWidth="1"/>
    <col min="6" max="6" width="12.5703125" style="856" customWidth="1"/>
    <col min="7" max="7" width="2.140625" style="856" customWidth="1"/>
    <col min="8" max="9" width="12.7109375" style="856" customWidth="1"/>
    <col min="10" max="10" width="5.140625" style="856" customWidth="1"/>
    <col min="11" max="19" width="12.7109375" style="856" customWidth="1"/>
    <col min="20" max="21" width="11.42578125" style="856"/>
    <col min="22" max="22" width="9.7109375" style="856" customWidth="1"/>
    <col min="23" max="23" width="23.7109375" style="856" customWidth="1"/>
    <col min="24" max="24" width="37.7109375" style="856" customWidth="1"/>
    <col min="25" max="27" width="8.7109375" style="856" customWidth="1"/>
    <col min="28" max="28" width="11.42578125" style="856"/>
    <col min="29" max="29" width="9.7109375" style="856" customWidth="1"/>
    <col min="30" max="30" width="23.7109375" style="856" customWidth="1"/>
    <col min="31" max="31" width="37.7109375" style="856" customWidth="1"/>
    <col min="32" max="34" width="8.7109375" style="856" customWidth="1"/>
    <col min="35" max="35" width="11.42578125" style="856"/>
    <col min="36" max="36" width="9.7109375" style="856" customWidth="1"/>
    <col min="37" max="37" width="23.7109375" style="856" customWidth="1"/>
    <col min="38" max="38" width="37.7109375" style="856" customWidth="1"/>
    <col min="39" max="41" width="8.7109375" style="856" customWidth="1"/>
    <col min="42" max="42" width="11.42578125" style="856"/>
    <col min="43" max="43" width="8.7109375" style="856" customWidth="1"/>
    <col min="44" max="44" width="11.42578125" style="709"/>
    <col min="45" max="45" width="43.5703125" style="709" customWidth="1"/>
  </cols>
  <sheetData>
    <row r="1" spans="1:45">
      <c r="A1" s="1" t="str">
        <f>ADDRESS(ROW(),COLUMN(),4)</f>
        <v>A1</v>
      </c>
      <c r="B1" s="879" t="str">
        <f>SUBSTITUTE(ADDRESS(1,COLUMN(),4),"1","")</f>
        <v>B</v>
      </c>
      <c r="C1" s="879" t="str">
        <f>SUBSTITUTE(ADDRESS(1,COLUMN(),4),"1","")</f>
        <v>C</v>
      </c>
      <c r="E1" s="879" t="str">
        <f>SUBSTITUTE(ADDRESS(1,COLUMN(),4),"1","")</f>
        <v>E</v>
      </c>
      <c r="F1" s="879" t="str">
        <f>SUBSTITUTE(ADDRESS(1,COLUMN(),4),"1","")</f>
        <v>F</v>
      </c>
      <c r="G1"/>
      <c r="H1" s="879" t="str">
        <f>SUBSTITUTE(ADDRESS(1,COLUMN(),4),"1","")</f>
        <v>H</v>
      </c>
      <c r="I1" s="879" t="str">
        <f>SUBSTITUTE(ADDRESS(1,COLUMN(),4),"1","")</f>
        <v>I</v>
      </c>
      <c r="J1"/>
      <c r="K1" s="879" t="str">
        <f t="shared" ref="K1:T1" si="0">SUBSTITUTE(ADDRESS(1,COLUMN(),4),"1","")</f>
        <v>K</v>
      </c>
      <c r="L1" s="879" t="str">
        <f t="shared" si="0"/>
        <v>L</v>
      </c>
      <c r="M1" s="879" t="str">
        <f t="shared" si="0"/>
        <v>M</v>
      </c>
      <c r="N1" s="879" t="str">
        <f t="shared" si="0"/>
        <v>N</v>
      </c>
      <c r="O1" s="879" t="str">
        <f t="shared" si="0"/>
        <v>O</v>
      </c>
      <c r="P1" s="879" t="str">
        <f t="shared" si="0"/>
        <v>P</v>
      </c>
      <c r="Q1" s="879" t="str">
        <f t="shared" si="0"/>
        <v>Q</v>
      </c>
      <c r="R1" s="879" t="str">
        <f t="shared" si="0"/>
        <v>R</v>
      </c>
      <c r="S1" s="879" t="str">
        <f t="shared" si="0"/>
        <v>S</v>
      </c>
      <c r="T1" s="879" t="str">
        <f t="shared" si="0"/>
        <v>T</v>
      </c>
      <c r="U1"/>
      <c r="V1" s="879" t="str">
        <f>SUBSTITUTE(ADDRESS(1,COLUMN(),4),"1","")</f>
        <v>V</v>
      </c>
      <c r="W1" s="879" t="str">
        <f>SUBSTITUTE(ADDRESS(1,COLUMN(),4),"1","")</f>
        <v>W</v>
      </c>
      <c r="X1" s="879" t="str">
        <f>SUBSTITUTE(ADDRESS(1,COLUMN(),4),"1","")</f>
        <v>X</v>
      </c>
      <c r="Y1" s="879" t="str">
        <f>SUBSTITUTE(ADDRESS(1,COLUMN(),4),"1","")</f>
        <v>Y</v>
      </c>
      <c r="Z1" s="879" t="str">
        <f>SUBSTITUTE(ADDRESS(1,COLUMN(),4),"1","")</f>
        <v>Z</v>
      </c>
      <c r="AA1"/>
      <c r="AB1"/>
      <c r="AC1" s="879" t="str">
        <f t="shared" ref="AC1:AH1" si="1">SUBSTITUTE(ADDRESS(1,COLUMN(),4),"1","")</f>
        <v>AC</v>
      </c>
      <c r="AD1" s="879" t="str">
        <f t="shared" si="1"/>
        <v>AD</v>
      </c>
      <c r="AE1" s="879" t="str">
        <f t="shared" si="1"/>
        <v>AE</v>
      </c>
      <c r="AF1" s="879" t="str">
        <f t="shared" si="1"/>
        <v>AF</v>
      </c>
      <c r="AG1" s="879" t="str">
        <f t="shared" si="1"/>
        <v>AG</v>
      </c>
      <c r="AH1" s="879" t="str">
        <f t="shared" si="1"/>
        <v>AH</v>
      </c>
      <c r="AI1"/>
      <c r="AJ1" s="879" t="str">
        <f t="shared" ref="AJ1:AO1" si="2">SUBSTITUTE(ADDRESS(1,COLUMN(),4),"1","")</f>
        <v>AJ</v>
      </c>
      <c r="AK1" s="879" t="str">
        <f t="shared" si="2"/>
        <v>AK</v>
      </c>
      <c r="AL1" s="879" t="str">
        <f t="shared" si="2"/>
        <v>AL</v>
      </c>
      <c r="AM1" s="879" t="str">
        <f t="shared" si="2"/>
        <v>AM</v>
      </c>
      <c r="AN1" s="879" t="str">
        <f t="shared" si="2"/>
        <v>AN</v>
      </c>
      <c r="AO1" s="879" t="str">
        <f t="shared" si="2"/>
        <v>AO</v>
      </c>
      <c r="AP1"/>
      <c r="AQ1" s="3">
        <v>1</v>
      </c>
      <c r="AR1" s="879" t="str">
        <f>SUBSTITUTE(ADDRESS(1,COLUMN(),4),"1","")</f>
        <v>AR</v>
      </c>
      <c r="AS1" s="880" t="str">
        <f>SUBSTITUTE(ADDRESS(1,COLUMN(),4),"1","")</f>
        <v>AS</v>
      </c>
    </row>
    <row r="2" spans="1:45">
      <c r="A2" s="881"/>
      <c r="B2" s="854">
        <f ca="1">CELL("largeur",B2)</f>
        <v>11</v>
      </c>
      <c r="C2" s="854">
        <f ca="1">CELL("largeur",C2)</f>
        <v>12</v>
      </c>
      <c r="E2" s="854">
        <f ca="1">CELL("largeur",E2)</f>
        <v>11</v>
      </c>
      <c r="F2" s="854">
        <f ca="1">CELL("largeur",F2)</f>
        <v>12</v>
      </c>
      <c r="G2"/>
      <c r="H2" s="854">
        <f ca="1">CELL("largeur",H2)</f>
        <v>12</v>
      </c>
      <c r="I2" s="854">
        <f ca="1">CELL("largeur",I2)</f>
        <v>12</v>
      </c>
      <c r="J2"/>
      <c r="K2" s="854">
        <f t="shared" ref="K2:T2" ca="1" si="3">CELL("largeur",K2)</f>
        <v>12</v>
      </c>
      <c r="L2" s="854">
        <f t="shared" ca="1" si="3"/>
        <v>12</v>
      </c>
      <c r="M2" s="854">
        <f t="shared" ca="1" si="3"/>
        <v>12</v>
      </c>
      <c r="N2" s="854">
        <f t="shared" ca="1" si="3"/>
        <v>12</v>
      </c>
      <c r="O2" s="854">
        <f t="shared" ca="1" si="3"/>
        <v>12</v>
      </c>
      <c r="P2" s="854">
        <f t="shared" ca="1" si="3"/>
        <v>12</v>
      </c>
      <c r="Q2" s="854">
        <f t="shared" ca="1" si="3"/>
        <v>12</v>
      </c>
      <c r="R2" s="854">
        <f t="shared" ca="1" si="3"/>
        <v>12</v>
      </c>
      <c r="S2" s="854">
        <f t="shared" ca="1" si="3"/>
        <v>12</v>
      </c>
      <c r="T2" s="854">
        <f t="shared" ca="1" si="3"/>
        <v>11</v>
      </c>
      <c r="U2"/>
      <c r="V2" s="854">
        <f ca="1">CELL("largeur",V2)</f>
        <v>9</v>
      </c>
      <c r="W2" s="854">
        <f ca="1">CELL("largeur",W2)</f>
        <v>23</v>
      </c>
      <c r="X2" s="854">
        <f ca="1">CELL("largeur",X2)</f>
        <v>37</v>
      </c>
      <c r="Y2" s="854">
        <f ca="1">CELL("largeur",Y2)</f>
        <v>8</v>
      </c>
      <c r="Z2" s="854">
        <f ca="1">CELL("largeur",Z2)</f>
        <v>8</v>
      </c>
      <c r="AA2"/>
      <c r="AB2"/>
      <c r="AC2" s="854">
        <f t="shared" ref="AC2:AH2" ca="1" si="4">CELL("largeur",AC2)</f>
        <v>9</v>
      </c>
      <c r="AD2" s="854">
        <f t="shared" ca="1" si="4"/>
        <v>23</v>
      </c>
      <c r="AE2" s="854">
        <f t="shared" ca="1" si="4"/>
        <v>37</v>
      </c>
      <c r="AF2" s="854">
        <f t="shared" ca="1" si="4"/>
        <v>8</v>
      </c>
      <c r="AG2" s="854">
        <f t="shared" ca="1" si="4"/>
        <v>8</v>
      </c>
      <c r="AH2" s="854">
        <f t="shared" ca="1" si="4"/>
        <v>8</v>
      </c>
      <c r="AI2"/>
      <c r="AJ2" s="854">
        <f t="shared" ref="AJ2:AO2" ca="1" si="5">CELL("largeur",AJ2)</f>
        <v>9</v>
      </c>
      <c r="AK2" s="854">
        <f t="shared" ca="1" si="5"/>
        <v>23</v>
      </c>
      <c r="AL2" s="854">
        <f t="shared" ca="1" si="5"/>
        <v>37</v>
      </c>
      <c r="AM2" s="854">
        <f t="shared" ca="1" si="5"/>
        <v>8</v>
      </c>
      <c r="AN2" s="854">
        <f t="shared" ca="1" si="5"/>
        <v>8</v>
      </c>
      <c r="AO2" s="854">
        <f t="shared" ca="1" si="5"/>
        <v>8</v>
      </c>
      <c r="AP2"/>
      <c r="AQ2" s="3">
        <v>1</v>
      </c>
      <c r="AR2" s="8"/>
      <c r="AS2" s="8" t="s">
        <v>881</v>
      </c>
    </row>
    <row r="3" spans="1:45" ht="15.75">
      <c r="B3"/>
      <c r="C3"/>
      <c r="E3"/>
      <c r="F3"/>
      <c r="G3"/>
      <c r="H3" s="9"/>
      <c r="I3" s="9"/>
      <c r="J3" s="9"/>
      <c r="K3" s="9"/>
      <c r="L3" s="9"/>
      <c r="M3" s="9"/>
      <c r="N3" s="9"/>
      <c r="O3" s="9"/>
      <c r="P3" s="9"/>
      <c r="Q3" s="9"/>
      <c r="R3" s="9"/>
      <c r="S3" s="9"/>
      <c r="T3" s="9"/>
      <c r="U3" s="9"/>
      <c r="V3" s="9"/>
      <c r="W3" s="9"/>
      <c r="X3" s="9"/>
      <c r="Y3" s="9"/>
      <c r="Z3" s="9"/>
      <c r="AA3" s="9"/>
      <c r="AB3" s="9"/>
      <c r="AC3" s="9"/>
      <c r="AD3" s="9"/>
      <c r="AE3" s="9"/>
      <c r="AF3" s="9"/>
      <c r="AG3" s="9"/>
      <c r="AH3" s="9"/>
      <c r="AI3" s="9"/>
      <c r="AJ3" s="9"/>
      <c r="AK3" s="9"/>
      <c r="AL3" s="9"/>
      <c r="AM3" s="9"/>
      <c r="AN3" s="9"/>
      <c r="AO3" s="9"/>
      <c r="AP3"/>
      <c r="AQ3" s="3">
        <v>1</v>
      </c>
      <c r="AR3" s="11" cm="1">
        <f t="array" aca="1" ref="AR3" ca="1">COUNTA(A1:AQ408+COUNTBLANK(A1:AQ408))</f>
        <v>17544</v>
      </c>
      <c r="AS3" s="872" t="str">
        <f>"cellules entre"&amp;" " &amp;A1&amp;" et  "&amp;AQ408</f>
        <v>cellules entre A1 et  AQ408</v>
      </c>
    </row>
    <row r="4" spans="1:45" ht="21" customHeight="1">
      <c r="H4" s="498"/>
      <c r="I4" s="498"/>
      <c r="J4" s="498"/>
      <c r="K4" s="498"/>
      <c r="L4" s="498"/>
      <c r="M4" s="498"/>
      <c r="N4" s="498"/>
      <c r="O4" s="498"/>
      <c r="P4" s="498"/>
      <c r="Q4" s="498"/>
      <c r="R4" s="498"/>
      <c r="S4" s="498"/>
      <c r="T4" s="498"/>
      <c r="U4" s="498"/>
      <c r="V4" s="498"/>
      <c r="W4" s="498"/>
      <c r="X4" s="498"/>
      <c r="Y4" s="498"/>
      <c r="Z4" s="498"/>
      <c r="AA4" s="498"/>
      <c r="AB4" s="498"/>
      <c r="AC4" s="498"/>
      <c r="AD4" s="498"/>
      <c r="AE4" s="498"/>
      <c r="AF4" s="498"/>
      <c r="AG4" s="498"/>
      <c r="AH4" s="498"/>
      <c r="AI4" s="498"/>
      <c r="AJ4" s="498"/>
      <c r="AK4" s="498"/>
      <c r="AL4" s="498"/>
      <c r="AM4" s="498"/>
      <c r="AN4" s="498"/>
      <c r="AO4" s="498"/>
      <c r="AP4" s="442"/>
      <c r="AQ4" s="3">
        <v>1</v>
      </c>
      <c r="AR4" s="11">
        <f ca="1">COUNTA(A1:AQ408)</f>
        <v>7424</v>
      </c>
      <c r="AS4" s="872" t="s">
        <v>882</v>
      </c>
    </row>
    <row r="5" spans="1:45" ht="21" customHeight="1">
      <c r="H5" s="498"/>
      <c r="I5" s="498"/>
      <c r="J5" s="498"/>
      <c r="K5" s="498"/>
      <c r="L5" s="498"/>
      <c r="M5" s="498"/>
      <c r="N5" s="498"/>
      <c r="O5" s="498"/>
      <c r="P5" s="498"/>
      <c r="Q5" s="498"/>
      <c r="R5" s="498"/>
      <c r="S5" s="498"/>
      <c r="T5" s="498"/>
      <c r="U5" s="498"/>
      <c r="V5" s="498"/>
      <c r="W5" s="498"/>
      <c r="X5" s="498"/>
      <c r="Y5" s="498"/>
      <c r="Z5" s="498"/>
      <c r="AA5" s="498"/>
      <c r="AB5" s="498"/>
      <c r="AC5" s="475"/>
      <c r="AD5" s="442"/>
      <c r="AE5" s="442"/>
      <c r="AF5" s="442"/>
      <c r="AG5" s="498"/>
      <c r="AH5" s="498"/>
      <c r="AI5" s="498"/>
      <c r="AJ5" s="498"/>
      <c r="AK5" s="498"/>
      <c r="AL5" s="498"/>
      <c r="AM5" s="498"/>
      <c r="AN5" s="498"/>
      <c r="AO5" s="498"/>
      <c r="AP5" s="442"/>
      <c r="AQ5" s="3">
        <v>1</v>
      </c>
      <c r="AR5" s="11">
        <f ca="1">COUNTBLANK(A1:AQ408)</f>
        <v>10120</v>
      </c>
      <c r="AS5" s="872" t="s">
        <v>883</v>
      </c>
    </row>
    <row r="6" spans="1:45" ht="21" customHeight="1">
      <c r="H6" s="498"/>
      <c r="I6" s="498"/>
      <c r="J6" s="498"/>
      <c r="K6" s="498"/>
      <c r="L6" s="498"/>
      <c r="M6" s="498"/>
      <c r="N6" s="498"/>
      <c r="O6" s="498"/>
      <c r="P6" s="498"/>
      <c r="Q6" s="498"/>
      <c r="R6" s="498"/>
      <c r="S6" s="498"/>
      <c r="T6" s="498"/>
      <c r="U6" s="498"/>
      <c r="V6" s="498"/>
      <c r="W6" s="498"/>
      <c r="X6" s="498"/>
      <c r="Y6" s="498"/>
      <c r="Z6" s="498"/>
      <c r="AA6" s="498"/>
      <c r="AB6" s="498"/>
      <c r="AC6" s="475" t="s">
        <v>9413</v>
      </c>
      <c r="AD6" s="442"/>
      <c r="AE6" s="442"/>
      <c r="AF6" s="442"/>
      <c r="AG6" s="498"/>
      <c r="AH6" s="498"/>
      <c r="AI6" s="498"/>
      <c r="AJ6" s="498"/>
      <c r="AK6" s="498"/>
      <c r="AL6" s="498"/>
      <c r="AM6" s="498"/>
      <c r="AN6" s="498"/>
      <c r="AO6" s="498"/>
      <c r="AP6" s="442"/>
      <c r="AQ6" s="3">
        <v>1</v>
      </c>
      <c r="AR6" s="11">
        <f>SUM(AQ1:AQ406)+2</f>
        <v>408</v>
      </c>
      <c r="AS6" s="872" t="s">
        <v>884</v>
      </c>
    </row>
    <row r="7" spans="1:45" ht="21" customHeight="1">
      <c r="H7" s="498"/>
      <c r="I7" s="498"/>
      <c r="J7" s="498"/>
      <c r="K7" s="498"/>
      <c r="L7" s="498"/>
      <c r="M7" s="498"/>
      <c r="N7" s="498"/>
      <c r="O7" s="498"/>
      <c r="P7" s="498"/>
      <c r="Q7" s="498"/>
      <c r="R7" s="498"/>
      <c r="S7" s="498"/>
      <c r="T7" s="498"/>
      <c r="U7" s="498"/>
      <c r="V7" s="498"/>
      <c r="W7" s="498"/>
      <c r="X7" s="498"/>
      <c r="Y7" s="498"/>
      <c r="Z7" s="498"/>
      <c r="AA7" s="498"/>
      <c r="AB7" s="498"/>
      <c r="AC7" s="3004" t="s">
        <v>1886</v>
      </c>
      <c r="AD7" s="6688" t="s">
        <v>9414</v>
      </c>
      <c r="AE7" s="6688"/>
      <c r="AF7" s="6688"/>
      <c r="AG7" s="498"/>
      <c r="AH7" s="498"/>
      <c r="AI7" s="498"/>
      <c r="AJ7" s="498"/>
      <c r="AK7" s="498"/>
      <c r="AL7" s="498"/>
      <c r="AM7" s="498"/>
      <c r="AN7" s="498"/>
      <c r="AO7" s="498"/>
      <c r="AP7" s="442"/>
      <c r="AQ7" s="3">
        <v>1</v>
      </c>
      <c r="AR7" s="11">
        <f>SUM(A408:AP408)+1</f>
        <v>43</v>
      </c>
      <c r="AS7" s="872" t="s">
        <v>885</v>
      </c>
    </row>
    <row r="8" spans="1:45" ht="21" customHeight="1">
      <c r="B8" s="5841" t="s">
        <v>984</v>
      </c>
      <c r="C8" s="5841"/>
      <c r="E8" s="5841" t="s">
        <v>984</v>
      </c>
      <c r="F8" s="5841"/>
      <c r="H8" s="498"/>
      <c r="I8" s="498"/>
      <c r="J8" s="498"/>
      <c r="K8" s="498"/>
      <c r="L8" s="498"/>
      <c r="M8" s="498"/>
      <c r="N8" s="498"/>
      <c r="O8" s="498"/>
      <c r="P8" s="498"/>
      <c r="Q8" s="498"/>
      <c r="R8" s="498"/>
      <c r="S8" s="498"/>
      <c r="T8" s="498"/>
      <c r="U8" s="498"/>
      <c r="V8" s="498"/>
      <c r="W8" s="498"/>
      <c r="X8" s="498"/>
      <c r="Y8" s="498"/>
      <c r="Z8" s="498"/>
      <c r="AA8" s="498"/>
      <c r="AB8" s="498"/>
      <c r="AC8" s="498" t="s">
        <v>9415</v>
      </c>
      <c r="AD8" s="442"/>
      <c r="AE8" s="442"/>
      <c r="AF8" s="442"/>
      <c r="AG8" s="498"/>
      <c r="AH8" s="498"/>
      <c r="AI8" s="498"/>
      <c r="AJ8" s="498"/>
      <c r="AK8" s="498"/>
      <c r="AL8" s="498"/>
      <c r="AM8" s="498"/>
      <c r="AN8" s="498"/>
      <c r="AO8" s="498"/>
      <c r="AP8" s="442"/>
      <c r="AQ8" s="3">
        <v>1</v>
      </c>
    </row>
    <row r="9" spans="1:45" ht="21" customHeight="1">
      <c r="B9" s="5841"/>
      <c r="C9" s="5841"/>
      <c r="E9" s="5841"/>
      <c r="F9" s="5841"/>
      <c r="H9" s="498"/>
      <c r="I9" s="498"/>
      <c r="J9" s="498"/>
      <c r="K9" s="498"/>
      <c r="L9" s="498"/>
      <c r="M9" s="498"/>
      <c r="N9" s="498"/>
      <c r="O9" s="498"/>
      <c r="P9" s="498"/>
      <c r="Q9" s="498"/>
      <c r="R9" s="498"/>
      <c r="S9" s="498"/>
      <c r="T9" s="498"/>
      <c r="U9" s="498"/>
      <c r="V9" s="498"/>
      <c r="W9" s="498"/>
      <c r="X9" s="498"/>
      <c r="Y9" s="498"/>
      <c r="Z9" s="498"/>
      <c r="AA9" s="498"/>
      <c r="AB9" s="498"/>
      <c r="AC9" s="3004" t="s">
        <v>1886</v>
      </c>
      <c r="AD9" s="6688" t="s">
        <v>9416</v>
      </c>
      <c r="AE9" s="6688"/>
      <c r="AF9" s="6688"/>
      <c r="AG9" s="498"/>
      <c r="AH9" s="498"/>
      <c r="AI9" s="498"/>
      <c r="AJ9" s="498"/>
      <c r="AK9" s="498"/>
      <c r="AL9" s="498"/>
      <c r="AM9" s="498"/>
      <c r="AN9" s="498"/>
      <c r="AO9" s="498"/>
      <c r="AP9" s="442"/>
      <c r="AQ9" s="3">
        <v>1</v>
      </c>
    </row>
    <row r="10" spans="1:45" ht="21" customHeight="1">
      <c r="B10" s="5834" t="s">
        <v>996</v>
      </c>
      <c r="C10" s="5834"/>
      <c r="H10" s="498"/>
      <c r="I10" s="498"/>
      <c r="J10" s="498"/>
      <c r="K10" s="498"/>
      <c r="L10" s="498"/>
      <c r="M10" s="498"/>
      <c r="N10" s="498"/>
      <c r="O10" s="498"/>
      <c r="P10" s="498"/>
      <c r="Q10" s="498"/>
      <c r="R10" s="498"/>
      <c r="S10" s="498"/>
      <c r="T10" s="498"/>
      <c r="U10" s="498"/>
      <c r="V10" s="498"/>
      <c r="W10" s="498"/>
      <c r="X10" s="498"/>
      <c r="Y10" s="498"/>
      <c r="Z10" s="498"/>
      <c r="AA10" s="498"/>
      <c r="AB10" s="498"/>
      <c r="AC10" s="498" t="s">
        <v>9417</v>
      </c>
      <c r="AD10" s="442"/>
      <c r="AE10" s="442"/>
      <c r="AF10" s="442"/>
      <c r="AG10" s="498"/>
      <c r="AH10" s="498"/>
      <c r="AI10" s="498"/>
      <c r="AJ10" s="498"/>
      <c r="AK10" s="498"/>
      <c r="AL10" s="498"/>
      <c r="AM10" s="498"/>
      <c r="AN10" s="498"/>
      <c r="AO10" s="498"/>
      <c r="AP10" s="442"/>
      <c r="AQ10" s="3">
        <v>1</v>
      </c>
    </row>
    <row r="11" spans="1:45" ht="21" customHeight="1">
      <c r="B11" s="5834"/>
      <c r="C11" s="5834"/>
      <c r="H11" s="442">
        <v>1</v>
      </c>
      <c r="I11" s="442">
        <v>1</v>
      </c>
      <c r="J11" s="498"/>
      <c r="K11" s="6689" t="s">
        <v>9418</v>
      </c>
      <c r="L11" s="6689"/>
      <c r="M11" s="6689"/>
      <c r="N11" s="6689"/>
      <c r="O11" s="6689"/>
      <c r="P11" s="6689"/>
      <c r="Q11" s="6689"/>
      <c r="R11" s="6689"/>
      <c r="S11" s="498"/>
      <c r="T11" s="498"/>
      <c r="U11" s="498"/>
      <c r="V11" s="3005" t="s">
        <v>9419</v>
      </c>
      <c r="W11" s="498"/>
      <c r="X11" s="498"/>
      <c r="Y11" s="498"/>
      <c r="Z11" s="498"/>
      <c r="AA11" s="498"/>
      <c r="AB11" s="498"/>
      <c r="AC11" s="3004" t="s">
        <v>1886</v>
      </c>
      <c r="AD11" s="6688" t="s">
        <v>9420</v>
      </c>
      <c r="AE11" s="6688"/>
      <c r="AF11" s="6688"/>
      <c r="AG11" s="498"/>
      <c r="AH11" s="498"/>
      <c r="AI11" s="498"/>
      <c r="AJ11" s="498"/>
      <c r="AK11" s="498"/>
      <c r="AL11" s="498"/>
      <c r="AM11" s="498"/>
      <c r="AN11" s="498"/>
      <c r="AO11" s="498"/>
      <c r="AP11" s="442"/>
      <c r="AQ11" s="3">
        <v>1</v>
      </c>
    </row>
    <row r="12" spans="1:45" ht="21" customHeight="1">
      <c r="H12" s="897" t="s">
        <v>997</v>
      </c>
      <c r="I12" s="498"/>
      <c r="K12" s="3006"/>
      <c r="L12" s="3006"/>
      <c r="M12" s="3006"/>
      <c r="N12" s="3006"/>
      <c r="O12" s="3006"/>
      <c r="P12" s="3006"/>
      <c r="Q12" s="3007" t="str">
        <f ca="1">"Page "&amp;_xlfn.SHEET()&amp;" sur "&amp;_xlfn.SHEETS()</f>
        <v>Page 27 sur 27</v>
      </c>
      <c r="R12" s="3007"/>
      <c r="S12" s="498"/>
      <c r="T12" s="498"/>
      <c r="U12" s="3004" t="s">
        <v>1886</v>
      </c>
      <c r="V12" s="1999" t="s">
        <v>9421</v>
      </c>
      <c r="W12" s="498"/>
      <c r="X12" s="498"/>
      <c r="Y12" s="498"/>
      <c r="Z12" s="498"/>
      <c r="AA12" s="498"/>
      <c r="AB12" s="498">
        <v>0</v>
      </c>
      <c r="AC12" s="498" t="s">
        <v>9422</v>
      </c>
      <c r="AD12" s="498"/>
      <c r="AE12" s="498"/>
      <c r="AF12" s="498"/>
      <c r="AG12" s="498"/>
      <c r="AH12" s="498"/>
      <c r="AI12" s="498"/>
      <c r="AJ12" s="498"/>
      <c r="AK12" s="498"/>
      <c r="AL12" s="498"/>
      <c r="AM12" s="498"/>
      <c r="AN12" s="498"/>
      <c r="AO12" s="498"/>
      <c r="AP12" s="442"/>
      <c r="AQ12" s="3">
        <v>1</v>
      </c>
    </row>
    <row r="13" spans="1:45" ht="21" customHeight="1">
      <c r="B13" s="5749" t="s">
        <v>1009</v>
      </c>
      <c r="C13" s="5749"/>
      <c r="E13" s="5747" t="s">
        <v>1010</v>
      </c>
      <c r="F13" s="5747"/>
      <c r="H13" s="5827" t="s">
        <v>1011</v>
      </c>
      <c r="I13" s="5827"/>
      <c r="K13" s="3008">
        <v>1</v>
      </c>
      <c r="L13" s="3009">
        <v>2</v>
      </c>
      <c r="M13" s="3010">
        <v>3</v>
      </c>
      <c r="N13" s="3011">
        <v>4</v>
      </c>
      <c r="O13" s="3012">
        <v>5</v>
      </c>
      <c r="P13" s="3013">
        <v>6</v>
      </c>
      <c r="Q13" s="3014">
        <v>7</v>
      </c>
      <c r="R13" s="3015">
        <v>8</v>
      </c>
      <c r="S13" s="498"/>
      <c r="T13" s="498"/>
      <c r="V13" s="448"/>
      <c r="W13" s="498"/>
      <c r="X13" s="498"/>
      <c r="Y13" s="498"/>
      <c r="Z13" s="498"/>
      <c r="AA13" s="498"/>
      <c r="AB13" s="498"/>
      <c r="AC13" s="3004" t="s">
        <v>1886</v>
      </c>
      <c r="AD13" s="3003" t="s">
        <v>9423</v>
      </c>
      <c r="AE13" s="498"/>
      <c r="AF13" s="498"/>
      <c r="AG13" s="498"/>
      <c r="AH13" s="498"/>
      <c r="AI13" s="498"/>
      <c r="AJ13" s="498"/>
      <c r="AK13" s="498"/>
      <c r="AL13" s="498"/>
      <c r="AM13" s="498"/>
      <c r="AN13" s="498"/>
      <c r="AO13" s="498"/>
      <c r="AP13" s="442"/>
      <c r="AQ13" s="3">
        <v>1</v>
      </c>
    </row>
    <row r="14" spans="1:45" ht="21" customHeight="1">
      <c r="B14" s="5749"/>
      <c r="C14" s="5749"/>
      <c r="E14" s="5747"/>
      <c r="F14" s="5747"/>
      <c r="H14" s="5828" t="s">
        <v>1012</v>
      </c>
      <c r="I14" s="6695"/>
      <c r="K14" s="3016">
        <v>9</v>
      </c>
      <c r="L14" s="3017">
        <v>10</v>
      </c>
      <c r="M14" s="3018">
        <v>11</v>
      </c>
      <c r="N14" s="3019">
        <v>12</v>
      </c>
      <c r="O14" s="3020">
        <v>13</v>
      </c>
      <c r="P14" s="3021">
        <v>14</v>
      </c>
      <c r="Q14" s="3022">
        <v>15</v>
      </c>
      <c r="R14" s="3023">
        <v>16</v>
      </c>
      <c r="S14" s="498"/>
      <c r="T14" s="498"/>
      <c r="V14" s="3005" t="s">
        <v>9424</v>
      </c>
      <c r="W14" s="498"/>
      <c r="X14" s="498"/>
      <c r="Y14" s="498"/>
      <c r="Z14" s="498"/>
      <c r="AA14" s="498"/>
      <c r="AB14" s="498"/>
      <c r="AC14" s="498" t="s">
        <v>9425</v>
      </c>
      <c r="AD14" s="498"/>
      <c r="AE14" s="498"/>
      <c r="AF14" s="498"/>
      <c r="AG14" s="498"/>
      <c r="AH14" s="498"/>
      <c r="AI14" s="498"/>
      <c r="AJ14" s="498"/>
      <c r="AK14" s="498"/>
      <c r="AL14" s="498"/>
      <c r="AM14" s="498"/>
      <c r="AN14" s="498"/>
      <c r="AO14" s="498"/>
      <c r="AP14" s="442"/>
      <c r="AQ14" s="3">
        <v>1</v>
      </c>
    </row>
    <row r="15" spans="1:45" ht="21" customHeight="1">
      <c r="H15" s="6696"/>
      <c r="I15" s="6697"/>
      <c r="K15" s="3024">
        <v>17</v>
      </c>
      <c r="L15" s="3025">
        <v>18</v>
      </c>
      <c r="M15" s="3026">
        <v>19</v>
      </c>
      <c r="N15" s="3027">
        <v>20</v>
      </c>
      <c r="O15" s="3028">
        <v>21</v>
      </c>
      <c r="P15" s="3029">
        <v>22</v>
      </c>
      <c r="Q15" s="3030">
        <v>23</v>
      </c>
      <c r="R15" s="3031">
        <v>24</v>
      </c>
      <c r="S15" s="498"/>
      <c r="T15" s="498"/>
      <c r="U15" s="3004" t="s">
        <v>1886</v>
      </c>
      <c r="V15" s="1999" t="s">
        <v>9426</v>
      </c>
      <c r="W15" s="498"/>
      <c r="X15" s="498"/>
      <c r="Y15" s="498"/>
      <c r="Z15" s="498"/>
      <c r="AA15" s="498"/>
      <c r="AB15" s="498"/>
      <c r="AC15" s="3004" t="s">
        <v>1886</v>
      </c>
      <c r="AD15" s="3003" t="s">
        <v>9427</v>
      </c>
      <c r="AE15" s="498"/>
      <c r="AF15" s="498"/>
      <c r="AG15" s="498"/>
      <c r="AH15" s="498"/>
      <c r="AI15" s="498"/>
      <c r="AJ15" s="498"/>
      <c r="AK15" s="498"/>
      <c r="AL15" s="498"/>
      <c r="AM15" s="498"/>
      <c r="AN15" s="498"/>
      <c r="AO15" s="498"/>
      <c r="AP15" s="442"/>
      <c r="AQ15" s="3">
        <v>1</v>
      </c>
    </row>
    <row r="16" spans="1:45" ht="21" customHeight="1">
      <c r="B16" s="5759" t="s">
        <v>1024</v>
      </c>
      <c r="C16" s="5759"/>
      <c r="E16" s="5802" t="s">
        <v>1025</v>
      </c>
      <c r="F16" s="5802"/>
      <c r="H16" s="5832"/>
      <c r="I16" s="5833"/>
      <c r="K16" s="3032">
        <v>25</v>
      </c>
      <c r="L16" s="3033">
        <v>26</v>
      </c>
      <c r="M16" s="3034">
        <v>27</v>
      </c>
      <c r="N16" s="3035">
        <v>28</v>
      </c>
      <c r="O16" s="3036">
        <v>29</v>
      </c>
      <c r="P16" s="3037">
        <v>30</v>
      </c>
      <c r="Q16" s="3038">
        <v>31</v>
      </c>
      <c r="R16" s="3039">
        <v>32</v>
      </c>
      <c r="S16" s="498"/>
      <c r="T16" s="498"/>
      <c r="U16" s="3004" t="s">
        <v>1886</v>
      </c>
      <c r="V16" s="1999" t="s">
        <v>9428</v>
      </c>
      <c r="W16" s="498"/>
      <c r="X16" s="498"/>
      <c r="Y16" s="498"/>
      <c r="Z16" s="498"/>
      <c r="AA16" s="498"/>
      <c r="AB16" s="498"/>
      <c r="AC16" s="498" t="s">
        <v>9429</v>
      </c>
      <c r="AD16" s="498"/>
      <c r="AE16" s="498"/>
      <c r="AF16" s="498"/>
      <c r="AG16" s="498"/>
      <c r="AH16" s="498"/>
      <c r="AI16" s="498"/>
      <c r="AJ16" s="498"/>
      <c r="AK16" s="498"/>
      <c r="AL16" s="498"/>
      <c r="AM16" s="498"/>
      <c r="AN16" s="498"/>
      <c r="AO16" s="498"/>
      <c r="AP16" s="442"/>
      <c r="AQ16" s="3">
        <v>1</v>
      </c>
    </row>
    <row r="17" spans="1:43" ht="21" customHeight="1">
      <c r="B17" s="5759"/>
      <c r="C17" s="5759"/>
      <c r="E17" s="5802"/>
      <c r="F17" s="5802"/>
      <c r="H17" s="898" t="s">
        <v>1026</v>
      </c>
      <c r="I17" s="898"/>
      <c r="K17" s="3040">
        <v>33</v>
      </c>
      <c r="L17" s="3041">
        <v>34</v>
      </c>
      <c r="M17" s="3042">
        <v>35</v>
      </c>
      <c r="N17" s="3043">
        <v>36</v>
      </c>
      <c r="O17" s="3044">
        <v>37</v>
      </c>
      <c r="P17" s="3045">
        <v>38</v>
      </c>
      <c r="Q17" s="3046">
        <v>39</v>
      </c>
      <c r="R17" s="3047">
        <v>40</v>
      </c>
      <c r="S17" s="498"/>
      <c r="T17" s="498"/>
      <c r="V17" s="448"/>
      <c r="W17" s="498"/>
      <c r="X17" s="498"/>
      <c r="Y17" s="498"/>
      <c r="Z17" s="498"/>
      <c r="AA17" s="498"/>
      <c r="AB17" s="498"/>
      <c r="AC17" s="3004" t="s">
        <v>1886</v>
      </c>
      <c r="AD17" s="3003" t="s">
        <v>9430</v>
      </c>
      <c r="AE17" s="498"/>
      <c r="AF17" s="498"/>
      <c r="AG17" s="498"/>
      <c r="AH17" s="498"/>
      <c r="AI17" s="498"/>
      <c r="AJ17" s="498"/>
      <c r="AK17" s="498"/>
      <c r="AL17" s="498"/>
      <c r="AM17" s="498"/>
      <c r="AN17" s="498"/>
      <c r="AO17" s="498"/>
      <c r="AP17" s="442"/>
      <c r="AQ17" s="3">
        <v>1</v>
      </c>
    </row>
    <row r="18" spans="1:43" ht="21" customHeight="1">
      <c r="H18" s="5816" t="s">
        <v>1027</v>
      </c>
      <c r="I18" s="6698"/>
      <c r="K18" s="3048">
        <v>41</v>
      </c>
      <c r="L18" s="3049">
        <v>42</v>
      </c>
      <c r="M18" s="3050">
        <v>43</v>
      </c>
      <c r="N18" s="3051">
        <v>44</v>
      </c>
      <c r="O18" s="3052">
        <v>45</v>
      </c>
      <c r="P18" s="3053">
        <v>46</v>
      </c>
      <c r="Q18" s="3054">
        <v>47</v>
      </c>
      <c r="R18" s="3055">
        <v>48</v>
      </c>
      <c r="S18" s="498"/>
      <c r="T18" s="498"/>
      <c r="V18" s="3005" t="s">
        <v>9431</v>
      </c>
      <c r="W18" s="498"/>
      <c r="X18" s="498"/>
      <c r="Y18" s="498"/>
      <c r="Z18" s="498"/>
      <c r="AA18" s="498"/>
      <c r="AB18" s="498"/>
      <c r="AC18" s="498" t="s">
        <v>9432</v>
      </c>
      <c r="AD18" s="498"/>
      <c r="AE18" s="498"/>
      <c r="AF18" s="498"/>
      <c r="AG18" s="498"/>
      <c r="AH18" s="498"/>
      <c r="AI18" s="498"/>
      <c r="AJ18" s="498"/>
      <c r="AK18" s="498"/>
      <c r="AL18" s="498"/>
      <c r="AM18" s="498"/>
      <c r="AN18" s="498"/>
      <c r="AO18" s="498"/>
      <c r="AP18" s="442"/>
      <c r="AQ18" s="3">
        <v>1</v>
      </c>
    </row>
    <row r="19" spans="1:43" ht="21" customHeight="1">
      <c r="A19" s="852"/>
      <c r="B19" s="5811" t="s">
        <v>1039</v>
      </c>
      <c r="C19" s="5811"/>
      <c r="E19" s="5769" t="s">
        <v>1040</v>
      </c>
      <c r="F19" s="5769"/>
      <c r="H19" s="5818"/>
      <c r="I19" s="5819"/>
      <c r="K19" s="3056">
        <v>49</v>
      </c>
      <c r="L19" s="3057">
        <v>50</v>
      </c>
      <c r="M19" s="3058">
        <v>51</v>
      </c>
      <c r="N19" s="3059">
        <v>52</v>
      </c>
      <c r="O19" s="3060">
        <v>53</v>
      </c>
      <c r="P19" s="3061">
        <v>54</v>
      </c>
      <c r="Q19" s="3062">
        <v>55</v>
      </c>
      <c r="R19" s="3063">
        <v>56</v>
      </c>
      <c r="S19" s="498"/>
      <c r="T19" s="498"/>
      <c r="U19" s="3004" t="s">
        <v>1886</v>
      </c>
      <c r="V19" s="1999" t="s">
        <v>9433</v>
      </c>
      <c r="W19" s="498"/>
      <c r="X19" s="498"/>
      <c r="Y19" s="498"/>
      <c r="Z19" s="498"/>
      <c r="AA19" s="498"/>
      <c r="AB19" s="498"/>
      <c r="AC19" s="3004" t="s">
        <v>1886</v>
      </c>
      <c r="AD19" s="3003" t="s">
        <v>9434</v>
      </c>
      <c r="AE19" s="498"/>
      <c r="AF19" s="498"/>
      <c r="AG19" s="498"/>
      <c r="AH19" s="498"/>
      <c r="AI19" s="498"/>
      <c r="AJ19" s="498"/>
      <c r="AK19" s="498"/>
      <c r="AL19" s="498"/>
      <c r="AM19" s="498"/>
      <c r="AN19" s="498"/>
      <c r="AO19" s="498"/>
      <c r="AP19" s="442"/>
      <c r="AQ19" s="3">
        <v>1</v>
      </c>
    </row>
    <row r="20" spans="1:43" ht="21" customHeight="1">
      <c r="B20" s="5811"/>
      <c r="C20" s="5811"/>
      <c r="E20" s="5769"/>
      <c r="F20" s="5769"/>
      <c r="H20" s="871">
        <v>1</v>
      </c>
      <c r="I20" s="871">
        <v>1</v>
      </c>
      <c r="K20" s="6699" t="s">
        <v>9435</v>
      </c>
      <c r="L20" s="6699"/>
      <c r="M20" s="6699"/>
      <c r="N20" s="6699"/>
      <c r="O20" s="6699"/>
      <c r="P20" s="6699"/>
      <c r="Q20" s="6699"/>
      <c r="R20" s="6699"/>
      <c r="S20" s="498"/>
      <c r="T20" s="498"/>
      <c r="V20" s="498"/>
      <c r="W20" s="498"/>
      <c r="X20" s="498"/>
      <c r="Y20" s="498"/>
      <c r="Z20" s="498"/>
      <c r="AA20" s="498"/>
      <c r="AB20" s="498"/>
      <c r="AC20" s="498" t="s">
        <v>9436</v>
      </c>
      <c r="AD20" s="231"/>
      <c r="AE20" s="231"/>
      <c r="AF20" s="231"/>
      <c r="AG20" s="498"/>
      <c r="AH20" s="498"/>
      <c r="AI20" s="498"/>
      <c r="AJ20" s="498"/>
      <c r="AK20" s="498"/>
      <c r="AL20" s="498"/>
      <c r="AM20" s="498"/>
      <c r="AN20" s="498"/>
      <c r="AO20" s="498"/>
      <c r="AP20" s="442"/>
      <c r="AQ20" s="3">
        <v>1</v>
      </c>
    </row>
    <row r="21" spans="1:43" ht="21" customHeight="1">
      <c r="H21" s="5820" t="s">
        <v>1041</v>
      </c>
      <c r="I21" s="6701"/>
      <c r="K21" s="6700"/>
      <c r="L21" s="6700"/>
      <c r="M21" s="6700"/>
      <c r="N21" s="6700"/>
      <c r="O21" s="6700"/>
      <c r="P21" s="6700"/>
      <c r="Q21" s="6700"/>
      <c r="R21" s="6700"/>
      <c r="S21" s="498"/>
      <c r="T21" s="498"/>
      <c r="V21" s="498"/>
      <c r="W21" s="498"/>
      <c r="X21" s="498"/>
      <c r="Y21" s="498"/>
      <c r="Z21" s="498"/>
      <c r="AA21" s="498"/>
      <c r="AB21" s="498"/>
      <c r="AC21" s="3004" t="s">
        <v>1886</v>
      </c>
      <c r="AD21" s="3003" t="s">
        <v>9437</v>
      </c>
      <c r="AE21" s="498"/>
      <c r="AF21" s="498"/>
      <c r="AG21" s="498"/>
      <c r="AH21" s="498"/>
      <c r="AI21" s="498"/>
      <c r="AJ21" s="498"/>
      <c r="AK21" s="498"/>
      <c r="AL21" s="498"/>
      <c r="AM21" s="498"/>
      <c r="AN21" s="498"/>
      <c r="AO21" s="498"/>
      <c r="AQ21" s="3">
        <v>1</v>
      </c>
    </row>
    <row r="22" spans="1:43" ht="21" customHeight="1">
      <c r="B22" s="5812" t="s">
        <v>1053</v>
      </c>
      <c r="C22" s="5812"/>
      <c r="E22" s="5813" t="s">
        <v>1054</v>
      </c>
      <c r="F22" s="5813"/>
      <c r="H22" s="6690" t="s">
        <v>1055</v>
      </c>
      <c r="I22" s="6691"/>
      <c r="K22" s="6692" t="s">
        <v>9418</v>
      </c>
      <c r="L22" s="6693"/>
      <c r="M22" s="6693"/>
      <c r="N22" s="6693"/>
      <c r="O22" s="6693"/>
      <c r="P22" s="6693"/>
      <c r="Q22" s="6693"/>
      <c r="R22" s="6693"/>
      <c r="S22" s="6693"/>
      <c r="T22" s="6694"/>
      <c r="V22" s="498"/>
      <c r="W22" s="498"/>
      <c r="X22" s="498"/>
      <c r="Y22" s="498"/>
      <c r="Z22" s="498"/>
      <c r="AA22" s="498"/>
      <c r="AB22" s="498"/>
      <c r="AG22" s="498"/>
      <c r="AH22" s="498"/>
      <c r="AI22" s="498"/>
      <c r="AJ22" s="498"/>
      <c r="AK22" s="498"/>
      <c r="AL22" s="498"/>
      <c r="AM22" s="498"/>
      <c r="AN22" s="498"/>
      <c r="AO22" s="498"/>
      <c r="AQ22" s="3">
        <v>1</v>
      </c>
    </row>
    <row r="23" spans="1:43" ht="21" customHeight="1" thickBot="1">
      <c r="B23" s="5812"/>
      <c r="C23" s="5812"/>
      <c r="E23" s="5813"/>
      <c r="F23" s="5813"/>
      <c r="H23" s="3064" t="s">
        <v>1056</v>
      </c>
      <c r="I23" s="3065"/>
      <c r="K23" s="3066" t="s">
        <v>9438</v>
      </c>
      <c r="L23" s="3067" t="s">
        <v>9439</v>
      </c>
      <c r="M23" s="3067" t="s">
        <v>9440</v>
      </c>
      <c r="N23" s="3066" t="s">
        <v>9441</v>
      </c>
      <c r="O23" s="3066" t="s">
        <v>9442</v>
      </c>
      <c r="P23" s="3066" t="s">
        <v>9438</v>
      </c>
      <c r="Q23" s="3067" t="s">
        <v>9439</v>
      </c>
      <c r="R23" s="3067" t="s">
        <v>9440</v>
      </c>
      <c r="S23" s="3066" t="s">
        <v>9441</v>
      </c>
      <c r="T23" s="3066" t="s">
        <v>9442</v>
      </c>
      <c r="V23" s="3066" t="s">
        <v>9438</v>
      </c>
      <c r="W23" s="3068" t="s">
        <v>9443</v>
      </c>
      <c r="X23" s="3068" t="s">
        <v>9444</v>
      </c>
      <c r="Y23" s="3067" t="s">
        <v>9440</v>
      </c>
      <c r="Z23" s="3066" t="s">
        <v>9441</v>
      </c>
      <c r="AA23" s="3069" t="s">
        <v>9442</v>
      </c>
      <c r="AB23"/>
      <c r="AC23" s="3066" t="s">
        <v>9438</v>
      </c>
      <c r="AD23" s="3068" t="s">
        <v>9443</v>
      </c>
      <c r="AE23" s="3068" t="s">
        <v>9444</v>
      </c>
      <c r="AF23" s="3067" t="s">
        <v>9440</v>
      </c>
      <c r="AG23" s="3066" t="s">
        <v>9441</v>
      </c>
      <c r="AH23" s="3069" t="s">
        <v>9442</v>
      </c>
      <c r="AI23"/>
      <c r="AJ23" s="3066" t="s">
        <v>9438</v>
      </c>
      <c r="AK23" s="3068" t="s">
        <v>9443</v>
      </c>
      <c r="AL23" s="3068" t="s">
        <v>9444</v>
      </c>
      <c r="AM23" s="3070" t="s">
        <v>9440</v>
      </c>
      <c r="AN23" s="3066" t="s">
        <v>9441</v>
      </c>
      <c r="AO23" s="3071" t="s">
        <v>9442</v>
      </c>
      <c r="AQ23" s="3">
        <v>1</v>
      </c>
    </row>
    <row r="24" spans="1:43" ht="21" customHeight="1">
      <c r="H24" s="6702" t="s">
        <v>1057</v>
      </c>
      <c r="I24" s="6703"/>
      <c r="K24" s="3072" t="s">
        <v>9445</v>
      </c>
      <c r="L24" s="3073" t="s">
        <v>9446</v>
      </c>
      <c r="M24" s="3074">
        <v>0</v>
      </c>
      <c r="N24" s="3074">
        <v>0</v>
      </c>
      <c r="O24" s="3074">
        <v>0</v>
      </c>
      <c r="P24" s="3075" t="s">
        <v>9447</v>
      </c>
      <c r="Q24" s="3073" t="s">
        <v>9448</v>
      </c>
      <c r="R24" s="3074">
        <v>128</v>
      </c>
      <c r="S24" s="3074">
        <v>0</v>
      </c>
      <c r="T24" s="3074">
        <v>128</v>
      </c>
      <c r="V24" s="3076"/>
      <c r="W24" s="3077" t="s">
        <v>9449</v>
      </c>
      <c r="X24" s="3078" t="s">
        <v>9450</v>
      </c>
      <c r="Y24" s="3079">
        <v>0</v>
      </c>
      <c r="Z24" s="3080">
        <v>191</v>
      </c>
      <c r="AA24" s="3081">
        <v>255</v>
      </c>
      <c r="AB24"/>
      <c r="AC24" s="3082"/>
      <c r="AD24" s="3083" t="s">
        <v>9451</v>
      </c>
      <c r="AE24" s="3084" t="s">
        <v>9452</v>
      </c>
      <c r="AF24" s="3085">
        <v>74</v>
      </c>
      <c r="AG24" s="3086">
        <v>74</v>
      </c>
      <c r="AH24" s="3087">
        <v>74</v>
      </c>
      <c r="AI24"/>
      <c r="AJ24" s="3088"/>
      <c r="AK24" s="3089" t="s">
        <v>9453</v>
      </c>
      <c r="AL24" s="3084" t="s">
        <v>9454</v>
      </c>
      <c r="AM24" s="3085">
        <v>238</v>
      </c>
      <c r="AN24" s="3086">
        <v>213</v>
      </c>
      <c r="AO24" s="3087">
        <v>183</v>
      </c>
      <c r="AQ24" s="3">
        <v>1</v>
      </c>
    </row>
    <row r="25" spans="1:43" ht="21" customHeight="1">
      <c r="B25" s="5807" t="s">
        <v>1068</v>
      </c>
      <c r="C25" s="5807"/>
      <c r="E25" s="5808" t="s">
        <v>1069</v>
      </c>
      <c r="F25" s="5808"/>
      <c r="H25" s="3064" t="s">
        <v>1070</v>
      </c>
      <c r="I25" s="3065"/>
      <c r="K25" s="3090" t="s">
        <v>9455</v>
      </c>
      <c r="L25" s="3073" t="s">
        <v>9456</v>
      </c>
      <c r="M25" s="3074">
        <v>255</v>
      </c>
      <c r="N25" s="3074">
        <v>255</v>
      </c>
      <c r="O25" s="3074">
        <v>255</v>
      </c>
      <c r="P25" s="3091" t="s">
        <v>9457</v>
      </c>
      <c r="Q25" s="3073" t="s">
        <v>9458</v>
      </c>
      <c r="R25" s="3074">
        <v>128</v>
      </c>
      <c r="S25" s="3074">
        <v>0</v>
      </c>
      <c r="T25" s="3074">
        <v>0</v>
      </c>
      <c r="V25" s="3092"/>
      <c r="W25" s="3093"/>
      <c r="X25" s="3094" t="s">
        <v>9459</v>
      </c>
      <c r="Y25" s="3095">
        <v>170</v>
      </c>
      <c r="Z25" s="3096">
        <v>187</v>
      </c>
      <c r="AA25" s="3097">
        <v>204</v>
      </c>
      <c r="AB25"/>
      <c r="AC25" s="3098"/>
      <c r="AD25" s="3083" t="s">
        <v>9460</v>
      </c>
      <c r="AE25" s="3084" t="s">
        <v>9461</v>
      </c>
      <c r="AF25" s="3085">
        <v>71</v>
      </c>
      <c r="AG25" s="3086">
        <v>71</v>
      </c>
      <c r="AH25" s="3087">
        <v>71</v>
      </c>
      <c r="AI25"/>
      <c r="AJ25" s="3099"/>
      <c r="AK25" s="3100" t="s">
        <v>9462</v>
      </c>
      <c r="AL25" s="3084" t="s">
        <v>9463</v>
      </c>
      <c r="AM25" s="3085">
        <v>250</v>
      </c>
      <c r="AN25" s="3086">
        <v>214</v>
      </c>
      <c r="AO25" s="3087">
        <v>165</v>
      </c>
      <c r="AQ25" s="3">
        <v>1</v>
      </c>
    </row>
    <row r="26" spans="1:43" ht="21" customHeight="1">
      <c r="B26" s="5807"/>
      <c r="C26" s="5807"/>
      <c r="E26" s="5808"/>
      <c r="F26" s="5808"/>
      <c r="H26" s="6702" t="s">
        <v>1071</v>
      </c>
      <c r="I26" s="6703"/>
      <c r="K26" s="3101" t="s">
        <v>9464</v>
      </c>
      <c r="L26" s="3073" t="s">
        <v>9465</v>
      </c>
      <c r="M26" s="3074">
        <v>255</v>
      </c>
      <c r="N26" s="3074">
        <v>0</v>
      </c>
      <c r="O26" s="3074">
        <v>0</v>
      </c>
      <c r="P26" s="3102" t="s">
        <v>9466</v>
      </c>
      <c r="Q26" s="3073" t="s">
        <v>9467</v>
      </c>
      <c r="R26" s="3074">
        <v>0</v>
      </c>
      <c r="S26" s="3074">
        <v>128</v>
      </c>
      <c r="T26" s="3074">
        <v>128</v>
      </c>
      <c r="V26" s="3103"/>
      <c r="W26" s="3093" t="s">
        <v>9468</v>
      </c>
      <c r="X26" s="3094" t="s">
        <v>9469</v>
      </c>
      <c r="Y26" s="3095">
        <v>126</v>
      </c>
      <c r="Z26" s="3096">
        <v>192</v>
      </c>
      <c r="AA26" s="3097">
        <v>238</v>
      </c>
      <c r="AB26"/>
      <c r="AC26" s="3104"/>
      <c r="AD26" s="3083" t="s">
        <v>9470</v>
      </c>
      <c r="AE26" s="3084" t="s">
        <v>9471</v>
      </c>
      <c r="AF26" s="3085">
        <v>69</v>
      </c>
      <c r="AG26" s="3086">
        <v>69</v>
      </c>
      <c r="AH26" s="3087">
        <v>69</v>
      </c>
      <c r="AI26"/>
      <c r="AJ26" s="3105"/>
      <c r="AK26" s="3089" t="s">
        <v>9472</v>
      </c>
      <c r="AL26" s="3084" t="s">
        <v>9473</v>
      </c>
      <c r="AM26" s="3085">
        <v>255</v>
      </c>
      <c r="AN26" s="3086">
        <v>222</v>
      </c>
      <c r="AO26" s="3087">
        <v>173</v>
      </c>
      <c r="AQ26" s="3">
        <v>1</v>
      </c>
    </row>
    <row r="27" spans="1:43" ht="21" customHeight="1">
      <c r="H27" s="3064" t="s">
        <v>1072</v>
      </c>
      <c r="I27" s="3065"/>
      <c r="K27" s="3106" t="s">
        <v>9474</v>
      </c>
      <c r="L27" s="3073" t="s">
        <v>9475</v>
      </c>
      <c r="M27" s="3074">
        <v>0</v>
      </c>
      <c r="N27" s="3074">
        <v>255</v>
      </c>
      <c r="O27" s="3074">
        <v>0</v>
      </c>
      <c r="P27" s="3107" t="s">
        <v>9476</v>
      </c>
      <c r="Q27" s="3073" t="s">
        <v>9477</v>
      </c>
      <c r="R27" s="3074">
        <v>0</v>
      </c>
      <c r="S27" s="3074">
        <v>0</v>
      </c>
      <c r="T27" s="3074">
        <v>255</v>
      </c>
      <c r="V27" s="3108"/>
      <c r="W27" s="3093" t="s">
        <v>9478</v>
      </c>
      <c r="X27" s="3094" t="s">
        <v>9479</v>
      </c>
      <c r="Y27" s="3095">
        <v>135</v>
      </c>
      <c r="Z27" s="3096">
        <v>206</v>
      </c>
      <c r="AA27" s="3097">
        <v>250</v>
      </c>
      <c r="AB27"/>
      <c r="AC27" s="3109"/>
      <c r="AD27" s="3083" t="s">
        <v>9480</v>
      </c>
      <c r="AE27" s="3084" t="s">
        <v>9481</v>
      </c>
      <c r="AF27" s="3085">
        <v>66</v>
      </c>
      <c r="AG27" s="3086">
        <v>66</v>
      </c>
      <c r="AH27" s="3087">
        <v>66</v>
      </c>
      <c r="AI27"/>
      <c r="AJ27" s="3110"/>
      <c r="AK27" s="3089" t="s">
        <v>9482</v>
      </c>
      <c r="AL27" s="3084" t="s">
        <v>9483</v>
      </c>
      <c r="AM27" s="3085">
        <v>238</v>
      </c>
      <c r="AN27" s="3086">
        <v>223</v>
      </c>
      <c r="AO27" s="3087">
        <v>204</v>
      </c>
      <c r="AQ27" s="3">
        <v>1</v>
      </c>
    </row>
    <row r="28" spans="1:43" ht="21" customHeight="1">
      <c r="B28" s="5783" t="s">
        <v>1083</v>
      </c>
      <c r="C28" s="5783"/>
      <c r="E28" s="5802" t="s">
        <v>1025</v>
      </c>
      <c r="F28" s="5802"/>
      <c r="H28" s="3064" t="s">
        <v>1084</v>
      </c>
      <c r="I28" s="3065"/>
      <c r="K28" s="3111" t="s">
        <v>9484</v>
      </c>
      <c r="L28" s="3073" t="s">
        <v>9485</v>
      </c>
      <c r="M28" s="3074">
        <v>0</v>
      </c>
      <c r="N28" s="3074">
        <v>0</v>
      </c>
      <c r="O28" s="3074">
        <v>255</v>
      </c>
      <c r="P28" s="3112" t="s">
        <v>9486</v>
      </c>
      <c r="Q28" s="3073" t="s">
        <v>9487</v>
      </c>
      <c r="R28" s="3074">
        <v>0</v>
      </c>
      <c r="S28" s="3074">
        <v>204</v>
      </c>
      <c r="T28" s="3074">
        <v>255</v>
      </c>
      <c r="V28" s="3113"/>
      <c r="W28" s="3114" t="s">
        <v>9488</v>
      </c>
      <c r="X28" s="3094" t="s">
        <v>9489</v>
      </c>
      <c r="Y28" s="3095">
        <v>161</v>
      </c>
      <c r="Z28" s="3096">
        <v>202</v>
      </c>
      <c r="AA28" s="3097">
        <v>241</v>
      </c>
      <c r="AB28"/>
      <c r="AC28" s="3115"/>
      <c r="AD28" s="3083" t="s">
        <v>9490</v>
      </c>
      <c r="AE28" s="3084" t="s">
        <v>9491</v>
      </c>
      <c r="AF28" s="3085">
        <v>64</v>
      </c>
      <c r="AG28" s="3086">
        <v>64</v>
      </c>
      <c r="AH28" s="3087">
        <v>64</v>
      </c>
      <c r="AI28"/>
      <c r="AJ28" s="3116"/>
      <c r="AK28" s="3100" t="s">
        <v>9492</v>
      </c>
      <c r="AL28" s="3084" t="s">
        <v>9493</v>
      </c>
      <c r="AM28" s="3085">
        <v>255</v>
      </c>
      <c r="AN28" s="3086">
        <v>228</v>
      </c>
      <c r="AO28" s="3087">
        <v>196</v>
      </c>
      <c r="AQ28" s="3">
        <v>1</v>
      </c>
    </row>
    <row r="29" spans="1:43" ht="21" customHeight="1">
      <c r="B29" s="5783"/>
      <c r="C29" s="5783"/>
      <c r="E29" s="5802"/>
      <c r="F29" s="5802"/>
      <c r="H29" s="6702" t="s">
        <v>1085</v>
      </c>
      <c r="I29" s="6703"/>
      <c r="K29" s="3117" t="s">
        <v>9494</v>
      </c>
      <c r="L29" s="3073" t="s">
        <v>9495</v>
      </c>
      <c r="M29" s="3074">
        <v>255</v>
      </c>
      <c r="N29" s="3074">
        <v>255</v>
      </c>
      <c r="O29" s="3074">
        <v>0</v>
      </c>
      <c r="P29" s="3118" t="s">
        <v>9496</v>
      </c>
      <c r="Q29" s="3073" t="s">
        <v>9497</v>
      </c>
      <c r="R29" s="3074">
        <v>204</v>
      </c>
      <c r="S29" s="3074">
        <v>0</v>
      </c>
      <c r="T29" s="3074">
        <v>0</v>
      </c>
      <c r="V29" s="3119"/>
      <c r="W29" s="3093" t="s">
        <v>9498</v>
      </c>
      <c r="X29" s="3094" t="s">
        <v>9499</v>
      </c>
      <c r="Y29" s="3095">
        <v>135</v>
      </c>
      <c r="Z29" s="3096">
        <v>206</v>
      </c>
      <c r="AA29" s="3097">
        <v>255</v>
      </c>
      <c r="AB29"/>
      <c r="AC29" s="3120"/>
      <c r="AD29" s="3083" t="s">
        <v>9500</v>
      </c>
      <c r="AE29" s="3084" t="s">
        <v>9501</v>
      </c>
      <c r="AF29" s="3085">
        <v>61</v>
      </c>
      <c r="AG29" s="3086">
        <v>61</v>
      </c>
      <c r="AH29" s="3087">
        <v>61</v>
      </c>
      <c r="AI29"/>
      <c r="AJ29" s="3121"/>
      <c r="AK29" s="3089" t="s">
        <v>9502</v>
      </c>
      <c r="AL29" s="3084" t="s">
        <v>9503</v>
      </c>
      <c r="AM29" s="3085">
        <v>250</v>
      </c>
      <c r="AN29" s="3086">
        <v>235</v>
      </c>
      <c r="AO29" s="3087">
        <v>215</v>
      </c>
      <c r="AQ29" s="3">
        <v>1</v>
      </c>
    </row>
    <row r="30" spans="1:43" ht="21" customHeight="1">
      <c r="H30" s="3064" t="s">
        <v>1086</v>
      </c>
      <c r="I30" s="3065"/>
      <c r="K30" s="3122" t="s">
        <v>9504</v>
      </c>
      <c r="L30" s="3073" t="s">
        <v>9505</v>
      </c>
      <c r="M30" s="3074">
        <v>255</v>
      </c>
      <c r="N30" s="3074">
        <v>0</v>
      </c>
      <c r="O30" s="3074">
        <v>255</v>
      </c>
      <c r="P30" s="3123" t="s">
        <v>9506</v>
      </c>
      <c r="Q30" s="3073" t="s">
        <v>9507</v>
      </c>
      <c r="R30" s="3074">
        <v>204</v>
      </c>
      <c r="S30" s="3074">
        <v>0</v>
      </c>
      <c r="T30" s="3074">
        <v>0</v>
      </c>
      <c r="V30" s="3124"/>
      <c r="W30" s="3114" t="s">
        <v>9508</v>
      </c>
      <c r="X30" s="3094" t="s">
        <v>9509</v>
      </c>
      <c r="Y30" s="3095">
        <v>188</v>
      </c>
      <c r="Z30" s="3096">
        <v>212</v>
      </c>
      <c r="AA30" s="3097">
        <v>230</v>
      </c>
      <c r="AB30"/>
      <c r="AC30" s="3125"/>
      <c r="AD30" s="3083" t="s">
        <v>9510</v>
      </c>
      <c r="AE30" s="3084" t="s">
        <v>9511</v>
      </c>
      <c r="AF30" s="3085">
        <v>59</v>
      </c>
      <c r="AG30" s="3086">
        <v>59</v>
      </c>
      <c r="AH30" s="3087">
        <v>59</v>
      </c>
      <c r="AI30"/>
      <c r="AJ30" s="3126"/>
      <c r="AK30" s="3089" t="s">
        <v>9512</v>
      </c>
      <c r="AL30" s="3084" t="s">
        <v>9513</v>
      </c>
      <c r="AM30" s="3085">
        <v>255</v>
      </c>
      <c r="AN30" s="3086">
        <v>239</v>
      </c>
      <c r="AO30" s="3087">
        <v>219</v>
      </c>
      <c r="AQ30" s="3">
        <v>1</v>
      </c>
    </row>
    <row r="31" spans="1:43" ht="21" customHeight="1">
      <c r="B31" s="5799" t="s">
        <v>1098</v>
      </c>
      <c r="C31" s="5799"/>
      <c r="E31" s="5792" t="s">
        <v>1099</v>
      </c>
      <c r="F31" s="5792"/>
      <c r="H31" s="6702" t="s">
        <v>1100</v>
      </c>
      <c r="I31" s="6703"/>
      <c r="K31" s="3127" t="s">
        <v>9514</v>
      </c>
      <c r="L31" s="3073" t="s">
        <v>9515</v>
      </c>
      <c r="M31" s="3074">
        <v>0</v>
      </c>
      <c r="N31" s="3074">
        <v>255</v>
      </c>
      <c r="O31" s="3074">
        <v>255</v>
      </c>
      <c r="P31" s="3128" t="s">
        <v>9516</v>
      </c>
      <c r="Q31" s="3073" t="s">
        <v>9517</v>
      </c>
      <c r="R31" s="3074">
        <v>255</v>
      </c>
      <c r="S31" s="3074">
        <v>0</v>
      </c>
      <c r="T31" s="3074">
        <v>0</v>
      </c>
      <c r="V31" s="3129"/>
      <c r="W31" s="3093" t="s">
        <v>9518</v>
      </c>
      <c r="X31" s="3094" t="s">
        <v>9519</v>
      </c>
      <c r="Y31" s="3095">
        <v>185</v>
      </c>
      <c r="Z31" s="3096">
        <v>211</v>
      </c>
      <c r="AA31" s="3097">
        <v>238</v>
      </c>
      <c r="AB31"/>
      <c r="AC31" s="3130"/>
      <c r="AD31" s="3083" t="s">
        <v>9520</v>
      </c>
      <c r="AE31" s="3084" t="s">
        <v>9521</v>
      </c>
      <c r="AF31" s="3085">
        <v>56</v>
      </c>
      <c r="AG31" s="3086">
        <v>56</v>
      </c>
      <c r="AH31" s="3087">
        <v>56</v>
      </c>
      <c r="AI31"/>
      <c r="AJ31" s="3131"/>
      <c r="AK31" s="3100" t="s">
        <v>9522</v>
      </c>
      <c r="AL31" s="3084" t="s">
        <v>9523</v>
      </c>
      <c r="AM31" s="3085">
        <v>250</v>
      </c>
      <c r="AN31" s="3086">
        <v>240</v>
      </c>
      <c r="AO31" s="3087">
        <v>230</v>
      </c>
      <c r="AQ31" s="3">
        <v>1</v>
      </c>
    </row>
    <row r="32" spans="1:43" ht="21" customHeight="1">
      <c r="B32" s="5799"/>
      <c r="C32" s="5799"/>
      <c r="E32" s="5792"/>
      <c r="F32" s="5792"/>
      <c r="H32" s="5797" t="s">
        <v>1101</v>
      </c>
      <c r="I32" s="5798"/>
      <c r="K32" s="3132" t="s">
        <v>9524</v>
      </c>
      <c r="L32" s="3073" t="s">
        <v>9525</v>
      </c>
      <c r="M32" s="3074">
        <v>128</v>
      </c>
      <c r="N32" s="3074">
        <v>0</v>
      </c>
      <c r="O32" s="3074">
        <v>0</v>
      </c>
      <c r="P32" s="3133" t="s">
        <v>9526</v>
      </c>
      <c r="Q32" s="3073" t="s">
        <v>9527</v>
      </c>
      <c r="R32" s="3074">
        <v>153</v>
      </c>
      <c r="S32" s="3074">
        <v>0</v>
      </c>
      <c r="T32" s="3074">
        <v>0</v>
      </c>
      <c r="V32" s="3134"/>
      <c r="W32" s="3093" t="s">
        <v>9528</v>
      </c>
      <c r="X32" s="3094" t="s">
        <v>9529</v>
      </c>
      <c r="Y32" s="3095">
        <v>198</v>
      </c>
      <c r="Z32" s="3096">
        <v>226</v>
      </c>
      <c r="AA32" s="3097">
        <v>255</v>
      </c>
      <c r="AB32"/>
      <c r="AC32" s="3135"/>
      <c r="AD32" s="3083" t="s">
        <v>9530</v>
      </c>
      <c r="AE32" s="3084" t="s">
        <v>9531</v>
      </c>
      <c r="AF32" s="3085">
        <v>54</v>
      </c>
      <c r="AG32" s="3086">
        <v>54</v>
      </c>
      <c r="AH32" s="3087">
        <v>54</v>
      </c>
      <c r="AI32"/>
      <c r="AJ32" s="3136"/>
      <c r="AK32" s="3089" t="s">
        <v>9532</v>
      </c>
      <c r="AL32" s="3084" t="s">
        <v>9533</v>
      </c>
      <c r="AM32" s="3085">
        <v>222</v>
      </c>
      <c r="AN32" s="3086">
        <v>184</v>
      </c>
      <c r="AO32" s="3087">
        <v>135</v>
      </c>
      <c r="AQ32" s="3">
        <v>1</v>
      </c>
    </row>
    <row r="33" spans="2:43" ht="21" customHeight="1" thickBot="1">
      <c r="H33" s="3137">
        <v>12</v>
      </c>
      <c r="I33" s="3138">
        <v>12</v>
      </c>
      <c r="K33" s="3139" t="s">
        <v>9534</v>
      </c>
      <c r="L33" s="3073" t="s">
        <v>9535</v>
      </c>
      <c r="M33" s="3074">
        <v>0</v>
      </c>
      <c r="N33" s="3074">
        <v>128</v>
      </c>
      <c r="O33" s="3074">
        <v>0</v>
      </c>
      <c r="P33" s="3140" t="s">
        <v>9536</v>
      </c>
      <c r="Q33" s="3073" t="s">
        <v>9537</v>
      </c>
      <c r="R33" s="3074">
        <v>255</v>
      </c>
      <c r="S33" s="3074">
        <v>0</v>
      </c>
      <c r="T33" s="3074">
        <v>0</v>
      </c>
      <c r="V33" s="3141"/>
      <c r="W33" s="3114" t="s">
        <v>9538</v>
      </c>
      <c r="X33" s="3094" t="s">
        <v>9539</v>
      </c>
      <c r="Y33" s="3095">
        <v>242</v>
      </c>
      <c r="Z33" s="3096">
        <v>243</v>
      </c>
      <c r="AA33" s="3097">
        <v>244</v>
      </c>
      <c r="AB33"/>
      <c r="AC33" s="3142"/>
      <c r="AD33" s="3083" t="s">
        <v>9540</v>
      </c>
      <c r="AE33" s="3084" t="s">
        <v>9541</v>
      </c>
      <c r="AF33" s="3085">
        <v>51</v>
      </c>
      <c r="AG33" s="3086">
        <v>51</v>
      </c>
      <c r="AH33" s="3087">
        <v>51</v>
      </c>
      <c r="AI33"/>
      <c r="AJ33" s="3143"/>
      <c r="AK33" s="3089" t="s">
        <v>9542</v>
      </c>
      <c r="AL33" s="3084" t="s">
        <v>9543</v>
      </c>
      <c r="AM33" s="3085">
        <v>205</v>
      </c>
      <c r="AN33" s="3086">
        <v>183</v>
      </c>
      <c r="AO33" s="3087">
        <v>158</v>
      </c>
      <c r="AQ33" s="3">
        <v>1</v>
      </c>
    </row>
    <row r="34" spans="2:43" ht="21" customHeight="1">
      <c r="B34" s="5791" t="s">
        <v>1113</v>
      </c>
      <c r="C34" s="5791"/>
      <c r="E34" s="5790" t="s">
        <v>1114</v>
      </c>
      <c r="F34" s="5790"/>
      <c r="K34" s="3144" t="s">
        <v>9544</v>
      </c>
      <c r="L34" s="3073" t="s">
        <v>9545</v>
      </c>
      <c r="M34" s="3074">
        <v>0</v>
      </c>
      <c r="N34" s="3074">
        <v>0</v>
      </c>
      <c r="O34" s="3074">
        <v>128</v>
      </c>
      <c r="P34" s="3145" t="s">
        <v>9546</v>
      </c>
      <c r="Q34" s="3073" t="s">
        <v>9547</v>
      </c>
      <c r="R34" s="3074">
        <v>204</v>
      </c>
      <c r="S34" s="3074">
        <v>0</v>
      </c>
      <c r="T34" s="3074">
        <v>0</v>
      </c>
      <c r="V34" s="3146"/>
      <c r="W34" s="3093" t="s">
        <v>9548</v>
      </c>
      <c r="X34" s="3094" t="s">
        <v>9549</v>
      </c>
      <c r="Y34" s="3095">
        <v>240</v>
      </c>
      <c r="Z34" s="3096">
        <v>248</v>
      </c>
      <c r="AA34" s="3097">
        <v>255</v>
      </c>
      <c r="AB34"/>
      <c r="AC34" s="3147"/>
      <c r="AD34" s="3148" t="s">
        <v>9550</v>
      </c>
      <c r="AE34" s="3084" t="s">
        <v>9551</v>
      </c>
      <c r="AF34" s="3085">
        <v>48</v>
      </c>
      <c r="AG34" s="3086">
        <v>48</v>
      </c>
      <c r="AH34" s="3087">
        <v>48</v>
      </c>
      <c r="AI34"/>
      <c r="AJ34" s="3149"/>
      <c r="AK34" s="3089" t="s">
        <v>9552</v>
      </c>
      <c r="AL34" s="3084" t="s">
        <v>9553</v>
      </c>
      <c r="AM34" s="3085">
        <v>210</v>
      </c>
      <c r="AN34" s="3086">
        <v>180</v>
      </c>
      <c r="AO34" s="3087">
        <v>140</v>
      </c>
      <c r="AQ34" s="3">
        <v>1</v>
      </c>
    </row>
    <row r="35" spans="2:43" ht="21" customHeight="1">
      <c r="B35" s="5791"/>
      <c r="C35" s="5791"/>
      <c r="E35" s="5790"/>
      <c r="F35" s="5790"/>
      <c r="K35" s="3150" t="s">
        <v>9554</v>
      </c>
      <c r="L35" s="3073" t="s">
        <v>9555</v>
      </c>
      <c r="M35" s="3074">
        <v>128</v>
      </c>
      <c r="N35" s="3074">
        <v>128</v>
      </c>
      <c r="O35" s="3074">
        <v>0</v>
      </c>
      <c r="P35" s="3151" t="s">
        <v>9556</v>
      </c>
      <c r="Q35" s="3073" t="s">
        <v>9557</v>
      </c>
      <c r="R35" s="3074">
        <v>255</v>
      </c>
      <c r="S35" s="3074">
        <v>0</v>
      </c>
      <c r="T35" s="3074">
        <v>0</v>
      </c>
      <c r="V35" s="3152"/>
      <c r="W35" s="3093" t="s">
        <v>9558</v>
      </c>
      <c r="X35" s="3094" t="s">
        <v>9559</v>
      </c>
      <c r="Y35" s="3095">
        <v>159</v>
      </c>
      <c r="Z35" s="3096">
        <v>182</v>
      </c>
      <c r="AA35" s="3097">
        <v>205</v>
      </c>
      <c r="AB35"/>
      <c r="AC35" s="3153"/>
      <c r="AD35" s="3083" t="s">
        <v>9560</v>
      </c>
      <c r="AE35" s="3084" t="s">
        <v>9561</v>
      </c>
      <c r="AF35" s="3085">
        <v>46</v>
      </c>
      <c r="AG35" s="3086">
        <v>46</v>
      </c>
      <c r="AH35" s="3087">
        <v>46</v>
      </c>
      <c r="AI35"/>
      <c r="AJ35" s="3154"/>
      <c r="AK35" s="3089" t="s">
        <v>9562</v>
      </c>
      <c r="AL35" s="3084" t="s">
        <v>9563</v>
      </c>
      <c r="AM35" s="3085">
        <v>205</v>
      </c>
      <c r="AN35" s="3086">
        <v>179</v>
      </c>
      <c r="AO35" s="3087">
        <v>139</v>
      </c>
      <c r="AQ35" s="3">
        <v>1</v>
      </c>
    </row>
    <row r="36" spans="2:43" ht="21" customHeight="1">
      <c r="K36" s="3075" t="s">
        <v>9564</v>
      </c>
      <c r="L36" s="3073" t="s">
        <v>9448</v>
      </c>
      <c r="M36" s="3074">
        <v>128</v>
      </c>
      <c r="N36" s="3074">
        <v>0</v>
      </c>
      <c r="O36" s="3074">
        <v>128</v>
      </c>
      <c r="P36" s="3155" t="s">
        <v>9565</v>
      </c>
      <c r="Q36" s="3073" t="s">
        <v>9566</v>
      </c>
      <c r="R36" s="3074">
        <v>51</v>
      </c>
      <c r="S36" s="3074">
        <v>0</v>
      </c>
      <c r="T36" s="3074">
        <v>0</v>
      </c>
      <c r="V36" s="3156"/>
      <c r="W36" s="3093" t="s">
        <v>9567</v>
      </c>
      <c r="X36" s="3094" t="s">
        <v>9568</v>
      </c>
      <c r="Y36" s="3095">
        <v>0</v>
      </c>
      <c r="Z36" s="3096">
        <v>178</v>
      </c>
      <c r="AA36" s="3097">
        <v>238</v>
      </c>
      <c r="AB36"/>
      <c r="AC36" s="3157"/>
      <c r="AD36" s="3083" t="s">
        <v>9569</v>
      </c>
      <c r="AE36" s="3084" t="s">
        <v>9570</v>
      </c>
      <c r="AF36" s="3085">
        <v>43</v>
      </c>
      <c r="AG36" s="3086">
        <v>43</v>
      </c>
      <c r="AH36" s="3087">
        <v>43</v>
      </c>
      <c r="AI36"/>
      <c r="AJ36" s="3158"/>
      <c r="AK36" s="3089" t="s">
        <v>9571</v>
      </c>
      <c r="AL36" s="3084" t="s">
        <v>9572</v>
      </c>
      <c r="AM36" s="3085">
        <v>238</v>
      </c>
      <c r="AN36" s="3086">
        <v>180</v>
      </c>
      <c r="AO36" s="3087">
        <v>34</v>
      </c>
      <c r="AQ36" s="3">
        <v>1</v>
      </c>
    </row>
    <row r="37" spans="2:43" ht="21" customHeight="1">
      <c r="K37" s="3102" t="s">
        <v>9573</v>
      </c>
      <c r="L37" s="3073" t="s">
        <v>9467</v>
      </c>
      <c r="M37" s="3074">
        <v>0</v>
      </c>
      <c r="N37" s="3074">
        <v>128</v>
      </c>
      <c r="O37" s="3074">
        <v>128</v>
      </c>
      <c r="P37" s="3159" t="s">
        <v>9574</v>
      </c>
      <c r="Q37" s="3073" t="s">
        <v>9575</v>
      </c>
      <c r="R37" s="3074">
        <v>51</v>
      </c>
      <c r="S37" s="3074">
        <v>0</v>
      </c>
      <c r="T37" s="3074">
        <v>0</v>
      </c>
      <c r="V37" s="3160"/>
      <c r="W37" s="3114" t="s">
        <v>9576</v>
      </c>
      <c r="X37" s="3094" t="s">
        <v>9577</v>
      </c>
      <c r="Y37" s="3095">
        <v>112</v>
      </c>
      <c r="Z37" s="3096">
        <v>163</v>
      </c>
      <c r="AA37" s="3097">
        <v>204</v>
      </c>
      <c r="AB37"/>
      <c r="AC37" s="3161"/>
      <c r="AD37" s="3083" t="s">
        <v>9578</v>
      </c>
      <c r="AE37" s="3084" t="s">
        <v>9579</v>
      </c>
      <c r="AF37" s="3085">
        <v>41</v>
      </c>
      <c r="AG37" s="3086">
        <v>41</v>
      </c>
      <c r="AH37" s="3087">
        <v>41</v>
      </c>
      <c r="AI37"/>
      <c r="AJ37" s="3162"/>
      <c r="AK37" s="3100" t="s">
        <v>9580</v>
      </c>
      <c r="AL37" s="3084" t="s">
        <v>9581</v>
      </c>
      <c r="AM37" s="3085">
        <v>227</v>
      </c>
      <c r="AN37" s="3086">
        <v>168</v>
      </c>
      <c r="AO37" s="3087">
        <v>87</v>
      </c>
      <c r="AQ37" s="3">
        <v>1</v>
      </c>
    </row>
    <row r="38" spans="2:43" ht="21" customHeight="1">
      <c r="K38" s="3163" t="s">
        <v>9582</v>
      </c>
      <c r="L38" s="3073" t="s">
        <v>9583</v>
      </c>
      <c r="M38" s="3074">
        <v>192</v>
      </c>
      <c r="N38" s="3074">
        <v>192</v>
      </c>
      <c r="O38" s="3074">
        <v>192</v>
      </c>
      <c r="P38" s="3164" t="s">
        <v>9584</v>
      </c>
      <c r="Q38" s="3073" t="s">
        <v>9585</v>
      </c>
      <c r="R38" s="3074">
        <v>153</v>
      </c>
      <c r="S38" s="3074">
        <v>0</v>
      </c>
      <c r="T38" s="3074">
        <v>0</v>
      </c>
      <c r="V38" s="3165"/>
      <c r="W38" s="3093" t="s">
        <v>9586</v>
      </c>
      <c r="X38" s="3094" t="s">
        <v>9587</v>
      </c>
      <c r="Y38" s="3095">
        <v>108</v>
      </c>
      <c r="Z38" s="3096">
        <v>166</v>
      </c>
      <c r="AA38" s="3097">
        <v>205</v>
      </c>
      <c r="AB38"/>
      <c r="AC38" s="3166"/>
      <c r="AD38" s="3083" t="s">
        <v>9588</v>
      </c>
      <c r="AE38" s="3084" t="s">
        <v>9589</v>
      </c>
      <c r="AF38" s="3085">
        <v>38</v>
      </c>
      <c r="AG38" s="3086">
        <v>38</v>
      </c>
      <c r="AH38" s="3087">
        <v>38</v>
      </c>
      <c r="AI38"/>
      <c r="AJ38" s="3167"/>
      <c r="AK38" s="3089" t="s">
        <v>9590</v>
      </c>
      <c r="AL38" s="3084" t="s">
        <v>9591</v>
      </c>
      <c r="AM38" s="3085">
        <v>238</v>
      </c>
      <c r="AN38" s="3086">
        <v>173</v>
      </c>
      <c r="AO38" s="3087">
        <v>14</v>
      </c>
      <c r="AQ38" s="3">
        <v>1</v>
      </c>
    </row>
    <row r="39" spans="2:43" ht="21" customHeight="1">
      <c r="K39" s="3168" t="s">
        <v>9592</v>
      </c>
      <c r="L39" s="3073" t="s">
        <v>9593</v>
      </c>
      <c r="M39" s="3074">
        <v>128</v>
      </c>
      <c r="N39" s="3074">
        <v>128</v>
      </c>
      <c r="O39" s="3074">
        <v>128</v>
      </c>
      <c r="P39" s="3169" t="s">
        <v>9594</v>
      </c>
      <c r="Q39" s="3073" t="s">
        <v>9595</v>
      </c>
      <c r="R39" s="3074">
        <v>255</v>
      </c>
      <c r="S39" s="3074">
        <v>0</v>
      </c>
      <c r="T39" s="3074">
        <v>0</v>
      </c>
      <c r="V39" s="3170"/>
      <c r="W39" s="3114" t="s">
        <v>9596</v>
      </c>
      <c r="X39" s="3094" t="s">
        <v>9597</v>
      </c>
      <c r="Y39" s="3095">
        <v>145</v>
      </c>
      <c r="Z39" s="3096">
        <v>163</v>
      </c>
      <c r="AA39" s="3097">
        <v>176</v>
      </c>
      <c r="AB39"/>
      <c r="AC39" s="3171"/>
      <c r="AD39" s="3083" t="s">
        <v>9598</v>
      </c>
      <c r="AE39" s="3084" t="s">
        <v>9599</v>
      </c>
      <c r="AF39" s="3085">
        <v>36</v>
      </c>
      <c r="AG39" s="3086">
        <v>36</v>
      </c>
      <c r="AH39" s="3087">
        <v>36</v>
      </c>
      <c r="AI39"/>
      <c r="AJ39" s="3172"/>
      <c r="AK39" s="3089" t="s">
        <v>9600</v>
      </c>
      <c r="AL39" s="3084" t="s">
        <v>9601</v>
      </c>
      <c r="AM39" s="3085">
        <v>205</v>
      </c>
      <c r="AN39" s="3086">
        <v>170</v>
      </c>
      <c r="AO39" s="3087">
        <v>125</v>
      </c>
      <c r="AQ39" s="3">
        <v>1</v>
      </c>
    </row>
    <row r="40" spans="2:43" ht="21" customHeight="1">
      <c r="K40" s="3173" t="s">
        <v>9602</v>
      </c>
      <c r="L40" s="3073" t="s">
        <v>9603</v>
      </c>
      <c r="M40" s="3074">
        <v>153</v>
      </c>
      <c r="N40" s="3074">
        <v>153</v>
      </c>
      <c r="O40" s="3074">
        <v>255</v>
      </c>
      <c r="P40" s="3174" t="s">
        <v>9604</v>
      </c>
      <c r="Q40" s="3073" t="s">
        <v>9605</v>
      </c>
      <c r="R40" s="3074">
        <v>255</v>
      </c>
      <c r="S40" s="3074">
        <v>0</v>
      </c>
      <c r="T40" s="3074">
        <v>0</v>
      </c>
      <c r="V40" s="3175"/>
      <c r="W40" s="3093"/>
      <c r="X40" s="3094" t="s">
        <v>9606</v>
      </c>
      <c r="Y40" s="3095">
        <v>51</v>
      </c>
      <c r="Z40" s="3096">
        <v>153</v>
      </c>
      <c r="AA40" s="3097">
        <v>204</v>
      </c>
      <c r="AB40"/>
      <c r="AC40" s="3176"/>
      <c r="AD40" s="3083" t="s">
        <v>9607</v>
      </c>
      <c r="AE40" s="3084" t="s">
        <v>9608</v>
      </c>
      <c r="AF40" s="3085">
        <v>33</v>
      </c>
      <c r="AG40" s="3086">
        <v>33</v>
      </c>
      <c r="AH40" s="3087">
        <v>33</v>
      </c>
      <c r="AI40"/>
      <c r="AJ40" s="3177"/>
      <c r="AK40" s="3089" t="s">
        <v>9609</v>
      </c>
      <c r="AL40" s="3084" t="s">
        <v>9610</v>
      </c>
      <c r="AM40" s="3085">
        <v>218</v>
      </c>
      <c r="AN40" s="3086">
        <v>165</v>
      </c>
      <c r="AO40" s="3087">
        <v>32</v>
      </c>
      <c r="AQ40" s="3">
        <v>1</v>
      </c>
    </row>
    <row r="41" spans="2:43" ht="21" customHeight="1">
      <c r="K41" s="3178" t="s">
        <v>9611</v>
      </c>
      <c r="L41" s="3073" t="s">
        <v>9612</v>
      </c>
      <c r="M41" s="3074">
        <v>153</v>
      </c>
      <c r="N41" s="3074">
        <v>51</v>
      </c>
      <c r="O41" s="3074">
        <v>102</v>
      </c>
      <c r="P41" s="3179" t="s">
        <v>9613</v>
      </c>
      <c r="Q41" s="3073" t="s">
        <v>9614</v>
      </c>
      <c r="R41" s="3074">
        <v>255</v>
      </c>
      <c r="S41" s="3074">
        <v>0</v>
      </c>
      <c r="T41" s="3074">
        <v>0</v>
      </c>
      <c r="V41" s="3180"/>
      <c r="W41" s="3093" t="s">
        <v>9615</v>
      </c>
      <c r="X41" s="3094" t="s">
        <v>9616</v>
      </c>
      <c r="Y41" s="3095">
        <v>50</v>
      </c>
      <c r="Z41" s="3096">
        <v>153</v>
      </c>
      <c r="AA41" s="3097">
        <v>204</v>
      </c>
      <c r="AB41"/>
      <c r="AC41" s="3181"/>
      <c r="AD41" s="3083" t="s">
        <v>9617</v>
      </c>
      <c r="AE41" s="3084" t="s">
        <v>9618</v>
      </c>
      <c r="AF41" s="3085">
        <v>31</v>
      </c>
      <c r="AG41" s="3086">
        <v>31</v>
      </c>
      <c r="AH41" s="3087">
        <v>31</v>
      </c>
      <c r="AI41"/>
      <c r="AJ41" s="3182"/>
      <c r="AK41" s="3100" t="s">
        <v>9619</v>
      </c>
      <c r="AL41" s="3084" t="s">
        <v>9620</v>
      </c>
      <c r="AM41" s="3085">
        <v>193</v>
      </c>
      <c r="AN41" s="3086">
        <v>154</v>
      </c>
      <c r="AO41" s="3087">
        <v>107</v>
      </c>
      <c r="AQ41" s="3">
        <v>1</v>
      </c>
    </row>
    <row r="42" spans="2:43" ht="21" customHeight="1">
      <c r="K42" s="3183" t="s">
        <v>9621</v>
      </c>
      <c r="L42" s="3073" t="s">
        <v>9622</v>
      </c>
      <c r="M42" s="3074"/>
      <c r="N42" s="3074"/>
      <c r="O42" s="3074"/>
      <c r="P42" s="3184" t="s">
        <v>9623</v>
      </c>
      <c r="Q42" s="3073" t="s">
        <v>9624</v>
      </c>
      <c r="R42" s="3074">
        <v>102</v>
      </c>
      <c r="S42" s="3074">
        <v>0</v>
      </c>
      <c r="T42" s="3074">
        <v>0</v>
      </c>
      <c r="V42" s="3185"/>
      <c r="W42" s="3093" t="s">
        <v>9625</v>
      </c>
      <c r="X42" s="3094" t="s">
        <v>9626</v>
      </c>
      <c r="Y42" s="3095">
        <v>0</v>
      </c>
      <c r="Z42" s="3096">
        <v>154</v>
      </c>
      <c r="AA42" s="3097">
        <v>205</v>
      </c>
      <c r="AB42"/>
      <c r="AC42" s="3186"/>
      <c r="AD42" s="3083" t="s">
        <v>9627</v>
      </c>
      <c r="AE42" s="3084" t="s">
        <v>9628</v>
      </c>
      <c r="AF42" s="3085">
        <v>28</v>
      </c>
      <c r="AG42" s="3086">
        <v>28</v>
      </c>
      <c r="AH42" s="3087">
        <v>28</v>
      </c>
      <c r="AI42"/>
      <c r="AJ42" s="3187"/>
      <c r="AK42" s="3100" t="s">
        <v>9629</v>
      </c>
      <c r="AL42" s="3084" t="s">
        <v>9630</v>
      </c>
      <c r="AM42" s="3085">
        <v>174</v>
      </c>
      <c r="AN42" s="3086">
        <v>155</v>
      </c>
      <c r="AO42" s="3087">
        <v>130</v>
      </c>
      <c r="AQ42" s="3">
        <v>1</v>
      </c>
    </row>
    <row r="43" spans="2:43" ht="21" customHeight="1">
      <c r="K43" s="3118" t="s">
        <v>9631</v>
      </c>
      <c r="L43" s="3073" t="s">
        <v>9497</v>
      </c>
      <c r="M43" s="3074">
        <v>204</v>
      </c>
      <c r="N43" s="3074">
        <v>255</v>
      </c>
      <c r="O43" s="3074">
        <v>255</v>
      </c>
      <c r="P43" s="3188" t="s">
        <v>9632</v>
      </c>
      <c r="Q43" s="3073" t="s">
        <v>9633</v>
      </c>
      <c r="R43" s="3074">
        <v>150</v>
      </c>
      <c r="S43" s="3074">
        <v>150</v>
      </c>
      <c r="T43" s="3074">
        <v>150</v>
      </c>
      <c r="V43" s="3189"/>
      <c r="W43" s="3114" t="s">
        <v>9634</v>
      </c>
      <c r="X43" s="3094" t="s">
        <v>9635</v>
      </c>
      <c r="Y43" s="3095">
        <v>58</v>
      </c>
      <c r="Z43" s="3096">
        <v>142</v>
      </c>
      <c r="AA43" s="3097">
        <v>186</v>
      </c>
      <c r="AB43"/>
      <c r="AC43" s="3190"/>
      <c r="AD43" s="3083" t="s">
        <v>9636</v>
      </c>
      <c r="AE43" s="3084" t="s">
        <v>9637</v>
      </c>
      <c r="AF43" s="3085">
        <v>26</v>
      </c>
      <c r="AG43" s="3086">
        <v>26</v>
      </c>
      <c r="AH43" s="3087">
        <v>26</v>
      </c>
      <c r="AI43"/>
      <c r="AJ43" s="3191"/>
      <c r="AK43" s="3089" t="s">
        <v>9638</v>
      </c>
      <c r="AL43" s="3084" t="s">
        <v>9639</v>
      </c>
      <c r="AM43" s="3085">
        <v>205</v>
      </c>
      <c r="AN43" s="3086">
        <v>155</v>
      </c>
      <c r="AO43" s="3087">
        <v>29</v>
      </c>
      <c r="AQ43" s="3">
        <v>1</v>
      </c>
    </row>
    <row r="44" spans="2:43" ht="21" customHeight="1">
      <c r="K44" s="3192" t="s">
        <v>9640</v>
      </c>
      <c r="L44" s="3073" t="s">
        <v>9641</v>
      </c>
      <c r="M44" s="3074">
        <v>102</v>
      </c>
      <c r="N44" s="3074">
        <v>0</v>
      </c>
      <c r="O44" s="3074">
        <v>102</v>
      </c>
      <c r="P44" s="3193" t="s">
        <v>9642</v>
      </c>
      <c r="Q44" s="3073" t="s">
        <v>9643</v>
      </c>
      <c r="R44" s="3074">
        <v>0</v>
      </c>
      <c r="S44" s="3074">
        <v>51</v>
      </c>
      <c r="T44" s="3074">
        <v>102</v>
      </c>
      <c r="V44" s="3194"/>
      <c r="W44" s="3093" t="s">
        <v>9644</v>
      </c>
      <c r="X44" s="3094" t="s">
        <v>9645</v>
      </c>
      <c r="Y44" s="3095">
        <v>119</v>
      </c>
      <c r="Z44" s="3096">
        <v>136</v>
      </c>
      <c r="AA44" s="3097">
        <v>153</v>
      </c>
      <c r="AB44"/>
      <c r="AC44" s="3195"/>
      <c r="AD44" s="3083" t="s">
        <v>9646</v>
      </c>
      <c r="AE44" s="3084" t="s">
        <v>9647</v>
      </c>
      <c r="AF44" s="3085">
        <v>23</v>
      </c>
      <c r="AG44" s="3086">
        <v>23</v>
      </c>
      <c r="AH44" s="3087">
        <v>23</v>
      </c>
      <c r="AI44"/>
      <c r="AJ44" s="3196"/>
      <c r="AK44" s="3089" t="s">
        <v>9648</v>
      </c>
      <c r="AL44" s="3084" t="s">
        <v>9649</v>
      </c>
      <c r="AM44" s="3085">
        <v>205</v>
      </c>
      <c r="AN44" s="3086">
        <v>149</v>
      </c>
      <c r="AO44" s="3087">
        <v>12</v>
      </c>
      <c r="AQ44" s="3">
        <v>1</v>
      </c>
    </row>
    <row r="45" spans="2:43" ht="21" customHeight="1">
      <c r="K45" s="3197" t="s">
        <v>9650</v>
      </c>
      <c r="L45" s="3073" t="s">
        <v>9651</v>
      </c>
      <c r="M45" s="3074">
        <v>255</v>
      </c>
      <c r="N45" s="3074">
        <v>128</v>
      </c>
      <c r="O45" s="3074">
        <v>128</v>
      </c>
      <c r="P45" s="3198" t="s">
        <v>9652</v>
      </c>
      <c r="Q45" s="3073" t="s">
        <v>9653</v>
      </c>
      <c r="R45" s="3074">
        <v>51</v>
      </c>
      <c r="S45" s="3074">
        <v>153</v>
      </c>
      <c r="T45" s="3074">
        <v>102</v>
      </c>
      <c r="V45" s="3199"/>
      <c r="W45" s="3093" t="s">
        <v>9654</v>
      </c>
      <c r="X45" s="3094" t="s">
        <v>9655</v>
      </c>
      <c r="Y45" s="3095">
        <v>112</v>
      </c>
      <c r="Z45" s="3096">
        <v>128</v>
      </c>
      <c r="AA45" s="3097">
        <v>144</v>
      </c>
      <c r="AB45"/>
      <c r="AC45" s="3200"/>
      <c r="AD45" s="3083" t="s">
        <v>9656</v>
      </c>
      <c r="AE45" s="3084" t="s">
        <v>9657</v>
      </c>
      <c r="AF45" s="3085">
        <v>20</v>
      </c>
      <c r="AG45" s="3086">
        <v>20</v>
      </c>
      <c r="AH45" s="3087">
        <v>20</v>
      </c>
      <c r="AI45"/>
      <c r="AJ45" s="3201"/>
      <c r="AK45" s="3089" t="s">
        <v>9658</v>
      </c>
      <c r="AL45" s="3084" t="s">
        <v>9659</v>
      </c>
      <c r="AM45" s="3085">
        <v>204</v>
      </c>
      <c r="AN45" s="3086">
        <v>153</v>
      </c>
      <c r="AO45" s="3087">
        <v>0</v>
      </c>
      <c r="AQ45" s="3">
        <v>1</v>
      </c>
    </row>
    <row r="46" spans="2:43" ht="21" customHeight="1">
      <c r="K46" s="3202" t="s">
        <v>9660</v>
      </c>
      <c r="L46" s="3073" t="s">
        <v>9661</v>
      </c>
      <c r="M46" s="3074">
        <v>0</v>
      </c>
      <c r="N46" s="3074">
        <v>102</v>
      </c>
      <c r="O46" s="3074">
        <v>204</v>
      </c>
      <c r="P46" s="3203" t="s">
        <v>9662</v>
      </c>
      <c r="Q46" s="3073" t="s">
        <v>9663</v>
      </c>
      <c r="R46" s="3074">
        <v>51</v>
      </c>
      <c r="S46" s="3074">
        <v>51</v>
      </c>
      <c r="T46" s="3074">
        <v>0</v>
      </c>
      <c r="V46" s="3204"/>
      <c r="W46" s="3093" t="s">
        <v>9664</v>
      </c>
      <c r="X46" s="3094" t="s">
        <v>9665</v>
      </c>
      <c r="Y46" s="3095">
        <v>108</v>
      </c>
      <c r="Z46" s="3096">
        <v>123</v>
      </c>
      <c r="AA46" s="3097">
        <v>139</v>
      </c>
      <c r="AB46"/>
      <c r="AC46" s="3205"/>
      <c r="AD46" s="3083" t="s">
        <v>9666</v>
      </c>
      <c r="AE46" s="3084" t="s">
        <v>9667</v>
      </c>
      <c r="AF46" s="3085">
        <v>18</v>
      </c>
      <c r="AG46" s="3086">
        <v>18</v>
      </c>
      <c r="AH46" s="3087">
        <v>18</v>
      </c>
      <c r="AI46"/>
      <c r="AJ46" s="3206"/>
      <c r="AK46" s="3100" t="s">
        <v>9668</v>
      </c>
      <c r="AL46" s="3084" t="s">
        <v>9669</v>
      </c>
      <c r="AM46" s="3085">
        <v>190</v>
      </c>
      <c r="AN46" s="3086">
        <v>138</v>
      </c>
      <c r="AO46" s="3087">
        <v>61</v>
      </c>
      <c r="AQ46" s="3">
        <v>1</v>
      </c>
    </row>
    <row r="47" spans="2:43" ht="21" customHeight="1">
      <c r="K47" s="3207" t="s">
        <v>9670</v>
      </c>
      <c r="L47" s="3073" t="s">
        <v>9671</v>
      </c>
      <c r="M47" s="3074">
        <v>204</v>
      </c>
      <c r="N47" s="3074">
        <v>204</v>
      </c>
      <c r="O47" s="3074">
        <v>255</v>
      </c>
      <c r="P47" s="3208" t="s">
        <v>9672</v>
      </c>
      <c r="Q47" s="3073" t="s">
        <v>9673</v>
      </c>
      <c r="R47" s="3074">
        <v>153</v>
      </c>
      <c r="S47" s="3074">
        <v>51</v>
      </c>
      <c r="T47" s="3074">
        <v>0</v>
      </c>
      <c r="V47" s="3209"/>
      <c r="W47" s="3114" t="s">
        <v>9674</v>
      </c>
      <c r="X47" s="3094" t="s">
        <v>9675</v>
      </c>
      <c r="Y47" s="3095">
        <v>103</v>
      </c>
      <c r="Z47" s="3096">
        <v>113</v>
      </c>
      <c r="AA47" s="3097">
        <v>121</v>
      </c>
      <c r="AB47"/>
      <c r="AC47" s="3210"/>
      <c r="AD47" s="3083" t="s">
        <v>9676</v>
      </c>
      <c r="AE47" s="3084" t="s">
        <v>9677</v>
      </c>
      <c r="AF47" s="3085">
        <v>15</v>
      </c>
      <c r="AG47" s="3086">
        <v>15</v>
      </c>
      <c r="AH47" s="3087">
        <v>15</v>
      </c>
      <c r="AI47"/>
      <c r="AJ47" s="3211"/>
      <c r="AK47" s="3089" t="s">
        <v>9678</v>
      </c>
      <c r="AL47" s="3084" t="s">
        <v>9679</v>
      </c>
      <c r="AM47" s="3085">
        <v>184</v>
      </c>
      <c r="AN47" s="3086">
        <v>134</v>
      </c>
      <c r="AO47" s="3087">
        <v>11</v>
      </c>
      <c r="AQ47" s="3">
        <v>1</v>
      </c>
    </row>
    <row r="48" spans="2:43" ht="21" customHeight="1">
      <c r="K48" s="3144" t="s">
        <v>9680</v>
      </c>
      <c r="L48" s="3073" t="s">
        <v>9545</v>
      </c>
      <c r="M48" s="3074">
        <v>0</v>
      </c>
      <c r="N48" s="3074">
        <v>0</v>
      </c>
      <c r="O48" s="3074">
        <v>128</v>
      </c>
      <c r="P48" s="3178" t="s">
        <v>9681</v>
      </c>
      <c r="Q48" s="3073" t="s">
        <v>9612</v>
      </c>
      <c r="R48" s="3074">
        <v>153</v>
      </c>
      <c r="S48" s="3074">
        <v>51</v>
      </c>
      <c r="T48" s="3074">
        <v>102</v>
      </c>
      <c r="V48" s="3212"/>
      <c r="W48" s="3093" t="s">
        <v>9682</v>
      </c>
      <c r="X48" s="3094" t="s">
        <v>9683</v>
      </c>
      <c r="Y48" s="3095">
        <v>74</v>
      </c>
      <c r="Z48" s="3096">
        <v>112</v>
      </c>
      <c r="AA48" s="3097">
        <v>139</v>
      </c>
      <c r="AB48"/>
      <c r="AC48" s="3213"/>
      <c r="AD48" s="3083" t="s">
        <v>9684</v>
      </c>
      <c r="AE48" s="3084" t="s">
        <v>9685</v>
      </c>
      <c r="AF48" s="3085">
        <v>13</v>
      </c>
      <c r="AG48" s="3086">
        <v>13</v>
      </c>
      <c r="AH48" s="3087">
        <v>13</v>
      </c>
      <c r="AI48"/>
      <c r="AJ48" s="3214"/>
      <c r="AK48" s="3089" t="s">
        <v>9686</v>
      </c>
      <c r="AL48" s="3084" t="s">
        <v>9687</v>
      </c>
      <c r="AM48" s="3085">
        <v>166</v>
      </c>
      <c r="AN48" s="3086">
        <v>125</v>
      </c>
      <c r="AO48" s="3087">
        <v>61</v>
      </c>
      <c r="AQ48" s="3">
        <v>1</v>
      </c>
    </row>
    <row r="49" spans="1:43" ht="21" customHeight="1">
      <c r="K49" s="3215" t="s">
        <v>9688</v>
      </c>
      <c r="L49" s="3073" t="s">
        <v>9689</v>
      </c>
      <c r="M49" s="3074">
        <v>255</v>
      </c>
      <c r="N49" s="3074">
        <v>0</v>
      </c>
      <c r="O49" s="3074">
        <v>255</v>
      </c>
      <c r="P49" s="3216" t="s">
        <v>9690</v>
      </c>
      <c r="Q49" s="3073" t="s">
        <v>9691</v>
      </c>
      <c r="R49" s="3074">
        <v>51</v>
      </c>
      <c r="S49" s="3074">
        <v>51</v>
      </c>
      <c r="T49" s="3074">
        <v>153</v>
      </c>
      <c r="V49" s="3217"/>
      <c r="W49" s="3093" t="s">
        <v>9692</v>
      </c>
      <c r="X49" s="3094" t="s">
        <v>9693</v>
      </c>
      <c r="Y49" s="3095">
        <v>35</v>
      </c>
      <c r="Z49" s="3096">
        <v>107</v>
      </c>
      <c r="AA49" s="3097">
        <v>142</v>
      </c>
      <c r="AB49"/>
      <c r="AC49" s="3218"/>
      <c r="AD49" s="3083" t="s">
        <v>9694</v>
      </c>
      <c r="AE49" s="3084" t="s">
        <v>9695</v>
      </c>
      <c r="AF49" s="3085">
        <v>10</v>
      </c>
      <c r="AG49" s="3086">
        <v>10</v>
      </c>
      <c r="AH49" s="3087">
        <v>10</v>
      </c>
      <c r="AI49"/>
      <c r="AJ49" s="3219"/>
      <c r="AK49" s="3100" t="s">
        <v>9696</v>
      </c>
      <c r="AL49" s="3084" t="s">
        <v>9697</v>
      </c>
      <c r="AM49" s="3085">
        <v>148</v>
      </c>
      <c r="AN49" s="3086">
        <v>127</v>
      </c>
      <c r="AO49" s="3087">
        <v>96</v>
      </c>
      <c r="AQ49" s="3">
        <v>1</v>
      </c>
    </row>
    <row r="50" spans="1:43" ht="21" customHeight="1">
      <c r="K50" s="3220" t="s">
        <v>9698</v>
      </c>
      <c r="L50" s="3073" t="s">
        <v>9699</v>
      </c>
      <c r="M50" s="3074">
        <v>255</v>
      </c>
      <c r="N50" s="3074">
        <v>255</v>
      </c>
      <c r="O50" s="3074">
        <v>0</v>
      </c>
      <c r="P50" s="3221" t="s">
        <v>9700</v>
      </c>
      <c r="Q50" s="3073" t="s">
        <v>9701</v>
      </c>
      <c r="R50" s="3074">
        <v>51</v>
      </c>
      <c r="S50" s="3074">
        <v>51</v>
      </c>
      <c r="T50" s="3074">
        <v>51</v>
      </c>
      <c r="V50" s="3222"/>
      <c r="W50" s="3114" t="s">
        <v>9702</v>
      </c>
      <c r="X50" s="3094" t="s">
        <v>9703</v>
      </c>
      <c r="Y50" s="3095">
        <v>83</v>
      </c>
      <c r="Z50" s="3096">
        <v>104</v>
      </c>
      <c r="AA50" s="3097">
        <v>120</v>
      </c>
      <c r="AB50"/>
      <c r="AC50" s="3223"/>
      <c r="AD50" s="3083" t="s">
        <v>9704</v>
      </c>
      <c r="AE50" s="3084" t="s">
        <v>9705</v>
      </c>
      <c r="AF50" s="3085">
        <v>8</v>
      </c>
      <c r="AG50" s="3086">
        <v>8</v>
      </c>
      <c r="AH50" s="3087">
        <v>8</v>
      </c>
      <c r="AI50"/>
      <c r="AJ50" s="3224"/>
      <c r="AK50" s="3100" t="s">
        <v>9706</v>
      </c>
      <c r="AL50" s="3084" t="s">
        <v>9707</v>
      </c>
      <c r="AM50" s="3085">
        <v>150</v>
      </c>
      <c r="AN50" s="3086">
        <v>124</v>
      </c>
      <c r="AO50" s="3087">
        <v>92</v>
      </c>
      <c r="AQ50" s="3">
        <v>1</v>
      </c>
    </row>
    <row r="51" spans="1:43" ht="21" customHeight="1">
      <c r="K51" s="3225" t="s">
        <v>9708</v>
      </c>
      <c r="L51" s="3073" t="s">
        <v>9709</v>
      </c>
      <c r="M51" s="3074">
        <v>0</v>
      </c>
      <c r="N51" s="3074">
        <v>255</v>
      </c>
      <c r="O51" s="3074">
        <v>255</v>
      </c>
      <c r="V51" s="3226"/>
      <c r="W51" s="3093" t="s">
        <v>9710</v>
      </c>
      <c r="X51" s="3094" t="s">
        <v>9711</v>
      </c>
      <c r="Y51" s="3095">
        <v>0</v>
      </c>
      <c r="Z51" s="3096">
        <v>104</v>
      </c>
      <c r="AA51" s="3097">
        <v>139</v>
      </c>
      <c r="AB51"/>
      <c r="AC51" s="3227"/>
      <c r="AD51" s="3083" t="s">
        <v>9712</v>
      </c>
      <c r="AE51" s="3084" t="s">
        <v>9713</v>
      </c>
      <c r="AF51" s="3085">
        <v>5</v>
      </c>
      <c r="AG51" s="3086">
        <v>5</v>
      </c>
      <c r="AH51" s="3087">
        <v>5</v>
      </c>
      <c r="AI51"/>
      <c r="AJ51" s="3228"/>
      <c r="AK51" s="3089" t="s">
        <v>9714</v>
      </c>
      <c r="AL51" s="3084" t="s">
        <v>9715</v>
      </c>
      <c r="AM51" s="3085">
        <v>139</v>
      </c>
      <c r="AN51" s="3086">
        <v>125</v>
      </c>
      <c r="AO51" s="3087">
        <v>107</v>
      </c>
      <c r="AQ51" s="3">
        <v>1</v>
      </c>
    </row>
    <row r="52" spans="1:43" ht="21" customHeight="1">
      <c r="V52" s="3229"/>
      <c r="W52" s="3114" t="s">
        <v>9716</v>
      </c>
      <c r="X52" s="3094" t="s">
        <v>9717</v>
      </c>
      <c r="Y52" s="3095">
        <v>81</v>
      </c>
      <c r="Z52" s="3096">
        <v>88</v>
      </c>
      <c r="AA52" s="3097">
        <v>94</v>
      </c>
      <c r="AB52"/>
      <c r="AC52" s="3230"/>
      <c r="AD52" s="3083" t="s">
        <v>9718</v>
      </c>
      <c r="AE52" s="3084" t="s">
        <v>9719</v>
      </c>
      <c r="AF52" s="3085">
        <v>3</v>
      </c>
      <c r="AG52" s="3086">
        <v>3</v>
      </c>
      <c r="AH52" s="3087">
        <v>3</v>
      </c>
      <c r="AI52"/>
      <c r="AJ52" s="3231"/>
      <c r="AK52" s="3089" t="s">
        <v>9720</v>
      </c>
      <c r="AL52" s="3084" t="s">
        <v>9721</v>
      </c>
      <c r="AM52" s="3085">
        <v>139</v>
      </c>
      <c r="AN52" s="3086">
        <v>121</v>
      </c>
      <c r="AO52" s="3087">
        <v>94</v>
      </c>
      <c r="AQ52" s="3">
        <v>1</v>
      </c>
    </row>
    <row r="53" spans="1:43" ht="21" customHeight="1">
      <c r="K53" s="3232" t="s">
        <v>9722</v>
      </c>
      <c r="L53"/>
      <c r="M53"/>
      <c r="N53"/>
      <c r="O53"/>
      <c r="P53"/>
      <c r="Q53"/>
      <c r="R53"/>
      <c r="S53"/>
      <c r="V53" s="3233"/>
      <c r="W53" s="3114" t="s">
        <v>9723</v>
      </c>
      <c r="X53" s="3094" t="s">
        <v>9724</v>
      </c>
      <c r="Y53" s="3095">
        <v>36</v>
      </c>
      <c r="Z53" s="3096">
        <v>68</v>
      </c>
      <c r="AA53" s="3097">
        <v>92</v>
      </c>
      <c r="AB53"/>
      <c r="AC53" s="3234"/>
      <c r="AD53" s="3148" t="s">
        <v>9725</v>
      </c>
      <c r="AE53" s="3084" t="s">
        <v>9726</v>
      </c>
      <c r="AF53" s="3085">
        <v>255</v>
      </c>
      <c r="AG53" s="3086">
        <v>255</v>
      </c>
      <c r="AH53" s="3087">
        <v>0</v>
      </c>
      <c r="AI53"/>
      <c r="AJ53" s="3235"/>
      <c r="AK53" s="3089" t="s">
        <v>9727</v>
      </c>
      <c r="AL53" s="3084" t="s">
        <v>9728</v>
      </c>
      <c r="AM53" s="3085">
        <v>139</v>
      </c>
      <c r="AN53" s="3086">
        <v>115</v>
      </c>
      <c r="AO53" s="3087">
        <v>85</v>
      </c>
      <c r="AQ53" s="3">
        <v>1</v>
      </c>
    </row>
    <row r="54" spans="1:43" ht="21" customHeight="1">
      <c r="K54" s="3236" t="s">
        <v>9729</v>
      </c>
      <c r="L54"/>
      <c r="M54"/>
      <c r="N54"/>
      <c r="O54"/>
      <c r="P54"/>
      <c r="Q54"/>
      <c r="R54"/>
      <c r="S54"/>
      <c r="V54" s="3237"/>
      <c r="W54" s="3114" t="s">
        <v>9730</v>
      </c>
      <c r="X54" s="3094" t="s">
        <v>9731</v>
      </c>
      <c r="Y54" s="3095">
        <v>54</v>
      </c>
      <c r="Z54" s="3096">
        <v>69</v>
      </c>
      <c r="AA54" s="3097">
        <v>79</v>
      </c>
      <c r="AB54"/>
      <c r="AC54" s="3238"/>
      <c r="AD54" s="3148" t="s">
        <v>9732</v>
      </c>
      <c r="AE54" s="3084" t="s">
        <v>9733</v>
      </c>
      <c r="AF54" s="3085">
        <v>234</v>
      </c>
      <c r="AG54" s="3086">
        <v>230</v>
      </c>
      <c r="AH54" s="3087">
        <v>121</v>
      </c>
      <c r="AI54"/>
      <c r="AJ54" s="3239"/>
      <c r="AK54" s="3100" t="s">
        <v>9734</v>
      </c>
      <c r="AL54" s="3084" t="s">
        <v>9735</v>
      </c>
      <c r="AM54" s="3085">
        <v>128</v>
      </c>
      <c r="AN54" s="3086">
        <v>109</v>
      </c>
      <c r="AO54" s="3087">
        <v>90</v>
      </c>
      <c r="AQ54" s="3">
        <v>1</v>
      </c>
    </row>
    <row r="55" spans="1:43" ht="21" customHeight="1">
      <c r="K55"/>
      <c r="L55"/>
      <c r="M55"/>
      <c r="N55"/>
      <c r="O55"/>
      <c r="P55"/>
      <c r="Q55"/>
      <c r="R55"/>
      <c r="S55"/>
      <c r="V55" s="3240"/>
      <c r="W55" s="3114" t="s">
        <v>9736</v>
      </c>
      <c r="X55" s="3094" t="s">
        <v>9737</v>
      </c>
      <c r="Y55" s="3095">
        <v>32</v>
      </c>
      <c r="Z55" s="3096">
        <v>40</v>
      </c>
      <c r="AA55" s="3097">
        <v>48</v>
      </c>
      <c r="AB55"/>
      <c r="AC55" s="3241"/>
      <c r="AD55" s="3148" t="s">
        <v>9738</v>
      </c>
      <c r="AE55" s="3084" t="s">
        <v>9739</v>
      </c>
      <c r="AF55" s="3085">
        <v>247</v>
      </c>
      <c r="AG55" s="3086">
        <v>255</v>
      </c>
      <c r="AH55" s="3087">
        <v>60</v>
      </c>
      <c r="AI55"/>
      <c r="AJ55" s="3242"/>
      <c r="AK55" s="3100" t="s">
        <v>9740</v>
      </c>
      <c r="AL55" s="3084" t="s">
        <v>9741</v>
      </c>
      <c r="AM55" s="3085">
        <v>139</v>
      </c>
      <c r="AN55" s="3086">
        <v>108</v>
      </c>
      <c r="AO55" s="3087">
        <v>66</v>
      </c>
      <c r="AQ55" s="3">
        <v>1</v>
      </c>
    </row>
    <row r="56" spans="1:43" ht="21" customHeight="1">
      <c r="K56" s="3243" t="s">
        <v>9742</v>
      </c>
      <c r="L56" s="3244" t="s">
        <v>9743</v>
      </c>
      <c r="M56" s="3245" t="s">
        <v>9744</v>
      </c>
      <c r="N56" s="3246" t="s">
        <v>9745</v>
      </c>
      <c r="O56" s="3247" t="s">
        <v>9746</v>
      </c>
      <c r="P56" s="3248" t="s">
        <v>9747</v>
      </c>
      <c r="Q56" s="3249" t="s">
        <v>9748</v>
      </c>
      <c r="R56" s="3250" t="s">
        <v>9749</v>
      </c>
      <c r="S56" s="3251" t="s">
        <v>9750</v>
      </c>
      <c r="V56" s="3252"/>
      <c r="W56" s="3114" t="s">
        <v>9751</v>
      </c>
      <c r="X56" s="3094" t="s">
        <v>9752</v>
      </c>
      <c r="Y56" s="3095">
        <v>32</v>
      </c>
      <c r="Z56" s="3096">
        <v>36</v>
      </c>
      <c r="AA56" s="3097">
        <v>40</v>
      </c>
      <c r="AB56"/>
      <c r="AC56" s="3253"/>
      <c r="AD56" s="3083" t="s">
        <v>9753</v>
      </c>
      <c r="AE56" s="3084" t="s">
        <v>9754</v>
      </c>
      <c r="AF56" s="3085">
        <v>205</v>
      </c>
      <c r="AG56" s="3086">
        <v>205</v>
      </c>
      <c r="AH56" s="3087">
        <v>180</v>
      </c>
      <c r="AI56"/>
      <c r="AJ56" s="3254"/>
      <c r="AK56" s="3100" t="s">
        <v>9755</v>
      </c>
      <c r="AL56" s="3084" t="s">
        <v>9756</v>
      </c>
      <c r="AM56" s="3085">
        <v>126</v>
      </c>
      <c r="AN56" s="3086">
        <v>109</v>
      </c>
      <c r="AO56" s="3087">
        <v>90</v>
      </c>
      <c r="AQ56" s="3">
        <v>1</v>
      </c>
    </row>
    <row r="57" spans="1:43" ht="21" customHeight="1">
      <c r="K57" s="3255" t="s">
        <v>9757</v>
      </c>
      <c r="L57" s="3256" t="s">
        <v>9758</v>
      </c>
      <c r="M57" s="3257" t="s">
        <v>9759</v>
      </c>
      <c r="N57" s="3258" t="s">
        <v>9760</v>
      </c>
      <c r="O57" s="3259" t="s">
        <v>9761</v>
      </c>
      <c r="P57" s="3260" t="s">
        <v>9762</v>
      </c>
      <c r="Q57" s="3261" t="s">
        <v>9763</v>
      </c>
      <c r="R57" s="3262" t="s">
        <v>9764</v>
      </c>
      <c r="S57" s="3263" t="s">
        <v>9765</v>
      </c>
      <c r="V57" s="3264"/>
      <c r="W57" s="3093" t="s">
        <v>9766</v>
      </c>
      <c r="X57" s="3094" t="s">
        <v>9767</v>
      </c>
      <c r="Y57" s="3095">
        <v>99</v>
      </c>
      <c r="Z57" s="3096">
        <v>184</v>
      </c>
      <c r="AA57" s="3097">
        <v>255</v>
      </c>
      <c r="AB57"/>
      <c r="AC57" s="3265"/>
      <c r="AD57" s="3148" t="s">
        <v>9768</v>
      </c>
      <c r="AE57" s="3084" t="s">
        <v>9769</v>
      </c>
      <c r="AF57" s="3085">
        <v>230</v>
      </c>
      <c r="AG57" s="3086">
        <v>230</v>
      </c>
      <c r="AH57" s="3087">
        <v>151</v>
      </c>
      <c r="AI57"/>
      <c r="AJ57" s="3266"/>
      <c r="AK57" s="3100" t="s">
        <v>9770</v>
      </c>
      <c r="AL57" s="3084" t="s">
        <v>9771</v>
      </c>
      <c r="AM57" s="3085">
        <v>150</v>
      </c>
      <c r="AN57" s="3086">
        <v>113</v>
      </c>
      <c r="AO57" s="3087">
        <v>23</v>
      </c>
      <c r="AQ57" s="3">
        <v>1</v>
      </c>
    </row>
    <row r="58" spans="1:43" ht="21" customHeight="1">
      <c r="K58" s="3267" t="s">
        <v>9772</v>
      </c>
      <c r="L58" s="3268" t="s">
        <v>9773</v>
      </c>
      <c r="M58" s="3269" t="s">
        <v>9774</v>
      </c>
      <c r="N58" s="3270" t="s">
        <v>9775</v>
      </c>
      <c r="O58" s="3271" t="s">
        <v>9776</v>
      </c>
      <c r="P58" s="3272" t="s">
        <v>9777</v>
      </c>
      <c r="Q58" s="3273" t="s">
        <v>9778</v>
      </c>
      <c r="R58" s="3274" t="s">
        <v>9779</v>
      </c>
      <c r="S58" s="3275" t="s">
        <v>9780</v>
      </c>
      <c r="V58" s="3276"/>
      <c r="W58" s="3093" t="s">
        <v>9781</v>
      </c>
      <c r="X58" s="3094" t="s">
        <v>9782</v>
      </c>
      <c r="Y58" s="3095">
        <v>176</v>
      </c>
      <c r="Z58" s="3096">
        <v>196</v>
      </c>
      <c r="AA58" s="3097">
        <v>222</v>
      </c>
      <c r="AB58"/>
      <c r="AC58" s="3277"/>
      <c r="AD58" s="3148" t="s">
        <v>9783</v>
      </c>
      <c r="AE58" s="3084" t="s">
        <v>9784</v>
      </c>
      <c r="AF58" s="3085">
        <v>254</v>
      </c>
      <c r="AG58" s="3086">
        <v>248</v>
      </c>
      <c r="AH58" s="3087">
        <v>108</v>
      </c>
      <c r="AI58"/>
      <c r="AJ58" s="3278"/>
      <c r="AK58" s="3100" t="s">
        <v>9785</v>
      </c>
      <c r="AL58" s="3084" t="s">
        <v>9786</v>
      </c>
      <c r="AM58" s="3085">
        <v>133</v>
      </c>
      <c r="AN58" s="3086">
        <v>109</v>
      </c>
      <c r="AO58" s="3087">
        <v>77</v>
      </c>
      <c r="AQ58" s="3">
        <v>1</v>
      </c>
    </row>
    <row r="59" spans="1:43" ht="21" customHeight="1">
      <c r="K59" s="3279" t="s">
        <v>9787</v>
      </c>
      <c r="L59" s="3280" t="s">
        <v>9788</v>
      </c>
      <c r="M59" s="3281" t="s">
        <v>9789</v>
      </c>
      <c r="N59" s="3282" t="s">
        <v>9790</v>
      </c>
      <c r="O59" s="3283" t="s">
        <v>9791</v>
      </c>
      <c r="P59" s="3284" t="s">
        <v>9792</v>
      </c>
      <c r="Q59" s="3285" t="s">
        <v>9793</v>
      </c>
      <c r="R59" s="3286" t="s">
        <v>9794</v>
      </c>
      <c r="S59" s="3287" t="s">
        <v>9795</v>
      </c>
      <c r="V59" s="3288"/>
      <c r="W59" s="3114" t="s">
        <v>9796</v>
      </c>
      <c r="X59" s="3094" t="s">
        <v>9797</v>
      </c>
      <c r="Y59" s="3095">
        <v>119</v>
      </c>
      <c r="Z59" s="3096">
        <v>181</v>
      </c>
      <c r="AA59" s="3097">
        <v>254</v>
      </c>
      <c r="AB59"/>
      <c r="AC59" s="3289"/>
      <c r="AD59" s="3148" t="s">
        <v>9798</v>
      </c>
      <c r="AE59" s="3084" t="s">
        <v>9799</v>
      </c>
      <c r="AF59" s="3085">
        <v>255</v>
      </c>
      <c r="AG59" s="3086">
        <v>255</v>
      </c>
      <c r="AH59" s="3087">
        <v>107</v>
      </c>
      <c r="AI59"/>
      <c r="AJ59" s="3290"/>
      <c r="AK59" s="3100" t="s">
        <v>9800</v>
      </c>
      <c r="AL59" s="3084" t="s">
        <v>9801</v>
      </c>
      <c r="AM59" s="3085">
        <v>146</v>
      </c>
      <c r="AN59" s="3086">
        <v>109</v>
      </c>
      <c r="AO59" s="3087">
        <v>39</v>
      </c>
      <c r="AQ59" s="3">
        <v>1</v>
      </c>
    </row>
    <row r="60" spans="1:43" ht="21" customHeight="1">
      <c r="K60" s="3291" t="s">
        <v>9802</v>
      </c>
      <c r="L60" s="3292" t="s">
        <v>9803</v>
      </c>
      <c r="M60" s="3293" t="s">
        <v>9804</v>
      </c>
      <c r="N60" s="3294" t="s">
        <v>9805</v>
      </c>
      <c r="O60" s="3295" t="s">
        <v>9806</v>
      </c>
      <c r="P60" s="3296" t="s">
        <v>9807</v>
      </c>
      <c r="Q60" s="3297" t="s">
        <v>9808</v>
      </c>
      <c r="R60" s="3298" t="s">
        <v>9809</v>
      </c>
      <c r="S60" s="3299" t="s">
        <v>9810</v>
      </c>
      <c r="V60" s="3300"/>
      <c r="W60" s="3093"/>
      <c r="X60" s="3094" t="s">
        <v>9811</v>
      </c>
      <c r="Y60" s="3095">
        <v>153</v>
      </c>
      <c r="Z60" s="3096">
        <v>204</v>
      </c>
      <c r="AA60" s="3097">
        <v>255</v>
      </c>
      <c r="AB60"/>
      <c r="AC60" s="3301"/>
      <c r="AD60" s="3083" t="s">
        <v>9812</v>
      </c>
      <c r="AE60" s="3084" t="s">
        <v>9813</v>
      </c>
      <c r="AF60" s="3085">
        <v>205</v>
      </c>
      <c r="AG60" s="3086">
        <v>205</v>
      </c>
      <c r="AH60" s="3087">
        <v>193</v>
      </c>
      <c r="AI60"/>
      <c r="AJ60" s="3302"/>
      <c r="AK60" s="3089" t="s">
        <v>9814</v>
      </c>
      <c r="AL60" s="3084" t="s">
        <v>9815</v>
      </c>
      <c r="AM60" s="3085">
        <v>142</v>
      </c>
      <c r="AN60" s="3086">
        <v>107</v>
      </c>
      <c r="AO60" s="3087">
        <v>35</v>
      </c>
      <c r="AQ60" s="3">
        <v>1</v>
      </c>
    </row>
    <row r="61" spans="1:43" ht="21" customHeight="1">
      <c r="A61" s="852"/>
      <c r="K61" s="3303" t="s">
        <v>9816</v>
      </c>
      <c r="L61" s="3304" t="s">
        <v>9817</v>
      </c>
      <c r="M61" s="3305" t="s">
        <v>9818</v>
      </c>
      <c r="N61" s="3306" t="s">
        <v>9819</v>
      </c>
      <c r="O61" s="3307" t="s">
        <v>9820</v>
      </c>
      <c r="P61" s="3308" t="s">
        <v>9821</v>
      </c>
      <c r="Q61" s="3309" t="s">
        <v>9822</v>
      </c>
      <c r="R61" s="3310" t="s">
        <v>9823</v>
      </c>
      <c r="S61" s="3311" t="s">
        <v>9824</v>
      </c>
      <c r="V61" s="3312"/>
      <c r="W61" s="3093" t="s">
        <v>9825</v>
      </c>
      <c r="X61" s="3094" t="s">
        <v>9826</v>
      </c>
      <c r="Y61" s="3095">
        <v>188</v>
      </c>
      <c r="Z61" s="3096">
        <v>210</v>
      </c>
      <c r="AA61" s="3097">
        <v>238</v>
      </c>
      <c r="AB61"/>
      <c r="AC61" s="3313"/>
      <c r="AD61" s="3148" t="s">
        <v>9827</v>
      </c>
      <c r="AE61" s="3084" t="s">
        <v>9828</v>
      </c>
      <c r="AF61" s="3085">
        <v>235</v>
      </c>
      <c r="AG61" s="3086">
        <v>232</v>
      </c>
      <c r="AH61" s="3087">
        <v>164</v>
      </c>
      <c r="AI61"/>
      <c r="AJ61" s="3314"/>
      <c r="AK61" s="3100" t="s">
        <v>9829</v>
      </c>
      <c r="AL61" s="3084" t="s">
        <v>9830</v>
      </c>
      <c r="AM61" s="3085">
        <v>130</v>
      </c>
      <c r="AN61" s="3086">
        <v>102</v>
      </c>
      <c r="AO61" s="3087">
        <v>68</v>
      </c>
      <c r="AP61" s="870"/>
      <c r="AQ61" s="3">
        <v>1</v>
      </c>
    </row>
    <row r="62" spans="1:43" ht="21" customHeight="1">
      <c r="A62" s="852"/>
      <c r="K62" s="3315" t="s">
        <v>9831</v>
      </c>
      <c r="L62" s="3316" t="s">
        <v>9832</v>
      </c>
      <c r="M62" s="3317" t="s">
        <v>9833</v>
      </c>
      <c r="N62" s="3318" t="s">
        <v>9834</v>
      </c>
      <c r="O62" s="3319" t="s">
        <v>9835</v>
      </c>
      <c r="P62" s="3320" t="s">
        <v>9836</v>
      </c>
      <c r="Q62" s="3321" t="s">
        <v>9837</v>
      </c>
      <c r="R62" s="3322" t="s">
        <v>9838</v>
      </c>
      <c r="S62" s="3323" t="s">
        <v>9839</v>
      </c>
      <c r="V62" s="3324"/>
      <c r="W62" s="3093" t="s">
        <v>9840</v>
      </c>
      <c r="X62" s="3094" t="s">
        <v>9841</v>
      </c>
      <c r="Y62" s="3095">
        <v>202</v>
      </c>
      <c r="Z62" s="3096">
        <v>225</v>
      </c>
      <c r="AA62" s="3097">
        <v>255</v>
      </c>
      <c r="AB62"/>
      <c r="AC62" s="3325"/>
      <c r="AD62" s="3083" t="s">
        <v>9842</v>
      </c>
      <c r="AE62" s="3084" t="s">
        <v>9843</v>
      </c>
      <c r="AF62" s="3085">
        <v>216</v>
      </c>
      <c r="AG62" s="3086">
        <v>216</v>
      </c>
      <c r="AH62" s="3087">
        <v>191</v>
      </c>
      <c r="AI62"/>
      <c r="AJ62" s="3326"/>
      <c r="AK62" s="3089" t="s">
        <v>9844</v>
      </c>
      <c r="AL62" s="3084" t="s">
        <v>9845</v>
      </c>
      <c r="AM62" s="3085">
        <v>139</v>
      </c>
      <c r="AN62" s="3086">
        <v>105</v>
      </c>
      <c r="AO62" s="3087">
        <v>20</v>
      </c>
      <c r="AQ62" s="3">
        <v>1</v>
      </c>
    </row>
    <row r="63" spans="1:43" ht="21" customHeight="1">
      <c r="A63" s="852"/>
      <c r="K63" s="3327" t="s">
        <v>9846</v>
      </c>
      <c r="L63" s="3328" t="s">
        <v>9847</v>
      </c>
      <c r="M63" s="3329" t="s">
        <v>9848</v>
      </c>
      <c r="N63" s="3330" t="s">
        <v>9849</v>
      </c>
      <c r="O63" s="3331" t="s">
        <v>9850</v>
      </c>
      <c r="P63" s="3332" t="s">
        <v>9851</v>
      </c>
      <c r="Q63" s="3333" t="s">
        <v>9852</v>
      </c>
      <c r="R63" s="3334" t="s">
        <v>9853</v>
      </c>
      <c r="S63" s="3335" t="s">
        <v>9854</v>
      </c>
      <c r="V63" s="3336"/>
      <c r="W63" s="3093" t="s">
        <v>9855</v>
      </c>
      <c r="X63" s="3094" t="s">
        <v>9856</v>
      </c>
      <c r="Y63" s="3095">
        <v>162</v>
      </c>
      <c r="Z63" s="3096">
        <v>181</v>
      </c>
      <c r="AA63" s="3097">
        <v>205</v>
      </c>
      <c r="AB63"/>
      <c r="AC63" s="3337"/>
      <c r="AD63" s="3083" t="s">
        <v>9857</v>
      </c>
      <c r="AE63" s="3084" t="s">
        <v>9858</v>
      </c>
      <c r="AF63" s="3085">
        <v>234</v>
      </c>
      <c r="AG63" s="3086">
        <v>234</v>
      </c>
      <c r="AH63" s="3087">
        <v>174</v>
      </c>
      <c r="AI63"/>
      <c r="AJ63" s="3338"/>
      <c r="AK63" s="3089" t="s">
        <v>9859</v>
      </c>
      <c r="AL63" s="3084" t="s">
        <v>9860</v>
      </c>
      <c r="AM63" s="3085">
        <v>139</v>
      </c>
      <c r="AN63" s="3086">
        <v>101</v>
      </c>
      <c r="AO63" s="3087">
        <v>8</v>
      </c>
      <c r="AQ63" s="3">
        <v>1</v>
      </c>
    </row>
    <row r="64" spans="1:43" ht="21" customHeight="1">
      <c r="A64" s="852"/>
      <c r="K64" s="3339" t="s">
        <v>9861</v>
      </c>
      <c r="L64" s="3340" t="s">
        <v>9862</v>
      </c>
      <c r="M64" s="3341" t="s">
        <v>9863</v>
      </c>
      <c r="N64" s="3342" t="s">
        <v>9864</v>
      </c>
      <c r="O64" s="3343" t="s">
        <v>9865</v>
      </c>
      <c r="P64" s="3344" t="s">
        <v>9866</v>
      </c>
      <c r="Q64" s="3345" t="s">
        <v>9867</v>
      </c>
      <c r="R64" s="3346" t="s">
        <v>9868</v>
      </c>
      <c r="S64" s="3347" t="s">
        <v>9869</v>
      </c>
      <c r="V64" s="3348"/>
      <c r="W64" s="3093" t="s">
        <v>9870</v>
      </c>
      <c r="X64" s="3094" t="s">
        <v>9871</v>
      </c>
      <c r="Y64" s="3095">
        <v>92</v>
      </c>
      <c r="Z64" s="3096">
        <v>172</v>
      </c>
      <c r="AA64" s="3097">
        <v>238</v>
      </c>
      <c r="AB64"/>
      <c r="AC64" s="3349"/>
      <c r="AD64" s="3083" t="s">
        <v>9872</v>
      </c>
      <c r="AE64" s="3084" t="s">
        <v>9873</v>
      </c>
      <c r="AF64" s="3085">
        <v>238</v>
      </c>
      <c r="AG64" s="3086">
        <v>238</v>
      </c>
      <c r="AH64" s="3087">
        <v>209</v>
      </c>
      <c r="AI64"/>
      <c r="AJ64" s="3350"/>
      <c r="AK64" s="3100" t="s">
        <v>9874</v>
      </c>
      <c r="AL64" s="3084" t="s">
        <v>9875</v>
      </c>
      <c r="AM64" s="3085">
        <v>120</v>
      </c>
      <c r="AN64" s="3086">
        <v>94</v>
      </c>
      <c r="AO64" s="3087">
        <v>47</v>
      </c>
      <c r="AQ64" s="3">
        <v>1</v>
      </c>
    </row>
    <row r="65" spans="1:43" ht="21" customHeight="1">
      <c r="A65" s="852"/>
      <c r="K65" s="3351" t="s">
        <v>9876</v>
      </c>
      <c r="L65" s="3352" t="s">
        <v>9877</v>
      </c>
      <c r="M65" s="3353" t="s">
        <v>9878</v>
      </c>
      <c r="N65" s="3354" t="s">
        <v>9879</v>
      </c>
      <c r="O65" s="3355" t="s">
        <v>9880</v>
      </c>
      <c r="P65" s="3356" t="s">
        <v>9881</v>
      </c>
      <c r="Q65" s="3357" t="s">
        <v>9882</v>
      </c>
      <c r="R65" s="3358" t="s">
        <v>9883</v>
      </c>
      <c r="S65" s="3359" t="s">
        <v>9884</v>
      </c>
      <c r="V65" s="3360"/>
      <c r="W65" s="3093"/>
      <c r="X65" s="3094" t="s">
        <v>9885</v>
      </c>
      <c r="Y65" s="3095">
        <v>102</v>
      </c>
      <c r="Z65" s="3096">
        <v>153</v>
      </c>
      <c r="AA65" s="3097">
        <v>204</v>
      </c>
      <c r="AB65"/>
      <c r="AC65" s="3361"/>
      <c r="AD65" s="3083" t="s">
        <v>9886</v>
      </c>
      <c r="AE65" s="3084" t="s">
        <v>9887</v>
      </c>
      <c r="AF65" s="3085">
        <v>250</v>
      </c>
      <c r="AG65" s="3086">
        <v>250</v>
      </c>
      <c r="AH65" s="3087">
        <v>210</v>
      </c>
      <c r="AI65"/>
      <c r="AJ65" s="3350"/>
      <c r="AK65" s="3100" t="s">
        <v>9888</v>
      </c>
      <c r="AL65" s="3084" t="s">
        <v>9875</v>
      </c>
      <c r="AM65" s="3085">
        <v>120</v>
      </c>
      <c r="AN65" s="3086">
        <v>94</v>
      </c>
      <c r="AO65" s="3087">
        <v>47</v>
      </c>
      <c r="AQ65" s="3">
        <v>1</v>
      </c>
    </row>
    <row r="66" spans="1:43" ht="21" customHeight="1">
      <c r="A66" s="852"/>
      <c r="K66" s="3362" t="s">
        <v>9889</v>
      </c>
      <c r="L66" s="3363" t="s">
        <v>9890</v>
      </c>
      <c r="M66" s="3364" t="s">
        <v>9891</v>
      </c>
      <c r="N66" s="3365" t="s">
        <v>9892</v>
      </c>
      <c r="O66" s="3366" t="s">
        <v>9893</v>
      </c>
      <c r="P66" s="3367" t="s">
        <v>9894</v>
      </c>
      <c r="Q66" s="3368" t="s">
        <v>9895</v>
      </c>
      <c r="R66" s="3369" t="s">
        <v>9896</v>
      </c>
      <c r="S66" s="3370" t="s">
        <v>9897</v>
      </c>
      <c r="V66" s="3371"/>
      <c r="W66" s="3114" t="s">
        <v>9898</v>
      </c>
      <c r="X66" s="3094" t="s">
        <v>9899</v>
      </c>
      <c r="Y66" s="3095">
        <v>73</v>
      </c>
      <c r="Z66" s="3096">
        <v>151</v>
      </c>
      <c r="AA66" s="3097">
        <v>208</v>
      </c>
      <c r="AB66"/>
      <c r="AC66" s="3372"/>
      <c r="AD66" s="3083" t="s">
        <v>9900</v>
      </c>
      <c r="AE66" s="3084" t="s">
        <v>9901</v>
      </c>
      <c r="AF66" s="3085">
        <v>238</v>
      </c>
      <c r="AG66" s="3086">
        <v>238</v>
      </c>
      <c r="AH66" s="3087">
        <v>224</v>
      </c>
      <c r="AI66"/>
      <c r="AJ66" s="3373"/>
      <c r="AK66" s="3100" t="s">
        <v>9902</v>
      </c>
      <c r="AL66" s="3084" t="s">
        <v>9903</v>
      </c>
      <c r="AM66" s="3085">
        <v>108</v>
      </c>
      <c r="AN66" s="3086">
        <v>84</v>
      </c>
      <c r="AO66" s="3087">
        <v>30</v>
      </c>
      <c r="AQ66" s="3">
        <v>1</v>
      </c>
    </row>
    <row r="67" spans="1:43" ht="21" customHeight="1">
      <c r="A67" s="852"/>
      <c r="K67" s="3374" t="s">
        <v>9904</v>
      </c>
      <c r="L67" s="3375" t="s">
        <v>9905</v>
      </c>
      <c r="M67" s="3376" t="s">
        <v>9906</v>
      </c>
      <c r="N67" s="3377" t="s">
        <v>9907</v>
      </c>
      <c r="O67" s="3378" t="s">
        <v>9908</v>
      </c>
      <c r="P67" s="3379" t="s">
        <v>9909</v>
      </c>
      <c r="Q67" s="3380" t="s">
        <v>9910</v>
      </c>
      <c r="R67" s="3381" t="s">
        <v>9911</v>
      </c>
      <c r="S67" s="3382" t="s">
        <v>9912</v>
      </c>
      <c r="V67" s="3383"/>
      <c r="W67" s="3093" t="s">
        <v>9913</v>
      </c>
      <c r="X67" s="3094" t="s">
        <v>9914</v>
      </c>
      <c r="Y67" s="3095">
        <v>79</v>
      </c>
      <c r="Z67" s="3096">
        <v>148</v>
      </c>
      <c r="AA67" s="3097">
        <v>205</v>
      </c>
      <c r="AB67"/>
      <c r="AC67" s="3384"/>
      <c r="AD67" s="3083" t="s">
        <v>9915</v>
      </c>
      <c r="AE67" s="3084" t="s">
        <v>9916</v>
      </c>
      <c r="AF67" s="3085">
        <v>245</v>
      </c>
      <c r="AG67" s="3086">
        <v>245</v>
      </c>
      <c r="AH67" s="3087">
        <v>220</v>
      </c>
      <c r="AI67"/>
      <c r="AJ67" s="3385"/>
      <c r="AK67" s="3100" t="s">
        <v>9917</v>
      </c>
      <c r="AL67" s="3084" t="s">
        <v>9918</v>
      </c>
      <c r="AM67" s="3085">
        <v>78</v>
      </c>
      <c r="AN67" s="3086">
        <v>61</v>
      </c>
      <c r="AO67" s="3087">
        <v>40</v>
      </c>
      <c r="AQ67" s="3">
        <v>1</v>
      </c>
    </row>
    <row r="68" spans="1:43" ht="21" customHeight="1">
      <c r="A68" s="852"/>
      <c r="K68" s="3386" t="s">
        <v>9919</v>
      </c>
      <c r="L68" s="3387" t="s">
        <v>9920</v>
      </c>
      <c r="M68" s="3388" t="s">
        <v>9921</v>
      </c>
      <c r="N68" s="3389" t="s">
        <v>9922</v>
      </c>
      <c r="O68" s="3390" t="s">
        <v>9923</v>
      </c>
      <c r="P68" s="3391" t="s">
        <v>9924</v>
      </c>
      <c r="Q68" s="3392" t="s">
        <v>9925</v>
      </c>
      <c r="R68" s="3393" t="s">
        <v>9926</v>
      </c>
      <c r="S68" s="3394" t="s">
        <v>9927</v>
      </c>
      <c r="V68" s="3395"/>
      <c r="W68" s="3114" t="s">
        <v>9928</v>
      </c>
      <c r="X68" s="3094" t="s">
        <v>9929</v>
      </c>
      <c r="Y68" s="3095">
        <v>30</v>
      </c>
      <c r="Z68" s="3096">
        <v>127</v>
      </c>
      <c r="AA68" s="3097">
        <v>203</v>
      </c>
      <c r="AB68"/>
      <c r="AC68" s="3396"/>
      <c r="AD68" s="3148" t="s">
        <v>9930</v>
      </c>
      <c r="AE68" s="3084" t="s">
        <v>9931</v>
      </c>
      <c r="AF68" s="3085">
        <v>255</v>
      </c>
      <c r="AG68" s="3086">
        <v>255</v>
      </c>
      <c r="AH68" s="3087">
        <v>212</v>
      </c>
      <c r="AI68"/>
      <c r="AJ68" s="3397"/>
      <c r="AK68" s="3100" t="s">
        <v>9932</v>
      </c>
      <c r="AL68" s="3084" t="s">
        <v>9933</v>
      </c>
      <c r="AM68" s="3085">
        <v>59</v>
      </c>
      <c r="AN68" s="3086">
        <v>49</v>
      </c>
      <c r="AO68" s="3087">
        <v>33</v>
      </c>
      <c r="AQ68" s="3">
        <v>1</v>
      </c>
    </row>
    <row r="69" spans="1:43" ht="21" customHeight="1">
      <c r="A69" s="852"/>
      <c r="K69" s="3398" t="s">
        <v>9934</v>
      </c>
      <c r="L69" s="3399" t="s">
        <v>9935</v>
      </c>
      <c r="M69" s="3400" t="s">
        <v>9936</v>
      </c>
      <c r="N69" s="3401" t="s">
        <v>9937</v>
      </c>
      <c r="O69" s="3402" t="s">
        <v>9938</v>
      </c>
      <c r="P69" s="3403" t="s">
        <v>9939</v>
      </c>
      <c r="Q69" s="3404" t="s">
        <v>9940</v>
      </c>
      <c r="R69" s="3405" t="s">
        <v>9941</v>
      </c>
      <c r="S69" s="3406" t="s">
        <v>9942</v>
      </c>
      <c r="V69" s="3407"/>
      <c r="W69" s="3093" t="s">
        <v>9692</v>
      </c>
      <c r="X69" s="3094" t="s">
        <v>9943</v>
      </c>
      <c r="Y69" s="3095">
        <v>70</v>
      </c>
      <c r="Z69" s="3096">
        <v>130</v>
      </c>
      <c r="AA69" s="3097">
        <v>180</v>
      </c>
      <c r="AB69"/>
      <c r="AC69" s="3408"/>
      <c r="AD69" s="3148" t="s">
        <v>9944</v>
      </c>
      <c r="AE69" s="3084" t="s">
        <v>9945</v>
      </c>
      <c r="AF69" s="3085">
        <v>254</v>
      </c>
      <c r="AG69" s="3086">
        <v>254</v>
      </c>
      <c r="AH69" s="3087">
        <v>224</v>
      </c>
      <c r="AI69"/>
      <c r="AJ69" s="3409"/>
      <c r="AK69" s="3100" t="s">
        <v>9946</v>
      </c>
      <c r="AL69" s="3084" t="s">
        <v>9947</v>
      </c>
      <c r="AM69" s="3085">
        <v>55</v>
      </c>
      <c r="AN69" s="3086">
        <v>47</v>
      </c>
      <c r="AO69" s="3087">
        <v>37</v>
      </c>
      <c r="AQ69" s="3">
        <v>1</v>
      </c>
    </row>
    <row r="70" spans="1:43" ht="21" customHeight="1">
      <c r="A70" s="852"/>
      <c r="K70" s="3410" t="s">
        <v>9948</v>
      </c>
      <c r="L70" s="3411" t="s">
        <v>9949</v>
      </c>
      <c r="M70" s="3412" t="s">
        <v>9950</v>
      </c>
      <c r="N70" s="3413" t="s">
        <v>9951</v>
      </c>
      <c r="O70" s="3414" t="s">
        <v>9952</v>
      </c>
      <c r="P70" s="3415" t="s">
        <v>9953</v>
      </c>
      <c r="Q70" s="3416" t="s">
        <v>9954</v>
      </c>
      <c r="R70" s="3417" t="s">
        <v>9955</v>
      </c>
      <c r="S70" s="3418" t="s">
        <v>9956</v>
      </c>
      <c r="V70" s="3419"/>
      <c r="W70" s="3114" t="s">
        <v>9957</v>
      </c>
      <c r="X70" s="3094" t="s">
        <v>9958</v>
      </c>
      <c r="Y70" s="3095">
        <v>53</v>
      </c>
      <c r="Z70" s="3096">
        <v>122</v>
      </c>
      <c r="AA70" s="3097">
        <v>183</v>
      </c>
      <c r="AB70"/>
      <c r="AC70" s="3420"/>
      <c r="AD70" s="3083" t="s">
        <v>9959</v>
      </c>
      <c r="AE70" s="3084" t="s">
        <v>9960</v>
      </c>
      <c r="AF70" s="3085">
        <v>255</v>
      </c>
      <c r="AG70" s="3086">
        <v>255</v>
      </c>
      <c r="AH70" s="3087">
        <v>224</v>
      </c>
      <c r="AI70"/>
      <c r="AJ70" s="3421"/>
      <c r="AK70" s="3100" t="s">
        <v>9961</v>
      </c>
      <c r="AL70" s="3084" t="s">
        <v>9962</v>
      </c>
      <c r="AM70" s="3085">
        <v>237</v>
      </c>
      <c r="AN70" s="3086">
        <v>211</v>
      </c>
      <c r="AO70" s="3087">
        <v>140</v>
      </c>
      <c r="AQ70" s="3">
        <v>1</v>
      </c>
    </row>
    <row r="71" spans="1:43" ht="21" customHeight="1">
      <c r="A71" s="852"/>
      <c r="K71" s="3422" t="s">
        <v>9963</v>
      </c>
      <c r="L71" s="3423" t="s">
        <v>9964</v>
      </c>
      <c r="M71" s="3424" t="s">
        <v>9965</v>
      </c>
      <c r="N71" s="3425" t="s">
        <v>9966</v>
      </c>
      <c r="O71" s="3426" t="s">
        <v>9967</v>
      </c>
      <c r="P71" s="3427" t="s">
        <v>9968</v>
      </c>
      <c r="Q71" s="3428" t="s">
        <v>9969</v>
      </c>
      <c r="R71" s="3429" t="s">
        <v>9970</v>
      </c>
      <c r="S71" s="3430" t="s">
        <v>9971</v>
      </c>
      <c r="V71" s="3431"/>
      <c r="W71" s="3114" t="s">
        <v>9972</v>
      </c>
      <c r="X71" s="3094" t="s">
        <v>9973</v>
      </c>
      <c r="Y71" s="3095">
        <v>86</v>
      </c>
      <c r="Z71" s="3096">
        <v>115</v>
      </c>
      <c r="AA71" s="3097">
        <v>154</v>
      </c>
      <c r="AB71"/>
      <c r="AC71" s="3432"/>
      <c r="AD71" s="3148" t="s">
        <v>9974</v>
      </c>
      <c r="AE71" s="3084" t="s">
        <v>9975</v>
      </c>
      <c r="AF71" s="3085">
        <v>254</v>
      </c>
      <c r="AG71" s="3086">
        <v>254</v>
      </c>
      <c r="AH71" s="3087">
        <v>226</v>
      </c>
      <c r="AI71"/>
      <c r="AJ71" s="3433"/>
      <c r="AK71" s="3100" t="s">
        <v>9976</v>
      </c>
      <c r="AL71" s="3084" t="s">
        <v>9977</v>
      </c>
      <c r="AM71" s="3085">
        <v>224</v>
      </c>
      <c r="AN71" s="3086">
        <v>205</v>
      </c>
      <c r="AO71" s="3087">
        <v>169</v>
      </c>
      <c r="AQ71" s="3">
        <v>1</v>
      </c>
    </row>
    <row r="72" spans="1:43" ht="21" customHeight="1">
      <c r="A72" s="852"/>
      <c r="K72" s="3434" t="s">
        <v>9978</v>
      </c>
      <c r="L72" s="3435" t="s">
        <v>9979</v>
      </c>
      <c r="M72" s="3436" t="s">
        <v>9980</v>
      </c>
      <c r="N72" s="3437" t="s">
        <v>9981</v>
      </c>
      <c r="O72" s="3438" t="s">
        <v>9982</v>
      </c>
      <c r="P72" s="3439" t="s">
        <v>9983</v>
      </c>
      <c r="Q72" s="3440" t="s">
        <v>9984</v>
      </c>
      <c r="R72" s="3441" t="s">
        <v>9985</v>
      </c>
      <c r="S72" s="3442" t="s">
        <v>9986</v>
      </c>
      <c r="V72" s="3443"/>
      <c r="W72" s="3093" t="s">
        <v>9987</v>
      </c>
      <c r="X72" s="3094" t="s">
        <v>9988</v>
      </c>
      <c r="Y72" s="3095">
        <v>110</v>
      </c>
      <c r="Z72" s="3096">
        <v>123</v>
      </c>
      <c r="AA72" s="3097">
        <v>139</v>
      </c>
      <c r="AB72"/>
      <c r="AC72" s="3444"/>
      <c r="AD72" s="3083" t="s">
        <v>9930</v>
      </c>
      <c r="AE72" s="3084" t="s">
        <v>9989</v>
      </c>
      <c r="AF72" s="3085">
        <v>255</v>
      </c>
      <c r="AG72" s="3086">
        <v>255</v>
      </c>
      <c r="AH72" s="3087">
        <v>240</v>
      </c>
      <c r="AI72"/>
      <c r="AJ72" s="3445"/>
      <c r="AK72" s="3089" t="s">
        <v>9990</v>
      </c>
      <c r="AL72" s="3084" t="s">
        <v>9991</v>
      </c>
      <c r="AM72" s="3085">
        <v>238</v>
      </c>
      <c r="AN72" s="3086">
        <v>216</v>
      </c>
      <c r="AO72" s="3087">
        <v>174</v>
      </c>
      <c r="AQ72" s="3">
        <v>1</v>
      </c>
    </row>
    <row r="73" spans="1:43" ht="21" customHeight="1">
      <c r="A73" s="852"/>
      <c r="K73" s="3446" t="s">
        <v>9992</v>
      </c>
      <c r="L73" s="3447" t="s">
        <v>9993</v>
      </c>
      <c r="M73" s="3448" t="s">
        <v>9994</v>
      </c>
      <c r="N73" s="3449" t="s">
        <v>9995</v>
      </c>
      <c r="O73" s="3450" t="s">
        <v>9996</v>
      </c>
      <c r="P73" s="3451" t="s">
        <v>9997</v>
      </c>
      <c r="Q73" s="3452" t="s">
        <v>9998</v>
      </c>
      <c r="R73" s="3453" t="s">
        <v>9999</v>
      </c>
      <c r="S73" s="3454" t="s">
        <v>10000</v>
      </c>
      <c r="V73" s="3455"/>
      <c r="W73" s="3114" t="s">
        <v>10001</v>
      </c>
      <c r="X73" s="3094" t="s">
        <v>10002</v>
      </c>
      <c r="Y73" s="3095">
        <v>0</v>
      </c>
      <c r="Z73" s="3096">
        <v>103</v>
      </c>
      <c r="AA73" s="3097">
        <v>165</v>
      </c>
      <c r="AB73"/>
      <c r="AC73" s="3456"/>
      <c r="AD73" s="3148" t="s">
        <v>10003</v>
      </c>
      <c r="AE73" s="3084" t="s">
        <v>10004</v>
      </c>
      <c r="AF73" s="3085">
        <v>233</v>
      </c>
      <c r="AG73" s="3086">
        <v>228</v>
      </c>
      <c r="AH73" s="3087">
        <v>80</v>
      </c>
      <c r="AI73"/>
      <c r="AJ73" s="3457"/>
      <c r="AK73" s="3089" t="s">
        <v>10005</v>
      </c>
      <c r="AL73" s="3084" t="s">
        <v>10006</v>
      </c>
      <c r="AM73" s="3085">
        <v>245</v>
      </c>
      <c r="AN73" s="3086">
        <v>222</v>
      </c>
      <c r="AO73" s="3087">
        <v>179</v>
      </c>
      <c r="AQ73" s="3">
        <v>1</v>
      </c>
    </row>
    <row r="74" spans="1:43" ht="21" customHeight="1">
      <c r="A74" s="852"/>
      <c r="K74" s="3458" t="s">
        <v>10007</v>
      </c>
      <c r="L74" s="3459" t="s">
        <v>10008</v>
      </c>
      <c r="M74" s="3460" t="s">
        <v>10009</v>
      </c>
      <c r="N74" s="3461" t="s">
        <v>10010</v>
      </c>
      <c r="O74" s="3462" t="s">
        <v>10011</v>
      </c>
      <c r="P74" s="3463" t="s">
        <v>10012</v>
      </c>
      <c r="Q74" s="3464" t="s">
        <v>10013</v>
      </c>
      <c r="R74" s="3465" t="s">
        <v>10014</v>
      </c>
      <c r="S74" s="3466" t="s">
        <v>10015</v>
      </c>
      <c r="V74" s="3467"/>
      <c r="W74" s="3114" t="s">
        <v>10016</v>
      </c>
      <c r="X74" s="3094" t="s">
        <v>10017</v>
      </c>
      <c r="Y74" s="3095">
        <v>67</v>
      </c>
      <c r="Z74" s="3096">
        <v>107</v>
      </c>
      <c r="AA74" s="3097">
        <v>149</v>
      </c>
      <c r="AB74"/>
      <c r="AC74" s="3468"/>
      <c r="AD74" s="3083" t="s">
        <v>9609</v>
      </c>
      <c r="AE74" s="3084" t="s">
        <v>10018</v>
      </c>
      <c r="AF74" s="3085">
        <v>219</v>
      </c>
      <c r="AG74" s="3086">
        <v>219</v>
      </c>
      <c r="AH74" s="3087">
        <v>112</v>
      </c>
      <c r="AI74"/>
      <c r="AJ74" s="3469"/>
      <c r="AK74" s="3089" t="s">
        <v>10019</v>
      </c>
      <c r="AL74" s="3084" t="s">
        <v>10020</v>
      </c>
      <c r="AM74" s="3085">
        <v>255</v>
      </c>
      <c r="AN74" s="3086">
        <v>228</v>
      </c>
      <c r="AO74" s="3087">
        <v>181</v>
      </c>
      <c r="AQ74" s="3">
        <v>1</v>
      </c>
    </row>
    <row r="75" spans="1:43" ht="21" customHeight="1">
      <c r="A75" s="852"/>
      <c r="K75" s="3470" t="s">
        <v>10021</v>
      </c>
      <c r="L75" s="3471" t="s">
        <v>10022</v>
      </c>
      <c r="M75" s="3472" t="s">
        <v>10023</v>
      </c>
      <c r="N75" s="3473" t="s">
        <v>10024</v>
      </c>
      <c r="O75" s="3474" t="s">
        <v>10025</v>
      </c>
      <c r="P75" s="3475" t="s">
        <v>10026</v>
      </c>
      <c r="Q75" s="3476" t="s">
        <v>10027</v>
      </c>
      <c r="R75" s="3477" t="s">
        <v>10028</v>
      </c>
      <c r="S75" s="3478" t="s">
        <v>10029</v>
      </c>
      <c r="V75" s="3479"/>
      <c r="W75" s="3093"/>
      <c r="X75" s="3094" t="s">
        <v>10030</v>
      </c>
      <c r="Y75" s="3095">
        <v>51</v>
      </c>
      <c r="Z75" s="3096">
        <v>102</v>
      </c>
      <c r="AA75" s="3097">
        <v>153</v>
      </c>
      <c r="AB75"/>
      <c r="AC75" s="3480"/>
      <c r="AD75" s="3083" t="s">
        <v>10031</v>
      </c>
      <c r="AE75" s="3084" t="s">
        <v>10032</v>
      </c>
      <c r="AF75" s="3085">
        <v>238</v>
      </c>
      <c r="AG75" s="3086">
        <v>238</v>
      </c>
      <c r="AH75" s="3087">
        <v>0</v>
      </c>
      <c r="AI75"/>
      <c r="AJ75" s="3481"/>
      <c r="AK75" s="3089" t="s">
        <v>10033</v>
      </c>
      <c r="AL75" s="3084" t="s">
        <v>10034</v>
      </c>
      <c r="AM75" s="3085">
        <v>255</v>
      </c>
      <c r="AN75" s="3086">
        <v>231</v>
      </c>
      <c r="AO75" s="3087">
        <v>186</v>
      </c>
      <c r="AQ75" s="3">
        <v>1</v>
      </c>
    </row>
    <row r="76" spans="1:43" ht="21" customHeight="1">
      <c r="A76" s="852"/>
      <c r="K76" s="3482" t="s">
        <v>10035</v>
      </c>
      <c r="L76" s="3483" t="s">
        <v>10036</v>
      </c>
      <c r="M76" s="3484" t="s">
        <v>10037</v>
      </c>
      <c r="N76" s="3485" t="s">
        <v>10038</v>
      </c>
      <c r="O76" s="3486" t="s">
        <v>10039</v>
      </c>
      <c r="P76" s="3487" t="s">
        <v>10040</v>
      </c>
      <c r="Q76" s="3488" t="s">
        <v>10041</v>
      </c>
      <c r="R76" s="3489" t="s">
        <v>10042</v>
      </c>
      <c r="S76" s="3490" t="s">
        <v>10043</v>
      </c>
      <c r="V76" s="3491"/>
      <c r="W76" s="3093" t="s">
        <v>10044</v>
      </c>
      <c r="X76" s="3094" t="s">
        <v>10045</v>
      </c>
      <c r="Y76" s="3095">
        <v>54</v>
      </c>
      <c r="Z76" s="3096">
        <v>100</v>
      </c>
      <c r="AA76" s="3097">
        <v>139</v>
      </c>
      <c r="AB76"/>
      <c r="AC76" s="3492"/>
      <c r="AD76" s="3148" t="s">
        <v>10046</v>
      </c>
      <c r="AE76" s="3084" t="s">
        <v>10047</v>
      </c>
      <c r="AF76" s="3085">
        <v>179</v>
      </c>
      <c r="AG76" s="3086">
        <v>177</v>
      </c>
      <c r="AH76" s="3087">
        <v>145</v>
      </c>
      <c r="AI76"/>
      <c r="AJ76" s="3493"/>
      <c r="AK76" s="3089" t="s">
        <v>10048</v>
      </c>
      <c r="AL76" s="3084" t="s">
        <v>10049</v>
      </c>
      <c r="AM76" s="3085">
        <v>255</v>
      </c>
      <c r="AN76" s="3086">
        <v>235</v>
      </c>
      <c r="AO76" s="3087">
        <v>205</v>
      </c>
      <c r="AQ76" s="3">
        <v>1</v>
      </c>
    </row>
    <row r="77" spans="1:43" ht="21" customHeight="1">
      <c r="A77" s="852"/>
      <c r="K77" s="3494" t="s">
        <v>10050</v>
      </c>
      <c r="L77" s="3495" t="s">
        <v>10051</v>
      </c>
      <c r="M77" s="3496" t="s">
        <v>10052</v>
      </c>
      <c r="N77" s="3497" t="s">
        <v>10053</v>
      </c>
      <c r="O77" s="3498" t="s">
        <v>10054</v>
      </c>
      <c r="P77" s="3499" t="s">
        <v>10055</v>
      </c>
      <c r="Q77" s="3500" t="s">
        <v>10056</v>
      </c>
      <c r="R77" s="3501" t="s">
        <v>10057</v>
      </c>
      <c r="S77" s="3502" t="s">
        <v>10058</v>
      </c>
      <c r="V77" s="3503"/>
      <c r="W77" s="3114" t="s">
        <v>10059</v>
      </c>
      <c r="X77" s="3094" t="s">
        <v>10060</v>
      </c>
      <c r="Y77" s="3095">
        <v>0</v>
      </c>
      <c r="Z77" s="3096">
        <v>65</v>
      </c>
      <c r="AA77" s="3097">
        <v>106</v>
      </c>
      <c r="AB77"/>
      <c r="AC77" s="3504"/>
      <c r="AD77" s="3083" t="s">
        <v>10061</v>
      </c>
      <c r="AE77" s="3084" t="s">
        <v>10062</v>
      </c>
      <c r="AF77" s="3085">
        <v>217</v>
      </c>
      <c r="AG77" s="3086">
        <v>217</v>
      </c>
      <c r="AH77" s="3087">
        <v>25</v>
      </c>
      <c r="AI77"/>
      <c r="AJ77" s="3505"/>
      <c r="AK77" s="3100" t="s">
        <v>10063</v>
      </c>
      <c r="AL77" s="3084" t="s">
        <v>10064</v>
      </c>
      <c r="AM77" s="3085">
        <v>255</v>
      </c>
      <c r="AN77" s="3086">
        <v>239</v>
      </c>
      <c r="AO77" s="3087">
        <v>213</v>
      </c>
      <c r="AQ77" s="3">
        <v>1</v>
      </c>
    </row>
    <row r="78" spans="1:43" ht="21" customHeight="1">
      <c r="A78" s="852"/>
      <c r="K78" s="3506" t="s">
        <v>10065</v>
      </c>
      <c r="L78" s="3507" t="s">
        <v>10066</v>
      </c>
      <c r="M78" s="3508" t="s">
        <v>10067</v>
      </c>
      <c r="N78" s="3509" t="s">
        <v>10068</v>
      </c>
      <c r="O78" s="3510" t="s">
        <v>10069</v>
      </c>
      <c r="P78" s="3511" t="s">
        <v>10070</v>
      </c>
      <c r="Q78" s="3512" t="s">
        <v>10071</v>
      </c>
      <c r="R78" s="3513" t="s">
        <v>10072</v>
      </c>
      <c r="S78" s="3514" t="s">
        <v>10073</v>
      </c>
      <c r="V78" s="3515"/>
      <c r="W78" s="3114" t="s">
        <v>10074</v>
      </c>
      <c r="X78" s="3094" t="s">
        <v>10075</v>
      </c>
      <c r="Y78" s="3095">
        <v>0</v>
      </c>
      <c r="Z78" s="3096">
        <v>48</v>
      </c>
      <c r="AA78" s="3097">
        <v>78</v>
      </c>
      <c r="AB78"/>
      <c r="AC78" s="3516"/>
      <c r="AD78" s="3148" t="s">
        <v>10076</v>
      </c>
      <c r="AE78" s="3084" t="s">
        <v>10077</v>
      </c>
      <c r="AF78" s="3085">
        <v>205</v>
      </c>
      <c r="AG78" s="3086">
        <v>205</v>
      </c>
      <c r="AH78" s="3087">
        <v>13</v>
      </c>
      <c r="AI78"/>
      <c r="AJ78" s="3517"/>
      <c r="AK78" s="3089" t="s">
        <v>10078</v>
      </c>
      <c r="AL78" s="3084" t="s">
        <v>10079</v>
      </c>
      <c r="AM78" s="3085">
        <v>253</v>
      </c>
      <c r="AN78" s="3086">
        <v>245</v>
      </c>
      <c r="AO78" s="3087">
        <v>230</v>
      </c>
      <c r="AQ78" s="3">
        <v>1</v>
      </c>
    </row>
    <row r="79" spans="1:43" ht="21" customHeight="1">
      <c r="A79" s="852"/>
      <c r="K79" s="3518" t="s">
        <v>10080</v>
      </c>
      <c r="L79" s="3519" t="s">
        <v>10081</v>
      </c>
      <c r="M79" s="3520" t="s">
        <v>10082</v>
      </c>
      <c r="N79" s="3521" t="s">
        <v>10083</v>
      </c>
      <c r="O79" s="3522" t="s">
        <v>10084</v>
      </c>
      <c r="P79" s="3523" t="s">
        <v>10085</v>
      </c>
      <c r="Q79" s="3524" t="s">
        <v>10086</v>
      </c>
      <c r="R79" s="3525" t="s">
        <v>10087</v>
      </c>
      <c r="S79" s="3526" t="s">
        <v>10088</v>
      </c>
      <c r="V79" s="3527"/>
      <c r="W79" s="3114" t="s">
        <v>10089</v>
      </c>
      <c r="X79" s="3094" t="s">
        <v>10090</v>
      </c>
      <c r="Y79" s="3095">
        <v>180</v>
      </c>
      <c r="Z79" s="3096">
        <v>188</v>
      </c>
      <c r="AA79" s="3097">
        <v>192</v>
      </c>
      <c r="AB79"/>
      <c r="AC79" s="3528"/>
      <c r="AD79" s="3083" t="s">
        <v>10091</v>
      </c>
      <c r="AE79" s="3084" t="s">
        <v>10092</v>
      </c>
      <c r="AF79" s="3085">
        <v>205</v>
      </c>
      <c r="AG79" s="3086">
        <v>205</v>
      </c>
      <c r="AH79" s="3087">
        <v>0</v>
      </c>
      <c r="AI79"/>
      <c r="AJ79" s="3529"/>
      <c r="AK79" s="3089" t="s">
        <v>10093</v>
      </c>
      <c r="AL79" s="3084" t="s">
        <v>10094</v>
      </c>
      <c r="AM79" s="3085">
        <v>255</v>
      </c>
      <c r="AN79" s="3086">
        <v>250</v>
      </c>
      <c r="AO79" s="3087">
        <v>240</v>
      </c>
      <c r="AQ79" s="3">
        <v>1</v>
      </c>
    </row>
    <row r="80" spans="1:43" ht="21" customHeight="1">
      <c r="K80" s="3530" t="s">
        <v>10095</v>
      </c>
      <c r="L80" s="3531" t="s">
        <v>10096</v>
      </c>
      <c r="M80" s="3532" t="s">
        <v>10097</v>
      </c>
      <c r="N80" s="3533" t="s">
        <v>10098</v>
      </c>
      <c r="O80" s="3534" t="s">
        <v>10099</v>
      </c>
      <c r="P80" s="3535" t="s">
        <v>10100</v>
      </c>
      <c r="Q80" s="3536" t="s">
        <v>10101</v>
      </c>
      <c r="R80" s="3537" t="s">
        <v>10102</v>
      </c>
      <c r="S80" s="3538" t="s">
        <v>10103</v>
      </c>
      <c r="V80" s="3539"/>
      <c r="W80" s="3114" t="s">
        <v>9450</v>
      </c>
      <c r="X80" s="3094" t="s">
        <v>10104</v>
      </c>
      <c r="Y80" s="3095">
        <v>116</v>
      </c>
      <c r="Z80" s="3096">
        <v>208</v>
      </c>
      <c r="AA80" s="3097">
        <v>241</v>
      </c>
      <c r="AB80"/>
      <c r="AC80" s="3540"/>
      <c r="AD80" s="3083" t="s">
        <v>10105</v>
      </c>
      <c r="AE80" s="3084" t="s">
        <v>10106</v>
      </c>
      <c r="AF80" s="3085">
        <v>139</v>
      </c>
      <c r="AG80" s="3086">
        <v>139</v>
      </c>
      <c r="AH80" s="3087">
        <v>131</v>
      </c>
      <c r="AI80"/>
      <c r="AJ80" s="3541"/>
      <c r="AK80" s="3100" t="s">
        <v>10107</v>
      </c>
      <c r="AL80" s="3084" t="s">
        <v>10108</v>
      </c>
      <c r="AM80" s="3085">
        <v>252</v>
      </c>
      <c r="AN80" s="3086">
        <v>210</v>
      </c>
      <c r="AO80" s="3087">
        <v>28</v>
      </c>
      <c r="AQ80" s="3">
        <v>1</v>
      </c>
    </row>
    <row r="81" spans="11:43" ht="21" customHeight="1">
      <c r="K81" s="3542" t="s">
        <v>10109</v>
      </c>
      <c r="L81" s="3543" t="s">
        <v>10110</v>
      </c>
      <c r="M81" s="3544" t="s">
        <v>10111</v>
      </c>
      <c r="N81" s="3545" t="s">
        <v>10112</v>
      </c>
      <c r="O81" s="3546" t="s">
        <v>10113</v>
      </c>
      <c r="P81" s="3547" t="s">
        <v>10114</v>
      </c>
      <c r="Q81" s="3548" t="s">
        <v>10115</v>
      </c>
      <c r="R81" s="3549" t="s">
        <v>10116</v>
      </c>
      <c r="S81" s="3550" t="s">
        <v>10117</v>
      </c>
      <c r="V81" s="3551"/>
      <c r="W81" s="3093" t="s">
        <v>9615</v>
      </c>
      <c r="X81" s="3094" t="s">
        <v>10118</v>
      </c>
      <c r="Y81" s="3095">
        <v>135</v>
      </c>
      <c r="Z81" s="3096">
        <v>206</v>
      </c>
      <c r="AA81" s="3097">
        <v>235</v>
      </c>
      <c r="AB81"/>
      <c r="AC81" s="3552"/>
      <c r="AD81" s="3148" t="s">
        <v>10119</v>
      </c>
      <c r="AE81" s="3084" t="s">
        <v>10120</v>
      </c>
      <c r="AF81" s="3085">
        <v>132</v>
      </c>
      <c r="AG81" s="3086">
        <v>132</v>
      </c>
      <c r="AH81" s="3087">
        <v>130</v>
      </c>
      <c r="AI81"/>
      <c r="AJ81" s="3553"/>
      <c r="AK81" s="3100" t="s">
        <v>10121</v>
      </c>
      <c r="AL81" s="3084" t="s">
        <v>10122</v>
      </c>
      <c r="AM81" s="3085">
        <v>226</v>
      </c>
      <c r="AN81" s="3086">
        <v>188</v>
      </c>
      <c r="AO81" s="3087">
        <v>116</v>
      </c>
      <c r="AQ81" s="3">
        <v>1</v>
      </c>
    </row>
    <row r="82" spans="11:43" ht="21" customHeight="1">
      <c r="K82" s="3554" t="s">
        <v>10123</v>
      </c>
      <c r="L82" s="3555" t="s">
        <v>10124</v>
      </c>
      <c r="M82" s="3556" t="s">
        <v>10125</v>
      </c>
      <c r="N82" s="3557" t="s">
        <v>10126</v>
      </c>
      <c r="O82" s="3558" t="s">
        <v>10127</v>
      </c>
      <c r="P82" s="3559" t="s">
        <v>10128</v>
      </c>
      <c r="Q82" s="3560" t="s">
        <v>10129</v>
      </c>
      <c r="R82" s="3561" t="s">
        <v>10130</v>
      </c>
      <c r="S82" s="3562" t="s">
        <v>10131</v>
      </c>
      <c r="V82" s="3563"/>
      <c r="W82" s="3093" t="s">
        <v>10132</v>
      </c>
      <c r="X82" s="3094" t="s">
        <v>10133</v>
      </c>
      <c r="Y82" s="3095">
        <v>164</v>
      </c>
      <c r="Z82" s="3096">
        <v>211</v>
      </c>
      <c r="AA82" s="3097">
        <v>238</v>
      </c>
      <c r="AB82"/>
      <c r="AC82" s="3564"/>
      <c r="AD82" s="3083" t="s">
        <v>10134</v>
      </c>
      <c r="AE82" s="3084" t="s">
        <v>10135</v>
      </c>
      <c r="AF82" s="3085">
        <v>139</v>
      </c>
      <c r="AG82" s="3086">
        <v>139</v>
      </c>
      <c r="AH82" s="3087">
        <v>122</v>
      </c>
      <c r="AI82"/>
      <c r="AJ82" s="3565"/>
      <c r="AK82" s="3089" t="s">
        <v>10136</v>
      </c>
      <c r="AL82" s="3084" t="s">
        <v>10137</v>
      </c>
      <c r="AM82" s="3085">
        <v>205</v>
      </c>
      <c r="AN82" s="3086">
        <v>186</v>
      </c>
      <c r="AO82" s="3087">
        <v>150</v>
      </c>
      <c r="AQ82" s="3">
        <v>1</v>
      </c>
    </row>
    <row r="83" spans="11:43" ht="21" customHeight="1">
      <c r="K83" s="3566" t="s">
        <v>10138</v>
      </c>
      <c r="L83" s="3567" t="s">
        <v>10139</v>
      </c>
      <c r="M83" s="3568" t="s">
        <v>10140</v>
      </c>
      <c r="N83" s="3569" t="s">
        <v>10141</v>
      </c>
      <c r="O83" s="3570" t="s">
        <v>10142</v>
      </c>
      <c r="P83" s="3571" t="s">
        <v>10143</v>
      </c>
      <c r="Q83" s="3572" t="s">
        <v>10144</v>
      </c>
      <c r="R83" s="3573" t="s">
        <v>10145</v>
      </c>
      <c r="S83" s="3574" t="s">
        <v>10146</v>
      </c>
      <c r="V83" s="3575"/>
      <c r="W83" s="3114" t="s">
        <v>10147</v>
      </c>
      <c r="X83" s="3094" t="s">
        <v>10148</v>
      </c>
      <c r="Y83" s="3095">
        <v>187</v>
      </c>
      <c r="Z83" s="3096">
        <v>210</v>
      </c>
      <c r="AA83" s="3097">
        <v>225</v>
      </c>
      <c r="AB83"/>
      <c r="AC83" s="3576"/>
      <c r="AD83" s="3148" t="s">
        <v>10149</v>
      </c>
      <c r="AE83" s="3084" t="s">
        <v>10150</v>
      </c>
      <c r="AF83" s="3085">
        <v>152</v>
      </c>
      <c r="AG83" s="3086">
        <v>148</v>
      </c>
      <c r="AH83" s="3087">
        <v>62</v>
      </c>
      <c r="AI83"/>
      <c r="AJ83" s="3577"/>
      <c r="AK83" s="3100" t="s">
        <v>10151</v>
      </c>
      <c r="AL83" s="3084" t="s">
        <v>10152</v>
      </c>
      <c r="AM83" s="3085">
        <v>243</v>
      </c>
      <c r="AN83" s="3086">
        <v>195</v>
      </c>
      <c r="AO83" s="3087">
        <v>0</v>
      </c>
      <c r="AQ83" s="3">
        <v>1</v>
      </c>
    </row>
    <row r="84" spans="11:43" ht="21" customHeight="1">
      <c r="K84" s="3578" t="s">
        <v>10153</v>
      </c>
      <c r="L84" s="3579" t="s">
        <v>10154</v>
      </c>
      <c r="M84" s="3580" t="s">
        <v>10155</v>
      </c>
      <c r="N84" s="3581" t="s">
        <v>10156</v>
      </c>
      <c r="O84" s="3582" t="s">
        <v>10157</v>
      </c>
      <c r="P84" s="3583" t="s">
        <v>10158</v>
      </c>
      <c r="Q84" s="3584" t="s">
        <v>10159</v>
      </c>
      <c r="R84" s="3585" t="s">
        <v>10160</v>
      </c>
      <c r="S84" s="3586" t="s">
        <v>10161</v>
      </c>
      <c r="V84" s="3587"/>
      <c r="W84" s="3093" t="s">
        <v>10162</v>
      </c>
      <c r="X84" s="3094" t="s">
        <v>10163</v>
      </c>
      <c r="Y84" s="3095">
        <v>176</v>
      </c>
      <c r="Z84" s="3096">
        <v>226</v>
      </c>
      <c r="AA84" s="3097">
        <v>255</v>
      </c>
      <c r="AB84"/>
      <c r="AC84" s="3588"/>
      <c r="AD84" s="3083" t="s">
        <v>10164</v>
      </c>
      <c r="AE84" s="3084" t="s">
        <v>10165</v>
      </c>
      <c r="AF84" s="3085">
        <v>139</v>
      </c>
      <c r="AG84" s="3086">
        <v>139</v>
      </c>
      <c r="AH84" s="3087">
        <v>0</v>
      </c>
      <c r="AI84"/>
      <c r="AJ84" s="3589"/>
      <c r="AK84" s="3100" t="s">
        <v>10166</v>
      </c>
      <c r="AL84" s="3084" t="s">
        <v>10167</v>
      </c>
      <c r="AM84" s="3085">
        <v>240</v>
      </c>
      <c r="AN84" s="3086">
        <v>195</v>
      </c>
      <c r="AO84" s="3087">
        <v>0</v>
      </c>
      <c r="AQ84" s="3">
        <v>1</v>
      </c>
    </row>
    <row r="85" spans="11:43" ht="21" customHeight="1">
      <c r="K85" s="3590" t="s">
        <v>10168</v>
      </c>
      <c r="L85" s="3591" t="s">
        <v>10169</v>
      </c>
      <c r="M85" s="3592" t="s">
        <v>10170</v>
      </c>
      <c r="N85" s="3593" t="s">
        <v>10171</v>
      </c>
      <c r="O85" s="3594" t="s">
        <v>10172</v>
      </c>
      <c r="P85" s="3595" t="s">
        <v>10173</v>
      </c>
      <c r="Q85" s="3596" t="s">
        <v>10174</v>
      </c>
      <c r="R85" s="3597" t="s">
        <v>10175</v>
      </c>
      <c r="S85" s="3598" t="s">
        <v>10176</v>
      </c>
      <c r="V85" s="3599"/>
      <c r="W85" s="3114" t="s">
        <v>10177</v>
      </c>
      <c r="X85" s="3094" t="s">
        <v>10178</v>
      </c>
      <c r="Y85" s="3095">
        <v>223</v>
      </c>
      <c r="Z85" s="3096">
        <v>242</v>
      </c>
      <c r="AA85" s="3097">
        <v>255</v>
      </c>
      <c r="AB85"/>
      <c r="AC85" s="3600"/>
      <c r="AD85" s="3083" t="s">
        <v>10179</v>
      </c>
      <c r="AE85" s="3084" t="s">
        <v>10180</v>
      </c>
      <c r="AF85" s="3085">
        <v>128</v>
      </c>
      <c r="AG85" s="3086">
        <v>128</v>
      </c>
      <c r="AH85" s="3087">
        <v>0</v>
      </c>
      <c r="AI85"/>
      <c r="AJ85" s="3601"/>
      <c r="AK85" s="3100" t="s">
        <v>10181</v>
      </c>
      <c r="AL85" s="3084" t="s">
        <v>10182</v>
      </c>
      <c r="AM85" s="3085">
        <v>187</v>
      </c>
      <c r="AN85" s="3086">
        <v>174</v>
      </c>
      <c r="AO85" s="3087">
        <v>152</v>
      </c>
      <c r="AQ85" s="3">
        <v>1</v>
      </c>
    </row>
    <row r="86" spans="11:43" ht="21" customHeight="1">
      <c r="K86" s="3602" t="s">
        <v>10183</v>
      </c>
      <c r="L86" s="3603" t="s">
        <v>10184</v>
      </c>
      <c r="M86" s="3604" t="s">
        <v>10185</v>
      </c>
      <c r="N86" s="3605" t="s">
        <v>10186</v>
      </c>
      <c r="O86" s="3606" t="s">
        <v>10187</v>
      </c>
      <c r="P86" s="3607" t="s">
        <v>10188</v>
      </c>
      <c r="Q86" s="3608" t="s">
        <v>10189</v>
      </c>
      <c r="R86" s="3609" t="s">
        <v>10190</v>
      </c>
      <c r="S86" s="3610" t="s">
        <v>10191</v>
      </c>
      <c r="V86" s="3611"/>
      <c r="W86" s="3093" t="s">
        <v>10192</v>
      </c>
      <c r="X86" s="3094" t="s">
        <v>10193</v>
      </c>
      <c r="Y86" s="3095">
        <v>141</v>
      </c>
      <c r="Z86" s="3096">
        <v>182</v>
      </c>
      <c r="AA86" s="3097">
        <v>205</v>
      </c>
      <c r="AB86"/>
      <c r="AC86" s="3612"/>
      <c r="AD86" s="3083" t="s">
        <v>10194</v>
      </c>
      <c r="AE86" s="3084" t="s">
        <v>10195</v>
      </c>
      <c r="AF86" s="3085">
        <v>79</v>
      </c>
      <c r="AG86" s="3086">
        <v>79</v>
      </c>
      <c r="AH86" s="3087">
        <v>47</v>
      </c>
      <c r="AI86"/>
      <c r="AJ86" s="3613"/>
      <c r="AK86" s="3100" t="s">
        <v>10196</v>
      </c>
      <c r="AL86" s="3084" t="s">
        <v>10197</v>
      </c>
      <c r="AM86" s="3085">
        <v>200</v>
      </c>
      <c r="AN86" s="3086">
        <v>173</v>
      </c>
      <c r="AO86" s="3087">
        <v>127</v>
      </c>
      <c r="AQ86" s="3">
        <v>1</v>
      </c>
    </row>
    <row r="87" spans="11:43" ht="21" customHeight="1">
      <c r="K87" s="3614" t="s">
        <v>10198</v>
      </c>
      <c r="L87" s="3615" t="s">
        <v>10199</v>
      </c>
      <c r="M87" s="3616" t="s">
        <v>10200</v>
      </c>
      <c r="N87" s="3617" t="s">
        <v>10201</v>
      </c>
      <c r="O87" s="3618" t="s">
        <v>10202</v>
      </c>
      <c r="P87" s="3619" t="s">
        <v>10203</v>
      </c>
      <c r="Q87" s="3620" t="s">
        <v>10204</v>
      </c>
      <c r="R87" s="3621" t="s">
        <v>10205</v>
      </c>
      <c r="S87" s="3622" t="s">
        <v>10206</v>
      </c>
      <c r="V87" s="3623"/>
      <c r="W87" s="3114" t="s">
        <v>10207</v>
      </c>
      <c r="X87" s="3094" t="s">
        <v>10208</v>
      </c>
      <c r="Y87" s="3095">
        <v>38</v>
      </c>
      <c r="Z87" s="3096">
        <v>196</v>
      </c>
      <c r="AA87" s="3097">
        <v>236</v>
      </c>
      <c r="AB87"/>
      <c r="AC87" s="3624"/>
      <c r="AD87" s="3148" t="s">
        <v>10209</v>
      </c>
      <c r="AE87" s="3084" t="s">
        <v>10210</v>
      </c>
      <c r="AF87" s="3085">
        <v>237</v>
      </c>
      <c r="AG87" s="3086">
        <v>255</v>
      </c>
      <c r="AH87" s="3087">
        <v>12</v>
      </c>
      <c r="AI87"/>
      <c r="AJ87" s="3625"/>
      <c r="AK87" s="3100" t="s">
        <v>10211</v>
      </c>
      <c r="AL87" s="3084" t="s">
        <v>10212</v>
      </c>
      <c r="AM87" s="3085">
        <v>223</v>
      </c>
      <c r="AN87" s="3086">
        <v>175</v>
      </c>
      <c r="AO87" s="3087">
        <v>44</v>
      </c>
      <c r="AQ87" s="3">
        <v>1</v>
      </c>
    </row>
    <row r="88" spans="11:43" ht="21" customHeight="1">
      <c r="K88" s="3626" t="s">
        <v>10213</v>
      </c>
      <c r="L88" s="3627" t="s">
        <v>10214</v>
      </c>
      <c r="M88" s="3628" t="s">
        <v>10215</v>
      </c>
      <c r="N88" s="3629" t="s">
        <v>10216</v>
      </c>
      <c r="O88" s="3630" t="s">
        <v>10217</v>
      </c>
      <c r="P88" s="3631" t="s">
        <v>10218</v>
      </c>
      <c r="Q88" s="3632" t="s">
        <v>10219</v>
      </c>
      <c r="R88" s="3633" t="s">
        <v>10220</v>
      </c>
      <c r="S88" s="3634" t="s">
        <v>10221</v>
      </c>
      <c r="V88" s="3635"/>
      <c r="W88" s="3093" t="s">
        <v>10222</v>
      </c>
      <c r="X88" s="3094" t="s">
        <v>10223</v>
      </c>
      <c r="Y88" s="3095">
        <v>56</v>
      </c>
      <c r="Z88" s="3096">
        <v>176</v>
      </c>
      <c r="AA88" s="3097">
        <v>222</v>
      </c>
      <c r="AB88"/>
      <c r="AC88" s="3636"/>
      <c r="AD88" s="3148" t="s">
        <v>10224</v>
      </c>
      <c r="AE88" s="3084" t="s">
        <v>10225</v>
      </c>
      <c r="AF88" s="3085">
        <v>218</v>
      </c>
      <c r="AG88" s="3086">
        <v>223</v>
      </c>
      <c r="AH88" s="3087">
        <v>183</v>
      </c>
      <c r="AI88"/>
      <c r="AJ88" s="3637"/>
      <c r="AK88" s="3100" t="s">
        <v>10226</v>
      </c>
      <c r="AL88" s="3084" t="s">
        <v>10227</v>
      </c>
      <c r="AM88" s="3085">
        <v>218</v>
      </c>
      <c r="AN88" s="3086">
        <v>179</v>
      </c>
      <c r="AO88" s="3087">
        <v>10</v>
      </c>
      <c r="AQ88" s="3">
        <v>1</v>
      </c>
    </row>
    <row r="89" spans="11:43" ht="21" customHeight="1">
      <c r="K89" s="3638" t="s">
        <v>10228</v>
      </c>
      <c r="L89" s="3639" t="s">
        <v>10229</v>
      </c>
      <c r="M89" s="3640" t="s">
        <v>10230</v>
      </c>
      <c r="N89" s="3641" t="s">
        <v>10231</v>
      </c>
      <c r="O89" s="3642" t="s">
        <v>10232</v>
      </c>
      <c r="P89" s="3643" t="s">
        <v>10233</v>
      </c>
      <c r="Q89" s="3644" t="s">
        <v>10234</v>
      </c>
      <c r="R89" s="3645" t="s">
        <v>10235</v>
      </c>
      <c r="S89" s="3646" t="s">
        <v>10236</v>
      </c>
      <c r="V89" s="3647"/>
      <c r="W89" s="3114" t="s">
        <v>10237</v>
      </c>
      <c r="X89" s="3094" t="s">
        <v>10238</v>
      </c>
      <c r="Y89" s="3095">
        <v>0</v>
      </c>
      <c r="Z89" s="3096">
        <v>161</v>
      </c>
      <c r="AA89" s="3097">
        <v>194</v>
      </c>
      <c r="AB89"/>
      <c r="AC89" s="3648"/>
      <c r="AD89" s="3148" t="s">
        <v>10239</v>
      </c>
      <c r="AE89" s="3084" t="s">
        <v>10240</v>
      </c>
      <c r="AF89" s="3085">
        <v>231</v>
      </c>
      <c r="AG89" s="3086">
        <v>240</v>
      </c>
      <c r="AH89" s="3087">
        <v>13</v>
      </c>
      <c r="AI89"/>
      <c r="AJ89" s="3649"/>
      <c r="AK89" s="3100" t="s">
        <v>10241</v>
      </c>
      <c r="AL89" s="3084" t="s">
        <v>10242</v>
      </c>
      <c r="AM89" s="3085">
        <v>201</v>
      </c>
      <c r="AN89" s="3086">
        <v>174</v>
      </c>
      <c r="AO89" s="3087">
        <v>93</v>
      </c>
      <c r="AQ89" s="3">
        <v>1</v>
      </c>
    </row>
    <row r="90" spans="11:43" ht="21" customHeight="1">
      <c r="K90" s="3650" t="s">
        <v>10243</v>
      </c>
      <c r="L90" s="3651" t="s">
        <v>10244</v>
      </c>
      <c r="M90" s="3652" t="s">
        <v>10245</v>
      </c>
      <c r="N90" s="3653" t="s">
        <v>10246</v>
      </c>
      <c r="O90" s="3654" t="s">
        <v>10247</v>
      </c>
      <c r="P90" s="3655" t="s">
        <v>10248</v>
      </c>
      <c r="Q90" s="3656" t="s">
        <v>10249</v>
      </c>
      <c r="R90" s="3657" t="s">
        <v>10250</v>
      </c>
      <c r="S90" s="3658" t="s">
        <v>10251</v>
      </c>
      <c r="V90" s="3659"/>
      <c r="W90" s="3114" t="s">
        <v>10252</v>
      </c>
      <c r="X90" s="3094" t="s">
        <v>10253</v>
      </c>
      <c r="Y90" s="3095">
        <v>129</v>
      </c>
      <c r="Z90" s="3096">
        <v>135</v>
      </c>
      <c r="AA90" s="3097">
        <v>139</v>
      </c>
      <c r="AB90"/>
      <c r="AC90" s="3660"/>
      <c r="AD90" s="3148" t="s">
        <v>10254</v>
      </c>
      <c r="AE90" s="3084" t="s">
        <v>10255</v>
      </c>
      <c r="AF90" s="3085">
        <v>199</v>
      </c>
      <c r="AG90" s="3086">
        <v>207</v>
      </c>
      <c r="AH90" s="3087">
        <v>0</v>
      </c>
      <c r="AI90"/>
      <c r="AJ90" s="3661"/>
      <c r="AK90" s="3100" t="s">
        <v>10256</v>
      </c>
      <c r="AL90" s="3084" t="s">
        <v>10257</v>
      </c>
      <c r="AM90" s="3085">
        <v>212</v>
      </c>
      <c r="AN90" s="3086">
        <v>175</v>
      </c>
      <c r="AO90" s="3087">
        <v>55</v>
      </c>
      <c r="AQ90" s="3">
        <v>1</v>
      </c>
    </row>
    <row r="91" spans="11:43" ht="21" customHeight="1">
      <c r="K91" s="3662" t="s">
        <v>10258</v>
      </c>
      <c r="L91" s="3663" t="s">
        <v>10259</v>
      </c>
      <c r="M91" s="3664" t="s">
        <v>10260</v>
      </c>
      <c r="N91" s="3665" t="s">
        <v>10261</v>
      </c>
      <c r="O91" s="3666" t="s">
        <v>10262</v>
      </c>
      <c r="P91" s="3667" t="s">
        <v>10263</v>
      </c>
      <c r="Q91" s="3668" t="s">
        <v>10264</v>
      </c>
      <c r="R91" s="3669" t="s">
        <v>10265</v>
      </c>
      <c r="S91" s="3670" t="s">
        <v>10266</v>
      </c>
      <c r="V91" s="3671"/>
      <c r="W91" s="3093" t="s">
        <v>10267</v>
      </c>
      <c r="X91" s="3094" t="s">
        <v>10268</v>
      </c>
      <c r="Y91" s="3095">
        <v>96</v>
      </c>
      <c r="Z91" s="3096">
        <v>123</v>
      </c>
      <c r="AA91" s="3097">
        <v>139</v>
      </c>
      <c r="AB91"/>
      <c r="AC91" s="3672"/>
      <c r="AD91" s="3083" t="s">
        <v>10269</v>
      </c>
      <c r="AE91" s="3084" t="s">
        <v>10270</v>
      </c>
      <c r="AF91" s="3085">
        <v>205</v>
      </c>
      <c r="AG91" s="3086">
        <v>201</v>
      </c>
      <c r="AH91" s="3087">
        <v>165</v>
      </c>
      <c r="AI91"/>
      <c r="AJ91" s="3673"/>
      <c r="AK91" s="3100" t="s">
        <v>10271</v>
      </c>
      <c r="AL91" s="3084" t="s">
        <v>10272</v>
      </c>
      <c r="AM91" s="3085">
        <v>186</v>
      </c>
      <c r="AN91" s="3086">
        <v>155</v>
      </c>
      <c r="AO91" s="3087">
        <v>97</v>
      </c>
      <c r="AQ91" s="3">
        <v>1</v>
      </c>
    </row>
    <row r="92" spans="11:43" ht="21" customHeight="1">
      <c r="K92" s="3674" t="s">
        <v>10273</v>
      </c>
      <c r="L92" s="3675" t="s">
        <v>10274</v>
      </c>
      <c r="M92" s="3676" t="s">
        <v>10275</v>
      </c>
      <c r="N92" s="3677" t="s">
        <v>10276</v>
      </c>
      <c r="O92" s="3678" t="s">
        <v>10277</v>
      </c>
      <c r="P92" s="3679" t="s">
        <v>10278</v>
      </c>
      <c r="Q92" s="3680" t="s">
        <v>10279</v>
      </c>
      <c r="R92" s="3681" t="s">
        <v>10280</v>
      </c>
      <c r="S92" s="3682" t="s">
        <v>10281</v>
      </c>
      <c r="V92" s="3683"/>
      <c r="W92" s="3114" t="s">
        <v>10282</v>
      </c>
      <c r="X92" s="3094" t="s">
        <v>10283</v>
      </c>
      <c r="Y92" s="3095">
        <v>0</v>
      </c>
      <c r="Z92" s="3096">
        <v>133</v>
      </c>
      <c r="AA92" s="3097">
        <v>161</v>
      </c>
      <c r="AB92"/>
      <c r="AC92" s="3684"/>
      <c r="AD92" s="3148" t="s">
        <v>8767</v>
      </c>
      <c r="AE92" s="3084" t="s">
        <v>10284</v>
      </c>
      <c r="AF92" s="3085">
        <v>240</v>
      </c>
      <c r="AG92" s="3086">
        <v>227</v>
      </c>
      <c r="AH92" s="3087">
        <v>107</v>
      </c>
      <c r="AI92"/>
      <c r="AJ92" s="3685"/>
      <c r="AK92" s="3100" t="s">
        <v>10285</v>
      </c>
      <c r="AL92" s="3084" t="s">
        <v>10286</v>
      </c>
      <c r="AM92" s="3085">
        <v>168</v>
      </c>
      <c r="AN92" s="3086">
        <v>152</v>
      </c>
      <c r="AO92" s="3087">
        <v>116</v>
      </c>
      <c r="AQ92" s="3">
        <v>1</v>
      </c>
    </row>
    <row r="93" spans="11:43" ht="21" customHeight="1">
      <c r="K93" s="3686" t="s">
        <v>10287</v>
      </c>
      <c r="L93" s="3687" t="s">
        <v>10288</v>
      </c>
      <c r="M93" s="3688" t="s">
        <v>10289</v>
      </c>
      <c r="N93" s="3689" t="s">
        <v>10290</v>
      </c>
      <c r="O93" s="3690" t="s">
        <v>10291</v>
      </c>
      <c r="P93" s="3691" t="s">
        <v>10292</v>
      </c>
      <c r="Q93" s="3692" t="s">
        <v>10293</v>
      </c>
      <c r="R93" s="3693" t="s">
        <v>10294</v>
      </c>
      <c r="S93" s="3694" t="s">
        <v>10295</v>
      </c>
      <c r="V93" s="3695"/>
      <c r="W93" s="3114" t="s">
        <v>10296</v>
      </c>
      <c r="X93" s="3094" t="s">
        <v>10297</v>
      </c>
      <c r="Y93" s="3095">
        <v>0</v>
      </c>
      <c r="Z93" s="3096">
        <v>119</v>
      </c>
      <c r="AA93" s="3097">
        <v>145</v>
      </c>
      <c r="AB93"/>
      <c r="AC93" s="3696"/>
      <c r="AD93" s="3148" t="s">
        <v>10298</v>
      </c>
      <c r="AE93" s="3084" t="s">
        <v>10299</v>
      </c>
      <c r="AF93" s="3085">
        <v>247</v>
      </c>
      <c r="AG93" s="3086">
        <v>227</v>
      </c>
      <c r="AH93" s="3087">
        <v>95</v>
      </c>
      <c r="AI93"/>
      <c r="AJ93" s="3697"/>
      <c r="AK93" s="3100" t="s">
        <v>10300</v>
      </c>
      <c r="AL93" s="3084" t="s">
        <v>10301</v>
      </c>
      <c r="AM93" s="3085">
        <v>161</v>
      </c>
      <c r="AN93" s="3086">
        <v>143</v>
      </c>
      <c r="AO93" s="3087">
        <v>96</v>
      </c>
      <c r="AQ93" s="3">
        <v>1</v>
      </c>
    </row>
    <row r="94" spans="11:43" ht="21" customHeight="1">
      <c r="K94" s="3698" t="s">
        <v>10302</v>
      </c>
      <c r="L94" s="3699" t="s">
        <v>10303</v>
      </c>
      <c r="M94" s="3700" t="s">
        <v>10304</v>
      </c>
      <c r="N94" s="3701" t="s">
        <v>10305</v>
      </c>
      <c r="O94" s="3702" t="s">
        <v>10306</v>
      </c>
      <c r="P94" s="3703" t="s">
        <v>10307</v>
      </c>
      <c r="Q94" s="3704" t="s">
        <v>10308</v>
      </c>
      <c r="R94" s="3705" t="s">
        <v>10309</v>
      </c>
      <c r="S94" s="3706" t="s">
        <v>10310</v>
      </c>
      <c r="V94" s="3707"/>
      <c r="W94" s="3114" t="s">
        <v>10311</v>
      </c>
      <c r="X94" s="3094" t="s">
        <v>10312</v>
      </c>
      <c r="Y94" s="3095">
        <v>6</v>
      </c>
      <c r="Z94" s="3096">
        <v>119</v>
      </c>
      <c r="AA94" s="3097">
        <v>144</v>
      </c>
      <c r="AB94"/>
      <c r="AC94" s="3708"/>
      <c r="AD94" s="3083" t="s">
        <v>10313</v>
      </c>
      <c r="AE94" s="3084" t="s">
        <v>10314</v>
      </c>
      <c r="AF94" s="3085">
        <v>205</v>
      </c>
      <c r="AG94" s="3086">
        <v>200</v>
      </c>
      <c r="AH94" s="3087">
        <v>177</v>
      </c>
      <c r="AI94"/>
      <c r="AJ94" s="3709"/>
      <c r="AK94" s="3100" t="s">
        <v>10315</v>
      </c>
      <c r="AL94" s="3084" t="s">
        <v>10316</v>
      </c>
      <c r="AM94" s="3085">
        <v>171</v>
      </c>
      <c r="AN94" s="3086">
        <v>145</v>
      </c>
      <c r="AO94" s="3087">
        <v>68</v>
      </c>
      <c r="AQ94" s="3">
        <v>1</v>
      </c>
    </row>
    <row r="95" spans="11:43" ht="21" customHeight="1">
      <c r="K95" s="3710" t="s">
        <v>10317</v>
      </c>
      <c r="L95" s="3711" t="s">
        <v>10318</v>
      </c>
      <c r="M95" s="3712" t="s">
        <v>10319</v>
      </c>
      <c r="N95" s="3713" t="s">
        <v>10320</v>
      </c>
      <c r="O95" s="3714" t="s">
        <v>10321</v>
      </c>
      <c r="P95" s="3715" t="s">
        <v>10322</v>
      </c>
      <c r="Q95" s="3716" t="s">
        <v>10323</v>
      </c>
      <c r="R95" s="3717" t="s">
        <v>10324</v>
      </c>
      <c r="S95" s="3718" t="s">
        <v>10325</v>
      </c>
      <c r="V95" s="3719"/>
      <c r="W95" s="3114" t="s">
        <v>10326</v>
      </c>
      <c r="X95" s="3094" t="s">
        <v>10327</v>
      </c>
      <c r="Y95" s="3095">
        <v>0</v>
      </c>
      <c r="Z95" s="3096">
        <v>46</v>
      </c>
      <c r="AA95" s="3097">
        <v>59</v>
      </c>
      <c r="AB95"/>
      <c r="AC95" s="3720"/>
      <c r="AD95" s="3083" t="s">
        <v>10328</v>
      </c>
      <c r="AE95" s="3084" t="s">
        <v>10329</v>
      </c>
      <c r="AF95" s="3085">
        <v>238</v>
      </c>
      <c r="AG95" s="3086">
        <v>230</v>
      </c>
      <c r="AH95" s="3087">
        <v>133</v>
      </c>
      <c r="AI95"/>
      <c r="AJ95" s="3721"/>
      <c r="AK95" s="3089" t="s">
        <v>10330</v>
      </c>
      <c r="AL95" s="3084" t="s">
        <v>10331</v>
      </c>
      <c r="AM95" s="3085">
        <v>139</v>
      </c>
      <c r="AN95" s="3086">
        <v>131</v>
      </c>
      <c r="AO95" s="3087">
        <v>120</v>
      </c>
      <c r="AQ95" s="3">
        <v>1</v>
      </c>
    </row>
    <row r="96" spans="11:43" ht="21" customHeight="1">
      <c r="K96" s="3722" t="s">
        <v>10332</v>
      </c>
      <c r="L96" s="3723" t="s">
        <v>10333</v>
      </c>
      <c r="M96" s="3724" t="s">
        <v>10334</v>
      </c>
      <c r="N96" s="3725" t="s">
        <v>10335</v>
      </c>
      <c r="O96" s="3726" t="s">
        <v>10336</v>
      </c>
      <c r="P96" s="3727" t="s">
        <v>10337</v>
      </c>
      <c r="Q96" s="3728" t="s">
        <v>10338</v>
      </c>
      <c r="R96" s="3729" t="s">
        <v>10339</v>
      </c>
      <c r="S96" s="3730" t="s">
        <v>10340</v>
      </c>
      <c r="V96" s="3731"/>
      <c r="W96" s="3114" t="s">
        <v>9538</v>
      </c>
      <c r="X96" s="3094" t="s">
        <v>9538</v>
      </c>
      <c r="Y96" s="3095">
        <v>255</v>
      </c>
      <c r="Z96" s="3096">
        <v>255</v>
      </c>
      <c r="AA96" s="3097">
        <v>255</v>
      </c>
      <c r="AB96"/>
      <c r="AC96" s="3732"/>
      <c r="AD96" s="3148" t="s">
        <v>10341</v>
      </c>
      <c r="AE96" s="3084" t="s">
        <v>10342</v>
      </c>
      <c r="AF96" s="3085">
        <v>250</v>
      </c>
      <c r="AG96" s="3086">
        <v>234</v>
      </c>
      <c r="AH96" s="3087">
        <v>115</v>
      </c>
      <c r="AI96"/>
      <c r="AJ96" s="3733"/>
      <c r="AK96" s="3100" t="s">
        <v>10343</v>
      </c>
      <c r="AL96" s="3084" t="s">
        <v>10344</v>
      </c>
      <c r="AM96" s="3085">
        <v>175</v>
      </c>
      <c r="AN96" s="3086">
        <v>141</v>
      </c>
      <c r="AO96" s="3087">
        <v>19</v>
      </c>
      <c r="AQ96" s="3">
        <v>1</v>
      </c>
    </row>
    <row r="97" spans="11:43" ht="21" customHeight="1">
      <c r="K97" s="3734" t="s">
        <v>10345</v>
      </c>
      <c r="L97" s="3735" t="s">
        <v>10346</v>
      </c>
      <c r="M97" s="3736" t="s">
        <v>10347</v>
      </c>
      <c r="N97" s="3737" t="s">
        <v>10348</v>
      </c>
      <c r="O97" s="3738" t="s">
        <v>10349</v>
      </c>
      <c r="P97" s="3739" t="s">
        <v>10350</v>
      </c>
      <c r="Q97" s="3740" t="s">
        <v>10351</v>
      </c>
      <c r="R97" s="3741" t="s">
        <v>10352</v>
      </c>
      <c r="S97" s="3742" t="s">
        <v>10353</v>
      </c>
      <c r="V97" s="3743"/>
      <c r="W97" s="3114" t="s">
        <v>10354</v>
      </c>
      <c r="X97" s="3094" t="s">
        <v>10355</v>
      </c>
      <c r="Y97" s="3095">
        <v>0</v>
      </c>
      <c r="Z97" s="3096">
        <v>0</v>
      </c>
      <c r="AA97" s="3097">
        <v>255</v>
      </c>
      <c r="AB97"/>
      <c r="AC97" s="3744"/>
      <c r="AD97" s="3083" t="s">
        <v>10356</v>
      </c>
      <c r="AE97" s="3084" t="s">
        <v>10357</v>
      </c>
      <c r="AF97" s="3085">
        <v>240</v>
      </c>
      <c r="AG97" s="3086">
        <v>230</v>
      </c>
      <c r="AH97" s="3087">
        <v>140</v>
      </c>
      <c r="AI97"/>
      <c r="AJ97" s="3745"/>
      <c r="AK97" s="3089" t="s">
        <v>10358</v>
      </c>
      <c r="AL97" s="3084" t="s">
        <v>10359</v>
      </c>
      <c r="AM97" s="3085">
        <v>139</v>
      </c>
      <c r="AN97" s="3086">
        <v>126</v>
      </c>
      <c r="AO97" s="3087">
        <v>102</v>
      </c>
      <c r="AQ97" s="3">
        <v>1</v>
      </c>
    </row>
    <row r="98" spans="11:43" ht="21" customHeight="1">
      <c r="K98" s="3746" t="s">
        <v>10360</v>
      </c>
      <c r="L98" s="3747" t="s">
        <v>10361</v>
      </c>
      <c r="M98" s="3748" t="s">
        <v>10362</v>
      </c>
      <c r="N98" s="3749" t="s">
        <v>10363</v>
      </c>
      <c r="O98" s="3750" t="s">
        <v>10364</v>
      </c>
      <c r="P98" s="3751" t="s">
        <v>10365</v>
      </c>
      <c r="Q98" s="3752" t="s">
        <v>10366</v>
      </c>
      <c r="R98" s="3753" t="s">
        <v>10367</v>
      </c>
      <c r="S98" s="3754" t="s">
        <v>10368</v>
      </c>
      <c r="V98" s="3755"/>
      <c r="W98" s="3093" t="s">
        <v>10369</v>
      </c>
      <c r="X98" s="3094" t="s">
        <v>10370</v>
      </c>
      <c r="Y98" s="3095">
        <v>77</v>
      </c>
      <c r="Z98" s="3096">
        <v>77</v>
      </c>
      <c r="AA98" s="3097">
        <v>255</v>
      </c>
      <c r="AB98"/>
      <c r="AC98" s="3756"/>
      <c r="AD98" s="3083" t="s">
        <v>10371</v>
      </c>
      <c r="AE98" s="3084" t="s">
        <v>10372</v>
      </c>
      <c r="AF98" s="3085">
        <v>238</v>
      </c>
      <c r="AG98" s="3086">
        <v>232</v>
      </c>
      <c r="AH98" s="3087">
        <v>170</v>
      </c>
      <c r="AI98"/>
      <c r="AJ98" s="3757"/>
      <c r="AK98" s="3089" t="s">
        <v>10373</v>
      </c>
      <c r="AL98" s="3084" t="s">
        <v>10374</v>
      </c>
      <c r="AM98" s="3085">
        <v>140</v>
      </c>
      <c r="AN98" s="3086">
        <v>120</v>
      </c>
      <c r="AO98" s="3087">
        <v>83</v>
      </c>
      <c r="AQ98" s="3">
        <v>1</v>
      </c>
    </row>
    <row r="99" spans="11:43" ht="21" customHeight="1">
      <c r="K99" s="3758" t="s">
        <v>10375</v>
      </c>
      <c r="L99" s="3759" t="s">
        <v>10376</v>
      </c>
      <c r="M99" s="3760" t="s">
        <v>10377</v>
      </c>
      <c r="N99" s="3761" t="s">
        <v>10378</v>
      </c>
      <c r="O99" s="3762" t="s">
        <v>10379</v>
      </c>
      <c r="P99" s="3763" t="s">
        <v>10380</v>
      </c>
      <c r="Q99" s="3764" t="s">
        <v>10381</v>
      </c>
      <c r="R99" s="3765" t="s">
        <v>10382</v>
      </c>
      <c r="S99" s="3766" t="s">
        <v>10383</v>
      </c>
      <c r="V99" s="3767"/>
      <c r="W99" s="3114" t="s">
        <v>10384</v>
      </c>
      <c r="X99" s="3094" t="s">
        <v>10385</v>
      </c>
      <c r="Y99" s="3095">
        <v>196</v>
      </c>
      <c r="Z99" s="3096">
        <v>195</v>
      </c>
      <c r="AA99" s="3097">
        <v>221</v>
      </c>
      <c r="AB99"/>
      <c r="AC99" s="3768"/>
      <c r="AD99" s="3148" t="s">
        <v>10386</v>
      </c>
      <c r="AE99" s="3084" t="s">
        <v>10387</v>
      </c>
      <c r="AF99" s="3085">
        <v>255</v>
      </c>
      <c r="AG99" s="3086">
        <v>244</v>
      </c>
      <c r="AH99" s="3087">
        <v>141</v>
      </c>
      <c r="AI99"/>
      <c r="AJ99" s="3769"/>
      <c r="AK99" s="3100" t="s">
        <v>10388</v>
      </c>
      <c r="AL99" s="3084" t="s">
        <v>10389</v>
      </c>
      <c r="AM99" s="3085">
        <v>118</v>
      </c>
      <c r="AN99" s="3086">
        <v>111</v>
      </c>
      <c r="AO99" s="3087">
        <v>100</v>
      </c>
      <c r="AQ99" s="3">
        <v>1</v>
      </c>
    </row>
    <row r="100" spans="11:43" ht="21" customHeight="1">
      <c r="K100" s="3770" t="s">
        <v>10390</v>
      </c>
      <c r="L100" s="3771" t="s">
        <v>10391</v>
      </c>
      <c r="M100" s="3772" t="s">
        <v>10392</v>
      </c>
      <c r="N100" s="3773" t="s">
        <v>10393</v>
      </c>
      <c r="O100" s="3774" t="s">
        <v>10394</v>
      </c>
      <c r="P100" s="3775" t="s">
        <v>10395</v>
      </c>
      <c r="Q100" s="3776" t="s">
        <v>10396</v>
      </c>
      <c r="R100" s="3777" t="s">
        <v>10397</v>
      </c>
      <c r="S100" s="3778" t="s">
        <v>10398</v>
      </c>
      <c r="V100" s="3779"/>
      <c r="W100" s="3093" t="s">
        <v>10399</v>
      </c>
      <c r="X100" s="3094" t="s">
        <v>10400</v>
      </c>
      <c r="Y100" s="3095">
        <v>217</v>
      </c>
      <c r="Z100" s="3096">
        <v>217</v>
      </c>
      <c r="AA100" s="3097">
        <v>243</v>
      </c>
      <c r="AB100"/>
      <c r="AC100" s="3780"/>
      <c r="AD100" s="3083" t="s">
        <v>10401</v>
      </c>
      <c r="AE100" s="3084" t="s">
        <v>10402</v>
      </c>
      <c r="AF100" s="3085">
        <v>255</v>
      </c>
      <c r="AG100" s="3086">
        <v>246</v>
      </c>
      <c r="AH100" s="3087">
        <v>143</v>
      </c>
      <c r="AI100"/>
      <c r="AJ100" s="3781"/>
      <c r="AK100" s="3100" t="s">
        <v>10403</v>
      </c>
      <c r="AL100" s="3084" t="s">
        <v>10404</v>
      </c>
      <c r="AM100" s="3085">
        <v>107</v>
      </c>
      <c r="AN100" s="3086">
        <v>87</v>
      </c>
      <c r="AO100" s="3087">
        <v>49</v>
      </c>
      <c r="AQ100" s="3">
        <v>1</v>
      </c>
    </row>
    <row r="101" spans="11:43" ht="21" customHeight="1">
      <c r="K101" s="3782" t="s">
        <v>10405</v>
      </c>
      <c r="L101" s="3783" t="s">
        <v>10406</v>
      </c>
      <c r="M101" s="3784" t="s">
        <v>10407</v>
      </c>
      <c r="N101" s="3785" t="s">
        <v>10408</v>
      </c>
      <c r="O101" s="3786" t="s">
        <v>10409</v>
      </c>
      <c r="P101" s="3787" t="s">
        <v>10410</v>
      </c>
      <c r="Q101" s="3788" t="s">
        <v>10411</v>
      </c>
      <c r="R101" s="3789" t="s">
        <v>10412</v>
      </c>
      <c r="S101" s="3790" t="s">
        <v>10413</v>
      </c>
      <c r="V101" s="3791"/>
      <c r="W101" s="3114" t="s">
        <v>10414</v>
      </c>
      <c r="X101" s="3094" t="s">
        <v>10415</v>
      </c>
      <c r="Y101" s="3095">
        <v>204</v>
      </c>
      <c r="Z101" s="3096">
        <v>204</v>
      </c>
      <c r="AA101" s="3097">
        <v>255</v>
      </c>
      <c r="AB101"/>
      <c r="AC101" s="3792"/>
      <c r="AD101" s="3083" t="s">
        <v>10416</v>
      </c>
      <c r="AE101" s="3084" t="s">
        <v>10417</v>
      </c>
      <c r="AF101" s="3085">
        <v>238</v>
      </c>
      <c r="AG101" s="3086">
        <v>233</v>
      </c>
      <c r="AH101" s="3087">
        <v>191</v>
      </c>
      <c r="AI101"/>
      <c r="AJ101" s="3793"/>
      <c r="AK101" s="3100" t="s">
        <v>10418</v>
      </c>
      <c r="AL101" s="3084" t="s">
        <v>10419</v>
      </c>
      <c r="AM101" s="3085">
        <v>97</v>
      </c>
      <c r="AN101" s="3086">
        <v>78</v>
      </c>
      <c r="AO101" s="3087">
        <v>26</v>
      </c>
      <c r="AQ101" s="3">
        <v>1</v>
      </c>
    </row>
    <row r="102" spans="11:43" ht="21" customHeight="1">
      <c r="K102" s="3794" t="s">
        <v>10420</v>
      </c>
      <c r="L102" s="3795" t="s">
        <v>10421</v>
      </c>
      <c r="M102" s="3796" t="s">
        <v>10422</v>
      </c>
      <c r="N102" s="3797" t="s">
        <v>10423</v>
      </c>
      <c r="O102" s="3798" t="s">
        <v>10424</v>
      </c>
      <c r="P102" s="3799" t="s">
        <v>10425</v>
      </c>
      <c r="Q102" s="3800" t="s">
        <v>10426</v>
      </c>
      <c r="R102" s="3801" t="s">
        <v>10427</v>
      </c>
      <c r="S102" s="3802" t="s">
        <v>10428</v>
      </c>
      <c r="V102" s="3803"/>
      <c r="W102" s="3114" t="s">
        <v>10429</v>
      </c>
      <c r="X102" s="3094" t="s">
        <v>10430</v>
      </c>
      <c r="Y102" s="3095">
        <v>233</v>
      </c>
      <c r="Z102" s="3096">
        <v>233</v>
      </c>
      <c r="AA102" s="3097">
        <v>237</v>
      </c>
      <c r="AB102"/>
      <c r="AC102" s="3804"/>
      <c r="AD102" s="3148" t="s">
        <v>10431</v>
      </c>
      <c r="AE102" s="3084" t="s">
        <v>10432</v>
      </c>
      <c r="AF102" s="3085">
        <v>251</v>
      </c>
      <c r="AG102" s="3086">
        <v>242</v>
      </c>
      <c r="AH102" s="3087">
        <v>183</v>
      </c>
      <c r="AI102"/>
      <c r="AJ102" s="3805"/>
      <c r="AK102" s="3100" t="s">
        <v>10433</v>
      </c>
      <c r="AL102" s="3084" t="s">
        <v>10434</v>
      </c>
      <c r="AM102" s="3085">
        <v>70</v>
      </c>
      <c r="AN102" s="3086">
        <v>63</v>
      </c>
      <c r="AO102" s="3087">
        <v>50</v>
      </c>
      <c r="AQ102" s="3">
        <v>1</v>
      </c>
    </row>
    <row r="103" spans="11:43" ht="21" customHeight="1">
      <c r="K103" s="3806" t="s">
        <v>10435</v>
      </c>
      <c r="L103" s="3807" t="s">
        <v>10436</v>
      </c>
      <c r="M103" s="3808" t="s">
        <v>10437</v>
      </c>
      <c r="N103" s="3809" t="s">
        <v>10438</v>
      </c>
      <c r="O103" s="3810" t="s">
        <v>10439</v>
      </c>
      <c r="P103" s="3811" t="s">
        <v>10440</v>
      </c>
      <c r="Q103" s="3812" t="s">
        <v>10441</v>
      </c>
      <c r="R103" s="3813" t="s">
        <v>10442</v>
      </c>
      <c r="S103" s="3814" t="s">
        <v>10443</v>
      </c>
      <c r="V103" s="3815"/>
      <c r="W103" s="3093" t="s">
        <v>10444</v>
      </c>
      <c r="X103" s="3094" t="s">
        <v>10445</v>
      </c>
      <c r="Y103" s="3095">
        <v>230</v>
      </c>
      <c r="Z103" s="3096">
        <v>230</v>
      </c>
      <c r="AA103" s="3097">
        <v>250</v>
      </c>
      <c r="AB103"/>
      <c r="AC103" s="3816"/>
      <c r="AD103" s="3148" t="s">
        <v>10446</v>
      </c>
      <c r="AE103" s="3084" t="s">
        <v>10447</v>
      </c>
      <c r="AF103" s="3085">
        <v>253</v>
      </c>
      <c r="AG103" s="3086">
        <v>241</v>
      </c>
      <c r="AH103" s="3087">
        <v>184</v>
      </c>
      <c r="AI103"/>
      <c r="AJ103" s="3817"/>
      <c r="AK103" s="3100" t="s">
        <v>10448</v>
      </c>
      <c r="AL103" s="3084" t="s">
        <v>10449</v>
      </c>
      <c r="AM103" s="3085">
        <v>41</v>
      </c>
      <c r="AN103" s="3086">
        <v>33</v>
      </c>
      <c r="AO103" s="3087">
        <v>7</v>
      </c>
      <c r="AQ103" s="3">
        <v>1</v>
      </c>
    </row>
    <row r="104" spans="11:43" ht="21" customHeight="1">
      <c r="K104" s="3818" t="s">
        <v>10450</v>
      </c>
      <c r="L104" s="3819" t="s">
        <v>10451</v>
      </c>
      <c r="M104" s="3820" t="s">
        <v>10452</v>
      </c>
      <c r="N104" s="3821" t="s">
        <v>10453</v>
      </c>
      <c r="O104" s="3822" t="s">
        <v>10454</v>
      </c>
      <c r="P104" s="3823" t="s">
        <v>10455</v>
      </c>
      <c r="Q104" s="3824" t="s">
        <v>10456</v>
      </c>
      <c r="R104" s="3825" t="s">
        <v>10457</v>
      </c>
      <c r="S104" s="3826" t="s">
        <v>10458</v>
      </c>
      <c r="V104" s="3827"/>
      <c r="W104" s="3093" t="s">
        <v>10459</v>
      </c>
      <c r="X104" s="3094" t="s">
        <v>10460</v>
      </c>
      <c r="Y104" s="3095">
        <v>248</v>
      </c>
      <c r="Z104" s="3096">
        <v>248</v>
      </c>
      <c r="AA104" s="3097">
        <v>255</v>
      </c>
      <c r="AB104"/>
      <c r="AC104" s="3828"/>
      <c r="AD104" s="3083" t="s">
        <v>10461</v>
      </c>
      <c r="AE104" s="3084" t="s">
        <v>10462</v>
      </c>
      <c r="AF104" s="3085">
        <v>238</v>
      </c>
      <c r="AG104" s="3086">
        <v>232</v>
      </c>
      <c r="AH104" s="3087">
        <v>205</v>
      </c>
      <c r="AI104"/>
      <c r="AJ104" s="3829"/>
      <c r="AK104" s="3089" t="s">
        <v>10463</v>
      </c>
      <c r="AL104" s="3084" t="s">
        <v>10464</v>
      </c>
      <c r="AM104" s="3085">
        <v>255</v>
      </c>
      <c r="AN104" s="3086">
        <v>165</v>
      </c>
      <c r="AO104" s="3087">
        <v>0</v>
      </c>
      <c r="AQ104" s="3">
        <v>1</v>
      </c>
    </row>
    <row r="105" spans="11:43" ht="21" customHeight="1">
      <c r="K105" s="3830" t="s">
        <v>10465</v>
      </c>
      <c r="L105" s="3831" t="s">
        <v>10466</v>
      </c>
      <c r="M105" s="3832" t="s">
        <v>10467</v>
      </c>
      <c r="N105" s="3833" t="s">
        <v>10468</v>
      </c>
      <c r="O105" s="3834" t="s">
        <v>10469</v>
      </c>
      <c r="P105" s="3835" t="s">
        <v>10470</v>
      </c>
      <c r="Q105" s="3836" t="s">
        <v>10471</v>
      </c>
      <c r="R105" s="3837" t="s">
        <v>10472</v>
      </c>
      <c r="S105" s="3838" t="s">
        <v>10473</v>
      </c>
      <c r="V105" s="3839"/>
      <c r="W105" s="3093" t="s">
        <v>10474</v>
      </c>
      <c r="X105" s="3094" t="s">
        <v>10475</v>
      </c>
      <c r="Y105" s="3095">
        <v>0</v>
      </c>
      <c r="Z105" s="3096">
        <v>0</v>
      </c>
      <c r="AA105" s="3097">
        <v>238</v>
      </c>
      <c r="AB105"/>
      <c r="AC105" s="3840"/>
      <c r="AD105" s="3083" t="s">
        <v>10476</v>
      </c>
      <c r="AE105" s="3084" t="s">
        <v>10477</v>
      </c>
      <c r="AF105" s="3085">
        <v>255</v>
      </c>
      <c r="AG105" s="3086">
        <v>250</v>
      </c>
      <c r="AH105" s="3087">
        <v>205</v>
      </c>
      <c r="AI105"/>
      <c r="AJ105" s="3841"/>
      <c r="AK105" s="3089" t="s">
        <v>10478</v>
      </c>
      <c r="AL105" s="3084" t="s">
        <v>10479</v>
      </c>
      <c r="AM105" s="3085">
        <v>244</v>
      </c>
      <c r="AN105" s="3086">
        <v>164</v>
      </c>
      <c r="AO105" s="3087">
        <v>96</v>
      </c>
      <c r="AQ105" s="3">
        <v>1</v>
      </c>
    </row>
    <row r="106" spans="11:43" ht="24" customHeight="1">
      <c r="K106" s="3842" t="s">
        <v>10480</v>
      </c>
      <c r="L106" s="3843" t="s">
        <v>10481</v>
      </c>
      <c r="M106" s="3844" t="s">
        <v>10482</v>
      </c>
      <c r="N106" s="3845" t="s">
        <v>10483</v>
      </c>
      <c r="O106" s="3846" t="s">
        <v>10484</v>
      </c>
      <c r="P106" s="3847" t="s">
        <v>10485</v>
      </c>
      <c r="Q106" s="3848" t="s">
        <v>10486</v>
      </c>
      <c r="R106" s="3849" t="s">
        <v>10487</v>
      </c>
      <c r="S106" s="3850" t="s">
        <v>10488</v>
      </c>
      <c r="V106" s="3851"/>
      <c r="W106" s="3114" t="s">
        <v>10489</v>
      </c>
      <c r="X106" s="3094" t="s">
        <v>10490</v>
      </c>
      <c r="Y106" s="3095">
        <v>96</v>
      </c>
      <c r="Z106" s="3096">
        <v>80</v>
      </c>
      <c r="AA106" s="3097">
        <v>220</v>
      </c>
      <c r="AB106"/>
      <c r="AC106" s="3852"/>
      <c r="AD106" s="3148" t="s">
        <v>10491</v>
      </c>
      <c r="AE106" s="3084" t="s">
        <v>10492</v>
      </c>
      <c r="AF106" s="3085">
        <v>254</v>
      </c>
      <c r="AG106" s="3086">
        <v>253</v>
      </c>
      <c r="AH106" s="3087">
        <v>240</v>
      </c>
      <c r="AI106"/>
      <c r="AJ106" s="3853"/>
      <c r="AK106" s="3100" t="s">
        <v>10493</v>
      </c>
      <c r="AL106" s="3084" t="s">
        <v>10494</v>
      </c>
      <c r="AM106" s="3085">
        <v>254</v>
      </c>
      <c r="AN106" s="3086">
        <v>163</v>
      </c>
      <c r="AO106" s="3087">
        <v>71</v>
      </c>
      <c r="AQ106" s="3">
        <v>1</v>
      </c>
    </row>
    <row r="107" spans="11:43" ht="21" customHeight="1">
      <c r="K107" s="3854" t="s">
        <v>10495</v>
      </c>
      <c r="L107" s="3855" t="s">
        <v>10496</v>
      </c>
      <c r="M107" s="3856" t="s">
        <v>10497</v>
      </c>
      <c r="N107" s="3857" t="s">
        <v>10498</v>
      </c>
      <c r="O107" s="3858" t="s">
        <v>10499</v>
      </c>
      <c r="P107" s="3859" t="s">
        <v>10500</v>
      </c>
      <c r="Q107" s="3860" t="s">
        <v>10501</v>
      </c>
      <c r="R107" s="3861" t="s">
        <v>10502</v>
      </c>
      <c r="S107" s="3862" t="s">
        <v>10503</v>
      </c>
      <c r="V107" s="3863"/>
      <c r="W107" s="3093" t="s">
        <v>10504</v>
      </c>
      <c r="X107" s="3094" t="s">
        <v>10505</v>
      </c>
      <c r="Y107" s="3095">
        <v>0</v>
      </c>
      <c r="Z107" s="3096">
        <v>0</v>
      </c>
      <c r="AA107" s="3097">
        <v>205</v>
      </c>
      <c r="AB107"/>
      <c r="AC107" s="3864"/>
      <c r="AD107" s="3148" t="s">
        <v>10506</v>
      </c>
      <c r="AE107" s="3084" t="s">
        <v>10507</v>
      </c>
      <c r="AF107" s="3085">
        <v>193</v>
      </c>
      <c r="AG107" s="3086">
        <v>191</v>
      </c>
      <c r="AH107" s="3087">
        <v>177</v>
      </c>
      <c r="AI107"/>
      <c r="AJ107" s="3865"/>
      <c r="AK107" s="3089" t="s">
        <v>10508</v>
      </c>
      <c r="AL107" s="3084" t="s">
        <v>10509</v>
      </c>
      <c r="AM107" s="3085">
        <v>255</v>
      </c>
      <c r="AN107" s="3086">
        <v>165</v>
      </c>
      <c r="AO107" s="3087">
        <v>79</v>
      </c>
      <c r="AQ107" s="3">
        <v>1</v>
      </c>
    </row>
    <row r="108" spans="11:43" ht="21" customHeight="1">
      <c r="K108" s="3866" t="s">
        <v>10510</v>
      </c>
      <c r="L108" s="3867" t="s">
        <v>10511</v>
      </c>
      <c r="M108" s="3868" t="s">
        <v>10512</v>
      </c>
      <c r="N108" s="3869" t="s">
        <v>10513</v>
      </c>
      <c r="O108" s="3870" t="s">
        <v>10514</v>
      </c>
      <c r="P108" s="3871" t="s">
        <v>10515</v>
      </c>
      <c r="Q108" s="3872" t="s">
        <v>10516</v>
      </c>
      <c r="R108" s="3873" t="s">
        <v>10517</v>
      </c>
      <c r="S108" s="3874" t="s">
        <v>10518</v>
      </c>
      <c r="V108" s="3875"/>
      <c r="W108" s="3093" t="s">
        <v>10519</v>
      </c>
      <c r="X108" s="3094" t="s">
        <v>10520</v>
      </c>
      <c r="Y108" s="3095">
        <v>89</v>
      </c>
      <c r="Z108" s="3096">
        <v>89</v>
      </c>
      <c r="AA108" s="3097">
        <v>171</v>
      </c>
      <c r="AB108"/>
      <c r="AC108" s="3876"/>
      <c r="AD108" s="3148" t="s">
        <v>10521</v>
      </c>
      <c r="AE108" s="3084" t="s">
        <v>10522</v>
      </c>
      <c r="AF108" s="3085">
        <v>239</v>
      </c>
      <c r="AG108" s="3086">
        <v>216</v>
      </c>
      <c r="AH108" s="3087">
        <v>7</v>
      </c>
      <c r="AI108"/>
      <c r="AJ108" s="3877"/>
      <c r="AK108" s="3089" t="s">
        <v>10523</v>
      </c>
      <c r="AL108" s="3084" t="s">
        <v>10524</v>
      </c>
      <c r="AM108" s="3085">
        <v>205</v>
      </c>
      <c r="AN108" s="3086">
        <v>197</v>
      </c>
      <c r="AO108" s="3087">
        <v>191</v>
      </c>
      <c r="AQ108" s="3">
        <v>1</v>
      </c>
    </row>
    <row r="109" spans="11:43" ht="21" customHeight="1">
      <c r="K109" s="3878" t="s">
        <v>10525</v>
      </c>
      <c r="L109" s="3879" t="s">
        <v>10526</v>
      </c>
      <c r="M109" s="3880" t="s">
        <v>10527</v>
      </c>
      <c r="N109" s="3881" t="s">
        <v>10528</v>
      </c>
      <c r="O109" s="3882" t="s">
        <v>10529</v>
      </c>
      <c r="P109" s="3883" t="s">
        <v>10530</v>
      </c>
      <c r="Q109" s="3884" t="s">
        <v>10531</v>
      </c>
      <c r="R109" s="3885" t="s">
        <v>10532</v>
      </c>
      <c r="S109" s="3886" t="s">
        <v>10533</v>
      </c>
      <c r="V109" s="3887"/>
      <c r="W109" s="3114" t="s">
        <v>10534</v>
      </c>
      <c r="X109" s="3094" t="s">
        <v>10535</v>
      </c>
      <c r="Y109" s="3095">
        <v>84</v>
      </c>
      <c r="Z109" s="3096">
        <v>90</v>
      </c>
      <c r="AA109" s="3097">
        <v>167</v>
      </c>
      <c r="AB109"/>
      <c r="AC109" s="3888"/>
      <c r="AD109" s="3148" t="s">
        <v>10536</v>
      </c>
      <c r="AE109" s="3084" t="s">
        <v>10537</v>
      </c>
      <c r="AF109" s="3085">
        <v>232</v>
      </c>
      <c r="AG109" s="3086">
        <v>214</v>
      </c>
      <c r="AH109" s="3087">
        <v>48</v>
      </c>
      <c r="AI109"/>
      <c r="AJ109" s="3889"/>
      <c r="AK109" s="3100" t="s">
        <v>10538</v>
      </c>
      <c r="AL109" s="3084" t="s">
        <v>10539</v>
      </c>
      <c r="AM109" s="3085">
        <v>250</v>
      </c>
      <c r="AN109" s="3086">
        <v>181</v>
      </c>
      <c r="AO109" s="3087">
        <v>127</v>
      </c>
      <c r="AQ109" s="3">
        <v>1</v>
      </c>
    </row>
    <row r="110" spans="11:43" ht="21" customHeight="1">
      <c r="K110" s="3890" t="s">
        <v>10540</v>
      </c>
      <c r="L110" s="3891" t="s">
        <v>10541</v>
      </c>
      <c r="M110" s="3892" t="s">
        <v>10542</v>
      </c>
      <c r="N110" s="3893" t="s">
        <v>10543</v>
      </c>
      <c r="O110" s="3894" t="s">
        <v>10544</v>
      </c>
      <c r="P110" s="3895" t="s">
        <v>10545</v>
      </c>
      <c r="Q110" s="3896" t="s">
        <v>10546</v>
      </c>
      <c r="R110" s="3897" t="s">
        <v>10547</v>
      </c>
      <c r="S110" s="3898" t="s">
        <v>10548</v>
      </c>
      <c r="V110" s="3899"/>
      <c r="W110" s="3114" t="s">
        <v>10549</v>
      </c>
      <c r="X110" s="3094" t="s">
        <v>10550</v>
      </c>
      <c r="Y110" s="3095">
        <v>1</v>
      </c>
      <c r="Z110" s="3096">
        <v>49</v>
      </c>
      <c r="AA110" s="3097">
        <v>180</v>
      </c>
      <c r="AB110"/>
      <c r="AC110" s="3900"/>
      <c r="AD110" s="3083" t="s">
        <v>10551</v>
      </c>
      <c r="AE110" s="3084" t="s">
        <v>10552</v>
      </c>
      <c r="AF110" s="3085">
        <v>205</v>
      </c>
      <c r="AG110" s="3086">
        <v>198</v>
      </c>
      <c r="AH110" s="3087">
        <v>115</v>
      </c>
      <c r="AI110"/>
      <c r="AJ110" s="3901"/>
      <c r="AK110" s="3100" t="s">
        <v>10553</v>
      </c>
      <c r="AL110" s="3084" t="s">
        <v>10554</v>
      </c>
      <c r="AM110" s="3085">
        <v>233</v>
      </c>
      <c r="AN110" s="3086">
        <v>201</v>
      </c>
      <c r="AO110" s="3087">
        <v>177</v>
      </c>
      <c r="AQ110" s="3">
        <v>1</v>
      </c>
    </row>
    <row r="111" spans="11:43" ht="21" customHeight="1">
      <c r="K111" s="3902" t="s">
        <v>10555</v>
      </c>
      <c r="L111" s="3903" t="s">
        <v>10556</v>
      </c>
      <c r="M111" s="3904" t="s">
        <v>10557</v>
      </c>
      <c r="N111" s="3905" t="s">
        <v>10558</v>
      </c>
      <c r="O111" s="3906" t="s">
        <v>10559</v>
      </c>
      <c r="P111" s="3907" t="s">
        <v>10560</v>
      </c>
      <c r="Q111" s="3908" t="s">
        <v>10561</v>
      </c>
      <c r="R111" s="3909" t="s">
        <v>10562</v>
      </c>
      <c r="S111" s="3910" t="s">
        <v>10563</v>
      </c>
      <c r="V111" s="3911"/>
      <c r="W111" s="3093" t="s">
        <v>10564</v>
      </c>
      <c r="X111" s="3094" t="s">
        <v>10565</v>
      </c>
      <c r="Y111" s="3095">
        <v>0</v>
      </c>
      <c r="Z111" s="3096">
        <v>0</v>
      </c>
      <c r="AA111" s="3097">
        <v>156</v>
      </c>
      <c r="AB111"/>
      <c r="AC111" s="3912"/>
      <c r="AD111" s="3148" t="s">
        <v>10566</v>
      </c>
      <c r="AE111" s="3084" t="s">
        <v>10567</v>
      </c>
      <c r="AF111" s="3085">
        <v>220</v>
      </c>
      <c r="AG111" s="3086">
        <v>211</v>
      </c>
      <c r="AH111" s="3087">
        <v>0</v>
      </c>
      <c r="AI111"/>
      <c r="AJ111" s="3913"/>
      <c r="AK111" s="3089" t="s">
        <v>10568</v>
      </c>
      <c r="AL111" s="3084" t="s">
        <v>10569</v>
      </c>
      <c r="AM111" s="3085">
        <v>238</v>
      </c>
      <c r="AN111" s="3086">
        <v>203</v>
      </c>
      <c r="AO111" s="3087">
        <v>173</v>
      </c>
      <c r="AQ111" s="3">
        <v>1</v>
      </c>
    </row>
    <row r="112" spans="11:43" ht="21" customHeight="1">
      <c r="K112" s="3914" t="s">
        <v>10570</v>
      </c>
      <c r="L112" s="3915" t="s">
        <v>10571</v>
      </c>
      <c r="M112" s="3916" t="s">
        <v>10572</v>
      </c>
      <c r="N112" s="3917" t="s">
        <v>10573</v>
      </c>
      <c r="O112" s="3918" t="s">
        <v>10574</v>
      </c>
      <c r="P112" s="3919" t="s">
        <v>10575</v>
      </c>
      <c r="Q112" s="3920" t="s">
        <v>10576</v>
      </c>
      <c r="R112" s="3921" t="s">
        <v>10577</v>
      </c>
      <c r="S112" s="3922" t="s">
        <v>10578</v>
      </c>
      <c r="V112" s="3923"/>
      <c r="W112" s="3114" t="s">
        <v>10579</v>
      </c>
      <c r="X112" s="3094" t="s">
        <v>10580</v>
      </c>
      <c r="Y112" s="3095">
        <v>27</v>
      </c>
      <c r="Z112" s="3096">
        <v>1</v>
      </c>
      <c r="AA112" s="3097">
        <v>155</v>
      </c>
      <c r="AB112"/>
      <c r="AC112" s="3924"/>
      <c r="AD112" s="3148" t="s">
        <v>10581</v>
      </c>
      <c r="AE112" s="3084" t="s">
        <v>10582</v>
      </c>
      <c r="AF112" s="3085">
        <v>185</v>
      </c>
      <c r="AG112" s="3086">
        <v>181</v>
      </c>
      <c r="AH112" s="3087">
        <v>125</v>
      </c>
      <c r="AI112"/>
      <c r="AJ112" s="3925"/>
      <c r="AK112" s="3089" t="s">
        <v>10583</v>
      </c>
      <c r="AL112" s="3084" t="s">
        <v>10584</v>
      </c>
      <c r="AM112" s="3085">
        <v>245</v>
      </c>
      <c r="AN112" s="3086">
        <v>204</v>
      </c>
      <c r="AO112" s="3087">
        <v>176</v>
      </c>
      <c r="AQ112" s="3">
        <v>1</v>
      </c>
    </row>
    <row r="113" spans="11:43" ht="21" customHeight="1">
      <c r="K113" s="3926" t="s">
        <v>10585</v>
      </c>
      <c r="L113" s="3927" t="s">
        <v>10586</v>
      </c>
      <c r="M113" s="3928" t="s">
        <v>10587</v>
      </c>
      <c r="N113" s="3929" t="s">
        <v>10588</v>
      </c>
      <c r="O113" s="3930" t="s">
        <v>10589</v>
      </c>
      <c r="P113" s="3931" t="s">
        <v>10590</v>
      </c>
      <c r="Q113" s="3932" t="s">
        <v>10591</v>
      </c>
      <c r="R113" s="3933" t="s">
        <v>10592</v>
      </c>
      <c r="S113" s="3934" t="s">
        <v>10593</v>
      </c>
      <c r="V113" s="3935"/>
      <c r="W113" s="3114" t="s">
        <v>10594</v>
      </c>
      <c r="X113" s="3094" t="s">
        <v>10595</v>
      </c>
      <c r="Y113" s="3095">
        <v>78</v>
      </c>
      <c r="Z113" s="3096">
        <v>81</v>
      </c>
      <c r="AA113" s="3097">
        <v>128</v>
      </c>
      <c r="AB113"/>
      <c r="AC113" s="3936"/>
      <c r="AD113" s="3148" t="s">
        <v>10596</v>
      </c>
      <c r="AE113" s="3084" t="s">
        <v>10597</v>
      </c>
      <c r="AF113" s="3085">
        <v>185</v>
      </c>
      <c r="AG113" s="3086">
        <v>178</v>
      </c>
      <c r="AH113" s="3087">
        <v>118</v>
      </c>
      <c r="AI113"/>
      <c r="AJ113" s="3937"/>
      <c r="AK113" s="3100" t="s">
        <v>10598</v>
      </c>
      <c r="AL113" s="3084" t="s">
        <v>10599</v>
      </c>
      <c r="AM113" s="3085">
        <v>236</v>
      </c>
      <c r="AN113" s="3086">
        <v>213</v>
      </c>
      <c r="AO113" s="3087">
        <v>197</v>
      </c>
      <c r="AQ113" s="3">
        <v>1</v>
      </c>
    </row>
    <row r="114" spans="11:43" ht="21" customHeight="1">
      <c r="K114" s="3938" t="s">
        <v>10600</v>
      </c>
      <c r="L114" s="3939" t="s">
        <v>10601</v>
      </c>
      <c r="M114" s="3940" t="s">
        <v>10602</v>
      </c>
      <c r="N114" s="3941" t="s">
        <v>10603</v>
      </c>
      <c r="O114" s="3942" t="s">
        <v>10604</v>
      </c>
      <c r="P114" s="3943" t="s">
        <v>10605</v>
      </c>
      <c r="Q114" s="3944" t="s">
        <v>10606</v>
      </c>
      <c r="R114" s="3945" t="s">
        <v>10607</v>
      </c>
      <c r="S114" s="3946" t="s">
        <v>10608</v>
      </c>
      <c r="V114" s="3947"/>
      <c r="W114" s="3093" t="s">
        <v>10609</v>
      </c>
      <c r="X114" s="3094" t="s">
        <v>10610</v>
      </c>
      <c r="Y114" s="3095">
        <v>35</v>
      </c>
      <c r="Z114" s="3096">
        <v>35</v>
      </c>
      <c r="AA114" s="3097">
        <v>142</v>
      </c>
      <c r="AB114"/>
      <c r="AC114" s="3948"/>
      <c r="AD114" s="3083" t="s">
        <v>10611</v>
      </c>
      <c r="AE114" s="3084" t="s">
        <v>10612</v>
      </c>
      <c r="AF114" s="3085">
        <v>189</v>
      </c>
      <c r="AG114" s="3086">
        <v>183</v>
      </c>
      <c r="AH114" s="3087">
        <v>107</v>
      </c>
      <c r="AI114"/>
      <c r="AJ114" s="3949"/>
      <c r="AK114" s="3089" t="s">
        <v>10613</v>
      </c>
      <c r="AL114" s="3084" t="s">
        <v>10614</v>
      </c>
      <c r="AM114" s="3085">
        <v>255</v>
      </c>
      <c r="AN114" s="3086">
        <v>218</v>
      </c>
      <c r="AO114" s="3087">
        <v>185</v>
      </c>
      <c r="AQ114" s="3">
        <v>1</v>
      </c>
    </row>
    <row r="115" spans="11:43" ht="21" customHeight="1">
      <c r="K115" s="3950" t="s">
        <v>10615</v>
      </c>
      <c r="L115" s="3951" t="s">
        <v>10616</v>
      </c>
      <c r="M115" s="3952" t="s">
        <v>10617</v>
      </c>
      <c r="N115" s="3953" t="s">
        <v>10618</v>
      </c>
      <c r="O115" s="3954" t="s">
        <v>10619</v>
      </c>
      <c r="P115" s="3955" t="s">
        <v>10620</v>
      </c>
      <c r="Q115" s="3956" t="s">
        <v>10621</v>
      </c>
      <c r="R115" s="3957" t="s">
        <v>10622</v>
      </c>
      <c r="S115" s="3958" t="s">
        <v>10623</v>
      </c>
      <c r="V115" s="3959"/>
      <c r="W115" s="3093" t="s">
        <v>10624</v>
      </c>
      <c r="X115" s="3094" t="s">
        <v>10625</v>
      </c>
      <c r="Y115" s="3095">
        <v>0</v>
      </c>
      <c r="Z115" s="3096">
        <v>0</v>
      </c>
      <c r="AA115" s="3097">
        <v>139</v>
      </c>
      <c r="AB115"/>
      <c r="AC115" s="3960"/>
      <c r="AD115" s="3148" t="s">
        <v>10626</v>
      </c>
      <c r="AE115" s="3084" t="s">
        <v>10627</v>
      </c>
      <c r="AF115" s="3085">
        <v>175</v>
      </c>
      <c r="AG115" s="3086">
        <v>167</v>
      </c>
      <c r="AH115" s="3087">
        <v>123</v>
      </c>
      <c r="AI115"/>
      <c r="AJ115" s="3961"/>
      <c r="AK115" s="3089" t="s">
        <v>10628</v>
      </c>
      <c r="AL115" s="3084" t="s">
        <v>10629</v>
      </c>
      <c r="AM115" s="3085">
        <v>238</v>
      </c>
      <c r="AN115" s="3086">
        <v>229</v>
      </c>
      <c r="AO115" s="3087">
        <v>222</v>
      </c>
      <c r="AQ115" s="3">
        <v>1</v>
      </c>
    </row>
    <row r="116" spans="11:43" ht="21" customHeight="1">
      <c r="K116" s="3962" t="s">
        <v>10630</v>
      </c>
      <c r="L116" s="3963" t="s">
        <v>10631</v>
      </c>
      <c r="M116" s="3964" t="s">
        <v>10632</v>
      </c>
      <c r="N116" s="3965" t="s">
        <v>10633</v>
      </c>
      <c r="O116" s="3966" t="s">
        <v>10634</v>
      </c>
      <c r="P116" s="3967" t="s">
        <v>10635</v>
      </c>
      <c r="Q116" s="3968" t="s">
        <v>10636</v>
      </c>
      <c r="R116" s="3969" t="s">
        <v>10637</v>
      </c>
      <c r="S116" s="3970" t="s">
        <v>10638</v>
      </c>
      <c r="V116" s="3971"/>
      <c r="W116" s="3093" t="s">
        <v>10639</v>
      </c>
      <c r="X116" s="3094" t="s">
        <v>10640</v>
      </c>
      <c r="Y116" s="3095">
        <v>36</v>
      </c>
      <c r="Z116" s="3096">
        <v>24</v>
      </c>
      <c r="AA116" s="3097">
        <v>130</v>
      </c>
      <c r="AB116"/>
      <c r="AC116" s="3972"/>
      <c r="AD116" s="3148" t="s">
        <v>10641</v>
      </c>
      <c r="AE116" s="3084" t="s">
        <v>10642</v>
      </c>
      <c r="AF116" s="3085">
        <v>185</v>
      </c>
      <c r="AG116" s="3086">
        <v>180</v>
      </c>
      <c r="AH116" s="3087">
        <v>89</v>
      </c>
      <c r="AI116"/>
      <c r="AJ116" s="3973"/>
      <c r="AK116" s="3089" t="s">
        <v>10643</v>
      </c>
      <c r="AL116" s="3084" t="s">
        <v>10644</v>
      </c>
      <c r="AM116" s="3085">
        <v>255</v>
      </c>
      <c r="AN116" s="3086">
        <v>245</v>
      </c>
      <c r="AO116" s="3087">
        <v>238</v>
      </c>
      <c r="AQ116" s="3">
        <v>1</v>
      </c>
    </row>
    <row r="117" spans="11:43" ht="21" customHeight="1">
      <c r="K117" s="3974" t="s">
        <v>10645</v>
      </c>
      <c r="L117" s="3975" t="s">
        <v>10646</v>
      </c>
      <c r="M117" s="3976" t="s">
        <v>10647</v>
      </c>
      <c r="N117" s="3977" t="s">
        <v>10648</v>
      </c>
      <c r="O117" s="3978" t="s">
        <v>10649</v>
      </c>
      <c r="P117" s="3979" t="s">
        <v>10650</v>
      </c>
      <c r="Q117" s="3980" t="s">
        <v>10651</v>
      </c>
      <c r="R117" s="3981" t="s">
        <v>10652</v>
      </c>
      <c r="S117" s="3982" t="s">
        <v>10653</v>
      </c>
      <c r="V117" s="3983"/>
      <c r="W117" s="3093" t="s">
        <v>10654</v>
      </c>
      <c r="X117" s="3094" t="s">
        <v>10655</v>
      </c>
      <c r="Y117" s="3095">
        <v>0</v>
      </c>
      <c r="Z117" s="3096">
        <v>0</v>
      </c>
      <c r="AA117" s="3097">
        <v>128</v>
      </c>
      <c r="AB117"/>
      <c r="AC117" s="3984"/>
      <c r="AD117" s="3148" t="s">
        <v>10656</v>
      </c>
      <c r="AE117" s="3084" t="s">
        <v>10657</v>
      </c>
      <c r="AF117" s="3085">
        <v>190</v>
      </c>
      <c r="AG117" s="3086">
        <v>183</v>
      </c>
      <c r="AH117" s="3087">
        <v>46</v>
      </c>
      <c r="AI117"/>
      <c r="AJ117" s="3985"/>
      <c r="AK117" s="3089" t="s">
        <v>10658</v>
      </c>
      <c r="AL117" s="3084" t="s">
        <v>10659</v>
      </c>
      <c r="AM117" s="3085">
        <v>238</v>
      </c>
      <c r="AN117" s="3086">
        <v>154</v>
      </c>
      <c r="AO117" s="3087">
        <v>73</v>
      </c>
      <c r="AQ117" s="3">
        <v>1</v>
      </c>
    </row>
    <row r="118" spans="11:43" ht="21" customHeight="1">
      <c r="K118" s="3986" t="s">
        <v>10660</v>
      </c>
      <c r="L118" s="3987" t="s">
        <v>10661</v>
      </c>
      <c r="M118" s="3988" t="s">
        <v>10662</v>
      </c>
      <c r="N118" s="3989" t="s">
        <v>10663</v>
      </c>
      <c r="O118" s="3990" t="s">
        <v>10664</v>
      </c>
      <c r="P118" s="3991" t="s">
        <v>10665</v>
      </c>
      <c r="Q118" s="3992" t="s">
        <v>10666</v>
      </c>
      <c r="R118" s="3993" t="s">
        <v>10667</v>
      </c>
      <c r="S118" s="3994" t="s">
        <v>10668</v>
      </c>
      <c r="V118" s="3995"/>
      <c r="W118" s="3093" t="s">
        <v>10669</v>
      </c>
      <c r="X118" s="3094" t="s">
        <v>10670</v>
      </c>
      <c r="Y118" s="3095">
        <v>66</v>
      </c>
      <c r="Z118" s="3096">
        <v>66</v>
      </c>
      <c r="AA118" s="3097">
        <v>111</v>
      </c>
      <c r="AB118"/>
      <c r="AC118" s="3996"/>
      <c r="AD118" s="3083" t="s">
        <v>10671</v>
      </c>
      <c r="AE118" s="3084" t="s">
        <v>10672</v>
      </c>
      <c r="AF118" s="3085">
        <v>181</v>
      </c>
      <c r="AG118" s="3086">
        <v>166</v>
      </c>
      <c r="AH118" s="3087">
        <v>66</v>
      </c>
      <c r="AI118"/>
      <c r="AJ118" s="3997"/>
      <c r="AK118" s="3089" t="s">
        <v>10673</v>
      </c>
      <c r="AL118" s="3084" t="s">
        <v>10674</v>
      </c>
      <c r="AM118" s="3085">
        <v>205</v>
      </c>
      <c r="AN118" s="3086">
        <v>175</v>
      </c>
      <c r="AO118" s="3087">
        <v>149</v>
      </c>
      <c r="AQ118" s="3">
        <v>1</v>
      </c>
    </row>
    <row r="119" spans="11:43" ht="21" customHeight="1">
      <c r="K119" s="3998" t="s">
        <v>10675</v>
      </c>
      <c r="L119" s="3999" t="s">
        <v>10676</v>
      </c>
      <c r="M119" s="4000" t="s">
        <v>10677</v>
      </c>
      <c r="N119" s="4001" t="s">
        <v>10678</v>
      </c>
      <c r="O119" s="4002" t="s">
        <v>10679</v>
      </c>
      <c r="P119" s="4003" t="s">
        <v>10680</v>
      </c>
      <c r="Q119" s="4004" t="s">
        <v>10681</v>
      </c>
      <c r="R119" s="4005" t="s">
        <v>10682</v>
      </c>
      <c r="S119" s="4006" t="s">
        <v>10683</v>
      </c>
      <c r="V119" s="4007"/>
      <c r="W119" s="3114" t="s">
        <v>10684</v>
      </c>
      <c r="X119" s="3094" t="s">
        <v>10685</v>
      </c>
      <c r="Y119" s="3095">
        <v>48</v>
      </c>
      <c r="Z119" s="3096">
        <v>38</v>
      </c>
      <c r="AA119" s="3097">
        <v>122</v>
      </c>
      <c r="AB119"/>
      <c r="AC119" s="4008"/>
      <c r="AD119" s="3083" t="s">
        <v>10686</v>
      </c>
      <c r="AE119" s="3084" t="s">
        <v>10687</v>
      </c>
      <c r="AF119" s="3085">
        <v>139</v>
      </c>
      <c r="AG119" s="3086">
        <v>136</v>
      </c>
      <c r="AH119" s="3087">
        <v>120</v>
      </c>
      <c r="AI119"/>
      <c r="AJ119" s="4009"/>
      <c r="AK119" s="3100" t="s">
        <v>10688</v>
      </c>
      <c r="AL119" s="3084" t="s">
        <v>10689</v>
      </c>
      <c r="AM119" s="3085">
        <v>246</v>
      </c>
      <c r="AN119" s="3086">
        <v>166</v>
      </c>
      <c r="AO119" s="3087">
        <v>0</v>
      </c>
      <c r="AQ119" s="3">
        <v>1</v>
      </c>
    </row>
    <row r="120" spans="11:43" ht="21" customHeight="1">
      <c r="K120" s="4010" t="s">
        <v>10690</v>
      </c>
      <c r="L120" s="4011" t="s">
        <v>10691</v>
      </c>
      <c r="M120" s="4012" t="s">
        <v>10692</v>
      </c>
      <c r="N120" s="4013" t="s">
        <v>10693</v>
      </c>
      <c r="O120" s="4014" t="s">
        <v>10694</v>
      </c>
      <c r="P120" s="4015" t="s">
        <v>10695</v>
      </c>
      <c r="Q120" s="4016" t="s">
        <v>10696</v>
      </c>
      <c r="R120" s="4017" t="s">
        <v>10697</v>
      </c>
      <c r="S120" s="4018" t="s">
        <v>10698</v>
      </c>
      <c r="V120" s="4019"/>
      <c r="W120" s="3114" t="s">
        <v>10699</v>
      </c>
      <c r="X120" s="3094" t="s">
        <v>10700</v>
      </c>
      <c r="Y120" s="3095">
        <v>33</v>
      </c>
      <c r="Z120" s="3096">
        <v>23</v>
      </c>
      <c r="AA120" s="3097">
        <v>125</v>
      </c>
      <c r="AB120"/>
      <c r="AC120" s="4020"/>
      <c r="AD120" s="3148" t="s">
        <v>10701</v>
      </c>
      <c r="AE120" s="3084" t="s">
        <v>10702</v>
      </c>
      <c r="AF120" s="3085">
        <v>138</v>
      </c>
      <c r="AG120" s="3086">
        <v>135</v>
      </c>
      <c r="AH120" s="3087">
        <v>118</v>
      </c>
      <c r="AI120"/>
      <c r="AJ120" s="4021"/>
      <c r="AK120" s="3100" t="s">
        <v>10703</v>
      </c>
      <c r="AL120" s="3084" t="s">
        <v>10704</v>
      </c>
      <c r="AM120" s="3085">
        <v>231</v>
      </c>
      <c r="AN120" s="3086">
        <v>168</v>
      </c>
      <c r="AO120" s="3087">
        <v>84</v>
      </c>
      <c r="AQ120" s="3">
        <v>1</v>
      </c>
    </row>
    <row r="121" spans="11:43" ht="21" customHeight="1">
      <c r="K121" s="4022" t="s">
        <v>10705</v>
      </c>
      <c r="L121" s="4023" t="s">
        <v>10706</v>
      </c>
      <c r="M121" s="4024" t="s">
        <v>10707</v>
      </c>
      <c r="N121" s="4025" t="s">
        <v>10708</v>
      </c>
      <c r="O121" s="4026" t="s">
        <v>10709</v>
      </c>
      <c r="P121" s="4027" t="s">
        <v>10710</v>
      </c>
      <c r="Q121" s="4028" t="s">
        <v>10711</v>
      </c>
      <c r="R121" s="4029" t="s">
        <v>10712</v>
      </c>
      <c r="S121" s="4030" t="s">
        <v>10713</v>
      </c>
      <c r="V121" s="4031"/>
      <c r="W121" s="3093" t="s">
        <v>10714</v>
      </c>
      <c r="X121" s="3094" t="s">
        <v>10715</v>
      </c>
      <c r="Y121" s="3095">
        <v>25</v>
      </c>
      <c r="Z121" s="3096">
        <v>25</v>
      </c>
      <c r="AA121" s="3097">
        <v>112</v>
      </c>
      <c r="AB121"/>
      <c r="AC121" s="4032"/>
      <c r="AD121" s="3083" t="s">
        <v>10716</v>
      </c>
      <c r="AE121" s="3084" t="s">
        <v>10717</v>
      </c>
      <c r="AF121" s="3085">
        <v>139</v>
      </c>
      <c r="AG121" s="3086">
        <v>137</v>
      </c>
      <c r="AH121" s="3087">
        <v>112</v>
      </c>
      <c r="AI121"/>
      <c r="AJ121" s="4033"/>
      <c r="AK121" s="3100" t="s">
        <v>10718</v>
      </c>
      <c r="AL121" s="3084" t="s">
        <v>10719</v>
      </c>
      <c r="AM121" s="3085">
        <v>194</v>
      </c>
      <c r="AN121" s="3086">
        <v>172</v>
      </c>
      <c r="AO121" s="3087">
        <v>153</v>
      </c>
      <c r="AQ121" s="3">
        <v>1</v>
      </c>
    </row>
    <row r="122" spans="11:43" ht="21" customHeight="1">
      <c r="K122" s="4034" t="s">
        <v>10720</v>
      </c>
      <c r="L122" s="4035" t="s">
        <v>10721</v>
      </c>
      <c r="M122" s="4036" t="s">
        <v>10722</v>
      </c>
      <c r="N122" s="4037" t="s">
        <v>10723</v>
      </c>
      <c r="O122" s="4038" t="s">
        <v>10724</v>
      </c>
      <c r="P122" s="4039" t="s">
        <v>10725</v>
      </c>
      <c r="Q122" s="4040" t="s">
        <v>10726</v>
      </c>
      <c r="R122" s="4041" t="s">
        <v>10727</v>
      </c>
      <c r="S122" s="4042" t="s">
        <v>10728</v>
      </c>
      <c r="V122" s="4043"/>
      <c r="W122" s="3114" t="s">
        <v>10729</v>
      </c>
      <c r="X122" s="3094" t="s">
        <v>10730</v>
      </c>
      <c r="Y122" s="3095">
        <v>15</v>
      </c>
      <c r="Z122" s="3096">
        <v>5</v>
      </c>
      <c r="AA122" s="3097">
        <v>107</v>
      </c>
      <c r="AB122"/>
      <c r="AC122" s="4044"/>
      <c r="AD122" s="3148" t="s">
        <v>10731</v>
      </c>
      <c r="AE122" s="3084" t="s">
        <v>10732</v>
      </c>
      <c r="AF122" s="3085">
        <v>140</v>
      </c>
      <c r="AG122" s="3086">
        <v>135</v>
      </c>
      <c r="AH122" s="3087">
        <v>103</v>
      </c>
      <c r="AI122"/>
      <c r="AJ122" s="4045"/>
      <c r="AK122" s="3089" t="s">
        <v>10733</v>
      </c>
      <c r="AL122" s="3084" t="s">
        <v>10734</v>
      </c>
      <c r="AM122" s="3085">
        <v>238</v>
      </c>
      <c r="AN122" s="3086">
        <v>154</v>
      </c>
      <c r="AO122" s="3087">
        <v>0</v>
      </c>
      <c r="AQ122" s="3">
        <v>1</v>
      </c>
    </row>
    <row r="123" spans="11:43" ht="21" customHeight="1">
      <c r="K123" s="4046" t="s">
        <v>10735</v>
      </c>
      <c r="L123" s="4047" t="s">
        <v>10736</v>
      </c>
      <c r="M123" s="4048" t="s">
        <v>10737</v>
      </c>
      <c r="N123" s="4049" t="s">
        <v>10738</v>
      </c>
      <c r="O123" s="4050" t="s">
        <v>10739</v>
      </c>
      <c r="P123" s="4051" t="s">
        <v>10740</v>
      </c>
      <c r="Q123" s="4052" t="s">
        <v>10741</v>
      </c>
      <c r="R123" s="4053" t="s">
        <v>10742</v>
      </c>
      <c r="S123" s="4054" t="s">
        <v>10743</v>
      </c>
      <c r="V123" s="4055"/>
      <c r="W123" s="3114" t="s">
        <v>10744</v>
      </c>
      <c r="X123" s="3094" t="s">
        <v>10745</v>
      </c>
      <c r="Y123" s="3095">
        <v>39</v>
      </c>
      <c r="Z123" s="3096">
        <v>36</v>
      </c>
      <c r="AA123" s="3097">
        <v>88</v>
      </c>
      <c r="AB123"/>
      <c r="AC123" s="4056"/>
      <c r="AD123" s="3083" t="s">
        <v>10746</v>
      </c>
      <c r="AE123" s="3084" t="s">
        <v>10747</v>
      </c>
      <c r="AF123" s="3085">
        <v>139</v>
      </c>
      <c r="AG123" s="3086">
        <v>134</v>
      </c>
      <c r="AH123" s="3087">
        <v>78</v>
      </c>
      <c r="AI123"/>
      <c r="AJ123" s="4057"/>
      <c r="AK123" s="3100" t="s">
        <v>10748</v>
      </c>
      <c r="AL123" s="3084" t="s">
        <v>10749</v>
      </c>
      <c r="AM123" s="3085">
        <v>234</v>
      </c>
      <c r="AN123" s="3086">
        <v>162</v>
      </c>
      <c r="AO123" s="3087">
        <v>33</v>
      </c>
      <c r="AQ123" s="3">
        <v>1</v>
      </c>
    </row>
    <row r="124" spans="11:43" ht="21" customHeight="1">
      <c r="K124" s="4058" t="s">
        <v>10750</v>
      </c>
      <c r="L124" s="4059" t="s">
        <v>10751</v>
      </c>
      <c r="M124" s="4060" t="s">
        <v>10752</v>
      </c>
      <c r="N124" s="4061" t="s">
        <v>10753</v>
      </c>
      <c r="O124" s="4062" t="s">
        <v>10754</v>
      </c>
      <c r="P124" s="4063" t="s">
        <v>10755</v>
      </c>
      <c r="Q124" s="4064" t="s">
        <v>10756</v>
      </c>
      <c r="R124" s="4065" t="s">
        <v>10757</v>
      </c>
      <c r="S124" s="4066" t="s">
        <v>10758</v>
      </c>
      <c r="V124" s="4067"/>
      <c r="W124" s="3093" t="s">
        <v>10759</v>
      </c>
      <c r="X124" s="3094" t="s">
        <v>10760</v>
      </c>
      <c r="Y124" s="3095">
        <v>47</v>
      </c>
      <c r="Z124" s="3096">
        <v>47</v>
      </c>
      <c r="AA124" s="3097">
        <v>79</v>
      </c>
      <c r="AB124"/>
      <c r="AC124" s="4068"/>
      <c r="AD124" s="3083" t="s">
        <v>10761</v>
      </c>
      <c r="AE124" s="3084" t="s">
        <v>10762</v>
      </c>
      <c r="AF124" s="3085">
        <v>139</v>
      </c>
      <c r="AG124" s="3086">
        <v>129</v>
      </c>
      <c r="AH124" s="3087">
        <v>76</v>
      </c>
      <c r="AI124"/>
      <c r="AJ124" s="4069"/>
      <c r="AK124" s="3100" t="s">
        <v>10763</v>
      </c>
      <c r="AL124" s="3084" t="s">
        <v>10764</v>
      </c>
      <c r="AM124" s="3085">
        <v>221</v>
      </c>
      <c r="AN124" s="3086">
        <v>152</v>
      </c>
      <c r="AO124" s="3087">
        <v>92</v>
      </c>
      <c r="AQ124" s="3">
        <v>1</v>
      </c>
    </row>
    <row r="125" spans="11:43" ht="21" customHeight="1">
      <c r="K125" s="4070" t="s">
        <v>10765</v>
      </c>
      <c r="L125" s="4071" t="s">
        <v>10766</v>
      </c>
      <c r="M125" s="4072" t="s">
        <v>10767</v>
      </c>
      <c r="N125" s="4073" t="s">
        <v>10768</v>
      </c>
      <c r="O125" s="4074" t="s">
        <v>10769</v>
      </c>
      <c r="P125" s="4075" t="s">
        <v>10770</v>
      </c>
      <c r="Q125" s="4076" t="s">
        <v>10771</v>
      </c>
      <c r="R125" s="4077" t="s">
        <v>10772</v>
      </c>
      <c r="S125" s="4078" t="s">
        <v>10773</v>
      </c>
      <c r="V125" s="4079"/>
      <c r="W125" s="3114" t="s">
        <v>10774</v>
      </c>
      <c r="X125" s="3094" t="s">
        <v>10775</v>
      </c>
      <c r="Y125" s="3095">
        <v>37</v>
      </c>
      <c r="Z125" s="3096">
        <v>36</v>
      </c>
      <c r="AA125" s="3097">
        <v>64</v>
      </c>
      <c r="AB125"/>
      <c r="AC125" s="4080"/>
      <c r="AD125" s="3148" t="s">
        <v>10776</v>
      </c>
      <c r="AE125" s="3084" t="s">
        <v>10777</v>
      </c>
      <c r="AF125" s="3085">
        <v>155</v>
      </c>
      <c r="AG125" s="3086">
        <v>148</v>
      </c>
      <c r="AH125" s="3087">
        <v>0</v>
      </c>
      <c r="AI125"/>
      <c r="AJ125" s="4081"/>
      <c r="AK125" s="3100" t="s">
        <v>10778</v>
      </c>
      <c r="AL125" s="3084" t="s">
        <v>10779</v>
      </c>
      <c r="AM125" s="3085">
        <v>222</v>
      </c>
      <c r="AN125" s="3086">
        <v>152</v>
      </c>
      <c r="AO125" s="3087">
        <v>22</v>
      </c>
      <c r="AQ125" s="3">
        <v>1</v>
      </c>
    </row>
    <row r="126" spans="11:43" ht="21" customHeight="1">
      <c r="K126" s="4082" t="s">
        <v>10780</v>
      </c>
      <c r="L126" s="4083" t="s">
        <v>10781</v>
      </c>
      <c r="M126" s="4084" t="s">
        <v>10782</v>
      </c>
      <c r="N126" s="4085" t="s">
        <v>10783</v>
      </c>
      <c r="O126" s="4086" t="s">
        <v>10784</v>
      </c>
      <c r="P126" s="4087" t="s">
        <v>10785</v>
      </c>
      <c r="Q126" s="4088" t="s">
        <v>10786</v>
      </c>
      <c r="R126" s="4089" t="s">
        <v>10787</v>
      </c>
      <c r="S126" s="4090" t="s">
        <v>10788</v>
      </c>
      <c r="V126" s="4091"/>
      <c r="W126" s="3114" t="s">
        <v>10789</v>
      </c>
      <c r="X126" s="3094" t="s">
        <v>10790</v>
      </c>
      <c r="Y126" s="3095">
        <v>0</v>
      </c>
      <c r="Z126" s="3096">
        <v>0</v>
      </c>
      <c r="AA126" s="3097">
        <v>16</v>
      </c>
      <c r="AB126"/>
      <c r="AC126" s="4092"/>
      <c r="AD126" s="3148" t="s">
        <v>10791</v>
      </c>
      <c r="AE126" s="3084" t="s">
        <v>10792</v>
      </c>
      <c r="AF126" s="3085">
        <v>134</v>
      </c>
      <c r="AG126" s="3086">
        <v>126</v>
      </c>
      <c r="AH126" s="3087">
        <v>54</v>
      </c>
      <c r="AI126"/>
      <c r="AJ126" s="4093"/>
      <c r="AK126" s="3089" t="s">
        <v>10793</v>
      </c>
      <c r="AL126" s="3084" t="s">
        <v>10794</v>
      </c>
      <c r="AM126" s="3085">
        <v>217</v>
      </c>
      <c r="AN126" s="3086">
        <v>135</v>
      </c>
      <c r="AO126" s="3087">
        <v>25</v>
      </c>
      <c r="AQ126" s="3">
        <v>1</v>
      </c>
    </row>
    <row r="127" spans="11:43" ht="21" customHeight="1">
      <c r="K127" s="4094" t="s">
        <v>10795</v>
      </c>
      <c r="L127" s="4095" t="s">
        <v>10796</v>
      </c>
      <c r="M127" s="4096" t="s">
        <v>10797</v>
      </c>
      <c r="N127" s="4097" t="s">
        <v>10798</v>
      </c>
      <c r="O127" s="4098" t="s">
        <v>10799</v>
      </c>
      <c r="P127" s="4099" t="s">
        <v>10800</v>
      </c>
      <c r="Q127" s="4100" t="s">
        <v>10801</v>
      </c>
      <c r="R127" s="4101" t="s">
        <v>10802</v>
      </c>
      <c r="S127" s="4102" t="s">
        <v>10803</v>
      </c>
      <c r="V127" s="4103"/>
      <c r="W127" s="3114" t="s">
        <v>10804</v>
      </c>
      <c r="X127" s="3094" t="s">
        <v>10805</v>
      </c>
      <c r="Y127" s="3095">
        <v>44</v>
      </c>
      <c r="Z127" s="3096">
        <v>117</v>
      </c>
      <c r="AA127" s="3097">
        <v>255</v>
      </c>
      <c r="AB127"/>
      <c r="AC127" s="4104"/>
      <c r="AD127" s="3148" t="s">
        <v>10806</v>
      </c>
      <c r="AE127" s="3084" t="s">
        <v>10807</v>
      </c>
      <c r="AF127" s="3085">
        <v>87</v>
      </c>
      <c r="AG127" s="3086">
        <v>85</v>
      </c>
      <c r="AH127" s="3087">
        <v>76</v>
      </c>
      <c r="AI127"/>
      <c r="AJ127" s="4105"/>
      <c r="AK127" s="3100" t="s">
        <v>10808</v>
      </c>
      <c r="AL127" s="3084" t="s">
        <v>10809</v>
      </c>
      <c r="AM127" s="3085">
        <v>205</v>
      </c>
      <c r="AN127" s="3086">
        <v>133</v>
      </c>
      <c r="AO127" s="3087">
        <v>63</v>
      </c>
      <c r="AQ127" s="3">
        <v>1</v>
      </c>
    </row>
    <row r="128" spans="11:43" ht="21" customHeight="1">
      <c r="K128" s="4106" t="s">
        <v>10810</v>
      </c>
      <c r="L128" s="4107" t="s">
        <v>10811</v>
      </c>
      <c r="M128" s="4108" t="s">
        <v>10812</v>
      </c>
      <c r="N128" s="4109" t="s">
        <v>10813</v>
      </c>
      <c r="O128" s="4110" t="s">
        <v>10814</v>
      </c>
      <c r="P128" s="4111" t="s">
        <v>10815</v>
      </c>
      <c r="Q128" s="4112" t="s">
        <v>10816</v>
      </c>
      <c r="R128" s="4113" t="s">
        <v>10817</v>
      </c>
      <c r="S128" s="4114" t="s">
        <v>10818</v>
      </c>
      <c r="V128" s="4115"/>
      <c r="W128" s="3093" t="s">
        <v>10819</v>
      </c>
      <c r="X128" s="3094" t="s">
        <v>10820</v>
      </c>
      <c r="Y128" s="3095">
        <v>72</v>
      </c>
      <c r="Z128" s="3096">
        <v>118</v>
      </c>
      <c r="AA128" s="3097">
        <v>255</v>
      </c>
      <c r="AB128"/>
      <c r="AC128" s="4116"/>
      <c r="AD128" s="3148" t="s">
        <v>10821</v>
      </c>
      <c r="AE128" s="3084" t="s">
        <v>10822</v>
      </c>
      <c r="AF128" s="3085">
        <v>91</v>
      </c>
      <c r="AG128" s="3086">
        <v>88</v>
      </c>
      <c r="AH128" s="3087">
        <v>66</v>
      </c>
      <c r="AI128"/>
      <c r="AJ128" s="4117"/>
      <c r="AK128" s="3089" t="s">
        <v>10823</v>
      </c>
      <c r="AL128" s="3084" t="s">
        <v>10824</v>
      </c>
      <c r="AM128" s="3085">
        <v>205</v>
      </c>
      <c r="AN128" s="3086">
        <v>133</v>
      </c>
      <c r="AO128" s="3087">
        <v>0</v>
      </c>
      <c r="AQ128" s="3">
        <v>1</v>
      </c>
    </row>
    <row r="129" spans="11:43" ht="21" customHeight="1">
      <c r="K129" s="4118" t="s">
        <v>10825</v>
      </c>
      <c r="L129" s="4119" t="s">
        <v>10826</v>
      </c>
      <c r="M129" s="4120" t="s">
        <v>10827</v>
      </c>
      <c r="N129" s="4121" t="s">
        <v>10828</v>
      </c>
      <c r="O129" s="4122" t="s">
        <v>10829</v>
      </c>
      <c r="P129" s="4123" t="s">
        <v>10830</v>
      </c>
      <c r="Q129" s="4124" t="s">
        <v>10831</v>
      </c>
      <c r="R129" s="4125" t="s">
        <v>10832</v>
      </c>
      <c r="S129" s="4126" t="s">
        <v>10833</v>
      </c>
      <c r="V129" s="4127"/>
      <c r="W129" s="3114" t="s">
        <v>10834</v>
      </c>
      <c r="X129" s="3094" t="s">
        <v>10835</v>
      </c>
      <c r="Y129" s="3095">
        <v>179</v>
      </c>
      <c r="Z129" s="3096">
        <v>188</v>
      </c>
      <c r="AA129" s="3097">
        <v>226</v>
      </c>
      <c r="AB129"/>
      <c r="AC129" s="4128"/>
      <c r="AD129" s="3148" t="s">
        <v>10836</v>
      </c>
      <c r="AE129" s="3084" t="s">
        <v>10837</v>
      </c>
      <c r="AF129" s="3085">
        <v>102</v>
      </c>
      <c r="AG129" s="3086">
        <v>93</v>
      </c>
      <c r="AH129" s="3087">
        <v>30</v>
      </c>
      <c r="AI129"/>
      <c r="AJ129" s="4129"/>
      <c r="AK129" s="3100" t="s">
        <v>10838</v>
      </c>
      <c r="AL129" s="3084" t="s">
        <v>10839</v>
      </c>
      <c r="AM129" s="3085">
        <v>201</v>
      </c>
      <c r="AN129" s="3086">
        <v>133</v>
      </c>
      <c r="AO129" s="3087">
        <v>0</v>
      </c>
      <c r="AQ129" s="3">
        <v>1</v>
      </c>
    </row>
    <row r="130" spans="11:43" ht="21" customHeight="1">
      <c r="K130" s="4130" t="s">
        <v>10840</v>
      </c>
      <c r="L130" s="4131" t="s">
        <v>10841</v>
      </c>
      <c r="M130" s="4132" t="s">
        <v>10842</v>
      </c>
      <c r="N130" s="4133" t="s">
        <v>10843</v>
      </c>
      <c r="O130" s="4134" t="s">
        <v>10844</v>
      </c>
      <c r="P130" s="4135" t="s">
        <v>10845</v>
      </c>
      <c r="Q130" s="4136" t="s">
        <v>10846</v>
      </c>
      <c r="R130" s="4137" t="s">
        <v>10847</v>
      </c>
      <c r="S130" s="4138" t="s">
        <v>10848</v>
      </c>
      <c r="V130" s="4139"/>
      <c r="W130" s="3093" t="s">
        <v>10849</v>
      </c>
      <c r="X130" s="3094" t="s">
        <v>10850</v>
      </c>
      <c r="Y130" s="3095">
        <v>230</v>
      </c>
      <c r="Z130" s="3096">
        <v>232</v>
      </c>
      <c r="AA130" s="3097">
        <v>250</v>
      </c>
      <c r="AB130"/>
      <c r="AC130" s="4140"/>
      <c r="AD130" s="3148" t="s">
        <v>10851</v>
      </c>
      <c r="AE130" s="3084" t="s">
        <v>10852</v>
      </c>
      <c r="AF130" s="3085">
        <v>64</v>
      </c>
      <c r="AG130" s="3086">
        <v>61</v>
      </c>
      <c r="AH130" s="3087">
        <v>33</v>
      </c>
      <c r="AI130"/>
      <c r="AJ130" s="4141"/>
      <c r="AK130" s="3100" t="s">
        <v>10853</v>
      </c>
      <c r="AL130" s="3084" t="s">
        <v>10854</v>
      </c>
      <c r="AM130" s="3085">
        <v>174</v>
      </c>
      <c r="AN130" s="3086">
        <v>137</v>
      </c>
      <c r="AO130" s="3087">
        <v>100</v>
      </c>
      <c r="AQ130" s="3">
        <v>1</v>
      </c>
    </row>
    <row r="131" spans="11:43" ht="21" customHeight="1">
      <c r="K131" s="4142" t="s">
        <v>10855</v>
      </c>
      <c r="L131" s="4143" t="s">
        <v>10856</v>
      </c>
      <c r="M131" s="4144" t="s">
        <v>10857</v>
      </c>
      <c r="N131" s="4145" t="s">
        <v>10858</v>
      </c>
      <c r="O131" s="4146" t="s">
        <v>10859</v>
      </c>
      <c r="P131" s="4147" t="s">
        <v>10860</v>
      </c>
      <c r="Q131" s="4148" t="s">
        <v>10861</v>
      </c>
      <c r="R131" s="4149" t="s">
        <v>10862</v>
      </c>
      <c r="S131" s="4150" t="s">
        <v>10863</v>
      </c>
      <c r="V131" s="4151"/>
      <c r="W131" s="3093" t="s">
        <v>10864</v>
      </c>
      <c r="X131" s="3094" t="s">
        <v>10865</v>
      </c>
      <c r="Y131" s="3095">
        <v>67</v>
      </c>
      <c r="Z131" s="3096">
        <v>110</v>
      </c>
      <c r="AA131" s="3097">
        <v>238</v>
      </c>
      <c r="AB131"/>
      <c r="AC131" s="4152"/>
      <c r="AD131" s="3148" t="s">
        <v>10866</v>
      </c>
      <c r="AE131" s="3084" t="s">
        <v>10867</v>
      </c>
      <c r="AF131" s="3085">
        <v>54</v>
      </c>
      <c r="AG131" s="3086">
        <v>53</v>
      </c>
      <c r="AH131" s="3087">
        <v>39</v>
      </c>
      <c r="AI131"/>
      <c r="AJ131" s="4153"/>
      <c r="AK131" s="3089" t="s">
        <v>10868</v>
      </c>
      <c r="AL131" s="3084" t="s">
        <v>10869</v>
      </c>
      <c r="AM131" s="3085">
        <v>166</v>
      </c>
      <c r="AN131" s="3086">
        <v>128</v>
      </c>
      <c r="AO131" s="3087">
        <v>100</v>
      </c>
      <c r="AQ131" s="3">
        <v>1</v>
      </c>
    </row>
    <row r="132" spans="11:43" ht="21" customHeight="1">
      <c r="K132" s="4154" t="s">
        <v>10870</v>
      </c>
      <c r="L132" s="4155" t="s">
        <v>10871</v>
      </c>
      <c r="M132" s="4156" t="s">
        <v>10872</v>
      </c>
      <c r="N132" s="4157" t="s">
        <v>10873</v>
      </c>
      <c r="O132" s="4158" t="s">
        <v>10874</v>
      </c>
      <c r="P132" s="4159" t="s">
        <v>10875</v>
      </c>
      <c r="Q132" s="4160" t="s">
        <v>10876</v>
      </c>
      <c r="R132" s="4161" t="s">
        <v>10877</v>
      </c>
      <c r="S132" s="4162" t="s">
        <v>10878</v>
      </c>
      <c r="V132" s="4163"/>
      <c r="W132" s="3093" t="s">
        <v>10879</v>
      </c>
      <c r="X132" s="3094" t="s">
        <v>10880</v>
      </c>
      <c r="Y132" s="3095">
        <v>65</v>
      </c>
      <c r="Z132" s="3096">
        <v>105</v>
      </c>
      <c r="AA132" s="3097">
        <v>225</v>
      </c>
      <c r="AB132"/>
      <c r="AC132" s="4164"/>
      <c r="AD132" s="3148" t="s">
        <v>10881</v>
      </c>
      <c r="AE132" s="3084" t="s">
        <v>10882</v>
      </c>
      <c r="AF132" s="3085">
        <v>37</v>
      </c>
      <c r="AG132" s="3086">
        <v>36</v>
      </c>
      <c r="AH132" s="3087">
        <v>29</v>
      </c>
      <c r="AI132"/>
      <c r="AJ132" s="4165"/>
      <c r="AK132" s="3100" t="s">
        <v>10808</v>
      </c>
      <c r="AL132" s="3084" t="s">
        <v>10883</v>
      </c>
      <c r="AM132" s="3085">
        <v>166</v>
      </c>
      <c r="AN132" s="3086">
        <v>123</v>
      </c>
      <c r="AO132" s="3087">
        <v>91</v>
      </c>
      <c r="AQ132" s="3">
        <v>1</v>
      </c>
    </row>
    <row r="133" spans="11:43" ht="21" customHeight="1">
      <c r="K133" s="4166" t="s">
        <v>10884</v>
      </c>
      <c r="L133" s="4167" t="s">
        <v>10885</v>
      </c>
      <c r="M133" s="4168" t="s">
        <v>10886</v>
      </c>
      <c r="N133" s="4169" t="s">
        <v>10887</v>
      </c>
      <c r="O133" s="4170" t="s">
        <v>10888</v>
      </c>
      <c r="P133" s="4171" t="s">
        <v>10889</v>
      </c>
      <c r="Q133" s="4172" t="s">
        <v>10890</v>
      </c>
      <c r="R133" s="4173" t="s">
        <v>10891</v>
      </c>
      <c r="S133" s="4174" t="s">
        <v>10892</v>
      </c>
      <c r="V133" s="4175"/>
      <c r="W133" s="3114" t="s">
        <v>10893</v>
      </c>
      <c r="X133" s="3094" t="s">
        <v>10894</v>
      </c>
      <c r="Y133" s="3095">
        <v>135</v>
      </c>
      <c r="Z133" s="3096">
        <v>145</v>
      </c>
      <c r="AA133" s="3097">
        <v>191</v>
      </c>
      <c r="AB133"/>
      <c r="AC133" s="4176"/>
      <c r="AD133" s="3148" t="s">
        <v>10895</v>
      </c>
      <c r="AE133" s="3084" t="s">
        <v>10896</v>
      </c>
      <c r="AF133" s="3085">
        <v>255</v>
      </c>
      <c r="AG133" s="3086">
        <v>0</v>
      </c>
      <c r="AH133" s="3087">
        <v>255</v>
      </c>
      <c r="AI133"/>
      <c r="AJ133" s="4177"/>
      <c r="AK133" s="3089" t="s">
        <v>10897</v>
      </c>
      <c r="AL133" s="3084" t="s">
        <v>10898</v>
      </c>
      <c r="AM133" s="3085">
        <v>139</v>
      </c>
      <c r="AN133" s="3086">
        <v>134</v>
      </c>
      <c r="AO133" s="3087">
        <v>130</v>
      </c>
      <c r="AQ133" s="3">
        <v>1</v>
      </c>
    </row>
    <row r="134" spans="11:43" ht="21" customHeight="1">
      <c r="K134" s="4178" t="s">
        <v>10899</v>
      </c>
      <c r="L134" s="4179" t="s">
        <v>10900</v>
      </c>
      <c r="M134" s="4180" t="s">
        <v>10901</v>
      </c>
      <c r="N134" s="4181" t="s">
        <v>10902</v>
      </c>
      <c r="O134" s="4182" t="s">
        <v>10903</v>
      </c>
      <c r="P134" s="4183" t="s">
        <v>10904</v>
      </c>
      <c r="Q134" s="4184" t="s">
        <v>10905</v>
      </c>
      <c r="R134" s="4185" t="s">
        <v>10906</v>
      </c>
      <c r="S134" s="4186" t="s">
        <v>10907</v>
      </c>
      <c r="V134" s="4187"/>
      <c r="W134" s="3114" t="s">
        <v>10908</v>
      </c>
      <c r="X134" s="3094" t="s">
        <v>10909</v>
      </c>
      <c r="Y134" s="3095">
        <v>140</v>
      </c>
      <c r="Z134" s="3096">
        <v>146</v>
      </c>
      <c r="AA134" s="3097">
        <v>172</v>
      </c>
      <c r="AB134"/>
      <c r="AC134" s="4188"/>
      <c r="AD134" s="3083" t="s">
        <v>10910</v>
      </c>
      <c r="AE134" s="3084" t="s">
        <v>10911</v>
      </c>
      <c r="AF134" s="3085">
        <v>238</v>
      </c>
      <c r="AG134" s="3086">
        <v>122</v>
      </c>
      <c r="AH134" s="3087">
        <v>233</v>
      </c>
      <c r="AI134"/>
      <c r="AJ134" s="4189"/>
      <c r="AK134" s="3100" t="s">
        <v>10912</v>
      </c>
      <c r="AL134" s="3084" t="s">
        <v>10913</v>
      </c>
      <c r="AM134" s="3085">
        <v>182</v>
      </c>
      <c r="AN134" s="3086">
        <v>120</v>
      </c>
      <c r="AO134" s="3087">
        <v>35</v>
      </c>
      <c r="AQ134" s="3">
        <v>1</v>
      </c>
    </row>
    <row r="135" spans="11:43" ht="21" customHeight="1">
      <c r="K135" s="4190" t="s">
        <v>10914</v>
      </c>
      <c r="L135" s="4191" t="s">
        <v>10915</v>
      </c>
      <c r="M135" s="4192" t="s">
        <v>10916</v>
      </c>
      <c r="N135" s="4193" t="s">
        <v>10917</v>
      </c>
      <c r="O135" s="4194" t="s">
        <v>10918</v>
      </c>
      <c r="P135" s="4195" t="s">
        <v>10919</v>
      </c>
      <c r="Q135" s="4196" t="s">
        <v>10920</v>
      </c>
      <c r="R135" s="4197" t="s">
        <v>10921</v>
      </c>
      <c r="S135" s="4198" t="s">
        <v>10922</v>
      </c>
      <c r="V135" s="4199"/>
      <c r="W135" s="3093" t="s">
        <v>10923</v>
      </c>
      <c r="X135" s="3094" t="s">
        <v>10924</v>
      </c>
      <c r="Y135" s="3095">
        <v>58</v>
      </c>
      <c r="Z135" s="3096">
        <v>95</v>
      </c>
      <c r="AA135" s="3097">
        <v>205</v>
      </c>
      <c r="AB135"/>
      <c r="AC135" s="4200"/>
      <c r="AD135" s="3083" t="s">
        <v>10925</v>
      </c>
      <c r="AE135" s="3084" t="s">
        <v>10926</v>
      </c>
      <c r="AF135" s="3085">
        <v>238</v>
      </c>
      <c r="AG135" s="3086">
        <v>130</v>
      </c>
      <c r="AH135" s="3087">
        <v>238</v>
      </c>
      <c r="AI135"/>
      <c r="AJ135" s="4201"/>
      <c r="AK135" s="3100" t="s">
        <v>10927</v>
      </c>
      <c r="AL135" s="3084" t="s">
        <v>10928</v>
      </c>
      <c r="AM135" s="3085">
        <v>149</v>
      </c>
      <c r="AN135" s="3086">
        <v>128</v>
      </c>
      <c r="AO135" s="3087">
        <v>112</v>
      </c>
      <c r="AQ135" s="3">
        <v>1</v>
      </c>
    </row>
    <row r="136" spans="11:43" ht="21" customHeight="1">
      <c r="K136" s="4202" t="s">
        <v>10929</v>
      </c>
      <c r="L136" s="4203" t="s">
        <v>10930</v>
      </c>
      <c r="M136" s="4204" t="s">
        <v>10931</v>
      </c>
      <c r="N136" s="4205" t="s">
        <v>10932</v>
      </c>
      <c r="O136" s="4206" t="s">
        <v>10933</v>
      </c>
      <c r="P136" s="4207" t="s">
        <v>10934</v>
      </c>
      <c r="Q136" s="4208" t="s">
        <v>10935</v>
      </c>
      <c r="R136" s="4209" t="s">
        <v>10936</v>
      </c>
      <c r="S136" s="4210" t="s">
        <v>10937</v>
      </c>
      <c r="V136" s="4211"/>
      <c r="W136" s="3114" t="s">
        <v>10938</v>
      </c>
      <c r="X136" s="3094" t="s">
        <v>10939</v>
      </c>
      <c r="Y136" s="3095">
        <v>108</v>
      </c>
      <c r="Z136" s="3096">
        <v>121</v>
      </c>
      <c r="AA136" s="3097">
        <v>184</v>
      </c>
      <c r="AB136"/>
      <c r="AC136" s="4212"/>
      <c r="AD136" s="3083" t="s">
        <v>10940</v>
      </c>
      <c r="AE136" s="3084" t="s">
        <v>10941</v>
      </c>
      <c r="AF136" s="3085">
        <v>205</v>
      </c>
      <c r="AG136" s="3086">
        <v>181</v>
      </c>
      <c r="AH136" s="3087">
        <v>205</v>
      </c>
      <c r="AI136"/>
      <c r="AJ136" s="4213"/>
      <c r="AK136" s="3100" t="s">
        <v>10942</v>
      </c>
      <c r="AL136" s="3084" t="s">
        <v>10943</v>
      </c>
      <c r="AM136" s="3085">
        <v>142</v>
      </c>
      <c r="AN136" s="3086">
        <v>130</v>
      </c>
      <c r="AO136" s="3087">
        <v>121</v>
      </c>
      <c r="AQ136" s="3">
        <v>1</v>
      </c>
    </row>
    <row r="137" spans="11:43" ht="21" customHeight="1">
      <c r="V137" s="4214"/>
      <c r="W137" s="3093" t="s">
        <v>10944</v>
      </c>
      <c r="X137" s="3094" t="s">
        <v>10945</v>
      </c>
      <c r="Y137" s="3095">
        <v>65</v>
      </c>
      <c r="Z137" s="3096">
        <v>86</v>
      </c>
      <c r="AA137" s="3097">
        <v>197</v>
      </c>
      <c r="AB137"/>
      <c r="AC137" s="4215"/>
      <c r="AD137" s="3083" t="s">
        <v>10946</v>
      </c>
      <c r="AE137" s="3084" t="s">
        <v>10947</v>
      </c>
      <c r="AF137" s="3085">
        <v>221</v>
      </c>
      <c r="AG137" s="3086">
        <v>160</v>
      </c>
      <c r="AH137" s="3087">
        <v>221</v>
      </c>
      <c r="AI137"/>
      <c r="AJ137" s="4216"/>
      <c r="AK137" s="3089" t="s">
        <v>10948</v>
      </c>
      <c r="AL137" s="3084" t="s">
        <v>10949</v>
      </c>
      <c r="AM137" s="3085">
        <v>139</v>
      </c>
      <c r="AN137" s="3086">
        <v>119</v>
      </c>
      <c r="AO137" s="3087">
        <v>101</v>
      </c>
      <c r="AQ137" s="3">
        <v>1</v>
      </c>
    </row>
    <row r="138" spans="11:43" ht="21" customHeight="1">
      <c r="V138" s="4217"/>
      <c r="W138" s="3114" t="s">
        <v>10950</v>
      </c>
      <c r="X138" s="3094" t="s">
        <v>10951</v>
      </c>
      <c r="Y138" s="3095">
        <v>104</v>
      </c>
      <c r="Z138" s="3096">
        <v>111</v>
      </c>
      <c r="AA138" s="3097">
        <v>140</v>
      </c>
      <c r="AB138"/>
      <c r="AC138" s="4218"/>
      <c r="AD138" s="3083" t="s">
        <v>10952</v>
      </c>
      <c r="AE138" s="3084" t="s">
        <v>10953</v>
      </c>
      <c r="AF138" s="3085">
        <v>216</v>
      </c>
      <c r="AG138" s="3086">
        <v>191</v>
      </c>
      <c r="AH138" s="3087">
        <v>216</v>
      </c>
      <c r="AI138"/>
      <c r="AJ138" s="4219"/>
      <c r="AK138" s="3100" t="s">
        <v>10954</v>
      </c>
      <c r="AL138" s="3084" t="s">
        <v>10955</v>
      </c>
      <c r="AM138" s="3085">
        <v>153</v>
      </c>
      <c r="AN138" s="3086">
        <v>101</v>
      </c>
      <c r="AO138" s="3087">
        <v>21</v>
      </c>
      <c r="AQ138" s="3">
        <v>1</v>
      </c>
    </row>
    <row r="139" spans="11:43" ht="21" customHeight="1">
      <c r="V139" s="4220"/>
      <c r="W139" s="3114" t="s">
        <v>10956</v>
      </c>
      <c r="X139" s="3094" t="s">
        <v>10957</v>
      </c>
      <c r="Y139" s="3095">
        <v>0</v>
      </c>
      <c r="Z139" s="3096">
        <v>51</v>
      </c>
      <c r="AA139" s="3097">
        <v>153</v>
      </c>
      <c r="AB139"/>
      <c r="AC139" s="4221"/>
      <c r="AD139" s="3083" t="s">
        <v>10958</v>
      </c>
      <c r="AE139" s="3084" t="s">
        <v>10959</v>
      </c>
      <c r="AF139" s="3085">
        <v>255</v>
      </c>
      <c r="AG139" s="3086">
        <v>131</v>
      </c>
      <c r="AH139" s="3087">
        <v>250</v>
      </c>
      <c r="AI139"/>
      <c r="AJ139" s="4222"/>
      <c r="AK139" s="3100" t="s">
        <v>10960</v>
      </c>
      <c r="AL139" s="3084" t="s">
        <v>10961</v>
      </c>
      <c r="AM139" s="3085">
        <v>143</v>
      </c>
      <c r="AN139" s="3086">
        <v>89</v>
      </c>
      <c r="AO139" s="3087">
        <v>34</v>
      </c>
      <c r="AQ139" s="3">
        <v>1</v>
      </c>
    </row>
    <row r="140" spans="11:43" ht="21" customHeight="1">
      <c r="V140" s="4223"/>
      <c r="W140" s="3093" t="s">
        <v>10962</v>
      </c>
      <c r="X140" s="3094" t="s">
        <v>10963</v>
      </c>
      <c r="Y140" s="3095">
        <v>39</v>
      </c>
      <c r="Z140" s="3096">
        <v>64</v>
      </c>
      <c r="AA140" s="3097">
        <v>139</v>
      </c>
      <c r="AB140"/>
      <c r="AC140" s="4224"/>
      <c r="AD140" s="3083" t="s">
        <v>10964</v>
      </c>
      <c r="AE140" s="3084" t="s">
        <v>10965</v>
      </c>
      <c r="AF140" s="3085">
        <v>234</v>
      </c>
      <c r="AG140" s="3086">
        <v>173</v>
      </c>
      <c r="AH140" s="3087">
        <v>234</v>
      </c>
      <c r="AI140"/>
      <c r="AJ140" s="4225"/>
      <c r="AK140" s="3089" t="s">
        <v>10966</v>
      </c>
      <c r="AL140" s="3084" t="s">
        <v>10967</v>
      </c>
      <c r="AM140" s="3085">
        <v>139</v>
      </c>
      <c r="AN140" s="3086">
        <v>90</v>
      </c>
      <c r="AO140" s="3087">
        <v>43</v>
      </c>
      <c r="AQ140" s="3">
        <v>1</v>
      </c>
    </row>
    <row r="141" spans="11:43" ht="21" customHeight="1">
      <c r="V141" s="4226"/>
      <c r="W141" s="3114" t="s">
        <v>10968</v>
      </c>
      <c r="X141" s="3094" t="s">
        <v>10969</v>
      </c>
      <c r="Y141" s="3095">
        <v>76</v>
      </c>
      <c r="Z141" s="3096">
        <v>81</v>
      </c>
      <c r="AA141" s="3097">
        <v>109</v>
      </c>
      <c r="AB141"/>
      <c r="AC141" s="4227"/>
      <c r="AD141" s="3083" t="s">
        <v>10970</v>
      </c>
      <c r="AE141" s="3084" t="s">
        <v>10971</v>
      </c>
      <c r="AF141" s="3085">
        <v>238</v>
      </c>
      <c r="AG141" s="3086">
        <v>174</v>
      </c>
      <c r="AH141" s="3087">
        <v>238</v>
      </c>
      <c r="AI141"/>
      <c r="AJ141" s="4228"/>
      <c r="AK141" s="3089" t="s">
        <v>10972</v>
      </c>
      <c r="AL141" s="3084" t="s">
        <v>10973</v>
      </c>
      <c r="AM141" s="3085">
        <v>139</v>
      </c>
      <c r="AN141" s="3086">
        <v>90</v>
      </c>
      <c r="AO141" s="3087">
        <v>0</v>
      </c>
      <c r="AQ141" s="3">
        <v>1</v>
      </c>
    </row>
    <row r="142" spans="11:43" ht="21" customHeight="1">
      <c r="V142" s="4229"/>
      <c r="W142" s="3093" t="s">
        <v>10974</v>
      </c>
      <c r="X142" s="3094" t="s">
        <v>10975</v>
      </c>
      <c r="Y142" s="3095">
        <v>0</v>
      </c>
      <c r="Z142" s="3096">
        <v>34</v>
      </c>
      <c r="AA142" s="3097">
        <v>102</v>
      </c>
      <c r="AB142"/>
      <c r="AC142" s="4230"/>
      <c r="AD142" s="3083" t="s">
        <v>10976</v>
      </c>
      <c r="AE142" s="3084" t="s">
        <v>10977</v>
      </c>
      <c r="AF142" s="3085">
        <v>255</v>
      </c>
      <c r="AG142" s="3086">
        <v>187</v>
      </c>
      <c r="AH142" s="3087">
        <v>255</v>
      </c>
      <c r="AI142"/>
      <c r="AJ142" s="4231"/>
      <c r="AK142" s="3100" t="s">
        <v>10978</v>
      </c>
      <c r="AL142" s="3084" t="s">
        <v>10979</v>
      </c>
      <c r="AM142" s="3085">
        <v>135</v>
      </c>
      <c r="AN142" s="3086">
        <v>89</v>
      </c>
      <c r="AO142" s="3087">
        <v>26</v>
      </c>
      <c r="AQ142" s="3">
        <v>1</v>
      </c>
    </row>
    <row r="143" spans="11:43" ht="21" customHeight="1">
      <c r="V143" s="4232"/>
      <c r="W143" s="3114" t="s">
        <v>10980</v>
      </c>
      <c r="X143" s="3094" t="s">
        <v>10981</v>
      </c>
      <c r="Y143" s="3095">
        <v>102</v>
      </c>
      <c r="Z143" s="3096">
        <v>0</v>
      </c>
      <c r="AA143" s="3097">
        <v>255</v>
      </c>
      <c r="AB143"/>
      <c r="AC143" s="4233"/>
      <c r="AD143" s="3083" t="s">
        <v>10982</v>
      </c>
      <c r="AE143" s="3084" t="s">
        <v>10983</v>
      </c>
      <c r="AF143" s="3085">
        <v>238</v>
      </c>
      <c r="AG143" s="3086">
        <v>210</v>
      </c>
      <c r="AH143" s="3087">
        <v>238</v>
      </c>
      <c r="AI143"/>
      <c r="AJ143" s="4234"/>
      <c r="AK143" s="3100" t="s">
        <v>10984</v>
      </c>
      <c r="AL143" s="3084" t="s">
        <v>10985</v>
      </c>
      <c r="AM143" s="3085">
        <v>126</v>
      </c>
      <c r="AN143" s="3086">
        <v>88</v>
      </c>
      <c r="AO143" s="3087">
        <v>53</v>
      </c>
      <c r="AQ143" s="3">
        <v>1</v>
      </c>
    </row>
    <row r="144" spans="11:43" ht="21" customHeight="1">
      <c r="V144" s="4235"/>
      <c r="W144" s="3093" t="s">
        <v>10986</v>
      </c>
      <c r="X144" s="3094" t="s">
        <v>10987</v>
      </c>
      <c r="Y144" s="3095">
        <v>123</v>
      </c>
      <c r="Z144" s="3096">
        <v>104</v>
      </c>
      <c r="AA144" s="3097">
        <v>238</v>
      </c>
      <c r="AB144"/>
      <c r="AC144" s="4236"/>
      <c r="AD144" s="3083" t="s">
        <v>10988</v>
      </c>
      <c r="AE144" s="3084" t="s">
        <v>10989</v>
      </c>
      <c r="AF144" s="3085">
        <v>255</v>
      </c>
      <c r="AG144" s="3086">
        <v>225</v>
      </c>
      <c r="AH144" s="3087">
        <v>255</v>
      </c>
      <c r="AI144"/>
      <c r="AJ144" s="4237"/>
      <c r="AK144" s="3100" t="s">
        <v>10990</v>
      </c>
      <c r="AL144" s="3084" t="s">
        <v>10991</v>
      </c>
      <c r="AM144" s="3085">
        <v>133</v>
      </c>
      <c r="AN144" s="3086">
        <v>83</v>
      </c>
      <c r="AO144" s="3087">
        <v>15</v>
      </c>
      <c r="AQ144" s="3">
        <v>1</v>
      </c>
    </row>
    <row r="145" spans="22:43" ht="21" customHeight="1">
      <c r="V145" s="4238"/>
      <c r="W145" s="3114" t="s">
        <v>10992</v>
      </c>
      <c r="X145" s="3094" t="s">
        <v>10993</v>
      </c>
      <c r="Y145" s="3095">
        <v>150</v>
      </c>
      <c r="Z145" s="3096">
        <v>131</v>
      </c>
      <c r="AA145" s="3097">
        <v>236</v>
      </c>
      <c r="AB145"/>
      <c r="AC145" s="4239"/>
      <c r="AD145" s="3083" t="s">
        <v>10994</v>
      </c>
      <c r="AE145" s="3084" t="s">
        <v>10995</v>
      </c>
      <c r="AF145" s="3085">
        <v>205</v>
      </c>
      <c r="AG145" s="3086">
        <v>150</v>
      </c>
      <c r="AH145" s="3087">
        <v>205</v>
      </c>
      <c r="AI145"/>
      <c r="AJ145" s="4240"/>
      <c r="AK145" s="3100" t="s">
        <v>10996</v>
      </c>
      <c r="AL145" s="3084" t="s">
        <v>10997</v>
      </c>
      <c r="AM145" s="3085">
        <v>97</v>
      </c>
      <c r="AN145" s="3086">
        <v>75</v>
      </c>
      <c r="AO145" s="3087">
        <v>58</v>
      </c>
      <c r="AQ145" s="3">
        <v>1</v>
      </c>
    </row>
    <row r="146" spans="22:43" ht="21" customHeight="1">
      <c r="V146" s="4241"/>
      <c r="W146" s="3093" t="s">
        <v>10998</v>
      </c>
      <c r="X146" s="3094" t="s">
        <v>10999</v>
      </c>
      <c r="Y146" s="3095">
        <v>131</v>
      </c>
      <c r="Z146" s="3096">
        <v>111</v>
      </c>
      <c r="AA146" s="3097">
        <v>255</v>
      </c>
      <c r="AB146"/>
      <c r="AC146" s="4242"/>
      <c r="AD146" s="3083" t="s">
        <v>11000</v>
      </c>
      <c r="AE146" s="3084" t="s">
        <v>11001</v>
      </c>
      <c r="AF146" s="3085">
        <v>219</v>
      </c>
      <c r="AG146" s="3086">
        <v>112</v>
      </c>
      <c r="AH146" s="3087">
        <v>219</v>
      </c>
      <c r="AI146"/>
      <c r="AJ146" s="4243"/>
      <c r="AK146" s="3100" t="s">
        <v>11002</v>
      </c>
      <c r="AL146" s="3084" t="s">
        <v>11003</v>
      </c>
      <c r="AM146" s="3085">
        <v>106</v>
      </c>
      <c r="AN146" s="3086">
        <v>75</v>
      </c>
      <c r="AO146" s="3087">
        <v>33</v>
      </c>
      <c r="AQ146" s="3">
        <v>1</v>
      </c>
    </row>
    <row r="147" spans="22:43" ht="21" customHeight="1">
      <c r="V147" s="4244"/>
      <c r="W147" s="3093" t="s">
        <v>11004</v>
      </c>
      <c r="X147" s="3094" t="s">
        <v>11005</v>
      </c>
      <c r="Y147" s="3095">
        <v>132</v>
      </c>
      <c r="Z147" s="3096">
        <v>112</v>
      </c>
      <c r="AA147" s="3097">
        <v>255</v>
      </c>
      <c r="AB147"/>
      <c r="AC147" s="4245"/>
      <c r="AD147" s="3148" t="s">
        <v>11006</v>
      </c>
      <c r="AE147" s="3084" t="s">
        <v>11007</v>
      </c>
      <c r="AF147" s="3085">
        <v>218</v>
      </c>
      <c r="AG147" s="3086">
        <v>112</v>
      </c>
      <c r="AH147" s="3087">
        <v>214</v>
      </c>
      <c r="AI147"/>
      <c r="AJ147" s="4246"/>
      <c r="AK147" s="3100" t="s">
        <v>11008</v>
      </c>
      <c r="AL147" s="3084" t="s">
        <v>11009</v>
      </c>
      <c r="AM147" s="3085">
        <v>101</v>
      </c>
      <c r="AN147" s="3086">
        <v>69</v>
      </c>
      <c r="AO147" s="3087">
        <v>34</v>
      </c>
      <c r="AQ147" s="3">
        <v>1</v>
      </c>
    </row>
    <row r="148" spans="22:43" ht="21" customHeight="1">
      <c r="V148" s="4247"/>
      <c r="W148" s="3093" t="s">
        <v>11010</v>
      </c>
      <c r="X148" s="3094" t="s">
        <v>11011</v>
      </c>
      <c r="Y148" s="3095">
        <v>122</v>
      </c>
      <c r="Z148" s="3096">
        <v>103</v>
      </c>
      <c r="AA148" s="3097">
        <v>238</v>
      </c>
      <c r="AB148"/>
      <c r="AC148" s="4248"/>
      <c r="AD148" s="3083" t="s">
        <v>11012</v>
      </c>
      <c r="AE148" s="3084" t="s">
        <v>11013</v>
      </c>
      <c r="AF148" s="3085">
        <v>238</v>
      </c>
      <c r="AG148" s="3086">
        <v>0</v>
      </c>
      <c r="AH148" s="3087">
        <v>238</v>
      </c>
      <c r="AI148"/>
      <c r="AJ148" s="4249"/>
      <c r="AK148" s="3100" t="s">
        <v>11014</v>
      </c>
      <c r="AL148" s="3084" t="s">
        <v>11015</v>
      </c>
      <c r="AM148" s="3085">
        <v>91</v>
      </c>
      <c r="AN148" s="3086">
        <v>60</v>
      </c>
      <c r="AO148" s="3087">
        <v>17</v>
      </c>
      <c r="AQ148" s="3">
        <v>1</v>
      </c>
    </row>
    <row r="149" spans="22:43" ht="21" customHeight="1">
      <c r="V149" s="4250"/>
      <c r="W149" s="3114" t="s">
        <v>11016</v>
      </c>
      <c r="X149" s="3094" t="s">
        <v>11017</v>
      </c>
      <c r="Y149" s="3095">
        <v>121</v>
      </c>
      <c r="Z149" s="3096">
        <v>28</v>
      </c>
      <c r="AA149" s="3097">
        <v>248</v>
      </c>
      <c r="AB149"/>
      <c r="AC149" s="4251"/>
      <c r="AD149" s="3148" t="s">
        <v>11018</v>
      </c>
      <c r="AE149" s="3084" t="s">
        <v>11019</v>
      </c>
      <c r="AF149" s="3085">
        <v>212</v>
      </c>
      <c r="AG149" s="3086">
        <v>115</v>
      </c>
      <c r="AH149" s="3087">
        <v>212</v>
      </c>
      <c r="AI149"/>
      <c r="AJ149" s="4252"/>
      <c r="AK149" s="3100" t="s">
        <v>11020</v>
      </c>
      <c r="AL149" s="3084" t="s">
        <v>11021</v>
      </c>
      <c r="AM149" s="3085">
        <v>72</v>
      </c>
      <c r="AN149" s="3086">
        <v>60</v>
      </c>
      <c r="AO149" s="3087">
        <v>50</v>
      </c>
      <c r="AQ149" s="3">
        <v>1</v>
      </c>
    </row>
    <row r="150" spans="22:43" ht="21" customHeight="1">
      <c r="V150" s="4253"/>
      <c r="W150" s="3093" t="s">
        <v>11022</v>
      </c>
      <c r="X150" s="3094" t="s">
        <v>11023</v>
      </c>
      <c r="Y150" s="3095">
        <v>106</v>
      </c>
      <c r="Z150" s="3096">
        <v>90</v>
      </c>
      <c r="AA150" s="3097">
        <v>205</v>
      </c>
      <c r="AB150"/>
      <c r="AC150" s="4254"/>
      <c r="AD150" s="3083" t="s">
        <v>11024</v>
      </c>
      <c r="AE150" s="3084" t="s">
        <v>11025</v>
      </c>
      <c r="AF150" s="3085">
        <v>205</v>
      </c>
      <c r="AG150" s="3086">
        <v>105</v>
      </c>
      <c r="AH150" s="3087">
        <v>201</v>
      </c>
      <c r="AI150"/>
      <c r="AJ150" s="4255"/>
      <c r="AK150" s="3100" t="s">
        <v>11026</v>
      </c>
      <c r="AL150" s="3084" t="s">
        <v>11027</v>
      </c>
      <c r="AM150" s="3085">
        <v>75</v>
      </c>
      <c r="AN150" s="3086">
        <v>54</v>
      </c>
      <c r="AO150" s="3087">
        <v>33</v>
      </c>
      <c r="AQ150" s="3">
        <v>1</v>
      </c>
    </row>
    <row r="151" spans="22:43" ht="21" customHeight="1">
      <c r="V151" s="4256"/>
      <c r="W151" s="3093" t="s">
        <v>11028</v>
      </c>
      <c r="X151" s="3094" t="s">
        <v>11029</v>
      </c>
      <c r="Y151" s="3095">
        <v>105</v>
      </c>
      <c r="Z151" s="3096">
        <v>89</v>
      </c>
      <c r="AA151" s="3097">
        <v>205</v>
      </c>
      <c r="AB151"/>
      <c r="AC151" s="4257"/>
      <c r="AD151" s="3148" t="s">
        <v>11030</v>
      </c>
      <c r="AE151" s="3084" t="s">
        <v>11031</v>
      </c>
      <c r="AF151" s="3085">
        <v>170</v>
      </c>
      <c r="AG151" s="3086">
        <v>152</v>
      </c>
      <c r="AH151" s="3087">
        <v>169</v>
      </c>
      <c r="AI151"/>
      <c r="AJ151" s="4258"/>
      <c r="AK151" s="3100" t="s">
        <v>11032</v>
      </c>
      <c r="AL151" s="3084" t="s">
        <v>11033</v>
      </c>
      <c r="AM151" s="3085">
        <v>70</v>
      </c>
      <c r="AN151" s="3086">
        <v>46</v>
      </c>
      <c r="AO151" s="3087">
        <v>1</v>
      </c>
      <c r="AQ151" s="3">
        <v>1</v>
      </c>
    </row>
    <row r="152" spans="22:43" ht="21" customHeight="1">
      <c r="V152" s="4259"/>
      <c r="W152" s="3114" t="s">
        <v>11034</v>
      </c>
      <c r="X152" s="3094" t="s">
        <v>11035</v>
      </c>
      <c r="Y152" s="3095">
        <v>140</v>
      </c>
      <c r="Z152" s="3096">
        <v>130</v>
      </c>
      <c r="AA152" s="3097">
        <v>182</v>
      </c>
      <c r="AB152"/>
      <c r="AC152" s="4260"/>
      <c r="AD152" s="3083" t="s">
        <v>11036</v>
      </c>
      <c r="AE152" s="3084" t="s">
        <v>11037</v>
      </c>
      <c r="AF152" s="3085">
        <v>205</v>
      </c>
      <c r="AG152" s="3086">
        <v>0</v>
      </c>
      <c r="AH152" s="3087">
        <v>205</v>
      </c>
      <c r="AI152"/>
      <c r="AJ152" s="4261"/>
      <c r="AK152" s="3100" t="s">
        <v>11038</v>
      </c>
      <c r="AL152" s="3084" t="s">
        <v>11039</v>
      </c>
      <c r="AM152" s="3085">
        <v>45</v>
      </c>
      <c r="AN152" s="3086">
        <v>36</v>
      </c>
      <c r="AO152" s="3087">
        <v>30</v>
      </c>
      <c r="AQ152" s="3">
        <v>1</v>
      </c>
    </row>
    <row r="153" spans="22:43" ht="21" customHeight="1">
      <c r="V153" s="4262"/>
      <c r="W153" s="3114" t="s">
        <v>11040</v>
      </c>
      <c r="X153" s="3094" t="s">
        <v>11041</v>
      </c>
      <c r="Y153" s="3095">
        <v>150</v>
      </c>
      <c r="Z153" s="3096">
        <v>144</v>
      </c>
      <c r="AA153" s="3097">
        <v>171</v>
      </c>
      <c r="AB153"/>
      <c r="AC153" s="4263"/>
      <c r="AD153" s="3083" t="s">
        <v>11042</v>
      </c>
      <c r="AE153" s="3084" t="s">
        <v>11043</v>
      </c>
      <c r="AF153" s="3085">
        <v>159</v>
      </c>
      <c r="AG153" s="3086">
        <v>95</v>
      </c>
      <c r="AH153" s="3087">
        <v>159</v>
      </c>
      <c r="AI153"/>
      <c r="AJ153" s="4264"/>
      <c r="AK153" s="3100" t="s">
        <v>11044</v>
      </c>
      <c r="AL153" s="3084" t="s">
        <v>11045</v>
      </c>
      <c r="AM153" s="3085">
        <v>47</v>
      </c>
      <c r="AN153" s="3086">
        <v>30</v>
      </c>
      <c r="AO153" s="3087">
        <v>14</v>
      </c>
      <c r="AQ153" s="3">
        <v>1</v>
      </c>
    </row>
    <row r="154" spans="22:43" ht="21" customHeight="1">
      <c r="V154" s="4265"/>
      <c r="W154" s="3114" t="s">
        <v>11046</v>
      </c>
      <c r="X154" s="3094" t="s">
        <v>11047</v>
      </c>
      <c r="Y154" s="3095">
        <v>126</v>
      </c>
      <c r="Z154" s="3096">
        <v>115</v>
      </c>
      <c r="AA154" s="3097">
        <v>184</v>
      </c>
      <c r="AB154"/>
      <c r="AC154" s="4266"/>
      <c r="AD154" s="3083" t="s">
        <v>11048</v>
      </c>
      <c r="AE154" s="3084" t="s">
        <v>11049</v>
      </c>
      <c r="AF154" s="3085">
        <v>139</v>
      </c>
      <c r="AG154" s="3086">
        <v>123</v>
      </c>
      <c r="AH154" s="3087">
        <v>139</v>
      </c>
      <c r="AI154"/>
      <c r="AJ154" s="4267"/>
      <c r="AK154" s="3100" t="s">
        <v>11050</v>
      </c>
      <c r="AL154" s="3084" t="s">
        <v>11051</v>
      </c>
      <c r="AM154" s="3085">
        <v>19</v>
      </c>
      <c r="AN154" s="3086">
        <v>14</v>
      </c>
      <c r="AO154" s="3087">
        <v>10</v>
      </c>
      <c r="AQ154" s="3">
        <v>1</v>
      </c>
    </row>
    <row r="155" spans="22:43" ht="21" customHeight="1">
      <c r="V155" s="4268"/>
      <c r="W155" s="3114" t="s">
        <v>11052</v>
      </c>
      <c r="X155" s="3094" t="s">
        <v>11053</v>
      </c>
      <c r="Y155" s="3095">
        <v>96</v>
      </c>
      <c r="Z155" s="3096">
        <v>78</v>
      </c>
      <c r="AA155" s="3097">
        <v>151</v>
      </c>
      <c r="AB155"/>
      <c r="AC155" s="4269"/>
      <c r="AD155" s="3083" t="s">
        <v>11054</v>
      </c>
      <c r="AE155" s="3084" t="s">
        <v>11055</v>
      </c>
      <c r="AF155" s="3085">
        <v>139</v>
      </c>
      <c r="AG155" s="3086">
        <v>102</v>
      </c>
      <c r="AH155" s="3087">
        <v>139</v>
      </c>
      <c r="AI155"/>
      <c r="AJ155" s="4270"/>
      <c r="AK155" s="3100" t="s">
        <v>11056</v>
      </c>
      <c r="AL155" s="3084" t="s">
        <v>11057</v>
      </c>
      <c r="AM155" s="3085">
        <v>255</v>
      </c>
      <c r="AN155" s="3086">
        <v>0</v>
      </c>
      <c r="AO155" s="3087">
        <v>0</v>
      </c>
      <c r="AQ155" s="3">
        <v>1</v>
      </c>
    </row>
    <row r="156" spans="22:43" ht="21" customHeight="1">
      <c r="V156" s="4271"/>
      <c r="W156" s="3093" t="s">
        <v>11058</v>
      </c>
      <c r="X156" s="3094" t="s">
        <v>11059</v>
      </c>
      <c r="Y156" s="3095">
        <v>72</v>
      </c>
      <c r="Z156" s="3096">
        <v>61</v>
      </c>
      <c r="AA156" s="3097">
        <v>139</v>
      </c>
      <c r="AB156"/>
      <c r="AC156" s="4272"/>
      <c r="AD156" s="3148" t="s">
        <v>11060</v>
      </c>
      <c r="AE156" s="3084" t="s">
        <v>11061</v>
      </c>
      <c r="AF156" s="3085">
        <v>121</v>
      </c>
      <c r="AG156" s="3086">
        <v>104</v>
      </c>
      <c r="AH156" s="3087">
        <v>120</v>
      </c>
      <c r="AI156"/>
      <c r="AJ156" s="4273"/>
      <c r="AK156" s="3089" t="s">
        <v>11062</v>
      </c>
      <c r="AL156" s="3084" t="s">
        <v>11057</v>
      </c>
      <c r="AM156" s="3085">
        <v>255</v>
      </c>
      <c r="AN156" s="3086">
        <v>36</v>
      </c>
      <c r="AO156" s="3087">
        <v>0</v>
      </c>
      <c r="AQ156" s="3">
        <v>1</v>
      </c>
    </row>
    <row r="157" spans="22:43" ht="21" customHeight="1">
      <c r="V157" s="4274"/>
      <c r="W157" s="3093" t="s">
        <v>11063</v>
      </c>
      <c r="X157" s="3094" t="s">
        <v>11064</v>
      </c>
      <c r="Y157" s="3095">
        <v>71</v>
      </c>
      <c r="Z157" s="3096">
        <v>60</v>
      </c>
      <c r="AA157" s="3097">
        <v>139</v>
      </c>
      <c r="AB157"/>
      <c r="AC157" s="4275"/>
      <c r="AD157" s="3083" t="s">
        <v>11065</v>
      </c>
      <c r="AE157" s="3084" t="s">
        <v>11066</v>
      </c>
      <c r="AF157" s="3085">
        <v>139</v>
      </c>
      <c r="AG157" s="3086">
        <v>71</v>
      </c>
      <c r="AH157" s="3087">
        <v>137</v>
      </c>
      <c r="AI157"/>
      <c r="AJ157" s="4276"/>
      <c r="AK157" s="3089" t="s">
        <v>11067</v>
      </c>
      <c r="AL157" s="3084" t="s">
        <v>11057</v>
      </c>
      <c r="AM157" s="3085">
        <v>255</v>
      </c>
      <c r="AN157" s="3086">
        <v>69</v>
      </c>
      <c r="AO157" s="3087">
        <v>0</v>
      </c>
      <c r="AQ157" s="3">
        <v>1</v>
      </c>
    </row>
    <row r="158" spans="22:43" ht="21" customHeight="1">
      <c r="V158" s="4277"/>
      <c r="W158" s="3114" t="s">
        <v>11068</v>
      </c>
      <c r="X158" s="3094" t="s">
        <v>11069</v>
      </c>
      <c r="Y158" s="3095">
        <v>46</v>
      </c>
      <c r="Z158" s="3096">
        <v>0</v>
      </c>
      <c r="AA158" s="3097">
        <v>108</v>
      </c>
      <c r="AB158"/>
      <c r="AC158" s="4278"/>
      <c r="AD158" s="3083" t="s">
        <v>11070</v>
      </c>
      <c r="AE158" s="3084" t="s">
        <v>11071</v>
      </c>
      <c r="AF158" s="3085">
        <v>139</v>
      </c>
      <c r="AG158" s="3086">
        <v>0</v>
      </c>
      <c r="AH158" s="3087">
        <v>139</v>
      </c>
      <c r="AI158"/>
      <c r="AJ158" s="4279"/>
      <c r="AK158" s="3100" t="s">
        <v>11072</v>
      </c>
      <c r="AL158" s="3084" t="s">
        <v>11057</v>
      </c>
      <c r="AM158" s="3085">
        <v>255</v>
      </c>
      <c r="AN158" s="3086">
        <v>73</v>
      </c>
      <c r="AO158" s="3087">
        <v>1</v>
      </c>
      <c r="AQ158" s="3">
        <v>1</v>
      </c>
    </row>
    <row r="159" spans="22:43" ht="21" customHeight="1">
      <c r="V159" s="4280"/>
      <c r="W159" s="3093" t="s">
        <v>11073</v>
      </c>
      <c r="X159" s="3094" t="s">
        <v>11074</v>
      </c>
      <c r="Y159" s="3095">
        <v>188</v>
      </c>
      <c r="Z159" s="3096">
        <v>238</v>
      </c>
      <c r="AA159" s="3097">
        <v>104</v>
      </c>
      <c r="AB159"/>
      <c r="AC159" s="4281"/>
      <c r="AD159" s="3148" t="s">
        <v>11075</v>
      </c>
      <c r="AE159" s="3084" t="s">
        <v>11076</v>
      </c>
      <c r="AF159" s="3085">
        <v>128</v>
      </c>
      <c r="AG159" s="3086">
        <v>0</v>
      </c>
      <c r="AH159" s="3087">
        <v>128</v>
      </c>
      <c r="AI159"/>
      <c r="AJ159" s="4282"/>
      <c r="AK159" s="3100" t="s">
        <v>11077</v>
      </c>
      <c r="AL159" s="3084" t="s">
        <v>11078</v>
      </c>
      <c r="AM159" s="3085">
        <v>255</v>
      </c>
      <c r="AN159" s="3086">
        <v>9</v>
      </c>
      <c r="AO159" s="3087">
        <v>33</v>
      </c>
      <c r="AQ159" s="3">
        <v>1</v>
      </c>
    </row>
    <row r="160" spans="22:43" ht="21" customHeight="1">
      <c r="V160" s="4283"/>
      <c r="W160" s="3093" t="s">
        <v>11079</v>
      </c>
      <c r="X160" s="3094" t="s">
        <v>11080</v>
      </c>
      <c r="Y160" s="3095">
        <v>192</v>
      </c>
      <c r="Z160" s="3096">
        <v>255</v>
      </c>
      <c r="AA160" s="3097">
        <v>62</v>
      </c>
      <c r="AB160"/>
      <c r="AC160" s="4284"/>
      <c r="AD160" s="3083" t="s">
        <v>11081</v>
      </c>
      <c r="AE160" s="3084" t="s">
        <v>11082</v>
      </c>
      <c r="AF160" s="3085">
        <v>79</v>
      </c>
      <c r="AG160" s="3086">
        <v>47</v>
      </c>
      <c r="AH160" s="3087">
        <v>79</v>
      </c>
      <c r="AI160"/>
      <c r="AJ160" s="4285"/>
      <c r="AK160" s="3089" t="s">
        <v>11083</v>
      </c>
      <c r="AL160" s="3084" t="s">
        <v>11084</v>
      </c>
      <c r="AM160" s="3085">
        <v>255</v>
      </c>
      <c r="AN160" s="3086">
        <v>48</v>
      </c>
      <c r="AO160" s="3087">
        <v>48</v>
      </c>
      <c r="AQ160" s="3">
        <v>1</v>
      </c>
    </row>
    <row r="161" spans="1:43" ht="21" customHeight="1">
      <c r="V161" s="4286"/>
      <c r="W161" s="3114" t="s">
        <v>11085</v>
      </c>
      <c r="X161" s="3094" t="s">
        <v>11086</v>
      </c>
      <c r="Y161" s="3095">
        <v>190</v>
      </c>
      <c r="Z161" s="3096">
        <v>245</v>
      </c>
      <c r="AA161" s="3097">
        <v>116</v>
      </c>
      <c r="AB161"/>
      <c r="AC161" s="4287"/>
      <c r="AD161" s="3148" t="s">
        <v>11087</v>
      </c>
      <c r="AE161" s="3084" t="s">
        <v>11088</v>
      </c>
      <c r="AF161" s="3085">
        <v>41</v>
      </c>
      <c r="AG161" s="3086">
        <v>30</v>
      </c>
      <c r="AH161" s="3087">
        <v>41</v>
      </c>
      <c r="AI161"/>
      <c r="AJ161" s="4288"/>
      <c r="AK161" s="3089" t="s">
        <v>11089</v>
      </c>
      <c r="AL161" s="3084" t="s">
        <v>11090</v>
      </c>
      <c r="AM161" s="3085">
        <v>255</v>
      </c>
      <c r="AN161" s="3086">
        <v>64</v>
      </c>
      <c r="AO161" s="3087">
        <v>64</v>
      </c>
      <c r="AQ161" s="3">
        <v>1</v>
      </c>
    </row>
    <row r="162" spans="1:43" ht="21" customHeight="1">
      <c r="V162" s="4289"/>
      <c r="W162" s="3093" t="s">
        <v>11091</v>
      </c>
      <c r="X162" s="3094" t="s">
        <v>11092</v>
      </c>
      <c r="Y162" s="3095">
        <v>202</v>
      </c>
      <c r="Z162" s="3096">
        <v>255</v>
      </c>
      <c r="AA162" s="3097">
        <v>112</v>
      </c>
      <c r="AB162"/>
      <c r="AC162" s="4290"/>
      <c r="AD162" s="3148" t="s">
        <v>11093</v>
      </c>
      <c r="AE162" s="3084" t="s">
        <v>11094</v>
      </c>
      <c r="AF162" s="3085">
        <v>36</v>
      </c>
      <c r="AG162" s="3086">
        <v>33</v>
      </c>
      <c r="AH162" s="3087">
        <v>36</v>
      </c>
      <c r="AI162"/>
      <c r="AJ162" s="4291"/>
      <c r="AK162" s="3089" t="s">
        <v>11095</v>
      </c>
      <c r="AL162" s="3084" t="s">
        <v>11096</v>
      </c>
      <c r="AM162" s="3085">
        <v>255</v>
      </c>
      <c r="AN162" s="3086">
        <v>99</v>
      </c>
      <c r="AO162" s="3087">
        <v>71</v>
      </c>
      <c r="AQ162" s="3">
        <v>1</v>
      </c>
    </row>
    <row r="163" spans="1:43" ht="21" customHeight="1">
      <c r="V163" s="4292"/>
      <c r="W163" s="3114" t="s">
        <v>11097</v>
      </c>
      <c r="X163" s="3094" t="s">
        <v>11098</v>
      </c>
      <c r="Y163" s="3095">
        <v>251</v>
      </c>
      <c r="Z163" s="3096">
        <v>252</v>
      </c>
      <c r="AA163" s="3097">
        <v>250</v>
      </c>
      <c r="AB163"/>
      <c r="AC163" s="4293"/>
      <c r="AD163" s="3083" t="s">
        <v>11099</v>
      </c>
      <c r="AE163" s="3084" t="s">
        <v>11100</v>
      </c>
      <c r="AF163" s="3085">
        <v>227</v>
      </c>
      <c r="AG163" s="3086">
        <v>91</v>
      </c>
      <c r="AH163" s="3087">
        <v>216</v>
      </c>
      <c r="AI163"/>
      <c r="AJ163" s="4294"/>
      <c r="AK163" s="3100" t="s">
        <v>11101</v>
      </c>
      <c r="AL163" s="3084" t="s">
        <v>11102</v>
      </c>
      <c r="AM163" s="3085">
        <v>255</v>
      </c>
      <c r="AN163" s="3086">
        <v>94</v>
      </c>
      <c r="AO163" s="3087">
        <v>77</v>
      </c>
      <c r="AQ163" s="3">
        <v>1</v>
      </c>
    </row>
    <row r="164" spans="1:43" ht="21" customHeight="1">
      <c r="V164" s="4295"/>
      <c r="W164" s="3093" t="s">
        <v>11103</v>
      </c>
      <c r="X164" s="3094" t="s">
        <v>11104</v>
      </c>
      <c r="Y164" s="3095">
        <v>179</v>
      </c>
      <c r="Z164" s="3096">
        <v>238</v>
      </c>
      <c r="AA164" s="3097">
        <v>58</v>
      </c>
      <c r="AB164"/>
      <c r="AC164" s="4296"/>
      <c r="AD164" s="3148" t="s">
        <v>11105</v>
      </c>
      <c r="AE164" s="3084" t="s">
        <v>11106</v>
      </c>
      <c r="AF164" s="3085">
        <v>84</v>
      </c>
      <c r="AG164" s="3086">
        <v>25</v>
      </c>
      <c r="AH164" s="3087">
        <v>78</v>
      </c>
      <c r="AI164"/>
      <c r="AJ164" s="4297"/>
      <c r="AK164" s="3100" t="s">
        <v>11107</v>
      </c>
      <c r="AL164" s="3084" t="s">
        <v>11108</v>
      </c>
      <c r="AM164" s="3085">
        <v>252</v>
      </c>
      <c r="AN164" s="3086">
        <v>93</v>
      </c>
      <c r="AO164" s="3087">
        <v>93</v>
      </c>
      <c r="AQ164" s="3">
        <v>1</v>
      </c>
    </row>
    <row r="165" spans="1:43" ht="21" customHeight="1">
      <c r="A165" s="856"/>
      <c r="V165" s="4298"/>
      <c r="W165" s="3114" t="s">
        <v>11109</v>
      </c>
      <c r="X165" s="3094" t="s">
        <v>11110</v>
      </c>
      <c r="Y165" s="3095">
        <v>165</v>
      </c>
      <c r="Z165" s="3096">
        <v>209</v>
      </c>
      <c r="AA165" s="3097">
        <v>82</v>
      </c>
      <c r="AB165"/>
      <c r="AC165" s="4299"/>
      <c r="AD165" s="3100" t="s">
        <v>11111</v>
      </c>
      <c r="AE165" s="3084" t="s">
        <v>11112</v>
      </c>
      <c r="AF165" s="3085">
        <v>52</v>
      </c>
      <c r="AG165" s="3086">
        <v>23</v>
      </c>
      <c r="AH165" s="3087">
        <v>49</v>
      </c>
      <c r="AI165"/>
      <c r="AJ165" s="4300"/>
      <c r="AK165" s="3100" t="s">
        <v>11113</v>
      </c>
      <c r="AL165" s="3084" t="s">
        <v>11114</v>
      </c>
      <c r="AM165" s="3085">
        <v>217</v>
      </c>
      <c r="AN165" s="3086">
        <v>166</v>
      </c>
      <c r="AO165" s="3087">
        <v>169</v>
      </c>
      <c r="AQ165" s="3">
        <v>1</v>
      </c>
    </row>
    <row r="166" spans="1:43" ht="21" customHeight="1">
      <c r="V166" s="4301"/>
      <c r="W166" s="3093" t="s">
        <v>11115</v>
      </c>
      <c r="X166" s="3094" t="s">
        <v>11116</v>
      </c>
      <c r="Y166" s="3095">
        <v>162</v>
      </c>
      <c r="Z166" s="3096">
        <v>205</v>
      </c>
      <c r="AA166" s="3097">
        <v>90</v>
      </c>
      <c r="AB166"/>
      <c r="AC166" s="4302"/>
      <c r="AD166" s="3100" t="s">
        <v>11117</v>
      </c>
      <c r="AE166" s="3084" t="s">
        <v>11118</v>
      </c>
      <c r="AF166" s="3085">
        <v>213</v>
      </c>
      <c r="AG166" s="3086">
        <v>186</v>
      </c>
      <c r="AH166" s="3087">
        <v>219</v>
      </c>
      <c r="AI166"/>
      <c r="AJ166" s="4303"/>
      <c r="AK166" s="3089" t="s">
        <v>11119</v>
      </c>
      <c r="AL166" s="3084" t="s">
        <v>11120</v>
      </c>
      <c r="AM166" s="3085">
        <v>240</v>
      </c>
      <c r="AN166" s="3086">
        <v>128</v>
      </c>
      <c r="AO166" s="3087">
        <v>128</v>
      </c>
      <c r="AQ166" s="3">
        <v>1</v>
      </c>
    </row>
    <row r="167" spans="1:43" ht="21" customHeight="1">
      <c r="V167" s="4304"/>
      <c r="W167" s="3093" t="s">
        <v>11121</v>
      </c>
      <c r="X167" s="3094" t="s">
        <v>11122</v>
      </c>
      <c r="Y167" s="3095">
        <v>154</v>
      </c>
      <c r="Z167" s="3096">
        <v>205</v>
      </c>
      <c r="AA167" s="3097">
        <v>50</v>
      </c>
      <c r="AB167"/>
      <c r="AC167" s="4305"/>
      <c r="AD167" s="3100" t="s">
        <v>11123</v>
      </c>
      <c r="AE167" s="3084" t="s">
        <v>11124</v>
      </c>
      <c r="AF167" s="3085">
        <v>108</v>
      </c>
      <c r="AG167" s="3086">
        <v>2</v>
      </c>
      <c r="AH167" s="3087">
        <v>119</v>
      </c>
      <c r="AI167"/>
      <c r="AJ167" s="4306"/>
      <c r="AK167" s="3100" t="s">
        <v>11125</v>
      </c>
      <c r="AL167" s="3084" t="s">
        <v>11126</v>
      </c>
      <c r="AM167" s="3085">
        <v>222</v>
      </c>
      <c r="AN167" s="3086">
        <v>165</v>
      </c>
      <c r="AO167" s="3087">
        <v>164</v>
      </c>
      <c r="AQ167" s="3">
        <v>1</v>
      </c>
    </row>
    <row r="168" spans="1:43" ht="21" customHeight="1">
      <c r="V168" s="4307"/>
      <c r="W168" s="3093" t="s">
        <v>11127</v>
      </c>
      <c r="X168" s="3094" t="s">
        <v>11128</v>
      </c>
      <c r="Y168" s="3095">
        <v>153</v>
      </c>
      <c r="Z168" s="3096">
        <v>204</v>
      </c>
      <c r="AA168" s="3097">
        <v>50</v>
      </c>
      <c r="AB168"/>
      <c r="AC168" s="4308"/>
      <c r="AD168" s="3100" t="s">
        <v>11129</v>
      </c>
      <c r="AE168" s="3084" t="s">
        <v>11130</v>
      </c>
      <c r="AF168" s="3085">
        <v>48</v>
      </c>
      <c r="AG168" s="3086">
        <v>25</v>
      </c>
      <c r="AH168" s="3087">
        <v>52</v>
      </c>
      <c r="AI168"/>
      <c r="AJ168" s="4309"/>
      <c r="AK168" s="3100" t="s">
        <v>11131</v>
      </c>
      <c r="AL168" s="3084" t="s">
        <v>11132</v>
      </c>
      <c r="AM168" s="3085">
        <v>234</v>
      </c>
      <c r="AN168" s="3086">
        <v>147</v>
      </c>
      <c r="AO168" s="3087">
        <v>153</v>
      </c>
      <c r="AQ168" s="3">
        <v>1</v>
      </c>
    </row>
    <row r="169" spans="1:43" ht="21" customHeight="1">
      <c r="V169" s="4310"/>
      <c r="W169" s="3093" t="s">
        <v>11133</v>
      </c>
      <c r="X169" s="3094" t="s">
        <v>11134</v>
      </c>
      <c r="Y169" s="3095">
        <v>110</v>
      </c>
      <c r="Z169" s="3096">
        <v>139</v>
      </c>
      <c r="AA169" s="3097">
        <v>61</v>
      </c>
      <c r="AB169"/>
      <c r="AC169" s="4311"/>
      <c r="AD169" s="3089" t="s">
        <v>11022</v>
      </c>
      <c r="AE169" s="3084" t="s">
        <v>11135</v>
      </c>
      <c r="AF169" s="3085">
        <v>0</v>
      </c>
      <c r="AG169" s="3086">
        <v>127</v>
      </c>
      <c r="AH169" s="3087">
        <v>255</v>
      </c>
      <c r="AI169"/>
      <c r="AJ169" s="4312"/>
      <c r="AK169" s="3089" t="s">
        <v>11136</v>
      </c>
      <c r="AL169" s="3084" t="s">
        <v>11137</v>
      </c>
      <c r="AM169" s="3085">
        <v>250</v>
      </c>
      <c r="AN169" s="3086">
        <v>128</v>
      </c>
      <c r="AO169" s="3087">
        <v>114</v>
      </c>
      <c r="AQ169" s="3">
        <v>1</v>
      </c>
    </row>
    <row r="170" spans="1:43" ht="21" customHeight="1">
      <c r="V170" s="4313"/>
      <c r="W170" s="3093" t="s">
        <v>11138</v>
      </c>
      <c r="X170" s="3094" t="s">
        <v>11139</v>
      </c>
      <c r="Y170" s="3095">
        <v>107</v>
      </c>
      <c r="Z170" s="3096">
        <v>142</v>
      </c>
      <c r="AA170" s="3097">
        <v>35</v>
      </c>
      <c r="AB170"/>
      <c r="AC170" s="4314"/>
      <c r="AD170" s="3089" t="s">
        <v>11140</v>
      </c>
      <c r="AE170" s="3084" t="s">
        <v>11141</v>
      </c>
      <c r="AF170" s="3085">
        <v>30</v>
      </c>
      <c r="AG170" s="3086">
        <v>144</v>
      </c>
      <c r="AH170" s="3087">
        <v>255</v>
      </c>
      <c r="AI170"/>
      <c r="AJ170" s="4315"/>
      <c r="AK170" s="3100" t="s">
        <v>11142</v>
      </c>
      <c r="AL170" s="3084" t="s">
        <v>11143</v>
      </c>
      <c r="AM170" s="3085">
        <v>248</v>
      </c>
      <c r="AN170" s="3086">
        <v>131</v>
      </c>
      <c r="AO170" s="3087">
        <v>121</v>
      </c>
      <c r="AQ170" s="3">
        <v>1</v>
      </c>
    </row>
    <row r="171" spans="1:43" ht="21" customHeight="1">
      <c r="V171" s="4316"/>
      <c r="W171" s="3093" t="s">
        <v>11144</v>
      </c>
      <c r="X171" s="3094" t="s">
        <v>11145</v>
      </c>
      <c r="Y171" s="3095">
        <v>105</v>
      </c>
      <c r="Z171" s="3096">
        <v>139</v>
      </c>
      <c r="AA171" s="3097">
        <v>34</v>
      </c>
      <c r="AB171"/>
      <c r="AC171" s="4317"/>
      <c r="AD171" s="3100" t="s">
        <v>11146</v>
      </c>
      <c r="AE171" s="3084" t="s">
        <v>11147</v>
      </c>
      <c r="AF171" s="3085">
        <v>192</v>
      </c>
      <c r="AG171" s="3086">
        <v>200</v>
      </c>
      <c r="AH171" s="3087">
        <v>225</v>
      </c>
      <c r="AI171"/>
      <c r="AJ171" s="4318"/>
      <c r="AK171" s="3089" t="s">
        <v>11148</v>
      </c>
      <c r="AL171" s="3084" t="s">
        <v>11149</v>
      </c>
      <c r="AM171" s="3085">
        <v>255</v>
      </c>
      <c r="AN171" s="3086">
        <v>106</v>
      </c>
      <c r="AO171" s="3087">
        <v>106</v>
      </c>
      <c r="AQ171" s="3">
        <v>1</v>
      </c>
    </row>
    <row r="172" spans="1:43" ht="21" customHeight="1">
      <c r="V172" s="4319"/>
      <c r="W172" s="3093" t="s">
        <v>11150</v>
      </c>
      <c r="X172" s="3094" t="s">
        <v>11151</v>
      </c>
      <c r="Y172" s="3095">
        <v>85</v>
      </c>
      <c r="Z172" s="3096">
        <v>107</v>
      </c>
      <c r="AA172" s="3097">
        <v>47</v>
      </c>
      <c r="AB172"/>
      <c r="AC172" s="4320"/>
      <c r="AD172" s="3089" t="s">
        <v>11152</v>
      </c>
      <c r="AE172" s="3084" t="s">
        <v>11153</v>
      </c>
      <c r="AF172" s="3085">
        <v>100</v>
      </c>
      <c r="AG172" s="3086">
        <v>149</v>
      </c>
      <c r="AH172" s="3087">
        <v>237</v>
      </c>
      <c r="AI172"/>
      <c r="AJ172" s="4321"/>
      <c r="AK172" s="3100" t="s">
        <v>11154</v>
      </c>
      <c r="AL172" s="3084" t="s">
        <v>11155</v>
      </c>
      <c r="AM172" s="3085">
        <v>255</v>
      </c>
      <c r="AN172" s="3086">
        <v>111</v>
      </c>
      <c r="AO172" s="3087">
        <v>125</v>
      </c>
      <c r="AQ172" s="3">
        <v>1</v>
      </c>
    </row>
    <row r="173" spans="1:43" ht="21" customHeight="1">
      <c r="V173" s="4322"/>
      <c r="W173" s="3114" t="s">
        <v>11156</v>
      </c>
      <c r="X173" s="3094" t="s">
        <v>11157</v>
      </c>
      <c r="Y173" s="3095">
        <v>49</v>
      </c>
      <c r="Z173" s="3096">
        <v>54</v>
      </c>
      <c r="AA173" s="3097">
        <v>43</v>
      </c>
      <c r="AB173"/>
      <c r="AC173" s="4323"/>
      <c r="AD173" s="3089" t="s">
        <v>11158</v>
      </c>
      <c r="AE173" s="3084" t="s">
        <v>11159</v>
      </c>
      <c r="AF173" s="3085">
        <v>112</v>
      </c>
      <c r="AG173" s="3086">
        <v>147</v>
      </c>
      <c r="AH173" s="3087">
        <v>219</v>
      </c>
      <c r="AI173"/>
      <c r="AJ173" s="4324"/>
      <c r="AK173" s="3089" t="s">
        <v>11160</v>
      </c>
      <c r="AL173" s="3084" t="s">
        <v>11161</v>
      </c>
      <c r="AM173" s="3085">
        <v>205</v>
      </c>
      <c r="AN173" s="3086">
        <v>201</v>
      </c>
      <c r="AO173" s="3087">
        <v>201</v>
      </c>
      <c r="AQ173" s="3">
        <v>1</v>
      </c>
    </row>
    <row r="174" spans="1:43" ht="21" customHeight="1">
      <c r="V174" s="4325"/>
      <c r="W174" s="3114" t="s">
        <v>11162</v>
      </c>
      <c r="X174" s="3094" t="s">
        <v>11163</v>
      </c>
      <c r="Y174" s="3095">
        <v>194</v>
      </c>
      <c r="Z174" s="3096">
        <v>247</v>
      </c>
      <c r="AA174" s="3097">
        <v>50</v>
      </c>
      <c r="AB174"/>
      <c r="AC174" s="4326"/>
      <c r="AD174" s="3089" t="s">
        <v>11164</v>
      </c>
      <c r="AE174" s="3084" t="s">
        <v>11165</v>
      </c>
      <c r="AF174" s="3085">
        <v>28</v>
      </c>
      <c r="AG174" s="3086">
        <v>134</v>
      </c>
      <c r="AH174" s="3087">
        <v>238</v>
      </c>
      <c r="AI174"/>
      <c r="AJ174" s="4327"/>
      <c r="AK174" s="3100" t="s">
        <v>11166</v>
      </c>
      <c r="AL174" s="3084" t="s">
        <v>11167</v>
      </c>
      <c r="AM174" s="3085">
        <v>254</v>
      </c>
      <c r="AN174" s="3086">
        <v>150</v>
      </c>
      <c r="AO174" s="3087">
        <v>160</v>
      </c>
      <c r="AQ174" s="3">
        <v>1</v>
      </c>
    </row>
    <row r="175" spans="1:43" ht="21" customHeight="1">
      <c r="V175" s="4328"/>
      <c r="W175" s="3114" t="s">
        <v>11168</v>
      </c>
      <c r="X175" s="3094" t="s">
        <v>11169</v>
      </c>
      <c r="Y175" s="3095">
        <v>141</v>
      </c>
      <c r="Z175" s="3096">
        <v>182</v>
      </c>
      <c r="AA175" s="3097">
        <v>0</v>
      </c>
      <c r="AB175"/>
      <c r="AC175" s="4329"/>
      <c r="AD175" s="3100" t="s">
        <v>11170</v>
      </c>
      <c r="AE175" s="3084" t="s">
        <v>11171</v>
      </c>
      <c r="AF175" s="3085">
        <v>142</v>
      </c>
      <c r="AG175" s="3086">
        <v>162</v>
      </c>
      <c r="AH175" s="3087">
        <v>198</v>
      </c>
      <c r="AI175"/>
      <c r="AJ175" s="4330"/>
      <c r="AK175" s="3089" t="s">
        <v>11172</v>
      </c>
      <c r="AL175" s="3084" t="s">
        <v>11173</v>
      </c>
      <c r="AM175" s="3085">
        <v>238</v>
      </c>
      <c r="AN175" s="3086">
        <v>180</v>
      </c>
      <c r="AO175" s="3087">
        <v>180</v>
      </c>
      <c r="AQ175" s="3">
        <v>1</v>
      </c>
    </row>
    <row r="176" spans="1:43" ht="21" customHeight="1">
      <c r="V176" s="4331"/>
      <c r="W176" s="3114" t="s">
        <v>11174</v>
      </c>
      <c r="X176" s="3094" t="s">
        <v>11175</v>
      </c>
      <c r="Y176" s="3095">
        <v>126</v>
      </c>
      <c r="Z176" s="3096">
        <v>159</v>
      </c>
      <c r="AA176" s="3097">
        <v>46</v>
      </c>
      <c r="AB176"/>
      <c r="AC176" s="4332"/>
      <c r="AD176" s="3100" t="s">
        <v>11176</v>
      </c>
      <c r="AE176" s="3084" t="s">
        <v>11177</v>
      </c>
      <c r="AF176" s="3085">
        <v>49</v>
      </c>
      <c r="AG176" s="3086">
        <v>140</v>
      </c>
      <c r="AH176" s="3087">
        <v>231</v>
      </c>
      <c r="AI176"/>
      <c r="AJ176" s="4333"/>
      <c r="AK176" s="3100" t="s">
        <v>11178</v>
      </c>
      <c r="AL176" s="3084" t="s">
        <v>11179</v>
      </c>
      <c r="AM176" s="3085">
        <v>244</v>
      </c>
      <c r="AN176" s="3086">
        <v>194</v>
      </c>
      <c r="AO176" s="3087">
        <v>194</v>
      </c>
      <c r="AQ176" s="3">
        <v>1</v>
      </c>
    </row>
    <row r="177" spans="22:43" ht="21" customHeight="1">
      <c r="V177" s="4334"/>
      <c r="W177" s="3114" t="s">
        <v>11180</v>
      </c>
      <c r="X177" s="3094" t="s">
        <v>11181</v>
      </c>
      <c r="Y177" s="3095">
        <v>112</v>
      </c>
      <c r="Z177" s="3096">
        <v>141</v>
      </c>
      <c r="AA177" s="3097">
        <v>35</v>
      </c>
      <c r="AB177"/>
      <c r="AC177" s="4335"/>
      <c r="AD177" s="3089" t="s">
        <v>11182</v>
      </c>
      <c r="AE177" s="3084" t="s">
        <v>11183</v>
      </c>
      <c r="AF177" s="3085">
        <v>24</v>
      </c>
      <c r="AG177" s="3086">
        <v>116</v>
      </c>
      <c r="AH177" s="3087">
        <v>205</v>
      </c>
      <c r="AI177"/>
      <c r="AJ177" s="4336"/>
      <c r="AK177" s="3100" t="s">
        <v>11184</v>
      </c>
      <c r="AL177" s="3084" t="s">
        <v>11185</v>
      </c>
      <c r="AM177" s="3085">
        <v>255</v>
      </c>
      <c r="AN177" s="3086">
        <v>181</v>
      </c>
      <c r="AO177" s="3087">
        <v>186</v>
      </c>
      <c r="AQ177" s="3">
        <v>1</v>
      </c>
    </row>
    <row r="178" spans="22:43" ht="21" customHeight="1">
      <c r="V178" s="4337"/>
      <c r="W178" s="3114" t="s">
        <v>11186</v>
      </c>
      <c r="X178" s="3094" t="s">
        <v>11187</v>
      </c>
      <c r="Y178" s="3095">
        <v>89</v>
      </c>
      <c r="Z178" s="3096">
        <v>102</v>
      </c>
      <c r="AA178" s="3097">
        <v>67</v>
      </c>
      <c r="AB178"/>
      <c r="AC178" s="4338"/>
      <c r="AD178" s="3100" t="s">
        <v>11188</v>
      </c>
      <c r="AE178" s="3084" t="s">
        <v>11189</v>
      </c>
      <c r="AF178" s="3085">
        <v>21</v>
      </c>
      <c r="AG178" s="3086">
        <v>96</v>
      </c>
      <c r="AH178" s="3087">
        <v>189</v>
      </c>
      <c r="AI178"/>
      <c r="AJ178" s="4339"/>
      <c r="AK178" s="3100" t="s">
        <v>11190</v>
      </c>
      <c r="AL178" s="3084" t="s">
        <v>11191</v>
      </c>
      <c r="AM178" s="3085">
        <v>234</v>
      </c>
      <c r="AN178" s="3086">
        <v>216</v>
      </c>
      <c r="AO178" s="3087">
        <v>215</v>
      </c>
      <c r="AQ178" s="3">
        <v>1</v>
      </c>
    </row>
    <row r="179" spans="22:43" ht="21" customHeight="1">
      <c r="V179" s="4340"/>
      <c r="W179" s="3114" t="s">
        <v>11192</v>
      </c>
      <c r="X179" s="3094" t="s">
        <v>11193</v>
      </c>
      <c r="Y179" s="3095">
        <v>81</v>
      </c>
      <c r="Z179" s="3096">
        <v>87</v>
      </c>
      <c r="AA179" s="3097">
        <v>68</v>
      </c>
      <c r="AB179"/>
      <c r="AC179" s="4341"/>
      <c r="AD179" s="3100" t="s">
        <v>11194</v>
      </c>
      <c r="AE179" s="3084" t="s">
        <v>11195</v>
      </c>
      <c r="AF179" s="3085">
        <v>84</v>
      </c>
      <c r="AG179" s="3086">
        <v>114</v>
      </c>
      <c r="AH179" s="3087">
        <v>174</v>
      </c>
      <c r="AI179"/>
      <c r="AJ179" s="4342"/>
      <c r="AK179" s="3089" t="s">
        <v>11196</v>
      </c>
      <c r="AL179" s="3084" t="s">
        <v>11197</v>
      </c>
      <c r="AM179" s="3085">
        <v>255</v>
      </c>
      <c r="AN179" s="3086">
        <v>193</v>
      </c>
      <c r="AO179" s="3087">
        <v>193</v>
      </c>
      <c r="AQ179" s="3">
        <v>1</v>
      </c>
    </row>
    <row r="180" spans="22:43" ht="21" customHeight="1">
      <c r="V180" s="4343"/>
      <c r="W180" s="3114" t="s">
        <v>11198</v>
      </c>
      <c r="X180" s="3094" t="s">
        <v>11199</v>
      </c>
      <c r="Y180" s="3095">
        <v>74</v>
      </c>
      <c r="Z180" s="3096">
        <v>93</v>
      </c>
      <c r="AA180" s="3097">
        <v>35</v>
      </c>
      <c r="AB180"/>
      <c r="AC180" s="4344"/>
      <c r="AD180" s="3100" t="s">
        <v>11200</v>
      </c>
      <c r="AE180" s="3084" t="s">
        <v>11201</v>
      </c>
      <c r="AF180" s="3085">
        <v>38</v>
      </c>
      <c r="AG180" s="3086">
        <v>97</v>
      </c>
      <c r="AH180" s="3087">
        <v>156</v>
      </c>
      <c r="AI180"/>
      <c r="AJ180" s="4345"/>
      <c r="AK180" s="3100" t="s">
        <v>11202</v>
      </c>
      <c r="AL180" s="3084" t="s">
        <v>11203</v>
      </c>
      <c r="AM180" s="3085">
        <v>249</v>
      </c>
      <c r="AN180" s="3086">
        <v>204</v>
      </c>
      <c r="AO180" s="3087">
        <v>202</v>
      </c>
      <c r="AQ180" s="3">
        <v>1</v>
      </c>
    </row>
    <row r="181" spans="22:43" ht="21" customHeight="1">
      <c r="V181" s="4346"/>
      <c r="W181" s="3114" t="s">
        <v>11204</v>
      </c>
      <c r="X181" s="3094" t="s">
        <v>11205</v>
      </c>
      <c r="Y181" s="3095">
        <v>64</v>
      </c>
      <c r="Z181" s="3096">
        <v>79</v>
      </c>
      <c r="AA181" s="3097">
        <v>0</v>
      </c>
      <c r="AB181"/>
      <c r="AC181" s="4347"/>
      <c r="AD181" s="3100" t="s">
        <v>11206</v>
      </c>
      <c r="AE181" s="3084" t="s">
        <v>11207</v>
      </c>
      <c r="AF181" s="3085">
        <v>66</v>
      </c>
      <c r="AG181" s="3086">
        <v>91</v>
      </c>
      <c r="AH181" s="3087">
        <v>138</v>
      </c>
      <c r="AI181"/>
      <c r="AJ181" s="4348"/>
      <c r="AK181" s="3089" t="s">
        <v>11208</v>
      </c>
      <c r="AL181" s="3084" t="s">
        <v>11209</v>
      </c>
      <c r="AM181" s="3085">
        <v>238</v>
      </c>
      <c r="AN181" s="3086">
        <v>233</v>
      </c>
      <c r="AO181" s="3087">
        <v>233</v>
      </c>
      <c r="AQ181" s="3">
        <v>1</v>
      </c>
    </row>
    <row r="182" spans="22:43" ht="21" customHeight="1">
      <c r="V182" s="4349"/>
      <c r="W182" s="3114" t="s">
        <v>11210</v>
      </c>
      <c r="X182" s="3094" t="s">
        <v>11211</v>
      </c>
      <c r="Y182" s="3095">
        <v>35</v>
      </c>
      <c r="Z182" s="3096">
        <v>47</v>
      </c>
      <c r="AA182" s="3097">
        <v>0</v>
      </c>
      <c r="AB182"/>
      <c r="AC182" s="4350"/>
      <c r="AD182" s="3089" t="s">
        <v>11212</v>
      </c>
      <c r="AE182" s="3084" t="s">
        <v>11213</v>
      </c>
      <c r="AF182" s="3085">
        <v>16</v>
      </c>
      <c r="AG182" s="3086">
        <v>78</v>
      </c>
      <c r="AH182" s="3087">
        <v>139</v>
      </c>
      <c r="AI182"/>
      <c r="AJ182" s="4351"/>
      <c r="AK182" s="3089" t="s">
        <v>11214</v>
      </c>
      <c r="AL182" s="3084" t="s">
        <v>11215</v>
      </c>
      <c r="AM182" s="3085">
        <v>255</v>
      </c>
      <c r="AN182" s="3086">
        <v>250</v>
      </c>
      <c r="AO182" s="3087">
        <v>250</v>
      </c>
      <c r="AQ182" s="3">
        <v>1</v>
      </c>
    </row>
    <row r="183" spans="22:43" ht="21" customHeight="1">
      <c r="V183" s="4352"/>
      <c r="W183" s="3114" t="s">
        <v>11216</v>
      </c>
      <c r="X183" s="3094" t="s">
        <v>11217</v>
      </c>
      <c r="Y183" s="3095">
        <v>158</v>
      </c>
      <c r="Z183" s="3096">
        <v>253</v>
      </c>
      <c r="AA183" s="3097">
        <v>56</v>
      </c>
      <c r="AB183"/>
      <c r="AC183" s="4353"/>
      <c r="AD183" s="3100" t="s">
        <v>11218</v>
      </c>
      <c r="AE183" s="3084" t="s">
        <v>11219</v>
      </c>
      <c r="AF183" s="3085">
        <v>90</v>
      </c>
      <c r="AG183" s="3086">
        <v>94</v>
      </c>
      <c r="AH183" s="3087">
        <v>107</v>
      </c>
      <c r="AI183"/>
      <c r="AJ183" s="4354"/>
      <c r="AK183" s="3100" t="s">
        <v>11220</v>
      </c>
      <c r="AL183" s="3084" t="s">
        <v>11221</v>
      </c>
      <c r="AM183" s="3085">
        <v>254</v>
      </c>
      <c r="AN183" s="3086">
        <v>27</v>
      </c>
      <c r="AO183" s="3087">
        <v>0</v>
      </c>
      <c r="AQ183" s="3">
        <v>1</v>
      </c>
    </row>
    <row r="184" spans="22:43" ht="21" customHeight="1">
      <c r="V184" s="4355"/>
      <c r="W184" s="3093" t="s">
        <v>11222</v>
      </c>
      <c r="X184" s="3094" t="s">
        <v>11223</v>
      </c>
      <c r="Y184" s="3095">
        <v>173</v>
      </c>
      <c r="Z184" s="3096">
        <v>255</v>
      </c>
      <c r="AA184" s="3097">
        <v>47</v>
      </c>
      <c r="AB184"/>
      <c r="AC184" s="4356"/>
      <c r="AD184" s="3100" t="s">
        <v>11224</v>
      </c>
      <c r="AE184" s="3084" t="s">
        <v>11225</v>
      </c>
      <c r="AF184" s="3085">
        <v>34</v>
      </c>
      <c r="AG184" s="3086">
        <v>66</v>
      </c>
      <c r="AH184" s="3087">
        <v>124</v>
      </c>
      <c r="AI184"/>
      <c r="AJ184" s="4357"/>
      <c r="AK184" s="3089" t="s">
        <v>11226</v>
      </c>
      <c r="AL184" s="3084" t="s">
        <v>11227</v>
      </c>
      <c r="AM184" s="3085">
        <v>238</v>
      </c>
      <c r="AN184" s="3086">
        <v>99</v>
      </c>
      <c r="AO184" s="3087">
        <v>99</v>
      </c>
      <c r="AQ184" s="3">
        <v>1</v>
      </c>
    </row>
    <row r="185" spans="22:43" ht="21" customHeight="1">
      <c r="V185" s="4358"/>
      <c r="W185" s="3114" t="s">
        <v>11228</v>
      </c>
      <c r="X185" s="3094" t="s">
        <v>11229</v>
      </c>
      <c r="Y185" s="3095">
        <v>159</v>
      </c>
      <c r="Z185" s="3096">
        <v>232</v>
      </c>
      <c r="AA185" s="3097">
        <v>85</v>
      </c>
      <c r="AB185"/>
      <c r="AC185" s="4359"/>
      <c r="AD185" s="3100" t="s">
        <v>11230</v>
      </c>
      <c r="AE185" s="3084" t="s">
        <v>11231</v>
      </c>
      <c r="AF185" s="3085">
        <v>0</v>
      </c>
      <c r="AG185" s="3086">
        <v>51</v>
      </c>
      <c r="AH185" s="3087">
        <v>102</v>
      </c>
      <c r="AI185"/>
      <c r="AJ185" s="4360"/>
      <c r="AK185" s="3100" t="s">
        <v>11232</v>
      </c>
      <c r="AL185" s="3084" t="s">
        <v>11233</v>
      </c>
      <c r="AM185" s="3085">
        <v>196</v>
      </c>
      <c r="AN185" s="3086">
        <v>174</v>
      </c>
      <c r="AO185" s="3087">
        <v>173</v>
      </c>
      <c r="AQ185" s="3">
        <v>1</v>
      </c>
    </row>
    <row r="186" spans="22:43" ht="21" customHeight="1">
      <c r="V186" s="4361"/>
      <c r="W186" s="3114" t="s">
        <v>11234</v>
      </c>
      <c r="X186" s="3094" t="s">
        <v>11235</v>
      </c>
      <c r="Y186" s="3095">
        <v>123</v>
      </c>
      <c r="Z186" s="3096">
        <v>160</v>
      </c>
      <c r="AA186" s="3097">
        <v>91</v>
      </c>
      <c r="AB186"/>
      <c r="AC186" s="4362"/>
      <c r="AD186" s="3100" t="s">
        <v>11236</v>
      </c>
      <c r="AE186" s="3084" t="s">
        <v>11237</v>
      </c>
      <c r="AF186" s="3085">
        <v>3</v>
      </c>
      <c r="AG186" s="3086">
        <v>34</v>
      </c>
      <c r="AH186" s="3087">
        <v>76</v>
      </c>
      <c r="AI186"/>
      <c r="AJ186" s="4363"/>
      <c r="AK186" s="3089" t="s">
        <v>11238</v>
      </c>
      <c r="AL186" s="3084" t="s">
        <v>11239</v>
      </c>
      <c r="AM186" s="3085">
        <v>205</v>
      </c>
      <c r="AN186" s="3086">
        <v>155</v>
      </c>
      <c r="AO186" s="3087">
        <v>155</v>
      </c>
      <c r="AQ186" s="3">
        <v>1</v>
      </c>
    </row>
    <row r="187" spans="22:43" ht="21" customHeight="1">
      <c r="V187" s="4364"/>
      <c r="W187" s="3114" t="s">
        <v>11240</v>
      </c>
      <c r="X187" s="3094" t="s">
        <v>11241</v>
      </c>
      <c r="Y187" s="3095">
        <v>86</v>
      </c>
      <c r="Z187" s="3096">
        <v>130</v>
      </c>
      <c r="AA187" s="3097">
        <v>3</v>
      </c>
      <c r="AB187"/>
      <c r="AC187" s="4365"/>
      <c r="AD187" s="3089" t="s">
        <v>11242</v>
      </c>
      <c r="AE187" s="3084" t="s">
        <v>11243</v>
      </c>
      <c r="AF187" s="3085">
        <v>127</v>
      </c>
      <c r="AG187" s="3086">
        <v>0</v>
      </c>
      <c r="AH187" s="3087">
        <v>255</v>
      </c>
      <c r="AI187"/>
      <c r="AJ187" s="4366"/>
      <c r="AK187" s="3100" t="s">
        <v>11244</v>
      </c>
      <c r="AL187" s="3084" t="s">
        <v>11245</v>
      </c>
      <c r="AM187" s="3085">
        <v>228</v>
      </c>
      <c r="AN187" s="3086">
        <v>113</v>
      </c>
      <c r="AO187" s="3087">
        <v>122</v>
      </c>
      <c r="AQ187" s="3">
        <v>1</v>
      </c>
    </row>
    <row r="188" spans="22:43" ht="21" customHeight="1">
      <c r="V188" s="4367"/>
      <c r="W188" s="3114" t="s">
        <v>11246</v>
      </c>
      <c r="X188" s="3094" t="s">
        <v>11247</v>
      </c>
      <c r="Y188" s="3095">
        <v>0</v>
      </c>
      <c r="Z188" s="3096">
        <v>255</v>
      </c>
      <c r="AA188" s="3097">
        <v>255</v>
      </c>
      <c r="AB188"/>
      <c r="AC188" s="4368"/>
      <c r="AD188" s="3089" t="s">
        <v>11248</v>
      </c>
      <c r="AE188" s="3084" t="s">
        <v>11249</v>
      </c>
      <c r="AF188" s="3085">
        <v>155</v>
      </c>
      <c r="AG188" s="3086">
        <v>48</v>
      </c>
      <c r="AH188" s="3087">
        <v>255</v>
      </c>
      <c r="AI188"/>
      <c r="AJ188" s="4369"/>
      <c r="AK188" s="3100" t="s">
        <v>11250</v>
      </c>
      <c r="AL188" s="3084" t="s">
        <v>11251</v>
      </c>
      <c r="AM188" s="3085">
        <v>247</v>
      </c>
      <c r="AN188" s="3086">
        <v>35</v>
      </c>
      <c r="AO188" s="3087">
        <v>12</v>
      </c>
      <c r="AQ188" s="3">
        <v>1</v>
      </c>
    </row>
    <row r="189" spans="22:43" ht="21" customHeight="1">
      <c r="V189" s="4370"/>
      <c r="W189" s="3093" t="s">
        <v>11252</v>
      </c>
      <c r="X189" s="3094" t="s">
        <v>11253</v>
      </c>
      <c r="Y189" s="3095">
        <v>180</v>
      </c>
      <c r="Z189" s="3096">
        <v>205</v>
      </c>
      <c r="AA189" s="3097">
        <v>205</v>
      </c>
      <c r="AB189"/>
      <c r="AC189" s="4371"/>
      <c r="AD189" s="3089" t="s">
        <v>11254</v>
      </c>
      <c r="AE189" s="3084" t="s">
        <v>11255</v>
      </c>
      <c r="AF189" s="3085">
        <v>159</v>
      </c>
      <c r="AG189" s="3086">
        <v>121</v>
      </c>
      <c r="AH189" s="3087">
        <v>238</v>
      </c>
      <c r="AI189"/>
      <c r="AJ189" s="4372"/>
      <c r="AK189" s="3100" t="s">
        <v>11256</v>
      </c>
      <c r="AL189" s="3084" t="s">
        <v>11257</v>
      </c>
      <c r="AM189" s="3085">
        <v>187</v>
      </c>
      <c r="AN189" s="3086">
        <v>172</v>
      </c>
      <c r="AO189" s="3087">
        <v>172</v>
      </c>
      <c r="AQ189" s="3">
        <v>1</v>
      </c>
    </row>
    <row r="190" spans="22:43" ht="21" customHeight="1">
      <c r="V190" s="4373"/>
      <c r="W190" s="3093" t="s">
        <v>11258</v>
      </c>
      <c r="X190" s="3094" t="s">
        <v>11259</v>
      </c>
      <c r="Y190" s="3095">
        <v>141</v>
      </c>
      <c r="Z190" s="3096">
        <v>238</v>
      </c>
      <c r="AA190" s="3097">
        <v>238</v>
      </c>
      <c r="AB190"/>
      <c r="AC190" s="4374"/>
      <c r="AD190" s="3089" t="s">
        <v>11260</v>
      </c>
      <c r="AE190" s="3084" t="s">
        <v>11261</v>
      </c>
      <c r="AF190" s="3085">
        <v>171</v>
      </c>
      <c r="AG190" s="3086">
        <v>130</v>
      </c>
      <c r="AH190" s="3087">
        <v>255</v>
      </c>
      <c r="AI190"/>
      <c r="AJ190" s="4375"/>
      <c r="AK190" s="3100" t="s">
        <v>11262</v>
      </c>
      <c r="AL190" s="3084" t="s">
        <v>11263</v>
      </c>
      <c r="AM190" s="3085">
        <v>230</v>
      </c>
      <c r="AN190" s="3086">
        <v>103</v>
      </c>
      <c r="AO190" s="3087">
        <v>97</v>
      </c>
      <c r="AQ190" s="3">
        <v>1</v>
      </c>
    </row>
    <row r="191" spans="22:43" ht="21" customHeight="1">
      <c r="V191" s="4376"/>
      <c r="W191" s="3114" t="s">
        <v>11264</v>
      </c>
      <c r="X191" s="3094" t="s">
        <v>11265</v>
      </c>
      <c r="Y191" s="3095">
        <v>121</v>
      </c>
      <c r="Z191" s="3096">
        <v>248</v>
      </c>
      <c r="AA191" s="3097">
        <v>248</v>
      </c>
      <c r="AB191"/>
      <c r="AC191" s="4377"/>
      <c r="AD191" s="3100" t="s">
        <v>11266</v>
      </c>
      <c r="AE191" s="3084" t="s">
        <v>11267</v>
      </c>
      <c r="AF191" s="3085">
        <v>210</v>
      </c>
      <c r="AG191" s="3086">
        <v>202</v>
      </c>
      <c r="AH191" s="3087">
        <v>236</v>
      </c>
      <c r="AI191"/>
      <c r="AJ191" s="4378"/>
      <c r="AK191" s="3089" t="s">
        <v>11268</v>
      </c>
      <c r="AL191" s="3084" t="s">
        <v>11269</v>
      </c>
      <c r="AM191" s="3085">
        <v>238</v>
      </c>
      <c r="AN191" s="3086">
        <v>92</v>
      </c>
      <c r="AO191" s="3087">
        <v>66</v>
      </c>
      <c r="AQ191" s="3">
        <v>1</v>
      </c>
    </row>
    <row r="192" spans="22:43" ht="21" customHeight="1">
      <c r="V192" s="4379"/>
      <c r="W192" s="3093" t="s">
        <v>11270</v>
      </c>
      <c r="X192" s="3094" t="s">
        <v>11271</v>
      </c>
      <c r="Y192" s="3095">
        <v>193</v>
      </c>
      <c r="Z192" s="3096">
        <v>205</v>
      </c>
      <c r="AA192" s="3097">
        <v>205</v>
      </c>
      <c r="AB192"/>
      <c r="AC192" s="4380"/>
      <c r="AD192" s="3100" t="s">
        <v>11272</v>
      </c>
      <c r="AE192" s="3084" t="s">
        <v>11273</v>
      </c>
      <c r="AF192" s="3085">
        <v>220</v>
      </c>
      <c r="AG192" s="3086">
        <v>208</v>
      </c>
      <c r="AH192" s="3087">
        <v>255</v>
      </c>
      <c r="AI192"/>
      <c r="AJ192" s="4381"/>
      <c r="AK192" s="3089" t="s">
        <v>11274</v>
      </c>
      <c r="AL192" s="3084" t="s">
        <v>11275</v>
      </c>
      <c r="AM192" s="3085">
        <v>238</v>
      </c>
      <c r="AN192" s="3086">
        <v>59</v>
      </c>
      <c r="AO192" s="3087">
        <v>59</v>
      </c>
      <c r="AQ192" s="3">
        <v>1</v>
      </c>
    </row>
    <row r="193" spans="22:43" ht="21" customHeight="1">
      <c r="V193" s="4382"/>
      <c r="W193" s="3093" t="s">
        <v>11276</v>
      </c>
      <c r="X193" s="3094" t="s">
        <v>11277</v>
      </c>
      <c r="Y193" s="3095">
        <v>173</v>
      </c>
      <c r="Z193" s="3096">
        <v>234</v>
      </c>
      <c r="AA193" s="3097">
        <v>234</v>
      </c>
      <c r="AB193"/>
      <c r="AC193" s="4383"/>
      <c r="AD193" s="3089" t="s">
        <v>11278</v>
      </c>
      <c r="AE193" s="3084" t="s">
        <v>11279</v>
      </c>
      <c r="AF193" s="3085">
        <v>145</v>
      </c>
      <c r="AG193" s="3086">
        <v>44</v>
      </c>
      <c r="AH193" s="3087">
        <v>238</v>
      </c>
      <c r="AI193"/>
      <c r="AJ193" s="4384"/>
      <c r="AK193" s="3089" t="s">
        <v>11280</v>
      </c>
      <c r="AL193" s="3084" t="s">
        <v>11281</v>
      </c>
      <c r="AM193" s="3085">
        <v>238</v>
      </c>
      <c r="AN193" s="3086">
        <v>44</v>
      </c>
      <c r="AO193" s="3087">
        <v>44</v>
      </c>
      <c r="AQ193" s="3">
        <v>1</v>
      </c>
    </row>
    <row r="194" spans="22:43" ht="21" customHeight="1">
      <c r="V194" s="4385"/>
      <c r="W194" s="3093" t="s">
        <v>11282</v>
      </c>
      <c r="X194" s="3094" t="s">
        <v>11283</v>
      </c>
      <c r="Y194" s="3095">
        <v>174</v>
      </c>
      <c r="Z194" s="3096">
        <v>238</v>
      </c>
      <c r="AA194" s="3097">
        <v>238</v>
      </c>
      <c r="AB194"/>
      <c r="AC194" s="4386"/>
      <c r="AD194" s="3089" t="s">
        <v>11284</v>
      </c>
      <c r="AE194" s="3084" t="s">
        <v>11285</v>
      </c>
      <c r="AF194" s="3085">
        <v>147</v>
      </c>
      <c r="AG194" s="3086">
        <v>112</v>
      </c>
      <c r="AH194" s="3087">
        <v>219</v>
      </c>
      <c r="AI194"/>
      <c r="AJ194" s="4387"/>
      <c r="AK194" s="3100" t="s">
        <v>11286</v>
      </c>
      <c r="AL194" s="3084" t="s">
        <v>11287</v>
      </c>
      <c r="AM194" s="3085">
        <v>238</v>
      </c>
      <c r="AN194" s="3086">
        <v>16</v>
      </c>
      <c r="AO194" s="3087">
        <v>16</v>
      </c>
      <c r="AQ194" s="3">
        <v>1</v>
      </c>
    </row>
    <row r="195" spans="22:43" ht="21" customHeight="1">
      <c r="V195" s="4388"/>
      <c r="W195" s="3093" t="s">
        <v>11288</v>
      </c>
      <c r="X195" s="3094" t="s">
        <v>11289</v>
      </c>
      <c r="Y195" s="3095">
        <v>175</v>
      </c>
      <c r="Z195" s="3096">
        <v>238</v>
      </c>
      <c r="AA195" s="3097">
        <v>238</v>
      </c>
      <c r="AB195"/>
      <c r="AC195" s="4389"/>
      <c r="AD195" s="3089" t="s">
        <v>11290</v>
      </c>
      <c r="AE195" s="3084" t="s">
        <v>11291</v>
      </c>
      <c r="AF195" s="3085">
        <v>138</v>
      </c>
      <c r="AG195" s="3086">
        <v>43</v>
      </c>
      <c r="AH195" s="3087">
        <v>226</v>
      </c>
      <c r="AI195"/>
      <c r="AJ195" s="4390"/>
      <c r="AK195" s="3100" t="s">
        <v>11292</v>
      </c>
      <c r="AL195" s="3084" t="s">
        <v>11293</v>
      </c>
      <c r="AM195" s="3085">
        <v>233</v>
      </c>
      <c r="AN195" s="3086">
        <v>56</v>
      </c>
      <c r="AO195" s="3087">
        <v>63</v>
      </c>
      <c r="AQ195" s="3">
        <v>1</v>
      </c>
    </row>
    <row r="196" spans="22:43" ht="21" customHeight="1">
      <c r="V196" s="4391"/>
      <c r="W196" s="3093" t="s">
        <v>11294</v>
      </c>
      <c r="X196" s="3094" t="s">
        <v>11295</v>
      </c>
      <c r="Y196" s="3095">
        <v>151</v>
      </c>
      <c r="Z196" s="3096">
        <v>255</v>
      </c>
      <c r="AA196" s="3097">
        <v>255</v>
      </c>
      <c r="AB196"/>
      <c r="AC196" s="4392"/>
      <c r="AD196" s="3089" t="s">
        <v>11296</v>
      </c>
      <c r="AE196" s="3084" t="s">
        <v>11297</v>
      </c>
      <c r="AF196" s="3085">
        <v>137</v>
      </c>
      <c r="AG196" s="3086">
        <v>104</v>
      </c>
      <c r="AH196" s="3087">
        <v>205</v>
      </c>
      <c r="AI196"/>
      <c r="AJ196" s="4393"/>
      <c r="AK196" s="3089" t="s">
        <v>11298</v>
      </c>
      <c r="AL196" s="3084" t="s">
        <v>11299</v>
      </c>
      <c r="AM196" s="3085">
        <v>238</v>
      </c>
      <c r="AN196" s="3086">
        <v>0</v>
      </c>
      <c r="AO196" s="3087">
        <v>0</v>
      </c>
      <c r="AQ196" s="3">
        <v>1</v>
      </c>
    </row>
    <row r="197" spans="22:43" ht="21" customHeight="1">
      <c r="V197" s="4394"/>
      <c r="W197" s="3093" t="s">
        <v>11300</v>
      </c>
      <c r="X197" s="3094" t="s">
        <v>11301</v>
      </c>
      <c r="Y197" s="3095">
        <v>209</v>
      </c>
      <c r="Z197" s="3096">
        <v>238</v>
      </c>
      <c r="AA197" s="3097">
        <v>238</v>
      </c>
      <c r="AB197"/>
      <c r="AC197" s="4395"/>
      <c r="AD197" s="3100" t="s">
        <v>11302</v>
      </c>
      <c r="AE197" s="3084" t="s">
        <v>11303</v>
      </c>
      <c r="AF197" s="3085">
        <v>144</v>
      </c>
      <c r="AG197" s="3086">
        <v>101</v>
      </c>
      <c r="AH197" s="3087">
        <v>202</v>
      </c>
      <c r="AI197"/>
      <c r="AJ197" s="4396"/>
      <c r="AK197" s="3089" t="s">
        <v>11304</v>
      </c>
      <c r="AL197" s="3084" t="s">
        <v>11299</v>
      </c>
      <c r="AM197" s="3085">
        <v>238</v>
      </c>
      <c r="AN197" s="3086">
        <v>64</v>
      </c>
      <c r="AO197" s="3087">
        <v>0</v>
      </c>
      <c r="AQ197" s="3">
        <v>1</v>
      </c>
    </row>
    <row r="198" spans="22:43" ht="21" customHeight="1">
      <c r="V198" s="4397"/>
      <c r="W198" s="3093" t="s">
        <v>11305</v>
      </c>
      <c r="X198" s="3094" t="s">
        <v>11306</v>
      </c>
      <c r="Y198" s="3095">
        <v>187</v>
      </c>
      <c r="Z198" s="3096">
        <v>255</v>
      </c>
      <c r="AA198" s="3097">
        <v>255</v>
      </c>
      <c r="AB198"/>
      <c r="AC198" s="4398"/>
      <c r="AD198" s="3089" t="s">
        <v>11307</v>
      </c>
      <c r="AE198" s="3084" t="s">
        <v>11308</v>
      </c>
      <c r="AF198" s="3085">
        <v>125</v>
      </c>
      <c r="AG198" s="3086">
        <v>38</v>
      </c>
      <c r="AH198" s="3087">
        <v>205</v>
      </c>
      <c r="AI198"/>
      <c r="AJ198" s="4399"/>
      <c r="AK198" s="3100" t="s">
        <v>11309</v>
      </c>
      <c r="AL198" s="3084" t="s">
        <v>11310</v>
      </c>
      <c r="AM198" s="3085">
        <v>237</v>
      </c>
      <c r="AN198" s="3086">
        <v>0</v>
      </c>
      <c r="AO198" s="3087">
        <v>0</v>
      </c>
      <c r="AQ198" s="3">
        <v>1</v>
      </c>
    </row>
    <row r="199" spans="22:43" ht="21" customHeight="1">
      <c r="V199" s="4400"/>
      <c r="W199" s="3093" t="s">
        <v>11311</v>
      </c>
      <c r="X199" s="3094" t="s">
        <v>11312</v>
      </c>
      <c r="Y199" s="3095">
        <v>224</v>
      </c>
      <c r="Z199" s="3096">
        <v>238</v>
      </c>
      <c r="AA199" s="3097">
        <v>238</v>
      </c>
      <c r="AB199"/>
      <c r="AC199" s="4401"/>
      <c r="AD199" s="3089" t="s">
        <v>11313</v>
      </c>
      <c r="AE199" s="3084" t="s">
        <v>11314</v>
      </c>
      <c r="AF199" s="3085">
        <v>99</v>
      </c>
      <c r="AG199" s="3086">
        <v>86</v>
      </c>
      <c r="AH199" s="3087">
        <v>136</v>
      </c>
      <c r="AI199"/>
      <c r="AJ199" s="4402"/>
      <c r="AK199" s="3100" t="s">
        <v>11315</v>
      </c>
      <c r="AL199" s="3084" t="s">
        <v>11316</v>
      </c>
      <c r="AM199" s="3085">
        <v>231</v>
      </c>
      <c r="AN199" s="3086">
        <v>62</v>
      </c>
      <c r="AO199" s="3087">
        <v>1</v>
      </c>
      <c r="AQ199" s="3">
        <v>1</v>
      </c>
    </row>
    <row r="200" spans="22:43" ht="21" customHeight="1">
      <c r="V200" s="4403"/>
      <c r="W200" s="3093" t="s">
        <v>11317</v>
      </c>
      <c r="X200" s="3094" t="s">
        <v>11318</v>
      </c>
      <c r="Y200" s="3095">
        <v>224</v>
      </c>
      <c r="Z200" s="3096">
        <v>255</v>
      </c>
      <c r="AA200" s="3097">
        <v>255</v>
      </c>
      <c r="AB200"/>
      <c r="AC200" s="4404"/>
      <c r="AD200" s="3089" t="s">
        <v>11319</v>
      </c>
      <c r="AE200" s="3084" t="s">
        <v>11320</v>
      </c>
      <c r="AF200" s="3085">
        <v>93</v>
      </c>
      <c r="AG200" s="3086">
        <v>71</v>
      </c>
      <c r="AH200" s="3087">
        <v>139</v>
      </c>
      <c r="AI200"/>
      <c r="AJ200" s="4405"/>
      <c r="AK200" s="3089" t="s">
        <v>11321</v>
      </c>
      <c r="AL200" s="3084" t="s">
        <v>11322</v>
      </c>
      <c r="AM200" s="3085">
        <v>188</v>
      </c>
      <c r="AN200" s="3086">
        <v>143</v>
      </c>
      <c r="AO200" s="3087">
        <v>143</v>
      </c>
      <c r="AQ200" s="3">
        <v>1</v>
      </c>
    </row>
    <row r="201" spans="22:43" ht="21" customHeight="1">
      <c r="V201" s="4406"/>
      <c r="W201" s="3093" t="s">
        <v>11323</v>
      </c>
      <c r="X201" s="3094" t="s">
        <v>11324</v>
      </c>
      <c r="Y201" s="3095">
        <v>240</v>
      </c>
      <c r="Z201" s="3096">
        <v>255</v>
      </c>
      <c r="AA201" s="3097">
        <v>255</v>
      </c>
      <c r="AB201"/>
      <c r="AC201" s="4407"/>
      <c r="AD201" s="3100" t="s">
        <v>11325</v>
      </c>
      <c r="AE201" s="3084" t="s">
        <v>11326</v>
      </c>
      <c r="AF201" s="3085">
        <v>96</v>
      </c>
      <c r="AG201" s="3086">
        <v>78</v>
      </c>
      <c r="AH201" s="3087">
        <v>129</v>
      </c>
      <c r="AI201"/>
      <c r="AJ201" s="4408"/>
      <c r="AK201" s="3100" t="s">
        <v>11327</v>
      </c>
      <c r="AL201" s="3084" t="s">
        <v>11328</v>
      </c>
      <c r="AM201" s="3085">
        <v>226</v>
      </c>
      <c r="AN201" s="3086">
        <v>19</v>
      </c>
      <c r="AO201" s="3087">
        <v>19</v>
      </c>
      <c r="AQ201" s="3">
        <v>1</v>
      </c>
    </row>
    <row r="202" spans="22:43" ht="21" customHeight="1">
      <c r="V202" s="4409"/>
      <c r="W202" s="3114" t="s">
        <v>11329</v>
      </c>
      <c r="X202" s="3094" t="s">
        <v>11330</v>
      </c>
      <c r="Y202" s="3095">
        <v>242</v>
      </c>
      <c r="Z202" s="3096">
        <v>255</v>
      </c>
      <c r="AA202" s="3097">
        <v>255</v>
      </c>
      <c r="AB202"/>
      <c r="AC202" s="4410"/>
      <c r="AD202" s="3100" t="s">
        <v>11331</v>
      </c>
      <c r="AE202" s="3084" t="s">
        <v>11332</v>
      </c>
      <c r="AF202" s="3085">
        <v>85</v>
      </c>
      <c r="AG202" s="3086">
        <v>76</v>
      </c>
      <c r="AH202" s="3087">
        <v>105</v>
      </c>
      <c r="AI202"/>
      <c r="AJ202" s="4411"/>
      <c r="AK202" s="3100" t="s">
        <v>11333</v>
      </c>
      <c r="AL202" s="3084" t="s">
        <v>11334</v>
      </c>
      <c r="AM202" s="3085">
        <v>192</v>
      </c>
      <c r="AN202" s="3086">
        <v>128</v>
      </c>
      <c r="AO202" s="3087">
        <v>129</v>
      </c>
      <c r="AQ202" s="3">
        <v>1</v>
      </c>
    </row>
    <row r="203" spans="22:43" ht="21" customHeight="1">
      <c r="V203" s="4412"/>
      <c r="W203" s="3114" t="s">
        <v>11335</v>
      </c>
      <c r="X203" s="3094" t="s">
        <v>11336</v>
      </c>
      <c r="Y203" s="3095">
        <v>244</v>
      </c>
      <c r="Z203" s="3096">
        <v>254</v>
      </c>
      <c r="AA203" s="3097">
        <v>254</v>
      </c>
      <c r="AB203"/>
      <c r="AC203" s="4413"/>
      <c r="AD203" s="3089" t="s">
        <v>11337</v>
      </c>
      <c r="AE203" s="3084" t="s">
        <v>11338</v>
      </c>
      <c r="AF203" s="3085">
        <v>173</v>
      </c>
      <c r="AG203" s="3086">
        <v>216</v>
      </c>
      <c r="AH203" s="3087">
        <v>230</v>
      </c>
      <c r="AI203"/>
      <c r="AJ203" s="4414"/>
      <c r="AK203" s="3100" t="s">
        <v>11339</v>
      </c>
      <c r="AL203" s="3084" t="s">
        <v>11340</v>
      </c>
      <c r="AM203" s="3085">
        <v>222</v>
      </c>
      <c r="AN203" s="3086">
        <v>41</v>
      </c>
      <c r="AO203" s="3087">
        <v>22</v>
      </c>
      <c r="AQ203" s="3">
        <v>1</v>
      </c>
    </row>
    <row r="204" spans="22:43" ht="21" customHeight="1">
      <c r="V204" s="4415"/>
      <c r="W204" s="3114" t="s">
        <v>11341</v>
      </c>
      <c r="X204" s="3094" t="s">
        <v>11342</v>
      </c>
      <c r="Y204" s="3095">
        <v>246</v>
      </c>
      <c r="Z204" s="3096">
        <v>254</v>
      </c>
      <c r="AA204" s="3097">
        <v>254</v>
      </c>
      <c r="AB204"/>
      <c r="AC204" s="4416"/>
      <c r="AD204" s="3089" t="s">
        <v>11343</v>
      </c>
      <c r="AE204" s="3084" t="s">
        <v>11344</v>
      </c>
      <c r="AF204" s="3085">
        <v>178</v>
      </c>
      <c r="AG204" s="3086">
        <v>223</v>
      </c>
      <c r="AH204" s="3087">
        <v>238</v>
      </c>
      <c r="AI204"/>
      <c r="AJ204" s="4417"/>
      <c r="AK204" s="3089" t="s">
        <v>11345</v>
      </c>
      <c r="AL204" s="3084" t="s">
        <v>11346</v>
      </c>
      <c r="AM204" s="3085">
        <v>205</v>
      </c>
      <c r="AN204" s="3086">
        <v>92</v>
      </c>
      <c r="AO204" s="3087">
        <v>92</v>
      </c>
      <c r="AQ204" s="3">
        <v>1</v>
      </c>
    </row>
    <row r="205" spans="22:43" ht="21" customHeight="1">
      <c r="V205" s="4418"/>
      <c r="W205" s="3114" t="s">
        <v>11347</v>
      </c>
      <c r="X205" s="3094" t="s">
        <v>11348</v>
      </c>
      <c r="Y205" s="3095">
        <v>43</v>
      </c>
      <c r="Z205" s="3096">
        <v>250</v>
      </c>
      <c r="AA205" s="3097">
        <v>250</v>
      </c>
      <c r="AB205"/>
      <c r="AC205" s="4419"/>
      <c r="AD205" s="3100" t="s">
        <v>11349</v>
      </c>
      <c r="AE205" s="3084" t="s">
        <v>11350</v>
      </c>
      <c r="AF205" s="3085">
        <v>169</v>
      </c>
      <c r="AG205" s="3086">
        <v>234</v>
      </c>
      <c r="AH205" s="3087">
        <v>254</v>
      </c>
      <c r="AI205"/>
      <c r="AJ205" s="4420"/>
      <c r="AK205" s="3100" t="s">
        <v>11351</v>
      </c>
      <c r="AL205" s="3084" t="s">
        <v>11352</v>
      </c>
      <c r="AM205" s="3085">
        <v>219</v>
      </c>
      <c r="AN205" s="3086">
        <v>23</v>
      </c>
      <c r="AO205" s="3087">
        <v>2</v>
      </c>
      <c r="AQ205" s="3">
        <v>1</v>
      </c>
    </row>
    <row r="206" spans="22:43" ht="21" customHeight="1">
      <c r="V206" s="4421"/>
      <c r="W206" s="3093" t="s">
        <v>11353</v>
      </c>
      <c r="X206" s="3094" t="s">
        <v>11354</v>
      </c>
      <c r="Y206" s="3095">
        <v>150</v>
      </c>
      <c r="Z206" s="3096">
        <v>205</v>
      </c>
      <c r="AA206" s="3097">
        <v>205</v>
      </c>
      <c r="AB206"/>
      <c r="AC206" s="4422"/>
      <c r="AD206" s="3089" t="s">
        <v>11355</v>
      </c>
      <c r="AE206" s="3084" t="s">
        <v>11356</v>
      </c>
      <c r="AF206" s="3085">
        <v>191</v>
      </c>
      <c r="AG206" s="3086">
        <v>239</v>
      </c>
      <c r="AH206" s="3087">
        <v>255</v>
      </c>
      <c r="AI206"/>
      <c r="AJ206" s="4423"/>
      <c r="AK206" s="3089" t="s">
        <v>11357</v>
      </c>
      <c r="AL206" s="3084" t="s">
        <v>11358</v>
      </c>
      <c r="AM206" s="3085">
        <v>205</v>
      </c>
      <c r="AN206" s="3086">
        <v>85</v>
      </c>
      <c r="AO206" s="3087">
        <v>85</v>
      </c>
      <c r="AQ206" s="3">
        <v>1</v>
      </c>
    </row>
    <row r="207" spans="22:43" ht="21" customHeight="1">
      <c r="V207" s="4424"/>
      <c r="W207" s="3093" t="s">
        <v>11359</v>
      </c>
      <c r="X207" s="3094" t="s">
        <v>11360</v>
      </c>
      <c r="Y207" s="3095">
        <v>112</v>
      </c>
      <c r="Z207" s="3096">
        <v>219</v>
      </c>
      <c r="AA207" s="3097">
        <v>219</v>
      </c>
      <c r="AB207"/>
      <c r="AC207" s="4425"/>
      <c r="AD207" s="3089" t="s">
        <v>11361</v>
      </c>
      <c r="AE207" s="3084" t="s">
        <v>11362</v>
      </c>
      <c r="AF207" s="3085">
        <v>154</v>
      </c>
      <c r="AG207" s="3086">
        <v>192</v>
      </c>
      <c r="AH207" s="3087">
        <v>205</v>
      </c>
      <c r="AI207"/>
      <c r="AJ207" s="4426"/>
      <c r="AK207" s="3100" t="s">
        <v>11363</v>
      </c>
      <c r="AL207" s="3084" t="s">
        <v>11364</v>
      </c>
      <c r="AM207" s="3085">
        <v>217</v>
      </c>
      <c r="AN207" s="3086">
        <v>1</v>
      </c>
      <c r="AO207" s="3087">
        <v>21</v>
      </c>
      <c r="AQ207" s="3">
        <v>1</v>
      </c>
    </row>
    <row r="208" spans="22:43" ht="21" customHeight="1">
      <c r="V208" s="4427"/>
      <c r="W208" s="3114" t="s">
        <v>11365</v>
      </c>
      <c r="X208" s="3094" t="s">
        <v>11366</v>
      </c>
      <c r="Y208" s="3095">
        <v>128</v>
      </c>
      <c r="Z208" s="3096">
        <v>208</v>
      </c>
      <c r="AA208" s="3097">
        <v>208</v>
      </c>
      <c r="AB208"/>
      <c r="AC208" s="4428"/>
      <c r="AD208" s="3100" t="s">
        <v>11367</v>
      </c>
      <c r="AE208" s="3084" t="s">
        <v>11368</v>
      </c>
      <c r="AF208" s="3085">
        <v>102</v>
      </c>
      <c r="AG208" s="3086">
        <v>170</v>
      </c>
      <c r="AH208" s="3087">
        <v>188</v>
      </c>
      <c r="AI208"/>
      <c r="AJ208" s="4429"/>
      <c r="AK208" s="3089" t="s">
        <v>11369</v>
      </c>
      <c r="AL208" s="3084" t="s">
        <v>11370</v>
      </c>
      <c r="AM208" s="3085">
        <v>205</v>
      </c>
      <c r="AN208" s="3086">
        <v>79</v>
      </c>
      <c r="AO208" s="3087">
        <v>57</v>
      </c>
      <c r="AQ208" s="3">
        <v>1</v>
      </c>
    </row>
    <row r="209" spans="22:43" ht="21" customHeight="1">
      <c r="V209" s="4430"/>
      <c r="W209" s="3093" t="s">
        <v>11371</v>
      </c>
      <c r="X209" s="3094" t="s">
        <v>11372</v>
      </c>
      <c r="Y209" s="3095">
        <v>0</v>
      </c>
      <c r="Z209" s="3096">
        <v>238</v>
      </c>
      <c r="AA209" s="3097">
        <v>238</v>
      </c>
      <c r="AB209"/>
      <c r="AC209" s="4431"/>
      <c r="AD209" s="3100" t="s">
        <v>11373</v>
      </c>
      <c r="AE209" s="3084" t="s">
        <v>11374</v>
      </c>
      <c r="AF209" s="3085">
        <v>35</v>
      </c>
      <c r="AG209" s="3086">
        <v>158</v>
      </c>
      <c r="AH209" s="3087">
        <v>186</v>
      </c>
      <c r="AI209"/>
      <c r="AJ209" s="4432"/>
      <c r="AK209" s="3089" t="s">
        <v>11375</v>
      </c>
      <c r="AL209" s="3084" t="s">
        <v>11376</v>
      </c>
      <c r="AM209" s="3085">
        <v>205</v>
      </c>
      <c r="AN209" s="3086">
        <v>51</v>
      </c>
      <c r="AO209" s="3087">
        <v>51</v>
      </c>
      <c r="AQ209" s="3">
        <v>1</v>
      </c>
    </row>
    <row r="210" spans="22:43" ht="21" customHeight="1">
      <c r="V210" s="4433"/>
      <c r="W210" s="3093" t="s">
        <v>11377</v>
      </c>
      <c r="X210" s="3094" t="s">
        <v>11378</v>
      </c>
      <c r="Y210" s="3095">
        <v>121</v>
      </c>
      <c r="Z210" s="3096">
        <v>205</v>
      </c>
      <c r="AA210" s="3097">
        <v>205</v>
      </c>
      <c r="AB210"/>
      <c r="AC210" s="4434"/>
      <c r="AD210" s="3089" t="s">
        <v>11379</v>
      </c>
      <c r="AE210" s="3084" t="s">
        <v>11380</v>
      </c>
      <c r="AF210" s="3085">
        <v>104</v>
      </c>
      <c r="AG210" s="3086">
        <v>131</v>
      </c>
      <c r="AH210" s="3087">
        <v>139</v>
      </c>
      <c r="AI210"/>
      <c r="AJ210" s="4435"/>
      <c r="AK210" s="3089" t="s">
        <v>11274</v>
      </c>
      <c r="AL210" s="3084" t="s">
        <v>11381</v>
      </c>
      <c r="AM210" s="3085">
        <v>204</v>
      </c>
      <c r="AN210" s="3086">
        <v>51</v>
      </c>
      <c r="AO210" s="3087">
        <v>51</v>
      </c>
      <c r="AQ210" s="3">
        <v>1</v>
      </c>
    </row>
    <row r="211" spans="22:43" ht="21" customHeight="1">
      <c r="V211" s="4436"/>
      <c r="W211" s="3093" t="s">
        <v>11382</v>
      </c>
      <c r="X211" s="3094" t="s">
        <v>11383</v>
      </c>
      <c r="Y211" s="3095">
        <v>72</v>
      </c>
      <c r="Z211" s="3096">
        <v>209</v>
      </c>
      <c r="AA211" s="3097">
        <v>204</v>
      </c>
      <c r="AB211"/>
      <c r="AC211" s="4437"/>
      <c r="AD211" s="3100" t="s">
        <v>11384</v>
      </c>
      <c r="AE211" s="3084" t="s">
        <v>11385</v>
      </c>
      <c r="AF211" s="3085">
        <v>46</v>
      </c>
      <c r="AG211" s="3086">
        <v>132</v>
      </c>
      <c r="AH211" s="3087">
        <v>149</v>
      </c>
      <c r="AI211"/>
      <c r="AJ211" s="4438"/>
      <c r="AK211" s="3089" t="s">
        <v>11386</v>
      </c>
      <c r="AL211" s="3084" t="s">
        <v>11387</v>
      </c>
      <c r="AM211" s="3085">
        <v>205</v>
      </c>
      <c r="AN211" s="3086">
        <v>38</v>
      </c>
      <c r="AO211" s="3087">
        <v>38</v>
      </c>
      <c r="AQ211" s="3">
        <v>1</v>
      </c>
    </row>
    <row r="212" spans="22:43" ht="21" customHeight="1">
      <c r="V212" s="4439"/>
      <c r="W212" s="3093" t="s">
        <v>11388</v>
      </c>
      <c r="X212" s="3094" t="s">
        <v>11389</v>
      </c>
      <c r="Y212" s="3095">
        <v>0</v>
      </c>
      <c r="Z212" s="3096">
        <v>206</v>
      </c>
      <c r="AA212" s="3097">
        <v>209</v>
      </c>
      <c r="AB212"/>
      <c r="AC212" s="4440"/>
      <c r="AD212" s="3100" t="s">
        <v>11390</v>
      </c>
      <c r="AE212" s="3084" t="s">
        <v>11391</v>
      </c>
      <c r="AF212" s="3085">
        <v>54</v>
      </c>
      <c r="AG212" s="3086">
        <v>117</v>
      </c>
      <c r="AH212" s="3087">
        <v>136</v>
      </c>
      <c r="AI212"/>
      <c r="AJ212" s="4441"/>
      <c r="AK212" s="3100" t="s">
        <v>11392</v>
      </c>
      <c r="AL212" s="3084" t="s">
        <v>11393</v>
      </c>
      <c r="AM212" s="3085">
        <v>207</v>
      </c>
      <c r="AN212" s="3086">
        <v>10</v>
      </c>
      <c r="AO212" s="3087">
        <v>29</v>
      </c>
      <c r="AQ212" s="3">
        <v>1</v>
      </c>
    </row>
    <row r="213" spans="22:43" ht="21" customHeight="1">
      <c r="V213" s="4442"/>
      <c r="W213" s="3093" t="s">
        <v>11394</v>
      </c>
      <c r="X213" s="3094" t="s">
        <v>11395</v>
      </c>
      <c r="Y213" s="3095">
        <v>0</v>
      </c>
      <c r="Z213" s="3096">
        <v>205</v>
      </c>
      <c r="AA213" s="3097">
        <v>205</v>
      </c>
      <c r="AB213"/>
      <c r="AC213" s="4443"/>
      <c r="AD213" s="3100" t="s">
        <v>11396</v>
      </c>
      <c r="AE213" s="3084" t="s">
        <v>11397</v>
      </c>
      <c r="AF213" s="3085">
        <v>0</v>
      </c>
      <c r="AG213" s="3086">
        <v>73</v>
      </c>
      <c r="AH213" s="3087">
        <v>88</v>
      </c>
      <c r="AI213"/>
      <c r="AJ213" s="4444"/>
      <c r="AK213" s="3089" t="s">
        <v>11398</v>
      </c>
      <c r="AL213" s="3084" t="s">
        <v>11399</v>
      </c>
      <c r="AM213" s="3085">
        <v>205</v>
      </c>
      <c r="AN213" s="3086">
        <v>0</v>
      </c>
      <c r="AO213" s="3087">
        <v>0</v>
      </c>
      <c r="AQ213" s="3">
        <v>1</v>
      </c>
    </row>
    <row r="214" spans="22:43" ht="21" customHeight="1">
      <c r="V214" s="4445"/>
      <c r="W214" s="3114" t="s">
        <v>11400</v>
      </c>
      <c r="X214" s="3094" t="s">
        <v>11401</v>
      </c>
      <c r="Y214" s="3095">
        <v>0</v>
      </c>
      <c r="Z214" s="3096">
        <v>204</v>
      </c>
      <c r="AA214" s="3097">
        <v>203</v>
      </c>
      <c r="AB214"/>
      <c r="AC214" s="4446"/>
      <c r="AD214" s="3100" t="s">
        <v>11402</v>
      </c>
      <c r="AE214" s="3084" t="s">
        <v>11403</v>
      </c>
      <c r="AF214" s="3085">
        <v>29</v>
      </c>
      <c r="AG214" s="3086">
        <v>72</v>
      </c>
      <c r="AH214" s="3087">
        <v>81</v>
      </c>
      <c r="AI214"/>
      <c r="AJ214" s="4447"/>
      <c r="AK214" s="3089" t="s">
        <v>11404</v>
      </c>
      <c r="AL214" s="3084" t="s">
        <v>11399</v>
      </c>
      <c r="AM214" s="3085">
        <v>205</v>
      </c>
      <c r="AN214" s="3086">
        <v>55</v>
      </c>
      <c r="AO214" s="3087">
        <v>0</v>
      </c>
      <c r="AQ214" s="3">
        <v>1</v>
      </c>
    </row>
    <row r="215" spans="22:43" ht="21" customHeight="1">
      <c r="V215" s="4448"/>
      <c r="W215" s="3093" t="s">
        <v>11405</v>
      </c>
      <c r="X215" s="3094" t="s">
        <v>11406</v>
      </c>
      <c r="Y215" s="3095">
        <v>131</v>
      </c>
      <c r="Z215" s="3096">
        <v>139</v>
      </c>
      <c r="AA215" s="3097">
        <v>139</v>
      </c>
      <c r="AB215"/>
      <c r="AC215" s="4449"/>
      <c r="AD215" s="3100" t="s">
        <v>11407</v>
      </c>
      <c r="AE215" s="3084" t="s">
        <v>11408</v>
      </c>
      <c r="AF215" s="3085">
        <v>31</v>
      </c>
      <c r="AG215" s="3086">
        <v>254</v>
      </c>
      <c r="AH215" s="3087">
        <v>216</v>
      </c>
      <c r="AI215"/>
      <c r="AJ215" s="4450"/>
      <c r="AK215" s="3100" t="s">
        <v>11409</v>
      </c>
      <c r="AL215" s="3084" t="s">
        <v>11410</v>
      </c>
      <c r="AM215" s="3085">
        <v>198</v>
      </c>
      <c r="AN215" s="3086">
        <v>8</v>
      </c>
      <c r="AO215" s="3087">
        <v>0</v>
      </c>
      <c r="AQ215" s="3">
        <v>1</v>
      </c>
    </row>
    <row r="216" spans="22:43" ht="21" customHeight="1">
      <c r="V216" s="4451"/>
      <c r="W216" s="3093" t="s">
        <v>11411</v>
      </c>
      <c r="X216" s="3094" t="s">
        <v>11412</v>
      </c>
      <c r="Y216" s="3095">
        <v>95</v>
      </c>
      <c r="Z216" s="3096">
        <v>158</v>
      </c>
      <c r="AA216" s="3097">
        <v>160</v>
      </c>
      <c r="AB216"/>
      <c r="AC216" s="4452"/>
      <c r="AD216" s="3100" t="s">
        <v>11413</v>
      </c>
      <c r="AE216" s="3084" t="s">
        <v>11414</v>
      </c>
      <c r="AF216" s="3085">
        <v>150</v>
      </c>
      <c r="AG216" s="3086">
        <v>222</v>
      </c>
      <c r="AH216" s="3087">
        <v>209</v>
      </c>
      <c r="AI216"/>
      <c r="AJ216" s="4453"/>
      <c r="AK216" s="3100" t="s">
        <v>11415</v>
      </c>
      <c r="AL216" s="3084" t="s">
        <v>11416</v>
      </c>
      <c r="AM216" s="3085">
        <v>188</v>
      </c>
      <c r="AN216" s="3086">
        <v>63</v>
      </c>
      <c r="AO216" s="3087">
        <v>74</v>
      </c>
      <c r="AQ216" s="3">
        <v>1</v>
      </c>
    </row>
    <row r="217" spans="22:43" ht="21" customHeight="1">
      <c r="V217" s="4454"/>
      <c r="W217" s="3093" t="s">
        <v>11417</v>
      </c>
      <c r="X217" s="3094" t="s">
        <v>11418</v>
      </c>
      <c r="Y217" s="3095">
        <v>95</v>
      </c>
      <c r="Z217" s="3096">
        <v>159</v>
      </c>
      <c r="AA217" s="3097">
        <v>159</v>
      </c>
      <c r="AB217"/>
      <c r="AC217" s="4455"/>
      <c r="AD217" s="3100" t="s">
        <v>11419</v>
      </c>
      <c r="AE217" s="3084" t="s">
        <v>11420</v>
      </c>
      <c r="AF217" s="3085">
        <v>0</v>
      </c>
      <c r="AG217" s="3086">
        <v>166</v>
      </c>
      <c r="AH217" s="3087">
        <v>147</v>
      </c>
      <c r="AI217"/>
      <c r="AJ217" s="4456"/>
      <c r="AK217" s="3100" t="s">
        <v>11421</v>
      </c>
      <c r="AL217" s="3084" t="s">
        <v>11422</v>
      </c>
      <c r="AM217" s="3085">
        <v>191</v>
      </c>
      <c r="AN217" s="3086">
        <v>48</v>
      </c>
      <c r="AO217" s="3087">
        <v>48</v>
      </c>
      <c r="AQ217" s="3">
        <v>1</v>
      </c>
    </row>
    <row r="218" spans="22:43" ht="21" customHeight="1">
      <c r="V218" s="4457"/>
      <c r="W218" s="3093" t="s">
        <v>11423</v>
      </c>
      <c r="X218" s="3094" t="s">
        <v>11424</v>
      </c>
      <c r="Y218" s="3095">
        <v>122</v>
      </c>
      <c r="Z218" s="3096">
        <v>139</v>
      </c>
      <c r="AA218" s="3097">
        <v>139</v>
      </c>
      <c r="AB218"/>
      <c r="AC218" s="4458"/>
      <c r="AD218" s="3089" t="s">
        <v>11425</v>
      </c>
      <c r="AE218" s="3084" t="s">
        <v>11426</v>
      </c>
      <c r="AF218" s="3085">
        <v>74</v>
      </c>
      <c r="AG218" s="3086">
        <v>118</v>
      </c>
      <c r="AH218" s="3087">
        <v>110</v>
      </c>
      <c r="AI218"/>
      <c r="AJ218" s="4459"/>
      <c r="AK218" s="3089" t="s">
        <v>11427</v>
      </c>
      <c r="AL218" s="3084" t="s">
        <v>11428</v>
      </c>
      <c r="AM218" s="3085">
        <v>192</v>
      </c>
      <c r="AN218" s="3086">
        <v>0</v>
      </c>
      <c r="AO218" s="3087">
        <v>0</v>
      </c>
      <c r="AQ218" s="3">
        <v>1</v>
      </c>
    </row>
    <row r="219" spans="22:43" ht="21" customHeight="1">
      <c r="V219" s="4460"/>
      <c r="W219" s="3093" t="s">
        <v>11429</v>
      </c>
      <c r="X219" s="3094" t="s">
        <v>11430</v>
      </c>
      <c r="Y219" s="3095">
        <v>102</v>
      </c>
      <c r="Z219" s="3096">
        <v>139</v>
      </c>
      <c r="AA219" s="3097">
        <v>139</v>
      </c>
      <c r="AB219"/>
      <c r="AC219" s="4461"/>
      <c r="AD219" s="3100" t="s">
        <v>11431</v>
      </c>
      <c r="AE219" s="3084" t="s">
        <v>11432</v>
      </c>
      <c r="AF219" s="3085">
        <v>78</v>
      </c>
      <c r="AG219" s="3086">
        <v>87</v>
      </c>
      <c r="AH219" s="3087">
        <v>85</v>
      </c>
      <c r="AI219"/>
      <c r="AJ219" s="4462"/>
      <c r="AK219" s="3089" t="s">
        <v>11433</v>
      </c>
      <c r="AL219" s="3084" t="s">
        <v>11434</v>
      </c>
      <c r="AM219" s="3085">
        <v>139</v>
      </c>
      <c r="AN219" s="3086">
        <v>137</v>
      </c>
      <c r="AO219" s="3087">
        <v>137</v>
      </c>
      <c r="AQ219" s="3">
        <v>1</v>
      </c>
    </row>
    <row r="220" spans="22:43" ht="21" customHeight="1">
      <c r="V220" s="4463"/>
      <c r="W220" s="3093" t="s">
        <v>11435</v>
      </c>
      <c r="X220" s="3094" t="s">
        <v>11436</v>
      </c>
      <c r="Y220" s="3095">
        <v>82</v>
      </c>
      <c r="Z220" s="3096">
        <v>139</v>
      </c>
      <c r="AA220" s="3097">
        <v>139</v>
      </c>
      <c r="AB220"/>
      <c r="AC220" s="4464"/>
      <c r="AD220" s="3100" t="s">
        <v>11437</v>
      </c>
      <c r="AE220" s="3084" t="s">
        <v>11438</v>
      </c>
      <c r="AF220" s="3085">
        <v>58</v>
      </c>
      <c r="AG220" s="3086">
        <v>75</v>
      </c>
      <c r="AH220" s="3087">
        <v>71</v>
      </c>
      <c r="AI220"/>
      <c r="AJ220" s="4465"/>
      <c r="AK220" s="3100" t="s">
        <v>11439</v>
      </c>
      <c r="AL220" s="3084" t="s">
        <v>11440</v>
      </c>
      <c r="AM220" s="3085">
        <v>190</v>
      </c>
      <c r="AN220" s="3086">
        <v>0</v>
      </c>
      <c r="AO220" s="3087">
        <v>50</v>
      </c>
      <c r="AQ220" s="3">
        <v>1</v>
      </c>
    </row>
    <row r="221" spans="22:43" ht="21" customHeight="1">
      <c r="V221" s="4466"/>
      <c r="W221" s="3114" t="s">
        <v>11441</v>
      </c>
      <c r="X221" s="3094" t="s">
        <v>11442</v>
      </c>
      <c r="Y221" s="3095">
        <v>0</v>
      </c>
      <c r="Z221" s="3096">
        <v>142</v>
      </c>
      <c r="AA221" s="3097">
        <v>142</v>
      </c>
      <c r="AB221"/>
      <c r="AC221" s="4467"/>
      <c r="AD221" s="3100" t="s">
        <v>11443</v>
      </c>
      <c r="AE221" s="3084" t="s">
        <v>11444</v>
      </c>
      <c r="AF221" s="3085">
        <v>201</v>
      </c>
      <c r="AG221" s="3086">
        <v>220</v>
      </c>
      <c r="AH221" s="3087">
        <v>137</v>
      </c>
      <c r="AI221"/>
      <c r="AJ221" s="4468"/>
      <c r="AK221" s="3100" t="s">
        <v>11445</v>
      </c>
      <c r="AL221" s="3084" t="s">
        <v>11446</v>
      </c>
      <c r="AM221" s="3085">
        <v>188</v>
      </c>
      <c r="AN221" s="3086">
        <v>32</v>
      </c>
      <c r="AO221" s="3087">
        <v>1</v>
      </c>
      <c r="AQ221" s="3">
        <v>1</v>
      </c>
    </row>
    <row r="222" spans="22:43" ht="21" customHeight="1">
      <c r="V222" s="4469"/>
      <c r="W222" s="3093" t="s">
        <v>11447</v>
      </c>
      <c r="X222" s="3094" t="s">
        <v>11448</v>
      </c>
      <c r="Y222" s="3095">
        <v>0</v>
      </c>
      <c r="Z222" s="3096">
        <v>139</v>
      </c>
      <c r="AA222" s="3097">
        <v>139</v>
      </c>
      <c r="AB222"/>
      <c r="AC222" s="4470"/>
      <c r="AD222" s="3100" t="s">
        <v>11449</v>
      </c>
      <c r="AE222" s="3084" t="s">
        <v>11450</v>
      </c>
      <c r="AF222" s="3085">
        <v>189</v>
      </c>
      <c r="AG222" s="3086">
        <v>218</v>
      </c>
      <c r="AH222" s="3087">
        <v>87</v>
      </c>
      <c r="AI222"/>
      <c r="AJ222" s="4471"/>
      <c r="AK222" s="3100" t="s">
        <v>11451</v>
      </c>
      <c r="AL222" s="3084" t="s">
        <v>11452</v>
      </c>
      <c r="AM222" s="3085">
        <v>187</v>
      </c>
      <c r="AN222" s="3086">
        <v>11</v>
      </c>
      <c r="AO222" s="3087">
        <v>11</v>
      </c>
      <c r="AQ222" s="3">
        <v>1</v>
      </c>
    </row>
    <row r="223" spans="22:43" ht="21" customHeight="1">
      <c r="V223" s="4472"/>
      <c r="W223" s="3093" t="s">
        <v>11453</v>
      </c>
      <c r="X223" s="3094" t="s">
        <v>11454</v>
      </c>
      <c r="Y223" s="3095">
        <v>0</v>
      </c>
      <c r="Z223" s="3096">
        <v>128</v>
      </c>
      <c r="AA223" s="3097">
        <v>128</v>
      </c>
      <c r="AB223"/>
      <c r="AC223" s="4473"/>
      <c r="AD223" s="3100" t="s">
        <v>11455</v>
      </c>
      <c r="AE223" s="3084" t="s">
        <v>11456</v>
      </c>
      <c r="AF223" s="3085">
        <v>143</v>
      </c>
      <c r="AG223" s="3086">
        <v>151</v>
      </c>
      <c r="AH223" s="3087">
        <v>121</v>
      </c>
      <c r="AI223"/>
      <c r="AJ223" s="4474"/>
      <c r="AK223" s="3100" t="s">
        <v>11457</v>
      </c>
      <c r="AL223" s="3084" t="s">
        <v>11458</v>
      </c>
      <c r="AM223" s="3085">
        <v>171</v>
      </c>
      <c r="AN223" s="3086">
        <v>78</v>
      </c>
      <c r="AO223" s="3087">
        <v>82</v>
      </c>
      <c r="AQ223" s="3">
        <v>1</v>
      </c>
    </row>
    <row r="224" spans="22:43" ht="21" customHeight="1">
      <c r="V224" s="4475"/>
      <c r="W224" s="3093" t="s">
        <v>11459</v>
      </c>
      <c r="X224" s="3094" t="s">
        <v>11460</v>
      </c>
      <c r="Y224" s="3095">
        <v>47</v>
      </c>
      <c r="Z224" s="3096">
        <v>79</v>
      </c>
      <c r="AA224" s="3097">
        <v>79</v>
      </c>
      <c r="AB224"/>
      <c r="AC224" s="4476"/>
      <c r="AD224" s="3100" t="s">
        <v>11461</v>
      </c>
      <c r="AE224" s="3084" t="s">
        <v>11462</v>
      </c>
      <c r="AF224" s="3085">
        <v>138</v>
      </c>
      <c r="AG224" s="3086">
        <v>154</v>
      </c>
      <c r="AH224" s="3087">
        <v>91</v>
      </c>
      <c r="AI224"/>
      <c r="AJ224" s="4477"/>
      <c r="AK224" s="3100" t="s">
        <v>11463</v>
      </c>
      <c r="AL224" s="3084" t="s">
        <v>11464</v>
      </c>
      <c r="AM224" s="3085">
        <v>184</v>
      </c>
      <c r="AN224" s="3086">
        <v>32</v>
      </c>
      <c r="AO224" s="3087">
        <v>16</v>
      </c>
      <c r="AQ224" s="3">
        <v>1</v>
      </c>
    </row>
    <row r="225" spans="22:43" ht="21" customHeight="1">
      <c r="V225" s="4478"/>
      <c r="W225" s="3114" t="s">
        <v>11465</v>
      </c>
      <c r="X225" s="3094" t="s">
        <v>11466</v>
      </c>
      <c r="Y225" s="3095">
        <v>0</v>
      </c>
      <c r="Z225" s="3096">
        <v>75</v>
      </c>
      <c r="AA225" s="3097">
        <v>73</v>
      </c>
      <c r="AB225"/>
      <c r="AC225" s="4479"/>
      <c r="AD225" s="3100" t="s">
        <v>11467</v>
      </c>
      <c r="AE225" s="3084" t="s">
        <v>11468</v>
      </c>
      <c r="AF225" s="3085">
        <v>121</v>
      </c>
      <c r="AG225" s="3086">
        <v>137</v>
      </c>
      <c r="AH225" s="3087">
        <v>51</v>
      </c>
      <c r="AI225"/>
      <c r="AJ225" s="4480"/>
      <c r="AK225" s="3089" t="s">
        <v>11469</v>
      </c>
      <c r="AL225" s="3084" t="s">
        <v>11470</v>
      </c>
      <c r="AM225" s="3085">
        <v>178</v>
      </c>
      <c r="AN225" s="3086">
        <v>34</v>
      </c>
      <c r="AO225" s="3087">
        <v>34</v>
      </c>
      <c r="AQ225" s="3">
        <v>1</v>
      </c>
    </row>
    <row r="226" spans="22:43" ht="21" customHeight="1">
      <c r="V226" s="4481"/>
      <c r="W226" s="3114" t="s">
        <v>11471</v>
      </c>
      <c r="X226" s="3094" t="s">
        <v>11472</v>
      </c>
      <c r="Y226" s="3095">
        <v>0</v>
      </c>
      <c r="Z226" s="3096">
        <v>42</v>
      </c>
      <c r="AA226" s="3097">
        <v>41</v>
      </c>
      <c r="AB226"/>
      <c r="AC226" s="4482"/>
      <c r="AD226" s="3100" t="s">
        <v>11473</v>
      </c>
      <c r="AE226" s="3084" t="s">
        <v>11474</v>
      </c>
      <c r="AF226" s="3085">
        <v>90</v>
      </c>
      <c r="AG226" s="3086">
        <v>101</v>
      </c>
      <c r="AH226" s="3087">
        <v>33</v>
      </c>
      <c r="AI226"/>
      <c r="AJ226" s="4483"/>
      <c r="AK226" s="3100" t="s">
        <v>11475</v>
      </c>
      <c r="AL226" s="3084" t="s">
        <v>11476</v>
      </c>
      <c r="AM226" s="3085">
        <v>170</v>
      </c>
      <c r="AN226" s="3086">
        <v>56</v>
      </c>
      <c r="AO226" s="3087">
        <v>30</v>
      </c>
      <c r="AQ226" s="3">
        <v>1</v>
      </c>
    </row>
    <row r="227" spans="22:43" ht="21" customHeight="1">
      <c r="V227" s="4484"/>
      <c r="W227" s="3114" t="s">
        <v>11477</v>
      </c>
      <c r="X227" s="3094" t="s">
        <v>11478</v>
      </c>
      <c r="Y227" s="3095">
        <v>11</v>
      </c>
      <c r="Z227" s="3096">
        <v>22</v>
      </c>
      <c r="AA227" s="3097">
        <v>22</v>
      </c>
      <c r="AB227"/>
      <c r="AC227" s="4485"/>
      <c r="AD227" s="3100" t="s">
        <v>11479</v>
      </c>
      <c r="AE227" s="3084" t="s">
        <v>11480</v>
      </c>
      <c r="AF227" s="3085">
        <v>255</v>
      </c>
      <c r="AG227" s="3086">
        <v>215</v>
      </c>
      <c r="AH227" s="3087">
        <v>0</v>
      </c>
      <c r="AI227"/>
      <c r="AJ227" s="4486"/>
      <c r="AK227" s="3089" t="s">
        <v>11481</v>
      </c>
      <c r="AL227" s="3084" t="s">
        <v>11482</v>
      </c>
      <c r="AM227" s="3085">
        <v>166</v>
      </c>
      <c r="AN227" s="3086">
        <v>42</v>
      </c>
      <c r="AO227" s="3087">
        <v>42</v>
      </c>
      <c r="AQ227" s="3">
        <v>1</v>
      </c>
    </row>
    <row r="228" spans="22:43" ht="21" customHeight="1">
      <c r="V228" s="4487"/>
      <c r="W228" s="3093" t="s">
        <v>11483</v>
      </c>
      <c r="X228" s="3094" t="s">
        <v>11484</v>
      </c>
      <c r="Y228" s="3095">
        <v>0</v>
      </c>
      <c r="Z228" s="3096">
        <v>245</v>
      </c>
      <c r="AA228" s="3097">
        <v>255</v>
      </c>
      <c r="AB228"/>
      <c r="AC228" s="4488"/>
      <c r="AD228" s="3100" t="s">
        <v>11485</v>
      </c>
      <c r="AE228" s="3084" t="s">
        <v>11486</v>
      </c>
      <c r="AF228" s="3085">
        <v>255</v>
      </c>
      <c r="AG228" s="3086">
        <v>228</v>
      </c>
      <c r="AH228" s="3087">
        <v>54</v>
      </c>
      <c r="AI228"/>
      <c r="AJ228" s="4489"/>
      <c r="AK228" s="3089" t="s">
        <v>11487</v>
      </c>
      <c r="AL228" s="3084" t="s">
        <v>11488</v>
      </c>
      <c r="AM228" s="3085">
        <v>139</v>
      </c>
      <c r="AN228" s="3086">
        <v>105</v>
      </c>
      <c r="AO228" s="3087">
        <v>105</v>
      </c>
      <c r="AQ228" s="3">
        <v>1</v>
      </c>
    </row>
    <row r="229" spans="22:43" ht="21" customHeight="1">
      <c r="V229" s="4490"/>
      <c r="W229" s="3114" t="s">
        <v>11489</v>
      </c>
      <c r="X229" s="3094" t="s">
        <v>11490</v>
      </c>
      <c r="Y229" s="3095">
        <v>156</v>
      </c>
      <c r="Z229" s="3096">
        <v>209</v>
      </c>
      <c r="AA229" s="3097">
        <v>220</v>
      </c>
      <c r="AB229"/>
      <c r="AC229" s="4491"/>
      <c r="AD229" s="3100" t="s">
        <v>11491</v>
      </c>
      <c r="AE229" s="3084" t="s">
        <v>11492</v>
      </c>
      <c r="AF229" s="3085">
        <v>254</v>
      </c>
      <c r="AG229" s="3086">
        <v>227</v>
      </c>
      <c r="AH229" s="3087">
        <v>71</v>
      </c>
      <c r="AI229"/>
      <c r="AJ229" s="4492"/>
      <c r="AK229" s="3089" t="s">
        <v>11493</v>
      </c>
      <c r="AL229" s="3084" t="s">
        <v>11494</v>
      </c>
      <c r="AM229" s="3085">
        <v>165</v>
      </c>
      <c r="AN229" s="3086">
        <v>42</v>
      </c>
      <c r="AO229" s="3087">
        <v>42</v>
      </c>
      <c r="AQ229" s="3">
        <v>1</v>
      </c>
    </row>
    <row r="230" spans="22:43" ht="21" customHeight="1">
      <c r="V230" s="4493"/>
      <c r="W230" s="3093" t="s">
        <v>11495</v>
      </c>
      <c r="X230" s="3094" t="s">
        <v>11496</v>
      </c>
      <c r="Y230" s="3095">
        <v>142</v>
      </c>
      <c r="Z230" s="3096">
        <v>229</v>
      </c>
      <c r="AA230" s="3097">
        <v>238</v>
      </c>
      <c r="AB230"/>
      <c r="AC230" s="4494"/>
      <c r="AD230" s="3100" t="s">
        <v>11497</v>
      </c>
      <c r="AE230" s="3084" t="s">
        <v>11498</v>
      </c>
      <c r="AF230" s="3085">
        <v>250</v>
      </c>
      <c r="AG230" s="3086">
        <v>218</v>
      </c>
      <c r="AH230" s="3087">
        <v>94</v>
      </c>
      <c r="AI230"/>
      <c r="AJ230" s="4495"/>
      <c r="AK230" s="3100" t="s">
        <v>11499</v>
      </c>
      <c r="AL230" s="3084" t="s">
        <v>11500</v>
      </c>
      <c r="AM230" s="3085">
        <v>169</v>
      </c>
      <c r="AN230" s="3086">
        <v>17</v>
      </c>
      <c r="AO230" s="3087">
        <v>1</v>
      </c>
      <c r="AQ230" s="3">
        <v>1</v>
      </c>
    </row>
    <row r="231" spans="22:43" ht="21" customHeight="1">
      <c r="V231" s="4496"/>
      <c r="W231" s="3093" t="s">
        <v>11501</v>
      </c>
      <c r="X231" s="3094" t="s">
        <v>11502</v>
      </c>
      <c r="Y231" s="3095">
        <v>176</v>
      </c>
      <c r="Z231" s="3096">
        <v>224</v>
      </c>
      <c r="AA231" s="3097">
        <v>230</v>
      </c>
      <c r="AB231"/>
      <c r="AC231" s="4497"/>
      <c r="AD231" s="3100" t="s">
        <v>11503</v>
      </c>
      <c r="AE231" s="3084" t="s">
        <v>11504</v>
      </c>
      <c r="AF231" s="3085">
        <v>247</v>
      </c>
      <c r="AG231" s="3086">
        <v>226</v>
      </c>
      <c r="AH231" s="3087">
        <v>105</v>
      </c>
      <c r="AI231"/>
      <c r="AJ231" s="4498"/>
      <c r="AK231" s="3100" t="s">
        <v>11505</v>
      </c>
      <c r="AL231" s="3084" t="s">
        <v>11506</v>
      </c>
      <c r="AM231" s="3085">
        <v>144</v>
      </c>
      <c r="AN231" s="3086">
        <v>93</v>
      </c>
      <c r="AO231" s="3087">
        <v>93</v>
      </c>
      <c r="AQ231" s="3">
        <v>1</v>
      </c>
    </row>
    <row r="232" spans="22:43" ht="21" customHeight="1">
      <c r="V232" s="4499"/>
      <c r="W232" s="3093" t="s">
        <v>11507</v>
      </c>
      <c r="X232" s="3094" t="s">
        <v>11508</v>
      </c>
      <c r="Y232" s="3095">
        <v>152</v>
      </c>
      <c r="Z232" s="3096">
        <v>245</v>
      </c>
      <c r="AA232" s="3097">
        <v>255</v>
      </c>
      <c r="AB232"/>
      <c r="AC232" s="4500"/>
      <c r="AD232" s="3089" t="s">
        <v>11509</v>
      </c>
      <c r="AE232" s="3084" t="s">
        <v>11510</v>
      </c>
      <c r="AF232" s="3085">
        <v>238</v>
      </c>
      <c r="AG232" s="3086">
        <v>220</v>
      </c>
      <c r="AH232" s="3087">
        <v>130</v>
      </c>
      <c r="AI232"/>
      <c r="AJ232" s="4501"/>
      <c r="AK232" s="3100" t="s">
        <v>11511</v>
      </c>
      <c r="AL232" s="3084" t="s">
        <v>11512</v>
      </c>
      <c r="AM232" s="3085">
        <v>164</v>
      </c>
      <c r="AN232" s="3086">
        <v>36</v>
      </c>
      <c r="AO232" s="3087">
        <v>36</v>
      </c>
      <c r="AQ232" s="3">
        <v>1</v>
      </c>
    </row>
    <row r="233" spans="22:43" ht="21" customHeight="1">
      <c r="V233" s="4502"/>
      <c r="W233" s="3093" t="s">
        <v>11513</v>
      </c>
      <c r="X233" s="3094" t="s">
        <v>11514</v>
      </c>
      <c r="Y233" s="3095">
        <v>0</v>
      </c>
      <c r="Z233" s="3096">
        <v>229</v>
      </c>
      <c r="AA233" s="3097">
        <v>238</v>
      </c>
      <c r="AB233"/>
      <c r="AC233" s="4503"/>
      <c r="AD233" s="3089" t="s">
        <v>11515</v>
      </c>
      <c r="AE233" s="3084" t="s">
        <v>11510</v>
      </c>
      <c r="AF233" s="3085">
        <v>238</v>
      </c>
      <c r="AG233" s="3086">
        <v>221</v>
      </c>
      <c r="AH233" s="3087">
        <v>130</v>
      </c>
      <c r="AI233"/>
      <c r="AJ233" s="4504"/>
      <c r="AK233" s="3100" t="s">
        <v>11516</v>
      </c>
      <c r="AL233" s="3084" t="s">
        <v>11517</v>
      </c>
      <c r="AM233" s="3085">
        <v>165</v>
      </c>
      <c r="AN233" s="3086">
        <v>38</v>
      </c>
      <c r="AO233" s="3087">
        <v>10</v>
      </c>
      <c r="AQ233" s="3">
        <v>1</v>
      </c>
    </row>
    <row r="234" spans="22:43" ht="21" customHeight="1">
      <c r="V234" s="4505"/>
      <c r="W234" s="3093" t="s">
        <v>11518</v>
      </c>
      <c r="X234" s="3094" t="s">
        <v>11519</v>
      </c>
      <c r="Y234" s="3095">
        <v>122</v>
      </c>
      <c r="Z234" s="3096">
        <v>197</v>
      </c>
      <c r="AA234" s="3097">
        <v>205</v>
      </c>
      <c r="AB234"/>
      <c r="AC234" s="4506"/>
      <c r="AD234" s="3100" t="s">
        <v>11520</v>
      </c>
      <c r="AE234" s="3084" t="s">
        <v>11521</v>
      </c>
      <c r="AF234" s="3085">
        <v>225</v>
      </c>
      <c r="AG234" s="3086">
        <v>206</v>
      </c>
      <c r="AH234" s="3087">
        <v>154</v>
      </c>
      <c r="AI234"/>
      <c r="AJ234" s="4507"/>
      <c r="AK234" s="3089" t="s">
        <v>11522</v>
      </c>
      <c r="AL234" s="3084" t="s">
        <v>11523</v>
      </c>
      <c r="AM234" s="3085">
        <v>133</v>
      </c>
      <c r="AN234" s="3086">
        <v>99</v>
      </c>
      <c r="AO234" s="3087">
        <v>99</v>
      </c>
      <c r="AQ234" s="3">
        <v>1</v>
      </c>
    </row>
    <row r="235" spans="22:43" ht="21" customHeight="1">
      <c r="V235" s="4508"/>
      <c r="W235" s="3093" t="s">
        <v>11524</v>
      </c>
      <c r="X235" s="3094" t="s">
        <v>11525</v>
      </c>
      <c r="Y235" s="3095">
        <v>0</v>
      </c>
      <c r="Z235" s="3096">
        <v>197</v>
      </c>
      <c r="AA235" s="3097">
        <v>205</v>
      </c>
      <c r="AB235"/>
      <c r="AC235" s="4509"/>
      <c r="AD235" s="3100" t="s">
        <v>11526</v>
      </c>
      <c r="AE235" s="3084" t="s">
        <v>11527</v>
      </c>
      <c r="AF235" s="3085">
        <v>248</v>
      </c>
      <c r="AG235" s="3086">
        <v>222</v>
      </c>
      <c r="AH235" s="3087">
        <v>126</v>
      </c>
      <c r="AI235"/>
      <c r="AJ235" s="4510"/>
      <c r="AK235" s="3100" t="s">
        <v>11528</v>
      </c>
      <c r="AL235" s="3084" t="s">
        <v>11529</v>
      </c>
      <c r="AM235" s="3085">
        <v>150</v>
      </c>
      <c r="AN235" s="3086">
        <v>0</v>
      </c>
      <c r="AO235" s="3087">
        <v>24</v>
      </c>
      <c r="AQ235" s="3">
        <v>1</v>
      </c>
    </row>
    <row r="236" spans="22:43" ht="21" customHeight="1">
      <c r="V236" s="4511"/>
      <c r="W236" s="3093" t="s">
        <v>11530</v>
      </c>
      <c r="X236" s="3094" t="s">
        <v>11531</v>
      </c>
      <c r="Y236" s="3095">
        <v>3</v>
      </c>
      <c r="Z236" s="3096">
        <v>180</v>
      </c>
      <c r="AA236" s="3097">
        <v>200</v>
      </c>
      <c r="AB236"/>
      <c r="AC236" s="4512"/>
      <c r="AD236" s="3100" t="s">
        <v>11532</v>
      </c>
      <c r="AE236" s="3084" t="s">
        <v>11533</v>
      </c>
      <c r="AF236" s="3085">
        <v>255</v>
      </c>
      <c r="AG236" s="3086">
        <v>222</v>
      </c>
      <c r="AH236" s="3087">
        <v>117</v>
      </c>
      <c r="AI236"/>
      <c r="AJ236" s="4513"/>
      <c r="AK236" s="3089" t="s">
        <v>11534</v>
      </c>
      <c r="AL236" s="3084" t="s">
        <v>11535</v>
      </c>
      <c r="AM236" s="3085">
        <v>139</v>
      </c>
      <c r="AN236" s="3086">
        <v>58</v>
      </c>
      <c r="AO236" s="3087">
        <v>58</v>
      </c>
      <c r="AQ236" s="3">
        <v>1</v>
      </c>
    </row>
    <row r="237" spans="22:43" ht="21" customHeight="1">
      <c r="V237" s="4514"/>
      <c r="W237" s="3114" t="s">
        <v>11536</v>
      </c>
      <c r="X237" s="3094" t="s">
        <v>11537</v>
      </c>
      <c r="Y237" s="3095">
        <v>121</v>
      </c>
      <c r="Z237" s="3096">
        <v>128</v>
      </c>
      <c r="AA237" s="3097">
        <v>129</v>
      </c>
      <c r="AB237"/>
      <c r="AC237" s="4515"/>
      <c r="AD237" s="3089" t="s">
        <v>11538</v>
      </c>
      <c r="AE237" s="3084" t="s">
        <v>11539</v>
      </c>
      <c r="AF237" s="3085">
        <v>255</v>
      </c>
      <c r="AG237" s="3086">
        <v>236</v>
      </c>
      <c r="AH237" s="3087">
        <v>139</v>
      </c>
      <c r="AI237"/>
      <c r="AJ237" s="4516"/>
      <c r="AK237" s="3089" t="s">
        <v>11540</v>
      </c>
      <c r="AL237" s="3084" t="s">
        <v>11541</v>
      </c>
      <c r="AM237" s="3085">
        <v>142</v>
      </c>
      <c r="AN237" s="3086">
        <v>35</v>
      </c>
      <c r="AO237" s="3087">
        <v>35</v>
      </c>
      <c r="AQ237" s="3">
        <v>1</v>
      </c>
    </row>
    <row r="238" spans="22:43" ht="21" customHeight="1">
      <c r="V238" s="4517"/>
      <c r="W238" s="3093" t="s">
        <v>11542</v>
      </c>
      <c r="X238" s="3094" t="s">
        <v>11543</v>
      </c>
      <c r="Y238" s="3095">
        <v>83</v>
      </c>
      <c r="Z238" s="3096">
        <v>134</v>
      </c>
      <c r="AA238" s="3097">
        <v>139</v>
      </c>
      <c r="AB238"/>
      <c r="AC238" s="4518"/>
      <c r="AD238" s="3100" t="s">
        <v>11544</v>
      </c>
      <c r="AE238" s="3084" t="s">
        <v>11545</v>
      </c>
      <c r="AF238" s="3085">
        <v>243</v>
      </c>
      <c r="AG238" s="3086">
        <v>229</v>
      </c>
      <c r="AH238" s="3087">
        <v>171</v>
      </c>
      <c r="AI238"/>
      <c r="AJ238" s="4519"/>
      <c r="AK238" s="3089" t="s">
        <v>11546</v>
      </c>
      <c r="AL238" s="3084" t="s">
        <v>11547</v>
      </c>
      <c r="AM238" s="3085">
        <v>139</v>
      </c>
      <c r="AN238" s="3086">
        <v>35</v>
      </c>
      <c r="AO238" s="3087">
        <v>35</v>
      </c>
      <c r="AQ238" s="3">
        <v>1</v>
      </c>
    </row>
    <row r="239" spans="22:43" ht="21" customHeight="1">
      <c r="V239" s="4520"/>
      <c r="W239" s="3114" t="s">
        <v>11548</v>
      </c>
      <c r="X239" s="3094" t="s">
        <v>11549</v>
      </c>
      <c r="Y239" s="3095">
        <v>4</v>
      </c>
      <c r="Z239" s="3096">
        <v>139</v>
      </c>
      <c r="AA239" s="3097">
        <v>154</v>
      </c>
      <c r="AB239"/>
      <c r="AC239" s="4521"/>
      <c r="AD239" s="3100" t="s">
        <v>11550</v>
      </c>
      <c r="AE239" s="3084" t="s">
        <v>11551</v>
      </c>
      <c r="AF239" s="3085">
        <v>241</v>
      </c>
      <c r="AG239" s="3086">
        <v>226</v>
      </c>
      <c r="AH239" s="3087">
        <v>190</v>
      </c>
      <c r="AI239"/>
      <c r="AJ239" s="4522"/>
      <c r="AK239" s="3089" t="s">
        <v>11552</v>
      </c>
      <c r="AL239" s="3084" t="s">
        <v>11553</v>
      </c>
      <c r="AM239" s="3085">
        <v>140</v>
      </c>
      <c r="AN239" s="3086">
        <v>23</v>
      </c>
      <c r="AO239" s="3087">
        <v>23</v>
      </c>
      <c r="AQ239" s="3">
        <v>1</v>
      </c>
    </row>
    <row r="240" spans="22:43" ht="21" customHeight="1">
      <c r="V240" s="4523"/>
      <c r="W240" s="3093" t="s">
        <v>11554</v>
      </c>
      <c r="X240" s="3094" t="s">
        <v>11555</v>
      </c>
      <c r="Y240" s="3095">
        <v>0</v>
      </c>
      <c r="Z240" s="3096">
        <v>134</v>
      </c>
      <c r="AA240" s="3097">
        <v>139</v>
      </c>
      <c r="AB240"/>
      <c r="AC240" s="4524"/>
      <c r="AD240" s="3100" t="s">
        <v>11556</v>
      </c>
      <c r="AE240" s="3084" t="s">
        <v>11557</v>
      </c>
      <c r="AF240" s="3085">
        <v>255</v>
      </c>
      <c r="AG240" s="3086">
        <v>240</v>
      </c>
      <c r="AH240" s="3087">
        <v>188</v>
      </c>
      <c r="AI240"/>
      <c r="AJ240" s="4525"/>
      <c r="AK240" s="3089" t="s">
        <v>11558</v>
      </c>
      <c r="AL240" s="3084" t="s">
        <v>11559</v>
      </c>
      <c r="AM240" s="3085">
        <v>139</v>
      </c>
      <c r="AN240" s="3086">
        <v>26</v>
      </c>
      <c r="AO240" s="3087">
        <v>26</v>
      </c>
      <c r="AQ240" s="3">
        <v>1</v>
      </c>
    </row>
    <row r="241" spans="22:43" ht="21" customHeight="1">
      <c r="V241" s="4526"/>
      <c r="W241" s="3114" t="s">
        <v>11560</v>
      </c>
      <c r="X241" s="3094" t="s">
        <v>11561</v>
      </c>
      <c r="Y241" s="3095">
        <v>37</v>
      </c>
      <c r="Z241" s="3096">
        <v>253</v>
      </c>
      <c r="AA241" s="3097">
        <v>233</v>
      </c>
      <c r="AB241"/>
      <c r="AC241" s="4527"/>
      <c r="AD241" s="3100" t="s">
        <v>11562</v>
      </c>
      <c r="AE241" s="3084" t="s">
        <v>11563</v>
      </c>
      <c r="AF241" s="3085">
        <v>250</v>
      </c>
      <c r="AG241" s="3086">
        <v>240</v>
      </c>
      <c r="AH241" s="3087">
        <v>197</v>
      </c>
      <c r="AI241"/>
      <c r="AJ241" s="4528"/>
      <c r="AK241" s="3089" t="s">
        <v>11564</v>
      </c>
      <c r="AL241" s="3084" t="s">
        <v>11565</v>
      </c>
      <c r="AM241" s="3085">
        <v>139</v>
      </c>
      <c r="AN241" s="3086">
        <v>0</v>
      </c>
      <c r="AO241" s="3087">
        <v>0</v>
      </c>
      <c r="AQ241" s="3">
        <v>1</v>
      </c>
    </row>
    <row r="242" spans="22:43" ht="21" customHeight="1">
      <c r="V242" s="4529"/>
      <c r="W242" s="3093" t="s">
        <v>11566</v>
      </c>
      <c r="X242" s="3094" t="s">
        <v>11567</v>
      </c>
      <c r="Y242" s="3095">
        <v>64</v>
      </c>
      <c r="Z242" s="3096">
        <v>224</v>
      </c>
      <c r="AA242" s="3097">
        <v>208</v>
      </c>
      <c r="AB242"/>
      <c r="AC242" s="4530"/>
      <c r="AD242" s="3100" t="s">
        <v>11568</v>
      </c>
      <c r="AE242" s="3084" t="s">
        <v>11569</v>
      </c>
      <c r="AF242" s="3085">
        <v>240</v>
      </c>
      <c r="AG242" s="3086">
        <v>234</v>
      </c>
      <c r="AH242" s="3087">
        <v>214</v>
      </c>
      <c r="AI242"/>
      <c r="AJ242" s="4531"/>
      <c r="AK242" s="3089" t="s">
        <v>11570</v>
      </c>
      <c r="AL242" s="3084" t="s">
        <v>11565</v>
      </c>
      <c r="AM242" s="3085">
        <v>139</v>
      </c>
      <c r="AN242" s="3086">
        <v>37</v>
      </c>
      <c r="AO242" s="3087">
        <v>0</v>
      </c>
      <c r="AQ242" s="3">
        <v>1</v>
      </c>
    </row>
    <row r="243" spans="22:43" ht="21" customHeight="1">
      <c r="V243" s="4532"/>
      <c r="W243" s="3114" t="s">
        <v>11571</v>
      </c>
      <c r="X243" s="3094" t="s">
        <v>11572</v>
      </c>
      <c r="Y243" s="3095">
        <v>102</v>
      </c>
      <c r="Z243" s="3096">
        <v>173</v>
      </c>
      <c r="AA243" s="3097">
        <v>164</v>
      </c>
      <c r="AB243"/>
      <c r="AC243" s="4533"/>
      <c r="AD243" s="3089" t="s">
        <v>11573</v>
      </c>
      <c r="AE243" s="3084" t="s">
        <v>11574</v>
      </c>
      <c r="AF243" s="3085">
        <v>255</v>
      </c>
      <c r="AG243" s="3086">
        <v>248</v>
      </c>
      <c r="AH243" s="3087">
        <v>220</v>
      </c>
      <c r="AI243"/>
      <c r="AJ243" s="4534"/>
      <c r="AK243" s="3100" t="s">
        <v>11575</v>
      </c>
      <c r="AL243" s="3084" t="s">
        <v>11576</v>
      </c>
      <c r="AM243" s="3085">
        <v>132</v>
      </c>
      <c r="AN243" s="3086">
        <v>27</v>
      </c>
      <c r="AO243" s="3087">
        <v>45</v>
      </c>
      <c r="AQ243" s="3">
        <v>1</v>
      </c>
    </row>
    <row r="244" spans="22:43" ht="21" customHeight="1">
      <c r="V244" s="4535"/>
      <c r="W244" s="3093" t="s">
        <v>11577</v>
      </c>
      <c r="X244" s="3094" t="s">
        <v>11578</v>
      </c>
      <c r="Y244" s="3095">
        <v>32</v>
      </c>
      <c r="Z244" s="3096">
        <v>178</v>
      </c>
      <c r="AA244" s="3097">
        <v>170</v>
      </c>
      <c r="AB244"/>
      <c r="AC244" s="4536"/>
      <c r="AD244" s="3100" t="s">
        <v>11579</v>
      </c>
      <c r="AE244" s="3084" t="s">
        <v>11580</v>
      </c>
      <c r="AF244" s="3085">
        <v>252</v>
      </c>
      <c r="AG244" s="3086">
        <v>220</v>
      </c>
      <c r="AH244" s="3087">
        <v>18</v>
      </c>
      <c r="AI244"/>
      <c r="AJ244" s="4537"/>
      <c r="AK244" s="3100" t="s">
        <v>11581</v>
      </c>
      <c r="AL244" s="3084" t="s">
        <v>11582</v>
      </c>
      <c r="AM244" s="3085">
        <v>133</v>
      </c>
      <c r="AN244" s="3086">
        <v>6</v>
      </c>
      <c r="AO244" s="3087">
        <v>6</v>
      </c>
      <c r="AQ244" s="3">
        <v>1</v>
      </c>
    </row>
    <row r="245" spans="22:43" ht="21" customHeight="1">
      <c r="V245" s="4538"/>
      <c r="W245" s="3114" t="s">
        <v>11583</v>
      </c>
      <c r="X245" s="3094" t="s">
        <v>11584</v>
      </c>
      <c r="Y245" s="3095">
        <v>0</v>
      </c>
      <c r="Z245" s="3096">
        <v>136</v>
      </c>
      <c r="AA245" s="3097">
        <v>130</v>
      </c>
      <c r="AB245"/>
      <c r="AC245" s="4539"/>
      <c r="AD245" s="3100" t="s">
        <v>11585</v>
      </c>
      <c r="AE245" s="3084" t="s">
        <v>11586</v>
      </c>
      <c r="AF245" s="3085">
        <v>185</v>
      </c>
      <c r="AG245" s="3086">
        <v>184</v>
      </c>
      <c r="AH245" s="3087">
        <v>181</v>
      </c>
      <c r="AI245"/>
      <c r="AJ245" s="4540"/>
      <c r="AK245" s="3089" t="s">
        <v>11587</v>
      </c>
      <c r="AL245" s="3084" t="s">
        <v>11588</v>
      </c>
      <c r="AM245" s="3085">
        <v>128</v>
      </c>
      <c r="AN245" s="3086">
        <v>0</v>
      </c>
      <c r="AO245" s="3087">
        <v>0</v>
      </c>
      <c r="AQ245" s="3">
        <v>1</v>
      </c>
    </row>
    <row r="246" spans="22:43" ht="21" customHeight="1">
      <c r="V246" s="4541"/>
      <c r="W246" s="3114" t="s">
        <v>11589</v>
      </c>
      <c r="X246" s="3094" t="s">
        <v>11590</v>
      </c>
      <c r="Y246" s="3095">
        <v>49</v>
      </c>
      <c r="Z246" s="3096">
        <v>120</v>
      </c>
      <c r="AA246" s="3097">
        <v>115</v>
      </c>
      <c r="AB246"/>
      <c r="AC246" s="4542"/>
      <c r="AD246" s="3100" t="s">
        <v>11591</v>
      </c>
      <c r="AE246" s="3084" t="s">
        <v>11592</v>
      </c>
      <c r="AF246" s="3085">
        <v>238</v>
      </c>
      <c r="AG246" s="3086">
        <v>209</v>
      </c>
      <c r="AH246" s="3087">
        <v>83</v>
      </c>
      <c r="AI246"/>
      <c r="AJ246" s="4543"/>
      <c r="AK246" s="3089" t="s">
        <v>11136</v>
      </c>
      <c r="AL246" s="3084" t="s">
        <v>11593</v>
      </c>
      <c r="AM246" s="3085">
        <v>111</v>
      </c>
      <c r="AN246" s="3086">
        <v>66</v>
      </c>
      <c r="AO246" s="3087">
        <v>66</v>
      </c>
      <c r="AQ246" s="3">
        <v>1</v>
      </c>
    </row>
    <row r="247" spans="22:43" ht="21" customHeight="1">
      <c r="V247" s="4544"/>
      <c r="W247" s="3114" t="s">
        <v>11594</v>
      </c>
      <c r="X247" s="3094" t="s">
        <v>11595</v>
      </c>
      <c r="Y247" s="3095">
        <v>0</v>
      </c>
      <c r="Z247" s="3096">
        <v>122</v>
      </c>
      <c r="AA247" s="3097">
        <v>116</v>
      </c>
      <c r="AB247"/>
      <c r="AC247" s="4545"/>
      <c r="AD247" s="3100" t="s">
        <v>11596</v>
      </c>
      <c r="AE247" s="3084" t="s">
        <v>11597</v>
      </c>
      <c r="AF247" s="3085">
        <v>246</v>
      </c>
      <c r="AG247" s="3086">
        <v>220</v>
      </c>
      <c r="AH247" s="3087">
        <v>18</v>
      </c>
      <c r="AI247"/>
      <c r="AJ247" s="4546"/>
      <c r="AK247" s="3100" t="s">
        <v>11598</v>
      </c>
      <c r="AL247" s="3084" t="s">
        <v>11599</v>
      </c>
      <c r="AM247" s="3085">
        <v>114</v>
      </c>
      <c r="AN247" s="3086">
        <v>47</v>
      </c>
      <c r="AO247" s="3087">
        <v>55</v>
      </c>
      <c r="AQ247" s="3">
        <v>1</v>
      </c>
    </row>
    <row r="248" spans="22:43" ht="21" customHeight="1">
      <c r="V248" s="4547"/>
      <c r="W248" s="3114" t="s">
        <v>11600</v>
      </c>
      <c r="X248" s="3094" t="s">
        <v>11601</v>
      </c>
      <c r="Y248" s="3095">
        <v>1</v>
      </c>
      <c r="Z248" s="3096">
        <v>121</v>
      </c>
      <c r="AA248" s="3097">
        <v>111</v>
      </c>
      <c r="AB248"/>
      <c r="AC248" s="4548"/>
      <c r="AD248" s="3100" t="s">
        <v>11602</v>
      </c>
      <c r="AE248" s="3084" t="s">
        <v>11603</v>
      </c>
      <c r="AF248" s="3085">
        <v>239</v>
      </c>
      <c r="AG248" s="3086">
        <v>210</v>
      </c>
      <c r="AH248" s="3087">
        <v>66</v>
      </c>
      <c r="AI248"/>
      <c r="AJ248" s="4549"/>
      <c r="AK248" s="3100" t="s">
        <v>11604</v>
      </c>
      <c r="AL248" s="3084" t="s">
        <v>11605</v>
      </c>
      <c r="AM248" s="3085">
        <v>92</v>
      </c>
      <c r="AN248" s="3086">
        <v>80</v>
      </c>
      <c r="AO248" s="3087">
        <v>79</v>
      </c>
      <c r="AQ248" s="3">
        <v>1</v>
      </c>
    </row>
    <row r="249" spans="22:43" ht="21" customHeight="1">
      <c r="V249" s="4550"/>
      <c r="W249" s="3114" t="s">
        <v>11606</v>
      </c>
      <c r="X249" s="3094" t="s">
        <v>11607</v>
      </c>
      <c r="Y249" s="3095">
        <v>0</v>
      </c>
      <c r="Z249" s="3096">
        <v>68</v>
      </c>
      <c r="AA249" s="3097">
        <v>63</v>
      </c>
      <c r="AB249"/>
      <c r="AC249" s="4551"/>
      <c r="AD249" s="3100" t="s">
        <v>11608</v>
      </c>
      <c r="AE249" s="3084" t="s">
        <v>11609</v>
      </c>
      <c r="AF249" s="3085">
        <v>191</v>
      </c>
      <c r="AG249" s="3086">
        <v>184</v>
      </c>
      <c r="AH249" s="3087">
        <v>165</v>
      </c>
      <c r="AI249"/>
      <c r="AJ249" s="4552"/>
      <c r="AK249" s="3100" t="s">
        <v>11610</v>
      </c>
      <c r="AL249" s="3084" t="s">
        <v>11611</v>
      </c>
      <c r="AM249" s="3085">
        <v>115</v>
      </c>
      <c r="AN249" s="3086">
        <v>8</v>
      </c>
      <c r="AO249" s="3087">
        <v>0</v>
      </c>
      <c r="AQ249" s="3">
        <v>1</v>
      </c>
    </row>
    <row r="250" spans="22:43" ht="21" customHeight="1">
      <c r="V250" s="4553"/>
      <c r="W250" s="3114" t="s">
        <v>11612</v>
      </c>
      <c r="X250" s="3094" t="s">
        <v>11613</v>
      </c>
      <c r="Y250" s="3095">
        <v>199</v>
      </c>
      <c r="Z250" s="3096">
        <v>230</v>
      </c>
      <c r="AA250" s="3097">
        <v>215</v>
      </c>
      <c r="AB250"/>
      <c r="AC250" s="4554"/>
      <c r="AD250" s="3100" t="s">
        <v>11614</v>
      </c>
      <c r="AE250" s="3084" t="s">
        <v>11615</v>
      </c>
      <c r="AF250" s="3085">
        <v>243</v>
      </c>
      <c r="AG250" s="3086">
        <v>214</v>
      </c>
      <c r="AH250" s="3087">
        <v>23</v>
      </c>
      <c r="AI250"/>
      <c r="AJ250" s="4555"/>
      <c r="AK250" s="3100" t="s">
        <v>11616</v>
      </c>
      <c r="AL250" s="3084" t="s">
        <v>11617</v>
      </c>
      <c r="AM250" s="3085">
        <v>110</v>
      </c>
      <c r="AN250" s="3086">
        <v>11</v>
      </c>
      <c r="AO250" s="3087">
        <v>20</v>
      </c>
      <c r="AQ250" s="3">
        <v>1</v>
      </c>
    </row>
    <row r="251" spans="22:43" ht="21" customHeight="1">
      <c r="V251" s="4556"/>
      <c r="W251" s="3093" t="s">
        <v>11618</v>
      </c>
      <c r="X251" s="3094" t="s">
        <v>11619</v>
      </c>
      <c r="Y251" s="3095">
        <v>245</v>
      </c>
      <c r="Z251" s="3096">
        <v>255</v>
      </c>
      <c r="AA251" s="3097">
        <v>250</v>
      </c>
      <c r="AB251"/>
      <c r="AC251" s="4557"/>
      <c r="AD251" s="3089" t="s">
        <v>11620</v>
      </c>
      <c r="AE251" s="3084" t="s">
        <v>11621</v>
      </c>
      <c r="AF251" s="3085">
        <v>238</v>
      </c>
      <c r="AG251" s="3086">
        <v>201</v>
      </c>
      <c r="AH251" s="3087">
        <v>0</v>
      </c>
      <c r="AI251"/>
      <c r="AJ251" s="4558"/>
      <c r="AK251" s="3100" t="s">
        <v>11622</v>
      </c>
      <c r="AL251" s="3084" t="s">
        <v>11623</v>
      </c>
      <c r="AM251" s="3085">
        <v>109</v>
      </c>
      <c r="AN251" s="3086">
        <v>7</v>
      </c>
      <c r="AO251" s="3087">
        <v>26</v>
      </c>
      <c r="AQ251" s="3">
        <v>1</v>
      </c>
    </row>
    <row r="252" spans="22:43" ht="21" customHeight="1">
      <c r="V252" s="4559"/>
      <c r="W252" s="3114" t="s">
        <v>11624</v>
      </c>
      <c r="X252" s="3094" t="s">
        <v>11625</v>
      </c>
      <c r="Y252" s="3095">
        <v>142</v>
      </c>
      <c r="Z252" s="3096">
        <v>209</v>
      </c>
      <c r="AA252" s="3097">
        <v>178</v>
      </c>
      <c r="AB252"/>
      <c r="AC252" s="4560"/>
      <c r="AD252" s="3100" t="s">
        <v>11626</v>
      </c>
      <c r="AE252" s="3084" t="s">
        <v>11627</v>
      </c>
      <c r="AF252" s="3085">
        <v>208</v>
      </c>
      <c r="AG252" s="3086">
        <v>192</v>
      </c>
      <c r="AH252" s="3087">
        <v>122</v>
      </c>
      <c r="AI252"/>
      <c r="AJ252" s="4561"/>
      <c r="AK252" s="3100" t="s">
        <v>11628</v>
      </c>
      <c r="AL252" s="3084" t="s">
        <v>11629</v>
      </c>
      <c r="AM252" s="3085">
        <v>107</v>
      </c>
      <c r="AN252" s="3086">
        <v>13</v>
      </c>
      <c r="AO252" s="3087">
        <v>13</v>
      </c>
      <c r="AQ252" s="3">
        <v>1</v>
      </c>
    </row>
    <row r="253" spans="22:43" ht="21" customHeight="1">
      <c r="V253" s="4562"/>
      <c r="W253" s="3114" t="s">
        <v>11630</v>
      </c>
      <c r="X253" s="3094" t="s">
        <v>11631</v>
      </c>
      <c r="Y253" s="3095">
        <v>141</v>
      </c>
      <c r="Z253" s="3096">
        <v>163</v>
      </c>
      <c r="AA253" s="3097">
        <v>153</v>
      </c>
      <c r="AB253"/>
      <c r="AC253" s="4563"/>
      <c r="AD253" s="3089" t="s">
        <v>11632</v>
      </c>
      <c r="AE253" s="3084" t="s">
        <v>11633</v>
      </c>
      <c r="AF253" s="3085">
        <v>205</v>
      </c>
      <c r="AG253" s="3086">
        <v>190</v>
      </c>
      <c r="AH253" s="3087">
        <v>112</v>
      </c>
      <c r="AI253"/>
      <c r="AJ253" s="4564"/>
      <c r="AK253" s="3100" t="s">
        <v>11634</v>
      </c>
      <c r="AL253" s="3084" t="s">
        <v>11635</v>
      </c>
      <c r="AM253" s="3085">
        <v>84</v>
      </c>
      <c r="AN253" s="3086">
        <v>61</v>
      </c>
      <c r="AO253" s="3087">
        <v>63</v>
      </c>
      <c r="AQ253" s="3">
        <v>1</v>
      </c>
    </row>
    <row r="254" spans="22:43" ht="21" customHeight="1">
      <c r="V254" s="4565"/>
      <c r="W254" s="3114" t="s">
        <v>11636</v>
      </c>
      <c r="X254" s="3094" t="s">
        <v>11637</v>
      </c>
      <c r="Y254" s="3095">
        <v>131</v>
      </c>
      <c r="Z254" s="3096">
        <v>166</v>
      </c>
      <c r="AA254" s="3097">
        <v>151</v>
      </c>
      <c r="AB254"/>
      <c r="AC254" s="4566"/>
      <c r="AD254" s="3100" t="s">
        <v>11638</v>
      </c>
      <c r="AE254" s="3084" t="s">
        <v>11639</v>
      </c>
      <c r="AF254" s="3085">
        <v>194</v>
      </c>
      <c r="AG254" s="3086">
        <v>178</v>
      </c>
      <c r="AH254" s="3087">
        <v>128</v>
      </c>
      <c r="AI254"/>
      <c r="AJ254" s="4567"/>
      <c r="AK254" s="3100" t="s">
        <v>11640</v>
      </c>
      <c r="AL254" s="3084" t="s">
        <v>11641</v>
      </c>
      <c r="AM254" s="3085">
        <v>86</v>
      </c>
      <c r="AN254" s="3086">
        <v>7</v>
      </c>
      <c r="AO254" s="3087">
        <v>12</v>
      </c>
      <c r="AQ254" s="3">
        <v>1</v>
      </c>
    </row>
    <row r="255" spans="22:43" ht="21" customHeight="1">
      <c r="V255" s="4568"/>
      <c r="W255" s="3114" t="s">
        <v>11642</v>
      </c>
      <c r="X255" s="3094" t="s">
        <v>11643</v>
      </c>
      <c r="Y255" s="3095">
        <v>106</v>
      </c>
      <c r="Z255" s="3096">
        <v>171</v>
      </c>
      <c r="AA255" s="3097">
        <v>142</v>
      </c>
      <c r="AB255"/>
      <c r="AC255" s="4569"/>
      <c r="AD255" s="3100" t="s">
        <v>11644</v>
      </c>
      <c r="AE255" s="3084" t="s">
        <v>11645</v>
      </c>
      <c r="AF255" s="3085">
        <v>195</v>
      </c>
      <c r="AG255" s="3086">
        <v>180</v>
      </c>
      <c r="AH255" s="3087">
        <v>112</v>
      </c>
      <c r="AI255"/>
      <c r="AJ255" s="4570"/>
      <c r="AK255" s="3100" t="s">
        <v>11646</v>
      </c>
      <c r="AL255" s="3084" t="s">
        <v>11647</v>
      </c>
      <c r="AM255" s="3085">
        <v>78</v>
      </c>
      <c r="AN255" s="3086">
        <v>22</v>
      </c>
      <c r="AO255" s="3087">
        <v>9</v>
      </c>
      <c r="AQ255" s="3">
        <v>1</v>
      </c>
    </row>
    <row r="256" spans="22:43" ht="21" customHeight="1">
      <c r="V256" s="4571"/>
      <c r="W256" s="3114" t="s">
        <v>11648</v>
      </c>
      <c r="X256" s="3094" t="s">
        <v>11649</v>
      </c>
      <c r="Y256" s="3095">
        <v>62</v>
      </c>
      <c r="Z256" s="3096">
        <v>180</v>
      </c>
      <c r="AA256" s="3097">
        <v>137</v>
      </c>
      <c r="AB256"/>
      <c r="AC256" s="4572"/>
      <c r="AD256" s="3089" t="s">
        <v>11650</v>
      </c>
      <c r="AE256" s="3084" t="s">
        <v>11651</v>
      </c>
      <c r="AF256" s="3085">
        <v>207</v>
      </c>
      <c r="AG256" s="3086">
        <v>181</v>
      </c>
      <c r="AH256" s="3087">
        <v>59</v>
      </c>
      <c r="AI256"/>
      <c r="AJ256" s="4573"/>
      <c r="AK256" s="3100" t="s">
        <v>11652</v>
      </c>
      <c r="AL256" s="3084" t="s">
        <v>11653</v>
      </c>
      <c r="AM256" s="3085">
        <v>62</v>
      </c>
      <c r="AN256" s="3086">
        <v>29</v>
      </c>
      <c r="AO256" s="3087">
        <v>30</v>
      </c>
      <c r="AQ256" s="3">
        <v>1</v>
      </c>
    </row>
    <row r="257" spans="22:43" ht="21" customHeight="1">
      <c r="V257" s="4574"/>
      <c r="W257" s="3093" t="s">
        <v>11654</v>
      </c>
      <c r="X257" s="3094" t="s">
        <v>11655</v>
      </c>
      <c r="Y257" s="3095">
        <v>2</v>
      </c>
      <c r="Z257" s="3096">
        <v>157</v>
      </c>
      <c r="AA257" s="3097">
        <v>116</v>
      </c>
      <c r="AB257"/>
      <c r="AC257" s="4575"/>
      <c r="AD257" s="3100" t="s">
        <v>11656</v>
      </c>
      <c r="AE257" s="3084" t="s">
        <v>11657</v>
      </c>
      <c r="AF257" s="3085">
        <v>209</v>
      </c>
      <c r="AG257" s="3086">
        <v>182</v>
      </c>
      <c r="AH257" s="3087">
        <v>6</v>
      </c>
      <c r="AI257"/>
      <c r="AJ257" s="4576"/>
      <c r="AK257" s="3089" t="s">
        <v>11658</v>
      </c>
      <c r="AL257" s="3084" t="s">
        <v>11659</v>
      </c>
      <c r="AM257" s="3085">
        <v>238</v>
      </c>
      <c r="AN257" s="3086">
        <v>162</v>
      </c>
      <c r="AO257" s="3087">
        <v>173</v>
      </c>
      <c r="AQ257" s="3">
        <v>1</v>
      </c>
    </row>
    <row r="258" spans="22:43" ht="21" customHeight="1">
      <c r="V258" s="4577"/>
      <c r="W258" s="3093" t="s">
        <v>11660</v>
      </c>
      <c r="X258" s="3094" t="s">
        <v>11661</v>
      </c>
      <c r="Y258" s="3095">
        <v>35</v>
      </c>
      <c r="Z258" s="3096">
        <v>142</v>
      </c>
      <c r="AA258" s="3097">
        <v>104</v>
      </c>
      <c r="AB258"/>
      <c r="AC258" s="4578"/>
      <c r="AD258" s="3089" t="s">
        <v>11662</v>
      </c>
      <c r="AE258" s="3084" t="s">
        <v>11663</v>
      </c>
      <c r="AF258" s="3085">
        <v>205</v>
      </c>
      <c r="AG258" s="3086">
        <v>173</v>
      </c>
      <c r="AH258" s="3087">
        <v>0</v>
      </c>
      <c r="AI258"/>
      <c r="AJ258" s="4579"/>
      <c r="AK258" s="3089" t="s">
        <v>11664</v>
      </c>
      <c r="AL258" s="3084" t="s">
        <v>11665</v>
      </c>
      <c r="AM258" s="3085">
        <v>238</v>
      </c>
      <c r="AN258" s="3086">
        <v>169</v>
      </c>
      <c r="AO258" s="3087">
        <v>184</v>
      </c>
      <c r="AQ258" s="3">
        <v>1</v>
      </c>
    </row>
    <row r="259" spans="22:43" ht="21" customHeight="1">
      <c r="V259" s="4580"/>
      <c r="W259" s="3114" t="s">
        <v>11666</v>
      </c>
      <c r="X259" s="3094" t="s">
        <v>11667</v>
      </c>
      <c r="Y259" s="3095">
        <v>59</v>
      </c>
      <c r="Z259" s="3096">
        <v>120</v>
      </c>
      <c r="AA259" s="3097">
        <v>97</v>
      </c>
      <c r="AB259"/>
      <c r="AC259" s="4581"/>
      <c r="AD259" s="3089" t="s">
        <v>11668</v>
      </c>
      <c r="AE259" s="3084" t="s">
        <v>11669</v>
      </c>
      <c r="AF259" s="3085">
        <v>139</v>
      </c>
      <c r="AG259" s="3086">
        <v>117</v>
      </c>
      <c r="AH259" s="3087">
        <v>0</v>
      </c>
      <c r="AI259"/>
      <c r="AJ259" s="4582"/>
      <c r="AK259" s="3089" t="s">
        <v>11670</v>
      </c>
      <c r="AL259" s="3084" t="s">
        <v>11671</v>
      </c>
      <c r="AM259" s="3085">
        <v>255</v>
      </c>
      <c r="AN259" s="3086">
        <v>174</v>
      </c>
      <c r="AO259" s="3087">
        <v>185</v>
      </c>
      <c r="AQ259" s="3">
        <v>1</v>
      </c>
    </row>
    <row r="260" spans="22:43" ht="21" customHeight="1">
      <c r="V260" s="4583"/>
      <c r="W260" s="3114" t="s">
        <v>11672</v>
      </c>
      <c r="X260" s="3094" t="s">
        <v>11673</v>
      </c>
      <c r="Y260" s="3095">
        <v>0</v>
      </c>
      <c r="Z260" s="3096">
        <v>121</v>
      </c>
      <c r="AA260" s="3097">
        <v>89</v>
      </c>
      <c r="AB260"/>
      <c r="AC260" s="4584"/>
      <c r="AD260" s="3100" t="s">
        <v>11674</v>
      </c>
      <c r="AE260" s="3084" t="s">
        <v>11675</v>
      </c>
      <c r="AF260" s="3085">
        <v>104</v>
      </c>
      <c r="AG260" s="3086">
        <v>94</v>
      </c>
      <c r="AH260" s="3087">
        <v>67</v>
      </c>
      <c r="AI260"/>
      <c r="AJ260" s="4585"/>
      <c r="AK260" s="3089" t="s">
        <v>11676</v>
      </c>
      <c r="AL260" s="3084" t="s">
        <v>11677</v>
      </c>
      <c r="AM260" s="3085">
        <v>255</v>
      </c>
      <c r="AN260" s="3086">
        <v>181</v>
      </c>
      <c r="AO260" s="3087">
        <v>197</v>
      </c>
      <c r="AQ260" s="3">
        <v>1</v>
      </c>
    </row>
    <row r="261" spans="22:43" ht="21" customHeight="1">
      <c r="V261" s="4586"/>
      <c r="W261" s="3114" t="s">
        <v>11678</v>
      </c>
      <c r="X261" s="3094" t="s">
        <v>11679</v>
      </c>
      <c r="Y261" s="3095">
        <v>0</v>
      </c>
      <c r="Z261" s="3096">
        <v>84</v>
      </c>
      <c r="AA261" s="3097">
        <v>61</v>
      </c>
      <c r="AB261"/>
      <c r="AC261" s="4587"/>
      <c r="AD261" s="3100" t="s">
        <v>11680</v>
      </c>
      <c r="AE261" s="3084" t="s">
        <v>11681</v>
      </c>
      <c r="AF261" s="3085">
        <v>145</v>
      </c>
      <c r="AG261" s="3086">
        <v>92</v>
      </c>
      <c r="AH261" s="3087">
        <v>131</v>
      </c>
      <c r="AI261"/>
      <c r="AJ261" s="4588"/>
      <c r="AK261" s="3089" t="s">
        <v>11682</v>
      </c>
      <c r="AL261" s="3084" t="s">
        <v>11683</v>
      </c>
      <c r="AM261" s="3085">
        <v>255</v>
      </c>
      <c r="AN261" s="3086">
        <v>182</v>
      </c>
      <c r="AO261" s="3087">
        <v>193</v>
      </c>
      <c r="AQ261" s="3">
        <v>1</v>
      </c>
    </row>
    <row r="262" spans="22:43" ht="21" customHeight="1">
      <c r="V262" s="4589"/>
      <c r="W262" s="3093" t="s">
        <v>11684</v>
      </c>
      <c r="X262" s="3094" t="s">
        <v>11685</v>
      </c>
      <c r="Y262" s="3095">
        <v>118</v>
      </c>
      <c r="Z262" s="3096">
        <v>238</v>
      </c>
      <c r="AA262" s="3097">
        <v>198</v>
      </c>
      <c r="AB262"/>
      <c r="AC262" s="4590"/>
      <c r="AD262" s="3089" t="s">
        <v>11686</v>
      </c>
      <c r="AE262" s="3084" t="s">
        <v>11687</v>
      </c>
      <c r="AF262" s="3085">
        <v>135</v>
      </c>
      <c r="AG262" s="3086">
        <v>31</v>
      </c>
      <c r="AH262" s="3087">
        <v>120</v>
      </c>
      <c r="AI262"/>
      <c r="AJ262" s="4591"/>
      <c r="AK262" s="3089" t="s">
        <v>11688</v>
      </c>
      <c r="AL262" s="3084" t="s">
        <v>11689</v>
      </c>
      <c r="AM262" s="3085">
        <v>255</v>
      </c>
      <c r="AN262" s="3086">
        <v>192</v>
      </c>
      <c r="AO262" s="3087">
        <v>203</v>
      </c>
      <c r="AQ262" s="3">
        <v>1</v>
      </c>
    </row>
    <row r="263" spans="22:43" ht="21" customHeight="1">
      <c r="V263" s="4592"/>
      <c r="W263" s="3114" t="s">
        <v>11690</v>
      </c>
      <c r="X263" s="3094" t="s">
        <v>11691</v>
      </c>
      <c r="Y263" s="3095">
        <v>151</v>
      </c>
      <c r="Z263" s="3096">
        <v>223</v>
      </c>
      <c r="AA263" s="3097">
        <v>198</v>
      </c>
      <c r="AB263"/>
      <c r="AC263" s="4593"/>
      <c r="AD263" s="3100" t="s">
        <v>11692</v>
      </c>
      <c r="AE263" s="3084" t="s">
        <v>11693</v>
      </c>
      <c r="AF263" s="3085">
        <v>135</v>
      </c>
      <c r="AG263" s="3086">
        <v>0</v>
      </c>
      <c r="AH263" s="3087">
        <v>116</v>
      </c>
      <c r="AI263"/>
      <c r="AJ263" s="4594"/>
      <c r="AK263" s="3100" t="s">
        <v>11694</v>
      </c>
      <c r="AL263" s="3084" t="s">
        <v>11695</v>
      </c>
      <c r="AM263" s="3085">
        <v>213</v>
      </c>
      <c r="AN263" s="3086">
        <v>132</v>
      </c>
      <c r="AO263" s="3087">
        <v>144</v>
      </c>
      <c r="AQ263" s="3">
        <v>1</v>
      </c>
    </row>
    <row r="264" spans="22:43" ht="21" customHeight="1">
      <c r="V264" s="4595"/>
      <c r="W264" s="3093" t="s">
        <v>11696</v>
      </c>
      <c r="X264" s="3094" t="s">
        <v>11697</v>
      </c>
      <c r="Y264" s="3095">
        <v>127</v>
      </c>
      <c r="Z264" s="3096">
        <v>255</v>
      </c>
      <c r="AA264" s="3097">
        <v>212</v>
      </c>
      <c r="AB264"/>
      <c r="AC264" s="4596"/>
      <c r="AD264" s="3100" t="s">
        <v>11698</v>
      </c>
      <c r="AE264" s="3084" t="s">
        <v>11699</v>
      </c>
      <c r="AF264" s="3085">
        <v>93</v>
      </c>
      <c r="AG264" s="3086">
        <v>85</v>
      </c>
      <c r="AH264" s="3087">
        <v>91</v>
      </c>
      <c r="AI264"/>
      <c r="AJ264" s="4597"/>
      <c r="AK264" s="3089" t="s">
        <v>11700</v>
      </c>
      <c r="AL264" s="3084" t="s">
        <v>11701</v>
      </c>
      <c r="AM264" s="3085">
        <v>205</v>
      </c>
      <c r="AN264" s="3086">
        <v>145</v>
      </c>
      <c r="AO264" s="3087">
        <v>158</v>
      </c>
      <c r="AQ264" s="3">
        <v>1</v>
      </c>
    </row>
    <row r="265" spans="22:43" ht="21" customHeight="1">
      <c r="V265" s="4598"/>
      <c r="W265" s="3114" t="s">
        <v>11702</v>
      </c>
      <c r="X265" s="3094" t="s">
        <v>11703</v>
      </c>
      <c r="Y265" s="3095">
        <v>223</v>
      </c>
      <c r="Z265" s="3096">
        <v>237</v>
      </c>
      <c r="AA265" s="3097">
        <v>232</v>
      </c>
      <c r="AB265"/>
      <c r="AC265" s="4599"/>
      <c r="AD265" s="3100" t="s">
        <v>11704</v>
      </c>
      <c r="AE265" s="3084" t="s">
        <v>11705</v>
      </c>
      <c r="AF265" s="3085">
        <v>112</v>
      </c>
      <c r="AG265" s="3086">
        <v>41</v>
      </c>
      <c r="AH265" s="3087">
        <v>99</v>
      </c>
      <c r="AI265"/>
      <c r="AJ265" s="4600"/>
      <c r="AK265" s="3089" t="s">
        <v>11706</v>
      </c>
      <c r="AL265" s="3084" t="s">
        <v>11707</v>
      </c>
      <c r="AM265" s="3085">
        <v>205</v>
      </c>
      <c r="AN265" s="3086">
        <v>140</v>
      </c>
      <c r="AO265" s="3087">
        <v>149</v>
      </c>
      <c r="AQ265" s="3">
        <v>1</v>
      </c>
    </row>
    <row r="266" spans="22:43" ht="21" customHeight="1">
      <c r="V266" s="4601"/>
      <c r="W266" s="3093" t="s">
        <v>11708</v>
      </c>
      <c r="X266" s="3094" t="s">
        <v>11709</v>
      </c>
      <c r="Y266" s="3095">
        <v>102</v>
      </c>
      <c r="Z266" s="3096">
        <v>205</v>
      </c>
      <c r="AA266" s="3097">
        <v>170</v>
      </c>
      <c r="AB266"/>
      <c r="AC266" s="4602"/>
      <c r="AD266" s="3100" t="s">
        <v>11710</v>
      </c>
      <c r="AE266" s="3084" t="s">
        <v>11711</v>
      </c>
      <c r="AF266" s="3085">
        <v>93</v>
      </c>
      <c r="AG266" s="3086">
        <v>57</v>
      </c>
      <c r="AH266" s="3087">
        <v>84</v>
      </c>
      <c r="AI266"/>
      <c r="AJ266" s="4603"/>
      <c r="AK266" s="3100" t="s">
        <v>11712</v>
      </c>
      <c r="AL266" s="3084" t="s">
        <v>11713</v>
      </c>
      <c r="AM266" s="3085">
        <v>175</v>
      </c>
      <c r="AN266" s="3086">
        <v>134</v>
      </c>
      <c r="AO266" s="3087">
        <v>142</v>
      </c>
      <c r="AQ266" s="3">
        <v>1</v>
      </c>
    </row>
    <row r="267" spans="22:43" ht="21" customHeight="1">
      <c r="V267" s="4604"/>
      <c r="W267" s="3114" t="s">
        <v>11714</v>
      </c>
      <c r="X267" s="3094" t="s">
        <v>11715</v>
      </c>
      <c r="Y267" s="3095">
        <v>125</v>
      </c>
      <c r="Z267" s="3096">
        <v>137</v>
      </c>
      <c r="AA267" s="3097">
        <v>132</v>
      </c>
      <c r="AB267"/>
      <c r="AC267" s="4605"/>
      <c r="AD267" s="3100" t="s">
        <v>11716</v>
      </c>
      <c r="AE267" s="3084" t="s">
        <v>11717</v>
      </c>
      <c r="AF267" s="3085">
        <v>80</v>
      </c>
      <c r="AG267" s="3086">
        <v>64</v>
      </c>
      <c r="AH267" s="3087">
        <v>77</v>
      </c>
      <c r="AI267"/>
      <c r="AJ267" s="4606"/>
      <c r="AK267" s="3100" t="s">
        <v>11718</v>
      </c>
      <c r="AL267" s="3084" t="s">
        <v>11719</v>
      </c>
      <c r="AM267" s="3085">
        <v>199</v>
      </c>
      <c r="AN267" s="3086">
        <v>44</v>
      </c>
      <c r="AO267" s="3087">
        <v>72</v>
      </c>
      <c r="AQ267" s="3">
        <v>1</v>
      </c>
    </row>
    <row r="268" spans="22:43" ht="21" customHeight="1">
      <c r="V268" s="4607"/>
      <c r="W268" s="3114" t="s">
        <v>11720</v>
      </c>
      <c r="X268" s="3094" t="s">
        <v>11721</v>
      </c>
      <c r="Y268" s="3095">
        <v>100</v>
      </c>
      <c r="Z268" s="3096">
        <v>155</v>
      </c>
      <c r="AA268" s="3097">
        <v>136</v>
      </c>
      <c r="AB268"/>
      <c r="AC268" s="4608"/>
      <c r="AD268" s="3100" t="s">
        <v>11722</v>
      </c>
      <c r="AE268" s="3084" t="s">
        <v>11723</v>
      </c>
      <c r="AF268" s="3085">
        <v>211</v>
      </c>
      <c r="AG268" s="3086">
        <v>153</v>
      </c>
      <c r="AH268" s="3087">
        <v>230</v>
      </c>
      <c r="AI268"/>
      <c r="AJ268" s="4609"/>
      <c r="AK268" s="3100" t="s">
        <v>11724</v>
      </c>
      <c r="AL268" s="3084" t="s">
        <v>11725</v>
      </c>
      <c r="AM268" s="3085">
        <v>172</v>
      </c>
      <c r="AN268" s="3086">
        <v>30</v>
      </c>
      <c r="AO268" s="3087">
        <v>68</v>
      </c>
      <c r="AQ268" s="3">
        <v>1</v>
      </c>
    </row>
    <row r="269" spans="22:43" ht="21" customHeight="1">
      <c r="V269" s="4610"/>
      <c r="W269" s="3093" t="s">
        <v>11726</v>
      </c>
      <c r="X269" s="3094" t="s">
        <v>11727</v>
      </c>
      <c r="Y269" s="3095">
        <v>69</v>
      </c>
      <c r="Z269" s="3096">
        <v>139</v>
      </c>
      <c r="AA269" s="3097">
        <v>116</v>
      </c>
      <c r="AB269"/>
      <c r="AC269" s="4611"/>
      <c r="AD269" s="3089" t="s">
        <v>11728</v>
      </c>
      <c r="AE269" s="3084" t="s">
        <v>11729</v>
      </c>
      <c r="AF269" s="3085">
        <v>224</v>
      </c>
      <c r="AG269" s="3086">
        <v>102</v>
      </c>
      <c r="AH269" s="3087">
        <v>255</v>
      </c>
      <c r="AI269"/>
      <c r="AJ269" s="4612"/>
      <c r="AK269" s="3089" t="s">
        <v>11730</v>
      </c>
      <c r="AL269" s="3084" t="s">
        <v>11731</v>
      </c>
      <c r="AM269" s="3085">
        <v>139</v>
      </c>
      <c r="AN269" s="3086">
        <v>99</v>
      </c>
      <c r="AO269" s="3087">
        <v>108</v>
      </c>
      <c r="AQ269" s="3">
        <v>1</v>
      </c>
    </row>
    <row r="270" spans="22:43" ht="21" customHeight="1">
      <c r="V270" s="4613"/>
      <c r="W270" s="3114" t="s">
        <v>11732</v>
      </c>
      <c r="X270" s="3094" t="s">
        <v>11733</v>
      </c>
      <c r="Y270" s="3095">
        <v>94</v>
      </c>
      <c r="Z270" s="3096">
        <v>113</v>
      </c>
      <c r="AA270" s="3097">
        <v>106</v>
      </c>
      <c r="AB270"/>
      <c r="AC270" s="4614"/>
      <c r="AD270" s="3100" t="s">
        <v>11734</v>
      </c>
      <c r="AE270" s="3084" t="s">
        <v>11735</v>
      </c>
      <c r="AF270" s="3085">
        <v>223</v>
      </c>
      <c r="AG270" s="3086">
        <v>115</v>
      </c>
      <c r="AH270" s="3087">
        <v>255</v>
      </c>
      <c r="AI270"/>
      <c r="AJ270" s="4615"/>
      <c r="AK270" s="3089" t="s">
        <v>11736</v>
      </c>
      <c r="AL270" s="3084" t="s">
        <v>11737</v>
      </c>
      <c r="AM270" s="3085">
        <v>139</v>
      </c>
      <c r="AN270" s="3086">
        <v>95</v>
      </c>
      <c r="AO270" s="3087">
        <v>101</v>
      </c>
      <c r="AQ270" s="3">
        <v>1</v>
      </c>
    </row>
    <row r="271" spans="22:43" ht="21" customHeight="1">
      <c r="V271" s="4616"/>
      <c r="W271" s="3114" t="s">
        <v>11738</v>
      </c>
      <c r="X271" s="3094" t="s">
        <v>11739</v>
      </c>
      <c r="Y271" s="3095">
        <v>64</v>
      </c>
      <c r="Z271" s="3096">
        <v>130</v>
      </c>
      <c r="AA271" s="3097">
        <v>109</v>
      </c>
      <c r="AB271"/>
      <c r="AC271" s="4617"/>
      <c r="AD271" s="3089" t="s">
        <v>11740</v>
      </c>
      <c r="AE271" s="3084" t="s">
        <v>11741</v>
      </c>
      <c r="AF271" s="3085">
        <v>209</v>
      </c>
      <c r="AG271" s="3086">
        <v>95</v>
      </c>
      <c r="AH271" s="3087">
        <v>238</v>
      </c>
      <c r="AI271"/>
      <c r="AJ271" s="4618"/>
      <c r="AK271" s="3100" t="s">
        <v>11742</v>
      </c>
      <c r="AL271" s="3084" t="s">
        <v>11743</v>
      </c>
      <c r="AM271" s="3085">
        <v>158</v>
      </c>
      <c r="AN271" s="3086">
        <v>14</v>
      </c>
      <c r="AO271" s="3087">
        <v>64</v>
      </c>
      <c r="AQ271" s="3">
        <v>1</v>
      </c>
    </row>
    <row r="272" spans="22:43" ht="21" customHeight="1">
      <c r="V272" s="4619"/>
      <c r="W272" s="3114" t="s">
        <v>11744</v>
      </c>
      <c r="X272" s="3094" t="s">
        <v>11745</v>
      </c>
      <c r="Y272" s="3095">
        <v>27</v>
      </c>
      <c r="Z272" s="3096">
        <v>77</v>
      </c>
      <c r="AA272" s="3097">
        <v>62</v>
      </c>
      <c r="AB272"/>
      <c r="AC272" s="4620"/>
      <c r="AD272" s="3100" t="s">
        <v>11746</v>
      </c>
      <c r="AE272" s="3084" t="s">
        <v>11747</v>
      </c>
      <c r="AF272" s="3085">
        <v>182</v>
      </c>
      <c r="AG272" s="3086">
        <v>149</v>
      </c>
      <c r="AH272" s="3087">
        <v>192</v>
      </c>
      <c r="AI272"/>
      <c r="AJ272" s="4621"/>
      <c r="AK272" s="3100" t="s">
        <v>11748</v>
      </c>
      <c r="AL272" s="3084" t="s">
        <v>11749</v>
      </c>
      <c r="AM272" s="3085">
        <v>145</v>
      </c>
      <c r="AN272" s="3086">
        <v>40</v>
      </c>
      <c r="AO272" s="3087">
        <v>59</v>
      </c>
      <c r="AQ272" s="3">
        <v>1</v>
      </c>
    </row>
    <row r="273" spans="22:43" ht="21" customHeight="1">
      <c r="V273" s="4622"/>
      <c r="W273" s="3114" t="s">
        <v>11750</v>
      </c>
      <c r="X273" s="3094" t="s">
        <v>11751</v>
      </c>
      <c r="Y273" s="3095">
        <v>28</v>
      </c>
      <c r="Z273" s="3096">
        <v>53</v>
      </c>
      <c r="AA273" s="3097">
        <v>45</v>
      </c>
      <c r="AB273"/>
      <c r="AC273" s="4623"/>
      <c r="AD273" s="3089" t="s">
        <v>11752</v>
      </c>
      <c r="AE273" s="3084" t="s">
        <v>11753</v>
      </c>
      <c r="AF273" s="3085">
        <v>186</v>
      </c>
      <c r="AG273" s="3086">
        <v>85</v>
      </c>
      <c r="AH273" s="3087">
        <v>211</v>
      </c>
      <c r="AI273"/>
      <c r="AJ273" s="4624"/>
      <c r="AK273" s="3100" t="s">
        <v>11754</v>
      </c>
      <c r="AL273" s="3084" t="s">
        <v>11755</v>
      </c>
      <c r="AM273" s="3085">
        <v>144</v>
      </c>
      <c r="AN273" s="3086">
        <v>40</v>
      </c>
      <c r="AO273" s="3087">
        <v>59</v>
      </c>
      <c r="AQ273" s="3">
        <v>1</v>
      </c>
    </row>
    <row r="274" spans="22:43" ht="21" customHeight="1">
      <c r="V274" s="4625"/>
      <c r="W274" s="3114" t="s">
        <v>11756</v>
      </c>
      <c r="X274" s="3094" t="s">
        <v>11757</v>
      </c>
      <c r="Y274" s="3095">
        <v>30</v>
      </c>
      <c r="Z274" s="3096">
        <v>35</v>
      </c>
      <c r="AA274" s="3097">
        <v>33</v>
      </c>
      <c r="AB274"/>
      <c r="AC274" s="4626"/>
      <c r="AD274" s="3089" t="s">
        <v>11758</v>
      </c>
      <c r="AE274" s="3084" t="s">
        <v>11759</v>
      </c>
      <c r="AF274" s="3085">
        <v>180</v>
      </c>
      <c r="AG274" s="3086">
        <v>82</v>
      </c>
      <c r="AH274" s="3087">
        <v>205</v>
      </c>
      <c r="AI274"/>
      <c r="AJ274" s="4627"/>
      <c r="AK274" s="3100" t="s">
        <v>11760</v>
      </c>
      <c r="AL274" s="3084" t="s">
        <v>11761</v>
      </c>
      <c r="AM274" s="3085">
        <v>92</v>
      </c>
      <c r="AN274" s="3086">
        <v>9</v>
      </c>
      <c r="AO274" s="3087">
        <v>35</v>
      </c>
      <c r="AQ274" s="3">
        <v>1</v>
      </c>
    </row>
    <row r="275" spans="22:43" ht="21" customHeight="1">
      <c r="V275" s="4628"/>
      <c r="W275" s="3114" t="s">
        <v>11762</v>
      </c>
      <c r="X275" s="3094" t="s">
        <v>11763</v>
      </c>
      <c r="Y275" s="3095">
        <v>26</v>
      </c>
      <c r="Z275" s="3096">
        <v>36</v>
      </c>
      <c r="AA275" s="3097">
        <v>33</v>
      </c>
      <c r="AB275"/>
      <c r="AC275" s="4629"/>
      <c r="AD275" s="3100" t="s">
        <v>11764</v>
      </c>
      <c r="AE275" s="3084" t="s">
        <v>11765</v>
      </c>
      <c r="AF275" s="3085">
        <v>154</v>
      </c>
      <c r="AG275" s="3086">
        <v>78</v>
      </c>
      <c r="AH275" s="3087">
        <v>174</v>
      </c>
      <c r="AI275"/>
      <c r="AJ275" s="4630"/>
      <c r="AK275" s="3100" t="s">
        <v>11766</v>
      </c>
      <c r="AL275" s="3084" t="s">
        <v>11767</v>
      </c>
      <c r="AM275" s="3085">
        <v>58</v>
      </c>
      <c r="AN275" s="3086">
        <v>2</v>
      </c>
      <c r="AO275" s="3087">
        <v>13</v>
      </c>
      <c r="AQ275" s="3">
        <v>1</v>
      </c>
    </row>
    <row r="276" spans="22:43" ht="21" customHeight="1">
      <c r="V276" s="4631"/>
      <c r="W276" s="3093" t="s">
        <v>11768</v>
      </c>
      <c r="X276" s="3094" t="s">
        <v>11769</v>
      </c>
      <c r="Y276" s="3095">
        <v>0</v>
      </c>
      <c r="Z276" s="3096">
        <v>250</v>
      </c>
      <c r="AA276" s="3097">
        <v>154</v>
      </c>
      <c r="AB276"/>
      <c r="AC276" s="4632"/>
      <c r="AD276" s="3100" t="s">
        <v>11770</v>
      </c>
      <c r="AE276" s="3084" t="s">
        <v>11771</v>
      </c>
      <c r="AF276" s="3085">
        <v>134</v>
      </c>
      <c r="AG276" s="3086">
        <v>96</v>
      </c>
      <c r="AH276" s="3087">
        <v>142</v>
      </c>
      <c r="AI276"/>
      <c r="AJ276" s="4633"/>
      <c r="AK276" s="3100" t="s">
        <v>11772</v>
      </c>
      <c r="AL276" s="3084" t="s">
        <v>11773</v>
      </c>
      <c r="AM276" s="3085">
        <v>46</v>
      </c>
      <c r="AN276" s="3086">
        <v>29</v>
      </c>
      <c r="AO276" s="3087">
        <v>33</v>
      </c>
      <c r="AQ276" s="3">
        <v>1</v>
      </c>
    </row>
    <row r="277" spans="22:43" ht="21" customHeight="1">
      <c r="V277" s="4634"/>
      <c r="W277" s="3114" t="s">
        <v>11774</v>
      </c>
      <c r="X277" s="3094" t="s">
        <v>11775</v>
      </c>
      <c r="Y277" s="3095">
        <v>0</v>
      </c>
      <c r="Z277" s="3096">
        <v>136</v>
      </c>
      <c r="AA277" s="3097">
        <v>86</v>
      </c>
      <c r="AB277"/>
      <c r="AC277" s="4635"/>
      <c r="AD277" s="3100" t="s">
        <v>11776</v>
      </c>
      <c r="AE277" s="3084" t="s">
        <v>11777</v>
      </c>
      <c r="AF277" s="3085">
        <v>135</v>
      </c>
      <c r="AG277" s="3086">
        <v>86</v>
      </c>
      <c r="AH277" s="3087">
        <v>146</v>
      </c>
      <c r="AI277"/>
      <c r="AJ277" s="4636"/>
      <c r="AK277" s="3089" t="s">
        <v>11778</v>
      </c>
      <c r="AL277" s="3084" t="s">
        <v>11779</v>
      </c>
      <c r="AM277" s="3085">
        <v>255</v>
      </c>
      <c r="AN277" s="3086">
        <v>127</v>
      </c>
      <c r="AO277" s="3087">
        <v>36</v>
      </c>
      <c r="AQ277" s="3">
        <v>1</v>
      </c>
    </row>
    <row r="278" spans="22:43" ht="21" customHeight="1">
      <c r="V278" s="4637"/>
      <c r="W278" s="3093" t="s">
        <v>11780</v>
      </c>
      <c r="X278" s="3094" t="s">
        <v>11781</v>
      </c>
      <c r="Y278" s="3095">
        <v>255</v>
      </c>
      <c r="Z278" s="3096">
        <v>110</v>
      </c>
      <c r="AA278" s="3097">
        <v>199</v>
      </c>
      <c r="AB278"/>
      <c r="AC278" s="4638"/>
      <c r="AD278" s="3089" t="s">
        <v>11782</v>
      </c>
      <c r="AE278" s="3084" t="s">
        <v>11783</v>
      </c>
      <c r="AF278" s="3085">
        <v>122</v>
      </c>
      <c r="AG278" s="3086">
        <v>55</v>
      </c>
      <c r="AH278" s="3087">
        <v>139</v>
      </c>
      <c r="AI278"/>
      <c r="AJ278" s="4639"/>
      <c r="AK278" s="3089" t="s">
        <v>11784</v>
      </c>
      <c r="AL278" s="3084" t="s">
        <v>11785</v>
      </c>
      <c r="AM278" s="3085">
        <v>233</v>
      </c>
      <c r="AN278" s="3086">
        <v>150</v>
      </c>
      <c r="AO278" s="3087">
        <v>122</v>
      </c>
      <c r="AQ278" s="3">
        <v>1</v>
      </c>
    </row>
    <row r="279" spans="22:43" ht="21" customHeight="1">
      <c r="V279" s="4640"/>
      <c r="W279" s="3093" t="s">
        <v>11786</v>
      </c>
      <c r="X279" s="3094" t="s">
        <v>11787</v>
      </c>
      <c r="Y279" s="3095">
        <v>204</v>
      </c>
      <c r="Z279" s="3096">
        <v>50</v>
      </c>
      <c r="AA279" s="3097">
        <v>153</v>
      </c>
      <c r="AB279"/>
      <c r="AC279" s="4641"/>
      <c r="AD279" s="3100" t="s">
        <v>11788</v>
      </c>
      <c r="AE279" s="3084" t="s">
        <v>11789</v>
      </c>
      <c r="AF279" s="3085">
        <v>96</v>
      </c>
      <c r="AG279" s="3086">
        <v>47</v>
      </c>
      <c r="AH279" s="3087">
        <v>107</v>
      </c>
      <c r="AI279"/>
      <c r="AJ279" s="4642"/>
      <c r="AK279" s="3089" t="s">
        <v>11790</v>
      </c>
      <c r="AL279" s="3084" t="s">
        <v>11791</v>
      </c>
      <c r="AM279" s="3085">
        <v>238</v>
      </c>
      <c r="AN279" s="3086">
        <v>149</v>
      </c>
      <c r="AO279" s="3087">
        <v>114</v>
      </c>
      <c r="AQ279" s="3">
        <v>1</v>
      </c>
    </row>
    <row r="280" spans="22:43" ht="21" customHeight="1">
      <c r="V280" s="4643"/>
      <c r="W280" s="3093" t="s">
        <v>11792</v>
      </c>
      <c r="X280" s="3094" t="s">
        <v>11793</v>
      </c>
      <c r="Y280" s="3095">
        <v>205</v>
      </c>
      <c r="Z280" s="3096">
        <v>41</v>
      </c>
      <c r="AA280" s="3097">
        <v>144</v>
      </c>
      <c r="AB280"/>
      <c r="AC280" s="4644"/>
      <c r="AD280" s="3100" t="s">
        <v>11794</v>
      </c>
      <c r="AE280" s="3084" t="s">
        <v>11795</v>
      </c>
      <c r="AF280" s="3085">
        <v>86</v>
      </c>
      <c r="AG280" s="3086">
        <v>60</v>
      </c>
      <c r="AH280" s="3087">
        <v>92</v>
      </c>
      <c r="AI280"/>
      <c r="AJ280" s="4645"/>
      <c r="AK280" s="3089" t="s">
        <v>11796</v>
      </c>
      <c r="AL280" s="3084" t="s">
        <v>11797</v>
      </c>
      <c r="AM280" s="3085">
        <v>255</v>
      </c>
      <c r="AN280" s="3086">
        <v>130</v>
      </c>
      <c r="AO280" s="3087">
        <v>71</v>
      </c>
      <c r="AQ280" s="3">
        <v>1</v>
      </c>
    </row>
    <row r="281" spans="22:43" ht="21" customHeight="1">
      <c r="V281" s="4646"/>
      <c r="W281" s="3114" t="s">
        <v>11798</v>
      </c>
      <c r="X281" s="3094" t="s">
        <v>11799</v>
      </c>
      <c r="Y281" s="3095">
        <v>150</v>
      </c>
      <c r="Z281" s="3096">
        <v>85</v>
      </c>
      <c r="AA281" s="3097">
        <v>120</v>
      </c>
      <c r="AB281"/>
      <c r="AC281" s="4647"/>
      <c r="AD281" s="3089" t="s">
        <v>11800</v>
      </c>
      <c r="AE281" s="3084" t="s">
        <v>11801</v>
      </c>
      <c r="AF281" s="3085">
        <v>255</v>
      </c>
      <c r="AG281" s="3086">
        <v>20</v>
      </c>
      <c r="AH281" s="3087">
        <v>147</v>
      </c>
      <c r="AI281"/>
      <c r="AJ281" s="4648"/>
      <c r="AK281" s="3089" t="s">
        <v>11802</v>
      </c>
      <c r="AL281" s="3084" t="s">
        <v>11803</v>
      </c>
      <c r="AM281" s="3085">
        <v>255</v>
      </c>
      <c r="AN281" s="3086">
        <v>127</v>
      </c>
      <c r="AO281" s="3087">
        <v>80</v>
      </c>
      <c r="AQ281" s="3">
        <v>1</v>
      </c>
    </row>
    <row r="282" spans="22:43" ht="21" customHeight="1">
      <c r="V282" s="4649"/>
      <c r="W282" s="3093" t="s">
        <v>11804</v>
      </c>
      <c r="X282" s="3094" t="s">
        <v>11805</v>
      </c>
      <c r="Y282" s="3095">
        <v>139</v>
      </c>
      <c r="Z282" s="3096">
        <v>28</v>
      </c>
      <c r="AA282" s="3097">
        <v>98</v>
      </c>
      <c r="AB282"/>
      <c r="AC282" s="4650"/>
      <c r="AD282" s="3100" t="s">
        <v>11806</v>
      </c>
      <c r="AE282" s="3084" t="s">
        <v>11807</v>
      </c>
      <c r="AF282" s="3085">
        <v>253</v>
      </c>
      <c r="AG282" s="3086">
        <v>63</v>
      </c>
      <c r="AH282" s="3087">
        <v>146</v>
      </c>
      <c r="AI282"/>
      <c r="AJ282" s="4651"/>
      <c r="AK282" s="3089" t="s">
        <v>11808</v>
      </c>
      <c r="AL282" s="3084" t="s">
        <v>11809</v>
      </c>
      <c r="AM282" s="3085">
        <v>205</v>
      </c>
      <c r="AN282" s="3086">
        <v>183</v>
      </c>
      <c r="AO282" s="3087">
        <v>181</v>
      </c>
      <c r="AQ282" s="3">
        <v>1</v>
      </c>
    </row>
    <row r="283" spans="22:43" ht="21" customHeight="1">
      <c r="V283" s="4652"/>
      <c r="W283" s="3114" t="s">
        <v>11810</v>
      </c>
      <c r="X283" s="3094" t="s">
        <v>11811</v>
      </c>
      <c r="Y283" s="3095">
        <v>84</v>
      </c>
      <c r="Z283" s="3096">
        <v>19</v>
      </c>
      <c r="AA283" s="3097">
        <v>59</v>
      </c>
      <c r="AB283"/>
      <c r="AC283" s="4653"/>
      <c r="AD283" s="3089" t="s">
        <v>11812</v>
      </c>
      <c r="AE283" s="3084" t="s">
        <v>11813</v>
      </c>
      <c r="AF283" s="3085">
        <v>255</v>
      </c>
      <c r="AG283" s="3086">
        <v>62</v>
      </c>
      <c r="AH283" s="3087">
        <v>150</v>
      </c>
      <c r="AI283"/>
      <c r="AJ283" s="4654"/>
      <c r="AK283" s="3089" t="s">
        <v>11814</v>
      </c>
      <c r="AL283" s="3084" t="s">
        <v>11815</v>
      </c>
      <c r="AM283" s="3085">
        <v>255</v>
      </c>
      <c r="AN283" s="3086">
        <v>114</v>
      </c>
      <c r="AO283" s="3087">
        <v>86</v>
      </c>
      <c r="AQ283" s="3">
        <v>1</v>
      </c>
    </row>
    <row r="284" spans="22:43" ht="21" customHeight="1">
      <c r="V284" s="4655"/>
      <c r="W284" s="3114" t="s">
        <v>11816</v>
      </c>
      <c r="X284" s="3094" t="s">
        <v>11817</v>
      </c>
      <c r="Y284" s="3095">
        <v>56</v>
      </c>
      <c r="Z284" s="3096">
        <v>21</v>
      </c>
      <c r="AA284" s="3097">
        <v>44</v>
      </c>
      <c r="AB284"/>
      <c r="AC284" s="4656"/>
      <c r="AD284" s="3089" t="s">
        <v>11818</v>
      </c>
      <c r="AE284" s="3084" t="s">
        <v>11819</v>
      </c>
      <c r="AF284" s="3085">
        <v>238</v>
      </c>
      <c r="AG284" s="3086">
        <v>121</v>
      </c>
      <c r="AH284" s="3087">
        <v>159</v>
      </c>
      <c r="AI284"/>
      <c r="AJ284" s="4657"/>
      <c r="AK284" s="3089" t="s">
        <v>11820</v>
      </c>
      <c r="AL284" s="3084" t="s">
        <v>11821</v>
      </c>
      <c r="AM284" s="3085">
        <v>255</v>
      </c>
      <c r="AN284" s="3086">
        <v>140</v>
      </c>
      <c r="AO284" s="3087">
        <v>105</v>
      </c>
      <c r="AQ284" s="3">
        <v>1</v>
      </c>
    </row>
    <row r="285" spans="22:43" ht="21" customHeight="1">
      <c r="V285" s="4658"/>
      <c r="W285" s="3114" t="s">
        <v>11822</v>
      </c>
      <c r="X285" s="3094" t="s">
        <v>11823</v>
      </c>
      <c r="Y285" s="3095">
        <v>55</v>
      </c>
      <c r="Z285" s="3096">
        <v>0</v>
      </c>
      <c r="AA285" s="3097">
        <v>40</v>
      </c>
      <c r="AB285"/>
      <c r="AC285" s="4659"/>
      <c r="AD285" s="3100" t="s">
        <v>11824</v>
      </c>
      <c r="AE285" s="3084" t="s">
        <v>11825</v>
      </c>
      <c r="AF285" s="3085">
        <v>230</v>
      </c>
      <c r="AG285" s="3086">
        <v>143</v>
      </c>
      <c r="AH285" s="3087">
        <v>172</v>
      </c>
      <c r="AI285"/>
      <c r="AJ285" s="4660"/>
      <c r="AK285" s="3100" t="s">
        <v>11826</v>
      </c>
      <c r="AL285" s="3084" t="s">
        <v>11827</v>
      </c>
      <c r="AM285" s="3085">
        <v>255</v>
      </c>
      <c r="AN285" s="3086">
        <v>134</v>
      </c>
      <c r="AO285" s="3087">
        <v>106</v>
      </c>
      <c r="AQ285" s="3">
        <v>1</v>
      </c>
    </row>
    <row r="286" spans="22:43" ht="21" customHeight="1">
      <c r="V286" s="4661"/>
      <c r="W286" s="3114" t="s">
        <v>11828</v>
      </c>
      <c r="X286" s="3094" t="s">
        <v>11829</v>
      </c>
      <c r="Y286" s="3095">
        <v>191</v>
      </c>
      <c r="Z286" s="3096">
        <v>185</v>
      </c>
      <c r="AA286" s="3097">
        <v>189</v>
      </c>
      <c r="AB286"/>
      <c r="AC286" s="4662"/>
      <c r="AD286" s="3100" t="s">
        <v>11830</v>
      </c>
      <c r="AE286" s="3084" t="s">
        <v>11831</v>
      </c>
      <c r="AF286" s="3085">
        <v>253</v>
      </c>
      <c r="AG286" s="3086">
        <v>108</v>
      </c>
      <c r="AH286" s="3087">
        <v>158</v>
      </c>
      <c r="AI286"/>
      <c r="AJ286" s="4663"/>
      <c r="AK286" s="3089" t="s">
        <v>11832</v>
      </c>
      <c r="AL286" s="3084" t="s">
        <v>11833</v>
      </c>
      <c r="AM286" s="3085">
        <v>255</v>
      </c>
      <c r="AN286" s="3086">
        <v>160</v>
      </c>
      <c r="AO286" s="3087">
        <v>122</v>
      </c>
      <c r="AQ286" s="3">
        <v>1</v>
      </c>
    </row>
    <row r="287" spans="22:43" ht="21" customHeight="1">
      <c r="V287" s="4664"/>
      <c r="W287" s="3114" t="s">
        <v>11834</v>
      </c>
      <c r="X287" s="3094" t="s">
        <v>11835</v>
      </c>
      <c r="Y287" s="3095">
        <v>183</v>
      </c>
      <c r="Z287" s="3096">
        <v>132</v>
      </c>
      <c r="AA287" s="3097">
        <v>167</v>
      </c>
      <c r="AB287"/>
      <c r="AC287" s="4665"/>
      <c r="AD287" s="3089" t="s">
        <v>11836</v>
      </c>
      <c r="AE287" s="3084" t="s">
        <v>11837</v>
      </c>
      <c r="AF287" s="3085">
        <v>205</v>
      </c>
      <c r="AG287" s="3086">
        <v>193</v>
      </c>
      <c r="AH287" s="3087">
        <v>197</v>
      </c>
      <c r="AI287"/>
      <c r="AJ287" s="4666"/>
      <c r="AK287" s="3100" t="s">
        <v>11838</v>
      </c>
      <c r="AL287" s="3084" t="s">
        <v>11839</v>
      </c>
      <c r="AM287" s="3085">
        <v>255</v>
      </c>
      <c r="AN287" s="3086">
        <v>183</v>
      </c>
      <c r="AO287" s="3087">
        <v>165</v>
      </c>
      <c r="AQ287" s="3">
        <v>1</v>
      </c>
    </row>
    <row r="288" spans="22:43" ht="21" customHeight="1">
      <c r="V288" s="4667"/>
      <c r="W288" s="3114" t="s">
        <v>11840</v>
      </c>
      <c r="X288" s="3094" t="s">
        <v>11841</v>
      </c>
      <c r="Y288" s="3095">
        <v>170</v>
      </c>
      <c r="Z288" s="3096">
        <v>138</v>
      </c>
      <c r="AA288" s="3097">
        <v>158</v>
      </c>
      <c r="AB288"/>
      <c r="AC288" s="4668"/>
      <c r="AD288" s="3089" t="s">
        <v>11842</v>
      </c>
      <c r="AE288" s="3084" t="s">
        <v>11843</v>
      </c>
      <c r="AF288" s="3085">
        <v>255</v>
      </c>
      <c r="AG288" s="3086">
        <v>130</v>
      </c>
      <c r="AH288" s="3087">
        <v>171</v>
      </c>
      <c r="AI288"/>
      <c r="AJ288" s="4669"/>
      <c r="AK288" s="3100" t="s">
        <v>11844</v>
      </c>
      <c r="AL288" s="3084" t="s">
        <v>11845</v>
      </c>
      <c r="AM288" s="3085">
        <v>253</v>
      </c>
      <c r="AN288" s="3086">
        <v>191</v>
      </c>
      <c r="AO288" s="3087">
        <v>183</v>
      </c>
      <c r="AQ288" s="3">
        <v>1</v>
      </c>
    </row>
    <row r="289" spans="22:43" ht="21" customHeight="1">
      <c r="V289" s="4670"/>
      <c r="W289" s="3114" t="s">
        <v>11846</v>
      </c>
      <c r="X289" s="3094" t="s">
        <v>11847</v>
      </c>
      <c r="Y289" s="3095">
        <v>153</v>
      </c>
      <c r="Z289" s="3096">
        <v>122</v>
      </c>
      <c r="AA289" s="3097">
        <v>141</v>
      </c>
      <c r="AB289"/>
      <c r="AC289" s="4671"/>
      <c r="AD289" s="3100" t="s">
        <v>11848</v>
      </c>
      <c r="AE289" s="3084" t="s">
        <v>11849</v>
      </c>
      <c r="AF289" s="3085">
        <v>239</v>
      </c>
      <c r="AG289" s="3086">
        <v>187</v>
      </c>
      <c r="AH289" s="3087">
        <v>204</v>
      </c>
      <c r="AI289"/>
      <c r="AJ289" s="4672"/>
      <c r="AK289" s="3089" t="s">
        <v>11850</v>
      </c>
      <c r="AL289" s="3084" t="s">
        <v>11851</v>
      </c>
      <c r="AM289" s="3085">
        <v>238</v>
      </c>
      <c r="AN289" s="3086">
        <v>213</v>
      </c>
      <c r="AO289" s="3087">
        <v>210</v>
      </c>
      <c r="AQ289" s="3">
        <v>1</v>
      </c>
    </row>
    <row r="290" spans="22:43" ht="21" customHeight="1">
      <c r="V290" s="4673"/>
      <c r="W290" s="3114" t="s">
        <v>11852</v>
      </c>
      <c r="X290" s="3094" t="s">
        <v>11853</v>
      </c>
      <c r="Y290" s="3095">
        <v>139</v>
      </c>
      <c r="Z290" s="3096">
        <v>133</v>
      </c>
      <c r="AA290" s="3097">
        <v>137</v>
      </c>
      <c r="AB290"/>
      <c r="AC290" s="4674"/>
      <c r="AD290" s="3100" t="s">
        <v>11854</v>
      </c>
      <c r="AE290" s="3084" t="s">
        <v>11855</v>
      </c>
      <c r="AF290" s="3085">
        <v>254</v>
      </c>
      <c r="AG290" s="3086">
        <v>191</v>
      </c>
      <c r="AH290" s="3087">
        <v>210</v>
      </c>
      <c r="AI290"/>
      <c r="AJ290" s="4675"/>
      <c r="AK290" s="3089" t="s">
        <v>11856</v>
      </c>
      <c r="AL290" s="3084" t="s">
        <v>11857</v>
      </c>
      <c r="AM290" s="3085">
        <v>255</v>
      </c>
      <c r="AN290" s="3086">
        <v>228</v>
      </c>
      <c r="AO290" s="3087">
        <v>225</v>
      </c>
      <c r="AQ290" s="3">
        <v>1</v>
      </c>
    </row>
    <row r="291" spans="22:43" ht="21" customHeight="1">
      <c r="V291" s="4676"/>
      <c r="W291" s="3114" t="s">
        <v>11858</v>
      </c>
      <c r="X291" s="3094" t="s">
        <v>11859</v>
      </c>
      <c r="Y291" s="3095">
        <v>158</v>
      </c>
      <c r="Z291" s="3096">
        <v>79</v>
      </c>
      <c r="AA291" s="3097">
        <v>136</v>
      </c>
      <c r="AB291"/>
      <c r="AC291" s="4677"/>
      <c r="AD291" s="3100" t="s">
        <v>11860</v>
      </c>
      <c r="AE291" s="3084" t="s">
        <v>11861</v>
      </c>
      <c r="AF291" s="3085">
        <v>255</v>
      </c>
      <c r="AG291" s="3086">
        <v>200</v>
      </c>
      <c r="AH291" s="3087">
        <v>214</v>
      </c>
      <c r="AI291"/>
      <c r="AJ291" s="4678"/>
      <c r="AK291" s="3089" t="s">
        <v>11862</v>
      </c>
      <c r="AL291" s="3084" t="s">
        <v>11863</v>
      </c>
      <c r="AM291" s="3085">
        <v>238</v>
      </c>
      <c r="AN291" s="3086">
        <v>130</v>
      </c>
      <c r="AO291" s="3087">
        <v>98</v>
      </c>
      <c r="AQ291" s="3">
        <v>1</v>
      </c>
    </row>
    <row r="292" spans="22:43" ht="21" customHeight="1">
      <c r="V292" s="4679"/>
      <c r="W292" s="3114" t="s">
        <v>11864</v>
      </c>
      <c r="X292" s="3094" t="s">
        <v>11865</v>
      </c>
      <c r="Y292" s="3095">
        <v>131</v>
      </c>
      <c r="Z292" s="3096">
        <v>100</v>
      </c>
      <c r="AA292" s="3097">
        <v>121</v>
      </c>
      <c r="AB292"/>
      <c r="AC292" s="4680"/>
      <c r="AD292" s="3089" t="s">
        <v>11866</v>
      </c>
      <c r="AE292" s="3084" t="s">
        <v>11867</v>
      </c>
      <c r="AF292" s="3085">
        <v>255</v>
      </c>
      <c r="AG292" s="3086">
        <v>240</v>
      </c>
      <c r="AH292" s="3087">
        <v>245</v>
      </c>
      <c r="AI292"/>
      <c r="AJ292" s="4681"/>
      <c r="AK292" s="3089" t="s">
        <v>11868</v>
      </c>
      <c r="AL292" s="3084" t="s">
        <v>11869</v>
      </c>
      <c r="AM292" s="3085">
        <v>238</v>
      </c>
      <c r="AN292" s="3086">
        <v>106</v>
      </c>
      <c r="AO292" s="3087">
        <v>80</v>
      </c>
      <c r="AQ292" s="3">
        <v>1</v>
      </c>
    </row>
    <row r="293" spans="22:43" ht="21" customHeight="1">
      <c r="V293" s="4682"/>
      <c r="W293" s="3114" t="s">
        <v>11870</v>
      </c>
      <c r="X293" s="3094" t="s">
        <v>11871</v>
      </c>
      <c r="Y293" s="3095">
        <v>161</v>
      </c>
      <c r="Z293" s="3096">
        <v>6</v>
      </c>
      <c r="AA293" s="3097">
        <v>132</v>
      </c>
      <c r="AB293"/>
      <c r="AC293" s="4683"/>
      <c r="AD293" s="3100" t="s">
        <v>11872</v>
      </c>
      <c r="AE293" s="3084" t="s">
        <v>11873</v>
      </c>
      <c r="AF293" s="3085">
        <v>213</v>
      </c>
      <c r="AG293" s="3086">
        <v>151</v>
      </c>
      <c r="AH293" s="3087">
        <v>174</v>
      </c>
      <c r="AI293"/>
      <c r="AJ293" s="4684"/>
      <c r="AK293" s="3100" t="s">
        <v>11874</v>
      </c>
      <c r="AL293" s="3084" t="s">
        <v>11875</v>
      </c>
      <c r="AM293" s="3085">
        <v>244</v>
      </c>
      <c r="AN293" s="3086">
        <v>102</v>
      </c>
      <c r="AO293" s="3087">
        <v>27</v>
      </c>
      <c r="AQ293" s="3">
        <v>1</v>
      </c>
    </row>
    <row r="294" spans="22:43" ht="21" customHeight="1">
      <c r="V294" s="4685"/>
      <c r="W294" s="3114" t="s">
        <v>11876</v>
      </c>
      <c r="X294" s="3094" t="s">
        <v>11877</v>
      </c>
      <c r="Y294" s="3095">
        <v>114</v>
      </c>
      <c r="Z294" s="3096">
        <v>62</v>
      </c>
      <c r="AA294" s="3097">
        <v>100</v>
      </c>
      <c r="AB294"/>
      <c r="AC294" s="4686"/>
      <c r="AD294" s="3089" t="s">
        <v>11878</v>
      </c>
      <c r="AE294" s="3084" t="s">
        <v>11879</v>
      </c>
      <c r="AF294" s="3085">
        <v>238</v>
      </c>
      <c r="AG294" s="3086">
        <v>58</v>
      </c>
      <c r="AH294" s="3087">
        <v>140</v>
      </c>
      <c r="AI294"/>
      <c r="AJ294" s="4687"/>
      <c r="AK294" s="3089" t="s">
        <v>11880</v>
      </c>
      <c r="AL294" s="3084" t="s">
        <v>11881</v>
      </c>
      <c r="AM294" s="3085">
        <v>238</v>
      </c>
      <c r="AN294" s="3086">
        <v>121</v>
      </c>
      <c r="AO294" s="3087">
        <v>66</v>
      </c>
      <c r="AQ294" s="3">
        <v>1</v>
      </c>
    </row>
    <row r="295" spans="22:43" ht="21" customHeight="1">
      <c r="V295" s="4688"/>
      <c r="W295" s="3114" t="s">
        <v>11882</v>
      </c>
      <c r="X295" s="3094" t="s">
        <v>11883</v>
      </c>
      <c r="Y295" s="3095">
        <v>106</v>
      </c>
      <c r="Z295" s="3096">
        <v>69</v>
      </c>
      <c r="AA295" s="3097">
        <v>93</v>
      </c>
      <c r="AB295"/>
      <c r="AC295" s="4689"/>
      <c r="AD295" s="3089" t="s">
        <v>11884</v>
      </c>
      <c r="AE295" s="3084" t="s">
        <v>11885</v>
      </c>
      <c r="AF295" s="3085">
        <v>219</v>
      </c>
      <c r="AG295" s="3086">
        <v>112</v>
      </c>
      <c r="AH295" s="3087">
        <v>147</v>
      </c>
      <c r="AI295"/>
      <c r="AJ295" s="4690"/>
      <c r="AK295" s="3089" t="s">
        <v>11886</v>
      </c>
      <c r="AL295" s="3084" t="s">
        <v>11887</v>
      </c>
      <c r="AM295" s="3085">
        <v>238</v>
      </c>
      <c r="AN295" s="3086">
        <v>118</v>
      </c>
      <c r="AO295" s="3087">
        <v>33</v>
      </c>
      <c r="AQ295" s="3">
        <v>1</v>
      </c>
    </row>
    <row r="296" spans="22:43" ht="21" customHeight="1">
      <c r="V296" s="4691"/>
      <c r="W296" s="3114" t="s">
        <v>11888</v>
      </c>
      <c r="X296" s="3094" t="s">
        <v>11889</v>
      </c>
      <c r="Y296" s="3095">
        <v>249</v>
      </c>
      <c r="Z296" s="3096">
        <v>66</v>
      </c>
      <c r="AA296" s="3097">
        <v>158</v>
      </c>
      <c r="AB296"/>
      <c r="AC296" s="4692"/>
      <c r="AD296" s="3089" t="s">
        <v>11890</v>
      </c>
      <c r="AE296" s="3084" t="s">
        <v>11891</v>
      </c>
      <c r="AF296" s="3085">
        <v>238</v>
      </c>
      <c r="AG296" s="3086">
        <v>18</v>
      </c>
      <c r="AH296" s="3087">
        <v>137</v>
      </c>
      <c r="AI296"/>
      <c r="AJ296" s="4693"/>
      <c r="AK296" s="3100" t="s">
        <v>11892</v>
      </c>
      <c r="AL296" s="3084" t="s">
        <v>11893</v>
      </c>
      <c r="AM296" s="3085">
        <v>226</v>
      </c>
      <c r="AN296" s="3086">
        <v>88</v>
      </c>
      <c r="AO296" s="3087">
        <v>34</v>
      </c>
      <c r="AQ296" s="3">
        <v>1</v>
      </c>
    </row>
    <row r="297" spans="22:43" ht="21" customHeight="1">
      <c r="V297" s="4694"/>
      <c r="W297" s="3093" t="s">
        <v>11894</v>
      </c>
      <c r="X297" s="3094" t="s">
        <v>11895</v>
      </c>
      <c r="Y297" s="3095">
        <v>238</v>
      </c>
      <c r="Z297" s="3096">
        <v>106</v>
      </c>
      <c r="AA297" s="3097">
        <v>167</v>
      </c>
      <c r="AB297"/>
      <c r="AC297" s="4695"/>
      <c r="AD297" s="3089" t="s">
        <v>11896</v>
      </c>
      <c r="AE297" s="3084" t="s">
        <v>11897</v>
      </c>
      <c r="AF297" s="3085">
        <v>205</v>
      </c>
      <c r="AG297" s="3086">
        <v>104</v>
      </c>
      <c r="AH297" s="3087">
        <v>137</v>
      </c>
      <c r="AI297"/>
      <c r="AJ297" s="4696"/>
      <c r="AK297" s="3100" t="s">
        <v>11898</v>
      </c>
      <c r="AL297" s="3084" t="s">
        <v>11899</v>
      </c>
      <c r="AM297" s="3085">
        <v>196</v>
      </c>
      <c r="AN297" s="3086">
        <v>131</v>
      </c>
      <c r="AO297" s="3087">
        <v>121</v>
      </c>
      <c r="AQ297" s="3">
        <v>1</v>
      </c>
    </row>
    <row r="298" spans="22:43" ht="21" customHeight="1">
      <c r="V298" s="4697"/>
      <c r="W298" s="3093" t="s">
        <v>11900</v>
      </c>
      <c r="X298" s="3094" t="s">
        <v>11901</v>
      </c>
      <c r="Y298" s="3095">
        <v>255</v>
      </c>
      <c r="Z298" s="3096">
        <v>28</v>
      </c>
      <c r="AA298" s="3097">
        <v>174</v>
      </c>
      <c r="AB298"/>
      <c r="AC298" s="4698"/>
      <c r="AD298" s="3100" t="s">
        <v>11902</v>
      </c>
      <c r="AE298" s="3084" t="s">
        <v>11903</v>
      </c>
      <c r="AF298" s="3085">
        <v>193</v>
      </c>
      <c r="AG298" s="3086">
        <v>126</v>
      </c>
      <c r="AH298" s="3087">
        <v>145</v>
      </c>
      <c r="AI298"/>
      <c r="AJ298" s="4699"/>
      <c r="AK298" s="3100" t="s">
        <v>11904</v>
      </c>
      <c r="AL298" s="3084" t="s">
        <v>11905</v>
      </c>
      <c r="AM298" s="3085">
        <v>217</v>
      </c>
      <c r="AN298" s="3086">
        <v>96</v>
      </c>
      <c r="AO298" s="3087">
        <v>59</v>
      </c>
      <c r="AQ298" s="3">
        <v>1</v>
      </c>
    </row>
    <row r="299" spans="22:43" ht="21" customHeight="1">
      <c r="V299" s="4700"/>
      <c r="W299" s="3093" t="s">
        <v>11906</v>
      </c>
      <c r="X299" s="3094" t="s">
        <v>11907</v>
      </c>
      <c r="Y299" s="3095">
        <v>255</v>
      </c>
      <c r="Z299" s="3096">
        <v>52</v>
      </c>
      <c r="AA299" s="3097">
        <v>179</v>
      </c>
      <c r="AB299"/>
      <c r="AC299" s="4701"/>
      <c r="AD299" s="3100" t="s">
        <v>11908</v>
      </c>
      <c r="AE299" s="3084" t="s">
        <v>11909</v>
      </c>
      <c r="AF299" s="3085">
        <v>219</v>
      </c>
      <c r="AG299" s="3086">
        <v>0</v>
      </c>
      <c r="AH299" s="3087">
        <v>115</v>
      </c>
      <c r="AI299"/>
      <c r="AJ299" s="4702"/>
      <c r="AK299" s="3089" t="s">
        <v>11910</v>
      </c>
      <c r="AL299" s="3084" t="s">
        <v>11911</v>
      </c>
      <c r="AM299" s="3085">
        <v>205</v>
      </c>
      <c r="AN299" s="3086">
        <v>129</v>
      </c>
      <c r="AO299" s="3087">
        <v>98</v>
      </c>
      <c r="AQ299" s="3">
        <v>1</v>
      </c>
    </row>
    <row r="300" spans="22:43" ht="21" customHeight="1">
      <c r="V300" s="4703"/>
      <c r="W300" s="3114" t="s">
        <v>11912</v>
      </c>
      <c r="X300" s="3094" t="s">
        <v>11913</v>
      </c>
      <c r="Y300" s="3095">
        <v>255</v>
      </c>
      <c r="Z300" s="3096">
        <v>105</v>
      </c>
      <c r="AA300" s="3097">
        <v>180</v>
      </c>
      <c r="AB300"/>
      <c r="AC300" s="4704"/>
      <c r="AD300" s="3100" t="s">
        <v>11914</v>
      </c>
      <c r="AE300" s="3084" t="s">
        <v>11915</v>
      </c>
      <c r="AF300" s="3085">
        <v>206</v>
      </c>
      <c r="AG300" s="3086">
        <v>70</v>
      </c>
      <c r="AH300" s="3087">
        <v>118</v>
      </c>
      <c r="AI300"/>
      <c r="AJ300" s="4705"/>
      <c r="AK300" s="3089" t="s">
        <v>11916</v>
      </c>
      <c r="AL300" s="3084" t="s">
        <v>11917</v>
      </c>
      <c r="AM300" s="3085">
        <v>205</v>
      </c>
      <c r="AN300" s="3086">
        <v>112</v>
      </c>
      <c r="AO300" s="3087">
        <v>84</v>
      </c>
      <c r="AQ300" s="3">
        <v>1</v>
      </c>
    </row>
    <row r="301" spans="22:43" ht="21" customHeight="1">
      <c r="V301" s="4706"/>
      <c r="W301" s="3093" t="s">
        <v>11918</v>
      </c>
      <c r="X301" s="3094" t="s">
        <v>11919</v>
      </c>
      <c r="Y301" s="3095">
        <v>255</v>
      </c>
      <c r="Z301" s="3096">
        <v>110</v>
      </c>
      <c r="AA301" s="3097">
        <v>180</v>
      </c>
      <c r="AB301"/>
      <c r="AC301" s="4707"/>
      <c r="AD301" s="3089" t="s">
        <v>11920</v>
      </c>
      <c r="AE301" s="3084" t="s">
        <v>11921</v>
      </c>
      <c r="AF301" s="3085">
        <v>205</v>
      </c>
      <c r="AG301" s="3086">
        <v>50</v>
      </c>
      <c r="AH301" s="3087">
        <v>120</v>
      </c>
      <c r="AI301"/>
      <c r="AJ301" s="4708"/>
      <c r="AK301" s="3100" t="s">
        <v>11922</v>
      </c>
      <c r="AL301" s="3084" t="s">
        <v>11923</v>
      </c>
      <c r="AM301" s="3085">
        <v>203</v>
      </c>
      <c r="AN301" s="3086">
        <v>109</v>
      </c>
      <c r="AO301" s="3087">
        <v>81</v>
      </c>
      <c r="AQ301" s="3">
        <v>1</v>
      </c>
    </row>
    <row r="302" spans="22:43" ht="21" customHeight="1">
      <c r="V302" s="4709"/>
      <c r="W302" s="3114" t="s">
        <v>11924</v>
      </c>
      <c r="X302" s="3094" t="s">
        <v>11925</v>
      </c>
      <c r="Y302" s="3095">
        <v>232</v>
      </c>
      <c r="Z302" s="3096">
        <v>204</v>
      </c>
      <c r="AA302" s="3097">
        <v>215</v>
      </c>
      <c r="AB302"/>
      <c r="AC302" s="4710"/>
      <c r="AD302" s="3089" t="s">
        <v>11926</v>
      </c>
      <c r="AE302" s="3084" t="s">
        <v>11927</v>
      </c>
      <c r="AF302" s="3085">
        <v>205</v>
      </c>
      <c r="AG302" s="3086">
        <v>16</v>
      </c>
      <c r="AH302" s="3087">
        <v>118</v>
      </c>
      <c r="AI302"/>
      <c r="AJ302" s="4711"/>
      <c r="AK302" s="3089" t="s">
        <v>11928</v>
      </c>
      <c r="AL302" s="3084" t="s">
        <v>11929</v>
      </c>
      <c r="AM302" s="3085">
        <v>205</v>
      </c>
      <c r="AN302" s="3086">
        <v>91</v>
      </c>
      <c r="AO302" s="3087">
        <v>69</v>
      </c>
      <c r="AQ302" s="3">
        <v>1</v>
      </c>
    </row>
    <row r="303" spans="22:43" ht="21" customHeight="1">
      <c r="V303" s="4712"/>
      <c r="W303" s="3114" t="s">
        <v>11930</v>
      </c>
      <c r="X303" s="3094" t="s">
        <v>11931</v>
      </c>
      <c r="Y303" s="3095">
        <v>232</v>
      </c>
      <c r="Z303" s="3096">
        <v>227</v>
      </c>
      <c r="AA303" s="3097">
        <v>229</v>
      </c>
      <c r="AB303"/>
      <c r="AC303" s="4713"/>
      <c r="AD303" s="3100" t="s">
        <v>11932</v>
      </c>
      <c r="AE303" s="3084" t="s">
        <v>11933</v>
      </c>
      <c r="AF303" s="3085">
        <v>179</v>
      </c>
      <c r="AG303" s="3086">
        <v>68</v>
      </c>
      <c r="AH303" s="3087">
        <v>108</v>
      </c>
      <c r="AI303"/>
      <c r="AJ303" s="4714"/>
      <c r="AK303" s="3100" t="s">
        <v>11934</v>
      </c>
      <c r="AL303" s="3084" t="s">
        <v>11935</v>
      </c>
      <c r="AM303" s="3085">
        <v>173</v>
      </c>
      <c r="AN303" s="3086">
        <v>136</v>
      </c>
      <c r="AO303" s="3087">
        <v>132</v>
      </c>
      <c r="AQ303" s="3">
        <v>1</v>
      </c>
    </row>
    <row r="304" spans="22:43" ht="21" customHeight="1">
      <c r="V304" s="4715"/>
      <c r="W304" s="3093" t="s">
        <v>11936</v>
      </c>
      <c r="X304" s="3094" t="s">
        <v>11937</v>
      </c>
      <c r="Y304" s="3095">
        <v>238</v>
      </c>
      <c r="Z304" s="3096">
        <v>224</v>
      </c>
      <c r="AA304" s="3097">
        <v>229</v>
      </c>
      <c r="AB304"/>
      <c r="AC304" s="4716"/>
      <c r="AD304" s="3100" t="s">
        <v>11938</v>
      </c>
      <c r="AE304" s="3084" t="s">
        <v>11939</v>
      </c>
      <c r="AF304" s="3085">
        <v>168</v>
      </c>
      <c r="AG304" s="3086">
        <v>81</v>
      </c>
      <c r="AH304" s="3087">
        <v>110</v>
      </c>
      <c r="AI304"/>
      <c r="AJ304" s="4717"/>
      <c r="AK304" s="3089" t="s">
        <v>11940</v>
      </c>
      <c r="AL304" s="3084" t="s">
        <v>11941</v>
      </c>
      <c r="AM304" s="3085">
        <v>205</v>
      </c>
      <c r="AN304" s="3086">
        <v>104</v>
      </c>
      <c r="AO304" s="3087">
        <v>57</v>
      </c>
      <c r="AQ304" s="3">
        <v>1</v>
      </c>
    </row>
    <row r="305" spans="22:43" ht="21" customHeight="1">
      <c r="V305" s="4718"/>
      <c r="W305" s="3114" t="s">
        <v>11942</v>
      </c>
      <c r="X305" s="3094" t="s">
        <v>11943</v>
      </c>
      <c r="Y305" s="3095">
        <v>254</v>
      </c>
      <c r="Z305" s="3096">
        <v>231</v>
      </c>
      <c r="AA305" s="3097">
        <v>240</v>
      </c>
      <c r="AB305"/>
      <c r="AC305" s="4719"/>
      <c r="AD305" s="3089" t="s">
        <v>11587</v>
      </c>
      <c r="AE305" s="3084" t="s">
        <v>11944</v>
      </c>
      <c r="AF305" s="3085">
        <v>176</v>
      </c>
      <c r="AG305" s="3086">
        <v>48</v>
      </c>
      <c r="AH305" s="3087">
        <v>96</v>
      </c>
      <c r="AI305"/>
      <c r="AJ305" s="4720"/>
      <c r="AK305" s="3100" t="s">
        <v>11945</v>
      </c>
      <c r="AL305" s="3084" t="s">
        <v>11946</v>
      </c>
      <c r="AM305" s="3085">
        <v>204</v>
      </c>
      <c r="AN305" s="3086">
        <v>85</v>
      </c>
      <c r="AO305" s="3087">
        <v>0</v>
      </c>
      <c r="AQ305" s="3">
        <v>1</v>
      </c>
    </row>
    <row r="306" spans="22:43" ht="21" customHeight="1">
      <c r="V306" s="4721"/>
      <c r="W306" s="3114" t="s">
        <v>11947</v>
      </c>
      <c r="X306" s="3094" t="s">
        <v>11948</v>
      </c>
      <c r="Y306" s="3095">
        <v>195</v>
      </c>
      <c r="Z306" s="3096">
        <v>166</v>
      </c>
      <c r="AA306" s="3097">
        <v>177</v>
      </c>
      <c r="AB306"/>
      <c r="AC306" s="4722"/>
      <c r="AD306" s="3100" t="s">
        <v>11949</v>
      </c>
      <c r="AE306" s="3084" t="s">
        <v>11950</v>
      </c>
      <c r="AF306" s="3085">
        <v>145</v>
      </c>
      <c r="AG306" s="3086">
        <v>95</v>
      </c>
      <c r="AH306" s="3087">
        <v>109</v>
      </c>
      <c r="AI306"/>
      <c r="AJ306" s="4723"/>
      <c r="AK306" s="3100" t="s">
        <v>11951</v>
      </c>
      <c r="AL306" s="3084" t="s">
        <v>11952</v>
      </c>
      <c r="AM306" s="3085">
        <v>180</v>
      </c>
      <c r="AN306" s="3086">
        <v>116</v>
      </c>
      <c r="AO306" s="3087">
        <v>94</v>
      </c>
      <c r="AQ306" s="3">
        <v>1</v>
      </c>
    </row>
    <row r="307" spans="22:43" ht="21" customHeight="1">
      <c r="V307" s="4724"/>
      <c r="W307" s="3114" t="s">
        <v>11953</v>
      </c>
      <c r="X307" s="3094" t="s">
        <v>11954</v>
      </c>
      <c r="Y307" s="3095">
        <v>222</v>
      </c>
      <c r="Z307" s="3096">
        <v>111</v>
      </c>
      <c r="AA307" s="3097">
        <v>161</v>
      </c>
      <c r="AB307"/>
      <c r="AC307" s="4725"/>
      <c r="AD307" s="3089" t="s">
        <v>11955</v>
      </c>
      <c r="AE307" s="3084" t="s">
        <v>11956</v>
      </c>
      <c r="AF307" s="3085">
        <v>139</v>
      </c>
      <c r="AG307" s="3086">
        <v>71</v>
      </c>
      <c r="AH307" s="3087">
        <v>93</v>
      </c>
      <c r="AI307"/>
      <c r="AJ307" s="4726"/>
      <c r="AK307" s="3100" t="s">
        <v>11957</v>
      </c>
      <c r="AL307" s="3084" t="s">
        <v>11958</v>
      </c>
      <c r="AM307" s="3085">
        <v>168</v>
      </c>
      <c r="AN307" s="3086">
        <v>124</v>
      </c>
      <c r="AO307" s="3087">
        <v>109</v>
      </c>
      <c r="AQ307" s="3">
        <v>1</v>
      </c>
    </row>
    <row r="308" spans="22:43" ht="21" customHeight="1">
      <c r="V308" s="4727"/>
      <c r="W308" s="3093" t="s">
        <v>11959</v>
      </c>
      <c r="X308" s="3094" t="s">
        <v>11960</v>
      </c>
      <c r="Y308" s="3095">
        <v>238</v>
      </c>
      <c r="Z308" s="3096">
        <v>48</v>
      </c>
      <c r="AA308" s="3097">
        <v>167</v>
      </c>
      <c r="AB308"/>
      <c r="AC308" s="4728"/>
      <c r="AD308" s="3089" t="s">
        <v>11961</v>
      </c>
      <c r="AE308" s="3084" t="s">
        <v>11962</v>
      </c>
      <c r="AF308" s="3085">
        <v>139</v>
      </c>
      <c r="AG308" s="3086">
        <v>34</v>
      </c>
      <c r="AH308" s="3087">
        <v>82</v>
      </c>
      <c r="AI308"/>
      <c r="AJ308" s="4729"/>
      <c r="AK308" s="3100" t="s">
        <v>11963</v>
      </c>
      <c r="AL308" s="3084" t="s">
        <v>11964</v>
      </c>
      <c r="AM308" s="3085">
        <v>143</v>
      </c>
      <c r="AN308" s="3086">
        <v>129</v>
      </c>
      <c r="AO308" s="3087">
        <v>127</v>
      </c>
      <c r="AQ308" s="3">
        <v>1</v>
      </c>
    </row>
    <row r="309" spans="22:43" ht="21" customHeight="1">
      <c r="V309" s="4730"/>
      <c r="W309" s="3093" t="s">
        <v>11965</v>
      </c>
      <c r="X309" s="3094" t="s">
        <v>11966</v>
      </c>
      <c r="Y309" s="3095">
        <v>205</v>
      </c>
      <c r="Z309" s="3096">
        <v>96</v>
      </c>
      <c r="AA309" s="3097">
        <v>144</v>
      </c>
      <c r="AB309"/>
      <c r="AC309" s="4731"/>
      <c r="AD309" s="3089" t="s">
        <v>11967</v>
      </c>
      <c r="AE309" s="3084" t="s">
        <v>11968</v>
      </c>
      <c r="AF309" s="3085">
        <v>139</v>
      </c>
      <c r="AG309" s="3086">
        <v>10</v>
      </c>
      <c r="AH309" s="3087">
        <v>80</v>
      </c>
      <c r="AI309"/>
      <c r="AJ309" s="4732"/>
      <c r="AK309" s="3089" t="s">
        <v>11969</v>
      </c>
      <c r="AL309" s="3084" t="s">
        <v>11970</v>
      </c>
      <c r="AM309" s="3085">
        <v>139</v>
      </c>
      <c r="AN309" s="3086">
        <v>125</v>
      </c>
      <c r="AO309" s="3087">
        <v>123</v>
      </c>
      <c r="AQ309" s="3">
        <v>1</v>
      </c>
    </row>
    <row r="310" spans="22:43" ht="21" customHeight="1">
      <c r="V310" s="4733"/>
      <c r="W310" s="3114" t="s">
        <v>11971</v>
      </c>
      <c r="X310" s="3094" t="s">
        <v>11972</v>
      </c>
      <c r="Y310" s="3095">
        <v>196</v>
      </c>
      <c r="Z310" s="3096">
        <v>105</v>
      </c>
      <c r="AA310" s="3097">
        <v>143</v>
      </c>
      <c r="AB310"/>
      <c r="AC310" s="4734"/>
      <c r="AD310" s="3100" t="s">
        <v>11973</v>
      </c>
      <c r="AE310" s="3084" t="s">
        <v>11974</v>
      </c>
      <c r="AF310" s="3085">
        <v>103</v>
      </c>
      <c r="AG310" s="3086">
        <v>49</v>
      </c>
      <c r="AH310" s="3087">
        <v>71</v>
      </c>
      <c r="AI310"/>
      <c r="AJ310" s="4735"/>
      <c r="AK310" s="3100" t="s">
        <v>11975</v>
      </c>
      <c r="AL310" s="3084" t="s">
        <v>11976</v>
      </c>
      <c r="AM310" s="3085">
        <v>174</v>
      </c>
      <c r="AN310" s="3086">
        <v>74</v>
      </c>
      <c r="AO310" s="3087">
        <v>52</v>
      </c>
      <c r="AQ310" s="3">
        <v>1</v>
      </c>
    </row>
    <row r="311" spans="22:43" ht="21" customHeight="1">
      <c r="V311" s="4736"/>
      <c r="W311" s="3093" t="s">
        <v>11977</v>
      </c>
      <c r="X311" s="3094" t="s">
        <v>11978</v>
      </c>
      <c r="Y311" s="3095">
        <v>208</v>
      </c>
      <c r="Z311" s="3096">
        <v>32</v>
      </c>
      <c r="AA311" s="3097">
        <v>144</v>
      </c>
      <c r="AB311"/>
      <c r="AC311" s="4737"/>
      <c r="AD311" s="3100" t="s">
        <v>11979</v>
      </c>
      <c r="AE311" s="3084" t="s">
        <v>11980</v>
      </c>
      <c r="AF311" s="3085">
        <v>63</v>
      </c>
      <c r="AG311" s="3086">
        <v>23</v>
      </c>
      <c r="AH311" s="3087">
        <v>40</v>
      </c>
      <c r="AI311"/>
      <c r="AJ311" s="4738"/>
      <c r="AK311" s="3100" t="s">
        <v>11981</v>
      </c>
      <c r="AL311" s="3084" t="s">
        <v>11982</v>
      </c>
      <c r="AM311" s="3085">
        <v>173</v>
      </c>
      <c r="AN311" s="3086">
        <v>57</v>
      </c>
      <c r="AO311" s="3087">
        <v>14</v>
      </c>
      <c r="AQ311" s="3">
        <v>1</v>
      </c>
    </row>
    <row r="312" spans="22:43" ht="21" customHeight="1">
      <c r="V312" s="4739"/>
      <c r="W312" s="3114" t="s">
        <v>11983</v>
      </c>
      <c r="X312" s="3094" t="s">
        <v>11984</v>
      </c>
      <c r="Y312" s="3095">
        <v>199</v>
      </c>
      <c r="Z312" s="3096">
        <v>21</v>
      </c>
      <c r="AA312" s="3097">
        <v>133</v>
      </c>
      <c r="AB312"/>
      <c r="AC312" s="4740"/>
      <c r="AD312" s="3100" t="s">
        <v>11985</v>
      </c>
      <c r="AE312" s="3084" t="s">
        <v>11986</v>
      </c>
      <c r="AF312" s="3085">
        <v>40</v>
      </c>
      <c r="AG312" s="3086">
        <v>32</v>
      </c>
      <c r="AH312" s="3087">
        <v>34</v>
      </c>
      <c r="AI312"/>
      <c r="AJ312" s="4741"/>
      <c r="AK312" s="3100" t="s">
        <v>11987</v>
      </c>
      <c r="AL312" s="3084" t="s">
        <v>11988</v>
      </c>
      <c r="AM312" s="3085">
        <v>173</v>
      </c>
      <c r="AN312" s="3086">
        <v>79</v>
      </c>
      <c r="AO312" s="3087">
        <v>9</v>
      </c>
      <c r="AQ312" s="3">
        <v>1</v>
      </c>
    </row>
    <row r="313" spans="22:43" ht="21" customHeight="1">
      <c r="V313" s="4742"/>
      <c r="W313" s="3093" t="s">
        <v>11989</v>
      </c>
      <c r="X313" s="3094" t="s">
        <v>11990</v>
      </c>
      <c r="Y313" s="3095">
        <v>139</v>
      </c>
      <c r="Z313" s="3096">
        <v>131</v>
      </c>
      <c r="AA313" s="3097">
        <v>134</v>
      </c>
      <c r="AB313"/>
      <c r="AC313" s="4743"/>
      <c r="AD313" s="3089" t="s">
        <v>11802</v>
      </c>
      <c r="AE313" s="3084" t="s">
        <v>11991</v>
      </c>
      <c r="AF313" s="3085">
        <v>255</v>
      </c>
      <c r="AG313" s="3086">
        <v>127</v>
      </c>
      <c r="AH313" s="3087">
        <v>0</v>
      </c>
      <c r="AI313"/>
      <c r="AJ313" s="4744"/>
      <c r="AK313" s="3089" t="s">
        <v>9814</v>
      </c>
      <c r="AL313" s="3084" t="s">
        <v>11992</v>
      </c>
      <c r="AM313" s="3085">
        <v>160</v>
      </c>
      <c r="AN313" s="3086">
        <v>82</v>
      </c>
      <c r="AO313" s="3087">
        <v>45</v>
      </c>
      <c r="AQ313" s="3">
        <v>1</v>
      </c>
    </row>
    <row r="314" spans="22:43" ht="21" customHeight="1">
      <c r="V314" s="4745"/>
      <c r="W314" s="3093" t="s">
        <v>11993</v>
      </c>
      <c r="X314" s="3094" t="s">
        <v>11994</v>
      </c>
      <c r="Y314" s="3095">
        <v>139</v>
      </c>
      <c r="Z314" s="3096">
        <v>58</v>
      </c>
      <c r="AA314" s="3097">
        <v>98</v>
      </c>
      <c r="AB314"/>
      <c r="AC314" s="4746"/>
      <c r="AD314" s="3089" t="s">
        <v>11995</v>
      </c>
      <c r="AE314" s="3084" t="s">
        <v>11991</v>
      </c>
      <c r="AF314" s="3085">
        <v>255</v>
      </c>
      <c r="AG314" s="3086">
        <v>140</v>
      </c>
      <c r="AH314" s="3087">
        <v>0</v>
      </c>
      <c r="AI314"/>
      <c r="AJ314" s="4747"/>
      <c r="AK314" s="3100" t="s">
        <v>11996</v>
      </c>
      <c r="AL314" s="3084" t="s">
        <v>11997</v>
      </c>
      <c r="AM314" s="3085">
        <v>158</v>
      </c>
      <c r="AN314" s="3086">
        <v>71</v>
      </c>
      <c r="AO314" s="3087">
        <v>50</v>
      </c>
      <c r="AQ314" s="3">
        <v>1</v>
      </c>
    </row>
    <row r="315" spans="22:43" ht="21" customHeight="1">
      <c r="V315" s="4748"/>
      <c r="W315" s="3114" t="s">
        <v>11998</v>
      </c>
      <c r="X315" s="3094" t="s">
        <v>11999</v>
      </c>
      <c r="Y315" s="3095">
        <v>129</v>
      </c>
      <c r="Z315" s="3096">
        <v>20</v>
      </c>
      <c r="AA315" s="3097">
        <v>83</v>
      </c>
      <c r="AB315"/>
      <c r="AC315" s="4749"/>
      <c r="AD315" s="3100" t="s">
        <v>12000</v>
      </c>
      <c r="AE315" s="3084" t="s">
        <v>12001</v>
      </c>
      <c r="AF315" s="3085">
        <v>193</v>
      </c>
      <c r="AG315" s="3086">
        <v>182</v>
      </c>
      <c r="AH315" s="3087">
        <v>179</v>
      </c>
      <c r="AI315"/>
      <c r="AJ315" s="4750"/>
      <c r="AK315" s="3100" t="s">
        <v>12002</v>
      </c>
      <c r="AL315" s="3084" t="s">
        <v>12003</v>
      </c>
      <c r="AM315" s="3085">
        <v>153</v>
      </c>
      <c r="AN315" s="3086">
        <v>81</v>
      </c>
      <c r="AO315" s="3087">
        <v>43</v>
      </c>
      <c r="AQ315" s="3">
        <v>1</v>
      </c>
    </row>
    <row r="316" spans="22:43" ht="21" customHeight="1">
      <c r="V316" s="4751"/>
      <c r="W316" s="3114" t="s">
        <v>12004</v>
      </c>
      <c r="X316" s="3094" t="s">
        <v>12005</v>
      </c>
      <c r="Y316" s="3095">
        <v>120</v>
      </c>
      <c r="Z316" s="3096">
        <v>24</v>
      </c>
      <c r="AA316" s="3097">
        <v>74</v>
      </c>
      <c r="AB316"/>
      <c r="AC316" s="4752"/>
      <c r="AD316" s="3100" t="s">
        <v>12006</v>
      </c>
      <c r="AE316" s="3084" t="s">
        <v>12007</v>
      </c>
      <c r="AF316" s="3085">
        <v>253</v>
      </c>
      <c r="AG316" s="3086">
        <v>148</v>
      </c>
      <c r="AH316" s="3087">
        <v>63</v>
      </c>
      <c r="AI316"/>
      <c r="AJ316" s="4753"/>
      <c r="AK316" s="3100" t="s">
        <v>12008</v>
      </c>
      <c r="AL316" s="3084" t="s">
        <v>12009</v>
      </c>
      <c r="AM316" s="3085">
        <v>157</v>
      </c>
      <c r="AN316" s="3086">
        <v>62</v>
      </c>
      <c r="AO316" s="3087">
        <v>12</v>
      </c>
      <c r="AQ316" s="3">
        <v>1</v>
      </c>
    </row>
    <row r="317" spans="22:43" ht="21" customHeight="1">
      <c r="V317" s="4754"/>
      <c r="W317" s="3114" t="s">
        <v>12010</v>
      </c>
      <c r="X317" s="3094" t="s">
        <v>12011</v>
      </c>
      <c r="Y317" s="3095">
        <v>186</v>
      </c>
      <c r="Z317" s="3096">
        <v>186</v>
      </c>
      <c r="AA317" s="3097">
        <v>186</v>
      </c>
      <c r="AB317"/>
      <c r="AC317" s="4755"/>
      <c r="AD317" s="3100" t="s">
        <v>12012</v>
      </c>
      <c r="AE317" s="3084" t="s">
        <v>12013</v>
      </c>
      <c r="AF317" s="3085">
        <v>248</v>
      </c>
      <c r="AG317" s="3086">
        <v>142</v>
      </c>
      <c r="AH317" s="3087">
        <v>85</v>
      </c>
      <c r="AI317"/>
      <c r="AJ317" s="4756"/>
      <c r="AK317" s="3089" t="s">
        <v>12014</v>
      </c>
      <c r="AL317" s="3084" t="s">
        <v>12015</v>
      </c>
      <c r="AM317" s="3085">
        <v>139</v>
      </c>
      <c r="AN317" s="3086">
        <v>87</v>
      </c>
      <c r="AO317" s="3087">
        <v>66</v>
      </c>
      <c r="AQ317" s="3">
        <v>1</v>
      </c>
    </row>
    <row r="318" spans="22:43" ht="21" customHeight="1">
      <c r="V318" s="4757"/>
      <c r="W318" s="3093" t="s">
        <v>12016</v>
      </c>
      <c r="X318" s="3094" t="s">
        <v>12017</v>
      </c>
      <c r="Y318" s="3095">
        <v>187</v>
      </c>
      <c r="Z318" s="3096">
        <v>187</v>
      </c>
      <c r="AA318" s="3097">
        <v>187</v>
      </c>
      <c r="AB318"/>
      <c r="AC318" s="4758"/>
      <c r="AD318" s="3100" t="s">
        <v>12018</v>
      </c>
      <c r="AE318" s="3084" t="s">
        <v>12019</v>
      </c>
      <c r="AF318" s="3085">
        <v>254</v>
      </c>
      <c r="AG318" s="3086">
        <v>195</v>
      </c>
      <c r="AH318" s="3087">
        <v>172</v>
      </c>
      <c r="AI318"/>
      <c r="AJ318" s="4759"/>
      <c r="AK318" s="3089" t="s">
        <v>12020</v>
      </c>
      <c r="AL318" s="3084" t="s">
        <v>12021</v>
      </c>
      <c r="AM318" s="3085">
        <v>139</v>
      </c>
      <c r="AN318" s="3086">
        <v>76</v>
      </c>
      <c r="AO318" s="3087">
        <v>57</v>
      </c>
      <c r="AQ318" s="3">
        <v>1</v>
      </c>
    </row>
    <row r="319" spans="22:43" ht="21" customHeight="1">
      <c r="V319" s="4760"/>
      <c r="W319" s="3093" t="s">
        <v>12022</v>
      </c>
      <c r="X319" s="3094" t="s">
        <v>12023</v>
      </c>
      <c r="Y319" s="3095">
        <v>189</v>
      </c>
      <c r="Z319" s="3096">
        <v>189</v>
      </c>
      <c r="AA319" s="3097">
        <v>189</v>
      </c>
      <c r="AB319"/>
      <c r="AC319" s="4761"/>
      <c r="AD319" s="3100" t="s">
        <v>12024</v>
      </c>
      <c r="AE319" s="3084" t="s">
        <v>12025</v>
      </c>
      <c r="AF319" s="3085">
        <v>234</v>
      </c>
      <c r="AG319" s="3086">
        <v>227</v>
      </c>
      <c r="AH319" s="3087">
        <v>225</v>
      </c>
      <c r="AI319"/>
      <c r="AJ319" s="4762"/>
      <c r="AK319" s="3089" t="s">
        <v>12026</v>
      </c>
      <c r="AL319" s="3084" t="s">
        <v>12027</v>
      </c>
      <c r="AM319" s="3085">
        <v>139</v>
      </c>
      <c r="AN319" s="3086">
        <v>62</v>
      </c>
      <c r="AO319" s="3087">
        <v>47</v>
      </c>
      <c r="AQ319" s="3">
        <v>1</v>
      </c>
    </row>
    <row r="320" spans="22:43" ht="21" customHeight="1">
      <c r="V320" s="4763"/>
      <c r="W320" s="3093" t="s">
        <v>12028</v>
      </c>
      <c r="X320" s="3094" t="s">
        <v>12029</v>
      </c>
      <c r="Y320" s="3095">
        <v>190</v>
      </c>
      <c r="Z320" s="3096">
        <v>190</v>
      </c>
      <c r="AA320" s="3097">
        <v>190</v>
      </c>
      <c r="AB320"/>
      <c r="AC320" s="4764"/>
      <c r="AD320" s="3100" t="s">
        <v>12030</v>
      </c>
      <c r="AE320" s="3084" t="s">
        <v>12031</v>
      </c>
      <c r="AF320" s="3085">
        <v>253</v>
      </c>
      <c r="AG320" s="3086">
        <v>233</v>
      </c>
      <c r="AH320" s="3087">
        <v>224</v>
      </c>
      <c r="AI320"/>
      <c r="AJ320" s="4765"/>
      <c r="AK320" s="3100" t="s">
        <v>12032</v>
      </c>
      <c r="AL320" s="3084" t="s">
        <v>12033</v>
      </c>
      <c r="AM320" s="3085">
        <v>141</v>
      </c>
      <c r="AN320" s="3086">
        <v>64</v>
      </c>
      <c r="AO320" s="3087">
        <v>36</v>
      </c>
      <c r="AQ320" s="3">
        <v>1</v>
      </c>
    </row>
    <row r="321" spans="22:43" ht="21" customHeight="1">
      <c r="V321" s="4766"/>
      <c r="W321" s="3093" t="s">
        <v>12034</v>
      </c>
      <c r="X321" s="3094" t="s">
        <v>12035</v>
      </c>
      <c r="Y321" s="3095">
        <v>191</v>
      </c>
      <c r="Z321" s="3096">
        <v>191</v>
      </c>
      <c r="AA321" s="3097">
        <v>191</v>
      </c>
      <c r="AB321"/>
      <c r="AC321" s="4767"/>
      <c r="AD321" s="3100" t="s">
        <v>12036</v>
      </c>
      <c r="AE321" s="3084" t="s">
        <v>12037</v>
      </c>
      <c r="AF321" s="3085">
        <v>199</v>
      </c>
      <c r="AG321" s="3086">
        <v>173</v>
      </c>
      <c r="AH321" s="3087">
        <v>163</v>
      </c>
      <c r="AI321"/>
      <c r="AJ321" s="4768"/>
      <c r="AK321" s="3089" t="s">
        <v>12038</v>
      </c>
      <c r="AL321" s="3084" t="s">
        <v>12039</v>
      </c>
      <c r="AM321" s="3085">
        <v>139</v>
      </c>
      <c r="AN321" s="3086">
        <v>54</v>
      </c>
      <c r="AO321" s="3087">
        <v>38</v>
      </c>
      <c r="AQ321" s="3">
        <v>1</v>
      </c>
    </row>
    <row r="322" spans="22:43" ht="21" customHeight="1">
      <c r="V322" s="4769"/>
      <c r="W322" s="3093" t="s">
        <v>12040</v>
      </c>
      <c r="X322" s="3094" t="s">
        <v>12041</v>
      </c>
      <c r="Y322" s="3095">
        <v>192</v>
      </c>
      <c r="Z322" s="3096">
        <v>192</v>
      </c>
      <c r="AA322" s="3097">
        <v>192</v>
      </c>
      <c r="AB322"/>
      <c r="AC322" s="4770"/>
      <c r="AD322" s="3100" t="s">
        <v>12042</v>
      </c>
      <c r="AE322" s="3084" t="s">
        <v>12043</v>
      </c>
      <c r="AF322" s="3085">
        <v>243</v>
      </c>
      <c r="AG322" s="3086">
        <v>132</v>
      </c>
      <c r="AH322" s="3087">
        <v>0</v>
      </c>
      <c r="AI322"/>
      <c r="AJ322" s="4771"/>
      <c r="AK322" s="3089" t="s">
        <v>12044</v>
      </c>
      <c r="AL322" s="3084" t="s">
        <v>12039</v>
      </c>
      <c r="AM322" s="3085">
        <v>139</v>
      </c>
      <c r="AN322" s="3086">
        <v>71</v>
      </c>
      <c r="AO322" s="3087">
        <v>38</v>
      </c>
      <c r="AQ322" s="3">
        <v>1</v>
      </c>
    </row>
    <row r="323" spans="22:43" ht="21" customHeight="1">
      <c r="V323" s="4772"/>
      <c r="W323" s="3093" t="s">
        <v>12045</v>
      </c>
      <c r="X323" s="3094" t="s">
        <v>12046</v>
      </c>
      <c r="Y323" s="3095">
        <v>194</v>
      </c>
      <c r="Z323" s="3096">
        <v>194</v>
      </c>
      <c r="AA323" s="3097">
        <v>194</v>
      </c>
      <c r="AB323"/>
      <c r="AC323" s="4773"/>
      <c r="AD323" s="3089" t="s">
        <v>12047</v>
      </c>
      <c r="AE323" s="3084" t="s">
        <v>12048</v>
      </c>
      <c r="AF323" s="3085">
        <v>219</v>
      </c>
      <c r="AG323" s="3086">
        <v>147</v>
      </c>
      <c r="AH323" s="3087">
        <v>112</v>
      </c>
      <c r="AI323"/>
      <c r="AJ323" s="4774"/>
      <c r="AK323" s="3100" t="s">
        <v>12049</v>
      </c>
      <c r="AL323" s="3084" t="s">
        <v>12050</v>
      </c>
      <c r="AM323" s="3085">
        <v>136</v>
      </c>
      <c r="AN323" s="3086">
        <v>66</v>
      </c>
      <c r="AO323" s="3087">
        <v>29</v>
      </c>
      <c r="AQ323" s="3">
        <v>1</v>
      </c>
    </row>
    <row r="324" spans="22:43" ht="21" customHeight="1">
      <c r="V324" s="4775"/>
      <c r="W324" s="3093" t="s">
        <v>12051</v>
      </c>
      <c r="X324" s="3094" t="s">
        <v>12052</v>
      </c>
      <c r="Y324" s="3095">
        <v>196</v>
      </c>
      <c r="Z324" s="3096">
        <v>196</v>
      </c>
      <c r="AA324" s="3097">
        <v>196</v>
      </c>
      <c r="AB324"/>
      <c r="AC324" s="4776"/>
      <c r="AD324" s="3100" t="s">
        <v>12053</v>
      </c>
      <c r="AE324" s="3084" t="s">
        <v>12054</v>
      </c>
      <c r="AF324" s="3085">
        <v>237</v>
      </c>
      <c r="AG324" s="3086">
        <v>135</v>
      </c>
      <c r="AH324" s="3087">
        <v>45</v>
      </c>
      <c r="AI324"/>
      <c r="AJ324" s="4777"/>
      <c r="AK324" s="3100" t="s">
        <v>12055</v>
      </c>
      <c r="AL324" s="3084" t="s">
        <v>12056</v>
      </c>
      <c r="AM324" s="3085">
        <v>136</v>
      </c>
      <c r="AN324" s="3086">
        <v>45</v>
      </c>
      <c r="AO324" s="3087">
        <v>23</v>
      </c>
      <c r="AQ324" s="3">
        <v>1</v>
      </c>
    </row>
    <row r="325" spans="22:43" ht="21" customHeight="1">
      <c r="V325" s="4778"/>
      <c r="W325" s="3093" t="s">
        <v>12057</v>
      </c>
      <c r="X325" s="3094" t="s">
        <v>12058</v>
      </c>
      <c r="Y325" s="3095">
        <v>199</v>
      </c>
      <c r="Z325" s="3096">
        <v>199</v>
      </c>
      <c r="AA325" s="3097">
        <v>199</v>
      </c>
      <c r="AB325"/>
      <c r="AC325" s="4779"/>
      <c r="AD325" s="3089" t="s">
        <v>12059</v>
      </c>
      <c r="AE325" s="3084" t="s">
        <v>12060</v>
      </c>
      <c r="AF325" s="3085">
        <v>238</v>
      </c>
      <c r="AG325" s="3086">
        <v>118</v>
      </c>
      <c r="AH325" s="3087">
        <v>0</v>
      </c>
      <c r="AI325"/>
      <c r="AJ325" s="4780"/>
      <c r="AK325" s="3100" t="s">
        <v>12061</v>
      </c>
      <c r="AL325" s="3084" t="s">
        <v>12062</v>
      </c>
      <c r="AM325" s="3085">
        <v>132</v>
      </c>
      <c r="AN325" s="3086">
        <v>46</v>
      </c>
      <c r="AO325" s="3087">
        <v>27</v>
      </c>
      <c r="AQ325" s="3">
        <v>1</v>
      </c>
    </row>
    <row r="326" spans="22:43" ht="21" customHeight="1">
      <c r="V326" s="4781"/>
      <c r="W326" s="3093" t="s">
        <v>12063</v>
      </c>
      <c r="X326" s="3094" t="s">
        <v>12064</v>
      </c>
      <c r="Y326" s="3095">
        <v>201</v>
      </c>
      <c r="Z326" s="3096">
        <v>201</v>
      </c>
      <c r="AA326" s="3097">
        <v>201</v>
      </c>
      <c r="AB326"/>
      <c r="AC326" s="4782"/>
      <c r="AD326" s="3100" t="s">
        <v>12065</v>
      </c>
      <c r="AE326" s="3084" t="s">
        <v>12066</v>
      </c>
      <c r="AF326" s="3085">
        <v>237</v>
      </c>
      <c r="AG326" s="3086">
        <v>127</v>
      </c>
      <c r="AH326" s="3087">
        <v>16</v>
      </c>
      <c r="AI326"/>
      <c r="AJ326" s="4783"/>
      <c r="AK326" s="3100" t="s">
        <v>12067</v>
      </c>
      <c r="AL326" s="3084" t="s">
        <v>12068</v>
      </c>
      <c r="AM326" s="3085">
        <v>121</v>
      </c>
      <c r="AN326" s="3086">
        <v>68</v>
      </c>
      <c r="AO326" s="3087">
        <v>59</v>
      </c>
      <c r="AQ326" s="3">
        <v>1</v>
      </c>
    </row>
    <row r="327" spans="22:43" ht="21" customHeight="1">
      <c r="V327" s="4784"/>
      <c r="W327" s="3114" t="s">
        <v>12069</v>
      </c>
      <c r="X327" s="3094" t="s">
        <v>12070</v>
      </c>
      <c r="Y327" s="3095">
        <v>204</v>
      </c>
      <c r="Z327" s="3096">
        <v>204</v>
      </c>
      <c r="AA327" s="3097">
        <v>204</v>
      </c>
      <c r="AB327"/>
      <c r="AC327" s="4785"/>
      <c r="AD327" s="3089" t="s">
        <v>12071</v>
      </c>
      <c r="AE327" s="3084" t="s">
        <v>12072</v>
      </c>
      <c r="AF327" s="3085">
        <v>209</v>
      </c>
      <c r="AG327" s="3086">
        <v>146</v>
      </c>
      <c r="AH327" s="3087">
        <v>117</v>
      </c>
      <c r="AI327"/>
      <c r="AJ327" s="4786"/>
      <c r="AK327" s="3100" t="s">
        <v>12073</v>
      </c>
      <c r="AL327" s="3084" t="s">
        <v>12074</v>
      </c>
      <c r="AM327" s="3085">
        <v>126</v>
      </c>
      <c r="AN327" s="3086">
        <v>51</v>
      </c>
      <c r="AO327" s="3087">
        <v>0</v>
      </c>
      <c r="AQ327" s="3">
        <v>1</v>
      </c>
    </row>
    <row r="328" spans="22:43" ht="21" customHeight="1">
      <c r="V328" s="4787"/>
      <c r="W328" s="3093" t="s">
        <v>12075</v>
      </c>
      <c r="X328" s="3094" t="s">
        <v>12076</v>
      </c>
      <c r="Y328" s="3095">
        <v>205</v>
      </c>
      <c r="Z328" s="3096">
        <v>205</v>
      </c>
      <c r="AA328" s="3097">
        <v>205</v>
      </c>
      <c r="AB328"/>
      <c r="AC328" s="4788"/>
      <c r="AD328" s="3100" t="s">
        <v>12077</v>
      </c>
      <c r="AE328" s="3084" t="s">
        <v>12078</v>
      </c>
      <c r="AF328" s="3085">
        <v>230</v>
      </c>
      <c r="AG328" s="3086">
        <v>126</v>
      </c>
      <c r="AH328" s="3087">
        <v>48</v>
      </c>
      <c r="AI328"/>
      <c r="AJ328" s="4789"/>
      <c r="AK328" s="3100" t="s">
        <v>12079</v>
      </c>
      <c r="AL328" s="3084" t="s">
        <v>12080</v>
      </c>
      <c r="AM328" s="3085">
        <v>103</v>
      </c>
      <c r="AN328" s="3086">
        <v>76</v>
      </c>
      <c r="AO328" s="3087">
        <v>71</v>
      </c>
      <c r="AQ328" s="3">
        <v>1</v>
      </c>
    </row>
    <row r="329" spans="22:43" ht="21" customHeight="1">
      <c r="V329" s="4790"/>
      <c r="W329" s="3114" t="s">
        <v>12081</v>
      </c>
      <c r="X329" s="3094" t="s">
        <v>12082</v>
      </c>
      <c r="Y329" s="3095">
        <v>206</v>
      </c>
      <c r="Z329" s="3096">
        <v>206</v>
      </c>
      <c r="AA329" s="3097">
        <v>206</v>
      </c>
      <c r="AB329"/>
      <c r="AC329" s="4791"/>
      <c r="AD329" s="3100" t="s">
        <v>12083</v>
      </c>
      <c r="AE329" s="3084" t="s">
        <v>12084</v>
      </c>
      <c r="AF329" s="3085">
        <v>217</v>
      </c>
      <c r="AG329" s="3086">
        <v>144</v>
      </c>
      <c r="AH329" s="3087">
        <v>88</v>
      </c>
      <c r="AI329"/>
      <c r="AJ329" s="4792"/>
      <c r="AK329" s="3100" t="s">
        <v>12085</v>
      </c>
      <c r="AL329" s="3084" t="s">
        <v>12086</v>
      </c>
      <c r="AM329" s="3085">
        <v>91</v>
      </c>
      <c r="AN329" s="3086">
        <v>80</v>
      </c>
      <c r="AO329" s="3087">
        <v>79</v>
      </c>
      <c r="AQ329" s="3">
        <v>1</v>
      </c>
    </row>
    <row r="330" spans="22:43" ht="21" customHeight="1">
      <c r="V330" s="4793"/>
      <c r="W330" s="3093" t="s">
        <v>12087</v>
      </c>
      <c r="X330" s="3094" t="s">
        <v>12088</v>
      </c>
      <c r="Y330" s="3095">
        <v>207</v>
      </c>
      <c r="Z330" s="3096">
        <v>207</v>
      </c>
      <c r="AA330" s="3097">
        <v>207</v>
      </c>
      <c r="AB330"/>
      <c r="AC330" s="4794"/>
      <c r="AD330" s="3100" t="s">
        <v>12089</v>
      </c>
      <c r="AE330" s="3084" t="s">
        <v>12090</v>
      </c>
      <c r="AF330" s="3085">
        <v>223</v>
      </c>
      <c r="AG330" s="3086">
        <v>109</v>
      </c>
      <c r="AH330" s="3087">
        <v>20</v>
      </c>
      <c r="AI330"/>
      <c r="AJ330" s="4795"/>
      <c r="AK330" s="3100" t="s">
        <v>12091</v>
      </c>
      <c r="AL330" s="3084" t="s">
        <v>12092</v>
      </c>
      <c r="AM330" s="3085">
        <v>112</v>
      </c>
      <c r="AN330" s="3086">
        <v>53</v>
      </c>
      <c r="AO330" s="3087">
        <v>22</v>
      </c>
      <c r="AQ330" s="3">
        <v>1</v>
      </c>
    </row>
    <row r="331" spans="22:43" ht="21" customHeight="1">
      <c r="V331" s="4796"/>
      <c r="W331" s="3093" t="s">
        <v>12093</v>
      </c>
      <c r="X331" s="3094" t="s">
        <v>12094</v>
      </c>
      <c r="Y331" s="3095">
        <v>209</v>
      </c>
      <c r="Z331" s="3096">
        <v>209</v>
      </c>
      <c r="AA331" s="3097">
        <v>209</v>
      </c>
      <c r="AB331"/>
      <c r="AC331" s="4797"/>
      <c r="AD331" s="3089" t="s">
        <v>12095</v>
      </c>
      <c r="AE331" s="3084" t="s">
        <v>12096</v>
      </c>
      <c r="AF331" s="3085">
        <v>210</v>
      </c>
      <c r="AG331" s="3086">
        <v>105</v>
      </c>
      <c r="AH331" s="3087">
        <v>30</v>
      </c>
      <c r="AI331"/>
      <c r="AJ331" s="4798"/>
      <c r="AK331" s="3100" t="s">
        <v>12097</v>
      </c>
      <c r="AL331" s="3084" t="s">
        <v>12098</v>
      </c>
      <c r="AM331" s="3085">
        <v>67</v>
      </c>
      <c r="AN331" s="3086">
        <v>48</v>
      </c>
      <c r="AO331" s="3087">
        <v>46</v>
      </c>
      <c r="AQ331" s="3">
        <v>1</v>
      </c>
    </row>
    <row r="332" spans="22:43" ht="21" customHeight="1">
      <c r="V332" s="4799"/>
      <c r="W332" s="3093" t="s">
        <v>12099</v>
      </c>
      <c r="X332" s="3094" t="s">
        <v>12100</v>
      </c>
      <c r="Y332" s="3095">
        <v>211</v>
      </c>
      <c r="Z332" s="3096">
        <v>211</v>
      </c>
      <c r="AA332" s="3097">
        <v>211</v>
      </c>
      <c r="AB332"/>
      <c r="AC332" s="4800"/>
      <c r="AD332" s="3089" t="s">
        <v>11479</v>
      </c>
      <c r="AE332" s="3084" t="s">
        <v>12101</v>
      </c>
      <c r="AF332" s="3085">
        <v>205</v>
      </c>
      <c r="AG332" s="3086">
        <v>127</v>
      </c>
      <c r="AH332" s="3087">
        <v>50</v>
      </c>
      <c r="AI332"/>
      <c r="AJ332" s="4801"/>
      <c r="AK332" s="3100" t="s">
        <v>12102</v>
      </c>
      <c r="AL332" s="3084" t="s">
        <v>12103</v>
      </c>
      <c r="AM332" s="3085">
        <v>0</v>
      </c>
      <c r="AN332" s="3086">
        <v>255</v>
      </c>
      <c r="AO332" s="3087">
        <v>0</v>
      </c>
      <c r="AQ332" s="3">
        <v>1</v>
      </c>
    </row>
    <row r="333" spans="22:43" ht="21" customHeight="1">
      <c r="V333" s="4802"/>
      <c r="W333" s="3093" t="s">
        <v>12104</v>
      </c>
      <c r="X333" s="3094" t="s">
        <v>12105</v>
      </c>
      <c r="Y333" s="3095">
        <v>212</v>
      </c>
      <c r="Z333" s="3096">
        <v>212</v>
      </c>
      <c r="AA333" s="3097">
        <v>212</v>
      </c>
      <c r="AB333"/>
      <c r="AC333" s="4803"/>
      <c r="AD333" s="3089" t="s">
        <v>12106</v>
      </c>
      <c r="AE333" s="3084" t="s">
        <v>12107</v>
      </c>
      <c r="AF333" s="3085">
        <v>205</v>
      </c>
      <c r="AG333" s="3086">
        <v>102</v>
      </c>
      <c r="AH333" s="3087">
        <v>29</v>
      </c>
      <c r="AI333"/>
      <c r="AJ333" s="4804"/>
      <c r="AK333" s="3100" t="s">
        <v>12108</v>
      </c>
      <c r="AL333" s="3084" t="s">
        <v>12109</v>
      </c>
      <c r="AM333" s="3085">
        <v>135</v>
      </c>
      <c r="AN333" s="3086">
        <v>233</v>
      </c>
      <c r="AO333" s="3087">
        <v>144</v>
      </c>
      <c r="AQ333" s="3">
        <v>1</v>
      </c>
    </row>
    <row r="334" spans="22:43" ht="21" customHeight="1">
      <c r="V334" s="4805"/>
      <c r="W334" s="3093" t="s">
        <v>12110</v>
      </c>
      <c r="X334" s="3094" t="s">
        <v>12111</v>
      </c>
      <c r="Y334" s="3095">
        <v>214</v>
      </c>
      <c r="Z334" s="3096">
        <v>214</v>
      </c>
      <c r="AA334" s="3097">
        <v>214</v>
      </c>
      <c r="AB334"/>
      <c r="AC334" s="4806"/>
      <c r="AD334" s="3089" t="s">
        <v>12112</v>
      </c>
      <c r="AE334" s="3084" t="s">
        <v>12113</v>
      </c>
      <c r="AF334" s="3085">
        <v>205</v>
      </c>
      <c r="AG334" s="3086">
        <v>102</v>
      </c>
      <c r="AH334" s="3087">
        <v>0</v>
      </c>
      <c r="AI334"/>
      <c r="AJ334" s="4807"/>
      <c r="AK334" s="3089" t="s">
        <v>12114</v>
      </c>
      <c r="AL334" s="3084" t="s">
        <v>12115</v>
      </c>
      <c r="AM334" s="3085">
        <v>144</v>
      </c>
      <c r="AN334" s="3086">
        <v>238</v>
      </c>
      <c r="AO334" s="3087">
        <v>144</v>
      </c>
      <c r="AQ334" s="3">
        <v>1</v>
      </c>
    </row>
    <row r="335" spans="22:43" ht="21" customHeight="1">
      <c r="V335" s="4808"/>
      <c r="W335" s="3093" t="s">
        <v>12116</v>
      </c>
      <c r="X335" s="3094" t="s">
        <v>12117</v>
      </c>
      <c r="Y335" s="3095">
        <v>217</v>
      </c>
      <c r="Z335" s="3096">
        <v>217</v>
      </c>
      <c r="AA335" s="3097">
        <v>217</v>
      </c>
      <c r="AB335"/>
      <c r="AC335" s="4809"/>
      <c r="AD335" s="3100" t="s">
        <v>12118</v>
      </c>
      <c r="AE335" s="3084" t="s">
        <v>12119</v>
      </c>
      <c r="AF335" s="3085">
        <v>190</v>
      </c>
      <c r="AG335" s="3086">
        <v>101</v>
      </c>
      <c r="AH335" s="3087">
        <v>22</v>
      </c>
      <c r="AI335"/>
      <c r="AJ335" s="4810"/>
      <c r="AK335" s="3089" t="s">
        <v>12120</v>
      </c>
      <c r="AL335" s="3084" t="s">
        <v>12121</v>
      </c>
      <c r="AM335" s="3085">
        <v>193</v>
      </c>
      <c r="AN335" s="3086">
        <v>205</v>
      </c>
      <c r="AO335" s="3087">
        <v>193</v>
      </c>
      <c r="AQ335" s="3">
        <v>1</v>
      </c>
    </row>
    <row r="336" spans="22:43" ht="21" customHeight="1">
      <c r="V336" s="4811"/>
      <c r="W336" s="3093" t="s">
        <v>12122</v>
      </c>
      <c r="X336" s="3094" t="s">
        <v>12123</v>
      </c>
      <c r="Y336" s="3095">
        <v>219</v>
      </c>
      <c r="Z336" s="3096">
        <v>219</v>
      </c>
      <c r="AA336" s="3097">
        <v>219</v>
      </c>
      <c r="AB336"/>
      <c r="AC336" s="4812"/>
      <c r="AD336" s="3089" t="s">
        <v>12124</v>
      </c>
      <c r="AE336" s="3084" t="s">
        <v>12125</v>
      </c>
      <c r="AF336" s="3085">
        <v>184</v>
      </c>
      <c r="AG336" s="3086">
        <v>115</v>
      </c>
      <c r="AH336" s="3087">
        <v>51</v>
      </c>
      <c r="AI336"/>
      <c r="AJ336" s="4813"/>
      <c r="AK336" s="3089" t="s">
        <v>12126</v>
      </c>
      <c r="AL336" s="3084" t="s">
        <v>12127</v>
      </c>
      <c r="AM336" s="3085">
        <v>152</v>
      </c>
      <c r="AN336" s="3086">
        <v>251</v>
      </c>
      <c r="AO336" s="3087">
        <v>152</v>
      </c>
      <c r="AQ336" s="3">
        <v>1</v>
      </c>
    </row>
    <row r="337" spans="22:43" ht="21" customHeight="1">
      <c r="V337" s="4814"/>
      <c r="W337" s="3093" t="s">
        <v>12128</v>
      </c>
      <c r="X337" s="3094" t="s">
        <v>12129</v>
      </c>
      <c r="Y337" s="3095">
        <v>220</v>
      </c>
      <c r="Z337" s="3096">
        <v>220</v>
      </c>
      <c r="AA337" s="3097">
        <v>220</v>
      </c>
      <c r="AB337"/>
      <c r="AC337" s="4815"/>
      <c r="AD337" s="3100" t="s">
        <v>12130</v>
      </c>
      <c r="AE337" s="3084" t="s">
        <v>12131</v>
      </c>
      <c r="AF337" s="3085">
        <v>151</v>
      </c>
      <c r="AG337" s="3086">
        <v>127</v>
      </c>
      <c r="AH337" s="3087">
        <v>115</v>
      </c>
      <c r="AI337"/>
      <c r="AJ337" s="4816"/>
      <c r="AK337" s="3089" t="s">
        <v>12132</v>
      </c>
      <c r="AL337" s="3084" t="s">
        <v>12133</v>
      </c>
      <c r="AM337" s="3085">
        <v>180</v>
      </c>
      <c r="AN337" s="3086">
        <v>238</v>
      </c>
      <c r="AO337" s="3087">
        <v>180</v>
      </c>
      <c r="AQ337" s="3">
        <v>1</v>
      </c>
    </row>
    <row r="338" spans="22:43" ht="21" customHeight="1">
      <c r="V338" s="4817"/>
      <c r="W338" s="3093" t="s">
        <v>12134</v>
      </c>
      <c r="X338" s="3094" t="s">
        <v>12135</v>
      </c>
      <c r="Y338" s="3095">
        <v>221</v>
      </c>
      <c r="Z338" s="3096">
        <v>221</v>
      </c>
      <c r="AA338" s="3097">
        <v>221</v>
      </c>
      <c r="AB338"/>
      <c r="AC338" s="4818"/>
      <c r="AD338" s="3100" t="s">
        <v>12136</v>
      </c>
      <c r="AE338" s="3084" t="s">
        <v>12137</v>
      </c>
      <c r="AF338" s="3085">
        <v>174</v>
      </c>
      <c r="AG338" s="3086">
        <v>105</v>
      </c>
      <c r="AH338" s="3087">
        <v>56</v>
      </c>
      <c r="AI338"/>
      <c r="AJ338" s="4819"/>
      <c r="AK338" s="3089" t="s">
        <v>12138</v>
      </c>
      <c r="AL338" s="3084" t="s">
        <v>12139</v>
      </c>
      <c r="AM338" s="3085">
        <v>154</v>
      </c>
      <c r="AN338" s="3086">
        <v>255</v>
      </c>
      <c r="AO338" s="3087">
        <v>154</v>
      </c>
      <c r="AQ338" s="3">
        <v>1</v>
      </c>
    </row>
    <row r="339" spans="22:43" ht="21" customHeight="1">
      <c r="V339" s="4820"/>
      <c r="W339" s="3093" t="s">
        <v>12140</v>
      </c>
      <c r="X339" s="3094" t="s">
        <v>12141</v>
      </c>
      <c r="Y339" s="3095">
        <v>222</v>
      </c>
      <c r="Z339" s="3096">
        <v>222</v>
      </c>
      <c r="AA339" s="3097">
        <v>222</v>
      </c>
      <c r="AB339"/>
      <c r="AC339" s="4821"/>
      <c r="AD339" s="3100" t="s">
        <v>12142</v>
      </c>
      <c r="AE339" s="3084" t="s">
        <v>12143</v>
      </c>
      <c r="AF339" s="3085">
        <v>179</v>
      </c>
      <c r="AG339" s="3086">
        <v>103</v>
      </c>
      <c r="AH339" s="3087">
        <v>0</v>
      </c>
      <c r="AI339"/>
      <c r="AJ339" s="4822"/>
      <c r="AK339" s="3089" t="s">
        <v>12144</v>
      </c>
      <c r="AL339" s="3084" t="s">
        <v>12145</v>
      </c>
      <c r="AM339" s="3085">
        <v>193</v>
      </c>
      <c r="AN339" s="3086">
        <v>255</v>
      </c>
      <c r="AO339" s="3087">
        <v>193</v>
      </c>
      <c r="AQ339" s="3">
        <v>1</v>
      </c>
    </row>
    <row r="340" spans="22:43" ht="21" customHeight="1">
      <c r="V340" s="4823"/>
      <c r="W340" s="3093" t="s">
        <v>12146</v>
      </c>
      <c r="X340" s="3094" t="s">
        <v>12147</v>
      </c>
      <c r="Y340" s="3095">
        <v>224</v>
      </c>
      <c r="Z340" s="3096">
        <v>224</v>
      </c>
      <c r="AA340" s="3097">
        <v>224</v>
      </c>
      <c r="AB340"/>
      <c r="AC340" s="4824"/>
      <c r="AD340" s="3100" t="s">
        <v>12148</v>
      </c>
      <c r="AE340" s="3084" t="s">
        <v>12149</v>
      </c>
      <c r="AF340" s="3085">
        <v>174</v>
      </c>
      <c r="AG340" s="3086">
        <v>100</v>
      </c>
      <c r="AH340" s="3087">
        <v>45</v>
      </c>
      <c r="AI340"/>
      <c r="AJ340" s="4825"/>
      <c r="AK340" s="3089" t="s">
        <v>12150</v>
      </c>
      <c r="AL340" s="3084" t="s">
        <v>12151</v>
      </c>
      <c r="AM340" s="3085">
        <v>224</v>
      </c>
      <c r="AN340" s="3086">
        <v>238</v>
      </c>
      <c r="AO340" s="3087">
        <v>224</v>
      </c>
      <c r="AQ340" s="3">
        <v>1</v>
      </c>
    </row>
    <row r="341" spans="22:43" ht="21" customHeight="1">
      <c r="V341" s="4826"/>
      <c r="W341" s="3093" t="s">
        <v>12152</v>
      </c>
      <c r="X341" s="3094" t="s">
        <v>12153</v>
      </c>
      <c r="Y341" s="3095">
        <v>227</v>
      </c>
      <c r="Z341" s="3096">
        <v>227</v>
      </c>
      <c r="AA341" s="3097">
        <v>227</v>
      </c>
      <c r="AB341"/>
      <c r="AC341" s="4827"/>
      <c r="AD341" s="3100" t="s">
        <v>12154</v>
      </c>
      <c r="AE341" s="3084" t="s">
        <v>12155</v>
      </c>
      <c r="AF341" s="3085">
        <v>167</v>
      </c>
      <c r="AG341" s="3086">
        <v>103</v>
      </c>
      <c r="AH341" s="3087">
        <v>38</v>
      </c>
      <c r="AI341"/>
      <c r="AJ341" s="4828"/>
      <c r="AK341" s="3089" t="s">
        <v>12156</v>
      </c>
      <c r="AL341" s="3084" t="s">
        <v>12157</v>
      </c>
      <c r="AM341" s="3085">
        <v>240</v>
      </c>
      <c r="AN341" s="3086">
        <v>255</v>
      </c>
      <c r="AO341" s="3087">
        <v>240</v>
      </c>
      <c r="AQ341" s="3">
        <v>1</v>
      </c>
    </row>
    <row r="342" spans="22:43" ht="21" customHeight="1">
      <c r="V342" s="4829"/>
      <c r="W342" s="3093" t="s">
        <v>12158</v>
      </c>
      <c r="X342" s="3094" t="s">
        <v>12159</v>
      </c>
      <c r="Y342" s="3095">
        <v>229</v>
      </c>
      <c r="Z342" s="3096">
        <v>229</v>
      </c>
      <c r="AA342" s="3097">
        <v>229</v>
      </c>
      <c r="AB342"/>
      <c r="AC342" s="4830"/>
      <c r="AD342" s="3089" t="s">
        <v>12160</v>
      </c>
      <c r="AE342" s="3084" t="s">
        <v>12161</v>
      </c>
      <c r="AF342" s="3085">
        <v>151</v>
      </c>
      <c r="AG342" s="3086">
        <v>105</v>
      </c>
      <c r="AH342" s="3087">
        <v>79</v>
      </c>
      <c r="AI342"/>
      <c r="AJ342" s="4831"/>
      <c r="AK342" s="3089" t="s">
        <v>12162</v>
      </c>
      <c r="AL342" s="3084" t="s">
        <v>12163</v>
      </c>
      <c r="AM342" s="3085">
        <v>155</v>
      </c>
      <c r="AN342" s="3086">
        <v>205</v>
      </c>
      <c r="AO342" s="3087">
        <v>155</v>
      </c>
      <c r="AQ342" s="3">
        <v>1</v>
      </c>
    </row>
    <row r="343" spans="22:43" ht="21" customHeight="1">
      <c r="V343" s="4832"/>
      <c r="W343" s="3093" t="s">
        <v>12164</v>
      </c>
      <c r="X343" s="3094" t="s">
        <v>12165</v>
      </c>
      <c r="Y343" s="3095">
        <v>232</v>
      </c>
      <c r="Z343" s="3096">
        <v>232</v>
      </c>
      <c r="AA343" s="3097">
        <v>232</v>
      </c>
      <c r="AB343"/>
      <c r="AC343" s="4833"/>
      <c r="AD343" s="3100" t="s">
        <v>12166</v>
      </c>
      <c r="AE343" s="3084" t="s">
        <v>12167</v>
      </c>
      <c r="AF343" s="3085">
        <v>167</v>
      </c>
      <c r="AG343" s="3086">
        <v>85</v>
      </c>
      <c r="AH343" s="3087">
        <v>2</v>
      </c>
      <c r="AI343"/>
      <c r="AJ343" s="4834"/>
      <c r="AK343" s="3089" t="s">
        <v>12168</v>
      </c>
      <c r="AL343" s="3084" t="s">
        <v>12169</v>
      </c>
      <c r="AM343" s="3085">
        <v>9</v>
      </c>
      <c r="AN343" s="3086">
        <v>249</v>
      </c>
      <c r="AO343" s="3087">
        <v>17</v>
      </c>
      <c r="AQ343" s="3">
        <v>1</v>
      </c>
    </row>
    <row r="344" spans="22:43" ht="21" customHeight="1">
      <c r="V344" s="4835"/>
      <c r="W344" s="3093" t="s">
        <v>12170</v>
      </c>
      <c r="X344" s="3094" t="s">
        <v>12171</v>
      </c>
      <c r="Y344" s="3095">
        <v>235</v>
      </c>
      <c r="Z344" s="3096">
        <v>235</v>
      </c>
      <c r="AA344" s="3097">
        <v>235</v>
      </c>
      <c r="AB344"/>
      <c r="AC344" s="4836"/>
      <c r="AD344" s="3100" t="s">
        <v>12172</v>
      </c>
      <c r="AE344" s="3084" t="s">
        <v>12173</v>
      </c>
      <c r="AF344" s="3085">
        <v>159</v>
      </c>
      <c r="AG344" s="3086">
        <v>85</v>
      </c>
      <c r="AH344" s="3087">
        <v>30</v>
      </c>
      <c r="AI344"/>
      <c r="AJ344" s="4837"/>
      <c r="AK344" s="3100" t="s">
        <v>12174</v>
      </c>
      <c r="AL344" s="3084" t="s">
        <v>12175</v>
      </c>
      <c r="AM344" s="3085">
        <v>58</v>
      </c>
      <c r="AN344" s="3086">
        <v>242</v>
      </c>
      <c r="AO344" s="3087">
        <v>75</v>
      </c>
      <c r="AQ344" s="3">
        <v>1</v>
      </c>
    </row>
    <row r="345" spans="22:43" ht="21" customHeight="1">
      <c r="V345" s="4838"/>
      <c r="W345" s="3114" t="s">
        <v>12176</v>
      </c>
      <c r="X345" s="3094" t="s">
        <v>12177</v>
      </c>
      <c r="Y345" s="3095">
        <v>237</v>
      </c>
      <c r="Z345" s="3096">
        <v>237</v>
      </c>
      <c r="AA345" s="3097">
        <v>237</v>
      </c>
      <c r="AB345"/>
      <c r="AC345" s="4839"/>
      <c r="AD345" s="3100" t="s">
        <v>12178</v>
      </c>
      <c r="AE345" s="3084" t="s">
        <v>12179</v>
      </c>
      <c r="AF345" s="3085">
        <v>152</v>
      </c>
      <c r="AG345" s="3086">
        <v>87</v>
      </c>
      <c r="AH345" s="3087">
        <v>23</v>
      </c>
      <c r="AI345"/>
      <c r="AJ345" s="4840"/>
      <c r="AK345" s="3100" t="s">
        <v>12180</v>
      </c>
      <c r="AL345" s="3084" t="s">
        <v>12181</v>
      </c>
      <c r="AM345" s="3085">
        <v>131</v>
      </c>
      <c r="AN345" s="3086">
        <v>211</v>
      </c>
      <c r="AO345" s="3087">
        <v>125</v>
      </c>
      <c r="AQ345" s="3">
        <v>1</v>
      </c>
    </row>
    <row r="346" spans="22:43" ht="21" customHeight="1">
      <c r="V346" s="4841"/>
      <c r="W346" s="3093" t="s">
        <v>12182</v>
      </c>
      <c r="X346" s="3094" t="s">
        <v>12183</v>
      </c>
      <c r="Y346" s="3095">
        <v>238</v>
      </c>
      <c r="Z346" s="3096">
        <v>238</v>
      </c>
      <c r="AA346" s="3097">
        <v>238</v>
      </c>
      <c r="AB346"/>
      <c r="AC346" s="4842"/>
      <c r="AD346" s="3100" t="s">
        <v>12184</v>
      </c>
      <c r="AE346" s="3084" t="s">
        <v>12185</v>
      </c>
      <c r="AF346" s="3085">
        <v>149</v>
      </c>
      <c r="AG346" s="3086">
        <v>86</v>
      </c>
      <c r="AH346" s="3087">
        <v>40</v>
      </c>
      <c r="AI346"/>
      <c r="AJ346" s="4843"/>
      <c r="AK346" s="3100" t="s">
        <v>12186</v>
      </c>
      <c r="AL346" s="3084" t="s">
        <v>12187</v>
      </c>
      <c r="AM346" s="3085">
        <v>147</v>
      </c>
      <c r="AN346" s="3086">
        <v>197</v>
      </c>
      <c r="AO346" s="3087">
        <v>146</v>
      </c>
      <c r="AQ346" s="3">
        <v>1</v>
      </c>
    </row>
    <row r="347" spans="22:43" ht="21" customHeight="1">
      <c r="V347" s="4844"/>
      <c r="W347" s="3114" t="s">
        <v>12188</v>
      </c>
      <c r="X347" s="3094" t="s">
        <v>12189</v>
      </c>
      <c r="Y347" s="3095">
        <v>239</v>
      </c>
      <c r="Z347" s="3096">
        <v>239</v>
      </c>
      <c r="AA347" s="3097">
        <v>239</v>
      </c>
      <c r="AB347"/>
      <c r="AC347" s="4845"/>
      <c r="AD347" s="3100" t="s">
        <v>12190</v>
      </c>
      <c r="AE347" s="3084" t="s">
        <v>12191</v>
      </c>
      <c r="AF347" s="3085">
        <v>142</v>
      </c>
      <c r="AG347" s="3086">
        <v>84</v>
      </c>
      <c r="AH347" s="3087">
        <v>52</v>
      </c>
      <c r="AI347"/>
      <c r="AJ347" s="4846"/>
      <c r="AK347" s="3089" t="s">
        <v>12192</v>
      </c>
      <c r="AL347" s="3084" t="s">
        <v>12193</v>
      </c>
      <c r="AM347" s="3085">
        <v>0</v>
      </c>
      <c r="AN347" s="3086">
        <v>238</v>
      </c>
      <c r="AO347" s="3087">
        <v>0</v>
      </c>
      <c r="AQ347" s="3">
        <v>1</v>
      </c>
    </row>
    <row r="348" spans="22:43" ht="21" customHeight="1">
      <c r="V348" s="4847"/>
      <c r="W348" s="3093" t="s">
        <v>12194</v>
      </c>
      <c r="X348" s="3094" t="s">
        <v>12195</v>
      </c>
      <c r="Y348" s="3095">
        <v>240</v>
      </c>
      <c r="Z348" s="3096">
        <v>240</v>
      </c>
      <c r="AA348" s="3097">
        <v>240</v>
      </c>
      <c r="AB348"/>
      <c r="AC348" s="4848"/>
      <c r="AD348" s="3089" t="s">
        <v>12196</v>
      </c>
      <c r="AE348" s="3084" t="s">
        <v>12197</v>
      </c>
      <c r="AF348" s="3085">
        <v>133</v>
      </c>
      <c r="AG348" s="3086">
        <v>94</v>
      </c>
      <c r="AH348" s="3087">
        <v>66</v>
      </c>
      <c r="AI348"/>
      <c r="AJ348" s="4849"/>
      <c r="AK348" s="3089" t="s">
        <v>12198</v>
      </c>
      <c r="AL348" s="3084" t="s">
        <v>12199</v>
      </c>
      <c r="AM348" s="3085">
        <v>124</v>
      </c>
      <c r="AN348" s="3086">
        <v>205</v>
      </c>
      <c r="AO348" s="3087">
        <v>124</v>
      </c>
      <c r="AQ348" s="3">
        <v>1</v>
      </c>
    </row>
    <row r="349" spans="22:43" ht="21" customHeight="1">
      <c r="V349" s="4850"/>
      <c r="W349" s="3093" t="s">
        <v>12200</v>
      </c>
      <c r="X349" s="3094" t="s">
        <v>12201</v>
      </c>
      <c r="Y349" s="3095">
        <v>242</v>
      </c>
      <c r="Z349" s="3096">
        <v>242</v>
      </c>
      <c r="AA349" s="3097">
        <v>242</v>
      </c>
      <c r="AB349"/>
      <c r="AC349" s="4851"/>
      <c r="AD349" s="3100" t="s">
        <v>12202</v>
      </c>
      <c r="AE349" s="3084" t="s">
        <v>12203</v>
      </c>
      <c r="AF349" s="3085">
        <v>132</v>
      </c>
      <c r="AG349" s="3086">
        <v>90</v>
      </c>
      <c r="AH349" s="3087">
        <v>59</v>
      </c>
      <c r="AI349"/>
      <c r="AJ349" s="4852"/>
      <c r="AK349" s="3089" t="s">
        <v>12204</v>
      </c>
      <c r="AL349" s="3084" t="s">
        <v>12205</v>
      </c>
      <c r="AM349" s="3085">
        <v>143</v>
      </c>
      <c r="AN349" s="3086">
        <v>188</v>
      </c>
      <c r="AO349" s="3087">
        <v>143</v>
      </c>
      <c r="AQ349" s="3">
        <v>1</v>
      </c>
    </row>
    <row r="350" spans="22:43" ht="21" customHeight="1">
      <c r="V350" s="4853"/>
      <c r="W350" s="3093" t="s">
        <v>12206</v>
      </c>
      <c r="X350" s="3094" t="s">
        <v>12207</v>
      </c>
      <c r="Y350" s="3095">
        <v>245</v>
      </c>
      <c r="Z350" s="3096">
        <v>245</v>
      </c>
      <c r="AA350" s="3097">
        <v>245</v>
      </c>
      <c r="AB350"/>
      <c r="AC350" s="4854"/>
      <c r="AD350" s="3089" t="s">
        <v>12208</v>
      </c>
      <c r="AE350" s="3084" t="s">
        <v>12209</v>
      </c>
      <c r="AF350" s="3085">
        <v>139</v>
      </c>
      <c r="AG350" s="3086">
        <v>69</v>
      </c>
      <c r="AH350" s="3087">
        <v>19</v>
      </c>
      <c r="AI350"/>
      <c r="AJ350" s="4855"/>
      <c r="AK350" s="3100" t="s">
        <v>12210</v>
      </c>
      <c r="AL350" s="3084" t="s">
        <v>12211</v>
      </c>
      <c r="AM350" s="3085">
        <v>149</v>
      </c>
      <c r="AN350" s="3086">
        <v>165</v>
      </c>
      <c r="AO350" s="3087">
        <v>149</v>
      </c>
      <c r="AQ350" s="3">
        <v>1</v>
      </c>
    </row>
    <row r="351" spans="22:43" ht="21" customHeight="1">
      <c r="V351" s="4856"/>
      <c r="W351" s="3093" t="s">
        <v>12212</v>
      </c>
      <c r="X351" s="3094" t="s">
        <v>12213</v>
      </c>
      <c r="Y351" s="3095">
        <v>247</v>
      </c>
      <c r="Z351" s="3096">
        <v>247</v>
      </c>
      <c r="AA351" s="3097">
        <v>247</v>
      </c>
      <c r="AB351"/>
      <c r="AC351" s="4857"/>
      <c r="AD351" s="3089" t="s">
        <v>12214</v>
      </c>
      <c r="AE351" s="3084" t="s">
        <v>12215</v>
      </c>
      <c r="AF351" s="3085">
        <v>139</v>
      </c>
      <c r="AG351" s="3086">
        <v>69</v>
      </c>
      <c r="AH351" s="3087">
        <v>0</v>
      </c>
      <c r="AI351"/>
      <c r="AJ351" s="4858"/>
      <c r="AK351" s="3089" t="s">
        <v>12216</v>
      </c>
      <c r="AL351" s="3084" t="s">
        <v>12217</v>
      </c>
      <c r="AM351" s="3085">
        <v>50</v>
      </c>
      <c r="AN351" s="3086">
        <v>205</v>
      </c>
      <c r="AO351" s="3087">
        <v>50</v>
      </c>
      <c r="AQ351" s="3">
        <v>1</v>
      </c>
    </row>
    <row r="352" spans="22:43" ht="21" customHeight="1">
      <c r="V352" s="4859"/>
      <c r="W352" s="3093" t="s">
        <v>12218</v>
      </c>
      <c r="X352" s="3094" t="s">
        <v>12219</v>
      </c>
      <c r="Y352" s="3095">
        <v>250</v>
      </c>
      <c r="Z352" s="3096">
        <v>250</v>
      </c>
      <c r="AA352" s="3097">
        <v>250</v>
      </c>
      <c r="AB352"/>
      <c r="AC352" s="4860"/>
      <c r="AD352" s="3100" t="s">
        <v>12220</v>
      </c>
      <c r="AE352" s="3084" t="s">
        <v>12221</v>
      </c>
      <c r="AF352" s="3085">
        <v>128</v>
      </c>
      <c r="AG352" s="3086">
        <v>70</v>
      </c>
      <c r="AH352" s="3087">
        <v>27</v>
      </c>
      <c r="AI352"/>
      <c r="AJ352" s="4861"/>
      <c r="AK352" s="3089" t="s">
        <v>12222</v>
      </c>
      <c r="AL352" s="3084" t="s">
        <v>12223</v>
      </c>
      <c r="AM352" s="3085">
        <v>0</v>
      </c>
      <c r="AN352" s="3086">
        <v>205</v>
      </c>
      <c r="AO352" s="3087">
        <v>0</v>
      </c>
      <c r="AQ352" s="3">
        <v>1</v>
      </c>
    </row>
    <row r="353" spans="22:43" ht="21" customHeight="1">
      <c r="V353" s="4862"/>
      <c r="W353" s="3093" t="s">
        <v>12224</v>
      </c>
      <c r="X353" s="3094" t="s">
        <v>12225</v>
      </c>
      <c r="Y353" s="3095">
        <v>252</v>
      </c>
      <c r="Z353" s="3096">
        <v>252</v>
      </c>
      <c r="AA353" s="3097">
        <v>252</v>
      </c>
      <c r="AB353"/>
      <c r="AC353" s="4863"/>
      <c r="AD353" s="3100" t="s">
        <v>12226</v>
      </c>
      <c r="AE353" s="3084" t="s">
        <v>12227</v>
      </c>
      <c r="AF353" s="3085">
        <v>111</v>
      </c>
      <c r="AG353" s="3086">
        <v>78</v>
      </c>
      <c r="AH353" s="3087">
        <v>55</v>
      </c>
      <c r="AI353"/>
      <c r="AJ353" s="4864"/>
      <c r="AK353" s="3100" t="s">
        <v>12228</v>
      </c>
      <c r="AL353" s="3084" t="s">
        <v>12229</v>
      </c>
      <c r="AM353" s="3085">
        <v>52</v>
      </c>
      <c r="AN353" s="3086">
        <v>201</v>
      </c>
      <c r="AO353" s="3087">
        <v>36</v>
      </c>
      <c r="AQ353" s="3">
        <v>1</v>
      </c>
    </row>
    <row r="354" spans="22:43" ht="21" customHeight="1">
      <c r="V354" s="4865"/>
      <c r="W354" s="3114" t="s">
        <v>12230</v>
      </c>
      <c r="X354" s="3094" t="s">
        <v>12231</v>
      </c>
      <c r="Y354" s="3095">
        <v>254</v>
      </c>
      <c r="Z354" s="3096">
        <v>254</v>
      </c>
      <c r="AA354" s="3097">
        <v>254</v>
      </c>
      <c r="AB354"/>
      <c r="AC354" s="4866"/>
      <c r="AD354" s="3100" t="s">
        <v>12232</v>
      </c>
      <c r="AE354" s="3084" t="s">
        <v>12233</v>
      </c>
      <c r="AF354" s="3085">
        <v>99</v>
      </c>
      <c r="AG354" s="3086">
        <v>81</v>
      </c>
      <c r="AH354" s="3087">
        <v>71</v>
      </c>
      <c r="AI354"/>
      <c r="AJ354" s="4867"/>
      <c r="AK354" s="3089" t="s">
        <v>12234</v>
      </c>
      <c r="AL354" s="3084" t="s">
        <v>12235</v>
      </c>
      <c r="AM354" s="3085">
        <v>131</v>
      </c>
      <c r="AN354" s="3086">
        <v>139</v>
      </c>
      <c r="AO354" s="3087">
        <v>131</v>
      </c>
      <c r="AQ354" s="3">
        <v>1</v>
      </c>
    </row>
    <row r="355" spans="22:43" ht="21" customHeight="1">
      <c r="V355" s="4868"/>
      <c r="W355" s="3093" t="s">
        <v>12236</v>
      </c>
      <c r="X355" s="3094" t="s">
        <v>12237</v>
      </c>
      <c r="Y355" s="3095">
        <v>184</v>
      </c>
      <c r="Z355" s="3096">
        <v>184</v>
      </c>
      <c r="AA355" s="3097">
        <v>184</v>
      </c>
      <c r="AB355"/>
      <c r="AC355" s="4869"/>
      <c r="AD355" s="3089" t="s">
        <v>12238</v>
      </c>
      <c r="AE355" s="3084" t="s">
        <v>12239</v>
      </c>
      <c r="AF355" s="3085">
        <v>107</v>
      </c>
      <c r="AG355" s="3086">
        <v>66</v>
      </c>
      <c r="AH355" s="3087">
        <v>38</v>
      </c>
      <c r="AI355"/>
      <c r="AJ355" s="4870"/>
      <c r="AK355" s="3100" t="s">
        <v>12240</v>
      </c>
      <c r="AL355" s="3084" t="s">
        <v>12241</v>
      </c>
      <c r="AM355" s="3085">
        <v>103</v>
      </c>
      <c r="AN355" s="3086">
        <v>146</v>
      </c>
      <c r="AO355" s="3087">
        <v>103</v>
      </c>
      <c r="AQ355" s="3">
        <v>1</v>
      </c>
    </row>
    <row r="356" spans="22:43" ht="21" customHeight="1">
      <c r="V356" s="4871"/>
      <c r="W356" s="3093" t="s">
        <v>12242</v>
      </c>
      <c r="X356" s="3094" t="s">
        <v>12243</v>
      </c>
      <c r="Y356" s="3095">
        <v>181</v>
      </c>
      <c r="Z356" s="3096">
        <v>181</v>
      </c>
      <c r="AA356" s="3097">
        <v>181</v>
      </c>
      <c r="AB356"/>
      <c r="AC356" s="4872"/>
      <c r="AD356" s="3089" t="s">
        <v>12244</v>
      </c>
      <c r="AE356" s="3084" t="s">
        <v>12245</v>
      </c>
      <c r="AF356" s="3085">
        <v>92</v>
      </c>
      <c r="AG356" s="3086">
        <v>64</v>
      </c>
      <c r="AH356" s="3087">
        <v>51</v>
      </c>
      <c r="AI356"/>
      <c r="AJ356" s="4873"/>
      <c r="AK356" s="3089" t="s">
        <v>12246</v>
      </c>
      <c r="AL356" s="3084" t="s">
        <v>12247</v>
      </c>
      <c r="AM356" s="3085">
        <v>105</v>
      </c>
      <c r="AN356" s="3086">
        <v>139</v>
      </c>
      <c r="AO356" s="3087">
        <v>105</v>
      </c>
      <c r="AQ356" s="3">
        <v>1</v>
      </c>
    </row>
    <row r="357" spans="22:43" ht="21" customHeight="1">
      <c r="V357" s="4874"/>
      <c r="W357" s="3093" t="s">
        <v>12248</v>
      </c>
      <c r="X357" s="3094" t="s">
        <v>12249</v>
      </c>
      <c r="Y357" s="3095">
        <v>179</v>
      </c>
      <c r="Z357" s="3096">
        <v>179</v>
      </c>
      <c r="AA357" s="3097">
        <v>179</v>
      </c>
      <c r="AB357"/>
      <c r="AC357" s="4875"/>
      <c r="AD357" s="3100" t="s">
        <v>12250</v>
      </c>
      <c r="AE357" s="3084" t="s">
        <v>12251</v>
      </c>
      <c r="AF357" s="3085">
        <v>90</v>
      </c>
      <c r="AG357" s="3086">
        <v>58</v>
      </c>
      <c r="AH357" s="3087">
        <v>34</v>
      </c>
      <c r="AI357"/>
      <c r="AJ357" s="4876"/>
      <c r="AK357" s="3100" t="s">
        <v>12252</v>
      </c>
      <c r="AL357" s="3084" t="s">
        <v>12253</v>
      </c>
      <c r="AM357" s="3085">
        <v>68</v>
      </c>
      <c r="AN357" s="3086">
        <v>148</v>
      </c>
      <c r="AO357" s="3087">
        <v>74</v>
      </c>
      <c r="AQ357" s="3">
        <v>1</v>
      </c>
    </row>
    <row r="358" spans="22:43" ht="21" customHeight="1">
      <c r="V358" s="4877"/>
      <c r="W358" s="3093" t="s">
        <v>12254</v>
      </c>
      <c r="X358" s="3094" t="s">
        <v>12255</v>
      </c>
      <c r="Y358" s="3095">
        <v>176</v>
      </c>
      <c r="Z358" s="3096">
        <v>176</v>
      </c>
      <c r="AA358" s="3097">
        <v>176</v>
      </c>
      <c r="AB358"/>
      <c r="AC358" s="4878"/>
      <c r="AD358" s="3089" t="s">
        <v>12256</v>
      </c>
      <c r="AE358" s="3084" t="s">
        <v>12257</v>
      </c>
      <c r="AF358" s="3085">
        <v>92</v>
      </c>
      <c r="AG358" s="3086">
        <v>51</v>
      </c>
      <c r="AH358" s="3087">
        <v>23</v>
      </c>
      <c r="AI358"/>
      <c r="AJ358" s="4879"/>
      <c r="AK358" s="3089" t="s">
        <v>12258</v>
      </c>
      <c r="AL358" s="3084" t="s">
        <v>12259</v>
      </c>
      <c r="AM358" s="3085">
        <v>84</v>
      </c>
      <c r="AN358" s="3086">
        <v>139</v>
      </c>
      <c r="AO358" s="3087">
        <v>84</v>
      </c>
      <c r="AQ358" s="3">
        <v>1</v>
      </c>
    </row>
    <row r="359" spans="22:43" ht="21" customHeight="1">
      <c r="V359" s="4880"/>
      <c r="W359" s="3114" t="s">
        <v>12260</v>
      </c>
      <c r="X359" s="3094" t="s">
        <v>12261</v>
      </c>
      <c r="Y359" s="3095">
        <v>175</v>
      </c>
      <c r="Z359" s="3096">
        <v>175</v>
      </c>
      <c r="AA359" s="3097">
        <v>175</v>
      </c>
      <c r="AB359"/>
      <c r="AC359" s="4881"/>
      <c r="AD359" s="3100" t="s">
        <v>12262</v>
      </c>
      <c r="AE359" s="3084" t="s">
        <v>12263</v>
      </c>
      <c r="AF359" s="3085">
        <v>89</v>
      </c>
      <c r="AG359" s="3086">
        <v>51</v>
      </c>
      <c r="AH359" s="3087">
        <v>25</v>
      </c>
      <c r="AI359"/>
      <c r="AJ359" s="4882"/>
      <c r="AK359" s="3100" t="s">
        <v>12264</v>
      </c>
      <c r="AL359" s="3084" t="s">
        <v>12265</v>
      </c>
      <c r="AM359" s="3085">
        <v>20</v>
      </c>
      <c r="AN359" s="3086">
        <v>148</v>
      </c>
      <c r="AO359" s="3087">
        <v>20</v>
      </c>
      <c r="AQ359" s="3">
        <v>1</v>
      </c>
    </row>
    <row r="360" spans="22:43" ht="21" customHeight="1">
      <c r="V360" s="4883"/>
      <c r="W360" s="3093" t="s">
        <v>12266</v>
      </c>
      <c r="X360" s="3094" t="s">
        <v>12267</v>
      </c>
      <c r="Y360" s="3095">
        <v>173</v>
      </c>
      <c r="Z360" s="3096">
        <v>173</v>
      </c>
      <c r="AA360" s="3097">
        <v>173</v>
      </c>
      <c r="AB360"/>
      <c r="AC360" s="4884"/>
      <c r="AD360" s="3100" t="s">
        <v>12268</v>
      </c>
      <c r="AE360" s="3084" t="s">
        <v>12269</v>
      </c>
      <c r="AF360" s="3085">
        <v>88</v>
      </c>
      <c r="AG360" s="3086">
        <v>41</v>
      </c>
      <c r="AH360" s="3087">
        <v>0</v>
      </c>
      <c r="AI360"/>
      <c r="AJ360" s="4885"/>
      <c r="AK360" s="3100" t="s">
        <v>12270</v>
      </c>
      <c r="AL360" s="3084" t="s">
        <v>12271</v>
      </c>
      <c r="AM360" s="3085">
        <v>35</v>
      </c>
      <c r="AN360" s="3086">
        <v>142</v>
      </c>
      <c r="AO360" s="3087">
        <v>35</v>
      </c>
      <c r="AQ360" s="3">
        <v>1</v>
      </c>
    </row>
    <row r="361" spans="22:43" ht="21" customHeight="1">
      <c r="V361" s="4886"/>
      <c r="W361" s="3093" t="s">
        <v>12272</v>
      </c>
      <c r="X361" s="3094" t="s">
        <v>12273</v>
      </c>
      <c r="Y361" s="3095">
        <v>171</v>
      </c>
      <c r="Z361" s="3096">
        <v>171</v>
      </c>
      <c r="AA361" s="3097">
        <v>171</v>
      </c>
      <c r="AB361"/>
      <c r="AC361" s="4887"/>
      <c r="AD361" s="3100" t="s">
        <v>12274</v>
      </c>
      <c r="AE361" s="3084" t="s">
        <v>12275</v>
      </c>
      <c r="AF361" s="3085">
        <v>62</v>
      </c>
      <c r="AG361" s="3086">
        <v>50</v>
      </c>
      <c r="AH361" s="3087">
        <v>44</v>
      </c>
      <c r="AI361"/>
      <c r="AJ361" s="4888"/>
      <c r="AK361" s="3089" t="s">
        <v>12276</v>
      </c>
      <c r="AL361" s="3084" t="s">
        <v>12277</v>
      </c>
      <c r="AM361" s="3085">
        <v>34</v>
      </c>
      <c r="AN361" s="3086">
        <v>139</v>
      </c>
      <c r="AO361" s="3087">
        <v>34</v>
      </c>
      <c r="AQ361" s="3">
        <v>1</v>
      </c>
    </row>
    <row r="362" spans="22:43" ht="21" customHeight="1">
      <c r="V362" s="4889"/>
      <c r="W362" s="3093" t="s">
        <v>12278</v>
      </c>
      <c r="X362" s="3094" t="s">
        <v>12279</v>
      </c>
      <c r="Y362" s="3095">
        <v>168</v>
      </c>
      <c r="Z362" s="3096">
        <v>168</v>
      </c>
      <c r="AA362" s="3097">
        <v>168</v>
      </c>
      <c r="AB362"/>
      <c r="AC362" s="4890"/>
      <c r="AD362" s="3100" t="s">
        <v>12280</v>
      </c>
      <c r="AE362" s="3084" t="s">
        <v>12281</v>
      </c>
      <c r="AF362" s="3085">
        <v>66</v>
      </c>
      <c r="AG362" s="3086">
        <v>37</v>
      </c>
      <c r="AH362" s="3087">
        <v>24</v>
      </c>
      <c r="AI362"/>
      <c r="AJ362" s="4891"/>
      <c r="AK362" s="3089" t="s">
        <v>12282</v>
      </c>
      <c r="AL362" s="3084" t="s">
        <v>12283</v>
      </c>
      <c r="AM362" s="3085">
        <v>0</v>
      </c>
      <c r="AN362" s="3086">
        <v>139</v>
      </c>
      <c r="AO362" s="3087">
        <v>0</v>
      </c>
      <c r="AQ362" s="3">
        <v>1</v>
      </c>
    </row>
    <row r="363" spans="22:43" ht="21" customHeight="1">
      <c r="V363" s="4892"/>
      <c r="W363" s="3093" t="s">
        <v>12284</v>
      </c>
      <c r="X363" s="3094" t="s">
        <v>12285</v>
      </c>
      <c r="Y363" s="3095">
        <v>166</v>
      </c>
      <c r="Z363" s="3096">
        <v>166</v>
      </c>
      <c r="AA363" s="3097">
        <v>166</v>
      </c>
      <c r="AB363"/>
      <c r="AC363" s="4893"/>
      <c r="AD363" s="3100" t="s">
        <v>12286</v>
      </c>
      <c r="AE363" s="3084" t="s">
        <v>12287</v>
      </c>
      <c r="AF363" s="3085">
        <v>63</v>
      </c>
      <c r="AG363" s="3086">
        <v>34</v>
      </c>
      <c r="AH363" s="3087">
        <v>4</v>
      </c>
      <c r="AI363"/>
      <c r="AJ363" s="4894"/>
      <c r="AK363" s="3089" t="s">
        <v>12288</v>
      </c>
      <c r="AL363" s="3084" t="s">
        <v>12289</v>
      </c>
      <c r="AM363" s="3085">
        <v>0</v>
      </c>
      <c r="AN363" s="3086">
        <v>128</v>
      </c>
      <c r="AO363" s="3087">
        <v>0</v>
      </c>
      <c r="AQ363" s="3">
        <v>1</v>
      </c>
    </row>
    <row r="364" spans="22:43" ht="21" customHeight="1">
      <c r="V364" s="4895"/>
      <c r="W364" s="3093" t="s">
        <v>12290</v>
      </c>
      <c r="X364" s="3094" t="s">
        <v>12291</v>
      </c>
      <c r="Y364" s="3095">
        <v>163</v>
      </c>
      <c r="Z364" s="3096">
        <v>163</v>
      </c>
      <c r="AA364" s="3097">
        <v>163</v>
      </c>
      <c r="AB364"/>
      <c r="AC364" s="4896"/>
      <c r="AD364" s="3100" t="s">
        <v>12292</v>
      </c>
      <c r="AE364" s="3084" t="s">
        <v>12293</v>
      </c>
      <c r="AF364" s="3085">
        <v>40</v>
      </c>
      <c r="AG364" s="3086">
        <v>32</v>
      </c>
      <c r="AH364" s="3087">
        <v>28</v>
      </c>
      <c r="AI364"/>
      <c r="AJ364" s="4897"/>
      <c r="AK364" s="3089" t="s">
        <v>12294</v>
      </c>
      <c r="AL364" s="3084" t="s">
        <v>12295</v>
      </c>
      <c r="AM364" s="3085">
        <v>66</v>
      </c>
      <c r="AN364" s="3086">
        <v>111</v>
      </c>
      <c r="AO364" s="3087">
        <v>66</v>
      </c>
      <c r="AQ364" s="3">
        <v>1</v>
      </c>
    </row>
    <row r="365" spans="22:43" ht="21" customHeight="1">
      <c r="V365" s="4898"/>
      <c r="W365" s="3093" t="s">
        <v>12296</v>
      </c>
      <c r="X365" s="3094" t="s">
        <v>12297</v>
      </c>
      <c r="Y365" s="3095">
        <v>161</v>
      </c>
      <c r="Z365" s="3096">
        <v>161</v>
      </c>
      <c r="AA365" s="3097">
        <v>161</v>
      </c>
      <c r="AB365"/>
      <c r="AC365" s="4899"/>
      <c r="AD365" s="3100" t="s">
        <v>12298</v>
      </c>
      <c r="AE365" s="3084" t="s">
        <v>12299</v>
      </c>
      <c r="AF365" s="3085">
        <v>47</v>
      </c>
      <c r="AG365" s="3086">
        <v>27</v>
      </c>
      <c r="AH365" s="3087">
        <v>12</v>
      </c>
      <c r="AI365"/>
      <c r="AJ365" s="4900"/>
      <c r="AK365" s="3100" t="s">
        <v>12300</v>
      </c>
      <c r="AL365" s="3084" t="s">
        <v>12301</v>
      </c>
      <c r="AM365" s="3085">
        <v>34</v>
      </c>
      <c r="AN365" s="3086">
        <v>120</v>
      </c>
      <c r="AO365" s="3087">
        <v>15</v>
      </c>
      <c r="AQ365" s="3">
        <v>1</v>
      </c>
    </row>
    <row r="366" spans="22:43" ht="21" customHeight="1">
      <c r="V366" s="4901"/>
      <c r="W366" s="3114" t="s">
        <v>12302</v>
      </c>
      <c r="X366" s="3094" t="s">
        <v>12303</v>
      </c>
      <c r="Y366" s="3095">
        <v>158</v>
      </c>
      <c r="Z366" s="3096">
        <v>158</v>
      </c>
      <c r="AA366" s="3097">
        <v>158</v>
      </c>
      <c r="AB366"/>
      <c r="AC366" s="4902"/>
      <c r="AD366" s="3089" t="s">
        <v>12304</v>
      </c>
      <c r="AE366" s="3084" t="s">
        <v>12305</v>
      </c>
      <c r="AF366" s="3085">
        <v>127</v>
      </c>
      <c r="AG366" s="3086">
        <v>255</v>
      </c>
      <c r="AH366" s="3087">
        <v>0</v>
      </c>
      <c r="AI366"/>
      <c r="AJ366" s="4903"/>
      <c r="AK366" s="3100" t="s">
        <v>12306</v>
      </c>
      <c r="AL366" s="3084" t="s">
        <v>12307</v>
      </c>
      <c r="AM366" s="3085">
        <v>9</v>
      </c>
      <c r="AN366" s="3086">
        <v>106</v>
      </c>
      <c r="AO366" s="3087">
        <v>9</v>
      </c>
      <c r="AQ366" s="3">
        <v>1</v>
      </c>
    </row>
    <row r="367" spans="22:43" ht="21" customHeight="1">
      <c r="V367" s="4904"/>
      <c r="W367" s="3093" t="s">
        <v>12308</v>
      </c>
      <c r="X367" s="3094" t="s">
        <v>12309</v>
      </c>
      <c r="Y367" s="3095">
        <v>156</v>
      </c>
      <c r="Z367" s="3096">
        <v>156</v>
      </c>
      <c r="AA367" s="3097">
        <v>156</v>
      </c>
      <c r="AB367"/>
      <c r="AC367" s="4905"/>
      <c r="AD367" s="3089" t="s">
        <v>12310</v>
      </c>
      <c r="AE367" s="3084" t="s">
        <v>12311</v>
      </c>
      <c r="AF367" s="3085">
        <v>124</v>
      </c>
      <c r="AG367" s="3086">
        <v>252</v>
      </c>
      <c r="AH367" s="3087">
        <v>0</v>
      </c>
      <c r="AI367"/>
      <c r="AJ367" s="4906"/>
      <c r="AK367" s="3089" t="s">
        <v>12312</v>
      </c>
      <c r="AL367" s="3084" t="s">
        <v>12313</v>
      </c>
      <c r="AM367" s="3085">
        <v>0</v>
      </c>
      <c r="AN367" s="3086">
        <v>100</v>
      </c>
      <c r="AO367" s="3087">
        <v>0</v>
      </c>
      <c r="AQ367" s="3">
        <v>1</v>
      </c>
    </row>
    <row r="368" spans="22:43" ht="21" customHeight="1">
      <c r="V368" s="4907"/>
      <c r="W368" s="3093" t="s">
        <v>12314</v>
      </c>
      <c r="X368" s="3094" t="s">
        <v>12315</v>
      </c>
      <c r="Y368" s="3095">
        <v>153</v>
      </c>
      <c r="Z368" s="3096">
        <v>153</v>
      </c>
      <c r="AA368" s="3097">
        <v>153</v>
      </c>
      <c r="AB368"/>
      <c r="AC368" s="4908"/>
      <c r="AD368" s="3089" t="s">
        <v>12316</v>
      </c>
      <c r="AE368" s="3084" t="s">
        <v>12317</v>
      </c>
      <c r="AF368" s="3085">
        <v>118</v>
      </c>
      <c r="AG368" s="3086">
        <v>238</v>
      </c>
      <c r="AH368" s="3087">
        <v>0</v>
      </c>
      <c r="AI368"/>
      <c r="AJ368" s="4909"/>
      <c r="AK368" s="3089" t="s">
        <v>12312</v>
      </c>
      <c r="AL368" s="3084" t="s">
        <v>12318</v>
      </c>
      <c r="AM368" s="3085">
        <v>47</v>
      </c>
      <c r="AN368" s="3086">
        <v>79</v>
      </c>
      <c r="AO368" s="3087">
        <v>47</v>
      </c>
      <c r="AQ368" s="3">
        <v>1</v>
      </c>
    </row>
    <row r="369" spans="22:43" ht="21" customHeight="1">
      <c r="V369" s="4910"/>
      <c r="W369" s="3093" t="s">
        <v>12319</v>
      </c>
      <c r="X369" s="3094" t="s">
        <v>12320</v>
      </c>
      <c r="Y369" s="3095">
        <v>150</v>
      </c>
      <c r="Z369" s="3096">
        <v>150</v>
      </c>
      <c r="AA369" s="3097">
        <v>150</v>
      </c>
      <c r="AB369"/>
      <c r="AC369" s="4911"/>
      <c r="AD369" s="3100" t="s">
        <v>12321</v>
      </c>
      <c r="AE369" s="3084" t="s">
        <v>12322</v>
      </c>
      <c r="AF369" s="3085">
        <v>127</v>
      </c>
      <c r="AG369" s="3086">
        <v>221</v>
      </c>
      <c r="AH369" s="3087">
        <v>76</v>
      </c>
      <c r="AI369"/>
      <c r="AJ369" s="4912"/>
      <c r="AK369" s="3100" t="s">
        <v>12323</v>
      </c>
      <c r="AL369" s="3084" t="s">
        <v>12324</v>
      </c>
      <c r="AM369" s="3085">
        <v>182</v>
      </c>
      <c r="AN369" s="3086">
        <v>229</v>
      </c>
      <c r="AO369" s="3087">
        <v>175</v>
      </c>
      <c r="AQ369" s="3">
        <v>1</v>
      </c>
    </row>
    <row r="370" spans="22:43" ht="21" customHeight="1">
      <c r="V370" s="4913"/>
      <c r="W370" s="3093" t="s">
        <v>12325</v>
      </c>
      <c r="X370" s="3094" t="s">
        <v>12326</v>
      </c>
      <c r="Y370" s="3095">
        <v>148</v>
      </c>
      <c r="Z370" s="3096">
        <v>148</v>
      </c>
      <c r="AA370" s="3097">
        <v>148</v>
      </c>
      <c r="AB370"/>
      <c r="AC370" s="4914"/>
      <c r="AD370" s="3089" t="s">
        <v>12327</v>
      </c>
      <c r="AE370" s="3084" t="s">
        <v>12328</v>
      </c>
      <c r="AF370" s="3085">
        <v>102</v>
      </c>
      <c r="AG370" s="3086">
        <v>205</v>
      </c>
      <c r="AH370" s="3087">
        <v>0</v>
      </c>
      <c r="AI370"/>
      <c r="AJ370" s="4915"/>
      <c r="AK370" s="3100" t="s">
        <v>12329</v>
      </c>
      <c r="AL370" s="3084" t="s">
        <v>12330</v>
      </c>
      <c r="AM370" s="3085">
        <v>133</v>
      </c>
      <c r="AN370" s="3086">
        <v>193</v>
      </c>
      <c r="AO370" s="3087">
        <v>126</v>
      </c>
      <c r="AQ370" s="3">
        <v>1</v>
      </c>
    </row>
    <row r="371" spans="22:43" ht="21" customHeight="1">
      <c r="V371" s="4916"/>
      <c r="W371" s="3093" t="s">
        <v>12331</v>
      </c>
      <c r="X371" s="3094" t="s">
        <v>12332</v>
      </c>
      <c r="Y371" s="3095">
        <v>145</v>
      </c>
      <c r="Z371" s="3096">
        <v>145</v>
      </c>
      <c r="AA371" s="3097">
        <v>145</v>
      </c>
      <c r="AB371"/>
      <c r="AC371" s="4917"/>
      <c r="AD371" s="3089" t="s">
        <v>12333</v>
      </c>
      <c r="AE371" s="3084" t="s">
        <v>12334</v>
      </c>
      <c r="AF371" s="3085">
        <v>69</v>
      </c>
      <c r="AG371" s="3086">
        <v>139</v>
      </c>
      <c r="AH371" s="3087">
        <v>0</v>
      </c>
      <c r="AI371"/>
      <c r="AJ371" s="4918"/>
      <c r="AK371" s="3100" t="s">
        <v>12335</v>
      </c>
      <c r="AL371" s="3084" t="s">
        <v>12336</v>
      </c>
      <c r="AM371" s="3085">
        <v>87</v>
      </c>
      <c r="AN371" s="3086">
        <v>213</v>
      </c>
      <c r="AO371" s="3087">
        <v>59</v>
      </c>
      <c r="AQ371" s="3">
        <v>1</v>
      </c>
    </row>
    <row r="372" spans="22:43" ht="21" customHeight="1">
      <c r="V372" s="4919"/>
      <c r="W372" s="3093" t="s">
        <v>12337</v>
      </c>
      <c r="X372" s="3094" t="s">
        <v>12338</v>
      </c>
      <c r="Y372" s="3095">
        <v>143</v>
      </c>
      <c r="Z372" s="3096">
        <v>143</v>
      </c>
      <c r="AA372" s="3097">
        <v>143</v>
      </c>
      <c r="AB372"/>
      <c r="AC372" s="4920"/>
      <c r="AD372" s="3100" t="s">
        <v>12339</v>
      </c>
      <c r="AE372" s="3084" t="s">
        <v>12340</v>
      </c>
      <c r="AF372" s="3085">
        <v>70</v>
      </c>
      <c r="AG372" s="3086">
        <v>113</v>
      </c>
      <c r="AH372" s="3087">
        <v>41</v>
      </c>
      <c r="AI372"/>
      <c r="AJ372" s="4921"/>
      <c r="AK372" s="3100" t="s">
        <v>12341</v>
      </c>
      <c r="AL372" s="3084" t="s">
        <v>12342</v>
      </c>
      <c r="AM372" s="3085">
        <v>130</v>
      </c>
      <c r="AN372" s="3086">
        <v>196</v>
      </c>
      <c r="AO372" s="3087">
        <v>108</v>
      </c>
      <c r="AQ372" s="3">
        <v>1</v>
      </c>
    </row>
    <row r="373" spans="22:43" ht="21" customHeight="1">
      <c r="V373" s="4922"/>
      <c r="W373" s="3093" t="s">
        <v>12343</v>
      </c>
      <c r="X373" s="3094" t="s">
        <v>12344</v>
      </c>
      <c r="Y373" s="3095">
        <v>140</v>
      </c>
      <c r="Z373" s="3096">
        <v>140</v>
      </c>
      <c r="AA373" s="3097">
        <v>140</v>
      </c>
      <c r="AB373"/>
      <c r="AC373" s="4923"/>
      <c r="AD373" s="3089" t="s">
        <v>12345</v>
      </c>
      <c r="AE373" s="3084" t="s">
        <v>12346</v>
      </c>
      <c r="AF373" s="3085">
        <v>0</v>
      </c>
      <c r="AG373" s="3086">
        <v>255</v>
      </c>
      <c r="AH373" s="3087">
        <v>127</v>
      </c>
      <c r="AI373"/>
      <c r="AJ373" s="4924"/>
      <c r="AK373" s="3100" t="s">
        <v>12347</v>
      </c>
      <c r="AL373" s="3084" t="s">
        <v>12348</v>
      </c>
      <c r="AM373" s="3085">
        <v>103</v>
      </c>
      <c r="AN373" s="3086">
        <v>159</v>
      </c>
      <c r="AO373" s="3087">
        <v>90</v>
      </c>
      <c r="AQ373" s="3">
        <v>1</v>
      </c>
    </row>
    <row r="374" spans="22:43" ht="21" customHeight="1">
      <c r="V374" s="4925"/>
      <c r="W374" s="3093" t="s">
        <v>12349</v>
      </c>
      <c r="X374" s="3094" t="s">
        <v>12350</v>
      </c>
      <c r="Y374" s="3095">
        <v>138</v>
      </c>
      <c r="Z374" s="3096">
        <v>138</v>
      </c>
      <c r="AA374" s="3097">
        <v>138</v>
      </c>
      <c r="AB374"/>
      <c r="AC374" s="4926"/>
      <c r="AD374" s="3100" t="s">
        <v>12351</v>
      </c>
      <c r="AE374" s="3084" t="s">
        <v>12352</v>
      </c>
      <c r="AF374" s="3085">
        <v>84</v>
      </c>
      <c r="AG374" s="3086">
        <v>249</v>
      </c>
      <c r="AH374" s="3087">
        <v>141</v>
      </c>
      <c r="AI374"/>
      <c r="AJ374" s="4927"/>
      <c r="AK374" s="3100" t="s">
        <v>12353</v>
      </c>
      <c r="AL374" s="3084" t="s">
        <v>12354</v>
      </c>
      <c r="AM374" s="3085">
        <v>58</v>
      </c>
      <c r="AN374" s="3086">
        <v>157</v>
      </c>
      <c r="AO374" s="3087">
        <v>35</v>
      </c>
      <c r="AQ374" s="3">
        <v>1</v>
      </c>
    </row>
    <row r="375" spans="22:43" ht="21" customHeight="1">
      <c r="V375" s="4928"/>
      <c r="W375" s="3093"/>
      <c r="X375" s="3094" t="s">
        <v>12355</v>
      </c>
      <c r="Y375" s="3095">
        <v>136</v>
      </c>
      <c r="Z375" s="3096">
        <v>136</v>
      </c>
      <c r="AA375" s="3097">
        <v>136</v>
      </c>
      <c r="AB375"/>
      <c r="AC375" s="4929"/>
      <c r="AD375" s="3089" t="s">
        <v>12356</v>
      </c>
      <c r="AE375" s="3084" t="s">
        <v>12357</v>
      </c>
      <c r="AF375" s="3085">
        <v>84</v>
      </c>
      <c r="AG375" s="3086">
        <v>255</v>
      </c>
      <c r="AH375" s="3087">
        <v>159</v>
      </c>
      <c r="AI375"/>
      <c r="AJ375" s="4930"/>
      <c r="AK375" s="3100" t="s">
        <v>12358</v>
      </c>
      <c r="AL375" s="3084" t="s">
        <v>12359</v>
      </c>
      <c r="AM375" s="3085">
        <v>27</v>
      </c>
      <c r="AN375" s="3086">
        <v>79</v>
      </c>
      <c r="AO375" s="3087">
        <v>8</v>
      </c>
      <c r="AQ375" s="3">
        <v>1</v>
      </c>
    </row>
    <row r="376" spans="22:43" ht="21" customHeight="1">
      <c r="V376" s="4931"/>
      <c r="W376" s="3093" t="s">
        <v>12360</v>
      </c>
      <c r="X376" s="3094" t="s">
        <v>12361</v>
      </c>
      <c r="Y376" s="3095">
        <v>135</v>
      </c>
      <c r="Z376" s="3096">
        <v>135</v>
      </c>
      <c r="AA376" s="3097">
        <v>135</v>
      </c>
      <c r="AB376"/>
      <c r="AC376" s="4932"/>
      <c r="AD376" s="3100" t="s">
        <v>12345</v>
      </c>
      <c r="AE376" s="3084" t="s">
        <v>12362</v>
      </c>
      <c r="AF376" s="3085">
        <v>0</v>
      </c>
      <c r="AG376" s="3086">
        <v>254</v>
      </c>
      <c r="AH376" s="3087">
        <v>126</v>
      </c>
      <c r="AI376"/>
      <c r="AJ376" s="4933"/>
      <c r="AK376" s="3100" t="s">
        <v>12363</v>
      </c>
      <c r="AL376" s="3084" t="s">
        <v>12364</v>
      </c>
      <c r="AM376" s="3085">
        <v>43</v>
      </c>
      <c r="AN376" s="3086">
        <v>61</v>
      </c>
      <c r="AO376" s="3087">
        <v>38</v>
      </c>
      <c r="AQ376" s="3">
        <v>1</v>
      </c>
    </row>
    <row r="377" spans="22:43" ht="21" customHeight="1">
      <c r="V377" s="4934"/>
      <c r="W377" s="3093" t="s">
        <v>12365</v>
      </c>
      <c r="X377" s="3094" t="s">
        <v>12366</v>
      </c>
      <c r="Y377" s="3095">
        <v>133</v>
      </c>
      <c r="Z377" s="3096">
        <v>133</v>
      </c>
      <c r="AA377" s="3097">
        <v>133</v>
      </c>
      <c r="AB377"/>
      <c r="AC377" s="4935"/>
      <c r="AD377" s="3100" t="s">
        <v>12367</v>
      </c>
      <c r="AE377" s="3084" t="s">
        <v>12368</v>
      </c>
      <c r="AF377" s="3085">
        <v>178</v>
      </c>
      <c r="AG377" s="3086">
        <v>190</v>
      </c>
      <c r="AH377" s="3087">
        <v>181</v>
      </c>
      <c r="AI377"/>
      <c r="AJ377" s="4936"/>
      <c r="AK377" s="3100" t="s">
        <v>12369</v>
      </c>
      <c r="AL377" s="3084" t="s">
        <v>12370</v>
      </c>
      <c r="AM377" s="3085">
        <v>176</v>
      </c>
      <c r="AN377" s="3086">
        <v>242</v>
      </c>
      <c r="AO377" s="3087">
        <v>182</v>
      </c>
      <c r="AQ377" s="3">
        <v>1</v>
      </c>
    </row>
    <row r="378" spans="22:43" ht="21" customHeight="1">
      <c r="V378" s="4937"/>
      <c r="W378" s="3114" t="s">
        <v>12371</v>
      </c>
      <c r="X378" s="3094" t="s">
        <v>12372</v>
      </c>
      <c r="Y378" s="3095">
        <v>132</v>
      </c>
      <c r="Z378" s="3096">
        <v>132</v>
      </c>
      <c r="AA378" s="3097">
        <v>132</v>
      </c>
      <c r="AB378"/>
      <c r="AC378" s="4938"/>
      <c r="AD378" s="3089" t="s">
        <v>12373</v>
      </c>
      <c r="AE378" s="3084" t="s">
        <v>12374</v>
      </c>
      <c r="AF378" s="3085">
        <v>78</v>
      </c>
      <c r="AG378" s="3086">
        <v>238</v>
      </c>
      <c r="AH378" s="3087">
        <v>148</v>
      </c>
      <c r="AI378"/>
      <c r="AJ378" s="4939"/>
      <c r="AK378" s="3100" t="s">
        <v>12375</v>
      </c>
      <c r="AL378" s="3084" t="s">
        <v>12376</v>
      </c>
      <c r="AM378" s="3085">
        <v>1</v>
      </c>
      <c r="AN378" s="3086">
        <v>215</v>
      </c>
      <c r="AO378" s="3087">
        <v>88</v>
      </c>
      <c r="AQ378" s="3">
        <v>1</v>
      </c>
    </row>
    <row r="379" spans="22:43" ht="21" customHeight="1">
      <c r="V379" s="4940"/>
      <c r="W379" s="3093" t="s">
        <v>12377</v>
      </c>
      <c r="X379" s="3094" t="s">
        <v>12378</v>
      </c>
      <c r="Y379" s="3095">
        <v>130</v>
      </c>
      <c r="Z379" s="3096">
        <v>130</v>
      </c>
      <c r="AA379" s="3097">
        <v>130</v>
      </c>
      <c r="AB379"/>
      <c r="AC379" s="4941"/>
      <c r="AD379" s="3089" t="s">
        <v>12379</v>
      </c>
      <c r="AE379" s="3084" t="s">
        <v>12380</v>
      </c>
      <c r="AF379" s="3085">
        <v>112</v>
      </c>
      <c r="AG379" s="3086">
        <v>219</v>
      </c>
      <c r="AH379" s="3087">
        <v>147</v>
      </c>
      <c r="AI379"/>
      <c r="AJ379" s="4942"/>
      <c r="AK379" s="3100" t="s">
        <v>12381</v>
      </c>
      <c r="AL379" s="3084" t="s">
        <v>12382</v>
      </c>
      <c r="AM379" s="3085">
        <v>22</v>
      </c>
      <c r="AN379" s="3086">
        <v>184</v>
      </c>
      <c r="AO379" s="3087">
        <v>78</v>
      </c>
      <c r="AQ379" s="3">
        <v>1</v>
      </c>
    </row>
    <row r="380" spans="22:43" ht="21" customHeight="1">
      <c r="V380" s="4943"/>
      <c r="W380" s="3114" t="s">
        <v>12383</v>
      </c>
      <c r="X380" s="3094" t="s">
        <v>12384</v>
      </c>
      <c r="Y380" s="3095">
        <v>127</v>
      </c>
      <c r="Z380" s="3096">
        <v>127</v>
      </c>
      <c r="AA380" s="3097">
        <v>127</v>
      </c>
      <c r="AB380"/>
      <c r="AC380" s="4944"/>
      <c r="AD380" s="3089" t="s">
        <v>12385</v>
      </c>
      <c r="AE380" s="3084" t="s">
        <v>12386</v>
      </c>
      <c r="AF380" s="3085">
        <v>0</v>
      </c>
      <c r="AG380" s="3086">
        <v>238</v>
      </c>
      <c r="AH380" s="3087">
        <v>118</v>
      </c>
      <c r="AI380"/>
      <c r="AJ380" s="4945"/>
      <c r="AK380" s="3100" t="s">
        <v>12387</v>
      </c>
      <c r="AL380" s="3084" t="s">
        <v>12388</v>
      </c>
      <c r="AM380" s="3085">
        <v>104</v>
      </c>
      <c r="AN380" s="3086">
        <v>157</v>
      </c>
      <c r="AO380" s="3087">
        <v>113</v>
      </c>
      <c r="AQ380" s="3">
        <v>1</v>
      </c>
    </row>
    <row r="381" spans="22:43" ht="21" customHeight="1">
      <c r="V381" s="4946"/>
      <c r="W381" s="3093" t="s">
        <v>12389</v>
      </c>
      <c r="X381" s="3094" t="s">
        <v>12390</v>
      </c>
      <c r="Y381" s="3095">
        <v>125</v>
      </c>
      <c r="Z381" s="3096">
        <v>125</v>
      </c>
      <c r="AA381" s="3097">
        <v>125</v>
      </c>
      <c r="AB381"/>
      <c r="AC381" s="4947"/>
      <c r="AD381" s="3089" t="s">
        <v>12391</v>
      </c>
      <c r="AE381" s="3084" t="s">
        <v>12392</v>
      </c>
      <c r="AF381" s="3085">
        <v>67</v>
      </c>
      <c r="AG381" s="3086">
        <v>205</v>
      </c>
      <c r="AH381" s="3087">
        <v>128</v>
      </c>
      <c r="AI381"/>
      <c r="AJ381" s="4948"/>
      <c r="AK381" s="3100" t="s">
        <v>12393</v>
      </c>
      <c r="AL381" s="3084" t="s">
        <v>12394</v>
      </c>
      <c r="AM381" s="3085">
        <v>39</v>
      </c>
      <c r="AN381" s="3086">
        <v>166</v>
      </c>
      <c r="AO381" s="3087">
        <v>76</v>
      </c>
      <c r="AQ381" s="3">
        <v>1</v>
      </c>
    </row>
    <row r="382" spans="22:43" ht="21" customHeight="1">
      <c r="V382" s="4949"/>
      <c r="W382" s="3093" t="s">
        <v>12395</v>
      </c>
      <c r="X382" s="3094" t="s">
        <v>12396</v>
      </c>
      <c r="Y382" s="3095">
        <v>122</v>
      </c>
      <c r="Z382" s="3096">
        <v>122</v>
      </c>
      <c r="AA382" s="3097">
        <v>122</v>
      </c>
      <c r="AB382"/>
      <c r="AC382" s="4950"/>
      <c r="AD382" s="3089" t="s">
        <v>12397</v>
      </c>
      <c r="AE382" s="3084" t="s">
        <v>12398</v>
      </c>
      <c r="AF382" s="3085">
        <v>0</v>
      </c>
      <c r="AG382" s="3086">
        <v>205</v>
      </c>
      <c r="AH382" s="3087">
        <v>102</v>
      </c>
      <c r="AI382"/>
      <c r="AJ382" s="4951"/>
      <c r="AK382" s="3100" t="s">
        <v>12399</v>
      </c>
      <c r="AL382" s="3084" t="s">
        <v>12400</v>
      </c>
      <c r="AM382" s="3085">
        <v>53</v>
      </c>
      <c r="AN382" s="3086">
        <v>94</v>
      </c>
      <c r="AO382" s="3087">
        <v>59</v>
      </c>
      <c r="AQ382" s="3">
        <v>1</v>
      </c>
    </row>
    <row r="383" spans="22:43" ht="21" customHeight="1">
      <c r="V383" s="4952"/>
      <c r="W383" s="3093" t="s">
        <v>12401</v>
      </c>
      <c r="X383" s="3094" t="s">
        <v>12402</v>
      </c>
      <c r="Y383" s="3095">
        <v>120</v>
      </c>
      <c r="Z383" s="3096">
        <v>120</v>
      </c>
      <c r="AA383" s="3097">
        <v>120</v>
      </c>
      <c r="AB383"/>
      <c r="AC383" s="4953"/>
      <c r="AD383" s="3089" t="s">
        <v>12294</v>
      </c>
      <c r="AE383" s="3084" t="s">
        <v>12403</v>
      </c>
      <c r="AF383" s="3085">
        <v>60</v>
      </c>
      <c r="AG383" s="3086">
        <v>179</v>
      </c>
      <c r="AH383" s="3087">
        <v>113</v>
      </c>
      <c r="AI383"/>
      <c r="AJ383" s="4954"/>
      <c r="AK383" s="3100" t="s">
        <v>12404</v>
      </c>
      <c r="AL383" s="3084" t="s">
        <v>12405</v>
      </c>
      <c r="AM383" s="3085">
        <v>0</v>
      </c>
      <c r="AN383" s="3086">
        <v>86</v>
      </c>
      <c r="AO383" s="3087">
        <v>27</v>
      </c>
      <c r="AQ383" s="3">
        <v>1</v>
      </c>
    </row>
    <row r="384" spans="22:43" ht="21" customHeight="1">
      <c r="V384" s="4955"/>
      <c r="W384" s="3093"/>
      <c r="X384" s="3094" t="s">
        <v>12406</v>
      </c>
      <c r="Y384" s="3095">
        <v>119</v>
      </c>
      <c r="Z384" s="3096">
        <v>119</v>
      </c>
      <c r="AA384" s="3097">
        <v>119</v>
      </c>
      <c r="AB384"/>
      <c r="AC384" s="4956"/>
      <c r="AD384" s="3100" t="s">
        <v>12407</v>
      </c>
      <c r="AE384" s="3084" t="s">
        <v>12408</v>
      </c>
      <c r="AF384" s="3085">
        <v>76</v>
      </c>
      <c r="AG384" s="3086">
        <v>166</v>
      </c>
      <c r="AH384" s="3087">
        <v>107</v>
      </c>
      <c r="AI384"/>
      <c r="AJ384" s="4957"/>
      <c r="AK384" s="3100" t="s">
        <v>12409</v>
      </c>
      <c r="AL384" s="3084" t="s">
        <v>12410</v>
      </c>
      <c r="AM384" s="3085">
        <v>24</v>
      </c>
      <c r="AN384" s="3086">
        <v>57</v>
      </c>
      <c r="AO384" s="3087">
        <v>30</v>
      </c>
      <c r="AQ384" s="3">
        <v>1</v>
      </c>
    </row>
    <row r="385" spans="22:43" ht="21" customHeight="1">
      <c r="V385" s="4958"/>
      <c r="W385" s="3093" t="s">
        <v>12411</v>
      </c>
      <c r="X385" s="3094" t="s">
        <v>12412</v>
      </c>
      <c r="Y385" s="3095">
        <v>117</v>
      </c>
      <c r="Z385" s="3096">
        <v>117</v>
      </c>
      <c r="AA385" s="3097">
        <v>117</v>
      </c>
      <c r="AB385"/>
      <c r="AC385" s="4959"/>
      <c r="AD385" s="3100" t="s">
        <v>12413</v>
      </c>
      <c r="AE385" s="3084" t="s">
        <v>12414</v>
      </c>
      <c r="AF385" s="3085">
        <v>31</v>
      </c>
      <c r="AG385" s="3086">
        <v>160</v>
      </c>
      <c r="AH385" s="3087">
        <v>85</v>
      </c>
      <c r="AI385"/>
      <c r="AJ385" s="4960"/>
      <c r="AK385" s="3089" t="s">
        <v>12415</v>
      </c>
      <c r="AL385" s="3084" t="s">
        <v>12416</v>
      </c>
      <c r="AM385" s="3085">
        <v>191</v>
      </c>
      <c r="AN385" s="3086">
        <v>62</v>
      </c>
      <c r="AO385" s="3087">
        <v>255</v>
      </c>
      <c r="AQ385" s="3">
        <v>1</v>
      </c>
    </row>
    <row r="386" spans="22:43" ht="21" customHeight="1">
      <c r="V386" s="4961"/>
      <c r="W386" s="3093" t="s">
        <v>12417</v>
      </c>
      <c r="X386" s="3094" t="s">
        <v>12418</v>
      </c>
      <c r="Y386" s="3095">
        <v>115</v>
      </c>
      <c r="Z386" s="3096">
        <v>115</v>
      </c>
      <c r="AA386" s="3097">
        <v>115</v>
      </c>
      <c r="AB386"/>
      <c r="AC386" s="4962"/>
      <c r="AD386" s="3089" t="s">
        <v>12419</v>
      </c>
      <c r="AE386" s="3084" t="s">
        <v>12420</v>
      </c>
      <c r="AF386" s="3085">
        <v>46</v>
      </c>
      <c r="AG386" s="3086">
        <v>139</v>
      </c>
      <c r="AH386" s="3087">
        <v>87</v>
      </c>
      <c r="AI386"/>
      <c r="AJ386" s="4963"/>
      <c r="AK386" s="3089" t="s">
        <v>12421</v>
      </c>
      <c r="AL386" s="3084" t="s">
        <v>12422</v>
      </c>
      <c r="AM386" s="3085">
        <v>178</v>
      </c>
      <c r="AN386" s="3086">
        <v>58</v>
      </c>
      <c r="AO386" s="3087">
        <v>238</v>
      </c>
      <c r="AQ386" s="3">
        <v>1</v>
      </c>
    </row>
    <row r="387" spans="22:43" ht="21" customHeight="1">
      <c r="V387" s="4964"/>
      <c r="W387" s="3093" t="s">
        <v>12423</v>
      </c>
      <c r="X387" s="3094" t="s">
        <v>12424</v>
      </c>
      <c r="Y387" s="3095">
        <v>112</v>
      </c>
      <c r="Z387" s="3096">
        <v>112</v>
      </c>
      <c r="AA387" s="3097">
        <v>112</v>
      </c>
      <c r="AB387"/>
      <c r="AC387" s="4965"/>
      <c r="AD387" s="3089" t="s">
        <v>12425</v>
      </c>
      <c r="AE387" s="3084" t="s">
        <v>12426</v>
      </c>
      <c r="AF387" s="3085">
        <v>0</v>
      </c>
      <c r="AG387" s="3086">
        <v>139</v>
      </c>
      <c r="AH387" s="3087">
        <v>69</v>
      </c>
      <c r="AI387"/>
      <c r="AJ387" s="4966"/>
      <c r="AK387" s="3089" t="s">
        <v>12427</v>
      </c>
      <c r="AL387" s="3084" t="s">
        <v>12428</v>
      </c>
      <c r="AM387" s="3085">
        <v>148</v>
      </c>
      <c r="AN387" s="3086">
        <v>0</v>
      </c>
      <c r="AO387" s="3087">
        <v>211</v>
      </c>
      <c r="AQ387" s="3">
        <v>1</v>
      </c>
    </row>
    <row r="388" spans="22:43" ht="21" customHeight="1">
      <c r="V388" s="4967"/>
      <c r="W388" s="3093" t="s">
        <v>12429</v>
      </c>
      <c r="X388" s="3094" t="s">
        <v>12430</v>
      </c>
      <c r="Y388" s="3095">
        <v>110</v>
      </c>
      <c r="Z388" s="3096">
        <v>110</v>
      </c>
      <c r="AA388" s="3097">
        <v>110</v>
      </c>
      <c r="AB388"/>
      <c r="AC388" s="4968"/>
      <c r="AD388" s="3100" t="s">
        <v>12431</v>
      </c>
      <c r="AE388" s="3084" t="s">
        <v>12432</v>
      </c>
      <c r="AF388" s="3085">
        <v>56</v>
      </c>
      <c r="AG388" s="3086">
        <v>111</v>
      </c>
      <c r="AH388" s="3087">
        <v>72</v>
      </c>
      <c r="AI388"/>
      <c r="AJ388" s="4969"/>
      <c r="AK388" s="3089" t="s">
        <v>12433</v>
      </c>
      <c r="AL388" s="3084" t="s">
        <v>12434</v>
      </c>
      <c r="AM388" s="3085">
        <v>153</v>
      </c>
      <c r="AN388" s="3086">
        <v>50</v>
      </c>
      <c r="AO388" s="3087">
        <v>205</v>
      </c>
      <c r="AQ388" s="3">
        <v>1</v>
      </c>
    </row>
    <row r="389" spans="22:43" ht="21" customHeight="1">
      <c r="V389" s="4970"/>
      <c r="W389" s="3093" t="s">
        <v>12435</v>
      </c>
      <c r="X389" s="3094" t="s">
        <v>12436</v>
      </c>
      <c r="Y389" s="3095">
        <v>107</v>
      </c>
      <c r="Z389" s="3096">
        <v>107</v>
      </c>
      <c r="AA389" s="3097">
        <v>107</v>
      </c>
      <c r="AB389"/>
      <c r="AC389" s="4971"/>
      <c r="AD389" s="3100" t="s">
        <v>12437</v>
      </c>
      <c r="AE389" s="3084" t="s">
        <v>12438</v>
      </c>
      <c r="AF389" s="3085">
        <v>0</v>
      </c>
      <c r="AG389" s="3086">
        <v>98</v>
      </c>
      <c r="AH389" s="3087">
        <v>45</v>
      </c>
      <c r="AI389"/>
      <c r="AJ389" s="4972"/>
      <c r="AK389" s="3089" t="s">
        <v>12439</v>
      </c>
      <c r="AL389" s="3084" t="s">
        <v>12434</v>
      </c>
      <c r="AM389" s="3085">
        <v>154</v>
      </c>
      <c r="AN389" s="3086">
        <v>50</v>
      </c>
      <c r="AO389" s="3087">
        <v>205</v>
      </c>
      <c r="AQ389" s="3">
        <v>1</v>
      </c>
    </row>
    <row r="390" spans="22:43" ht="21" customHeight="1">
      <c r="V390" s="4973"/>
      <c r="W390" s="3093" t="s">
        <v>12440</v>
      </c>
      <c r="X390" s="3094" t="s">
        <v>12441</v>
      </c>
      <c r="Y390" s="3095">
        <v>105</v>
      </c>
      <c r="Z390" s="3096">
        <v>105</v>
      </c>
      <c r="AA390" s="3097">
        <v>105</v>
      </c>
      <c r="AB390"/>
      <c r="AC390" s="4974"/>
      <c r="AD390" s="3100" t="s">
        <v>12442</v>
      </c>
      <c r="AE390" s="3084" t="s">
        <v>12443</v>
      </c>
      <c r="AF390" s="3085">
        <v>23</v>
      </c>
      <c r="AG390" s="3086">
        <v>87</v>
      </c>
      <c r="AH390" s="3087">
        <v>50</v>
      </c>
      <c r="AI390"/>
      <c r="AJ390" s="4975"/>
      <c r="AK390" s="3089" t="s">
        <v>12444</v>
      </c>
      <c r="AL390" s="3084" t="s">
        <v>12445</v>
      </c>
      <c r="AM390" s="3085">
        <v>153</v>
      </c>
      <c r="AN390" s="3086">
        <v>50</v>
      </c>
      <c r="AO390" s="3087">
        <v>204</v>
      </c>
      <c r="AQ390" s="3">
        <v>1</v>
      </c>
    </row>
    <row r="391" spans="22:43" ht="21" customHeight="1">
      <c r="V391" s="4976"/>
      <c r="W391" s="3093" t="s">
        <v>12446</v>
      </c>
      <c r="X391" s="3094" t="s">
        <v>12447</v>
      </c>
      <c r="Y391" s="3095">
        <v>102</v>
      </c>
      <c r="Z391" s="3096">
        <v>102</v>
      </c>
      <c r="AA391" s="3097">
        <v>102</v>
      </c>
      <c r="AB391"/>
      <c r="AC391" s="4977"/>
      <c r="AD391" s="3100" t="s">
        <v>12448</v>
      </c>
      <c r="AE391" s="3084" t="s">
        <v>12449</v>
      </c>
      <c r="AF391" s="3085">
        <v>9</v>
      </c>
      <c r="AG391" s="3086">
        <v>82</v>
      </c>
      <c r="AH391" s="3087">
        <v>40</v>
      </c>
      <c r="AI391"/>
      <c r="AJ391" s="4978"/>
      <c r="AK391" s="3100" t="s">
        <v>12450</v>
      </c>
      <c r="AL391" s="3084" t="s">
        <v>12451</v>
      </c>
      <c r="AM391" s="3085">
        <v>136</v>
      </c>
      <c r="AN391" s="3086">
        <v>77</v>
      </c>
      <c r="AO391" s="3087">
        <v>167</v>
      </c>
      <c r="AQ391" s="3">
        <v>1</v>
      </c>
    </row>
    <row r="392" spans="22:43" ht="21" customHeight="1">
      <c r="V392" s="4979"/>
      <c r="W392" s="3093" t="s">
        <v>12452</v>
      </c>
      <c r="X392" s="3094" t="s">
        <v>12453</v>
      </c>
      <c r="Y392" s="3095">
        <v>99</v>
      </c>
      <c r="Z392" s="3096">
        <v>99</v>
      </c>
      <c r="AA392" s="3097">
        <v>99</v>
      </c>
      <c r="AB392"/>
      <c r="AC392" s="4980"/>
      <c r="AD392" s="3100" t="s">
        <v>12454</v>
      </c>
      <c r="AE392" s="3084" t="s">
        <v>12455</v>
      </c>
      <c r="AF392" s="3085">
        <v>23</v>
      </c>
      <c r="AG392" s="3086">
        <v>54</v>
      </c>
      <c r="AH392" s="3087">
        <v>32</v>
      </c>
      <c r="AI392"/>
      <c r="AJ392" s="4981"/>
      <c r="AK392" s="3089" t="s">
        <v>12456</v>
      </c>
      <c r="AL392" s="3084" t="s">
        <v>12457</v>
      </c>
      <c r="AM392" s="3085">
        <v>104</v>
      </c>
      <c r="AN392" s="3086">
        <v>34</v>
      </c>
      <c r="AO392" s="3087">
        <v>139</v>
      </c>
      <c r="AQ392" s="3">
        <v>1</v>
      </c>
    </row>
    <row r="393" spans="22:43" ht="21" customHeight="1">
      <c r="V393" s="4982"/>
      <c r="W393" s="3093" t="s">
        <v>12458</v>
      </c>
      <c r="X393" s="3094" t="s">
        <v>12459</v>
      </c>
      <c r="Y393" s="3095">
        <v>97</v>
      </c>
      <c r="Z393" s="3096">
        <v>97</v>
      </c>
      <c r="AA393" s="3097">
        <v>97</v>
      </c>
      <c r="AB393"/>
      <c r="AC393" s="4983"/>
      <c r="AD393" s="3100" t="s">
        <v>12460</v>
      </c>
      <c r="AE393" s="3084" t="s">
        <v>12461</v>
      </c>
      <c r="AF393" s="3085">
        <v>0</v>
      </c>
      <c r="AG393" s="3086">
        <v>49</v>
      </c>
      <c r="AH393" s="3087">
        <v>24</v>
      </c>
      <c r="AI393"/>
      <c r="AJ393" s="4984"/>
      <c r="AK393" s="3100" t="s">
        <v>12462</v>
      </c>
      <c r="AL393" s="3084" t="s">
        <v>12463</v>
      </c>
      <c r="AM393" s="3085">
        <v>18</v>
      </c>
      <c r="AN393" s="3086">
        <v>13</v>
      </c>
      <c r="AO393" s="3087">
        <v>22</v>
      </c>
      <c r="AQ393" s="3">
        <v>1</v>
      </c>
    </row>
    <row r="394" spans="22:43" ht="21" customHeight="1">
      <c r="V394" s="4985"/>
      <c r="W394" s="3114" t="s">
        <v>12011</v>
      </c>
      <c r="X394" s="3094" t="s">
        <v>12464</v>
      </c>
      <c r="Y394" s="3095">
        <v>96</v>
      </c>
      <c r="Z394" s="3096">
        <v>96</v>
      </c>
      <c r="AA394" s="3097">
        <v>96</v>
      </c>
      <c r="AB394"/>
      <c r="AC394" s="4986"/>
      <c r="AD394" s="3100" t="s">
        <v>12465</v>
      </c>
      <c r="AE394" s="3084" t="s">
        <v>12465</v>
      </c>
      <c r="AF394" s="3085">
        <v>0</v>
      </c>
      <c r="AG394" s="3086">
        <v>0</v>
      </c>
      <c r="AH394" s="3087">
        <v>0</v>
      </c>
      <c r="AI394"/>
      <c r="AJ394" s="4987"/>
      <c r="AK394" s="3089" t="s">
        <v>12466</v>
      </c>
      <c r="AL394" s="3084" t="s">
        <v>12467</v>
      </c>
      <c r="AM394" s="3085">
        <v>160</v>
      </c>
      <c r="AN394" s="3086">
        <v>32</v>
      </c>
      <c r="AO394" s="3087">
        <v>240</v>
      </c>
      <c r="AQ394" s="3">
        <v>1</v>
      </c>
    </row>
    <row r="395" spans="22:43" ht="21" customHeight="1">
      <c r="V395" s="4988"/>
      <c r="W395" s="3093" t="s">
        <v>12468</v>
      </c>
      <c r="X395" s="3094" t="s">
        <v>12469</v>
      </c>
      <c r="Y395" s="3095">
        <v>94</v>
      </c>
      <c r="Z395" s="3096">
        <v>94</v>
      </c>
      <c r="AA395" s="3097">
        <v>94</v>
      </c>
      <c r="AB395"/>
      <c r="AC395" s="4989"/>
      <c r="AD395" s="3089" t="s">
        <v>12470</v>
      </c>
      <c r="AE395" s="3084" t="s">
        <v>12471</v>
      </c>
      <c r="AF395" s="3085">
        <v>255</v>
      </c>
      <c r="AG395" s="3086">
        <v>185</v>
      </c>
      <c r="AH395" s="3087">
        <v>15</v>
      </c>
      <c r="AI395"/>
      <c r="AJ395" s="4990"/>
      <c r="AK395" s="3089"/>
      <c r="AL395" s="3084" t="s">
        <v>12472</v>
      </c>
      <c r="AM395" s="3085">
        <v>153</v>
      </c>
      <c r="AN395" s="3086">
        <v>102</v>
      </c>
      <c r="AO395" s="3087">
        <v>204</v>
      </c>
      <c r="AQ395" s="3">
        <v>1</v>
      </c>
    </row>
    <row r="396" spans="22:43" ht="21" customHeight="1">
      <c r="V396" s="4991"/>
      <c r="W396" s="3093" t="s">
        <v>12473</v>
      </c>
      <c r="X396" s="3094" t="s">
        <v>12474</v>
      </c>
      <c r="Y396" s="3095">
        <v>92</v>
      </c>
      <c r="Z396" s="3096">
        <v>92</v>
      </c>
      <c r="AA396" s="3097">
        <v>92</v>
      </c>
      <c r="AB396"/>
      <c r="AC396" s="4992"/>
      <c r="AD396" s="3089" t="s">
        <v>12475</v>
      </c>
      <c r="AE396" s="3084" t="s">
        <v>12476</v>
      </c>
      <c r="AF396" s="3085">
        <v>255</v>
      </c>
      <c r="AG396" s="3086">
        <v>193</v>
      </c>
      <c r="AH396" s="3087">
        <v>37</v>
      </c>
      <c r="AI396"/>
      <c r="AJ396" s="4993"/>
      <c r="AK396" s="3100" t="s">
        <v>11081</v>
      </c>
      <c r="AL396" s="3084" t="s">
        <v>12477</v>
      </c>
      <c r="AM396" s="3085">
        <v>136</v>
      </c>
      <c r="AN396" s="3086">
        <v>6</v>
      </c>
      <c r="AO396" s="3087">
        <v>206</v>
      </c>
      <c r="AQ396" s="3">
        <v>1</v>
      </c>
    </row>
    <row r="397" spans="22:43" ht="21" customHeight="1">
      <c r="V397" s="4994"/>
      <c r="W397" s="3093" t="s">
        <v>12478</v>
      </c>
      <c r="X397" s="3094" t="s">
        <v>12479</v>
      </c>
      <c r="Y397" s="3095">
        <v>89</v>
      </c>
      <c r="Z397" s="3096">
        <v>89</v>
      </c>
      <c r="AA397" s="3097">
        <v>89</v>
      </c>
      <c r="AB397"/>
      <c r="AC397" s="4995"/>
      <c r="AD397" s="3089" t="s">
        <v>12480</v>
      </c>
      <c r="AE397" s="3084" t="s">
        <v>12481</v>
      </c>
      <c r="AF397" s="3085">
        <v>205</v>
      </c>
      <c r="AG397" s="3086">
        <v>192</v>
      </c>
      <c r="AH397" s="3087">
        <v>176</v>
      </c>
      <c r="AI397"/>
      <c r="AJ397" s="4996"/>
      <c r="AK397" s="3089" t="s">
        <v>12482</v>
      </c>
      <c r="AL397" s="3084" t="s">
        <v>12483</v>
      </c>
      <c r="AM397" s="3085">
        <v>85</v>
      </c>
      <c r="AN397" s="3086">
        <v>26</v>
      </c>
      <c r="AO397" s="3087">
        <v>139</v>
      </c>
      <c r="AQ397" s="3">
        <v>1</v>
      </c>
    </row>
    <row r="398" spans="22:43" ht="21" customHeight="1">
      <c r="V398" s="4997"/>
      <c r="W398" s="3093" t="s">
        <v>12484</v>
      </c>
      <c r="X398" s="3094" t="s">
        <v>12485</v>
      </c>
      <c r="Y398" s="3095">
        <v>87</v>
      </c>
      <c r="Z398" s="3096">
        <v>87</v>
      </c>
      <c r="AA398" s="3097">
        <v>87</v>
      </c>
      <c r="AB398"/>
      <c r="AC398" s="4998"/>
      <c r="AD398" s="3100" t="s">
        <v>12486</v>
      </c>
      <c r="AE398" s="3084" t="s">
        <v>12487</v>
      </c>
      <c r="AF398" s="3085">
        <v>255</v>
      </c>
      <c r="AG398" s="3086">
        <v>193</v>
      </c>
      <c r="AH398" s="3087">
        <v>79</v>
      </c>
      <c r="AI398"/>
      <c r="AJ398" s="4999"/>
      <c r="AK398" s="3100" t="s">
        <v>12488</v>
      </c>
      <c r="AL398" s="3084" t="s">
        <v>12489</v>
      </c>
      <c r="AM398" s="3085">
        <v>50</v>
      </c>
      <c r="AN398" s="3086">
        <v>23</v>
      </c>
      <c r="AO398" s="3087">
        <v>77</v>
      </c>
      <c r="AQ398" s="3">
        <v>1</v>
      </c>
    </row>
    <row r="399" spans="22:43" ht="21" customHeight="1">
      <c r="V399" s="5000"/>
      <c r="W399" s="3114" t="s">
        <v>12490</v>
      </c>
      <c r="X399" s="3094" t="s">
        <v>12491</v>
      </c>
      <c r="Y399" s="3095">
        <v>85</v>
      </c>
      <c r="Z399" s="3096">
        <v>85</v>
      </c>
      <c r="AA399" s="3097">
        <v>85</v>
      </c>
      <c r="AB399"/>
      <c r="AC399" s="5001"/>
      <c r="AD399" s="3100" t="s">
        <v>12492</v>
      </c>
      <c r="AE399" s="3084" t="s">
        <v>12493</v>
      </c>
      <c r="AF399" s="3085">
        <v>255</v>
      </c>
      <c r="AG399" s="3086">
        <v>203</v>
      </c>
      <c r="AH399" s="3087">
        <v>96</v>
      </c>
      <c r="AI399"/>
      <c r="AJ399" s="5002"/>
      <c r="AK399" s="3100" t="s">
        <v>12494</v>
      </c>
      <c r="AL399" s="3084" t="s">
        <v>12495</v>
      </c>
      <c r="AM399" s="3085">
        <v>47</v>
      </c>
      <c r="AN399" s="3086">
        <v>33</v>
      </c>
      <c r="AO399" s="3087">
        <v>64</v>
      </c>
      <c r="AQ399" s="3">
        <v>1</v>
      </c>
    </row>
    <row r="400" spans="22:43" ht="21" customHeight="1">
      <c r="V400" s="5003"/>
      <c r="W400" s="3093" t="s">
        <v>9781</v>
      </c>
      <c r="X400" s="3094" t="s">
        <v>12496</v>
      </c>
      <c r="Y400" s="3095">
        <v>84</v>
      </c>
      <c r="Z400" s="3096">
        <v>84</v>
      </c>
      <c r="AA400" s="3097">
        <v>84</v>
      </c>
      <c r="AB400"/>
      <c r="AC400" s="5004"/>
      <c r="AD400" s="3089" t="s">
        <v>12497</v>
      </c>
      <c r="AE400" s="3084" t="s">
        <v>12498</v>
      </c>
      <c r="AF400" s="3085">
        <v>238</v>
      </c>
      <c r="AG400" s="3086">
        <v>197</v>
      </c>
      <c r="AH400" s="3087">
        <v>145</v>
      </c>
      <c r="AI400"/>
      <c r="AJ400" s="5005"/>
      <c r="AK400" s="3100" t="s">
        <v>12499</v>
      </c>
      <c r="AL400" s="3084" t="s">
        <v>12500</v>
      </c>
      <c r="AM400" s="3085">
        <v>201</v>
      </c>
      <c r="AN400" s="3086">
        <v>160</v>
      </c>
      <c r="AO400" s="3087">
        <v>220</v>
      </c>
      <c r="AQ400" s="3">
        <v>1</v>
      </c>
    </row>
    <row r="401" spans="1:45" ht="21" customHeight="1">
      <c r="V401" s="5006"/>
      <c r="W401" s="3093" t="s">
        <v>12501</v>
      </c>
      <c r="X401" s="3094" t="s">
        <v>12502</v>
      </c>
      <c r="Y401" s="3095">
        <v>82</v>
      </c>
      <c r="Z401" s="3096">
        <v>82</v>
      </c>
      <c r="AA401" s="3097">
        <v>82</v>
      </c>
      <c r="AB401"/>
      <c r="AC401" s="5007"/>
      <c r="AD401" s="3100" t="s">
        <v>12503</v>
      </c>
      <c r="AE401" s="3084" t="s">
        <v>12504</v>
      </c>
      <c r="AF401" s="3085">
        <v>251</v>
      </c>
      <c r="AG401" s="3086">
        <v>201</v>
      </c>
      <c r="AH401" s="3087">
        <v>127</v>
      </c>
      <c r="AI401"/>
      <c r="AJ401" s="5008"/>
      <c r="AK401" s="3100" t="s">
        <v>12505</v>
      </c>
      <c r="AL401" s="3084" t="s">
        <v>12506</v>
      </c>
      <c r="AM401" s="3085">
        <v>207</v>
      </c>
      <c r="AN401" s="3086">
        <v>160</v>
      </c>
      <c r="AO401" s="3087">
        <v>233</v>
      </c>
      <c r="AQ401" s="3">
        <v>1</v>
      </c>
    </row>
    <row r="402" spans="1:45" ht="21" customHeight="1">
      <c r="V402" s="5009"/>
      <c r="W402" s="3093" t="s">
        <v>12507</v>
      </c>
      <c r="X402" s="3094" t="s">
        <v>12508</v>
      </c>
      <c r="Y402" s="3095">
        <v>79</v>
      </c>
      <c r="Z402" s="3096">
        <v>79</v>
      </c>
      <c r="AA402" s="3097">
        <v>79</v>
      </c>
      <c r="AB402"/>
      <c r="AC402" s="5010"/>
      <c r="AD402" s="3089" t="s">
        <v>12509</v>
      </c>
      <c r="AE402" s="3084" t="s">
        <v>12510</v>
      </c>
      <c r="AF402" s="3085">
        <v>235</v>
      </c>
      <c r="AG402" s="3086">
        <v>199</v>
      </c>
      <c r="AH402" s="3087">
        <v>158</v>
      </c>
      <c r="AI402"/>
      <c r="AJ402" s="5011"/>
      <c r="AK402" s="3100" t="s">
        <v>12511</v>
      </c>
      <c r="AL402" s="3084" t="s">
        <v>12512</v>
      </c>
      <c r="AM402" s="3085">
        <v>214</v>
      </c>
      <c r="AN402" s="3086">
        <v>202</v>
      </c>
      <c r="AO402" s="3087">
        <v>221</v>
      </c>
      <c r="AQ402" s="3">
        <v>1</v>
      </c>
    </row>
    <row r="403" spans="1:45" ht="21" customHeight="1">
      <c r="V403" s="5012"/>
      <c r="W403" s="3093" t="s">
        <v>12513</v>
      </c>
      <c r="X403" s="3094" t="s">
        <v>12514</v>
      </c>
      <c r="Y403" s="3095">
        <v>77</v>
      </c>
      <c r="Z403" s="3096">
        <v>77</v>
      </c>
      <c r="AA403" s="3097">
        <v>77</v>
      </c>
      <c r="AB403"/>
      <c r="AC403" s="5013"/>
      <c r="AD403" s="3089" t="s">
        <v>12515</v>
      </c>
      <c r="AE403" s="3084" t="s">
        <v>12516</v>
      </c>
      <c r="AF403" s="3085">
        <v>238</v>
      </c>
      <c r="AG403" s="3086">
        <v>207</v>
      </c>
      <c r="AH403" s="3087">
        <v>161</v>
      </c>
      <c r="AI403"/>
      <c r="AJ403" s="5014"/>
      <c r="AK403" s="3100" t="s">
        <v>12517</v>
      </c>
      <c r="AL403" s="3084" t="s">
        <v>12518</v>
      </c>
      <c r="AM403" s="3085">
        <v>182</v>
      </c>
      <c r="AN403" s="3086">
        <v>102</v>
      </c>
      <c r="AO403" s="3087">
        <v>210</v>
      </c>
      <c r="AQ403" s="3">
        <v>1</v>
      </c>
    </row>
    <row r="404" spans="1:45" ht="21" customHeight="1">
      <c r="V404" s="5015"/>
      <c r="W404" s="5016"/>
      <c r="X404" s="5016"/>
      <c r="Y404" s="5017"/>
      <c r="Z404" s="5018"/>
      <c r="AA404" s="5018"/>
      <c r="AB404"/>
      <c r="AC404" s="5019"/>
      <c r="AD404" s="3089" t="s">
        <v>12519</v>
      </c>
      <c r="AE404" s="3084" t="s">
        <v>12520</v>
      </c>
      <c r="AF404" s="3085">
        <v>255</v>
      </c>
      <c r="AG404" s="3086">
        <v>211</v>
      </c>
      <c r="AH404" s="3087">
        <v>155</v>
      </c>
      <c r="AI404"/>
      <c r="AJ404" s="5020"/>
      <c r="AK404" s="5021" t="s">
        <v>12521</v>
      </c>
      <c r="AL404" s="5022" t="s">
        <v>12522</v>
      </c>
      <c r="AM404" s="5023">
        <v>64</v>
      </c>
      <c r="AN404" s="5024">
        <v>26</v>
      </c>
      <c r="AO404" s="5025">
        <v>76</v>
      </c>
      <c r="AQ404" s="3">
        <v>1</v>
      </c>
    </row>
    <row r="405" spans="1:45" ht="21" customHeight="1">
      <c r="V405" s="5026">
        <v>9</v>
      </c>
      <c r="W405" s="5026">
        <v>23</v>
      </c>
      <c r="X405" s="5026">
        <v>37</v>
      </c>
      <c r="Y405" s="5026">
        <v>8</v>
      </c>
      <c r="Z405" s="5026">
        <v>8</v>
      </c>
      <c r="AA405" s="5026">
        <v>8</v>
      </c>
      <c r="AB405"/>
      <c r="AC405" s="5026">
        <v>9</v>
      </c>
      <c r="AD405" s="5026">
        <v>23</v>
      </c>
      <c r="AE405" s="5026">
        <v>37</v>
      </c>
      <c r="AF405" s="5026">
        <v>8</v>
      </c>
      <c r="AG405" s="5026">
        <v>8</v>
      </c>
      <c r="AH405" s="5026">
        <v>8</v>
      </c>
      <c r="AI405"/>
      <c r="AJ405" s="5026">
        <v>9</v>
      </c>
      <c r="AK405" s="5026">
        <v>23</v>
      </c>
      <c r="AL405" s="5026">
        <v>37</v>
      </c>
      <c r="AM405" s="5026">
        <v>8</v>
      </c>
      <c r="AN405" s="5026">
        <v>8</v>
      </c>
      <c r="AO405" s="5026">
        <v>8</v>
      </c>
      <c r="AQ405" s="3">
        <v>1</v>
      </c>
    </row>
    <row r="406" spans="1:45" ht="21" customHeight="1">
      <c r="V406" s="5027">
        <f t="shared" ref="V406:AA406" ca="1" si="6">CELL("largeur",V406)</f>
        <v>9</v>
      </c>
      <c r="W406" s="5027">
        <f t="shared" ca="1" si="6"/>
        <v>23</v>
      </c>
      <c r="X406" s="5027">
        <f t="shared" ca="1" si="6"/>
        <v>37</v>
      </c>
      <c r="Y406" s="5027">
        <f t="shared" ca="1" si="6"/>
        <v>8</v>
      </c>
      <c r="Z406" s="5027">
        <f t="shared" ca="1" si="6"/>
        <v>8</v>
      </c>
      <c r="AA406" s="5027">
        <f t="shared" ca="1" si="6"/>
        <v>8</v>
      </c>
      <c r="AB406"/>
      <c r="AC406" s="5027">
        <f t="shared" ref="AC406:AH406" ca="1" si="7">CELL("largeur",AC406)</f>
        <v>9</v>
      </c>
      <c r="AD406" s="5027">
        <f t="shared" ca="1" si="7"/>
        <v>23</v>
      </c>
      <c r="AE406" s="5027">
        <f t="shared" ca="1" si="7"/>
        <v>37</v>
      </c>
      <c r="AF406" s="5027">
        <f t="shared" ca="1" si="7"/>
        <v>8</v>
      </c>
      <c r="AG406" s="5027">
        <f t="shared" ca="1" si="7"/>
        <v>8</v>
      </c>
      <c r="AH406" s="5027">
        <f t="shared" ca="1" si="7"/>
        <v>8</v>
      </c>
      <c r="AI406"/>
      <c r="AJ406" s="5027">
        <f t="shared" ref="AJ406:AO406" ca="1" si="8">CELL("largeur",AJ406)</f>
        <v>9</v>
      </c>
      <c r="AK406" s="5027">
        <f t="shared" ca="1" si="8"/>
        <v>23</v>
      </c>
      <c r="AL406" s="5027">
        <f t="shared" ca="1" si="8"/>
        <v>37</v>
      </c>
      <c r="AM406" s="5027">
        <f t="shared" ca="1" si="8"/>
        <v>8</v>
      </c>
      <c r="AN406" s="5027">
        <f t="shared" ca="1" si="8"/>
        <v>8</v>
      </c>
      <c r="AO406" s="5027">
        <f t="shared" ca="1" si="8"/>
        <v>8</v>
      </c>
      <c r="AQ406" s="3">
        <v>1</v>
      </c>
    </row>
    <row r="407" spans="1:45" ht="21" customHeight="1">
      <c r="AQ407" s="708" t="s">
        <v>823</v>
      </c>
      <c r="AR407" s="856"/>
      <c r="AS407" s="856"/>
    </row>
    <row r="408" spans="1:45" ht="21" customHeight="1">
      <c r="A408" s="3">
        <v>1</v>
      </c>
      <c r="B408" s="3">
        <v>1</v>
      </c>
      <c r="C408" s="3">
        <v>1</v>
      </c>
      <c r="D408" s="3">
        <v>1</v>
      </c>
      <c r="E408" s="3">
        <v>1</v>
      </c>
      <c r="F408" s="3">
        <v>1</v>
      </c>
      <c r="G408" s="3">
        <v>1</v>
      </c>
      <c r="H408" s="3">
        <v>1</v>
      </c>
      <c r="I408" s="3">
        <v>1</v>
      </c>
      <c r="J408" s="3">
        <v>1</v>
      </c>
      <c r="K408" s="3">
        <v>1</v>
      </c>
      <c r="L408" s="3">
        <v>1</v>
      </c>
      <c r="M408" s="3">
        <v>1</v>
      </c>
      <c r="N408" s="3">
        <v>1</v>
      </c>
      <c r="O408" s="3">
        <v>1</v>
      </c>
      <c r="P408" s="3">
        <v>1</v>
      </c>
      <c r="Q408" s="3">
        <v>1</v>
      </c>
      <c r="R408" s="3">
        <v>1</v>
      </c>
      <c r="S408" s="3">
        <v>1</v>
      </c>
      <c r="T408" s="3">
        <v>1</v>
      </c>
      <c r="U408" s="3">
        <v>1</v>
      </c>
      <c r="V408" s="3">
        <v>1</v>
      </c>
      <c r="W408" s="3">
        <v>1</v>
      </c>
      <c r="X408" s="3">
        <v>1</v>
      </c>
      <c r="Y408" s="3">
        <v>1</v>
      </c>
      <c r="Z408" s="3">
        <v>1</v>
      </c>
      <c r="AA408" s="3">
        <v>1</v>
      </c>
      <c r="AB408" s="3">
        <v>1</v>
      </c>
      <c r="AC408" s="3">
        <v>1</v>
      </c>
      <c r="AD408" s="3">
        <v>1</v>
      </c>
      <c r="AE408" s="3">
        <v>1</v>
      </c>
      <c r="AF408" s="3">
        <v>1</v>
      </c>
      <c r="AG408" s="3">
        <v>1</v>
      </c>
      <c r="AH408" s="3">
        <v>1</v>
      </c>
      <c r="AI408" s="3">
        <v>1</v>
      </c>
      <c r="AJ408" s="3">
        <v>1</v>
      </c>
      <c r="AK408" s="3">
        <v>1</v>
      </c>
      <c r="AL408" s="3">
        <v>1</v>
      </c>
      <c r="AM408" s="3">
        <v>1</v>
      </c>
      <c r="AN408" s="3">
        <v>1</v>
      </c>
      <c r="AO408" s="3">
        <v>1</v>
      </c>
      <c r="AP408" s="3">
        <v>1</v>
      </c>
      <c r="AQ408" s="1" t="str">
        <f>ADDRESS(ROW(),COLUMN(),4)</f>
        <v>AQ408</v>
      </c>
      <c r="AR408" s="710"/>
      <c r="AS408" s="711" t="str">
        <f>ADDRESS(ROW(),COLUMN(),4)</f>
        <v>AS408</v>
      </c>
    </row>
  </sheetData>
  <mergeCells count="35">
    <mergeCell ref="B31:C32"/>
    <mergeCell ref="E31:F32"/>
    <mergeCell ref="H31:I31"/>
    <mergeCell ref="H32:I32"/>
    <mergeCell ref="B34:C35"/>
    <mergeCell ref="E34:F35"/>
    <mergeCell ref="H24:I24"/>
    <mergeCell ref="B25:C26"/>
    <mergeCell ref="E25:F26"/>
    <mergeCell ref="H26:I26"/>
    <mergeCell ref="B28:C29"/>
    <mergeCell ref="E28:F29"/>
    <mergeCell ref="H29:I29"/>
    <mergeCell ref="B22:C23"/>
    <mergeCell ref="E22:F23"/>
    <mergeCell ref="H22:I22"/>
    <mergeCell ref="K22:T22"/>
    <mergeCell ref="B13:C14"/>
    <mergeCell ref="E13:F14"/>
    <mergeCell ref="H13:I13"/>
    <mergeCell ref="H14:I16"/>
    <mergeCell ref="B16:C17"/>
    <mergeCell ref="E16:F17"/>
    <mergeCell ref="H18:I19"/>
    <mergeCell ref="B19:C20"/>
    <mergeCell ref="E19:F20"/>
    <mergeCell ref="K20:R21"/>
    <mergeCell ref="H21:I21"/>
    <mergeCell ref="AD7:AF7"/>
    <mergeCell ref="B8:C9"/>
    <mergeCell ref="E8:F9"/>
    <mergeCell ref="AD9:AF9"/>
    <mergeCell ref="B10:C11"/>
    <mergeCell ref="K11:R11"/>
    <mergeCell ref="AD11:AF11"/>
  </mergeCells>
  <hyperlinks>
    <hyperlink ref="K20" r:id="rId1" xr:uid="{87CCA6B7-AC3B-4EE8-9B41-2A040204AF4C}"/>
    <hyperlink ref="AD13" r:id="rId2" xr:uid="{D99020B4-6F69-42BC-A8D0-4EFE519F75F8}"/>
    <hyperlink ref="AD15" r:id="rId3" xr:uid="{96EEC71E-83CC-43BE-B904-5432A64C8EE0}"/>
    <hyperlink ref="AD17" r:id="rId4" xr:uid="{85917356-4810-4976-80F3-FAC698749D60}"/>
    <hyperlink ref="AD19" r:id="rId5" xr:uid="{C6EFB186-B0F7-46D1-A1BF-C45A891526D4}"/>
    <hyperlink ref="AD9" r:id="rId6" xr:uid="{83018EA8-A28B-4BFC-8326-1ADDB20195FC}"/>
    <hyperlink ref="AD7" r:id="rId7" xr:uid="{E6C28B33-6A12-411F-9F51-1A5CAB6721E9}"/>
    <hyperlink ref="AD11" r:id="rId8" xr:uid="{21836BA0-8625-4B20-8387-B1D06B767AA7}"/>
    <hyperlink ref="AD21" r:id="rId9" xr:uid="{2EE6AA3D-3077-4F2C-B699-0CC82F537E7A}"/>
    <hyperlink ref="K54" r:id="rId10" xr:uid="{E6C105A9-B30C-40F7-96C4-A2AD81DE409D}"/>
    <hyperlink ref="V16" r:id="rId11" xr:uid="{89B23D4C-BAF1-4110-9EF3-C49A77D68BAF}"/>
    <hyperlink ref="V15" r:id="rId12" xr:uid="{652F3500-976A-499D-89A3-87ECA1446E24}"/>
    <hyperlink ref="V19" r:id="rId13" xr:uid="{717F4C3D-6B01-480D-ABE9-B12BB4F1C590}"/>
  </hyperlinks>
  <pageMargins left="0.7" right="0.7" top="0.75" bottom="0.75" header="0.3" footer="0.3"/>
  <pageSetup paperSize="9" orientation="portrait" r:id="rId1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188B4F-02F1-4A02-BDD7-F9D1D5E5B6A0}">
  <dimension ref="A1:AN282"/>
  <sheetViews>
    <sheetView zoomScale="75" zoomScaleNormal="75" workbookViewId="0">
      <selection activeCell="K20" sqref="K20"/>
    </sheetView>
  </sheetViews>
  <sheetFormatPr baseColWidth="10" defaultColWidth="11.42578125" defaultRowHeight="15"/>
  <cols>
    <col min="1" max="1" width="11.42578125" style="1186"/>
    <col min="2" max="2" width="18.7109375" style="1186" customWidth="1"/>
    <col min="3" max="3" width="19.5703125" style="1186" customWidth="1"/>
    <col min="4" max="4" width="16" style="1186" customWidth="1"/>
    <col min="5" max="5" width="11.42578125" style="1186"/>
    <col min="6" max="6" width="15.42578125" style="1186" customWidth="1"/>
    <col min="7" max="7" width="12" style="1186" bestFit="1" customWidth="1"/>
    <col min="8" max="8" width="17.140625" style="1186" customWidth="1"/>
    <col min="9" max="12" width="11.42578125" style="1186"/>
    <col min="13" max="13" width="18.5703125" style="1186" customWidth="1"/>
    <col min="14" max="14" width="11.42578125" style="1186"/>
    <col min="15" max="15" width="19.5703125" style="1186" customWidth="1"/>
    <col min="16" max="16" width="14.140625" style="1186" bestFit="1" customWidth="1"/>
    <col min="17" max="19" width="11.42578125" style="1186"/>
    <col min="20" max="21" width="11.7109375" style="1186" bestFit="1" customWidth="1"/>
    <col min="22" max="22" width="18.140625" style="1186" customWidth="1"/>
    <col min="23" max="25" width="16" style="1186" customWidth="1"/>
    <col min="26" max="26" width="14.28515625" style="1186" customWidth="1"/>
    <col min="27" max="27" width="15.28515625" style="1186" customWidth="1"/>
    <col min="28" max="28" width="16" style="1186" customWidth="1"/>
    <col min="29" max="29" width="14.140625" style="1186" customWidth="1"/>
    <col min="30" max="37" width="11.42578125" style="1186"/>
    <col min="38" max="38" width="7.5703125" style="852" customWidth="1"/>
    <col min="39" max="39" width="11.42578125" style="709"/>
    <col min="40" max="40" width="56.42578125" style="709" customWidth="1"/>
    <col min="41" max="16384" width="11.42578125" style="1186"/>
  </cols>
  <sheetData>
    <row r="1" spans="1:40" ht="30" customHeight="1">
      <c r="A1" s="1" t="str">
        <f>ADDRESS(ROW(),COLUMN(),4)</f>
        <v>A1</v>
      </c>
      <c r="B1" s="1181"/>
      <c r="C1" s="1181"/>
      <c r="D1" s="1181"/>
      <c r="E1" s="1181"/>
      <c r="F1" s="1181"/>
      <c r="G1" s="1181"/>
      <c r="H1" s="1181"/>
      <c r="I1" s="1181"/>
      <c r="J1" s="1181"/>
      <c r="K1" s="1181"/>
      <c r="L1" s="1181"/>
      <c r="M1" s="1181"/>
      <c r="N1" s="1181"/>
      <c r="O1" s="1181"/>
      <c r="P1" s="1182"/>
      <c r="Q1" s="1182"/>
      <c r="R1" s="1182"/>
      <c r="S1" s="1182"/>
      <c r="T1" s="1182"/>
      <c r="U1" s="1183"/>
      <c r="V1" s="1183"/>
      <c r="W1" s="1183"/>
      <c r="X1" s="1183"/>
      <c r="Y1" s="1183"/>
      <c r="Z1" s="1183"/>
      <c r="AA1" s="1183"/>
      <c r="AB1" s="1183"/>
      <c r="AC1" s="1183"/>
      <c r="AD1" s="1183"/>
      <c r="AE1" s="1183"/>
      <c r="AF1" s="1183"/>
      <c r="AG1" s="1183"/>
      <c r="AH1" s="1183"/>
      <c r="AI1" s="1183"/>
      <c r="AJ1" s="1184"/>
      <c r="AK1" s="1184"/>
      <c r="AL1" s="1185">
        <v>1</v>
      </c>
      <c r="AM1" s="879" t="str">
        <f>SUBSTITUTE(ADDRESS(1,COLUMN(),4),"1","")</f>
        <v>AM</v>
      </c>
      <c r="AN1" s="880" t="str">
        <f>SUBSTITUTE(ADDRESS(1,COLUMN(),4),"1","")</f>
        <v>AN</v>
      </c>
    </row>
    <row r="2" spans="1:40" ht="30" customHeight="1">
      <c r="A2" s="1181"/>
      <c r="B2" s="1209" t="s">
        <v>3290</v>
      </c>
      <c r="C2" s="1181"/>
      <c r="D2" s="1181"/>
      <c r="E2" s="1181"/>
      <c r="F2" s="1181"/>
      <c r="G2" s="1181"/>
      <c r="H2" s="1181"/>
      <c r="I2" s="1181"/>
      <c r="J2" s="1181"/>
      <c r="K2" s="1181"/>
      <c r="L2" s="1181"/>
      <c r="M2" s="1181"/>
      <c r="N2" s="1181"/>
      <c r="O2" s="1181"/>
      <c r="P2" s="1182"/>
      <c r="Q2" s="1182"/>
      <c r="R2" s="1182"/>
      <c r="S2" s="1182"/>
      <c r="T2" s="1182"/>
      <c r="U2" s="1183"/>
      <c r="V2" s="1183"/>
      <c r="W2" s="1183"/>
      <c r="X2" s="1183"/>
      <c r="Y2" s="1183"/>
      <c r="Z2" s="1183"/>
      <c r="AA2" s="1183"/>
      <c r="AB2" s="1183"/>
      <c r="AC2" s="1183"/>
      <c r="AD2" s="1183"/>
      <c r="AE2" s="1183"/>
      <c r="AF2" s="1183"/>
      <c r="AG2" s="1183"/>
      <c r="AH2" s="1183"/>
      <c r="AI2" s="1183"/>
      <c r="AJ2" s="1184"/>
      <c r="AK2" s="1184"/>
      <c r="AL2" s="1185">
        <v>1</v>
      </c>
      <c r="AM2" s="1188"/>
      <c r="AN2" s="1188" t="s">
        <v>3264</v>
      </c>
    </row>
    <row r="3" spans="1:40" ht="30" customHeight="1">
      <c r="A3" s="1181"/>
      <c r="B3" s="1209" t="s">
        <v>3291</v>
      </c>
      <c r="C3" s="1181"/>
      <c r="D3" s="1181"/>
      <c r="E3" s="1181"/>
      <c r="F3" s="1181"/>
      <c r="G3" s="1181"/>
      <c r="H3" s="1181"/>
      <c r="I3" s="1181"/>
      <c r="J3" s="1181"/>
      <c r="K3" s="1181"/>
      <c r="L3" s="1181"/>
      <c r="M3" s="1181"/>
      <c r="N3" s="1181"/>
      <c r="O3" s="1181"/>
      <c r="P3" s="1182"/>
      <c r="Q3" s="1182"/>
      <c r="R3" s="1182"/>
      <c r="S3" s="1182"/>
      <c r="T3" s="1182"/>
      <c r="U3" s="1183"/>
      <c r="V3" s="1183"/>
      <c r="W3" s="1183"/>
      <c r="X3" s="1183"/>
      <c r="Y3" s="1183"/>
      <c r="Z3" s="1183"/>
      <c r="AA3" s="1183"/>
      <c r="AB3" s="1183"/>
      <c r="AC3" s="1183"/>
      <c r="AD3" s="1183"/>
      <c r="AE3" s="1183"/>
      <c r="AF3" s="1183"/>
      <c r="AG3" s="1183"/>
      <c r="AH3" s="1183"/>
      <c r="AI3" s="1183"/>
      <c r="AJ3" s="1184"/>
      <c r="AK3" s="1184"/>
      <c r="AL3" s="1185">
        <v>1</v>
      </c>
      <c r="AM3" s="1192">
        <f ca="1">COUNTA(A1:AL282) + COUNTBLANK(A1:AL282)</f>
        <v>10717</v>
      </c>
      <c r="AN3" s="1188" t="str">
        <f>"celdas entre"&amp;" " &amp;A1&amp;" et  "&amp;AL282</f>
        <v>celdas entre A1 et  AL282</v>
      </c>
    </row>
    <row r="4" spans="1:40" ht="30" customHeight="1">
      <c r="A4" s="1181"/>
      <c r="B4" s="1209" t="s">
        <v>3292</v>
      </c>
      <c r="C4" s="1181"/>
      <c r="D4" s="1181"/>
      <c r="E4" s="1181"/>
      <c r="F4" s="1181"/>
      <c r="G4" s="1181"/>
      <c r="H4" s="1181"/>
      <c r="I4" s="1181"/>
      <c r="J4" s="1181"/>
      <c r="K4" s="1181"/>
      <c r="L4" s="1181"/>
      <c r="M4" s="1181"/>
      <c r="N4" s="1181"/>
      <c r="O4" s="1181"/>
      <c r="P4" s="1182"/>
      <c r="Q4" s="1182"/>
      <c r="R4" s="1182"/>
      <c r="S4" s="1182"/>
      <c r="T4" s="1182"/>
      <c r="U4" s="1183"/>
      <c r="V4" s="1183"/>
      <c r="W4" s="1183"/>
      <c r="X4" s="1183"/>
      <c r="Y4" s="1183"/>
      <c r="Z4" s="1183"/>
      <c r="AA4" s="1183"/>
      <c r="AB4" s="1183"/>
      <c r="AC4" s="1183"/>
      <c r="AD4" s="1183"/>
      <c r="AE4" s="1183"/>
      <c r="AF4" s="1183"/>
      <c r="AG4" s="1183"/>
      <c r="AH4" s="1183"/>
      <c r="AI4" s="1183"/>
      <c r="AJ4" s="1184"/>
      <c r="AK4" s="1184"/>
      <c r="AL4" s="1185">
        <v>1</v>
      </c>
      <c r="AM4" s="1192">
        <f ca="1">COUNTA(A1:AL282)</f>
        <v>962</v>
      </c>
      <c r="AN4" s="1188" t="s">
        <v>3265</v>
      </c>
    </row>
    <row r="5" spans="1:40" ht="30" customHeight="1">
      <c r="A5" s="1181"/>
      <c r="B5" s="1209" t="s">
        <v>3293</v>
      </c>
      <c r="C5" s="1181"/>
      <c r="D5" s="1181"/>
      <c r="E5" s="1181"/>
      <c r="F5" s="1181"/>
      <c r="G5" s="1181"/>
      <c r="H5" s="1181"/>
      <c r="I5" s="1181"/>
      <c r="J5" s="1181"/>
      <c r="K5" s="1181"/>
      <c r="L5" s="1181"/>
      <c r="M5" s="1181"/>
      <c r="N5" s="1181"/>
      <c r="O5" s="1181"/>
      <c r="P5" s="1182"/>
      <c r="Q5" s="1182"/>
      <c r="R5" s="1182"/>
      <c r="S5" s="1182"/>
      <c r="T5" s="1182"/>
      <c r="U5" s="1183"/>
      <c r="V5" s="1183"/>
      <c r="W5" s="1183"/>
      <c r="X5" s="1183"/>
      <c r="Y5" s="1183"/>
      <c r="Z5" s="1183"/>
      <c r="AA5" s="1183"/>
      <c r="AB5" s="1183"/>
      <c r="AC5" s="1183"/>
      <c r="AD5" s="1183"/>
      <c r="AE5" s="1183"/>
      <c r="AF5" s="1183"/>
      <c r="AG5" s="1183"/>
      <c r="AH5" s="1183"/>
      <c r="AI5" s="1183"/>
      <c r="AJ5" s="1184"/>
      <c r="AK5" s="1184"/>
      <c r="AL5" s="1185">
        <v>1</v>
      </c>
      <c r="AM5" s="1192">
        <f ca="1">COUNTBLANK(A1:AL282)</f>
        <v>9755</v>
      </c>
      <c r="AN5" s="1188" t="s">
        <v>3266</v>
      </c>
    </row>
    <row r="6" spans="1:40" ht="30" customHeight="1">
      <c r="A6" s="1181"/>
      <c r="B6" s="1209" t="s">
        <v>3294</v>
      </c>
      <c r="C6" s="1181"/>
      <c r="D6" s="1181"/>
      <c r="E6" s="1181"/>
      <c r="F6" s="1181"/>
      <c r="G6" s="1181"/>
      <c r="H6" s="1181"/>
      <c r="I6" s="1181"/>
      <c r="J6" s="1181"/>
      <c r="K6" s="1181"/>
      <c r="L6" s="1181"/>
      <c r="M6" s="1181"/>
      <c r="N6" s="1181"/>
      <c r="O6" s="1181"/>
      <c r="P6" s="1182"/>
      <c r="Q6" s="1182"/>
      <c r="R6" s="1182"/>
      <c r="S6" s="1182"/>
      <c r="T6" s="1182"/>
      <c r="U6" s="1183"/>
      <c r="V6" s="1183"/>
      <c r="W6" s="1183"/>
      <c r="X6" s="1183"/>
      <c r="Y6" s="1183"/>
      <c r="Z6" s="1183"/>
      <c r="AA6" s="1183"/>
      <c r="AB6" s="1183"/>
      <c r="AC6" s="1183"/>
      <c r="AD6" s="1183"/>
      <c r="AE6" s="1183"/>
      <c r="AF6" s="1183"/>
      <c r="AG6" s="1183"/>
      <c r="AH6" s="1183"/>
      <c r="AI6" s="1183"/>
      <c r="AJ6" s="1184"/>
      <c r="AK6" s="1184"/>
      <c r="AL6" s="1185">
        <v>1</v>
      </c>
      <c r="AM6" s="1192">
        <f>SUM(AL1:AL280)+2</f>
        <v>282</v>
      </c>
      <c r="AN6" s="1188" t="s">
        <v>3267</v>
      </c>
    </row>
    <row r="7" spans="1:40" ht="30" customHeight="1">
      <c r="A7" s="1181"/>
      <c r="B7" s="1181"/>
      <c r="C7" s="1181"/>
      <c r="D7" s="1181"/>
      <c r="E7" s="1181"/>
      <c r="F7" s="1181"/>
      <c r="G7" s="1181"/>
      <c r="H7" s="1181"/>
      <c r="I7" s="1181"/>
      <c r="J7" s="1181"/>
      <c r="K7" s="1181"/>
      <c r="L7" s="1181"/>
      <c r="M7" s="1181"/>
      <c r="N7" s="1181"/>
      <c r="O7" s="1181"/>
      <c r="P7" s="1182"/>
      <c r="Q7" s="1182"/>
      <c r="R7" s="1182"/>
      <c r="S7" s="1182"/>
      <c r="T7" s="1182"/>
      <c r="U7" s="1183"/>
      <c r="V7" s="1183"/>
      <c r="W7" s="1183"/>
      <c r="X7" s="1183"/>
      <c r="Y7" s="1183"/>
      <c r="Z7" s="1183"/>
      <c r="AA7" s="1183"/>
      <c r="AB7" s="1183"/>
      <c r="AC7" s="1183"/>
      <c r="AD7" s="1183"/>
      <c r="AE7" s="1183"/>
      <c r="AF7" s="1183"/>
      <c r="AG7" s="1183"/>
      <c r="AH7" s="1183"/>
      <c r="AI7" s="1183"/>
      <c r="AJ7" s="1184"/>
      <c r="AK7" s="1184"/>
      <c r="AL7" s="1185">
        <v>1</v>
      </c>
      <c r="AM7" s="1192">
        <f>SUM(A282:AK282)+1</f>
        <v>38</v>
      </c>
      <c r="AN7" s="1188" t="s">
        <v>3268</v>
      </c>
    </row>
    <row r="8" spans="1:40" ht="30" customHeight="1">
      <c r="A8" s="1181"/>
      <c r="B8" s="1187" t="s">
        <v>3062</v>
      </c>
      <c r="C8" s="1181"/>
      <c r="D8" s="1181"/>
      <c r="E8" s="1181"/>
      <c r="F8" s="1181"/>
      <c r="G8" s="1181"/>
      <c r="H8" s="1181"/>
      <c r="I8" s="1182"/>
      <c r="J8" s="1181"/>
      <c r="K8" s="1181"/>
      <c r="L8" s="1181"/>
      <c r="M8" s="1181"/>
      <c r="N8" s="1181"/>
      <c r="O8" s="1182"/>
      <c r="P8" s="1182"/>
      <c r="Q8" s="1182"/>
      <c r="R8" s="1182"/>
      <c r="S8" s="1182"/>
      <c r="T8" s="1183"/>
      <c r="U8" s="1183"/>
      <c r="V8" s="1183"/>
      <c r="W8" s="1183"/>
      <c r="X8" s="5392" t="s">
        <v>3078</v>
      </c>
      <c r="Y8" s="5392"/>
      <c r="Z8" s="5392"/>
      <c r="AA8" s="5392"/>
      <c r="AB8" s="5392"/>
      <c r="AC8" s="5392"/>
      <c r="AD8" s="1183"/>
      <c r="AE8" s="1183"/>
      <c r="AF8" s="1183"/>
      <c r="AG8" s="1183"/>
      <c r="AH8" s="1183"/>
      <c r="AI8" s="1183"/>
      <c r="AJ8" s="1184"/>
      <c r="AK8" s="1184"/>
      <c r="AL8" s="1185">
        <v>1</v>
      </c>
    </row>
    <row r="9" spans="1:40" ht="30" customHeight="1">
      <c r="A9" s="1181"/>
      <c r="B9" s="1189" t="s">
        <v>3063</v>
      </c>
      <c r="C9" s="1190"/>
      <c r="D9" s="1181"/>
      <c r="E9" s="1181"/>
      <c r="F9" s="1181"/>
      <c r="G9" s="1181"/>
      <c r="H9" s="1181"/>
      <c r="I9" s="1182"/>
      <c r="J9" s="1181"/>
      <c r="K9" s="1181"/>
      <c r="L9" s="1181"/>
      <c r="M9" s="1181"/>
      <c r="N9" s="1181"/>
      <c r="O9" s="1182"/>
      <c r="P9" s="1182"/>
      <c r="Q9" s="1182"/>
      <c r="R9" s="1182"/>
      <c r="S9" s="1182"/>
      <c r="T9" s="1183"/>
      <c r="U9" s="1183"/>
      <c r="V9" s="1191"/>
      <c r="W9" s="1191"/>
      <c r="X9" s="5392"/>
      <c r="Y9" s="5392"/>
      <c r="Z9" s="5392"/>
      <c r="AA9" s="5392"/>
      <c r="AB9" s="5392"/>
      <c r="AC9" s="5392"/>
      <c r="AD9" s="1183"/>
      <c r="AE9" s="1183"/>
      <c r="AF9" s="1183"/>
      <c r="AG9" s="1183"/>
      <c r="AH9" s="1183"/>
      <c r="AI9" s="1183"/>
      <c r="AJ9" s="1184"/>
      <c r="AK9" s="1184"/>
      <c r="AL9" s="1185">
        <v>1</v>
      </c>
    </row>
    <row r="10" spans="1:40" ht="30" customHeight="1">
      <c r="A10" s="1181"/>
      <c r="B10" s="1189"/>
      <c r="C10" s="1190"/>
      <c r="D10" s="1181"/>
      <c r="E10" s="1181"/>
      <c r="F10" s="1181"/>
      <c r="G10" s="1181"/>
      <c r="H10" s="1181"/>
      <c r="I10" s="1182"/>
      <c r="J10" s="1181"/>
      <c r="K10" s="1181"/>
      <c r="L10" s="1181"/>
      <c r="M10" s="1181"/>
      <c r="N10" s="1181"/>
      <c r="O10" s="1182"/>
      <c r="P10" s="1182"/>
      <c r="Q10" s="1182"/>
      <c r="R10" s="1182"/>
      <c r="S10" s="1182"/>
      <c r="T10" s="1183"/>
      <c r="U10" s="1183"/>
      <c r="V10" s="1193"/>
      <c r="W10" s="1193"/>
      <c r="X10" s="1193"/>
      <c r="Y10" s="1194" t="s">
        <v>3079</v>
      </c>
      <c r="Z10" s="1183"/>
      <c r="AA10" s="1183"/>
      <c r="AB10" s="1183"/>
      <c r="AC10" s="1183"/>
      <c r="AD10" s="1183"/>
      <c r="AE10" s="1183"/>
      <c r="AF10" s="1183"/>
      <c r="AG10" s="1183"/>
      <c r="AH10" s="1183"/>
      <c r="AI10" s="1183"/>
      <c r="AJ10" s="1184"/>
      <c r="AK10" s="1184"/>
      <c r="AL10" s="1185">
        <v>1</v>
      </c>
    </row>
    <row r="11" spans="1:40" ht="30" customHeight="1">
      <c r="A11" s="1181"/>
      <c r="B11" s="1189" t="s">
        <v>3032</v>
      </c>
      <c r="C11" s="1190"/>
      <c r="D11" s="1181"/>
      <c r="E11" s="1181"/>
      <c r="F11" s="1181"/>
      <c r="G11" s="1181"/>
      <c r="H11" s="1181"/>
      <c r="I11" s="1182"/>
      <c r="J11" s="1181"/>
      <c r="K11" s="1181"/>
      <c r="L11" s="1181"/>
      <c r="M11" s="1181"/>
      <c r="N11" s="1181"/>
      <c r="O11" s="1182"/>
      <c r="P11" s="1182"/>
      <c r="Q11" s="1182"/>
      <c r="R11" s="1182"/>
      <c r="S11" s="1182"/>
      <c r="T11" s="1183"/>
      <c r="U11" s="1183"/>
      <c r="V11" s="1193"/>
      <c r="W11" s="1193"/>
      <c r="X11" s="1193"/>
      <c r="Y11" s="1183"/>
      <c r="Z11" s="1183"/>
      <c r="AA11" s="1183"/>
      <c r="AB11" s="1183"/>
      <c r="AC11" s="1183"/>
      <c r="AD11" s="1183"/>
      <c r="AE11" s="1183"/>
      <c r="AF11" s="1183"/>
      <c r="AG11" s="1183"/>
      <c r="AH11" s="1183"/>
      <c r="AI11" s="1183"/>
      <c r="AJ11" s="1184"/>
      <c r="AK11" s="1184"/>
      <c r="AL11" s="1185">
        <v>1</v>
      </c>
    </row>
    <row r="12" spans="1:40" ht="30" customHeight="1">
      <c r="A12" s="1181"/>
      <c r="B12" s="1189" t="s">
        <v>3033</v>
      </c>
      <c r="C12" s="1190"/>
      <c r="D12" s="1181"/>
      <c r="E12" s="1181"/>
      <c r="F12" s="1181"/>
      <c r="G12" s="1181"/>
      <c r="H12" s="1181"/>
      <c r="I12" s="1182"/>
      <c r="J12" s="1181"/>
      <c r="K12" s="1181"/>
      <c r="L12" s="1181"/>
      <c r="M12" s="1181"/>
      <c r="N12" s="1181"/>
      <c r="O12" s="1182"/>
      <c r="P12" s="1182"/>
      <c r="Q12" s="1182"/>
      <c r="R12" s="1182"/>
      <c r="S12" s="1182"/>
      <c r="T12" s="1183"/>
      <c r="U12" s="1183"/>
      <c r="V12" s="1193"/>
      <c r="W12" s="1193"/>
      <c r="X12" s="1193"/>
      <c r="Y12" s="1194" t="s">
        <v>13461</v>
      </c>
      <c r="Z12" s="1183"/>
      <c r="AA12" s="1183"/>
      <c r="AB12" s="1183"/>
      <c r="AC12" s="1183"/>
      <c r="AD12" s="1183"/>
      <c r="AE12" s="1183"/>
      <c r="AF12" s="1183"/>
      <c r="AG12" s="1183"/>
      <c r="AH12" s="1183"/>
      <c r="AI12" s="1183"/>
      <c r="AJ12" s="1184"/>
      <c r="AK12" s="1184"/>
      <c r="AL12" s="1185">
        <v>1</v>
      </c>
    </row>
    <row r="13" spans="1:40" ht="30" customHeight="1">
      <c r="A13" s="1181"/>
      <c r="B13" s="1189"/>
      <c r="C13" s="1190"/>
      <c r="D13" s="1181"/>
      <c r="E13" s="1181"/>
      <c r="F13" s="1181"/>
      <c r="G13" s="1181"/>
      <c r="H13" s="1181"/>
      <c r="I13" s="1182"/>
      <c r="J13" s="1181"/>
      <c r="K13" s="1181"/>
      <c r="L13" s="1181"/>
      <c r="M13" s="1181"/>
      <c r="N13" s="1181"/>
      <c r="O13" s="1182"/>
      <c r="P13" s="1182"/>
      <c r="Q13" s="1182"/>
      <c r="R13" s="1182"/>
      <c r="S13" s="1182"/>
      <c r="T13" s="1183"/>
      <c r="U13" s="1183"/>
      <c r="V13" s="1193"/>
      <c r="W13" s="1193"/>
      <c r="X13" s="1193"/>
      <c r="Y13" s="1194"/>
      <c r="Z13" s="1183"/>
      <c r="AA13" s="1183"/>
      <c r="AB13" s="1183"/>
      <c r="AC13" s="1183"/>
      <c r="AD13" s="1183"/>
      <c r="AE13" s="1183"/>
      <c r="AF13" s="1183"/>
      <c r="AG13" s="1183"/>
      <c r="AH13" s="1183"/>
      <c r="AI13" s="1183"/>
      <c r="AJ13" s="1184"/>
      <c r="AK13" s="1184"/>
      <c r="AL13" s="1185">
        <v>1</v>
      </c>
    </row>
    <row r="14" spans="1:40" ht="30" customHeight="1">
      <c r="A14" s="1181"/>
      <c r="B14" s="1189" t="s">
        <v>3034</v>
      </c>
      <c r="C14" s="1190"/>
      <c r="D14" s="1181"/>
      <c r="E14" s="1181"/>
      <c r="F14" s="1181"/>
      <c r="G14" s="1181"/>
      <c r="H14" s="1181"/>
      <c r="I14" s="1182"/>
      <c r="J14" s="1181"/>
      <c r="K14" s="1181"/>
      <c r="L14" s="1181"/>
      <c r="M14" s="1181"/>
      <c r="N14" s="1181"/>
      <c r="O14" s="1182"/>
      <c r="P14" s="1182"/>
      <c r="Q14" s="1182"/>
      <c r="R14" s="1182"/>
      <c r="S14" s="1182"/>
      <c r="T14" s="1183"/>
      <c r="U14" s="1183"/>
      <c r="V14" s="1193"/>
      <c r="W14" s="1193"/>
      <c r="X14" s="1193"/>
      <c r="Y14" s="1193" t="str">
        <f ca="1">"Página "&amp;_xlfn.SHEET()&amp;" sur "&amp;_xlfn.SHEETS()</f>
        <v>Página 3 sur 27</v>
      </c>
      <c r="Z14" s="1183"/>
      <c r="AA14" s="1183"/>
      <c r="AB14" s="1183"/>
      <c r="AC14" s="1183"/>
      <c r="AD14" s="1183"/>
      <c r="AE14" s="1183"/>
      <c r="AF14" s="1183"/>
      <c r="AG14" s="1183"/>
      <c r="AH14" s="1183"/>
      <c r="AI14" s="1183"/>
      <c r="AJ14" s="1184"/>
      <c r="AK14" s="1184"/>
      <c r="AL14" s="1185">
        <v>1</v>
      </c>
    </row>
    <row r="15" spans="1:40" ht="30" customHeight="1">
      <c r="A15" s="1181"/>
      <c r="B15" s="1189" t="s">
        <v>3035</v>
      </c>
      <c r="C15" s="1190"/>
      <c r="D15" s="1181"/>
      <c r="E15" s="1181"/>
      <c r="F15" s="1181"/>
      <c r="G15" s="1181"/>
      <c r="H15" s="1181"/>
      <c r="I15" s="1182"/>
      <c r="J15" s="1181"/>
      <c r="K15" s="1181"/>
      <c r="L15" s="1181"/>
      <c r="M15" s="1181"/>
      <c r="N15" s="1181"/>
      <c r="O15" s="1182"/>
      <c r="P15" s="1182"/>
      <c r="Q15" s="1182"/>
      <c r="R15" s="1182"/>
      <c r="S15" s="1182"/>
      <c r="T15" s="1183"/>
      <c r="U15" s="1183"/>
      <c r="V15" s="1193"/>
      <c r="W15" s="1193"/>
      <c r="X15" s="1193"/>
      <c r="Y15" s="1183"/>
      <c r="Z15" s="1194"/>
      <c r="AA15" s="1183"/>
      <c r="AB15" s="1183"/>
      <c r="AC15" s="1183"/>
      <c r="AD15" s="1183"/>
      <c r="AE15" s="1183"/>
      <c r="AF15" s="1183"/>
      <c r="AG15" s="1183"/>
      <c r="AH15" s="1183"/>
      <c r="AI15" s="1183"/>
      <c r="AJ15" s="1184"/>
      <c r="AK15" s="1184"/>
      <c r="AL15" s="1185">
        <v>1</v>
      </c>
    </row>
    <row r="16" spans="1:40" ht="30" customHeight="1">
      <c r="A16" s="1181"/>
      <c r="B16" s="1189" t="s">
        <v>3036</v>
      </c>
      <c r="C16" s="1190"/>
      <c r="D16" s="1181"/>
      <c r="E16" s="1181"/>
      <c r="F16" s="1181"/>
      <c r="G16" s="1181"/>
      <c r="H16" s="1181"/>
      <c r="I16" s="1182"/>
      <c r="J16" s="1181"/>
      <c r="K16" s="1181"/>
      <c r="L16" s="1181"/>
      <c r="M16" s="1181"/>
      <c r="N16" s="1181"/>
      <c r="O16" s="1182"/>
      <c r="P16" s="1182"/>
      <c r="Q16" s="1182"/>
      <c r="R16" s="1182"/>
      <c r="S16" s="1182"/>
      <c r="T16" s="1183"/>
      <c r="U16" s="1183"/>
      <c r="V16" s="1193"/>
      <c r="W16" s="1193"/>
      <c r="X16" s="1193"/>
      <c r="Y16" s="1195" t="s">
        <v>3080</v>
      </c>
      <c r="Z16" s="1194"/>
      <c r="AA16" s="1183"/>
      <c r="AB16" s="1183"/>
      <c r="AC16" s="1183"/>
      <c r="AD16" s="1183"/>
      <c r="AE16" s="1183"/>
      <c r="AF16" s="1183"/>
      <c r="AG16" s="1183"/>
      <c r="AH16" s="1183"/>
      <c r="AI16" s="1183"/>
      <c r="AJ16" s="1184"/>
      <c r="AK16" s="1184"/>
      <c r="AL16" s="1185">
        <v>1</v>
      </c>
    </row>
    <row r="17" spans="1:38" ht="30" customHeight="1">
      <c r="A17" s="1181"/>
      <c r="B17" s="1189" t="s">
        <v>3037</v>
      </c>
      <c r="C17" s="1190"/>
      <c r="D17" s="1181"/>
      <c r="E17" s="1181"/>
      <c r="F17" s="1181"/>
      <c r="G17" s="1181"/>
      <c r="H17" s="1181"/>
      <c r="I17" s="1182"/>
      <c r="J17" s="1181"/>
      <c r="K17" s="1181"/>
      <c r="L17" s="1181"/>
      <c r="M17" s="1181"/>
      <c r="N17" s="1181"/>
      <c r="O17" s="1182"/>
      <c r="P17" s="1182"/>
      <c r="Q17" s="1182"/>
      <c r="R17" s="1182"/>
      <c r="S17" s="1182"/>
      <c r="T17" s="1183"/>
      <c r="U17" s="1183"/>
      <c r="V17" s="1193"/>
      <c r="W17" s="1193"/>
      <c r="X17" s="1193"/>
      <c r="Y17" s="1183"/>
      <c r="Z17" s="1194"/>
      <c r="AA17" s="1183"/>
      <c r="AB17" s="1183"/>
      <c r="AC17" s="1183"/>
      <c r="AD17" s="1183"/>
      <c r="AE17" s="1183"/>
      <c r="AF17" s="1183"/>
      <c r="AG17" s="1183"/>
      <c r="AH17" s="1183"/>
      <c r="AI17" s="1183"/>
      <c r="AJ17" s="1184"/>
      <c r="AK17" s="1184"/>
      <c r="AL17" s="1185">
        <v>1</v>
      </c>
    </row>
    <row r="18" spans="1:38" ht="30" customHeight="1">
      <c r="A18" s="1181"/>
      <c r="B18" s="1189"/>
      <c r="C18" s="1190"/>
      <c r="D18" s="1181"/>
      <c r="E18" s="1181"/>
      <c r="F18" s="1181"/>
      <c r="G18" s="1181"/>
      <c r="H18" s="1181"/>
      <c r="I18" s="1182"/>
      <c r="J18" s="1181"/>
      <c r="K18" s="1181"/>
      <c r="L18" s="1181"/>
      <c r="M18" s="1181"/>
      <c r="N18" s="1181"/>
      <c r="O18" s="1182"/>
      <c r="P18" s="1189"/>
      <c r="Q18" s="1182"/>
      <c r="R18" s="1182"/>
      <c r="S18" s="1182"/>
      <c r="T18" s="1183"/>
      <c r="U18" s="1183"/>
      <c r="V18" s="1193"/>
      <c r="W18" s="1193"/>
      <c r="X18" s="1193"/>
      <c r="Y18" s="1183"/>
      <c r="Z18" s="1194"/>
      <c r="AA18" s="1183"/>
      <c r="AB18" s="1183"/>
      <c r="AC18" s="1183"/>
      <c r="AD18" s="1183"/>
      <c r="AE18" s="1183"/>
      <c r="AF18" s="1183"/>
      <c r="AG18" s="1183"/>
      <c r="AH18" s="1183"/>
      <c r="AI18" s="1183"/>
      <c r="AJ18" s="1184"/>
      <c r="AK18" s="1184"/>
      <c r="AL18" s="1185">
        <v>1</v>
      </c>
    </row>
    <row r="19" spans="1:38" ht="30" customHeight="1">
      <c r="A19" s="1181"/>
      <c r="B19" s="1189" t="s">
        <v>3038</v>
      </c>
      <c r="C19" s="1190"/>
      <c r="D19" s="1181"/>
      <c r="E19" s="1181"/>
      <c r="F19" s="1181"/>
      <c r="G19" s="1181"/>
      <c r="H19" s="1181"/>
      <c r="I19" s="1182"/>
      <c r="J19" s="1181"/>
      <c r="K19" s="1181"/>
      <c r="L19" s="1181"/>
      <c r="M19" s="1181"/>
      <c r="N19" s="1181"/>
      <c r="O19" s="1182"/>
      <c r="P19" s="1189"/>
      <c r="Q19" s="1182"/>
      <c r="R19" s="1182"/>
      <c r="S19" s="1182"/>
      <c r="T19" s="1183"/>
      <c r="U19" s="1183"/>
      <c r="V19" s="1193"/>
      <c r="W19" s="1193"/>
      <c r="X19" s="1193"/>
      <c r="Y19" s="1183"/>
      <c r="Z19" s="1194"/>
      <c r="AA19" s="1183"/>
      <c r="AB19" s="1183"/>
      <c r="AC19" s="1183"/>
      <c r="AD19" s="1183"/>
      <c r="AE19" s="1183"/>
      <c r="AF19" s="1183"/>
      <c r="AG19" s="1183"/>
      <c r="AH19" s="1183"/>
      <c r="AI19" s="1183"/>
      <c r="AJ19" s="1184"/>
      <c r="AK19" s="1184"/>
      <c r="AL19" s="1185">
        <v>1</v>
      </c>
    </row>
    <row r="20" spans="1:38" ht="30" customHeight="1">
      <c r="A20" s="1181"/>
      <c r="B20" s="1189" t="s">
        <v>3039</v>
      </c>
      <c r="C20" s="1190"/>
      <c r="D20" s="1181"/>
      <c r="E20" s="1181"/>
      <c r="F20" s="1181"/>
      <c r="G20" s="1181"/>
      <c r="H20" s="1181"/>
      <c r="I20" s="1182"/>
      <c r="J20" s="1181"/>
      <c r="K20" s="1181"/>
      <c r="L20" s="1181"/>
      <c r="M20" s="1181"/>
      <c r="N20" s="1181"/>
      <c r="O20" s="1182"/>
      <c r="P20" s="1189"/>
      <c r="Q20" s="1182"/>
      <c r="R20" s="1182"/>
      <c r="S20" s="1182"/>
      <c r="T20" s="1183"/>
      <c r="U20" s="1183"/>
      <c r="V20" s="1193"/>
      <c r="W20" s="1193"/>
      <c r="X20" s="1193"/>
      <c r="Y20" s="1183"/>
      <c r="Z20" s="1194"/>
      <c r="AA20" s="1183"/>
      <c r="AB20" s="1183"/>
      <c r="AC20" s="1183"/>
      <c r="AD20" s="1183"/>
      <c r="AE20" s="1183"/>
      <c r="AF20" s="1183"/>
      <c r="AG20" s="1183"/>
      <c r="AH20" s="1183"/>
      <c r="AI20" s="1183"/>
      <c r="AJ20" s="1184"/>
      <c r="AK20" s="1184"/>
      <c r="AL20" s="1185">
        <v>1</v>
      </c>
    </row>
    <row r="21" spans="1:38" ht="30" customHeight="1">
      <c r="A21" s="1181"/>
      <c r="B21" s="1189" t="s">
        <v>3040</v>
      </c>
      <c r="C21" s="1190"/>
      <c r="D21" s="1181"/>
      <c r="E21" s="1181"/>
      <c r="F21" s="1181"/>
      <c r="G21" s="1181"/>
      <c r="H21" s="1181"/>
      <c r="I21" s="1182"/>
      <c r="J21" s="1181"/>
      <c r="K21" s="1181"/>
      <c r="L21" s="1181"/>
      <c r="M21" s="1181"/>
      <c r="N21" s="1181"/>
      <c r="O21" s="1182"/>
      <c r="P21" s="1189"/>
      <c r="Q21" s="1182"/>
      <c r="R21" s="1182"/>
      <c r="S21" s="1182"/>
      <c r="T21" s="1183"/>
      <c r="U21" s="1183"/>
      <c r="V21" s="1193"/>
      <c r="W21" s="1193"/>
      <c r="X21" s="1193"/>
      <c r="Y21" s="1183"/>
      <c r="Z21" s="1194"/>
      <c r="AA21" s="1183"/>
      <c r="AB21" s="1183"/>
      <c r="AC21" s="1183"/>
      <c r="AD21" s="1183"/>
      <c r="AE21" s="1183"/>
      <c r="AF21" s="1183"/>
      <c r="AG21" s="1183"/>
      <c r="AH21" s="1183"/>
      <c r="AI21" s="1183"/>
      <c r="AJ21" s="1184"/>
      <c r="AK21" s="1184"/>
      <c r="AL21" s="1185">
        <v>1</v>
      </c>
    </row>
    <row r="22" spans="1:38" s="709" customFormat="1" ht="30" customHeight="1">
      <c r="A22" s="1181"/>
      <c r="B22" s="1189"/>
      <c r="C22" s="1190"/>
      <c r="D22" s="1181"/>
      <c r="E22" s="1181"/>
      <c r="F22" s="1181"/>
      <c r="G22" s="1181"/>
      <c r="H22" s="1181"/>
      <c r="I22" s="1182"/>
      <c r="J22" s="1181"/>
      <c r="K22" s="1181"/>
      <c r="L22" s="1181"/>
      <c r="M22" s="1181"/>
      <c r="N22" s="1181"/>
      <c r="O22" s="1182"/>
      <c r="P22" s="1189"/>
      <c r="Q22" s="1182"/>
      <c r="R22" s="1182"/>
      <c r="S22" s="1182"/>
      <c r="T22" s="1183"/>
      <c r="U22" s="1183"/>
      <c r="V22" s="1193"/>
      <c r="W22" s="1193"/>
      <c r="X22" s="1193"/>
      <c r="Y22" s="1183"/>
      <c r="Z22" s="1194"/>
      <c r="AA22" s="1183"/>
      <c r="AB22" s="1183"/>
      <c r="AC22" s="1183"/>
      <c r="AD22" s="1183"/>
      <c r="AE22" s="1183"/>
      <c r="AF22" s="1183"/>
      <c r="AG22" s="1183"/>
      <c r="AH22" s="1183"/>
      <c r="AI22" s="1183"/>
      <c r="AJ22" s="1184"/>
      <c r="AK22" s="1184"/>
      <c r="AL22" s="1185">
        <v>1</v>
      </c>
    </row>
    <row r="23" spans="1:38" s="709" customFormat="1" ht="30" customHeight="1">
      <c r="A23" s="1181"/>
      <c r="B23" s="1189" t="s">
        <v>3041</v>
      </c>
      <c r="C23" s="1190"/>
      <c r="D23" s="1181"/>
      <c r="E23" s="1181"/>
      <c r="F23" s="1181"/>
      <c r="G23" s="1181"/>
      <c r="H23" s="1181"/>
      <c r="I23" s="1182"/>
      <c r="J23" s="1181"/>
      <c r="K23" s="1181"/>
      <c r="L23" s="1181"/>
      <c r="M23" s="1181"/>
      <c r="N23" s="1181"/>
      <c r="O23" s="1182"/>
      <c r="P23" s="1189"/>
      <c r="Q23" s="1182"/>
      <c r="R23" s="1182"/>
      <c r="S23" s="1182"/>
      <c r="T23" s="1183"/>
      <c r="U23" s="1183"/>
      <c r="V23" s="1193"/>
      <c r="W23" s="1193"/>
      <c r="X23" s="1193"/>
      <c r="Y23" s="1183"/>
      <c r="Z23" s="1194"/>
      <c r="AA23" s="1183"/>
      <c r="AB23" s="1183"/>
      <c r="AC23" s="1183"/>
      <c r="AD23" s="1183"/>
      <c r="AE23" s="1183"/>
      <c r="AF23" s="1183"/>
      <c r="AG23" s="1183"/>
      <c r="AH23" s="1183"/>
      <c r="AI23" s="1183"/>
      <c r="AJ23" s="1184"/>
      <c r="AK23" s="1184"/>
      <c r="AL23" s="1185">
        <v>1</v>
      </c>
    </row>
    <row r="24" spans="1:38" s="709" customFormat="1" ht="30" customHeight="1">
      <c r="A24" s="1181"/>
      <c r="B24" s="1189" t="s">
        <v>3042</v>
      </c>
      <c r="C24" s="1190"/>
      <c r="D24" s="1181"/>
      <c r="E24" s="1181"/>
      <c r="F24" s="1181"/>
      <c r="G24" s="1181"/>
      <c r="H24" s="1181"/>
      <c r="I24" s="1182"/>
      <c r="J24" s="1181"/>
      <c r="K24" s="1181"/>
      <c r="L24" s="1181"/>
      <c r="M24" s="1181"/>
      <c r="N24" s="1181"/>
      <c r="O24" s="1182"/>
      <c r="P24" s="1189"/>
      <c r="Q24" s="1182"/>
      <c r="R24" s="1182"/>
      <c r="S24" s="1182"/>
      <c r="T24" s="1183"/>
      <c r="U24" s="1183"/>
      <c r="V24" s="1193"/>
      <c r="W24" s="1193"/>
      <c r="X24" s="1193"/>
      <c r="Y24" s="1183"/>
      <c r="Z24" s="1194"/>
      <c r="AA24" s="1183"/>
      <c r="AB24" s="1183"/>
      <c r="AC24" s="1183"/>
      <c r="AD24" s="1183"/>
      <c r="AE24" s="1183"/>
      <c r="AF24" s="1183"/>
      <c r="AG24" s="1183"/>
      <c r="AH24" s="1183"/>
      <c r="AI24" s="1183"/>
      <c r="AJ24" s="1184"/>
      <c r="AK24" s="1184"/>
      <c r="AL24" s="1185">
        <v>1</v>
      </c>
    </row>
    <row r="25" spans="1:38" s="709" customFormat="1" ht="30" customHeight="1">
      <c r="A25" s="1181"/>
      <c r="B25" s="1189"/>
      <c r="C25" s="1190"/>
      <c r="D25" s="1181"/>
      <c r="E25" s="1181"/>
      <c r="F25" s="1181"/>
      <c r="G25" s="1181"/>
      <c r="H25" s="1181"/>
      <c r="I25" s="1182"/>
      <c r="J25" s="1181"/>
      <c r="K25" s="1181"/>
      <c r="L25" s="1181"/>
      <c r="M25" s="1181"/>
      <c r="N25" s="1181"/>
      <c r="O25" s="1182"/>
      <c r="P25" s="1189"/>
      <c r="Q25" s="1182"/>
      <c r="R25" s="1182"/>
      <c r="S25" s="1182"/>
      <c r="T25" s="1183"/>
      <c r="U25" s="1183"/>
      <c r="V25" s="1193"/>
      <c r="W25" s="1193"/>
      <c r="X25" s="1193"/>
      <c r="Y25" s="1183"/>
      <c r="Z25" s="1194"/>
      <c r="AA25" s="1183"/>
      <c r="AB25" s="1183"/>
      <c r="AC25" s="1183"/>
      <c r="AD25" s="1183"/>
      <c r="AE25" s="1183"/>
      <c r="AF25" s="1183"/>
      <c r="AG25" s="1183"/>
      <c r="AH25" s="1183"/>
      <c r="AI25" s="1183"/>
      <c r="AJ25" s="1184"/>
      <c r="AK25" s="1184"/>
      <c r="AL25" s="1185">
        <v>1</v>
      </c>
    </row>
    <row r="26" spans="1:38" s="709" customFormat="1" ht="30" customHeight="1">
      <c r="A26" s="1181"/>
      <c r="B26" s="1189" t="s">
        <v>3043</v>
      </c>
      <c r="C26" s="1190"/>
      <c r="D26" s="1181"/>
      <c r="E26" s="1181"/>
      <c r="F26" s="1181"/>
      <c r="G26" s="1181"/>
      <c r="H26" s="1181"/>
      <c r="I26" s="1182"/>
      <c r="J26" s="1181"/>
      <c r="K26" s="1181"/>
      <c r="L26" s="1181"/>
      <c r="M26" s="1181"/>
      <c r="N26" s="1181"/>
      <c r="O26" s="1182"/>
      <c r="P26" s="1189"/>
      <c r="Q26" s="1182"/>
      <c r="R26" s="1182"/>
      <c r="S26" s="1182"/>
      <c r="T26" s="1183"/>
      <c r="U26" s="1183"/>
      <c r="V26" s="1193"/>
      <c r="W26" s="1193"/>
      <c r="X26" s="1193"/>
      <c r="Y26" s="1183"/>
      <c r="Z26" s="1194"/>
      <c r="AA26" s="1183"/>
      <c r="AB26" s="1183"/>
      <c r="AC26" s="1183"/>
      <c r="AD26" s="1183"/>
      <c r="AE26" s="1183"/>
      <c r="AF26" s="1183"/>
      <c r="AG26" s="1183"/>
      <c r="AH26" s="1183"/>
      <c r="AI26" s="1183"/>
      <c r="AJ26" s="1184"/>
      <c r="AK26" s="1184"/>
      <c r="AL26" s="1185">
        <v>1</v>
      </c>
    </row>
    <row r="27" spans="1:38" s="709" customFormat="1" ht="30" customHeight="1">
      <c r="A27" s="1181"/>
      <c r="B27" s="1189" t="s">
        <v>3086</v>
      </c>
      <c r="C27" s="1190"/>
      <c r="D27" s="1181"/>
      <c r="E27" s="1181"/>
      <c r="F27" s="1181"/>
      <c r="G27" s="1181"/>
      <c r="H27" s="1181"/>
      <c r="I27" s="1182"/>
      <c r="J27" s="1181"/>
      <c r="K27" s="1181"/>
      <c r="L27" s="1181"/>
      <c r="M27" s="1181"/>
      <c r="N27" s="1181"/>
      <c r="O27" s="1182"/>
      <c r="P27" s="1189"/>
      <c r="Q27" s="1182"/>
      <c r="R27" s="1182"/>
      <c r="S27" s="1182"/>
      <c r="T27" s="1183"/>
      <c r="U27" s="1183"/>
      <c r="V27" s="1193"/>
      <c r="W27" s="1193"/>
      <c r="X27" s="1193"/>
      <c r="Y27" s="1183"/>
      <c r="Z27" s="1194"/>
      <c r="AA27" s="1183"/>
      <c r="AB27" s="1183"/>
      <c r="AC27" s="1183"/>
      <c r="AD27" s="1183"/>
      <c r="AE27" s="1183"/>
      <c r="AF27" s="1183"/>
      <c r="AG27" s="1183"/>
      <c r="AH27" s="1183"/>
      <c r="AI27" s="1183"/>
      <c r="AJ27" s="1184"/>
      <c r="AK27" s="1184"/>
      <c r="AL27" s="1185">
        <v>1</v>
      </c>
    </row>
    <row r="28" spans="1:38" s="709" customFormat="1" ht="30" customHeight="1">
      <c r="A28" s="1181"/>
      <c r="B28" s="1189" t="s">
        <v>3044</v>
      </c>
      <c r="C28" s="1190"/>
      <c r="D28" s="1181"/>
      <c r="E28" s="1181"/>
      <c r="F28" s="1181"/>
      <c r="G28" s="1181"/>
      <c r="H28" s="1181"/>
      <c r="I28" s="1182"/>
      <c r="J28" s="1181"/>
      <c r="K28" s="1181"/>
      <c r="L28" s="1181"/>
      <c r="M28" s="1181"/>
      <c r="N28" s="1181"/>
      <c r="O28" s="1182"/>
      <c r="P28" s="1189"/>
      <c r="Q28" s="1182"/>
      <c r="R28" s="1182"/>
      <c r="S28" s="1182"/>
      <c r="T28" s="1183"/>
      <c r="U28" s="1183"/>
      <c r="V28" s="1193"/>
      <c r="W28" s="1193"/>
      <c r="X28" s="1193"/>
      <c r="Y28" s="1183"/>
      <c r="Z28" s="1194"/>
      <c r="AA28" s="1183"/>
      <c r="AB28" s="1183"/>
      <c r="AC28" s="1183"/>
      <c r="AD28" s="1183"/>
      <c r="AE28" s="1183"/>
      <c r="AF28" s="1183"/>
      <c r="AG28" s="1183"/>
      <c r="AH28" s="1183"/>
      <c r="AI28" s="1183"/>
      <c r="AJ28" s="1184"/>
      <c r="AK28" s="1184"/>
      <c r="AL28" s="1185">
        <v>1</v>
      </c>
    </row>
    <row r="29" spans="1:38" s="709" customFormat="1" ht="30" customHeight="1">
      <c r="A29" s="1181"/>
      <c r="B29" s="1189" t="s">
        <v>3045</v>
      </c>
      <c r="C29" s="1190"/>
      <c r="D29" s="1181"/>
      <c r="E29" s="1181"/>
      <c r="F29" s="1181"/>
      <c r="G29" s="1181"/>
      <c r="H29" s="1181"/>
      <c r="I29" s="1182"/>
      <c r="J29" s="1181"/>
      <c r="K29" s="1181"/>
      <c r="L29" s="1181"/>
      <c r="M29" s="1181"/>
      <c r="N29" s="1181"/>
      <c r="O29" s="1182"/>
      <c r="P29" s="1189"/>
      <c r="Q29" s="1182"/>
      <c r="R29" s="1182"/>
      <c r="S29" s="1182"/>
      <c r="T29" s="1183"/>
      <c r="U29" s="1183"/>
      <c r="V29" s="1193"/>
      <c r="W29" s="1193"/>
      <c r="X29" s="1193"/>
      <c r="Y29" s="1183"/>
      <c r="Z29" s="1194"/>
      <c r="AA29" s="1183"/>
      <c r="AB29" s="1183"/>
      <c r="AC29" s="1183"/>
      <c r="AD29" s="1183"/>
      <c r="AE29" s="1183"/>
      <c r="AF29" s="1183"/>
      <c r="AG29" s="1183"/>
      <c r="AH29" s="1183"/>
      <c r="AI29" s="1183"/>
      <c r="AJ29" s="1184"/>
      <c r="AK29" s="1184"/>
      <c r="AL29" s="1185">
        <v>1</v>
      </c>
    </row>
    <row r="30" spans="1:38" s="709" customFormat="1" ht="30" customHeight="1">
      <c r="A30" s="1181"/>
      <c r="B30" s="1189" t="s">
        <v>3046</v>
      </c>
      <c r="C30" s="1190"/>
      <c r="D30" s="1181"/>
      <c r="E30" s="1181"/>
      <c r="F30" s="1181"/>
      <c r="G30" s="1181"/>
      <c r="H30" s="1181"/>
      <c r="I30" s="1182"/>
      <c r="J30" s="1181"/>
      <c r="K30" s="1181"/>
      <c r="L30" s="1181"/>
      <c r="M30" s="1181"/>
      <c r="N30" s="1181"/>
      <c r="O30" s="1182"/>
      <c r="P30" s="1189"/>
      <c r="Q30" s="1182"/>
      <c r="R30" s="1182"/>
      <c r="S30" s="1182"/>
      <c r="T30" s="1183"/>
      <c r="U30" s="1183"/>
      <c r="V30" s="1193"/>
      <c r="W30" s="1193"/>
      <c r="X30" s="1193"/>
      <c r="Y30" s="1183"/>
      <c r="Z30" s="1194"/>
      <c r="AA30" s="1183"/>
      <c r="AB30" s="1183"/>
      <c r="AC30" s="1183"/>
      <c r="AD30" s="1183"/>
      <c r="AE30" s="1183"/>
      <c r="AF30" s="1183"/>
      <c r="AG30" s="1183"/>
      <c r="AH30" s="1183"/>
      <c r="AI30" s="1183"/>
      <c r="AJ30" s="1184"/>
      <c r="AK30" s="1184"/>
      <c r="AL30" s="1185">
        <v>1</v>
      </c>
    </row>
    <row r="31" spans="1:38" s="709" customFormat="1" ht="30" customHeight="1">
      <c r="A31" s="1181"/>
      <c r="B31" s="1189"/>
      <c r="C31" s="1190"/>
      <c r="D31" s="1181"/>
      <c r="E31" s="1181"/>
      <c r="F31" s="1181"/>
      <c r="G31" s="1181"/>
      <c r="H31" s="1181"/>
      <c r="I31" s="1182"/>
      <c r="J31" s="1181"/>
      <c r="K31" s="1181"/>
      <c r="L31" s="1181"/>
      <c r="M31" s="1181"/>
      <c r="N31" s="1181"/>
      <c r="O31" s="1182"/>
      <c r="P31" s="1189"/>
      <c r="Q31" s="1182"/>
      <c r="R31" s="1182"/>
      <c r="S31" s="1182"/>
      <c r="T31" s="1183"/>
      <c r="U31" s="1183"/>
      <c r="V31" s="1193"/>
      <c r="W31" s="1193"/>
      <c r="X31" s="1193"/>
      <c r="Y31" s="1183"/>
      <c r="Z31" s="1194"/>
      <c r="AA31" s="1183"/>
      <c r="AB31" s="1183"/>
      <c r="AC31" s="1183"/>
      <c r="AD31" s="1183"/>
      <c r="AE31" s="1183"/>
      <c r="AF31" s="1183"/>
      <c r="AG31" s="1183"/>
      <c r="AH31" s="1183"/>
      <c r="AI31" s="1183"/>
      <c r="AJ31" s="1184"/>
      <c r="AK31" s="1184"/>
      <c r="AL31" s="1185">
        <v>1</v>
      </c>
    </row>
    <row r="32" spans="1:38" s="709" customFormat="1" ht="30" customHeight="1">
      <c r="A32" s="1181"/>
      <c r="B32" s="1189" t="s">
        <v>3047</v>
      </c>
      <c r="C32" s="1190"/>
      <c r="D32" s="1181"/>
      <c r="E32" s="1181"/>
      <c r="F32" s="1181"/>
      <c r="G32" s="1181"/>
      <c r="H32" s="1181"/>
      <c r="I32" s="1182"/>
      <c r="J32" s="1181"/>
      <c r="K32" s="1181"/>
      <c r="L32" s="1181"/>
      <c r="M32" s="1181"/>
      <c r="N32" s="1181"/>
      <c r="O32" s="1182"/>
      <c r="P32" s="1189"/>
      <c r="Q32" s="1182"/>
      <c r="R32" s="1182"/>
      <c r="S32" s="1182"/>
      <c r="T32" s="1183"/>
      <c r="U32" s="1183"/>
      <c r="V32" s="1193"/>
      <c r="W32" s="1193"/>
      <c r="X32" s="1193"/>
      <c r="Y32" s="1183"/>
      <c r="Z32" s="1194"/>
      <c r="AA32" s="1183"/>
      <c r="AB32" s="1183"/>
      <c r="AC32" s="1183"/>
      <c r="AD32" s="1183"/>
      <c r="AE32" s="1183"/>
      <c r="AF32" s="1183"/>
      <c r="AG32" s="1183"/>
      <c r="AH32" s="1183"/>
      <c r="AI32" s="1183"/>
      <c r="AJ32" s="1184"/>
      <c r="AK32" s="1184"/>
      <c r="AL32" s="1185">
        <v>1</v>
      </c>
    </row>
    <row r="33" spans="1:38" s="709" customFormat="1" ht="30" customHeight="1">
      <c r="A33" s="1181"/>
      <c r="B33" s="1189" t="s">
        <v>3048</v>
      </c>
      <c r="C33" s="1190"/>
      <c r="D33" s="1181"/>
      <c r="E33" s="1181"/>
      <c r="F33" s="1181"/>
      <c r="G33" s="1181"/>
      <c r="H33" s="1181"/>
      <c r="I33" s="1182"/>
      <c r="J33" s="1181"/>
      <c r="K33" s="1181"/>
      <c r="L33" s="1181"/>
      <c r="M33" s="1181"/>
      <c r="N33" s="1181"/>
      <c r="O33" s="1182"/>
      <c r="P33" s="1189"/>
      <c r="Q33" s="1182"/>
      <c r="R33" s="1182"/>
      <c r="S33" s="1182"/>
      <c r="T33" s="1183"/>
      <c r="U33" s="1183"/>
      <c r="V33" s="1193"/>
      <c r="W33" s="1193"/>
      <c r="X33" s="1193"/>
      <c r="Y33" s="1183"/>
      <c r="Z33" s="1194"/>
      <c r="AA33" s="1183"/>
      <c r="AB33" s="1183"/>
      <c r="AC33" s="1183"/>
      <c r="AD33" s="1183"/>
      <c r="AE33" s="1183"/>
      <c r="AF33" s="1183"/>
      <c r="AG33" s="1183"/>
      <c r="AH33" s="1183"/>
      <c r="AI33" s="1183"/>
      <c r="AJ33" s="1184"/>
      <c r="AK33" s="1184"/>
      <c r="AL33" s="1185">
        <v>1</v>
      </c>
    </row>
    <row r="34" spans="1:38" s="709" customFormat="1" ht="30" customHeight="1">
      <c r="A34" s="1181"/>
      <c r="B34" s="1189"/>
      <c r="C34" s="1190"/>
      <c r="D34" s="1181"/>
      <c r="E34" s="1181"/>
      <c r="F34" s="1181"/>
      <c r="G34" s="1181"/>
      <c r="H34" s="1181"/>
      <c r="I34" s="1182"/>
      <c r="J34" s="1181"/>
      <c r="K34" s="1181"/>
      <c r="L34" s="1181"/>
      <c r="M34" s="1181"/>
      <c r="N34" s="1181"/>
      <c r="O34" s="1182"/>
      <c r="P34" s="1189"/>
      <c r="Q34" s="1182"/>
      <c r="R34" s="1182"/>
      <c r="S34" s="1182"/>
      <c r="T34" s="1183"/>
      <c r="U34" s="1183"/>
      <c r="V34" s="1193"/>
      <c r="W34" s="1193"/>
      <c r="X34" s="1193"/>
      <c r="Y34" s="1183"/>
      <c r="Z34" s="1194"/>
      <c r="AA34" s="1183"/>
      <c r="AB34" s="1183"/>
      <c r="AC34" s="1183"/>
      <c r="AD34" s="1183"/>
      <c r="AE34" s="1183"/>
      <c r="AF34" s="1183"/>
      <c r="AG34" s="1183"/>
      <c r="AH34" s="1183"/>
      <c r="AI34" s="1183"/>
      <c r="AJ34" s="1184"/>
      <c r="AK34" s="1184"/>
      <c r="AL34" s="1185">
        <v>1</v>
      </c>
    </row>
    <row r="35" spans="1:38" s="709" customFormat="1" ht="30" customHeight="1">
      <c r="A35" s="1181"/>
      <c r="B35" s="1189" t="s">
        <v>3049</v>
      </c>
      <c r="C35" s="1190"/>
      <c r="D35" s="1181"/>
      <c r="E35" s="1181"/>
      <c r="F35" s="1181"/>
      <c r="G35" s="1181"/>
      <c r="H35" s="1181"/>
      <c r="I35" s="1182"/>
      <c r="J35" s="1181"/>
      <c r="K35" s="1181"/>
      <c r="L35" s="1181"/>
      <c r="M35" s="1181"/>
      <c r="N35" s="1181"/>
      <c r="O35" s="1182"/>
      <c r="P35" s="1189"/>
      <c r="Q35" s="1182"/>
      <c r="R35" s="1182"/>
      <c r="S35" s="1182"/>
      <c r="T35" s="1183"/>
      <c r="U35" s="1183"/>
      <c r="V35" s="1193"/>
      <c r="W35" s="1193"/>
      <c r="X35" s="1193"/>
      <c r="Y35" s="1183"/>
      <c r="Z35" s="1194"/>
      <c r="AA35" s="1183"/>
      <c r="AB35" s="1183"/>
      <c r="AC35" s="1183"/>
      <c r="AD35" s="1183"/>
      <c r="AE35" s="1183"/>
      <c r="AF35" s="1183"/>
      <c r="AG35" s="1183"/>
      <c r="AH35" s="1183"/>
      <c r="AI35" s="1183"/>
      <c r="AJ35" s="1184"/>
      <c r="AK35" s="1184"/>
      <c r="AL35" s="1185">
        <v>1</v>
      </c>
    </row>
    <row r="36" spans="1:38" s="709" customFormat="1" ht="30" customHeight="1">
      <c r="A36" s="1181"/>
      <c r="B36" s="1189" t="s">
        <v>3050</v>
      </c>
      <c r="C36" s="1190"/>
      <c r="D36" s="1181"/>
      <c r="E36" s="1181"/>
      <c r="F36" s="1181"/>
      <c r="G36" s="1181"/>
      <c r="H36" s="1181"/>
      <c r="I36" s="1182"/>
      <c r="J36" s="1181"/>
      <c r="K36" s="1181"/>
      <c r="L36" s="1181"/>
      <c r="M36" s="1181"/>
      <c r="N36" s="1181"/>
      <c r="O36" s="1182"/>
      <c r="P36" s="1189"/>
      <c r="Q36" s="1182"/>
      <c r="R36" s="1182"/>
      <c r="S36" s="1182"/>
      <c r="T36" s="1183"/>
      <c r="U36" s="1183"/>
      <c r="V36" s="1193"/>
      <c r="W36" s="1193"/>
      <c r="X36" s="1193"/>
      <c r="Y36" s="1183"/>
      <c r="Z36" s="1194"/>
      <c r="AA36" s="1183"/>
      <c r="AB36" s="1183"/>
      <c r="AC36" s="1183"/>
      <c r="AD36" s="1183"/>
      <c r="AE36" s="1183"/>
      <c r="AF36" s="1183"/>
      <c r="AG36" s="1183"/>
      <c r="AH36" s="1183"/>
      <c r="AI36" s="1183"/>
      <c r="AJ36" s="1184"/>
      <c r="AK36" s="1184"/>
      <c r="AL36" s="1185">
        <v>1</v>
      </c>
    </row>
    <row r="37" spans="1:38" s="709" customFormat="1" ht="30" customHeight="1">
      <c r="A37" s="1181"/>
      <c r="B37" s="1189" t="s">
        <v>3051</v>
      </c>
      <c r="C37" s="1190"/>
      <c r="D37" s="1181"/>
      <c r="E37" s="1181"/>
      <c r="F37" s="1181"/>
      <c r="G37" s="1181"/>
      <c r="H37" s="1181"/>
      <c r="I37" s="1182"/>
      <c r="J37" s="1181"/>
      <c r="K37" s="1181"/>
      <c r="L37" s="1181"/>
      <c r="M37" s="1181"/>
      <c r="N37" s="1181"/>
      <c r="O37" s="1182"/>
      <c r="P37" s="1189"/>
      <c r="Q37" s="1182"/>
      <c r="R37" s="1182"/>
      <c r="S37" s="1182"/>
      <c r="T37" s="1183"/>
      <c r="U37" s="1183"/>
      <c r="V37" s="1193"/>
      <c r="W37" s="1193"/>
      <c r="X37" s="1193"/>
      <c r="Y37" s="1183"/>
      <c r="Z37" s="1194"/>
      <c r="AA37" s="1183"/>
      <c r="AB37" s="1183"/>
      <c r="AC37" s="1183"/>
      <c r="AD37" s="1183"/>
      <c r="AE37" s="1183"/>
      <c r="AF37" s="1183"/>
      <c r="AG37" s="1183"/>
      <c r="AH37" s="1183"/>
      <c r="AI37" s="1183"/>
      <c r="AJ37" s="1184"/>
      <c r="AK37" s="1184"/>
      <c r="AL37" s="1185">
        <v>1</v>
      </c>
    </row>
    <row r="38" spans="1:38" s="709" customFormat="1" ht="30" customHeight="1">
      <c r="A38" s="1181"/>
      <c r="B38" s="1189" t="s">
        <v>3052</v>
      </c>
      <c r="C38" s="1190"/>
      <c r="D38" s="1181"/>
      <c r="E38" s="1181"/>
      <c r="F38" s="1181"/>
      <c r="G38" s="1181"/>
      <c r="H38" s="1181"/>
      <c r="I38" s="1182"/>
      <c r="J38" s="1181"/>
      <c r="K38" s="1181"/>
      <c r="L38" s="1181"/>
      <c r="M38" s="1181"/>
      <c r="N38" s="1181"/>
      <c r="O38" s="1182"/>
      <c r="P38" s="1189"/>
      <c r="Q38" s="1182"/>
      <c r="R38" s="1182"/>
      <c r="S38" s="1182"/>
      <c r="T38" s="1183"/>
      <c r="U38" s="1183"/>
      <c r="V38" s="1193"/>
      <c r="W38" s="1193"/>
      <c r="X38" s="1193"/>
      <c r="Y38" s="1183"/>
      <c r="Z38" s="1194"/>
      <c r="AA38" s="1183"/>
      <c r="AB38" s="1183"/>
      <c r="AC38" s="1183"/>
      <c r="AD38" s="1183"/>
      <c r="AE38" s="1183"/>
      <c r="AF38" s="1183"/>
      <c r="AG38" s="1183"/>
      <c r="AH38" s="1183"/>
      <c r="AI38" s="1183"/>
      <c r="AJ38" s="1184"/>
      <c r="AK38" s="1184"/>
      <c r="AL38" s="1185">
        <v>1</v>
      </c>
    </row>
    <row r="39" spans="1:38" s="709" customFormat="1" ht="30" customHeight="1">
      <c r="A39" s="1181"/>
      <c r="B39" s="1189"/>
      <c r="C39" s="1190"/>
      <c r="D39" s="1181"/>
      <c r="E39" s="1181"/>
      <c r="F39" s="1181"/>
      <c r="G39" s="1181"/>
      <c r="H39" s="1181"/>
      <c r="I39" s="1182"/>
      <c r="J39" s="1181"/>
      <c r="K39" s="1181"/>
      <c r="L39" s="1181"/>
      <c r="M39" s="1181"/>
      <c r="N39" s="1181"/>
      <c r="O39" s="1182"/>
      <c r="P39" s="1189"/>
      <c r="Q39" s="1182"/>
      <c r="R39" s="1182"/>
      <c r="S39" s="1182"/>
      <c r="T39" s="1183"/>
      <c r="U39" s="1183"/>
      <c r="V39" s="1193"/>
      <c r="W39" s="1193"/>
      <c r="X39" s="1193"/>
      <c r="Y39" s="1183"/>
      <c r="Z39" s="1194"/>
      <c r="AA39" s="1183"/>
      <c r="AB39" s="1183"/>
      <c r="AC39" s="1183"/>
      <c r="AD39" s="1183"/>
      <c r="AE39" s="1183"/>
      <c r="AF39" s="1183"/>
      <c r="AG39" s="1183"/>
      <c r="AH39" s="1183"/>
      <c r="AI39" s="1183"/>
      <c r="AJ39" s="1184"/>
      <c r="AK39" s="1184"/>
      <c r="AL39" s="1185">
        <v>1</v>
      </c>
    </row>
    <row r="40" spans="1:38" s="709" customFormat="1" ht="30" customHeight="1">
      <c r="A40" s="1181"/>
      <c r="B40" s="1189" t="s">
        <v>3053</v>
      </c>
      <c r="C40" s="1190"/>
      <c r="D40" s="1181"/>
      <c r="E40" s="1181"/>
      <c r="F40" s="1181"/>
      <c r="G40" s="1181"/>
      <c r="H40" s="1181"/>
      <c r="I40" s="1182"/>
      <c r="J40" s="1181"/>
      <c r="K40" s="1181"/>
      <c r="L40" s="1181"/>
      <c r="M40" s="1181"/>
      <c r="N40" s="1181"/>
      <c r="O40" s="1182"/>
      <c r="P40" s="1189"/>
      <c r="Q40" s="1182"/>
      <c r="R40" s="1182"/>
      <c r="S40" s="1182"/>
      <c r="T40" s="1183"/>
      <c r="U40" s="1183"/>
      <c r="V40" s="1193"/>
      <c r="W40" s="1193"/>
      <c r="X40" s="1193"/>
      <c r="Y40" s="1183"/>
      <c r="Z40" s="1194"/>
      <c r="AA40" s="1183"/>
      <c r="AB40" s="1183"/>
      <c r="AC40" s="1183"/>
      <c r="AD40" s="1183"/>
      <c r="AE40" s="1183"/>
      <c r="AF40" s="1183"/>
      <c r="AG40" s="1183"/>
      <c r="AH40" s="1183"/>
      <c r="AI40" s="1183"/>
      <c r="AJ40" s="1184"/>
      <c r="AK40" s="1184"/>
      <c r="AL40" s="1185">
        <v>1</v>
      </c>
    </row>
    <row r="41" spans="1:38" s="709" customFormat="1" ht="30" customHeight="1">
      <c r="A41" s="1181"/>
      <c r="B41" s="1189" t="s">
        <v>3054</v>
      </c>
      <c r="C41" s="1190"/>
      <c r="D41" s="1181"/>
      <c r="E41" s="1181"/>
      <c r="F41" s="1181"/>
      <c r="G41" s="1181"/>
      <c r="H41" s="1181"/>
      <c r="I41" s="1182"/>
      <c r="J41" s="1181"/>
      <c r="K41" s="1181"/>
      <c r="L41" s="1181"/>
      <c r="M41" s="1181"/>
      <c r="N41" s="1181"/>
      <c r="O41" s="1182"/>
      <c r="P41" s="1189"/>
      <c r="Q41" s="1182"/>
      <c r="R41" s="1182"/>
      <c r="S41" s="1182"/>
      <c r="T41" s="1183"/>
      <c r="U41" s="1183"/>
      <c r="V41" s="1193"/>
      <c r="W41" s="1193"/>
      <c r="X41" s="1193"/>
      <c r="Y41" s="1183"/>
      <c r="Z41" s="1194"/>
      <c r="AA41" s="1183"/>
      <c r="AB41" s="1183"/>
      <c r="AC41" s="1183"/>
      <c r="AD41" s="1183"/>
      <c r="AE41" s="1183"/>
      <c r="AF41" s="1183"/>
      <c r="AG41" s="1183"/>
      <c r="AH41" s="1183"/>
      <c r="AI41" s="1183"/>
      <c r="AJ41" s="1184"/>
      <c r="AK41" s="1184"/>
      <c r="AL41" s="1185">
        <v>1</v>
      </c>
    </row>
    <row r="42" spans="1:38" s="709" customFormat="1" ht="30" customHeight="1">
      <c r="A42" s="1181"/>
      <c r="B42" s="1189" t="s">
        <v>3055</v>
      </c>
      <c r="C42" s="1190"/>
      <c r="D42" s="1181"/>
      <c r="E42" s="1181"/>
      <c r="F42" s="1181"/>
      <c r="G42" s="1181"/>
      <c r="H42" s="1181"/>
      <c r="I42" s="1182"/>
      <c r="J42" s="1181"/>
      <c r="K42" s="1181"/>
      <c r="L42" s="1181"/>
      <c r="M42" s="1181"/>
      <c r="N42" s="1181"/>
      <c r="O42" s="1182"/>
      <c r="P42" s="1189"/>
      <c r="Q42" s="1182"/>
      <c r="R42" s="1182"/>
      <c r="S42" s="1182"/>
      <c r="T42" s="1183"/>
      <c r="U42" s="1183"/>
      <c r="V42" s="1193"/>
      <c r="W42" s="1193"/>
      <c r="X42" s="1193"/>
      <c r="Y42" s="1183"/>
      <c r="Z42" s="1194"/>
      <c r="AA42" s="1183"/>
      <c r="AB42" s="1183"/>
      <c r="AC42" s="1183"/>
      <c r="AD42" s="1183"/>
      <c r="AE42" s="1183"/>
      <c r="AF42" s="1183"/>
      <c r="AG42" s="1183"/>
      <c r="AH42" s="1183"/>
      <c r="AI42" s="1183"/>
      <c r="AJ42" s="1184"/>
      <c r="AK42" s="1184"/>
      <c r="AL42" s="1185">
        <v>1</v>
      </c>
    </row>
    <row r="43" spans="1:38" s="709" customFormat="1" ht="30" customHeight="1">
      <c r="A43" s="1181"/>
      <c r="B43" s="1189" t="s">
        <v>3056</v>
      </c>
      <c r="C43" s="1190"/>
      <c r="D43" s="1181"/>
      <c r="E43" s="1181"/>
      <c r="F43" s="1181"/>
      <c r="G43" s="1181"/>
      <c r="H43" s="1181"/>
      <c r="I43" s="1182"/>
      <c r="J43" s="1181"/>
      <c r="K43" s="1181"/>
      <c r="L43" s="1181"/>
      <c r="M43" s="1181"/>
      <c r="N43" s="1181"/>
      <c r="O43" s="1182"/>
      <c r="P43" s="1189"/>
      <c r="Q43" s="1182"/>
      <c r="R43" s="1182"/>
      <c r="S43" s="1182"/>
      <c r="T43" s="1183"/>
      <c r="U43" s="1183"/>
      <c r="V43" s="1193"/>
      <c r="W43" s="1193"/>
      <c r="X43" s="1193"/>
      <c r="Y43" s="1183"/>
      <c r="Z43" s="1194"/>
      <c r="AA43" s="1183"/>
      <c r="AB43" s="1183"/>
      <c r="AC43" s="1183"/>
      <c r="AD43" s="1183"/>
      <c r="AE43" s="1183"/>
      <c r="AF43" s="1183"/>
      <c r="AG43" s="1183"/>
      <c r="AH43" s="1183"/>
      <c r="AI43" s="1183"/>
      <c r="AJ43" s="1184"/>
      <c r="AK43" s="1184"/>
      <c r="AL43" s="1185">
        <v>1</v>
      </c>
    </row>
    <row r="44" spans="1:38" s="709" customFormat="1" ht="30" customHeight="1">
      <c r="A44" s="1181"/>
      <c r="B44" s="1189" t="s">
        <v>3057</v>
      </c>
      <c r="C44" s="1190"/>
      <c r="D44" s="1181"/>
      <c r="E44" s="1181"/>
      <c r="F44" s="1181"/>
      <c r="G44" s="1181"/>
      <c r="H44" s="1181"/>
      <c r="I44" s="1182"/>
      <c r="J44" s="1181"/>
      <c r="K44" s="1181"/>
      <c r="L44" s="1181"/>
      <c r="M44" s="1181"/>
      <c r="N44" s="1181"/>
      <c r="O44" s="1182"/>
      <c r="P44" s="1189"/>
      <c r="Q44" s="1182"/>
      <c r="R44" s="1182"/>
      <c r="S44" s="1182"/>
      <c r="T44" s="1183"/>
      <c r="U44" s="1183"/>
      <c r="V44" s="1193"/>
      <c r="W44" s="1193"/>
      <c r="X44" s="1193"/>
      <c r="Y44" s="1183"/>
      <c r="Z44" s="1194"/>
      <c r="AA44" s="1183"/>
      <c r="AB44" s="1183"/>
      <c r="AC44" s="1183"/>
      <c r="AD44" s="1183"/>
      <c r="AE44" s="1183"/>
      <c r="AF44" s="1183"/>
      <c r="AG44" s="1183"/>
      <c r="AH44" s="1183"/>
      <c r="AI44" s="1183"/>
      <c r="AJ44" s="1184"/>
      <c r="AK44" s="1184"/>
      <c r="AL44" s="1185">
        <v>1</v>
      </c>
    </row>
    <row r="45" spans="1:38" s="709" customFormat="1" ht="30" customHeight="1">
      <c r="A45" s="1181"/>
      <c r="B45" s="1189" t="s">
        <v>3107</v>
      </c>
      <c r="C45" s="1190"/>
      <c r="D45" s="1181"/>
      <c r="E45" s="1181"/>
      <c r="F45" s="1181"/>
      <c r="G45" s="1181"/>
      <c r="H45" s="1181"/>
      <c r="I45" s="1182"/>
      <c r="J45" s="1181"/>
      <c r="K45" s="1181"/>
      <c r="L45" s="1181"/>
      <c r="M45" s="1181"/>
      <c r="N45" s="1181"/>
      <c r="O45" s="1182"/>
      <c r="P45" s="1189"/>
      <c r="Q45" s="1182"/>
      <c r="R45" s="1182"/>
      <c r="S45" s="1182"/>
      <c r="T45" s="1183"/>
      <c r="U45" s="1183"/>
      <c r="V45" s="1193"/>
      <c r="W45" s="1193"/>
      <c r="X45" s="1193"/>
      <c r="Y45" s="1183"/>
      <c r="Z45" s="1194"/>
      <c r="AA45" s="1183"/>
      <c r="AB45" s="1183"/>
      <c r="AC45" s="1183"/>
      <c r="AD45" s="1183"/>
      <c r="AE45" s="1183"/>
      <c r="AF45" s="1183"/>
      <c r="AG45" s="1183"/>
      <c r="AH45" s="1183"/>
      <c r="AI45" s="1183"/>
      <c r="AJ45" s="1184"/>
      <c r="AK45" s="1184"/>
      <c r="AL45" s="1185">
        <v>1</v>
      </c>
    </row>
    <row r="46" spans="1:38" s="709" customFormat="1" ht="30" customHeight="1">
      <c r="A46" s="1181"/>
      <c r="B46" s="1189"/>
      <c r="C46" s="1190"/>
      <c r="D46" s="1181"/>
      <c r="E46" s="1181"/>
      <c r="F46" s="1181"/>
      <c r="G46" s="1181"/>
      <c r="H46" s="1181"/>
      <c r="I46" s="1182"/>
      <c r="J46" s="1181"/>
      <c r="K46" s="1181"/>
      <c r="L46" s="1181"/>
      <c r="M46" s="1181"/>
      <c r="N46" s="1181"/>
      <c r="O46" s="1182"/>
      <c r="P46" s="1189"/>
      <c r="Q46" s="1182"/>
      <c r="R46" s="1182"/>
      <c r="S46" s="1182"/>
      <c r="T46" s="1183"/>
      <c r="U46" s="1183"/>
      <c r="V46" s="1193"/>
      <c r="W46" s="1193"/>
      <c r="X46" s="1193"/>
      <c r="Y46" s="1183"/>
      <c r="Z46" s="1194"/>
      <c r="AA46" s="1183"/>
      <c r="AB46" s="1183"/>
      <c r="AC46" s="1183"/>
      <c r="AD46" s="1183"/>
      <c r="AE46" s="1183"/>
      <c r="AF46" s="1183"/>
      <c r="AG46" s="1183"/>
      <c r="AH46" s="1183"/>
      <c r="AI46" s="1183"/>
      <c r="AJ46" s="1184"/>
      <c r="AK46" s="1184"/>
      <c r="AL46" s="1185">
        <v>1</v>
      </c>
    </row>
    <row r="47" spans="1:38" s="709" customFormat="1" ht="30" customHeight="1">
      <c r="A47" s="1181"/>
      <c r="B47" s="1189" t="s">
        <v>3058</v>
      </c>
      <c r="C47" s="1190"/>
      <c r="D47" s="1181"/>
      <c r="E47" s="1181"/>
      <c r="F47" s="1181"/>
      <c r="G47" s="1181"/>
      <c r="H47" s="1181"/>
      <c r="I47" s="1182"/>
      <c r="J47" s="1181"/>
      <c r="K47" s="1181"/>
      <c r="L47" s="1181"/>
      <c r="M47" s="1181"/>
      <c r="N47" s="1181"/>
      <c r="O47" s="1182"/>
      <c r="P47" s="1189"/>
      <c r="Q47" s="1182"/>
      <c r="R47" s="1182"/>
      <c r="S47" s="1182"/>
      <c r="T47" s="1183"/>
      <c r="U47" s="1183"/>
      <c r="V47" s="1193"/>
      <c r="W47" s="1193"/>
      <c r="X47" s="1193"/>
      <c r="Y47" s="1183"/>
      <c r="Z47" s="1194"/>
      <c r="AA47" s="1183"/>
      <c r="AB47" s="1183"/>
      <c r="AC47" s="1183"/>
      <c r="AD47" s="1183"/>
      <c r="AE47" s="1183"/>
      <c r="AF47" s="1183"/>
      <c r="AG47" s="1183"/>
      <c r="AH47" s="1183"/>
      <c r="AI47" s="1183"/>
      <c r="AJ47" s="1184"/>
      <c r="AK47" s="1184"/>
      <c r="AL47" s="1185">
        <v>1</v>
      </c>
    </row>
    <row r="48" spans="1:38" s="709" customFormat="1" ht="30" customHeight="1">
      <c r="A48" s="1181"/>
      <c r="B48" s="1189" t="s">
        <v>3059</v>
      </c>
      <c r="C48" s="1190"/>
      <c r="D48" s="1181"/>
      <c r="E48" s="1181"/>
      <c r="F48" s="1181"/>
      <c r="G48" s="1181"/>
      <c r="H48" s="1181"/>
      <c r="I48" s="1182"/>
      <c r="J48" s="1181"/>
      <c r="K48" s="1181"/>
      <c r="L48" s="1181"/>
      <c r="M48" s="1181"/>
      <c r="N48" s="1181"/>
      <c r="O48" s="1182"/>
      <c r="P48" s="1189"/>
      <c r="Q48" s="1182"/>
      <c r="R48" s="1182"/>
      <c r="S48" s="1182"/>
      <c r="T48" s="1183"/>
      <c r="U48" s="1183"/>
      <c r="V48" s="1193"/>
      <c r="W48" s="1193"/>
      <c r="X48" s="1193"/>
      <c r="Y48" s="1183"/>
      <c r="Z48" s="1194"/>
      <c r="AA48" s="1183"/>
      <c r="AB48" s="1183"/>
      <c r="AC48" s="1183"/>
      <c r="AD48" s="1183"/>
      <c r="AE48" s="1183"/>
      <c r="AF48" s="1183"/>
      <c r="AG48" s="1183"/>
      <c r="AH48" s="1183"/>
      <c r="AI48" s="1183"/>
      <c r="AJ48" s="1184"/>
      <c r="AK48" s="1184"/>
      <c r="AL48" s="1185">
        <v>1</v>
      </c>
    </row>
    <row r="49" spans="1:38" s="709" customFormat="1" ht="30" customHeight="1">
      <c r="A49" s="1181"/>
      <c r="B49" s="1189"/>
      <c r="C49" s="1190"/>
      <c r="D49" s="1181"/>
      <c r="E49" s="1181"/>
      <c r="F49" s="1181"/>
      <c r="G49" s="1181"/>
      <c r="H49" s="1181"/>
      <c r="I49" s="1182"/>
      <c r="J49" s="1181"/>
      <c r="K49" s="1181"/>
      <c r="L49" s="1181"/>
      <c r="M49" s="1181"/>
      <c r="N49" s="1181"/>
      <c r="O49" s="1182"/>
      <c r="P49" s="1189"/>
      <c r="Q49" s="1182"/>
      <c r="R49" s="1182"/>
      <c r="S49" s="1182"/>
      <c r="T49" s="1183"/>
      <c r="U49" s="1183"/>
      <c r="V49" s="1193"/>
      <c r="W49" s="1193"/>
      <c r="X49" s="1193"/>
      <c r="Y49" s="1183"/>
      <c r="Z49" s="1194"/>
      <c r="AA49" s="1183"/>
      <c r="AB49" s="1183"/>
      <c r="AC49" s="1183"/>
      <c r="AD49" s="1183"/>
      <c r="AE49" s="1183"/>
      <c r="AF49" s="1183"/>
      <c r="AG49" s="1183"/>
      <c r="AH49" s="1183"/>
      <c r="AI49" s="1183"/>
      <c r="AJ49" s="1184"/>
      <c r="AK49" s="1184"/>
      <c r="AL49" s="1185">
        <v>1</v>
      </c>
    </row>
    <row r="50" spans="1:38" s="709" customFormat="1" ht="30" customHeight="1">
      <c r="A50" s="1181"/>
      <c r="B50" s="1189"/>
      <c r="C50" s="1190"/>
      <c r="D50" s="1181"/>
      <c r="E50" s="1181"/>
      <c r="F50" s="1181"/>
      <c r="G50" s="1181"/>
      <c r="H50" s="1181"/>
      <c r="I50" s="1182"/>
      <c r="J50" s="1181"/>
      <c r="K50" s="1181"/>
      <c r="L50" s="1181"/>
      <c r="M50" s="1181"/>
      <c r="N50" s="1181"/>
      <c r="O50" s="1182"/>
      <c r="P50" s="1189"/>
      <c r="Q50" s="1182"/>
      <c r="R50" s="1182"/>
      <c r="S50" s="1182"/>
      <c r="T50" s="1183"/>
      <c r="U50" s="1183"/>
      <c r="V50" s="1193"/>
      <c r="W50" s="1193"/>
      <c r="X50" s="1193"/>
      <c r="Y50" s="1183"/>
      <c r="Z50" s="1194"/>
      <c r="AA50" s="1183"/>
      <c r="AB50" s="1183"/>
      <c r="AC50" s="1183"/>
      <c r="AD50" s="1183"/>
      <c r="AE50" s="1183"/>
      <c r="AF50" s="1183"/>
      <c r="AG50" s="1183"/>
      <c r="AH50" s="1183"/>
      <c r="AI50" s="1183"/>
      <c r="AJ50" s="1184"/>
      <c r="AK50" s="1184"/>
      <c r="AL50" s="1185">
        <v>1</v>
      </c>
    </row>
    <row r="51" spans="1:38" s="709" customFormat="1" ht="30" customHeight="1">
      <c r="A51" s="1181"/>
      <c r="B51" s="1189" t="s">
        <v>3070</v>
      </c>
      <c r="C51" s="1190"/>
      <c r="D51" s="1181"/>
      <c r="E51" s="1181"/>
      <c r="F51" s="1181"/>
      <c r="G51" s="1181"/>
      <c r="H51" s="1181"/>
      <c r="I51" s="1182"/>
      <c r="J51" s="1181"/>
      <c r="K51" s="1181"/>
      <c r="L51" s="1181"/>
      <c r="M51" s="1181"/>
      <c r="N51" s="1181"/>
      <c r="O51" s="1182"/>
      <c r="P51" s="1189"/>
      <c r="Q51" s="1182"/>
      <c r="R51" s="1182"/>
      <c r="S51" s="1182"/>
      <c r="T51" s="1183"/>
      <c r="U51" s="1183"/>
      <c r="V51" s="1193"/>
      <c r="W51" s="1193"/>
      <c r="X51" s="1193"/>
      <c r="Y51" s="1183"/>
      <c r="Z51" s="1194"/>
      <c r="AA51" s="1183"/>
      <c r="AB51" s="1183"/>
      <c r="AC51" s="1183"/>
      <c r="AD51" s="1183"/>
      <c r="AE51" s="1183"/>
      <c r="AF51" s="1183"/>
      <c r="AG51" s="1183"/>
      <c r="AH51" s="1183"/>
      <c r="AI51" s="1183"/>
      <c r="AJ51" s="1184"/>
      <c r="AK51" s="1184"/>
      <c r="AL51" s="1185">
        <v>1</v>
      </c>
    </row>
    <row r="52" spans="1:38" s="709" customFormat="1" ht="30" customHeight="1">
      <c r="A52" s="1181"/>
      <c r="B52" s="1189" t="s">
        <v>3071</v>
      </c>
      <c r="C52" s="1190"/>
      <c r="D52" s="1181"/>
      <c r="E52" s="1181"/>
      <c r="F52" s="1181"/>
      <c r="G52" s="1181"/>
      <c r="H52" s="1181"/>
      <c r="I52" s="1182"/>
      <c r="J52" s="1181"/>
      <c r="K52" s="1181"/>
      <c r="L52" s="1181"/>
      <c r="M52" s="1181"/>
      <c r="N52" s="1181"/>
      <c r="O52" s="1182"/>
      <c r="P52" s="1189"/>
      <c r="Q52" s="1182"/>
      <c r="R52" s="1182"/>
      <c r="S52" s="1182"/>
      <c r="T52" s="1183"/>
      <c r="U52" s="1183"/>
      <c r="V52" s="1193"/>
      <c r="W52" s="1193"/>
      <c r="X52" s="1193"/>
      <c r="Y52" s="1183"/>
      <c r="Z52" s="1194"/>
      <c r="AA52" s="1183"/>
      <c r="AB52" s="1183"/>
      <c r="AC52" s="1183"/>
      <c r="AD52" s="1183"/>
      <c r="AE52" s="1183"/>
      <c r="AF52" s="1183"/>
      <c r="AG52" s="1183"/>
      <c r="AH52" s="1183"/>
      <c r="AI52" s="1183"/>
      <c r="AJ52" s="1184"/>
      <c r="AK52" s="1184"/>
      <c r="AL52" s="1185">
        <v>1</v>
      </c>
    </row>
    <row r="53" spans="1:38" s="709" customFormat="1" ht="30" customHeight="1">
      <c r="A53" s="1181"/>
      <c r="B53" s="1189" t="s">
        <v>3072</v>
      </c>
      <c r="C53" s="1190"/>
      <c r="D53" s="1181"/>
      <c r="E53" s="1181"/>
      <c r="F53" s="1181"/>
      <c r="G53" s="1181"/>
      <c r="H53" s="1181"/>
      <c r="I53" s="1182"/>
      <c r="J53" s="1181"/>
      <c r="K53" s="1181"/>
      <c r="L53" s="1181"/>
      <c r="M53" s="1181"/>
      <c r="N53" s="1181"/>
      <c r="O53" s="1182"/>
      <c r="P53" s="1189"/>
      <c r="Q53" s="1182"/>
      <c r="R53" s="1182"/>
      <c r="S53" s="1182"/>
      <c r="T53" s="1183"/>
      <c r="U53" s="1183"/>
      <c r="V53" s="1193"/>
      <c r="W53" s="1193"/>
      <c r="X53" s="1193"/>
      <c r="Y53" s="1183"/>
      <c r="Z53" s="1194"/>
      <c r="AA53" s="1183"/>
      <c r="AB53" s="1183"/>
      <c r="AC53" s="1183"/>
      <c r="AD53" s="1183"/>
      <c r="AE53" s="1183"/>
      <c r="AF53" s="1183"/>
      <c r="AG53" s="1183"/>
      <c r="AH53" s="1183"/>
      <c r="AI53" s="1183"/>
      <c r="AJ53" s="1184"/>
      <c r="AK53" s="1184"/>
      <c r="AL53" s="1185">
        <v>1</v>
      </c>
    </row>
    <row r="54" spans="1:38" s="709" customFormat="1" ht="30" customHeight="1">
      <c r="A54" s="1181"/>
      <c r="B54" s="1189"/>
      <c r="C54" s="1190"/>
      <c r="D54" s="1181"/>
      <c r="E54" s="1181"/>
      <c r="F54" s="1181"/>
      <c r="G54" s="1181"/>
      <c r="H54" s="1181"/>
      <c r="I54" s="1182"/>
      <c r="J54" s="1181"/>
      <c r="K54" s="1181"/>
      <c r="L54" s="1181"/>
      <c r="M54" s="1181"/>
      <c r="N54" s="1181"/>
      <c r="O54" s="1182"/>
      <c r="P54" s="1189"/>
      <c r="Q54" s="1182"/>
      <c r="R54" s="1182"/>
      <c r="S54" s="1182"/>
      <c r="T54" s="1183"/>
      <c r="U54" s="1183"/>
      <c r="V54" s="1193"/>
      <c r="W54" s="1193"/>
      <c r="X54" s="1193"/>
      <c r="Y54" s="1183"/>
      <c r="Z54" s="1194"/>
      <c r="AA54" s="1183"/>
      <c r="AB54" s="1183"/>
      <c r="AC54" s="1183"/>
      <c r="AD54" s="1183"/>
      <c r="AE54" s="1183"/>
      <c r="AF54" s="1183"/>
      <c r="AG54" s="1183"/>
      <c r="AH54" s="1183"/>
      <c r="AI54" s="1183"/>
      <c r="AJ54" s="1184"/>
      <c r="AK54" s="1184"/>
      <c r="AL54" s="1185">
        <v>1</v>
      </c>
    </row>
    <row r="55" spans="1:38" s="709" customFormat="1" ht="30" customHeight="1">
      <c r="A55" s="1181"/>
      <c r="B55" s="1196" t="s">
        <v>3075</v>
      </c>
      <c r="C55" s="1190"/>
      <c r="D55" s="1181"/>
      <c r="E55" s="1181"/>
      <c r="F55" s="1181"/>
      <c r="G55" s="1181"/>
      <c r="H55" s="1181"/>
      <c r="I55" s="1182"/>
      <c r="J55" s="1181"/>
      <c r="K55" s="1181"/>
      <c r="L55" s="1181"/>
      <c r="M55" s="1181"/>
      <c r="N55" s="1181"/>
      <c r="O55" s="1182"/>
      <c r="P55" s="1189"/>
      <c r="Q55" s="1182"/>
      <c r="R55" s="1182"/>
      <c r="S55" s="1182"/>
      <c r="T55" s="1183"/>
      <c r="U55" s="1183"/>
      <c r="V55" s="1193"/>
      <c r="W55" s="1193"/>
      <c r="X55" s="1193"/>
      <c r="Y55" s="1183"/>
      <c r="Z55" s="1194"/>
      <c r="AA55" s="1183"/>
      <c r="AB55" s="1183"/>
      <c r="AC55" s="1183"/>
      <c r="AD55" s="1183"/>
      <c r="AE55" s="1183"/>
      <c r="AF55" s="1183"/>
      <c r="AG55" s="1183"/>
      <c r="AH55" s="1183"/>
      <c r="AI55" s="1183"/>
      <c r="AJ55" s="1184"/>
      <c r="AK55" s="1184"/>
      <c r="AL55" s="1185">
        <v>1</v>
      </c>
    </row>
    <row r="56" spans="1:38" s="709" customFormat="1" ht="30" customHeight="1">
      <c r="A56" s="1181"/>
      <c r="B56" s="1196" t="s">
        <v>3076</v>
      </c>
      <c r="C56" s="1190"/>
      <c r="D56" s="1181"/>
      <c r="E56" s="1181"/>
      <c r="F56" s="1181"/>
      <c r="G56" s="1181"/>
      <c r="H56" s="1181"/>
      <c r="I56" s="1182"/>
      <c r="J56" s="1181"/>
      <c r="K56" s="1181"/>
      <c r="L56" s="1181"/>
      <c r="M56" s="1181"/>
      <c r="N56" s="1181"/>
      <c r="O56" s="1182"/>
      <c r="P56" s="1189"/>
      <c r="Q56" s="1182"/>
      <c r="R56" s="1182"/>
      <c r="S56" s="1182"/>
      <c r="T56" s="1183"/>
      <c r="U56" s="1183"/>
      <c r="V56" s="1193"/>
      <c r="W56" s="1193"/>
      <c r="X56" s="1193"/>
      <c r="Y56" s="1183"/>
      <c r="Z56" s="1194"/>
      <c r="AA56" s="1183"/>
      <c r="AB56" s="1183"/>
      <c r="AC56" s="1183"/>
      <c r="AD56" s="1183"/>
      <c r="AE56" s="1183"/>
      <c r="AF56" s="1183"/>
      <c r="AG56" s="1183"/>
      <c r="AH56" s="1183"/>
      <c r="AI56" s="1183"/>
      <c r="AJ56" s="1184"/>
      <c r="AK56" s="1184"/>
      <c r="AL56" s="1185">
        <v>1</v>
      </c>
    </row>
    <row r="57" spans="1:38" s="709" customFormat="1" ht="30" customHeight="1">
      <c r="A57" s="1181"/>
      <c r="B57" s="1189"/>
      <c r="C57" s="1190"/>
      <c r="D57" s="1181"/>
      <c r="E57" s="1181"/>
      <c r="F57" s="1181"/>
      <c r="G57" s="1181"/>
      <c r="H57" s="1181"/>
      <c r="I57" s="1182"/>
      <c r="J57" s="1181"/>
      <c r="K57" s="1181"/>
      <c r="L57" s="1181"/>
      <c r="M57" s="1181"/>
      <c r="N57" s="1181"/>
      <c r="O57" s="1182"/>
      <c r="P57" s="1189"/>
      <c r="Q57" s="1182"/>
      <c r="R57" s="1182"/>
      <c r="S57" s="1182"/>
      <c r="T57" s="1183"/>
      <c r="U57" s="1183"/>
      <c r="V57" s="1193"/>
      <c r="W57" s="1193"/>
      <c r="X57" s="1193"/>
      <c r="Y57" s="1183"/>
      <c r="Z57" s="1194"/>
      <c r="AA57" s="1183"/>
      <c r="AB57" s="1183"/>
      <c r="AC57" s="1183"/>
      <c r="AD57" s="1183"/>
      <c r="AE57" s="1183"/>
      <c r="AF57" s="1183"/>
      <c r="AG57" s="1183"/>
      <c r="AH57" s="1183"/>
      <c r="AI57" s="1183"/>
      <c r="AJ57" s="1184"/>
      <c r="AK57" s="1184"/>
      <c r="AL57" s="1185">
        <v>1</v>
      </c>
    </row>
    <row r="58" spans="1:38" s="709" customFormat="1" ht="30" customHeight="1">
      <c r="A58" s="1181"/>
      <c r="B58" s="1214" t="s">
        <v>3090</v>
      </c>
      <c r="C58" s="1215"/>
      <c r="D58" s="1181"/>
      <c r="E58" s="1181"/>
      <c r="F58" s="1181"/>
      <c r="G58" s="1181"/>
      <c r="H58" s="1181"/>
      <c r="I58" s="1182"/>
      <c r="J58" s="1181"/>
      <c r="K58" s="1181"/>
      <c r="L58" s="1181"/>
      <c r="M58" s="1181"/>
      <c r="N58" s="1181"/>
      <c r="O58" s="1182"/>
      <c r="P58" s="1189"/>
      <c r="Q58" s="1182"/>
      <c r="R58" s="1182"/>
      <c r="S58" s="1182"/>
      <c r="T58" s="1183"/>
      <c r="U58" s="1183"/>
      <c r="V58" s="1193"/>
      <c r="W58" s="1193"/>
      <c r="X58" s="1193"/>
      <c r="Y58" s="1183"/>
      <c r="Z58" s="1194"/>
      <c r="AA58" s="1183"/>
      <c r="AB58" s="1183"/>
      <c r="AC58" s="1183"/>
      <c r="AD58" s="1183"/>
      <c r="AE58" s="1183"/>
      <c r="AF58" s="1183"/>
      <c r="AG58" s="1183"/>
      <c r="AH58" s="1183"/>
      <c r="AI58" s="1183"/>
      <c r="AJ58" s="1184"/>
      <c r="AK58" s="1184"/>
      <c r="AL58" s="1185">
        <v>1</v>
      </c>
    </row>
    <row r="59" spans="1:38" s="709" customFormat="1" ht="30" customHeight="1">
      <c r="A59" s="1181"/>
      <c r="B59" s="1213"/>
      <c r="C59" s="1214" t="s">
        <v>3091</v>
      </c>
      <c r="D59" s="1181"/>
      <c r="E59" s="1181"/>
      <c r="F59" s="1181"/>
      <c r="G59" s="1181"/>
      <c r="H59" s="1181"/>
      <c r="I59" s="1182"/>
      <c r="J59" s="1181"/>
      <c r="K59" s="1181"/>
      <c r="L59" s="1181"/>
      <c r="M59" s="1181"/>
      <c r="N59" s="1181"/>
      <c r="O59" s="1182"/>
      <c r="P59" s="1189"/>
      <c r="Q59" s="1182"/>
      <c r="R59" s="1182"/>
      <c r="S59" s="1182"/>
      <c r="T59" s="1183"/>
      <c r="U59" s="1183"/>
      <c r="V59" s="1193"/>
      <c r="W59" s="1193"/>
      <c r="X59" s="1193"/>
      <c r="Y59" s="1183"/>
      <c r="Z59" s="1194"/>
      <c r="AA59" s="1183"/>
      <c r="AB59" s="1183"/>
      <c r="AC59" s="1183"/>
      <c r="AD59" s="1183"/>
      <c r="AE59" s="1183"/>
      <c r="AF59" s="1183"/>
      <c r="AG59" s="1183"/>
      <c r="AH59" s="1183"/>
      <c r="AI59" s="1183"/>
      <c r="AJ59" s="1184"/>
      <c r="AK59" s="1184"/>
      <c r="AL59" s="1185">
        <v>1</v>
      </c>
    </row>
    <row r="60" spans="1:38" s="709" customFormat="1" ht="30" customHeight="1">
      <c r="A60" s="1181"/>
      <c r="B60" s="1213"/>
      <c r="C60" s="1214" t="s">
        <v>3092</v>
      </c>
      <c r="D60" s="1181"/>
      <c r="E60" s="1181"/>
      <c r="F60" s="1181"/>
      <c r="G60" s="1181"/>
      <c r="H60" s="1181"/>
      <c r="I60" s="1182"/>
      <c r="J60" s="1181"/>
      <c r="K60" s="1181"/>
      <c r="L60" s="1181"/>
      <c r="M60" s="1181"/>
      <c r="N60" s="1181"/>
      <c r="O60" s="1182"/>
      <c r="P60" s="1189"/>
      <c r="Q60" s="1182"/>
      <c r="R60" s="1182"/>
      <c r="S60" s="1182"/>
      <c r="T60" s="1183"/>
      <c r="U60" s="1183"/>
      <c r="V60" s="1193"/>
      <c r="W60" s="1193"/>
      <c r="X60" s="1193"/>
      <c r="Y60" s="1183"/>
      <c r="Z60" s="1194"/>
      <c r="AA60" s="1183"/>
      <c r="AB60" s="1183"/>
      <c r="AC60" s="1183"/>
      <c r="AD60" s="1183"/>
      <c r="AE60" s="1183"/>
      <c r="AF60" s="1183"/>
      <c r="AG60" s="1183"/>
      <c r="AH60" s="1183"/>
      <c r="AI60" s="1183"/>
      <c r="AJ60" s="1184"/>
      <c r="AK60" s="1184"/>
      <c r="AL60" s="1185">
        <v>1</v>
      </c>
    </row>
    <row r="61" spans="1:38" s="709" customFormat="1" ht="30" customHeight="1">
      <c r="A61" s="1181"/>
      <c r="B61" s="1189"/>
      <c r="C61" s="1190"/>
      <c r="D61" s="1181"/>
      <c r="E61" s="1181"/>
      <c r="F61" s="1181"/>
      <c r="G61" s="1181"/>
      <c r="H61" s="1181"/>
      <c r="I61" s="1182"/>
      <c r="J61" s="1181"/>
      <c r="K61" s="1181"/>
      <c r="L61" s="1181"/>
      <c r="M61" s="1181"/>
      <c r="N61" s="1181"/>
      <c r="O61" s="1182"/>
      <c r="P61" s="1189"/>
      <c r="Q61" s="1182"/>
      <c r="R61" s="1182"/>
      <c r="S61" s="1182"/>
      <c r="T61" s="1183"/>
      <c r="U61" s="1183"/>
      <c r="V61" s="1193"/>
      <c r="W61" s="1193"/>
      <c r="X61" s="1193"/>
      <c r="Y61" s="1183"/>
      <c r="Z61" s="1194"/>
      <c r="AA61" s="1183"/>
      <c r="AB61" s="1183"/>
      <c r="AC61" s="1183"/>
      <c r="AD61" s="1183"/>
      <c r="AE61" s="1183"/>
      <c r="AF61" s="1183"/>
      <c r="AG61" s="1183"/>
      <c r="AH61" s="1183"/>
      <c r="AI61" s="1183"/>
      <c r="AJ61" s="1184"/>
      <c r="AK61" s="1184"/>
      <c r="AL61" s="1185">
        <v>1</v>
      </c>
    </row>
    <row r="62" spans="1:38" s="709" customFormat="1" ht="30" customHeight="1">
      <c r="A62" s="1181"/>
      <c r="B62" s="1189" t="s">
        <v>3098</v>
      </c>
      <c r="C62" s="1190"/>
      <c r="D62" s="1181"/>
      <c r="E62" s="1181"/>
      <c r="F62" s="1181"/>
      <c r="G62" s="1181"/>
      <c r="H62" s="1181"/>
      <c r="I62" s="1182"/>
      <c r="J62" s="1181"/>
      <c r="K62" s="1181"/>
      <c r="L62" s="1181"/>
      <c r="M62" s="1181"/>
      <c r="N62" s="1181"/>
      <c r="O62" s="1182"/>
      <c r="P62" s="1189"/>
      <c r="Q62" s="1182"/>
      <c r="R62" s="1182"/>
      <c r="S62" s="1182"/>
      <c r="T62" s="1183"/>
      <c r="U62" s="1183"/>
      <c r="V62" s="1193"/>
      <c r="W62" s="1193"/>
      <c r="X62" s="1193"/>
      <c r="Y62" s="1183"/>
      <c r="Z62" s="1194"/>
      <c r="AA62" s="1183"/>
      <c r="AB62" s="1183"/>
      <c r="AC62" s="1183"/>
      <c r="AD62" s="1183"/>
      <c r="AE62" s="1183"/>
      <c r="AF62" s="1183"/>
      <c r="AG62" s="1183"/>
      <c r="AH62" s="1183"/>
      <c r="AI62" s="1183"/>
      <c r="AJ62" s="1184"/>
      <c r="AK62" s="1184"/>
      <c r="AL62" s="1185">
        <v>1</v>
      </c>
    </row>
    <row r="63" spans="1:38" s="709" customFormat="1" ht="30" customHeight="1">
      <c r="A63" s="1181"/>
      <c r="B63" s="1189" t="s">
        <v>3099</v>
      </c>
      <c r="C63" s="1190"/>
      <c r="D63" s="1181"/>
      <c r="E63" s="1181"/>
      <c r="F63" s="1181"/>
      <c r="G63" s="1181"/>
      <c r="H63" s="1181"/>
      <c r="I63" s="1182"/>
      <c r="J63" s="1181"/>
      <c r="K63" s="1181"/>
      <c r="L63" s="1181"/>
      <c r="M63" s="1181"/>
      <c r="N63" s="1181"/>
      <c r="O63" s="1182"/>
      <c r="P63" s="1189"/>
      <c r="Q63" s="1182"/>
      <c r="R63" s="1182"/>
      <c r="S63" s="1182"/>
      <c r="T63" s="1183"/>
      <c r="U63" s="1183"/>
      <c r="V63" s="1193"/>
      <c r="W63" s="1193"/>
      <c r="X63" s="1193"/>
      <c r="Y63" s="1183"/>
      <c r="Z63" s="1194"/>
      <c r="AA63" s="1183"/>
      <c r="AB63" s="1183"/>
      <c r="AC63" s="1183"/>
      <c r="AD63" s="1183"/>
      <c r="AE63" s="1183"/>
      <c r="AF63" s="1183"/>
      <c r="AG63" s="1183"/>
      <c r="AH63" s="1183"/>
      <c r="AI63" s="1183"/>
      <c r="AJ63" s="1184"/>
      <c r="AK63" s="1184"/>
      <c r="AL63" s="1185">
        <v>1</v>
      </c>
    </row>
    <row r="64" spans="1:38" s="709" customFormat="1" ht="30" customHeight="1">
      <c r="A64" s="1181"/>
      <c r="B64" s="1189" t="s">
        <v>3100</v>
      </c>
      <c r="C64" s="1190"/>
      <c r="D64" s="1181"/>
      <c r="E64" s="1181"/>
      <c r="F64" s="1181"/>
      <c r="G64" s="1181"/>
      <c r="H64" s="1181"/>
      <c r="I64" s="1182"/>
      <c r="J64" s="1181"/>
      <c r="K64" s="1181"/>
      <c r="L64" s="1181"/>
      <c r="M64" s="1181"/>
      <c r="N64" s="1181"/>
      <c r="O64" s="1182"/>
      <c r="P64" s="1189"/>
      <c r="Q64" s="1182"/>
      <c r="R64" s="1182"/>
      <c r="S64" s="1182"/>
      <c r="T64" s="1183"/>
      <c r="U64" s="1183"/>
      <c r="V64" s="1193"/>
      <c r="W64" s="1193"/>
      <c r="X64" s="1193"/>
      <c r="Y64" s="1183"/>
      <c r="Z64" s="1194"/>
      <c r="AA64" s="1183"/>
      <c r="AB64" s="1183"/>
      <c r="AC64" s="1183"/>
      <c r="AD64" s="1183"/>
      <c r="AE64" s="1183"/>
      <c r="AF64" s="1183"/>
      <c r="AG64" s="1183"/>
      <c r="AH64" s="1183"/>
      <c r="AI64" s="1183"/>
      <c r="AJ64" s="1184"/>
      <c r="AK64" s="1184"/>
      <c r="AL64" s="1185">
        <v>1</v>
      </c>
    </row>
    <row r="65" spans="1:38" s="709" customFormat="1" ht="30" customHeight="1">
      <c r="A65" s="1181"/>
      <c r="B65" s="1189" t="s">
        <v>3101</v>
      </c>
      <c r="C65" s="1190"/>
      <c r="D65" s="1181"/>
      <c r="E65" s="1181"/>
      <c r="F65" s="1181"/>
      <c r="G65" s="1181"/>
      <c r="H65" s="1181"/>
      <c r="I65" s="1182"/>
      <c r="J65" s="1181"/>
      <c r="K65" s="1181"/>
      <c r="L65" s="1181"/>
      <c r="M65" s="1181"/>
      <c r="N65" s="1181"/>
      <c r="O65" s="1182"/>
      <c r="P65" s="1189"/>
      <c r="Q65" s="1182"/>
      <c r="R65" s="1182"/>
      <c r="S65" s="1182"/>
      <c r="T65" s="1183"/>
      <c r="U65" s="1183"/>
      <c r="V65" s="1193"/>
      <c r="W65" s="1193"/>
      <c r="X65" s="1193"/>
      <c r="Y65" s="1183"/>
      <c r="Z65" s="1194"/>
      <c r="AA65" s="1183"/>
      <c r="AB65" s="1183"/>
      <c r="AC65" s="1183"/>
      <c r="AD65" s="1183"/>
      <c r="AE65" s="1183"/>
      <c r="AF65" s="1183"/>
      <c r="AG65" s="1183"/>
      <c r="AH65" s="1183"/>
      <c r="AI65" s="1183"/>
      <c r="AJ65" s="1184"/>
      <c r="AK65" s="1184"/>
      <c r="AL65" s="1185">
        <v>1</v>
      </c>
    </row>
    <row r="66" spans="1:38" s="709" customFormat="1" ht="30" customHeight="1">
      <c r="A66" s="1181"/>
      <c r="B66" s="1189" t="s">
        <v>3102</v>
      </c>
      <c r="C66" s="1190"/>
      <c r="D66" s="1181"/>
      <c r="E66" s="1181"/>
      <c r="F66" s="1181"/>
      <c r="G66" s="1181"/>
      <c r="H66" s="1181"/>
      <c r="I66" s="1182"/>
      <c r="J66" s="1181"/>
      <c r="K66" s="1181"/>
      <c r="L66" s="1181"/>
      <c r="M66" s="1181"/>
      <c r="N66" s="1181"/>
      <c r="O66" s="1182"/>
      <c r="P66" s="1189"/>
      <c r="Q66" s="1182"/>
      <c r="R66" s="1182"/>
      <c r="S66" s="1182"/>
      <c r="T66" s="1183"/>
      <c r="U66" s="1183"/>
      <c r="V66" s="1193"/>
      <c r="W66" s="1193"/>
      <c r="X66" s="1193"/>
      <c r="Y66" s="1183"/>
      <c r="Z66" s="1194"/>
      <c r="AA66" s="1183"/>
      <c r="AB66" s="1183"/>
      <c r="AC66" s="1183"/>
      <c r="AD66" s="1183"/>
      <c r="AE66" s="1183"/>
      <c r="AF66" s="1183"/>
      <c r="AG66" s="1183"/>
      <c r="AH66" s="1183"/>
      <c r="AI66" s="1183"/>
      <c r="AJ66" s="1184"/>
      <c r="AK66" s="1184"/>
      <c r="AL66" s="1185">
        <v>1</v>
      </c>
    </row>
    <row r="67" spans="1:38" s="709" customFormat="1" ht="30" customHeight="1">
      <c r="A67" s="1181"/>
      <c r="B67" s="1189" t="s">
        <v>3103</v>
      </c>
      <c r="C67" s="1190"/>
      <c r="D67" s="1181"/>
      <c r="E67" s="1181"/>
      <c r="F67" s="1181"/>
      <c r="G67" s="1181"/>
      <c r="H67" s="1181"/>
      <c r="I67" s="1182"/>
      <c r="J67" s="1181"/>
      <c r="K67" s="1181"/>
      <c r="L67" s="1181"/>
      <c r="M67" s="1181"/>
      <c r="N67" s="1181"/>
      <c r="O67" s="1182"/>
      <c r="P67" s="1189"/>
      <c r="Q67" s="1182"/>
      <c r="R67" s="1182"/>
      <c r="S67" s="1182"/>
      <c r="T67" s="1183"/>
      <c r="U67" s="1183"/>
      <c r="V67" s="1193"/>
      <c r="W67" s="1193"/>
      <c r="X67" s="1193"/>
      <c r="Y67" s="1183"/>
      <c r="Z67" s="1194"/>
      <c r="AA67" s="1183"/>
      <c r="AB67" s="1183"/>
      <c r="AC67" s="1183"/>
      <c r="AD67" s="1183"/>
      <c r="AE67" s="1183"/>
      <c r="AF67" s="1183"/>
      <c r="AG67" s="1183"/>
      <c r="AH67" s="1183"/>
      <c r="AI67" s="1183"/>
      <c r="AJ67" s="1184"/>
      <c r="AK67" s="1184"/>
      <c r="AL67" s="1185">
        <v>1</v>
      </c>
    </row>
    <row r="68" spans="1:38" s="709" customFormat="1" ht="30" customHeight="1" thickBot="1">
      <c r="A68" s="1181"/>
      <c r="B68" s="1189"/>
      <c r="C68" s="1190"/>
      <c r="D68" s="1181"/>
      <c r="E68" s="1181"/>
      <c r="F68" s="1181"/>
      <c r="G68" s="1181"/>
      <c r="H68" s="1181"/>
      <c r="I68" s="1182"/>
      <c r="J68" s="1181"/>
      <c r="K68" s="1181"/>
      <c r="L68" s="1181"/>
      <c r="M68" s="1181"/>
      <c r="N68" s="1181"/>
      <c r="O68" s="1182"/>
      <c r="P68" s="1189"/>
      <c r="Q68" s="1182"/>
      <c r="R68" s="1182"/>
      <c r="S68" s="1182"/>
      <c r="T68" s="1183"/>
      <c r="U68" s="1183"/>
      <c r="V68" s="1193"/>
      <c r="W68" s="1193"/>
      <c r="X68" s="1193"/>
      <c r="Y68" s="1183"/>
      <c r="Z68" s="1194"/>
      <c r="AA68" s="1183"/>
      <c r="AB68" s="1183"/>
      <c r="AC68" s="1183"/>
      <c r="AD68" s="1183"/>
      <c r="AE68" s="1183"/>
      <c r="AF68" s="1183"/>
      <c r="AG68" s="1183"/>
      <c r="AH68" s="1183"/>
      <c r="AI68" s="1183"/>
      <c r="AJ68" s="1184"/>
      <c r="AK68" s="1184"/>
      <c r="AL68" s="1185">
        <v>1</v>
      </c>
    </row>
    <row r="69" spans="1:38" s="709" customFormat="1" ht="30" customHeight="1">
      <c r="A69" s="1181"/>
      <c r="B69" s="1189"/>
      <c r="C69" s="1190"/>
      <c r="D69" s="953" t="s">
        <v>11</v>
      </c>
      <c r="E69" s="954" t="s">
        <v>1681</v>
      </c>
      <c r="F69" s="955"/>
      <c r="G69" s="955">
        <f>U65</f>
        <v>0</v>
      </c>
      <c r="H69" s="956"/>
      <c r="I69" s="956"/>
      <c r="J69" s="956"/>
      <c r="K69" s="956"/>
      <c r="L69" s="956"/>
      <c r="M69" s="956"/>
      <c r="N69" s="1181"/>
      <c r="O69" s="1182"/>
      <c r="P69" s="1189"/>
      <c r="Q69" s="1182"/>
      <c r="R69" s="1182"/>
      <c r="S69" s="1221" t="s">
        <v>3246</v>
      </c>
      <c r="T69" s="1222"/>
      <c r="U69" s="1223"/>
      <c r="V69" s="1223"/>
      <c r="W69" s="1223"/>
      <c r="X69" s="1223"/>
      <c r="Y69" s="1223"/>
      <c r="Z69" s="1223"/>
      <c r="AA69" s="1223"/>
      <c r="AB69" s="1223"/>
      <c r="AC69" s="1223"/>
      <c r="AD69" s="1223"/>
      <c r="AE69" s="1223"/>
      <c r="AF69" s="1223"/>
      <c r="AG69" s="1223"/>
      <c r="AH69" s="1223"/>
      <c r="AI69" s="1224"/>
      <c r="AJ69" s="1184"/>
      <c r="AK69" s="1184"/>
      <c r="AL69" s="1185">
        <v>1</v>
      </c>
    </row>
    <row r="70" spans="1:38" s="709" customFormat="1" ht="30" customHeight="1">
      <c r="A70" s="1181"/>
      <c r="B70" s="1189"/>
      <c r="C70" s="1190"/>
      <c r="D70" s="959" t="s">
        <v>11</v>
      </c>
      <c r="E70" s="5391" t="s">
        <v>1687</v>
      </c>
      <c r="F70" s="5391"/>
      <c r="G70" s="5391"/>
      <c r="H70" s="5391"/>
      <c r="I70" s="5391"/>
      <c r="J70" s="5391"/>
      <c r="K70" s="5391"/>
      <c r="L70" s="5391"/>
      <c r="M70" s="5391"/>
      <c r="N70" s="1181"/>
      <c r="O70" s="1182"/>
      <c r="P70" s="1189"/>
      <c r="Q70" s="1182"/>
      <c r="R70" s="1182"/>
      <c r="S70" s="1225"/>
      <c r="T70" s="1226" t="s">
        <v>3247</v>
      </c>
      <c r="U70" s="1227"/>
      <c r="V70" s="1228"/>
      <c r="W70" s="1228"/>
      <c r="X70" s="1228"/>
      <c r="Y70" s="1228"/>
      <c r="Z70" s="1228"/>
      <c r="AA70" s="1228"/>
      <c r="AB70" s="1228"/>
      <c r="AC70" s="1228"/>
      <c r="AD70" s="1228"/>
      <c r="AE70" s="1228"/>
      <c r="AF70" s="1228"/>
      <c r="AG70" s="1228"/>
      <c r="AH70" s="1228"/>
      <c r="AI70" s="1229"/>
      <c r="AJ70" s="1184"/>
      <c r="AK70" s="1184"/>
      <c r="AL70" s="1185">
        <v>1</v>
      </c>
    </row>
    <row r="71" spans="1:38" s="709" customFormat="1" ht="30" customHeight="1">
      <c r="A71" s="1181"/>
      <c r="B71" s="1189"/>
      <c r="C71" s="1190"/>
      <c r="D71" s="959" t="s">
        <v>11</v>
      </c>
      <c r="E71" s="5391"/>
      <c r="F71" s="5391"/>
      <c r="G71" s="5391"/>
      <c r="H71" s="5391"/>
      <c r="I71" s="5391"/>
      <c r="J71" s="5391"/>
      <c r="K71" s="5391"/>
      <c r="L71" s="5391"/>
      <c r="M71" s="5391"/>
      <c r="N71" s="1181"/>
      <c r="O71" s="1182"/>
      <c r="P71" s="1189"/>
      <c r="Q71" s="1182"/>
      <c r="R71" s="1182"/>
      <c r="S71" s="1182"/>
      <c r="T71" s="1183"/>
      <c r="U71" s="1183"/>
      <c r="V71" s="1193"/>
      <c r="W71" s="1193"/>
      <c r="X71" s="1193"/>
      <c r="Y71" s="1183"/>
      <c r="Z71" s="1194"/>
      <c r="AA71" s="1183"/>
      <c r="AB71" s="1183"/>
      <c r="AC71" s="1183"/>
      <c r="AD71" s="1183"/>
      <c r="AE71" s="1183"/>
      <c r="AF71" s="1183"/>
      <c r="AG71" s="1183"/>
      <c r="AH71" s="1183"/>
      <c r="AI71" s="1183"/>
      <c r="AJ71" s="1184"/>
      <c r="AK71" s="1184"/>
      <c r="AL71" s="1185">
        <v>1</v>
      </c>
    </row>
    <row r="72" spans="1:38" s="709" customFormat="1" ht="30" customHeight="1">
      <c r="A72" s="1181"/>
      <c r="B72" s="1189"/>
      <c r="C72" s="1190"/>
      <c r="D72" s="959" t="s">
        <v>11</v>
      </c>
      <c r="E72" s="1462" t="s">
        <v>1695</v>
      </c>
      <c r="F72" s="1462"/>
      <c r="G72" s="1463"/>
      <c r="H72" s="1464"/>
      <c r="I72" s="1464"/>
      <c r="J72" s="1465"/>
      <c r="K72" s="1465"/>
      <c r="L72" s="1465"/>
      <c r="M72" s="1465"/>
      <c r="N72" s="1181"/>
      <c r="O72" s="1182"/>
      <c r="P72" s="1189"/>
      <c r="Q72" s="1182"/>
      <c r="R72" s="1182"/>
      <c r="S72" s="1182"/>
      <c r="T72" s="1183"/>
      <c r="U72" s="1183"/>
      <c r="V72" s="1193"/>
      <c r="W72" s="1193"/>
      <c r="X72" s="1193"/>
      <c r="Y72" s="1183"/>
      <c r="Z72" s="1194"/>
      <c r="AA72" s="1183"/>
      <c r="AB72" s="1183"/>
      <c r="AC72" s="1183"/>
      <c r="AD72" s="1183"/>
      <c r="AE72" s="1183"/>
      <c r="AF72" s="1183"/>
      <c r="AG72" s="1183"/>
      <c r="AH72" s="1183"/>
      <c r="AI72" s="1183"/>
      <c r="AJ72" s="1184"/>
      <c r="AK72" s="1184"/>
      <c r="AL72" s="1185">
        <v>1</v>
      </c>
    </row>
    <row r="73" spans="1:38" s="709" customFormat="1" ht="30" customHeight="1">
      <c r="A73" s="1181"/>
      <c r="B73" s="1189"/>
      <c r="C73" s="1190"/>
      <c r="D73" s="959" t="s">
        <v>11</v>
      </c>
      <c r="E73" s="1462" t="s">
        <v>1698</v>
      </c>
      <c r="F73" s="1463"/>
      <c r="G73" s="1463"/>
      <c r="H73" s="1464"/>
      <c r="I73" s="1464"/>
      <c r="J73" s="1465"/>
      <c r="K73" s="1465"/>
      <c r="L73" s="1465"/>
      <c r="M73" s="1465"/>
      <c r="N73" s="1181"/>
      <c r="O73" s="1182"/>
      <c r="P73" s="1189"/>
      <c r="Q73" s="1182"/>
      <c r="R73" s="1182"/>
      <c r="S73" s="1182"/>
      <c r="T73" s="1183"/>
      <c r="U73" s="1183"/>
      <c r="V73" s="1193"/>
      <c r="W73" s="1193"/>
      <c r="X73" s="1193"/>
      <c r="Y73" s="1183"/>
      <c r="Z73" s="1194"/>
      <c r="AA73" s="1183"/>
      <c r="AB73" s="1183"/>
      <c r="AC73" s="1183"/>
      <c r="AD73" s="1183"/>
      <c r="AE73" s="1183"/>
      <c r="AF73" s="1183"/>
      <c r="AG73" s="1183"/>
      <c r="AH73" s="1183"/>
      <c r="AI73" s="1183"/>
      <c r="AJ73" s="1184"/>
      <c r="AK73" s="1184"/>
      <c r="AL73" s="1185">
        <v>1</v>
      </c>
    </row>
    <row r="74" spans="1:38" s="709" customFormat="1" ht="30" customHeight="1">
      <c r="A74" s="1181"/>
      <c r="B74" s="1189"/>
      <c r="C74" s="1190"/>
      <c r="D74" s="959" t="s">
        <v>11</v>
      </c>
      <c r="E74" s="1467" t="s">
        <v>1712</v>
      </c>
      <c r="F74" s="1463"/>
      <c r="G74" s="1463"/>
      <c r="H74" s="1464"/>
      <c r="I74" s="1464"/>
      <c r="J74" s="1465"/>
      <c r="K74" s="1465"/>
      <c r="L74" s="1465"/>
      <c r="M74" s="1465"/>
      <c r="N74" s="1181"/>
      <c r="O74" s="1182"/>
      <c r="P74" s="1189"/>
      <c r="Q74" s="1182"/>
      <c r="R74" s="1182"/>
      <c r="S74" s="1182"/>
      <c r="T74" s="1183"/>
      <c r="U74" s="1183"/>
      <c r="V74" s="1193"/>
      <c r="W74" s="1193"/>
      <c r="X74" s="1193"/>
      <c r="Y74" s="1183"/>
      <c r="Z74" s="1194"/>
      <c r="AA74" s="1183"/>
      <c r="AB74" s="1183"/>
      <c r="AC74" s="1183"/>
      <c r="AD74" s="1183"/>
      <c r="AE74" s="1183"/>
      <c r="AF74" s="1183"/>
      <c r="AG74" s="1183"/>
      <c r="AH74" s="1183"/>
      <c r="AI74" s="1183"/>
      <c r="AJ74" s="1184"/>
      <c r="AK74" s="1184"/>
      <c r="AL74" s="1185">
        <v>1</v>
      </c>
    </row>
    <row r="75" spans="1:38" s="709" customFormat="1" ht="30" customHeight="1">
      <c r="A75" s="1181"/>
      <c r="B75" s="1189"/>
      <c r="C75" s="1190"/>
      <c r="D75" s="959" t="s">
        <v>11</v>
      </c>
      <c r="E75" s="1467" t="s">
        <v>1734</v>
      </c>
      <c r="F75" s="1463"/>
      <c r="G75" s="1463"/>
      <c r="H75" s="1464"/>
      <c r="I75" s="1464"/>
      <c r="J75" s="1465"/>
      <c r="K75" s="1465"/>
      <c r="L75" s="1465"/>
      <c r="M75" s="1465"/>
      <c r="N75" s="1181"/>
      <c r="O75" s="1182"/>
      <c r="P75" s="1189"/>
      <c r="Q75" s="1182"/>
      <c r="R75" s="1182"/>
      <c r="S75" s="1182"/>
      <c r="T75" s="1183"/>
      <c r="U75" s="1183"/>
      <c r="V75" s="1193"/>
      <c r="W75" s="1193"/>
      <c r="X75" s="1193"/>
      <c r="Y75" s="1183"/>
      <c r="Z75" s="1194"/>
      <c r="AA75" s="1183"/>
      <c r="AB75" s="1183"/>
      <c r="AC75" s="1183"/>
      <c r="AD75" s="1183"/>
      <c r="AE75" s="1183"/>
      <c r="AF75" s="1183"/>
      <c r="AG75" s="1183"/>
      <c r="AH75" s="1183"/>
      <c r="AI75" s="1183"/>
      <c r="AJ75" s="1184"/>
      <c r="AK75" s="1184"/>
      <c r="AL75" s="1185">
        <v>1</v>
      </c>
    </row>
    <row r="76" spans="1:38" s="709" customFormat="1" ht="30" customHeight="1">
      <c r="A76" s="1181"/>
      <c r="B76" s="1189"/>
      <c r="C76" s="1190"/>
      <c r="D76" s="959" t="s">
        <v>11</v>
      </c>
      <c r="E76" s="1467" t="s">
        <v>1752</v>
      </c>
      <c r="F76" s="1463"/>
      <c r="G76" s="1463"/>
      <c r="H76" s="1464"/>
      <c r="I76" s="1464"/>
      <c r="J76" s="1465"/>
      <c r="K76" s="1465"/>
      <c r="L76" s="1465"/>
      <c r="M76" s="1465"/>
      <c r="N76" s="1181"/>
      <c r="O76" s="1182"/>
      <c r="P76" s="1189"/>
      <c r="Q76" s="1182"/>
      <c r="R76" s="1182"/>
      <c r="S76" s="1182"/>
      <c r="T76" s="1183"/>
      <c r="U76" s="1183"/>
      <c r="V76" s="1193"/>
      <c r="W76" s="1193"/>
      <c r="X76" s="1193"/>
      <c r="Y76" s="1183"/>
      <c r="Z76" s="1194"/>
      <c r="AA76" s="1183"/>
      <c r="AB76" s="1183"/>
      <c r="AC76" s="1183"/>
      <c r="AD76" s="1183"/>
      <c r="AE76" s="1183"/>
      <c r="AF76" s="1183"/>
      <c r="AG76" s="1183"/>
      <c r="AH76" s="1183"/>
      <c r="AI76" s="1183"/>
      <c r="AJ76" s="1184"/>
      <c r="AK76" s="1184"/>
      <c r="AL76" s="1185">
        <v>1</v>
      </c>
    </row>
    <row r="77" spans="1:38" s="709" customFormat="1" ht="30" customHeight="1">
      <c r="A77" s="1181"/>
      <c r="B77" s="1189"/>
      <c r="C77" s="1190"/>
      <c r="D77" s="959" t="s">
        <v>11</v>
      </c>
      <c r="E77" s="1469" t="s">
        <v>1769</v>
      </c>
      <c r="F77" s="1468"/>
      <c r="G77" s="1468"/>
      <c r="H77" s="1468"/>
      <c r="I77" s="1468"/>
      <c r="J77" s="1465"/>
      <c r="K77" s="1465"/>
      <c r="L77" s="1465"/>
      <c r="M77" s="1465"/>
      <c r="N77" s="1181"/>
      <c r="O77" s="1182"/>
      <c r="P77" s="1189"/>
      <c r="Q77" s="1182"/>
      <c r="R77" s="1182"/>
      <c r="S77" s="1182"/>
      <c r="T77" s="1183"/>
      <c r="U77" s="1183"/>
      <c r="V77" s="1193"/>
      <c r="W77" s="1193"/>
      <c r="X77" s="1193"/>
      <c r="Y77" s="1183"/>
      <c r="Z77" s="1194"/>
      <c r="AA77" s="1183"/>
      <c r="AB77" s="1183"/>
      <c r="AC77" s="1183"/>
      <c r="AD77" s="1183"/>
      <c r="AE77" s="1183"/>
      <c r="AF77" s="1183"/>
      <c r="AG77" s="1183"/>
      <c r="AH77" s="1183"/>
      <c r="AI77" s="1183"/>
      <c r="AJ77" s="1184"/>
      <c r="AK77" s="1184"/>
      <c r="AL77" s="1185">
        <v>1</v>
      </c>
    </row>
    <row r="78" spans="1:38" s="709" customFormat="1" ht="30" customHeight="1">
      <c r="A78" s="1181"/>
      <c r="B78" s="1189"/>
      <c r="C78" s="1190"/>
      <c r="D78" s="959" t="s">
        <v>11</v>
      </c>
      <c r="E78" s="1469" t="s">
        <v>1795</v>
      </c>
      <c r="F78" s="1468"/>
      <c r="G78" s="1468"/>
      <c r="H78" s="1468"/>
      <c r="I78" s="1468"/>
      <c r="J78" s="1465"/>
      <c r="K78" s="1465"/>
      <c r="L78" s="1465"/>
      <c r="M78" s="1465"/>
      <c r="N78" s="1181"/>
      <c r="O78" s="1182"/>
      <c r="P78" s="1189"/>
      <c r="Q78" s="1182"/>
      <c r="R78" s="1182"/>
      <c r="S78" s="1182"/>
      <c r="T78" s="1183"/>
      <c r="U78" s="1183"/>
      <c r="V78" s="1193"/>
      <c r="W78" s="1193"/>
      <c r="X78" s="1193"/>
      <c r="Y78" s="1183"/>
      <c r="Z78" s="1194"/>
      <c r="AA78" s="1183"/>
      <c r="AB78" s="1183"/>
      <c r="AC78" s="1183"/>
      <c r="AD78" s="1183"/>
      <c r="AE78" s="1183"/>
      <c r="AF78" s="1183"/>
      <c r="AG78" s="1183"/>
      <c r="AH78" s="1183"/>
      <c r="AI78" s="1183"/>
      <c r="AJ78" s="1184"/>
      <c r="AK78" s="1184"/>
      <c r="AL78" s="1185">
        <v>1</v>
      </c>
    </row>
    <row r="79" spans="1:38" s="709" customFormat="1" ht="30" customHeight="1">
      <c r="A79" s="1181"/>
      <c r="B79" s="1189"/>
      <c r="C79" s="1190"/>
      <c r="D79" s="959" t="s">
        <v>11</v>
      </c>
      <c r="E79" s="1469" t="s">
        <v>1808</v>
      </c>
      <c r="F79" s="1463"/>
      <c r="G79" s="1463"/>
      <c r="H79" s="1464"/>
      <c r="I79" s="1464"/>
      <c r="J79" s="1465"/>
      <c r="K79" s="1465"/>
      <c r="L79" s="1465"/>
      <c r="M79" s="1465"/>
      <c r="N79" s="1181"/>
      <c r="O79" s="1182"/>
      <c r="P79" s="1189"/>
      <c r="Q79" s="1182"/>
      <c r="R79" s="1182"/>
      <c r="S79" s="1182"/>
      <c r="T79" s="1183"/>
      <c r="U79" s="1183"/>
      <c r="V79" s="1193"/>
      <c r="W79" s="1193"/>
      <c r="X79" s="1193"/>
      <c r="Y79" s="1183"/>
      <c r="Z79" s="1194"/>
      <c r="AA79" s="1183"/>
      <c r="AB79" s="1183"/>
      <c r="AC79" s="1183"/>
      <c r="AD79" s="1183"/>
      <c r="AE79" s="1183"/>
      <c r="AF79" s="1183"/>
      <c r="AG79" s="1183"/>
      <c r="AH79" s="1183"/>
      <c r="AI79" s="1183"/>
      <c r="AJ79" s="1184"/>
      <c r="AK79" s="1184"/>
      <c r="AL79" s="1185">
        <v>1</v>
      </c>
    </row>
    <row r="80" spans="1:38" s="709" customFormat="1" ht="30" customHeight="1">
      <c r="A80" s="1181"/>
      <c r="B80" s="1189"/>
      <c r="C80" s="1190"/>
      <c r="D80" s="959" t="s">
        <v>11</v>
      </c>
      <c r="E80" s="1466"/>
      <c r="F80" s="1463"/>
      <c r="G80" s="1463"/>
      <c r="H80" s="1464"/>
      <c r="I80" s="1464"/>
      <c r="J80" s="1465"/>
      <c r="K80" s="1465"/>
      <c r="L80" s="1465"/>
      <c r="M80" s="1465"/>
      <c r="N80" s="1181"/>
      <c r="O80" s="1182"/>
      <c r="P80" s="1189"/>
      <c r="Q80" s="1182"/>
      <c r="R80" s="1182"/>
      <c r="S80" s="1182"/>
      <c r="T80" s="1183"/>
      <c r="U80" s="1183"/>
      <c r="V80" s="1193"/>
      <c r="W80" s="1193"/>
      <c r="X80" s="1193"/>
      <c r="Y80" s="1183"/>
      <c r="Z80" s="1194"/>
      <c r="AA80" s="1183"/>
      <c r="AB80" s="1183"/>
      <c r="AC80" s="1183"/>
      <c r="AD80" s="1183"/>
      <c r="AE80" s="1183"/>
      <c r="AF80" s="1183"/>
      <c r="AG80" s="1183"/>
      <c r="AH80" s="1183"/>
      <c r="AI80" s="1183"/>
      <c r="AJ80" s="1184"/>
      <c r="AK80" s="1184"/>
      <c r="AL80" s="1185">
        <v>1</v>
      </c>
    </row>
    <row r="81" spans="1:38" s="709" customFormat="1" ht="30" customHeight="1">
      <c r="A81" s="1181"/>
      <c r="B81" s="1189"/>
      <c r="C81" s="1190"/>
      <c r="D81" s="959" t="s">
        <v>11</v>
      </c>
      <c r="E81" s="1468"/>
      <c r="F81" s="1468"/>
      <c r="G81" s="1468"/>
      <c r="H81" s="1468"/>
      <c r="I81" s="1468"/>
      <c r="J81" s="1465"/>
      <c r="K81" s="1465"/>
      <c r="L81" s="1465"/>
      <c r="M81" s="1465"/>
      <c r="N81" s="1181"/>
      <c r="O81" s="1182"/>
      <c r="P81" s="1189"/>
      <c r="Q81" s="1182"/>
      <c r="R81" s="1182"/>
      <c r="S81" s="1182"/>
      <c r="T81" s="1183"/>
      <c r="U81" s="1183"/>
      <c r="V81" s="1193"/>
      <c r="W81" s="1193"/>
      <c r="X81" s="1193"/>
      <c r="Y81" s="1183"/>
      <c r="Z81" s="1194"/>
      <c r="AA81" s="1183"/>
      <c r="AB81" s="1183"/>
      <c r="AC81" s="1183"/>
      <c r="AD81" s="1183"/>
      <c r="AE81" s="1183"/>
      <c r="AF81" s="1183"/>
      <c r="AG81" s="1183"/>
      <c r="AH81" s="1183"/>
      <c r="AI81" s="1183"/>
      <c r="AJ81" s="1184"/>
      <c r="AK81" s="1184"/>
      <c r="AL81" s="1185">
        <v>1</v>
      </c>
    </row>
    <row r="82" spans="1:38" s="709" customFormat="1" ht="30" customHeight="1">
      <c r="A82" s="1181"/>
      <c r="B82" s="1189"/>
      <c r="C82" s="1190"/>
      <c r="D82" s="959" t="s">
        <v>11</v>
      </c>
      <c r="E82" s="1468"/>
      <c r="F82" s="1468"/>
      <c r="G82" s="1468"/>
      <c r="H82" s="1468"/>
      <c r="I82" s="1468"/>
      <c r="J82" s="1465"/>
      <c r="K82" s="1465"/>
      <c r="L82" s="1465"/>
      <c r="M82" s="1465"/>
      <c r="N82" s="1181"/>
      <c r="O82" s="1182"/>
      <c r="P82" s="1189"/>
      <c r="Q82" s="1182"/>
      <c r="R82" s="1182"/>
      <c r="S82" s="1182"/>
      <c r="T82" s="1183"/>
      <c r="U82" s="1183"/>
      <c r="V82" s="1193"/>
      <c r="W82" s="1193"/>
      <c r="X82" s="1193"/>
      <c r="Y82" s="1183"/>
      <c r="Z82" s="1194"/>
      <c r="AA82" s="1183"/>
      <c r="AB82" s="1183"/>
      <c r="AC82" s="1183"/>
      <c r="AD82" s="1183"/>
      <c r="AE82" s="1183"/>
      <c r="AF82" s="1183"/>
      <c r="AG82" s="1183"/>
      <c r="AH82" s="1183"/>
      <c r="AI82" s="1183"/>
      <c r="AJ82" s="1184"/>
      <c r="AK82" s="1184"/>
      <c r="AL82" s="1185">
        <v>1</v>
      </c>
    </row>
    <row r="83" spans="1:38" s="709" customFormat="1" ht="30" customHeight="1">
      <c r="A83" s="1181"/>
      <c r="B83" s="1189"/>
      <c r="C83" s="1190"/>
      <c r="D83" s="959" t="s">
        <v>11</v>
      </c>
      <c r="E83" s="1468"/>
      <c r="F83" s="1468"/>
      <c r="G83" s="1468"/>
      <c r="H83" s="1468"/>
      <c r="I83" s="1468"/>
      <c r="J83" s="1465"/>
      <c r="K83" s="1465"/>
      <c r="L83" s="1465"/>
      <c r="M83" s="1465"/>
      <c r="N83" s="1181"/>
      <c r="O83" s="1182"/>
      <c r="P83" s="1189"/>
      <c r="Q83" s="1182"/>
      <c r="R83" s="1182"/>
      <c r="S83" s="1182"/>
      <c r="T83" s="1183"/>
      <c r="U83" s="1183"/>
      <c r="V83" s="1193"/>
      <c r="W83" s="1193"/>
      <c r="X83" s="1193"/>
      <c r="Y83" s="1183"/>
      <c r="Z83" s="1194"/>
      <c r="AA83" s="1183"/>
      <c r="AB83" s="1183"/>
      <c r="AC83" s="1183"/>
      <c r="AD83" s="1183"/>
      <c r="AE83" s="1183"/>
      <c r="AF83" s="1183"/>
      <c r="AG83" s="1183"/>
      <c r="AH83" s="1183"/>
      <c r="AI83" s="1183"/>
      <c r="AJ83" s="1184"/>
      <c r="AK83" s="1184"/>
      <c r="AL83" s="1185">
        <v>1</v>
      </c>
    </row>
    <row r="84" spans="1:38" s="709" customFormat="1" ht="30" customHeight="1">
      <c r="A84" s="1181"/>
      <c r="B84" s="1189"/>
      <c r="C84" s="1190"/>
      <c r="D84" s="959" t="s">
        <v>11</v>
      </c>
      <c r="E84" s="1469" t="s">
        <v>1819</v>
      </c>
      <c r="F84" s="1463"/>
      <c r="G84" s="1463"/>
      <c r="H84" s="1464"/>
      <c r="I84" s="1464"/>
      <c r="J84" s="1465"/>
      <c r="K84" s="1465"/>
      <c r="L84" s="1465"/>
      <c r="M84" s="1465"/>
      <c r="N84" s="1181"/>
      <c r="O84" s="1182"/>
      <c r="P84" s="1189"/>
      <c r="Q84" s="1182"/>
      <c r="R84" s="1182"/>
      <c r="S84" s="1182"/>
      <c r="T84" s="1183"/>
      <c r="U84" s="1183"/>
      <c r="V84" s="1193"/>
      <c r="W84" s="1193"/>
      <c r="X84" s="1193"/>
      <c r="Y84" s="1183"/>
      <c r="Z84" s="1194"/>
      <c r="AA84" s="1183"/>
      <c r="AB84" s="1183"/>
      <c r="AC84" s="1183"/>
      <c r="AD84" s="1183"/>
      <c r="AE84" s="1183"/>
      <c r="AF84" s="1183"/>
      <c r="AG84" s="1183"/>
      <c r="AH84" s="1183"/>
      <c r="AI84" s="1183"/>
      <c r="AJ84" s="1184"/>
      <c r="AK84" s="1184"/>
      <c r="AL84" s="1185">
        <v>1</v>
      </c>
    </row>
    <row r="85" spans="1:38" s="709" customFormat="1" ht="30" customHeight="1">
      <c r="A85" s="1181"/>
      <c r="B85" s="1189"/>
      <c r="C85" s="1190"/>
      <c r="D85" s="959" t="s">
        <v>16</v>
      </c>
      <c r="E85" s="5409" t="s">
        <v>1820</v>
      </c>
      <c r="F85" s="5409"/>
      <c r="G85" s="5409"/>
      <c r="H85" s="5409"/>
      <c r="I85" s="5409"/>
      <c r="J85" s="1465"/>
      <c r="K85" s="1465"/>
      <c r="L85" s="1465"/>
      <c r="M85" s="1465"/>
      <c r="N85" s="1181"/>
      <c r="O85" s="1182"/>
      <c r="P85" s="1189"/>
      <c r="Q85" s="1182"/>
      <c r="R85" s="1182"/>
      <c r="S85" s="1182"/>
      <c r="T85" s="1183"/>
      <c r="U85" s="1183"/>
      <c r="V85" s="1193"/>
      <c r="W85" s="1193"/>
      <c r="X85" s="1193"/>
      <c r="Y85" s="1183"/>
      <c r="Z85" s="1194"/>
      <c r="AA85" s="1183"/>
      <c r="AB85" s="1183"/>
      <c r="AC85" s="1183"/>
      <c r="AD85" s="1183"/>
      <c r="AE85" s="1183"/>
      <c r="AF85" s="1183"/>
      <c r="AG85" s="1183"/>
      <c r="AH85" s="1183"/>
      <c r="AI85" s="1183"/>
      <c r="AJ85" s="1184"/>
      <c r="AK85" s="1184"/>
      <c r="AL85" s="1185">
        <v>1</v>
      </c>
    </row>
    <row r="86" spans="1:38" s="709" customFormat="1" ht="30" customHeight="1">
      <c r="A86" s="1181"/>
      <c r="B86" s="1189"/>
      <c r="C86" s="1190"/>
      <c r="D86" s="959" t="s">
        <v>16</v>
      </c>
      <c r="E86" s="5409"/>
      <c r="F86" s="5409"/>
      <c r="G86" s="5409"/>
      <c r="H86" s="5409"/>
      <c r="I86" s="5409"/>
      <c r="J86" s="1465"/>
      <c r="K86" s="1465"/>
      <c r="L86" s="1465"/>
      <c r="M86" s="1465"/>
      <c r="N86" s="1181"/>
      <c r="O86" s="1182"/>
      <c r="P86" s="1189"/>
      <c r="Q86" s="1182"/>
      <c r="R86" s="1182"/>
      <c r="S86" s="1182"/>
      <c r="T86" s="1183"/>
      <c r="U86" s="1183"/>
      <c r="V86" s="1193"/>
      <c r="W86" s="1193"/>
      <c r="X86" s="1193"/>
      <c r="Y86" s="1183"/>
      <c r="Z86" s="1194"/>
      <c r="AA86" s="1183"/>
      <c r="AB86" s="1183"/>
      <c r="AC86" s="1183"/>
      <c r="AD86" s="1183"/>
      <c r="AE86" s="1183"/>
      <c r="AF86" s="1183"/>
      <c r="AG86" s="1183"/>
      <c r="AH86" s="1183"/>
      <c r="AI86" s="1183"/>
      <c r="AJ86" s="1184"/>
      <c r="AK86" s="1184"/>
      <c r="AL86" s="1185">
        <v>1</v>
      </c>
    </row>
    <row r="87" spans="1:38" s="709" customFormat="1" ht="30" customHeight="1">
      <c r="A87" s="1181"/>
      <c r="B87" s="1189"/>
      <c r="C87" s="1190"/>
      <c r="D87" s="959" t="s">
        <v>16</v>
      </c>
      <c r="E87" s="1470"/>
      <c r="F87" s="1470"/>
      <c r="G87" s="1470"/>
      <c r="H87" s="1470"/>
      <c r="I87" s="1470"/>
      <c r="J87" s="1465"/>
      <c r="K87" s="1465"/>
      <c r="L87" s="1465"/>
      <c r="M87" s="1465"/>
      <c r="N87" s="1181"/>
      <c r="O87" s="1182"/>
      <c r="P87" s="1189"/>
      <c r="Q87" s="1182"/>
      <c r="R87" s="1182"/>
      <c r="S87" s="1182"/>
      <c r="T87" s="1183"/>
      <c r="U87" s="1183"/>
      <c r="V87" s="1193"/>
      <c r="W87" s="1193"/>
      <c r="X87" s="1193"/>
      <c r="Y87" s="1183"/>
      <c r="Z87" s="1194"/>
      <c r="AA87" s="1183"/>
      <c r="AB87" s="1183"/>
      <c r="AC87" s="1183"/>
      <c r="AD87" s="1183"/>
      <c r="AE87" s="1183"/>
      <c r="AF87" s="1183"/>
      <c r="AG87" s="1183"/>
      <c r="AH87" s="1183"/>
      <c r="AI87" s="1183"/>
      <c r="AJ87" s="1184"/>
      <c r="AK87" s="1184"/>
      <c r="AL87" s="1185">
        <v>1</v>
      </c>
    </row>
    <row r="88" spans="1:38" s="709" customFormat="1" ht="30" customHeight="1">
      <c r="A88" s="1181"/>
      <c r="B88" s="1189"/>
      <c r="C88" s="1190"/>
      <c r="D88" s="959" t="s">
        <v>16</v>
      </c>
      <c r="E88" s="5410" t="s">
        <v>1822</v>
      </c>
      <c r="F88" s="5410"/>
      <c r="G88" s="5410"/>
      <c r="H88" s="5410"/>
      <c r="I88" s="5410"/>
      <c r="J88" s="1465"/>
      <c r="K88" s="1465"/>
      <c r="L88" s="1465"/>
      <c r="M88" s="1465"/>
      <c r="N88" s="1181"/>
      <c r="O88" s="1182"/>
      <c r="P88" s="1189"/>
      <c r="Q88" s="1182"/>
      <c r="R88" s="1182"/>
      <c r="S88" s="1182"/>
      <c r="T88" s="1183"/>
      <c r="U88" s="1183"/>
      <c r="V88" s="1193"/>
      <c r="W88" s="1193"/>
      <c r="X88" s="1193"/>
      <c r="Y88" s="1183"/>
      <c r="Z88" s="1194"/>
      <c r="AA88" s="1183"/>
      <c r="AB88" s="1183"/>
      <c r="AC88" s="1183"/>
      <c r="AD88" s="1183"/>
      <c r="AE88" s="1183"/>
      <c r="AF88" s="1183"/>
      <c r="AG88" s="1183"/>
      <c r="AH88" s="1183"/>
      <c r="AI88" s="1183"/>
      <c r="AJ88" s="1184"/>
      <c r="AK88" s="1184"/>
      <c r="AL88" s="1185">
        <v>1</v>
      </c>
    </row>
    <row r="89" spans="1:38" s="709" customFormat="1" ht="30" customHeight="1">
      <c r="A89" s="1181"/>
      <c r="B89" s="1189"/>
      <c r="C89" s="1190"/>
      <c r="D89" s="959" t="s">
        <v>16</v>
      </c>
      <c r="E89" s="5410"/>
      <c r="F89" s="5410"/>
      <c r="G89" s="5410"/>
      <c r="H89" s="5410"/>
      <c r="I89" s="5410"/>
      <c r="J89" s="1465"/>
      <c r="K89" s="1465"/>
      <c r="L89" s="1465"/>
      <c r="M89" s="1465"/>
      <c r="N89" s="1181"/>
      <c r="O89" s="1182"/>
      <c r="P89" s="1189"/>
      <c r="Q89" s="1182"/>
      <c r="R89" s="1182"/>
      <c r="S89" s="1182"/>
      <c r="T89" s="1183"/>
      <c r="U89" s="1183"/>
      <c r="V89" s="1193"/>
      <c r="W89" s="1193"/>
      <c r="X89" s="1193"/>
      <c r="Y89" s="1183"/>
      <c r="Z89" s="1194"/>
      <c r="AA89" s="1183"/>
      <c r="AB89" s="1183"/>
      <c r="AC89" s="1183"/>
      <c r="AD89" s="1183"/>
      <c r="AE89" s="1183"/>
      <c r="AF89" s="1183"/>
      <c r="AG89" s="1183"/>
      <c r="AH89" s="1183"/>
      <c r="AI89" s="1183"/>
      <c r="AJ89" s="1184"/>
      <c r="AK89" s="1184"/>
      <c r="AL89" s="1185">
        <v>1</v>
      </c>
    </row>
    <row r="90" spans="1:38" s="709" customFormat="1" ht="30" customHeight="1">
      <c r="A90" s="1181"/>
      <c r="B90" s="1189"/>
      <c r="C90" s="1190"/>
      <c r="D90" s="959" t="s">
        <v>16</v>
      </c>
      <c r="E90" s="1469"/>
      <c r="F90" s="1463"/>
      <c r="G90" s="1463"/>
      <c r="H90" s="1464"/>
      <c r="I90" s="1464"/>
      <c r="J90" s="1465"/>
      <c r="K90" s="1465"/>
      <c r="L90" s="1465"/>
      <c r="M90" s="1465"/>
      <c r="N90" s="1181"/>
      <c r="O90" s="1182"/>
      <c r="P90" s="1189"/>
      <c r="Q90" s="1182"/>
      <c r="R90" s="1182"/>
      <c r="S90" s="1182"/>
      <c r="T90" s="1183"/>
      <c r="U90" s="1183"/>
      <c r="V90" s="1193"/>
      <c r="W90" s="1193"/>
      <c r="X90" s="1193"/>
      <c r="Y90" s="1183"/>
      <c r="Z90" s="1194"/>
      <c r="AA90" s="1183"/>
      <c r="AB90" s="1183"/>
      <c r="AC90" s="1183"/>
      <c r="AD90" s="1183"/>
      <c r="AE90" s="1183"/>
      <c r="AF90" s="1183"/>
      <c r="AG90" s="1183"/>
      <c r="AH90" s="1183"/>
      <c r="AI90" s="1183"/>
      <c r="AJ90" s="1184"/>
      <c r="AK90" s="1184"/>
      <c r="AL90" s="1185">
        <v>1</v>
      </c>
    </row>
    <row r="91" spans="1:38" s="709" customFormat="1" ht="30" customHeight="1">
      <c r="A91" s="1181"/>
      <c r="B91" s="1189"/>
      <c r="C91" s="1190"/>
      <c r="D91" s="959" t="s">
        <v>16</v>
      </c>
      <c r="E91" s="5411" t="s">
        <v>1840</v>
      </c>
      <c r="F91" s="5411"/>
      <c r="G91" s="5411"/>
      <c r="H91" s="5411"/>
      <c r="I91" s="5411"/>
      <c r="J91" s="1465"/>
      <c r="K91" s="1465"/>
      <c r="L91" s="1465"/>
      <c r="M91" s="1465"/>
      <c r="N91" s="1181"/>
      <c r="O91" s="1182"/>
      <c r="P91" s="1189"/>
      <c r="Q91" s="1182"/>
      <c r="R91" s="1182"/>
      <c r="S91" s="1182"/>
      <c r="T91" s="1183"/>
      <c r="U91" s="1183"/>
      <c r="V91" s="1193"/>
      <c r="W91" s="1193"/>
      <c r="X91" s="1193"/>
      <c r="Y91" s="1183"/>
      <c r="Z91" s="1194"/>
      <c r="AA91" s="1183"/>
      <c r="AB91" s="1183"/>
      <c r="AC91" s="1183"/>
      <c r="AD91" s="1183"/>
      <c r="AE91" s="1183"/>
      <c r="AF91" s="1183"/>
      <c r="AG91" s="1183"/>
      <c r="AH91" s="1183"/>
      <c r="AI91" s="1183"/>
      <c r="AJ91" s="1184"/>
      <c r="AK91" s="1184"/>
      <c r="AL91" s="1185">
        <v>1</v>
      </c>
    </row>
    <row r="92" spans="1:38" s="709" customFormat="1" ht="30" customHeight="1">
      <c r="A92" s="1181"/>
      <c r="B92" s="1189"/>
      <c r="C92" s="1190"/>
      <c r="D92" s="959" t="s">
        <v>16</v>
      </c>
      <c r="E92" s="5411"/>
      <c r="F92" s="5411"/>
      <c r="G92" s="5411"/>
      <c r="H92" s="5411"/>
      <c r="I92" s="5411"/>
      <c r="J92" s="1465"/>
      <c r="K92" s="1465"/>
      <c r="L92" s="1465"/>
      <c r="M92" s="1465"/>
      <c r="N92" s="1181"/>
      <c r="O92" s="1182"/>
      <c r="P92" s="1189"/>
      <c r="Q92" s="1182"/>
      <c r="R92" s="1182"/>
      <c r="S92" s="1182"/>
      <c r="T92" s="1183"/>
      <c r="U92" s="1183"/>
      <c r="V92" s="1193"/>
      <c r="W92" s="1193"/>
      <c r="X92" s="1193"/>
      <c r="Y92" s="1183"/>
      <c r="Z92" s="1194"/>
      <c r="AA92" s="1183"/>
      <c r="AB92" s="1183"/>
      <c r="AC92" s="1183"/>
      <c r="AD92" s="1183"/>
      <c r="AE92" s="1183"/>
      <c r="AF92" s="1183"/>
      <c r="AG92" s="1183"/>
      <c r="AH92" s="1183"/>
      <c r="AI92" s="1183"/>
      <c r="AJ92" s="1184"/>
      <c r="AK92" s="1184"/>
      <c r="AL92" s="1185">
        <v>1</v>
      </c>
    </row>
    <row r="93" spans="1:38" s="709" customFormat="1" ht="30" customHeight="1">
      <c r="A93" s="1181"/>
      <c r="B93" s="1189"/>
      <c r="C93" s="1190"/>
      <c r="D93" s="959" t="s">
        <v>16</v>
      </c>
      <c r="E93" s="1471"/>
      <c r="F93" s="1463"/>
      <c r="G93" s="1463"/>
      <c r="H93" s="1464"/>
      <c r="I93" s="1464"/>
      <c r="J93" s="1465"/>
      <c r="K93" s="1465"/>
      <c r="L93" s="1465"/>
      <c r="M93" s="1465"/>
      <c r="N93" s="1181"/>
      <c r="O93" s="1182"/>
      <c r="P93" s="1189"/>
      <c r="Q93" s="1182"/>
      <c r="R93" s="1182"/>
      <c r="S93" s="1182"/>
      <c r="T93" s="1183"/>
      <c r="U93" s="1183"/>
      <c r="V93" s="1193"/>
      <c r="W93" s="1193"/>
      <c r="X93" s="1193"/>
      <c r="Y93" s="1183"/>
      <c r="Z93" s="1194"/>
      <c r="AA93" s="1183"/>
      <c r="AB93" s="1183"/>
      <c r="AC93" s="1183"/>
      <c r="AD93" s="1183"/>
      <c r="AE93" s="1183"/>
      <c r="AF93" s="1183"/>
      <c r="AG93" s="1183"/>
      <c r="AH93" s="1183"/>
      <c r="AI93" s="1183"/>
      <c r="AJ93" s="1184"/>
      <c r="AK93" s="1184"/>
      <c r="AL93" s="1185">
        <v>1</v>
      </c>
    </row>
    <row r="94" spans="1:38" s="709" customFormat="1" ht="30" customHeight="1">
      <c r="A94" s="1181"/>
      <c r="B94" s="1189"/>
      <c r="C94" s="1190"/>
      <c r="D94" s="959" t="s">
        <v>16</v>
      </c>
      <c r="E94" s="1471"/>
      <c r="F94" s="1463"/>
      <c r="G94" s="1463"/>
      <c r="H94" s="1464"/>
      <c r="I94" s="1464"/>
      <c r="J94" s="1465"/>
      <c r="K94" s="1465"/>
      <c r="L94" s="1465"/>
      <c r="M94" s="1465"/>
      <c r="N94" s="1181"/>
      <c r="O94" s="1182"/>
      <c r="P94" s="1189"/>
      <c r="Q94" s="1182"/>
      <c r="R94" s="1182"/>
      <c r="S94" s="1182"/>
      <c r="T94" s="1183"/>
      <c r="U94" s="1183"/>
      <c r="V94" s="1193"/>
      <c r="W94" s="1193"/>
      <c r="X94" s="1193"/>
      <c r="Y94" s="1183"/>
      <c r="Z94" s="1194"/>
      <c r="AA94" s="1183"/>
      <c r="AB94" s="1183"/>
      <c r="AC94" s="1183"/>
      <c r="AD94" s="1183"/>
      <c r="AE94" s="1183"/>
      <c r="AF94" s="1183"/>
      <c r="AG94" s="1183"/>
      <c r="AH94" s="1183"/>
      <c r="AI94" s="1183"/>
      <c r="AJ94" s="1184"/>
      <c r="AK94" s="1184"/>
      <c r="AL94" s="1185">
        <v>1</v>
      </c>
    </row>
    <row r="95" spans="1:38" s="709" customFormat="1" ht="30" customHeight="1">
      <c r="A95" s="1181"/>
      <c r="B95" s="1189"/>
      <c r="C95" s="1190"/>
      <c r="D95" s="959" t="s">
        <v>16</v>
      </c>
      <c r="E95" s="1471"/>
      <c r="F95" s="1463"/>
      <c r="G95" s="1463"/>
      <c r="H95" s="1464"/>
      <c r="I95" s="1464"/>
      <c r="J95" s="1465"/>
      <c r="K95" s="1465"/>
      <c r="L95" s="1465"/>
      <c r="M95" s="1465"/>
      <c r="N95" s="1181"/>
      <c r="O95" s="1182"/>
      <c r="P95" s="1189"/>
      <c r="Q95" s="1182"/>
      <c r="R95" s="1182"/>
      <c r="S95" s="1182"/>
      <c r="T95" s="1183"/>
      <c r="U95" s="1183"/>
      <c r="V95" s="1193"/>
      <c r="W95" s="1193"/>
      <c r="X95" s="1193"/>
      <c r="Y95" s="1183"/>
      <c r="Z95" s="1194"/>
      <c r="AA95" s="1183"/>
      <c r="AB95" s="1183"/>
      <c r="AC95" s="1183"/>
      <c r="AD95" s="1183"/>
      <c r="AE95" s="1183"/>
      <c r="AF95" s="1183"/>
      <c r="AG95" s="1183"/>
      <c r="AH95" s="1183"/>
      <c r="AI95" s="1183"/>
      <c r="AJ95" s="1184"/>
      <c r="AK95" s="1184"/>
      <c r="AL95" s="1185">
        <v>1</v>
      </c>
    </row>
    <row r="96" spans="1:38" s="709" customFormat="1" ht="30" customHeight="1">
      <c r="A96" s="1181"/>
      <c r="B96" s="1189"/>
      <c r="C96" s="1190"/>
      <c r="D96" s="959" t="s">
        <v>16</v>
      </c>
      <c r="E96" s="1471"/>
      <c r="F96" s="1463"/>
      <c r="G96" s="1463"/>
      <c r="H96" s="1464"/>
      <c r="I96" s="1464"/>
      <c r="J96" s="1465"/>
      <c r="K96" s="1465"/>
      <c r="L96" s="1465"/>
      <c r="M96" s="1465"/>
      <c r="N96" s="1181"/>
      <c r="O96" s="1182"/>
      <c r="P96" s="1189"/>
      <c r="Q96" s="1182"/>
      <c r="R96" s="1182"/>
      <c r="S96" s="1182"/>
      <c r="T96" s="1183"/>
      <c r="U96" s="1183"/>
      <c r="V96" s="1193"/>
      <c r="W96" s="1193"/>
      <c r="X96" s="1193"/>
      <c r="Y96" s="1183"/>
      <c r="Z96" s="1194"/>
      <c r="AA96" s="1183"/>
      <c r="AB96" s="1183"/>
      <c r="AC96" s="1183"/>
      <c r="AD96" s="1183"/>
      <c r="AE96" s="1183"/>
      <c r="AF96" s="1183"/>
      <c r="AG96" s="1183"/>
      <c r="AH96" s="1183"/>
      <c r="AI96" s="1183"/>
      <c r="AJ96" s="1184"/>
      <c r="AK96" s="1184"/>
      <c r="AL96" s="1185">
        <v>1</v>
      </c>
    </row>
    <row r="97" spans="1:38" s="709" customFormat="1" ht="30" customHeight="1">
      <c r="A97" s="1181"/>
      <c r="B97" s="1189"/>
      <c r="C97" s="1190"/>
      <c r="D97" s="959" t="s">
        <v>16</v>
      </c>
      <c r="E97" s="1471"/>
      <c r="F97" s="1463"/>
      <c r="G97" s="1463"/>
      <c r="H97" s="1464"/>
      <c r="I97" s="1464"/>
      <c r="J97" s="1465"/>
      <c r="K97" s="1465"/>
      <c r="L97" s="1465"/>
      <c r="M97" s="1465"/>
      <c r="N97" s="1181"/>
      <c r="O97" s="1182"/>
      <c r="P97" s="1189"/>
      <c r="Q97" s="1182"/>
      <c r="R97" s="1182"/>
      <c r="S97" s="1182"/>
      <c r="T97" s="1183"/>
      <c r="U97" s="1183"/>
      <c r="V97" s="1193"/>
      <c r="W97" s="1193"/>
      <c r="X97" s="1193"/>
      <c r="Y97" s="1183"/>
      <c r="Z97" s="1194"/>
      <c r="AA97" s="1183"/>
      <c r="AB97" s="1183"/>
      <c r="AC97" s="1183"/>
      <c r="AD97" s="1183"/>
      <c r="AE97" s="1183"/>
      <c r="AF97" s="1183"/>
      <c r="AG97" s="1183"/>
      <c r="AH97" s="1183"/>
      <c r="AI97" s="1183"/>
      <c r="AJ97" s="1184"/>
      <c r="AK97" s="1184"/>
      <c r="AL97" s="1185">
        <v>1</v>
      </c>
    </row>
    <row r="98" spans="1:38" s="709" customFormat="1" ht="30" customHeight="1">
      <c r="A98" s="1181"/>
      <c r="B98" s="1189"/>
      <c r="C98" s="1190"/>
      <c r="D98" s="959" t="s">
        <v>16</v>
      </c>
      <c r="E98" s="5409" t="s">
        <v>1861</v>
      </c>
      <c r="F98" s="5409"/>
      <c r="G98" s="5409"/>
      <c r="H98" s="5409"/>
      <c r="I98" s="5409"/>
      <c r="J98" s="1465"/>
      <c r="K98" s="1465"/>
      <c r="L98" s="1465"/>
      <c r="M98" s="1465"/>
      <c r="N98" s="1181"/>
      <c r="O98" s="1182"/>
      <c r="P98" s="1189"/>
      <c r="Q98" s="1182"/>
      <c r="R98" s="1182"/>
      <c r="S98" s="1182"/>
      <c r="T98" s="1183"/>
      <c r="U98" s="1183"/>
      <c r="V98" s="1193"/>
      <c r="W98" s="1193"/>
      <c r="X98" s="1193"/>
      <c r="Y98" s="1183"/>
      <c r="Z98" s="1194"/>
      <c r="AA98" s="1183"/>
      <c r="AB98" s="1183"/>
      <c r="AC98" s="1183"/>
      <c r="AD98" s="1183"/>
      <c r="AE98" s="1183"/>
      <c r="AF98" s="1183"/>
      <c r="AG98" s="1183"/>
      <c r="AH98" s="1183"/>
      <c r="AI98" s="1183"/>
      <c r="AJ98" s="1184"/>
      <c r="AK98" s="1184"/>
      <c r="AL98" s="1185">
        <v>1</v>
      </c>
    </row>
    <row r="99" spans="1:38" s="709" customFormat="1" ht="30" customHeight="1">
      <c r="A99" s="1181"/>
      <c r="B99" s="1189"/>
      <c r="C99" s="1190"/>
      <c r="D99" s="959" t="s">
        <v>16</v>
      </c>
      <c r="E99" s="5409"/>
      <c r="F99" s="5409"/>
      <c r="G99" s="5409"/>
      <c r="H99" s="5409"/>
      <c r="I99" s="5409"/>
      <c r="J99" s="1465"/>
      <c r="K99" s="1465"/>
      <c r="L99" s="1465"/>
      <c r="M99" s="1465"/>
      <c r="N99" s="1181"/>
      <c r="O99" s="1182"/>
      <c r="P99" s="1189"/>
      <c r="Q99" s="1182"/>
      <c r="R99" s="1182"/>
      <c r="S99" s="1182"/>
      <c r="T99" s="1183"/>
      <c r="U99" s="1183"/>
      <c r="V99" s="1193"/>
      <c r="W99" s="1193"/>
      <c r="X99" s="1193"/>
      <c r="Y99" s="1183"/>
      <c r="Z99" s="1194"/>
      <c r="AA99" s="1183"/>
      <c r="AB99" s="1183"/>
      <c r="AC99" s="1183"/>
      <c r="AD99" s="1183"/>
      <c r="AE99" s="1183"/>
      <c r="AF99" s="1183"/>
      <c r="AG99" s="1183"/>
      <c r="AH99" s="1183"/>
      <c r="AI99" s="1183"/>
      <c r="AJ99" s="1184"/>
      <c r="AK99" s="1184"/>
      <c r="AL99" s="1185">
        <v>1</v>
      </c>
    </row>
    <row r="100" spans="1:38" s="709" customFormat="1" ht="30" customHeight="1">
      <c r="A100" s="1181"/>
      <c r="B100" s="1189"/>
      <c r="C100" s="1190"/>
      <c r="D100" s="959" t="s">
        <v>16</v>
      </c>
      <c r="E100" s="1471"/>
      <c r="F100" s="1463"/>
      <c r="G100" s="1463"/>
      <c r="H100" s="1464"/>
      <c r="I100" s="1464"/>
      <c r="J100" s="1465"/>
      <c r="K100" s="1465"/>
      <c r="L100" s="1465"/>
      <c r="M100" s="1465"/>
      <c r="N100" s="1181"/>
      <c r="O100" s="1182"/>
      <c r="P100" s="1189"/>
      <c r="Q100" s="1182"/>
      <c r="R100" s="1182"/>
      <c r="S100" s="1182"/>
      <c r="T100" s="1183"/>
      <c r="U100" s="1183"/>
      <c r="V100" s="1193"/>
      <c r="W100" s="1193"/>
      <c r="X100" s="1193"/>
      <c r="Y100" s="1183"/>
      <c r="Z100" s="1194"/>
      <c r="AA100" s="1183"/>
      <c r="AB100" s="1183"/>
      <c r="AC100" s="1183"/>
      <c r="AD100" s="1183"/>
      <c r="AE100" s="1183"/>
      <c r="AF100" s="1183"/>
      <c r="AG100" s="1183"/>
      <c r="AH100" s="1183"/>
      <c r="AI100" s="1183"/>
      <c r="AJ100" s="1184"/>
      <c r="AK100" s="1184"/>
      <c r="AL100" s="1185">
        <v>1</v>
      </c>
    </row>
    <row r="101" spans="1:38" s="709" customFormat="1" ht="30" customHeight="1">
      <c r="A101" s="1181"/>
      <c r="B101" s="1189"/>
      <c r="C101" s="1190"/>
      <c r="D101" s="959" t="s">
        <v>16</v>
      </c>
      <c r="E101" s="5409" t="s">
        <v>1871</v>
      </c>
      <c r="F101" s="5409"/>
      <c r="G101" s="5409"/>
      <c r="H101" s="5409"/>
      <c r="I101" s="5409"/>
      <c r="J101" s="1465"/>
      <c r="K101" s="1465"/>
      <c r="L101" s="1465"/>
      <c r="M101" s="1465"/>
      <c r="N101" s="1181"/>
      <c r="O101" s="1182"/>
      <c r="P101" s="1189"/>
      <c r="Q101" s="1182"/>
      <c r="R101" s="1182"/>
      <c r="S101" s="1182"/>
      <c r="T101" s="1183"/>
      <c r="U101" s="1183"/>
      <c r="V101" s="1193"/>
      <c r="W101" s="1193"/>
      <c r="X101" s="1193"/>
      <c r="Y101" s="1183"/>
      <c r="Z101" s="1194"/>
      <c r="AA101" s="1183"/>
      <c r="AB101" s="1183"/>
      <c r="AC101" s="1183"/>
      <c r="AD101" s="1183"/>
      <c r="AE101" s="1183"/>
      <c r="AF101" s="1183"/>
      <c r="AG101" s="1183"/>
      <c r="AH101" s="1183"/>
      <c r="AI101" s="1183"/>
      <c r="AJ101" s="1184"/>
      <c r="AK101" s="1184"/>
      <c r="AL101" s="1185">
        <v>1</v>
      </c>
    </row>
    <row r="102" spans="1:38" s="709" customFormat="1" ht="30" customHeight="1">
      <c r="A102" s="1181"/>
      <c r="B102" s="1189"/>
      <c r="C102" s="1190"/>
      <c r="D102" s="959" t="s">
        <v>16</v>
      </c>
      <c r="E102" s="5409"/>
      <c r="F102" s="5409"/>
      <c r="G102" s="5409"/>
      <c r="H102" s="5409"/>
      <c r="I102" s="5409"/>
      <c r="J102" s="1465"/>
      <c r="K102" s="1465"/>
      <c r="L102" s="1465"/>
      <c r="M102" s="1465"/>
      <c r="N102" s="1181"/>
      <c r="O102" s="1182"/>
      <c r="P102" s="1189"/>
      <c r="Q102" s="1182"/>
      <c r="R102" s="1182"/>
      <c r="S102" s="1182"/>
      <c r="T102" s="1183"/>
      <c r="U102" s="1183"/>
      <c r="V102" s="1193"/>
      <c r="W102" s="1193"/>
      <c r="X102" s="1193"/>
      <c r="Y102" s="1183"/>
      <c r="Z102" s="1194"/>
      <c r="AA102" s="1183"/>
      <c r="AB102" s="1183"/>
      <c r="AC102" s="1183"/>
      <c r="AD102" s="1183"/>
      <c r="AE102" s="1183"/>
      <c r="AF102" s="1183"/>
      <c r="AG102" s="1183"/>
      <c r="AH102" s="1183"/>
      <c r="AI102" s="1183"/>
      <c r="AJ102" s="1184"/>
      <c r="AK102" s="1184"/>
      <c r="AL102" s="1185">
        <v>1</v>
      </c>
    </row>
    <row r="103" spans="1:38" s="709" customFormat="1" ht="30" customHeight="1">
      <c r="A103" s="1181"/>
      <c r="B103" s="1189"/>
      <c r="C103" s="1190"/>
      <c r="D103" s="959" t="s">
        <v>16</v>
      </c>
      <c r="E103" s="1471"/>
      <c r="F103" s="1463"/>
      <c r="G103" s="1463"/>
      <c r="H103" s="1464"/>
      <c r="I103" s="1464"/>
      <c r="J103" s="1465"/>
      <c r="K103" s="1465"/>
      <c r="L103" s="1465"/>
      <c r="M103" s="1465"/>
      <c r="N103" s="1181"/>
      <c r="O103" s="1182"/>
      <c r="P103" s="1189"/>
      <c r="Q103" s="1182"/>
      <c r="R103" s="1182"/>
      <c r="S103" s="1182"/>
      <c r="T103" s="1183"/>
      <c r="U103" s="1183"/>
      <c r="V103" s="1193"/>
      <c r="W103" s="1193"/>
      <c r="X103" s="1193"/>
      <c r="Y103" s="1183"/>
      <c r="Z103" s="1194"/>
      <c r="AA103" s="1183"/>
      <c r="AB103" s="1183"/>
      <c r="AC103" s="1183"/>
      <c r="AD103" s="1183"/>
      <c r="AE103" s="1183"/>
      <c r="AF103" s="1183"/>
      <c r="AG103" s="1183"/>
      <c r="AH103" s="1183"/>
      <c r="AI103" s="1183"/>
      <c r="AJ103" s="1184"/>
      <c r="AK103" s="1184"/>
      <c r="AL103" s="1185">
        <v>1</v>
      </c>
    </row>
    <row r="104" spans="1:38" s="709" customFormat="1" ht="30" customHeight="1">
      <c r="A104" s="1181"/>
      <c r="B104" s="1189"/>
      <c r="C104" s="1190"/>
      <c r="D104" s="959" t="s">
        <v>16</v>
      </c>
      <c r="E104" s="1469" t="s">
        <v>1885</v>
      </c>
      <c r="F104" s="1463"/>
      <c r="G104" s="1463"/>
      <c r="H104" s="1464"/>
      <c r="I104" s="1464"/>
      <c r="J104" s="1465"/>
      <c r="K104" s="1465"/>
      <c r="L104" s="1465"/>
      <c r="M104" s="1465"/>
      <c r="N104" s="1181"/>
      <c r="O104" s="1182"/>
      <c r="P104" s="1189"/>
      <c r="Q104" s="1182"/>
      <c r="R104" s="1182"/>
      <c r="S104" s="1182"/>
      <c r="T104" s="1183"/>
      <c r="U104" s="1183"/>
      <c r="V104" s="1193"/>
      <c r="W104" s="1193"/>
      <c r="X104" s="1193"/>
      <c r="Y104" s="1183"/>
      <c r="Z104" s="1194"/>
      <c r="AA104" s="1183"/>
      <c r="AB104" s="1183"/>
      <c r="AC104" s="1183"/>
      <c r="AD104" s="1183"/>
      <c r="AE104" s="1183"/>
      <c r="AF104" s="1183"/>
      <c r="AG104" s="1183"/>
      <c r="AH104" s="1183"/>
      <c r="AI104" s="1183"/>
      <c r="AJ104" s="1184"/>
      <c r="AK104" s="1184"/>
      <c r="AL104" s="1185">
        <v>1</v>
      </c>
    </row>
    <row r="105" spans="1:38" s="709" customFormat="1" ht="30" customHeight="1">
      <c r="A105" s="1181"/>
      <c r="B105" s="1189"/>
      <c r="C105" s="1190"/>
      <c r="D105" s="959" t="s">
        <v>16</v>
      </c>
      <c r="E105" s="1471"/>
      <c r="F105" s="1463"/>
      <c r="G105" s="1463"/>
      <c r="H105" s="1464"/>
      <c r="I105" s="1464"/>
      <c r="J105" s="1465"/>
      <c r="K105" s="1465"/>
      <c r="L105" s="1465"/>
      <c r="M105" s="1465"/>
      <c r="N105" s="1181"/>
      <c r="O105" s="1182"/>
      <c r="P105" s="1189"/>
      <c r="Q105" s="1182"/>
      <c r="R105" s="1182"/>
      <c r="S105" s="1182"/>
      <c r="T105" s="1183"/>
      <c r="U105" s="1183"/>
      <c r="V105" s="1193"/>
      <c r="W105" s="1193"/>
      <c r="X105" s="1193"/>
      <c r="Y105" s="1183"/>
      <c r="Z105" s="1194"/>
      <c r="AA105" s="1183"/>
      <c r="AB105" s="1183"/>
      <c r="AC105" s="1183"/>
      <c r="AD105" s="1183"/>
      <c r="AE105" s="1183"/>
      <c r="AF105" s="1183"/>
      <c r="AG105" s="1183"/>
      <c r="AH105" s="1183"/>
      <c r="AI105" s="1183"/>
      <c r="AJ105" s="1184"/>
      <c r="AK105" s="1184"/>
      <c r="AL105" s="1185">
        <v>1</v>
      </c>
    </row>
    <row r="106" spans="1:38" s="709" customFormat="1" ht="30" customHeight="1">
      <c r="A106" s="1181"/>
      <c r="B106" s="1189"/>
      <c r="C106" s="1190"/>
      <c r="D106" s="959" t="s">
        <v>16</v>
      </c>
      <c r="E106" s="1471"/>
      <c r="F106" s="1463"/>
      <c r="G106" s="1463"/>
      <c r="H106" s="1464"/>
      <c r="I106" s="1464"/>
      <c r="J106" s="1465"/>
      <c r="K106" s="1465"/>
      <c r="L106" s="1465"/>
      <c r="M106" s="1465"/>
      <c r="N106" s="1181"/>
      <c r="O106" s="1182"/>
      <c r="P106" s="1189"/>
      <c r="Q106" s="1182"/>
      <c r="R106" s="1182"/>
      <c r="S106" s="1182"/>
      <c r="T106" s="1183"/>
      <c r="U106" s="1183"/>
      <c r="V106" s="1193"/>
      <c r="W106" s="1193"/>
      <c r="X106" s="1193"/>
      <c r="Y106" s="1183"/>
      <c r="Z106" s="1194"/>
      <c r="AA106" s="1183"/>
      <c r="AB106" s="1183"/>
      <c r="AC106" s="1183"/>
      <c r="AD106" s="1183"/>
      <c r="AE106" s="1183"/>
      <c r="AF106" s="1183"/>
      <c r="AG106" s="1183"/>
      <c r="AH106" s="1183"/>
      <c r="AI106" s="1183"/>
      <c r="AJ106" s="1184"/>
      <c r="AK106" s="1184"/>
      <c r="AL106" s="1185">
        <v>1</v>
      </c>
    </row>
    <row r="107" spans="1:38" s="709" customFormat="1" ht="30" customHeight="1">
      <c r="A107" s="1181"/>
      <c r="B107" s="1189"/>
      <c r="C107" s="1190"/>
      <c r="D107" s="959" t="s">
        <v>16</v>
      </c>
      <c r="E107" s="1471"/>
      <c r="F107" s="1463"/>
      <c r="G107" s="1463"/>
      <c r="H107" s="1464"/>
      <c r="I107" s="1464"/>
      <c r="J107" s="1465"/>
      <c r="K107" s="1465"/>
      <c r="L107" s="1465"/>
      <c r="M107" s="1465"/>
      <c r="N107" s="1181"/>
      <c r="O107" s="1182"/>
      <c r="P107" s="1189"/>
      <c r="Q107" s="1182"/>
      <c r="R107" s="1182"/>
      <c r="S107" s="1182"/>
      <c r="T107" s="1183"/>
      <c r="U107" s="1183"/>
      <c r="V107" s="1193"/>
      <c r="W107" s="1193"/>
      <c r="X107" s="1193"/>
      <c r="Y107" s="1183"/>
      <c r="Z107" s="1194"/>
      <c r="AA107" s="1183"/>
      <c r="AB107" s="1183"/>
      <c r="AC107" s="1183"/>
      <c r="AD107" s="1183"/>
      <c r="AE107" s="1183"/>
      <c r="AF107" s="1183"/>
      <c r="AG107" s="1183"/>
      <c r="AH107" s="1183"/>
      <c r="AI107" s="1183"/>
      <c r="AJ107" s="1184"/>
      <c r="AK107" s="1184"/>
      <c r="AL107" s="1185">
        <v>1</v>
      </c>
    </row>
    <row r="108" spans="1:38" s="709" customFormat="1" ht="30" customHeight="1">
      <c r="A108" s="1181"/>
      <c r="B108" s="1189"/>
      <c r="C108" s="1190"/>
      <c r="D108" s="959" t="s">
        <v>16</v>
      </c>
      <c r="E108" s="1471"/>
      <c r="F108" s="1463"/>
      <c r="G108" s="1463"/>
      <c r="H108" s="1464"/>
      <c r="I108" s="1464"/>
      <c r="J108" s="1465"/>
      <c r="K108" s="1465"/>
      <c r="L108" s="1465"/>
      <c r="M108" s="1465"/>
      <c r="N108" s="1181"/>
      <c r="O108" s="1182"/>
      <c r="P108" s="1189"/>
      <c r="Q108" s="1182"/>
      <c r="R108" s="1182"/>
      <c r="S108" s="1182"/>
      <c r="T108" s="1183"/>
      <c r="U108" s="1183"/>
      <c r="V108" s="1193"/>
      <c r="W108" s="1193"/>
      <c r="X108" s="1193"/>
      <c r="Y108" s="1183"/>
      <c r="Z108" s="1194"/>
      <c r="AA108" s="1183"/>
      <c r="AB108" s="1183"/>
      <c r="AC108" s="1183"/>
      <c r="AD108" s="1183"/>
      <c r="AE108" s="1183"/>
      <c r="AF108" s="1183"/>
      <c r="AG108" s="1183"/>
      <c r="AH108" s="1183"/>
      <c r="AI108" s="1183"/>
      <c r="AJ108" s="1184"/>
      <c r="AK108" s="1184"/>
      <c r="AL108" s="1185">
        <v>1</v>
      </c>
    </row>
    <row r="109" spans="1:38" s="709" customFormat="1" ht="30" customHeight="1">
      <c r="A109" s="1181"/>
      <c r="B109" s="1189"/>
      <c r="C109" s="1190"/>
      <c r="D109" s="1181"/>
      <c r="E109" s="1181"/>
      <c r="F109" s="1181"/>
      <c r="G109" s="1181"/>
      <c r="H109" s="1181"/>
      <c r="I109" s="1182"/>
      <c r="J109" s="1181"/>
      <c r="K109" s="1181"/>
      <c r="L109" s="1181"/>
      <c r="M109" s="1181"/>
      <c r="N109" s="1181"/>
      <c r="O109" s="1182"/>
      <c r="P109" s="1189"/>
      <c r="Q109" s="1182"/>
      <c r="R109" s="1182"/>
      <c r="S109" s="1182"/>
      <c r="T109" s="1183"/>
      <c r="U109" s="1183"/>
      <c r="V109" s="1193"/>
      <c r="W109" s="1193"/>
      <c r="X109" s="1193"/>
      <c r="Y109" s="1183"/>
      <c r="Z109" s="1194"/>
      <c r="AA109" s="1183"/>
      <c r="AB109" s="1183"/>
      <c r="AC109" s="1183"/>
      <c r="AD109" s="1183"/>
      <c r="AE109" s="1183"/>
      <c r="AF109" s="1183"/>
      <c r="AG109" s="1183"/>
      <c r="AH109" s="1183"/>
      <c r="AI109" s="1183"/>
      <c r="AJ109" s="1184"/>
      <c r="AK109" s="1184"/>
      <c r="AL109" s="1185">
        <v>1</v>
      </c>
    </row>
    <row r="110" spans="1:38" s="709" customFormat="1" ht="30" customHeight="1">
      <c r="A110" s="1181"/>
      <c r="B110" s="1181"/>
      <c r="C110" s="1209"/>
      <c r="D110" s="1209" t="s">
        <v>3232</v>
      </c>
      <c r="E110" s="1211"/>
      <c r="F110" s="1189"/>
      <c r="G110" s="1211"/>
      <c r="H110" s="1211"/>
      <c r="I110" s="1211"/>
      <c r="J110" s="1211"/>
      <c r="K110" s="1211"/>
      <c r="L110" s="1211"/>
      <c r="M110" s="1211"/>
      <c r="N110" s="1211"/>
      <c r="O110" s="1211"/>
      <c r="P110" s="1208"/>
      <c r="Q110" s="1208"/>
      <c r="R110" s="1208"/>
      <c r="S110" s="1208"/>
      <c r="T110" s="1183"/>
      <c r="U110" s="1183"/>
      <c r="V110" s="1183"/>
      <c r="W110" s="1183"/>
      <c r="X110" s="1183"/>
      <c r="Y110" s="1193"/>
      <c r="Z110" s="1183"/>
      <c r="AA110" s="1183"/>
      <c r="AB110" s="1183"/>
      <c r="AC110" s="1183"/>
      <c r="AD110" s="1184"/>
      <c r="AE110" s="1184"/>
      <c r="AF110" s="1184"/>
      <c r="AG110" s="1184"/>
      <c r="AH110" s="1184"/>
      <c r="AI110" s="1184"/>
      <c r="AJ110" s="1184"/>
      <c r="AK110" s="1184"/>
      <c r="AL110" s="1185">
        <v>1</v>
      </c>
    </row>
    <row r="111" spans="1:38" s="709" customFormat="1" ht="30" customHeight="1">
      <c r="A111" s="1181"/>
      <c r="B111" s="1181"/>
      <c r="C111" s="1209"/>
      <c r="D111" s="1220" t="s">
        <v>1964</v>
      </c>
      <c r="E111" s="1211"/>
      <c r="F111" s="1189"/>
      <c r="G111" s="1211"/>
      <c r="H111" s="1211"/>
      <c r="I111" s="1211"/>
      <c r="J111" s="1211"/>
      <c r="K111" s="1211"/>
      <c r="L111" s="1211"/>
      <c r="M111" s="120" t="s">
        <v>115</v>
      </c>
      <c r="N111" s="121"/>
      <c r="O111" s="122"/>
      <c r="P111" s="1183"/>
      <c r="Q111" s="1183"/>
      <c r="R111" s="1183"/>
      <c r="S111" s="1183"/>
      <c r="T111" s="1183"/>
      <c r="U111" s="1183"/>
      <c r="V111" s="1183"/>
      <c r="W111" s="1183"/>
      <c r="X111" s="1183"/>
      <c r="Y111" s="1193"/>
      <c r="Z111" s="1183"/>
      <c r="AA111" s="1183"/>
      <c r="AB111" s="1183"/>
      <c r="AC111" s="1183"/>
      <c r="AD111" s="1184"/>
      <c r="AE111" s="1184"/>
      <c r="AF111" s="1184"/>
      <c r="AG111" s="1184"/>
      <c r="AH111" s="1184"/>
      <c r="AI111" s="1184"/>
      <c r="AJ111" s="1184"/>
      <c r="AK111" s="1184"/>
      <c r="AL111" s="1185">
        <v>1</v>
      </c>
    </row>
    <row r="112" spans="1:38" s="709" customFormat="1" ht="30" customHeight="1">
      <c r="A112" s="1181"/>
      <c r="B112" s="1230" t="s">
        <v>3233</v>
      </c>
      <c r="C112" s="1210"/>
      <c r="D112" s="1211"/>
      <c r="E112" s="1211"/>
      <c r="F112" s="1211"/>
      <c r="G112" s="1211"/>
      <c r="H112" s="1211"/>
      <c r="I112" s="1211"/>
      <c r="J112" s="1211"/>
      <c r="K112" s="1211"/>
      <c r="L112" s="1211"/>
      <c r="M112" s="5396" t="s">
        <v>122</v>
      </c>
      <c r="N112" s="124" t="s">
        <v>123</v>
      </c>
      <c r="O112" s="125"/>
      <c r="P112" s="1208"/>
      <c r="Q112" s="1208"/>
      <c r="R112" s="1208"/>
      <c r="S112" s="1183"/>
      <c r="T112" s="1183"/>
      <c r="U112" s="1183"/>
      <c r="V112" s="1183"/>
      <c r="W112" s="1183"/>
      <c r="X112" s="1183"/>
      <c r="Y112" s="1193"/>
      <c r="Z112" s="1183"/>
      <c r="AA112" s="1183"/>
      <c r="AB112" s="1183"/>
      <c r="AC112" s="1183"/>
      <c r="AD112" s="1184"/>
      <c r="AE112" s="1184"/>
      <c r="AF112" s="1184"/>
      <c r="AG112" s="1184"/>
      <c r="AH112" s="1184"/>
      <c r="AI112" s="1184"/>
      <c r="AJ112" s="1184"/>
      <c r="AK112" s="1184"/>
      <c r="AL112" s="1185">
        <v>1</v>
      </c>
    </row>
    <row r="113" spans="1:40" s="709" customFormat="1" ht="30" customHeight="1">
      <c r="A113" s="1181"/>
      <c r="B113" s="1232" t="s">
        <v>3234</v>
      </c>
      <c r="C113" s="1183"/>
      <c r="D113" s="1183"/>
      <c r="E113" s="1183"/>
      <c r="F113" s="1183"/>
      <c r="G113" s="1183"/>
      <c r="H113" s="1183"/>
      <c r="I113" s="1183"/>
      <c r="J113" s="1183"/>
      <c r="K113" s="1211"/>
      <c r="L113" s="1211"/>
      <c r="M113" s="5396"/>
      <c r="N113" s="124" t="s">
        <v>124</v>
      </c>
      <c r="O113" s="125"/>
      <c r="P113" s="1208"/>
      <c r="Q113" s="1208"/>
      <c r="R113" s="1208"/>
      <c r="S113" s="1183"/>
      <c r="T113" s="1183"/>
      <c r="U113" s="1183"/>
      <c r="V113" s="1183"/>
      <c r="W113" s="1183"/>
      <c r="X113" s="1183"/>
      <c r="Y113" s="1193"/>
      <c r="Z113" s="1183"/>
      <c r="AA113" s="1183"/>
      <c r="AB113" s="1208"/>
      <c r="AC113" s="1208"/>
      <c r="AD113" s="1208"/>
      <c r="AE113" s="1208"/>
      <c r="AF113" s="1208"/>
      <c r="AG113" s="1208"/>
      <c r="AH113" s="1208"/>
      <c r="AI113" s="1208"/>
      <c r="AJ113" s="1208"/>
      <c r="AK113" s="1208"/>
      <c r="AL113" s="1185">
        <v>1</v>
      </c>
    </row>
    <row r="114" spans="1:40" s="709" customFormat="1" ht="30" customHeight="1">
      <c r="A114" s="1181"/>
      <c r="B114" s="1232" t="s">
        <v>3235</v>
      </c>
      <c r="C114" s="1183"/>
      <c r="D114" s="1183"/>
      <c r="E114" s="1183"/>
      <c r="F114" s="1183"/>
      <c r="G114" s="1183"/>
      <c r="H114" s="1183"/>
      <c r="I114" s="1183"/>
      <c r="J114" s="1183"/>
      <c r="K114" s="1211"/>
      <c r="L114" s="1211"/>
      <c r="M114" s="5396"/>
      <c r="N114" s="124" t="s">
        <v>127</v>
      </c>
      <c r="O114" s="125"/>
      <c r="P114" s="1208"/>
      <c r="Q114" s="1208"/>
      <c r="R114" s="1208"/>
      <c r="S114" s="1183"/>
      <c r="T114" s="1183"/>
      <c r="U114" s="1183"/>
      <c r="V114" s="1183"/>
      <c r="W114" s="1183"/>
      <c r="X114" s="1183"/>
      <c r="Y114" s="1193"/>
      <c r="Z114" s="1183"/>
      <c r="AA114" s="1183"/>
      <c r="AB114" s="1208"/>
      <c r="AC114" s="1208"/>
      <c r="AD114" s="1208"/>
      <c r="AE114" s="1208"/>
      <c r="AF114" s="1208"/>
      <c r="AG114" s="1208"/>
      <c r="AH114" s="1208"/>
      <c r="AI114" s="1208"/>
      <c r="AJ114" s="1208"/>
      <c r="AK114" s="1208"/>
      <c r="AL114" s="1185">
        <v>1</v>
      </c>
    </row>
    <row r="115" spans="1:40" s="709" customFormat="1" ht="30" customHeight="1">
      <c r="A115" s="1181"/>
      <c r="B115" s="1234" t="s">
        <v>2654</v>
      </c>
      <c r="C115" s="1183"/>
      <c r="D115" s="1234" t="s">
        <v>11</v>
      </c>
      <c r="E115" s="1183"/>
      <c r="F115" s="1183"/>
      <c r="G115" s="1183"/>
      <c r="H115" s="1183"/>
      <c r="I115" s="1183"/>
      <c r="J115" s="1183"/>
      <c r="K115" s="1211"/>
      <c r="L115" s="1211"/>
      <c r="M115" s="5396"/>
      <c r="N115" s="124" t="s">
        <v>129</v>
      </c>
      <c r="O115" s="125"/>
      <c r="P115" s="1208"/>
      <c r="Q115" s="1208"/>
      <c r="R115" s="1208"/>
      <c r="S115" s="1183"/>
      <c r="T115" s="1183"/>
      <c r="U115" s="1183"/>
      <c r="V115" s="1183"/>
      <c r="W115" s="1183"/>
      <c r="X115" s="1183"/>
      <c r="Y115" s="1193"/>
      <c r="Z115" s="1183"/>
      <c r="AA115" s="1183"/>
      <c r="AB115" s="1208"/>
      <c r="AC115" s="1208"/>
      <c r="AD115" s="1208"/>
      <c r="AE115" s="1208"/>
      <c r="AF115" s="1208"/>
      <c r="AG115" s="1208"/>
      <c r="AH115" s="1208"/>
      <c r="AI115" s="1208"/>
      <c r="AJ115" s="1208"/>
      <c r="AK115" s="1208"/>
      <c r="AL115" s="1185">
        <v>1</v>
      </c>
    </row>
    <row r="116" spans="1:40" s="709" customFormat="1" ht="30" customHeight="1">
      <c r="A116" s="1181"/>
      <c r="B116" s="1232" t="s">
        <v>3236</v>
      </c>
      <c r="C116" s="1183"/>
      <c r="D116" s="1183"/>
      <c r="E116" s="1183"/>
      <c r="F116" s="1183"/>
      <c r="G116" s="1183"/>
      <c r="H116" s="1183"/>
      <c r="I116" s="1183"/>
      <c r="J116" s="1183"/>
      <c r="K116" s="1211"/>
      <c r="L116" s="1211"/>
      <c r="M116" s="5396"/>
      <c r="N116" s="124" t="s">
        <v>132</v>
      </c>
      <c r="O116" s="125"/>
      <c r="P116" s="1208"/>
      <c r="Q116" s="1208"/>
      <c r="R116" s="1208"/>
      <c r="S116" s="1183"/>
      <c r="T116" s="1183"/>
      <c r="U116" s="1183"/>
      <c r="V116" s="1183"/>
      <c r="W116" s="1183"/>
      <c r="X116" s="1183"/>
      <c r="Y116" s="1193"/>
      <c r="Z116" s="1183"/>
      <c r="AA116" s="1183"/>
      <c r="AB116" s="1208"/>
      <c r="AC116" s="1208"/>
      <c r="AD116" s="1208"/>
      <c r="AE116" s="1208"/>
      <c r="AF116" s="1208"/>
      <c r="AG116" s="1208"/>
      <c r="AH116" s="1208"/>
      <c r="AI116" s="1208"/>
      <c r="AJ116" s="1208"/>
      <c r="AK116" s="1208"/>
      <c r="AL116" s="1185">
        <v>1</v>
      </c>
    </row>
    <row r="117" spans="1:40" s="709" customFormat="1" ht="30" customHeight="1">
      <c r="A117" s="1181"/>
      <c r="B117" s="1232" t="s">
        <v>3237</v>
      </c>
      <c r="C117" s="1183"/>
      <c r="D117" s="1183"/>
      <c r="E117" s="1183"/>
      <c r="F117" s="1183"/>
      <c r="G117" s="1183"/>
      <c r="H117" s="1183"/>
      <c r="I117" s="1183"/>
      <c r="J117" s="1183"/>
      <c r="K117" s="1211"/>
      <c r="L117" s="1211"/>
      <c r="M117" s="5397"/>
      <c r="N117" s="128" t="s">
        <v>135</v>
      </c>
      <c r="O117" s="129"/>
      <c r="P117" s="1208"/>
      <c r="Q117" s="1208"/>
      <c r="R117" s="1208"/>
      <c r="S117" s="1183"/>
      <c r="T117" s="1183"/>
      <c r="U117" s="1183"/>
      <c r="V117" s="1183"/>
      <c r="W117" s="1183"/>
      <c r="X117" s="1183"/>
      <c r="Y117" s="1193"/>
      <c r="Z117" s="1183"/>
      <c r="AA117" s="1183"/>
      <c r="AB117" s="1208"/>
      <c r="AC117" s="1208"/>
      <c r="AD117" s="1208"/>
      <c r="AE117" s="1208"/>
      <c r="AF117" s="1208"/>
      <c r="AG117" s="1208"/>
      <c r="AH117" s="1208"/>
      <c r="AI117" s="1208"/>
      <c r="AJ117" s="1208"/>
      <c r="AK117" s="1208"/>
      <c r="AL117" s="1185">
        <v>1</v>
      </c>
    </row>
    <row r="118" spans="1:40" s="709" customFormat="1" ht="30" customHeight="1">
      <c r="A118" s="1181"/>
      <c r="B118" s="1232" t="s">
        <v>3238</v>
      </c>
      <c r="C118" s="1183"/>
      <c r="D118" s="1183"/>
      <c r="E118" s="1183"/>
      <c r="F118" s="1183"/>
      <c r="G118" s="1183"/>
      <c r="H118" s="1183"/>
      <c r="I118" s="1183"/>
      <c r="J118" s="1183"/>
      <c r="K118" s="1211"/>
      <c r="L118" s="1211"/>
      <c r="M118" s="1211"/>
      <c r="N118" s="1211"/>
      <c r="O118" s="1211"/>
      <c r="P118" s="1211"/>
      <c r="Q118" s="1208"/>
      <c r="R118" s="1208"/>
      <c r="S118" s="1183"/>
      <c r="T118" s="1183"/>
      <c r="U118" s="1183"/>
      <c r="V118" s="1183"/>
      <c r="W118" s="1183"/>
      <c r="X118" s="1183"/>
      <c r="Y118" s="1193"/>
      <c r="Z118" s="1183"/>
      <c r="AA118" s="1183"/>
      <c r="AB118" s="1208"/>
      <c r="AC118" s="1208"/>
      <c r="AD118" s="1208"/>
      <c r="AE118" s="1208"/>
      <c r="AF118" s="1208"/>
      <c r="AG118" s="1208"/>
      <c r="AH118" s="1208"/>
      <c r="AI118" s="1208"/>
      <c r="AJ118" s="1208"/>
      <c r="AK118" s="1208"/>
      <c r="AL118" s="1185">
        <v>1</v>
      </c>
    </row>
    <row r="119" spans="1:40" s="709" customFormat="1" ht="30" customHeight="1">
      <c r="A119" s="1181"/>
      <c r="B119" s="1183"/>
      <c r="C119" s="1183"/>
      <c r="D119" s="1183"/>
      <c r="E119" s="1183"/>
      <c r="F119" s="1183"/>
      <c r="G119" s="1183"/>
      <c r="H119" s="1183"/>
      <c r="I119" s="1183"/>
      <c r="J119" s="1183"/>
      <c r="K119" s="1211"/>
      <c r="L119" s="1211"/>
      <c r="M119" s="1211"/>
      <c r="N119" s="1211"/>
      <c r="O119" s="1211"/>
      <c r="P119" s="1211"/>
      <c r="Q119" s="1208"/>
      <c r="R119" s="1208"/>
      <c r="S119" s="1183"/>
      <c r="T119" s="1183"/>
      <c r="U119" s="1183"/>
      <c r="V119" s="1183"/>
      <c r="W119" s="1183"/>
      <c r="X119" s="1183"/>
      <c r="Y119" s="1193"/>
      <c r="Z119" s="1183"/>
      <c r="AA119" s="1183"/>
      <c r="AB119" s="1208"/>
      <c r="AC119" s="1208"/>
      <c r="AD119" s="1208"/>
      <c r="AE119" s="1208"/>
      <c r="AF119" s="1208"/>
      <c r="AG119" s="1208"/>
      <c r="AH119" s="1208"/>
      <c r="AI119" s="1208"/>
      <c r="AJ119" s="1208"/>
      <c r="AK119" s="1208"/>
      <c r="AL119" s="1185">
        <v>1</v>
      </c>
    </row>
    <row r="120" spans="1:40" s="709" customFormat="1" ht="30" customHeight="1">
      <c r="A120" s="1181"/>
      <c r="B120" s="1209"/>
      <c r="C120" s="1210"/>
      <c r="D120" s="1211"/>
      <c r="E120" s="1211"/>
      <c r="F120" s="1211"/>
      <c r="G120" s="1211"/>
      <c r="H120" s="1211"/>
      <c r="I120" s="1211"/>
      <c r="J120" s="1211"/>
      <c r="K120" s="1211"/>
      <c r="L120" s="1211"/>
      <c r="M120" s="1211"/>
      <c r="N120" s="1211"/>
      <c r="O120" s="1211"/>
      <c r="P120" s="1208"/>
      <c r="Q120" s="1208"/>
      <c r="R120" s="1208"/>
      <c r="S120" s="1208"/>
      <c r="T120" s="1208"/>
      <c r="U120" s="1208"/>
      <c r="V120" s="1208"/>
      <c r="W120" s="1208"/>
      <c r="X120" s="1208"/>
      <c r="Y120" s="1208"/>
      <c r="Z120" s="1208"/>
      <c r="AA120" s="1208"/>
      <c r="AB120" s="1208"/>
      <c r="AC120" s="1208"/>
      <c r="AD120" s="1208"/>
      <c r="AE120" s="1208"/>
      <c r="AF120" s="1208"/>
      <c r="AG120" s="1208"/>
      <c r="AH120" s="1208"/>
      <c r="AI120" s="1208"/>
      <c r="AJ120" s="1208"/>
      <c r="AK120" s="1208"/>
      <c r="AL120" s="1185">
        <v>1</v>
      </c>
    </row>
    <row r="121" spans="1:40" s="709" customFormat="1" ht="30" customHeight="1">
      <c r="A121" s="1181"/>
      <c r="B121" s="1237"/>
      <c r="C121" s="1238" t="s">
        <v>2665</v>
      </c>
      <c r="D121" s="1238"/>
      <c r="E121" s="1238"/>
      <c r="F121" s="1239"/>
      <c r="G121" s="1239"/>
      <c r="H121" s="1239"/>
      <c r="I121" s="1239"/>
      <c r="J121" s="1239"/>
      <c r="K121" s="1239"/>
      <c r="L121" s="1239"/>
      <c r="M121" s="1239"/>
      <c r="N121" s="1237"/>
      <c r="O121" s="1237"/>
      <c r="P121" s="1237"/>
      <c r="Q121" s="1208"/>
      <c r="R121" s="1208"/>
      <c r="S121" s="1208"/>
      <c r="T121" s="1208"/>
      <c r="U121" s="1208"/>
      <c r="V121" s="1208"/>
      <c r="W121" s="1208"/>
      <c r="X121" s="1208"/>
      <c r="Y121" s="1208"/>
      <c r="Z121" s="1208"/>
      <c r="AA121" s="1208"/>
      <c r="AB121" s="1208"/>
      <c r="AC121" s="1208"/>
      <c r="AD121" s="1208"/>
      <c r="AE121" s="1208"/>
      <c r="AF121" s="1208"/>
      <c r="AG121" s="1208"/>
      <c r="AH121" s="1208"/>
      <c r="AI121" s="1184"/>
      <c r="AJ121" s="1184"/>
      <c r="AK121" s="1184"/>
      <c r="AL121" s="1185">
        <v>1</v>
      </c>
    </row>
    <row r="122" spans="1:40" s="709" customFormat="1" ht="30" customHeight="1">
      <c r="A122" s="1181"/>
      <c r="B122" s="1240" t="s">
        <v>2666</v>
      </c>
      <c r="C122" s="1241"/>
      <c r="D122" s="1239"/>
      <c r="E122" s="1239"/>
      <c r="F122" s="1239"/>
      <c r="G122" s="1239"/>
      <c r="H122" s="1242" t="s">
        <v>2667</v>
      </c>
      <c r="I122" s="1239"/>
      <c r="J122" s="1239"/>
      <c r="K122" s="1239"/>
      <c r="L122" s="1239"/>
      <c r="M122" s="1239"/>
      <c r="N122" s="1237"/>
      <c r="O122" s="1237"/>
      <c r="P122" s="1237"/>
      <c r="Q122" s="1208"/>
      <c r="R122" s="1208"/>
      <c r="S122" s="1208"/>
      <c r="T122" s="1208"/>
      <c r="U122" s="1208"/>
      <c r="V122" s="1208"/>
      <c r="W122" s="1208"/>
      <c r="X122" s="1208"/>
      <c r="Y122" s="1208"/>
      <c r="Z122" s="1208"/>
      <c r="AA122" s="1208"/>
      <c r="AB122" s="1208"/>
      <c r="AC122" s="1208"/>
      <c r="AD122" s="1208"/>
      <c r="AE122" s="1208"/>
      <c r="AF122" s="1208"/>
      <c r="AG122" s="1208"/>
      <c r="AH122" s="1208"/>
      <c r="AI122" s="1184"/>
      <c r="AJ122" s="1184"/>
      <c r="AK122" s="1184"/>
      <c r="AL122" s="1185">
        <v>1</v>
      </c>
    </row>
    <row r="123" spans="1:40" s="709" customFormat="1" ht="30" customHeight="1">
      <c r="A123" s="1181"/>
      <c r="B123" s="1240"/>
      <c r="C123" s="1243" t="s">
        <v>2668</v>
      </c>
      <c r="D123" s="1243"/>
      <c r="E123" s="1243"/>
      <c r="F123" s="1243"/>
      <c r="G123" s="1243"/>
      <c r="H123" s="1243"/>
      <c r="I123" s="1243"/>
      <c r="J123" s="1243"/>
      <c r="K123" s="1243"/>
      <c r="L123" s="1243"/>
      <c r="M123" s="1243"/>
      <c r="N123" s="1243"/>
      <c r="O123" s="1243"/>
      <c r="P123" s="1243"/>
      <c r="Q123" s="1208"/>
      <c r="R123" s="1208"/>
      <c r="S123" s="1208"/>
      <c r="T123" s="1208"/>
      <c r="U123" s="1208"/>
      <c r="V123" s="1208"/>
      <c r="W123" s="1208"/>
      <c r="X123" s="1208"/>
      <c r="Y123" s="1208"/>
      <c r="Z123" s="1208"/>
      <c r="AA123" s="1208"/>
      <c r="AB123" s="1208"/>
      <c r="AC123" s="1208"/>
      <c r="AD123" s="1208"/>
      <c r="AE123" s="1208"/>
      <c r="AF123" s="1208"/>
      <c r="AG123" s="1208"/>
      <c r="AH123" s="1208"/>
      <c r="AI123" s="1184"/>
      <c r="AJ123" s="1184"/>
      <c r="AK123" s="1184"/>
      <c r="AL123" s="1185">
        <v>1</v>
      </c>
    </row>
    <row r="124" spans="1:40" s="709" customFormat="1" ht="30" customHeight="1">
      <c r="A124" s="1181"/>
      <c r="B124" s="1240"/>
      <c r="C124" s="1241"/>
      <c r="D124" s="1241"/>
      <c r="E124" s="1241"/>
      <c r="F124" s="1241"/>
      <c r="G124" s="1241"/>
      <c r="H124" s="1241"/>
      <c r="I124" s="1241"/>
      <c r="J124" s="1241"/>
      <c r="K124" s="1241"/>
      <c r="L124" s="1241"/>
      <c r="M124" s="1241"/>
      <c r="N124" s="1241"/>
      <c r="O124" s="1241"/>
      <c r="P124" s="1241"/>
      <c r="Q124" s="1208"/>
      <c r="R124" s="1208"/>
      <c r="S124" s="1208"/>
      <c r="T124" s="1208"/>
      <c r="U124" s="1208"/>
      <c r="V124" s="1208"/>
      <c r="W124" s="1208"/>
      <c r="X124" s="1208"/>
      <c r="Y124" s="1208"/>
      <c r="Z124" s="1208"/>
      <c r="AA124" s="1208"/>
      <c r="AB124" s="1208"/>
      <c r="AC124" s="1208"/>
      <c r="AD124" s="1208"/>
      <c r="AE124" s="1208"/>
      <c r="AF124" s="1208"/>
      <c r="AG124" s="1208"/>
      <c r="AH124" s="1208"/>
      <c r="AI124" s="1184"/>
      <c r="AJ124" s="1184"/>
      <c r="AK124" s="1184"/>
      <c r="AL124" s="1185">
        <v>1</v>
      </c>
    </row>
    <row r="125" spans="1:40" s="709" customFormat="1" ht="30" customHeight="1">
      <c r="A125" s="1181"/>
      <c r="B125" s="1209"/>
      <c r="C125" s="1210"/>
      <c r="D125" s="1211"/>
      <c r="E125" s="1211"/>
      <c r="F125" s="1211"/>
      <c r="G125" s="1211"/>
      <c r="H125" s="1211"/>
      <c r="I125" s="1211"/>
      <c r="J125" s="1211"/>
      <c r="K125" s="1211"/>
      <c r="L125" s="1211"/>
      <c r="M125" s="1211"/>
      <c r="N125" s="1211"/>
      <c r="O125" s="1211"/>
      <c r="P125" s="1208"/>
      <c r="Q125" s="1208"/>
      <c r="R125" s="1208"/>
      <c r="S125" s="1208"/>
      <c r="T125" s="1208"/>
      <c r="U125" s="1208"/>
      <c r="V125" s="1208"/>
      <c r="W125" s="1208"/>
      <c r="X125" s="1208"/>
      <c r="Y125" s="1208"/>
      <c r="Z125" s="1208"/>
      <c r="AA125" s="1208"/>
      <c r="AB125" s="1208"/>
      <c r="AC125" s="1208"/>
      <c r="AD125" s="1208"/>
      <c r="AE125" s="1208"/>
      <c r="AF125" s="1208"/>
      <c r="AG125" s="1208"/>
      <c r="AH125" s="1208"/>
      <c r="AI125" s="1184"/>
      <c r="AJ125" s="1184"/>
      <c r="AK125" s="1184"/>
      <c r="AL125" s="1185">
        <v>1</v>
      </c>
    </row>
    <row r="126" spans="1:40" ht="30" customHeight="1">
      <c r="A126" s="1183"/>
      <c r="B126" s="1183"/>
      <c r="C126" s="1183"/>
      <c r="D126" s="1183"/>
      <c r="E126" s="1183"/>
      <c r="F126" s="1183"/>
      <c r="G126" s="1183"/>
      <c r="H126" s="1183"/>
      <c r="I126" s="1183"/>
      <c r="J126" s="1183"/>
      <c r="K126" s="1183"/>
      <c r="L126" s="1183"/>
      <c r="M126" s="1183"/>
      <c r="N126" s="1183"/>
      <c r="O126" s="1183"/>
      <c r="P126" s="1183"/>
      <c r="Q126" s="1208"/>
      <c r="R126" s="1208"/>
      <c r="S126" s="1208"/>
      <c r="T126" s="1183"/>
      <c r="U126" s="1183"/>
      <c r="V126" s="1183"/>
      <c r="W126" s="1183"/>
      <c r="X126" s="1183"/>
      <c r="Y126" s="1193"/>
      <c r="Z126" s="1183"/>
      <c r="AA126" s="1183"/>
      <c r="AB126" s="1183"/>
      <c r="AC126" s="1183"/>
      <c r="AD126" s="1184"/>
      <c r="AE126" s="1184"/>
      <c r="AF126" s="1184"/>
      <c r="AG126" s="1184"/>
      <c r="AH126" s="1184"/>
      <c r="AI126" s="1184"/>
      <c r="AJ126" s="1184"/>
      <c r="AK126" s="1184"/>
      <c r="AL126" s="1185">
        <v>1</v>
      </c>
    </row>
    <row r="127" spans="1:40" s="1244" customFormat="1" ht="39.950000000000003" customHeight="1">
      <c r="A127" s="1181"/>
      <c r="B127" s="1245"/>
      <c r="C127" s="1209" t="s">
        <v>3195</v>
      </c>
      <c r="D127" s="1209"/>
      <c r="E127" s="1183"/>
      <c r="F127" s="1183"/>
      <c r="G127" s="1183"/>
      <c r="H127" s="1183"/>
      <c r="I127" s="1183"/>
      <c r="J127" s="1183"/>
      <c r="K127" s="1183"/>
      <c r="L127" s="1183"/>
      <c r="M127" s="1183"/>
      <c r="N127" s="1183"/>
      <c r="O127" s="1183"/>
      <c r="P127" s="1183"/>
      <c r="Q127" s="1183"/>
      <c r="R127" s="1183"/>
      <c r="S127" s="1183"/>
      <c r="T127" s="1183"/>
      <c r="U127" s="1183"/>
      <c r="V127" s="1183"/>
      <c r="W127" s="1183"/>
      <c r="X127" s="1183"/>
      <c r="Y127" s="1183"/>
      <c r="Z127" s="1183"/>
      <c r="AA127" s="1183"/>
      <c r="AB127" s="1183"/>
      <c r="AC127" s="1183"/>
      <c r="AD127" s="1183"/>
      <c r="AE127" s="1183"/>
      <c r="AF127" s="1183"/>
      <c r="AG127" s="1183"/>
      <c r="AH127" s="1183"/>
      <c r="AI127" s="1184"/>
      <c r="AJ127" s="1184"/>
      <c r="AK127" s="1184"/>
      <c r="AL127" s="1185">
        <v>1</v>
      </c>
      <c r="AM127" s="709"/>
      <c r="AN127" s="709"/>
    </row>
    <row r="128" spans="1:40" s="1244" customFormat="1" ht="39.950000000000003" customHeight="1">
      <c r="A128" s="1181"/>
      <c r="B128" s="1196" t="s">
        <v>3196</v>
      </c>
      <c r="C128" s="1190"/>
      <c r="D128" s="1181"/>
      <c r="E128" s="1181"/>
      <c r="F128" s="1181"/>
      <c r="G128" s="1181"/>
      <c r="H128" s="1181"/>
      <c r="I128" s="1246"/>
      <c r="J128" s="1181"/>
      <c r="K128" s="1181"/>
      <c r="L128" s="1181"/>
      <c r="M128" s="1181"/>
      <c r="N128" s="1181"/>
      <c r="O128" s="1246"/>
      <c r="P128" s="1246"/>
      <c r="Q128" s="1246"/>
      <c r="R128" s="1246"/>
      <c r="S128" s="1246"/>
      <c r="T128" s="1183"/>
      <c r="U128" s="1183"/>
      <c r="V128" s="1183"/>
      <c r="W128" s="1183"/>
      <c r="X128" s="1183"/>
      <c r="Y128" s="1183"/>
      <c r="Z128" s="1183"/>
      <c r="AA128" s="1183"/>
      <c r="AB128" s="1183"/>
      <c r="AC128" s="1183"/>
      <c r="AD128" s="1183"/>
      <c r="AE128" s="1183"/>
      <c r="AF128" s="1183"/>
      <c r="AG128" s="1183"/>
      <c r="AH128" s="1183"/>
      <c r="AI128" s="1184"/>
      <c r="AJ128" s="1184"/>
      <c r="AK128" s="1184"/>
      <c r="AL128" s="1185">
        <v>1</v>
      </c>
      <c r="AM128" s="709"/>
      <c r="AN128" s="709"/>
    </row>
    <row r="129" spans="1:40" s="1244" customFormat="1" ht="39.950000000000003" customHeight="1">
      <c r="A129" s="1181"/>
      <c r="B129" s="1196"/>
      <c r="C129" s="1190"/>
      <c r="D129" s="1181"/>
      <c r="E129" s="1181"/>
      <c r="F129" s="1181"/>
      <c r="G129" s="1181"/>
      <c r="H129" s="1181"/>
      <c r="I129" s="1246"/>
      <c r="J129" s="1181"/>
      <c r="K129" s="1181"/>
      <c r="L129" s="1181"/>
      <c r="M129" s="1181"/>
      <c r="N129" s="1181"/>
      <c r="O129" s="1246"/>
      <c r="P129" s="1246"/>
      <c r="Q129" s="1246"/>
      <c r="R129" s="1246"/>
      <c r="S129" s="1246"/>
      <c r="T129" s="1183"/>
      <c r="U129" s="1183"/>
      <c r="V129" s="1183"/>
      <c r="W129" s="1183"/>
      <c r="X129" s="1183"/>
      <c r="Y129" s="1183"/>
      <c r="Z129" s="1183"/>
      <c r="AA129" s="1183"/>
      <c r="AB129" s="1183"/>
      <c r="AC129" s="1183"/>
      <c r="AD129" s="1183"/>
      <c r="AE129" s="1183"/>
      <c r="AF129" s="1183"/>
      <c r="AG129" s="1183"/>
      <c r="AH129" s="1183"/>
      <c r="AI129" s="1184"/>
      <c r="AJ129" s="1184"/>
      <c r="AK129" s="1184"/>
      <c r="AL129" s="1185">
        <v>1</v>
      </c>
      <c r="AM129" s="709"/>
      <c r="AN129" s="709"/>
    </row>
    <row r="130" spans="1:40" ht="25.5">
      <c r="A130" s="1181"/>
      <c r="B130" s="1247"/>
      <c r="C130" s="1248"/>
      <c r="D130" s="1248"/>
      <c r="E130" s="1248"/>
      <c r="F130" s="1249"/>
      <c r="G130" s="1249"/>
      <c r="H130" s="1249"/>
      <c r="I130" s="1249"/>
      <c r="J130" s="1183"/>
      <c r="K130" s="1183"/>
      <c r="L130" s="1183"/>
      <c r="M130" s="1183"/>
      <c r="N130" s="1183"/>
      <c r="O130" s="1183"/>
      <c r="P130" s="1184"/>
      <c r="Q130" s="1246"/>
      <c r="R130" s="1246"/>
      <c r="S130" s="1246"/>
      <c r="T130" s="1183"/>
      <c r="U130" s="1183"/>
      <c r="V130" s="1183"/>
      <c r="W130" s="1183"/>
      <c r="X130" s="1183"/>
      <c r="Y130" s="1183"/>
      <c r="Z130" s="1183"/>
      <c r="AA130" s="1183"/>
      <c r="AB130" s="1183"/>
      <c r="AC130" s="1183"/>
      <c r="AD130" s="1183"/>
      <c r="AE130" s="1183"/>
      <c r="AF130" s="1183"/>
      <c r="AG130" s="1183"/>
      <c r="AH130" s="1183"/>
      <c r="AI130" s="1184"/>
      <c r="AJ130" s="1184"/>
      <c r="AK130" s="1184"/>
      <c r="AL130" s="1185">
        <v>1</v>
      </c>
    </row>
    <row r="131" spans="1:40">
      <c r="A131" s="1181"/>
      <c r="B131" s="922">
        <v>18</v>
      </c>
      <c r="C131" s="922">
        <v>19</v>
      </c>
      <c r="D131" s="922">
        <v>15</v>
      </c>
      <c r="E131" s="922">
        <v>11</v>
      </c>
      <c r="F131" s="922">
        <v>16</v>
      </c>
      <c r="G131" s="922">
        <v>11</v>
      </c>
      <c r="H131" s="922">
        <v>21</v>
      </c>
      <c r="I131" s="922">
        <v>17</v>
      </c>
      <c r="J131" s="922">
        <v>11</v>
      </c>
      <c r="K131" s="922">
        <v>11</v>
      </c>
      <c r="L131" s="922">
        <v>11</v>
      </c>
      <c r="M131" s="922">
        <v>18</v>
      </c>
      <c r="N131" s="922">
        <v>11</v>
      </c>
      <c r="O131" s="922">
        <v>19</v>
      </c>
      <c r="P131" s="922">
        <v>13</v>
      </c>
      <c r="Q131" s="1246"/>
      <c r="R131" s="1246"/>
      <c r="S131" s="1246"/>
      <c r="T131" s="1183"/>
      <c r="U131" s="1183"/>
      <c r="V131" s="1183"/>
      <c r="W131" s="1183"/>
      <c r="X131" s="1183"/>
      <c r="Y131" s="1183"/>
      <c r="Z131" s="1183"/>
      <c r="AA131" s="1183"/>
      <c r="AB131" s="1183"/>
      <c r="AC131" s="1183"/>
      <c r="AD131" s="1183"/>
      <c r="AE131" s="1183"/>
      <c r="AF131" s="1183"/>
      <c r="AG131" s="1183"/>
      <c r="AH131" s="1183"/>
      <c r="AI131" s="1184"/>
      <c r="AJ131" s="1184"/>
      <c r="AK131" s="1184"/>
      <c r="AL131" s="1185">
        <v>1</v>
      </c>
    </row>
    <row r="132" spans="1:40" ht="26.25">
      <c r="A132" s="1181"/>
      <c r="B132" s="5393" t="s">
        <v>687</v>
      </c>
      <c r="C132" s="5394"/>
      <c r="D132" s="5394"/>
      <c r="E132" s="5394"/>
      <c r="F132" s="5394"/>
      <c r="G132" s="5394"/>
      <c r="H132" s="5394"/>
      <c r="I132" s="5394"/>
      <c r="J132" s="5394"/>
      <c r="K132" s="5394"/>
      <c r="L132" s="5394"/>
      <c r="M132" s="5394"/>
      <c r="N132" s="5394"/>
      <c r="O132" s="5394"/>
      <c r="P132" s="5395"/>
      <c r="Q132" s="1246"/>
      <c r="R132" s="1246"/>
      <c r="S132" s="1246"/>
      <c r="T132" s="1183"/>
      <c r="U132" s="1183"/>
      <c r="V132" s="1183"/>
      <c r="W132" s="1183"/>
      <c r="X132" s="1183"/>
      <c r="Y132" s="1183"/>
      <c r="Z132" s="1183"/>
      <c r="AA132" s="1183"/>
      <c r="AB132" s="1183"/>
      <c r="AC132" s="1183"/>
      <c r="AD132" s="1183"/>
      <c r="AE132" s="1183"/>
      <c r="AF132" s="1183"/>
      <c r="AG132" s="1183"/>
      <c r="AH132" s="1183"/>
      <c r="AI132" s="1184"/>
      <c r="AJ132" s="1184"/>
      <c r="AK132" s="1184"/>
      <c r="AL132" s="1185">
        <v>1</v>
      </c>
    </row>
    <row r="133" spans="1:40" ht="25.5">
      <c r="A133" s="1181"/>
      <c r="B133" s="605" t="s">
        <v>1638</v>
      </c>
      <c r="C133" s="1450" t="s">
        <v>3218</v>
      </c>
      <c r="D133" s="9"/>
      <c r="E133" s="1419"/>
      <c r="F133" s="1250"/>
      <c r="G133" s="1410" t="s">
        <v>3219</v>
      </c>
      <c r="H133" s="1428" t="s">
        <v>3225</v>
      </c>
      <c r="I133"/>
      <c r="J133" s="5408" t="s">
        <v>3220</v>
      </c>
      <c r="K133" s="5408"/>
      <c r="L133" s="1428" t="s">
        <v>3230</v>
      </c>
      <c r="M133" s="1251"/>
      <c r="N133" s="1424">
        <f>C134*B134</f>
        <v>1250</v>
      </c>
      <c r="O133" s="1425">
        <f>(C135*B134)/1000</f>
        <v>162.5</v>
      </c>
      <c r="P133" s="1432"/>
      <c r="Q133" s="1246"/>
      <c r="R133" s="1246"/>
      <c r="S133" s="1246"/>
      <c r="T133" s="1183"/>
      <c r="U133" s="1183"/>
      <c r="V133" s="1183"/>
      <c r="W133" s="1183"/>
      <c r="X133" s="1183"/>
      <c r="Y133" s="1183"/>
      <c r="Z133" s="1183"/>
      <c r="AA133" s="1183"/>
      <c r="AB133" s="1183"/>
      <c r="AC133" s="1183"/>
      <c r="AD133" s="1183"/>
      <c r="AE133" s="1183"/>
      <c r="AF133" s="1183"/>
      <c r="AG133" s="1183"/>
      <c r="AH133" s="1183"/>
      <c r="AI133" s="1184"/>
      <c r="AJ133" s="1184"/>
      <c r="AK133" s="1184"/>
      <c r="AL133" s="1185">
        <v>1</v>
      </c>
    </row>
    <row r="134" spans="1:40" ht="21">
      <c r="A134" s="1181"/>
      <c r="B134" s="5398">
        <v>1250</v>
      </c>
      <c r="C134" s="619">
        <v>1</v>
      </c>
      <c r="D134" s="1429" t="str">
        <f>"&lt; Nb of "&amp;J133&amp;" por persona "</f>
        <v xml:space="preserve">&lt; Nb of rebanadas por persona </v>
      </c>
      <c r="E134" s="1423"/>
      <c r="F134" s="9"/>
      <c r="G134" s="620">
        <v>7</v>
      </c>
      <c r="H134" s="1429" t="str">
        <f>"&lt; Nb "&amp;J133&amp;" in 1 " &amp;G133</f>
        <v>&lt; Nb rebanadas in 1 Barqueta(s)</v>
      </c>
      <c r="I134" s="1252"/>
      <c r="J134" s="1430" t="str">
        <f>IF(OR(G134="",N133=0),"",INT(N133/G134) &amp; " " &amp; G133 &amp; " de " &amp; G134 &amp; " " &amp; J133 &amp; IF(MOD(N133,G134)&gt;0," + 1 " &amp; G133 &amp; " de " &amp; TEXT(MOD(N133,G134),"0.00") &amp; " " &amp; J133,""))</f>
        <v>178 Barqueta(s) de 7 rebanadas + 1 Barqueta(s) de 4.00 rebanadas</v>
      </c>
      <c r="K134" s="1420"/>
      <c r="L134" s="1420"/>
      <c r="M134" s="1420"/>
      <c r="N134" s="1420"/>
      <c r="O134" s="1420"/>
      <c r="P134" s="1433"/>
      <c r="Q134" s="1246"/>
      <c r="R134" s="1246"/>
      <c r="S134" s="1246"/>
      <c r="T134" s="1183"/>
      <c r="U134" s="1183"/>
      <c r="V134" s="1183"/>
      <c r="W134" s="1183"/>
      <c r="X134" s="1183"/>
      <c r="Y134" s="1183"/>
      <c r="Z134" s="1183"/>
      <c r="AA134" s="1183"/>
      <c r="AB134" s="1183"/>
      <c r="AC134" s="1183"/>
      <c r="AD134" s="1183"/>
      <c r="AE134" s="1183"/>
      <c r="AF134" s="1183"/>
      <c r="AG134" s="1183"/>
      <c r="AH134" s="1183"/>
      <c r="AI134" s="1184"/>
      <c r="AJ134" s="1184"/>
      <c r="AK134" s="1184"/>
      <c r="AL134" s="1185">
        <v>1</v>
      </c>
    </row>
    <row r="135" spans="1:40" ht="21">
      <c r="A135" s="1181"/>
      <c r="B135" s="5398"/>
      <c r="C135" s="1427">
        <v>130</v>
      </c>
      <c r="D135" s="1448" t="s">
        <v>3231</v>
      </c>
      <c r="E135" s="1253"/>
      <c r="F135" s="9"/>
      <c r="G135" s="1426">
        <v>1.3</v>
      </c>
      <c r="H135" s="1409" t="str">
        <f>"&lt; weight per "&amp; G133</f>
        <v>&lt; weight per Barqueta(s)</v>
      </c>
      <c r="I135" s="1251"/>
      <c r="J135" s="1431" t="str">
        <f>IF(OR(O133&lt;=0,G135&lt;=0),"",_xlfn.LET(_xlpm.n,ROUND(O133/G135,9),_xlpm.q,INT(_xlpm.n),_xlpm.r,ROUND(O133-_xlpm.q*G135,9),_xlpm.base,_xlpm.q&amp;" "&amp;G133&amp;" de "&amp;TEXT(G135,"0.000")&amp;" kg",IF(_xlpm.r&lt;=0.000000001,_xlpm.base,_xlpm.base&amp;" + 1 "&amp;G133&amp;" de "&amp;TEXT(_xlpm.r,"0.000")&amp;" kg")))</f>
        <v>125 Barqueta(s) de 1.300 kg</v>
      </c>
      <c r="K135" s="1421"/>
      <c r="L135" s="1421"/>
      <c r="M135" s="1421"/>
      <c r="N135" s="1421"/>
      <c r="O135" s="1421"/>
      <c r="P135" s="1434"/>
      <c r="Q135" s="1246"/>
      <c r="R135" s="1246"/>
      <c r="S135" s="1246"/>
      <c r="T135" s="1183"/>
      <c r="U135" s="1183"/>
      <c r="V135" s="1183"/>
      <c r="W135" s="1183"/>
      <c r="X135" s="1183"/>
      <c r="Y135" s="1183"/>
      <c r="Z135" s="1183"/>
      <c r="AA135" s="1183"/>
      <c r="AB135" s="1183"/>
      <c r="AC135" s="1183"/>
      <c r="AD135" s="1208"/>
      <c r="AE135" s="1183"/>
      <c r="AF135" s="1183"/>
      <c r="AG135" s="1183"/>
      <c r="AH135" s="1183"/>
      <c r="AI135" s="1184"/>
      <c r="AJ135" s="1184"/>
      <c r="AK135" s="1184"/>
      <c r="AL135" s="1185">
        <v>1</v>
      </c>
    </row>
    <row r="136" spans="1:40" ht="21">
      <c r="A136" s="1181"/>
      <c r="B136" s="1435" t="s">
        <v>3221</v>
      </c>
      <c r="C136" s="1254"/>
      <c r="D136" s="1304"/>
      <c r="E136" s="1304"/>
      <c r="F136" s="1304"/>
      <c r="G136" s="1254"/>
      <c r="H136" s="1254"/>
      <c r="I136" s="1254"/>
      <c r="J136" s="1254"/>
      <c r="K136" s="1254"/>
      <c r="L136" s="1254"/>
      <c r="M136" s="1254"/>
      <c r="N136" s="1255"/>
      <c r="O136" s="1422"/>
      <c r="P136" s="1436"/>
      <c r="Q136" s="1246"/>
      <c r="R136" s="1246"/>
      <c r="S136" s="1246"/>
      <c r="T136" s="1183"/>
      <c r="U136" s="1183"/>
      <c r="V136" s="1183"/>
      <c r="W136" s="1183"/>
      <c r="X136" s="1183"/>
      <c r="Y136" s="1183"/>
      <c r="Z136" s="1183"/>
      <c r="AA136" s="1183"/>
      <c r="AB136" s="1183"/>
      <c r="AC136" s="1183"/>
      <c r="AD136" s="1208"/>
      <c r="AE136" s="1183"/>
      <c r="AF136" s="1183"/>
      <c r="AG136" s="1183"/>
      <c r="AH136" s="1183"/>
      <c r="AI136" s="1184"/>
      <c r="AJ136" s="1184"/>
      <c r="AK136" s="1184"/>
      <c r="AL136" s="1185">
        <v>1</v>
      </c>
    </row>
    <row r="137" spans="1:40" s="709" customFormat="1" ht="21">
      <c r="A137" s="1181"/>
      <c r="B137" s="1437"/>
      <c r="C137" s="1438"/>
      <c r="D137" s="1439"/>
      <c r="E137" s="1439"/>
      <c r="F137" s="1440"/>
      <c r="G137" s="1441"/>
      <c r="H137" s="1442"/>
      <c r="I137" s="1443"/>
      <c r="J137" s="1444"/>
      <c r="K137" s="1444"/>
      <c r="L137" s="1444"/>
      <c r="M137" s="1444"/>
      <c r="N137" s="1445"/>
      <c r="O137" s="1446"/>
      <c r="P137" s="1447"/>
      <c r="Q137" s="1246"/>
      <c r="R137" s="1246"/>
      <c r="S137" s="1246"/>
      <c r="T137" s="1183"/>
      <c r="U137" s="1183"/>
      <c r="V137" s="1183"/>
      <c r="W137" s="1183"/>
      <c r="X137" s="1183"/>
      <c r="Y137" s="1183"/>
      <c r="Z137" s="1183"/>
      <c r="AA137" s="1183"/>
      <c r="AB137" s="1183"/>
      <c r="AC137" s="1183"/>
      <c r="AD137" s="1208"/>
      <c r="AE137" s="1183"/>
      <c r="AF137" s="1183"/>
      <c r="AG137" s="1183"/>
      <c r="AH137" s="1183"/>
      <c r="AI137" s="1184"/>
      <c r="AJ137" s="1184"/>
      <c r="AK137" s="1184"/>
      <c r="AL137" s="1185">
        <v>1</v>
      </c>
    </row>
    <row r="138" spans="1:40" s="709" customFormat="1" ht="27">
      <c r="A138" s="1181"/>
      <c r="B138" s="1256"/>
      <c r="C138" s="1181"/>
      <c r="D138" s="1181"/>
      <c r="E138" s="1181"/>
      <c r="F138" s="1181"/>
      <c r="G138" s="1181"/>
      <c r="H138" s="1181"/>
      <c r="I138" s="1246"/>
      <c r="J138" s="1181"/>
      <c r="K138" s="1181"/>
      <c r="L138" s="1181"/>
      <c r="M138" s="1181"/>
      <c r="N138" s="1181"/>
      <c r="O138" s="1246"/>
      <c r="P138" s="1246"/>
      <c r="Q138" s="1246"/>
      <c r="R138" s="1246"/>
      <c r="S138" s="1246"/>
      <c r="T138" s="1183"/>
      <c r="U138" s="1183"/>
      <c r="V138" s="1183"/>
      <c r="W138" s="1183"/>
      <c r="X138" s="1183"/>
      <c r="Y138" s="1183"/>
      <c r="Z138" s="1183"/>
      <c r="AA138" s="1183"/>
      <c r="AB138" s="1183"/>
      <c r="AC138" s="1183"/>
      <c r="AD138" s="1208"/>
      <c r="AE138" s="1183"/>
      <c r="AF138" s="1183"/>
      <c r="AG138" s="1183"/>
      <c r="AH138" s="1183"/>
      <c r="AI138" s="1184"/>
      <c r="AJ138" s="1184"/>
      <c r="AK138" s="1184"/>
      <c r="AL138" s="1185">
        <v>1</v>
      </c>
    </row>
    <row r="139" spans="1:40" s="709" customFormat="1" ht="30" customHeight="1">
      <c r="A139" s="1181"/>
      <c r="B139" s="1257" t="s">
        <v>3197</v>
      </c>
      <c r="C139" s="1258"/>
      <c r="D139" s="1258"/>
      <c r="E139" s="1258"/>
      <c r="F139" s="1258"/>
      <c r="G139" s="1258"/>
      <c r="H139" s="1258"/>
      <c r="I139" s="1258"/>
      <c r="J139" s="1258"/>
      <c r="K139" s="1211" t="s">
        <v>22</v>
      </c>
      <c r="L139" s="1211"/>
      <c r="M139" s="1211"/>
      <c r="N139" s="1211"/>
      <c r="O139" s="1211"/>
      <c r="P139" s="1208"/>
      <c r="Q139" s="1208"/>
      <c r="R139" s="1208"/>
      <c r="S139" s="1246"/>
      <c r="T139" s="1183"/>
      <c r="U139" s="1183"/>
      <c r="V139" s="1183"/>
      <c r="W139" s="1208"/>
      <c r="X139" s="1208"/>
      <c r="Y139" s="1208"/>
      <c r="Z139" s="1208"/>
      <c r="AA139" s="1208"/>
      <c r="AB139" s="1208"/>
      <c r="AC139" s="1208"/>
      <c r="AD139" s="1208"/>
      <c r="AE139" s="1208"/>
      <c r="AF139" s="1184"/>
      <c r="AG139" s="1184"/>
      <c r="AH139" s="1184"/>
      <c r="AI139" s="1184"/>
      <c r="AJ139" s="1184"/>
      <c r="AK139" s="1184"/>
      <c r="AL139" s="1185">
        <v>1</v>
      </c>
    </row>
    <row r="140" spans="1:40" s="709" customFormat="1" ht="30" customHeight="1">
      <c r="A140" s="1181"/>
      <c r="B140" s="1259" t="s">
        <v>3198</v>
      </c>
      <c r="C140" s="1258"/>
      <c r="D140" s="1258"/>
      <c r="E140" s="1258"/>
      <c r="F140" s="1258"/>
      <c r="G140" s="1258"/>
      <c r="H140" s="1258"/>
      <c r="I140" s="1258"/>
      <c r="J140" s="1258"/>
      <c r="K140" s="1211" t="s">
        <v>22</v>
      </c>
      <c r="L140" s="1211"/>
      <c r="M140" s="1211"/>
      <c r="N140" s="1211"/>
      <c r="O140" s="1211"/>
      <c r="P140" s="1208"/>
      <c r="Q140" s="1208"/>
      <c r="R140" s="1208"/>
      <c r="S140" s="1246"/>
      <c r="T140" s="1183"/>
      <c r="U140" s="1183"/>
      <c r="V140" s="1183"/>
      <c r="W140" s="1208"/>
      <c r="X140" s="1208"/>
      <c r="Y140" s="1208"/>
      <c r="Z140" s="1208"/>
      <c r="AA140" s="1208"/>
      <c r="AB140" s="1208"/>
      <c r="AC140" s="1208"/>
      <c r="AD140" s="1208"/>
      <c r="AE140" s="1208"/>
      <c r="AF140" s="1184"/>
      <c r="AG140" s="1184"/>
      <c r="AH140" s="1184"/>
      <c r="AI140" s="1184"/>
      <c r="AJ140" s="1184"/>
      <c r="AK140" s="1184"/>
      <c r="AL140" s="1185">
        <v>1</v>
      </c>
    </row>
    <row r="141" spans="1:40" s="709" customFormat="1" ht="30" customHeight="1">
      <c r="A141" s="1181"/>
      <c r="B141" s="1259" t="s">
        <v>3199</v>
      </c>
      <c r="C141" s="1258"/>
      <c r="D141" s="1258"/>
      <c r="E141" s="1258"/>
      <c r="F141" s="1258"/>
      <c r="G141" s="1258"/>
      <c r="H141" s="1258"/>
      <c r="I141" s="1258"/>
      <c r="J141" s="1258"/>
      <c r="K141" s="1211" t="s">
        <v>22</v>
      </c>
      <c r="L141" s="1211"/>
      <c r="M141" s="1211"/>
      <c r="N141" s="1211"/>
      <c r="O141" s="1211"/>
      <c r="P141" s="1208"/>
      <c r="Q141" s="1208"/>
      <c r="R141" s="1208"/>
      <c r="S141" s="1208"/>
      <c r="T141" s="1208"/>
      <c r="U141" s="1208"/>
      <c r="V141" s="1208"/>
      <c r="W141" s="1208"/>
      <c r="X141" s="1208"/>
      <c r="Y141" s="1208"/>
      <c r="Z141" s="1208"/>
      <c r="AA141" s="1208"/>
      <c r="AB141" s="1208"/>
      <c r="AC141" s="1208"/>
      <c r="AD141" s="1208"/>
      <c r="AE141" s="1208"/>
      <c r="AF141" s="1184"/>
      <c r="AG141" s="1184"/>
      <c r="AH141" s="1184"/>
      <c r="AI141" s="1184"/>
      <c r="AJ141" s="1184"/>
      <c r="AK141" s="1184"/>
      <c r="AL141" s="1185">
        <v>1</v>
      </c>
    </row>
    <row r="142" spans="1:40" s="709" customFormat="1" ht="30" customHeight="1">
      <c r="A142" s="1181"/>
      <c r="B142" s="1259" t="s">
        <v>3200</v>
      </c>
      <c r="C142" s="1258"/>
      <c r="D142" s="1258"/>
      <c r="E142" s="1258"/>
      <c r="F142" s="1258"/>
      <c r="G142" s="1258"/>
      <c r="H142" s="1258"/>
      <c r="I142" s="1258"/>
      <c r="J142" s="1258"/>
      <c r="K142" s="1211" t="s">
        <v>22</v>
      </c>
      <c r="L142" s="1211"/>
      <c r="M142" s="1211"/>
      <c r="N142" s="1211"/>
      <c r="O142" s="1211"/>
      <c r="P142" s="1208"/>
      <c r="Q142" s="1208"/>
      <c r="R142" s="1208"/>
      <c r="S142" s="1208"/>
      <c r="T142" s="1208"/>
      <c r="U142" s="1208"/>
      <c r="V142" s="1208"/>
      <c r="W142" s="1208"/>
      <c r="X142" s="1208"/>
      <c r="Y142" s="1208"/>
      <c r="Z142" s="1208"/>
      <c r="AA142" s="1208"/>
      <c r="AB142" s="1208"/>
      <c r="AC142" s="1208"/>
      <c r="AD142" s="1208"/>
      <c r="AE142" s="1208"/>
      <c r="AF142" s="1184"/>
      <c r="AG142" s="1184"/>
      <c r="AH142" s="1184"/>
      <c r="AI142" s="1184"/>
      <c r="AJ142" s="1184"/>
      <c r="AK142" s="1184"/>
      <c r="AL142" s="1185">
        <v>1</v>
      </c>
    </row>
    <row r="143" spans="1:40" s="709" customFormat="1" ht="30" customHeight="1">
      <c r="A143" s="1181"/>
      <c r="B143" s="1260" t="s">
        <v>2677</v>
      </c>
      <c r="C143" s="1258"/>
      <c r="D143" s="1258"/>
      <c r="E143" s="1258"/>
      <c r="F143" s="1258"/>
      <c r="G143" s="1258"/>
      <c r="H143" s="1258"/>
      <c r="I143" s="1258"/>
      <c r="J143" s="1258"/>
      <c r="K143" s="1211" t="s">
        <v>22</v>
      </c>
      <c r="L143" s="1211"/>
      <c r="M143" s="1211"/>
      <c r="N143" s="1211"/>
      <c r="O143" s="1211"/>
      <c r="P143" s="1208"/>
      <c r="Q143" s="1208"/>
      <c r="R143" s="1208"/>
      <c r="S143" s="1208"/>
      <c r="T143" s="1208"/>
      <c r="U143" s="1208"/>
      <c r="V143" s="1208"/>
      <c r="W143" s="1208"/>
      <c r="X143" s="1208"/>
      <c r="Y143" s="1208"/>
      <c r="Z143" s="1208"/>
      <c r="AA143" s="1208"/>
      <c r="AB143" s="1208"/>
      <c r="AC143" s="1208"/>
      <c r="AD143" s="1208"/>
      <c r="AE143" s="1208"/>
      <c r="AF143" s="1184"/>
      <c r="AG143" s="1184"/>
      <c r="AH143" s="1184"/>
      <c r="AI143" s="1184"/>
      <c r="AJ143" s="1184"/>
      <c r="AK143" s="1184"/>
      <c r="AL143" s="1185">
        <v>1</v>
      </c>
    </row>
    <row r="144" spans="1:40" s="709" customFormat="1" ht="30" customHeight="1">
      <c r="A144" s="1181"/>
      <c r="B144" s="1259" t="s">
        <v>3201</v>
      </c>
      <c r="C144" s="1258"/>
      <c r="D144" s="1258"/>
      <c r="E144" s="1258"/>
      <c r="F144" s="1258"/>
      <c r="G144" s="1258"/>
      <c r="H144" s="1258"/>
      <c r="I144" s="1258"/>
      <c r="J144" s="1258"/>
      <c r="K144" s="1211" t="s">
        <v>22</v>
      </c>
      <c r="L144" s="1211"/>
      <c r="M144" s="1211"/>
      <c r="N144" s="1211"/>
      <c r="O144" s="1211"/>
      <c r="P144" s="1208"/>
      <c r="Q144" s="1208"/>
      <c r="R144" s="1208"/>
      <c r="S144" s="1208"/>
      <c r="T144" s="1208"/>
      <c r="U144" s="1208"/>
      <c r="V144" s="1208"/>
      <c r="W144" s="1208"/>
      <c r="X144" s="1208"/>
      <c r="Y144" s="1208"/>
      <c r="Z144" s="1208"/>
      <c r="AA144" s="1208"/>
      <c r="AB144" s="1208"/>
      <c r="AC144" s="1208"/>
      <c r="AD144" s="1208"/>
      <c r="AE144" s="1208"/>
      <c r="AF144" s="1184"/>
      <c r="AG144" s="1184"/>
      <c r="AH144" s="1184"/>
      <c r="AI144" s="1184"/>
      <c r="AJ144" s="1184"/>
      <c r="AK144" s="1184"/>
      <c r="AL144" s="1185">
        <v>1</v>
      </c>
    </row>
    <row r="145" spans="1:38" s="709" customFormat="1" ht="30" customHeight="1">
      <c r="A145" s="1181"/>
      <c r="B145" s="1261" t="s">
        <v>2679</v>
      </c>
      <c r="C145" s="1258"/>
      <c r="D145" s="1258"/>
      <c r="E145" s="1258"/>
      <c r="F145" s="1258"/>
      <c r="G145" s="1258"/>
      <c r="H145" s="1258"/>
      <c r="I145" s="1258"/>
      <c r="J145" s="1258"/>
      <c r="K145" s="1211" t="s">
        <v>22</v>
      </c>
      <c r="L145" s="1211"/>
      <c r="M145" s="1211"/>
      <c r="N145" s="1211"/>
      <c r="O145" s="1211"/>
      <c r="P145" s="1208"/>
      <c r="Q145" s="1208"/>
      <c r="R145" s="1208"/>
      <c r="S145" s="1208"/>
      <c r="T145" s="1208"/>
      <c r="U145" s="1208"/>
      <c r="V145" s="1208"/>
      <c r="W145" s="1208"/>
      <c r="X145" s="1208"/>
      <c r="Y145" s="1208"/>
      <c r="Z145" s="1208"/>
      <c r="AA145" s="1208"/>
      <c r="AB145" s="1208"/>
      <c r="AC145" s="1208"/>
      <c r="AD145" s="1208"/>
      <c r="AE145" s="1208"/>
      <c r="AF145" s="1184"/>
      <c r="AG145" s="1184"/>
      <c r="AH145" s="1184"/>
      <c r="AI145" s="1184"/>
      <c r="AJ145" s="1184"/>
      <c r="AK145" s="1184"/>
      <c r="AL145" s="1185">
        <v>1</v>
      </c>
    </row>
    <row r="146" spans="1:38" s="709" customFormat="1" ht="30" customHeight="1">
      <c r="A146" s="1181"/>
      <c r="B146" s="1259" t="s">
        <v>3202</v>
      </c>
      <c r="C146" s="1258"/>
      <c r="D146" s="1258"/>
      <c r="E146" s="1258"/>
      <c r="F146" s="1258"/>
      <c r="G146" s="1258"/>
      <c r="H146" s="1258"/>
      <c r="I146" s="1258"/>
      <c r="J146" s="1258"/>
      <c r="K146" s="1211" t="s">
        <v>22</v>
      </c>
      <c r="L146" s="1211"/>
      <c r="M146" s="1211"/>
      <c r="N146" s="1211"/>
      <c r="O146" s="1211"/>
      <c r="P146" s="1208"/>
      <c r="Q146" s="1208"/>
      <c r="R146" s="1208"/>
      <c r="S146" s="1208"/>
      <c r="T146" s="1208"/>
      <c r="U146" s="1208"/>
      <c r="V146" s="1208"/>
      <c r="W146" s="1208"/>
      <c r="X146" s="1208"/>
      <c r="Y146" s="1208"/>
      <c r="Z146" s="1208"/>
      <c r="AA146" s="1208"/>
      <c r="AB146" s="1208"/>
      <c r="AC146" s="1208"/>
      <c r="AD146" s="1208"/>
      <c r="AE146" s="1208"/>
      <c r="AF146" s="1184"/>
      <c r="AG146" s="1184"/>
      <c r="AH146" s="1184"/>
      <c r="AI146" s="1184"/>
      <c r="AJ146" s="1184"/>
      <c r="AK146" s="1184"/>
      <c r="AL146" s="1185">
        <v>1</v>
      </c>
    </row>
    <row r="147" spans="1:38" s="709" customFormat="1" ht="30" customHeight="1">
      <c r="A147" s="1181"/>
      <c r="B147" s="1258"/>
      <c r="C147" s="1258"/>
      <c r="D147" s="1258"/>
      <c r="E147" s="1258"/>
      <c r="F147" s="1258"/>
      <c r="G147" s="1258"/>
      <c r="H147" s="1258"/>
      <c r="I147" s="1258"/>
      <c r="J147" s="1258"/>
      <c r="K147" s="1211" t="s">
        <v>22</v>
      </c>
      <c r="L147" s="1211"/>
      <c r="M147" s="1211"/>
      <c r="N147" s="1211"/>
      <c r="O147" s="1211"/>
      <c r="P147" s="1208"/>
      <c r="Q147" s="1208"/>
      <c r="R147" s="1208"/>
      <c r="S147" s="1208"/>
      <c r="T147" s="1208"/>
      <c r="U147" s="1208"/>
      <c r="V147" s="1208"/>
      <c r="W147" s="1208"/>
      <c r="X147" s="1208"/>
      <c r="Y147" s="1208"/>
      <c r="Z147" s="1208"/>
      <c r="AA147" s="1208"/>
      <c r="AB147" s="1208"/>
      <c r="AC147" s="1208"/>
      <c r="AD147" s="1208"/>
      <c r="AE147" s="1208"/>
      <c r="AF147" s="1184"/>
      <c r="AG147" s="1184"/>
      <c r="AH147" s="1184"/>
      <c r="AI147" s="1184"/>
      <c r="AJ147" s="1184"/>
      <c r="AK147" s="1184"/>
      <c r="AL147" s="1185">
        <v>1</v>
      </c>
    </row>
    <row r="148" spans="1:38" s="709" customFormat="1" ht="30" customHeight="1">
      <c r="A148" s="1181"/>
      <c r="B148" s="1259" t="s">
        <v>3203</v>
      </c>
      <c r="C148" s="1258"/>
      <c r="D148" s="1258"/>
      <c r="E148" s="1258"/>
      <c r="F148" s="1258"/>
      <c r="G148" s="1258"/>
      <c r="H148" s="1258"/>
      <c r="I148" s="1258"/>
      <c r="J148" s="1258"/>
      <c r="K148" s="1211" t="s">
        <v>22</v>
      </c>
      <c r="L148" s="1211"/>
      <c r="M148" s="1211"/>
      <c r="N148" s="1211"/>
      <c r="O148" s="1211"/>
      <c r="P148" s="1208"/>
      <c r="Q148" s="1208"/>
      <c r="R148" s="1208"/>
      <c r="S148" s="1208"/>
      <c r="T148" s="1208"/>
      <c r="U148" s="1208"/>
      <c r="V148" s="1208"/>
      <c r="W148" s="1208"/>
      <c r="X148" s="1208"/>
      <c r="Y148" s="1208"/>
      <c r="Z148" s="1208"/>
      <c r="AA148" s="1208"/>
      <c r="AB148" s="1208"/>
      <c r="AC148" s="1208"/>
      <c r="AD148" s="1208"/>
      <c r="AE148" s="1208"/>
      <c r="AF148" s="1184"/>
      <c r="AG148" s="1184"/>
      <c r="AH148" s="1184"/>
      <c r="AI148" s="1184"/>
      <c r="AJ148" s="1184"/>
      <c r="AK148" s="1184"/>
      <c r="AL148" s="1185">
        <v>1</v>
      </c>
    </row>
    <row r="149" spans="1:38" s="709" customFormat="1" ht="30" customHeight="1">
      <c r="A149" s="1181"/>
      <c r="B149" s="1260" t="s">
        <v>2682</v>
      </c>
      <c r="C149" s="1258"/>
      <c r="D149" s="1258"/>
      <c r="E149" s="1258"/>
      <c r="F149" s="1258"/>
      <c r="G149" s="1258"/>
      <c r="H149" s="1258"/>
      <c r="I149" s="1258"/>
      <c r="J149" s="1258"/>
      <c r="K149" s="1211" t="s">
        <v>22</v>
      </c>
      <c r="L149" s="1211"/>
      <c r="M149" s="1211"/>
      <c r="N149" s="1211"/>
      <c r="O149" s="1211"/>
      <c r="P149" s="1208"/>
      <c r="Q149" s="1208"/>
      <c r="R149" s="1208"/>
      <c r="S149" s="1208"/>
      <c r="T149" s="1208"/>
      <c r="U149" s="1208"/>
      <c r="V149" s="1208"/>
      <c r="W149" s="1208"/>
      <c r="X149" s="1208"/>
      <c r="Y149" s="1208"/>
      <c r="Z149" s="1208"/>
      <c r="AA149" s="1208"/>
      <c r="AB149" s="1208"/>
      <c r="AC149" s="1208"/>
      <c r="AD149" s="1208"/>
      <c r="AE149" s="1208"/>
      <c r="AF149" s="1184"/>
      <c r="AG149" s="1184"/>
      <c r="AH149" s="1184"/>
      <c r="AI149" s="1184"/>
      <c r="AJ149" s="1184"/>
      <c r="AK149" s="1184"/>
      <c r="AL149" s="1185">
        <v>1</v>
      </c>
    </row>
    <row r="150" spans="1:38" s="709" customFormat="1" ht="30" customHeight="1">
      <c r="A150" s="1181"/>
      <c r="B150" s="1259"/>
      <c r="C150" s="1258"/>
      <c r="D150" s="1258"/>
      <c r="E150" s="1258"/>
      <c r="F150" s="1258"/>
      <c r="G150" s="1258"/>
      <c r="H150" s="1258"/>
      <c r="I150" s="1258"/>
      <c r="J150" s="1258"/>
      <c r="K150" s="1211" t="s">
        <v>22</v>
      </c>
      <c r="L150" s="1211"/>
      <c r="M150" s="1211"/>
      <c r="N150" s="1211"/>
      <c r="O150" s="1211"/>
      <c r="P150" s="1208"/>
      <c r="Q150" s="1208"/>
      <c r="R150" s="1208"/>
      <c r="S150" s="1208"/>
      <c r="T150" s="1208"/>
      <c r="U150" s="1208"/>
      <c r="V150" s="1208"/>
      <c r="W150" s="1208"/>
      <c r="X150" s="1208"/>
      <c r="Y150" s="1208"/>
      <c r="Z150" s="1208"/>
      <c r="AA150" s="1208"/>
      <c r="AB150" s="1208"/>
      <c r="AC150" s="1208"/>
      <c r="AD150" s="1208"/>
      <c r="AE150" s="1208"/>
      <c r="AF150" s="1184"/>
      <c r="AG150" s="1184"/>
      <c r="AH150" s="1184"/>
      <c r="AI150" s="1184"/>
      <c r="AJ150" s="1184"/>
      <c r="AK150" s="1184"/>
      <c r="AL150" s="1185">
        <v>1</v>
      </c>
    </row>
    <row r="151" spans="1:38" s="709" customFormat="1" ht="30" customHeight="1">
      <c r="A151" s="1181"/>
      <c r="B151" s="1259" t="s">
        <v>3204</v>
      </c>
      <c r="C151" s="1258"/>
      <c r="D151" s="1258"/>
      <c r="E151" s="1258"/>
      <c r="F151" s="1258"/>
      <c r="G151" s="1258"/>
      <c r="H151" s="1258"/>
      <c r="I151" s="1258"/>
      <c r="J151" s="1258"/>
      <c r="K151" s="1211" t="s">
        <v>22</v>
      </c>
      <c r="L151" s="1211"/>
      <c r="M151" s="1211"/>
      <c r="N151" s="1211"/>
      <c r="O151" s="1211"/>
      <c r="P151" s="1208"/>
      <c r="Q151" s="1208"/>
      <c r="R151" s="1208"/>
      <c r="S151" s="1208"/>
      <c r="T151" s="1208"/>
      <c r="U151" s="1208"/>
      <c r="V151" s="1208"/>
      <c r="W151" s="1208"/>
      <c r="X151" s="1208"/>
      <c r="Y151" s="1208"/>
      <c r="Z151" s="1208"/>
      <c r="AA151" s="1208"/>
      <c r="AB151" s="1208"/>
      <c r="AC151" s="1208"/>
      <c r="AD151" s="1208"/>
      <c r="AE151" s="1208"/>
      <c r="AF151" s="1184"/>
      <c r="AG151" s="1184"/>
      <c r="AH151" s="1184"/>
      <c r="AI151" s="1184"/>
      <c r="AJ151" s="1184"/>
      <c r="AK151" s="1184"/>
      <c r="AL151" s="1185">
        <v>1</v>
      </c>
    </row>
    <row r="152" spans="1:38" s="709" customFormat="1" ht="30" customHeight="1">
      <c r="A152" s="1181"/>
      <c r="B152" s="1260" t="s">
        <v>2684</v>
      </c>
      <c r="C152" s="1258"/>
      <c r="D152" s="1258"/>
      <c r="E152" s="1258"/>
      <c r="F152" s="1258"/>
      <c r="G152" s="1258"/>
      <c r="H152" s="1258"/>
      <c r="I152" s="1258"/>
      <c r="J152" s="1258"/>
      <c r="K152" s="1211" t="s">
        <v>22</v>
      </c>
      <c r="L152" s="1211"/>
      <c r="M152" s="1211"/>
      <c r="N152" s="1211"/>
      <c r="O152" s="1211"/>
      <c r="P152" s="1208"/>
      <c r="Q152" s="1208"/>
      <c r="R152" s="1208"/>
      <c r="S152" s="1208"/>
      <c r="T152" s="1208"/>
      <c r="U152" s="1208"/>
      <c r="V152" s="1208"/>
      <c r="W152" s="1208"/>
      <c r="X152" s="1208"/>
      <c r="Y152" s="1208"/>
      <c r="Z152" s="1208"/>
      <c r="AA152" s="1208"/>
      <c r="AB152" s="1208"/>
      <c r="AC152" s="1208"/>
      <c r="AD152" s="1208"/>
      <c r="AE152" s="1208"/>
      <c r="AF152" s="1184"/>
      <c r="AG152" s="1184"/>
      <c r="AH152" s="1184"/>
      <c r="AI152" s="1184"/>
      <c r="AJ152" s="1184"/>
      <c r="AK152" s="1184"/>
      <c r="AL152" s="1185">
        <v>1</v>
      </c>
    </row>
    <row r="153" spans="1:38" s="709" customFormat="1" ht="30" customHeight="1">
      <c r="A153" s="1181"/>
      <c r="B153" s="1260" t="s">
        <v>2685</v>
      </c>
      <c r="C153" s="1258"/>
      <c r="D153" s="1258"/>
      <c r="E153" s="1258"/>
      <c r="F153" s="1258"/>
      <c r="G153" s="1258"/>
      <c r="H153" s="1258"/>
      <c r="I153" s="1258"/>
      <c r="J153" s="1258"/>
      <c r="K153" s="1211" t="s">
        <v>22</v>
      </c>
      <c r="L153" s="1211"/>
      <c r="M153" s="1211"/>
      <c r="N153" s="1183"/>
      <c r="O153" s="1183"/>
      <c r="P153" s="1208"/>
      <c r="Q153" s="1208"/>
      <c r="R153" s="1208"/>
      <c r="S153" s="1208"/>
      <c r="T153" s="1208"/>
      <c r="U153" s="1208"/>
      <c r="V153" s="1208"/>
      <c r="W153" s="1208"/>
      <c r="X153" s="1208"/>
      <c r="Y153" s="1208"/>
      <c r="Z153" s="1208"/>
      <c r="AA153" s="1208"/>
      <c r="AB153" s="1208"/>
      <c r="AC153" s="1208"/>
      <c r="AD153" s="1208"/>
      <c r="AE153" s="1208"/>
      <c r="AF153" s="1184"/>
      <c r="AG153" s="1184"/>
      <c r="AH153" s="1184"/>
      <c r="AI153" s="1184"/>
      <c r="AJ153" s="1184"/>
      <c r="AK153" s="1184"/>
      <c r="AL153" s="1185">
        <v>1</v>
      </c>
    </row>
    <row r="154" spans="1:38" s="709" customFormat="1" ht="30" customHeight="1">
      <c r="A154" s="1181"/>
      <c r="B154" s="1259" t="s">
        <v>3205</v>
      </c>
      <c r="C154" s="1258"/>
      <c r="D154" s="1258"/>
      <c r="E154" s="1258"/>
      <c r="F154" s="1258"/>
      <c r="G154" s="1258"/>
      <c r="H154" s="1258"/>
      <c r="I154" s="1258"/>
      <c r="J154" s="1258"/>
      <c r="K154" s="1211"/>
      <c r="L154" s="1211"/>
      <c r="M154" s="1211"/>
      <c r="N154" s="1183"/>
      <c r="O154" s="1183"/>
      <c r="P154" s="1208"/>
      <c r="Q154" s="1208"/>
      <c r="R154" s="1208"/>
      <c r="S154" s="1208"/>
      <c r="T154" s="1208"/>
      <c r="U154" s="1208"/>
      <c r="V154" s="1208"/>
      <c r="W154" s="1208"/>
      <c r="X154" s="1208"/>
      <c r="Y154" s="1208"/>
      <c r="Z154" s="1208"/>
      <c r="AA154" s="1208"/>
      <c r="AB154" s="1208"/>
      <c r="AC154" s="1208"/>
      <c r="AD154" s="1208"/>
      <c r="AE154" s="1208"/>
      <c r="AF154" s="1184"/>
      <c r="AG154" s="1184"/>
      <c r="AH154" s="1184"/>
      <c r="AI154" s="1184"/>
      <c r="AJ154" s="1184"/>
      <c r="AK154" s="1184"/>
      <c r="AL154" s="1185">
        <v>1</v>
      </c>
    </row>
    <row r="155" spans="1:38" s="709" customFormat="1" ht="30" customHeight="1">
      <c r="A155" s="1181"/>
      <c r="B155" s="1260" t="s">
        <v>2687</v>
      </c>
      <c r="C155" s="1258"/>
      <c r="D155" s="1258"/>
      <c r="E155" s="1258"/>
      <c r="F155" s="1258"/>
      <c r="G155" s="1258"/>
      <c r="H155" s="1258"/>
      <c r="I155" s="1258"/>
      <c r="J155" s="1258"/>
      <c r="K155" s="1211"/>
      <c r="L155" s="1211"/>
      <c r="M155" s="1211"/>
      <c r="N155" s="1183"/>
      <c r="O155" s="1183"/>
      <c r="P155" s="1208"/>
      <c r="Q155" s="1208"/>
      <c r="R155" s="1208"/>
      <c r="S155" s="1208"/>
      <c r="T155" s="1208"/>
      <c r="U155" s="1208"/>
      <c r="V155" s="1208"/>
      <c r="W155" s="1208"/>
      <c r="X155" s="1208"/>
      <c r="Y155" s="1208"/>
      <c r="Z155" s="1208"/>
      <c r="AA155" s="1208"/>
      <c r="AB155" s="1208"/>
      <c r="AC155" s="1208"/>
      <c r="AD155" s="1208"/>
      <c r="AE155" s="1208"/>
      <c r="AF155" s="1184"/>
      <c r="AG155" s="1184"/>
      <c r="AH155" s="1184"/>
      <c r="AI155" s="1184"/>
      <c r="AJ155" s="1184"/>
      <c r="AK155" s="1184"/>
      <c r="AL155" s="1185">
        <v>1</v>
      </c>
    </row>
    <row r="156" spans="1:38" s="709" customFormat="1" ht="27">
      <c r="A156" s="1181"/>
      <c r="B156" s="1256"/>
      <c r="C156" s="1181"/>
      <c r="D156" s="1181"/>
      <c r="E156" s="1181"/>
      <c r="F156" s="1181"/>
      <c r="G156" s="1181"/>
      <c r="H156" s="1181"/>
      <c r="I156" s="1246"/>
      <c r="J156" s="1181"/>
      <c r="K156" s="1181"/>
      <c r="L156" s="1181"/>
      <c r="M156" s="1181"/>
      <c r="N156" s="1181"/>
      <c r="O156" s="1183"/>
      <c r="P156" s="1246"/>
      <c r="Q156" s="1246"/>
      <c r="R156" s="1246"/>
      <c r="S156" s="1246"/>
      <c r="T156" s="1183"/>
      <c r="U156" s="1183"/>
      <c r="V156" s="1183"/>
      <c r="W156" s="1183"/>
      <c r="X156" s="1183"/>
      <c r="Y156" s="1183"/>
      <c r="Z156" s="1183"/>
      <c r="AA156" s="1183"/>
      <c r="AB156" s="1183"/>
      <c r="AC156" s="1183"/>
      <c r="AD156" s="1183"/>
      <c r="AE156" s="1183"/>
      <c r="AF156" s="1183"/>
      <c r="AG156" s="1183"/>
      <c r="AH156" s="1183"/>
      <c r="AI156" s="1184"/>
      <c r="AJ156" s="1184"/>
      <c r="AK156" s="1184"/>
      <c r="AL156" s="1185">
        <v>1</v>
      </c>
    </row>
    <row r="157" spans="1:38" s="709" customFormat="1" ht="26.25">
      <c r="A157" s="1181"/>
      <c r="B157" s="1262" t="s">
        <v>3217</v>
      </c>
      <c r="C157" s="1263"/>
      <c r="D157" s="1264"/>
      <c r="E157" s="1247"/>
      <c r="F157" s="1265"/>
      <c r="G157" s="1265"/>
      <c r="H157" s="1265"/>
      <c r="I157" s="1265"/>
      <c r="J157" s="1266"/>
      <c r="K157" s="1266"/>
      <c r="L157" s="1183"/>
      <c r="M157" s="1183"/>
      <c r="N157" s="1183"/>
      <c r="O157" s="1183"/>
      <c r="P157" s="1184"/>
      <c r="Q157" s="1246"/>
      <c r="R157" s="1246"/>
      <c r="S157" s="1246"/>
      <c r="T157" s="1183"/>
      <c r="U157" s="1183"/>
      <c r="V157" s="1183"/>
      <c r="W157" s="1183"/>
      <c r="X157" s="1183"/>
      <c r="Y157" s="1183"/>
      <c r="Z157" s="1183"/>
      <c r="AA157" s="1183"/>
      <c r="AB157" s="1183"/>
      <c r="AC157" s="1183"/>
      <c r="AD157" s="1183"/>
      <c r="AE157" s="1183"/>
      <c r="AF157" s="1183"/>
      <c r="AG157" s="1183"/>
      <c r="AH157" s="1183"/>
      <c r="AI157" s="1184"/>
      <c r="AJ157" s="1184"/>
      <c r="AK157" s="1184"/>
      <c r="AL157" s="1185">
        <v>1</v>
      </c>
    </row>
    <row r="158" spans="1:38" s="709" customFormat="1" ht="26.25">
      <c r="A158" s="1181"/>
      <c r="B158" s="1267" t="s">
        <v>2689</v>
      </c>
      <c r="C158" s="1268"/>
      <c r="D158" s="1269"/>
      <c r="E158" s="1270"/>
      <c r="F158" s="1270"/>
      <c r="G158" s="1270"/>
      <c r="H158" s="1270"/>
      <c r="I158" s="1270"/>
      <c r="J158" s="1270"/>
      <c r="K158" s="1266">
        <v>1</v>
      </c>
      <c r="L158" s="1183"/>
      <c r="M158" s="1183"/>
      <c r="N158" s="1183"/>
      <c r="O158" s="1183"/>
      <c r="P158" s="1184"/>
      <c r="Q158" s="1246"/>
      <c r="R158" s="1246"/>
      <c r="S158" s="1246"/>
      <c r="T158" s="1183"/>
      <c r="U158" s="1183"/>
      <c r="V158" s="1183"/>
      <c r="W158" s="1183"/>
      <c r="X158" s="1183"/>
      <c r="Y158" s="1183"/>
      <c r="Z158" s="1183"/>
      <c r="AA158" s="1183"/>
      <c r="AB158" s="1183"/>
      <c r="AC158" s="1183"/>
      <c r="AD158" s="1183"/>
      <c r="AE158" s="1183"/>
      <c r="AF158" s="1183"/>
      <c r="AG158" s="1183"/>
      <c r="AH158" s="1183"/>
      <c r="AI158" s="1184"/>
      <c r="AJ158" s="1184"/>
      <c r="AK158" s="1184"/>
      <c r="AL158" s="1185">
        <v>1</v>
      </c>
    </row>
    <row r="159" spans="1:38" s="709" customFormat="1" ht="26.25">
      <c r="A159" s="1181"/>
      <c r="B159" s="1271" t="s">
        <v>3206</v>
      </c>
      <c r="C159" s="1268"/>
      <c r="D159" s="1269"/>
      <c r="E159" s="1270"/>
      <c r="F159" s="1270"/>
      <c r="G159" s="1270"/>
      <c r="H159" s="1270"/>
      <c r="I159" s="1270"/>
      <c r="J159" s="1270"/>
      <c r="K159" s="1266">
        <v>1</v>
      </c>
      <c r="L159" s="1183"/>
      <c r="M159" s="1183"/>
      <c r="N159" s="1183"/>
      <c r="O159" s="1183"/>
      <c r="P159" s="1184"/>
      <c r="Q159" s="1246"/>
      <c r="R159" s="1246"/>
      <c r="S159" s="1246"/>
      <c r="T159" s="1183"/>
      <c r="U159" s="1183"/>
      <c r="V159" s="1183"/>
      <c r="W159" s="1183"/>
      <c r="X159" s="1183"/>
      <c r="Y159" s="1183"/>
      <c r="Z159" s="1183"/>
      <c r="AA159" s="1183"/>
      <c r="AB159" s="1183"/>
      <c r="AC159" s="1183"/>
      <c r="AD159" s="1183"/>
      <c r="AE159" s="1183"/>
      <c r="AF159" s="1183"/>
      <c r="AG159" s="1183"/>
      <c r="AH159" s="1183"/>
      <c r="AI159" s="1184"/>
      <c r="AJ159" s="1184"/>
      <c r="AK159" s="1184"/>
      <c r="AL159" s="1185">
        <v>1</v>
      </c>
    </row>
    <row r="160" spans="1:38" s="709" customFormat="1" ht="26.25">
      <c r="A160" s="1181"/>
      <c r="B160" s="1272" t="s">
        <v>3207</v>
      </c>
      <c r="C160" s="1263"/>
      <c r="D160" s="1273"/>
      <c r="E160" s="1247"/>
      <c r="F160" s="1274" t="s">
        <v>2692</v>
      </c>
      <c r="G160" s="1265"/>
      <c r="H160" s="1265"/>
      <c r="I160" s="1265"/>
      <c r="J160" s="1266"/>
      <c r="K160" s="1266"/>
      <c r="L160" s="1183"/>
      <c r="M160" s="1183"/>
      <c r="N160" s="1183"/>
      <c r="O160" s="1183"/>
      <c r="P160" s="1184"/>
      <c r="Q160" s="1246"/>
      <c r="R160" s="1246"/>
      <c r="S160" s="1246"/>
      <c r="T160" s="1183"/>
      <c r="U160" s="1183"/>
      <c r="V160" s="1183"/>
      <c r="W160" s="1183"/>
      <c r="X160" s="1183"/>
      <c r="Y160" s="1183"/>
      <c r="Z160" s="1183"/>
      <c r="AA160" s="1183"/>
      <c r="AB160" s="1183"/>
      <c r="AC160" s="1183"/>
      <c r="AD160" s="1183"/>
      <c r="AE160" s="1183"/>
      <c r="AF160" s="1183"/>
      <c r="AG160" s="1183"/>
      <c r="AH160" s="1183"/>
      <c r="AI160" s="1184"/>
      <c r="AJ160" s="1184"/>
      <c r="AK160" s="1184"/>
      <c r="AL160" s="1185">
        <v>1</v>
      </c>
    </row>
    <row r="161" spans="1:40" s="709" customFormat="1" ht="26.25">
      <c r="A161" s="1181"/>
      <c r="B161" s="1275"/>
      <c r="C161" s="1276" t="s">
        <v>3208</v>
      </c>
      <c r="D161" s="1273"/>
      <c r="E161" s="1247"/>
      <c r="F161" s="1265"/>
      <c r="G161" s="1265"/>
      <c r="H161" s="1265"/>
      <c r="I161" s="1265"/>
      <c r="J161" s="1266">
        <v>1</v>
      </c>
      <c r="K161" s="1266">
        <v>1</v>
      </c>
      <c r="L161" s="1183"/>
      <c r="M161" s="1183"/>
      <c r="N161" s="1183"/>
      <c r="O161" s="1183"/>
      <c r="P161" s="1184"/>
      <c r="Q161" s="1246"/>
      <c r="R161" s="1246"/>
      <c r="S161" s="1246"/>
      <c r="T161" s="1183"/>
      <c r="U161" s="1183"/>
      <c r="V161" s="1183"/>
      <c r="W161" s="1183"/>
      <c r="X161" s="1183"/>
      <c r="Y161" s="1183"/>
      <c r="Z161" s="1183"/>
      <c r="AA161" s="1183"/>
      <c r="AB161" s="1183"/>
      <c r="AC161" s="1183"/>
      <c r="AD161" s="1183"/>
      <c r="AE161" s="1183"/>
      <c r="AF161" s="1183"/>
      <c r="AG161" s="1183"/>
      <c r="AH161" s="1183"/>
      <c r="AI161" s="1184"/>
      <c r="AJ161" s="1184"/>
      <c r="AK161" s="1184"/>
      <c r="AL161" s="1185">
        <v>1</v>
      </c>
    </row>
    <row r="162" spans="1:40" s="709" customFormat="1" ht="26.25">
      <c r="A162" s="1181"/>
      <c r="B162" s="1277" t="str">
        <f>IF(B161="","",IF(AND(CODE(LEFT(B161,1))=66,CODE(RIGHT(B161,1))=90),"",CHOOSE(MATCH((LEN(B161)&amp;CODE(RIGHT(B161,1)))*1,{165;190;265;290},1),CHAR(CODE(B161)+1),"AA",LEFT(B161,1)&amp;CHAR(CODE(RIGHT(B161,1))+1),"BA",LEFT(B161,2)&amp;CHAR(CODE(RIGHT(B161,1))+1))))</f>
        <v/>
      </c>
      <c r="C162" s="1278" t="str">
        <f ca="1">_xlfn.FORMULATEXT(B162)</f>
        <v>=SI(B161="";"";SI(ET(CODE(GAUCHE(B161;1))=66;CODE(DROITE(B161;1))=90);"";CHOISIR(EQUIV((NBCAR(B161)&amp;CODE(DROITE(B161;1)))*1;{165;190;265;290};1);CAR(CODE(B161)+1);"AA";GAUCHE(B161;1)&amp;CAR(CODE(DROITE(B161;1))+1);"BA";GAUCHE(B161;2)&amp;CAR(CODE(DROITE(B161;1))+1))))</v>
      </c>
      <c r="D162" s="1273"/>
      <c r="E162" s="1247"/>
      <c r="F162" s="1265"/>
      <c r="G162" s="1265"/>
      <c r="H162" s="1265"/>
      <c r="I162" s="1265"/>
      <c r="J162" s="1266"/>
      <c r="K162" s="1266"/>
      <c r="L162" s="1183"/>
      <c r="M162" s="1183"/>
      <c r="N162" s="1183"/>
      <c r="O162" s="1183"/>
      <c r="P162" s="1184"/>
      <c r="Q162" s="1246"/>
      <c r="R162" s="1246"/>
      <c r="S162" s="1246"/>
      <c r="T162" s="1183"/>
      <c r="U162" s="1183"/>
      <c r="V162" s="1183"/>
      <c r="W162" s="1183"/>
      <c r="X162" s="1183"/>
      <c r="Y162" s="1183"/>
      <c r="Z162" s="1183"/>
      <c r="AA162" s="1183"/>
      <c r="AB162" s="1183"/>
      <c r="AC162" s="1183"/>
      <c r="AD162" s="1183"/>
      <c r="AE162" s="1183"/>
      <c r="AF162" s="1183"/>
      <c r="AG162" s="1183"/>
      <c r="AH162" s="1183"/>
      <c r="AI162" s="1184"/>
      <c r="AJ162" s="1184"/>
      <c r="AK162" s="1184"/>
      <c r="AL162" s="1185">
        <v>1</v>
      </c>
    </row>
    <row r="163" spans="1:40" s="709" customFormat="1" ht="26.25">
      <c r="A163" s="1181"/>
      <c r="B163" s="1277"/>
      <c r="C163" s="1278"/>
      <c r="D163" s="1273"/>
      <c r="E163" s="1247"/>
      <c r="F163" s="1265"/>
      <c r="G163" s="1265"/>
      <c r="H163" s="1265"/>
      <c r="I163" s="1265"/>
      <c r="J163" s="1266"/>
      <c r="K163" s="1266"/>
      <c r="L163" s="1183"/>
      <c r="M163" s="1183"/>
      <c r="N163" s="1183"/>
      <c r="O163" s="1183"/>
      <c r="P163" s="1184"/>
      <c r="Q163" s="1246"/>
      <c r="R163" s="1246"/>
      <c r="S163" s="1246"/>
      <c r="T163" s="1183"/>
      <c r="U163" s="1183"/>
      <c r="V163" s="1183"/>
      <c r="W163" s="1183"/>
      <c r="X163" s="1183"/>
      <c r="Y163" s="1183"/>
      <c r="Z163" s="1183"/>
      <c r="AA163" s="1183"/>
      <c r="AB163" s="1183"/>
      <c r="AC163" s="1183"/>
      <c r="AD163" s="1183"/>
      <c r="AE163" s="1183"/>
      <c r="AF163" s="1183"/>
      <c r="AG163" s="1183"/>
      <c r="AH163" s="1183"/>
      <c r="AI163" s="1184"/>
      <c r="AJ163" s="1184"/>
      <c r="AK163" s="1184"/>
      <c r="AL163" s="1185">
        <v>1</v>
      </c>
    </row>
    <row r="164" spans="1:40" s="709" customFormat="1" ht="26.25">
      <c r="A164" s="1181"/>
      <c r="B164" s="1262" t="s">
        <v>3209</v>
      </c>
      <c r="C164" s="1262"/>
      <c r="D164" s="1262"/>
      <c r="E164" s="1262"/>
      <c r="F164" s="1262"/>
      <c r="G164" s="1262"/>
      <c r="H164" s="1183"/>
      <c r="I164" s="1249"/>
      <c r="J164" s="1183"/>
      <c r="K164" s="1183"/>
      <c r="L164" s="1183"/>
      <c r="M164" s="1183"/>
      <c r="N164" s="1183"/>
      <c r="O164" s="1183"/>
      <c r="P164" s="1184"/>
      <c r="Q164" s="1246"/>
      <c r="R164" s="1246"/>
      <c r="S164" s="1246"/>
      <c r="T164" s="1183"/>
      <c r="U164" s="1183"/>
      <c r="V164" s="1183"/>
      <c r="W164" s="1183"/>
      <c r="X164" s="1183"/>
      <c r="Y164" s="1183"/>
      <c r="Z164" s="1183"/>
      <c r="AA164" s="1183"/>
      <c r="AB164" s="1183"/>
      <c r="AC164" s="1183"/>
      <c r="AD164" s="1183"/>
      <c r="AE164" s="1183"/>
      <c r="AF164" s="1183"/>
      <c r="AG164" s="1183"/>
      <c r="AH164" s="1183"/>
      <c r="AI164" s="1184"/>
      <c r="AJ164" s="1184"/>
      <c r="AK164" s="1184"/>
      <c r="AL164" s="1185">
        <v>1</v>
      </c>
    </row>
    <row r="165" spans="1:40" s="709" customFormat="1" ht="26.25">
      <c r="A165" s="1181"/>
      <c r="B165" s="1262" t="s">
        <v>3210</v>
      </c>
      <c r="C165" s="1262"/>
      <c r="D165" s="1262"/>
      <c r="E165" s="1262"/>
      <c r="F165" s="1262"/>
      <c r="G165" s="1262"/>
      <c r="H165" s="1183"/>
      <c r="I165" s="1249"/>
      <c r="J165" s="1183"/>
      <c r="K165" s="1183"/>
      <c r="L165" s="1183"/>
      <c r="M165" s="1183"/>
      <c r="N165" s="1183"/>
      <c r="O165" s="1183"/>
      <c r="P165" s="1184"/>
      <c r="Q165" s="1246"/>
      <c r="R165" s="1246"/>
      <c r="S165" s="1246"/>
      <c r="T165" s="1183"/>
      <c r="U165" s="1183"/>
      <c r="V165" s="1183"/>
      <c r="W165" s="1183"/>
      <c r="X165" s="1183"/>
      <c r="Y165" s="1183"/>
      <c r="Z165" s="1183"/>
      <c r="AA165" s="1183"/>
      <c r="AB165" s="1183"/>
      <c r="AC165" s="1183"/>
      <c r="AD165" s="1183"/>
      <c r="AE165" s="1183"/>
      <c r="AF165" s="1183"/>
      <c r="AG165" s="1183"/>
      <c r="AH165" s="1183"/>
      <c r="AI165" s="1184"/>
      <c r="AJ165" s="1184"/>
      <c r="AK165" s="1184"/>
      <c r="AL165" s="1185">
        <v>1</v>
      </c>
    </row>
    <row r="166" spans="1:40" s="709" customFormat="1" ht="26.25">
      <c r="A166" s="1181"/>
      <c r="B166" s="1279" t="s">
        <v>865</v>
      </c>
      <c r="C166" s="1262" t="s">
        <v>3211</v>
      </c>
      <c r="D166" s="1249"/>
      <c r="E166" s="1249"/>
      <c r="F166" s="1249"/>
      <c r="G166" s="1249"/>
      <c r="H166" s="1183"/>
      <c r="I166" s="1249"/>
      <c r="J166" s="1183"/>
      <c r="K166" s="1183"/>
      <c r="L166" s="1183"/>
      <c r="M166" s="1183"/>
      <c r="N166" s="1183"/>
      <c r="O166" s="1183"/>
      <c r="P166" s="1184"/>
      <c r="Q166" s="1246"/>
      <c r="R166" s="1246"/>
      <c r="S166" s="1246"/>
      <c r="T166" s="1183"/>
      <c r="U166" s="1183"/>
      <c r="V166" s="1183"/>
      <c r="W166" s="1183"/>
      <c r="X166" s="1183"/>
      <c r="Y166" s="1183"/>
      <c r="Z166" s="1183"/>
      <c r="AA166" s="1183"/>
      <c r="AB166" s="1183"/>
      <c r="AC166" s="1183"/>
      <c r="AD166" s="1183"/>
      <c r="AE166" s="1183"/>
      <c r="AF166" s="1183"/>
      <c r="AG166" s="1183"/>
      <c r="AH166" s="1183"/>
      <c r="AI166" s="1184"/>
      <c r="AJ166" s="1184"/>
      <c r="AK166" s="1184"/>
      <c r="AL166" s="1185">
        <v>1</v>
      </c>
    </row>
    <row r="167" spans="1:40" s="709" customFormat="1" ht="26.25">
      <c r="A167" s="1181"/>
      <c r="B167" s="1280" t="str">
        <f>IF(COLUMN()-COLUMN(B167)+1&lt;=26, CHAR(64+COLUMN()-COLUMN(B167)+1), CHAR(64+INT((COLUMN()-COLUMN(B167))/26))&amp;CHAR(64+MOD(COLUMN()-COLUMN(B167)-1,26)+1))</f>
        <v>A</v>
      </c>
      <c r="C167" s="1275" t="s">
        <v>1669</v>
      </c>
      <c r="D167" s="1275" t="s">
        <v>1670</v>
      </c>
      <c r="E167" s="1275" t="s">
        <v>1671</v>
      </c>
      <c r="F167" s="1275" t="s">
        <v>2696</v>
      </c>
      <c r="G167" s="1249"/>
      <c r="H167" s="1183"/>
      <c r="I167" s="1249"/>
      <c r="J167" s="1183"/>
      <c r="K167" s="1183"/>
      <c r="L167" s="1183"/>
      <c r="M167" s="1183"/>
      <c r="N167" s="1183"/>
      <c r="O167" s="1183"/>
      <c r="P167" s="1184"/>
      <c r="Q167" s="1246"/>
      <c r="R167" s="1246"/>
      <c r="S167" s="1246"/>
      <c r="T167" s="1183"/>
      <c r="U167" s="1183"/>
      <c r="V167" s="1183"/>
      <c r="W167" s="1183"/>
      <c r="X167" s="1183"/>
      <c r="Y167" s="1183"/>
      <c r="Z167" s="1183"/>
      <c r="AA167" s="1183"/>
      <c r="AB167" s="1183"/>
      <c r="AC167" s="1183"/>
      <c r="AD167" s="1183"/>
      <c r="AE167" s="1183"/>
      <c r="AF167" s="1183"/>
      <c r="AG167" s="1183"/>
      <c r="AH167" s="1183"/>
      <c r="AI167" s="1184"/>
      <c r="AJ167" s="1184"/>
      <c r="AK167" s="1184"/>
      <c r="AL167" s="1185">
        <v>1</v>
      </c>
    </row>
    <row r="168" spans="1:40" s="709" customFormat="1" ht="26.25">
      <c r="A168" s="1181"/>
      <c r="B168" s="1262" t="s">
        <v>3212</v>
      </c>
      <c r="C168" s="1264"/>
      <c r="D168" s="1248"/>
      <c r="E168" s="1248"/>
      <c r="F168" s="1248"/>
      <c r="G168" s="1248"/>
      <c r="H168" s="1248"/>
      <c r="I168" s="1248"/>
      <c r="J168" s="1183"/>
      <c r="K168" s="1183"/>
      <c r="L168" s="1183"/>
      <c r="M168" s="1183"/>
      <c r="N168" s="1183"/>
      <c r="O168" s="1183"/>
      <c r="P168" s="1184"/>
      <c r="Q168" s="1246"/>
      <c r="R168" s="1246"/>
      <c r="S168" s="1246"/>
      <c r="T168" s="1183"/>
      <c r="U168" s="1183"/>
      <c r="V168" s="1183"/>
      <c r="W168" s="1183"/>
      <c r="X168" s="1183"/>
      <c r="Y168" s="1183"/>
      <c r="Z168" s="1183"/>
      <c r="AA168" s="1183"/>
      <c r="AB168" s="1183"/>
      <c r="AC168" s="1183"/>
      <c r="AD168" s="1183"/>
      <c r="AE168" s="1183"/>
      <c r="AF168" s="1183"/>
      <c r="AG168" s="1183"/>
      <c r="AH168" s="1183"/>
      <c r="AI168" s="1184"/>
      <c r="AJ168" s="1184"/>
      <c r="AK168" s="1184"/>
      <c r="AL168" s="1185">
        <v>1</v>
      </c>
    </row>
    <row r="169" spans="1:40" s="709" customFormat="1" ht="26.25">
      <c r="A169" s="1181"/>
      <c r="B169" s="1277"/>
      <c r="C169" s="1278"/>
      <c r="D169" s="1273"/>
      <c r="E169" s="1247"/>
      <c r="F169" s="1265"/>
      <c r="G169" s="1265"/>
      <c r="H169" s="1265"/>
      <c r="I169" s="1265"/>
      <c r="J169" s="1266"/>
      <c r="K169" s="1266"/>
      <c r="L169" s="1183"/>
      <c r="M169" s="1183"/>
      <c r="N169" s="1183"/>
      <c r="O169" s="1183"/>
      <c r="P169" s="1184"/>
      <c r="Q169" s="1246"/>
      <c r="R169" s="1246"/>
      <c r="S169" s="1246"/>
      <c r="T169" s="1183"/>
      <c r="U169" s="1183"/>
      <c r="V169" s="1183"/>
      <c r="W169" s="1183"/>
      <c r="X169" s="1183"/>
      <c r="Y169" s="1183"/>
      <c r="Z169" s="1183"/>
      <c r="AA169" s="1183"/>
      <c r="AB169" s="1183"/>
      <c r="AC169" s="1183"/>
      <c r="AD169" s="1183"/>
      <c r="AE169" s="1183"/>
      <c r="AF169" s="1183"/>
      <c r="AG169" s="1183"/>
      <c r="AH169" s="1183"/>
      <c r="AI169" s="1184"/>
      <c r="AJ169" s="1184"/>
      <c r="AK169" s="1184"/>
      <c r="AL169" s="1185">
        <v>1</v>
      </c>
    </row>
    <row r="170" spans="1:40" s="709" customFormat="1" ht="26.25">
      <c r="A170" s="1181"/>
      <c r="B170" s="1277"/>
      <c r="C170" s="1278"/>
      <c r="D170" s="1273"/>
      <c r="E170" s="1247"/>
      <c r="F170" s="1265"/>
      <c r="G170" s="1265"/>
      <c r="H170" s="1265"/>
      <c r="I170" s="1265"/>
      <c r="J170" s="1266"/>
      <c r="K170" s="1266"/>
      <c r="L170" s="1183"/>
      <c r="M170" s="1183"/>
      <c r="N170" s="1183"/>
      <c r="O170" s="1183"/>
      <c r="P170" s="1184"/>
      <c r="Q170" s="1246"/>
      <c r="R170" s="1246"/>
      <c r="S170" s="1246"/>
      <c r="T170" s="1183"/>
      <c r="U170" s="1183"/>
      <c r="V170" s="1183"/>
      <c r="W170" s="1183"/>
      <c r="X170" s="1183"/>
      <c r="Y170" s="1183"/>
      <c r="Z170" s="1183"/>
      <c r="AA170" s="1183"/>
      <c r="AB170" s="1183"/>
      <c r="AC170" s="1183"/>
      <c r="AD170" s="1183"/>
      <c r="AE170" s="1183"/>
      <c r="AF170" s="1183"/>
      <c r="AG170" s="1183"/>
      <c r="AH170" s="1183"/>
      <c r="AI170" s="1184"/>
      <c r="AJ170" s="1184"/>
      <c r="AK170" s="1184"/>
      <c r="AL170" s="1185">
        <v>1</v>
      </c>
    </row>
    <row r="171" spans="1:40" s="1244" customFormat="1" ht="40.5" customHeight="1">
      <c r="A171" s="1181"/>
      <c r="B171" s="1281" t="s">
        <v>3213</v>
      </c>
      <c r="C171" s="1181"/>
      <c r="D171" s="1181"/>
      <c r="E171" s="1181"/>
      <c r="F171" s="1181"/>
      <c r="G171" s="1181"/>
      <c r="H171" s="1181"/>
      <c r="I171" s="1208"/>
      <c r="J171" s="1181"/>
      <c r="K171" s="1181"/>
      <c r="L171" s="1181"/>
      <c r="M171" s="1181"/>
      <c r="N171" s="1181"/>
      <c r="O171" s="1208"/>
      <c r="P171" s="1208"/>
      <c r="Q171" s="1208"/>
      <c r="R171" s="1208"/>
      <c r="S171" s="1208"/>
      <c r="T171" s="1281" t="s">
        <v>3214</v>
      </c>
      <c r="U171" s="1183"/>
      <c r="V171" s="1183"/>
      <c r="W171" s="1183"/>
      <c r="X171" s="1183"/>
      <c r="Y171" s="1183"/>
      <c r="Z171" s="1282"/>
      <c r="AA171" s="1282"/>
      <c r="AB171" s="1282"/>
      <c r="AC171" s="1282"/>
      <c r="AD171" s="1282"/>
      <c r="AE171" s="1282"/>
      <c r="AF171" s="1282"/>
      <c r="AG171" s="1282"/>
      <c r="AH171" s="1283"/>
      <c r="AI171" s="1283"/>
      <c r="AJ171" s="1183"/>
      <c r="AK171" s="1183"/>
      <c r="AL171" s="1185">
        <v>1</v>
      </c>
      <c r="AM171" s="709"/>
      <c r="AN171" s="709"/>
    </row>
    <row r="172" spans="1:40" s="1244" customFormat="1" ht="40.5" customHeight="1">
      <c r="A172" s="1181"/>
      <c r="B172" s="1256"/>
      <c r="C172" s="1231" t="s">
        <v>2700</v>
      </c>
      <c r="D172" s="1181"/>
      <c r="E172" s="1284" t="s">
        <v>2701</v>
      </c>
      <c r="F172" s="1208"/>
      <c r="G172" s="1285" t="s">
        <v>2702</v>
      </c>
      <c r="H172" s="1181"/>
      <c r="I172" s="1208"/>
      <c r="J172" s="1189" t="s">
        <v>2703</v>
      </c>
      <c r="K172" s="1181"/>
      <c r="L172" s="1181"/>
      <c r="M172" s="1181"/>
      <c r="N172" s="1181"/>
      <c r="O172" s="1208"/>
      <c r="P172" s="1208"/>
      <c r="Q172" s="1208"/>
      <c r="R172" s="1208"/>
      <c r="S172" s="1208"/>
      <c r="T172" s="1286" t="s">
        <v>2704</v>
      </c>
      <c r="U172" s="1287"/>
      <c r="V172" s="1288">
        <v>15.5</v>
      </c>
      <c r="W172" s="1183"/>
      <c r="X172" s="1289">
        <v>15.5</v>
      </c>
      <c r="Y172" s="1183"/>
      <c r="Z172" s="1282"/>
      <c r="AA172" s="1282"/>
      <c r="AB172" s="1282"/>
      <c r="AC172" s="1282"/>
      <c r="AD172" s="1282"/>
      <c r="AE172" s="1282"/>
      <c r="AF172" s="1282"/>
      <c r="AG172" s="1282"/>
      <c r="AH172" s="1283"/>
      <c r="AI172" s="1283"/>
      <c r="AJ172" s="1183"/>
      <c r="AK172" s="1183"/>
      <c r="AL172" s="1185">
        <v>1</v>
      </c>
      <c r="AM172" s="709"/>
      <c r="AN172" s="709"/>
    </row>
    <row r="173" spans="1:40" s="1244" customFormat="1" ht="40.5" customHeight="1">
      <c r="A173" s="1181"/>
      <c r="B173" s="1256"/>
      <c r="C173" s="1231" t="s">
        <v>2705</v>
      </c>
      <c r="D173" s="1181"/>
      <c r="E173" s="1284" t="s">
        <v>2706</v>
      </c>
      <c r="F173" s="1208"/>
      <c r="G173" s="1285" t="s">
        <v>2707</v>
      </c>
      <c r="H173" s="1181"/>
      <c r="I173" s="1208"/>
      <c r="J173" s="1189" t="s">
        <v>2708</v>
      </c>
      <c r="K173" s="1181"/>
      <c r="L173" s="1181"/>
      <c r="M173" s="1181"/>
      <c r="N173" s="1181"/>
      <c r="O173" s="1208"/>
      <c r="P173" s="1208"/>
      <c r="Q173" s="1208"/>
      <c r="R173" s="1208"/>
      <c r="S173" s="1208"/>
      <c r="T173" s="1290" t="s">
        <v>3215</v>
      </c>
      <c r="U173" s="1287"/>
      <c r="V173" s="1284" t="s">
        <v>916</v>
      </c>
      <c r="W173" s="1183"/>
      <c r="X173" s="1291" t="s">
        <v>917</v>
      </c>
      <c r="Y173" s="1183"/>
      <c r="Z173" s="1282"/>
      <c r="AA173" s="1282"/>
      <c r="AB173" s="1282"/>
      <c r="AC173" s="1282"/>
      <c r="AD173" s="1282"/>
      <c r="AE173" s="1282"/>
      <c r="AF173" s="1282"/>
      <c r="AG173" s="1282"/>
      <c r="AH173" s="1283"/>
      <c r="AI173" s="1283"/>
      <c r="AJ173" s="1183"/>
      <c r="AK173" s="1183"/>
      <c r="AL173" s="1185">
        <v>1</v>
      </c>
      <c r="AM173" s="709"/>
      <c r="AN173" s="709"/>
    </row>
    <row r="174" spans="1:40" s="1244" customFormat="1" ht="40.5" customHeight="1">
      <c r="A174" s="1181"/>
      <c r="B174" s="1256"/>
      <c r="C174" s="1181"/>
      <c r="D174" s="1181"/>
      <c r="E174" s="1181"/>
      <c r="F174" s="1181"/>
      <c r="G174" s="1181"/>
      <c r="H174" s="1181"/>
      <c r="I174" s="1208"/>
      <c r="J174" s="1181"/>
      <c r="K174" s="1181"/>
      <c r="L174" s="1181"/>
      <c r="M174" s="1181"/>
      <c r="N174" s="1181"/>
      <c r="O174" s="1208"/>
      <c r="P174" s="1208"/>
      <c r="Q174" s="1208"/>
      <c r="R174" s="1208"/>
      <c r="S174" s="1208"/>
      <c r="T174" s="1183"/>
      <c r="U174" s="1183"/>
      <c r="V174" s="1183"/>
      <c r="W174" s="1183"/>
      <c r="X174" s="1183"/>
      <c r="Y174" s="1183"/>
      <c r="Z174" s="1282"/>
      <c r="AA174" s="1282"/>
      <c r="AB174" s="1282"/>
      <c r="AC174" s="1282"/>
      <c r="AD174" s="1282"/>
      <c r="AE174" s="1282"/>
      <c r="AF174" s="1282"/>
      <c r="AG174" s="1282"/>
      <c r="AH174" s="1283"/>
      <c r="AI174" s="1283"/>
      <c r="AJ174" s="1183"/>
      <c r="AK174" s="1183"/>
      <c r="AL174" s="1185">
        <v>1</v>
      </c>
      <c r="AM174" s="709"/>
      <c r="AN174" s="709"/>
    </row>
    <row r="175" spans="1:40" s="1244" customFormat="1" ht="40.5" customHeight="1">
      <c r="A175" s="1181"/>
      <c r="B175" s="1281" t="s">
        <v>3216</v>
      </c>
      <c r="C175" s="1181"/>
      <c r="D175" s="1181"/>
      <c r="E175" s="1181"/>
      <c r="F175" s="1181"/>
      <c r="G175" s="1181"/>
      <c r="H175" s="1181"/>
      <c r="I175" s="1208"/>
      <c r="J175" s="1181"/>
      <c r="K175" s="1181"/>
      <c r="L175" s="1181"/>
      <c r="M175" s="1181"/>
      <c r="N175" s="1181"/>
      <c r="O175" s="1208"/>
      <c r="P175" s="1208"/>
      <c r="Q175" s="1208"/>
      <c r="R175" s="1208"/>
      <c r="S175" s="1208"/>
      <c r="T175" s="1183"/>
      <c r="U175" s="1183"/>
      <c r="V175" s="1183"/>
      <c r="W175" s="1183"/>
      <c r="X175" s="1183"/>
      <c r="Y175" s="1183"/>
      <c r="Z175" s="1183"/>
      <c r="AA175" s="1183"/>
      <c r="AB175" s="1183"/>
      <c r="AC175" s="1183"/>
      <c r="AD175" s="1183"/>
      <c r="AE175" s="1183"/>
      <c r="AF175" s="1183"/>
      <c r="AG175" s="1183"/>
      <c r="AH175" s="1183"/>
      <c r="AI175" s="1183"/>
      <c r="AJ175" s="1183"/>
      <c r="AK175" s="1183"/>
      <c r="AL175" s="1185">
        <v>1</v>
      </c>
      <c r="AM175" s="709"/>
      <c r="AN175" s="709"/>
    </row>
    <row r="176" spans="1:40" s="1244" customFormat="1" ht="40.5" customHeight="1">
      <c r="A176" s="1181"/>
      <c r="B176" s="1256"/>
      <c r="C176" s="1292" t="s">
        <v>2711</v>
      </c>
      <c r="D176" s="1181"/>
      <c r="E176" s="1181"/>
      <c r="F176" s="1181"/>
      <c r="G176" s="1181"/>
      <c r="H176" s="1293" t="s">
        <v>2712</v>
      </c>
      <c r="I176" s="1293"/>
      <c r="J176" s="1181"/>
      <c r="K176" s="1181"/>
      <c r="L176" s="1181"/>
      <c r="M176" s="1181"/>
      <c r="N176" s="1181"/>
      <c r="O176" s="1208"/>
      <c r="P176" s="1208"/>
      <c r="Q176" s="1208"/>
      <c r="R176" s="1208"/>
      <c r="S176" s="1294" t="s">
        <v>2713</v>
      </c>
      <c r="T176" s="1294"/>
      <c r="U176" s="1183"/>
      <c r="V176" s="1183"/>
      <c r="W176" s="1183"/>
      <c r="X176" s="1183"/>
      <c r="Y176" s="1295" t="s">
        <v>2714</v>
      </c>
      <c r="Z176" s="1183"/>
      <c r="AA176" s="1183"/>
      <c r="AB176" s="1183"/>
      <c r="AC176" s="1183"/>
      <c r="AD176" s="1183"/>
      <c r="AE176" s="1183"/>
      <c r="AF176" s="1183"/>
      <c r="AG176" s="1183"/>
      <c r="AH176" s="1183"/>
      <c r="AI176" s="1183"/>
      <c r="AJ176" s="1183"/>
      <c r="AK176" s="1183"/>
      <c r="AL176" s="1185">
        <v>1</v>
      </c>
      <c r="AM176" s="709"/>
      <c r="AN176" s="709"/>
    </row>
    <row r="177" spans="1:40" s="1244" customFormat="1" ht="40.5" customHeight="1">
      <c r="A177" s="1181"/>
      <c r="B177" s="1256"/>
      <c r="C177" s="1296" t="s">
        <v>2715</v>
      </c>
      <c r="D177" s="1181"/>
      <c r="E177" s="1181"/>
      <c r="F177" s="1181"/>
      <c r="G177" s="1181"/>
      <c r="H177" s="1297" t="s">
        <v>2716</v>
      </c>
      <c r="I177" s="1297"/>
      <c r="J177" s="1181"/>
      <c r="K177" s="1181"/>
      <c r="L177" s="1181"/>
      <c r="M177" s="1181"/>
      <c r="N177" s="1181"/>
      <c r="O177" s="1208"/>
      <c r="P177" s="1208"/>
      <c r="Q177" s="1208"/>
      <c r="R177" s="1208"/>
      <c r="S177" s="1298" t="s">
        <v>2717</v>
      </c>
      <c r="T177" s="1298"/>
      <c r="U177" s="1183"/>
      <c r="V177" s="1183"/>
      <c r="W177" s="1183"/>
      <c r="X177" s="1183"/>
      <c r="Y177" s="1299" t="s">
        <v>2718</v>
      </c>
      <c r="Z177" s="1183"/>
      <c r="AA177" s="1183"/>
      <c r="AB177" s="1183"/>
      <c r="AC177" s="1183"/>
      <c r="AD177" s="1183"/>
      <c r="AE177" s="1183"/>
      <c r="AF177" s="1183"/>
      <c r="AG177" s="1183"/>
      <c r="AH177" s="1183"/>
      <c r="AI177" s="1183"/>
      <c r="AJ177" s="1183"/>
      <c r="AK177" s="1183"/>
      <c r="AL177" s="1185">
        <v>1</v>
      </c>
      <c r="AM177" s="709"/>
      <c r="AN177" s="709"/>
    </row>
    <row r="178" spans="1:40" s="1244" customFormat="1" ht="40.5" customHeight="1">
      <c r="A178" s="1181"/>
      <c r="B178" s="1256"/>
      <c r="C178" s="1300" t="s">
        <v>2719</v>
      </c>
      <c r="D178" s="1181"/>
      <c r="E178" s="1181"/>
      <c r="F178" s="1181"/>
      <c r="G178" s="1181"/>
      <c r="H178" s="1181"/>
      <c r="I178" s="1208"/>
      <c r="J178" s="1181"/>
      <c r="K178" s="1181"/>
      <c r="L178" s="1181"/>
      <c r="M178" s="1181"/>
      <c r="N178" s="1181"/>
      <c r="O178" s="1208"/>
      <c r="P178" s="1208"/>
      <c r="Q178" s="1208"/>
      <c r="R178" s="1208"/>
      <c r="S178" s="1208"/>
      <c r="T178" s="1183"/>
      <c r="U178" s="1183"/>
      <c r="V178" s="1183"/>
      <c r="W178" s="1183"/>
      <c r="X178" s="1183"/>
      <c r="Y178" s="1183"/>
      <c r="Z178" s="1183"/>
      <c r="AA178" s="1183"/>
      <c r="AB178" s="1183"/>
      <c r="AC178" s="1183"/>
      <c r="AD178" s="1183"/>
      <c r="AE178" s="1183"/>
      <c r="AF178" s="1183"/>
      <c r="AG178" s="1183"/>
      <c r="AH178" s="1183"/>
      <c r="AI178" s="1183"/>
      <c r="AJ178" s="1183"/>
      <c r="AK178" s="1183"/>
      <c r="AL178" s="1185">
        <v>1</v>
      </c>
      <c r="AM178" s="709"/>
      <c r="AN178" s="709"/>
    </row>
    <row r="179" spans="1:40" ht="27">
      <c r="A179" s="1181"/>
      <c r="B179" s="1256"/>
      <c r="C179" s="1181"/>
      <c r="D179" s="1181"/>
      <c r="E179" s="1181"/>
      <c r="F179" s="1181"/>
      <c r="G179" s="1181"/>
      <c r="H179" s="1181"/>
      <c r="I179" s="1246"/>
      <c r="J179" s="1181"/>
      <c r="K179" s="1181"/>
      <c r="L179" s="1181"/>
      <c r="M179" s="1181"/>
      <c r="N179" s="1181"/>
      <c r="O179" s="1246"/>
      <c r="P179" s="1246"/>
      <c r="Q179" s="1246"/>
      <c r="R179" s="1246"/>
      <c r="S179" s="1246"/>
      <c r="T179" s="1183"/>
      <c r="U179" s="1183"/>
      <c r="V179" s="1183"/>
      <c r="W179" s="1183"/>
      <c r="X179" s="1183"/>
      <c r="Y179" s="1183"/>
      <c r="Z179" s="1183"/>
      <c r="AA179" s="1183"/>
      <c r="AB179" s="1183"/>
      <c r="AC179" s="1183"/>
      <c r="AD179" s="1183"/>
      <c r="AE179" s="1183"/>
      <c r="AF179" s="1183"/>
      <c r="AG179" s="1183"/>
      <c r="AH179" s="1183"/>
      <c r="AI179" s="1184"/>
      <c r="AJ179" s="1184"/>
      <c r="AK179" s="1184"/>
      <c r="AL179" s="1185">
        <v>1</v>
      </c>
    </row>
    <row r="180" spans="1:40" customFormat="1" ht="30" customHeight="1">
      <c r="A180" s="1266"/>
      <c r="B180" s="1266"/>
      <c r="C180" s="1266"/>
      <c r="D180" s="1301" t="s">
        <v>3131</v>
      </c>
      <c r="E180" s="1301"/>
      <c r="F180" s="1301"/>
      <c r="G180" s="1301"/>
      <c r="H180" s="1301"/>
      <c r="I180" s="1301"/>
      <c r="J180" s="1301"/>
      <c r="K180" s="1301"/>
      <c r="L180" s="1301"/>
      <c r="M180" s="1301"/>
      <c r="N180" s="1301"/>
      <c r="O180" s="1301"/>
      <c r="P180" s="1266"/>
      <c r="Q180" s="1266"/>
      <c r="R180" s="1266"/>
      <c r="S180" s="1266"/>
      <c r="T180" s="1266"/>
      <c r="U180" s="1266"/>
      <c r="V180" s="1266"/>
      <c r="W180" s="1266"/>
      <c r="X180" s="1266"/>
      <c r="Y180" s="1208"/>
      <c r="Z180" s="1208"/>
      <c r="AA180" s="1208"/>
      <c r="AB180" s="1208"/>
      <c r="AC180" s="1208"/>
      <c r="AD180" s="1208"/>
      <c r="AE180" s="1208"/>
      <c r="AF180" s="1208"/>
      <c r="AG180" s="1208"/>
      <c r="AH180" s="1208"/>
      <c r="AI180" s="1208"/>
      <c r="AJ180" s="1184"/>
      <c r="AK180" s="1184"/>
      <c r="AL180" s="1185">
        <v>1</v>
      </c>
      <c r="AM180" s="709"/>
      <c r="AN180" s="709"/>
    </row>
    <row r="181" spans="1:40" customFormat="1" ht="30" customHeight="1">
      <c r="A181" s="1266"/>
      <c r="B181" s="1266"/>
      <c r="C181" s="1266"/>
      <c r="D181" s="1301" t="s">
        <v>3132</v>
      </c>
      <c r="E181" s="1301"/>
      <c r="F181" s="1301"/>
      <c r="G181" s="1301"/>
      <c r="H181" s="1301"/>
      <c r="I181" s="1301"/>
      <c r="J181" s="1301"/>
      <c r="K181" s="1301"/>
      <c r="L181" s="1301"/>
      <c r="M181" s="1301"/>
      <c r="N181" s="1301"/>
      <c r="O181" s="1301"/>
      <c r="P181" s="1266"/>
      <c r="Q181" s="1266"/>
      <c r="R181" s="1266"/>
      <c r="S181" s="1266"/>
      <c r="T181" s="1266"/>
      <c r="U181" s="1266"/>
      <c r="V181" s="1266"/>
      <c r="W181" s="1266"/>
      <c r="X181" s="1266"/>
      <c r="Y181" s="1208"/>
      <c r="Z181" s="1208"/>
      <c r="AA181" s="1208"/>
      <c r="AB181" s="1208"/>
      <c r="AC181" s="1208"/>
      <c r="AD181" s="1208"/>
      <c r="AE181" s="1208"/>
      <c r="AF181" s="1208"/>
      <c r="AG181" s="1208"/>
      <c r="AH181" s="1208"/>
      <c r="AI181" s="1208"/>
      <c r="AJ181" s="1184"/>
      <c r="AK181" s="1184"/>
      <c r="AL181" s="1185">
        <v>1</v>
      </c>
      <c r="AM181" s="709"/>
      <c r="AN181" s="709"/>
    </row>
    <row r="182" spans="1:40" customFormat="1" ht="30" customHeight="1">
      <c r="A182" s="1266"/>
      <c r="B182" s="1266"/>
      <c r="C182" s="1266"/>
      <c r="D182" s="1301" t="s">
        <v>3133</v>
      </c>
      <c r="E182" s="1301"/>
      <c r="F182" s="1301"/>
      <c r="G182" s="1301"/>
      <c r="H182" s="1301"/>
      <c r="I182" s="1301"/>
      <c r="J182" s="1301"/>
      <c r="K182" s="1301"/>
      <c r="L182" s="1301"/>
      <c r="M182" s="1301"/>
      <c r="N182" s="1301"/>
      <c r="O182" s="1301"/>
      <c r="P182" s="1266"/>
      <c r="Q182" s="1266"/>
      <c r="R182" s="1266"/>
      <c r="S182" s="1266"/>
      <c r="T182" s="1266"/>
      <c r="U182" s="1266"/>
      <c r="V182" s="1266"/>
      <c r="W182" s="1266"/>
      <c r="X182" s="1266"/>
      <c r="Y182" s="1208"/>
      <c r="Z182" s="1208"/>
      <c r="AA182" s="1208"/>
      <c r="AB182" s="1208"/>
      <c r="AC182" s="1208"/>
      <c r="AD182" s="1208"/>
      <c r="AE182" s="1208"/>
      <c r="AF182" s="1208"/>
      <c r="AG182" s="1208"/>
      <c r="AH182" s="1208"/>
      <c r="AI182" s="1208"/>
      <c r="AJ182" s="1184"/>
      <c r="AK182" s="1184"/>
      <c r="AL182" s="1185">
        <v>1</v>
      </c>
      <c r="AM182" s="709"/>
      <c r="AN182" s="709"/>
    </row>
    <row r="183" spans="1:40" customFormat="1" ht="30" customHeight="1">
      <c r="A183" s="1266"/>
      <c r="B183" s="1266"/>
      <c r="C183" s="1266"/>
      <c r="D183" s="1301" t="s">
        <v>3134</v>
      </c>
      <c r="E183" s="1301"/>
      <c r="F183" s="1301"/>
      <c r="G183" s="1301"/>
      <c r="H183" s="1301"/>
      <c r="I183" s="1301"/>
      <c r="J183" s="1301"/>
      <c r="K183" s="1301"/>
      <c r="L183" s="1301"/>
      <c r="M183" s="1301"/>
      <c r="N183" s="1301"/>
      <c r="O183" s="1301"/>
      <c r="P183" s="1266"/>
      <c r="Q183" s="1266"/>
      <c r="R183" s="1266"/>
      <c r="S183" s="1266"/>
      <c r="T183" s="1266"/>
      <c r="U183" s="1266"/>
      <c r="V183" s="1266"/>
      <c r="W183" s="1266"/>
      <c r="X183" s="1266"/>
      <c r="Y183" s="1208"/>
      <c r="Z183" s="1208"/>
      <c r="AA183" s="1208"/>
      <c r="AB183" s="1208"/>
      <c r="AC183" s="1208"/>
      <c r="AD183" s="1208"/>
      <c r="AE183" s="1208"/>
      <c r="AF183" s="1208"/>
      <c r="AG183" s="1208"/>
      <c r="AH183" s="1208"/>
      <c r="AI183" s="1208"/>
      <c r="AJ183" s="1184"/>
      <c r="AK183" s="1184"/>
      <c r="AL183" s="1185">
        <v>1</v>
      </c>
      <c r="AM183" s="709"/>
      <c r="AN183" s="709"/>
    </row>
    <row r="184" spans="1:40" customFormat="1" ht="30" customHeight="1">
      <c r="A184" s="1266"/>
      <c r="B184" s="1266"/>
      <c r="C184" s="1266"/>
      <c r="D184" s="1302" t="s">
        <v>2724</v>
      </c>
      <c r="E184" s="1301"/>
      <c r="F184" s="1303"/>
      <c r="G184" s="1301"/>
      <c r="H184" s="1301"/>
      <c r="I184" s="1301"/>
      <c r="J184" s="1301"/>
      <c r="K184" s="1303"/>
      <c r="L184" s="1303"/>
      <c r="M184" s="1303"/>
      <c r="N184" s="1303"/>
      <c r="O184" s="1303"/>
      <c r="P184" s="1266"/>
      <c r="Q184" s="1266"/>
      <c r="R184" s="1266"/>
      <c r="S184" s="1266"/>
      <c r="T184" s="1266"/>
      <c r="U184" s="1266"/>
      <c r="V184" s="1266"/>
      <c r="W184" s="1266"/>
      <c r="X184" s="1266"/>
      <c r="Y184" s="1208"/>
      <c r="Z184" s="1208"/>
      <c r="AA184" s="1208"/>
      <c r="AB184" s="1208"/>
      <c r="AC184" s="1208"/>
      <c r="AD184" s="1208"/>
      <c r="AE184" s="1208"/>
      <c r="AF184" s="1208"/>
      <c r="AG184" s="1208"/>
      <c r="AH184" s="1208"/>
      <c r="AI184" s="1208"/>
      <c r="AJ184" s="1184"/>
      <c r="AK184" s="1184"/>
      <c r="AL184" s="1185">
        <v>1</v>
      </c>
      <c r="AM184" s="709"/>
      <c r="AN184" s="709"/>
    </row>
    <row r="185" spans="1:40" customFormat="1" ht="30" customHeight="1">
      <c r="A185" s="1266"/>
      <c r="B185" s="1266"/>
      <c r="C185" s="1266"/>
      <c r="D185" s="1266"/>
      <c r="E185" s="1266"/>
      <c r="F185" s="1266"/>
      <c r="G185" s="1266"/>
      <c r="H185" s="1266"/>
      <c r="I185" s="1266"/>
      <c r="J185" s="1266"/>
      <c r="K185" s="1266"/>
      <c r="L185" s="1266"/>
      <c r="M185" s="1266"/>
      <c r="N185" s="1266"/>
      <c r="O185" s="1266"/>
      <c r="P185" s="1266"/>
      <c r="Q185" s="1266"/>
      <c r="R185" s="1266"/>
      <c r="S185" s="1266"/>
      <c r="T185" s="1266"/>
      <c r="U185" s="1266"/>
      <c r="V185" s="1266"/>
      <c r="W185" s="1266"/>
      <c r="X185" s="1266"/>
      <c r="Y185" s="1208"/>
      <c r="Z185" s="1208"/>
      <c r="AA185" s="1208"/>
      <c r="AB185" s="1208"/>
      <c r="AC185" s="1208"/>
      <c r="AD185" s="1208"/>
      <c r="AE185" s="1208"/>
      <c r="AF185" s="1208"/>
      <c r="AG185" s="1208"/>
      <c r="AH185" s="1208"/>
      <c r="AI185" s="1208"/>
      <c r="AJ185" s="1184"/>
      <c r="AK185" s="1184"/>
      <c r="AL185" s="1185">
        <v>1</v>
      </c>
      <c r="AM185" s="709"/>
      <c r="AN185" s="709"/>
    </row>
    <row r="186" spans="1:40" customFormat="1" ht="30" customHeight="1">
      <c r="A186" s="1266"/>
      <c r="B186" s="1266"/>
      <c r="C186" s="1266"/>
      <c r="D186" s="1301" t="s">
        <v>3120</v>
      </c>
      <c r="E186" s="1304"/>
      <c r="F186" s="1304"/>
      <c r="G186" s="1304"/>
      <c r="H186" s="1305"/>
      <c r="I186" s="1305"/>
      <c r="J186" s="1305"/>
      <c r="K186" s="1305"/>
      <c r="L186" s="1304"/>
      <c r="M186" s="1304"/>
      <c r="N186" s="1304"/>
      <c r="O186" s="1304"/>
      <c r="P186" s="1266"/>
      <c r="Q186" s="1266"/>
      <c r="R186" s="1266"/>
      <c r="S186" s="1266"/>
      <c r="T186" s="1266"/>
      <c r="U186" s="1266"/>
      <c r="V186" s="1266"/>
      <c r="W186" s="1266"/>
      <c r="X186" s="1306"/>
      <c r="Y186" s="1208"/>
      <c r="Z186" s="1208"/>
      <c r="AA186" s="1208"/>
      <c r="AB186" s="1208"/>
      <c r="AC186" s="1208"/>
      <c r="AD186" s="1208"/>
      <c r="AE186" s="1208"/>
      <c r="AF186" s="1208"/>
      <c r="AG186" s="1208"/>
      <c r="AH186" s="1208"/>
      <c r="AI186" s="1208"/>
      <c r="AJ186" s="1184"/>
      <c r="AK186" s="1184"/>
      <c r="AL186" s="1185">
        <v>1</v>
      </c>
      <c r="AM186" s="709"/>
      <c r="AN186" s="709"/>
    </row>
    <row r="187" spans="1:40" customFormat="1" ht="30" customHeight="1">
      <c r="A187" s="1266"/>
      <c r="B187" s="1266"/>
      <c r="C187" s="1266"/>
      <c r="D187" s="1416" t="s">
        <v>3121</v>
      </c>
      <c r="E187" s="1304"/>
      <c r="F187" s="1304"/>
      <c r="G187" s="1304"/>
      <c r="H187" s="1304"/>
      <c r="I187" s="1304"/>
      <c r="J187" s="1304"/>
      <c r="K187" s="1304"/>
      <c r="L187" s="1304"/>
      <c r="M187" s="1304"/>
      <c r="N187" s="1304"/>
      <c r="O187" s="1304"/>
      <c r="P187" s="1266"/>
      <c r="Q187" s="1266"/>
      <c r="R187" s="1266"/>
      <c r="S187" s="1266"/>
      <c r="T187" s="1266"/>
      <c r="U187" s="1266"/>
      <c r="V187" s="1266"/>
      <c r="W187" s="1266"/>
      <c r="X187" s="1306"/>
      <c r="Y187" s="1208"/>
      <c r="Z187" s="1208"/>
      <c r="AA187" s="1208"/>
      <c r="AB187" s="1208"/>
      <c r="AC187" s="1208"/>
      <c r="AD187" s="1208"/>
      <c r="AE187" s="1208"/>
      <c r="AF187" s="1208"/>
      <c r="AG187" s="1208"/>
      <c r="AH187" s="1208"/>
      <c r="AI187" s="1208"/>
      <c r="AJ187" s="1266"/>
      <c r="AK187" s="1266"/>
      <c r="AL187" s="1185">
        <v>1</v>
      </c>
      <c r="AM187" s="709"/>
      <c r="AN187" s="709"/>
    </row>
    <row r="188" spans="1:40" customFormat="1" ht="30" customHeight="1">
      <c r="A188" s="1266"/>
      <c r="B188" s="1266"/>
      <c r="C188" s="1266"/>
      <c r="D188" s="1301" t="s">
        <v>3122</v>
      </c>
      <c r="E188" s="1304"/>
      <c r="F188" s="1304"/>
      <c r="G188" s="1304"/>
      <c r="H188" s="1304"/>
      <c r="I188" s="1304"/>
      <c r="J188" s="1304"/>
      <c r="K188" s="1304"/>
      <c r="L188" s="1304"/>
      <c r="M188" s="1304"/>
      <c r="N188" s="1304"/>
      <c r="O188" s="1304"/>
      <c r="P188" s="1266"/>
      <c r="Q188" s="1266"/>
      <c r="R188" s="1266"/>
      <c r="S188" s="1266"/>
      <c r="T188" s="1266"/>
      <c r="U188" s="1266"/>
      <c r="V188" s="1266"/>
      <c r="W188" s="1266"/>
      <c r="X188" s="1266"/>
      <c r="Y188" s="1208"/>
      <c r="Z188" s="1208"/>
      <c r="AA188" s="1208"/>
      <c r="AB188" s="1208"/>
      <c r="AC188" s="1208"/>
      <c r="AD188" s="1208"/>
      <c r="AE188" s="1208"/>
      <c r="AF188" s="1208"/>
      <c r="AG188" s="1208"/>
      <c r="AH188" s="1208"/>
      <c r="AI188" s="1208"/>
      <c r="AJ188" s="1266"/>
      <c r="AK188" s="1266"/>
      <c r="AL188" s="1185">
        <v>1</v>
      </c>
      <c r="AM188" s="709"/>
      <c r="AN188" s="709"/>
    </row>
    <row r="189" spans="1:40" customFormat="1" ht="30" customHeight="1">
      <c r="A189" s="1266"/>
      <c r="B189" s="1266"/>
      <c r="C189" s="1266"/>
      <c r="D189" s="1308" t="s">
        <v>2727</v>
      </c>
      <c r="E189" s="1304"/>
      <c r="F189" s="1304"/>
      <c r="G189" s="1304"/>
      <c r="H189" s="1304"/>
      <c r="I189" s="1304"/>
      <c r="J189" s="1304"/>
      <c r="K189" s="1304"/>
      <c r="L189" s="1304"/>
      <c r="M189" s="1304"/>
      <c r="N189" s="1304"/>
      <c r="O189" s="1304"/>
      <c r="P189" s="1266"/>
      <c r="Q189" s="1266"/>
      <c r="R189" s="1266"/>
      <c r="S189" s="1266"/>
      <c r="T189" s="1266"/>
      <c r="U189" s="1266"/>
      <c r="V189" s="1266"/>
      <c r="W189" s="1266"/>
      <c r="X189" s="1266"/>
      <c r="Y189" s="1208"/>
      <c r="Z189" s="1208"/>
      <c r="AA189" s="1208"/>
      <c r="AB189" s="1208"/>
      <c r="AC189" s="1208"/>
      <c r="AD189" s="1208"/>
      <c r="AE189" s="1208"/>
      <c r="AF189" s="1208"/>
      <c r="AG189" s="1208"/>
      <c r="AH189" s="1208"/>
      <c r="AI189" s="1208"/>
      <c r="AJ189" s="1266"/>
      <c r="AK189" s="1266"/>
      <c r="AL189" s="1185">
        <v>1</v>
      </c>
      <c r="AM189" s="709"/>
      <c r="AN189" s="709"/>
    </row>
    <row r="190" spans="1:40" customFormat="1" ht="30" customHeight="1">
      <c r="A190" s="1266"/>
      <c r="B190" s="1266"/>
      <c r="C190" s="1266"/>
      <c r="D190" s="1309" t="s">
        <v>2728</v>
      </c>
      <c r="E190" s="1304"/>
      <c r="F190" s="1304"/>
      <c r="G190" s="1304"/>
      <c r="H190" s="1304"/>
      <c r="I190" s="1304"/>
      <c r="J190" s="1304"/>
      <c r="K190" s="1304"/>
      <c r="L190" s="1304"/>
      <c r="M190" s="1304"/>
      <c r="N190" s="1304"/>
      <c r="O190" s="1304"/>
      <c r="P190" s="1266"/>
      <c r="Q190" s="1266"/>
      <c r="R190" s="1266"/>
      <c r="S190" s="1266"/>
      <c r="T190" s="1266"/>
      <c r="U190" s="1266"/>
      <c r="V190" s="1266"/>
      <c r="W190" s="1266"/>
      <c r="X190" s="1266"/>
      <c r="Y190" s="1208"/>
      <c r="Z190" s="1208"/>
      <c r="AA190" s="1208"/>
      <c r="AB190" s="1208"/>
      <c r="AC190" s="1208"/>
      <c r="AD190" s="1208"/>
      <c r="AE190" s="1208"/>
      <c r="AF190" s="1208"/>
      <c r="AG190" s="1208"/>
      <c r="AH190" s="1208"/>
      <c r="AI190" s="1208"/>
      <c r="AJ190" s="1266"/>
      <c r="AK190" s="1266"/>
      <c r="AL190" s="1185">
        <v>1</v>
      </c>
      <c r="AM190" s="709"/>
      <c r="AN190" s="709"/>
    </row>
    <row r="191" spans="1:40" customFormat="1" ht="30" customHeight="1">
      <c r="A191" s="1266"/>
      <c r="B191" s="1266"/>
      <c r="C191" s="1266"/>
      <c r="D191" s="1266"/>
      <c r="E191" s="1266"/>
      <c r="F191" s="1266"/>
      <c r="G191" s="1266"/>
      <c r="H191" s="1266"/>
      <c r="I191" s="1266"/>
      <c r="J191" s="1266"/>
      <c r="K191" s="1266"/>
      <c r="L191" s="1266"/>
      <c r="M191" s="1266"/>
      <c r="N191" s="1266"/>
      <c r="O191" s="1266"/>
      <c r="P191" s="1266"/>
      <c r="Q191" s="1266"/>
      <c r="R191" s="1266"/>
      <c r="S191" s="1266"/>
      <c r="T191" s="1266"/>
      <c r="U191" s="1266"/>
      <c r="V191" s="1266"/>
      <c r="W191" s="1266"/>
      <c r="X191" s="1266"/>
      <c r="Y191" s="1208"/>
      <c r="Z191" s="1208"/>
      <c r="AA191" s="1208"/>
      <c r="AB191" s="1208"/>
      <c r="AC191" s="1208"/>
      <c r="AD191" s="1208"/>
      <c r="AE191" s="1208"/>
      <c r="AF191" s="1208"/>
      <c r="AG191" s="1208"/>
      <c r="AH191" s="1208"/>
      <c r="AI191" s="1208"/>
      <c r="AJ191" s="1266"/>
      <c r="AK191" s="1266"/>
      <c r="AL191" s="1185">
        <v>1</v>
      </c>
      <c r="AM191" s="709"/>
      <c r="AN191" s="709"/>
    </row>
    <row r="192" spans="1:40" customFormat="1" ht="30" customHeight="1">
      <c r="A192" s="1266"/>
      <c r="B192" s="1266"/>
      <c r="C192" s="1266"/>
      <c r="D192" s="1307" t="s">
        <v>3114</v>
      </c>
      <c r="E192" s="1304"/>
      <c r="F192" s="1304"/>
      <c r="G192" s="1304"/>
      <c r="H192" s="1304"/>
      <c r="I192" s="1304"/>
      <c r="J192" s="1304"/>
      <c r="K192" s="1304"/>
      <c r="L192" s="1304"/>
      <c r="M192" s="1304"/>
      <c r="N192" s="1304"/>
      <c r="O192" s="1266"/>
      <c r="P192" s="1266"/>
      <c r="Q192" s="1266"/>
      <c r="R192" s="1266"/>
      <c r="S192" s="1266"/>
      <c r="T192" s="1266"/>
      <c r="U192" s="1266"/>
      <c r="V192" s="1266"/>
      <c r="W192" s="1266"/>
      <c r="X192" s="1266"/>
      <c r="Y192" s="1208"/>
      <c r="Z192" s="1208"/>
      <c r="AA192" s="1208"/>
      <c r="AB192" s="1208"/>
      <c r="AC192" s="1208"/>
      <c r="AD192" s="1208"/>
      <c r="AE192" s="1208"/>
      <c r="AF192" s="1208"/>
      <c r="AG192" s="1208"/>
      <c r="AH192" s="1208"/>
      <c r="AI192" s="1208"/>
      <c r="AJ192" s="1266"/>
      <c r="AK192" s="1266"/>
      <c r="AL192" s="1185">
        <v>1</v>
      </c>
      <c r="AM192" s="709"/>
      <c r="AN192" s="709"/>
    </row>
    <row r="193" spans="1:40" customFormat="1" ht="30" customHeight="1">
      <c r="A193" s="1266"/>
      <c r="B193" s="1266"/>
      <c r="C193" s="1266"/>
      <c r="D193" s="1304" t="s">
        <v>3115</v>
      </c>
      <c r="E193" s="1304"/>
      <c r="F193" s="1304"/>
      <c r="G193" s="1304"/>
      <c r="H193" s="1304"/>
      <c r="I193" s="1304"/>
      <c r="J193" s="1304"/>
      <c r="K193" s="1304"/>
      <c r="L193" s="1304"/>
      <c r="M193" s="1304"/>
      <c r="N193" s="1304"/>
      <c r="O193" s="1266"/>
      <c r="P193" s="1266"/>
      <c r="Q193" s="1266"/>
      <c r="R193" s="1266"/>
      <c r="S193" s="1266"/>
      <c r="T193" s="1266"/>
      <c r="U193" s="1266"/>
      <c r="V193" s="1266"/>
      <c r="W193" s="1266"/>
      <c r="X193" s="1266"/>
      <c r="Y193" s="1208"/>
      <c r="Z193" s="1208"/>
      <c r="AA193" s="1208"/>
      <c r="AB193" s="1208"/>
      <c r="AC193" s="1208"/>
      <c r="AD193" s="1208"/>
      <c r="AE193" s="1208"/>
      <c r="AF193" s="1208"/>
      <c r="AG193" s="1208"/>
      <c r="AH193" s="1208"/>
      <c r="AI193" s="1208"/>
      <c r="AJ193" s="1266"/>
      <c r="AK193" s="1266"/>
      <c r="AL193" s="1185">
        <v>1</v>
      </c>
      <c r="AM193" s="709"/>
      <c r="AN193" s="709"/>
    </row>
    <row r="194" spans="1:40" customFormat="1" ht="30" customHeight="1">
      <c r="A194" s="1266"/>
      <c r="B194" s="1266"/>
      <c r="C194" s="1266"/>
      <c r="D194" s="1304" t="s">
        <v>3116</v>
      </c>
      <c r="E194" s="1304"/>
      <c r="F194" s="1304"/>
      <c r="G194" s="1304"/>
      <c r="H194" s="1304"/>
      <c r="I194" s="1304"/>
      <c r="J194" s="1304"/>
      <c r="K194" s="1304"/>
      <c r="L194" s="1304"/>
      <c r="M194" s="1304"/>
      <c r="N194" s="1304"/>
      <c r="O194" s="1266"/>
      <c r="P194" s="1266"/>
      <c r="Q194" s="1266"/>
      <c r="R194" s="1266"/>
      <c r="S194" s="1266"/>
      <c r="T194" s="1266"/>
      <c r="U194" s="1266"/>
      <c r="V194" s="1266"/>
      <c r="W194" s="1266"/>
      <c r="X194" s="1266"/>
      <c r="Y194" s="1208"/>
      <c r="Z194" s="1208"/>
      <c r="AA194" s="1208"/>
      <c r="AB194" s="1208"/>
      <c r="AC194" s="1208"/>
      <c r="AD194" s="1208"/>
      <c r="AE194" s="1208"/>
      <c r="AF194" s="1208"/>
      <c r="AG194" s="1208"/>
      <c r="AH194" s="1208"/>
      <c r="AI194" s="1208"/>
      <c r="AJ194" s="1266"/>
      <c r="AK194" s="1266"/>
      <c r="AL194" s="1185">
        <v>1</v>
      </c>
      <c r="AM194" s="709"/>
      <c r="AN194" s="709"/>
    </row>
    <row r="195" spans="1:40" customFormat="1" ht="30" customHeight="1">
      <c r="A195" s="1266"/>
      <c r="B195" s="1266"/>
      <c r="C195" s="1266"/>
      <c r="D195" s="1304" t="s">
        <v>3117</v>
      </c>
      <c r="E195" s="1304"/>
      <c r="F195" s="1304"/>
      <c r="G195" s="1304"/>
      <c r="H195" s="1304"/>
      <c r="I195" s="1304"/>
      <c r="J195" s="1304"/>
      <c r="K195" s="1304"/>
      <c r="L195" s="1304"/>
      <c r="M195" s="1304"/>
      <c r="N195" s="1304"/>
      <c r="O195" s="1266"/>
      <c r="P195" s="1266"/>
      <c r="Q195" s="1266"/>
      <c r="R195" s="1266"/>
      <c r="S195" s="1266"/>
      <c r="T195" s="1266"/>
      <c r="U195" s="1266"/>
      <c r="V195" s="1266"/>
      <c r="W195" s="1266"/>
      <c r="X195" s="1266"/>
      <c r="Y195" s="1208"/>
      <c r="Z195" s="1208"/>
      <c r="AA195" s="1208"/>
      <c r="AB195" s="1208"/>
      <c r="AC195" s="1208"/>
      <c r="AD195" s="1208"/>
      <c r="AE195" s="1208"/>
      <c r="AF195" s="1208"/>
      <c r="AG195" s="1208"/>
      <c r="AH195" s="1208"/>
      <c r="AI195" s="1208"/>
      <c r="AJ195" s="1266"/>
      <c r="AK195" s="1266"/>
      <c r="AL195" s="1185">
        <v>1</v>
      </c>
      <c r="AM195" s="709"/>
      <c r="AN195" s="709"/>
    </row>
    <row r="196" spans="1:40" customFormat="1" ht="30" customHeight="1">
      <c r="A196" s="1266"/>
      <c r="B196" s="1266"/>
      <c r="C196" s="1266"/>
      <c r="D196" s="1304" t="s">
        <v>3118</v>
      </c>
      <c r="E196" s="1304"/>
      <c r="F196" s="1304"/>
      <c r="G196" s="1304"/>
      <c r="H196" s="1304"/>
      <c r="I196" s="1304"/>
      <c r="J196" s="1304"/>
      <c r="K196" s="1304"/>
      <c r="L196" s="1304"/>
      <c r="M196" s="1304"/>
      <c r="N196" s="1304"/>
      <c r="O196" s="1266"/>
      <c r="P196" s="1266"/>
      <c r="Q196" s="1266"/>
      <c r="R196" s="1266"/>
      <c r="S196" s="1266"/>
      <c r="T196" s="1266"/>
      <c r="U196" s="1266"/>
      <c r="V196" s="1266"/>
      <c r="W196" s="1266"/>
      <c r="X196" s="1266"/>
      <c r="Y196" s="1208"/>
      <c r="Z196" s="1208"/>
      <c r="AA196" s="1208"/>
      <c r="AB196" s="1208"/>
      <c r="AC196" s="1208"/>
      <c r="AD196" s="1208"/>
      <c r="AE196" s="1208"/>
      <c r="AF196" s="1208"/>
      <c r="AG196" s="1208"/>
      <c r="AH196" s="1208"/>
      <c r="AI196" s="1208"/>
      <c r="AJ196" s="1266"/>
      <c r="AK196" s="1266"/>
      <c r="AL196" s="1185">
        <v>1</v>
      </c>
      <c r="AM196" s="709"/>
      <c r="AN196" s="709"/>
    </row>
    <row r="197" spans="1:40" customFormat="1" ht="30" customHeight="1">
      <c r="A197" s="1266"/>
      <c r="B197" s="1266"/>
      <c r="C197" s="1266"/>
      <c r="D197" s="1304" t="s">
        <v>3119</v>
      </c>
      <c r="E197" s="1304"/>
      <c r="F197" s="1304"/>
      <c r="G197" s="1304"/>
      <c r="H197" s="1304"/>
      <c r="I197" s="1304"/>
      <c r="J197" s="1304"/>
      <c r="K197" s="1304"/>
      <c r="L197" s="1304"/>
      <c r="M197" s="1304"/>
      <c r="N197" s="1304"/>
      <c r="O197" s="1266"/>
      <c r="P197" s="1266"/>
      <c r="Q197" s="1266"/>
      <c r="R197" s="1266"/>
      <c r="S197" s="1266"/>
      <c r="T197" s="1266"/>
      <c r="U197" s="1266"/>
      <c r="V197" s="1266"/>
      <c r="W197" s="1266"/>
      <c r="X197" s="1266"/>
      <c r="Y197" s="1266"/>
      <c r="Z197" s="1266"/>
      <c r="AA197" s="1266"/>
      <c r="AB197" s="1266"/>
      <c r="AC197" s="1266"/>
      <c r="AD197" s="1266"/>
      <c r="AE197" s="1266"/>
      <c r="AF197" s="1266"/>
      <c r="AG197" s="1266"/>
      <c r="AH197" s="1266"/>
      <c r="AI197" s="1266"/>
      <c r="AJ197" s="1266"/>
      <c r="AK197" s="1266"/>
      <c r="AL197" s="1185">
        <v>1</v>
      </c>
      <c r="AM197" s="709"/>
      <c r="AN197" s="709"/>
    </row>
    <row r="198" spans="1:40" customFormat="1" ht="30" customHeight="1">
      <c r="A198" s="1266"/>
      <c r="B198" s="1266"/>
      <c r="C198" s="1266"/>
      <c r="D198" s="1309" t="s">
        <v>2735</v>
      </c>
      <c r="E198" s="1304"/>
      <c r="F198" s="1304"/>
      <c r="G198" s="1304"/>
      <c r="H198" s="1304"/>
      <c r="I198" s="1304"/>
      <c r="J198" s="1304"/>
      <c r="K198" s="1304"/>
      <c r="L198" s="1304"/>
      <c r="M198" s="1304"/>
      <c r="N198" s="1304"/>
      <c r="O198" s="1266"/>
      <c r="P198" s="1266"/>
      <c r="Q198" s="1266"/>
      <c r="R198" s="1266"/>
      <c r="S198" s="1266"/>
      <c r="T198" s="1266"/>
      <c r="U198" s="1266"/>
      <c r="V198" s="1266"/>
      <c r="W198" s="1266"/>
      <c r="X198" s="1266"/>
      <c r="Y198" s="1266"/>
      <c r="Z198" s="1266"/>
      <c r="AA198" s="1266"/>
      <c r="AB198" s="1266"/>
      <c r="AC198" s="1266"/>
      <c r="AD198" s="1266"/>
      <c r="AE198" s="1266"/>
      <c r="AF198" s="1266"/>
      <c r="AG198" s="1266"/>
      <c r="AH198" s="1266"/>
      <c r="AI198" s="1266"/>
      <c r="AJ198" s="1266"/>
      <c r="AK198" s="1266"/>
      <c r="AL198" s="1185">
        <v>1</v>
      </c>
      <c r="AM198" s="709"/>
      <c r="AN198" s="709"/>
    </row>
    <row r="199" spans="1:40" customFormat="1" ht="30" customHeight="1">
      <c r="A199" s="1266"/>
      <c r="B199" s="1266"/>
      <c r="C199" s="1266"/>
      <c r="D199" s="1309" t="s">
        <v>2736</v>
      </c>
      <c r="E199" s="1304"/>
      <c r="F199" s="1304"/>
      <c r="G199" s="1304"/>
      <c r="H199" s="1304"/>
      <c r="I199" s="1304"/>
      <c r="J199" s="1304"/>
      <c r="K199" s="1304"/>
      <c r="L199" s="1304"/>
      <c r="M199" s="1304"/>
      <c r="N199" s="1304"/>
      <c r="O199" s="1266"/>
      <c r="P199" s="1266"/>
      <c r="Q199" s="1266"/>
      <c r="R199" s="1266"/>
      <c r="S199" s="1266"/>
      <c r="T199" s="1266"/>
      <c r="U199" s="1266"/>
      <c r="V199" s="1266"/>
      <c r="W199" s="1266"/>
      <c r="X199" s="1266"/>
      <c r="Y199" s="1266"/>
      <c r="Z199" s="1266"/>
      <c r="AA199" s="1266"/>
      <c r="AB199" s="1266"/>
      <c r="AC199" s="1266"/>
      <c r="AD199" s="1266"/>
      <c r="AE199" s="1266"/>
      <c r="AF199" s="1266"/>
      <c r="AG199" s="1266"/>
      <c r="AH199" s="1266"/>
      <c r="AI199" s="1266"/>
      <c r="AJ199" s="1266"/>
      <c r="AK199" s="1266"/>
      <c r="AL199" s="1185">
        <v>1</v>
      </c>
      <c r="AM199" s="709"/>
      <c r="AN199" s="709"/>
    </row>
    <row r="200" spans="1:40" customFormat="1" ht="30" customHeight="1">
      <c r="A200" s="1266"/>
      <c r="B200" s="1266"/>
      <c r="C200" s="1266"/>
      <c r="D200" s="1266"/>
      <c r="E200" s="1266"/>
      <c r="F200" s="1266"/>
      <c r="G200" s="1266"/>
      <c r="H200" s="1266"/>
      <c r="I200" s="1266"/>
      <c r="J200" s="1266"/>
      <c r="K200" s="1266"/>
      <c r="L200" s="1266"/>
      <c r="M200" s="1266"/>
      <c r="N200" s="1266"/>
      <c r="O200" s="1266"/>
      <c r="P200" s="1266"/>
      <c r="Q200" s="1266"/>
      <c r="R200" s="1266"/>
      <c r="S200" s="1266"/>
      <c r="T200" s="1266"/>
      <c r="U200" s="1266"/>
      <c r="V200" s="1266"/>
      <c r="W200" s="1266"/>
      <c r="X200" s="1266"/>
      <c r="Y200" s="1266"/>
      <c r="Z200" s="1266"/>
      <c r="AA200" s="1266"/>
      <c r="AB200" s="1266"/>
      <c r="AC200" s="1266"/>
      <c r="AD200" s="1266"/>
      <c r="AE200" s="1266"/>
      <c r="AF200" s="1266"/>
      <c r="AG200" s="1266"/>
      <c r="AH200" s="1266"/>
      <c r="AI200" s="1266"/>
      <c r="AJ200" s="1266"/>
      <c r="AK200" s="1266"/>
      <c r="AL200" s="1185">
        <v>1</v>
      </c>
      <c r="AM200" s="709"/>
      <c r="AN200" s="709"/>
    </row>
    <row r="201" spans="1:40" customFormat="1" ht="30" customHeight="1">
      <c r="A201" s="1266"/>
      <c r="B201" s="1266"/>
      <c r="C201" s="1266"/>
      <c r="D201" s="1310" t="s">
        <v>3135</v>
      </c>
      <c r="E201" s="1311"/>
      <c r="F201" s="1311"/>
      <c r="G201" s="1311"/>
      <c r="H201" s="1311"/>
      <c r="I201" s="1311"/>
      <c r="J201" s="1311"/>
      <c r="K201" s="1311"/>
      <c r="L201" s="1311"/>
      <c r="M201" s="1311"/>
      <c r="N201" s="1311"/>
      <c r="O201" s="1266"/>
      <c r="P201" s="1266"/>
      <c r="Q201" s="1266"/>
      <c r="R201" s="1266"/>
      <c r="S201" s="1266"/>
      <c r="T201" s="1266"/>
      <c r="U201" s="1266"/>
      <c r="V201" s="1266"/>
      <c r="W201" s="1266"/>
      <c r="X201" s="1266"/>
      <c r="Y201" s="1266"/>
      <c r="Z201" s="1266"/>
      <c r="AA201" s="1266"/>
      <c r="AB201" s="1266"/>
      <c r="AC201" s="1266"/>
      <c r="AD201" s="1266"/>
      <c r="AE201" s="1266"/>
      <c r="AF201" s="1266"/>
      <c r="AG201" s="1266"/>
      <c r="AH201" s="1266"/>
      <c r="AI201" s="1266"/>
      <c r="AJ201" s="1266"/>
      <c r="AK201" s="1266"/>
      <c r="AL201" s="1185">
        <v>1</v>
      </c>
      <c r="AM201" s="709"/>
      <c r="AN201" s="709"/>
    </row>
    <row r="202" spans="1:40" customFormat="1" ht="30" customHeight="1">
      <c r="A202" s="1266"/>
      <c r="B202" s="1266"/>
      <c r="C202" s="1266"/>
      <c r="D202" s="1312" t="s">
        <v>3136</v>
      </c>
      <c r="E202" s="1311"/>
      <c r="F202" s="1311"/>
      <c r="G202" s="1311"/>
      <c r="H202" s="1311"/>
      <c r="I202" s="1311"/>
      <c r="J202" s="1311"/>
      <c r="K202" s="1311"/>
      <c r="L202" s="1311"/>
      <c r="M202" s="1311"/>
      <c r="N202" s="1311"/>
      <c r="O202" s="1266"/>
      <c r="P202" s="1266"/>
      <c r="Q202" s="1266"/>
      <c r="R202" s="1266"/>
      <c r="S202" s="1266"/>
      <c r="T202" s="1266"/>
      <c r="U202" s="1266"/>
      <c r="V202" s="1266"/>
      <c r="W202" s="1266"/>
      <c r="X202" s="1266"/>
      <c r="Y202" s="1266"/>
      <c r="Z202" s="1266"/>
      <c r="AA202" s="1266"/>
      <c r="AB202" s="1266"/>
      <c r="AC202" s="1266"/>
      <c r="AD202" s="1266"/>
      <c r="AE202" s="1266"/>
      <c r="AF202" s="1266"/>
      <c r="AG202" s="1266"/>
      <c r="AH202" s="1266"/>
      <c r="AI202" s="1266"/>
      <c r="AJ202" s="1266"/>
      <c r="AK202" s="1266"/>
      <c r="AL202" s="1185">
        <v>1</v>
      </c>
      <c r="AM202" s="709"/>
      <c r="AN202" s="709"/>
    </row>
    <row r="203" spans="1:40" customFormat="1" ht="30" customHeight="1">
      <c r="A203" s="1266"/>
      <c r="B203" s="1266"/>
      <c r="C203" s="1266"/>
      <c r="D203" s="1312" t="s">
        <v>3137</v>
      </c>
      <c r="E203" s="1311"/>
      <c r="F203" s="1311"/>
      <c r="G203" s="1311"/>
      <c r="H203" s="1311"/>
      <c r="I203" s="1311"/>
      <c r="J203" s="1311"/>
      <c r="K203" s="1311"/>
      <c r="L203" s="1311"/>
      <c r="M203" s="1311"/>
      <c r="N203" s="1311"/>
      <c r="O203" s="1266"/>
      <c r="P203" s="1266"/>
      <c r="Q203" s="1266"/>
      <c r="R203" s="1266"/>
      <c r="S203" s="1266"/>
      <c r="T203" s="1266"/>
      <c r="U203" s="1266"/>
      <c r="V203" s="1266"/>
      <c r="W203" s="1266"/>
      <c r="X203" s="1266"/>
      <c r="Y203" s="1266"/>
      <c r="Z203" s="1266"/>
      <c r="AA203" s="1266"/>
      <c r="AB203" s="1266"/>
      <c r="AC203" s="1266"/>
      <c r="AD203" s="1266"/>
      <c r="AE203" s="1266"/>
      <c r="AF203" s="1266"/>
      <c r="AG203" s="1266"/>
      <c r="AH203" s="1266"/>
      <c r="AI203" s="1266"/>
      <c r="AJ203" s="1266"/>
      <c r="AK203" s="1266"/>
      <c r="AL203" s="1185">
        <v>1</v>
      </c>
      <c r="AM203" s="709"/>
      <c r="AN203" s="709"/>
    </row>
    <row r="204" spans="1:40" customFormat="1" ht="30" customHeight="1">
      <c r="A204" s="1266"/>
      <c r="B204" s="1266"/>
      <c r="C204" s="1266"/>
      <c r="D204" s="1312" t="s">
        <v>3138</v>
      </c>
      <c r="E204" s="1311"/>
      <c r="F204" s="1311"/>
      <c r="G204" s="1311"/>
      <c r="H204" s="1311"/>
      <c r="I204" s="1311"/>
      <c r="J204" s="1311"/>
      <c r="K204" s="1311"/>
      <c r="L204" s="1311"/>
      <c r="M204" s="1311"/>
      <c r="N204" s="1311"/>
      <c r="O204" s="1266"/>
      <c r="P204" s="1266"/>
      <c r="Q204" s="1266"/>
      <c r="R204" s="1266"/>
      <c r="S204" s="1266"/>
      <c r="T204" s="1266"/>
      <c r="U204" s="1266"/>
      <c r="V204" s="1266"/>
      <c r="W204" s="1266"/>
      <c r="X204" s="1266"/>
      <c r="Y204" s="1266"/>
      <c r="Z204" s="1266"/>
      <c r="AA204" s="1266"/>
      <c r="AB204" s="1266"/>
      <c r="AC204" s="1266"/>
      <c r="AD204" s="1266"/>
      <c r="AE204" s="1266"/>
      <c r="AF204" s="1266"/>
      <c r="AG204" s="1266"/>
      <c r="AH204" s="1266"/>
      <c r="AI204" s="1266"/>
      <c r="AJ204" s="1266"/>
      <c r="AK204" s="1266"/>
      <c r="AL204" s="1185">
        <v>1</v>
      </c>
      <c r="AM204" s="709"/>
      <c r="AN204" s="709"/>
    </row>
    <row r="205" spans="1:40" customFormat="1" ht="30" customHeight="1">
      <c r="A205" s="1266"/>
      <c r="B205" s="1266"/>
      <c r="C205" s="1266"/>
      <c r="D205" s="1313" t="s">
        <v>2741</v>
      </c>
      <c r="E205" s="1311"/>
      <c r="F205" s="1311"/>
      <c r="G205" s="1311"/>
      <c r="H205" s="1311"/>
      <c r="I205" s="1311"/>
      <c r="J205" s="1311"/>
      <c r="K205" s="1311"/>
      <c r="L205" s="1311"/>
      <c r="M205" s="1311"/>
      <c r="N205" s="1311"/>
      <c r="O205" s="1266"/>
      <c r="P205" s="1266"/>
      <c r="Q205" s="1266"/>
      <c r="R205" s="1266"/>
      <c r="S205" s="1266"/>
      <c r="T205" s="1266"/>
      <c r="U205" s="1266"/>
      <c r="V205" s="1266"/>
      <c r="W205" s="1266"/>
      <c r="X205" s="1266"/>
      <c r="Y205" s="1266"/>
      <c r="Z205" s="1266"/>
      <c r="AA205" s="1266"/>
      <c r="AB205" s="1266"/>
      <c r="AC205" s="1266"/>
      <c r="AD205" s="1266"/>
      <c r="AE205" s="1266"/>
      <c r="AF205" s="1266"/>
      <c r="AG205" s="1266"/>
      <c r="AH205" s="1266"/>
      <c r="AI205" s="1266"/>
      <c r="AJ205" s="1266"/>
      <c r="AK205" s="1266"/>
      <c r="AL205" s="1185">
        <v>1</v>
      </c>
      <c r="AM205" s="709"/>
      <c r="AN205" s="709"/>
    </row>
    <row r="206" spans="1:40" customFormat="1" ht="30" customHeight="1">
      <c r="A206" s="1266"/>
      <c r="B206" s="1266"/>
      <c r="C206" s="1266"/>
      <c r="D206" s="1314" t="s">
        <v>2742</v>
      </c>
      <c r="E206" s="1311"/>
      <c r="F206" s="1311"/>
      <c r="G206" s="1311"/>
      <c r="H206" s="1311"/>
      <c r="I206" s="1311"/>
      <c r="J206" s="1311"/>
      <c r="K206" s="1311"/>
      <c r="L206" s="1311"/>
      <c r="M206" s="1311"/>
      <c r="N206" s="1311"/>
      <c r="O206" s="1266"/>
      <c r="P206" s="1266"/>
      <c r="Q206" s="1266"/>
      <c r="R206" s="1266"/>
      <c r="S206" s="1266"/>
      <c r="T206" s="1266"/>
      <c r="U206" s="1266"/>
      <c r="V206" s="1266"/>
      <c r="W206" s="1266"/>
      <c r="X206" s="1266"/>
      <c r="Y206" s="1266"/>
      <c r="Z206" s="1266"/>
      <c r="AA206" s="1266"/>
      <c r="AB206" s="1266"/>
      <c r="AC206" s="1266"/>
      <c r="AD206" s="1266"/>
      <c r="AE206" s="1266"/>
      <c r="AF206" s="1266"/>
      <c r="AG206" s="1266"/>
      <c r="AH206" s="1266"/>
      <c r="AI206" s="1266"/>
      <c r="AJ206" s="1266"/>
      <c r="AK206" s="1266"/>
      <c r="AL206" s="1185">
        <v>1</v>
      </c>
      <c r="AM206" s="709"/>
      <c r="AN206" s="709"/>
    </row>
    <row r="207" spans="1:40" customFormat="1" ht="30" customHeight="1">
      <c r="A207" s="1266"/>
      <c r="B207" s="1266"/>
      <c r="C207" s="1266"/>
      <c r="D207" s="1314" t="s">
        <v>2743</v>
      </c>
      <c r="E207" s="1311"/>
      <c r="F207" s="1311"/>
      <c r="G207" s="1311"/>
      <c r="H207" s="1311"/>
      <c r="I207" s="1311"/>
      <c r="J207" s="1311"/>
      <c r="K207" s="1311"/>
      <c r="L207" s="1311"/>
      <c r="M207" s="1311"/>
      <c r="N207" s="1311"/>
      <c r="O207" s="1266"/>
      <c r="P207" s="1266"/>
      <c r="Q207" s="1266"/>
      <c r="R207" s="1266"/>
      <c r="S207" s="1266"/>
      <c r="T207" s="1266"/>
      <c r="U207" s="1266"/>
      <c r="V207" s="1266"/>
      <c r="W207" s="1266"/>
      <c r="X207" s="1266"/>
      <c r="Y207" s="1266"/>
      <c r="Z207" s="1266"/>
      <c r="AA207" s="1266"/>
      <c r="AB207" s="1266"/>
      <c r="AC207" s="1266"/>
      <c r="AD207" s="1266"/>
      <c r="AE207" s="1266"/>
      <c r="AF207" s="1266"/>
      <c r="AG207" s="1266"/>
      <c r="AH207" s="1266"/>
      <c r="AI207" s="1266"/>
      <c r="AJ207" s="1266"/>
      <c r="AK207" s="1266"/>
      <c r="AL207" s="1185">
        <v>1</v>
      </c>
      <c r="AM207" s="709"/>
      <c r="AN207" s="709"/>
    </row>
    <row r="208" spans="1:40" customFormat="1" ht="30" customHeight="1">
      <c r="A208" s="1266"/>
      <c r="B208" s="1266"/>
      <c r="C208" s="1266"/>
      <c r="D208" s="1266"/>
      <c r="E208" s="1266"/>
      <c r="F208" s="1266"/>
      <c r="G208" s="1266"/>
      <c r="H208" s="1266"/>
      <c r="I208" s="1266"/>
      <c r="J208" s="1266"/>
      <c r="K208" s="1266"/>
      <c r="L208" s="1266"/>
      <c r="M208" s="1266"/>
      <c r="N208" s="1266"/>
      <c r="O208" s="1266"/>
      <c r="P208" s="1266"/>
      <c r="Q208" s="1266"/>
      <c r="R208" s="1266"/>
      <c r="S208" s="1266"/>
      <c r="T208" s="1266"/>
      <c r="U208" s="1266"/>
      <c r="V208" s="1266"/>
      <c r="W208" s="1266"/>
      <c r="X208" s="1266"/>
      <c r="Y208" s="1266"/>
      <c r="Z208" s="1266"/>
      <c r="AA208" s="1266"/>
      <c r="AB208" s="1266"/>
      <c r="AC208" s="1266"/>
      <c r="AD208" s="1266"/>
      <c r="AE208" s="1266"/>
      <c r="AF208" s="1266"/>
      <c r="AG208" s="1266"/>
      <c r="AH208" s="1266"/>
      <c r="AI208" s="1266"/>
      <c r="AJ208" s="1266"/>
      <c r="AK208" s="1266"/>
      <c r="AL208" s="1185">
        <v>1</v>
      </c>
      <c r="AM208" s="709"/>
      <c r="AN208" s="709"/>
    </row>
    <row r="209" spans="1:40" customFormat="1" ht="30" customHeight="1">
      <c r="A209" s="1266"/>
      <c r="B209" s="1266"/>
      <c r="C209" s="1266"/>
      <c r="D209" s="1315" t="s">
        <v>3146</v>
      </c>
      <c r="E209" s="1315"/>
      <c r="F209" s="1315"/>
      <c r="G209" s="1315"/>
      <c r="H209" s="1315"/>
      <c r="I209" s="1315"/>
      <c r="J209" s="1315"/>
      <c r="K209" s="1315"/>
      <c r="L209" s="1315"/>
      <c r="M209" s="1315"/>
      <c r="N209" s="1315"/>
      <c r="O209" s="1266"/>
      <c r="P209" s="1266"/>
      <c r="Q209" s="1266"/>
      <c r="R209" s="1266"/>
      <c r="S209" s="1266"/>
      <c r="T209" s="1266"/>
      <c r="U209" s="1266"/>
      <c r="V209" s="1266"/>
      <c r="W209" s="1266"/>
      <c r="X209" s="1266"/>
      <c r="Y209" s="1266"/>
      <c r="Z209" s="1266"/>
      <c r="AA209" s="1266"/>
      <c r="AB209" s="1266"/>
      <c r="AC209" s="1266"/>
      <c r="AD209" s="1266"/>
      <c r="AE209" s="1266"/>
      <c r="AF209" s="1266"/>
      <c r="AG209" s="1266"/>
      <c r="AH209" s="1266"/>
      <c r="AI209" s="1266"/>
      <c r="AJ209" s="1266"/>
      <c r="AK209" s="1266"/>
      <c r="AL209" s="1185">
        <v>1</v>
      </c>
      <c r="AM209" s="709"/>
      <c r="AN209" s="709"/>
    </row>
    <row r="210" spans="1:40" customFormat="1" ht="30" customHeight="1">
      <c r="A210" s="1266"/>
      <c r="B210" s="1266"/>
      <c r="C210" s="1266"/>
      <c r="D210" s="1315" t="s">
        <v>3147</v>
      </c>
      <c r="E210" s="1315"/>
      <c r="F210" s="1315"/>
      <c r="G210" s="1315"/>
      <c r="H210" s="1315"/>
      <c r="I210" s="1315"/>
      <c r="J210" s="1315"/>
      <c r="K210" s="1315"/>
      <c r="L210" s="1315"/>
      <c r="M210" s="1315"/>
      <c r="N210" s="1315"/>
      <c r="O210" s="1266"/>
      <c r="P210" s="1266"/>
      <c r="Q210" s="1266"/>
      <c r="R210" s="1266"/>
      <c r="S210" s="1266"/>
      <c r="T210" s="1266"/>
      <c r="U210" s="1266"/>
      <c r="V210" s="1266"/>
      <c r="W210" s="1266"/>
      <c r="X210" s="1266"/>
      <c r="Y210" s="1266"/>
      <c r="Z210" s="1266"/>
      <c r="AA210" s="1266"/>
      <c r="AB210" s="1266"/>
      <c r="AC210" s="1266"/>
      <c r="AD210" s="1266"/>
      <c r="AE210" s="1266"/>
      <c r="AF210" s="1266"/>
      <c r="AG210" s="1266"/>
      <c r="AH210" s="1266"/>
      <c r="AI210" s="1266"/>
      <c r="AJ210" s="1266"/>
      <c r="AK210" s="1266"/>
      <c r="AL210" s="1185">
        <v>1</v>
      </c>
      <c r="AM210" s="709"/>
      <c r="AN210" s="709"/>
    </row>
    <row r="211" spans="1:40" customFormat="1" ht="30" customHeight="1">
      <c r="A211" s="1266"/>
      <c r="B211" s="1266"/>
      <c r="C211" s="1266"/>
      <c r="D211" s="1315" t="s">
        <v>3148</v>
      </c>
      <c r="E211" s="1315"/>
      <c r="F211" s="1315"/>
      <c r="G211" s="1315"/>
      <c r="H211" s="1315"/>
      <c r="I211" s="1315"/>
      <c r="J211" s="1315"/>
      <c r="K211" s="1315"/>
      <c r="L211" s="1315"/>
      <c r="M211" s="1315"/>
      <c r="N211" s="1315"/>
      <c r="O211" s="1266"/>
      <c r="P211" s="1266"/>
      <c r="Q211" s="1266"/>
      <c r="R211" s="1266"/>
      <c r="S211" s="1266"/>
      <c r="T211" s="1266"/>
      <c r="U211" s="1266"/>
      <c r="V211" s="1266"/>
      <c r="W211" s="1266"/>
      <c r="X211" s="1266"/>
      <c r="Y211" s="1266"/>
      <c r="Z211" s="1266"/>
      <c r="AA211" s="1266"/>
      <c r="AB211" s="1266"/>
      <c r="AC211" s="1266"/>
      <c r="AD211" s="1266"/>
      <c r="AE211" s="1266"/>
      <c r="AF211" s="1266"/>
      <c r="AG211" s="1266"/>
      <c r="AH211" s="1266"/>
      <c r="AI211" s="1266"/>
      <c r="AJ211" s="1266"/>
      <c r="AK211" s="1266"/>
      <c r="AL211" s="1185">
        <v>1</v>
      </c>
      <c r="AM211" s="709"/>
      <c r="AN211" s="709"/>
    </row>
    <row r="212" spans="1:40" customFormat="1" ht="30" customHeight="1">
      <c r="A212" s="1266"/>
      <c r="B212" s="1266"/>
      <c r="C212" s="1266"/>
      <c r="D212" s="1315" t="s">
        <v>3149</v>
      </c>
      <c r="E212" s="1315"/>
      <c r="F212" s="1315"/>
      <c r="G212" s="1315"/>
      <c r="H212" s="1315"/>
      <c r="I212" s="1315"/>
      <c r="J212" s="1315"/>
      <c r="K212" s="1315"/>
      <c r="L212" s="1315"/>
      <c r="M212" s="1315"/>
      <c r="N212" s="1315"/>
      <c r="O212" s="1266"/>
      <c r="P212" s="1266"/>
      <c r="Q212" s="1266"/>
      <c r="R212" s="1266"/>
      <c r="S212" s="1266"/>
      <c r="T212" s="1266"/>
      <c r="U212" s="1266"/>
      <c r="V212" s="1266"/>
      <c r="W212" s="1266"/>
      <c r="X212" s="1266"/>
      <c r="Y212" s="1266"/>
      <c r="Z212" s="1266"/>
      <c r="AA212" s="1266"/>
      <c r="AB212" s="1266"/>
      <c r="AC212" s="1266"/>
      <c r="AD212" s="1266"/>
      <c r="AE212" s="1266"/>
      <c r="AF212" s="1266"/>
      <c r="AG212" s="1266"/>
      <c r="AH212" s="1266"/>
      <c r="AI212" s="1266"/>
      <c r="AJ212" s="1266"/>
      <c r="AK212" s="1266"/>
      <c r="AL212" s="1185">
        <v>1</v>
      </c>
      <c r="AM212" s="709"/>
      <c r="AN212" s="709"/>
    </row>
    <row r="213" spans="1:40" customFormat="1" ht="30" customHeight="1">
      <c r="A213" s="1266"/>
      <c r="B213" s="1266"/>
      <c r="C213" s="1266"/>
      <c r="D213" s="1315"/>
      <c r="E213" s="1315"/>
      <c r="F213" s="1315"/>
      <c r="G213" s="1315"/>
      <c r="H213" s="1315"/>
      <c r="I213" s="1315"/>
      <c r="J213" s="1315"/>
      <c r="K213" s="1315"/>
      <c r="L213" s="1315"/>
      <c r="M213" s="1315"/>
      <c r="N213" s="1315"/>
      <c r="O213" s="1266"/>
      <c r="P213" s="1266"/>
      <c r="Q213" s="1266"/>
      <c r="R213" s="1266"/>
      <c r="S213" s="1266"/>
      <c r="T213" s="1266"/>
      <c r="U213" s="1266"/>
      <c r="V213" s="1266"/>
      <c r="W213" s="1266"/>
      <c r="X213" s="1266"/>
      <c r="Y213" s="1266"/>
      <c r="Z213" s="1266"/>
      <c r="AA213" s="1266"/>
      <c r="AB213" s="1266"/>
      <c r="AC213" s="1266"/>
      <c r="AD213" s="1266"/>
      <c r="AE213" s="1266"/>
      <c r="AF213" s="1266"/>
      <c r="AG213" s="1266"/>
      <c r="AH213" s="1266"/>
      <c r="AI213" s="1266"/>
      <c r="AJ213" s="1266"/>
      <c r="AK213" s="1266"/>
      <c r="AL213" s="1185">
        <v>1</v>
      </c>
      <c r="AM213" s="709"/>
      <c r="AN213" s="709"/>
    </row>
    <row r="214" spans="1:40" customFormat="1" ht="30" customHeight="1" thickBot="1">
      <c r="A214" s="1266"/>
      <c r="B214" s="1266"/>
      <c r="C214" s="1266"/>
      <c r="D214" s="1266"/>
      <c r="E214" s="1266"/>
      <c r="F214" s="1266"/>
      <c r="G214" s="1266"/>
      <c r="H214" s="1266"/>
      <c r="I214" s="1266"/>
      <c r="J214" s="1266"/>
      <c r="K214" s="1266"/>
      <c r="L214" s="1266"/>
      <c r="M214" s="1266"/>
      <c r="N214" s="1266"/>
      <c r="O214" s="1266"/>
      <c r="P214" s="1266"/>
      <c r="Q214" s="1266"/>
      <c r="R214" s="1266"/>
      <c r="S214" s="1266"/>
      <c r="T214" s="1266"/>
      <c r="U214" s="1266"/>
      <c r="V214" s="1266"/>
      <c r="W214" s="1266"/>
      <c r="X214" s="1266"/>
      <c r="Y214" s="1266"/>
      <c r="Z214" s="1266"/>
      <c r="AA214" s="1266"/>
      <c r="AB214" s="1266"/>
      <c r="AC214" s="1266"/>
      <c r="AD214" s="1266"/>
      <c r="AE214" s="1266"/>
      <c r="AF214" s="1266"/>
      <c r="AG214" s="1266"/>
      <c r="AH214" s="1266"/>
      <c r="AI214" s="1266"/>
      <c r="AJ214" s="1266"/>
      <c r="AK214" s="1266"/>
      <c r="AL214" s="1185">
        <v>1</v>
      </c>
      <c r="AM214" s="709"/>
      <c r="AN214" s="709"/>
    </row>
    <row r="215" spans="1:40" s="1321" customFormat="1" ht="30" customHeight="1">
      <c r="A215" s="1316"/>
      <c r="B215" s="1266"/>
      <c r="C215" s="1266"/>
      <c r="D215" s="5399" t="s">
        <v>3150</v>
      </c>
      <c r="E215" s="5400"/>
      <c r="F215" s="5400"/>
      <c r="G215" s="5400"/>
      <c r="H215" s="5400"/>
      <c r="I215" s="5400"/>
      <c r="J215" s="5400"/>
      <c r="K215" s="1451"/>
      <c r="L215" s="1317"/>
      <c r="M215" s="1266"/>
      <c r="N215" s="1266"/>
      <c r="O215" s="1266"/>
      <c r="P215" s="1318" t="s">
        <v>3154</v>
      </c>
      <c r="Q215" s="1319"/>
      <c r="R215" s="1319"/>
      <c r="S215" s="1319"/>
      <c r="T215" s="1319"/>
      <c r="U215" s="1319"/>
      <c r="V215" s="1319"/>
      <c r="W215" s="1320"/>
      <c r="X215" s="1266"/>
      <c r="Y215" s="1266"/>
      <c r="Z215" s="1266"/>
      <c r="AA215" s="1266"/>
      <c r="AB215" s="1266"/>
      <c r="AC215" s="1266"/>
      <c r="AD215" s="1266"/>
      <c r="AE215" s="1266"/>
      <c r="AF215" s="1266"/>
      <c r="AG215" s="1266"/>
      <c r="AH215" s="1266"/>
      <c r="AI215" s="1266"/>
      <c r="AJ215" s="1266"/>
      <c r="AK215" s="1266"/>
      <c r="AL215" s="1185">
        <v>1</v>
      </c>
      <c r="AM215" s="709"/>
      <c r="AN215" s="709"/>
    </row>
    <row r="216" spans="1:40" s="1321" customFormat="1" ht="30" customHeight="1">
      <c r="A216" s="1316"/>
      <c r="B216" s="1266"/>
      <c r="C216" s="1266"/>
      <c r="D216" s="1322" t="s">
        <v>3250</v>
      </c>
      <c r="E216" s="1323"/>
      <c r="F216" s="1323"/>
      <c r="G216" s="1323"/>
      <c r="H216" s="1323"/>
      <c r="I216" s="1323"/>
      <c r="J216" s="1323"/>
      <c r="K216" s="9"/>
      <c r="L216" s="41"/>
      <c r="M216" s="1266"/>
      <c r="N216" s="1266"/>
      <c r="O216" s="1266"/>
      <c r="P216" s="1324" t="s">
        <v>3155</v>
      </c>
      <c r="Q216" s="1325"/>
      <c r="R216" s="1325"/>
      <c r="S216" s="1325"/>
      <c r="T216" s="1325"/>
      <c r="U216" s="1325"/>
      <c r="V216" s="1325"/>
      <c r="W216" s="1326"/>
      <c r="X216" s="1266"/>
      <c r="Y216" s="1266"/>
      <c r="Z216" s="1266"/>
      <c r="AA216" s="1266"/>
      <c r="AB216" s="1266"/>
      <c r="AC216" s="1266"/>
      <c r="AD216" s="1266"/>
      <c r="AE216" s="1266"/>
      <c r="AF216" s="1266"/>
      <c r="AG216" s="1266"/>
      <c r="AH216" s="1266"/>
      <c r="AI216" s="1266"/>
      <c r="AJ216" s="1266"/>
      <c r="AK216" s="1266"/>
      <c r="AL216" s="1185">
        <v>1</v>
      </c>
      <c r="AM216" s="709"/>
      <c r="AN216" s="709"/>
    </row>
    <row r="217" spans="1:40" s="1321" customFormat="1" ht="30" customHeight="1">
      <c r="A217" s="1316"/>
      <c r="B217" s="1266"/>
      <c r="C217" s="1266"/>
      <c r="D217" s="1322"/>
      <c r="E217" s="1327"/>
      <c r="F217" s="1327"/>
      <c r="G217" s="1327"/>
      <c r="H217" s="1327"/>
      <c r="I217" s="1327"/>
      <c r="J217" s="1327"/>
      <c r="K217" s="1327"/>
      <c r="L217" s="1328"/>
      <c r="M217" s="1266"/>
      <c r="N217" s="1266"/>
      <c r="O217" s="1266"/>
      <c r="P217" s="1329"/>
      <c r="Q217" s="1330"/>
      <c r="R217" s="1330"/>
      <c r="S217" s="1330"/>
      <c r="T217" s="1330"/>
      <c r="U217" s="1330"/>
      <c r="V217" s="1330"/>
      <c r="W217" s="1331"/>
      <c r="X217" s="1266"/>
      <c r="Y217" s="1266"/>
      <c r="Z217" s="1266"/>
      <c r="AA217" s="1266"/>
      <c r="AB217" s="1266"/>
      <c r="AC217" s="1266"/>
      <c r="AD217" s="1266"/>
      <c r="AE217" s="1266"/>
      <c r="AF217" s="1266"/>
      <c r="AG217" s="1266"/>
      <c r="AH217" s="1266"/>
      <c r="AI217" s="1266"/>
      <c r="AJ217" s="1266"/>
      <c r="AK217" s="1266"/>
      <c r="AL217" s="1185">
        <v>1</v>
      </c>
      <c r="AM217" s="709"/>
      <c r="AN217" s="709"/>
    </row>
    <row r="218" spans="1:40" s="1321" customFormat="1" ht="30" customHeight="1">
      <c r="A218" s="1316"/>
      <c r="B218" s="1266"/>
      <c r="C218" s="1266"/>
      <c r="D218" s="1322"/>
      <c r="E218" s="1452" t="s">
        <v>3260</v>
      </c>
      <c r="F218" s="1327"/>
      <c r="G218" s="1327"/>
      <c r="H218" s="1327"/>
      <c r="I218" s="1327"/>
      <c r="J218" s="1327"/>
      <c r="K218" s="1327"/>
      <c r="L218" s="1328"/>
      <c r="M218" s="1266"/>
      <c r="N218" s="1266"/>
      <c r="O218" s="1266"/>
      <c r="P218" s="1329"/>
      <c r="Q218" s="1330"/>
      <c r="R218" s="1330"/>
      <c r="S218" s="1330"/>
      <c r="T218" s="1330"/>
      <c r="U218" s="1330"/>
      <c r="V218" s="1330"/>
      <c r="W218" s="1331"/>
      <c r="X218" s="1266"/>
      <c r="Y218" s="1266"/>
      <c r="Z218" s="1266"/>
      <c r="AA218" s="1266"/>
      <c r="AB218" s="1266"/>
      <c r="AC218" s="1266"/>
      <c r="AD218" s="1266"/>
      <c r="AE218" s="1266"/>
      <c r="AF218" s="1266"/>
      <c r="AG218" s="1266"/>
      <c r="AH218" s="1266"/>
      <c r="AI218" s="1266"/>
      <c r="AJ218" s="1266"/>
      <c r="AK218" s="1266"/>
      <c r="AL218" s="1185">
        <v>1</v>
      </c>
      <c r="AM218" s="709"/>
      <c r="AN218" s="709"/>
    </row>
    <row r="219" spans="1:40" s="1321" customFormat="1" ht="30" customHeight="1">
      <c r="A219" s="1316"/>
      <c r="B219" s="1266"/>
      <c r="C219" s="1266"/>
      <c r="D219" s="1322" t="s">
        <v>3251</v>
      </c>
      <c r="E219" s="1327"/>
      <c r="F219" s="1327"/>
      <c r="G219" s="1327"/>
      <c r="H219" s="1327"/>
      <c r="I219" s="1327"/>
      <c r="J219" s="1327"/>
      <c r="K219" s="1327"/>
      <c r="L219" s="1328"/>
      <c r="M219" s="1266"/>
      <c r="N219" s="1266"/>
      <c r="O219" s="1266"/>
      <c r="P219" s="495"/>
      <c r="Q219" s="9"/>
      <c r="R219" s="9"/>
      <c r="S219" s="9"/>
      <c r="T219" s="9"/>
      <c r="U219" s="9"/>
      <c r="V219" s="9"/>
      <c r="W219" s="41"/>
      <c r="X219" s="1266"/>
      <c r="Y219" s="1266"/>
      <c r="Z219" s="1266"/>
      <c r="AA219" s="1266"/>
      <c r="AB219" s="1266"/>
      <c r="AC219" s="1266"/>
      <c r="AD219" s="1266"/>
      <c r="AE219" s="1266"/>
      <c r="AF219" s="1266"/>
      <c r="AG219" s="1266"/>
      <c r="AH219" s="1266"/>
      <c r="AI219" s="1266"/>
      <c r="AJ219" s="1266"/>
      <c r="AK219" s="1266"/>
      <c r="AL219" s="1185">
        <v>1</v>
      </c>
      <c r="AM219" s="709"/>
      <c r="AN219" s="709"/>
    </row>
    <row r="220" spans="1:40" s="1321" customFormat="1" ht="30" customHeight="1">
      <c r="A220" s="1316"/>
      <c r="B220" s="1266"/>
      <c r="C220" s="1266"/>
      <c r="D220" s="1322"/>
      <c r="E220" s="1332"/>
      <c r="F220" s="1332"/>
      <c r="G220" s="1332"/>
      <c r="H220" s="1332"/>
      <c r="I220" s="1452" t="s">
        <v>3261</v>
      </c>
      <c r="J220" s="1333"/>
      <c r="K220" s="9"/>
      <c r="L220" s="41"/>
      <c r="M220" s="1266"/>
      <c r="N220" s="1266"/>
      <c r="O220" s="1266"/>
      <c r="P220" s="495"/>
      <c r="Q220" s="9"/>
      <c r="R220" s="9"/>
      <c r="S220" s="9"/>
      <c r="T220" s="9"/>
      <c r="U220" s="9"/>
      <c r="V220" s="9"/>
      <c r="W220" s="41"/>
      <c r="X220" s="1266"/>
      <c r="Y220" s="1266"/>
      <c r="Z220" s="1266"/>
      <c r="AA220" s="1266"/>
      <c r="AB220" s="1266"/>
      <c r="AC220" s="1266"/>
      <c r="AD220" s="1266"/>
      <c r="AE220" s="1266"/>
      <c r="AF220" s="1266"/>
      <c r="AG220" s="1266"/>
      <c r="AH220" s="1266"/>
      <c r="AI220" s="1266"/>
      <c r="AJ220" s="1266"/>
      <c r="AK220" s="1266"/>
      <c r="AL220" s="1185">
        <v>1</v>
      </c>
      <c r="AM220" s="709"/>
      <c r="AN220" s="709"/>
    </row>
    <row r="221" spans="1:40" s="1321" customFormat="1" ht="30" customHeight="1">
      <c r="A221" s="1316"/>
      <c r="B221" s="1266"/>
      <c r="C221" s="1266"/>
      <c r="D221" s="1322"/>
      <c r="E221" s="1332"/>
      <c r="F221" s="1332"/>
      <c r="G221" s="1332"/>
      <c r="H221" s="1332"/>
      <c r="I221" s="1452" t="s">
        <v>3262</v>
      </c>
      <c r="J221" s="1333"/>
      <c r="K221" s="9"/>
      <c r="L221" s="41"/>
      <c r="M221" s="1266"/>
      <c r="N221" s="1266"/>
      <c r="O221" s="1266"/>
      <c r="P221" s="495"/>
      <c r="Q221" s="9"/>
      <c r="R221" s="9"/>
      <c r="S221" s="9"/>
      <c r="T221" s="9"/>
      <c r="U221" s="9"/>
      <c r="V221" s="9"/>
      <c r="W221" s="41"/>
      <c r="X221" s="1266"/>
      <c r="Y221" s="1266"/>
      <c r="Z221" s="1266"/>
      <c r="AA221" s="1266"/>
      <c r="AB221" s="1266"/>
      <c r="AC221" s="1266"/>
      <c r="AD221" s="1266"/>
      <c r="AE221" s="1266"/>
      <c r="AF221" s="1266"/>
      <c r="AG221" s="1266"/>
      <c r="AH221" s="1266"/>
      <c r="AI221" s="1266"/>
      <c r="AJ221" s="1266"/>
      <c r="AK221" s="1266"/>
      <c r="AL221" s="1185">
        <v>1</v>
      </c>
      <c r="AM221" s="709"/>
      <c r="AN221" s="709"/>
    </row>
    <row r="222" spans="1:40" s="1321" customFormat="1" ht="30" customHeight="1">
      <c r="A222" s="1316"/>
      <c r="B222" s="1266"/>
      <c r="C222" s="1266"/>
      <c r="D222" s="1322"/>
      <c r="E222" s="1332"/>
      <c r="F222" s="1332"/>
      <c r="G222" s="1332"/>
      <c r="H222" s="1332"/>
      <c r="I222" s="1452" t="s">
        <v>3263</v>
      </c>
      <c r="J222" s="1333"/>
      <c r="K222" s="9"/>
      <c r="L222" s="41"/>
      <c r="M222" s="1266"/>
      <c r="N222" s="1266"/>
      <c r="O222" s="1266"/>
      <c r="P222" s="495"/>
      <c r="Q222" s="9"/>
      <c r="R222" s="9"/>
      <c r="S222" s="9"/>
      <c r="T222" s="9"/>
      <c r="U222" s="9"/>
      <c r="V222" s="9"/>
      <c r="W222" s="41"/>
      <c r="X222" s="1266"/>
      <c r="Y222" s="1266"/>
      <c r="Z222" s="1266"/>
      <c r="AA222" s="1266"/>
      <c r="AB222" s="1266"/>
      <c r="AC222" s="1266"/>
      <c r="AD222" s="1266"/>
      <c r="AE222" s="1266"/>
      <c r="AF222" s="1266"/>
      <c r="AG222" s="1266"/>
      <c r="AH222" s="1266"/>
      <c r="AI222" s="1266"/>
      <c r="AJ222" s="1266"/>
      <c r="AK222" s="1266"/>
      <c r="AL222" s="1185">
        <v>1</v>
      </c>
      <c r="AM222" s="709"/>
      <c r="AN222" s="709"/>
    </row>
    <row r="223" spans="1:40" s="1321" customFormat="1" ht="30" customHeight="1">
      <c r="A223" s="1316"/>
      <c r="B223" s="1266"/>
      <c r="C223" s="1266"/>
      <c r="D223" s="5401" t="s">
        <v>3252</v>
      </c>
      <c r="E223" s="5402"/>
      <c r="F223" s="5402"/>
      <c r="G223" s="5402"/>
      <c r="H223" s="5402"/>
      <c r="I223" s="5402"/>
      <c r="J223" s="5402"/>
      <c r="K223" s="5402"/>
      <c r="L223" s="41"/>
      <c r="M223" s="1266"/>
      <c r="N223" s="1266"/>
      <c r="O223" s="1266"/>
      <c r="P223" s="495"/>
      <c r="Q223" s="9"/>
      <c r="R223" s="9"/>
      <c r="S223" s="9"/>
      <c r="T223" s="9"/>
      <c r="U223" s="9"/>
      <c r="V223" s="9"/>
      <c r="W223" s="41"/>
      <c r="X223" s="1266"/>
      <c r="Y223" s="1266"/>
      <c r="Z223" s="1183"/>
      <c r="AA223" s="1183"/>
      <c r="AB223" s="1183"/>
      <c r="AC223" s="1183"/>
      <c r="AD223" s="1183"/>
      <c r="AE223" s="1183"/>
      <c r="AF223" s="1183"/>
      <c r="AG223" s="1183"/>
      <c r="AH223" s="1183"/>
      <c r="AI223" s="1183"/>
      <c r="AJ223" s="1183"/>
      <c r="AK223" s="1183"/>
      <c r="AL223" s="1185">
        <v>1</v>
      </c>
      <c r="AM223" s="709"/>
      <c r="AN223" s="709"/>
    </row>
    <row r="224" spans="1:40" s="1321" customFormat="1" ht="30" customHeight="1" thickBot="1">
      <c r="A224" s="1316"/>
      <c r="B224" s="1266"/>
      <c r="C224" s="1266"/>
      <c r="D224" s="5404"/>
      <c r="E224" s="5405"/>
      <c r="F224" s="5405"/>
      <c r="G224" s="5405"/>
      <c r="H224" s="5405"/>
      <c r="I224" s="5405"/>
      <c r="J224" s="5405"/>
      <c r="K224" s="5405"/>
      <c r="L224" s="1336"/>
      <c r="M224" s="1266"/>
      <c r="N224" s="1266"/>
      <c r="O224" s="1266"/>
      <c r="P224" s="1334"/>
      <c r="Q224" s="1335"/>
      <c r="R224" s="1335"/>
      <c r="S224" s="1335"/>
      <c r="T224" s="1335"/>
      <c r="U224" s="1335"/>
      <c r="V224" s="1335"/>
      <c r="W224" s="1336"/>
      <c r="X224" s="1266"/>
      <c r="Y224" s="1266"/>
      <c r="Z224" s="1282"/>
      <c r="AA224" s="1282"/>
      <c r="AB224" s="1282"/>
      <c r="AC224" s="1282"/>
      <c r="AD224" s="1282"/>
      <c r="AE224" s="1282"/>
      <c r="AF224" s="1282"/>
      <c r="AG224" s="1282"/>
      <c r="AH224" s="1283"/>
      <c r="AI224" s="1283"/>
      <c r="AJ224" s="1183"/>
      <c r="AK224" s="1183"/>
      <c r="AL224" s="1185">
        <v>1</v>
      </c>
      <c r="AM224" s="709"/>
      <c r="AN224" s="709"/>
    </row>
    <row r="225" spans="1:40">
      <c r="A225" s="1181"/>
      <c r="B225" s="1266"/>
      <c r="C225" s="1266"/>
      <c r="D225" s="1266"/>
      <c r="E225" s="1266"/>
      <c r="F225" s="1266"/>
      <c r="G225" s="1266"/>
      <c r="H225" s="1266"/>
      <c r="I225" s="1266"/>
      <c r="J225" s="1266"/>
      <c r="K225" s="1266"/>
      <c r="L225" s="1266"/>
      <c r="M225" s="1266"/>
      <c r="N225" s="1266"/>
      <c r="O225" s="1266"/>
      <c r="P225" s="1266"/>
      <c r="Q225" s="1266"/>
      <c r="R225" s="1266"/>
      <c r="S225" s="1266"/>
      <c r="T225" s="1266"/>
      <c r="U225" s="1266"/>
      <c r="V225" s="1266"/>
      <c r="W225" s="1266"/>
      <c r="X225" s="1266"/>
      <c r="Y225" s="1266"/>
      <c r="Z225" s="1282"/>
      <c r="AA225" s="1282"/>
      <c r="AB225" s="1282"/>
      <c r="AC225" s="1282"/>
      <c r="AD225" s="1282"/>
      <c r="AE225" s="1282"/>
      <c r="AF225" s="1282"/>
      <c r="AG225" s="1282"/>
      <c r="AH225" s="1283"/>
      <c r="AI225" s="1283"/>
      <c r="AJ225" s="1183"/>
      <c r="AK225" s="1183"/>
      <c r="AL225" s="1185">
        <v>1</v>
      </c>
    </row>
    <row r="226" spans="1:40">
      <c r="A226" s="1181"/>
      <c r="B226" s="1266"/>
      <c r="C226" s="1181"/>
      <c r="D226" s="1181"/>
      <c r="E226" s="1181"/>
      <c r="F226" s="1181"/>
      <c r="G226" s="1181"/>
      <c r="H226" s="1181"/>
      <c r="I226" s="1181"/>
      <c r="J226" s="1181"/>
      <c r="K226" s="1181"/>
      <c r="L226" s="1181"/>
      <c r="M226" s="1181"/>
      <c r="N226" s="1181"/>
      <c r="O226" s="1181"/>
      <c r="P226" s="1181"/>
      <c r="Q226" s="1181"/>
      <c r="R226" s="1181"/>
      <c r="S226" s="1181"/>
      <c r="T226" s="1181"/>
      <c r="U226" s="1181"/>
      <c r="V226" s="1181"/>
      <c r="W226" s="1181"/>
      <c r="X226" s="1266"/>
      <c r="Y226" s="1266"/>
      <c r="Z226" s="1282"/>
      <c r="AA226" s="1282"/>
      <c r="AB226" s="1282"/>
      <c r="AC226" s="1282"/>
      <c r="AD226" s="1282"/>
      <c r="AE226" s="1282"/>
      <c r="AF226" s="1282"/>
      <c r="AG226" s="1282"/>
      <c r="AH226" s="1283"/>
      <c r="AI226" s="1283"/>
      <c r="AJ226" s="1183"/>
      <c r="AK226" s="1183"/>
      <c r="AL226" s="1185">
        <v>1</v>
      </c>
    </row>
    <row r="227" spans="1:40" customFormat="1" ht="30" customHeight="1">
      <c r="A227" s="1266">
        <v>1</v>
      </c>
      <c r="B227" s="1266">
        <v>1</v>
      </c>
      <c r="C227" s="5407" t="s">
        <v>208</v>
      </c>
      <c r="D227" s="5407"/>
      <c r="E227" s="1337" t="str">
        <f ca="1">CELL("nomfichier")</f>
        <v>D:\Données\1.UPRT\0-UPRT.fait\1-UPRT.FR-SITE-WEB\ff-fiches-fabrications\ff.fiches.fabrication.2023\ffr.restaurant.2023\[ff.FICHE.TRILINGUE.15.COLONNES.29.11.2025.xlsx]Notice.utilisateur</v>
      </c>
      <c r="F227" s="1338"/>
      <c r="G227" s="1338"/>
      <c r="H227" s="1338"/>
      <c r="I227" s="1338"/>
      <c r="J227" s="1339"/>
      <c r="K227" s="1338"/>
      <c r="L227" s="1338"/>
      <c r="M227" s="1338"/>
      <c r="N227" s="1338"/>
      <c r="O227" s="1338"/>
      <c r="P227" s="1338"/>
      <c r="Q227" s="1338"/>
      <c r="R227" s="1338"/>
      <c r="S227" s="1338"/>
      <c r="T227" s="1338"/>
      <c r="U227" s="1338"/>
      <c r="V227" s="1338"/>
      <c r="W227" s="1338"/>
      <c r="X227" s="1338"/>
      <c r="Y227" s="1266"/>
      <c r="Z227" s="1282"/>
      <c r="AA227" s="1282"/>
      <c r="AB227" s="1282"/>
      <c r="AC227" s="1282"/>
      <c r="AD227" s="1282"/>
      <c r="AE227" s="1282"/>
      <c r="AF227" s="1282"/>
      <c r="AG227" s="1282"/>
      <c r="AH227" s="1283"/>
      <c r="AI227" s="1283"/>
      <c r="AJ227" s="1183"/>
      <c r="AK227" s="1183"/>
      <c r="AL227" s="1185">
        <v>1</v>
      </c>
      <c r="AM227" s="709"/>
      <c r="AN227" s="709"/>
    </row>
    <row r="228" spans="1:40">
      <c r="A228" s="1181"/>
      <c r="B228" s="1181"/>
      <c r="C228" s="1181"/>
      <c r="D228" s="1181"/>
      <c r="E228" s="1181"/>
      <c r="F228" s="1181"/>
      <c r="G228" s="1181"/>
      <c r="H228" s="1181"/>
      <c r="I228" s="1181"/>
      <c r="J228" s="1181"/>
      <c r="K228" s="1181"/>
      <c r="L228" s="1181"/>
      <c r="M228" s="1181"/>
      <c r="N228" s="1181"/>
      <c r="O228" s="1181"/>
      <c r="P228" s="1181"/>
      <c r="Q228" s="1181"/>
      <c r="R228" s="1181"/>
      <c r="S228" s="1181"/>
      <c r="T228" s="1181"/>
      <c r="U228" s="1181"/>
      <c r="V228" s="1181"/>
      <c r="W228" s="1181"/>
      <c r="X228" s="1181"/>
      <c r="Y228" s="1181"/>
      <c r="Z228" s="1282"/>
      <c r="AA228" s="1282"/>
      <c r="AB228" s="1282"/>
      <c r="AC228" s="1282"/>
      <c r="AD228" s="1282"/>
      <c r="AE228" s="1282"/>
      <c r="AF228" s="1282"/>
      <c r="AG228" s="1282"/>
      <c r="AH228" s="1283"/>
      <c r="AI228" s="1283"/>
      <c r="AJ228" s="1183"/>
      <c r="AK228" s="1183"/>
      <c r="AL228" s="1185">
        <v>1</v>
      </c>
    </row>
    <row r="229" spans="1:40" s="1244" customFormat="1" ht="40.5" customHeight="1">
      <c r="A229" s="1181"/>
      <c r="B229" s="1256"/>
      <c r="C229" s="1417" t="s">
        <v>3158</v>
      </c>
      <c r="D229" s="1417"/>
      <c r="E229" s="1417"/>
      <c r="F229" s="1417"/>
      <c r="G229" s="1417"/>
      <c r="H229" s="1417"/>
      <c r="I229" s="1417"/>
      <c r="J229" s="1417"/>
      <c r="K229" s="1417"/>
      <c r="L229" s="1417"/>
      <c r="M229" s="1181"/>
      <c r="N229" s="1181"/>
      <c r="O229" s="1246"/>
      <c r="P229" s="1246"/>
      <c r="Q229" s="1246"/>
      <c r="R229" s="1246"/>
      <c r="S229" s="1246"/>
      <c r="T229" s="1183"/>
      <c r="U229" s="1183"/>
      <c r="V229" s="1183"/>
      <c r="W229" s="1183"/>
      <c r="X229" s="1183"/>
      <c r="Y229" s="1183"/>
      <c r="Z229" s="1183"/>
      <c r="AA229" s="1183"/>
      <c r="AB229" s="1183"/>
      <c r="AC229" s="1183"/>
      <c r="AD229" s="1183"/>
      <c r="AE229" s="1183"/>
      <c r="AF229" s="1183"/>
      <c r="AG229" s="1282"/>
      <c r="AH229" s="1283"/>
      <c r="AI229" s="1283"/>
      <c r="AJ229" s="1183"/>
      <c r="AK229" s="1183"/>
      <c r="AL229" s="1185">
        <v>1</v>
      </c>
      <c r="AM229" s="709"/>
      <c r="AN229" s="709"/>
    </row>
    <row r="230" spans="1:40" s="1244" customFormat="1" ht="40.5" customHeight="1">
      <c r="A230" s="1181"/>
      <c r="B230" s="1256"/>
      <c r="C230" s="1340" t="s">
        <v>873</v>
      </c>
      <c r="D230" s="1341"/>
      <c r="E230" s="1341"/>
      <c r="F230" s="1341"/>
      <c r="G230" s="1246"/>
      <c r="H230" s="1246"/>
      <c r="I230" s="1246"/>
      <c r="J230" s="1246"/>
      <c r="K230" s="1246"/>
      <c r="L230" s="1246"/>
      <c r="M230" s="1246"/>
      <c r="N230" s="1246"/>
      <c r="O230" s="1342" t="s">
        <v>3159</v>
      </c>
      <c r="P230" s="1246"/>
      <c r="Q230" s="1246"/>
      <c r="R230" s="1246"/>
      <c r="S230" s="1246"/>
      <c r="T230" s="1183"/>
      <c r="U230" s="1343"/>
      <c r="V230" s="1183"/>
      <c r="W230" s="1183"/>
      <c r="X230" s="1183"/>
      <c r="Y230" s="1183"/>
      <c r="Z230" s="1295"/>
      <c r="AA230" s="1183"/>
      <c r="AB230" s="1183"/>
      <c r="AC230" s="1183"/>
      <c r="AD230" s="1183"/>
      <c r="AE230" s="1183"/>
      <c r="AF230" s="1183"/>
      <c r="AG230" s="1282"/>
      <c r="AH230" s="1283"/>
      <c r="AI230" s="1283"/>
      <c r="AJ230" s="1183"/>
      <c r="AK230" s="1183"/>
      <c r="AL230" s="1185">
        <v>1</v>
      </c>
      <c r="AM230" s="709"/>
      <c r="AN230" s="709"/>
    </row>
    <row r="231" spans="1:40" s="1244" customFormat="1" ht="40.5" customHeight="1">
      <c r="A231" s="1181"/>
      <c r="B231" s="1256"/>
      <c r="C231" s="1344" t="s">
        <v>13504</v>
      </c>
      <c r="D231" s="1341"/>
      <c r="E231" s="1341"/>
      <c r="F231" s="1344" t="s">
        <v>13505</v>
      </c>
      <c r="G231" s="1343"/>
      <c r="H231" s="1345"/>
      <c r="I231" s="1341"/>
      <c r="J231" s="1341"/>
      <c r="K231" s="1181"/>
      <c r="L231" s="1181"/>
      <c r="M231" s="1181"/>
      <c r="N231" s="1181"/>
      <c r="O231" s="1344"/>
      <c r="P231" s="1246"/>
      <c r="Q231" s="1246"/>
      <c r="R231" s="1246"/>
      <c r="S231" s="1246"/>
      <c r="T231" s="1344"/>
      <c r="U231" s="1183"/>
      <c r="V231" s="1183"/>
      <c r="W231" s="1183"/>
      <c r="X231" s="1183"/>
      <c r="Y231" s="1183"/>
      <c r="Z231" s="1299"/>
      <c r="AA231" s="1183"/>
      <c r="AB231" s="1183"/>
      <c r="AC231" s="1183"/>
      <c r="AD231" s="1183"/>
      <c r="AE231" s="1183"/>
      <c r="AF231" s="1183"/>
      <c r="AG231" s="1282"/>
      <c r="AH231" s="1283"/>
      <c r="AI231" s="1283"/>
      <c r="AJ231" s="1183"/>
      <c r="AK231" s="1183"/>
      <c r="AL231" s="1185">
        <v>1</v>
      </c>
      <c r="AM231" s="709"/>
      <c r="AN231" s="709"/>
    </row>
    <row r="232" spans="1:40" s="1244" customFormat="1" ht="40.5" customHeight="1">
      <c r="A232" s="1181"/>
      <c r="B232" s="1256"/>
      <c r="C232" s="1346" t="s">
        <v>874</v>
      </c>
      <c r="D232" s="1341"/>
      <c r="E232" s="1341"/>
      <c r="F232" s="1341"/>
      <c r="G232" s="1343"/>
      <c r="H232" s="1345"/>
      <c r="I232" s="1341"/>
      <c r="J232" s="1341"/>
      <c r="K232" s="1181"/>
      <c r="L232" s="1181"/>
      <c r="M232" s="1181"/>
      <c r="N232" s="1181"/>
      <c r="O232" s="1246"/>
      <c r="P232" s="1246"/>
      <c r="Q232" s="1246"/>
      <c r="R232" s="1246"/>
      <c r="S232" s="1246"/>
      <c r="T232" s="1183"/>
      <c r="U232" s="1183"/>
      <c r="V232" s="1183"/>
      <c r="W232" s="1183"/>
      <c r="X232" s="1183"/>
      <c r="Y232" s="1183"/>
      <c r="Z232" s="1183"/>
      <c r="AA232" s="1183"/>
      <c r="AB232" s="1183"/>
      <c r="AC232" s="1183"/>
      <c r="AD232" s="1183"/>
      <c r="AE232" s="1183"/>
      <c r="AF232" s="1183"/>
      <c r="AG232" s="1282"/>
      <c r="AH232" s="1283"/>
      <c r="AI232" s="1283"/>
      <c r="AJ232" s="1183"/>
      <c r="AK232" s="1183"/>
      <c r="AL232" s="1185">
        <v>1</v>
      </c>
      <c r="AM232" s="709"/>
      <c r="AN232" s="709"/>
    </row>
    <row r="233" spans="1:40" s="1244" customFormat="1" ht="40.5" customHeight="1">
      <c r="A233" s="1181"/>
      <c r="B233" s="1256"/>
      <c r="C233" s="1347" t="s">
        <v>3165</v>
      </c>
      <c r="D233" s="1181"/>
      <c r="E233" s="1181"/>
      <c r="F233" s="1181"/>
      <c r="G233" s="1181"/>
      <c r="H233" s="1181"/>
      <c r="I233" s="1246"/>
      <c r="J233" s="1181"/>
      <c r="K233" s="1181"/>
      <c r="L233" s="1181"/>
      <c r="M233" s="1181"/>
      <c r="N233" s="1181"/>
      <c r="O233" s="1246"/>
      <c r="P233" s="1246"/>
      <c r="Q233" s="1246"/>
      <c r="R233" s="1246"/>
      <c r="S233" s="1246"/>
      <c r="T233" s="1183"/>
      <c r="U233" s="1183"/>
      <c r="V233" s="1276" t="s">
        <v>3164</v>
      </c>
      <c r="W233" s="1287"/>
      <c r="X233" s="1287"/>
      <c r="Y233" s="1287"/>
      <c r="Z233" s="1287"/>
      <c r="AA233" s="1287"/>
      <c r="AB233" s="1287"/>
      <c r="AC233" s="1183"/>
      <c r="AD233" s="1183"/>
      <c r="AE233" s="1183"/>
      <c r="AF233" s="1183"/>
      <c r="AG233" s="1282"/>
      <c r="AH233" s="1283"/>
      <c r="AI233" s="1283"/>
      <c r="AJ233" s="1183"/>
      <c r="AK233" s="1183"/>
      <c r="AL233" s="1185">
        <v>1</v>
      </c>
      <c r="AM233" s="709"/>
      <c r="AN233" s="709"/>
    </row>
    <row r="234" spans="1:40" s="1244" customFormat="1" ht="40.5" customHeight="1">
      <c r="A234" s="1181"/>
      <c r="B234" s="1256"/>
      <c r="C234" s="1347" t="s">
        <v>3166</v>
      </c>
      <c r="D234" s="1181"/>
      <c r="E234" s="1181"/>
      <c r="F234" s="1181"/>
      <c r="G234" s="1181"/>
      <c r="H234" s="1181"/>
      <c r="I234" s="1246"/>
      <c r="J234" s="1181"/>
      <c r="K234" s="1181"/>
      <c r="L234" s="1181"/>
      <c r="M234" s="1181"/>
      <c r="N234" s="1181"/>
      <c r="O234" s="1246"/>
      <c r="P234" s="1246"/>
      <c r="Q234" s="1246"/>
      <c r="R234" s="1246"/>
      <c r="S234" s="1246"/>
      <c r="T234" s="1183"/>
      <c r="U234" s="1183"/>
      <c r="V234" s="1348" t="s">
        <v>2757</v>
      </c>
      <c r="W234" s="1258"/>
      <c r="X234" s="1258"/>
      <c r="Y234" s="1258"/>
      <c r="Z234" s="1258"/>
      <c r="AA234" s="1258"/>
      <c r="AB234" s="1258"/>
      <c r="AC234" s="1183" t="s">
        <v>22</v>
      </c>
      <c r="AD234" s="1183"/>
      <c r="AE234" s="1183"/>
      <c r="AF234" s="1183"/>
      <c r="AG234" s="1282"/>
      <c r="AH234" s="1283"/>
      <c r="AI234" s="1283"/>
      <c r="AJ234" s="1183"/>
      <c r="AK234" s="1183"/>
      <c r="AL234" s="1185">
        <v>1</v>
      </c>
      <c r="AM234" s="709"/>
      <c r="AN234" s="709"/>
    </row>
    <row r="235" spans="1:40" s="1244" customFormat="1" ht="40.5" customHeight="1">
      <c r="A235" s="1181"/>
      <c r="B235" s="1256"/>
      <c r="C235" s="1349" t="s">
        <v>2758</v>
      </c>
      <c r="D235" s="1181"/>
      <c r="E235" s="1181"/>
      <c r="F235" s="1181"/>
      <c r="G235" s="1181"/>
      <c r="H235" s="1181"/>
      <c r="I235" s="1246"/>
      <c r="J235" s="1181"/>
      <c r="K235" s="1181"/>
      <c r="L235" s="1181"/>
      <c r="M235" s="1181"/>
      <c r="N235" s="1181"/>
      <c r="O235" s="1246"/>
      <c r="P235" s="1246"/>
      <c r="Q235" s="1246"/>
      <c r="R235" s="1246"/>
      <c r="S235" s="1246"/>
      <c r="T235" s="1183"/>
      <c r="U235" s="1183"/>
      <c r="V235" s="1183"/>
      <c r="W235" s="1183"/>
      <c r="X235" s="1183"/>
      <c r="Y235" s="1183"/>
      <c r="Z235" s="1183"/>
      <c r="AA235" s="1183"/>
      <c r="AB235" s="1183"/>
      <c r="AC235" s="1183"/>
      <c r="AD235" s="1183"/>
      <c r="AE235" s="1183"/>
      <c r="AF235" s="1183"/>
      <c r="AG235" s="1282"/>
      <c r="AH235" s="1283"/>
      <c r="AI235" s="1283"/>
      <c r="AJ235" s="1183"/>
      <c r="AK235" s="1183"/>
      <c r="AL235" s="1185">
        <v>1</v>
      </c>
      <c r="AM235" s="709"/>
      <c r="AN235" s="709"/>
    </row>
    <row r="236" spans="1:40" s="1244" customFormat="1" ht="40.5" customHeight="1">
      <c r="A236" s="1181"/>
      <c r="B236" s="1256"/>
      <c r="C236" s="1349" t="s">
        <v>2759</v>
      </c>
      <c r="D236" s="1181"/>
      <c r="E236" s="1181"/>
      <c r="F236" s="1181"/>
      <c r="G236" s="1181"/>
      <c r="H236" s="1181"/>
      <c r="I236" s="1246"/>
      <c r="J236" s="1181"/>
      <c r="K236" s="1181"/>
      <c r="L236" s="1181"/>
      <c r="M236" s="1181"/>
      <c r="N236" s="1181"/>
      <c r="O236" s="1246"/>
      <c r="P236" s="1246"/>
      <c r="Q236" s="1246"/>
      <c r="R236" s="1246"/>
      <c r="S236" s="1246"/>
      <c r="T236" s="1183"/>
      <c r="U236" s="1183"/>
      <c r="V236" s="1183"/>
      <c r="W236" s="1183"/>
      <c r="X236" s="1183"/>
      <c r="Y236" s="1183"/>
      <c r="Z236" s="1183"/>
      <c r="AA236" s="1183"/>
      <c r="AB236" s="1183"/>
      <c r="AC236" s="1183"/>
      <c r="AD236" s="1183"/>
      <c r="AE236" s="1183"/>
      <c r="AF236" s="1183"/>
      <c r="AG236" s="1282"/>
      <c r="AH236" s="1283"/>
      <c r="AI236" s="1283"/>
      <c r="AJ236" s="1183"/>
      <c r="AK236" s="1183"/>
      <c r="AL236" s="1185">
        <v>1</v>
      </c>
      <c r="AM236" s="709"/>
      <c r="AN236" s="709"/>
    </row>
    <row r="237" spans="1:40" s="1244" customFormat="1" ht="40.5" customHeight="1">
      <c r="A237" s="1181"/>
      <c r="B237" s="1256"/>
      <c r="C237" s="1350" t="s">
        <v>2760</v>
      </c>
      <c r="D237" s="1350" t="s">
        <v>2761</v>
      </c>
      <c r="E237" s="1350" t="s">
        <v>2762</v>
      </c>
      <c r="F237" s="1350" t="s">
        <v>2763</v>
      </c>
      <c r="G237" s="1350" t="s">
        <v>2764</v>
      </c>
      <c r="H237" s="1350" t="s">
        <v>2765</v>
      </c>
      <c r="I237" s="1350" t="s">
        <v>2766</v>
      </c>
      <c r="J237" s="1350" t="s">
        <v>2767</v>
      </c>
      <c r="K237" s="1350" t="s">
        <v>2768</v>
      </c>
      <c r="L237" s="1350" t="s">
        <v>2769</v>
      </c>
      <c r="M237" s="1350" t="s">
        <v>2770</v>
      </c>
      <c r="N237" s="1350" t="s">
        <v>2771</v>
      </c>
      <c r="O237" s="1350" t="s">
        <v>2772</v>
      </c>
      <c r="P237" s="1246"/>
      <c r="Q237" s="1350" t="s">
        <v>2773</v>
      </c>
      <c r="R237" s="1350" t="s">
        <v>2774</v>
      </c>
      <c r="S237" s="1350" t="s">
        <v>2775</v>
      </c>
      <c r="T237" s="1350" t="s">
        <v>2776</v>
      </c>
      <c r="U237" s="1350" t="s">
        <v>2777</v>
      </c>
      <c r="V237" s="1350" t="s">
        <v>2778</v>
      </c>
      <c r="W237" s="1350" t="s">
        <v>2779</v>
      </c>
      <c r="X237" s="1350" t="s">
        <v>2780</v>
      </c>
      <c r="Y237" s="1350" t="s">
        <v>2781</v>
      </c>
      <c r="Z237" s="1350" t="s">
        <v>2782</v>
      </c>
      <c r="AA237" s="1350" t="s">
        <v>2783</v>
      </c>
      <c r="AB237" s="1350" t="s">
        <v>2784</v>
      </c>
      <c r="AC237" s="1350" t="s">
        <v>2785</v>
      </c>
      <c r="AD237" s="1183"/>
      <c r="AE237" s="1183"/>
      <c r="AF237" s="1183"/>
      <c r="AG237" s="1282"/>
      <c r="AH237" s="1283"/>
      <c r="AI237" s="1283"/>
      <c r="AJ237" s="1183"/>
      <c r="AK237" s="1183"/>
      <c r="AL237" s="1185">
        <v>1</v>
      </c>
      <c r="AM237" s="709"/>
      <c r="AN237" s="709"/>
    </row>
    <row r="238" spans="1:40" s="1244" customFormat="1" ht="40.5" customHeight="1">
      <c r="A238" s="1181"/>
      <c r="B238" s="1256"/>
      <c r="C238" s="1350" t="s">
        <v>2786</v>
      </c>
      <c r="D238" s="1350" t="s">
        <v>2787</v>
      </c>
      <c r="E238" s="1350" t="s">
        <v>2788</v>
      </c>
      <c r="F238" s="1350" t="s">
        <v>2789</v>
      </c>
      <c r="G238" s="1350" t="s">
        <v>2790</v>
      </c>
      <c r="H238" s="1350" t="s">
        <v>2791</v>
      </c>
      <c r="I238" s="1350" t="s">
        <v>2792</v>
      </c>
      <c r="J238" s="1350" t="s">
        <v>2793</v>
      </c>
      <c r="K238" s="1350" t="s">
        <v>2794</v>
      </c>
      <c r="L238" s="1350" t="s">
        <v>2795</v>
      </c>
      <c r="M238" s="1350" t="s">
        <v>2796</v>
      </c>
      <c r="N238" s="1350" t="s">
        <v>2797</v>
      </c>
      <c r="O238" s="1350" t="s">
        <v>2798</v>
      </c>
      <c r="P238" s="1351"/>
      <c r="Q238" s="1350" t="s">
        <v>2799</v>
      </c>
      <c r="R238" s="1350" t="s">
        <v>2800</v>
      </c>
      <c r="S238" s="1350" t="s">
        <v>2801</v>
      </c>
      <c r="T238" s="1350" t="s">
        <v>2802</v>
      </c>
      <c r="U238" s="1350" t="s">
        <v>2803</v>
      </c>
      <c r="V238" s="1350" t="s">
        <v>2804</v>
      </c>
      <c r="W238" s="1350" t="s">
        <v>2805</v>
      </c>
      <c r="X238" s="1350" t="s">
        <v>2806</v>
      </c>
      <c r="Y238" s="1350" t="s">
        <v>2807</v>
      </c>
      <c r="Z238" s="1350" t="s">
        <v>2808</v>
      </c>
      <c r="AA238" s="1350" t="s">
        <v>2809</v>
      </c>
      <c r="AB238" s="1350" t="s">
        <v>2810</v>
      </c>
      <c r="AC238" s="1350" t="s">
        <v>2811</v>
      </c>
      <c r="AD238" s="1183"/>
      <c r="AE238" s="1183"/>
      <c r="AF238" s="1183"/>
      <c r="AG238" s="1282"/>
      <c r="AH238" s="1283"/>
      <c r="AI238" s="1283"/>
      <c r="AJ238" s="1183"/>
      <c r="AK238" s="1183"/>
      <c r="AL238" s="1185">
        <v>1</v>
      </c>
      <c r="AM238" s="709"/>
      <c r="AN238" s="709"/>
    </row>
    <row r="239" spans="1:40" s="1244" customFormat="1" ht="40.5" customHeight="1">
      <c r="A239" s="1181"/>
      <c r="B239" s="1256"/>
      <c r="C239" s="1351"/>
      <c r="D239" s="1351"/>
      <c r="E239" s="1351"/>
      <c r="F239" s="1351"/>
      <c r="G239" s="1351"/>
      <c r="H239" s="1351"/>
      <c r="I239" s="1351"/>
      <c r="J239" s="1351"/>
      <c r="K239" s="1351"/>
      <c r="L239" s="1351"/>
      <c r="M239" s="1181"/>
      <c r="N239" s="1181"/>
      <c r="O239" s="1181"/>
      <c r="P239" s="1181"/>
      <c r="Q239" s="1181"/>
      <c r="R239" s="1181"/>
      <c r="S239" s="1181"/>
      <c r="T239" s="1181"/>
      <c r="U239" s="1181"/>
      <c r="V239" s="1181"/>
      <c r="W239" s="1181"/>
      <c r="X239" s="1181"/>
      <c r="Y239" s="1181"/>
      <c r="Z239" s="1183"/>
      <c r="AA239" s="1183"/>
      <c r="AB239" s="1183"/>
      <c r="AC239" s="1183"/>
      <c r="AD239" s="1183"/>
      <c r="AE239" s="1183"/>
      <c r="AF239" s="1183"/>
      <c r="AG239" s="1282"/>
      <c r="AH239" s="1283"/>
      <c r="AI239" s="1283"/>
      <c r="AJ239" s="1183"/>
      <c r="AK239" s="1183"/>
      <c r="AL239" s="1185">
        <v>1</v>
      </c>
      <c r="AM239" s="709"/>
      <c r="AN239" s="709"/>
    </row>
    <row r="240" spans="1:40" s="1244" customFormat="1" ht="40.5" customHeight="1">
      <c r="A240" s="1181"/>
      <c r="B240" s="1256"/>
      <c r="C240" s="1350" t="s">
        <v>2773</v>
      </c>
      <c r="D240" s="1350" t="s">
        <v>2774</v>
      </c>
      <c r="E240" s="1350" t="s">
        <v>2775</v>
      </c>
      <c r="F240" s="1350" t="s">
        <v>2776</v>
      </c>
      <c r="G240" s="1350" t="s">
        <v>2777</v>
      </c>
      <c r="H240" s="1350" t="s">
        <v>2778</v>
      </c>
      <c r="I240" s="1350" t="s">
        <v>2779</v>
      </c>
      <c r="J240" s="1350" t="s">
        <v>2780</v>
      </c>
      <c r="K240" s="1350" t="s">
        <v>2781</v>
      </c>
      <c r="L240" s="1350" t="s">
        <v>2782</v>
      </c>
      <c r="M240" s="1350" t="s">
        <v>2783</v>
      </c>
      <c r="N240" s="1350" t="s">
        <v>2784</v>
      </c>
      <c r="O240" s="1350" t="s">
        <v>2785</v>
      </c>
      <c r="P240" s="1181"/>
      <c r="Q240" s="1350" t="s">
        <v>2812</v>
      </c>
      <c r="R240" s="1350" t="s">
        <v>2813</v>
      </c>
      <c r="S240" s="1350" t="s">
        <v>2814</v>
      </c>
      <c r="T240" s="1350" t="s">
        <v>2815</v>
      </c>
      <c r="U240" s="1350" t="s">
        <v>2816</v>
      </c>
      <c r="V240" s="1350" t="s">
        <v>2817</v>
      </c>
      <c r="W240" s="1350" t="s">
        <v>2818</v>
      </c>
      <c r="X240" s="1350" t="s">
        <v>2819</v>
      </c>
      <c r="Y240" s="1350" t="s">
        <v>2819</v>
      </c>
      <c r="Z240" s="1350" t="s">
        <v>2820</v>
      </c>
      <c r="AA240" s="1350" t="s">
        <v>2821</v>
      </c>
      <c r="AB240" s="1350" t="s">
        <v>2822</v>
      </c>
      <c r="AC240" s="1350" t="s">
        <v>2823</v>
      </c>
      <c r="AD240" s="1350" t="s">
        <v>2824</v>
      </c>
      <c r="AE240" s="1183"/>
      <c r="AF240" s="1183"/>
      <c r="AG240" s="1282"/>
      <c r="AH240" s="1283"/>
      <c r="AI240" s="1283"/>
      <c r="AJ240" s="1183"/>
      <c r="AK240" s="1183"/>
      <c r="AL240" s="1185">
        <v>1</v>
      </c>
      <c r="AM240" s="709"/>
      <c r="AN240" s="709"/>
    </row>
    <row r="241" spans="1:40" s="1244" customFormat="1" ht="40.5" customHeight="1">
      <c r="A241" s="1181"/>
      <c r="B241" s="1256"/>
      <c r="C241" s="1350" t="s">
        <v>2799</v>
      </c>
      <c r="D241" s="1350" t="s">
        <v>2800</v>
      </c>
      <c r="E241" s="1350" t="s">
        <v>2801</v>
      </c>
      <c r="F241" s="1350" t="s">
        <v>2802</v>
      </c>
      <c r="G241" s="1350" t="s">
        <v>2803</v>
      </c>
      <c r="H241" s="1350" t="s">
        <v>2804</v>
      </c>
      <c r="I241" s="1350" t="s">
        <v>2805</v>
      </c>
      <c r="J241" s="1350" t="s">
        <v>2806</v>
      </c>
      <c r="K241" s="1350" t="s">
        <v>2807</v>
      </c>
      <c r="L241" s="1350" t="s">
        <v>2808</v>
      </c>
      <c r="M241" s="1350" t="s">
        <v>2809</v>
      </c>
      <c r="N241" s="1350" t="s">
        <v>2810</v>
      </c>
      <c r="O241" s="1350" t="s">
        <v>2811</v>
      </c>
      <c r="P241" s="1181"/>
      <c r="Q241" s="1350" t="s">
        <v>2825</v>
      </c>
      <c r="R241" s="1350" t="s">
        <v>2826</v>
      </c>
      <c r="S241" s="1350" t="s">
        <v>2827</v>
      </c>
      <c r="T241" s="1350" t="s">
        <v>2828</v>
      </c>
      <c r="U241" s="1350" t="s">
        <v>2829</v>
      </c>
      <c r="V241" s="1350" t="s">
        <v>2829</v>
      </c>
      <c r="W241" s="1350" t="s">
        <v>2830</v>
      </c>
      <c r="X241" s="1350" t="s">
        <v>2831</v>
      </c>
      <c r="Y241" s="1350" t="s">
        <v>2832</v>
      </c>
      <c r="Z241" s="1350" t="s">
        <v>2833</v>
      </c>
      <c r="AA241" s="1350" t="s">
        <v>2834</v>
      </c>
      <c r="AB241" s="1350" t="s">
        <v>2835</v>
      </c>
      <c r="AC241" s="1350" t="s">
        <v>2836</v>
      </c>
      <c r="AD241" s="1350"/>
      <c r="AE241" s="1183"/>
      <c r="AF241" s="1183"/>
      <c r="AG241" s="1282"/>
      <c r="AH241" s="1283"/>
      <c r="AI241" s="1283"/>
      <c r="AJ241" s="1183"/>
      <c r="AK241" s="1183"/>
      <c r="AL241" s="1185">
        <v>1</v>
      </c>
      <c r="AM241" s="709"/>
      <c r="AN241" s="709"/>
    </row>
    <row r="242" spans="1:40" s="1244" customFormat="1" ht="40.5" customHeight="1">
      <c r="A242" s="1181"/>
      <c r="B242" s="1256"/>
      <c r="C242" s="1351"/>
      <c r="D242" s="1351"/>
      <c r="E242" s="1351"/>
      <c r="F242" s="1351"/>
      <c r="G242" s="1351"/>
      <c r="H242" s="1351"/>
      <c r="I242" s="1351"/>
      <c r="J242" s="1351"/>
      <c r="K242" s="1351"/>
      <c r="L242" s="1351"/>
      <c r="M242" s="1181"/>
      <c r="N242" s="1181"/>
      <c r="O242" s="1181"/>
      <c r="P242" s="1181"/>
      <c r="Q242" s="1181"/>
      <c r="R242" s="1181"/>
      <c r="S242" s="1181"/>
      <c r="T242" s="1181"/>
      <c r="U242" s="1181"/>
      <c r="V242" s="1181"/>
      <c r="W242" s="1181"/>
      <c r="X242" s="1181"/>
      <c r="Y242" s="1181"/>
      <c r="Z242" s="1183"/>
      <c r="AA242" s="1183"/>
      <c r="AB242" s="1183"/>
      <c r="AC242" s="1183"/>
      <c r="AD242" s="1183"/>
      <c r="AE242" s="1183"/>
      <c r="AF242" s="1183"/>
      <c r="AG242" s="1282"/>
      <c r="AH242" s="1283"/>
      <c r="AI242" s="1283"/>
      <c r="AJ242" s="1183"/>
      <c r="AK242" s="1183"/>
      <c r="AL242" s="1185">
        <v>1</v>
      </c>
      <c r="AM242" s="709"/>
      <c r="AN242" s="709"/>
    </row>
    <row r="243" spans="1:40" s="1244" customFormat="1" ht="40.5" customHeight="1">
      <c r="A243" s="1181"/>
      <c r="B243" s="1256"/>
      <c r="C243" s="1352" t="s">
        <v>2837</v>
      </c>
      <c r="D243" s="1352" t="s">
        <v>2838</v>
      </c>
      <c r="E243" s="1352" t="s">
        <v>2839</v>
      </c>
      <c r="F243" s="1352" t="s">
        <v>2840</v>
      </c>
      <c r="G243" s="1352" t="s">
        <v>2841</v>
      </c>
      <c r="H243" s="1352" t="s">
        <v>2842</v>
      </c>
      <c r="I243" s="1352" t="s">
        <v>2843</v>
      </c>
      <c r="J243" s="1352" t="s">
        <v>2844</v>
      </c>
      <c r="K243" s="1352" t="s">
        <v>2845</v>
      </c>
      <c r="L243" s="1352" t="s">
        <v>2846</v>
      </c>
      <c r="M243" s="1352" t="s">
        <v>2847</v>
      </c>
      <c r="N243" s="1352" t="s">
        <v>2848</v>
      </c>
      <c r="O243" s="1352" t="s">
        <v>2849</v>
      </c>
      <c r="P243" s="1181"/>
      <c r="Q243" s="1353" t="s">
        <v>2850</v>
      </c>
      <c r="R243" s="1353" t="s">
        <v>2851</v>
      </c>
      <c r="S243" s="1353" t="s">
        <v>17</v>
      </c>
      <c r="T243" s="1353" t="s">
        <v>2852</v>
      </c>
      <c r="U243" s="1353" t="s">
        <v>2853</v>
      </c>
      <c r="V243" s="1353" t="s">
        <v>2854</v>
      </c>
      <c r="W243" s="1353" t="s">
        <v>2855</v>
      </c>
      <c r="X243" s="1353" t="s">
        <v>2856</v>
      </c>
      <c r="Y243" s="1353" t="s">
        <v>2857</v>
      </c>
      <c r="Z243" s="1353" t="s">
        <v>458</v>
      </c>
      <c r="AA243" s="1353" t="s">
        <v>2858</v>
      </c>
      <c r="AB243" s="1183"/>
      <c r="AC243" s="1183"/>
      <c r="AD243" s="1183"/>
      <c r="AE243" s="1183"/>
      <c r="AF243" s="1183"/>
      <c r="AG243" s="1282"/>
      <c r="AH243" s="1283"/>
      <c r="AI243" s="1283"/>
      <c r="AJ243" s="1183"/>
      <c r="AK243" s="1183"/>
      <c r="AL243" s="1185">
        <v>1</v>
      </c>
      <c r="AM243" s="709"/>
      <c r="AN243" s="709"/>
    </row>
    <row r="244" spans="1:40" s="1244" customFormat="1" ht="40.5" customHeight="1">
      <c r="A244" s="1181"/>
      <c r="B244" s="1256"/>
      <c r="C244" s="1352" t="s">
        <v>2859</v>
      </c>
      <c r="D244" s="1352" t="s">
        <v>2860</v>
      </c>
      <c r="E244" s="1352" t="s">
        <v>2861</v>
      </c>
      <c r="F244" s="1352" t="s">
        <v>2862</v>
      </c>
      <c r="G244" s="1352" t="s">
        <v>2863</v>
      </c>
      <c r="H244" s="1352" t="s">
        <v>2864</v>
      </c>
      <c r="I244" s="1352" t="s">
        <v>2865</v>
      </c>
      <c r="J244" s="1352" t="s">
        <v>2866</v>
      </c>
      <c r="K244" s="1352" t="s">
        <v>2867</v>
      </c>
      <c r="L244" s="1352" t="s">
        <v>2868</v>
      </c>
      <c r="M244" s="1352" t="s">
        <v>2869</v>
      </c>
      <c r="N244" s="1352" t="s">
        <v>2869</v>
      </c>
      <c r="O244" s="1352" t="s">
        <v>2870</v>
      </c>
      <c r="P244" s="1181"/>
      <c r="Q244" s="1353" t="s">
        <v>519</v>
      </c>
      <c r="R244" s="1353" t="s">
        <v>2871</v>
      </c>
      <c r="S244" s="1353" t="s">
        <v>2872</v>
      </c>
      <c r="T244" s="1353" t="s">
        <v>2873</v>
      </c>
      <c r="U244" s="1353" t="s">
        <v>2874</v>
      </c>
      <c r="V244" s="1353" t="s">
        <v>2875</v>
      </c>
      <c r="W244" s="1353" t="s">
        <v>2876</v>
      </c>
      <c r="X244" s="1353" t="s">
        <v>2877</v>
      </c>
      <c r="Y244" s="1353" t="s">
        <v>2878</v>
      </c>
      <c r="Z244" s="1353" t="s">
        <v>2879</v>
      </c>
      <c r="AA244" s="1353"/>
      <c r="AB244" s="1183"/>
      <c r="AC244" s="1183"/>
      <c r="AD244" s="1183"/>
      <c r="AE244" s="1183"/>
      <c r="AF244" s="1183"/>
      <c r="AG244" s="1282"/>
      <c r="AH244" s="1283"/>
      <c r="AI244" s="1283"/>
      <c r="AJ244" s="1183"/>
      <c r="AK244" s="1183"/>
      <c r="AL244" s="1185">
        <v>1</v>
      </c>
      <c r="AM244" s="709"/>
      <c r="AN244" s="709"/>
    </row>
    <row r="245" spans="1:40" s="1244" customFormat="1" ht="40.5" customHeight="1">
      <c r="A245" s="1181"/>
      <c r="B245" s="1256"/>
      <c r="C245" s="1351"/>
      <c r="D245" s="1351"/>
      <c r="E245" s="1351"/>
      <c r="F245" s="1351"/>
      <c r="G245" s="1351"/>
      <c r="H245" s="1351"/>
      <c r="I245" s="1351"/>
      <c r="J245" s="1351"/>
      <c r="K245" s="1351"/>
      <c r="L245" s="1351"/>
      <c r="M245" s="1181"/>
      <c r="N245" s="1181"/>
      <c r="O245" s="1181"/>
      <c r="P245" s="1181"/>
      <c r="Q245" s="1181"/>
      <c r="R245" s="1181"/>
      <c r="S245" s="1181"/>
      <c r="T245" s="1181"/>
      <c r="U245" s="1181"/>
      <c r="V245" s="1181"/>
      <c r="W245" s="1181"/>
      <c r="X245" s="1181"/>
      <c r="Y245" s="1181"/>
      <c r="Z245" s="1183"/>
      <c r="AA245" s="1183"/>
      <c r="AB245" s="1183"/>
      <c r="AC245" s="1183"/>
      <c r="AD245" s="1183"/>
      <c r="AE245" s="1183"/>
      <c r="AF245" s="1183"/>
      <c r="AG245" s="1282"/>
      <c r="AH245" s="1283"/>
      <c r="AI245" s="1283"/>
      <c r="AJ245" s="1183"/>
      <c r="AK245" s="1183"/>
      <c r="AL245" s="1185">
        <v>1</v>
      </c>
      <c r="AM245" s="709"/>
      <c r="AN245" s="709"/>
    </row>
    <row r="246" spans="1:40" s="1244" customFormat="1" ht="40.5" customHeight="1">
      <c r="A246" s="1181"/>
      <c r="B246" s="1256"/>
      <c r="C246" s="1353" t="s">
        <v>2880</v>
      </c>
      <c r="D246" s="1353" t="s">
        <v>2881</v>
      </c>
      <c r="E246" s="1353" t="s">
        <v>2882</v>
      </c>
      <c r="F246" s="1353" t="s">
        <v>82</v>
      </c>
      <c r="G246" s="1353" t="s">
        <v>77</v>
      </c>
      <c r="H246" s="1353" t="s">
        <v>78</v>
      </c>
      <c r="I246" s="1353" t="s">
        <v>2883</v>
      </c>
      <c r="J246" s="1353" t="s">
        <v>2884</v>
      </c>
      <c r="K246" s="1353" t="s">
        <v>910</v>
      </c>
      <c r="L246" s="1353" t="s">
        <v>2885</v>
      </c>
      <c r="M246" s="1353" t="s">
        <v>2886</v>
      </c>
      <c r="N246" s="1181"/>
      <c r="O246" s="1181"/>
      <c r="P246" s="1181"/>
      <c r="Q246" s="1353" t="s">
        <v>2887</v>
      </c>
      <c r="R246" s="1353" t="s">
        <v>2888</v>
      </c>
      <c r="S246" s="1353" t="s">
        <v>2889</v>
      </c>
      <c r="T246" s="1353" t="s">
        <v>2890</v>
      </c>
      <c r="U246" s="1353" t="s">
        <v>2891</v>
      </c>
      <c r="V246" s="1353" t="s">
        <v>2892</v>
      </c>
      <c r="W246" s="1353" t="s">
        <v>2893</v>
      </c>
      <c r="X246" s="1353" t="s">
        <v>2894</v>
      </c>
      <c r="Y246" s="1353" t="s">
        <v>2895</v>
      </c>
      <c r="Z246" s="1353" t="s">
        <v>2896</v>
      </c>
      <c r="AA246" s="1183"/>
      <c r="AB246" s="1183"/>
      <c r="AC246" s="1183"/>
      <c r="AD246" s="1183"/>
      <c r="AE246" s="1183"/>
      <c r="AF246" s="1183"/>
      <c r="AG246" s="1282"/>
      <c r="AH246" s="1283"/>
      <c r="AI246" s="1283"/>
      <c r="AJ246" s="1183"/>
      <c r="AK246" s="1183"/>
      <c r="AL246" s="1185">
        <v>1</v>
      </c>
      <c r="AM246" s="709"/>
      <c r="AN246" s="709"/>
    </row>
    <row r="247" spans="1:40" s="1244" customFormat="1" ht="40.5" customHeight="1">
      <c r="A247" s="1181"/>
      <c r="B247" s="1256"/>
      <c r="C247" s="1351"/>
      <c r="D247" s="1351"/>
      <c r="E247" s="1351"/>
      <c r="F247" s="1351"/>
      <c r="G247" s="1351"/>
      <c r="H247" s="1351"/>
      <c r="I247" s="1351"/>
      <c r="J247" s="1351"/>
      <c r="K247" s="1351"/>
      <c r="L247" s="1351"/>
      <c r="M247" s="1181"/>
      <c r="N247" s="1181"/>
      <c r="O247" s="1351"/>
      <c r="P247" s="1351"/>
      <c r="Q247" s="1351"/>
      <c r="R247" s="1351"/>
      <c r="S247" s="1351"/>
      <c r="T247" s="1351"/>
      <c r="U247" s="1351"/>
      <c r="V247" s="1351"/>
      <c r="W247" s="1351"/>
      <c r="X247" s="1351"/>
      <c r="Y247" s="1183"/>
      <c r="Z247" s="1183"/>
      <c r="AA247" s="1183"/>
      <c r="AB247" s="1183"/>
      <c r="AC247" s="1183"/>
      <c r="AD247" s="1183"/>
      <c r="AE247" s="1183"/>
      <c r="AF247" s="1183"/>
      <c r="AG247" s="1282"/>
      <c r="AH247" s="1283"/>
      <c r="AI247" s="1283"/>
      <c r="AJ247" s="1183"/>
      <c r="AK247" s="1183"/>
      <c r="AL247" s="1185">
        <v>1</v>
      </c>
      <c r="AM247" s="709"/>
      <c r="AN247" s="709"/>
    </row>
    <row r="248" spans="1:40" s="1244" customFormat="1" ht="40.5" customHeight="1">
      <c r="A248" s="1181"/>
      <c r="B248" s="1256"/>
      <c r="C248" s="1217" t="s">
        <v>3167</v>
      </c>
      <c r="D248" s="1181"/>
      <c r="E248" s="1181"/>
      <c r="F248" s="1181"/>
      <c r="G248" s="1181"/>
      <c r="H248" s="1181"/>
      <c r="I248" s="1246"/>
      <c r="J248" s="1181"/>
      <c r="K248" s="1181"/>
      <c r="L248" s="1181"/>
      <c r="M248" s="1181"/>
      <c r="N248" s="1181"/>
      <c r="O248" s="1246"/>
      <c r="P248" s="1246"/>
      <c r="Q248" s="1246"/>
      <c r="R248" s="1246"/>
      <c r="S248" s="1246"/>
      <c r="T248" s="1183"/>
      <c r="U248" s="1183"/>
      <c r="V248" s="1351"/>
      <c r="W248" s="1183"/>
      <c r="X248" s="1183"/>
      <c r="Y248" s="1183"/>
      <c r="Z248" s="1183"/>
      <c r="AA248" s="1183"/>
      <c r="AB248" s="1183"/>
      <c r="AC248" s="1183"/>
      <c r="AD248" s="1183"/>
      <c r="AE248" s="1183"/>
      <c r="AF248" s="1183"/>
      <c r="AG248" s="1282"/>
      <c r="AH248" s="1283"/>
      <c r="AI248" s="1283"/>
      <c r="AJ248" s="1183"/>
      <c r="AK248" s="1183"/>
      <c r="AL248" s="1185">
        <v>1</v>
      </c>
      <c r="AM248" s="709"/>
      <c r="AN248" s="709"/>
    </row>
    <row r="249" spans="1:40" s="1244" customFormat="1" ht="40.5" customHeight="1">
      <c r="A249" s="1181"/>
      <c r="B249" s="1256"/>
      <c r="C249" s="1217" t="s">
        <v>3168</v>
      </c>
      <c r="D249" s="1181"/>
      <c r="E249" s="1181"/>
      <c r="F249" s="1181"/>
      <c r="G249" s="1181"/>
      <c r="H249" s="1181"/>
      <c r="I249" s="1246"/>
      <c r="J249" s="1181"/>
      <c r="K249" s="1181"/>
      <c r="L249" s="1181"/>
      <c r="M249" s="1181"/>
      <c r="N249" s="1181"/>
      <c r="O249" s="1246"/>
      <c r="P249" s="1246"/>
      <c r="Q249" s="1246"/>
      <c r="R249" s="1246"/>
      <c r="S249" s="1246"/>
      <c r="T249" s="1183"/>
      <c r="U249" s="1183"/>
      <c r="V249" s="1351"/>
      <c r="W249" s="1183"/>
      <c r="X249" s="1183"/>
      <c r="Y249" s="1183"/>
      <c r="Z249" s="1183"/>
      <c r="AA249" s="1183"/>
      <c r="AB249" s="1183"/>
      <c r="AC249" s="1183"/>
      <c r="AD249" s="1183"/>
      <c r="AE249" s="1183"/>
      <c r="AF249" s="1183"/>
      <c r="AG249" s="1282"/>
      <c r="AH249" s="1283"/>
      <c r="AI249" s="1283"/>
      <c r="AJ249" s="1183"/>
      <c r="AK249" s="1183"/>
      <c r="AL249" s="1185">
        <v>1</v>
      </c>
      <c r="AM249" s="709"/>
      <c r="AN249" s="709"/>
    </row>
    <row r="250" spans="1:40" s="1244" customFormat="1" ht="40.5" customHeight="1">
      <c r="A250" s="1181"/>
      <c r="B250" s="1256"/>
      <c r="C250" s="1217" t="s">
        <v>2899</v>
      </c>
      <c r="D250" s="1181"/>
      <c r="E250" s="1181"/>
      <c r="F250" s="1181"/>
      <c r="G250" s="1181"/>
      <c r="H250" s="1181"/>
      <c r="I250" s="1246"/>
      <c r="J250" s="1181"/>
      <c r="K250" s="1181"/>
      <c r="L250" s="1181"/>
      <c r="M250" s="1181"/>
      <c r="N250" s="1181"/>
      <c r="O250" s="1246"/>
      <c r="P250" s="1246"/>
      <c r="Q250" s="1246"/>
      <c r="R250" s="1246"/>
      <c r="S250" s="1246"/>
      <c r="T250" s="1183"/>
      <c r="U250" s="1183"/>
      <c r="V250" s="1351"/>
      <c r="W250" s="1183"/>
      <c r="X250" s="1183"/>
      <c r="Y250" s="1183"/>
      <c r="Z250" s="1183"/>
      <c r="AA250" s="1183"/>
      <c r="AB250" s="1183"/>
      <c r="AC250" s="1183"/>
      <c r="AD250" s="1183"/>
      <c r="AE250" s="1183"/>
      <c r="AF250" s="1183"/>
      <c r="AG250" s="1282"/>
      <c r="AH250" s="1283"/>
      <c r="AI250" s="1283"/>
      <c r="AJ250" s="1183"/>
      <c r="AK250" s="1183"/>
      <c r="AL250" s="1185">
        <v>1</v>
      </c>
      <c r="AM250" s="709"/>
      <c r="AN250" s="709"/>
    </row>
    <row r="251" spans="1:40" s="1244" customFormat="1" ht="40.5" customHeight="1">
      <c r="A251" s="1181"/>
      <c r="B251" s="1256"/>
      <c r="C251" s="1354" t="s">
        <v>2900</v>
      </c>
      <c r="D251" s="1354" t="s">
        <v>2901</v>
      </c>
      <c r="E251" s="1354" t="s">
        <v>2902</v>
      </c>
      <c r="F251" s="1354" t="s">
        <v>2903</v>
      </c>
      <c r="G251" s="1354" t="s">
        <v>2904</v>
      </c>
      <c r="H251" s="1354" t="s">
        <v>2905</v>
      </c>
      <c r="I251" s="1354" t="s">
        <v>2906</v>
      </c>
      <c r="J251" s="1354" t="s">
        <v>2907</v>
      </c>
      <c r="K251" s="1354" t="s">
        <v>2908</v>
      </c>
      <c r="L251" s="1354" t="s">
        <v>2909</v>
      </c>
      <c r="M251" s="1354" t="s">
        <v>2910</v>
      </c>
      <c r="N251" s="1354"/>
      <c r="O251" s="1354"/>
      <c r="P251" s="1355"/>
      <c r="Q251" s="1355"/>
      <c r="R251" s="1355"/>
      <c r="S251" s="1246"/>
      <c r="T251" s="1183"/>
      <c r="U251" s="1183"/>
      <c r="V251" s="1351"/>
      <c r="W251" s="1183"/>
      <c r="X251" s="1183"/>
      <c r="Y251" s="1183"/>
      <c r="Z251" s="1183"/>
      <c r="AA251" s="1183"/>
      <c r="AB251" s="1183"/>
      <c r="AC251" s="1183"/>
      <c r="AD251" s="1183"/>
      <c r="AE251" s="1183"/>
      <c r="AF251" s="1183"/>
      <c r="AG251" s="1282"/>
      <c r="AH251" s="1283"/>
      <c r="AI251" s="1283"/>
      <c r="AJ251" s="1183"/>
      <c r="AK251" s="1183"/>
      <c r="AL251" s="1185">
        <v>1</v>
      </c>
      <c r="AM251" s="709"/>
      <c r="AN251" s="709"/>
    </row>
    <row r="252" spans="1:40" s="1244" customFormat="1" ht="40.5" customHeight="1">
      <c r="A252" s="1181"/>
      <c r="B252" s="1256"/>
      <c r="C252" s="1356" t="s">
        <v>2911</v>
      </c>
      <c r="D252" s="1356" t="s">
        <v>2912</v>
      </c>
      <c r="E252" s="1356" t="s">
        <v>2913</v>
      </c>
      <c r="F252" s="1356"/>
      <c r="G252" s="1356" t="s">
        <v>2914</v>
      </c>
      <c r="H252" s="1356"/>
      <c r="I252" s="1356" t="s">
        <v>2915</v>
      </c>
      <c r="J252" s="1356"/>
      <c r="K252" s="1356" t="s">
        <v>2916</v>
      </c>
      <c r="L252" s="1356"/>
      <c r="M252" s="1356" t="s">
        <v>2917</v>
      </c>
      <c r="N252" s="1356" t="s">
        <v>2918</v>
      </c>
      <c r="O252" s="1356"/>
      <c r="P252" s="1356" t="s">
        <v>2919</v>
      </c>
      <c r="Q252" s="1356"/>
      <c r="R252" s="1356" t="s">
        <v>2920</v>
      </c>
      <c r="S252" s="1246"/>
      <c r="T252" s="1183"/>
      <c r="U252" s="1183"/>
      <c r="V252" s="1351"/>
      <c r="W252" s="1183"/>
      <c r="X252" s="1183"/>
      <c r="Y252" s="1183"/>
      <c r="Z252" s="1183"/>
      <c r="AA252" s="1183"/>
      <c r="AB252" s="1183"/>
      <c r="AC252" s="1183"/>
      <c r="AD252" s="1183"/>
      <c r="AE252" s="1183"/>
      <c r="AF252" s="1183"/>
      <c r="AG252" s="1282"/>
      <c r="AH252" s="1283"/>
      <c r="AI252" s="1283"/>
      <c r="AJ252" s="1183"/>
      <c r="AK252" s="1183"/>
      <c r="AL252" s="1185">
        <v>1</v>
      </c>
      <c r="AM252" s="709"/>
      <c r="AN252" s="709"/>
    </row>
    <row r="253" spans="1:40" s="1244" customFormat="1" ht="40.5" customHeight="1">
      <c r="A253" s="1181"/>
      <c r="B253" s="1256"/>
      <c r="C253" s="1217" t="s">
        <v>3169</v>
      </c>
      <c r="D253" s="1181"/>
      <c r="E253" s="1181"/>
      <c r="F253" s="1181"/>
      <c r="G253" s="1181"/>
      <c r="H253" s="1181"/>
      <c r="I253" s="1246"/>
      <c r="J253" s="1181"/>
      <c r="K253" s="1181"/>
      <c r="L253" s="1181"/>
      <c r="M253" s="1181"/>
      <c r="N253" s="1181"/>
      <c r="O253" s="1246"/>
      <c r="P253" s="1246"/>
      <c r="Q253" s="1246"/>
      <c r="R253" s="1246"/>
      <c r="S253" s="1246"/>
      <c r="T253" s="1183"/>
      <c r="U253" s="1183"/>
      <c r="V253" s="1351"/>
      <c r="W253" s="1183"/>
      <c r="X253" s="1183"/>
      <c r="Y253" s="1183"/>
      <c r="Z253" s="1183"/>
      <c r="AA253" s="1183"/>
      <c r="AB253" s="1183"/>
      <c r="AC253" s="1183"/>
      <c r="AD253" s="1183"/>
      <c r="AE253" s="1183"/>
      <c r="AF253" s="1183"/>
      <c r="AG253" s="1282"/>
      <c r="AH253" s="1283"/>
      <c r="AI253" s="1283"/>
      <c r="AJ253" s="1183"/>
      <c r="AK253" s="1183"/>
      <c r="AL253" s="1185">
        <v>1</v>
      </c>
      <c r="AM253" s="709"/>
      <c r="AN253" s="709"/>
    </row>
    <row r="254" spans="1:40" s="1244" customFormat="1" ht="40.5" customHeight="1">
      <c r="A254" s="1181"/>
      <c r="B254" s="1256"/>
      <c r="C254" s="1349"/>
      <c r="D254" s="1181"/>
      <c r="E254" s="1181"/>
      <c r="F254" s="1181"/>
      <c r="G254" s="1181"/>
      <c r="H254" s="1181"/>
      <c r="I254" s="1246"/>
      <c r="J254" s="1181"/>
      <c r="K254" s="1181"/>
      <c r="L254" s="1181"/>
      <c r="M254" s="1181"/>
      <c r="N254" s="1181"/>
      <c r="O254" s="1246"/>
      <c r="P254" s="1246"/>
      <c r="Q254" s="1246"/>
      <c r="R254" s="1246"/>
      <c r="S254" s="1246"/>
      <c r="T254" s="1183"/>
      <c r="U254" s="1183"/>
      <c r="V254" s="1183"/>
      <c r="W254" s="1183"/>
      <c r="X254" s="1183"/>
      <c r="Y254" s="1183"/>
      <c r="Z254" s="1183"/>
      <c r="AA254" s="1183"/>
      <c r="AB254" s="1183"/>
      <c r="AC254" s="1183"/>
      <c r="AD254" s="1183"/>
      <c r="AE254" s="1183"/>
      <c r="AF254" s="1183"/>
      <c r="AG254" s="1282"/>
      <c r="AH254" s="1283"/>
      <c r="AI254" s="1283"/>
      <c r="AJ254" s="1183"/>
      <c r="AK254" s="1183"/>
      <c r="AL254" s="1185">
        <v>1</v>
      </c>
      <c r="AM254" s="709"/>
      <c r="AN254" s="709"/>
    </row>
    <row r="255" spans="1:40" s="1361" customFormat="1" ht="40.5" customHeight="1">
      <c r="A255" s="1316"/>
      <c r="B255" s="1281" t="s">
        <v>3170</v>
      </c>
      <c r="C255" s="1316"/>
      <c r="D255" s="1316"/>
      <c r="E255" s="1316"/>
      <c r="F255" s="1316"/>
      <c r="G255" s="1357"/>
      <c r="H255" s="1316"/>
      <c r="I255" s="1246"/>
      <c r="J255" s="1316"/>
      <c r="K255" s="1316"/>
      <c r="L255" s="1316"/>
      <c r="M255" s="1316"/>
      <c r="N255" s="1316"/>
      <c r="O255" s="1246"/>
      <c r="P255" s="1246"/>
      <c r="Q255" s="1418" t="s">
        <v>3171</v>
      </c>
      <c r="R255" s="1358" t="s">
        <v>2924</v>
      </c>
      <c r="S255" s="1359"/>
      <c r="T255" s="1359"/>
      <c r="U255" s="1359"/>
      <c r="V255" s="1359"/>
      <c r="W255" s="1359"/>
      <c r="X255" s="1359"/>
      <c r="Y255" s="1359"/>
      <c r="Z255" s="1360"/>
      <c r="AA255" s="1360"/>
      <c r="AB255" s="1360"/>
      <c r="AC255" s="1360"/>
      <c r="AD255" s="1360"/>
      <c r="AE255" s="1360"/>
      <c r="AF255" s="1360"/>
      <c r="AG255" s="1360"/>
      <c r="AH255" s="1360"/>
      <c r="AI255" s="1283"/>
      <c r="AJ255" s="1183"/>
      <c r="AK255" s="1183"/>
      <c r="AL255" s="1185">
        <v>1</v>
      </c>
      <c r="AM255" s="709"/>
      <c r="AN255" s="709"/>
    </row>
    <row r="256" spans="1:40" s="1361" customFormat="1" ht="40.5" customHeight="1">
      <c r="A256" s="1316"/>
      <c r="B256" s="1362" t="s">
        <v>2925</v>
      </c>
      <c r="C256" s="1362" t="s">
        <v>2926</v>
      </c>
      <c r="D256" s="1362" t="s">
        <v>2927</v>
      </c>
      <c r="E256" s="1362"/>
      <c r="F256" s="1362" t="s">
        <v>1937</v>
      </c>
      <c r="G256" s="1362" t="s">
        <v>1938</v>
      </c>
      <c r="H256" s="1363" t="s">
        <v>1939</v>
      </c>
      <c r="I256" s="1362" t="s">
        <v>1940</v>
      </c>
      <c r="J256" s="1362" t="s">
        <v>1941</v>
      </c>
      <c r="K256" s="1362" t="s">
        <v>1942</v>
      </c>
      <c r="L256" s="1362"/>
      <c r="M256" s="1362"/>
      <c r="N256" s="1362"/>
      <c r="O256" s="1362" t="s">
        <v>2928</v>
      </c>
      <c r="P256" s="1362" t="s">
        <v>1945</v>
      </c>
      <c r="Q256" s="1362" t="s">
        <v>1946</v>
      </c>
      <c r="R256" s="1362" t="s">
        <v>1947</v>
      </c>
      <c r="S256" s="1362" t="s">
        <v>2929</v>
      </c>
      <c r="T256" s="1362" t="s">
        <v>16</v>
      </c>
      <c r="U256" s="1362" t="s">
        <v>1948</v>
      </c>
      <c r="V256" s="1362" t="s">
        <v>1949</v>
      </c>
      <c r="W256" s="1362" t="s">
        <v>865</v>
      </c>
      <c r="X256" s="1362" t="s">
        <v>1943</v>
      </c>
      <c r="Y256" s="1362"/>
      <c r="Z256" s="1183"/>
      <c r="AA256" s="1183"/>
      <c r="AB256" s="1183"/>
      <c r="AC256" s="1183"/>
      <c r="AD256" s="1183"/>
      <c r="AE256" s="1183"/>
      <c r="AF256" s="1183"/>
      <c r="AG256" s="1282"/>
      <c r="AH256" s="1283"/>
      <c r="AI256" s="1283"/>
      <c r="AJ256" s="1183"/>
      <c r="AK256" s="1183"/>
      <c r="AL256" s="1185">
        <v>1</v>
      </c>
      <c r="AM256" s="709"/>
      <c r="AN256" s="709"/>
    </row>
    <row r="257" spans="1:40" s="1361" customFormat="1" ht="40.5" customHeight="1">
      <c r="A257" s="1316"/>
      <c r="B257" s="1316"/>
      <c r="C257" s="1364" t="s">
        <v>3182</v>
      </c>
      <c r="D257" s="1365" t="s">
        <v>2931</v>
      </c>
      <c r="E257" s="1362"/>
      <c r="F257" s="1362"/>
      <c r="G257" s="1362"/>
      <c r="H257" s="1362"/>
      <c r="I257" s="1362"/>
      <c r="J257" s="1362"/>
      <c r="K257" s="1362"/>
      <c r="L257" s="1362"/>
      <c r="M257" s="1362"/>
      <c r="N257" s="1362"/>
      <c r="O257" s="1362"/>
      <c r="P257" s="1362"/>
      <c r="Q257" s="1362"/>
      <c r="R257" s="1362"/>
      <c r="S257" s="1362"/>
      <c r="T257" s="1362"/>
      <c r="U257" s="1362"/>
      <c r="V257" s="1362"/>
      <c r="W257" s="1362"/>
      <c r="X257" s="1362"/>
      <c r="Y257" s="1362"/>
      <c r="Z257" s="1183"/>
      <c r="AA257" s="1183"/>
      <c r="AB257" s="1183"/>
      <c r="AC257" s="1183"/>
      <c r="AD257" s="1183"/>
      <c r="AE257" s="1183"/>
      <c r="AF257" s="1183"/>
      <c r="AG257" s="1282"/>
      <c r="AH257" s="1283"/>
      <c r="AI257" s="1283"/>
      <c r="AJ257" s="1183"/>
      <c r="AK257" s="1183"/>
      <c r="AL257" s="1185">
        <v>1</v>
      </c>
      <c r="AM257" s="709"/>
      <c r="AN257" s="709"/>
    </row>
    <row r="258" spans="1:40" s="1361" customFormat="1" ht="40.5" customHeight="1">
      <c r="A258" s="1316"/>
      <c r="B258" s="1316"/>
      <c r="C258" s="1364"/>
      <c r="D258" s="1365" t="s">
        <v>2932</v>
      </c>
      <c r="E258" s="1362"/>
      <c r="F258" s="1362"/>
      <c r="G258" s="1362"/>
      <c r="H258" s="1362"/>
      <c r="I258" s="1362"/>
      <c r="J258" s="1362"/>
      <c r="K258" s="1362"/>
      <c r="L258" s="1362"/>
      <c r="M258" s="1362"/>
      <c r="N258" s="1362"/>
      <c r="O258" s="1362"/>
      <c r="P258" s="1362"/>
      <c r="Q258" s="1362"/>
      <c r="R258" s="1362"/>
      <c r="S258" s="1362"/>
      <c r="T258" s="1362"/>
      <c r="U258" s="1362"/>
      <c r="V258" s="1362"/>
      <c r="W258" s="1362"/>
      <c r="X258" s="1362"/>
      <c r="Y258" s="1362"/>
      <c r="Z258" s="1183"/>
      <c r="AA258" s="1183"/>
      <c r="AB258" s="1183"/>
      <c r="AC258" s="1183"/>
      <c r="AD258" s="1183"/>
      <c r="AE258" s="1183"/>
      <c r="AF258" s="1183"/>
      <c r="AG258" s="1282"/>
      <c r="AH258" s="1283"/>
      <c r="AI258" s="1283"/>
      <c r="AJ258" s="1183"/>
      <c r="AK258" s="1183"/>
      <c r="AL258" s="1185">
        <v>1</v>
      </c>
      <c r="AM258" s="709"/>
      <c r="AN258" s="709"/>
    </row>
    <row r="259" spans="1:40" s="1361" customFormat="1" ht="40.5" customHeight="1">
      <c r="A259" s="1316"/>
      <c r="B259" s="1316"/>
      <c r="C259" s="1364"/>
      <c r="D259" s="1365" t="s">
        <v>2933</v>
      </c>
      <c r="E259" s="1362"/>
      <c r="F259" s="1362"/>
      <c r="G259" s="1362"/>
      <c r="H259" s="1362"/>
      <c r="I259" s="1362"/>
      <c r="J259" s="1362"/>
      <c r="K259" s="1362"/>
      <c r="L259" s="1362"/>
      <c r="M259" s="1362"/>
      <c r="N259" s="1362"/>
      <c r="O259" s="1362"/>
      <c r="P259" s="1362"/>
      <c r="Q259" s="1362"/>
      <c r="R259" s="1362"/>
      <c r="S259" s="1362"/>
      <c r="T259" s="1362"/>
      <c r="U259" s="1362"/>
      <c r="V259" s="1362"/>
      <c r="W259" s="1362"/>
      <c r="X259" s="1362"/>
      <c r="Y259" s="1362"/>
      <c r="Z259" s="1183"/>
      <c r="AA259" s="1183"/>
      <c r="AB259" s="1183"/>
      <c r="AC259" s="1183"/>
      <c r="AD259" s="1183"/>
      <c r="AE259" s="1183"/>
      <c r="AF259" s="1183"/>
      <c r="AG259" s="1282"/>
      <c r="AH259" s="1283"/>
      <c r="AI259" s="1283"/>
      <c r="AJ259" s="1183"/>
      <c r="AK259" s="1183"/>
      <c r="AL259" s="1185">
        <v>1</v>
      </c>
      <c r="AM259" s="709"/>
      <c r="AN259" s="709"/>
    </row>
    <row r="260" spans="1:40" s="1361" customFormat="1" ht="40.5" customHeight="1">
      <c r="A260" s="1316"/>
      <c r="B260" s="1316"/>
      <c r="C260" s="1366"/>
      <c r="D260" s="1367" t="s">
        <v>3172</v>
      </c>
      <c r="E260" s="1362"/>
      <c r="F260" s="1362"/>
      <c r="G260" s="1362"/>
      <c r="H260" s="1362"/>
      <c r="I260" s="1362"/>
      <c r="J260" s="1362"/>
      <c r="K260" s="1362"/>
      <c r="L260" s="1362"/>
      <c r="M260" s="1362"/>
      <c r="N260" s="1362"/>
      <c r="O260" s="1362"/>
      <c r="P260" s="1362"/>
      <c r="Q260" s="1362"/>
      <c r="R260" s="1362"/>
      <c r="S260" s="1362"/>
      <c r="T260" s="1362"/>
      <c r="U260" s="1362"/>
      <c r="V260" s="1362"/>
      <c r="W260" s="1362"/>
      <c r="X260" s="1362"/>
      <c r="Y260" s="1362"/>
      <c r="Z260" s="1183"/>
      <c r="AA260" s="1183"/>
      <c r="AB260" s="1183"/>
      <c r="AC260" s="1183"/>
      <c r="AD260" s="1183"/>
      <c r="AE260" s="1183"/>
      <c r="AF260" s="1183"/>
      <c r="AG260" s="1282"/>
      <c r="AH260" s="1283"/>
      <c r="AI260" s="1283"/>
      <c r="AJ260" s="1183"/>
      <c r="AK260" s="1183"/>
      <c r="AL260" s="1185">
        <v>1</v>
      </c>
      <c r="AM260" s="709"/>
      <c r="AN260" s="709"/>
    </row>
    <row r="261" spans="1:40" s="1361" customFormat="1" ht="40.5" customHeight="1">
      <c r="A261" s="1316"/>
      <c r="B261" s="1316"/>
      <c r="C261" s="1364"/>
      <c r="D261" s="1365" t="s">
        <v>2935</v>
      </c>
      <c r="E261" s="1362"/>
      <c r="F261" s="1362"/>
      <c r="G261" s="1362"/>
      <c r="H261" s="1362"/>
      <c r="I261" s="1362"/>
      <c r="J261" s="1362"/>
      <c r="K261" s="1362"/>
      <c r="L261" s="1362"/>
      <c r="M261" s="1362"/>
      <c r="N261" s="1362"/>
      <c r="O261" s="1362"/>
      <c r="P261" s="1362"/>
      <c r="Q261" s="1362"/>
      <c r="R261" s="1362"/>
      <c r="S261" s="1362"/>
      <c r="T261" s="1362"/>
      <c r="U261" s="1362"/>
      <c r="V261" s="1362"/>
      <c r="W261" s="1362"/>
      <c r="X261" s="1362"/>
      <c r="Y261" s="1362"/>
      <c r="Z261" s="1183"/>
      <c r="AA261" s="1183"/>
      <c r="AB261" s="1183"/>
      <c r="AC261" s="1183"/>
      <c r="AD261" s="1183"/>
      <c r="AE261" s="1183"/>
      <c r="AF261" s="1183"/>
      <c r="AG261" s="1282"/>
      <c r="AH261" s="1283"/>
      <c r="AI261" s="1283"/>
      <c r="AJ261" s="1183"/>
      <c r="AK261" s="1183"/>
      <c r="AL261" s="1185">
        <v>1</v>
      </c>
      <c r="AM261" s="709"/>
      <c r="AN261" s="709"/>
    </row>
    <row r="262" spans="1:40" s="1361" customFormat="1" ht="40.5" customHeight="1">
      <c r="A262" s="1316"/>
      <c r="B262" s="1316"/>
      <c r="C262" s="1364"/>
      <c r="D262" s="1365" t="s">
        <v>2936</v>
      </c>
      <c r="E262" s="1362"/>
      <c r="F262" s="1362"/>
      <c r="G262" s="1362"/>
      <c r="H262" s="1362"/>
      <c r="I262" s="1362"/>
      <c r="J262" s="1362"/>
      <c r="K262" s="1362"/>
      <c r="L262" s="1362"/>
      <c r="M262" s="1362"/>
      <c r="N262" s="1362"/>
      <c r="O262" s="1362"/>
      <c r="P262" s="1362"/>
      <c r="Q262" s="1362"/>
      <c r="R262" s="1362"/>
      <c r="S262" s="1362"/>
      <c r="T262" s="1362"/>
      <c r="U262" s="1362"/>
      <c r="V262" s="1362"/>
      <c r="W262" s="1362"/>
      <c r="X262" s="1362"/>
      <c r="Y262" s="1362"/>
      <c r="Z262" s="1183"/>
      <c r="AA262" s="1183"/>
      <c r="AB262" s="1183"/>
      <c r="AC262" s="1183"/>
      <c r="AD262" s="1183"/>
      <c r="AE262" s="1183"/>
      <c r="AF262" s="1183"/>
      <c r="AG262" s="1282"/>
      <c r="AH262" s="1283"/>
      <c r="AI262" s="1283"/>
      <c r="AJ262" s="1183"/>
      <c r="AK262" s="1183"/>
      <c r="AL262" s="1185">
        <v>1</v>
      </c>
      <c r="AM262" s="709"/>
      <c r="AN262" s="709"/>
    </row>
    <row r="263" spans="1:40" s="1361" customFormat="1" ht="40.5" customHeight="1">
      <c r="A263" s="1316"/>
      <c r="B263" s="1281"/>
      <c r="C263" s="1316"/>
      <c r="D263" s="1316"/>
      <c r="E263" s="1316"/>
      <c r="F263" s="1316"/>
      <c r="G263" s="1316"/>
      <c r="H263" s="1316"/>
      <c r="I263" s="1246"/>
      <c r="J263" s="1316"/>
      <c r="K263" s="1316"/>
      <c r="L263" s="1316"/>
      <c r="M263" s="1316"/>
      <c r="N263" s="1316"/>
      <c r="O263" s="1246"/>
      <c r="P263" s="1246"/>
      <c r="Q263" s="1246"/>
      <c r="R263" s="1246"/>
      <c r="S263" s="1246"/>
      <c r="T263" s="1282"/>
      <c r="U263" s="1281"/>
      <c r="V263" s="1368"/>
      <c r="W263" s="1362"/>
      <c r="X263" s="1362"/>
      <c r="Y263" s="1362"/>
      <c r="Z263" s="1183"/>
      <c r="AA263" s="1183"/>
      <c r="AB263" s="1183"/>
      <c r="AC263" s="1183"/>
      <c r="AD263" s="1183"/>
      <c r="AE263" s="1183"/>
      <c r="AF263" s="1183"/>
      <c r="AG263" s="1282"/>
      <c r="AH263" s="1283"/>
      <c r="AI263" s="1283"/>
      <c r="AJ263" s="1183"/>
      <c r="AK263" s="1183"/>
      <c r="AL263" s="1185">
        <v>1</v>
      </c>
      <c r="AM263" s="709"/>
      <c r="AN263" s="709"/>
    </row>
    <row r="264" spans="1:40" s="1361" customFormat="1" ht="40.5" customHeight="1">
      <c r="A264" s="1316"/>
      <c r="B264" s="1281"/>
      <c r="C264" s="1316"/>
      <c r="D264" s="1316"/>
      <c r="E264" s="1316"/>
      <c r="F264" s="1316"/>
      <c r="G264" s="1316"/>
      <c r="H264" s="1316"/>
      <c r="I264" s="1246"/>
      <c r="J264" s="1316"/>
      <c r="K264" s="1316"/>
      <c r="L264" s="1316"/>
      <c r="M264" s="1316"/>
      <c r="N264" s="1316"/>
      <c r="O264" s="1246"/>
      <c r="P264" s="1246"/>
      <c r="Q264" s="1246"/>
      <c r="R264" s="1246"/>
      <c r="S264" s="1246"/>
      <c r="T264" s="1282"/>
      <c r="U264" s="1281"/>
      <c r="V264" s="1368"/>
      <c r="W264" s="1362"/>
      <c r="X264" s="1362"/>
      <c r="Y264" s="1362"/>
      <c r="Z264" s="1183"/>
      <c r="AA264" s="1183"/>
      <c r="AB264" s="1183"/>
      <c r="AC264" s="1183"/>
      <c r="AD264" s="1183"/>
      <c r="AE264" s="1183"/>
      <c r="AF264" s="1183"/>
      <c r="AG264" s="1282"/>
      <c r="AH264" s="1283"/>
      <c r="AI264" s="1283"/>
      <c r="AJ264" s="1183"/>
      <c r="AK264" s="1183"/>
      <c r="AL264" s="1185">
        <v>1</v>
      </c>
      <c r="AM264" s="709"/>
      <c r="AN264" s="709"/>
    </row>
    <row r="265" spans="1:40" s="1361" customFormat="1" ht="40.5" customHeight="1">
      <c r="A265" s="1316"/>
      <c r="B265" s="1281"/>
      <c r="C265" s="1316"/>
      <c r="D265" s="1316"/>
      <c r="E265" s="1316"/>
      <c r="F265" s="1316"/>
      <c r="G265" s="1316"/>
      <c r="H265" s="1316"/>
      <c r="I265" s="1246"/>
      <c r="J265" s="1316"/>
      <c r="K265" s="1316"/>
      <c r="L265" s="1316"/>
      <c r="M265" s="1316"/>
      <c r="N265" s="1316"/>
      <c r="O265" s="1246"/>
      <c r="P265" s="1246"/>
      <c r="Q265" s="1246"/>
      <c r="R265" s="1246"/>
      <c r="S265" s="1246"/>
      <c r="T265" s="1282"/>
      <c r="U265" s="1281"/>
      <c r="V265" s="1368"/>
      <c r="W265" s="1362"/>
      <c r="X265" s="1362"/>
      <c r="Y265" s="1362"/>
      <c r="Z265" s="1183"/>
      <c r="AA265" s="1183"/>
      <c r="AB265" s="1183"/>
      <c r="AC265" s="1183"/>
      <c r="AD265" s="1183"/>
      <c r="AE265" s="1183"/>
      <c r="AF265" s="1183"/>
      <c r="AG265" s="1282"/>
      <c r="AH265" s="1283"/>
      <c r="AI265" s="1283"/>
      <c r="AJ265" s="1183"/>
      <c r="AK265" s="1183"/>
      <c r="AL265" s="1185">
        <v>1</v>
      </c>
      <c r="AM265" s="709"/>
      <c r="AN265" s="709"/>
    </row>
    <row r="266" spans="1:40" s="1244" customFormat="1" ht="40.5" customHeight="1">
      <c r="A266" s="1181"/>
      <c r="B266" s="1281" t="s">
        <v>3183</v>
      </c>
      <c r="C266" s="1181"/>
      <c r="D266" s="1181"/>
      <c r="E266" s="1181"/>
      <c r="F266" s="1181"/>
      <c r="G266" s="1181"/>
      <c r="H266" s="1181"/>
      <c r="I266" s="1246"/>
      <c r="J266" s="1181"/>
      <c r="K266" s="1181"/>
      <c r="L266" s="1181"/>
      <c r="M266" s="1181"/>
      <c r="N266" s="1181"/>
      <c r="O266" s="1246"/>
      <c r="P266" s="1246"/>
      <c r="Q266" s="1246"/>
      <c r="R266" s="1246"/>
      <c r="S266" s="1246"/>
      <c r="T266" s="1183"/>
      <c r="U266" s="1183"/>
      <c r="V266" s="1183"/>
      <c r="W266" s="1183"/>
      <c r="X266" s="1183"/>
      <c r="Y266" s="1183"/>
      <c r="Z266" s="1183"/>
      <c r="AA266" s="1183"/>
      <c r="AB266" s="1183"/>
      <c r="AC266" s="1183"/>
      <c r="AD266" s="1183"/>
      <c r="AE266" s="1183"/>
      <c r="AF266" s="1183"/>
      <c r="AG266" s="1183"/>
      <c r="AH266" s="1183"/>
      <c r="AI266" s="1183"/>
      <c r="AJ266" s="1183"/>
      <c r="AK266" s="1183"/>
      <c r="AL266" s="1185">
        <v>1</v>
      </c>
      <c r="AM266" s="709"/>
      <c r="AN266" s="709"/>
    </row>
    <row r="267" spans="1:40" s="1244" customFormat="1" ht="40.5" customHeight="1">
      <c r="A267" s="1181"/>
      <c r="B267" s="1256"/>
      <c r="C267" s="1369" t="s">
        <v>2851</v>
      </c>
      <c r="D267" s="1370" t="s">
        <v>17</v>
      </c>
      <c r="E267" s="1371" t="s">
        <v>2852</v>
      </c>
      <c r="F267" s="1372" t="s">
        <v>2853</v>
      </c>
      <c r="G267" s="1373" t="s">
        <v>2854</v>
      </c>
      <c r="H267" s="1374" t="s">
        <v>2855</v>
      </c>
      <c r="I267" s="1375" t="s">
        <v>2856</v>
      </c>
      <c r="J267" s="1376" t="s">
        <v>2857</v>
      </c>
      <c r="K267" s="1377" t="s">
        <v>458</v>
      </c>
      <c r="L267" s="1181"/>
      <c r="M267" s="1181"/>
      <c r="N267" s="1181"/>
      <c r="O267" s="1378" t="s">
        <v>2858</v>
      </c>
      <c r="P267" s="1379" t="s">
        <v>519</v>
      </c>
      <c r="Q267" s="1380" t="s">
        <v>2871</v>
      </c>
      <c r="R267" s="1381" t="s">
        <v>2872</v>
      </c>
      <c r="S267" s="1372" t="s">
        <v>2873</v>
      </c>
      <c r="T267" s="1382" t="s">
        <v>2874</v>
      </c>
      <c r="U267" s="1383" t="s">
        <v>2875</v>
      </c>
      <c r="V267" s="1384" t="s">
        <v>2876</v>
      </c>
      <c r="W267" s="1385" t="s">
        <v>2877</v>
      </c>
      <c r="X267" s="1386" t="s">
        <v>2878</v>
      </c>
      <c r="Y267" s="1371" t="s">
        <v>2879</v>
      </c>
      <c r="Z267" s="1183"/>
      <c r="AA267" s="1183"/>
      <c r="AB267" s="1183"/>
      <c r="AC267" s="1183"/>
      <c r="AD267" s="1183"/>
      <c r="AE267" s="1183"/>
      <c r="AF267" s="1183"/>
      <c r="AG267" s="1183"/>
      <c r="AH267" s="1183"/>
      <c r="AI267" s="1183"/>
      <c r="AJ267" s="1183"/>
      <c r="AK267" s="1183"/>
      <c r="AL267" s="1185">
        <v>1</v>
      </c>
      <c r="AM267" s="709"/>
      <c r="AN267" s="709"/>
    </row>
    <row r="268" spans="1:40" s="1244" customFormat="1" ht="40.5" customHeight="1">
      <c r="A268" s="1181"/>
      <c r="B268" s="1256"/>
      <c r="C268" s="1181"/>
      <c r="D268" s="1181"/>
      <c r="E268" s="1181"/>
      <c r="F268" s="1181"/>
      <c r="G268" s="1181"/>
      <c r="H268" s="1181"/>
      <c r="I268" s="1246"/>
      <c r="J268" s="1181"/>
      <c r="K268" s="1181"/>
      <c r="L268" s="1181"/>
      <c r="M268" s="1181"/>
      <c r="N268" s="1181"/>
      <c r="O268" s="1246"/>
      <c r="P268" s="1246"/>
      <c r="Q268" s="1246"/>
      <c r="R268" s="1246"/>
      <c r="S268" s="1246"/>
      <c r="T268" s="1183"/>
      <c r="U268" s="1183"/>
      <c r="V268" s="1183"/>
      <c r="W268" s="1183"/>
      <c r="X268" s="1183"/>
      <c r="Y268" s="1183"/>
      <c r="Z268" s="1183"/>
      <c r="AA268" s="1183"/>
      <c r="AB268" s="1183"/>
      <c r="AC268" s="1183"/>
      <c r="AD268" s="1183"/>
      <c r="AE268" s="1183"/>
      <c r="AF268" s="1183"/>
      <c r="AG268" s="1183"/>
      <c r="AH268" s="1183"/>
      <c r="AI268" s="1183"/>
      <c r="AJ268" s="1183"/>
      <c r="AK268" s="1183"/>
      <c r="AL268" s="1185">
        <v>1</v>
      </c>
      <c r="AM268" s="709"/>
      <c r="AN268" s="709"/>
    </row>
    <row r="269" spans="1:40" s="1244" customFormat="1" ht="40.5" customHeight="1">
      <c r="A269" s="1181"/>
      <c r="B269" s="1256"/>
      <c r="C269" s="1387" t="s">
        <v>2851</v>
      </c>
      <c r="D269" s="1387" t="s">
        <v>17</v>
      </c>
      <c r="E269" s="1387" t="s">
        <v>2852</v>
      </c>
      <c r="F269" s="1387" t="s">
        <v>2853</v>
      </c>
      <c r="G269" s="1387" t="s">
        <v>2854</v>
      </c>
      <c r="H269" s="1387" t="s">
        <v>2855</v>
      </c>
      <c r="I269" s="1387" t="s">
        <v>2856</v>
      </c>
      <c r="J269" s="1387" t="s">
        <v>2857</v>
      </c>
      <c r="K269" s="1387" t="s">
        <v>458</v>
      </c>
      <c r="L269" s="1181"/>
      <c r="M269" s="1181"/>
      <c r="N269" s="1181"/>
      <c r="O269" s="1387" t="s">
        <v>2858</v>
      </c>
      <c r="P269" s="1387" t="s">
        <v>519</v>
      </c>
      <c r="Q269" s="1387" t="s">
        <v>2871</v>
      </c>
      <c r="R269" s="1387" t="s">
        <v>2872</v>
      </c>
      <c r="S269" s="1387" t="s">
        <v>2873</v>
      </c>
      <c r="T269" s="1387" t="s">
        <v>2874</v>
      </c>
      <c r="U269" s="1387" t="s">
        <v>2875</v>
      </c>
      <c r="V269" s="1387" t="s">
        <v>2876</v>
      </c>
      <c r="W269" s="1387" t="s">
        <v>2877</v>
      </c>
      <c r="X269" s="1387" t="s">
        <v>2878</v>
      </c>
      <c r="Y269" s="1387" t="s">
        <v>2879</v>
      </c>
      <c r="Z269" s="1181"/>
      <c r="AA269" s="1181"/>
      <c r="AB269" s="1181"/>
      <c r="AC269" s="1181"/>
      <c r="AD269" s="1181"/>
      <c r="AE269" s="1181"/>
      <c r="AF269" s="1181"/>
      <c r="AG269" s="1181"/>
      <c r="AH269" s="1181"/>
      <c r="AI269" s="1181"/>
      <c r="AJ269" s="1181"/>
      <c r="AK269" s="1181"/>
      <c r="AL269" s="1185">
        <v>1</v>
      </c>
      <c r="AM269" s="709"/>
      <c r="AN269" s="709"/>
    </row>
    <row r="270" spans="1:40" s="1244" customFormat="1" ht="40.5" customHeight="1">
      <c r="A270" s="1181"/>
      <c r="B270" s="1256"/>
      <c r="C270" s="1181"/>
      <c r="D270" s="1181"/>
      <c r="E270" s="1181"/>
      <c r="F270" s="1181"/>
      <c r="G270" s="1181"/>
      <c r="H270" s="1181"/>
      <c r="I270" s="1246"/>
      <c r="J270" s="1181"/>
      <c r="K270" s="1181"/>
      <c r="L270" s="1181"/>
      <c r="M270" s="1181"/>
      <c r="N270" s="1181"/>
      <c r="O270" s="1246"/>
      <c r="P270" s="1246"/>
      <c r="Q270" s="1246"/>
      <c r="R270" s="1246"/>
      <c r="S270" s="1246"/>
      <c r="T270" s="1183"/>
      <c r="U270" s="1183"/>
      <c r="V270" s="1183"/>
      <c r="W270" s="1183"/>
      <c r="X270" s="1183"/>
      <c r="Y270" s="1183"/>
      <c r="Z270" s="1183"/>
      <c r="AA270" s="1183"/>
      <c r="AB270" s="1183"/>
      <c r="AC270" s="1183"/>
      <c r="AD270" s="1183"/>
      <c r="AE270" s="1183"/>
      <c r="AF270" s="1183"/>
      <c r="AG270" s="1282"/>
      <c r="AH270" s="1283"/>
      <c r="AI270" s="1283"/>
      <c r="AJ270" s="1183"/>
      <c r="AK270" s="1183"/>
      <c r="AL270" s="1185">
        <v>1</v>
      </c>
      <c r="AM270" s="709"/>
      <c r="AN270" s="709"/>
    </row>
    <row r="271" spans="1:40" s="1244" customFormat="1" ht="40.5" customHeight="1">
      <c r="A271" s="1181"/>
      <c r="B271" s="1256"/>
      <c r="C271" s="1388">
        <v>1</v>
      </c>
      <c r="D271" s="1388" t="s">
        <v>2938</v>
      </c>
      <c r="E271" s="1388" t="s">
        <v>2939</v>
      </c>
      <c r="F271" s="1388" t="s">
        <v>2940</v>
      </c>
      <c r="G271" s="1388" t="s">
        <v>2941</v>
      </c>
      <c r="H271" s="1388" t="s">
        <v>2942</v>
      </c>
      <c r="I271" s="1388" t="s">
        <v>2943</v>
      </c>
      <c r="J271" s="1388" t="s">
        <v>2944</v>
      </c>
      <c r="K271" s="1388" t="s">
        <v>2945</v>
      </c>
      <c r="L271" s="1181"/>
      <c r="M271" s="1181"/>
      <c r="N271" s="1181"/>
      <c r="O271" s="1388" t="s">
        <v>2946</v>
      </c>
      <c r="P271" s="1388" t="s">
        <v>2947</v>
      </c>
      <c r="Q271" s="1388" t="s">
        <v>2948</v>
      </c>
      <c r="R271" s="1388" t="s">
        <v>2949</v>
      </c>
      <c r="S271" s="1388" t="s">
        <v>2950</v>
      </c>
      <c r="T271" s="1388" t="s">
        <v>2951</v>
      </c>
      <c r="U271" s="1388" t="s">
        <v>2952</v>
      </c>
      <c r="V271" s="1388" t="s">
        <v>2953</v>
      </c>
      <c r="W271" s="1388" t="s">
        <v>2954</v>
      </c>
      <c r="X271" s="1388" t="s">
        <v>2955</v>
      </c>
      <c r="Y271" s="1388" t="s">
        <v>2956</v>
      </c>
      <c r="Z271" s="1389">
        <v>15.5</v>
      </c>
      <c r="AA271" s="1183"/>
      <c r="AB271" s="1183"/>
      <c r="AC271" s="1183"/>
      <c r="AD271" s="1183"/>
      <c r="AE271" s="1183"/>
      <c r="AF271" s="1183"/>
      <c r="AG271" s="1282"/>
      <c r="AH271" s="1283"/>
      <c r="AI271" s="1283"/>
      <c r="AJ271" s="1183"/>
      <c r="AK271" s="1183"/>
      <c r="AL271" s="1185">
        <v>1</v>
      </c>
      <c r="AM271" s="709"/>
      <c r="AN271" s="709"/>
    </row>
    <row r="272" spans="1:40" s="1244" customFormat="1" ht="40.5" customHeight="1">
      <c r="A272" s="1181"/>
      <c r="B272" s="1256"/>
      <c r="C272" s="1181"/>
      <c r="D272" s="1181"/>
      <c r="E272" s="1181"/>
      <c r="F272" s="1181"/>
      <c r="G272" s="1181"/>
      <c r="H272" s="1181"/>
      <c r="I272" s="1246"/>
      <c r="J272" s="1181"/>
      <c r="K272" s="1181"/>
      <c r="L272" s="1181"/>
      <c r="M272" s="1181"/>
      <c r="N272" s="1181"/>
      <c r="O272" s="1246"/>
      <c r="P272" s="1246"/>
      <c r="Q272" s="1246"/>
      <c r="R272" s="1246"/>
      <c r="S272" s="1246"/>
      <c r="T272" s="1183"/>
      <c r="U272" s="1183"/>
      <c r="V272" s="1183"/>
      <c r="W272" s="1183"/>
      <c r="X272" s="1183"/>
      <c r="Y272" s="1183"/>
      <c r="Z272" s="1284" t="s">
        <v>3184</v>
      </c>
      <c r="AA272" s="1183"/>
      <c r="AB272" s="1183"/>
      <c r="AC272" s="1183"/>
      <c r="AD272" s="1183"/>
      <c r="AE272" s="1183"/>
      <c r="AF272" s="1183"/>
      <c r="AG272" s="1282"/>
      <c r="AH272" s="1283"/>
      <c r="AI272" s="1283"/>
      <c r="AJ272" s="1183"/>
      <c r="AK272" s="1183"/>
      <c r="AL272" s="1185">
        <v>1</v>
      </c>
      <c r="AM272" s="709"/>
      <c r="AN272" s="709"/>
    </row>
    <row r="273" spans="1:40" s="1244" customFormat="1" ht="40.5" customHeight="1">
      <c r="A273" s="1181"/>
      <c r="B273" s="1256"/>
      <c r="C273" s="1390">
        <v>1</v>
      </c>
      <c r="D273" s="1391">
        <v>2</v>
      </c>
      <c r="E273" s="1390">
        <v>3</v>
      </c>
      <c r="F273" s="1391">
        <v>4</v>
      </c>
      <c r="G273" s="1390">
        <v>5</v>
      </c>
      <c r="H273" s="1391">
        <v>6</v>
      </c>
      <c r="I273" s="1390">
        <v>7</v>
      </c>
      <c r="J273" s="1391">
        <v>8</v>
      </c>
      <c r="K273" s="1390">
        <v>9</v>
      </c>
      <c r="L273" s="1181"/>
      <c r="M273" s="1181"/>
      <c r="N273" s="1181"/>
      <c r="O273" s="1391">
        <v>10</v>
      </c>
      <c r="P273" s="1390">
        <v>11</v>
      </c>
      <c r="Q273" s="1391">
        <v>12</v>
      </c>
      <c r="R273" s="1390">
        <v>13</v>
      </c>
      <c r="S273" s="1391">
        <v>14</v>
      </c>
      <c r="T273" s="1390">
        <v>15</v>
      </c>
      <c r="U273" s="1391">
        <v>16</v>
      </c>
      <c r="V273" s="1390">
        <v>17</v>
      </c>
      <c r="W273" s="1391">
        <v>18</v>
      </c>
      <c r="X273" s="1390">
        <v>19</v>
      </c>
      <c r="Y273" s="1391">
        <v>20</v>
      </c>
      <c r="Z273" s="1183"/>
      <c r="AA273" s="1183"/>
      <c r="AB273" s="1183"/>
      <c r="AC273" s="1183"/>
      <c r="AD273" s="1183"/>
      <c r="AE273" s="1183"/>
      <c r="AF273" s="1183"/>
      <c r="AG273" s="1282"/>
      <c r="AH273" s="1283"/>
      <c r="AI273" s="1283"/>
      <c r="AJ273" s="1183"/>
      <c r="AK273" s="1183"/>
      <c r="AL273" s="1185">
        <v>1</v>
      </c>
      <c r="AM273" s="709"/>
      <c r="AN273" s="709"/>
    </row>
    <row r="274" spans="1:40" s="1361" customFormat="1" ht="40.5" customHeight="1">
      <c r="A274" s="1316"/>
      <c r="B274" s="1281"/>
      <c r="C274" s="1316"/>
      <c r="D274" s="1316"/>
      <c r="E274" s="1316"/>
      <c r="F274" s="1316"/>
      <c r="G274" s="1316"/>
      <c r="H274" s="1316"/>
      <c r="I274" s="1246"/>
      <c r="J274" s="1316"/>
      <c r="K274" s="1316"/>
      <c r="L274" s="1316"/>
      <c r="M274" s="1316"/>
      <c r="N274" s="1316"/>
      <c r="O274" s="1246"/>
      <c r="P274" s="1246"/>
      <c r="Q274" s="1246"/>
      <c r="R274" s="1246"/>
      <c r="S274" s="1246"/>
      <c r="T274" s="1282"/>
      <c r="U274" s="1281"/>
      <c r="V274" s="1368"/>
      <c r="W274" s="1362"/>
      <c r="X274" s="1362"/>
      <c r="Y274" s="1362"/>
      <c r="Z274" s="1183"/>
      <c r="AA274" s="1183"/>
      <c r="AB274" s="1183"/>
      <c r="AC274" s="1183"/>
      <c r="AD274" s="1183"/>
      <c r="AE274" s="1183"/>
      <c r="AF274" s="1183"/>
      <c r="AG274" s="1282"/>
      <c r="AH274" s="1283"/>
      <c r="AI274" s="1283"/>
      <c r="AJ274" s="1183"/>
      <c r="AK274" s="1183"/>
      <c r="AL274" s="1185">
        <v>1</v>
      </c>
      <c r="AM274" s="709"/>
      <c r="AN274" s="709"/>
    </row>
    <row r="275" spans="1:40" s="1361" customFormat="1" ht="40.5" customHeight="1">
      <c r="A275" s="1316"/>
      <c r="B275" s="1392"/>
      <c r="C275" s="1393" t="s">
        <v>2958</v>
      </c>
      <c r="D275" s="1394"/>
      <c r="E275" s="1282"/>
      <c r="F275" s="1395" t="s">
        <v>3185</v>
      </c>
      <c r="G275" s="1396"/>
      <c r="H275" s="1396"/>
      <c r="I275" s="1396"/>
      <c r="J275" s="1396"/>
      <c r="K275" s="1396"/>
      <c r="L275" s="1246"/>
      <c r="M275" s="1246"/>
      <c r="N275" s="1316"/>
      <c r="O275" s="1246"/>
      <c r="P275" s="1282"/>
      <c r="Q275" s="1282"/>
      <c r="R275" s="1246"/>
      <c r="S275" s="1246"/>
      <c r="T275" s="1282"/>
      <c r="U275" s="1282"/>
      <c r="V275" s="1368"/>
      <c r="W275" s="1362"/>
      <c r="X275" s="1362"/>
      <c r="Y275" s="1362"/>
      <c r="Z275" s="1397" t="s">
        <v>353</v>
      </c>
      <c r="AA275" s="1183"/>
      <c r="AB275" s="1183"/>
      <c r="AC275" s="1183"/>
      <c r="AD275" s="1183"/>
      <c r="AE275" s="1183"/>
      <c r="AF275" s="1183"/>
      <c r="AG275" s="1282"/>
      <c r="AH275" s="1283"/>
      <c r="AI275" s="1283"/>
      <c r="AJ275" s="1183"/>
      <c r="AK275" s="1183"/>
      <c r="AL275" s="1185">
        <v>1</v>
      </c>
      <c r="AM275" s="709"/>
      <c r="AN275" s="709"/>
    </row>
    <row r="276" spans="1:40" s="1361" customFormat="1" ht="40.5" customHeight="1">
      <c r="A276" s="1316"/>
      <c r="B276" s="1392"/>
      <c r="C276" s="1398">
        <v>3</v>
      </c>
      <c r="D276" s="1394"/>
      <c r="E276" s="1316"/>
      <c r="F276" s="1316"/>
      <c r="G276" s="1316"/>
      <c r="H276" s="1246"/>
      <c r="I276" s="1246"/>
      <c r="J276" s="1246"/>
      <c r="K276" s="1246"/>
      <c r="L276" s="1246"/>
      <c r="M276" s="1246"/>
      <c r="N276" s="1316"/>
      <c r="O276" s="1246"/>
      <c r="P276" s="1246"/>
      <c r="Q276" s="1246"/>
      <c r="R276" s="1246"/>
      <c r="S276" s="1246"/>
      <c r="T276" s="1282"/>
      <c r="U276" s="1282"/>
      <c r="V276" s="1368"/>
      <c r="W276" s="1362"/>
      <c r="X276" s="1362"/>
      <c r="Y276" s="1362"/>
      <c r="Z276" s="1183"/>
      <c r="AA276" s="1183"/>
      <c r="AB276" s="1183"/>
      <c r="AC276" s="1183"/>
      <c r="AD276" s="1183"/>
      <c r="AE276" s="1183"/>
      <c r="AF276" s="1183"/>
      <c r="AG276" s="1282"/>
      <c r="AH276" s="1283"/>
      <c r="AI276" s="1283"/>
      <c r="AJ276" s="1183"/>
      <c r="AK276" s="1183"/>
      <c r="AL276" s="1185">
        <v>1</v>
      </c>
      <c r="AM276" s="709"/>
      <c r="AN276" s="709"/>
    </row>
    <row r="277" spans="1:40" s="1361" customFormat="1" ht="40.5" customHeight="1">
      <c r="A277" s="1316"/>
      <c r="B277" s="1392"/>
      <c r="C277" s="1316"/>
      <c r="D277" s="1316"/>
      <c r="E277" s="1316"/>
      <c r="F277" s="1316"/>
      <c r="G277" s="1316"/>
      <c r="H277" s="1399" t="s">
        <v>3186</v>
      </c>
      <c r="I277" s="1400"/>
      <c r="J277" s="1400"/>
      <c r="K277" s="1316"/>
      <c r="L277" s="1316"/>
      <c r="M277" s="1316"/>
      <c r="N277" s="1316"/>
      <c r="O277" s="1246"/>
      <c r="P277" s="1246"/>
      <c r="Q277" s="1401" t="s">
        <v>1672</v>
      </c>
      <c r="R277" s="1402" t="s">
        <v>2961</v>
      </c>
      <c r="S277" s="1403" t="s">
        <v>2962</v>
      </c>
      <c r="T277" s="1282"/>
      <c r="U277" s="1282"/>
      <c r="V277" s="1368"/>
      <c r="W277" s="1362"/>
      <c r="X277" s="1362"/>
      <c r="Y277" s="1362"/>
      <c r="Z277" s="1183"/>
      <c r="AA277" s="1183"/>
      <c r="AB277" s="1183"/>
      <c r="AC277" s="1183"/>
      <c r="AD277" s="1183"/>
      <c r="AE277" s="1183"/>
      <c r="AF277" s="1183"/>
      <c r="AG277" s="1282"/>
      <c r="AH277" s="1283"/>
      <c r="AI277" s="1283"/>
      <c r="AJ277" s="1183"/>
      <c r="AK277" s="1183"/>
      <c r="AL277" s="1185">
        <v>1</v>
      </c>
      <c r="AM277" s="709"/>
      <c r="AN277" s="709"/>
    </row>
    <row r="278" spans="1:40" s="1361" customFormat="1" ht="40.5" customHeight="1">
      <c r="A278" s="1316"/>
      <c r="B278" s="1392"/>
      <c r="C278" s="1404" t="s">
        <v>3187</v>
      </c>
      <c r="D278" s="1316"/>
      <c r="E278" s="1405"/>
      <c r="F278" s="1316"/>
      <c r="G278" s="1316"/>
      <c r="H278" s="1406" t="s">
        <v>2964</v>
      </c>
      <c r="I278" s="1406" t="s">
        <v>2965</v>
      </c>
      <c r="J278" s="1406" t="s">
        <v>2966</v>
      </c>
      <c r="K278" s="1362" t="s">
        <v>2967</v>
      </c>
      <c r="L278" s="1362"/>
      <c r="M278" s="1362"/>
      <c r="N278" s="1316"/>
      <c r="O278" s="1282"/>
      <c r="P278" s="1282"/>
      <c r="Q278" s="1404" t="s">
        <v>3189</v>
      </c>
      <c r="R278" s="1282"/>
      <c r="S278" s="1282"/>
      <c r="T278" s="1282"/>
      <c r="U278" s="1282"/>
      <c r="V278" s="1368"/>
      <c r="W278" s="1362"/>
      <c r="X278" s="1362"/>
      <c r="Y278" s="1362"/>
      <c r="Z278" s="1282"/>
      <c r="AA278" s="1282"/>
      <c r="AB278" s="1282"/>
      <c r="AC278" s="1282"/>
      <c r="AD278" s="1282"/>
      <c r="AE278" s="1282"/>
      <c r="AF278" s="1282"/>
      <c r="AG278" s="1282"/>
      <c r="AH278" s="1283"/>
      <c r="AI278" s="1283"/>
      <c r="AJ278" s="1183"/>
      <c r="AK278" s="1183"/>
      <c r="AL278" s="1185">
        <v>1</v>
      </c>
      <c r="AM278" s="709"/>
      <c r="AN278" s="709"/>
    </row>
    <row r="279" spans="1:40" s="1361" customFormat="1" ht="40.5" customHeight="1">
      <c r="A279" s="1316"/>
      <c r="B279" s="1392"/>
      <c r="C279" s="1404" t="s">
        <v>3188</v>
      </c>
      <c r="D279" s="1316"/>
      <c r="E279" s="1405"/>
      <c r="F279" s="1316"/>
      <c r="G279" s="1316"/>
      <c r="H279" s="1406" t="s">
        <v>2970</v>
      </c>
      <c r="I279" s="1406" t="s">
        <v>2971</v>
      </c>
      <c r="J279" s="1406" t="s">
        <v>2972</v>
      </c>
      <c r="K279" s="1362" t="s">
        <v>2973</v>
      </c>
      <c r="L279" s="1362"/>
      <c r="M279" s="1362"/>
      <c r="N279" s="1316"/>
      <c r="O279" s="1246"/>
      <c r="P279" s="1246"/>
      <c r="Q279" s="1401" t="s">
        <v>1673</v>
      </c>
      <c r="R279" s="1402" t="s">
        <v>2974</v>
      </c>
      <c r="S279" s="1402" t="s">
        <v>2975</v>
      </c>
      <c r="T279" s="1282"/>
      <c r="U279" s="1282"/>
      <c r="V279" s="1368"/>
      <c r="W279" s="1362"/>
      <c r="X279" s="1362"/>
      <c r="Y279" s="1362"/>
      <c r="Z279" s="1362"/>
      <c r="AA279" s="1362"/>
      <c r="AB279" s="1362"/>
      <c r="AC279" s="1362"/>
      <c r="AD279" s="1362"/>
      <c r="AE279" s="1362"/>
      <c r="AF279" s="1282"/>
      <c r="AG279" s="1282"/>
      <c r="AH279" s="1283"/>
      <c r="AI279" s="1283"/>
      <c r="AJ279" s="1183"/>
      <c r="AK279" s="1183"/>
      <c r="AL279" s="1185">
        <v>1</v>
      </c>
      <c r="AM279" s="709"/>
      <c r="AN279" s="709"/>
    </row>
    <row r="280" spans="1:40" s="1361" customFormat="1" ht="40.5" customHeight="1">
      <c r="A280" s="1316"/>
      <c r="B280" s="1392"/>
      <c r="C280" s="1404"/>
      <c r="D280" s="1316"/>
      <c r="E280" s="1404"/>
      <c r="F280" s="1407"/>
      <c r="G280" s="1404"/>
      <c r="H280" s="1404"/>
      <c r="I280" s="1316"/>
      <c r="J280" s="1316"/>
      <c r="K280" s="1316"/>
      <c r="L280" s="1316"/>
      <c r="M280" s="1316"/>
      <c r="N280" s="1316"/>
      <c r="O280" s="1316"/>
      <c r="P280" s="1316"/>
      <c r="Q280" s="1316"/>
      <c r="R280" s="1316"/>
      <c r="S280" s="1282"/>
      <c r="T280" s="1282"/>
      <c r="U280" s="1282"/>
      <c r="V280" s="1368"/>
      <c r="W280" s="1362"/>
      <c r="X280" s="1362"/>
      <c r="Y280" s="1362"/>
      <c r="Z280" s="1362"/>
      <c r="AA280" s="1362"/>
      <c r="AB280" s="1362"/>
      <c r="AC280" s="1362"/>
      <c r="AD280" s="1362"/>
      <c r="AE280" s="1362"/>
      <c r="AF280" s="1282"/>
      <c r="AG280" s="1282"/>
      <c r="AH280" s="1283"/>
      <c r="AI280" s="1283"/>
      <c r="AJ280" s="1183"/>
      <c r="AK280" s="1183"/>
      <c r="AL280" s="1185">
        <v>1</v>
      </c>
      <c r="AM280" s="709"/>
      <c r="AN280" s="709"/>
    </row>
    <row r="281" spans="1:40">
      <c r="AL281" s="1408" t="s">
        <v>823</v>
      </c>
      <c r="AM281" s="852"/>
      <c r="AN281" s="852"/>
    </row>
    <row r="282" spans="1:40">
      <c r="A282" s="1185">
        <v>1</v>
      </c>
      <c r="B282" s="1185">
        <v>1</v>
      </c>
      <c r="C282" s="1185">
        <v>1</v>
      </c>
      <c r="D282" s="1185">
        <v>1</v>
      </c>
      <c r="E282" s="1185">
        <v>1</v>
      </c>
      <c r="F282" s="1185">
        <v>1</v>
      </c>
      <c r="G282" s="1185">
        <v>1</v>
      </c>
      <c r="H282" s="1185">
        <v>1</v>
      </c>
      <c r="I282" s="1185">
        <v>1</v>
      </c>
      <c r="J282" s="1185">
        <v>1</v>
      </c>
      <c r="K282" s="1185">
        <v>1</v>
      </c>
      <c r="L282" s="1185">
        <v>1</v>
      </c>
      <c r="M282" s="1185">
        <v>1</v>
      </c>
      <c r="N282" s="1185">
        <v>1</v>
      </c>
      <c r="O282" s="1185">
        <v>1</v>
      </c>
      <c r="P282" s="1185">
        <v>1</v>
      </c>
      <c r="Q282" s="1185">
        <v>1</v>
      </c>
      <c r="R282" s="1185">
        <v>1</v>
      </c>
      <c r="S282" s="1185">
        <v>1</v>
      </c>
      <c r="T282" s="1185">
        <v>1</v>
      </c>
      <c r="U282" s="1185">
        <v>1</v>
      </c>
      <c r="V282" s="1185">
        <v>1</v>
      </c>
      <c r="W282" s="1185">
        <v>1</v>
      </c>
      <c r="X282" s="1185">
        <v>1</v>
      </c>
      <c r="Y282" s="1185">
        <v>1</v>
      </c>
      <c r="Z282" s="1185">
        <v>1</v>
      </c>
      <c r="AA282" s="1185">
        <v>1</v>
      </c>
      <c r="AB282" s="1185">
        <v>1</v>
      </c>
      <c r="AC282" s="1185">
        <v>1</v>
      </c>
      <c r="AD282" s="1185">
        <v>1</v>
      </c>
      <c r="AE282" s="1185">
        <v>1</v>
      </c>
      <c r="AF282" s="1185">
        <v>1</v>
      </c>
      <c r="AG282" s="1185">
        <v>1</v>
      </c>
      <c r="AH282" s="1185">
        <v>1</v>
      </c>
      <c r="AI282" s="1185">
        <v>1</v>
      </c>
      <c r="AJ282" s="1185">
        <v>1</v>
      </c>
      <c r="AK282" s="1185">
        <v>1</v>
      </c>
      <c r="AL282" s="1" t="str">
        <f>ADDRESS(ROW(),COLUMN(),4)</f>
        <v>AL282</v>
      </c>
      <c r="AM282" s="710"/>
      <c r="AN282" s="711" t="str">
        <f>ADDRESS(ROW(),COLUMN(),4)</f>
        <v>AN282</v>
      </c>
    </row>
  </sheetData>
  <mergeCells count="14">
    <mergeCell ref="C227:D227"/>
    <mergeCell ref="X8:AC9"/>
    <mergeCell ref="B132:P132"/>
    <mergeCell ref="J133:K133"/>
    <mergeCell ref="M112:M117"/>
    <mergeCell ref="B134:B135"/>
    <mergeCell ref="D215:J215"/>
    <mergeCell ref="D223:K224"/>
    <mergeCell ref="E70:M71"/>
    <mergeCell ref="E85:I86"/>
    <mergeCell ref="E88:I89"/>
    <mergeCell ref="E91:I92"/>
    <mergeCell ref="E98:I99"/>
    <mergeCell ref="E101:I102"/>
  </mergeCells>
  <hyperlinks>
    <hyperlink ref="D190" r:id="rId1" display="https://www.extensis.com/fr-fr/blog/les-10-polices-alternatives-%C3%A0-helvetica" xr:uid="{2F42FA4F-14B8-400C-9DA2-0102C957C8E4}"/>
    <hyperlink ref="D198" r:id="rId2" display="https://fr.wikipedia.org/wiki/Calibri" xr:uid="{3E1CA4C4-D018-4784-AF7F-9B7FF97B750F}"/>
    <hyperlink ref="D199" r:id="rId3" display="https://kulturegeek.fr/news-224456/microsoft-police-voudriez-remplacer-calibri" xr:uid="{1B76A15E-F3F2-4ABE-BD70-E3464A325D07}"/>
    <hyperlink ref="D184" r:id="rId4" display="https://fr.wikipedia.org/wiki/Helvetica" xr:uid="{A2824499-BFF2-4291-BBDC-C3DE31C40374}"/>
    <hyperlink ref="D205" r:id="rId5" display="https://laruche.wizbii.com/17703-meilleure-police-ecriture-cv" xr:uid="{7D665D83-17A8-4682-B9A6-032DC0118D0F}"/>
    <hyperlink ref="D206" r:id="rId6" display="https://laruche.wizbii.com/17703-meilleure-police-ecriture-cv" xr:uid="{CE5AF6CA-60A9-45B0-9FFB-311735C70A14}"/>
    <hyperlink ref="D207" r:id="rId7" display="https://www.google.com/search?client=firefox-b-d&amp;cs=1&amp;sxsrf=AJOqlzWtAThXL_uLX0Izw5bcGDDqWJW1UA:1673858052794&amp;q=Quelle+est+la+police+d%27%C3%A9criture+la+plus+classe+%3F&amp;sa=X&amp;ved=2ahUKEwjYj4iV18v8AhXtTaQEHYpNBZ0Qzmd6BAgBEAU" xr:uid="{4A57819F-FC83-41EA-B806-48D30F944FA7}"/>
    <hyperlink ref="D189" r:id="rId8" xr:uid="{BF75F415-91CD-4A61-9DBA-21A606F64341}"/>
    <hyperlink ref="C123" r:id="rId9" xr:uid="{9798BE4E-7714-4A49-8BDB-BE9E34D9578B}"/>
    <hyperlink ref="R255" r:id="rId10" xr:uid="{E4BDBDB6-7974-4107-9C92-1280FD14386A}"/>
    <hyperlink ref="B143" r:id="rId11" xr:uid="{8662D8DE-321F-4641-9174-06762FA423CE}"/>
    <hyperlink ref="B149" r:id="rId12" xr:uid="{69F542D9-FA20-4E96-AC26-12C77CB470E8}"/>
    <hyperlink ref="B152" r:id="rId13" xr:uid="{EB35B670-2B19-46C6-A68F-1A207EBB2A2E}"/>
    <hyperlink ref="B153" r:id="rId14" xr:uid="{259D30BA-5FC8-40A7-88AA-3D1393CDFC34}"/>
    <hyperlink ref="B155" r:id="rId15" xr:uid="{4FCBFAEC-0216-41D2-A401-A8E86EA698BC}"/>
    <hyperlink ref="V234" r:id="rId16" xr:uid="{42166E63-9DC1-43E4-AFAE-CBDE8337D6FD}"/>
    <hyperlink ref="B158" r:id="rId17" xr:uid="{68D841C4-E720-4C3F-88E5-7FB0F8CB5A08}"/>
  </hyperlinks>
  <pageMargins left="0.7" right="0.7" top="0.75" bottom="0.75" header="0.3" footer="0.3"/>
  <pageSetup paperSize="9" orientation="portrait" r:id="rId18"/>
  <drawing r:id="rId19"/>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3227DC-B5D9-4AAB-8722-9FD3399CA2F6}">
  <dimension ref="A1:AG150"/>
  <sheetViews>
    <sheetView showZeros="0" tabSelected="1" zoomScaleNormal="100" workbookViewId="0">
      <selection activeCell="D21" sqref="D21"/>
    </sheetView>
  </sheetViews>
  <sheetFormatPr baseColWidth="10" defaultColWidth="11.42578125" defaultRowHeight="15"/>
  <cols>
    <col min="1" max="1" width="9.28515625" style="856" customWidth="1"/>
    <col min="2" max="2" width="15.7109375" style="856" customWidth="1"/>
    <col min="3" max="4" width="32.7109375" style="856" customWidth="1"/>
    <col min="5" max="5" width="12.85546875" style="856" customWidth="1"/>
    <col min="6" max="6" width="15.7109375" style="856" customWidth="1"/>
    <col min="7" max="8" width="32.7109375" style="856" customWidth="1"/>
    <col min="9" max="9" width="8.5703125" style="856" customWidth="1"/>
    <col min="10" max="10" width="15.7109375" style="856" customWidth="1"/>
    <col min="11" max="11" width="32.7109375" style="856" customWidth="1"/>
    <col min="12" max="12" width="32.7109375" style="709" customWidth="1"/>
    <col min="13" max="13" width="14.5703125" style="709" customWidth="1"/>
    <col min="14" max="32" width="11.42578125" style="856"/>
    <col min="33" max="33" width="37" style="856" customWidth="1"/>
    <col min="34" max="16384" width="11.42578125" style="856"/>
  </cols>
  <sheetData>
    <row r="1" spans="1:33" ht="15.75" thickTop="1">
      <c r="A1" s="1" t="str">
        <f>ADDRESS(ROW(),COLUMN(),4)</f>
        <v>A1</v>
      </c>
      <c r="B1" s="2" t="str">
        <f t="shared" ref="B1:AD1" si="0">SUBSTITUTE(ADDRESS(1,COLUMN(),4),"1","")</f>
        <v>B</v>
      </c>
      <c r="C1" s="2" t="str">
        <f t="shared" si="0"/>
        <v>C</v>
      </c>
      <c r="D1" s="2" t="str">
        <f t="shared" si="0"/>
        <v>D</v>
      </c>
      <c r="F1" s="2" t="str">
        <f t="shared" si="0"/>
        <v>F</v>
      </c>
      <c r="G1" s="2" t="str">
        <f t="shared" si="0"/>
        <v>G</v>
      </c>
      <c r="H1" s="2" t="str">
        <f t="shared" si="0"/>
        <v>H</v>
      </c>
      <c r="J1" s="2" t="str">
        <f t="shared" si="0"/>
        <v>J</v>
      </c>
      <c r="K1" s="2" t="str">
        <f t="shared" si="0"/>
        <v>K</v>
      </c>
      <c r="L1" s="2" t="str">
        <f t="shared" si="0"/>
        <v>L</v>
      </c>
      <c r="M1" s="231"/>
      <c r="N1" s="2" t="str">
        <f t="shared" si="0"/>
        <v>N</v>
      </c>
      <c r="O1" s="2" t="str">
        <f t="shared" si="0"/>
        <v>O</v>
      </c>
      <c r="P1" s="2" t="str">
        <f t="shared" si="0"/>
        <v>P</v>
      </c>
      <c r="Q1" s="2" t="str">
        <f t="shared" si="0"/>
        <v>Q</v>
      </c>
      <c r="R1" s="2" t="str">
        <f t="shared" si="0"/>
        <v>R</v>
      </c>
      <c r="S1" s="2" t="str">
        <f t="shared" si="0"/>
        <v>S</v>
      </c>
      <c r="T1" s="2" t="str">
        <f t="shared" si="0"/>
        <v>T</v>
      </c>
      <c r="U1" s="2" t="str">
        <f t="shared" si="0"/>
        <v>U</v>
      </c>
      <c r="V1" s="2" t="str">
        <f t="shared" si="0"/>
        <v>V</v>
      </c>
      <c r="W1" s="2" t="str">
        <f t="shared" si="0"/>
        <v>W</v>
      </c>
      <c r="X1" s="2" t="str">
        <f t="shared" si="0"/>
        <v>X</v>
      </c>
      <c r="Y1" s="2" t="str">
        <f t="shared" si="0"/>
        <v>Y</v>
      </c>
      <c r="Z1" s="2" t="str">
        <f t="shared" si="0"/>
        <v>Z</v>
      </c>
      <c r="AA1" s="2" t="str">
        <f t="shared" si="0"/>
        <v>AA</v>
      </c>
      <c r="AB1" s="2" t="str">
        <f t="shared" si="0"/>
        <v>AB</v>
      </c>
      <c r="AC1" s="2" t="str">
        <f t="shared" si="0"/>
        <v>AC</v>
      </c>
      <c r="AD1" s="2" t="str">
        <f t="shared" si="0"/>
        <v>AD</v>
      </c>
      <c r="AE1" s="3">
        <v>1</v>
      </c>
      <c r="AF1" s="4" t="str">
        <f>SUBSTITUTE(ADDRESS(1,COLUMN(),4),"1","")</f>
        <v>AF</v>
      </c>
      <c r="AG1" s="5" t="str">
        <f>SUBSTITUTE(ADDRESS(1,COLUMN(),4),"1","")</f>
        <v>AG</v>
      </c>
    </row>
    <row r="2" spans="1:33">
      <c r="B2" s="922">
        <f t="shared" ref="B2:P2" ca="1" si="1">CELL("largeur",B2)</f>
        <v>15</v>
      </c>
      <c r="C2" s="922">
        <f t="shared" ca="1" si="1"/>
        <v>32</v>
      </c>
      <c r="D2" s="922">
        <f t="shared" ca="1" si="1"/>
        <v>32</v>
      </c>
      <c r="F2" s="922">
        <f t="shared" ca="1" si="1"/>
        <v>15</v>
      </c>
      <c r="G2" s="922">
        <f t="shared" ca="1" si="1"/>
        <v>32</v>
      </c>
      <c r="H2" s="922">
        <f t="shared" ca="1" si="1"/>
        <v>32</v>
      </c>
      <c r="J2" s="922">
        <f t="shared" ca="1" si="1"/>
        <v>15</v>
      </c>
      <c r="K2" s="922">
        <f t="shared" ca="1" si="1"/>
        <v>32</v>
      </c>
      <c r="L2" s="922">
        <f t="shared" ca="1" si="1"/>
        <v>32</v>
      </c>
      <c r="M2" s="231"/>
      <c r="N2" s="922">
        <f t="shared" ca="1" si="1"/>
        <v>11</v>
      </c>
      <c r="O2" s="922">
        <f t="shared" ca="1" si="1"/>
        <v>11</v>
      </c>
      <c r="P2" s="922">
        <f t="shared" ca="1" si="1"/>
        <v>11</v>
      </c>
      <c r="Q2" s="922">
        <f t="shared" ref="Q2:V2" ca="1" si="2">CELL("largeur",Q2)</f>
        <v>11</v>
      </c>
      <c r="R2" s="922">
        <f t="shared" ca="1" si="2"/>
        <v>11</v>
      </c>
      <c r="S2" s="922">
        <f t="shared" ca="1" si="2"/>
        <v>11</v>
      </c>
      <c r="T2" s="922">
        <f t="shared" ca="1" si="2"/>
        <v>11</v>
      </c>
      <c r="U2" s="922">
        <f t="shared" ca="1" si="2"/>
        <v>11</v>
      </c>
      <c r="V2" s="922">
        <f t="shared" ca="1" si="2"/>
        <v>11</v>
      </c>
      <c r="W2" s="922">
        <f ca="1">CELL("largeur",W2)</f>
        <v>11</v>
      </c>
      <c r="X2" s="922">
        <f t="shared" ref="X2:AD2" ca="1" si="3">CELL("largeur",X2)</f>
        <v>11</v>
      </c>
      <c r="Y2" s="922">
        <f t="shared" ca="1" si="3"/>
        <v>11</v>
      </c>
      <c r="Z2" s="922">
        <f t="shared" ca="1" si="3"/>
        <v>11</v>
      </c>
      <c r="AA2" s="922">
        <f t="shared" ca="1" si="3"/>
        <v>11</v>
      </c>
      <c r="AB2" s="922">
        <f t="shared" ca="1" si="3"/>
        <v>11</v>
      </c>
      <c r="AC2" s="922">
        <f t="shared" ca="1" si="3"/>
        <v>11</v>
      </c>
      <c r="AD2" s="922">
        <f t="shared" ca="1" si="3"/>
        <v>11</v>
      </c>
      <c r="AE2" s="3">
        <v>1</v>
      </c>
      <c r="AF2" s="7" t="s">
        <v>3</v>
      </c>
      <c r="AG2" s="8"/>
    </row>
    <row r="3" spans="1:33" ht="19.5" thickBot="1">
      <c r="B3" s="5029">
        <v>15</v>
      </c>
      <c r="C3" s="5029">
        <v>32</v>
      </c>
      <c r="D3" s="5029">
        <v>32</v>
      </c>
      <c r="F3" s="5029">
        <v>15</v>
      </c>
      <c r="G3" s="5029">
        <v>32</v>
      </c>
      <c r="H3" s="5029">
        <v>32</v>
      </c>
      <c r="J3" s="5029">
        <v>15</v>
      </c>
      <c r="K3" s="5029">
        <v>32</v>
      </c>
      <c r="L3" s="5029">
        <v>32</v>
      </c>
      <c r="M3" s="231"/>
      <c r="N3" s="498"/>
      <c r="O3" s="498"/>
      <c r="P3" s="5416" t="str">
        <f ca="1">"Page "&amp;_xlfn.SHEET()&amp;" sur "&amp;_xlfn.SHEETS()</f>
        <v>Page 4 sur 27</v>
      </c>
      <c r="Q3" s="5416"/>
      <c r="R3" s="5416"/>
      <c r="S3" s="498"/>
      <c r="T3" s="498"/>
      <c r="U3" s="498"/>
      <c r="V3" s="498"/>
      <c r="W3" s="498"/>
      <c r="X3" s="498"/>
      <c r="Y3" s="498"/>
      <c r="Z3" s="498"/>
      <c r="AA3" s="498"/>
      <c r="AB3" s="941" t="s">
        <v>12820</v>
      </c>
      <c r="AC3" s="942" t="str">
        <f>Notice.utilisateur!$AE$150</f>
        <v>AE150</v>
      </c>
      <c r="AD3" s="498"/>
      <c r="AE3" s="3">
        <v>1</v>
      </c>
      <c r="AF3" s="11">
        <f ca="1">COUNTA(A1:AE150) + COUNTBLANK(A1:AE150)</f>
        <v>4650</v>
      </c>
      <c r="AG3" s="12" t="str">
        <f>"cellules entre -cells -celdas  "&amp;" " &amp;A1&amp;" et  "&amp;AE150</f>
        <v>cellules entre -cells -celdas   A1 et  AE150</v>
      </c>
    </row>
    <row r="4" spans="1:33" ht="16.5" thickBot="1">
      <c r="A4" s="498"/>
      <c r="M4" s="231"/>
      <c r="N4" s="498"/>
      <c r="O4" s="498"/>
      <c r="P4" s="498"/>
      <c r="Q4" s="498"/>
      <c r="R4" s="498"/>
      <c r="S4" s="498"/>
      <c r="T4" s="498"/>
      <c r="U4" s="498"/>
      <c r="V4" s="498"/>
      <c r="W4" s="498"/>
      <c r="X4" s="498"/>
      <c r="Y4" s="498"/>
      <c r="Z4" s="498"/>
      <c r="AA4" s="498"/>
      <c r="AB4" s="498"/>
      <c r="AC4" s="498"/>
      <c r="AD4" s="498"/>
      <c r="AE4" s="3">
        <v>1</v>
      </c>
      <c r="AF4" s="11">
        <f ca="1">COUNTA(A1:AE150)</f>
        <v>569</v>
      </c>
      <c r="AG4" s="12" t="s">
        <v>10</v>
      </c>
    </row>
    <row r="5" spans="1:33" ht="15" customHeight="1">
      <c r="A5" s="498"/>
      <c r="B5" s="5417" t="s">
        <v>3350</v>
      </c>
      <c r="C5" s="5418"/>
      <c r="D5" s="5419"/>
      <c r="E5"/>
      <c r="F5" s="5417" t="s">
        <v>8583</v>
      </c>
      <c r="G5" s="5418"/>
      <c r="H5" s="5419"/>
      <c r="I5"/>
      <c r="J5" s="5417" t="s">
        <v>12804</v>
      </c>
      <c r="K5" s="5418"/>
      <c r="L5" s="5419"/>
      <c r="M5" s="231"/>
      <c r="N5" s="5415" t="s">
        <v>12819</v>
      </c>
      <c r="O5" s="5415"/>
      <c r="P5" s="5415"/>
      <c r="Q5" s="5415"/>
      <c r="R5" s="5415"/>
      <c r="S5" s="498"/>
      <c r="T5" s="498"/>
      <c r="U5" s="498"/>
      <c r="V5" s="498"/>
      <c r="W5" s="498"/>
      <c r="X5" s="498"/>
      <c r="Y5" s="498"/>
      <c r="Z5" s="498"/>
      <c r="AA5" s="498"/>
      <c r="AB5" s="498"/>
      <c r="AC5" s="498"/>
      <c r="AD5" s="498"/>
      <c r="AE5" s="3">
        <v>1</v>
      </c>
      <c r="AF5" s="11">
        <f ca="1">COUNTBLANK(A1:AE150)</f>
        <v>4081</v>
      </c>
      <c r="AG5" s="12" t="s">
        <v>13</v>
      </c>
    </row>
    <row r="6" spans="1:33" ht="15" customHeight="1">
      <c r="A6" s="498"/>
      <c r="B6" s="5420"/>
      <c r="C6" s="5421"/>
      <c r="D6" s="5422"/>
      <c r="E6"/>
      <c r="F6" s="5420"/>
      <c r="G6" s="5421"/>
      <c r="H6" s="5422"/>
      <c r="I6"/>
      <c r="J6" s="5420"/>
      <c r="K6" s="5421"/>
      <c r="L6" s="5422"/>
      <c r="M6" s="231"/>
      <c r="N6" s="5415"/>
      <c r="O6" s="5415"/>
      <c r="P6" s="5415"/>
      <c r="Q6" s="5415"/>
      <c r="R6" s="5415"/>
      <c r="S6" s="498"/>
      <c r="T6" s="498"/>
      <c r="U6" s="498"/>
      <c r="V6" s="498"/>
      <c r="W6" s="498"/>
      <c r="X6" s="498"/>
      <c r="Y6" s="498"/>
      <c r="Z6" s="498"/>
      <c r="AA6" s="498"/>
      <c r="AB6" s="498"/>
      <c r="AC6" s="498"/>
      <c r="AD6" s="498"/>
      <c r="AE6" s="3">
        <v>1</v>
      </c>
      <c r="AF6" s="11">
        <f>SUM(AE1:AE148)+2</f>
        <v>150</v>
      </c>
      <c r="AG6" s="12" t="s">
        <v>15</v>
      </c>
    </row>
    <row r="7" spans="1:33" ht="15.75">
      <c r="A7" s="498"/>
      <c r="B7" s="5306" t="str">
        <f>IF(ISNUMBER(IFERROR(VALUE("0,5"),"")),"sur cet ordi.saisissez une VIRGULE comme séparateur décimal",IF(ISNUMBER(IFERROR(VALUE("0.5"),"")),"sur cet ordi.saisissez un POINT comme séparateur décimal","Impossible de déterminer le séparateur décimal"))</f>
        <v>sur cet ordi.saisissez un POINT comme séparateur décimal</v>
      </c>
      <c r="C7"/>
      <c r="D7"/>
      <c r="E7"/>
      <c r="F7" s="5307" t="str">
        <f>IF(ISNUMBER(IFERROR(VALUE("0,5"),"")),"On this computer, type a COMMA as the decimal separator",IF(ISNUMBER(IFERROR(VALUE("0.5"),"")),"On this computer, type a POINT as the decimal separator","Unable to determine the decimal separator"))</f>
        <v>On this computer, type a POINT as the decimal separator</v>
      </c>
      <c r="G7"/>
      <c r="H7"/>
      <c r="I7"/>
      <c r="J7" s="5307" t="str">
        <f>IF(ISNUMBER(IFERROR(VALUE("0,5"),""))," En este ordenador, escriba una COMA como separador decimal",IF(ISNUMBER(IFERROR(VALUE("0.5"),"")),"En este ordenador, escriba un PUNTO como separador decimal","No es posible determinar el separador decimal"))</f>
        <v>En este ordenador, escriba un PUNTO como separador decimal</v>
      </c>
      <c r="K7"/>
      <c r="L7"/>
      <c r="M7" s="231"/>
      <c r="N7" s="498"/>
      <c r="O7" s="498"/>
      <c r="P7" s="498"/>
      <c r="Q7" s="498"/>
      <c r="R7" s="498"/>
      <c r="S7" s="498"/>
      <c r="T7" s="498"/>
      <c r="U7" s="498"/>
      <c r="V7" s="498"/>
      <c r="W7" s="498"/>
      <c r="X7" s="498"/>
      <c r="Y7" s="498"/>
      <c r="Z7" s="498"/>
      <c r="AA7" s="498"/>
      <c r="AB7" s="498"/>
      <c r="AC7" s="498"/>
      <c r="AD7" s="498"/>
      <c r="AE7" s="3">
        <v>1</v>
      </c>
      <c r="AF7" s="11">
        <f>SUM(A150:AD150)+1</f>
        <v>31</v>
      </c>
      <c r="AG7" s="12" t="s">
        <v>18</v>
      </c>
    </row>
    <row r="8" spans="1:33">
      <c r="A8" s="498"/>
      <c r="B8"/>
      <c r="C8"/>
      <c r="D8"/>
      <c r="E8"/>
      <c r="F8"/>
      <c r="G8"/>
      <c r="H8"/>
      <c r="I8"/>
      <c r="J8"/>
      <c r="K8"/>
      <c r="L8"/>
      <c r="M8" s="231"/>
      <c r="N8" s="498"/>
      <c r="O8" s="498"/>
      <c r="P8" s="498"/>
      <c r="Q8" s="498"/>
      <c r="R8" s="498"/>
      <c r="S8" s="498"/>
      <c r="T8" s="498"/>
      <c r="U8" s="498"/>
      <c r="V8" s="498"/>
      <c r="W8" s="498"/>
      <c r="X8" s="498"/>
      <c r="Y8" s="498"/>
      <c r="Z8" s="498"/>
      <c r="AA8" s="498"/>
      <c r="AB8" s="498"/>
      <c r="AC8" s="498"/>
      <c r="AD8" s="498"/>
      <c r="AE8" s="3">
        <v>1</v>
      </c>
      <c r="AF8" s="709"/>
      <c r="AG8" s="709"/>
    </row>
    <row r="9" spans="1:33" ht="60.75" customHeight="1">
      <c r="A9" s="498"/>
      <c r="B9" s="5412" t="s">
        <v>12803</v>
      </c>
      <c r="C9" s="5413"/>
      <c r="D9" s="5414"/>
      <c r="E9" s="2069"/>
      <c r="F9" s="5412" t="s">
        <v>12603</v>
      </c>
      <c r="G9" s="5413"/>
      <c r="H9" s="5414"/>
      <c r="I9" s="2069"/>
      <c r="J9" s="5412" t="s">
        <v>1966</v>
      </c>
      <c r="K9" s="5413"/>
      <c r="L9" s="5414"/>
      <c r="M9" s="231"/>
      <c r="N9" s="5030" t="s">
        <v>3351</v>
      </c>
      <c r="O9" s="498"/>
      <c r="P9" s="498"/>
      <c r="Q9" s="498"/>
      <c r="R9" s="498"/>
      <c r="S9" s="498"/>
      <c r="T9" s="498"/>
      <c r="U9" s="498"/>
      <c r="V9" s="498"/>
      <c r="W9" s="498"/>
      <c r="X9" s="498"/>
      <c r="Y9" s="498"/>
      <c r="Z9" s="498"/>
      <c r="AA9" s="498"/>
      <c r="AB9" s="498"/>
      <c r="AC9" s="498"/>
      <c r="AD9" s="498"/>
      <c r="AE9" s="3">
        <v>1</v>
      </c>
      <c r="AF9" s="709"/>
      <c r="AG9" s="709"/>
    </row>
    <row r="10" spans="1:33" ht="15.75">
      <c r="A10" s="498"/>
      <c r="B10" s="9"/>
      <c r="C10" s="9"/>
      <c r="D10" s="9"/>
      <c r="E10" s="9"/>
      <c r="F10" s="9"/>
      <c r="G10" s="9"/>
      <c r="H10" s="9"/>
      <c r="I10" s="9"/>
      <c r="J10" s="9"/>
      <c r="K10" s="9"/>
      <c r="L10" s="9"/>
      <c r="M10" s="231"/>
      <c r="N10" s="1557" t="s">
        <v>3352</v>
      </c>
      <c r="O10" s="498"/>
      <c r="P10" s="498"/>
      <c r="Q10" s="498"/>
      <c r="R10" s="498"/>
      <c r="S10" s="498"/>
      <c r="T10" s="498"/>
      <c r="U10" s="498"/>
      <c r="V10" s="498"/>
      <c r="W10" s="498"/>
      <c r="X10" s="498"/>
      <c r="Y10" s="498"/>
      <c r="Z10" s="498"/>
      <c r="AA10" s="498"/>
      <c r="AB10" s="498"/>
      <c r="AC10" s="498"/>
      <c r="AD10" s="498"/>
      <c r="AE10" s="3">
        <v>1</v>
      </c>
      <c r="AF10" s="709"/>
      <c r="AG10" s="709"/>
    </row>
    <row r="11" spans="1:33" ht="23.25">
      <c r="A11" s="498"/>
      <c r="B11" s="5028" t="s">
        <v>12523</v>
      </c>
      <c r="C11" s="9"/>
      <c r="D11" s="9"/>
      <c r="E11" s="9"/>
      <c r="F11" s="5028" t="s">
        <v>12604</v>
      </c>
      <c r="G11" s="9"/>
      <c r="H11" s="9"/>
      <c r="I11" s="9"/>
      <c r="J11" s="5028" t="s">
        <v>12667</v>
      </c>
      <c r="K11" s="9"/>
      <c r="L11" s="9"/>
      <c r="M11" s="231"/>
      <c r="N11" s="498"/>
      <c r="O11" s="498"/>
      <c r="P11" s="498"/>
      <c r="Q11" s="498"/>
      <c r="R11" s="498"/>
      <c r="S11" s="498"/>
      <c r="T11" s="498"/>
      <c r="U11" s="498"/>
      <c r="V11" s="498"/>
      <c r="W11" s="498"/>
      <c r="X11" s="498"/>
      <c r="Y11" s="498"/>
      <c r="Z11" s="498"/>
      <c r="AA11" s="498"/>
      <c r="AB11" s="498"/>
      <c r="AC11" s="498"/>
      <c r="AD11" s="498"/>
      <c r="AE11" s="3">
        <v>1</v>
      </c>
      <c r="AF11" s="709"/>
      <c r="AG11" s="709"/>
    </row>
    <row r="12" spans="1:33">
      <c r="A12" s="498"/>
      <c r="B12" s="9"/>
      <c r="C12" s="9"/>
      <c r="D12" s="9"/>
      <c r="E12" s="9"/>
      <c r="F12" s="9"/>
      <c r="G12" s="9"/>
      <c r="H12" s="9"/>
      <c r="I12" s="9"/>
      <c r="J12" s="9"/>
      <c r="K12" s="9"/>
      <c r="L12" s="9"/>
      <c r="M12" s="231"/>
      <c r="N12" s="498"/>
      <c r="O12" s="498"/>
      <c r="P12" s="498"/>
      <c r="Q12" s="498"/>
      <c r="R12" s="498"/>
      <c r="S12" s="498"/>
      <c r="T12" s="498"/>
      <c r="U12" s="498"/>
      <c r="V12" s="498"/>
      <c r="W12" s="498"/>
      <c r="X12" s="498"/>
      <c r="Y12" s="498"/>
      <c r="Z12" s="498"/>
      <c r="AA12" s="498"/>
      <c r="AB12" s="498"/>
      <c r="AC12" s="498"/>
      <c r="AD12" s="498"/>
      <c r="AE12" s="3">
        <v>1</v>
      </c>
      <c r="AF12" s="709"/>
      <c r="AG12" s="709"/>
    </row>
    <row r="13" spans="1:33" ht="18.75">
      <c r="A13" s="498"/>
      <c r="B13" s="1555" t="s">
        <v>12524</v>
      </c>
      <c r="C13" s="9"/>
      <c r="D13" s="9"/>
      <c r="E13" s="9"/>
      <c r="F13" s="1555" t="s">
        <v>12605</v>
      </c>
      <c r="G13" s="9"/>
      <c r="H13" s="9"/>
      <c r="I13" s="9"/>
      <c r="J13" s="1555" t="s">
        <v>12726</v>
      </c>
      <c r="K13" s="9"/>
      <c r="L13" s="9"/>
      <c r="M13" s="231"/>
      <c r="N13" s="498"/>
      <c r="O13" s="498"/>
      <c r="P13" s="498"/>
      <c r="Q13" s="498"/>
      <c r="R13" s="498"/>
      <c r="S13" s="498"/>
      <c r="T13" s="498"/>
      <c r="U13" s="498"/>
      <c r="V13" s="498"/>
      <c r="W13" s="498"/>
      <c r="X13" s="498"/>
      <c r="Y13" s="498"/>
      <c r="Z13" s="498"/>
      <c r="AA13" s="498"/>
      <c r="AB13" s="498"/>
      <c r="AC13" s="498"/>
      <c r="AD13" s="498"/>
      <c r="AE13" s="3">
        <v>1</v>
      </c>
      <c r="AF13" s="709"/>
      <c r="AG13" s="709"/>
    </row>
    <row r="14" spans="1:33">
      <c r="A14" s="498"/>
      <c r="B14" s="9"/>
      <c r="C14" s="9"/>
      <c r="D14" s="9"/>
      <c r="E14" s="9"/>
      <c r="F14" s="9"/>
      <c r="G14" s="9"/>
      <c r="H14" s="9"/>
      <c r="I14" s="9"/>
      <c r="J14" s="9"/>
      <c r="K14" s="9"/>
      <c r="L14" s="9"/>
      <c r="M14" s="231"/>
      <c r="N14" s="498"/>
      <c r="O14" s="498"/>
      <c r="P14" s="498"/>
      <c r="Q14" s="498"/>
      <c r="R14" s="498"/>
      <c r="S14" s="498"/>
      <c r="T14" s="498"/>
      <c r="U14" s="498"/>
      <c r="V14" s="498"/>
      <c r="W14" s="498"/>
      <c r="X14" s="498"/>
      <c r="Y14" s="498"/>
      <c r="Z14" s="498"/>
      <c r="AA14" s="498"/>
      <c r="AB14" s="498"/>
      <c r="AC14" s="498"/>
      <c r="AD14" s="498"/>
      <c r="AE14" s="3">
        <v>1</v>
      </c>
    </row>
    <row r="15" spans="1:33">
      <c r="A15" s="498"/>
      <c r="B15" s="9" t="s">
        <v>12525</v>
      </c>
      <c r="C15" s="9"/>
      <c r="D15" s="9"/>
      <c r="E15" s="9"/>
      <c r="F15" s="9" t="s">
        <v>12606</v>
      </c>
      <c r="G15" s="9"/>
      <c r="H15" s="9"/>
      <c r="I15" s="9"/>
      <c r="J15" s="9" t="s">
        <v>12668</v>
      </c>
      <c r="K15" s="9"/>
      <c r="L15" s="9"/>
      <c r="M15" s="231"/>
      <c r="N15" s="498"/>
      <c r="O15" s="498"/>
      <c r="P15" s="498"/>
      <c r="Q15" s="498"/>
      <c r="R15" s="498"/>
      <c r="S15" s="498"/>
      <c r="T15" s="498"/>
      <c r="U15" s="498"/>
      <c r="V15" s="498"/>
      <c r="W15" s="498"/>
      <c r="X15" s="498"/>
      <c r="Y15" s="498"/>
      <c r="Z15" s="498"/>
      <c r="AA15" s="498"/>
      <c r="AB15" s="498"/>
      <c r="AC15" s="498"/>
      <c r="AD15" s="498"/>
      <c r="AE15" s="3">
        <v>1</v>
      </c>
    </row>
    <row r="16" spans="1:33">
      <c r="A16" s="498"/>
      <c r="B16" s="1928" t="s">
        <v>12526</v>
      </c>
      <c r="C16" s="9"/>
      <c r="D16" s="9"/>
      <c r="E16" s="9"/>
      <c r="F16" s="1928" t="s">
        <v>12607</v>
      </c>
      <c r="G16" s="9"/>
      <c r="H16" s="9"/>
      <c r="I16" s="9"/>
      <c r="J16" s="1928" t="s">
        <v>12669</v>
      </c>
      <c r="K16" s="9"/>
      <c r="L16" s="9"/>
      <c r="M16" s="231"/>
      <c r="N16" s="498"/>
      <c r="O16" s="498"/>
      <c r="P16" s="498"/>
      <c r="Q16" s="498"/>
      <c r="R16" s="498"/>
      <c r="S16" s="498"/>
      <c r="T16" s="498"/>
      <c r="U16" s="498"/>
      <c r="V16" s="498"/>
      <c r="W16" s="498"/>
      <c r="X16" s="498"/>
      <c r="Y16" s="498"/>
      <c r="Z16" s="498"/>
      <c r="AA16" s="498"/>
      <c r="AB16" s="498"/>
      <c r="AC16" s="498"/>
      <c r="AD16" s="498"/>
      <c r="AE16" s="3">
        <v>1</v>
      </c>
    </row>
    <row r="17" spans="1:31">
      <c r="A17" s="498"/>
      <c r="B17" s="1928"/>
      <c r="C17" s="9"/>
      <c r="D17" s="9"/>
      <c r="E17" s="9"/>
      <c r="F17" s="1928"/>
      <c r="G17" s="9"/>
      <c r="H17" s="9"/>
      <c r="I17" s="9"/>
      <c r="J17" s="1928"/>
      <c r="K17" s="9"/>
      <c r="L17" s="9"/>
      <c r="M17" s="231"/>
      <c r="N17" s="498"/>
      <c r="O17" s="498"/>
      <c r="P17" s="498"/>
      <c r="Q17" s="498"/>
      <c r="R17" s="498"/>
      <c r="S17" s="498"/>
      <c r="T17" s="498"/>
      <c r="U17" s="498"/>
      <c r="V17" s="498"/>
      <c r="W17" s="498"/>
      <c r="X17" s="498"/>
      <c r="Y17" s="498"/>
      <c r="Z17" s="498"/>
      <c r="AA17" s="498"/>
      <c r="AB17" s="498"/>
      <c r="AC17" s="498"/>
      <c r="AD17" s="498"/>
      <c r="AE17" s="3">
        <v>1</v>
      </c>
    </row>
    <row r="18" spans="1:31">
      <c r="A18" s="498"/>
      <c r="B18" s="1928" t="s">
        <v>12764</v>
      </c>
      <c r="C18" s="9"/>
      <c r="D18" s="9"/>
      <c r="E18" s="9"/>
      <c r="F18" s="1928" t="s">
        <v>12766</v>
      </c>
      <c r="G18" s="9"/>
      <c r="H18" s="9"/>
      <c r="I18" s="9"/>
      <c r="J18" s="1928" t="s">
        <v>12768</v>
      </c>
      <c r="K18" s="9"/>
      <c r="L18" s="9"/>
      <c r="M18" s="231"/>
      <c r="N18" s="498"/>
      <c r="O18" s="498"/>
      <c r="P18" s="498"/>
      <c r="Q18" s="498"/>
      <c r="R18" s="498"/>
      <c r="S18" s="498"/>
      <c r="T18" s="498"/>
      <c r="U18" s="498"/>
      <c r="V18" s="498"/>
      <c r="W18" s="498"/>
      <c r="X18" s="498"/>
      <c r="Y18" s="498"/>
      <c r="Z18" s="498"/>
      <c r="AA18" s="498"/>
      <c r="AB18" s="498"/>
      <c r="AC18" s="498"/>
      <c r="AD18" s="498"/>
      <c r="AE18" s="3">
        <v>1</v>
      </c>
    </row>
    <row r="19" spans="1:31">
      <c r="A19" s="498"/>
      <c r="B19" s="9" t="s">
        <v>12765</v>
      </c>
      <c r="C19" s="9"/>
      <c r="D19" s="9"/>
      <c r="E19" s="9"/>
      <c r="F19" s="9" t="s">
        <v>12767</v>
      </c>
      <c r="G19" s="9"/>
      <c r="H19" s="9"/>
      <c r="I19" s="9"/>
      <c r="J19" s="9" t="s">
        <v>12769</v>
      </c>
      <c r="K19" s="9"/>
      <c r="L19" s="9"/>
      <c r="M19" s="231"/>
      <c r="N19" s="498"/>
      <c r="O19" s="498"/>
      <c r="P19" s="498"/>
      <c r="Q19" s="498"/>
      <c r="R19" s="498"/>
      <c r="S19" s="498"/>
      <c r="T19" s="498"/>
      <c r="U19" s="498"/>
      <c r="V19" s="498"/>
      <c r="W19" s="498"/>
      <c r="X19" s="498"/>
      <c r="Y19" s="498"/>
      <c r="Z19" s="498"/>
      <c r="AA19" s="498"/>
      <c r="AB19" s="498"/>
      <c r="AC19" s="498"/>
      <c r="AD19" s="498"/>
      <c r="AE19" s="3">
        <v>1</v>
      </c>
    </row>
    <row r="20" spans="1:31">
      <c r="A20" s="498"/>
      <c r="B20" s="9"/>
      <c r="C20" s="9"/>
      <c r="D20" s="9"/>
      <c r="E20" s="9"/>
      <c r="F20" s="9"/>
      <c r="G20" s="9"/>
      <c r="H20" s="9"/>
      <c r="I20" s="9"/>
      <c r="J20" s="9"/>
      <c r="K20" s="9"/>
      <c r="L20" s="9"/>
      <c r="M20" s="231"/>
      <c r="N20" s="498"/>
      <c r="O20" s="498"/>
      <c r="P20" s="498"/>
      <c r="Q20" s="498"/>
      <c r="R20" s="498"/>
      <c r="S20" s="498"/>
      <c r="T20" s="498"/>
      <c r="U20" s="498"/>
      <c r="V20" s="498"/>
      <c r="W20" s="498"/>
      <c r="X20" s="498"/>
      <c r="Y20" s="498"/>
      <c r="Z20" s="498"/>
      <c r="AA20" s="498"/>
      <c r="AB20" s="498"/>
      <c r="AC20" s="498"/>
      <c r="AD20" s="498"/>
      <c r="AE20" s="3">
        <v>1</v>
      </c>
    </row>
    <row r="21" spans="1:31" ht="18.75">
      <c r="A21" s="498"/>
      <c r="B21" s="1555" t="s">
        <v>12527</v>
      </c>
      <c r="C21" s="9"/>
      <c r="D21" s="9"/>
      <c r="E21" s="9"/>
      <c r="F21" s="1555" t="s">
        <v>12608</v>
      </c>
      <c r="G21" s="9"/>
      <c r="H21" s="9"/>
      <c r="I21" s="9"/>
      <c r="J21" s="1555" t="s">
        <v>12670</v>
      </c>
      <c r="K21" s="9"/>
      <c r="L21" s="9"/>
      <c r="M21" s="231"/>
      <c r="N21" s="498"/>
      <c r="O21" s="498"/>
      <c r="P21" s="498"/>
      <c r="Q21" s="498"/>
      <c r="R21" s="498"/>
      <c r="S21" s="498"/>
      <c r="T21" s="498"/>
      <c r="U21" s="498"/>
      <c r="V21" s="498"/>
      <c r="W21" s="498"/>
      <c r="X21" s="498"/>
      <c r="Y21" s="498"/>
      <c r="Z21" s="498"/>
      <c r="AA21" s="498"/>
      <c r="AB21" s="498"/>
      <c r="AC21" s="498"/>
      <c r="AD21" s="498"/>
      <c r="AE21" s="3">
        <v>1</v>
      </c>
    </row>
    <row r="22" spans="1:31">
      <c r="A22" s="498"/>
      <c r="B22" s="9"/>
      <c r="C22" s="9"/>
      <c r="D22" s="9"/>
      <c r="E22" s="9"/>
      <c r="F22" s="9"/>
      <c r="G22" s="9"/>
      <c r="H22" s="9"/>
      <c r="I22" s="9"/>
      <c r="J22" s="9"/>
      <c r="K22" s="9"/>
      <c r="L22" s="9"/>
      <c r="M22" s="231"/>
      <c r="N22" s="9" t="s">
        <v>12817</v>
      </c>
      <c r="O22" s="498"/>
      <c r="P22" s="498"/>
      <c r="Q22" s="498"/>
      <c r="R22" s="498"/>
      <c r="S22" s="498"/>
      <c r="T22" s="498"/>
      <c r="U22" s="498"/>
      <c r="V22" s="498"/>
      <c r="W22" s="498"/>
      <c r="X22" s="498"/>
      <c r="Y22" s="498"/>
      <c r="Z22" s="498"/>
      <c r="AA22" s="498"/>
      <c r="AB22" s="498"/>
      <c r="AC22" s="498"/>
      <c r="AD22" s="498"/>
      <c r="AE22" s="3">
        <v>1</v>
      </c>
    </row>
    <row r="23" spans="1:31" ht="18">
      <c r="A23" s="498"/>
      <c r="B23" s="1913" t="s">
        <v>12528</v>
      </c>
      <c r="C23" s="9"/>
      <c r="D23" s="9"/>
      <c r="E23" s="9"/>
      <c r="F23" s="1913" t="s">
        <v>12609</v>
      </c>
      <c r="G23" s="9"/>
      <c r="H23" s="9"/>
      <c r="I23" s="9"/>
      <c r="J23" s="1913" t="s">
        <v>12671</v>
      </c>
      <c r="K23" s="9"/>
      <c r="L23" s="9"/>
      <c r="M23" s="231"/>
      <c r="N23" s="9" t="s">
        <v>12818</v>
      </c>
      <c r="O23" s="498"/>
      <c r="P23" s="498"/>
      <c r="Q23" s="498"/>
      <c r="R23" s="498"/>
      <c r="S23" s="498"/>
      <c r="T23" s="498"/>
      <c r="U23" s="498"/>
      <c r="V23" s="498"/>
      <c r="W23" s="498"/>
      <c r="X23" s="498"/>
      <c r="Y23" s="498"/>
      <c r="Z23" s="498"/>
      <c r="AA23" s="498"/>
      <c r="AB23" s="498"/>
      <c r="AC23" s="498"/>
      <c r="AD23" s="498"/>
      <c r="AE23" s="3">
        <v>1</v>
      </c>
    </row>
    <row r="24" spans="1:31">
      <c r="A24" s="498"/>
      <c r="B24" s="1928" t="s">
        <v>12529</v>
      </c>
      <c r="C24" s="9"/>
      <c r="D24" s="9"/>
      <c r="E24" s="9"/>
      <c r="F24" s="1122" t="s">
        <v>12610</v>
      </c>
      <c r="G24" s="9"/>
      <c r="H24" s="9"/>
      <c r="I24" s="9"/>
      <c r="J24" s="1122" t="s">
        <v>12672</v>
      </c>
      <c r="K24" s="9"/>
      <c r="L24" s="9"/>
      <c r="M24" s="231"/>
      <c r="N24" s="498"/>
      <c r="O24" s="498"/>
      <c r="P24" s="498"/>
      <c r="Q24" s="498"/>
      <c r="R24" s="498"/>
      <c r="S24" s="498"/>
      <c r="T24" s="498"/>
      <c r="U24" s="498"/>
      <c r="V24" s="498"/>
      <c r="W24" s="498"/>
      <c r="X24" s="498"/>
      <c r="Y24" s="498"/>
      <c r="Z24" s="498"/>
      <c r="AA24" s="498"/>
      <c r="AB24" s="498"/>
      <c r="AC24" s="498"/>
      <c r="AD24" s="498"/>
      <c r="AE24" s="3">
        <v>1</v>
      </c>
    </row>
    <row r="25" spans="1:31">
      <c r="A25" s="498"/>
      <c r="B25" s="1928" t="s">
        <v>12770</v>
      </c>
      <c r="C25" s="9"/>
      <c r="D25" s="9"/>
      <c r="E25" s="9"/>
      <c r="F25" s="1122" t="s">
        <v>12772</v>
      </c>
      <c r="G25" s="9"/>
      <c r="H25" s="9"/>
      <c r="I25" s="9"/>
      <c r="J25" s="1122" t="s">
        <v>12774</v>
      </c>
      <c r="K25" s="9"/>
      <c r="L25" s="9"/>
      <c r="M25" s="231"/>
      <c r="N25" s="498"/>
      <c r="O25" s="498"/>
      <c r="P25" s="498"/>
      <c r="Q25" s="498"/>
      <c r="R25" s="498"/>
      <c r="S25" s="498"/>
      <c r="T25" s="498"/>
      <c r="U25" s="498"/>
      <c r="V25" s="498"/>
      <c r="W25" s="498"/>
      <c r="X25" s="498"/>
      <c r="Y25" s="498"/>
      <c r="Z25" s="498"/>
      <c r="AA25" s="498"/>
      <c r="AB25" s="498"/>
      <c r="AC25" s="498"/>
      <c r="AD25" s="498"/>
      <c r="AE25" s="3">
        <v>1</v>
      </c>
    </row>
    <row r="26" spans="1:31">
      <c r="A26" s="498"/>
      <c r="B26" s="1928" t="s">
        <v>12771</v>
      </c>
      <c r="C26" s="9"/>
      <c r="D26" s="9"/>
      <c r="E26" s="9"/>
      <c r="F26" s="1122" t="s">
        <v>12773</v>
      </c>
      <c r="G26" s="9"/>
      <c r="H26" s="9"/>
      <c r="I26" s="9"/>
      <c r="J26" s="1122" t="s">
        <v>12775</v>
      </c>
      <c r="K26" s="9"/>
      <c r="L26" s="9"/>
      <c r="M26" s="231"/>
      <c r="N26" s="498"/>
      <c r="O26" s="498"/>
      <c r="P26" s="498"/>
      <c r="Q26" s="498"/>
      <c r="R26" s="498"/>
      <c r="S26" s="498"/>
      <c r="T26" s="498"/>
      <c r="U26" s="498"/>
      <c r="V26" s="498"/>
      <c r="W26" s="498"/>
      <c r="X26" s="498"/>
      <c r="Y26" s="498"/>
      <c r="Z26" s="498"/>
      <c r="AA26" s="498"/>
      <c r="AB26" s="498"/>
      <c r="AC26" s="498"/>
      <c r="AD26" s="498"/>
      <c r="AE26" s="3">
        <v>1</v>
      </c>
    </row>
    <row r="27" spans="1:31">
      <c r="A27" s="498"/>
      <c r="B27" s="1928" t="s">
        <v>12554</v>
      </c>
      <c r="C27" s="9"/>
      <c r="D27" s="9"/>
      <c r="E27" s="9"/>
      <c r="F27" s="9" t="s">
        <v>12727</v>
      </c>
      <c r="G27" s="9"/>
      <c r="H27" s="9"/>
      <c r="I27" s="9"/>
      <c r="J27" s="9" t="s">
        <v>12728</v>
      </c>
      <c r="K27" s="9"/>
      <c r="L27" s="9"/>
      <c r="M27" s="231"/>
      <c r="N27" s="498"/>
      <c r="O27" s="498"/>
      <c r="P27" s="498"/>
      <c r="Q27" s="498"/>
      <c r="R27" s="498"/>
      <c r="S27" s="498"/>
      <c r="T27" s="498"/>
      <c r="U27" s="498"/>
      <c r="V27" s="498"/>
      <c r="W27" s="498"/>
      <c r="X27" s="498"/>
      <c r="Y27" s="498"/>
      <c r="Z27" s="498"/>
      <c r="AA27" s="498"/>
      <c r="AB27" s="498"/>
      <c r="AC27" s="498"/>
      <c r="AD27" s="498"/>
      <c r="AE27" s="3">
        <v>1</v>
      </c>
    </row>
    <row r="28" spans="1:31">
      <c r="A28" s="498"/>
      <c r="B28" s="9"/>
      <c r="C28" s="9"/>
      <c r="D28" s="9"/>
      <c r="E28" s="9"/>
      <c r="F28" s="9"/>
      <c r="G28" s="9"/>
      <c r="H28" s="9"/>
      <c r="I28" s="9"/>
      <c r="J28" s="9"/>
      <c r="K28" s="9"/>
      <c r="L28" s="9"/>
      <c r="M28" s="231"/>
      <c r="N28" s="498"/>
      <c r="O28" s="498"/>
      <c r="P28" s="498"/>
      <c r="Q28" s="498"/>
      <c r="R28" s="498"/>
      <c r="S28" s="498"/>
      <c r="T28" s="498"/>
      <c r="U28" s="498"/>
      <c r="V28" s="498"/>
      <c r="W28" s="498"/>
      <c r="X28" s="498"/>
      <c r="Y28" s="498"/>
      <c r="Z28" s="498"/>
      <c r="AA28" s="498"/>
      <c r="AB28" s="498"/>
      <c r="AC28" s="498"/>
      <c r="AD28" s="498"/>
      <c r="AE28" s="3">
        <v>1</v>
      </c>
    </row>
    <row r="29" spans="1:31" ht="18">
      <c r="A29" s="498"/>
      <c r="B29" s="1913" t="s">
        <v>12555</v>
      </c>
      <c r="C29" s="9"/>
      <c r="D29" s="9"/>
      <c r="E29" s="9"/>
      <c r="F29" s="1913" t="s">
        <v>12729</v>
      </c>
      <c r="G29" s="9"/>
      <c r="H29" s="9"/>
      <c r="I29" s="9"/>
      <c r="J29" s="1913" t="s">
        <v>12730</v>
      </c>
      <c r="K29" s="9"/>
      <c r="L29" s="9"/>
      <c r="M29" s="231"/>
      <c r="N29" s="1558" t="s">
        <v>873</v>
      </c>
      <c r="O29" s="1558"/>
      <c r="P29" s="1558"/>
      <c r="Q29" s="1558"/>
      <c r="R29" s="1558"/>
      <c r="S29" s="1558"/>
      <c r="T29" s="1558"/>
      <c r="U29" s="5036"/>
      <c r="V29" s="498"/>
      <c r="W29" s="498"/>
      <c r="X29" s="498"/>
      <c r="Y29" s="498"/>
      <c r="Z29" s="498"/>
      <c r="AA29" s="498"/>
      <c r="AB29" s="498"/>
      <c r="AC29" s="498"/>
      <c r="AD29" s="498"/>
      <c r="AE29" s="3">
        <v>1</v>
      </c>
    </row>
    <row r="30" spans="1:31">
      <c r="A30" s="498"/>
      <c r="B30" s="1928"/>
      <c r="C30" s="9"/>
      <c r="D30" s="9"/>
      <c r="E30" s="9"/>
      <c r="F30" s="9"/>
      <c r="G30" s="9"/>
      <c r="H30" s="9"/>
      <c r="I30" s="9"/>
      <c r="J30" s="9"/>
      <c r="K30" s="9"/>
      <c r="L30" s="9"/>
      <c r="M30" s="231"/>
      <c r="N30" s="1559" t="s">
        <v>3359</v>
      </c>
      <c r="O30" s="1559"/>
      <c r="P30" s="1559"/>
      <c r="Q30" s="1559"/>
      <c r="R30" s="1559"/>
      <c r="S30" s="1559"/>
      <c r="T30" s="1559"/>
      <c r="U30" s="9" t="s">
        <v>12805</v>
      </c>
      <c r="V30" s="498"/>
      <c r="W30" s="498"/>
      <c r="X30" s="498"/>
      <c r="Y30" s="498"/>
      <c r="Z30" s="498"/>
      <c r="AA30" s="498"/>
      <c r="AB30" s="498"/>
      <c r="AC30" s="498"/>
      <c r="AD30" s="498"/>
      <c r="AE30" s="3">
        <v>1</v>
      </c>
    </row>
    <row r="31" spans="1:31">
      <c r="A31" s="498"/>
      <c r="B31" s="1928" t="s">
        <v>12530</v>
      </c>
      <c r="C31" s="9"/>
      <c r="D31" s="9"/>
      <c r="E31" s="9"/>
      <c r="F31" s="1122" t="s">
        <v>12611</v>
      </c>
      <c r="G31" s="9"/>
      <c r="H31" s="9"/>
      <c r="I31" s="9"/>
      <c r="J31" s="1122" t="s">
        <v>12673</v>
      </c>
      <c r="K31" s="9"/>
      <c r="L31" s="9"/>
      <c r="M31" s="231"/>
      <c r="N31" s="1559" t="s">
        <v>3360</v>
      </c>
      <c r="O31" s="1559"/>
      <c r="P31" s="1559"/>
      <c r="Q31" s="1559"/>
      <c r="R31" s="1559"/>
      <c r="S31" s="1559"/>
      <c r="T31" s="1559"/>
      <c r="U31" s="9" t="s">
        <v>12806</v>
      </c>
      <c r="V31" s="498"/>
      <c r="W31" s="498"/>
      <c r="X31" s="498"/>
      <c r="Y31" s="498"/>
      <c r="Z31" s="498"/>
      <c r="AA31" s="498"/>
      <c r="AB31" s="498"/>
      <c r="AC31" s="498"/>
      <c r="AD31" s="498"/>
      <c r="AE31" s="3">
        <v>1</v>
      </c>
    </row>
    <row r="32" spans="1:31">
      <c r="A32" s="498"/>
      <c r="B32" s="5032" t="s">
        <v>12531</v>
      </c>
      <c r="C32" s="9"/>
      <c r="D32" s="9"/>
      <c r="E32" s="9"/>
      <c r="F32" s="1928" t="s">
        <v>12612</v>
      </c>
      <c r="G32" s="9"/>
      <c r="H32" s="9"/>
      <c r="I32" s="9"/>
      <c r="J32" s="1928" t="s">
        <v>12674</v>
      </c>
      <c r="K32" s="9"/>
      <c r="L32" s="9"/>
      <c r="M32" s="231"/>
      <c r="N32" s="1560" t="s">
        <v>874</v>
      </c>
      <c r="O32" s="1560"/>
      <c r="P32" s="1560"/>
      <c r="Q32" s="1560"/>
      <c r="R32" s="1560"/>
      <c r="S32" s="1560"/>
      <c r="T32" s="1560"/>
      <c r="U32" s="498"/>
      <c r="V32" s="498"/>
      <c r="W32" s="498"/>
      <c r="X32" s="498"/>
      <c r="Y32" s="498"/>
      <c r="Z32" s="498"/>
      <c r="AA32" s="498"/>
      <c r="AB32" s="498"/>
      <c r="AC32" s="498"/>
      <c r="AD32" s="498"/>
      <c r="AE32" s="3">
        <v>1</v>
      </c>
    </row>
    <row r="33" spans="1:31">
      <c r="A33" s="498"/>
      <c r="B33" s="5032" t="s">
        <v>12532</v>
      </c>
      <c r="C33" s="9"/>
      <c r="D33" s="9"/>
      <c r="E33" s="9"/>
      <c r="F33" s="1928" t="s">
        <v>12613</v>
      </c>
      <c r="G33" s="9"/>
      <c r="H33" s="9"/>
      <c r="I33" s="9"/>
      <c r="J33" s="1928" t="s">
        <v>12675</v>
      </c>
      <c r="K33" s="9"/>
      <c r="L33" s="9"/>
      <c r="M33" s="231"/>
      <c r="N33" s="1561" t="s">
        <v>3361</v>
      </c>
      <c r="O33" s="1561"/>
      <c r="P33" s="1561"/>
      <c r="Q33" s="1561"/>
      <c r="R33" s="1561"/>
      <c r="S33" s="1561"/>
      <c r="T33" s="1561"/>
      <c r="U33" s="498"/>
      <c r="V33" s="498"/>
      <c r="W33" s="498"/>
      <c r="X33" s="498"/>
      <c r="Y33" s="498"/>
      <c r="Z33" s="498"/>
      <c r="AA33" s="498"/>
      <c r="AB33" s="498"/>
      <c r="AC33" s="498"/>
      <c r="AD33" s="498"/>
      <c r="AE33" s="3">
        <v>1</v>
      </c>
    </row>
    <row r="34" spans="1:31">
      <c r="A34" s="498"/>
      <c r="B34" s="1928" t="s">
        <v>12556</v>
      </c>
      <c r="C34" s="9"/>
      <c r="D34" s="9"/>
      <c r="E34" s="9"/>
      <c r="F34" s="1928" t="s">
        <v>12731</v>
      </c>
      <c r="G34" s="9"/>
      <c r="H34" s="9"/>
      <c r="I34" s="9"/>
      <c r="J34" s="1928" t="s">
        <v>12732</v>
      </c>
      <c r="K34" s="9"/>
      <c r="L34" s="9"/>
      <c r="M34" s="231"/>
      <c r="N34" s="498"/>
      <c r="O34" s="498"/>
      <c r="P34" s="498"/>
      <c r="Q34" s="498"/>
      <c r="R34" s="498"/>
      <c r="S34" s="498"/>
      <c r="T34" s="498"/>
      <c r="U34" s="498"/>
      <c r="V34" s="498"/>
      <c r="W34" s="498"/>
      <c r="X34" s="498"/>
      <c r="Y34" s="498"/>
      <c r="Z34" s="498"/>
      <c r="AA34" s="498"/>
      <c r="AB34" s="498"/>
      <c r="AC34" s="498"/>
      <c r="AD34" s="498"/>
      <c r="AE34" s="3">
        <v>1</v>
      </c>
    </row>
    <row r="35" spans="1:31">
      <c r="A35" s="498"/>
      <c r="B35" s="1928" t="s">
        <v>12533</v>
      </c>
      <c r="C35" s="9"/>
      <c r="D35" s="9"/>
      <c r="E35" s="9"/>
      <c r="F35" s="1929" t="s">
        <v>12614</v>
      </c>
      <c r="G35" s="9"/>
      <c r="H35" s="9"/>
      <c r="I35" s="9"/>
      <c r="J35" s="1929" t="s">
        <v>12676</v>
      </c>
      <c r="K35" s="9"/>
      <c r="L35" s="9"/>
      <c r="M35" s="231"/>
      <c r="N35" s="498"/>
      <c r="O35" s="498"/>
      <c r="P35" s="498"/>
      <c r="Q35" s="498"/>
      <c r="R35" s="498"/>
      <c r="S35" s="498"/>
      <c r="T35" s="498"/>
      <c r="U35" s="498"/>
      <c r="V35" s="498"/>
      <c r="W35" s="498"/>
      <c r="X35" s="498"/>
      <c r="Y35" s="498"/>
      <c r="Z35" s="498"/>
      <c r="AA35" s="498"/>
      <c r="AB35" s="498"/>
      <c r="AC35" s="498"/>
      <c r="AD35" s="498"/>
      <c r="AE35" s="3">
        <v>1</v>
      </c>
    </row>
    <row r="36" spans="1:31" ht="15.75">
      <c r="A36" s="498"/>
      <c r="B36" s="9"/>
      <c r="C36" s="9"/>
      <c r="D36" s="9"/>
      <c r="E36" s="9"/>
      <c r="F36" s="9"/>
      <c r="G36" s="9"/>
      <c r="H36" s="9"/>
      <c r="I36" s="9"/>
      <c r="J36" s="9"/>
      <c r="K36" s="9"/>
      <c r="L36" s="9"/>
      <c r="M36" s="231"/>
      <c r="N36" s="5031" t="s">
        <v>3354</v>
      </c>
      <c r="O36" s="498"/>
      <c r="P36" s="498"/>
      <c r="Q36" s="498"/>
      <c r="R36" s="498"/>
      <c r="S36" s="498"/>
      <c r="T36" s="498"/>
      <c r="U36" s="498"/>
      <c r="V36" s="498"/>
      <c r="W36" s="498"/>
      <c r="X36" s="498"/>
      <c r="Y36" s="498"/>
      <c r="Z36" s="498"/>
      <c r="AA36" s="498"/>
      <c r="AB36" s="498"/>
      <c r="AC36" s="498"/>
      <c r="AD36" s="498"/>
      <c r="AE36" s="3">
        <v>1</v>
      </c>
    </row>
    <row r="37" spans="1:31" ht="18.75">
      <c r="A37" s="498"/>
      <c r="B37" s="1555" t="s">
        <v>12534</v>
      </c>
      <c r="C37" s="9"/>
      <c r="D37" s="9"/>
      <c r="E37" s="9"/>
      <c r="F37" s="1555" t="s">
        <v>12615</v>
      </c>
      <c r="G37" s="9"/>
      <c r="H37" s="9"/>
      <c r="I37" s="9"/>
      <c r="J37" s="1555" t="s">
        <v>12677</v>
      </c>
      <c r="K37" s="9"/>
      <c r="L37" s="9"/>
      <c r="M37" s="231"/>
      <c r="N37" s="5031" t="s">
        <v>3355</v>
      </c>
      <c r="O37" s="498"/>
      <c r="P37" s="498"/>
      <c r="Q37" s="498"/>
      <c r="R37" s="498"/>
      <c r="S37" s="498"/>
      <c r="T37" s="498"/>
      <c r="U37" s="498"/>
      <c r="V37" s="498"/>
      <c r="W37" s="498"/>
      <c r="X37" s="498"/>
      <c r="Y37" s="498"/>
      <c r="Z37" s="498"/>
      <c r="AA37" s="498"/>
      <c r="AB37" s="498"/>
      <c r="AC37" s="498"/>
      <c r="AD37" s="498"/>
      <c r="AE37" s="3">
        <v>1</v>
      </c>
    </row>
    <row r="38" spans="1:31" ht="15.75">
      <c r="A38" s="498"/>
      <c r="B38" s="1928"/>
      <c r="C38" s="9"/>
      <c r="D38" s="9"/>
      <c r="E38" s="9"/>
      <c r="F38" s="9"/>
      <c r="G38" s="9"/>
      <c r="H38" s="9"/>
      <c r="I38" s="9"/>
      <c r="J38" s="9"/>
      <c r="K38" s="9"/>
      <c r="L38" s="9"/>
      <c r="M38" s="231"/>
      <c r="N38" s="1961" t="s">
        <v>3356</v>
      </c>
      <c r="O38" s="498"/>
      <c r="P38" s="498"/>
      <c r="Q38" s="498"/>
      <c r="R38" s="498"/>
      <c r="S38" s="498"/>
      <c r="T38" s="498"/>
      <c r="U38" s="498"/>
      <c r="V38" s="498"/>
      <c r="W38" s="498"/>
      <c r="X38" s="498"/>
      <c r="Y38" s="498"/>
      <c r="Z38" s="498"/>
      <c r="AA38" s="498"/>
      <c r="AB38" s="498"/>
      <c r="AC38" s="498"/>
      <c r="AD38" s="498"/>
      <c r="AE38" s="3">
        <v>1</v>
      </c>
    </row>
    <row r="39" spans="1:31" ht="15.75">
      <c r="A39" s="498"/>
      <c r="B39" s="1929" t="s">
        <v>12535</v>
      </c>
      <c r="C39" s="9"/>
      <c r="D39" s="9"/>
      <c r="E39" s="9"/>
      <c r="F39" s="1122" t="s">
        <v>12616</v>
      </c>
      <c r="G39" s="9"/>
      <c r="H39" s="9"/>
      <c r="I39" s="9"/>
      <c r="J39" s="1122" t="s">
        <v>12678</v>
      </c>
      <c r="K39" s="9"/>
      <c r="L39" s="9"/>
      <c r="M39" s="231"/>
      <c r="N39" s="1961" t="s">
        <v>3357</v>
      </c>
      <c r="O39" s="498"/>
      <c r="P39" s="498"/>
      <c r="Q39" s="498"/>
      <c r="R39" s="498"/>
      <c r="S39" s="498"/>
      <c r="T39" s="498"/>
      <c r="U39" s="498"/>
      <c r="V39" s="498"/>
      <c r="W39" s="498"/>
      <c r="X39" s="498"/>
      <c r="Y39" s="498"/>
      <c r="Z39" s="498"/>
      <c r="AA39" s="498"/>
      <c r="AB39" s="498"/>
      <c r="AC39" s="498"/>
      <c r="AD39" s="498"/>
      <c r="AE39" s="3">
        <v>1</v>
      </c>
    </row>
    <row r="40" spans="1:31" ht="15.75">
      <c r="A40" s="498"/>
      <c r="B40" s="5033" t="s">
        <v>12557</v>
      </c>
      <c r="C40" s="9"/>
      <c r="D40" s="9"/>
      <c r="E40" s="9"/>
      <c r="F40" s="9" t="s">
        <v>13454</v>
      </c>
      <c r="G40" s="9"/>
      <c r="H40" s="9"/>
      <c r="I40" s="9"/>
      <c r="J40" s="9" t="s">
        <v>13456</v>
      </c>
      <c r="K40" s="9"/>
      <c r="L40" s="9"/>
      <c r="M40" s="231"/>
      <c r="N40" s="1961" t="s">
        <v>3358</v>
      </c>
      <c r="O40" s="498"/>
      <c r="P40" s="498"/>
      <c r="Q40" s="498"/>
      <c r="R40" s="498"/>
      <c r="S40" s="498"/>
      <c r="T40" s="498"/>
      <c r="U40" s="498"/>
      <c r="V40" s="498"/>
      <c r="W40" s="498"/>
      <c r="X40" s="498"/>
      <c r="Y40" s="498"/>
      <c r="Z40" s="498"/>
      <c r="AA40" s="498"/>
      <c r="AB40" s="498"/>
      <c r="AC40" s="498"/>
      <c r="AD40" s="498"/>
      <c r="AE40" s="3">
        <v>1</v>
      </c>
    </row>
    <row r="41" spans="1:31">
      <c r="A41" s="498"/>
      <c r="B41" s="5033" t="s">
        <v>13458</v>
      </c>
      <c r="C41" s="9"/>
      <c r="D41" s="9"/>
      <c r="E41" s="9"/>
      <c r="F41" s="9" t="s">
        <v>13455</v>
      </c>
      <c r="G41" s="9"/>
      <c r="H41" s="9"/>
      <c r="I41" s="9"/>
      <c r="J41" s="9" t="s">
        <v>13457</v>
      </c>
      <c r="K41" s="9"/>
      <c r="L41" s="9"/>
      <c r="M41" s="231"/>
      <c r="N41" s="498"/>
      <c r="O41" s="498"/>
      <c r="P41" s="498"/>
      <c r="Q41" s="498"/>
      <c r="R41" s="498"/>
      <c r="S41" s="498"/>
      <c r="T41" s="498"/>
      <c r="U41" s="498"/>
      <c r="V41" s="498"/>
      <c r="W41" s="498"/>
      <c r="X41" s="498"/>
      <c r="Y41" s="498"/>
      <c r="Z41" s="498"/>
      <c r="AA41" s="498"/>
      <c r="AB41" s="498"/>
      <c r="AC41" s="498"/>
      <c r="AD41" s="498"/>
      <c r="AE41" s="3">
        <v>1</v>
      </c>
    </row>
    <row r="42" spans="1:31">
      <c r="A42" s="498"/>
      <c r="B42" s="5033"/>
      <c r="C42" s="9"/>
      <c r="D42" s="9"/>
      <c r="E42" s="9"/>
      <c r="F42" s="9"/>
      <c r="G42" s="9"/>
      <c r="H42" s="9"/>
      <c r="I42" s="9"/>
      <c r="J42" s="9"/>
      <c r="K42" s="9"/>
      <c r="L42" s="9"/>
      <c r="M42" s="231"/>
      <c r="N42" s="1122" t="s">
        <v>12807</v>
      </c>
      <c r="O42" s="498"/>
      <c r="P42" s="498"/>
      <c r="Q42" s="498"/>
      <c r="R42" s="498"/>
      <c r="S42" s="498"/>
      <c r="T42" s="498"/>
      <c r="U42" s="498"/>
      <c r="V42" s="498"/>
      <c r="W42" s="498"/>
      <c r="X42" s="498"/>
      <c r="Y42" s="498"/>
      <c r="Z42" s="498"/>
      <c r="AA42" s="498"/>
      <c r="AB42" s="498"/>
      <c r="AC42" s="498"/>
      <c r="AD42" s="498"/>
      <c r="AE42" s="3">
        <v>1</v>
      </c>
    </row>
    <row r="43" spans="1:31">
      <c r="A43" s="498"/>
      <c r="B43" s="1929" t="s">
        <v>12536</v>
      </c>
      <c r="C43" s="9"/>
      <c r="D43" s="9"/>
      <c r="E43" s="9"/>
      <c r="F43" s="1122" t="s">
        <v>12617</v>
      </c>
      <c r="G43" s="9"/>
      <c r="H43" s="9"/>
      <c r="I43" s="9"/>
      <c r="J43" s="1122" t="s">
        <v>12679</v>
      </c>
      <c r="K43" s="9"/>
      <c r="L43" s="9"/>
      <c r="M43" s="231"/>
      <c r="N43" s="9" t="s">
        <v>12808</v>
      </c>
      <c r="O43" s="498"/>
      <c r="P43" s="498"/>
      <c r="Q43" s="498"/>
      <c r="R43" s="498"/>
      <c r="S43" s="498"/>
      <c r="T43" s="498"/>
      <c r="U43" s="498"/>
      <c r="V43" s="498"/>
      <c r="W43" s="498"/>
      <c r="X43" s="498"/>
      <c r="Y43" s="498"/>
      <c r="Z43" s="498"/>
      <c r="AA43" s="498"/>
      <c r="AB43" s="498"/>
      <c r="AC43" s="498"/>
      <c r="AD43" s="498"/>
      <c r="AE43" s="3">
        <v>1</v>
      </c>
    </row>
    <row r="44" spans="1:31">
      <c r="A44" s="498"/>
      <c r="B44" s="5033" t="s">
        <v>12558</v>
      </c>
      <c r="C44" s="9"/>
      <c r="D44" s="9"/>
      <c r="E44" s="9"/>
      <c r="F44" s="9" t="s">
        <v>12733</v>
      </c>
      <c r="G44" s="9"/>
      <c r="H44" s="9"/>
      <c r="I44" s="9"/>
      <c r="J44" s="9" t="s">
        <v>12734</v>
      </c>
      <c r="K44" s="9"/>
      <c r="L44" s="9"/>
      <c r="M44" s="231"/>
      <c r="N44" s="1929" t="s">
        <v>12809</v>
      </c>
      <c r="O44" s="498"/>
      <c r="P44" s="498"/>
      <c r="Q44" s="498"/>
      <c r="R44" s="498"/>
      <c r="S44" s="498"/>
      <c r="T44" s="498"/>
      <c r="U44" s="498"/>
      <c r="V44" s="498"/>
      <c r="W44" s="498"/>
      <c r="X44" s="498"/>
      <c r="Y44" s="498"/>
      <c r="Z44" s="498"/>
      <c r="AA44" s="498"/>
      <c r="AB44" s="498"/>
      <c r="AC44" s="498"/>
      <c r="AD44" s="498"/>
      <c r="AE44" s="3">
        <v>1</v>
      </c>
    </row>
    <row r="45" spans="1:31">
      <c r="A45" s="498"/>
      <c r="B45" s="5033" t="s">
        <v>12537</v>
      </c>
      <c r="C45" s="9"/>
      <c r="D45" s="9"/>
      <c r="E45" s="9"/>
      <c r="F45" s="9" t="s">
        <v>12618</v>
      </c>
      <c r="G45" s="9"/>
      <c r="H45" s="9"/>
      <c r="I45" s="9"/>
      <c r="J45" s="9" t="s">
        <v>12680</v>
      </c>
      <c r="K45" s="9"/>
      <c r="L45" s="9"/>
      <c r="M45" s="231"/>
      <c r="N45" s="1928" t="s">
        <v>12810</v>
      </c>
      <c r="O45" s="498"/>
      <c r="P45" s="498"/>
      <c r="Q45" s="498"/>
      <c r="R45" s="498"/>
      <c r="S45" s="498"/>
      <c r="T45" s="498"/>
      <c r="U45" s="498"/>
      <c r="V45" s="498"/>
      <c r="W45" s="498"/>
      <c r="X45" s="498"/>
      <c r="Y45" s="498"/>
      <c r="Z45" s="498"/>
      <c r="AA45" s="498"/>
      <c r="AB45" s="498"/>
      <c r="AC45" s="498"/>
      <c r="AD45" s="498"/>
      <c r="AE45" s="3">
        <v>1</v>
      </c>
    </row>
    <row r="46" spans="1:31">
      <c r="A46" s="498"/>
      <c r="B46" s="1928"/>
      <c r="C46" s="9"/>
      <c r="D46" s="9"/>
      <c r="E46" s="9"/>
      <c r="F46" s="9"/>
      <c r="G46" s="9"/>
      <c r="H46" s="9"/>
      <c r="I46" s="9"/>
      <c r="J46" s="9"/>
      <c r="K46" s="9"/>
      <c r="L46" s="9"/>
      <c r="M46" s="231"/>
      <c r="N46" s="1928" t="s">
        <v>12811</v>
      </c>
      <c r="O46" s="498"/>
      <c r="P46" s="498"/>
      <c r="Q46" s="498"/>
      <c r="R46" s="498"/>
      <c r="S46" s="498"/>
      <c r="T46" s="498"/>
      <c r="U46" s="498"/>
      <c r="V46" s="498"/>
      <c r="W46" s="498"/>
      <c r="X46" s="498"/>
      <c r="Y46" s="498"/>
      <c r="Z46" s="498"/>
      <c r="AA46" s="498"/>
      <c r="AB46" s="498"/>
      <c r="AC46" s="498"/>
      <c r="AD46" s="498"/>
      <c r="AE46" s="3">
        <v>1</v>
      </c>
    </row>
    <row r="47" spans="1:31">
      <c r="A47" s="498"/>
      <c r="B47" s="1929" t="s">
        <v>12538</v>
      </c>
      <c r="C47" s="9"/>
      <c r="D47" s="9"/>
      <c r="E47" s="9"/>
      <c r="F47" s="1122" t="s">
        <v>12619</v>
      </c>
      <c r="G47" s="9"/>
      <c r="H47" s="9"/>
      <c r="I47" s="9"/>
      <c r="J47" s="1122" t="s">
        <v>12681</v>
      </c>
      <c r="K47" s="9"/>
      <c r="L47" s="9"/>
      <c r="M47" s="231"/>
      <c r="N47" s="498"/>
      <c r="O47" s="498"/>
      <c r="P47" s="498"/>
      <c r="Q47" s="498"/>
      <c r="R47" s="498"/>
      <c r="S47" s="498"/>
      <c r="T47" s="498"/>
      <c r="U47" s="498"/>
      <c r="V47" s="498"/>
      <c r="W47" s="498"/>
      <c r="X47" s="498"/>
      <c r="Y47" s="498"/>
      <c r="Z47" s="498"/>
      <c r="AA47" s="498"/>
      <c r="AB47" s="498"/>
      <c r="AC47" s="498"/>
      <c r="AD47" s="498"/>
      <c r="AE47" s="3">
        <v>1</v>
      </c>
    </row>
    <row r="48" spans="1:31">
      <c r="A48" s="498"/>
      <c r="B48" s="5033" t="s">
        <v>12559</v>
      </c>
      <c r="C48" s="9"/>
      <c r="D48" s="9"/>
      <c r="E48" s="9"/>
      <c r="F48" s="9" t="s">
        <v>12735</v>
      </c>
      <c r="G48" s="9"/>
      <c r="H48" s="9"/>
      <c r="I48" s="9"/>
      <c r="J48" s="9" t="s">
        <v>12736</v>
      </c>
      <c r="K48" s="9"/>
      <c r="L48" s="9"/>
      <c r="M48" s="231"/>
      <c r="N48" s="1122" t="s">
        <v>12812</v>
      </c>
      <c r="O48" s="498"/>
      <c r="P48" s="498"/>
      <c r="Q48" s="498"/>
      <c r="R48" s="498"/>
      <c r="S48" s="498"/>
      <c r="T48" s="498"/>
      <c r="U48" s="498"/>
      <c r="V48" s="498"/>
      <c r="W48" s="498"/>
      <c r="X48" s="498"/>
      <c r="Y48" s="498"/>
      <c r="Z48" s="498"/>
      <c r="AA48" s="498"/>
      <c r="AB48" s="498"/>
      <c r="AC48" s="498"/>
      <c r="AD48" s="498"/>
      <c r="AE48" s="3">
        <v>1</v>
      </c>
    </row>
    <row r="49" spans="1:31">
      <c r="A49" s="498"/>
      <c r="B49" s="1928"/>
      <c r="C49" s="9"/>
      <c r="D49" s="9"/>
      <c r="E49" s="9"/>
      <c r="F49" s="9"/>
      <c r="G49" s="9"/>
      <c r="H49" s="9"/>
      <c r="I49" s="9"/>
      <c r="J49" s="9"/>
      <c r="K49" s="9"/>
      <c r="L49" s="9"/>
      <c r="M49" s="231"/>
      <c r="N49" s="9" t="s">
        <v>12813</v>
      </c>
      <c r="O49" s="498"/>
      <c r="P49" s="498"/>
      <c r="Q49" s="498"/>
      <c r="R49" s="498"/>
      <c r="S49" s="498"/>
      <c r="T49" s="498"/>
      <c r="U49" s="498"/>
      <c r="V49" s="498"/>
      <c r="W49" s="498"/>
      <c r="X49" s="498"/>
      <c r="Y49" s="498"/>
      <c r="Z49" s="498"/>
      <c r="AA49" s="498"/>
      <c r="AB49" s="498"/>
      <c r="AC49" s="498"/>
      <c r="AD49" s="498"/>
      <c r="AE49" s="3">
        <v>1</v>
      </c>
    </row>
    <row r="50" spans="1:31">
      <c r="A50" s="498"/>
      <c r="B50" s="1929" t="s">
        <v>12539</v>
      </c>
      <c r="C50" s="9"/>
      <c r="D50" s="9"/>
      <c r="E50" s="9"/>
      <c r="F50" s="1122" t="s">
        <v>12620</v>
      </c>
      <c r="G50" s="9"/>
      <c r="H50" s="9"/>
      <c r="I50" s="9"/>
      <c r="J50" s="1122" t="s">
        <v>12682</v>
      </c>
      <c r="K50" s="9"/>
      <c r="L50" s="9"/>
      <c r="M50" s="231"/>
      <c r="N50" s="1929" t="s">
        <v>12814</v>
      </c>
      <c r="O50" s="498"/>
      <c r="P50" s="498"/>
      <c r="Q50" s="498"/>
      <c r="R50" s="498"/>
      <c r="S50" s="498"/>
      <c r="T50" s="498"/>
      <c r="U50" s="498"/>
      <c r="V50" s="498"/>
      <c r="W50" s="498"/>
      <c r="X50" s="498"/>
      <c r="Y50" s="498"/>
      <c r="Z50" s="498"/>
      <c r="AA50" s="498"/>
      <c r="AB50" s="498"/>
      <c r="AC50" s="498"/>
      <c r="AD50" s="498"/>
      <c r="AE50" s="3">
        <v>1</v>
      </c>
    </row>
    <row r="51" spans="1:31">
      <c r="A51" s="498"/>
      <c r="B51" s="5033" t="s">
        <v>12560</v>
      </c>
      <c r="C51" s="9"/>
      <c r="D51" s="9"/>
      <c r="E51" s="9"/>
      <c r="F51" s="9" t="s">
        <v>12737</v>
      </c>
      <c r="G51" s="9"/>
      <c r="H51" s="9"/>
      <c r="I51" s="9"/>
      <c r="J51" s="9" t="s">
        <v>12738</v>
      </c>
      <c r="K51" s="9"/>
      <c r="L51" s="9"/>
      <c r="M51" s="231"/>
      <c r="N51" s="1928" t="s">
        <v>12815</v>
      </c>
      <c r="O51" s="498"/>
      <c r="P51" s="498"/>
      <c r="Q51" s="498"/>
      <c r="R51" s="498"/>
      <c r="S51" s="498"/>
      <c r="T51" s="498"/>
      <c r="U51" s="498"/>
      <c r="V51" s="498"/>
      <c r="W51" s="498"/>
      <c r="X51" s="498"/>
      <c r="Y51" s="498"/>
      <c r="Z51" s="498"/>
      <c r="AA51" s="498"/>
      <c r="AB51" s="498"/>
      <c r="AC51" s="498"/>
      <c r="AD51" s="498"/>
      <c r="AE51" s="3">
        <v>1</v>
      </c>
    </row>
    <row r="52" spans="1:31">
      <c r="A52" s="498"/>
      <c r="B52" s="5033" t="s">
        <v>12540</v>
      </c>
      <c r="C52" s="9"/>
      <c r="D52" s="9"/>
      <c r="E52" s="9"/>
      <c r="F52" s="9" t="s">
        <v>12621</v>
      </c>
      <c r="G52" s="9"/>
      <c r="H52" s="9"/>
      <c r="I52" s="9"/>
      <c r="J52" s="9" t="s">
        <v>12683</v>
      </c>
      <c r="K52" s="9"/>
      <c r="L52" s="9"/>
      <c r="M52" s="231"/>
      <c r="N52" s="1928" t="s">
        <v>12816</v>
      </c>
      <c r="O52" s="498"/>
      <c r="P52" s="498"/>
      <c r="Q52" s="498"/>
      <c r="R52" s="498"/>
      <c r="S52" s="498"/>
      <c r="T52" s="498"/>
      <c r="U52" s="498"/>
      <c r="V52" s="498"/>
      <c r="W52" s="498"/>
      <c r="X52" s="498"/>
      <c r="Y52" s="498"/>
      <c r="Z52" s="498"/>
      <c r="AA52" s="498"/>
      <c r="AB52" s="498"/>
      <c r="AC52" s="498"/>
      <c r="AD52" s="498"/>
      <c r="AE52" s="3">
        <v>1</v>
      </c>
    </row>
    <row r="53" spans="1:31">
      <c r="A53" s="498"/>
      <c r="B53" s="1928" t="s">
        <v>12776</v>
      </c>
      <c r="C53" s="9"/>
      <c r="D53" s="9"/>
      <c r="E53" s="9"/>
      <c r="F53" s="9" t="s">
        <v>12778</v>
      </c>
      <c r="G53" s="9"/>
      <c r="H53" s="9"/>
      <c r="I53" s="9"/>
      <c r="J53" s="9" t="s">
        <v>12780</v>
      </c>
      <c r="K53" s="9"/>
      <c r="L53" s="9"/>
      <c r="M53" s="231"/>
      <c r="N53" s="498"/>
      <c r="O53" s="498"/>
      <c r="P53" s="498"/>
      <c r="Q53" s="498"/>
      <c r="R53" s="498"/>
      <c r="S53" s="498"/>
      <c r="T53" s="498"/>
      <c r="U53" s="498"/>
      <c r="V53" s="498"/>
      <c r="W53" s="498"/>
      <c r="X53" s="498"/>
      <c r="Y53" s="498"/>
      <c r="Z53" s="498"/>
      <c r="AA53" s="498"/>
      <c r="AB53" s="498"/>
      <c r="AC53" s="498"/>
      <c r="AD53" s="498"/>
      <c r="AE53" s="3">
        <v>1</v>
      </c>
    </row>
    <row r="54" spans="1:31">
      <c r="A54" s="498"/>
      <c r="B54" s="9" t="s">
        <v>12777</v>
      </c>
      <c r="C54" s="9"/>
      <c r="D54" s="9"/>
      <c r="E54" s="9"/>
      <c r="F54" s="9" t="s">
        <v>12779</v>
      </c>
      <c r="G54" s="9"/>
      <c r="H54" s="9"/>
      <c r="I54" s="9"/>
      <c r="J54" s="9" t="s">
        <v>12781</v>
      </c>
      <c r="K54" s="9"/>
      <c r="L54" s="9"/>
      <c r="M54" s="231"/>
      <c r="N54" s="1928"/>
      <c r="O54" s="498"/>
      <c r="P54" s="498"/>
      <c r="Q54" s="498"/>
      <c r="R54" s="498"/>
      <c r="S54" s="498"/>
      <c r="T54" s="498"/>
      <c r="U54" s="498"/>
      <c r="V54" s="498"/>
      <c r="W54" s="498"/>
      <c r="X54" s="498"/>
      <c r="Y54" s="498"/>
      <c r="Z54" s="498"/>
      <c r="AA54" s="498"/>
      <c r="AB54" s="498"/>
      <c r="AC54" s="498"/>
      <c r="AD54" s="498"/>
      <c r="AE54" s="3">
        <v>1</v>
      </c>
    </row>
    <row r="55" spans="1:31">
      <c r="A55" s="498"/>
      <c r="B55" s="9"/>
      <c r="C55" s="9"/>
      <c r="D55" s="9"/>
      <c r="E55" s="9"/>
      <c r="F55" s="9"/>
      <c r="G55" s="9"/>
      <c r="H55" s="9"/>
      <c r="I55" s="9"/>
      <c r="J55" s="9"/>
      <c r="K55" s="9"/>
      <c r="L55" s="9"/>
      <c r="M55" s="231"/>
      <c r="N55" s="498"/>
      <c r="O55" s="498"/>
      <c r="P55" s="498"/>
      <c r="Q55" s="498"/>
      <c r="R55" s="498"/>
      <c r="S55" s="498"/>
      <c r="T55" s="498"/>
      <c r="U55" s="498"/>
      <c r="V55" s="498"/>
      <c r="W55" s="498"/>
      <c r="X55" s="498"/>
      <c r="Y55" s="498"/>
      <c r="Z55" s="498"/>
      <c r="AA55" s="498"/>
      <c r="AB55" s="498"/>
      <c r="AC55" s="498"/>
      <c r="AD55" s="498"/>
      <c r="AE55" s="3">
        <v>1</v>
      </c>
    </row>
    <row r="56" spans="1:31" ht="18.75">
      <c r="A56" s="498"/>
      <c r="B56" s="1555" t="s">
        <v>12541</v>
      </c>
      <c r="C56" s="9"/>
      <c r="D56" s="9"/>
      <c r="E56" s="9"/>
      <c r="F56" s="1555" t="s">
        <v>12622</v>
      </c>
      <c r="G56" s="9"/>
      <c r="H56" s="9"/>
      <c r="I56" s="9"/>
      <c r="J56" s="1555" t="s">
        <v>12684</v>
      </c>
      <c r="K56" s="9"/>
      <c r="L56" s="9"/>
      <c r="M56" s="231"/>
      <c r="N56" s="498"/>
      <c r="O56" s="498"/>
      <c r="P56" s="498"/>
      <c r="Q56" s="498"/>
      <c r="R56" s="498"/>
      <c r="S56" s="498"/>
      <c r="T56" s="498"/>
      <c r="U56" s="498"/>
      <c r="V56" s="498"/>
      <c r="W56" s="498"/>
      <c r="X56" s="498"/>
      <c r="Y56" s="498"/>
      <c r="Z56" s="498"/>
      <c r="AA56" s="498"/>
      <c r="AB56" s="498"/>
      <c r="AC56" s="498"/>
      <c r="AD56" s="498"/>
      <c r="AE56" s="3">
        <v>1</v>
      </c>
    </row>
    <row r="57" spans="1:31">
      <c r="A57" s="498"/>
      <c r="B57" s="1929" t="s">
        <v>12561</v>
      </c>
      <c r="C57" s="9"/>
      <c r="D57" s="9"/>
      <c r="E57" s="9"/>
      <c r="F57" s="1929" t="s">
        <v>12739</v>
      </c>
      <c r="G57" s="9"/>
      <c r="H57" s="9"/>
      <c r="I57" s="9"/>
      <c r="J57" s="1929" t="s">
        <v>12740</v>
      </c>
      <c r="K57" s="9"/>
      <c r="L57" s="9"/>
      <c r="M57" s="231"/>
      <c r="N57" s="498"/>
      <c r="O57" s="498"/>
      <c r="P57" s="498"/>
      <c r="Q57" s="498"/>
      <c r="R57" s="498"/>
      <c r="S57" s="498"/>
      <c r="T57" s="498"/>
      <c r="U57" s="498"/>
      <c r="V57" s="498"/>
      <c r="W57" s="498"/>
      <c r="X57" s="498"/>
      <c r="Y57" s="498"/>
      <c r="Z57" s="498"/>
      <c r="AA57" s="498"/>
      <c r="AB57" s="498"/>
      <c r="AC57" s="498"/>
      <c r="AD57" s="498"/>
      <c r="AE57" s="3">
        <v>1</v>
      </c>
    </row>
    <row r="58" spans="1:31">
      <c r="A58" s="498"/>
      <c r="B58" s="1929" t="s">
        <v>12562</v>
      </c>
      <c r="C58" s="9"/>
      <c r="D58" s="9"/>
      <c r="E58" s="9"/>
      <c r="F58" s="1929" t="s">
        <v>12741</v>
      </c>
      <c r="G58" s="9"/>
      <c r="H58" s="9"/>
      <c r="I58" s="9"/>
      <c r="J58" s="1929" t="s">
        <v>12742</v>
      </c>
      <c r="K58" s="9"/>
      <c r="L58" s="9"/>
      <c r="M58" s="231"/>
      <c r="N58" s="498"/>
      <c r="O58" s="498"/>
      <c r="P58" s="498"/>
      <c r="Q58" s="498"/>
      <c r="R58" s="498"/>
      <c r="S58" s="498"/>
      <c r="T58" s="498"/>
      <c r="U58" s="498"/>
      <c r="V58" s="498"/>
      <c r="W58" s="498"/>
      <c r="X58" s="498"/>
      <c r="Y58" s="498"/>
      <c r="Z58" s="498"/>
      <c r="AA58" s="498"/>
      <c r="AB58" s="498"/>
      <c r="AC58" s="498"/>
      <c r="AD58" s="498"/>
      <c r="AE58" s="3">
        <v>1</v>
      </c>
    </row>
    <row r="59" spans="1:31">
      <c r="A59" s="498"/>
      <c r="B59" s="1929" t="s">
        <v>12563</v>
      </c>
      <c r="C59" s="9"/>
      <c r="D59" s="9"/>
      <c r="E59" s="9"/>
      <c r="F59" s="1929" t="s">
        <v>12743</v>
      </c>
      <c r="G59" s="9"/>
      <c r="H59" s="9"/>
      <c r="I59" s="9"/>
      <c r="J59" s="1929" t="s">
        <v>12744</v>
      </c>
      <c r="K59" s="9"/>
      <c r="L59" s="9"/>
      <c r="M59" s="231"/>
      <c r="N59" s="498"/>
      <c r="O59" s="498"/>
      <c r="P59" s="498"/>
      <c r="Q59" s="498"/>
      <c r="R59" s="498"/>
      <c r="S59" s="498"/>
      <c r="T59" s="498"/>
      <c r="U59" s="498"/>
      <c r="V59" s="498"/>
      <c r="W59" s="498"/>
      <c r="X59" s="498"/>
      <c r="Y59" s="498"/>
      <c r="Z59" s="498"/>
      <c r="AA59" s="498"/>
      <c r="AB59" s="498"/>
      <c r="AC59" s="498"/>
      <c r="AD59" s="498"/>
      <c r="AE59" s="3">
        <v>1</v>
      </c>
    </row>
    <row r="60" spans="1:31">
      <c r="A60" s="498"/>
      <c r="B60" s="1928" t="s">
        <v>12542</v>
      </c>
      <c r="C60" s="9"/>
      <c r="D60" s="9"/>
      <c r="E60" s="9"/>
      <c r="F60" s="1929" t="s">
        <v>12623</v>
      </c>
      <c r="G60" s="9"/>
      <c r="H60" s="9"/>
      <c r="I60" s="9"/>
      <c r="J60" s="1929" t="s">
        <v>12685</v>
      </c>
      <c r="K60" s="9"/>
      <c r="L60" s="9"/>
      <c r="M60" s="231"/>
      <c r="N60" s="498"/>
      <c r="O60" s="498"/>
      <c r="P60" s="498"/>
      <c r="Q60" s="498"/>
      <c r="R60" s="498"/>
      <c r="S60" s="498"/>
      <c r="T60" s="498"/>
      <c r="U60" s="498"/>
      <c r="V60" s="498"/>
      <c r="W60" s="498"/>
      <c r="X60" s="498"/>
      <c r="Y60" s="498"/>
      <c r="Z60" s="498"/>
      <c r="AA60" s="498"/>
      <c r="AB60" s="498"/>
      <c r="AC60" s="498"/>
      <c r="AD60" s="498"/>
      <c r="AE60" s="3">
        <v>1</v>
      </c>
    </row>
    <row r="61" spans="1:31">
      <c r="A61" s="498"/>
      <c r="B61" s="1928" t="s">
        <v>3353</v>
      </c>
      <c r="C61" s="9"/>
      <c r="D61" s="9"/>
      <c r="E61" s="9"/>
      <c r="F61" s="1928" t="s">
        <v>12624</v>
      </c>
      <c r="G61" s="9"/>
      <c r="H61" s="9"/>
      <c r="I61" s="9"/>
      <c r="J61" s="1928" t="s">
        <v>12686</v>
      </c>
      <c r="K61" s="9"/>
      <c r="L61" s="9"/>
      <c r="M61" s="231"/>
      <c r="N61" s="498"/>
      <c r="O61" s="498"/>
      <c r="P61" s="498"/>
      <c r="Q61" s="498"/>
      <c r="R61" s="498"/>
      <c r="S61" s="498"/>
      <c r="T61" s="498"/>
      <c r="U61" s="498"/>
      <c r="V61" s="498"/>
      <c r="W61" s="498"/>
      <c r="X61" s="498"/>
      <c r="Y61" s="498"/>
      <c r="Z61" s="498"/>
      <c r="AA61" s="498"/>
      <c r="AB61" s="498"/>
      <c r="AC61" s="498"/>
      <c r="AD61" s="498"/>
      <c r="AE61" s="3">
        <v>1</v>
      </c>
    </row>
    <row r="62" spans="1:31">
      <c r="A62" s="498"/>
      <c r="B62" s="1928"/>
      <c r="C62" s="9"/>
      <c r="D62" s="9"/>
      <c r="E62" s="9"/>
      <c r="F62" s="9"/>
      <c r="G62" s="9"/>
      <c r="H62" s="9"/>
      <c r="I62" s="9"/>
      <c r="J62" s="9"/>
      <c r="K62" s="9"/>
      <c r="L62" s="9"/>
      <c r="M62" s="231"/>
      <c r="N62" s="498"/>
      <c r="O62" s="498"/>
      <c r="P62" s="498"/>
      <c r="Q62" s="498"/>
      <c r="R62" s="498"/>
      <c r="S62" s="498"/>
      <c r="T62" s="498"/>
      <c r="U62" s="498"/>
      <c r="V62" s="498"/>
      <c r="W62" s="498"/>
      <c r="X62" s="498"/>
      <c r="Y62" s="498"/>
      <c r="Z62" s="498"/>
      <c r="AA62" s="498"/>
      <c r="AB62" s="498"/>
      <c r="AC62" s="498"/>
      <c r="AD62" s="498"/>
      <c r="AE62" s="3">
        <v>1</v>
      </c>
    </row>
    <row r="63" spans="1:31" ht="18.75">
      <c r="A63" s="498"/>
      <c r="B63" s="1555" t="s">
        <v>12543</v>
      </c>
      <c r="C63" s="9"/>
      <c r="D63" s="9"/>
      <c r="E63" s="9"/>
      <c r="F63" s="1555" t="s">
        <v>12625</v>
      </c>
      <c r="G63" s="9"/>
      <c r="H63" s="9"/>
      <c r="I63" s="9"/>
      <c r="J63" s="1555" t="s">
        <v>12687</v>
      </c>
      <c r="K63" s="9"/>
      <c r="L63" s="9"/>
      <c r="M63" s="231"/>
      <c r="N63" s="498"/>
      <c r="O63" s="498"/>
      <c r="P63" s="498"/>
      <c r="Q63" s="498"/>
      <c r="R63" s="498"/>
      <c r="S63" s="498"/>
      <c r="T63" s="498"/>
      <c r="U63" s="498"/>
      <c r="V63" s="498"/>
      <c r="W63" s="498"/>
      <c r="X63" s="498"/>
      <c r="Y63" s="498"/>
      <c r="Z63" s="498"/>
      <c r="AA63" s="498"/>
      <c r="AB63" s="498"/>
      <c r="AC63" s="498"/>
      <c r="AD63" s="498"/>
      <c r="AE63" s="3">
        <v>1</v>
      </c>
    </row>
    <row r="64" spans="1:31">
      <c r="A64" s="498"/>
      <c r="B64" s="1928"/>
      <c r="C64" s="9"/>
      <c r="D64" s="9"/>
      <c r="E64" s="9"/>
      <c r="F64" s="9"/>
      <c r="G64" s="9"/>
      <c r="H64" s="9"/>
      <c r="I64" s="9"/>
      <c r="J64" s="9"/>
      <c r="K64" s="9"/>
      <c r="L64" s="9"/>
      <c r="M64" s="231"/>
      <c r="N64" s="498"/>
      <c r="O64" s="498"/>
      <c r="P64" s="498"/>
      <c r="Q64" s="498"/>
      <c r="R64" s="498"/>
      <c r="S64" s="498"/>
      <c r="T64" s="498"/>
      <c r="U64" s="498"/>
      <c r="V64" s="498"/>
      <c r="W64" s="498"/>
      <c r="X64" s="498"/>
      <c r="Y64" s="498"/>
      <c r="Z64" s="498"/>
      <c r="AA64" s="498"/>
      <c r="AB64" s="498"/>
      <c r="AC64" s="498"/>
      <c r="AD64" s="498"/>
      <c r="AE64" s="3">
        <v>1</v>
      </c>
    </row>
    <row r="65" spans="1:31">
      <c r="A65" s="498"/>
      <c r="B65" s="1929" t="s">
        <v>12564</v>
      </c>
      <c r="C65" s="9"/>
      <c r="D65" s="9"/>
      <c r="E65" s="9"/>
      <c r="F65" s="1928" t="s">
        <v>12745</v>
      </c>
      <c r="G65" s="9"/>
      <c r="H65" s="9"/>
      <c r="I65" s="9"/>
      <c r="J65" s="1928" t="s">
        <v>12746</v>
      </c>
      <c r="K65" s="9"/>
      <c r="L65" s="9"/>
      <c r="M65" s="231"/>
      <c r="N65" s="498"/>
      <c r="O65" s="498"/>
      <c r="P65" s="498"/>
      <c r="Q65" s="498"/>
      <c r="R65" s="498"/>
      <c r="S65" s="498"/>
      <c r="T65" s="498"/>
      <c r="U65" s="498"/>
      <c r="V65" s="498"/>
      <c r="W65" s="498"/>
      <c r="X65" s="498"/>
      <c r="Y65" s="498"/>
      <c r="Z65" s="498"/>
      <c r="AA65" s="498"/>
      <c r="AB65" s="498"/>
      <c r="AC65" s="498"/>
      <c r="AD65" s="498"/>
      <c r="AE65" s="3">
        <v>1</v>
      </c>
    </row>
    <row r="66" spans="1:31">
      <c r="A66" s="498"/>
      <c r="B66" s="1929" t="s">
        <v>12782</v>
      </c>
      <c r="C66" s="9"/>
      <c r="D66" s="9"/>
      <c r="E66" s="9"/>
      <c r="F66" s="1928" t="s">
        <v>12784</v>
      </c>
      <c r="G66" s="9"/>
      <c r="H66" s="9"/>
      <c r="I66" s="9"/>
      <c r="J66" s="1928" t="s">
        <v>12786</v>
      </c>
      <c r="K66" s="9"/>
      <c r="L66" s="9"/>
      <c r="M66" s="231"/>
      <c r="N66" s="498"/>
      <c r="O66" s="498"/>
      <c r="P66" s="498"/>
      <c r="Q66" s="498"/>
      <c r="R66" s="498"/>
      <c r="S66" s="498"/>
      <c r="T66" s="498"/>
      <c r="U66" s="498"/>
      <c r="V66" s="498"/>
      <c r="W66" s="498"/>
      <c r="X66" s="498"/>
      <c r="Y66" s="498"/>
      <c r="Z66" s="498"/>
      <c r="AA66" s="498"/>
      <c r="AB66" s="498"/>
      <c r="AC66" s="498"/>
      <c r="AD66" s="498"/>
      <c r="AE66" s="3">
        <v>1</v>
      </c>
    </row>
    <row r="67" spans="1:31">
      <c r="A67" s="498"/>
      <c r="B67" s="1929" t="s">
        <v>12783</v>
      </c>
      <c r="C67" s="9"/>
      <c r="D67" s="9"/>
      <c r="E67" s="9"/>
      <c r="F67" s="1928" t="s">
        <v>12785</v>
      </c>
      <c r="G67" s="9"/>
      <c r="H67" s="9"/>
      <c r="I67" s="9"/>
      <c r="J67" s="1928" t="s">
        <v>12787</v>
      </c>
      <c r="K67" s="9"/>
      <c r="L67" s="9"/>
      <c r="M67" s="231"/>
      <c r="N67" s="498"/>
      <c r="O67" s="498"/>
      <c r="P67" s="498"/>
      <c r="Q67" s="498"/>
      <c r="R67" s="498"/>
      <c r="S67" s="498"/>
      <c r="T67" s="498"/>
      <c r="U67" s="498"/>
      <c r="V67" s="498"/>
      <c r="W67" s="498"/>
      <c r="X67" s="498"/>
      <c r="Y67" s="498"/>
      <c r="Z67" s="498"/>
      <c r="AA67" s="498"/>
      <c r="AB67" s="498"/>
      <c r="AC67" s="498"/>
      <c r="AD67" s="498"/>
      <c r="AE67" s="3">
        <v>1</v>
      </c>
    </row>
    <row r="68" spans="1:31">
      <c r="A68" s="498"/>
      <c r="B68" s="1929" t="s">
        <v>12544</v>
      </c>
      <c r="C68" s="9"/>
      <c r="D68" s="9"/>
      <c r="E68" s="9"/>
      <c r="F68" s="1928" t="s">
        <v>12626</v>
      </c>
      <c r="G68" s="9"/>
      <c r="H68" s="9"/>
      <c r="I68" s="9"/>
      <c r="J68" s="1928" t="s">
        <v>12688</v>
      </c>
      <c r="K68" s="9"/>
      <c r="L68" s="9"/>
      <c r="M68" s="231"/>
      <c r="N68" s="498"/>
      <c r="O68" s="498"/>
      <c r="P68" s="498"/>
      <c r="Q68" s="498"/>
      <c r="R68" s="498"/>
      <c r="S68" s="498"/>
      <c r="T68" s="498"/>
      <c r="U68" s="498"/>
      <c r="V68" s="498"/>
      <c r="W68" s="498"/>
      <c r="X68" s="498"/>
      <c r="Y68" s="498"/>
      <c r="Z68" s="498"/>
      <c r="AA68" s="498"/>
      <c r="AB68" s="498"/>
      <c r="AC68" s="498"/>
      <c r="AD68" s="498"/>
      <c r="AE68" s="3">
        <v>1</v>
      </c>
    </row>
    <row r="69" spans="1:31">
      <c r="A69" s="498"/>
      <c r="B69" s="1929" t="s">
        <v>12565</v>
      </c>
      <c r="C69" s="9"/>
      <c r="D69" s="9"/>
      <c r="E69" s="9"/>
      <c r="F69" s="1928" t="s">
        <v>12747</v>
      </c>
      <c r="G69" s="9"/>
      <c r="H69" s="9"/>
      <c r="I69" s="9"/>
      <c r="J69" s="1928" t="s">
        <v>12748</v>
      </c>
      <c r="K69" s="9"/>
      <c r="L69" s="9"/>
      <c r="M69" s="231"/>
      <c r="N69" s="498"/>
      <c r="O69" s="498"/>
      <c r="P69" s="498"/>
      <c r="Q69" s="498"/>
      <c r="R69" s="498"/>
      <c r="S69" s="498"/>
      <c r="T69" s="498"/>
      <c r="U69" s="498"/>
      <c r="V69" s="498"/>
      <c r="W69" s="498"/>
      <c r="X69" s="498"/>
      <c r="Y69" s="498"/>
      <c r="Z69" s="498"/>
      <c r="AA69" s="498"/>
      <c r="AB69" s="498"/>
      <c r="AC69" s="498"/>
      <c r="AD69" s="498"/>
      <c r="AE69" s="3">
        <v>1</v>
      </c>
    </row>
    <row r="70" spans="1:31">
      <c r="A70" s="498"/>
      <c r="B70" s="1929" t="s">
        <v>12566</v>
      </c>
      <c r="C70" s="9"/>
      <c r="D70" s="9"/>
      <c r="E70" s="9"/>
      <c r="F70" s="1928" t="s">
        <v>12749</v>
      </c>
      <c r="G70" s="9"/>
      <c r="H70" s="9"/>
      <c r="I70" s="9"/>
      <c r="J70" s="1928" t="s">
        <v>12750</v>
      </c>
      <c r="K70" s="9"/>
      <c r="L70" s="9"/>
      <c r="M70" s="231"/>
      <c r="N70" s="498"/>
      <c r="O70" s="498"/>
      <c r="P70" s="498"/>
      <c r="Q70" s="498"/>
      <c r="R70" s="498"/>
      <c r="S70" s="498"/>
      <c r="T70" s="498"/>
      <c r="U70" s="498"/>
      <c r="V70" s="498"/>
      <c r="W70" s="498"/>
      <c r="X70" s="498"/>
      <c r="Y70" s="498"/>
      <c r="Z70" s="498"/>
      <c r="AA70" s="498"/>
      <c r="AB70" s="498"/>
      <c r="AC70" s="498"/>
      <c r="AD70" s="498"/>
      <c r="AE70" s="3">
        <v>1</v>
      </c>
    </row>
    <row r="71" spans="1:31">
      <c r="A71" s="498"/>
      <c r="B71" s="1929" t="s">
        <v>12545</v>
      </c>
      <c r="C71" s="9"/>
      <c r="D71" s="9"/>
      <c r="E71" s="9"/>
      <c r="F71" s="1928" t="s">
        <v>12627</v>
      </c>
      <c r="G71" s="9"/>
      <c r="H71" s="9"/>
      <c r="I71" s="9"/>
      <c r="J71" s="1928" t="s">
        <v>12689</v>
      </c>
      <c r="K71" s="9"/>
      <c r="L71" s="9"/>
      <c r="M71" s="231"/>
      <c r="N71" s="498"/>
      <c r="O71" s="498"/>
      <c r="P71" s="498"/>
      <c r="Q71" s="498"/>
      <c r="R71" s="498"/>
      <c r="S71" s="498"/>
      <c r="T71" s="498"/>
      <c r="U71" s="498"/>
      <c r="V71" s="498"/>
      <c r="W71" s="498"/>
      <c r="X71" s="498"/>
      <c r="Y71" s="498"/>
      <c r="Z71" s="498"/>
      <c r="AA71" s="498"/>
      <c r="AB71" s="498"/>
      <c r="AC71" s="498"/>
      <c r="AD71" s="498"/>
      <c r="AE71" s="3">
        <v>1</v>
      </c>
    </row>
    <row r="72" spans="1:31">
      <c r="A72" s="498"/>
      <c r="B72" s="9"/>
      <c r="C72" s="9"/>
      <c r="D72" s="9"/>
      <c r="E72" s="9"/>
      <c r="F72" s="9"/>
      <c r="G72" s="9"/>
      <c r="H72" s="9"/>
      <c r="I72" s="9"/>
      <c r="J72" s="9"/>
      <c r="K72" s="9"/>
      <c r="L72" s="9"/>
      <c r="M72" s="231"/>
      <c r="N72" s="498"/>
      <c r="O72" s="498"/>
      <c r="P72" s="498"/>
      <c r="Q72" s="498"/>
      <c r="R72" s="498"/>
      <c r="S72" s="498"/>
      <c r="T72" s="498"/>
      <c r="U72" s="498"/>
      <c r="V72" s="498"/>
      <c r="W72" s="498"/>
      <c r="X72" s="498"/>
      <c r="Y72" s="498"/>
      <c r="Z72" s="498"/>
      <c r="AA72" s="498"/>
      <c r="AB72" s="498"/>
      <c r="AC72" s="498"/>
      <c r="AD72" s="498"/>
      <c r="AE72" s="3">
        <v>1</v>
      </c>
    </row>
    <row r="73" spans="1:31" ht="18.75">
      <c r="A73" s="498"/>
      <c r="B73" s="1555" t="s">
        <v>12546</v>
      </c>
      <c r="C73" s="9"/>
      <c r="D73" s="9"/>
      <c r="E73" s="9"/>
      <c r="F73" s="1555" t="s">
        <v>12628</v>
      </c>
      <c r="G73" s="9"/>
      <c r="H73" s="9"/>
      <c r="I73" s="9"/>
      <c r="J73" s="1555" t="s">
        <v>12690</v>
      </c>
      <c r="K73" s="9"/>
      <c r="L73" s="9"/>
      <c r="M73" s="231"/>
      <c r="N73" s="498"/>
      <c r="O73" s="498"/>
      <c r="P73" s="498"/>
      <c r="Q73" s="498"/>
      <c r="R73" s="498"/>
      <c r="S73" s="498"/>
      <c r="T73" s="498"/>
      <c r="U73" s="498"/>
      <c r="V73" s="498"/>
      <c r="W73" s="498"/>
      <c r="X73" s="498"/>
      <c r="Y73" s="498"/>
      <c r="Z73" s="498"/>
      <c r="AA73" s="498"/>
      <c r="AB73" s="498"/>
      <c r="AC73" s="498"/>
      <c r="AD73" s="498"/>
      <c r="AE73" s="3">
        <v>1</v>
      </c>
    </row>
    <row r="74" spans="1:31">
      <c r="A74" s="498"/>
      <c r="B74" s="1928"/>
      <c r="C74" s="9"/>
      <c r="D74" s="9"/>
      <c r="E74" s="9"/>
      <c r="F74" s="1928"/>
      <c r="G74" s="9"/>
      <c r="H74" s="9"/>
      <c r="I74" s="9"/>
      <c r="J74" s="1928"/>
      <c r="K74" s="9"/>
      <c r="L74" s="9"/>
      <c r="M74" s="231"/>
      <c r="N74" s="498"/>
      <c r="O74" s="498"/>
      <c r="P74" s="498"/>
      <c r="Q74" s="498"/>
      <c r="R74" s="498"/>
      <c r="S74" s="498"/>
      <c r="T74" s="498"/>
      <c r="U74" s="498"/>
      <c r="V74" s="498"/>
      <c r="W74" s="498"/>
      <c r="X74" s="498"/>
      <c r="Y74" s="498"/>
      <c r="Z74" s="498"/>
      <c r="AA74" s="498"/>
      <c r="AB74" s="498"/>
      <c r="AC74" s="498"/>
      <c r="AD74" s="498"/>
      <c r="AE74" s="3">
        <v>1</v>
      </c>
    </row>
    <row r="75" spans="1:31">
      <c r="A75" s="498"/>
      <c r="B75" s="1929" t="s">
        <v>12567</v>
      </c>
      <c r="C75" s="9"/>
      <c r="D75" s="9"/>
      <c r="E75" s="9"/>
      <c r="F75" s="1929" t="s">
        <v>12751</v>
      </c>
      <c r="G75" s="9"/>
      <c r="H75" s="9"/>
      <c r="I75" s="9"/>
      <c r="J75" s="1929" t="s">
        <v>12752</v>
      </c>
      <c r="K75" s="9"/>
      <c r="L75" s="9"/>
      <c r="M75" s="231"/>
      <c r="N75" s="498"/>
      <c r="O75" s="498"/>
      <c r="P75" s="498"/>
      <c r="Q75" s="498"/>
      <c r="R75" s="498"/>
      <c r="S75" s="498"/>
      <c r="T75" s="498"/>
      <c r="U75" s="498"/>
      <c r="V75" s="498"/>
      <c r="W75" s="498"/>
      <c r="X75" s="498"/>
      <c r="Y75" s="498"/>
      <c r="Z75" s="498"/>
      <c r="AA75" s="498"/>
      <c r="AB75" s="498"/>
      <c r="AC75" s="498"/>
      <c r="AD75" s="498"/>
      <c r="AE75" s="3">
        <v>1</v>
      </c>
    </row>
    <row r="76" spans="1:31">
      <c r="A76" s="498"/>
      <c r="B76" s="1929" t="s">
        <v>12568</v>
      </c>
      <c r="C76" s="9"/>
      <c r="D76" s="9"/>
      <c r="E76" s="9"/>
      <c r="F76" s="1929" t="s">
        <v>12753</v>
      </c>
      <c r="G76" s="9"/>
      <c r="H76" s="9"/>
      <c r="I76" s="9"/>
      <c r="J76" s="1929" t="s">
        <v>12754</v>
      </c>
      <c r="K76" s="9"/>
      <c r="L76" s="9"/>
      <c r="M76" s="231"/>
      <c r="N76" s="498"/>
      <c r="O76" s="498"/>
      <c r="P76" s="498"/>
      <c r="Q76" s="498"/>
      <c r="R76" s="498"/>
      <c r="S76" s="498"/>
      <c r="T76" s="498"/>
      <c r="U76" s="498"/>
      <c r="V76" s="498"/>
      <c r="W76" s="498"/>
      <c r="X76" s="498"/>
      <c r="Y76" s="498"/>
      <c r="Z76" s="498"/>
      <c r="AA76" s="498"/>
      <c r="AB76" s="498"/>
      <c r="AC76" s="498"/>
      <c r="AD76" s="498"/>
      <c r="AE76" s="3">
        <v>1</v>
      </c>
    </row>
    <row r="77" spans="1:31">
      <c r="A77" s="498"/>
      <c r="B77" s="1929" t="s">
        <v>12547</v>
      </c>
      <c r="C77" s="9"/>
      <c r="D77" s="9"/>
      <c r="E77" s="9"/>
      <c r="F77" s="1929" t="s">
        <v>12629</v>
      </c>
      <c r="G77" s="9"/>
      <c r="H77" s="9"/>
      <c r="I77" s="9"/>
      <c r="J77" s="1929" t="s">
        <v>12691</v>
      </c>
      <c r="K77" s="9"/>
      <c r="L77" s="9"/>
      <c r="M77" s="231"/>
      <c r="N77" s="498"/>
      <c r="O77" s="498"/>
      <c r="P77" s="498"/>
      <c r="Q77" s="498"/>
      <c r="R77" s="498"/>
      <c r="S77" s="498"/>
      <c r="T77" s="498"/>
      <c r="U77" s="498"/>
      <c r="V77" s="498"/>
      <c r="W77" s="498"/>
      <c r="X77" s="498"/>
      <c r="Y77" s="498"/>
      <c r="Z77" s="498"/>
      <c r="AA77" s="498"/>
      <c r="AB77" s="498"/>
      <c r="AC77" s="498"/>
      <c r="AD77" s="498"/>
      <c r="AE77" s="3">
        <v>1</v>
      </c>
    </row>
    <row r="78" spans="1:31">
      <c r="A78" s="498"/>
      <c r="B78" s="1929" t="s">
        <v>12548</v>
      </c>
      <c r="C78" s="9"/>
      <c r="D78" s="9"/>
      <c r="E78" s="9"/>
      <c r="F78" s="1929" t="s">
        <v>12630</v>
      </c>
      <c r="G78" s="9"/>
      <c r="H78" s="9"/>
      <c r="I78" s="9"/>
      <c r="J78" s="1929" t="s">
        <v>12692</v>
      </c>
      <c r="K78" s="9"/>
      <c r="L78" s="9"/>
      <c r="M78" s="231"/>
      <c r="N78" s="498"/>
      <c r="O78" s="498"/>
      <c r="P78" s="498"/>
      <c r="Q78" s="498"/>
      <c r="R78" s="498"/>
      <c r="S78" s="498"/>
      <c r="T78" s="498"/>
      <c r="U78" s="498"/>
      <c r="V78" s="498"/>
      <c r="W78" s="498"/>
      <c r="X78" s="498"/>
      <c r="Y78" s="498"/>
      <c r="Z78" s="498"/>
      <c r="AA78" s="498"/>
      <c r="AB78" s="498"/>
      <c r="AC78" s="498"/>
      <c r="AD78" s="498"/>
      <c r="AE78" s="3">
        <v>1</v>
      </c>
    </row>
    <row r="79" spans="1:31">
      <c r="A79" s="498"/>
      <c r="B79" s="1929" t="s">
        <v>12549</v>
      </c>
      <c r="C79" s="9"/>
      <c r="D79" s="9"/>
      <c r="E79" s="9"/>
      <c r="F79" s="1929" t="s">
        <v>12631</v>
      </c>
      <c r="G79" s="9"/>
      <c r="H79" s="9"/>
      <c r="I79" s="9"/>
      <c r="J79" s="1929" t="s">
        <v>12693</v>
      </c>
      <c r="K79" s="9"/>
      <c r="L79" s="9"/>
      <c r="M79" s="231"/>
      <c r="N79" s="498"/>
      <c r="O79" s="498"/>
      <c r="P79" s="498"/>
      <c r="Q79" s="498"/>
      <c r="R79" s="498"/>
      <c r="S79" s="498"/>
      <c r="T79" s="498"/>
      <c r="U79" s="498"/>
      <c r="V79" s="498"/>
      <c r="W79" s="498"/>
      <c r="X79" s="498"/>
      <c r="Y79" s="498"/>
      <c r="Z79" s="498"/>
      <c r="AA79" s="498"/>
      <c r="AB79" s="498"/>
      <c r="AC79" s="498"/>
      <c r="AD79" s="498"/>
      <c r="AE79" s="3">
        <v>1</v>
      </c>
    </row>
    <row r="80" spans="1:31">
      <c r="A80" s="498"/>
      <c r="B80" s="9"/>
      <c r="C80" s="9"/>
      <c r="D80" s="9"/>
      <c r="E80" s="9"/>
      <c r="F80" s="1928"/>
      <c r="G80" s="9"/>
      <c r="H80" s="9"/>
      <c r="I80" s="9"/>
      <c r="J80" s="1928"/>
      <c r="K80" s="9"/>
      <c r="L80" s="9"/>
      <c r="M80" s="231"/>
      <c r="N80" s="498"/>
      <c r="O80" s="498"/>
      <c r="P80" s="498"/>
      <c r="Q80" s="498"/>
      <c r="R80" s="498"/>
      <c r="S80" s="498"/>
      <c r="T80" s="498"/>
      <c r="U80" s="498"/>
      <c r="V80" s="498"/>
      <c r="W80" s="498"/>
      <c r="X80" s="498"/>
      <c r="Y80" s="498"/>
      <c r="Z80" s="498"/>
      <c r="AA80" s="498"/>
      <c r="AB80" s="498"/>
      <c r="AC80" s="498"/>
      <c r="AD80" s="498"/>
      <c r="AE80" s="3">
        <v>1</v>
      </c>
    </row>
    <row r="81" spans="1:31" ht="18.75">
      <c r="A81" s="498"/>
      <c r="B81" s="1555" t="s">
        <v>12550</v>
      </c>
      <c r="C81" s="9"/>
      <c r="D81" s="9"/>
      <c r="E81" s="9"/>
      <c r="F81" s="1555" t="s">
        <v>12632</v>
      </c>
      <c r="G81" s="9"/>
      <c r="H81" s="9"/>
      <c r="I81" s="9"/>
      <c r="J81" s="1555" t="s">
        <v>12694</v>
      </c>
      <c r="K81" s="9"/>
      <c r="L81" s="9"/>
      <c r="M81" s="231"/>
      <c r="N81" s="498"/>
      <c r="O81" s="498"/>
      <c r="P81" s="498"/>
      <c r="Q81" s="498"/>
      <c r="R81" s="498"/>
      <c r="S81" s="498"/>
      <c r="T81" s="498"/>
      <c r="U81" s="498"/>
      <c r="V81" s="498"/>
      <c r="W81" s="498"/>
      <c r="X81" s="498"/>
      <c r="Y81" s="498"/>
      <c r="Z81" s="498"/>
      <c r="AA81" s="498"/>
      <c r="AB81" s="498"/>
      <c r="AC81" s="498"/>
      <c r="AD81" s="498"/>
      <c r="AE81" s="3">
        <v>1</v>
      </c>
    </row>
    <row r="82" spans="1:31">
      <c r="A82" s="498"/>
      <c r="B82" s="1928"/>
      <c r="C82" s="9"/>
      <c r="D82" s="9"/>
      <c r="E82" s="9"/>
      <c r="F82" s="9"/>
      <c r="G82" s="9"/>
      <c r="H82" s="9"/>
      <c r="I82" s="9"/>
      <c r="J82" s="9"/>
      <c r="K82" s="9"/>
      <c r="L82" s="9"/>
      <c r="M82" s="231"/>
      <c r="N82" s="498"/>
      <c r="O82" s="498"/>
      <c r="P82" s="498"/>
      <c r="Q82" s="498"/>
      <c r="R82" s="498"/>
      <c r="S82" s="498"/>
      <c r="T82" s="498"/>
      <c r="U82" s="498"/>
      <c r="V82" s="498"/>
      <c r="W82" s="498"/>
      <c r="X82" s="498"/>
      <c r="Y82" s="498"/>
      <c r="Z82" s="498"/>
      <c r="AA82" s="498"/>
      <c r="AB82" s="498"/>
      <c r="AC82" s="498"/>
      <c r="AD82" s="498"/>
      <c r="AE82" s="3">
        <v>1</v>
      </c>
    </row>
    <row r="83" spans="1:31">
      <c r="A83" s="498"/>
      <c r="B83" s="1929" t="s">
        <v>12569</v>
      </c>
      <c r="C83" s="9"/>
      <c r="D83" s="9"/>
      <c r="E83" s="9"/>
      <c r="F83" s="1122" t="s">
        <v>12755</v>
      </c>
      <c r="G83" s="9"/>
      <c r="H83" s="9"/>
      <c r="I83" s="9"/>
      <c r="J83" s="1122" t="s">
        <v>12761</v>
      </c>
      <c r="K83" s="9"/>
      <c r="L83" s="9"/>
      <c r="M83" s="231"/>
      <c r="N83" s="498"/>
      <c r="O83" s="498"/>
      <c r="P83" s="498"/>
      <c r="Q83" s="498"/>
      <c r="R83" s="498"/>
      <c r="S83" s="498"/>
      <c r="T83" s="498"/>
      <c r="U83" s="498"/>
      <c r="V83" s="498"/>
      <c r="W83" s="498"/>
      <c r="X83" s="498"/>
      <c r="Y83" s="498"/>
      <c r="Z83" s="498"/>
      <c r="AA83" s="498"/>
      <c r="AB83" s="498"/>
      <c r="AC83" s="498"/>
      <c r="AD83" s="498"/>
      <c r="AE83" s="3">
        <v>1</v>
      </c>
    </row>
    <row r="84" spans="1:31">
      <c r="A84" s="498"/>
      <c r="B84" s="1929" t="s">
        <v>12551</v>
      </c>
      <c r="C84" s="9"/>
      <c r="D84" s="9"/>
      <c r="E84" s="9"/>
      <c r="F84" s="1122" t="s">
        <v>12633</v>
      </c>
      <c r="G84" s="9"/>
      <c r="H84" s="9"/>
      <c r="I84" s="9"/>
      <c r="J84" s="1122" t="s">
        <v>12695</v>
      </c>
      <c r="K84" s="9"/>
      <c r="L84" s="9"/>
      <c r="M84" s="231"/>
      <c r="N84" s="498"/>
      <c r="O84" s="498"/>
      <c r="P84" s="498"/>
      <c r="Q84" s="498"/>
      <c r="R84" s="498"/>
      <c r="S84" s="498"/>
      <c r="T84" s="498"/>
      <c r="U84" s="498"/>
      <c r="V84" s="498"/>
      <c r="W84" s="498"/>
      <c r="X84" s="498"/>
      <c r="Y84" s="498"/>
      <c r="Z84" s="498"/>
      <c r="AA84" s="498"/>
      <c r="AB84" s="498"/>
      <c r="AC84" s="498"/>
      <c r="AD84" s="498"/>
      <c r="AE84" s="3">
        <v>1</v>
      </c>
    </row>
    <row r="85" spans="1:31">
      <c r="A85" s="498"/>
      <c r="B85" s="1928"/>
      <c r="C85" s="9"/>
      <c r="D85" s="9"/>
      <c r="E85" s="9"/>
      <c r="F85" s="9"/>
      <c r="G85" s="9"/>
      <c r="H85" s="9"/>
      <c r="I85" s="9"/>
      <c r="J85" s="9"/>
      <c r="K85" s="9"/>
      <c r="L85" s="9"/>
      <c r="M85" s="231"/>
      <c r="N85" s="498"/>
      <c r="O85" s="498"/>
      <c r="P85" s="498"/>
      <c r="Q85" s="498"/>
      <c r="R85" s="498"/>
      <c r="S85" s="498"/>
      <c r="T85" s="498"/>
      <c r="U85" s="498"/>
      <c r="V85" s="498"/>
      <c r="W85" s="498"/>
      <c r="X85" s="498"/>
      <c r="Y85" s="498"/>
      <c r="Z85" s="498"/>
      <c r="AA85" s="498"/>
      <c r="AB85" s="498"/>
      <c r="AC85" s="498"/>
      <c r="AD85" s="498"/>
      <c r="AE85" s="3">
        <v>1</v>
      </c>
    </row>
    <row r="86" spans="1:31">
      <c r="A86" s="498"/>
      <c r="B86" s="1929" t="s">
        <v>12570</v>
      </c>
      <c r="C86" s="9"/>
      <c r="D86" s="9"/>
      <c r="E86" s="9"/>
      <c r="F86" s="1122" t="s">
        <v>12756</v>
      </c>
      <c r="G86" s="9"/>
      <c r="H86" s="9"/>
      <c r="I86" s="9"/>
      <c r="J86" s="1122" t="s">
        <v>12762</v>
      </c>
      <c r="K86" s="9"/>
      <c r="L86" s="9"/>
      <c r="M86" s="231"/>
      <c r="N86" s="498"/>
      <c r="O86" s="498"/>
      <c r="P86" s="498"/>
      <c r="Q86" s="498"/>
      <c r="R86" s="498"/>
      <c r="S86" s="498"/>
      <c r="T86" s="498"/>
      <c r="U86" s="498"/>
      <c r="V86" s="498"/>
      <c r="W86" s="498"/>
      <c r="X86" s="498"/>
      <c r="Y86" s="498"/>
      <c r="Z86" s="498"/>
      <c r="AA86" s="498"/>
      <c r="AB86" s="498"/>
      <c r="AC86" s="498"/>
      <c r="AD86" s="498"/>
      <c r="AE86" s="3">
        <v>1</v>
      </c>
    </row>
    <row r="87" spans="1:31">
      <c r="A87" s="498"/>
      <c r="B87" s="1929" t="s">
        <v>12571</v>
      </c>
      <c r="C87" s="9"/>
      <c r="D87" s="9"/>
      <c r="E87" s="9"/>
      <c r="F87" s="1122" t="s">
        <v>12757</v>
      </c>
      <c r="G87" s="9"/>
      <c r="H87" s="9"/>
      <c r="I87" s="9"/>
      <c r="J87" s="1122" t="s">
        <v>12758</v>
      </c>
      <c r="K87" s="9"/>
      <c r="L87" s="9"/>
      <c r="M87" s="231"/>
      <c r="N87" s="498"/>
      <c r="O87" s="498"/>
      <c r="P87" s="498"/>
      <c r="Q87" s="498"/>
      <c r="R87" s="498"/>
      <c r="S87" s="498"/>
      <c r="T87" s="498"/>
      <c r="U87" s="498"/>
      <c r="V87" s="498"/>
      <c r="W87" s="498"/>
      <c r="X87" s="498"/>
      <c r="Y87" s="498"/>
      <c r="Z87" s="498"/>
      <c r="AA87" s="498"/>
      <c r="AB87" s="498"/>
      <c r="AC87" s="498"/>
      <c r="AD87" s="498"/>
      <c r="AE87" s="3">
        <v>1</v>
      </c>
    </row>
    <row r="88" spans="1:31">
      <c r="A88" s="498"/>
      <c r="B88" s="1928"/>
      <c r="C88" s="9"/>
      <c r="D88" s="9"/>
      <c r="E88" s="9"/>
      <c r="F88" s="9"/>
      <c r="G88" s="9"/>
      <c r="H88" s="9"/>
      <c r="I88" s="9"/>
      <c r="J88" s="9"/>
      <c r="K88" s="9"/>
      <c r="L88" s="9"/>
      <c r="M88" s="231"/>
      <c r="N88" s="498"/>
      <c r="O88" s="498"/>
      <c r="P88" s="498"/>
      <c r="Q88" s="498"/>
      <c r="R88" s="498"/>
      <c r="S88" s="498"/>
      <c r="T88" s="498"/>
      <c r="U88" s="498"/>
      <c r="V88" s="498"/>
      <c r="W88" s="498"/>
      <c r="X88" s="498"/>
      <c r="Y88" s="498"/>
      <c r="Z88" s="498"/>
      <c r="AA88" s="498"/>
      <c r="AB88" s="498"/>
      <c r="AC88" s="498"/>
      <c r="AD88" s="498"/>
      <c r="AE88" s="3">
        <v>1</v>
      </c>
    </row>
    <row r="89" spans="1:31">
      <c r="A89" s="498"/>
      <c r="B89" s="1929" t="s">
        <v>12552</v>
      </c>
      <c r="C89" s="9"/>
      <c r="D89" s="9"/>
      <c r="E89" s="9"/>
      <c r="F89" s="1122" t="s">
        <v>12634</v>
      </c>
      <c r="G89" s="9"/>
      <c r="H89" s="9"/>
      <c r="I89" s="9"/>
      <c r="J89" s="1122" t="s">
        <v>12763</v>
      </c>
      <c r="K89" s="9"/>
      <c r="L89" s="9"/>
      <c r="M89" s="231"/>
      <c r="N89" s="498"/>
      <c r="O89" s="498"/>
      <c r="P89" s="498"/>
      <c r="Q89" s="498"/>
      <c r="R89" s="498"/>
      <c r="S89" s="498"/>
      <c r="T89" s="498"/>
      <c r="U89" s="498"/>
      <c r="V89" s="498"/>
      <c r="W89" s="498"/>
      <c r="X89" s="498"/>
      <c r="Y89" s="498"/>
      <c r="Z89" s="498"/>
      <c r="AA89" s="498"/>
      <c r="AB89" s="498"/>
      <c r="AC89" s="498"/>
      <c r="AD89" s="498"/>
      <c r="AE89" s="3">
        <v>1</v>
      </c>
    </row>
    <row r="90" spans="1:31">
      <c r="A90" s="498"/>
      <c r="B90" s="1929" t="s">
        <v>12572</v>
      </c>
      <c r="C90" s="9"/>
      <c r="D90" s="9"/>
      <c r="E90" s="9"/>
      <c r="F90" s="1122" t="s">
        <v>12759</v>
      </c>
      <c r="G90" s="9"/>
      <c r="H90" s="9"/>
      <c r="I90" s="9"/>
      <c r="J90" s="1122" t="s">
        <v>12760</v>
      </c>
      <c r="K90" s="9"/>
      <c r="L90" s="9"/>
      <c r="M90" s="231"/>
      <c r="N90" s="498"/>
      <c r="O90" s="498"/>
      <c r="P90" s="498"/>
      <c r="Q90" s="498"/>
      <c r="R90" s="498"/>
      <c r="S90" s="498"/>
      <c r="T90" s="498"/>
      <c r="U90" s="498"/>
      <c r="V90" s="498"/>
      <c r="W90" s="498"/>
      <c r="X90" s="498"/>
      <c r="Y90" s="498"/>
      <c r="Z90" s="498"/>
      <c r="AA90" s="498"/>
      <c r="AB90" s="498"/>
      <c r="AC90" s="498"/>
      <c r="AD90" s="498"/>
      <c r="AE90" s="3">
        <v>1</v>
      </c>
    </row>
    <row r="91" spans="1:31">
      <c r="A91" s="498"/>
      <c r="B91" s="9"/>
      <c r="C91" s="9"/>
      <c r="D91" s="9"/>
      <c r="E91" s="9"/>
      <c r="F91" s="9"/>
      <c r="G91" s="9"/>
      <c r="H91" s="9"/>
      <c r="I91" s="9"/>
      <c r="J91" s="9"/>
      <c r="K91" s="9"/>
      <c r="L91" s="9"/>
      <c r="M91" s="231"/>
      <c r="N91" s="498"/>
      <c r="O91" s="498"/>
      <c r="P91" s="498"/>
      <c r="Q91" s="498"/>
      <c r="R91" s="498"/>
      <c r="S91" s="498"/>
      <c r="T91" s="498"/>
      <c r="U91" s="498"/>
      <c r="V91" s="498"/>
      <c r="W91" s="498"/>
      <c r="X91" s="498"/>
      <c r="Y91" s="498"/>
      <c r="Z91" s="498"/>
      <c r="AA91" s="498"/>
      <c r="AB91" s="498"/>
      <c r="AC91" s="498"/>
      <c r="AD91" s="498"/>
      <c r="AE91" s="3">
        <v>1</v>
      </c>
    </row>
    <row r="92" spans="1:31" ht="18.75">
      <c r="A92" s="498"/>
      <c r="B92" s="1555" t="s">
        <v>12553</v>
      </c>
      <c r="C92" s="9"/>
      <c r="D92" s="9"/>
      <c r="E92" s="9"/>
      <c r="F92" s="1555" t="s">
        <v>12635</v>
      </c>
      <c r="G92" s="9"/>
      <c r="H92" s="9"/>
      <c r="I92" s="9"/>
      <c r="J92" s="1555" t="s">
        <v>12696</v>
      </c>
      <c r="K92" s="9"/>
      <c r="L92" s="9"/>
      <c r="M92" s="231"/>
      <c r="N92" s="498"/>
      <c r="O92" s="498"/>
      <c r="P92" s="498"/>
      <c r="Q92" s="498"/>
      <c r="R92" s="498"/>
      <c r="S92" s="498"/>
      <c r="T92" s="498"/>
      <c r="U92" s="498"/>
      <c r="V92" s="498"/>
      <c r="W92" s="498"/>
      <c r="X92" s="498"/>
      <c r="Y92" s="498"/>
      <c r="Z92" s="498"/>
      <c r="AA92" s="498"/>
      <c r="AB92" s="498"/>
      <c r="AC92" s="498"/>
      <c r="AD92" s="498"/>
      <c r="AE92" s="3">
        <v>1</v>
      </c>
    </row>
    <row r="93" spans="1:31">
      <c r="A93" s="498"/>
      <c r="B93" s="9"/>
      <c r="C93" s="9"/>
      <c r="D93" s="9"/>
      <c r="E93" s="9"/>
      <c r="F93" s="9"/>
      <c r="G93" s="9"/>
      <c r="H93" s="9"/>
      <c r="I93" s="9"/>
      <c r="J93" s="9"/>
      <c r="K93" s="9"/>
      <c r="L93" s="9"/>
      <c r="M93" s="231"/>
      <c r="N93" s="498"/>
      <c r="O93" s="498"/>
      <c r="P93" s="498"/>
      <c r="Q93" s="498"/>
      <c r="R93" s="498"/>
      <c r="S93" s="498"/>
      <c r="T93" s="498"/>
      <c r="U93" s="498"/>
      <c r="V93" s="498"/>
      <c r="W93" s="498"/>
      <c r="X93" s="498"/>
      <c r="Y93" s="498"/>
      <c r="Z93" s="498"/>
      <c r="AA93" s="498"/>
      <c r="AB93" s="498"/>
      <c r="AC93" s="498"/>
      <c r="AD93" s="498"/>
      <c r="AE93" s="3">
        <v>1</v>
      </c>
    </row>
    <row r="94" spans="1:31">
      <c r="A94" s="498"/>
      <c r="B94" s="1122" t="s">
        <v>12788</v>
      </c>
      <c r="C94" s="9"/>
      <c r="D94" s="9"/>
      <c r="E94" s="9"/>
      <c r="F94" s="9" t="s">
        <v>12790</v>
      </c>
      <c r="G94" s="9"/>
      <c r="H94" s="9"/>
      <c r="I94" s="9"/>
      <c r="J94" s="9" t="s">
        <v>12792</v>
      </c>
      <c r="K94" s="9"/>
      <c r="L94" s="9"/>
      <c r="M94" s="231"/>
      <c r="N94" s="498"/>
      <c r="O94" s="498"/>
      <c r="P94" s="498"/>
      <c r="Q94" s="498"/>
      <c r="R94" s="498"/>
      <c r="S94" s="498"/>
      <c r="T94" s="498"/>
      <c r="U94" s="498"/>
      <c r="V94" s="498"/>
      <c r="W94" s="498"/>
      <c r="X94" s="498"/>
      <c r="Y94" s="498"/>
      <c r="Z94" s="498"/>
      <c r="AA94" s="498"/>
      <c r="AB94" s="498"/>
      <c r="AC94" s="498"/>
      <c r="AD94" s="498"/>
      <c r="AE94" s="3">
        <v>1</v>
      </c>
    </row>
    <row r="95" spans="1:31">
      <c r="A95" s="498"/>
      <c r="B95" s="1122" t="s">
        <v>12789</v>
      </c>
      <c r="C95" s="9"/>
      <c r="D95" s="9"/>
      <c r="E95" s="9"/>
      <c r="F95" s="9" t="s">
        <v>12791</v>
      </c>
      <c r="G95" s="9"/>
      <c r="H95" s="9"/>
      <c r="I95" s="9"/>
      <c r="J95" s="9" t="s">
        <v>12793</v>
      </c>
      <c r="K95" s="9"/>
      <c r="L95" s="9"/>
      <c r="M95" s="231"/>
      <c r="N95" s="498"/>
      <c r="O95" s="498"/>
      <c r="P95" s="498"/>
      <c r="Q95" s="498"/>
      <c r="R95" s="498"/>
      <c r="S95" s="498"/>
      <c r="T95" s="498"/>
      <c r="U95" s="498"/>
      <c r="V95" s="498"/>
      <c r="W95" s="498"/>
      <c r="X95" s="498"/>
      <c r="Y95" s="498"/>
      <c r="Z95" s="498"/>
      <c r="AA95" s="498"/>
      <c r="AB95" s="498"/>
      <c r="AC95" s="498"/>
      <c r="AD95" s="498"/>
      <c r="AE95" s="3">
        <v>1</v>
      </c>
    </row>
    <row r="96" spans="1:31">
      <c r="A96" s="498"/>
      <c r="B96" s="9"/>
      <c r="C96" s="9"/>
      <c r="D96" s="9"/>
      <c r="E96" s="9"/>
      <c r="F96" s="9"/>
      <c r="G96" s="9"/>
      <c r="H96" s="9"/>
      <c r="I96" s="9"/>
      <c r="J96" s="9"/>
      <c r="K96" s="9"/>
      <c r="L96" s="9"/>
      <c r="M96" s="231"/>
      <c r="N96" s="498"/>
      <c r="O96" s="498"/>
      <c r="P96" s="498"/>
      <c r="Q96" s="498"/>
      <c r="R96" s="498"/>
      <c r="S96" s="498"/>
      <c r="T96" s="498"/>
      <c r="U96" s="498"/>
      <c r="V96" s="498"/>
      <c r="W96" s="498"/>
      <c r="X96" s="498"/>
      <c r="Y96" s="498"/>
      <c r="Z96" s="498"/>
      <c r="AA96" s="498"/>
      <c r="AB96" s="498"/>
      <c r="AC96" s="498"/>
      <c r="AD96" s="498"/>
      <c r="AE96" s="3">
        <v>1</v>
      </c>
    </row>
    <row r="97" spans="1:31">
      <c r="A97" s="498"/>
      <c r="B97" s="5034" t="s">
        <v>12795</v>
      </c>
      <c r="C97" s="9"/>
      <c r="D97" s="9"/>
      <c r="E97" s="9"/>
      <c r="F97" s="9" t="s">
        <v>12796</v>
      </c>
      <c r="G97" s="9"/>
      <c r="H97" s="9"/>
      <c r="I97" s="9"/>
      <c r="J97" s="9" t="s">
        <v>12794</v>
      </c>
      <c r="K97" s="9"/>
      <c r="L97" s="9"/>
      <c r="M97" s="231"/>
      <c r="N97" s="498"/>
      <c r="O97" s="498"/>
      <c r="P97" s="498"/>
      <c r="Q97" s="498"/>
      <c r="R97" s="498"/>
      <c r="S97" s="498"/>
      <c r="T97" s="498"/>
      <c r="U97" s="498"/>
      <c r="V97" s="498"/>
      <c r="W97" s="498"/>
      <c r="X97" s="498"/>
      <c r="Y97" s="498"/>
      <c r="Z97" s="498"/>
      <c r="AA97" s="498"/>
      <c r="AB97" s="498"/>
      <c r="AC97" s="498"/>
      <c r="AD97" s="498"/>
      <c r="AE97" s="3">
        <v>1</v>
      </c>
    </row>
    <row r="98" spans="1:31">
      <c r="A98" s="498"/>
      <c r="B98" s="9"/>
      <c r="C98" s="9"/>
      <c r="D98" s="9"/>
      <c r="E98" s="9"/>
      <c r="F98" s="9"/>
      <c r="G98" s="9"/>
      <c r="H98" s="9"/>
      <c r="I98" s="9"/>
      <c r="J98" s="9"/>
      <c r="K98" s="9"/>
      <c r="L98" s="9"/>
      <c r="M98" s="231"/>
      <c r="N98" s="498"/>
      <c r="O98" s="498"/>
      <c r="P98" s="498"/>
      <c r="Q98" s="498"/>
      <c r="R98" s="498"/>
      <c r="S98" s="498"/>
      <c r="T98" s="498"/>
      <c r="U98" s="498"/>
      <c r="V98" s="498"/>
      <c r="W98" s="498"/>
      <c r="X98" s="498"/>
      <c r="Y98" s="498"/>
      <c r="Z98" s="498"/>
      <c r="AA98" s="498"/>
      <c r="AB98" s="498"/>
      <c r="AC98" s="498"/>
      <c r="AD98" s="498"/>
      <c r="AE98" s="3">
        <v>1</v>
      </c>
    </row>
    <row r="99" spans="1:31" ht="18.75">
      <c r="A99" s="498"/>
      <c r="B99" s="1555" t="s">
        <v>12573</v>
      </c>
      <c r="C99" s="9"/>
      <c r="D99" s="9"/>
      <c r="E99" s="9"/>
      <c r="F99" s="1555" t="s">
        <v>12636</v>
      </c>
      <c r="G99" s="9"/>
      <c r="H99" s="9"/>
      <c r="I99" s="9"/>
      <c r="J99" s="1555" t="s">
        <v>12697</v>
      </c>
      <c r="K99" s="9"/>
      <c r="L99" s="9"/>
      <c r="M99" s="231"/>
      <c r="N99" s="498"/>
      <c r="O99" s="498"/>
      <c r="P99" s="498"/>
      <c r="Q99" s="498"/>
      <c r="R99" s="498"/>
      <c r="S99" s="498"/>
      <c r="T99" s="498"/>
      <c r="U99" s="498"/>
      <c r="V99" s="498"/>
      <c r="W99" s="498"/>
      <c r="X99" s="498"/>
      <c r="Y99" s="498"/>
      <c r="Z99" s="498"/>
      <c r="AA99" s="498"/>
      <c r="AB99" s="498"/>
      <c r="AC99" s="498"/>
      <c r="AD99" s="498"/>
      <c r="AE99" s="3">
        <v>1</v>
      </c>
    </row>
    <row r="100" spans="1:31">
      <c r="A100" s="498"/>
      <c r="B100" s="9"/>
      <c r="C100" s="9"/>
      <c r="D100" s="9"/>
      <c r="E100" s="9"/>
      <c r="F100" s="9"/>
      <c r="G100" s="9"/>
      <c r="H100" s="9"/>
      <c r="I100" s="9"/>
      <c r="J100" s="9"/>
      <c r="K100" s="9"/>
      <c r="L100" s="9"/>
      <c r="M100" s="231"/>
      <c r="N100" s="498"/>
      <c r="O100" s="498"/>
      <c r="P100" s="498"/>
      <c r="Q100" s="498"/>
      <c r="R100" s="498"/>
      <c r="S100" s="498"/>
      <c r="T100" s="498"/>
      <c r="U100" s="498"/>
      <c r="V100" s="498"/>
      <c r="W100" s="498"/>
      <c r="X100" s="498"/>
      <c r="Y100" s="498"/>
      <c r="Z100" s="498"/>
      <c r="AA100" s="498"/>
      <c r="AB100" s="498"/>
      <c r="AC100" s="498"/>
      <c r="AD100" s="498"/>
      <c r="AE100" s="3">
        <v>1</v>
      </c>
    </row>
    <row r="101" spans="1:31" ht="18.75">
      <c r="A101" s="498"/>
      <c r="B101" s="1555" t="s">
        <v>12574</v>
      </c>
      <c r="C101" s="9"/>
      <c r="D101" s="9"/>
      <c r="E101" s="9"/>
      <c r="F101" s="1555" t="s">
        <v>12637</v>
      </c>
      <c r="G101" s="9"/>
      <c r="H101" s="9"/>
      <c r="I101" s="9"/>
      <c r="J101" s="1555" t="s">
        <v>12698</v>
      </c>
      <c r="K101" s="9"/>
      <c r="L101" s="9"/>
      <c r="M101" s="231"/>
      <c r="N101" s="498"/>
      <c r="O101" s="498"/>
      <c r="P101" s="498"/>
      <c r="Q101" s="498"/>
      <c r="R101" s="498"/>
      <c r="S101" s="498"/>
      <c r="T101" s="498"/>
      <c r="U101" s="498"/>
      <c r="V101" s="498"/>
      <c r="W101" s="498"/>
      <c r="X101" s="498"/>
      <c r="Y101" s="498"/>
      <c r="Z101" s="498"/>
      <c r="AA101" s="498"/>
      <c r="AB101" s="498"/>
      <c r="AC101" s="498"/>
      <c r="AD101" s="498"/>
      <c r="AE101" s="3">
        <v>1</v>
      </c>
    </row>
    <row r="102" spans="1:31">
      <c r="A102" s="498"/>
      <c r="B102" s="1928"/>
      <c r="C102" s="9"/>
      <c r="D102" s="9"/>
      <c r="E102" s="9"/>
      <c r="F102" s="9"/>
      <c r="G102" s="9"/>
      <c r="H102" s="9"/>
      <c r="I102" s="9"/>
      <c r="J102" s="9"/>
      <c r="K102" s="9"/>
      <c r="L102" s="9"/>
      <c r="M102" s="231"/>
      <c r="N102" s="498"/>
      <c r="O102" s="498"/>
      <c r="P102" s="498"/>
      <c r="Q102" s="498"/>
      <c r="R102" s="498"/>
      <c r="S102" s="498"/>
      <c r="T102" s="498"/>
      <c r="U102" s="498"/>
      <c r="V102" s="498"/>
      <c r="W102" s="498"/>
      <c r="X102" s="498"/>
      <c r="Y102" s="498"/>
      <c r="Z102" s="498"/>
      <c r="AA102" s="498"/>
      <c r="AB102" s="498"/>
      <c r="AC102" s="498"/>
      <c r="AD102" s="498"/>
      <c r="AE102" s="3">
        <v>1</v>
      </c>
    </row>
    <row r="103" spans="1:31">
      <c r="A103" s="498"/>
      <c r="B103" s="1929" t="s">
        <v>12575</v>
      </c>
      <c r="C103" s="9"/>
      <c r="D103" s="9"/>
      <c r="E103" s="9"/>
      <c r="F103" s="1122" t="s">
        <v>12638</v>
      </c>
      <c r="G103" s="9"/>
      <c r="H103" s="9"/>
      <c r="I103" s="9"/>
      <c r="J103" s="1122" t="s">
        <v>12699</v>
      </c>
      <c r="K103" s="9"/>
      <c r="L103" s="9"/>
      <c r="M103" s="231"/>
      <c r="N103" s="498"/>
      <c r="O103" s="498"/>
      <c r="P103" s="498"/>
      <c r="Q103" s="498"/>
      <c r="R103" s="498"/>
      <c r="S103" s="498"/>
      <c r="T103" s="498"/>
      <c r="U103" s="498"/>
      <c r="V103" s="498"/>
      <c r="W103" s="498"/>
      <c r="X103" s="498"/>
      <c r="Y103" s="498"/>
      <c r="Z103" s="498"/>
      <c r="AA103" s="498"/>
      <c r="AB103" s="498"/>
      <c r="AC103" s="498"/>
      <c r="AD103" s="498"/>
      <c r="AE103" s="3">
        <v>1</v>
      </c>
    </row>
    <row r="104" spans="1:31">
      <c r="A104" s="498"/>
      <c r="B104" s="1928" t="s">
        <v>12600</v>
      </c>
      <c r="C104" s="9"/>
      <c r="D104" s="9"/>
      <c r="E104" s="9"/>
      <c r="F104" s="9" t="s">
        <v>12639</v>
      </c>
      <c r="G104" s="9"/>
      <c r="H104" s="9"/>
      <c r="I104" s="9"/>
      <c r="J104" s="9" t="s">
        <v>12700</v>
      </c>
      <c r="K104" s="9"/>
      <c r="L104" s="9"/>
      <c r="M104" s="231"/>
      <c r="N104" s="498"/>
      <c r="O104" s="498"/>
      <c r="P104" s="498"/>
      <c r="Q104" s="498"/>
      <c r="R104" s="498"/>
      <c r="S104" s="498"/>
      <c r="T104" s="498"/>
      <c r="U104" s="498"/>
      <c r="V104" s="498"/>
      <c r="W104" s="498"/>
      <c r="X104" s="498"/>
      <c r="Y104" s="498"/>
      <c r="Z104" s="498"/>
      <c r="AA104" s="498"/>
      <c r="AB104" s="498"/>
      <c r="AC104" s="498"/>
      <c r="AD104" s="498"/>
      <c r="AE104" s="3">
        <v>1</v>
      </c>
    </row>
    <row r="105" spans="1:31">
      <c r="A105" s="498"/>
      <c r="B105" s="1928"/>
      <c r="C105" s="9"/>
      <c r="D105" s="9"/>
      <c r="E105" s="9"/>
      <c r="F105" s="9"/>
      <c r="G105" s="9"/>
      <c r="H105" s="9"/>
      <c r="I105" s="9"/>
      <c r="J105" s="9"/>
      <c r="K105" s="9"/>
      <c r="L105" s="9"/>
      <c r="M105" s="231"/>
      <c r="N105" s="498"/>
      <c r="O105" s="498"/>
      <c r="P105" s="498"/>
      <c r="Q105" s="498"/>
      <c r="R105" s="498"/>
      <c r="S105" s="498"/>
      <c r="T105" s="498"/>
      <c r="U105" s="498"/>
      <c r="V105" s="498"/>
      <c r="W105" s="498"/>
      <c r="X105" s="498"/>
      <c r="Y105" s="498"/>
      <c r="Z105" s="498"/>
      <c r="AA105" s="498"/>
      <c r="AB105" s="498"/>
      <c r="AC105" s="498"/>
      <c r="AD105" s="498"/>
      <c r="AE105" s="3">
        <v>1</v>
      </c>
    </row>
    <row r="106" spans="1:31">
      <c r="A106" s="498"/>
      <c r="B106" s="1929" t="s">
        <v>12601</v>
      </c>
      <c r="C106" s="9"/>
      <c r="D106" s="9"/>
      <c r="E106" s="9"/>
      <c r="F106" s="1122" t="s">
        <v>12640</v>
      </c>
      <c r="G106" s="9"/>
      <c r="H106" s="9"/>
      <c r="I106" s="9"/>
      <c r="J106" s="1122" t="s">
        <v>12701</v>
      </c>
      <c r="K106" s="9"/>
      <c r="L106" s="9"/>
      <c r="M106" s="231"/>
      <c r="N106" s="498"/>
      <c r="O106" s="498"/>
      <c r="P106" s="498"/>
      <c r="Q106" s="498"/>
      <c r="R106" s="498"/>
      <c r="S106" s="498"/>
      <c r="T106" s="498"/>
      <c r="U106" s="498"/>
      <c r="V106" s="498"/>
      <c r="W106" s="498"/>
      <c r="X106" s="498"/>
      <c r="Y106" s="498"/>
      <c r="Z106" s="498"/>
      <c r="AA106" s="498"/>
      <c r="AB106" s="498"/>
      <c r="AC106" s="498"/>
      <c r="AD106" s="498"/>
      <c r="AE106" s="3">
        <v>1</v>
      </c>
    </row>
    <row r="107" spans="1:31">
      <c r="A107" s="498"/>
      <c r="B107" s="5032" t="s">
        <v>12576</v>
      </c>
      <c r="C107" s="9"/>
      <c r="D107" s="9"/>
      <c r="E107" s="9"/>
      <c r="F107" s="9" t="s">
        <v>12641</v>
      </c>
      <c r="G107" s="9"/>
      <c r="H107" s="9"/>
      <c r="I107" s="9"/>
      <c r="J107" s="9" t="s">
        <v>12702</v>
      </c>
      <c r="K107" s="9"/>
      <c r="L107" s="9"/>
      <c r="M107" s="231"/>
      <c r="N107" s="498"/>
      <c r="O107" s="498"/>
      <c r="P107" s="498"/>
      <c r="Q107" s="498"/>
      <c r="R107" s="498"/>
      <c r="S107" s="498"/>
      <c r="T107" s="498"/>
      <c r="U107" s="498"/>
      <c r="V107" s="498"/>
      <c r="W107" s="498"/>
      <c r="X107" s="498"/>
      <c r="Y107" s="498"/>
      <c r="Z107" s="498"/>
      <c r="AA107" s="498"/>
      <c r="AB107" s="498"/>
      <c r="AC107" s="498"/>
      <c r="AD107" s="498"/>
      <c r="AE107" s="3">
        <v>1</v>
      </c>
    </row>
    <row r="108" spans="1:31">
      <c r="A108" s="498"/>
      <c r="B108" s="5032" t="s">
        <v>12602</v>
      </c>
      <c r="C108" s="9"/>
      <c r="D108" s="9"/>
      <c r="E108" s="9"/>
      <c r="F108" s="9" t="s">
        <v>12642</v>
      </c>
      <c r="G108" s="9"/>
      <c r="H108" s="9"/>
      <c r="I108" s="9"/>
      <c r="J108" s="9" t="s">
        <v>12703</v>
      </c>
      <c r="K108" s="9"/>
      <c r="L108" s="9"/>
      <c r="M108" s="231"/>
      <c r="N108" s="498"/>
      <c r="O108" s="498"/>
      <c r="P108" s="498"/>
      <c r="Q108" s="498"/>
      <c r="R108" s="498"/>
      <c r="S108" s="498"/>
      <c r="T108" s="498"/>
      <c r="U108" s="498"/>
      <c r="V108" s="498"/>
      <c r="W108" s="498"/>
      <c r="X108" s="498"/>
      <c r="Y108" s="498"/>
      <c r="Z108" s="498"/>
      <c r="AA108" s="498"/>
      <c r="AB108" s="498"/>
      <c r="AC108" s="498"/>
      <c r="AD108" s="498"/>
      <c r="AE108" s="3">
        <v>1</v>
      </c>
    </row>
    <row r="109" spans="1:31">
      <c r="A109" s="498"/>
      <c r="B109" s="5033"/>
      <c r="C109" s="9"/>
      <c r="D109" s="9"/>
      <c r="E109" s="9"/>
      <c r="F109" s="9"/>
      <c r="G109" s="9"/>
      <c r="H109" s="9"/>
      <c r="I109" s="9"/>
      <c r="J109" s="9"/>
      <c r="K109" s="9"/>
      <c r="L109" s="9"/>
      <c r="M109" s="231"/>
      <c r="N109" s="498"/>
      <c r="O109" s="498"/>
      <c r="P109" s="498"/>
      <c r="Q109" s="498"/>
      <c r="R109" s="498"/>
      <c r="S109" s="498"/>
      <c r="T109" s="498"/>
      <c r="U109" s="498"/>
      <c r="V109" s="498"/>
      <c r="W109" s="498"/>
      <c r="X109" s="498"/>
      <c r="Y109" s="498"/>
      <c r="Z109" s="498"/>
      <c r="AA109" s="498"/>
      <c r="AB109" s="498"/>
      <c r="AC109" s="498"/>
      <c r="AD109" s="498"/>
      <c r="AE109" s="3">
        <v>1</v>
      </c>
    </row>
    <row r="110" spans="1:31">
      <c r="A110" s="498"/>
      <c r="B110" s="5032" t="s">
        <v>12577</v>
      </c>
      <c r="C110" s="9"/>
      <c r="D110" s="9"/>
      <c r="E110" s="9"/>
      <c r="F110" s="1122" t="s">
        <v>12643</v>
      </c>
      <c r="G110" s="9"/>
      <c r="H110" s="9"/>
      <c r="I110" s="9"/>
      <c r="J110" s="1122" t="s">
        <v>12704</v>
      </c>
      <c r="K110" s="9"/>
      <c r="L110" s="9"/>
      <c r="M110" s="231"/>
      <c r="N110" s="498"/>
      <c r="O110" s="498"/>
      <c r="P110" s="498"/>
      <c r="Q110" s="498"/>
      <c r="R110" s="498"/>
      <c r="S110" s="498"/>
      <c r="T110" s="498"/>
      <c r="U110" s="498"/>
      <c r="V110" s="498"/>
      <c r="W110" s="498"/>
      <c r="X110" s="498"/>
      <c r="Y110" s="498"/>
      <c r="Z110" s="498"/>
      <c r="AA110" s="498"/>
      <c r="AB110" s="498"/>
      <c r="AC110" s="498"/>
      <c r="AD110" s="498"/>
      <c r="AE110" s="3">
        <v>1</v>
      </c>
    </row>
    <row r="111" spans="1:31">
      <c r="A111" s="498"/>
      <c r="B111" s="1928"/>
      <c r="C111" s="9"/>
      <c r="D111" s="9"/>
      <c r="E111" s="9"/>
      <c r="F111" s="9"/>
      <c r="G111" s="9"/>
      <c r="H111" s="9"/>
      <c r="I111" s="9"/>
      <c r="J111" s="9"/>
      <c r="K111" s="9"/>
      <c r="L111" s="9"/>
      <c r="M111" s="231"/>
      <c r="N111" s="498"/>
      <c r="O111" s="498"/>
      <c r="P111" s="498"/>
      <c r="Q111" s="498"/>
      <c r="R111" s="498"/>
      <c r="S111" s="498"/>
      <c r="T111" s="498"/>
      <c r="U111" s="498"/>
      <c r="V111" s="498"/>
      <c r="W111" s="498"/>
      <c r="X111" s="498"/>
      <c r="Y111" s="498"/>
      <c r="Z111" s="498"/>
      <c r="AA111" s="498"/>
      <c r="AB111" s="498"/>
      <c r="AC111" s="498"/>
      <c r="AD111" s="498"/>
      <c r="AE111" s="3">
        <v>1</v>
      </c>
    </row>
    <row r="112" spans="1:31">
      <c r="A112" s="498"/>
      <c r="B112" s="1929" t="s">
        <v>12578</v>
      </c>
      <c r="C112" s="9"/>
      <c r="D112" s="9"/>
      <c r="E112" s="9"/>
      <c r="F112" s="1122" t="s">
        <v>12644</v>
      </c>
      <c r="G112" s="9"/>
      <c r="H112" s="9"/>
      <c r="I112" s="9"/>
      <c r="J112" s="1122" t="s">
        <v>12705</v>
      </c>
      <c r="K112" s="9"/>
      <c r="L112" s="9"/>
      <c r="M112" s="231"/>
      <c r="N112" s="498"/>
      <c r="O112" s="498"/>
      <c r="P112" s="498"/>
      <c r="Q112" s="498"/>
      <c r="R112" s="498"/>
      <c r="S112" s="498"/>
      <c r="T112" s="498"/>
      <c r="U112" s="498"/>
      <c r="V112" s="498"/>
      <c r="W112" s="498"/>
      <c r="X112" s="498"/>
      <c r="Y112" s="498"/>
      <c r="Z112" s="498"/>
      <c r="AA112" s="498"/>
      <c r="AB112" s="498"/>
      <c r="AC112" s="498"/>
      <c r="AD112" s="498"/>
      <c r="AE112" s="3">
        <v>1</v>
      </c>
    </row>
    <row r="113" spans="1:31">
      <c r="A113" s="498"/>
      <c r="B113" s="1928" t="s">
        <v>12579</v>
      </c>
      <c r="C113" s="9"/>
      <c r="D113" s="9"/>
      <c r="E113" s="9"/>
      <c r="F113" s="9" t="s">
        <v>12645</v>
      </c>
      <c r="G113" s="9"/>
      <c r="H113" s="9"/>
      <c r="I113" s="9"/>
      <c r="J113" s="9" t="s">
        <v>12706</v>
      </c>
      <c r="K113" s="9"/>
      <c r="L113" s="9"/>
      <c r="M113" s="231"/>
      <c r="N113" s="498"/>
      <c r="O113" s="498"/>
      <c r="P113" s="498"/>
      <c r="Q113" s="498"/>
      <c r="R113" s="498"/>
      <c r="S113" s="498"/>
      <c r="T113" s="498"/>
      <c r="U113" s="498"/>
      <c r="V113" s="498"/>
      <c r="W113" s="498"/>
      <c r="X113" s="498"/>
      <c r="Y113" s="498"/>
      <c r="Z113" s="498"/>
      <c r="AA113" s="498"/>
      <c r="AB113" s="498"/>
      <c r="AC113" s="498"/>
      <c r="AD113" s="498"/>
      <c r="AE113" s="3">
        <v>1</v>
      </c>
    </row>
    <row r="114" spans="1:31">
      <c r="A114" s="498"/>
      <c r="B114" s="1928"/>
      <c r="C114" s="9"/>
      <c r="D114" s="9"/>
      <c r="E114" s="9"/>
      <c r="F114" s="9"/>
      <c r="G114" s="9"/>
      <c r="H114" s="9"/>
      <c r="I114" s="9"/>
      <c r="J114" s="9"/>
      <c r="K114" s="9"/>
      <c r="L114" s="9"/>
      <c r="M114" s="231"/>
      <c r="N114" s="498"/>
      <c r="O114" s="498"/>
      <c r="P114" s="498"/>
      <c r="Q114" s="498"/>
      <c r="R114" s="498"/>
      <c r="S114" s="498"/>
      <c r="T114" s="498"/>
      <c r="U114" s="498"/>
      <c r="V114" s="498"/>
      <c r="W114" s="498"/>
      <c r="X114" s="498"/>
      <c r="Y114" s="498"/>
      <c r="Z114" s="498"/>
      <c r="AA114" s="498"/>
      <c r="AB114" s="498"/>
      <c r="AC114" s="498"/>
      <c r="AD114" s="498"/>
      <c r="AE114" s="3">
        <v>1</v>
      </c>
    </row>
    <row r="115" spans="1:31">
      <c r="A115" s="498"/>
      <c r="B115" s="1929" t="s">
        <v>12580</v>
      </c>
      <c r="C115" s="9"/>
      <c r="D115" s="9"/>
      <c r="E115" s="9"/>
      <c r="F115" s="1122" t="s">
        <v>12646</v>
      </c>
      <c r="G115" s="9"/>
      <c r="H115" s="9"/>
      <c r="I115" s="9"/>
      <c r="J115" s="1122" t="s">
        <v>12707</v>
      </c>
      <c r="K115" s="9"/>
      <c r="L115" s="9"/>
      <c r="M115" s="231"/>
      <c r="N115" s="498"/>
      <c r="O115" s="498"/>
      <c r="P115" s="498"/>
      <c r="Q115" s="498"/>
      <c r="R115" s="498"/>
      <c r="S115" s="498"/>
      <c r="T115" s="498"/>
      <c r="U115" s="498"/>
      <c r="V115" s="498"/>
      <c r="W115" s="498"/>
      <c r="X115" s="498"/>
      <c r="Y115" s="498"/>
      <c r="Z115" s="498"/>
      <c r="AA115" s="498"/>
      <c r="AB115" s="498"/>
      <c r="AC115" s="498"/>
      <c r="AD115" s="498"/>
      <c r="AE115" s="3">
        <v>1</v>
      </c>
    </row>
    <row r="116" spans="1:31">
      <c r="A116" s="498"/>
      <c r="B116" s="1928" t="s">
        <v>12797</v>
      </c>
      <c r="C116" s="9"/>
      <c r="D116" s="9"/>
      <c r="E116" s="9"/>
      <c r="F116" s="9" t="s">
        <v>12799</v>
      </c>
      <c r="G116" s="9"/>
      <c r="H116" s="9"/>
      <c r="I116" s="9"/>
      <c r="J116" s="9" t="s">
        <v>12801</v>
      </c>
      <c r="K116" s="9"/>
      <c r="L116" s="9"/>
      <c r="M116" s="231"/>
      <c r="N116" s="498"/>
      <c r="O116" s="498"/>
      <c r="P116" s="498"/>
      <c r="Q116" s="498"/>
      <c r="R116" s="498"/>
      <c r="S116" s="498"/>
      <c r="T116" s="498"/>
      <c r="U116" s="498"/>
      <c r="V116" s="498"/>
      <c r="W116" s="498"/>
      <c r="X116" s="498"/>
      <c r="Y116" s="498"/>
      <c r="Z116" s="498"/>
      <c r="AA116" s="498"/>
      <c r="AB116" s="498"/>
      <c r="AC116" s="498"/>
      <c r="AD116" s="498"/>
      <c r="AE116" s="3">
        <v>1</v>
      </c>
    </row>
    <row r="117" spans="1:31">
      <c r="A117" s="498"/>
      <c r="B117" s="1928" t="s">
        <v>12798</v>
      </c>
      <c r="C117" s="9"/>
      <c r="D117" s="9"/>
      <c r="E117" s="9"/>
      <c r="F117" s="9" t="s">
        <v>12800</v>
      </c>
      <c r="G117" s="9"/>
      <c r="H117" s="9"/>
      <c r="I117" s="9"/>
      <c r="J117" s="9" t="s">
        <v>12802</v>
      </c>
      <c r="K117" s="9"/>
      <c r="L117" s="9"/>
      <c r="M117" s="231"/>
      <c r="N117" s="498"/>
      <c r="O117" s="498"/>
      <c r="P117" s="498"/>
      <c r="Q117" s="498"/>
      <c r="R117" s="498"/>
      <c r="S117" s="498"/>
      <c r="T117" s="498"/>
      <c r="U117" s="498"/>
      <c r="V117" s="498"/>
      <c r="W117" s="498"/>
      <c r="X117" s="498"/>
      <c r="Y117" s="498"/>
      <c r="Z117" s="498"/>
      <c r="AA117" s="498"/>
      <c r="AB117" s="498"/>
      <c r="AC117" s="498"/>
      <c r="AD117" s="498"/>
      <c r="AE117" s="3">
        <v>1</v>
      </c>
    </row>
    <row r="118" spans="1:31">
      <c r="A118" s="498"/>
      <c r="B118" s="1928"/>
      <c r="C118" s="9"/>
      <c r="D118" s="9"/>
      <c r="E118" s="9"/>
      <c r="F118" s="9"/>
      <c r="G118" s="9"/>
      <c r="H118" s="9"/>
      <c r="I118" s="9"/>
      <c r="J118" s="9"/>
      <c r="K118" s="9"/>
      <c r="L118" s="9"/>
      <c r="M118" s="231"/>
      <c r="N118" s="498"/>
      <c r="O118" s="498"/>
      <c r="P118" s="498"/>
      <c r="Q118" s="498"/>
      <c r="R118" s="498"/>
      <c r="S118" s="498"/>
      <c r="T118" s="498"/>
      <c r="U118" s="498"/>
      <c r="V118" s="498"/>
      <c r="W118" s="498"/>
      <c r="X118" s="498"/>
      <c r="Y118" s="498"/>
      <c r="Z118" s="498"/>
      <c r="AA118" s="498"/>
      <c r="AB118" s="498"/>
      <c r="AC118" s="498"/>
      <c r="AD118" s="498"/>
      <c r="AE118" s="3">
        <v>1</v>
      </c>
    </row>
    <row r="119" spans="1:31">
      <c r="A119" s="498"/>
      <c r="B119" s="5033" t="s">
        <v>12581</v>
      </c>
      <c r="C119" s="9"/>
      <c r="D119" s="9"/>
      <c r="E119" s="9"/>
      <c r="F119" s="9" t="s">
        <v>12647</v>
      </c>
      <c r="G119" s="9"/>
      <c r="H119" s="9"/>
      <c r="I119" s="9"/>
      <c r="J119" s="9" t="s">
        <v>12708</v>
      </c>
      <c r="K119" s="9"/>
      <c r="L119" s="9"/>
      <c r="M119" s="231"/>
      <c r="N119" s="498"/>
      <c r="O119" s="498"/>
      <c r="P119" s="498"/>
      <c r="Q119" s="498"/>
      <c r="R119" s="498"/>
      <c r="S119" s="498"/>
      <c r="T119" s="498"/>
      <c r="U119" s="498"/>
      <c r="V119" s="498"/>
      <c r="W119" s="498"/>
      <c r="X119" s="498"/>
      <c r="Y119" s="498"/>
      <c r="Z119" s="498"/>
      <c r="AA119" s="498"/>
      <c r="AB119" s="498"/>
      <c r="AC119" s="498"/>
      <c r="AD119" s="498"/>
      <c r="AE119" s="3">
        <v>1</v>
      </c>
    </row>
    <row r="120" spans="1:31">
      <c r="A120" s="498"/>
      <c r="B120" s="5033" t="s">
        <v>12582</v>
      </c>
      <c r="C120" s="9"/>
      <c r="D120" s="9"/>
      <c r="E120" s="9"/>
      <c r="F120" s="9" t="s">
        <v>12648</v>
      </c>
      <c r="G120" s="9"/>
      <c r="H120" s="9"/>
      <c r="I120" s="9"/>
      <c r="J120" s="9" t="s">
        <v>12709</v>
      </c>
      <c r="K120" s="9"/>
      <c r="L120" s="9"/>
      <c r="M120" s="231"/>
      <c r="N120" s="498"/>
      <c r="O120" s="498"/>
      <c r="P120" s="498"/>
      <c r="Q120" s="498"/>
      <c r="R120" s="498"/>
      <c r="S120" s="498"/>
      <c r="T120" s="498"/>
      <c r="U120" s="498"/>
      <c r="V120" s="498"/>
      <c r="W120" s="498"/>
      <c r="X120" s="498"/>
      <c r="Y120" s="498"/>
      <c r="Z120" s="498"/>
      <c r="AA120" s="498"/>
      <c r="AB120" s="498"/>
      <c r="AC120" s="498"/>
      <c r="AD120" s="498"/>
      <c r="AE120" s="3">
        <v>1</v>
      </c>
    </row>
    <row r="121" spans="1:31">
      <c r="A121" s="498"/>
      <c r="B121" s="1929" t="s">
        <v>12583</v>
      </c>
      <c r="C121" s="9"/>
      <c r="D121" s="9"/>
      <c r="E121" s="9"/>
      <c r="F121" s="1122" t="s">
        <v>12649</v>
      </c>
      <c r="G121" s="9"/>
      <c r="H121" s="9"/>
      <c r="I121" s="9"/>
      <c r="J121" s="1122" t="s">
        <v>12710</v>
      </c>
      <c r="K121" s="9"/>
      <c r="L121" s="9"/>
      <c r="M121" s="231"/>
      <c r="N121" s="498"/>
      <c r="O121" s="498"/>
      <c r="P121" s="498"/>
      <c r="Q121" s="498"/>
      <c r="R121" s="498"/>
      <c r="S121" s="498"/>
      <c r="T121" s="498"/>
      <c r="U121" s="498"/>
      <c r="V121" s="498"/>
      <c r="W121" s="498"/>
      <c r="X121" s="498"/>
      <c r="Y121" s="498"/>
      <c r="Z121" s="498"/>
      <c r="AA121" s="498"/>
      <c r="AB121" s="498"/>
      <c r="AC121" s="498"/>
      <c r="AD121" s="498"/>
      <c r="AE121" s="3">
        <v>1</v>
      </c>
    </row>
    <row r="122" spans="1:31">
      <c r="A122" s="498"/>
      <c r="B122" s="9"/>
      <c r="C122" s="9"/>
      <c r="D122" s="9"/>
      <c r="E122" s="9"/>
      <c r="F122" s="9"/>
      <c r="G122" s="9"/>
      <c r="H122" s="9"/>
      <c r="I122" s="9"/>
      <c r="J122" s="9"/>
      <c r="K122" s="9"/>
      <c r="L122" s="9"/>
      <c r="M122" s="231"/>
      <c r="N122" s="498"/>
      <c r="O122" s="498"/>
      <c r="P122" s="498"/>
      <c r="Q122" s="498"/>
      <c r="R122" s="498"/>
      <c r="S122" s="498"/>
      <c r="T122" s="498"/>
      <c r="U122" s="498"/>
      <c r="V122" s="498"/>
      <c r="W122" s="498"/>
      <c r="X122" s="498"/>
      <c r="Y122" s="498"/>
      <c r="Z122" s="498"/>
      <c r="AA122" s="498"/>
      <c r="AB122" s="498"/>
      <c r="AC122" s="498"/>
      <c r="AD122" s="498"/>
      <c r="AE122" s="3">
        <v>1</v>
      </c>
    </row>
    <row r="123" spans="1:31" ht="18.75">
      <c r="A123" s="498"/>
      <c r="B123" s="1555" t="s">
        <v>12584</v>
      </c>
      <c r="C123" s="9"/>
      <c r="D123" s="9"/>
      <c r="E123" s="9"/>
      <c r="F123" s="1555" t="s">
        <v>12650</v>
      </c>
      <c r="G123" s="9"/>
      <c r="H123" s="9"/>
      <c r="I123" s="9"/>
      <c r="J123" s="1555" t="s">
        <v>12711</v>
      </c>
      <c r="K123" s="9"/>
      <c r="L123" s="9"/>
      <c r="M123" s="231"/>
      <c r="N123" s="498"/>
      <c r="O123" s="498"/>
      <c r="P123" s="498"/>
      <c r="Q123" s="498"/>
      <c r="R123" s="498"/>
      <c r="S123" s="498"/>
      <c r="T123" s="498"/>
      <c r="U123" s="498"/>
      <c r="V123" s="498"/>
      <c r="W123" s="498"/>
      <c r="X123" s="498"/>
      <c r="Y123" s="498"/>
      <c r="Z123" s="498"/>
      <c r="AA123" s="498"/>
      <c r="AB123" s="498"/>
      <c r="AC123" s="498"/>
      <c r="AD123" s="498"/>
      <c r="AE123" s="3">
        <v>1</v>
      </c>
    </row>
    <row r="124" spans="1:31">
      <c r="A124" s="498"/>
      <c r="B124" s="9"/>
      <c r="C124" s="9"/>
      <c r="D124" s="9"/>
      <c r="E124" s="9"/>
      <c r="F124" s="9"/>
      <c r="G124" s="9"/>
      <c r="H124" s="9"/>
      <c r="I124" s="9"/>
      <c r="J124" s="9"/>
      <c r="K124" s="9"/>
      <c r="L124" s="9"/>
      <c r="M124" s="231"/>
      <c r="N124" s="498"/>
      <c r="O124" s="498"/>
      <c r="P124" s="498"/>
      <c r="Q124" s="498"/>
      <c r="R124" s="498"/>
      <c r="S124" s="498"/>
      <c r="T124" s="498"/>
      <c r="U124" s="498"/>
      <c r="V124" s="498"/>
      <c r="W124" s="498"/>
      <c r="X124" s="498"/>
      <c r="Y124" s="498"/>
      <c r="Z124" s="498"/>
      <c r="AA124" s="498"/>
      <c r="AB124" s="498"/>
      <c r="AC124" s="498"/>
      <c r="AD124" s="498"/>
      <c r="AE124" s="3">
        <v>1</v>
      </c>
    </row>
    <row r="125" spans="1:31">
      <c r="A125" s="498"/>
      <c r="B125" s="1929" t="s">
        <v>12585</v>
      </c>
      <c r="C125" s="9"/>
      <c r="D125" s="9"/>
      <c r="E125" s="9"/>
      <c r="F125" s="1122" t="s">
        <v>12651</v>
      </c>
      <c r="G125" s="9"/>
      <c r="H125" s="9"/>
      <c r="I125" s="9"/>
      <c r="J125" s="1122" t="s">
        <v>12712</v>
      </c>
      <c r="K125" s="9"/>
      <c r="L125" s="9"/>
      <c r="M125" s="231"/>
      <c r="N125" s="498"/>
      <c r="O125" s="498"/>
      <c r="P125" s="498"/>
      <c r="Q125" s="498"/>
      <c r="R125" s="498"/>
      <c r="S125" s="498"/>
      <c r="T125" s="498"/>
      <c r="U125" s="498"/>
      <c r="V125" s="498"/>
      <c r="W125" s="498"/>
      <c r="X125" s="498"/>
      <c r="Y125" s="498"/>
      <c r="Z125" s="498"/>
      <c r="AA125" s="498"/>
      <c r="AB125" s="498"/>
      <c r="AC125" s="498"/>
      <c r="AD125" s="498"/>
      <c r="AE125" s="3">
        <v>1</v>
      </c>
    </row>
    <row r="126" spans="1:31">
      <c r="A126" s="498"/>
      <c r="B126" s="5035" t="s">
        <v>12586</v>
      </c>
      <c r="C126" s="9"/>
      <c r="D126" s="9"/>
      <c r="E126" s="9"/>
      <c r="F126" s="1122" t="s">
        <v>12652</v>
      </c>
      <c r="G126" s="9"/>
      <c r="H126" s="9"/>
      <c r="I126" s="9"/>
      <c r="J126" s="1122" t="s">
        <v>12713</v>
      </c>
      <c r="K126" s="9"/>
      <c r="L126" s="9"/>
      <c r="M126" s="231"/>
      <c r="N126" s="498"/>
      <c r="O126" s="498"/>
      <c r="P126" s="498"/>
      <c r="Q126" s="498"/>
      <c r="R126" s="498"/>
      <c r="S126" s="498"/>
      <c r="T126" s="498"/>
      <c r="U126" s="498"/>
      <c r="V126" s="498"/>
      <c r="W126" s="498"/>
      <c r="X126" s="498"/>
      <c r="Y126" s="498"/>
      <c r="Z126" s="498"/>
      <c r="AA126" s="498"/>
      <c r="AB126" s="498"/>
      <c r="AC126" s="498"/>
      <c r="AD126" s="498"/>
      <c r="AE126" s="3">
        <v>1</v>
      </c>
    </row>
    <row r="127" spans="1:31">
      <c r="A127" s="498"/>
      <c r="B127" s="1928"/>
      <c r="C127" s="9"/>
      <c r="D127" s="9"/>
      <c r="E127" s="9"/>
      <c r="F127" s="9"/>
      <c r="G127" s="9"/>
      <c r="H127" s="9"/>
      <c r="I127" s="9"/>
      <c r="J127" s="9"/>
      <c r="K127" s="9"/>
      <c r="L127" s="9"/>
      <c r="M127" s="231"/>
      <c r="N127" s="498"/>
      <c r="O127" s="498"/>
      <c r="P127" s="498"/>
      <c r="Q127" s="498"/>
      <c r="R127" s="498"/>
      <c r="S127" s="498"/>
      <c r="T127" s="498"/>
      <c r="U127" s="498"/>
      <c r="V127" s="498"/>
      <c r="W127" s="498"/>
      <c r="X127" s="498"/>
      <c r="Y127" s="498"/>
      <c r="Z127" s="498"/>
      <c r="AA127" s="498"/>
      <c r="AB127" s="498"/>
      <c r="AC127" s="498"/>
      <c r="AD127" s="498"/>
      <c r="AE127" s="3">
        <v>1</v>
      </c>
    </row>
    <row r="128" spans="1:31">
      <c r="A128" s="498"/>
      <c r="B128" s="1929" t="s">
        <v>12587</v>
      </c>
      <c r="C128" s="9"/>
      <c r="D128" s="9"/>
      <c r="E128" s="9"/>
      <c r="F128" s="1122" t="s">
        <v>12653</v>
      </c>
      <c r="G128" s="9"/>
      <c r="H128" s="9"/>
      <c r="I128" s="9"/>
      <c r="J128" s="1122" t="s">
        <v>12714</v>
      </c>
      <c r="K128" s="9"/>
      <c r="L128" s="9"/>
      <c r="M128" s="231"/>
      <c r="N128" s="498"/>
      <c r="O128" s="498"/>
      <c r="P128" s="498"/>
      <c r="Q128" s="498"/>
      <c r="R128" s="498"/>
      <c r="S128" s="498"/>
      <c r="T128" s="498"/>
      <c r="U128" s="498"/>
      <c r="V128" s="498"/>
      <c r="W128" s="498"/>
      <c r="X128" s="498"/>
      <c r="Y128" s="498"/>
      <c r="Z128" s="498"/>
      <c r="AA128" s="498"/>
      <c r="AB128" s="498"/>
      <c r="AC128" s="498"/>
      <c r="AD128" s="498"/>
      <c r="AE128" s="3">
        <v>1</v>
      </c>
    </row>
    <row r="129" spans="1:31">
      <c r="A129" s="498"/>
      <c r="B129" s="1928"/>
      <c r="C129" s="9"/>
      <c r="D129" s="9"/>
      <c r="E129" s="9"/>
      <c r="F129" s="9"/>
      <c r="G129" s="9"/>
      <c r="H129" s="9"/>
      <c r="I129" s="9"/>
      <c r="J129" s="9"/>
      <c r="K129" s="9"/>
      <c r="L129" s="9"/>
      <c r="M129" s="231"/>
      <c r="N129" s="498"/>
      <c r="O129" s="498"/>
      <c r="P129" s="498"/>
      <c r="Q129" s="498"/>
      <c r="R129" s="498"/>
      <c r="S129" s="498"/>
      <c r="T129" s="498"/>
      <c r="U129" s="498"/>
      <c r="V129" s="498"/>
      <c r="W129" s="498"/>
      <c r="X129" s="498"/>
      <c r="Y129" s="498"/>
      <c r="Z129" s="498"/>
      <c r="AA129" s="498"/>
      <c r="AB129" s="498"/>
      <c r="AC129" s="498"/>
      <c r="AD129" s="498"/>
      <c r="AE129" s="3">
        <v>1</v>
      </c>
    </row>
    <row r="130" spans="1:31">
      <c r="A130" s="498"/>
      <c r="B130" s="1929" t="s">
        <v>12588</v>
      </c>
      <c r="C130" s="9"/>
      <c r="D130" s="9"/>
      <c r="E130" s="9"/>
      <c r="F130" s="1122" t="s">
        <v>12654</v>
      </c>
      <c r="G130" s="9"/>
      <c r="H130" s="9"/>
      <c r="I130" s="9"/>
      <c r="J130" s="1122" t="s">
        <v>12715</v>
      </c>
      <c r="K130" s="9"/>
      <c r="L130" s="9"/>
      <c r="M130" s="231"/>
      <c r="N130" s="498"/>
      <c r="O130" s="498"/>
      <c r="P130" s="498"/>
      <c r="Q130" s="498"/>
      <c r="R130" s="498"/>
      <c r="S130" s="498"/>
      <c r="T130" s="498"/>
      <c r="U130" s="498"/>
      <c r="V130" s="498"/>
      <c r="W130" s="498"/>
      <c r="X130" s="498"/>
      <c r="Y130" s="498"/>
      <c r="Z130" s="498"/>
      <c r="AA130" s="498"/>
      <c r="AB130" s="498"/>
      <c r="AC130" s="498"/>
      <c r="AD130" s="498"/>
      <c r="AE130" s="3">
        <v>1</v>
      </c>
    </row>
    <row r="131" spans="1:31">
      <c r="A131" s="498"/>
      <c r="B131" s="1928"/>
      <c r="C131" s="9"/>
      <c r="D131" s="9"/>
      <c r="E131" s="9"/>
      <c r="F131" s="9"/>
      <c r="G131" s="9"/>
      <c r="H131" s="9"/>
      <c r="I131" s="9"/>
      <c r="J131" s="9"/>
      <c r="K131" s="9"/>
      <c r="L131" s="9"/>
      <c r="M131" s="231"/>
      <c r="N131" s="498"/>
      <c r="O131" s="498"/>
      <c r="P131" s="498"/>
      <c r="Q131" s="498"/>
      <c r="R131" s="498"/>
      <c r="S131" s="498"/>
      <c r="T131" s="498"/>
      <c r="U131" s="498"/>
      <c r="V131" s="498"/>
      <c r="W131" s="498"/>
      <c r="X131" s="498"/>
      <c r="Y131" s="498"/>
      <c r="Z131" s="498"/>
      <c r="AA131" s="498"/>
      <c r="AB131" s="498"/>
      <c r="AC131" s="498"/>
      <c r="AD131" s="498"/>
      <c r="AE131" s="3">
        <v>1</v>
      </c>
    </row>
    <row r="132" spans="1:31">
      <c r="A132" s="498"/>
      <c r="B132" s="1929" t="s">
        <v>12589</v>
      </c>
      <c r="C132" s="9"/>
      <c r="D132" s="9"/>
      <c r="E132" s="9"/>
      <c r="F132" s="1122" t="s">
        <v>12655</v>
      </c>
      <c r="G132" s="9"/>
      <c r="H132" s="9"/>
      <c r="I132" s="9"/>
      <c r="J132" s="1122" t="s">
        <v>12716</v>
      </c>
      <c r="K132" s="9"/>
      <c r="L132" s="9"/>
      <c r="M132" s="231"/>
      <c r="N132" s="498"/>
      <c r="O132" s="498"/>
      <c r="P132" s="498"/>
      <c r="Q132" s="498"/>
      <c r="R132" s="498"/>
      <c r="S132" s="498"/>
      <c r="T132" s="498"/>
      <c r="U132" s="498"/>
      <c r="V132" s="498"/>
      <c r="W132" s="498"/>
      <c r="X132" s="498"/>
      <c r="Y132" s="498"/>
      <c r="Z132" s="498"/>
      <c r="AA132" s="498"/>
      <c r="AB132" s="498"/>
      <c r="AC132" s="498"/>
      <c r="AD132" s="498"/>
      <c r="AE132" s="3">
        <v>1</v>
      </c>
    </row>
    <row r="133" spans="1:31">
      <c r="A133" s="498"/>
      <c r="B133" s="1928"/>
      <c r="C133" s="9"/>
      <c r="D133" s="9"/>
      <c r="E133" s="9"/>
      <c r="F133" s="9"/>
      <c r="G133" s="9"/>
      <c r="H133" s="9"/>
      <c r="I133" s="9"/>
      <c r="J133" s="9"/>
      <c r="K133" s="9"/>
      <c r="L133" s="9"/>
      <c r="M133" s="231"/>
      <c r="N133" s="498"/>
      <c r="O133" s="498"/>
      <c r="P133" s="498"/>
      <c r="Q133" s="498"/>
      <c r="R133" s="498"/>
      <c r="S133" s="498"/>
      <c r="T133" s="498"/>
      <c r="U133" s="498"/>
      <c r="V133" s="498"/>
      <c r="W133" s="498"/>
      <c r="X133" s="498"/>
      <c r="Y133" s="498"/>
      <c r="Z133" s="498"/>
      <c r="AA133" s="498"/>
      <c r="AB133" s="498"/>
      <c r="AC133" s="498"/>
      <c r="AD133" s="498"/>
      <c r="AE133" s="3">
        <v>1</v>
      </c>
    </row>
    <row r="134" spans="1:31">
      <c r="A134" s="498"/>
      <c r="B134" s="1929" t="s">
        <v>12590</v>
      </c>
      <c r="C134" s="9"/>
      <c r="D134" s="9"/>
      <c r="E134" s="9"/>
      <c r="F134" s="1122" t="s">
        <v>12656</v>
      </c>
      <c r="G134" s="9"/>
      <c r="H134" s="9"/>
      <c r="I134" s="9"/>
      <c r="J134" s="1122" t="s">
        <v>12717</v>
      </c>
      <c r="K134" s="9"/>
      <c r="L134" s="9"/>
      <c r="M134" s="231"/>
      <c r="N134" s="498"/>
      <c r="O134" s="498"/>
      <c r="P134" s="498"/>
      <c r="Q134" s="498"/>
      <c r="R134" s="498"/>
      <c r="S134" s="498"/>
      <c r="T134" s="498"/>
      <c r="U134" s="498"/>
      <c r="V134" s="498"/>
      <c r="W134" s="498"/>
      <c r="X134" s="498"/>
      <c r="Y134" s="498"/>
      <c r="Z134" s="498"/>
      <c r="AA134" s="498"/>
      <c r="AB134" s="498"/>
      <c r="AC134" s="498"/>
      <c r="AD134" s="498"/>
      <c r="AE134" s="3">
        <v>1</v>
      </c>
    </row>
    <row r="135" spans="1:31">
      <c r="A135" s="498"/>
      <c r="B135" s="1928"/>
      <c r="C135" s="9"/>
      <c r="D135" s="9"/>
      <c r="E135" s="9"/>
      <c r="F135" s="9"/>
      <c r="G135" s="9"/>
      <c r="H135" s="9"/>
      <c r="I135" s="9"/>
      <c r="J135" s="9"/>
      <c r="K135" s="9"/>
      <c r="L135" s="9"/>
      <c r="M135" s="231"/>
      <c r="N135" s="498"/>
      <c r="O135" s="498"/>
      <c r="P135" s="498"/>
      <c r="Q135" s="498"/>
      <c r="R135" s="498"/>
      <c r="S135" s="498"/>
      <c r="T135" s="498"/>
      <c r="U135" s="498"/>
      <c r="V135" s="498"/>
      <c r="W135" s="498"/>
      <c r="X135" s="498"/>
      <c r="Y135" s="498"/>
      <c r="Z135" s="498"/>
      <c r="AA135" s="498"/>
      <c r="AB135" s="498"/>
      <c r="AC135" s="498"/>
      <c r="AD135" s="498"/>
      <c r="AE135" s="3">
        <v>1</v>
      </c>
    </row>
    <row r="136" spans="1:31">
      <c r="A136" s="498"/>
      <c r="B136" s="1929" t="s">
        <v>12591</v>
      </c>
      <c r="C136" s="9"/>
      <c r="D136" s="9"/>
      <c r="E136" s="9"/>
      <c r="F136" s="1122" t="s">
        <v>12657</v>
      </c>
      <c r="G136" s="9"/>
      <c r="H136" s="9"/>
      <c r="I136" s="9"/>
      <c r="J136" s="1122" t="s">
        <v>12718</v>
      </c>
      <c r="K136" s="9"/>
      <c r="L136" s="9"/>
      <c r="M136" s="231"/>
      <c r="N136" s="498"/>
      <c r="O136" s="498"/>
      <c r="P136" s="498"/>
      <c r="Q136" s="498"/>
      <c r="R136" s="498"/>
      <c r="S136" s="498"/>
      <c r="T136" s="498"/>
      <c r="U136" s="498"/>
      <c r="V136" s="498"/>
      <c r="W136" s="498"/>
      <c r="X136" s="498"/>
      <c r="Y136" s="498"/>
      <c r="Z136" s="498"/>
      <c r="AA136" s="498"/>
      <c r="AB136" s="498"/>
      <c r="AC136" s="498"/>
      <c r="AD136" s="498"/>
      <c r="AE136" s="3">
        <v>1</v>
      </c>
    </row>
    <row r="137" spans="1:31">
      <c r="A137" s="498"/>
      <c r="B137" s="5035" t="s">
        <v>12592</v>
      </c>
      <c r="C137" s="9"/>
      <c r="D137" s="9"/>
      <c r="E137" s="9"/>
      <c r="F137" s="1122" t="s">
        <v>12658</v>
      </c>
      <c r="G137" s="9"/>
      <c r="H137" s="9"/>
      <c r="I137" s="9"/>
      <c r="J137" s="1122" t="s">
        <v>12719</v>
      </c>
      <c r="K137" s="9"/>
      <c r="L137" s="9"/>
      <c r="M137" s="231"/>
      <c r="N137" s="498"/>
      <c r="O137" s="498"/>
      <c r="P137" s="498"/>
      <c r="Q137" s="498"/>
      <c r="R137" s="498"/>
      <c r="S137" s="498"/>
      <c r="T137" s="498"/>
      <c r="U137" s="498"/>
      <c r="V137" s="498"/>
      <c r="W137" s="498"/>
      <c r="X137" s="498"/>
      <c r="Y137" s="498"/>
      <c r="Z137" s="498"/>
      <c r="AA137" s="498"/>
      <c r="AB137" s="498"/>
      <c r="AC137" s="498"/>
      <c r="AD137" s="498"/>
      <c r="AE137" s="3">
        <v>1</v>
      </c>
    </row>
    <row r="138" spans="1:31">
      <c r="A138" s="498"/>
      <c r="B138" s="5035" t="s">
        <v>12593</v>
      </c>
      <c r="C138" s="9"/>
      <c r="D138" s="9"/>
      <c r="E138" s="9"/>
      <c r="F138" s="1122" t="s">
        <v>12659</v>
      </c>
      <c r="G138" s="9"/>
      <c r="H138" s="9"/>
      <c r="I138" s="9"/>
      <c r="J138" s="1122" t="s">
        <v>12720</v>
      </c>
      <c r="K138" s="9"/>
      <c r="L138" s="9"/>
      <c r="M138" s="231"/>
      <c r="N138" s="498"/>
      <c r="O138" s="498"/>
      <c r="P138" s="498"/>
      <c r="Q138" s="498"/>
      <c r="R138" s="498"/>
      <c r="S138" s="498"/>
      <c r="T138" s="498"/>
      <c r="U138" s="498"/>
      <c r="V138" s="498"/>
      <c r="W138" s="498"/>
      <c r="X138" s="498"/>
      <c r="Y138" s="498"/>
      <c r="Z138" s="498"/>
      <c r="AA138" s="498"/>
      <c r="AB138" s="498"/>
      <c r="AC138" s="498"/>
      <c r="AD138" s="498"/>
      <c r="AE138" s="3">
        <v>1</v>
      </c>
    </row>
    <row r="139" spans="1:31">
      <c r="A139" s="498"/>
      <c r="B139" s="9"/>
      <c r="C139" s="9"/>
      <c r="D139" s="9"/>
      <c r="E139" s="9"/>
      <c r="F139" s="9"/>
      <c r="G139" s="9"/>
      <c r="H139" s="9"/>
      <c r="I139" s="9"/>
      <c r="J139" s="9"/>
      <c r="K139" s="9"/>
      <c r="L139" s="9"/>
      <c r="M139" s="231"/>
      <c r="N139" s="498"/>
      <c r="O139" s="498"/>
      <c r="P139" s="498"/>
      <c r="Q139" s="498"/>
      <c r="R139" s="498"/>
      <c r="S139" s="498"/>
      <c r="T139" s="498"/>
      <c r="U139" s="498"/>
      <c r="V139" s="498"/>
      <c r="W139" s="498"/>
      <c r="X139" s="498"/>
      <c r="Y139" s="498"/>
      <c r="Z139" s="498"/>
      <c r="AA139" s="498"/>
      <c r="AB139" s="498"/>
      <c r="AC139" s="498"/>
      <c r="AD139" s="498"/>
      <c r="AE139" s="3">
        <v>1</v>
      </c>
    </row>
    <row r="140" spans="1:31" ht="23.25">
      <c r="A140" s="498"/>
      <c r="B140" s="1927" t="s">
        <v>4110</v>
      </c>
      <c r="C140" s="9"/>
      <c r="D140" s="9"/>
      <c r="E140" s="9"/>
      <c r="F140" s="1927" t="s">
        <v>12660</v>
      </c>
      <c r="G140" s="9"/>
      <c r="H140" s="9"/>
      <c r="I140" s="9"/>
      <c r="J140" s="1927" t="s">
        <v>12721</v>
      </c>
      <c r="K140" s="9"/>
      <c r="L140" s="9"/>
      <c r="M140" s="231"/>
      <c r="N140" s="498"/>
      <c r="O140" s="498"/>
      <c r="P140" s="498"/>
      <c r="Q140" s="498"/>
      <c r="R140" s="498"/>
      <c r="S140" s="498"/>
      <c r="T140" s="498"/>
      <c r="U140" s="498"/>
      <c r="V140" s="498"/>
      <c r="W140" s="498"/>
      <c r="X140" s="498"/>
      <c r="Y140" s="498"/>
      <c r="Z140" s="498"/>
      <c r="AA140" s="498"/>
      <c r="AB140" s="498"/>
      <c r="AC140" s="498"/>
      <c r="AD140" s="498"/>
      <c r="AE140" s="3">
        <v>1</v>
      </c>
    </row>
    <row r="141" spans="1:31">
      <c r="A141" s="498"/>
      <c r="B141" s="1928"/>
      <c r="C141" s="9"/>
      <c r="D141" s="9"/>
      <c r="E141" s="9"/>
      <c r="F141" s="9"/>
      <c r="G141" s="9"/>
      <c r="H141" s="9"/>
      <c r="I141" s="9"/>
      <c r="J141" s="9"/>
      <c r="K141" s="9"/>
      <c r="L141" s="9"/>
      <c r="M141" s="231"/>
      <c r="N141" s="498"/>
      <c r="O141" s="498"/>
      <c r="P141" s="498"/>
      <c r="Q141" s="498"/>
      <c r="R141" s="498"/>
      <c r="S141" s="498"/>
      <c r="T141" s="498"/>
      <c r="U141" s="498"/>
      <c r="V141" s="498"/>
      <c r="W141" s="498"/>
      <c r="X141" s="498"/>
      <c r="Y141" s="498"/>
      <c r="Z141" s="498"/>
      <c r="AA141" s="498"/>
      <c r="AB141" s="498"/>
      <c r="AC141" s="498"/>
      <c r="AD141" s="498"/>
      <c r="AE141" s="3">
        <v>1</v>
      </c>
    </row>
    <row r="142" spans="1:31">
      <c r="A142" s="498"/>
      <c r="B142" s="1928" t="s">
        <v>12594</v>
      </c>
      <c r="C142" s="9"/>
      <c r="D142" s="9"/>
      <c r="E142" s="9"/>
      <c r="F142" s="9" t="s">
        <v>12661</v>
      </c>
      <c r="G142" s="9"/>
      <c r="H142" s="9"/>
      <c r="I142" s="9"/>
      <c r="J142" s="9" t="s">
        <v>12661</v>
      </c>
      <c r="K142" s="9"/>
      <c r="L142" s="9"/>
      <c r="M142" s="231"/>
      <c r="N142" s="498"/>
      <c r="O142" s="498"/>
      <c r="P142" s="498"/>
      <c r="Q142" s="498"/>
      <c r="R142" s="498"/>
      <c r="S142" s="498"/>
      <c r="T142" s="498"/>
      <c r="U142" s="498"/>
      <c r="V142" s="498"/>
      <c r="W142" s="498"/>
      <c r="X142" s="498"/>
      <c r="Y142" s="498"/>
      <c r="Z142" s="498"/>
      <c r="AA142" s="498"/>
      <c r="AB142" s="498"/>
      <c r="AC142" s="498"/>
      <c r="AD142" s="498"/>
      <c r="AE142" s="3">
        <v>1</v>
      </c>
    </row>
    <row r="143" spans="1:31">
      <c r="A143" s="498"/>
      <c r="B143" s="1928" t="s">
        <v>12595</v>
      </c>
      <c r="C143" s="9"/>
      <c r="D143" s="9"/>
      <c r="E143" s="9"/>
      <c r="F143" s="9" t="s">
        <v>12662</v>
      </c>
      <c r="G143" s="9"/>
      <c r="H143" s="9"/>
      <c r="I143" s="9"/>
      <c r="J143" s="9" t="s">
        <v>12722</v>
      </c>
      <c r="K143" s="9"/>
      <c r="L143" s="9"/>
      <c r="M143" s="231"/>
      <c r="N143" s="498"/>
      <c r="O143" s="498"/>
      <c r="P143" s="498"/>
      <c r="Q143" s="498"/>
      <c r="R143" s="498"/>
      <c r="S143" s="498"/>
      <c r="T143" s="498"/>
      <c r="U143" s="498"/>
      <c r="V143" s="498"/>
      <c r="W143" s="498"/>
      <c r="X143" s="498"/>
      <c r="Y143" s="498"/>
      <c r="Z143" s="498"/>
      <c r="AA143" s="498"/>
      <c r="AB143" s="498"/>
      <c r="AC143" s="498"/>
      <c r="AD143" s="498"/>
      <c r="AE143" s="3">
        <v>1</v>
      </c>
    </row>
    <row r="144" spans="1:31">
      <c r="A144" s="498"/>
      <c r="B144" s="1928" t="s">
        <v>12596</v>
      </c>
      <c r="C144" s="9"/>
      <c r="D144" s="9"/>
      <c r="E144" s="9"/>
      <c r="F144" s="9" t="s">
        <v>12663</v>
      </c>
      <c r="G144" s="9"/>
      <c r="H144" s="9"/>
      <c r="I144" s="9"/>
      <c r="J144" s="9" t="s">
        <v>12723</v>
      </c>
      <c r="K144" s="9"/>
      <c r="L144" s="9"/>
      <c r="M144" s="231"/>
      <c r="N144" s="498"/>
      <c r="O144" s="498"/>
      <c r="P144" s="498"/>
      <c r="Q144" s="498"/>
      <c r="R144" s="498"/>
      <c r="S144" s="498"/>
      <c r="T144" s="498"/>
      <c r="U144" s="498"/>
      <c r="V144" s="498"/>
      <c r="W144" s="498"/>
      <c r="X144" s="498"/>
      <c r="Y144" s="498"/>
      <c r="Z144" s="498"/>
      <c r="AA144" s="498"/>
      <c r="AB144" s="498"/>
      <c r="AC144" s="498"/>
      <c r="AD144" s="498"/>
      <c r="AE144" s="3">
        <v>1</v>
      </c>
    </row>
    <row r="145" spans="1:33">
      <c r="A145" s="498"/>
      <c r="B145" s="1928" t="s">
        <v>12597</v>
      </c>
      <c r="C145" s="9"/>
      <c r="D145" s="9"/>
      <c r="E145" s="9"/>
      <c r="F145" s="9" t="s">
        <v>12664</v>
      </c>
      <c r="G145" s="9"/>
      <c r="H145" s="9"/>
      <c r="I145" s="9"/>
      <c r="J145" s="9" t="s">
        <v>12724</v>
      </c>
      <c r="K145" s="9"/>
      <c r="L145" s="9"/>
      <c r="M145" s="231"/>
      <c r="N145" s="498"/>
      <c r="O145" s="498"/>
      <c r="P145" s="498"/>
      <c r="Q145" s="498"/>
      <c r="R145" s="498"/>
      <c r="S145" s="498"/>
      <c r="T145" s="498"/>
      <c r="U145" s="498"/>
      <c r="V145" s="498"/>
      <c r="W145" s="498"/>
      <c r="X145" s="498"/>
      <c r="Y145" s="498"/>
      <c r="Z145" s="498"/>
      <c r="AA145" s="498"/>
      <c r="AB145" s="498"/>
      <c r="AC145" s="498"/>
      <c r="AD145" s="498"/>
      <c r="AE145" s="3">
        <v>1</v>
      </c>
    </row>
    <row r="146" spans="1:33">
      <c r="A146" s="498"/>
      <c r="B146" s="1928" t="s">
        <v>12598</v>
      </c>
      <c r="C146" s="9"/>
      <c r="D146" s="9"/>
      <c r="E146" s="9"/>
      <c r="F146" s="9" t="s">
        <v>12665</v>
      </c>
      <c r="G146" s="9"/>
      <c r="H146" s="9"/>
      <c r="I146" s="9"/>
      <c r="J146" s="9" t="s">
        <v>12725</v>
      </c>
      <c r="K146" s="9"/>
      <c r="L146" s="9"/>
      <c r="M146" s="231"/>
      <c r="N146" s="498"/>
      <c r="O146" s="498"/>
      <c r="P146" s="498"/>
      <c r="Q146" s="498"/>
      <c r="R146" s="498"/>
      <c r="S146" s="498"/>
      <c r="T146" s="498"/>
      <c r="U146" s="498"/>
      <c r="V146" s="498"/>
      <c r="W146" s="498"/>
      <c r="X146" s="498"/>
      <c r="Y146" s="498"/>
      <c r="Z146" s="498"/>
      <c r="AA146" s="498"/>
      <c r="AB146" s="498"/>
      <c r="AC146" s="498"/>
      <c r="AD146" s="498"/>
      <c r="AE146" s="3">
        <v>1</v>
      </c>
    </row>
    <row r="147" spans="1:33">
      <c r="A147" s="498"/>
      <c r="B147" s="1928" t="s">
        <v>12599</v>
      </c>
      <c r="C147" s="9"/>
      <c r="D147" s="9"/>
      <c r="E147" s="9"/>
      <c r="F147" s="9" t="s">
        <v>12666</v>
      </c>
      <c r="G147" s="9"/>
      <c r="H147" s="9"/>
      <c r="I147" s="9"/>
      <c r="J147" s="9" t="s">
        <v>12666</v>
      </c>
      <c r="K147" s="9"/>
      <c r="L147" s="9"/>
      <c r="M147" s="231"/>
      <c r="N147" s="498"/>
      <c r="O147" s="498"/>
      <c r="P147" s="498"/>
      <c r="Q147" s="498"/>
      <c r="R147" s="498"/>
      <c r="S147" s="498"/>
      <c r="T147" s="498"/>
      <c r="U147" s="498"/>
      <c r="V147" s="498"/>
      <c r="W147" s="498"/>
      <c r="X147" s="498"/>
      <c r="Y147" s="498"/>
      <c r="Z147" s="498"/>
      <c r="AA147" s="498"/>
      <c r="AB147" s="498"/>
      <c r="AC147" s="498"/>
      <c r="AD147" s="498"/>
      <c r="AE147" s="3">
        <v>1</v>
      </c>
    </row>
    <row r="148" spans="1:33">
      <c r="A148" s="498"/>
      <c r="B148" s="9"/>
      <c r="C148" s="9"/>
      <c r="D148" s="9"/>
      <c r="E148" s="9"/>
      <c r="F148" s="9"/>
      <c r="G148" s="9"/>
      <c r="H148" s="9"/>
      <c r="I148" s="9"/>
      <c r="J148" s="9"/>
      <c r="K148" s="9"/>
      <c r="L148" s="9"/>
      <c r="M148" s="231"/>
      <c r="N148" s="498"/>
      <c r="O148" s="498"/>
      <c r="P148" s="498"/>
      <c r="Q148" s="498"/>
      <c r="R148" s="498"/>
      <c r="S148" s="498"/>
      <c r="T148" s="498"/>
      <c r="U148" s="498"/>
      <c r="V148" s="498"/>
      <c r="W148" s="498"/>
      <c r="X148" s="498"/>
      <c r="Y148" s="498"/>
      <c r="Z148" s="498"/>
      <c r="AA148" s="498"/>
      <c r="AB148" s="498"/>
      <c r="AC148" s="498"/>
      <c r="AD148" s="498"/>
      <c r="AE148" s="3">
        <v>1</v>
      </c>
    </row>
    <row r="149" spans="1:33">
      <c r="A149" s="498"/>
      <c r="B149" s="498"/>
      <c r="C149" s="498"/>
      <c r="D149" s="498"/>
      <c r="E149" s="498"/>
      <c r="F149" s="498"/>
      <c r="G149" s="498"/>
      <c r="H149" s="498"/>
      <c r="I149" s="498"/>
      <c r="J149" s="498"/>
      <c r="K149" s="498"/>
      <c r="L149" s="231"/>
      <c r="M149" s="231"/>
      <c r="N149" s="498"/>
      <c r="O149" s="498"/>
      <c r="P149" s="498"/>
      <c r="Q149" s="498"/>
      <c r="R149" s="498"/>
      <c r="S149" s="498"/>
      <c r="T149" s="498"/>
      <c r="U149" s="498"/>
      <c r="V149" s="498"/>
      <c r="W149" s="498"/>
      <c r="X149" s="498"/>
      <c r="Y149" s="498"/>
      <c r="Z149" s="498"/>
      <c r="AA149" s="498"/>
      <c r="AB149" s="498"/>
      <c r="AC149" s="498"/>
      <c r="AD149" s="498"/>
      <c r="AE149" s="708" t="s">
        <v>823</v>
      </c>
      <c r="AF149"/>
      <c r="AG149"/>
    </row>
    <row r="150" spans="1:33">
      <c r="A150" s="3">
        <v>1</v>
      </c>
      <c r="B150" s="3">
        <v>1</v>
      </c>
      <c r="C150" s="3">
        <v>1</v>
      </c>
      <c r="D150" s="3">
        <v>1</v>
      </c>
      <c r="E150" s="3">
        <v>1</v>
      </c>
      <c r="F150" s="3">
        <v>1</v>
      </c>
      <c r="G150" s="3">
        <v>1</v>
      </c>
      <c r="H150" s="3">
        <v>1</v>
      </c>
      <c r="I150" s="3">
        <v>1</v>
      </c>
      <c r="J150" s="3">
        <v>1</v>
      </c>
      <c r="K150" s="3">
        <v>1</v>
      </c>
      <c r="L150" s="3">
        <v>1</v>
      </c>
      <c r="M150" s="3">
        <v>1</v>
      </c>
      <c r="N150" s="3">
        <v>1</v>
      </c>
      <c r="O150" s="3">
        <v>1</v>
      </c>
      <c r="P150" s="3">
        <v>1</v>
      </c>
      <c r="Q150" s="3">
        <v>1</v>
      </c>
      <c r="R150" s="3">
        <v>1</v>
      </c>
      <c r="S150" s="3">
        <v>1</v>
      </c>
      <c r="T150" s="3">
        <v>1</v>
      </c>
      <c r="U150" s="3">
        <v>1</v>
      </c>
      <c r="V150" s="3">
        <v>1</v>
      </c>
      <c r="W150" s="3">
        <v>1</v>
      </c>
      <c r="X150" s="3">
        <v>1</v>
      </c>
      <c r="Y150" s="3">
        <v>1</v>
      </c>
      <c r="Z150" s="3">
        <v>1</v>
      </c>
      <c r="AA150" s="3">
        <v>1</v>
      </c>
      <c r="AB150" s="3">
        <v>1</v>
      </c>
      <c r="AC150" s="3">
        <v>1</v>
      </c>
      <c r="AD150" s="3">
        <v>1</v>
      </c>
      <c r="AE150" s="1" t="str">
        <f>ADDRESS(ROW(),COLUMN(),4)</f>
        <v>AE150</v>
      </c>
      <c r="AF150" s="710"/>
      <c r="AG150" s="711" t="str">
        <f>ADDRESS(ROW(),COLUMN(),4)</f>
        <v>AG150</v>
      </c>
    </row>
  </sheetData>
  <mergeCells count="8">
    <mergeCell ref="B9:D9"/>
    <mergeCell ref="F9:H9"/>
    <mergeCell ref="J9:L9"/>
    <mergeCell ref="N5:R6"/>
    <mergeCell ref="P3:R3"/>
    <mergeCell ref="B5:D6"/>
    <mergeCell ref="F5:H6"/>
    <mergeCell ref="J5:L6"/>
  </mergeCell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3C5C00-1B17-4D76-A312-74286204D6FD}">
  <dimension ref="A1:V300"/>
  <sheetViews>
    <sheetView showZeros="0" workbookViewId="0">
      <selection activeCell="E15" sqref="E15"/>
    </sheetView>
  </sheetViews>
  <sheetFormatPr baseColWidth="10" defaultRowHeight="15"/>
  <cols>
    <col min="2" max="2" width="5.85546875" customWidth="1"/>
    <col min="3" max="3" width="9.7109375" customWidth="1"/>
    <col min="4" max="4" width="7.7109375" customWidth="1"/>
    <col min="5" max="5" width="103.7109375" customWidth="1"/>
    <col min="6" max="6" width="11.7109375" customWidth="1"/>
    <col min="7" max="7" width="10.7109375" customWidth="1"/>
    <col min="8" max="8" width="9.7109375" customWidth="1"/>
    <col min="9" max="9" width="3.7109375" customWidth="1"/>
    <col min="10" max="10" width="102.5703125" customWidth="1"/>
    <col min="11" max="11" width="6.7109375" customWidth="1"/>
    <col min="12" max="12" width="4.7109375" customWidth="1"/>
    <col min="13" max="16" width="10.7109375" customWidth="1"/>
    <col min="17" max="17" width="15.7109375" customWidth="1"/>
    <col min="18" max="18" width="11.7109375" customWidth="1"/>
    <col min="20" max="20" width="8.7109375" customWidth="1"/>
    <col min="22" max="22" width="76.85546875" customWidth="1"/>
  </cols>
  <sheetData>
    <row r="1" spans="1:22" ht="15.75" thickTop="1">
      <c r="A1" s="1" t="str">
        <f>ADDRESS(ROW(),COLUMN(),4)</f>
        <v>A1</v>
      </c>
      <c r="B1" s="5320" t="str">
        <f t="shared" ref="B1:R1" si="0">SUBSTITUTE(ADDRESS(1,COLUMN(),4),"1","")</f>
        <v>B</v>
      </c>
      <c r="C1" s="5320" t="str">
        <f t="shared" si="0"/>
        <v>C</v>
      </c>
      <c r="D1" s="5320" t="str">
        <f t="shared" si="0"/>
        <v>D</v>
      </c>
      <c r="E1" s="5320" t="str">
        <f t="shared" si="0"/>
        <v>E</v>
      </c>
      <c r="F1" s="5320" t="str">
        <f t="shared" si="0"/>
        <v>F</v>
      </c>
      <c r="G1" s="5320" t="str">
        <f t="shared" si="0"/>
        <v>G</v>
      </c>
      <c r="H1" s="5320" t="str">
        <f t="shared" si="0"/>
        <v>H</v>
      </c>
      <c r="I1" s="5320" t="str">
        <f t="shared" si="0"/>
        <v>I</v>
      </c>
      <c r="J1" s="5320" t="str">
        <f t="shared" si="0"/>
        <v>J</v>
      </c>
      <c r="K1" s="5320" t="str">
        <f t="shared" si="0"/>
        <v>K</v>
      </c>
      <c r="L1" s="5320" t="str">
        <f t="shared" si="0"/>
        <v>L</v>
      </c>
      <c r="M1" s="5320" t="str">
        <f t="shared" si="0"/>
        <v>M</v>
      </c>
      <c r="N1" s="5320" t="str">
        <f t="shared" si="0"/>
        <v>N</v>
      </c>
      <c r="O1" s="5320" t="str">
        <f t="shared" si="0"/>
        <v>O</v>
      </c>
      <c r="P1" s="5320" t="str">
        <f t="shared" si="0"/>
        <v>P</v>
      </c>
      <c r="Q1" s="5320" t="str">
        <f t="shared" si="0"/>
        <v>Q</v>
      </c>
      <c r="R1" s="5320" t="str">
        <f t="shared" si="0"/>
        <v>R</v>
      </c>
      <c r="T1" s="3">
        <v>1</v>
      </c>
      <c r="U1" s="4" t="str">
        <f>SUBSTITUTE(ADDRESS(1,COLUMN(),4),"1","")</f>
        <v>U</v>
      </c>
      <c r="V1" s="5" t="str">
        <f>SUBSTITUTE(ADDRESS(1,COLUMN(),4),"1","")</f>
        <v>V</v>
      </c>
    </row>
    <row r="2" spans="1:22" ht="15.75" thickBot="1">
      <c r="B2" s="706">
        <v>5</v>
      </c>
      <c r="C2" s="6">
        <v>9</v>
      </c>
      <c r="D2" s="6">
        <v>7</v>
      </c>
      <c r="E2" s="854">
        <f t="shared" ref="E2" ca="1" si="1">CELL("largeur",E2)</f>
        <v>103</v>
      </c>
      <c r="F2" s="6">
        <v>11</v>
      </c>
      <c r="G2" s="6">
        <v>10</v>
      </c>
      <c r="H2" s="6">
        <v>9</v>
      </c>
      <c r="I2" s="6">
        <v>3</v>
      </c>
      <c r="J2" s="854">
        <f t="shared" ref="J2" ca="1" si="2">CELL("largeur",J2)</f>
        <v>102</v>
      </c>
      <c r="K2" s="6">
        <v>6</v>
      </c>
      <c r="L2" s="6">
        <v>4</v>
      </c>
      <c r="M2" s="6">
        <v>10</v>
      </c>
      <c r="N2" s="6">
        <v>10</v>
      </c>
      <c r="O2" s="6">
        <v>10</v>
      </c>
      <c r="P2" s="6">
        <v>10</v>
      </c>
      <c r="Q2" s="706">
        <v>15</v>
      </c>
      <c r="R2" s="706">
        <v>11</v>
      </c>
      <c r="T2" s="3">
        <v>1</v>
      </c>
      <c r="U2" s="7" t="s">
        <v>3</v>
      </c>
      <c r="V2" s="8"/>
    </row>
    <row r="3" spans="1:22" ht="23.25">
      <c r="B3" s="16" t="s">
        <v>11</v>
      </c>
      <c r="C3" s="5321"/>
      <c r="D3" s="5321"/>
      <c r="E3" s="5425" t="s">
        <v>13549</v>
      </c>
      <c r="F3" s="5425"/>
      <c r="G3" s="5425"/>
      <c r="H3" s="5425"/>
      <c r="I3" s="5322"/>
      <c r="J3" s="5322"/>
      <c r="K3" s="5322"/>
      <c r="L3" s="5322"/>
      <c r="M3" s="5322"/>
      <c r="N3" s="5322"/>
      <c r="O3" s="5322"/>
      <c r="P3" s="5322"/>
      <c r="Q3" s="5322"/>
      <c r="R3" s="5323"/>
      <c r="T3" s="3">
        <v>1</v>
      </c>
      <c r="U3" s="11">
        <f ca="1">COUNTA(A1:T300) + COUNTBLANK(A1:T300)</f>
        <v>7716</v>
      </c>
      <c r="V3" s="12" t="str">
        <f>"cellules entre -cells -celdas  "&amp;" " &amp;A1&amp;" et  "&amp;T300</f>
        <v>cellules entre -cells -celdas   A1 et  T300</v>
      </c>
    </row>
    <row r="4" spans="1:22" ht="23.25">
      <c r="B4" s="16" t="s">
        <v>11</v>
      </c>
      <c r="C4" s="5324"/>
      <c r="D4" s="5324"/>
      <c r="E4" s="5426"/>
      <c r="F4" s="5426"/>
      <c r="G4" s="5426"/>
      <c r="H4" s="5426"/>
      <c r="I4" s="5325"/>
      <c r="J4" s="5325"/>
      <c r="K4" s="5325"/>
      <c r="L4" s="5325"/>
      <c r="M4" s="5325"/>
      <c r="N4" s="5325"/>
      <c r="O4" s="5325"/>
      <c r="P4" s="5325"/>
      <c r="Q4" s="5325"/>
      <c r="R4" s="5326"/>
      <c r="T4" s="3">
        <v>1</v>
      </c>
      <c r="U4" s="11">
        <f ca="1">COUNTA(A1:T300)</f>
        <v>2547</v>
      </c>
      <c r="V4" s="12" t="s">
        <v>10</v>
      </c>
    </row>
    <row r="5" spans="1:22" ht="15.75">
      <c r="B5" s="16" t="s">
        <v>11</v>
      </c>
      <c r="C5" s="5324"/>
      <c r="D5" s="5324"/>
      <c r="E5" s="5426"/>
      <c r="F5" s="5426"/>
      <c r="G5" s="5426"/>
      <c r="H5" s="5426"/>
      <c r="I5" s="5327"/>
      <c r="J5" s="5427" t="s">
        <v>13550</v>
      </c>
      <c r="K5" s="5327"/>
      <c r="L5" s="5327"/>
      <c r="M5" s="5327"/>
      <c r="N5" s="5327"/>
      <c r="O5" s="5327"/>
      <c r="P5" s="5327"/>
      <c r="Q5" s="5328"/>
      <c r="R5" s="5329"/>
      <c r="T5" s="3">
        <v>1</v>
      </c>
      <c r="U5" s="11">
        <f ca="1">COUNTBLANK(A1:T300)</f>
        <v>5169</v>
      </c>
      <c r="V5" s="12" t="s">
        <v>13</v>
      </c>
    </row>
    <row r="6" spans="1:22" ht="23.25">
      <c r="B6" s="16" t="s">
        <v>11</v>
      </c>
      <c r="C6" s="5330" t="s">
        <v>13551</v>
      </c>
      <c r="D6" s="5324"/>
      <c r="E6" s="5325"/>
      <c r="F6" s="5325"/>
      <c r="G6" s="5325"/>
      <c r="H6" s="5331"/>
      <c r="I6" s="5327"/>
      <c r="J6" s="5427"/>
      <c r="K6" s="5327"/>
      <c r="L6" s="5327"/>
      <c r="M6" s="5327"/>
      <c r="N6" s="5327"/>
      <c r="O6" s="5327"/>
      <c r="P6" s="5327"/>
      <c r="Q6" s="5328"/>
      <c r="R6" s="5329"/>
      <c r="T6" s="3">
        <v>1</v>
      </c>
      <c r="U6" s="11">
        <f>SUM(T1:T298)+2</f>
        <v>300</v>
      </c>
      <c r="V6" s="12" t="s">
        <v>15</v>
      </c>
    </row>
    <row r="7" spans="1:22" ht="23.25">
      <c r="B7" s="16" t="s">
        <v>11</v>
      </c>
      <c r="C7" s="9"/>
      <c r="D7" s="9"/>
      <c r="E7" s="5332"/>
      <c r="F7" s="5332"/>
      <c r="G7" s="5332"/>
      <c r="H7" s="5332"/>
      <c r="I7" s="5333"/>
      <c r="J7" s="5334" t="s">
        <v>13552</v>
      </c>
      <c r="K7" s="5335">
        <f>120</f>
        <v>120</v>
      </c>
      <c r="L7" s="5333"/>
      <c r="M7" s="5333"/>
      <c r="N7" s="5333"/>
      <c r="O7" s="5333"/>
      <c r="P7" s="5333"/>
      <c r="Q7" s="5336" t="s">
        <v>1676</v>
      </c>
      <c r="R7" s="5337" t="str">
        <f>T300</f>
        <v>T300</v>
      </c>
      <c r="T7" s="3">
        <v>1</v>
      </c>
      <c r="U7" s="11">
        <f>SUM(A300:S300)+1</f>
        <v>20</v>
      </c>
      <c r="V7" s="12" t="s">
        <v>18</v>
      </c>
    </row>
    <row r="8" spans="1:22" ht="15.75">
      <c r="B8" s="16" t="s">
        <v>11</v>
      </c>
      <c r="C8" s="9"/>
      <c r="D8" s="9"/>
      <c r="E8" s="9"/>
      <c r="F8" s="5333"/>
      <c r="G8" s="5333"/>
      <c r="H8" s="5333"/>
      <c r="I8" s="5333"/>
      <c r="J8" s="5428" t="str">
        <f ca="1">"Largeur de cette colonne : " &amp; J2 &amp; IF(J2 &gt; K7, " - Colonne trop large de " &amp; (J2 - K7), IF(K7 &gt; J2, " - Élargissez la colonne à " &amp; K7, ""))</f>
        <v>Largeur de cette colonne : 102 - Élargissez la colonne à 120</v>
      </c>
      <c r="K8" s="5333"/>
      <c r="L8" s="5333"/>
      <c r="M8" s="5333"/>
      <c r="N8" s="5333"/>
      <c r="O8" s="5333"/>
      <c r="P8" s="5333"/>
      <c r="Q8" s="5338"/>
      <c r="R8" s="5339"/>
      <c r="T8" s="3">
        <v>1</v>
      </c>
    </row>
    <row r="9" spans="1:22" ht="15.75">
      <c r="B9" s="16" t="s">
        <v>11</v>
      </c>
      <c r="C9" s="9"/>
      <c r="D9" s="9"/>
      <c r="E9" s="9"/>
      <c r="F9" s="5333"/>
      <c r="G9" s="5333"/>
      <c r="H9" s="5333"/>
      <c r="I9" s="5333"/>
      <c r="J9" s="5428"/>
      <c r="K9" s="5333"/>
      <c r="L9" s="5333"/>
      <c r="M9" s="5333"/>
      <c r="N9" s="5333"/>
      <c r="O9" s="5333"/>
      <c r="P9" s="5333"/>
      <c r="Q9" s="5338"/>
      <c r="R9" s="5339"/>
      <c r="T9" s="3">
        <v>1</v>
      </c>
    </row>
    <row r="10" spans="1:22" ht="18.75">
      <c r="B10" s="16" t="s">
        <v>11</v>
      </c>
      <c r="C10" s="9"/>
      <c r="D10" s="9"/>
      <c r="E10" s="9"/>
      <c r="F10" s="5333"/>
      <c r="G10" s="5333"/>
      <c r="H10" s="5333"/>
      <c r="I10" s="5333"/>
      <c r="J10" s="5340" t="str">
        <f>"❶  collez le texte brut à découper colonne "&amp;E29</f>
        <v>❶  collez le texte brut à découper colonne E</v>
      </c>
      <c r="K10" s="5333"/>
      <c r="L10" s="5333"/>
      <c r="M10" s="5333"/>
      <c r="N10" s="5333"/>
      <c r="O10" s="5333"/>
      <c r="P10" s="5333"/>
      <c r="Q10" s="5338"/>
      <c r="R10" s="5339"/>
      <c r="T10" s="3">
        <v>1</v>
      </c>
    </row>
    <row r="11" spans="1:22" ht="18.75">
      <c r="B11" s="16" t="s">
        <v>11</v>
      </c>
      <c r="C11" s="9"/>
      <c r="D11" s="9"/>
      <c r="E11" s="9"/>
      <c r="F11" s="5333"/>
      <c r="G11" s="5333"/>
      <c r="H11" s="5333"/>
      <c r="I11" s="5333"/>
      <c r="J11" s="5340" t="s">
        <v>13550</v>
      </c>
      <c r="K11" s="5333"/>
      <c r="L11" s="5333"/>
      <c r="M11" s="5333"/>
      <c r="N11" s="5333"/>
      <c r="O11" s="5333"/>
      <c r="P11" s="5333"/>
      <c r="Q11" s="5338"/>
      <c r="R11" s="5339"/>
      <c r="T11" s="3">
        <v>1</v>
      </c>
    </row>
    <row r="12" spans="1:22" ht="18.75">
      <c r="B12" s="16" t="s">
        <v>11</v>
      </c>
      <c r="C12" s="9"/>
      <c r="D12" s="9"/>
      <c r="E12" s="9"/>
      <c r="F12" s="5341"/>
      <c r="G12" s="5341"/>
      <c r="H12" s="5341"/>
      <c r="I12" s="5341"/>
      <c r="J12" s="5340" t="s">
        <v>13553</v>
      </c>
      <c r="K12" s="5341"/>
      <c r="L12" s="5341"/>
      <c r="M12" s="5341"/>
      <c r="N12" s="5341"/>
      <c r="O12" s="5341"/>
      <c r="P12" s="5341"/>
      <c r="Q12" s="5338"/>
      <c r="R12" s="5339"/>
      <c r="T12" s="3">
        <v>1</v>
      </c>
    </row>
    <row r="13" spans="1:22" ht="21">
      <c r="B13" s="16" t="s">
        <v>11</v>
      </c>
      <c r="C13" s="183"/>
      <c r="D13" s="183"/>
      <c r="E13" s="183"/>
      <c r="F13" s="183"/>
      <c r="G13" s="183"/>
      <c r="H13" s="183"/>
      <c r="I13" s="183"/>
      <c r="J13" s="5340" t="s">
        <v>13554</v>
      </c>
      <c r="K13" s="5342"/>
      <c r="L13" s="5429" t="s">
        <v>13555</v>
      </c>
      <c r="M13" s="5429"/>
      <c r="N13" s="5429"/>
      <c r="O13" s="5429"/>
      <c r="P13" s="5429"/>
      <c r="Q13" s="5429"/>
      <c r="R13" s="5339"/>
      <c r="T13" s="3">
        <v>1</v>
      </c>
    </row>
    <row r="14" spans="1:22" ht="21">
      <c r="B14" s="16" t="s">
        <v>11</v>
      </c>
      <c r="C14" s="183"/>
      <c r="D14" s="183"/>
      <c r="E14" s="183"/>
      <c r="F14" s="183"/>
      <c r="G14" s="183"/>
      <c r="H14" s="183"/>
      <c r="I14" s="183"/>
      <c r="J14" s="5430" t="s">
        <v>13556</v>
      </c>
      <c r="K14" s="5342"/>
      <c r="L14" s="5429"/>
      <c r="M14" s="5429"/>
      <c r="N14" s="5429"/>
      <c r="O14" s="5429"/>
      <c r="P14" s="5429"/>
      <c r="Q14" s="5429"/>
      <c r="R14" s="5339"/>
      <c r="T14" s="3">
        <v>1</v>
      </c>
    </row>
    <row r="15" spans="1:22" ht="21">
      <c r="B15" s="16" t="s">
        <v>11</v>
      </c>
      <c r="C15" s="183"/>
      <c r="D15" s="183"/>
      <c r="E15" s="183"/>
      <c r="F15" s="183"/>
      <c r="G15" s="183"/>
      <c r="H15" s="183"/>
      <c r="I15" s="183"/>
      <c r="J15" s="5430"/>
      <c r="K15" s="5342"/>
      <c r="L15" s="5429"/>
      <c r="M15" s="5429"/>
      <c r="N15" s="5429"/>
      <c r="O15" s="5429"/>
      <c r="P15" s="5429"/>
      <c r="Q15" s="5429"/>
      <c r="R15" s="5339"/>
      <c r="T15" s="3">
        <v>1</v>
      </c>
    </row>
    <row r="16" spans="1:22" ht="21">
      <c r="B16" s="16" t="s">
        <v>11</v>
      </c>
      <c r="C16" s="183"/>
      <c r="D16" s="183"/>
      <c r="E16" s="183"/>
      <c r="F16" s="183"/>
      <c r="G16" s="183"/>
      <c r="H16" s="183"/>
      <c r="I16" s="183"/>
      <c r="J16" s="5343" t="s">
        <v>865</v>
      </c>
      <c r="K16" s="5342"/>
      <c r="L16" s="5431" t="s">
        <v>13557</v>
      </c>
      <c r="M16" s="5431"/>
      <c r="N16" s="5431"/>
      <c r="O16" s="5431"/>
      <c r="P16" s="5431"/>
      <c r="Q16" s="5431"/>
      <c r="R16" s="5339"/>
      <c r="T16" s="3">
        <v>1</v>
      </c>
    </row>
    <row r="17" spans="2:20">
      <c r="B17" s="16" t="s">
        <v>11</v>
      </c>
      <c r="C17" s="183"/>
      <c r="D17" s="183"/>
      <c r="E17" s="5432" t="str">
        <f>"❶ COLLEZ LE TEXTE BRUT  A DÉCOUPER  DANS CETTE COLONNE ▼ "&amp;SUBSTITUTE(ADDRESS(1,COLUMN(),4),"1","")</f>
        <v>❶ COLLEZ LE TEXTE BRUT  A DÉCOUPER  DANS CETTE COLONNE ▼ E</v>
      </c>
      <c r="F17" s="183"/>
      <c r="G17" s="183"/>
      <c r="H17" s="183"/>
      <c r="I17" s="183"/>
      <c r="J17" s="5433">
        <v>100</v>
      </c>
      <c r="K17" s="5344"/>
      <c r="L17" s="5431"/>
      <c r="M17" s="5431"/>
      <c r="N17" s="5431"/>
      <c r="O17" s="5431"/>
      <c r="P17" s="5431"/>
      <c r="Q17" s="5431"/>
      <c r="R17" s="5339"/>
      <c r="T17" s="3">
        <v>1</v>
      </c>
    </row>
    <row r="18" spans="2:20">
      <c r="B18" s="16" t="s">
        <v>11</v>
      </c>
      <c r="C18" s="183"/>
      <c r="D18" s="183"/>
      <c r="E18" s="5432"/>
      <c r="F18" s="183"/>
      <c r="G18" s="183"/>
      <c r="H18" s="183"/>
      <c r="I18" s="183"/>
      <c r="J18" s="5433"/>
      <c r="K18" s="5344"/>
      <c r="L18" s="5431"/>
      <c r="M18" s="5431"/>
      <c r="N18" s="5431"/>
      <c r="O18" s="5431"/>
      <c r="P18" s="5431"/>
      <c r="Q18" s="5431"/>
      <c r="R18" s="5339"/>
      <c r="T18" s="3">
        <v>1</v>
      </c>
    </row>
    <row r="19" spans="2:20" ht="18.75">
      <c r="B19" s="16" t="s">
        <v>11</v>
      </c>
      <c r="C19" s="183"/>
      <c r="D19" s="183"/>
      <c r="E19" s="5345" t="s">
        <v>13558</v>
      </c>
      <c r="F19" s="183"/>
      <c r="G19" s="183"/>
      <c r="H19" s="183"/>
      <c r="I19" s="183"/>
      <c r="K19" s="9"/>
      <c r="L19" s="9"/>
      <c r="M19" s="9"/>
      <c r="N19" s="9"/>
      <c r="O19" s="9"/>
      <c r="P19" s="9"/>
      <c r="Q19" s="5338"/>
      <c r="R19" s="5339"/>
      <c r="T19" s="3">
        <v>1</v>
      </c>
    </row>
    <row r="20" spans="2:20">
      <c r="B20" s="16" t="s">
        <v>11</v>
      </c>
      <c r="C20" s="183"/>
      <c r="D20" s="183"/>
      <c r="E20" s="5436" t="s">
        <v>13559</v>
      </c>
      <c r="F20" s="183"/>
      <c r="G20" s="183"/>
      <c r="H20" s="183"/>
      <c r="I20" s="183"/>
      <c r="J20" s="5437" t="s">
        <v>13560</v>
      </c>
      <c r="K20" s="183"/>
      <c r="L20" s="5438" t="s">
        <v>13561</v>
      </c>
      <c r="M20" s="5438"/>
      <c r="N20" s="5438"/>
      <c r="O20" s="5346"/>
      <c r="P20" s="5346"/>
      <c r="Q20" s="5338"/>
      <c r="R20" s="5339"/>
      <c r="T20" s="3">
        <v>1</v>
      </c>
    </row>
    <row r="21" spans="2:20">
      <c r="B21" s="16" t="s">
        <v>11</v>
      </c>
      <c r="C21" s="183"/>
      <c r="D21" s="183"/>
      <c r="E21" s="5436"/>
      <c r="F21" s="183"/>
      <c r="G21" s="183"/>
      <c r="H21" s="183"/>
      <c r="I21" s="183"/>
      <c r="J21" s="5437"/>
      <c r="K21" s="183"/>
      <c r="L21" s="5438"/>
      <c r="M21" s="5438"/>
      <c r="N21" s="5438"/>
      <c r="O21" s="5346"/>
      <c r="P21" s="5346"/>
      <c r="Q21" s="5338"/>
      <c r="R21" s="5339"/>
      <c r="T21" s="3">
        <v>1</v>
      </c>
    </row>
    <row r="22" spans="2:20" ht="18.75">
      <c r="B22" s="16" t="s">
        <v>11</v>
      </c>
      <c r="C22" s="5347"/>
      <c r="D22" s="5347"/>
      <c r="E22" s="5348" t="s">
        <v>13562</v>
      </c>
      <c r="F22" s="183"/>
      <c r="G22" s="183"/>
      <c r="H22" s="183"/>
      <c r="I22" s="183"/>
      <c r="J22" s="5348" t="s">
        <v>13563</v>
      </c>
      <c r="K22" s="183"/>
      <c r="L22" s="5438"/>
      <c r="M22" s="5438"/>
      <c r="N22" s="5438"/>
      <c r="O22" s="5349"/>
      <c r="P22" s="5346"/>
      <c r="Q22" s="5338"/>
      <c r="R22" s="5339"/>
      <c r="T22" s="3">
        <v>1</v>
      </c>
    </row>
    <row r="23" spans="2:20">
      <c r="B23" s="16" t="s">
        <v>11</v>
      </c>
      <c r="C23" s="5347"/>
      <c r="D23" s="5347"/>
      <c r="E23" s="5350"/>
      <c r="F23" s="183"/>
      <c r="G23" s="183"/>
      <c r="H23" s="183"/>
      <c r="I23" s="183"/>
      <c r="J23" s="5338"/>
      <c r="K23" s="183"/>
      <c r="L23" s="5438"/>
      <c r="M23" s="5438"/>
      <c r="N23" s="5438"/>
      <c r="O23" s="5349"/>
      <c r="P23" s="5346"/>
      <c r="Q23" s="5338"/>
      <c r="R23" s="5339"/>
      <c r="T23" s="3">
        <v>1</v>
      </c>
    </row>
    <row r="24" spans="2:20">
      <c r="B24" s="16" t="s">
        <v>11</v>
      </c>
      <c r="C24" s="5347"/>
      <c r="D24" s="5347"/>
      <c r="E24" s="5350"/>
      <c r="F24" s="183"/>
      <c r="G24" s="183"/>
      <c r="H24" s="183"/>
      <c r="I24" s="183"/>
      <c r="J24" s="5439" t="s">
        <v>13564</v>
      </c>
      <c r="K24" s="183"/>
      <c r="L24" s="183"/>
      <c r="M24" s="5346"/>
      <c r="N24" s="5349"/>
      <c r="O24" s="5349"/>
      <c r="P24" s="5346"/>
      <c r="Q24" s="5338"/>
      <c r="R24" s="5339"/>
      <c r="T24" s="3">
        <v>1</v>
      </c>
    </row>
    <row r="25" spans="2:20" ht="21">
      <c r="B25" s="16" t="s">
        <v>11</v>
      </c>
      <c r="C25" s="5347"/>
      <c r="D25" s="5347"/>
      <c r="E25" s="5351" t="s">
        <v>13565</v>
      </c>
      <c r="F25" s="183"/>
      <c r="G25" s="183"/>
      <c r="H25" s="183"/>
      <c r="I25" s="183"/>
      <c r="J25" s="5439"/>
      <c r="K25" s="183"/>
      <c r="L25" s="183"/>
      <c r="M25" s="5346"/>
      <c r="N25" s="5349"/>
      <c r="O25" s="5349"/>
      <c r="P25" s="5346"/>
      <c r="Q25" s="5338"/>
      <c r="R25" s="5339"/>
      <c r="T25" s="3">
        <v>1</v>
      </c>
    </row>
    <row r="26" spans="2:20" ht="18.75">
      <c r="B26" s="16" t="s">
        <v>11</v>
      </c>
      <c r="C26" s="5347"/>
      <c r="D26" s="5347"/>
      <c r="E26" s="5352" t="str">
        <f ca="1">"Largeur de cette colonne : "&amp;CELL("largeur",E26)</f>
        <v>Largeur de cette colonne : 103</v>
      </c>
      <c r="F26" s="183"/>
      <c r="G26" s="183"/>
      <c r="H26" s="183"/>
      <c r="I26" s="183"/>
      <c r="J26" s="5352" t="str">
        <f ca="1">"Largeur de cette colonne : "&amp;CELL("largeur",J26)</f>
        <v>Largeur de cette colonne : 102</v>
      </c>
      <c r="K26" s="183"/>
      <c r="L26" s="183"/>
      <c r="M26" s="5346"/>
      <c r="N26" s="5349"/>
      <c r="O26" s="5349"/>
      <c r="P26" s="5346"/>
      <c r="Q26" s="5338"/>
      <c r="R26" s="5339"/>
      <c r="T26" s="3">
        <v>1</v>
      </c>
    </row>
    <row r="27" spans="2:20" ht="15.75">
      <c r="B27" s="16" t="s">
        <v>11</v>
      </c>
      <c r="C27" s="5347"/>
      <c r="D27" s="5347"/>
      <c r="E27" s="5353"/>
      <c r="F27" s="183"/>
      <c r="G27" s="183"/>
      <c r="H27" s="183"/>
      <c r="I27" s="183"/>
      <c r="J27" s="5440" t="s">
        <v>13566</v>
      </c>
      <c r="K27" s="5354"/>
      <c r="L27" s="5354"/>
      <c r="M27" s="5346"/>
      <c r="N27" s="5346"/>
      <c r="O27" s="5346"/>
      <c r="P27" s="5346"/>
      <c r="Q27" s="5346"/>
      <c r="R27" s="5339"/>
      <c r="T27" s="3">
        <v>1</v>
      </c>
    </row>
    <row r="28" spans="2:20" ht="18.75">
      <c r="B28" s="16" t="s">
        <v>11</v>
      </c>
      <c r="C28" s="5423" t="s">
        <v>13567</v>
      </c>
      <c r="D28" s="5423"/>
      <c r="E28" s="5356" t="s">
        <v>13558</v>
      </c>
      <c r="F28" s="5347"/>
      <c r="G28" s="5347"/>
      <c r="H28" s="5347"/>
      <c r="I28" s="5347"/>
      <c r="J28" s="5440"/>
      <c r="K28" s="5354"/>
      <c r="L28" s="5354"/>
      <c r="M28" s="5424" t="s">
        <v>13568</v>
      </c>
      <c r="N28" s="5424"/>
      <c r="O28" s="5424"/>
      <c r="P28" s="5424"/>
      <c r="Q28" s="5434" t="str">
        <f>"vous auriez dû coupez le texte de la col."&amp;E29&amp;" en ▼"</f>
        <v>vous auriez dû coupez le texte de la col.E en ▼</v>
      </c>
      <c r="R28" s="5435"/>
      <c r="T28" s="3">
        <v>1</v>
      </c>
    </row>
    <row r="29" spans="2:20" ht="15.75">
      <c r="B29" s="16" t="s">
        <v>11</v>
      </c>
      <c r="C29" s="5357"/>
      <c r="D29" s="5355" t="s">
        <v>13569</v>
      </c>
      <c r="E29" s="5358" t="str">
        <f t="shared" ref="E29" si="3">SUBSTITUTE(ADDRESS(1,COLUMN(),4),"1","")</f>
        <v>E</v>
      </c>
      <c r="F29" s="5359" t="s">
        <v>22</v>
      </c>
      <c r="G29" s="5360"/>
      <c r="H29" s="5360"/>
      <c r="I29" s="5360">
        <v>0</v>
      </c>
      <c r="J29" s="5360"/>
      <c r="K29" s="5361"/>
      <c r="L29" s="5354"/>
      <c r="M29" s="5424"/>
      <c r="N29" s="5424"/>
      <c r="O29" s="5424"/>
      <c r="P29" s="5424"/>
      <c r="Q29" s="5434"/>
      <c r="R29" s="5435"/>
      <c r="T29" s="3">
        <v>1</v>
      </c>
    </row>
    <row r="30" spans="2:20" ht="15.75">
      <c r="B30" s="16" t="s">
        <v>11</v>
      </c>
      <c r="C30" s="5363" t="str">
        <f>IF(E30="","",(LEN(TRIM(SUBSTITUTE(E30,CHAR(160)," ")))-LEN(SUBSTITUTE(TRIM(SUBSTITUTE(E30,CHAR(160)," "))," ",""))+1)&amp;" mot"&amp;IF((LEN(TRIM(SUBSTITUTE(E30,CHAR(160)," ")))-LEN(SUBSTITUTE(TRIM(SUBSTITUTE(E30,CHAR(160)," "))," ",""))+1)&gt;1,"s",""))</f>
        <v>4 mots</v>
      </c>
      <c r="D30" s="5364">
        <f>IF(E30="","",LEN(TRIM(SUBSTITUTE(E30,CHAR(160),""))))</f>
        <v>30</v>
      </c>
      <c r="E30" s="5365" t="s">
        <v>13570</v>
      </c>
      <c r="F30" s="5366" t="str">
        <f>" ◄ ligne "&amp;ROW()</f>
        <v xml:space="preserve"> ◄ ligne 30</v>
      </c>
      <c r="G30" s="5363" t="str">
        <f>IF(J30="","",(LEN(TRIM(SUBSTITUTE(J30,CHAR(160)," ")))-LEN(SUBSTITUTE(TRIM(SUBSTITUTE(J30,CHAR(160)," "))," ",""))+1)&amp;" mot"&amp;IF((LEN(TRIM(SUBSTITUTE(J30,CHAR(160)," ")))-LEN(SUBSTITUTE(TRIM(SUBSTITUTE(J30,CHAR(160)," "))," ",""))+1)&gt;1,"s",""))</f>
        <v>4 mots</v>
      </c>
      <c r="H30" s="5367" t="str">
        <f>IF(J30="","",LEN(TRIM(SUBSTITUTE(J30,CHAR(160),"")))&amp;" car. ►")</f>
        <v>30 car. ►</v>
      </c>
      <c r="I30" s="5368">
        <f>IF(LEN(TRIM(N30))&gt;0,MAX(I29:I29)+1,"")</f>
        <v>1</v>
      </c>
      <c r="J30" s="199" t="str">
        <f>IFERROR(INDEX(N30:N299,MATCH(ROW()-ROW(N30)+1,I30:I299,0)),"")</f>
        <v>bœuf bourguignon de grand-mère</v>
      </c>
      <c r="K30" s="5361"/>
      <c r="L30" s="5354"/>
      <c r="M30" s="5369" t="str">
        <f>(SUBSTITUTE(SUBSTITUTE(E30,CHAR(13)&amp;CHAR(10)," "),CHAR(10)," "))</f>
        <v>bœuf bourguignon de grand-mère</v>
      </c>
      <c r="N30" s="5370" t="str">
        <f>IF(OR(M31="",M32=""),"",IF(LEN(M31)&lt;=M32,M31,IFERROR(LEFT(M31,FIND("♦",SUBSTITUTE(LEFT(M31,M32+1)," ","♦",LEN(LEFT(M31,M32+1))-LEN(SUBSTITUTE(LEFT(M31,M32+1)," ",""))))),LEFT(M31,IFERROR(FIND(" ",M31)-1,LEN(M31))))))</f>
        <v>bœuf bourguignon de grand-mère</v>
      </c>
      <c r="O30" s="5371" t="str">
        <f>IF(N30="","",TRIM(RIGHT(M31,LEN(M31)-LEN(N30))))</f>
        <v/>
      </c>
      <c r="P30" s="5372" t="str">
        <f>F30</f>
        <v xml:space="preserve"> ◄ ligne 30</v>
      </c>
      <c r="Q30" s="5362">
        <f>IF(D30="","",IF(OR(D30=0,D30&lt;J17),0,IF(D30&gt;J17,(D30-J17)&amp;" car. en trop",(D30-J17)&amp;" car.")))</f>
        <v>0</v>
      </c>
      <c r="R30" s="5373" t="str">
        <f>IF(D30="","",ROUNDUP(D30/J17,0)&amp;" ligne(s)")</f>
        <v>1 ligne(s)</v>
      </c>
      <c r="T30" s="3">
        <v>1</v>
      </c>
    </row>
    <row r="31" spans="2:20" ht="15.75">
      <c r="B31" s="104" t="str">
        <f>IF(OR(LEN(J31)&gt;1),"A", "►")</f>
        <v>A</v>
      </c>
      <c r="C31" s="5363" t="str">
        <f t="shared" ref="C31:C74" si="4">IF(E31="","",(LEN(TRIM(SUBSTITUTE(E31,CHAR(160)," ")))-LEN(SUBSTITUTE(TRIM(SUBSTITUTE(E31,CHAR(160)," "))," ",""))+1)&amp;" mot"&amp;IF((LEN(TRIM(SUBSTITUTE(E31,CHAR(160)," ")))-LEN(SUBSTITUTE(TRIM(SUBSTITUTE(E31,CHAR(160)," "))," ",""))+1)&gt;1,"s",""))</f>
        <v>1 mot</v>
      </c>
      <c r="D31" s="5364">
        <f>IF(E31="","",LEN(TRIM(SUBSTITUTE(E31,CHAR(160),""))))</f>
        <v>11</v>
      </c>
      <c r="E31" s="5365" t="s">
        <v>4365</v>
      </c>
      <c r="F31" s="5374" t="str">
        <f t="shared" ref="F31:F74" si="5">" ◄ ligne "&amp;ROW()</f>
        <v xml:space="preserve"> ◄ ligne 31</v>
      </c>
      <c r="G31" s="5363" t="str">
        <f>IF(J31="","",(LEN(TRIM(SUBSTITUTE(J31,CHAR(160)," ")))-LEN(SUBSTITUTE(TRIM(SUBSTITUTE(J31,CHAR(160)," "))," ",""))+1)&amp;" mot"&amp;IF((LEN(TRIM(SUBSTITUTE(J31,CHAR(160)," ")))-LEN(SUBSTITUTE(TRIM(SUBSTITUTE(J31,CHAR(160)," "))," ",""))+1)&gt;1,"s",""))</f>
        <v>1 mot</v>
      </c>
      <c r="H31" s="5367" t="str">
        <f>IF(J31="","",LEN(TRIM(SUBSTITUTE(J31,CHAR(160),"")))&amp;" car. ►")</f>
        <v>11 car. ►</v>
      </c>
      <c r="I31" s="5368" t="str">
        <f>IF(LEN(TRIM(N31))&gt;0,MAX(I29:I30)+1,"")</f>
        <v/>
      </c>
      <c r="J31" s="199" t="str">
        <f>IFERROR(INDEX(N30:N299,MATCH(ROW()-ROW(N30)+1,I30:I299,0)),"")</f>
        <v>Préparation</v>
      </c>
      <c r="K31" s="5361"/>
      <c r="L31" s="5354"/>
      <c r="M31" s="5370" t="str">
        <f>TRIM(SUBSTITUTE(SUBSTITUTE(SUBSTITUTE(SUBSTITUTE(IF(OR(LEFT(M30,1)="-",LEFT(M30,1)="="),MID(M30,2,9999),M30),CHAR(160)," "),","," "),";"," "),"."," "))</f>
        <v>bœuf bourguignon de grand-mère</v>
      </c>
      <c r="N31" s="5371" t="str">
        <f>IF(OR(O30="",M32=""),"",IF(LEN(O30)&lt;=M32,O30,IFERROR(LEFT(O30,FIND("♦",SUBSTITUTE(LEFT(O30,M32+1)," ","♦",LEN(LEFT(O30,M32+1))-LEN(SUBSTITUTE(LEFT(O30,M32+1)," ",""))))),LEFT(O30,IFERROR(FIND(" ",O30)-1,LEN(O30))))))</f>
        <v/>
      </c>
      <c r="O31" s="5371" t="str">
        <f>IF(N31="","",TRIM(RIGHT(O30,LEN(O30)-LEN(N31))))</f>
        <v/>
      </c>
      <c r="P31" s="5375" t="str">
        <f>"ligne "&amp;ROW()&amp;" ►"</f>
        <v>ligne 31 ►</v>
      </c>
      <c r="Q31" s="5362">
        <f>IF(D31="","",IF(OR(D31=0,D31&lt;J17),0,IF(D31&gt;J17,(D31-J17)&amp;" car. en trop",(D31-J17)&amp;" car.")))</f>
        <v>0</v>
      </c>
      <c r="R31" s="5373" t="str">
        <f>IF(D31="","",ROUNDUP(D31/J17,0)&amp;" ligne(s)")</f>
        <v>1 ligne(s)</v>
      </c>
      <c r="T31" s="3">
        <v>1</v>
      </c>
    </row>
    <row r="32" spans="2:20" ht="15.75">
      <c r="B32" s="104" t="str">
        <f t="shared" ref="B32:B74" si="6">IF(OR(LEN(J32)&gt;1),"A", "►")</f>
        <v>A</v>
      </c>
      <c r="C32" s="5363" t="str">
        <f t="shared" si="4"/>
        <v/>
      </c>
      <c r="D32" s="5364" t="str">
        <f>IF(E32="","",LEN(TRIM(SUBSTITUTE(E32,CHAR(160),""))))</f>
        <v/>
      </c>
      <c r="E32" s="5365"/>
      <c r="F32" s="5366" t="str">
        <f t="shared" si="5"/>
        <v xml:space="preserve"> ◄ ligne 32</v>
      </c>
      <c r="G32" s="5363" t="str">
        <f t="shared" ref="G32:G95" si="7">IF(J32="","",(LEN(TRIM(SUBSTITUTE(J32,CHAR(160)," ")))-LEN(SUBSTITUTE(TRIM(SUBSTITUTE(J32,CHAR(160)," "))," ",""))+1)&amp;" mot"&amp;IF((LEN(TRIM(SUBSTITUTE(J32,CHAR(160)," ")))-LEN(SUBSTITUTE(TRIM(SUBSTITUTE(J32,CHAR(160)," "))," ",""))+1)&gt;1,"s",""))</f>
        <v>8 mots</v>
      </c>
      <c r="H32" s="5367" t="str">
        <f t="shared" ref="H32:H95" si="8">IF(J32="","",LEN(TRIM(SUBSTITUTE(J32,CHAR(160),"")))&amp;" car. ►")</f>
        <v>42 car. ►</v>
      </c>
      <c r="I32" s="5368" t="str">
        <f>IF(LEN(TRIM(N32))&gt;0,MAX(I29:I31)+1,"")</f>
        <v/>
      </c>
      <c r="J32" s="199" t="str">
        <f>IFERROR(INDEX(N30:N299,MATCH(ROW()-ROW(N30)+1,I30:I299,0)),"")</f>
        <v>Portez à ébullition puis baissez le feu et</v>
      </c>
      <c r="K32" s="5361"/>
      <c r="L32" s="5354"/>
      <c r="M32" s="5376">
        <f>J17</f>
        <v>100</v>
      </c>
      <c r="N32" s="5371" t="str">
        <f>IF(OR(O31="",M32=""),"",IF(LEN(O31)&lt;=M32,O31,IFERROR(LEFT(O31,FIND("♦",SUBSTITUTE(LEFT(O31,M32+1)," ","♦",LEN(LEFT(O31,M32+1))-LEN(SUBSTITUTE(LEFT(O31,M32+1)," ",""))))),LEFT(O31,IFERROR(FIND(" ",O31)-1,LEN(O31))))))</f>
        <v/>
      </c>
      <c r="O32" s="5371" t="str">
        <f t="shared" ref="O32:O35" si="9">IF(N32="","",TRIM(RIGHT(O31,LEN(O31)-LEN(N32))))</f>
        <v/>
      </c>
      <c r="P32" s="5375" t="str">
        <f t="shared" ref="P32:P35" si="10">"ligne "&amp;ROW()&amp;" ►"</f>
        <v>ligne 32 ►</v>
      </c>
      <c r="Q32" s="5362" t="str">
        <f>IF(D32="","",IF(OR(D32=0,D32&lt;J17),0,IF(D32&gt;J17,(D32-J17)&amp;" car. en trop",(D32-J17)&amp;" car.")))</f>
        <v/>
      </c>
      <c r="R32" s="5373" t="str">
        <f>IF(D32="","",ROUNDUP(D32/J17,0)&amp;" ligne(s)")</f>
        <v/>
      </c>
      <c r="T32" s="3">
        <v>1</v>
      </c>
    </row>
    <row r="33" spans="2:20" ht="15.75">
      <c r="B33" s="104" t="str">
        <f t="shared" si="6"/>
        <v>A</v>
      </c>
      <c r="C33" s="5363" t="str">
        <f t="shared" si="4"/>
        <v>8 mots</v>
      </c>
      <c r="D33" s="5364">
        <f t="shared" ref="D33:D74" si="11">IF(E33="","",LEN(TRIM(SUBSTITUTE(E33,CHAR(160),""))))</f>
        <v>43</v>
      </c>
      <c r="E33" s="5365" t="s">
        <v>13571</v>
      </c>
      <c r="F33" s="5374" t="str">
        <f t="shared" si="5"/>
        <v xml:space="preserve"> ◄ ligne 33</v>
      </c>
      <c r="G33" s="5363" t="str">
        <f t="shared" si="7"/>
        <v>18 mots</v>
      </c>
      <c r="H33" s="5367" t="str">
        <f t="shared" si="8"/>
        <v>100 car. ►</v>
      </c>
      <c r="I33" s="5368" t="str">
        <f>IF(LEN(TRIM(N33))&gt;0,MAX(I29:I32)+1,"")</f>
        <v/>
      </c>
      <c r="J33" s="199" t="str">
        <f>IFERROR(INDEX(N30:N299,MATCH(ROW()-ROW(N30)+1,I30:I299,0)),"")</f>
        <v xml:space="preserve">1 Coupez la viande en cubes d’environ 4 cm et mettez-la dans un grand saladier Ajoutez-y les oignons </v>
      </c>
      <c r="K33" s="5361"/>
      <c r="L33" s="5354"/>
      <c r="M33" s="5370"/>
      <c r="N33" s="5371" t="str">
        <f>IF(OR(O32="",M32=""),"",IF(LEN(O32)&lt;=M32,O32,IFERROR(LEFT(O32,FIND("♦",SUBSTITUTE(LEFT(O32,M32+1)," ","♦",LEN(LEFT(O32,M32+1))-LEN(SUBSTITUTE(LEFT(O32,M32+1)," ",""))))),LEFT(O32,IFERROR(FIND(" ",O32)-1,LEN(O32))))))</f>
        <v/>
      </c>
      <c r="O33" s="5371" t="str">
        <f t="shared" si="9"/>
        <v/>
      </c>
      <c r="P33" s="5375" t="str">
        <f t="shared" si="10"/>
        <v>ligne 33 ►</v>
      </c>
      <c r="Q33" s="5362">
        <f>IF(D33="","",IF(OR(D33=0,D33&lt;J17),0,IF(D33&gt;J17,(D33-J17)&amp;" car. en trop",(D33-J17)&amp;" car.")))</f>
        <v>0</v>
      </c>
      <c r="R33" s="5373" t="str">
        <f>IF(D33="","",ROUNDUP(D33/J17,0)&amp;" ligne(s)")</f>
        <v>1 ligne(s)</v>
      </c>
      <c r="T33" s="3">
        <v>1</v>
      </c>
    </row>
    <row r="34" spans="2:20" ht="15.75">
      <c r="B34" s="104" t="str">
        <f t="shared" si="6"/>
        <v>A</v>
      </c>
      <c r="C34" s="5363" t="str">
        <f t="shared" si="4"/>
        <v/>
      </c>
      <c r="D34" s="5364" t="str">
        <f t="shared" si="11"/>
        <v/>
      </c>
      <c r="E34" s="555"/>
      <c r="F34" s="5366" t="str">
        <f t="shared" si="5"/>
        <v xml:space="preserve"> ◄ ligne 34</v>
      </c>
      <c r="G34" s="5363" t="str">
        <f t="shared" si="7"/>
        <v>16 mots</v>
      </c>
      <c r="H34" s="5367" t="str">
        <f t="shared" si="8"/>
        <v>98 car. ►</v>
      </c>
      <c r="I34" s="5368" t="str">
        <f>IF(LEN(TRIM(N34))&gt;0,MAX(I29:I33)+1,"")</f>
        <v/>
      </c>
      <c r="J34" s="199" t="str">
        <f>IFERROR(INDEX(N30:N299,MATCH(ROW()-ROW(N30)+1,I30:I299,0)),"")</f>
        <v xml:space="preserve">coupés en rondelles les carottes coupées en rondelles les lardons l’ail émincé et le bouquet garni </v>
      </c>
      <c r="K34" s="5361"/>
      <c r="L34" s="5354"/>
      <c r="M34" s="5377"/>
      <c r="N34" s="5371" t="str">
        <f>IF(OR(O33="",M32=""),"",IF(LEN(O33)&lt;=M32,O33,IFERROR(LEFT(O33,FIND("♦",SUBSTITUTE(LEFT(O33,M32+1)," ","♦",LEN(LEFT(O33,M32+1))-LEN(SUBSTITUTE(LEFT(O33,M32+1)," ",""))))),LEFT(O33,IFERROR(FIND(" ",O33)-1,LEN(O33))))))</f>
        <v/>
      </c>
      <c r="O34" s="5371" t="str">
        <f t="shared" si="9"/>
        <v/>
      </c>
      <c r="P34" s="5375" t="str">
        <f t="shared" si="10"/>
        <v>ligne 34 ►</v>
      </c>
      <c r="Q34" s="5362" t="str">
        <f>IF(D34="","",IF(OR(D34=0,D34&lt;J17),0,IF(D34&gt;J17,(D34-J17)&amp;" car. en trop",(D34-J17)&amp;" car.")))</f>
        <v/>
      </c>
      <c r="R34" s="5373" t="str">
        <f>IF(D34="","",ROUNDUP(D34/J17,0)&amp;" ligne(s)")</f>
        <v/>
      </c>
      <c r="T34" s="3">
        <v>1</v>
      </c>
    </row>
    <row r="35" spans="2:20" ht="15.75">
      <c r="B35" s="104" t="str">
        <f t="shared" si="6"/>
        <v>A</v>
      </c>
      <c r="C35" s="5363" t="str">
        <f t="shared" si="4"/>
        <v>49 mots</v>
      </c>
      <c r="D35" s="5364">
        <f t="shared" si="11"/>
        <v>284</v>
      </c>
      <c r="E35" s="555" t="s">
        <v>13572</v>
      </c>
      <c r="F35" s="5374" t="str">
        <f t="shared" si="5"/>
        <v xml:space="preserve"> ◄ ligne 35</v>
      </c>
      <c r="G35" s="5363" t="str">
        <f t="shared" si="7"/>
        <v>15 mots</v>
      </c>
      <c r="H35" s="5367" t="str">
        <f t="shared" si="8"/>
        <v>77 car. ►</v>
      </c>
      <c r="I35" s="5368" t="str">
        <f>IF(LEN(TRIM(N35))&gt;0,MAX(I29:I34)+1,"")</f>
        <v/>
      </c>
      <c r="J35" s="199" t="str">
        <f>IFERROR(INDEX(N30:N299,MATCH(ROW()-ROW(N30)+1,I30:I299,0)),"")</f>
        <v>Versez le vin rouge sur le tout et laissez mariner au frais pendant 24 heures</v>
      </c>
      <c r="K35" s="5361"/>
      <c r="L35" s="5354"/>
      <c r="M35" s="5378"/>
      <c r="N35" s="5371" t="str">
        <f>IF(OR(O34="",M32=""),"",IF(LEN(O34)&lt;=M32,O34,IFERROR(LEFT(O34,FIND("♦",SUBSTITUTE(LEFT(O34,M32+1)," ","♦",LEN(LEFT(O34,M32+1))-LEN(SUBSTITUTE(LEFT(O34,M32+1)," ",""))))),LEFT(O34,IFERROR(FIND(" ",O34)-1,LEN(O34))))))</f>
        <v/>
      </c>
      <c r="O35" s="5371" t="str">
        <f t="shared" si="9"/>
        <v/>
      </c>
      <c r="P35" s="5375" t="str">
        <f t="shared" si="10"/>
        <v>ligne 35 ►</v>
      </c>
      <c r="Q35" s="5362" t="str">
        <f>IF(D35="","",IF(OR(D35=0,D35&lt;J17),0,IF(D35&gt;J17,(D35-J17)&amp;" car. en trop",(D35-J17)&amp;" car.")))</f>
        <v>184 car. en trop</v>
      </c>
      <c r="R35" s="5373" t="str">
        <f>IF(D35="","",ROUNDUP(D35/J17,0)&amp;" ligne(s)")</f>
        <v>3 ligne(s)</v>
      </c>
      <c r="T35" s="3">
        <v>1</v>
      </c>
    </row>
    <row r="36" spans="2:20" ht="15.75">
      <c r="B36" s="104" t="str">
        <f t="shared" si="6"/>
        <v>A</v>
      </c>
      <c r="C36" s="5363" t="str">
        <f t="shared" si="4"/>
        <v>17 mots</v>
      </c>
      <c r="D36" s="5364">
        <f t="shared" si="11"/>
        <v>102</v>
      </c>
      <c r="E36" s="555" t="s">
        <v>13573</v>
      </c>
      <c r="F36" s="5366" t="str">
        <f t="shared" si="5"/>
        <v xml:space="preserve"> ◄ ligne 36</v>
      </c>
      <c r="G36" s="5363" t="str">
        <f t="shared" si="7"/>
        <v>17 mots</v>
      </c>
      <c r="H36" s="5367" t="str">
        <f t="shared" si="8"/>
        <v>98 car. ►</v>
      </c>
      <c r="I36" s="5368">
        <f>IF(LEN(TRIM(N36))&gt;0,MAX(I29:I35)+1,"")</f>
        <v>2</v>
      </c>
      <c r="J36" s="199" t="str">
        <f>IFERROR(INDEX(N30:N299,MATCH(ROW()-ROW(N30)+1,I30:I299,0)),"")</f>
        <v>2 Le lendemain sortez la viande et les légumes de la marinade et égouttez-les Réservez la marinade</v>
      </c>
      <c r="K36" s="5361"/>
      <c r="L36" s="5354"/>
      <c r="M36" s="5369" t="str">
        <f>(SUBSTITUTE(SUBSTITUTE(E31,CHAR(13)&amp;CHAR(10)," "),CHAR(10)," "))</f>
        <v>Préparation</v>
      </c>
      <c r="N36" s="5379" t="str">
        <f>IF(OR(M37="",M38=""),"",IF(LEN(M37)&lt;=M38,M37,IFERROR(LEFT(M37,FIND("♦",SUBSTITUTE(LEFT(M37,M38+1)," ","♦",LEN(LEFT(M37,M38+1))-LEN(SUBSTITUTE(LEFT(M37,M38+1)," ",""))))),LEFT(M37,IFERROR(FIND(" ",M37)-1,LEN(M37))))))</f>
        <v>Préparation</v>
      </c>
      <c r="O36" s="5380" t="str">
        <f>IF(N36="","",TRIM(RIGHT(M37,LEN(M37)-LEN(N36))))</f>
        <v/>
      </c>
      <c r="P36" s="5372" t="str">
        <f>F31</f>
        <v xml:space="preserve"> ◄ ligne 31</v>
      </c>
      <c r="Q36" s="5362" t="str">
        <f>IF(D36="","",IF(OR(D36=0,D36&lt;J17),0,IF(D36&gt;J17,(D36-J17)&amp;" car. en trop",(D36-J17)&amp;" car.")))</f>
        <v>2 car. en trop</v>
      </c>
      <c r="R36" s="5373" t="str">
        <f>IF(D36="","",ROUNDUP(D36/J17,0)&amp;" ligne(s)")</f>
        <v>2 ligne(s)</v>
      </c>
      <c r="T36" s="3">
        <v>1</v>
      </c>
    </row>
    <row r="37" spans="2:20" ht="15.75">
      <c r="B37" s="104" t="str">
        <f t="shared" si="6"/>
        <v>A</v>
      </c>
      <c r="C37" s="5363" t="str">
        <f t="shared" si="4"/>
        <v>29 mots</v>
      </c>
      <c r="D37" s="5364">
        <f t="shared" si="11"/>
        <v>171</v>
      </c>
      <c r="E37" s="555" t="s">
        <v>13574</v>
      </c>
      <c r="F37" s="5374" t="str">
        <f t="shared" si="5"/>
        <v xml:space="preserve"> ◄ ligne 37</v>
      </c>
      <c r="G37" s="5363" t="str">
        <f t="shared" si="7"/>
        <v>17 mots</v>
      </c>
      <c r="H37" s="5367" t="str">
        <f t="shared" si="8"/>
        <v>92 car. ►</v>
      </c>
      <c r="I37" s="5368" t="str">
        <f>IF(LEN(TRIM(N37))&gt;0,MAX(I29:I36)+1,"")</f>
        <v/>
      </c>
      <c r="J37" s="199" t="str">
        <f>IFERROR(INDEX(N30:N299,MATCH(ROW()-ROW(N30)+1,I30:I299,0)),"")</f>
        <v xml:space="preserve">3 Dans une cocotte en fonte faites chauffer l’huile d’olive à feu moyen Ajoutez la viande et </v>
      </c>
      <c r="K37" s="5361"/>
      <c r="L37" s="5354"/>
      <c r="M37" s="5379" t="str">
        <f>TRIM(SUBSTITUTE(SUBSTITUTE(SUBSTITUTE(SUBSTITUTE(IF(OR(LEFT(M36,1)="-",LEFT(M36,1)="="),MID(M36,2,9999),M36),CHAR(160)," "),","," "),";"," "),"."," "))</f>
        <v>Préparation</v>
      </c>
      <c r="N37" s="5380" t="str">
        <f>IF(OR(O36="",M38=""),"",IF(LEN(O36)&lt;=M38,O36,IFERROR(LEFT(O36,FIND("♦",SUBSTITUTE(LEFT(O36,M38+1)," ","♦",LEN(LEFT(O36,M38+1))-LEN(SUBSTITUTE(LEFT(O36,M38+1)," ",""))))),LEFT(O36,IFERROR(FIND(" ",O36)-1,LEN(O36))))))</f>
        <v/>
      </c>
      <c r="O37" s="5380" t="str">
        <f>IF(N37="","",TRIM(RIGHT(O36,LEN(O36)-LEN(N37))))</f>
        <v/>
      </c>
      <c r="P37" s="5381" t="str">
        <f t="shared" ref="P37:P41" si="12">"ligne "&amp;ROW()&amp;" ►"</f>
        <v>ligne 37 ►</v>
      </c>
      <c r="Q37" s="5362" t="str">
        <f>IF(D37="","",IF(OR(D37=0,D37&lt;J17),0,IF(D37&gt;J17,(D37-J17)&amp;" car. en trop",(D37-J17)&amp;" car.")))</f>
        <v>71 car. en trop</v>
      </c>
      <c r="R37" s="5373" t="str">
        <f>IF(D37="","",ROUNDUP(D37/J17,0)&amp;" ligne(s)")</f>
        <v>2 ligne(s)</v>
      </c>
      <c r="T37" s="3">
        <v>1</v>
      </c>
    </row>
    <row r="38" spans="2:20" ht="15.75">
      <c r="B38" s="104" t="str">
        <f t="shared" si="6"/>
        <v>A</v>
      </c>
      <c r="C38" s="5363" t="str">
        <f t="shared" si="4"/>
        <v>22 mots</v>
      </c>
      <c r="D38" s="5364">
        <f t="shared" si="11"/>
        <v>132</v>
      </c>
      <c r="E38" s="555" t="s">
        <v>13575</v>
      </c>
      <c r="F38" s="5366" t="str">
        <f t="shared" si="5"/>
        <v xml:space="preserve"> ◄ ligne 38</v>
      </c>
      <c r="G38" s="5363" t="str">
        <f t="shared" si="7"/>
        <v>12 mots</v>
      </c>
      <c r="H38" s="5367" t="str">
        <f t="shared" si="8"/>
        <v>73 car. ►</v>
      </c>
      <c r="I38" s="5368" t="str">
        <f>IF(LEN(TRIM(N38))&gt;0,MAX(I29:I37)+1,"")</f>
        <v/>
      </c>
      <c r="J38" s="199" t="str">
        <f>IFERROR(INDEX(N30:N299,MATCH(ROW()-ROW(N30)+1,I30:I299,0)),"")</f>
        <v>faites-la dorer de tous les côtés Retirez-la de la cocotte et réservez-la</v>
      </c>
      <c r="K38" s="5361"/>
      <c r="L38" s="5354"/>
      <c r="M38" s="5376">
        <f>J17</f>
        <v>100</v>
      </c>
      <c r="N38" s="5380" t="str">
        <f>IF(OR(O37="",M38=""),"",IF(LEN(O37)&lt;=M38,O37,IFERROR(LEFT(O37,FIND("♦",SUBSTITUTE(LEFT(O37,M38+1)," ","♦",LEN(LEFT(O37,M38+1))-LEN(SUBSTITUTE(LEFT(O37,M38+1)," ",""))))),LEFT(O37,IFERROR(FIND(" ",O37)-1,LEN(O37))))))</f>
        <v/>
      </c>
      <c r="O38" s="5380" t="str">
        <f t="shared" ref="O38:O41" si="13">IF(N38="","",TRIM(RIGHT(O37,LEN(O37)-LEN(N38))))</f>
        <v/>
      </c>
      <c r="P38" s="5381" t="str">
        <f t="shared" si="12"/>
        <v>ligne 38 ►</v>
      </c>
      <c r="Q38" s="5362" t="str">
        <f>IF(D38="","",IF(OR(D38=0,D38&lt;J17),0,IF(D38&gt;J17,(D38-J17)&amp;" car. en trop",(D38-J17)&amp;" car.")))</f>
        <v>32 car. en trop</v>
      </c>
      <c r="R38" s="5373" t="str">
        <f>IF(D38="","",ROUNDUP(D38/J17,0)&amp;" ligne(s)")</f>
        <v>2 ligne(s)</v>
      </c>
      <c r="T38" s="3">
        <v>1</v>
      </c>
    </row>
    <row r="39" spans="2:20" ht="15.75">
      <c r="B39" s="104" t="str">
        <f t="shared" si="6"/>
        <v>A</v>
      </c>
      <c r="C39" s="5363" t="str">
        <f t="shared" si="4"/>
        <v>25 mots</v>
      </c>
      <c r="D39" s="5364">
        <f t="shared" si="11"/>
        <v>154</v>
      </c>
      <c r="E39" s="555" t="s">
        <v>13576</v>
      </c>
      <c r="F39" s="5374" t="str">
        <f t="shared" si="5"/>
        <v xml:space="preserve"> ◄ ligne 39</v>
      </c>
      <c r="G39" s="5363" t="str">
        <f t="shared" si="7"/>
        <v>16 mots</v>
      </c>
      <c r="H39" s="5367" t="str">
        <f t="shared" si="8"/>
        <v>90 car. ►</v>
      </c>
      <c r="I39" s="5368" t="str">
        <f>IF(LEN(TRIM(N39))&gt;0,MAX(I29:I38)+1,"")</f>
        <v/>
      </c>
      <c r="J39" s="199" t="str">
        <f>IFERROR(INDEX(N30:N299,MATCH(ROW()-ROW(N30)+1,I30:I299,0)),"")</f>
        <v xml:space="preserve">4 Dans la même cocotte faites revenir les légumes et les lardons pendant environ 5 minutes </v>
      </c>
      <c r="K39" s="5361"/>
      <c r="L39" s="5354"/>
      <c r="M39" s="5379"/>
      <c r="N39" s="5380" t="str">
        <f>IF(OR(O38="",M38=""),"",IF(LEN(O38)&lt;=M38,O38,IFERROR(LEFT(O38,FIND("♦",SUBSTITUTE(LEFT(O38,M38+1)," ","♦",LEN(LEFT(O38,M38+1))-LEN(SUBSTITUTE(LEFT(O38,M38+1)," ",""))))),LEFT(O38,IFERROR(FIND(" ",O38)-1,LEN(O38))))))</f>
        <v/>
      </c>
      <c r="O39" s="5380" t="str">
        <f t="shared" si="13"/>
        <v/>
      </c>
      <c r="P39" s="5381" t="str">
        <f t="shared" si="12"/>
        <v>ligne 39 ►</v>
      </c>
      <c r="Q39" s="5362" t="str">
        <f>IF(D39="","",IF(OR(D39=0,D39&lt;J17),0,IF(D39&gt;J17,(D39-J17)&amp;" car. en trop",(D39-J17)&amp;" car.")))</f>
        <v>54 car. en trop</v>
      </c>
      <c r="R39" s="5373" t="str">
        <f>IF(D39="","",ROUNDUP(D39/J17,0)&amp;" ligne(s)")</f>
        <v>2 ligne(s)</v>
      </c>
      <c r="T39" s="3">
        <v>1</v>
      </c>
    </row>
    <row r="40" spans="2:20" ht="15.75">
      <c r="B40" s="104" t="str">
        <f t="shared" si="6"/>
        <v>A</v>
      </c>
      <c r="C40" s="5363" t="str">
        <f t="shared" si="4"/>
        <v>33 mots</v>
      </c>
      <c r="D40" s="5364">
        <f t="shared" si="11"/>
        <v>179</v>
      </c>
      <c r="E40" s="555" t="s">
        <v>13577</v>
      </c>
      <c r="F40" s="5366" t="str">
        <f t="shared" si="5"/>
        <v xml:space="preserve"> ◄ ligne 40</v>
      </c>
      <c r="G40" s="5363" t="str">
        <f t="shared" si="7"/>
        <v>6 mots</v>
      </c>
      <c r="H40" s="5367" t="str">
        <f t="shared" si="8"/>
        <v>37 car. ►</v>
      </c>
      <c r="I40" s="5368" t="str">
        <f>IF(LEN(TRIM(N40))&gt;0,MAX(I29:I39)+1,"")</f>
        <v/>
      </c>
      <c r="J40" s="199" t="str">
        <f>IFERROR(INDEX(N30:N299,MATCH(ROW()-ROW(N30)+1,I30:I299,0)),"")</f>
        <v>Saupoudrez de farine et mélangez bien</v>
      </c>
      <c r="K40" s="5361"/>
      <c r="L40" s="5354"/>
      <c r="M40" s="5382"/>
      <c r="N40" s="5380" t="str">
        <f>IF(OR(O39="",M38=""),"",IF(LEN(O39)&lt;=M38,O39,IFERROR(LEFT(O39,FIND("♦",SUBSTITUTE(LEFT(O39,M38+1)," ","♦",LEN(LEFT(O39,M38+1))-LEN(SUBSTITUTE(LEFT(O39,M38+1)," ",""))))),LEFT(O39,IFERROR(FIND(" ",O39)-1,LEN(O39))))))</f>
        <v/>
      </c>
      <c r="O40" s="5380" t="str">
        <f t="shared" si="13"/>
        <v/>
      </c>
      <c r="P40" s="5381" t="str">
        <f t="shared" si="12"/>
        <v>ligne 40 ►</v>
      </c>
      <c r="Q40" s="5362" t="str">
        <f>IF(D40="","",IF(OR(D40=0,D40&lt;J17),0,IF(D40&gt;J17,(D40-J17)&amp;" car. en trop",(D40-J17)&amp;" car.")))</f>
        <v>79 car. en trop</v>
      </c>
      <c r="R40" s="5373" t="str">
        <f>IF(D40="","",ROUNDUP(D40/J17,0)&amp;" ligne(s)")</f>
        <v>2 ligne(s)</v>
      </c>
      <c r="T40" s="3">
        <v>1</v>
      </c>
    </row>
    <row r="41" spans="2:20" ht="15.75">
      <c r="B41" s="104" t="str">
        <f t="shared" si="6"/>
        <v>A</v>
      </c>
      <c r="C41" s="5363" t="str">
        <f t="shared" si="4"/>
        <v>20 mots</v>
      </c>
      <c r="D41" s="5364">
        <f t="shared" si="11"/>
        <v>121</v>
      </c>
      <c r="E41" s="555" t="s">
        <v>13578</v>
      </c>
      <c r="F41" s="5374" t="str">
        <f t="shared" si="5"/>
        <v xml:space="preserve"> ◄ ligne 41</v>
      </c>
      <c r="G41" s="5363" t="str">
        <f t="shared" si="7"/>
        <v>17 mots</v>
      </c>
      <c r="H41" s="5367" t="str">
        <f t="shared" si="8"/>
        <v>97 car. ►</v>
      </c>
      <c r="I41" s="5368" t="str">
        <f>IF(LEN(TRIM(N41))&gt;0,MAX(I29:I40)+1,"")</f>
        <v/>
      </c>
      <c r="J41" s="199" t="str">
        <f>IFERROR(INDEX(N30:N299,MATCH(ROW()-ROW(N30)+1,I30:I299,0)),"")</f>
        <v xml:space="preserve">5 Remettez la viande dans la cocotte et versez la marinade filtrée par-dessus Ajoutez de l’eau si </v>
      </c>
      <c r="K41" s="5361"/>
      <c r="L41" s="5354"/>
      <c r="M41" s="5383"/>
      <c r="N41" s="5380" t="str">
        <f>IF(OR(O40="",M38=""),"",IF(LEN(O40)&lt;=M38,O40,IFERROR(LEFT(O40,FIND("♦",SUBSTITUTE(LEFT(O40,M38+1)," ","♦",LEN(LEFT(O40,M38+1))-LEN(SUBSTITUTE(LEFT(O40,M38+1)," ",""))))),LEFT(O40,IFERROR(FIND(" ",O40)-1,LEN(O40))))))</f>
        <v/>
      </c>
      <c r="O41" s="5380" t="str">
        <f t="shared" si="13"/>
        <v/>
      </c>
      <c r="P41" s="5381" t="str">
        <f t="shared" si="12"/>
        <v>ligne 41 ►</v>
      </c>
      <c r="Q41" s="5362" t="str">
        <f>IF(D41="","",IF(OR(D41=0,D41&lt;J17),0,IF(D41&gt;J17,(D41-J17)&amp;" car. en trop",(D41-J17)&amp;" car.")))</f>
        <v>21 car. en trop</v>
      </c>
      <c r="R41" s="5373" t="str">
        <f>IF(D41="","",ROUNDUP(D41/J17,0)&amp;" ligne(s)")</f>
        <v>2 ligne(s)</v>
      </c>
      <c r="T41" s="3">
        <v>1</v>
      </c>
    </row>
    <row r="42" spans="2:20" ht="15.75">
      <c r="B42" s="104" t="str">
        <f t="shared" si="6"/>
        <v>A</v>
      </c>
      <c r="C42" s="5363" t="str">
        <f t="shared" si="4"/>
        <v>16 mots</v>
      </c>
      <c r="D42" s="5364">
        <f t="shared" si="11"/>
        <v>89</v>
      </c>
      <c r="E42" s="555" t="s">
        <v>13579</v>
      </c>
      <c r="F42" s="5366" t="str">
        <f t="shared" si="5"/>
        <v xml:space="preserve"> ◄ ligne 42</v>
      </c>
      <c r="G42" s="5363" t="str">
        <f t="shared" si="7"/>
        <v>8 mots</v>
      </c>
      <c r="H42" s="5367" t="str">
        <f t="shared" si="8"/>
        <v>52 car. ►</v>
      </c>
      <c r="I42" s="5368" t="str">
        <f>IF(LEN(TRIM(N42))&gt;0,MAX(I29:I41)+1,"")</f>
        <v/>
      </c>
      <c r="J42" s="199" t="str">
        <f>IFERROR(INDEX(N30:N299,MATCH(ROW()-ROW(N30)+1,I30:I299,0)),"")</f>
        <v>nécessaire pour recouvrir la viande Salez et poivrez</v>
      </c>
      <c r="K42" s="5361"/>
      <c r="L42" s="5354"/>
      <c r="M42" s="5369" t="str">
        <f>(SUBSTITUTE(SUBSTITUTE(E32,CHAR(13)&amp;CHAR(10)," "),CHAR(10)," "))</f>
        <v/>
      </c>
      <c r="N42" s="5370" t="str">
        <f>IF(OR(M43="",M44=""),"",IF(LEN(M43)&lt;=M44,M43,IFERROR(LEFT(M43,FIND("♦",SUBSTITUTE(LEFT(M43,M44+1)," ","♦",LEN(LEFT(M43,M44+1))-LEN(SUBSTITUTE(LEFT(M43,M44+1)," ",""))))),LEFT(M43,IFERROR(FIND(" ",M43)-1,LEN(M43))))))</f>
        <v/>
      </c>
      <c r="O42" s="5371" t="str">
        <f>IF(N42="","",TRIM(RIGHT(M43,LEN(M43)-LEN(N42))))</f>
        <v/>
      </c>
      <c r="P42" s="5372" t="str">
        <f>F32</f>
        <v xml:space="preserve"> ◄ ligne 32</v>
      </c>
      <c r="Q42" s="5362">
        <f>IF(D42="","",IF(OR(D42=0,D42&lt;J17),0,IF(D42&gt;J17,(D42-J17)&amp;" car. en trop",(D42-J17)&amp;" car.")))</f>
        <v>0</v>
      </c>
      <c r="R42" s="5373" t="str">
        <f>IF(D42="","",ROUNDUP(D42/J17,0)&amp;" ligne(s)")</f>
        <v>1 ligne(s)</v>
      </c>
      <c r="T42" s="3">
        <v>1</v>
      </c>
    </row>
    <row r="43" spans="2:20" ht="15.75">
      <c r="B43" s="104" t="str">
        <f t="shared" si="6"/>
        <v>A</v>
      </c>
      <c r="C43" s="5363" t="str">
        <f t="shared" si="4"/>
        <v>17 mots</v>
      </c>
      <c r="D43" s="5364">
        <f t="shared" si="11"/>
        <v>91</v>
      </c>
      <c r="E43" s="555" t="s">
        <v>13580</v>
      </c>
      <c r="F43" s="5374" t="str">
        <f t="shared" si="5"/>
        <v xml:space="preserve"> ◄ ligne 43</v>
      </c>
      <c r="G43" s="5363" t="str">
        <f t="shared" si="7"/>
        <v>19 mots</v>
      </c>
      <c r="H43" s="5367" t="str">
        <f t="shared" si="8"/>
        <v>99 car. ►</v>
      </c>
      <c r="I43" s="5368" t="str">
        <f>IF(LEN(TRIM(N43))&gt;0,MAX(I29:I42)+1,"")</f>
        <v/>
      </c>
      <c r="J43" s="199" t="str">
        <f>IFERROR(INDEX(N30:N299,MATCH(ROW()-ROW(N30)+1,I30:I299,0)),"")</f>
        <v xml:space="preserve">6 Portez à ébullition puis baissez le feu et laissez mijoter à feu doux pendant environ 3 heures en </v>
      </c>
      <c r="K43" s="5361"/>
      <c r="L43" s="5354"/>
      <c r="M43" s="5370" t="str">
        <f>TRIM(SUBSTITUTE(SUBSTITUTE(SUBSTITUTE(SUBSTITUTE(IF(OR(LEFT(M42,1)="-",LEFT(M42,1)="="),MID(M42,2,9999),M42),CHAR(160)," "),","," "),";"," "),"."," "))</f>
        <v/>
      </c>
      <c r="N43" s="5371" t="str">
        <f>IF(OR(O42="",M44=""),"",IF(LEN(O42)&lt;=M44,O42,IFERROR(LEFT(O42,FIND("♦",SUBSTITUTE(LEFT(O42,M44+1)," ","♦",LEN(LEFT(O42,M44+1))-LEN(SUBSTITUTE(LEFT(O42,M44+1)," ",""))))),LEFT(O42,IFERROR(FIND(" ",O42)-1,LEN(O42))))))</f>
        <v/>
      </c>
      <c r="O43" s="5371" t="str">
        <f>IF(N43="","",TRIM(RIGHT(O42,LEN(O42)-LEN(N43))))</f>
        <v/>
      </c>
      <c r="P43" s="5375" t="str">
        <f t="shared" ref="P43:P47" si="14">"ligne "&amp;ROW()&amp;" ►"</f>
        <v>ligne 43 ►</v>
      </c>
      <c r="Q43" s="5362">
        <f>IF(D43="","",IF(OR(D43=0,D43&lt;J17),0,IF(D43&gt;J17,(D43-J17)&amp;" car. en trop",(D43-J17)&amp;" car.")))</f>
        <v>0</v>
      </c>
      <c r="R43" s="5373" t="str">
        <f>IF(D43="","",ROUNDUP(D43/J17,0)&amp;" ligne(s)")</f>
        <v>1 ligne(s)</v>
      </c>
      <c r="T43" s="3">
        <v>1</v>
      </c>
    </row>
    <row r="44" spans="2:20" ht="15.75">
      <c r="B44" s="104" t="str">
        <f t="shared" si="6"/>
        <v>A</v>
      </c>
      <c r="C44" s="5363" t="str">
        <f t="shared" si="4"/>
        <v/>
      </c>
      <c r="D44" s="5364" t="str">
        <f t="shared" si="11"/>
        <v/>
      </c>
      <c r="E44" s="555"/>
      <c r="F44" s="5366" t="str">
        <f t="shared" si="5"/>
        <v xml:space="preserve"> ◄ ligne 44</v>
      </c>
      <c r="G44" s="5363" t="str">
        <f t="shared" si="7"/>
        <v>14 mots</v>
      </c>
      <c r="H44" s="5367" t="str">
        <f t="shared" si="8"/>
        <v>74 car. ►</v>
      </c>
      <c r="I44" s="5368" t="str">
        <f>IF(LEN(TRIM(N44))&gt;0,MAX(I29:I43)+1,"")</f>
        <v/>
      </c>
      <c r="J44" s="199" t="str">
        <f>IFERROR(INDEX(N30:N299,MATCH(ROW()-ROW(N30)+1,I30:I299,0)),"")</f>
        <v>remuant de temps en temps La viande doit être tendre et la sauce onctueuse</v>
      </c>
      <c r="K44" s="5361"/>
      <c r="L44" s="5354"/>
      <c r="M44" s="5376">
        <f>J17</f>
        <v>100</v>
      </c>
      <c r="N44" s="5371" t="str">
        <f>IF(OR(O43="",M44=""),"",IF(LEN(O43)&lt;=M44,O43,IFERROR(LEFT(O43,FIND("♦",SUBSTITUTE(LEFT(O43,M44+1)," ","♦",LEN(LEFT(O43,M44+1))-LEN(SUBSTITUTE(LEFT(O43,M44+1)," ",""))))),LEFT(O43,IFERROR(FIND(" ",O43)-1,LEN(O43))))))</f>
        <v/>
      </c>
      <c r="O44" s="5371" t="str">
        <f t="shared" ref="O44:O47" si="15">IF(N44="","",TRIM(RIGHT(O43,LEN(O43)-LEN(N44))))</f>
        <v/>
      </c>
      <c r="P44" s="5375" t="str">
        <f t="shared" si="14"/>
        <v>ligne 44 ►</v>
      </c>
      <c r="Q44" s="5362" t="str">
        <f>IF(D44="","",IF(OR(D44=0,D44&lt;J17),0,IF(D44&gt;J17,(D44-J17)&amp;" car. en trop",(D44-J17)&amp;" car.")))</f>
        <v/>
      </c>
      <c r="R44" s="5373" t="str">
        <f>IF(D44="","",ROUNDUP(D44/J17,0)&amp;" ligne(s)")</f>
        <v/>
      </c>
      <c r="T44" s="3">
        <v>1</v>
      </c>
    </row>
    <row r="45" spans="2:20" ht="15.75">
      <c r="B45" s="104" t="str">
        <f t="shared" si="6"/>
        <v>A</v>
      </c>
      <c r="C45" s="5363" t="str">
        <f t="shared" si="4"/>
        <v/>
      </c>
      <c r="D45" s="5364" t="str">
        <f t="shared" si="11"/>
        <v/>
      </c>
      <c r="E45" s="555"/>
      <c r="F45" s="5374" t="str">
        <f t="shared" si="5"/>
        <v xml:space="preserve"> ◄ ligne 45</v>
      </c>
      <c r="G45" s="5363" t="str">
        <f t="shared" si="7"/>
        <v>17 mots</v>
      </c>
      <c r="H45" s="5367" t="str">
        <f t="shared" si="8"/>
        <v>100 car. ►</v>
      </c>
      <c r="I45" s="5368" t="str">
        <f>IF(LEN(TRIM(N45))&gt;0,MAX(I29:I44)+1,"")</f>
        <v/>
      </c>
      <c r="J45" s="199" t="str">
        <f>IFERROR(INDEX(N30:N299,MATCH(ROW()-ROW(N30)+1,I30:I299,0)),"")</f>
        <v xml:space="preserve">7 Pendant ce temps faites revenir les champignons dans une poêle avec un peu d’huile d’olive pendant </v>
      </c>
      <c r="K45" s="5361"/>
      <c r="L45" s="5354"/>
      <c r="M45" s="5370"/>
      <c r="N45" s="5371" t="str">
        <f>IF(OR(O44="",M44=""),"",IF(LEN(O44)&lt;=M44,O44,IFERROR(LEFT(O44,FIND("♦",SUBSTITUTE(LEFT(O44,M44+1)," ","♦",LEN(LEFT(O44,M44+1))-LEN(SUBSTITUTE(LEFT(O44,M44+1)," ",""))))),LEFT(O44,IFERROR(FIND(" ",O44)-1,LEN(O44))))))</f>
        <v/>
      </c>
      <c r="O45" s="5371" t="str">
        <f t="shared" si="15"/>
        <v/>
      </c>
      <c r="P45" s="5375" t="str">
        <f t="shared" si="14"/>
        <v>ligne 45 ►</v>
      </c>
      <c r="Q45" s="5362" t="str">
        <f>IF(D45="","",IF(OR(D45=0,D45&lt;J17),0,IF(D45&gt;J17,(D45-J17)&amp;" car. en trop",(D45-J17)&amp;" car.")))</f>
        <v/>
      </c>
      <c r="R45" s="5373" t="str">
        <f>IF(D45="","",ROUNDUP(D45/J17,0)&amp;" ligne(s)")</f>
        <v/>
      </c>
      <c r="T45" s="3">
        <v>1</v>
      </c>
    </row>
    <row r="46" spans="2:20" ht="15.75">
      <c r="B46" s="104" t="str">
        <f t="shared" si="6"/>
        <v>A</v>
      </c>
      <c r="C46" s="5363" t="str">
        <f t="shared" si="4"/>
        <v/>
      </c>
      <c r="D46" s="5364" t="str">
        <f t="shared" si="11"/>
        <v/>
      </c>
      <c r="E46" s="555"/>
      <c r="F46" s="5366" t="str">
        <f t="shared" si="5"/>
        <v xml:space="preserve"> ◄ ligne 46</v>
      </c>
      <c r="G46" s="5363" t="str">
        <f t="shared" si="7"/>
        <v>3 mots</v>
      </c>
      <c r="H46" s="5367" t="str">
        <f t="shared" si="8"/>
        <v>17 car. ►</v>
      </c>
      <c r="I46" s="5368" t="str">
        <f>IF(LEN(TRIM(N46))&gt;0,MAX(I29:I45)+1,"")</f>
        <v/>
      </c>
      <c r="J46" s="199" t="str">
        <f>IFERROR(INDEX(N30:N299,MATCH(ROW()-ROW(N30)+1,I30:I299,0)),"")</f>
        <v>environ 5 minutes</v>
      </c>
      <c r="K46" s="5361"/>
      <c r="L46" s="5354"/>
      <c r="M46" s="5377"/>
      <c r="N46" s="5371" t="str">
        <f>IF(OR(O45="",M44=""),"",IF(LEN(O45)&lt;=M44,O45,IFERROR(LEFT(O45,FIND("♦",SUBSTITUTE(LEFT(O45,M44+1)," ","♦",LEN(LEFT(O45,M44+1))-LEN(SUBSTITUTE(LEFT(O45,M44+1)," ",""))))),LEFT(O45,IFERROR(FIND(" ",O45)-1,LEN(O45))))))</f>
        <v/>
      </c>
      <c r="O46" s="5371" t="str">
        <f t="shared" si="15"/>
        <v/>
      </c>
      <c r="P46" s="5375" t="str">
        <f t="shared" si="14"/>
        <v>ligne 46 ►</v>
      </c>
      <c r="Q46" s="5362" t="str">
        <f>IF(D46="","",IF(OR(D46=0,D46&lt;J17),0,IF(D46&gt;J17,(D46-J17)&amp;" car. en trop",(D46-J17)&amp;" car.")))</f>
        <v/>
      </c>
      <c r="R46" s="5373" t="str">
        <f>IF(D46="","",ROUNDUP(D46/J17,0)&amp;" ligne(s)")</f>
        <v/>
      </c>
      <c r="T46" s="3">
        <v>1</v>
      </c>
    </row>
    <row r="47" spans="2:20" ht="15.75">
      <c r="B47" s="104" t="str">
        <f t="shared" si="6"/>
        <v>A</v>
      </c>
      <c r="C47" s="5363" t="str">
        <f t="shared" si="4"/>
        <v/>
      </c>
      <c r="D47" s="5364" t="str">
        <f t="shared" si="11"/>
        <v/>
      </c>
      <c r="E47" s="555"/>
      <c r="F47" s="5374" t="str">
        <f t="shared" si="5"/>
        <v xml:space="preserve"> ◄ ligne 47</v>
      </c>
      <c r="G47" s="5363" t="str">
        <f t="shared" si="7"/>
        <v>16 mots</v>
      </c>
      <c r="H47" s="5367" t="str">
        <f t="shared" si="8"/>
        <v>87 car. ►</v>
      </c>
      <c r="I47" s="5368" t="str">
        <f>IF(LEN(TRIM(N47))&gt;0,MAX(I29:I46)+1,"")</f>
        <v/>
      </c>
      <c r="J47" s="199" t="str">
        <f>IFERROR(INDEX(N30:N299,MATCH(ROW()-ROW(N30)+1,I30:I299,0)),"")</f>
        <v>8 Ajoutez les champignons dans la cocotte environ 30 minutes avant la fin de la cuisson</v>
      </c>
      <c r="K47" s="5361"/>
      <c r="L47" s="5354"/>
      <c r="M47" s="5378"/>
      <c r="N47" s="5371" t="str">
        <f>IF(OR(O46="",M44=""),"",IF(LEN(O46)&lt;=M44,O46,IFERROR(LEFT(O46,FIND("♦",SUBSTITUTE(LEFT(O46,M44+1)," ","♦",LEN(LEFT(O46,M44+1))-LEN(SUBSTITUTE(LEFT(O46,M44+1)," ",""))))),LEFT(O46,IFERROR(FIND(" ",O46)-1,LEN(O46))))))</f>
        <v/>
      </c>
      <c r="O47" s="5371" t="str">
        <f t="shared" si="15"/>
        <v/>
      </c>
      <c r="P47" s="5375" t="str">
        <f t="shared" si="14"/>
        <v>ligne 47 ►</v>
      </c>
      <c r="Q47" s="5362" t="str">
        <f>IF(D47="","",IF(OR(D47=0,D47&lt;J17),0,IF(D47&gt;J17,(D47-J17)&amp;" car. en trop",(D47-J17)&amp;" car.")))</f>
        <v/>
      </c>
      <c r="R47" s="5373" t="str">
        <f>IF(D47="","",ROUNDUP(D47/J17,0)&amp;" ligne(s)")</f>
        <v/>
      </c>
      <c r="T47" s="3">
        <v>1</v>
      </c>
    </row>
    <row r="48" spans="2:20" ht="15.75">
      <c r="B48" s="104" t="str">
        <f t="shared" si="6"/>
        <v>A</v>
      </c>
      <c r="C48" s="5363" t="str">
        <f t="shared" si="4"/>
        <v/>
      </c>
      <c r="D48" s="5364" t="str">
        <f t="shared" si="11"/>
        <v/>
      </c>
      <c r="E48" s="555"/>
      <c r="F48" s="5366" t="str">
        <f t="shared" si="5"/>
        <v xml:space="preserve"> ◄ ligne 48</v>
      </c>
      <c r="G48" s="5363" t="str">
        <f t="shared" si="7"/>
        <v>17 mots</v>
      </c>
      <c r="H48" s="5367" t="str">
        <f t="shared" si="8"/>
        <v>88 car. ►</v>
      </c>
      <c r="I48" s="5368">
        <f>IF(LEN(TRIM(N48))&gt;0,MAX(I29:I47)+1,"")</f>
        <v>3</v>
      </c>
      <c r="J48" s="199" t="str">
        <f>IFERROR(INDEX(N30:N299,MATCH(ROW()-ROW(N30)+1,I30:I299,0)),"")</f>
        <v>9 Servez le bœuf bourguignon bien chaud accompagné de pommes de terre de pâtes ou de riz</v>
      </c>
      <c r="K48" s="5361"/>
      <c r="L48" s="5354"/>
      <c r="M48" s="5369" t="str">
        <f>(SUBSTITUTE(SUBSTITUTE(E33,CHAR(13)&amp;CHAR(10)," "),CHAR(10)," "))</f>
        <v>Portez à ébullition, puis baissez le feu et</v>
      </c>
      <c r="N48" s="5379" t="str">
        <f>IF(OR(M49="",M50=""),"",IF(LEN(M49)&lt;=M50,M49,IFERROR(LEFT(M49,FIND("♦",SUBSTITUTE(LEFT(M49,M50+1)," ","♦",LEN(LEFT(M49,M50+1))-LEN(SUBSTITUTE(LEFT(M49,M50+1)," ",""))))),LEFT(M49,IFERROR(FIND(" ",M49)-1,LEN(M49))))))</f>
        <v>Portez à ébullition puis baissez le feu et</v>
      </c>
      <c r="O48" s="5380" t="str">
        <f>IF(N48="","",TRIM(RIGHT(M49,LEN(M49)-LEN(N48))))</f>
        <v/>
      </c>
      <c r="P48" s="5372" t="str">
        <f>F33</f>
        <v xml:space="preserve"> ◄ ligne 33</v>
      </c>
      <c r="Q48" s="5362" t="str">
        <f>IF(D48="","",IF(OR(D48=0,D48&lt;J17),0,IF(D48&gt;J17,(D48-J17)&amp;" car. en trop",(D48-J17)&amp;" car.")))</f>
        <v/>
      </c>
      <c r="R48" s="5373" t="str">
        <f>IF(D48="","",ROUNDUP(D48/J17,0)&amp;" ligne(s)")</f>
        <v/>
      </c>
      <c r="T48" s="3">
        <v>1</v>
      </c>
    </row>
    <row r="49" spans="2:20" ht="15.75">
      <c r="B49" s="104" t="str">
        <f t="shared" si="6"/>
        <v>►</v>
      </c>
      <c r="C49" s="5363" t="str">
        <f t="shared" si="4"/>
        <v/>
      </c>
      <c r="D49" s="5364" t="str">
        <f t="shared" si="11"/>
        <v/>
      </c>
      <c r="E49" s="555"/>
      <c r="F49" s="5374" t="str">
        <f t="shared" si="5"/>
        <v xml:space="preserve"> ◄ ligne 49</v>
      </c>
      <c r="G49" s="5363" t="str">
        <f t="shared" si="7"/>
        <v/>
      </c>
      <c r="H49" s="5367" t="str">
        <f t="shared" si="8"/>
        <v/>
      </c>
      <c r="I49" s="5368" t="str">
        <f>IF(LEN(TRIM(N49))&gt;0,MAX(I29:I48)+1,"")</f>
        <v/>
      </c>
      <c r="J49" s="199" t="str">
        <f>IFERROR(INDEX(N30:N299,MATCH(ROW()-ROW(N30)+1,I30:I299,0)),"")</f>
        <v/>
      </c>
      <c r="K49" s="5361"/>
      <c r="L49" s="5354"/>
      <c r="M49" s="5379" t="str">
        <f>TRIM(SUBSTITUTE(SUBSTITUTE(SUBSTITUTE(SUBSTITUTE(IF(OR(LEFT(M48,1)="-",LEFT(M48,1)="="),MID(M48,2,9999),M48),CHAR(160)," "),","," "),";"," "),"."," "))</f>
        <v>Portez à ébullition puis baissez le feu et</v>
      </c>
      <c r="N49" s="5380" t="str">
        <f>IF(OR(O48="",M50=""),"",IF(LEN(O48)&lt;=M50,O48,IFERROR(LEFT(O48,FIND("♦",SUBSTITUTE(LEFT(O48,M50+1)," ","♦",LEN(LEFT(O48,M50+1))-LEN(SUBSTITUTE(LEFT(O48,M50+1)," ",""))))),LEFT(O48,IFERROR(FIND(" ",O48)-1,LEN(O48))))))</f>
        <v/>
      </c>
      <c r="O49" s="5380" t="str">
        <f>IF(N49="","",TRIM(RIGHT(O48,LEN(O48)-LEN(N49))))</f>
        <v/>
      </c>
      <c r="P49" s="5381" t="str">
        <f t="shared" ref="P49:P53" si="16">"ligne "&amp;ROW()&amp;" ►"</f>
        <v>ligne 49 ►</v>
      </c>
      <c r="Q49" s="5362" t="str">
        <f>IF(D49="","",IF(OR(D49=0,D49&lt;J17),0,IF(D49&gt;J17,(D49-J17)&amp;" car. en trop",(D49-J17)&amp;" car.")))</f>
        <v/>
      </c>
      <c r="R49" s="5373" t="str">
        <f>IF(D49="","",ROUNDUP(D49/J17,0)&amp;" ligne(s)")</f>
        <v/>
      </c>
      <c r="T49" s="3">
        <v>1</v>
      </c>
    </row>
    <row r="50" spans="2:20" ht="15.75">
      <c r="B50" s="104" t="str">
        <f t="shared" si="6"/>
        <v>►</v>
      </c>
      <c r="C50" s="5363" t="str">
        <f t="shared" si="4"/>
        <v/>
      </c>
      <c r="D50" s="5364" t="str">
        <f t="shared" si="11"/>
        <v/>
      </c>
      <c r="E50" s="555"/>
      <c r="F50" s="5366" t="str">
        <f t="shared" si="5"/>
        <v xml:space="preserve"> ◄ ligne 50</v>
      </c>
      <c r="G50" s="5363" t="str">
        <f t="shared" si="7"/>
        <v/>
      </c>
      <c r="H50" s="5367" t="str">
        <f t="shared" si="8"/>
        <v/>
      </c>
      <c r="I50" s="5368" t="str">
        <f>IF(LEN(TRIM(N50))&gt;0,MAX(I29:I49)+1,"")</f>
        <v/>
      </c>
      <c r="J50" s="199" t="str">
        <f>IFERROR(INDEX(N30:N299,MATCH(ROW()-ROW(N30)+1,I30:I299,0)),"")</f>
        <v/>
      </c>
      <c r="K50" s="5361"/>
      <c r="L50" s="5354"/>
      <c r="M50" s="5376">
        <f>J17</f>
        <v>100</v>
      </c>
      <c r="N50" s="5380" t="str">
        <f>IF(OR(O49="",M50=""),"",IF(LEN(O49)&lt;=M50,O49,IFERROR(LEFT(O49,FIND("♦",SUBSTITUTE(LEFT(O49,M50+1)," ","♦",LEN(LEFT(O49,M50+1))-LEN(SUBSTITUTE(LEFT(O49,M50+1)," ",""))))),LEFT(O49,IFERROR(FIND(" ",O49)-1,LEN(O49))))))</f>
        <v/>
      </c>
      <c r="O50" s="5380" t="str">
        <f t="shared" ref="O50:O53" si="17">IF(N50="","",TRIM(RIGHT(O49,LEN(O49)-LEN(N50))))</f>
        <v/>
      </c>
      <c r="P50" s="5381" t="str">
        <f t="shared" si="16"/>
        <v>ligne 50 ►</v>
      </c>
      <c r="Q50" s="5362" t="str">
        <f>IF(D50="","",IF(OR(D50=0,D50&lt;J17),0,IF(D50&gt;J17,(D50-J17)&amp;" car. en trop",(D50-J17)&amp;" car.")))</f>
        <v/>
      </c>
      <c r="R50" s="5373" t="str">
        <f>IF(D50="","",ROUNDUP(D50/J17,0)&amp;" ligne(s)")</f>
        <v/>
      </c>
      <c r="T50" s="3">
        <v>1</v>
      </c>
    </row>
    <row r="51" spans="2:20" ht="15.75">
      <c r="B51" s="104" t="str">
        <f t="shared" si="6"/>
        <v>►</v>
      </c>
      <c r="C51" s="5363" t="str">
        <f t="shared" si="4"/>
        <v/>
      </c>
      <c r="D51" s="5364" t="str">
        <f t="shared" si="11"/>
        <v/>
      </c>
      <c r="E51" s="555"/>
      <c r="F51" s="5374" t="str">
        <f t="shared" si="5"/>
        <v xml:space="preserve"> ◄ ligne 51</v>
      </c>
      <c r="G51" s="5363" t="str">
        <f t="shared" si="7"/>
        <v/>
      </c>
      <c r="H51" s="5367" t="str">
        <f t="shared" si="8"/>
        <v/>
      </c>
      <c r="I51" s="5368" t="str">
        <f>IF(LEN(TRIM(N51))&gt;0,MAX(I29:I50)+1,"")</f>
        <v/>
      </c>
      <c r="J51" s="199" t="str">
        <f>IFERROR(INDEX(N30:N299,MATCH(ROW()-ROW(N30)+1,I30:I299,0)),"")</f>
        <v/>
      </c>
      <c r="K51" s="5361"/>
      <c r="L51" s="5354"/>
      <c r="M51" s="5379"/>
      <c r="N51" s="5380" t="str">
        <f>IF(OR(O50="",M50=""),"",IF(LEN(O50)&lt;=M50,O50,IFERROR(LEFT(O50,FIND("♦",SUBSTITUTE(LEFT(O50,M50+1)," ","♦",LEN(LEFT(O50,M50+1))-LEN(SUBSTITUTE(LEFT(O50,M50+1)," ",""))))),LEFT(O50,IFERROR(FIND(" ",O50)-1,LEN(O50))))))</f>
        <v/>
      </c>
      <c r="O51" s="5380" t="str">
        <f t="shared" si="17"/>
        <v/>
      </c>
      <c r="P51" s="5381" t="str">
        <f t="shared" si="16"/>
        <v>ligne 51 ►</v>
      </c>
      <c r="Q51" s="5362" t="str">
        <f>IF(D51="","",IF(OR(D51=0,D51&lt;J17),0,IF(D51&gt;J17,(D51-J17)&amp;" car. en trop",(D51-J17)&amp;" car.")))</f>
        <v/>
      </c>
      <c r="R51" s="5373" t="str">
        <f>IF(D51="","",ROUNDUP(D51/J17,0)&amp;" ligne(s)")</f>
        <v/>
      </c>
      <c r="T51" s="3">
        <v>1</v>
      </c>
    </row>
    <row r="52" spans="2:20" ht="15.75">
      <c r="B52" s="104" t="str">
        <f t="shared" si="6"/>
        <v>►</v>
      </c>
      <c r="C52" s="5363" t="str">
        <f t="shared" si="4"/>
        <v/>
      </c>
      <c r="D52" s="5364" t="str">
        <f t="shared" si="11"/>
        <v/>
      </c>
      <c r="E52" s="555"/>
      <c r="F52" s="5366" t="str">
        <f t="shared" si="5"/>
        <v xml:space="preserve"> ◄ ligne 52</v>
      </c>
      <c r="G52" s="5363" t="str">
        <f t="shared" si="7"/>
        <v/>
      </c>
      <c r="H52" s="5367" t="str">
        <f t="shared" si="8"/>
        <v/>
      </c>
      <c r="I52" s="5368" t="str">
        <f>IF(LEN(TRIM(N52))&gt;0,MAX(I29:I51)+1,"")</f>
        <v/>
      </c>
      <c r="J52" s="199" t="str">
        <f>IFERROR(INDEX(N30:N299,MATCH(ROW()-ROW(N30)+1,I30:I299,0)),"")</f>
        <v/>
      </c>
      <c r="K52" s="5361"/>
      <c r="L52" s="5354"/>
      <c r="M52" s="5382"/>
      <c r="N52" s="5380" t="str">
        <f>IF(OR(O51="",M50=""),"",IF(LEN(O51)&lt;=M50,O51,IFERROR(LEFT(O51,FIND("♦",SUBSTITUTE(LEFT(O51,M50+1)," ","♦",LEN(LEFT(O51,M50+1))-LEN(SUBSTITUTE(LEFT(O51,M50+1)," ",""))))),LEFT(O51,IFERROR(FIND(" ",O51)-1,LEN(O51))))))</f>
        <v/>
      </c>
      <c r="O52" s="5380" t="str">
        <f t="shared" si="17"/>
        <v/>
      </c>
      <c r="P52" s="5381" t="str">
        <f t="shared" si="16"/>
        <v>ligne 52 ►</v>
      </c>
      <c r="Q52" s="5362" t="str">
        <f>IF(D52="","",IF(OR(D52=0,D52&lt;J17),0,IF(D52&gt;J17,(D52-J17)&amp;" car. en trop",(D52-J17)&amp;" car.")))</f>
        <v/>
      </c>
      <c r="R52" s="5373" t="str">
        <f>IF(D52="","",ROUNDUP(D52/J17,0)&amp;" ligne(s)")</f>
        <v/>
      </c>
      <c r="T52" s="3">
        <v>1</v>
      </c>
    </row>
    <row r="53" spans="2:20" ht="15.75">
      <c r="B53" s="104" t="str">
        <f t="shared" si="6"/>
        <v>►</v>
      </c>
      <c r="C53" s="5363" t="str">
        <f t="shared" si="4"/>
        <v/>
      </c>
      <c r="D53" s="5364" t="str">
        <f t="shared" si="11"/>
        <v/>
      </c>
      <c r="E53" s="555"/>
      <c r="F53" s="5374" t="str">
        <f t="shared" si="5"/>
        <v xml:space="preserve"> ◄ ligne 53</v>
      </c>
      <c r="G53" s="5363" t="str">
        <f t="shared" si="7"/>
        <v/>
      </c>
      <c r="H53" s="5367" t="str">
        <f t="shared" si="8"/>
        <v/>
      </c>
      <c r="I53" s="5368" t="str">
        <f>IF(LEN(TRIM(N53))&gt;0,MAX(I29:I52)+1,"")</f>
        <v/>
      </c>
      <c r="J53" s="199" t="str">
        <f>IFERROR(INDEX(N30:N299,MATCH(ROW()-ROW(N30)+1,I30:I299,0)),"")</f>
        <v/>
      </c>
      <c r="K53" s="5361"/>
      <c r="L53" s="5354"/>
      <c r="M53" s="5383"/>
      <c r="N53" s="5380" t="str">
        <f>IF(OR(O52="",M50=""),"",IF(LEN(O52)&lt;=M50,O52,IFERROR(LEFT(O52,FIND("♦",SUBSTITUTE(LEFT(O52,M50+1)," ","♦",LEN(LEFT(O52,M50+1))-LEN(SUBSTITUTE(LEFT(O52,M50+1)," ",""))))),LEFT(O52,IFERROR(FIND(" ",O52)-1,LEN(O52))))))</f>
        <v/>
      </c>
      <c r="O53" s="5380" t="str">
        <f t="shared" si="17"/>
        <v/>
      </c>
      <c r="P53" s="5381" t="str">
        <f t="shared" si="16"/>
        <v>ligne 53 ►</v>
      </c>
      <c r="Q53" s="5362" t="str">
        <f>IF(D53="","",IF(OR(D53=0,D53&lt;J17),0,IF(D53&gt;J17,(D53-J17)&amp;" car. en trop",(D53-J17)&amp;" car.")))</f>
        <v/>
      </c>
      <c r="R53" s="5373" t="str">
        <f>IF(D53="","",ROUNDUP(D53/J17,0)&amp;" ligne(s)")</f>
        <v/>
      </c>
      <c r="T53" s="3">
        <v>1</v>
      </c>
    </row>
    <row r="54" spans="2:20" ht="15.75">
      <c r="B54" s="104" t="str">
        <f t="shared" si="6"/>
        <v>►</v>
      </c>
      <c r="C54" s="5363" t="str">
        <f t="shared" si="4"/>
        <v/>
      </c>
      <c r="D54" s="5364" t="str">
        <f t="shared" si="11"/>
        <v/>
      </c>
      <c r="E54" s="555"/>
      <c r="F54" s="5366" t="str">
        <f t="shared" si="5"/>
        <v xml:space="preserve"> ◄ ligne 54</v>
      </c>
      <c r="G54" s="5363" t="str">
        <f t="shared" si="7"/>
        <v/>
      </c>
      <c r="H54" s="5367" t="str">
        <f t="shared" si="8"/>
        <v/>
      </c>
      <c r="I54" s="5368" t="str">
        <f>IF(LEN(TRIM(N54))&gt;0,MAX(I29:I53)+1,"")</f>
        <v/>
      </c>
      <c r="J54" s="199" t="str">
        <f>IFERROR(INDEX(N30:N299,MATCH(ROW()-ROW(N30)+1,I30:I299,0)),"")</f>
        <v/>
      </c>
      <c r="K54" s="5361"/>
      <c r="L54" s="5354"/>
      <c r="M54" s="5369" t="str">
        <f>(SUBSTITUTE(SUBSTITUTE(E34,CHAR(13)&amp;CHAR(10)," "),CHAR(10)," "))</f>
        <v/>
      </c>
      <c r="N54" s="5370" t="str">
        <f>IF(OR(M55="",M56=""),"",IF(LEN(M55)&lt;=M56,M55,IFERROR(LEFT(M55,FIND("♦",SUBSTITUTE(LEFT(M55,M56+1)," ","♦",LEN(LEFT(M55,M56+1))-LEN(SUBSTITUTE(LEFT(M55,M56+1)," ",""))))),LEFT(M55,IFERROR(FIND(" ",M55)-1,LEN(M55))))))</f>
        <v/>
      </c>
      <c r="O54" s="5371" t="str">
        <f>IF(N54="","",TRIM(RIGHT(M55,LEN(M55)-LEN(N54))))</f>
        <v/>
      </c>
      <c r="P54" s="5372" t="str">
        <f>F34</f>
        <v xml:space="preserve"> ◄ ligne 34</v>
      </c>
      <c r="Q54" s="5362" t="str">
        <f>IF(D54="","",IF(OR(D54=0,D54&lt;J17),0,IF(D54&gt;J17,(D54-J17)&amp;" car. en trop",(D54-J17)&amp;" car.")))</f>
        <v/>
      </c>
      <c r="R54" s="5373" t="str">
        <f>IF(D54="","",ROUNDUP(D54/J17,0)&amp;" ligne(s)")</f>
        <v/>
      </c>
      <c r="T54" s="3">
        <v>1</v>
      </c>
    </row>
    <row r="55" spans="2:20" ht="15.75">
      <c r="B55" s="104" t="str">
        <f t="shared" si="6"/>
        <v>►</v>
      </c>
      <c r="C55" s="5363" t="str">
        <f t="shared" si="4"/>
        <v/>
      </c>
      <c r="D55" s="5364" t="str">
        <f t="shared" si="11"/>
        <v/>
      </c>
      <c r="E55" s="555"/>
      <c r="F55" s="5374" t="str">
        <f t="shared" si="5"/>
        <v xml:space="preserve"> ◄ ligne 55</v>
      </c>
      <c r="G55" s="5363" t="str">
        <f t="shared" si="7"/>
        <v/>
      </c>
      <c r="H55" s="5367" t="str">
        <f t="shared" si="8"/>
        <v/>
      </c>
      <c r="I55" s="5368" t="str">
        <f>IF(LEN(TRIM(N55))&gt;0,MAX(I29:I54)+1,"")</f>
        <v/>
      </c>
      <c r="J55" s="199" t="str">
        <f>IFERROR(INDEX(N30:N299,MATCH(ROW()-ROW(N30)+1,I30:I299,0)),"")</f>
        <v/>
      </c>
      <c r="K55" s="5361"/>
      <c r="L55" s="5354"/>
      <c r="M55" s="5370" t="str">
        <f>TRIM(SUBSTITUTE(SUBSTITUTE(SUBSTITUTE(SUBSTITUTE(IF(OR(LEFT(M54,1)="-",LEFT(M54,1)="="),MID(M54,2,9999),M54),CHAR(160)," "),","," "),";"," "),"."," "))</f>
        <v/>
      </c>
      <c r="N55" s="5371" t="str">
        <f>IF(OR(O54="",M56=""),"",IF(LEN(O54)&lt;=M56,O54,IFERROR(LEFT(O54,FIND("♦",SUBSTITUTE(LEFT(O54,M56+1)," ","♦",LEN(LEFT(O54,M56+1))-LEN(SUBSTITUTE(LEFT(O54,M56+1)," ",""))))),LEFT(O54,IFERROR(FIND(" ",O54)-1,LEN(O54))))))</f>
        <v/>
      </c>
      <c r="O55" s="5371" t="str">
        <f>IF(N55="","",TRIM(RIGHT(O54,LEN(O54)-LEN(N55))))</f>
        <v/>
      </c>
      <c r="P55" s="5375" t="str">
        <f t="shared" ref="P55:P59" si="18">"ligne "&amp;ROW()&amp;" ►"</f>
        <v>ligne 55 ►</v>
      </c>
      <c r="Q55" s="5362" t="str">
        <f>IF(D55="","",IF(OR(D55=0,D55&lt;J17),0,IF(D55&gt;J17,(D55-J17)&amp;" car. en trop",(D55-J17)&amp;" car.")))</f>
        <v/>
      </c>
      <c r="R55" s="5373" t="str">
        <f>IF(D55="","",ROUNDUP(D55/J17,0)&amp;" ligne(s)")</f>
        <v/>
      </c>
      <c r="T55" s="3">
        <v>1</v>
      </c>
    </row>
    <row r="56" spans="2:20" ht="15.75">
      <c r="B56" s="104" t="str">
        <f t="shared" si="6"/>
        <v>►</v>
      </c>
      <c r="C56" s="5363" t="str">
        <f t="shared" si="4"/>
        <v/>
      </c>
      <c r="D56" s="5364" t="str">
        <f t="shared" si="11"/>
        <v/>
      </c>
      <c r="E56" s="555"/>
      <c r="F56" s="5366" t="str">
        <f t="shared" si="5"/>
        <v xml:space="preserve"> ◄ ligne 56</v>
      </c>
      <c r="G56" s="5363" t="str">
        <f t="shared" si="7"/>
        <v/>
      </c>
      <c r="H56" s="5367" t="str">
        <f t="shared" si="8"/>
        <v/>
      </c>
      <c r="I56" s="5368" t="str">
        <f>IF(LEN(TRIM(N56))&gt;0,MAX(I29:I55)+1,"")</f>
        <v/>
      </c>
      <c r="J56" s="199" t="str">
        <f>IFERROR(INDEX(N30:N299,MATCH(ROW()-ROW(N30)+1,I30:I299,0)),"")</f>
        <v/>
      </c>
      <c r="K56" s="5361"/>
      <c r="L56" s="5354"/>
      <c r="M56" s="5376">
        <f>J17</f>
        <v>100</v>
      </c>
      <c r="N56" s="5371" t="str">
        <f>IF(OR(O55="",M56=""),"",IF(LEN(O55)&lt;=M56,O55,IFERROR(LEFT(O55,FIND("♦",SUBSTITUTE(LEFT(O55,M56+1)," ","♦",LEN(LEFT(O55,M56+1))-LEN(SUBSTITUTE(LEFT(O55,M56+1)," ",""))))),LEFT(O55,IFERROR(FIND(" ",O55)-1,LEN(O55))))))</f>
        <v/>
      </c>
      <c r="O56" s="5371" t="str">
        <f t="shared" ref="O56:O59" si="19">IF(N56="","",TRIM(RIGHT(O55,LEN(O55)-LEN(N56))))</f>
        <v/>
      </c>
      <c r="P56" s="5375" t="str">
        <f t="shared" si="18"/>
        <v>ligne 56 ►</v>
      </c>
      <c r="Q56" s="5362" t="str">
        <f>IF(D56="","",IF(OR(D56=0,D56&lt;J17),0,IF(D56&gt;J17,(D56-J17)&amp;" car. en trop",(D56-J17)&amp;" car.")))</f>
        <v/>
      </c>
      <c r="R56" s="5373" t="str">
        <f>IF(D56="","",ROUNDUP(D56/J17,0)&amp;" ligne(s)")</f>
        <v/>
      </c>
      <c r="T56" s="3">
        <v>1</v>
      </c>
    </row>
    <row r="57" spans="2:20" ht="15.75">
      <c r="B57" s="104" t="str">
        <f t="shared" si="6"/>
        <v>►</v>
      </c>
      <c r="C57" s="5363" t="str">
        <f t="shared" si="4"/>
        <v/>
      </c>
      <c r="D57" s="5364" t="str">
        <f t="shared" si="11"/>
        <v/>
      </c>
      <c r="E57" s="555"/>
      <c r="F57" s="5374" t="str">
        <f t="shared" si="5"/>
        <v xml:space="preserve"> ◄ ligne 57</v>
      </c>
      <c r="G57" s="5363" t="str">
        <f t="shared" si="7"/>
        <v/>
      </c>
      <c r="H57" s="5367" t="str">
        <f t="shared" si="8"/>
        <v/>
      </c>
      <c r="I57" s="5368" t="str">
        <f>IF(LEN(TRIM(N57))&gt;0,MAX(I29:I56)+1,"")</f>
        <v/>
      </c>
      <c r="J57" s="199" t="str">
        <f>IFERROR(INDEX(N30:N299,MATCH(ROW()-ROW(N30)+1,I30:I299,0)),"")</f>
        <v/>
      </c>
      <c r="K57" s="5361"/>
      <c r="L57" s="5354"/>
      <c r="M57" s="5370"/>
      <c r="N57" s="5371" t="str">
        <f>IF(OR(O56="",M56=""),"",IF(LEN(O56)&lt;=M56,O56,IFERROR(LEFT(O56,FIND("♦",SUBSTITUTE(LEFT(O56,M56+1)," ","♦",LEN(LEFT(O56,M56+1))-LEN(SUBSTITUTE(LEFT(O56,M56+1)," ",""))))),LEFT(O56,IFERROR(FIND(" ",O56)-1,LEN(O56))))))</f>
        <v/>
      </c>
      <c r="O57" s="5371" t="str">
        <f t="shared" si="19"/>
        <v/>
      </c>
      <c r="P57" s="5375" t="str">
        <f t="shared" si="18"/>
        <v>ligne 57 ►</v>
      </c>
      <c r="Q57" s="5362" t="str">
        <f>IF(D57="","",IF(OR(D57=0,D57&lt;J17),0,IF(D57&gt;J17,(D57-J17)&amp;" car. en trop",(D57-J17)&amp;" car.")))</f>
        <v/>
      </c>
      <c r="R57" s="5373" t="str">
        <f>IF(D57="","",ROUNDUP(D57/J17,0)&amp;" ligne(s)")</f>
        <v/>
      </c>
      <c r="T57" s="3">
        <v>1</v>
      </c>
    </row>
    <row r="58" spans="2:20" ht="15.75">
      <c r="B58" s="104" t="str">
        <f t="shared" si="6"/>
        <v>►</v>
      </c>
      <c r="C58" s="5363" t="str">
        <f t="shared" si="4"/>
        <v/>
      </c>
      <c r="D58" s="5364" t="str">
        <f t="shared" si="11"/>
        <v/>
      </c>
      <c r="E58" s="555"/>
      <c r="F58" s="5366" t="str">
        <f t="shared" si="5"/>
        <v xml:space="preserve"> ◄ ligne 58</v>
      </c>
      <c r="G58" s="5363" t="str">
        <f t="shared" si="7"/>
        <v/>
      </c>
      <c r="H58" s="5367" t="str">
        <f t="shared" si="8"/>
        <v/>
      </c>
      <c r="I58" s="5368" t="str">
        <f>IF(LEN(TRIM(N58))&gt;0,MAX(I29:I57)+1,"")</f>
        <v/>
      </c>
      <c r="J58" s="199" t="str">
        <f>IFERROR(INDEX(N30:N299,MATCH(ROW()-ROW(N30)+1,I30:I299,0)),"")</f>
        <v/>
      </c>
      <c r="K58" s="5361"/>
      <c r="L58" s="5354"/>
      <c r="M58" s="5377"/>
      <c r="N58" s="5371" t="str">
        <f>IF(OR(O57="",M56=""),"",IF(LEN(O57)&lt;=M56,O57,IFERROR(LEFT(O57,FIND("♦",SUBSTITUTE(LEFT(O57,M56+1)," ","♦",LEN(LEFT(O57,M56+1))-LEN(SUBSTITUTE(LEFT(O57,M56+1)," ",""))))),LEFT(O57,IFERROR(FIND(" ",O57)-1,LEN(O57))))))</f>
        <v/>
      </c>
      <c r="O58" s="5371" t="str">
        <f t="shared" si="19"/>
        <v/>
      </c>
      <c r="P58" s="5375" t="str">
        <f t="shared" si="18"/>
        <v>ligne 58 ►</v>
      </c>
      <c r="Q58" s="5362" t="str">
        <f>IF(D58="","",IF(OR(D58=0,D58&lt;J17),0,IF(D58&gt;J17,(D58-J17)&amp;" car. en trop",(D58-J17)&amp;" car.")))</f>
        <v/>
      </c>
      <c r="R58" s="5373" t="str">
        <f>IF(D58="","",ROUNDUP(D58/J17,0)&amp;" ligne(s)")</f>
        <v/>
      </c>
      <c r="T58" s="3">
        <v>1</v>
      </c>
    </row>
    <row r="59" spans="2:20" ht="15.75">
      <c r="B59" s="104" t="str">
        <f t="shared" si="6"/>
        <v>►</v>
      </c>
      <c r="C59" s="5363" t="str">
        <f t="shared" si="4"/>
        <v/>
      </c>
      <c r="D59" s="5364" t="str">
        <f t="shared" si="11"/>
        <v/>
      </c>
      <c r="E59" s="555"/>
      <c r="F59" s="5374" t="str">
        <f t="shared" si="5"/>
        <v xml:space="preserve"> ◄ ligne 59</v>
      </c>
      <c r="G59" s="5363" t="str">
        <f t="shared" si="7"/>
        <v/>
      </c>
      <c r="H59" s="5367" t="str">
        <f t="shared" si="8"/>
        <v/>
      </c>
      <c r="I59" s="5368" t="str">
        <f>IF(LEN(TRIM(N59))&gt;0,MAX(I29:I58)+1,"")</f>
        <v/>
      </c>
      <c r="J59" s="199" t="str">
        <f>IFERROR(INDEX(N30:N299,MATCH(ROW()-ROW(N30)+1,I30:I299,0)),"")</f>
        <v/>
      </c>
      <c r="K59" s="5361"/>
      <c r="L59" s="5354"/>
      <c r="M59" s="5378"/>
      <c r="N59" s="5371" t="str">
        <f>IF(OR(O58="",M56=""),"",IF(LEN(O58)&lt;=M56,O58,IFERROR(LEFT(O58,FIND("♦",SUBSTITUTE(LEFT(O58,M56+1)," ","♦",LEN(LEFT(O58,M56+1))-LEN(SUBSTITUTE(LEFT(O58,M56+1)," ",""))))),LEFT(O58,IFERROR(FIND(" ",O58)-1,LEN(O58))))))</f>
        <v/>
      </c>
      <c r="O59" s="5371" t="str">
        <f t="shared" si="19"/>
        <v/>
      </c>
      <c r="P59" s="5375" t="str">
        <f t="shared" si="18"/>
        <v>ligne 59 ►</v>
      </c>
      <c r="Q59" s="5362" t="str">
        <f>IF(D59="","",IF(OR(D59=0,D59&lt;J17),0,IF(D59&gt;J17,(D59-J17)&amp;" car. en trop",(D59-J17)&amp;" car.")))</f>
        <v/>
      </c>
      <c r="R59" s="5373" t="str">
        <f>IF(D59="","",ROUNDUP(D59/J17,0)&amp;" ligne(s)")</f>
        <v/>
      </c>
      <c r="T59" s="3">
        <v>1</v>
      </c>
    </row>
    <row r="60" spans="2:20" ht="15.75">
      <c r="B60" s="104" t="str">
        <f t="shared" si="6"/>
        <v>►</v>
      </c>
      <c r="C60" s="5363" t="str">
        <f t="shared" si="4"/>
        <v/>
      </c>
      <c r="D60" s="5364" t="str">
        <f t="shared" si="11"/>
        <v/>
      </c>
      <c r="E60" s="555"/>
      <c r="F60" s="5366" t="str">
        <f t="shared" si="5"/>
        <v xml:space="preserve"> ◄ ligne 60</v>
      </c>
      <c r="G60" s="5363" t="str">
        <f t="shared" si="7"/>
        <v/>
      </c>
      <c r="H60" s="5367" t="str">
        <f t="shared" si="8"/>
        <v/>
      </c>
      <c r="I60" s="5368">
        <f>IF(LEN(TRIM(N60))&gt;0,MAX(I29:I59)+1,"")</f>
        <v>4</v>
      </c>
      <c r="J60" s="199" t="str">
        <f>IFERROR(INDEX(N30:N299,MATCH(ROW()-ROW(N30)+1,I30:I299,0)),"")</f>
        <v/>
      </c>
      <c r="K60" s="5361"/>
      <c r="L60" s="5354"/>
      <c r="M60" s="5369" t="str">
        <f>(SUBSTITUTE(SUBSTITUTE(E35,CHAR(13)&amp;CHAR(10)," "),CHAR(10)," "))</f>
        <v>1. Coupez la viande en cubes d’environ 4 cm et mettez-la dans un grand saladier. Ajoutez-y les oignons coupés en rondelles, les carottes coupées en rondelles, les lardons, l’ail émincé et le bouquet garni. Versez le vin rouge sur le tout et laissez mariner au frais pendant 24 heures.</v>
      </c>
      <c r="N60" s="5379" t="str">
        <f>IF(OR(M61="",M62=""),"",IF(LEN(M61)&lt;=M62,M61,IFERROR(LEFT(M61,FIND("♦",SUBSTITUTE(LEFT(M61,M62+1)," ","♦",LEN(LEFT(M61,M62+1))-LEN(SUBSTITUTE(LEFT(M61,M62+1)," ",""))))),LEFT(M61,IFERROR(FIND(" ",M61)-1,LEN(M61))))))</f>
        <v xml:space="preserve">1 Coupez la viande en cubes d’environ 4 cm et mettez-la dans un grand saladier Ajoutez-y les oignons </v>
      </c>
      <c r="O60" s="5380" t="str">
        <f>IF(N60="","",TRIM(RIGHT(M61,LEN(M61)-LEN(N60))))</f>
        <v>coupés en rondelles les carottes coupées en rondelles les lardons l’ail émincé et le bouquet garni Versez le vin rouge sur le tout et laissez mariner au frais pendant 24 heures</v>
      </c>
      <c r="P60" s="5372" t="str">
        <f>F35</f>
        <v xml:space="preserve"> ◄ ligne 35</v>
      </c>
      <c r="Q60" s="5362" t="str">
        <f>IF(D60="","",IF(OR(D60=0,D60&lt;J17),0,IF(D60&gt;J17,(D60-J17)&amp;" car. en trop",(D60-J17)&amp;" car.")))</f>
        <v/>
      </c>
      <c r="R60" s="5373" t="str">
        <f>IF(D60="","",ROUNDUP(D60/J17,0)&amp;" ligne(s)")</f>
        <v/>
      </c>
      <c r="T60" s="3">
        <v>1</v>
      </c>
    </row>
    <row r="61" spans="2:20" ht="15.75">
      <c r="B61" s="104" t="str">
        <f t="shared" si="6"/>
        <v>►</v>
      </c>
      <c r="C61" s="5363" t="str">
        <f t="shared" si="4"/>
        <v/>
      </c>
      <c r="D61" s="5364" t="str">
        <f t="shared" si="11"/>
        <v/>
      </c>
      <c r="E61" s="555"/>
      <c r="F61" s="5374" t="str">
        <f t="shared" si="5"/>
        <v xml:space="preserve"> ◄ ligne 61</v>
      </c>
      <c r="G61" s="5363" t="str">
        <f t="shared" si="7"/>
        <v/>
      </c>
      <c r="H61" s="5367" t="str">
        <f t="shared" si="8"/>
        <v/>
      </c>
      <c r="I61" s="5368">
        <f>IF(LEN(TRIM(N61))&gt;0,MAX(I29:I60)+1,"")</f>
        <v>5</v>
      </c>
      <c r="J61" s="199" t="str">
        <f>IFERROR(INDEX(N30:N299,MATCH(ROW()-ROW(N30)+1,I30:I299,0)),"")</f>
        <v/>
      </c>
      <c r="K61" s="5361"/>
      <c r="L61" s="5354"/>
      <c r="M61" s="5379" t="str">
        <f>TRIM(SUBSTITUTE(SUBSTITUTE(SUBSTITUTE(SUBSTITUTE(IF(OR(LEFT(M60,1)="-",LEFT(M60,1)="="),MID(M60,2,9999),M60),CHAR(160)," "),","," "),";"," "),"."," "))</f>
        <v>1 Coupez la viande en cubes d’environ 4 cm et mettez-la dans un grand saladier Ajoutez-y les oignons coupés en rondelles les carottes coupées en rondelles les lardons l’ail émincé et le bouquet garni Versez le vin rouge sur le tout et laissez mariner au frais pendant 24 heures</v>
      </c>
      <c r="N61" s="5380" t="str">
        <f>IF(OR(O60="",M62=""),"",IF(LEN(O60)&lt;=M62,O60,IFERROR(LEFT(O60,FIND("♦",SUBSTITUTE(LEFT(O60,M62+1)," ","♦",LEN(LEFT(O60,M62+1))-LEN(SUBSTITUTE(LEFT(O60,M62+1)," ",""))))),LEFT(O60,IFERROR(FIND(" ",O60)-1,LEN(O60))))))</f>
        <v xml:space="preserve">coupés en rondelles les carottes coupées en rondelles les lardons l’ail émincé et le bouquet garni </v>
      </c>
      <c r="O61" s="5380" t="str">
        <f>IF(N61="","",TRIM(RIGHT(O60,LEN(O60)-LEN(N61))))</f>
        <v>Versez le vin rouge sur le tout et laissez mariner au frais pendant 24 heures</v>
      </c>
      <c r="P61" s="5381" t="str">
        <f t="shared" ref="P61:P65" si="20">"ligne "&amp;ROW()&amp;" ►"</f>
        <v>ligne 61 ►</v>
      </c>
      <c r="Q61" s="5362" t="str">
        <f>IF(D61="","",IF(OR(D61=0,D61&lt;J17),0,IF(D61&gt;J17,(D61-J17)&amp;" car. en trop",(D61-J17)&amp;" car.")))</f>
        <v/>
      </c>
      <c r="R61" s="5373" t="str">
        <f>IF(D61="","",ROUNDUP(D61/J17,0)&amp;" ligne(s)")</f>
        <v/>
      </c>
      <c r="T61" s="3">
        <v>1</v>
      </c>
    </row>
    <row r="62" spans="2:20" ht="15.75">
      <c r="B62" s="104" t="str">
        <f t="shared" si="6"/>
        <v>►</v>
      </c>
      <c r="C62" s="5363" t="str">
        <f t="shared" si="4"/>
        <v/>
      </c>
      <c r="D62" s="5364" t="str">
        <f t="shared" si="11"/>
        <v/>
      </c>
      <c r="E62" s="555"/>
      <c r="F62" s="5366" t="str">
        <f t="shared" si="5"/>
        <v xml:space="preserve"> ◄ ligne 62</v>
      </c>
      <c r="G62" s="5363" t="str">
        <f t="shared" si="7"/>
        <v/>
      </c>
      <c r="H62" s="5367" t="str">
        <f t="shared" si="8"/>
        <v/>
      </c>
      <c r="I62" s="5368">
        <f>IF(LEN(TRIM(N62))&gt;0,MAX(I29:I61)+1,"")</f>
        <v>6</v>
      </c>
      <c r="J62" s="199" t="str">
        <f>IFERROR(INDEX(N30:N299,MATCH(ROW()-ROW(N30)+1,I30:I299,0)),"")</f>
        <v/>
      </c>
      <c r="K62" s="5361"/>
      <c r="L62" s="5354"/>
      <c r="M62" s="5376">
        <f>J17</f>
        <v>100</v>
      </c>
      <c r="N62" s="5380" t="str">
        <f>IF(OR(O61="",M62=""),"",IF(LEN(O61)&lt;=M62,O61,IFERROR(LEFT(O61,FIND("♦",SUBSTITUTE(LEFT(O61,M62+1)," ","♦",LEN(LEFT(O61,M62+1))-LEN(SUBSTITUTE(LEFT(O61,M62+1)," ",""))))),LEFT(O61,IFERROR(FIND(" ",O61)-1,LEN(O61))))))</f>
        <v>Versez le vin rouge sur le tout et laissez mariner au frais pendant 24 heures</v>
      </c>
      <c r="O62" s="5380" t="str">
        <f t="shared" ref="O62:O65" si="21">IF(N62="","",TRIM(RIGHT(O61,LEN(O61)-LEN(N62))))</f>
        <v/>
      </c>
      <c r="P62" s="5381" t="str">
        <f t="shared" si="20"/>
        <v>ligne 62 ►</v>
      </c>
      <c r="Q62" s="5362" t="str">
        <f>IF(D62="","",IF(OR(D62=0,D62&lt;J17),0,IF(D62&gt;J17,(D62-J17)&amp;" car. en trop",(D62-J17)&amp;" car.")))</f>
        <v/>
      </c>
      <c r="R62" s="5373" t="str">
        <f>IF(D62="","",ROUNDUP(D62/J17,0)&amp;" ligne(s)")</f>
        <v/>
      </c>
      <c r="T62" s="3">
        <v>1</v>
      </c>
    </row>
    <row r="63" spans="2:20" ht="15.75">
      <c r="B63" s="104" t="str">
        <f t="shared" si="6"/>
        <v>►</v>
      </c>
      <c r="C63" s="5363" t="str">
        <f t="shared" si="4"/>
        <v/>
      </c>
      <c r="D63" s="5364" t="str">
        <f t="shared" si="11"/>
        <v/>
      </c>
      <c r="E63" s="555"/>
      <c r="F63" s="5374" t="str">
        <f t="shared" si="5"/>
        <v xml:space="preserve"> ◄ ligne 63</v>
      </c>
      <c r="G63" s="5363" t="str">
        <f t="shared" si="7"/>
        <v/>
      </c>
      <c r="H63" s="5367" t="str">
        <f t="shared" si="8"/>
        <v/>
      </c>
      <c r="I63" s="5368" t="str">
        <f>IF(LEN(TRIM(N63))&gt;0,MAX(I29:I62)+1,"")</f>
        <v/>
      </c>
      <c r="J63" s="199" t="str">
        <f>IFERROR(INDEX(N30:N299,MATCH(ROW()-ROW(N30)+1,I30:I299,0)),"")</f>
        <v/>
      </c>
      <c r="K63" s="5361"/>
      <c r="L63" s="5354"/>
      <c r="M63" s="5379"/>
      <c r="N63" s="5380" t="str">
        <f>IF(OR(O62="",M62=""),"",IF(LEN(O62)&lt;=M62,O62,IFERROR(LEFT(O62,FIND("♦",SUBSTITUTE(LEFT(O62,M62+1)," ","♦",LEN(LEFT(O62,M62+1))-LEN(SUBSTITUTE(LEFT(O62,M62+1)," ",""))))),LEFT(O62,IFERROR(FIND(" ",O62)-1,LEN(O62))))))</f>
        <v/>
      </c>
      <c r="O63" s="5380" t="str">
        <f t="shared" si="21"/>
        <v/>
      </c>
      <c r="P63" s="5381" t="str">
        <f t="shared" si="20"/>
        <v>ligne 63 ►</v>
      </c>
      <c r="Q63" s="5362" t="str">
        <f>IF(D63="","",IF(OR(D63=0,D63&lt;J17),0,IF(D63&gt;J17,(D63-J17)&amp;" car. en trop",(D63-J17)&amp;" car.")))</f>
        <v/>
      </c>
      <c r="R63" s="5373" t="str">
        <f>IF(D63="","",ROUNDUP(D63/J17,0)&amp;" ligne(s)")</f>
        <v/>
      </c>
      <c r="T63" s="3">
        <v>1</v>
      </c>
    </row>
    <row r="64" spans="2:20" ht="15.75">
      <c r="B64" s="104" t="str">
        <f t="shared" si="6"/>
        <v>►</v>
      </c>
      <c r="C64" s="5363" t="str">
        <f t="shared" si="4"/>
        <v/>
      </c>
      <c r="D64" s="5364" t="str">
        <f t="shared" si="11"/>
        <v/>
      </c>
      <c r="E64" s="555"/>
      <c r="F64" s="5366" t="str">
        <f t="shared" si="5"/>
        <v xml:space="preserve"> ◄ ligne 64</v>
      </c>
      <c r="G64" s="5363" t="str">
        <f t="shared" si="7"/>
        <v/>
      </c>
      <c r="H64" s="5367" t="str">
        <f t="shared" si="8"/>
        <v/>
      </c>
      <c r="I64" s="5368" t="str">
        <f>IF(LEN(TRIM(N64))&gt;0,MAX(I29:I63)+1,"")</f>
        <v/>
      </c>
      <c r="J64" s="199" t="str">
        <f>IFERROR(INDEX(N30:N299,MATCH(ROW()-ROW(N30)+1,I30:I299,0)),"")</f>
        <v/>
      </c>
      <c r="K64" s="5361"/>
      <c r="L64" s="5354"/>
      <c r="M64" s="5382"/>
      <c r="N64" s="5380" t="str">
        <f>IF(OR(O63="",M62=""),"",IF(LEN(O63)&lt;=M62,O63,IFERROR(LEFT(O63,FIND("♦",SUBSTITUTE(LEFT(O63,M62+1)," ","♦",LEN(LEFT(O63,M62+1))-LEN(SUBSTITUTE(LEFT(O63,M62+1)," ",""))))),LEFT(O63,IFERROR(FIND(" ",O63)-1,LEN(O63))))))</f>
        <v/>
      </c>
      <c r="O64" s="5380" t="str">
        <f t="shared" si="21"/>
        <v/>
      </c>
      <c r="P64" s="5381" t="str">
        <f t="shared" si="20"/>
        <v>ligne 64 ►</v>
      </c>
      <c r="Q64" s="5362" t="str">
        <f>IF(D64="","",IF(OR(D64=0,D64&lt;J17),0,IF(D64&gt;J17,(D64-J17)&amp;" car. en trop",(D64-J17)&amp;" car.")))</f>
        <v/>
      </c>
      <c r="R64" s="5373" t="str">
        <f>IF(D64="","",ROUNDUP(D64/J17,0)&amp;" ligne(s)")</f>
        <v/>
      </c>
      <c r="T64" s="3">
        <v>1</v>
      </c>
    </row>
    <row r="65" spans="2:20" ht="15.75">
      <c r="B65" s="104" t="str">
        <f t="shared" si="6"/>
        <v>►</v>
      </c>
      <c r="C65" s="5363" t="str">
        <f t="shared" si="4"/>
        <v/>
      </c>
      <c r="D65" s="5364" t="str">
        <f t="shared" si="11"/>
        <v/>
      </c>
      <c r="E65" s="555"/>
      <c r="F65" s="5374" t="str">
        <f t="shared" si="5"/>
        <v xml:space="preserve"> ◄ ligne 65</v>
      </c>
      <c r="G65" s="5363" t="str">
        <f t="shared" si="7"/>
        <v/>
      </c>
      <c r="H65" s="5367" t="str">
        <f t="shared" si="8"/>
        <v/>
      </c>
      <c r="I65" s="5368" t="str">
        <f>IF(LEN(TRIM(N65))&gt;0,MAX(I29:I64)+1,"")</f>
        <v/>
      </c>
      <c r="J65" s="199" t="str">
        <f>IFERROR(INDEX(N30:N299,MATCH(ROW()-ROW(N30)+1,I30:I299,0)),"")</f>
        <v/>
      </c>
      <c r="K65" s="5361"/>
      <c r="L65" s="5354"/>
      <c r="M65" s="5383"/>
      <c r="N65" s="5380" t="str">
        <f>IF(OR(O64="",M62=""),"",IF(LEN(O64)&lt;=M62,O64,IFERROR(LEFT(O64,FIND("♦",SUBSTITUTE(LEFT(O64,M62+1)," ","♦",LEN(LEFT(O64,M62+1))-LEN(SUBSTITUTE(LEFT(O64,M62+1)," ",""))))),LEFT(O64,IFERROR(FIND(" ",O64)-1,LEN(O64))))))</f>
        <v/>
      </c>
      <c r="O65" s="5380" t="str">
        <f t="shared" si="21"/>
        <v/>
      </c>
      <c r="P65" s="5381" t="str">
        <f t="shared" si="20"/>
        <v>ligne 65 ►</v>
      </c>
      <c r="Q65" s="5362" t="str">
        <f>IF(D65="","",IF(OR(D65=0,D65&lt;J17),0,IF(D65&gt;J17,(D65-J17)&amp;" car. en trop",(D65-J17)&amp;" car.")))</f>
        <v/>
      </c>
      <c r="R65" s="5373" t="str">
        <f>IF(D65="","",ROUNDUP(D65/J17,0)&amp;" ligne(s)")</f>
        <v/>
      </c>
      <c r="T65" s="3">
        <v>1</v>
      </c>
    </row>
    <row r="66" spans="2:20" ht="15.75">
      <c r="B66" s="104" t="str">
        <f t="shared" si="6"/>
        <v>►</v>
      </c>
      <c r="C66" s="5363" t="str">
        <f t="shared" si="4"/>
        <v/>
      </c>
      <c r="D66" s="5364" t="str">
        <f t="shared" si="11"/>
        <v/>
      </c>
      <c r="E66" s="555"/>
      <c r="F66" s="5366" t="str">
        <f t="shared" si="5"/>
        <v xml:space="preserve"> ◄ ligne 66</v>
      </c>
      <c r="G66" s="5363" t="str">
        <f t="shared" si="7"/>
        <v/>
      </c>
      <c r="H66" s="5367" t="str">
        <f t="shared" si="8"/>
        <v/>
      </c>
      <c r="I66" s="5368">
        <f>IF(LEN(TRIM(N66))&gt;0,MAX(I29:I65)+1,"")</f>
        <v>7</v>
      </c>
      <c r="J66" s="199" t="str">
        <f>IFERROR(INDEX(N30:N299,MATCH(ROW()-ROW(N30)+1,I30:I299,0)),"")</f>
        <v/>
      </c>
      <c r="K66" s="5361"/>
      <c r="L66" s="5354"/>
      <c r="M66" s="5369" t="str">
        <f>(SUBSTITUTE(SUBSTITUTE(E36,CHAR(13)&amp;CHAR(10)," "),CHAR(10)," "))</f>
        <v>2. Le lendemain, sortez la viande et les légumes de la marinade et égouttez-les. Réservez la marinade.</v>
      </c>
      <c r="N66" s="5370" t="str">
        <f>IF(OR(M67="",M68=""),"",IF(LEN(M67)&lt;=M68,M67,IFERROR(LEFT(M67,FIND("♦",SUBSTITUTE(LEFT(M67,M68+1)," ","♦",LEN(LEFT(M67,M68+1))-LEN(SUBSTITUTE(LEFT(M67,M68+1)," ",""))))),LEFT(M67,IFERROR(FIND(" ",M67)-1,LEN(M67))))))</f>
        <v>2 Le lendemain sortez la viande et les légumes de la marinade et égouttez-les Réservez la marinade</v>
      </c>
      <c r="O66" s="5371" t="str">
        <f>IF(N66="","",TRIM(RIGHT(M67,LEN(M67)-LEN(N66))))</f>
        <v/>
      </c>
      <c r="P66" s="5372" t="str">
        <f>F36</f>
        <v xml:space="preserve"> ◄ ligne 36</v>
      </c>
      <c r="Q66" s="5362" t="str">
        <f>IF(D66="","",IF(OR(D66=0,D66&lt;J17),0,IF(D66&gt;J17,(D66-J17)&amp;" car. en trop",(D66-J17)&amp;" car.")))</f>
        <v/>
      </c>
      <c r="R66" s="5373" t="str">
        <f>IF(D66="","",ROUNDUP(D66/J17,0)&amp;" ligne(s)")</f>
        <v/>
      </c>
      <c r="T66" s="3">
        <v>1</v>
      </c>
    </row>
    <row r="67" spans="2:20" ht="15.75">
      <c r="B67" s="104" t="str">
        <f t="shared" si="6"/>
        <v>►</v>
      </c>
      <c r="C67" s="5363" t="str">
        <f t="shared" si="4"/>
        <v/>
      </c>
      <c r="D67" s="5364" t="str">
        <f t="shared" si="11"/>
        <v/>
      </c>
      <c r="E67" s="555"/>
      <c r="F67" s="5374" t="str">
        <f t="shared" si="5"/>
        <v xml:space="preserve"> ◄ ligne 67</v>
      </c>
      <c r="G67" s="5363" t="str">
        <f t="shared" si="7"/>
        <v/>
      </c>
      <c r="H67" s="5367" t="str">
        <f t="shared" si="8"/>
        <v/>
      </c>
      <c r="I67" s="5368" t="str">
        <f>IF(LEN(TRIM(N67))&gt;0,MAX(I29:I66)+1,"")</f>
        <v/>
      </c>
      <c r="J67" s="199" t="str">
        <f>IFERROR(INDEX(N30:N299,MATCH(ROW()-ROW(N30)+1,I30:I299,0)),"")</f>
        <v/>
      </c>
      <c r="K67" s="5361"/>
      <c r="L67" s="5354"/>
      <c r="M67" s="5370" t="str">
        <f>TRIM(SUBSTITUTE(SUBSTITUTE(SUBSTITUTE(SUBSTITUTE(IF(OR(LEFT(M66,1)="-",LEFT(M66,1)="="),MID(M66,2,9999),M66),CHAR(160)," "),","," "),";"," "),"."," "))</f>
        <v>2 Le lendemain sortez la viande et les légumes de la marinade et égouttez-les Réservez la marinade</v>
      </c>
      <c r="N67" s="5371" t="str">
        <f>IF(OR(O66="",M68=""),"",IF(LEN(O66)&lt;=M68,O66,IFERROR(LEFT(O66,FIND("♦",SUBSTITUTE(LEFT(O66,M68+1)," ","♦",LEN(LEFT(O66,M68+1))-LEN(SUBSTITUTE(LEFT(O66,M68+1)," ",""))))),LEFT(O66,IFERROR(FIND(" ",O66)-1,LEN(O66))))))</f>
        <v/>
      </c>
      <c r="O67" s="5371" t="str">
        <f>IF(N67="","",TRIM(RIGHT(O66,LEN(O66)-LEN(N67))))</f>
        <v/>
      </c>
      <c r="P67" s="5375" t="str">
        <f t="shared" ref="P67:P71" si="22">"ligne "&amp;ROW()&amp;" ►"</f>
        <v>ligne 67 ►</v>
      </c>
      <c r="Q67" s="5362" t="str">
        <f>IF(D67="","",IF(OR(D67=0,D67&lt;J17),0,IF(D67&gt;J17,(D67-J17)&amp;" car. en trop",(D67-J17)&amp;" car.")))</f>
        <v/>
      </c>
      <c r="R67" s="5373" t="str">
        <f>IF(D67="","",ROUNDUP(D67/J17,0)&amp;" ligne(s)")</f>
        <v/>
      </c>
      <c r="T67" s="3">
        <v>1</v>
      </c>
    </row>
    <row r="68" spans="2:20" ht="15.75">
      <c r="B68" s="104" t="str">
        <f t="shared" si="6"/>
        <v>►</v>
      </c>
      <c r="C68" s="5363" t="str">
        <f t="shared" si="4"/>
        <v/>
      </c>
      <c r="D68" s="5364" t="str">
        <f t="shared" si="11"/>
        <v/>
      </c>
      <c r="E68" s="555"/>
      <c r="F68" s="5366" t="str">
        <f t="shared" si="5"/>
        <v xml:space="preserve"> ◄ ligne 68</v>
      </c>
      <c r="G68" s="5363" t="str">
        <f t="shared" si="7"/>
        <v/>
      </c>
      <c r="H68" s="5367" t="str">
        <f t="shared" si="8"/>
        <v/>
      </c>
      <c r="I68" s="5368" t="str">
        <f>IF(LEN(TRIM(N68))&gt;0,MAX(I29:I67)+1,"")</f>
        <v/>
      </c>
      <c r="J68" s="199" t="str">
        <f>IFERROR(INDEX(N30:N299,MATCH(ROW()-ROW(N30)+1,I30:I299,0)),"")</f>
        <v/>
      </c>
      <c r="K68" s="5361"/>
      <c r="L68" s="5354"/>
      <c r="M68" s="5376">
        <f>J17</f>
        <v>100</v>
      </c>
      <c r="N68" s="5371" t="str">
        <f>IF(OR(O67="",M68=""),"",IF(LEN(O67)&lt;=M68,O67,IFERROR(LEFT(O67,FIND("♦",SUBSTITUTE(LEFT(O67,M68+1)," ","♦",LEN(LEFT(O67,M68+1))-LEN(SUBSTITUTE(LEFT(O67,M68+1)," ",""))))),LEFT(O67,IFERROR(FIND(" ",O67)-1,LEN(O67))))))</f>
        <v/>
      </c>
      <c r="O68" s="5371" t="str">
        <f t="shared" ref="O68:O71" si="23">IF(N68="","",TRIM(RIGHT(O67,LEN(O67)-LEN(N68))))</f>
        <v/>
      </c>
      <c r="P68" s="5375" t="str">
        <f t="shared" si="22"/>
        <v>ligne 68 ►</v>
      </c>
      <c r="Q68" s="5362" t="str">
        <f>IF(D68="","",IF(OR(D68=0,D68&lt;J17),0,IF(D68&gt;J17,(D68-J17)&amp;" car. en trop",(D68-J17)&amp;" car.")))</f>
        <v/>
      </c>
      <c r="R68" s="5373" t="str">
        <f>IF(D68="","",ROUNDUP(D68/J17,0)&amp;" ligne(s)")</f>
        <v/>
      </c>
      <c r="T68" s="3">
        <v>1</v>
      </c>
    </row>
    <row r="69" spans="2:20" ht="15.75">
      <c r="B69" s="104" t="str">
        <f t="shared" si="6"/>
        <v>►</v>
      </c>
      <c r="C69" s="5363" t="str">
        <f t="shared" si="4"/>
        <v/>
      </c>
      <c r="D69" s="5364" t="str">
        <f t="shared" si="11"/>
        <v/>
      </c>
      <c r="E69" s="555"/>
      <c r="F69" s="5374" t="str">
        <f t="shared" si="5"/>
        <v xml:space="preserve"> ◄ ligne 69</v>
      </c>
      <c r="G69" s="5363" t="str">
        <f t="shared" si="7"/>
        <v/>
      </c>
      <c r="H69" s="5367" t="str">
        <f t="shared" si="8"/>
        <v/>
      </c>
      <c r="I69" s="5368" t="str">
        <f>IF(LEN(TRIM(N69))&gt;0,MAX(I29:I68)+1,"")</f>
        <v/>
      </c>
      <c r="J69" s="199" t="str">
        <f>IFERROR(INDEX(N30:N299,MATCH(ROW()-ROW(N30)+1,I30:I299,0)),"")</f>
        <v/>
      </c>
      <c r="K69" s="5361"/>
      <c r="L69" s="5354"/>
      <c r="M69" s="5370"/>
      <c r="N69" s="5371" t="str">
        <f>IF(OR(O68="",M68=""),"",IF(LEN(O68)&lt;=M68,O68,IFERROR(LEFT(O68,FIND("♦",SUBSTITUTE(LEFT(O68,M68+1)," ","♦",LEN(LEFT(O68,M68+1))-LEN(SUBSTITUTE(LEFT(O68,M68+1)," ",""))))),LEFT(O68,IFERROR(FIND(" ",O68)-1,LEN(O68))))))</f>
        <v/>
      </c>
      <c r="O69" s="5371" t="str">
        <f t="shared" si="23"/>
        <v/>
      </c>
      <c r="P69" s="5375" t="str">
        <f t="shared" si="22"/>
        <v>ligne 69 ►</v>
      </c>
      <c r="Q69" s="5362" t="str">
        <f>IF(D69="","",IF(OR(D69=0,D69&lt;J17),0,IF(D69&gt;J17,(D69-J17)&amp;" car. en trop",(D69-J17)&amp;" car.")))</f>
        <v/>
      </c>
      <c r="R69" s="5373" t="str">
        <f>IF(D69="","",ROUNDUP(D69/J17,0)&amp;" ligne(s)")</f>
        <v/>
      </c>
      <c r="T69" s="3">
        <v>1</v>
      </c>
    </row>
    <row r="70" spans="2:20" ht="15.75">
      <c r="B70" s="104" t="str">
        <f t="shared" si="6"/>
        <v>►</v>
      </c>
      <c r="C70" s="5363" t="str">
        <f t="shared" si="4"/>
        <v/>
      </c>
      <c r="D70" s="5364" t="str">
        <f t="shared" si="11"/>
        <v/>
      </c>
      <c r="E70" s="555"/>
      <c r="F70" s="5366" t="str">
        <f t="shared" si="5"/>
        <v xml:space="preserve"> ◄ ligne 70</v>
      </c>
      <c r="G70" s="5363" t="str">
        <f t="shared" si="7"/>
        <v/>
      </c>
      <c r="H70" s="5367" t="str">
        <f t="shared" si="8"/>
        <v/>
      </c>
      <c r="I70" s="5368" t="str">
        <f>IF(LEN(TRIM(N70))&gt;0,MAX(I29:I69)+1,"")</f>
        <v/>
      </c>
      <c r="J70" s="199" t="str">
        <f>IFERROR(INDEX(N30:N299,MATCH(ROW()-ROW(N30)+1,I30:I299,0)),"")</f>
        <v/>
      </c>
      <c r="K70" s="5361"/>
      <c r="L70" s="5354"/>
      <c r="M70" s="5377"/>
      <c r="N70" s="5371" t="str">
        <f>IF(OR(O69="",M68=""),"",IF(LEN(O69)&lt;=M68,O69,IFERROR(LEFT(O69,FIND("♦",SUBSTITUTE(LEFT(O69,M68+1)," ","♦",LEN(LEFT(O69,M68+1))-LEN(SUBSTITUTE(LEFT(O69,M68+1)," ",""))))),LEFT(O69,IFERROR(FIND(" ",O69)-1,LEN(O69))))))</f>
        <v/>
      </c>
      <c r="O70" s="5371" t="str">
        <f t="shared" si="23"/>
        <v/>
      </c>
      <c r="P70" s="5375" t="str">
        <f t="shared" si="22"/>
        <v>ligne 70 ►</v>
      </c>
      <c r="Q70" s="5362" t="str">
        <f>IF(D70="","",IF(OR(D70=0,D70&lt;J17),0,IF(D70&gt;J17,(D70-J17)&amp;" car. en trop",(D70-J17)&amp;" car.")))</f>
        <v/>
      </c>
      <c r="R70" s="5373" t="str">
        <f>IF(D70="","",ROUNDUP(D70/J17,0)&amp;" ligne(s)")</f>
        <v/>
      </c>
      <c r="T70" s="3">
        <v>1</v>
      </c>
    </row>
    <row r="71" spans="2:20" ht="15.75">
      <c r="B71" s="104" t="str">
        <f t="shared" si="6"/>
        <v>►</v>
      </c>
      <c r="C71" s="5363" t="str">
        <f t="shared" si="4"/>
        <v/>
      </c>
      <c r="D71" s="5364" t="str">
        <f t="shared" si="11"/>
        <v/>
      </c>
      <c r="E71" s="555"/>
      <c r="F71" s="5374" t="str">
        <f t="shared" si="5"/>
        <v xml:space="preserve"> ◄ ligne 71</v>
      </c>
      <c r="G71" s="5363" t="str">
        <f t="shared" si="7"/>
        <v/>
      </c>
      <c r="H71" s="5367" t="str">
        <f t="shared" si="8"/>
        <v/>
      </c>
      <c r="I71" s="5368" t="str">
        <f>IF(LEN(TRIM(N71))&gt;0,MAX(I29:I70)+1,"")</f>
        <v/>
      </c>
      <c r="J71" s="199" t="str">
        <f>IFERROR(INDEX(N30:N299,MATCH(ROW()-ROW(N30)+1,I30:I299,0)),"")</f>
        <v/>
      </c>
      <c r="K71" s="5361"/>
      <c r="L71" s="5354"/>
      <c r="M71" s="5378"/>
      <c r="N71" s="5371" t="str">
        <f>IF(OR(O70="",M68=""),"",IF(LEN(O70)&lt;=M68,O70,IFERROR(LEFT(O70,FIND("♦",SUBSTITUTE(LEFT(O70,M68+1)," ","♦",LEN(LEFT(O70,M68+1))-LEN(SUBSTITUTE(LEFT(O70,M68+1)," ",""))))),LEFT(O70,IFERROR(FIND(" ",O70)-1,LEN(O70))))))</f>
        <v/>
      </c>
      <c r="O71" s="5371" t="str">
        <f t="shared" si="23"/>
        <v/>
      </c>
      <c r="P71" s="5375" t="str">
        <f t="shared" si="22"/>
        <v>ligne 71 ►</v>
      </c>
      <c r="Q71" s="5362" t="str">
        <f>IF(D71="","",IF(OR(D71=0,D71&lt;J17),0,IF(D71&gt;J17,(D71-J17)&amp;" car. en trop",(D71-J17)&amp;" car.")))</f>
        <v/>
      </c>
      <c r="R71" s="5373" t="str">
        <f>IF(D71="","",ROUNDUP(D71/J17,0)&amp;" ligne(s)")</f>
        <v/>
      </c>
      <c r="T71" s="3">
        <v>1</v>
      </c>
    </row>
    <row r="72" spans="2:20" ht="15.75">
      <c r="B72" s="104" t="str">
        <f t="shared" si="6"/>
        <v>►</v>
      </c>
      <c r="C72" s="5363" t="str">
        <f t="shared" si="4"/>
        <v/>
      </c>
      <c r="D72" s="5364" t="str">
        <f t="shared" si="11"/>
        <v/>
      </c>
      <c r="E72" s="555"/>
      <c r="F72" s="5366" t="str">
        <f t="shared" si="5"/>
        <v xml:space="preserve"> ◄ ligne 72</v>
      </c>
      <c r="G72" s="5363" t="str">
        <f t="shared" si="7"/>
        <v/>
      </c>
      <c r="H72" s="5367" t="str">
        <f t="shared" si="8"/>
        <v/>
      </c>
      <c r="I72" s="5368">
        <f>IF(LEN(TRIM(N72))&gt;0,MAX(I29:I71)+1,"")</f>
        <v>8</v>
      </c>
      <c r="J72" s="199" t="str">
        <f>IFERROR(INDEX(N30:N299,MATCH(ROW()-ROW(N30)+1,I30:I299,0)),"")</f>
        <v/>
      </c>
      <c r="K72" s="5361"/>
      <c r="L72" s="5354"/>
      <c r="M72" s="5369" t="str">
        <f>(SUBSTITUTE(SUBSTITUTE(E37,CHAR(13)&amp;CHAR(10)," "),CHAR(10)," "))</f>
        <v>3. Dans une cocotte en fonte, faites chauffer l’huile d’olive à feu moyen. Ajoutez la viande et faites-la dorer de tous les côtés. Retirez-la de la cocotte et réservez-la.</v>
      </c>
      <c r="N72" s="5379" t="str">
        <f>IF(OR(M73="",M74=""),"",IF(LEN(M73)&lt;=M74,M73,IFERROR(LEFT(M73,FIND("♦",SUBSTITUTE(LEFT(M73,M74+1)," ","♦",LEN(LEFT(M73,M74+1))-LEN(SUBSTITUTE(LEFT(M73,M74+1)," ",""))))),LEFT(M73,IFERROR(FIND(" ",M73)-1,LEN(M73))))))</f>
        <v xml:space="preserve">3 Dans une cocotte en fonte faites chauffer l’huile d’olive à feu moyen Ajoutez la viande et </v>
      </c>
      <c r="O72" s="5380" t="str">
        <f>IF(N72="","",TRIM(RIGHT(M73,LEN(M73)-LEN(N72))))</f>
        <v>faites-la dorer de tous les côtés Retirez-la de la cocotte et réservez-la</v>
      </c>
      <c r="P72" s="5372" t="str">
        <f>F37</f>
        <v xml:space="preserve"> ◄ ligne 37</v>
      </c>
      <c r="Q72" s="5362" t="str">
        <f>IF(D72="","",IF(OR(D72=0,D72&lt;J17),0,IF(D72&gt;J17,(D72-J17)&amp;" car. en trop",(D72-J17)&amp;" car.")))</f>
        <v/>
      </c>
      <c r="R72" s="5373" t="str">
        <f>IF(D72="","",ROUNDUP(D72/J17,0)&amp;" ligne(s)")</f>
        <v/>
      </c>
      <c r="T72" s="3">
        <v>1</v>
      </c>
    </row>
    <row r="73" spans="2:20" ht="15.75">
      <c r="B73" s="104" t="str">
        <f t="shared" si="6"/>
        <v>►</v>
      </c>
      <c r="C73" s="5363" t="str">
        <f t="shared" si="4"/>
        <v/>
      </c>
      <c r="D73" s="5364" t="str">
        <f t="shared" si="11"/>
        <v/>
      </c>
      <c r="E73" s="555"/>
      <c r="F73" s="5374" t="str">
        <f t="shared" si="5"/>
        <v xml:space="preserve"> ◄ ligne 73</v>
      </c>
      <c r="G73" s="5363" t="str">
        <f t="shared" si="7"/>
        <v/>
      </c>
      <c r="H73" s="5367" t="str">
        <f t="shared" si="8"/>
        <v/>
      </c>
      <c r="I73" s="5368">
        <f>IF(LEN(TRIM(N73))&gt;0,MAX(I29:I72)+1,"")</f>
        <v>9</v>
      </c>
      <c r="J73" s="199" t="str">
        <f>IFERROR(INDEX(N30:N299,MATCH(ROW()-ROW(N30)+1,I30:I299,0)),"")</f>
        <v/>
      </c>
      <c r="K73" s="5361"/>
      <c r="L73" s="5354"/>
      <c r="M73" s="5379" t="str">
        <f>TRIM(SUBSTITUTE(SUBSTITUTE(SUBSTITUTE(SUBSTITUTE(IF(OR(LEFT(M72,1)="-",LEFT(M72,1)="="),MID(M72,2,9999),M72),CHAR(160)," "),","," "),";"," "),"."," "))</f>
        <v>3 Dans une cocotte en fonte faites chauffer l’huile d’olive à feu moyen Ajoutez la viande et faites-la dorer de tous les côtés Retirez-la de la cocotte et réservez-la</v>
      </c>
      <c r="N73" s="5380" t="str">
        <f>IF(OR(O72="",M74=""),"",IF(LEN(O72)&lt;=M74,O72,IFERROR(LEFT(O72,FIND("♦",SUBSTITUTE(LEFT(O72,M74+1)," ","♦",LEN(LEFT(O72,M74+1))-LEN(SUBSTITUTE(LEFT(O72,M74+1)," ",""))))),LEFT(O72,IFERROR(FIND(" ",O72)-1,LEN(O72))))))</f>
        <v>faites-la dorer de tous les côtés Retirez-la de la cocotte et réservez-la</v>
      </c>
      <c r="O73" s="5380" t="str">
        <f>IF(N73="","",TRIM(RIGHT(O72,LEN(O72)-LEN(N73))))</f>
        <v/>
      </c>
      <c r="P73" s="5381" t="str">
        <f t="shared" ref="P73:P74" si="24">"ligne "&amp;ROW()&amp;" ►"</f>
        <v>ligne 73 ►</v>
      </c>
      <c r="Q73" s="5362" t="str">
        <f>IF(D73="","",IF(OR(D73=0,D73&lt;J17),0,IF(D73&gt;J17,(D73-J17)&amp;" car. en trop",(D73-J17)&amp;" car.")))</f>
        <v/>
      </c>
      <c r="R73" s="5373" t="str">
        <f>IF(D73="","",ROUNDUP(D73/J17,0)&amp;" ligne(s)")</f>
        <v/>
      </c>
      <c r="T73" s="3">
        <v>1</v>
      </c>
    </row>
    <row r="74" spans="2:20" ht="15.75">
      <c r="B74" s="104" t="str">
        <f t="shared" si="6"/>
        <v>►</v>
      </c>
      <c r="C74" s="5363" t="str">
        <f t="shared" si="4"/>
        <v/>
      </c>
      <c r="D74" s="5364" t="str">
        <f t="shared" si="11"/>
        <v/>
      </c>
      <c r="E74" s="555"/>
      <c r="F74" s="5366" t="str">
        <f t="shared" si="5"/>
        <v xml:space="preserve"> ◄ ligne 74</v>
      </c>
      <c r="G74" s="5363" t="str">
        <f t="shared" si="7"/>
        <v/>
      </c>
      <c r="H74" s="5367" t="str">
        <f t="shared" si="8"/>
        <v/>
      </c>
      <c r="I74" s="5368" t="str">
        <f>IF(LEN(TRIM(N74))&gt;0,MAX(I29:I73)+1,"")</f>
        <v/>
      </c>
      <c r="J74" s="199" t="str">
        <f>IFERROR(INDEX(N30:N299,MATCH(ROW()-ROW(N30)+1,I30:I299,0)),"")</f>
        <v/>
      </c>
      <c r="K74" s="5361"/>
      <c r="L74" s="5354"/>
      <c r="M74" s="5376">
        <f>J17</f>
        <v>100</v>
      </c>
      <c r="N74" s="5380" t="str">
        <f>IF(OR(O73="",M74=""),"",IF(LEN(O73)&lt;=M74,O73,IFERROR(LEFT(O73,FIND("♦",SUBSTITUTE(LEFT(O73,M74+1)," ","♦",LEN(LEFT(O73,M74+1))-LEN(SUBSTITUTE(LEFT(O73,M74+1)," ",""))))),LEFT(O73,IFERROR(FIND(" ",O73)-1,LEN(O73))))))</f>
        <v/>
      </c>
      <c r="O74" s="5380" t="str">
        <f t="shared" ref="O74:O77" si="25">IF(N74="","",TRIM(RIGHT(O73,LEN(O73)-LEN(N74))))</f>
        <v/>
      </c>
      <c r="P74" s="5381" t="str">
        <f t="shared" si="24"/>
        <v>ligne 74 ►</v>
      </c>
      <c r="Q74" s="5362" t="str">
        <f>IF(D74="","",IF(OR(D74=0,D74&lt;J17),0,IF(D74&gt;J17,(D74-J17)&amp;" car. en trop",(D74-J17)&amp;" car.")))</f>
        <v/>
      </c>
      <c r="R74" s="5373" t="str">
        <f>IF(D74="","",ROUNDUP(D74/J17,0)&amp;" ligne(s)")</f>
        <v/>
      </c>
      <c r="T74" s="3">
        <v>1</v>
      </c>
    </row>
    <row r="75" spans="2:20" ht="15.75">
      <c r="B75" s="5384">
        <v>5</v>
      </c>
      <c r="C75" s="5385">
        <v>12</v>
      </c>
      <c r="D75" s="5385">
        <v>12</v>
      </c>
      <c r="E75" s="5386">
        <f ca="1">E76</f>
        <v>103</v>
      </c>
      <c r="F75" s="5359" t="s">
        <v>22</v>
      </c>
      <c r="G75" s="5363" t="str">
        <f t="shared" si="7"/>
        <v/>
      </c>
      <c r="H75" s="5367" t="str">
        <f t="shared" si="8"/>
        <v/>
      </c>
      <c r="I75" s="5368" t="str">
        <f>IF(LEN(TRIM(N75))&gt;0,MAX(I29:I74)+1,"")</f>
        <v/>
      </c>
      <c r="J75" s="199" t="str">
        <f>IFERROR(INDEX(N30:N299,MATCH(ROW()-ROW(N30)+1,I30:I299,0)),"")</f>
        <v/>
      </c>
      <c r="K75" s="5361"/>
      <c r="L75" s="5354"/>
      <c r="M75" s="5379"/>
      <c r="N75" s="5380" t="str">
        <f>IF(OR(O74="",M74=""),"",IF(LEN(O74)&lt;=M74,O74,IFERROR(LEFT(O74,FIND("♦",SUBSTITUTE(LEFT(O74,M74+1)," ","♦",LEN(LEFT(O74,M74+1))-LEN(SUBSTITUTE(LEFT(O74,M74+1)," ",""))))),LEFT(O74,IFERROR(FIND(" ",O74)-1,LEN(O74))))))</f>
        <v/>
      </c>
      <c r="O75" s="5380" t="str">
        <f t="shared" si="25"/>
        <v/>
      </c>
      <c r="P75" s="5381"/>
      <c r="Q75" s="5387"/>
      <c r="R75" s="5077"/>
      <c r="T75" s="3">
        <v>1</v>
      </c>
    </row>
    <row r="76" spans="2:20" ht="16.5" thickBot="1">
      <c r="B76" s="705">
        <f t="shared" ref="B76:E76" ca="1" si="26">CELL("largeur",B76)</f>
        <v>5</v>
      </c>
      <c r="C76" s="706">
        <f t="shared" ca="1" si="26"/>
        <v>9</v>
      </c>
      <c r="D76" s="706">
        <f t="shared" ca="1" si="26"/>
        <v>7</v>
      </c>
      <c r="E76" s="707">
        <f t="shared" ca="1" si="26"/>
        <v>103</v>
      </c>
      <c r="F76" s="5359" t="s">
        <v>22</v>
      </c>
      <c r="G76" s="5363" t="str">
        <f t="shared" si="7"/>
        <v/>
      </c>
      <c r="H76" s="5367" t="str">
        <f t="shared" si="8"/>
        <v/>
      </c>
      <c r="I76" s="5368" t="str">
        <f>IF(LEN(TRIM(N76))&gt;0,MAX(I29:I75)+1,"")</f>
        <v/>
      </c>
      <c r="J76" s="199" t="str">
        <f>IFERROR(INDEX(N30:N299,MATCH(ROW()-ROW(N30)+1,I30:I299,0)),"")</f>
        <v/>
      </c>
      <c r="K76" s="5361"/>
      <c r="L76" s="5354"/>
      <c r="M76" s="5382"/>
      <c r="N76" s="5380" t="str">
        <f>IF(OR(O75="",M74=""),"",IF(LEN(O75)&lt;=M74,O75,IFERROR(LEFT(O75,FIND("♦",SUBSTITUTE(LEFT(O75,M74+1)," ","♦",LEN(LEFT(O75,M74+1))-LEN(SUBSTITUTE(LEFT(O75,M74+1)," ",""))))),LEFT(O75,IFERROR(FIND(" ",O75)-1,LEN(O75))))))</f>
        <v/>
      </c>
      <c r="O76" s="5380" t="str">
        <f t="shared" si="25"/>
        <v/>
      </c>
      <c r="P76" s="5381"/>
      <c r="Q76" s="5387"/>
      <c r="R76" s="5077"/>
      <c r="T76" s="3">
        <v>1</v>
      </c>
    </row>
    <row r="77" spans="2:20" ht="15.75">
      <c r="C77" s="852"/>
      <c r="D77" s="852"/>
      <c r="E77" s="5077"/>
      <c r="F77" s="852"/>
      <c r="G77" s="5363" t="str">
        <f t="shared" si="7"/>
        <v/>
      </c>
      <c r="H77" s="5367" t="str">
        <f t="shared" si="8"/>
        <v/>
      </c>
      <c r="I77" s="5368" t="str">
        <f>IF(LEN(TRIM(N77))&gt;0,MAX(I29:I76)+1,"")</f>
        <v/>
      </c>
      <c r="J77" s="199" t="str">
        <f>IFERROR(INDEX(N30:N299,MATCH(ROW()-ROW(N30)+1,I30:I299,0)),"")</f>
        <v/>
      </c>
      <c r="K77" s="5388"/>
      <c r="L77" s="852"/>
      <c r="M77" s="5383"/>
      <c r="N77" s="5380" t="str">
        <f>IF(OR(O76="",M74=""),"",IF(LEN(O76)&lt;=M74,O76,IFERROR(LEFT(O76,FIND("♦",SUBSTITUTE(LEFT(O76,M74+1)," ","♦",LEN(LEFT(O76,M74+1))-LEN(SUBSTITUTE(LEFT(O76,M74+1)," ",""))))),LEFT(O76,IFERROR(FIND(" ",O76)-1,LEN(O76))))))</f>
        <v/>
      </c>
      <c r="O77" s="5380" t="str">
        <f t="shared" si="25"/>
        <v/>
      </c>
      <c r="P77" s="5381"/>
      <c r="Q77" s="5387"/>
      <c r="R77" s="5077"/>
      <c r="T77" s="3">
        <v>1</v>
      </c>
    </row>
    <row r="78" spans="2:20" ht="15.75">
      <c r="C78" s="852"/>
      <c r="D78" s="852"/>
      <c r="E78" s="5077"/>
      <c r="F78" s="852"/>
      <c r="G78" s="5363" t="str">
        <f t="shared" si="7"/>
        <v/>
      </c>
      <c r="H78" s="5367" t="str">
        <f t="shared" si="8"/>
        <v/>
      </c>
      <c r="I78" s="5368">
        <f>IF(LEN(TRIM(N78))&gt;0,MAX(I29:I77)+1,"")</f>
        <v>10</v>
      </c>
      <c r="J78" s="199" t="str">
        <f>IFERROR(INDEX(N30:N299,MATCH(ROW()-ROW(N30)+1,I30:I299,0)),"")</f>
        <v/>
      </c>
      <c r="K78" s="5388"/>
      <c r="L78" s="852"/>
      <c r="M78" s="5369" t="str">
        <f>(SUBSTITUTE(SUBSTITUTE(E38,CHAR(13)&amp;CHAR(10)," "),CHAR(10)," "))</f>
        <v>4. Dans la même cocotte, faites revenir les légumes et les lardons pendant environ 5 minutes. Saupoudrez de farine et mélangez bien.</v>
      </c>
      <c r="N78" s="5370" t="str">
        <f>IF(OR(M79="",M80=""),"",IF(LEN(M79)&lt;=M80,M79,IFERROR(LEFT(M79,FIND("♦",SUBSTITUTE(LEFT(M79,M80+1)," ","♦",LEN(LEFT(M79,M80+1))-LEN(SUBSTITUTE(LEFT(M79,M80+1)," ",""))))),LEFT(M79,IFERROR(FIND(" ",M79)-1,LEN(M79))))))</f>
        <v xml:space="preserve">4 Dans la même cocotte faites revenir les légumes et les lardons pendant environ 5 minutes </v>
      </c>
      <c r="O78" s="5371" t="str">
        <f>IF(N78="","",TRIM(RIGHT(M79,LEN(M79)-LEN(N78))))</f>
        <v>Saupoudrez de farine et mélangez bien</v>
      </c>
      <c r="P78" s="5372" t="str">
        <f>F38</f>
        <v xml:space="preserve"> ◄ ligne 38</v>
      </c>
      <c r="Q78" s="5387"/>
      <c r="R78" s="5077"/>
      <c r="T78" s="3">
        <v>1</v>
      </c>
    </row>
    <row r="79" spans="2:20" ht="15.75">
      <c r="C79" s="852"/>
      <c r="D79" s="852"/>
      <c r="E79" s="5077"/>
      <c r="F79" s="852"/>
      <c r="G79" s="5363" t="str">
        <f t="shared" si="7"/>
        <v/>
      </c>
      <c r="H79" s="5367" t="str">
        <f t="shared" si="8"/>
        <v/>
      </c>
      <c r="I79" s="5368">
        <f>IF(LEN(TRIM(N79))&gt;0,MAX(I29:I78)+1,"")</f>
        <v>11</v>
      </c>
      <c r="J79" s="199" t="str">
        <f>IFERROR(INDEX(N30:N299,MATCH(ROW()-ROW(N30)+1,I30:I299,0)),"")</f>
        <v/>
      </c>
      <c r="K79" s="5388"/>
      <c r="L79" s="852"/>
      <c r="M79" s="5370" t="str">
        <f>TRIM(SUBSTITUTE(SUBSTITUTE(SUBSTITUTE(SUBSTITUTE(IF(OR(LEFT(M78,1)="-",LEFT(M78,1)="="),MID(M78,2,9999),M78),CHAR(160)," "),","," "),";"," "),"."," "))</f>
        <v>4 Dans la même cocotte faites revenir les légumes et les lardons pendant environ 5 minutes Saupoudrez de farine et mélangez bien</v>
      </c>
      <c r="N79" s="5371" t="str">
        <f>IF(OR(O78="",M80=""),"",IF(LEN(O78)&lt;=M80,O78,IFERROR(LEFT(O78,FIND("♦",SUBSTITUTE(LEFT(O78,M80+1)," ","♦",LEN(LEFT(O78,M80+1))-LEN(SUBSTITUTE(LEFT(O78,M80+1)," ",""))))),LEFT(O78,IFERROR(FIND(" ",O78)-1,LEN(O78))))))</f>
        <v>Saupoudrez de farine et mélangez bien</v>
      </c>
      <c r="O79" s="5371" t="str">
        <f>IF(N79="","",TRIM(RIGHT(O78,LEN(O78)-LEN(N79))))</f>
        <v/>
      </c>
      <c r="P79" s="5389"/>
      <c r="Q79" s="5387"/>
      <c r="R79" s="5077"/>
      <c r="T79" s="3">
        <v>1</v>
      </c>
    </row>
    <row r="80" spans="2:20" ht="15.75">
      <c r="C80" s="852"/>
      <c r="D80" s="852"/>
      <c r="E80" s="5077"/>
      <c r="F80" s="852"/>
      <c r="G80" s="5363" t="str">
        <f t="shared" si="7"/>
        <v/>
      </c>
      <c r="H80" s="5367" t="str">
        <f t="shared" si="8"/>
        <v/>
      </c>
      <c r="I80" s="5368" t="str">
        <f>IF(LEN(TRIM(N80))&gt;0,MAX(I29:I79)+1,"")</f>
        <v/>
      </c>
      <c r="J80" s="199" t="str">
        <f>IFERROR(INDEX(N30:N299,MATCH(ROW()-ROW(N30)+1,I30:I299,0)),"")</f>
        <v/>
      </c>
      <c r="K80" s="5388"/>
      <c r="L80" s="852"/>
      <c r="M80" s="5376">
        <f>J17</f>
        <v>100</v>
      </c>
      <c r="N80" s="5371" t="str">
        <f>IF(OR(O79="",M80=""),"",IF(LEN(O79)&lt;=M80,O79,IFERROR(LEFT(O79,FIND("♦",SUBSTITUTE(LEFT(O79,M80+1)," ","♦",LEN(LEFT(O79,M80+1))-LEN(SUBSTITUTE(LEFT(O79,M80+1)," ",""))))),LEFT(O79,IFERROR(FIND(" ",O79)-1,LEN(O79))))))</f>
        <v/>
      </c>
      <c r="O80" s="5371" t="str">
        <f t="shared" ref="O80:O83" si="27">IF(N80="","",TRIM(RIGHT(O79,LEN(O79)-LEN(N80))))</f>
        <v/>
      </c>
      <c r="P80" s="5389"/>
      <c r="Q80" s="5387"/>
      <c r="R80" s="5077"/>
      <c r="T80" s="3">
        <v>1</v>
      </c>
    </row>
    <row r="81" spans="3:20" ht="15.75">
      <c r="C81" s="852"/>
      <c r="D81" s="852"/>
      <c r="E81" s="5077"/>
      <c r="F81" s="852"/>
      <c r="G81" s="5363" t="str">
        <f t="shared" si="7"/>
        <v/>
      </c>
      <c r="H81" s="5367" t="str">
        <f t="shared" si="8"/>
        <v/>
      </c>
      <c r="I81" s="5368" t="str">
        <f>IF(LEN(TRIM(N81))&gt;0,MAX(I29:I80)+1,"")</f>
        <v/>
      </c>
      <c r="J81" s="199" t="str">
        <f>IFERROR(INDEX(N30:N299,MATCH(ROW()-ROW(N30)+1,I30:I299,0)),"")</f>
        <v/>
      </c>
      <c r="K81" s="5388"/>
      <c r="L81" s="852"/>
      <c r="M81" s="5370"/>
      <c r="N81" s="5371" t="str">
        <f>IF(OR(O80="",M80=""),"",IF(LEN(O80)&lt;=M80,O80,IFERROR(LEFT(O80,FIND("♦",SUBSTITUTE(LEFT(O80,M80+1)," ","♦",LEN(LEFT(O80,M80+1))-LEN(SUBSTITUTE(LEFT(O80,M80+1)," ",""))))),LEFT(O80,IFERROR(FIND(" ",O80)-1,LEN(O80))))))</f>
        <v/>
      </c>
      <c r="O81" s="5371" t="str">
        <f t="shared" si="27"/>
        <v/>
      </c>
      <c r="P81" s="5389"/>
      <c r="Q81" s="5387"/>
      <c r="R81" s="5077"/>
      <c r="T81" s="3">
        <v>1</v>
      </c>
    </row>
    <row r="82" spans="3:20" ht="15.75">
      <c r="C82" s="852"/>
      <c r="D82" s="852"/>
      <c r="E82" s="5077"/>
      <c r="F82" s="852"/>
      <c r="G82" s="5363" t="str">
        <f t="shared" si="7"/>
        <v/>
      </c>
      <c r="H82" s="5367" t="str">
        <f t="shared" si="8"/>
        <v/>
      </c>
      <c r="I82" s="5368" t="str">
        <f>IF(LEN(TRIM(N82))&gt;0,MAX(I29:I81)+1,"")</f>
        <v/>
      </c>
      <c r="J82" s="199" t="str">
        <f>IFERROR(INDEX(N30:N299,MATCH(ROW()-ROW(N30)+1,I30:I299,0)),"")</f>
        <v/>
      </c>
      <c r="K82" s="5388"/>
      <c r="L82" s="852"/>
      <c r="M82" s="5377"/>
      <c r="N82" s="5371" t="str">
        <f>IF(OR(O81="",M80=""),"",IF(LEN(O81)&lt;=M80,O81,IFERROR(LEFT(O81,FIND("♦",SUBSTITUTE(LEFT(O81,M80+1)," ","♦",LEN(LEFT(O81,M80+1))-LEN(SUBSTITUTE(LEFT(O81,M80+1)," ",""))))),LEFT(O81,IFERROR(FIND(" ",O81)-1,LEN(O81))))))</f>
        <v/>
      </c>
      <c r="O82" s="5371" t="str">
        <f t="shared" si="27"/>
        <v/>
      </c>
      <c r="P82" s="5389"/>
      <c r="Q82" s="5387"/>
      <c r="R82" s="5077"/>
      <c r="T82" s="3">
        <v>1</v>
      </c>
    </row>
    <row r="83" spans="3:20" ht="15.75">
      <c r="C83" s="852"/>
      <c r="D83" s="852"/>
      <c r="E83" s="5077"/>
      <c r="F83" s="852"/>
      <c r="G83" s="5363" t="str">
        <f t="shared" si="7"/>
        <v/>
      </c>
      <c r="H83" s="5367" t="str">
        <f t="shared" si="8"/>
        <v/>
      </c>
      <c r="I83" s="5368" t="str">
        <f>IF(LEN(TRIM(N83))&gt;0,MAX(I29:I82)+1,"")</f>
        <v/>
      </c>
      <c r="J83" s="199" t="str">
        <f>IFERROR(INDEX(N30:N299,MATCH(ROW()-ROW(N30)+1,I30:I299,0)),"")</f>
        <v/>
      </c>
      <c r="K83" s="5388"/>
      <c r="L83" s="852"/>
      <c r="M83" s="5378"/>
      <c r="N83" s="5371" t="str">
        <f>IF(OR(O82="",M80=""),"",IF(LEN(O82)&lt;=M80,O82,IFERROR(LEFT(O82,FIND("♦",SUBSTITUTE(LEFT(O82,M80+1)," ","♦",LEN(LEFT(O82,M80+1))-LEN(SUBSTITUTE(LEFT(O82,M80+1)," ",""))))),LEFT(O82,IFERROR(FIND(" ",O82)-1,LEN(O82))))))</f>
        <v/>
      </c>
      <c r="O83" s="5371" t="str">
        <f t="shared" si="27"/>
        <v/>
      </c>
      <c r="P83" s="5389"/>
      <c r="Q83" s="5387"/>
      <c r="R83" s="5077"/>
      <c r="T83" s="3">
        <v>1</v>
      </c>
    </row>
    <row r="84" spans="3:20" ht="15.75">
      <c r="C84" s="852"/>
      <c r="D84" s="852"/>
      <c r="E84" s="5077"/>
      <c r="F84" s="852"/>
      <c r="G84" s="5363" t="str">
        <f t="shared" si="7"/>
        <v/>
      </c>
      <c r="H84" s="5367" t="str">
        <f t="shared" si="8"/>
        <v/>
      </c>
      <c r="I84" s="5368">
        <f>IF(LEN(TRIM(N84))&gt;0,MAX(I29:I83)+1,"")</f>
        <v>12</v>
      </c>
      <c r="J84" s="199" t="str">
        <f>IFERROR(INDEX(N30:N299,MATCH(ROW()-ROW(N30)+1,I30:I299,0)),"")</f>
        <v/>
      </c>
      <c r="K84" s="5388"/>
      <c r="L84" s="852"/>
      <c r="M84" s="5369" t="str">
        <f>(SUBSTITUTE(SUBSTITUTE(E39,CHAR(13)&amp;CHAR(10)," "),CHAR(10)," "))</f>
        <v>5. Remettez la viande dans la cocotte et versez la marinade filtrée par-dessus. Ajoutez de l’eau si nécessaire pour recouvrir la viande. Salez et poivrez.</v>
      </c>
      <c r="N84" s="5379" t="str">
        <f>IF(OR(M85="",M86=""),"",IF(LEN(M85)&lt;=M86,M85,IFERROR(LEFT(M85,FIND("♦",SUBSTITUTE(LEFT(M85,M86+1)," ","♦",LEN(LEFT(M85,M86+1))-LEN(SUBSTITUTE(LEFT(M85,M86+1)," ",""))))),LEFT(M85,IFERROR(FIND(" ",M85)-1,LEN(M85))))))</f>
        <v xml:space="preserve">5 Remettez la viande dans la cocotte et versez la marinade filtrée par-dessus Ajoutez de l’eau si </v>
      </c>
      <c r="O84" s="5380" t="str">
        <f>IF(N84="","",TRIM(RIGHT(M85,LEN(M85)-LEN(N84))))</f>
        <v>nécessaire pour recouvrir la viande Salez et poivrez</v>
      </c>
      <c r="P84" s="5372" t="str">
        <f>F39</f>
        <v xml:space="preserve"> ◄ ligne 39</v>
      </c>
      <c r="Q84" s="5387"/>
      <c r="R84" s="5077"/>
      <c r="T84" s="3">
        <v>1</v>
      </c>
    </row>
    <row r="85" spans="3:20" ht="15.75">
      <c r="C85" s="852"/>
      <c r="D85" s="852"/>
      <c r="E85" s="5077"/>
      <c r="F85" s="852"/>
      <c r="G85" s="5363" t="str">
        <f t="shared" si="7"/>
        <v/>
      </c>
      <c r="H85" s="5367" t="str">
        <f t="shared" si="8"/>
        <v/>
      </c>
      <c r="I85" s="5368">
        <f>IF(LEN(TRIM(N85))&gt;0,MAX(I29:I84)+1,"")</f>
        <v>13</v>
      </c>
      <c r="J85" s="199" t="str">
        <f>IFERROR(INDEX(N30:N299,MATCH(ROW()-ROW(N30)+1,I30:I299,0)),"")</f>
        <v/>
      </c>
      <c r="K85" s="5388"/>
      <c r="L85" s="852"/>
      <c r="M85" s="5379" t="str">
        <f>TRIM(SUBSTITUTE(SUBSTITUTE(SUBSTITUTE(SUBSTITUTE(IF(OR(LEFT(M84,1)="-",LEFT(M84,1)="="),MID(M84,2,9999),M84),CHAR(160)," "),","," "),";"," "),"."," "))</f>
        <v>5 Remettez la viande dans la cocotte et versez la marinade filtrée par-dessus Ajoutez de l’eau si nécessaire pour recouvrir la viande Salez et poivrez</v>
      </c>
      <c r="N85" s="5380" t="str">
        <f>IF(OR(O84="",M86=""),"",IF(LEN(O84)&lt;=M86,O84,IFERROR(LEFT(O84,FIND("♦",SUBSTITUTE(LEFT(O84,M86+1)," ","♦",LEN(LEFT(O84,M86+1))-LEN(SUBSTITUTE(LEFT(O84,M86+1)," ",""))))),LEFT(O84,IFERROR(FIND(" ",O84)-1,LEN(O84))))))</f>
        <v>nécessaire pour recouvrir la viande Salez et poivrez</v>
      </c>
      <c r="O85" s="5380" t="str">
        <f>IF(N85="","",TRIM(RIGHT(O84,LEN(O84)-LEN(N85))))</f>
        <v/>
      </c>
      <c r="P85" s="5390"/>
      <c r="Q85" s="5387"/>
      <c r="R85" s="5077"/>
      <c r="T85" s="3">
        <v>1</v>
      </c>
    </row>
    <row r="86" spans="3:20" ht="15.75">
      <c r="C86" s="852"/>
      <c r="D86" s="852"/>
      <c r="E86" s="5077"/>
      <c r="F86" s="852"/>
      <c r="G86" s="5363" t="str">
        <f t="shared" si="7"/>
        <v/>
      </c>
      <c r="H86" s="5367" t="str">
        <f t="shared" si="8"/>
        <v/>
      </c>
      <c r="I86" s="5368" t="str">
        <f>IF(LEN(TRIM(N86))&gt;0,MAX(I29:I85)+1,"")</f>
        <v/>
      </c>
      <c r="J86" s="199" t="str">
        <f>IFERROR(INDEX(N30:N299,MATCH(ROW()-ROW(N30)+1,I30:I299,0)),"")</f>
        <v/>
      </c>
      <c r="K86" s="5388"/>
      <c r="L86" s="852"/>
      <c r="M86" s="5376">
        <f>J17</f>
        <v>100</v>
      </c>
      <c r="N86" s="5380" t="str">
        <f>IF(OR(O85="",M86=""),"",IF(LEN(O85)&lt;=M86,O85,IFERROR(LEFT(O85,FIND("♦",SUBSTITUTE(LEFT(O85,M86+1)," ","♦",LEN(LEFT(O85,M86+1))-LEN(SUBSTITUTE(LEFT(O85,M86+1)," ",""))))),LEFT(O85,IFERROR(FIND(" ",O85)-1,LEN(O85))))))</f>
        <v/>
      </c>
      <c r="O86" s="5380" t="str">
        <f t="shared" ref="O86:O89" si="28">IF(N86="","",TRIM(RIGHT(O85,LEN(O85)-LEN(N86))))</f>
        <v/>
      </c>
      <c r="P86" s="5390"/>
      <c r="Q86" s="5387"/>
      <c r="R86" s="5077"/>
      <c r="T86" s="3">
        <v>1</v>
      </c>
    </row>
    <row r="87" spans="3:20" ht="15.75">
      <c r="C87" s="852"/>
      <c r="D87" s="852"/>
      <c r="E87" s="5077"/>
      <c r="F87" s="852"/>
      <c r="G87" s="5363" t="str">
        <f t="shared" si="7"/>
        <v/>
      </c>
      <c r="H87" s="5367" t="str">
        <f t="shared" si="8"/>
        <v/>
      </c>
      <c r="I87" s="5368" t="str">
        <f>IF(LEN(TRIM(N87))&gt;0,MAX(I29:I86)+1,"")</f>
        <v/>
      </c>
      <c r="J87" s="199" t="str">
        <f>IFERROR(INDEX(N30:N299,MATCH(ROW()-ROW(N30)+1,I30:I299,0)),"")</f>
        <v/>
      </c>
      <c r="K87" s="5388"/>
      <c r="L87" s="852"/>
      <c r="M87" s="5379"/>
      <c r="N87" s="5380" t="str">
        <f>IF(OR(O86="",M86=""),"",IF(LEN(O86)&lt;=M86,O86,IFERROR(LEFT(O86,FIND("♦",SUBSTITUTE(LEFT(O86,M86+1)," ","♦",LEN(LEFT(O86,M86+1))-LEN(SUBSTITUTE(LEFT(O86,M86+1)," ",""))))),LEFT(O86,IFERROR(FIND(" ",O86)-1,LEN(O86))))))</f>
        <v/>
      </c>
      <c r="O87" s="5380" t="str">
        <f t="shared" si="28"/>
        <v/>
      </c>
      <c r="P87" s="5390"/>
      <c r="Q87" s="5387"/>
      <c r="R87" s="5077"/>
      <c r="T87" s="3">
        <v>1</v>
      </c>
    </row>
    <row r="88" spans="3:20" ht="15.75">
      <c r="C88" s="852"/>
      <c r="D88" s="852"/>
      <c r="E88" s="5077"/>
      <c r="F88" s="852"/>
      <c r="G88" s="5363" t="str">
        <f t="shared" si="7"/>
        <v/>
      </c>
      <c r="H88" s="5367" t="str">
        <f t="shared" si="8"/>
        <v/>
      </c>
      <c r="I88" s="5368" t="str">
        <f>IF(LEN(TRIM(N88))&gt;0,MAX(I29:I87)+1,"")</f>
        <v/>
      </c>
      <c r="J88" s="199" t="str">
        <f>IFERROR(INDEX(N30:N299,MATCH(ROW()-ROW(N30)+1,I30:I299,0)),"")</f>
        <v/>
      </c>
      <c r="K88" s="5388"/>
      <c r="L88" s="852"/>
      <c r="M88" s="5382"/>
      <c r="N88" s="5380" t="str">
        <f>IF(OR(O87="",M86=""),"",IF(LEN(O87)&lt;=M86,O87,IFERROR(LEFT(O87,FIND("♦",SUBSTITUTE(LEFT(O87,M86+1)," ","♦",LEN(LEFT(O87,M86+1))-LEN(SUBSTITUTE(LEFT(O87,M86+1)," ",""))))),LEFT(O87,IFERROR(FIND(" ",O87)-1,LEN(O87))))))</f>
        <v/>
      </c>
      <c r="O88" s="5380" t="str">
        <f t="shared" si="28"/>
        <v/>
      </c>
      <c r="P88" s="5390"/>
      <c r="Q88" s="5387"/>
      <c r="R88" s="5077"/>
      <c r="T88" s="3">
        <v>1</v>
      </c>
    </row>
    <row r="89" spans="3:20" ht="15.75">
      <c r="C89" s="852"/>
      <c r="D89" s="852"/>
      <c r="E89" s="5077"/>
      <c r="F89" s="852"/>
      <c r="G89" s="5363" t="str">
        <f t="shared" si="7"/>
        <v/>
      </c>
      <c r="H89" s="5367" t="str">
        <f t="shared" si="8"/>
        <v/>
      </c>
      <c r="I89" s="5368" t="str">
        <f>IF(LEN(TRIM(N89))&gt;0,MAX(I29:I88)+1,"")</f>
        <v/>
      </c>
      <c r="J89" s="199" t="str">
        <f>IFERROR(INDEX(N30:N299,MATCH(ROW()-ROW(N30)+1,I30:I299,0)),"")</f>
        <v/>
      </c>
      <c r="K89" s="5388"/>
      <c r="L89" s="852"/>
      <c r="M89" s="5383"/>
      <c r="N89" s="5380" t="str">
        <f>IF(OR(O88="",M86=""),"",IF(LEN(O88)&lt;=M86,O88,IFERROR(LEFT(O88,FIND("♦",SUBSTITUTE(LEFT(O88,M86+1)," ","♦",LEN(LEFT(O88,M86+1))-LEN(SUBSTITUTE(LEFT(O88,M86+1)," ",""))))),LEFT(O88,IFERROR(FIND(" ",O88)-1,LEN(O88))))))</f>
        <v/>
      </c>
      <c r="O89" s="5380" t="str">
        <f t="shared" si="28"/>
        <v/>
      </c>
      <c r="P89" s="5390"/>
      <c r="Q89" s="5387"/>
      <c r="R89" s="5077"/>
      <c r="T89" s="3">
        <v>1</v>
      </c>
    </row>
    <row r="90" spans="3:20" ht="15.75">
      <c r="C90" s="852"/>
      <c r="D90" s="852"/>
      <c r="E90" s="5077"/>
      <c r="F90" s="852"/>
      <c r="G90" s="5363" t="str">
        <f t="shared" si="7"/>
        <v/>
      </c>
      <c r="H90" s="5367" t="str">
        <f t="shared" si="8"/>
        <v/>
      </c>
      <c r="I90" s="5368">
        <f>IF(LEN(TRIM(N90))&gt;0,MAX(I29:I89)+1,"")</f>
        <v>14</v>
      </c>
      <c r="J90" s="199" t="str">
        <f>IFERROR(INDEX(N30:N299,MATCH(ROW()-ROW(N30)+1,I30:I299,0)),"")</f>
        <v/>
      </c>
      <c r="K90" s="5388"/>
      <c r="L90" s="852"/>
      <c r="M90" s="5369" t="str">
        <f>(SUBSTITUTE(SUBSTITUTE(E40,CHAR(13)&amp;CHAR(10)," "),CHAR(10)," "))</f>
        <v>6. Portez à ébullition, puis baissez le feu et laissez mijoter à feu doux pendant environ 3 heures, en remuant de temps en temps. La viande doit être tendre et la sauce onctueuse.</v>
      </c>
      <c r="N90" s="5370" t="str">
        <f>IF(OR(M91="",M92=""),"",IF(LEN(M91)&lt;=M92,M91,IFERROR(LEFT(M91,FIND("♦",SUBSTITUTE(LEFT(M91,M92+1)," ","♦",LEN(LEFT(M91,M92+1))-LEN(SUBSTITUTE(LEFT(M91,M92+1)," ",""))))),LEFT(M91,IFERROR(FIND(" ",M91)-1,LEN(M91))))))</f>
        <v xml:space="preserve">6 Portez à ébullition puis baissez le feu et laissez mijoter à feu doux pendant environ 3 heures en </v>
      </c>
      <c r="O90" s="5371" t="str">
        <f>IF(N90="","",TRIM(RIGHT(M91,LEN(M91)-LEN(N90))))</f>
        <v>remuant de temps en temps La viande doit être tendre et la sauce onctueuse</v>
      </c>
      <c r="P90" s="5372" t="str">
        <f>F40</f>
        <v xml:space="preserve"> ◄ ligne 40</v>
      </c>
      <c r="Q90" s="5387"/>
      <c r="R90" s="5077"/>
      <c r="T90" s="3">
        <v>1</v>
      </c>
    </row>
    <row r="91" spans="3:20" ht="15.75">
      <c r="C91" s="852"/>
      <c r="D91" s="852"/>
      <c r="E91" s="5077"/>
      <c r="F91" s="852"/>
      <c r="G91" s="5363" t="str">
        <f t="shared" si="7"/>
        <v/>
      </c>
      <c r="H91" s="5367" t="str">
        <f t="shared" si="8"/>
        <v/>
      </c>
      <c r="I91" s="5368">
        <f>IF(LEN(TRIM(N91))&gt;0,MAX(I29:I90)+1,"")</f>
        <v>15</v>
      </c>
      <c r="J91" s="199" t="str">
        <f>IFERROR(INDEX(N30:N299,MATCH(ROW()-ROW(N30)+1,I30:I299,0)),"")</f>
        <v/>
      </c>
      <c r="K91" s="5388"/>
      <c r="L91" s="852"/>
      <c r="M91" s="5370" t="str">
        <f>TRIM(SUBSTITUTE(SUBSTITUTE(SUBSTITUTE(SUBSTITUTE(IF(OR(LEFT(M90,1)="-",LEFT(M90,1)="="),MID(M90,2,9999),M90),CHAR(160)," "),","," "),";"," "),"."," "))</f>
        <v>6 Portez à ébullition puis baissez le feu et laissez mijoter à feu doux pendant environ 3 heures en remuant de temps en temps La viande doit être tendre et la sauce onctueuse</v>
      </c>
      <c r="N91" s="5371" t="str">
        <f>IF(OR(O90="",M92=""),"",IF(LEN(O90)&lt;=M92,O90,IFERROR(LEFT(O90,FIND("♦",SUBSTITUTE(LEFT(O90,M92+1)," ","♦",LEN(LEFT(O90,M92+1))-LEN(SUBSTITUTE(LEFT(O90,M92+1)," ",""))))),LEFT(O90,IFERROR(FIND(" ",O90)-1,LEN(O90))))))</f>
        <v>remuant de temps en temps La viande doit être tendre et la sauce onctueuse</v>
      </c>
      <c r="O91" s="5371" t="str">
        <f>IF(N91="","",TRIM(RIGHT(O90,LEN(O90)-LEN(N91))))</f>
        <v/>
      </c>
      <c r="P91" s="5389"/>
      <c r="Q91" s="5387"/>
      <c r="R91" s="5077"/>
      <c r="T91" s="3">
        <v>1</v>
      </c>
    </row>
    <row r="92" spans="3:20" ht="15.75">
      <c r="C92" s="852"/>
      <c r="D92" s="852"/>
      <c r="E92" s="5077"/>
      <c r="F92" s="852"/>
      <c r="G92" s="5363" t="str">
        <f t="shared" si="7"/>
        <v/>
      </c>
      <c r="H92" s="5367" t="str">
        <f t="shared" si="8"/>
        <v/>
      </c>
      <c r="I92" s="5368" t="str">
        <f>IF(LEN(TRIM(N92))&gt;0,MAX(I29:I91)+1,"")</f>
        <v/>
      </c>
      <c r="J92" s="199" t="str">
        <f>IFERROR(INDEX(N30:N299,MATCH(ROW()-ROW(N30)+1,I30:I299,0)),"")</f>
        <v/>
      </c>
      <c r="K92" s="5388"/>
      <c r="L92" s="852"/>
      <c r="M92" s="5376">
        <f>J17</f>
        <v>100</v>
      </c>
      <c r="N92" s="5371" t="str">
        <f>IF(OR(O91="",M92=""),"",IF(LEN(O91)&lt;=M92,O91,IFERROR(LEFT(O91,FIND("♦",SUBSTITUTE(LEFT(O91,M92+1)," ","♦",LEN(LEFT(O91,M92+1))-LEN(SUBSTITUTE(LEFT(O91,M92+1)," ",""))))),LEFT(O91,IFERROR(FIND(" ",O91)-1,LEN(O91))))))</f>
        <v/>
      </c>
      <c r="O92" s="5371" t="str">
        <f t="shared" ref="O92:O95" si="29">IF(N92="","",TRIM(RIGHT(O91,LEN(O91)-LEN(N92))))</f>
        <v/>
      </c>
      <c r="P92" s="5389"/>
      <c r="Q92" s="5387"/>
      <c r="R92" s="5077"/>
      <c r="T92" s="3">
        <v>1</v>
      </c>
    </row>
    <row r="93" spans="3:20" ht="15.75">
      <c r="C93" s="852"/>
      <c r="D93" s="852"/>
      <c r="E93" s="5077"/>
      <c r="F93" s="852"/>
      <c r="G93" s="5363" t="str">
        <f t="shared" si="7"/>
        <v/>
      </c>
      <c r="H93" s="5367" t="str">
        <f t="shared" si="8"/>
        <v/>
      </c>
      <c r="I93" s="5368" t="str">
        <f>IF(LEN(TRIM(N93))&gt;0,MAX(I29:I92)+1,"")</f>
        <v/>
      </c>
      <c r="J93" s="199" t="str">
        <f>IFERROR(INDEX(N30:N299,MATCH(ROW()-ROW(N30)+1,I30:I299,0)),"")</f>
        <v/>
      </c>
      <c r="K93" s="5388"/>
      <c r="L93" s="852"/>
      <c r="M93" s="5370"/>
      <c r="N93" s="5371" t="str">
        <f>IF(OR(O92="",M92=""),"",IF(LEN(O92)&lt;=M92,O92,IFERROR(LEFT(O92,FIND("♦",SUBSTITUTE(LEFT(O92,M92+1)," ","♦",LEN(LEFT(O92,M92+1))-LEN(SUBSTITUTE(LEFT(O92,M92+1)," ",""))))),LEFT(O92,IFERROR(FIND(" ",O92)-1,LEN(O92))))))</f>
        <v/>
      </c>
      <c r="O93" s="5371" t="str">
        <f t="shared" si="29"/>
        <v/>
      </c>
      <c r="P93" s="5389"/>
      <c r="Q93" s="5387"/>
      <c r="R93" s="5077"/>
      <c r="T93" s="3">
        <v>1</v>
      </c>
    </row>
    <row r="94" spans="3:20" ht="15.75">
      <c r="C94" s="852"/>
      <c r="D94" s="852"/>
      <c r="E94" s="5077"/>
      <c r="F94" s="852"/>
      <c r="G94" s="5363" t="str">
        <f t="shared" si="7"/>
        <v/>
      </c>
      <c r="H94" s="5367" t="str">
        <f t="shared" si="8"/>
        <v/>
      </c>
      <c r="I94" s="5368" t="str">
        <f>IF(LEN(TRIM(N94))&gt;0,MAX(I29:I93)+1,"")</f>
        <v/>
      </c>
      <c r="J94" s="199" t="str">
        <f>IFERROR(INDEX(N30:N299,MATCH(ROW()-ROW(N30)+1,I30:I299,0)),"")</f>
        <v/>
      </c>
      <c r="K94" s="5388"/>
      <c r="L94" s="852"/>
      <c r="M94" s="5377"/>
      <c r="N94" s="5371" t="str">
        <f>IF(OR(O93="",M92=""),"",IF(LEN(O93)&lt;=M92,O93,IFERROR(LEFT(O93,FIND("♦",SUBSTITUTE(LEFT(O93,M92+1)," ","♦",LEN(LEFT(O93,M92+1))-LEN(SUBSTITUTE(LEFT(O93,M92+1)," ",""))))),LEFT(O93,IFERROR(FIND(" ",O93)-1,LEN(O93))))))</f>
        <v/>
      </c>
      <c r="O94" s="5371" t="str">
        <f t="shared" si="29"/>
        <v/>
      </c>
      <c r="P94" s="5389"/>
      <c r="Q94" s="5387"/>
      <c r="R94" s="5077"/>
      <c r="T94" s="3">
        <v>1</v>
      </c>
    </row>
    <row r="95" spans="3:20" ht="15.75">
      <c r="C95" s="852"/>
      <c r="D95" s="852"/>
      <c r="E95" s="5077"/>
      <c r="F95" s="852"/>
      <c r="G95" s="5363" t="str">
        <f t="shared" si="7"/>
        <v/>
      </c>
      <c r="H95" s="5367" t="str">
        <f t="shared" si="8"/>
        <v/>
      </c>
      <c r="I95" s="5368" t="str">
        <f>IF(LEN(TRIM(N95))&gt;0,MAX(I29:I94)+1,"")</f>
        <v/>
      </c>
      <c r="J95" s="199" t="str">
        <f>IFERROR(INDEX(N30:N299,MATCH(ROW()-ROW(N30)+1,I30:I299,0)),"")</f>
        <v/>
      </c>
      <c r="K95" s="5388"/>
      <c r="L95" s="852"/>
      <c r="M95" s="5378"/>
      <c r="N95" s="5371" t="str">
        <f>IF(OR(O94="",M92=""),"",IF(LEN(O94)&lt;=M92,O94,IFERROR(LEFT(O94,FIND("♦",SUBSTITUTE(LEFT(O94,M92+1)," ","♦",LEN(LEFT(O94,M92+1))-LEN(SUBSTITUTE(LEFT(O94,M92+1)," ",""))))),LEFT(O94,IFERROR(FIND(" ",O94)-1,LEN(O94))))))</f>
        <v/>
      </c>
      <c r="O95" s="5371" t="str">
        <f t="shared" si="29"/>
        <v/>
      </c>
      <c r="P95" s="5389"/>
      <c r="Q95" s="5387"/>
      <c r="R95" s="5077"/>
      <c r="T95" s="3">
        <v>1</v>
      </c>
    </row>
    <row r="96" spans="3:20" ht="15.75">
      <c r="C96" s="852"/>
      <c r="D96" s="852"/>
      <c r="E96" s="5077"/>
      <c r="F96" s="852"/>
      <c r="G96" s="5363" t="str">
        <f t="shared" ref="G96:G159" si="30">IF(J96="","",(LEN(TRIM(SUBSTITUTE(J96,CHAR(160)," ")))-LEN(SUBSTITUTE(TRIM(SUBSTITUTE(J96,CHAR(160)," "))," ",""))+1)&amp;" mot"&amp;IF((LEN(TRIM(SUBSTITUTE(J96,CHAR(160)," ")))-LEN(SUBSTITUTE(TRIM(SUBSTITUTE(J96,CHAR(160)," "))," ",""))+1)&gt;1,"s",""))</f>
        <v/>
      </c>
      <c r="H96" s="5367" t="str">
        <f t="shared" ref="H96:H159" si="31">IF(J96="","",LEN(TRIM(SUBSTITUTE(J96,CHAR(160),"")))&amp;" car. ►")</f>
        <v/>
      </c>
      <c r="I96" s="5368">
        <f>IF(LEN(TRIM(N96))&gt;0,MAX(I29:I95)+1,"")</f>
        <v>16</v>
      </c>
      <c r="J96" s="199" t="str">
        <f>IFERROR(INDEX(N30:N299,MATCH(ROW()-ROW(N30)+1,I30:I299,0)),"")</f>
        <v/>
      </c>
      <c r="K96" s="5388"/>
      <c r="L96" s="852"/>
      <c r="M96" s="5369" t="str">
        <f>(SUBSTITUTE(SUBSTITUTE(E41,CHAR(13)&amp;CHAR(10)," "),CHAR(10)," "))</f>
        <v>7. Pendant ce temps, faites revenir les champignons dans une poêle avec un peu d’huile d’olive pendant environ 5 minutes.</v>
      </c>
      <c r="N96" s="5379" t="str">
        <f>IF(OR(M97="",M98=""),"",IF(LEN(M97)&lt;=M98,M97,IFERROR(LEFT(M97,FIND("♦",SUBSTITUTE(LEFT(M97,M98+1)," ","♦",LEN(LEFT(M97,M98+1))-LEN(SUBSTITUTE(LEFT(M97,M98+1)," ",""))))),LEFT(M97,IFERROR(FIND(" ",M97)-1,LEN(M97))))))</f>
        <v xml:space="preserve">7 Pendant ce temps faites revenir les champignons dans une poêle avec un peu d’huile d’olive pendant </v>
      </c>
      <c r="O96" s="5380" t="str">
        <f>IF(N96="","",TRIM(RIGHT(M97,LEN(M97)-LEN(N96))))</f>
        <v>environ 5 minutes</v>
      </c>
      <c r="P96" s="5372" t="str">
        <f>F41</f>
        <v xml:space="preserve"> ◄ ligne 41</v>
      </c>
      <c r="Q96" s="5387"/>
      <c r="R96" s="5077"/>
      <c r="T96" s="3">
        <v>1</v>
      </c>
    </row>
    <row r="97" spans="3:20" ht="15.75">
      <c r="C97" s="852"/>
      <c r="D97" s="852"/>
      <c r="E97" s="5077"/>
      <c r="F97" s="852"/>
      <c r="G97" s="5363" t="str">
        <f t="shared" si="30"/>
        <v/>
      </c>
      <c r="H97" s="5367" t="str">
        <f t="shared" si="31"/>
        <v/>
      </c>
      <c r="I97" s="5368">
        <f>IF(LEN(TRIM(N97))&gt;0,MAX(I29:I96)+1,"")</f>
        <v>17</v>
      </c>
      <c r="J97" s="199" t="str">
        <f>IFERROR(INDEX(N30:N299,MATCH(ROW()-ROW(N30)+1,I30:I299,0)),"")</f>
        <v/>
      </c>
      <c r="K97" s="5388"/>
      <c r="L97" s="852"/>
      <c r="M97" s="5379" t="str">
        <f>TRIM(SUBSTITUTE(SUBSTITUTE(SUBSTITUTE(SUBSTITUTE(IF(OR(LEFT(M96,1)="-",LEFT(M96,1)="="),MID(M96,2,9999),M96),CHAR(160)," "),","," "),";"," "),"."," "))</f>
        <v>7 Pendant ce temps faites revenir les champignons dans une poêle avec un peu d’huile d’olive pendant environ 5 minutes</v>
      </c>
      <c r="N97" s="5380" t="str">
        <f>IF(OR(O96="",M98=""),"",IF(LEN(O96)&lt;=M98,O96,IFERROR(LEFT(O96,FIND("♦",SUBSTITUTE(LEFT(O96,M98+1)," ","♦",LEN(LEFT(O96,M98+1))-LEN(SUBSTITUTE(LEFT(O96,M98+1)," ",""))))),LEFT(O96,IFERROR(FIND(" ",O96)-1,LEN(O96))))))</f>
        <v>environ 5 minutes</v>
      </c>
      <c r="O97" s="5380" t="str">
        <f>IF(N97="","",TRIM(RIGHT(O96,LEN(O96)-LEN(N97))))</f>
        <v/>
      </c>
      <c r="P97" s="5390"/>
      <c r="Q97" s="5387"/>
      <c r="R97" s="5077"/>
      <c r="T97" s="3">
        <v>1</v>
      </c>
    </row>
    <row r="98" spans="3:20" ht="15.75">
      <c r="C98" s="852"/>
      <c r="D98" s="852"/>
      <c r="E98" s="5077"/>
      <c r="F98" s="852"/>
      <c r="G98" s="5363" t="str">
        <f t="shared" si="30"/>
        <v/>
      </c>
      <c r="H98" s="5367" t="str">
        <f t="shared" si="31"/>
        <v/>
      </c>
      <c r="I98" s="5368" t="str">
        <f>IF(LEN(TRIM(N98))&gt;0,MAX(I29:I97)+1,"")</f>
        <v/>
      </c>
      <c r="J98" s="199" t="str">
        <f>IFERROR(INDEX(N30:N299,MATCH(ROW()-ROW(N30)+1,I30:I299,0)),"")</f>
        <v/>
      </c>
      <c r="K98" s="5388"/>
      <c r="L98" s="852"/>
      <c r="M98" s="5376">
        <f>J17</f>
        <v>100</v>
      </c>
      <c r="N98" s="5380" t="str">
        <f>IF(OR(O97="",M98=""),"",IF(LEN(O97)&lt;=M98,O97,IFERROR(LEFT(O97,FIND("♦",SUBSTITUTE(LEFT(O97,M98+1)," ","♦",LEN(LEFT(O97,M98+1))-LEN(SUBSTITUTE(LEFT(O97,M98+1)," ",""))))),LEFT(O97,IFERROR(FIND(" ",O97)-1,LEN(O97))))))</f>
        <v/>
      </c>
      <c r="O98" s="5380" t="str">
        <f t="shared" ref="O98:O101" si="32">IF(N98="","",TRIM(RIGHT(O97,LEN(O97)-LEN(N98))))</f>
        <v/>
      </c>
      <c r="P98" s="5390"/>
      <c r="Q98" s="5387"/>
      <c r="R98" s="5077"/>
      <c r="T98" s="3">
        <v>1</v>
      </c>
    </row>
    <row r="99" spans="3:20" ht="15.75">
      <c r="C99" s="852"/>
      <c r="D99" s="852"/>
      <c r="E99" s="5077"/>
      <c r="F99" s="852"/>
      <c r="G99" s="5363" t="str">
        <f t="shared" si="30"/>
        <v/>
      </c>
      <c r="H99" s="5367" t="str">
        <f t="shared" si="31"/>
        <v/>
      </c>
      <c r="I99" s="5368" t="str">
        <f>IF(LEN(TRIM(N99))&gt;0,MAX(I29:I98)+1,"")</f>
        <v/>
      </c>
      <c r="J99" s="199" t="str">
        <f>IFERROR(INDEX(N30:N299,MATCH(ROW()-ROW(N30)+1,I30:I299,0)),"")</f>
        <v/>
      </c>
      <c r="K99" s="5388"/>
      <c r="L99" s="852"/>
      <c r="M99" s="5379"/>
      <c r="N99" s="5380" t="str">
        <f>IF(OR(O98="",M98=""),"",IF(LEN(O98)&lt;=M98,O98,IFERROR(LEFT(O98,FIND("♦",SUBSTITUTE(LEFT(O98,M98+1)," ","♦",LEN(LEFT(O98,M98+1))-LEN(SUBSTITUTE(LEFT(O98,M98+1)," ",""))))),LEFT(O98,IFERROR(FIND(" ",O98)-1,LEN(O98))))))</f>
        <v/>
      </c>
      <c r="O99" s="5380" t="str">
        <f t="shared" si="32"/>
        <v/>
      </c>
      <c r="P99" s="5390"/>
      <c r="Q99" s="5387"/>
      <c r="R99" s="5077"/>
      <c r="T99" s="3">
        <v>1</v>
      </c>
    </row>
    <row r="100" spans="3:20" ht="15.75">
      <c r="C100" s="852"/>
      <c r="D100" s="852"/>
      <c r="E100" s="5077"/>
      <c r="F100" s="852"/>
      <c r="G100" s="5363" t="str">
        <f t="shared" si="30"/>
        <v/>
      </c>
      <c r="H100" s="5367" t="str">
        <f t="shared" si="31"/>
        <v/>
      </c>
      <c r="I100" s="5368" t="str">
        <f>IF(LEN(TRIM(N100))&gt;0,MAX(I29:I99)+1,"")</f>
        <v/>
      </c>
      <c r="J100" s="199" t="str">
        <f>IFERROR(INDEX(N30:N299,MATCH(ROW()-ROW(N30)+1,I30:I299,0)),"")</f>
        <v/>
      </c>
      <c r="K100" s="5388"/>
      <c r="L100" s="852"/>
      <c r="M100" s="5382"/>
      <c r="N100" s="5380" t="str">
        <f>IF(OR(O99="",M98=""),"",IF(LEN(O99)&lt;=M98,O99,IFERROR(LEFT(O99,FIND("♦",SUBSTITUTE(LEFT(O99,M98+1)," ","♦",LEN(LEFT(O99,M98+1))-LEN(SUBSTITUTE(LEFT(O99,M98+1)," ",""))))),LEFT(O99,IFERROR(FIND(" ",O99)-1,LEN(O99))))))</f>
        <v/>
      </c>
      <c r="O100" s="5380" t="str">
        <f t="shared" si="32"/>
        <v/>
      </c>
      <c r="P100" s="5390"/>
      <c r="Q100" s="5387"/>
      <c r="R100" s="5077"/>
      <c r="T100" s="3">
        <v>1</v>
      </c>
    </row>
    <row r="101" spans="3:20" ht="15.75">
      <c r="C101" s="852"/>
      <c r="D101" s="852"/>
      <c r="E101" s="5077"/>
      <c r="F101" s="852"/>
      <c r="G101" s="5363" t="str">
        <f t="shared" si="30"/>
        <v/>
      </c>
      <c r="H101" s="5367" t="str">
        <f t="shared" si="31"/>
        <v/>
      </c>
      <c r="I101" s="5368" t="str">
        <f>IF(LEN(TRIM(N101))&gt;0,MAX(I29:I100)+1,"")</f>
        <v/>
      </c>
      <c r="J101" s="199" t="str">
        <f>IFERROR(INDEX(N30:N299,MATCH(ROW()-ROW(N30)+1,I30:I299,0)),"")</f>
        <v/>
      </c>
      <c r="K101" s="5388"/>
      <c r="L101" s="852"/>
      <c r="M101" s="5383"/>
      <c r="N101" s="5380" t="str">
        <f>IF(OR(O100="",M98=""),"",IF(LEN(O100)&lt;=M98,O100,IFERROR(LEFT(O100,FIND("♦",SUBSTITUTE(LEFT(O100,M98+1)," ","♦",LEN(LEFT(O100,M98+1))-LEN(SUBSTITUTE(LEFT(O100,M98+1)," ",""))))),LEFT(O100,IFERROR(FIND(" ",O100)-1,LEN(O100))))))</f>
        <v/>
      </c>
      <c r="O101" s="5380" t="str">
        <f t="shared" si="32"/>
        <v/>
      </c>
      <c r="P101" s="5390"/>
      <c r="Q101" s="5387"/>
      <c r="R101" s="5077"/>
      <c r="T101" s="3">
        <v>1</v>
      </c>
    </row>
    <row r="102" spans="3:20" ht="15.75">
      <c r="C102" s="852"/>
      <c r="D102" s="852"/>
      <c r="E102" s="5077"/>
      <c r="F102" s="852"/>
      <c r="G102" s="5363" t="str">
        <f t="shared" si="30"/>
        <v/>
      </c>
      <c r="H102" s="5367" t="str">
        <f t="shared" si="31"/>
        <v/>
      </c>
      <c r="I102" s="5368">
        <f>IF(LEN(TRIM(N102))&gt;0,MAX(I29:I101)+1,"")</f>
        <v>18</v>
      </c>
      <c r="J102" s="199" t="str">
        <f>IFERROR(INDEX(N30:N299,MATCH(ROW()-ROW(N30)+1,I30:I299,0)),"")</f>
        <v/>
      </c>
      <c r="K102" s="5388"/>
      <c r="L102" s="852"/>
      <c r="M102" s="5369" t="str">
        <f>(SUBSTITUTE(SUBSTITUTE(E42,CHAR(13)&amp;CHAR(10)," "),CHAR(10)," "))</f>
        <v>8. Ajoutez les champignons dans la cocotte environ 30 minutes avant la fin de la cuisson.</v>
      </c>
      <c r="N102" s="5370" t="str">
        <f>IF(OR(M103="",M104=""),"",IF(LEN(M103)&lt;=M104,M103,IFERROR(LEFT(M103,FIND("♦",SUBSTITUTE(LEFT(M103,M104+1)," ","♦",LEN(LEFT(M103,M104+1))-LEN(SUBSTITUTE(LEFT(M103,M104+1)," ",""))))),LEFT(M103,IFERROR(FIND(" ",M103)-1,LEN(M103))))))</f>
        <v>8 Ajoutez les champignons dans la cocotte environ 30 minutes avant la fin de la cuisson</v>
      </c>
      <c r="O102" s="5371" t="str">
        <f>IF(N102="","",TRIM(RIGHT(M103,LEN(M103)-LEN(N102))))</f>
        <v/>
      </c>
      <c r="P102" s="5372" t="str">
        <f>F42</f>
        <v xml:space="preserve"> ◄ ligne 42</v>
      </c>
      <c r="Q102" s="5387"/>
      <c r="R102" s="5077"/>
      <c r="T102" s="3">
        <v>1</v>
      </c>
    </row>
    <row r="103" spans="3:20" ht="15.75">
      <c r="C103" s="852"/>
      <c r="D103" s="852"/>
      <c r="E103" s="5077"/>
      <c r="F103" s="852"/>
      <c r="G103" s="5363" t="str">
        <f t="shared" si="30"/>
        <v/>
      </c>
      <c r="H103" s="5367" t="str">
        <f t="shared" si="31"/>
        <v/>
      </c>
      <c r="I103" s="5368" t="str">
        <f>IF(LEN(TRIM(N103))&gt;0,MAX(I29:I102)+1,"")</f>
        <v/>
      </c>
      <c r="J103" s="199" t="str">
        <f>IFERROR(INDEX(N30:N299,MATCH(ROW()-ROW(N30)+1,I30:I299,0)),"")</f>
        <v/>
      </c>
      <c r="K103" s="5388"/>
      <c r="L103" s="852"/>
      <c r="M103" s="5370" t="str">
        <f>TRIM(SUBSTITUTE(SUBSTITUTE(SUBSTITUTE(SUBSTITUTE(IF(OR(LEFT(M102,1)="-",LEFT(M102,1)="="),MID(M102,2,9999),M102),CHAR(160)," "),","," "),";"," "),"."," "))</f>
        <v>8 Ajoutez les champignons dans la cocotte environ 30 minutes avant la fin de la cuisson</v>
      </c>
      <c r="N103" s="5371" t="str">
        <f>IF(OR(O102="",M104=""),"",IF(LEN(O102)&lt;=M104,O102,IFERROR(LEFT(O102,FIND("♦",SUBSTITUTE(LEFT(O102,M104+1)," ","♦",LEN(LEFT(O102,M104+1))-LEN(SUBSTITUTE(LEFT(O102,M104+1)," ",""))))),LEFT(O102,IFERROR(FIND(" ",O102)-1,LEN(O102))))))</f>
        <v/>
      </c>
      <c r="O103" s="5371" t="str">
        <f>IF(N103="","",TRIM(RIGHT(O102,LEN(O102)-LEN(N103))))</f>
        <v/>
      </c>
      <c r="P103" s="5389"/>
      <c r="Q103" s="5387"/>
      <c r="R103" s="5077"/>
      <c r="T103" s="3">
        <v>1</v>
      </c>
    </row>
    <row r="104" spans="3:20" ht="15.75">
      <c r="C104" s="852"/>
      <c r="D104" s="852"/>
      <c r="E104" s="5077"/>
      <c r="F104" s="852"/>
      <c r="G104" s="5363" t="str">
        <f t="shared" si="30"/>
        <v/>
      </c>
      <c r="H104" s="5367" t="str">
        <f t="shared" si="31"/>
        <v/>
      </c>
      <c r="I104" s="5368" t="str">
        <f>IF(LEN(TRIM(N104))&gt;0,MAX(I29:I103)+1,"")</f>
        <v/>
      </c>
      <c r="J104" s="199" t="str">
        <f>IFERROR(INDEX(N30:N299,MATCH(ROW()-ROW(N30)+1,I30:I299,0)),"")</f>
        <v/>
      </c>
      <c r="K104" s="5388"/>
      <c r="L104" s="852"/>
      <c r="M104" s="5376">
        <f>J17</f>
        <v>100</v>
      </c>
      <c r="N104" s="5371" t="str">
        <f>IF(OR(O103="",M104=""),"",IF(LEN(O103)&lt;=M104,O103,IFERROR(LEFT(O103,FIND("♦",SUBSTITUTE(LEFT(O103,M104+1)," ","♦",LEN(LEFT(O103,M104+1))-LEN(SUBSTITUTE(LEFT(O103,M104+1)," ",""))))),LEFT(O103,IFERROR(FIND(" ",O103)-1,LEN(O103))))))</f>
        <v/>
      </c>
      <c r="O104" s="5371" t="str">
        <f t="shared" ref="O104:O107" si="33">IF(N104="","",TRIM(RIGHT(O103,LEN(O103)-LEN(N104))))</f>
        <v/>
      </c>
      <c r="P104" s="5389"/>
      <c r="Q104" s="5387"/>
      <c r="R104" s="5077"/>
      <c r="T104" s="3">
        <v>1</v>
      </c>
    </row>
    <row r="105" spans="3:20" ht="15.75">
      <c r="E105" s="5077"/>
      <c r="G105" s="5363" t="str">
        <f t="shared" si="30"/>
        <v/>
      </c>
      <c r="H105" s="5367" t="str">
        <f t="shared" si="31"/>
        <v/>
      </c>
      <c r="I105" s="5368" t="str">
        <f>IF(LEN(TRIM(N105))&gt;0,MAX(I29:I104)+1,"")</f>
        <v/>
      </c>
      <c r="J105" s="199" t="str">
        <f>IFERROR(INDEX(N30:N299,MATCH(ROW()-ROW(N30)+1,I30:I299,0)),"")</f>
        <v/>
      </c>
      <c r="K105" s="494"/>
      <c r="M105" s="5370"/>
      <c r="N105" s="5371" t="str">
        <f>IF(OR(O104="",M104=""),"",IF(LEN(O104)&lt;=M104,O104,IFERROR(LEFT(O104,FIND("♦",SUBSTITUTE(LEFT(O104,M104+1)," ","♦",LEN(LEFT(O104,M104+1))-LEN(SUBSTITUTE(LEFT(O104,M104+1)," ",""))))),LEFT(O104,IFERROR(FIND(" ",O104)-1,LEN(O104))))))</f>
        <v/>
      </c>
      <c r="O105" s="5371" t="str">
        <f t="shared" si="33"/>
        <v/>
      </c>
      <c r="P105" s="5389"/>
      <c r="Q105" s="5387"/>
      <c r="R105" s="5077"/>
      <c r="T105" s="3">
        <v>1</v>
      </c>
    </row>
    <row r="106" spans="3:20" ht="15.75">
      <c r="E106" s="5077"/>
      <c r="G106" s="5363" t="str">
        <f t="shared" si="30"/>
        <v/>
      </c>
      <c r="H106" s="5367" t="str">
        <f t="shared" si="31"/>
        <v/>
      </c>
      <c r="I106" s="5368" t="str">
        <f>IF(LEN(TRIM(N106))&gt;0,MAX(I29:I105)+1,"")</f>
        <v/>
      </c>
      <c r="J106" s="199" t="str">
        <f>IFERROR(INDEX(N30:N299,MATCH(ROW()-ROW(N30)+1,I30:I299,0)),"")</f>
        <v/>
      </c>
      <c r="K106" s="494"/>
      <c r="M106" s="5377"/>
      <c r="N106" s="5371" t="str">
        <f>IF(OR(O105="",M104=""),"",IF(LEN(O105)&lt;=M104,O105,IFERROR(LEFT(O105,FIND("♦",SUBSTITUTE(LEFT(O105,M104+1)," ","♦",LEN(LEFT(O105,M104+1))-LEN(SUBSTITUTE(LEFT(O105,M104+1)," ",""))))),LEFT(O105,IFERROR(FIND(" ",O105)-1,LEN(O105))))))</f>
        <v/>
      </c>
      <c r="O106" s="5371" t="str">
        <f t="shared" si="33"/>
        <v/>
      </c>
      <c r="P106" s="5389"/>
      <c r="Q106" s="5387"/>
      <c r="R106" s="5077"/>
      <c r="T106" s="3">
        <v>1</v>
      </c>
    </row>
    <row r="107" spans="3:20" ht="15.75">
      <c r="E107" s="5077"/>
      <c r="G107" s="5363" t="str">
        <f t="shared" si="30"/>
        <v/>
      </c>
      <c r="H107" s="5367" t="str">
        <f t="shared" si="31"/>
        <v/>
      </c>
      <c r="I107" s="5368" t="str">
        <f>IF(LEN(TRIM(N107))&gt;0,MAX(I29:I106)+1,"")</f>
        <v/>
      </c>
      <c r="J107" s="199" t="str">
        <f>IFERROR(INDEX(N30:N299,MATCH(ROW()-ROW(N30)+1,I30:I299,0)),"")</f>
        <v/>
      </c>
      <c r="K107" s="494"/>
      <c r="M107" s="5378"/>
      <c r="N107" s="5371" t="str">
        <f>IF(OR(O106="",M104=""),"",IF(LEN(O106)&lt;=M104,O106,IFERROR(LEFT(O106,FIND("♦",SUBSTITUTE(LEFT(O106,M104+1)," ","♦",LEN(LEFT(O106,M104+1))-LEN(SUBSTITUTE(LEFT(O106,M104+1)," ",""))))),LEFT(O106,IFERROR(FIND(" ",O106)-1,LEN(O106))))))</f>
        <v/>
      </c>
      <c r="O107" s="5371" t="str">
        <f t="shared" si="33"/>
        <v/>
      </c>
      <c r="P107" s="5389"/>
      <c r="Q107" s="5387"/>
      <c r="R107" s="5077"/>
      <c r="T107" s="3">
        <v>1</v>
      </c>
    </row>
    <row r="108" spans="3:20" ht="15.75">
      <c r="E108" s="5077"/>
      <c r="G108" s="5363" t="str">
        <f t="shared" si="30"/>
        <v/>
      </c>
      <c r="H108" s="5367" t="str">
        <f t="shared" si="31"/>
        <v/>
      </c>
      <c r="I108" s="5368">
        <f>IF(LEN(TRIM(N108))&gt;0,MAX(I29:I107)+1,"")</f>
        <v>19</v>
      </c>
      <c r="J108" s="199" t="str">
        <f>IFERROR(INDEX(N30:N299,MATCH(ROW()-ROW(N30)+1,I30:I299,0)),"")</f>
        <v/>
      </c>
      <c r="K108" s="494"/>
      <c r="M108" s="5369" t="str">
        <f>(SUBSTITUTE(SUBSTITUTE(E43,CHAR(13)&amp;CHAR(10)," "),CHAR(10)," "))</f>
        <v>9. Servez le bœuf bourguignon bien chaud accompagné de pommes de terre, de pâtes ou de riz.</v>
      </c>
      <c r="N108" s="5379" t="str">
        <f>IF(OR(M109="",M110=""),"",IF(LEN(M109)&lt;=M110,M109,IFERROR(LEFT(M109,FIND("♦",SUBSTITUTE(LEFT(M109,M110+1)," ","♦",LEN(LEFT(M109,M110+1))-LEN(SUBSTITUTE(LEFT(M109,M110+1)," ",""))))),LEFT(M109,IFERROR(FIND(" ",M109)-1,LEN(M109))))))</f>
        <v>9 Servez le bœuf bourguignon bien chaud accompagné de pommes de terre de pâtes ou de riz</v>
      </c>
      <c r="O108" s="5380" t="str">
        <f>IF(N108="","",TRIM(RIGHT(M109,LEN(M109)-LEN(N108))))</f>
        <v/>
      </c>
      <c r="P108" s="5372" t="str">
        <f>F43</f>
        <v xml:space="preserve"> ◄ ligne 43</v>
      </c>
      <c r="Q108" s="5387"/>
      <c r="R108" s="5077"/>
      <c r="T108" s="3">
        <v>1</v>
      </c>
    </row>
    <row r="109" spans="3:20" ht="15.75">
      <c r="E109" s="5077"/>
      <c r="G109" s="5363" t="str">
        <f t="shared" si="30"/>
        <v/>
      </c>
      <c r="H109" s="5367" t="str">
        <f t="shared" si="31"/>
        <v/>
      </c>
      <c r="I109" s="5368" t="str">
        <f>IF(LEN(TRIM(N109))&gt;0,MAX(I29:I108)+1,"")</f>
        <v/>
      </c>
      <c r="J109" s="199" t="str">
        <f>IFERROR(INDEX(N30:N299,MATCH(ROW()-ROW(N30)+1,I30:I299,0)),"")</f>
        <v/>
      </c>
      <c r="K109" s="494"/>
      <c r="M109" s="5379" t="str">
        <f>TRIM(SUBSTITUTE(SUBSTITUTE(SUBSTITUTE(SUBSTITUTE(IF(OR(LEFT(M108,1)="-",LEFT(M108,1)="="),MID(M108,2,9999),M108),CHAR(160)," "),","," "),";"," "),"."," "))</f>
        <v>9 Servez le bœuf bourguignon bien chaud accompagné de pommes de terre de pâtes ou de riz</v>
      </c>
      <c r="N109" s="5380" t="str">
        <f>IF(OR(O108="",M110=""),"",IF(LEN(O108)&lt;=M110,O108,IFERROR(LEFT(O108,FIND("♦",SUBSTITUTE(LEFT(O108,M110+1)," ","♦",LEN(LEFT(O108,M110+1))-LEN(SUBSTITUTE(LEFT(O108,M110+1)," ",""))))),LEFT(O108,IFERROR(FIND(" ",O108)-1,LEN(O108))))))</f>
        <v/>
      </c>
      <c r="O109" s="5380" t="str">
        <f>IF(N109="","",TRIM(RIGHT(O108,LEN(O108)-LEN(N109))))</f>
        <v/>
      </c>
      <c r="P109" s="5390"/>
      <c r="Q109" s="5387"/>
      <c r="R109" s="5077"/>
      <c r="T109" s="3">
        <v>1</v>
      </c>
    </row>
    <row r="110" spans="3:20" ht="15.75">
      <c r="E110" s="5077"/>
      <c r="G110" s="5363" t="str">
        <f t="shared" si="30"/>
        <v/>
      </c>
      <c r="H110" s="5367" t="str">
        <f t="shared" si="31"/>
        <v/>
      </c>
      <c r="I110" s="5368" t="str">
        <f>IF(LEN(TRIM(N110))&gt;0,MAX(I29:I109)+1,"")</f>
        <v/>
      </c>
      <c r="J110" s="199" t="str">
        <f>IFERROR(INDEX(N30:N299,MATCH(ROW()-ROW(N30)+1,I30:I299,0)),"")</f>
        <v/>
      </c>
      <c r="K110" s="494"/>
      <c r="M110" s="5376">
        <f>J17</f>
        <v>100</v>
      </c>
      <c r="N110" s="5380" t="str">
        <f>IF(OR(O109="",M110=""),"",IF(LEN(O109)&lt;=M110,O109,IFERROR(LEFT(O109,FIND("♦",SUBSTITUTE(LEFT(O109,M110+1)," ","♦",LEN(LEFT(O109,M110+1))-LEN(SUBSTITUTE(LEFT(O109,M110+1)," ",""))))),LEFT(O109,IFERROR(FIND(" ",O109)-1,LEN(O109))))))</f>
        <v/>
      </c>
      <c r="O110" s="5380" t="str">
        <f t="shared" ref="O110:O113" si="34">IF(N110="","",TRIM(RIGHT(O109,LEN(O109)-LEN(N110))))</f>
        <v/>
      </c>
      <c r="P110" s="5390"/>
      <c r="Q110" s="5387"/>
      <c r="R110" s="5077"/>
      <c r="T110" s="3">
        <v>1</v>
      </c>
    </row>
    <row r="111" spans="3:20" ht="15.75">
      <c r="E111" s="5077"/>
      <c r="G111" s="5363" t="str">
        <f t="shared" si="30"/>
        <v/>
      </c>
      <c r="H111" s="5367" t="str">
        <f t="shared" si="31"/>
        <v/>
      </c>
      <c r="I111" s="5368" t="str">
        <f>IF(LEN(TRIM(N111))&gt;0,MAX(I29:I110)+1,"")</f>
        <v/>
      </c>
      <c r="J111" s="199" t="str">
        <f>IFERROR(INDEX(N30:N299,MATCH(ROW()-ROW(N30)+1,I30:I299,0)),"")</f>
        <v/>
      </c>
      <c r="K111" s="494"/>
      <c r="M111" s="5379"/>
      <c r="N111" s="5380" t="str">
        <f>IF(OR(O110="",M110=""),"",IF(LEN(O110)&lt;=M110,O110,IFERROR(LEFT(O110,FIND("♦",SUBSTITUTE(LEFT(O110,M110+1)," ","♦",LEN(LEFT(O110,M110+1))-LEN(SUBSTITUTE(LEFT(O110,M110+1)," ",""))))),LEFT(O110,IFERROR(FIND(" ",O110)-1,LEN(O110))))))</f>
        <v/>
      </c>
      <c r="O111" s="5380" t="str">
        <f t="shared" si="34"/>
        <v/>
      </c>
      <c r="P111" s="5390"/>
      <c r="Q111" s="5387"/>
      <c r="R111" s="5077"/>
      <c r="T111" s="3">
        <v>1</v>
      </c>
    </row>
    <row r="112" spans="3:20" ht="15.75">
      <c r="E112" s="5077"/>
      <c r="G112" s="5363" t="str">
        <f t="shared" si="30"/>
        <v/>
      </c>
      <c r="H112" s="5367" t="str">
        <f t="shared" si="31"/>
        <v/>
      </c>
      <c r="I112" s="5368" t="str">
        <f>IF(LEN(TRIM(N112))&gt;0,MAX(I29:I111)+1,"")</f>
        <v/>
      </c>
      <c r="J112" s="199" t="str">
        <f>IFERROR(INDEX(N30:N299,MATCH(ROW()-ROW(N30)+1,I30:I299,0)),"")</f>
        <v/>
      </c>
      <c r="K112" s="494"/>
      <c r="M112" s="5382"/>
      <c r="N112" s="5380" t="str">
        <f>IF(OR(O111="",M110=""),"",IF(LEN(O111)&lt;=M110,O111,IFERROR(LEFT(O111,FIND("♦",SUBSTITUTE(LEFT(O111,M110+1)," ","♦",LEN(LEFT(O111,M110+1))-LEN(SUBSTITUTE(LEFT(O111,M110+1)," ",""))))),LEFT(O111,IFERROR(FIND(" ",O111)-1,LEN(O111))))))</f>
        <v/>
      </c>
      <c r="O112" s="5380" t="str">
        <f t="shared" si="34"/>
        <v/>
      </c>
      <c r="P112" s="5390"/>
      <c r="Q112" s="5387"/>
      <c r="R112" s="5077"/>
      <c r="T112" s="3">
        <v>1</v>
      </c>
    </row>
    <row r="113" spans="5:20" ht="15.75">
      <c r="E113" s="5077"/>
      <c r="G113" s="5363" t="str">
        <f t="shared" si="30"/>
        <v/>
      </c>
      <c r="H113" s="5367" t="str">
        <f t="shared" si="31"/>
        <v/>
      </c>
      <c r="I113" s="5368" t="str">
        <f>IF(LEN(TRIM(N113))&gt;0,MAX(I29:I112)+1,"")</f>
        <v/>
      </c>
      <c r="J113" s="199" t="str">
        <f>IFERROR(INDEX(N30:N299,MATCH(ROW()-ROW(N30)+1,I30:I299,0)),"")</f>
        <v/>
      </c>
      <c r="K113" s="494"/>
      <c r="M113" s="5383"/>
      <c r="N113" s="5380" t="str">
        <f>IF(OR(O112="",M110=""),"",IF(LEN(O112)&lt;=M110,O112,IFERROR(LEFT(O112,FIND("♦",SUBSTITUTE(LEFT(O112,M110+1)," ","♦",LEN(LEFT(O112,M110+1))-LEN(SUBSTITUTE(LEFT(O112,M110+1)," ",""))))),LEFT(O112,IFERROR(FIND(" ",O112)-1,LEN(O112))))))</f>
        <v/>
      </c>
      <c r="O113" s="5380" t="str">
        <f t="shared" si="34"/>
        <v/>
      </c>
      <c r="P113" s="5390"/>
      <c r="Q113" s="5387"/>
      <c r="R113" s="5077"/>
      <c r="T113" s="3">
        <v>1</v>
      </c>
    </row>
    <row r="114" spans="5:20" ht="15.75">
      <c r="E114" s="5077"/>
      <c r="G114" s="5363" t="str">
        <f t="shared" si="30"/>
        <v/>
      </c>
      <c r="H114" s="5367" t="str">
        <f t="shared" si="31"/>
        <v/>
      </c>
      <c r="I114" s="5368" t="str">
        <f>IF(LEN(TRIM(N114))&gt;0,MAX(I29:I113)+1,"")</f>
        <v/>
      </c>
      <c r="J114" s="199" t="str">
        <f>IFERROR(INDEX(N30:N299,MATCH(ROW()-ROW(N30)+1,I30:I299,0)),"")</f>
        <v/>
      </c>
      <c r="K114" s="494"/>
      <c r="M114" s="5369" t="str">
        <f>(SUBSTITUTE(SUBSTITUTE(E44,CHAR(13)&amp;CHAR(10)," "),CHAR(10)," "))</f>
        <v/>
      </c>
      <c r="N114" s="5370" t="str">
        <f>IF(OR(M115="",M116=""),"",IF(LEN(M115)&lt;=M116,M115,IFERROR(LEFT(M115,FIND("♦",SUBSTITUTE(LEFT(M115,M116+1)," ","♦",LEN(LEFT(M115,M116+1))-LEN(SUBSTITUTE(LEFT(M115,M116+1)," ",""))))),LEFT(M115,IFERROR(FIND(" ",M115)-1,LEN(M115))))))</f>
        <v/>
      </c>
      <c r="O114" s="5371" t="str">
        <f>IF(N114="","",TRIM(RIGHT(M115,LEN(M115)-LEN(N114))))</f>
        <v/>
      </c>
      <c r="P114" s="5372" t="str">
        <f>F44</f>
        <v xml:space="preserve"> ◄ ligne 44</v>
      </c>
      <c r="Q114" s="5387"/>
      <c r="R114" s="5077"/>
      <c r="T114" s="3">
        <v>1</v>
      </c>
    </row>
    <row r="115" spans="5:20" ht="15.75">
      <c r="E115" s="5077"/>
      <c r="G115" s="5363" t="str">
        <f t="shared" si="30"/>
        <v/>
      </c>
      <c r="H115" s="5367" t="str">
        <f t="shared" si="31"/>
        <v/>
      </c>
      <c r="I115" s="5368" t="str">
        <f>IF(LEN(TRIM(N115))&gt;0,MAX(I29:I114)+1,"")</f>
        <v/>
      </c>
      <c r="J115" s="199" t="str">
        <f>IFERROR(INDEX(N30:N299,MATCH(ROW()-ROW(N30)+1,I30:I299,0)),"")</f>
        <v/>
      </c>
      <c r="K115" s="494"/>
      <c r="M115" s="5370" t="str">
        <f>TRIM(SUBSTITUTE(SUBSTITUTE(SUBSTITUTE(SUBSTITUTE(IF(OR(LEFT(M114,1)="-",LEFT(M114,1)="="),MID(M114,2,9999),M114),CHAR(160)," "),","," "),";"," "),"."," "))</f>
        <v/>
      </c>
      <c r="N115" s="5371" t="str">
        <f>IF(OR(O114="",M116=""),"",IF(LEN(O114)&lt;=M116,O114,IFERROR(LEFT(O114,FIND("♦",SUBSTITUTE(LEFT(O114,M116+1)," ","♦",LEN(LEFT(O114,M116+1))-LEN(SUBSTITUTE(LEFT(O114,M116+1)," ",""))))),LEFT(O114,IFERROR(FIND(" ",O114)-1,LEN(O114))))))</f>
        <v/>
      </c>
      <c r="O115" s="5371" t="str">
        <f>IF(N115="","",TRIM(RIGHT(O114,LEN(O114)-LEN(N115))))</f>
        <v/>
      </c>
      <c r="P115" s="5389"/>
      <c r="Q115" s="5387"/>
      <c r="R115" s="5077"/>
      <c r="T115" s="3">
        <v>1</v>
      </c>
    </row>
    <row r="116" spans="5:20" ht="15.75">
      <c r="E116" s="5077"/>
      <c r="G116" s="5363" t="str">
        <f t="shared" si="30"/>
        <v/>
      </c>
      <c r="H116" s="5367" t="str">
        <f t="shared" si="31"/>
        <v/>
      </c>
      <c r="I116" s="5368" t="str">
        <f>IF(LEN(TRIM(N116))&gt;0,MAX(I29:I115)+1,"")</f>
        <v/>
      </c>
      <c r="J116" s="199" t="str">
        <f>IFERROR(INDEX(N30:N299,MATCH(ROW()-ROW(N30)+1,I30:I299,0)),"")</f>
        <v/>
      </c>
      <c r="K116" s="494"/>
      <c r="M116" s="5376">
        <f>J17</f>
        <v>100</v>
      </c>
      <c r="N116" s="5371" t="str">
        <f>IF(OR(O115="",M116=""),"",IF(LEN(O115)&lt;=M116,O115,IFERROR(LEFT(O115,FIND("♦",SUBSTITUTE(LEFT(O115,M116+1)," ","♦",LEN(LEFT(O115,M116+1))-LEN(SUBSTITUTE(LEFT(O115,M116+1)," ",""))))),LEFT(O115,IFERROR(FIND(" ",O115)-1,LEN(O115))))))</f>
        <v/>
      </c>
      <c r="O116" s="5371" t="str">
        <f t="shared" ref="O116:O119" si="35">IF(N116="","",TRIM(RIGHT(O115,LEN(O115)-LEN(N116))))</f>
        <v/>
      </c>
      <c r="P116" s="5389"/>
      <c r="Q116" s="5387"/>
      <c r="R116" s="5077"/>
      <c r="T116" s="3">
        <v>1</v>
      </c>
    </row>
    <row r="117" spans="5:20" ht="15.75">
      <c r="E117" s="5077"/>
      <c r="G117" s="5363" t="str">
        <f t="shared" si="30"/>
        <v/>
      </c>
      <c r="H117" s="5367" t="str">
        <f t="shared" si="31"/>
        <v/>
      </c>
      <c r="I117" s="5368" t="str">
        <f>IF(LEN(TRIM(N117))&gt;0,MAX(I29:I116)+1,"")</f>
        <v/>
      </c>
      <c r="J117" s="199" t="str">
        <f>IFERROR(INDEX(N30:N299,MATCH(ROW()-ROW(N30)+1,I30:I299,0)),"")</f>
        <v/>
      </c>
      <c r="K117" s="494"/>
      <c r="M117" s="5370"/>
      <c r="N117" s="5371" t="str">
        <f>IF(OR(O116="",M116=""),"",IF(LEN(O116)&lt;=M116,O116,IFERROR(LEFT(O116,FIND("♦",SUBSTITUTE(LEFT(O116,M116+1)," ","♦",LEN(LEFT(O116,M116+1))-LEN(SUBSTITUTE(LEFT(O116,M116+1)," ",""))))),LEFT(O116,IFERROR(FIND(" ",O116)-1,LEN(O116))))))</f>
        <v/>
      </c>
      <c r="O117" s="5371" t="str">
        <f t="shared" si="35"/>
        <v/>
      </c>
      <c r="P117" s="5389"/>
      <c r="Q117" s="5387"/>
      <c r="R117" s="5077"/>
      <c r="T117" s="3">
        <v>1</v>
      </c>
    </row>
    <row r="118" spans="5:20" ht="15.75">
      <c r="E118" s="5077"/>
      <c r="G118" s="5363" t="str">
        <f t="shared" si="30"/>
        <v/>
      </c>
      <c r="H118" s="5367" t="str">
        <f t="shared" si="31"/>
        <v/>
      </c>
      <c r="I118" s="5368" t="str">
        <f>IF(LEN(TRIM(N118))&gt;0,MAX(I29:I117)+1,"")</f>
        <v/>
      </c>
      <c r="J118" s="199" t="str">
        <f>IFERROR(INDEX(N30:N299,MATCH(ROW()-ROW(N30)+1,I30:I299,0)),"")</f>
        <v/>
      </c>
      <c r="K118" s="494"/>
      <c r="M118" s="5377"/>
      <c r="N118" s="5371" t="str">
        <f>IF(OR(O117="",M116=""),"",IF(LEN(O117)&lt;=M116,O117,IFERROR(LEFT(O117,FIND("♦",SUBSTITUTE(LEFT(O117,M116+1)," ","♦",LEN(LEFT(O117,M116+1))-LEN(SUBSTITUTE(LEFT(O117,M116+1)," ",""))))),LEFT(O117,IFERROR(FIND(" ",O117)-1,LEN(O117))))))</f>
        <v/>
      </c>
      <c r="O118" s="5371" t="str">
        <f t="shared" si="35"/>
        <v/>
      </c>
      <c r="P118" s="5389"/>
      <c r="Q118" s="5387"/>
      <c r="R118" s="5077"/>
      <c r="T118" s="3">
        <v>1</v>
      </c>
    </row>
    <row r="119" spans="5:20" ht="15.75">
      <c r="E119" s="5077"/>
      <c r="G119" s="5363" t="str">
        <f t="shared" si="30"/>
        <v/>
      </c>
      <c r="H119" s="5367" t="str">
        <f t="shared" si="31"/>
        <v/>
      </c>
      <c r="I119" s="5368" t="str">
        <f>IF(LEN(TRIM(N119))&gt;0,MAX(I29:I118)+1,"")</f>
        <v/>
      </c>
      <c r="J119" s="199" t="str">
        <f>IFERROR(INDEX(N30:N299,MATCH(ROW()-ROW(N30)+1,I30:I299,0)),"")</f>
        <v/>
      </c>
      <c r="K119" s="494"/>
      <c r="M119" s="5378"/>
      <c r="N119" s="5371" t="str">
        <f>IF(OR(O118="",M116=""),"",IF(LEN(O118)&lt;=M116,O118,IFERROR(LEFT(O118,FIND("♦",SUBSTITUTE(LEFT(O118,M116+1)," ","♦",LEN(LEFT(O118,M116+1))-LEN(SUBSTITUTE(LEFT(O118,M116+1)," ",""))))),LEFT(O118,IFERROR(FIND(" ",O118)-1,LEN(O118))))))</f>
        <v/>
      </c>
      <c r="O119" s="5371" t="str">
        <f t="shared" si="35"/>
        <v/>
      </c>
      <c r="P119" s="5389"/>
      <c r="Q119" s="5387"/>
      <c r="R119" s="5077"/>
      <c r="T119" s="3">
        <v>1</v>
      </c>
    </row>
    <row r="120" spans="5:20" ht="15.75">
      <c r="E120" s="5077"/>
      <c r="G120" s="5363" t="str">
        <f t="shared" si="30"/>
        <v/>
      </c>
      <c r="H120" s="5367" t="str">
        <f t="shared" si="31"/>
        <v/>
      </c>
      <c r="I120" s="5368" t="str">
        <f>IF(LEN(TRIM(N120))&gt;0,MAX(I29:I119)+1,"")</f>
        <v/>
      </c>
      <c r="J120" s="199" t="str">
        <f>IFERROR(INDEX(N30:N299,MATCH(ROW()-ROW(N30)+1,I30:I299,0)),"")</f>
        <v/>
      </c>
      <c r="K120" s="494"/>
      <c r="M120" s="5369" t="str">
        <f>(SUBSTITUTE(SUBSTITUTE(E45,CHAR(13)&amp;CHAR(10)," "),CHAR(10)," "))</f>
        <v/>
      </c>
      <c r="N120" s="5379" t="str">
        <f>IF(OR(M121="",M122=""),"",IF(LEN(M121)&lt;=M122,M121,IFERROR(LEFT(M121,FIND("♦",SUBSTITUTE(LEFT(M121,M122+1)," ","♦",LEN(LEFT(M121,M122+1))-LEN(SUBSTITUTE(LEFT(M121,M122+1)," ",""))))),LEFT(M121,IFERROR(FIND(" ",M121)-1,LEN(M121))))))</f>
        <v/>
      </c>
      <c r="O120" s="5380" t="str">
        <f>IF(N120="","",TRIM(RIGHT(M121,LEN(M121)-LEN(N120))))</f>
        <v/>
      </c>
      <c r="P120" s="5372" t="str">
        <f>F45</f>
        <v xml:space="preserve"> ◄ ligne 45</v>
      </c>
      <c r="Q120" s="5387"/>
      <c r="R120" s="5077"/>
      <c r="T120" s="3">
        <v>1</v>
      </c>
    </row>
    <row r="121" spans="5:20" ht="15.75">
      <c r="E121" s="5077"/>
      <c r="G121" s="5363" t="str">
        <f t="shared" si="30"/>
        <v/>
      </c>
      <c r="H121" s="5367" t="str">
        <f t="shared" si="31"/>
        <v/>
      </c>
      <c r="I121" s="5368" t="str">
        <f>IF(LEN(TRIM(N121))&gt;0,MAX(I29:I120)+1,"")</f>
        <v/>
      </c>
      <c r="J121" s="199" t="str">
        <f>IFERROR(INDEX(N30:N299,MATCH(ROW()-ROW(N30)+1,I30:I299,0)),"")</f>
        <v/>
      </c>
      <c r="K121" s="494"/>
      <c r="M121" s="5379" t="str">
        <f>TRIM(SUBSTITUTE(SUBSTITUTE(SUBSTITUTE(SUBSTITUTE(IF(OR(LEFT(M120,1)="-",LEFT(M120,1)="="),MID(M120,2,9999),M120),CHAR(160)," "),","," "),";"," "),"."," "))</f>
        <v/>
      </c>
      <c r="N121" s="5380" t="str">
        <f>IF(OR(O120="",M122=""),"",IF(LEN(O120)&lt;=M122,O120,IFERROR(LEFT(O120,FIND("♦",SUBSTITUTE(LEFT(O120,M122+1)," ","♦",LEN(LEFT(O120,M122+1))-LEN(SUBSTITUTE(LEFT(O120,M122+1)," ",""))))),LEFT(O120,IFERROR(FIND(" ",O120)-1,LEN(O120))))))</f>
        <v/>
      </c>
      <c r="O121" s="5380" t="str">
        <f>IF(N121="","",TRIM(RIGHT(O120,LEN(O120)-LEN(N121))))</f>
        <v/>
      </c>
      <c r="P121" s="5390"/>
      <c r="Q121" s="5387"/>
      <c r="R121" s="5077"/>
      <c r="T121" s="3">
        <v>1</v>
      </c>
    </row>
    <row r="122" spans="5:20" ht="15.75">
      <c r="E122" s="5077"/>
      <c r="G122" s="5363" t="str">
        <f t="shared" si="30"/>
        <v/>
      </c>
      <c r="H122" s="5367" t="str">
        <f t="shared" si="31"/>
        <v/>
      </c>
      <c r="I122" s="5368" t="str">
        <f>IF(LEN(TRIM(N122))&gt;0,MAX(I29:I121)+1,"")</f>
        <v/>
      </c>
      <c r="J122" s="199" t="str">
        <f>IFERROR(INDEX(N30:N299,MATCH(ROW()-ROW(N30)+1,I30:I299,0)),"")</f>
        <v/>
      </c>
      <c r="K122" s="494"/>
      <c r="M122" s="5376">
        <f>J17</f>
        <v>100</v>
      </c>
      <c r="N122" s="5380" t="str">
        <f>IF(OR(O121="",M122=""),"",IF(LEN(O121)&lt;=M122,O121,IFERROR(LEFT(O121,FIND("♦",SUBSTITUTE(LEFT(O121,M122+1)," ","♦",LEN(LEFT(O121,M122+1))-LEN(SUBSTITUTE(LEFT(O121,M122+1)," ",""))))),LEFT(O121,IFERROR(FIND(" ",O121)-1,LEN(O121))))))</f>
        <v/>
      </c>
      <c r="O122" s="5380" t="str">
        <f t="shared" ref="O122:O125" si="36">IF(N122="","",TRIM(RIGHT(O121,LEN(O121)-LEN(N122))))</f>
        <v/>
      </c>
      <c r="P122" s="5390"/>
      <c r="Q122" s="5387"/>
      <c r="R122" s="5077"/>
      <c r="T122" s="3">
        <v>1</v>
      </c>
    </row>
    <row r="123" spans="5:20" ht="15.75">
      <c r="E123" s="5077"/>
      <c r="G123" s="5363" t="str">
        <f t="shared" si="30"/>
        <v/>
      </c>
      <c r="H123" s="5367" t="str">
        <f t="shared" si="31"/>
        <v/>
      </c>
      <c r="I123" s="5368" t="str">
        <f>IF(LEN(TRIM(N123))&gt;0,MAX(I29:I122)+1,"")</f>
        <v/>
      </c>
      <c r="J123" s="199" t="str">
        <f>IFERROR(INDEX(N30:N299,MATCH(ROW()-ROW(N30)+1,I30:I299,0)),"")</f>
        <v/>
      </c>
      <c r="K123" s="494"/>
      <c r="M123" s="5379"/>
      <c r="N123" s="5380" t="str">
        <f>IF(OR(O122="",M122=""),"",IF(LEN(O122)&lt;=M122,O122,IFERROR(LEFT(O122,FIND("♦",SUBSTITUTE(LEFT(O122,M122+1)," ","♦",LEN(LEFT(O122,M122+1))-LEN(SUBSTITUTE(LEFT(O122,M122+1)," ",""))))),LEFT(O122,IFERROR(FIND(" ",O122)-1,LEN(O122))))))</f>
        <v/>
      </c>
      <c r="O123" s="5380" t="str">
        <f t="shared" si="36"/>
        <v/>
      </c>
      <c r="P123" s="5390"/>
      <c r="Q123" s="5387"/>
      <c r="R123" s="5077"/>
      <c r="T123" s="3">
        <v>1</v>
      </c>
    </row>
    <row r="124" spans="5:20" ht="15.75">
      <c r="E124" s="5077"/>
      <c r="G124" s="5363" t="str">
        <f t="shared" si="30"/>
        <v/>
      </c>
      <c r="H124" s="5367" t="str">
        <f t="shared" si="31"/>
        <v/>
      </c>
      <c r="I124" s="5368" t="str">
        <f>IF(LEN(TRIM(N124))&gt;0,MAX(I29:I123)+1,"")</f>
        <v/>
      </c>
      <c r="J124" s="199" t="str">
        <f>IFERROR(INDEX(N30:N299,MATCH(ROW()-ROW(N30)+1,I30:I299,0)),"")</f>
        <v/>
      </c>
      <c r="K124" s="494"/>
      <c r="M124" s="5382"/>
      <c r="N124" s="5380" t="str">
        <f>IF(OR(O123="",M122=""),"",IF(LEN(O123)&lt;=M122,O123,IFERROR(LEFT(O123,FIND("♦",SUBSTITUTE(LEFT(O123,M122+1)," ","♦",LEN(LEFT(O123,M122+1))-LEN(SUBSTITUTE(LEFT(O123,M122+1)," ",""))))),LEFT(O123,IFERROR(FIND(" ",O123)-1,LEN(O123))))))</f>
        <v/>
      </c>
      <c r="O124" s="5380" t="str">
        <f t="shared" si="36"/>
        <v/>
      </c>
      <c r="P124" s="5390"/>
      <c r="Q124" s="5387"/>
      <c r="R124" s="5077"/>
      <c r="T124" s="3">
        <v>1</v>
      </c>
    </row>
    <row r="125" spans="5:20" ht="15.75">
      <c r="E125" s="5077"/>
      <c r="G125" s="5363" t="str">
        <f t="shared" si="30"/>
        <v/>
      </c>
      <c r="H125" s="5367" t="str">
        <f t="shared" si="31"/>
        <v/>
      </c>
      <c r="I125" s="5368" t="str">
        <f>IF(LEN(TRIM(N125))&gt;0,MAX(I29:I124)+1,"")</f>
        <v/>
      </c>
      <c r="J125" s="199" t="str">
        <f>IFERROR(INDEX(N30:N299,MATCH(ROW()-ROW(N30)+1,I30:I299,0)),"")</f>
        <v/>
      </c>
      <c r="K125" s="494"/>
      <c r="M125" s="5383"/>
      <c r="N125" s="5380" t="str">
        <f>IF(OR(O124="",M122=""),"",IF(LEN(O124)&lt;=M122,O124,IFERROR(LEFT(O124,FIND("♦",SUBSTITUTE(LEFT(O124,M122+1)," ","♦",LEN(LEFT(O124,M122+1))-LEN(SUBSTITUTE(LEFT(O124,M122+1)," ",""))))),LEFT(O124,IFERROR(FIND(" ",O124)-1,LEN(O124))))))</f>
        <v/>
      </c>
      <c r="O125" s="5380" t="str">
        <f t="shared" si="36"/>
        <v/>
      </c>
      <c r="P125" s="5390"/>
      <c r="Q125" s="5387"/>
      <c r="R125" s="5077"/>
      <c r="T125" s="3">
        <v>1</v>
      </c>
    </row>
    <row r="126" spans="5:20" ht="15.75">
      <c r="E126" s="5077"/>
      <c r="G126" s="5363" t="str">
        <f t="shared" si="30"/>
        <v/>
      </c>
      <c r="H126" s="5367" t="str">
        <f t="shared" si="31"/>
        <v/>
      </c>
      <c r="I126" s="5368" t="str">
        <f>IF(LEN(TRIM(N126))&gt;0,MAX(I29:I125)+1,"")</f>
        <v/>
      </c>
      <c r="J126" s="199" t="str">
        <f>IFERROR(INDEX(N30:N299,MATCH(ROW()-ROW(N30)+1,I30:I299,0)),"")</f>
        <v/>
      </c>
      <c r="K126" s="494"/>
      <c r="M126" s="5369" t="str">
        <f>(SUBSTITUTE(SUBSTITUTE(E46,CHAR(13)&amp;CHAR(10)," "),CHAR(10)," "))</f>
        <v/>
      </c>
      <c r="N126" s="5370" t="str">
        <f>IF(OR(M127="",M128=""),"",IF(LEN(M127)&lt;=M128,M127,IFERROR(LEFT(M127,FIND("♦",SUBSTITUTE(LEFT(M127,M128+1)," ","♦",LEN(LEFT(M127,M128+1))-LEN(SUBSTITUTE(LEFT(M127,M128+1)," ",""))))),LEFT(M127,IFERROR(FIND(" ",M127)-1,LEN(M127))))))</f>
        <v/>
      </c>
      <c r="O126" s="5371" t="str">
        <f>IF(N126="","",TRIM(RIGHT(M127,LEN(M127)-LEN(N126))))</f>
        <v/>
      </c>
      <c r="P126" s="5372" t="str">
        <f>F46</f>
        <v xml:space="preserve"> ◄ ligne 46</v>
      </c>
      <c r="Q126" s="5387"/>
      <c r="R126" s="5077"/>
      <c r="T126" s="3">
        <v>1</v>
      </c>
    </row>
    <row r="127" spans="5:20" ht="15.75">
      <c r="E127" s="5077"/>
      <c r="G127" s="5363" t="str">
        <f t="shared" si="30"/>
        <v/>
      </c>
      <c r="H127" s="5367" t="str">
        <f t="shared" si="31"/>
        <v/>
      </c>
      <c r="I127" s="5368" t="str">
        <f>IF(LEN(TRIM(N127))&gt;0,MAX(I29:I126)+1,"")</f>
        <v/>
      </c>
      <c r="J127" s="199" t="str">
        <f>IFERROR(INDEX(N30:N299,MATCH(ROW()-ROW(N30)+1,I30:I299,0)),"")</f>
        <v/>
      </c>
      <c r="K127" s="494"/>
      <c r="M127" s="5370" t="str">
        <f>TRIM(SUBSTITUTE(SUBSTITUTE(SUBSTITUTE(SUBSTITUTE(IF(OR(LEFT(M126,1)="-",LEFT(M126,1)="="),MID(M126,2,9999),M126),CHAR(160)," "),","," "),";"," "),"."," "))</f>
        <v/>
      </c>
      <c r="N127" s="5371" t="str">
        <f>IF(OR(O126="",M128=""),"",IF(LEN(O126)&lt;=M128,O126,IFERROR(LEFT(O126,FIND("♦",SUBSTITUTE(LEFT(O126,M128+1)," ","♦",LEN(LEFT(O126,M128+1))-LEN(SUBSTITUTE(LEFT(O126,M128+1)," ",""))))),LEFT(O126,IFERROR(FIND(" ",O126)-1,LEN(O126))))))</f>
        <v/>
      </c>
      <c r="O127" s="5371" t="str">
        <f>IF(N127="","",TRIM(RIGHT(O126,LEN(O126)-LEN(N127))))</f>
        <v/>
      </c>
      <c r="P127" s="5389"/>
      <c r="Q127" s="5387"/>
      <c r="R127" s="5077"/>
      <c r="T127" s="3">
        <v>1</v>
      </c>
    </row>
    <row r="128" spans="5:20" ht="15.75">
      <c r="E128" s="5077"/>
      <c r="G128" s="5363" t="str">
        <f t="shared" si="30"/>
        <v/>
      </c>
      <c r="H128" s="5367" t="str">
        <f t="shared" si="31"/>
        <v/>
      </c>
      <c r="I128" s="5368" t="str">
        <f>IF(LEN(TRIM(N128))&gt;0,MAX(I29:I127)+1,"")</f>
        <v/>
      </c>
      <c r="J128" s="199" t="str">
        <f>IFERROR(INDEX(N30:N299,MATCH(ROW()-ROW(N30)+1,I30:I299,0)),"")</f>
        <v/>
      </c>
      <c r="K128" s="494"/>
      <c r="M128" s="5376">
        <f>J17</f>
        <v>100</v>
      </c>
      <c r="N128" s="5371" t="str">
        <f>IF(OR(O127="",M128=""),"",IF(LEN(O127)&lt;=M128,O127,IFERROR(LEFT(O127,FIND("♦",SUBSTITUTE(LEFT(O127,M128+1)," ","♦",LEN(LEFT(O127,M128+1))-LEN(SUBSTITUTE(LEFT(O127,M128+1)," ",""))))),LEFT(O127,IFERROR(FIND(" ",O127)-1,LEN(O127))))))</f>
        <v/>
      </c>
      <c r="O128" s="5371" t="str">
        <f t="shared" ref="O128:O131" si="37">IF(N128="","",TRIM(RIGHT(O127,LEN(O127)-LEN(N128))))</f>
        <v/>
      </c>
      <c r="P128" s="5389"/>
      <c r="Q128" s="5387"/>
      <c r="R128" s="5077"/>
      <c r="T128" s="3">
        <v>1</v>
      </c>
    </row>
    <row r="129" spans="5:20" ht="15.75">
      <c r="E129" s="5077"/>
      <c r="G129" s="5363" t="str">
        <f t="shared" si="30"/>
        <v/>
      </c>
      <c r="H129" s="5367" t="str">
        <f t="shared" si="31"/>
        <v/>
      </c>
      <c r="I129" s="5368" t="str">
        <f>IF(LEN(TRIM(N129))&gt;0,MAX(I29:I128)+1,"")</f>
        <v/>
      </c>
      <c r="J129" s="199" t="str">
        <f>IFERROR(INDEX(N30:N299,MATCH(ROW()-ROW(N30)+1,I30:I299,0)),"")</f>
        <v/>
      </c>
      <c r="K129" s="494"/>
      <c r="M129" s="5370"/>
      <c r="N129" s="5371" t="str">
        <f>IF(OR(O128="",M128=""),"",IF(LEN(O128)&lt;=M128,O128,IFERROR(LEFT(O128,FIND("♦",SUBSTITUTE(LEFT(O128,M128+1)," ","♦",LEN(LEFT(O128,M128+1))-LEN(SUBSTITUTE(LEFT(O128,M128+1)," ",""))))),LEFT(O128,IFERROR(FIND(" ",O128)-1,LEN(O128))))))</f>
        <v/>
      </c>
      <c r="O129" s="5371" t="str">
        <f t="shared" si="37"/>
        <v/>
      </c>
      <c r="P129" s="5389"/>
      <c r="Q129" s="5387"/>
      <c r="R129" s="5077"/>
      <c r="T129" s="3">
        <v>1</v>
      </c>
    </row>
    <row r="130" spans="5:20" ht="15.75">
      <c r="E130" s="5077"/>
      <c r="G130" s="5363" t="str">
        <f t="shared" si="30"/>
        <v/>
      </c>
      <c r="H130" s="5367" t="str">
        <f t="shared" si="31"/>
        <v/>
      </c>
      <c r="I130" s="5368" t="str">
        <f>IF(LEN(TRIM(N130))&gt;0,MAX(I29:I129)+1,"")</f>
        <v/>
      </c>
      <c r="J130" s="199" t="str">
        <f>IFERROR(INDEX(N30:N299,MATCH(ROW()-ROW(N30)+1,I30:I299,0)),"")</f>
        <v/>
      </c>
      <c r="K130" s="494"/>
      <c r="M130" s="5377"/>
      <c r="N130" s="5371" t="str">
        <f>IF(OR(O129="",M128=""),"",IF(LEN(O129)&lt;=M128,O129,IFERROR(LEFT(O129,FIND("♦",SUBSTITUTE(LEFT(O129,M128+1)," ","♦",LEN(LEFT(O129,M128+1))-LEN(SUBSTITUTE(LEFT(O129,M128+1)," ",""))))),LEFT(O129,IFERROR(FIND(" ",O129)-1,LEN(O129))))))</f>
        <v/>
      </c>
      <c r="O130" s="5371" t="str">
        <f t="shared" si="37"/>
        <v/>
      </c>
      <c r="P130" s="5389"/>
      <c r="Q130" s="5387"/>
      <c r="R130" s="5077"/>
      <c r="T130" s="3">
        <v>1</v>
      </c>
    </row>
    <row r="131" spans="5:20" ht="15.75">
      <c r="E131" s="5077"/>
      <c r="G131" s="5363" t="str">
        <f t="shared" si="30"/>
        <v/>
      </c>
      <c r="H131" s="5367" t="str">
        <f t="shared" si="31"/>
        <v/>
      </c>
      <c r="I131" s="5368" t="str">
        <f>IF(LEN(TRIM(N131))&gt;0,MAX(I29:I130)+1,"")</f>
        <v/>
      </c>
      <c r="J131" s="199" t="str">
        <f>IFERROR(INDEX(N30:N299,MATCH(ROW()-ROW(N30)+1,I30:I299,0)),"")</f>
        <v/>
      </c>
      <c r="K131" s="494"/>
      <c r="M131" s="5378"/>
      <c r="N131" s="5371" t="str">
        <f>IF(OR(O130="",M128=""),"",IF(LEN(O130)&lt;=M128,O130,IFERROR(LEFT(O130,FIND("♦",SUBSTITUTE(LEFT(O130,M128+1)," ","♦",LEN(LEFT(O130,M128+1))-LEN(SUBSTITUTE(LEFT(O130,M128+1)," ",""))))),LEFT(O130,IFERROR(FIND(" ",O130)-1,LEN(O130))))))</f>
        <v/>
      </c>
      <c r="O131" s="5371" t="str">
        <f t="shared" si="37"/>
        <v/>
      </c>
      <c r="P131" s="5389"/>
      <c r="Q131" s="5387"/>
      <c r="R131" s="5077"/>
      <c r="T131" s="3">
        <v>1</v>
      </c>
    </row>
    <row r="132" spans="5:20" ht="15.75">
      <c r="E132" s="5077"/>
      <c r="G132" s="5363" t="str">
        <f t="shared" si="30"/>
        <v/>
      </c>
      <c r="H132" s="5367" t="str">
        <f t="shared" si="31"/>
        <v/>
      </c>
      <c r="I132" s="5368" t="str">
        <f>IF(LEN(TRIM(N132))&gt;0,MAX(I29:I131)+1,"")</f>
        <v/>
      </c>
      <c r="J132" s="199" t="str">
        <f>IFERROR(INDEX(N30:N299,MATCH(ROW()-ROW(N30)+1,I30:I299,0)),"")</f>
        <v/>
      </c>
      <c r="K132" s="494"/>
      <c r="M132" s="5369" t="str">
        <f>(SUBSTITUTE(SUBSTITUTE(E47,CHAR(13)&amp;CHAR(10)," "),CHAR(10)," "))</f>
        <v/>
      </c>
      <c r="N132" s="5379" t="str">
        <f>IF(OR(M133="",M134=""),"",IF(LEN(M133)&lt;=M134,M133,IFERROR(LEFT(M133,FIND("♦",SUBSTITUTE(LEFT(M133,M134+1)," ","♦",LEN(LEFT(M133,M134+1))-LEN(SUBSTITUTE(LEFT(M133,M134+1)," ",""))))),LEFT(M133,IFERROR(FIND(" ",M133)-1,LEN(M133))))))</f>
        <v/>
      </c>
      <c r="O132" s="5380" t="str">
        <f>IF(N132="","",TRIM(RIGHT(M133,LEN(M133)-LEN(N132))))</f>
        <v/>
      </c>
      <c r="P132" s="5372" t="str">
        <f>F47</f>
        <v xml:space="preserve"> ◄ ligne 47</v>
      </c>
      <c r="Q132" s="5387"/>
      <c r="R132" s="5077"/>
      <c r="T132" s="3">
        <v>1</v>
      </c>
    </row>
    <row r="133" spans="5:20" ht="15.75">
      <c r="E133" s="5077"/>
      <c r="G133" s="5363" t="str">
        <f t="shared" si="30"/>
        <v/>
      </c>
      <c r="H133" s="5367" t="str">
        <f t="shared" si="31"/>
        <v/>
      </c>
      <c r="I133" s="5368" t="str">
        <f>IF(LEN(TRIM(N133))&gt;0,MAX(I29:I132)+1,"")</f>
        <v/>
      </c>
      <c r="J133" s="199" t="str">
        <f>IFERROR(INDEX(N30:N299,MATCH(ROW()-ROW(N30)+1,I30:I299,0)),"")</f>
        <v/>
      </c>
      <c r="K133" s="494"/>
      <c r="M133" s="5379" t="str">
        <f>TRIM(SUBSTITUTE(SUBSTITUTE(SUBSTITUTE(SUBSTITUTE(IF(OR(LEFT(M132,1)="-",LEFT(M132,1)="="),MID(M132,2,9999),M132),CHAR(160)," "),","," "),";"," "),"."," "))</f>
        <v/>
      </c>
      <c r="N133" s="5380" t="str">
        <f>IF(OR(O132="",M134=""),"",IF(LEN(O132)&lt;=M134,O132,IFERROR(LEFT(O132,FIND("♦",SUBSTITUTE(LEFT(O132,M134+1)," ","♦",LEN(LEFT(O132,M134+1))-LEN(SUBSTITUTE(LEFT(O132,M134+1)," ",""))))),LEFT(O132,IFERROR(FIND(" ",O132)-1,LEN(O132))))))</f>
        <v/>
      </c>
      <c r="O133" s="5380" t="str">
        <f>IF(N133="","",TRIM(RIGHT(O132,LEN(O132)-LEN(N133))))</f>
        <v/>
      </c>
      <c r="P133" s="5390"/>
      <c r="Q133" s="5387"/>
      <c r="R133" s="5077"/>
      <c r="T133" s="3">
        <v>1</v>
      </c>
    </row>
    <row r="134" spans="5:20" ht="15.75">
      <c r="E134" s="5077"/>
      <c r="G134" s="5363" t="str">
        <f t="shared" si="30"/>
        <v/>
      </c>
      <c r="H134" s="5367" t="str">
        <f t="shared" si="31"/>
        <v/>
      </c>
      <c r="I134" s="5368" t="str">
        <f>IF(LEN(TRIM(N134))&gt;0,MAX(I29:I133)+1,"")</f>
        <v/>
      </c>
      <c r="J134" s="199" t="str">
        <f>IFERROR(INDEX(N30:N299,MATCH(ROW()-ROW(N30)+1,I30:I299,0)),"")</f>
        <v/>
      </c>
      <c r="K134" s="494"/>
      <c r="M134" s="5376">
        <f>J17</f>
        <v>100</v>
      </c>
      <c r="N134" s="5380" t="str">
        <f>IF(OR(O133="",M134=""),"",IF(LEN(O133)&lt;=M134,O133,IFERROR(LEFT(O133,FIND("♦",SUBSTITUTE(LEFT(O133,M134+1)," ","♦",LEN(LEFT(O133,M134+1))-LEN(SUBSTITUTE(LEFT(O133,M134+1)," ",""))))),LEFT(O133,IFERROR(FIND(" ",O133)-1,LEN(O133))))))</f>
        <v/>
      </c>
      <c r="O134" s="5380" t="str">
        <f t="shared" ref="O134:O137" si="38">IF(N134="","",TRIM(RIGHT(O133,LEN(O133)-LEN(N134))))</f>
        <v/>
      </c>
      <c r="P134" s="5390"/>
      <c r="Q134" s="5387"/>
      <c r="R134" s="5077"/>
      <c r="T134" s="3">
        <v>1</v>
      </c>
    </row>
    <row r="135" spans="5:20" ht="15.75">
      <c r="E135" s="5077"/>
      <c r="G135" s="5363" t="str">
        <f t="shared" si="30"/>
        <v/>
      </c>
      <c r="H135" s="5367" t="str">
        <f t="shared" si="31"/>
        <v/>
      </c>
      <c r="I135" s="5368" t="str">
        <f>IF(LEN(TRIM(N135))&gt;0,MAX(I29:I134)+1,"")</f>
        <v/>
      </c>
      <c r="J135" s="199" t="str">
        <f>IFERROR(INDEX(N30:N299,MATCH(ROW()-ROW(N30)+1,I30:I299,0)),"")</f>
        <v/>
      </c>
      <c r="K135" s="494"/>
      <c r="M135" s="5379"/>
      <c r="N135" s="5380" t="str">
        <f>IF(OR(O134="",M134=""),"",IF(LEN(O134)&lt;=M134,O134,IFERROR(LEFT(O134,FIND("♦",SUBSTITUTE(LEFT(O134,M134+1)," ","♦",LEN(LEFT(O134,M134+1))-LEN(SUBSTITUTE(LEFT(O134,M134+1)," ",""))))),LEFT(O134,IFERROR(FIND(" ",O134)-1,LEN(O134))))))</f>
        <v/>
      </c>
      <c r="O135" s="5380" t="str">
        <f t="shared" si="38"/>
        <v/>
      </c>
      <c r="P135" s="5390"/>
      <c r="Q135" s="5387"/>
      <c r="R135" s="5077"/>
      <c r="T135" s="3">
        <v>1</v>
      </c>
    </row>
    <row r="136" spans="5:20" ht="15.75">
      <c r="E136" s="5077"/>
      <c r="G136" s="5363" t="str">
        <f t="shared" si="30"/>
        <v/>
      </c>
      <c r="H136" s="5367" t="str">
        <f t="shared" si="31"/>
        <v/>
      </c>
      <c r="I136" s="5368" t="str">
        <f>IF(LEN(TRIM(N136))&gt;0,MAX(I29:I135)+1,"")</f>
        <v/>
      </c>
      <c r="J136" s="199" t="str">
        <f>IFERROR(INDEX(N30:N299,MATCH(ROW()-ROW(N30)+1,I30:I299,0)),"")</f>
        <v/>
      </c>
      <c r="K136" s="494"/>
      <c r="M136" s="5382"/>
      <c r="N136" s="5380" t="str">
        <f>IF(OR(O135="",M134=""),"",IF(LEN(O135)&lt;=M134,O135,IFERROR(LEFT(O135,FIND("♦",SUBSTITUTE(LEFT(O135,M134+1)," ","♦",LEN(LEFT(O135,M134+1))-LEN(SUBSTITUTE(LEFT(O135,M134+1)," ",""))))),LEFT(O135,IFERROR(FIND(" ",O135)-1,LEN(O135))))))</f>
        <v/>
      </c>
      <c r="O136" s="5380" t="str">
        <f t="shared" si="38"/>
        <v/>
      </c>
      <c r="P136" s="5390"/>
      <c r="Q136" s="5387"/>
      <c r="R136" s="5077"/>
      <c r="T136" s="3">
        <v>1</v>
      </c>
    </row>
    <row r="137" spans="5:20" ht="15.75">
      <c r="E137" s="5077"/>
      <c r="G137" s="5363" t="str">
        <f t="shared" si="30"/>
        <v/>
      </c>
      <c r="H137" s="5367" t="str">
        <f t="shared" si="31"/>
        <v/>
      </c>
      <c r="I137" s="5368" t="str">
        <f>IF(LEN(TRIM(N137))&gt;0,MAX(I29:I136)+1,"")</f>
        <v/>
      </c>
      <c r="J137" s="199" t="str">
        <f>IFERROR(INDEX(N30:N299,MATCH(ROW()-ROW(N30)+1,I30:I299,0)),"")</f>
        <v/>
      </c>
      <c r="K137" s="494"/>
      <c r="M137" s="5383"/>
      <c r="N137" s="5380" t="str">
        <f>IF(OR(O136="",M134=""),"",IF(LEN(O136)&lt;=M134,O136,IFERROR(LEFT(O136,FIND("♦",SUBSTITUTE(LEFT(O136,M134+1)," ","♦",LEN(LEFT(O136,M134+1))-LEN(SUBSTITUTE(LEFT(O136,M134+1)," ",""))))),LEFT(O136,IFERROR(FIND(" ",O136)-1,LEN(O136))))))</f>
        <v/>
      </c>
      <c r="O137" s="5380" t="str">
        <f t="shared" si="38"/>
        <v/>
      </c>
      <c r="P137" s="5390"/>
      <c r="Q137" s="5387"/>
      <c r="R137" s="5077"/>
      <c r="T137" s="3">
        <v>1</v>
      </c>
    </row>
    <row r="138" spans="5:20" ht="15.75">
      <c r="E138" s="5077"/>
      <c r="G138" s="5363" t="str">
        <f t="shared" si="30"/>
        <v/>
      </c>
      <c r="H138" s="5367" t="str">
        <f t="shared" si="31"/>
        <v/>
      </c>
      <c r="I138" s="5368" t="str">
        <f>IF(LEN(TRIM(N138))&gt;0,MAX(I29:I137)+1,"")</f>
        <v/>
      </c>
      <c r="J138" s="199" t="str">
        <f>IFERROR(INDEX(N30:N299,MATCH(ROW()-ROW(N30)+1,I30:I299,0)),"")</f>
        <v/>
      </c>
      <c r="K138" s="494"/>
      <c r="M138" s="5369" t="str">
        <f>(SUBSTITUTE(SUBSTITUTE(E48,CHAR(13)&amp;CHAR(10)," "),CHAR(10)," "))</f>
        <v/>
      </c>
      <c r="N138" s="5370" t="str">
        <f>IF(OR(M139="",M140=""),"",IF(LEN(M139)&lt;=M140,M139,IFERROR(LEFT(M139,FIND("♦",SUBSTITUTE(LEFT(M139,M140+1)," ","♦",LEN(LEFT(M139,M140+1))-LEN(SUBSTITUTE(LEFT(M139,M140+1)," ",""))))),LEFT(M139,IFERROR(FIND(" ",M139)-1,LEN(M139))))))</f>
        <v/>
      </c>
      <c r="O138" s="5371" t="str">
        <f>IF(N138="","",TRIM(RIGHT(M139,LEN(M139)-LEN(N138))))</f>
        <v/>
      </c>
      <c r="P138" s="5372" t="str">
        <f>F48</f>
        <v xml:space="preserve"> ◄ ligne 48</v>
      </c>
      <c r="Q138" s="5387"/>
      <c r="R138" s="5077"/>
      <c r="T138" s="3">
        <v>1</v>
      </c>
    </row>
    <row r="139" spans="5:20" ht="15.75">
      <c r="E139" s="5077"/>
      <c r="G139" s="5363" t="str">
        <f t="shared" si="30"/>
        <v/>
      </c>
      <c r="H139" s="5367" t="str">
        <f t="shared" si="31"/>
        <v/>
      </c>
      <c r="I139" s="5368" t="str">
        <f>IF(LEN(TRIM(N139))&gt;0,MAX(I29:I138)+1,"")</f>
        <v/>
      </c>
      <c r="J139" s="199" t="str">
        <f>IFERROR(INDEX(N30:N299,MATCH(ROW()-ROW(N30)+1,I30:I299,0)),"")</f>
        <v/>
      </c>
      <c r="K139" s="494"/>
      <c r="M139" s="5370" t="str">
        <f>TRIM(SUBSTITUTE(SUBSTITUTE(SUBSTITUTE(SUBSTITUTE(IF(OR(LEFT(M138,1)="-",LEFT(M138,1)="="),MID(M138,2,9999),M138),CHAR(160)," "),","," "),";"," "),"."," "))</f>
        <v/>
      </c>
      <c r="N139" s="5371" t="str">
        <f>IF(OR(O138="",M140=""),"",IF(LEN(O138)&lt;=M140,O138,IFERROR(LEFT(O138,FIND("♦",SUBSTITUTE(LEFT(O138,M140+1)," ","♦",LEN(LEFT(O138,M140+1))-LEN(SUBSTITUTE(LEFT(O138,M140+1)," ",""))))),LEFT(O138,IFERROR(FIND(" ",O138)-1,LEN(O138))))))</f>
        <v/>
      </c>
      <c r="O139" s="5371" t="str">
        <f>IF(N139="","",TRIM(RIGHT(O138,LEN(O138)-LEN(N139))))</f>
        <v/>
      </c>
      <c r="P139" s="5389"/>
      <c r="Q139" s="5387"/>
      <c r="R139" s="5077"/>
      <c r="T139" s="3">
        <v>1</v>
      </c>
    </row>
    <row r="140" spans="5:20" ht="15.75">
      <c r="E140" s="5077"/>
      <c r="G140" s="5363" t="str">
        <f t="shared" si="30"/>
        <v/>
      </c>
      <c r="H140" s="5367" t="str">
        <f t="shared" si="31"/>
        <v/>
      </c>
      <c r="I140" s="5368" t="str">
        <f>IF(LEN(TRIM(N140))&gt;0,MAX(I29:I139)+1,"")</f>
        <v/>
      </c>
      <c r="J140" s="199" t="str">
        <f>IFERROR(INDEX(N30:N299,MATCH(ROW()-ROW(N30)+1,I30:I299,0)),"")</f>
        <v/>
      </c>
      <c r="K140" s="494"/>
      <c r="M140" s="5376">
        <f>J17</f>
        <v>100</v>
      </c>
      <c r="N140" s="5371" t="str">
        <f>IF(OR(O139="",M140=""),"",IF(LEN(O139)&lt;=M140,O139,IFERROR(LEFT(O139,FIND("♦",SUBSTITUTE(LEFT(O139,M140+1)," ","♦",LEN(LEFT(O139,M140+1))-LEN(SUBSTITUTE(LEFT(O139,M140+1)," ",""))))),LEFT(O139,IFERROR(FIND(" ",O139)-1,LEN(O139))))))</f>
        <v/>
      </c>
      <c r="O140" s="5371" t="str">
        <f t="shared" ref="O140:O143" si="39">IF(N140="","",TRIM(RIGHT(O139,LEN(O139)-LEN(N140))))</f>
        <v/>
      </c>
      <c r="P140" s="5389"/>
      <c r="Q140" s="5387"/>
      <c r="R140" s="5077"/>
      <c r="T140" s="3">
        <v>1</v>
      </c>
    </row>
    <row r="141" spans="5:20" ht="15.75">
      <c r="E141" s="5077"/>
      <c r="G141" s="5363" t="str">
        <f t="shared" si="30"/>
        <v/>
      </c>
      <c r="H141" s="5367" t="str">
        <f t="shared" si="31"/>
        <v/>
      </c>
      <c r="I141" s="5368" t="str">
        <f>IF(LEN(TRIM(N141))&gt;0,MAX(I29:I140)+1,"")</f>
        <v/>
      </c>
      <c r="J141" s="199" t="str">
        <f>IFERROR(INDEX(N30:N299,MATCH(ROW()-ROW(N30)+1,I30:I299,0)),"")</f>
        <v/>
      </c>
      <c r="K141" s="494"/>
      <c r="M141" s="5370"/>
      <c r="N141" s="5371" t="str">
        <f>IF(OR(O140="",M140=""),"",IF(LEN(O140)&lt;=M140,O140,IFERROR(LEFT(O140,FIND("♦",SUBSTITUTE(LEFT(O140,M140+1)," ","♦",LEN(LEFT(O140,M140+1))-LEN(SUBSTITUTE(LEFT(O140,M140+1)," ",""))))),LEFT(O140,IFERROR(FIND(" ",O140)-1,LEN(O140))))))</f>
        <v/>
      </c>
      <c r="O141" s="5371" t="str">
        <f t="shared" si="39"/>
        <v/>
      </c>
      <c r="P141" s="5389"/>
      <c r="Q141" s="5387"/>
      <c r="R141" s="5077"/>
      <c r="T141" s="3">
        <v>1</v>
      </c>
    </row>
    <row r="142" spans="5:20" ht="15.75">
      <c r="E142" s="5077"/>
      <c r="G142" s="5363" t="str">
        <f t="shared" si="30"/>
        <v/>
      </c>
      <c r="H142" s="5367" t="str">
        <f t="shared" si="31"/>
        <v/>
      </c>
      <c r="I142" s="5368" t="str">
        <f>IF(LEN(TRIM(N142))&gt;0,MAX(I29:I141)+1,"")</f>
        <v/>
      </c>
      <c r="J142" s="199" t="str">
        <f>IFERROR(INDEX(N30:N299,MATCH(ROW()-ROW(N30)+1,I30:I299,0)),"")</f>
        <v/>
      </c>
      <c r="K142" s="494"/>
      <c r="M142" s="5377"/>
      <c r="N142" s="5371" t="str">
        <f>IF(OR(O141="",M140=""),"",IF(LEN(O141)&lt;=M140,O141,IFERROR(LEFT(O141,FIND("♦",SUBSTITUTE(LEFT(O141,M140+1)," ","♦",LEN(LEFT(O141,M140+1))-LEN(SUBSTITUTE(LEFT(O141,M140+1)," ",""))))),LEFT(O141,IFERROR(FIND(" ",O141)-1,LEN(O141))))))</f>
        <v/>
      </c>
      <c r="O142" s="5371" t="str">
        <f t="shared" si="39"/>
        <v/>
      </c>
      <c r="P142" s="5389"/>
      <c r="Q142" s="5387"/>
      <c r="R142" s="5077"/>
      <c r="T142" s="3">
        <v>1</v>
      </c>
    </row>
    <row r="143" spans="5:20" ht="15.75">
      <c r="E143" s="5077"/>
      <c r="G143" s="5363" t="str">
        <f t="shared" si="30"/>
        <v/>
      </c>
      <c r="H143" s="5367" t="str">
        <f t="shared" si="31"/>
        <v/>
      </c>
      <c r="I143" s="5368" t="str">
        <f>IF(LEN(TRIM(N143))&gt;0,MAX(I29:I142)+1,"")</f>
        <v/>
      </c>
      <c r="J143" s="199" t="str">
        <f>IFERROR(INDEX(N30:N299,MATCH(ROW()-ROW(N30)+1,I30:I299,0)),"")</f>
        <v/>
      </c>
      <c r="K143" s="494"/>
      <c r="M143" s="5378"/>
      <c r="N143" s="5371" t="str">
        <f>IF(OR(O142="",M140=""),"",IF(LEN(O142)&lt;=M140,O142,IFERROR(LEFT(O142,FIND("♦",SUBSTITUTE(LEFT(O142,M140+1)," ","♦",LEN(LEFT(O142,M140+1))-LEN(SUBSTITUTE(LEFT(O142,M140+1)," ",""))))),LEFT(O142,IFERROR(FIND(" ",O142)-1,LEN(O142))))))</f>
        <v/>
      </c>
      <c r="O143" s="5371" t="str">
        <f t="shared" si="39"/>
        <v/>
      </c>
      <c r="P143" s="5389"/>
      <c r="Q143" s="5387"/>
      <c r="R143" s="5077"/>
      <c r="T143" s="3">
        <v>1</v>
      </c>
    </row>
    <row r="144" spans="5:20" ht="15.75">
      <c r="E144" s="5077"/>
      <c r="G144" s="5363" t="str">
        <f t="shared" si="30"/>
        <v/>
      </c>
      <c r="H144" s="5367" t="str">
        <f t="shared" si="31"/>
        <v/>
      </c>
      <c r="I144" s="5368" t="str">
        <f>IF(LEN(TRIM(N144))&gt;0,MAX(I29:I143)+1,"")</f>
        <v/>
      </c>
      <c r="J144" s="199" t="str">
        <f>IFERROR(INDEX(N30:N299,MATCH(ROW()-ROW(N30)+1,I30:I299,0)),"")</f>
        <v/>
      </c>
      <c r="K144" s="494"/>
      <c r="M144" s="5369" t="str">
        <f>(SUBSTITUTE(SUBSTITUTE(E49,CHAR(13)&amp;CHAR(10)," "),CHAR(10)," "))</f>
        <v/>
      </c>
      <c r="N144" s="5379" t="str">
        <f>IF(OR(M145="",M146=""),"",IF(LEN(M145)&lt;=M146,M145,IFERROR(LEFT(M145,FIND("♦",SUBSTITUTE(LEFT(M145,M146+1)," ","♦",LEN(LEFT(M145,M146+1))-LEN(SUBSTITUTE(LEFT(M145,M146+1)," ",""))))),LEFT(M145,IFERROR(FIND(" ",M145)-1,LEN(M145))))))</f>
        <v/>
      </c>
      <c r="O144" s="5380" t="str">
        <f>IF(N144="","",TRIM(RIGHT(M145,LEN(M145)-LEN(N144))))</f>
        <v/>
      </c>
      <c r="P144" s="5372" t="str">
        <f>F49</f>
        <v xml:space="preserve"> ◄ ligne 49</v>
      </c>
      <c r="Q144" s="5387"/>
      <c r="R144" s="5077"/>
      <c r="T144" s="3">
        <v>1</v>
      </c>
    </row>
    <row r="145" spans="5:20" ht="15.75">
      <c r="E145" s="5077"/>
      <c r="G145" s="5363" t="str">
        <f t="shared" si="30"/>
        <v/>
      </c>
      <c r="H145" s="5367" t="str">
        <f t="shared" si="31"/>
        <v/>
      </c>
      <c r="I145" s="5368" t="str">
        <f>IF(LEN(TRIM(N145))&gt;0,MAX(I29:I144)+1,"")</f>
        <v/>
      </c>
      <c r="J145" s="199" t="str">
        <f>IFERROR(INDEX(N30:N299,MATCH(ROW()-ROW(N30)+1,I30:I299,0)),"")</f>
        <v/>
      </c>
      <c r="K145" s="494"/>
      <c r="M145" s="5379" t="str">
        <f>TRIM(SUBSTITUTE(SUBSTITUTE(SUBSTITUTE(SUBSTITUTE(IF(OR(LEFT(M144,1)="-",LEFT(M144,1)="="),MID(M144,2,9999),M144),CHAR(160)," "),","," "),";"," "),"."," "))</f>
        <v/>
      </c>
      <c r="N145" s="5380" t="str">
        <f>IF(OR(O144="",M146=""),"",IF(LEN(O144)&lt;=M146,O144,IFERROR(LEFT(O144,FIND("♦",SUBSTITUTE(LEFT(O144,M146+1)," ","♦",LEN(LEFT(O144,M146+1))-LEN(SUBSTITUTE(LEFT(O144,M146+1)," ",""))))),LEFT(O144,IFERROR(FIND(" ",O144)-1,LEN(O144))))))</f>
        <v/>
      </c>
      <c r="O145" s="5380" t="str">
        <f>IF(N145="","",TRIM(RIGHT(O144,LEN(O144)-LEN(N145))))</f>
        <v/>
      </c>
      <c r="P145" s="5390"/>
      <c r="Q145" s="5387"/>
      <c r="R145" s="5077"/>
      <c r="T145" s="3">
        <v>1</v>
      </c>
    </row>
    <row r="146" spans="5:20" ht="15.75">
      <c r="E146" s="5077"/>
      <c r="G146" s="5363" t="str">
        <f t="shared" si="30"/>
        <v/>
      </c>
      <c r="H146" s="5367" t="str">
        <f t="shared" si="31"/>
        <v/>
      </c>
      <c r="I146" s="5368" t="str">
        <f>IF(LEN(TRIM(N146))&gt;0,MAX(I29:I145)+1,"")</f>
        <v/>
      </c>
      <c r="J146" s="199" t="str">
        <f>IFERROR(INDEX(N30:N299,MATCH(ROW()-ROW(N30)+1,I30:I299,0)),"")</f>
        <v/>
      </c>
      <c r="K146" s="494"/>
      <c r="M146" s="5376">
        <f>J17</f>
        <v>100</v>
      </c>
      <c r="N146" s="5380" t="str">
        <f>IF(OR(O145="",M146=""),"",IF(LEN(O145)&lt;=M146,O145,IFERROR(LEFT(O145,FIND("♦",SUBSTITUTE(LEFT(O145,M146+1)," ","♦",LEN(LEFT(O145,M146+1))-LEN(SUBSTITUTE(LEFT(O145,M146+1)," ",""))))),LEFT(O145,IFERROR(FIND(" ",O145)-1,LEN(O145))))))</f>
        <v/>
      </c>
      <c r="O146" s="5380" t="str">
        <f t="shared" ref="O146:O149" si="40">IF(N146="","",TRIM(RIGHT(O145,LEN(O145)-LEN(N146))))</f>
        <v/>
      </c>
      <c r="P146" s="5390"/>
      <c r="Q146" s="5387"/>
      <c r="R146" s="5077"/>
      <c r="T146" s="3">
        <v>1</v>
      </c>
    </row>
    <row r="147" spans="5:20" ht="15.75">
      <c r="E147" s="5077"/>
      <c r="G147" s="5363" t="str">
        <f t="shared" si="30"/>
        <v/>
      </c>
      <c r="H147" s="5367" t="str">
        <f t="shared" si="31"/>
        <v/>
      </c>
      <c r="I147" s="5368" t="str">
        <f>IF(LEN(TRIM(N147))&gt;0,MAX(I29:I146)+1,"")</f>
        <v/>
      </c>
      <c r="J147" s="199" t="str">
        <f>IFERROR(INDEX(N30:N299,MATCH(ROW()-ROW(N30)+1,I30:I299,0)),"")</f>
        <v/>
      </c>
      <c r="K147" s="494"/>
      <c r="M147" s="5379"/>
      <c r="N147" s="5380" t="str">
        <f>IF(OR(O146="",M146=""),"",IF(LEN(O146)&lt;=M146,O146,IFERROR(LEFT(O146,FIND("♦",SUBSTITUTE(LEFT(O146,M146+1)," ","♦",LEN(LEFT(O146,M146+1))-LEN(SUBSTITUTE(LEFT(O146,M146+1)," ",""))))),LEFT(O146,IFERROR(FIND(" ",O146)-1,LEN(O146))))))</f>
        <v/>
      </c>
      <c r="O147" s="5380" t="str">
        <f t="shared" si="40"/>
        <v/>
      </c>
      <c r="P147" s="5390"/>
      <c r="Q147" s="5387"/>
      <c r="R147" s="5077"/>
      <c r="T147" s="3">
        <v>1</v>
      </c>
    </row>
    <row r="148" spans="5:20" ht="15.75">
      <c r="E148" s="5077"/>
      <c r="G148" s="5363" t="str">
        <f t="shared" si="30"/>
        <v/>
      </c>
      <c r="H148" s="5367" t="str">
        <f t="shared" si="31"/>
        <v/>
      </c>
      <c r="I148" s="5368" t="str">
        <f>IF(LEN(TRIM(N148))&gt;0,MAX(I29:I147)+1,"")</f>
        <v/>
      </c>
      <c r="J148" s="199" t="str">
        <f>IFERROR(INDEX(N30:N299,MATCH(ROW()-ROW(N30)+1,I30:I299,0)),"")</f>
        <v/>
      </c>
      <c r="K148" s="494"/>
      <c r="M148" s="5382"/>
      <c r="N148" s="5380" t="str">
        <f>IF(OR(O147="",M146=""),"",IF(LEN(O147)&lt;=M146,O147,IFERROR(LEFT(O147,FIND("♦",SUBSTITUTE(LEFT(O147,M146+1)," ","♦",LEN(LEFT(O147,M146+1))-LEN(SUBSTITUTE(LEFT(O147,M146+1)," ",""))))),LEFT(O147,IFERROR(FIND(" ",O147)-1,LEN(O147))))))</f>
        <v/>
      </c>
      <c r="O148" s="5380" t="str">
        <f t="shared" si="40"/>
        <v/>
      </c>
      <c r="P148" s="5390"/>
      <c r="Q148" s="5387"/>
      <c r="R148" s="5077"/>
      <c r="T148" s="3">
        <v>1</v>
      </c>
    </row>
    <row r="149" spans="5:20" ht="15.75">
      <c r="E149" s="5077"/>
      <c r="G149" s="5363" t="str">
        <f t="shared" si="30"/>
        <v/>
      </c>
      <c r="H149" s="5367" t="str">
        <f t="shared" si="31"/>
        <v/>
      </c>
      <c r="I149" s="5368" t="str">
        <f>IF(LEN(TRIM(N149))&gt;0,MAX(I29:I148)+1,"")</f>
        <v/>
      </c>
      <c r="J149" s="199" t="str">
        <f>IFERROR(INDEX(N30:N299,MATCH(ROW()-ROW(N30)+1,I30:I299,0)),"")</f>
        <v/>
      </c>
      <c r="K149" s="494"/>
      <c r="M149" s="5383"/>
      <c r="N149" s="5380" t="str">
        <f>IF(OR(O148="",M146=""),"",IF(LEN(O148)&lt;=M146,O148,IFERROR(LEFT(O148,FIND("♦",SUBSTITUTE(LEFT(O148,M146+1)," ","♦",LEN(LEFT(O148,M146+1))-LEN(SUBSTITUTE(LEFT(O148,M146+1)," ",""))))),LEFT(O148,IFERROR(FIND(" ",O148)-1,LEN(O148))))))</f>
        <v/>
      </c>
      <c r="O149" s="5380" t="str">
        <f t="shared" si="40"/>
        <v/>
      </c>
      <c r="P149" s="5390"/>
      <c r="Q149" s="5387"/>
      <c r="R149" s="5077"/>
      <c r="T149" s="3">
        <v>1</v>
      </c>
    </row>
    <row r="150" spans="5:20" ht="15.75">
      <c r="E150" s="5077"/>
      <c r="G150" s="5363" t="str">
        <f t="shared" si="30"/>
        <v/>
      </c>
      <c r="H150" s="5367" t="str">
        <f t="shared" si="31"/>
        <v/>
      </c>
      <c r="I150" s="5368" t="str">
        <f>IF(LEN(TRIM(N150))&gt;0,MAX(I29:I149)+1,"")</f>
        <v/>
      </c>
      <c r="J150" s="199" t="str">
        <f>IFERROR(INDEX(N30:N299,MATCH(ROW()-ROW(N30)+1,I30:I299,0)),"")</f>
        <v/>
      </c>
      <c r="K150" s="494"/>
      <c r="M150" s="5369" t="str">
        <f>(SUBSTITUTE(SUBSTITUTE(E50,CHAR(13)&amp;CHAR(10)," "),CHAR(10)," "))</f>
        <v/>
      </c>
      <c r="N150" s="5370" t="str">
        <f>IF(OR(M151="",M152=""),"",IF(LEN(M151)&lt;=M152,M151,IFERROR(LEFT(M151,FIND("♦",SUBSTITUTE(LEFT(M151,M152+1)," ","♦",LEN(LEFT(M151,M152+1))-LEN(SUBSTITUTE(LEFT(M151,M152+1)," ",""))))),LEFT(M151,IFERROR(FIND(" ",M151)-1,LEN(M151))))))</f>
        <v/>
      </c>
      <c r="O150" s="5371" t="str">
        <f>IF(N150="","",TRIM(RIGHT(M151,LEN(M151)-LEN(N150))))</f>
        <v/>
      </c>
      <c r="P150" s="5372" t="str">
        <f>F50</f>
        <v xml:space="preserve"> ◄ ligne 50</v>
      </c>
      <c r="Q150" s="5387"/>
      <c r="R150" s="5077"/>
      <c r="T150" s="3">
        <v>1</v>
      </c>
    </row>
    <row r="151" spans="5:20" ht="15.75">
      <c r="E151" s="5077"/>
      <c r="G151" s="5363" t="str">
        <f t="shared" si="30"/>
        <v/>
      </c>
      <c r="H151" s="5367" t="str">
        <f t="shared" si="31"/>
        <v/>
      </c>
      <c r="I151" s="5368" t="str">
        <f>IF(LEN(TRIM(N151))&gt;0,MAX(I29:I150)+1,"")</f>
        <v/>
      </c>
      <c r="J151" s="199" t="str">
        <f>IFERROR(INDEX(N30:N299,MATCH(ROW()-ROW(N30)+1,I30:I299,0)),"")</f>
        <v/>
      </c>
      <c r="K151" s="494"/>
      <c r="M151" s="5370" t="str">
        <f>TRIM(SUBSTITUTE(SUBSTITUTE(SUBSTITUTE(SUBSTITUTE(IF(OR(LEFT(M150,1)="-",LEFT(M150,1)="="),MID(M150,2,9999),M150),CHAR(160)," "),","," "),";"," "),"."," "))</f>
        <v/>
      </c>
      <c r="N151" s="5371" t="str">
        <f>IF(OR(O150="",M152=""),"",IF(LEN(O150)&lt;=M152,O150,IFERROR(LEFT(O150,FIND("♦",SUBSTITUTE(LEFT(O150,M152+1)," ","♦",LEN(LEFT(O150,M152+1))-LEN(SUBSTITUTE(LEFT(O150,M152+1)," ",""))))),LEFT(O150,IFERROR(FIND(" ",O150)-1,LEN(O150))))))</f>
        <v/>
      </c>
      <c r="O151" s="5371" t="str">
        <f>IF(N151="","",TRIM(RIGHT(O150,LEN(O150)-LEN(N151))))</f>
        <v/>
      </c>
      <c r="P151" s="5389"/>
      <c r="Q151" s="5077"/>
      <c r="R151" s="5077"/>
      <c r="T151" s="3">
        <v>1</v>
      </c>
    </row>
    <row r="152" spans="5:20" ht="15.75">
      <c r="E152" s="5077"/>
      <c r="G152" s="5363" t="str">
        <f t="shared" si="30"/>
        <v/>
      </c>
      <c r="H152" s="5367" t="str">
        <f t="shared" si="31"/>
        <v/>
      </c>
      <c r="I152" s="5368" t="str">
        <f>IF(LEN(TRIM(N152))&gt;0,MAX(I29:I151)+1,"")</f>
        <v/>
      </c>
      <c r="J152" s="199" t="str">
        <f>IFERROR(INDEX(N30:N299,MATCH(ROW()-ROW(N30)+1,I30:I299,0)),"")</f>
        <v/>
      </c>
      <c r="K152" s="494"/>
      <c r="M152" s="5376">
        <f>J17</f>
        <v>100</v>
      </c>
      <c r="N152" s="5371" t="str">
        <f>IF(OR(O151="",M152=""),"",IF(LEN(O151)&lt;=M152,O151,IFERROR(LEFT(O151,FIND("♦",SUBSTITUTE(LEFT(O151,M152+1)," ","♦",LEN(LEFT(O151,M152+1))-LEN(SUBSTITUTE(LEFT(O151,M152+1)," ",""))))),LEFT(O151,IFERROR(FIND(" ",O151)-1,LEN(O151))))))</f>
        <v/>
      </c>
      <c r="O152" s="5371" t="str">
        <f t="shared" ref="O152:O155" si="41">IF(N152="","",TRIM(RIGHT(O151,LEN(O151)-LEN(N152))))</f>
        <v/>
      </c>
      <c r="P152" s="5389"/>
      <c r="Q152" s="5077"/>
      <c r="R152" s="5077"/>
      <c r="T152" s="3">
        <v>1</v>
      </c>
    </row>
    <row r="153" spans="5:20" ht="15.75">
      <c r="E153" s="5077"/>
      <c r="G153" s="5363" t="str">
        <f t="shared" si="30"/>
        <v/>
      </c>
      <c r="H153" s="5367" t="str">
        <f t="shared" si="31"/>
        <v/>
      </c>
      <c r="I153" s="5368" t="str">
        <f>IF(LEN(TRIM(N153))&gt;0,MAX(I29:I152)+1,"")</f>
        <v/>
      </c>
      <c r="J153" s="199" t="str">
        <f>IFERROR(INDEX(N30:N299,MATCH(ROW()-ROW(N30)+1,I30:I299,0)),"")</f>
        <v/>
      </c>
      <c r="K153" s="494"/>
      <c r="M153" s="5370"/>
      <c r="N153" s="5371" t="str">
        <f>IF(OR(O152="",M152=""),"",IF(LEN(O152)&lt;=M152,O152,IFERROR(LEFT(O152,FIND("♦",SUBSTITUTE(LEFT(O152,M152+1)," ","♦",LEN(LEFT(O152,M152+1))-LEN(SUBSTITUTE(LEFT(O152,M152+1)," ",""))))),LEFT(O152,IFERROR(FIND(" ",O152)-1,LEN(O152))))))</f>
        <v/>
      </c>
      <c r="O153" s="5371" t="str">
        <f t="shared" si="41"/>
        <v/>
      </c>
      <c r="P153" s="5389"/>
      <c r="Q153" s="5077"/>
      <c r="R153" s="5077"/>
      <c r="T153" s="3">
        <v>1</v>
      </c>
    </row>
    <row r="154" spans="5:20" ht="15.75">
      <c r="E154" s="5077"/>
      <c r="G154" s="5363" t="str">
        <f t="shared" si="30"/>
        <v/>
      </c>
      <c r="H154" s="5367" t="str">
        <f t="shared" si="31"/>
        <v/>
      </c>
      <c r="I154" s="5368" t="str">
        <f>IF(LEN(TRIM(N154))&gt;0,MAX(I29:I153)+1,"")</f>
        <v/>
      </c>
      <c r="J154" s="199" t="str">
        <f>IFERROR(INDEX(N30:N299,MATCH(ROW()-ROW(N30)+1,I30:I299,0)),"")</f>
        <v/>
      </c>
      <c r="K154" s="494"/>
      <c r="M154" s="5377"/>
      <c r="N154" s="5371" t="str">
        <f>IF(OR(O153="",M152=""),"",IF(LEN(O153)&lt;=M152,O153,IFERROR(LEFT(O153,FIND("♦",SUBSTITUTE(LEFT(O153,M152+1)," ","♦",LEN(LEFT(O153,M152+1))-LEN(SUBSTITUTE(LEFT(O153,M152+1)," ",""))))),LEFT(O153,IFERROR(FIND(" ",O153)-1,LEN(O153))))))</f>
        <v/>
      </c>
      <c r="O154" s="5371" t="str">
        <f t="shared" si="41"/>
        <v/>
      </c>
      <c r="P154" s="5389"/>
      <c r="Q154" s="5077"/>
      <c r="R154" s="5077"/>
      <c r="T154" s="3">
        <v>1</v>
      </c>
    </row>
    <row r="155" spans="5:20" ht="15.75">
      <c r="E155" s="5077"/>
      <c r="G155" s="5363" t="str">
        <f t="shared" si="30"/>
        <v/>
      </c>
      <c r="H155" s="5367" t="str">
        <f t="shared" si="31"/>
        <v/>
      </c>
      <c r="I155" s="5368" t="str">
        <f>IF(LEN(TRIM(N155))&gt;0,MAX(I29:I154)+1,"")</f>
        <v/>
      </c>
      <c r="J155" s="199" t="str">
        <f>IFERROR(INDEX(N30:N299,MATCH(ROW()-ROW(N30)+1,I30:I299,0)),"")</f>
        <v/>
      </c>
      <c r="K155" s="494"/>
      <c r="M155" s="5378"/>
      <c r="N155" s="5371" t="str">
        <f>IF(OR(O154="",M152=""),"",IF(LEN(O154)&lt;=M152,O154,IFERROR(LEFT(O154,FIND("♦",SUBSTITUTE(LEFT(O154,M152+1)," ","♦",LEN(LEFT(O154,M152+1))-LEN(SUBSTITUTE(LEFT(O154,M152+1)," ",""))))),LEFT(O154,IFERROR(FIND(" ",O154)-1,LEN(O154))))))</f>
        <v/>
      </c>
      <c r="O155" s="5371" t="str">
        <f t="shared" si="41"/>
        <v/>
      </c>
      <c r="P155" s="5389"/>
      <c r="Q155" s="5077"/>
      <c r="R155" s="5077"/>
      <c r="T155" s="3">
        <v>1</v>
      </c>
    </row>
    <row r="156" spans="5:20" ht="15.75">
      <c r="E156" s="5077"/>
      <c r="G156" s="5363" t="str">
        <f t="shared" si="30"/>
        <v/>
      </c>
      <c r="H156" s="5367" t="str">
        <f t="shared" si="31"/>
        <v/>
      </c>
      <c r="I156" s="5368" t="str">
        <f>IF(LEN(TRIM(N156))&gt;0,MAX(I29:I155)+1,"")</f>
        <v/>
      </c>
      <c r="J156" s="199" t="str">
        <f>IFERROR(INDEX(N30:N299,MATCH(ROW()-ROW(N30)+1,I30:I299,0)),"")</f>
        <v/>
      </c>
      <c r="K156" s="494"/>
      <c r="M156" s="5369" t="str">
        <f>(SUBSTITUTE(SUBSTITUTE(E51,CHAR(13)&amp;CHAR(10)," "),CHAR(10)," "))</f>
        <v/>
      </c>
      <c r="N156" s="5379" t="str">
        <f>IF(OR(M157="",M158=""),"",IF(LEN(M157)&lt;=M158,M157,IFERROR(LEFT(M157,FIND("♦",SUBSTITUTE(LEFT(M157,M158+1)," ","♦",LEN(LEFT(M157,M158+1))-LEN(SUBSTITUTE(LEFT(M157,M158+1)," ",""))))),LEFT(M157,IFERROR(FIND(" ",M157)-1,LEN(M157))))))</f>
        <v/>
      </c>
      <c r="O156" s="5380" t="str">
        <f>IF(N156="","",TRIM(RIGHT(M157,LEN(M157)-LEN(N156))))</f>
        <v/>
      </c>
      <c r="P156" s="5372" t="str">
        <f>F51</f>
        <v xml:space="preserve"> ◄ ligne 51</v>
      </c>
      <c r="Q156" s="5077"/>
      <c r="R156" s="5077"/>
      <c r="T156" s="3">
        <v>1</v>
      </c>
    </row>
    <row r="157" spans="5:20" ht="15.75">
      <c r="E157" s="5077"/>
      <c r="G157" s="5363" t="str">
        <f t="shared" si="30"/>
        <v/>
      </c>
      <c r="H157" s="5367" t="str">
        <f t="shared" si="31"/>
        <v/>
      </c>
      <c r="I157" s="5368" t="str">
        <f>IF(LEN(TRIM(N157))&gt;0,MAX(I29:I156)+1,"")</f>
        <v/>
      </c>
      <c r="J157" s="199" t="str">
        <f>IFERROR(INDEX(N30:N299,MATCH(ROW()-ROW(N30)+1,I30:I299,0)),"")</f>
        <v/>
      </c>
      <c r="K157" s="494"/>
      <c r="M157" s="5379" t="str">
        <f>TRIM(SUBSTITUTE(SUBSTITUTE(SUBSTITUTE(SUBSTITUTE(IF(OR(LEFT(M156,1)="-",LEFT(M156,1)="="),MID(M156,2,9999),M156),CHAR(160)," "),","," "),";"," "),"."," "))</f>
        <v/>
      </c>
      <c r="N157" s="5380" t="str">
        <f>IF(OR(O156="",M158=""),"",IF(LEN(O156)&lt;=M158,O156,IFERROR(LEFT(O156,FIND("♦",SUBSTITUTE(LEFT(O156,M158+1)," ","♦",LEN(LEFT(O156,M158+1))-LEN(SUBSTITUTE(LEFT(O156,M158+1)," ",""))))),LEFT(O156,IFERROR(FIND(" ",O156)-1,LEN(O156))))))</f>
        <v/>
      </c>
      <c r="O157" s="5380" t="str">
        <f>IF(N157="","",TRIM(RIGHT(O156,LEN(O156)-LEN(N157))))</f>
        <v/>
      </c>
      <c r="P157" s="5390"/>
      <c r="Q157" s="5077"/>
      <c r="R157" s="5077"/>
      <c r="T157" s="3">
        <v>1</v>
      </c>
    </row>
    <row r="158" spans="5:20" ht="15.75">
      <c r="E158" s="5077"/>
      <c r="G158" s="5363" t="str">
        <f t="shared" si="30"/>
        <v/>
      </c>
      <c r="H158" s="5367" t="str">
        <f t="shared" si="31"/>
        <v/>
      </c>
      <c r="I158" s="5368" t="str">
        <f>IF(LEN(TRIM(N158))&gt;0,MAX(I29:I157)+1,"")</f>
        <v/>
      </c>
      <c r="J158" s="199" t="str">
        <f>IFERROR(INDEX(N30:N299,MATCH(ROW()-ROW(N30)+1,I30:I299,0)),"")</f>
        <v/>
      </c>
      <c r="K158" s="494"/>
      <c r="M158" s="5376">
        <f>J17</f>
        <v>100</v>
      </c>
      <c r="N158" s="5380" t="str">
        <f>IF(OR(O157="",M158=""),"",IF(LEN(O157)&lt;=M158,O157,IFERROR(LEFT(O157,FIND("♦",SUBSTITUTE(LEFT(O157,M158+1)," ","♦",LEN(LEFT(O157,M158+1))-LEN(SUBSTITUTE(LEFT(O157,M158+1)," ",""))))),LEFT(O157,IFERROR(FIND(" ",O157)-1,LEN(O157))))))</f>
        <v/>
      </c>
      <c r="O158" s="5380" t="str">
        <f t="shared" ref="O158:O161" si="42">IF(N158="","",TRIM(RIGHT(O157,LEN(O157)-LEN(N158))))</f>
        <v/>
      </c>
      <c r="P158" s="5390"/>
      <c r="Q158" s="5077"/>
      <c r="R158" s="5077"/>
      <c r="T158" s="3">
        <v>1</v>
      </c>
    </row>
    <row r="159" spans="5:20" ht="15.75">
      <c r="E159" s="5077"/>
      <c r="G159" s="5363" t="str">
        <f t="shared" si="30"/>
        <v/>
      </c>
      <c r="H159" s="5367" t="str">
        <f t="shared" si="31"/>
        <v/>
      </c>
      <c r="I159" s="5368" t="str">
        <f>IF(LEN(TRIM(N159))&gt;0,MAX(I29:I158)+1,"")</f>
        <v/>
      </c>
      <c r="J159" s="199" t="str">
        <f>IFERROR(INDEX(N30:N299,MATCH(ROW()-ROW(N30)+1,I30:I299,0)),"")</f>
        <v/>
      </c>
      <c r="K159" s="494"/>
      <c r="M159" s="5379"/>
      <c r="N159" s="5380" t="str">
        <f>IF(OR(O158="",M158=""),"",IF(LEN(O158)&lt;=M158,O158,IFERROR(LEFT(O158,FIND("♦",SUBSTITUTE(LEFT(O158,M158+1)," ","♦",LEN(LEFT(O158,M158+1))-LEN(SUBSTITUTE(LEFT(O158,M158+1)," ",""))))),LEFT(O158,IFERROR(FIND(" ",O158)-1,LEN(O158))))))</f>
        <v/>
      </c>
      <c r="O159" s="5380" t="str">
        <f t="shared" si="42"/>
        <v/>
      </c>
      <c r="P159" s="5390"/>
      <c r="Q159" s="5077"/>
      <c r="R159" s="5077"/>
      <c r="T159" s="3">
        <v>1</v>
      </c>
    </row>
    <row r="160" spans="5:20" ht="15.75">
      <c r="E160" s="5077"/>
      <c r="G160" s="5363" t="str">
        <f t="shared" ref="G160:G223" si="43">IF(J160="","",(LEN(TRIM(SUBSTITUTE(J160,CHAR(160)," ")))-LEN(SUBSTITUTE(TRIM(SUBSTITUTE(J160,CHAR(160)," "))," ",""))+1)&amp;" mot"&amp;IF((LEN(TRIM(SUBSTITUTE(J160,CHAR(160)," ")))-LEN(SUBSTITUTE(TRIM(SUBSTITUTE(J160,CHAR(160)," "))," ",""))+1)&gt;1,"s",""))</f>
        <v/>
      </c>
      <c r="H160" s="5367" t="str">
        <f t="shared" ref="H160:H223" si="44">IF(J160="","",LEN(TRIM(SUBSTITUTE(J160,CHAR(160),"")))&amp;" car. ►")</f>
        <v/>
      </c>
      <c r="I160" s="5368" t="str">
        <f>IF(LEN(TRIM(N160))&gt;0,MAX(I29:I159)+1,"")</f>
        <v/>
      </c>
      <c r="J160" s="199" t="str">
        <f>IFERROR(INDEX(N30:N299,MATCH(ROW()-ROW(N30)+1,I30:I299,0)),"")</f>
        <v/>
      </c>
      <c r="K160" s="494"/>
      <c r="M160" s="5382"/>
      <c r="N160" s="5380" t="str">
        <f>IF(OR(O159="",M158=""),"",IF(LEN(O159)&lt;=M158,O159,IFERROR(LEFT(O159,FIND("♦",SUBSTITUTE(LEFT(O159,M158+1)," ","♦",LEN(LEFT(O159,M158+1))-LEN(SUBSTITUTE(LEFT(O159,M158+1)," ",""))))),LEFT(O159,IFERROR(FIND(" ",O159)-1,LEN(O159))))))</f>
        <v/>
      </c>
      <c r="O160" s="5380" t="str">
        <f t="shared" si="42"/>
        <v/>
      </c>
      <c r="P160" s="5390"/>
      <c r="Q160" s="5077"/>
      <c r="R160" s="5077"/>
      <c r="T160" s="3">
        <v>1</v>
      </c>
    </row>
    <row r="161" spans="5:20" ht="15.75">
      <c r="E161" s="5077"/>
      <c r="G161" s="5363" t="str">
        <f t="shared" si="43"/>
        <v/>
      </c>
      <c r="H161" s="5367" t="str">
        <f t="shared" si="44"/>
        <v/>
      </c>
      <c r="I161" s="5368" t="str">
        <f>IF(LEN(TRIM(N161))&gt;0,MAX(I29:I160)+1,"")</f>
        <v/>
      </c>
      <c r="J161" s="199" t="str">
        <f>IFERROR(INDEX(N30:N299,MATCH(ROW()-ROW(N30)+1,I30:I299,0)),"")</f>
        <v/>
      </c>
      <c r="K161" s="494"/>
      <c r="M161" s="5383"/>
      <c r="N161" s="5380" t="str">
        <f>IF(OR(O160="",M158=""),"",IF(LEN(O160)&lt;=M158,O160,IFERROR(LEFT(O160,FIND("♦",SUBSTITUTE(LEFT(O160,M158+1)," ","♦",LEN(LEFT(O160,M158+1))-LEN(SUBSTITUTE(LEFT(O160,M158+1)," ",""))))),LEFT(O160,IFERROR(FIND(" ",O160)-1,LEN(O160))))))</f>
        <v/>
      </c>
      <c r="O161" s="5380" t="str">
        <f t="shared" si="42"/>
        <v/>
      </c>
      <c r="P161" s="5390"/>
      <c r="Q161" s="5077"/>
      <c r="R161" s="5077"/>
      <c r="T161" s="3">
        <v>1</v>
      </c>
    </row>
    <row r="162" spans="5:20" ht="15.75">
      <c r="E162" s="5077"/>
      <c r="G162" s="5363" t="str">
        <f t="shared" si="43"/>
        <v/>
      </c>
      <c r="H162" s="5367" t="str">
        <f t="shared" si="44"/>
        <v/>
      </c>
      <c r="I162" s="5368" t="str">
        <f>IF(LEN(TRIM(N162))&gt;0,MAX(I29:I161)+1,"")</f>
        <v/>
      </c>
      <c r="J162" s="199" t="str">
        <f>IFERROR(INDEX(N30:N299,MATCH(ROW()-ROW(N30)+1,I30:I299,0)),"")</f>
        <v/>
      </c>
      <c r="K162" s="494"/>
      <c r="M162" s="5369" t="str">
        <f>(SUBSTITUTE(SUBSTITUTE(E52,CHAR(13)&amp;CHAR(10)," "),CHAR(10)," "))</f>
        <v/>
      </c>
      <c r="N162" s="5370" t="str">
        <f>IF(OR(M163="",M164=""),"",IF(LEN(M163)&lt;=M164,M163,IFERROR(LEFT(M163,FIND("♦",SUBSTITUTE(LEFT(M163,M164+1)," ","♦",LEN(LEFT(M163,M164+1))-LEN(SUBSTITUTE(LEFT(M163,M164+1)," ",""))))),LEFT(M163,IFERROR(FIND(" ",M163)-1,LEN(M163))))))</f>
        <v/>
      </c>
      <c r="O162" s="5371" t="str">
        <f>IF(N162="","",TRIM(RIGHT(M163,LEN(M163)-LEN(N162))))</f>
        <v/>
      </c>
      <c r="P162" s="5372" t="str">
        <f>F52</f>
        <v xml:space="preserve"> ◄ ligne 52</v>
      </c>
      <c r="Q162" s="5077"/>
      <c r="R162" s="5077"/>
      <c r="T162" s="3">
        <v>1</v>
      </c>
    </row>
    <row r="163" spans="5:20" ht="15.75">
      <c r="E163" s="5077"/>
      <c r="G163" s="5363" t="str">
        <f t="shared" si="43"/>
        <v/>
      </c>
      <c r="H163" s="5367" t="str">
        <f t="shared" si="44"/>
        <v/>
      </c>
      <c r="I163" s="5368" t="str">
        <f>IF(LEN(TRIM(N163))&gt;0,MAX(I29:I162)+1,"")</f>
        <v/>
      </c>
      <c r="J163" s="199" t="str">
        <f>IFERROR(INDEX(N30:N299,MATCH(ROW()-ROW(N30)+1,I30:I299,0)),"")</f>
        <v/>
      </c>
      <c r="K163" s="494"/>
      <c r="M163" s="5370" t="str">
        <f>TRIM(SUBSTITUTE(SUBSTITUTE(SUBSTITUTE(SUBSTITUTE(IF(OR(LEFT(M162,1)="-",LEFT(M162,1)="="),MID(M162,2,9999),M162),CHAR(160)," "),","," "),";"," "),"."," "))</f>
        <v/>
      </c>
      <c r="N163" s="5371" t="str">
        <f>IF(OR(O162="",M164=""),"",IF(LEN(O162)&lt;=M164,O162,IFERROR(LEFT(O162,FIND("♦",SUBSTITUTE(LEFT(O162,M164+1)," ","♦",LEN(LEFT(O162,M164+1))-LEN(SUBSTITUTE(LEFT(O162,M164+1)," ",""))))),LEFT(O162,IFERROR(FIND(" ",O162)-1,LEN(O162))))))</f>
        <v/>
      </c>
      <c r="O163" s="5371" t="str">
        <f>IF(N163="","",TRIM(RIGHT(O162,LEN(O162)-LEN(N163))))</f>
        <v/>
      </c>
      <c r="P163" s="5389"/>
      <c r="Q163" s="5077"/>
      <c r="R163" s="5077"/>
      <c r="T163" s="3">
        <v>1</v>
      </c>
    </row>
    <row r="164" spans="5:20" ht="15.75">
      <c r="E164" s="5077"/>
      <c r="G164" s="5363" t="str">
        <f t="shared" si="43"/>
        <v/>
      </c>
      <c r="H164" s="5367" t="str">
        <f t="shared" si="44"/>
        <v/>
      </c>
      <c r="I164" s="5368" t="str">
        <f>IF(LEN(TRIM(N164))&gt;0,MAX(I29:I163)+1,"")</f>
        <v/>
      </c>
      <c r="J164" s="199" t="str">
        <f>IFERROR(INDEX(N30:N299,MATCH(ROW()-ROW(N30)+1,I30:I299,0)),"")</f>
        <v/>
      </c>
      <c r="K164" s="494"/>
      <c r="M164" s="5376">
        <f>J17</f>
        <v>100</v>
      </c>
      <c r="N164" s="5371" t="str">
        <f>IF(OR(O163="",M164=""),"",IF(LEN(O163)&lt;=M164,O163,IFERROR(LEFT(O163,FIND("♦",SUBSTITUTE(LEFT(O163,M164+1)," ","♦",LEN(LEFT(O163,M164+1))-LEN(SUBSTITUTE(LEFT(O163,M164+1)," ",""))))),LEFT(O163,IFERROR(FIND(" ",O163)-1,LEN(O163))))))</f>
        <v/>
      </c>
      <c r="O164" s="5371" t="str">
        <f t="shared" ref="O164:O167" si="45">IF(N164="","",TRIM(RIGHT(O163,LEN(O163)-LEN(N164))))</f>
        <v/>
      </c>
      <c r="P164" s="5389"/>
      <c r="Q164" s="5077"/>
      <c r="R164" s="5077"/>
      <c r="T164" s="3">
        <v>1</v>
      </c>
    </row>
    <row r="165" spans="5:20" ht="15.75">
      <c r="E165" s="5077"/>
      <c r="G165" s="5363" t="str">
        <f t="shared" si="43"/>
        <v/>
      </c>
      <c r="H165" s="5367" t="str">
        <f t="shared" si="44"/>
        <v/>
      </c>
      <c r="I165" s="5368" t="str">
        <f>IF(LEN(TRIM(N165))&gt;0,MAX(I29:I164)+1,"")</f>
        <v/>
      </c>
      <c r="J165" s="199" t="str">
        <f>IFERROR(INDEX(N30:N299,MATCH(ROW()-ROW(N30)+1,I30:I299,0)),"")</f>
        <v/>
      </c>
      <c r="K165" s="494"/>
      <c r="M165" s="5370"/>
      <c r="N165" s="5371" t="str">
        <f>IF(OR(O164="",M164=""),"",IF(LEN(O164)&lt;=M164,O164,IFERROR(LEFT(O164,FIND("♦",SUBSTITUTE(LEFT(O164,M164+1)," ","♦",LEN(LEFT(O164,M164+1))-LEN(SUBSTITUTE(LEFT(O164,M164+1)," ",""))))),LEFT(O164,IFERROR(FIND(" ",O164)-1,LEN(O164))))))</f>
        <v/>
      </c>
      <c r="O165" s="5371" t="str">
        <f t="shared" si="45"/>
        <v/>
      </c>
      <c r="P165" s="5389"/>
      <c r="Q165" s="5077"/>
      <c r="R165" s="5077"/>
      <c r="T165" s="3">
        <v>1</v>
      </c>
    </row>
    <row r="166" spans="5:20" ht="15.75">
      <c r="E166" s="5077"/>
      <c r="G166" s="5363" t="str">
        <f t="shared" si="43"/>
        <v/>
      </c>
      <c r="H166" s="5367" t="str">
        <f t="shared" si="44"/>
        <v/>
      </c>
      <c r="I166" s="5368" t="str">
        <f>IF(LEN(TRIM(N166))&gt;0,MAX(I29:I165)+1,"")</f>
        <v/>
      </c>
      <c r="J166" s="199" t="str">
        <f>IFERROR(INDEX(N30:N299,MATCH(ROW()-ROW(N30)+1,I30:I299,0)),"")</f>
        <v/>
      </c>
      <c r="K166" s="494"/>
      <c r="M166" s="5377"/>
      <c r="N166" s="5371" t="str">
        <f>IF(OR(O165="",M164=""),"",IF(LEN(O165)&lt;=M164,O165,IFERROR(LEFT(O165,FIND("♦",SUBSTITUTE(LEFT(O165,M164+1)," ","♦",LEN(LEFT(O165,M164+1))-LEN(SUBSTITUTE(LEFT(O165,M164+1)," ",""))))),LEFT(O165,IFERROR(FIND(" ",O165)-1,LEN(O165))))))</f>
        <v/>
      </c>
      <c r="O166" s="5371" t="str">
        <f t="shared" si="45"/>
        <v/>
      </c>
      <c r="P166" s="5389"/>
      <c r="Q166" s="5077"/>
      <c r="R166" s="5077"/>
      <c r="T166" s="3">
        <v>1</v>
      </c>
    </row>
    <row r="167" spans="5:20" ht="15.75">
      <c r="E167" s="5077"/>
      <c r="G167" s="5363" t="str">
        <f t="shared" si="43"/>
        <v/>
      </c>
      <c r="H167" s="5367" t="str">
        <f t="shared" si="44"/>
        <v/>
      </c>
      <c r="I167" s="5368" t="str">
        <f>IF(LEN(TRIM(N167))&gt;0,MAX(I29:I166)+1,"")</f>
        <v/>
      </c>
      <c r="J167" s="199" t="str">
        <f>IFERROR(INDEX(N30:N299,MATCH(ROW()-ROW(N30)+1,I30:I299,0)),"")</f>
        <v/>
      </c>
      <c r="K167" s="494"/>
      <c r="M167" s="5378"/>
      <c r="N167" s="5371" t="str">
        <f>IF(OR(O166="",M164=""),"",IF(LEN(O166)&lt;=M164,O166,IFERROR(LEFT(O166,FIND("♦",SUBSTITUTE(LEFT(O166,M164+1)," ","♦",LEN(LEFT(O166,M164+1))-LEN(SUBSTITUTE(LEFT(O166,M164+1)," ",""))))),LEFT(O166,IFERROR(FIND(" ",O166)-1,LEN(O166))))))</f>
        <v/>
      </c>
      <c r="O167" s="5371" t="str">
        <f t="shared" si="45"/>
        <v/>
      </c>
      <c r="P167" s="5389"/>
      <c r="Q167" s="5077"/>
      <c r="R167" s="5077"/>
      <c r="T167" s="3">
        <v>1</v>
      </c>
    </row>
    <row r="168" spans="5:20" ht="15.75">
      <c r="E168" s="5077"/>
      <c r="G168" s="5363" t="str">
        <f t="shared" si="43"/>
        <v/>
      </c>
      <c r="H168" s="5367" t="str">
        <f t="shared" si="44"/>
        <v/>
      </c>
      <c r="I168" s="5368" t="str">
        <f>IF(LEN(TRIM(N168))&gt;0,MAX(I29:I167)+1,"")</f>
        <v/>
      </c>
      <c r="J168" s="199" t="str">
        <f>IFERROR(INDEX(N30:N299,MATCH(ROW()-ROW(N30)+1,I30:I299,0)),"")</f>
        <v/>
      </c>
      <c r="K168" s="494"/>
      <c r="M168" s="5369" t="str">
        <f>(SUBSTITUTE(SUBSTITUTE(E53,CHAR(13)&amp;CHAR(10)," "),CHAR(10)," "))</f>
        <v/>
      </c>
      <c r="N168" s="5379" t="str">
        <f>IF(OR(M169="",M170=""),"",IF(LEN(M169)&lt;=M170,M169,IFERROR(LEFT(M169,FIND("♦",SUBSTITUTE(LEFT(M169,M170+1)," ","♦",LEN(LEFT(M169,M170+1))-LEN(SUBSTITUTE(LEFT(M169,M170+1)," ",""))))),LEFT(M169,IFERROR(FIND(" ",M169)-1,LEN(M169))))))</f>
        <v/>
      </c>
      <c r="O168" s="5380" t="str">
        <f>IF(N168="","",TRIM(RIGHT(M169,LEN(M169)-LEN(N168))))</f>
        <v/>
      </c>
      <c r="P168" s="5372" t="str">
        <f>F53</f>
        <v xml:space="preserve"> ◄ ligne 53</v>
      </c>
      <c r="Q168" s="5077"/>
      <c r="R168" s="5077"/>
      <c r="T168" s="3">
        <v>1</v>
      </c>
    </row>
    <row r="169" spans="5:20" ht="15.75">
      <c r="E169" s="5077"/>
      <c r="G169" s="5363" t="str">
        <f t="shared" si="43"/>
        <v/>
      </c>
      <c r="H169" s="5367" t="str">
        <f t="shared" si="44"/>
        <v/>
      </c>
      <c r="I169" s="5368" t="str">
        <f>IF(LEN(TRIM(N169))&gt;0,MAX(I29:I168)+1,"")</f>
        <v/>
      </c>
      <c r="J169" s="199" t="str">
        <f>IFERROR(INDEX(N30:N299,MATCH(ROW()-ROW(N30)+1,I30:I299,0)),"")</f>
        <v/>
      </c>
      <c r="K169" s="494"/>
      <c r="M169" s="5379" t="str">
        <f>TRIM(SUBSTITUTE(SUBSTITUTE(SUBSTITUTE(SUBSTITUTE(IF(OR(LEFT(M168,1)="-",LEFT(M168,1)="="),MID(M168,2,9999),M168),CHAR(160)," "),","," "),";"," "),"."," "))</f>
        <v/>
      </c>
      <c r="N169" s="5380" t="str">
        <f>IF(OR(O168="",M170=""),"",IF(LEN(O168)&lt;=M170,O168,IFERROR(LEFT(O168,FIND("♦",SUBSTITUTE(LEFT(O168,M170+1)," ","♦",LEN(LEFT(O168,M170+1))-LEN(SUBSTITUTE(LEFT(O168,M170+1)," ",""))))),LEFT(O168,IFERROR(FIND(" ",O168)-1,LEN(O168))))))</f>
        <v/>
      </c>
      <c r="O169" s="5380" t="str">
        <f>IF(N169="","",TRIM(RIGHT(O168,LEN(O168)-LEN(N169))))</f>
        <v/>
      </c>
      <c r="P169" s="5390"/>
      <c r="Q169" s="5077"/>
      <c r="R169" s="5077"/>
      <c r="T169" s="3">
        <v>1</v>
      </c>
    </row>
    <row r="170" spans="5:20" ht="15.75">
      <c r="E170" s="5077"/>
      <c r="G170" s="5363" t="str">
        <f t="shared" si="43"/>
        <v/>
      </c>
      <c r="H170" s="5367" t="str">
        <f t="shared" si="44"/>
        <v/>
      </c>
      <c r="I170" s="5368" t="str">
        <f>IF(LEN(TRIM(N170))&gt;0,MAX(I29:I169)+1,"")</f>
        <v/>
      </c>
      <c r="J170" s="199" t="str">
        <f>IFERROR(INDEX(N30:N299,MATCH(ROW()-ROW(N30)+1,I30:I299,0)),"")</f>
        <v/>
      </c>
      <c r="K170" s="494"/>
      <c r="M170" s="5376">
        <f>J17</f>
        <v>100</v>
      </c>
      <c r="N170" s="5380" t="str">
        <f>IF(OR(O169="",M170=""),"",IF(LEN(O169)&lt;=M170,O169,IFERROR(LEFT(O169,FIND("♦",SUBSTITUTE(LEFT(O169,M170+1)," ","♦",LEN(LEFT(O169,M170+1))-LEN(SUBSTITUTE(LEFT(O169,M170+1)," ",""))))),LEFT(O169,IFERROR(FIND(" ",O169)-1,LEN(O169))))))</f>
        <v/>
      </c>
      <c r="O170" s="5380" t="str">
        <f t="shared" ref="O170:O173" si="46">IF(N170="","",TRIM(RIGHT(O169,LEN(O169)-LEN(N170))))</f>
        <v/>
      </c>
      <c r="P170" s="5390"/>
      <c r="Q170" s="5077"/>
      <c r="R170" s="5077"/>
      <c r="T170" s="3">
        <v>1</v>
      </c>
    </row>
    <row r="171" spans="5:20" ht="15.75">
      <c r="E171" s="5077"/>
      <c r="G171" s="5363" t="str">
        <f t="shared" si="43"/>
        <v/>
      </c>
      <c r="H171" s="5367" t="str">
        <f t="shared" si="44"/>
        <v/>
      </c>
      <c r="I171" s="5368" t="str">
        <f>IF(LEN(TRIM(N171))&gt;0,MAX(I29:I170)+1,"")</f>
        <v/>
      </c>
      <c r="J171" s="199" t="str">
        <f>IFERROR(INDEX(N30:N299,MATCH(ROW()-ROW(N30)+1,I30:I299,0)),"")</f>
        <v/>
      </c>
      <c r="K171" s="494"/>
      <c r="M171" s="5379"/>
      <c r="N171" s="5380" t="str">
        <f>IF(OR(O170="",M170=""),"",IF(LEN(O170)&lt;=M170,O170,IFERROR(LEFT(O170,FIND("♦",SUBSTITUTE(LEFT(O170,M170+1)," ","♦",LEN(LEFT(O170,M170+1))-LEN(SUBSTITUTE(LEFT(O170,M170+1)," ",""))))),LEFT(O170,IFERROR(FIND(" ",O170)-1,LEN(O170))))))</f>
        <v/>
      </c>
      <c r="O171" s="5380" t="str">
        <f t="shared" si="46"/>
        <v/>
      </c>
      <c r="P171" s="5390"/>
      <c r="Q171" s="5077"/>
      <c r="R171" s="5077"/>
      <c r="T171" s="3">
        <v>1</v>
      </c>
    </row>
    <row r="172" spans="5:20" ht="15.75">
      <c r="E172" s="5077"/>
      <c r="G172" s="5363" t="str">
        <f t="shared" si="43"/>
        <v/>
      </c>
      <c r="H172" s="5367" t="str">
        <f t="shared" si="44"/>
        <v/>
      </c>
      <c r="I172" s="5368" t="str">
        <f>IF(LEN(TRIM(N172))&gt;0,MAX(I29:I171)+1,"")</f>
        <v/>
      </c>
      <c r="J172" s="199" t="str">
        <f>IFERROR(INDEX(N30:N299,MATCH(ROW()-ROW(N30)+1,I30:I299,0)),"")</f>
        <v/>
      </c>
      <c r="K172" s="494"/>
      <c r="M172" s="5382"/>
      <c r="N172" s="5380" t="str">
        <f>IF(OR(O171="",M170=""),"",IF(LEN(O171)&lt;=M170,O171,IFERROR(LEFT(O171,FIND("♦",SUBSTITUTE(LEFT(O171,M170+1)," ","♦",LEN(LEFT(O171,M170+1))-LEN(SUBSTITUTE(LEFT(O171,M170+1)," ",""))))),LEFT(O171,IFERROR(FIND(" ",O171)-1,LEN(O171))))))</f>
        <v/>
      </c>
      <c r="O172" s="5380" t="str">
        <f t="shared" si="46"/>
        <v/>
      </c>
      <c r="P172" s="5390"/>
      <c r="Q172" s="5077"/>
      <c r="R172" s="5077"/>
      <c r="T172" s="3">
        <v>1</v>
      </c>
    </row>
    <row r="173" spans="5:20" ht="15.75">
      <c r="E173" s="5077"/>
      <c r="G173" s="5363" t="str">
        <f t="shared" si="43"/>
        <v/>
      </c>
      <c r="H173" s="5367" t="str">
        <f t="shared" si="44"/>
        <v/>
      </c>
      <c r="I173" s="5368" t="str">
        <f>IF(LEN(TRIM(N173))&gt;0,MAX(I29:I172)+1,"")</f>
        <v/>
      </c>
      <c r="J173" s="199" t="str">
        <f>IFERROR(INDEX(N30:N299,MATCH(ROW()-ROW(N30)+1,I30:I299,0)),"")</f>
        <v/>
      </c>
      <c r="K173" s="494"/>
      <c r="M173" s="5383"/>
      <c r="N173" s="5380" t="str">
        <f>IF(OR(O172="",M170=""),"",IF(LEN(O172)&lt;=M170,O172,IFERROR(LEFT(O172,FIND("♦",SUBSTITUTE(LEFT(O172,M170+1)," ","♦",LEN(LEFT(O172,M170+1))-LEN(SUBSTITUTE(LEFT(O172,M170+1)," ",""))))),LEFT(O172,IFERROR(FIND(" ",O172)-1,LEN(O172))))))</f>
        <v/>
      </c>
      <c r="O173" s="5380" t="str">
        <f t="shared" si="46"/>
        <v/>
      </c>
      <c r="P173" s="5390"/>
      <c r="Q173" s="5077"/>
      <c r="R173" s="5077"/>
      <c r="T173" s="3">
        <v>1</v>
      </c>
    </row>
    <row r="174" spans="5:20" ht="15.75">
      <c r="E174" s="5077"/>
      <c r="G174" s="5363" t="str">
        <f t="shared" si="43"/>
        <v/>
      </c>
      <c r="H174" s="5367" t="str">
        <f t="shared" si="44"/>
        <v/>
      </c>
      <c r="I174" s="5368" t="str">
        <f>IF(LEN(TRIM(N174))&gt;0,MAX(I29:I173)+1,"")</f>
        <v/>
      </c>
      <c r="J174" s="199" t="str">
        <f>IFERROR(INDEX(N30:N299,MATCH(ROW()-ROW(N30)+1,I30:I299,0)),"")</f>
        <v/>
      </c>
      <c r="K174" s="494"/>
      <c r="M174" s="5369" t="str">
        <f>(SUBSTITUTE(SUBSTITUTE(E54,CHAR(13)&amp;CHAR(10)," "),CHAR(10)," "))</f>
        <v/>
      </c>
      <c r="N174" s="5370" t="str">
        <f>IF(OR(M175="",M176=""),"",IF(LEN(M175)&lt;=M176,M175,IFERROR(LEFT(M175,FIND("♦",SUBSTITUTE(LEFT(M175,M176+1)," ","♦",LEN(LEFT(M175,M176+1))-LEN(SUBSTITUTE(LEFT(M175,M176+1)," ",""))))),LEFT(M175,IFERROR(FIND(" ",M175)-1,LEN(M175))))))</f>
        <v/>
      </c>
      <c r="O174" s="5371" t="str">
        <f>IF(N174="","",TRIM(RIGHT(M175,LEN(M175)-LEN(N174))))</f>
        <v/>
      </c>
      <c r="P174" s="5372" t="str">
        <f>F54</f>
        <v xml:space="preserve"> ◄ ligne 54</v>
      </c>
      <c r="Q174" s="5077"/>
      <c r="R174" s="5077"/>
      <c r="T174" s="3">
        <v>1</v>
      </c>
    </row>
    <row r="175" spans="5:20" ht="15.75">
      <c r="E175" s="5077"/>
      <c r="G175" s="5363" t="str">
        <f t="shared" si="43"/>
        <v/>
      </c>
      <c r="H175" s="5367" t="str">
        <f t="shared" si="44"/>
        <v/>
      </c>
      <c r="I175" s="5368" t="str">
        <f>IF(LEN(TRIM(N175))&gt;0,MAX(I29:I174)+1,"")</f>
        <v/>
      </c>
      <c r="J175" s="199" t="str">
        <f>IFERROR(INDEX(N30:N299,MATCH(ROW()-ROW(N30)+1,I30:I299,0)),"")</f>
        <v/>
      </c>
      <c r="K175" s="494"/>
      <c r="M175" s="5370" t="str">
        <f>TRIM(SUBSTITUTE(SUBSTITUTE(SUBSTITUTE(SUBSTITUTE(IF(OR(LEFT(M174,1)="-",LEFT(M174,1)="="),MID(M174,2,9999),M174),CHAR(160)," "),","," "),";"," "),"."," "))</f>
        <v/>
      </c>
      <c r="N175" s="5371" t="str">
        <f>IF(OR(O174="",M176=""),"",IF(LEN(O174)&lt;=M176,O174,IFERROR(LEFT(O174,FIND("♦",SUBSTITUTE(LEFT(O174,M176+1)," ","♦",LEN(LEFT(O174,M176+1))-LEN(SUBSTITUTE(LEFT(O174,M176+1)," ",""))))),LEFT(O174,IFERROR(FIND(" ",O174)-1,LEN(O174))))))</f>
        <v/>
      </c>
      <c r="O175" s="5371" t="str">
        <f>IF(N175="","",TRIM(RIGHT(O174,LEN(O174)-LEN(N175))))</f>
        <v/>
      </c>
      <c r="P175" s="5389"/>
      <c r="Q175" s="5077"/>
      <c r="R175" s="5077"/>
      <c r="T175" s="3">
        <v>1</v>
      </c>
    </row>
    <row r="176" spans="5:20" ht="15.75">
      <c r="E176" s="5077"/>
      <c r="G176" s="5363" t="str">
        <f t="shared" si="43"/>
        <v/>
      </c>
      <c r="H176" s="5367" t="str">
        <f t="shared" si="44"/>
        <v/>
      </c>
      <c r="I176" s="5368" t="str">
        <f>IF(LEN(TRIM(N176))&gt;0,MAX(I29:I175)+1,"")</f>
        <v/>
      </c>
      <c r="J176" s="199" t="str">
        <f>IFERROR(INDEX(N30:N299,MATCH(ROW()-ROW(N30)+1,I30:I299,0)),"")</f>
        <v/>
      </c>
      <c r="K176" s="494"/>
      <c r="M176" s="5376">
        <f>J17</f>
        <v>100</v>
      </c>
      <c r="N176" s="5371" t="str">
        <f>IF(OR(O175="",M176=""),"",IF(LEN(O175)&lt;=M176,O175,IFERROR(LEFT(O175,FIND("♦",SUBSTITUTE(LEFT(O175,M176+1)," ","♦",LEN(LEFT(O175,M176+1))-LEN(SUBSTITUTE(LEFT(O175,M176+1)," ",""))))),LEFT(O175,IFERROR(FIND(" ",O175)-1,LEN(O175))))))</f>
        <v/>
      </c>
      <c r="O176" s="5371" t="str">
        <f t="shared" ref="O176:O179" si="47">IF(N176="","",TRIM(RIGHT(O175,LEN(O175)-LEN(N176))))</f>
        <v/>
      </c>
      <c r="P176" s="5389"/>
      <c r="Q176" s="5077"/>
      <c r="R176" s="5077"/>
      <c r="T176" s="3">
        <v>1</v>
      </c>
    </row>
    <row r="177" spans="5:20" ht="15.75">
      <c r="E177" s="5077"/>
      <c r="G177" s="5363" t="str">
        <f t="shared" si="43"/>
        <v/>
      </c>
      <c r="H177" s="5367" t="str">
        <f t="shared" si="44"/>
        <v/>
      </c>
      <c r="I177" s="5368" t="str">
        <f>IF(LEN(TRIM(N177))&gt;0,MAX(I29:I176)+1,"")</f>
        <v/>
      </c>
      <c r="J177" s="199" t="str">
        <f>IFERROR(INDEX(N30:N299,MATCH(ROW()-ROW(N30)+1,I30:I299,0)),"")</f>
        <v/>
      </c>
      <c r="K177" s="494"/>
      <c r="M177" s="5370"/>
      <c r="N177" s="5371" t="str">
        <f>IF(OR(O176="",M176=""),"",IF(LEN(O176)&lt;=M176,O176,IFERROR(LEFT(O176,FIND("♦",SUBSTITUTE(LEFT(O176,M176+1)," ","♦",LEN(LEFT(O176,M176+1))-LEN(SUBSTITUTE(LEFT(O176,M176+1)," ",""))))),LEFT(O176,IFERROR(FIND(" ",O176)-1,LEN(O176))))))</f>
        <v/>
      </c>
      <c r="O177" s="5371" t="str">
        <f t="shared" si="47"/>
        <v/>
      </c>
      <c r="P177" s="5389"/>
      <c r="Q177" s="5077"/>
      <c r="R177" s="5077"/>
      <c r="T177" s="3">
        <v>1</v>
      </c>
    </row>
    <row r="178" spans="5:20" ht="15.75">
      <c r="E178" s="5077"/>
      <c r="G178" s="5363" t="str">
        <f t="shared" si="43"/>
        <v/>
      </c>
      <c r="H178" s="5367" t="str">
        <f t="shared" si="44"/>
        <v/>
      </c>
      <c r="I178" s="5368" t="str">
        <f>IF(LEN(TRIM(N178))&gt;0,MAX(I29:I177)+1,"")</f>
        <v/>
      </c>
      <c r="J178" s="199" t="str">
        <f>IFERROR(INDEX(N30:N299,MATCH(ROW()-ROW(N30)+1,I30:I299,0)),"")</f>
        <v/>
      </c>
      <c r="K178" s="494"/>
      <c r="M178" s="5377"/>
      <c r="N178" s="5371" t="str">
        <f>IF(OR(O177="",M176=""),"",IF(LEN(O177)&lt;=M176,O177,IFERROR(LEFT(O177,FIND("♦",SUBSTITUTE(LEFT(O177,M176+1)," ","♦",LEN(LEFT(O177,M176+1))-LEN(SUBSTITUTE(LEFT(O177,M176+1)," ",""))))),LEFT(O177,IFERROR(FIND(" ",O177)-1,LEN(O177))))))</f>
        <v/>
      </c>
      <c r="O178" s="5371" t="str">
        <f t="shared" si="47"/>
        <v/>
      </c>
      <c r="P178" s="5389"/>
      <c r="Q178" s="5077"/>
      <c r="R178" s="5077"/>
      <c r="T178" s="3">
        <v>1</v>
      </c>
    </row>
    <row r="179" spans="5:20" ht="15.75">
      <c r="E179" s="5077"/>
      <c r="G179" s="5363" t="str">
        <f t="shared" si="43"/>
        <v/>
      </c>
      <c r="H179" s="5367" t="str">
        <f t="shared" si="44"/>
        <v/>
      </c>
      <c r="I179" s="5368" t="str">
        <f>IF(LEN(TRIM(N179))&gt;0,MAX(I29:I178)+1,"")</f>
        <v/>
      </c>
      <c r="J179" s="199" t="str">
        <f>IFERROR(INDEX(N30:N299,MATCH(ROW()-ROW(N30)+1,I30:I299,0)),"")</f>
        <v/>
      </c>
      <c r="K179" s="494"/>
      <c r="M179" s="5378"/>
      <c r="N179" s="5371" t="str">
        <f>IF(OR(O178="",M176=""),"",IF(LEN(O178)&lt;=M176,O178,IFERROR(LEFT(O178,FIND("♦",SUBSTITUTE(LEFT(O178,M176+1)," ","♦",LEN(LEFT(O178,M176+1))-LEN(SUBSTITUTE(LEFT(O178,M176+1)," ",""))))),LEFT(O178,IFERROR(FIND(" ",O178)-1,LEN(O178))))))</f>
        <v/>
      </c>
      <c r="O179" s="5371" t="str">
        <f t="shared" si="47"/>
        <v/>
      </c>
      <c r="P179" s="5389"/>
      <c r="Q179" s="5077"/>
      <c r="R179" s="5077"/>
      <c r="T179" s="3">
        <v>1</v>
      </c>
    </row>
    <row r="180" spans="5:20" ht="15.75">
      <c r="E180" s="5077"/>
      <c r="G180" s="5363" t="str">
        <f t="shared" si="43"/>
        <v/>
      </c>
      <c r="H180" s="5367" t="str">
        <f t="shared" si="44"/>
        <v/>
      </c>
      <c r="I180" s="5368" t="str">
        <f>IF(LEN(TRIM(N180))&gt;0,MAX(I29:I179)+1,"")</f>
        <v/>
      </c>
      <c r="J180" s="199" t="str">
        <f>IFERROR(INDEX(N30:N299,MATCH(ROW()-ROW(N30)+1,I30:I299,0)),"")</f>
        <v/>
      </c>
      <c r="K180" s="494"/>
      <c r="M180" s="5369" t="str">
        <f>(SUBSTITUTE(SUBSTITUTE(E55,CHAR(13)&amp;CHAR(10)," "),CHAR(10)," "))</f>
        <v/>
      </c>
      <c r="N180" s="5379" t="str">
        <f>IF(OR(M181="",M182=""),"",IF(LEN(M181)&lt;=M182,M181,IFERROR(LEFT(M181,FIND("♦",SUBSTITUTE(LEFT(M181,M182+1)," ","♦",LEN(LEFT(M181,M182+1))-LEN(SUBSTITUTE(LEFT(M181,M182+1)," ",""))))),LEFT(M181,IFERROR(FIND(" ",M181)-1,LEN(M181))))))</f>
        <v/>
      </c>
      <c r="O180" s="5380" t="str">
        <f>IF(N180="","",TRIM(RIGHT(M181,LEN(M181)-LEN(N180))))</f>
        <v/>
      </c>
      <c r="P180" s="5372" t="str">
        <f>F55</f>
        <v xml:space="preserve"> ◄ ligne 55</v>
      </c>
      <c r="Q180" s="5077"/>
      <c r="R180" s="5077"/>
      <c r="T180" s="3">
        <v>1</v>
      </c>
    </row>
    <row r="181" spans="5:20" ht="15.75">
      <c r="E181" s="5077"/>
      <c r="G181" s="5363" t="str">
        <f t="shared" si="43"/>
        <v/>
      </c>
      <c r="H181" s="5367" t="str">
        <f t="shared" si="44"/>
        <v/>
      </c>
      <c r="I181" s="5368" t="str">
        <f>IF(LEN(TRIM(N181))&gt;0,MAX(I29:I180)+1,"")</f>
        <v/>
      </c>
      <c r="J181" s="199" t="str">
        <f>IFERROR(INDEX(N30:N299,MATCH(ROW()-ROW(N30)+1,I30:I299,0)),"")</f>
        <v/>
      </c>
      <c r="K181" s="494"/>
      <c r="M181" s="5379" t="str">
        <f>TRIM(SUBSTITUTE(SUBSTITUTE(SUBSTITUTE(SUBSTITUTE(IF(OR(LEFT(M180,1)="-",LEFT(M180,1)="="),MID(M180,2,9999),M180),CHAR(160)," "),","," "),";"," "),"."," "))</f>
        <v/>
      </c>
      <c r="N181" s="5380" t="str">
        <f>IF(OR(O180="",M182=""),"",IF(LEN(O180)&lt;=M182,O180,IFERROR(LEFT(O180,FIND("♦",SUBSTITUTE(LEFT(O180,M182+1)," ","♦",LEN(LEFT(O180,M182+1))-LEN(SUBSTITUTE(LEFT(O180,M182+1)," ",""))))),LEFT(O180,IFERROR(FIND(" ",O180)-1,LEN(O180))))))</f>
        <v/>
      </c>
      <c r="O181" s="5380" t="str">
        <f>IF(N181="","",TRIM(RIGHT(O180,LEN(O180)-LEN(N181))))</f>
        <v/>
      </c>
      <c r="P181" s="5390"/>
      <c r="Q181" s="5077"/>
      <c r="R181" s="5077"/>
      <c r="T181" s="3">
        <v>1</v>
      </c>
    </row>
    <row r="182" spans="5:20" ht="15.75">
      <c r="E182" s="5077"/>
      <c r="G182" s="5363" t="str">
        <f t="shared" si="43"/>
        <v/>
      </c>
      <c r="H182" s="5367" t="str">
        <f t="shared" si="44"/>
        <v/>
      </c>
      <c r="I182" s="5368" t="str">
        <f>IF(LEN(TRIM(N182))&gt;0,MAX(I29:I181)+1,"")</f>
        <v/>
      </c>
      <c r="J182" s="199" t="str">
        <f>IFERROR(INDEX(N30:N299,MATCH(ROW()-ROW(N30)+1,I30:I299,0)),"")</f>
        <v/>
      </c>
      <c r="K182" s="494"/>
      <c r="M182" s="5376">
        <f>J17</f>
        <v>100</v>
      </c>
      <c r="N182" s="5380" t="str">
        <f>IF(OR(O181="",M182=""),"",IF(LEN(O181)&lt;=M182,O181,IFERROR(LEFT(O181,FIND("♦",SUBSTITUTE(LEFT(O181,M182+1)," ","♦",LEN(LEFT(O181,M182+1))-LEN(SUBSTITUTE(LEFT(O181,M182+1)," ",""))))),LEFT(O181,IFERROR(FIND(" ",O181)-1,LEN(O181))))))</f>
        <v/>
      </c>
      <c r="O182" s="5380" t="str">
        <f t="shared" ref="O182:O185" si="48">IF(N182="","",TRIM(RIGHT(O181,LEN(O181)-LEN(N182))))</f>
        <v/>
      </c>
      <c r="P182" s="5390"/>
      <c r="Q182" s="5077"/>
      <c r="R182" s="5077"/>
      <c r="T182" s="3">
        <v>1</v>
      </c>
    </row>
    <row r="183" spans="5:20" ht="15.75">
      <c r="E183" s="5077"/>
      <c r="G183" s="5363" t="str">
        <f t="shared" si="43"/>
        <v/>
      </c>
      <c r="H183" s="5367" t="str">
        <f t="shared" si="44"/>
        <v/>
      </c>
      <c r="I183" s="5368" t="str">
        <f>IF(LEN(TRIM(N183))&gt;0,MAX(I29:I182)+1,"")</f>
        <v/>
      </c>
      <c r="J183" s="199" t="str">
        <f>IFERROR(INDEX(N30:N299,MATCH(ROW()-ROW(N30)+1,I30:I299,0)),"")</f>
        <v/>
      </c>
      <c r="K183" s="494"/>
      <c r="M183" s="5379"/>
      <c r="N183" s="5380" t="str">
        <f>IF(OR(O182="",M182=""),"",IF(LEN(O182)&lt;=M182,O182,IFERROR(LEFT(O182,FIND("♦",SUBSTITUTE(LEFT(O182,M182+1)," ","♦",LEN(LEFT(O182,M182+1))-LEN(SUBSTITUTE(LEFT(O182,M182+1)," ",""))))),LEFT(O182,IFERROR(FIND(" ",O182)-1,LEN(O182))))))</f>
        <v/>
      </c>
      <c r="O183" s="5380" t="str">
        <f t="shared" si="48"/>
        <v/>
      </c>
      <c r="P183" s="5390"/>
      <c r="Q183" s="5077"/>
      <c r="R183" s="5077"/>
      <c r="T183" s="3">
        <v>1</v>
      </c>
    </row>
    <row r="184" spans="5:20" ht="15.75">
      <c r="E184" s="5077"/>
      <c r="G184" s="5363" t="str">
        <f t="shared" si="43"/>
        <v/>
      </c>
      <c r="H184" s="5367" t="str">
        <f t="shared" si="44"/>
        <v/>
      </c>
      <c r="I184" s="5368" t="str">
        <f>IF(LEN(TRIM(N184))&gt;0,MAX(I29:I183)+1,"")</f>
        <v/>
      </c>
      <c r="J184" s="199" t="str">
        <f>IFERROR(INDEX(N30:N299,MATCH(ROW()-ROW(N30)+1,I30:I299,0)),"")</f>
        <v/>
      </c>
      <c r="K184" s="494"/>
      <c r="M184" s="5382"/>
      <c r="N184" s="5380" t="str">
        <f>IF(OR(O183="",M182=""),"",IF(LEN(O183)&lt;=M182,O183,IFERROR(LEFT(O183,FIND("♦",SUBSTITUTE(LEFT(O183,M182+1)," ","♦",LEN(LEFT(O183,M182+1))-LEN(SUBSTITUTE(LEFT(O183,M182+1)," ",""))))),LEFT(O183,IFERROR(FIND(" ",O183)-1,LEN(O183))))))</f>
        <v/>
      </c>
      <c r="O184" s="5380" t="str">
        <f t="shared" si="48"/>
        <v/>
      </c>
      <c r="P184" s="5390"/>
      <c r="Q184" s="5077"/>
      <c r="R184" s="5077"/>
      <c r="T184" s="3">
        <v>1</v>
      </c>
    </row>
    <row r="185" spans="5:20" ht="15.75">
      <c r="E185" s="5077"/>
      <c r="G185" s="5363" t="str">
        <f t="shared" si="43"/>
        <v/>
      </c>
      <c r="H185" s="5367" t="str">
        <f t="shared" si="44"/>
        <v/>
      </c>
      <c r="I185" s="5368" t="str">
        <f>IF(LEN(TRIM(N185))&gt;0,MAX(I29:I184)+1,"")</f>
        <v/>
      </c>
      <c r="J185" s="199" t="str">
        <f>IFERROR(INDEX(N30:N299,MATCH(ROW()-ROW(N30)+1,I30:I299,0)),"")</f>
        <v/>
      </c>
      <c r="K185" s="494"/>
      <c r="M185" s="5383"/>
      <c r="N185" s="5380" t="str">
        <f>IF(OR(O184="",M182=""),"",IF(LEN(O184)&lt;=M182,O184,IFERROR(LEFT(O184,FIND("♦",SUBSTITUTE(LEFT(O184,M182+1)," ","♦",LEN(LEFT(O184,M182+1))-LEN(SUBSTITUTE(LEFT(O184,M182+1)," ",""))))),LEFT(O184,IFERROR(FIND(" ",O184)-1,LEN(O184))))))</f>
        <v/>
      </c>
      <c r="O185" s="5380" t="str">
        <f t="shared" si="48"/>
        <v/>
      </c>
      <c r="P185" s="5390"/>
      <c r="Q185" s="5077"/>
      <c r="R185" s="5077"/>
      <c r="T185" s="3">
        <v>1</v>
      </c>
    </row>
    <row r="186" spans="5:20" ht="15.75">
      <c r="E186" s="5077"/>
      <c r="G186" s="5363" t="str">
        <f t="shared" si="43"/>
        <v/>
      </c>
      <c r="H186" s="5367" t="str">
        <f t="shared" si="44"/>
        <v/>
      </c>
      <c r="I186" s="5368" t="str">
        <f>IF(LEN(TRIM(N186))&gt;0,MAX(I29:I185)+1,"")</f>
        <v/>
      </c>
      <c r="J186" s="199" t="str">
        <f>IFERROR(INDEX(N30:N299,MATCH(ROW()-ROW(N30)+1,I30:I299,0)),"")</f>
        <v/>
      </c>
      <c r="K186" s="494"/>
      <c r="M186" s="5369" t="str">
        <f>(SUBSTITUTE(SUBSTITUTE(E56,CHAR(13)&amp;CHAR(10)," "),CHAR(10)," "))</f>
        <v/>
      </c>
      <c r="N186" s="5370" t="str">
        <f>IF(OR(M187="",M188=""),"",IF(LEN(M187)&lt;=M188,M187,IFERROR(LEFT(M187,FIND("♦",SUBSTITUTE(LEFT(M187,M188+1)," ","♦",LEN(LEFT(M187,M188+1))-LEN(SUBSTITUTE(LEFT(M187,M188+1)," ",""))))),LEFT(M187,IFERROR(FIND(" ",M187)-1,LEN(M187))))))</f>
        <v/>
      </c>
      <c r="O186" s="5371" t="str">
        <f>IF(N186="","",TRIM(RIGHT(M187,LEN(M187)-LEN(N186))))</f>
        <v/>
      </c>
      <c r="P186" s="5372" t="str">
        <f>F56</f>
        <v xml:space="preserve"> ◄ ligne 56</v>
      </c>
      <c r="Q186" s="5077"/>
      <c r="R186" s="5077"/>
      <c r="T186" s="3">
        <v>1</v>
      </c>
    </row>
    <row r="187" spans="5:20" ht="15.75">
      <c r="E187" s="5077"/>
      <c r="G187" s="5363" t="str">
        <f t="shared" si="43"/>
        <v/>
      </c>
      <c r="H187" s="5367" t="str">
        <f t="shared" si="44"/>
        <v/>
      </c>
      <c r="I187" s="5368" t="str">
        <f>IF(LEN(TRIM(N187))&gt;0,MAX(I29:I186)+1,"")</f>
        <v/>
      </c>
      <c r="J187" s="199" t="str">
        <f>IFERROR(INDEX(N30:N299,MATCH(ROW()-ROW(N30)+1,I30:I299,0)),"")</f>
        <v/>
      </c>
      <c r="K187" s="494"/>
      <c r="M187" s="5370" t="str">
        <f>TRIM(SUBSTITUTE(SUBSTITUTE(SUBSTITUTE(SUBSTITUTE(IF(OR(LEFT(M186,1)="-",LEFT(M186,1)="="),MID(M186,2,9999),M186),CHAR(160)," "),","," "),";"," "),"."," "))</f>
        <v/>
      </c>
      <c r="N187" s="5371" t="str">
        <f>IF(OR(O186="",M188=""),"",IF(LEN(O186)&lt;=M188,O186,IFERROR(LEFT(O186,FIND("♦",SUBSTITUTE(LEFT(O186,M188+1)," ","♦",LEN(LEFT(O186,M188+1))-LEN(SUBSTITUTE(LEFT(O186,M188+1)," ",""))))),LEFT(O186,IFERROR(FIND(" ",O186)-1,LEN(O186))))))</f>
        <v/>
      </c>
      <c r="O187" s="5371" t="str">
        <f>IF(N187="","",TRIM(RIGHT(O186,LEN(O186)-LEN(N187))))</f>
        <v/>
      </c>
      <c r="P187" s="5389"/>
      <c r="Q187" s="5077"/>
      <c r="R187" s="5077"/>
      <c r="T187" s="3">
        <v>1</v>
      </c>
    </row>
    <row r="188" spans="5:20" ht="15.75">
      <c r="E188" s="5077"/>
      <c r="G188" s="5363" t="str">
        <f t="shared" si="43"/>
        <v/>
      </c>
      <c r="H188" s="5367" t="str">
        <f t="shared" si="44"/>
        <v/>
      </c>
      <c r="I188" s="5368" t="str">
        <f>IF(LEN(TRIM(N188))&gt;0,MAX(I29:I187)+1,"")</f>
        <v/>
      </c>
      <c r="J188" s="199" t="str">
        <f>IFERROR(INDEX(N30:N299,MATCH(ROW()-ROW(N30)+1,I30:I299,0)),"")</f>
        <v/>
      </c>
      <c r="K188" s="494"/>
      <c r="M188" s="5376">
        <f>J17</f>
        <v>100</v>
      </c>
      <c r="N188" s="5371" t="str">
        <f>IF(OR(O187="",M188=""),"",IF(LEN(O187)&lt;=M188,O187,IFERROR(LEFT(O187,FIND("♦",SUBSTITUTE(LEFT(O187,M188+1)," ","♦",LEN(LEFT(O187,M188+1))-LEN(SUBSTITUTE(LEFT(O187,M188+1)," ",""))))),LEFT(O187,IFERROR(FIND(" ",O187)-1,LEN(O187))))))</f>
        <v/>
      </c>
      <c r="O188" s="5371" t="str">
        <f t="shared" ref="O188:O191" si="49">IF(N188="","",TRIM(RIGHT(O187,LEN(O187)-LEN(N188))))</f>
        <v/>
      </c>
      <c r="P188" s="5389"/>
      <c r="Q188" s="5077"/>
      <c r="R188" s="5077"/>
      <c r="T188" s="3">
        <v>1</v>
      </c>
    </row>
    <row r="189" spans="5:20" ht="15.75">
      <c r="E189" s="5077"/>
      <c r="G189" s="5363" t="str">
        <f t="shared" si="43"/>
        <v/>
      </c>
      <c r="H189" s="5367" t="str">
        <f t="shared" si="44"/>
        <v/>
      </c>
      <c r="I189" s="5368" t="str">
        <f>IF(LEN(TRIM(N189))&gt;0,MAX(I29:I188)+1,"")</f>
        <v/>
      </c>
      <c r="J189" s="199" t="str">
        <f>IFERROR(INDEX(N30:N299,MATCH(ROW()-ROW(N30)+1,I30:I299,0)),"")</f>
        <v/>
      </c>
      <c r="K189" s="494"/>
      <c r="M189" s="5370"/>
      <c r="N189" s="5371" t="str">
        <f>IF(OR(O188="",M188=""),"",IF(LEN(O188)&lt;=M188,O188,IFERROR(LEFT(O188,FIND("♦",SUBSTITUTE(LEFT(O188,M188+1)," ","♦",LEN(LEFT(O188,M188+1))-LEN(SUBSTITUTE(LEFT(O188,M188+1)," ",""))))),LEFT(O188,IFERROR(FIND(" ",O188)-1,LEN(O188))))))</f>
        <v/>
      </c>
      <c r="O189" s="5371" t="str">
        <f t="shared" si="49"/>
        <v/>
      </c>
      <c r="P189" s="5389"/>
      <c r="Q189" s="5077"/>
      <c r="R189" s="5077"/>
      <c r="T189" s="3">
        <v>1</v>
      </c>
    </row>
    <row r="190" spans="5:20" ht="15.75">
      <c r="E190" s="5077"/>
      <c r="G190" s="5363" t="str">
        <f t="shared" si="43"/>
        <v/>
      </c>
      <c r="H190" s="5367" t="str">
        <f t="shared" si="44"/>
        <v/>
      </c>
      <c r="I190" s="5368" t="str">
        <f>IF(LEN(TRIM(N190))&gt;0,MAX(I29:I189)+1,"")</f>
        <v/>
      </c>
      <c r="J190" s="199" t="str">
        <f>IFERROR(INDEX(N30:N299,MATCH(ROW()-ROW(N30)+1,I30:I299,0)),"")</f>
        <v/>
      </c>
      <c r="K190" s="494"/>
      <c r="M190" s="5377"/>
      <c r="N190" s="5371" t="str">
        <f>IF(OR(O189="",M188=""),"",IF(LEN(O189)&lt;=M188,O189,IFERROR(LEFT(O189,FIND("♦",SUBSTITUTE(LEFT(O189,M188+1)," ","♦",LEN(LEFT(O189,M188+1))-LEN(SUBSTITUTE(LEFT(O189,M188+1)," ",""))))),LEFT(O189,IFERROR(FIND(" ",O189)-1,LEN(O189))))))</f>
        <v/>
      </c>
      <c r="O190" s="5371" t="str">
        <f t="shared" si="49"/>
        <v/>
      </c>
      <c r="P190" s="5389"/>
      <c r="Q190" s="5077"/>
      <c r="R190" s="5077"/>
      <c r="T190" s="3">
        <v>1</v>
      </c>
    </row>
    <row r="191" spans="5:20" ht="15.75">
      <c r="E191" s="5077"/>
      <c r="G191" s="5363" t="str">
        <f t="shared" si="43"/>
        <v/>
      </c>
      <c r="H191" s="5367" t="str">
        <f t="shared" si="44"/>
        <v/>
      </c>
      <c r="I191" s="5368" t="str">
        <f>IF(LEN(TRIM(N191))&gt;0,MAX(I29:I190)+1,"")</f>
        <v/>
      </c>
      <c r="J191" s="199" t="str">
        <f>IFERROR(INDEX(N30:N299,MATCH(ROW()-ROW(N30)+1,I30:I299,0)),"")</f>
        <v/>
      </c>
      <c r="K191" s="494"/>
      <c r="M191" s="5378"/>
      <c r="N191" s="5371" t="str">
        <f>IF(OR(O190="",M188=""),"",IF(LEN(O190)&lt;=M188,O190,IFERROR(LEFT(O190,FIND("♦",SUBSTITUTE(LEFT(O190,M188+1)," ","♦",LEN(LEFT(O190,M188+1))-LEN(SUBSTITUTE(LEFT(O190,M188+1)," ",""))))),LEFT(O190,IFERROR(FIND(" ",O190)-1,LEN(O190))))))</f>
        <v/>
      </c>
      <c r="O191" s="5371" t="str">
        <f t="shared" si="49"/>
        <v/>
      </c>
      <c r="P191" s="5389"/>
      <c r="Q191" s="5077"/>
      <c r="R191" s="5077"/>
      <c r="T191" s="3">
        <v>1</v>
      </c>
    </row>
    <row r="192" spans="5:20" ht="15.75">
      <c r="E192" s="5077"/>
      <c r="G192" s="5363" t="str">
        <f t="shared" si="43"/>
        <v/>
      </c>
      <c r="H192" s="5367" t="str">
        <f t="shared" si="44"/>
        <v/>
      </c>
      <c r="I192" s="5368" t="str">
        <f>IF(LEN(TRIM(N192))&gt;0,MAX(I29:I191)+1,"")</f>
        <v/>
      </c>
      <c r="J192" s="199" t="str">
        <f>IFERROR(INDEX(N30:N299,MATCH(ROW()-ROW(N30)+1,I30:I299,0)),"")</f>
        <v/>
      </c>
      <c r="K192" s="494"/>
      <c r="M192" s="5369" t="str">
        <f>(SUBSTITUTE(SUBSTITUTE(E57,CHAR(13)&amp;CHAR(10)," "),CHAR(10)," "))</f>
        <v/>
      </c>
      <c r="N192" s="5379" t="str">
        <f>IF(OR(M193="",M194=""),"",IF(LEN(M193)&lt;=M194,M193,IFERROR(LEFT(M193,FIND("♦",SUBSTITUTE(LEFT(M193,M194+1)," ","♦",LEN(LEFT(M193,M194+1))-LEN(SUBSTITUTE(LEFT(M193,M194+1)," ",""))))),LEFT(M193,IFERROR(FIND(" ",M193)-1,LEN(M193))))))</f>
        <v/>
      </c>
      <c r="O192" s="5380" t="str">
        <f>IF(N192="","",TRIM(RIGHT(M193,LEN(M193)-LEN(N192))))</f>
        <v/>
      </c>
      <c r="P192" s="5372" t="str">
        <f>F57</f>
        <v xml:space="preserve"> ◄ ligne 57</v>
      </c>
      <c r="Q192" s="5077"/>
      <c r="R192" s="5077"/>
      <c r="T192" s="3">
        <v>1</v>
      </c>
    </row>
    <row r="193" spans="5:20" ht="15.75">
      <c r="E193" s="5077"/>
      <c r="G193" s="5363" t="str">
        <f t="shared" si="43"/>
        <v/>
      </c>
      <c r="H193" s="5367" t="str">
        <f t="shared" si="44"/>
        <v/>
      </c>
      <c r="I193" s="5368" t="str">
        <f>IF(LEN(TRIM(N193))&gt;0,MAX(I29:I192)+1,"")</f>
        <v/>
      </c>
      <c r="J193" s="199" t="str">
        <f>IFERROR(INDEX(N30:N299,MATCH(ROW()-ROW(N30)+1,I30:I299,0)),"")</f>
        <v/>
      </c>
      <c r="K193" s="494"/>
      <c r="M193" s="5379" t="str">
        <f>TRIM(SUBSTITUTE(SUBSTITUTE(SUBSTITUTE(SUBSTITUTE(IF(OR(LEFT(M192,1)="-",LEFT(M192,1)="="),MID(M192,2,9999),M192),CHAR(160)," "),","," "),";"," "),"."," "))</f>
        <v/>
      </c>
      <c r="N193" s="5380" t="str">
        <f>IF(OR(O192="",M194=""),"",IF(LEN(O192)&lt;=M194,O192,IFERROR(LEFT(O192,FIND("♦",SUBSTITUTE(LEFT(O192,M194+1)," ","♦",LEN(LEFT(O192,M194+1))-LEN(SUBSTITUTE(LEFT(O192,M194+1)," ",""))))),LEFT(O192,IFERROR(FIND(" ",O192)-1,LEN(O192))))))</f>
        <v/>
      </c>
      <c r="O193" s="5380" t="str">
        <f>IF(N193="","",TRIM(RIGHT(O192,LEN(O192)-LEN(N193))))</f>
        <v/>
      </c>
      <c r="P193" s="5390"/>
      <c r="Q193" s="5077"/>
      <c r="R193" s="5077"/>
      <c r="T193" s="3">
        <v>1</v>
      </c>
    </row>
    <row r="194" spans="5:20" ht="15.75">
      <c r="E194" s="5077"/>
      <c r="G194" s="5363" t="str">
        <f t="shared" si="43"/>
        <v/>
      </c>
      <c r="H194" s="5367" t="str">
        <f t="shared" si="44"/>
        <v/>
      </c>
      <c r="I194" s="5368" t="str">
        <f>IF(LEN(TRIM(N194))&gt;0,MAX(I29:I193)+1,"")</f>
        <v/>
      </c>
      <c r="J194" s="199" t="str">
        <f>IFERROR(INDEX(N30:N299,MATCH(ROW()-ROW(N30)+1,I30:I299,0)),"")</f>
        <v/>
      </c>
      <c r="K194" s="494"/>
      <c r="M194" s="5376">
        <f>J17</f>
        <v>100</v>
      </c>
      <c r="N194" s="5380" t="str">
        <f>IF(OR(O193="",M194=""),"",IF(LEN(O193)&lt;=M194,O193,IFERROR(LEFT(O193,FIND("♦",SUBSTITUTE(LEFT(O193,M194+1)," ","♦",LEN(LEFT(O193,M194+1))-LEN(SUBSTITUTE(LEFT(O193,M194+1)," ",""))))),LEFT(O193,IFERROR(FIND(" ",O193)-1,LEN(O193))))))</f>
        <v/>
      </c>
      <c r="O194" s="5380" t="str">
        <f t="shared" ref="O194:O197" si="50">IF(N194="","",TRIM(RIGHT(O193,LEN(O193)-LEN(N194))))</f>
        <v/>
      </c>
      <c r="P194" s="5390"/>
      <c r="Q194" s="5077"/>
      <c r="R194" s="5077"/>
      <c r="T194" s="3">
        <v>1</v>
      </c>
    </row>
    <row r="195" spans="5:20" ht="15.75">
      <c r="E195" s="5077"/>
      <c r="G195" s="5363" t="str">
        <f t="shared" si="43"/>
        <v/>
      </c>
      <c r="H195" s="5367" t="str">
        <f t="shared" si="44"/>
        <v/>
      </c>
      <c r="I195" s="5368" t="str">
        <f>IF(LEN(TRIM(N195))&gt;0,MAX(I29:I194)+1,"")</f>
        <v/>
      </c>
      <c r="J195" s="199" t="str">
        <f>IFERROR(INDEX(N30:N299,MATCH(ROW()-ROW(N30)+1,I30:I299,0)),"")</f>
        <v/>
      </c>
      <c r="K195" s="494"/>
      <c r="M195" s="5379"/>
      <c r="N195" s="5380" t="str">
        <f>IF(OR(O194="",M194=""),"",IF(LEN(O194)&lt;=M194,O194,IFERROR(LEFT(O194,FIND("♦",SUBSTITUTE(LEFT(O194,M194+1)," ","♦",LEN(LEFT(O194,M194+1))-LEN(SUBSTITUTE(LEFT(O194,M194+1)," ",""))))),LEFT(O194,IFERROR(FIND(" ",O194)-1,LEN(O194))))))</f>
        <v/>
      </c>
      <c r="O195" s="5380" t="str">
        <f t="shared" si="50"/>
        <v/>
      </c>
      <c r="P195" s="5390"/>
      <c r="Q195" s="5077"/>
      <c r="R195" s="5077"/>
      <c r="T195" s="3">
        <v>1</v>
      </c>
    </row>
    <row r="196" spans="5:20" ht="15.75">
      <c r="E196" s="5077"/>
      <c r="G196" s="5363" t="str">
        <f t="shared" si="43"/>
        <v/>
      </c>
      <c r="H196" s="5367" t="str">
        <f t="shared" si="44"/>
        <v/>
      </c>
      <c r="I196" s="5368" t="str">
        <f>IF(LEN(TRIM(N196))&gt;0,MAX(I29:I195)+1,"")</f>
        <v/>
      </c>
      <c r="J196" s="199" t="str">
        <f>IFERROR(INDEX(N30:N299,MATCH(ROW()-ROW(N30)+1,I30:I299,0)),"")</f>
        <v/>
      </c>
      <c r="K196" s="494"/>
      <c r="M196" s="5382"/>
      <c r="N196" s="5380" t="str">
        <f>IF(OR(O195="",M194=""),"",IF(LEN(O195)&lt;=M194,O195,IFERROR(LEFT(O195,FIND("♦",SUBSTITUTE(LEFT(O195,M194+1)," ","♦",LEN(LEFT(O195,M194+1))-LEN(SUBSTITUTE(LEFT(O195,M194+1)," ",""))))),LEFT(O195,IFERROR(FIND(" ",O195)-1,LEN(O195))))))</f>
        <v/>
      </c>
      <c r="O196" s="5380" t="str">
        <f t="shared" si="50"/>
        <v/>
      </c>
      <c r="P196" s="5390"/>
      <c r="Q196" s="5077"/>
      <c r="R196" s="5077"/>
      <c r="T196" s="3">
        <v>1</v>
      </c>
    </row>
    <row r="197" spans="5:20" ht="15.75">
      <c r="E197" s="5077"/>
      <c r="G197" s="5363" t="str">
        <f t="shared" si="43"/>
        <v/>
      </c>
      <c r="H197" s="5367" t="str">
        <f t="shared" si="44"/>
        <v/>
      </c>
      <c r="I197" s="5368" t="str">
        <f>IF(LEN(TRIM(N197))&gt;0,MAX(I29:I196)+1,"")</f>
        <v/>
      </c>
      <c r="J197" s="199" t="str">
        <f>IFERROR(INDEX(N30:N299,MATCH(ROW()-ROW(N30)+1,I30:I299,0)),"")</f>
        <v/>
      </c>
      <c r="K197" s="494"/>
      <c r="M197" s="5383"/>
      <c r="N197" s="5380" t="str">
        <f>IF(OR(O196="",M194=""),"",IF(LEN(O196)&lt;=M194,O196,IFERROR(LEFT(O196,FIND("♦",SUBSTITUTE(LEFT(O196,M194+1)," ","♦",LEN(LEFT(O196,M194+1))-LEN(SUBSTITUTE(LEFT(O196,M194+1)," ",""))))),LEFT(O196,IFERROR(FIND(" ",O196)-1,LEN(O196))))))</f>
        <v/>
      </c>
      <c r="O197" s="5380" t="str">
        <f t="shared" si="50"/>
        <v/>
      </c>
      <c r="P197" s="5390"/>
      <c r="Q197" s="5077"/>
      <c r="R197" s="5077"/>
      <c r="T197" s="3">
        <v>1</v>
      </c>
    </row>
    <row r="198" spans="5:20" ht="15.75">
      <c r="E198" s="5077"/>
      <c r="G198" s="5363" t="str">
        <f t="shared" si="43"/>
        <v/>
      </c>
      <c r="H198" s="5367" t="str">
        <f t="shared" si="44"/>
        <v/>
      </c>
      <c r="I198" s="5368" t="str">
        <f>IF(LEN(TRIM(N198))&gt;0,MAX(I29:I197)+1,"")</f>
        <v/>
      </c>
      <c r="J198" s="199" t="str">
        <f>IFERROR(INDEX(N30:N299,MATCH(ROW()-ROW(N30)+1,I30:I299,0)),"")</f>
        <v/>
      </c>
      <c r="K198" s="494"/>
      <c r="M198" s="5369" t="str">
        <f>(SUBSTITUTE(SUBSTITUTE(E58,CHAR(13)&amp;CHAR(10)," "),CHAR(10)," "))</f>
        <v/>
      </c>
      <c r="N198" s="5370" t="str">
        <f>IF(OR(M199="",M200=""),"",IF(LEN(M199)&lt;=M200,M199,IFERROR(LEFT(M199,FIND("♦",SUBSTITUTE(LEFT(M199,M200+1)," ","♦",LEN(LEFT(M199,M200+1))-LEN(SUBSTITUTE(LEFT(M199,M200+1)," ",""))))),LEFT(M199,IFERROR(FIND(" ",M199)-1,LEN(M199))))))</f>
        <v/>
      </c>
      <c r="O198" s="5371" t="str">
        <f>IF(N198="","",TRIM(RIGHT(M199,LEN(M199)-LEN(N198))))</f>
        <v/>
      </c>
      <c r="P198" s="5372" t="str">
        <f>F58</f>
        <v xml:space="preserve"> ◄ ligne 58</v>
      </c>
      <c r="Q198" s="5077"/>
      <c r="R198" s="5077"/>
      <c r="T198" s="3">
        <v>1</v>
      </c>
    </row>
    <row r="199" spans="5:20" ht="15.75">
      <c r="E199" s="5077"/>
      <c r="G199" s="5363" t="str">
        <f t="shared" si="43"/>
        <v/>
      </c>
      <c r="H199" s="5367" t="str">
        <f t="shared" si="44"/>
        <v/>
      </c>
      <c r="I199" s="5368" t="str">
        <f>IF(LEN(TRIM(N199))&gt;0,MAX(I29:I198)+1,"")</f>
        <v/>
      </c>
      <c r="J199" s="199" t="str">
        <f>IFERROR(INDEX(N30:N299,MATCH(ROW()-ROW(N30)+1,I30:I299,0)),"")</f>
        <v/>
      </c>
      <c r="K199" s="494"/>
      <c r="M199" s="5370" t="str">
        <f>TRIM(SUBSTITUTE(SUBSTITUTE(SUBSTITUTE(SUBSTITUTE(IF(OR(LEFT(M198,1)="-",LEFT(M198,1)="="),MID(M198,2,9999),M198),CHAR(160)," "),","," "),";"," "),"."," "))</f>
        <v/>
      </c>
      <c r="N199" s="5371" t="str">
        <f>IF(OR(O198="",M200=""),"",IF(LEN(O198)&lt;=M200,O198,IFERROR(LEFT(O198,FIND("♦",SUBSTITUTE(LEFT(O198,M200+1)," ","♦",LEN(LEFT(O198,M200+1))-LEN(SUBSTITUTE(LEFT(O198,M200+1)," ",""))))),LEFT(O198,IFERROR(FIND(" ",O198)-1,LEN(O198))))))</f>
        <v/>
      </c>
      <c r="O199" s="5371" t="str">
        <f>IF(N199="","",TRIM(RIGHT(O198,LEN(O198)-LEN(N199))))</f>
        <v/>
      </c>
      <c r="P199" s="5389"/>
      <c r="Q199" s="5077"/>
      <c r="R199" s="5077"/>
      <c r="T199" s="3">
        <v>1</v>
      </c>
    </row>
    <row r="200" spans="5:20" ht="15.75">
      <c r="E200" s="5077"/>
      <c r="G200" s="5363" t="str">
        <f t="shared" si="43"/>
        <v/>
      </c>
      <c r="H200" s="5367" t="str">
        <f t="shared" si="44"/>
        <v/>
      </c>
      <c r="I200" s="5368" t="str">
        <f>IF(LEN(TRIM(N200))&gt;0,MAX(I29:I199)+1,"")</f>
        <v/>
      </c>
      <c r="J200" s="199" t="str">
        <f>IFERROR(INDEX(N30:N299,MATCH(ROW()-ROW(N30)+1,I30:I299,0)),"")</f>
        <v/>
      </c>
      <c r="K200" s="494"/>
      <c r="M200" s="5376">
        <f>J17</f>
        <v>100</v>
      </c>
      <c r="N200" s="5371" t="str">
        <f>IF(OR(O199="",M200=""),"",IF(LEN(O199)&lt;=M200,O199,IFERROR(LEFT(O199,FIND("♦",SUBSTITUTE(LEFT(O199,M200+1)," ","♦",LEN(LEFT(O199,M200+1))-LEN(SUBSTITUTE(LEFT(O199,M200+1)," ",""))))),LEFT(O199,IFERROR(FIND(" ",O199)-1,LEN(O199))))))</f>
        <v/>
      </c>
      <c r="O200" s="5371" t="str">
        <f t="shared" ref="O200:O203" si="51">IF(N200="","",TRIM(RIGHT(O199,LEN(O199)-LEN(N200))))</f>
        <v/>
      </c>
      <c r="P200" s="5389"/>
      <c r="Q200" s="5077"/>
      <c r="R200" s="5077"/>
      <c r="T200" s="3">
        <v>1</v>
      </c>
    </row>
    <row r="201" spans="5:20" ht="15.75">
      <c r="E201" s="5077"/>
      <c r="G201" s="5363" t="str">
        <f t="shared" si="43"/>
        <v/>
      </c>
      <c r="H201" s="5367" t="str">
        <f t="shared" si="44"/>
        <v/>
      </c>
      <c r="I201" s="5368" t="str">
        <f>IF(LEN(TRIM(N201))&gt;0,MAX(I29:I200)+1,"")</f>
        <v/>
      </c>
      <c r="J201" s="199" t="str">
        <f>IFERROR(INDEX(N30:N299,MATCH(ROW()-ROW(N30)+1,I30:I299,0)),"")</f>
        <v/>
      </c>
      <c r="K201" s="494"/>
      <c r="M201" s="5370"/>
      <c r="N201" s="5371" t="str">
        <f>IF(OR(O200="",M200=""),"",IF(LEN(O200)&lt;=M200,O200,IFERROR(LEFT(O200,FIND("♦",SUBSTITUTE(LEFT(O200,M200+1)," ","♦",LEN(LEFT(O200,M200+1))-LEN(SUBSTITUTE(LEFT(O200,M200+1)," ",""))))),LEFT(O200,IFERROR(FIND(" ",O200)-1,LEN(O200))))))</f>
        <v/>
      </c>
      <c r="O201" s="5371" t="str">
        <f t="shared" si="51"/>
        <v/>
      </c>
      <c r="P201" s="5389"/>
      <c r="Q201" s="5077"/>
      <c r="R201" s="5077"/>
      <c r="T201" s="3">
        <v>1</v>
      </c>
    </row>
    <row r="202" spans="5:20" ht="15.75">
      <c r="E202" s="5077"/>
      <c r="G202" s="5363" t="str">
        <f t="shared" si="43"/>
        <v/>
      </c>
      <c r="H202" s="5367" t="str">
        <f t="shared" si="44"/>
        <v/>
      </c>
      <c r="I202" s="5368" t="str">
        <f>IF(LEN(TRIM(N202))&gt;0,MAX(I29:I201)+1,"")</f>
        <v/>
      </c>
      <c r="J202" s="199" t="str">
        <f>IFERROR(INDEX(N30:N299,MATCH(ROW()-ROW(N30)+1,I30:I299,0)),"")</f>
        <v/>
      </c>
      <c r="K202" s="494"/>
      <c r="M202" s="5377"/>
      <c r="N202" s="5371" t="str">
        <f>IF(OR(O201="",M200=""),"",IF(LEN(O201)&lt;=M200,O201,IFERROR(LEFT(O201,FIND("♦",SUBSTITUTE(LEFT(O201,M200+1)," ","♦",LEN(LEFT(O201,M200+1))-LEN(SUBSTITUTE(LEFT(O201,M200+1)," ",""))))),LEFT(O201,IFERROR(FIND(" ",O201)-1,LEN(O201))))))</f>
        <v/>
      </c>
      <c r="O202" s="5371" t="str">
        <f t="shared" si="51"/>
        <v/>
      </c>
      <c r="P202" s="5389"/>
      <c r="Q202" s="5077"/>
      <c r="R202" s="5077"/>
      <c r="T202" s="3">
        <v>1</v>
      </c>
    </row>
    <row r="203" spans="5:20" ht="15.75">
      <c r="E203" s="5077"/>
      <c r="G203" s="5363" t="str">
        <f t="shared" si="43"/>
        <v/>
      </c>
      <c r="H203" s="5367" t="str">
        <f t="shared" si="44"/>
        <v/>
      </c>
      <c r="I203" s="5368" t="str">
        <f>IF(LEN(TRIM(N203))&gt;0,MAX(I29:I202)+1,"")</f>
        <v/>
      </c>
      <c r="J203" s="199" t="str">
        <f>IFERROR(INDEX(N30:N299,MATCH(ROW()-ROW(N30)+1,I30:I299,0)),"")</f>
        <v/>
      </c>
      <c r="K203" s="494"/>
      <c r="M203" s="5378"/>
      <c r="N203" s="5371" t="str">
        <f>IF(OR(O202="",M200=""),"",IF(LEN(O202)&lt;=M200,O202,IFERROR(LEFT(O202,FIND("♦",SUBSTITUTE(LEFT(O202,M200+1)," ","♦",LEN(LEFT(O202,M200+1))-LEN(SUBSTITUTE(LEFT(O202,M200+1)," ",""))))),LEFT(O202,IFERROR(FIND(" ",O202)-1,LEN(O202))))))</f>
        <v/>
      </c>
      <c r="O203" s="5371" t="str">
        <f t="shared" si="51"/>
        <v/>
      </c>
      <c r="P203" s="5389"/>
      <c r="Q203" s="5077"/>
      <c r="R203" s="5077"/>
      <c r="T203" s="3">
        <v>1</v>
      </c>
    </row>
    <row r="204" spans="5:20" ht="15.75">
      <c r="E204" s="5077"/>
      <c r="G204" s="5363" t="str">
        <f t="shared" si="43"/>
        <v/>
      </c>
      <c r="H204" s="5367" t="str">
        <f t="shared" si="44"/>
        <v/>
      </c>
      <c r="I204" s="5368" t="str">
        <f>IF(LEN(TRIM(N204))&gt;0,MAX(I29:I203)+1,"")</f>
        <v/>
      </c>
      <c r="J204" s="199" t="str">
        <f>IFERROR(INDEX(N30:N299,MATCH(ROW()-ROW(N30)+1,I30:I299,0)),"")</f>
        <v/>
      </c>
      <c r="K204" s="494"/>
      <c r="M204" s="5369" t="str">
        <f>(SUBSTITUTE(SUBSTITUTE(E59,CHAR(13)&amp;CHAR(10)," "),CHAR(10)," "))</f>
        <v/>
      </c>
      <c r="N204" s="5379" t="str">
        <f>IF(OR(M205="",M206=""),"",IF(LEN(M205)&lt;=M206,M205,IFERROR(LEFT(M205,FIND("♦",SUBSTITUTE(LEFT(M205,M206+1)," ","♦",LEN(LEFT(M205,M206+1))-LEN(SUBSTITUTE(LEFT(M205,M206+1)," ",""))))),LEFT(M205,IFERROR(FIND(" ",M205)-1,LEN(M205))))))</f>
        <v/>
      </c>
      <c r="O204" s="5380" t="str">
        <f>IF(N204="","",TRIM(RIGHT(M205,LEN(M205)-LEN(N204))))</f>
        <v/>
      </c>
      <c r="P204" s="5372" t="str">
        <f>F59</f>
        <v xml:space="preserve"> ◄ ligne 59</v>
      </c>
      <c r="Q204" s="5077"/>
      <c r="R204" s="5077"/>
      <c r="T204" s="3">
        <v>1</v>
      </c>
    </row>
    <row r="205" spans="5:20" ht="15.75">
      <c r="E205" s="5077"/>
      <c r="G205" s="5363" t="str">
        <f t="shared" si="43"/>
        <v/>
      </c>
      <c r="H205" s="5367" t="str">
        <f t="shared" si="44"/>
        <v/>
      </c>
      <c r="I205" s="5368" t="str">
        <f>IF(LEN(TRIM(N205))&gt;0,MAX(I29:I204)+1,"")</f>
        <v/>
      </c>
      <c r="J205" s="199" t="str">
        <f>IFERROR(INDEX(N30:N299,MATCH(ROW()-ROW(N30)+1,I30:I299,0)),"")</f>
        <v/>
      </c>
      <c r="K205" s="494"/>
      <c r="M205" s="5379" t="str">
        <f>TRIM(SUBSTITUTE(SUBSTITUTE(SUBSTITUTE(SUBSTITUTE(IF(OR(LEFT(M204,1)="-",LEFT(M204,1)="="),MID(M204,2,9999),M204),CHAR(160)," "),","," "),";"," "),"."," "))</f>
        <v/>
      </c>
      <c r="N205" s="5380" t="str">
        <f>IF(OR(O204="",M206=""),"",IF(LEN(O204)&lt;=M206,O204,IFERROR(LEFT(O204,FIND("♦",SUBSTITUTE(LEFT(O204,M206+1)," ","♦",LEN(LEFT(O204,M206+1))-LEN(SUBSTITUTE(LEFT(O204,M206+1)," ",""))))),LEFT(O204,IFERROR(FIND(" ",O204)-1,LEN(O204))))))</f>
        <v/>
      </c>
      <c r="O205" s="5380" t="str">
        <f>IF(N205="","",TRIM(RIGHT(O204,LEN(O204)-LEN(N205))))</f>
        <v/>
      </c>
      <c r="P205" s="5390"/>
      <c r="Q205" s="5077"/>
      <c r="R205" s="5077"/>
      <c r="T205" s="3">
        <v>1</v>
      </c>
    </row>
    <row r="206" spans="5:20" ht="15.75">
      <c r="E206" s="5077"/>
      <c r="G206" s="5363" t="str">
        <f t="shared" si="43"/>
        <v/>
      </c>
      <c r="H206" s="5367" t="str">
        <f t="shared" si="44"/>
        <v/>
      </c>
      <c r="I206" s="5368" t="str">
        <f>IF(LEN(TRIM(N206))&gt;0,MAX(I29:I205)+1,"")</f>
        <v/>
      </c>
      <c r="J206" s="199" t="str">
        <f>IFERROR(INDEX(N30:N299,MATCH(ROW()-ROW(N30)+1,I30:I299,0)),"")</f>
        <v/>
      </c>
      <c r="K206" s="494"/>
      <c r="M206" s="5376">
        <f>J17</f>
        <v>100</v>
      </c>
      <c r="N206" s="5380" t="str">
        <f>IF(OR(O205="",M206=""),"",IF(LEN(O205)&lt;=M206,O205,IFERROR(LEFT(O205,FIND("♦",SUBSTITUTE(LEFT(O205,M206+1)," ","♦",LEN(LEFT(O205,M206+1))-LEN(SUBSTITUTE(LEFT(O205,M206+1)," ",""))))),LEFT(O205,IFERROR(FIND(" ",O205)-1,LEN(O205))))))</f>
        <v/>
      </c>
      <c r="O206" s="5380" t="str">
        <f t="shared" ref="O206:O209" si="52">IF(N206="","",TRIM(RIGHT(O205,LEN(O205)-LEN(N206))))</f>
        <v/>
      </c>
      <c r="P206" s="5390"/>
      <c r="Q206" s="5077"/>
      <c r="R206" s="5077"/>
      <c r="T206" s="3">
        <v>1</v>
      </c>
    </row>
    <row r="207" spans="5:20" ht="15.75">
      <c r="E207" s="5077"/>
      <c r="G207" s="5363" t="str">
        <f t="shared" si="43"/>
        <v/>
      </c>
      <c r="H207" s="5367" t="str">
        <f t="shared" si="44"/>
        <v/>
      </c>
      <c r="I207" s="5368" t="str">
        <f>IF(LEN(TRIM(N207))&gt;0,MAX(I29:I206)+1,"")</f>
        <v/>
      </c>
      <c r="J207" s="199" t="str">
        <f>IFERROR(INDEX(N30:N299,MATCH(ROW()-ROW(N30)+1,I30:I299,0)),"")</f>
        <v/>
      </c>
      <c r="K207" s="494"/>
      <c r="M207" s="5379"/>
      <c r="N207" s="5380" t="str">
        <f>IF(OR(O206="",M206=""),"",IF(LEN(O206)&lt;=M206,O206,IFERROR(LEFT(O206,FIND("♦",SUBSTITUTE(LEFT(O206,M206+1)," ","♦",LEN(LEFT(O206,M206+1))-LEN(SUBSTITUTE(LEFT(O206,M206+1)," ",""))))),LEFT(O206,IFERROR(FIND(" ",O206)-1,LEN(O206))))))</f>
        <v/>
      </c>
      <c r="O207" s="5380" t="str">
        <f t="shared" si="52"/>
        <v/>
      </c>
      <c r="P207" s="5390"/>
      <c r="Q207" s="5077"/>
      <c r="R207" s="5077"/>
      <c r="T207" s="3">
        <v>1</v>
      </c>
    </row>
    <row r="208" spans="5:20" ht="15.75">
      <c r="E208" s="5077"/>
      <c r="G208" s="5363" t="str">
        <f t="shared" si="43"/>
        <v/>
      </c>
      <c r="H208" s="5367" t="str">
        <f t="shared" si="44"/>
        <v/>
      </c>
      <c r="I208" s="5368" t="str">
        <f>IF(LEN(TRIM(N208))&gt;0,MAX(I29:I207)+1,"")</f>
        <v/>
      </c>
      <c r="J208" s="199" t="str">
        <f>IFERROR(INDEX(N30:N299,MATCH(ROW()-ROW(N30)+1,I30:I299,0)),"")</f>
        <v/>
      </c>
      <c r="K208" s="494"/>
      <c r="M208" s="5382"/>
      <c r="N208" s="5380" t="str">
        <f>IF(OR(O207="",M206=""),"",IF(LEN(O207)&lt;=M206,O207,IFERROR(LEFT(O207,FIND("♦",SUBSTITUTE(LEFT(O207,M206+1)," ","♦",LEN(LEFT(O207,M206+1))-LEN(SUBSTITUTE(LEFT(O207,M206+1)," ",""))))),LEFT(O207,IFERROR(FIND(" ",O207)-1,LEN(O207))))))</f>
        <v/>
      </c>
      <c r="O208" s="5380" t="str">
        <f t="shared" si="52"/>
        <v/>
      </c>
      <c r="P208" s="5390"/>
      <c r="Q208" s="5077"/>
      <c r="R208" s="5077"/>
      <c r="T208" s="3">
        <v>1</v>
      </c>
    </row>
    <row r="209" spans="5:20" ht="15.75">
      <c r="E209" s="5077"/>
      <c r="G209" s="5363" t="str">
        <f t="shared" si="43"/>
        <v/>
      </c>
      <c r="H209" s="5367" t="str">
        <f t="shared" si="44"/>
        <v/>
      </c>
      <c r="I209" s="5368" t="str">
        <f>IF(LEN(TRIM(N209))&gt;0,MAX(I29:I208)+1,"")</f>
        <v/>
      </c>
      <c r="J209" s="199" t="str">
        <f>IFERROR(INDEX(N30:N299,MATCH(ROW()-ROW(N30)+1,I30:I299,0)),"")</f>
        <v/>
      </c>
      <c r="K209" s="494"/>
      <c r="M209" s="5383"/>
      <c r="N209" s="5380" t="str">
        <f>IF(OR(O208="",M206=""),"",IF(LEN(O208)&lt;=M206,O208,IFERROR(LEFT(O208,FIND("♦",SUBSTITUTE(LEFT(O208,M206+1)," ","♦",LEN(LEFT(O208,M206+1))-LEN(SUBSTITUTE(LEFT(O208,M206+1)," ",""))))),LEFT(O208,IFERROR(FIND(" ",O208)-1,LEN(O208))))))</f>
        <v/>
      </c>
      <c r="O209" s="5380" t="str">
        <f t="shared" si="52"/>
        <v/>
      </c>
      <c r="P209" s="5390"/>
      <c r="Q209" s="5077"/>
      <c r="R209" s="5077"/>
      <c r="T209" s="3">
        <v>1</v>
      </c>
    </row>
    <row r="210" spans="5:20" ht="15.75">
      <c r="E210" s="5077"/>
      <c r="G210" s="5363" t="str">
        <f t="shared" si="43"/>
        <v/>
      </c>
      <c r="H210" s="5367" t="str">
        <f t="shared" si="44"/>
        <v/>
      </c>
      <c r="I210" s="5368" t="str">
        <f>IF(LEN(TRIM(N210))&gt;0,MAX(I29:I209)+1,"")</f>
        <v/>
      </c>
      <c r="J210" s="199" t="str">
        <f>IFERROR(INDEX(N30:N299,MATCH(ROW()-ROW(N30)+1,I30:I299,0)),"")</f>
        <v/>
      </c>
      <c r="K210" s="494"/>
      <c r="M210" s="5369" t="str">
        <f>(SUBSTITUTE(SUBSTITUTE(E60,CHAR(13)&amp;CHAR(10)," "),CHAR(10)," "))</f>
        <v/>
      </c>
      <c r="N210" s="5370" t="str">
        <f>IF(OR(M211="",M212=""),"",IF(LEN(M211)&lt;=M212,M211,IFERROR(LEFT(M211,FIND("♦",SUBSTITUTE(LEFT(M211,M212+1)," ","♦",LEN(LEFT(M211,M212+1))-LEN(SUBSTITUTE(LEFT(M211,M212+1)," ",""))))),LEFT(M211,IFERROR(FIND(" ",M211)-1,LEN(M211))))))</f>
        <v/>
      </c>
      <c r="O210" s="5371" t="str">
        <f>IF(N210="","",TRIM(RIGHT(M211,LEN(M211)-LEN(N210))))</f>
        <v/>
      </c>
      <c r="P210" s="5372" t="str">
        <f>F60</f>
        <v xml:space="preserve"> ◄ ligne 60</v>
      </c>
      <c r="Q210" s="5077"/>
      <c r="R210" s="5077"/>
      <c r="T210" s="3">
        <v>1</v>
      </c>
    </row>
    <row r="211" spans="5:20" ht="15.75">
      <c r="E211" s="5077"/>
      <c r="G211" s="5363" t="str">
        <f t="shared" si="43"/>
        <v/>
      </c>
      <c r="H211" s="5367" t="str">
        <f t="shared" si="44"/>
        <v/>
      </c>
      <c r="I211" s="5368" t="str">
        <f>IF(LEN(TRIM(N211))&gt;0,MAX(I29:I210)+1,"")</f>
        <v/>
      </c>
      <c r="J211" s="199" t="str">
        <f>IFERROR(INDEX(N30:N299,MATCH(ROW()-ROW(N30)+1,I30:I299,0)),"")</f>
        <v/>
      </c>
      <c r="K211" s="494"/>
      <c r="M211" s="5370" t="str">
        <f>TRIM(SUBSTITUTE(SUBSTITUTE(SUBSTITUTE(SUBSTITUTE(IF(OR(LEFT(M210,1)="-",LEFT(M210,1)="="),MID(M210,2,9999),M210),CHAR(160)," "),","," "),";"," "),"."," "))</f>
        <v/>
      </c>
      <c r="N211" s="5371" t="str">
        <f>IF(OR(O210="",M212=""),"",IF(LEN(O210)&lt;=M212,O210,IFERROR(LEFT(O210,FIND("♦",SUBSTITUTE(LEFT(O210,M212+1)," ","♦",LEN(LEFT(O210,M212+1))-LEN(SUBSTITUTE(LEFT(O210,M212+1)," ",""))))),LEFT(O210,IFERROR(FIND(" ",O210)-1,LEN(O210))))))</f>
        <v/>
      </c>
      <c r="O211" s="5371" t="str">
        <f>IF(N211="","",TRIM(RIGHT(O210,LEN(O210)-LEN(N211))))</f>
        <v/>
      </c>
      <c r="P211" s="5389"/>
      <c r="Q211" s="5077"/>
      <c r="R211" s="5077"/>
      <c r="T211" s="3">
        <v>1</v>
      </c>
    </row>
    <row r="212" spans="5:20" ht="15.75">
      <c r="E212" s="5077"/>
      <c r="G212" s="5363" t="str">
        <f t="shared" si="43"/>
        <v/>
      </c>
      <c r="H212" s="5367" t="str">
        <f t="shared" si="44"/>
        <v/>
      </c>
      <c r="I212" s="5368" t="str">
        <f>IF(LEN(TRIM(N212))&gt;0,MAX(I29:I211)+1,"")</f>
        <v/>
      </c>
      <c r="J212" s="199" t="str">
        <f>IFERROR(INDEX(N30:N299,MATCH(ROW()-ROW(N30)+1,I30:I299,0)),"")</f>
        <v/>
      </c>
      <c r="K212" s="494"/>
      <c r="M212" s="5376">
        <f>J17</f>
        <v>100</v>
      </c>
      <c r="N212" s="5371" t="str">
        <f>IF(OR(O211="",M212=""),"",IF(LEN(O211)&lt;=M212,O211,IFERROR(LEFT(O211,FIND("♦",SUBSTITUTE(LEFT(O211,M212+1)," ","♦",LEN(LEFT(O211,M212+1))-LEN(SUBSTITUTE(LEFT(O211,M212+1)," ",""))))),LEFT(O211,IFERROR(FIND(" ",O211)-1,LEN(O211))))))</f>
        <v/>
      </c>
      <c r="O212" s="5371" t="str">
        <f t="shared" ref="O212:O215" si="53">IF(N212="","",TRIM(RIGHT(O211,LEN(O211)-LEN(N212))))</f>
        <v/>
      </c>
      <c r="P212" s="5389"/>
      <c r="Q212" s="5077"/>
      <c r="R212" s="5077"/>
      <c r="T212" s="3">
        <v>1</v>
      </c>
    </row>
    <row r="213" spans="5:20" ht="15.75">
      <c r="E213" s="5077"/>
      <c r="G213" s="5363" t="str">
        <f t="shared" si="43"/>
        <v/>
      </c>
      <c r="H213" s="5367" t="str">
        <f t="shared" si="44"/>
        <v/>
      </c>
      <c r="I213" s="5368" t="str">
        <f>IF(LEN(TRIM(N213))&gt;0,MAX(I29:I212)+1,"")</f>
        <v/>
      </c>
      <c r="J213" s="199" t="str">
        <f>IFERROR(INDEX(N30:N299,MATCH(ROW()-ROW(N30)+1,I30:I299,0)),"")</f>
        <v/>
      </c>
      <c r="K213" s="494"/>
      <c r="M213" s="5370"/>
      <c r="N213" s="5371" t="str">
        <f>IF(OR(O212="",M212=""),"",IF(LEN(O212)&lt;=M212,O212,IFERROR(LEFT(O212,FIND("♦",SUBSTITUTE(LEFT(O212,M212+1)," ","♦",LEN(LEFT(O212,M212+1))-LEN(SUBSTITUTE(LEFT(O212,M212+1)," ",""))))),LEFT(O212,IFERROR(FIND(" ",O212)-1,LEN(O212))))))</f>
        <v/>
      </c>
      <c r="O213" s="5371" t="str">
        <f t="shared" si="53"/>
        <v/>
      </c>
      <c r="P213" s="5389"/>
      <c r="Q213" s="5077"/>
      <c r="R213" s="5077"/>
      <c r="T213" s="3">
        <v>1</v>
      </c>
    </row>
    <row r="214" spans="5:20" ht="15.75">
      <c r="E214" s="5077"/>
      <c r="G214" s="5363" t="str">
        <f t="shared" si="43"/>
        <v/>
      </c>
      <c r="H214" s="5367" t="str">
        <f t="shared" si="44"/>
        <v/>
      </c>
      <c r="I214" s="5368" t="str">
        <f>IF(LEN(TRIM(N214))&gt;0,MAX(I29:I213)+1,"")</f>
        <v/>
      </c>
      <c r="J214" s="199" t="str">
        <f>IFERROR(INDEX(N30:N299,MATCH(ROW()-ROW(N30)+1,I30:I299,0)),"")</f>
        <v/>
      </c>
      <c r="K214" s="494"/>
      <c r="M214" s="5377"/>
      <c r="N214" s="5371" t="str">
        <f>IF(OR(O213="",M212=""),"",IF(LEN(O213)&lt;=M212,O213,IFERROR(LEFT(O213,FIND("♦",SUBSTITUTE(LEFT(O213,M212+1)," ","♦",LEN(LEFT(O213,M212+1))-LEN(SUBSTITUTE(LEFT(O213,M212+1)," ",""))))),LEFT(O213,IFERROR(FIND(" ",O213)-1,LEN(O213))))))</f>
        <v/>
      </c>
      <c r="O214" s="5371" t="str">
        <f t="shared" si="53"/>
        <v/>
      </c>
      <c r="P214" s="5389"/>
      <c r="Q214" s="5077"/>
      <c r="R214" s="5077"/>
      <c r="T214" s="3">
        <v>1</v>
      </c>
    </row>
    <row r="215" spans="5:20" ht="15.75">
      <c r="E215" s="5077"/>
      <c r="G215" s="5363" t="str">
        <f t="shared" si="43"/>
        <v/>
      </c>
      <c r="H215" s="5367" t="str">
        <f t="shared" si="44"/>
        <v/>
      </c>
      <c r="I215" s="5368" t="str">
        <f>IF(LEN(TRIM(N215))&gt;0,MAX(I29:I214)+1,"")</f>
        <v/>
      </c>
      <c r="J215" s="199" t="str">
        <f>IFERROR(INDEX(N30:N299,MATCH(ROW()-ROW(N30)+1,I30:I299,0)),"")</f>
        <v/>
      </c>
      <c r="K215" s="494"/>
      <c r="M215" s="5378"/>
      <c r="N215" s="5371" t="str">
        <f>IF(OR(O214="",M212=""),"",IF(LEN(O214)&lt;=M212,O214,IFERROR(LEFT(O214,FIND("♦",SUBSTITUTE(LEFT(O214,M212+1)," ","♦",LEN(LEFT(O214,M212+1))-LEN(SUBSTITUTE(LEFT(O214,M212+1)," ",""))))),LEFT(O214,IFERROR(FIND(" ",O214)-1,LEN(O214))))))</f>
        <v/>
      </c>
      <c r="O215" s="5371" t="str">
        <f t="shared" si="53"/>
        <v/>
      </c>
      <c r="P215" s="5389"/>
      <c r="Q215" s="5077"/>
      <c r="R215" s="5077"/>
      <c r="T215" s="3">
        <v>1</v>
      </c>
    </row>
    <row r="216" spans="5:20" ht="15.75">
      <c r="E216" s="5077"/>
      <c r="G216" s="5363" t="str">
        <f t="shared" si="43"/>
        <v/>
      </c>
      <c r="H216" s="5367" t="str">
        <f t="shared" si="44"/>
        <v/>
      </c>
      <c r="I216" s="5368" t="str">
        <f>IF(LEN(TRIM(N216))&gt;0,MAX(I29:I215)+1,"")</f>
        <v/>
      </c>
      <c r="J216" s="199" t="str">
        <f>IFERROR(INDEX(N30:N299,MATCH(ROW()-ROW(N30)+1,I30:I299,0)),"")</f>
        <v/>
      </c>
      <c r="K216" s="494"/>
      <c r="M216" s="5369" t="str">
        <f>(SUBSTITUTE(SUBSTITUTE(E61,CHAR(13)&amp;CHAR(10)," "),CHAR(10)," "))</f>
        <v/>
      </c>
      <c r="N216" s="5379" t="str">
        <f>IF(OR(M217="",M218=""),"",IF(LEN(M217)&lt;=M218,M217,IFERROR(LEFT(M217,FIND("♦",SUBSTITUTE(LEFT(M217,M218+1)," ","♦",LEN(LEFT(M217,M218+1))-LEN(SUBSTITUTE(LEFT(M217,M218+1)," ",""))))),LEFT(M217,IFERROR(FIND(" ",M217)-1,LEN(M217))))))</f>
        <v/>
      </c>
      <c r="O216" s="5380" t="str">
        <f>IF(N216="","",TRIM(RIGHT(M217,LEN(M217)-LEN(N216))))</f>
        <v/>
      </c>
      <c r="P216" s="5372" t="str">
        <f>F61</f>
        <v xml:space="preserve"> ◄ ligne 61</v>
      </c>
      <c r="Q216" s="5077"/>
      <c r="R216" s="5077"/>
      <c r="T216" s="3">
        <v>1</v>
      </c>
    </row>
    <row r="217" spans="5:20" ht="15.75">
      <c r="E217" s="5077"/>
      <c r="G217" s="5363" t="str">
        <f t="shared" si="43"/>
        <v/>
      </c>
      <c r="H217" s="5367" t="str">
        <f t="shared" si="44"/>
        <v/>
      </c>
      <c r="I217" s="5368" t="str">
        <f>IF(LEN(TRIM(N217))&gt;0,MAX(I29:I216)+1,"")</f>
        <v/>
      </c>
      <c r="J217" s="199" t="str">
        <f>IFERROR(INDEX(N30:N299,MATCH(ROW()-ROW(N30)+1,I30:I299,0)),"")</f>
        <v/>
      </c>
      <c r="K217" s="494"/>
      <c r="M217" s="5379" t="str">
        <f>TRIM(SUBSTITUTE(SUBSTITUTE(SUBSTITUTE(SUBSTITUTE(IF(OR(LEFT(M216,1)="-",LEFT(M216,1)="="),MID(M216,2,9999),M216),CHAR(160)," "),","," "),";"," "),"."," "))</f>
        <v/>
      </c>
      <c r="N217" s="5380" t="str">
        <f>IF(OR(O216="",M218=""),"",IF(LEN(O216)&lt;=M218,O216,IFERROR(LEFT(O216,FIND("♦",SUBSTITUTE(LEFT(O216,M218+1)," ","♦",LEN(LEFT(O216,M218+1))-LEN(SUBSTITUTE(LEFT(O216,M218+1)," ",""))))),LEFT(O216,IFERROR(FIND(" ",O216)-1,LEN(O216))))))</f>
        <v/>
      </c>
      <c r="O217" s="5380" t="str">
        <f>IF(N217="","",TRIM(RIGHT(O216,LEN(O216)-LEN(N217))))</f>
        <v/>
      </c>
      <c r="P217" s="5390"/>
      <c r="Q217" s="5077"/>
      <c r="R217" s="5077"/>
      <c r="T217" s="3">
        <v>1</v>
      </c>
    </row>
    <row r="218" spans="5:20" ht="15.75">
      <c r="E218" s="5077"/>
      <c r="G218" s="5363" t="str">
        <f t="shared" si="43"/>
        <v/>
      </c>
      <c r="H218" s="5367" t="str">
        <f t="shared" si="44"/>
        <v/>
      </c>
      <c r="I218" s="5368" t="str">
        <f>IF(LEN(TRIM(N218))&gt;0,MAX(I29:I217)+1,"")</f>
        <v/>
      </c>
      <c r="J218" s="199" t="str">
        <f>IFERROR(INDEX(N30:N299,MATCH(ROW()-ROW(N30)+1,I30:I299,0)),"")</f>
        <v/>
      </c>
      <c r="K218" s="494"/>
      <c r="M218" s="5376">
        <f>J17</f>
        <v>100</v>
      </c>
      <c r="N218" s="5380" t="str">
        <f>IF(OR(O217="",M218=""),"",IF(LEN(O217)&lt;=M218,O217,IFERROR(LEFT(O217,FIND("♦",SUBSTITUTE(LEFT(O217,M218+1)," ","♦",LEN(LEFT(O217,M218+1))-LEN(SUBSTITUTE(LEFT(O217,M218+1)," ",""))))),LEFT(O217,IFERROR(FIND(" ",O217)-1,LEN(O217))))))</f>
        <v/>
      </c>
      <c r="O218" s="5380" t="str">
        <f t="shared" ref="O218:O221" si="54">IF(N218="","",TRIM(RIGHT(O217,LEN(O217)-LEN(N218))))</f>
        <v/>
      </c>
      <c r="P218" s="5390"/>
      <c r="Q218" s="5077"/>
      <c r="R218" s="5077"/>
      <c r="T218" s="3">
        <v>1</v>
      </c>
    </row>
    <row r="219" spans="5:20" ht="15.75">
      <c r="E219" s="5077"/>
      <c r="G219" s="5363" t="str">
        <f t="shared" si="43"/>
        <v/>
      </c>
      <c r="H219" s="5367" t="str">
        <f t="shared" si="44"/>
        <v/>
      </c>
      <c r="I219" s="5368" t="str">
        <f>IF(LEN(TRIM(N219))&gt;0,MAX(I29:I218)+1,"")</f>
        <v/>
      </c>
      <c r="J219" s="199" t="str">
        <f>IFERROR(INDEX(N30:N299,MATCH(ROW()-ROW(N30)+1,I30:I299,0)),"")</f>
        <v/>
      </c>
      <c r="K219" s="494"/>
      <c r="M219" s="5379"/>
      <c r="N219" s="5380" t="str">
        <f>IF(OR(O218="",M218=""),"",IF(LEN(O218)&lt;=M218,O218,IFERROR(LEFT(O218,FIND("♦",SUBSTITUTE(LEFT(O218,M218+1)," ","♦",LEN(LEFT(O218,M218+1))-LEN(SUBSTITUTE(LEFT(O218,M218+1)," ",""))))),LEFT(O218,IFERROR(FIND(" ",O218)-1,LEN(O218))))))</f>
        <v/>
      </c>
      <c r="O219" s="5380" t="str">
        <f t="shared" si="54"/>
        <v/>
      </c>
      <c r="P219" s="5390"/>
      <c r="Q219" s="5077"/>
      <c r="R219" s="5077"/>
      <c r="T219" s="3">
        <v>1</v>
      </c>
    </row>
    <row r="220" spans="5:20" ht="15.75">
      <c r="E220" s="5077"/>
      <c r="G220" s="5363" t="str">
        <f t="shared" si="43"/>
        <v/>
      </c>
      <c r="H220" s="5367" t="str">
        <f t="shared" si="44"/>
        <v/>
      </c>
      <c r="I220" s="5368" t="str">
        <f>IF(LEN(TRIM(N220))&gt;0,MAX(I29:I219)+1,"")</f>
        <v/>
      </c>
      <c r="J220" s="199" t="str">
        <f>IFERROR(INDEX(N30:N299,MATCH(ROW()-ROW(N30)+1,I30:I299,0)),"")</f>
        <v/>
      </c>
      <c r="K220" s="494"/>
      <c r="M220" s="5382"/>
      <c r="N220" s="5380" t="str">
        <f>IF(OR(O219="",M218=""),"",IF(LEN(O219)&lt;=M218,O219,IFERROR(LEFT(O219,FIND("♦",SUBSTITUTE(LEFT(O219,M218+1)," ","♦",LEN(LEFT(O219,M218+1))-LEN(SUBSTITUTE(LEFT(O219,M218+1)," ",""))))),LEFT(O219,IFERROR(FIND(" ",O219)-1,LEN(O219))))))</f>
        <v/>
      </c>
      <c r="O220" s="5380" t="str">
        <f t="shared" si="54"/>
        <v/>
      </c>
      <c r="P220" s="5390"/>
      <c r="Q220" s="5077"/>
      <c r="R220" s="5077"/>
      <c r="T220" s="3">
        <v>1</v>
      </c>
    </row>
    <row r="221" spans="5:20" ht="15.75">
      <c r="E221" s="5077"/>
      <c r="G221" s="5363" t="str">
        <f t="shared" si="43"/>
        <v/>
      </c>
      <c r="H221" s="5367" t="str">
        <f t="shared" si="44"/>
        <v/>
      </c>
      <c r="I221" s="5368" t="str">
        <f>IF(LEN(TRIM(N221))&gt;0,MAX(I29:I220)+1,"")</f>
        <v/>
      </c>
      <c r="J221" s="199" t="str">
        <f>IFERROR(INDEX(N30:N299,MATCH(ROW()-ROW(N30)+1,I30:I299,0)),"")</f>
        <v/>
      </c>
      <c r="K221" s="494"/>
      <c r="M221" s="5383"/>
      <c r="N221" s="5380" t="str">
        <f>IF(OR(O220="",M218=""),"",IF(LEN(O220)&lt;=M218,O220,IFERROR(LEFT(O220,FIND("♦",SUBSTITUTE(LEFT(O220,M218+1)," ","♦",LEN(LEFT(O220,M218+1))-LEN(SUBSTITUTE(LEFT(O220,M218+1)," ",""))))),LEFT(O220,IFERROR(FIND(" ",O220)-1,LEN(O220))))))</f>
        <v/>
      </c>
      <c r="O221" s="5380" t="str">
        <f t="shared" si="54"/>
        <v/>
      </c>
      <c r="P221" s="5390"/>
      <c r="Q221" s="5077"/>
      <c r="R221" s="5077"/>
      <c r="T221" s="3">
        <v>1</v>
      </c>
    </row>
    <row r="222" spans="5:20" ht="15.75">
      <c r="E222" s="5077"/>
      <c r="G222" s="5363" t="str">
        <f t="shared" si="43"/>
        <v/>
      </c>
      <c r="H222" s="5367" t="str">
        <f t="shared" si="44"/>
        <v/>
      </c>
      <c r="I222" s="5368" t="str">
        <f>IF(LEN(TRIM(N222))&gt;0,MAX(I29:I221)+1,"")</f>
        <v/>
      </c>
      <c r="J222" s="199" t="str">
        <f>IFERROR(INDEX(N30:N299,MATCH(ROW()-ROW(N30)+1,I30:I299,0)),"")</f>
        <v/>
      </c>
      <c r="K222" s="494"/>
      <c r="M222" s="5369" t="str">
        <f>(SUBSTITUTE(SUBSTITUTE(E62,CHAR(13)&amp;CHAR(10)," "),CHAR(10)," "))</f>
        <v/>
      </c>
      <c r="N222" s="5370" t="str">
        <f>IF(OR(M223="",M224=""),"",IF(LEN(M223)&lt;=M224,M223,IFERROR(LEFT(M223,FIND("♦",SUBSTITUTE(LEFT(M223,M224+1)," ","♦",LEN(LEFT(M223,M224+1))-LEN(SUBSTITUTE(LEFT(M223,M224+1)," ",""))))),LEFT(M223,IFERROR(FIND(" ",M223)-1,LEN(M223))))))</f>
        <v/>
      </c>
      <c r="O222" s="5371" t="str">
        <f>IF(N222="","",TRIM(RIGHT(M223,LEN(M223)-LEN(N222))))</f>
        <v/>
      </c>
      <c r="P222" s="5372" t="str">
        <f>F62</f>
        <v xml:space="preserve"> ◄ ligne 62</v>
      </c>
      <c r="Q222" s="5077"/>
      <c r="R222" s="5077"/>
      <c r="T222" s="3">
        <v>1</v>
      </c>
    </row>
    <row r="223" spans="5:20" ht="15.75">
      <c r="E223" s="5077"/>
      <c r="G223" s="5363" t="str">
        <f t="shared" si="43"/>
        <v/>
      </c>
      <c r="H223" s="5367" t="str">
        <f t="shared" si="44"/>
        <v/>
      </c>
      <c r="I223" s="5368" t="str">
        <f>IF(LEN(TRIM(N223))&gt;0,MAX(I29:I222)+1,"")</f>
        <v/>
      </c>
      <c r="J223" s="199" t="str">
        <f>IFERROR(INDEX(N30:N299,MATCH(ROW()-ROW(N30)+1,I30:I299,0)),"")</f>
        <v/>
      </c>
      <c r="K223" s="494"/>
      <c r="M223" s="5370" t="str">
        <f>TRIM(SUBSTITUTE(SUBSTITUTE(SUBSTITUTE(SUBSTITUTE(IF(OR(LEFT(M222,1)="-",LEFT(M222,1)="="),MID(M222,2,9999),M222),CHAR(160)," "),","," "),";"," "),"."," "))</f>
        <v/>
      </c>
      <c r="N223" s="5371" t="str">
        <f>IF(OR(O222="",M224=""),"",IF(LEN(O222)&lt;=M224,O222,IFERROR(LEFT(O222,FIND("♦",SUBSTITUTE(LEFT(O222,M224+1)," ","♦",LEN(LEFT(O222,M224+1))-LEN(SUBSTITUTE(LEFT(O222,M224+1)," ",""))))),LEFT(O222,IFERROR(FIND(" ",O222)-1,LEN(O222))))))</f>
        <v/>
      </c>
      <c r="O223" s="5371" t="str">
        <f>IF(N223="","",TRIM(RIGHT(O222,LEN(O222)-LEN(N223))))</f>
        <v/>
      </c>
      <c r="P223" s="5389"/>
      <c r="Q223" s="5077"/>
      <c r="R223" s="5077"/>
      <c r="T223" s="3">
        <v>1</v>
      </c>
    </row>
    <row r="224" spans="5:20" ht="15.75">
      <c r="E224" s="5077"/>
      <c r="G224" s="5363" t="str">
        <f t="shared" ref="G224:G287" si="55">IF(J224="","",(LEN(TRIM(SUBSTITUTE(J224,CHAR(160)," ")))-LEN(SUBSTITUTE(TRIM(SUBSTITUTE(J224,CHAR(160)," "))," ",""))+1)&amp;" mot"&amp;IF((LEN(TRIM(SUBSTITUTE(J224,CHAR(160)," ")))-LEN(SUBSTITUTE(TRIM(SUBSTITUTE(J224,CHAR(160)," "))," ",""))+1)&gt;1,"s",""))</f>
        <v/>
      </c>
      <c r="H224" s="5367" t="str">
        <f t="shared" ref="H224:H287" si="56">IF(J224="","",LEN(TRIM(SUBSTITUTE(J224,CHAR(160),"")))&amp;" car. ►")</f>
        <v/>
      </c>
      <c r="I224" s="5368" t="str">
        <f>IF(LEN(TRIM(N224))&gt;0,MAX(I29:I223)+1,"")</f>
        <v/>
      </c>
      <c r="J224" s="199" t="str">
        <f>IFERROR(INDEX(N30:N299,MATCH(ROW()-ROW(N30)+1,I30:I299,0)),"")</f>
        <v/>
      </c>
      <c r="K224" s="494"/>
      <c r="M224" s="5376">
        <f>J17</f>
        <v>100</v>
      </c>
      <c r="N224" s="5371" t="str">
        <f>IF(OR(O223="",M224=""),"",IF(LEN(O223)&lt;=M224,O223,IFERROR(LEFT(O223,FIND("♦",SUBSTITUTE(LEFT(O223,M224+1)," ","♦",LEN(LEFT(O223,M224+1))-LEN(SUBSTITUTE(LEFT(O223,M224+1)," ",""))))),LEFT(O223,IFERROR(FIND(" ",O223)-1,LEN(O223))))))</f>
        <v/>
      </c>
      <c r="O224" s="5371" t="str">
        <f t="shared" ref="O224:O227" si="57">IF(N224="","",TRIM(RIGHT(O223,LEN(O223)-LEN(N224))))</f>
        <v/>
      </c>
      <c r="P224" s="5389"/>
      <c r="Q224" s="5077"/>
      <c r="R224" s="5077"/>
      <c r="T224" s="3">
        <v>1</v>
      </c>
    </row>
    <row r="225" spans="5:20" ht="15.75">
      <c r="E225" s="5077"/>
      <c r="G225" s="5363" t="str">
        <f t="shared" si="55"/>
        <v/>
      </c>
      <c r="H225" s="5367" t="str">
        <f t="shared" si="56"/>
        <v/>
      </c>
      <c r="I225" s="5368" t="str">
        <f>IF(LEN(TRIM(N225))&gt;0,MAX(I29:I224)+1,"")</f>
        <v/>
      </c>
      <c r="J225" s="199" t="str">
        <f>IFERROR(INDEX(N30:N299,MATCH(ROW()-ROW(N30)+1,I30:I299,0)),"")</f>
        <v/>
      </c>
      <c r="K225" s="494"/>
      <c r="M225" s="5370"/>
      <c r="N225" s="5371" t="str">
        <f>IF(OR(O224="",M224=""),"",IF(LEN(O224)&lt;=M224,O224,IFERROR(LEFT(O224,FIND("♦",SUBSTITUTE(LEFT(O224,M224+1)," ","♦",LEN(LEFT(O224,M224+1))-LEN(SUBSTITUTE(LEFT(O224,M224+1)," ",""))))),LEFT(O224,IFERROR(FIND(" ",O224)-1,LEN(O224))))))</f>
        <v/>
      </c>
      <c r="O225" s="5371" t="str">
        <f t="shared" si="57"/>
        <v/>
      </c>
      <c r="P225" s="5389"/>
      <c r="Q225" s="5077"/>
      <c r="R225" s="5077"/>
      <c r="T225" s="3">
        <v>1</v>
      </c>
    </row>
    <row r="226" spans="5:20" ht="15.75">
      <c r="E226" s="5077"/>
      <c r="G226" s="5363" t="str">
        <f t="shared" si="55"/>
        <v/>
      </c>
      <c r="H226" s="5367" t="str">
        <f t="shared" si="56"/>
        <v/>
      </c>
      <c r="I226" s="5368" t="str">
        <f>IF(LEN(TRIM(N226))&gt;0,MAX(I29:I225)+1,"")</f>
        <v/>
      </c>
      <c r="J226" s="199" t="str">
        <f>IFERROR(INDEX(N30:N299,MATCH(ROW()-ROW(N30)+1,I30:I299,0)),"")</f>
        <v/>
      </c>
      <c r="K226" s="494"/>
      <c r="M226" s="5377"/>
      <c r="N226" s="5371" t="str">
        <f>IF(OR(O225="",M224=""),"",IF(LEN(O225)&lt;=M224,O225,IFERROR(LEFT(O225,FIND("♦",SUBSTITUTE(LEFT(O225,M224+1)," ","♦",LEN(LEFT(O225,M224+1))-LEN(SUBSTITUTE(LEFT(O225,M224+1)," ",""))))),LEFT(O225,IFERROR(FIND(" ",O225)-1,LEN(O225))))))</f>
        <v/>
      </c>
      <c r="O226" s="5371" t="str">
        <f t="shared" si="57"/>
        <v/>
      </c>
      <c r="P226" s="5389"/>
      <c r="Q226" s="5077"/>
      <c r="R226" s="5077"/>
      <c r="T226" s="3">
        <v>1</v>
      </c>
    </row>
    <row r="227" spans="5:20" ht="15.75">
      <c r="E227" s="5077"/>
      <c r="G227" s="5363" t="str">
        <f t="shared" si="55"/>
        <v/>
      </c>
      <c r="H227" s="5367" t="str">
        <f t="shared" si="56"/>
        <v/>
      </c>
      <c r="I227" s="5368" t="str">
        <f>IF(LEN(TRIM(N227))&gt;0,MAX(I29:I226)+1,"")</f>
        <v/>
      </c>
      <c r="J227" s="199" t="str">
        <f>IFERROR(INDEX(N30:N299,MATCH(ROW()-ROW(N30)+1,I30:I299,0)),"")</f>
        <v/>
      </c>
      <c r="K227" s="494"/>
      <c r="M227" s="5378"/>
      <c r="N227" s="5371" t="str">
        <f>IF(OR(O226="",M224=""),"",IF(LEN(O226)&lt;=M224,O226,IFERROR(LEFT(O226,FIND("♦",SUBSTITUTE(LEFT(O226,M224+1)," ","♦",LEN(LEFT(O226,M224+1))-LEN(SUBSTITUTE(LEFT(O226,M224+1)," ",""))))),LEFT(O226,IFERROR(FIND(" ",O226)-1,LEN(O226))))))</f>
        <v/>
      </c>
      <c r="O227" s="5371" t="str">
        <f t="shared" si="57"/>
        <v/>
      </c>
      <c r="P227" s="5389"/>
      <c r="Q227" s="5077"/>
      <c r="R227" s="5077"/>
      <c r="T227" s="3">
        <v>1</v>
      </c>
    </row>
    <row r="228" spans="5:20" ht="15.75">
      <c r="E228" s="5077"/>
      <c r="G228" s="5363" t="str">
        <f t="shared" si="55"/>
        <v/>
      </c>
      <c r="H228" s="5367" t="str">
        <f t="shared" si="56"/>
        <v/>
      </c>
      <c r="I228" s="5368" t="str">
        <f>IF(LEN(TRIM(N228))&gt;0,MAX(I29:I227)+1,"")</f>
        <v/>
      </c>
      <c r="J228" s="199" t="str">
        <f>IFERROR(INDEX(N30:N299,MATCH(ROW()-ROW(N30)+1,I30:I299,0)),"")</f>
        <v/>
      </c>
      <c r="K228" s="494"/>
      <c r="M228" s="5369" t="str">
        <f>(SUBSTITUTE(SUBSTITUTE(E63,CHAR(13)&amp;CHAR(10)," "),CHAR(10)," "))</f>
        <v/>
      </c>
      <c r="N228" s="5379" t="str">
        <f>IF(OR(M229="",M230=""),"",IF(LEN(M229)&lt;=M230,M229,IFERROR(LEFT(M229,FIND("♦",SUBSTITUTE(LEFT(M229,M230+1)," ","♦",LEN(LEFT(M229,M230+1))-LEN(SUBSTITUTE(LEFT(M229,M230+1)," ",""))))),LEFT(M229,IFERROR(FIND(" ",M229)-1,LEN(M229))))))</f>
        <v/>
      </c>
      <c r="O228" s="5380" t="str">
        <f>IF(N228="","",TRIM(RIGHT(M229,LEN(M229)-LEN(N228))))</f>
        <v/>
      </c>
      <c r="P228" s="5372" t="str">
        <f>F63</f>
        <v xml:space="preserve"> ◄ ligne 63</v>
      </c>
      <c r="Q228" s="5077"/>
      <c r="R228" s="5077"/>
      <c r="T228" s="3">
        <v>1</v>
      </c>
    </row>
    <row r="229" spans="5:20" ht="15.75">
      <c r="E229" s="5077"/>
      <c r="G229" s="5363" t="str">
        <f t="shared" si="55"/>
        <v/>
      </c>
      <c r="H229" s="5367" t="str">
        <f t="shared" si="56"/>
        <v/>
      </c>
      <c r="I229" s="5368" t="str">
        <f>IF(LEN(TRIM(N229))&gt;0,MAX(I29:I228)+1,"")</f>
        <v/>
      </c>
      <c r="J229" s="199" t="str">
        <f>IFERROR(INDEX(N30:N299,MATCH(ROW()-ROW(N30)+1,I30:I299,0)),"")</f>
        <v/>
      </c>
      <c r="K229" s="494"/>
      <c r="M229" s="5379" t="str">
        <f>TRIM(SUBSTITUTE(SUBSTITUTE(SUBSTITUTE(SUBSTITUTE(IF(OR(LEFT(M228,1)="-",LEFT(M228,1)="="),MID(M228,2,9999),M228),CHAR(160)," "),","," "),";"," "),"."," "))</f>
        <v/>
      </c>
      <c r="N229" s="5380" t="str">
        <f>IF(OR(O228="",M230=""),"",IF(LEN(O228)&lt;=M230,O228,IFERROR(LEFT(O228,FIND("♦",SUBSTITUTE(LEFT(O228,M230+1)," ","♦",LEN(LEFT(O228,M230+1))-LEN(SUBSTITUTE(LEFT(O228,M230+1)," ",""))))),LEFT(O228,IFERROR(FIND(" ",O228)-1,LEN(O228))))))</f>
        <v/>
      </c>
      <c r="O229" s="5380" t="str">
        <f>IF(N229="","",TRIM(RIGHT(O228,LEN(O228)-LEN(N229))))</f>
        <v/>
      </c>
      <c r="P229" s="5390"/>
      <c r="Q229" s="5077"/>
      <c r="R229" s="5077"/>
      <c r="T229" s="3">
        <v>1</v>
      </c>
    </row>
    <row r="230" spans="5:20" ht="15.75">
      <c r="E230" s="5077"/>
      <c r="G230" s="5363" t="str">
        <f t="shared" si="55"/>
        <v/>
      </c>
      <c r="H230" s="5367" t="str">
        <f t="shared" si="56"/>
        <v/>
      </c>
      <c r="I230" s="5368" t="str">
        <f>IF(LEN(TRIM(N230))&gt;0,MAX(I29:I229)+1,"")</f>
        <v/>
      </c>
      <c r="J230" s="199" t="str">
        <f>IFERROR(INDEX(N30:N299,MATCH(ROW()-ROW(N30)+1,I30:I299,0)),"")</f>
        <v/>
      </c>
      <c r="K230" s="494"/>
      <c r="M230" s="5376">
        <f>J17</f>
        <v>100</v>
      </c>
      <c r="N230" s="5380" t="str">
        <f>IF(OR(O229="",M230=""),"",IF(LEN(O229)&lt;=M230,O229,IFERROR(LEFT(O229,FIND("♦",SUBSTITUTE(LEFT(O229,M230+1)," ","♦",LEN(LEFT(O229,M230+1))-LEN(SUBSTITUTE(LEFT(O229,M230+1)," ",""))))),LEFT(O229,IFERROR(FIND(" ",O229)-1,LEN(O229))))))</f>
        <v/>
      </c>
      <c r="O230" s="5380" t="str">
        <f t="shared" ref="O230:O233" si="58">IF(N230="","",TRIM(RIGHT(O229,LEN(O229)-LEN(N230))))</f>
        <v/>
      </c>
      <c r="P230" s="5390"/>
      <c r="Q230" s="5077"/>
      <c r="R230" s="5077"/>
      <c r="T230" s="3">
        <v>1</v>
      </c>
    </row>
    <row r="231" spans="5:20" ht="15.75">
      <c r="E231" s="5077"/>
      <c r="G231" s="5363" t="str">
        <f t="shared" si="55"/>
        <v/>
      </c>
      <c r="H231" s="5367" t="str">
        <f t="shared" si="56"/>
        <v/>
      </c>
      <c r="I231" s="5368" t="str">
        <f>IF(LEN(TRIM(N231))&gt;0,MAX(I29:I230)+1,"")</f>
        <v/>
      </c>
      <c r="J231" s="199" t="str">
        <f>IFERROR(INDEX(N30:N299,MATCH(ROW()-ROW(N30)+1,I30:I299,0)),"")</f>
        <v/>
      </c>
      <c r="K231" s="494"/>
      <c r="M231" s="5379"/>
      <c r="N231" s="5380" t="str">
        <f>IF(OR(O230="",M230=""),"",IF(LEN(O230)&lt;=M230,O230,IFERROR(LEFT(O230,FIND("♦",SUBSTITUTE(LEFT(O230,M230+1)," ","♦",LEN(LEFT(O230,M230+1))-LEN(SUBSTITUTE(LEFT(O230,M230+1)," ",""))))),LEFT(O230,IFERROR(FIND(" ",O230)-1,LEN(O230))))))</f>
        <v/>
      </c>
      <c r="O231" s="5380" t="str">
        <f t="shared" si="58"/>
        <v/>
      </c>
      <c r="P231" s="5390"/>
      <c r="Q231" s="5077"/>
      <c r="R231" s="5077"/>
      <c r="T231" s="3">
        <v>1</v>
      </c>
    </row>
    <row r="232" spans="5:20" ht="15.75">
      <c r="E232" s="5077"/>
      <c r="G232" s="5363" t="str">
        <f t="shared" si="55"/>
        <v/>
      </c>
      <c r="H232" s="5367" t="str">
        <f t="shared" si="56"/>
        <v/>
      </c>
      <c r="I232" s="5368" t="str">
        <f>IF(LEN(TRIM(N232))&gt;0,MAX(I29:I231)+1,"")</f>
        <v/>
      </c>
      <c r="J232" s="199" t="str">
        <f>IFERROR(INDEX(N30:N299,MATCH(ROW()-ROW(N30)+1,I30:I299,0)),"")</f>
        <v/>
      </c>
      <c r="K232" s="494"/>
      <c r="M232" s="5382"/>
      <c r="N232" s="5380" t="str">
        <f>IF(OR(O231="",M230=""),"",IF(LEN(O231)&lt;=M230,O231,IFERROR(LEFT(O231,FIND("♦",SUBSTITUTE(LEFT(O231,M230+1)," ","♦",LEN(LEFT(O231,M230+1))-LEN(SUBSTITUTE(LEFT(O231,M230+1)," ",""))))),LEFT(O231,IFERROR(FIND(" ",O231)-1,LEN(O231))))))</f>
        <v/>
      </c>
      <c r="O232" s="5380" t="str">
        <f t="shared" si="58"/>
        <v/>
      </c>
      <c r="P232" s="5390"/>
      <c r="Q232" s="5077"/>
      <c r="R232" s="5077"/>
      <c r="T232" s="3">
        <v>1</v>
      </c>
    </row>
    <row r="233" spans="5:20" ht="15.75">
      <c r="E233" s="5077"/>
      <c r="G233" s="5363" t="str">
        <f t="shared" si="55"/>
        <v/>
      </c>
      <c r="H233" s="5367" t="str">
        <f t="shared" si="56"/>
        <v/>
      </c>
      <c r="I233" s="5368" t="str">
        <f>IF(LEN(TRIM(N233))&gt;0,MAX(I29:I232)+1,"")</f>
        <v/>
      </c>
      <c r="J233" s="199" t="str">
        <f>IFERROR(INDEX(N30:N299,MATCH(ROW()-ROW(N30)+1,I30:I299,0)),"")</f>
        <v/>
      </c>
      <c r="K233" s="494"/>
      <c r="M233" s="5383"/>
      <c r="N233" s="5380" t="str">
        <f>IF(OR(O232="",M230=""),"",IF(LEN(O232)&lt;=M230,O232,IFERROR(LEFT(O232,FIND("♦",SUBSTITUTE(LEFT(O232,M230+1)," ","♦",LEN(LEFT(O232,M230+1))-LEN(SUBSTITUTE(LEFT(O232,M230+1)," ",""))))),LEFT(O232,IFERROR(FIND(" ",O232)-1,LEN(O232))))))</f>
        <v/>
      </c>
      <c r="O233" s="5380" t="str">
        <f t="shared" si="58"/>
        <v/>
      </c>
      <c r="P233" s="5390"/>
      <c r="Q233" s="5077"/>
      <c r="R233" s="5077"/>
      <c r="T233" s="3">
        <v>1</v>
      </c>
    </row>
    <row r="234" spans="5:20" ht="15.75">
      <c r="E234" s="5077"/>
      <c r="G234" s="5363" t="str">
        <f t="shared" si="55"/>
        <v/>
      </c>
      <c r="H234" s="5367" t="str">
        <f t="shared" si="56"/>
        <v/>
      </c>
      <c r="I234" s="5368" t="str">
        <f>IF(LEN(TRIM(N234))&gt;0,MAX(I29:I233)+1,"")</f>
        <v/>
      </c>
      <c r="J234" s="199" t="str">
        <f>IFERROR(INDEX(N30:N299,MATCH(ROW()-ROW(N30)+1,I30:I299,0)),"")</f>
        <v/>
      </c>
      <c r="K234" s="494"/>
      <c r="M234" s="5369" t="str">
        <f>(SUBSTITUTE(SUBSTITUTE(E64,CHAR(13)&amp;CHAR(10)," "),CHAR(10)," "))</f>
        <v/>
      </c>
      <c r="N234" s="5370" t="str">
        <f>IF(OR(M235="",M236=""),"",IF(LEN(M235)&lt;=M236,M235,IFERROR(LEFT(M235,FIND("♦",SUBSTITUTE(LEFT(M235,M236+1)," ","♦",LEN(LEFT(M235,M236+1))-LEN(SUBSTITUTE(LEFT(M235,M236+1)," ",""))))),LEFT(M235,IFERROR(FIND(" ",M235)-1,LEN(M235))))))</f>
        <v/>
      </c>
      <c r="O234" s="5371" t="str">
        <f>IF(N234="","",TRIM(RIGHT(M235,LEN(M235)-LEN(N234))))</f>
        <v/>
      </c>
      <c r="P234" s="5372" t="str">
        <f>F64</f>
        <v xml:space="preserve"> ◄ ligne 64</v>
      </c>
      <c r="Q234" s="5077"/>
      <c r="R234" s="5077"/>
      <c r="T234" s="3">
        <v>1</v>
      </c>
    </row>
    <row r="235" spans="5:20" ht="15.75">
      <c r="E235" s="5077"/>
      <c r="G235" s="5363" t="str">
        <f t="shared" si="55"/>
        <v/>
      </c>
      <c r="H235" s="5367" t="str">
        <f t="shared" si="56"/>
        <v/>
      </c>
      <c r="I235" s="5368" t="str">
        <f>IF(LEN(TRIM(N235))&gt;0,MAX(I29:I234)+1,"")</f>
        <v/>
      </c>
      <c r="J235" s="199" t="str">
        <f>IFERROR(INDEX(N30:N299,MATCH(ROW()-ROW(N30)+1,I30:I299,0)),"")</f>
        <v/>
      </c>
      <c r="K235" s="494"/>
      <c r="M235" s="5370" t="str">
        <f>TRIM(SUBSTITUTE(SUBSTITUTE(SUBSTITUTE(SUBSTITUTE(IF(OR(LEFT(M234,1)="-",LEFT(M234,1)="="),MID(M234,2,9999),M234),CHAR(160)," "),","," "),";"," "),"."," "))</f>
        <v/>
      </c>
      <c r="N235" s="5371" t="str">
        <f>IF(OR(O234="",M236=""),"",IF(LEN(O234)&lt;=M236,O234,IFERROR(LEFT(O234,FIND("♦",SUBSTITUTE(LEFT(O234,M236+1)," ","♦",LEN(LEFT(O234,M236+1))-LEN(SUBSTITUTE(LEFT(O234,M236+1)," ",""))))),LEFT(O234,IFERROR(FIND(" ",O234)-1,LEN(O234))))))</f>
        <v/>
      </c>
      <c r="O235" s="5371" t="str">
        <f>IF(N235="","",TRIM(RIGHT(O234,LEN(O234)-LEN(N235))))</f>
        <v/>
      </c>
      <c r="P235" s="5389"/>
      <c r="Q235" s="5077"/>
      <c r="R235" s="5077"/>
      <c r="T235" s="3">
        <v>1</v>
      </c>
    </row>
    <row r="236" spans="5:20" ht="15.75">
      <c r="E236" s="5077"/>
      <c r="G236" s="5363" t="str">
        <f t="shared" si="55"/>
        <v/>
      </c>
      <c r="H236" s="5367" t="str">
        <f t="shared" si="56"/>
        <v/>
      </c>
      <c r="I236" s="5368" t="str">
        <f>IF(LEN(TRIM(N236))&gt;0,MAX(I29:I235)+1,"")</f>
        <v/>
      </c>
      <c r="J236" s="199" t="str">
        <f>IFERROR(INDEX(N30:N299,MATCH(ROW()-ROW(N30)+1,I30:I299,0)),"")</f>
        <v/>
      </c>
      <c r="K236" s="494"/>
      <c r="M236" s="5376">
        <f>J17</f>
        <v>100</v>
      </c>
      <c r="N236" s="5371" t="str">
        <f>IF(OR(O235="",M236=""),"",IF(LEN(O235)&lt;=M236,O235,IFERROR(LEFT(O235,FIND("♦",SUBSTITUTE(LEFT(O235,M236+1)," ","♦",LEN(LEFT(O235,M236+1))-LEN(SUBSTITUTE(LEFT(O235,M236+1)," ",""))))),LEFT(O235,IFERROR(FIND(" ",O235)-1,LEN(O235))))))</f>
        <v/>
      </c>
      <c r="O236" s="5371" t="str">
        <f t="shared" ref="O236:O239" si="59">IF(N236="","",TRIM(RIGHT(O235,LEN(O235)-LEN(N236))))</f>
        <v/>
      </c>
      <c r="P236" s="5389"/>
      <c r="Q236" s="5077"/>
      <c r="R236" s="5077"/>
      <c r="T236" s="3">
        <v>1</v>
      </c>
    </row>
    <row r="237" spans="5:20" ht="15.75">
      <c r="E237" s="5077"/>
      <c r="G237" s="5363" t="str">
        <f t="shared" si="55"/>
        <v/>
      </c>
      <c r="H237" s="5367" t="str">
        <f t="shared" si="56"/>
        <v/>
      </c>
      <c r="I237" s="5368" t="str">
        <f>IF(LEN(TRIM(N237))&gt;0,MAX(I29:I236)+1,"")</f>
        <v/>
      </c>
      <c r="J237" s="199" t="str">
        <f>IFERROR(INDEX(N30:N299,MATCH(ROW()-ROW(N30)+1,I30:I299,0)),"")</f>
        <v/>
      </c>
      <c r="K237" s="494"/>
      <c r="M237" s="5370"/>
      <c r="N237" s="5371" t="str">
        <f>IF(OR(O236="",M236=""),"",IF(LEN(O236)&lt;=M236,O236,IFERROR(LEFT(O236,FIND("♦",SUBSTITUTE(LEFT(O236,M236+1)," ","♦",LEN(LEFT(O236,M236+1))-LEN(SUBSTITUTE(LEFT(O236,M236+1)," ",""))))),LEFT(O236,IFERROR(FIND(" ",O236)-1,LEN(O236))))))</f>
        <v/>
      </c>
      <c r="O237" s="5371" t="str">
        <f t="shared" si="59"/>
        <v/>
      </c>
      <c r="P237" s="5389"/>
      <c r="Q237" s="5077"/>
      <c r="R237" s="5077"/>
      <c r="T237" s="3">
        <v>1</v>
      </c>
    </row>
    <row r="238" spans="5:20" ht="15.75">
      <c r="E238" s="5077"/>
      <c r="G238" s="5363" t="str">
        <f t="shared" si="55"/>
        <v/>
      </c>
      <c r="H238" s="5367" t="str">
        <f t="shared" si="56"/>
        <v/>
      </c>
      <c r="I238" s="5368" t="str">
        <f>IF(LEN(TRIM(N238))&gt;0,MAX(I29:I237)+1,"")</f>
        <v/>
      </c>
      <c r="J238" s="199" t="str">
        <f>IFERROR(INDEX(N30:N299,MATCH(ROW()-ROW(N30)+1,I30:I299,0)),"")</f>
        <v/>
      </c>
      <c r="K238" s="494"/>
      <c r="M238" s="5377"/>
      <c r="N238" s="5371" t="str">
        <f>IF(OR(O237="",M236=""),"",IF(LEN(O237)&lt;=M236,O237,IFERROR(LEFT(O237,FIND("♦",SUBSTITUTE(LEFT(O237,M236+1)," ","♦",LEN(LEFT(O237,M236+1))-LEN(SUBSTITUTE(LEFT(O237,M236+1)," ",""))))),LEFT(O237,IFERROR(FIND(" ",O237)-1,LEN(O237))))))</f>
        <v/>
      </c>
      <c r="O238" s="5371" t="str">
        <f t="shared" si="59"/>
        <v/>
      </c>
      <c r="P238" s="5389"/>
      <c r="Q238" s="5077"/>
      <c r="R238" s="5077"/>
      <c r="T238" s="3">
        <v>1</v>
      </c>
    </row>
    <row r="239" spans="5:20" ht="15.75">
      <c r="E239" s="5077"/>
      <c r="G239" s="5363" t="str">
        <f t="shared" si="55"/>
        <v/>
      </c>
      <c r="H239" s="5367" t="str">
        <f t="shared" si="56"/>
        <v/>
      </c>
      <c r="I239" s="5368" t="str">
        <f>IF(LEN(TRIM(N239))&gt;0,MAX(I29:I238)+1,"")</f>
        <v/>
      </c>
      <c r="J239" s="199" t="str">
        <f>IFERROR(INDEX(N30:N299,MATCH(ROW()-ROW(N30)+1,I30:I299,0)),"")</f>
        <v/>
      </c>
      <c r="K239" s="494"/>
      <c r="M239" s="5378"/>
      <c r="N239" s="5371" t="str">
        <f>IF(OR(O238="",M236=""),"",IF(LEN(O238)&lt;=M236,O238,IFERROR(LEFT(O238,FIND("♦",SUBSTITUTE(LEFT(O238,M236+1)," ","♦",LEN(LEFT(O238,M236+1))-LEN(SUBSTITUTE(LEFT(O238,M236+1)," ",""))))),LEFT(O238,IFERROR(FIND(" ",O238)-1,LEN(O238))))))</f>
        <v/>
      </c>
      <c r="O239" s="5371" t="str">
        <f t="shared" si="59"/>
        <v/>
      </c>
      <c r="P239" s="5389"/>
      <c r="Q239" s="5077"/>
      <c r="R239" s="5077"/>
      <c r="T239" s="3">
        <v>1</v>
      </c>
    </row>
    <row r="240" spans="5:20" ht="15.75">
      <c r="E240" s="5077"/>
      <c r="G240" s="5363" t="str">
        <f t="shared" si="55"/>
        <v/>
      </c>
      <c r="H240" s="5367" t="str">
        <f t="shared" si="56"/>
        <v/>
      </c>
      <c r="I240" s="5368" t="str">
        <f>IF(LEN(TRIM(N240))&gt;0,MAX(I29:I239)+1,"")</f>
        <v/>
      </c>
      <c r="J240" s="199" t="str">
        <f>IFERROR(INDEX(N30:N299,MATCH(ROW()-ROW(N30)+1,I30:I299,0)),"")</f>
        <v/>
      </c>
      <c r="K240" s="494"/>
      <c r="M240" s="5369" t="str">
        <f>(SUBSTITUTE(SUBSTITUTE(E65,CHAR(13)&amp;CHAR(10)," "),CHAR(10)," "))</f>
        <v/>
      </c>
      <c r="N240" s="5379" t="str">
        <f>IF(OR(M241="",M242=""),"",IF(LEN(M241)&lt;=M242,M241,IFERROR(LEFT(M241,FIND("♦",SUBSTITUTE(LEFT(M241,M242+1)," ","♦",LEN(LEFT(M241,M242+1))-LEN(SUBSTITUTE(LEFT(M241,M242+1)," ",""))))),LEFT(M241,IFERROR(FIND(" ",M241)-1,LEN(M241))))))</f>
        <v/>
      </c>
      <c r="O240" s="5380" t="str">
        <f>IF(N240="","",TRIM(RIGHT(M241,LEN(M241)-LEN(N240))))</f>
        <v/>
      </c>
      <c r="P240" s="5372" t="str">
        <f>F65</f>
        <v xml:space="preserve"> ◄ ligne 65</v>
      </c>
      <c r="Q240" s="5077"/>
      <c r="R240" s="5077"/>
      <c r="T240" s="3">
        <v>1</v>
      </c>
    </row>
    <row r="241" spans="5:20" ht="15.75">
      <c r="E241" s="5077"/>
      <c r="G241" s="5363" t="str">
        <f t="shared" si="55"/>
        <v/>
      </c>
      <c r="H241" s="5367" t="str">
        <f t="shared" si="56"/>
        <v/>
      </c>
      <c r="I241" s="5368" t="str">
        <f>IF(LEN(TRIM(N241))&gt;0,MAX(I29:I240)+1,"")</f>
        <v/>
      </c>
      <c r="J241" s="199" t="str">
        <f>IFERROR(INDEX(N30:N299,MATCH(ROW()-ROW(N30)+1,I30:I299,0)),"")</f>
        <v/>
      </c>
      <c r="K241" s="494"/>
      <c r="M241" s="5379" t="str">
        <f>TRIM(SUBSTITUTE(SUBSTITUTE(SUBSTITUTE(SUBSTITUTE(IF(OR(LEFT(M240,1)="-",LEFT(M240,1)="="),MID(M240,2,9999),M240),CHAR(160)," "),","," "),";"," "),"."," "))</f>
        <v/>
      </c>
      <c r="N241" s="5380" t="str">
        <f>IF(OR(O240="",M242=""),"",IF(LEN(O240)&lt;=M242,O240,IFERROR(LEFT(O240,FIND("♦",SUBSTITUTE(LEFT(O240,M242+1)," ","♦",LEN(LEFT(O240,M242+1))-LEN(SUBSTITUTE(LEFT(O240,M242+1)," ",""))))),LEFT(O240,IFERROR(FIND(" ",O240)-1,LEN(O240))))))</f>
        <v/>
      </c>
      <c r="O241" s="5380" t="str">
        <f>IF(N241="","",TRIM(RIGHT(O240,LEN(O240)-LEN(N241))))</f>
        <v/>
      </c>
      <c r="P241" s="5390"/>
      <c r="Q241" s="5077"/>
      <c r="R241" s="5077"/>
      <c r="T241" s="3">
        <v>1</v>
      </c>
    </row>
    <row r="242" spans="5:20" ht="15.75">
      <c r="E242" s="5077"/>
      <c r="G242" s="5363" t="str">
        <f t="shared" si="55"/>
        <v/>
      </c>
      <c r="H242" s="5367" t="str">
        <f t="shared" si="56"/>
        <v/>
      </c>
      <c r="I242" s="5368" t="str">
        <f>IF(LEN(TRIM(N242))&gt;0,MAX(I29:I241)+1,"")</f>
        <v/>
      </c>
      <c r="J242" s="199" t="str">
        <f>IFERROR(INDEX(N30:N299,MATCH(ROW()-ROW(N30)+1,I30:I299,0)),"")</f>
        <v/>
      </c>
      <c r="K242" s="494"/>
      <c r="M242" s="5376">
        <f>J17</f>
        <v>100</v>
      </c>
      <c r="N242" s="5380" t="str">
        <f>IF(OR(O241="",M242=""),"",IF(LEN(O241)&lt;=M242,O241,IFERROR(LEFT(O241,FIND("♦",SUBSTITUTE(LEFT(O241,M242+1)," ","♦",LEN(LEFT(O241,M242+1))-LEN(SUBSTITUTE(LEFT(O241,M242+1)," ",""))))),LEFT(O241,IFERROR(FIND(" ",O241)-1,LEN(O241))))))</f>
        <v/>
      </c>
      <c r="O242" s="5380" t="str">
        <f t="shared" ref="O242:O245" si="60">IF(N242="","",TRIM(RIGHT(O241,LEN(O241)-LEN(N242))))</f>
        <v/>
      </c>
      <c r="P242" s="5390"/>
      <c r="Q242" s="5077"/>
      <c r="R242" s="5077"/>
      <c r="T242" s="3">
        <v>1</v>
      </c>
    </row>
    <row r="243" spans="5:20" ht="15.75">
      <c r="E243" s="5077"/>
      <c r="G243" s="5363" t="str">
        <f t="shared" si="55"/>
        <v/>
      </c>
      <c r="H243" s="5367" t="str">
        <f t="shared" si="56"/>
        <v/>
      </c>
      <c r="I243" s="5368" t="str">
        <f>IF(LEN(TRIM(N243))&gt;0,MAX(I29:I242)+1,"")</f>
        <v/>
      </c>
      <c r="J243" s="199" t="str">
        <f>IFERROR(INDEX(N30:N299,MATCH(ROW()-ROW(N30)+1,I30:I299,0)),"")</f>
        <v/>
      </c>
      <c r="K243" s="494"/>
      <c r="M243" s="5379"/>
      <c r="N243" s="5380" t="str">
        <f>IF(OR(O242="",M242=""),"",IF(LEN(O242)&lt;=M242,O242,IFERROR(LEFT(O242,FIND("♦",SUBSTITUTE(LEFT(O242,M242+1)," ","♦",LEN(LEFT(O242,M242+1))-LEN(SUBSTITUTE(LEFT(O242,M242+1)," ",""))))),LEFT(O242,IFERROR(FIND(" ",O242)-1,LEN(O242))))))</f>
        <v/>
      </c>
      <c r="O243" s="5380" t="str">
        <f t="shared" si="60"/>
        <v/>
      </c>
      <c r="P243" s="5390"/>
      <c r="Q243" s="5077"/>
      <c r="R243" s="5077"/>
      <c r="T243" s="3">
        <v>1</v>
      </c>
    </row>
    <row r="244" spans="5:20" ht="15.75">
      <c r="E244" s="5077"/>
      <c r="G244" s="5363" t="str">
        <f t="shared" si="55"/>
        <v/>
      </c>
      <c r="H244" s="5367" t="str">
        <f t="shared" si="56"/>
        <v/>
      </c>
      <c r="I244" s="5368" t="str">
        <f>IF(LEN(TRIM(N244))&gt;0,MAX(I29:I243)+1,"")</f>
        <v/>
      </c>
      <c r="J244" s="199" t="str">
        <f>IFERROR(INDEX(N30:N299,MATCH(ROW()-ROW(N30)+1,I30:I299,0)),"")</f>
        <v/>
      </c>
      <c r="K244" s="494"/>
      <c r="M244" s="5382"/>
      <c r="N244" s="5380" t="str">
        <f>IF(OR(O243="",M242=""),"",IF(LEN(O243)&lt;=M242,O243,IFERROR(LEFT(O243,FIND("♦",SUBSTITUTE(LEFT(O243,M242+1)," ","♦",LEN(LEFT(O243,M242+1))-LEN(SUBSTITUTE(LEFT(O243,M242+1)," ",""))))),LEFT(O243,IFERROR(FIND(" ",O243)-1,LEN(O243))))))</f>
        <v/>
      </c>
      <c r="O244" s="5380" t="str">
        <f t="shared" si="60"/>
        <v/>
      </c>
      <c r="P244" s="5390"/>
      <c r="Q244" s="5077"/>
      <c r="R244" s="5077"/>
      <c r="T244" s="3">
        <v>1</v>
      </c>
    </row>
    <row r="245" spans="5:20" ht="15.75">
      <c r="E245" s="5077"/>
      <c r="G245" s="5363" t="str">
        <f t="shared" si="55"/>
        <v/>
      </c>
      <c r="H245" s="5367" t="str">
        <f t="shared" si="56"/>
        <v/>
      </c>
      <c r="I245" s="5368" t="str">
        <f>IF(LEN(TRIM(N245))&gt;0,MAX(I29:I244)+1,"")</f>
        <v/>
      </c>
      <c r="J245" s="199" t="str">
        <f>IFERROR(INDEX(N30:N299,MATCH(ROW()-ROW(N30)+1,I30:I299,0)),"")</f>
        <v/>
      </c>
      <c r="K245" s="494"/>
      <c r="M245" s="5383"/>
      <c r="N245" s="5380" t="str">
        <f>IF(OR(O244="",M242=""),"",IF(LEN(O244)&lt;=M242,O244,IFERROR(LEFT(O244,FIND("♦",SUBSTITUTE(LEFT(O244,M242+1)," ","♦",LEN(LEFT(O244,M242+1))-LEN(SUBSTITUTE(LEFT(O244,M242+1)," ",""))))),LEFT(O244,IFERROR(FIND(" ",O244)-1,LEN(O244))))))</f>
        <v/>
      </c>
      <c r="O245" s="5380" t="str">
        <f t="shared" si="60"/>
        <v/>
      </c>
      <c r="P245" s="5390"/>
      <c r="Q245" s="5077"/>
      <c r="R245" s="5077"/>
      <c r="T245" s="3">
        <v>1</v>
      </c>
    </row>
    <row r="246" spans="5:20" ht="15.75">
      <c r="E246" s="5077"/>
      <c r="G246" s="5363" t="str">
        <f t="shared" si="55"/>
        <v/>
      </c>
      <c r="H246" s="5367" t="str">
        <f t="shared" si="56"/>
        <v/>
      </c>
      <c r="I246" s="5368" t="str">
        <f>IF(LEN(TRIM(N246))&gt;0,MAX(I29:I245)+1,"")</f>
        <v/>
      </c>
      <c r="J246" s="199" t="str">
        <f>IFERROR(INDEX(N30:N299,MATCH(ROW()-ROW(N30)+1,I30:I299,0)),"")</f>
        <v/>
      </c>
      <c r="K246" s="494"/>
      <c r="M246" s="5369" t="str">
        <f>(SUBSTITUTE(SUBSTITUTE(E66,CHAR(13)&amp;CHAR(10)," "),CHAR(10)," "))</f>
        <v/>
      </c>
      <c r="N246" s="5370" t="str">
        <f>IF(OR(M247="",M248=""),"",IF(LEN(M247)&lt;=M248,M247,IFERROR(LEFT(M247,FIND("♦",SUBSTITUTE(LEFT(M247,M248+1)," ","♦",LEN(LEFT(M247,M248+1))-LEN(SUBSTITUTE(LEFT(M247,M248+1)," ",""))))),LEFT(M247,IFERROR(FIND(" ",M247)-1,LEN(M247))))))</f>
        <v/>
      </c>
      <c r="O246" s="5371" t="str">
        <f>IF(N246="","",TRIM(RIGHT(M247,LEN(M247)-LEN(N246))))</f>
        <v/>
      </c>
      <c r="P246" s="5372" t="str">
        <f>F66</f>
        <v xml:space="preserve"> ◄ ligne 66</v>
      </c>
      <c r="Q246" s="5077"/>
      <c r="R246" s="5077"/>
      <c r="T246" s="3">
        <v>1</v>
      </c>
    </row>
    <row r="247" spans="5:20" ht="15.75">
      <c r="E247" s="5077"/>
      <c r="G247" s="5363" t="str">
        <f t="shared" si="55"/>
        <v/>
      </c>
      <c r="H247" s="5367" t="str">
        <f t="shared" si="56"/>
        <v/>
      </c>
      <c r="I247" s="5368" t="str">
        <f>IF(LEN(TRIM(N247))&gt;0,MAX(I29:I246)+1,"")</f>
        <v/>
      </c>
      <c r="J247" s="199" t="str">
        <f>IFERROR(INDEX(N30:N299,MATCH(ROW()-ROW(N30)+1,I30:I299,0)),"")</f>
        <v/>
      </c>
      <c r="K247" s="494"/>
      <c r="M247" s="5370" t="str">
        <f>TRIM(SUBSTITUTE(SUBSTITUTE(SUBSTITUTE(SUBSTITUTE(IF(OR(LEFT(M246,1)="-",LEFT(M246,1)="="),MID(M246,2,9999),M246),CHAR(160)," "),","," "),";"," "),"."," "))</f>
        <v/>
      </c>
      <c r="N247" s="5371" t="str">
        <f>IF(OR(O246="",M248=""),"",IF(LEN(O246)&lt;=M248,O246,IFERROR(LEFT(O246,FIND("♦",SUBSTITUTE(LEFT(O246,M248+1)," ","♦",LEN(LEFT(O246,M248+1))-LEN(SUBSTITUTE(LEFT(O246,M248+1)," ",""))))),LEFT(O246,IFERROR(FIND(" ",O246)-1,LEN(O246))))))</f>
        <v/>
      </c>
      <c r="O247" s="5371" t="str">
        <f>IF(N247="","",TRIM(RIGHT(O246,LEN(O246)-LEN(N247))))</f>
        <v/>
      </c>
      <c r="P247" s="5389"/>
      <c r="Q247" s="5077"/>
      <c r="R247" s="5077"/>
      <c r="T247" s="3">
        <v>1</v>
      </c>
    </row>
    <row r="248" spans="5:20" ht="15.75">
      <c r="E248" s="5077"/>
      <c r="G248" s="5363" t="str">
        <f t="shared" si="55"/>
        <v/>
      </c>
      <c r="H248" s="5367" t="str">
        <f t="shared" si="56"/>
        <v/>
      </c>
      <c r="I248" s="5368" t="str">
        <f>IF(LEN(TRIM(N248))&gt;0,MAX(I29:I247)+1,"")</f>
        <v/>
      </c>
      <c r="J248" s="199" t="str">
        <f>IFERROR(INDEX(N30:N299,MATCH(ROW()-ROW(N30)+1,I30:I299,0)),"")</f>
        <v/>
      </c>
      <c r="K248" s="494"/>
      <c r="M248" s="5376">
        <f>J17</f>
        <v>100</v>
      </c>
      <c r="N248" s="5371" t="str">
        <f>IF(OR(O247="",M248=""),"",IF(LEN(O247)&lt;=M248,O247,IFERROR(LEFT(O247,FIND("♦",SUBSTITUTE(LEFT(O247,M248+1)," ","♦",LEN(LEFT(O247,M248+1))-LEN(SUBSTITUTE(LEFT(O247,M248+1)," ",""))))),LEFT(O247,IFERROR(FIND(" ",O247)-1,LEN(O247))))))</f>
        <v/>
      </c>
      <c r="O248" s="5371" t="str">
        <f t="shared" ref="O248:O251" si="61">IF(N248="","",TRIM(RIGHT(O247,LEN(O247)-LEN(N248))))</f>
        <v/>
      </c>
      <c r="P248" s="5389"/>
      <c r="Q248" s="5077"/>
      <c r="R248" s="5077"/>
      <c r="T248" s="3">
        <v>1</v>
      </c>
    </row>
    <row r="249" spans="5:20" ht="15.75">
      <c r="E249" s="5077"/>
      <c r="G249" s="5363" t="str">
        <f t="shared" si="55"/>
        <v/>
      </c>
      <c r="H249" s="5367" t="str">
        <f t="shared" si="56"/>
        <v/>
      </c>
      <c r="I249" s="5368" t="str">
        <f>IF(LEN(TRIM(N249))&gt;0,MAX(I29:I248)+1,"")</f>
        <v/>
      </c>
      <c r="J249" s="199" t="str">
        <f>IFERROR(INDEX(N30:N299,MATCH(ROW()-ROW(N30)+1,I30:I299,0)),"")</f>
        <v/>
      </c>
      <c r="K249" s="494"/>
      <c r="M249" s="5370"/>
      <c r="N249" s="5371" t="str">
        <f>IF(OR(O248="",M248=""),"",IF(LEN(O248)&lt;=M248,O248,IFERROR(LEFT(O248,FIND("♦",SUBSTITUTE(LEFT(O248,M248+1)," ","♦",LEN(LEFT(O248,M248+1))-LEN(SUBSTITUTE(LEFT(O248,M248+1)," ",""))))),LEFT(O248,IFERROR(FIND(" ",O248)-1,LEN(O248))))))</f>
        <v/>
      </c>
      <c r="O249" s="5371" t="str">
        <f t="shared" si="61"/>
        <v/>
      </c>
      <c r="P249" s="5389"/>
      <c r="Q249" s="5077"/>
      <c r="R249" s="5077"/>
      <c r="T249" s="3">
        <v>1</v>
      </c>
    </row>
    <row r="250" spans="5:20" ht="15.75">
      <c r="E250" s="5077"/>
      <c r="G250" s="5363" t="str">
        <f t="shared" si="55"/>
        <v/>
      </c>
      <c r="H250" s="5367" t="str">
        <f t="shared" si="56"/>
        <v/>
      </c>
      <c r="I250" s="5368" t="str">
        <f>IF(LEN(TRIM(N250))&gt;0,MAX(I29:I249)+1,"")</f>
        <v/>
      </c>
      <c r="J250" s="199" t="str">
        <f>IFERROR(INDEX(N30:N299,MATCH(ROW()-ROW(N30)+1,I30:I299,0)),"")</f>
        <v/>
      </c>
      <c r="K250" s="494"/>
      <c r="M250" s="5377"/>
      <c r="N250" s="5371" t="str">
        <f>IF(OR(O249="",M248=""),"",IF(LEN(O249)&lt;=M248,O249,IFERROR(LEFT(O249,FIND("♦",SUBSTITUTE(LEFT(O249,M248+1)," ","♦",LEN(LEFT(O249,M248+1))-LEN(SUBSTITUTE(LEFT(O249,M248+1)," ",""))))),LEFT(O249,IFERROR(FIND(" ",O249)-1,LEN(O249))))))</f>
        <v/>
      </c>
      <c r="O250" s="5371" t="str">
        <f t="shared" si="61"/>
        <v/>
      </c>
      <c r="P250" s="5389"/>
      <c r="Q250" s="5077"/>
      <c r="R250" s="5077"/>
      <c r="T250" s="3">
        <v>1</v>
      </c>
    </row>
    <row r="251" spans="5:20" ht="15.75">
      <c r="E251" s="5077"/>
      <c r="G251" s="5363" t="str">
        <f t="shared" si="55"/>
        <v/>
      </c>
      <c r="H251" s="5367" t="str">
        <f t="shared" si="56"/>
        <v/>
      </c>
      <c r="I251" s="5368" t="str">
        <f>IF(LEN(TRIM(N251))&gt;0,MAX(I29:I250)+1,"")</f>
        <v/>
      </c>
      <c r="J251" s="199" t="str">
        <f>IFERROR(INDEX(N30:N299,MATCH(ROW()-ROW(N30)+1,I30:I299,0)),"")</f>
        <v/>
      </c>
      <c r="K251" s="494"/>
      <c r="M251" s="5378"/>
      <c r="N251" s="5371" t="str">
        <f>IF(OR(O250="",M248=""),"",IF(LEN(O250)&lt;=M248,O250,IFERROR(LEFT(O250,FIND("♦",SUBSTITUTE(LEFT(O250,M248+1)," ","♦",LEN(LEFT(O250,M248+1))-LEN(SUBSTITUTE(LEFT(O250,M248+1)," ",""))))),LEFT(O250,IFERROR(FIND(" ",O250)-1,LEN(O250))))))</f>
        <v/>
      </c>
      <c r="O251" s="5371" t="str">
        <f t="shared" si="61"/>
        <v/>
      </c>
      <c r="P251" s="5389"/>
      <c r="Q251" s="5077"/>
      <c r="R251" s="5077"/>
      <c r="T251" s="3">
        <v>1</v>
      </c>
    </row>
    <row r="252" spans="5:20" ht="15.75">
      <c r="E252" s="5077"/>
      <c r="G252" s="5363" t="str">
        <f t="shared" si="55"/>
        <v/>
      </c>
      <c r="H252" s="5367" t="str">
        <f t="shared" si="56"/>
        <v/>
      </c>
      <c r="I252" s="5368" t="str">
        <f>IF(LEN(TRIM(N252))&gt;0,MAX(I29:I251)+1,"")</f>
        <v/>
      </c>
      <c r="J252" s="199" t="str">
        <f>IFERROR(INDEX(N30:N299,MATCH(ROW()-ROW(N30)+1,I30:I299,0)),"")</f>
        <v/>
      </c>
      <c r="K252" s="494"/>
      <c r="M252" s="5369" t="str">
        <f>(SUBSTITUTE(SUBSTITUTE(E67,CHAR(13)&amp;CHAR(10)," "),CHAR(10)," "))</f>
        <v/>
      </c>
      <c r="N252" s="5379" t="str">
        <f>IF(OR(M253="",M254=""),"",IF(LEN(M253)&lt;=M254,M253,IFERROR(LEFT(M253,FIND("♦",SUBSTITUTE(LEFT(M253,M254+1)," ","♦",LEN(LEFT(M253,M254+1))-LEN(SUBSTITUTE(LEFT(M253,M254+1)," ",""))))),LEFT(M253,IFERROR(FIND(" ",M253)-1,LEN(M253))))))</f>
        <v/>
      </c>
      <c r="O252" s="5380" t="str">
        <f>IF(N252="","",TRIM(RIGHT(M253,LEN(M253)-LEN(N252))))</f>
        <v/>
      </c>
      <c r="P252" s="5372" t="str">
        <f>F67</f>
        <v xml:space="preserve"> ◄ ligne 67</v>
      </c>
      <c r="Q252" s="5077"/>
      <c r="R252" s="5077"/>
      <c r="T252" s="3">
        <v>1</v>
      </c>
    </row>
    <row r="253" spans="5:20" ht="15.75">
      <c r="E253" s="5077"/>
      <c r="G253" s="5363" t="str">
        <f t="shared" si="55"/>
        <v/>
      </c>
      <c r="H253" s="5367" t="str">
        <f t="shared" si="56"/>
        <v/>
      </c>
      <c r="I253" s="5368" t="str">
        <f>IF(LEN(TRIM(N253))&gt;0,MAX(I29:I252)+1,"")</f>
        <v/>
      </c>
      <c r="J253" s="199" t="str">
        <f>IFERROR(INDEX(N30:N299,MATCH(ROW()-ROW(N30)+1,I30:I299,0)),"")</f>
        <v/>
      </c>
      <c r="K253" s="494"/>
      <c r="M253" s="5379" t="str">
        <f>TRIM(SUBSTITUTE(SUBSTITUTE(SUBSTITUTE(SUBSTITUTE(IF(OR(LEFT(M252,1)="-",LEFT(M252,1)="="),MID(M252,2,9999),M252),CHAR(160)," "),","," "),";"," "),"."," "))</f>
        <v/>
      </c>
      <c r="N253" s="5380" t="str">
        <f>IF(OR(O252="",M254=""),"",IF(LEN(O252)&lt;=M254,O252,IFERROR(LEFT(O252,FIND("♦",SUBSTITUTE(LEFT(O252,M254+1)," ","♦",LEN(LEFT(O252,M254+1))-LEN(SUBSTITUTE(LEFT(O252,M254+1)," ",""))))),LEFT(O252,IFERROR(FIND(" ",O252)-1,LEN(O252))))))</f>
        <v/>
      </c>
      <c r="O253" s="5380" t="str">
        <f>IF(N253="","",TRIM(RIGHT(O252,LEN(O252)-LEN(N253))))</f>
        <v/>
      </c>
      <c r="P253" s="5390"/>
      <c r="Q253" s="5077"/>
      <c r="R253" s="5077"/>
      <c r="T253" s="3">
        <v>1</v>
      </c>
    </row>
    <row r="254" spans="5:20" ht="15.75">
      <c r="E254" s="5077"/>
      <c r="G254" s="5363" t="str">
        <f t="shared" si="55"/>
        <v/>
      </c>
      <c r="H254" s="5367" t="str">
        <f t="shared" si="56"/>
        <v/>
      </c>
      <c r="I254" s="5368" t="str">
        <f>IF(LEN(TRIM(N254))&gt;0,MAX(I29:I253)+1,"")</f>
        <v/>
      </c>
      <c r="J254" s="199" t="str">
        <f>IFERROR(INDEX(N30:N299,MATCH(ROW()-ROW(N30)+1,I30:I299,0)),"")</f>
        <v/>
      </c>
      <c r="K254" s="494"/>
      <c r="M254" s="5376">
        <f>J17</f>
        <v>100</v>
      </c>
      <c r="N254" s="5380" t="str">
        <f>IF(OR(O253="",M254=""),"",IF(LEN(O253)&lt;=M254,O253,IFERROR(LEFT(O253,FIND("♦",SUBSTITUTE(LEFT(O253,M254+1)," ","♦",LEN(LEFT(O253,M254+1))-LEN(SUBSTITUTE(LEFT(O253,M254+1)," ",""))))),LEFT(O253,IFERROR(FIND(" ",O253)-1,LEN(O253))))))</f>
        <v/>
      </c>
      <c r="O254" s="5380" t="str">
        <f t="shared" ref="O254:O257" si="62">IF(N254="","",TRIM(RIGHT(O253,LEN(O253)-LEN(N254))))</f>
        <v/>
      </c>
      <c r="P254" s="5390"/>
      <c r="Q254" s="5077"/>
      <c r="R254" s="5077"/>
      <c r="T254" s="3">
        <v>1</v>
      </c>
    </row>
    <row r="255" spans="5:20" ht="15.75">
      <c r="E255" s="5077"/>
      <c r="G255" s="5363" t="str">
        <f t="shared" si="55"/>
        <v/>
      </c>
      <c r="H255" s="5367" t="str">
        <f t="shared" si="56"/>
        <v/>
      </c>
      <c r="I255" s="5368" t="str">
        <f>IF(LEN(TRIM(N255))&gt;0,MAX(I29:I254)+1,"")</f>
        <v/>
      </c>
      <c r="J255" s="199" t="str">
        <f>IFERROR(INDEX(N30:N299,MATCH(ROW()-ROW(N30)+1,I30:I299,0)),"")</f>
        <v/>
      </c>
      <c r="K255" s="494"/>
      <c r="M255" s="5379"/>
      <c r="N255" s="5380" t="str">
        <f>IF(OR(O254="",M254=""),"",IF(LEN(O254)&lt;=M254,O254,IFERROR(LEFT(O254,FIND("♦",SUBSTITUTE(LEFT(O254,M254+1)," ","♦",LEN(LEFT(O254,M254+1))-LEN(SUBSTITUTE(LEFT(O254,M254+1)," ",""))))),LEFT(O254,IFERROR(FIND(" ",O254)-1,LEN(O254))))))</f>
        <v/>
      </c>
      <c r="O255" s="5380" t="str">
        <f t="shared" si="62"/>
        <v/>
      </c>
      <c r="P255" s="5390"/>
      <c r="Q255" s="5077"/>
      <c r="R255" s="5077"/>
      <c r="T255" s="3">
        <v>1</v>
      </c>
    </row>
    <row r="256" spans="5:20" ht="15.75">
      <c r="E256" s="5077"/>
      <c r="G256" s="5363" t="str">
        <f t="shared" si="55"/>
        <v/>
      </c>
      <c r="H256" s="5367" t="str">
        <f t="shared" si="56"/>
        <v/>
      </c>
      <c r="I256" s="5368" t="str">
        <f>IF(LEN(TRIM(N256))&gt;0,MAX(I29:I255)+1,"")</f>
        <v/>
      </c>
      <c r="J256" s="199" t="str">
        <f>IFERROR(INDEX(N30:N299,MATCH(ROW()-ROW(N30)+1,I30:I299,0)),"")</f>
        <v/>
      </c>
      <c r="K256" s="494"/>
      <c r="M256" s="5382"/>
      <c r="N256" s="5380" t="str">
        <f>IF(OR(O255="",M254=""),"",IF(LEN(O255)&lt;=M254,O255,IFERROR(LEFT(O255,FIND("♦",SUBSTITUTE(LEFT(O255,M254+1)," ","♦",LEN(LEFT(O255,M254+1))-LEN(SUBSTITUTE(LEFT(O255,M254+1)," ",""))))),LEFT(O255,IFERROR(FIND(" ",O255)-1,LEN(O255))))))</f>
        <v/>
      </c>
      <c r="O256" s="5380" t="str">
        <f t="shared" si="62"/>
        <v/>
      </c>
      <c r="P256" s="5390"/>
      <c r="Q256" s="5077"/>
      <c r="R256" s="5077"/>
      <c r="T256" s="3">
        <v>1</v>
      </c>
    </row>
    <row r="257" spans="5:20" ht="15.75">
      <c r="E257" s="5077"/>
      <c r="G257" s="5363" t="str">
        <f t="shared" si="55"/>
        <v/>
      </c>
      <c r="H257" s="5367" t="str">
        <f t="shared" si="56"/>
        <v/>
      </c>
      <c r="I257" s="5368" t="str">
        <f>IF(LEN(TRIM(N257))&gt;0,MAX(I29:I256)+1,"")</f>
        <v/>
      </c>
      <c r="J257" s="199" t="str">
        <f>IFERROR(INDEX(N30:N299,MATCH(ROW()-ROW(N30)+1,I30:I299,0)),"")</f>
        <v/>
      </c>
      <c r="K257" s="494"/>
      <c r="M257" s="5383"/>
      <c r="N257" s="5380" t="str">
        <f>IF(OR(O256="",M254=""),"",IF(LEN(O256)&lt;=M254,O256,IFERROR(LEFT(O256,FIND("♦",SUBSTITUTE(LEFT(O256,M254+1)," ","♦",LEN(LEFT(O256,M254+1))-LEN(SUBSTITUTE(LEFT(O256,M254+1)," ",""))))),LEFT(O256,IFERROR(FIND(" ",O256)-1,LEN(O256))))))</f>
        <v/>
      </c>
      <c r="O257" s="5380" t="str">
        <f t="shared" si="62"/>
        <v/>
      </c>
      <c r="P257" s="5390"/>
      <c r="Q257" s="5077"/>
      <c r="R257" s="5077"/>
      <c r="T257" s="3">
        <v>1</v>
      </c>
    </row>
    <row r="258" spans="5:20" ht="15.75">
      <c r="E258" s="5077"/>
      <c r="G258" s="5363" t="str">
        <f t="shared" si="55"/>
        <v/>
      </c>
      <c r="H258" s="5367" t="str">
        <f t="shared" si="56"/>
        <v/>
      </c>
      <c r="I258" s="5368" t="str">
        <f>IF(LEN(TRIM(N258))&gt;0,MAX(I29:I257)+1,"")</f>
        <v/>
      </c>
      <c r="J258" s="199" t="str">
        <f>IFERROR(INDEX(N30:N299,MATCH(ROW()-ROW(N30)+1,I30:I299,0)),"")</f>
        <v/>
      </c>
      <c r="K258" s="494"/>
      <c r="M258" s="5369" t="str">
        <f>(SUBSTITUTE(SUBSTITUTE(E68,CHAR(13)&amp;CHAR(10)," "),CHAR(10)," "))</f>
        <v/>
      </c>
      <c r="N258" s="5370" t="str">
        <f>IF(OR(M259="",M260=""),"",IF(LEN(M259)&lt;=M260,M259,IFERROR(LEFT(M259,FIND("♦",SUBSTITUTE(LEFT(M259,M260+1)," ","♦",LEN(LEFT(M259,M260+1))-LEN(SUBSTITUTE(LEFT(M259,M260+1)," ",""))))),LEFT(M259,IFERROR(FIND(" ",M259)-1,LEN(M259))))))</f>
        <v/>
      </c>
      <c r="O258" s="5371" t="str">
        <f>IF(N258="","",TRIM(RIGHT(M259,LEN(M259)-LEN(N258))))</f>
        <v/>
      </c>
      <c r="P258" s="5372" t="str">
        <f>F68</f>
        <v xml:space="preserve"> ◄ ligne 68</v>
      </c>
      <c r="Q258" s="5077"/>
      <c r="R258" s="5077"/>
      <c r="T258" s="3">
        <v>1</v>
      </c>
    </row>
    <row r="259" spans="5:20" ht="15.75">
      <c r="E259" s="5077"/>
      <c r="G259" s="5363" t="str">
        <f t="shared" si="55"/>
        <v/>
      </c>
      <c r="H259" s="5367" t="str">
        <f t="shared" si="56"/>
        <v/>
      </c>
      <c r="I259" s="5368" t="str">
        <f>IF(LEN(TRIM(N259))&gt;0,MAX(I29:I258)+1,"")</f>
        <v/>
      </c>
      <c r="J259" s="199" t="str">
        <f>IFERROR(INDEX(N30:N299,MATCH(ROW()-ROW(N30)+1,I30:I299,0)),"")</f>
        <v/>
      </c>
      <c r="K259" s="494"/>
      <c r="M259" s="5370" t="str">
        <f>TRIM(SUBSTITUTE(SUBSTITUTE(SUBSTITUTE(SUBSTITUTE(IF(OR(LEFT(M258,1)="-",LEFT(M258,1)="="),MID(M258,2,9999),M258),CHAR(160)," "),","," "),";"," "),"."," "))</f>
        <v/>
      </c>
      <c r="N259" s="5371" t="str">
        <f>IF(OR(O258="",M260=""),"",IF(LEN(O258)&lt;=M260,O258,IFERROR(LEFT(O258,FIND("♦",SUBSTITUTE(LEFT(O258,M260+1)," ","♦",LEN(LEFT(O258,M260+1))-LEN(SUBSTITUTE(LEFT(O258,M260+1)," ",""))))),LEFT(O258,IFERROR(FIND(" ",O258)-1,LEN(O258))))))</f>
        <v/>
      </c>
      <c r="O259" s="5371" t="str">
        <f>IF(N259="","",TRIM(RIGHT(O258,LEN(O258)-LEN(N259))))</f>
        <v/>
      </c>
      <c r="P259" s="5389"/>
      <c r="Q259" s="5077"/>
      <c r="R259" s="5077"/>
      <c r="T259" s="3">
        <v>1</v>
      </c>
    </row>
    <row r="260" spans="5:20" ht="15.75">
      <c r="E260" s="5077"/>
      <c r="G260" s="5363" t="str">
        <f t="shared" si="55"/>
        <v/>
      </c>
      <c r="H260" s="5367" t="str">
        <f t="shared" si="56"/>
        <v/>
      </c>
      <c r="I260" s="5368" t="str">
        <f>IF(LEN(TRIM(N260))&gt;0,MAX(I29:I259)+1,"")</f>
        <v/>
      </c>
      <c r="J260" s="199" t="str">
        <f>IFERROR(INDEX(N30:N299,MATCH(ROW()-ROW(N30)+1,I30:I299,0)),"")</f>
        <v/>
      </c>
      <c r="K260" s="494"/>
      <c r="M260" s="5376">
        <f>J17</f>
        <v>100</v>
      </c>
      <c r="N260" s="5371" t="str">
        <f>IF(OR(O259="",M260=""),"",IF(LEN(O259)&lt;=M260,O259,IFERROR(LEFT(O259,FIND("♦",SUBSTITUTE(LEFT(O259,M260+1)," ","♦",LEN(LEFT(O259,M260+1))-LEN(SUBSTITUTE(LEFT(O259,M260+1)," ",""))))),LEFT(O259,IFERROR(FIND(" ",O259)-1,LEN(O259))))))</f>
        <v/>
      </c>
      <c r="O260" s="5371" t="str">
        <f t="shared" ref="O260:O263" si="63">IF(N260="","",TRIM(RIGHT(O259,LEN(O259)-LEN(N260))))</f>
        <v/>
      </c>
      <c r="P260" s="5389"/>
      <c r="Q260" s="5077"/>
      <c r="R260" s="5077"/>
      <c r="T260" s="3">
        <v>1</v>
      </c>
    </row>
    <row r="261" spans="5:20" ht="15.75">
      <c r="E261" s="5077"/>
      <c r="G261" s="5363" t="str">
        <f t="shared" si="55"/>
        <v/>
      </c>
      <c r="H261" s="5367" t="str">
        <f t="shared" si="56"/>
        <v/>
      </c>
      <c r="I261" s="5368" t="str">
        <f>IF(LEN(TRIM(N261))&gt;0,MAX(I29:I260)+1,"")</f>
        <v/>
      </c>
      <c r="J261" s="199" t="str">
        <f>IFERROR(INDEX(N30:N299,MATCH(ROW()-ROW(N30)+1,I30:I299,0)),"")</f>
        <v/>
      </c>
      <c r="K261" s="494"/>
      <c r="M261" s="5370"/>
      <c r="N261" s="5371" t="str">
        <f>IF(OR(O260="",M260=""),"",IF(LEN(O260)&lt;=M260,O260,IFERROR(LEFT(O260,FIND("♦",SUBSTITUTE(LEFT(O260,M260+1)," ","♦",LEN(LEFT(O260,M260+1))-LEN(SUBSTITUTE(LEFT(O260,M260+1)," ",""))))),LEFT(O260,IFERROR(FIND(" ",O260)-1,LEN(O260))))))</f>
        <v/>
      </c>
      <c r="O261" s="5371" t="str">
        <f t="shared" si="63"/>
        <v/>
      </c>
      <c r="P261" s="5389"/>
      <c r="Q261" s="5077"/>
      <c r="R261" s="5077"/>
      <c r="T261" s="3">
        <v>1</v>
      </c>
    </row>
    <row r="262" spans="5:20" ht="15.75">
      <c r="E262" s="5077"/>
      <c r="G262" s="5363" t="str">
        <f t="shared" si="55"/>
        <v/>
      </c>
      <c r="H262" s="5367" t="str">
        <f t="shared" si="56"/>
        <v/>
      </c>
      <c r="I262" s="5368" t="str">
        <f>IF(LEN(TRIM(N262))&gt;0,MAX(I29:I261)+1,"")</f>
        <v/>
      </c>
      <c r="J262" s="199" t="str">
        <f>IFERROR(INDEX(N30:N299,MATCH(ROW()-ROW(N30)+1,I30:I299,0)),"")</f>
        <v/>
      </c>
      <c r="K262" s="494"/>
      <c r="M262" s="5377"/>
      <c r="N262" s="5371" t="str">
        <f>IF(OR(O261="",M260=""),"",IF(LEN(O261)&lt;=M260,O261,IFERROR(LEFT(O261,FIND("♦",SUBSTITUTE(LEFT(O261,M260+1)," ","♦",LEN(LEFT(O261,M260+1))-LEN(SUBSTITUTE(LEFT(O261,M260+1)," ",""))))),LEFT(O261,IFERROR(FIND(" ",O261)-1,LEN(O261))))))</f>
        <v/>
      </c>
      <c r="O262" s="5371" t="str">
        <f t="shared" si="63"/>
        <v/>
      </c>
      <c r="P262" s="5389"/>
      <c r="Q262" s="5077"/>
      <c r="R262" s="5077"/>
      <c r="T262" s="3">
        <v>1</v>
      </c>
    </row>
    <row r="263" spans="5:20" ht="15.75">
      <c r="E263" s="5077"/>
      <c r="G263" s="5363" t="str">
        <f t="shared" si="55"/>
        <v/>
      </c>
      <c r="H263" s="5367" t="str">
        <f t="shared" si="56"/>
        <v/>
      </c>
      <c r="I263" s="5368" t="str">
        <f>IF(LEN(TRIM(N263))&gt;0,MAX(I29:I262)+1,"")</f>
        <v/>
      </c>
      <c r="J263" s="199" t="str">
        <f>IFERROR(INDEX(N30:N299,MATCH(ROW()-ROW(N30)+1,I30:I299,0)),"")</f>
        <v/>
      </c>
      <c r="K263" s="494"/>
      <c r="M263" s="5378"/>
      <c r="N263" s="5371" t="str">
        <f>IF(OR(O262="",M260=""),"",IF(LEN(O262)&lt;=M260,O262,IFERROR(LEFT(O262,FIND("♦",SUBSTITUTE(LEFT(O262,M260+1)," ","♦",LEN(LEFT(O262,M260+1))-LEN(SUBSTITUTE(LEFT(O262,M260+1)," ",""))))),LEFT(O262,IFERROR(FIND(" ",O262)-1,LEN(O262))))))</f>
        <v/>
      </c>
      <c r="O263" s="5371" t="str">
        <f t="shared" si="63"/>
        <v/>
      </c>
      <c r="P263" s="5389"/>
      <c r="Q263" s="5077"/>
      <c r="R263" s="5077"/>
      <c r="T263" s="3">
        <v>1</v>
      </c>
    </row>
    <row r="264" spans="5:20" ht="15.75">
      <c r="E264" s="5077"/>
      <c r="G264" s="5363" t="str">
        <f t="shared" si="55"/>
        <v/>
      </c>
      <c r="H264" s="5367" t="str">
        <f t="shared" si="56"/>
        <v/>
      </c>
      <c r="I264" s="5368" t="str">
        <f>IF(LEN(TRIM(N264))&gt;0,MAX(I29:I263)+1,"")</f>
        <v/>
      </c>
      <c r="J264" s="199" t="str">
        <f>IFERROR(INDEX(N30:N299,MATCH(ROW()-ROW(N30)+1,I30:I299,0)),"")</f>
        <v/>
      </c>
      <c r="K264" s="494"/>
      <c r="M264" s="5369" t="str">
        <f>(SUBSTITUTE(SUBSTITUTE(E69,CHAR(13)&amp;CHAR(10)," "),CHAR(10)," "))</f>
        <v/>
      </c>
      <c r="N264" s="5379" t="str">
        <f>IF(OR(M265="",M266=""),"",IF(LEN(M265)&lt;=M266,M265,IFERROR(LEFT(M265,FIND("♦",SUBSTITUTE(LEFT(M265,M266+1)," ","♦",LEN(LEFT(M265,M266+1))-LEN(SUBSTITUTE(LEFT(M265,M266+1)," ",""))))),LEFT(M265,IFERROR(FIND(" ",M265)-1,LEN(M265))))))</f>
        <v/>
      </c>
      <c r="O264" s="5380" t="str">
        <f>IF(N264="","",TRIM(RIGHT(M265,LEN(M265)-LEN(N264))))</f>
        <v/>
      </c>
      <c r="P264" s="5372" t="str">
        <f>F69</f>
        <v xml:space="preserve"> ◄ ligne 69</v>
      </c>
      <c r="Q264" s="5077"/>
      <c r="R264" s="5077"/>
      <c r="T264" s="3">
        <v>1</v>
      </c>
    </row>
    <row r="265" spans="5:20" ht="15.75">
      <c r="E265" s="5077"/>
      <c r="G265" s="5363" t="str">
        <f t="shared" si="55"/>
        <v/>
      </c>
      <c r="H265" s="5367" t="str">
        <f t="shared" si="56"/>
        <v/>
      </c>
      <c r="I265" s="5368" t="str">
        <f>IF(LEN(TRIM(N265))&gt;0,MAX(I29:I264)+1,"")</f>
        <v/>
      </c>
      <c r="J265" s="199" t="str">
        <f>IFERROR(INDEX(N30:N299,MATCH(ROW()-ROW(N30)+1,I30:I299,0)),"")</f>
        <v/>
      </c>
      <c r="K265" s="494"/>
      <c r="M265" s="5379" t="str">
        <f>TRIM(SUBSTITUTE(SUBSTITUTE(SUBSTITUTE(SUBSTITUTE(IF(OR(LEFT(M264,1)="-",LEFT(M264,1)="="),MID(M264,2,9999),M264),CHAR(160)," "),","," "),";"," "),"."," "))</f>
        <v/>
      </c>
      <c r="N265" s="5380" t="str">
        <f>IF(OR(O264="",M266=""),"",IF(LEN(O264)&lt;=M266,O264,IFERROR(LEFT(O264,FIND("♦",SUBSTITUTE(LEFT(O264,M266+1)," ","♦",LEN(LEFT(O264,M266+1))-LEN(SUBSTITUTE(LEFT(O264,M266+1)," ",""))))),LEFT(O264,IFERROR(FIND(" ",O264)-1,LEN(O264))))))</f>
        <v/>
      </c>
      <c r="O265" s="5380" t="str">
        <f>IF(N265="","",TRIM(RIGHT(O264,LEN(O264)-LEN(N265))))</f>
        <v/>
      </c>
      <c r="P265" s="5390"/>
      <c r="Q265" s="5077"/>
      <c r="R265" s="5077"/>
      <c r="T265" s="3">
        <v>1</v>
      </c>
    </row>
    <row r="266" spans="5:20" ht="15.75">
      <c r="E266" s="5077"/>
      <c r="G266" s="5363" t="str">
        <f t="shared" si="55"/>
        <v/>
      </c>
      <c r="H266" s="5367" t="str">
        <f t="shared" si="56"/>
        <v/>
      </c>
      <c r="I266" s="5368" t="str">
        <f>IF(LEN(TRIM(N266))&gt;0,MAX(I29:I265)+1,"")</f>
        <v/>
      </c>
      <c r="J266" s="199" t="str">
        <f>IFERROR(INDEX(N30:N299,MATCH(ROW()-ROW(N30)+1,I30:I299,0)),"")</f>
        <v/>
      </c>
      <c r="K266" s="494"/>
      <c r="M266" s="5376">
        <f>J17</f>
        <v>100</v>
      </c>
      <c r="N266" s="5380" t="str">
        <f>IF(OR(O265="",M266=""),"",IF(LEN(O265)&lt;=M266,O265,IFERROR(LEFT(O265,FIND("♦",SUBSTITUTE(LEFT(O265,M266+1)," ","♦",LEN(LEFT(O265,M266+1))-LEN(SUBSTITUTE(LEFT(O265,M266+1)," ",""))))),LEFT(O265,IFERROR(FIND(" ",O265)-1,LEN(O265))))))</f>
        <v/>
      </c>
      <c r="O266" s="5380" t="str">
        <f t="shared" ref="O266:O269" si="64">IF(N266="","",TRIM(RIGHT(O265,LEN(O265)-LEN(N266))))</f>
        <v/>
      </c>
      <c r="P266" s="5390"/>
      <c r="Q266" s="5077"/>
      <c r="R266" s="5077"/>
      <c r="T266" s="3">
        <v>1</v>
      </c>
    </row>
    <row r="267" spans="5:20" ht="15.75">
      <c r="E267" s="5077"/>
      <c r="G267" s="5363" t="str">
        <f t="shared" si="55"/>
        <v/>
      </c>
      <c r="H267" s="5367" t="str">
        <f t="shared" si="56"/>
        <v/>
      </c>
      <c r="I267" s="5368" t="str">
        <f>IF(LEN(TRIM(N267))&gt;0,MAX(I29:I266)+1,"")</f>
        <v/>
      </c>
      <c r="J267" s="199" t="str">
        <f>IFERROR(INDEX(N30:N299,MATCH(ROW()-ROW(N30)+1,I30:I299,0)),"")</f>
        <v/>
      </c>
      <c r="K267" s="494"/>
      <c r="M267" s="5379"/>
      <c r="N267" s="5380" t="str">
        <f>IF(OR(O266="",M266=""),"",IF(LEN(O266)&lt;=M266,O266,IFERROR(LEFT(O266,FIND("♦",SUBSTITUTE(LEFT(O266,M266+1)," ","♦",LEN(LEFT(O266,M266+1))-LEN(SUBSTITUTE(LEFT(O266,M266+1)," ",""))))),LEFT(O266,IFERROR(FIND(" ",O266)-1,LEN(O266))))))</f>
        <v/>
      </c>
      <c r="O267" s="5380" t="str">
        <f t="shared" si="64"/>
        <v/>
      </c>
      <c r="P267" s="5390"/>
      <c r="Q267" s="5077"/>
      <c r="R267" s="5077"/>
      <c r="T267" s="3">
        <v>1</v>
      </c>
    </row>
    <row r="268" spans="5:20" ht="15.75">
      <c r="E268" s="5077"/>
      <c r="G268" s="5363" t="str">
        <f t="shared" si="55"/>
        <v/>
      </c>
      <c r="H268" s="5367" t="str">
        <f t="shared" si="56"/>
        <v/>
      </c>
      <c r="I268" s="5368" t="str">
        <f>IF(LEN(TRIM(N268))&gt;0,MAX(I29:I267)+1,"")</f>
        <v/>
      </c>
      <c r="J268" s="199" t="str">
        <f>IFERROR(INDEX(N30:N299,MATCH(ROW()-ROW(N30)+1,I30:I299,0)),"")</f>
        <v/>
      </c>
      <c r="K268" s="494"/>
      <c r="M268" s="5382"/>
      <c r="N268" s="5380" t="str">
        <f>IF(OR(O267="",M266=""),"",IF(LEN(O267)&lt;=M266,O267,IFERROR(LEFT(O267,FIND("♦",SUBSTITUTE(LEFT(O267,M266+1)," ","♦",LEN(LEFT(O267,M266+1))-LEN(SUBSTITUTE(LEFT(O267,M266+1)," ",""))))),LEFT(O267,IFERROR(FIND(" ",O267)-1,LEN(O267))))))</f>
        <v/>
      </c>
      <c r="O268" s="5380" t="str">
        <f t="shared" si="64"/>
        <v/>
      </c>
      <c r="P268" s="5390"/>
      <c r="Q268" s="5077"/>
      <c r="R268" s="5077"/>
      <c r="T268" s="3">
        <v>1</v>
      </c>
    </row>
    <row r="269" spans="5:20" ht="15.75">
      <c r="E269" s="5077"/>
      <c r="G269" s="5363" t="str">
        <f t="shared" si="55"/>
        <v/>
      </c>
      <c r="H269" s="5367" t="str">
        <f t="shared" si="56"/>
        <v/>
      </c>
      <c r="I269" s="5368" t="str">
        <f>IF(LEN(TRIM(N269))&gt;0,MAX(I29:I268)+1,"")</f>
        <v/>
      </c>
      <c r="J269" s="199" t="str">
        <f>IFERROR(INDEX(N30:N299,MATCH(ROW()-ROW(N30)+1,I30:I299,0)),"")</f>
        <v/>
      </c>
      <c r="K269" s="494"/>
      <c r="M269" s="5383"/>
      <c r="N269" s="5380" t="str">
        <f>IF(OR(O268="",M266=""),"",IF(LEN(O268)&lt;=M266,O268,IFERROR(LEFT(O268,FIND("♦",SUBSTITUTE(LEFT(O268,M266+1)," ","♦",LEN(LEFT(O268,M266+1))-LEN(SUBSTITUTE(LEFT(O268,M266+1)," ",""))))),LEFT(O268,IFERROR(FIND(" ",O268)-1,LEN(O268))))))</f>
        <v/>
      </c>
      <c r="O269" s="5380" t="str">
        <f t="shared" si="64"/>
        <v/>
      </c>
      <c r="P269" s="5390"/>
      <c r="Q269" s="5077"/>
      <c r="R269" s="5077"/>
      <c r="T269" s="3">
        <v>1</v>
      </c>
    </row>
    <row r="270" spans="5:20" ht="15.75">
      <c r="E270" s="5077"/>
      <c r="G270" s="5363" t="str">
        <f t="shared" si="55"/>
        <v/>
      </c>
      <c r="H270" s="5367" t="str">
        <f t="shared" si="56"/>
        <v/>
      </c>
      <c r="I270" s="5368" t="str">
        <f>IF(LEN(TRIM(N270))&gt;0,MAX(I29:I269)+1,"")</f>
        <v/>
      </c>
      <c r="J270" s="199" t="str">
        <f>IFERROR(INDEX(N30:N299,MATCH(ROW()-ROW(N30)+1,I30:I299,0)),"")</f>
        <v/>
      </c>
      <c r="K270" s="494"/>
      <c r="M270" s="5369" t="str">
        <f>(SUBSTITUTE(SUBSTITUTE(E70,CHAR(13)&amp;CHAR(10)," "),CHAR(10)," "))</f>
        <v/>
      </c>
      <c r="N270" s="5370" t="str">
        <f>IF(OR(M271="",M272=""),"",IF(LEN(M271)&lt;=M272,M271,IFERROR(LEFT(M271,FIND("♦",SUBSTITUTE(LEFT(M271,M272+1)," ","♦",LEN(LEFT(M271,M272+1))-LEN(SUBSTITUTE(LEFT(M271,M272+1)," ",""))))),LEFT(M271,IFERROR(FIND(" ",M271)-1,LEN(M271))))))</f>
        <v/>
      </c>
      <c r="O270" s="5371" t="str">
        <f>IF(N270="","",TRIM(RIGHT(M271,LEN(M271)-LEN(N270))))</f>
        <v/>
      </c>
      <c r="P270" s="5372" t="str">
        <f>F70</f>
        <v xml:space="preserve"> ◄ ligne 70</v>
      </c>
      <c r="Q270" s="5077"/>
      <c r="R270" s="5077"/>
      <c r="T270" s="3">
        <v>1</v>
      </c>
    </row>
    <row r="271" spans="5:20" ht="15.75">
      <c r="E271" s="5077"/>
      <c r="G271" s="5363" t="str">
        <f t="shared" si="55"/>
        <v/>
      </c>
      <c r="H271" s="5367" t="str">
        <f t="shared" si="56"/>
        <v/>
      </c>
      <c r="I271" s="5368" t="str">
        <f>IF(LEN(TRIM(N271))&gt;0,MAX(I29:I270)+1,"")</f>
        <v/>
      </c>
      <c r="J271" s="199" t="str">
        <f>IFERROR(INDEX(N30:N299,MATCH(ROW()-ROW(N30)+1,I30:I299,0)),"")</f>
        <v/>
      </c>
      <c r="K271" s="494"/>
      <c r="M271" s="5370" t="str">
        <f>TRIM(SUBSTITUTE(SUBSTITUTE(SUBSTITUTE(SUBSTITUTE(IF(OR(LEFT(M270,1)="-",LEFT(M270,1)="="),MID(M270,2,9999),M270),CHAR(160)," "),","," "),";"," "),"."," "))</f>
        <v/>
      </c>
      <c r="N271" s="5371" t="str">
        <f>IF(OR(O270="",M272=""),"",IF(LEN(O270)&lt;=M272,O270,IFERROR(LEFT(O270,FIND("♦",SUBSTITUTE(LEFT(O270,M272+1)," ","♦",LEN(LEFT(O270,M272+1))-LEN(SUBSTITUTE(LEFT(O270,M272+1)," ",""))))),LEFT(O270,IFERROR(FIND(" ",O270)-1,LEN(O270))))))</f>
        <v/>
      </c>
      <c r="O271" s="5371" t="str">
        <f>IF(N271="","",TRIM(RIGHT(O270,LEN(O270)-LEN(N271))))</f>
        <v/>
      </c>
      <c r="P271" s="5389"/>
      <c r="Q271" s="5077"/>
      <c r="R271" s="5077"/>
      <c r="T271" s="3">
        <v>1</v>
      </c>
    </row>
    <row r="272" spans="5:20" ht="15.75">
      <c r="E272" s="5077"/>
      <c r="G272" s="5363" t="str">
        <f t="shared" si="55"/>
        <v/>
      </c>
      <c r="H272" s="5367" t="str">
        <f t="shared" si="56"/>
        <v/>
      </c>
      <c r="I272" s="5368" t="str">
        <f>IF(LEN(TRIM(N272))&gt;0,MAX(I29:I271)+1,"")</f>
        <v/>
      </c>
      <c r="J272" s="199" t="str">
        <f>IFERROR(INDEX(N30:N299,MATCH(ROW()-ROW(N30)+1,I30:I299,0)),"")</f>
        <v/>
      </c>
      <c r="K272" s="494"/>
      <c r="M272" s="5376">
        <f>J17</f>
        <v>100</v>
      </c>
      <c r="N272" s="5371" t="str">
        <f>IF(OR(O271="",M272=""),"",IF(LEN(O271)&lt;=M272,O271,IFERROR(LEFT(O271,FIND("♦",SUBSTITUTE(LEFT(O271,M272+1)," ","♦",LEN(LEFT(O271,M272+1))-LEN(SUBSTITUTE(LEFT(O271,M272+1)," ",""))))),LEFT(O271,IFERROR(FIND(" ",O271)-1,LEN(O271))))))</f>
        <v/>
      </c>
      <c r="O272" s="5371" t="str">
        <f t="shared" ref="O272:O275" si="65">IF(N272="","",TRIM(RIGHT(O271,LEN(O271)-LEN(N272))))</f>
        <v/>
      </c>
      <c r="P272" s="5389"/>
      <c r="Q272" s="5077"/>
      <c r="R272" s="5077"/>
      <c r="T272" s="3">
        <v>1</v>
      </c>
    </row>
    <row r="273" spans="5:20" ht="15.75">
      <c r="E273" s="5077"/>
      <c r="G273" s="5363" t="str">
        <f t="shared" si="55"/>
        <v/>
      </c>
      <c r="H273" s="5367" t="str">
        <f t="shared" si="56"/>
        <v/>
      </c>
      <c r="I273" s="5368" t="str">
        <f>IF(LEN(TRIM(N273))&gt;0,MAX(I29:I272)+1,"")</f>
        <v/>
      </c>
      <c r="J273" s="199" t="str">
        <f>IFERROR(INDEX(N30:N299,MATCH(ROW()-ROW(N30)+1,I30:I299,0)),"")</f>
        <v/>
      </c>
      <c r="K273" s="494"/>
      <c r="M273" s="5370"/>
      <c r="N273" s="5371" t="str">
        <f>IF(OR(O272="",M272=""),"",IF(LEN(O272)&lt;=M272,O272,IFERROR(LEFT(O272,FIND("♦",SUBSTITUTE(LEFT(O272,M272+1)," ","♦",LEN(LEFT(O272,M272+1))-LEN(SUBSTITUTE(LEFT(O272,M272+1)," ",""))))),LEFT(O272,IFERROR(FIND(" ",O272)-1,LEN(O272))))))</f>
        <v/>
      </c>
      <c r="O273" s="5371" t="str">
        <f t="shared" si="65"/>
        <v/>
      </c>
      <c r="P273" s="5389"/>
      <c r="Q273" s="5077"/>
      <c r="R273" s="5077"/>
      <c r="T273" s="3">
        <v>1</v>
      </c>
    </row>
    <row r="274" spans="5:20" ht="15.75">
      <c r="E274" s="5077"/>
      <c r="G274" s="5363" t="str">
        <f t="shared" si="55"/>
        <v/>
      </c>
      <c r="H274" s="5367" t="str">
        <f t="shared" si="56"/>
        <v/>
      </c>
      <c r="I274" s="5368" t="str">
        <f>IF(LEN(TRIM(N274))&gt;0,MAX(I29:I273)+1,"")</f>
        <v/>
      </c>
      <c r="J274" s="199" t="str">
        <f>IFERROR(INDEX(N30:N299,MATCH(ROW()-ROW(N30)+1,I30:I299,0)),"")</f>
        <v/>
      </c>
      <c r="K274" s="494"/>
      <c r="M274" s="5377"/>
      <c r="N274" s="5371" t="str">
        <f>IF(OR(O273="",M272=""),"",IF(LEN(O273)&lt;=M272,O273,IFERROR(LEFT(O273,FIND("♦",SUBSTITUTE(LEFT(O273,M272+1)," ","♦",LEN(LEFT(O273,M272+1))-LEN(SUBSTITUTE(LEFT(O273,M272+1)," ",""))))),LEFT(O273,IFERROR(FIND(" ",O273)-1,LEN(O273))))))</f>
        <v/>
      </c>
      <c r="O274" s="5371" t="str">
        <f t="shared" si="65"/>
        <v/>
      </c>
      <c r="P274" s="5389"/>
      <c r="Q274" s="5077"/>
      <c r="R274" s="5077"/>
      <c r="T274" s="3">
        <v>1</v>
      </c>
    </row>
    <row r="275" spans="5:20" ht="15.75">
      <c r="E275" s="5077"/>
      <c r="G275" s="5363" t="str">
        <f t="shared" si="55"/>
        <v/>
      </c>
      <c r="H275" s="5367" t="str">
        <f t="shared" si="56"/>
        <v/>
      </c>
      <c r="I275" s="5368" t="str">
        <f>IF(LEN(TRIM(N275))&gt;0,MAX(I29:I274)+1,"")</f>
        <v/>
      </c>
      <c r="J275" s="199" t="str">
        <f>IFERROR(INDEX(N30:N299,MATCH(ROW()-ROW(N30)+1,I30:I299,0)),"")</f>
        <v/>
      </c>
      <c r="K275" s="494"/>
      <c r="M275" s="5378"/>
      <c r="N275" s="5371" t="str">
        <f>IF(OR(O274="",M272=""),"",IF(LEN(O274)&lt;=M272,O274,IFERROR(LEFT(O274,FIND("♦",SUBSTITUTE(LEFT(O274,M272+1)," ","♦",LEN(LEFT(O274,M272+1))-LEN(SUBSTITUTE(LEFT(O274,M272+1)," ",""))))),LEFT(O274,IFERROR(FIND(" ",O274)-1,LEN(O274))))))</f>
        <v/>
      </c>
      <c r="O275" s="5371" t="str">
        <f t="shared" si="65"/>
        <v/>
      </c>
      <c r="P275" s="5389"/>
      <c r="Q275" s="5077"/>
      <c r="R275" s="5077"/>
      <c r="T275" s="3">
        <v>1</v>
      </c>
    </row>
    <row r="276" spans="5:20" ht="15.75">
      <c r="E276" s="5077"/>
      <c r="G276" s="5363" t="str">
        <f t="shared" si="55"/>
        <v/>
      </c>
      <c r="H276" s="5367" t="str">
        <f t="shared" si="56"/>
        <v/>
      </c>
      <c r="I276" s="5368" t="str">
        <f>IF(LEN(TRIM(N276))&gt;0,MAX(I29:I275)+1,"")</f>
        <v/>
      </c>
      <c r="J276" s="199" t="str">
        <f>IFERROR(INDEX(N30:N299,MATCH(ROW()-ROW(N30)+1,I30:I299,0)),"")</f>
        <v/>
      </c>
      <c r="K276" s="494"/>
      <c r="M276" s="5369" t="str">
        <f>(SUBSTITUTE(SUBSTITUTE(E71,CHAR(13)&amp;CHAR(10)," "),CHAR(10)," "))</f>
        <v/>
      </c>
      <c r="N276" s="5379" t="str">
        <f>IF(OR(M277="",M278=""),"",IF(LEN(M277)&lt;=M278,M277,IFERROR(LEFT(M277,FIND("♦",SUBSTITUTE(LEFT(M277,M278+1)," ","♦",LEN(LEFT(M277,M278+1))-LEN(SUBSTITUTE(LEFT(M277,M278+1)," ",""))))),LEFT(M277,IFERROR(FIND(" ",M277)-1,LEN(M277))))))</f>
        <v/>
      </c>
      <c r="O276" s="5380" t="str">
        <f>IF(N276="","",TRIM(RIGHT(M277,LEN(M277)-LEN(N276))))</f>
        <v/>
      </c>
      <c r="P276" s="5372" t="str">
        <f>F71</f>
        <v xml:space="preserve"> ◄ ligne 71</v>
      </c>
      <c r="Q276" s="5077"/>
      <c r="R276" s="5077"/>
      <c r="T276" s="3">
        <v>1</v>
      </c>
    </row>
    <row r="277" spans="5:20" ht="15.75">
      <c r="E277" s="5077"/>
      <c r="G277" s="5363" t="str">
        <f t="shared" si="55"/>
        <v/>
      </c>
      <c r="H277" s="5367" t="str">
        <f t="shared" si="56"/>
        <v/>
      </c>
      <c r="I277" s="5368" t="str">
        <f>IF(LEN(TRIM(N277))&gt;0,MAX(I29:I276)+1,"")</f>
        <v/>
      </c>
      <c r="J277" s="199" t="str">
        <f>IFERROR(INDEX(N30:N299,MATCH(ROW()-ROW(N30)+1,I30:I299,0)),"")</f>
        <v/>
      </c>
      <c r="K277" s="494"/>
      <c r="M277" s="5379" t="str">
        <f>TRIM(SUBSTITUTE(SUBSTITUTE(SUBSTITUTE(SUBSTITUTE(IF(OR(LEFT(M276,1)="-",LEFT(M276,1)="="),MID(M276,2,9999),M276),CHAR(160)," "),","," "),";"," "),"."," "))</f>
        <v/>
      </c>
      <c r="N277" s="5380" t="str">
        <f>IF(OR(O276="",M278=""),"",IF(LEN(O276)&lt;=M278,O276,IFERROR(LEFT(O276,FIND("♦",SUBSTITUTE(LEFT(O276,M278+1)," ","♦",LEN(LEFT(O276,M278+1))-LEN(SUBSTITUTE(LEFT(O276,M278+1)," ",""))))),LEFT(O276,IFERROR(FIND(" ",O276)-1,LEN(O276))))))</f>
        <v/>
      </c>
      <c r="O277" s="5380" t="str">
        <f>IF(N277="","",TRIM(RIGHT(O276,LEN(O276)-LEN(N277))))</f>
        <v/>
      </c>
      <c r="P277" s="5390"/>
      <c r="Q277" s="5077"/>
      <c r="R277" s="5077"/>
      <c r="T277" s="3">
        <v>1</v>
      </c>
    </row>
    <row r="278" spans="5:20" ht="15.75">
      <c r="E278" s="5077"/>
      <c r="G278" s="5363" t="str">
        <f t="shared" si="55"/>
        <v/>
      </c>
      <c r="H278" s="5367" t="str">
        <f t="shared" si="56"/>
        <v/>
      </c>
      <c r="I278" s="5368" t="str">
        <f>IF(LEN(TRIM(N278))&gt;0,MAX(I29:I277)+1,"")</f>
        <v/>
      </c>
      <c r="J278" s="199" t="str">
        <f>IFERROR(INDEX(N30:N299,MATCH(ROW()-ROW(N30)+1,I30:I299,0)),"")</f>
        <v/>
      </c>
      <c r="K278" s="494"/>
      <c r="M278" s="5376">
        <f>J17</f>
        <v>100</v>
      </c>
      <c r="N278" s="5380" t="str">
        <f>IF(OR(O277="",M278=""),"",IF(LEN(O277)&lt;=M278,O277,IFERROR(LEFT(O277,FIND("♦",SUBSTITUTE(LEFT(O277,M278+1)," ","♦",LEN(LEFT(O277,M278+1))-LEN(SUBSTITUTE(LEFT(O277,M278+1)," ",""))))),LEFT(O277,IFERROR(FIND(" ",O277)-1,LEN(O277))))))</f>
        <v/>
      </c>
      <c r="O278" s="5380" t="str">
        <f t="shared" ref="O278:O281" si="66">IF(N278="","",TRIM(RIGHT(O277,LEN(O277)-LEN(N278))))</f>
        <v/>
      </c>
      <c r="P278" s="5390"/>
      <c r="Q278" s="5077"/>
      <c r="R278" s="5077"/>
      <c r="T278" s="3">
        <v>1</v>
      </c>
    </row>
    <row r="279" spans="5:20" ht="15.75">
      <c r="E279" s="5077"/>
      <c r="G279" s="5363" t="str">
        <f t="shared" si="55"/>
        <v/>
      </c>
      <c r="H279" s="5367" t="str">
        <f t="shared" si="56"/>
        <v/>
      </c>
      <c r="I279" s="5368" t="str">
        <f>IF(LEN(TRIM(N279))&gt;0,MAX(I29:I278)+1,"")</f>
        <v/>
      </c>
      <c r="J279" s="199" t="str">
        <f>IFERROR(INDEX(N30:N299,MATCH(ROW()-ROW(N30)+1,I30:I299,0)),"")</f>
        <v/>
      </c>
      <c r="K279" s="494"/>
      <c r="M279" s="5379"/>
      <c r="N279" s="5380" t="str">
        <f>IF(OR(O278="",M278=""),"",IF(LEN(O278)&lt;=M278,O278,IFERROR(LEFT(O278,FIND("♦",SUBSTITUTE(LEFT(O278,M278+1)," ","♦",LEN(LEFT(O278,M278+1))-LEN(SUBSTITUTE(LEFT(O278,M278+1)," ",""))))),LEFT(O278,IFERROR(FIND(" ",O278)-1,LEN(O278))))))</f>
        <v/>
      </c>
      <c r="O279" s="5380" t="str">
        <f t="shared" si="66"/>
        <v/>
      </c>
      <c r="P279" s="5390"/>
      <c r="Q279" s="5077"/>
      <c r="R279" s="5077"/>
      <c r="T279" s="3">
        <v>1</v>
      </c>
    </row>
    <row r="280" spans="5:20" ht="15.75">
      <c r="E280" s="5077"/>
      <c r="G280" s="5363" t="str">
        <f t="shared" si="55"/>
        <v/>
      </c>
      <c r="H280" s="5367" t="str">
        <f t="shared" si="56"/>
        <v/>
      </c>
      <c r="I280" s="5368" t="str">
        <f>IF(LEN(TRIM(N280))&gt;0,MAX(I29:I279)+1,"")</f>
        <v/>
      </c>
      <c r="J280" s="199" t="str">
        <f>IFERROR(INDEX(N30:N299,MATCH(ROW()-ROW(N30)+1,I30:I299,0)),"")</f>
        <v/>
      </c>
      <c r="K280" s="494"/>
      <c r="M280" s="5382"/>
      <c r="N280" s="5380" t="str">
        <f>IF(OR(O279="",M278=""),"",IF(LEN(O279)&lt;=M278,O279,IFERROR(LEFT(O279,FIND("♦",SUBSTITUTE(LEFT(O279,M278+1)," ","♦",LEN(LEFT(O279,M278+1))-LEN(SUBSTITUTE(LEFT(O279,M278+1)," ",""))))),LEFT(O279,IFERROR(FIND(" ",O279)-1,LEN(O279))))))</f>
        <v/>
      </c>
      <c r="O280" s="5380" t="str">
        <f t="shared" si="66"/>
        <v/>
      </c>
      <c r="P280" s="5390"/>
      <c r="Q280" s="5077"/>
      <c r="R280" s="5077"/>
      <c r="T280" s="3">
        <v>1</v>
      </c>
    </row>
    <row r="281" spans="5:20" ht="15.75">
      <c r="E281" s="5077"/>
      <c r="G281" s="5363" t="str">
        <f t="shared" si="55"/>
        <v/>
      </c>
      <c r="H281" s="5367" t="str">
        <f t="shared" si="56"/>
        <v/>
      </c>
      <c r="I281" s="5368" t="str">
        <f>IF(LEN(TRIM(N281))&gt;0,MAX(I29:I280)+1,"")</f>
        <v/>
      </c>
      <c r="J281" s="199" t="str">
        <f>IFERROR(INDEX(N30:N299,MATCH(ROW()-ROW(N30)+1,I30:I299,0)),"")</f>
        <v/>
      </c>
      <c r="K281" s="494"/>
      <c r="M281" s="5383"/>
      <c r="N281" s="5380" t="str">
        <f>IF(OR(O280="",M278=""),"",IF(LEN(O280)&lt;=M278,O280,IFERROR(LEFT(O280,FIND("♦",SUBSTITUTE(LEFT(O280,M278+1)," ","♦",LEN(LEFT(O280,M278+1))-LEN(SUBSTITUTE(LEFT(O280,M278+1)," ",""))))),LEFT(O280,IFERROR(FIND(" ",O280)-1,LEN(O280))))))</f>
        <v/>
      </c>
      <c r="O281" s="5380" t="str">
        <f t="shared" si="66"/>
        <v/>
      </c>
      <c r="P281" s="5390"/>
      <c r="Q281" s="5077"/>
      <c r="R281" s="5077"/>
      <c r="T281" s="3">
        <v>1</v>
      </c>
    </row>
    <row r="282" spans="5:20" ht="15.75">
      <c r="E282" s="5077"/>
      <c r="G282" s="5363" t="str">
        <f t="shared" si="55"/>
        <v/>
      </c>
      <c r="H282" s="5367" t="str">
        <f t="shared" si="56"/>
        <v/>
      </c>
      <c r="I282" s="5368" t="str">
        <f>IF(LEN(TRIM(N282))&gt;0,MAX(I29:I281)+1,"")</f>
        <v/>
      </c>
      <c r="J282" s="199" t="str">
        <f>IFERROR(INDEX(N30:N299,MATCH(ROW()-ROW(N30)+1,I30:I299,0)),"")</f>
        <v/>
      </c>
      <c r="K282" s="494"/>
      <c r="M282" s="5369" t="str">
        <f>(SUBSTITUTE(SUBSTITUTE(E72,CHAR(13)&amp;CHAR(10)," "),CHAR(10)," "))</f>
        <v/>
      </c>
      <c r="N282" s="5370" t="str">
        <f>IF(OR(M283="",M284=""),"",IF(LEN(M283)&lt;=M284,M283,IFERROR(LEFT(M283,FIND("♦",SUBSTITUTE(LEFT(M283,M284+1)," ","♦",LEN(LEFT(M283,M284+1))-LEN(SUBSTITUTE(LEFT(M283,M284+1)," ",""))))),LEFT(M283,IFERROR(FIND(" ",M283)-1,LEN(M283))))))</f>
        <v/>
      </c>
      <c r="O282" s="5371" t="str">
        <f>IF(N282="","",TRIM(RIGHT(M283,LEN(M283)-LEN(N282))))</f>
        <v/>
      </c>
      <c r="P282" s="5372" t="str">
        <f>F72</f>
        <v xml:space="preserve"> ◄ ligne 72</v>
      </c>
      <c r="Q282" s="5077"/>
      <c r="R282" s="5077"/>
      <c r="T282" s="3">
        <v>1</v>
      </c>
    </row>
    <row r="283" spans="5:20" ht="15.75">
      <c r="E283" s="5077"/>
      <c r="G283" s="5363" t="str">
        <f t="shared" si="55"/>
        <v/>
      </c>
      <c r="H283" s="5367" t="str">
        <f t="shared" si="56"/>
        <v/>
      </c>
      <c r="I283" s="5368" t="str">
        <f>IF(LEN(TRIM(N283))&gt;0,MAX(I29:I282)+1,"")</f>
        <v/>
      </c>
      <c r="J283" s="199" t="str">
        <f>IFERROR(INDEX(N30:N299,MATCH(ROW()-ROW(N30)+1,I30:I299,0)),"")</f>
        <v/>
      </c>
      <c r="K283" s="494"/>
      <c r="M283" s="5370" t="str">
        <f>TRIM(SUBSTITUTE(SUBSTITUTE(SUBSTITUTE(SUBSTITUTE(IF(OR(LEFT(M282,1)="-",LEFT(M282,1)="="),MID(M282,2,9999),M282),CHAR(160)," "),","," "),";"," "),"."," "))</f>
        <v/>
      </c>
      <c r="N283" s="5371" t="str">
        <f>IF(OR(O282="",M284=""),"",IF(LEN(O282)&lt;=M284,O282,IFERROR(LEFT(O282,FIND("♦",SUBSTITUTE(LEFT(O282,M284+1)," ","♦",LEN(LEFT(O282,M284+1))-LEN(SUBSTITUTE(LEFT(O282,M284+1)," ",""))))),LEFT(O282,IFERROR(FIND(" ",O282)-1,LEN(O282))))))</f>
        <v/>
      </c>
      <c r="O283" s="5371" t="str">
        <f>IF(N283="","",TRIM(RIGHT(O282,LEN(O282)-LEN(N283))))</f>
        <v/>
      </c>
      <c r="P283" s="5389"/>
      <c r="Q283" s="5077"/>
      <c r="R283" s="5077"/>
      <c r="T283" s="3">
        <v>1</v>
      </c>
    </row>
    <row r="284" spans="5:20" ht="15.75">
      <c r="E284" s="5077"/>
      <c r="G284" s="5363" t="str">
        <f t="shared" si="55"/>
        <v/>
      </c>
      <c r="H284" s="5367" t="str">
        <f t="shared" si="56"/>
        <v/>
      </c>
      <c r="I284" s="5368" t="str">
        <f>IF(LEN(TRIM(N284))&gt;0,MAX(I29:I283)+1,"")</f>
        <v/>
      </c>
      <c r="J284" s="199" t="str">
        <f>IFERROR(INDEX(N30:N299,MATCH(ROW()-ROW(N30)+1,I30:I299,0)),"")</f>
        <v/>
      </c>
      <c r="K284" s="494"/>
      <c r="M284" s="5376">
        <f>J17</f>
        <v>100</v>
      </c>
      <c r="N284" s="5371" t="str">
        <f>IF(OR(O283="",M284=""),"",IF(LEN(O283)&lt;=M284,O283,IFERROR(LEFT(O283,FIND("♦",SUBSTITUTE(LEFT(O283,M284+1)," ","♦",LEN(LEFT(O283,M284+1))-LEN(SUBSTITUTE(LEFT(O283,M284+1)," ",""))))),LEFT(O283,IFERROR(FIND(" ",O283)-1,LEN(O283))))))</f>
        <v/>
      </c>
      <c r="O284" s="5371" t="str">
        <f t="shared" ref="O284:O287" si="67">IF(N284="","",TRIM(RIGHT(O283,LEN(O283)-LEN(N284))))</f>
        <v/>
      </c>
      <c r="P284" s="5389"/>
      <c r="Q284" s="5077"/>
      <c r="R284" s="5077"/>
      <c r="T284" s="3">
        <v>1</v>
      </c>
    </row>
    <row r="285" spans="5:20" ht="15.75">
      <c r="E285" s="5077"/>
      <c r="G285" s="5363" t="str">
        <f t="shared" si="55"/>
        <v/>
      </c>
      <c r="H285" s="5367" t="str">
        <f t="shared" si="56"/>
        <v/>
      </c>
      <c r="I285" s="5368" t="str">
        <f>IF(LEN(TRIM(N285))&gt;0,MAX(I29:I284)+1,"")</f>
        <v/>
      </c>
      <c r="J285" s="199" t="str">
        <f>IFERROR(INDEX(N30:N299,MATCH(ROW()-ROW(N30)+1,I30:I299,0)),"")</f>
        <v/>
      </c>
      <c r="K285" s="494"/>
      <c r="M285" s="5370"/>
      <c r="N285" s="5371" t="str">
        <f>IF(OR(O284="",M284=""),"",IF(LEN(O284)&lt;=M284,O284,IFERROR(LEFT(O284,FIND("♦",SUBSTITUTE(LEFT(O284,M284+1)," ","♦",LEN(LEFT(O284,M284+1))-LEN(SUBSTITUTE(LEFT(O284,M284+1)," ",""))))),LEFT(O284,IFERROR(FIND(" ",O284)-1,LEN(O284))))))</f>
        <v/>
      </c>
      <c r="O285" s="5371" t="str">
        <f t="shared" si="67"/>
        <v/>
      </c>
      <c r="P285" s="5389"/>
      <c r="Q285" s="5077"/>
      <c r="R285" s="5077"/>
      <c r="T285" s="3">
        <v>1</v>
      </c>
    </row>
    <row r="286" spans="5:20" ht="15.75">
      <c r="E286" s="5077"/>
      <c r="G286" s="5363" t="str">
        <f t="shared" si="55"/>
        <v/>
      </c>
      <c r="H286" s="5367" t="str">
        <f t="shared" si="56"/>
        <v/>
      </c>
      <c r="I286" s="5368" t="str">
        <f>IF(LEN(TRIM(N286))&gt;0,MAX(I29:I285)+1,"")</f>
        <v/>
      </c>
      <c r="J286" s="199" t="str">
        <f>IFERROR(INDEX(N30:N299,MATCH(ROW()-ROW(N30)+1,I30:I299,0)),"")</f>
        <v/>
      </c>
      <c r="K286" s="494"/>
      <c r="M286" s="5377"/>
      <c r="N286" s="5371" t="str">
        <f>IF(OR(O285="",M284=""),"",IF(LEN(O285)&lt;=M284,O285,IFERROR(LEFT(O285,FIND("♦",SUBSTITUTE(LEFT(O285,M284+1)," ","♦",LEN(LEFT(O285,M284+1))-LEN(SUBSTITUTE(LEFT(O285,M284+1)," ",""))))),LEFT(O285,IFERROR(FIND(" ",O285)-1,LEN(O285))))))</f>
        <v/>
      </c>
      <c r="O286" s="5371" t="str">
        <f t="shared" si="67"/>
        <v/>
      </c>
      <c r="P286" s="5389"/>
      <c r="Q286" s="5077"/>
      <c r="R286" s="5077"/>
      <c r="T286" s="3">
        <v>1</v>
      </c>
    </row>
    <row r="287" spans="5:20" ht="15.75">
      <c r="E287" s="5077"/>
      <c r="G287" s="5363" t="str">
        <f t="shared" si="55"/>
        <v/>
      </c>
      <c r="H287" s="5367" t="str">
        <f t="shared" si="56"/>
        <v/>
      </c>
      <c r="I287" s="5368" t="str">
        <f>IF(LEN(TRIM(N287))&gt;0,MAX(I29:I286)+1,"")</f>
        <v/>
      </c>
      <c r="J287" s="199" t="str">
        <f>IFERROR(INDEX(N30:N299,MATCH(ROW()-ROW(N30)+1,I30:I299,0)),"")</f>
        <v/>
      </c>
      <c r="K287" s="494"/>
      <c r="M287" s="5378"/>
      <c r="N287" s="5371" t="str">
        <f>IF(OR(O286="",M284=""),"",IF(LEN(O286)&lt;=M284,O286,IFERROR(LEFT(O286,FIND("♦",SUBSTITUTE(LEFT(O286,M284+1)," ","♦",LEN(LEFT(O286,M284+1))-LEN(SUBSTITUTE(LEFT(O286,M284+1)," ",""))))),LEFT(O286,IFERROR(FIND(" ",O286)-1,LEN(O286))))))</f>
        <v/>
      </c>
      <c r="O287" s="5371" t="str">
        <f t="shared" si="67"/>
        <v/>
      </c>
      <c r="P287" s="5389"/>
      <c r="Q287" s="5077"/>
      <c r="R287" s="5077"/>
      <c r="T287" s="3">
        <v>1</v>
      </c>
    </row>
    <row r="288" spans="5:20" ht="15.75">
      <c r="E288" s="5077"/>
      <c r="G288" s="5363" t="str">
        <f t="shared" ref="G288:G299" si="68">IF(J288="","",(LEN(TRIM(SUBSTITUTE(J288,CHAR(160)," ")))-LEN(SUBSTITUTE(TRIM(SUBSTITUTE(J288,CHAR(160)," "))," ",""))+1)&amp;" mot"&amp;IF((LEN(TRIM(SUBSTITUTE(J288,CHAR(160)," ")))-LEN(SUBSTITUTE(TRIM(SUBSTITUTE(J288,CHAR(160)," "))," ",""))+1)&gt;1,"s",""))</f>
        <v/>
      </c>
      <c r="H288" s="5367" t="str">
        <f t="shared" ref="H288:H299" si="69">IF(J288="","",LEN(TRIM(SUBSTITUTE(J288,CHAR(160),"")))&amp;" car. ►")</f>
        <v/>
      </c>
      <c r="I288" s="5368" t="str">
        <f>IF(LEN(TRIM(N288))&gt;0,MAX(I29:I287)+1,"")</f>
        <v/>
      </c>
      <c r="J288" s="199" t="str">
        <f>IFERROR(INDEX(N30:N299,MATCH(ROW()-ROW(N30)+1,I30:I299,0)),"")</f>
        <v/>
      </c>
      <c r="K288" s="494"/>
      <c r="M288" s="5369" t="str">
        <f>(SUBSTITUTE(SUBSTITUTE(E73,CHAR(13)&amp;CHAR(10)," "),CHAR(10)," "))</f>
        <v/>
      </c>
      <c r="N288" s="5379" t="str">
        <f>IF(OR(M289="",M290=""),"",IF(LEN(M289)&lt;=M290,M289,IFERROR(LEFT(M289,FIND("♦",SUBSTITUTE(LEFT(M289,M290+1)," ","♦",LEN(LEFT(M289,M290+1))-LEN(SUBSTITUTE(LEFT(M289,M290+1)," ",""))))),LEFT(M289,IFERROR(FIND(" ",M289)-1,LEN(M289))))))</f>
        <v/>
      </c>
      <c r="O288" s="5380" t="str">
        <f>IF(N288="","",TRIM(RIGHT(M289,LEN(M289)-LEN(N288))))</f>
        <v/>
      </c>
      <c r="P288" s="5372" t="str">
        <f>F73</f>
        <v xml:space="preserve"> ◄ ligne 73</v>
      </c>
      <c r="Q288" s="5077"/>
      <c r="R288" s="5077"/>
      <c r="T288" s="3">
        <v>1</v>
      </c>
    </row>
    <row r="289" spans="1:22" ht="15.75">
      <c r="E289" s="5077"/>
      <c r="G289" s="5363" t="str">
        <f t="shared" si="68"/>
        <v/>
      </c>
      <c r="H289" s="5367" t="str">
        <f t="shared" si="69"/>
        <v/>
      </c>
      <c r="I289" s="5368" t="str">
        <f>IF(LEN(TRIM(N289))&gt;0,MAX(I29:I288)+1,"")</f>
        <v/>
      </c>
      <c r="J289" s="199" t="str">
        <f>IFERROR(INDEX(N30:N299,MATCH(ROW()-ROW(N30)+1,I30:I299,0)),"")</f>
        <v/>
      </c>
      <c r="K289" s="494"/>
      <c r="M289" s="5379" t="str">
        <f>TRIM(SUBSTITUTE(SUBSTITUTE(SUBSTITUTE(SUBSTITUTE(IF(OR(LEFT(M288,1)="-",LEFT(M288,1)="="),MID(M288,2,9999),M288),CHAR(160)," "),","," "),";"," "),"."," "))</f>
        <v/>
      </c>
      <c r="N289" s="5380" t="str">
        <f>IF(OR(O288="",M290=""),"",IF(LEN(O288)&lt;=M290,O288,IFERROR(LEFT(O288,FIND("♦",SUBSTITUTE(LEFT(O288,M290+1)," ","♦",LEN(LEFT(O288,M290+1))-LEN(SUBSTITUTE(LEFT(O288,M290+1)," ",""))))),LEFT(O288,IFERROR(FIND(" ",O288)-1,LEN(O288))))))</f>
        <v/>
      </c>
      <c r="O289" s="5380" t="str">
        <f>IF(N289="","",TRIM(RIGHT(O288,LEN(O288)-LEN(N289))))</f>
        <v/>
      </c>
      <c r="P289" s="5390"/>
      <c r="Q289" s="5077"/>
      <c r="R289" s="5077"/>
      <c r="T289" s="3">
        <v>1</v>
      </c>
    </row>
    <row r="290" spans="1:22" ht="15.75">
      <c r="E290" s="5077"/>
      <c r="G290" s="5363" t="str">
        <f t="shared" si="68"/>
        <v/>
      </c>
      <c r="H290" s="5367" t="str">
        <f t="shared" si="69"/>
        <v/>
      </c>
      <c r="I290" s="5368" t="str">
        <f>IF(LEN(TRIM(N290))&gt;0,MAX(I29:I289)+1,"")</f>
        <v/>
      </c>
      <c r="J290" s="199" t="str">
        <f>IFERROR(INDEX(N30:N299,MATCH(ROW()-ROW(N30)+1,I30:I299,0)),"")</f>
        <v/>
      </c>
      <c r="K290" s="494"/>
      <c r="M290" s="5376">
        <f>J17</f>
        <v>100</v>
      </c>
      <c r="N290" s="5380" t="str">
        <f>IF(OR(O289="",M290=""),"",IF(LEN(O289)&lt;=M290,O289,IFERROR(LEFT(O289,FIND("♦",SUBSTITUTE(LEFT(O289,M290+1)," ","♦",LEN(LEFT(O289,M290+1))-LEN(SUBSTITUTE(LEFT(O289,M290+1)," ",""))))),LEFT(O289,IFERROR(FIND(" ",O289)-1,LEN(O289))))))</f>
        <v/>
      </c>
      <c r="O290" s="5380" t="str">
        <f t="shared" ref="O290:O293" si="70">IF(N290="","",TRIM(RIGHT(O289,LEN(O289)-LEN(N290))))</f>
        <v/>
      </c>
      <c r="P290" s="5390"/>
      <c r="Q290" s="5077"/>
      <c r="R290" s="5077"/>
      <c r="T290" s="3">
        <v>1</v>
      </c>
    </row>
    <row r="291" spans="1:22" ht="15.75">
      <c r="E291" s="5077"/>
      <c r="G291" s="5363" t="str">
        <f t="shared" si="68"/>
        <v/>
      </c>
      <c r="H291" s="5367" t="str">
        <f t="shared" si="69"/>
        <v/>
      </c>
      <c r="I291" s="5368" t="str">
        <f>IF(LEN(TRIM(N291))&gt;0,MAX(I29:I290)+1,"")</f>
        <v/>
      </c>
      <c r="J291" s="199" t="str">
        <f>IFERROR(INDEX(N30:N299,MATCH(ROW()-ROW(N30)+1,I30:I299,0)),"")</f>
        <v/>
      </c>
      <c r="K291" s="494"/>
      <c r="M291" s="5379"/>
      <c r="N291" s="5380" t="str">
        <f>IF(OR(O290="",M290=""),"",IF(LEN(O290)&lt;=M290,O290,IFERROR(LEFT(O290,FIND("♦",SUBSTITUTE(LEFT(O290,M290+1)," ","♦",LEN(LEFT(O290,M290+1))-LEN(SUBSTITUTE(LEFT(O290,M290+1)," ",""))))),LEFT(O290,IFERROR(FIND(" ",O290)-1,LEN(O290))))))</f>
        <v/>
      </c>
      <c r="O291" s="5380" t="str">
        <f t="shared" si="70"/>
        <v/>
      </c>
      <c r="P291" s="5390"/>
      <c r="Q291" s="5077"/>
      <c r="R291" s="5077"/>
      <c r="T291" s="3">
        <v>1</v>
      </c>
    </row>
    <row r="292" spans="1:22" ht="15.75">
      <c r="E292" s="5077"/>
      <c r="G292" s="5363" t="str">
        <f t="shared" si="68"/>
        <v/>
      </c>
      <c r="H292" s="5367" t="str">
        <f t="shared" si="69"/>
        <v/>
      </c>
      <c r="I292" s="5368" t="str">
        <f>IF(LEN(TRIM(N292))&gt;0,MAX(I29:I291)+1,"")</f>
        <v/>
      </c>
      <c r="J292" s="199" t="str">
        <f>IFERROR(INDEX(N30:N299,MATCH(ROW()-ROW(N30)+1,I30:I299,0)),"")</f>
        <v/>
      </c>
      <c r="K292" s="494"/>
      <c r="M292" s="5382"/>
      <c r="N292" s="5380" t="str">
        <f>IF(OR(O291="",M290=""),"",IF(LEN(O291)&lt;=M290,O291,IFERROR(LEFT(O291,FIND("♦",SUBSTITUTE(LEFT(O291,M290+1)," ","♦",LEN(LEFT(O291,M290+1))-LEN(SUBSTITUTE(LEFT(O291,M290+1)," ",""))))),LEFT(O291,IFERROR(FIND(" ",O291)-1,LEN(O291))))))</f>
        <v/>
      </c>
      <c r="O292" s="5380" t="str">
        <f t="shared" si="70"/>
        <v/>
      </c>
      <c r="P292" s="5390"/>
      <c r="Q292" s="5077"/>
      <c r="R292" s="5077"/>
      <c r="T292" s="3">
        <v>1</v>
      </c>
    </row>
    <row r="293" spans="1:22" ht="15.75">
      <c r="E293" s="5077"/>
      <c r="G293" s="5363" t="str">
        <f t="shared" si="68"/>
        <v/>
      </c>
      <c r="H293" s="5367" t="str">
        <f t="shared" si="69"/>
        <v/>
      </c>
      <c r="I293" s="5368" t="str">
        <f>IF(LEN(TRIM(N293))&gt;0,MAX(I29:I292)+1,"")</f>
        <v/>
      </c>
      <c r="J293" s="199" t="str">
        <f>IFERROR(INDEX(N30:N299,MATCH(ROW()-ROW(N30)+1,I30:I299,0)),"")</f>
        <v/>
      </c>
      <c r="K293" s="494"/>
      <c r="M293" s="5383"/>
      <c r="N293" s="5380" t="str">
        <f>IF(OR(O292="",M290=""),"",IF(LEN(O292)&lt;=M290,O292,IFERROR(LEFT(O292,FIND("♦",SUBSTITUTE(LEFT(O292,M290+1)," ","♦",LEN(LEFT(O292,M290+1))-LEN(SUBSTITUTE(LEFT(O292,M290+1)," ",""))))),LEFT(O292,IFERROR(FIND(" ",O292)-1,LEN(O292))))))</f>
        <v/>
      </c>
      <c r="O293" s="5380" t="str">
        <f t="shared" si="70"/>
        <v/>
      </c>
      <c r="P293" s="5390"/>
      <c r="Q293" s="5077"/>
      <c r="R293" s="5077"/>
      <c r="T293" s="3">
        <v>1</v>
      </c>
    </row>
    <row r="294" spans="1:22" ht="15.75">
      <c r="E294" s="5077"/>
      <c r="G294" s="5363" t="str">
        <f t="shared" si="68"/>
        <v/>
      </c>
      <c r="H294" s="5367" t="str">
        <f t="shared" si="69"/>
        <v/>
      </c>
      <c r="I294" s="5368" t="str">
        <f>IF(LEN(TRIM(N294))&gt;0,MAX(I29:I293)+1,"")</f>
        <v/>
      </c>
      <c r="J294" s="199" t="str">
        <f>IFERROR(INDEX(N30:N299,MATCH(ROW()-ROW(N30)+1,I30:I299,0)),"")</f>
        <v/>
      </c>
      <c r="K294" s="494"/>
      <c r="M294" s="5369" t="str">
        <f>(SUBSTITUTE(SUBSTITUTE(E74,CHAR(13)&amp;CHAR(10)," "),CHAR(10)," "))</f>
        <v/>
      </c>
      <c r="N294" s="5370" t="str">
        <f>IF(OR(M295="",M296=""),"",IF(LEN(M295)&lt;=M296,M295,IFERROR(LEFT(M295,FIND("♦",SUBSTITUTE(LEFT(M295,M296+1)," ","♦",LEN(LEFT(M295,M296+1))-LEN(SUBSTITUTE(LEFT(M295,M296+1)," ",""))))),LEFT(M295,IFERROR(FIND(" ",M295)-1,LEN(M295))))))</f>
        <v/>
      </c>
      <c r="O294" s="5371" t="str">
        <f>IF(N294="","",TRIM(RIGHT(M295,LEN(M295)-LEN(N294))))</f>
        <v/>
      </c>
      <c r="P294" s="5372" t="str">
        <f>F74</f>
        <v xml:space="preserve"> ◄ ligne 74</v>
      </c>
      <c r="Q294" s="5077"/>
      <c r="R294" s="5077"/>
      <c r="T294" s="3">
        <v>1</v>
      </c>
    </row>
    <row r="295" spans="1:22" ht="15.75">
      <c r="E295" s="5077"/>
      <c r="G295" s="5363" t="str">
        <f t="shared" si="68"/>
        <v/>
      </c>
      <c r="H295" s="5367" t="str">
        <f t="shared" si="69"/>
        <v/>
      </c>
      <c r="I295" s="5368" t="str">
        <f>IF(LEN(TRIM(N295))&gt;0,MAX(I29:I294)+1,"")</f>
        <v/>
      </c>
      <c r="J295" s="199" t="str">
        <f>IFERROR(INDEX(N30:N299,MATCH(ROW()-ROW(N30)+1,I30:I299,0)),"")</f>
        <v/>
      </c>
      <c r="K295" s="494"/>
      <c r="M295" s="5370" t="str">
        <f>TRIM(SUBSTITUTE(SUBSTITUTE(SUBSTITUTE(SUBSTITUTE(IF(OR(LEFT(M294,1)="-",LEFT(M294,1)="="),MID(M294,2,9999),M294),CHAR(160)," "),","," "),";"," "),"."," "))</f>
        <v/>
      </c>
      <c r="N295" s="5371" t="str">
        <f>IF(OR(O294="",M296=""),"",IF(LEN(O294)&lt;=M296,O294,IFERROR(LEFT(O294,FIND("♦",SUBSTITUTE(LEFT(O294,M296+1)," ","♦",LEN(LEFT(O294,M296+1))-LEN(SUBSTITUTE(LEFT(O294,M296+1)," ",""))))),LEFT(O294,IFERROR(FIND(" ",O294)-1,LEN(O294))))))</f>
        <v/>
      </c>
      <c r="O295" s="5371" t="str">
        <f>IF(N295="","",TRIM(RIGHT(O294,LEN(O294)-LEN(N295))))</f>
        <v/>
      </c>
      <c r="P295" s="5389"/>
      <c r="Q295" s="5077"/>
      <c r="R295" s="5077"/>
      <c r="T295" s="3">
        <v>1</v>
      </c>
    </row>
    <row r="296" spans="1:22" ht="15.75">
      <c r="E296" s="5077"/>
      <c r="G296" s="5363" t="str">
        <f t="shared" si="68"/>
        <v/>
      </c>
      <c r="H296" s="5367" t="str">
        <f t="shared" si="69"/>
        <v/>
      </c>
      <c r="I296" s="5368" t="str">
        <f>IF(LEN(TRIM(N296))&gt;0,MAX(I29:I295)+1,"")</f>
        <v/>
      </c>
      <c r="J296" s="199" t="str">
        <f>IFERROR(INDEX(N30:N299,MATCH(ROW()-ROW(N30)+1,I30:I299,0)),"")</f>
        <v/>
      </c>
      <c r="K296" s="494"/>
      <c r="M296" s="5376">
        <f>J17</f>
        <v>100</v>
      </c>
      <c r="N296" s="5371" t="str">
        <f>IF(OR(O295="",M296=""),"",IF(LEN(O295)&lt;=M296,O295,IFERROR(LEFT(O295,FIND("♦",SUBSTITUTE(LEFT(O295,M296+1)," ","♦",LEN(LEFT(O295,M296+1))-LEN(SUBSTITUTE(LEFT(O295,M296+1)," ",""))))),LEFT(O295,IFERROR(FIND(" ",O295)-1,LEN(O295))))))</f>
        <v/>
      </c>
      <c r="O296" s="5371" t="str">
        <f t="shared" ref="O296:O299" si="71">IF(N296="","",TRIM(RIGHT(O295,LEN(O295)-LEN(N296))))</f>
        <v/>
      </c>
      <c r="P296" s="5389"/>
      <c r="Q296" s="5077"/>
      <c r="R296" s="5077"/>
      <c r="T296" s="3">
        <v>1</v>
      </c>
    </row>
    <row r="297" spans="1:22" ht="15.75">
      <c r="E297" s="5077"/>
      <c r="G297" s="5363" t="str">
        <f t="shared" si="68"/>
        <v/>
      </c>
      <c r="H297" s="5367" t="str">
        <f t="shared" si="69"/>
        <v/>
      </c>
      <c r="I297" s="5368" t="str">
        <f>IF(LEN(TRIM(N297))&gt;0,MAX(I29:I296)+1,"")</f>
        <v/>
      </c>
      <c r="J297" s="199" t="str">
        <f>IFERROR(INDEX(N30:N299,MATCH(ROW()-ROW(N30)+1,I30:I299,0)),"")</f>
        <v/>
      </c>
      <c r="K297" s="494"/>
      <c r="M297" s="5370"/>
      <c r="N297" s="5371" t="str">
        <f>IF(OR(O296="",M296=""),"",IF(LEN(O296)&lt;=M296,O296,IFERROR(LEFT(O296,FIND("♦",SUBSTITUTE(LEFT(O296,M296+1)," ","♦",LEN(LEFT(O296,M296+1))-LEN(SUBSTITUTE(LEFT(O296,M296+1)," ",""))))),LEFT(O296,IFERROR(FIND(" ",O296)-1,LEN(O296))))))</f>
        <v/>
      </c>
      <c r="O297" s="5371" t="str">
        <f t="shared" si="71"/>
        <v/>
      </c>
      <c r="P297" s="5389"/>
      <c r="Q297" s="5077"/>
      <c r="R297" s="5077"/>
      <c r="T297" s="3">
        <v>1</v>
      </c>
    </row>
    <row r="298" spans="1:22" ht="15.75">
      <c r="E298" s="5077"/>
      <c r="G298" s="5363" t="str">
        <f t="shared" si="68"/>
        <v/>
      </c>
      <c r="H298" s="5367" t="str">
        <f t="shared" si="69"/>
        <v/>
      </c>
      <c r="I298" s="5368" t="str">
        <f>IF(LEN(TRIM(N298))&gt;0,MAX(I29:I297)+1,"")</f>
        <v/>
      </c>
      <c r="J298" s="199" t="str">
        <f>IFERROR(INDEX(N30:N299,MATCH(ROW()-ROW(N30)+1,I30:I299,0)),"")</f>
        <v/>
      </c>
      <c r="K298" s="494"/>
      <c r="M298" s="5377"/>
      <c r="N298" s="5371" t="str">
        <f>IF(OR(O297="",M296=""),"",IF(LEN(O297)&lt;=M296,O297,IFERROR(LEFT(O297,FIND("♦",SUBSTITUTE(LEFT(O297,M296+1)," ","♦",LEN(LEFT(O297,M296+1))-LEN(SUBSTITUTE(LEFT(O297,M296+1)," ",""))))),LEFT(O297,IFERROR(FIND(" ",O297)-1,LEN(O297))))))</f>
        <v/>
      </c>
      <c r="O298" s="5371" t="str">
        <f t="shared" si="71"/>
        <v/>
      </c>
      <c r="P298" s="5389"/>
      <c r="Q298" s="5077"/>
      <c r="R298" s="5077"/>
      <c r="T298" s="3">
        <v>1</v>
      </c>
    </row>
    <row r="299" spans="1:22" ht="15.75">
      <c r="E299" s="5077"/>
      <c r="G299" s="5363" t="str">
        <f t="shared" si="68"/>
        <v/>
      </c>
      <c r="H299" s="5367" t="str">
        <f t="shared" si="69"/>
        <v/>
      </c>
      <c r="I299" s="5368" t="str">
        <f>IF(LEN(TRIM(N299))&gt;0,MAX(I29:I298)+1,"")</f>
        <v/>
      </c>
      <c r="J299" s="199" t="str">
        <f>IFERROR(INDEX(N30:N299,MATCH(ROW()-ROW(N30)+1,I30:I299,0)),"")</f>
        <v/>
      </c>
      <c r="K299" s="494"/>
      <c r="M299" s="5378"/>
      <c r="N299" s="5371" t="str">
        <f>IF(OR(O298="",M296=""),"",IF(LEN(O298)&lt;=M296,O298,IFERROR(LEFT(O298,FIND("♦",SUBSTITUTE(LEFT(O298,M296+1)," ","♦",LEN(LEFT(O298,M296+1))-LEN(SUBSTITUTE(LEFT(O298,M296+1)," ",""))))),LEFT(O298,IFERROR(FIND(" ",O298)-1,LEN(O298))))))</f>
        <v/>
      </c>
      <c r="O299" s="5371" t="str">
        <f t="shared" si="71"/>
        <v/>
      </c>
      <c r="P299" s="5389"/>
      <c r="Q299" s="5077"/>
      <c r="R299" s="5077"/>
      <c r="T299" s="1408" t="s">
        <v>823</v>
      </c>
    </row>
    <row r="300" spans="1:22">
      <c r="A300" s="3">
        <v>1</v>
      </c>
      <c r="B300" s="3">
        <v>1</v>
      </c>
      <c r="C300" s="3">
        <v>1</v>
      </c>
      <c r="D300" s="3">
        <v>1</v>
      </c>
      <c r="E300" s="3">
        <v>1</v>
      </c>
      <c r="F300" s="3">
        <v>1</v>
      </c>
      <c r="G300" s="3">
        <v>1</v>
      </c>
      <c r="H300" s="3">
        <v>1</v>
      </c>
      <c r="I300" s="3">
        <v>1</v>
      </c>
      <c r="J300" s="3">
        <v>1</v>
      </c>
      <c r="K300" s="3">
        <v>1</v>
      </c>
      <c r="L300" s="3">
        <v>1</v>
      </c>
      <c r="M300" s="3">
        <v>1</v>
      </c>
      <c r="N300" s="3">
        <v>1</v>
      </c>
      <c r="O300" s="3">
        <v>1</v>
      </c>
      <c r="P300" s="3">
        <v>1</v>
      </c>
      <c r="Q300" s="3">
        <v>1</v>
      </c>
      <c r="R300" s="3">
        <v>1</v>
      </c>
      <c r="S300" s="3">
        <v>1</v>
      </c>
      <c r="T300" s="1" t="str">
        <f>ADDRESS(ROW(),COLUMN(),4)</f>
        <v>T300</v>
      </c>
      <c r="U300" s="710"/>
      <c r="V300" s="711" t="str">
        <f>ADDRESS(ROW(),COLUMN(),4)</f>
        <v>V300</v>
      </c>
    </row>
  </sheetData>
  <mergeCells count="16">
    <mergeCell ref="C28:D28"/>
    <mergeCell ref="M28:P29"/>
    <mergeCell ref="E3:H5"/>
    <mergeCell ref="J5:J6"/>
    <mergeCell ref="J8:J9"/>
    <mergeCell ref="L13:Q15"/>
    <mergeCell ref="J14:J15"/>
    <mergeCell ref="L16:Q18"/>
    <mergeCell ref="E17:E18"/>
    <mergeCell ref="J17:J18"/>
    <mergeCell ref="Q28:R29"/>
    <mergeCell ref="E20:E21"/>
    <mergeCell ref="J20:J21"/>
    <mergeCell ref="L20:N23"/>
    <mergeCell ref="J24:J25"/>
    <mergeCell ref="J27:J28"/>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5F8EE4-3CB6-488F-859D-D7FB1CBDEE33}">
  <dimension ref="A1:GJ541"/>
  <sheetViews>
    <sheetView showZeros="0" zoomScaleNormal="100" workbookViewId="0">
      <selection activeCell="Q19" sqref="Q19"/>
    </sheetView>
  </sheetViews>
  <sheetFormatPr baseColWidth="10" defaultRowHeight="15"/>
  <cols>
    <col min="1" max="1" width="5.5703125" customWidth="1"/>
    <col min="2" max="2" width="3.7109375" style="227" customWidth="1"/>
    <col min="3" max="3" width="9.7109375" customWidth="1"/>
    <col min="4" max="5" width="12.7109375" style="227" customWidth="1"/>
    <col min="6" max="6" width="4" style="227" customWidth="1"/>
    <col min="7" max="7" width="9.7109375" style="227" customWidth="1"/>
    <col min="8" max="8" width="13" style="227" customWidth="1"/>
    <col min="9" max="9" width="13.5703125" style="227" customWidth="1"/>
    <col min="10" max="10" width="40.7109375" style="227" customWidth="1"/>
    <col min="11" max="11" width="3.140625" style="227" customWidth="1"/>
    <col min="12" max="15" width="3.7109375" style="227" customWidth="1"/>
    <col min="16" max="16" width="5.28515625" style="227" customWidth="1"/>
    <col min="17" max="18" width="12.7109375" style="227" customWidth="1"/>
    <col min="19" max="19" width="4" style="227" customWidth="1"/>
    <col min="20" max="20" width="9.7109375" style="227" customWidth="1"/>
    <col min="21" max="21" width="12.85546875" style="227" customWidth="1"/>
    <col min="22" max="22" width="13.42578125" style="227" customWidth="1"/>
    <col min="23" max="23" width="40.7109375" style="227" customWidth="1"/>
    <col min="24" max="24" width="13.7109375" style="227" customWidth="1"/>
    <col min="25" max="26" width="15.7109375" style="227" customWidth="1"/>
    <col min="28" max="31" width="3.7109375" style="227" customWidth="1"/>
    <col min="32" max="32" width="5.28515625" style="227" customWidth="1"/>
    <col min="33" max="34" width="12.7109375" style="227" customWidth="1"/>
    <col min="35" max="35" width="4" style="227" customWidth="1"/>
    <col min="36" max="36" width="9.7109375" style="227" customWidth="1"/>
    <col min="37" max="37" width="12.85546875" style="227" customWidth="1"/>
    <col min="38" max="38" width="13.42578125" style="227" customWidth="1"/>
    <col min="39" max="39" width="40.7109375" style="227" customWidth="1"/>
    <col min="40" max="40" width="13.7109375" style="227" customWidth="1"/>
    <col min="41" max="42" width="15.7109375" style="227" customWidth="1"/>
    <col min="44" max="47" width="3.7109375" style="227" customWidth="1"/>
    <col min="48" max="48" width="5.28515625" style="227" customWidth="1"/>
    <col min="49" max="50" width="12.7109375" style="227" customWidth="1"/>
    <col min="51" max="51" width="4" style="227" customWidth="1"/>
    <col min="52" max="52" width="9.7109375" style="227" customWidth="1"/>
    <col min="53" max="53" width="12.85546875" style="227" customWidth="1"/>
    <col min="54" max="54" width="13.42578125" style="227" customWidth="1"/>
    <col min="55" max="55" width="40.7109375" style="227" customWidth="1"/>
    <col min="56" max="56" width="13.7109375" style="227" customWidth="1"/>
    <col min="57" max="58" width="15.7109375" style="227" customWidth="1"/>
    <col min="60" max="63" width="3.7109375" style="227" customWidth="1"/>
    <col min="64" max="64" width="5.28515625" style="227" customWidth="1"/>
    <col min="65" max="66" width="12.7109375" style="227" customWidth="1"/>
    <col min="67" max="67" width="4" style="227" customWidth="1"/>
    <col min="68" max="68" width="9.7109375" style="227" customWidth="1"/>
    <col min="69" max="69" width="12.85546875" style="227" customWidth="1"/>
    <col min="70" max="70" width="13.42578125" style="227" customWidth="1"/>
    <col min="71" max="71" width="40.7109375" style="227" customWidth="1"/>
    <col min="72" max="72" width="13.7109375" style="227" customWidth="1"/>
    <col min="73" max="74" width="15.7109375" style="227" customWidth="1"/>
    <col min="76" max="79" width="3.7109375" style="227" customWidth="1"/>
    <col min="80" max="80" width="5.28515625" style="227" customWidth="1"/>
    <col min="81" max="82" width="12.7109375" style="227" customWidth="1"/>
    <col min="83" max="83" width="4" style="227" customWidth="1"/>
    <col min="84" max="84" width="9.7109375" style="227" customWidth="1"/>
    <col min="85" max="85" width="12.85546875" style="227" customWidth="1"/>
    <col min="86" max="86" width="13.42578125" style="227" customWidth="1"/>
    <col min="87" max="87" width="40.7109375" style="227" customWidth="1"/>
    <col min="88" max="88" width="13.7109375" style="227" customWidth="1"/>
    <col min="89" max="90" width="15.7109375" style="227" customWidth="1"/>
    <col min="92" max="95" width="3.7109375" style="227" customWidth="1"/>
    <col min="96" max="96" width="5.28515625" style="227" customWidth="1"/>
    <col min="97" max="98" width="12.7109375" style="227" customWidth="1"/>
    <col min="99" max="99" width="4" style="227" customWidth="1"/>
    <col min="100" max="100" width="9.7109375" style="227" customWidth="1"/>
    <col min="101" max="101" width="12.85546875" style="227" customWidth="1"/>
    <col min="102" max="102" width="13.42578125" style="227" customWidth="1"/>
    <col min="103" max="103" width="40.7109375" style="227" customWidth="1"/>
    <col min="104" max="104" width="13.7109375" style="227" customWidth="1"/>
    <col min="105" max="107" width="15.7109375" style="227" customWidth="1"/>
    <col min="108" max="108" width="36.7109375" customWidth="1"/>
    <col min="109" max="109" width="6.7109375" customWidth="1"/>
    <col min="112" max="112" width="86" customWidth="1"/>
    <col min="164" max="164" width="39.140625" customWidth="1"/>
    <col min="165" max="165" width="33.7109375" customWidth="1"/>
  </cols>
  <sheetData>
    <row r="1" spans="1:112" ht="16.5" thickTop="1">
      <c r="A1" s="1" t="str">
        <f>ADDRESS(ROW(),COLUMN(),4)</f>
        <v>A1</v>
      </c>
      <c r="B1" s="2" t="str">
        <f t="shared" ref="B1:J1" si="0">SUBSTITUTE(ADDRESS(1,COLUMN(),4),"1","")</f>
        <v>B</v>
      </c>
      <c r="C1" s="2" t="str">
        <f t="shared" si="0"/>
        <v>C</v>
      </c>
      <c r="D1" s="2" t="str">
        <f t="shared" si="0"/>
        <v>D</v>
      </c>
      <c r="E1" s="2" t="str">
        <f t="shared" si="0"/>
        <v>E</v>
      </c>
      <c r="F1" s="2" t="str">
        <f t="shared" si="0"/>
        <v>F</v>
      </c>
      <c r="G1" s="2" t="str">
        <f t="shared" si="0"/>
        <v>G</v>
      </c>
      <c r="H1" s="2" t="str">
        <f t="shared" si="0"/>
        <v>H</v>
      </c>
      <c r="I1" s="2" t="str">
        <f t="shared" si="0"/>
        <v>I</v>
      </c>
      <c r="J1" s="2" t="str">
        <f t="shared" si="0"/>
        <v>J</v>
      </c>
      <c r="K1" s="442" t="s">
        <v>22</v>
      </c>
      <c r="L1" s="2" t="str">
        <f t="shared" ref="L1:BV1" si="1">SUBSTITUTE(ADDRESS(1,COLUMN(),4),"1","")</f>
        <v>L</v>
      </c>
      <c r="M1" s="2" t="str">
        <f t="shared" si="1"/>
        <v>M</v>
      </c>
      <c r="N1" s="2" t="str">
        <f t="shared" si="1"/>
        <v>N</v>
      </c>
      <c r="O1" s="2" t="str">
        <f t="shared" si="1"/>
        <v>O</v>
      </c>
      <c r="P1" s="2" t="str">
        <f t="shared" si="1"/>
        <v>P</v>
      </c>
      <c r="Q1" s="2" t="str">
        <f t="shared" si="1"/>
        <v>Q</v>
      </c>
      <c r="R1" s="2" t="str">
        <f t="shared" si="1"/>
        <v>R</v>
      </c>
      <c r="S1" s="2" t="str">
        <f t="shared" si="1"/>
        <v>S</v>
      </c>
      <c r="T1" s="2" t="str">
        <f t="shared" si="1"/>
        <v>T</v>
      </c>
      <c r="U1" s="2" t="str">
        <f t="shared" si="1"/>
        <v>U</v>
      </c>
      <c r="V1" s="2" t="str">
        <f t="shared" si="1"/>
        <v>V</v>
      </c>
      <c r="W1" s="2" t="str">
        <f t="shared" si="1"/>
        <v>W</v>
      </c>
      <c r="X1" s="2" t="str">
        <f t="shared" si="1"/>
        <v>X</v>
      </c>
      <c r="Y1" s="2" t="str">
        <f t="shared" si="1"/>
        <v>Y</v>
      </c>
      <c r="Z1" s="2" t="str">
        <f t="shared" si="1"/>
        <v>Z</v>
      </c>
      <c r="AB1" s="2" t="str">
        <f t="shared" si="1"/>
        <v>AB</v>
      </c>
      <c r="AC1" s="2" t="str">
        <f t="shared" si="1"/>
        <v>AC</v>
      </c>
      <c r="AD1" s="2" t="str">
        <f t="shared" si="1"/>
        <v>AD</v>
      </c>
      <c r="AE1" s="2" t="str">
        <f t="shared" si="1"/>
        <v>AE</v>
      </c>
      <c r="AF1" s="2" t="str">
        <f t="shared" si="1"/>
        <v>AF</v>
      </c>
      <c r="AG1" s="2" t="str">
        <f t="shared" si="1"/>
        <v>AG</v>
      </c>
      <c r="AH1" s="2" t="str">
        <f t="shared" si="1"/>
        <v>AH</v>
      </c>
      <c r="AI1" s="2" t="str">
        <f t="shared" si="1"/>
        <v>AI</v>
      </c>
      <c r="AJ1" s="2" t="str">
        <f t="shared" si="1"/>
        <v>AJ</v>
      </c>
      <c r="AK1" s="2" t="str">
        <f t="shared" si="1"/>
        <v>AK</v>
      </c>
      <c r="AL1" s="2" t="str">
        <f t="shared" si="1"/>
        <v>AL</v>
      </c>
      <c r="AM1" s="2" t="str">
        <f t="shared" si="1"/>
        <v>AM</v>
      </c>
      <c r="AN1" s="2" t="str">
        <f t="shared" si="1"/>
        <v>AN</v>
      </c>
      <c r="AO1" s="2" t="str">
        <f t="shared" si="1"/>
        <v>AO</v>
      </c>
      <c r="AP1" s="2" t="str">
        <f t="shared" si="1"/>
        <v>AP</v>
      </c>
      <c r="AR1" s="2" t="str">
        <f t="shared" si="1"/>
        <v>AR</v>
      </c>
      <c r="AS1" s="2" t="str">
        <f t="shared" si="1"/>
        <v>AS</v>
      </c>
      <c r="AT1" s="2" t="str">
        <f t="shared" si="1"/>
        <v>AT</v>
      </c>
      <c r="AU1" s="2" t="str">
        <f t="shared" si="1"/>
        <v>AU</v>
      </c>
      <c r="AV1" s="2" t="str">
        <f t="shared" si="1"/>
        <v>AV</v>
      </c>
      <c r="AW1" s="2" t="str">
        <f t="shared" si="1"/>
        <v>AW</v>
      </c>
      <c r="AX1" s="2" t="str">
        <f t="shared" si="1"/>
        <v>AX</v>
      </c>
      <c r="AY1" s="2" t="str">
        <f t="shared" si="1"/>
        <v>AY</v>
      </c>
      <c r="AZ1" s="2" t="str">
        <f t="shared" si="1"/>
        <v>AZ</v>
      </c>
      <c r="BA1" s="2" t="str">
        <f t="shared" si="1"/>
        <v>BA</v>
      </c>
      <c r="BB1" s="2" t="str">
        <f t="shared" si="1"/>
        <v>BB</v>
      </c>
      <c r="BC1" s="2" t="str">
        <f t="shared" si="1"/>
        <v>BC</v>
      </c>
      <c r="BD1" s="2" t="str">
        <f t="shared" si="1"/>
        <v>BD</v>
      </c>
      <c r="BE1" s="2" t="str">
        <f t="shared" si="1"/>
        <v>BE</v>
      </c>
      <c r="BF1" s="2" t="str">
        <f t="shared" si="1"/>
        <v>BF</v>
      </c>
      <c r="BG1" s="1127"/>
      <c r="BH1" s="5102" t="str">
        <f t="shared" si="1"/>
        <v>BH</v>
      </c>
      <c r="BI1" s="5102" t="str">
        <f t="shared" si="1"/>
        <v>BI</v>
      </c>
      <c r="BJ1" s="5102" t="str">
        <f t="shared" si="1"/>
        <v>BJ</v>
      </c>
      <c r="BK1" s="5102" t="str">
        <f t="shared" si="1"/>
        <v>BK</v>
      </c>
      <c r="BL1" s="5102" t="str">
        <f t="shared" si="1"/>
        <v>BL</v>
      </c>
      <c r="BM1" s="5102" t="str">
        <f t="shared" si="1"/>
        <v>BM</v>
      </c>
      <c r="BN1" s="5102" t="str">
        <f t="shared" si="1"/>
        <v>BN</v>
      </c>
      <c r="BO1" s="5102" t="str">
        <f t="shared" si="1"/>
        <v>BO</v>
      </c>
      <c r="BP1" s="5102" t="str">
        <f t="shared" si="1"/>
        <v>BP</v>
      </c>
      <c r="BQ1" s="5102" t="str">
        <f t="shared" si="1"/>
        <v>BQ</v>
      </c>
      <c r="BR1" s="5102" t="str">
        <f t="shared" si="1"/>
        <v>BR</v>
      </c>
      <c r="BS1" s="5102" t="str">
        <f t="shared" si="1"/>
        <v>BS</v>
      </c>
      <c r="BT1" s="5102" t="str">
        <f t="shared" si="1"/>
        <v>BT</v>
      </c>
      <c r="BU1" s="5102" t="str">
        <f t="shared" si="1"/>
        <v>BU</v>
      </c>
      <c r="BV1" s="5102" t="str">
        <f t="shared" si="1"/>
        <v>BV</v>
      </c>
      <c r="BW1" s="1127"/>
      <c r="BX1" s="5102" t="str">
        <f t="shared" ref="BX1:DB1" si="2">SUBSTITUTE(ADDRESS(1,COLUMN(),4),"1","")</f>
        <v>BX</v>
      </c>
      <c r="BY1" s="5102" t="str">
        <f t="shared" si="2"/>
        <v>BY</v>
      </c>
      <c r="BZ1" s="5102" t="str">
        <f t="shared" si="2"/>
        <v>BZ</v>
      </c>
      <c r="CA1" s="5102" t="str">
        <f t="shared" si="2"/>
        <v>CA</v>
      </c>
      <c r="CB1" s="5102" t="str">
        <f t="shared" si="2"/>
        <v>CB</v>
      </c>
      <c r="CC1" s="5102" t="str">
        <f t="shared" si="2"/>
        <v>CC</v>
      </c>
      <c r="CD1" s="5102" t="str">
        <f t="shared" si="2"/>
        <v>CD</v>
      </c>
      <c r="CE1" s="5102" t="str">
        <f t="shared" si="2"/>
        <v>CE</v>
      </c>
      <c r="CF1" s="5102" t="str">
        <f t="shared" si="2"/>
        <v>CF</v>
      </c>
      <c r="CG1" s="5102" t="str">
        <f t="shared" si="2"/>
        <v>CG</v>
      </c>
      <c r="CH1" s="5102" t="str">
        <f t="shared" si="2"/>
        <v>CH</v>
      </c>
      <c r="CI1" s="5102" t="str">
        <f t="shared" si="2"/>
        <v>CI</v>
      </c>
      <c r="CJ1" s="5102" t="str">
        <f t="shared" si="2"/>
        <v>CJ</v>
      </c>
      <c r="CK1" s="5102" t="str">
        <f t="shared" si="2"/>
        <v>CK</v>
      </c>
      <c r="CL1" s="5102" t="str">
        <f t="shared" si="2"/>
        <v>CL</v>
      </c>
      <c r="CM1" s="1127"/>
      <c r="CN1" s="5102" t="str">
        <f t="shared" si="2"/>
        <v>CN</v>
      </c>
      <c r="CO1" s="5102" t="str">
        <f t="shared" si="2"/>
        <v>CO</v>
      </c>
      <c r="CP1" s="5102" t="str">
        <f t="shared" si="2"/>
        <v>CP</v>
      </c>
      <c r="CQ1" s="5102" t="str">
        <f t="shared" si="2"/>
        <v>CQ</v>
      </c>
      <c r="CR1" s="5102" t="str">
        <f t="shared" si="2"/>
        <v>CR</v>
      </c>
      <c r="CS1" s="5102" t="str">
        <f t="shared" si="2"/>
        <v>CS</v>
      </c>
      <c r="CT1" s="5102" t="str">
        <f t="shared" si="2"/>
        <v>CT</v>
      </c>
      <c r="CU1" s="5102" t="str">
        <f t="shared" si="2"/>
        <v>CU</v>
      </c>
      <c r="CV1" s="5102" t="str">
        <f t="shared" si="2"/>
        <v>CV</v>
      </c>
      <c r="CW1" s="5102" t="str">
        <f t="shared" si="2"/>
        <v>CW</v>
      </c>
      <c r="CX1" s="5102" t="str">
        <f t="shared" si="2"/>
        <v>CX</v>
      </c>
      <c r="CY1" s="5102" t="str">
        <f t="shared" si="2"/>
        <v>CY</v>
      </c>
      <c r="CZ1" s="5102" t="str">
        <f t="shared" si="2"/>
        <v>CZ</v>
      </c>
      <c r="DA1" s="5102" t="str">
        <f t="shared" si="2"/>
        <v>DA</v>
      </c>
      <c r="DB1" s="5102" t="str">
        <f t="shared" si="2"/>
        <v>DB</v>
      </c>
      <c r="DC1" s="5109"/>
      <c r="DD1" s="2" t="str">
        <f t="shared" ref="DD1" si="3">SUBSTITUTE(ADDRESS(1,COLUMN(),4),"1","")</f>
        <v>DD</v>
      </c>
      <c r="DF1" s="3">
        <v>1</v>
      </c>
      <c r="DG1" s="4" t="str">
        <f>SUBSTITUTE(ADDRESS(1,COLUMN(),4),"1","")</f>
        <v>DG</v>
      </c>
      <c r="DH1" s="5" t="str">
        <f>SUBSTITUTE(ADDRESS(1,COLUMN(),4),"1","")</f>
        <v>DH</v>
      </c>
    </row>
    <row r="2" spans="1:112" ht="16.5" thickBot="1">
      <c r="B2" s="6">
        <f t="shared" ref="B2:J2" ca="1" si="4">CELL("largeur",B2)</f>
        <v>3</v>
      </c>
      <c r="C2" s="6">
        <f t="shared" ca="1" si="4"/>
        <v>9</v>
      </c>
      <c r="D2" s="6">
        <f t="shared" ca="1" si="4"/>
        <v>12</v>
      </c>
      <c r="E2" s="6">
        <f t="shared" ca="1" si="4"/>
        <v>12</v>
      </c>
      <c r="F2" s="6">
        <f t="shared" ca="1" si="4"/>
        <v>3</v>
      </c>
      <c r="G2" s="6">
        <f t="shared" ca="1" si="4"/>
        <v>9</v>
      </c>
      <c r="H2" s="6">
        <f t="shared" ca="1" si="4"/>
        <v>12</v>
      </c>
      <c r="I2" s="6">
        <f t="shared" ca="1" si="4"/>
        <v>13</v>
      </c>
      <c r="J2" s="6">
        <f t="shared" ca="1" si="4"/>
        <v>40</v>
      </c>
      <c r="K2" s="442" t="s">
        <v>22</v>
      </c>
      <c r="L2" s="922">
        <f t="shared" ref="L2:BV2" ca="1" si="5">CELL("largeur",L2)</f>
        <v>3</v>
      </c>
      <c r="M2" s="922">
        <f t="shared" ca="1" si="5"/>
        <v>3</v>
      </c>
      <c r="N2" s="922">
        <f t="shared" ca="1" si="5"/>
        <v>3</v>
      </c>
      <c r="O2" s="922">
        <f t="shared" ca="1" si="5"/>
        <v>3</v>
      </c>
      <c r="P2" s="922">
        <f t="shared" ca="1" si="5"/>
        <v>5</v>
      </c>
      <c r="Q2" s="922">
        <f t="shared" ca="1" si="5"/>
        <v>12</v>
      </c>
      <c r="R2" s="922">
        <f t="shared" ca="1" si="5"/>
        <v>12</v>
      </c>
      <c r="S2" s="922">
        <f t="shared" ca="1" si="5"/>
        <v>3</v>
      </c>
      <c r="T2" s="922">
        <f t="shared" ca="1" si="5"/>
        <v>9</v>
      </c>
      <c r="U2" s="922">
        <f t="shared" ca="1" si="5"/>
        <v>12</v>
      </c>
      <c r="V2" s="922">
        <f t="shared" ca="1" si="5"/>
        <v>13</v>
      </c>
      <c r="W2" s="922">
        <f t="shared" ca="1" si="5"/>
        <v>40</v>
      </c>
      <c r="X2" s="922">
        <f t="shared" ca="1" si="5"/>
        <v>13</v>
      </c>
      <c r="Y2" s="922">
        <f t="shared" ca="1" si="5"/>
        <v>15</v>
      </c>
      <c r="Z2" s="922">
        <f t="shared" ca="1" si="5"/>
        <v>15</v>
      </c>
      <c r="AB2" s="922">
        <f t="shared" ca="1" si="5"/>
        <v>3</v>
      </c>
      <c r="AC2" s="922">
        <f t="shared" ca="1" si="5"/>
        <v>3</v>
      </c>
      <c r="AD2" s="922">
        <f t="shared" ca="1" si="5"/>
        <v>3</v>
      </c>
      <c r="AE2" s="922">
        <f t="shared" ca="1" si="5"/>
        <v>3</v>
      </c>
      <c r="AF2" s="922">
        <f t="shared" ca="1" si="5"/>
        <v>5</v>
      </c>
      <c r="AG2" s="922">
        <f t="shared" ca="1" si="5"/>
        <v>12</v>
      </c>
      <c r="AH2" s="922">
        <f t="shared" ca="1" si="5"/>
        <v>12</v>
      </c>
      <c r="AI2" s="922">
        <f t="shared" ca="1" si="5"/>
        <v>3</v>
      </c>
      <c r="AJ2" s="922">
        <f t="shared" ca="1" si="5"/>
        <v>9</v>
      </c>
      <c r="AK2" s="922">
        <f t="shared" ca="1" si="5"/>
        <v>12</v>
      </c>
      <c r="AL2" s="922">
        <f t="shared" ca="1" si="5"/>
        <v>13</v>
      </c>
      <c r="AM2" s="922">
        <f t="shared" ca="1" si="5"/>
        <v>40</v>
      </c>
      <c r="AN2" s="922">
        <f t="shared" ca="1" si="5"/>
        <v>13</v>
      </c>
      <c r="AO2" s="922">
        <f t="shared" ca="1" si="5"/>
        <v>15</v>
      </c>
      <c r="AP2" s="922">
        <f t="shared" ca="1" si="5"/>
        <v>15</v>
      </c>
      <c r="AR2" s="922">
        <f t="shared" ca="1" si="5"/>
        <v>3</v>
      </c>
      <c r="AS2" s="922">
        <f t="shared" ca="1" si="5"/>
        <v>3</v>
      </c>
      <c r="AT2" s="922">
        <f t="shared" ca="1" si="5"/>
        <v>3</v>
      </c>
      <c r="AU2" s="922">
        <f t="shared" ca="1" si="5"/>
        <v>3</v>
      </c>
      <c r="AV2" s="922">
        <f t="shared" ca="1" si="5"/>
        <v>5</v>
      </c>
      <c r="AW2" s="922">
        <f t="shared" ca="1" si="5"/>
        <v>12</v>
      </c>
      <c r="AX2" s="922">
        <f t="shared" ca="1" si="5"/>
        <v>12</v>
      </c>
      <c r="AY2" s="922">
        <f t="shared" ca="1" si="5"/>
        <v>3</v>
      </c>
      <c r="AZ2" s="922">
        <f t="shared" ca="1" si="5"/>
        <v>9</v>
      </c>
      <c r="BA2" s="922">
        <f t="shared" ca="1" si="5"/>
        <v>12</v>
      </c>
      <c r="BB2" s="922">
        <f t="shared" ca="1" si="5"/>
        <v>13</v>
      </c>
      <c r="BC2" s="922">
        <f t="shared" ca="1" si="5"/>
        <v>40</v>
      </c>
      <c r="BD2" s="922">
        <f t="shared" ca="1" si="5"/>
        <v>13</v>
      </c>
      <c r="BE2" s="922">
        <f t="shared" ca="1" si="5"/>
        <v>15</v>
      </c>
      <c r="BF2" s="922">
        <f t="shared" ca="1" si="5"/>
        <v>15</v>
      </c>
      <c r="BG2" s="1127" t="s">
        <v>1978</v>
      </c>
      <c r="BH2" s="5103">
        <f t="shared" ca="1" si="5"/>
        <v>3</v>
      </c>
      <c r="BI2" s="5103">
        <f t="shared" ca="1" si="5"/>
        <v>3</v>
      </c>
      <c r="BJ2" s="5103">
        <f t="shared" ca="1" si="5"/>
        <v>3</v>
      </c>
      <c r="BK2" s="5103">
        <f t="shared" ca="1" si="5"/>
        <v>3</v>
      </c>
      <c r="BL2" s="5103">
        <f t="shared" ca="1" si="5"/>
        <v>5</v>
      </c>
      <c r="BM2" s="5103">
        <f t="shared" ca="1" si="5"/>
        <v>12</v>
      </c>
      <c r="BN2" s="5103">
        <f t="shared" ca="1" si="5"/>
        <v>12</v>
      </c>
      <c r="BO2" s="5103">
        <f t="shared" ca="1" si="5"/>
        <v>3</v>
      </c>
      <c r="BP2" s="5103">
        <f t="shared" ca="1" si="5"/>
        <v>9</v>
      </c>
      <c r="BQ2" s="5103">
        <f t="shared" ca="1" si="5"/>
        <v>12</v>
      </c>
      <c r="BR2" s="5103">
        <f t="shared" ca="1" si="5"/>
        <v>13</v>
      </c>
      <c r="BS2" s="5103">
        <f t="shared" ca="1" si="5"/>
        <v>40</v>
      </c>
      <c r="BT2" s="5103">
        <f t="shared" ca="1" si="5"/>
        <v>13</v>
      </c>
      <c r="BU2" s="5103">
        <f t="shared" ca="1" si="5"/>
        <v>15</v>
      </c>
      <c r="BV2" s="5103">
        <f t="shared" ca="1" si="5"/>
        <v>15</v>
      </c>
      <c r="BW2" s="1127" t="s">
        <v>1978</v>
      </c>
      <c r="BX2" s="5103">
        <f t="shared" ref="BX2:DB2" ca="1" si="6">CELL("largeur",BX2)</f>
        <v>3</v>
      </c>
      <c r="BY2" s="5103">
        <f t="shared" ca="1" si="6"/>
        <v>3</v>
      </c>
      <c r="BZ2" s="5103">
        <f t="shared" ca="1" si="6"/>
        <v>3</v>
      </c>
      <c r="CA2" s="5103">
        <f t="shared" ca="1" si="6"/>
        <v>3</v>
      </c>
      <c r="CB2" s="5103">
        <f t="shared" ca="1" si="6"/>
        <v>5</v>
      </c>
      <c r="CC2" s="5103">
        <f t="shared" ca="1" si="6"/>
        <v>12</v>
      </c>
      <c r="CD2" s="5103">
        <f t="shared" ca="1" si="6"/>
        <v>12</v>
      </c>
      <c r="CE2" s="5103">
        <f t="shared" ca="1" si="6"/>
        <v>3</v>
      </c>
      <c r="CF2" s="5103">
        <f t="shared" ca="1" si="6"/>
        <v>9</v>
      </c>
      <c r="CG2" s="5103">
        <f t="shared" ca="1" si="6"/>
        <v>12</v>
      </c>
      <c r="CH2" s="5103">
        <f t="shared" ca="1" si="6"/>
        <v>13</v>
      </c>
      <c r="CI2" s="5103">
        <f t="shared" ca="1" si="6"/>
        <v>40</v>
      </c>
      <c r="CJ2" s="5103">
        <f t="shared" ca="1" si="6"/>
        <v>13</v>
      </c>
      <c r="CK2" s="5103">
        <f t="shared" ca="1" si="6"/>
        <v>15</v>
      </c>
      <c r="CL2" s="5103">
        <f t="shared" ca="1" si="6"/>
        <v>15</v>
      </c>
      <c r="CM2" s="1127" t="s">
        <v>1978</v>
      </c>
      <c r="CN2" s="5103">
        <f t="shared" ca="1" si="6"/>
        <v>3</v>
      </c>
      <c r="CO2" s="5103">
        <f t="shared" ca="1" si="6"/>
        <v>3</v>
      </c>
      <c r="CP2" s="5103">
        <f t="shared" ca="1" si="6"/>
        <v>3</v>
      </c>
      <c r="CQ2" s="5103">
        <f t="shared" ca="1" si="6"/>
        <v>3</v>
      </c>
      <c r="CR2" s="5103">
        <f t="shared" ca="1" si="6"/>
        <v>5</v>
      </c>
      <c r="CS2" s="5103">
        <f t="shared" ca="1" si="6"/>
        <v>12</v>
      </c>
      <c r="CT2" s="5103">
        <f t="shared" ca="1" si="6"/>
        <v>12</v>
      </c>
      <c r="CU2" s="5103">
        <f t="shared" ca="1" si="6"/>
        <v>3</v>
      </c>
      <c r="CV2" s="5103">
        <f t="shared" ca="1" si="6"/>
        <v>9</v>
      </c>
      <c r="CW2" s="5103">
        <f t="shared" ca="1" si="6"/>
        <v>12</v>
      </c>
      <c r="CX2" s="5103">
        <f t="shared" ca="1" si="6"/>
        <v>13</v>
      </c>
      <c r="CY2" s="5103">
        <f t="shared" ca="1" si="6"/>
        <v>40</v>
      </c>
      <c r="CZ2" s="5103">
        <f t="shared" ca="1" si="6"/>
        <v>13</v>
      </c>
      <c r="DA2" s="5103">
        <f t="shared" ca="1" si="6"/>
        <v>15</v>
      </c>
      <c r="DB2" s="5103">
        <f t="shared" ca="1" si="6"/>
        <v>15</v>
      </c>
      <c r="DC2" s="5109"/>
      <c r="DD2" s="6">
        <f t="shared" ref="DD2" ca="1" si="7">CELL("largeur",DD2)</f>
        <v>36</v>
      </c>
      <c r="DF2" s="3">
        <v>1</v>
      </c>
      <c r="DG2" s="7" t="s">
        <v>3</v>
      </c>
      <c r="DH2" s="8"/>
    </row>
    <row r="3" spans="1:112" ht="21" customHeight="1" thickBot="1">
      <c r="B3" s="937"/>
      <c r="C3" s="937" t="s">
        <v>1674</v>
      </c>
      <c r="D3" s="937"/>
      <c r="E3" s="937"/>
      <c r="F3" s="937"/>
      <c r="G3" s="937"/>
      <c r="H3" s="937"/>
      <c r="I3" s="937"/>
      <c r="J3" s="937"/>
      <c r="K3" s="937"/>
      <c r="L3" s="923">
        <v>3</v>
      </c>
      <c r="M3" s="923">
        <v>3</v>
      </c>
      <c r="N3" s="923">
        <v>3</v>
      </c>
      <c r="O3" s="923">
        <v>3</v>
      </c>
      <c r="P3" s="923">
        <v>5</v>
      </c>
      <c r="Q3" s="923">
        <v>12</v>
      </c>
      <c r="R3" s="923">
        <v>12</v>
      </c>
      <c r="S3" s="923">
        <v>3</v>
      </c>
      <c r="T3" s="923">
        <v>9</v>
      </c>
      <c r="U3" s="923">
        <v>12</v>
      </c>
      <c r="V3" s="923">
        <v>13</v>
      </c>
      <c r="W3" s="923">
        <v>40</v>
      </c>
      <c r="X3" s="923">
        <v>13</v>
      </c>
      <c r="Y3" s="923">
        <v>15</v>
      </c>
      <c r="Z3" s="923">
        <v>15</v>
      </c>
      <c r="AB3" s="923">
        <v>3</v>
      </c>
      <c r="AC3" s="923">
        <v>3</v>
      </c>
      <c r="AD3" s="923">
        <v>3</v>
      </c>
      <c r="AE3" s="923">
        <v>3</v>
      </c>
      <c r="AF3" s="923">
        <v>5</v>
      </c>
      <c r="AG3" s="923">
        <v>12</v>
      </c>
      <c r="AH3" s="923">
        <v>12</v>
      </c>
      <c r="AI3" s="923">
        <v>3</v>
      </c>
      <c r="AJ3" s="923">
        <v>9</v>
      </c>
      <c r="AK3" s="923">
        <v>12</v>
      </c>
      <c r="AL3" s="923">
        <v>13</v>
      </c>
      <c r="AM3" s="923">
        <v>40</v>
      </c>
      <c r="AN3" s="923">
        <v>13</v>
      </c>
      <c r="AO3" s="923">
        <v>15</v>
      </c>
      <c r="AP3" s="923">
        <v>15</v>
      </c>
      <c r="AR3" s="923">
        <v>3</v>
      </c>
      <c r="AS3" s="923">
        <v>3</v>
      </c>
      <c r="AT3" s="923">
        <v>3</v>
      </c>
      <c r="AU3" s="923">
        <v>3</v>
      </c>
      <c r="AV3" s="923">
        <v>5</v>
      </c>
      <c r="AW3" s="923">
        <v>12</v>
      </c>
      <c r="AX3" s="923">
        <v>12</v>
      </c>
      <c r="AY3" s="923">
        <v>3</v>
      </c>
      <c r="AZ3" s="923">
        <v>9</v>
      </c>
      <c r="BA3" s="923">
        <v>12</v>
      </c>
      <c r="BB3" s="923">
        <v>13</v>
      </c>
      <c r="BC3" s="923">
        <v>40</v>
      </c>
      <c r="BD3" s="923">
        <v>13</v>
      </c>
      <c r="BE3" s="923">
        <v>15</v>
      </c>
      <c r="BF3" s="923">
        <v>15</v>
      </c>
      <c r="BG3" s="1127" t="s">
        <v>1381</v>
      </c>
      <c r="BH3" s="5104">
        <v>3</v>
      </c>
      <c r="BI3" s="5104">
        <v>3</v>
      </c>
      <c r="BJ3" s="5104">
        <v>3</v>
      </c>
      <c r="BK3" s="5104">
        <v>3</v>
      </c>
      <c r="BL3" s="5104">
        <v>5</v>
      </c>
      <c r="BM3" s="5104">
        <v>12</v>
      </c>
      <c r="BN3" s="5104">
        <v>12</v>
      </c>
      <c r="BO3" s="5104">
        <v>3</v>
      </c>
      <c r="BP3" s="5104">
        <v>9</v>
      </c>
      <c r="BQ3" s="5104">
        <v>12</v>
      </c>
      <c r="BR3" s="5104">
        <v>13</v>
      </c>
      <c r="BS3" s="5104">
        <v>40</v>
      </c>
      <c r="BT3" s="5104">
        <v>13</v>
      </c>
      <c r="BU3" s="5104">
        <v>15</v>
      </c>
      <c r="BV3" s="5104">
        <v>15</v>
      </c>
      <c r="BW3" s="1127" t="s">
        <v>1381</v>
      </c>
      <c r="BX3" s="5104">
        <v>3</v>
      </c>
      <c r="BY3" s="5104">
        <v>3</v>
      </c>
      <c r="BZ3" s="5104">
        <v>3</v>
      </c>
      <c r="CA3" s="5104">
        <v>3</v>
      </c>
      <c r="CB3" s="5104">
        <v>5</v>
      </c>
      <c r="CC3" s="5104">
        <v>12</v>
      </c>
      <c r="CD3" s="5104">
        <v>12</v>
      </c>
      <c r="CE3" s="5104">
        <v>3</v>
      </c>
      <c r="CF3" s="5104">
        <v>9</v>
      </c>
      <c r="CG3" s="5104">
        <v>12</v>
      </c>
      <c r="CH3" s="5104">
        <v>13</v>
      </c>
      <c r="CI3" s="5104">
        <v>40</v>
      </c>
      <c r="CJ3" s="5104">
        <v>13</v>
      </c>
      <c r="CK3" s="5104">
        <v>15</v>
      </c>
      <c r="CL3" s="5104">
        <v>15</v>
      </c>
      <c r="CM3" s="1127" t="s">
        <v>1381</v>
      </c>
      <c r="CN3" s="5104">
        <v>3</v>
      </c>
      <c r="CO3" s="5104">
        <v>3</v>
      </c>
      <c r="CP3" s="5104">
        <v>3</v>
      </c>
      <c r="CQ3" s="5104">
        <v>3</v>
      </c>
      <c r="CR3" s="5104">
        <v>5</v>
      </c>
      <c r="CS3" s="5104">
        <v>12</v>
      </c>
      <c r="CT3" s="5104">
        <v>12</v>
      </c>
      <c r="CU3" s="5104">
        <v>3</v>
      </c>
      <c r="CV3" s="5104">
        <v>9</v>
      </c>
      <c r="CW3" s="5104">
        <v>12</v>
      </c>
      <c r="CX3" s="5104">
        <v>13</v>
      </c>
      <c r="CY3" s="5104">
        <v>40</v>
      </c>
      <c r="CZ3" s="5104">
        <v>13</v>
      </c>
      <c r="DA3" s="5104">
        <v>15</v>
      </c>
      <c r="DB3" s="5104">
        <v>15</v>
      </c>
      <c r="DC3" s="5109"/>
      <c r="DD3" s="10" t="s">
        <v>4</v>
      </c>
      <c r="DE3" s="1" t="str">
        <f>DF479</f>
        <v>DF479</v>
      </c>
      <c r="DF3" s="3">
        <v>1</v>
      </c>
      <c r="DG3" s="11">
        <f ca="1">COUNTA(A1:DF479) + COUNTBLANK(A1:DF479)</f>
        <v>53183</v>
      </c>
      <c r="DH3" s="12" t="str">
        <f>"cellules entre -cells -celdas  "&amp;" " &amp;A1&amp;" et  "&amp;DF479</f>
        <v>cellules entre -cells -celdas   A1 et  DF479</v>
      </c>
    </row>
    <row r="4" spans="1:112" ht="21" customHeight="1" thickBot="1">
      <c r="B4" s="944" t="str">
        <f>SUBSTITUTE(ADDRESS(1,COLUMN(),4),"1","")</f>
        <v>B</v>
      </c>
      <c r="C4" s="945" t="s">
        <v>1677</v>
      </c>
      <c r="D4" s="946"/>
      <c r="E4" s="946"/>
      <c r="F4" s="946"/>
      <c r="G4" s="946"/>
      <c r="H4" s="946"/>
      <c r="I4" s="946"/>
      <c r="J4" s="946"/>
      <c r="K4" s="946"/>
      <c r="L4" s="13" t="s">
        <v>5</v>
      </c>
      <c r="M4" s="13" t="s">
        <v>6</v>
      </c>
      <c r="N4" s="14" t="s">
        <v>7</v>
      </c>
      <c r="O4" s="14" t="s">
        <v>8</v>
      </c>
      <c r="P4" s="14" t="s">
        <v>9</v>
      </c>
      <c r="Q4" s="15"/>
      <c r="R4" s="15"/>
      <c r="S4" s="15"/>
      <c r="T4" s="15"/>
      <c r="U4" s="15"/>
      <c r="V4" s="15"/>
      <c r="W4" s="924" t="s">
        <v>1382</v>
      </c>
      <c r="X4" s="924"/>
      <c r="Y4" s="924"/>
      <c r="Z4" s="15"/>
      <c r="AB4" s="13" t="s">
        <v>5</v>
      </c>
      <c r="AC4" s="13" t="s">
        <v>6</v>
      </c>
      <c r="AD4" s="14" t="s">
        <v>7</v>
      </c>
      <c r="AE4" s="14" t="s">
        <v>8</v>
      </c>
      <c r="AF4" s="14" t="s">
        <v>9</v>
      </c>
      <c r="AG4" s="15"/>
      <c r="AH4" s="15"/>
      <c r="AI4" s="15"/>
      <c r="AJ4" s="15"/>
      <c r="AK4" s="15"/>
      <c r="AL4" s="15"/>
      <c r="AM4" s="924" t="s">
        <v>1382</v>
      </c>
      <c r="AN4" s="924"/>
      <c r="AO4" s="924"/>
      <c r="AP4" s="15"/>
      <c r="AR4" s="13" t="s">
        <v>5</v>
      </c>
      <c r="AS4" s="13" t="s">
        <v>6</v>
      </c>
      <c r="AT4" s="14" t="s">
        <v>7</v>
      </c>
      <c r="AU4" s="14" t="s">
        <v>8</v>
      </c>
      <c r="AV4" s="14" t="s">
        <v>9</v>
      </c>
      <c r="AW4" s="15"/>
      <c r="AX4" s="15"/>
      <c r="AY4" s="15"/>
      <c r="AZ4" s="15"/>
      <c r="BA4" s="15"/>
      <c r="BB4" s="15"/>
      <c r="BC4" s="924" t="s">
        <v>1383</v>
      </c>
      <c r="BD4" s="924"/>
      <c r="BE4" s="924"/>
      <c r="BF4" s="15"/>
      <c r="BH4" s="5105"/>
      <c r="BI4" s="5105"/>
      <c r="BJ4" s="5105"/>
      <c r="BK4" s="5105"/>
      <c r="BL4" s="5105"/>
      <c r="BM4" s="5106"/>
      <c r="BN4" s="5106"/>
      <c r="BO4" s="5106"/>
      <c r="BP4" s="5106"/>
      <c r="BQ4" s="5106"/>
      <c r="BR4" s="5106"/>
      <c r="BS4" s="5107"/>
      <c r="BT4" s="5107"/>
      <c r="BU4" s="5107"/>
      <c r="BV4" s="5106"/>
      <c r="BX4" s="5105"/>
      <c r="BY4" s="5105"/>
      <c r="BZ4" s="5105"/>
      <c r="CA4" s="5105"/>
      <c r="CB4" s="5105"/>
      <c r="CC4" s="5106"/>
      <c r="CD4" s="5106"/>
      <c r="CE4" s="5106"/>
      <c r="CF4" s="5106"/>
      <c r="CG4" s="5106"/>
      <c r="CH4" s="5106"/>
      <c r="CI4" s="5107"/>
      <c r="CJ4" s="5107"/>
      <c r="CK4" s="5107"/>
      <c r="CL4" s="5106"/>
      <c r="CN4" s="5105"/>
      <c r="CO4" s="5105"/>
      <c r="CP4" s="5105"/>
      <c r="CQ4" s="5105"/>
      <c r="CR4" s="5105"/>
      <c r="CS4" s="5106"/>
      <c r="CT4" s="5106"/>
      <c r="CU4" s="5106"/>
      <c r="CV4" s="5106"/>
      <c r="CW4" s="5106"/>
      <c r="CX4" s="5106"/>
      <c r="CY4" s="5107"/>
      <c r="CZ4" s="5107"/>
      <c r="DA4" s="5107"/>
      <c r="DB4" s="5106"/>
      <c r="DC4" s="5109"/>
      <c r="DD4" s="951" t="s">
        <v>1680</v>
      </c>
      <c r="DF4" s="3">
        <v>1</v>
      </c>
      <c r="DG4" s="11">
        <f ca="1">COUNTA(A1:DF479)</f>
        <v>13051</v>
      </c>
      <c r="DH4" s="12" t="s">
        <v>10</v>
      </c>
    </row>
    <row r="5" spans="1:112" ht="21" customHeight="1">
      <c r="B5" s="952" t="str">
        <f t="shared" ref="B5:B9" si="8">L5</f>
        <v>A</v>
      </c>
      <c r="C5" s="5485" t="s">
        <v>2614</v>
      </c>
      <c r="D5" s="5486"/>
      <c r="E5" s="5486"/>
      <c r="F5" s="5486"/>
      <c r="G5" s="5486"/>
      <c r="H5" s="5486"/>
      <c r="I5" s="5486"/>
      <c r="J5" s="5486"/>
      <c r="K5" s="442" t="s">
        <v>22</v>
      </c>
      <c r="L5" s="16" t="s">
        <v>11</v>
      </c>
      <c r="M5" s="17"/>
      <c r="N5" s="18"/>
      <c r="O5" s="18"/>
      <c r="P5" s="18"/>
      <c r="Q5" s="19"/>
      <c r="R5" s="19"/>
      <c r="S5" s="19"/>
      <c r="T5" s="19"/>
      <c r="U5" s="19"/>
      <c r="V5" s="19"/>
      <c r="W5" s="5494" t="s">
        <v>3340</v>
      </c>
      <c r="X5" s="5494"/>
      <c r="Y5" s="5494"/>
      <c r="Z5" s="5494"/>
      <c r="AB5" s="16" t="s">
        <v>11</v>
      </c>
      <c r="AC5" s="17"/>
      <c r="AD5" s="18"/>
      <c r="AE5" s="18"/>
      <c r="AF5" s="18"/>
      <c r="AG5" s="19"/>
      <c r="AH5" s="19"/>
      <c r="AI5" s="19"/>
      <c r="AJ5" s="19"/>
      <c r="AK5" s="19"/>
      <c r="AL5" s="19"/>
      <c r="AM5" s="5494" t="s">
        <v>3341</v>
      </c>
      <c r="AN5" s="5494"/>
      <c r="AO5" s="5494"/>
      <c r="AP5" s="5494"/>
      <c r="AR5" s="16" t="s">
        <v>11</v>
      </c>
      <c r="AS5" s="17"/>
      <c r="AT5" s="18"/>
      <c r="AU5" s="18"/>
      <c r="AV5" s="18"/>
      <c r="AW5" s="19"/>
      <c r="AX5" s="19"/>
      <c r="AY5" s="19"/>
      <c r="AZ5" s="19"/>
      <c r="BA5" s="19"/>
      <c r="BB5" s="19"/>
      <c r="BC5" s="5494" t="s">
        <v>3342</v>
      </c>
      <c r="BD5" s="5494"/>
      <c r="BE5" s="5494"/>
      <c r="BF5" s="5494"/>
      <c r="BH5" s="5184" t="s">
        <v>13320</v>
      </c>
      <c r="BI5" s="5185"/>
      <c r="BJ5" s="5184"/>
      <c r="BK5" s="5184"/>
      <c r="BL5" s="5184"/>
      <c r="BM5" s="5186"/>
      <c r="BN5" s="5186"/>
      <c r="BO5" s="5066"/>
      <c r="BP5" s="5066"/>
      <c r="BQ5" s="5066"/>
      <c r="BR5" s="5066"/>
      <c r="BS5" s="5087"/>
      <c r="BT5" s="5087"/>
      <c r="BU5" s="5087"/>
      <c r="BV5" s="5087"/>
      <c r="BX5" s="5184" t="s">
        <v>13320</v>
      </c>
      <c r="BY5" s="5099"/>
      <c r="BZ5" s="5098"/>
      <c r="CA5" s="5098"/>
      <c r="CB5" s="5098"/>
      <c r="CC5" s="5066"/>
      <c r="CD5" s="5066"/>
      <c r="CE5" s="5066"/>
      <c r="CF5" s="5066"/>
      <c r="CG5" s="5066"/>
      <c r="CH5" s="5066"/>
      <c r="CI5" s="5087"/>
      <c r="CJ5" s="5087"/>
      <c r="CK5" s="5087"/>
      <c r="CL5" s="5087"/>
      <c r="CN5" s="5184" t="s">
        <v>13320</v>
      </c>
      <c r="CO5" s="5099"/>
      <c r="CP5" s="5098"/>
      <c r="CQ5" s="5098"/>
      <c r="CR5" s="5098"/>
      <c r="CS5" s="5066"/>
      <c r="CT5" s="5066"/>
      <c r="CU5" s="5066"/>
      <c r="CV5" s="5066"/>
      <c r="CW5" s="5066"/>
      <c r="CX5" s="5066"/>
      <c r="CY5" s="5087"/>
      <c r="CZ5" s="5087"/>
      <c r="DA5" s="5087"/>
      <c r="DB5" s="5087"/>
      <c r="DC5" s="5109"/>
      <c r="DE5" s="852"/>
      <c r="DF5" s="3">
        <v>1</v>
      </c>
      <c r="DG5" s="11">
        <f ca="1">COUNTBLANK(A1:DF479)</f>
        <v>40132</v>
      </c>
      <c r="DH5" s="12" t="s">
        <v>13</v>
      </c>
    </row>
    <row r="6" spans="1:112" ht="21" customHeight="1">
      <c r="B6" s="952" t="str">
        <f t="shared" si="8"/>
        <v>A</v>
      </c>
      <c r="C6" s="5487"/>
      <c r="D6" s="5488"/>
      <c r="E6" s="5488"/>
      <c r="F6" s="5488"/>
      <c r="G6" s="5488"/>
      <c r="H6" s="5488"/>
      <c r="I6" s="5488"/>
      <c r="J6" s="5488"/>
      <c r="K6" s="442" t="s">
        <v>22</v>
      </c>
      <c r="L6" s="16" t="s">
        <v>11</v>
      </c>
      <c r="M6" s="17" t="s">
        <v>12</v>
      </c>
      <c r="N6" s="18"/>
      <c r="O6" s="18"/>
      <c r="P6" s="18"/>
      <c r="Q6" s="15"/>
      <c r="R6" s="15"/>
      <c r="S6" s="15"/>
      <c r="T6" s="15"/>
      <c r="U6" s="15"/>
      <c r="V6" s="15"/>
      <c r="W6" s="5494"/>
      <c r="X6" s="5494"/>
      <c r="Y6" s="5494"/>
      <c r="Z6" s="5494"/>
      <c r="AB6" s="16" t="s">
        <v>11</v>
      </c>
      <c r="AC6" s="17" t="s">
        <v>1384</v>
      </c>
      <c r="AD6" s="18"/>
      <c r="AE6" s="18"/>
      <c r="AF6" s="18"/>
      <c r="AG6" s="15"/>
      <c r="AH6" s="15"/>
      <c r="AI6" s="15"/>
      <c r="AJ6" s="15"/>
      <c r="AK6" s="15"/>
      <c r="AL6" s="15"/>
      <c r="AM6" s="5494"/>
      <c r="AN6" s="5494"/>
      <c r="AO6" s="5494"/>
      <c r="AP6" s="5494"/>
      <c r="AR6" s="16" t="s">
        <v>11</v>
      </c>
      <c r="AS6" s="17" t="s">
        <v>1385</v>
      </c>
      <c r="AT6" s="18"/>
      <c r="AU6" s="18"/>
      <c r="AV6" s="18"/>
      <c r="AW6" s="15"/>
      <c r="AX6" s="15"/>
      <c r="AY6" s="15"/>
      <c r="AZ6" s="15"/>
      <c r="BA6" s="15"/>
      <c r="BB6" s="15"/>
      <c r="BC6" s="5494"/>
      <c r="BD6" s="5494"/>
      <c r="BE6" s="5494"/>
      <c r="BF6" s="5494"/>
      <c r="BH6" s="5098"/>
      <c r="BI6" s="5099"/>
      <c r="BJ6" s="5098"/>
      <c r="BK6" s="5098"/>
      <c r="BL6" s="5098"/>
      <c r="BM6" s="5106"/>
      <c r="BN6" s="5106"/>
      <c r="BO6" s="5106"/>
      <c r="BP6" s="5106"/>
      <c r="BQ6" s="5106"/>
      <c r="BR6" s="5106"/>
      <c r="BS6" s="5087"/>
      <c r="BT6" s="5087"/>
      <c r="BU6" s="5087"/>
      <c r="BV6" s="5087"/>
      <c r="BX6" s="5098"/>
      <c r="BY6" s="5099"/>
      <c r="BZ6" s="5098"/>
      <c r="CA6" s="5098"/>
      <c r="CB6" s="5098"/>
      <c r="CC6" s="5106"/>
      <c r="CD6" s="5106"/>
      <c r="CE6" s="5106"/>
      <c r="CF6" s="5106"/>
      <c r="CG6" s="5106"/>
      <c r="CH6" s="5106"/>
      <c r="CI6" s="5087"/>
      <c r="CJ6" s="5087"/>
      <c r="CK6" s="5087"/>
      <c r="CL6" s="5087"/>
      <c r="CN6" s="5098"/>
      <c r="CO6" s="5099"/>
      <c r="CP6" s="5098"/>
      <c r="CQ6" s="5098"/>
      <c r="CR6" s="5098"/>
      <c r="CS6" s="5106"/>
      <c r="CT6" s="5106"/>
      <c r="CU6" s="5106"/>
      <c r="CV6" s="5106"/>
      <c r="CW6" s="5106"/>
      <c r="CX6" s="5106"/>
      <c r="CY6" s="5087"/>
      <c r="CZ6" s="5087"/>
      <c r="DA6" s="5087"/>
      <c r="DB6" s="5087"/>
      <c r="DC6" s="5109"/>
      <c r="DF6" s="3">
        <v>1</v>
      </c>
      <c r="DG6" s="11">
        <f>SUM(DF1:DF477)+2</f>
        <v>479</v>
      </c>
      <c r="DH6" s="12" t="s">
        <v>15</v>
      </c>
    </row>
    <row r="7" spans="1:112" ht="21" customHeight="1" thickBot="1">
      <c r="B7" s="952" t="str">
        <f t="shared" si="8"/>
        <v>►</v>
      </c>
      <c r="C7" s="5489" t="s">
        <v>2615</v>
      </c>
      <c r="D7" s="5490"/>
      <c r="E7" s="5490"/>
      <c r="F7" s="5490"/>
      <c r="G7" s="5490"/>
      <c r="H7" s="5490"/>
      <c r="I7" s="5490"/>
      <c r="J7" s="5490"/>
      <c r="K7" s="442" t="s">
        <v>22</v>
      </c>
      <c r="L7" s="16" t="s">
        <v>16</v>
      </c>
      <c r="M7" s="1487" t="s">
        <v>14</v>
      </c>
      <c r="N7" s="1488"/>
      <c r="O7" s="1488"/>
      <c r="P7" s="1488"/>
      <c r="Q7" s="1488"/>
      <c r="R7" s="1488"/>
      <c r="S7" s="1488"/>
      <c r="T7" s="1488"/>
      <c r="U7" s="1488"/>
      <c r="V7" s="1488"/>
      <c r="W7" s="1488"/>
      <c r="X7" s="1488"/>
      <c r="Y7" s="1488"/>
      <c r="Z7" s="1488"/>
      <c r="AB7" s="16" t="s">
        <v>16</v>
      </c>
      <c r="AC7" s="17" t="s">
        <v>1386</v>
      </c>
      <c r="AD7" s="9"/>
      <c r="AE7" s="9"/>
      <c r="AF7" s="9"/>
      <c r="AG7" s="9"/>
      <c r="AH7" s="9"/>
      <c r="AI7" s="9"/>
      <c r="AJ7" s="9"/>
      <c r="AK7" s="9"/>
      <c r="AL7" s="9"/>
      <c r="AM7" s="9"/>
      <c r="AN7" s="9"/>
      <c r="AO7" s="9"/>
      <c r="AP7" s="906" t="s">
        <v>887</v>
      </c>
      <c r="AR7" s="16" t="s">
        <v>16</v>
      </c>
      <c r="AS7" s="1487" t="s">
        <v>1387</v>
      </c>
      <c r="AT7" s="1488"/>
      <c r="AU7" s="1488"/>
      <c r="AV7" s="1488"/>
      <c r="AW7" s="1488"/>
      <c r="AX7" s="1488"/>
      <c r="AY7" s="1488"/>
      <c r="AZ7" s="1488"/>
      <c r="BA7" s="1488"/>
      <c r="BB7" s="1488"/>
      <c r="BC7" s="1488"/>
      <c r="BD7" s="1488"/>
      <c r="BE7" s="1488"/>
      <c r="BF7" s="1488"/>
      <c r="BH7" s="5098"/>
      <c r="BI7" s="5099"/>
      <c r="BJ7" s="5100"/>
      <c r="BK7" s="5100"/>
      <c r="BL7" s="5100"/>
      <c r="BM7" s="5100"/>
      <c r="BN7" s="5100"/>
      <c r="BO7" s="5100"/>
      <c r="BP7" s="5100"/>
      <c r="BQ7" s="5100"/>
      <c r="BR7" s="5100"/>
      <c r="BS7" s="5100"/>
      <c r="BT7" s="5100"/>
      <c r="BU7" s="5100"/>
      <c r="BV7" s="5100"/>
      <c r="BX7" s="5098"/>
      <c r="BY7" s="5099"/>
      <c r="BZ7" s="5100"/>
      <c r="CA7" s="5100"/>
      <c r="CB7" s="5100"/>
      <c r="CC7" s="5100"/>
      <c r="CD7" s="5100"/>
      <c r="CE7" s="5100"/>
      <c r="CF7" s="5100"/>
      <c r="CG7" s="5100"/>
      <c r="CH7" s="5100"/>
      <c r="CI7" s="5100"/>
      <c r="CJ7" s="5100"/>
      <c r="CK7" s="5100"/>
      <c r="CL7" s="5100"/>
      <c r="CN7" s="5098"/>
      <c r="CO7" s="5099"/>
      <c r="CP7" s="5100"/>
      <c r="CQ7" s="5100"/>
      <c r="CR7" s="5100"/>
      <c r="CS7" s="5100"/>
      <c r="CT7" s="5100"/>
      <c r="CU7" s="5100"/>
      <c r="CV7" s="5100"/>
      <c r="CW7" s="5100"/>
      <c r="CX7" s="5100"/>
      <c r="CY7" s="5100"/>
      <c r="CZ7" s="5100"/>
      <c r="DA7" s="5100"/>
      <c r="DB7" s="5100"/>
      <c r="DC7" s="5109"/>
      <c r="DF7" s="3">
        <v>1</v>
      </c>
      <c r="DG7" s="11" cm="1">
        <f t="array" ref="DG7">SUM(A479:DE479+1)</f>
        <v>207</v>
      </c>
      <c r="DH7" s="12" t="s">
        <v>18</v>
      </c>
    </row>
    <row r="8" spans="1:112" ht="21" customHeight="1">
      <c r="B8" s="952" t="str">
        <f t="shared" si="8"/>
        <v>A</v>
      </c>
      <c r="C8" s="962"/>
      <c r="D8" s="5491" t="s">
        <v>1693</v>
      </c>
      <c r="E8" s="5491"/>
      <c r="F8" s="5491"/>
      <c r="G8" s="5491"/>
      <c r="H8" s="5491"/>
      <c r="I8" s="5491"/>
      <c r="J8" s="5491"/>
      <c r="K8" s="442" t="s">
        <v>22</v>
      </c>
      <c r="L8" s="22" t="s">
        <v>11</v>
      </c>
      <c r="M8" s="23" t="str">
        <f>M14</f>
        <v>C Coquetiers de l'Antoine | | Auteur &gt; Guy KRENZE - Eric GODDYN - Arnaud NICOLAS - CEPROC 2002</v>
      </c>
      <c r="N8" s="24">
        <f>N14</f>
        <v>20</v>
      </c>
      <c r="O8" s="24" t="str">
        <f>O14</f>
        <v>coquetiers de 25 g</v>
      </c>
      <c r="P8" s="25" t="str">
        <f>P14</f>
        <v>Recette mère ► le Boudin en 4 déclinaisons</v>
      </c>
      <c r="Q8" s="26" t="s">
        <v>23</v>
      </c>
      <c r="R8" s="5471" t="s">
        <v>12834</v>
      </c>
      <c r="S8" s="5471"/>
      <c r="T8" s="5471"/>
      <c r="U8" s="5471"/>
      <c r="V8" s="5471"/>
      <c r="W8" s="5471"/>
      <c r="X8" s="5473" t="s">
        <v>1031</v>
      </c>
      <c r="Y8" s="5473"/>
      <c r="Z8" s="5475" t="str">
        <f>UPPER(LEFT(R8,1))</f>
        <v>C</v>
      </c>
      <c r="AB8" s="22" t="s">
        <v>11</v>
      </c>
      <c r="AC8" s="23" t="str">
        <f>AC14</f>
        <v>C Coquetiers de l'Antoine | |  Author &gt; Guy KRENZE - Eric GODDYN - Arnaud NICOLAS - CEPROC 2002</v>
      </c>
      <c r="AD8" s="24">
        <f>AD14</f>
        <v>20</v>
      </c>
      <c r="AE8" s="24" t="str">
        <f>AE14</f>
        <v>egg cups of 25 g</v>
      </c>
      <c r="AF8" s="25" t="str">
        <f>AF14</f>
        <v>Master recipe ► Black pudding in 4 variations</v>
      </c>
      <c r="AG8" s="26" t="s">
        <v>23</v>
      </c>
      <c r="AH8" s="5471" t="s">
        <v>12834</v>
      </c>
      <c r="AI8" s="5471"/>
      <c r="AJ8" s="5471"/>
      <c r="AK8" s="5471"/>
      <c r="AL8" s="5471"/>
      <c r="AM8" s="5471"/>
      <c r="AN8" s="5473" t="s">
        <v>13134</v>
      </c>
      <c r="AO8" s="5473"/>
      <c r="AP8" s="5475" t="str">
        <f>UPPER(LEFT(AH8,1))</f>
        <v>C</v>
      </c>
      <c r="AR8" s="22" t="s">
        <v>11</v>
      </c>
      <c r="AS8" s="23" t="str">
        <f>AS14</f>
        <v>C Coquetiers de l'Antoine | | Autor &gt; Guy KRENZE - Eric GODDYN - Arnaud NICOLAS - CEPROC 2002</v>
      </c>
      <c r="AT8" s="24">
        <f>AT14</f>
        <v>18</v>
      </c>
      <c r="AU8" s="24" t="str">
        <f>AU14</f>
        <v>hueveras de 25 g</v>
      </c>
      <c r="AV8" s="25" t="str">
        <f>AV14</f>
        <v>Receta madre ► Morcilla en 4 versiones</v>
      </c>
      <c r="AW8" s="26" t="s">
        <v>23</v>
      </c>
      <c r="AX8" s="5471" t="s">
        <v>12834</v>
      </c>
      <c r="AY8" s="5471"/>
      <c r="AZ8" s="5471"/>
      <c r="BA8" s="5471"/>
      <c r="BB8" s="5471"/>
      <c r="BC8" s="5471"/>
      <c r="BD8" s="5473" t="s">
        <v>13135</v>
      </c>
      <c r="BE8" s="5473"/>
      <c r="BF8" s="5475" t="str">
        <f>UPPER(LEFT(AX8,1))</f>
        <v>C</v>
      </c>
      <c r="BH8" s="5232"/>
      <c r="BI8" s="5233"/>
      <c r="BJ8" s="5234"/>
      <c r="BK8" s="5233"/>
      <c r="BL8" s="5235"/>
      <c r="BM8" s="5236"/>
      <c r="BN8" s="5237"/>
      <c r="BO8" s="5238"/>
      <c r="BP8" s="5239"/>
      <c r="BQ8" s="5240"/>
      <c r="BR8" s="5241"/>
      <c r="BS8" s="5242"/>
      <c r="BT8" s="5243"/>
      <c r="BU8" s="5244"/>
      <c r="BV8" s="5245"/>
      <c r="BX8" s="5232"/>
      <c r="BY8" s="5233"/>
      <c r="BZ8" s="5234"/>
      <c r="CA8" s="5233"/>
      <c r="CB8" s="5235"/>
      <c r="CC8" s="5236"/>
      <c r="CD8" s="5237"/>
      <c r="CE8" s="5238"/>
      <c r="CF8" s="5239"/>
      <c r="CG8" s="5240"/>
      <c r="CH8" s="5241"/>
      <c r="CI8" s="5242"/>
      <c r="CJ8" s="5243"/>
      <c r="CK8" s="5244"/>
      <c r="CL8" s="5245"/>
      <c r="CN8" s="5232"/>
      <c r="CO8" s="5233"/>
      <c r="CP8" s="5234"/>
      <c r="CQ8" s="5233"/>
      <c r="CR8" s="5235"/>
      <c r="CS8" s="5236"/>
      <c r="CT8" s="5237"/>
      <c r="CU8" s="5238"/>
      <c r="CV8" s="5239"/>
      <c r="CW8" s="5240"/>
      <c r="CX8" s="5241"/>
      <c r="CY8" s="5242"/>
      <c r="CZ8" s="5243"/>
      <c r="DA8" s="5244"/>
      <c r="DB8" s="5245"/>
      <c r="DC8" s="5109"/>
      <c r="DD8" s="5064"/>
      <c r="DF8" s="3">
        <v>1</v>
      </c>
    </row>
    <row r="9" spans="1:112" ht="21" customHeight="1">
      <c r="B9" s="952" t="str">
        <f t="shared" si="8"/>
        <v>A</v>
      </c>
      <c r="C9" s="5309" t="str">
        <f>IF(ISNUMBER(IFERROR(VALUE("0,5"),"")),"On this computer, type a COMMA as the decimal separator",IF(ISNUMBER(IFERROR(VALUE("0.5"),"")),"On this computer, type a POINT as the decimal separator","Unable to determine the decimal separator"))</f>
        <v>On this computer, type a POINT as the decimal separator</v>
      </c>
      <c r="D9" s="15"/>
      <c r="E9" s="15"/>
      <c r="F9" s="15"/>
      <c r="G9" s="15"/>
      <c r="H9" s="15"/>
      <c r="I9" s="15"/>
      <c r="J9" s="5308" t="str">
        <f>IF(ISNUMBER(IFERROR(VALUE("0,5"),""))," En este ordenador, escriba una COMA como separador decimal",IF(ISNUMBER(IFERROR(VALUE("0.5"),"")),"En este ordenador, escriba un PUNTO como separador decimal","No es posible determinar el separador decimal"))</f>
        <v>En este ordenador, escriba un PUNTO como separador decimal</v>
      </c>
      <c r="K9" s="442" t="s">
        <v>22</v>
      </c>
      <c r="L9" s="27" t="s">
        <v>11</v>
      </c>
      <c r="M9" s="28" t="str">
        <f>M14</f>
        <v>C Coquetiers de l'Antoine | | Auteur &gt; Guy KRENZE - Eric GODDYN - Arnaud NICOLAS - CEPROC 2002</v>
      </c>
      <c r="N9" s="29">
        <f>N14</f>
        <v>20</v>
      </c>
      <c r="O9" s="29" t="str">
        <f>O14</f>
        <v>coquetiers de 25 g</v>
      </c>
      <c r="P9" s="30" t="str">
        <f>P14</f>
        <v>Recette mère ► le Boudin en 4 déclinaisons</v>
      </c>
      <c r="Q9" s="31" t="s">
        <v>29</v>
      </c>
      <c r="R9" s="5472"/>
      <c r="S9" s="5472"/>
      <c r="T9" s="5472"/>
      <c r="U9" s="5472"/>
      <c r="V9" s="5472"/>
      <c r="W9" s="5472"/>
      <c r="X9" s="5474"/>
      <c r="Y9" s="5474"/>
      <c r="Z9" s="5476"/>
      <c r="AB9" s="27" t="s">
        <v>11</v>
      </c>
      <c r="AC9" s="28" t="str">
        <f>AC14</f>
        <v>C Coquetiers de l'Antoine | |  Author &gt; Guy KRENZE - Eric GODDYN - Arnaud NICOLAS - CEPROC 2002</v>
      </c>
      <c r="AD9" s="29">
        <f>AD14</f>
        <v>20</v>
      </c>
      <c r="AE9" s="29" t="str">
        <f>AE14</f>
        <v>egg cups of 25 g</v>
      </c>
      <c r="AF9" s="30" t="str">
        <f>AF14</f>
        <v>Master recipe ► Black pudding in 4 variations</v>
      </c>
      <c r="AG9" s="31" t="s">
        <v>29</v>
      </c>
      <c r="AH9" s="5472"/>
      <c r="AI9" s="5472"/>
      <c r="AJ9" s="5472"/>
      <c r="AK9" s="5472"/>
      <c r="AL9" s="5472"/>
      <c r="AM9" s="5472"/>
      <c r="AN9" s="5474"/>
      <c r="AO9" s="5474"/>
      <c r="AP9" s="5476"/>
      <c r="AR9" s="27" t="s">
        <v>11</v>
      </c>
      <c r="AS9" s="28" t="str">
        <f>AS14</f>
        <v>C Coquetiers de l'Antoine | | Autor &gt; Guy KRENZE - Eric GODDYN - Arnaud NICOLAS - CEPROC 2002</v>
      </c>
      <c r="AT9" s="29">
        <f>AT14</f>
        <v>18</v>
      </c>
      <c r="AU9" s="29" t="str">
        <f>AU14</f>
        <v>hueveras de 25 g</v>
      </c>
      <c r="AV9" s="30" t="str">
        <f>AV14</f>
        <v>Receta madre ► Morcilla en 4 versiones</v>
      </c>
      <c r="AW9" s="31" t="s">
        <v>29</v>
      </c>
      <c r="AX9" s="5472"/>
      <c r="AY9" s="5472"/>
      <c r="AZ9" s="5472"/>
      <c r="BA9" s="5472"/>
      <c r="BB9" s="5472"/>
      <c r="BC9" s="5472"/>
      <c r="BD9" s="5474" t="s">
        <v>116</v>
      </c>
      <c r="BE9" s="5474"/>
      <c r="BF9" s="5476"/>
      <c r="BH9" s="104"/>
      <c r="BI9" s="32"/>
      <c r="BJ9" s="33"/>
      <c r="BK9" s="32"/>
      <c r="BL9" s="34"/>
      <c r="BM9" s="92"/>
      <c r="BN9" s="108"/>
      <c r="BO9" s="94"/>
      <c r="BP9" s="95"/>
      <c r="BQ9" s="105"/>
      <c r="BR9" s="5101"/>
      <c r="BS9" s="920"/>
      <c r="BT9" s="1495"/>
      <c r="BU9" s="101"/>
      <c r="BV9" s="1475"/>
      <c r="BX9" s="104"/>
      <c r="BY9" s="32"/>
      <c r="BZ9" s="33"/>
      <c r="CA9" s="32"/>
      <c r="CB9" s="34"/>
      <c r="CC9" s="92"/>
      <c r="CD9" s="108"/>
      <c r="CE9" s="94"/>
      <c r="CF9" s="95"/>
      <c r="CG9" s="105"/>
      <c r="CH9" s="5101"/>
      <c r="CI9" s="920"/>
      <c r="CJ9" s="1495"/>
      <c r="CK9" s="101"/>
      <c r="CL9" s="1475"/>
      <c r="CN9" s="104"/>
      <c r="CO9" s="32"/>
      <c r="CP9" s="33"/>
      <c r="CQ9" s="32"/>
      <c r="CR9" s="34"/>
      <c r="CS9" s="92"/>
      <c r="CT9" s="108"/>
      <c r="CU9" s="94"/>
      <c r="CV9" s="95"/>
      <c r="CW9" s="105"/>
      <c r="CX9" s="5101"/>
      <c r="CY9" s="920"/>
      <c r="CZ9" s="1495"/>
      <c r="DA9" s="101"/>
      <c r="DB9" s="1475"/>
      <c r="DC9" s="5109"/>
      <c r="DD9" s="5064"/>
      <c r="DF9" s="3">
        <v>1</v>
      </c>
    </row>
    <row r="10" spans="1:112" ht="21" customHeight="1" thickBot="1">
      <c r="B10" s="952" t="str">
        <f>L10</f>
        <v>A</v>
      </c>
      <c r="C10" s="970">
        <f t="shared" ref="C10:J10" ca="1" si="9">CELL("largeur",C10)</f>
        <v>9</v>
      </c>
      <c r="D10" s="6">
        <f t="shared" ca="1" si="9"/>
        <v>12</v>
      </c>
      <c r="E10" s="6">
        <f t="shared" ca="1" si="9"/>
        <v>12</v>
      </c>
      <c r="F10" s="6">
        <f t="shared" ca="1" si="9"/>
        <v>3</v>
      </c>
      <c r="G10" s="6">
        <f t="shared" ca="1" si="9"/>
        <v>9</v>
      </c>
      <c r="H10" s="6">
        <f t="shared" ca="1" si="9"/>
        <v>12</v>
      </c>
      <c r="I10" s="6">
        <f t="shared" ca="1" si="9"/>
        <v>13</v>
      </c>
      <c r="J10" s="6">
        <f t="shared" ca="1" si="9"/>
        <v>40</v>
      </c>
      <c r="K10" s="442" t="s">
        <v>22</v>
      </c>
      <c r="L10" s="27" t="s">
        <v>11</v>
      </c>
      <c r="M10" s="5310" t="str">
        <f>M14</f>
        <v>C Coquetiers de l'Antoine | | Auteur &gt; Guy KRENZE - Eric GODDYN - Arnaud NICOLAS - CEPROC 2002</v>
      </c>
      <c r="N10" s="5310">
        <f>N14</f>
        <v>20</v>
      </c>
      <c r="O10" s="5311" t="str">
        <f>O14</f>
        <v>coquetiers de 25 g</v>
      </c>
      <c r="P10" s="5312" t="str">
        <f>P14</f>
        <v>Recette mère ► le Boudin en 4 déclinaisons</v>
      </c>
      <c r="Q10" s="5313"/>
      <c r="R10" s="5314" t="s">
        <v>30</v>
      </c>
      <c r="S10" s="37"/>
      <c r="T10" s="38" t="s">
        <v>31</v>
      </c>
      <c r="U10" s="39" t="s">
        <v>12835</v>
      </c>
      <c r="V10" s="9"/>
      <c r="W10" s="39"/>
      <c r="X10" s="39"/>
      <c r="Y10" s="40"/>
      <c r="Z10" s="41"/>
      <c r="AB10" s="27" t="s">
        <v>11</v>
      </c>
      <c r="AC10" s="5310" t="str">
        <f>AC14</f>
        <v>C Coquetiers de l'Antoine | |  Author &gt; Guy KRENZE - Eric GODDYN - Arnaud NICOLAS - CEPROC 2002</v>
      </c>
      <c r="AD10" s="5310">
        <f>AD14</f>
        <v>20</v>
      </c>
      <c r="AE10" s="5311" t="str">
        <f>AE14</f>
        <v>egg cups of 25 g</v>
      </c>
      <c r="AF10" s="5312" t="str">
        <f>AF14</f>
        <v>Master recipe ► Black pudding in 4 variations</v>
      </c>
      <c r="AG10" s="5313"/>
      <c r="AH10" s="5314" t="s">
        <v>888</v>
      </c>
      <c r="AI10" s="37"/>
      <c r="AJ10" s="38" t="s">
        <v>889</v>
      </c>
      <c r="AK10" s="39" t="s">
        <v>12835</v>
      </c>
      <c r="AL10" s="9"/>
      <c r="AM10" s="39"/>
      <c r="AN10" s="39"/>
      <c r="AO10" s="40"/>
      <c r="AP10" s="41"/>
      <c r="AR10" s="27" t="s">
        <v>11</v>
      </c>
      <c r="AS10" s="5310" t="str">
        <f>AS14</f>
        <v>C Coquetiers de l'Antoine | | Autor &gt; Guy KRENZE - Eric GODDYN - Arnaud NICOLAS - CEPROC 2002</v>
      </c>
      <c r="AT10" s="5310">
        <f>AT14</f>
        <v>18</v>
      </c>
      <c r="AU10" s="5311" t="str">
        <f>AU14</f>
        <v>hueveras de 25 g</v>
      </c>
      <c r="AV10" s="5312" t="str">
        <f>AV14</f>
        <v>Receta madre ► Morcilla en 4 versiones</v>
      </c>
      <c r="AW10" s="5313"/>
      <c r="AX10" s="5314" t="s">
        <v>903</v>
      </c>
      <c r="AY10" s="37"/>
      <c r="AZ10" s="38" t="s">
        <v>904</v>
      </c>
      <c r="BA10" s="39" t="s">
        <v>12835</v>
      </c>
      <c r="BB10" s="9"/>
      <c r="BC10" s="39"/>
      <c r="BD10" s="39"/>
      <c r="BE10" s="40"/>
      <c r="BF10" s="41"/>
      <c r="BH10" s="104"/>
      <c r="BI10" s="32"/>
      <c r="BJ10" s="33"/>
      <c r="BK10" s="32"/>
      <c r="BL10" s="34"/>
      <c r="BM10" s="92"/>
      <c r="BN10" s="108"/>
      <c r="BO10" s="94"/>
      <c r="BP10" s="95"/>
      <c r="BQ10" s="105"/>
      <c r="BR10" s="5101"/>
      <c r="BS10" s="920"/>
      <c r="BT10" s="1495"/>
      <c r="BU10" s="101"/>
      <c r="BV10" s="1475"/>
      <c r="BX10" s="104"/>
      <c r="BY10" s="32"/>
      <c r="BZ10" s="33"/>
      <c r="CA10" s="32"/>
      <c r="CB10" s="34"/>
      <c r="CC10" s="92"/>
      <c r="CD10" s="108"/>
      <c r="CE10" s="94"/>
      <c r="CF10" s="95"/>
      <c r="CG10" s="105"/>
      <c r="CH10" s="5101"/>
      <c r="CI10" s="920"/>
      <c r="CJ10" s="1495"/>
      <c r="CK10" s="101"/>
      <c r="CL10" s="1475"/>
      <c r="CN10" s="104"/>
      <c r="CO10" s="32"/>
      <c r="CP10" s="33"/>
      <c r="CQ10" s="32"/>
      <c r="CR10" s="34"/>
      <c r="CS10" s="92"/>
      <c r="CT10" s="108"/>
      <c r="CU10" s="94"/>
      <c r="CV10" s="95"/>
      <c r="CW10" s="105"/>
      <c r="CX10" s="5101"/>
      <c r="CY10" s="920"/>
      <c r="CZ10" s="1495"/>
      <c r="DA10" s="101"/>
      <c r="DB10" s="1475"/>
      <c r="DC10" s="5109"/>
      <c r="DD10" s="5064"/>
      <c r="DF10" s="3">
        <v>1</v>
      </c>
    </row>
    <row r="11" spans="1:112" ht="21" customHeight="1">
      <c r="B11" s="952" t="str">
        <f t="shared" ref="B11:B74" si="10">L11</f>
        <v>A</v>
      </c>
      <c r="C11" s="5307" t="str">
        <f>IF(ISNUMBER(IFERROR(VALUE("0,5"),"")),"sur cet ordi.saisissez une VIRGULE comme séparateur décimal",IF(ISNUMBER(IFERROR(VALUE("0.5"),"")),"sur cet ordi.saisissez un POINT comme séparateur décimal","Impossible de déterminer le séparateur décimal"))</f>
        <v>sur cet ordi.saisissez un POINT comme séparateur décimal</v>
      </c>
      <c r="D11" s="973"/>
      <c r="E11" s="973"/>
      <c r="F11" s="973"/>
      <c r="G11" s="973"/>
      <c r="H11" s="973"/>
      <c r="I11" s="973"/>
      <c r="J11" s="5165" t="s">
        <v>13097</v>
      </c>
      <c r="K11" s="442" t="s">
        <v>22</v>
      </c>
      <c r="L11" s="27" t="s">
        <v>11</v>
      </c>
      <c r="M11" s="32" t="str">
        <f>M14</f>
        <v>C Coquetiers de l'Antoine | | Auteur &gt; Guy KRENZE - Eric GODDYN - Arnaud NICOLAS - CEPROC 2002</v>
      </c>
      <c r="N11" s="33">
        <f>N14</f>
        <v>20</v>
      </c>
      <c r="O11" s="33" t="str">
        <f>O14</f>
        <v>coquetiers de 25 g</v>
      </c>
      <c r="P11" s="34" t="str">
        <f>P14</f>
        <v>Recette mère ► le Boudin en 4 déclinaisons</v>
      </c>
      <c r="Q11" s="42" t="s">
        <v>32</v>
      </c>
      <c r="R11" s="43"/>
      <c r="S11" s="43"/>
      <c r="T11" s="44" t="s">
        <v>33</v>
      </c>
      <c r="U11" s="5477" t="str">
        <f>V14&amp;" "&amp;W14&amp;" ► Famille = "&amp;X8&amp;" ► "&amp;R8&amp;" "&amp; "pour "&amp;X12&amp;" "&amp;Y12</f>
        <v>Recette mère ► le Boudin en 4 déclinaisons ► Famille =  charcuterie-BOUDIN-NOIR ► Coquetiers de l'Antoine pour 20 coquetiers de 25 g</v>
      </c>
      <c r="V11" s="5477"/>
      <c r="W11" s="5477"/>
      <c r="X11" s="5039" t="s">
        <v>3306</v>
      </c>
      <c r="Y11" s="40"/>
      <c r="Z11" s="1472"/>
      <c r="AB11" s="27" t="s">
        <v>11</v>
      </c>
      <c r="AC11" s="32" t="str">
        <f>AC14</f>
        <v>C Coquetiers de l'Antoine | |  Author &gt; Guy KRENZE - Eric GODDYN - Arnaud NICOLAS - CEPROC 2002</v>
      </c>
      <c r="AD11" s="33">
        <f>AD14</f>
        <v>20</v>
      </c>
      <c r="AE11" s="33" t="str">
        <f>AE14</f>
        <v>egg cups of 25 g</v>
      </c>
      <c r="AF11" s="34" t="str">
        <f>AF14</f>
        <v>Master recipe ► Black pudding in 4 variations</v>
      </c>
      <c r="AG11" s="42" t="s">
        <v>137</v>
      </c>
      <c r="AH11" s="43"/>
      <c r="AI11" s="43"/>
      <c r="AJ11" s="44" t="s">
        <v>33</v>
      </c>
      <c r="AK11" s="5477" t="str">
        <f>AL14&amp;" "&amp;AM14&amp;" ► category = "&amp;AN8&amp;" ► "&amp;AH8&amp;" "&amp; "pour "&amp;AN12&amp;" "&amp;AO12</f>
        <v>Master recipe ► Black pudding in 4 variations ► category = charcuterie-BLACK-PUDDING ► Coquetiers de l'Antoine pour 20 egg cups of 25 g</v>
      </c>
      <c r="AL11" s="5477"/>
      <c r="AM11" s="5477"/>
      <c r="AN11" s="5039" t="s">
        <v>3324</v>
      </c>
      <c r="AO11" s="40"/>
      <c r="AP11" s="1472"/>
      <c r="AR11" s="27" t="s">
        <v>11</v>
      </c>
      <c r="AS11" s="32" t="str">
        <f>AS14</f>
        <v>C Coquetiers de l'Antoine | | Autor &gt; Guy KRENZE - Eric GODDYN - Arnaud NICOLAS - CEPROC 2002</v>
      </c>
      <c r="AT11" s="33">
        <f>AT14</f>
        <v>18</v>
      </c>
      <c r="AU11" s="33" t="str">
        <f>AU14</f>
        <v>hueveras de 25 g</v>
      </c>
      <c r="AV11" s="34" t="str">
        <f>AV14</f>
        <v>Receta madre ► Morcilla en 4 versiones</v>
      </c>
      <c r="AW11" s="42" t="s">
        <v>905</v>
      </c>
      <c r="AX11" s="43"/>
      <c r="AY11" s="43"/>
      <c r="AZ11" s="44" t="s">
        <v>33</v>
      </c>
      <c r="BA11" s="5477" t="str">
        <f>BB14&amp;" "&amp;BC14&amp;" ► Famille = "&amp;BD8&amp;" ► "&amp;AX8&amp;" "&amp; "pour "&amp;BD12&amp;" "&amp;BE12</f>
        <v>Receta madre ► Morcilla en 4 versiones ► Famille = charcutería--MORCILLA ► Coquetiers de l'Antoine pour 36 hueveras de 25 g</v>
      </c>
      <c r="BB11" s="5477"/>
      <c r="BC11" s="5477"/>
      <c r="BD11" s="5039" t="s">
        <v>3326</v>
      </c>
      <c r="BE11" s="40"/>
      <c r="BF11" s="1472"/>
      <c r="BH11" s="104"/>
      <c r="BI11" s="32"/>
      <c r="BJ11" s="33"/>
      <c r="BK11" s="32"/>
      <c r="BL11" s="34"/>
      <c r="BM11" s="92"/>
      <c r="BN11" s="108"/>
      <c r="BO11" s="94"/>
      <c r="BP11" s="95"/>
      <c r="BQ11" s="105"/>
      <c r="BR11" s="5101"/>
      <c r="BS11" s="920"/>
      <c r="BT11" s="1495"/>
      <c r="BU11" s="101"/>
      <c r="BV11" s="1475"/>
      <c r="BX11" s="104"/>
      <c r="BY11" s="32"/>
      <c r="BZ11" s="33"/>
      <c r="CA11" s="32"/>
      <c r="CB11" s="34"/>
      <c r="CC11" s="92"/>
      <c r="CD11" s="108"/>
      <c r="CE11" s="94"/>
      <c r="CF11" s="95"/>
      <c r="CG11" s="105"/>
      <c r="CH11" s="5101"/>
      <c r="CI11" s="920"/>
      <c r="CJ11" s="1495"/>
      <c r="CK11" s="101"/>
      <c r="CL11" s="1475"/>
      <c r="CN11" s="104"/>
      <c r="CO11" s="32"/>
      <c r="CP11" s="33"/>
      <c r="CQ11" s="32"/>
      <c r="CR11" s="34"/>
      <c r="CS11" s="92"/>
      <c r="CT11" s="108"/>
      <c r="CU11" s="94"/>
      <c r="CV11" s="95"/>
      <c r="CW11" s="105"/>
      <c r="CX11" s="5101"/>
      <c r="CY11" s="920"/>
      <c r="CZ11" s="1495"/>
      <c r="DA11" s="101"/>
      <c r="DB11" s="1475"/>
      <c r="DC11" s="5109"/>
      <c r="DD11" s="5086"/>
      <c r="DF11" s="3">
        <v>1</v>
      </c>
    </row>
    <row r="12" spans="1:112" ht="21" customHeight="1">
      <c r="B12" s="952" t="str">
        <f t="shared" si="10"/>
        <v>A</v>
      </c>
      <c r="C12" s="5492" t="s">
        <v>1716</v>
      </c>
      <c r="D12" s="160" t="s">
        <v>167</v>
      </c>
      <c r="E12" s="976"/>
      <c r="F12" s="162"/>
      <c r="G12" s="162"/>
      <c r="H12" s="162"/>
      <c r="I12" s="162"/>
      <c r="J12" s="163"/>
      <c r="K12" s="442" t="s">
        <v>22</v>
      </c>
      <c r="L12" s="27" t="s">
        <v>11</v>
      </c>
      <c r="M12" s="32" t="str">
        <f>M14</f>
        <v>C Coquetiers de l'Antoine | | Auteur &gt; Guy KRENZE - Eric GODDYN - Arnaud NICOLAS - CEPROC 2002</v>
      </c>
      <c r="N12" s="33">
        <f>N14</f>
        <v>20</v>
      </c>
      <c r="O12" s="33" t="str">
        <f>O14</f>
        <v>coquetiers de 25 g</v>
      </c>
      <c r="P12" s="34" t="str">
        <f>P14</f>
        <v>Recette mère ► le Boudin en 4 déclinaisons</v>
      </c>
      <c r="Q12" s="50">
        <v>20</v>
      </c>
      <c r="R12" s="51" t="s">
        <v>12830</v>
      </c>
      <c r="S12" s="42"/>
      <c r="T12" s="42"/>
      <c r="U12" s="5477"/>
      <c r="V12" s="5477"/>
      <c r="W12" s="5477"/>
      <c r="X12" s="46">
        <v>20</v>
      </c>
      <c r="Y12" s="5478" t="str">
        <f>R12</f>
        <v>coquetiers de 25 g</v>
      </c>
      <c r="Z12" s="5479"/>
      <c r="AB12" s="27" t="s">
        <v>11</v>
      </c>
      <c r="AC12" s="32" t="str">
        <f>AC14</f>
        <v>C Coquetiers de l'Antoine | |  Author &gt; Guy KRENZE - Eric GODDYN - Arnaud NICOLAS - CEPROC 2002</v>
      </c>
      <c r="AD12" s="33">
        <f>AD14</f>
        <v>20</v>
      </c>
      <c r="AE12" s="33" t="str">
        <f>AE14</f>
        <v>egg cups of 25 g</v>
      </c>
      <c r="AF12" s="34" t="str">
        <f>AF14</f>
        <v>Master recipe ► Black pudding in 4 variations</v>
      </c>
      <c r="AG12" s="50">
        <v>20</v>
      </c>
      <c r="AH12" s="51" t="s">
        <v>12921</v>
      </c>
      <c r="AI12" s="42"/>
      <c r="AJ12" s="42"/>
      <c r="AK12" s="5477"/>
      <c r="AL12" s="5477"/>
      <c r="AM12" s="5477"/>
      <c r="AN12" s="46">
        <v>20</v>
      </c>
      <c r="AO12" s="5478" t="str">
        <f>AH12</f>
        <v>egg cups of 25 g</v>
      </c>
      <c r="AP12" s="5479"/>
      <c r="AR12" s="27" t="s">
        <v>11</v>
      </c>
      <c r="AS12" s="32" t="str">
        <f>AS14</f>
        <v>C Coquetiers de l'Antoine | | Autor &gt; Guy KRENZE - Eric GODDYN - Arnaud NICOLAS - CEPROC 2002</v>
      </c>
      <c r="AT12" s="33">
        <f>AT14</f>
        <v>18</v>
      </c>
      <c r="AU12" s="33" t="str">
        <f>AU14</f>
        <v>hueveras de 25 g</v>
      </c>
      <c r="AV12" s="34" t="str">
        <f>AV14</f>
        <v>Receta madre ► Morcilla en 4 versiones</v>
      </c>
      <c r="AW12" s="50">
        <v>18</v>
      </c>
      <c r="AX12" s="51" t="s">
        <v>12926</v>
      </c>
      <c r="AY12" s="42"/>
      <c r="AZ12" s="42"/>
      <c r="BA12" s="5477"/>
      <c r="BB12" s="5477"/>
      <c r="BC12" s="5477"/>
      <c r="BD12" s="46">
        <v>36</v>
      </c>
      <c r="BE12" s="5478" t="str">
        <f>AX12</f>
        <v>hueveras de 25 g</v>
      </c>
      <c r="BF12" s="5479"/>
      <c r="BH12" s="104"/>
      <c r="BI12" s="32"/>
      <c r="BJ12" s="33"/>
      <c r="BK12" s="32"/>
      <c r="BL12" s="34"/>
      <c r="BM12" s="92"/>
      <c r="BN12" s="108"/>
      <c r="BO12" s="94"/>
      <c r="BP12" s="95"/>
      <c r="BQ12" s="105"/>
      <c r="BR12" s="5101"/>
      <c r="BS12" s="920"/>
      <c r="BT12" s="1495"/>
      <c r="BU12" s="101"/>
      <c r="BV12" s="1475"/>
      <c r="BX12" s="104"/>
      <c r="BY12" s="32"/>
      <c r="BZ12" s="33"/>
      <c r="CA12" s="32"/>
      <c r="CB12" s="34"/>
      <c r="CC12" s="92"/>
      <c r="CD12" s="108"/>
      <c r="CE12" s="94"/>
      <c r="CF12" s="95"/>
      <c r="CG12" s="105"/>
      <c r="CH12" s="5101"/>
      <c r="CI12" s="920"/>
      <c r="CJ12" s="1495"/>
      <c r="CK12" s="101"/>
      <c r="CL12" s="1475"/>
      <c r="CN12" s="104"/>
      <c r="CO12" s="32"/>
      <c r="CP12" s="33"/>
      <c r="CQ12" s="32"/>
      <c r="CR12" s="34"/>
      <c r="CS12" s="92"/>
      <c r="CT12" s="108"/>
      <c r="CU12" s="94"/>
      <c r="CV12" s="95"/>
      <c r="CW12" s="105"/>
      <c r="CX12" s="5101"/>
      <c r="CY12" s="920"/>
      <c r="CZ12" s="1495"/>
      <c r="DA12" s="101"/>
      <c r="DB12" s="1475"/>
      <c r="DC12" s="5109"/>
      <c r="DD12" s="5067"/>
      <c r="DF12" s="3">
        <v>1</v>
      </c>
    </row>
    <row r="13" spans="1:112" ht="21" customHeight="1">
      <c r="B13" s="952" t="str">
        <f t="shared" si="10"/>
        <v>►</v>
      </c>
      <c r="C13" s="5493"/>
      <c r="D13" s="161" t="s">
        <v>2616</v>
      </c>
      <c r="E13" s="168"/>
      <c r="F13" s="168"/>
      <c r="G13" s="168"/>
      <c r="H13" s="5306" t="str">
        <f>IF(ISNUMBER(IFERROR(VALUE("0,5"),"")),"sur cet ordi.saisissez une VIRGULE comme séparateur décimal",IF(ISNUMBER(IFERROR(VALUE("0.5"),"")),"sur cet ordi.saisissez un POINT comme séparateur décimal","Impossible de déterminer le séparateur décimal"))</f>
        <v>sur cet ordi.saisissez un POINT comme séparateur décimal</v>
      </c>
      <c r="I13" s="168"/>
      <c r="J13" s="169"/>
      <c r="K13" s="442" t="s">
        <v>22</v>
      </c>
      <c r="L13" s="27" t="s">
        <v>16</v>
      </c>
      <c r="M13" s="32" t="str">
        <f>M14</f>
        <v>C Coquetiers de l'Antoine | | Auteur &gt; Guy KRENZE - Eric GODDYN - Arnaud NICOLAS - CEPROC 2002</v>
      </c>
      <c r="N13" s="33">
        <f>N14</f>
        <v>20</v>
      </c>
      <c r="O13" s="33" t="str">
        <f>O14</f>
        <v>coquetiers de 25 g</v>
      </c>
      <c r="P13" s="34" t="str">
        <f>P14</f>
        <v>Recette mère ► le Boudin en 4 déclinaisons</v>
      </c>
      <c r="Q13" s="56"/>
      <c r="R13" s="5165" t="s">
        <v>13098</v>
      </c>
      <c r="S13" s="5468">
        <f>Y33/V13</f>
        <v>1.5309999999999999</v>
      </c>
      <c r="T13" s="5468"/>
      <c r="U13" s="5054" t="str" cm="1">
        <f t="array" ref="U13">"1= "&amp;IF(OR(Q12&lt;=0,S13=""),"",_xlfn.LET(_xlpm.kg,IF(ISNUMBER(S13),S13,VALEUR(SUBSTITUTE(SUBSTITUTE(SUBSTITUTE(LOWER(S13),"kg",""),",",".")," ",""))),TEXT(ROUND(_xlpm.kg*1000/Q12,2),"0.##")&amp;" g"))</f>
        <v>1= 76.55 g</v>
      </c>
      <c r="V13" s="1490">
        <f>IFERROR(X12/Q12,0)</f>
        <v>1</v>
      </c>
      <c r="W13" s="45"/>
      <c r="X13" s="5041" t="s">
        <v>50</v>
      </c>
      <c r="Y13" s="5042">
        <f>Y33</f>
        <v>1.5309999999999999</v>
      </c>
      <c r="Z13" s="5043"/>
      <c r="AB13" s="27" t="s">
        <v>16</v>
      </c>
      <c r="AC13" s="32"/>
      <c r="AD13" s="33">
        <f>AD14</f>
        <v>20</v>
      </c>
      <c r="AE13" s="33" t="str">
        <f>AE14</f>
        <v>egg cups of 25 g</v>
      </c>
      <c r="AF13" s="34" t="str">
        <f>AF14</f>
        <v>Master recipe ► Black pudding in 4 variations</v>
      </c>
      <c r="AG13" s="56"/>
      <c r="AH13" s="5165" t="s">
        <v>13100</v>
      </c>
      <c r="AI13" s="5468">
        <f>AO33/AL13</f>
        <v>1.5309999999999999</v>
      </c>
      <c r="AJ13" s="5468"/>
      <c r="AK13" s="5054" t="str" cm="1">
        <f t="array" ref="AK13">"1= "&amp;IF(OR(AG12&lt;=0,AI13=""),"",_xlfn.LET(_xlpm.kg,IF(ISNUMBER(AI13),AI13,VALEUR(SUBSTITUTE(SUBSTITUTE(SUBSTITUTE(LOWER(AI13),"kg",""),",",".")," ",""))),TEXT(ROUND(_xlpm.kg*1000/AG12,2),"0.##")&amp;" g"))</f>
        <v>1= 76.55 g</v>
      </c>
      <c r="AL13" s="1490">
        <f>IFERROR(AN12/AG12,0)</f>
        <v>1</v>
      </c>
      <c r="AM13" s="45"/>
      <c r="AN13" s="5041" t="s">
        <v>153</v>
      </c>
      <c r="AO13" s="5042">
        <f>AO33</f>
        <v>1.5309999999999999</v>
      </c>
      <c r="AP13" s="5045"/>
      <c r="AR13" s="27" t="s">
        <v>16</v>
      </c>
      <c r="AS13" s="32" t="str">
        <f>AS14</f>
        <v>C Coquetiers de l'Antoine | | Autor &gt; Guy KRENZE - Eric GODDYN - Arnaud NICOLAS - CEPROC 2002</v>
      </c>
      <c r="AT13" s="33">
        <f>AT14</f>
        <v>18</v>
      </c>
      <c r="AU13" s="33" t="str">
        <f>AU14</f>
        <v>hueveras de 25 g</v>
      </c>
      <c r="AV13" s="34" t="str">
        <f>AV14</f>
        <v>Receta madre ► Morcilla en 4 versiones</v>
      </c>
      <c r="AW13" s="56"/>
      <c r="AX13" s="5165" t="s">
        <v>13101</v>
      </c>
      <c r="AY13" s="5468">
        <f>BE33/BB13</f>
        <v>1.5309999999999999</v>
      </c>
      <c r="AZ13" s="5468"/>
      <c r="BA13" s="5054" t="str" cm="1">
        <f t="array" ref="BA13">"1= "&amp;IF(OR(AW12&lt;=0,AY13=""),"",_xlfn.LET(_xlpm.kg,IF(ISNUMBER(AY13),AY13,VALEUR(SUBSTITUTE(SUBSTITUTE(SUBSTITUTE(LOWER(AY13),"kg",""),",",".")," ",""))),TEXT(ROUND(_xlpm.kg*1000/AW12,2),"0.##")&amp;" g"))</f>
        <v>1= 85.06 g</v>
      </c>
      <c r="BB13" s="1490">
        <f>IFERROR(BD12/AW12,0)</f>
        <v>2</v>
      </c>
      <c r="BC13" s="45"/>
      <c r="BD13" s="5041" t="s">
        <v>248</v>
      </c>
      <c r="BE13" s="5042">
        <f>BE33</f>
        <v>3.0619999999999998</v>
      </c>
      <c r="BF13" s="5045"/>
      <c r="BH13" s="104"/>
      <c r="BI13" s="32"/>
      <c r="BJ13" s="33"/>
      <c r="BK13" s="32"/>
      <c r="BL13" s="34"/>
      <c r="BM13" s="92"/>
      <c r="BN13" s="108"/>
      <c r="BO13" s="94"/>
      <c r="BP13" s="95"/>
      <c r="BQ13" s="105"/>
      <c r="BR13" s="5101"/>
      <c r="BS13" s="920"/>
      <c r="BT13" s="1495"/>
      <c r="BU13" s="101"/>
      <c r="BV13" s="1475"/>
      <c r="BX13" s="104"/>
      <c r="BY13" s="32"/>
      <c r="BZ13" s="33"/>
      <c r="CA13" s="32"/>
      <c r="CB13" s="34"/>
      <c r="CC13" s="92"/>
      <c r="CD13" s="108"/>
      <c r="CE13" s="94"/>
      <c r="CF13" s="95"/>
      <c r="CG13" s="105"/>
      <c r="CH13" s="5101"/>
      <c r="CI13" s="920"/>
      <c r="CJ13" s="1495"/>
      <c r="CK13" s="101"/>
      <c r="CL13" s="1475"/>
      <c r="CN13" s="104"/>
      <c r="CO13" s="32"/>
      <c r="CP13" s="33"/>
      <c r="CQ13" s="32"/>
      <c r="CR13" s="34"/>
      <c r="CS13" s="92"/>
      <c r="CT13" s="108"/>
      <c r="CU13" s="94"/>
      <c r="CV13" s="95"/>
      <c r="CW13" s="105"/>
      <c r="CX13" s="5101"/>
      <c r="CY13" s="920"/>
      <c r="CZ13" s="1495"/>
      <c r="DA13" s="101"/>
      <c r="DB13" s="1475"/>
      <c r="DC13" s="5109"/>
      <c r="DD13" s="5067"/>
      <c r="DF13" s="3">
        <v>1</v>
      </c>
    </row>
    <row r="14" spans="1:112" ht="21" customHeight="1">
      <c r="B14" s="952" t="str">
        <f t="shared" si="10"/>
        <v>►</v>
      </c>
      <c r="C14" s="993" cm="1">
        <f t="array" ref="C14">SUMPRODUCT(LEN(D14:J14))</f>
        <v>0</v>
      </c>
      <c r="D14" s="167"/>
      <c r="E14" s="172"/>
      <c r="F14" s="172"/>
      <c r="G14" s="172"/>
      <c r="H14" s="172"/>
      <c r="I14" s="172"/>
      <c r="J14" s="173"/>
      <c r="K14" s="442" t="s">
        <v>22</v>
      </c>
      <c r="L14" s="64" t="s">
        <v>16</v>
      </c>
      <c r="M14" s="65" t="str">
        <f>Q14</f>
        <v>C Coquetiers de l'Antoine | | Auteur &gt; Guy KRENZE - Eric GODDYN - Arnaud NICOLAS - CEPROC 2002</v>
      </c>
      <c r="N14" s="66">
        <f>Q12</f>
        <v>20</v>
      </c>
      <c r="O14" s="65" t="str">
        <f>R12</f>
        <v>coquetiers de 25 g</v>
      </c>
      <c r="P14" s="67" t="str">
        <f>V14&amp;" "&amp;W14</f>
        <v>Recette mère ► le Boudin en 4 déclinaisons</v>
      </c>
      <c r="Q14" s="68" t="str">
        <f>UPPER(LEFT(R8,1))&amp;" "&amp;R8&amp;" | "&amp;Y8&amp;"| "&amp;T10&amp;" "&amp;U10</f>
        <v>C Coquetiers de l'Antoine | | Auteur &gt; Guy KRENZE - Eric GODDYN - Arnaud NICOLAS - CEPROC 2002</v>
      </c>
      <c r="R14" s="69" t="s">
        <v>54</v>
      </c>
      <c r="S14" s="5469" t="s">
        <v>55</v>
      </c>
      <c r="T14" s="5469"/>
      <c r="U14" s="5469"/>
      <c r="V14" s="70" t="str">
        <f>IF(ISTEXT(W14),"Recette mère ►",R14)</f>
        <v>Recette mère ►</v>
      </c>
      <c r="W14" s="71" t="s">
        <v>12836</v>
      </c>
      <c r="X14" s="71"/>
      <c r="Y14" s="72"/>
      <c r="Z14" s="1473"/>
      <c r="AB14" s="64" t="s">
        <v>16</v>
      </c>
      <c r="AC14" s="65" t="str">
        <f>AG14</f>
        <v>C Coquetiers de l'Antoine | |  Author &gt; Guy KRENZE - Eric GODDYN - Arnaud NICOLAS - CEPROC 2002</v>
      </c>
      <c r="AD14" s="66">
        <f>AG12</f>
        <v>20</v>
      </c>
      <c r="AE14" s="65" t="str">
        <f>AH12</f>
        <v>egg cups of 25 g</v>
      </c>
      <c r="AF14" s="67" t="str">
        <f>AL14&amp;" "&amp;AM14</f>
        <v>Master recipe ► Black pudding in 4 variations</v>
      </c>
      <c r="AG14" s="68" t="str">
        <f>UPPER(LEFT(AH8,1))&amp;" "&amp;AH8&amp;" | "&amp;AO8&amp;"| "&amp;AJ10&amp;" "&amp;AK10</f>
        <v>C Coquetiers de l'Antoine | |  Author &gt; Guy KRENZE - Eric GODDYN - Arnaud NICOLAS - CEPROC 2002</v>
      </c>
      <c r="AH14" s="69" t="s">
        <v>3315</v>
      </c>
      <c r="AI14" s="5469" t="s">
        <v>3316</v>
      </c>
      <c r="AJ14" s="5469"/>
      <c r="AK14" s="5469"/>
      <c r="AL14" s="70" t="str">
        <f>IF(ISTEXT(AM14),"Master recipe ►",AH14)</f>
        <v>Master recipe ►</v>
      </c>
      <c r="AM14" s="71" t="s">
        <v>12924</v>
      </c>
      <c r="AN14" s="71"/>
      <c r="AO14" s="72"/>
      <c r="AP14" s="1473"/>
      <c r="AR14" s="64" t="s">
        <v>16</v>
      </c>
      <c r="AS14" s="65" t="str">
        <f>AW14</f>
        <v>C Coquetiers de l'Antoine | | Autor &gt; Guy KRENZE - Eric GODDYN - Arnaud NICOLAS - CEPROC 2002</v>
      </c>
      <c r="AT14" s="66">
        <f>AW12</f>
        <v>18</v>
      </c>
      <c r="AU14" s="65" t="str">
        <f>AX12</f>
        <v>hueveras de 25 g</v>
      </c>
      <c r="AV14" s="67" t="str">
        <f>BB14&amp;" "&amp;BC14</f>
        <v>Receta madre ► Morcilla en 4 versiones</v>
      </c>
      <c r="AW14" s="68" t="str">
        <f>UPPER(LEFT(AX8,1))&amp;" "&amp;AX8&amp;" | "&amp;BE8&amp;"| "&amp;AZ10&amp;" "&amp;BA10</f>
        <v>C Coquetiers de l'Antoine | | Autor &gt; Guy KRENZE - Eric GODDYN - Arnaud NICOLAS - CEPROC 2002</v>
      </c>
      <c r="AX14" s="69" t="s">
        <v>3319</v>
      </c>
      <c r="AY14" s="5469" t="s">
        <v>906</v>
      </c>
      <c r="AZ14" s="5469"/>
      <c r="BA14" s="5469"/>
      <c r="BB14" s="70" t="str">
        <f>IF(ISTEXT(BC14),"Receta madre ►",AX14)</f>
        <v>Receta madre ►</v>
      </c>
      <c r="BC14" s="71" t="s">
        <v>12925</v>
      </c>
      <c r="BD14" s="71"/>
      <c r="BE14" s="72"/>
      <c r="BF14" s="1473"/>
      <c r="BH14" s="104"/>
      <c r="BI14" s="32"/>
      <c r="BJ14" s="33"/>
      <c r="BK14" s="32"/>
      <c r="BL14" s="34"/>
      <c r="BM14" s="92"/>
      <c r="BN14" s="108"/>
      <c r="BO14" s="94"/>
      <c r="BP14" s="95"/>
      <c r="BQ14" s="105"/>
      <c r="BR14" s="5101"/>
      <c r="BS14" s="920"/>
      <c r="BT14" s="1495"/>
      <c r="BU14" s="101"/>
      <c r="BV14" s="1475"/>
      <c r="BX14" s="104"/>
      <c r="BY14" s="32"/>
      <c r="BZ14" s="33"/>
      <c r="CA14" s="32"/>
      <c r="CB14" s="34"/>
      <c r="CC14" s="92"/>
      <c r="CD14" s="108"/>
      <c r="CE14" s="94"/>
      <c r="CF14" s="95"/>
      <c r="CG14" s="105"/>
      <c r="CH14" s="5101"/>
      <c r="CI14" s="920"/>
      <c r="CJ14" s="1495"/>
      <c r="CK14" s="101"/>
      <c r="CL14" s="1475"/>
      <c r="CN14" s="104"/>
      <c r="CO14" s="32"/>
      <c r="CP14" s="33"/>
      <c r="CQ14" s="32"/>
      <c r="CR14" s="34"/>
      <c r="CS14" s="92"/>
      <c r="CT14" s="108"/>
      <c r="CU14" s="94"/>
      <c r="CV14" s="95"/>
      <c r="CW14" s="105"/>
      <c r="CX14" s="5101"/>
      <c r="CY14" s="920"/>
      <c r="CZ14" s="1495"/>
      <c r="DA14" s="101"/>
      <c r="DB14" s="1475"/>
      <c r="DC14" s="5109"/>
      <c r="DD14" s="5088"/>
      <c r="DF14" s="3">
        <v>1</v>
      </c>
    </row>
    <row r="15" spans="1:112" ht="21" customHeight="1">
      <c r="B15" s="952" t="str">
        <f t="shared" si="10"/>
        <v>►</v>
      </c>
      <c r="C15" s="993" cm="1">
        <f t="array" ref="C15">SUMPRODUCT(LEN(D15:J15))</f>
        <v>0</v>
      </c>
      <c r="D15" s="167"/>
      <c r="E15" s="172"/>
      <c r="F15" s="172"/>
      <c r="G15" s="172"/>
      <c r="H15" s="172"/>
      <c r="I15" s="172"/>
      <c r="J15" s="173"/>
      <c r="K15" s="442" t="s">
        <v>22</v>
      </c>
      <c r="L15" s="74" t="s">
        <v>16</v>
      </c>
      <c r="M15" s="75" t="str">
        <f>M14</f>
        <v>C Coquetiers de l'Antoine | | Auteur &gt; Guy KRENZE - Eric GODDYN - Arnaud NICOLAS - CEPROC 2002</v>
      </c>
      <c r="N15" s="75">
        <f>N14</f>
        <v>20</v>
      </c>
      <c r="O15" s="75" t="str">
        <f>O14</f>
        <v>coquetiers de 25 g</v>
      </c>
      <c r="P15" s="76" t="str">
        <f>P14</f>
        <v>Recette mère ► le Boudin en 4 déclinaisons</v>
      </c>
      <c r="Q15" s="13" t="s">
        <v>66</v>
      </c>
      <c r="R15" s="13" t="s">
        <v>67</v>
      </c>
      <c r="S15" s="13" t="s">
        <v>68</v>
      </c>
      <c r="T15" s="13" t="s">
        <v>69</v>
      </c>
      <c r="U15" s="77" t="s">
        <v>70</v>
      </c>
      <c r="V15" s="78" t="s">
        <v>71</v>
      </c>
      <c r="W15" s="79" t="s">
        <v>72</v>
      </c>
      <c r="X15" s="1496" t="s">
        <v>73</v>
      </c>
      <c r="Y15" s="13" t="s">
        <v>74</v>
      </c>
      <c r="Z15" s="518" t="s">
        <v>75</v>
      </c>
      <c r="AB15" s="74" t="s">
        <v>16</v>
      </c>
      <c r="AC15" s="75" t="str">
        <f>AC14</f>
        <v>C Coquetiers de l'Antoine | |  Author &gt; Guy KRENZE - Eric GODDYN - Arnaud NICOLAS - CEPROC 2002</v>
      </c>
      <c r="AD15" s="75">
        <f>AD14</f>
        <v>20</v>
      </c>
      <c r="AE15" s="75" t="str">
        <f>AE14</f>
        <v>egg cups of 25 g</v>
      </c>
      <c r="AF15" s="76" t="str">
        <f>AF14</f>
        <v>Master recipe ► Black pudding in 4 variations</v>
      </c>
      <c r="AG15" s="13" t="s">
        <v>66</v>
      </c>
      <c r="AH15" s="13" t="s">
        <v>67</v>
      </c>
      <c r="AI15" s="13" t="s">
        <v>68</v>
      </c>
      <c r="AJ15" s="13" t="s">
        <v>69</v>
      </c>
      <c r="AK15" s="77" t="s">
        <v>70</v>
      </c>
      <c r="AL15" s="78" t="s">
        <v>71</v>
      </c>
      <c r="AM15" s="79" t="s">
        <v>72</v>
      </c>
      <c r="AN15" s="1496" t="s">
        <v>73</v>
      </c>
      <c r="AO15" s="13" t="s">
        <v>75</v>
      </c>
      <c r="AP15" s="518" t="s">
        <v>76</v>
      </c>
      <c r="AR15" s="74" t="s">
        <v>16</v>
      </c>
      <c r="AS15" s="75" t="str">
        <f>AS14</f>
        <v>C Coquetiers de l'Antoine | | Autor &gt; Guy KRENZE - Eric GODDYN - Arnaud NICOLAS - CEPROC 2002</v>
      </c>
      <c r="AT15" s="75">
        <f>AT14</f>
        <v>18</v>
      </c>
      <c r="AU15" s="75" t="str">
        <f>AU14</f>
        <v>hueveras de 25 g</v>
      </c>
      <c r="AV15" s="76" t="str">
        <f>AV14</f>
        <v>Receta madre ► Morcilla en 4 versiones</v>
      </c>
      <c r="AW15" s="13" t="s">
        <v>66</v>
      </c>
      <c r="AX15" s="13" t="s">
        <v>67</v>
      </c>
      <c r="AY15" s="13" t="s">
        <v>68</v>
      </c>
      <c r="AZ15" s="13" t="s">
        <v>69</v>
      </c>
      <c r="BA15" s="77" t="s">
        <v>70</v>
      </c>
      <c r="BB15" s="78" t="s">
        <v>71</v>
      </c>
      <c r="BC15" s="79" t="s">
        <v>72</v>
      </c>
      <c r="BD15" s="1496" t="s">
        <v>73</v>
      </c>
      <c r="BE15" s="13" t="s">
        <v>74</v>
      </c>
      <c r="BF15" s="518" t="s">
        <v>75</v>
      </c>
      <c r="BH15" s="104"/>
      <c r="BI15" s="32"/>
      <c r="BJ15" s="33"/>
      <c r="BK15" s="32"/>
      <c r="BL15" s="34"/>
      <c r="BM15" s="92"/>
      <c r="BN15" s="108"/>
      <c r="BO15" s="94"/>
      <c r="BP15" s="95"/>
      <c r="BQ15" s="105"/>
      <c r="BR15" s="5101"/>
      <c r="BS15" s="920"/>
      <c r="BT15" s="1495"/>
      <c r="BU15" s="101"/>
      <c r="BV15" s="1475"/>
      <c r="BX15" s="104"/>
      <c r="BY15" s="32"/>
      <c r="BZ15" s="33"/>
      <c r="CA15" s="32"/>
      <c r="CB15" s="34"/>
      <c r="CC15" s="92"/>
      <c r="CD15" s="108"/>
      <c r="CE15" s="94"/>
      <c r="CF15" s="95"/>
      <c r="CG15" s="105"/>
      <c r="CH15" s="5101"/>
      <c r="CI15" s="920"/>
      <c r="CJ15" s="1495"/>
      <c r="CK15" s="101"/>
      <c r="CL15" s="1475"/>
      <c r="CN15" s="104"/>
      <c r="CO15" s="32"/>
      <c r="CP15" s="33"/>
      <c r="CQ15" s="32"/>
      <c r="CR15" s="34"/>
      <c r="CS15" s="92"/>
      <c r="CT15" s="108"/>
      <c r="CU15" s="94"/>
      <c r="CV15" s="95"/>
      <c r="CW15" s="105"/>
      <c r="CX15" s="5101"/>
      <c r="CY15" s="920"/>
      <c r="CZ15" s="1495"/>
      <c r="DA15" s="101"/>
      <c r="DB15" s="1475"/>
      <c r="DC15" s="5109"/>
      <c r="DD15" s="5088"/>
      <c r="DF15" s="3">
        <v>1</v>
      </c>
    </row>
    <row r="16" spans="1:112" ht="21" customHeight="1">
      <c r="B16" s="952" t="str">
        <f t="shared" si="10"/>
        <v>A</v>
      </c>
      <c r="C16" s="993" cm="1">
        <f t="array" ref="C16">SUMPRODUCT(LEN(D16:J16))</f>
        <v>0</v>
      </c>
      <c r="D16" s="167"/>
      <c r="E16" s="172"/>
      <c r="F16" s="172"/>
      <c r="G16" s="172"/>
      <c r="H16" s="172"/>
      <c r="I16" s="172"/>
      <c r="J16" s="173"/>
      <c r="K16" s="442" t="s">
        <v>22</v>
      </c>
      <c r="L16" s="27" t="s">
        <v>11</v>
      </c>
      <c r="M16" s="32" t="str">
        <f>M14</f>
        <v>C Coquetiers de l'Antoine | | Auteur &gt; Guy KRENZE - Eric GODDYN - Arnaud NICOLAS - CEPROC 2002</v>
      </c>
      <c r="N16" s="33">
        <f>N14</f>
        <v>20</v>
      </c>
      <c r="O16" s="32" t="str">
        <f>O14</f>
        <v>coquetiers de 25 g</v>
      </c>
      <c r="P16" s="34" t="str">
        <f>P14</f>
        <v>Recette mère ► le Boudin en 4 déclinaisons</v>
      </c>
      <c r="Q16" s="81" t="s">
        <v>77</v>
      </c>
      <c r="R16" s="82" t="s">
        <v>78</v>
      </c>
      <c r="S16" s="83"/>
      <c r="T16" s="5454" t="s">
        <v>79</v>
      </c>
      <c r="U16" s="5464" t="s">
        <v>80</v>
      </c>
      <c r="V16" s="5466" t="s">
        <v>81</v>
      </c>
      <c r="W16" s="84" t="s">
        <v>82</v>
      </c>
      <c r="X16" s="5444" t="s">
        <v>83</v>
      </c>
      <c r="Y16" s="5446" t="s">
        <v>3297</v>
      </c>
      <c r="Z16" s="5448" t="s">
        <v>86</v>
      </c>
      <c r="AB16" s="27" t="s">
        <v>11</v>
      </c>
      <c r="AC16" s="32" t="str">
        <f>AC14</f>
        <v>C Coquetiers de l'Antoine | |  Author &gt; Guy KRENZE - Eric GODDYN - Arnaud NICOLAS - CEPROC 2002</v>
      </c>
      <c r="AD16" s="33">
        <f>AD14</f>
        <v>20</v>
      </c>
      <c r="AE16" s="32" t="str">
        <f>AE14</f>
        <v>egg cups of 25 g</v>
      </c>
      <c r="AF16" s="34" t="str">
        <f>AF14</f>
        <v>Master recipe ► Black pudding in 4 variations</v>
      </c>
      <c r="AG16" s="81" t="s">
        <v>77</v>
      </c>
      <c r="AH16" s="82" t="s">
        <v>78</v>
      </c>
      <c r="AI16" s="83"/>
      <c r="AJ16" s="5454" t="s">
        <v>228</v>
      </c>
      <c r="AK16" s="5464" t="s">
        <v>80</v>
      </c>
      <c r="AL16" s="5466" t="s">
        <v>81</v>
      </c>
      <c r="AM16" s="84" t="s">
        <v>82</v>
      </c>
      <c r="AN16" s="5444" t="s">
        <v>244</v>
      </c>
      <c r="AO16" s="5446" t="s">
        <v>890</v>
      </c>
      <c r="AP16" s="5448" t="s">
        <v>247</v>
      </c>
      <c r="AR16" s="27" t="s">
        <v>11</v>
      </c>
      <c r="AS16" s="32" t="str">
        <f>AS14</f>
        <v>C Coquetiers de l'Antoine | | Autor &gt; Guy KRENZE - Eric GODDYN - Arnaud NICOLAS - CEPROC 2002</v>
      </c>
      <c r="AT16" s="33">
        <f>AT14</f>
        <v>18</v>
      </c>
      <c r="AU16" s="32" t="str">
        <f>AU14</f>
        <v>hueveras de 25 g</v>
      </c>
      <c r="AV16" s="34" t="str">
        <f>AV14</f>
        <v>Receta madre ► Morcilla en 4 versiones</v>
      </c>
      <c r="AW16" s="81" t="s">
        <v>77</v>
      </c>
      <c r="AX16" s="82" t="s">
        <v>78</v>
      </c>
      <c r="AY16" s="83"/>
      <c r="AZ16" s="5470" t="s">
        <v>229</v>
      </c>
      <c r="BA16" s="5495" t="s">
        <v>80</v>
      </c>
      <c r="BB16" s="5481" t="s">
        <v>396</v>
      </c>
      <c r="BC16" s="84" t="s">
        <v>82</v>
      </c>
      <c r="BD16" s="5444" t="s">
        <v>249</v>
      </c>
      <c r="BE16" s="5446" t="s">
        <v>907</v>
      </c>
      <c r="BF16" s="5448" t="s">
        <v>252</v>
      </c>
      <c r="BH16" s="104"/>
      <c r="BI16" s="32"/>
      <c r="BJ16" s="33"/>
      <c r="BK16" s="32"/>
      <c r="BL16" s="34"/>
      <c r="BM16" s="92"/>
      <c r="BN16" s="108"/>
      <c r="BO16" s="94"/>
      <c r="BP16" s="95"/>
      <c r="BQ16" s="105"/>
      <c r="BR16" s="5101"/>
      <c r="BS16" s="920"/>
      <c r="BT16" s="1495"/>
      <c r="BU16" s="101"/>
      <c r="BV16" s="1475"/>
      <c r="BX16" s="104"/>
      <c r="BY16" s="32"/>
      <c r="BZ16" s="33"/>
      <c r="CA16" s="32"/>
      <c r="CB16" s="34"/>
      <c r="CC16" s="92"/>
      <c r="CD16" s="108"/>
      <c r="CE16" s="94"/>
      <c r="CF16" s="95"/>
      <c r="CG16" s="105"/>
      <c r="CH16" s="5101"/>
      <c r="CI16" s="920"/>
      <c r="CJ16" s="1495"/>
      <c r="CK16" s="101"/>
      <c r="CL16" s="1475"/>
      <c r="CN16" s="104"/>
      <c r="CO16" s="32"/>
      <c r="CP16" s="33"/>
      <c r="CQ16" s="32"/>
      <c r="CR16" s="34"/>
      <c r="CS16" s="92"/>
      <c r="CT16" s="108"/>
      <c r="CU16" s="94"/>
      <c r="CV16" s="95"/>
      <c r="CW16" s="105"/>
      <c r="CX16" s="5101"/>
      <c r="CY16" s="920"/>
      <c r="CZ16" s="1495"/>
      <c r="DA16" s="101"/>
      <c r="DB16" s="1475"/>
      <c r="DC16" s="5109"/>
      <c r="DD16" s="5088"/>
      <c r="DF16" s="3">
        <v>1</v>
      </c>
    </row>
    <row r="17" spans="2:110" ht="21" customHeight="1">
      <c r="B17" s="952" t="str">
        <f t="shared" si="10"/>
        <v>A</v>
      </c>
      <c r="C17" s="993" cm="1">
        <f t="array" ref="C17">SUMPRODUCT(LEN(D17:J17))</f>
        <v>0</v>
      </c>
      <c r="D17" s="167"/>
      <c r="E17" s="172"/>
      <c r="F17" s="172"/>
      <c r="G17" s="172"/>
      <c r="H17" s="172"/>
      <c r="I17" s="172"/>
      <c r="J17" s="173"/>
      <c r="K17" s="442" t="s">
        <v>22</v>
      </c>
      <c r="L17" s="27" t="s">
        <v>11</v>
      </c>
      <c r="M17" s="32" t="str">
        <f>M14</f>
        <v>C Coquetiers de l'Antoine | | Auteur &gt; Guy KRENZE - Eric GODDYN - Arnaud NICOLAS - CEPROC 2002</v>
      </c>
      <c r="N17" s="33">
        <f>N14</f>
        <v>20</v>
      </c>
      <c r="O17" s="32" t="str">
        <f>O14</f>
        <v>coquetiers de 25 g</v>
      </c>
      <c r="P17" s="34" t="str">
        <f>P14</f>
        <v>Recette mère ► le Boudin en 4 déclinaisons</v>
      </c>
      <c r="Q17" s="87" t="s">
        <v>91</v>
      </c>
      <c r="R17" s="88" t="s">
        <v>92</v>
      </c>
      <c r="S17" s="89" t="s">
        <v>93</v>
      </c>
      <c r="T17" s="5455"/>
      <c r="U17" s="5465"/>
      <c r="V17" s="5467"/>
      <c r="W17" s="90" t="s">
        <v>94</v>
      </c>
      <c r="X17" s="5445"/>
      <c r="Y17" s="5447"/>
      <c r="Z17" s="5449"/>
      <c r="AB17" s="27" t="s">
        <v>11</v>
      </c>
      <c r="AC17" s="32" t="str">
        <f>AC14</f>
        <v>C Coquetiers de l'Antoine | |  Author &gt; Guy KRENZE - Eric GODDYN - Arnaud NICOLAS - CEPROC 2002</v>
      </c>
      <c r="AD17" s="33">
        <f>AD14</f>
        <v>20</v>
      </c>
      <c r="AE17" s="32" t="str">
        <f>AE14</f>
        <v>egg cups of 25 g</v>
      </c>
      <c r="AF17" s="34" t="str">
        <f>AF14</f>
        <v>Master recipe ► Black pudding in 4 variations</v>
      </c>
      <c r="AG17" s="87" t="s">
        <v>231</v>
      </c>
      <c r="AH17" s="88" t="s">
        <v>232</v>
      </c>
      <c r="AI17" s="89" t="s">
        <v>891</v>
      </c>
      <c r="AJ17" s="5455"/>
      <c r="AK17" s="5465"/>
      <c r="AL17" s="5467"/>
      <c r="AM17" s="90" t="s">
        <v>867</v>
      </c>
      <c r="AN17" s="5445"/>
      <c r="AO17" s="5447"/>
      <c r="AP17" s="5449"/>
      <c r="AR17" s="27" t="s">
        <v>11</v>
      </c>
      <c r="AS17" s="32" t="str">
        <f>AS14</f>
        <v>C Coquetiers de l'Antoine | | Autor &gt; Guy KRENZE - Eric GODDYN - Arnaud NICOLAS - CEPROC 2002</v>
      </c>
      <c r="AT17" s="33">
        <f>AT14</f>
        <v>18</v>
      </c>
      <c r="AU17" s="32" t="str">
        <f>AU14</f>
        <v>hueveras de 25 g</v>
      </c>
      <c r="AV17" s="34" t="str">
        <f>AV14</f>
        <v>Receta madre ► Morcilla en 4 versiones</v>
      </c>
      <c r="AW17" s="87" t="s">
        <v>234</v>
      </c>
      <c r="AX17" s="88" t="s">
        <v>235</v>
      </c>
      <c r="AY17" s="89" t="s">
        <v>93</v>
      </c>
      <c r="AZ17" s="5455"/>
      <c r="BA17" s="5465"/>
      <c r="BB17" s="5467"/>
      <c r="BC17" s="90" t="s">
        <v>869</v>
      </c>
      <c r="BD17" s="5445"/>
      <c r="BE17" s="5447"/>
      <c r="BF17" s="5449"/>
      <c r="BH17" s="104"/>
      <c r="BI17" s="32"/>
      <c r="BJ17" s="33"/>
      <c r="BK17" s="32"/>
      <c r="BL17" s="34"/>
      <c r="BM17" s="92"/>
      <c r="BN17" s="108"/>
      <c r="BO17" s="94"/>
      <c r="BP17" s="95"/>
      <c r="BQ17" s="105"/>
      <c r="BR17" s="5101"/>
      <c r="BS17" s="920"/>
      <c r="BT17" s="1495"/>
      <c r="BU17" s="101"/>
      <c r="BV17" s="1475"/>
      <c r="BX17" s="104"/>
      <c r="BY17" s="32"/>
      <c r="BZ17" s="33"/>
      <c r="CA17" s="32"/>
      <c r="CB17" s="34"/>
      <c r="CC17" s="92"/>
      <c r="CD17" s="108"/>
      <c r="CE17" s="94"/>
      <c r="CF17" s="95"/>
      <c r="CG17" s="105"/>
      <c r="CH17" s="5101"/>
      <c r="CI17" s="920"/>
      <c r="CJ17" s="1495"/>
      <c r="CK17" s="101"/>
      <c r="CL17" s="1475"/>
      <c r="CN17" s="104"/>
      <c r="CO17" s="32"/>
      <c r="CP17" s="33"/>
      <c r="CQ17" s="32"/>
      <c r="CR17" s="34"/>
      <c r="CS17" s="92"/>
      <c r="CT17" s="108"/>
      <c r="CU17" s="94"/>
      <c r="CV17" s="95"/>
      <c r="CW17" s="105"/>
      <c r="CX17" s="5101"/>
      <c r="CY17" s="920"/>
      <c r="CZ17" s="1495"/>
      <c r="DA17" s="101"/>
      <c r="DB17" s="1475"/>
      <c r="DC17" s="5109"/>
      <c r="DD17" s="5086"/>
      <c r="DF17" s="3">
        <v>1</v>
      </c>
    </row>
    <row r="18" spans="2:110" ht="21" customHeight="1">
      <c r="B18" s="952" t="str">
        <f t="shared" si="10"/>
        <v>A</v>
      </c>
      <c r="C18" s="993" cm="1">
        <f t="array" ref="C18">SUMPRODUCT(LEN(D18:J18))</f>
        <v>0</v>
      </c>
      <c r="D18" s="167"/>
      <c r="E18" s="172"/>
      <c r="F18" s="172"/>
      <c r="G18" s="172"/>
      <c r="H18" s="172"/>
      <c r="I18" s="172"/>
      <c r="J18" s="173"/>
      <c r="K18" s="442" t="s">
        <v>22</v>
      </c>
      <c r="L18" s="27" t="s">
        <v>11</v>
      </c>
      <c r="M18" s="32" t="str">
        <f>M14</f>
        <v>C Coquetiers de l'Antoine | | Auteur &gt; Guy KRENZE - Eric GODDYN - Arnaud NICOLAS - CEPROC 2002</v>
      </c>
      <c r="N18" s="33">
        <f>N14</f>
        <v>20</v>
      </c>
      <c r="O18" s="32" t="str">
        <f>O14</f>
        <v>coquetiers de 25 g</v>
      </c>
      <c r="P18" s="34" t="str">
        <f>P14</f>
        <v>Recette mère ► le Boudin en 4 déclinaisons</v>
      </c>
      <c r="Q18" s="92"/>
      <c r="R18" s="93"/>
      <c r="S18" s="94" t="str">
        <f t="shared" ref="S18:S32" si="11">IF(OR(ISTEXT(Q18), Q18&lt;=0, T18&lt;=0), "", "de")</f>
        <v/>
      </c>
      <c r="T18" s="95">
        <v>300</v>
      </c>
      <c r="U18" s="105" t="s">
        <v>99</v>
      </c>
      <c r="V18" s="127">
        <v>1</v>
      </c>
      <c r="W18" s="919" t="s">
        <v>12821</v>
      </c>
      <c r="X18" s="100">
        <f>IF(OR(ISBLANK(Q12),X12=0),0,Q18*V13)</f>
        <v>0</v>
      </c>
      <c r="Y18" s="101" cm="1">
        <f t="array" ref="Y18">IFERROR(_xlfn.LET(_xlpm.k,UPPER(TRIM(U18)),_xlpm.r,_xlfn.XLOOKUP(_xlpm.k,UPPER(TRIM(Q34:Z34)),Q35:Z35,_xlfn.XLOOKUP(_xlpm.k,UPPER(TRIM(Q36:Z36)),Q37:Z37)),_xlpm.r*T18*V18*V13*IF(ISBLANK(Q18),1,Q18)),0)</f>
        <v>0.3</v>
      </c>
      <c r="Z18" s="1476" t="str">
        <f>_xlfn.LET(_xlpm.unite,SUBSTITUTE(TRIM(U18)," (s)",""),_xlpm.val,Y18,_xlpm.estVol,COUNTIF(T34:Z34,_xlpm.unite)+COUNTIF(T36:Z36,_xlpm.unite)&gt;0,_xlpm.estPoids,COUNTIF(Q34:S34,_xlpm.unite)+COUNTIF(Q36:S36,_xlpm.unite)&gt;0,IF(_xlpm.estVol,IF(ROUND(_xlpm.val,3)&gt;=1,ROUND(_xlpm.val,3)&amp;" L",MAX(1,ROUND(_xlpm.val*100,0))&amp;" cl"),IF(_xlpm.estPoids,IF(ROUND(_xlpm.val,3)&gt;=1,ROUND(_xlpm.val,3)&amp;" Kg",MAX(1,ROUND(_xlpm.val*1000,0))&amp;" g"),"")))</f>
        <v>300 g</v>
      </c>
      <c r="AB18" s="27" t="s">
        <v>11</v>
      </c>
      <c r="AC18" s="32" t="str">
        <f>AC14</f>
        <v>C Coquetiers de l'Antoine | |  Author &gt; Guy KRENZE - Eric GODDYN - Arnaud NICOLAS - CEPROC 2002</v>
      </c>
      <c r="AD18" s="33">
        <f>AD14</f>
        <v>20</v>
      </c>
      <c r="AE18" s="32" t="str">
        <f>AE14</f>
        <v>egg cups of 25 g</v>
      </c>
      <c r="AF18" s="34" t="str">
        <f>AF14</f>
        <v>Master recipe ► Black pudding in 4 variations</v>
      </c>
      <c r="AG18" s="92"/>
      <c r="AH18" s="93"/>
      <c r="AI18" s="94" t="str">
        <f t="shared" ref="AI18:AI32" si="12">IF(OR(ISTEXT(AG18), AG18&lt;=0, AJ18&lt;=0), "", "de")</f>
        <v/>
      </c>
      <c r="AJ18" s="95">
        <v>300</v>
      </c>
      <c r="AK18" s="105" t="s">
        <v>99</v>
      </c>
      <c r="AL18" s="127">
        <v>1</v>
      </c>
      <c r="AM18" s="919" t="s">
        <v>12868</v>
      </c>
      <c r="AN18" s="100">
        <f>IF(OR(ISBLANK(AG12),AN12=0),0,AG18*AL13)</f>
        <v>0</v>
      </c>
      <c r="AO18" s="101" cm="1">
        <f t="array" ref="AO18">IFERROR(_xlfn.LET(_xlpm.k,UPPER(TRIM(AK18)),_xlpm.r,_xlfn.XLOOKUP(_xlpm.k,UPPER(TRIM(AG34:AP34)),AG35:AP35,_xlfn.XLOOKUP(_xlpm.k,UPPER(TRIM(AG36:AP36)),AG37:AP37)),_xlpm.r*AJ18*AL18*AL13*IF(ISBLANK(AG18),1,AG18)),0)</f>
        <v>0.3</v>
      </c>
      <c r="AP18" s="1476" t="str">
        <f>_xlfn.LET(_xlpm.unite,SUBSTITUTE(TRIM(AK18)," (s)",""),_xlpm.val,AO18,_xlpm.estVol,COUNTIF(AJ34:AP34,_xlpm.unite)+COUNTIF(AJ36:AP36,_xlpm.unite)&gt;0,_xlpm.estPoids,COUNTIF(AG34:AI34,_xlpm.unite)+COUNTIF(AG36:AI36,_xlpm.unite)&gt;0,IF(_xlpm.estVol,IF(ROUND(_xlpm.val,3)&gt;=1,ROUND(_xlpm.val,3)&amp;" L",MAX(1,ROUND(_xlpm.val*100,0))&amp;" cl"),IF(_xlpm.estPoids,IF(ROUND(_xlpm.val,3)&gt;=1,ROUND(_xlpm.val,3)&amp;" Kg",MAX(1,ROUND(_xlpm.val*1000,0))&amp;" g"),"")))</f>
        <v>300 g</v>
      </c>
      <c r="AR18" s="27" t="s">
        <v>11</v>
      </c>
      <c r="AS18" s="32" t="str">
        <f>AS14</f>
        <v>C Coquetiers de l'Antoine | | Autor &gt; Guy KRENZE - Eric GODDYN - Arnaud NICOLAS - CEPROC 2002</v>
      </c>
      <c r="AT18" s="33">
        <f>AT14</f>
        <v>18</v>
      </c>
      <c r="AU18" s="32" t="str">
        <f>AU14</f>
        <v>hueveras de 25 g</v>
      </c>
      <c r="AV18" s="34" t="str">
        <f>AV14</f>
        <v>Receta madre ► Morcilla en 4 versiones</v>
      </c>
      <c r="AW18" s="92"/>
      <c r="AX18" s="93"/>
      <c r="AY18" s="94" t="str">
        <f t="shared" ref="AY18:AY32" si="13">IF(OR(ISTEXT(AW18), AW18&lt;=0, AZ18&lt;=0), "", "de")</f>
        <v/>
      </c>
      <c r="AZ18" s="95">
        <v>300</v>
      </c>
      <c r="BA18" s="105" t="s">
        <v>99</v>
      </c>
      <c r="BB18" s="127">
        <v>1</v>
      </c>
      <c r="BC18" s="919" t="s">
        <v>12869</v>
      </c>
      <c r="BD18" s="100">
        <f>IF(OR(ISBLANK(AW12),BD12=0),0,AW18*BB13)</f>
        <v>0</v>
      </c>
      <c r="BE18" s="101" cm="1">
        <f t="array" ref="BE18">IFERROR(_xlfn.LET(_xlpm.k,UPPER(TRIM(BA18)),_xlpm.r,_xlfn.XLOOKUP(_xlpm.k,UPPER(TRIM(AW34:BF34)),AW35:BF35,_xlfn.XLOOKUP(_xlpm.k,UPPER(TRIM(AW36:BF36)),AW37:BF37)),_xlpm.r*AZ18*BB18*BB13*IF(ISBLANK(AW18),1,AW18)),0)</f>
        <v>0.6</v>
      </c>
      <c r="BF18" s="1476" t="str">
        <f>_xlfn.LET(_xlpm.unite,SUBSTITUTE(TRIM(BA18)," (s)",""),_xlpm.val,BE18,_xlpm.estVol,COUNTIF(AZ34:BF34,_xlpm.unite)+COUNTIF(AZ36:BF36,_xlpm.unite)&gt;0,_xlpm.estPoids,COUNTIF(AW34:AY34,_xlpm.unite)+COUNTIF(AW36:AY36,_xlpm.unite)&gt;0,IF(_xlpm.estVol,IF(ROUND(_xlpm.val,3)&gt;=1,ROUND(_xlpm.val,3)&amp;" L",MAX(1,ROUND(_xlpm.val*100,0))&amp;" cl"),IF(_xlpm.estPoids,IF(ROUND(_xlpm.val,3)&gt;=1,ROUND(_xlpm.val,3)&amp;" Kg",MAX(1,ROUND(_xlpm.val*1000,0))&amp;" g"),"")))</f>
        <v>600 g</v>
      </c>
      <c r="BH18" s="104"/>
      <c r="BI18" s="32"/>
      <c r="BJ18" s="33"/>
      <c r="BK18" s="32"/>
      <c r="BL18" s="34"/>
      <c r="BM18" s="92"/>
      <c r="BN18" s="108"/>
      <c r="BO18" s="94"/>
      <c r="BP18" s="95"/>
      <c r="BQ18" s="105"/>
      <c r="BR18" s="5101"/>
      <c r="BS18" s="920"/>
      <c r="BT18" s="1495"/>
      <c r="BU18" s="101"/>
      <c r="BV18" s="1475"/>
      <c r="BX18" s="104"/>
      <c r="BY18" s="32"/>
      <c r="BZ18" s="33"/>
      <c r="CA18" s="32"/>
      <c r="CB18" s="34"/>
      <c r="CC18" s="92"/>
      <c r="CD18" s="108"/>
      <c r="CE18" s="94"/>
      <c r="CF18" s="95"/>
      <c r="CG18" s="105"/>
      <c r="CH18" s="5101"/>
      <c r="CI18" s="920"/>
      <c r="CJ18" s="1495"/>
      <c r="CK18" s="101"/>
      <c r="CL18" s="1475"/>
      <c r="CN18" s="104"/>
      <c r="CO18" s="32"/>
      <c r="CP18" s="33"/>
      <c r="CQ18" s="32"/>
      <c r="CR18" s="34"/>
      <c r="CS18" s="92"/>
      <c r="CT18" s="108"/>
      <c r="CU18" s="94"/>
      <c r="CV18" s="95"/>
      <c r="CW18" s="105"/>
      <c r="CX18" s="5101"/>
      <c r="CY18" s="920"/>
      <c r="CZ18" s="1495"/>
      <c r="DA18" s="101"/>
      <c r="DB18" s="1475"/>
      <c r="DC18" s="5109"/>
      <c r="DD18" s="5086"/>
      <c r="DF18" s="3">
        <v>1</v>
      </c>
    </row>
    <row r="19" spans="2:110" ht="21" customHeight="1">
      <c r="B19" s="952" t="str">
        <f t="shared" si="10"/>
        <v>A</v>
      </c>
      <c r="C19" s="993" cm="1">
        <f t="array" ref="C19">SUMPRODUCT(LEN(D19:J19))</f>
        <v>0</v>
      </c>
      <c r="D19" s="167"/>
      <c r="E19" s="172"/>
      <c r="F19" s="172"/>
      <c r="G19" s="172"/>
      <c r="H19" s="172"/>
      <c r="I19" s="172"/>
      <c r="J19" s="173"/>
      <c r="K19" s="442" t="s">
        <v>22</v>
      </c>
      <c r="L19" s="104" t="str">
        <f t="shared" ref="L19:L32" si="14">IF(W19&lt;&gt;"","A","►")</f>
        <v>A</v>
      </c>
      <c r="M19" s="32" t="str">
        <f>M14</f>
        <v>C Coquetiers de l'Antoine | | Auteur &gt; Guy KRENZE - Eric GODDYN - Arnaud NICOLAS - CEPROC 2002</v>
      </c>
      <c r="N19" s="33">
        <f>N14</f>
        <v>20</v>
      </c>
      <c r="O19" s="32" t="str">
        <f>O14</f>
        <v>coquetiers de 25 g</v>
      </c>
      <c r="P19" s="34" t="str">
        <f>P14</f>
        <v>Recette mère ► le Boudin en 4 déclinaisons</v>
      </c>
      <c r="Q19" s="92"/>
      <c r="R19" s="93"/>
      <c r="S19" s="94" t="str">
        <f t="shared" si="11"/>
        <v/>
      </c>
      <c r="T19" s="95">
        <v>300</v>
      </c>
      <c r="U19" s="105" t="s">
        <v>99</v>
      </c>
      <c r="V19" s="127">
        <v>1</v>
      </c>
      <c r="W19" s="920" t="s">
        <v>12829</v>
      </c>
      <c r="X19" s="1494">
        <f>IF(OR(ISBLANK(Q12),X12=0),0,Q19*V13)</f>
        <v>0</v>
      </c>
      <c r="Y19" s="101" cm="1">
        <f t="array" ref="Y19">IFERROR(_xlfn.LET(_xlpm.k,UPPER(TRIM(U19)),_xlpm.r,_xlfn.XLOOKUP(_xlpm.k,UPPER(TRIM(Q34:Z34)),Q35:Z35,_xlfn.XLOOKUP(_xlpm.k,UPPER(TRIM(Q36:Z36)),Q37:Z37)),_xlpm.r*T19*V19*V13*IF(ISBLANK(Q19),1,Q19)),0)</f>
        <v>0.3</v>
      </c>
      <c r="Z19" s="1475" t="str">
        <f>_xlfn.LET(_xlpm.unite,SUBSTITUTE(TRIM(U19)," (s)",""),_xlpm.val,Y19,_xlpm.estVol,COUNTIF(T34:Z34,_xlpm.unite)+COUNTIF(T36:Z36,_xlpm.unite)&gt;0,_xlpm.estPoids,COUNTIF(Q34:S34,_xlpm.unite)+COUNTIF(Q36:S36,_xlpm.unite)&gt;0,IF(_xlpm.estVol,IF(ROUND(_xlpm.val,3)&gt;=1,ROUND(_xlpm.val,3)&amp;" L",MAX(1,ROUND(_xlpm.val*100,0))&amp;" cl"),IF(_xlpm.estPoids,IF(ROUND(_xlpm.val,3)&gt;=1,ROUND(_xlpm.val,3)&amp;" Kg",MAX(1,ROUND(_xlpm.val*1000,0))&amp;" g"),"")))</f>
        <v>300 g</v>
      </c>
      <c r="AB19" s="104" t="str">
        <f t="shared" ref="AB19:AB32" si="15">IF(AM19&lt;&gt;"","A","►")</f>
        <v>A</v>
      </c>
      <c r="AC19" s="32" t="str">
        <f>AC14</f>
        <v>C Coquetiers de l'Antoine | |  Author &gt; Guy KRENZE - Eric GODDYN - Arnaud NICOLAS - CEPROC 2002</v>
      </c>
      <c r="AD19" s="33">
        <f>AD14</f>
        <v>20</v>
      </c>
      <c r="AE19" s="32" t="str">
        <f>AE14</f>
        <v>egg cups of 25 g</v>
      </c>
      <c r="AF19" s="34" t="str">
        <f>AF14</f>
        <v>Master recipe ► Black pudding in 4 variations</v>
      </c>
      <c r="AG19" s="92"/>
      <c r="AH19" s="93"/>
      <c r="AI19" s="94" t="str">
        <f t="shared" si="12"/>
        <v/>
      </c>
      <c r="AJ19" s="95">
        <v>300</v>
      </c>
      <c r="AK19" s="105" t="s">
        <v>99</v>
      </c>
      <c r="AL19" s="127">
        <v>1</v>
      </c>
      <c r="AM19" s="920" t="s">
        <v>12870</v>
      </c>
      <c r="AN19" s="1494">
        <f>IF(OR(ISBLANK(AG12),AN12=0),0,AG19*AL13)</f>
        <v>0</v>
      </c>
      <c r="AO19" s="101" cm="1">
        <f t="array" ref="AO19">IFERROR(_xlfn.LET(_xlpm.k,UPPER(TRIM(AK19)),_xlpm.r,_xlfn.XLOOKUP(_xlpm.k,UPPER(TRIM(AG34:AP34)),AG35:AP35,_xlfn.XLOOKUP(_xlpm.k,UPPER(TRIM(AG36:AP36)),AG37:AP37)),_xlpm.r*AJ19*AL19*AL13*IF(ISBLANK(AG19),1,AG19)),0)</f>
        <v>0.3</v>
      </c>
      <c r="AP19" s="1475" t="str">
        <f>_xlfn.LET(_xlpm.unite,SUBSTITUTE(TRIM(AK19)," (s)",""),_xlpm.val,AO19,_xlpm.estVol,COUNTIF(AJ34:AP34,_xlpm.unite)+COUNTIF(AJ36:AP36,_xlpm.unite)&gt;0,_xlpm.estPoids,COUNTIF(AG34:AI34,_xlpm.unite)+COUNTIF(AG36:AI36,_xlpm.unite)&gt;0,IF(_xlpm.estVol,IF(ROUND(_xlpm.val,3)&gt;=1,ROUND(_xlpm.val,3)&amp;" L",MAX(1,ROUND(_xlpm.val*100,0))&amp;" cl"),IF(_xlpm.estPoids,IF(ROUND(_xlpm.val,3)&gt;=1,ROUND(_xlpm.val,3)&amp;" Kg",MAX(1,ROUND(_xlpm.val*1000,0))&amp;" g"),"")))</f>
        <v>300 g</v>
      </c>
      <c r="AR19" s="104" t="str">
        <f t="shared" ref="AR19:AR32" si="16">IF(BC19&lt;&gt;"","A","►")</f>
        <v>A</v>
      </c>
      <c r="AS19" s="32" t="str">
        <f>AS14</f>
        <v>C Coquetiers de l'Antoine | | Autor &gt; Guy KRENZE - Eric GODDYN - Arnaud NICOLAS - CEPROC 2002</v>
      </c>
      <c r="AT19" s="33">
        <f>AT14</f>
        <v>18</v>
      </c>
      <c r="AU19" s="32" t="str">
        <f>AU14</f>
        <v>hueveras de 25 g</v>
      </c>
      <c r="AV19" s="34" t="str">
        <f>AV14</f>
        <v>Receta madre ► Morcilla en 4 versiones</v>
      </c>
      <c r="AW19" s="92"/>
      <c r="AX19" s="93"/>
      <c r="AY19" s="94" t="str">
        <f t="shared" si="13"/>
        <v/>
      </c>
      <c r="AZ19" s="95">
        <v>300</v>
      </c>
      <c r="BA19" s="105" t="s">
        <v>99</v>
      </c>
      <c r="BB19" s="127">
        <v>1</v>
      </c>
      <c r="BC19" s="920" t="s">
        <v>12871</v>
      </c>
      <c r="BD19" s="1494">
        <f>IF(OR(ISBLANK(AW12),BD12=0),0,AW19*BB13)</f>
        <v>0</v>
      </c>
      <c r="BE19" s="101" cm="1">
        <f t="array" ref="BE19">IFERROR(_xlfn.LET(_xlpm.k,UPPER(TRIM(BA19)),_xlpm.r,_xlfn.XLOOKUP(_xlpm.k,UPPER(TRIM(AW34:BF34)),AW35:BF35,_xlfn.XLOOKUP(_xlpm.k,UPPER(TRIM(AW36:BF36)),AW37:BF37)),_xlpm.r*AZ19*BB19*BB13*IF(ISBLANK(AW19),1,AW19)),0)</f>
        <v>0.6</v>
      </c>
      <c r="BF19" s="1475" t="str">
        <f>_xlfn.LET(_xlpm.unite,SUBSTITUTE(TRIM(BA19)," (s)",""),_xlpm.val,BE19,_xlpm.estVol,COUNTIF(AZ34:BF34,_xlpm.unite)+COUNTIF(AZ36:BF36,_xlpm.unite)&gt;0,_xlpm.estPoids,COUNTIF(AW34:AY34,_xlpm.unite)+COUNTIF(AW36:AY36,_xlpm.unite)&gt;0,IF(_xlpm.estVol,IF(ROUND(_xlpm.val,3)&gt;=1,ROUND(_xlpm.val,3)&amp;" L",MAX(1,ROUND(_xlpm.val*100,0))&amp;" cl"),IF(_xlpm.estPoids,IF(ROUND(_xlpm.val,3)&gt;=1,ROUND(_xlpm.val,3)&amp;" Kg",MAX(1,ROUND(_xlpm.val*1000,0))&amp;" g"),"")))</f>
        <v>600 g</v>
      </c>
      <c r="BH19" s="104"/>
      <c r="BI19" s="32"/>
      <c r="BJ19" s="33"/>
      <c r="BK19" s="32"/>
      <c r="BL19" s="34"/>
      <c r="BM19" s="92"/>
      <c r="BN19" s="108"/>
      <c r="BO19" s="94"/>
      <c r="BP19" s="95"/>
      <c r="BQ19" s="105"/>
      <c r="BR19" s="5101"/>
      <c r="BS19" s="920"/>
      <c r="BT19" s="1495"/>
      <c r="BU19" s="101"/>
      <c r="BV19" s="1475"/>
      <c r="BX19" s="104"/>
      <c r="BY19" s="32"/>
      <c r="BZ19" s="33"/>
      <c r="CA19" s="32"/>
      <c r="CB19" s="34"/>
      <c r="CC19" s="92"/>
      <c r="CD19" s="108"/>
      <c r="CE19" s="94"/>
      <c r="CF19" s="95"/>
      <c r="CG19" s="105"/>
      <c r="CH19" s="5101"/>
      <c r="CI19" s="920"/>
      <c r="CJ19" s="1495"/>
      <c r="CK19" s="101"/>
      <c r="CL19" s="1475"/>
      <c r="CN19" s="104"/>
      <c r="CO19" s="32"/>
      <c r="CP19" s="33"/>
      <c r="CQ19" s="32"/>
      <c r="CR19" s="34"/>
      <c r="CS19" s="92"/>
      <c r="CT19" s="108"/>
      <c r="CU19" s="94"/>
      <c r="CV19" s="95"/>
      <c r="CW19" s="105"/>
      <c r="CX19" s="5101"/>
      <c r="CY19" s="920"/>
      <c r="CZ19" s="1495"/>
      <c r="DA19" s="101"/>
      <c r="DB19" s="1475"/>
      <c r="DC19" s="5109"/>
      <c r="DD19" s="5086"/>
      <c r="DF19" s="3">
        <v>1</v>
      </c>
    </row>
    <row r="20" spans="2:110" ht="21" customHeight="1">
      <c r="B20" s="952" t="str">
        <f t="shared" si="10"/>
        <v>A</v>
      </c>
      <c r="C20" s="993" cm="1">
        <f t="array" ref="C20">SUMPRODUCT(LEN(D20:J20))</f>
        <v>34</v>
      </c>
      <c r="D20" s="167"/>
      <c r="E20" s="172" t="s">
        <v>1799</v>
      </c>
      <c r="F20" s="172"/>
      <c r="G20" s="172"/>
      <c r="H20" s="172"/>
      <c r="I20" s="172"/>
      <c r="J20" s="173"/>
      <c r="K20" s="442" t="s">
        <v>22</v>
      </c>
      <c r="L20" s="104" t="str">
        <f t="shared" si="14"/>
        <v>A</v>
      </c>
      <c r="M20" s="32" t="str">
        <f>M14</f>
        <v>C Coquetiers de l'Antoine | | Auteur &gt; Guy KRENZE - Eric GODDYN - Arnaud NICOLAS - CEPROC 2002</v>
      </c>
      <c r="N20" s="33">
        <f>N14</f>
        <v>20</v>
      </c>
      <c r="O20" s="32" t="str">
        <f>O14</f>
        <v>coquetiers de 25 g</v>
      </c>
      <c r="P20" s="34" t="str">
        <f>P14</f>
        <v>Recette mère ► le Boudin en 4 déclinaisons</v>
      </c>
      <c r="Q20" s="92"/>
      <c r="R20" s="108"/>
      <c r="S20" s="94" t="str">
        <f t="shared" si="11"/>
        <v/>
      </c>
      <c r="T20" s="95">
        <v>45</v>
      </c>
      <c r="U20" s="105" t="s">
        <v>99</v>
      </c>
      <c r="V20" s="127">
        <v>1</v>
      </c>
      <c r="W20" s="920" t="s">
        <v>12822</v>
      </c>
      <c r="X20" s="1494">
        <f>IF(OR(ISBLANK(Q12),X12=0),0,Q20*V13)</f>
        <v>0</v>
      </c>
      <c r="Y20" s="101" cm="1">
        <f t="array" ref="Y20">IFERROR(_xlfn.LET(_xlpm.k,UPPER(TRIM(U20)),_xlpm.r,_xlfn.XLOOKUP(_xlpm.k,UPPER(TRIM(Q34:Z34)),Q35:Z35,_xlfn.XLOOKUP(_xlpm.k,UPPER(TRIM(Q36:Z36)),Q37:Z37)),_xlpm.r*T20*V20*V13*IF(ISBLANK(Q20),1,Q20)),0)</f>
        <v>4.4999999999999998E-2</v>
      </c>
      <c r="Z20" s="1476" t="str">
        <f>_xlfn.LET(_xlpm.unite,SUBSTITUTE(TRIM(U20)," (s)",""),_xlpm.val,Y20,_xlpm.estVol,COUNTIF(T34:Z34,_xlpm.unite)+COUNTIF(T36:Z36,_xlpm.unite)&gt;0,_xlpm.estPoids,COUNTIF(Q34:S34,_xlpm.unite)+COUNTIF(Q36:S36,_xlpm.unite)&gt;0,IF(_xlpm.estVol,IF(ROUND(_xlpm.val,3)&gt;=1,ROUND(_xlpm.val,3)&amp;" L",MAX(1,ROUND(_xlpm.val*100,0))&amp;" cl"),IF(_xlpm.estPoids,IF(ROUND(_xlpm.val,3)&gt;=1,ROUND(_xlpm.val,3)&amp;" Kg",MAX(1,ROUND(_xlpm.val*1000,0))&amp;" g"),"")))</f>
        <v>45 g</v>
      </c>
      <c r="AB20" s="104" t="str">
        <f t="shared" si="15"/>
        <v>A</v>
      </c>
      <c r="AC20" s="32" t="str">
        <f>AC14</f>
        <v>C Coquetiers de l'Antoine | |  Author &gt; Guy KRENZE - Eric GODDYN - Arnaud NICOLAS - CEPROC 2002</v>
      </c>
      <c r="AD20" s="33">
        <f>AD14</f>
        <v>20</v>
      </c>
      <c r="AE20" s="32" t="str">
        <f>AE14</f>
        <v>egg cups of 25 g</v>
      </c>
      <c r="AF20" s="34" t="str">
        <f>AF14</f>
        <v>Master recipe ► Black pudding in 4 variations</v>
      </c>
      <c r="AG20" s="92"/>
      <c r="AH20" s="108"/>
      <c r="AI20" s="94" t="str">
        <f t="shared" si="12"/>
        <v/>
      </c>
      <c r="AJ20" s="95">
        <v>45</v>
      </c>
      <c r="AK20" s="105" t="s">
        <v>99</v>
      </c>
      <c r="AL20" s="127">
        <v>1</v>
      </c>
      <c r="AM20" s="920" t="s">
        <v>12872</v>
      </c>
      <c r="AN20" s="1494">
        <f>IF(OR(ISBLANK(AG12),AN12=0),0,AG20*AL13)</f>
        <v>0</v>
      </c>
      <c r="AO20" s="101" cm="1">
        <f t="array" ref="AO20">IFERROR(_xlfn.LET(_xlpm.k,UPPER(TRIM(AK20)),_xlpm.r,_xlfn.XLOOKUP(_xlpm.k,UPPER(TRIM(AG34:AP34)),AG35:AP35,_xlfn.XLOOKUP(_xlpm.k,UPPER(TRIM(AG36:AP36)),AG37:AP37)),_xlpm.r*AJ20*AL20*AL13*IF(ISBLANK(AG20),1,AG20)),0)</f>
        <v>4.4999999999999998E-2</v>
      </c>
      <c r="AP20" s="1476" t="str">
        <f>_xlfn.LET(_xlpm.unite,SUBSTITUTE(TRIM(AK20)," (s)",""),_xlpm.val,AO20,_xlpm.estVol,COUNTIF(AJ34:AP34,_xlpm.unite)+COUNTIF(AJ36:AP36,_xlpm.unite)&gt;0,_xlpm.estPoids,COUNTIF(AG34:AI34,_xlpm.unite)+COUNTIF(AG36:AI36,_xlpm.unite)&gt;0,IF(_xlpm.estVol,IF(ROUND(_xlpm.val,3)&gt;=1,ROUND(_xlpm.val,3)&amp;" L",MAX(1,ROUND(_xlpm.val*100,0))&amp;" cl"),IF(_xlpm.estPoids,IF(ROUND(_xlpm.val,3)&gt;=1,ROUND(_xlpm.val,3)&amp;" Kg",MAX(1,ROUND(_xlpm.val*1000,0))&amp;" g"),"")))</f>
        <v>45 g</v>
      </c>
      <c r="AR20" s="104" t="str">
        <f t="shared" si="16"/>
        <v>A</v>
      </c>
      <c r="AS20" s="32" t="str">
        <f>AS14</f>
        <v>C Coquetiers de l'Antoine | | Autor &gt; Guy KRENZE - Eric GODDYN - Arnaud NICOLAS - CEPROC 2002</v>
      </c>
      <c r="AT20" s="33">
        <f>AT14</f>
        <v>18</v>
      </c>
      <c r="AU20" s="32" t="str">
        <f>AU14</f>
        <v>hueveras de 25 g</v>
      </c>
      <c r="AV20" s="34" t="str">
        <f>AV14</f>
        <v>Receta madre ► Morcilla en 4 versiones</v>
      </c>
      <c r="AW20" s="92"/>
      <c r="AX20" s="108"/>
      <c r="AY20" s="94" t="str">
        <f t="shared" si="13"/>
        <v/>
      </c>
      <c r="AZ20" s="95">
        <v>45</v>
      </c>
      <c r="BA20" s="105" t="s">
        <v>99</v>
      </c>
      <c r="BB20" s="127">
        <v>1</v>
      </c>
      <c r="BC20" s="920" t="s">
        <v>12873</v>
      </c>
      <c r="BD20" s="1494">
        <f>IF(OR(ISBLANK(AW12),BD12=0),0,AW20*BB13)</f>
        <v>0</v>
      </c>
      <c r="BE20" s="101" cm="1">
        <f t="array" ref="BE20">IFERROR(_xlfn.LET(_xlpm.k,UPPER(TRIM(BA20)),_xlpm.r,_xlfn.XLOOKUP(_xlpm.k,UPPER(TRIM(AW34:BF34)),AW35:BF35,_xlfn.XLOOKUP(_xlpm.k,UPPER(TRIM(AW36:BF36)),AW37:BF37)),_xlpm.r*AZ20*BB20*BB13*IF(ISBLANK(AW20),1,AW20)),0)</f>
        <v>0.09</v>
      </c>
      <c r="BF20" s="1476" t="str">
        <f>_xlfn.LET(_xlpm.unite,SUBSTITUTE(TRIM(BA20)," (s)",""),_xlpm.val,BE20,_xlpm.estVol,COUNTIF(AZ34:BF34,_xlpm.unite)+COUNTIF(AZ36:BF36,_xlpm.unite)&gt;0,_xlpm.estPoids,COUNTIF(AW34:AY34,_xlpm.unite)+COUNTIF(AW36:AY36,_xlpm.unite)&gt;0,IF(_xlpm.estVol,IF(ROUND(_xlpm.val,3)&gt;=1,ROUND(_xlpm.val,3)&amp;" L",MAX(1,ROUND(_xlpm.val*100,0))&amp;" cl"),IF(_xlpm.estPoids,IF(ROUND(_xlpm.val,3)&gt;=1,ROUND(_xlpm.val,3)&amp;" Kg",MAX(1,ROUND(_xlpm.val*1000,0))&amp;" g"),"")))</f>
        <v>90 g</v>
      </c>
      <c r="BH20" s="104"/>
      <c r="BI20" s="32"/>
      <c r="BJ20" s="33"/>
      <c r="BK20" s="32"/>
      <c r="BL20" s="34"/>
      <c r="BM20" s="92"/>
      <c r="BN20" s="108"/>
      <c r="BO20" s="94"/>
      <c r="BP20" s="95"/>
      <c r="BQ20" s="105"/>
      <c r="BR20" s="5101"/>
      <c r="BS20" s="920"/>
      <c r="BT20" s="1495"/>
      <c r="BU20" s="101"/>
      <c r="BV20" s="1475"/>
      <c r="BX20" s="104"/>
      <c r="BY20" s="32"/>
      <c r="BZ20" s="33"/>
      <c r="CA20" s="32"/>
      <c r="CB20" s="34"/>
      <c r="CC20" s="92"/>
      <c r="CD20" s="108"/>
      <c r="CE20" s="94"/>
      <c r="CF20" s="95"/>
      <c r="CG20" s="105"/>
      <c r="CH20" s="5101"/>
      <c r="CI20" s="920"/>
      <c r="CJ20" s="1495"/>
      <c r="CK20" s="101"/>
      <c r="CL20" s="1475"/>
      <c r="CN20" s="104"/>
      <c r="CO20" s="32"/>
      <c r="CP20" s="33"/>
      <c r="CQ20" s="32"/>
      <c r="CR20" s="34"/>
      <c r="CS20" s="92"/>
      <c r="CT20" s="108"/>
      <c r="CU20" s="94"/>
      <c r="CV20" s="95"/>
      <c r="CW20" s="105"/>
      <c r="CX20" s="5101"/>
      <c r="CY20" s="920"/>
      <c r="CZ20" s="1495"/>
      <c r="DA20" s="101"/>
      <c r="DB20" s="1475"/>
      <c r="DC20" s="5109"/>
      <c r="DD20" s="5086"/>
      <c r="DF20" s="3">
        <v>1</v>
      </c>
    </row>
    <row r="21" spans="2:110" ht="21" customHeight="1">
      <c r="B21" s="952" t="str">
        <f t="shared" si="10"/>
        <v>A</v>
      </c>
      <c r="C21" s="993" cm="1">
        <f t="array" ref="C21">SUMPRODUCT(LEN(D21:J21))</f>
        <v>71</v>
      </c>
      <c r="D21" s="167"/>
      <c r="E21" s="172" t="s">
        <v>2617</v>
      </c>
      <c r="F21" s="172"/>
      <c r="G21" s="172"/>
      <c r="H21" s="172"/>
      <c r="I21" s="172"/>
      <c r="J21" s="173"/>
      <c r="K21" s="442" t="s">
        <v>22</v>
      </c>
      <c r="L21" s="104" t="str">
        <f t="shared" si="14"/>
        <v>A</v>
      </c>
      <c r="M21" s="32" t="str">
        <f>M14</f>
        <v>C Coquetiers de l'Antoine | | Auteur &gt; Guy KRENZE - Eric GODDYN - Arnaud NICOLAS - CEPROC 2002</v>
      </c>
      <c r="N21" s="33">
        <f>N14</f>
        <v>20</v>
      </c>
      <c r="O21" s="32" t="str">
        <f>O14</f>
        <v>coquetiers de 25 g</v>
      </c>
      <c r="P21" s="34" t="str">
        <f>P14</f>
        <v>Recette mère ► le Boudin en 4 déclinaisons</v>
      </c>
      <c r="Q21" s="92"/>
      <c r="R21" s="108"/>
      <c r="S21" s="94" t="str">
        <f t="shared" si="11"/>
        <v/>
      </c>
      <c r="T21" s="95">
        <v>50</v>
      </c>
      <c r="U21" s="105" t="s">
        <v>99</v>
      </c>
      <c r="V21" s="127">
        <v>1</v>
      </c>
      <c r="W21" s="920" t="s">
        <v>12823</v>
      </c>
      <c r="X21" s="1494">
        <f>IF(OR(ISBLANK(Q12),X12=0),0,Q21*V13)</f>
        <v>0</v>
      </c>
      <c r="Y21" s="101" cm="1">
        <f t="array" ref="Y21">IFERROR(_xlfn.LET(_xlpm.k,UPPER(TRIM(U21)),_xlpm.r,_xlfn.XLOOKUP(_xlpm.k,UPPER(TRIM(Q34:Z34)),Q35:Z35,_xlfn.XLOOKUP(_xlpm.k,UPPER(TRIM(Q36:Z36)),Q37:Z37)),_xlpm.r*T21*V21*V13*IF(ISBLANK(Q21),1,Q21)),0)</f>
        <v>0.05</v>
      </c>
      <c r="Z21" s="1475" t="str">
        <f>_xlfn.LET(_xlpm.unite,SUBSTITUTE(TRIM(U21)," (s)",""),_xlpm.val,Y21,_xlpm.estVol,COUNTIF(T34:Z34,_xlpm.unite)+COUNTIF(T36:Z36,_xlpm.unite)&gt;0,_xlpm.estPoids,COUNTIF(Q34:S34,_xlpm.unite)+COUNTIF(Q36:S36,_xlpm.unite)&gt;0,IF(_xlpm.estVol,IF(ROUND(_xlpm.val,3)&gt;=1,ROUND(_xlpm.val,3)&amp;" L",MAX(1,ROUND(_xlpm.val*100,0))&amp;" cl"),IF(_xlpm.estPoids,IF(ROUND(_xlpm.val,3)&gt;=1,ROUND(_xlpm.val,3)&amp;" Kg",MAX(1,ROUND(_xlpm.val*1000,0))&amp;" g"),"")))</f>
        <v>50 g</v>
      </c>
      <c r="AB21" s="104" t="str">
        <f t="shared" si="15"/>
        <v>A</v>
      </c>
      <c r="AC21" s="32" t="str">
        <f>AC14</f>
        <v>C Coquetiers de l'Antoine | |  Author &gt; Guy KRENZE - Eric GODDYN - Arnaud NICOLAS - CEPROC 2002</v>
      </c>
      <c r="AD21" s="33">
        <f>AD14</f>
        <v>20</v>
      </c>
      <c r="AE21" s="32" t="str">
        <f>AE14</f>
        <v>egg cups of 25 g</v>
      </c>
      <c r="AF21" s="34" t="str">
        <f>AF14</f>
        <v>Master recipe ► Black pudding in 4 variations</v>
      </c>
      <c r="AG21" s="92"/>
      <c r="AH21" s="108"/>
      <c r="AI21" s="94" t="str">
        <f t="shared" si="12"/>
        <v/>
      </c>
      <c r="AJ21" s="95">
        <v>50</v>
      </c>
      <c r="AK21" s="105" t="s">
        <v>99</v>
      </c>
      <c r="AL21" s="127">
        <v>1</v>
      </c>
      <c r="AM21" s="920" t="s">
        <v>12874</v>
      </c>
      <c r="AN21" s="1494">
        <f>IF(OR(ISBLANK(AG12),AN12=0),0,AG21*AL13)</f>
        <v>0</v>
      </c>
      <c r="AO21" s="101" cm="1">
        <f t="array" ref="AO21">IFERROR(_xlfn.LET(_xlpm.k,UPPER(TRIM(AK21)),_xlpm.r,_xlfn.XLOOKUP(_xlpm.k,UPPER(TRIM(AG34:AP34)),AG35:AP35,_xlfn.XLOOKUP(_xlpm.k,UPPER(TRIM(AG36:AP36)),AG37:AP37)),_xlpm.r*AJ21*AL21*AL13*IF(ISBLANK(AG21),1,AG21)),0)</f>
        <v>0.05</v>
      </c>
      <c r="AP21" s="1475" t="str">
        <f>_xlfn.LET(_xlpm.unite,SUBSTITUTE(TRIM(AK21)," (s)",""),_xlpm.val,AO21,_xlpm.estVol,COUNTIF(AJ34:AP34,_xlpm.unite)+COUNTIF(AJ36:AP36,_xlpm.unite)&gt;0,_xlpm.estPoids,COUNTIF(AG34:AI34,_xlpm.unite)+COUNTIF(AG36:AI36,_xlpm.unite)&gt;0,IF(_xlpm.estVol,IF(ROUND(_xlpm.val,3)&gt;=1,ROUND(_xlpm.val,3)&amp;" L",MAX(1,ROUND(_xlpm.val*100,0))&amp;" cl"),IF(_xlpm.estPoids,IF(ROUND(_xlpm.val,3)&gt;=1,ROUND(_xlpm.val,3)&amp;" Kg",MAX(1,ROUND(_xlpm.val*1000,0))&amp;" g"),"")))</f>
        <v>50 g</v>
      </c>
      <c r="AR21" s="104" t="str">
        <f t="shared" si="16"/>
        <v>A</v>
      </c>
      <c r="AS21" s="32" t="str">
        <f>AS14</f>
        <v>C Coquetiers de l'Antoine | | Autor &gt; Guy KRENZE - Eric GODDYN - Arnaud NICOLAS - CEPROC 2002</v>
      </c>
      <c r="AT21" s="33">
        <f>AT14</f>
        <v>18</v>
      </c>
      <c r="AU21" s="32" t="str">
        <f>AU14</f>
        <v>hueveras de 25 g</v>
      </c>
      <c r="AV21" s="34" t="str">
        <f>AV14</f>
        <v>Receta madre ► Morcilla en 4 versiones</v>
      </c>
      <c r="AW21" s="92"/>
      <c r="AX21" s="108"/>
      <c r="AY21" s="94" t="str">
        <f t="shared" si="13"/>
        <v/>
      </c>
      <c r="AZ21" s="95">
        <v>50</v>
      </c>
      <c r="BA21" s="105" t="s">
        <v>99</v>
      </c>
      <c r="BB21" s="127">
        <v>1</v>
      </c>
      <c r="BC21" s="920" t="s">
        <v>12875</v>
      </c>
      <c r="BD21" s="1494">
        <f>IF(OR(ISBLANK(AW12),BD12=0),0,AW21*BB13)</f>
        <v>0</v>
      </c>
      <c r="BE21" s="101" cm="1">
        <f t="array" ref="BE21">IFERROR(_xlfn.LET(_xlpm.k,UPPER(TRIM(BA21)),_xlpm.r,_xlfn.XLOOKUP(_xlpm.k,UPPER(TRIM(AW34:BF34)),AW35:BF35,_xlfn.XLOOKUP(_xlpm.k,UPPER(TRIM(AW36:BF36)),AW37:BF37)),_xlpm.r*AZ21*BB21*BB13*IF(ISBLANK(AW21),1,AW21)),0)</f>
        <v>0.1</v>
      </c>
      <c r="BF21" s="1475" t="str">
        <f>_xlfn.LET(_xlpm.unite,SUBSTITUTE(TRIM(BA21)," (s)",""),_xlpm.val,BE21,_xlpm.estVol,COUNTIF(AZ34:BF34,_xlpm.unite)+COUNTIF(AZ36:BF36,_xlpm.unite)&gt;0,_xlpm.estPoids,COUNTIF(AW34:AY34,_xlpm.unite)+COUNTIF(AW36:AY36,_xlpm.unite)&gt;0,IF(_xlpm.estVol,IF(ROUND(_xlpm.val,3)&gt;=1,ROUND(_xlpm.val,3)&amp;" L",MAX(1,ROUND(_xlpm.val*100,0))&amp;" cl"),IF(_xlpm.estPoids,IF(ROUND(_xlpm.val,3)&gt;=1,ROUND(_xlpm.val,3)&amp;" Kg",MAX(1,ROUND(_xlpm.val*1000,0))&amp;" g"),"")))</f>
        <v>100 g</v>
      </c>
      <c r="BH21" s="104"/>
      <c r="BI21" s="32"/>
      <c r="BJ21" s="33"/>
      <c r="BK21" s="32"/>
      <c r="BL21" s="34"/>
      <c r="BM21" s="92"/>
      <c r="BN21" s="108"/>
      <c r="BO21" s="94"/>
      <c r="BP21" s="95"/>
      <c r="BQ21" s="105"/>
      <c r="BR21" s="5101"/>
      <c r="BS21" s="920"/>
      <c r="BT21" s="1495"/>
      <c r="BU21" s="101"/>
      <c r="BV21" s="1475"/>
      <c r="BX21" s="104"/>
      <c r="BY21" s="32"/>
      <c r="BZ21" s="33"/>
      <c r="CA21" s="32"/>
      <c r="CB21" s="34"/>
      <c r="CC21" s="92"/>
      <c r="CD21" s="108"/>
      <c r="CE21" s="94"/>
      <c r="CF21" s="95"/>
      <c r="CG21" s="105"/>
      <c r="CH21" s="5101"/>
      <c r="CI21" s="920"/>
      <c r="CJ21" s="1495"/>
      <c r="CK21" s="101"/>
      <c r="CL21" s="1475"/>
      <c r="CN21" s="104"/>
      <c r="CO21" s="32"/>
      <c r="CP21" s="33"/>
      <c r="CQ21" s="32"/>
      <c r="CR21" s="34"/>
      <c r="CS21" s="92"/>
      <c r="CT21" s="108"/>
      <c r="CU21" s="94"/>
      <c r="CV21" s="95"/>
      <c r="CW21" s="105"/>
      <c r="CX21" s="5101"/>
      <c r="CY21" s="920"/>
      <c r="CZ21" s="1495"/>
      <c r="DA21" s="101"/>
      <c r="DB21" s="1475"/>
      <c r="DC21" s="5109"/>
      <c r="DD21" s="5086"/>
      <c r="DF21" s="3">
        <v>1</v>
      </c>
    </row>
    <row r="22" spans="2:110" ht="21" customHeight="1">
      <c r="B22" s="952" t="str">
        <f t="shared" si="10"/>
        <v>A</v>
      </c>
      <c r="C22" s="993" cm="1">
        <f t="array" ref="C22">SUMPRODUCT(LEN(D22:J22))</f>
        <v>78</v>
      </c>
      <c r="D22" s="167"/>
      <c r="E22" s="172" t="s">
        <v>2618</v>
      </c>
      <c r="F22" s="172"/>
      <c r="G22" s="172"/>
      <c r="H22" s="172"/>
      <c r="I22" s="172"/>
      <c r="J22" s="173"/>
      <c r="K22" s="442" t="s">
        <v>22</v>
      </c>
      <c r="L22" s="104" t="str">
        <f t="shared" si="14"/>
        <v>A</v>
      </c>
      <c r="M22" s="32" t="str">
        <f>M14</f>
        <v>C Coquetiers de l'Antoine | | Auteur &gt; Guy KRENZE - Eric GODDYN - Arnaud NICOLAS - CEPROC 2002</v>
      </c>
      <c r="N22" s="33">
        <f>N14</f>
        <v>20</v>
      </c>
      <c r="O22" s="32" t="str">
        <f>O14</f>
        <v>coquetiers de 25 g</v>
      </c>
      <c r="P22" s="34" t="str">
        <f>P14</f>
        <v>Recette mère ► le Boudin en 4 déclinaisons</v>
      </c>
      <c r="Q22" s="92"/>
      <c r="R22" s="108"/>
      <c r="S22" s="94" t="str">
        <f t="shared" si="11"/>
        <v/>
      </c>
      <c r="T22" s="95">
        <v>7</v>
      </c>
      <c r="U22" s="105" t="s">
        <v>99</v>
      </c>
      <c r="V22" s="127">
        <v>1</v>
      </c>
      <c r="W22" s="920" t="s">
        <v>12824</v>
      </c>
      <c r="X22" s="1494">
        <f>IF(OR(ISBLANK(Q12),X12=0),0,Q22*V13)</f>
        <v>0</v>
      </c>
      <c r="Y22" s="101" cm="1">
        <f t="array" ref="Y22">IFERROR(_xlfn.LET(_xlpm.k,UPPER(TRIM(U22)),_xlpm.r,_xlfn.XLOOKUP(_xlpm.k,UPPER(TRIM(Q34:Z34)),Q35:Z35,_xlfn.XLOOKUP(_xlpm.k,UPPER(TRIM(Q36:Z36)),Q37:Z37)),_xlpm.r*T22*V22*V13*IF(ISBLANK(Q22),1,Q22)),0)</f>
        <v>7.0000000000000001E-3</v>
      </c>
      <c r="Z22" s="1476" t="str">
        <f>_xlfn.LET(_xlpm.unite,SUBSTITUTE(TRIM(U22)," (s)",""),_xlpm.val,Y22,_xlpm.estVol,COUNTIF(T34:Z34,_xlpm.unite)+COUNTIF(T36:Z36,_xlpm.unite)&gt;0,_xlpm.estPoids,COUNTIF(Q34:S34,_xlpm.unite)+COUNTIF(Q36:S36,_xlpm.unite)&gt;0,IF(_xlpm.estVol,IF(ROUND(_xlpm.val,3)&gt;=1,ROUND(_xlpm.val,3)&amp;" L",MAX(1,ROUND(_xlpm.val*100,0))&amp;" cl"),IF(_xlpm.estPoids,IF(ROUND(_xlpm.val,3)&gt;=1,ROUND(_xlpm.val,3)&amp;" Kg",MAX(1,ROUND(_xlpm.val*1000,0))&amp;" g"),"")))</f>
        <v>7 g</v>
      </c>
      <c r="AB22" s="104" t="str">
        <f t="shared" si="15"/>
        <v>A</v>
      </c>
      <c r="AC22" s="32" t="str">
        <f>AC14</f>
        <v>C Coquetiers de l'Antoine | |  Author &gt; Guy KRENZE - Eric GODDYN - Arnaud NICOLAS - CEPROC 2002</v>
      </c>
      <c r="AD22" s="33">
        <f>AD14</f>
        <v>20</v>
      </c>
      <c r="AE22" s="32" t="str">
        <f>AE14</f>
        <v>egg cups of 25 g</v>
      </c>
      <c r="AF22" s="34" t="str">
        <f>AF14</f>
        <v>Master recipe ► Black pudding in 4 variations</v>
      </c>
      <c r="AG22" s="92"/>
      <c r="AH22" s="108"/>
      <c r="AI22" s="94" t="str">
        <f t="shared" si="12"/>
        <v/>
      </c>
      <c r="AJ22" s="95">
        <v>7</v>
      </c>
      <c r="AK22" s="105" t="s">
        <v>99</v>
      </c>
      <c r="AL22" s="127">
        <v>1</v>
      </c>
      <c r="AM22" s="920" t="s">
        <v>12876</v>
      </c>
      <c r="AN22" s="1494">
        <f>IF(OR(ISBLANK(AG12),AN12=0),0,AG22*AL13)</f>
        <v>0</v>
      </c>
      <c r="AO22" s="101" cm="1">
        <f t="array" ref="AO22">IFERROR(_xlfn.LET(_xlpm.k,UPPER(TRIM(AK22)),_xlpm.r,_xlfn.XLOOKUP(_xlpm.k,UPPER(TRIM(AG34:AP34)),AG35:AP35,_xlfn.XLOOKUP(_xlpm.k,UPPER(TRIM(AG36:AP36)),AG37:AP37)),_xlpm.r*AJ22*AL22*AL13*IF(ISBLANK(AG22),1,AG22)),0)</f>
        <v>7.0000000000000001E-3</v>
      </c>
      <c r="AP22" s="1476" t="str">
        <f>_xlfn.LET(_xlpm.unite,SUBSTITUTE(TRIM(AK22)," (s)",""),_xlpm.val,AO22,_xlpm.estVol,COUNTIF(AJ34:AP34,_xlpm.unite)+COUNTIF(AJ36:AP36,_xlpm.unite)&gt;0,_xlpm.estPoids,COUNTIF(AG34:AI34,_xlpm.unite)+COUNTIF(AG36:AI36,_xlpm.unite)&gt;0,IF(_xlpm.estVol,IF(ROUND(_xlpm.val,3)&gt;=1,ROUND(_xlpm.val,3)&amp;" L",MAX(1,ROUND(_xlpm.val*100,0))&amp;" cl"),IF(_xlpm.estPoids,IF(ROUND(_xlpm.val,3)&gt;=1,ROUND(_xlpm.val,3)&amp;" Kg",MAX(1,ROUND(_xlpm.val*1000,0))&amp;" g"),"")))</f>
        <v>7 g</v>
      </c>
      <c r="AR22" s="104" t="str">
        <f t="shared" si="16"/>
        <v>A</v>
      </c>
      <c r="AS22" s="32" t="str">
        <f>AS14</f>
        <v>C Coquetiers de l'Antoine | | Autor &gt; Guy KRENZE - Eric GODDYN - Arnaud NICOLAS - CEPROC 2002</v>
      </c>
      <c r="AT22" s="33">
        <f>AT14</f>
        <v>18</v>
      </c>
      <c r="AU22" s="32" t="str">
        <f>AU14</f>
        <v>hueveras de 25 g</v>
      </c>
      <c r="AV22" s="34" t="str">
        <f>AV14</f>
        <v>Receta madre ► Morcilla en 4 versiones</v>
      </c>
      <c r="AW22" s="92"/>
      <c r="AX22" s="108"/>
      <c r="AY22" s="94" t="str">
        <f t="shared" si="13"/>
        <v/>
      </c>
      <c r="AZ22" s="95">
        <v>7</v>
      </c>
      <c r="BA22" s="105" t="s">
        <v>99</v>
      </c>
      <c r="BB22" s="127">
        <v>1</v>
      </c>
      <c r="BC22" s="920" t="s">
        <v>12877</v>
      </c>
      <c r="BD22" s="1494">
        <f>IF(OR(ISBLANK(AW12),BD12=0),0,AW22*BB13)</f>
        <v>0</v>
      </c>
      <c r="BE22" s="101" cm="1">
        <f t="array" ref="BE22">IFERROR(_xlfn.LET(_xlpm.k,UPPER(TRIM(BA22)),_xlpm.r,_xlfn.XLOOKUP(_xlpm.k,UPPER(TRIM(AW34:BF34)),AW35:BF35,_xlfn.XLOOKUP(_xlpm.k,UPPER(TRIM(AW36:BF36)),AW37:BF37)),_xlpm.r*AZ22*BB22*BB13*IF(ISBLANK(AW22),1,AW22)),0)</f>
        <v>1.4E-2</v>
      </c>
      <c r="BF22" s="1476" t="str">
        <f>_xlfn.LET(_xlpm.unite,SUBSTITUTE(TRIM(BA22)," (s)",""),_xlpm.val,BE22,_xlpm.estVol,COUNTIF(AZ34:BF34,_xlpm.unite)+COUNTIF(AZ36:BF36,_xlpm.unite)&gt;0,_xlpm.estPoids,COUNTIF(AW34:AY34,_xlpm.unite)+COUNTIF(AW36:AY36,_xlpm.unite)&gt;0,IF(_xlpm.estVol,IF(ROUND(_xlpm.val,3)&gt;=1,ROUND(_xlpm.val,3)&amp;" L",MAX(1,ROUND(_xlpm.val*100,0))&amp;" cl"),IF(_xlpm.estPoids,IF(ROUND(_xlpm.val,3)&gt;=1,ROUND(_xlpm.val,3)&amp;" Kg",MAX(1,ROUND(_xlpm.val*1000,0))&amp;" g"),"")))</f>
        <v>14 g</v>
      </c>
      <c r="BH22" s="104"/>
      <c r="BI22" s="32"/>
      <c r="BJ22" s="33"/>
      <c r="BK22" s="32"/>
      <c r="BL22" s="34"/>
      <c r="BM22" s="92"/>
      <c r="BN22" s="108"/>
      <c r="BO22" s="94"/>
      <c r="BP22" s="95"/>
      <c r="BQ22" s="105"/>
      <c r="BR22" s="5101"/>
      <c r="BS22" s="920"/>
      <c r="BT22" s="1495"/>
      <c r="BU22" s="101"/>
      <c r="BV22" s="1475"/>
      <c r="BX22" s="104"/>
      <c r="BY22" s="32"/>
      <c r="BZ22" s="33"/>
      <c r="CA22" s="32"/>
      <c r="CB22" s="34"/>
      <c r="CC22" s="92"/>
      <c r="CD22" s="108"/>
      <c r="CE22" s="94"/>
      <c r="CF22" s="95"/>
      <c r="CG22" s="105"/>
      <c r="CH22" s="5101"/>
      <c r="CI22" s="920"/>
      <c r="CJ22" s="1495"/>
      <c r="CK22" s="101"/>
      <c r="CL22" s="1475"/>
      <c r="CN22" s="104"/>
      <c r="CO22" s="32"/>
      <c r="CP22" s="33"/>
      <c r="CQ22" s="32"/>
      <c r="CR22" s="34"/>
      <c r="CS22" s="92"/>
      <c r="CT22" s="108"/>
      <c r="CU22" s="94"/>
      <c r="CV22" s="95"/>
      <c r="CW22" s="105"/>
      <c r="CX22" s="5101"/>
      <c r="CY22" s="920"/>
      <c r="CZ22" s="1495"/>
      <c r="DA22" s="101"/>
      <c r="DB22" s="1475"/>
      <c r="DC22" s="5109"/>
      <c r="DD22" s="5086"/>
      <c r="DF22" s="3">
        <v>1</v>
      </c>
    </row>
    <row r="23" spans="2:110" ht="21" customHeight="1">
      <c r="B23" s="952" t="str">
        <f t="shared" si="10"/>
        <v>A</v>
      </c>
      <c r="C23" s="993" cm="1">
        <f t="array" ref="C23">SUMPRODUCT(LEN(D23:J23))</f>
        <v>0</v>
      </c>
      <c r="D23" s="167"/>
      <c r="E23" s="172"/>
      <c r="F23" s="172"/>
      <c r="G23" s="172"/>
      <c r="H23" s="172"/>
      <c r="I23" s="172"/>
      <c r="J23" s="173"/>
      <c r="K23" s="442" t="s">
        <v>22</v>
      </c>
      <c r="L23" s="104" t="str">
        <f t="shared" si="14"/>
        <v>A</v>
      </c>
      <c r="M23" s="32" t="str">
        <f>M14</f>
        <v>C Coquetiers de l'Antoine | | Auteur &gt; Guy KRENZE - Eric GODDYN - Arnaud NICOLAS - CEPROC 2002</v>
      </c>
      <c r="N23" s="33">
        <f>N14</f>
        <v>20</v>
      </c>
      <c r="O23" s="32" t="str">
        <f>O14</f>
        <v>coquetiers de 25 g</v>
      </c>
      <c r="P23" s="34" t="str">
        <f>P14</f>
        <v>Recette mère ► le Boudin en 4 déclinaisons</v>
      </c>
      <c r="Q23" s="92"/>
      <c r="R23" s="108"/>
      <c r="S23" s="94" t="str">
        <f t="shared" si="11"/>
        <v/>
      </c>
      <c r="T23" s="95">
        <v>20</v>
      </c>
      <c r="U23" s="105" t="s">
        <v>99</v>
      </c>
      <c r="V23" s="127">
        <v>1</v>
      </c>
      <c r="W23" s="920" t="s">
        <v>12825</v>
      </c>
      <c r="X23" s="1494">
        <f>IF(OR(ISBLANK(Q12),X12=0),0,Q23*V13)</f>
        <v>0</v>
      </c>
      <c r="Y23" s="101" cm="1">
        <f t="array" ref="Y23">IFERROR(_xlfn.LET(_xlpm.k,UPPER(TRIM(U23)),_xlpm.r,_xlfn.XLOOKUP(_xlpm.k,UPPER(TRIM(Q34:Z34)),Q35:Z35,_xlfn.XLOOKUP(_xlpm.k,UPPER(TRIM(Q36:Z36)),Q37:Z37)),_xlpm.r*T23*V23*V13*IF(ISBLANK(Q23),1,Q23)),0)</f>
        <v>0.02</v>
      </c>
      <c r="Z23" s="1475" t="str">
        <f>_xlfn.LET(_xlpm.unite,SUBSTITUTE(TRIM(U23)," (s)",""),_xlpm.val,Y23,_xlpm.estVol,COUNTIF(T34:Z34,_xlpm.unite)+COUNTIF(T36:Z36,_xlpm.unite)&gt;0,_xlpm.estPoids,COUNTIF(Q34:S34,_xlpm.unite)+COUNTIF(Q36:S36,_xlpm.unite)&gt;0,IF(_xlpm.estVol,IF(ROUND(_xlpm.val,3)&gt;=1,ROUND(_xlpm.val,3)&amp;" L",MAX(1,ROUND(_xlpm.val*100,0))&amp;" cl"),IF(_xlpm.estPoids,IF(ROUND(_xlpm.val,3)&gt;=1,ROUND(_xlpm.val,3)&amp;" Kg",MAX(1,ROUND(_xlpm.val*1000,0))&amp;" g"),"")))</f>
        <v>20 g</v>
      </c>
      <c r="AB23" s="104" t="str">
        <f t="shared" si="15"/>
        <v>A</v>
      </c>
      <c r="AC23" s="32" t="str">
        <f>AC14</f>
        <v>C Coquetiers de l'Antoine | |  Author &gt; Guy KRENZE - Eric GODDYN - Arnaud NICOLAS - CEPROC 2002</v>
      </c>
      <c r="AD23" s="33">
        <f>AD14</f>
        <v>20</v>
      </c>
      <c r="AE23" s="32" t="str">
        <f>AE14</f>
        <v>egg cups of 25 g</v>
      </c>
      <c r="AF23" s="34" t="str">
        <f>AF14</f>
        <v>Master recipe ► Black pudding in 4 variations</v>
      </c>
      <c r="AG23" s="92"/>
      <c r="AH23" s="108"/>
      <c r="AI23" s="94" t="str">
        <f t="shared" si="12"/>
        <v/>
      </c>
      <c r="AJ23" s="95">
        <v>20</v>
      </c>
      <c r="AK23" s="105" t="s">
        <v>99</v>
      </c>
      <c r="AL23" s="127">
        <v>1</v>
      </c>
      <c r="AM23" s="920" t="s">
        <v>12878</v>
      </c>
      <c r="AN23" s="1494">
        <f>IF(OR(ISBLANK(AG12),AN12=0),0,AG23*AL13)</f>
        <v>0</v>
      </c>
      <c r="AO23" s="101" cm="1">
        <f t="array" ref="AO23">IFERROR(_xlfn.LET(_xlpm.k,UPPER(TRIM(AK23)),_xlpm.r,_xlfn.XLOOKUP(_xlpm.k,UPPER(TRIM(AG34:AP34)),AG35:AP35,_xlfn.XLOOKUP(_xlpm.k,UPPER(TRIM(AG36:AP36)),AG37:AP37)),_xlpm.r*AJ23*AL23*AL13*IF(ISBLANK(AG23),1,AG23)),0)</f>
        <v>0.02</v>
      </c>
      <c r="AP23" s="1475" t="str">
        <f>_xlfn.LET(_xlpm.unite,SUBSTITUTE(TRIM(AK23)," (s)",""),_xlpm.val,AO23,_xlpm.estVol,COUNTIF(AJ34:AP34,_xlpm.unite)+COUNTIF(AJ36:AP36,_xlpm.unite)&gt;0,_xlpm.estPoids,COUNTIF(AG34:AI34,_xlpm.unite)+COUNTIF(AG36:AI36,_xlpm.unite)&gt;0,IF(_xlpm.estVol,IF(ROUND(_xlpm.val,3)&gt;=1,ROUND(_xlpm.val,3)&amp;" L",MAX(1,ROUND(_xlpm.val*100,0))&amp;" cl"),IF(_xlpm.estPoids,IF(ROUND(_xlpm.val,3)&gt;=1,ROUND(_xlpm.val,3)&amp;" Kg",MAX(1,ROUND(_xlpm.val*1000,0))&amp;" g"),"")))</f>
        <v>20 g</v>
      </c>
      <c r="AR23" s="104" t="str">
        <f t="shared" si="16"/>
        <v>A</v>
      </c>
      <c r="AS23" s="32" t="str">
        <f>AS14</f>
        <v>C Coquetiers de l'Antoine | | Autor &gt; Guy KRENZE - Eric GODDYN - Arnaud NICOLAS - CEPROC 2002</v>
      </c>
      <c r="AT23" s="33">
        <f>AT14</f>
        <v>18</v>
      </c>
      <c r="AU23" s="32" t="str">
        <f>AU14</f>
        <v>hueveras de 25 g</v>
      </c>
      <c r="AV23" s="34" t="str">
        <f>AV14</f>
        <v>Receta madre ► Morcilla en 4 versiones</v>
      </c>
      <c r="AW23" s="92"/>
      <c r="AX23" s="108"/>
      <c r="AY23" s="94" t="str">
        <f t="shared" si="13"/>
        <v/>
      </c>
      <c r="AZ23" s="95">
        <v>20</v>
      </c>
      <c r="BA23" s="105" t="s">
        <v>99</v>
      </c>
      <c r="BB23" s="127">
        <v>1</v>
      </c>
      <c r="BC23" s="920" t="s">
        <v>12879</v>
      </c>
      <c r="BD23" s="1494">
        <f>IF(OR(ISBLANK(AW12),BD12=0),0,AW23*BB13)</f>
        <v>0</v>
      </c>
      <c r="BE23" s="101" cm="1">
        <f t="array" ref="BE23">IFERROR(_xlfn.LET(_xlpm.k,UPPER(TRIM(BA23)),_xlpm.r,_xlfn.XLOOKUP(_xlpm.k,UPPER(TRIM(AW34:BF34)),AW35:BF35,_xlfn.XLOOKUP(_xlpm.k,UPPER(TRIM(AW36:BF36)),AW37:BF37)),_xlpm.r*AZ23*BB23*BB13*IF(ISBLANK(AW23),1,AW23)),0)</f>
        <v>0.04</v>
      </c>
      <c r="BF23" s="1475" t="str">
        <f>_xlfn.LET(_xlpm.unite,SUBSTITUTE(TRIM(BA23)," (s)",""),_xlpm.val,BE23,_xlpm.estVol,COUNTIF(AZ34:BF34,_xlpm.unite)+COUNTIF(AZ36:BF36,_xlpm.unite)&gt;0,_xlpm.estPoids,COUNTIF(AW34:AY34,_xlpm.unite)+COUNTIF(AW36:AY36,_xlpm.unite)&gt;0,IF(_xlpm.estVol,IF(ROUND(_xlpm.val,3)&gt;=1,ROUND(_xlpm.val,3)&amp;" L",MAX(1,ROUND(_xlpm.val*100,0))&amp;" cl"),IF(_xlpm.estPoids,IF(ROUND(_xlpm.val,3)&gt;=1,ROUND(_xlpm.val,3)&amp;" Kg",MAX(1,ROUND(_xlpm.val*1000,0))&amp;" g"),"")))</f>
        <v>40 g</v>
      </c>
      <c r="BH23" s="104"/>
      <c r="BI23" s="32"/>
      <c r="BJ23" s="33"/>
      <c r="BK23" s="32"/>
      <c r="BL23" s="34"/>
      <c r="BM23" s="92"/>
      <c r="BN23" s="108"/>
      <c r="BO23" s="94"/>
      <c r="BP23" s="95"/>
      <c r="BQ23" s="105"/>
      <c r="BR23" s="5101"/>
      <c r="BS23" s="920"/>
      <c r="BT23" s="1495"/>
      <c r="BU23" s="101"/>
      <c r="BV23" s="1475"/>
      <c r="BX23" s="104"/>
      <c r="BY23" s="32"/>
      <c r="BZ23" s="33"/>
      <c r="CA23" s="32"/>
      <c r="CB23" s="34"/>
      <c r="CC23" s="92"/>
      <c r="CD23" s="108"/>
      <c r="CE23" s="94"/>
      <c r="CF23" s="95"/>
      <c r="CG23" s="105"/>
      <c r="CH23" s="5101"/>
      <c r="CI23" s="920"/>
      <c r="CJ23" s="1495"/>
      <c r="CK23" s="101"/>
      <c r="CL23" s="1475"/>
      <c r="CN23" s="104"/>
      <c r="CO23" s="32"/>
      <c r="CP23" s="33"/>
      <c r="CQ23" s="32"/>
      <c r="CR23" s="34"/>
      <c r="CS23" s="92"/>
      <c r="CT23" s="108"/>
      <c r="CU23" s="94"/>
      <c r="CV23" s="95"/>
      <c r="CW23" s="105"/>
      <c r="CX23" s="5101"/>
      <c r="CY23" s="920"/>
      <c r="CZ23" s="1495"/>
      <c r="DA23" s="101"/>
      <c r="DB23" s="1475"/>
      <c r="DC23" s="5109"/>
      <c r="DD23" s="5086"/>
      <c r="DF23" s="3">
        <v>1</v>
      </c>
    </row>
    <row r="24" spans="2:110" ht="21" customHeight="1">
      <c r="B24" s="952" t="str">
        <f t="shared" si="10"/>
        <v>A</v>
      </c>
      <c r="C24" s="993" cm="1">
        <f t="array" ref="C24">SUMPRODUCT(LEN(D24:J24))</f>
        <v>0</v>
      </c>
      <c r="D24" s="167"/>
      <c r="E24" s="172"/>
      <c r="F24" s="172"/>
      <c r="G24" s="172"/>
      <c r="H24" s="172"/>
      <c r="I24" s="172"/>
      <c r="J24" s="173"/>
      <c r="K24" s="442" t="s">
        <v>22</v>
      </c>
      <c r="L24" s="104" t="str">
        <f t="shared" si="14"/>
        <v>A</v>
      </c>
      <c r="M24" s="32" t="str">
        <f>M14</f>
        <v>C Coquetiers de l'Antoine | | Auteur &gt; Guy KRENZE - Eric GODDYN - Arnaud NICOLAS - CEPROC 2002</v>
      </c>
      <c r="N24" s="33">
        <f>N14</f>
        <v>20</v>
      </c>
      <c r="O24" s="32" t="str">
        <f>O14</f>
        <v>coquetiers de 25 g</v>
      </c>
      <c r="P24" s="34" t="str">
        <f>P14</f>
        <v>Recette mère ► le Boudin en 4 déclinaisons</v>
      </c>
      <c r="Q24" s="92"/>
      <c r="R24" s="108"/>
      <c r="S24" s="94" t="str">
        <f t="shared" si="11"/>
        <v/>
      </c>
      <c r="T24" s="95">
        <v>300</v>
      </c>
      <c r="U24" s="105" t="s">
        <v>99</v>
      </c>
      <c r="V24" s="127">
        <v>1</v>
      </c>
      <c r="W24" s="920" t="s">
        <v>12826</v>
      </c>
      <c r="X24" s="1494">
        <f>IF(OR(ISBLANK(Q12),X12=0),0,Q24*V13)</f>
        <v>0</v>
      </c>
      <c r="Y24" s="101" cm="1">
        <f t="array" ref="Y24">IFERROR(_xlfn.LET(_xlpm.k,UPPER(TRIM(U24)),_xlpm.r,_xlfn.XLOOKUP(_xlpm.k,UPPER(TRIM(Q34:Z34)),Q35:Z35,_xlfn.XLOOKUP(_xlpm.k,UPPER(TRIM(Q36:Z36)),Q37:Z37)),_xlpm.r*T24*V24*V13*IF(ISBLANK(Q24),1,Q24)),0)</f>
        <v>0.3</v>
      </c>
      <c r="Z24" s="1476" t="str">
        <f>_xlfn.LET(_xlpm.unite,SUBSTITUTE(TRIM(U24)," (s)",""),_xlpm.val,Y24,_xlpm.estVol,COUNTIF(T34:Z34,_xlpm.unite)+COUNTIF(T36:Z36,_xlpm.unite)&gt;0,_xlpm.estPoids,COUNTIF(Q34:S34,_xlpm.unite)+COUNTIF(Q36:S36,_xlpm.unite)&gt;0,IF(_xlpm.estVol,IF(ROUND(_xlpm.val,3)&gt;=1,ROUND(_xlpm.val,3)&amp;" L",MAX(1,ROUND(_xlpm.val*100,0))&amp;" cl"),IF(_xlpm.estPoids,IF(ROUND(_xlpm.val,3)&gt;=1,ROUND(_xlpm.val,3)&amp;" Kg",MAX(1,ROUND(_xlpm.val*1000,0))&amp;" g"),"")))</f>
        <v>300 g</v>
      </c>
      <c r="AB24" s="104" t="str">
        <f t="shared" si="15"/>
        <v>A</v>
      </c>
      <c r="AC24" s="32" t="str">
        <f>AC14</f>
        <v>C Coquetiers de l'Antoine | |  Author &gt; Guy KRENZE - Eric GODDYN - Arnaud NICOLAS - CEPROC 2002</v>
      </c>
      <c r="AD24" s="33">
        <f>AD14</f>
        <v>20</v>
      </c>
      <c r="AE24" s="32" t="str">
        <f>AE14</f>
        <v>egg cups of 25 g</v>
      </c>
      <c r="AF24" s="34" t="str">
        <f>AF14</f>
        <v>Master recipe ► Black pudding in 4 variations</v>
      </c>
      <c r="AG24" s="92"/>
      <c r="AH24" s="108"/>
      <c r="AI24" s="94" t="str">
        <f t="shared" si="12"/>
        <v/>
      </c>
      <c r="AJ24" s="95">
        <v>300</v>
      </c>
      <c r="AK24" s="105" t="s">
        <v>99</v>
      </c>
      <c r="AL24" s="127">
        <v>1</v>
      </c>
      <c r="AM24" s="920" t="s">
        <v>12880</v>
      </c>
      <c r="AN24" s="1494">
        <f>IF(OR(ISBLANK(AG12),AN12=0),0,AG24*AL13)</f>
        <v>0</v>
      </c>
      <c r="AO24" s="101" cm="1">
        <f t="array" ref="AO24">IFERROR(_xlfn.LET(_xlpm.k,UPPER(TRIM(AK24)),_xlpm.r,_xlfn.XLOOKUP(_xlpm.k,UPPER(TRIM(AG34:AP34)),AG35:AP35,_xlfn.XLOOKUP(_xlpm.k,UPPER(TRIM(AG36:AP36)),AG37:AP37)),_xlpm.r*AJ24*AL24*AL13*IF(ISBLANK(AG24),1,AG24)),0)</f>
        <v>0.3</v>
      </c>
      <c r="AP24" s="1476" t="str">
        <f>_xlfn.LET(_xlpm.unite,SUBSTITUTE(TRIM(AK24)," (s)",""),_xlpm.val,AO24,_xlpm.estVol,COUNTIF(AJ34:AP34,_xlpm.unite)+COUNTIF(AJ36:AP36,_xlpm.unite)&gt;0,_xlpm.estPoids,COUNTIF(AG34:AI34,_xlpm.unite)+COUNTIF(AG36:AI36,_xlpm.unite)&gt;0,IF(_xlpm.estVol,IF(ROUND(_xlpm.val,3)&gt;=1,ROUND(_xlpm.val,3)&amp;" L",MAX(1,ROUND(_xlpm.val*100,0))&amp;" cl"),IF(_xlpm.estPoids,IF(ROUND(_xlpm.val,3)&gt;=1,ROUND(_xlpm.val,3)&amp;" Kg",MAX(1,ROUND(_xlpm.val*1000,0))&amp;" g"),"")))</f>
        <v>300 g</v>
      </c>
      <c r="AR24" s="104" t="str">
        <f t="shared" si="16"/>
        <v>A</v>
      </c>
      <c r="AS24" s="32" t="str">
        <f>AS14</f>
        <v>C Coquetiers de l'Antoine | | Autor &gt; Guy KRENZE - Eric GODDYN - Arnaud NICOLAS - CEPROC 2002</v>
      </c>
      <c r="AT24" s="33">
        <f>AT14</f>
        <v>18</v>
      </c>
      <c r="AU24" s="32" t="str">
        <f>AU14</f>
        <v>hueveras de 25 g</v>
      </c>
      <c r="AV24" s="34" t="str">
        <f>AV14</f>
        <v>Receta madre ► Morcilla en 4 versiones</v>
      </c>
      <c r="AW24" s="92"/>
      <c r="AX24" s="108"/>
      <c r="AY24" s="94" t="str">
        <f t="shared" si="13"/>
        <v/>
      </c>
      <c r="AZ24" s="95">
        <v>300</v>
      </c>
      <c r="BA24" s="105" t="s">
        <v>99</v>
      </c>
      <c r="BB24" s="127">
        <v>1</v>
      </c>
      <c r="BC24" s="920" t="s">
        <v>12881</v>
      </c>
      <c r="BD24" s="1494">
        <f>IF(OR(ISBLANK(AW12),BD12=0),0,AW24*BB13)</f>
        <v>0</v>
      </c>
      <c r="BE24" s="101" cm="1">
        <f t="array" ref="BE24">IFERROR(_xlfn.LET(_xlpm.k,UPPER(TRIM(BA24)),_xlpm.r,_xlfn.XLOOKUP(_xlpm.k,UPPER(TRIM(AW34:BF34)),AW35:BF35,_xlfn.XLOOKUP(_xlpm.k,UPPER(TRIM(AW36:BF36)),AW37:BF37)),_xlpm.r*AZ24*BB24*BB13*IF(ISBLANK(AW24),1,AW24)),0)</f>
        <v>0.6</v>
      </c>
      <c r="BF24" s="1476" t="str">
        <f>_xlfn.LET(_xlpm.unite,SUBSTITUTE(TRIM(BA24)," (s)",""),_xlpm.val,BE24,_xlpm.estVol,COUNTIF(AZ34:BF34,_xlpm.unite)+COUNTIF(AZ36:BF36,_xlpm.unite)&gt;0,_xlpm.estPoids,COUNTIF(AW34:AY34,_xlpm.unite)+COUNTIF(AW36:AY36,_xlpm.unite)&gt;0,IF(_xlpm.estVol,IF(ROUND(_xlpm.val,3)&gt;=1,ROUND(_xlpm.val,3)&amp;" L",MAX(1,ROUND(_xlpm.val*100,0))&amp;" cl"),IF(_xlpm.estPoids,IF(ROUND(_xlpm.val,3)&gt;=1,ROUND(_xlpm.val,3)&amp;" Kg",MAX(1,ROUND(_xlpm.val*1000,0))&amp;" g"),"")))</f>
        <v>600 g</v>
      </c>
      <c r="BH24" s="104"/>
      <c r="BI24" s="32"/>
      <c r="BJ24" s="33"/>
      <c r="BK24" s="32"/>
      <c r="BL24" s="34"/>
      <c r="BM24" s="92"/>
      <c r="BN24" s="108"/>
      <c r="BO24" s="94"/>
      <c r="BP24" s="95"/>
      <c r="BQ24" s="105"/>
      <c r="BR24" s="5101"/>
      <c r="BS24" s="920"/>
      <c r="BT24" s="1495"/>
      <c r="BU24" s="101"/>
      <c r="BV24" s="1475"/>
      <c r="BX24" s="104"/>
      <c r="BY24" s="32"/>
      <c r="BZ24" s="33"/>
      <c r="CA24" s="32"/>
      <c r="CB24" s="34"/>
      <c r="CC24" s="92"/>
      <c r="CD24" s="108"/>
      <c r="CE24" s="94"/>
      <c r="CF24" s="95"/>
      <c r="CG24" s="105"/>
      <c r="CH24" s="5101"/>
      <c r="CI24" s="920"/>
      <c r="CJ24" s="1495"/>
      <c r="CK24" s="101"/>
      <c r="CL24" s="1475"/>
      <c r="CN24" s="104"/>
      <c r="CO24" s="32"/>
      <c r="CP24" s="33"/>
      <c r="CQ24" s="32"/>
      <c r="CR24" s="34"/>
      <c r="CS24" s="92"/>
      <c r="CT24" s="108"/>
      <c r="CU24" s="94"/>
      <c r="CV24" s="95"/>
      <c r="CW24" s="105"/>
      <c r="CX24" s="5101"/>
      <c r="CY24" s="920"/>
      <c r="CZ24" s="1495"/>
      <c r="DA24" s="101"/>
      <c r="DB24" s="1475"/>
      <c r="DC24" s="5109"/>
      <c r="DD24" s="5086"/>
      <c r="DF24" s="3">
        <v>1</v>
      </c>
    </row>
    <row r="25" spans="2:110" ht="21" customHeight="1">
      <c r="B25" s="952" t="str">
        <f t="shared" si="10"/>
        <v>A</v>
      </c>
      <c r="C25" s="993" cm="1">
        <f t="array" ref="C25">SUMPRODUCT(LEN(D25:J25))</f>
        <v>0</v>
      </c>
      <c r="D25" s="167"/>
      <c r="E25" s="172"/>
      <c r="F25" s="172"/>
      <c r="G25" s="172"/>
      <c r="H25" s="172"/>
      <c r="I25" s="172"/>
      <c r="J25" s="173"/>
      <c r="K25" s="442" t="s">
        <v>22</v>
      </c>
      <c r="L25" s="104" t="str">
        <f t="shared" si="14"/>
        <v>A</v>
      </c>
      <c r="M25" s="32" t="str">
        <f>M14</f>
        <v>C Coquetiers de l'Antoine | | Auteur &gt; Guy KRENZE - Eric GODDYN - Arnaud NICOLAS - CEPROC 2002</v>
      </c>
      <c r="N25" s="33">
        <f>N14</f>
        <v>20</v>
      </c>
      <c r="O25" s="32" t="str">
        <f>O14</f>
        <v>coquetiers de 25 g</v>
      </c>
      <c r="P25" s="34" t="str">
        <f>P14</f>
        <v>Recette mère ► le Boudin en 4 déclinaisons</v>
      </c>
      <c r="Q25" s="92"/>
      <c r="R25" s="108"/>
      <c r="S25" s="94" t="str">
        <f t="shared" si="11"/>
        <v/>
      </c>
      <c r="T25" s="95">
        <v>2</v>
      </c>
      <c r="U25" s="105" t="s">
        <v>99</v>
      </c>
      <c r="V25" s="127">
        <v>1</v>
      </c>
      <c r="W25" s="920" t="s">
        <v>12827</v>
      </c>
      <c r="X25" s="1494">
        <f>IF(OR(ISBLANK(Q12),X12=0),0,Q25*V13)</f>
        <v>0</v>
      </c>
      <c r="Y25" s="101" cm="1">
        <f t="array" ref="Y25">IFERROR(_xlfn.LET(_xlpm.k,UPPER(TRIM(U25)),_xlpm.r,_xlfn.XLOOKUP(_xlpm.k,UPPER(TRIM(Q34:Z34)),Q35:Z35,_xlfn.XLOOKUP(_xlpm.k,UPPER(TRIM(Q36:Z36)),Q37:Z37)),_xlpm.r*T25*V25*V13*IF(ISBLANK(Q25),1,Q25)),0)</f>
        <v>2E-3</v>
      </c>
      <c r="Z25" s="1475" t="str">
        <f>_xlfn.LET(_xlpm.unite,SUBSTITUTE(TRIM(U25)," (s)",""),_xlpm.val,Y25,_xlpm.estVol,COUNTIF(T34:Z34,_xlpm.unite)+COUNTIF(T36:Z36,_xlpm.unite)&gt;0,_xlpm.estPoids,COUNTIF(Q34:S34,_xlpm.unite)+COUNTIF(Q36:S36,_xlpm.unite)&gt;0,IF(_xlpm.estVol,IF(ROUND(_xlpm.val,3)&gt;=1,ROUND(_xlpm.val,3)&amp;" L",MAX(1,ROUND(_xlpm.val*100,0))&amp;" cl"),IF(_xlpm.estPoids,IF(ROUND(_xlpm.val,3)&gt;=1,ROUND(_xlpm.val,3)&amp;" Kg",MAX(1,ROUND(_xlpm.val*1000,0))&amp;" g"),"")))</f>
        <v>2 g</v>
      </c>
      <c r="AB25" s="104" t="str">
        <f t="shared" si="15"/>
        <v>A</v>
      </c>
      <c r="AC25" s="32" t="str">
        <f>AC14</f>
        <v>C Coquetiers de l'Antoine | |  Author &gt; Guy KRENZE - Eric GODDYN - Arnaud NICOLAS - CEPROC 2002</v>
      </c>
      <c r="AD25" s="33">
        <f>AD14</f>
        <v>20</v>
      </c>
      <c r="AE25" s="32" t="str">
        <f>AE14</f>
        <v>egg cups of 25 g</v>
      </c>
      <c r="AF25" s="34" t="str">
        <f>AF14</f>
        <v>Master recipe ► Black pudding in 4 variations</v>
      </c>
      <c r="AG25" s="92"/>
      <c r="AH25" s="108"/>
      <c r="AI25" s="94" t="str">
        <f t="shared" si="12"/>
        <v/>
      </c>
      <c r="AJ25" s="95">
        <v>2</v>
      </c>
      <c r="AK25" s="105" t="s">
        <v>99</v>
      </c>
      <c r="AL25" s="127">
        <v>1</v>
      </c>
      <c r="AM25" s="920" t="s">
        <v>12882</v>
      </c>
      <c r="AN25" s="1494">
        <f>IF(OR(ISBLANK(AG12),AN12=0),0,AG25*AL13)</f>
        <v>0</v>
      </c>
      <c r="AO25" s="101" cm="1">
        <f t="array" ref="AO25">IFERROR(_xlfn.LET(_xlpm.k,UPPER(TRIM(AK25)),_xlpm.r,_xlfn.XLOOKUP(_xlpm.k,UPPER(TRIM(AG34:AP34)),AG35:AP35,_xlfn.XLOOKUP(_xlpm.k,UPPER(TRIM(AG36:AP36)),AG37:AP37)),_xlpm.r*AJ25*AL25*AL13*IF(ISBLANK(AG25),1,AG25)),0)</f>
        <v>2E-3</v>
      </c>
      <c r="AP25" s="1475" t="str">
        <f>_xlfn.LET(_xlpm.unite,SUBSTITUTE(TRIM(AK25)," (s)",""),_xlpm.val,AO25,_xlpm.estVol,COUNTIF(AJ34:AP34,_xlpm.unite)+COUNTIF(AJ36:AP36,_xlpm.unite)&gt;0,_xlpm.estPoids,COUNTIF(AG34:AI34,_xlpm.unite)+COUNTIF(AG36:AI36,_xlpm.unite)&gt;0,IF(_xlpm.estVol,IF(ROUND(_xlpm.val,3)&gt;=1,ROUND(_xlpm.val,3)&amp;" L",MAX(1,ROUND(_xlpm.val*100,0))&amp;" cl"),IF(_xlpm.estPoids,IF(ROUND(_xlpm.val,3)&gt;=1,ROUND(_xlpm.val,3)&amp;" Kg",MAX(1,ROUND(_xlpm.val*1000,0))&amp;" g"),"")))</f>
        <v>2 g</v>
      </c>
      <c r="AR25" s="104" t="str">
        <f t="shared" si="16"/>
        <v>A</v>
      </c>
      <c r="AS25" s="32" t="str">
        <f>AS14</f>
        <v>C Coquetiers de l'Antoine | | Autor &gt; Guy KRENZE - Eric GODDYN - Arnaud NICOLAS - CEPROC 2002</v>
      </c>
      <c r="AT25" s="33">
        <f>AT14</f>
        <v>18</v>
      </c>
      <c r="AU25" s="32" t="str">
        <f>AU14</f>
        <v>hueveras de 25 g</v>
      </c>
      <c r="AV25" s="34" t="str">
        <f>AV14</f>
        <v>Receta madre ► Morcilla en 4 versiones</v>
      </c>
      <c r="AW25" s="92"/>
      <c r="AX25" s="108"/>
      <c r="AY25" s="94" t="str">
        <f t="shared" si="13"/>
        <v/>
      </c>
      <c r="AZ25" s="95">
        <v>2</v>
      </c>
      <c r="BA25" s="105" t="s">
        <v>99</v>
      </c>
      <c r="BB25" s="127">
        <v>1</v>
      </c>
      <c r="BC25" s="920" t="s">
        <v>12883</v>
      </c>
      <c r="BD25" s="1494">
        <f>IF(OR(ISBLANK(AW12),BD12=0),0,AW25*BB13)</f>
        <v>0</v>
      </c>
      <c r="BE25" s="101" cm="1">
        <f t="array" ref="BE25">IFERROR(_xlfn.LET(_xlpm.k,UPPER(TRIM(BA25)),_xlpm.r,_xlfn.XLOOKUP(_xlpm.k,UPPER(TRIM(AW34:BF34)),AW35:BF35,_xlfn.XLOOKUP(_xlpm.k,UPPER(TRIM(AW36:BF36)),AW37:BF37)),_xlpm.r*AZ25*BB25*BB13*IF(ISBLANK(AW25),1,AW25)),0)</f>
        <v>4.0000000000000001E-3</v>
      </c>
      <c r="BF25" s="1475" t="str">
        <f>_xlfn.LET(_xlpm.unite,SUBSTITUTE(TRIM(BA25)," (s)",""),_xlpm.val,BE25,_xlpm.estVol,COUNTIF(AZ34:BF34,_xlpm.unite)+COUNTIF(AZ36:BF36,_xlpm.unite)&gt;0,_xlpm.estPoids,COUNTIF(AW34:AY34,_xlpm.unite)+COUNTIF(AW36:AY36,_xlpm.unite)&gt;0,IF(_xlpm.estVol,IF(ROUND(_xlpm.val,3)&gt;=1,ROUND(_xlpm.val,3)&amp;" L",MAX(1,ROUND(_xlpm.val*100,0))&amp;" cl"),IF(_xlpm.estPoids,IF(ROUND(_xlpm.val,3)&gt;=1,ROUND(_xlpm.val,3)&amp;" Kg",MAX(1,ROUND(_xlpm.val*1000,0))&amp;" g"),"")))</f>
        <v>4 g</v>
      </c>
      <c r="BH25" s="104"/>
      <c r="BI25" s="32"/>
      <c r="BJ25" s="33"/>
      <c r="BK25" s="32"/>
      <c r="BL25" s="34"/>
      <c r="BM25" s="92"/>
      <c r="BN25" s="108"/>
      <c r="BO25" s="94"/>
      <c r="BP25" s="95"/>
      <c r="BQ25" s="105"/>
      <c r="BR25" s="5101"/>
      <c r="BS25" s="920"/>
      <c r="BT25" s="1495"/>
      <c r="BU25" s="101"/>
      <c r="BV25" s="1475"/>
      <c r="BX25" s="104"/>
      <c r="BY25" s="32"/>
      <c r="BZ25" s="33"/>
      <c r="CA25" s="32"/>
      <c r="CB25" s="34"/>
      <c r="CC25" s="92"/>
      <c r="CD25" s="108"/>
      <c r="CE25" s="94"/>
      <c r="CF25" s="95"/>
      <c r="CG25" s="105"/>
      <c r="CH25" s="5101"/>
      <c r="CI25" s="920"/>
      <c r="CJ25" s="1495"/>
      <c r="CK25" s="101"/>
      <c r="CL25" s="1475"/>
      <c r="CN25" s="104"/>
      <c r="CO25" s="32"/>
      <c r="CP25" s="33"/>
      <c r="CQ25" s="32"/>
      <c r="CR25" s="34"/>
      <c r="CS25" s="92"/>
      <c r="CT25" s="108"/>
      <c r="CU25" s="94"/>
      <c r="CV25" s="95"/>
      <c r="CW25" s="105"/>
      <c r="CX25" s="5101"/>
      <c r="CY25" s="920"/>
      <c r="CZ25" s="1495"/>
      <c r="DA25" s="101"/>
      <c r="DB25" s="1475"/>
      <c r="DC25" s="5109"/>
      <c r="DD25" s="5086"/>
      <c r="DF25" s="3">
        <v>1</v>
      </c>
    </row>
    <row r="26" spans="2:110" ht="21" customHeight="1">
      <c r="B26" s="952" t="str">
        <f t="shared" si="10"/>
        <v>A</v>
      </c>
      <c r="C26" s="993" cm="1">
        <f t="array" ref="C26">SUMPRODUCT(LEN(D26:J26))</f>
        <v>0</v>
      </c>
      <c r="D26" s="167"/>
      <c r="E26" s="172"/>
      <c r="F26" s="172"/>
      <c r="G26" s="172"/>
      <c r="H26" s="172"/>
      <c r="I26" s="172"/>
      <c r="J26" s="173"/>
      <c r="K26" s="442" t="s">
        <v>22</v>
      </c>
      <c r="L26" s="104" t="str">
        <f t="shared" si="14"/>
        <v>A</v>
      </c>
      <c r="M26" s="32" t="str">
        <f>M14</f>
        <v>C Coquetiers de l'Antoine | | Auteur &gt; Guy KRENZE - Eric GODDYN - Arnaud NICOLAS - CEPROC 2002</v>
      </c>
      <c r="N26" s="33">
        <f>N14</f>
        <v>20</v>
      </c>
      <c r="O26" s="32" t="str">
        <f>O14</f>
        <v>coquetiers de 25 g</v>
      </c>
      <c r="P26" s="34" t="str">
        <f>P14</f>
        <v>Recette mère ► le Boudin en 4 déclinaisons</v>
      </c>
      <c r="Q26" s="92"/>
      <c r="R26" s="108"/>
      <c r="S26" s="94" t="str">
        <f t="shared" si="11"/>
        <v/>
      </c>
      <c r="T26" s="95">
        <v>7</v>
      </c>
      <c r="U26" s="105" t="s">
        <v>99</v>
      </c>
      <c r="V26" s="127">
        <v>1</v>
      </c>
      <c r="W26" s="920" t="s">
        <v>8947</v>
      </c>
      <c r="X26" s="1494">
        <f>IF(OR(ISBLANK(Q12),X12=0),0,Q26*V13)</f>
        <v>0</v>
      </c>
      <c r="Y26" s="101" cm="1">
        <f t="array" ref="Y26">IFERROR(_xlfn.LET(_xlpm.k,UPPER(TRIM(U26)),_xlpm.r,_xlfn.XLOOKUP(_xlpm.k,UPPER(TRIM(Q34:Z34)),Q35:Z35,_xlfn.XLOOKUP(_xlpm.k,UPPER(TRIM(Q36:Z36)),Q37:Z37)),_xlpm.r*T26*V26*V13*IF(ISBLANK(Q26),1,Q26)),0)</f>
        <v>7.0000000000000001E-3</v>
      </c>
      <c r="Z26" s="1476" t="str">
        <f>_xlfn.LET(_xlpm.unite,SUBSTITUTE(TRIM(U26)," (s)",""),_xlpm.val,Y26,_xlpm.estVol,COUNTIF(T34:Z34,_xlpm.unite)+COUNTIF(T36:Z36,_xlpm.unite)&gt;0,_xlpm.estPoids,COUNTIF(Q34:S34,_xlpm.unite)+COUNTIF(Q36:S36,_xlpm.unite)&gt;0,IF(_xlpm.estVol,IF(ROUND(_xlpm.val,3)&gt;=1,ROUND(_xlpm.val,3)&amp;" L",MAX(1,ROUND(_xlpm.val*100,0))&amp;" cl"),IF(_xlpm.estPoids,IF(ROUND(_xlpm.val,3)&gt;=1,ROUND(_xlpm.val,3)&amp;" Kg",MAX(1,ROUND(_xlpm.val*1000,0))&amp;" g"),"")))</f>
        <v>7 g</v>
      </c>
      <c r="AB26" s="104" t="str">
        <f t="shared" si="15"/>
        <v>A</v>
      </c>
      <c r="AC26" s="32" t="str">
        <f>AC14</f>
        <v>C Coquetiers de l'Antoine | |  Author &gt; Guy KRENZE - Eric GODDYN - Arnaud NICOLAS - CEPROC 2002</v>
      </c>
      <c r="AD26" s="33">
        <f>AD14</f>
        <v>20</v>
      </c>
      <c r="AE26" s="32" t="str">
        <f>AE14</f>
        <v>egg cups of 25 g</v>
      </c>
      <c r="AF26" s="34" t="str">
        <f>AF14</f>
        <v>Master recipe ► Black pudding in 4 variations</v>
      </c>
      <c r="AG26" s="92"/>
      <c r="AH26" s="108"/>
      <c r="AI26" s="94" t="str">
        <f t="shared" si="12"/>
        <v/>
      </c>
      <c r="AJ26" s="95">
        <v>7</v>
      </c>
      <c r="AK26" s="105" t="s">
        <v>99</v>
      </c>
      <c r="AL26" s="127">
        <v>1</v>
      </c>
      <c r="AM26" s="920" t="s">
        <v>12884</v>
      </c>
      <c r="AN26" s="1494">
        <f>IF(OR(ISBLANK(AG12),AN12=0),0,AG26*AL13)</f>
        <v>0</v>
      </c>
      <c r="AO26" s="101" cm="1">
        <f t="array" ref="AO26">IFERROR(_xlfn.LET(_xlpm.k,UPPER(TRIM(AK26)),_xlpm.r,_xlfn.XLOOKUP(_xlpm.k,UPPER(TRIM(AG34:AP34)),AG35:AP35,_xlfn.XLOOKUP(_xlpm.k,UPPER(TRIM(AG36:AP36)),AG37:AP37)),_xlpm.r*AJ26*AL26*AL13*IF(ISBLANK(AG26),1,AG26)),0)</f>
        <v>7.0000000000000001E-3</v>
      </c>
      <c r="AP26" s="1476" t="str">
        <f>_xlfn.LET(_xlpm.unite,SUBSTITUTE(TRIM(AK26)," (s)",""),_xlpm.val,AO26,_xlpm.estVol,COUNTIF(AJ34:AP34,_xlpm.unite)+COUNTIF(AJ36:AP36,_xlpm.unite)&gt;0,_xlpm.estPoids,COUNTIF(AG34:AI34,_xlpm.unite)+COUNTIF(AG36:AI36,_xlpm.unite)&gt;0,IF(_xlpm.estVol,IF(ROUND(_xlpm.val,3)&gt;=1,ROUND(_xlpm.val,3)&amp;" L",MAX(1,ROUND(_xlpm.val*100,0))&amp;" cl"),IF(_xlpm.estPoids,IF(ROUND(_xlpm.val,3)&gt;=1,ROUND(_xlpm.val,3)&amp;" Kg",MAX(1,ROUND(_xlpm.val*1000,0))&amp;" g"),"")))</f>
        <v>7 g</v>
      </c>
      <c r="AR26" s="104" t="str">
        <f t="shared" si="16"/>
        <v>A</v>
      </c>
      <c r="AS26" s="32" t="str">
        <f>AS14</f>
        <v>C Coquetiers de l'Antoine | | Autor &gt; Guy KRENZE - Eric GODDYN - Arnaud NICOLAS - CEPROC 2002</v>
      </c>
      <c r="AT26" s="33">
        <f>AT14</f>
        <v>18</v>
      </c>
      <c r="AU26" s="32" t="str">
        <f>AU14</f>
        <v>hueveras de 25 g</v>
      </c>
      <c r="AV26" s="34" t="str">
        <f>AV14</f>
        <v>Receta madre ► Morcilla en 4 versiones</v>
      </c>
      <c r="AW26" s="92"/>
      <c r="AX26" s="108"/>
      <c r="AY26" s="94" t="str">
        <f t="shared" si="13"/>
        <v/>
      </c>
      <c r="AZ26" s="95">
        <v>7</v>
      </c>
      <c r="BA26" s="105" t="s">
        <v>99</v>
      </c>
      <c r="BB26" s="127">
        <v>1</v>
      </c>
      <c r="BC26" s="920" t="s">
        <v>12885</v>
      </c>
      <c r="BD26" s="1494">
        <f>IF(OR(ISBLANK(AW12),BD12=0),0,AW26*BB13)</f>
        <v>0</v>
      </c>
      <c r="BE26" s="101" cm="1">
        <f t="array" ref="BE26">IFERROR(_xlfn.LET(_xlpm.k,UPPER(TRIM(BA26)),_xlpm.r,_xlfn.XLOOKUP(_xlpm.k,UPPER(TRIM(AW34:BF34)),AW35:BF35,_xlfn.XLOOKUP(_xlpm.k,UPPER(TRIM(AW36:BF36)),AW37:BF37)),_xlpm.r*AZ26*BB26*BB13*IF(ISBLANK(AW26),1,AW26)),0)</f>
        <v>1.4E-2</v>
      </c>
      <c r="BF26" s="1476" t="str">
        <f>_xlfn.LET(_xlpm.unite,SUBSTITUTE(TRIM(BA26)," (s)",""),_xlpm.val,BE26,_xlpm.estVol,COUNTIF(AZ34:BF34,_xlpm.unite)+COUNTIF(AZ36:BF36,_xlpm.unite)&gt;0,_xlpm.estPoids,COUNTIF(AW34:AY34,_xlpm.unite)+COUNTIF(AW36:AY36,_xlpm.unite)&gt;0,IF(_xlpm.estVol,IF(ROUND(_xlpm.val,3)&gt;=1,ROUND(_xlpm.val,3)&amp;" L",MAX(1,ROUND(_xlpm.val*100,0))&amp;" cl"),IF(_xlpm.estPoids,IF(ROUND(_xlpm.val,3)&gt;=1,ROUND(_xlpm.val,3)&amp;" Kg",MAX(1,ROUND(_xlpm.val*1000,0))&amp;" g"),"")))</f>
        <v>14 g</v>
      </c>
      <c r="BH26" s="104"/>
      <c r="BI26" s="32"/>
      <c r="BJ26" s="33"/>
      <c r="BK26" s="32"/>
      <c r="BL26" s="34"/>
      <c r="BM26" s="92"/>
      <c r="BN26" s="108"/>
      <c r="BO26" s="94"/>
      <c r="BP26" s="95"/>
      <c r="BQ26" s="105"/>
      <c r="BR26" s="5101"/>
      <c r="BS26" s="920"/>
      <c r="BT26" s="1495"/>
      <c r="BU26" s="101"/>
      <c r="BV26" s="1475"/>
      <c r="BX26" s="104"/>
      <c r="BY26" s="32"/>
      <c r="BZ26" s="33"/>
      <c r="CA26" s="32"/>
      <c r="CB26" s="34"/>
      <c r="CC26" s="92"/>
      <c r="CD26" s="108"/>
      <c r="CE26" s="94"/>
      <c r="CF26" s="95"/>
      <c r="CG26" s="105"/>
      <c r="CH26" s="5101"/>
      <c r="CI26" s="920"/>
      <c r="CJ26" s="1495"/>
      <c r="CK26" s="101"/>
      <c r="CL26" s="1475"/>
      <c r="CN26" s="104"/>
      <c r="CO26" s="32"/>
      <c r="CP26" s="33"/>
      <c r="CQ26" s="32"/>
      <c r="CR26" s="34"/>
      <c r="CS26" s="92"/>
      <c r="CT26" s="108"/>
      <c r="CU26" s="94"/>
      <c r="CV26" s="95"/>
      <c r="CW26" s="105"/>
      <c r="CX26" s="5101"/>
      <c r="CY26" s="920"/>
      <c r="CZ26" s="1495"/>
      <c r="DA26" s="101"/>
      <c r="DB26" s="1475"/>
      <c r="DC26" s="5109"/>
      <c r="DD26" s="5086"/>
      <c r="DF26" s="3">
        <v>1</v>
      </c>
    </row>
    <row r="27" spans="2:110" ht="21" customHeight="1">
      <c r="B27" s="952" t="str">
        <f t="shared" si="10"/>
        <v>A</v>
      </c>
      <c r="C27" s="993" cm="1">
        <f t="array" ref="C27">SUMPRODUCT(LEN(D27:J27))</f>
        <v>0</v>
      </c>
      <c r="D27" s="167"/>
      <c r="E27" s="172"/>
      <c r="F27" s="172"/>
      <c r="G27" s="172"/>
      <c r="H27" s="172"/>
      <c r="I27" s="172"/>
      <c r="J27" s="173"/>
      <c r="K27" s="442" t="s">
        <v>22</v>
      </c>
      <c r="L27" s="104" t="str">
        <f t="shared" si="14"/>
        <v>A</v>
      </c>
      <c r="M27" s="32" t="str">
        <f>M14</f>
        <v>C Coquetiers de l'Antoine | | Auteur &gt; Guy KRENZE - Eric GODDYN - Arnaud NICOLAS - CEPROC 2002</v>
      </c>
      <c r="N27" s="33">
        <f>N14</f>
        <v>20</v>
      </c>
      <c r="O27" s="32" t="str">
        <f>O14</f>
        <v>coquetiers de 25 g</v>
      </c>
      <c r="P27" s="34" t="str">
        <f>P14</f>
        <v>Recette mère ► le Boudin en 4 déclinaisons</v>
      </c>
      <c r="Q27" s="92"/>
      <c r="R27" s="108"/>
      <c r="S27" s="94" t="str">
        <f t="shared" si="11"/>
        <v/>
      </c>
      <c r="T27" s="95"/>
      <c r="U27" s="126"/>
      <c r="V27" s="127">
        <v>1</v>
      </c>
      <c r="W27" s="920" t="s">
        <v>12828</v>
      </c>
      <c r="X27" s="1494">
        <f>IF(OR(ISBLANK(Q12),X12=0),0,Q27*V13)</f>
        <v>0</v>
      </c>
      <c r="Y27" s="101" cm="1">
        <f t="array" ref="Y27">IFERROR(_xlfn.LET(_xlpm.k,UPPER(TRIM(U27)),_xlpm.r,_xlfn.XLOOKUP(_xlpm.k,UPPER(TRIM(Q34:Z34)),Q35:Z35,_xlfn.XLOOKUP(_xlpm.k,UPPER(TRIM(Q36:Z36)),Q37:Z37)),_xlpm.r*T27*V27*V13*IF(ISBLANK(Q27),1,Q27)),0)</f>
        <v>0</v>
      </c>
      <c r="Z27" s="1475" t="str">
        <f>_xlfn.LET(_xlpm.unite,SUBSTITUTE(TRIM(U27)," (s)",""),_xlpm.val,Y27,_xlpm.estVol,COUNTIF(T34:Z34,_xlpm.unite)+COUNTIF(T36:Z36,_xlpm.unite)&gt;0,_xlpm.estPoids,COUNTIF(Q34:S34,_xlpm.unite)+COUNTIF(Q36:S36,_xlpm.unite)&gt;0,IF(_xlpm.estVol,IF(ROUND(_xlpm.val,3)&gt;=1,ROUND(_xlpm.val,3)&amp;" L",MAX(1,ROUND(_xlpm.val*100,0))&amp;" cl"),IF(_xlpm.estPoids,IF(ROUND(_xlpm.val,3)&gt;=1,ROUND(_xlpm.val,3)&amp;" Kg",MAX(1,ROUND(_xlpm.val*1000,0))&amp;" g"),"")))</f>
        <v/>
      </c>
      <c r="AB27" s="104" t="str">
        <f t="shared" si="15"/>
        <v>A</v>
      </c>
      <c r="AC27" s="32" t="str">
        <f>AC14</f>
        <v>C Coquetiers de l'Antoine | |  Author &gt; Guy KRENZE - Eric GODDYN - Arnaud NICOLAS - CEPROC 2002</v>
      </c>
      <c r="AD27" s="33">
        <f>AD14</f>
        <v>20</v>
      </c>
      <c r="AE27" s="32" t="str">
        <f>AE14</f>
        <v>egg cups of 25 g</v>
      </c>
      <c r="AF27" s="34" t="str">
        <f>AF14</f>
        <v>Master recipe ► Black pudding in 4 variations</v>
      </c>
      <c r="AG27" s="92"/>
      <c r="AH27" s="108"/>
      <c r="AI27" s="94" t="str">
        <f t="shared" si="12"/>
        <v/>
      </c>
      <c r="AJ27" s="95"/>
      <c r="AK27" s="126"/>
      <c r="AL27" s="127">
        <v>1</v>
      </c>
      <c r="AM27" s="920" t="s">
        <v>12886</v>
      </c>
      <c r="AN27" s="1494">
        <f>IF(OR(ISBLANK(AG12),AN12=0),0,AG27*AL13)</f>
        <v>0</v>
      </c>
      <c r="AO27" s="101" cm="1">
        <f t="array" ref="AO27">IFERROR(_xlfn.LET(_xlpm.k,UPPER(TRIM(AK27)),_xlpm.r,_xlfn.XLOOKUP(_xlpm.k,UPPER(TRIM(AG34:AP34)),AG35:AP35,_xlfn.XLOOKUP(_xlpm.k,UPPER(TRIM(AG36:AP36)),AG37:AP37)),_xlpm.r*AJ27*AL27*AL13*IF(ISBLANK(AG27),1,AG27)),0)</f>
        <v>0</v>
      </c>
      <c r="AP27" s="1475" t="str">
        <f>_xlfn.LET(_xlpm.unite,SUBSTITUTE(TRIM(AK27)," (s)",""),_xlpm.val,AO27,_xlpm.estVol,COUNTIF(AJ34:AP34,_xlpm.unite)+COUNTIF(AJ36:AP36,_xlpm.unite)&gt;0,_xlpm.estPoids,COUNTIF(AG34:AI34,_xlpm.unite)+COUNTIF(AG36:AI36,_xlpm.unite)&gt;0,IF(_xlpm.estVol,IF(ROUND(_xlpm.val,3)&gt;=1,ROUND(_xlpm.val,3)&amp;" L",MAX(1,ROUND(_xlpm.val*100,0))&amp;" cl"),IF(_xlpm.estPoids,IF(ROUND(_xlpm.val,3)&gt;=1,ROUND(_xlpm.val,3)&amp;" Kg",MAX(1,ROUND(_xlpm.val*1000,0))&amp;" g"),"")))</f>
        <v/>
      </c>
      <c r="AR27" s="104" t="str">
        <f t="shared" si="16"/>
        <v>A</v>
      </c>
      <c r="AS27" s="32" t="str">
        <f>AS14</f>
        <v>C Coquetiers de l'Antoine | | Autor &gt; Guy KRENZE - Eric GODDYN - Arnaud NICOLAS - CEPROC 2002</v>
      </c>
      <c r="AT27" s="33">
        <f>AT14</f>
        <v>18</v>
      </c>
      <c r="AU27" s="32" t="str">
        <f>AU14</f>
        <v>hueveras de 25 g</v>
      </c>
      <c r="AV27" s="34" t="str">
        <f>AV14</f>
        <v>Receta madre ► Morcilla en 4 versiones</v>
      </c>
      <c r="AW27" s="92"/>
      <c r="AX27" s="108"/>
      <c r="AY27" s="94" t="str">
        <f t="shared" si="13"/>
        <v/>
      </c>
      <c r="AZ27" s="95"/>
      <c r="BA27" s="126"/>
      <c r="BB27" s="127">
        <v>1</v>
      </c>
      <c r="BC27" s="920" t="s">
        <v>12887</v>
      </c>
      <c r="BD27" s="1494">
        <f>IF(OR(ISBLANK(AW12),BD12=0),0,AW27*BB13)</f>
        <v>0</v>
      </c>
      <c r="BE27" s="101" cm="1">
        <f t="array" ref="BE27">IFERROR(_xlfn.LET(_xlpm.k,UPPER(TRIM(BA27)),_xlpm.r,_xlfn.XLOOKUP(_xlpm.k,UPPER(TRIM(AW34:BF34)),AW35:BF35,_xlfn.XLOOKUP(_xlpm.k,UPPER(TRIM(AW36:BF36)),AW37:BF37)),_xlpm.r*AZ27*BB27*BB13*IF(ISBLANK(AW27),1,AW27)),0)</f>
        <v>0</v>
      </c>
      <c r="BF27" s="1475" t="str">
        <f>_xlfn.LET(_xlpm.unite,SUBSTITUTE(TRIM(BA27)," (s)",""),_xlpm.val,BE27,_xlpm.estVol,COUNTIF(AZ34:BF34,_xlpm.unite)+COUNTIF(AZ36:BF36,_xlpm.unite)&gt;0,_xlpm.estPoids,COUNTIF(AW34:AY34,_xlpm.unite)+COUNTIF(AW36:AY36,_xlpm.unite)&gt;0,IF(_xlpm.estVol,IF(ROUND(_xlpm.val,3)&gt;=1,ROUND(_xlpm.val,3)&amp;" L",MAX(1,ROUND(_xlpm.val*100,0))&amp;" cl"),IF(_xlpm.estPoids,IF(ROUND(_xlpm.val,3)&gt;=1,ROUND(_xlpm.val,3)&amp;" Kg",MAX(1,ROUND(_xlpm.val*1000,0))&amp;" g"),"")))</f>
        <v/>
      </c>
      <c r="BH27" s="104"/>
      <c r="BI27" s="32"/>
      <c r="BJ27" s="33"/>
      <c r="BK27" s="32"/>
      <c r="BL27" s="34"/>
      <c r="BM27" s="92"/>
      <c r="BN27" s="108"/>
      <c r="BO27" s="94"/>
      <c r="BP27" s="95"/>
      <c r="BQ27" s="105"/>
      <c r="BR27" s="5101"/>
      <c r="BS27" s="920"/>
      <c r="BT27" s="1495"/>
      <c r="BU27" s="101"/>
      <c r="BV27" s="1475"/>
      <c r="BX27" s="104"/>
      <c r="BY27" s="32"/>
      <c r="BZ27" s="33"/>
      <c r="CA27" s="32"/>
      <c r="CB27" s="34"/>
      <c r="CC27" s="92"/>
      <c r="CD27" s="108"/>
      <c r="CE27" s="94"/>
      <c r="CF27" s="95"/>
      <c r="CG27" s="105"/>
      <c r="CH27" s="5101"/>
      <c r="CI27" s="920"/>
      <c r="CJ27" s="1495"/>
      <c r="CK27" s="101"/>
      <c r="CL27" s="1475"/>
      <c r="CN27" s="104"/>
      <c r="CO27" s="32"/>
      <c r="CP27" s="33"/>
      <c r="CQ27" s="32"/>
      <c r="CR27" s="34"/>
      <c r="CS27" s="92"/>
      <c r="CT27" s="108"/>
      <c r="CU27" s="94"/>
      <c r="CV27" s="95"/>
      <c r="CW27" s="105"/>
      <c r="CX27" s="5101"/>
      <c r="CY27" s="920"/>
      <c r="CZ27" s="1495"/>
      <c r="DA27" s="101"/>
      <c r="DB27" s="1475"/>
      <c r="DC27" s="5109"/>
      <c r="DD27" s="5086"/>
      <c r="DF27" s="3">
        <v>1</v>
      </c>
    </row>
    <row r="28" spans="2:110" ht="21" customHeight="1">
      <c r="B28" s="952" t="str">
        <f t="shared" si="10"/>
        <v>A</v>
      </c>
      <c r="C28" s="993" cm="1">
        <f t="array" ref="C28">SUMPRODUCT(LEN(D28:J28))</f>
        <v>0</v>
      </c>
      <c r="D28" s="167"/>
      <c r="E28" s="172"/>
      <c r="F28" s="172"/>
      <c r="G28" s="172"/>
      <c r="H28" s="172"/>
      <c r="I28" s="172"/>
      <c r="J28" s="173"/>
      <c r="K28" s="442" t="s">
        <v>22</v>
      </c>
      <c r="L28" s="104" t="str">
        <f t="shared" si="14"/>
        <v>A</v>
      </c>
      <c r="M28" s="32" t="str">
        <f>M14</f>
        <v>C Coquetiers de l'Antoine | | Auteur &gt; Guy KRENZE - Eric GODDYN - Arnaud NICOLAS - CEPROC 2002</v>
      </c>
      <c r="N28" s="33">
        <f>N14</f>
        <v>20</v>
      </c>
      <c r="O28" s="32" t="str">
        <f>O14</f>
        <v>coquetiers de 25 g</v>
      </c>
      <c r="P28" s="34" t="str">
        <f>P14</f>
        <v>Recette mère ► le Boudin en 4 déclinaisons</v>
      </c>
      <c r="Q28" s="92"/>
      <c r="R28" s="108"/>
      <c r="S28" s="94" t="str">
        <f t="shared" si="11"/>
        <v/>
      </c>
      <c r="T28" s="95"/>
      <c r="U28" s="126"/>
      <c r="V28" s="127">
        <v>1</v>
      </c>
      <c r="W28" s="920" t="s">
        <v>12855</v>
      </c>
      <c r="X28" s="1494">
        <f>IF(OR(ISBLANK(Q12),X12=0),0,Q28*V13)</f>
        <v>0</v>
      </c>
      <c r="Y28" s="101" cm="1">
        <f t="array" ref="Y28">IFERROR(_xlfn.LET(_xlpm.k,UPPER(TRIM(U28)),_xlpm.r,_xlfn.XLOOKUP(_xlpm.k,UPPER(TRIM(Q34:Z34)),Q35:Z35,_xlfn.XLOOKUP(_xlpm.k,UPPER(TRIM(Q36:Z36)),Q37:Z37)),_xlpm.r*T28*V28*V13*IF(ISBLANK(Q28),1,Q28)),0)</f>
        <v>0</v>
      </c>
      <c r="Z28" s="1476" t="str">
        <f>_xlfn.LET(_xlpm.unite,SUBSTITUTE(TRIM(U28)," (s)",""),_xlpm.val,Y28,_xlpm.estVol,COUNTIF(T34:Z34,_xlpm.unite)+COUNTIF(T36:Z36,_xlpm.unite)&gt;0,_xlpm.estPoids,COUNTIF(Q34:S34,_xlpm.unite)+COUNTIF(Q36:S36,_xlpm.unite)&gt;0,IF(_xlpm.estVol,IF(ROUND(_xlpm.val,3)&gt;=1,ROUND(_xlpm.val,3)&amp;" L",MAX(1,ROUND(_xlpm.val*100,0))&amp;" cl"),IF(_xlpm.estPoids,IF(ROUND(_xlpm.val,3)&gt;=1,ROUND(_xlpm.val,3)&amp;" Kg",MAX(1,ROUND(_xlpm.val*1000,0))&amp;" g"),"")))</f>
        <v/>
      </c>
      <c r="AB28" s="104" t="str">
        <f t="shared" si="15"/>
        <v>A</v>
      </c>
      <c r="AC28" s="32" t="str">
        <f>AC14</f>
        <v>C Coquetiers de l'Antoine | |  Author &gt; Guy KRENZE - Eric GODDYN - Arnaud NICOLAS - CEPROC 2002</v>
      </c>
      <c r="AD28" s="33">
        <f>AD14</f>
        <v>20</v>
      </c>
      <c r="AE28" s="32" t="str">
        <f>AE14</f>
        <v>egg cups of 25 g</v>
      </c>
      <c r="AF28" s="34" t="str">
        <f>AF14</f>
        <v>Master recipe ► Black pudding in 4 variations</v>
      </c>
      <c r="AG28" s="92"/>
      <c r="AH28" s="108"/>
      <c r="AI28" s="94" t="str">
        <f t="shared" si="12"/>
        <v/>
      </c>
      <c r="AJ28" s="95"/>
      <c r="AK28" s="126"/>
      <c r="AL28" s="127">
        <v>1</v>
      </c>
      <c r="AM28" s="920" t="s">
        <v>12889</v>
      </c>
      <c r="AN28" s="1494">
        <f>IF(OR(ISBLANK(AG12),AN12=0),0,AG28*AL13)</f>
        <v>0</v>
      </c>
      <c r="AO28" s="101" cm="1">
        <f t="array" ref="AO28">IFERROR(_xlfn.LET(_xlpm.k,UPPER(TRIM(AK28)),_xlpm.r,_xlfn.XLOOKUP(_xlpm.k,UPPER(TRIM(AG34:AP34)),AG35:AP35,_xlfn.XLOOKUP(_xlpm.k,UPPER(TRIM(AG36:AP36)),AG37:AP37)),_xlpm.r*AJ28*AL28*AL13*IF(ISBLANK(AG28),1,AG28)),0)</f>
        <v>0</v>
      </c>
      <c r="AP28" s="1476" t="str">
        <f>_xlfn.LET(_xlpm.unite,SUBSTITUTE(TRIM(AK28)," (s)",""),_xlpm.val,AO28,_xlpm.estVol,COUNTIF(AJ34:AP34,_xlpm.unite)+COUNTIF(AJ36:AP36,_xlpm.unite)&gt;0,_xlpm.estPoids,COUNTIF(AG34:AI34,_xlpm.unite)+COUNTIF(AG36:AI36,_xlpm.unite)&gt;0,IF(_xlpm.estVol,IF(ROUND(_xlpm.val,3)&gt;=1,ROUND(_xlpm.val,3)&amp;" L",MAX(1,ROUND(_xlpm.val*100,0))&amp;" cl"),IF(_xlpm.estPoids,IF(ROUND(_xlpm.val,3)&gt;=1,ROUND(_xlpm.val,3)&amp;" Kg",MAX(1,ROUND(_xlpm.val*1000,0))&amp;" g"),"")))</f>
        <v/>
      </c>
      <c r="AR28" s="104" t="str">
        <f t="shared" si="16"/>
        <v>A</v>
      </c>
      <c r="AS28" s="32" t="str">
        <f>AS14</f>
        <v>C Coquetiers de l'Antoine | | Autor &gt; Guy KRENZE - Eric GODDYN - Arnaud NICOLAS - CEPROC 2002</v>
      </c>
      <c r="AT28" s="33">
        <f>AT14</f>
        <v>18</v>
      </c>
      <c r="AU28" s="32" t="str">
        <f>AU14</f>
        <v>hueveras de 25 g</v>
      </c>
      <c r="AV28" s="34" t="str">
        <f>AV14</f>
        <v>Receta madre ► Morcilla en 4 versiones</v>
      </c>
      <c r="AW28" s="92"/>
      <c r="AX28" s="108"/>
      <c r="AY28" s="94" t="str">
        <f t="shared" si="13"/>
        <v/>
      </c>
      <c r="AZ28" s="95"/>
      <c r="BA28" s="126"/>
      <c r="BB28" s="127">
        <v>1</v>
      </c>
      <c r="BC28" s="920" t="s">
        <v>12890</v>
      </c>
      <c r="BD28" s="1494">
        <f>IF(OR(ISBLANK(AW12),BD12=0),0,AW28*BB13)</f>
        <v>0</v>
      </c>
      <c r="BE28" s="101" cm="1">
        <f t="array" ref="BE28">IFERROR(_xlfn.LET(_xlpm.k,UPPER(TRIM(BA28)),_xlpm.r,_xlfn.XLOOKUP(_xlpm.k,UPPER(TRIM(AW34:BF34)),AW35:BF35,_xlfn.XLOOKUP(_xlpm.k,UPPER(TRIM(AW36:BF36)),AW37:BF37)),_xlpm.r*AZ28*BB28*BB13*IF(ISBLANK(AW28),1,AW28)),0)</f>
        <v>0</v>
      </c>
      <c r="BF28" s="1476" t="str">
        <f>_xlfn.LET(_xlpm.unite,SUBSTITUTE(TRIM(BA28)," (s)",""),_xlpm.val,BE28,_xlpm.estVol,COUNTIF(AZ34:BF34,_xlpm.unite)+COUNTIF(AZ36:BF36,_xlpm.unite)&gt;0,_xlpm.estPoids,COUNTIF(AW34:AY34,_xlpm.unite)+COUNTIF(AW36:AY36,_xlpm.unite)&gt;0,IF(_xlpm.estVol,IF(ROUND(_xlpm.val,3)&gt;=1,ROUND(_xlpm.val,3)&amp;" L",MAX(1,ROUND(_xlpm.val*100,0))&amp;" cl"),IF(_xlpm.estPoids,IF(ROUND(_xlpm.val,3)&gt;=1,ROUND(_xlpm.val,3)&amp;" Kg",MAX(1,ROUND(_xlpm.val*1000,0))&amp;" g"),"")))</f>
        <v/>
      </c>
      <c r="BH28" s="104"/>
      <c r="BI28" s="32"/>
      <c r="BJ28" s="33"/>
      <c r="BK28" s="32"/>
      <c r="BL28" s="34"/>
      <c r="BM28" s="92"/>
      <c r="BN28" s="108"/>
      <c r="BO28" s="94"/>
      <c r="BP28" s="95"/>
      <c r="BQ28" s="105"/>
      <c r="BR28" s="5101"/>
      <c r="BS28" s="920"/>
      <c r="BT28" s="1495"/>
      <c r="BU28" s="101"/>
      <c r="BV28" s="1475"/>
      <c r="BX28" s="104"/>
      <c r="BY28" s="32"/>
      <c r="BZ28" s="33"/>
      <c r="CA28" s="32"/>
      <c r="CB28" s="34"/>
      <c r="CC28" s="92"/>
      <c r="CD28" s="108"/>
      <c r="CE28" s="94"/>
      <c r="CF28" s="95"/>
      <c r="CG28" s="105"/>
      <c r="CH28" s="5101"/>
      <c r="CI28" s="920"/>
      <c r="CJ28" s="1495"/>
      <c r="CK28" s="101"/>
      <c r="CL28" s="1475"/>
      <c r="CN28" s="104"/>
      <c r="CO28" s="32"/>
      <c r="CP28" s="33"/>
      <c r="CQ28" s="32"/>
      <c r="CR28" s="34"/>
      <c r="CS28" s="92"/>
      <c r="CT28" s="108"/>
      <c r="CU28" s="94"/>
      <c r="CV28" s="95"/>
      <c r="CW28" s="105"/>
      <c r="CX28" s="5101"/>
      <c r="CY28" s="920"/>
      <c r="CZ28" s="1495"/>
      <c r="DA28" s="101"/>
      <c r="DB28" s="1475"/>
      <c r="DC28" s="5109"/>
      <c r="DD28" s="5086"/>
      <c r="DF28" s="3">
        <v>1</v>
      </c>
    </row>
    <row r="29" spans="2:110" ht="21" customHeight="1">
      <c r="B29" s="952" t="str">
        <f t="shared" si="10"/>
        <v>A</v>
      </c>
      <c r="C29" s="993" cm="1">
        <f t="array" ref="C29">SUMPRODUCT(LEN(D29:J29))</f>
        <v>0</v>
      </c>
      <c r="D29" s="167"/>
      <c r="E29" s="172"/>
      <c r="F29" s="172"/>
      <c r="G29" s="172"/>
      <c r="H29" s="172"/>
      <c r="I29" s="172"/>
      <c r="J29" s="173"/>
      <c r="K29" s="442" t="s">
        <v>22</v>
      </c>
      <c r="L29" s="104" t="str">
        <f t="shared" si="14"/>
        <v>A</v>
      </c>
      <c r="M29" s="32" t="str">
        <f>M14</f>
        <v>C Coquetiers de l'Antoine | | Auteur &gt; Guy KRENZE - Eric GODDYN - Arnaud NICOLAS - CEPROC 2002</v>
      </c>
      <c r="N29" s="33">
        <f>N14</f>
        <v>20</v>
      </c>
      <c r="O29" s="32" t="str">
        <f>O14</f>
        <v>coquetiers de 25 g</v>
      </c>
      <c r="P29" s="34" t="str">
        <f>P14</f>
        <v>Recette mère ► le Boudin en 4 déclinaisons</v>
      </c>
      <c r="Q29" s="92"/>
      <c r="R29" s="108"/>
      <c r="S29" s="94" t="str">
        <f t="shared" si="11"/>
        <v/>
      </c>
      <c r="T29" s="95">
        <v>250</v>
      </c>
      <c r="U29" s="105" t="s">
        <v>99</v>
      </c>
      <c r="V29" s="127">
        <v>1</v>
      </c>
      <c r="W29" s="920" t="s">
        <v>12831</v>
      </c>
      <c r="X29" s="1494">
        <f>IF(OR(ISBLANK(Q12),X12=0),0,Q29*V13)</f>
        <v>0</v>
      </c>
      <c r="Y29" s="101" cm="1">
        <f t="array" ref="Y29">IFERROR(_xlfn.LET(_xlpm.k,UPPER(TRIM(U29)),_xlpm.r,_xlfn.XLOOKUP(_xlpm.k,UPPER(TRIM(Q34:Z34)),Q35:Z35,_xlfn.XLOOKUP(_xlpm.k,UPPER(TRIM(Q36:Z36)),Q37:Z37)),_xlpm.r*T29*V29*V13*IF(ISBLANK(Q29),1,Q29)),0)</f>
        <v>0.25</v>
      </c>
      <c r="Z29" s="1475" t="str">
        <f>_xlfn.LET(_xlpm.unite,SUBSTITUTE(TRIM(U29)," (s)",""),_xlpm.val,Y29,_xlpm.estVol,COUNTIF(T34:Z34,_xlpm.unite)+COUNTIF(T36:Z36,_xlpm.unite)&gt;0,_xlpm.estPoids,COUNTIF(Q34:S34,_xlpm.unite)+COUNTIF(Q36:S36,_xlpm.unite)&gt;0,IF(_xlpm.estVol,IF(ROUND(_xlpm.val,3)&gt;=1,ROUND(_xlpm.val,3)&amp;" L",MAX(1,ROUND(_xlpm.val*100,0))&amp;" cl"),IF(_xlpm.estPoids,IF(ROUND(_xlpm.val,3)&gt;=1,ROUND(_xlpm.val,3)&amp;" Kg",MAX(1,ROUND(_xlpm.val*1000,0))&amp;" g"),"")))</f>
        <v>250 g</v>
      </c>
      <c r="AB29" s="104" t="str">
        <f t="shared" si="15"/>
        <v>A</v>
      </c>
      <c r="AC29" s="32" t="str">
        <f>AC14</f>
        <v>C Coquetiers de l'Antoine | |  Author &gt; Guy KRENZE - Eric GODDYN - Arnaud NICOLAS - CEPROC 2002</v>
      </c>
      <c r="AD29" s="33">
        <f>AD14</f>
        <v>20</v>
      </c>
      <c r="AE29" s="32" t="str">
        <f>AE14</f>
        <v>egg cups of 25 g</v>
      </c>
      <c r="AF29" s="34" t="str">
        <f>AF14</f>
        <v>Master recipe ► Black pudding in 4 variations</v>
      </c>
      <c r="AG29" s="92"/>
      <c r="AH29" s="108"/>
      <c r="AI29" s="94" t="str">
        <f t="shared" si="12"/>
        <v/>
      </c>
      <c r="AJ29" s="95">
        <v>250</v>
      </c>
      <c r="AK29" s="105" t="s">
        <v>99</v>
      </c>
      <c r="AL29" s="127">
        <v>1</v>
      </c>
      <c r="AM29" s="920" t="s">
        <v>12891</v>
      </c>
      <c r="AN29" s="1494">
        <f>IF(OR(ISBLANK(AG12),AN12=0),0,AG29*AL13)</f>
        <v>0</v>
      </c>
      <c r="AO29" s="101" cm="1">
        <f t="array" ref="AO29">IFERROR(_xlfn.LET(_xlpm.k,UPPER(TRIM(AK29)),_xlpm.r,_xlfn.XLOOKUP(_xlpm.k,UPPER(TRIM(AG34:AP34)),AG35:AP35,_xlfn.XLOOKUP(_xlpm.k,UPPER(TRIM(AG36:AP36)),AG37:AP37)),_xlpm.r*AJ29*AL29*AL13*IF(ISBLANK(AG29),1,AG29)),0)</f>
        <v>0.25</v>
      </c>
      <c r="AP29" s="1475" t="str">
        <f>_xlfn.LET(_xlpm.unite,SUBSTITUTE(TRIM(AK29)," (s)",""),_xlpm.val,AO29,_xlpm.estVol,COUNTIF(AJ34:AP34,_xlpm.unite)+COUNTIF(AJ36:AP36,_xlpm.unite)&gt;0,_xlpm.estPoids,COUNTIF(AG34:AI34,_xlpm.unite)+COUNTIF(AG36:AI36,_xlpm.unite)&gt;0,IF(_xlpm.estVol,IF(ROUND(_xlpm.val,3)&gt;=1,ROUND(_xlpm.val,3)&amp;" L",MAX(1,ROUND(_xlpm.val*100,0))&amp;" cl"),IF(_xlpm.estPoids,IF(ROUND(_xlpm.val,3)&gt;=1,ROUND(_xlpm.val,3)&amp;" Kg",MAX(1,ROUND(_xlpm.val*1000,0))&amp;" g"),"")))</f>
        <v>250 g</v>
      </c>
      <c r="AR29" s="104" t="str">
        <f t="shared" si="16"/>
        <v>A</v>
      </c>
      <c r="AS29" s="32" t="str">
        <f>AS14</f>
        <v>C Coquetiers de l'Antoine | | Autor &gt; Guy KRENZE - Eric GODDYN - Arnaud NICOLAS - CEPROC 2002</v>
      </c>
      <c r="AT29" s="33">
        <f>AT14</f>
        <v>18</v>
      </c>
      <c r="AU29" s="32" t="str">
        <f>AU14</f>
        <v>hueveras de 25 g</v>
      </c>
      <c r="AV29" s="34" t="str">
        <f>AV14</f>
        <v>Receta madre ► Morcilla en 4 versiones</v>
      </c>
      <c r="AW29" s="92"/>
      <c r="AX29" s="108"/>
      <c r="AY29" s="94" t="str">
        <f t="shared" si="13"/>
        <v/>
      </c>
      <c r="AZ29" s="95">
        <v>250</v>
      </c>
      <c r="BA29" s="105" t="s">
        <v>99</v>
      </c>
      <c r="BB29" s="127">
        <v>1</v>
      </c>
      <c r="BC29" s="920" t="s">
        <v>12892</v>
      </c>
      <c r="BD29" s="1494">
        <f>IF(OR(ISBLANK(AW12),BD12=0),0,AW29*BB13)</f>
        <v>0</v>
      </c>
      <c r="BE29" s="101" cm="1">
        <f t="array" ref="BE29">IFERROR(_xlfn.LET(_xlpm.k,UPPER(TRIM(BA29)),_xlpm.r,_xlfn.XLOOKUP(_xlpm.k,UPPER(TRIM(AW34:BF34)),AW35:BF35,_xlfn.XLOOKUP(_xlpm.k,UPPER(TRIM(AW36:BF36)),AW37:BF37)),_xlpm.r*AZ29*BB29*BB13*IF(ISBLANK(AW29),1,AW29)),0)</f>
        <v>0.5</v>
      </c>
      <c r="BF29" s="1475" t="str">
        <f>_xlfn.LET(_xlpm.unite,SUBSTITUTE(TRIM(BA29)," (s)",""),_xlpm.val,BE29,_xlpm.estVol,COUNTIF(AZ34:BF34,_xlpm.unite)+COUNTIF(AZ36:BF36,_xlpm.unite)&gt;0,_xlpm.estPoids,COUNTIF(AW34:AY34,_xlpm.unite)+COUNTIF(AW36:AY36,_xlpm.unite)&gt;0,IF(_xlpm.estVol,IF(ROUND(_xlpm.val,3)&gt;=1,ROUND(_xlpm.val,3)&amp;" L",MAX(1,ROUND(_xlpm.val*100,0))&amp;" cl"),IF(_xlpm.estPoids,IF(ROUND(_xlpm.val,3)&gt;=1,ROUND(_xlpm.val,3)&amp;" Kg",MAX(1,ROUND(_xlpm.val*1000,0))&amp;" g"),"")))</f>
        <v>500 g</v>
      </c>
      <c r="BH29" s="104"/>
      <c r="BI29" s="32"/>
      <c r="BJ29" s="33"/>
      <c r="BK29" s="32"/>
      <c r="BL29" s="34"/>
      <c r="BM29" s="92"/>
      <c r="BN29" s="108"/>
      <c r="BO29" s="94"/>
      <c r="BP29" s="95"/>
      <c r="BQ29" s="105"/>
      <c r="BR29" s="5101"/>
      <c r="BS29" s="920"/>
      <c r="BT29" s="1495"/>
      <c r="BU29" s="101"/>
      <c r="BV29" s="1475"/>
      <c r="BX29" s="104"/>
      <c r="BY29" s="32"/>
      <c r="BZ29" s="33"/>
      <c r="CA29" s="32"/>
      <c r="CB29" s="34"/>
      <c r="CC29" s="92"/>
      <c r="CD29" s="108"/>
      <c r="CE29" s="94"/>
      <c r="CF29" s="95"/>
      <c r="CG29" s="105"/>
      <c r="CH29" s="5101"/>
      <c r="CI29" s="920"/>
      <c r="CJ29" s="1495"/>
      <c r="CK29" s="101"/>
      <c r="CL29" s="1475"/>
      <c r="CN29" s="104"/>
      <c r="CO29" s="32"/>
      <c r="CP29" s="33"/>
      <c r="CQ29" s="32"/>
      <c r="CR29" s="34"/>
      <c r="CS29" s="92"/>
      <c r="CT29" s="108"/>
      <c r="CU29" s="94"/>
      <c r="CV29" s="95"/>
      <c r="CW29" s="105"/>
      <c r="CX29" s="5101"/>
      <c r="CY29" s="920"/>
      <c r="CZ29" s="1495"/>
      <c r="DA29" s="101"/>
      <c r="DB29" s="1475"/>
      <c r="DC29" s="5109"/>
      <c r="DD29" s="5086"/>
      <c r="DF29" s="3">
        <v>1</v>
      </c>
    </row>
    <row r="30" spans="2:110" ht="21" customHeight="1">
      <c r="B30" s="952" t="str">
        <f t="shared" si="10"/>
        <v>A</v>
      </c>
      <c r="C30" s="993" cm="1">
        <f t="array" ref="C30">SUMPRODUCT(LEN(D30:J30))</f>
        <v>0</v>
      </c>
      <c r="D30" s="167"/>
      <c r="E30" s="172"/>
      <c r="F30" s="172"/>
      <c r="G30" s="172"/>
      <c r="H30" s="172"/>
      <c r="I30" s="172"/>
      <c r="J30" s="173"/>
      <c r="K30" s="442" t="s">
        <v>22</v>
      </c>
      <c r="L30" s="104" t="str">
        <f t="shared" si="14"/>
        <v>A</v>
      </c>
      <c r="M30" s="32" t="str">
        <f>M14</f>
        <v>C Coquetiers de l'Antoine | | Auteur &gt; Guy KRENZE - Eric GODDYN - Arnaud NICOLAS - CEPROC 2002</v>
      </c>
      <c r="N30" s="33">
        <f>N14</f>
        <v>20</v>
      </c>
      <c r="O30" s="32" t="str">
        <f>O14</f>
        <v>coquetiers de 25 g</v>
      </c>
      <c r="P30" s="34" t="str">
        <f>P14</f>
        <v>Recette mère ► le Boudin en 4 déclinaisons</v>
      </c>
      <c r="Q30" s="92"/>
      <c r="R30" s="108"/>
      <c r="S30" s="94" t="str">
        <f t="shared" si="11"/>
        <v/>
      </c>
      <c r="T30" s="95">
        <v>250</v>
      </c>
      <c r="U30" s="105" t="s">
        <v>99</v>
      </c>
      <c r="V30" s="127">
        <v>1</v>
      </c>
      <c r="W30" s="920" t="s">
        <v>12832</v>
      </c>
      <c r="X30" s="1494">
        <f>IF(OR(ISBLANK(Q12),X12=0),0,Q30*V13)</f>
        <v>0</v>
      </c>
      <c r="Y30" s="101" cm="1">
        <f t="array" ref="Y30">IFERROR(_xlfn.LET(_xlpm.k,UPPER(TRIM(U30)),_xlpm.r,_xlfn.XLOOKUP(_xlpm.k,UPPER(TRIM(Q34:Z34)),Q35:Z35,_xlfn.XLOOKUP(_xlpm.k,UPPER(TRIM(Q36:Z36)),Q37:Z37)),_xlpm.r*T30*V30*V13*IF(ISBLANK(Q30),1,Q30)),0)</f>
        <v>0.25</v>
      </c>
      <c r="Z30" s="1476" t="str">
        <f>_xlfn.LET(_xlpm.unite,SUBSTITUTE(TRIM(U30)," (s)",""),_xlpm.val,Y30,_xlpm.estVol,COUNTIF(T34:Z34,_xlpm.unite)+COUNTIF(T36:Z36,_xlpm.unite)&gt;0,_xlpm.estPoids,COUNTIF(Q34:S34,_xlpm.unite)+COUNTIF(Q36:S36,_xlpm.unite)&gt;0,IF(_xlpm.estVol,IF(ROUND(_xlpm.val,3)&gt;=1,ROUND(_xlpm.val,3)&amp;" L",MAX(1,ROUND(_xlpm.val*100,0))&amp;" cl"),IF(_xlpm.estPoids,IF(ROUND(_xlpm.val,3)&gt;=1,ROUND(_xlpm.val,3)&amp;" Kg",MAX(1,ROUND(_xlpm.val*1000,0))&amp;" g"),"")))</f>
        <v>250 g</v>
      </c>
      <c r="AB30" s="104" t="str">
        <f t="shared" si="15"/>
        <v>A</v>
      </c>
      <c r="AC30" s="32" t="str">
        <f>AC14</f>
        <v>C Coquetiers de l'Antoine | |  Author &gt; Guy KRENZE - Eric GODDYN - Arnaud NICOLAS - CEPROC 2002</v>
      </c>
      <c r="AD30" s="33">
        <f>AD14</f>
        <v>20</v>
      </c>
      <c r="AE30" s="32" t="str">
        <f>AE14</f>
        <v>egg cups of 25 g</v>
      </c>
      <c r="AF30" s="34" t="str">
        <f>AF14</f>
        <v>Master recipe ► Black pudding in 4 variations</v>
      </c>
      <c r="AG30" s="92"/>
      <c r="AH30" s="108"/>
      <c r="AI30" s="94" t="str">
        <f t="shared" si="12"/>
        <v/>
      </c>
      <c r="AJ30" s="95">
        <v>250</v>
      </c>
      <c r="AK30" s="105" t="s">
        <v>99</v>
      </c>
      <c r="AL30" s="127">
        <v>1</v>
      </c>
      <c r="AM30" s="920" t="s">
        <v>12893</v>
      </c>
      <c r="AN30" s="1494">
        <f>IF(OR(ISBLANK(AG12),AN12=0),0,AG30*AL13)</f>
        <v>0</v>
      </c>
      <c r="AO30" s="101" cm="1">
        <f t="array" ref="AO30">IFERROR(_xlfn.LET(_xlpm.k,UPPER(TRIM(AK30)),_xlpm.r,_xlfn.XLOOKUP(_xlpm.k,UPPER(TRIM(AG34:AP34)),AG35:AP35,_xlfn.XLOOKUP(_xlpm.k,UPPER(TRIM(AG36:AP36)),AG37:AP37)),_xlpm.r*AJ30*AL30*AL13*IF(ISBLANK(AG30),1,AG30)),0)</f>
        <v>0.25</v>
      </c>
      <c r="AP30" s="1476" t="str">
        <f>_xlfn.LET(_xlpm.unite,SUBSTITUTE(TRIM(AK30)," (s)",""),_xlpm.val,AO30,_xlpm.estVol,COUNTIF(AJ34:AP34,_xlpm.unite)+COUNTIF(AJ36:AP36,_xlpm.unite)&gt;0,_xlpm.estPoids,COUNTIF(AG34:AI34,_xlpm.unite)+COUNTIF(AG36:AI36,_xlpm.unite)&gt;0,IF(_xlpm.estVol,IF(ROUND(_xlpm.val,3)&gt;=1,ROUND(_xlpm.val,3)&amp;" L",MAX(1,ROUND(_xlpm.val*100,0))&amp;" cl"),IF(_xlpm.estPoids,IF(ROUND(_xlpm.val,3)&gt;=1,ROUND(_xlpm.val,3)&amp;" Kg",MAX(1,ROUND(_xlpm.val*1000,0))&amp;" g"),"")))</f>
        <v>250 g</v>
      </c>
      <c r="AR30" s="104" t="str">
        <f t="shared" si="16"/>
        <v>A</v>
      </c>
      <c r="AS30" s="32" t="str">
        <f>AS14</f>
        <v>C Coquetiers de l'Antoine | | Autor &gt; Guy KRENZE - Eric GODDYN - Arnaud NICOLAS - CEPROC 2002</v>
      </c>
      <c r="AT30" s="33">
        <f>AT14</f>
        <v>18</v>
      </c>
      <c r="AU30" s="32" t="str">
        <f>AU14</f>
        <v>hueveras de 25 g</v>
      </c>
      <c r="AV30" s="34" t="str">
        <f>AV14</f>
        <v>Receta madre ► Morcilla en 4 versiones</v>
      </c>
      <c r="AW30" s="92"/>
      <c r="AX30" s="108"/>
      <c r="AY30" s="94" t="str">
        <f t="shared" si="13"/>
        <v/>
      </c>
      <c r="AZ30" s="95">
        <v>250</v>
      </c>
      <c r="BA30" s="105" t="s">
        <v>99</v>
      </c>
      <c r="BB30" s="127">
        <v>1</v>
      </c>
      <c r="BC30" s="920" t="s">
        <v>12894</v>
      </c>
      <c r="BD30" s="1494">
        <f>IF(OR(ISBLANK(AW12),BD12=0),0,AW30*BB13)</f>
        <v>0</v>
      </c>
      <c r="BE30" s="101" cm="1">
        <f t="array" ref="BE30">IFERROR(_xlfn.LET(_xlpm.k,UPPER(TRIM(BA30)),_xlpm.r,_xlfn.XLOOKUP(_xlpm.k,UPPER(TRIM(AW34:BF34)),AW35:BF35,_xlfn.XLOOKUP(_xlpm.k,UPPER(TRIM(AW36:BF36)),AW37:BF37)),_xlpm.r*AZ30*BB30*BB13*IF(ISBLANK(AW30),1,AW30)),0)</f>
        <v>0.5</v>
      </c>
      <c r="BF30" s="1476" t="str">
        <f>_xlfn.LET(_xlpm.unite,SUBSTITUTE(TRIM(BA30)," (s)",""),_xlpm.val,BE30,_xlpm.estVol,COUNTIF(AZ34:BF34,_xlpm.unite)+COUNTIF(AZ36:BF36,_xlpm.unite)&gt;0,_xlpm.estPoids,COUNTIF(AW34:AY34,_xlpm.unite)+COUNTIF(AW36:AY36,_xlpm.unite)&gt;0,IF(_xlpm.estVol,IF(ROUND(_xlpm.val,3)&gt;=1,ROUND(_xlpm.val,3)&amp;" L",MAX(1,ROUND(_xlpm.val*100,0))&amp;" cl"),IF(_xlpm.estPoids,IF(ROUND(_xlpm.val,3)&gt;=1,ROUND(_xlpm.val,3)&amp;" Kg",MAX(1,ROUND(_xlpm.val*1000,0))&amp;" g"),"")))</f>
        <v>500 g</v>
      </c>
      <c r="BH30" s="104"/>
      <c r="BI30" s="32"/>
      <c r="BJ30" s="33"/>
      <c r="BK30" s="32"/>
      <c r="BL30" s="34"/>
      <c r="BM30" s="92"/>
      <c r="BN30" s="108"/>
      <c r="BO30" s="94"/>
      <c r="BP30" s="95"/>
      <c r="BQ30" s="105"/>
      <c r="BR30" s="5101"/>
      <c r="BS30" s="920"/>
      <c r="BT30" s="1495"/>
      <c r="BU30" s="101"/>
      <c r="BV30" s="1475"/>
      <c r="BX30" s="104"/>
      <c r="BY30" s="32"/>
      <c r="BZ30" s="33"/>
      <c r="CA30" s="32"/>
      <c r="CB30" s="34"/>
      <c r="CC30" s="92"/>
      <c r="CD30" s="108"/>
      <c r="CE30" s="94"/>
      <c r="CF30" s="95"/>
      <c r="CG30" s="105"/>
      <c r="CH30" s="5101"/>
      <c r="CI30" s="920"/>
      <c r="CJ30" s="1495"/>
      <c r="CK30" s="101"/>
      <c r="CL30" s="1475"/>
      <c r="CN30" s="104"/>
      <c r="CO30" s="32"/>
      <c r="CP30" s="33"/>
      <c r="CQ30" s="32"/>
      <c r="CR30" s="34"/>
      <c r="CS30" s="92"/>
      <c r="CT30" s="108"/>
      <c r="CU30" s="94"/>
      <c r="CV30" s="95"/>
      <c r="CW30" s="105"/>
      <c r="CX30" s="5101"/>
      <c r="CY30" s="920"/>
      <c r="CZ30" s="1495"/>
      <c r="DA30" s="101"/>
      <c r="DB30" s="1475"/>
      <c r="DC30" s="5109"/>
      <c r="DD30" s="5086"/>
      <c r="DF30" s="3">
        <v>1</v>
      </c>
    </row>
    <row r="31" spans="2:110" ht="21" customHeight="1">
      <c r="B31" s="952" t="str">
        <f t="shared" si="10"/>
        <v>A</v>
      </c>
      <c r="C31" s="993" cm="1">
        <f t="array" ref="C31">SUMPRODUCT(LEN(D31:J31))</f>
        <v>0</v>
      </c>
      <c r="D31" s="167"/>
      <c r="E31" s="172"/>
      <c r="F31" s="172"/>
      <c r="G31" s="172"/>
      <c r="H31" s="172"/>
      <c r="I31" s="172"/>
      <c r="J31" s="173"/>
      <c r="K31" s="442" t="s">
        <v>22</v>
      </c>
      <c r="L31" s="104" t="str">
        <f t="shared" si="14"/>
        <v>A</v>
      </c>
      <c r="M31" s="32" t="str">
        <f>M14</f>
        <v>C Coquetiers de l'Antoine | | Auteur &gt; Guy KRENZE - Eric GODDYN - Arnaud NICOLAS - CEPROC 2002</v>
      </c>
      <c r="N31" s="33">
        <f>N14</f>
        <v>20</v>
      </c>
      <c r="O31" s="32" t="str">
        <f>O14</f>
        <v>coquetiers de 25 g</v>
      </c>
      <c r="P31" s="34" t="str">
        <f>P14</f>
        <v>Recette mère ► le Boudin en 4 déclinaisons</v>
      </c>
      <c r="Q31" s="92"/>
      <c r="R31" s="108"/>
      <c r="S31" s="94" t="str">
        <f t="shared" si="11"/>
        <v/>
      </c>
      <c r="T31" s="95"/>
      <c r="U31" s="126"/>
      <c r="V31" s="127">
        <v>1</v>
      </c>
      <c r="W31" s="920" t="s">
        <v>12833</v>
      </c>
      <c r="X31" s="1494">
        <f>IF(OR(ISBLANK(Q12),X12=0),0,Q31*V13)</f>
        <v>0</v>
      </c>
      <c r="Y31" s="101" cm="1">
        <f t="array" ref="Y31">IFERROR(_xlfn.LET(_xlpm.k,UPPER(TRIM(U31)),_xlpm.r,_xlfn.XLOOKUP(_xlpm.k,UPPER(TRIM(Q34:Z34)),Q35:Z35,_xlfn.XLOOKUP(_xlpm.k,UPPER(TRIM(Q36:Z36)),Q37:Z37)),_xlpm.r*T31*V31*V13*IF(ISBLANK(Q31),1,Q31)),0)</f>
        <v>0</v>
      </c>
      <c r="Z31" s="1475" t="str">
        <f>_xlfn.LET(_xlpm.unite,SUBSTITUTE(TRIM(U31)," (s)",""),_xlpm.val,Y31,_xlpm.estVol,COUNTIF(T34:Z34,_xlpm.unite)+COUNTIF(T36:Z36,_xlpm.unite)&gt;0,_xlpm.estPoids,COUNTIF(Q34:S34,_xlpm.unite)+COUNTIF(Q36:S36,_xlpm.unite)&gt;0,IF(_xlpm.estVol,IF(ROUND(_xlpm.val,3)&gt;=1,ROUND(_xlpm.val,3)&amp;" L",MAX(1,ROUND(_xlpm.val*100,0))&amp;" cl"),IF(_xlpm.estPoids,IF(ROUND(_xlpm.val,3)&gt;=1,ROUND(_xlpm.val,3)&amp;" Kg",MAX(1,ROUND(_xlpm.val*1000,0))&amp;" g"),"")))</f>
        <v/>
      </c>
      <c r="AB31" s="104" t="str">
        <f t="shared" si="15"/>
        <v>A</v>
      </c>
      <c r="AC31" s="32" t="str">
        <f>AC14</f>
        <v>C Coquetiers de l'Antoine | |  Author &gt; Guy KRENZE - Eric GODDYN - Arnaud NICOLAS - CEPROC 2002</v>
      </c>
      <c r="AD31" s="33">
        <f>AD14</f>
        <v>20</v>
      </c>
      <c r="AE31" s="32" t="str">
        <f>AE14</f>
        <v>egg cups of 25 g</v>
      </c>
      <c r="AF31" s="34" t="str">
        <f>AF14</f>
        <v>Master recipe ► Black pudding in 4 variations</v>
      </c>
      <c r="AG31" s="92"/>
      <c r="AH31" s="108"/>
      <c r="AI31" s="94" t="str">
        <f t="shared" si="12"/>
        <v/>
      </c>
      <c r="AJ31" s="95"/>
      <c r="AK31" s="126"/>
      <c r="AL31" s="127">
        <v>1</v>
      </c>
      <c r="AM31" s="920" t="s">
        <v>12895</v>
      </c>
      <c r="AN31" s="1494">
        <f>IF(OR(ISBLANK(AG12),AN12=0),0,AG31*AL13)</f>
        <v>0</v>
      </c>
      <c r="AO31" s="101" cm="1">
        <f t="array" ref="AO31">IFERROR(_xlfn.LET(_xlpm.k,UPPER(TRIM(AK31)),_xlpm.r,_xlfn.XLOOKUP(_xlpm.k,UPPER(TRIM(AG34:AP34)),AG35:AP35,_xlfn.XLOOKUP(_xlpm.k,UPPER(TRIM(AG36:AP36)),AG37:AP37)),_xlpm.r*AJ31*AL31*AL13*IF(ISBLANK(AG31),1,AG31)),0)</f>
        <v>0</v>
      </c>
      <c r="AP31" s="1475" t="str">
        <f>_xlfn.LET(_xlpm.unite,SUBSTITUTE(TRIM(AK31)," (s)",""),_xlpm.val,AO31,_xlpm.estVol,COUNTIF(AJ34:AP34,_xlpm.unite)+COUNTIF(AJ36:AP36,_xlpm.unite)&gt;0,_xlpm.estPoids,COUNTIF(AG34:AI34,_xlpm.unite)+COUNTIF(AG36:AI36,_xlpm.unite)&gt;0,IF(_xlpm.estVol,IF(ROUND(_xlpm.val,3)&gt;=1,ROUND(_xlpm.val,3)&amp;" L",MAX(1,ROUND(_xlpm.val*100,0))&amp;" cl"),IF(_xlpm.estPoids,IF(ROUND(_xlpm.val,3)&gt;=1,ROUND(_xlpm.val,3)&amp;" Kg",MAX(1,ROUND(_xlpm.val*1000,0))&amp;" g"),"")))</f>
        <v/>
      </c>
      <c r="AR31" s="104" t="str">
        <f t="shared" si="16"/>
        <v>A</v>
      </c>
      <c r="AS31" s="32" t="str">
        <f>AS14</f>
        <v>C Coquetiers de l'Antoine | | Autor &gt; Guy KRENZE - Eric GODDYN - Arnaud NICOLAS - CEPROC 2002</v>
      </c>
      <c r="AT31" s="33">
        <f>AT14</f>
        <v>18</v>
      </c>
      <c r="AU31" s="32" t="str">
        <f>AU14</f>
        <v>hueveras de 25 g</v>
      </c>
      <c r="AV31" s="34" t="str">
        <f>AV14</f>
        <v>Receta madre ► Morcilla en 4 versiones</v>
      </c>
      <c r="AW31" s="92"/>
      <c r="AX31" s="108"/>
      <c r="AY31" s="94" t="str">
        <f t="shared" si="13"/>
        <v/>
      </c>
      <c r="AZ31" s="95"/>
      <c r="BA31" s="126"/>
      <c r="BB31" s="127">
        <v>1</v>
      </c>
      <c r="BC31" s="920" t="s">
        <v>12896</v>
      </c>
      <c r="BD31" s="1494">
        <f>IF(OR(ISBLANK(AW12),BD12=0),0,AW31*BB13)</f>
        <v>0</v>
      </c>
      <c r="BE31" s="101" cm="1">
        <f t="array" ref="BE31">IFERROR(_xlfn.LET(_xlpm.k,UPPER(TRIM(BA31)),_xlpm.r,_xlfn.XLOOKUP(_xlpm.k,UPPER(TRIM(AW34:BF34)),AW35:BF35,_xlfn.XLOOKUP(_xlpm.k,UPPER(TRIM(AW36:BF36)),AW37:BF37)),_xlpm.r*AZ31*BB31*BB13*IF(ISBLANK(AW31),1,AW31)),0)</f>
        <v>0</v>
      </c>
      <c r="BF31" s="1475" t="str">
        <f>_xlfn.LET(_xlpm.unite,SUBSTITUTE(TRIM(BA31)," (s)",""),_xlpm.val,BE31,_xlpm.estVol,COUNTIF(AZ34:BF34,_xlpm.unite)+COUNTIF(AZ36:BF36,_xlpm.unite)&gt;0,_xlpm.estPoids,COUNTIF(AW34:AY34,_xlpm.unite)+COUNTIF(AW36:AY36,_xlpm.unite)&gt;0,IF(_xlpm.estVol,IF(ROUND(_xlpm.val,3)&gt;=1,ROUND(_xlpm.val,3)&amp;" L",MAX(1,ROUND(_xlpm.val*100,0))&amp;" cl"),IF(_xlpm.estPoids,IF(ROUND(_xlpm.val,3)&gt;=1,ROUND(_xlpm.val,3)&amp;" Kg",MAX(1,ROUND(_xlpm.val*1000,0))&amp;" g"),"")))</f>
        <v/>
      </c>
      <c r="BH31" s="104"/>
      <c r="BI31" s="32"/>
      <c r="BJ31" s="33"/>
      <c r="BK31" s="32"/>
      <c r="BL31" s="34"/>
      <c r="BM31" s="92"/>
      <c r="BN31" s="108"/>
      <c r="BO31" s="94"/>
      <c r="BP31" s="95"/>
      <c r="BQ31" s="105"/>
      <c r="BR31" s="5101"/>
      <c r="BS31" s="920"/>
      <c r="BT31" s="1495"/>
      <c r="BU31" s="101"/>
      <c r="BV31" s="1475"/>
      <c r="BX31" s="104"/>
      <c r="BY31" s="32"/>
      <c r="BZ31" s="33"/>
      <c r="CA31" s="32"/>
      <c r="CB31" s="34"/>
      <c r="CC31" s="92"/>
      <c r="CD31" s="108"/>
      <c r="CE31" s="94"/>
      <c r="CF31" s="95"/>
      <c r="CG31" s="105"/>
      <c r="CH31" s="5101"/>
      <c r="CI31" s="920"/>
      <c r="CJ31" s="1495"/>
      <c r="CK31" s="101"/>
      <c r="CL31" s="1475"/>
      <c r="CN31" s="104"/>
      <c r="CO31" s="32"/>
      <c r="CP31" s="33"/>
      <c r="CQ31" s="32"/>
      <c r="CR31" s="34"/>
      <c r="CS31" s="92"/>
      <c r="CT31" s="108"/>
      <c r="CU31" s="94"/>
      <c r="CV31" s="95"/>
      <c r="CW31" s="105"/>
      <c r="CX31" s="5101"/>
      <c r="CY31" s="920"/>
      <c r="CZ31" s="1495"/>
      <c r="DA31" s="101"/>
      <c r="DB31" s="1475"/>
      <c r="DC31" s="5109"/>
      <c r="DD31" s="5086"/>
      <c r="DF31" s="3">
        <v>1</v>
      </c>
    </row>
    <row r="32" spans="2:110" ht="21" customHeight="1">
      <c r="B32" s="952" t="str">
        <f t="shared" si="10"/>
        <v>►</v>
      </c>
      <c r="C32" s="993" cm="1">
        <f t="array" ref="C32">SUMPRODUCT(LEN(D32:J32))</f>
        <v>0</v>
      </c>
      <c r="D32" s="167"/>
      <c r="E32" s="172"/>
      <c r="F32" s="172"/>
      <c r="G32" s="172"/>
      <c r="H32" s="172"/>
      <c r="I32" s="172"/>
      <c r="J32" s="173"/>
      <c r="K32" s="442" t="s">
        <v>22</v>
      </c>
      <c r="L32" s="104" t="str">
        <f t="shared" si="14"/>
        <v>►</v>
      </c>
      <c r="M32" s="32" t="str">
        <f>M14</f>
        <v>C Coquetiers de l'Antoine | | Auteur &gt; Guy KRENZE - Eric GODDYN - Arnaud NICOLAS - CEPROC 2002</v>
      </c>
      <c r="N32" s="33">
        <f>N14</f>
        <v>20</v>
      </c>
      <c r="O32" s="32" t="str">
        <f>O14</f>
        <v>coquetiers de 25 g</v>
      </c>
      <c r="P32" s="34" t="str">
        <f>P14</f>
        <v>Recette mère ► le Boudin en 4 déclinaisons</v>
      </c>
      <c r="Q32" s="92"/>
      <c r="R32" s="108"/>
      <c r="S32" s="94" t="str">
        <f t="shared" si="11"/>
        <v/>
      </c>
      <c r="T32" s="95"/>
      <c r="U32" s="126"/>
      <c r="V32" s="127">
        <v>1</v>
      </c>
      <c r="W32" s="920"/>
      <c r="X32" s="1494">
        <f>IF(OR(ISBLANK(Q12),X12=0),0,Q32*V13)</f>
        <v>0</v>
      </c>
      <c r="Y32" s="101" cm="1">
        <f t="array" ref="Y32">IFERROR(_xlfn.LET(_xlpm.k,UPPER(TRIM(U32)),_xlpm.r,_xlfn.XLOOKUP(_xlpm.k,UPPER(TRIM(Q34:Z34)),Q35:Z35,_xlfn.XLOOKUP(_xlpm.k,UPPER(TRIM(Q36:Z36)),Q37:Z37)),_xlpm.r*T32*V32*V13*IF(ISBLANK(Q32),1,Q32)),0)</f>
        <v>0</v>
      </c>
      <c r="Z32" s="1476" t="str">
        <f>_xlfn.LET(_xlpm.unite,SUBSTITUTE(TRIM(U32)," (s)",""),_xlpm.val,Y32,_xlpm.estVol,COUNTIF(T34:Z34,_xlpm.unite)+COUNTIF(T36:Z36,_xlpm.unite)&gt;0,_xlpm.estPoids,COUNTIF(Q34:S34,_xlpm.unite)+COUNTIF(Q36:S36,_xlpm.unite)&gt;0,IF(_xlpm.estVol,IF(ROUND(_xlpm.val,3)&gt;=1,ROUND(_xlpm.val,3)&amp;" L",MAX(1,ROUND(_xlpm.val*100,0))&amp;" cl"),IF(_xlpm.estPoids,IF(ROUND(_xlpm.val,3)&gt;=1,ROUND(_xlpm.val,3)&amp;" Kg",MAX(1,ROUND(_xlpm.val*1000,0))&amp;" g"),"")))</f>
        <v/>
      </c>
      <c r="AB32" s="104" t="str">
        <f t="shared" si="15"/>
        <v>►</v>
      </c>
      <c r="AC32" s="32" t="str">
        <f>AC14</f>
        <v>C Coquetiers de l'Antoine | |  Author &gt; Guy KRENZE - Eric GODDYN - Arnaud NICOLAS - CEPROC 2002</v>
      </c>
      <c r="AD32" s="33">
        <f>AD14</f>
        <v>20</v>
      </c>
      <c r="AE32" s="32" t="str">
        <f>AE14</f>
        <v>egg cups of 25 g</v>
      </c>
      <c r="AF32" s="34" t="str">
        <f>AF14</f>
        <v>Master recipe ► Black pudding in 4 variations</v>
      </c>
      <c r="AG32" s="92"/>
      <c r="AH32" s="108"/>
      <c r="AI32" s="94" t="str">
        <f t="shared" si="12"/>
        <v/>
      </c>
      <c r="AJ32" s="95"/>
      <c r="AK32" s="126"/>
      <c r="AL32" s="127">
        <v>1</v>
      </c>
      <c r="AM32" s="920"/>
      <c r="AN32" s="1494">
        <f>IF(OR(ISBLANK(AG12),AN12=0),0,AG32*AL13)</f>
        <v>0</v>
      </c>
      <c r="AO32" s="101" cm="1">
        <f t="array" ref="AO32">IFERROR(_xlfn.LET(_xlpm.k,UPPER(TRIM(AK32)),_xlpm.r,_xlfn.XLOOKUP(_xlpm.k,UPPER(TRIM(AG34:AP34)),AG35:AP35,_xlfn.XLOOKUP(_xlpm.k,UPPER(TRIM(AG36:AP36)),AG37:AP37)),_xlpm.r*AJ32*AL32*AL13*IF(ISBLANK(AG32),1,AG32)),0)</f>
        <v>0</v>
      </c>
      <c r="AP32" s="1476" t="str">
        <f>_xlfn.LET(_xlpm.unite,SUBSTITUTE(TRIM(AK32)," (s)",""),_xlpm.val,AO32,_xlpm.estVol,COUNTIF(AJ34:AP34,_xlpm.unite)+COUNTIF(AJ36:AP36,_xlpm.unite)&gt;0,_xlpm.estPoids,COUNTIF(AG34:AI34,_xlpm.unite)+COUNTIF(AG36:AI36,_xlpm.unite)&gt;0,IF(_xlpm.estVol,IF(ROUND(_xlpm.val,3)&gt;=1,ROUND(_xlpm.val,3)&amp;" L",MAX(1,ROUND(_xlpm.val*100,0))&amp;" cl"),IF(_xlpm.estPoids,IF(ROUND(_xlpm.val,3)&gt;=1,ROUND(_xlpm.val,3)&amp;" Kg",MAX(1,ROUND(_xlpm.val*1000,0))&amp;" g"),"")))</f>
        <v/>
      </c>
      <c r="AR32" s="104" t="str">
        <f t="shared" si="16"/>
        <v>►</v>
      </c>
      <c r="AS32" s="32" t="str">
        <f>AS14</f>
        <v>C Coquetiers de l'Antoine | | Autor &gt; Guy KRENZE - Eric GODDYN - Arnaud NICOLAS - CEPROC 2002</v>
      </c>
      <c r="AT32" s="33">
        <f>AT14</f>
        <v>18</v>
      </c>
      <c r="AU32" s="32" t="str">
        <f>AU14</f>
        <v>hueveras de 25 g</v>
      </c>
      <c r="AV32" s="34" t="str">
        <f>AV14</f>
        <v>Receta madre ► Morcilla en 4 versiones</v>
      </c>
      <c r="AW32" s="92"/>
      <c r="AX32" s="108"/>
      <c r="AY32" s="94" t="str">
        <f t="shared" si="13"/>
        <v/>
      </c>
      <c r="AZ32" s="95"/>
      <c r="BA32" s="126"/>
      <c r="BB32" s="127">
        <v>1</v>
      </c>
      <c r="BC32" s="920"/>
      <c r="BD32" s="1494">
        <f>IF(OR(ISBLANK(AW12),BD12=0),0,AW32*BB13)</f>
        <v>0</v>
      </c>
      <c r="BE32" s="101" cm="1">
        <f t="array" ref="BE32">IFERROR(_xlfn.LET(_xlpm.k,UPPER(TRIM(BA32)),_xlpm.r,_xlfn.XLOOKUP(_xlpm.k,UPPER(TRIM(AW34:BF34)),AW35:BF35,_xlfn.XLOOKUP(_xlpm.k,UPPER(TRIM(AW36:BF36)),AW37:BF37)),_xlpm.r*AZ32*BB32*BB13*IF(ISBLANK(AW32),1,AW32)),0)</f>
        <v>0</v>
      </c>
      <c r="BF32" s="1476" t="str">
        <f>_xlfn.LET(_xlpm.unite,SUBSTITUTE(TRIM(BA32)," (s)",""),_xlpm.val,BE32,_xlpm.estVol,COUNTIF(AZ34:BF34,_xlpm.unite)+COUNTIF(AZ36:BF36,_xlpm.unite)&gt;0,_xlpm.estPoids,COUNTIF(AW34:AY34,_xlpm.unite)+COUNTIF(AW36:AY36,_xlpm.unite)&gt;0,IF(_xlpm.estVol,IF(ROUND(_xlpm.val,3)&gt;=1,ROUND(_xlpm.val,3)&amp;" L",MAX(1,ROUND(_xlpm.val*100,0))&amp;" cl"),IF(_xlpm.estPoids,IF(ROUND(_xlpm.val,3)&gt;=1,ROUND(_xlpm.val,3)&amp;" Kg",MAX(1,ROUND(_xlpm.val*1000,0))&amp;" g"),"")))</f>
        <v/>
      </c>
      <c r="BH32" s="104"/>
      <c r="BI32" s="32"/>
      <c r="BJ32" s="33"/>
      <c r="BK32" s="32"/>
      <c r="BL32" s="34"/>
      <c r="BM32" s="92"/>
      <c r="BN32" s="108"/>
      <c r="BO32" s="94"/>
      <c r="BP32" s="95"/>
      <c r="BQ32" s="105"/>
      <c r="BR32" s="5101"/>
      <c r="BS32" s="920"/>
      <c r="BT32" s="1495"/>
      <c r="BU32" s="101"/>
      <c r="BV32" s="1475"/>
      <c r="BX32" s="104"/>
      <c r="BY32" s="32"/>
      <c r="BZ32" s="33"/>
      <c r="CA32" s="32"/>
      <c r="CB32" s="34"/>
      <c r="CC32" s="92"/>
      <c r="CD32" s="108"/>
      <c r="CE32" s="94"/>
      <c r="CF32" s="95"/>
      <c r="CG32" s="105"/>
      <c r="CH32" s="5101"/>
      <c r="CI32" s="920"/>
      <c r="CJ32" s="1495"/>
      <c r="CK32" s="101"/>
      <c r="CL32" s="1475"/>
      <c r="CN32" s="104"/>
      <c r="CO32" s="32"/>
      <c r="CP32" s="33"/>
      <c r="CQ32" s="32"/>
      <c r="CR32" s="34"/>
      <c r="CS32" s="92"/>
      <c r="CT32" s="108"/>
      <c r="CU32" s="94"/>
      <c r="CV32" s="95"/>
      <c r="CW32" s="105"/>
      <c r="CX32" s="5101"/>
      <c r="CY32" s="920"/>
      <c r="CZ32" s="1495"/>
      <c r="DA32" s="101"/>
      <c r="DB32" s="1475"/>
      <c r="DC32" s="5109"/>
      <c r="DD32" s="5086"/>
      <c r="DF32" s="3">
        <v>1</v>
      </c>
    </row>
    <row r="33" spans="2:110" ht="21" customHeight="1">
      <c r="B33" s="952" t="str">
        <f t="shared" si="10"/>
        <v>A</v>
      </c>
      <c r="C33" s="993" cm="1">
        <f t="array" ref="C33">SUMPRODUCT(LEN(D33:J33))</f>
        <v>0</v>
      </c>
      <c r="D33" s="167"/>
      <c r="E33" s="172"/>
      <c r="F33" s="172"/>
      <c r="G33" s="172"/>
      <c r="H33" s="172"/>
      <c r="I33" s="172"/>
      <c r="J33" s="173"/>
      <c r="K33" s="442" t="s">
        <v>22</v>
      </c>
      <c r="L33" s="104" t="s">
        <v>11</v>
      </c>
      <c r="M33" s="32" t="str">
        <f>M14</f>
        <v>C Coquetiers de l'Antoine | | Auteur &gt; Guy KRENZE - Eric GODDYN - Arnaud NICOLAS - CEPROC 2002</v>
      </c>
      <c r="N33" s="33">
        <f>N14</f>
        <v>20</v>
      </c>
      <c r="O33" s="32" t="str">
        <f>O14</f>
        <v>coquetiers de 25 g</v>
      </c>
      <c r="P33" s="34" t="str">
        <f>P14</f>
        <v>Recette mère ► le Boudin en 4 déclinaisons</v>
      </c>
      <c r="Q33" s="907" t="s">
        <v>136</v>
      </c>
      <c r="R33" s="500"/>
      <c r="S33" s="500"/>
      <c r="T33" s="500"/>
      <c r="U33" s="500"/>
      <c r="V33" s="908"/>
      <c r="W33" s="909"/>
      <c r="X33" s="909"/>
      <c r="Y33" s="910">
        <f>SUM(Y18:Y32)</f>
        <v>1.5309999999999999</v>
      </c>
      <c r="Z33" s="1489"/>
      <c r="AB33" s="104" t="s">
        <v>11</v>
      </c>
      <c r="AC33" s="32" t="str">
        <f>AC14</f>
        <v>C Coquetiers de l'Antoine | |  Author &gt; Guy KRENZE - Eric GODDYN - Arnaud NICOLAS - CEPROC 2002</v>
      </c>
      <c r="AD33" s="33">
        <f>AD14</f>
        <v>20</v>
      </c>
      <c r="AE33" s="32" t="str">
        <f>AE14</f>
        <v>egg cups of 25 g</v>
      </c>
      <c r="AF33" s="34" t="str">
        <f>AF14</f>
        <v>Master recipe ► Black pudding in 4 variations</v>
      </c>
      <c r="AG33" s="907" t="s">
        <v>893</v>
      </c>
      <c r="AH33" s="500"/>
      <c r="AI33" s="500"/>
      <c r="AJ33" s="500"/>
      <c r="AK33" s="500"/>
      <c r="AL33" s="908"/>
      <c r="AM33" s="909"/>
      <c r="AN33" s="909"/>
      <c r="AO33" s="910">
        <f>SUM(AO18:AO32)</f>
        <v>1.5309999999999999</v>
      </c>
      <c r="AP33" s="1489"/>
      <c r="AR33" s="104" t="s">
        <v>11</v>
      </c>
      <c r="AS33" s="32" t="str">
        <f>AS14</f>
        <v>C Coquetiers de l'Antoine | | Autor &gt; Guy KRENZE - Eric GODDYN - Arnaud NICOLAS - CEPROC 2002</v>
      </c>
      <c r="AT33" s="33">
        <f>AT14</f>
        <v>18</v>
      </c>
      <c r="AU33" s="32" t="str">
        <f>AU14</f>
        <v>hueveras de 25 g</v>
      </c>
      <c r="AV33" s="34" t="str">
        <f>AV14</f>
        <v>Receta madre ► Morcilla en 4 versiones</v>
      </c>
      <c r="AW33" s="907" t="s">
        <v>893</v>
      </c>
      <c r="AX33" s="500"/>
      <c r="AY33" s="500"/>
      <c r="AZ33" s="500"/>
      <c r="BA33" s="500"/>
      <c r="BB33" s="908"/>
      <c r="BC33" s="909"/>
      <c r="BD33" s="909"/>
      <c r="BE33" s="910">
        <f>SUM(BE18:BE32)</f>
        <v>3.0619999999999998</v>
      </c>
      <c r="BF33" s="1489"/>
      <c r="BH33" s="104"/>
      <c r="BI33" s="32"/>
      <c r="BJ33" s="33"/>
      <c r="BK33" s="32"/>
      <c r="BL33" s="34"/>
      <c r="BM33" s="92"/>
      <c r="BN33" s="108"/>
      <c r="BO33" s="94"/>
      <c r="BP33" s="95"/>
      <c r="BQ33" s="105"/>
      <c r="BR33" s="5101"/>
      <c r="BS33" s="920"/>
      <c r="BT33" s="1495"/>
      <c r="BU33" s="101"/>
      <c r="BV33" s="1475"/>
      <c r="BX33" s="104"/>
      <c r="BY33" s="32"/>
      <c r="BZ33" s="33"/>
      <c r="CA33" s="32"/>
      <c r="CB33" s="34"/>
      <c r="CC33" s="92"/>
      <c r="CD33" s="108"/>
      <c r="CE33" s="94"/>
      <c r="CF33" s="95"/>
      <c r="CG33" s="105"/>
      <c r="CH33" s="5101"/>
      <c r="CI33" s="920"/>
      <c r="CJ33" s="1495"/>
      <c r="CK33" s="101"/>
      <c r="CL33" s="1475"/>
      <c r="CN33" s="104"/>
      <c r="CO33" s="32"/>
      <c r="CP33" s="33"/>
      <c r="CQ33" s="32"/>
      <c r="CR33" s="34"/>
      <c r="CS33" s="92"/>
      <c r="CT33" s="108"/>
      <c r="CU33" s="94"/>
      <c r="CV33" s="95"/>
      <c r="CW33" s="105"/>
      <c r="CX33" s="5101"/>
      <c r="CY33" s="920"/>
      <c r="CZ33" s="1495"/>
      <c r="DA33" s="101"/>
      <c r="DB33" s="1475"/>
      <c r="DC33" s="5109"/>
      <c r="DD33" s="5086"/>
      <c r="DF33" s="3">
        <v>1</v>
      </c>
    </row>
    <row r="34" spans="2:110" ht="21" customHeight="1">
      <c r="B34" s="952" t="str">
        <f t="shared" si="10"/>
        <v>►</v>
      </c>
      <c r="C34" s="993" cm="1">
        <f t="array" ref="C34">SUMPRODUCT(LEN(D34:J34))</f>
        <v>0</v>
      </c>
      <c r="D34" s="167"/>
      <c r="E34" s="172"/>
      <c r="F34" s="172"/>
      <c r="G34" s="172"/>
      <c r="H34" s="172"/>
      <c r="I34" s="172"/>
      <c r="J34" s="173"/>
      <c r="K34" s="442" t="s">
        <v>22</v>
      </c>
      <c r="L34" s="104" t="s">
        <v>16</v>
      </c>
      <c r="M34" s="32" t="str">
        <f>M14</f>
        <v>C Coquetiers de l'Antoine | | Auteur &gt; Guy KRENZE - Eric GODDYN - Arnaud NICOLAS - CEPROC 2002</v>
      </c>
      <c r="N34" s="33">
        <f>N14</f>
        <v>20</v>
      </c>
      <c r="O34" s="32" t="str">
        <f>O14</f>
        <v>coquetiers de 25 g</v>
      </c>
      <c r="P34" s="34" t="str">
        <f>P14</f>
        <v>Recette mère ► le Boudin en 4 déclinaisons</v>
      </c>
      <c r="Q34" s="140" t="s">
        <v>143</v>
      </c>
      <c r="R34" s="105" t="s">
        <v>99</v>
      </c>
      <c r="S34" s="141" t="s">
        <v>144</v>
      </c>
      <c r="T34" s="96" t="s">
        <v>0</v>
      </c>
      <c r="U34" s="96" t="s">
        <v>96</v>
      </c>
      <c r="V34" s="96" t="s">
        <v>147</v>
      </c>
      <c r="W34" s="96" t="s">
        <v>148</v>
      </c>
      <c r="X34" s="109" t="s">
        <v>364</v>
      </c>
      <c r="Y34" s="109" t="s">
        <v>102</v>
      </c>
      <c r="Z34" s="109" t="s">
        <v>149</v>
      </c>
      <c r="AB34" s="104" t="s">
        <v>16</v>
      </c>
      <c r="AC34" s="32" t="str">
        <f>AC14</f>
        <v>C Coquetiers de l'Antoine | |  Author &gt; Guy KRENZE - Eric GODDYN - Arnaud NICOLAS - CEPROC 2002</v>
      </c>
      <c r="AD34" s="33">
        <f>AD14</f>
        <v>20</v>
      </c>
      <c r="AE34" s="32" t="str">
        <f>AE14</f>
        <v>egg cups of 25 g</v>
      </c>
      <c r="AF34" s="34" t="str">
        <f>AF14</f>
        <v>Master recipe ► Black pudding in 4 variations</v>
      </c>
      <c r="AG34" s="140" t="s">
        <v>143</v>
      </c>
      <c r="AH34" s="105" t="s">
        <v>99</v>
      </c>
      <c r="AI34" s="141" t="s">
        <v>144</v>
      </c>
      <c r="AJ34" s="96" t="s">
        <v>0</v>
      </c>
      <c r="AK34" s="96" t="s">
        <v>96</v>
      </c>
      <c r="AL34" s="96" t="s">
        <v>147</v>
      </c>
      <c r="AM34" s="96" t="s">
        <v>148</v>
      </c>
      <c r="AN34" s="109" t="s">
        <v>1378</v>
      </c>
      <c r="AO34" s="109" t="s">
        <v>1360</v>
      </c>
      <c r="AP34" s="109" t="s">
        <v>1361</v>
      </c>
      <c r="AR34" s="104" t="s">
        <v>16</v>
      </c>
      <c r="AS34" s="32" t="str">
        <f>AS14</f>
        <v>C Coquetiers de l'Antoine | | Autor &gt; Guy KRENZE - Eric GODDYN - Arnaud NICOLAS - CEPROC 2002</v>
      </c>
      <c r="AT34" s="33">
        <f>AT14</f>
        <v>18</v>
      </c>
      <c r="AU34" s="32" t="str">
        <f>AU14</f>
        <v>hueveras de 25 g</v>
      </c>
      <c r="AV34" s="34" t="str">
        <f>AV14</f>
        <v>Receta madre ► Morcilla en 4 versiones</v>
      </c>
      <c r="AW34" s="140" t="s">
        <v>143</v>
      </c>
      <c r="AX34" s="105" t="s">
        <v>99</v>
      </c>
      <c r="AY34" s="141" t="s">
        <v>144</v>
      </c>
      <c r="AZ34" s="96" t="s">
        <v>0</v>
      </c>
      <c r="BA34" s="96" t="s">
        <v>96</v>
      </c>
      <c r="BB34" s="96" t="s">
        <v>147</v>
      </c>
      <c r="BC34" s="96" t="s">
        <v>148</v>
      </c>
      <c r="BD34" s="109" t="s">
        <v>1379</v>
      </c>
      <c r="BE34" s="109" t="s">
        <v>1341</v>
      </c>
      <c r="BF34" s="109" t="s">
        <v>1342</v>
      </c>
      <c r="BH34" s="104"/>
      <c r="BI34" s="32"/>
      <c r="BJ34" s="33"/>
      <c r="BK34" s="32"/>
      <c r="BL34" s="34"/>
      <c r="BM34" s="92"/>
      <c r="BN34" s="108"/>
      <c r="BO34" s="94"/>
      <c r="BP34" s="95"/>
      <c r="BQ34" s="105"/>
      <c r="BR34" s="5101"/>
      <c r="BS34" s="920"/>
      <c r="BT34" s="1495"/>
      <c r="BU34" s="101"/>
      <c r="BV34" s="1475"/>
      <c r="BX34" s="104"/>
      <c r="BY34" s="32"/>
      <c r="BZ34" s="33"/>
      <c r="CA34" s="32"/>
      <c r="CB34" s="34"/>
      <c r="CC34" s="92"/>
      <c r="CD34" s="108"/>
      <c r="CE34" s="94"/>
      <c r="CF34" s="95"/>
      <c r="CG34" s="105"/>
      <c r="CH34" s="5101"/>
      <c r="CI34" s="920"/>
      <c r="CJ34" s="1495"/>
      <c r="CK34" s="101"/>
      <c r="CL34" s="1475"/>
      <c r="CN34" s="104"/>
      <c r="CO34" s="32"/>
      <c r="CP34" s="33"/>
      <c r="CQ34" s="32"/>
      <c r="CR34" s="34"/>
      <c r="CS34" s="92"/>
      <c r="CT34" s="108"/>
      <c r="CU34" s="94"/>
      <c r="CV34" s="95"/>
      <c r="CW34" s="105"/>
      <c r="CX34" s="5101"/>
      <c r="CY34" s="920"/>
      <c r="CZ34" s="1495"/>
      <c r="DA34" s="101"/>
      <c r="DB34" s="1475"/>
      <c r="DC34" s="5109"/>
      <c r="DD34" s="5068"/>
      <c r="DF34" s="3">
        <v>1</v>
      </c>
    </row>
    <row r="35" spans="2:110" ht="21" customHeight="1">
      <c r="B35" s="952" t="str">
        <f t="shared" si="10"/>
        <v>►</v>
      </c>
      <c r="C35" s="993" cm="1">
        <f t="array" ref="C35">SUMPRODUCT(LEN(D35:J35))</f>
        <v>0</v>
      </c>
      <c r="D35" s="167"/>
      <c r="E35" s="172"/>
      <c r="F35" s="172"/>
      <c r="G35" s="172"/>
      <c r="H35" s="172"/>
      <c r="I35" s="172"/>
      <c r="J35" s="173"/>
      <c r="K35" s="442" t="s">
        <v>22</v>
      </c>
      <c r="L35" s="104" t="s">
        <v>16</v>
      </c>
      <c r="M35" s="32" t="str">
        <f>M14</f>
        <v>C Coquetiers de l'Antoine | | Auteur &gt; Guy KRENZE - Eric GODDYN - Arnaud NICOLAS - CEPROC 2002</v>
      </c>
      <c r="N35" s="33">
        <f>N14</f>
        <v>20</v>
      </c>
      <c r="O35" s="32" t="str">
        <f>O14</f>
        <v>coquetiers de 25 g</v>
      </c>
      <c r="P35" s="34" t="str">
        <f>P14</f>
        <v>Recette mère ► le Boudin en 4 déclinaisons</v>
      </c>
      <c r="Q35" s="911">
        <v>1</v>
      </c>
      <c r="R35" s="912">
        <v>1E-3</v>
      </c>
      <c r="S35" s="913">
        <v>0</v>
      </c>
      <c r="T35" s="914">
        <v>1</v>
      </c>
      <c r="U35" s="914">
        <v>0.1</v>
      </c>
      <c r="V35" s="914">
        <v>0.01</v>
      </c>
      <c r="W35" s="914">
        <v>1E-3</v>
      </c>
      <c r="X35" s="914">
        <v>0.25</v>
      </c>
      <c r="Y35" s="914">
        <v>0.5</v>
      </c>
      <c r="Z35" s="914">
        <v>0.33300000000000002</v>
      </c>
      <c r="AB35" s="104" t="s">
        <v>16</v>
      </c>
      <c r="AC35" s="32" t="str">
        <f>AC14</f>
        <v>C Coquetiers de l'Antoine | |  Author &gt; Guy KRENZE - Eric GODDYN - Arnaud NICOLAS - CEPROC 2002</v>
      </c>
      <c r="AD35" s="33">
        <f>AD14</f>
        <v>20</v>
      </c>
      <c r="AE35" s="32" t="str">
        <f>AE14</f>
        <v>egg cups of 25 g</v>
      </c>
      <c r="AF35" s="34" t="str">
        <f>AF14</f>
        <v>Master recipe ► Black pudding in 4 variations</v>
      </c>
      <c r="AG35" s="911">
        <v>1</v>
      </c>
      <c r="AH35" s="912">
        <v>1E-3</v>
      </c>
      <c r="AI35" s="913">
        <v>0</v>
      </c>
      <c r="AJ35" s="914">
        <v>1</v>
      </c>
      <c r="AK35" s="914">
        <v>0.1</v>
      </c>
      <c r="AL35" s="914">
        <v>0.01</v>
      </c>
      <c r="AM35" s="914">
        <v>1E-3</v>
      </c>
      <c r="AN35" s="914">
        <v>0.25</v>
      </c>
      <c r="AO35" s="914">
        <v>0.5</v>
      </c>
      <c r="AP35" s="914">
        <v>0.33300000000000002</v>
      </c>
      <c r="AR35" s="104" t="s">
        <v>16</v>
      </c>
      <c r="AS35" s="32" t="str">
        <f>AS14</f>
        <v>C Coquetiers de l'Antoine | | Autor &gt; Guy KRENZE - Eric GODDYN - Arnaud NICOLAS - CEPROC 2002</v>
      </c>
      <c r="AT35" s="33">
        <f>AT14</f>
        <v>18</v>
      </c>
      <c r="AU35" s="32" t="str">
        <f>AU14</f>
        <v>hueveras de 25 g</v>
      </c>
      <c r="AV35" s="34" t="str">
        <f>AV14</f>
        <v>Receta madre ► Morcilla en 4 versiones</v>
      </c>
      <c r="AW35" s="911">
        <v>1</v>
      </c>
      <c r="AX35" s="912">
        <v>1E-3</v>
      </c>
      <c r="AY35" s="913">
        <v>0</v>
      </c>
      <c r="AZ35" s="914">
        <v>1</v>
      </c>
      <c r="BA35" s="914">
        <v>0.1</v>
      </c>
      <c r="BB35" s="914">
        <v>0.01</v>
      </c>
      <c r="BC35" s="914">
        <v>1E-3</v>
      </c>
      <c r="BD35" s="914">
        <v>0.25</v>
      </c>
      <c r="BE35" s="914">
        <v>0.5</v>
      </c>
      <c r="BF35" s="914">
        <v>0.33300000000000002</v>
      </c>
      <c r="BH35" s="104"/>
      <c r="BI35" s="32"/>
      <c r="BJ35" s="33"/>
      <c r="BK35" s="32"/>
      <c r="BL35" s="34"/>
      <c r="BM35" s="92"/>
      <c r="BN35" s="108"/>
      <c r="BO35" s="94"/>
      <c r="BP35" s="95"/>
      <c r="BQ35" s="105"/>
      <c r="BR35" s="5101"/>
      <c r="BS35" s="920"/>
      <c r="BT35" s="1495"/>
      <c r="BU35" s="101"/>
      <c r="BV35" s="1475"/>
      <c r="BX35" s="104"/>
      <c r="BY35" s="32"/>
      <c r="BZ35" s="33"/>
      <c r="CA35" s="32"/>
      <c r="CB35" s="34"/>
      <c r="CC35" s="92"/>
      <c r="CD35" s="108"/>
      <c r="CE35" s="94"/>
      <c r="CF35" s="95"/>
      <c r="CG35" s="105"/>
      <c r="CH35" s="5101"/>
      <c r="CI35" s="920"/>
      <c r="CJ35" s="1495"/>
      <c r="CK35" s="101"/>
      <c r="CL35" s="1475"/>
      <c r="CN35" s="104"/>
      <c r="CO35" s="32"/>
      <c r="CP35" s="33"/>
      <c r="CQ35" s="32"/>
      <c r="CR35" s="34"/>
      <c r="CS35" s="92"/>
      <c r="CT35" s="108"/>
      <c r="CU35" s="94"/>
      <c r="CV35" s="95"/>
      <c r="CW35" s="105"/>
      <c r="CX35" s="5101"/>
      <c r="CY35" s="920"/>
      <c r="CZ35" s="1495"/>
      <c r="DA35" s="101"/>
      <c r="DB35" s="1475"/>
      <c r="DC35" s="5109"/>
      <c r="DD35" s="5086"/>
      <c r="DF35" s="3">
        <v>1</v>
      </c>
    </row>
    <row r="36" spans="2:110" ht="21" customHeight="1">
      <c r="B36" s="952" t="str">
        <f t="shared" si="10"/>
        <v>►</v>
      </c>
      <c r="C36" s="993" cm="1">
        <f t="array" ref="C36">SUMPRODUCT(LEN(D36:J36))</f>
        <v>0</v>
      </c>
      <c r="D36" s="167"/>
      <c r="E36" s="172"/>
      <c r="F36" s="172"/>
      <c r="G36" s="172"/>
      <c r="H36" s="172"/>
      <c r="I36" s="172"/>
      <c r="J36" s="173"/>
      <c r="K36" s="442" t="s">
        <v>22</v>
      </c>
      <c r="L36" s="104" t="s">
        <v>16</v>
      </c>
      <c r="M36" s="32" t="str">
        <f>M14</f>
        <v>C Coquetiers de l'Antoine | | Auteur &gt; Guy KRENZE - Eric GODDYN - Arnaud NICOLAS - CEPROC 2002</v>
      </c>
      <c r="N36" s="33">
        <f>N14</f>
        <v>20</v>
      </c>
      <c r="O36" s="32" t="str">
        <f>O14</f>
        <v>coquetiers de 25 g</v>
      </c>
      <c r="P36" s="34" t="str">
        <f>P14</f>
        <v>Recette mère ► le Boudin en 4 déclinaisons</v>
      </c>
      <c r="Q36" s="142" t="s">
        <v>145</v>
      </c>
      <c r="R36" s="117" t="s">
        <v>107</v>
      </c>
      <c r="S36" s="141" t="s">
        <v>144</v>
      </c>
      <c r="T36" s="109" t="s">
        <v>150</v>
      </c>
      <c r="U36" s="109" t="s">
        <v>163</v>
      </c>
      <c r="V36" s="109" t="s">
        <v>103</v>
      </c>
      <c r="W36" s="109" t="s">
        <v>162</v>
      </c>
      <c r="X36" s="149" t="s">
        <v>160</v>
      </c>
      <c r="Y36" s="149" t="s">
        <v>117</v>
      </c>
      <c r="Z36" s="1061" t="s">
        <v>1831</v>
      </c>
      <c r="AB36" s="104" t="s">
        <v>16</v>
      </c>
      <c r="AC36" s="32" t="str">
        <f>AC14</f>
        <v>C Coquetiers de l'Antoine | |  Author &gt; Guy KRENZE - Eric GODDYN - Arnaud NICOLAS - CEPROC 2002</v>
      </c>
      <c r="AD36" s="33">
        <f>AD14</f>
        <v>20</v>
      </c>
      <c r="AE36" s="32" t="str">
        <f>AE14</f>
        <v>egg cups of 25 g</v>
      </c>
      <c r="AF36" s="34" t="str">
        <f>AF14</f>
        <v>Master recipe ► Black pudding in 4 variations</v>
      </c>
      <c r="AG36" s="142" t="s">
        <v>1357</v>
      </c>
      <c r="AH36" s="117" t="s">
        <v>1359</v>
      </c>
      <c r="AI36" s="141" t="s">
        <v>144</v>
      </c>
      <c r="AJ36" s="109" t="s">
        <v>1362</v>
      </c>
      <c r="AK36" s="109" t="s">
        <v>1371</v>
      </c>
      <c r="AL36" s="109" t="s">
        <v>1372</v>
      </c>
      <c r="AM36" s="109" t="s">
        <v>1370</v>
      </c>
      <c r="AN36" s="149" t="s">
        <v>1368</v>
      </c>
      <c r="AO36" s="149" t="s">
        <v>1367</v>
      </c>
      <c r="AP36" s="1061" t="s">
        <v>1832</v>
      </c>
      <c r="AR36" s="104" t="s">
        <v>16</v>
      </c>
      <c r="AS36" s="32" t="str">
        <f>AS14</f>
        <v>C Coquetiers de l'Antoine | | Autor &gt; Guy KRENZE - Eric GODDYN - Arnaud NICOLAS - CEPROC 2002</v>
      </c>
      <c r="AT36" s="33">
        <f>AT14</f>
        <v>18</v>
      </c>
      <c r="AU36" s="32" t="str">
        <f>AU14</f>
        <v>hueveras de 25 g</v>
      </c>
      <c r="AV36" s="34" t="str">
        <f>AV14</f>
        <v>Receta madre ► Morcilla en 4 versiones</v>
      </c>
      <c r="AW36" s="142" t="s">
        <v>145</v>
      </c>
      <c r="AX36" s="117" t="s">
        <v>107</v>
      </c>
      <c r="AY36" s="141" t="s">
        <v>144</v>
      </c>
      <c r="AZ36" s="143" t="s">
        <v>1343</v>
      </c>
      <c r="BA36" s="109" t="s">
        <v>1354</v>
      </c>
      <c r="BB36" s="109" t="s">
        <v>1355</v>
      </c>
      <c r="BC36" s="109" t="s">
        <v>1353</v>
      </c>
      <c r="BD36" s="149" t="s">
        <v>1351</v>
      </c>
      <c r="BE36" s="123" t="s">
        <v>1350</v>
      </c>
      <c r="BF36" s="1061" t="s">
        <v>1833</v>
      </c>
      <c r="BH36" s="104"/>
      <c r="BI36" s="32"/>
      <c r="BJ36" s="33"/>
      <c r="BK36" s="32"/>
      <c r="BL36" s="34"/>
      <c r="BM36" s="92"/>
      <c r="BN36" s="108"/>
      <c r="BO36" s="94"/>
      <c r="BP36" s="95"/>
      <c r="BQ36" s="105"/>
      <c r="BR36" s="5101"/>
      <c r="BS36" s="920"/>
      <c r="BT36" s="1495"/>
      <c r="BU36" s="101"/>
      <c r="BV36" s="1475"/>
      <c r="BX36" s="104"/>
      <c r="BY36" s="32"/>
      <c r="BZ36" s="33"/>
      <c r="CA36" s="32"/>
      <c r="CB36" s="34"/>
      <c r="CC36" s="92"/>
      <c r="CD36" s="108"/>
      <c r="CE36" s="94"/>
      <c r="CF36" s="95"/>
      <c r="CG36" s="105"/>
      <c r="CH36" s="5101"/>
      <c r="CI36" s="920"/>
      <c r="CJ36" s="1495"/>
      <c r="CK36" s="101"/>
      <c r="CL36" s="1475"/>
      <c r="CN36" s="104"/>
      <c r="CO36" s="32"/>
      <c r="CP36" s="33"/>
      <c r="CQ36" s="32"/>
      <c r="CR36" s="34"/>
      <c r="CS36" s="92"/>
      <c r="CT36" s="108"/>
      <c r="CU36" s="94"/>
      <c r="CV36" s="95"/>
      <c r="CW36" s="105"/>
      <c r="CX36" s="5101"/>
      <c r="CY36" s="920"/>
      <c r="CZ36" s="1495"/>
      <c r="DA36" s="101"/>
      <c r="DB36" s="1475"/>
      <c r="DC36" s="5109"/>
      <c r="DD36" s="5069"/>
      <c r="DF36" s="3">
        <v>1</v>
      </c>
    </row>
    <row r="37" spans="2:110" ht="21" customHeight="1">
      <c r="B37" s="952" t="str">
        <f t="shared" si="10"/>
        <v>►</v>
      </c>
      <c r="C37" s="993" cm="1">
        <f t="array" ref="C37">SUMPRODUCT(LEN(D37:J37))</f>
        <v>0</v>
      </c>
      <c r="D37" s="167"/>
      <c r="E37" s="172"/>
      <c r="F37" s="172"/>
      <c r="G37" s="172"/>
      <c r="H37" s="172"/>
      <c r="I37" s="172"/>
      <c r="J37" s="173"/>
      <c r="K37" s="442" t="s">
        <v>22</v>
      </c>
      <c r="L37" s="104" t="s">
        <v>16</v>
      </c>
      <c r="M37" s="32" t="str">
        <f>M14</f>
        <v>C Coquetiers de l'Antoine | | Auteur &gt; Guy KRENZE - Eric GODDYN - Arnaud NICOLAS - CEPROC 2002</v>
      </c>
      <c r="N37" s="33">
        <f>N14</f>
        <v>20</v>
      </c>
      <c r="O37" s="32" t="str">
        <f>O14</f>
        <v>coquetiers de 25 g</v>
      </c>
      <c r="P37" s="34" t="str">
        <f>P14</f>
        <v>Recette mère ► le Boudin en 4 déclinaisons</v>
      </c>
      <c r="Q37" s="912">
        <v>0.25</v>
      </c>
      <c r="R37" s="912">
        <v>0.5</v>
      </c>
      <c r="S37" s="913">
        <v>0</v>
      </c>
      <c r="T37" s="914">
        <v>0.2</v>
      </c>
      <c r="U37" s="914">
        <v>0.1</v>
      </c>
      <c r="V37" s="914">
        <v>0.22500000000000001</v>
      </c>
      <c r="W37" s="914">
        <v>1.4999999999999999E-2</v>
      </c>
      <c r="X37" s="914">
        <v>4.9299999999999995E-3</v>
      </c>
      <c r="Y37" s="914">
        <v>0.35</v>
      </c>
      <c r="Z37" s="915">
        <v>0.25</v>
      </c>
      <c r="AB37" s="104" t="s">
        <v>16</v>
      </c>
      <c r="AC37" s="32" t="str">
        <f>AC14</f>
        <v>C Coquetiers de l'Antoine | |  Author &gt; Guy KRENZE - Eric GODDYN - Arnaud NICOLAS - CEPROC 2002</v>
      </c>
      <c r="AD37" s="33">
        <f>AD14</f>
        <v>20</v>
      </c>
      <c r="AE37" s="32" t="str">
        <f>AE14</f>
        <v>egg cups of 25 g</v>
      </c>
      <c r="AF37" s="34" t="str">
        <f>AF14</f>
        <v>Master recipe ► Black pudding in 4 variations</v>
      </c>
      <c r="AG37" s="912">
        <v>0.25</v>
      </c>
      <c r="AH37" s="912">
        <v>0.5</v>
      </c>
      <c r="AI37" s="913">
        <v>0</v>
      </c>
      <c r="AJ37" s="914">
        <v>0.2</v>
      </c>
      <c r="AK37" s="914">
        <v>0.1</v>
      </c>
      <c r="AL37" s="914">
        <v>0.22500000000000001</v>
      </c>
      <c r="AM37" s="914">
        <v>1.4999999999999999E-2</v>
      </c>
      <c r="AN37" s="914">
        <v>4.9299999999999995E-3</v>
      </c>
      <c r="AO37" s="914">
        <v>0.35</v>
      </c>
      <c r="AP37" s="915">
        <v>0.25</v>
      </c>
      <c r="AR37" s="104" t="s">
        <v>16</v>
      </c>
      <c r="AS37" s="32" t="str">
        <f>AS14</f>
        <v>C Coquetiers de l'Antoine | | Autor &gt; Guy KRENZE - Eric GODDYN - Arnaud NICOLAS - CEPROC 2002</v>
      </c>
      <c r="AT37" s="33">
        <f>AT14</f>
        <v>18</v>
      </c>
      <c r="AU37" s="32" t="str">
        <f>AU14</f>
        <v>hueveras de 25 g</v>
      </c>
      <c r="AV37" s="34" t="str">
        <f>AV14</f>
        <v>Receta madre ► Morcilla en 4 versiones</v>
      </c>
      <c r="AW37" s="912">
        <v>0.25</v>
      </c>
      <c r="AX37" s="912">
        <v>0.5</v>
      </c>
      <c r="AY37" s="913">
        <v>0</v>
      </c>
      <c r="AZ37" s="914">
        <v>0.2</v>
      </c>
      <c r="BA37" s="914">
        <v>0.1</v>
      </c>
      <c r="BB37" s="914">
        <v>0.22500000000000001</v>
      </c>
      <c r="BC37" s="914">
        <v>1.4999999999999999E-2</v>
      </c>
      <c r="BD37" s="914">
        <v>4.9299999999999995E-3</v>
      </c>
      <c r="BE37" s="914">
        <v>0.35</v>
      </c>
      <c r="BF37" s="915">
        <v>0.25</v>
      </c>
      <c r="BH37" s="104"/>
      <c r="BI37" s="32"/>
      <c r="BJ37" s="33"/>
      <c r="BK37" s="32"/>
      <c r="BL37" s="34"/>
      <c r="BM37" s="92"/>
      <c r="BN37" s="108"/>
      <c r="BO37" s="94"/>
      <c r="BP37" s="95"/>
      <c r="BQ37" s="105"/>
      <c r="BR37" s="5101"/>
      <c r="BS37" s="920"/>
      <c r="BT37" s="1495"/>
      <c r="BU37" s="101"/>
      <c r="BV37" s="1475"/>
      <c r="BX37" s="104"/>
      <c r="BY37" s="32"/>
      <c r="BZ37" s="33"/>
      <c r="CA37" s="32"/>
      <c r="CB37" s="34"/>
      <c r="CC37" s="92"/>
      <c r="CD37" s="108"/>
      <c r="CE37" s="94"/>
      <c r="CF37" s="95"/>
      <c r="CG37" s="105"/>
      <c r="CH37" s="5101"/>
      <c r="CI37" s="920"/>
      <c r="CJ37" s="1495"/>
      <c r="CK37" s="101"/>
      <c r="CL37" s="1475"/>
      <c r="CN37" s="104"/>
      <c r="CO37" s="32"/>
      <c r="CP37" s="33"/>
      <c r="CQ37" s="32"/>
      <c r="CR37" s="34"/>
      <c r="CS37" s="92"/>
      <c r="CT37" s="108"/>
      <c r="CU37" s="94"/>
      <c r="CV37" s="95"/>
      <c r="CW37" s="105"/>
      <c r="CX37" s="5101"/>
      <c r="CY37" s="920"/>
      <c r="CZ37" s="1495"/>
      <c r="DA37" s="101"/>
      <c r="DB37" s="1475"/>
      <c r="DC37" s="5109"/>
      <c r="DD37" s="5086"/>
      <c r="DF37" s="3">
        <v>1</v>
      </c>
    </row>
    <row r="38" spans="2:110" ht="21" customHeight="1">
      <c r="B38" s="952" t="str">
        <f t="shared" si="10"/>
        <v>►</v>
      </c>
      <c r="C38" s="993" cm="1">
        <f t="array" ref="C38">SUMPRODUCT(LEN(D38:J38))</f>
        <v>0</v>
      </c>
      <c r="D38" s="167"/>
      <c r="E38" s="172"/>
      <c r="F38" s="172"/>
      <c r="G38" s="172"/>
      <c r="H38" s="172"/>
      <c r="I38" s="172"/>
      <c r="J38" s="173"/>
      <c r="K38" s="442" t="s">
        <v>22</v>
      </c>
      <c r="L38" s="104" t="s">
        <v>16</v>
      </c>
      <c r="M38" s="32" t="str">
        <f>M14</f>
        <v>C Coquetiers de l'Antoine | | Auteur &gt; Guy KRENZE - Eric GODDYN - Arnaud NICOLAS - CEPROC 2002</v>
      </c>
      <c r="N38" s="33">
        <f>N14</f>
        <v>20</v>
      </c>
      <c r="O38" s="32" t="str">
        <f>O14</f>
        <v>coquetiers de 25 g</v>
      </c>
      <c r="P38" s="34" t="str">
        <f>P14</f>
        <v>Recette mère ► le Boudin en 4 déclinaisons</v>
      </c>
      <c r="Q38" s="154" t="str">
        <f t="shared" ref="Q38:R38" si="17">Q15</f>
        <v>Col.6</v>
      </c>
      <c r="R38" s="154" t="str">
        <f t="shared" si="17"/>
        <v>Col.7</v>
      </c>
      <c r="S38" s="155" t="s">
        <v>3295</v>
      </c>
      <c r="T38" s="155"/>
      <c r="U38" s="155"/>
      <c r="V38" s="155"/>
      <c r="W38" s="155"/>
      <c r="X38" s="155"/>
      <c r="Y38" s="155"/>
      <c r="Z38" s="1477"/>
      <c r="AB38" s="104" t="s">
        <v>16</v>
      </c>
      <c r="AC38" s="32" t="str">
        <f>AC14</f>
        <v>C Coquetiers de l'Antoine | |  Author &gt; Guy KRENZE - Eric GODDYN - Arnaud NICOLAS - CEPROC 2002</v>
      </c>
      <c r="AD38" s="33">
        <f>AD14</f>
        <v>20</v>
      </c>
      <c r="AE38" s="32" t="str">
        <f>AE14</f>
        <v>egg cups of 25 g</v>
      </c>
      <c r="AF38" s="34" t="str">
        <f>AF14</f>
        <v>Master recipe ► Black pudding in 4 variations</v>
      </c>
      <c r="AG38" s="154">
        <f>AG24</f>
        <v>0</v>
      </c>
      <c r="AH38" s="154">
        <f>AH24</f>
        <v>0</v>
      </c>
      <c r="AI38" s="155" t="s">
        <v>3296</v>
      </c>
      <c r="AJ38" s="155"/>
      <c r="AK38" s="155"/>
      <c r="AL38" s="155"/>
      <c r="AM38" s="155"/>
      <c r="AN38" s="155"/>
      <c r="AO38" s="155"/>
      <c r="AP38" s="1477"/>
      <c r="AR38" s="104" t="s">
        <v>16</v>
      </c>
      <c r="AS38" s="32" t="str">
        <f>AS14</f>
        <v>C Coquetiers de l'Antoine | | Autor &gt; Guy KRENZE - Eric GODDYN - Arnaud NICOLAS - CEPROC 2002</v>
      </c>
      <c r="AT38" s="33">
        <f>AT14</f>
        <v>18</v>
      </c>
      <c r="AU38" s="32" t="str">
        <f>AU14</f>
        <v>hueveras de 25 g</v>
      </c>
      <c r="AV38" s="34" t="str">
        <f>AV14</f>
        <v>Receta madre ► Morcilla en 4 versiones</v>
      </c>
      <c r="AW38" s="154" t="str">
        <f t="shared" ref="AW38:AX38" si="18">AW15</f>
        <v>Col.6</v>
      </c>
      <c r="AX38" s="154" t="str">
        <f t="shared" si="18"/>
        <v>Col.7</v>
      </c>
      <c r="AY38" s="155" t="s">
        <v>3298</v>
      </c>
      <c r="AZ38" s="155"/>
      <c r="BA38" s="155"/>
      <c r="BB38" s="155"/>
      <c r="BC38" s="155"/>
      <c r="BD38" s="155"/>
      <c r="BE38" s="155"/>
      <c r="BF38" s="1477"/>
      <c r="BH38" s="104"/>
      <c r="BI38" s="32"/>
      <c r="BJ38" s="33"/>
      <c r="BK38" s="32"/>
      <c r="BL38" s="34"/>
      <c r="BM38" s="92"/>
      <c r="BN38" s="108"/>
      <c r="BO38" s="94"/>
      <c r="BP38" s="95"/>
      <c r="BQ38" s="105"/>
      <c r="BR38" s="5101"/>
      <c r="BS38" s="920"/>
      <c r="BT38" s="1495"/>
      <c r="BU38" s="101"/>
      <c r="BV38" s="1475"/>
      <c r="BX38" s="104"/>
      <c r="BY38" s="32"/>
      <c r="BZ38" s="33"/>
      <c r="CA38" s="32"/>
      <c r="CB38" s="34"/>
      <c r="CC38" s="92"/>
      <c r="CD38" s="108"/>
      <c r="CE38" s="94"/>
      <c r="CF38" s="95"/>
      <c r="CG38" s="105"/>
      <c r="CH38" s="5101"/>
      <c r="CI38" s="920"/>
      <c r="CJ38" s="1495"/>
      <c r="CK38" s="101"/>
      <c r="CL38" s="1475"/>
      <c r="CN38" s="104"/>
      <c r="CO38" s="32"/>
      <c r="CP38" s="33"/>
      <c r="CQ38" s="32"/>
      <c r="CR38" s="34"/>
      <c r="CS38" s="92"/>
      <c r="CT38" s="108"/>
      <c r="CU38" s="94"/>
      <c r="CV38" s="95"/>
      <c r="CW38" s="105"/>
      <c r="CX38" s="5101"/>
      <c r="CY38" s="920"/>
      <c r="CZ38" s="1495"/>
      <c r="DA38" s="101"/>
      <c r="DB38" s="1475"/>
      <c r="DC38" s="5109"/>
      <c r="DD38" s="5086"/>
      <c r="DF38" s="3">
        <v>1</v>
      </c>
    </row>
    <row r="39" spans="2:110" ht="21" customHeight="1">
      <c r="B39" s="952" t="str">
        <f t="shared" si="10"/>
        <v>►</v>
      </c>
      <c r="C39" s="993" cm="1">
        <f t="array" ref="C39">SUMPRODUCT(LEN(D39:J39))</f>
        <v>0</v>
      </c>
      <c r="D39" s="167"/>
      <c r="E39" s="172"/>
      <c r="F39" s="172"/>
      <c r="G39" s="172"/>
      <c r="H39" s="172"/>
      <c r="I39" s="172"/>
      <c r="J39" s="173"/>
      <c r="K39" s="442"/>
      <c r="L39" s="104" t="s">
        <v>16</v>
      </c>
      <c r="M39" s="157" t="str">
        <f>M14</f>
        <v>C Coquetiers de l'Antoine | | Auteur &gt; Guy KRENZE - Eric GODDYN - Arnaud NICOLAS - CEPROC 2002</v>
      </c>
      <c r="N39" s="157">
        <f>N14</f>
        <v>20</v>
      </c>
      <c r="O39" s="158" t="str">
        <f>O14</f>
        <v>coquetiers de 25 g</v>
      </c>
      <c r="P39" s="159" t="str">
        <f>P14</f>
        <v>Recette mère ► le Boudin en 4 déclinaisons</v>
      </c>
      <c r="Q39" s="160" t="s">
        <v>167</v>
      </c>
      <c r="R39" s="1483" t="s">
        <v>3328</v>
      </c>
      <c r="S39" s="162"/>
      <c r="T39" s="162"/>
      <c r="U39" s="172"/>
      <c r="V39" s="172"/>
      <c r="W39" s="172"/>
      <c r="X39" s="172"/>
      <c r="Y39" s="156" t="s">
        <v>165</v>
      </c>
      <c r="Z39" s="1484" t="s">
        <v>3276</v>
      </c>
      <c r="AB39" s="104" t="s">
        <v>16</v>
      </c>
      <c r="AC39" s="157" t="str">
        <f>AC14</f>
        <v>C Coquetiers de l'Antoine | |  Author &gt; Guy KRENZE - Eric GODDYN - Arnaud NICOLAS - CEPROC 2002</v>
      </c>
      <c r="AD39" s="157">
        <f>AD14</f>
        <v>20</v>
      </c>
      <c r="AE39" s="158" t="str">
        <f>AE14</f>
        <v>egg cups of 25 g</v>
      </c>
      <c r="AF39" s="159" t="str">
        <f>AF14</f>
        <v>Master recipe ► Black pudding in 4 variations</v>
      </c>
      <c r="AG39" s="232" t="s">
        <v>752</v>
      </c>
      <c r="AH39" s="161" t="s">
        <v>3327</v>
      </c>
      <c r="AI39" s="162"/>
      <c r="AJ39" s="162"/>
      <c r="AK39" s="172"/>
      <c r="AL39" s="172"/>
      <c r="AM39" s="172"/>
      <c r="AN39" s="172"/>
      <c r="AO39" s="156" t="s">
        <v>894</v>
      </c>
      <c r="AP39" s="1484" t="s">
        <v>3276</v>
      </c>
      <c r="AR39" s="104" t="s">
        <v>16</v>
      </c>
      <c r="AS39" s="157" t="str">
        <f>AS14</f>
        <v>C Coquetiers de l'Antoine | | Autor &gt; Guy KRENZE - Eric GODDYN - Arnaud NICOLAS - CEPROC 2002</v>
      </c>
      <c r="AT39" s="157">
        <f>AT14</f>
        <v>18</v>
      </c>
      <c r="AU39" s="158" t="str">
        <f>AU14</f>
        <v>hueveras de 25 g</v>
      </c>
      <c r="AV39" s="159" t="str">
        <f>AV14</f>
        <v>Receta madre ► Morcilla en 4 versiones</v>
      </c>
      <c r="AW39" s="232" t="s">
        <v>754</v>
      </c>
      <c r="AX39" s="161" t="s">
        <v>3325</v>
      </c>
      <c r="AY39" s="162"/>
      <c r="AZ39" s="162"/>
      <c r="BA39" s="172"/>
      <c r="BB39" s="172"/>
      <c r="BC39" s="172"/>
      <c r="BD39" s="172"/>
      <c r="BE39" s="905" t="s">
        <v>908</v>
      </c>
      <c r="BF39" s="1484" t="s">
        <v>3276</v>
      </c>
      <c r="BH39" s="104"/>
      <c r="BI39" s="32"/>
      <c r="BJ39" s="33"/>
      <c r="BK39" s="32"/>
      <c r="BL39" s="34"/>
      <c r="BM39" s="92"/>
      <c r="BN39" s="108"/>
      <c r="BO39" s="94"/>
      <c r="BP39" s="95"/>
      <c r="BQ39" s="105"/>
      <c r="BR39" s="5101"/>
      <c r="BS39" s="920"/>
      <c r="BT39" s="1495"/>
      <c r="BU39" s="101"/>
      <c r="BV39" s="1475"/>
      <c r="BX39" s="104"/>
      <c r="BY39" s="32"/>
      <c r="BZ39" s="33"/>
      <c r="CA39" s="32"/>
      <c r="CB39" s="34"/>
      <c r="CC39" s="92"/>
      <c r="CD39" s="108"/>
      <c r="CE39" s="94"/>
      <c r="CF39" s="95"/>
      <c r="CG39" s="105"/>
      <c r="CH39" s="5101"/>
      <c r="CI39" s="920"/>
      <c r="CJ39" s="1495"/>
      <c r="CK39" s="101"/>
      <c r="CL39" s="1475"/>
      <c r="CN39" s="104"/>
      <c r="CO39" s="32"/>
      <c r="CP39" s="33"/>
      <c r="CQ39" s="32"/>
      <c r="CR39" s="34"/>
      <c r="CS39" s="92"/>
      <c r="CT39" s="108"/>
      <c r="CU39" s="94"/>
      <c r="CV39" s="95"/>
      <c r="CW39" s="105"/>
      <c r="CX39" s="5101"/>
      <c r="CY39" s="920"/>
      <c r="CZ39" s="1495"/>
      <c r="DA39" s="101"/>
      <c r="DB39" s="1475"/>
      <c r="DC39" s="5109"/>
      <c r="DD39" s="5086"/>
      <c r="DF39" s="3">
        <v>1</v>
      </c>
    </row>
    <row r="40" spans="2:110" ht="21" customHeight="1">
      <c r="B40" s="952" t="str">
        <f t="shared" si="10"/>
        <v>►</v>
      </c>
      <c r="C40" s="993" cm="1">
        <f t="array" ref="C40">SUMPRODUCT(LEN(D40:J40))</f>
        <v>0</v>
      </c>
      <c r="D40" s="167"/>
      <c r="E40" s="172"/>
      <c r="F40" s="172"/>
      <c r="G40" s="172"/>
      <c r="H40" s="172"/>
      <c r="I40" s="172"/>
      <c r="J40" s="173"/>
      <c r="K40" s="442"/>
      <c r="L40" s="104" t="s">
        <v>16</v>
      </c>
      <c r="M40" s="157" t="str">
        <f>M14</f>
        <v>C Coquetiers de l'Antoine | | Auteur &gt; Guy KRENZE - Eric GODDYN - Arnaud NICOLAS - CEPROC 2002</v>
      </c>
      <c r="N40" s="157">
        <f>N14</f>
        <v>20</v>
      </c>
      <c r="O40" s="158" t="str">
        <f>O14</f>
        <v>coquetiers de 25 g</v>
      </c>
      <c r="P40" s="159" t="str">
        <f>P14</f>
        <v>Recette mère ► le Boudin en 4 déclinaisons</v>
      </c>
      <c r="Q40" s="172" t="s">
        <v>13007</v>
      </c>
      <c r="R40" s="172"/>
      <c r="S40" s="172"/>
      <c r="T40" s="172"/>
      <c r="U40" s="172"/>
      <c r="V40" s="172" t="s">
        <v>12865</v>
      </c>
      <c r="W40" s="172"/>
      <c r="X40" s="172"/>
      <c r="Y40" s="1474" t="s">
        <v>168</v>
      </c>
      <c r="Z40" s="1482" t="s">
        <v>668</v>
      </c>
      <c r="AA40" s="555"/>
      <c r="AB40" s="104" t="s">
        <v>16</v>
      </c>
      <c r="AC40" s="157" t="str">
        <f>AC14</f>
        <v>C Coquetiers de l'Antoine | |  Author &gt; Guy KRENZE - Eric GODDYN - Arnaud NICOLAS - CEPROC 2002</v>
      </c>
      <c r="AD40" s="157">
        <f>AD14</f>
        <v>20</v>
      </c>
      <c r="AE40" s="158" t="str">
        <f>AE14</f>
        <v>egg cups of 25 g</v>
      </c>
      <c r="AF40" s="159" t="str">
        <f>AF14</f>
        <v>Master recipe ► Black pudding in 4 variations</v>
      </c>
      <c r="AG40" s="172" t="s">
        <v>12897</v>
      </c>
      <c r="AH40" s="172"/>
      <c r="AI40" s="172"/>
      <c r="AJ40" s="172"/>
      <c r="AK40" s="172"/>
      <c r="AL40" s="172" t="s">
        <v>12922</v>
      </c>
      <c r="AM40" s="172"/>
      <c r="AN40" s="172"/>
      <c r="AO40" s="1474" t="s">
        <v>895</v>
      </c>
      <c r="AP40" s="1482" t="s">
        <v>668</v>
      </c>
      <c r="AR40" s="104" t="s">
        <v>16</v>
      </c>
      <c r="AS40" s="157" t="str">
        <f>AS14</f>
        <v>C Coquetiers de l'Antoine | | Autor &gt; Guy KRENZE - Eric GODDYN - Arnaud NICOLAS - CEPROC 2002</v>
      </c>
      <c r="AT40" s="157">
        <f>AT14</f>
        <v>18</v>
      </c>
      <c r="AU40" s="158" t="str">
        <f>AU14</f>
        <v>hueveras de 25 g</v>
      </c>
      <c r="AV40" s="159" t="str">
        <f>AV14</f>
        <v>Receta madre ► Morcilla en 4 versiones</v>
      </c>
      <c r="AW40" s="172"/>
      <c r="AX40" s="172"/>
      <c r="AY40" s="172"/>
      <c r="AZ40" s="172"/>
      <c r="BA40" s="172"/>
      <c r="BB40" s="172" t="s">
        <v>12927</v>
      </c>
      <c r="BC40" s="172"/>
      <c r="BD40" s="172"/>
      <c r="BE40" s="1474" t="s">
        <v>909</v>
      </c>
      <c r="BF40" s="1482" t="s">
        <v>668</v>
      </c>
      <c r="BH40" s="104"/>
      <c r="BI40" s="32"/>
      <c r="BJ40" s="33"/>
      <c r="BK40" s="32"/>
      <c r="BL40" s="34"/>
      <c r="BM40" s="92"/>
      <c r="BN40" s="108"/>
      <c r="BO40" s="94"/>
      <c r="BP40" s="95"/>
      <c r="BQ40" s="105"/>
      <c r="BR40" s="5101"/>
      <c r="BS40" s="920"/>
      <c r="BT40" s="1495"/>
      <c r="BU40" s="101"/>
      <c r="BV40" s="1475"/>
      <c r="BX40" s="104"/>
      <c r="BY40" s="32"/>
      <c r="BZ40" s="33"/>
      <c r="CA40" s="32"/>
      <c r="CB40" s="34"/>
      <c r="CC40" s="92"/>
      <c r="CD40" s="108"/>
      <c r="CE40" s="94"/>
      <c r="CF40" s="95"/>
      <c r="CG40" s="105"/>
      <c r="CH40" s="5101"/>
      <c r="CI40" s="920"/>
      <c r="CJ40" s="1495"/>
      <c r="CK40" s="101"/>
      <c r="CL40" s="1475"/>
      <c r="CN40" s="104"/>
      <c r="CO40" s="32"/>
      <c r="CP40" s="33"/>
      <c r="CQ40" s="32"/>
      <c r="CR40" s="34"/>
      <c r="CS40" s="92"/>
      <c r="CT40" s="108"/>
      <c r="CU40" s="94"/>
      <c r="CV40" s="95"/>
      <c r="CW40" s="105"/>
      <c r="CX40" s="5101"/>
      <c r="CY40" s="920"/>
      <c r="CZ40" s="1495"/>
      <c r="DA40" s="101"/>
      <c r="DB40" s="1475"/>
      <c r="DC40" s="5109"/>
      <c r="DD40" s="5090"/>
      <c r="DF40" s="3">
        <v>1</v>
      </c>
    </row>
    <row r="41" spans="2:110" ht="21" customHeight="1">
      <c r="B41" s="952" t="str">
        <f t="shared" si="10"/>
        <v>►</v>
      </c>
      <c r="C41" s="993" cm="1">
        <f t="array" ref="C41">SUMPRODUCT(LEN(D41:J41))</f>
        <v>0</v>
      </c>
      <c r="D41" s="167"/>
      <c r="E41" s="172"/>
      <c r="F41" s="172"/>
      <c r="G41" s="172"/>
      <c r="H41" s="172"/>
      <c r="I41" s="172"/>
      <c r="J41" s="173"/>
      <c r="K41" s="442" t="s">
        <v>22</v>
      </c>
      <c r="L41" s="104" t="s">
        <v>16</v>
      </c>
      <c r="M41" s="157" t="str">
        <f>M14</f>
        <v>C Coquetiers de l'Antoine | | Auteur &gt; Guy KRENZE - Eric GODDYN - Arnaud NICOLAS - CEPROC 2002</v>
      </c>
      <c r="N41" s="157">
        <f>N14</f>
        <v>20</v>
      </c>
      <c r="O41" s="158" t="str">
        <f>O14</f>
        <v>coquetiers de 25 g</v>
      </c>
      <c r="P41" s="159" t="str">
        <f>P14</f>
        <v>Recette mère ► le Boudin en 4 déclinaisons</v>
      </c>
      <c r="Q41" s="172" t="s">
        <v>12837</v>
      </c>
      <c r="R41" s="172"/>
      <c r="S41" s="172"/>
      <c r="T41" s="172"/>
      <c r="U41" s="172"/>
      <c r="V41" s="5040" t="s">
        <v>12866</v>
      </c>
      <c r="W41" s="172"/>
      <c r="X41" s="172"/>
      <c r="Y41" s="172"/>
      <c r="Z41" s="555"/>
      <c r="AA41" s="555"/>
      <c r="AB41" s="104" t="s">
        <v>16</v>
      </c>
      <c r="AC41" s="157" t="str">
        <f>AC14</f>
        <v>C Coquetiers de l'Antoine | |  Author &gt; Guy KRENZE - Eric GODDYN - Arnaud NICOLAS - CEPROC 2002</v>
      </c>
      <c r="AD41" s="157">
        <f>AD14</f>
        <v>20</v>
      </c>
      <c r="AE41" s="158" t="str">
        <f>AE14</f>
        <v>egg cups of 25 g</v>
      </c>
      <c r="AF41" s="159" t="str">
        <f>AF14</f>
        <v>Master recipe ► Black pudding in 4 variations</v>
      </c>
      <c r="AG41" s="172" t="s">
        <v>12899</v>
      </c>
      <c r="AH41" s="172"/>
      <c r="AI41" s="172"/>
      <c r="AJ41" s="172"/>
      <c r="AK41" s="172"/>
      <c r="AL41" s="5040" t="s">
        <v>12923</v>
      </c>
      <c r="AM41" s="172"/>
      <c r="AN41" s="172"/>
      <c r="AO41" s="172"/>
      <c r="AP41" s="555"/>
      <c r="AR41" s="104" t="s">
        <v>16</v>
      </c>
      <c r="AS41" s="157" t="str">
        <f>AS14</f>
        <v>C Coquetiers de l'Antoine | | Autor &gt; Guy KRENZE - Eric GODDYN - Arnaud NICOLAS - CEPROC 2002</v>
      </c>
      <c r="AT41" s="157">
        <f>AT14</f>
        <v>18</v>
      </c>
      <c r="AU41" s="158" t="str">
        <f>AU14</f>
        <v>hueveras de 25 g</v>
      </c>
      <c r="AV41" s="159" t="str">
        <f>AV14</f>
        <v>Receta madre ► Morcilla en 4 versiones</v>
      </c>
      <c r="AW41" s="172" t="s">
        <v>12898</v>
      </c>
      <c r="AX41" s="172"/>
      <c r="AY41" s="172"/>
      <c r="AZ41" s="172"/>
      <c r="BA41" s="5040"/>
      <c r="BB41" s="5040" t="s">
        <v>12866</v>
      </c>
      <c r="BC41" s="172"/>
      <c r="BD41" s="172"/>
      <c r="BE41" s="172"/>
      <c r="BF41" s="555"/>
      <c r="BH41" s="104"/>
      <c r="BI41" s="32"/>
      <c r="BJ41" s="33"/>
      <c r="BK41" s="32"/>
      <c r="BL41" s="34"/>
      <c r="BM41" s="92"/>
      <c r="BN41" s="108"/>
      <c r="BO41" s="94"/>
      <c r="BP41" s="95"/>
      <c r="BQ41" s="105"/>
      <c r="BR41" s="5101"/>
      <c r="BS41" s="920"/>
      <c r="BT41" s="1495"/>
      <c r="BU41" s="101"/>
      <c r="BV41" s="1475"/>
      <c r="BX41" s="104"/>
      <c r="BY41" s="32"/>
      <c r="BZ41" s="33"/>
      <c r="CA41" s="32"/>
      <c r="CB41" s="34"/>
      <c r="CC41" s="92"/>
      <c r="CD41" s="108"/>
      <c r="CE41" s="94"/>
      <c r="CF41" s="95"/>
      <c r="CG41" s="105"/>
      <c r="CH41" s="5101"/>
      <c r="CI41" s="920"/>
      <c r="CJ41" s="1495"/>
      <c r="CK41" s="101"/>
      <c r="CL41" s="1475"/>
      <c r="CN41" s="104"/>
      <c r="CO41" s="32"/>
      <c r="CP41" s="33"/>
      <c r="CQ41" s="32"/>
      <c r="CR41" s="34"/>
      <c r="CS41" s="92"/>
      <c r="CT41" s="108"/>
      <c r="CU41" s="94"/>
      <c r="CV41" s="95"/>
      <c r="CW41" s="105"/>
      <c r="CX41" s="5101"/>
      <c r="CY41" s="920"/>
      <c r="CZ41" s="1495"/>
      <c r="DA41" s="101"/>
      <c r="DB41" s="1475"/>
      <c r="DC41" s="5109"/>
      <c r="DD41" s="5090"/>
      <c r="DF41" s="3">
        <v>1</v>
      </c>
    </row>
    <row r="42" spans="2:110" ht="21" customHeight="1">
      <c r="B42" s="952" t="str">
        <f t="shared" si="10"/>
        <v>►</v>
      </c>
      <c r="C42" s="993" cm="1">
        <f t="array" ref="C42">SUMPRODUCT(LEN(D42:J42))</f>
        <v>0</v>
      </c>
      <c r="D42" s="167"/>
      <c r="E42" s="172"/>
      <c r="F42" s="172"/>
      <c r="G42" s="172"/>
      <c r="H42" s="172"/>
      <c r="I42" s="172"/>
      <c r="J42" s="173"/>
      <c r="K42" s="442" t="s">
        <v>22</v>
      </c>
      <c r="L42" s="104" t="s">
        <v>16</v>
      </c>
      <c r="M42" s="157" t="str">
        <f>M14</f>
        <v>C Coquetiers de l'Antoine | | Auteur &gt; Guy KRENZE - Eric GODDYN - Arnaud NICOLAS - CEPROC 2002</v>
      </c>
      <c r="N42" s="157">
        <f>N14</f>
        <v>20</v>
      </c>
      <c r="O42" s="158" t="str">
        <f>O14</f>
        <v>coquetiers de 25 g</v>
      </c>
      <c r="P42" s="159" t="str">
        <f>P14</f>
        <v>Recette mère ► le Boudin en 4 déclinaisons</v>
      </c>
      <c r="Q42" s="172" t="s">
        <v>12838</v>
      </c>
      <c r="R42" s="172"/>
      <c r="S42" s="172"/>
      <c r="T42" s="172"/>
      <c r="U42" s="172"/>
      <c r="V42" s="172" t="str">
        <f>"Poids de leur recette = "&amp;S13&amp;" Kg"</f>
        <v>Poids de leur recette = 1.531 Kg</v>
      </c>
      <c r="W42" s="172"/>
      <c r="X42" s="172"/>
      <c r="Y42" s="170" t="s">
        <v>172</v>
      </c>
      <c r="Z42" s="171">
        <v>2.7777777777777776E-2</v>
      </c>
      <c r="AA42" s="555"/>
      <c r="AB42" s="104" t="s">
        <v>16</v>
      </c>
      <c r="AC42" s="157" t="str">
        <f>AC14</f>
        <v>C Coquetiers de l'Antoine | |  Author &gt; Guy KRENZE - Eric GODDYN - Arnaud NICOLAS - CEPROC 2002</v>
      </c>
      <c r="AD42" s="157">
        <f>AD14</f>
        <v>20</v>
      </c>
      <c r="AE42" s="158" t="str">
        <f>AE14</f>
        <v>egg cups of 25 g</v>
      </c>
      <c r="AF42" s="159" t="str">
        <f>AF14</f>
        <v>Master recipe ► Black pudding in 4 variations</v>
      </c>
      <c r="AG42" s="172" t="s">
        <v>12901</v>
      </c>
      <c r="AH42" s="172"/>
      <c r="AI42" s="172"/>
      <c r="AJ42" s="172"/>
      <c r="AK42" s="172"/>
      <c r="AL42" s="172" t="str">
        <f>"Recipe weight = "&amp;AH13&amp;" Kg"</f>
        <v>Recipe weight = copy to ❾ if desired &gt; Kg</v>
      </c>
      <c r="AM42" s="172"/>
      <c r="AN42" s="172"/>
      <c r="AO42" s="170" t="s">
        <v>676</v>
      </c>
      <c r="AP42" s="171">
        <v>2.7777777777777776E-2</v>
      </c>
      <c r="AR42" s="104" t="s">
        <v>16</v>
      </c>
      <c r="AS42" s="157" t="str">
        <f>AS14</f>
        <v>C Coquetiers de l'Antoine | | Autor &gt; Guy KRENZE - Eric GODDYN - Arnaud NICOLAS - CEPROC 2002</v>
      </c>
      <c r="AT42" s="157">
        <f>AT14</f>
        <v>18</v>
      </c>
      <c r="AU42" s="158" t="str">
        <f>AU14</f>
        <v>hueveras de 25 g</v>
      </c>
      <c r="AV42" s="159" t="str">
        <f>AV14</f>
        <v>Receta madre ► Morcilla en 4 versiones</v>
      </c>
      <c r="AW42" s="172" t="s">
        <v>12900</v>
      </c>
      <c r="AX42" s="172"/>
      <c r="AY42" s="172"/>
      <c r="AZ42" s="172"/>
      <c r="BA42" s="172"/>
      <c r="BB42" s="172" t="str">
        <f>"Peso de su receta = "&amp;AX13&amp;" Kg"</f>
        <v>Peso de su receta = copiar en ❾ si se desea &gt; Kg</v>
      </c>
      <c r="BC42" s="172"/>
      <c r="BD42" s="172"/>
      <c r="BE42" s="170" t="s">
        <v>677</v>
      </c>
      <c r="BF42" s="171">
        <v>2.7777777777777776E-2</v>
      </c>
      <c r="BH42" s="104"/>
      <c r="BI42" s="32"/>
      <c r="BJ42" s="33"/>
      <c r="BK42" s="32"/>
      <c r="BL42" s="34"/>
      <c r="BM42" s="92"/>
      <c r="BN42" s="108"/>
      <c r="BO42" s="94"/>
      <c r="BP42" s="95"/>
      <c r="BQ42" s="105"/>
      <c r="BR42" s="5101"/>
      <c r="BS42" s="920"/>
      <c r="BT42" s="1495"/>
      <c r="BU42" s="101"/>
      <c r="BV42" s="1475"/>
      <c r="BX42" s="104"/>
      <c r="BY42" s="32"/>
      <c r="BZ42" s="33"/>
      <c r="CA42" s="32"/>
      <c r="CB42" s="34"/>
      <c r="CC42" s="92"/>
      <c r="CD42" s="108"/>
      <c r="CE42" s="94"/>
      <c r="CF42" s="95"/>
      <c r="CG42" s="105"/>
      <c r="CH42" s="5101"/>
      <c r="CI42" s="920"/>
      <c r="CJ42" s="1495"/>
      <c r="CK42" s="101"/>
      <c r="CL42" s="1475"/>
      <c r="CN42" s="104"/>
      <c r="CO42" s="32"/>
      <c r="CP42" s="33"/>
      <c r="CQ42" s="32"/>
      <c r="CR42" s="34"/>
      <c r="CS42" s="92"/>
      <c r="CT42" s="108"/>
      <c r="CU42" s="94"/>
      <c r="CV42" s="95"/>
      <c r="CW42" s="105"/>
      <c r="CX42" s="5101"/>
      <c r="CY42" s="920"/>
      <c r="CZ42" s="1495"/>
      <c r="DA42" s="101"/>
      <c r="DB42" s="1475"/>
      <c r="DC42" s="5109"/>
      <c r="DD42" s="5089"/>
      <c r="DF42" s="3">
        <v>1</v>
      </c>
    </row>
    <row r="43" spans="2:110" ht="21" customHeight="1">
      <c r="B43" s="952" t="str">
        <f t="shared" si="10"/>
        <v>►</v>
      </c>
      <c r="C43" s="993" cm="1">
        <f t="array" ref="C43">SUMPRODUCT(LEN(D43:J43))</f>
        <v>0</v>
      </c>
      <c r="D43" s="167"/>
      <c r="E43" s="172"/>
      <c r="F43" s="172"/>
      <c r="G43" s="172"/>
      <c r="H43" s="172"/>
      <c r="I43" s="172"/>
      <c r="J43" s="173"/>
      <c r="K43" s="442" t="s">
        <v>22</v>
      </c>
      <c r="L43" s="104" t="s">
        <v>16</v>
      </c>
      <c r="M43" s="157" t="str">
        <f>M14</f>
        <v>C Coquetiers de l'Antoine | | Auteur &gt; Guy KRENZE - Eric GODDYN - Arnaud NICOLAS - CEPROC 2002</v>
      </c>
      <c r="N43" s="157">
        <f>N14</f>
        <v>20</v>
      </c>
      <c r="O43" s="158" t="str">
        <f>O14</f>
        <v>coquetiers de 25 g</v>
      </c>
      <c r="P43" s="159" t="str">
        <f>P14</f>
        <v>Recette mère ► le Boudin en 4 déclinaisons</v>
      </c>
      <c r="Q43" s="172" t="s">
        <v>12839</v>
      </c>
      <c r="R43" s="172"/>
      <c r="S43" s="172"/>
      <c r="T43" s="172"/>
      <c r="U43" s="172"/>
      <c r="V43" s="5040" t="str">
        <f>"divisé par "&amp;Q12 &amp; " = " &amp;(S13/Q12)*1000&amp;" g"</f>
        <v>divisé par 20 = 76.55 g</v>
      </c>
      <c r="W43" s="172"/>
      <c r="X43" s="172"/>
      <c r="Y43" s="170" t="s">
        <v>174</v>
      </c>
      <c r="Z43" s="174">
        <v>6.25E-2</v>
      </c>
      <c r="AA43" s="555"/>
      <c r="AB43" s="104" t="s">
        <v>16</v>
      </c>
      <c r="AC43" s="157" t="str">
        <f>AC14</f>
        <v>C Coquetiers de l'Antoine | |  Author &gt; Guy KRENZE - Eric GODDYN - Arnaud NICOLAS - CEPROC 2002</v>
      </c>
      <c r="AD43" s="157">
        <f>AD14</f>
        <v>20</v>
      </c>
      <c r="AE43" s="158" t="str">
        <f>AE14</f>
        <v>egg cups of 25 g</v>
      </c>
      <c r="AF43" s="159" t="str">
        <f>AF14</f>
        <v>Master recipe ► Black pudding in 4 variations</v>
      </c>
      <c r="AG43" s="172" t="s">
        <v>12904</v>
      </c>
      <c r="AH43" s="172"/>
      <c r="AI43" s="172"/>
      <c r="AJ43" s="172"/>
      <c r="AK43" s="172"/>
      <c r="AL43" s="5040" t="str">
        <f>"divided by "&amp;AG12&amp;" = "&amp;IFERROR(TEXT(ROUND((AH13/AG12)*100000,2),"0,00"),"—")&amp;" g"</f>
        <v>divided by 20 = — g</v>
      </c>
      <c r="AM43" s="172"/>
      <c r="AN43" s="172"/>
      <c r="AO43" s="170" t="s">
        <v>682</v>
      </c>
      <c r="AP43" s="174">
        <v>6.25E-2</v>
      </c>
      <c r="AR43" s="104" t="s">
        <v>16</v>
      </c>
      <c r="AS43" s="157" t="str">
        <f>AS14</f>
        <v>C Coquetiers de l'Antoine | | Autor &gt; Guy KRENZE - Eric GODDYN - Arnaud NICOLAS - CEPROC 2002</v>
      </c>
      <c r="AT43" s="157">
        <f>AT14</f>
        <v>18</v>
      </c>
      <c r="AU43" s="158" t="str">
        <f>AU14</f>
        <v>hueveras de 25 g</v>
      </c>
      <c r="AV43" s="159" t="str">
        <f>AV14</f>
        <v>Receta madre ► Morcilla en 4 versiones</v>
      </c>
      <c r="AW43" s="172" t="s">
        <v>12902</v>
      </c>
      <c r="AX43" s="172"/>
      <c r="AY43" s="172"/>
      <c r="AZ43" s="172"/>
      <c r="BA43" s="5040"/>
      <c r="BB43" s="5040" t="str">
        <f>"dividido por "&amp;AW12&amp;" = "&amp;IFERROR(TEXT(ROUND((AX13/AW12)*100000,2),"0,00"),"—")&amp;" g"</f>
        <v>dividido por 18 = — g</v>
      </c>
      <c r="BC43" s="172"/>
      <c r="BD43" s="172"/>
      <c r="BE43" s="170" t="s">
        <v>683</v>
      </c>
      <c r="BF43" s="174">
        <v>6.25E-2</v>
      </c>
      <c r="BH43" s="104"/>
      <c r="BI43" s="32"/>
      <c r="BJ43" s="33"/>
      <c r="BK43" s="32"/>
      <c r="BL43" s="34"/>
      <c r="BM43" s="92"/>
      <c r="BN43" s="108"/>
      <c r="BO43" s="94"/>
      <c r="BP43" s="95"/>
      <c r="BQ43" s="105"/>
      <c r="BR43" s="5101"/>
      <c r="BS43" s="920"/>
      <c r="BT43" s="1495"/>
      <c r="BU43" s="101"/>
      <c r="BV43" s="1475"/>
      <c r="BX43" s="104"/>
      <c r="BY43" s="32"/>
      <c r="BZ43" s="33"/>
      <c r="CA43" s="32"/>
      <c r="CB43" s="34"/>
      <c r="CC43" s="92"/>
      <c r="CD43" s="108"/>
      <c r="CE43" s="94"/>
      <c r="CF43" s="95"/>
      <c r="CG43" s="105"/>
      <c r="CH43" s="5101"/>
      <c r="CI43" s="920"/>
      <c r="CJ43" s="1495"/>
      <c r="CK43" s="101"/>
      <c r="CL43" s="1475"/>
      <c r="CN43" s="104"/>
      <c r="CO43" s="32"/>
      <c r="CP43" s="33"/>
      <c r="CQ43" s="32"/>
      <c r="CR43" s="34"/>
      <c r="CS43" s="92"/>
      <c r="CT43" s="108"/>
      <c r="CU43" s="94"/>
      <c r="CV43" s="95"/>
      <c r="CW43" s="105"/>
      <c r="CX43" s="5101"/>
      <c r="CY43" s="920"/>
      <c r="CZ43" s="1495"/>
      <c r="DA43" s="101"/>
      <c r="DB43" s="1475"/>
      <c r="DC43" s="5109"/>
      <c r="DD43" s="5089"/>
      <c r="DF43" s="3">
        <v>1</v>
      </c>
    </row>
    <row r="44" spans="2:110" ht="21" customHeight="1">
      <c r="B44" s="952" t="str">
        <f t="shared" si="10"/>
        <v>►</v>
      </c>
      <c r="C44" s="993" cm="1">
        <f t="array" ref="C44">SUMPRODUCT(LEN(D44:J44))</f>
        <v>0</v>
      </c>
      <c r="D44" s="167"/>
      <c r="E44" s="172"/>
      <c r="F44" s="172"/>
      <c r="G44" s="172"/>
      <c r="H44" s="172"/>
      <c r="I44" s="172"/>
      <c r="J44" s="173"/>
      <c r="K44" s="442"/>
      <c r="L44" s="104" t="s">
        <v>16</v>
      </c>
      <c r="M44" s="157" t="str">
        <f>M14</f>
        <v>C Coquetiers de l'Antoine | | Auteur &gt; Guy KRENZE - Eric GODDYN - Arnaud NICOLAS - CEPROC 2002</v>
      </c>
      <c r="N44" s="157">
        <f>N14</f>
        <v>20</v>
      </c>
      <c r="O44" s="158" t="str">
        <f>O14</f>
        <v>coquetiers de 25 g</v>
      </c>
      <c r="P44" s="159" t="str">
        <f>P14</f>
        <v>Recette mère ► le Boudin en 4 déclinaisons</v>
      </c>
      <c r="Q44" s="172" t="s">
        <v>12840</v>
      </c>
      <c r="R44" s="172"/>
      <c r="S44" s="172"/>
      <c r="T44" s="172"/>
      <c r="U44" s="172"/>
      <c r="V44" s="172"/>
      <c r="W44" s="172"/>
      <c r="X44" s="172"/>
      <c r="Y44" s="170" t="s">
        <v>182</v>
      </c>
      <c r="Z44" s="175">
        <v>2.4305555555555556E-2</v>
      </c>
      <c r="AA44" s="555"/>
      <c r="AB44" s="104" t="s">
        <v>16</v>
      </c>
      <c r="AC44" s="157" t="str">
        <f>AC14</f>
        <v>C Coquetiers de l'Antoine | |  Author &gt; Guy KRENZE - Eric GODDYN - Arnaud NICOLAS - CEPROC 2002</v>
      </c>
      <c r="AD44" s="157">
        <f>AD14</f>
        <v>20</v>
      </c>
      <c r="AE44" s="158" t="str">
        <f>AE14</f>
        <v>egg cups of 25 g</v>
      </c>
      <c r="AF44" s="159" t="str">
        <f>AF14</f>
        <v>Master recipe ► Black pudding in 4 variations</v>
      </c>
      <c r="AG44" s="172" t="s">
        <v>12907</v>
      </c>
      <c r="AH44" s="172"/>
      <c r="AI44" s="172"/>
      <c r="AJ44" s="172"/>
      <c r="AK44" s="172"/>
      <c r="AL44" s="172"/>
      <c r="AM44" s="172"/>
      <c r="AN44" s="172"/>
      <c r="AO44" s="170" t="s">
        <v>684</v>
      </c>
      <c r="AP44" s="175">
        <v>2.4305555555555556E-2</v>
      </c>
      <c r="AR44" s="104" t="s">
        <v>16</v>
      </c>
      <c r="AS44" s="157" t="str">
        <f>AS14</f>
        <v>C Coquetiers de l'Antoine | | Autor &gt; Guy KRENZE - Eric GODDYN - Arnaud NICOLAS - CEPROC 2002</v>
      </c>
      <c r="AT44" s="157">
        <f>AT14</f>
        <v>18</v>
      </c>
      <c r="AU44" s="158" t="str">
        <f>AU14</f>
        <v>hueveras de 25 g</v>
      </c>
      <c r="AV44" s="159" t="str">
        <f>AV14</f>
        <v>Receta madre ► Morcilla en 4 versiones</v>
      </c>
      <c r="AW44" s="172" t="s">
        <v>12905</v>
      </c>
      <c r="AX44" s="172"/>
      <c r="AY44" s="172"/>
      <c r="AZ44" s="172"/>
      <c r="BA44" s="172"/>
      <c r="BB44" s="172"/>
      <c r="BC44" s="172"/>
      <c r="BD44" s="172"/>
      <c r="BE44" s="170" t="s">
        <v>911</v>
      </c>
      <c r="BF44" s="175">
        <v>2.4305555555555556E-2</v>
      </c>
      <c r="BH44" s="104"/>
      <c r="BI44" s="32"/>
      <c r="BJ44" s="33"/>
      <c r="BK44" s="32"/>
      <c r="BL44" s="34"/>
      <c r="BM44" s="92"/>
      <c r="BN44" s="108"/>
      <c r="BO44" s="94"/>
      <c r="BP44" s="95"/>
      <c r="BQ44" s="105"/>
      <c r="BR44" s="5101"/>
      <c r="BS44" s="920"/>
      <c r="BT44" s="1495"/>
      <c r="BU44" s="101"/>
      <c r="BV44" s="1475"/>
      <c r="BX44" s="104"/>
      <c r="BY44" s="32"/>
      <c r="BZ44" s="33"/>
      <c r="CA44" s="32"/>
      <c r="CB44" s="34"/>
      <c r="CC44" s="92"/>
      <c r="CD44" s="108"/>
      <c r="CE44" s="94"/>
      <c r="CF44" s="95"/>
      <c r="CG44" s="105"/>
      <c r="CH44" s="5101"/>
      <c r="CI44" s="920"/>
      <c r="CJ44" s="1495"/>
      <c r="CK44" s="101"/>
      <c r="CL44" s="1475"/>
      <c r="CN44" s="104"/>
      <c r="CO44" s="32"/>
      <c r="CP44" s="33"/>
      <c r="CQ44" s="32"/>
      <c r="CR44" s="34"/>
      <c r="CS44" s="92"/>
      <c r="CT44" s="108"/>
      <c r="CU44" s="94"/>
      <c r="CV44" s="95"/>
      <c r="CW44" s="105"/>
      <c r="CX44" s="5101"/>
      <c r="CY44" s="920"/>
      <c r="CZ44" s="1495"/>
      <c r="DA44" s="101"/>
      <c r="DB44" s="1475"/>
      <c r="DC44" s="5109"/>
      <c r="DD44" s="5089"/>
      <c r="DF44" s="3">
        <v>1</v>
      </c>
    </row>
    <row r="45" spans="2:110" ht="21" customHeight="1">
      <c r="B45" s="952" t="str">
        <f t="shared" si="10"/>
        <v>►</v>
      </c>
      <c r="C45" s="993" cm="1">
        <f t="array" ref="C45">SUMPRODUCT(LEN(D45:J45))</f>
        <v>0</v>
      </c>
      <c r="D45" s="167"/>
      <c r="E45" s="172"/>
      <c r="F45" s="172"/>
      <c r="G45" s="172"/>
      <c r="H45" s="172"/>
      <c r="I45" s="172"/>
      <c r="J45" s="173"/>
      <c r="K45" s="442"/>
      <c r="L45" s="104" t="s">
        <v>16</v>
      </c>
      <c r="M45" s="157" t="str">
        <f>M14</f>
        <v>C Coquetiers de l'Antoine | | Auteur &gt; Guy KRENZE - Eric GODDYN - Arnaud NICOLAS - CEPROC 2002</v>
      </c>
      <c r="N45" s="157">
        <f>N14</f>
        <v>20</v>
      </c>
      <c r="O45" s="158" t="str">
        <f>O14</f>
        <v>coquetiers de 25 g</v>
      </c>
      <c r="P45" s="159" t="str">
        <f>P14</f>
        <v>Recette mère ► le Boudin en 4 déclinaisons</v>
      </c>
      <c r="Q45" s="172" t="s">
        <v>12841</v>
      </c>
      <c r="R45" s="172"/>
      <c r="S45" s="172"/>
      <c r="T45" s="172"/>
      <c r="U45" s="172"/>
      <c r="V45" s="172"/>
      <c r="W45" s="172"/>
      <c r="X45" s="172"/>
      <c r="Y45" s="176" t="s">
        <v>183</v>
      </c>
      <c r="Z45" s="177">
        <f>Z42+Z43+Z44</f>
        <v>0.11458333333333333</v>
      </c>
      <c r="AA45" s="555"/>
      <c r="AB45" s="104" t="s">
        <v>16</v>
      </c>
      <c r="AC45" s="157" t="str">
        <f>AC14</f>
        <v>C Coquetiers de l'Antoine | |  Author &gt; Guy KRENZE - Eric GODDYN - Arnaud NICOLAS - CEPROC 2002</v>
      </c>
      <c r="AD45" s="157">
        <f>AD14</f>
        <v>20</v>
      </c>
      <c r="AE45" s="158" t="str">
        <f>AE14</f>
        <v>egg cups of 25 g</v>
      </c>
      <c r="AF45" s="159" t="str">
        <f>AF14</f>
        <v>Master recipe ► Black pudding in 4 variations</v>
      </c>
      <c r="AG45" s="172" t="s">
        <v>12909</v>
      </c>
      <c r="AH45" s="172"/>
      <c r="AI45" s="172"/>
      <c r="AJ45" s="172"/>
      <c r="AK45" s="172"/>
      <c r="AL45" s="172"/>
      <c r="AM45" s="172"/>
      <c r="AN45" s="172"/>
      <c r="AO45" s="176" t="s">
        <v>183</v>
      </c>
      <c r="AP45" s="177">
        <f>AP42+AP43+AP44</f>
        <v>0.11458333333333333</v>
      </c>
      <c r="AR45" s="104" t="s">
        <v>16</v>
      </c>
      <c r="AS45" s="157" t="str">
        <f>AS14</f>
        <v>C Coquetiers de l'Antoine | | Autor &gt; Guy KRENZE - Eric GODDYN - Arnaud NICOLAS - CEPROC 2002</v>
      </c>
      <c r="AT45" s="157">
        <f>AT14</f>
        <v>18</v>
      </c>
      <c r="AU45" s="158" t="str">
        <f>AU14</f>
        <v>hueveras de 25 g</v>
      </c>
      <c r="AV45" s="159" t="str">
        <f>AV14</f>
        <v>Receta madre ► Morcilla en 4 versiones</v>
      </c>
      <c r="AW45" s="172" t="s">
        <v>12908</v>
      </c>
      <c r="AX45" s="172"/>
      <c r="AY45" s="172"/>
      <c r="AZ45" s="172"/>
      <c r="BA45" s="172"/>
      <c r="BB45" s="172"/>
      <c r="BC45" s="172"/>
      <c r="BD45" s="172"/>
      <c r="BE45" s="176" t="s">
        <v>183</v>
      </c>
      <c r="BF45" s="177">
        <f>BF42+BF43+BF44</f>
        <v>0.11458333333333333</v>
      </c>
      <c r="BH45" s="104"/>
      <c r="BI45" s="32"/>
      <c r="BJ45" s="33"/>
      <c r="BK45" s="32"/>
      <c r="BL45" s="34"/>
      <c r="BM45" s="92"/>
      <c r="BN45" s="108"/>
      <c r="BO45" s="94"/>
      <c r="BP45" s="95"/>
      <c r="BQ45" s="105"/>
      <c r="BR45" s="5101"/>
      <c r="BS45" s="920"/>
      <c r="BT45" s="1495"/>
      <c r="BU45" s="101"/>
      <c r="BV45" s="1475"/>
      <c r="BX45" s="104"/>
      <c r="BY45" s="32"/>
      <c r="BZ45" s="33"/>
      <c r="CA45" s="32"/>
      <c r="CB45" s="34"/>
      <c r="CC45" s="92"/>
      <c r="CD45" s="108"/>
      <c r="CE45" s="94"/>
      <c r="CF45" s="95"/>
      <c r="CG45" s="105"/>
      <c r="CH45" s="5101"/>
      <c r="CI45" s="920"/>
      <c r="CJ45" s="1495"/>
      <c r="CK45" s="101"/>
      <c r="CL45" s="1475"/>
      <c r="CN45" s="104"/>
      <c r="CO45" s="32"/>
      <c r="CP45" s="33"/>
      <c r="CQ45" s="32"/>
      <c r="CR45" s="34"/>
      <c r="CS45" s="92"/>
      <c r="CT45" s="108"/>
      <c r="CU45" s="94"/>
      <c r="CV45" s="95"/>
      <c r="CW45" s="105"/>
      <c r="CX45" s="5101"/>
      <c r="CY45" s="920"/>
      <c r="CZ45" s="1495"/>
      <c r="DA45" s="101"/>
      <c r="DB45" s="1475"/>
      <c r="DC45" s="5109"/>
      <c r="DD45" s="5086"/>
      <c r="DF45" s="3">
        <v>1</v>
      </c>
    </row>
    <row r="46" spans="2:110" ht="21" customHeight="1">
      <c r="B46" s="952" t="str">
        <f t="shared" si="10"/>
        <v>A</v>
      </c>
      <c r="C46" s="993" cm="1">
        <f t="array" ref="C46">SUMPRODUCT(LEN(D46:J46))</f>
        <v>0</v>
      </c>
      <c r="D46" s="167"/>
      <c r="E46" s="172"/>
      <c r="F46" s="172"/>
      <c r="G46" s="172"/>
      <c r="H46" s="172"/>
      <c r="I46" s="172"/>
      <c r="J46" s="173"/>
      <c r="K46" s="442"/>
      <c r="L46" s="104" t="str">
        <f t="shared" ref="L46:L50" si="19">IF(OR(Q46&lt;&gt;"",R46&lt;&gt; "",S46&lt;&gt;"",T46&lt;&gt;""),"A", "►")</f>
        <v>A</v>
      </c>
      <c r="M46" s="157" t="str">
        <f>M14</f>
        <v>C Coquetiers de l'Antoine | | Auteur &gt; Guy KRENZE - Eric GODDYN - Arnaud NICOLAS - CEPROC 2002</v>
      </c>
      <c r="N46" s="157">
        <f>N14</f>
        <v>20</v>
      </c>
      <c r="O46" s="158" t="str">
        <f>O14</f>
        <v>coquetiers de 25 g</v>
      </c>
      <c r="P46" s="159" t="str">
        <f>P14</f>
        <v>Recette mère ► le Boudin en 4 déclinaisons</v>
      </c>
      <c r="Q46" s="172" t="s">
        <v>12842</v>
      </c>
      <c r="R46" s="172"/>
      <c r="S46" s="172"/>
      <c r="T46" s="172"/>
      <c r="U46" s="172"/>
      <c r="V46" s="172"/>
      <c r="W46" s="172"/>
      <c r="X46" s="172"/>
      <c r="Y46" s="172"/>
      <c r="Z46" s="555"/>
      <c r="AA46" s="555"/>
      <c r="AB46" s="104" t="str">
        <f t="shared" ref="AB46:AB50" si="20">IF(OR(AG46&lt;&gt;"",AH46&lt;&gt; "",AI46&lt;&gt;"",AJ46&lt;&gt;""),"A", "►")</f>
        <v>A</v>
      </c>
      <c r="AC46" s="157" t="str">
        <f>AC14</f>
        <v>C Coquetiers de l'Antoine | |  Author &gt; Guy KRENZE - Eric GODDYN - Arnaud NICOLAS - CEPROC 2002</v>
      </c>
      <c r="AD46" s="157">
        <f>AD14</f>
        <v>20</v>
      </c>
      <c r="AE46" s="158" t="str">
        <f>AE14</f>
        <v>egg cups of 25 g</v>
      </c>
      <c r="AF46" s="159" t="str">
        <f>AF14</f>
        <v>Master recipe ► Black pudding in 4 variations</v>
      </c>
      <c r="AG46" s="172" t="s">
        <v>12912</v>
      </c>
      <c r="AH46" s="172"/>
      <c r="AI46" s="172"/>
      <c r="AJ46" s="172"/>
      <c r="AK46" s="172"/>
      <c r="AL46" s="172"/>
      <c r="AM46" s="172"/>
      <c r="AN46" s="172"/>
      <c r="AO46" s="172"/>
      <c r="AP46" s="555"/>
      <c r="AR46" s="104" t="str">
        <f t="shared" ref="AR46:AR50" si="21">IF(OR(AW46&lt;&gt;"",AX46&lt;&gt; "",AY46&lt;&gt;"",AZ46&lt;&gt;""),"A", "►")</f>
        <v>A</v>
      </c>
      <c r="AS46" s="157" t="str">
        <f>AS14</f>
        <v>C Coquetiers de l'Antoine | | Autor &gt; Guy KRENZE - Eric GODDYN - Arnaud NICOLAS - CEPROC 2002</v>
      </c>
      <c r="AT46" s="157">
        <f>AT14</f>
        <v>18</v>
      </c>
      <c r="AU46" s="158" t="str">
        <f>AU14</f>
        <v>hueveras de 25 g</v>
      </c>
      <c r="AV46" s="159" t="str">
        <f>AV14</f>
        <v>Receta madre ► Morcilla en 4 versiones</v>
      </c>
      <c r="AW46" s="172" t="s">
        <v>12910</v>
      </c>
      <c r="AX46" s="172"/>
      <c r="AY46" s="172"/>
      <c r="AZ46" s="172"/>
      <c r="BA46" s="172"/>
      <c r="BB46" s="172"/>
      <c r="BC46" s="172"/>
      <c r="BD46" s="172"/>
      <c r="BE46" s="172"/>
      <c r="BF46" s="555"/>
      <c r="BH46" s="104"/>
      <c r="BI46" s="32"/>
      <c r="BJ46" s="33"/>
      <c r="BK46" s="32"/>
      <c r="BL46" s="34"/>
      <c r="BM46" s="92"/>
      <c r="BN46" s="108"/>
      <c r="BO46" s="94"/>
      <c r="BP46" s="95"/>
      <c r="BQ46" s="105"/>
      <c r="BR46" s="5101"/>
      <c r="BS46" s="920"/>
      <c r="BT46" s="1495"/>
      <c r="BU46" s="101"/>
      <c r="BV46" s="1475"/>
      <c r="BX46" s="104"/>
      <c r="BY46" s="32"/>
      <c r="BZ46" s="33"/>
      <c r="CA46" s="32"/>
      <c r="CB46" s="34"/>
      <c r="CC46" s="92"/>
      <c r="CD46" s="108"/>
      <c r="CE46" s="94"/>
      <c r="CF46" s="95"/>
      <c r="CG46" s="105"/>
      <c r="CH46" s="5101"/>
      <c r="CI46" s="920"/>
      <c r="CJ46" s="1495"/>
      <c r="CK46" s="101"/>
      <c r="CL46" s="1475"/>
      <c r="CN46" s="104"/>
      <c r="CO46" s="32"/>
      <c r="CP46" s="33"/>
      <c r="CQ46" s="32"/>
      <c r="CR46" s="34"/>
      <c r="CS46" s="92"/>
      <c r="CT46" s="108"/>
      <c r="CU46" s="94"/>
      <c r="CV46" s="95"/>
      <c r="CW46" s="105"/>
      <c r="CX46" s="5101"/>
      <c r="CY46" s="920"/>
      <c r="CZ46" s="1495"/>
      <c r="DA46" s="101"/>
      <c r="DB46" s="1475"/>
      <c r="DC46" s="5109"/>
      <c r="DD46" s="5086"/>
      <c r="DF46" s="3">
        <v>1</v>
      </c>
    </row>
    <row r="47" spans="2:110" ht="21" customHeight="1">
      <c r="B47" s="952" t="str">
        <f t="shared" si="10"/>
        <v>A</v>
      </c>
      <c r="C47" s="993" cm="1">
        <f t="array" ref="C47">SUMPRODUCT(LEN(D47:J47))</f>
        <v>0</v>
      </c>
      <c r="D47" s="167"/>
      <c r="E47" s="172"/>
      <c r="F47" s="172"/>
      <c r="G47" s="172"/>
      <c r="H47" s="172"/>
      <c r="I47" s="172"/>
      <c r="J47" s="173"/>
      <c r="K47" s="442"/>
      <c r="L47" s="104" t="str">
        <f t="shared" si="19"/>
        <v>A</v>
      </c>
      <c r="M47" s="157" t="str">
        <f>M14</f>
        <v>C Coquetiers de l'Antoine | | Auteur &gt; Guy KRENZE - Eric GODDYN - Arnaud NICOLAS - CEPROC 2002</v>
      </c>
      <c r="N47" s="157">
        <f>N14</f>
        <v>20</v>
      </c>
      <c r="O47" s="158" t="str">
        <f>O14</f>
        <v>coquetiers de 25 g</v>
      </c>
      <c r="P47" s="159" t="str">
        <f>P14</f>
        <v>Recette mère ► le Boudin en 4 déclinaisons</v>
      </c>
      <c r="Q47" s="172" t="s">
        <v>12843</v>
      </c>
      <c r="R47" s="172"/>
      <c r="S47" s="172"/>
      <c r="T47" s="172"/>
      <c r="U47" s="172"/>
      <c r="V47" s="172"/>
      <c r="W47" s="172"/>
      <c r="X47" s="172"/>
      <c r="Y47" s="172"/>
      <c r="Z47" s="555"/>
      <c r="AA47" s="555"/>
      <c r="AB47" s="104" t="str">
        <f t="shared" si="20"/>
        <v>A</v>
      </c>
      <c r="AC47" s="157" t="str">
        <f>AC14</f>
        <v>C Coquetiers de l'Antoine | |  Author &gt; Guy KRENZE - Eric GODDYN - Arnaud NICOLAS - CEPROC 2002</v>
      </c>
      <c r="AD47" s="157">
        <f>AD14</f>
        <v>20</v>
      </c>
      <c r="AE47" s="158" t="str">
        <f>AE14</f>
        <v>egg cups of 25 g</v>
      </c>
      <c r="AF47" s="159" t="str">
        <f>AF14</f>
        <v>Master recipe ► Black pudding in 4 variations</v>
      </c>
      <c r="AG47" s="172" t="s">
        <v>12915</v>
      </c>
      <c r="AH47" s="172"/>
      <c r="AI47" s="172"/>
      <c r="AJ47" s="172"/>
      <c r="AK47" s="172"/>
      <c r="AL47" s="172"/>
      <c r="AM47" s="172"/>
      <c r="AN47" s="172"/>
      <c r="AO47" s="172"/>
      <c r="AP47" s="555"/>
      <c r="AR47" s="104" t="str">
        <f t="shared" si="21"/>
        <v>A</v>
      </c>
      <c r="AS47" s="157" t="str">
        <f>AS14</f>
        <v>C Coquetiers de l'Antoine | | Autor &gt; Guy KRENZE - Eric GODDYN - Arnaud NICOLAS - CEPROC 2002</v>
      </c>
      <c r="AT47" s="157">
        <f>AT14</f>
        <v>18</v>
      </c>
      <c r="AU47" s="158" t="str">
        <f>AU14</f>
        <v>hueveras de 25 g</v>
      </c>
      <c r="AV47" s="159" t="str">
        <f>AV14</f>
        <v>Receta madre ► Morcilla en 4 versiones</v>
      </c>
      <c r="AW47" s="172" t="s">
        <v>12913</v>
      </c>
      <c r="AX47" s="172"/>
      <c r="AY47" s="172"/>
      <c r="AZ47" s="172"/>
      <c r="BA47" s="172"/>
      <c r="BB47" s="172"/>
      <c r="BC47" s="172"/>
      <c r="BD47" s="172"/>
      <c r="BE47" s="172"/>
      <c r="BF47" s="555"/>
      <c r="BH47" s="104"/>
      <c r="BI47" s="32"/>
      <c r="BJ47" s="33"/>
      <c r="BK47" s="32"/>
      <c r="BL47" s="34"/>
      <c r="BM47" s="92"/>
      <c r="BN47" s="108"/>
      <c r="BO47" s="94"/>
      <c r="BP47" s="95"/>
      <c r="BQ47" s="105"/>
      <c r="BR47" s="5101"/>
      <c r="BS47" s="920"/>
      <c r="BT47" s="1495"/>
      <c r="BU47" s="101"/>
      <c r="BV47" s="1475"/>
      <c r="BX47" s="104"/>
      <c r="BY47" s="32"/>
      <c r="BZ47" s="33"/>
      <c r="CA47" s="32"/>
      <c r="CB47" s="34"/>
      <c r="CC47" s="92"/>
      <c r="CD47" s="108"/>
      <c r="CE47" s="94"/>
      <c r="CF47" s="95"/>
      <c r="CG47" s="105"/>
      <c r="CH47" s="5101"/>
      <c r="CI47" s="920"/>
      <c r="CJ47" s="1495"/>
      <c r="CK47" s="101"/>
      <c r="CL47" s="1475"/>
      <c r="CN47" s="104"/>
      <c r="CO47" s="32"/>
      <c r="CP47" s="33"/>
      <c r="CQ47" s="32"/>
      <c r="CR47" s="34"/>
      <c r="CS47" s="92"/>
      <c r="CT47" s="108"/>
      <c r="CU47" s="94"/>
      <c r="CV47" s="95"/>
      <c r="CW47" s="105"/>
      <c r="CX47" s="5101"/>
      <c r="CY47" s="920"/>
      <c r="CZ47" s="1495"/>
      <c r="DA47" s="101"/>
      <c r="DB47" s="1475"/>
      <c r="DC47" s="5109"/>
      <c r="DD47" s="5086"/>
      <c r="DF47" s="3">
        <v>1</v>
      </c>
    </row>
    <row r="48" spans="2:110" ht="21" customHeight="1">
      <c r="B48" s="952" t="str">
        <f t="shared" si="10"/>
        <v>A</v>
      </c>
      <c r="C48" s="993" cm="1">
        <f t="array" ref="C48">SUMPRODUCT(LEN(D48:J48))</f>
        <v>0</v>
      </c>
      <c r="D48" s="167"/>
      <c r="E48" s="172"/>
      <c r="F48" s="172"/>
      <c r="G48" s="172"/>
      <c r="H48" s="172"/>
      <c r="I48" s="172"/>
      <c r="J48" s="173"/>
      <c r="K48" s="442"/>
      <c r="L48" s="104" t="str">
        <f t="shared" si="19"/>
        <v>A</v>
      </c>
      <c r="M48" s="157" t="str">
        <f>M14</f>
        <v>C Coquetiers de l'Antoine | | Auteur &gt; Guy KRENZE - Eric GODDYN - Arnaud NICOLAS - CEPROC 2002</v>
      </c>
      <c r="N48" s="157">
        <f>N14</f>
        <v>20</v>
      </c>
      <c r="O48" s="158" t="str">
        <f>O14</f>
        <v>coquetiers de 25 g</v>
      </c>
      <c r="P48" s="159" t="str">
        <f>P14</f>
        <v>Recette mère ► le Boudin en 4 déclinaisons</v>
      </c>
      <c r="Q48" s="172" t="s">
        <v>12844</v>
      </c>
      <c r="R48" s="172"/>
      <c r="S48" s="172"/>
      <c r="T48" s="172"/>
      <c r="U48" s="172"/>
      <c r="V48" s="172"/>
      <c r="W48" s="172"/>
      <c r="X48" s="172"/>
      <c r="Y48" s="172"/>
      <c r="Z48" s="555"/>
      <c r="AA48" s="555"/>
      <c r="AB48" s="104" t="str">
        <f t="shared" si="20"/>
        <v>A</v>
      </c>
      <c r="AC48" s="157" t="str">
        <f>AC14</f>
        <v>C Coquetiers de l'Antoine | |  Author &gt; Guy KRENZE - Eric GODDYN - Arnaud NICOLAS - CEPROC 2002</v>
      </c>
      <c r="AD48" s="157">
        <f>AD14</f>
        <v>20</v>
      </c>
      <c r="AE48" s="158" t="str">
        <f>AE14</f>
        <v>egg cups of 25 g</v>
      </c>
      <c r="AF48" s="159" t="str">
        <f>AF14</f>
        <v>Master recipe ► Black pudding in 4 variations</v>
      </c>
      <c r="AG48" s="172" t="s">
        <v>12917</v>
      </c>
      <c r="AH48" s="172"/>
      <c r="AI48" s="172"/>
      <c r="AJ48" s="172"/>
      <c r="AK48" s="172"/>
      <c r="AL48" s="172"/>
      <c r="AM48" s="172"/>
      <c r="AN48" s="172"/>
      <c r="AO48" s="172"/>
      <c r="AP48" s="555"/>
      <c r="AR48" s="104" t="str">
        <f t="shared" si="21"/>
        <v>A</v>
      </c>
      <c r="AS48" s="157" t="str">
        <f>AS14</f>
        <v>C Coquetiers de l'Antoine | | Autor &gt; Guy KRENZE - Eric GODDYN - Arnaud NICOLAS - CEPROC 2002</v>
      </c>
      <c r="AT48" s="157">
        <f>AT14</f>
        <v>18</v>
      </c>
      <c r="AU48" s="158" t="str">
        <f>AU14</f>
        <v>hueveras de 25 g</v>
      </c>
      <c r="AV48" s="159" t="str">
        <f>AV14</f>
        <v>Receta madre ► Morcilla en 4 versiones</v>
      </c>
      <c r="AW48" s="172" t="s">
        <v>12916</v>
      </c>
      <c r="AX48" s="172"/>
      <c r="AY48" s="172"/>
      <c r="AZ48" s="172"/>
      <c r="BA48" s="172"/>
      <c r="BB48" s="172"/>
      <c r="BC48" s="172"/>
      <c r="BD48" s="172"/>
      <c r="BE48" s="172"/>
      <c r="BF48" s="555"/>
      <c r="BH48" s="104"/>
      <c r="BI48" s="32"/>
      <c r="BJ48" s="33"/>
      <c r="BK48" s="32"/>
      <c r="BL48" s="34"/>
      <c r="BM48" s="92"/>
      <c r="BN48" s="108"/>
      <c r="BO48" s="94"/>
      <c r="BP48" s="95"/>
      <c r="BQ48" s="105"/>
      <c r="BR48" s="5101"/>
      <c r="BS48" s="920"/>
      <c r="BT48" s="1495"/>
      <c r="BU48" s="101"/>
      <c r="BV48" s="1475"/>
      <c r="BX48" s="104"/>
      <c r="BY48" s="32"/>
      <c r="BZ48" s="33"/>
      <c r="CA48" s="32"/>
      <c r="CB48" s="34"/>
      <c r="CC48" s="92"/>
      <c r="CD48" s="108"/>
      <c r="CE48" s="94"/>
      <c r="CF48" s="95"/>
      <c r="CG48" s="105"/>
      <c r="CH48" s="5101"/>
      <c r="CI48" s="920"/>
      <c r="CJ48" s="1495"/>
      <c r="CK48" s="101"/>
      <c r="CL48" s="1475"/>
      <c r="CN48" s="104"/>
      <c r="CO48" s="32"/>
      <c r="CP48" s="33"/>
      <c r="CQ48" s="32"/>
      <c r="CR48" s="34"/>
      <c r="CS48" s="92"/>
      <c r="CT48" s="108"/>
      <c r="CU48" s="94"/>
      <c r="CV48" s="95"/>
      <c r="CW48" s="105"/>
      <c r="CX48" s="5101"/>
      <c r="CY48" s="920"/>
      <c r="CZ48" s="1495"/>
      <c r="DA48" s="101"/>
      <c r="DB48" s="1475"/>
      <c r="DC48" s="5109"/>
      <c r="DD48" s="5086"/>
      <c r="DF48" s="3">
        <v>1</v>
      </c>
    </row>
    <row r="49" spans="2:110" ht="21" customHeight="1">
      <c r="B49" s="952" t="str">
        <f t="shared" si="10"/>
        <v>A</v>
      </c>
      <c r="C49" s="993" cm="1">
        <f t="array" ref="C49">SUMPRODUCT(LEN(D49:J49))</f>
        <v>0</v>
      </c>
      <c r="D49" s="167"/>
      <c r="E49" s="172"/>
      <c r="F49" s="172"/>
      <c r="G49" s="172"/>
      <c r="H49" s="172"/>
      <c r="I49" s="172"/>
      <c r="J49" s="173"/>
      <c r="K49" s="442"/>
      <c r="L49" s="104" t="str">
        <f t="shared" si="19"/>
        <v>A</v>
      </c>
      <c r="M49" s="157" t="str">
        <f>M14</f>
        <v>C Coquetiers de l'Antoine | | Auteur &gt; Guy KRENZE - Eric GODDYN - Arnaud NICOLAS - CEPROC 2002</v>
      </c>
      <c r="N49" s="157">
        <f>N14</f>
        <v>20</v>
      </c>
      <c r="O49" s="158" t="str">
        <f>O14</f>
        <v>coquetiers de 25 g</v>
      </c>
      <c r="P49" s="159" t="str">
        <f>P14</f>
        <v>Recette mère ► le Boudin en 4 déclinaisons</v>
      </c>
      <c r="Q49" s="172" t="s">
        <v>12845</v>
      </c>
      <c r="R49" s="172"/>
      <c r="S49" s="172"/>
      <c r="T49" s="172"/>
      <c r="U49" s="172"/>
      <c r="V49" s="172"/>
      <c r="W49" s="172"/>
      <c r="X49" s="172"/>
      <c r="Y49" s="172"/>
      <c r="Z49" s="555"/>
      <c r="AA49" s="555"/>
      <c r="AB49" s="104" t="str">
        <f t="shared" si="20"/>
        <v>A</v>
      </c>
      <c r="AC49" s="157" t="str">
        <f>AC14</f>
        <v>C Coquetiers de l'Antoine | |  Author &gt; Guy KRENZE - Eric GODDYN - Arnaud NICOLAS - CEPROC 2002</v>
      </c>
      <c r="AD49" s="157">
        <f>AD14</f>
        <v>20</v>
      </c>
      <c r="AE49" s="158" t="str">
        <f>AE14</f>
        <v>egg cups of 25 g</v>
      </c>
      <c r="AF49" s="159" t="str">
        <f>AF14</f>
        <v>Master recipe ► Black pudding in 4 variations</v>
      </c>
      <c r="AG49" s="172" t="s">
        <v>12919</v>
      </c>
      <c r="AH49" s="172"/>
      <c r="AI49" s="172"/>
      <c r="AJ49" s="172"/>
      <c r="AK49" s="172"/>
      <c r="AL49" s="172"/>
      <c r="AM49" s="172"/>
      <c r="AN49" s="172"/>
      <c r="AO49" s="172"/>
      <c r="AP49" s="555"/>
      <c r="AR49" s="104" t="str">
        <f t="shared" si="21"/>
        <v>A</v>
      </c>
      <c r="AS49" s="157" t="str">
        <f>AS14</f>
        <v>C Coquetiers de l'Antoine | | Autor &gt; Guy KRENZE - Eric GODDYN - Arnaud NICOLAS - CEPROC 2002</v>
      </c>
      <c r="AT49" s="157">
        <f>AT14</f>
        <v>18</v>
      </c>
      <c r="AU49" s="158" t="str">
        <f>AU14</f>
        <v>hueveras de 25 g</v>
      </c>
      <c r="AV49" s="159" t="str">
        <f>AV14</f>
        <v>Receta madre ► Morcilla en 4 versiones</v>
      </c>
      <c r="AW49" s="172" t="s">
        <v>12918</v>
      </c>
      <c r="AX49" s="172"/>
      <c r="AY49" s="172"/>
      <c r="AZ49" s="172"/>
      <c r="BA49" s="172"/>
      <c r="BB49" s="172"/>
      <c r="BC49" s="172"/>
      <c r="BD49" s="172"/>
      <c r="BE49" s="172"/>
      <c r="BF49" s="555"/>
      <c r="BH49" s="104"/>
      <c r="BI49" s="32"/>
      <c r="BJ49" s="33"/>
      <c r="BK49" s="32"/>
      <c r="BL49" s="34"/>
      <c r="BM49" s="92"/>
      <c r="BN49" s="108"/>
      <c r="BO49" s="94"/>
      <c r="BP49" s="95"/>
      <c r="BQ49" s="105"/>
      <c r="BR49" s="5101"/>
      <c r="BS49" s="920"/>
      <c r="BT49" s="1495"/>
      <c r="BU49" s="101"/>
      <c r="BV49" s="1475"/>
      <c r="BX49" s="104"/>
      <c r="BY49" s="32"/>
      <c r="BZ49" s="33"/>
      <c r="CA49" s="32"/>
      <c r="CB49" s="34"/>
      <c r="CC49" s="92"/>
      <c r="CD49" s="108"/>
      <c r="CE49" s="94"/>
      <c r="CF49" s="95"/>
      <c r="CG49" s="105"/>
      <c r="CH49" s="5101"/>
      <c r="CI49" s="920"/>
      <c r="CJ49" s="1495"/>
      <c r="CK49" s="101"/>
      <c r="CL49" s="1475"/>
      <c r="CN49" s="104"/>
      <c r="CO49" s="32"/>
      <c r="CP49" s="33"/>
      <c r="CQ49" s="32"/>
      <c r="CR49" s="34"/>
      <c r="CS49" s="92"/>
      <c r="CT49" s="108"/>
      <c r="CU49" s="94"/>
      <c r="CV49" s="95"/>
      <c r="CW49" s="105"/>
      <c r="CX49" s="5101"/>
      <c r="CY49" s="920"/>
      <c r="CZ49" s="1495"/>
      <c r="DA49" s="101"/>
      <c r="DB49" s="1475"/>
      <c r="DC49" s="5109"/>
      <c r="DD49" s="5086"/>
      <c r="DF49" s="3">
        <v>1</v>
      </c>
    </row>
    <row r="50" spans="2:110" ht="21" customHeight="1">
      <c r="B50" s="952" t="str">
        <f t="shared" si="10"/>
        <v>A</v>
      </c>
      <c r="C50" s="993" cm="1">
        <f t="array" ref="C50">SUMPRODUCT(LEN(D50:J50))</f>
        <v>0</v>
      </c>
      <c r="D50" s="167"/>
      <c r="E50" s="172"/>
      <c r="F50" s="172"/>
      <c r="G50" s="172"/>
      <c r="H50" s="172"/>
      <c r="I50" s="172"/>
      <c r="J50" s="173"/>
      <c r="K50" s="442"/>
      <c r="L50" s="104" t="str">
        <f t="shared" si="19"/>
        <v>A</v>
      </c>
      <c r="M50" s="157" t="str">
        <f>M14</f>
        <v>C Coquetiers de l'Antoine | | Auteur &gt; Guy KRENZE - Eric GODDYN - Arnaud NICOLAS - CEPROC 2002</v>
      </c>
      <c r="N50" s="157">
        <f>N14</f>
        <v>20</v>
      </c>
      <c r="O50" s="158" t="str">
        <f>O14</f>
        <v>coquetiers de 25 g</v>
      </c>
      <c r="P50" s="159" t="str">
        <f>P14</f>
        <v>Recette mère ► le Boudin en 4 déclinaisons</v>
      </c>
      <c r="Q50" s="172" t="s">
        <v>12846</v>
      </c>
      <c r="R50" s="172"/>
      <c r="S50" s="172"/>
      <c r="T50" s="172"/>
      <c r="U50" s="172"/>
      <c r="V50" s="172"/>
      <c r="W50" s="172"/>
      <c r="X50" s="172"/>
      <c r="Y50" s="172"/>
      <c r="Z50" s="555"/>
      <c r="AA50" s="555"/>
      <c r="AB50" s="104" t="str">
        <f t="shared" si="20"/>
        <v>►</v>
      </c>
      <c r="AC50" s="157" t="str">
        <f>AC14</f>
        <v>C Coquetiers de l'Antoine | |  Author &gt; Guy KRENZE - Eric GODDYN - Arnaud NICOLAS - CEPROC 2002</v>
      </c>
      <c r="AD50" s="157">
        <f>AD14</f>
        <v>20</v>
      </c>
      <c r="AE50" s="158" t="str">
        <f>AE14</f>
        <v>egg cups of 25 g</v>
      </c>
      <c r="AF50" s="159" t="str">
        <f>AF14</f>
        <v>Master recipe ► Black pudding in 4 variations</v>
      </c>
      <c r="AG50" s="172"/>
      <c r="AH50" s="172"/>
      <c r="AI50" s="172"/>
      <c r="AJ50" s="172"/>
      <c r="AK50" s="172"/>
      <c r="AL50" s="172"/>
      <c r="AM50" s="172"/>
      <c r="AN50" s="172"/>
      <c r="AO50" s="172"/>
      <c r="AP50" s="555"/>
      <c r="AR50" s="104" t="str">
        <f t="shared" si="21"/>
        <v>A</v>
      </c>
      <c r="AS50" s="157" t="str">
        <f>AS14</f>
        <v>C Coquetiers de l'Antoine | | Autor &gt; Guy KRENZE - Eric GODDYN - Arnaud NICOLAS - CEPROC 2002</v>
      </c>
      <c r="AT50" s="157">
        <f>AT14</f>
        <v>18</v>
      </c>
      <c r="AU50" s="158" t="str">
        <f>AU14</f>
        <v>hueveras de 25 g</v>
      </c>
      <c r="AV50" s="159" t="str">
        <f>AV14</f>
        <v>Receta madre ► Morcilla en 4 versiones</v>
      </c>
      <c r="AW50" s="172" t="s">
        <v>12920</v>
      </c>
      <c r="AX50" s="172"/>
      <c r="AY50" s="172"/>
      <c r="AZ50" s="172"/>
      <c r="BA50" s="172"/>
      <c r="BB50" s="172"/>
      <c r="BC50" s="172"/>
      <c r="BD50" s="172"/>
      <c r="BE50" s="172"/>
      <c r="BF50" s="555"/>
      <c r="BH50" s="104"/>
      <c r="BI50" s="32"/>
      <c r="BJ50" s="33"/>
      <c r="BK50" s="32"/>
      <c r="BL50" s="34"/>
      <c r="BM50" s="92"/>
      <c r="BN50" s="108"/>
      <c r="BO50" s="94"/>
      <c r="BP50" s="95"/>
      <c r="BQ50" s="105"/>
      <c r="BR50" s="5101"/>
      <c r="BS50" s="920"/>
      <c r="BT50" s="1495"/>
      <c r="BU50" s="101"/>
      <c r="BV50" s="1475"/>
      <c r="BX50" s="104"/>
      <c r="BY50" s="32"/>
      <c r="BZ50" s="33"/>
      <c r="CA50" s="32"/>
      <c r="CB50" s="34"/>
      <c r="CC50" s="92"/>
      <c r="CD50" s="108"/>
      <c r="CE50" s="94"/>
      <c r="CF50" s="95"/>
      <c r="CG50" s="105"/>
      <c r="CH50" s="5101"/>
      <c r="CI50" s="920"/>
      <c r="CJ50" s="1495"/>
      <c r="CK50" s="101"/>
      <c r="CL50" s="1475"/>
      <c r="CN50" s="104"/>
      <c r="CO50" s="32"/>
      <c r="CP50" s="33"/>
      <c r="CQ50" s="32"/>
      <c r="CR50" s="34"/>
      <c r="CS50" s="92"/>
      <c r="CT50" s="108"/>
      <c r="CU50" s="94"/>
      <c r="CV50" s="95"/>
      <c r="CW50" s="105"/>
      <c r="CX50" s="5101"/>
      <c r="CY50" s="920"/>
      <c r="CZ50" s="1495"/>
      <c r="DA50" s="101"/>
      <c r="DB50" s="1475"/>
      <c r="DC50" s="5109"/>
      <c r="DD50" s="5086"/>
      <c r="DF50" s="3">
        <v>1</v>
      </c>
    </row>
    <row r="51" spans="2:110" ht="21" customHeight="1">
      <c r="B51" s="952" t="str">
        <f t="shared" si="10"/>
        <v>►</v>
      </c>
      <c r="C51" s="993" cm="1">
        <f t="array" ref="C51">SUMPRODUCT(LEN(D51:J51))</f>
        <v>0</v>
      </c>
      <c r="D51" s="167"/>
      <c r="E51" s="172"/>
      <c r="F51" s="172"/>
      <c r="G51" s="172"/>
      <c r="H51" s="172"/>
      <c r="I51" s="172"/>
      <c r="J51" s="173"/>
      <c r="K51" s="442"/>
      <c r="L51" s="196" t="s">
        <v>16</v>
      </c>
      <c r="M51" s="157" t="str">
        <f>M14</f>
        <v>C Coquetiers de l'Antoine | | Auteur &gt; Guy KRENZE - Eric GODDYN - Arnaud NICOLAS - CEPROC 2002</v>
      </c>
      <c r="N51" s="157">
        <f>N14</f>
        <v>20</v>
      </c>
      <c r="O51" s="158" t="str">
        <f>O14</f>
        <v>coquetiers de 25 g</v>
      </c>
      <c r="P51" s="159" t="str">
        <f>P14</f>
        <v>Recette mère ► le Boudin en 4 déclinaisons</v>
      </c>
      <c r="Q51" s="172" t="s">
        <v>12847</v>
      </c>
      <c r="R51" s="172"/>
      <c r="S51" s="172"/>
      <c r="T51" s="172"/>
      <c r="U51" s="172"/>
      <c r="V51" s="172"/>
      <c r="W51" s="172"/>
      <c r="X51" s="172"/>
      <c r="Y51" s="172"/>
      <c r="Z51" s="555"/>
      <c r="AA51" s="555"/>
      <c r="AB51" s="196" t="s">
        <v>16</v>
      </c>
      <c r="AC51" s="157" t="str">
        <f>AC14</f>
        <v>C Coquetiers de l'Antoine | |  Author &gt; Guy KRENZE - Eric GODDYN - Arnaud NICOLAS - CEPROC 2002</v>
      </c>
      <c r="AD51" s="157">
        <f>AD14</f>
        <v>20</v>
      </c>
      <c r="AE51" s="158" t="str">
        <f>AE14</f>
        <v>egg cups of 25 g</v>
      </c>
      <c r="AF51" s="159" t="str">
        <f>AF14</f>
        <v>Master recipe ► Black pudding in 4 variations</v>
      </c>
      <c r="AG51" s="172"/>
      <c r="AH51" s="172"/>
      <c r="AI51" s="172"/>
      <c r="AJ51" s="172"/>
      <c r="AK51" s="172"/>
      <c r="AL51" s="172"/>
      <c r="AM51" s="172"/>
      <c r="AN51" s="172"/>
      <c r="AO51" s="172"/>
      <c r="AP51" s="555"/>
      <c r="AR51" s="196" t="s">
        <v>16</v>
      </c>
      <c r="AS51" s="157" t="str">
        <f>AS14</f>
        <v>C Coquetiers de l'Antoine | | Autor &gt; Guy KRENZE - Eric GODDYN - Arnaud NICOLAS - CEPROC 2002</v>
      </c>
      <c r="AT51" s="157">
        <f>AT14</f>
        <v>18</v>
      </c>
      <c r="AU51" s="158" t="str">
        <f>AU14</f>
        <v>hueveras de 25 g</v>
      </c>
      <c r="AV51" s="159" t="str">
        <f>AV14</f>
        <v>Receta madre ► Morcilla en 4 versiones</v>
      </c>
      <c r="AW51" s="172"/>
      <c r="AX51" s="172"/>
      <c r="AY51" s="172"/>
      <c r="AZ51" s="172"/>
      <c r="BA51" s="172"/>
      <c r="BB51" s="172"/>
      <c r="BC51" s="172"/>
      <c r="BD51" s="172"/>
      <c r="BE51" s="172"/>
      <c r="BF51" s="555"/>
      <c r="BH51" s="104"/>
      <c r="BI51" s="32"/>
      <c r="BJ51" s="33"/>
      <c r="BK51" s="32"/>
      <c r="BL51" s="34"/>
      <c r="BM51" s="92"/>
      <c r="BN51" s="108"/>
      <c r="BO51" s="94"/>
      <c r="BP51" s="95"/>
      <c r="BQ51" s="105"/>
      <c r="BR51" s="5101"/>
      <c r="BS51" s="920"/>
      <c r="BT51" s="1495"/>
      <c r="BU51" s="101"/>
      <c r="BV51" s="1475"/>
      <c r="BX51" s="104"/>
      <c r="BY51" s="32"/>
      <c r="BZ51" s="33"/>
      <c r="CA51" s="32"/>
      <c r="CB51" s="34"/>
      <c r="CC51" s="92"/>
      <c r="CD51" s="108"/>
      <c r="CE51" s="94"/>
      <c r="CF51" s="95"/>
      <c r="CG51" s="105"/>
      <c r="CH51" s="5101"/>
      <c r="CI51" s="920"/>
      <c r="CJ51" s="1495"/>
      <c r="CK51" s="101"/>
      <c r="CL51" s="1475"/>
      <c r="CN51" s="104"/>
      <c r="CO51" s="32"/>
      <c r="CP51" s="33"/>
      <c r="CQ51" s="32"/>
      <c r="CR51" s="34"/>
      <c r="CS51" s="92"/>
      <c r="CT51" s="108"/>
      <c r="CU51" s="94"/>
      <c r="CV51" s="95"/>
      <c r="CW51" s="105"/>
      <c r="CX51" s="5101"/>
      <c r="CY51" s="920"/>
      <c r="CZ51" s="1495"/>
      <c r="DA51" s="101"/>
      <c r="DB51" s="1475"/>
      <c r="DC51" s="5109"/>
      <c r="DD51" s="5086"/>
      <c r="DF51" s="3">
        <v>1</v>
      </c>
    </row>
    <row r="52" spans="2:110" ht="21" customHeight="1">
      <c r="B52" s="952" t="str">
        <f t="shared" si="10"/>
        <v>A</v>
      </c>
      <c r="C52" s="993" cm="1">
        <f t="array" ref="C52">SUMPRODUCT(LEN(D52:J52))</f>
        <v>0</v>
      </c>
      <c r="D52" s="167"/>
      <c r="E52" s="172"/>
      <c r="F52" s="172"/>
      <c r="G52" s="172"/>
      <c r="H52" s="172"/>
      <c r="I52" s="172"/>
      <c r="J52" s="173"/>
      <c r="K52" s="442"/>
      <c r="L52" s="196" t="s">
        <v>11</v>
      </c>
      <c r="M52" s="157" t="str">
        <f>M14</f>
        <v>C Coquetiers de l'Antoine | | Auteur &gt; Guy KRENZE - Eric GODDYN - Arnaud NICOLAS - CEPROC 2002</v>
      </c>
      <c r="N52" s="157">
        <f>N14</f>
        <v>20</v>
      </c>
      <c r="O52" s="158" t="str">
        <f>O14</f>
        <v>coquetiers de 25 g</v>
      </c>
      <c r="P52" s="159" t="str">
        <f>P14</f>
        <v>Recette mère ► le Boudin en 4 déclinaisons</v>
      </c>
      <c r="Q52" s="172"/>
      <c r="R52" s="172"/>
      <c r="S52" s="172"/>
      <c r="T52" s="172"/>
      <c r="U52" s="172"/>
      <c r="V52" s="172"/>
      <c r="W52" s="172"/>
      <c r="X52" s="172"/>
      <c r="Y52" s="172"/>
      <c r="Z52" s="555"/>
      <c r="AA52" s="555"/>
      <c r="AB52" s="196" t="s">
        <v>11</v>
      </c>
      <c r="AC52" s="157" t="str">
        <f>AC14</f>
        <v>C Coquetiers de l'Antoine | |  Author &gt; Guy KRENZE - Eric GODDYN - Arnaud NICOLAS - CEPROC 2002</v>
      </c>
      <c r="AD52" s="157">
        <f>AD14</f>
        <v>20</v>
      </c>
      <c r="AE52" s="158" t="str">
        <f>AE14</f>
        <v>egg cups of 25 g</v>
      </c>
      <c r="AF52" s="159" t="str">
        <f>AF14</f>
        <v>Master recipe ► Black pudding in 4 variations</v>
      </c>
      <c r="AG52" s="172"/>
      <c r="AH52" s="172"/>
      <c r="AI52" s="172"/>
      <c r="AJ52" s="172"/>
      <c r="AK52" s="172"/>
      <c r="AL52" s="172"/>
      <c r="AM52" s="172"/>
      <c r="AN52" s="172"/>
      <c r="AO52" s="172"/>
      <c r="AP52" s="555"/>
      <c r="AR52" s="196" t="s">
        <v>11</v>
      </c>
      <c r="AS52" s="157" t="str">
        <f>AS14</f>
        <v>C Coquetiers de l'Antoine | | Autor &gt; Guy KRENZE - Eric GODDYN - Arnaud NICOLAS - CEPROC 2002</v>
      </c>
      <c r="AT52" s="157">
        <f>AT14</f>
        <v>18</v>
      </c>
      <c r="AU52" s="158" t="str">
        <f>AU14</f>
        <v>hueveras de 25 g</v>
      </c>
      <c r="AV52" s="159" t="str">
        <f>AV14</f>
        <v>Receta madre ► Morcilla en 4 versiones</v>
      </c>
      <c r="AW52" s="172"/>
      <c r="AX52" s="172"/>
      <c r="AY52" s="172"/>
      <c r="AZ52" s="172"/>
      <c r="BA52" s="172"/>
      <c r="BB52" s="172"/>
      <c r="BC52" s="172"/>
      <c r="BD52" s="172"/>
      <c r="BE52" s="172"/>
      <c r="BF52" s="555"/>
      <c r="BH52" s="104"/>
      <c r="BI52" s="32"/>
      <c r="BJ52" s="33"/>
      <c r="BK52" s="32"/>
      <c r="BL52" s="34"/>
      <c r="BM52" s="92"/>
      <c r="BN52" s="108"/>
      <c r="BO52" s="94"/>
      <c r="BP52" s="95"/>
      <c r="BQ52" s="105"/>
      <c r="BR52" s="5101"/>
      <c r="BS52" s="920"/>
      <c r="BT52" s="1495"/>
      <c r="BU52" s="101"/>
      <c r="BV52" s="1475"/>
      <c r="BX52" s="104"/>
      <c r="BY52" s="32"/>
      <c r="BZ52" s="33"/>
      <c r="CA52" s="32"/>
      <c r="CB52" s="34"/>
      <c r="CC52" s="92"/>
      <c r="CD52" s="108"/>
      <c r="CE52" s="94"/>
      <c r="CF52" s="95"/>
      <c r="CG52" s="105"/>
      <c r="CH52" s="5101"/>
      <c r="CI52" s="920"/>
      <c r="CJ52" s="1495"/>
      <c r="CK52" s="101"/>
      <c r="CL52" s="1475"/>
      <c r="CN52" s="104"/>
      <c r="CO52" s="32"/>
      <c r="CP52" s="33"/>
      <c r="CQ52" s="32"/>
      <c r="CR52" s="34"/>
      <c r="CS52" s="92"/>
      <c r="CT52" s="108"/>
      <c r="CU52" s="94"/>
      <c r="CV52" s="95"/>
      <c r="CW52" s="105"/>
      <c r="CX52" s="5101"/>
      <c r="CY52" s="920"/>
      <c r="CZ52" s="1495"/>
      <c r="DA52" s="101"/>
      <c r="DB52" s="1475"/>
      <c r="DC52" s="5109"/>
      <c r="DD52" s="5086"/>
      <c r="DF52" s="3">
        <v>1</v>
      </c>
    </row>
    <row r="53" spans="2:110" ht="21" customHeight="1">
      <c r="B53" s="952" t="str">
        <f t="shared" si="10"/>
        <v>A</v>
      </c>
      <c r="C53" s="993" cm="1">
        <f t="array" ref="C53">SUMPRODUCT(LEN(D53:J53))</f>
        <v>0</v>
      </c>
      <c r="D53" s="167"/>
      <c r="E53" s="172"/>
      <c r="F53" s="172"/>
      <c r="G53" s="172"/>
      <c r="H53" s="172"/>
      <c r="I53" s="172"/>
      <c r="J53" s="173"/>
      <c r="K53" s="442"/>
      <c r="L53" s="196" t="s">
        <v>11</v>
      </c>
      <c r="M53" s="157" t="str">
        <f>M14</f>
        <v>C Coquetiers de l'Antoine | | Auteur &gt; Guy KRENZE - Eric GODDYN - Arnaud NICOLAS - CEPROC 2002</v>
      </c>
      <c r="N53" s="157">
        <f>N14</f>
        <v>20</v>
      </c>
      <c r="O53" s="158" t="str">
        <f>O14</f>
        <v>coquetiers de 25 g</v>
      </c>
      <c r="P53" s="159" t="str">
        <f>P14</f>
        <v>Recette mère ► le Boudin en 4 déclinaisons</v>
      </c>
      <c r="Q53" s="172"/>
      <c r="R53" s="172"/>
      <c r="S53" s="172"/>
      <c r="T53" s="172"/>
      <c r="U53" s="172"/>
      <c r="V53" s="172"/>
      <c r="W53" s="172"/>
      <c r="X53" s="172"/>
      <c r="Y53" s="172"/>
      <c r="Z53" s="1486" t="s">
        <v>197</v>
      </c>
      <c r="AA53" s="555"/>
      <c r="AB53" s="196" t="s">
        <v>11</v>
      </c>
      <c r="AC53" s="157" t="str">
        <f>AC14</f>
        <v>C Coquetiers de l'Antoine | |  Author &gt; Guy KRENZE - Eric GODDYN - Arnaud NICOLAS - CEPROC 2002</v>
      </c>
      <c r="AD53" s="157">
        <f>AD14</f>
        <v>20</v>
      </c>
      <c r="AE53" s="158" t="str">
        <f>AE14</f>
        <v>egg cups of 25 g</v>
      </c>
      <c r="AF53" s="159" t="str">
        <f>AF14</f>
        <v>Master recipe ► Black pudding in 4 variations</v>
      </c>
      <c r="AG53" s="172"/>
      <c r="AH53" s="172"/>
      <c r="AI53" s="172"/>
      <c r="AJ53" s="172"/>
      <c r="AK53" s="172"/>
      <c r="AL53" s="172"/>
      <c r="AM53" s="172"/>
      <c r="AN53" s="172"/>
      <c r="AO53" s="172"/>
      <c r="AP53" s="1486" t="s">
        <v>899</v>
      </c>
      <c r="AR53" s="196" t="s">
        <v>11</v>
      </c>
      <c r="AS53" s="157" t="str">
        <f>AS14</f>
        <v>C Coquetiers de l'Antoine | | Autor &gt; Guy KRENZE - Eric GODDYN - Arnaud NICOLAS - CEPROC 2002</v>
      </c>
      <c r="AT53" s="157">
        <f>AT14</f>
        <v>18</v>
      </c>
      <c r="AU53" s="158" t="str">
        <f>AU14</f>
        <v>hueveras de 25 g</v>
      </c>
      <c r="AV53" s="159" t="str">
        <f>AV14</f>
        <v>Receta madre ► Morcilla en 4 versiones</v>
      </c>
      <c r="AW53" s="172"/>
      <c r="AX53" s="172"/>
      <c r="AY53" s="172"/>
      <c r="AZ53" s="172"/>
      <c r="BA53" s="172"/>
      <c r="BB53" s="172"/>
      <c r="BC53" s="172"/>
      <c r="BD53" s="172"/>
      <c r="BE53" s="172"/>
      <c r="BF53" s="1486" t="s">
        <v>913</v>
      </c>
      <c r="BH53" s="104"/>
      <c r="BI53" s="32"/>
      <c r="BJ53" s="33"/>
      <c r="BK53" s="32"/>
      <c r="BL53" s="34"/>
      <c r="BM53" s="92"/>
      <c r="BN53" s="108"/>
      <c r="BO53" s="94"/>
      <c r="BP53" s="95"/>
      <c r="BQ53" s="105"/>
      <c r="BR53" s="5101"/>
      <c r="BS53" s="920"/>
      <c r="BT53" s="1495"/>
      <c r="BU53" s="101"/>
      <c r="BV53" s="1475"/>
      <c r="BX53" s="104"/>
      <c r="BY53" s="32"/>
      <c r="BZ53" s="33"/>
      <c r="CA53" s="32"/>
      <c r="CB53" s="34"/>
      <c r="CC53" s="92"/>
      <c r="CD53" s="108"/>
      <c r="CE53" s="94"/>
      <c r="CF53" s="95"/>
      <c r="CG53" s="105"/>
      <c r="CH53" s="5101"/>
      <c r="CI53" s="920"/>
      <c r="CJ53" s="1495"/>
      <c r="CK53" s="101"/>
      <c r="CL53" s="1475"/>
      <c r="CN53" s="104"/>
      <c r="CO53" s="32"/>
      <c r="CP53" s="33"/>
      <c r="CQ53" s="32"/>
      <c r="CR53" s="34"/>
      <c r="CS53" s="92"/>
      <c r="CT53" s="108"/>
      <c r="CU53" s="94"/>
      <c r="CV53" s="95"/>
      <c r="CW53" s="105"/>
      <c r="CX53" s="5101"/>
      <c r="CY53" s="920"/>
      <c r="CZ53" s="1495"/>
      <c r="DA53" s="101"/>
      <c r="DB53" s="1475"/>
      <c r="DC53" s="5109"/>
      <c r="DD53" s="5086"/>
      <c r="DF53" s="3">
        <v>1</v>
      </c>
    </row>
    <row r="54" spans="2:110" ht="21" customHeight="1">
      <c r="B54" s="952" t="str">
        <f t="shared" si="10"/>
        <v>A</v>
      </c>
      <c r="C54" s="993" cm="1">
        <f t="array" ref="C54">SUMPRODUCT(LEN(D54:J54))</f>
        <v>0</v>
      </c>
      <c r="D54" s="167"/>
      <c r="E54" s="172"/>
      <c r="F54" s="172"/>
      <c r="G54" s="172"/>
      <c r="H54" s="172"/>
      <c r="I54" s="172"/>
      <c r="J54" s="173"/>
      <c r="K54" s="442"/>
      <c r="L54" s="196" t="s">
        <v>11</v>
      </c>
      <c r="M54" s="157" t="str">
        <f>M14</f>
        <v>C Coquetiers de l'Antoine | | Auteur &gt; Guy KRENZE - Eric GODDYN - Arnaud NICOLAS - CEPROC 2002</v>
      </c>
      <c r="N54" s="157">
        <f>N14</f>
        <v>20</v>
      </c>
      <c r="O54" s="158" t="str">
        <f>O14</f>
        <v>coquetiers de 25 g</v>
      </c>
      <c r="P54" s="159" t="str">
        <f>P14</f>
        <v>Recette mère ► le Boudin en 4 déclinaisons</v>
      </c>
      <c r="Q54" s="204"/>
      <c r="R54" s="204"/>
      <c r="S54" s="204" t="s">
        <v>201</v>
      </c>
      <c r="T54" s="205"/>
      <c r="U54" s="206"/>
      <c r="V54" s="206"/>
      <c r="W54" s="206"/>
      <c r="X54" s="206"/>
      <c r="Y54" s="206"/>
      <c r="Z54" s="567"/>
      <c r="AA54" s="555"/>
      <c r="AB54" s="196" t="s">
        <v>11</v>
      </c>
      <c r="AC54" s="157" t="str">
        <f>AC14</f>
        <v>C Coquetiers de l'Antoine | |  Author &gt; Guy KRENZE - Eric GODDYN - Arnaud NICOLAS - CEPROC 2002</v>
      </c>
      <c r="AD54" s="157">
        <f>AD14</f>
        <v>20</v>
      </c>
      <c r="AE54" s="158" t="str">
        <f>AE14</f>
        <v>egg cups of 25 g</v>
      </c>
      <c r="AF54" s="159" t="str">
        <f>AF14</f>
        <v>Master recipe ► Black pudding in 4 variations</v>
      </c>
      <c r="AG54" s="204"/>
      <c r="AH54" s="204"/>
      <c r="AI54" s="204" t="s">
        <v>661</v>
      </c>
      <c r="AJ54" s="205"/>
      <c r="AK54" s="206"/>
      <c r="AL54" s="206"/>
      <c r="AM54" s="206"/>
      <c r="AN54" s="206"/>
      <c r="AO54" s="206"/>
      <c r="AP54" s="567"/>
      <c r="AR54" s="196" t="s">
        <v>11</v>
      </c>
      <c r="AS54" s="157" t="str">
        <f>AS14</f>
        <v>C Coquetiers de l'Antoine | | Autor &gt; Guy KRENZE - Eric GODDYN - Arnaud NICOLAS - CEPROC 2002</v>
      </c>
      <c r="AT54" s="157">
        <f>AT14</f>
        <v>18</v>
      </c>
      <c r="AU54" s="158" t="str">
        <f>AU14</f>
        <v>hueveras de 25 g</v>
      </c>
      <c r="AV54" s="159" t="str">
        <f>AV14</f>
        <v>Receta madre ► Morcilla en 4 versiones</v>
      </c>
      <c r="AW54" s="204"/>
      <c r="AX54" s="204"/>
      <c r="AY54" s="204" t="s">
        <v>915</v>
      </c>
      <c r="AZ54" s="205"/>
      <c r="BA54" s="206"/>
      <c r="BB54" s="206"/>
      <c r="BC54" s="206"/>
      <c r="BD54" s="206"/>
      <c r="BE54" s="206"/>
      <c r="BF54" s="567"/>
      <c r="BH54" s="104"/>
      <c r="BI54" s="32"/>
      <c r="BJ54" s="33"/>
      <c r="BK54" s="32"/>
      <c r="BL54" s="34"/>
      <c r="BM54" s="92"/>
      <c r="BN54" s="108"/>
      <c r="BO54" s="94"/>
      <c r="BP54" s="95"/>
      <c r="BQ54" s="105"/>
      <c r="BR54" s="5101"/>
      <c r="BS54" s="920"/>
      <c r="BT54" s="1495"/>
      <c r="BU54" s="101"/>
      <c r="BV54" s="1475"/>
      <c r="BX54" s="104"/>
      <c r="BY54" s="32"/>
      <c r="BZ54" s="33"/>
      <c r="CA54" s="32"/>
      <c r="CB54" s="34"/>
      <c r="CC54" s="92"/>
      <c r="CD54" s="108"/>
      <c r="CE54" s="94"/>
      <c r="CF54" s="95"/>
      <c r="CG54" s="105"/>
      <c r="CH54" s="5101"/>
      <c r="CI54" s="920"/>
      <c r="CJ54" s="1495"/>
      <c r="CK54" s="101"/>
      <c r="CL54" s="1475"/>
      <c r="CN54" s="104"/>
      <c r="CO54" s="32"/>
      <c r="CP54" s="33"/>
      <c r="CQ54" s="32"/>
      <c r="CR54" s="34"/>
      <c r="CS54" s="92"/>
      <c r="CT54" s="108"/>
      <c r="CU54" s="94"/>
      <c r="CV54" s="95"/>
      <c r="CW54" s="105"/>
      <c r="CX54" s="5101"/>
      <c r="CY54" s="920"/>
      <c r="CZ54" s="1495"/>
      <c r="DA54" s="101"/>
      <c r="DB54" s="1475"/>
      <c r="DC54" s="5109"/>
      <c r="DD54" s="5086"/>
      <c r="DF54" s="3">
        <v>1</v>
      </c>
    </row>
    <row r="55" spans="2:110" ht="21" customHeight="1">
      <c r="B55" s="952" t="str">
        <f t="shared" si="10"/>
        <v>A</v>
      </c>
      <c r="C55" s="993" cm="1">
        <f t="array" ref="C55">SUMPRODUCT(LEN(D55:J55))</f>
        <v>0</v>
      </c>
      <c r="D55" s="167"/>
      <c r="E55" s="172"/>
      <c r="F55" s="172"/>
      <c r="G55" s="172"/>
      <c r="H55" s="172"/>
      <c r="I55" s="172"/>
      <c r="J55" s="173"/>
      <c r="K55" s="442"/>
      <c r="L55" s="196" t="s">
        <v>11</v>
      </c>
      <c r="M55" s="209" t="str">
        <f>M14</f>
        <v>C Coquetiers de l'Antoine | | Auteur &gt; Guy KRENZE - Eric GODDYN - Arnaud NICOLAS - CEPROC 2002</v>
      </c>
      <c r="N55" s="209">
        <f>N14</f>
        <v>20</v>
      </c>
      <c r="O55" s="210" t="str">
        <f>O14</f>
        <v>coquetiers de 25 g</v>
      </c>
      <c r="P55" s="211" t="str">
        <f>P14</f>
        <v>Recette mère ► le Boudin en 4 déclinaisons</v>
      </c>
      <c r="Q55" s="212"/>
      <c r="R55" s="213"/>
      <c r="S55" s="214"/>
      <c r="T55" s="215"/>
      <c r="U55" s="214"/>
      <c r="V55" s="214"/>
      <c r="W55" s="214"/>
      <c r="X55" s="214"/>
      <c r="Y55" s="214"/>
      <c r="Z55" s="582"/>
      <c r="AB55" s="196" t="s">
        <v>11</v>
      </c>
      <c r="AC55" s="209" t="str">
        <f>AC14</f>
        <v>C Coquetiers de l'Antoine | |  Author &gt; Guy KRENZE - Eric GODDYN - Arnaud NICOLAS - CEPROC 2002</v>
      </c>
      <c r="AD55" s="209">
        <f>AD14</f>
        <v>20</v>
      </c>
      <c r="AE55" s="210" t="str">
        <f>AE14</f>
        <v>egg cups of 25 g</v>
      </c>
      <c r="AF55" s="211" t="str">
        <f>AF14</f>
        <v>Master recipe ► Black pudding in 4 variations</v>
      </c>
      <c r="AG55" s="212"/>
      <c r="AH55" s="213"/>
      <c r="AI55" s="214"/>
      <c r="AJ55" s="215"/>
      <c r="AK55" s="214"/>
      <c r="AL55" s="214"/>
      <c r="AM55" s="214"/>
      <c r="AN55" s="214"/>
      <c r="AO55" s="214"/>
      <c r="AP55" s="582"/>
      <c r="AR55" s="196" t="s">
        <v>11</v>
      </c>
      <c r="AS55" s="209" t="str">
        <f>AS14</f>
        <v>C Coquetiers de l'Antoine | | Autor &gt; Guy KRENZE - Eric GODDYN - Arnaud NICOLAS - CEPROC 2002</v>
      </c>
      <c r="AT55" s="209">
        <f>AT14</f>
        <v>18</v>
      </c>
      <c r="AU55" s="210" t="str">
        <f>AU14</f>
        <v>hueveras de 25 g</v>
      </c>
      <c r="AV55" s="211" t="str">
        <f>AV14</f>
        <v>Receta madre ► Morcilla en 4 versiones</v>
      </c>
      <c r="AW55" s="212"/>
      <c r="AX55" s="213"/>
      <c r="AY55" s="214"/>
      <c r="AZ55" s="215"/>
      <c r="BA55" s="214"/>
      <c r="BB55" s="214"/>
      <c r="BC55" s="214"/>
      <c r="BD55" s="214"/>
      <c r="BE55" s="214"/>
      <c r="BF55" s="582"/>
      <c r="BH55" s="104"/>
      <c r="BI55" s="32"/>
      <c r="BJ55" s="33"/>
      <c r="BK55" s="32"/>
      <c r="BL55" s="34"/>
      <c r="BM55" s="92"/>
      <c r="BN55" s="108"/>
      <c r="BO55" s="94"/>
      <c r="BP55" s="95"/>
      <c r="BQ55" s="105"/>
      <c r="BR55" s="5101"/>
      <c r="BS55" s="920"/>
      <c r="BT55" s="1495"/>
      <c r="BU55" s="101"/>
      <c r="BV55" s="1475"/>
      <c r="BX55" s="104"/>
      <c r="BY55" s="32"/>
      <c r="BZ55" s="33"/>
      <c r="CA55" s="32"/>
      <c r="CB55" s="34"/>
      <c r="CC55" s="92"/>
      <c r="CD55" s="108"/>
      <c r="CE55" s="94"/>
      <c r="CF55" s="95"/>
      <c r="CG55" s="105"/>
      <c r="CH55" s="5101"/>
      <c r="CI55" s="920"/>
      <c r="CJ55" s="1495"/>
      <c r="CK55" s="101"/>
      <c r="CL55" s="1475"/>
      <c r="CN55" s="104"/>
      <c r="CO55" s="32"/>
      <c r="CP55" s="33"/>
      <c r="CQ55" s="32"/>
      <c r="CR55" s="34"/>
      <c r="CS55" s="92"/>
      <c r="CT55" s="108"/>
      <c r="CU55" s="94"/>
      <c r="CV55" s="95"/>
      <c r="CW55" s="105"/>
      <c r="CX55" s="5101"/>
      <c r="CY55" s="920"/>
      <c r="CZ55" s="1495"/>
      <c r="DA55" s="101"/>
      <c r="DB55" s="1475"/>
      <c r="DC55" s="5109"/>
      <c r="DD55" s="5086"/>
      <c r="DF55" s="3">
        <v>1</v>
      </c>
    </row>
    <row r="56" spans="2:110" ht="21" customHeight="1" thickBot="1">
      <c r="B56" s="952" t="str">
        <f t="shared" si="10"/>
        <v>A</v>
      </c>
      <c r="C56" s="993" cm="1">
        <f t="array" ref="C56">SUMPRODUCT(LEN(D56:J56))</f>
        <v>0</v>
      </c>
      <c r="D56" s="167"/>
      <c r="E56" s="172"/>
      <c r="F56" s="172"/>
      <c r="G56" s="172"/>
      <c r="H56" s="172"/>
      <c r="I56" s="172"/>
      <c r="J56" s="173"/>
      <c r="K56" s="442"/>
      <c r="L56" s="216" t="s">
        <v>11</v>
      </c>
      <c r="M56" s="217"/>
      <c r="N56" s="217"/>
      <c r="O56" s="217"/>
      <c r="P56" s="218"/>
      <c r="Q56" s="219" t="s">
        <v>208</v>
      </c>
      <c r="R56" s="1481" t="str">
        <f ca="1">CELL("nomfichier")</f>
        <v>D:\Données\1.UPRT\0-UPRT.fait\1-UPRT.FR-SITE-WEB\ff-fiches-fabrications\ff.fiches.fabrication.2023\ffr.restaurant.2023\[ff.FICHE.TRILINGUE.15.COLONNES.29.11.2025.xlsx]Notice.utilisateur</v>
      </c>
      <c r="S56" s="220"/>
      <c r="T56" s="220"/>
      <c r="U56" s="220"/>
      <c r="V56" s="220"/>
      <c r="W56" s="220"/>
      <c r="X56" s="220"/>
      <c r="Y56" s="220"/>
      <c r="Z56" s="221"/>
      <c r="AB56" s="216" t="s">
        <v>11</v>
      </c>
      <c r="AC56" s="217"/>
      <c r="AD56" s="217"/>
      <c r="AE56" s="217"/>
      <c r="AF56" s="218"/>
      <c r="AG56" s="219" t="s">
        <v>208</v>
      </c>
      <c r="AH56" s="1481" t="str">
        <f ca="1">CELL("nomfichier")</f>
        <v>D:\Données\1.UPRT\0-UPRT.fait\1-UPRT.FR-SITE-WEB\ff-fiches-fabrications\ff.fiches.fabrication.2023\ffr.restaurant.2023\[ff.FICHE.TRILINGUE.15.COLONNES.29.11.2025.xlsx]Notice.utilisateur</v>
      </c>
      <c r="AI56" s="220"/>
      <c r="AJ56" s="220"/>
      <c r="AK56" s="220"/>
      <c r="AL56" s="220"/>
      <c r="AM56" s="220"/>
      <c r="AN56" s="220"/>
      <c r="AO56" s="220"/>
      <c r="AP56" s="221"/>
      <c r="AR56" s="216" t="s">
        <v>11</v>
      </c>
      <c r="AS56" s="217"/>
      <c r="AT56" s="217"/>
      <c r="AU56" s="217"/>
      <c r="AV56" s="218"/>
      <c r="AW56" s="219" t="s">
        <v>208</v>
      </c>
      <c r="AX56" s="1481" t="str">
        <f ca="1">CELL("nomfichier")</f>
        <v>D:\Données\1.UPRT\0-UPRT.fait\1-UPRT.FR-SITE-WEB\ff-fiches-fabrications\ff.fiches.fabrication.2023\ffr.restaurant.2023\[ff.FICHE.TRILINGUE.15.COLONNES.29.11.2025.xlsx]Notice.utilisateur</v>
      </c>
      <c r="AY56" s="220"/>
      <c r="AZ56" s="220"/>
      <c r="BA56" s="220"/>
      <c r="BB56" s="220"/>
      <c r="BC56" s="220"/>
      <c r="BD56" s="220"/>
      <c r="BE56" s="220"/>
      <c r="BF56" s="221"/>
      <c r="BH56" s="104"/>
      <c r="BI56" s="32"/>
      <c r="BJ56" s="33"/>
      <c r="BK56" s="32"/>
      <c r="BL56" s="34"/>
      <c r="BM56" s="92"/>
      <c r="BN56" s="108"/>
      <c r="BO56" s="94"/>
      <c r="BP56" s="95"/>
      <c r="BQ56" s="105"/>
      <c r="BR56" s="5101"/>
      <c r="BS56" s="920"/>
      <c r="BT56" s="1495"/>
      <c r="BU56" s="101"/>
      <c r="BV56" s="1475"/>
      <c r="BX56" s="104"/>
      <c r="BY56" s="32"/>
      <c r="BZ56" s="33"/>
      <c r="CA56" s="32"/>
      <c r="CB56" s="34"/>
      <c r="CC56" s="92"/>
      <c r="CD56" s="108"/>
      <c r="CE56" s="94"/>
      <c r="CF56" s="95"/>
      <c r="CG56" s="105"/>
      <c r="CH56" s="5101"/>
      <c r="CI56" s="920"/>
      <c r="CJ56" s="1495"/>
      <c r="CK56" s="101"/>
      <c r="CL56" s="1475"/>
      <c r="CN56" s="104"/>
      <c r="CO56" s="32"/>
      <c r="CP56" s="33"/>
      <c r="CQ56" s="32"/>
      <c r="CR56" s="34"/>
      <c r="CS56" s="92"/>
      <c r="CT56" s="108"/>
      <c r="CU56" s="94"/>
      <c r="CV56" s="95"/>
      <c r="CW56" s="105"/>
      <c r="CX56" s="5101"/>
      <c r="CY56" s="920"/>
      <c r="CZ56" s="1495"/>
      <c r="DA56" s="101"/>
      <c r="DB56" s="1475"/>
      <c r="DC56" s="5109"/>
      <c r="DD56" s="5086"/>
      <c r="DF56" s="3">
        <v>1</v>
      </c>
    </row>
    <row r="57" spans="2:110" ht="21" customHeight="1" thickBot="1">
      <c r="B57" s="952" t="str">
        <f t="shared" si="10"/>
        <v>A</v>
      </c>
      <c r="C57" s="993" cm="1">
        <f t="array" ref="C57">SUMPRODUCT(LEN(D57:J57))</f>
        <v>0</v>
      </c>
      <c r="D57" s="167"/>
      <c r="E57" s="172"/>
      <c r="F57" s="172"/>
      <c r="G57" s="172"/>
      <c r="H57" s="172"/>
      <c r="I57" s="172"/>
      <c r="J57" s="173"/>
      <c r="K57" s="442"/>
      <c r="L57" s="5215" t="s">
        <v>11</v>
      </c>
      <c r="M57" s="5216" t="s">
        <v>11</v>
      </c>
      <c r="N57" s="5216" t="s">
        <v>11</v>
      </c>
      <c r="O57" s="5216" t="s">
        <v>11</v>
      </c>
      <c r="P57" s="5216" t="s">
        <v>11</v>
      </c>
      <c r="Q57" s="5217" t="s">
        <v>2613</v>
      </c>
      <c r="R57" s="5218"/>
      <c r="S57" s="5219"/>
      <c r="T57" s="5220"/>
      <c r="U57" s="5221"/>
      <c r="V57" s="5222"/>
      <c r="W57" s="5220"/>
      <c r="X57" s="5220"/>
      <c r="Y57" s="5220"/>
      <c r="Z57" s="5223" t="s">
        <v>1948</v>
      </c>
      <c r="AB57" s="5215" t="s">
        <v>11</v>
      </c>
      <c r="AC57" s="5216" t="s">
        <v>11</v>
      </c>
      <c r="AD57" s="5216" t="s">
        <v>11</v>
      </c>
      <c r="AE57" s="5216" t="s">
        <v>11</v>
      </c>
      <c r="AF57" s="5216" t="s">
        <v>11</v>
      </c>
      <c r="AG57" s="5217" t="s">
        <v>2613</v>
      </c>
      <c r="AH57" s="5218"/>
      <c r="AI57" s="5219"/>
      <c r="AJ57" s="5220"/>
      <c r="AK57" s="5221"/>
      <c r="AL57" s="5222"/>
      <c r="AM57" s="5220"/>
      <c r="AN57" s="5220"/>
      <c r="AO57" s="5220"/>
      <c r="AP57" s="5223" t="s">
        <v>1948</v>
      </c>
      <c r="AR57" s="5215" t="s">
        <v>11</v>
      </c>
      <c r="AS57" s="5216" t="s">
        <v>11</v>
      </c>
      <c r="AT57" s="5216" t="s">
        <v>11</v>
      </c>
      <c r="AU57" s="5216" t="s">
        <v>11</v>
      </c>
      <c r="AV57" s="5216" t="s">
        <v>11</v>
      </c>
      <c r="AW57" s="5217" t="s">
        <v>2613</v>
      </c>
      <c r="AX57" s="5218"/>
      <c r="AY57" s="5219"/>
      <c r="AZ57" s="5220"/>
      <c r="BA57" s="5221"/>
      <c r="BB57" s="5222"/>
      <c r="BC57" s="5220"/>
      <c r="BD57" s="5220"/>
      <c r="BE57" s="5220"/>
      <c r="BF57" s="5223" t="s">
        <v>1948</v>
      </c>
      <c r="BH57" s="104"/>
      <c r="BI57" s="32"/>
      <c r="BJ57" s="33"/>
      <c r="BK57" s="32"/>
      <c r="BL57" s="34"/>
      <c r="BM57" s="92"/>
      <c r="BN57" s="108"/>
      <c r="BO57" s="94"/>
      <c r="BP57" s="95"/>
      <c r="BQ57" s="105"/>
      <c r="BR57" s="5101"/>
      <c r="BS57" s="920"/>
      <c r="BT57" s="1495"/>
      <c r="BU57" s="101"/>
      <c r="BV57" s="1475"/>
      <c r="BX57" s="104"/>
      <c r="BY57" s="32"/>
      <c r="BZ57" s="33"/>
      <c r="CA57" s="32"/>
      <c r="CB57" s="34"/>
      <c r="CC57" s="92"/>
      <c r="CD57" s="108"/>
      <c r="CE57" s="94"/>
      <c r="CF57" s="95"/>
      <c r="CG57" s="105"/>
      <c r="CH57" s="5101"/>
      <c r="CI57" s="920"/>
      <c r="CJ57" s="1495"/>
      <c r="CK57" s="101"/>
      <c r="CL57" s="1475"/>
      <c r="CN57" s="104"/>
      <c r="CO57" s="32"/>
      <c r="CP57" s="33"/>
      <c r="CQ57" s="32"/>
      <c r="CR57" s="34"/>
      <c r="CS57" s="92"/>
      <c r="CT57" s="108"/>
      <c r="CU57" s="94"/>
      <c r="CV57" s="95"/>
      <c r="CW57" s="105"/>
      <c r="CX57" s="5101"/>
      <c r="CY57" s="920"/>
      <c r="CZ57" s="1495"/>
      <c r="DA57" s="101"/>
      <c r="DB57" s="1475"/>
      <c r="DC57" s="5109"/>
      <c r="DD57" s="5086"/>
      <c r="DF57" s="3">
        <v>1</v>
      </c>
    </row>
    <row r="58" spans="2:110" ht="21" customHeight="1">
      <c r="B58" s="952" t="str">
        <f t="shared" si="10"/>
        <v>A</v>
      </c>
      <c r="C58" s="993" cm="1">
        <f t="array" ref="C58">SUMPRODUCT(LEN(D58:J58))</f>
        <v>0</v>
      </c>
      <c r="D58" s="167"/>
      <c r="E58" s="172"/>
      <c r="F58" s="172"/>
      <c r="G58" s="172"/>
      <c r="H58" s="172"/>
      <c r="I58" s="172"/>
      <c r="J58" s="173"/>
      <c r="K58" s="442"/>
      <c r="L58" s="22" t="s">
        <v>11</v>
      </c>
      <c r="M58" s="23" t="str">
        <f>M64</f>
        <v>T TERRINE DE PIEDS DE PORC pour tranches | | Auteur &gt; Guy KRENZE - Eric GODDYN - Arnaud NICOLAS - CEPROC 2002</v>
      </c>
      <c r="N58" s="24">
        <f>N64</f>
        <v>1</v>
      </c>
      <c r="O58" s="24" t="str">
        <f>O64</f>
        <v xml:space="preserve">moule L 30 cm X l 9 cm X H 6 cm </v>
      </c>
      <c r="P58" s="25" t="str">
        <f>P64</f>
        <v>Recette mère ► le Boudin en 4 déclinaisons</v>
      </c>
      <c r="Q58" s="26" t="s">
        <v>23</v>
      </c>
      <c r="R58" s="5471" t="s">
        <v>13044</v>
      </c>
      <c r="S58" s="5471"/>
      <c r="T58" s="5471"/>
      <c r="U58" s="5471"/>
      <c r="V58" s="5471"/>
      <c r="W58" s="5471"/>
      <c r="X58" s="5473" t="s">
        <v>1031</v>
      </c>
      <c r="Y58" s="5473"/>
      <c r="Z58" s="5475" t="str">
        <f>UPPER(LEFT(R58,1))</f>
        <v>T</v>
      </c>
      <c r="AB58" s="22" t="s">
        <v>11</v>
      </c>
      <c r="AC58" s="23" t="str">
        <f>AC64</f>
        <v>T TERRINE OF PIG’S TROTTERS  for slices | |  Author &gt; Guy KRENZE - Eric GODDYN - Arnaud NICOLAS - CEPROC 2002</v>
      </c>
      <c r="AD58" s="24">
        <f>AD64</f>
        <v>1</v>
      </c>
      <c r="AE58" s="24" t="str">
        <f>AE64</f>
        <v>mold L 30 cm × W 9 cm × H 6 cm</v>
      </c>
      <c r="AF58" s="25" t="str">
        <f>AF64</f>
        <v>Master recipe ► Black pudding in 4 variations</v>
      </c>
      <c r="AG58" s="26" t="s">
        <v>23</v>
      </c>
      <c r="AH58" s="5471" t="s">
        <v>13043</v>
      </c>
      <c r="AI58" s="5471"/>
      <c r="AJ58" s="5471"/>
      <c r="AK58" s="5471"/>
      <c r="AL58" s="5471"/>
      <c r="AM58" s="5471"/>
      <c r="AN58" s="5473" t="s">
        <v>13134</v>
      </c>
      <c r="AO58" s="5473"/>
      <c r="AP58" s="5475" t="str">
        <f>UPPER(LEFT(AH58,1))</f>
        <v>T</v>
      </c>
      <c r="AR58" s="22" t="s">
        <v>11</v>
      </c>
      <c r="AS58" s="23" t="str">
        <f>AS64</f>
        <v>T TERRINAS DE MANITAS DE CERDO para rodaja  | | Autor &gt; Guy KRENZE - Eric GODDYN - Arnaud NICOLAS - CEPROC 2002</v>
      </c>
      <c r="AT58" s="24">
        <f>AT64</f>
        <v>1</v>
      </c>
      <c r="AU58" s="24" t="str">
        <f>AU64</f>
        <v>molde L 30 cm × A 9 cm × H 6 cm</v>
      </c>
      <c r="AV58" s="25" t="str">
        <f>AV64</f>
        <v>Receta madre ► Morcilla en 4 versiones</v>
      </c>
      <c r="AW58" s="26" t="s">
        <v>23</v>
      </c>
      <c r="AX58" s="5471" t="s">
        <v>13042</v>
      </c>
      <c r="AY58" s="5471"/>
      <c r="AZ58" s="5471"/>
      <c r="BA58" s="5471"/>
      <c r="BB58" s="5471"/>
      <c r="BC58" s="5471"/>
      <c r="BD58" s="5473" t="s">
        <v>13135</v>
      </c>
      <c r="BE58" s="5473"/>
      <c r="BF58" s="5475" t="str">
        <f>UPPER(LEFT(AX58,1))</f>
        <v>T</v>
      </c>
      <c r="BH58" s="104"/>
      <c r="BI58" s="32"/>
      <c r="BJ58" s="33"/>
      <c r="BK58" s="32"/>
      <c r="BL58" s="34"/>
      <c r="BM58" s="92"/>
      <c r="BN58" s="108"/>
      <c r="BO58" s="94"/>
      <c r="BP58" s="95"/>
      <c r="BQ58" s="105"/>
      <c r="BR58" s="5101"/>
      <c r="BS58" s="920"/>
      <c r="BT58" s="1495"/>
      <c r="BU58" s="101"/>
      <c r="BV58" s="1475"/>
      <c r="BX58" s="104"/>
      <c r="BY58" s="32"/>
      <c r="BZ58" s="33"/>
      <c r="CA58" s="32"/>
      <c r="CB58" s="34"/>
      <c r="CC58" s="92"/>
      <c r="CD58" s="108"/>
      <c r="CE58" s="94"/>
      <c r="CF58" s="95"/>
      <c r="CG58" s="105"/>
      <c r="CH58" s="5101"/>
      <c r="CI58" s="920"/>
      <c r="CJ58" s="1495"/>
      <c r="CK58" s="101"/>
      <c r="CL58" s="1475"/>
      <c r="CN58" s="104"/>
      <c r="CO58" s="32"/>
      <c r="CP58" s="33"/>
      <c r="CQ58" s="32"/>
      <c r="CR58" s="34"/>
      <c r="CS58" s="92"/>
      <c r="CT58" s="108"/>
      <c r="CU58" s="94"/>
      <c r="CV58" s="95"/>
      <c r="CW58" s="105"/>
      <c r="CX58" s="5101"/>
      <c r="CY58" s="920"/>
      <c r="CZ58" s="1495"/>
      <c r="DA58" s="101"/>
      <c r="DB58" s="1475"/>
      <c r="DC58" s="5109"/>
      <c r="DD58" s="5086"/>
      <c r="DF58" s="3">
        <v>1</v>
      </c>
    </row>
    <row r="59" spans="2:110" ht="21" customHeight="1">
      <c r="B59" s="952" t="str">
        <f t="shared" si="10"/>
        <v>A</v>
      </c>
      <c r="C59" s="993" cm="1">
        <f t="array" ref="C59">SUMPRODUCT(LEN(D59:J59))</f>
        <v>0</v>
      </c>
      <c r="D59" s="167"/>
      <c r="E59" s="172"/>
      <c r="F59" s="172"/>
      <c r="G59" s="172"/>
      <c r="H59" s="172"/>
      <c r="I59" s="172"/>
      <c r="J59" s="173"/>
      <c r="K59" s="442" t="s">
        <v>22</v>
      </c>
      <c r="L59" s="27" t="s">
        <v>11</v>
      </c>
      <c r="M59" s="28" t="str">
        <f>M64</f>
        <v>T TERRINE DE PIEDS DE PORC pour tranches | | Auteur &gt; Guy KRENZE - Eric GODDYN - Arnaud NICOLAS - CEPROC 2002</v>
      </c>
      <c r="N59" s="29">
        <f>N64</f>
        <v>1</v>
      </c>
      <c r="O59" s="29" t="str">
        <f>O64</f>
        <v xml:space="preserve">moule L 30 cm X l 9 cm X H 6 cm </v>
      </c>
      <c r="P59" s="30" t="str">
        <f>P64</f>
        <v>Recette mère ► le Boudin en 4 déclinaisons</v>
      </c>
      <c r="Q59" s="31" t="s">
        <v>29</v>
      </c>
      <c r="R59" s="5472"/>
      <c r="S59" s="5472"/>
      <c r="T59" s="5472"/>
      <c r="U59" s="5472"/>
      <c r="V59" s="5472"/>
      <c r="W59" s="5472"/>
      <c r="X59" s="5474"/>
      <c r="Y59" s="5474"/>
      <c r="Z59" s="5476"/>
      <c r="AB59" s="27" t="s">
        <v>11</v>
      </c>
      <c r="AC59" s="28" t="str">
        <f>AC64</f>
        <v>T TERRINE OF PIG’S TROTTERS  for slices | |  Author &gt; Guy KRENZE - Eric GODDYN - Arnaud NICOLAS - CEPROC 2002</v>
      </c>
      <c r="AD59" s="29">
        <f>AD64</f>
        <v>1</v>
      </c>
      <c r="AE59" s="29" t="str">
        <f>AE64</f>
        <v>mold L 30 cm × W 9 cm × H 6 cm</v>
      </c>
      <c r="AF59" s="30" t="str">
        <f>AF64</f>
        <v>Master recipe ► Black pudding in 4 variations</v>
      </c>
      <c r="AG59" s="31" t="s">
        <v>29</v>
      </c>
      <c r="AH59" s="5472"/>
      <c r="AI59" s="5472"/>
      <c r="AJ59" s="5472"/>
      <c r="AK59" s="5472"/>
      <c r="AL59" s="5472"/>
      <c r="AM59" s="5472"/>
      <c r="AN59" s="5474"/>
      <c r="AO59" s="5474"/>
      <c r="AP59" s="5476"/>
      <c r="AR59" s="27" t="s">
        <v>11</v>
      </c>
      <c r="AS59" s="28" t="str">
        <f>AS64</f>
        <v>T TERRINAS DE MANITAS DE CERDO para rodaja  | | Autor &gt; Guy KRENZE - Eric GODDYN - Arnaud NICOLAS - CEPROC 2002</v>
      </c>
      <c r="AT59" s="29">
        <f>AT64</f>
        <v>1</v>
      </c>
      <c r="AU59" s="29" t="str">
        <f>AU64</f>
        <v>molde L 30 cm × A 9 cm × H 6 cm</v>
      </c>
      <c r="AV59" s="30" t="str">
        <f>AV64</f>
        <v>Receta madre ► Morcilla en 4 versiones</v>
      </c>
      <c r="AW59" s="31" t="s">
        <v>29</v>
      </c>
      <c r="AX59" s="5472"/>
      <c r="AY59" s="5472"/>
      <c r="AZ59" s="5472"/>
      <c r="BA59" s="5472"/>
      <c r="BB59" s="5472"/>
      <c r="BC59" s="5472"/>
      <c r="BD59" s="5474" t="s">
        <v>116</v>
      </c>
      <c r="BE59" s="5474"/>
      <c r="BF59" s="5476"/>
      <c r="BH59" s="104"/>
      <c r="BI59" s="32"/>
      <c r="BJ59" s="33"/>
      <c r="BK59" s="32"/>
      <c r="BL59" s="34"/>
      <c r="BM59" s="92"/>
      <c r="BN59" s="108"/>
      <c r="BO59" s="94"/>
      <c r="BP59" s="95"/>
      <c r="BQ59" s="105"/>
      <c r="BR59" s="5101"/>
      <c r="BS59" s="920"/>
      <c r="BT59" s="1495"/>
      <c r="BU59" s="101"/>
      <c r="BV59" s="1475"/>
      <c r="BX59" s="104"/>
      <c r="BY59" s="32"/>
      <c r="BZ59" s="33"/>
      <c r="CA59" s="32"/>
      <c r="CB59" s="34"/>
      <c r="CC59" s="92"/>
      <c r="CD59" s="108"/>
      <c r="CE59" s="94"/>
      <c r="CF59" s="95"/>
      <c r="CG59" s="105"/>
      <c r="CH59" s="5101"/>
      <c r="CI59" s="920"/>
      <c r="CJ59" s="1495"/>
      <c r="CK59" s="101"/>
      <c r="CL59" s="1475"/>
      <c r="CN59" s="104"/>
      <c r="CO59" s="32"/>
      <c r="CP59" s="33"/>
      <c r="CQ59" s="32"/>
      <c r="CR59" s="34"/>
      <c r="CS59" s="92"/>
      <c r="CT59" s="108"/>
      <c r="CU59" s="94"/>
      <c r="CV59" s="95"/>
      <c r="CW59" s="105"/>
      <c r="CX59" s="5101"/>
      <c r="CY59" s="920"/>
      <c r="CZ59" s="1495"/>
      <c r="DA59" s="101"/>
      <c r="DB59" s="1475"/>
      <c r="DC59" s="5109"/>
      <c r="DD59" s="5086"/>
      <c r="DF59" s="3">
        <v>1</v>
      </c>
    </row>
    <row r="60" spans="2:110" ht="21" customHeight="1">
      <c r="B60" s="952" t="str">
        <f t="shared" si="10"/>
        <v>A</v>
      </c>
      <c r="C60" s="993" cm="1">
        <f t="array" ref="C60">SUMPRODUCT(LEN(D60:J60))</f>
        <v>0</v>
      </c>
      <c r="D60" s="167"/>
      <c r="E60" s="172"/>
      <c r="F60" s="172"/>
      <c r="G60" s="172"/>
      <c r="H60" s="172"/>
      <c r="I60" s="172"/>
      <c r="J60" s="173"/>
      <c r="K60" s="442" t="s">
        <v>22</v>
      </c>
      <c r="L60" s="27" t="s">
        <v>11</v>
      </c>
      <c r="M60" s="5310" t="str">
        <f>M64</f>
        <v>T TERRINE DE PIEDS DE PORC pour tranches | | Auteur &gt; Guy KRENZE - Eric GODDYN - Arnaud NICOLAS - CEPROC 2002</v>
      </c>
      <c r="N60" s="5310">
        <f>N64</f>
        <v>1</v>
      </c>
      <c r="O60" s="5311" t="str">
        <f>O64</f>
        <v xml:space="preserve">moule L 30 cm X l 9 cm X H 6 cm </v>
      </c>
      <c r="P60" s="5312" t="str">
        <f>P64</f>
        <v>Recette mère ► le Boudin en 4 déclinaisons</v>
      </c>
      <c r="Q60" s="5313"/>
      <c r="R60" s="5314" t="s">
        <v>30</v>
      </c>
      <c r="S60" s="37"/>
      <c r="T60" s="38" t="s">
        <v>31</v>
      </c>
      <c r="U60" s="39" t="s">
        <v>12835</v>
      </c>
      <c r="V60" s="9"/>
      <c r="W60" s="39"/>
      <c r="X60" s="39"/>
      <c r="Y60" s="40"/>
      <c r="Z60" s="41"/>
      <c r="AB60" s="27" t="s">
        <v>11</v>
      </c>
      <c r="AC60" s="5310" t="str">
        <f>AC64</f>
        <v>T TERRINE OF PIG’S TROTTERS  for slices | |  Author &gt; Guy KRENZE - Eric GODDYN - Arnaud NICOLAS - CEPROC 2002</v>
      </c>
      <c r="AD60" s="5310">
        <f>AD64</f>
        <v>1</v>
      </c>
      <c r="AE60" s="5311" t="str">
        <f>AE64</f>
        <v>mold L 30 cm × W 9 cm × H 6 cm</v>
      </c>
      <c r="AF60" s="5312" t="str">
        <f>AF64</f>
        <v>Master recipe ► Black pudding in 4 variations</v>
      </c>
      <c r="AG60" s="5313"/>
      <c r="AH60" s="5314" t="s">
        <v>888</v>
      </c>
      <c r="AI60" s="37"/>
      <c r="AJ60" s="38" t="s">
        <v>889</v>
      </c>
      <c r="AK60" s="39" t="s">
        <v>12835</v>
      </c>
      <c r="AL60" s="9"/>
      <c r="AM60" s="39"/>
      <c r="AN60" s="39"/>
      <c r="AO60" s="40"/>
      <c r="AP60" s="41"/>
      <c r="AR60" s="27" t="s">
        <v>11</v>
      </c>
      <c r="AS60" s="5310" t="str">
        <f>AS64</f>
        <v>T TERRINAS DE MANITAS DE CERDO para rodaja  | | Autor &gt; Guy KRENZE - Eric GODDYN - Arnaud NICOLAS - CEPROC 2002</v>
      </c>
      <c r="AT60" s="5310">
        <f>AT64</f>
        <v>1</v>
      </c>
      <c r="AU60" s="5311" t="str">
        <f>AU64</f>
        <v>molde L 30 cm × A 9 cm × H 6 cm</v>
      </c>
      <c r="AV60" s="5312" t="str">
        <f>AV64</f>
        <v>Receta madre ► Morcilla en 4 versiones</v>
      </c>
      <c r="AW60" s="5313"/>
      <c r="AX60" s="5314" t="s">
        <v>903</v>
      </c>
      <c r="AY60" s="37"/>
      <c r="AZ60" s="38" t="s">
        <v>904</v>
      </c>
      <c r="BA60" s="39" t="s">
        <v>12835</v>
      </c>
      <c r="BB60" s="9"/>
      <c r="BC60" s="39"/>
      <c r="BD60" s="39"/>
      <c r="BE60" s="40"/>
      <c r="BF60" s="41"/>
      <c r="BH60" s="104"/>
      <c r="BI60" s="32"/>
      <c r="BJ60" s="33"/>
      <c r="BK60" s="32"/>
      <c r="BL60" s="34"/>
      <c r="BM60" s="92"/>
      <c r="BN60" s="108"/>
      <c r="BO60" s="94"/>
      <c r="BP60" s="95"/>
      <c r="BQ60" s="105"/>
      <c r="BR60" s="5101"/>
      <c r="BS60" s="920"/>
      <c r="BT60" s="1495"/>
      <c r="BU60" s="101"/>
      <c r="BV60" s="1475"/>
      <c r="BX60" s="104"/>
      <c r="BY60" s="32"/>
      <c r="BZ60" s="33"/>
      <c r="CA60" s="32"/>
      <c r="CB60" s="34"/>
      <c r="CC60" s="92"/>
      <c r="CD60" s="108"/>
      <c r="CE60" s="94"/>
      <c r="CF60" s="95"/>
      <c r="CG60" s="105"/>
      <c r="CH60" s="5101"/>
      <c r="CI60" s="920"/>
      <c r="CJ60" s="1495"/>
      <c r="CK60" s="101"/>
      <c r="CL60" s="1475"/>
      <c r="CN60" s="104"/>
      <c r="CO60" s="32"/>
      <c r="CP60" s="33"/>
      <c r="CQ60" s="32"/>
      <c r="CR60" s="34"/>
      <c r="CS60" s="92"/>
      <c r="CT60" s="108"/>
      <c r="CU60" s="94"/>
      <c r="CV60" s="95"/>
      <c r="CW60" s="105"/>
      <c r="CX60" s="5101"/>
      <c r="CY60" s="920"/>
      <c r="CZ60" s="1495"/>
      <c r="DA60" s="101"/>
      <c r="DB60" s="1475"/>
      <c r="DC60" s="5109"/>
      <c r="DD60" s="5086"/>
      <c r="DF60" s="3">
        <v>1</v>
      </c>
    </row>
    <row r="61" spans="2:110" ht="21" customHeight="1">
      <c r="B61" s="952" t="str">
        <f t="shared" si="10"/>
        <v>A</v>
      </c>
      <c r="C61" s="993" cm="1">
        <f t="array" ref="C61">SUMPRODUCT(LEN(D61:J61))</f>
        <v>0</v>
      </c>
      <c r="D61" s="167"/>
      <c r="E61" s="172"/>
      <c r="F61" s="172"/>
      <c r="G61" s="172"/>
      <c r="H61" s="172"/>
      <c r="I61" s="172"/>
      <c r="J61" s="173"/>
      <c r="K61" s="442" t="s">
        <v>22</v>
      </c>
      <c r="L61" s="27" t="s">
        <v>11</v>
      </c>
      <c r="M61" s="32" t="str">
        <f>M64</f>
        <v>T TERRINE DE PIEDS DE PORC pour tranches | | Auteur &gt; Guy KRENZE - Eric GODDYN - Arnaud NICOLAS - CEPROC 2002</v>
      </c>
      <c r="N61" s="33">
        <f>N64</f>
        <v>1</v>
      </c>
      <c r="O61" s="33" t="str">
        <f>O64</f>
        <v xml:space="preserve">moule L 30 cm X l 9 cm X H 6 cm </v>
      </c>
      <c r="P61" s="34" t="str">
        <f>P64</f>
        <v>Recette mère ► le Boudin en 4 déclinaisons</v>
      </c>
      <c r="Q61" s="42" t="s">
        <v>32</v>
      </c>
      <c r="R61" s="43"/>
      <c r="S61" s="43"/>
      <c r="T61" s="44" t="s">
        <v>33</v>
      </c>
      <c r="U61" s="5477" t="str">
        <f>V64&amp;" "&amp;W64&amp;" ► Famille = "&amp;X58&amp;" ► "&amp;R58&amp;" "&amp; "pour "&amp;X62&amp;" "&amp;Y62</f>
        <v xml:space="preserve">Recette mère ► le Boudin en 4 déclinaisons ► Famille =  charcuterie-BOUDIN-NOIR ► TERRINE DE PIEDS DE PORC pour tranches pour 2 moule L 30 cm X l 9 cm X H 6 cm </v>
      </c>
      <c r="V61" s="5477"/>
      <c r="W61" s="5477"/>
      <c r="X61" s="5039" t="s">
        <v>3306</v>
      </c>
      <c r="Y61" s="40"/>
      <c r="Z61" s="1472"/>
      <c r="AB61" s="27" t="s">
        <v>11</v>
      </c>
      <c r="AC61" s="32" t="str">
        <f>AC64</f>
        <v>T TERRINE OF PIG’S TROTTERS  for slices | |  Author &gt; Guy KRENZE - Eric GODDYN - Arnaud NICOLAS - CEPROC 2002</v>
      </c>
      <c r="AD61" s="33">
        <f>AD64</f>
        <v>1</v>
      </c>
      <c r="AE61" s="33" t="str">
        <f>AE64</f>
        <v>mold L 30 cm × W 9 cm × H 6 cm</v>
      </c>
      <c r="AF61" s="34" t="str">
        <f>AF64</f>
        <v>Master recipe ► Black pudding in 4 variations</v>
      </c>
      <c r="AG61" s="42" t="s">
        <v>137</v>
      </c>
      <c r="AH61" s="43"/>
      <c r="AI61" s="43"/>
      <c r="AJ61" s="44" t="s">
        <v>33</v>
      </c>
      <c r="AK61" s="5477" t="str">
        <f>AL64&amp;" "&amp;AM64&amp;" ► category = "&amp;AN58&amp;" ► "&amp;AH58&amp;" "&amp; "pour "&amp;AN62&amp;" "&amp;AO62</f>
        <v>Master recipe ► Black pudding in 4 variations ► category = charcuterie-BLACK-PUDDING ► TERRINE OF PIG’S TROTTERS  for slices pour 2 mold L 30 cm × W 9 cm × H 6 cm</v>
      </c>
      <c r="AL61" s="5477"/>
      <c r="AM61" s="5477"/>
      <c r="AN61" s="5039" t="s">
        <v>3324</v>
      </c>
      <c r="AO61" s="40"/>
      <c r="AP61" s="1472"/>
      <c r="AR61" s="27" t="s">
        <v>11</v>
      </c>
      <c r="AS61" s="32" t="str">
        <f>AS64</f>
        <v>T TERRINAS DE MANITAS DE CERDO para rodaja  | | Autor &gt; Guy KRENZE - Eric GODDYN - Arnaud NICOLAS - CEPROC 2002</v>
      </c>
      <c r="AT61" s="33">
        <f>AT64</f>
        <v>1</v>
      </c>
      <c r="AU61" s="33" t="str">
        <f>AU64</f>
        <v>molde L 30 cm × A 9 cm × H 6 cm</v>
      </c>
      <c r="AV61" s="34" t="str">
        <f>AV64</f>
        <v>Receta madre ► Morcilla en 4 versiones</v>
      </c>
      <c r="AW61" s="42" t="s">
        <v>905</v>
      </c>
      <c r="AX61" s="43"/>
      <c r="AY61" s="43"/>
      <c r="AZ61" s="44" t="s">
        <v>33</v>
      </c>
      <c r="BA61" s="5477" t="str">
        <f>BB64&amp;" "&amp;BC64&amp;" ► Famille = "&amp;BD58&amp;" ► "&amp;AX58&amp;" "&amp; "pour "&amp;BD62&amp;" "&amp;BE62</f>
        <v>Receta madre ► Morcilla en 4 versiones ► Famille = charcutería--MORCILLA ► TERRINAS DE MANITAS DE CERDO para rodaja  pour 2 molde L 30 cm × A 9 cm × H 6 cm</v>
      </c>
      <c r="BB61" s="5477"/>
      <c r="BC61" s="5477"/>
      <c r="BD61" s="5039" t="s">
        <v>3326</v>
      </c>
      <c r="BE61" s="40"/>
      <c r="BF61" s="1472"/>
      <c r="BH61" s="104"/>
      <c r="BI61" s="32"/>
      <c r="BJ61" s="33"/>
      <c r="BK61" s="32"/>
      <c r="BL61" s="34"/>
      <c r="BM61" s="92"/>
      <c r="BN61" s="108"/>
      <c r="BO61" s="94"/>
      <c r="BP61" s="95"/>
      <c r="BQ61" s="105"/>
      <c r="BR61" s="5101"/>
      <c r="BS61" s="920"/>
      <c r="BT61" s="1495"/>
      <c r="BU61" s="101"/>
      <c r="BV61" s="1475"/>
      <c r="BX61" s="104"/>
      <c r="BY61" s="32"/>
      <c r="BZ61" s="33"/>
      <c r="CA61" s="32"/>
      <c r="CB61" s="34"/>
      <c r="CC61" s="92"/>
      <c r="CD61" s="108"/>
      <c r="CE61" s="94"/>
      <c r="CF61" s="95"/>
      <c r="CG61" s="105"/>
      <c r="CH61" s="5101"/>
      <c r="CI61" s="920"/>
      <c r="CJ61" s="1495"/>
      <c r="CK61" s="101"/>
      <c r="CL61" s="1475"/>
      <c r="CN61" s="104"/>
      <c r="CO61" s="32"/>
      <c r="CP61" s="33"/>
      <c r="CQ61" s="32"/>
      <c r="CR61" s="34"/>
      <c r="CS61" s="92"/>
      <c r="CT61" s="108"/>
      <c r="CU61" s="94"/>
      <c r="CV61" s="95"/>
      <c r="CW61" s="105"/>
      <c r="CX61" s="5101"/>
      <c r="CY61" s="920"/>
      <c r="CZ61" s="1495"/>
      <c r="DA61" s="101"/>
      <c r="DB61" s="1475"/>
      <c r="DC61" s="5109"/>
      <c r="DD61" s="5070"/>
      <c r="DF61" s="3">
        <v>1</v>
      </c>
    </row>
    <row r="62" spans="2:110" ht="21" customHeight="1">
      <c r="B62" s="952" t="str">
        <f t="shared" si="10"/>
        <v>A</v>
      </c>
      <c r="C62" s="993" cm="1">
        <f t="array" ref="C62">SUMPRODUCT(LEN(D62:J62))</f>
        <v>0</v>
      </c>
      <c r="D62" s="167"/>
      <c r="E62" s="172"/>
      <c r="F62" s="172"/>
      <c r="G62" s="172"/>
      <c r="H62" s="172"/>
      <c r="I62" s="172"/>
      <c r="J62" s="173"/>
      <c r="K62" s="442" t="s">
        <v>22</v>
      </c>
      <c r="L62" s="27" t="s">
        <v>11</v>
      </c>
      <c r="M62" s="32" t="str">
        <f>M64</f>
        <v>T TERRINE DE PIEDS DE PORC pour tranches | | Auteur &gt; Guy KRENZE - Eric GODDYN - Arnaud NICOLAS - CEPROC 2002</v>
      </c>
      <c r="N62" s="33">
        <f>N64</f>
        <v>1</v>
      </c>
      <c r="O62" s="33" t="str">
        <f>O64</f>
        <v xml:space="preserve">moule L 30 cm X l 9 cm X H 6 cm </v>
      </c>
      <c r="P62" s="34" t="str">
        <f>P64</f>
        <v>Recette mère ► le Boudin en 4 déclinaisons</v>
      </c>
      <c r="Q62" s="50">
        <v>1</v>
      </c>
      <c r="R62" s="5053" t="s">
        <v>12965</v>
      </c>
      <c r="S62" s="42"/>
      <c r="T62" s="42"/>
      <c r="U62" s="5477"/>
      <c r="V62" s="5477"/>
      <c r="W62" s="5477"/>
      <c r="X62" s="46">
        <v>2</v>
      </c>
      <c r="Y62" s="5478" t="str">
        <f>R62</f>
        <v xml:space="preserve">moule L 30 cm X l 9 cm X H 6 cm </v>
      </c>
      <c r="Z62" s="5479"/>
      <c r="AB62" s="27" t="s">
        <v>11</v>
      </c>
      <c r="AC62" s="32" t="str">
        <f>AC64</f>
        <v>T TERRINE OF PIG’S TROTTERS  for slices | |  Author &gt; Guy KRENZE - Eric GODDYN - Arnaud NICOLAS - CEPROC 2002</v>
      </c>
      <c r="AD62" s="33">
        <f>AD64</f>
        <v>1</v>
      </c>
      <c r="AE62" s="33" t="str">
        <f>AE64</f>
        <v>mold L 30 cm × W 9 cm × H 6 cm</v>
      </c>
      <c r="AF62" s="34" t="str">
        <f>AF64</f>
        <v>Master recipe ► Black pudding in 4 variations</v>
      </c>
      <c r="AG62" s="50">
        <v>1</v>
      </c>
      <c r="AH62" s="5053" t="s">
        <v>12966</v>
      </c>
      <c r="AI62" s="42"/>
      <c r="AJ62" s="42"/>
      <c r="AK62" s="5477"/>
      <c r="AL62" s="5477"/>
      <c r="AM62" s="5477"/>
      <c r="AN62" s="46">
        <v>2</v>
      </c>
      <c r="AO62" s="5478" t="str">
        <f>AH62</f>
        <v>mold L 30 cm × W 9 cm × H 6 cm</v>
      </c>
      <c r="AP62" s="5479"/>
      <c r="AR62" s="27" t="s">
        <v>11</v>
      </c>
      <c r="AS62" s="32" t="str">
        <f>AS64</f>
        <v>T TERRINAS DE MANITAS DE CERDO para rodaja  | | Autor &gt; Guy KRENZE - Eric GODDYN - Arnaud NICOLAS - CEPROC 2002</v>
      </c>
      <c r="AT62" s="33">
        <f>AT64</f>
        <v>1</v>
      </c>
      <c r="AU62" s="33" t="str">
        <f>AU64</f>
        <v>molde L 30 cm × A 9 cm × H 6 cm</v>
      </c>
      <c r="AV62" s="34" t="str">
        <f>AV64</f>
        <v>Receta madre ► Morcilla en 4 versiones</v>
      </c>
      <c r="AW62" s="50">
        <v>1</v>
      </c>
      <c r="AX62" s="5053" t="s">
        <v>12967</v>
      </c>
      <c r="AY62" s="42"/>
      <c r="AZ62" s="42"/>
      <c r="BA62" s="5477"/>
      <c r="BB62" s="5477"/>
      <c r="BC62" s="5477"/>
      <c r="BD62" s="46">
        <v>2</v>
      </c>
      <c r="BE62" s="5478" t="str">
        <f>AX62</f>
        <v>molde L 30 cm × A 9 cm × H 6 cm</v>
      </c>
      <c r="BF62" s="5479"/>
      <c r="BH62" s="104"/>
      <c r="BI62" s="32"/>
      <c r="BJ62" s="33"/>
      <c r="BK62" s="32"/>
      <c r="BL62" s="34"/>
      <c r="BM62" s="92"/>
      <c r="BN62" s="108"/>
      <c r="BO62" s="94"/>
      <c r="BP62" s="95"/>
      <c r="BQ62" s="105"/>
      <c r="BR62" s="5101"/>
      <c r="BS62" s="920"/>
      <c r="BT62" s="1495"/>
      <c r="BU62" s="101"/>
      <c r="BV62" s="1475"/>
      <c r="BX62" s="104"/>
      <c r="BY62" s="32"/>
      <c r="BZ62" s="33"/>
      <c r="CA62" s="32"/>
      <c r="CB62" s="34"/>
      <c r="CC62" s="92"/>
      <c r="CD62" s="108"/>
      <c r="CE62" s="94"/>
      <c r="CF62" s="95"/>
      <c r="CG62" s="105"/>
      <c r="CH62" s="5101"/>
      <c r="CI62" s="920"/>
      <c r="CJ62" s="1495"/>
      <c r="CK62" s="101"/>
      <c r="CL62" s="1475"/>
      <c r="CN62" s="104"/>
      <c r="CO62" s="32"/>
      <c r="CP62" s="33"/>
      <c r="CQ62" s="32"/>
      <c r="CR62" s="34"/>
      <c r="CS62" s="92"/>
      <c r="CT62" s="108"/>
      <c r="CU62" s="94"/>
      <c r="CV62" s="95"/>
      <c r="CW62" s="105"/>
      <c r="CX62" s="5101"/>
      <c r="CY62" s="920"/>
      <c r="CZ62" s="1495"/>
      <c r="DA62" s="101"/>
      <c r="DB62" s="1475"/>
      <c r="DC62" s="5109"/>
      <c r="DD62" s="5072"/>
      <c r="DF62" s="3">
        <v>1</v>
      </c>
    </row>
    <row r="63" spans="2:110" ht="21" customHeight="1">
      <c r="B63" s="952" t="str">
        <f t="shared" si="10"/>
        <v>►</v>
      </c>
      <c r="C63" s="993" cm="1">
        <f t="array" ref="C63">SUMPRODUCT(LEN(D63:J63))</f>
        <v>0</v>
      </c>
      <c r="D63" s="167"/>
      <c r="E63" s="172"/>
      <c r="F63" s="172"/>
      <c r="G63" s="172"/>
      <c r="H63" s="172"/>
      <c r="I63" s="172"/>
      <c r="J63" s="173"/>
      <c r="K63" s="442" t="s">
        <v>22</v>
      </c>
      <c r="L63" s="27" t="s">
        <v>16</v>
      </c>
      <c r="M63" s="32" t="str">
        <f>M64</f>
        <v>T TERRINE DE PIEDS DE PORC pour tranches | | Auteur &gt; Guy KRENZE - Eric GODDYN - Arnaud NICOLAS - CEPROC 2002</v>
      </c>
      <c r="N63" s="33">
        <f>N64</f>
        <v>1</v>
      </c>
      <c r="O63" s="33" t="str">
        <f>O64</f>
        <v xml:space="preserve">moule L 30 cm X l 9 cm X H 6 cm </v>
      </c>
      <c r="P63" s="34" t="str">
        <f>P64</f>
        <v>Recette mère ► le Boudin en 4 déclinaisons</v>
      </c>
      <c r="Q63" s="56"/>
      <c r="R63" s="5165" t="s">
        <v>13098</v>
      </c>
      <c r="S63" s="5468">
        <f>Y83/V63</f>
        <v>1.0309999999999999</v>
      </c>
      <c r="T63" s="5468"/>
      <c r="U63" s="5054" t="str" cm="1">
        <f t="array" ref="U63">"1= "&amp;IF(OR(Q62&lt;=0,S63=""),"",_xlfn.LET(_xlpm.kg,IF(ISNUMBER(S63),S63,VALEUR(SUBSTITUTE(SUBSTITUTE(SUBSTITUTE(LOWER(S63),"kg",""),",",".")," ",""))),TEXT(ROUND(_xlpm.kg*1000/Q62,2),"0.##")&amp;" g"))</f>
        <v>1= 1031. g</v>
      </c>
      <c r="V63" s="1490">
        <f>IFERROR(X62/Q62,0)</f>
        <v>2</v>
      </c>
      <c r="W63" s="45"/>
      <c r="X63" s="5041" t="s">
        <v>50</v>
      </c>
      <c r="Y63" s="5042">
        <f>Y83</f>
        <v>2.0619999999999998</v>
      </c>
      <c r="Z63" s="5043"/>
      <c r="AB63" s="27" t="s">
        <v>16</v>
      </c>
      <c r="AC63" s="32"/>
      <c r="AD63" s="33">
        <f>AD64</f>
        <v>1</v>
      </c>
      <c r="AE63" s="33" t="str">
        <f>AE64</f>
        <v>mold L 30 cm × W 9 cm × H 6 cm</v>
      </c>
      <c r="AF63" s="34" t="str">
        <f>AF64</f>
        <v>Master recipe ► Black pudding in 4 variations</v>
      </c>
      <c r="AG63" s="56"/>
      <c r="AH63" s="5165" t="s">
        <v>13100</v>
      </c>
      <c r="AI63" s="5468">
        <f>AO83/AL63</f>
        <v>1.0309999999999999</v>
      </c>
      <c r="AJ63" s="5468"/>
      <c r="AK63" s="5054" t="str" cm="1">
        <f t="array" ref="AK63">"1= "&amp;IF(OR(AG62&lt;=0,AI63=""),"",_xlfn.LET(_xlpm.kg,IF(ISNUMBER(AI63),AI63,VALEUR(SUBSTITUTE(SUBSTITUTE(SUBSTITUTE(LOWER(AI63),"kg",""),",",".")," ",""))),TEXT(ROUND(_xlpm.kg*1000/AG62,2),"0.##")&amp;" g"))</f>
        <v>1= 1031. g</v>
      </c>
      <c r="AL63" s="1490">
        <f>IFERROR(AN62/AG62,0)</f>
        <v>2</v>
      </c>
      <c r="AM63" s="45"/>
      <c r="AN63" s="5041" t="s">
        <v>153</v>
      </c>
      <c r="AO63" s="5042">
        <f>AO83</f>
        <v>2.0619999999999998</v>
      </c>
      <c r="AP63" s="5043"/>
      <c r="AR63" s="27" t="s">
        <v>16</v>
      </c>
      <c r="AS63" s="32" t="str">
        <f>AS64</f>
        <v>T TERRINAS DE MANITAS DE CERDO para rodaja  | | Autor &gt; Guy KRENZE - Eric GODDYN - Arnaud NICOLAS - CEPROC 2002</v>
      </c>
      <c r="AT63" s="33">
        <f>AT64</f>
        <v>1</v>
      </c>
      <c r="AU63" s="33" t="str">
        <f>AU64</f>
        <v>molde L 30 cm × A 9 cm × H 6 cm</v>
      </c>
      <c r="AV63" s="34" t="str">
        <f>AV64</f>
        <v>Receta madre ► Morcilla en 4 versiones</v>
      </c>
      <c r="AW63" s="56"/>
      <c r="AX63" s="5165" t="s">
        <v>13101</v>
      </c>
      <c r="AY63" s="5468">
        <f>BE83/BB63</f>
        <v>1.0309999999999999</v>
      </c>
      <c r="AZ63" s="5468"/>
      <c r="BA63" s="5054" t="str" cm="1">
        <f t="array" ref="BA63">"1= "&amp;IF(OR(AW62&lt;=0,AY63=""),"",_xlfn.LET(_xlpm.kg,IF(ISNUMBER(AY63),AY63,VALEUR(SUBSTITUTE(SUBSTITUTE(SUBSTITUTE(LOWER(AY63),"kg",""),",",".")," ",""))),TEXT(ROUND(_xlpm.kg*1000/AW62,2),"0.##")&amp;" g"))</f>
        <v>1= 1031. g</v>
      </c>
      <c r="BB63" s="1490">
        <f>IFERROR(BD62/AW62,0)</f>
        <v>2</v>
      </c>
      <c r="BC63" s="45"/>
      <c r="BD63" s="5041" t="s">
        <v>248</v>
      </c>
      <c r="BE63" s="5042">
        <f>BE83</f>
        <v>2.0619999999999998</v>
      </c>
      <c r="BF63" s="5043"/>
      <c r="BH63" s="104"/>
      <c r="BI63" s="32"/>
      <c r="BJ63" s="33"/>
      <c r="BK63" s="32"/>
      <c r="BL63" s="34"/>
      <c r="BM63" s="92"/>
      <c r="BN63" s="108"/>
      <c r="BO63" s="94"/>
      <c r="BP63" s="95"/>
      <c r="BQ63" s="105"/>
      <c r="BR63" s="5101"/>
      <c r="BS63" s="920"/>
      <c r="BT63" s="1495"/>
      <c r="BU63" s="101"/>
      <c r="BV63" s="1475"/>
      <c r="BX63" s="104"/>
      <c r="BY63" s="32"/>
      <c r="BZ63" s="33"/>
      <c r="CA63" s="32"/>
      <c r="CB63" s="34"/>
      <c r="CC63" s="92"/>
      <c r="CD63" s="108"/>
      <c r="CE63" s="94"/>
      <c r="CF63" s="95"/>
      <c r="CG63" s="105"/>
      <c r="CH63" s="5101"/>
      <c r="CI63" s="920"/>
      <c r="CJ63" s="1495"/>
      <c r="CK63" s="101"/>
      <c r="CL63" s="1475"/>
      <c r="CN63" s="104"/>
      <c r="CO63" s="32"/>
      <c r="CP63" s="33"/>
      <c r="CQ63" s="32"/>
      <c r="CR63" s="34"/>
      <c r="CS63" s="92"/>
      <c r="CT63" s="108"/>
      <c r="CU63" s="94"/>
      <c r="CV63" s="95"/>
      <c r="CW63" s="105"/>
      <c r="CX63" s="5101"/>
      <c r="CY63" s="920"/>
      <c r="CZ63" s="1495"/>
      <c r="DA63" s="101"/>
      <c r="DB63" s="1475"/>
      <c r="DC63" s="5109"/>
      <c r="DD63" s="5074"/>
      <c r="DF63" s="3">
        <v>1</v>
      </c>
    </row>
    <row r="64" spans="2:110" ht="21" customHeight="1">
      <c r="B64" s="952" t="str">
        <f t="shared" si="10"/>
        <v>►</v>
      </c>
      <c r="C64" s="993" cm="1">
        <f t="array" ref="C64">SUMPRODUCT(LEN(D64:J64))</f>
        <v>0</v>
      </c>
      <c r="D64" s="167"/>
      <c r="E64" s="172"/>
      <c r="F64" s="172"/>
      <c r="G64" s="172"/>
      <c r="H64" s="172"/>
      <c r="I64" s="172"/>
      <c r="J64" s="173"/>
      <c r="K64" s="442" t="s">
        <v>22</v>
      </c>
      <c r="L64" s="64" t="s">
        <v>16</v>
      </c>
      <c r="M64" s="65" t="str">
        <f>Q64</f>
        <v>T TERRINE DE PIEDS DE PORC pour tranches | | Auteur &gt; Guy KRENZE - Eric GODDYN - Arnaud NICOLAS - CEPROC 2002</v>
      </c>
      <c r="N64" s="66">
        <f>Q62</f>
        <v>1</v>
      </c>
      <c r="O64" s="65" t="str">
        <f>R62</f>
        <v xml:space="preserve">moule L 30 cm X l 9 cm X H 6 cm </v>
      </c>
      <c r="P64" s="67" t="str">
        <f>V64&amp;" "&amp;W64</f>
        <v>Recette mère ► le Boudin en 4 déclinaisons</v>
      </c>
      <c r="Q64" s="68" t="str">
        <f>UPPER(LEFT(R58,1))&amp;" "&amp;R58&amp;" | "&amp;Y58&amp;"| "&amp;T60&amp;" "&amp;U60</f>
        <v>T TERRINE DE PIEDS DE PORC pour tranches | | Auteur &gt; Guy KRENZE - Eric GODDYN - Arnaud NICOLAS - CEPROC 2002</v>
      </c>
      <c r="R64" s="69" t="s">
        <v>54</v>
      </c>
      <c r="S64" s="5469" t="s">
        <v>55</v>
      </c>
      <c r="T64" s="5469"/>
      <c r="U64" s="5469"/>
      <c r="V64" s="70" t="str">
        <f>IF(ISTEXT(W64),"Recette mère ►",R64)</f>
        <v>Recette mère ►</v>
      </c>
      <c r="W64" s="71" t="s">
        <v>12836</v>
      </c>
      <c r="X64" s="71"/>
      <c r="Y64" s="72"/>
      <c r="Z64" s="1473"/>
      <c r="AB64" s="64" t="s">
        <v>16</v>
      </c>
      <c r="AC64" s="65" t="str">
        <f>AG64</f>
        <v>T TERRINE OF PIG’S TROTTERS  for slices | |  Author &gt; Guy KRENZE - Eric GODDYN - Arnaud NICOLAS - CEPROC 2002</v>
      </c>
      <c r="AD64" s="66">
        <f>AG62</f>
        <v>1</v>
      </c>
      <c r="AE64" s="65" t="str">
        <f>AH62</f>
        <v>mold L 30 cm × W 9 cm × H 6 cm</v>
      </c>
      <c r="AF64" s="67" t="str">
        <f>AL64&amp;" "&amp;AM64</f>
        <v>Master recipe ► Black pudding in 4 variations</v>
      </c>
      <c r="AG64" s="68" t="str">
        <f>UPPER(LEFT(AH58,1))&amp;" "&amp;AH58&amp;" | "&amp;AO58&amp;"| "&amp;AJ60&amp;" "&amp;AK60</f>
        <v>T TERRINE OF PIG’S TROTTERS  for slices | |  Author &gt; Guy KRENZE - Eric GODDYN - Arnaud NICOLAS - CEPROC 2002</v>
      </c>
      <c r="AH64" s="69" t="s">
        <v>3315</v>
      </c>
      <c r="AI64" s="5469" t="s">
        <v>3316</v>
      </c>
      <c r="AJ64" s="5469"/>
      <c r="AK64" s="5469"/>
      <c r="AL64" s="70" t="str">
        <f>IF(ISTEXT(AM64),"Master recipe ►",AH64)</f>
        <v>Master recipe ►</v>
      </c>
      <c r="AM64" s="71" t="s">
        <v>12924</v>
      </c>
      <c r="AN64" s="71"/>
      <c r="AO64" s="72"/>
      <c r="AP64" s="1473"/>
      <c r="AR64" s="64" t="s">
        <v>16</v>
      </c>
      <c r="AS64" s="65" t="str">
        <f>AW64</f>
        <v>T TERRINAS DE MANITAS DE CERDO para rodaja  | | Autor &gt; Guy KRENZE - Eric GODDYN - Arnaud NICOLAS - CEPROC 2002</v>
      </c>
      <c r="AT64" s="66">
        <f>AW62</f>
        <v>1</v>
      </c>
      <c r="AU64" s="65" t="str">
        <f>AX62</f>
        <v>molde L 30 cm × A 9 cm × H 6 cm</v>
      </c>
      <c r="AV64" s="67" t="str">
        <f>BB64&amp;" "&amp;BC64</f>
        <v>Receta madre ► Morcilla en 4 versiones</v>
      </c>
      <c r="AW64" s="68" t="str">
        <f>UPPER(LEFT(AX58,1))&amp;" "&amp;AX58&amp;" | "&amp;BE58&amp;"| "&amp;AZ60&amp;" "&amp;BA60</f>
        <v>T TERRINAS DE MANITAS DE CERDO para rodaja  | | Autor &gt; Guy KRENZE - Eric GODDYN - Arnaud NICOLAS - CEPROC 2002</v>
      </c>
      <c r="AX64" s="69" t="s">
        <v>3319</v>
      </c>
      <c r="AY64" s="5469" t="s">
        <v>906</v>
      </c>
      <c r="AZ64" s="5469"/>
      <c r="BA64" s="5469"/>
      <c r="BB64" s="70" t="str">
        <f>IF(ISTEXT(BC64),"Receta madre ►",AX64)</f>
        <v>Receta madre ►</v>
      </c>
      <c r="BC64" s="71" t="s">
        <v>12925</v>
      </c>
      <c r="BD64" s="71"/>
      <c r="BE64" s="72"/>
      <c r="BF64" s="1473"/>
      <c r="BH64" s="104"/>
      <c r="BI64" s="32"/>
      <c r="BJ64" s="33"/>
      <c r="BK64" s="32"/>
      <c r="BL64" s="34"/>
      <c r="BM64" s="92"/>
      <c r="BN64" s="108"/>
      <c r="BO64" s="94"/>
      <c r="BP64" s="95"/>
      <c r="BQ64" s="105"/>
      <c r="BR64" s="5101"/>
      <c r="BS64" s="920"/>
      <c r="BT64" s="1495"/>
      <c r="BU64" s="101"/>
      <c r="BV64" s="1475"/>
      <c r="BX64" s="104"/>
      <c r="BY64" s="32"/>
      <c r="BZ64" s="33"/>
      <c r="CA64" s="32"/>
      <c r="CB64" s="34"/>
      <c r="CC64" s="92"/>
      <c r="CD64" s="108"/>
      <c r="CE64" s="94"/>
      <c r="CF64" s="95"/>
      <c r="CG64" s="105"/>
      <c r="CH64" s="5101"/>
      <c r="CI64" s="920"/>
      <c r="CJ64" s="1495"/>
      <c r="CK64" s="101"/>
      <c r="CL64" s="1475"/>
      <c r="CN64" s="104"/>
      <c r="CO64" s="32"/>
      <c r="CP64" s="33"/>
      <c r="CQ64" s="32"/>
      <c r="CR64" s="34"/>
      <c r="CS64" s="92"/>
      <c r="CT64" s="108"/>
      <c r="CU64" s="94"/>
      <c r="CV64" s="95"/>
      <c r="CW64" s="105"/>
      <c r="CX64" s="5101"/>
      <c r="CY64" s="920"/>
      <c r="CZ64" s="1495"/>
      <c r="DA64" s="101"/>
      <c r="DB64" s="1475"/>
      <c r="DC64" s="5109"/>
      <c r="DD64" s="5074"/>
      <c r="DF64" s="3">
        <v>1</v>
      </c>
    </row>
    <row r="65" spans="2:110" ht="21" customHeight="1">
      <c r="B65" s="952" t="str">
        <f t="shared" si="10"/>
        <v>►</v>
      </c>
      <c r="C65" s="993" cm="1">
        <f t="array" ref="C65">SUMPRODUCT(LEN(D65:J65))</f>
        <v>0</v>
      </c>
      <c r="D65" s="167"/>
      <c r="E65" s="172"/>
      <c r="F65" s="172"/>
      <c r="G65" s="172"/>
      <c r="H65" s="172"/>
      <c r="I65" s="172"/>
      <c r="J65" s="173"/>
      <c r="K65" s="442" t="s">
        <v>22</v>
      </c>
      <c r="L65" s="74" t="s">
        <v>16</v>
      </c>
      <c r="M65" s="75" t="str">
        <f>M64</f>
        <v>T TERRINE DE PIEDS DE PORC pour tranches | | Auteur &gt; Guy KRENZE - Eric GODDYN - Arnaud NICOLAS - CEPROC 2002</v>
      </c>
      <c r="N65" s="75">
        <f>N64</f>
        <v>1</v>
      </c>
      <c r="O65" s="75" t="str">
        <f>O64</f>
        <v xml:space="preserve">moule L 30 cm X l 9 cm X H 6 cm </v>
      </c>
      <c r="P65" s="76" t="str">
        <f>P64</f>
        <v>Recette mère ► le Boudin en 4 déclinaisons</v>
      </c>
      <c r="Q65" s="13" t="s">
        <v>66</v>
      </c>
      <c r="R65" s="13" t="s">
        <v>67</v>
      </c>
      <c r="S65" s="13" t="s">
        <v>68</v>
      </c>
      <c r="T65" s="13" t="s">
        <v>69</v>
      </c>
      <c r="U65" s="77" t="s">
        <v>70</v>
      </c>
      <c r="V65" s="78" t="s">
        <v>71</v>
      </c>
      <c r="W65" s="79" t="s">
        <v>72</v>
      </c>
      <c r="X65" s="1496" t="s">
        <v>73</v>
      </c>
      <c r="Y65" s="13" t="s">
        <v>74</v>
      </c>
      <c r="Z65" s="518" t="s">
        <v>75</v>
      </c>
      <c r="AB65" s="74" t="s">
        <v>16</v>
      </c>
      <c r="AC65" s="75" t="str">
        <f>AC64</f>
        <v>T TERRINE OF PIG’S TROTTERS  for slices | |  Author &gt; Guy KRENZE - Eric GODDYN - Arnaud NICOLAS - CEPROC 2002</v>
      </c>
      <c r="AD65" s="75">
        <f>AD64</f>
        <v>1</v>
      </c>
      <c r="AE65" s="75" t="str">
        <f>AE64</f>
        <v>mold L 30 cm × W 9 cm × H 6 cm</v>
      </c>
      <c r="AF65" s="76" t="str">
        <f>AF64</f>
        <v>Master recipe ► Black pudding in 4 variations</v>
      </c>
      <c r="AG65" s="13" t="s">
        <v>66</v>
      </c>
      <c r="AH65" s="13" t="s">
        <v>67</v>
      </c>
      <c r="AI65" s="13" t="s">
        <v>68</v>
      </c>
      <c r="AJ65" s="13" t="s">
        <v>69</v>
      </c>
      <c r="AK65" s="77" t="s">
        <v>70</v>
      </c>
      <c r="AL65" s="78" t="s">
        <v>71</v>
      </c>
      <c r="AM65" s="79" t="s">
        <v>72</v>
      </c>
      <c r="AN65" s="1496" t="s">
        <v>73</v>
      </c>
      <c r="AO65" s="13" t="s">
        <v>75</v>
      </c>
      <c r="AP65" s="518" t="s">
        <v>76</v>
      </c>
      <c r="AR65" s="74" t="s">
        <v>16</v>
      </c>
      <c r="AS65" s="75" t="str">
        <f>AS64</f>
        <v>T TERRINAS DE MANITAS DE CERDO para rodaja  | | Autor &gt; Guy KRENZE - Eric GODDYN - Arnaud NICOLAS - CEPROC 2002</v>
      </c>
      <c r="AT65" s="75">
        <f>AT64</f>
        <v>1</v>
      </c>
      <c r="AU65" s="75" t="str">
        <f>AU64</f>
        <v>molde L 30 cm × A 9 cm × H 6 cm</v>
      </c>
      <c r="AV65" s="76" t="str">
        <f>AV64</f>
        <v>Receta madre ► Morcilla en 4 versiones</v>
      </c>
      <c r="AW65" s="13" t="s">
        <v>66</v>
      </c>
      <c r="AX65" s="13" t="s">
        <v>67</v>
      </c>
      <c r="AY65" s="13" t="s">
        <v>68</v>
      </c>
      <c r="AZ65" s="13" t="s">
        <v>69</v>
      </c>
      <c r="BA65" s="77" t="s">
        <v>70</v>
      </c>
      <c r="BB65" s="78" t="s">
        <v>71</v>
      </c>
      <c r="BC65" s="79" t="s">
        <v>72</v>
      </c>
      <c r="BD65" s="1496" t="s">
        <v>73</v>
      </c>
      <c r="BE65" s="13" t="s">
        <v>74</v>
      </c>
      <c r="BF65" s="518" t="s">
        <v>75</v>
      </c>
      <c r="BH65" s="104"/>
      <c r="BI65" s="32"/>
      <c r="BJ65" s="33"/>
      <c r="BK65" s="32"/>
      <c r="BL65" s="34"/>
      <c r="BM65" s="92"/>
      <c r="BN65" s="108"/>
      <c r="BO65" s="94"/>
      <c r="BP65" s="95"/>
      <c r="BQ65" s="105"/>
      <c r="BR65" s="5101"/>
      <c r="BS65" s="920"/>
      <c r="BT65" s="1495"/>
      <c r="BU65" s="101"/>
      <c r="BV65" s="1475"/>
      <c r="BX65" s="104"/>
      <c r="BY65" s="32"/>
      <c r="BZ65" s="33"/>
      <c r="CA65" s="32"/>
      <c r="CB65" s="34"/>
      <c r="CC65" s="92"/>
      <c r="CD65" s="108"/>
      <c r="CE65" s="94"/>
      <c r="CF65" s="95"/>
      <c r="CG65" s="105"/>
      <c r="CH65" s="5101"/>
      <c r="CI65" s="920"/>
      <c r="CJ65" s="1495"/>
      <c r="CK65" s="101"/>
      <c r="CL65" s="1475"/>
      <c r="CN65" s="104"/>
      <c r="CO65" s="32"/>
      <c r="CP65" s="33"/>
      <c r="CQ65" s="32"/>
      <c r="CR65" s="34"/>
      <c r="CS65" s="92"/>
      <c r="CT65" s="108"/>
      <c r="CU65" s="94"/>
      <c r="CV65" s="95"/>
      <c r="CW65" s="105"/>
      <c r="CX65" s="5101"/>
      <c r="CY65" s="920"/>
      <c r="CZ65" s="1495"/>
      <c r="DA65" s="101"/>
      <c r="DB65" s="1475"/>
      <c r="DC65" s="5109"/>
      <c r="DD65" s="5086"/>
      <c r="DF65" s="3">
        <v>1</v>
      </c>
    </row>
    <row r="66" spans="2:110" ht="21" customHeight="1">
      <c r="B66" s="952" t="str">
        <f t="shared" si="10"/>
        <v>A</v>
      </c>
      <c r="C66" s="993" cm="1">
        <f t="array" ref="C66">SUMPRODUCT(LEN(D66:J66))</f>
        <v>0</v>
      </c>
      <c r="D66" s="167"/>
      <c r="E66" s="172"/>
      <c r="F66" s="172"/>
      <c r="G66" s="172"/>
      <c r="H66" s="172"/>
      <c r="I66" s="172"/>
      <c r="J66" s="173"/>
      <c r="K66" s="442" t="s">
        <v>22</v>
      </c>
      <c r="L66" s="27" t="s">
        <v>11</v>
      </c>
      <c r="M66" s="32" t="str">
        <f>M64</f>
        <v>T TERRINE DE PIEDS DE PORC pour tranches | | Auteur &gt; Guy KRENZE - Eric GODDYN - Arnaud NICOLAS - CEPROC 2002</v>
      </c>
      <c r="N66" s="33">
        <f>N64</f>
        <v>1</v>
      </c>
      <c r="O66" s="32" t="str">
        <f>O64</f>
        <v xml:space="preserve">moule L 30 cm X l 9 cm X H 6 cm </v>
      </c>
      <c r="P66" s="34" t="str">
        <f>P64</f>
        <v>Recette mère ► le Boudin en 4 déclinaisons</v>
      </c>
      <c r="Q66" s="81" t="s">
        <v>77</v>
      </c>
      <c r="R66" s="82" t="s">
        <v>78</v>
      </c>
      <c r="S66" s="83"/>
      <c r="T66" s="5454" t="s">
        <v>79</v>
      </c>
      <c r="U66" s="5464" t="s">
        <v>80</v>
      </c>
      <c r="V66" s="5466" t="s">
        <v>81</v>
      </c>
      <c r="W66" s="84" t="s">
        <v>82</v>
      </c>
      <c r="X66" s="5444" t="s">
        <v>83</v>
      </c>
      <c r="Y66" s="5446" t="s">
        <v>3297</v>
      </c>
      <c r="Z66" s="5448" t="s">
        <v>86</v>
      </c>
      <c r="AB66" s="27" t="s">
        <v>11</v>
      </c>
      <c r="AC66" s="32" t="str">
        <f>AC64</f>
        <v>T TERRINE OF PIG’S TROTTERS  for slices | |  Author &gt; Guy KRENZE - Eric GODDYN - Arnaud NICOLAS - CEPROC 2002</v>
      </c>
      <c r="AD66" s="33">
        <f>AD64</f>
        <v>1</v>
      </c>
      <c r="AE66" s="32" t="str">
        <f>AE64</f>
        <v>mold L 30 cm × W 9 cm × H 6 cm</v>
      </c>
      <c r="AF66" s="34" t="str">
        <f>AF64</f>
        <v>Master recipe ► Black pudding in 4 variations</v>
      </c>
      <c r="AG66" s="81" t="s">
        <v>77</v>
      </c>
      <c r="AH66" s="82" t="s">
        <v>78</v>
      </c>
      <c r="AI66" s="83"/>
      <c r="AJ66" s="5454" t="s">
        <v>228</v>
      </c>
      <c r="AK66" s="5464" t="s">
        <v>80</v>
      </c>
      <c r="AL66" s="5466" t="s">
        <v>81</v>
      </c>
      <c r="AM66" s="84" t="s">
        <v>82</v>
      </c>
      <c r="AN66" s="5444" t="s">
        <v>244</v>
      </c>
      <c r="AO66" s="5446" t="s">
        <v>890</v>
      </c>
      <c r="AP66" s="5448" t="s">
        <v>247</v>
      </c>
      <c r="AR66" s="27" t="s">
        <v>11</v>
      </c>
      <c r="AS66" s="32" t="str">
        <f>AS64</f>
        <v>T TERRINAS DE MANITAS DE CERDO para rodaja  | | Autor &gt; Guy KRENZE - Eric GODDYN - Arnaud NICOLAS - CEPROC 2002</v>
      </c>
      <c r="AT66" s="33">
        <f>AT64</f>
        <v>1</v>
      </c>
      <c r="AU66" s="32" t="str">
        <f>AU64</f>
        <v>molde L 30 cm × A 9 cm × H 6 cm</v>
      </c>
      <c r="AV66" s="34" t="str">
        <f>AV64</f>
        <v>Receta madre ► Morcilla en 4 versiones</v>
      </c>
      <c r="AW66" s="81" t="s">
        <v>77</v>
      </c>
      <c r="AX66" s="82" t="s">
        <v>78</v>
      </c>
      <c r="AY66" s="83"/>
      <c r="AZ66" s="5470" t="s">
        <v>229</v>
      </c>
      <c r="BA66" s="5495" t="s">
        <v>80</v>
      </c>
      <c r="BB66" s="5481" t="s">
        <v>396</v>
      </c>
      <c r="BC66" s="84" t="s">
        <v>82</v>
      </c>
      <c r="BD66" s="5444" t="s">
        <v>249</v>
      </c>
      <c r="BE66" s="5446" t="s">
        <v>907</v>
      </c>
      <c r="BF66" s="5448" t="s">
        <v>252</v>
      </c>
      <c r="BH66" s="104"/>
      <c r="BI66" s="32"/>
      <c r="BJ66" s="33"/>
      <c r="BK66" s="32"/>
      <c r="BL66" s="34"/>
      <c r="BM66" s="92"/>
      <c r="BN66" s="108"/>
      <c r="BO66" s="94"/>
      <c r="BP66" s="95"/>
      <c r="BQ66" s="105"/>
      <c r="BR66" s="5101"/>
      <c r="BS66" s="920"/>
      <c r="BT66" s="1495"/>
      <c r="BU66" s="101"/>
      <c r="BV66" s="1475"/>
      <c r="BX66" s="104"/>
      <c r="BY66" s="32"/>
      <c r="BZ66" s="33"/>
      <c r="CA66" s="32"/>
      <c r="CB66" s="34"/>
      <c r="CC66" s="92"/>
      <c r="CD66" s="108"/>
      <c r="CE66" s="94"/>
      <c r="CF66" s="95"/>
      <c r="CG66" s="105"/>
      <c r="CH66" s="5101"/>
      <c r="CI66" s="920"/>
      <c r="CJ66" s="1495"/>
      <c r="CK66" s="101"/>
      <c r="CL66" s="1475"/>
      <c r="CN66" s="104"/>
      <c r="CO66" s="32"/>
      <c r="CP66" s="33"/>
      <c r="CQ66" s="32"/>
      <c r="CR66" s="34"/>
      <c r="CS66" s="92"/>
      <c r="CT66" s="108"/>
      <c r="CU66" s="94"/>
      <c r="CV66" s="95"/>
      <c r="CW66" s="105"/>
      <c r="CX66" s="5101"/>
      <c r="CY66" s="920"/>
      <c r="CZ66" s="1495"/>
      <c r="DA66" s="101"/>
      <c r="DB66" s="1475"/>
      <c r="DC66" s="5109"/>
      <c r="DD66" s="5073"/>
      <c r="DF66" s="3">
        <v>1</v>
      </c>
    </row>
    <row r="67" spans="2:110" ht="21" customHeight="1">
      <c r="B67" s="952" t="str">
        <f t="shared" si="10"/>
        <v>A</v>
      </c>
      <c r="C67" s="993" cm="1">
        <f t="array" ref="C67">SUMPRODUCT(LEN(D67:J67))</f>
        <v>0</v>
      </c>
      <c r="D67" s="167"/>
      <c r="E67" s="172"/>
      <c r="F67" s="172"/>
      <c r="G67" s="172"/>
      <c r="H67" s="172"/>
      <c r="I67" s="172"/>
      <c r="J67" s="173"/>
      <c r="K67" s="442" t="s">
        <v>22</v>
      </c>
      <c r="L67" s="27" t="s">
        <v>11</v>
      </c>
      <c r="M67" s="32" t="str">
        <f>M64</f>
        <v>T TERRINE DE PIEDS DE PORC pour tranches | | Auteur &gt; Guy KRENZE - Eric GODDYN - Arnaud NICOLAS - CEPROC 2002</v>
      </c>
      <c r="N67" s="33">
        <f>N64</f>
        <v>1</v>
      </c>
      <c r="O67" s="32" t="str">
        <f>O64</f>
        <v xml:space="preserve">moule L 30 cm X l 9 cm X H 6 cm </v>
      </c>
      <c r="P67" s="34" t="str">
        <f>P64</f>
        <v>Recette mère ► le Boudin en 4 déclinaisons</v>
      </c>
      <c r="Q67" s="87" t="s">
        <v>91</v>
      </c>
      <c r="R67" s="88" t="s">
        <v>92</v>
      </c>
      <c r="S67" s="89" t="s">
        <v>93</v>
      </c>
      <c r="T67" s="5455"/>
      <c r="U67" s="5465"/>
      <c r="V67" s="5467"/>
      <c r="W67" s="90" t="s">
        <v>94</v>
      </c>
      <c r="X67" s="5445"/>
      <c r="Y67" s="5447"/>
      <c r="Z67" s="5449"/>
      <c r="AB67" s="27" t="s">
        <v>11</v>
      </c>
      <c r="AC67" s="32" t="str">
        <f>AC64</f>
        <v>T TERRINE OF PIG’S TROTTERS  for slices | |  Author &gt; Guy KRENZE - Eric GODDYN - Arnaud NICOLAS - CEPROC 2002</v>
      </c>
      <c r="AD67" s="33">
        <f>AD64</f>
        <v>1</v>
      </c>
      <c r="AE67" s="32" t="str">
        <f>AE64</f>
        <v>mold L 30 cm × W 9 cm × H 6 cm</v>
      </c>
      <c r="AF67" s="34" t="str">
        <f>AF64</f>
        <v>Master recipe ► Black pudding in 4 variations</v>
      </c>
      <c r="AG67" s="87" t="s">
        <v>231</v>
      </c>
      <c r="AH67" s="88" t="s">
        <v>232</v>
      </c>
      <c r="AI67" s="89" t="s">
        <v>891</v>
      </c>
      <c r="AJ67" s="5455"/>
      <c r="AK67" s="5465"/>
      <c r="AL67" s="5467"/>
      <c r="AM67" s="90" t="s">
        <v>867</v>
      </c>
      <c r="AN67" s="5445"/>
      <c r="AO67" s="5447"/>
      <c r="AP67" s="5449"/>
      <c r="AR67" s="27" t="s">
        <v>11</v>
      </c>
      <c r="AS67" s="32" t="str">
        <f>AS64</f>
        <v>T TERRINAS DE MANITAS DE CERDO para rodaja  | | Autor &gt; Guy KRENZE - Eric GODDYN - Arnaud NICOLAS - CEPROC 2002</v>
      </c>
      <c r="AT67" s="33">
        <f>AT64</f>
        <v>1</v>
      </c>
      <c r="AU67" s="32" t="str">
        <f>AU64</f>
        <v>molde L 30 cm × A 9 cm × H 6 cm</v>
      </c>
      <c r="AV67" s="34" t="str">
        <f>AV64</f>
        <v>Receta madre ► Morcilla en 4 versiones</v>
      </c>
      <c r="AW67" s="87" t="s">
        <v>234</v>
      </c>
      <c r="AX67" s="88" t="s">
        <v>235</v>
      </c>
      <c r="AY67" s="89" t="s">
        <v>93</v>
      </c>
      <c r="AZ67" s="5455"/>
      <c r="BA67" s="5465"/>
      <c r="BB67" s="5467"/>
      <c r="BC67" s="90" t="s">
        <v>869</v>
      </c>
      <c r="BD67" s="5445"/>
      <c r="BE67" s="5447"/>
      <c r="BF67" s="5449"/>
      <c r="BH67" s="104"/>
      <c r="BI67" s="32"/>
      <c r="BJ67" s="33"/>
      <c r="BK67" s="32"/>
      <c r="BL67" s="34"/>
      <c r="BM67" s="92"/>
      <c r="BN67" s="108"/>
      <c r="BO67" s="94"/>
      <c r="BP67" s="95"/>
      <c r="BQ67" s="105"/>
      <c r="BR67" s="5101"/>
      <c r="BS67" s="920"/>
      <c r="BT67" s="1495"/>
      <c r="BU67" s="101"/>
      <c r="BV67" s="1475"/>
      <c r="BX67" s="104"/>
      <c r="BY67" s="32"/>
      <c r="BZ67" s="33"/>
      <c r="CA67" s="32"/>
      <c r="CB67" s="34"/>
      <c r="CC67" s="92"/>
      <c r="CD67" s="108"/>
      <c r="CE67" s="94"/>
      <c r="CF67" s="95"/>
      <c r="CG67" s="105"/>
      <c r="CH67" s="5101"/>
      <c r="CI67" s="920"/>
      <c r="CJ67" s="1495"/>
      <c r="CK67" s="101"/>
      <c r="CL67" s="1475"/>
      <c r="CN67" s="104"/>
      <c r="CO67" s="32"/>
      <c r="CP67" s="33"/>
      <c r="CQ67" s="32"/>
      <c r="CR67" s="34"/>
      <c r="CS67" s="92"/>
      <c r="CT67" s="108"/>
      <c r="CU67" s="94"/>
      <c r="CV67" s="95"/>
      <c r="CW67" s="105"/>
      <c r="CX67" s="5101"/>
      <c r="CY67" s="920"/>
      <c r="CZ67" s="1495"/>
      <c r="DA67" s="101"/>
      <c r="DB67" s="1475"/>
      <c r="DC67" s="5109"/>
      <c r="DD67" s="5073"/>
      <c r="DF67" s="3">
        <v>1</v>
      </c>
    </row>
    <row r="68" spans="2:110" ht="21" customHeight="1">
      <c r="B68" s="952" t="str">
        <f t="shared" si="10"/>
        <v>A</v>
      </c>
      <c r="C68" s="993" cm="1">
        <f t="array" ref="C68">SUMPRODUCT(LEN(D68:J68))</f>
        <v>0</v>
      </c>
      <c r="D68" s="167"/>
      <c r="E68" s="172"/>
      <c r="F68" s="172"/>
      <c r="G68" s="172"/>
      <c r="H68" s="172"/>
      <c r="I68" s="172"/>
      <c r="J68" s="173"/>
      <c r="K68" s="442" t="s">
        <v>22</v>
      </c>
      <c r="L68" s="27" t="s">
        <v>11</v>
      </c>
      <c r="M68" s="32" t="str">
        <f>M64</f>
        <v>T TERRINE DE PIEDS DE PORC pour tranches | | Auteur &gt; Guy KRENZE - Eric GODDYN - Arnaud NICOLAS - CEPROC 2002</v>
      </c>
      <c r="N68" s="33">
        <f>N64</f>
        <v>1</v>
      </c>
      <c r="O68" s="32" t="str">
        <f>O64</f>
        <v xml:space="preserve">moule L 30 cm X l 9 cm X H 6 cm </v>
      </c>
      <c r="P68" s="34" t="str">
        <f>P64</f>
        <v>Recette mère ► le Boudin en 4 déclinaisons</v>
      </c>
      <c r="Q68" s="92"/>
      <c r="R68" s="93"/>
      <c r="S68" s="94" t="str">
        <f t="shared" ref="S68:S82" si="22">IF(OR(ISTEXT(Q68), Q68&lt;=0, T68&lt;=0), "", "de")</f>
        <v/>
      </c>
      <c r="T68" s="95"/>
      <c r="U68" s="126"/>
      <c r="V68" s="127">
        <v>1</v>
      </c>
      <c r="W68" s="919"/>
      <c r="X68" s="100">
        <f>IF(OR(ISBLANK(Q62),X62=0),0,Q68*V63)</f>
        <v>0</v>
      </c>
      <c r="Y68" s="101" cm="1">
        <f t="array" ref="Y68">IFERROR(_xlfn.LET(_xlpm.k,UPPER(TRIM(U68)),_xlpm.r,_xlfn.XLOOKUP(_xlpm.k,UPPER(TRIM(Q84:Z84)),Q85:Z85,_xlfn.XLOOKUP(_xlpm.k,UPPER(TRIM(Q86:Z86)),Q87:Z87)),_xlpm.r*T68*V68*V63*IF(ISBLANK(Q68),1,Q68)),0)</f>
        <v>0</v>
      </c>
      <c r="Z68" s="1476" t="str">
        <f>_xlfn.LET(_xlpm.unite,SUBSTITUTE(TRIM(U68)," (s)",""),_xlpm.val,Y68,_xlpm.estVol,COUNTIF(T84:Z84,_xlpm.unite)+COUNTIF(T86:Z86,_xlpm.unite)&gt;0,_xlpm.estPoids,COUNTIF(Q84:S84,_xlpm.unite)+COUNTIF(Q86:S86,_xlpm.unite)&gt;0,IF(_xlpm.estVol,IF(ROUND(_xlpm.val,3)&gt;=1,ROUND(_xlpm.val,3)&amp;" L",MAX(1,ROUND(_xlpm.val*100,0))&amp;" cl"),IF(_xlpm.estPoids,IF(ROUND(_xlpm.val,3)&gt;=1,ROUND(_xlpm.val,3)&amp;" Kg",MAX(1,ROUND(_xlpm.val*1000,0))&amp;" g"),"")))</f>
        <v/>
      </c>
      <c r="AB68" s="27" t="s">
        <v>11</v>
      </c>
      <c r="AC68" s="32" t="str">
        <f>AC64</f>
        <v>T TERRINE OF PIG’S TROTTERS  for slices | |  Author &gt; Guy KRENZE - Eric GODDYN - Arnaud NICOLAS - CEPROC 2002</v>
      </c>
      <c r="AD68" s="33">
        <f>AD64</f>
        <v>1</v>
      </c>
      <c r="AE68" s="32" t="str">
        <f>AE64</f>
        <v>mold L 30 cm × W 9 cm × H 6 cm</v>
      </c>
      <c r="AF68" s="34" t="str">
        <f>AF64</f>
        <v>Master recipe ► Black pudding in 4 variations</v>
      </c>
      <c r="AG68" s="92"/>
      <c r="AH68" s="93"/>
      <c r="AI68" s="94" t="str">
        <f t="shared" ref="AI68:AI82" si="23">IF(OR(ISTEXT(AG68), AG68&lt;=0, AJ68&lt;=0), "", "de")</f>
        <v/>
      </c>
      <c r="AJ68" s="95"/>
      <c r="AK68" s="126"/>
      <c r="AL68" s="127">
        <v>1</v>
      </c>
      <c r="AM68" s="919"/>
      <c r="AN68" s="100">
        <f>IF(OR(ISBLANK(AG62),AN62=0),0,AG68*AL63)</f>
        <v>0</v>
      </c>
      <c r="AO68" s="101" cm="1">
        <f t="array" ref="AO68">IFERROR(_xlfn.LET(_xlpm.k,UPPER(TRIM(AK68)),_xlpm.r,_xlfn.XLOOKUP(_xlpm.k,UPPER(TRIM(AG84:AP84)),AG85:AP85,_xlfn.XLOOKUP(_xlpm.k,UPPER(TRIM(AG86:AP86)),AG87:AP87)),_xlpm.r*AJ68*AL68*AL63*IF(ISBLANK(AG68),1,AG68)),0)</f>
        <v>0</v>
      </c>
      <c r="AP68" s="1476" t="str">
        <f>_xlfn.LET(_xlpm.unite,SUBSTITUTE(TRIM(AK68)," (s)",""),_xlpm.val,AO68,_xlpm.estVol,COUNTIF(AJ84:AP84,_xlpm.unite)+COUNTIF(AJ86:AP86,_xlpm.unite)&gt;0,_xlpm.estPoids,COUNTIF(AG84:AI84,_xlpm.unite)+COUNTIF(AG86:AI86,_xlpm.unite)&gt;0,IF(_xlpm.estVol,IF(ROUND(_xlpm.val,3)&gt;=1,ROUND(_xlpm.val,3)&amp;" L",MAX(1,ROUND(_xlpm.val*100,0))&amp;" cl"),IF(_xlpm.estPoids,IF(ROUND(_xlpm.val,3)&gt;=1,ROUND(_xlpm.val,3)&amp;" Kg",MAX(1,ROUND(_xlpm.val*1000,0))&amp;" g"),"")))</f>
        <v/>
      </c>
      <c r="AR68" s="27" t="s">
        <v>11</v>
      </c>
      <c r="AS68" s="32" t="str">
        <f>AS64</f>
        <v>T TERRINAS DE MANITAS DE CERDO para rodaja  | | Autor &gt; Guy KRENZE - Eric GODDYN - Arnaud NICOLAS - CEPROC 2002</v>
      </c>
      <c r="AT68" s="33">
        <f>AT64</f>
        <v>1</v>
      </c>
      <c r="AU68" s="32" t="str">
        <f>AU64</f>
        <v>molde L 30 cm × A 9 cm × H 6 cm</v>
      </c>
      <c r="AV68" s="34" t="str">
        <f>AV64</f>
        <v>Receta madre ► Morcilla en 4 versiones</v>
      </c>
      <c r="AW68" s="92"/>
      <c r="AX68" s="93"/>
      <c r="AY68" s="94" t="str">
        <f t="shared" ref="AY68:AY82" si="24">IF(OR(ISTEXT(AW68), AW68&lt;=0, AZ68&lt;=0), "", "de")</f>
        <v/>
      </c>
      <c r="AZ68" s="95"/>
      <c r="BA68" s="126"/>
      <c r="BB68" s="127">
        <v>1</v>
      </c>
      <c r="BC68" s="919"/>
      <c r="BD68" s="100">
        <f>IF(OR(ISBLANK(AW62),BD62=0),0,AW68*BB63)</f>
        <v>0</v>
      </c>
      <c r="BE68" s="101" cm="1">
        <f t="array" ref="BE68">IFERROR(_xlfn.LET(_xlpm.k,UPPER(TRIM(BA68)),_xlpm.r,_xlfn.XLOOKUP(_xlpm.k,UPPER(TRIM(AW84:BF84)),AW85:BF85,_xlfn.XLOOKUP(_xlpm.k,UPPER(TRIM(AW86:BF86)),AW87:BF87)),_xlpm.r*AZ68*BB68*BB63*IF(ISBLANK(AW68),1,AW68)),0)</f>
        <v>0</v>
      </c>
      <c r="BF68" s="1476" t="str">
        <f>_xlfn.LET(_xlpm.unite,SUBSTITUTE(TRIM(BA68)," (s)",""),_xlpm.val,BE68,_xlpm.estVol,COUNTIF(AZ84:BF84,_xlpm.unite)+COUNTIF(AZ86:BF86,_xlpm.unite)&gt;0,_xlpm.estPoids,COUNTIF(AW84:AY84,_xlpm.unite)+COUNTIF(AW86:AY86,_xlpm.unite)&gt;0,IF(_xlpm.estVol,IF(ROUND(_xlpm.val,3)&gt;=1,ROUND(_xlpm.val,3)&amp;" L",MAX(1,ROUND(_xlpm.val*100,0))&amp;" cl"),IF(_xlpm.estPoids,IF(ROUND(_xlpm.val,3)&gt;=1,ROUND(_xlpm.val,3)&amp;" Kg",MAX(1,ROUND(_xlpm.val*1000,0))&amp;" g"),"")))</f>
        <v/>
      </c>
      <c r="BH68" s="104"/>
      <c r="BI68" s="32"/>
      <c r="BJ68" s="33"/>
      <c r="BK68" s="32"/>
      <c r="BL68" s="34"/>
      <c r="BM68" s="92"/>
      <c r="BN68" s="108"/>
      <c r="BO68" s="94"/>
      <c r="BP68" s="95"/>
      <c r="BQ68" s="105"/>
      <c r="BR68" s="5101"/>
      <c r="BS68" s="920"/>
      <c r="BT68" s="1495"/>
      <c r="BU68" s="101"/>
      <c r="BV68" s="1475"/>
      <c r="BX68" s="104"/>
      <c r="BY68" s="32"/>
      <c r="BZ68" s="33"/>
      <c r="CA68" s="32"/>
      <c r="CB68" s="34"/>
      <c r="CC68" s="92"/>
      <c r="CD68" s="108"/>
      <c r="CE68" s="94"/>
      <c r="CF68" s="95"/>
      <c r="CG68" s="105"/>
      <c r="CH68" s="5101"/>
      <c r="CI68" s="920"/>
      <c r="CJ68" s="1495"/>
      <c r="CK68" s="101"/>
      <c r="CL68" s="1475"/>
      <c r="CN68" s="104"/>
      <c r="CO68" s="32"/>
      <c r="CP68" s="33"/>
      <c r="CQ68" s="32"/>
      <c r="CR68" s="34"/>
      <c r="CS68" s="92"/>
      <c r="CT68" s="108"/>
      <c r="CU68" s="94"/>
      <c r="CV68" s="95"/>
      <c r="CW68" s="105"/>
      <c r="CX68" s="5101"/>
      <c r="CY68" s="920"/>
      <c r="CZ68" s="1495"/>
      <c r="DA68" s="101"/>
      <c r="DB68" s="1475"/>
      <c r="DC68" s="5109"/>
      <c r="DD68" s="5073"/>
      <c r="DF68" s="3">
        <v>1</v>
      </c>
    </row>
    <row r="69" spans="2:110" ht="21" customHeight="1">
      <c r="B69" s="952" t="str">
        <f t="shared" si="10"/>
        <v>A</v>
      </c>
      <c r="C69" s="993" cm="1">
        <f t="array" ref="C69">SUMPRODUCT(LEN(D69:J69))</f>
        <v>0</v>
      </c>
      <c r="D69" s="167"/>
      <c r="E69" s="172"/>
      <c r="F69" s="172"/>
      <c r="G69" s="172"/>
      <c r="H69" s="172"/>
      <c r="I69" s="172"/>
      <c r="J69" s="173"/>
      <c r="K69" s="442" t="s">
        <v>22</v>
      </c>
      <c r="L69" s="104" t="str">
        <f t="shared" ref="L69:L82" si="25">IF(W69&lt;&gt;"","A","►")</f>
        <v>A</v>
      </c>
      <c r="M69" s="32" t="str">
        <f>M64</f>
        <v>T TERRINE DE PIEDS DE PORC pour tranches | | Auteur &gt; Guy KRENZE - Eric GODDYN - Arnaud NICOLAS - CEPROC 2002</v>
      </c>
      <c r="N69" s="33">
        <f>N64</f>
        <v>1</v>
      </c>
      <c r="O69" s="32" t="str">
        <f>O64</f>
        <v xml:space="preserve">moule L 30 cm X l 9 cm X H 6 cm </v>
      </c>
      <c r="P69" s="34" t="str">
        <f>P64</f>
        <v>Recette mère ► le Boudin en 4 déclinaisons</v>
      </c>
      <c r="Q69" s="92"/>
      <c r="R69" s="93"/>
      <c r="S69" s="94" t="str">
        <f t="shared" si="22"/>
        <v/>
      </c>
      <c r="T69" s="95"/>
      <c r="U69" s="126"/>
      <c r="V69" s="127">
        <v>1</v>
      </c>
      <c r="W69" s="920" t="s">
        <v>12856</v>
      </c>
      <c r="X69" s="1494">
        <f>IF(OR(ISBLANK(Q62),X62=0),0,Q69*V63)</f>
        <v>0</v>
      </c>
      <c r="Y69" s="101" cm="1">
        <f t="array" ref="Y69">IFERROR(_xlfn.LET(_xlpm.k,UPPER(TRIM(U69)),_xlpm.r,_xlfn.XLOOKUP(_xlpm.k,UPPER(TRIM(Q84:Z84)),Q85:Z85,_xlfn.XLOOKUP(_xlpm.k,UPPER(TRIM(Q86:Z86)),Q87:Z87)),_xlpm.r*T69*V69*V63*IF(ISBLANK(Q69),1,Q69)),0)</f>
        <v>0</v>
      </c>
      <c r="Z69" s="1475" t="str">
        <f>_xlfn.LET(_xlpm.unite,SUBSTITUTE(TRIM(U69)," (s)",""),_xlpm.val,Y69,_xlpm.estVol,COUNTIF(T84:Z84,_xlpm.unite)+COUNTIF(T86:Z86,_xlpm.unite)&gt;0,_xlpm.estPoids,COUNTIF(Q84:S84,_xlpm.unite)+COUNTIF(Q86:S86,_xlpm.unite)&gt;0,IF(_xlpm.estVol,IF(ROUND(_xlpm.val,3)&gt;=1,ROUND(_xlpm.val,3)&amp;" L",MAX(1,ROUND(_xlpm.val*100,0))&amp;" cl"),IF(_xlpm.estPoids,IF(ROUND(_xlpm.val,3)&gt;=1,ROUND(_xlpm.val,3)&amp;" Kg",MAX(1,ROUND(_xlpm.val*1000,0))&amp;" g"),"")))</f>
        <v/>
      </c>
      <c r="AB69" s="104" t="str">
        <f t="shared" ref="AB69:AB82" si="26">IF(AM69&lt;&gt;"","A","►")</f>
        <v>A</v>
      </c>
      <c r="AC69" s="32" t="str">
        <f>AC64</f>
        <v>T TERRINE OF PIG’S TROTTERS  for slices | |  Author &gt; Guy KRENZE - Eric GODDYN - Arnaud NICOLAS - CEPROC 2002</v>
      </c>
      <c r="AD69" s="33">
        <f>AD64</f>
        <v>1</v>
      </c>
      <c r="AE69" s="32" t="str">
        <f>AE64</f>
        <v>mold L 30 cm × W 9 cm × H 6 cm</v>
      </c>
      <c r="AF69" s="34" t="str">
        <f>AF64</f>
        <v>Master recipe ► Black pudding in 4 variations</v>
      </c>
      <c r="AG69" s="92"/>
      <c r="AH69" s="93"/>
      <c r="AI69" s="94" t="str">
        <f t="shared" si="23"/>
        <v/>
      </c>
      <c r="AJ69" s="95"/>
      <c r="AK69" s="126"/>
      <c r="AL69" s="127">
        <v>1</v>
      </c>
      <c r="AM69" s="920" t="s">
        <v>12998</v>
      </c>
      <c r="AN69" s="1494">
        <f>IF(OR(ISBLANK(AG62),AN62=0),0,AG69*AL63)</f>
        <v>0</v>
      </c>
      <c r="AO69" s="101" cm="1">
        <f t="array" ref="AO69">IFERROR(_xlfn.LET(_xlpm.k,UPPER(TRIM(AK69)),_xlpm.r,_xlfn.XLOOKUP(_xlpm.k,UPPER(TRIM(AG84:AP84)),AG85:AP85,_xlfn.XLOOKUP(_xlpm.k,UPPER(TRIM(AG86:AP86)),AG87:AP87)),_xlpm.r*AJ69*AL69*AL63*IF(ISBLANK(AG69),1,AG69)),0)</f>
        <v>0</v>
      </c>
      <c r="AP69" s="1475" t="str">
        <f>_xlfn.LET(_xlpm.unite,SUBSTITUTE(TRIM(AK69)," (s)",""),_xlpm.val,AO69,_xlpm.estVol,COUNTIF(AJ84:AP84,_xlpm.unite)+COUNTIF(AJ86:AP86,_xlpm.unite)&gt;0,_xlpm.estPoids,COUNTIF(AG84:AI84,_xlpm.unite)+COUNTIF(AG86:AI86,_xlpm.unite)&gt;0,IF(_xlpm.estVol,IF(ROUND(_xlpm.val,3)&gt;=1,ROUND(_xlpm.val,3)&amp;" L",MAX(1,ROUND(_xlpm.val*100,0))&amp;" cl"),IF(_xlpm.estPoids,IF(ROUND(_xlpm.val,3)&gt;=1,ROUND(_xlpm.val,3)&amp;" Kg",MAX(1,ROUND(_xlpm.val*1000,0))&amp;" g"),"")))</f>
        <v/>
      </c>
      <c r="AR69" s="104" t="str">
        <f t="shared" ref="AR69:AR82" si="27">IF(BC69&lt;&gt;"","A","►")</f>
        <v>A</v>
      </c>
      <c r="AS69" s="32" t="str">
        <f>AS64</f>
        <v>T TERRINAS DE MANITAS DE CERDO para rodaja  | | Autor &gt; Guy KRENZE - Eric GODDYN - Arnaud NICOLAS - CEPROC 2002</v>
      </c>
      <c r="AT69" s="33">
        <f>AT64</f>
        <v>1</v>
      </c>
      <c r="AU69" s="32" t="str">
        <f>AU64</f>
        <v>molde L 30 cm × A 9 cm × H 6 cm</v>
      </c>
      <c r="AV69" s="34" t="str">
        <f>AV64</f>
        <v>Receta madre ► Morcilla en 4 versiones</v>
      </c>
      <c r="AW69" s="92"/>
      <c r="AX69" s="93"/>
      <c r="AY69" s="94" t="str">
        <f t="shared" si="24"/>
        <v/>
      </c>
      <c r="AZ69" s="95"/>
      <c r="BA69" s="126"/>
      <c r="BB69" s="127">
        <v>1</v>
      </c>
      <c r="BC69" s="920" t="s">
        <v>12997</v>
      </c>
      <c r="BD69" s="1494">
        <f>IF(OR(ISBLANK(AW62),BD62=0),0,AW69*BB63)</f>
        <v>0</v>
      </c>
      <c r="BE69" s="101" cm="1">
        <f t="array" ref="BE69">IFERROR(_xlfn.LET(_xlpm.k,UPPER(TRIM(BA69)),_xlpm.r,_xlfn.XLOOKUP(_xlpm.k,UPPER(TRIM(AW84:BF84)),AW85:BF85,_xlfn.XLOOKUP(_xlpm.k,UPPER(TRIM(AW86:BF86)),AW87:BF87)),_xlpm.r*AZ69*BB69*BB63*IF(ISBLANK(AW69),1,AW69)),0)</f>
        <v>0</v>
      </c>
      <c r="BF69" s="1475" t="str">
        <f>_xlfn.LET(_xlpm.unite,SUBSTITUTE(TRIM(BA69)," (s)",""),_xlpm.val,BE69,_xlpm.estVol,COUNTIF(AZ84:BF84,_xlpm.unite)+COUNTIF(AZ86:BF86,_xlpm.unite)&gt;0,_xlpm.estPoids,COUNTIF(AW84:AY84,_xlpm.unite)+COUNTIF(AW86:AY86,_xlpm.unite)&gt;0,IF(_xlpm.estVol,IF(ROUND(_xlpm.val,3)&gt;=1,ROUND(_xlpm.val,3)&amp;" L",MAX(1,ROUND(_xlpm.val*100,0))&amp;" cl"),IF(_xlpm.estPoids,IF(ROUND(_xlpm.val,3)&gt;=1,ROUND(_xlpm.val,3)&amp;" Kg",MAX(1,ROUND(_xlpm.val*1000,0))&amp;" g"),"")))</f>
        <v/>
      </c>
      <c r="BH69" s="104"/>
      <c r="BI69" s="32"/>
      <c r="BJ69" s="33"/>
      <c r="BK69" s="32"/>
      <c r="BL69" s="34"/>
      <c r="BM69" s="92"/>
      <c r="BN69" s="108"/>
      <c r="BO69" s="94"/>
      <c r="BP69" s="95"/>
      <c r="BQ69" s="105"/>
      <c r="BR69" s="5101"/>
      <c r="BS69" s="920"/>
      <c r="BT69" s="1495"/>
      <c r="BU69" s="101"/>
      <c r="BV69" s="1475"/>
      <c r="BX69" s="104"/>
      <c r="BY69" s="32"/>
      <c r="BZ69" s="33"/>
      <c r="CA69" s="32"/>
      <c r="CB69" s="34"/>
      <c r="CC69" s="92"/>
      <c r="CD69" s="108"/>
      <c r="CE69" s="94"/>
      <c r="CF69" s="95"/>
      <c r="CG69" s="105"/>
      <c r="CH69" s="5101"/>
      <c r="CI69" s="920"/>
      <c r="CJ69" s="1495"/>
      <c r="CK69" s="101"/>
      <c r="CL69" s="1475"/>
      <c r="CN69" s="104"/>
      <c r="CO69" s="32"/>
      <c r="CP69" s="33"/>
      <c r="CQ69" s="32"/>
      <c r="CR69" s="34"/>
      <c r="CS69" s="92"/>
      <c r="CT69" s="108"/>
      <c r="CU69" s="94"/>
      <c r="CV69" s="95"/>
      <c r="CW69" s="105"/>
      <c r="CX69" s="5101"/>
      <c r="CY69" s="920"/>
      <c r="CZ69" s="1495"/>
      <c r="DA69" s="101"/>
      <c r="DB69" s="1475"/>
      <c r="DC69" s="5109"/>
      <c r="DD69" s="5073"/>
      <c r="DF69" s="3">
        <v>1</v>
      </c>
    </row>
    <row r="70" spans="2:110" ht="21" customHeight="1">
      <c r="B70" s="952" t="str">
        <f t="shared" si="10"/>
        <v>A</v>
      </c>
      <c r="C70" s="993" cm="1">
        <f t="array" ref="C70">SUMPRODUCT(LEN(D70:J70))</f>
        <v>0</v>
      </c>
      <c r="D70" s="167"/>
      <c r="E70" s="172"/>
      <c r="F70" s="172"/>
      <c r="G70" s="172"/>
      <c r="H70" s="172"/>
      <c r="I70" s="172"/>
      <c r="J70" s="173"/>
      <c r="K70" s="442" t="s">
        <v>22</v>
      </c>
      <c r="L70" s="104" t="str">
        <f t="shared" si="25"/>
        <v>A</v>
      </c>
      <c r="M70" s="32" t="str">
        <f>M64</f>
        <v>T TERRINE DE PIEDS DE PORC pour tranches | | Auteur &gt; Guy KRENZE - Eric GODDYN - Arnaud NICOLAS - CEPROC 2002</v>
      </c>
      <c r="N70" s="33">
        <f>N64</f>
        <v>1</v>
      </c>
      <c r="O70" s="32" t="str">
        <f>O64</f>
        <v xml:space="preserve">moule L 30 cm X l 9 cm X H 6 cm </v>
      </c>
      <c r="P70" s="34" t="str">
        <f>P64</f>
        <v>Recette mère ► le Boudin en 4 déclinaisons</v>
      </c>
      <c r="Q70" s="92"/>
      <c r="R70" s="108"/>
      <c r="S70" s="94" t="str">
        <f t="shared" si="22"/>
        <v/>
      </c>
      <c r="T70" s="95">
        <v>300</v>
      </c>
      <c r="U70" s="105" t="s">
        <v>99</v>
      </c>
      <c r="V70" s="127">
        <v>1</v>
      </c>
      <c r="W70" s="920" t="s">
        <v>12848</v>
      </c>
      <c r="X70" s="1494">
        <f>IF(OR(ISBLANK(Q62),X62=0),0,Q70*V63)</f>
        <v>0</v>
      </c>
      <c r="Y70" s="101" cm="1">
        <f t="array" ref="Y70">IFERROR(_xlfn.LET(_xlpm.k,UPPER(TRIM(U70)),_xlpm.r,_xlfn.XLOOKUP(_xlpm.k,UPPER(TRIM(Q84:Z84)),Q85:Z85,_xlfn.XLOOKUP(_xlpm.k,UPPER(TRIM(Q86:Z86)),Q87:Z87)),_xlpm.r*T70*V70*V63*IF(ISBLANK(Q70),1,Q70)),0)</f>
        <v>0.6</v>
      </c>
      <c r="Z70" s="1476" t="str">
        <f>_xlfn.LET(_xlpm.unite,SUBSTITUTE(TRIM(U70)," (s)",""),_xlpm.val,Y70,_xlpm.estVol,COUNTIF(T84:Z84,_xlpm.unite)+COUNTIF(T86:Z86,_xlpm.unite)&gt;0,_xlpm.estPoids,COUNTIF(Q84:S84,_xlpm.unite)+COUNTIF(Q86:S86,_xlpm.unite)&gt;0,IF(_xlpm.estVol,IF(ROUND(_xlpm.val,3)&gt;=1,ROUND(_xlpm.val,3)&amp;" L",MAX(1,ROUND(_xlpm.val*100,0))&amp;" cl"),IF(_xlpm.estPoids,IF(ROUND(_xlpm.val,3)&gt;=1,ROUND(_xlpm.val,3)&amp;" Kg",MAX(1,ROUND(_xlpm.val*1000,0))&amp;" g"),"")))</f>
        <v>600 g</v>
      </c>
      <c r="AB70" s="104" t="str">
        <f t="shared" si="26"/>
        <v>A</v>
      </c>
      <c r="AC70" s="32" t="str">
        <f>AC64</f>
        <v>T TERRINE OF PIG’S TROTTERS  for slices | |  Author &gt; Guy KRENZE - Eric GODDYN - Arnaud NICOLAS - CEPROC 2002</v>
      </c>
      <c r="AD70" s="33">
        <f>AD64</f>
        <v>1</v>
      </c>
      <c r="AE70" s="32" t="str">
        <f>AE64</f>
        <v>mold L 30 cm × W 9 cm × H 6 cm</v>
      </c>
      <c r="AF70" s="34" t="str">
        <f>AF64</f>
        <v>Master recipe ► Black pudding in 4 variations</v>
      </c>
      <c r="AG70" s="92"/>
      <c r="AH70" s="108"/>
      <c r="AI70" s="94" t="str">
        <f t="shared" si="23"/>
        <v/>
      </c>
      <c r="AJ70" s="95">
        <v>300</v>
      </c>
      <c r="AK70" s="105" t="s">
        <v>99</v>
      </c>
      <c r="AL70" s="127">
        <v>1</v>
      </c>
      <c r="AM70" s="920" t="s">
        <v>12952</v>
      </c>
      <c r="AN70" s="1494">
        <f>IF(OR(ISBLANK(AG62),AN62=0),0,AG70*AL63)</f>
        <v>0</v>
      </c>
      <c r="AO70" s="101" cm="1">
        <f t="array" ref="AO70">IFERROR(_xlfn.LET(_xlpm.k,UPPER(TRIM(AK70)),_xlpm.r,_xlfn.XLOOKUP(_xlpm.k,UPPER(TRIM(AG84:AP84)),AG85:AP85,_xlfn.XLOOKUP(_xlpm.k,UPPER(TRIM(AG86:AP86)),AG87:AP87)),_xlpm.r*AJ70*AL70*AL63*IF(ISBLANK(AG70),1,AG70)),0)</f>
        <v>0.6</v>
      </c>
      <c r="AP70" s="1476" t="str">
        <f>_xlfn.LET(_xlpm.unite,SUBSTITUTE(TRIM(AK70)," (s)",""),_xlpm.val,AO70,_xlpm.estVol,COUNTIF(AJ84:AP84,_xlpm.unite)+COUNTIF(AJ86:AP86,_xlpm.unite)&gt;0,_xlpm.estPoids,COUNTIF(AG84:AI84,_xlpm.unite)+COUNTIF(AG86:AI86,_xlpm.unite)&gt;0,IF(_xlpm.estVol,IF(ROUND(_xlpm.val,3)&gt;=1,ROUND(_xlpm.val,3)&amp;" L",MAX(1,ROUND(_xlpm.val*100,0))&amp;" cl"),IF(_xlpm.estPoids,IF(ROUND(_xlpm.val,3)&gt;=1,ROUND(_xlpm.val,3)&amp;" Kg",MAX(1,ROUND(_xlpm.val*1000,0))&amp;" g"),"")))</f>
        <v>600 g</v>
      </c>
      <c r="AR70" s="104" t="str">
        <f t="shared" si="27"/>
        <v>A</v>
      </c>
      <c r="AS70" s="32" t="str">
        <f>AS64</f>
        <v>T TERRINAS DE MANITAS DE CERDO para rodaja  | | Autor &gt; Guy KRENZE - Eric GODDYN - Arnaud NICOLAS - CEPROC 2002</v>
      </c>
      <c r="AT70" s="33">
        <f>AT64</f>
        <v>1</v>
      </c>
      <c r="AU70" s="32" t="str">
        <f>AU64</f>
        <v>molde L 30 cm × A 9 cm × H 6 cm</v>
      </c>
      <c r="AV70" s="34" t="str">
        <f>AV64</f>
        <v>Receta madre ► Morcilla en 4 versiones</v>
      </c>
      <c r="AW70" s="92"/>
      <c r="AX70" s="108"/>
      <c r="AY70" s="94" t="str">
        <f t="shared" si="24"/>
        <v/>
      </c>
      <c r="AZ70" s="95">
        <v>300</v>
      </c>
      <c r="BA70" s="105" t="s">
        <v>99</v>
      </c>
      <c r="BB70" s="127">
        <v>1</v>
      </c>
      <c r="BC70" s="920" t="s">
        <v>12953</v>
      </c>
      <c r="BD70" s="1494">
        <f>IF(OR(ISBLANK(AW62),BD62=0),0,AW70*BB63)</f>
        <v>0</v>
      </c>
      <c r="BE70" s="101" cm="1">
        <f t="array" ref="BE70">IFERROR(_xlfn.LET(_xlpm.k,UPPER(TRIM(BA70)),_xlpm.r,_xlfn.XLOOKUP(_xlpm.k,UPPER(TRIM(AW84:BF84)),AW85:BF85,_xlfn.XLOOKUP(_xlpm.k,UPPER(TRIM(AW86:BF86)),AW87:BF87)),_xlpm.r*AZ70*BB70*BB63*IF(ISBLANK(AW70),1,AW70)),0)</f>
        <v>0.6</v>
      </c>
      <c r="BF70" s="1476" t="str">
        <f>_xlfn.LET(_xlpm.unite,SUBSTITUTE(TRIM(BA70)," (s)",""),_xlpm.val,BE70,_xlpm.estVol,COUNTIF(AZ84:BF84,_xlpm.unite)+COUNTIF(AZ86:BF86,_xlpm.unite)&gt;0,_xlpm.estPoids,COUNTIF(AW84:AY84,_xlpm.unite)+COUNTIF(AW86:AY86,_xlpm.unite)&gt;0,IF(_xlpm.estVol,IF(ROUND(_xlpm.val,3)&gt;=1,ROUND(_xlpm.val,3)&amp;" L",MAX(1,ROUND(_xlpm.val*100,0))&amp;" cl"),IF(_xlpm.estPoids,IF(ROUND(_xlpm.val,3)&gt;=1,ROUND(_xlpm.val,3)&amp;" Kg",MAX(1,ROUND(_xlpm.val*1000,0))&amp;" g"),"")))</f>
        <v>600 g</v>
      </c>
      <c r="BH70" s="104"/>
      <c r="BI70" s="32"/>
      <c r="BJ70" s="33"/>
      <c r="BK70" s="32"/>
      <c r="BL70" s="34"/>
      <c r="BM70" s="92"/>
      <c r="BN70" s="108"/>
      <c r="BO70" s="94"/>
      <c r="BP70" s="95"/>
      <c r="BQ70" s="105"/>
      <c r="BR70" s="5101"/>
      <c r="BS70" s="920"/>
      <c r="BT70" s="1495"/>
      <c r="BU70" s="101"/>
      <c r="BV70" s="1475"/>
      <c r="BX70" s="104"/>
      <c r="BY70" s="32"/>
      <c r="BZ70" s="33"/>
      <c r="CA70" s="32"/>
      <c r="CB70" s="34"/>
      <c r="CC70" s="92"/>
      <c r="CD70" s="108"/>
      <c r="CE70" s="94"/>
      <c r="CF70" s="95"/>
      <c r="CG70" s="105"/>
      <c r="CH70" s="5101"/>
      <c r="CI70" s="920"/>
      <c r="CJ70" s="1495"/>
      <c r="CK70" s="101"/>
      <c r="CL70" s="1475"/>
      <c r="CN70" s="104"/>
      <c r="CO70" s="32"/>
      <c r="CP70" s="33"/>
      <c r="CQ70" s="32"/>
      <c r="CR70" s="34"/>
      <c r="CS70" s="92"/>
      <c r="CT70" s="108"/>
      <c r="CU70" s="94"/>
      <c r="CV70" s="95"/>
      <c r="CW70" s="105"/>
      <c r="CX70" s="5101"/>
      <c r="CY70" s="920"/>
      <c r="CZ70" s="1495"/>
      <c r="DA70" s="101"/>
      <c r="DB70" s="1475"/>
      <c r="DC70" s="5109"/>
      <c r="DD70" s="5073"/>
      <c r="DF70" s="3">
        <v>1</v>
      </c>
    </row>
    <row r="71" spans="2:110" ht="21" customHeight="1">
      <c r="B71" s="952" t="str">
        <f t="shared" si="10"/>
        <v>A</v>
      </c>
      <c r="C71" s="993" cm="1">
        <f t="array" ref="C71">SUMPRODUCT(LEN(D71:J71))</f>
        <v>0</v>
      </c>
      <c r="D71" s="167"/>
      <c r="E71" s="172"/>
      <c r="F71" s="172"/>
      <c r="G71" s="172"/>
      <c r="H71" s="172"/>
      <c r="I71" s="172"/>
      <c r="J71" s="173"/>
      <c r="K71" s="442" t="s">
        <v>22</v>
      </c>
      <c r="L71" s="104" t="str">
        <f t="shared" si="25"/>
        <v>A</v>
      </c>
      <c r="M71" s="32" t="str">
        <f>M64</f>
        <v>T TERRINE DE PIEDS DE PORC pour tranches | | Auteur &gt; Guy KRENZE - Eric GODDYN - Arnaud NICOLAS - CEPROC 2002</v>
      </c>
      <c r="N71" s="33">
        <f>N64</f>
        <v>1</v>
      </c>
      <c r="O71" s="32" t="str">
        <f>O64</f>
        <v xml:space="preserve">moule L 30 cm X l 9 cm X H 6 cm </v>
      </c>
      <c r="P71" s="34" t="str">
        <f>P64</f>
        <v>Recette mère ► le Boudin en 4 déclinaisons</v>
      </c>
      <c r="Q71" s="92"/>
      <c r="R71" s="108"/>
      <c r="S71" s="94" t="str">
        <f t="shared" si="22"/>
        <v/>
      </c>
      <c r="T71" s="95">
        <v>300</v>
      </c>
      <c r="U71" s="105" t="s">
        <v>99</v>
      </c>
      <c r="V71" s="127">
        <v>1</v>
      </c>
      <c r="W71" s="920" t="s">
        <v>12849</v>
      </c>
      <c r="X71" s="1494">
        <f>IF(OR(ISBLANK(Q62),X62=0),0,Q71*V63)</f>
        <v>0</v>
      </c>
      <c r="Y71" s="101" cm="1">
        <f t="array" ref="Y71">IFERROR(_xlfn.LET(_xlpm.k,UPPER(TRIM(U71)),_xlpm.r,_xlfn.XLOOKUP(_xlpm.k,UPPER(TRIM(Q84:Z84)),Q85:Z85,_xlfn.XLOOKUP(_xlpm.k,UPPER(TRIM(Q86:Z86)),Q87:Z87)),_xlpm.r*T71*V71*V63*IF(ISBLANK(Q71),1,Q71)),0)</f>
        <v>0.6</v>
      </c>
      <c r="Z71" s="1475" t="str">
        <f>_xlfn.LET(_xlpm.unite,SUBSTITUTE(TRIM(U71)," (s)",""),_xlpm.val,Y71,_xlpm.estVol,COUNTIF(T84:Z84,_xlpm.unite)+COUNTIF(T86:Z86,_xlpm.unite)&gt;0,_xlpm.estPoids,COUNTIF(Q84:S84,_xlpm.unite)+COUNTIF(Q86:S86,_xlpm.unite)&gt;0,IF(_xlpm.estVol,IF(ROUND(_xlpm.val,3)&gt;=1,ROUND(_xlpm.val,3)&amp;" L",MAX(1,ROUND(_xlpm.val*100,0))&amp;" cl"),IF(_xlpm.estPoids,IF(ROUND(_xlpm.val,3)&gt;=1,ROUND(_xlpm.val,3)&amp;" Kg",MAX(1,ROUND(_xlpm.val*1000,0))&amp;" g"),"")))</f>
        <v>600 g</v>
      </c>
      <c r="AB71" s="104" t="str">
        <f t="shared" si="26"/>
        <v>A</v>
      </c>
      <c r="AC71" s="32" t="str">
        <f>AC64</f>
        <v>T TERRINE OF PIG’S TROTTERS  for slices | |  Author &gt; Guy KRENZE - Eric GODDYN - Arnaud NICOLAS - CEPROC 2002</v>
      </c>
      <c r="AD71" s="33">
        <f>AD64</f>
        <v>1</v>
      </c>
      <c r="AE71" s="32" t="str">
        <f>AE64</f>
        <v>mold L 30 cm × W 9 cm × H 6 cm</v>
      </c>
      <c r="AF71" s="34" t="str">
        <f>AF64</f>
        <v>Master recipe ► Black pudding in 4 variations</v>
      </c>
      <c r="AG71" s="92"/>
      <c r="AH71" s="108"/>
      <c r="AI71" s="94" t="str">
        <f t="shared" si="23"/>
        <v/>
      </c>
      <c r="AJ71" s="95">
        <v>300</v>
      </c>
      <c r="AK71" s="105" t="s">
        <v>99</v>
      </c>
      <c r="AL71" s="127">
        <v>1</v>
      </c>
      <c r="AM71" s="920" t="s">
        <v>12955</v>
      </c>
      <c r="AN71" s="1494">
        <f>IF(OR(ISBLANK(AG62),AN62=0),0,AG71*AL63)</f>
        <v>0</v>
      </c>
      <c r="AO71" s="101" cm="1">
        <f t="array" ref="AO71">IFERROR(_xlfn.LET(_xlpm.k,UPPER(TRIM(AK71)),_xlpm.r,_xlfn.XLOOKUP(_xlpm.k,UPPER(TRIM(AG84:AP84)),AG85:AP85,_xlfn.XLOOKUP(_xlpm.k,UPPER(TRIM(AG86:AP86)),AG87:AP87)),_xlpm.r*AJ71*AL71*AL63*IF(ISBLANK(AG71),1,AG71)),0)</f>
        <v>0.6</v>
      </c>
      <c r="AP71" s="1475" t="str">
        <f>_xlfn.LET(_xlpm.unite,SUBSTITUTE(TRIM(AK71)," (s)",""),_xlpm.val,AO71,_xlpm.estVol,COUNTIF(AJ84:AP84,_xlpm.unite)+COUNTIF(AJ86:AP86,_xlpm.unite)&gt;0,_xlpm.estPoids,COUNTIF(AG84:AI84,_xlpm.unite)+COUNTIF(AG86:AI86,_xlpm.unite)&gt;0,IF(_xlpm.estVol,IF(ROUND(_xlpm.val,3)&gt;=1,ROUND(_xlpm.val,3)&amp;" L",MAX(1,ROUND(_xlpm.val*100,0))&amp;" cl"),IF(_xlpm.estPoids,IF(ROUND(_xlpm.val,3)&gt;=1,ROUND(_xlpm.val,3)&amp;" Kg",MAX(1,ROUND(_xlpm.val*1000,0))&amp;" g"),"")))</f>
        <v>600 g</v>
      </c>
      <c r="AR71" s="104" t="str">
        <f t="shared" si="27"/>
        <v>A</v>
      </c>
      <c r="AS71" s="32" t="str">
        <f>AS64</f>
        <v>T TERRINAS DE MANITAS DE CERDO para rodaja  | | Autor &gt; Guy KRENZE - Eric GODDYN - Arnaud NICOLAS - CEPROC 2002</v>
      </c>
      <c r="AT71" s="33">
        <f>AT64</f>
        <v>1</v>
      </c>
      <c r="AU71" s="32" t="str">
        <f>AU64</f>
        <v>molde L 30 cm × A 9 cm × H 6 cm</v>
      </c>
      <c r="AV71" s="34" t="str">
        <f>AV64</f>
        <v>Receta madre ► Morcilla en 4 versiones</v>
      </c>
      <c r="AW71" s="92"/>
      <c r="AX71" s="108"/>
      <c r="AY71" s="94" t="str">
        <f t="shared" si="24"/>
        <v/>
      </c>
      <c r="AZ71" s="95">
        <v>300</v>
      </c>
      <c r="BA71" s="105" t="s">
        <v>99</v>
      </c>
      <c r="BB71" s="127">
        <v>1</v>
      </c>
      <c r="BC71" s="920" t="s">
        <v>12956</v>
      </c>
      <c r="BD71" s="1494">
        <f>IF(OR(ISBLANK(AW62),BD62=0),0,AW71*BB63)</f>
        <v>0</v>
      </c>
      <c r="BE71" s="101" cm="1">
        <f t="array" ref="BE71">IFERROR(_xlfn.LET(_xlpm.k,UPPER(TRIM(BA71)),_xlpm.r,_xlfn.XLOOKUP(_xlpm.k,UPPER(TRIM(AW84:BF84)),AW85:BF85,_xlfn.XLOOKUP(_xlpm.k,UPPER(TRIM(AW86:BF86)),AW87:BF87)),_xlpm.r*AZ71*BB71*BB63*IF(ISBLANK(AW71),1,AW71)),0)</f>
        <v>0.6</v>
      </c>
      <c r="BF71" s="1475" t="str">
        <f>_xlfn.LET(_xlpm.unite,SUBSTITUTE(TRIM(BA71)," (s)",""),_xlpm.val,BE71,_xlpm.estVol,COUNTIF(AZ84:BF84,_xlpm.unite)+COUNTIF(AZ86:BF86,_xlpm.unite)&gt;0,_xlpm.estPoids,COUNTIF(AW84:AY84,_xlpm.unite)+COUNTIF(AW86:AY86,_xlpm.unite)&gt;0,IF(_xlpm.estVol,IF(ROUND(_xlpm.val,3)&gt;=1,ROUND(_xlpm.val,3)&amp;" L",MAX(1,ROUND(_xlpm.val*100,0))&amp;" cl"),IF(_xlpm.estPoids,IF(ROUND(_xlpm.val,3)&gt;=1,ROUND(_xlpm.val,3)&amp;" Kg",MAX(1,ROUND(_xlpm.val*1000,0))&amp;" g"),"")))</f>
        <v>600 g</v>
      </c>
      <c r="BH71" s="104"/>
      <c r="BI71" s="32"/>
      <c r="BJ71" s="33"/>
      <c r="BK71" s="32"/>
      <c r="BL71" s="34"/>
      <c r="BM71" s="92"/>
      <c r="BN71" s="108"/>
      <c r="BO71" s="94"/>
      <c r="BP71" s="95"/>
      <c r="BQ71" s="105"/>
      <c r="BR71" s="5101"/>
      <c r="BS71" s="920"/>
      <c r="BT71" s="1495"/>
      <c r="BU71" s="101"/>
      <c r="BV71" s="1475"/>
      <c r="BX71" s="104"/>
      <c r="BY71" s="32"/>
      <c r="BZ71" s="33"/>
      <c r="CA71" s="32"/>
      <c r="CB71" s="34"/>
      <c r="CC71" s="92"/>
      <c r="CD71" s="108"/>
      <c r="CE71" s="94"/>
      <c r="CF71" s="95"/>
      <c r="CG71" s="105"/>
      <c r="CH71" s="5101"/>
      <c r="CI71" s="920"/>
      <c r="CJ71" s="1495"/>
      <c r="CK71" s="101"/>
      <c r="CL71" s="1475"/>
      <c r="CN71" s="104"/>
      <c r="CO71" s="32"/>
      <c r="CP71" s="33"/>
      <c r="CQ71" s="32"/>
      <c r="CR71" s="34"/>
      <c r="CS71" s="92"/>
      <c r="CT71" s="108"/>
      <c r="CU71" s="94"/>
      <c r="CV71" s="95"/>
      <c r="CW71" s="105"/>
      <c r="CX71" s="5101"/>
      <c r="CY71" s="920"/>
      <c r="CZ71" s="1495"/>
      <c r="DA71" s="101"/>
      <c r="DB71" s="1475"/>
      <c r="DC71" s="5109"/>
      <c r="DD71" s="5073"/>
      <c r="DF71" s="3">
        <v>1</v>
      </c>
    </row>
    <row r="72" spans="2:110" ht="21" customHeight="1">
      <c r="B72" s="952" t="str">
        <f t="shared" si="10"/>
        <v>A</v>
      </c>
      <c r="C72" s="993" cm="1">
        <f t="array" ref="C72">SUMPRODUCT(LEN(D72:J72))</f>
        <v>0</v>
      </c>
      <c r="D72" s="167"/>
      <c r="E72" s="172"/>
      <c r="F72" s="172"/>
      <c r="G72" s="172"/>
      <c r="H72" s="172"/>
      <c r="I72" s="172"/>
      <c r="J72" s="173"/>
      <c r="K72" s="442" t="s">
        <v>22</v>
      </c>
      <c r="L72" s="104" t="str">
        <f t="shared" si="25"/>
        <v>A</v>
      </c>
      <c r="M72" s="32" t="str">
        <f>M64</f>
        <v>T TERRINE DE PIEDS DE PORC pour tranches | | Auteur &gt; Guy KRENZE - Eric GODDYN - Arnaud NICOLAS - CEPROC 2002</v>
      </c>
      <c r="N72" s="33">
        <f>N64</f>
        <v>1</v>
      </c>
      <c r="O72" s="32" t="str">
        <f>O64</f>
        <v xml:space="preserve">moule L 30 cm X l 9 cm X H 6 cm </v>
      </c>
      <c r="P72" s="34" t="str">
        <f>P64</f>
        <v>Recette mère ► le Boudin en 4 déclinaisons</v>
      </c>
      <c r="Q72" s="92"/>
      <c r="R72" s="108"/>
      <c r="S72" s="94" t="str">
        <f t="shared" si="22"/>
        <v/>
      </c>
      <c r="T72" s="95">
        <v>45</v>
      </c>
      <c r="U72" s="105" t="s">
        <v>99</v>
      </c>
      <c r="V72" s="127">
        <v>1</v>
      </c>
      <c r="W72" s="920" t="s">
        <v>12850</v>
      </c>
      <c r="X72" s="1494">
        <f>IF(OR(ISBLANK(Q62),X62=0),0,Q72*V63)</f>
        <v>0</v>
      </c>
      <c r="Y72" s="101" cm="1">
        <f t="array" ref="Y72">IFERROR(_xlfn.LET(_xlpm.k,UPPER(TRIM(U72)),_xlpm.r,_xlfn.XLOOKUP(_xlpm.k,UPPER(TRIM(Q84:Z84)),Q85:Z85,_xlfn.XLOOKUP(_xlpm.k,UPPER(TRIM(Q86:Z86)),Q87:Z87)),_xlpm.r*T72*V72*V63*IF(ISBLANK(Q72),1,Q72)),0)</f>
        <v>0.09</v>
      </c>
      <c r="Z72" s="1476" t="str">
        <f>_xlfn.LET(_xlpm.unite,SUBSTITUTE(TRIM(U72)," (s)",""),_xlpm.val,Y72,_xlpm.estVol,COUNTIF(T84:Z84,_xlpm.unite)+COUNTIF(T86:Z86,_xlpm.unite)&gt;0,_xlpm.estPoids,COUNTIF(Q84:S84,_xlpm.unite)+COUNTIF(Q86:S86,_xlpm.unite)&gt;0,IF(_xlpm.estVol,IF(ROUND(_xlpm.val,3)&gt;=1,ROUND(_xlpm.val,3)&amp;" L",MAX(1,ROUND(_xlpm.val*100,0))&amp;" cl"),IF(_xlpm.estPoids,IF(ROUND(_xlpm.val,3)&gt;=1,ROUND(_xlpm.val,3)&amp;" Kg",MAX(1,ROUND(_xlpm.val*1000,0))&amp;" g"),"")))</f>
        <v>90 g</v>
      </c>
      <c r="AB72" s="104" t="str">
        <f t="shared" si="26"/>
        <v>A</v>
      </c>
      <c r="AC72" s="32" t="str">
        <f>AC64</f>
        <v>T TERRINE OF PIG’S TROTTERS  for slices | |  Author &gt; Guy KRENZE - Eric GODDYN - Arnaud NICOLAS - CEPROC 2002</v>
      </c>
      <c r="AD72" s="33">
        <f>AD64</f>
        <v>1</v>
      </c>
      <c r="AE72" s="32" t="str">
        <f>AE64</f>
        <v>mold L 30 cm × W 9 cm × H 6 cm</v>
      </c>
      <c r="AF72" s="34" t="str">
        <f>AF64</f>
        <v>Master recipe ► Black pudding in 4 variations</v>
      </c>
      <c r="AG72" s="92"/>
      <c r="AH72" s="108"/>
      <c r="AI72" s="94" t="str">
        <f t="shared" si="23"/>
        <v/>
      </c>
      <c r="AJ72" s="95">
        <v>45</v>
      </c>
      <c r="AK72" s="105" t="s">
        <v>99</v>
      </c>
      <c r="AL72" s="127">
        <v>1</v>
      </c>
      <c r="AM72" s="920" t="s">
        <v>12957</v>
      </c>
      <c r="AN72" s="1494">
        <f>IF(OR(ISBLANK(AG62),AN62=0),0,AG72*AL63)</f>
        <v>0</v>
      </c>
      <c r="AO72" s="101" cm="1">
        <f t="array" ref="AO72">IFERROR(_xlfn.LET(_xlpm.k,UPPER(TRIM(AK72)),_xlpm.r,_xlfn.XLOOKUP(_xlpm.k,UPPER(TRIM(AG84:AP84)),AG85:AP85,_xlfn.XLOOKUP(_xlpm.k,UPPER(TRIM(AG86:AP86)),AG87:AP87)),_xlpm.r*AJ72*AL72*AL63*IF(ISBLANK(AG72),1,AG72)),0)</f>
        <v>0.09</v>
      </c>
      <c r="AP72" s="1476" t="str">
        <f>_xlfn.LET(_xlpm.unite,SUBSTITUTE(TRIM(AK72)," (s)",""),_xlpm.val,AO72,_xlpm.estVol,COUNTIF(AJ84:AP84,_xlpm.unite)+COUNTIF(AJ86:AP86,_xlpm.unite)&gt;0,_xlpm.estPoids,COUNTIF(AG84:AI84,_xlpm.unite)+COUNTIF(AG86:AI86,_xlpm.unite)&gt;0,IF(_xlpm.estVol,IF(ROUND(_xlpm.val,3)&gt;=1,ROUND(_xlpm.val,3)&amp;" L",MAX(1,ROUND(_xlpm.val*100,0))&amp;" cl"),IF(_xlpm.estPoids,IF(ROUND(_xlpm.val,3)&gt;=1,ROUND(_xlpm.val,3)&amp;" Kg",MAX(1,ROUND(_xlpm.val*1000,0))&amp;" g"),"")))</f>
        <v>90 g</v>
      </c>
      <c r="AR72" s="104" t="str">
        <f t="shared" si="27"/>
        <v>A</v>
      </c>
      <c r="AS72" s="32" t="str">
        <f>AS64</f>
        <v>T TERRINAS DE MANITAS DE CERDO para rodaja  | | Autor &gt; Guy KRENZE - Eric GODDYN - Arnaud NICOLAS - CEPROC 2002</v>
      </c>
      <c r="AT72" s="33">
        <f>AT64</f>
        <v>1</v>
      </c>
      <c r="AU72" s="32" t="str">
        <f>AU64</f>
        <v>molde L 30 cm × A 9 cm × H 6 cm</v>
      </c>
      <c r="AV72" s="34" t="str">
        <f>AV64</f>
        <v>Receta madre ► Morcilla en 4 versiones</v>
      </c>
      <c r="AW72" s="92"/>
      <c r="AX72" s="108"/>
      <c r="AY72" s="94" t="str">
        <f t="shared" si="24"/>
        <v/>
      </c>
      <c r="AZ72" s="95">
        <v>45</v>
      </c>
      <c r="BA72" s="105" t="s">
        <v>99</v>
      </c>
      <c r="BB72" s="127">
        <v>1</v>
      </c>
      <c r="BC72" s="920" t="s">
        <v>12958</v>
      </c>
      <c r="BD72" s="1494">
        <f>IF(OR(ISBLANK(AW62),BD62=0),0,AW72*BB63)</f>
        <v>0</v>
      </c>
      <c r="BE72" s="101" cm="1">
        <f t="array" ref="BE72">IFERROR(_xlfn.LET(_xlpm.k,UPPER(TRIM(BA72)),_xlpm.r,_xlfn.XLOOKUP(_xlpm.k,UPPER(TRIM(AW84:BF84)),AW85:BF85,_xlfn.XLOOKUP(_xlpm.k,UPPER(TRIM(AW86:BF86)),AW87:BF87)),_xlpm.r*AZ72*BB72*BB63*IF(ISBLANK(AW72),1,AW72)),0)</f>
        <v>0.09</v>
      </c>
      <c r="BF72" s="1476" t="str">
        <f>_xlfn.LET(_xlpm.unite,SUBSTITUTE(TRIM(BA72)," (s)",""),_xlpm.val,BE72,_xlpm.estVol,COUNTIF(AZ84:BF84,_xlpm.unite)+COUNTIF(AZ86:BF86,_xlpm.unite)&gt;0,_xlpm.estPoids,COUNTIF(AW84:AY84,_xlpm.unite)+COUNTIF(AW86:AY86,_xlpm.unite)&gt;0,IF(_xlpm.estVol,IF(ROUND(_xlpm.val,3)&gt;=1,ROUND(_xlpm.val,3)&amp;" L",MAX(1,ROUND(_xlpm.val*100,0))&amp;" cl"),IF(_xlpm.estPoids,IF(ROUND(_xlpm.val,3)&gt;=1,ROUND(_xlpm.val,3)&amp;" Kg",MAX(1,ROUND(_xlpm.val*1000,0))&amp;" g"),"")))</f>
        <v>90 g</v>
      </c>
      <c r="BH72" s="104"/>
      <c r="BI72" s="32"/>
      <c r="BJ72" s="33"/>
      <c r="BK72" s="32"/>
      <c r="BL72" s="34"/>
      <c r="BM72" s="92"/>
      <c r="BN72" s="108"/>
      <c r="BO72" s="94"/>
      <c r="BP72" s="95"/>
      <c r="BQ72" s="105"/>
      <c r="BR72" s="5101"/>
      <c r="BS72" s="920"/>
      <c r="BT72" s="1495"/>
      <c r="BU72" s="101"/>
      <c r="BV72" s="1475"/>
      <c r="BX72" s="104"/>
      <c r="BY72" s="32"/>
      <c r="BZ72" s="33"/>
      <c r="CA72" s="32"/>
      <c r="CB72" s="34"/>
      <c r="CC72" s="92"/>
      <c r="CD72" s="108"/>
      <c r="CE72" s="94"/>
      <c r="CF72" s="95"/>
      <c r="CG72" s="105"/>
      <c r="CH72" s="5101"/>
      <c r="CI72" s="920"/>
      <c r="CJ72" s="1495"/>
      <c r="CK72" s="101"/>
      <c r="CL72" s="1475"/>
      <c r="CN72" s="104"/>
      <c r="CO72" s="32"/>
      <c r="CP72" s="33"/>
      <c r="CQ72" s="32"/>
      <c r="CR72" s="34"/>
      <c r="CS72" s="92"/>
      <c r="CT72" s="108"/>
      <c r="CU72" s="94"/>
      <c r="CV72" s="95"/>
      <c r="CW72" s="105"/>
      <c r="CX72" s="5101"/>
      <c r="CY72" s="920"/>
      <c r="CZ72" s="1495"/>
      <c r="DA72" s="101"/>
      <c r="DB72" s="1475"/>
      <c r="DC72" s="5109"/>
      <c r="DD72" s="5073"/>
      <c r="DF72" s="3">
        <v>1</v>
      </c>
    </row>
    <row r="73" spans="2:110" ht="21" customHeight="1">
      <c r="B73" s="952" t="str">
        <f t="shared" si="10"/>
        <v>A</v>
      </c>
      <c r="C73" s="993" cm="1">
        <f t="array" ref="C73">SUMPRODUCT(LEN(D73:J73))</f>
        <v>0</v>
      </c>
      <c r="D73" s="167"/>
      <c r="E73" s="172"/>
      <c r="F73" s="172"/>
      <c r="G73" s="172"/>
      <c r="H73" s="172"/>
      <c r="I73" s="172"/>
      <c r="J73" s="173"/>
      <c r="K73" s="442" t="s">
        <v>22</v>
      </c>
      <c r="L73" s="104" t="str">
        <f t="shared" si="25"/>
        <v>A</v>
      </c>
      <c r="M73" s="32" t="str">
        <f>M64</f>
        <v>T TERRINE DE PIEDS DE PORC pour tranches | | Auteur &gt; Guy KRENZE - Eric GODDYN - Arnaud NICOLAS - CEPROC 2002</v>
      </c>
      <c r="N73" s="33">
        <f>N64</f>
        <v>1</v>
      </c>
      <c r="O73" s="32" t="str">
        <f>O64</f>
        <v xml:space="preserve">moule L 30 cm X l 9 cm X H 6 cm </v>
      </c>
      <c r="P73" s="34" t="str">
        <f>P64</f>
        <v>Recette mère ► le Boudin en 4 déclinaisons</v>
      </c>
      <c r="Q73" s="92"/>
      <c r="R73" s="108"/>
      <c r="S73" s="94" t="str">
        <f t="shared" si="22"/>
        <v/>
      </c>
      <c r="T73" s="95">
        <v>50</v>
      </c>
      <c r="U73" s="105" t="s">
        <v>99</v>
      </c>
      <c r="V73" s="127">
        <v>1</v>
      </c>
      <c r="W73" s="920" t="s">
        <v>12831</v>
      </c>
      <c r="X73" s="1494">
        <f>IF(OR(ISBLANK(Q62),X62=0),0,Q73*V63)</f>
        <v>0</v>
      </c>
      <c r="Y73" s="101" cm="1">
        <f t="array" ref="Y73">IFERROR(_xlfn.LET(_xlpm.k,UPPER(TRIM(U73)),_xlpm.r,_xlfn.XLOOKUP(_xlpm.k,UPPER(TRIM(Q84:Z84)),Q85:Z85,_xlfn.XLOOKUP(_xlpm.k,UPPER(TRIM(Q86:Z86)),Q87:Z87)),_xlpm.r*T73*V73*V63*IF(ISBLANK(Q73),1,Q73)),0)</f>
        <v>0.1</v>
      </c>
      <c r="Z73" s="1475" t="str">
        <f>_xlfn.LET(_xlpm.unite,SUBSTITUTE(TRIM(U73)," (s)",""),_xlpm.val,Y73,_xlpm.estVol,COUNTIF(T84:Z84,_xlpm.unite)+COUNTIF(T86:Z86,_xlpm.unite)&gt;0,_xlpm.estPoids,COUNTIF(Q84:S84,_xlpm.unite)+COUNTIF(Q86:S86,_xlpm.unite)&gt;0,IF(_xlpm.estVol,IF(ROUND(_xlpm.val,3)&gt;=1,ROUND(_xlpm.val,3)&amp;" L",MAX(1,ROUND(_xlpm.val*100,0))&amp;" cl"),IF(_xlpm.estPoids,IF(ROUND(_xlpm.val,3)&gt;=1,ROUND(_xlpm.val,3)&amp;" Kg",MAX(1,ROUND(_xlpm.val*1000,0))&amp;" g"),"")))</f>
        <v>100 g</v>
      </c>
      <c r="AB73" s="104" t="str">
        <f t="shared" si="26"/>
        <v>A</v>
      </c>
      <c r="AC73" s="32" t="str">
        <f>AC64</f>
        <v>T TERRINE OF PIG’S TROTTERS  for slices | |  Author &gt; Guy KRENZE - Eric GODDYN - Arnaud NICOLAS - CEPROC 2002</v>
      </c>
      <c r="AD73" s="33">
        <f>AD64</f>
        <v>1</v>
      </c>
      <c r="AE73" s="32" t="str">
        <f>AE64</f>
        <v>mold L 30 cm × W 9 cm × H 6 cm</v>
      </c>
      <c r="AF73" s="34" t="str">
        <f>AF64</f>
        <v>Master recipe ► Black pudding in 4 variations</v>
      </c>
      <c r="AG73" s="92"/>
      <c r="AH73" s="108"/>
      <c r="AI73" s="94" t="str">
        <f t="shared" si="23"/>
        <v/>
      </c>
      <c r="AJ73" s="95">
        <v>50</v>
      </c>
      <c r="AK73" s="105" t="s">
        <v>99</v>
      </c>
      <c r="AL73" s="127">
        <v>1</v>
      </c>
      <c r="AM73" s="920" t="s">
        <v>12891</v>
      </c>
      <c r="AN73" s="1494">
        <f>IF(OR(ISBLANK(AG62),AN62=0),0,AG73*AL63)</f>
        <v>0</v>
      </c>
      <c r="AO73" s="101" cm="1">
        <f t="array" ref="AO73">IFERROR(_xlfn.LET(_xlpm.k,UPPER(TRIM(AK73)),_xlpm.r,_xlfn.XLOOKUP(_xlpm.k,UPPER(TRIM(AG84:AP84)),AG85:AP85,_xlfn.XLOOKUP(_xlpm.k,UPPER(TRIM(AG86:AP86)),AG87:AP87)),_xlpm.r*AJ73*AL73*AL63*IF(ISBLANK(AG73),1,AG73)),0)</f>
        <v>0.1</v>
      </c>
      <c r="AP73" s="1475" t="str">
        <f>_xlfn.LET(_xlpm.unite,SUBSTITUTE(TRIM(AK73)," (s)",""),_xlpm.val,AO73,_xlpm.estVol,COUNTIF(AJ84:AP84,_xlpm.unite)+COUNTIF(AJ86:AP86,_xlpm.unite)&gt;0,_xlpm.estPoids,COUNTIF(AG84:AI84,_xlpm.unite)+COUNTIF(AG86:AI86,_xlpm.unite)&gt;0,IF(_xlpm.estVol,IF(ROUND(_xlpm.val,3)&gt;=1,ROUND(_xlpm.val,3)&amp;" L",MAX(1,ROUND(_xlpm.val*100,0))&amp;" cl"),IF(_xlpm.estPoids,IF(ROUND(_xlpm.val,3)&gt;=1,ROUND(_xlpm.val,3)&amp;" Kg",MAX(1,ROUND(_xlpm.val*1000,0))&amp;" g"),"")))</f>
        <v>100 g</v>
      </c>
      <c r="AR73" s="104" t="str">
        <f t="shared" si="27"/>
        <v>A</v>
      </c>
      <c r="AS73" s="32" t="str">
        <f>AS64</f>
        <v>T TERRINAS DE MANITAS DE CERDO para rodaja  | | Autor &gt; Guy KRENZE - Eric GODDYN - Arnaud NICOLAS - CEPROC 2002</v>
      </c>
      <c r="AT73" s="33">
        <f>AT64</f>
        <v>1</v>
      </c>
      <c r="AU73" s="32" t="str">
        <f>AU64</f>
        <v>molde L 30 cm × A 9 cm × H 6 cm</v>
      </c>
      <c r="AV73" s="34" t="str">
        <f>AV64</f>
        <v>Receta madre ► Morcilla en 4 versiones</v>
      </c>
      <c r="AW73" s="92"/>
      <c r="AX73" s="108"/>
      <c r="AY73" s="94" t="str">
        <f t="shared" si="24"/>
        <v/>
      </c>
      <c r="AZ73" s="95">
        <v>50</v>
      </c>
      <c r="BA73" s="105" t="s">
        <v>99</v>
      </c>
      <c r="BB73" s="127">
        <v>1</v>
      </c>
      <c r="BC73" s="920" t="s">
        <v>12892</v>
      </c>
      <c r="BD73" s="1494">
        <f>IF(OR(ISBLANK(AW62),BD62=0),0,AW73*BB63)</f>
        <v>0</v>
      </c>
      <c r="BE73" s="101" cm="1">
        <f t="array" ref="BE73">IFERROR(_xlfn.LET(_xlpm.k,UPPER(TRIM(BA73)),_xlpm.r,_xlfn.XLOOKUP(_xlpm.k,UPPER(TRIM(AW84:BF84)),AW85:BF85,_xlfn.XLOOKUP(_xlpm.k,UPPER(TRIM(AW86:BF86)),AW87:BF87)),_xlpm.r*AZ73*BB73*BB63*IF(ISBLANK(AW73),1,AW73)),0)</f>
        <v>0.1</v>
      </c>
      <c r="BF73" s="1475" t="str">
        <f>_xlfn.LET(_xlpm.unite,SUBSTITUTE(TRIM(BA73)," (s)",""),_xlpm.val,BE73,_xlpm.estVol,COUNTIF(AZ84:BF84,_xlpm.unite)+COUNTIF(AZ86:BF86,_xlpm.unite)&gt;0,_xlpm.estPoids,COUNTIF(AW84:AY84,_xlpm.unite)+COUNTIF(AW86:AY86,_xlpm.unite)&gt;0,IF(_xlpm.estVol,IF(ROUND(_xlpm.val,3)&gt;=1,ROUND(_xlpm.val,3)&amp;" L",MAX(1,ROUND(_xlpm.val*100,0))&amp;" cl"),IF(_xlpm.estPoids,IF(ROUND(_xlpm.val,3)&gt;=1,ROUND(_xlpm.val,3)&amp;" Kg",MAX(1,ROUND(_xlpm.val*1000,0))&amp;" g"),"")))</f>
        <v>100 g</v>
      </c>
      <c r="BH73" s="104"/>
      <c r="BI73" s="32"/>
      <c r="BJ73" s="33"/>
      <c r="BK73" s="32"/>
      <c r="BL73" s="34"/>
      <c r="BM73" s="92"/>
      <c r="BN73" s="108"/>
      <c r="BO73" s="94"/>
      <c r="BP73" s="95"/>
      <c r="BQ73" s="105"/>
      <c r="BR73" s="5101"/>
      <c r="BS73" s="920"/>
      <c r="BT73" s="1495"/>
      <c r="BU73" s="101"/>
      <c r="BV73" s="1475"/>
      <c r="BX73" s="104"/>
      <c r="BY73" s="32"/>
      <c r="BZ73" s="33"/>
      <c r="CA73" s="32"/>
      <c r="CB73" s="34"/>
      <c r="CC73" s="92"/>
      <c r="CD73" s="108"/>
      <c r="CE73" s="94"/>
      <c r="CF73" s="95"/>
      <c r="CG73" s="105"/>
      <c r="CH73" s="5101"/>
      <c r="CI73" s="920"/>
      <c r="CJ73" s="1495"/>
      <c r="CK73" s="101"/>
      <c r="CL73" s="1475"/>
      <c r="CN73" s="104"/>
      <c r="CO73" s="32"/>
      <c r="CP73" s="33"/>
      <c r="CQ73" s="32"/>
      <c r="CR73" s="34"/>
      <c r="CS73" s="92"/>
      <c r="CT73" s="108"/>
      <c r="CU73" s="94"/>
      <c r="CV73" s="95"/>
      <c r="CW73" s="105"/>
      <c r="CX73" s="5101"/>
      <c r="CY73" s="920"/>
      <c r="CZ73" s="1495"/>
      <c r="DA73" s="101"/>
      <c r="DB73" s="1475"/>
      <c r="DC73" s="5109"/>
      <c r="DD73" s="5091"/>
      <c r="DF73" s="3">
        <v>1</v>
      </c>
    </row>
    <row r="74" spans="2:110" ht="21" customHeight="1">
      <c r="B74" s="952" t="str">
        <f t="shared" si="10"/>
        <v>A</v>
      </c>
      <c r="C74" s="993" cm="1">
        <f t="array" ref="C74">SUMPRODUCT(LEN(D74:J74))</f>
        <v>0</v>
      </c>
      <c r="D74" s="167"/>
      <c r="E74" s="172"/>
      <c r="F74" s="172"/>
      <c r="G74" s="172"/>
      <c r="H74" s="172"/>
      <c r="I74" s="172"/>
      <c r="J74" s="173"/>
      <c r="K74" s="442" t="s">
        <v>22</v>
      </c>
      <c r="L74" s="104" t="str">
        <f t="shared" si="25"/>
        <v>A</v>
      </c>
      <c r="M74" s="32" t="str">
        <f>M64</f>
        <v>T TERRINE DE PIEDS DE PORC pour tranches | | Auteur &gt; Guy KRENZE - Eric GODDYN - Arnaud NICOLAS - CEPROC 2002</v>
      </c>
      <c r="N74" s="33">
        <f>N64</f>
        <v>1</v>
      </c>
      <c r="O74" s="32" t="str">
        <f>O64</f>
        <v xml:space="preserve">moule L 30 cm X l 9 cm X H 6 cm </v>
      </c>
      <c r="P74" s="34" t="str">
        <f>P64</f>
        <v>Recette mère ► le Boudin en 4 déclinaisons</v>
      </c>
      <c r="Q74" s="92"/>
      <c r="R74" s="108"/>
      <c r="S74" s="94" t="str">
        <f t="shared" si="22"/>
        <v/>
      </c>
      <c r="T74" s="95">
        <v>7</v>
      </c>
      <c r="U74" s="105" t="s">
        <v>99</v>
      </c>
      <c r="V74" s="127">
        <v>1</v>
      </c>
      <c r="W74" s="920" t="s">
        <v>12851</v>
      </c>
      <c r="X74" s="1494">
        <f>IF(OR(ISBLANK(Q62),X62=0),0,Q74*V63)</f>
        <v>0</v>
      </c>
      <c r="Y74" s="101" cm="1">
        <f t="array" ref="Y74">IFERROR(_xlfn.LET(_xlpm.k,UPPER(TRIM(U74)),_xlpm.r,_xlfn.XLOOKUP(_xlpm.k,UPPER(TRIM(Q84:Z84)),Q85:Z85,_xlfn.XLOOKUP(_xlpm.k,UPPER(TRIM(Q86:Z86)),Q87:Z87)),_xlpm.r*T74*V74*V63*IF(ISBLANK(Q74),1,Q74)),0)</f>
        <v>1.4E-2</v>
      </c>
      <c r="Z74" s="1476" t="str">
        <f>_xlfn.LET(_xlpm.unite,SUBSTITUTE(TRIM(U74)," (s)",""),_xlpm.val,Y74,_xlpm.estVol,COUNTIF(T84:Z84,_xlpm.unite)+COUNTIF(T86:Z86,_xlpm.unite)&gt;0,_xlpm.estPoids,COUNTIF(Q84:S84,_xlpm.unite)+COUNTIF(Q86:S86,_xlpm.unite)&gt;0,IF(_xlpm.estVol,IF(ROUND(_xlpm.val,3)&gt;=1,ROUND(_xlpm.val,3)&amp;" L",MAX(1,ROUND(_xlpm.val*100,0))&amp;" cl"),IF(_xlpm.estPoids,IF(ROUND(_xlpm.val,3)&gt;=1,ROUND(_xlpm.val,3)&amp;" Kg",MAX(1,ROUND(_xlpm.val*1000,0))&amp;" g"),"")))</f>
        <v>14 g</v>
      </c>
      <c r="AB74" s="104" t="str">
        <f t="shared" si="26"/>
        <v>A</v>
      </c>
      <c r="AC74" s="32" t="str">
        <f>AC64</f>
        <v>T TERRINE OF PIG’S TROTTERS  for slices | |  Author &gt; Guy KRENZE - Eric GODDYN - Arnaud NICOLAS - CEPROC 2002</v>
      </c>
      <c r="AD74" s="33">
        <f>AD64</f>
        <v>1</v>
      </c>
      <c r="AE74" s="32" t="str">
        <f>AE64</f>
        <v>mold L 30 cm × W 9 cm × H 6 cm</v>
      </c>
      <c r="AF74" s="34" t="str">
        <f>AF64</f>
        <v>Master recipe ► Black pudding in 4 variations</v>
      </c>
      <c r="AG74" s="92"/>
      <c r="AH74" s="108"/>
      <c r="AI74" s="94" t="str">
        <f t="shared" si="23"/>
        <v/>
      </c>
      <c r="AJ74" s="95">
        <v>7</v>
      </c>
      <c r="AK74" s="105" t="s">
        <v>99</v>
      </c>
      <c r="AL74" s="127">
        <v>1</v>
      </c>
      <c r="AM74" s="920" t="s">
        <v>12959</v>
      </c>
      <c r="AN74" s="1494">
        <f>IF(OR(ISBLANK(AG62),AN62=0),0,AG74*AL63)</f>
        <v>0</v>
      </c>
      <c r="AO74" s="101" cm="1">
        <f t="array" ref="AO74">IFERROR(_xlfn.LET(_xlpm.k,UPPER(TRIM(AK74)),_xlpm.r,_xlfn.XLOOKUP(_xlpm.k,UPPER(TRIM(AG84:AP84)),AG85:AP85,_xlfn.XLOOKUP(_xlpm.k,UPPER(TRIM(AG86:AP86)),AG87:AP87)),_xlpm.r*AJ74*AL74*AL63*IF(ISBLANK(AG74),1,AG74)),0)</f>
        <v>1.4E-2</v>
      </c>
      <c r="AP74" s="1476" t="str">
        <f>_xlfn.LET(_xlpm.unite,SUBSTITUTE(TRIM(AK74)," (s)",""),_xlpm.val,AO74,_xlpm.estVol,COUNTIF(AJ84:AP84,_xlpm.unite)+COUNTIF(AJ86:AP86,_xlpm.unite)&gt;0,_xlpm.estPoids,COUNTIF(AG84:AI84,_xlpm.unite)+COUNTIF(AG86:AI86,_xlpm.unite)&gt;0,IF(_xlpm.estVol,IF(ROUND(_xlpm.val,3)&gt;=1,ROUND(_xlpm.val,3)&amp;" L",MAX(1,ROUND(_xlpm.val*100,0))&amp;" cl"),IF(_xlpm.estPoids,IF(ROUND(_xlpm.val,3)&gt;=1,ROUND(_xlpm.val,3)&amp;" Kg",MAX(1,ROUND(_xlpm.val*1000,0))&amp;" g"),"")))</f>
        <v>14 g</v>
      </c>
      <c r="AR74" s="104" t="str">
        <f t="shared" si="27"/>
        <v>A</v>
      </c>
      <c r="AS74" s="32" t="str">
        <f>AS64</f>
        <v>T TERRINAS DE MANITAS DE CERDO para rodaja  | | Autor &gt; Guy KRENZE - Eric GODDYN - Arnaud NICOLAS - CEPROC 2002</v>
      </c>
      <c r="AT74" s="33">
        <f>AT64</f>
        <v>1</v>
      </c>
      <c r="AU74" s="32" t="str">
        <f>AU64</f>
        <v>molde L 30 cm × A 9 cm × H 6 cm</v>
      </c>
      <c r="AV74" s="34" t="str">
        <f>AV64</f>
        <v>Receta madre ► Morcilla en 4 versiones</v>
      </c>
      <c r="AW74" s="92"/>
      <c r="AX74" s="108"/>
      <c r="AY74" s="94" t="str">
        <f t="shared" si="24"/>
        <v/>
      </c>
      <c r="AZ74" s="95">
        <v>7</v>
      </c>
      <c r="BA74" s="105" t="s">
        <v>99</v>
      </c>
      <c r="BB74" s="127">
        <v>1</v>
      </c>
      <c r="BC74" s="920" t="s">
        <v>12960</v>
      </c>
      <c r="BD74" s="1494">
        <f>IF(OR(ISBLANK(AW62),BD62=0),0,AW74*BB63)</f>
        <v>0</v>
      </c>
      <c r="BE74" s="101" cm="1">
        <f t="array" ref="BE74">IFERROR(_xlfn.LET(_xlpm.k,UPPER(TRIM(BA74)),_xlpm.r,_xlfn.XLOOKUP(_xlpm.k,UPPER(TRIM(AW84:BF84)),AW85:BF85,_xlfn.XLOOKUP(_xlpm.k,UPPER(TRIM(AW86:BF86)),AW87:BF87)),_xlpm.r*AZ74*BB74*BB63*IF(ISBLANK(AW74),1,AW74)),0)</f>
        <v>1.4E-2</v>
      </c>
      <c r="BF74" s="1476" t="str">
        <f>_xlfn.LET(_xlpm.unite,SUBSTITUTE(TRIM(BA74)," (s)",""),_xlpm.val,BE74,_xlpm.estVol,COUNTIF(AZ84:BF84,_xlpm.unite)+COUNTIF(AZ86:BF86,_xlpm.unite)&gt;0,_xlpm.estPoids,COUNTIF(AW84:AY84,_xlpm.unite)+COUNTIF(AW86:AY86,_xlpm.unite)&gt;0,IF(_xlpm.estVol,IF(ROUND(_xlpm.val,3)&gt;=1,ROUND(_xlpm.val,3)&amp;" L",MAX(1,ROUND(_xlpm.val*100,0))&amp;" cl"),IF(_xlpm.estPoids,IF(ROUND(_xlpm.val,3)&gt;=1,ROUND(_xlpm.val,3)&amp;" Kg",MAX(1,ROUND(_xlpm.val*1000,0))&amp;" g"),"")))</f>
        <v>14 g</v>
      </c>
      <c r="BH74" s="104"/>
      <c r="BI74" s="32"/>
      <c r="BJ74" s="33"/>
      <c r="BK74" s="32"/>
      <c r="BL74" s="34"/>
      <c r="BM74" s="92"/>
      <c r="BN74" s="108"/>
      <c r="BO74" s="94"/>
      <c r="BP74" s="95"/>
      <c r="BQ74" s="105"/>
      <c r="BR74" s="5101"/>
      <c r="BS74" s="920"/>
      <c r="BT74" s="1495"/>
      <c r="BU74" s="101"/>
      <c r="BV74" s="1475"/>
      <c r="BX74" s="104"/>
      <c r="BY74" s="32"/>
      <c r="BZ74" s="33"/>
      <c r="CA74" s="32"/>
      <c r="CB74" s="34"/>
      <c r="CC74" s="92"/>
      <c r="CD74" s="108"/>
      <c r="CE74" s="94"/>
      <c r="CF74" s="95"/>
      <c r="CG74" s="105"/>
      <c r="CH74" s="5101"/>
      <c r="CI74" s="920"/>
      <c r="CJ74" s="1495"/>
      <c r="CK74" s="101"/>
      <c r="CL74" s="1475"/>
      <c r="CN74" s="104"/>
      <c r="CO74" s="32"/>
      <c r="CP74" s="33"/>
      <c r="CQ74" s="32"/>
      <c r="CR74" s="34"/>
      <c r="CS74" s="92"/>
      <c r="CT74" s="108"/>
      <c r="CU74" s="94"/>
      <c r="CV74" s="95"/>
      <c r="CW74" s="105"/>
      <c r="CX74" s="5101"/>
      <c r="CY74" s="920"/>
      <c r="CZ74" s="1495"/>
      <c r="DA74" s="101"/>
      <c r="DB74" s="1475"/>
      <c r="DC74" s="5109"/>
      <c r="DD74" s="5091"/>
      <c r="DF74" s="3">
        <v>1</v>
      </c>
    </row>
    <row r="75" spans="2:110" ht="21" customHeight="1">
      <c r="B75" s="952" t="str">
        <f t="shared" ref="B75:B138" si="28">L75</f>
        <v>A</v>
      </c>
      <c r="C75" s="993" cm="1">
        <f t="array" ref="C75">SUMPRODUCT(LEN(D75:J75))</f>
        <v>0</v>
      </c>
      <c r="D75" s="167"/>
      <c r="E75" s="172"/>
      <c r="F75" s="172"/>
      <c r="G75" s="172"/>
      <c r="H75" s="172"/>
      <c r="I75" s="172"/>
      <c r="J75" s="173"/>
      <c r="K75" s="442" t="s">
        <v>22</v>
      </c>
      <c r="L75" s="104" t="str">
        <f t="shared" si="25"/>
        <v>A</v>
      </c>
      <c r="M75" s="32" t="str">
        <f>M64</f>
        <v>T TERRINE DE PIEDS DE PORC pour tranches | | Auteur &gt; Guy KRENZE - Eric GODDYN - Arnaud NICOLAS - CEPROC 2002</v>
      </c>
      <c r="N75" s="33">
        <f>N64</f>
        <v>1</v>
      </c>
      <c r="O75" s="32" t="str">
        <f>O64</f>
        <v xml:space="preserve">moule L 30 cm X l 9 cm X H 6 cm </v>
      </c>
      <c r="P75" s="34" t="str">
        <f>P64</f>
        <v>Recette mère ► le Boudin en 4 déclinaisons</v>
      </c>
      <c r="Q75" s="92"/>
      <c r="R75" s="108"/>
      <c r="S75" s="94" t="str">
        <f t="shared" si="22"/>
        <v/>
      </c>
      <c r="T75" s="95">
        <v>20</v>
      </c>
      <c r="U75" s="105" t="s">
        <v>99</v>
      </c>
      <c r="V75" s="127">
        <v>1</v>
      </c>
      <c r="W75" s="920" t="s">
        <v>12852</v>
      </c>
      <c r="X75" s="1494">
        <f>IF(OR(ISBLANK(Q62),X62=0),0,Q75*V63)</f>
        <v>0</v>
      </c>
      <c r="Y75" s="101" cm="1">
        <f t="array" ref="Y75">IFERROR(_xlfn.LET(_xlpm.k,UPPER(TRIM(U75)),_xlpm.r,_xlfn.XLOOKUP(_xlpm.k,UPPER(TRIM(Q84:Z84)),Q85:Z85,_xlfn.XLOOKUP(_xlpm.k,UPPER(TRIM(Q86:Z86)),Q87:Z87)),_xlpm.r*T75*V75*V63*IF(ISBLANK(Q75),1,Q75)),0)</f>
        <v>0.04</v>
      </c>
      <c r="Z75" s="1475" t="str">
        <f>_xlfn.LET(_xlpm.unite,SUBSTITUTE(TRIM(U75)," (s)",""),_xlpm.val,Y75,_xlpm.estVol,COUNTIF(T84:Z84,_xlpm.unite)+COUNTIF(T86:Z86,_xlpm.unite)&gt;0,_xlpm.estPoids,COUNTIF(Q84:S84,_xlpm.unite)+COUNTIF(Q86:S86,_xlpm.unite)&gt;0,IF(_xlpm.estVol,IF(ROUND(_xlpm.val,3)&gt;=1,ROUND(_xlpm.val,3)&amp;" L",MAX(1,ROUND(_xlpm.val*100,0))&amp;" cl"),IF(_xlpm.estPoids,IF(ROUND(_xlpm.val,3)&gt;=1,ROUND(_xlpm.val,3)&amp;" Kg",MAX(1,ROUND(_xlpm.val*1000,0))&amp;" g"),"")))</f>
        <v>40 g</v>
      </c>
      <c r="AB75" s="104" t="str">
        <f t="shared" si="26"/>
        <v>A</v>
      </c>
      <c r="AC75" s="32" t="str">
        <f>AC64</f>
        <v>T TERRINE OF PIG’S TROTTERS  for slices | |  Author &gt; Guy KRENZE - Eric GODDYN - Arnaud NICOLAS - CEPROC 2002</v>
      </c>
      <c r="AD75" s="33">
        <f>AD64</f>
        <v>1</v>
      </c>
      <c r="AE75" s="32" t="str">
        <f>AE64</f>
        <v>mold L 30 cm × W 9 cm × H 6 cm</v>
      </c>
      <c r="AF75" s="34" t="str">
        <f>AF64</f>
        <v>Master recipe ► Black pudding in 4 variations</v>
      </c>
      <c r="AG75" s="92"/>
      <c r="AH75" s="108"/>
      <c r="AI75" s="94" t="str">
        <f t="shared" si="23"/>
        <v/>
      </c>
      <c r="AJ75" s="95">
        <v>20</v>
      </c>
      <c r="AK75" s="105" t="s">
        <v>99</v>
      </c>
      <c r="AL75" s="127">
        <v>1</v>
      </c>
      <c r="AM75" s="920" t="s">
        <v>12961</v>
      </c>
      <c r="AN75" s="1494">
        <f>IF(OR(ISBLANK(AG62),AN62=0),0,AG75*AL63)</f>
        <v>0</v>
      </c>
      <c r="AO75" s="101" cm="1">
        <f t="array" ref="AO75">IFERROR(_xlfn.LET(_xlpm.k,UPPER(TRIM(AK75)),_xlpm.r,_xlfn.XLOOKUP(_xlpm.k,UPPER(TRIM(AG84:AP84)),AG85:AP85,_xlfn.XLOOKUP(_xlpm.k,UPPER(TRIM(AG86:AP86)),AG87:AP87)),_xlpm.r*AJ75*AL75*AL63*IF(ISBLANK(AG75),1,AG75)),0)</f>
        <v>0.04</v>
      </c>
      <c r="AP75" s="1475" t="str">
        <f>_xlfn.LET(_xlpm.unite,SUBSTITUTE(TRIM(AK75)," (s)",""),_xlpm.val,AO75,_xlpm.estVol,COUNTIF(AJ84:AP84,_xlpm.unite)+COUNTIF(AJ86:AP86,_xlpm.unite)&gt;0,_xlpm.estPoids,COUNTIF(AG84:AI84,_xlpm.unite)+COUNTIF(AG86:AI86,_xlpm.unite)&gt;0,IF(_xlpm.estVol,IF(ROUND(_xlpm.val,3)&gt;=1,ROUND(_xlpm.val,3)&amp;" L",MAX(1,ROUND(_xlpm.val*100,0))&amp;" cl"),IF(_xlpm.estPoids,IF(ROUND(_xlpm.val,3)&gt;=1,ROUND(_xlpm.val,3)&amp;" Kg",MAX(1,ROUND(_xlpm.val*1000,0))&amp;" g"),"")))</f>
        <v>40 g</v>
      </c>
      <c r="AR75" s="104" t="str">
        <f t="shared" si="27"/>
        <v>A</v>
      </c>
      <c r="AS75" s="32" t="str">
        <f>AS64</f>
        <v>T TERRINAS DE MANITAS DE CERDO para rodaja  | | Autor &gt; Guy KRENZE - Eric GODDYN - Arnaud NICOLAS - CEPROC 2002</v>
      </c>
      <c r="AT75" s="33">
        <f>AT64</f>
        <v>1</v>
      </c>
      <c r="AU75" s="32" t="str">
        <f>AU64</f>
        <v>molde L 30 cm × A 9 cm × H 6 cm</v>
      </c>
      <c r="AV75" s="34" t="str">
        <f>AV64</f>
        <v>Receta madre ► Morcilla en 4 versiones</v>
      </c>
      <c r="AW75" s="92"/>
      <c r="AX75" s="108"/>
      <c r="AY75" s="94" t="str">
        <f t="shared" si="24"/>
        <v/>
      </c>
      <c r="AZ75" s="95">
        <v>20</v>
      </c>
      <c r="BA75" s="105" t="s">
        <v>99</v>
      </c>
      <c r="BB75" s="127">
        <v>1</v>
      </c>
      <c r="BC75" s="920" t="s">
        <v>12962</v>
      </c>
      <c r="BD75" s="1494">
        <f>IF(OR(ISBLANK(AW62),BD62=0),0,AW75*BB63)</f>
        <v>0</v>
      </c>
      <c r="BE75" s="101" cm="1">
        <f t="array" ref="BE75">IFERROR(_xlfn.LET(_xlpm.k,UPPER(TRIM(BA75)),_xlpm.r,_xlfn.XLOOKUP(_xlpm.k,UPPER(TRIM(AW84:BF84)),AW85:BF85,_xlfn.XLOOKUP(_xlpm.k,UPPER(TRIM(AW86:BF86)),AW87:BF87)),_xlpm.r*AZ75*BB75*BB63*IF(ISBLANK(AW75),1,AW75)),0)</f>
        <v>0.04</v>
      </c>
      <c r="BF75" s="1475" t="str">
        <f>_xlfn.LET(_xlpm.unite,SUBSTITUTE(TRIM(BA75)," (s)",""),_xlpm.val,BE75,_xlpm.estVol,COUNTIF(AZ84:BF84,_xlpm.unite)+COUNTIF(AZ86:BF86,_xlpm.unite)&gt;0,_xlpm.estPoids,COUNTIF(AW84:AY84,_xlpm.unite)+COUNTIF(AW86:AY86,_xlpm.unite)&gt;0,IF(_xlpm.estVol,IF(ROUND(_xlpm.val,3)&gt;=1,ROUND(_xlpm.val,3)&amp;" L",MAX(1,ROUND(_xlpm.val*100,0))&amp;" cl"),IF(_xlpm.estPoids,IF(ROUND(_xlpm.val,3)&gt;=1,ROUND(_xlpm.val,3)&amp;" Kg",MAX(1,ROUND(_xlpm.val*1000,0))&amp;" g"),"")))</f>
        <v>40 g</v>
      </c>
      <c r="BH75" s="104"/>
      <c r="BI75" s="32"/>
      <c r="BJ75" s="33"/>
      <c r="BK75" s="32"/>
      <c r="BL75" s="34"/>
      <c r="BM75" s="92"/>
      <c r="BN75" s="108"/>
      <c r="BO75" s="94"/>
      <c r="BP75" s="95"/>
      <c r="BQ75" s="105"/>
      <c r="BR75" s="5101"/>
      <c r="BS75" s="920"/>
      <c r="BT75" s="1495"/>
      <c r="BU75" s="101"/>
      <c r="BV75" s="1475"/>
      <c r="BX75" s="104"/>
      <c r="BY75" s="32"/>
      <c r="BZ75" s="33"/>
      <c r="CA75" s="32"/>
      <c r="CB75" s="34"/>
      <c r="CC75" s="92"/>
      <c r="CD75" s="108"/>
      <c r="CE75" s="94"/>
      <c r="CF75" s="95"/>
      <c r="CG75" s="105"/>
      <c r="CH75" s="5101"/>
      <c r="CI75" s="920"/>
      <c r="CJ75" s="1495"/>
      <c r="CK75" s="101"/>
      <c r="CL75" s="1475"/>
      <c r="CN75" s="104"/>
      <c r="CO75" s="32"/>
      <c r="CP75" s="33"/>
      <c r="CQ75" s="32"/>
      <c r="CR75" s="34"/>
      <c r="CS75" s="92"/>
      <c r="CT75" s="108"/>
      <c r="CU75" s="94"/>
      <c r="CV75" s="95"/>
      <c r="CW75" s="105"/>
      <c r="CX75" s="5101"/>
      <c r="CY75" s="920"/>
      <c r="CZ75" s="1495"/>
      <c r="DA75" s="101"/>
      <c r="DB75" s="1475"/>
      <c r="DC75" s="5109"/>
      <c r="DD75" s="5091"/>
      <c r="DF75" s="3">
        <v>1</v>
      </c>
    </row>
    <row r="76" spans="2:110" ht="21" customHeight="1">
      <c r="B76" s="952" t="str">
        <f t="shared" si="28"/>
        <v>A</v>
      </c>
      <c r="C76" s="993" cm="1">
        <f t="array" ref="C76">SUMPRODUCT(LEN(D76:J76))</f>
        <v>0</v>
      </c>
      <c r="D76" s="167"/>
      <c r="E76" s="172"/>
      <c r="F76" s="172"/>
      <c r="G76" s="172"/>
      <c r="H76" s="172"/>
      <c r="I76" s="172"/>
      <c r="J76" s="173"/>
      <c r="K76" s="442" t="s">
        <v>22</v>
      </c>
      <c r="L76" s="104" t="str">
        <f t="shared" si="25"/>
        <v>A</v>
      </c>
      <c r="M76" s="32" t="str">
        <f>M64</f>
        <v>T TERRINE DE PIEDS DE PORC pour tranches | | Auteur &gt; Guy KRENZE - Eric GODDYN - Arnaud NICOLAS - CEPROC 2002</v>
      </c>
      <c r="N76" s="33">
        <f>N64</f>
        <v>1</v>
      </c>
      <c r="O76" s="32" t="str">
        <f>O64</f>
        <v xml:space="preserve">moule L 30 cm X l 9 cm X H 6 cm </v>
      </c>
      <c r="P76" s="34" t="str">
        <f>P64</f>
        <v>Recette mère ► le Boudin en 4 déclinaisons</v>
      </c>
      <c r="Q76" s="92"/>
      <c r="R76" s="108"/>
      <c r="S76" s="94" t="str">
        <f t="shared" si="22"/>
        <v/>
      </c>
      <c r="T76" s="95">
        <v>300</v>
      </c>
      <c r="U76" s="105" t="s">
        <v>99</v>
      </c>
      <c r="V76" s="127">
        <v>1</v>
      </c>
      <c r="W76" s="920" t="s">
        <v>12853</v>
      </c>
      <c r="X76" s="1494">
        <f>IF(OR(ISBLANK(Q62),X62=0),0,Q76*V63)</f>
        <v>0</v>
      </c>
      <c r="Y76" s="101" cm="1">
        <f t="array" ref="Y76">IFERROR(_xlfn.LET(_xlpm.k,UPPER(TRIM(U76)),_xlpm.r,_xlfn.XLOOKUP(_xlpm.k,UPPER(TRIM(Q84:Z84)),Q85:Z85,_xlfn.XLOOKUP(_xlpm.k,UPPER(TRIM(Q86:Z86)),Q87:Z87)),_xlpm.r*T76*V76*V63*IF(ISBLANK(Q76),1,Q76)),0)</f>
        <v>0.6</v>
      </c>
      <c r="Z76" s="1476" t="str">
        <f>_xlfn.LET(_xlpm.unite,SUBSTITUTE(TRIM(U76)," (s)",""),_xlpm.val,Y76,_xlpm.estVol,COUNTIF(T84:Z84,_xlpm.unite)+COUNTIF(T86:Z86,_xlpm.unite)&gt;0,_xlpm.estPoids,COUNTIF(Q84:S84,_xlpm.unite)+COUNTIF(Q86:S86,_xlpm.unite)&gt;0,IF(_xlpm.estVol,IF(ROUND(_xlpm.val,3)&gt;=1,ROUND(_xlpm.val,3)&amp;" L",MAX(1,ROUND(_xlpm.val*100,0))&amp;" cl"),IF(_xlpm.estPoids,IF(ROUND(_xlpm.val,3)&gt;=1,ROUND(_xlpm.val,3)&amp;" Kg",MAX(1,ROUND(_xlpm.val*1000,0))&amp;" g"),"")))</f>
        <v>600 g</v>
      </c>
      <c r="AB76" s="104" t="str">
        <f t="shared" si="26"/>
        <v>A</v>
      </c>
      <c r="AC76" s="32" t="str">
        <f>AC64</f>
        <v>T TERRINE OF PIG’S TROTTERS  for slices | |  Author &gt; Guy KRENZE - Eric GODDYN - Arnaud NICOLAS - CEPROC 2002</v>
      </c>
      <c r="AD76" s="33">
        <f>AD64</f>
        <v>1</v>
      </c>
      <c r="AE76" s="32" t="str">
        <f>AE64</f>
        <v>mold L 30 cm × W 9 cm × H 6 cm</v>
      </c>
      <c r="AF76" s="34" t="str">
        <f>AF64</f>
        <v>Master recipe ► Black pudding in 4 variations</v>
      </c>
      <c r="AG76" s="92"/>
      <c r="AH76" s="108"/>
      <c r="AI76" s="94" t="str">
        <f t="shared" si="23"/>
        <v/>
      </c>
      <c r="AJ76" s="95">
        <v>300</v>
      </c>
      <c r="AK76" s="105" t="s">
        <v>99</v>
      </c>
      <c r="AL76" s="127">
        <v>1</v>
      </c>
      <c r="AM76" s="920" t="s">
        <v>12963</v>
      </c>
      <c r="AN76" s="1494">
        <f>IF(OR(ISBLANK(AG62),AN62=0),0,AG76*AL63)</f>
        <v>0</v>
      </c>
      <c r="AO76" s="101" cm="1">
        <f t="array" ref="AO76">IFERROR(_xlfn.LET(_xlpm.k,UPPER(TRIM(AK76)),_xlpm.r,_xlfn.XLOOKUP(_xlpm.k,UPPER(TRIM(AG84:AP84)),AG85:AP85,_xlfn.XLOOKUP(_xlpm.k,UPPER(TRIM(AG86:AP86)),AG87:AP87)),_xlpm.r*AJ76*AL76*AL63*IF(ISBLANK(AG76),1,AG76)),0)</f>
        <v>0.6</v>
      </c>
      <c r="AP76" s="1476" t="str">
        <f>_xlfn.LET(_xlpm.unite,SUBSTITUTE(TRIM(AK76)," (s)",""),_xlpm.val,AO76,_xlpm.estVol,COUNTIF(AJ84:AP84,_xlpm.unite)+COUNTIF(AJ86:AP86,_xlpm.unite)&gt;0,_xlpm.estPoids,COUNTIF(AG84:AI84,_xlpm.unite)+COUNTIF(AG86:AI86,_xlpm.unite)&gt;0,IF(_xlpm.estVol,IF(ROUND(_xlpm.val,3)&gt;=1,ROUND(_xlpm.val,3)&amp;" L",MAX(1,ROUND(_xlpm.val*100,0))&amp;" cl"),IF(_xlpm.estPoids,IF(ROUND(_xlpm.val,3)&gt;=1,ROUND(_xlpm.val,3)&amp;" Kg",MAX(1,ROUND(_xlpm.val*1000,0))&amp;" g"),"")))</f>
        <v>600 g</v>
      </c>
      <c r="AR76" s="104" t="str">
        <f t="shared" si="27"/>
        <v>A</v>
      </c>
      <c r="AS76" s="32" t="str">
        <f>AS64</f>
        <v>T TERRINAS DE MANITAS DE CERDO para rodaja  | | Autor &gt; Guy KRENZE - Eric GODDYN - Arnaud NICOLAS - CEPROC 2002</v>
      </c>
      <c r="AT76" s="33">
        <f>AT64</f>
        <v>1</v>
      </c>
      <c r="AU76" s="32" t="str">
        <f>AU64</f>
        <v>molde L 30 cm × A 9 cm × H 6 cm</v>
      </c>
      <c r="AV76" s="34" t="str">
        <f>AV64</f>
        <v>Receta madre ► Morcilla en 4 versiones</v>
      </c>
      <c r="AW76" s="92"/>
      <c r="AX76" s="108"/>
      <c r="AY76" s="94" t="str">
        <f t="shared" si="24"/>
        <v/>
      </c>
      <c r="AZ76" s="95">
        <v>300</v>
      </c>
      <c r="BA76" s="105" t="s">
        <v>99</v>
      </c>
      <c r="BB76" s="127">
        <v>1</v>
      </c>
      <c r="BC76" s="920" t="s">
        <v>12964</v>
      </c>
      <c r="BD76" s="1494">
        <f>IF(OR(ISBLANK(AW62),BD62=0),0,AW76*BB63)</f>
        <v>0</v>
      </c>
      <c r="BE76" s="101" cm="1">
        <f t="array" ref="BE76">IFERROR(_xlfn.LET(_xlpm.k,UPPER(TRIM(BA76)),_xlpm.r,_xlfn.XLOOKUP(_xlpm.k,UPPER(TRIM(AW84:BF84)),AW85:BF85,_xlfn.XLOOKUP(_xlpm.k,UPPER(TRIM(AW86:BF86)),AW87:BF87)),_xlpm.r*AZ76*BB76*BB63*IF(ISBLANK(AW76),1,AW76)),0)</f>
        <v>0.6</v>
      </c>
      <c r="BF76" s="1476" t="str">
        <f>_xlfn.LET(_xlpm.unite,SUBSTITUTE(TRIM(BA76)," (s)",""),_xlpm.val,BE76,_xlpm.estVol,COUNTIF(AZ84:BF84,_xlpm.unite)+COUNTIF(AZ86:BF86,_xlpm.unite)&gt;0,_xlpm.estPoids,COUNTIF(AW84:AY84,_xlpm.unite)+COUNTIF(AW86:AY86,_xlpm.unite)&gt;0,IF(_xlpm.estVol,IF(ROUND(_xlpm.val,3)&gt;=1,ROUND(_xlpm.val,3)&amp;" L",MAX(1,ROUND(_xlpm.val*100,0))&amp;" cl"),IF(_xlpm.estPoids,IF(ROUND(_xlpm.val,3)&gt;=1,ROUND(_xlpm.val,3)&amp;" Kg",MAX(1,ROUND(_xlpm.val*1000,0))&amp;" g"),"")))</f>
        <v>600 g</v>
      </c>
      <c r="BH76" s="104"/>
      <c r="BI76" s="32"/>
      <c r="BJ76" s="33"/>
      <c r="BK76" s="32"/>
      <c r="BL76" s="34"/>
      <c r="BM76" s="92"/>
      <c r="BN76" s="108"/>
      <c r="BO76" s="94"/>
      <c r="BP76" s="95"/>
      <c r="BQ76" s="105"/>
      <c r="BR76" s="5101"/>
      <c r="BS76" s="920"/>
      <c r="BT76" s="1495"/>
      <c r="BU76" s="101"/>
      <c r="BV76" s="1475"/>
      <c r="BX76" s="104"/>
      <c r="BY76" s="32"/>
      <c r="BZ76" s="33"/>
      <c r="CA76" s="32"/>
      <c r="CB76" s="34"/>
      <c r="CC76" s="92"/>
      <c r="CD76" s="108"/>
      <c r="CE76" s="94"/>
      <c r="CF76" s="95"/>
      <c r="CG76" s="105"/>
      <c r="CH76" s="5101"/>
      <c r="CI76" s="920"/>
      <c r="CJ76" s="1495"/>
      <c r="CK76" s="101"/>
      <c r="CL76" s="1475"/>
      <c r="CN76" s="104"/>
      <c r="CO76" s="32"/>
      <c r="CP76" s="33"/>
      <c r="CQ76" s="32"/>
      <c r="CR76" s="34"/>
      <c r="CS76" s="92"/>
      <c r="CT76" s="108"/>
      <c r="CU76" s="94"/>
      <c r="CV76" s="95"/>
      <c r="CW76" s="105"/>
      <c r="CX76" s="5101"/>
      <c r="CY76" s="920"/>
      <c r="CZ76" s="1495"/>
      <c r="DA76" s="101"/>
      <c r="DB76" s="1475"/>
      <c r="DC76" s="5109"/>
      <c r="DD76" s="5086"/>
      <c r="DF76" s="3">
        <v>1</v>
      </c>
    </row>
    <row r="77" spans="2:110" ht="21" customHeight="1">
      <c r="B77" s="952" t="str">
        <f t="shared" si="28"/>
        <v>A</v>
      </c>
      <c r="C77" s="993" cm="1">
        <f t="array" ref="C77">SUMPRODUCT(LEN(D77:J77))</f>
        <v>0</v>
      </c>
      <c r="D77" s="167"/>
      <c r="E77" s="172"/>
      <c r="F77" s="172"/>
      <c r="G77" s="172"/>
      <c r="H77" s="172"/>
      <c r="I77" s="172"/>
      <c r="J77" s="173"/>
      <c r="K77" s="442" t="s">
        <v>22</v>
      </c>
      <c r="L77" s="104" t="str">
        <f t="shared" si="25"/>
        <v>A</v>
      </c>
      <c r="M77" s="32" t="str">
        <f>M64</f>
        <v>T TERRINE DE PIEDS DE PORC pour tranches | | Auteur &gt; Guy KRENZE - Eric GODDYN - Arnaud NICOLAS - CEPROC 2002</v>
      </c>
      <c r="N77" s="33">
        <f>N64</f>
        <v>1</v>
      </c>
      <c r="O77" s="32" t="str">
        <f>O64</f>
        <v xml:space="preserve">moule L 30 cm X l 9 cm X H 6 cm </v>
      </c>
      <c r="P77" s="34" t="str">
        <f>P64</f>
        <v>Recette mère ► le Boudin en 4 déclinaisons</v>
      </c>
      <c r="Q77" s="92"/>
      <c r="R77" s="108"/>
      <c r="S77" s="94" t="str">
        <f t="shared" si="22"/>
        <v/>
      </c>
      <c r="T77" s="95">
        <v>2</v>
      </c>
      <c r="U77" s="105" t="s">
        <v>99</v>
      </c>
      <c r="V77" s="127">
        <v>1</v>
      </c>
      <c r="W77" s="920" t="s">
        <v>12827</v>
      </c>
      <c r="X77" s="1494">
        <f>IF(OR(ISBLANK(Q62),X62=0),0,Q77*V63)</f>
        <v>0</v>
      </c>
      <c r="Y77" s="101" cm="1">
        <f t="array" ref="Y77">IFERROR(_xlfn.LET(_xlpm.k,UPPER(TRIM(U77)),_xlpm.r,_xlfn.XLOOKUP(_xlpm.k,UPPER(TRIM(Q84:Z84)),Q85:Z85,_xlfn.XLOOKUP(_xlpm.k,UPPER(TRIM(Q86:Z86)),Q87:Z87)),_xlpm.r*T77*V77*V63*IF(ISBLANK(Q77),1,Q77)),0)</f>
        <v>4.0000000000000001E-3</v>
      </c>
      <c r="Z77" s="1475" t="str">
        <f>_xlfn.LET(_xlpm.unite,SUBSTITUTE(TRIM(U77)," (s)",""),_xlpm.val,Y77,_xlpm.estVol,COUNTIF(T84:Z84,_xlpm.unite)+COUNTIF(T86:Z86,_xlpm.unite)&gt;0,_xlpm.estPoids,COUNTIF(Q84:S84,_xlpm.unite)+COUNTIF(Q86:S86,_xlpm.unite)&gt;0,IF(_xlpm.estVol,IF(ROUND(_xlpm.val,3)&gt;=1,ROUND(_xlpm.val,3)&amp;" L",MAX(1,ROUND(_xlpm.val*100,0))&amp;" cl"),IF(_xlpm.estPoids,IF(ROUND(_xlpm.val,3)&gt;=1,ROUND(_xlpm.val,3)&amp;" Kg",MAX(1,ROUND(_xlpm.val*1000,0))&amp;" g"),"")))</f>
        <v>4 g</v>
      </c>
      <c r="AB77" s="104" t="str">
        <f t="shared" si="26"/>
        <v>A</v>
      </c>
      <c r="AC77" s="32" t="str">
        <f>AC64</f>
        <v>T TERRINE OF PIG’S TROTTERS  for slices | |  Author &gt; Guy KRENZE - Eric GODDYN - Arnaud NICOLAS - CEPROC 2002</v>
      </c>
      <c r="AD77" s="33">
        <f>AD64</f>
        <v>1</v>
      </c>
      <c r="AE77" s="32" t="str">
        <f>AE64</f>
        <v>mold L 30 cm × W 9 cm × H 6 cm</v>
      </c>
      <c r="AF77" s="34" t="str">
        <f>AF64</f>
        <v>Master recipe ► Black pudding in 4 variations</v>
      </c>
      <c r="AG77" s="92"/>
      <c r="AH77" s="108"/>
      <c r="AI77" s="94" t="str">
        <f t="shared" si="23"/>
        <v/>
      </c>
      <c r="AJ77" s="95">
        <v>2</v>
      </c>
      <c r="AK77" s="105" t="s">
        <v>99</v>
      </c>
      <c r="AL77" s="127">
        <v>1</v>
      </c>
      <c r="AM77" s="920" t="s">
        <v>12882</v>
      </c>
      <c r="AN77" s="1494">
        <f>IF(OR(ISBLANK(AG62),AN62=0),0,AG77*AL63)</f>
        <v>0</v>
      </c>
      <c r="AO77" s="101" cm="1">
        <f t="array" ref="AO77">IFERROR(_xlfn.LET(_xlpm.k,UPPER(TRIM(AK77)),_xlpm.r,_xlfn.XLOOKUP(_xlpm.k,UPPER(TRIM(AG84:AP84)),AG85:AP85,_xlfn.XLOOKUP(_xlpm.k,UPPER(TRIM(AG86:AP86)),AG87:AP87)),_xlpm.r*AJ77*AL77*AL63*IF(ISBLANK(AG77),1,AG77)),0)</f>
        <v>4.0000000000000001E-3</v>
      </c>
      <c r="AP77" s="1475" t="str">
        <f>_xlfn.LET(_xlpm.unite,SUBSTITUTE(TRIM(AK77)," (s)",""),_xlpm.val,AO77,_xlpm.estVol,COUNTIF(AJ84:AP84,_xlpm.unite)+COUNTIF(AJ86:AP86,_xlpm.unite)&gt;0,_xlpm.estPoids,COUNTIF(AG84:AI84,_xlpm.unite)+COUNTIF(AG86:AI86,_xlpm.unite)&gt;0,IF(_xlpm.estVol,IF(ROUND(_xlpm.val,3)&gt;=1,ROUND(_xlpm.val,3)&amp;" L",MAX(1,ROUND(_xlpm.val*100,0))&amp;" cl"),IF(_xlpm.estPoids,IF(ROUND(_xlpm.val,3)&gt;=1,ROUND(_xlpm.val,3)&amp;" Kg",MAX(1,ROUND(_xlpm.val*1000,0))&amp;" g"),"")))</f>
        <v>4 g</v>
      </c>
      <c r="AR77" s="104" t="str">
        <f t="shared" si="27"/>
        <v>A</v>
      </c>
      <c r="AS77" s="32" t="str">
        <f>AS64</f>
        <v>T TERRINAS DE MANITAS DE CERDO para rodaja  | | Autor &gt; Guy KRENZE - Eric GODDYN - Arnaud NICOLAS - CEPROC 2002</v>
      </c>
      <c r="AT77" s="33">
        <f>AT64</f>
        <v>1</v>
      </c>
      <c r="AU77" s="32" t="str">
        <f>AU64</f>
        <v>molde L 30 cm × A 9 cm × H 6 cm</v>
      </c>
      <c r="AV77" s="34" t="str">
        <f>AV64</f>
        <v>Receta madre ► Morcilla en 4 versiones</v>
      </c>
      <c r="AW77" s="92"/>
      <c r="AX77" s="108"/>
      <c r="AY77" s="94" t="str">
        <f t="shared" si="24"/>
        <v/>
      </c>
      <c r="AZ77" s="95">
        <v>2</v>
      </c>
      <c r="BA77" s="105" t="s">
        <v>99</v>
      </c>
      <c r="BB77" s="127">
        <v>1</v>
      </c>
      <c r="BC77" s="920" t="s">
        <v>12883</v>
      </c>
      <c r="BD77" s="1494">
        <f>IF(OR(ISBLANK(AW62),BD62=0),0,AW77*BB63)</f>
        <v>0</v>
      </c>
      <c r="BE77" s="101" cm="1">
        <f t="array" ref="BE77">IFERROR(_xlfn.LET(_xlpm.k,UPPER(TRIM(BA77)),_xlpm.r,_xlfn.XLOOKUP(_xlpm.k,UPPER(TRIM(AW84:BF84)),AW85:BF85,_xlfn.XLOOKUP(_xlpm.k,UPPER(TRIM(AW86:BF86)),AW87:BF87)),_xlpm.r*AZ77*BB77*BB63*IF(ISBLANK(AW77),1,AW77)),0)</f>
        <v>4.0000000000000001E-3</v>
      </c>
      <c r="BF77" s="1475" t="str">
        <f>_xlfn.LET(_xlpm.unite,SUBSTITUTE(TRIM(BA77)," (s)",""),_xlpm.val,BE77,_xlpm.estVol,COUNTIF(AZ84:BF84,_xlpm.unite)+COUNTIF(AZ86:BF86,_xlpm.unite)&gt;0,_xlpm.estPoids,COUNTIF(AW84:AY84,_xlpm.unite)+COUNTIF(AW86:AY86,_xlpm.unite)&gt;0,IF(_xlpm.estVol,IF(ROUND(_xlpm.val,3)&gt;=1,ROUND(_xlpm.val,3)&amp;" L",MAX(1,ROUND(_xlpm.val*100,0))&amp;" cl"),IF(_xlpm.estPoids,IF(ROUND(_xlpm.val,3)&gt;=1,ROUND(_xlpm.val,3)&amp;" Kg",MAX(1,ROUND(_xlpm.val*1000,0))&amp;" g"),"")))</f>
        <v>4 g</v>
      </c>
      <c r="BH77" s="104"/>
      <c r="BI77" s="32"/>
      <c r="BJ77" s="33"/>
      <c r="BK77" s="32"/>
      <c r="BL77" s="34"/>
      <c r="BM77" s="92"/>
      <c r="BN77" s="108"/>
      <c r="BO77" s="94"/>
      <c r="BP77" s="95"/>
      <c r="BQ77" s="105"/>
      <c r="BR77" s="5101"/>
      <c r="BS77" s="920"/>
      <c r="BT77" s="1495"/>
      <c r="BU77" s="101"/>
      <c r="BV77" s="1475"/>
      <c r="BX77" s="104"/>
      <c r="BY77" s="32"/>
      <c r="BZ77" s="33"/>
      <c r="CA77" s="32"/>
      <c r="CB77" s="34"/>
      <c r="CC77" s="92"/>
      <c r="CD77" s="108"/>
      <c r="CE77" s="94"/>
      <c r="CF77" s="95"/>
      <c r="CG77" s="105"/>
      <c r="CH77" s="5101"/>
      <c r="CI77" s="920"/>
      <c r="CJ77" s="1495"/>
      <c r="CK77" s="101"/>
      <c r="CL77" s="1475"/>
      <c r="CN77" s="104"/>
      <c r="CO77" s="32"/>
      <c r="CP77" s="33"/>
      <c r="CQ77" s="32"/>
      <c r="CR77" s="34"/>
      <c r="CS77" s="92"/>
      <c r="CT77" s="108"/>
      <c r="CU77" s="94"/>
      <c r="CV77" s="95"/>
      <c r="CW77" s="105"/>
      <c r="CX77" s="5101"/>
      <c r="CY77" s="920"/>
      <c r="CZ77" s="1495"/>
      <c r="DA77" s="101"/>
      <c r="DB77" s="1475"/>
      <c r="DC77" s="5109"/>
      <c r="DD77" s="5086"/>
      <c r="DF77" s="3">
        <v>1</v>
      </c>
    </row>
    <row r="78" spans="2:110" ht="21" customHeight="1">
      <c r="B78" s="952" t="str">
        <f t="shared" si="28"/>
        <v>A</v>
      </c>
      <c r="C78" s="993" cm="1">
        <f t="array" ref="C78">SUMPRODUCT(LEN(D78:J78))</f>
        <v>0</v>
      </c>
      <c r="D78" s="167"/>
      <c r="E78" s="172"/>
      <c r="F78" s="172"/>
      <c r="G78" s="172"/>
      <c r="H78" s="172"/>
      <c r="I78" s="172"/>
      <c r="J78" s="173"/>
      <c r="K78" s="442" t="s">
        <v>22</v>
      </c>
      <c r="L78" s="104" t="str">
        <f t="shared" si="25"/>
        <v>A</v>
      </c>
      <c r="M78" s="32" t="str">
        <f>M64</f>
        <v>T TERRINE DE PIEDS DE PORC pour tranches | | Auteur &gt; Guy KRENZE - Eric GODDYN - Arnaud NICOLAS - CEPROC 2002</v>
      </c>
      <c r="N78" s="33">
        <f>N64</f>
        <v>1</v>
      </c>
      <c r="O78" s="32" t="str">
        <f>O64</f>
        <v xml:space="preserve">moule L 30 cm X l 9 cm X H 6 cm </v>
      </c>
      <c r="P78" s="34" t="str">
        <f>P64</f>
        <v>Recette mère ► le Boudin en 4 déclinaisons</v>
      </c>
      <c r="Q78" s="92"/>
      <c r="R78" s="108"/>
      <c r="S78" s="94" t="str">
        <f t="shared" si="22"/>
        <v/>
      </c>
      <c r="T78" s="95">
        <v>7</v>
      </c>
      <c r="U78" s="105" t="s">
        <v>99</v>
      </c>
      <c r="V78" s="127">
        <v>1</v>
      </c>
      <c r="W78" s="920" t="s">
        <v>8947</v>
      </c>
      <c r="X78" s="1494">
        <f>IF(OR(ISBLANK(Q62),X62=0),0,Q78*V63)</f>
        <v>0</v>
      </c>
      <c r="Y78" s="101" cm="1">
        <f t="array" ref="Y78">IFERROR(_xlfn.LET(_xlpm.k,UPPER(TRIM(U78)),_xlpm.r,_xlfn.XLOOKUP(_xlpm.k,UPPER(TRIM(Q84:Z84)),Q85:Z85,_xlfn.XLOOKUP(_xlpm.k,UPPER(TRIM(Q86:Z86)),Q87:Z87)),_xlpm.r*T78*V78*V63*IF(ISBLANK(Q78),1,Q78)),0)</f>
        <v>1.4E-2</v>
      </c>
      <c r="Z78" s="1476" t="str">
        <f>_xlfn.LET(_xlpm.unite,SUBSTITUTE(TRIM(U78)," (s)",""),_xlpm.val,Y78,_xlpm.estVol,COUNTIF(T84:Z84,_xlpm.unite)+COUNTIF(T86:Z86,_xlpm.unite)&gt;0,_xlpm.estPoids,COUNTIF(Q84:S84,_xlpm.unite)+COUNTIF(Q86:S86,_xlpm.unite)&gt;0,IF(_xlpm.estVol,IF(ROUND(_xlpm.val,3)&gt;=1,ROUND(_xlpm.val,3)&amp;" L",MAX(1,ROUND(_xlpm.val*100,0))&amp;" cl"),IF(_xlpm.estPoids,IF(ROUND(_xlpm.val,3)&gt;=1,ROUND(_xlpm.val,3)&amp;" Kg",MAX(1,ROUND(_xlpm.val*1000,0))&amp;" g"),"")))</f>
        <v>14 g</v>
      </c>
      <c r="AB78" s="104" t="str">
        <f t="shared" si="26"/>
        <v>A</v>
      </c>
      <c r="AC78" s="32" t="str">
        <f>AC64</f>
        <v>T TERRINE OF PIG’S TROTTERS  for slices | |  Author &gt; Guy KRENZE - Eric GODDYN - Arnaud NICOLAS - CEPROC 2002</v>
      </c>
      <c r="AD78" s="33">
        <f>AD64</f>
        <v>1</v>
      </c>
      <c r="AE78" s="32" t="str">
        <f>AE64</f>
        <v>mold L 30 cm × W 9 cm × H 6 cm</v>
      </c>
      <c r="AF78" s="34" t="str">
        <f>AF64</f>
        <v>Master recipe ► Black pudding in 4 variations</v>
      </c>
      <c r="AG78" s="92"/>
      <c r="AH78" s="108"/>
      <c r="AI78" s="94" t="str">
        <f t="shared" si="23"/>
        <v/>
      </c>
      <c r="AJ78" s="95">
        <v>7</v>
      </c>
      <c r="AK78" s="105" t="s">
        <v>99</v>
      </c>
      <c r="AL78" s="127">
        <v>1</v>
      </c>
      <c r="AM78" s="920" t="s">
        <v>12884</v>
      </c>
      <c r="AN78" s="1494">
        <f>IF(OR(ISBLANK(AG62),AN62=0),0,AG78*AL63)</f>
        <v>0</v>
      </c>
      <c r="AO78" s="101" cm="1">
        <f t="array" ref="AO78">IFERROR(_xlfn.LET(_xlpm.k,UPPER(TRIM(AK78)),_xlpm.r,_xlfn.XLOOKUP(_xlpm.k,UPPER(TRIM(AG84:AP84)),AG85:AP85,_xlfn.XLOOKUP(_xlpm.k,UPPER(TRIM(AG86:AP86)),AG87:AP87)),_xlpm.r*AJ78*AL78*AL63*IF(ISBLANK(AG78),1,AG78)),0)</f>
        <v>1.4E-2</v>
      </c>
      <c r="AP78" s="1476" t="str">
        <f>_xlfn.LET(_xlpm.unite,SUBSTITUTE(TRIM(AK78)," (s)",""),_xlpm.val,AO78,_xlpm.estVol,COUNTIF(AJ84:AP84,_xlpm.unite)+COUNTIF(AJ86:AP86,_xlpm.unite)&gt;0,_xlpm.estPoids,COUNTIF(AG84:AI84,_xlpm.unite)+COUNTIF(AG86:AI86,_xlpm.unite)&gt;0,IF(_xlpm.estVol,IF(ROUND(_xlpm.val,3)&gt;=1,ROUND(_xlpm.val,3)&amp;" L",MAX(1,ROUND(_xlpm.val*100,0))&amp;" cl"),IF(_xlpm.estPoids,IF(ROUND(_xlpm.val,3)&gt;=1,ROUND(_xlpm.val,3)&amp;" Kg",MAX(1,ROUND(_xlpm.val*1000,0))&amp;" g"),"")))</f>
        <v>14 g</v>
      </c>
      <c r="AR78" s="104" t="str">
        <f t="shared" si="27"/>
        <v>A</v>
      </c>
      <c r="AS78" s="32" t="str">
        <f>AS64</f>
        <v>T TERRINAS DE MANITAS DE CERDO para rodaja  | | Autor &gt; Guy KRENZE - Eric GODDYN - Arnaud NICOLAS - CEPROC 2002</v>
      </c>
      <c r="AT78" s="33">
        <f>AT64</f>
        <v>1</v>
      </c>
      <c r="AU78" s="32" t="str">
        <f>AU64</f>
        <v>molde L 30 cm × A 9 cm × H 6 cm</v>
      </c>
      <c r="AV78" s="34" t="str">
        <f>AV64</f>
        <v>Receta madre ► Morcilla en 4 versiones</v>
      </c>
      <c r="AW78" s="92"/>
      <c r="AX78" s="108"/>
      <c r="AY78" s="94" t="str">
        <f t="shared" si="24"/>
        <v/>
      </c>
      <c r="AZ78" s="95">
        <v>7</v>
      </c>
      <c r="BA78" s="105" t="s">
        <v>99</v>
      </c>
      <c r="BB78" s="127">
        <v>1</v>
      </c>
      <c r="BC78" s="920" t="s">
        <v>12885</v>
      </c>
      <c r="BD78" s="1494">
        <f>IF(OR(ISBLANK(AW62),BD62=0),0,AW78*BB63)</f>
        <v>0</v>
      </c>
      <c r="BE78" s="101" cm="1">
        <f t="array" ref="BE78">IFERROR(_xlfn.LET(_xlpm.k,UPPER(TRIM(BA78)),_xlpm.r,_xlfn.XLOOKUP(_xlpm.k,UPPER(TRIM(AW84:BF84)),AW85:BF85,_xlfn.XLOOKUP(_xlpm.k,UPPER(TRIM(AW86:BF86)),AW87:BF87)),_xlpm.r*AZ78*BB78*BB63*IF(ISBLANK(AW78),1,AW78)),0)</f>
        <v>1.4E-2</v>
      </c>
      <c r="BF78" s="1476" t="str">
        <f>_xlfn.LET(_xlpm.unite,SUBSTITUTE(TRIM(BA78)," (s)",""),_xlpm.val,BE78,_xlpm.estVol,COUNTIF(AZ84:BF84,_xlpm.unite)+COUNTIF(AZ86:BF86,_xlpm.unite)&gt;0,_xlpm.estPoids,COUNTIF(AW84:AY84,_xlpm.unite)+COUNTIF(AW86:AY86,_xlpm.unite)&gt;0,IF(_xlpm.estVol,IF(ROUND(_xlpm.val,3)&gt;=1,ROUND(_xlpm.val,3)&amp;" L",MAX(1,ROUND(_xlpm.val*100,0))&amp;" cl"),IF(_xlpm.estPoids,IF(ROUND(_xlpm.val,3)&gt;=1,ROUND(_xlpm.val,3)&amp;" Kg",MAX(1,ROUND(_xlpm.val*1000,0))&amp;" g"),"")))</f>
        <v>14 g</v>
      </c>
      <c r="BH78" s="104"/>
      <c r="BI78" s="32"/>
      <c r="BJ78" s="33"/>
      <c r="BK78" s="32"/>
      <c r="BL78" s="34"/>
      <c r="BM78" s="92"/>
      <c r="BN78" s="108"/>
      <c r="BO78" s="94"/>
      <c r="BP78" s="95"/>
      <c r="BQ78" s="105"/>
      <c r="BR78" s="5101"/>
      <c r="BS78" s="920"/>
      <c r="BT78" s="1495"/>
      <c r="BU78" s="101"/>
      <c r="BV78" s="1475"/>
      <c r="BX78" s="104"/>
      <c r="BY78" s="32"/>
      <c r="BZ78" s="33"/>
      <c r="CA78" s="32"/>
      <c r="CB78" s="34"/>
      <c r="CC78" s="92"/>
      <c r="CD78" s="108"/>
      <c r="CE78" s="94"/>
      <c r="CF78" s="95"/>
      <c r="CG78" s="105"/>
      <c r="CH78" s="5101"/>
      <c r="CI78" s="920"/>
      <c r="CJ78" s="1495"/>
      <c r="CK78" s="101"/>
      <c r="CL78" s="1475"/>
      <c r="CN78" s="104"/>
      <c r="CO78" s="32"/>
      <c r="CP78" s="33"/>
      <c r="CQ78" s="32"/>
      <c r="CR78" s="34"/>
      <c r="CS78" s="92"/>
      <c r="CT78" s="108"/>
      <c r="CU78" s="94"/>
      <c r="CV78" s="95"/>
      <c r="CW78" s="105"/>
      <c r="CX78" s="5101"/>
      <c r="CY78" s="920"/>
      <c r="CZ78" s="1495"/>
      <c r="DA78" s="101"/>
      <c r="DB78" s="1475"/>
      <c r="DC78" s="5109"/>
      <c r="DD78" s="5091"/>
      <c r="DF78" s="3">
        <v>1</v>
      </c>
    </row>
    <row r="79" spans="2:110" ht="21" customHeight="1">
      <c r="B79" s="952" t="str">
        <f t="shared" si="28"/>
        <v>►</v>
      </c>
      <c r="C79" s="993" cm="1">
        <f t="array" ref="C79">SUMPRODUCT(LEN(D79:J79))</f>
        <v>0</v>
      </c>
      <c r="D79" s="167"/>
      <c r="E79" s="172"/>
      <c r="F79" s="172"/>
      <c r="G79" s="172"/>
      <c r="H79" s="172"/>
      <c r="I79" s="172"/>
      <c r="J79" s="173"/>
      <c r="K79" s="442" t="s">
        <v>22</v>
      </c>
      <c r="L79" s="104" t="str">
        <f t="shared" si="25"/>
        <v>►</v>
      </c>
      <c r="M79" s="32" t="str">
        <f>M64</f>
        <v>T TERRINE DE PIEDS DE PORC pour tranches | | Auteur &gt; Guy KRENZE - Eric GODDYN - Arnaud NICOLAS - CEPROC 2002</v>
      </c>
      <c r="N79" s="33">
        <f>N64</f>
        <v>1</v>
      </c>
      <c r="O79" s="32" t="str">
        <f>O64</f>
        <v xml:space="preserve">moule L 30 cm X l 9 cm X H 6 cm </v>
      </c>
      <c r="P79" s="34" t="str">
        <f>P64</f>
        <v>Recette mère ► le Boudin en 4 déclinaisons</v>
      </c>
      <c r="Q79" s="92"/>
      <c r="R79" s="108"/>
      <c r="S79" s="94" t="str">
        <f t="shared" si="22"/>
        <v/>
      </c>
      <c r="T79" s="95"/>
      <c r="U79" s="126"/>
      <c r="V79" s="127">
        <v>1</v>
      </c>
      <c r="W79" s="920"/>
      <c r="X79" s="1494">
        <f>IF(OR(ISBLANK(Q62),X62=0),0,Q79*V63)</f>
        <v>0</v>
      </c>
      <c r="Y79" s="101" cm="1">
        <f t="array" ref="Y79">IFERROR(_xlfn.LET(_xlpm.k,UPPER(TRIM(U79)),_xlpm.r,_xlfn.XLOOKUP(_xlpm.k,UPPER(TRIM(Q84:Z84)),Q85:Z85,_xlfn.XLOOKUP(_xlpm.k,UPPER(TRIM(Q86:Z86)),Q87:Z87)),_xlpm.r*T79*V79*V63*IF(ISBLANK(Q79),1,Q79)),0)</f>
        <v>0</v>
      </c>
      <c r="Z79" s="1475" t="str">
        <f>_xlfn.LET(_xlpm.unite,SUBSTITUTE(TRIM(U79)," (s)",""),_xlpm.val,Y79,_xlpm.estVol,COUNTIF(T84:Z84,_xlpm.unite)+COUNTIF(T86:Z86,_xlpm.unite)&gt;0,_xlpm.estPoids,COUNTIF(Q84:S84,_xlpm.unite)+COUNTIF(Q86:S86,_xlpm.unite)&gt;0,IF(_xlpm.estVol,IF(ROUND(_xlpm.val,3)&gt;=1,ROUND(_xlpm.val,3)&amp;" L",MAX(1,ROUND(_xlpm.val*100,0))&amp;" cl"),IF(_xlpm.estPoids,IF(ROUND(_xlpm.val,3)&gt;=1,ROUND(_xlpm.val,3)&amp;" Kg",MAX(1,ROUND(_xlpm.val*1000,0))&amp;" g"),"")))</f>
        <v/>
      </c>
      <c r="AB79" s="104" t="str">
        <f t="shared" si="26"/>
        <v>►</v>
      </c>
      <c r="AC79" s="32" t="str">
        <f>AC64</f>
        <v>T TERRINE OF PIG’S TROTTERS  for slices | |  Author &gt; Guy KRENZE - Eric GODDYN - Arnaud NICOLAS - CEPROC 2002</v>
      </c>
      <c r="AD79" s="33">
        <f>AD64</f>
        <v>1</v>
      </c>
      <c r="AE79" s="32" t="str">
        <f>AE64</f>
        <v>mold L 30 cm × W 9 cm × H 6 cm</v>
      </c>
      <c r="AF79" s="34" t="str">
        <f>AF64</f>
        <v>Master recipe ► Black pudding in 4 variations</v>
      </c>
      <c r="AG79" s="92"/>
      <c r="AH79" s="108"/>
      <c r="AI79" s="94" t="str">
        <f t="shared" si="23"/>
        <v/>
      </c>
      <c r="AJ79" s="95"/>
      <c r="AK79" s="126"/>
      <c r="AL79" s="127">
        <v>1</v>
      </c>
      <c r="AM79" s="920"/>
      <c r="AN79" s="1494">
        <f>IF(OR(ISBLANK(AG62),AN62=0),0,AG79*AL63)</f>
        <v>0</v>
      </c>
      <c r="AO79" s="101" cm="1">
        <f t="array" ref="AO79">IFERROR(_xlfn.LET(_xlpm.k,UPPER(TRIM(AK79)),_xlpm.r,_xlfn.XLOOKUP(_xlpm.k,UPPER(TRIM(AG84:AP84)),AG85:AP85,_xlfn.XLOOKUP(_xlpm.k,UPPER(TRIM(AG86:AP86)),AG87:AP87)),_xlpm.r*AJ79*AL79*AL63*IF(ISBLANK(AG79),1,AG79)),0)</f>
        <v>0</v>
      </c>
      <c r="AP79" s="1475" t="str">
        <f>_xlfn.LET(_xlpm.unite,SUBSTITUTE(TRIM(AK79)," (s)",""),_xlpm.val,AO79,_xlpm.estVol,COUNTIF(AJ84:AP84,_xlpm.unite)+COUNTIF(AJ86:AP86,_xlpm.unite)&gt;0,_xlpm.estPoids,COUNTIF(AG84:AI84,_xlpm.unite)+COUNTIF(AG86:AI86,_xlpm.unite)&gt;0,IF(_xlpm.estVol,IF(ROUND(_xlpm.val,3)&gt;=1,ROUND(_xlpm.val,3)&amp;" L",MAX(1,ROUND(_xlpm.val*100,0))&amp;" cl"),IF(_xlpm.estPoids,IF(ROUND(_xlpm.val,3)&gt;=1,ROUND(_xlpm.val,3)&amp;" Kg",MAX(1,ROUND(_xlpm.val*1000,0))&amp;" g"),"")))</f>
        <v/>
      </c>
      <c r="AR79" s="104" t="str">
        <f t="shared" si="27"/>
        <v>►</v>
      </c>
      <c r="AS79" s="32" t="str">
        <f>AS64</f>
        <v>T TERRINAS DE MANITAS DE CERDO para rodaja  | | Autor &gt; Guy KRENZE - Eric GODDYN - Arnaud NICOLAS - CEPROC 2002</v>
      </c>
      <c r="AT79" s="33">
        <f>AT64</f>
        <v>1</v>
      </c>
      <c r="AU79" s="32" t="str">
        <f>AU64</f>
        <v>molde L 30 cm × A 9 cm × H 6 cm</v>
      </c>
      <c r="AV79" s="34" t="str">
        <f>AV64</f>
        <v>Receta madre ► Morcilla en 4 versiones</v>
      </c>
      <c r="AW79" s="92"/>
      <c r="AX79" s="108"/>
      <c r="AY79" s="94" t="str">
        <f t="shared" si="24"/>
        <v/>
      </c>
      <c r="AZ79" s="95"/>
      <c r="BA79" s="126"/>
      <c r="BB79" s="127">
        <v>1</v>
      </c>
      <c r="BC79" s="920"/>
      <c r="BD79" s="1494">
        <f>IF(OR(ISBLANK(AW62),BD62=0),0,AW79*BB63)</f>
        <v>0</v>
      </c>
      <c r="BE79" s="101" cm="1">
        <f t="array" ref="BE79">IFERROR(_xlfn.LET(_xlpm.k,UPPER(TRIM(BA79)),_xlpm.r,_xlfn.XLOOKUP(_xlpm.k,UPPER(TRIM(AW84:BF84)),AW85:BF85,_xlfn.XLOOKUP(_xlpm.k,UPPER(TRIM(AW86:BF86)),AW87:BF87)),_xlpm.r*AZ79*BB79*BB63*IF(ISBLANK(AW79),1,AW79)),0)</f>
        <v>0</v>
      </c>
      <c r="BF79" s="1475" t="str">
        <f>_xlfn.LET(_xlpm.unite,SUBSTITUTE(TRIM(BA79)," (s)",""),_xlpm.val,BE79,_xlpm.estVol,COUNTIF(AZ84:BF84,_xlpm.unite)+COUNTIF(AZ86:BF86,_xlpm.unite)&gt;0,_xlpm.estPoids,COUNTIF(AW84:AY84,_xlpm.unite)+COUNTIF(AW86:AY86,_xlpm.unite)&gt;0,IF(_xlpm.estVol,IF(ROUND(_xlpm.val,3)&gt;=1,ROUND(_xlpm.val,3)&amp;" L",MAX(1,ROUND(_xlpm.val*100,0))&amp;" cl"),IF(_xlpm.estPoids,IF(ROUND(_xlpm.val,3)&gt;=1,ROUND(_xlpm.val,3)&amp;" Kg",MAX(1,ROUND(_xlpm.val*1000,0))&amp;" g"),"")))</f>
        <v/>
      </c>
      <c r="BH79" s="104"/>
      <c r="BI79" s="32"/>
      <c r="BJ79" s="33"/>
      <c r="BK79" s="32"/>
      <c r="BL79" s="34"/>
      <c r="BM79" s="92"/>
      <c r="BN79" s="108"/>
      <c r="BO79" s="94"/>
      <c r="BP79" s="95"/>
      <c r="BQ79" s="105"/>
      <c r="BR79" s="5101"/>
      <c r="BS79" s="920"/>
      <c r="BT79" s="1495"/>
      <c r="BU79" s="101"/>
      <c r="BV79" s="1475"/>
      <c r="BX79" s="104"/>
      <c r="BY79" s="32"/>
      <c r="BZ79" s="33"/>
      <c r="CA79" s="32"/>
      <c r="CB79" s="34"/>
      <c r="CC79" s="92"/>
      <c r="CD79" s="108"/>
      <c r="CE79" s="94"/>
      <c r="CF79" s="95"/>
      <c r="CG79" s="105"/>
      <c r="CH79" s="5101"/>
      <c r="CI79" s="920"/>
      <c r="CJ79" s="1495"/>
      <c r="CK79" s="101"/>
      <c r="CL79" s="1475"/>
      <c r="CN79" s="104"/>
      <c r="CO79" s="32"/>
      <c r="CP79" s="33"/>
      <c r="CQ79" s="32"/>
      <c r="CR79" s="34"/>
      <c r="CS79" s="92"/>
      <c r="CT79" s="108"/>
      <c r="CU79" s="94"/>
      <c r="CV79" s="95"/>
      <c r="CW79" s="105"/>
      <c r="CX79" s="5101"/>
      <c r="CY79" s="920"/>
      <c r="CZ79" s="1495"/>
      <c r="DA79" s="101"/>
      <c r="DB79" s="1475"/>
      <c r="DC79" s="5109"/>
      <c r="DD79" s="5091"/>
      <c r="DF79" s="3">
        <v>1</v>
      </c>
    </row>
    <row r="80" spans="2:110" ht="21" customHeight="1">
      <c r="B80" s="952" t="str">
        <f t="shared" si="28"/>
        <v>►</v>
      </c>
      <c r="C80" s="993" cm="1">
        <f t="array" ref="C80">SUMPRODUCT(LEN(D80:J80))</f>
        <v>0</v>
      </c>
      <c r="D80" s="167"/>
      <c r="E80" s="172"/>
      <c r="F80" s="172"/>
      <c r="G80" s="172"/>
      <c r="H80" s="172"/>
      <c r="I80" s="172"/>
      <c r="J80" s="173"/>
      <c r="K80" s="442" t="s">
        <v>22</v>
      </c>
      <c r="L80" s="104" t="str">
        <f t="shared" si="25"/>
        <v>►</v>
      </c>
      <c r="M80" s="32" t="str">
        <f>M64</f>
        <v>T TERRINE DE PIEDS DE PORC pour tranches | | Auteur &gt; Guy KRENZE - Eric GODDYN - Arnaud NICOLAS - CEPROC 2002</v>
      </c>
      <c r="N80" s="33">
        <f>N64</f>
        <v>1</v>
      </c>
      <c r="O80" s="32" t="str">
        <f>O64</f>
        <v xml:space="preserve">moule L 30 cm X l 9 cm X H 6 cm </v>
      </c>
      <c r="P80" s="34" t="str">
        <f>P64</f>
        <v>Recette mère ► le Boudin en 4 déclinaisons</v>
      </c>
      <c r="Q80" s="92"/>
      <c r="R80" s="108"/>
      <c r="S80" s="94" t="str">
        <f t="shared" si="22"/>
        <v/>
      </c>
      <c r="T80" s="95"/>
      <c r="U80" s="126"/>
      <c r="V80" s="127">
        <v>1</v>
      </c>
      <c r="W80" s="920"/>
      <c r="X80" s="1494">
        <f>IF(OR(ISBLANK(Q62),X62=0),0,Q80*V63)</f>
        <v>0</v>
      </c>
      <c r="Y80" s="101" cm="1">
        <f t="array" ref="Y80">IFERROR(_xlfn.LET(_xlpm.k,UPPER(TRIM(U80)),_xlpm.r,_xlfn.XLOOKUP(_xlpm.k,UPPER(TRIM(Q84:Z84)),Q85:Z85,_xlfn.XLOOKUP(_xlpm.k,UPPER(TRIM(Q86:Z86)),Q87:Z87)),_xlpm.r*T80*V80*V63*IF(ISBLANK(Q80),1,Q80)),0)</f>
        <v>0</v>
      </c>
      <c r="Z80" s="1475" t="str">
        <f>_xlfn.LET(_xlpm.unite,SUBSTITUTE(TRIM(U80)," (s)",""),_xlpm.val,Y80,_xlpm.estVol,COUNTIF(T84:Z84,_xlpm.unite)+COUNTIF(T86:Z86,_xlpm.unite)&gt;0,_xlpm.estPoids,COUNTIF(Q84:S84,_xlpm.unite)+COUNTIF(Q86:S86,_xlpm.unite)&gt;0,IF(_xlpm.estVol,IF(ROUND(_xlpm.val,3)&gt;=1,ROUND(_xlpm.val,3)&amp;" L",MAX(1,ROUND(_xlpm.val*100,0))&amp;" cl"),IF(_xlpm.estPoids,IF(ROUND(_xlpm.val,3)&gt;=1,ROUND(_xlpm.val,3)&amp;" Kg",MAX(1,ROUND(_xlpm.val*1000,0))&amp;" g"),"")))</f>
        <v/>
      </c>
      <c r="AB80" s="104" t="str">
        <f t="shared" si="26"/>
        <v>►</v>
      </c>
      <c r="AC80" s="32" t="str">
        <f>AC64</f>
        <v>T TERRINE OF PIG’S TROTTERS  for slices | |  Author &gt; Guy KRENZE - Eric GODDYN - Arnaud NICOLAS - CEPROC 2002</v>
      </c>
      <c r="AD80" s="33">
        <f>AD64</f>
        <v>1</v>
      </c>
      <c r="AE80" s="32" t="str">
        <f>AE64</f>
        <v>mold L 30 cm × W 9 cm × H 6 cm</v>
      </c>
      <c r="AF80" s="34" t="str">
        <f>AF64</f>
        <v>Master recipe ► Black pudding in 4 variations</v>
      </c>
      <c r="AG80" s="92"/>
      <c r="AH80" s="108"/>
      <c r="AI80" s="94" t="str">
        <f t="shared" si="23"/>
        <v/>
      </c>
      <c r="AJ80" s="95"/>
      <c r="AK80" s="126"/>
      <c r="AL80" s="127">
        <v>1</v>
      </c>
      <c r="AM80" s="920"/>
      <c r="AN80" s="1494">
        <f>IF(OR(ISBLANK(AG62),AN62=0),0,AG80*AL63)</f>
        <v>0</v>
      </c>
      <c r="AO80" s="101" cm="1">
        <f t="array" ref="AO80">IFERROR(_xlfn.LET(_xlpm.k,UPPER(TRIM(AK80)),_xlpm.r,_xlfn.XLOOKUP(_xlpm.k,UPPER(TRIM(AG84:AP84)),AG85:AP85,_xlfn.XLOOKUP(_xlpm.k,UPPER(TRIM(AG86:AP86)),AG87:AP87)),_xlpm.r*AJ80*AL80*AL63*IF(ISBLANK(AG80),1,AG80)),0)</f>
        <v>0</v>
      </c>
      <c r="AP80" s="1475" t="str">
        <f>_xlfn.LET(_xlpm.unite,SUBSTITUTE(TRIM(AK80)," (s)",""),_xlpm.val,AO80,_xlpm.estVol,COUNTIF(AJ84:AP84,_xlpm.unite)+COUNTIF(AJ86:AP86,_xlpm.unite)&gt;0,_xlpm.estPoids,COUNTIF(AG84:AI84,_xlpm.unite)+COUNTIF(AG86:AI86,_xlpm.unite)&gt;0,IF(_xlpm.estVol,IF(ROUND(_xlpm.val,3)&gt;=1,ROUND(_xlpm.val,3)&amp;" L",MAX(1,ROUND(_xlpm.val*100,0))&amp;" cl"),IF(_xlpm.estPoids,IF(ROUND(_xlpm.val,3)&gt;=1,ROUND(_xlpm.val,3)&amp;" Kg",MAX(1,ROUND(_xlpm.val*1000,0))&amp;" g"),"")))</f>
        <v/>
      </c>
      <c r="AR80" s="104" t="str">
        <f t="shared" si="27"/>
        <v>►</v>
      </c>
      <c r="AS80" s="32" t="str">
        <f>AS64</f>
        <v>T TERRINAS DE MANITAS DE CERDO para rodaja  | | Autor &gt; Guy KRENZE - Eric GODDYN - Arnaud NICOLAS - CEPROC 2002</v>
      </c>
      <c r="AT80" s="33">
        <f>AT64</f>
        <v>1</v>
      </c>
      <c r="AU80" s="32" t="str">
        <f>AU64</f>
        <v>molde L 30 cm × A 9 cm × H 6 cm</v>
      </c>
      <c r="AV80" s="34" t="str">
        <f>AV64</f>
        <v>Receta madre ► Morcilla en 4 versiones</v>
      </c>
      <c r="AW80" s="92"/>
      <c r="AX80" s="108"/>
      <c r="AY80" s="94" t="str">
        <f t="shared" si="24"/>
        <v/>
      </c>
      <c r="AZ80" s="95"/>
      <c r="BA80" s="126"/>
      <c r="BB80" s="127">
        <v>1</v>
      </c>
      <c r="BC80" s="920"/>
      <c r="BD80" s="1494">
        <f>IF(OR(ISBLANK(AW62),BD62=0),0,AW80*BB63)</f>
        <v>0</v>
      </c>
      <c r="BE80" s="101" cm="1">
        <f t="array" ref="BE80">IFERROR(_xlfn.LET(_xlpm.k,UPPER(TRIM(BA80)),_xlpm.r,_xlfn.XLOOKUP(_xlpm.k,UPPER(TRIM(AW84:BF84)),AW85:BF85,_xlfn.XLOOKUP(_xlpm.k,UPPER(TRIM(AW86:BF86)),AW87:BF87)),_xlpm.r*AZ80*BB80*BB63*IF(ISBLANK(AW80),1,AW80)),0)</f>
        <v>0</v>
      </c>
      <c r="BF80" s="1475" t="str">
        <f>_xlfn.LET(_xlpm.unite,SUBSTITUTE(TRIM(BA80)," (s)",""),_xlpm.val,BE80,_xlpm.estVol,COUNTIF(AZ84:BF84,_xlpm.unite)+COUNTIF(AZ86:BF86,_xlpm.unite)&gt;0,_xlpm.estPoids,COUNTIF(AW84:AY84,_xlpm.unite)+COUNTIF(AW86:AY86,_xlpm.unite)&gt;0,IF(_xlpm.estVol,IF(ROUND(_xlpm.val,3)&gt;=1,ROUND(_xlpm.val,3)&amp;" L",MAX(1,ROUND(_xlpm.val*100,0))&amp;" cl"),IF(_xlpm.estPoids,IF(ROUND(_xlpm.val,3)&gt;=1,ROUND(_xlpm.val,3)&amp;" Kg",MAX(1,ROUND(_xlpm.val*1000,0))&amp;" g"),"")))</f>
        <v/>
      </c>
      <c r="BH80" s="104"/>
      <c r="BI80" s="32"/>
      <c r="BJ80" s="33"/>
      <c r="BK80" s="32"/>
      <c r="BL80" s="34"/>
      <c r="BM80" s="92"/>
      <c r="BN80" s="108"/>
      <c r="BO80" s="94"/>
      <c r="BP80" s="95"/>
      <c r="BQ80" s="105"/>
      <c r="BR80" s="5101"/>
      <c r="BS80" s="920"/>
      <c r="BT80" s="1495"/>
      <c r="BU80" s="101"/>
      <c r="BV80" s="1475"/>
      <c r="BX80" s="104"/>
      <c r="BY80" s="32"/>
      <c r="BZ80" s="33"/>
      <c r="CA80" s="32"/>
      <c r="CB80" s="34"/>
      <c r="CC80" s="92"/>
      <c r="CD80" s="108"/>
      <c r="CE80" s="94"/>
      <c r="CF80" s="95"/>
      <c r="CG80" s="105"/>
      <c r="CH80" s="5101"/>
      <c r="CI80" s="920"/>
      <c r="CJ80" s="1495"/>
      <c r="CK80" s="101"/>
      <c r="CL80" s="1475"/>
      <c r="CN80" s="104"/>
      <c r="CO80" s="32"/>
      <c r="CP80" s="33"/>
      <c r="CQ80" s="32"/>
      <c r="CR80" s="34"/>
      <c r="CS80" s="92"/>
      <c r="CT80" s="108"/>
      <c r="CU80" s="94"/>
      <c r="CV80" s="95"/>
      <c r="CW80" s="105"/>
      <c r="CX80" s="5101"/>
      <c r="CY80" s="920"/>
      <c r="CZ80" s="1495"/>
      <c r="DA80" s="101"/>
      <c r="DB80" s="1475"/>
      <c r="DC80" s="5109"/>
      <c r="DD80" s="5086"/>
      <c r="DF80" s="3">
        <v>1</v>
      </c>
    </row>
    <row r="81" spans="2:110" ht="21" customHeight="1">
      <c r="B81" s="952" t="str">
        <f t="shared" si="28"/>
        <v>►</v>
      </c>
      <c r="C81" s="993" cm="1">
        <f t="array" ref="C81">SUMPRODUCT(LEN(D81:J81))</f>
        <v>0</v>
      </c>
      <c r="D81" s="167"/>
      <c r="E81" s="172"/>
      <c r="F81" s="172"/>
      <c r="G81" s="172"/>
      <c r="H81" s="172"/>
      <c r="I81" s="172"/>
      <c r="J81" s="173"/>
      <c r="K81" s="442" t="s">
        <v>22</v>
      </c>
      <c r="L81" s="104" t="str">
        <f t="shared" si="25"/>
        <v>►</v>
      </c>
      <c r="M81" s="32" t="str">
        <f>M64</f>
        <v>T TERRINE DE PIEDS DE PORC pour tranches | | Auteur &gt; Guy KRENZE - Eric GODDYN - Arnaud NICOLAS - CEPROC 2002</v>
      </c>
      <c r="N81" s="33">
        <f>N64</f>
        <v>1</v>
      </c>
      <c r="O81" s="32" t="str">
        <f>O64</f>
        <v xml:space="preserve">moule L 30 cm X l 9 cm X H 6 cm </v>
      </c>
      <c r="P81" s="34" t="str">
        <f>P64</f>
        <v>Recette mère ► le Boudin en 4 déclinaisons</v>
      </c>
      <c r="Q81" s="92"/>
      <c r="R81" s="108"/>
      <c r="S81" s="94" t="str">
        <f t="shared" si="22"/>
        <v/>
      </c>
      <c r="T81" s="95"/>
      <c r="U81" s="126"/>
      <c r="V81" s="127">
        <v>1</v>
      </c>
      <c r="W81" s="920"/>
      <c r="X81" s="1494">
        <f>IF(OR(ISBLANK(Q62),X62=0),0,Q81*V63)</f>
        <v>0</v>
      </c>
      <c r="Y81" s="101" cm="1">
        <f t="array" ref="Y81">IFERROR(_xlfn.LET(_xlpm.k,UPPER(TRIM(U81)),_xlpm.r,_xlfn.XLOOKUP(_xlpm.k,UPPER(TRIM(Q84:Z84)),Q85:Z85,_xlfn.XLOOKUP(_xlpm.k,UPPER(TRIM(Q86:Z86)),Q87:Z87)),_xlpm.r*T81*V81*V63*IF(ISBLANK(Q81),1,Q81)),0)</f>
        <v>0</v>
      </c>
      <c r="Z81" s="1476" t="str">
        <f>_xlfn.LET(_xlpm.unite,SUBSTITUTE(TRIM(U81)," (s)",""),_xlpm.val,Y81,_xlpm.estVol,COUNTIF(T84:Z84,_xlpm.unite)+COUNTIF(T86:Z86,_xlpm.unite)&gt;0,_xlpm.estPoids,COUNTIF(Q84:S84,_xlpm.unite)+COUNTIF(Q86:S86,_xlpm.unite)&gt;0,IF(_xlpm.estVol,IF(ROUND(_xlpm.val,3)&gt;=1,ROUND(_xlpm.val,3)&amp;" L",MAX(1,ROUND(_xlpm.val*100,0))&amp;" cl"),IF(_xlpm.estPoids,IF(ROUND(_xlpm.val,3)&gt;=1,ROUND(_xlpm.val,3)&amp;" Kg",MAX(1,ROUND(_xlpm.val*1000,0))&amp;" g"),"")))</f>
        <v/>
      </c>
      <c r="AB81" s="104" t="str">
        <f t="shared" si="26"/>
        <v>►</v>
      </c>
      <c r="AC81" s="32" t="str">
        <f>AC64</f>
        <v>T TERRINE OF PIG’S TROTTERS  for slices | |  Author &gt; Guy KRENZE - Eric GODDYN - Arnaud NICOLAS - CEPROC 2002</v>
      </c>
      <c r="AD81" s="33">
        <f>AD64</f>
        <v>1</v>
      </c>
      <c r="AE81" s="32" t="str">
        <f>AE64</f>
        <v>mold L 30 cm × W 9 cm × H 6 cm</v>
      </c>
      <c r="AF81" s="34" t="str">
        <f>AF64</f>
        <v>Master recipe ► Black pudding in 4 variations</v>
      </c>
      <c r="AG81" s="92"/>
      <c r="AH81" s="108"/>
      <c r="AI81" s="94" t="str">
        <f t="shared" si="23"/>
        <v/>
      </c>
      <c r="AJ81" s="95"/>
      <c r="AK81" s="126"/>
      <c r="AL81" s="127">
        <v>1</v>
      </c>
      <c r="AM81" s="920"/>
      <c r="AN81" s="1494">
        <f>IF(OR(ISBLANK(AG62),AN62=0),0,AG81*AL63)</f>
        <v>0</v>
      </c>
      <c r="AO81" s="101" cm="1">
        <f t="array" ref="AO81">IFERROR(_xlfn.LET(_xlpm.k,UPPER(TRIM(AK81)),_xlpm.r,_xlfn.XLOOKUP(_xlpm.k,UPPER(TRIM(AG84:AP84)),AG85:AP85,_xlfn.XLOOKUP(_xlpm.k,UPPER(TRIM(AG86:AP86)),AG87:AP87)),_xlpm.r*AJ81*AL81*AL63*IF(ISBLANK(AG81),1,AG81)),0)</f>
        <v>0</v>
      </c>
      <c r="AP81" s="1476" t="str">
        <f>_xlfn.LET(_xlpm.unite,SUBSTITUTE(TRIM(AK81)," (s)",""),_xlpm.val,AO81,_xlpm.estVol,COUNTIF(AJ84:AP84,_xlpm.unite)+COUNTIF(AJ86:AP86,_xlpm.unite)&gt;0,_xlpm.estPoids,COUNTIF(AG84:AI84,_xlpm.unite)+COUNTIF(AG86:AI86,_xlpm.unite)&gt;0,IF(_xlpm.estVol,IF(ROUND(_xlpm.val,3)&gt;=1,ROUND(_xlpm.val,3)&amp;" L",MAX(1,ROUND(_xlpm.val*100,0))&amp;" cl"),IF(_xlpm.estPoids,IF(ROUND(_xlpm.val,3)&gt;=1,ROUND(_xlpm.val,3)&amp;" Kg",MAX(1,ROUND(_xlpm.val*1000,0))&amp;" g"),"")))</f>
        <v/>
      </c>
      <c r="AR81" s="104" t="str">
        <f t="shared" si="27"/>
        <v>►</v>
      </c>
      <c r="AS81" s="32" t="str">
        <f>AS64</f>
        <v>T TERRINAS DE MANITAS DE CERDO para rodaja  | | Autor &gt; Guy KRENZE - Eric GODDYN - Arnaud NICOLAS - CEPROC 2002</v>
      </c>
      <c r="AT81" s="33">
        <f>AT64</f>
        <v>1</v>
      </c>
      <c r="AU81" s="32" t="str">
        <f>AU64</f>
        <v>molde L 30 cm × A 9 cm × H 6 cm</v>
      </c>
      <c r="AV81" s="34" t="str">
        <f>AV64</f>
        <v>Receta madre ► Morcilla en 4 versiones</v>
      </c>
      <c r="AW81" s="92"/>
      <c r="AX81" s="108"/>
      <c r="AY81" s="94" t="str">
        <f t="shared" si="24"/>
        <v/>
      </c>
      <c r="AZ81" s="95"/>
      <c r="BA81" s="126"/>
      <c r="BB81" s="127">
        <v>1</v>
      </c>
      <c r="BC81" s="920"/>
      <c r="BD81" s="1494">
        <f>IF(OR(ISBLANK(AW62),BD62=0),0,AW81*BB63)</f>
        <v>0</v>
      </c>
      <c r="BE81" s="101" cm="1">
        <f t="array" ref="BE81">IFERROR(_xlfn.LET(_xlpm.k,UPPER(TRIM(BA81)),_xlpm.r,_xlfn.XLOOKUP(_xlpm.k,UPPER(TRIM(AW84:BF84)),AW85:BF85,_xlfn.XLOOKUP(_xlpm.k,UPPER(TRIM(AW86:BF86)),AW87:BF87)),_xlpm.r*AZ81*BB81*BB63*IF(ISBLANK(AW81),1,AW81)),0)</f>
        <v>0</v>
      </c>
      <c r="BF81" s="1476" t="str">
        <f>_xlfn.LET(_xlpm.unite,SUBSTITUTE(TRIM(BA81)," (s)",""),_xlpm.val,BE81,_xlpm.estVol,COUNTIF(AZ84:BF84,_xlpm.unite)+COUNTIF(AZ86:BF86,_xlpm.unite)&gt;0,_xlpm.estPoids,COUNTIF(AW84:AY84,_xlpm.unite)+COUNTIF(AW86:AY86,_xlpm.unite)&gt;0,IF(_xlpm.estVol,IF(ROUND(_xlpm.val,3)&gt;=1,ROUND(_xlpm.val,3)&amp;" L",MAX(1,ROUND(_xlpm.val*100,0))&amp;" cl"),IF(_xlpm.estPoids,IF(ROUND(_xlpm.val,3)&gt;=1,ROUND(_xlpm.val,3)&amp;" Kg",MAX(1,ROUND(_xlpm.val*1000,0))&amp;" g"),"")))</f>
        <v/>
      </c>
      <c r="BH81" s="104"/>
      <c r="BI81" s="32"/>
      <c r="BJ81" s="33"/>
      <c r="BK81" s="32"/>
      <c r="BL81" s="34"/>
      <c r="BM81" s="92"/>
      <c r="BN81" s="108"/>
      <c r="BO81" s="94"/>
      <c r="BP81" s="95"/>
      <c r="BQ81" s="105"/>
      <c r="BR81" s="5101"/>
      <c r="BS81" s="920"/>
      <c r="BT81" s="1495"/>
      <c r="BU81" s="101"/>
      <c r="BV81" s="1475"/>
      <c r="BX81" s="104"/>
      <c r="BY81" s="32"/>
      <c r="BZ81" s="33"/>
      <c r="CA81" s="32"/>
      <c r="CB81" s="34"/>
      <c r="CC81" s="92"/>
      <c r="CD81" s="108"/>
      <c r="CE81" s="94"/>
      <c r="CF81" s="95"/>
      <c r="CG81" s="105"/>
      <c r="CH81" s="5101"/>
      <c r="CI81" s="920"/>
      <c r="CJ81" s="1495"/>
      <c r="CK81" s="101"/>
      <c r="CL81" s="1475"/>
      <c r="CN81" s="104"/>
      <c r="CO81" s="32"/>
      <c r="CP81" s="33"/>
      <c r="CQ81" s="32"/>
      <c r="CR81" s="34"/>
      <c r="CS81" s="92"/>
      <c r="CT81" s="108"/>
      <c r="CU81" s="94"/>
      <c r="CV81" s="95"/>
      <c r="CW81" s="105"/>
      <c r="CX81" s="5101"/>
      <c r="CY81" s="920"/>
      <c r="CZ81" s="1495"/>
      <c r="DA81" s="101"/>
      <c r="DB81" s="1475"/>
      <c r="DC81" s="5109"/>
      <c r="DD81" s="5065"/>
      <c r="DF81" s="3">
        <v>1</v>
      </c>
    </row>
    <row r="82" spans="2:110" ht="21" customHeight="1">
      <c r="B82" s="952" t="str">
        <f t="shared" si="28"/>
        <v>►</v>
      </c>
      <c r="C82" s="993" cm="1">
        <f t="array" ref="C82">SUMPRODUCT(LEN(D82:J82))</f>
        <v>0</v>
      </c>
      <c r="D82" s="167"/>
      <c r="E82" s="172"/>
      <c r="F82" s="172"/>
      <c r="G82" s="172"/>
      <c r="H82" s="172"/>
      <c r="I82" s="172"/>
      <c r="J82" s="173"/>
      <c r="K82" s="442" t="s">
        <v>22</v>
      </c>
      <c r="L82" s="104" t="str">
        <f t="shared" si="25"/>
        <v>►</v>
      </c>
      <c r="M82" s="32" t="str">
        <f>M64</f>
        <v>T TERRINE DE PIEDS DE PORC pour tranches | | Auteur &gt; Guy KRENZE - Eric GODDYN - Arnaud NICOLAS - CEPROC 2002</v>
      </c>
      <c r="N82" s="33">
        <f>N64</f>
        <v>1</v>
      </c>
      <c r="O82" s="32" t="str">
        <f>O64</f>
        <v xml:space="preserve">moule L 30 cm X l 9 cm X H 6 cm </v>
      </c>
      <c r="P82" s="34" t="str">
        <f>P64</f>
        <v>Recette mère ► le Boudin en 4 déclinaisons</v>
      </c>
      <c r="Q82" s="92"/>
      <c r="R82" s="108"/>
      <c r="S82" s="94" t="str">
        <f t="shared" si="22"/>
        <v/>
      </c>
      <c r="T82" s="95"/>
      <c r="U82" s="126"/>
      <c r="V82" s="127">
        <v>1</v>
      </c>
      <c r="W82" s="920"/>
      <c r="X82" s="1494">
        <f>IF(OR(ISBLANK(Q62),X62=0),0,Q82*V63)</f>
        <v>0</v>
      </c>
      <c r="Y82" s="101" cm="1">
        <f t="array" ref="Y82">IFERROR(_xlfn.LET(_xlpm.k,UPPER(TRIM(U82)),_xlpm.r,_xlfn.XLOOKUP(_xlpm.k,UPPER(TRIM(Q84:Z84)),Q85:Z85,_xlfn.XLOOKUP(_xlpm.k,UPPER(TRIM(Q86:Z86)),Q87:Z87)),_xlpm.r*T82*V82*V63*IF(ISBLANK(Q82),1,Q82)),0)</f>
        <v>0</v>
      </c>
      <c r="Z82" s="1475" t="str">
        <f>_xlfn.LET(_xlpm.unite,SUBSTITUTE(TRIM(U82)," (s)",""),_xlpm.val,Y82,_xlpm.estVol,COUNTIF(T84:Z84,_xlpm.unite)+COUNTIF(T86:Z86,_xlpm.unite)&gt;0,_xlpm.estPoids,COUNTIF(Q84:S84,_xlpm.unite)+COUNTIF(Q86:S86,_xlpm.unite)&gt;0,IF(_xlpm.estVol,IF(ROUND(_xlpm.val,3)&gt;=1,ROUND(_xlpm.val,3)&amp;" L",MAX(1,ROUND(_xlpm.val*100,0))&amp;" cl"),IF(_xlpm.estPoids,IF(ROUND(_xlpm.val,3)&gt;=1,ROUND(_xlpm.val,3)&amp;" Kg",MAX(1,ROUND(_xlpm.val*1000,0))&amp;" g"),"")))</f>
        <v/>
      </c>
      <c r="AB82" s="104" t="str">
        <f t="shared" si="26"/>
        <v>►</v>
      </c>
      <c r="AC82" s="32" t="str">
        <f>AC64</f>
        <v>T TERRINE OF PIG’S TROTTERS  for slices | |  Author &gt; Guy KRENZE - Eric GODDYN - Arnaud NICOLAS - CEPROC 2002</v>
      </c>
      <c r="AD82" s="33">
        <f>AD64</f>
        <v>1</v>
      </c>
      <c r="AE82" s="32" t="str">
        <f>AE64</f>
        <v>mold L 30 cm × W 9 cm × H 6 cm</v>
      </c>
      <c r="AF82" s="34" t="str">
        <f>AF64</f>
        <v>Master recipe ► Black pudding in 4 variations</v>
      </c>
      <c r="AG82" s="92"/>
      <c r="AH82" s="108"/>
      <c r="AI82" s="94" t="str">
        <f t="shared" si="23"/>
        <v/>
      </c>
      <c r="AJ82" s="95"/>
      <c r="AK82" s="126"/>
      <c r="AL82" s="127">
        <v>1</v>
      </c>
      <c r="AM82" s="920"/>
      <c r="AN82" s="1494">
        <f>IF(OR(ISBLANK(AG62),AN62=0),0,AG82*AL63)</f>
        <v>0</v>
      </c>
      <c r="AO82" s="101" cm="1">
        <f t="array" ref="AO82">IFERROR(_xlfn.LET(_xlpm.k,UPPER(TRIM(AK82)),_xlpm.r,_xlfn.XLOOKUP(_xlpm.k,UPPER(TRIM(AG84:AP84)),AG85:AP85,_xlfn.XLOOKUP(_xlpm.k,UPPER(TRIM(AG86:AP86)),AG87:AP87)),_xlpm.r*AJ82*AL82*AL63*IF(ISBLANK(AG82),1,AG82)),0)</f>
        <v>0</v>
      </c>
      <c r="AP82" s="1475" t="str">
        <f>_xlfn.LET(_xlpm.unite,SUBSTITUTE(TRIM(AK82)," (s)",""),_xlpm.val,AO82,_xlpm.estVol,COUNTIF(AJ84:AP84,_xlpm.unite)+COUNTIF(AJ86:AP86,_xlpm.unite)&gt;0,_xlpm.estPoids,COUNTIF(AG84:AI84,_xlpm.unite)+COUNTIF(AG86:AI86,_xlpm.unite)&gt;0,IF(_xlpm.estVol,IF(ROUND(_xlpm.val,3)&gt;=1,ROUND(_xlpm.val,3)&amp;" L",MAX(1,ROUND(_xlpm.val*100,0))&amp;" cl"),IF(_xlpm.estPoids,IF(ROUND(_xlpm.val,3)&gt;=1,ROUND(_xlpm.val,3)&amp;" Kg",MAX(1,ROUND(_xlpm.val*1000,0))&amp;" g"),"")))</f>
        <v/>
      </c>
      <c r="AR82" s="104" t="str">
        <f t="shared" si="27"/>
        <v>►</v>
      </c>
      <c r="AS82" s="32" t="str">
        <f>AS64</f>
        <v>T TERRINAS DE MANITAS DE CERDO para rodaja  | | Autor &gt; Guy KRENZE - Eric GODDYN - Arnaud NICOLAS - CEPROC 2002</v>
      </c>
      <c r="AT82" s="33">
        <f>AT64</f>
        <v>1</v>
      </c>
      <c r="AU82" s="32" t="str">
        <f>AU64</f>
        <v>molde L 30 cm × A 9 cm × H 6 cm</v>
      </c>
      <c r="AV82" s="34" t="str">
        <f>AV64</f>
        <v>Receta madre ► Morcilla en 4 versiones</v>
      </c>
      <c r="AW82" s="92"/>
      <c r="AX82" s="108"/>
      <c r="AY82" s="94" t="str">
        <f t="shared" si="24"/>
        <v/>
      </c>
      <c r="AZ82" s="95"/>
      <c r="BA82" s="126"/>
      <c r="BB82" s="127">
        <v>1</v>
      </c>
      <c r="BC82" s="920"/>
      <c r="BD82" s="1494">
        <f>IF(OR(ISBLANK(AW62),BD62=0),0,AW82*BB63)</f>
        <v>0</v>
      </c>
      <c r="BE82" s="101" cm="1">
        <f t="array" ref="BE82">IFERROR(_xlfn.LET(_xlpm.k,UPPER(TRIM(BA82)),_xlpm.r,_xlfn.XLOOKUP(_xlpm.k,UPPER(TRIM(AW84:BF84)),AW85:BF85,_xlfn.XLOOKUP(_xlpm.k,UPPER(TRIM(AW86:BF86)),AW87:BF87)),_xlpm.r*AZ82*BB82*BB63*IF(ISBLANK(AW82),1,AW82)),0)</f>
        <v>0</v>
      </c>
      <c r="BF82" s="1475" t="str">
        <f>_xlfn.LET(_xlpm.unite,SUBSTITUTE(TRIM(BA82)," (s)",""),_xlpm.val,BE82,_xlpm.estVol,COUNTIF(AZ84:BF84,_xlpm.unite)+COUNTIF(AZ86:BF86,_xlpm.unite)&gt;0,_xlpm.estPoids,COUNTIF(AW84:AY84,_xlpm.unite)+COUNTIF(AW86:AY86,_xlpm.unite)&gt;0,IF(_xlpm.estVol,IF(ROUND(_xlpm.val,3)&gt;=1,ROUND(_xlpm.val,3)&amp;" L",MAX(1,ROUND(_xlpm.val*100,0))&amp;" cl"),IF(_xlpm.estPoids,IF(ROUND(_xlpm.val,3)&gt;=1,ROUND(_xlpm.val,3)&amp;" Kg",MAX(1,ROUND(_xlpm.val*1000,0))&amp;" g"),"")))</f>
        <v/>
      </c>
      <c r="BH82" s="104"/>
      <c r="BI82" s="32"/>
      <c r="BJ82" s="33"/>
      <c r="BK82" s="32"/>
      <c r="BL82" s="34"/>
      <c r="BM82" s="92"/>
      <c r="BN82" s="108"/>
      <c r="BO82" s="94"/>
      <c r="BP82" s="95"/>
      <c r="BQ82" s="105"/>
      <c r="BR82" s="5101"/>
      <c r="BS82" s="920"/>
      <c r="BT82" s="1495"/>
      <c r="BU82" s="101"/>
      <c r="BV82" s="1475"/>
      <c r="BX82" s="104"/>
      <c r="BY82" s="32"/>
      <c r="BZ82" s="33"/>
      <c r="CA82" s="32"/>
      <c r="CB82" s="34"/>
      <c r="CC82" s="92"/>
      <c r="CD82" s="108"/>
      <c r="CE82" s="94"/>
      <c r="CF82" s="95"/>
      <c r="CG82" s="105"/>
      <c r="CH82" s="5101"/>
      <c r="CI82" s="920"/>
      <c r="CJ82" s="1495"/>
      <c r="CK82" s="101"/>
      <c r="CL82" s="1475"/>
      <c r="CN82" s="104"/>
      <c r="CO82" s="32"/>
      <c r="CP82" s="33"/>
      <c r="CQ82" s="32"/>
      <c r="CR82" s="34"/>
      <c r="CS82" s="92"/>
      <c r="CT82" s="108"/>
      <c r="CU82" s="94"/>
      <c r="CV82" s="95"/>
      <c r="CW82" s="105"/>
      <c r="CX82" s="5101"/>
      <c r="CY82" s="920"/>
      <c r="CZ82" s="1495"/>
      <c r="DA82" s="101"/>
      <c r="DB82" s="1475"/>
      <c r="DC82" s="5109"/>
      <c r="DD82" s="5065"/>
      <c r="DF82" s="3">
        <v>1</v>
      </c>
    </row>
    <row r="83" spans="2:110" ht="21" customHeight="1">
      <c r="B83" s="952" t="str">
        <f t="shared" si="28"/>
        <v>A</v>
      </c>
      <c r="C83" s="993" cm="1">
        <f t="array" ref="C83">SUMPRODUCT(LEN(D83:J83))</f>
        <v>0</v>
      </c>
      <c r="D83" s="167"/>
      <c r="E83" s="172"/>
      <c r="F83" s="172"/>
      <c r="G83" s="172"/>
      <c r="H83" s="172"/>
      <c r="I83" s="172"/>
      <c r="J83" s="173"/>
      <c r="K83" s="442" t="s">
        <v>22</v>
      </c>
      <c r="L83" s="104" t="s">
        <v>11</v>
      </c>
      <c r="M83" s="32" t="str">
        <f>M64</f>
        <v>T TERRINE DE PIEDS DE PORC pour tranches | | Auteur &gt; Guy KRENZE - Eric GODDYN - Arnaud NICOLAS - CEPROC 2002</v>
      </c>
      <c r="N83" s="33">
        <f>N64</f>
        <v>1</v>
      </c>
      <c r="O83" s="32" t="str">
        <f>O64</f>
        <v xml:space="preserve">moule L 30 cm X l 9 cm X H 6 cm </v>
      </c>
      <c r="P83" s="34" t="str">
        <f>P64</f>
        <v>Recette mère ► le Boudin en 4 déclinaisons</v>
      </c>
      <c r="Q83" s="907" t="s">
        <v>136</v>
      </c>
      <c r="R83" s="500"/>
      <c r="S83" s="500"/>
      <c r="T83" s="500"/>
      <c r="U83" s="500"/>
      <c r="V83" s="908"/>
      <c r="W83" s="909"/>
      <c r="X83" s="909"/>
      <c r="Y83" s="910">
        <f>SUM(Y68:Y82)</f>
        <v>2.0619999999999998</v>
      </c>
      <c r="Z83" s="1489"/>
      <c r="AB83" s="104" t="s">
        <v>11</v>
      </c>
      <c r="AC83" s="32" t="str">
        <f>AC64</f>
        <v>T TERRINE OF PIG’S TROTTERS  for slices | |  Author &gt; Guy KRENZE - Eric GODDYN - Arnaud NICOLAS - CEPROC 2002</v>
      </c>
      <c r="AD83" s="33">
        <f>AD64</f>
        <v>1</v>
      </c>
      <c r="AE83" s="32" t="str">
        <f>AE64</f>
        <v>mold L 30 cm × W 9 cm × H 6 cm</v>
      </c>
      <c r="AF83" s="34" t="str">
        <f>AF64</f>
        <v>Master recipe ► Black pudding in 4 variations</v>
      </c>
      <c r="AG83" s="907" t="s">
        <v>893</v>
      </c>
      <c r="AH83" s="500"/>
      <c r="AI83" s="500"/>
      <c r="AJ83" s="500"/>
      <c r="AK83" s="500"/>
      <c r="AL83" s="908"/>
      <c r="AM83" s="909"/>
      <c r="AN83" s="909"/>
      <c r="AO83" s="910">
        <f>SUM(AO68:AO82)</f>
        <v>2.0619999999999998</v>
      </c>
      <c r="AP83" s="1489"/>
      <c r="AR83" s="104" t="s">
        <v>11</v>
      </c>
      <c r="AS83" s="32" t="str">
        <f>AS64</f>
        <v>T TERRINAS DE MANITAS DE CERDO para rodaja  | | Autor &gt; Guy KRENZE - Eric GODDYN - Arnaud NICOLAS - CEPROC 2002</v>
      </c>
      <c r="AT83" s="33">
        <f>AT64</f>
        <v>1</v>
      </c>
      <c r="AU83" s="32" t="str">
        <f>AU64</f>
        <v>molde L 30 cm × A 9 cm × H 6 cm</v>
      </c>
      <c r="AV83" s="34" t="str">
        <f>AV64</f>
        <v>Receta madre ► Morcilla en 4 versiones</v>
      </c>
      <c r="AW83" s="907" t="s">
        <v>893</v>
      </c>
      <c r="AX83" s="500"/>
      <c r="AY83" s="500"/>
      <c r="AZ83" s="500"/>
      <c r="BA83" s="500"/>
      <c r="BB83" s="908"/>
      <c r="BC83" s="909"/>
      <c r="BD83" s="909"/>
      <c r="BE83" s="910">
        <f>SUM(BE68:BE82)</f>
        <v>2.0619999999999998</v>
      </c>
      <c r="BF83" s="1489"/>
      <c r="BH83" s="104"/>
      <c r="BI83" s="32"/>
      <c r="BJ83" s="33"/>
      <c r="BK83" s="32"/>
      <c r="BL83" s="34"/>
      <c r="BM83" s="92"/>
      <c r="BN83" s="108"/>
      <c r="BO83" s="94"/>
      <c r="BP83" s="95"/>
      <c r="BQ83" s="105"/>
      <c r="BR83" s="5101"/>
      <c r="BS83" s="920"/>
      <c r="BT83" s="1495"/>
      <c r="BU83" s="101"/>
      <c r="BV83" s="1475"/>
      <c r="BX83" s="104"/>
      <c r="BY83" s="32"/>
      <c r="BZ83" s="33"/>
      <c r="CA83" s="32"/>
      <c r="CB83" s="34"/>
      <c r="CC83" s="92"/>
      <c r="CD83" s="108"/>
      <c r="CE83" s="94"/>
      <c r="CF83" s="95"/>
      <c r="CG83" s="105"/>
      <c r="CH83" s="5101"/>
      <c r="CI83" s="920"/>
      <c r="CJ83" s="1495"/>
      <c r="CK83" s="101"/>
      <c r="CL83" s="1475"/>
      <c r="CN83" s="104"/>
      <c r="CO83" s="32"/>
      <c r="CP83" s="33"/>
      <c r="CQ83" s="32"/>
      <c r="CR83" s="34"/>
      <c r="CS83" s="92"/>
      <c r="CT83" s="108"/>
      <c r="CU83" s="94"/>
      <c r="CV83" s="95"/>
      <c r="CW83" s="105"/>
      <c r="CX83" s="5101"/>
      <c r="CY83" s="920"/>
      <c r="CZ83" s="1495"/>
      <c r="DA83" s="101"/>
      <c r="DB83" s="1475"/>
      <c r="DC83" s="5109"/>
      <c r="DD83" s="5064"/>
      <c r="DF83" s="3">
        <v>1</v>
      </c>
    </row>
    <row r="84" spans="2:110" ht="21" customHeight="1">
      <c r="B84" s="952" t="str">
        <f t="shared" si="28"/>
        <v>►</v>
      </c>
      <c r="C84" s="993" cm="1">
        <f t="array" ref="C84">SUMPRODUCT(LEN(D84:J84))</f>
        <v>0</v>
      </c>
      <c r="D84" s="167"/>
      <c r="E84" s="172"/>
      <c r="F84" s="172"/>
      <c r="G84" s="172"/>
      <c r="H84" s="172"/>
      <c r="I84" s="172"/>
      <c r="J84" s="173"/>
      <c r="K84" s="442" t="s">
        <v>22</v>
      </c>
      <c r="L84" s="104" t="s">
        <v>16</v>
      </c>
      <c r="M84" s="32" t="str">
        <f>M64</f>
        <v>T TERRINE DE PIEDS DE PORC pour tranches | | Auteur &gt; Guy KRENZE - Eric GODDYN - Arnaud NICOLAS - CEPROC 2002</v>
      </c>
      <c r="N84" s="33">
        <f>N64</f>
        <v>1</v>
      </c>
      <c r="O84" s="32" t="str">
        <f>O64</f>
        <v xml:space="preserve">moule L 30 cm X l 9 cm X H 6 cm </v>
      </c>
      <c r="P84" s="34" t="str">
        <f>P64</f>
        <v>Recette mère ► le Boudin en 4 déclinaisons</v>
      </c>
      <c r="Q84" s="140" t="s">
        <v>143</v>
      </c>
      <c r="R84" s="105" t="s">
        <v>99</v>
      </c>
      <c r="S84" s="141" t="s">
        <v>144</v>
      </c>
      <c r="T84" s="96" t="s">
        <v>0</v>
      </c>
      <c r="U84" s="96" t="s">
        <v>96</v>
      </c>
      <c r="V84" s="96" t="s">
        <v>147</v>
      </c>
      <c r="W84" s="96" t="s">
        <v>148</v>
      </c>
      <c r="X84" s="109" t="s">
        <v>364</v>
      </c>
      <c r="Y84" s="109" t="s">
        <v>102</v>
      </c>
      <c r="Z84" s="109" t="s">
        <v>149</v>
      </c>
      <c r="AB84" s="104" t="s">
        <v>16</v>
      </c>
      <c r="AC84" s="32" t="str">
        <f>AC64</f>
        <v>T TERRINE OF PIG’S TROTTERS  for slices | |  Author &gt; Guy KRENZE - Eric GODDYN - Arnaud NICOLAS - CEPROC 2002</v>
      </c>
      <c r="AD84" s="33">
        <f>AD64</f>
        <v>1</v>
      </c>
      <c r="AE84" s="32" t="str">
        <f>AE64</f>
        <v>mold L 30 cm × W 9 cm × H 6 cm</v>
      </c>
      <c r="AF84" s="34" t="str">
        <f>AF64</f>
        <v>Master recipe ► Black pudding in 4 variations</v>
      </c>
      <c r="AG84" s="140" t="s">
        <v>143</v>
      </c>
      <c r="AH84" s="105" t="s">
        <v>99</v>
      </c>
      <c r="AI84" s="141" t="s">
        <v>144</v>
      </c>
      <c r="AJ84" s="96" t="s">
        <v>0</v>
      </c>
      <c r="AK84" s="96" t="s">
        <v>96</v>
      </c>
      <c r="AL84" s="96" t="s">
        <v>147</v>
      </c>
      <c r="AM84" s="96" t="s">
        <v>148</v>
      </c>
      <c r="AN84" s="109" t="s">
        <v>1378</v>
      </c>
      <c r="AO84" s="109" t="s">
        <v>1360</v>
      </c>
      <c r="AP84" s="109" t="s">
        <v>1361</v>
      </c>
      <c r="AR84" s="104" t="s">
        <v>16</v>
      </c>
      <c r="AS84" s="32" t="str">
        <f>AS64</f>
        <v>T TERRINAS DE MANITAS DE CERDO para rodaja  | | Autor &gt; Guy KRENZE - Eric GODDYN - Arnaud NICOLAS - CEPROC 2002</v>
      </c>
      <c r="AT84" s="33">
        <f>AT64</f>
        <v>1</v>
      </c>
      <c r="AU84" s="32" t="str">
        <f>AU64</f>
        <v>molde L 30 cm × A 9 cm × H 6 cm</v>
      </c>
      <c r="AV84" s="34" t="str">
        <f>AV64</f>
        <v>Receta madre ► Morcilla en 4 versiones</v>
      </c>
      <c r="AW84" s="140" t="s">
        <v>143</v>
      </c>
      <c r="AX84" s="105" t="s">
        <v>99</v>
      </c>
      <c r="AY84" s="141" t="s">
        <v>144</v>
      </c>
      <c r="AZ84" s="96" t="s">
        <v>0</v>
      </c>
      <c r="BA84" s="96" t="s">
        <v>96</v>
      </c>
      <c r="BB84" s="96" t="s">
        <v>147</v>
      </c>
      <c r="BC84" s="96" t="s">
        <v>148</v>
      </c>
      <c r="BD84" s="109" t="s">
        <v>1379</v>
      </c>
      <c r="BE84" s="109" t="s">
        <v>1341</v>
      </c>
      <c r="BF84" s="109" t="s">
        <v>1342</v>
      </c>
      <c r="BH84" s="104"/>
      <c r="BI84" s="32"/>
      <c r="BJ84" s="33"/>
      <c r="BK84" s="32"/>
      <c r="BL84" s="34"/>
      <c r="BM84" s="92"/>
      <c r="BN84" s="108"/>
      <c r="BO84" s="94"/>
      <c r="BP84" s="95"/>
      <c r="BQ84" s="105"/>
      <c r="BR84" s="5101"/>
      <c r="BS84" s="920"/>
      <c r="BT84" s="1495"/>
      <c r="BU84" s="101"/>
      <c r="BV84" s="1475"/>
      <c r="BX84" s="104"/>
      <c r="BY84" s="32"/>
      <c r="BZ84" s="33"/>
      <c r="CA84" s="32"/>
      <c r="CB84" s="34"/>
      <c r="CC84" s="92"/>
      <c r="CD84" s="108"/>
      <c r="CE84" s="94"/>
      <c r="CF84" s="95"/>
      <c r="CG84" s="105"/>
      <c r="CH84" s="5101"/>
      <c r="CI84" s="920"/>
      <c r="CJ84" s="1495"/>
      <c r="CK84" s="101"/>
      <c r="CL84" s="1475"/>
      <c r="CN84" s="104"/>
      <c r="CO84" s="32"/>
      <c r="CP84" s="33"/>
      <c r="CQ84" s="32"/>
      <c r="CR84" s="34"/>
      <c r="CS84" s="92"/>
      <c r="CT84" s="108"/>
      <c r="CU84" s="94"/>
      <c r="CV84" s="95"/>
      <c r="CW84" s="105"/>
      <c r="CX84" s="5101"/>
      <c r="CY84" s="920"/>
      <c r="CZ84" s="1495"/>
      <c r="DA84" s="101"/>
      <c r="DB84" s="1475"/>
      <c r="DC84" s="5109"/>
      <c r="DD84" s="5064"/>
      <c r="DF84" s="3">
        <v>1</v>
      </c>
    </row>
    <row r="85" spans="2:110" ht="21" customHeight="1">
      <c r="B85" s="952" t="str">
        <f t="shared" si="28"/>
        <v>►</v>
      </c>
      <c r="C85" s="993" cm="1">
        <f t="array" ref="C85">SUMPRODUCT(LEN(D85:J85))</f>
        <v>0</v>
      </c>
      <c r="D85" s="167"/>
      <c r="E85" s="172"/>
      <c r="F85" s="172"/>
      <c r="G85" s="172"/>
      <c r="H85" s="172"/>
      <c r="I85" s="172"/>
      <c r="J85" s="173"/>
      <c r="K85" s="442" t="s">
        <v>22</v>
      </c>
      <c r="L85" s="104" t="s">
        <v>16</v>
      </c>
      <c r="M85" s="32" t="str">
        <f>M64</f>
        <v>T TERRINE DE PIEDS DE PORC pour tranches | | Auteur &gt; Guy KRENZE - Eric GODDYN - Arnaud NICOLAS - CEPROC 2002</v>
      </c>
      <c r="N85" s="33">
        <f>N64</f>
        <v>1</v>
      </c>
      <c r="O85" s="32" t="str">
        <f>O64</f>
        <v xml:space="preserve">moule L 30 cm X l 9 cm X H 6 cm </v>
      </c>
      <c r="P85" s="34" t="str">
        <f>P64</f>
        <v>Recette mère ► le Boudin en 4 déclinaisons</v>
      </c>
      <c r="Q85" s="911">
        <v>1</v>
      </c>
      <c r="R85" s="912">
        <v>1E-3</v>
      </c>
      <c r="S85" s="913">
        <v>0</v>
      </c>
      <c r="T85" s="914">
        <v>1</v>
      </c>
      <c r="U85" s="914">
        <v>0.1</v>
      </c>
      <c r="V85" s="914">
        <v>0.01</v>
      </c>
      <c r="W85" s="914">
        <v>1E-3</v>
      </c>
      <c r="X85" s="914">
        <v>0.25</v>
      </c>
      <c r="Y85" s="914">
        <v>0.5</v>
      </c>
      <c r="Z85" s="914">
        <v>0.33300000000000002</v>
      </c>
      <c r="AB85" s="104" t="s">
        <v>16</v>
      </c>
      <c r="AC85" s="32" t="str">
        <f>AC64</f>
        <v>T TERRINE OF PIG’S TROTTERS  for slices | |  Author &gt; Guy KRENZE - Eric GODDYN - Arnaud NICOLAS - CEPROC 2002</v>
      </c>
      <c r="AD85" s="33">
        <f>AD64</f>
        <v>1</v>
      </c>
      <c r="AE85" s="32" t="str">
        <f>AE64</f>
        <v>mold L 30 cm × W 9 cm × H 6 cm</v>
      </c>
      <c r="AF85" s="34" t="str">
        <f>AF64</f>
        <v>Master recipe ► Black pudding in 4 variations</v>
      </c>
      <c r="AG85" s="911">
        <v>1</v>
      </c>
      <c r="AH85" s="912">
        <v>1E-3</v>
      </c>
      <c r="AI85" s="913">
        <v>0</v>
      </c>
      <c r="AJ85" s="914">
        <v>1</v>
      </c>
      <c r="AK85" s="914">
        <v>0.1</v>
      </c>
      <c r="AL85" s="914">
        <v>0.01</v>
      </c>
      <c r="AM85" s="914">
        <v>1E-3</v>
      </c>
      <c r="AN85" s="914">
        <v>0.25</v>
      </c>
      <c r="AO85" s="914">
        <v>0.5</v>
      </c>
      <c r="AP85" s="914">
        <v>0.33300000000000002</v>
      </c>
      <c r="AR85" s="104" t="s">
        <v>16</v>
      </c>
      <c r="AS85" s="32" t="str">
        <f>AS64</f>
        <v>T TERRINAS DE MANITAS DE CERDO para rodaja  | | Autor &gt; Guy KRENZE - Eric GODDYN - Arnaud NICOLAS - CEPROC 2002</v>
      </c>
      <c r="AT85" s="33">
        <f>AT64</f>
        <v>1</v>
      </c>
      <c r="AU85" s="32" t="str">
        <f>AU64</f>
        <v>molde L 30 cm × A 9 cm × H 6 cm</v>
      </c>
      <c r="AV85" s="34" t="str">
        <f>AV64</f>
        <v>Receta madre ► Morcilla en 4 versiones</v>
      </c>
      <c r="AW85" s="911">
        <v>1</v>
      </c>
      <c r="AX85" s="912">
        <v>1E-3</v>
      </c>
      <c r="AY85" s="913">
        <v>0</v>
      </c>
      <c r="AZ85" s="914">
        <v>1</v>
      </c>
      <c r="BA85" s="914">
        <v>0.1</v>
      </c>
      <c r="BB85" s="914">
        <v>0.01</v>
      </c>
      <c r="BC85" s="914">
        <v>1E-3</v>
      </c>
      <c r="BD85" s="914">
        <v>0.25</v>
      </c>
      <c r="BE85" s="914">
        <v>0.5</v>
      </c>
      <c r="BF85" s="914">
        <v>0.33300000000000002</v>
      </c>
      <c r="BH85" s="104"/>
      <c r="BI85" s="32"/>
      <c r="BJ85" s="33"/>
      <c r="BK85" s="32"/>
      <c r="BL85" s="34"/>
      <c r="BM85" s="92"/>
      <c r="BN85" s="108"/>
      <c r="BO85" s="94"/>
      <c r="BP85" s="95"/>
      <c r="BQ85" s="105"/>
      <c r="BR85" s="5101"/>
      <c r="BS85" s="920"/>
      <c r="BT85" s="1495"/>
      <c r="BU85" s="101"/>
      <c r="BV85" s="1475"/>
      <c r="BX85" s="104"/>
      <c r="BY85" s="32"/>
      <c r="BZ85" s="33"/>
      <c r="CA85" s="32"/>
      <c r="CB85" s="34"/>
      <c r="CC85" s="92"/>
      <c r="CD85" s="108"/>
      <c r="CE85" s="94"/>
      <c r="CF85" s="95"/>
      <c r="CG85" s="105"/>
      <c r="CH85" s="5101"/>
      <c r="CI85" s="920"/>
      <c r="CJ85" s="1495"/>
      <c r="CK85" s="101"/>
      <c r="CL85" s="1475"/>
      <c r="CN85" s="104"/>
      <c r="CO85" s="32"/>
      <c r="CP85" s="33"/>
      <c r="CQ85" s="32"/>
      <c r="CR85" s="34"/>
      <c r="CS85" s="92"/>
      <c r="CT85" s="108"/>
      <c r="CU85" s="94"/>
      <c r="CV85" s="95"/>
      <c r="CW85" s="105"/>
      <c r="CX85" s="5101"/>
      <c r="CY85" s="920"/>
      <c r="CZ85" s="1495"/>
      <c r="DA85" s="101"/>
      <c r="DB85" s="1475"/>
      <c r="DC85" s="5109"/>
      <c r="DD85" s="5064"/>
      <c r="DF85" s="3">
        <v>1</v>
      </c>
    </row>
    <row r="86" spans="2:110" ht="21" customHeight="1">
      <c r="B86" s="952" t="str">
        <f t="shared" si="28"/>
        <v>►</v>
      </c>
      <c r="C86" s="993" cm="1">
        <f t="array" ref="C86">SUMPRODUCT(LEN(D86:J86))</f>
        <v>0</v>
      </c>
      <c r="D86" s="167"/>
      <c r="E86" s="172"/>
      <c r="F86" s="172"/>
      <c r="G86" s="172"/>
      <c r="H86" s="172"/>
      <c r="I86" s="172"/>
      <c r="J86" s="173"/>
      <c r="K86" s="442" t="s">
        <v>22</v>
      </c>
      <c r="L86" s="104" t="s">
        <v>16</v>
      </c>
      <c r="M86" s="32" t="str">
        <f>M64</f>
        <v>T TERRINE DE PIEDS DE PORC pour tranches | | Auteur &gt; Guy KRENZE - Eric GODDYN - Arnaud NICOLAS - CEPROC 2002</v>
      </c>
      <c r="N86" s="33">
        <f>N64</f>
        <v>1</v>
      </c>
      <c r="O86" s="32" t="str">
        <f>O64</f>
        <v xml:space="preserve">moule L 30 cm X l 9 cm X H 6 cm </v>
      </c>
      <c r="P86" s="34" t="str">
        <f>P64</f>
        <v>Recette mère ► le Boudin en 4 déclinaisons</v>
      </c>
      <c r="Q86" s="142" t="s">
        <v>145</v>
      </c>
      <c r="R86" s="117" t="s">
        <v>107</v>
      </c>
      <c r="S86" s="141" t="s">
        <v>144</v>
      </c>
      <c r="T86" s="109" t="s">
        <v>150</v>
      </c>
      <c r="U86" s="109" t="s">
        <v>163</v>
      </c>
      <c r="V86" s="109" t="s">
        <v>103</v>
      </c>
      <c r="W86" s="109" t="s">
        <v>162</v>
      </c>
      <c r="X86" s="149" t="s">
        <v>160</v>
      </c>
      <c r="Y86" s="149" t="s">
        <v>117</v>
      </c>
      <c r="Z86" s="1061" t="s">
        <v>1831</v>
      </c>
      <c r="AB86" s="104" t="s">
        <v>16</v>
      </c>
      <c r="AC86" s="32" t="str">
        <f>AC64</f>
        <v>T TERRINE OF PIG’S TROTTERS  for slices | |  Author &gt; Guy KRENZE - Eric GODDYN - Arnaud NICOLAS - CEPROC 2002</v>
      </c>
      <c r="AD86" s="33">
        <f>AD64</f>
        <v>1</v>
      </c>
      <c r="AE86" s="32" t="str">
        <f>AE64</f>
        <v>mold L 30 cm × W 9 cm × H 6 cm</v>
      </c>
      <c r="AF86" s="34" t="str">
        <f>AF64</f>
        <v>Master recipe ► Black pudding in 4 variations</v>
      </c>
      <c r="AG86" s="142" t="s">
        <v>1357</v>
      </c>
      <c r="AH86" s="117" t="s">
        <v>1359</v>
      </c>
      <c r="AI86" s="141" t="s">
        <v>144</v>
      </c>
      <c r="AJ86" s="109" t="s">
        <v>1362</v>
      </c>
      <c r="AK86" s="109" t="s">
        <v>1371</v>
      </c>
      <c r="AL86" s="109" t="s">
        <v>1372</v>
      </c>
      <c r="AM86" s="109" t="s">
        <v>1370</v>
      </c>
      <c r="AN86" s="149" t="s">
        <v>1368</v>
      </c>
      <c r="AO86" s="149" t="s">
        <v>1367</v>
      </c>
      <c r="AP86" s="1061" t="s">
        <v>1832</v>
      </c>
      <c r="AR86" s="104" t="s">
        <v>16</v>
      </c>
      <c r="AS86" s="32" t="str">
        <f>AS64</f>
        <v>T TERRINAS DE MANITAS DE CERDO para rodaja  | | Autor &gt; Guy KRENZE - Eric GODDYN - Arnaud NICOLAS - CEPROC 2002</v>
      </c>
      <c r="AT86" s="33">
        <f>AT64</f>
        <v>1</v>
      </c>
      <c r="AU86" s="32" t="str">
        <f>AU64</f>
        <v>molde L 30 cm × A 9 cm × H 6 cm</v>
      </c>
      <c r="AV86" s="34" t="str">
        <f>AV64</f>
        <v>Receta madre ► Morcilla en 4 versiones</v>
      </c>
      <c r="AW86" s="142" t="s">
        <v>145</v>
      </c>
      <c r="AX86" s="117" t="s">
        <v>107</v>
      </c>
      <c r="AY86" s="141" t="s">
        <v>144</v>
      </c>
      <c r="AZ86" s="143" t="s">
        <v>1343</v>
      </c>
      <c r="BA86" s="109" t="s">
        <v>1354</v>
      </c>
      <c r="BB86" s="109" t="s">
        <v>1355</v>
      </c>
      <c r="BC86" s="109" t="s">
        <v>1353</v>
      </c>
      <c r="BD86" s="149" t="s">
        <v>1351</v>
      </c>
      <c r="BE86" s="123" t="s">
        <v>1350</v>
      </c>
      <c r="BF86" s="1061" t="s">
        <v>1833</v>
      </c>
      <c r="BH86" s="104"/>
      <c r="BI86" s="32"/>
      <c r="BJ86" s="33"/>
      <c r="BK86" s="32"/>
      <c r="BL86" s="34"/>
      <c r="BM86" s="92"/>
      <c r="BN86" s="108"/>
      <c r="BO86" s="94"/>
      <c r="BP86" s="95"/>
      <c r="BQ86" s="105"/>
      <c r="BR86" s="5101"/>
      <c r="BS86" s="920"/>
      <c r="BT86" s="1495"/>
      <c r="BU86" s="101"/>
      <c r="BV86" s="1475"/>
      <c r="BX86" s="104"/>
      <c r="BY86" s="32"/>
      <c r="BZ86" s="33"/>
      <c r="CA86" s="32"/>
      <c r="CB86" s="34"/>
      <c r="CC86" s="92"/>
      <c r="CD86" s="108"/>
      <c r="CE86" s="94"/>
      <c r="CF86" s="95"/>
      <c r="CG86" s="105"/>
      <c r="CH86" s="5101"/>
      <c r="CI86" s="920"/>
      <c r="CJ86" s="1495"/>
      <c r="CK86" s="101"/>
      <c r="CL86" s="1475"/>
      <c r="CN86" s="104"/>
      <c r="CO86" s="32"/>
      <c r="CP86" s="33"/>
      <c r="CQ86" s="32"/>
      <c r="CR86" s="34"/>
      <c r="CS86" s="92"/>
      <c r="CT86" s="108"/>
      <c r="CU86" s="94"/>
      <c r="CV86" s="95"/>
      <c r="CW86" s="105"/>
      <c r="CX86" s="5101"/>
      <c r="CY86" s="920"/>
      <c r="CZ86" s="1495"/>
      <c r="DA86" s="101"/>
      <c r="DB86" s="1475"/>
      <c r="DC86" s="5109"/>
      <c r="DD86" s="5073"/>
      <c r="DF86" s="3">
        <v>1</v>
      </c>
    </row>
    <row r="87" spans="2:110" ht="21" customHeight="1">
      <c r="B87" s="952" t="str">
        <f t="shared" si="28"/>
        <v>►</v>
      </c>
      <c r="C87" s="993" cm="1">
        <f t="array" ref="C87">SUMPRODUCT(LEN(D87:J87))</f>
        <v>0</v>
      </c>
      <c r="D87" s="167"/>
      <c r="E87" s="172"/>
      <c r="F87" s="172"/>
      <c r="G87" s="172"/>
      <c r="H87" s="172"/>
      <c r="I87" s="172"/>
      <c r="J87" s="173"/>
      <c r="K87" s="442" t="s">
        <v>22</v>
      </c>
      <c r="L87" s="104" t="s">
        <v>16</v>
      </c>
      <c r="M87" s="32" t="str">
        <f>M64</f>
        <v>T TERRINE DE PIEDS DE PORC pour tranches | | Auteur &gt; Guy KRENZE - Eric GODDYN - Arnaud NICOLAS - CEPROC 2002</v>
      </c>
      <c r="N87" s="33">
        <f>N64</f>
        <v>1</v>
      </c>
      <c r="O87" s="32" t="str">
        <f>O64</f>
        <v xml:space="preserve">moule L 30 cm X l 9 cm X H 6 cm </v>
      </c>
      <c r="P87" s="34" t="str">
        <f>P64</f>
        <v>Recette mère ► le Boudin en 4 déclinaisons</v>
      </c>
      <c r="Q87" s="912">
        <v>0.25</v>
      </c>
      <c r="R87" s="912">
        <v>0.5</v>
      </c>
      <c r="S87" s="913">
        <v>0</v>
      </c>
      <c r="T87" s="914">
        <v>0.2</v>
      </c>
      <c r="U87" s="914">
        <v>0.1</v>
      </c>
      <c r="V87" s="914">
        <v>0.22500000000000001</v>
      </c>
      <c r="W87" s="914">
        <v>1.4999999999999999E-2</v>
      </c>
      <c r="X87" s="914">
        <v>4.9299999999999995E-3</v>
      </c>
      <c r="Y87" s="914">
        <v>0.35</v>
      </c>
      <c r="Z87" s="915">
        <v>0.25</v>
      </c>
      <c r="AB87" s="104" t="s">
        <v>16</v>
      </c>
      <c r="AC87" s="32" t="str">
        <f>AC64</f>
        <v>T TERRINE OF PIG’S TROTTERS  for slices | |  Author &gt; Guy KRENZE - Eric GODDYN - Arnaud NICOLAS - CEPROC 2002</v>
      </c>
      <c r="AD87" s="33">
        <f>AD64</f>
        <v>1</v>
      </c>
      <c r="AE87" s="32" t="str">
        <f>AE64</f>
        <v>mold L 30 cm × W 9 cm × H 6 cm</v>
      </c>
      <c r="AF87" s="34" t="str">
        <f>AF64</f>
        <v>Master recipe ► Black pudding in 4 variations</v>
      </c>
      <c r="AG87" s="912">
        <v>0.25</v>
      </c>
      <c r="AH87" s="912">
        <v>0.5</v>
      </c>
      <c r="AI87" s="913">
        <v>0</v>
      </c>
      <c r="AJ87" s="914">
        <v>0.2</v>
      </c>
      <c r="AK87" s="914">
        <v>0.1</v>
      </c>
      <c r="AL87" s="914">
        <v>0.22500000000000001</v>
      </c>
      <c r="AM87" s="914">
        <v>1.4999999999999999E-2</v>
      </c>
      <c r="AN87" s="914">
        <v>4.9299999999999995E-3</v>
      </c>
      <c r="AO87" s="914">
        <v>0.35</v>
      </c>
      <c r="AP87" s="915">
        <v>0.25</v>
      </c>
      <c r="AR87" s="104" t="s">
        <v>16</v>
      </c>
      <c r="AS87" s="32" t="str">
        <f>AS64</f>
        <v>T TERRINAS DE MANITAS DE CERDO para rodaja  | | Autor &gt; Guy KRENZE - Eric GODDYN - Arnaud NICOLAS - CEPROC 2002</v>
      </c>
      <c r="AT87" s="33">
        <f>AT64</f>
        <v>1</v>
      </c>
      <c r="AU87" s="32" t="str">
        <f>AU64</f>
        <v>molde L 30 cm × A 9 cm × H 6 cm</v>
      </c>
      <c r="AV87" s="34" t="str">
        <f>AV64</f>
        <v>Receta madre ► Morcilla en 4 versiones</v>
      </c>
      <c r="AW87" s="912">
        <v>0.25</v>
      </c>
      <c r="AX87" s="912">
        <v>0.5</v>
      </c>
      <c r="AY87" s="913">
        <v>0</v>
      </c>
      <c r="AZ87" s="914">
        <v>0.2</v>
      </c>
      <c r="BA87" s="914">
        <v>0.1</v>
      </c>
      <c r="BB87" s="914">
        <v>0.22500000000000001</v>
      </c>
      <c r="BC87" s="914">
        <v>1.4999999999999999E-2</v>
      </c>
      <c r="BD87" s="914">
        <v>4.9299999999999995E-3</v>
      </c>
      <c r="BE87" s="914">
        <v>0.35</v>
      </c>
      <c r="BF87" s="915">
        <v>0.25</v>
      </c>
      <c r="BH87" s="104"/>
      <c r="BI87" s="32"/>
      <c r="BJ87" s="33"/>
      <c r="BK87" s="32"/>
      <c r="BL87" s="34"/>
      <c r="BM87" s="92"/>
      <c r="BN87" s="108"/>
      <c r="BO87" s="94"/>
      <c r="BP87" s="95"/>
      <c r="BQ87" s="105"/>
      <c r="BR87" s="5101"/>
      <c r="BS87" s="920"/>
      <c r="BT87" s="1495"/>
      <c r="BU87" s="101"/>
      <c r="BV87" s="1475"/>
      <c r="BX87" s="104"/>
      <c r="BY87" s="32"/>
      <c r="BZ87" s="33"/>
      <c r="CA87" s="32"/>
      <c r="CB87" s="34"/>
      <c r="CC87" s="92"/>
      <c r="CD87" s="108"/>
      <c r="CE87" s="94"/>
      <c r="CF87" s="95"/>
      <c r="CG87" s="105"/>
      <c r="CH87" s="5101"/>
      <c r="CI87" s="920"/>
      <c r="CJ87" s="1495"/>
      <c r="CK87" s="101"/>
      <c r="CL87" s="1475"/>
      <c r="CN87" s="104"/>
      <c r="CO87" s="32"/>
      <c r="CP87" s="33"/>
      <c r="CQ87" s="32"/>
      <c r="CR87" s="34"/>
      <c r="CS87" s="92"/>
      <c r="CT87" s="108"/>
      <c r="CU87" s="94"/>
      <c r="CV87" s="95"/>
      <c r="CW87" s="105"/>
      <c r="CX87" s="5101"/>
      <c r="CY87" s="920"/>
      <c r="CZ87" s="1495"/>
      <c r="DA87" s="101"/>
      <c r="DB87" s="1475"/>
      <c r="DC87" s="5109"/>
      <c r="DD87" s="5069"/>
      <c r="DF87" s="3">
        <v>1</v>
      </c>
    </row>
    <row r="88" spans="2:110" ht="21" customHeight="1">
      <c r="B88" s="952" t="str">
        <f t="shared" si="28"/>
        <v>►</v>
      </c>
      <c r="C88" s="993" cm="1">
        <f t="array" ref="C88">SUMPRODUCT(LEN(D88:J88))</f>
        <v>0</v>
      </c>
      <c r="D88" s="167"/>
      <c r="E88" s="172"/>
      <c r="F88" s="172"/>
      <c r="G88" s="172"/>
      <c r="H88" s="172"/>
      <c r="I88" s="172"/>
      <c r="J88" s="173"/>
      <c r="K88" s="442" t="s">
        <v>22</v>
      </c>
      <c r="L88" s="104" t="s">
        <v>16</v>
      </c>
      <c r="M88" s="32" t="str">
        <f>M64</f>
        <v>T TERRINE DE PIEDS DE PORC pour tranches | | Auteur &gt; Guy KRENZE - Eric GODDYN - Arnaud NICOLAS - CEPROC 2002</v>
      </c>
      <c r="N88" s="33">
        <f>N64</f>
        <v>1</v>
      </c>
      <c r="O88" s="32" t="str">
        <f>O64</f>
        <v xml:space="preserve">moule L 30 cm X l 9 cm X H 6 cm </v>
      </c>
      <c r="P88" s="34" t="str">
        <f>P64</f>
        <v>Recette mère ► le Boudin en 4 déclinaisons</v>
      </c>
      <c r="Q88" s="154" t="str">
        <f>Q65</f>
        <v>Col.6</v>
      </c>
      <c r="R88" s="154" t="str">
        <f>R65</f>
        <v>Col.7</v>
      </c>
      <c r="S88" s="155" t="s">
        <v>3295</v>
      </c>
      <c r="T88" s="155"/>
      <c r="U88" s="155"/>
      <c r="V88" s="155"/>
      <c r="W88" s="155"/>
      <c r="X88" s="155"/>
      <c r="Y88" s="155"/>
      <c r="Z88" s="1477"/>
      <c r="AB88" s="104" t="s">
        <v>16</v>
      </c>
      <c r="AC88" s="32" t="str">
        <f>AC64</f>
        <v>T TERRINE OF PIG’S TROTTERS  for slices | |  Author &gt; Guy KRENZE - Eric GODDYN - Arnaud NICOLAS - CEPROC 2002</v>
      </c>
      <c r="AD88" s="33">
        <f>AD64</f>
        <v>1</v>
      </c>
      <c r="AE88" s="32" t="str">
        <f>AE64</f>
        <v>mold L 30 cm × W 9 cm × H 6 cm</v>
      </c>
      <c r="AF88" s="34" t="str">
        <f>AF64</f>
        <v>Master recipe ► Black pudding in 4 variations</v>
      </c>
      <c r="AG88" s="154">
        <f>AG74</f>
        <v>0</v>
      </c>
      <c r="AH88" s="154">
        <f>AH74</f>
        <v>0</v>
      </c>
      <c r="AI88" s="155" t="s">
        <v>3296</v>
      </c>
      <c r="AJ88" s="155"/>
      <c r="AK88" s="155"/>
      <c r="AL88" s="155"/>
      <c r="AM88" s="155"/>
      <c r="AN88" s="155"/>
      <c r="AO88" s="155"/>
      <c r="AP88" s="1477"/>
      <c r="AR88" s="104" t="s">
        <v>16</v>
      </c>
      <c r="AS88" s="32" t="str">
        <f>AS64</f>
        <v>T TERRINAS DE MANITAS DE CERDO para rodaja  | | Autor &gt; Guy KRENZE - Eric GODDYN - Arnaud NICOLAS - CEPROC 2002</v>
      </c>
      <c r="AT88" s="33">
        <f>AT64</f>
        <v>1</v>
      </c>
      <c r="AU88" s="32" t="str">
        <f>AU64</f>
        <v>molde L 30 cm × A 9 cm × H 6 cm</v>
      </c>
      <c r="AV88" s="34" t="str">
        <f>AV64</f>
        <v>Receta madre ► Morcilla en 4 versiones</v>
      </c>
      <c r="AW88" s="154" t="str">
        <f>AW65</f>
        <v>Col.6</v>
      </c>
      <c r="AX88" s="154" t="str">
        <f>AX65</f>
        <v>Col.7</v>
      </c>
      <c r="AY88" s="155" t="s">
        <v>3298</v>
      </c>
      <c r="AZ88" s="155"/>
      <c r="BA88" s="155"/>
      <c r="BB88" s="155"/>
      <c r="BC88" s="155"/>
      <c r="BD88" s="155"/>
      <c r="BE88" s="155"/>
      <c r="BF88" s="1477"/>
      <c r="BH88" s="104"/>
      <c r="BI88" s="32"/>
      <c r="BJ88" s="33"/>
      <c r="BK88" s="32"/>
      <c r="BL88" s="34"/>
      <c r="BM88" s="92"/>
      <c r="BN88" s="108"/>
      <c r="BO88" s="94"/>
      <c r="BP88" s="95"/>
      <c r="BQ88" s="105"/>
      <c r="BR88" s="5101"/>
      <c r="BS88" s="920"/>
      <c r="BT88" s="1495"/>
      <c r="BU88" s="101"/>
      <c r="BV88" s="1475"/>
      <c r="BX88" s="104"/>
      <c r="BY88" s="32"/>
      <c r="BZ88" s="33"/>
      <c r="CA88" s="32"/>
      <c r="CB88" s="34"/>
      <c r="CC88" s="92"/>
      <c r="CD88" s="108"/>
      <c r="CE88" s="94"/>
      <c r="CF88" s="95"/>
      <c r="CG88" s="105"/>
      <c r="CH88" s="5101"/>
      <c r="CI88" s="920"/>
      <c r="CJ88" s="1495"/>
      <c r="CK88" s="101"/>
      <c r="CL88" s="1475"/>
      <c r="CN88" s="104"/>
      <c r="CO88" s="32"/>
      <c r="CP88" s="33"/>
      <c r="CQ88" s="32"/>
      <c r="CR88" s="34"/>
      <c r="CS88" s="92"/>
      <c r="CT88" s="108"/>
      <c r="CU88" s="94"/>
      <c r="CV88" s="95"/>
      <c r="CW88" s="105"/>
      <c r="CX88" s="5101"/>
      <c r="CY88" s="920"/>
      <c r="CZ88" s="1495"/>
      <c r="DA88" s="101"/>
      <c r="DB88" s="1475"/>
      <c r="DC88" s="5109"/>
      <c r="DD88" s="5086"/>
      <c r="DF88" s="3">
        <v>1</v>
      </c>
    </row>
    <row r="89" spans="2:110" ht="21" customHeight="1">
      <c r="B89" s="952" t="str">
        <f t="shared" si="28"/>
        <v>►</v>
      </c>
      <c r="C89" s="993" cm="1">
        <f t="array" ref="C89">SUMPRODUCT(LEN(D89:J89))</f>
        <v>0</v>
      </c>
      <c r="D89" s="167"/>
      <c r="E89" s="172"/>
      <c r="F89" s="172"/>
      <c r="G89" s="172"/>
      <c r="H89" s="172"/>
      <c r="I89" s="172"/>
      <c r="J89" s="173"/>
      <c r="K89" s="442" t="s">
        <v>22</v>
      </c>
      <c r="L89" s="104" t="s">
        <v>16</v>
      </c>
      <c r="M89" s="157" t="str">
        <f>M64</f>
        <v>T TERRINE DE PIEDS DE PORC pour tranches | | Auteur &gt; Guy KRENZE - Eric GODDYN - Arnaud NICOLAS - CEPROC 2002</v>
      </c>
      <c r="N89" s="157">
        <f>N64</f>
        <v>1</v>
      </c>
      <c r="O89" s="158" t="str">
        <f>O64</f>
        <v xml:space="preserve">moule L 30 cm X l 9 cm X H 6 cm </v>
      </c>
      <c r="P89" s="159" t="str">
        <f>P64</f>
        <v>Recette mère ► le Boudin en 4 déclinaisons</v>
      </c>
      <c r="Q89" s="160" t="s">
        <v>167</v>
      </c>
      <c r="R89" s="1483" t="s">
        <v>3328</v>
      </c>
      <c r="S89" s="162"/>
      <c r="T89" s="162"/>
      <c r="U89" s="172"/>
      <c r="V89" s="172"/>
      <c r="W89" s="172"/>
      <c r="X89" s="172"/>
      <c r="Y89" s="156" t="s">
        <v>165</v>
      </c>
      <c r="Z89" s="1484" t="s">
        <v>166</v>
      </c>
      <c r="AB89" s="104" t="s">
        <v>16</v>
      </c>
      <c r="AC89" s="157" t="str">
        <f>AC64</f>
        <v>T TERRINE OF PIG’S TROTTERS  for slices | |  Author &gt; Guy KRENZE - Eric GODDYN - Arnaud NICOLAS - CEPROC 2002</v>
      </c>
      <c r="AD89" s="157">
        <f>AD64</f>
        <v>1</v>
      </c>
      <c r="AE89" s="158" t="str">
        <f>AE64</f>
        <v>mold L 30 cm × W 9 cm × H 6 cm</v>
      </c>
      <c r="AF89" s="159" t="str">
        <f>AF64</f>
        <v>Master recipe ► Black pudding in 4 variations</v>
      </c>
      <c r="AG89" s="232" t="s">
        <v>752</v>
      </c>
      <c r="AH89" s="161" t="s">
        <v>3327</v>
      </c>
      <c r="AI89" s="162"/>
      <c r="AJ89" s="162"/>
      <c r="AK89" s="172"/>
      <c r="AL89" s="172"/>
      <c r="AM89" s="172"/>
      <c r="AN89" s="172"/>
      <c r="AO89" s="156" t="s">
        <v>894</v>
      </c>
      <c r="AP89" s="1484" t="s">
        <v>166</v>
      </c>
      <c r="AR89" s="104" t="s">
        <v>16</v>
      </c>
      <c r="AS89" s="157" t="str">
        <f>AS64</f>
        <v>T TERRINAS DE MANITAS DE CERDO para rodaja  | | Autor &gt; Guy KRENZE - Eric GODDYN - Arnaud NICOLAS - CEPROC 2002</v>
      </c>
      <c r="AT89" s="157">
        <f>AT64</f>
        <v>1</v>
      </c>
      <c r="AU89" s="158" t="str">
        <f>AU64</f>
        <v>molde L 30 cm × A 9 cm × H 6 cm</v>
      </c>
      <c r="AV89" s="159" t="str">
        <f>AV64</f>
        <v>Receta madre ► Morcilla en 4 versiones</v>
      </c>
      <c r="AW89" s="232" t="s">
        <v>754</v>
      </c>
      <c r="AX89" s="161" t="s">
        <v>3325</v>
      </c>
      <c r="AY89" s="162"/>
      <c r="AZ89" s="162"/>
      <c r="BA89" s="172"/>
      <c r="BB89" s="172"/>
      <c r="BC89" s="172"/>
      <c r="BD89" s="172"/>
      <c r="BE89" s="905" t="s">
        <v>908</v>
      </c>
      <c r="BF89" s="1484" t="s">
        <v>166</v>
      </c>
      <c r="BH89" s="104"/>
      <c r="BI89" s="32"/>
      <c r="BJ89" s="33"/>
      <c r="BK89" s="32"/>
      <c r="BL89" s="34"/>
      <c r="BM89" s="92"/>
      <c r="BN89" s="108"/>
      <c r="BO89" s="94"/>
      <c r="BP89" s="95"/>
      <c r="BQ89" s="105"/>
      <c r="BR89" s="5101"/>
      <c r="BS89" s="920"/>
      <c r="BT89" s="1495"/>
      <c r="BU89" s="101"/>
      <c r="BV89" s="1475"/>
      <c r="BX89" s="104"/>
      <c r="BY89" s="32"/>
      <c r="BZ89" s="33"/>
      <c r="CA89" s="32"/>
      <c r="CB89" s="34"/>
      <c r="CC89" s="92"/>
      <c r="CD89" s="108"/>
      <c r="CE89" s="94"/>
      <c r="CF89" s="95"/>
      <c r="CG89" s="105"/>
      <c r="CH89" s="5101"/>
      <c r="CI89" s="920"/>
      <c r="CJ89" s="1495"/>
      <c r="CK89" s="101"/>
      <c r="CL89" s="1475"/>
      <c r="CN89" s="104"/>
      <c r="CO89" s="32"/>
      <c r="CP89" s="33"/>
      <c r="CQ89" s="32"/>
      <c r="CR89" s="34"/>
      <c r="CS89" s="92"/>
      <c r="CT89" s="108"/>
      <c r="CU89" s="94"/>
      <c r="CV89" s="95"/>
      <c r="CW89" s="105"/>
      <c r="CX89" s="5101"/>
      <c r="CY89" s="920"/>
      <c r="CZ89" s="1495"/>
      <c r="DA89" s="101"/>
      <c r="DB89" s="1475"/>
      <c r="DC89" s="5109"/>
      <c r="DD89" s="5086"/>
      <c r="DF89" s="3">
        <v>1</v>
      </c>
    </row>
    <row r="90" spans="2:110" ht="21" customHeight="1">
      <c r="B90" s="952" t="str">
        <f t="shared" si="28"/>
        <v>►</v>
      </c>
      <c r="C90" s="993" cm="1">
        <f t="array" ref="C90">SUMPRODUCT(LEN(D90:J90))</f>
        <v>0</v>
      </c>
      <c r="D90" s="167"/>
      <c r="E90" s="172"/>
      <c r="F90" s="172"/>
      <c r="G90" s="172"/>
      <c r="H90" s="172"/>
      <c r="I90" s="172"/>
      <c r="J90" s="173"/>
      <c r="K90" s="442" t="s">
        <v>22</v>
      </c>
      <c r="L90" s="104" t="s">
        <v>16</v>
      </c>
      <c r="M90" s="157" t="str">
        <f>M64</f>
        <v>T TERRINE DE PIEDS DE PORC pour tranches | | Auteur &gt; Guy KRENZE - Eric GODDYN - Arnaud NICOLAS - CEPROC 2002</v>
      </c>
      <c r="N90" s="157">
        <f>N64</f>
        <v>1</v>
      </c>
      <c r="O90" s="158" t="str">
        <f>O64</f>
        <v xml:space="preserve">moule L 30 cm X l 9 cm X H 6 cm </v>
      </c>
      <c r="P90" s="159" t="str">
        <f>P64</f>
        <v>Recette mère ► le Boudin en 4 déclinaisons</v>
      </c>
      <c r="Q90" s="172"/>
      <c r="R90" s="172"/>
      <c r="S90" s="172"/>
      <c r="T90" s="172"/>
      <c r="U90" s="172"/>
      <c r="V90" s="172"/>
      <c r="W90" s="172"/>
      <c r="X90" s="172"/>
      <c r="Y90" s="1474" t="s">
        <v>168</v>
      </c>
      <c r="Z90" s="1482" t="s">
        <v>668</v>
      </c>
      <c r="AA90" s="555"/>
      <c r="AB90" s="104" t="s">
        <v>16</v>
      </c>
      <c r="AC90" s="157" t="str">
        <f>AC64</f>
        <v>T TERRINE OF PIG’S TROTTERS  for slices | |  Author &gt; Guy KRENZE - Eric GODDYN - Arnaud NICOLAS - CEPROC 2002</v>
      </c>
      <c r="AD90" s="157">
        <f>AD64</f>
        <v>1</v>
      </c>
      <c r="AE90" s="158" t="str">
        <f>AE64</f>
        <v>mold L 30 cm × W 9 cm × H 6 cm</v>
      </c>
      <c r="AF90" s="159" t="str">
        <f>AF64</f>
        <v>Master recipe ► Black pudding in 4 variations</v>
      </c>
      <c r="AG90" s="172"/>
      <c r="AH90" s="172"/>
      <c r="AI90" s="172"/>
      <c r="AJ90" s="172"/>
      <c r="AK90" s="172"/>
      <c r="AL90" s="172"/>
      <c r="AM90" s="172"/>
      <c r="AN90" s="172"/>
      <c r="AO90" s="1474" t="s">
        <v>895</v>
      </c>
      <c r="AP90" s="1482" t="s">
        <v>668</v>
      </c>
      <c r="AR90" s="104" t="s">
        <v>16</v>
      </c>
      <c r="AS90" s="157" t="str">
        <f>AS64</f>
        <v>T TERRINAS DE MANITAS DE CERDO para rodaja  | | Autor &gt; Guy KRENZE - Eric GODDYN - Arnaud NICOLAS - CEPROC 2002</v>
      </c>
      <c r="AT90" s="157">
        <f>AT64</f>
        <v>1</v>
      </c>
      <c r="AU90" s="158" t="str">
        <f>AU64</f>
        <v>molde L 30 cm × A 9 cm × H 6 cm</v>
      </c>
      <c r="AV90" s="159" t="str">
        <f>AV64</f>
        <v>Receta madre ► Morcilla en 4 versiones</v>
      </c>
      <c r="AW90" s="172"/>
      <c r="AX90" s="172"/>
      <c r="AY90" s="172"/>
      <c r="AZ90" s="172"/>
      <c r="BA90" s="172"/>
      <c r="BB90" s="172"/>
      <c r="BC90" s="172"/>
      <c r="BD90" s="172"/>
      <c r="BE90" s="1474" t="s">
        <v>909</v>
      </c>
      <c r="BF90" s="1482" t="s">
        <v>668</v>
      </c>
      <c r="BH90" s="104"/>
      <c r="BI90" s="32"/>
      <c r="BJ90" s="33"/>
      <c r="BK90" s="32"/>
      <c r="BL90" s="34"/>
      <c r="BM90" s="92"/>
      <c r="BN90" s="108"/>
      <c r="BO90" s="94"/>
      <c r="BP90" s="95"/>
      <c r="BQ90" s="105"/>
      <c r="BR90" s="5101"/>
      <c r="BS90" s="920"/>
      <c r="BT90" s="1495"/>
      <c r="BU90" s="101"/>
      <c r="BV90" s="1475"/>
      <c r="BX90" s="104"/>
      <c r="BY90" s="32"/>
      <c r="BZ90" s="33"/>
      <c r="CA90" s="32"/>
      <c r="CB90" s="34"/>
      <c r="CC90" s="92"/>
      <c r="CD90" s="108"/>
      <c r="CE90" s="94"/>
      <c r="CF90" s="95"/>
      <c r="CG90" s="105"/>
      <c r="CH90" s="5101"/>
      <c r="CI90" s="920"/>
      <c r="CJ90" s="1495"/>
      <c r="CK90" s="101"/>
      <c r="CL90" s="1475"/>
      <c r="CN90" s="104"/>
      <c r="CO90" s="32"/>
      <c r="CP90" s="33"/>
      <c r="CQ90" s="32"/>
      <c r="CR90" s="34"/>
      <c r="CS90" s="92"/>
      <c r="CT90" s="108"/>
      <c r="CU90" s="94"/>
      <c r="CV90" s="95"/>
      <c r="CW90" s="105"/>
      <c r="CX90" s="5101"/>
      <c r="CY90" s="920"/>
      <c r="CZ90" s="1495"/>
      <c r="DA90" s="101"/>
      <c r="DB90" s="1475"/>
      <c r="DC90" s="5109"/>
      <c r="DD90" s="5086"/>
      <c r="DF90" s="3">
        <v>1</v>
      </c>
    </row>
    <row r="91" spans="2:110" ht="21" customHeight="1">
      <c r="B91" s="952" t="str">
        <f t="shared" si="28"/>
        <v>►</v>
      </c>
      <c r="C91" s="993" cm="1">
        <f t="array" ref="C91">SUMPRODUCT(LEN(D91:J91))</f>
        <v>0</v>
      </c>
      <c r="D91" s="167"/>
      <c r="E91" s="172"/>
      <c r="F91" s="172"/>
      <c r="G91" s="172"/>
      <c r="H91" s="172"/>
      <c r="I91" s="172"/>
      <c r="J91" s="173"/>
      <c r="K91" s="442" t="s">
        <v>22</v>
      </c>
      <c r="L91" s="104" t="s">
        <v>16</v>
      </c>
      <c r="M91" s="157" t="str">
        <f>M64</f>
        <v>T TERRINE DE PIEDS DE PORC pour tranches | | Auteur &gt; Guy KRENZE - Eric GODDYN - Arnaud NICOLAS - CEPROC 2002</v>
      </c>
      <c r="N91" s="157">
        <f>N64</f>
        <v>1</v>
      </c>
      <c r="O91" s="158" t="str">
        <f>O64</f>
        <v xml:space="preserve">moule L 30 cm X l 9 cm X H 6 cm </v>
      </c>
      <c r="P91" s="159" t="str">
        <f>P64</f>
        <v>Recette mère ► le Boudin en 4 déclinaisons</v>
      </c>
      <c r="Q91" s="172" t="s">
        <v>12856</v>
      </c>
      <c r="R91" s="172"/>
      <c r="S91" s="172"/>
      <c r="T91" s="172"/>
      <c r="U91" s="172"/>
      <c r="V91" s="172"/>
      <c r="W91" s="172"/>
      <c r="X91" s="172"/>
      <c r="Y91" s="172"/>
      <c r="Z91" s="555"/>
      <c r="AA91" s="555"/>
      <c r="AB91" s="104" t="s">
        <v>16</v>
      </c>
      <c r="AC91" s="157" t="str">
        <f>AC64</f>
        <v>T TERRINE OF PIG’S TROTTERS  for slices | |  Author &gt; Guy KRENZE - Eric GODDYN - Arnaud NICOLAS - CEPROC 2002</v>
      </c>
      <c r="AD91" s="157">
        <f>AD64</f>
        <v>1</v>
      </c>
      <c r="AE91" s="158" t="str">
        <f>AE64</f>
        <v>mold L 30 cm × W 9 cm × H 6 cm</v>
      </c>
      <c r="AF91" s="159" t="str">
        <f>AF64</f>
        <v>Master recipe ► Black pudding in 4 variations</v>
      </c>
      <c r="AG91" s="172" t="s">
        <v>12996</v>
      </c>
      <c r="AH91" s="172"/>
      <c r="AI91" s="172"/>
      <c r="AJ91" s="172"/>
      <c r="AK91" s="172"/>
      <c r="AL91" s="172"/>
      <c r="AM91" s="172"/>
      <c r="AN91" s="172"/>
      <c r="AO91" s="172"/>
      <c r="AP91" s="555"/>
      <c r="AR91" s="104" t="s">
        <v>16</v>
      </c>
      <c r="AS91" s="157" t="str">
        <f>AS64</f>
        <v>T TERRINAS DE MANITAS DE CERDO para rodaja  | | Autor &gt; Guy KRENZE - Eric GODDYN - Arnaud NICOLAS - CEPROC 2002</v>
      </c>
      <c r="AT91" s="157">
        <f>AT64</f>
        <v>1</v>
      </c>
      <c r="AU91" s="158" t="str">
        <f>AU64</f>
        <v>molde L 30 cm × A 9 cm × H 6 cm</v>
      </c>
      <c r="AV91" s="159" t="str">
        <f>AV64</f>
        <v>Receta madre ► Morcilla en 4 versiones</v>
      </c>
      <c r="AW91" s="172" t="s">
        <v>12995</v>
      </c>
      <c r="AX91" s="172"/>
      <c r="AY91" s="172"/>
      <c r="AZ91" s="172"/>
      <c r="BA91" s="172"/>
      <c r="BB91" s="172"/>
      <c r="BC91" s="172"/>
      <c r="BD91" s="172"/>
      <c r="BE91" s="172"/>
      <c r="BF91" s="555"/>
      <c r="BH91" s="104"/>
      <c r="BI91" s="32"/>
      <c r="BJ91" s="33"/>
      <c r="BK91" s="32"/>
      <c r="BL91" s="34"/>
      <c r="BM91" s="92"/>
      <c r="BN91" s="108"/>
      <c r="BO91" s="94"/>
      <c r="BP91" s="95"/>
      <c r="BQ91" s="105"/>
      <c r="BR91" s="5101"/>
      <c r="BS91" s="920"/>
      <c r="BT91" s="1495"/>
      <c r="BU91" s="101"/>
      <c r="BV91" s="1475"/>
      <c r="BX91" s="104"/>
      <c r="BY91" s="32"/>
      <c r="BZ91" s="33"/>
      <c r="CA91" s="32"/>
      <c r="CB91" s="34"/>
      <c r="CC91" s="92"/>
      <c r="CD91" s="108"/>
      <c r="CE91" s="94"/>
      <c r="CF91" s="95"/>
      <c r="CG91" s="105"/>
      <c r="CH91" s="5101"/>
      <c r="CI91" s="920"/>
      <c r="CJ91" s="1495"/>
      <c r="CK91" s="101"/>
      <c r="CL91" s="1475"/>
      <c r="CN91" s="104"/>
      <c r="CO91" s="32"/>
      <c r="CP91" s="33"/>
      <c r="CQ91" s="32"/>
      <c r="CR91" s="34"/>
      <c r="CS91" s="92"/>
      <c r="CT91" s="108"/>
      <c r="CU91" s="94"/>
      <c r="CV91" s="95"/>
      <c r="CW91" s="105"/>
      <c r="CX91" s="5101"/>
      <c r="CY91" s="920"/>
      <c r="CZ91" s="1495"/>
      <c r="DA91" s="101"/>
      <c r="DB91" s="1475"/>
      <c r="DC91" s="5109"/>
      <c r="DD91" s="5086"/>
      <c r="DF91" s="3">
        <v>1</v>
      </c>
    </row>
    <row r="92" spans="2:110" ht="21" customHeight="1">
      <c r="B92" s="952" t="str">
        <f t="shared" si="28"/>
        <v>►</v>
      </c>
      <c r="C92" s="993" cm="1">
        <f t="array" ref="C92">SUMPRODUCT(LEN(D92:J92))</f>
        <v>0</v>
      </c>
      <c r="D92" s="167"/>
      <c r="E92" s="172"/>
      <c r="F92" s="172"/>
      <c r="G92" s="172"/>
      <c r="H92" s="172"/>
      <c r="I92" s="172"/>
      <c r="J92" s="173"/>
      <c r="K92" s="442"/>
      <c r="L92" s="104" t="s">
        <v>16</v>
      </c>
      <c r="M92" s="157" t="str">
        <f>M64</f>
        <v>T TERRINE DE PIEDS DE PORC pour tranches | | Auteur &gt; Guy KRENZE - Eric GODDYN - Arnaud NICOLAS - CEPROC 2002</v>
      </c>
      <c r="N92" s="157">
        <f>N64</f>
        <v>1</v>
      </c>
      <c r="O92" s="158" t="str">
        <f>O64</f>
        <v xml:space="preserve">moule L 30 cm X l 9 cm X H 6 cm </v>
      </c>
      <c r="P92" s="159" t="str">
        <f>P64</f>
        <v>Recette mère ► le Boudin en 4 déclinaisons</v>
      </c>
      <c r="Q92" s="172" t="s">
        <v>12857</v>
      </c>
      <c r="R92" s="172"/>
      <c r="S92" s="172"/>
      <c r="T92" s="172"/>
      <c r="U92" s="172"/>
      <c r="V92" s="172"/>
      <c r="W92" s="172"/>
      <c r="X92" s="172"/>
      <c r="Y92" s="170" t="s">
        <v>172</v>
      </c>
      <c r="Z92" s="171">
        <v>3.472222222222222E-3</v>
      </c>
      <c r="AA92" s="555"/>
      <c r="AB92" s="104" t="s">
        <v>16</v>
      </c>
      <c r="AC92" s="157" t="str">
        <f>AC64</f>
        <v>T TERRINE OF PIG’S TROTTERS  for slices | |  Author &gt; Guy KRENZE - Eric GODDYN - Arnaud NICOLAS - CEPROC 2002</v>
      </c>
      <c r="AD92" s="157">
        <f>AD64</f>
        <v>1</v>
      </c>
      <c r="AE92" s="158" t="str">
        <f>AE64</f>
        <v>mold L 30 cm × W 9 cm × H 6 cm</v>
      </c>
      <c r="AF92" s="159" t="str">
        <f>AF64</f>
        <v>Master recipe ► Black pudding in 4 variations</v>
      </c>
      <c r="AG92" s="172" t="s">
        <v>12970</v>
      </c>
      <c r="AH92" s="172"/>
      <c r="AI92" s="172"/>
      <c r="AJ92" s="172"/>
      <c r="AK92" s="172"/>
      <c r="AL92" s="172"/>
      <c r="AM92" s="172"/>
      <c r="AN92" s="172"/>
      <c r="AO92" s="170" t="s">
        <v>676</v>
      </c>
      <c r="AP92" s="171">
        <v>3.472222222222222E-3</v>
      </c>
      <c r="AR92" s="104" t="s">
        <v>16</v>
      </c>
      <c r="AS92" s="157" t="str">
        <f>AS64</f>
        <v>T TERRINAS DE MANITAS DE CERDO para rodaja  | | Autor &gt; Guy KRENZE - Eric GODDYN - Arnaud NICOLAS - CEPROC 2002</v>
      </c>
      <c r="AT92" s="157">
        <f>AT64</f>
        <v>1</v>
      </c>
      <c r="AU92" s="158" t="str">
        <f>AU64</f>
        <v>molde L 30 cm × A 9 cm × H 6 cm</v>
      </c>
      <c r="AV92" s="159" t="str">
        <f>AV64</f>
        <v>Receta madre ► Morcilla en 4 versiones</v>
      </c>
      <c r="AW92" s="172" t="s">
        <v>12971</v>
      </c>
      <c r="AX92" s="172"/>
      <c r="AY92" s="172"/>
      <c r="AZ92" s="172"/>
      <c r="BA92" s="172"/>
      <c r="BB92" s="172"/>
      <c r="BC92" s="172"/>
      <c r="BD92" s="172"/>
      <c r="BE92" s="170" t="s">
        <v>677</v>
      </c>
      <c r="BF92" s="171">
        <v>3.472222222222222E-3</v>
      </c>
      <c r="BH92" s="104"/>
      <c r="BI92" s="32"/>
      <c r="BJ92" s="33"/>
      <c r="BK92" s="32"/>
      <c r="BL92" s="34"/>
      <c r="BM92" s="92"/>
      <c r="BN92" s="108"/>
      <c r="BO92" s="94"/>
      <c r="BP92" s="95"/>
      <c r="BQ92" s="105"/>
      <c r="BR92" s="5101"/>
      <c r="BS92" s="920"/>
      <c r="BT92" s="1495"/>
      <c r="BU92" s="101"/>
      <c r="BV92" s="1475"/>
      <c r="BX92" s="104"/>
      <c r="BY92" s="32"/>
      <c r="BZ92" s="33"/>
      <c r="CA92" s="32"/>
      <c r="CB92" s="34"/>
      <c r="CC92" s="92"/>
      <c r="CD92" s="108"/>
      <c r="CE92" s="94"/>
      <c r="CF92" s="95"/>
      <c r="CG92" s="105"/>
      <c r="CH92" s="5101"/>
      <c r="CI92" s="920"/>
      <c r="CJ92" s="1495"/>
      <c r="CK92" s="101"/>
      <c r="CL92" s="1475"/>
      <c r="CN92" s="104"/>
      <c r="CO92" s="32"/>
      <c r="CP92" s="33"/>
      <c r="CQ92" s="32"/>
      <c r="CR92" s="34"/>
      <c r="CS92" s="92"/>
      <c r="CT92" s="108"/>
      <c r="CU92" s="94"/>
      <c r="CV92" s="95"/>
      <c r="CW92" s="105"/>
      <c r="CX92" s="5101"/>
      <c r="CY92" s="920"/>
      <c r="CZ92" s="1495"/>
      <c r="DA92" s="101"/>
      <c r="DB92" s="1475"/>
      <c r="DC92" s="5109"/>
      <c r="DD92" s="5086"/>
      <c r="DF92" s="3">
        <v>1</v>
      </c>
    </row>
    <row r="93" spans="2:110" ht="21" customHeight="1">
      <c r="B93" s="952" t="str">
        <f t="shared" si="28"/>
        <v>►</v>
      </c>
      <c r="C93" s="993" cm="1">
        <f t="array" ref="C93">SUMPRODUCT(LEN(D93:J93))</f>
        <v>0</v>
      </c>
      <c r="D93" s="167"/>
      <c r="E93" s="172"/>
      <c r="F93" s="172"/>
      <c r="G93" s="172"/>
      <c r="H93" s="172"/>
      <c r="I93" s="172"/>
      <c r="J93" s="173"/>
      <c r="K93" s="442"/>
      <c r="L93" s="104" t="s">
        <v>16</v>
      </c>
      <c r="M93" s="157" t="str">
        <f>M64</f>
        <v>T TERRINE DE PIEDS DE PORC pour tranches | | Auteur &gt; Guy KRENZE - Eric GODDYN - Arnaud NICOLAS - CEPROC 2002</v>
      </c>
      <c r="N93" s="157">
        <f>N64</f>
        <v>1</v>
      </c>
      <c r="O93" s="158" t="str">
        <f>O64</f>
        <v xml:space="preserve">moule L 30 cm X l 9 cm X H 6 cm </v>
      </c>
      <c r="P93" s="159" t="str">
        <f>P64</f>
        <v>Recette mère ► le Boudin en 4 déclinaisons</v>
      </c>
      <c r="Q93" s="172" t="s">
        <v>12858</v>
      </c>
      <c r="R93" s="172"/>
      <c r="S93" s="172"/>
      <c r="T93" s="172"/>
      <c r="U93" s="172"/>
      <c r="V93" s="172"/>
      <c r="W93" s="172"/>
      <c r="X93" s="172"/>
      <c r="Y93" s="170" t="s">
        <v>174</v>
      </c>
      <c r="Z93" s="174">
        <v>3.472222222222222E-3</v>
      </c>
      <c r="AA93" s="555"/>
      <c r="AB93" s="104" t="s">
        <v>16</v>
      </c>
      <c r="AC93" s="157" t="str">
        <f>AC64</f>
        <v>T TERRINE OF PIG’S TROTTERS  for slices | |  Author &gt; Guy KRENZE - Eric GODDYN - Arnaud NICOLAS - CEPROC 2002</v>
      </c>
      <c r="AD93" s="157">
        <f>AD64</f>
        <v>1</v>
      </c>
      <c r="AE93" s="158" t="str">
        <f>AE64</f>
        <v>mold L 30 cm × W 9 cm × H 6 cm</v>
      </c>
      <c r="AF93" s="159" t="str">
        <f>AF64</f>
        <v>Master recipe ► Black pudding in 4 variations</v>
      </c>
      <c r="AG93" s="172" t="s">
        <v>12972</v>
      </c>
      <c r="AH93" s="172"/>
      <c r="AI93" s="172"/>
      <c r="AJ93" s="172"/>
      <c r="AK93" s="172"/>
      <c r="AL93" s="172"/>
      <c r="AM93" s="172"/>
      <c r="AN93" s="172"/>
      <c r="AO93" s="170" t="s">
        <v>682</v>
      </c>
      <c r="AP93" s="174">
        <v>3.472222222222222E-3</v>
      </c>
      <c r="AR93" s="104" t="s">
        <v>16</v>
      </c>
      <c r="AS93" s="157" t="str">
        <f>AS64</f>
        <v>T TERRINAS DE MANITAS DE CERDO para rodaja  | | Autor &gt; Guy KRENZE - Eric GODDYN - Arnaud NICOLAS - CEPROC 2002</v>
      </c>
      <c r="AT93" s="157">
        <f>AT64</f>
        <v>1</v>
      </c>
      <c r="AU93" s="158" t="str">
        <f>AU64</f>
        <v>molde L 30 cm × A 9 cm × H 6 cm</v>
      </c>
      <c r="AV93" s="159" t="str">
        <f>AV64</f>
        <v>Receta madre ► Morcilla en 4 versiones</v>
      </c>
      <c r="AW93" s="172" t="s">
        <v>12973</v>
      </c>
      <c r="AX93" s="172"/>
      <c r="AY93" s="172"/>
      <c r="AZ93" s="172"/>
      <c r="BA93" s="172"/>
      <c r="BB93" s="172"/>
      <c r="BC93" s="172"/>
      <c r="BD93" s="172"/>
      <c r="BE93" s="170" t="s">
        <v>683</v>
      </c>
      <c r="BF93" s="174">
        <v>3.472222222222222E-3</v>
      </c>
      <c r="BH93" s="104"/>
      <c r="BI93" s="32"/>
      <c r="BJ93" s="33"/>
      <c r="BK93" s="32"/>
      <c r="BL93" s="34"/>
      <c r="BM93" s="92"/>
      <c r="BN93" s="108"/>
      <c r="BO93" s="94"/>
      <c r="BP93" s="95"/>
      <c r="BQ93" s="105"/>
      <c r="BR93" s="5101"/>
      <c r="BS93" s="920"/>
      <c r="BT93" s="1495"/>
      <c r="BU93" s="101"/>
      <c r="BV93" s="1475"/>
      <c r="BX93" s="104"/>
      <c r="BY93" s="32"/>
      <c r="BZ93" s="33"/>
      <c r="CA93" s="32"/>
      <c r="CB93" s="34"/>
      <c r="CC93" s="92"/>
      <c r="CD93" s="108"/>
      <c r="CE93" s="94"/>
      <c r="CF93" s="95"/>
      <c r="CG93" s="105"/>
      <c r="CH93" s="5101"/>
      <c r="CI93" s="920"/>
      <c r="CJ93" s="1495"/>
      <c r="CK93" s="101"/>
      <c r="CL93" s="1475"/>
      <c r="CN93" s="104"/>
      <c r="CO93" s="32"/>
      <c r="CP93" s="33"/>
      <c r="CQ93" s="32"/>
      <c r="CR93" s="34"/>
      <c r="CS93" s="92"/>
      <c r="CT93" s="108"/>
      <c r="CU93" s="94"/>
      <c r="CV93" s="95"/>
      <c r="CW93" s="105"/>
      <c r="CX93" s="5101"/>
      <c r="CY93" s="920"/>
      <c r="CZ93" s="1495"/>
      <c r="DA93" s="101"/>
      <c r="DB93" s="1475"/>
      <c r="DC93" s="5109"/>
      <c r="DD93" s="5086"/>
      <c r="DF93" s="3">
        <v>1</v>
      </c>
    </row>
    <row r="94" spans="2:110" ht="21" customHeight="1">
      <c r="B94" s="952" t="str">
        <f t="shared" si="28"/>
        <v>►</v>
      </c>
      <c r="C94" s="993" cm="1">
        <f t="array" ref="C94">SUMPRODUCT(LEN(D94:J94))</f>
        <v>0</v>
      </c>
      <c r="D94" s="167"/>
      <c r="E94" s="172"/>
      <c r="F94" s="172"/>
      <c r="G94" s="172"/>
      <c r="H94" s="172"/>
      <c r="I94" s="172"/>
      <c r="J94" s="173"/>
      <c r="K94" s="442"/>
      <c r="L94" s="104" t="s">
        <v>16</v>
      </c>
      <c r="M94" s="157" t="str">
        <f>M64</f>
        <v>T TERRINE DE PIEDS DE PORC pour tranches | | Auteur &gt; Guy KRENZE - Eric GODDYN - Arnaud NICOLAS - CEPROC 2002</v>
      </c>
      <c r="N94" s="157">
        <f>N64</f>
        <v>1</v>
      </c>
      <c r="O94" s="158" t="str">
        <f>O64</f>
        <v xml:space="preserve">moule L 30 cm X l 9 cm X H 6 cm </v>
      </c>
      <c r="P94" s="159" t="str">
        <f>P64</f>
        <v>Recette mère ► le Boudin en 4 déclinaisons</v>
      </c>
      <c r="Q94" s="172" t="s">
        <v>12859</v>
      </c>
      <c r="R94" s="172"/>
      <c r="S94" s="172"/>
      <c r="T94" s="172"/>
      <c r="U94" s="172"/>
      <c r="V94" s="172"/>
      <c r="W94" s="172"/>
      <c r="X94" s="172"/>
      <c r="Y94" s="170" t="s">
        <v>182</v>
      </c>
      <c r="Z94" s="175">
        <v>3.472222222222222E-3</v>
      </c>
      <c r="AA94" s="555"/>
      <c r="AB94" s="104" t="s">
        <v>16</v>
      </c>
      <c r="AC94" s="157" t="str">
        <f>AC64</f>
        <v>T TERRINE OF PIG’S TROTTERS  for slices | |  Author &gt; Guy KRENZE - Eric GODDYN - Arnaud NICOLAS - CEPROC 2002</v>
      </c>
      <c r="AD94" s="157">
        <f>AD64</f>
        <v>1</v>
      </c>
      <c r="AE94" s="158" t="str">
        <f>AE64</f>
        <v>mold L 30 cm × W 9 cm × H 6 cm</v>
      </c>
      <c r="AF94" s="159" t="str">
        <f>AF64</f>
        <v>Master recipe ► Black pudding in 4 variations</v>
      </c>
      <c r="AG94" s="172" t="s">
        <v>12974</v>
      </c>
      <c r="AH94" s="172"/>
      <c r="AI94" s="172"/>
      <c r="AJ94" s="172"/>
      <c r="AK94" s="172"/>
      <c r="AL94" s="172"/>
      <c r="AM94" s="172"/>
      <c r="AN94" s="172"/>
      <c r="AO94" s="170" t="s">
        <v>684</v>
      </c>
      <c r="AP94" s="175">
        <v>3.472222222222222E-3</v>
      </c>
      <c r="AR94" s="104" t="s">
        <v>16</v>
      </c>
      <c r="AS94" s="157" t="str">
        <f>AS64</f>
        <v>T TERRINAS DE MANITAS DE CERDO para rodaja  | | Autor &gt; Guy KRENZE - Eric GODDYN - Arnaud NICOLAS - CEPROC 2002</v>
      </c>
      <c r="AT94" s="157">
        <f>AT64</f>
        <v>1</v>
      </c>
      <c r="AU94" s="158" t="str">
        <f>AU64</f>
        <v>molde L 30 cm × A 9 cm × H 6 cm</v>
      </c>
      <c r="AV94" s="159" t="str">
        <f>AV64</f>
        <v>Receta madre ► Morcilla en 4 versiones</v>
      </c>
      <c r="AW94" s="172" t="s">
        <v>12975</v>
      </c>
      <c r="AX94" s="172"/>
      <c r="AY94" s="172"/>
      <c r="AZ94" s="172"/>
      <c r="BA94" s="172"/>
      <c r="BB94" s="172"/>
      <c r="BC94" s="172"/>
      <c r="BD94" s="172"/>
      <c r="BE94" s="170" t="s">
        <v>911</v>
      </c>
      <c r="BF94" s="175">
        <v>3.472222222222222E-3</v>
      </c>
      <c r="BH94" s="104"/>
      <c r="BI94" s="32"/>
      <c r="BJ94" s="33"/>
      <c r="BK94" s="32"/>
      <c r="BL94" s="34"/>
      <c r="BM94" s="92"/>
      <c r="BN94" s="108"/>
      <c r="BO94" s="94"/>
      <c r="BP94" s="95"/>
      <c r="BQ94" s="105"/>
      <c r="BR94" s="5101"/>
      <c r="BS94" s="920"/>
      <c r="BT94" s="1495"/>
      <c r="BU94" s="101"/>
      <c r="BV94" s="1475"/>
      <c r="BX94" s="104"/>
      <c r="BY94" s="32"/>
      <c r="BZ94" s="33"/>
      <c r="CA94" s="32"/>
      <c r="CB94" s="34"/>
      <c r="CC94" s="92"/>
      <c r="CD94" s="108"/>
      <c r="CE94" s="94"/>
      <c r="CF94" s="95"/>
      <c r="CG94" s="105"/>
      <c r="CH94" s="5101"/>
      <c r="CI94" s="920"/>
      <c r="CJ94" s="1495"/>
      <c r="CK94" s="101"/>
      <c r="CL94" s="1475"/>
      <c r="CN94" s="104"/>
      <c r="CO94" s="32"/>
      <c r="CP94" s="33"/>
      <c r="CQ94" s="32"/>
      <c r="CR94" s="34"/>
      <c r="CS94" s="92"/>
      <c r="CT94" s="108"/>
      <c r="CU94" s="94"/>
      <c r="CV94" s="95"/>
      <c r="CW94" s="105"/>
      <c r="CX94" s="5101"/>
      <c r="CY94" s="920"/>
      <c r="CZ94" s="1495"/>
      <c r="DA94" s="101"/>
      <c r="DB94" s="1475"/>
      <c r="DC94" s="5109"/>
      <c r="DD94" s="5086"/>
      <c r="DF94" s="3">
        <v>1</v>
      </c>
    </row>
    <row r="95" spans="2:110" ht="21" customHeight="1">
      <c r="B95" s="952" t="str">
        <f t="shared" si="28"/>
        <v>►</v>
      </c>
      <c r="C95" s="993" cm="1">
        <f t="array" ref="C95">SUMPRODUCT(LEN(D95:J95))</f>
        <v>0</v>
      </c>
      <c r="D95" s="167"/>
      <c r="E95" s="172"/>
      <c r="F95" s="172"/>
      <c r="G95" s="172"/>
      <c r="H95" s="172"/>
      <c r="I95" s="172"/>
      <c r="J95" s="173"/>
      <c r="K95" s="442"/>
      <c r="L95" s="104" t="s">
        <v>16</v>
      </c>
      <c r="M95" s="157" t="str">
        <f>M64</f>
        <v>T TERRINE DE PIEDS DE PORC pour tranches | | Auteur &gt; Guy KRENZE - Eric GODDYN - Arnaud NICOLAS - CEPROC 2002</v>
      </c>
      <c r="N95" s="157">
        <f>N64</f>
        <v>1</v>
      </c>
      <c r="O95" s="158" t="str">
        <f>O64</f>
        <v xml:space="preserve">moule L 30 cm X l 9 cm X H 6 cm </v>
      </c>
      <c r="P95" s="159" t="str">
        <f>P64</f>
        <v>Recette mère ► le Boudin en 4 déclinaisons</v>
      </c>
      <c r="Q95" s="172" t="s">
        <v>12860</v>
      </c>
      <c r="R95" s="172"/>
      <c r="S95" s="172"/>
      <c r="T95" s="172"/>
      <c r="U95" s="172"/>
      <c r="V95" s="172"/>
      <c r="W95" s="172"/>
      <c r="X95" s="172"/>
      <c r="Y95" s="176" t="s">
        <v>183</v>
      </c>
      <c r="Z95" s="177">
        <f>Z92+Z93+Z94</f>
        <v>1.0416666666666666E-2</v>
      </c>
      <c r="AA95" s="555"/>
      <c r="AB95" s="104" t="s">
        <v>16</v>
      </c>
      <c r="AC95" s="157" t="str">
        <f>AC64</f>
        <v>T TERRINE OF PIG’S TROTTERS  for slices | |  Author &gt; Guy KRENZE - Eric GODDYN - Arnaud NICOLAS - CEPROC 2002</v>
      </c>
      <c r="AD95" s="157">
        <f>AD64</f>
        <v>1</v>
      </c>
      <c r="AE95" s="158" t="str">
        <f>AE64</f>
        <v>mold L 30 cm × W 9 cm × H 6 cm</v>
      </c>
      <c r="AF95" s="159" t="str">
        <f>AF64</f>
        <v>Master recipe ► Black pudding in 4 variations</v>
      </c>
      <c r="AG95" s="172" t="s">
        <v>12976</v>
      </c>
      <c r="AH95" s="172"/>
      <c r="AI95" s="172"/>
      <c r="AJ95" s="172"/>
      <c r="AK95" s="172"/>
      <c r="AL95" s="172"/>
      <c r="AM95" s="172"/>
      <c r="AN95" s="172"/>
      <c r="AO95" s="176" t="s">
        <v>183</v>
      </c>
      <c r="AP95" s="177">
        <f>AP92+AP93+AP94</f>
        <v>1.0416666666666666E-2</v>
      </c>
      <c r="AR95" s="104" t="s">
        <v>16</v>
      </c>
      <c r="AS95" s="157" t="str">
        <f>AS64</f>
        <v>T TERRINAS DE MANITAS DE CERDO para rodaja  | | Autor &gt; Guy KRENZE - Eric GODDYN - Arnaud NICOLAS - CEPROC 2002</v>
      </c>
      <c r="AT95" s="157">
        <f>AT64</f>
        <v>1</v>
      </c>
      <c r="AU95" s="158" t="str">
        <f>AU64</f>
        <v>molde L 30 cm × A 9 cm × H 6 cm</v>
      </c>
      <c r="AV95" s="159" t="str">
        <f>AV64</f>
        <v>Receta madre ► Morcilla en 4 versiones</v>
      </c>
      <c r="AW95" s="172" t="s">
        <v>12977</v>
      </c>
      <c r="AX95" s="172"/>
      <c r="AY95" s="172"/>
      <c r="AZ95" s="172"/>
      <c r="BA95" s="172"/>
      <c r="BB95" s="172"/>
      <c r="BC95" s="172"/>
      <c r="BD95" s="172"/>
      <c r="BE95" s="176" t="s">
        <v>183</v>
      </c>
      <c r="BF95" s="177">
        <f>BF92+BF93+BF94</f>
        <v>1.0416666666666666E-2</v>
      </c>
      <c r="BH95" s="104"/>
      <c r="BI95" s="32"/>
      <c r="BJ95" s="33"/>
      <c r="BK95" s="32"/>
      <c r="BL95" s="34"/>
      <c r="BM95" s="92"/>
      <c r="BN95" s="108"/>
      <c r="BO95" s="94"/>
      <c r="BP95" s="95"/>
      <c r="BQ95" s="105"/>
      <c r="BR95" s="5101"/>
      <c r="BS95" s="920"/>
      <c r="BT95" s="1495"/>
      <c r="BU95" s="101"/>
      <c r="BV95" s="1475"/>
      <c r="BX95" s="104"/>
      <c r="BY95" s="32"/>
      <c r="BZ95" s="33"/>
      <c r="CA95" s="32"/>
      <c r="CB95" s="34"/>
      <c r="CC95" s="92"/>
      <c r="CD95" s="108"/>
      <c r="CE95" s="94"/>
      <c r="CF95" s="95"/>
      <c r="CG95" s="105"/>
      <c r="CH95" s="5101"/>
      <c r="CI95" s="920"/>
      <c r="CJ95" s="1495"/>
      <c r="CK95" s="101"/>
      <c r="CL95" s="1475"/>
      <c r="CN95" s="104"/>
      <c r="CO95" s="32"/>
      <c r="CP95" s="33"/>
      <c r="CQ95" s="32"/>
      <c r="CR95" s="34"/>
      <c r="CS95" s="92"/>
      <c r="CT95" s="108"/>
      <c r="CU95" s="94"/>
      <c r="CV95" s="95"/>
      <c r="CW95" s="105"/>
      <c r="CX95" s="5101"/>
      <c r="CY95" s="920"/>
      <c r="CZ95" s="1495"/>
      <c r="DA95" s="101"/>
      <c r="DB95" s="1475"/>
      <c r="DC95" s="5109"/>
      <c r="DD95" s="5086"/>
      <c r="DF95" s="3">
        <v>1</v>
      </c>
    </row>
    <row r="96" spans="2:110" ht="21" customHeight="1">
      <c r="B96" s="952" t="str">
        <f t="shared" si="28"/>
        <v>A</v>
      </c>
      <c r="C96" s="993" cm="1">
        <f t="array" ref="C96">SUMPRODUCT(LEN(D96:J96))</f>
        <v>0</v>
      </c>
      <c r="D96" s="167"/>
      <c r="E96" s="172"/>
      <c r="F96" s="172"/>
      <c r="G96" s="172"/>
      <c r="H96" s="172"/>
      <c r="I96" s="172"/>
      <c r="J96" s="173"/>
      <c r="K96" s="442"/>
      <c r="L96" s="104" t="str">
        <f>IF(OR(Q96&lt;&gt;"",R96&lt;&gt; "",S96&lt;&gt;"",T96&lt;&gt;""),"A", "►")</f>
        <v>A</v>
      </c>
      <c r="M96" s="157" t="str">
        <f>M64</f>
        <v>T TERRINE DE PIEDS DE PORC pour tranches | | Auteur &gt; Guy KRENZE - Eric GODDYN - Arnaud NICOLAS - CEPROC 2002</v>
      </c>
      <c r="N96" s="157">
        <f>N64</f>
        <v>1</v>
      </c>
      <c r="O96" s="158" t="str">
        <f>O64</f>
        <v xml:space="preserve">moule L 30 cm X l 9 cm X H 6 cm </v>
      </c>
      <c r="P96" s="159" t="str">
        <f>P64</f>
        <v>Recette mère ► le Boudin en 4 déclinaisons</v>
      </c>
      <c r="Q96" s="172" t="s">
        <v>12978</v>
      </c>
      <c r="R96" s="172"/>
      <c r="S96" s="172"/>
      <c r="T96" s="172"/>
      <c r="U96" s="172"/>
      <c r="V96" s="172"/>
      <c r="W96" s="172"/>
      <c r="X96" s="172"/>
      <c r="Y96" s="172"/>
      <c r="Z96" s="555"/>
      <c r="AA96" s="555"/>
      <c r="AB96" s="104" t="str">
        <f>IF(OR(AG96&lt;&gt;"",AH96&lt;&gt; "",AI96&lt;&gt;"",AJ96&lt;&gt;""),"A", "►")</f>
        <v>A</v>
      </c>
      <c r="AC96" s="157" t="str">
        <f>AC64</f>
        <v>T TERRINE OF PIG’S TROTTERS  for slices | |  Author &gt; Guy KRENZE - Eric GODDYN - Arnaud NICOLAS - CEPROC 2002</v>
      </c>
      <c r="AD96" s="157">
        <f>AD64</f>
        <v>1</v>
      </c>
      <c r="AE96" s="158" t="str">
        <f>AE64</f>
        <v>mold L 30 cm × W 9 cm × H 6 cm</v>
      </c>
      <c r="AF96" s="159" t="str">
        <f>AF64</f>
        <v>Master recipe ► Black pudding in 4 variations</v>
      </c>
      <c r="AG96" s="172" t="s">
        <v>12979</v>
      </c>
      <c r="AH96" s="172"/>
      <c r="AI96" s="172"/>
      <c r="AJ96" s="172"/>
      <c r="AK96" s="172"/>
      <c r="AL96" s="172"/>
      <c r="AM96" s="172"/>
      <c r="AN96" s="172"/>
      <c r="AO96" s="172"/>
      <c r="AP96" s="555"/>
      <c r="AR96" s="104" t="str">
        <f>IF(OR(AW96&lt;&gt;"",AX96&lt;&gt; "",AY96&lt;&gt;"",AZ96&lt;&gt;""),"A", "►")</f>
        <v>A</v>
      </c>
      <c r="AS96" s="157" t="str">
        <f>AS64</f>
        <v>T TERRINAS DE MANITAS DE CERDO para rodaja  | | Autor &gt; Guy KRENZE - Eric GODDYN - Arnaud NICOLAS - CEPROC 2002</v>
      </c>
      <c r="AT96" s="157">
        <f>AT64</f>
        <v>1</v>
      </c>
      <c r="AU96" s="158" t="str">
        <f>AU64</f>
        <v>molde L 30 cm × A 9 cm × H 6 cm</v>
      </c>
      <c r="AV96" s="159" t="str">
        <f>AV64</f>
        <v>Receta madre ► Morcilla en 4 versiones</v>
      </c>
      <c r="AW96" s="172" t="s">
        <v>12980</v>
      </c>
      <c r="AX96" s="172"/>
      <c r="AY96" s="172"/>
      <c r="AZ96" s="172"/>
      <c r="BA96" s="172"/>
      <c r="BB96" s="172"/>
      <c r="BC96" s="172"/>
      <c r="BD96" s="172"/>
      <c r="BE96" s="172"/>
      <c r="BF96" s="555"/>
      <c r="BH96" s="104"/>
      <c r="BI96" s="32"/>
      <c r="BJ96" s="33"/>
      <c r="BK96" s="32"/>
      <c r="BL96" s="34"/>
      <c r="BM96" s="92"/>
      <c r="BN96" s="108"/>
      <c r="BO96" s="94"/>
      <c r="BP96" s="95"/>
      <c r="BQ96" s="105"/>
      <c r="BR96" s="5101"/>
      <c r="BS96" s="920"/>
      <c r="BT96" s="1495"/>
      <c r="BU96" s="101"/>
      <c r="BV96" s="1475"/>
      <c r="BX96" s="104"/>
      <c r="BY96" s="32"/>
      <c r="BZ96" s="33"/>
      <c r="CA96" s="32"/>
      <c r="CB96" s="34"/>
      <c r="CC96" s="92"/>
      <c r="CD96" s="108"/>
      <c r="CE96" s="94"/>
      <c r="CF96" s="95"/>
      <c r="CG96" s="105"/>
      <c r="CH96" s="5101"/>
      <c r="CI96" s="920"/>
      <c r="CJ96" s="1495"/>
      <c r="CK96" s="101"/>
      <c r="CL96" s="1475"/>
      <c r="CN96" s="104"/>
      <c r="CO96" s="32"/>
      <c r="CP96" s="33"/>
      <c r="CQ96" s="32"/>
      <c r="CR96" s="34"/>
      <c r="CS96" s="92"/>
      <c r="CT96" s="108"/>
      <c r="CU96" s="94"/>
      <c r="CV96" s="95"/>
      <c r="CW96" s="105"/>
      <c r="CX96" s="5101"/>
      <c r="CY96" s="920"/>
      <c r="CZ96" s="1495"/>
      <c r="DA96" s="101"/>
      <c r="DB96" s="1475"/>
      <c r="DC96" s="5109"/>
      <c r="DD96" s="5086"/>
      <c r="DF96" s="3">
        <v>1</v>
      </c>
    </row>
    <row r="97" spans="2:159" ht="21" customHeight="1" thickBot="1">
      <c r="B97" s="952" t="str">
        <f t="shared" si="28"/>
        <v>A</v>
      </c>
      <c r="C97" s="993" cm="1">
        <f t="array" ref="C97">SUMPRODUCT(LEN(D97:J97))</f>
        <v>0</v>
      </c>
      <c r="D97" s="167"/>
      <c r="E97" s="172"/>
      <c r="F97" s="172"/>
      <c r="G97" s="172"/>
      <c r="H97" s="172"/>
      <c r="I97" s="172"/>
      <c r="J97" s="173"/>
      <c r="K97" s="442"/>
      <c r="L97" s="104" t="str">
        <f>IF(OR(Q97&lt;&gt;"",R97&lt;&gt; "",S97&lt;&gt;"",T97&lt;&gt;""),"A", "►")</f>
        <v>A</v>
      </c>
      <c r="M97" s="157" t="str">
        <f>M64</f>
        <v>T TERRINE DE PIEDS DE PORC pour tranches | | Auteur &gt; Guy KRENZE - Eric GODDYN - Arnaud NICOLAS - CEPROC 2002</v>
      </c>
      <c r="N97" s="157">
        <f>N64</f>
        <v>1</v>
      </c>
      <c r="O97" s="158" t="str">
        <f>O64</f>
        <v xml:space="preserve">moule L 30 cm X l 9 cm X H 6 cm </v>
      </c>
      <c r="P97" s="159" t="str">
        <f>P64</f>
        <v>Recette mère ► le Boudin en 4 déclinaisons</v>
      </c>
      <c r="Q97" s="172" t="s">
        <v>12861</v>
      </c>
      <c r="R97" s="172"/>
      <c r="S97" s="172"/>
      <c r="T97" s="172"/>
      <c r="U97" s="172"/>
      <c r="V97" s="172"/>
      <c r="W97" s="172"/>
      <c r="X97" s="172"/>
      <c r="Y97" s="172"/>
      <c r="Z97" s="555"/>
      <c r="AA97" s="555"/>
      <c r="AB97" s="104" t="str">
        <f>IF(OR(AG97&lt;&gt;"",AH97&lt;&gt; "",AI97&lt;&gt;"",AJ97&lt;&gt;""),"A", "►")</f>
        <v>A</v>
      </c>
      <c r="AC97" s="157" t="str">
        <f>AC64</f>
        <v>T TERRINE OF PIG’S TROTTERS  for slices | |  Author &gt; Guy KRENZE - Eric GODDYN - Arnaud NICOLAS - CEPROC 2002</v>
      </c>
      <c r="AD97" s="157">
        <f>AD64</f>
        <v>1</v>
      </c>
      <c r="AE97" s="158" t="str">
        <f>AE64</f>
        <v>mold L 30 cm × W 9 cm × H 6 cm</v>
      </c>
      <c r="AF97" s="159" t="str">
        <f>AF64</f>
        <v>Master recipe ► Black pudding in 4 variations</v>
      </c>
      <c r="AG97" s="172" t="s">
        <v>12981</v>
      </c>
      <c r="AH97" s="172"/>
      <c r="AI97" s="172"/>
      <c r="AJ97" s="172"/>
      <c r="AK97" s="172"/>
      <c r="AL97" s="172"/>
      <c r="AM97" s="172"/>
      <c r="AN97" s="172"/>
      <c r="AO97" s="172"/>
      <c r="AP97" s="555"/>
      <c r="AR97" s="104" t="str">
        <f>IF(OR(AW97&lt;&gt;"",AX97&lt;&gt; "",AY97&lt;&gt;"",AZ97&lt;&gt;""),"A", "►")</f>
        <v>A</v>
      </c>
      <c r="AS97" s="157" t="str">
        <f>AS64</f>
        <v>T TERRINAS DE MANITAS DE CERDO para rodaja  | | Autor &gt; Guy KRENZE - Eric GODDYN - Arnaud NICOLAS - CEPROC 2002</v>
      </c>
      <c r="AT97" s="157">
        <f>AT64</f>
        <v>1</v>
      </c>
      <c r="AU97" s="158" t="str">
        <f>AU64</f>
        <v>molde L 30 cm × A 9 cm × H 6 cm</v>
      </c>
      <c r="AV97" s="159" t="str">
        <f>AV64</f>
        <v>Receta madre ► Morcilla en 4 versiones</v>
      </c>
      <c r="AW97" s="172" t="s">
        <v>12982</v>
      </c>
      <c r="AX97" s="172"/>
      <c r="AY97" s="172"/>
      <c r="AZ97" s="172"/>
      <c r="BA97" s="172"/>
      <c r="BB97" s="172"/>
      <c r="BC97" s="172"/>
      <c r="BD97" s="172"/>
      <c r="BE97" s="172"/>
      <c r="BF97" s="555"/>
      <c r="BH97" s="104"/>
      <c r="BI97" s="32"/>
      <c r="BJ97" s="33"/>
      <c r="BK97" s="32"/>
      <c r="BL97" s="34"/>
      <c r="BM97" s="92"/>
      <c r="BN97" s="108"/>
      <c r="BO97" s="94"/>
      <c r="BP97" s="95"/>
      <c r="BQ97" s="105"/>
      <c r="BR97" s="5101"/>
      <c r="BS97" s="920"/>
      <c r="BT97" s="1495"/>
      <c r="BU97" s="101"/>
      <c r="BV97" s="1475"/>
      <c r="BX97" s="104"/>
      <c r="BY97" s="32"/>
      <c r="BZ97" s="33"/>
      <c r="CA97" s="32"/>
      <c r="CB97" s="34"/>
      <c r="CC97" s="92"/>
      <c r="CD97" s="108"/>
      <c r="CE97" s="94"/>
      <c r="CF97" s="95"/>
      <c r="CG97" s="105"/>
      <c r="CH97" s="5101"/>
      <c r="CI97" s="920"/>
      <c r="CJ97" s="1495"/>
      <c r="CK97" s="101"/>
      <c r="CL97" s="1475"/>
      <c r="CN97" s="104"/>
      <c r="CO97" s="32"/>
      <c r="CP97" s="33"/>
      <c r="CQ97" s="32"/>
      <c r="CR97" s="34"/>
      <c r="CS97" s="92"/>
      <c r="CT97" s="108"/>
      <c r="CU97" s="94"/>
      <c r="CV97" s="95"/>
      <c r="CW97" s="105"/>
      <c r="CX97" s="5101"/>
      <c r="CY97" s="920"/>
      <c r="CZ97" s="1495"/>
      <c r="DA97" s="101"/>
      <c r="DB97" s="1475"/>
      <c r="DC97" s="5109"/>
      <c r="DD97" s="5086"/>
      <c r="DF97" s="3">
        <v>1</v>
      </c>
    </row>
    <row r="98" spans="2:159" ht="21" customHeight="1">
      <c r="B98" s="952" t="str">
        <f t="shared" si="28"/>
        <v>A</v>
      </c>
      <c r="C98" s="993" cm="1">
        <f t="array" ref="C98">SUMPRODUCT(LEN(D98:J98))</f>
        <v>0</v>
      </c>
      <c r="D98" s="167"/>
      <c r="E98" s="172"/>
      <c r="F98" s="172"/>
      <c r="G98" s="172"/>
      <c r="H98" s="172"/>
      <c r="I98" s="172"/>
      <c r="J98" s="173"/>
      <c r="K98" s="442"/>
      <c r="L98" s="104" t="str">
        <f>IF(OR(Q98&lt;&gt;"",R98&lt;&gt; "",S98&lt;&gt;"",T98&lt;&gt;""),"A", "►")</f>
        <v>A</v>
      </c>
      <c r="M98" s="157" t="str">
        <f>M64</f>
        <v>T TERRINE DE PIEDS DE PORC pour tranches | | Auteur &gt; Guy KRENZE - Eric GODDYN - Arnaud NICOLAS - CEPROC 2002</v>
      </c>
      <c r="N98" s="157">
        <f>N64</f>
        <v>1</v>
      </c>
      <c r="O98" s="158" t="str">
        <f>O64</f>
        <v xml:space="preserve">moule L 30 cm X l 9 cm X H 6 cm </v>
      </c>
      <c r="P98" s="159" t="str">
        <f>P64</f>
        <v>Recette mère ► le Boudin en 4 déclinaisons</v>
      </c>
      <c r="Q98" s="172" t="s">
        <v>12862</v>
      </c>
      <c r="R98" s="172"/>
      <c r="S98" s="172"/>
      <c r="T98" s="172"/>
      <c r="U98" s="172"/>
      <c r="V98" s="172"/>
      <c r="W98" s="172"/>
      <c r="X98" s="172"/>
      <c r="Y98" s="172"/>
      <c r="Z98" s="555"/>
      <c r="AA98" s="555"/>
      <c r="AB98" s="104" t="str">
        <f>IF(OR(AG98&lt;&gt;"",AH98&lt;&gt; "",AI98&lt;&gt;"",AJ98&lt;&gt;""),"A", "►")</f>
        <v>A</v>
      </c>
      <c r="AC98" s="157" t="str">
        <f>AC64</f>
        <v>T TERRINE OF PIG’S TROTTERS  for slices | |  Author &gt; Guy KRENZE - Eric GODDYN - Arnaud NICOLAS - CEPROC 2002</v>
      </c>
      <c r="AD98" s="157">
        <f>AD64</f>
        <v>1</v>
      </c>
      <c r="AE98" s="158" t="str">
        <f>AE64</f>
        <v>mold L 30 cm × W 9 cm × H 6 cm</v>
      </c>
      <c r="AF98" s="159" t="str">
        <f>AF64</f>
        <v>Master recipe ► Black pudding in 4 variations</v>
      </c>
      <c r="AG98" s="172" t="s">
        <v>12983</v>
      </c>
      <c r="AH98" s="172"/>
      <c r="AI98" s="172"/>
      <c r="AJ98" s="172"/>
      <c r="AK98" s="172"/>
      <c r="AL98" s="172"/>
      <c r="AM98" s="172"/>
      <c r="AN98" s="172"/>
      <c r="AO98" s="172"/>
      <c r="AP98" s="555"/>
      <c r="AR98" s="104" t="str">
        <f>IF(OR(AW98&lt;&gt;"",AX98&lt;&gt; "",AY98&lt;&gt;"",AZ98&lt;&gt;""),"A", "►")</f>
        <v>A</v>
      </c>
      <c r="AS98" s="157" t="str">
        <f>AS64</f>
        <v>T TERRINAS DE MANITAS DE CERDO para rodaja  | | Autor &gt; Guy KRENZE - Eric GODDYN - Arnaud NICOLAS - CEPROC 2002</v>
      </c>
      <c r="AT98" s="157">
        <f>AT64</f>
        <v>1</v>
      </c>
      <c r="AU98" s="158" t="str">
        <f>AU64</f>
        <v>molde L 30 cm × A 9 cm × H 6 cm</v>
      </c>
      <c r="AV98" s="159" t="str">
        <f>AV64</f>
        <v>Receta madre ► Morcilla en 4 versiones</v>
      </c>
      <c r="AW98" s="172" t="s">
        <v>12984</v>
      </c>
      <c r="AX98" s="172"/>
      <c r="AY98" s="172"/>
      <c r="AZ98" s="172"/>
      <c r="BA98" s="172"/>
      <c r="BB98" s="172"/>
      <c r="BC98" s="172"/>
      <c r="BD98" s="172"/>
      <c r="BE98" s="172"/>
      <c r="BF98" s="555"/>
      <c r="BH98" s="104"/>
      <c r="BI98" s="32"/>
      <c r="BJ98" s="33"/>
      <c r="BK98" s="32"/>
      <c r="BL98" s="34"/>
      <c r="BM98" s="92"/>
      <c r="BN98" s="108"/>
      <c r="BO98" s="94"/>
      <c r="BP98" s="95"/>
      <c r="BQ98" s="105"/>
      <c r="BR98" s="5101"/>
      <c r="BS98" s="920"/>
      <c r="BT98" s="1495"/>
      <c r="BU98" s="101"/>
      <c r="BV98" s="1475"/>
      <c r="BX98" s="104"/>
      <c r="BY98" s="32"/>
      <c r="BZ98" s="33"/>
      <c r="CA98" s="32"/>
      <c r="CB98" s="34"/>
      <c r="CC98" s="92"/>
      <c r="CD98" s="108"/>
      <c r="CE98" s="94"/>
      <c r="CF98" s="95"/>
      <c r="CG98" s="105"/>
      <c r="CH98" s="5101"/>
      <c r="CI98" s="920"/>
      <c r="CJ98" s="1495"/>
      <c r="CK98" s="101"/>
      <c r="CL98" s="1475"/>
      <c r="CN98" s="104"/>
      <c r="CO98" s="32"/>
      <c r="CP98" s="33"/>
      <c r="CQ98" s="32"/>
      <c r="CR98" s="34"/>
      <c r="CS98" s="92"/>
      <c r="CT98" s="108"/>
      <c r="CU98" s="94"/>
      <c r="CV98" s="95"/>
      <c r="CW98" s="105"/>
      <c r="CX98" s="5101"/>
      <c r="CY98" s="920"/>
      <c r="CZ98" s="1495"/>
      <c r="DA98" s="101"/>
      <c r="DB98" s="1475"/>
      <c r="DC98" s="5109"/>
      <c r="DD98" s="5086"/>
      <c r="DF98" s="3">
        <v>1</v>
      </c>
      <c r="EU98" s="5471" t="s">
        <v>12928</v>
      </c>
      <c r="EV98" s="5471"/>
      <c r="EW98" s="5471"/>
      <c r="EX98" s="5471"/>
      <c r="EY98" s="5471"/>
      <c r="EZ98" s="5471"/>
      <c r="FA98" s="5473" t="s">
        <v>1031</v>
      </c>
      <c r="FB98" s="5473"/>
      <c r="FC98" s="5475" t="str">
        <f>UPPER(LEFT(EU98,1))</f>
        <v>H</v>
      </c>
    </row>
    <row r="99" spans="2:159" ht="21" customHeight="1">
      <c r="B99" s="952" t="str">
        <f t="shared" si="28"/>
        <v>A</v>
      </c>
      <c r="C99" s="993" cm="1">
        <f t="array" ref="C99">SUMPRODUCT(LEN(D99:J99))</f>
        <v>0</v>
      </c>
      <c r="D99" s="167"/>
      <c r="E99" s="172"/>
      <c r="F99" s="172"/>
      <c r="G99" s="172"/>
      <c r="H99" s="172"/>
      <c r="I99" s="172"/>
      <c r="J99" s="173"/>
      <c r="K99" s="442"/>
      <c r="L99" s="104" t="str">
        <f>IF(OR(Q99&lt;&gt;"",R99&lt;&gt; "",S99&lt;&gt;"",T99&lt;&gt;""),"A", "►")</f>
        <v>A</v>
      </c>
      <c r="M99" s="157" t="str">
        <f>M64</f>
        <v>T TERRINE DE PIEDS DE PORC pour tranches | | Auteur &gt; Guy KRENZE - Eric GODDYN - Arnaud NICOLAS - CEPROC 2002</v>
      </c>
      <c r="N99" s="157">
        <f>N64</f>
        <v>1</v>
      </c>
      <c r="O99" s="158" t="str">
        <f>O64</f>
        <v xml:space="preserve">moule L 30 cm X l 9 cm X H 6 cm </v>
      </c>
      <c r="P99" s="159" t="str">
        <f>P64</f>
        <v>Recette mère ► le Boudin en 4 déclinaisons</v>
      </c>
      <c r="Q99" s="172" t="s">
        <v>12985</v>
      </c>
      <c r="R99" s="172"/>
      <c r="S99" s="172"/>
      <c r="T99" s="172"/>
      <c r="U99" s="172"/>
      <c r="V99" s="172"/>
      <c r="W99" s="172"/>
      <c r="X99" s="172"/>
      <c r="Y99" s="172"/>
      <c r="Z99" s="555"/>
      <c r="AA99" s="555"/>
      <c r="AB99" s="104" t="str">
        <f>IF(OR(AG99&lt;&gt;"",AH99&lt;&gt; "",AI99&lt;&gt;"",AJ99&lt;&gt;""),"A", "►")</f>
        <v>A</v>
      </c>
      <c r="AC99" s="157" t="str">
        <f>AC64</f>
        <v>T TERRINE OF PIG’S TROTTERS  for slices | |  Author &gt; Guy KRENZE - Eric GODDYN - Arnaud NICOLAS - CEPROC 2002</v>
      </c>
      <c r="AD99" s="157">
        <f>AD64</f>
        <v>1</v>
      </c>
      <c r="AE99" s="158" t="str">
        <f>AE64</f>
        <v>mold L 30 cm × W 9 cm × H 6 cm</v>
      </c>
      <c r="AF99" s="159" t="str">
        <f>AF64</f>
        <v>Master recipe ► Black pudding in 4 variations</v>
      </c>
      <c r="AG99" s="172" t="s">
        <v>12986</v>
      </c>
      <c r="AH99" s="172"/>
      <c r="AI99" s="172"/>
      <c r="AJ99" s="172"/>
      <c r="AK99" s="172"/>
      <c r="AL99" s="172"/>
      <c r="AM99" s="172"/>
      <c r="AN99" s="172"/>
      <c r="AO99" s="172"/>
      <c r="AP99" s="555"/>
      <c r="AR99" s="104" t="str">
        <f>IF(OR(AW99&lt;&gt;"",AX99&lt;&gt; "",AY99&lt;&gt;"",AZ99&lt;&gt;""),"A", "►")</f>
        <v>A</v>
      </c>
      <c r="AS99" s="157" t="str">
        <f>AS64</f>
        <v>T TERRINAS DE MANITAS DE CERDO para rodaja  | | Autor &gt; Guy KRENZE - Eric GODDYN - Arnaud NICOLAS - CEPROC 2002</v>
      </c>
      <c r="AT99" s="157">
        <f>AT64</f>
        <v>1</v>
      </c>
      <c r="AU99" s="158" t="str">
        <f>AU64</f>
        <v>molde L 30 cm × A 9 cm × H 6 cm</v>
      </c>
      <c r="AV99" s="159" t="str">
        <f>AV64</f>
        <v>Receta madre ► Morcilla en 4 versiones</v>
      </c>
      <c r="AW99" s="172" t="s">
        <v>12987</v>
      </c>
      <c r="AX99" s="172"/>
      <c r="AY99" s="172"/>
      <c r="AZ99" s="172"/>
      <c r="BA99" s="172"/>
      <c r="BB99" s="172"/>
      <c r="BC99" s="172"/>
      <c r="BD99" s="172"/>
      <c r="BE99" s="172"/>
      <c r="BF99" s="555"/>
      <c r="BH99" s="104"/>
      <c r="BI99" s="32"/>
      <c r="BJ99" s="33"/>
      <c r="BK99" s="32"/>
      <c r="BL99" s="34"/>
      <c r="BM99" s="92"/>
      <c r="BN99" s="108"/>
      <c r="BO99" s="94"/>
      <c r="BP99" s="95"/>
      <c r="BQ99" s="105"/>
      <c r="BR99" s="5101"/>
      <c r="BS99" s="920"/>
      <c r="BT99" s="1495"/>
      <c r="BU99" s="101"/>
      <c r="BV99" s="1475"/>
      <c r="BX99" s="104"/>
      <c r="BY99" s="32"/>
      <c r="BZ99" s="33"/>
      <c r="CA99" s="32"/>
      <c r="CB99" s="34"/>
      <c r="CC99" s="92"/>
      <c r="CD99" s="108"/>
      <c r="CE99" s="94"/>
      <c r="CF99" s="95"/>
      <c r="CG99" s="105"/>
      <c r="CH99" s="5101"/>
      <c r="CI99" s="920"/>
      <c r="CJ99" s="1495"/>
      <c r="CK99" s="101"/>
      <c r="CL99" s="1475"/>
      <c r="CN99" s="104"/>
      <c r="CO99" s="32"/>
      <c r="CP99" s="33"/>
      <c r="CQ99" s="32"/>
      <c r="CR99" s="34"/>
      <c r="CS99" s="92"/>
      <c r="CT99" s="108"/>
      <c r="CU99" s="94"/>
      <c r="CV99" s="95"/>
      <c r="CW99" s="105"/>
      <c r="CX99" s="5101"/>
      <c r="CY99" s="920"/>
      <c r="CZ99" s="1495"/>
      <c r="DA99" s="101"/>
      <c r="DB99" s="1475"/>
      <c r="DC99" s="5109"/>
      <c r="DD99" s="5086"/>
      <c r="DF99" s="3">
        <v>1</v>
      </c>
      <c r="EU99" s="5472"/>
      <c r="EV99" s="5472"/>
      <c r="EW99" s="5472"/>
      <c r="EX99" s="5472"/>
      <c r="EY99" s="5472"/>
      <c r="EZ99" s="5472"/>
      <c r="FA99" s="5474"/>
      <c r="FB99" s="5474"/>
      <c r="FC99" s="5476"/>
    </row>
    <row r="100" spans="2:159" ht="21" customHeight="1">
      <c r="B100" s="952" t="str">
        <f t="shared" si="28"/>
        <v>►</v>
      </c>
      <c r="C100" s="993" cm="1">
        <f t="array" ref="C100">SUMPRODUCT(LEN(D100:J100))</f>
        <v>0</v>
      </c>
      <c r="D100" s="167"/>
      <c r="E100" s="172"/>
      <c r="F100" s="172"/>
      <c r="G100" s="172"/>
      <c r="H100" s="172"/>
      <c r="I100" s="172"/>
      <c r="J100" s="173"/>
      <c r="K100" s="442"/>
      <c r="L100" s="104" t="str">
        <f>IF(OR(Q100&lt;&gt;"",R100&lt;&gt; "",S100&lt;&gt;"",T100&lt;&gt;""),"A", "►")</f>
        <v>►</v>
      </c>
      <c r="M100" s="157" t="str">
        <f>M64</f>
        <v>T TERRINE DE PIEDS DE PORC pour tranches | | Auteur &gt; Guy KRENZE - Eric GODDYN - Arnaud NICOLAS - CEPROC 2002</v>
      </c>
      <c r="N100" s="157">
        <f>N64</f>
        <v>1</v>
      </c>
      <c r="O100" s="158" t="str">
        <f>O64</f>
        <v xml:space="preserve">moule L 30 cm X l 9 cm X H 6 cm </v>
      </c>
      <c r="P100" s="159" t="str">
        <f>P64</f>
        <v>Recette mère ► le Boudin en 4 déclinaisons</v>
      </c>
      <c r="Q100" s="172"/>
      <c r="R100" s="172"/>
      <c r="S100" s="172"/>
      <c r="T100" s="172"/>
      <c r="U100" s="172"/>
      <c r="V100" s="172"/>
      <c r="W100" s="172"/>
      <c r="X100" s="172"/>
      <c r="Y100" s="172"/>
      <c r="Z100" s="555"/>
      <c r="AA100" s="555"/>
      <c r="AB100" s="104" t="str">
        <f>IF(OR(AG100&lt;&gt;"",AH100&lt;&gt; "",AI100&lt;&gt;"",AJ100&lt;&gt;""),"A", "►")</f>
        <v>►</v>
      </c>
      <c r="AC100" s="157" t="str">
        <f>AC64</f>
        <v>T TERRINE OF PIG’S TROTTERS  for slices | |  Author &gt; Guy KRENZE - Eric GODDYN - Arnaud NICOLAS - CEPROC 2002</v>
      </c>
      <c r="AD100" s="157">
        <f>AD64</f>
        <v>1</v>
      </c>
      <c r="AE100" s="158" t="str">
        <f>AE64</f>
        <v>mold L 30 cm × W 9 cm × H 6 cm</v>
      </c>
      <c r="AF100" s="159" t="str">
        <f>AF64</f>
        <v>Master recipe ► Black pudding in 4 variations</v>
      </c>
      <c r="AG100" s="172"/>
      <c r="AH100" s="172"/>
      <c r="AI100" s="172"/>
      <c r="AJ100" s="172"/>
      <c r="AK100" s="172"/>
      <c r="AL100" s="172"/>
      <c r="AM100" s="172"/>
      <c r="AN100" s="172"/>
      <c r="AO100" s="172"/>
      <c r="AP100" s="555"/>
      <c r="AR100" s="104" t="str">
        <f>IF(OR(AW100&lt;&gt;"",AX100&lt;&gt; "",AY100&lt;&gt;"",AZ100&lt;&gt;""),"A", "►")</f>
        <v>►</v>
      </c>
      <c r="AS100" s="157" t="str">
        <f>AS64</f>
        <v>T TERRINAS DE MANITAS DE CERDO para rodaja  | | Autor &gt; Guy KRENZE - Eric GODDYN - Arnaud NICOLAS - CEPROC 2002</v>
      </c>
      <c r="AT100" s="157">
        <f>AT64</f>
        <v>1</v>
      </c>
      <c r="AU100" s="158" t="str">
        <f>AU64</f>
        <v>molde L 30 cm × A 9 cm × H 6 cm</v>
      </c>
      <c r="AV100" s="159" t="str">
        <f>AV64</f>
        <v>Receta madre ► Morcilla en 4 versiones</v>
      </c>
      <c r="AW100" s="172"/>
      <c r="AX100" s="172"/>
      <c r="AY100" s="172"/>
      <c r="AZ100" s="172"/>
      <c r="BA100" s="172"/>
      <c r="BB100" s="172"/>
      <c r="BC100" s="172"/>
      <c r="BD100" s="172"/>
      <c r="BE100" s="172"/>
      <c r="BF100" s="555"/>
      <c r="BH100" s="104"/>
      <c r="BI100" s="32"/>
      <c r="BJ100" s="33"/>
      <c r="BK100" s="32"/>
      <c r="BL100" s="34"/>
      <c r="BM100" s="92"/>
      <c r="BN100" s="108"/>
      <c r="BO100" s="94"/>
      <c r="BP100" s="95"/>
      <c r="BQ100" s="105"/>
      <c r="BR100" s="5101"/>
      <c r="BS100" s="920"/>
      <c r="BT100" s="1495"/>
      <c r="BU100" s="101"/>
      <c r="BV100" s="1475"/>
      <c r="BX100" s="104"/>
      <c r="BY100" s="32"/>
      <c r="BZ100" s="33"/>
      <c r="CA100" s="32"/>
      <c r="CB100" s="34"/>
      <c r="CC100" s="92"/>
      <c r="CD100" s="108"/>
      <c r="CE100" s="94"/>
      <c r="CF100" s="95"/>
      <c r="CG100" s="105"/>
      <c r="CH100" s="5101"/>
      <c r="CI100" s="920"/>
      <c r="CJ100" s="1495"/>
      <c r="CK100" s="101"/>
      <c r="CL100" s="1475"/>
      <c r="CN100" s="104"/>
      <c r="CO100" s="32"/>
      <c r="CP100" s="33"/>
      <c r="CQ100" s="32"/>
      <c r="CR100" s="34"/>
      <c r="CS100" s="92"/>
      <c r="CT100" s="108"/>
      <c r="CU100" s="94"/>
      <c r="CV100" s="95"/>
      <c r="CW100" s="105"/>
      <c r="CX100" s="5101"/>
      <c r="CY100" s="920"/>
      <c r="CZ100" s="1495"/>
      <c r="DA100" s="101"/>
      <c r="DB100" s="1475"/>
      <c r="DC100" s="5109"/>
      <c r="DD100" s="5086"/>
      <c r="DF100" s="3">
        <v>1</v>
      </c>
      <c r="EY100" s="9"/>
      <c r="EZ100" s="39"/>
      <c r="FA100" s="39"/>
      <c r="FB100" s="40"/>
      <c r="FC100" s="41"/>
    </row>
    <row r="101" spans="2:159" ht="21" customHeight="1">
      <c r="B101" s="952" t="str">
        <f t="shared" si="28"/>
        <v>►</v>
      </c>
      <c r="C101" s="993" cm="1">
        <f t="array" ref="C101">SUMPRODUCT(LEN(D101:J101))</f>
        <v>0</v>
      </c>
      <c r="D101" s="167"/>
      <c r="E101" s="172"/>
      <c r="F101" s="172"/>
      <c r="G101" s="172"/>
      <c r="H101" s="172"/>
      <c r="I101" s="172"/>
      <c r="J101" s="173"/>
      <c r="K101" s="442"/>
      <c r="L101" s="196" t="s">
        <v>16</v>
      </c>
      <c r="M101" s="157" t="str">
        <f>M64</f>
        <v>T TERRINE DE PIEDS DE PORC pour tranches | | Auteur &gt; Guy KRENZE - Eric GODDYN - Arnaud NICOLAS - CEPROC 2002</v>
      </c>
      <c r="N101" s="157">
        <f>N64</f>
        <v>1</v>
      </c>
      <c r="O101" s="158" t="str">
        <f>O64</f>
        <v xml:space="preserve">moule L 30 cm X l 9 cm X H 6 cm </v>
      </c>
      <c r="P101" s="159" t="str">
        <f>P64</f>
        <v>Recette mère ► le Boudin en 4 déclinaisons</v>
      </c>
      <c r="Q101" s="172"/>
      <c r="R101" s="172"/>
      <c r="S101" s="172"/>
      <c r="T101" s="172"/>
      <c r="U101" s="172"/>
      <c r="V101" s="172"/>
      <c r="W101" s="172"/>
      <c r="X101" s="172"/>
      <c r="Y101" s="172"/>
      <c r="Z101" s="555"/>
      <c r="AA101" s="555"/>
      <c r="AB101" s="196" t="s">
        <v>16</v>
      </c>
      <c r="AC101" s="157" t="str">
        <f>AC64</f>
        <v>T TERRINE OF PIG’S TROTTERS  for slices | |  Author &gt; Guy KRENZE - Eric GODDYN - Arnaud NICOLAS - CEPROC 2002</v>
      </c>
      <c r="AD101" s="157">
        <f>AD64</f>
        <v>1</v>
      </c>
      <c r="AE101" s="158" t="str">
        <f>AE64</f>
        <v>mold L 30 cm × W 9 cm × H 6 cm</v>
      </c>
      <c r="AF101" s="159" t="str">
        <f>AF64</f>
        <v>Master recipe ► Black pudding in 4 variations</v>
      </c>
      <c r="AG101" s="172"/>
      <c r="AH101" s="172"/>
      <c r="AI101" s="172"/>
      <c r="AJ101" s="172"/>
      <c r="AK101" s="172"/>
      <c r="AL101" s="172"/>
      <c r="AM101" s="172"/>
      <c r="AN101" s="172"/>
      <c r="AO101" s="172"/>
      <c r="AP101" s="555"/>
      <c r="AR101" s="196" t="s">
        <v>16</v>
      </c>
      <c r="AS101" s="157" t="str">
        <f>AS64</f>
        <v>T TERRINAS DE MANITAS DE CERDO para rodaja  | | Autor &gt; Guy KRENZE - Eric GODDYN - Arnaud NICOLAS - CEPROC 2002</v>
      </c>
      <c r="AT101" s="157">
        <f>AT64</f>
        <v>1</v>
      </c>
      <c r="AU101" s="158" t="str">
        <f>AU64</f>
        <v>molde L 30 cm × A 9 cm × H 6 cm</v>
      </c>
      <c r="AV101" s="159" t="str">
        <f>AV64</f>
        <v>Receta madre ► Morcilla en 4 versiones</v>
      </c>
      <c r="AW101" s="172"/>
      <c r="AX101" s="172"/>
      <c r="AY101" s="172"/>
      <c r="AZ101" s="172"/>
      <c r="BA101" s="172"/>
      <c r="BB101" s="172"/>
      <c r="BC101" s="172"/>
      <c r="BD101" s="172"/>
      <c r="BE101" s="172"/>
      <c r="BF101" s="555"/>
      <c r="BH101" s="104"/>
      <c r="BI101" s="32"/>
      <c r="BJ101" s="33"/>
      <c r="BK101" s="32"/>
      <c r="BL101" s="34"/>
      <c r="BM101" s="92"/>
      <c r="BN101" s="108"/>
      <c r="BO101" s="94"/>
      <c r="BP101" s="95"/>
      <c r="BQ101" s="105"/>
      <c r="BR101" s="5101"/>
      <c r="BS101" s="920"/>
      <c r="BT101" s="1495"/>
      <c r="BU101" s="101"/>
      <c r="BV101" s="1475"/>
      <c r="BX101" s="104"/>
      <c r="BY101" s="32"/>
      <c r="BZ101" s="33"/>
      <c r="CA101" s="32"/>
      <c r="CB101" s="34"/>
      <c r="CC101" s="92"/>
      <c r="CD101" s="108"/>
      <c r="CE101" s="94"/>
      <c r="CF101" s="95"/>
      <c r="CG101" s="105"/>
      <c r="CH101" s="5101"/>
      <c r="CI101" s="920"/>
      <c r="CJ101" s="1495"/>
      <c r="CK101" s="101"/>
      <c r="CL101" s="1475"/>
      <c r="CN101" s="104"/>
      <c r="CO101" s="32"/>
      <c r="CP101" s="33"/>
      <c r="CQ101" s="32"/>
      <c r="CR101" s="34"/>
      <c r="CS101" s="92"/>
      <c r="CT101" s="108"/>
      <c r="CU101" s="94"/>
      <c r="CV101" s="95"/>
      <c r="CW101" s="105"/>
      <c r="CX101" s="5101"/>
      <c r="CY101" s="920"/>
      <c r="CZ101" s="1495"/>
      <c r="DA101" s="101"/>
      <c r="DB101" s="1475"/>
      <c r="DC101" s="5109"/>
      <c r="DD101" s="5086"/>
      <c r="DF101" s="3">
        <v>1</v>
      </c>
      <c r="EX101" s="5477" t="str">
        <f>EY104&amp;" "&amp;EZ104&amp;" ► Famille = "&amp;FA98&amp;" ► "&amp;EU98&amp;" "&amp; "pour "&amp;FA102&amp;" "&amp;FB102</f>
        <v>Receta madre ► Introduzca el nombre de la receta principal ► Famille =  charcuterie-BOUDIN-NOIR ► Hueveras “Antoine” — servido en porciones tipo pastel pour 36 0</v>
      </c>
      <c r="EY101" s="5477"/>
      <c r="EZ101" s="5477"/>
      <c r="FA101" s="5039" t="s">
        <v>3326</v>
      </c>
      <c r="FB101" s="40"/>
      <c r="FC101" s="1472"/>
    </row>
    <row r="102" spans="2:159" ht="21" customHeight="1">
      <c r="B102" s="952" t="str">
        <f t="shared" si="28"/>
        <v>A</v>
      </c>
      <c r="C102" s="993" cm="1">
        <f t="array" ref="C102">SUMPRODUCT(LEN(D102:J102))</f>
        <v>0</v>
      </c>
      <c r="D102" s="167"/>
      <c r="E102" s="172"/>
      <c r="F102" s="172"/>
      <c r="G102" s="172"/>
      <c r="H102" s="172"/>
      <c r="I102" s="172"/>
      <c r="J102" s="173"/>
      <c r="K102" s="442"/>
      <c r="L102" s="196" t="s">
        <v>11</v>
      </c>
      <c r="M102" s="157" t="str">
        <f>M64</f>
        <v>T TERRINE DE PIEDS DE PORC pour tranches | | Auteur &gt; Guy KRENZE - Eric GODDYN - Arnaud NICOLAS - CEPROC 2002</v>
      </c>
      <c r="N102" s="157">
        <f>N64</f>
        <v>1</v>
      </c>
      <c r="O102" s="158" t="str">
        <f>O64</f>
        <v xml:space="preserve">moule L 30 cm X l 9 cm X H 6 cm </v>
      </c>
      <c r="P102" s="159" t="str">
        <f>P64</f>
        <v>Recette mère ► le Boudin en 4 déclinaisons</v>
      </c>
      <c r="Q102" s="172"/>
      <c r="R102" s="172"/>
      <c r="S102" s="172"/>
      <c r="T102" s="172"/>
      <c r="U102" s="172"/>
      <c r="V102" s="172"/>
      <c r="W102" s="172"/>
      <c r="X102" s="172"/>
      <c r="Y102" s="172"/>
      <c r="Z102" s="555"/>
      <c r="AA102" s="555"/>
      <c r="AB102" s="196" t="s">
        <v>11</v>
      </c>
      <c r="AC102" s="157" t="str">
        <f>AC64</f>
        <v>T TERRINE OF PIG’S TROTTERS  for slices | |  Author &gt; Guy KRENZE - Eric GODDYN - Arnaud NICOLAS - CEPROC 2002</v>
      </c>
      <c r="AD102" s="157">
        <f>AD64</f>
        <v>1</v>
      </c>
      <c r="AE102" s="158" t="str">
        <f>AE64</f>
        <v>mold L 30 cm × W 9 cm × H 6 cm</v>
      </c>
      <c r="AF102" s="159" t="str">
        <f>AF64</f>
        <v>Master recipe ► Black pudding in 4 variations</v>
      </c>
      <c r="AG102" s="172"/>
      <c r="AH102" s="172"/>
      <c r="AI102" s="172"/>
      <c r="AJ102" s="172"/>
      <c r="AK102" s="172"/>
      <c r="AL102" s="172"/>
      <c r="AM102" s="172"/>
      <c r="AN102" s="172"/>
      <c r="AO102" s="172"/>
      <c r="AP102" s="555"/>
      <c r="AR102" s="196" t="s">
        <v>11</v>
      </c>
      <c r="AS102" s="157" t="str">
        <f>AS64</f>
        <v>T TERRINAS DE MANITAS DE CERDO para rodaja  | | Autor &gt; Guy KRENZE - Eric GODDYN - Arnaud NICOLAS - CEPROC 2002</v>
      </c>
      <c r="AT102" s="157">
        <f>AT64</f>
        <v>1</v>
      </c>
      <c r="AU102" s="158" t="str">
        <f>AU64</f>
        <v>molde L 30 cm × A 9 cm × H 6 cm</v>
      </c>
      <c r="AV102" s="159" t="str">
        <f>AV64</f>
        <v>Receta madre ► Morcilla en 4 versiones</v>
      </c>
      <c r="AW102" s="172"/>
      <c r="AX102" s="172"/>
      <c r="AY102" s="172"/>
      <c r="AZ102" s="172"/>
      <c r="BA102" s="172"/>
      <c r="BB102" s="172"/>
      <c r="BC102" s="172"/>
      <c r="BD102" s="172"/>
      <c r="BE102" s="172"/>
      <c r="BF102" s="555"/>
      <c r="BH102" s="104"/>
      <c r="BI102" s="32"/>
      <c r="BJ102" s="33"/>
      <c r="BK102" s="32"/>
      <c r="BL102" s="34"/>
      <c r="BM102" s="92"/>
      <c r="BN102" s="108"/>
      <c r="BO102" s="94"/>
      <c r="BP102" s="95"/>
      <c r="BQ102" s="105"/>
      <c r="BR102" s="5101"/>
      <c r="BS102" s="920"/>
      <c r="BT102" s="1495"/>
      <c r="BU102" s="101"/>
      <c r="BV102" s="1475"/>
      <c r="BX102" s="104"/>
      <c r="BY102" s="32"/>
      <c r="BZ102" s="33"/>
      <c r="CA102" s="32"/>
      <c r="CB102" s="34"/>
      <c r="CC102" s="92"/>
      <c r="CD102" s="108"/>
      <c r="CE102" s="94"/>
      <c r="CF102" s="95"/>
      <c r="CG102" s="105"/>
      <c r="CH102" s="5101"/>
      <c r="CI102" s="920"/>
      <c r="CJ102" s="1495"/>
      <c r="CK102" s="101"/>
      <c r="CL102" s="1475"/>
      <c r="CN102" s="104"/>
      <c r="CO102" s="32"/>
      <c r="CP102" s="33"/>
      <c r="CQ102" s="32"/>
      <c r="CR102" s="34"/>
      <c r="CS102" s="92"/>
      <c r="CT102" s="108"/>
      <c r="CU102" s="94"/>
      <c r="CV102" s="95"/>
      <c r="CW102" s="105"/>
      <c r="CX102" s="5101"/>
      <c r="CY102" s="920"/>
      <c r="CZ102" s="1495"/>
      <c r="DA102" s="101"/>
      <c r="DB102" s="1475"/>
      <c r="DC102" s="5109"/>
      <c r="DD102" s="5086"/>
      <c r="DF102" s="3">
        <v>1</v>
      </c>
      <c r="EX102" s="5477"/>
      <c r="EY102" s="5477"/>
      <c r="EZ102" s="5477"/>
      <c r="FA102" s="46">
        <v>36</v>
      </c>
      <c r="FB102" s="5478">
        <f>EU102</f>
        <v>0</v>
      </c>
      <c r="FC102" s="5479"/>
    </row>
    <row r="103" spans="2:159" ht="21" customHeight="1">
      <c r="B103" s="952" t="str">
        <f t="shared" si="28"/>
        <v>A</v>
      </c>
      <c r="C103" s="993" cm="1">
        <f t="array" ref="C103">SUMPRODUCT(LEN(D103:J103))</f>
        <v>0</v>
      </c>
      <c r="D103" s="167"/>
      <c r="E103" s="172"/>
      <c r="F103" s="172"/>
      <c r="G103" s="172"/>
      <c r="H103" s="172"/>
      <c r="I103" s="172"/>
      <c r="J103" s="173"/>
      <c r="K103" s="442"/>
      <c r="L103" s="196" t="s">
        <v>11</v>
      </c>
      <c r="M103" s="157" t="str">
        <f>M64</f>
        <v>T TERRINE DE PIEDS DE PORC pour tranches | | Auteur &gt; Guy KRENZE - Eric GODDYN - Arnaud NICOLAS - CEPROC 2002</v>
      </c>
      <c r="N103" s="157">
        <f>N64</f>
        <v>1</v>
      </c>
      <c r="O103" s="158" t="str">
        <f>O64</f>
        <v xml:space="preserve">moule L 30 cm X l 9 cm X H 6 cm </v>
      </c>
      <c r="P103" s="159" t="str">
        <f>P64</f>
        <v>Recette mère ► le Boudin en 4 déclinaisons</v>
      </c>
      <c r="Q103" s="172"/>
      <c r="R103" s="172"/>
      <c r="S103" s="172"/>
      <c r="T103" s="172"/>
      <c r="U103" s="172"/>
      <c r="V103" s="172"/>
      <c r="W103" s="172"/>
      <c r="X103" s="172"/>
      <c r="Y103" s="172"/>
      <c r="Z103" s="1486" t="s">
        <v>197</v>
      </c>
      <c r="AA103" s="555"/>
      <c r="AB103" s="196" t="s">
        <v>11</v>
      </c>
      <c r="AC103" s="157" t="str">
        <f>AC64</f>
        <v>T TERRINE OF PIG’S TROTTERS  for slices | |  Author &gt; Guy KRENZE - Eric GODDYN - Arnaud NICOLAS - CEPROC 2002</v>
      </c>
      <c r="AD103" s="157">
        <f>AD64</f>
        <v>1</v>
      </c>
      <c r="AE103" s="158" t="str">
        <f>AE64</f>
        <v>mold L 30 cm × W 9 cm × H 6 cm</v>
      </c>
      <c r="AF103" s="159" t="str">
        <f>AF64</f>
        <v>Master recipe ► Black pudding in 4 variations</v>
      </c>
      <c r="AG103" s="172"/>
      <c r="AH103" s="172"/>
      <c r="AI103" s="172"/>
      <c r="AJ103" s="172"/>
      <c r="AK103" s="172"/>
      <c r="AL103" s="172"/>
      <c r="AM103" s="172"/>
      <c r="AN103" s="172"/>
      <c r="AO103" s="172"/>
      <c r="AP103" s="1486" t="s">
        <v>899</v>
      </c>
      <c r="AR103" s="196" t="s">
        <v>11</v>
      </c>
      <c r="AS103" s="157" t="str">
        <f>AS64</f>
        <v>T TERRINAS DE MANITAS DE CERDO para rodaja  | | Autor &gt; Guy KRENZE - Eric GODDYN - Arnaud NICOLAS - CEPROC 2002</v>
      </c>
      <c r="AT103" s="157">
        <f>AT64</f>
        <v>1</v>
      </c>
      <c r="AU103" s="158" t="str">
        <f>AU64</f>
        <v>molde L 30 cm × A 9 cm × H 6 cm</v>
      </c>
      <c r="AV103" s="159" t="str">
        <f>AV64</f>
        <v>Receta madre ► Morcilla en 4 versiones</v>
      </c>
      <c r="AW103" s="172"/>
      <c r="AX103" s="172"/>
      <c r="AY103" s="172"/>
      <c r="AZ103" s="172"/>
      <c r="BA103" s="172"/>
      <c r="BB103" s="172"/>
      <c r="BC103" s="172"/>
      <c r="BD103" s="172"/>
      <c r="BE103" s="172"/>
      <c r="BF103" s="1486" t="s">
        <v>913</v>
      </c>
      <c r="BH103" s="104"/>
      <c r="BI103" s="32"/>
      <c r="BJ103" s="33"/>
      <c r="BK103" s="32"/>
      <c r="BL103" s="34"/>
      <c r="BM103" s="92"/>
      <c r="BN103" s="108"/>
      <c r="BO103" s="94"/>
      <c r="BP103" s="95"/>
      <c r="BQ103" s="105"/>
      <c r="BR103" s="5101"/>
      <c r="BS103" s="920"/>
      <c r="BT103" s="1495"/>
      <c r="BU103" s="101"/>
      <c r="BV103" s="1475"/>
      <c r="BX103" s="104"/>
      <c r="BY103" s="32"/>
      <c r="BZ103" s="33"/>
      <c r="CA103" s="32"/>
      <c r="CB103" s="34"/>
      <c r="CC103" s="92"/>
      <c r="CD103" s="108"/>
      <c r="CE103" s="94"/>
      <c r="CF103" s="95"/>
      <c r="CG103" s="105"/>
      <c r="CH103" s="5101"/>
      <c r="CI103" s="920"/>
      <c r="CJ103" s="1495"/>
      <c r="CK103" s="101"/>
      <c r="CL103" s="1475"/>
      <c r="CN103" s="104"/>
      <c r="CO103" s="32"/>
      <c r="CP103" s="33"/>
      <c r="CQ103" s="32"/>
      <c r="CR103" s="34"/>
      <c r="CS103" s="92"/>
      <c r="CT103" s="108"/>
      <c r="CU103" s="94"/>
      <c r="CV103" s="95"/>
      <c r="CW103" s="105"/>
      <c r="CX103" s="5101"/>
      <c r="CY103" s="920"/>
      <c r="CZ103" s="1495"/>
      <c r="DA103" s="101"/>
      <c r="DB103" s="1475"/>
      <c r="DC103" s="5109"/>
      <c r="DD103" s="5086"/>
      <c r="DF103" s="3">
        <v>1</v>
      </c>
      <c r="EY103" s="1490">
        <f>IFERROR(FA102/ET102,0)</f>
        <v>0</v>
      </c>
      <c r="EZ103" s="45"/>
      <c r="FA103" s="5041" t="s">
        <v>248</v>
      </c>
      <c r="FB103" s="5042">
        <f>FB138</f>
        <v>0</v>
      </c>
      <c r="FC103" s="5045"/>
    </row>
    <row r="104" spans="2:159" ht="21" customHeight="1">
      <c r="B104" s="952" t="str">
        <f t="shared" si="28"/>
        <v>A</v>
      </c>
      <c r="C104" s="993" cm="1">
        <f t="array" ref="C104">SUMPRODUCT(LEN(D104:J104))</f>
        <v>0</v>
      </c>
      <c r="D104" s="167"/>
      <c r="E104" s="172"/>
      <c r="F104" s="172"/>
      <c r="G104" s="172"/>
      <c r="H104" s="172"/>
      <c r="I104" s="172"/>
      <c r="J104" s="173"/>
      <c r="K104" s="442"/>
      <c r="L104" s="196" t="s">
        <v>11</v>
      </c>
      <c r="M104" s="157" t="str">
        <f>M64</f>
        <v>T TERRINE DE PIEDS DE PORC pour tranches | | Auteur &gt; Guy KRENZE - Eric GODDYN - Arnaud NICOLAS - CEPROC 2002</v>
      </c>
      <c r="N104" s="157">
        <f>N64</f>
        <v>1</v>
      </c>
      <c r="O104" s="158" t="str">
        <f>O64</f>
        <v xml:space="preserve">moule L 30 cm X l 9 cm X H 6 cm </v>
      </c>
      <c r="P104" s="159" t="str">
        <f>P64</f>
        <v>Recette mère ► le Boudin en 4 déclinaisons</v>
      </c>
      <c r="Q104" s="204"/>
      <c r="R104" s="204"/>
      <c r="S104" s="204" t="s">
        <v>201</v>
      </c>
      <c r="T104" s="205"/>
      <c r="U104" s="206"/>
      <c r="V104" s="206"/>
      <c r="W104" s="206"/>
      <c r="X104" s="206"/>
      <c r="Y104" s="206"/>
      <c r="Z104" s="567"/>
      <c r="AA104" s="555"/>
      <c r="AB104" s="196" t="s">
        <v>11</v>
      </c>
      <c r="AC104" s="157" t="str">
        <f>AC64</f>
        <v>T TERRINE OF PIG’S TROTTERS  for slices | |  Author &gt; Guy KRENZE - Eric GODDYN - Arnaud NICOLAS - CEPROC 2002</v>
      </c>
      <c r="AD104" s="157">
        <f>AD64</f>
        <v>1</v>
      </c>
      <c r="AE104" s="158" t="str">
        <f>AE64</f>
        <v>mold L 30 cm × W 9 cm × H 6 cm</v>
      </c>
      <c r="AF104" s="159" t="str">
        <f>AF64</f>
        <v>Master recipe ► Black pudding in 4 variations</v>
      </c>
      <c r="AG104" s="204"/>
      <c r="AH104" s="204"/>
      <c r="AI104" s="204" t="s">
        <v>661</v>
      </c>
      <c r="AJ104" s="205"/>
      <c r="AK104" s="206"/>
      <c r="AL104" s="206"/>
      <c r="AM104" s="206"/>
      <c r="AN104" s="206"/>
      <c r="AO104" s="206"/>
      <c r="AP104" s="567"/>
      <c r="AR104" s="196" t="s">
        <v>11</v>
      </c>
      <c r="AS104" s="157" t="str">
        <f>AS64</f>
        <v>T TERRINAS DE MANITAS DE CERDO para rodaja  | | Autor &gt; Guy KRENZE - Eric GODDYN - Arnaud NICOLAS - CEPROC 2002</v>
      </c>
      <c r="AT104" s="157">
        <f>AT64</f>
        <v>1</v>
      </c>
      <c r="AU104" s="158" t="str">
        <f>AU64</f>
        <v>molde L 30 cm × A 9 cm × H 6 cm</v>
      </c>
      <c r="AV104" s="159" t="str">
        <f>AV64</f>
        <v>Receta madre ► Morcilla en 4 versiones</v>
      </c>
      <c r="AW104" s="204"/>
      <c r="AX104" s="204"/>
      <c r="AY104" s="204" t="s">
        <v>915</v>
      </c>
      <c r="AZ104" s="205"/>
      <c r="BA104" s="206"/>
      <c r="BB104" s="206"/>
      <c r="BC104" s="206"/>
      <c r="BD104" s="206"/>
      <c r="BE104" s="206"/>
      <c r="BF104" s="567"/>
      <c r="BH104" s="104"/>
      <c r="BI104" s="32"/>
      <c r="BJ104" s="33"/>
      <c r="BK104" s="32"/>
      <c r="BL104" s="34"/>
      <c r="BM104" s="92"/>
      <c r="BN104" s="108"/>
      <c r="BO104" s="94"/>
      <c r="BP104" s="95"/>
      <c r="BQ104" s="105"/>
      <c r="BR104" s="5101"/>
      <c r="BS104" s="920"/>
      <c r="BT104" s="1495"/>
      <c r="BU104" s="101"/>
      <c r="BV104" s="1475"/>
      <c r="BX104" s="104"/>
      <c r="BY104" s="32"/>
      <c r="BZ104" s="33"/>
      <c r="CA104" s="32"/>
      <c r="CB104" s="34"/>
      <c r="CC104" s="92"/>
      <c r="CD104" s="108"/>
      <c r="CE104" s="94"/>
      <c r="CF104" s="95"/>
      <c r="CG104" s="105"/>
      <c r="CH104" s="5101"/>
      <c r="CI104" s="920"/>
      <c r="CJ104" s="1495"/>
      <c r="CK104" s="101"/>
      <c r="CL104" s="1475"/>
      <c r="CN104" s="104"/>
      <c r="CO104" s="32"/>
      <c r="CP104" s="33"/>
      <c r="CQ104" s="32"/>
      <c r="CR104" s="34"/>
      <c r="CS104" s="92"/>
      <c r="CT104" s="108"/>
      <c r="CU104" s="94"/>
      <c r="CV104" s="95"/>
      <c r="CW104" s="105"/>
      <c r="CX104" s="5101"/>
      <c r="CY104" s="920"/>
      <c r="CZ104" s="1495"/>
      <c r="DA104" s="101"/>
      <c r="DB104" s="1475"/>
      <c r="DC104" s="5109"/>
      <c r="DD104" s="5086"/>
      <c r="DF104" s="3">
        <v>1</v>
      </c>
      <c r="EY104" s="70" t="str">
        <f>IF(ISTEXT(EZ104),"Receta madre ►",EU104)</f>
        <v>Receta madre ►</v>
      </c>
      <c r="EZ104" s="71" t="s">
        <v>3318</v>
      </c>
      <c r="FA104" s="71"/>
      <c r="FB104" s="72"/>
      <c r="FC104" s="1473"/>
    </row>
    <row r="105" spans="2:159" ht="21" customHeight="1">
      <c r="B105" s="952" t="str">
        <f t="shared" si="28"/>
        <v>A</v>
      </c>
      <c r="C105" s="993" cm="1">
        <f t="array" ref="C105">SUMPRODUCT(LEN(D105:J105))</f>
        <v>0</v>
      </c>
      <c r="D105" s="167"/>
      <c r="E105" s="172"/>
      <c r="F105" s="172"/>
      <c r="G105" s="172"/>
      <c r="H105" s="172"/>
      <c r="I105" s="172"/>
      <c r="J105" s="173"/>
      <c r="K105" s="442"/>
      <c r="L105" s="196" t="s">
        <v>11</v>
      </c>
      <c r="M105" s="209" t="str">
        <f>M64</f>
        <v>T TERRINE DE PIEDS DE PORC pour tranches | | Auteur &gt; Guy KRENZE - Eric GODDYN - Arnaud NICOLAS - CEPROC 2002</v>
      </c>
      <c r="N105" s="209">
        <f>N64</f>
        <v>1</v>
      </c>
      <c r="O105" s="210" t="str">
        <f>O64</f>
        <v xml:space="preserve">moule L 30 cm X l 9 cm X H 6 cm </v>
      </c>
      <c r="P105" s="211" t="str">
        <f>P64</f>
        <v>Recette mère ► le Boudin en 4 déclinaisons</v>
      </c>
      <c r="Q105" s="212"/>
      <c r="R105" s="213"/>
      <c r="S105" s="214"/>
      <c r="T105" s="215"/>
      <c r="U105" s="214"/>
      <c r="V105" s="214"/>
      <c r="W105" s="214"/>
      <c r="X105" s="214"/>
      <c r="Y105" s="214"/>
      <c r="Z105" s="582"/>
      <c r="AB105" s="196" t="s">
        <v>11</v>
      </c>
      <c r="AC105" s="209" t="str">
        <f>AC64</f>
        <v>T TERRINE OF PIG’S TROTTERS  for slices | |  Author &gt; Guy KRENZE - Eric GODDYN - Arnaud NICOLAS - CEPROC 2002</v>
      </c>
      <c r="AD105" s="209">
        <f>AD64</f>
        <v>1</v>
      </c>
      <c r="AE105" s="210" t="str">
        <f>AE64</f>
        <v>mold L 30 cm × W 9 cm × H 6 cm</v>
      </c>
      <c r="AF105" s="211" t="str">
        <f>AF64</f>
        <v>Master recipe ► Black pudding in 4 variations</v>
      </c>
      <c r="AG105" s="212"/>
      <c r="AH105" s="213"/>
      <c r="AI105" s="214"/>
      <c r="AJ105" s="215"/>
      <c r="AK105" s="214"/>
      <c r="AL105" s="214"/>
      <c r="AM105" s="214"/>
      <c r="AN105" s="214"/>
      <c r="AO105" s="214"/>
      <c r="AP105" s="582"/>
      <c r="AR105" s="196" t="s">
        <v>11</v>
      </c>
      <c r="AS105" s="209" t="str">
        <f>AS64</f>
        <v>T TERRINAS DE MANITAS DE CERDO para rodaja  | | Autor &gt; Guy KRENZE - Eric GODDYN - Arnaud NICOLAS - CEPROC 2002</v>
      </c>
      <c r="AT105" s="209">
        <f>AT64</f>
        <v>1</v>
      </c>
      <c r="AU105" s="210" t="str">
        <f>AU64</f>
        <v>molde L 30 cm × A 9 cm × H 6 cm</v>
      </c>
      <c r="AV105" s="211" t="str">
        <f>AV64</f>
        <v>Receta madre ► Morcilla en 4 versiones</v>
      </c>
      <c r="AW105" s="212"/>
      <c r="AX105" s="213"/>
      <c r="AY105" s="214"/>
      <c r="AZ105" s="215"/>
      <c r="BA105" s="214"/>
      <c r="BB105" s="214"/>
      <c r="BC105" s="214"/>
      <c r="BD105" s="214"/>
      <c r="BE105" s="214"/>
      <c r="BF105" s="582"/>
      <c r="BH105" s="104"/>
      <c r="BI105" s="32"/>
      <c r="BJ105" s="33"/>
      <c r="BK105" s="32"/>
      <c r="BL105" s="34"/>
      <c r="BM105" s="92"/>
      <c r="BN105" s="108"/>
      <c r="BO105" s="94"/>
      <c r="BP105" s="95"/>
      <c r="BQ105" s="105"/>
      <c r="BR105" s="5101"/>
      <c r="BS105" s="920"/>
      <c r="BT105" s="1495"/>
      <c r="BU105" s="101"/>
      <c r="BV105" s="1475"/>
      <c r="BX105" s="104"/>
      <c r="BY105" s="32"/>
      <c r="BZ105" s="33"/>
      <c r="CA105" s="32"/>
      <c r="CB105" s="34"/>
      <c r="CC105" s="92"/>
      <c r="CD105" s="108"/>
      <c r="CE105" s="94"/>
      <c r="CF105" s="95"/>
      <c r="CG105" s="105"/>
      <c r="CH105" s="5101"/>
      <c r="CI105" s="920"/>
      <c r="CJ105" s="1495"/>
      <c r="CK105" s="101"/>
      <c r="CL105" s="1475"/>
      <c r="CN105" s="104"/>
      <c r="CO105" s="32"/>
      <c r="CP105" s="33"/>
      <c r="CQ105" s="32"/>
      <c r="CR105" s="34"/>
      <c r="CS105" s="92"/>
      <c r="CT105" s="108"/>
      <c r="CU105" s="94"/>
      <c r="CV105" s="95"/>
      <c r="CW105" s="105"/>
      <c r="CX105" s="5101"/>
      <c r="CY105" s="920"/>
      <c r="CZ105" s="1495"/>
      <c r="DA105" s="101"/>
      <c r="DB105" s="1475"/>
      <c r="DC105" s="5109"/>
      <c r="DD105" s="5086"/>
      <c r="DF105" s="3">
        <v>1</v>
      </c>
      <c r="EY105" s="78" t="s">
        <v>71</v>
      </c>
      <c r="EZ105" s="79" t="s">
        <v>72</v>
      </c>
      <c r="FA105" s="1496" t="s">
        <v>73</v>
      </c>
      <c r="FB105" s="13" t="s">
        <v>74</v>
      </c>
      <c r="FC105" s="518" t="s">
        <v>75</v>
      </c>
    </row>
    <row r="106" spans="2:159" ht="21" customHeight="1" thickBot="1">
      <c r="B106" s="952" t="str">
        <f t="shared" si="28"/>
        <v>A</v>
      </c>
      <c r="C106" s="993" cm="1">
        <f t="array" ref="C106">SUMPRODUCT(LEN(D106:J106))</f>
        <v>0</v>
      </c>
      <c r="D106" s="167"/>
      <c r="E106" s="172"/>
      <c r="F106" s="172"/>
      <c r="G106" s="172"/>
      <c r="H106" s="172"/>
      <c r="I106" s="172"/>
      <c r="J106" s="173"/>
      <c r="K106" s="442"/>
      <c r="L106" s="216" t="s">
        <v>11</v>
      </c>
      <c r="M106" s="217"/>
      <c r="N106" s="217"/>
      <c r="O106" s="217"/>
      <c r="P106" s="218"/>
      <c r="Q106" s="219" t="s">
        <v>208</v>
      </c>
      <c r="R106" s="1481" t="str">
        <f ca="1">CELL("nomfichier")</f>
        <v>D:\Données\1.UPRT\0-UPRT.fait\1-UPRT.FR-SITE-WEB\ff-fiches-fabrications\ff.fiches.fabrication.2023\ffr.restaurant.2023\[ff.FICHE.TRILINGUE.15.COLONNES.29.11.2025.xlsx]Notice.utilisateur</v>
      </c>
      <c r="S106" s="220"/>
      <c r="T106" s="220"/>
      <c r="U106" s="220"/>
      <c r="V106" s="220"/>
      <c r="W106" s="220"/>
      <c r="X106" s="220"/>
      <c r="Y106" s="220"/>
      <c r="Z106" s="221"/>
      <c r="AB106" s="216" t="s">
        <v>11</v>
      </c>
      <c r="AC106" s="217"/>
      <c r="AD106" s="217"/>
      <c r="AE106" s="217"/>
      <c r="AF106" s="218"/>
      <c r="AG106" s="219" t="s">
        <v>208</v>
      </c>
      <c r="AH106" s="1481" t="str">
        <f ca="1">CELL("nomfichier")</f>
        <v>D:\Données\1.UPRT\0-UPRT.fait\1-UPRT.FR-SITE-WEB\ff-fiches-fabrications\ff.fiches.fabrication.2023\ffr.restaurant.2023\[ff.FICHE.TRILINGUE.15.COLONNES.29.11.2025.xlsx]Notice.utilisateur</v>
      </c>
      <c r="AI106" s="220"/>
      <c r="AJ106" s="220"/>
      <c r="AK106" s="220"/>
      <c r="AL106" s="220"/>
      <c r="AM106" s="220"/>
      <c r="AN106" s="220"/>
      <c r="AO106" s="220"/>
      <c r="AP106" s="221"/>
      <c r="AR106" s="216" t="s">
        <v>11</v>
      </c>
      <c r="AS106" s="217"/>
      <c r="AT106" s="217"/>
      <c r="AU106" s="217"/>
      <c r="AV106" s="218"/>
      <c r="AW106" s="219" t="s">
        <v>208</v>
      </c>
      <c r="AX106" s="1481" t="str">
        <f ca="1">CELL("nomfichier")</f>
        <v>D:\Données\1.UPRT\0-UPRT.fait\1-UPRT.FR-SITE-WEB\ff-fiches-fabrications\ff.fiches.fabrication.2023\ffr.restaurant.2023\[ff.FICHE.TRILINGUE.15.COLONNES.29.11.2025.xlsx]Notice.utilisateur</v>
      </c>
      <c r="AY106" s="220"/>
      <c r="AZ106" s="220"/>
      <c r="BA106" s="220"/>
      <c r="BB106" s="220"/>
      <c r="BC106" s="220"/>
      <c r="BD106" s="220"/>
      <c r="BE106" s="220"/>
      <c r="BF106" s="221"/>
      <c r="BH106" s="104"/>
      <c r="BI106" s="32"/>
      <c r="BJ106" s="33"/>
      <c r="BK106" s="32"/>
      <c r="BL106" s="34"/>
      <c r="BM106" s="92"/>
      <c r="BN106" s="108"/>
      <c r="BO106" s="94"/>
      <c r="BP106" s="95"/>
      <c r="BQ106" s="105"/>
      <c r="BR106" s="5101"/>
      <c r="BS106" s="920"/>
      <c r="BT106" s="1495"/>
      <c r="BU106" s="101"/>
      <c r="BV106" s="1475"/>
      <c r="BX106" s="104"/>
      <c r="BY106" s="32"/>
      <c r="BZ106" s="33"/>
      <c r="CA106" s="32"/>
      <c r="CB106" s="34"/>
      <c r="CC106" s="92"/>
      <c r="CD106" s="108"/>
      <c r="CE106" s="94"/>
      <c r="CF106" s="95"/>
      <c r="CG106" s="105"/>
      <c r="CH106" s="5101"/>
      <c r="CI106" s="920"/>
      <c r="CJ106" s="1495"/>
      <c r="CK106" s="101"/>
      <c r="CL106" s="1475"/>
      <c r="CN106" s="104"/>
      <c r="CO106" s="32"/>
      <c r="CP106" s="33"/>
      <c r="CQ106" s="32"/>
      <c r="CR106" s="34"/>
      <c r="CS106" s="92"/>
      <c r="CT106" s="108"/>
      <c r="CU106" s="94"/>
      <c r="CV106" s="95"/>
      <c r="CW106" s="105"/>
      <c r="CX106" s="5101"/>
      <c r="CY106" s="920"/>
      <c r="CZ106" s="1495"/>
      <c r="DA106" s="101"/>
      <c r="DB106" s="1475"/>
      <c r="DC106" s="5109"/>
      <c r="DD106" s="5086"/>
      <c r="DF106" s="3">
        <v>1</v>
      </c>
      <c r="EY106" s="5481" t="s">
        <v>396</v>
      </c>
      <c r="EZ106" s="84" t="s">
        <v>82</v>
      </c>
      <c r="FA106" s="5444" t="s">
        <v>249</v>
      </c>
      <c r="FB106" s="5446" t="s">
        <v>907</v>
      </c>
      <c r="FC106" s="5448" t="s">
        <v>252</v>
      </c>
    </row>
    <row r="107" spans="2:159" ht="21" customHeight="1" thickBot="1">
      <c r="B107" s="952" t="str">
        <f t="shared" si="28"/>
        <v>A</v>
      </c>
      <c r="C107" s="993" cm="1">
        <f t="array" ref="C107">SUMPRODUCT(LEN(D107:J107))</f>
        <v>0</v>
      </c>
      <c r="D107" s="167"/>
      <c r="E107" s="172"/>
      <c r="F107" s="172"/>
      <c r="G107" s="172"/>
      <c r="H107" s="172"/>
      <c r="I107" s="172"/>
      <c r="J107" s="173"/>
      <c r="K107" s="442"/>
      <c r="L107" s="5215" t="s">
        <v>11</v>
      </c>
      <c r="M107" s="5216" t="s">
        <v>11</v>
      </c>
      <c r="N107" s="5216" t="s">
        <v>11</v>
      </c>
      <c r="O107" s="5216" t="s">
        <v>11</v>
      </c>
      <c r="P107" s="5216" t="s">
        <v>11</v>
      </c>
      <c r="Q107" s="5217" t="s">
        <v>2613</v>
      </c>
      <c r="R107" s="5218"/>
      <c r="S107" s="5219"/>
      <c r="T107" s="5220"/>
      <c r="U107" s="5221"/>
      <c r="V107" s="5222"/>
      <c r="W107" s="5220"/>
      <c r="X107" s="5220"/>
      <c r="Y107" s="5220"/>
      <c r="Z107" s="5223" t="s">
        <v>1948</v>
      </c>
      <c r="AB107" s="5215" t="s">
        <v>11</v>
      </c>
      <c r="AC107" s="5216" t="s">
        <v>11</v>
      </c>
      <c r="AD107" s="5216" t="s">
        <v>11</v>
      </c>
      <c r="AE107" s="5216" t="s">
        <v>11</v>
      </c>
      <c r="AF107" s="5216" t="s">
        <v>11</v>
      </c>
      <c r="AG107" s="5217" t="s">
        <v>2613</v>
      </c>
      <c r="AH107" s="5218"/>
      <c r="AI107" s="5219"/>
      <c r="AJ107" s="5220"/>
      <c r="AK107" s="5221"/>
      <c r="AL107" s="5222"/>
      <c r="AM107" s="5220"/>
      <c r="AN107" s="5220"/>
      <c r="AO107" s="5220"/>
      <c r="AP107" s="5223" t="s">
        <v>1948</v>
      </c>
      <c r="AR107" s="5215" t="s">
        <v>11</v>
      </c>
      <c r="AS107" s="5216" t="s">
        <v>11</v>
      </c>
      <c r="AT107" s="5216" t="s">
        <v>11</v>
      </c>
      <c r="AU107" s="5216" t="s">
        <v>11</v>
      </c>
      <c r="AV107" s="5216" t="s">
        <v>11</v>
      </c>
      <c r="AW107" s="5217" t="s">
        <v>2613</v>
      </c>
      <c r="AX107" s="5218"/>
      <c r="AY107" s="5219"/>
      <c r="AZ107" s="5220"/>
      <c r="BA107" s="5221"/>
      <c r="BB107" s="5222"/>
      <c r="BC107" s="5220"/>
      <c r="BD107" s="5220"/>
      <c r="BE107" s="5220"/>
      <c r="BF107" s="5223" t="s">
        <v>1948</v>
      </c>
      <c r="BH107" s="104"/>
      <c r="BI107" s="32"/>
      <c r="BJ107" s="33"/>
      <c r="BK107" s="32"/>
      <c r="BL107" s="34"/>
      <c r="BM107" s="92"/>
      <c r="BN107" s="108"/>
      <c r="BO107" s="94"/>
      <c r="BP107" s="95"/>
      <c r="BQ107" s="105"/>
      <c r="BR107" s="5101"/>
      <c r="BS107" s="920"/>
      <c r="BT107" s="1495"/>
      <c r="BU107" s="101"/>
      <c r="BV107" s="1475"/>
      <c r="BX107" s="104"/>
      <c r="BY107" s="32"/>
      <c r="BZ107" s="33"/>
      <c r="CA107" s="32"/>
      <c r="CB107" s="34"/>
      <c r="CC107" s="92"/>
      <c r="CD107" s="108"/>
      <c r="CE107" s="94"/>
      <c r="CF107" s="95"/>
      <c r="CG107" s="105"/>
      <c r="CH107" s="5101"/>
      <c r="CI107" s="920"/>
      <c r="CJ107" s="1495"/>
      <c r="CK107" s="101"/>
      <c r="CL107" s="1475"/>
      <c r="CN107" s="104"/>
      <c r="CO107" s="32"/>
      <c r="CP107" s="33"/>
      <c r="CQ107" s="32"/>
      <c r="CR107" s="34"/>
      <c r="CS107" s="92"/>
      <c r="CT107" s="108"/>
      <c r="CU107" s="94"/>
      <c r="CV107" s="95"/>
      <c r="CW107" s="105"/>
      <c r="CX107" s="5101"/>
      <c r="CY107" s="920"/>
      <c r="CZ107" s="1495"/>
      <c r="DA107" s="101"/>
      <c r="DB107" s="1475"/>
      <c r="DC107" s="5109"/>
      <c r="DD107" s="5086"/>
      <c r="DF107" s="3">
        <v>1</v>
      </c>
      <c r="EY107" s="5467"/>
      <c r="EZ107" s="90" t="s">
        <v>869</v>
      </c>
      <c r="FA107" s="5445"/>
      <c r="FB107" s="5447"/>
      <c r="FC107" s="5449"/>
    </row>
    <row r="108" spans="2:159" ht="21" customHeight="1">
      <c r="B108" s="952" t="str">
        <f t="shared" si="28"/>
        <v>A</v>
      </c>
      <c r="C108" s="993" cm="1">
        <f t="array" ref="C108">SUMPRODUCT(LEN(D108:J108))</f>
        <v>0</v>
      </c>
      <c r="D108" s="167"/>
      <c r="E108" s="172"/>
      <c r="F108" s="172"/>
      <c r="G108" s="172"/>
      <c r="H108" s="172"/>
      <c r="I108" s="172"/>
      <c r="J108" s="173"/>
      <c r="K108" s="442"/>
      <c r="L108" s="22" t="s">
        <v>11</v>
      </c>
      <c r="M108" s="23" t="str">
        <f>M114</f>
        <v>P PRESSÉ DE BOUDIN NOIR | | Auteur &gt; Guy KRENZE - Eric GODDYN - Arnaud NICOLAS - CEPROC 2002</v>
      </c>
      <c r="N108" s="24">
        <f>N114</f>
        <v>20</v>
      </c>
      <c r="O108" s="24" t="str">
        <f>O114</f>
        <v>pressés de boudin</v>
      </c>
      <c r="P108" s="25" t="str">
        <f>P114</f>
        <v>Recette mère ► le Boudin en 4 déclinaisons</v>
      </c>
      <c r="Q108" s="26" t="s">
        <v>23</v>
      </c>
      <c r="R108" s="5471" t="s">
        <v>13006</v>
      </c>
      <c r="S108" s="5471"/>
      <c r="T108" s="5471"/>
      <c r="U108" s="5471"/>
      <c r="V108" s="5471"/>
      <c r="W108" s="5471"/>
      <c r="X108" s="5473" t="s">
        <v>1031</v>
      </c>
      <c r="Y108" s="5473"/>
      <c r="Z108" s="5475" t="str">
        <f>UPPER(LEFT(R108,1))</f>
        <v>P</v>
      </c>
      <c r="AB108" s="22" t="s">
        <v>11</v>
      </c>
      <c r="AC108" s="23" t="str">
        <f>AC114</f>
        <v>P PRESSED BLACK PUDDING TERRINE | |  Author &gt; Guy KRENZE - Eric GODDYN - Arnaud NICOLAS - CEPROC 2002</v>
      </c>
      <c r="AD108" s="24">
        <f>AD114</f>
        <v>20</v>
      </c>
      <c r="AE108" s="24" t="str">
        <f>AE114</f>
        <v>pressés de boudin</v>
      </c>
      <c r="AF108" s="25" t="str">
        <f>AF114</f>
        <v>Master recipe ► Black pudding in 4 variations</v>
      </c>
      <c r="AG108" s="26" t="s">
        <v>23</v>
      </c>
      <c r="AH108" s="5471" t="s">
        <v>13012</v>
      </c>
      <c r="AI108" s="5471"/>
      <c r="AJ108" s="5471"/>
      <c r="AK108" s="5471"/>
      <c r="AL108" s="5471"/>
      <c r="AM108" s="5471"/>
      <c r="AN108" s="5473" t="s">
        <v>13134</v>
      </c>
      <c r="AO108" s="5473"/>
      <c r="AP108" s="5475" t="str">
        <f>UPPER(LEFT(AH108,1))</f>
        <v>P</v>
      </c>
      <c r="AR108" s="22" t="s">
        <v>11</v>
      </c>
      <c r="AS108" s="23" t="str">
        <f>AS114</f>
        <v>P PRENSADO DE MORCILLA (TERRINA) | | Autor &gt; Guy KRENZE - Eric GODDYN - Arnaud NICOLAS - CEPROC 2002</v>
      </c>
      <c r="AT108" s="24">
        <f>AT114</f>
        <v>20</v>
      </c>
      <c r="AU108" s="24" t="str">
        <f>AU114</f>
        <v>pressés de boudin</v>
      </c>
      <c r="AV108" s="25" t="str">
        <f>AV114</f>
        <v>Receta madre ► Morcilla en 4 versiones</v>
      </c>
      <c r="AW108" s="26" t="s">
        <v>23</v>
      </c>
      <c r="AX108" s="5471" t="s">
        <v>13013</v>
      </c>
      <c r="AY108" s="5471"/>
      <c r="AZ108" s="5471"/>
      <c r="BA108" s="5471"/>
      <c r="BB108" s="5471"/>
      <c r="BC108" s="5471"/>
      <c r="BD108" s="5473" t="s">
        <v>13135</v>
      </c>
      <c r="BE108" s="5473"/>
      <c r="BF108" s="5475" t="str">
        <f>UPPER(LEFT(AX108,1))</f>
        <v>P</v>
      </c>
      <c r="BH108" s="104"/>
      <c r="BI108" s="32"/>
      <c r="BJ108" s="33"/>
      <c r="BK108" s="32"/>
      <c r="BL108" s="34"/>
      <c r="BM108" s="92"/>
      <c r="BN108" s="108"/>
      <c r="BO108" s="94"/>
      <c r="BP108" s="95"/>
      <c r="BQ108" s="105"/>
      <c r="BR108" s="5101"/>
      <c r="BS108" s="920"/>
      <c r="BT108" s="1495"/>
      <c r="BU108" s="101"/>
      <c r="BV108" s="1475"/>
      <c r="BX108" s="104"/>
      <c r="BY108" s="32"/>
      <c r="BZ108" s="33"/>
      <c r="CA108" s="32"/>
      <c r="CB108" s="34"/>
      <c r="CC108" s="92"/>
      <c r="CD108" s="108"/>
      <c r="CE108" s="94"/>
      <c r="CF108" s="95"/>
      <c r="CG108" s="105"/>
      <c r="CH108" s="5101"/>
      <c r="CI108" s="920"/>
      <c r="CJ108" s="1495"/>
      <c r="CK108" s="101"/>
      <c r="CL108" s="1475"/>
      <c r="CN108" s="104"/>
      <c r="CO108" s="32"/>
      <c r="CP108" s="33"/>
      <c r="CQ108" s="32"/>
      <c r="CR108" s="34"/>
      <c r="CS108" s="92"/>
      <c r="CT108" s="108"/>
      <c r="CU108" s="94"/>
      <c r="CV108" s="95"/>
      <c r="CW108" s="105"/>
      <c r="CX108" s="5101"/>
      <c r="CY108" s="920"/>
      <c r="CZ108" s="1495"/>
      <c r="DA108" s="101"/>
      <c r="DB108" s="1475"/>
      <c r="DC108" s="5109"/>
      <c r="DD108" s="5086"/>
      <c r="DF108" s="3">
        <v>1</v>
      </c>
      <c r="EY108" s="127">
        <v>1</v>
      </c>
      <c r="EZ108" s="919"/>
      <c r="FA108" s="100">
        <f>IF(OR(ISBLANK(ET102),FA102=0),0,ET108*EY103)</f>
        <v>0</v>
      </c>
      <c r="FB108" s="101">
        <f>IFERROR(_xlfn.LET(_xlpm.v,IFERROR(_xlfn.XLOOKUP(EX108,ET139:FC139,ET140:FC140),_xlfn.XLOOKUP(EX108,ET141:FC141,ET142:FC142)),_xlpm.v*EW108*EY108*EY103*IF(ISBLANK(ET108),1,ET108)),0)</f>
        <v>0</v>
      </c>
      <c r="FC108" s="1476" t="str">
        <f>_xlfn.LET(_xlpm.unite,SUBSTITUTE(TRIM(EX108)," (s)",""),_xlpm.val,FB108,_xlpm.estVol,COUNTIF(EW139:FC139,_xlpm.unite)+COUNTIF(EW141:FC141,_xlpm.unite)&gt;0,_xlpm.estPoids,COUNTIF(ET139:EV139,_xlpm.unite)+COUNTIF(ET141:EV141,_xlpm.unite)&gt;0,IF(_xlpm.estVol,IF(ROUND(_xlpm.val,3)&gt;=1,ROUND(_xlpm.val,3)&amp;" L",MAX(1,ROUND(_xlpm.val*100,0))&amp;" cl"),IF(_xlpm.estPoids,IF(ROUND(_xlpm.val,3)&gt;=1,ROUND(_xlpm.val,3)&amp;" Kg",MAX(1,ROUND(_xlpm.val*1000,0))&amp;" g"),"")))</f>
        <v>1 cl</v>
      </c>
    </row>
    <row r="109" spans="2:159" ht="21" customHeight="1">
      <c r="B109" s="952" t="str">
        <f t="shared" si="28"/>
        <v>A</v>
      </c>
      <c r="C109" s="993" cm="1">
        <f t="array" ref="C109">SUMPRODUCT(LEN(D109:J109))</f>
        <v>0</v>
      </c>
      <c r="D109" s="167"/>
      <c r="E109" s="172"/>
      <c r="F109" s="172"/>
      <c r="G109" s="172"/>
      <c r="H109" s="172"/>
      <c r="I109" s="172"/>
      <c r="J109" s="173"/>
      <c r="K109" s="442" t="s">
        <v>22</v>
      </c>
      <c r="L109" s="27" t="s">
        <v>11</v>
      </c>
      <c r="M109" s="28" t="str">
        <f>M114</f>
        <v>P PRESSÉ DE BOUDIN NOIR | | Auteur &gt; Guy KRENZE - Eric GODDYN - Arnaud NICOLAS - CEPROC 2002</v>
      </c>
      <c r="N109" s="29">
        <f>N114</f>
        <v>20</v>
      </c>
      <c r="O109" s="29" t="str">
        <f>O114</f>
        <v>pressés de boudin</v>
      </c>
      <c r="P109" s="30" t="str">
        <f>P114</f>
        <v>Recette mère ► le Boudin en 4 déclinaisons</v>
      </c>
      <c r="Q109" s="31" t="s">
        <v>29</v>
      </c>
      <c r="R109" s="5472"/>
      <c r="S109" s="5472"/>
      <c r="T109" s="5472"/>
      <c r="U109" s="5472"/>
      <c r="V109" s="5472"/>
      <c r="W109" s="5472"/>
      <c r="X109" s="5474"/>
      <c r="Y109" s="5474"/>
      <c r="Z109" s="5476"/>
      <c r="AB109" s="27" t="s">
        <v>11</v>
      </c>
      <c r="AC109" s="28" t="str">
        <f>AC114</f>
        <v>P PRESSED BLACK PUDDING TERRINE | |  Author &gt; Guy KRENZE - Eric GODDYN - Arnaud NICOLAS - CEPROC 2002</v>
      </c>
      <c r="AD109" s="29">
        <f>AD114</f>
        <v>20</v>
      </c>
      <c r="AE109" s="29" t="str">
        <f>AE114</f>
        <v>pressés de boudin</v>
      </c>
      <c r="AF109" s="30" t="str">
        <f>AF114</f>
        <v>Master recipe ► Black pudding in 4 variations</v>
      </c>
      <c r="AG109" s="31" t="s">
        <v>29</v>
      </c>
      <c r="AH109" s="5472"/>
      <c r="AI109" s="5472"/>
      <c r="AJ109" s="5472"/>
      <c r="AK109" s="5472"/>
      <c r="AL109" s="5472"/>
      <c r="AM109" s="5472"/>
      <c r="AN109" s="5474"/>
      <c r="AO109" s="5474"/>
      <c r="AP109" s="5476"/>
      <c r="AR109" s="27" t="s">
        <v>11</v>
      </c>
      <c r="AS109" s="28" t="str">
        <f>AS114</f>
        <v>P PRENSADO DE MORCILLA (TERRINA) | | Autor &gt; Guy KRENZE - Eric GODDYN - Arnaud NICOLAS - CEPROC 2002</v>
      </c>
      <c r="AT109" s="29">
        <f>AT114</f>
        <v>20</v>
      </c>
      <c r="AU109" s="29" t="str">
        <f>AU114</f>
        <v>pressés de boudin</v>
      </c>
      <c r="AV109" s="30" t="str">
        <f>AV114</f>
        <v>Receta madre ► Morcilla en 4 versiones</v>
      </c>
      <c r="AW109" s="31" t="s">
        <v>29</v>
      </c>
      <c r="AX109" s="5472"/>
      <c r="AY109" s="5472"/>
      <c r="AZ109" s="5472"/>
      <c r="BA109" s="5472"/>
      <c r="BB109" s="5472"/>
      <c r="BC109" s="5472"/>
      <c r="BD109" s="5474" t="s">
        <v>116</v>
      </c>
      <c r="BE109" s="5474"/>
      <c r="BF109" s="5476"/>
      <c r="BH109" s="104"/>
      <c r="BI109" s="32"/>
      <c r="BJ109" s="33"/>
      <c r="BK109" s="32"/>
      <c r="BL109" s="34"/>
      <c r="BM109" s="92"/>
      <c r="BN109" s="108"/>
      <c r="BO109" s="94"/>
      <c r="BP109" s="95"/>
      <c r="BQ109" s="105"/>
      <c r="BR109" s="5101"/>
      <c r="BS109" s="920"/>
      <c r="BT109" s="1495"/>
      <c r="BU109" s="101"/>
      <c r="BV109" s="1475"/>
      <c r="BX109" s="104"/>
      <c r="BY109" s="32"/>
      <c r="BZ109" s="33"/>
      <c r="CA109" s="32"/>
      <c r="CB109" s="34"/>
      <c r="CC109" s="92"/>
      <c r="CD109" s="108"/>
      <c r="CE109" s="94"/>
      <c r="CF109" s="95"/>
      <c r="CG109" s="105"/>
      <c r="CH109" s="5101"/>
      <c r="CI109" s="920"/>
      <c r="CJ109" s="1495"/>
      <c r="CK109" s="101"/>
      <c r="CL109" s="1475"/>
      <c r="CN109" s="104"/>
      <c r="CO109" s="32"/>
      <c r="CP109" s="33"/>
      <c r="CQ109" s="32"/>
      <c r="CR109" s="34"/>
      <c r="CS109" s="92"/>
      <c r="CT109" s="108"/>
      <c r="CU109" s="94"/>
      <c r="CV109" s="95"/>
      <c r="CW109" s="105"/>
      <c r="CX109" s="5101"/>
      <c r="CY109" s="920"/>
      <c r="CZ109" s="1495"/>
      <c r="DA109" s="101"/>
      <c r="DB109" s="1475"/>
      <c r="DC109" s="5109"/>
      <c r="DD109" s="5086"/>
      <c r="DF109" s="3">
        <v>1</v>
      </c>
      <c r="EY109" s="127">
        <v>1</v>
      </c>
      <c r="EZ109" s="920"/>
      <c r="FA109" s="1495">
        <f>IF(OR(ISBLANK(ET102),FA102=0),0,ET109*EY103)</f>
        <v>0</v>
      </c>
      <c r="FB109" s="101">
        <f>IFERROR(_xlfn.LET(_xlpm.v,IFERROR(_xlfn.XLOOKUP(EX109,ET139:FC139,ET140:FC140),_xlfn.XLOOKUP(EX109,ET141:FC141,ET142:FC142)),_xlpm.v*EW109*EY109*EY103*IF(ISBLANK(ET109),1,ET109)),0)</f>
        <v>0</v>
      </c>
      <c r="FC109" s="1475" t="str">
        <f>_xlfn.LET(_xlpm.unite,SUBSTITUTE(TRIM(EX109)," (s)",""),_xlpm.val,FB109,_xlpm.estVol,COUNTIF(EW139:FC139,_xlpm.unite)+COUNTIF(EW141:FC141,_xlpm.unite)&gt;0,_xlpm.estPoids,COUNTIF(ET139:EV139,_xlpm.unite)+COUNTIF(ET141:EV141,_xlpm.unite)&gt;0,IF(_xlpm.estVol,IF(ROUND(_xlpm.val,3)&gt;=1,ROUND(_xlpm.val,3)&amp;" L",MAX(1,ROUND(_xlpm.val*100,0))&amp;" cl"),IF(_xlpm.estPoids,IF(ROUND(_xlpm.val,3)&gt;=1,ROUND(_xlpm.val,3)&amp;" Kg",MAX(1,ROUND(_xlpm.val*1000,0))&amp;" g"),"")))</f>
        <v>1 cl</v>
      </c>
    </row>
    <row r="110" spans="2:159" ht="21" customHeight="1">
      <c r="B110" s="952" t="str">
        <f t="shared" si="28"/>
        <v>A</v>
      </c>
      <c r="C110" s="993" cm="1">
        <f t="array" ref="C110">SUMPRODUCT(LEN(D110:J110))</f>
        <v>0</v>
      </c>
      <c r="D110" s="167"/>
      <c r="E110" s="172"/>
      <c r="F110" s="172"/>
      <c r="G110" s="172"/>
      <c r="H110" s="172"/>
      <c r="I110" s="172"/>
      <c r="J110" s="173"/>
      <c r="K110" s="442" t="s">
        <v>22</v>
      </c>
      <c r="L110" s="27" t="s">
        <v>11</v>
      </c>
      <c r="M110" s="5310" t="str">
        <f>M114</f>
        <v>P PRESSÉ DE BOUDIN NOIR | | Auteur &gt; Guy KRENZE - Eric GODDYN - Arnaud NICOLAS - CEPROC 2002</v>
      </c>
      <c r="N110" s="5310">
        <f>N114</f>
        <v>20</v>
      </c>
      <c r="O110" s="5311" t="str">
        <f>O114</f>
        <v>pressés de boudin</v>
      </c>
      <c r="P110" s="5312" t="str">
        <f>P114</f>
        <v>Recette mère ► le Boudin en 4 déclinaisons</v>
      </c>
      <c r="Q110" s="5313"/>
      <c r="R110" s="5314" t="s">
        <v>30</v>
      </c>
      <c r="S110" s="37"/>
      <c r="T110" s="38" t="s">
        <v>31</v>
      </c>
      <c r="U110" s="39" t="s">
        <v>12835</v>
      </c>
      <c r="V110" s="9"/>
      <c r="W110" s="39"/>
      <c r="X110" s="39"/>
      <c r="Y110" s="40"/>
      <c r="Z110" s="41"/>
      <c r="AB110" s="27" t="s">
        <v>11</v>
      </c>
      <c r="AC110" s="5310" t="str">
        <f>AC114</f>
        <v>P PRESSED BLACK PUDDING TERRINE | |  Author &gt; Guy KRENZE - Eric GODDYN - Arnaud NICOLAS - CEPROC 2002</v>
      </c>
      <c r="AD110" s="5310">
        <f>AD114</f>
        <v>20</v>
      </c>
      <c r="AE110" s="5311" t="str">
        <f>AE114</f>
        <v>pressés de boudin</v>
      </c>
      <c r="AF110" s="5312" t="str">
        <f>AF114</f>
        <v>Master recipe ► Black pudding in 4 variations</v>
      </c>
      <c r="AG110" s="5313"/>
      <c r="AH110" s="5314" t="s">
        <v>888</v>
      </c>
      <c r="AI110" s="37"/>
      <c r="AJ110" s="38" t="s">
        <v>889</v>
      </c>
      <c r="AK110" s="39" t="s">
        <v>12835</v>
      </c>
      <c r="AL110" s="9"/>
      <c r="AM110" s="39"/>
      <c r="AN110" s="39"/>
      <c r="AO110" s="40"/>
      <c r="AP110" s="41"/>
      <c r="AR110" s="27" t="s">
        <v>11</v>
      </c>
      <c r="AS110" s="5310" t="str">
        <f>AS114</f>
        <v>P PRENSADO DE MORCILLA (TERRINA) | | Autor &gt; Guy KRENZE - Eric GODDYN - Arnaud NICOLAS - CEPROC 2002</v>
      </c>
      <c r="AT110" s="5310">
        <f>AT114</f>
        <v>20</v>
      </c>
      <c r="AU110" s="5311" t="str">
        <f>AU114</f>
        <v>pressés de boudin</v>
      </c>
      <c r="AV110" s="5312" t="str">
        <f>AV114</f>
        <v>Receta madre ► Morcilla en 4 versiones</v>
      </c>
      <c r="AW110" s="5313"/>
      <c r="AX110" s="5314" t="s">
        <v>903</v>
      </c>
      <c r="AY110" s="37"/>
      <c r="AZ110" s="38" t="s">
        <v>904</v>
      </c>
      <c r="BA110" s="39" t="s">
        <v>12835</v>
      </c>
      <c r="BB110" s="9"/>
      <c r="BC110" s="39"/>
      <c r="BD110" s="39"/>
      <c r="BE110" s="40"/>
      <c r="BF110" s="41"/>
      <c r="BH110" s="104"/>
      <c r="BI110" s="32"/>
      <c r="BJ110" s="33"/>
      <c r="BK110" s="32"/>
      <c r="BL110" s="34"/>
      <c r="BM110" s="92"/>
      <c r="BN110" s="108"/>
      <c r="BO110" s="94"/>
      <c r="BP110" s="95"/>
      <c r="BQ110" s="105"/>
      <c r="BR110" s="5101"/>
      <c r="BS110" s="920"/>
      <c r="BT110" s="1495"/>
      <c r="BU110" s="101"/>
      <c r="BV110" s="1475"/>
      <c r="BX110" s="104"/>
      <c r="BY110" s="32"/>
      <c r="BZ110" s="33"/>
      <c r="CA110" s="32"/>
      <c r="CB110" s="34"/>
      <c r="CC110" s="92"/>
      <c r="CD110" s="108"/>
      <c r="CE110" s="94"/>
      <c r="CF110" s="95"/>
      <c r="CG110" s="105"/>
      <c r="CH110" s="5101"/>
      <c r="CI110" s="920"/>
      <c r="CJ110" s="1495"/>
      <c r="CK110" s="101"/>
      <c r="CL110" s="1475"/>
      <c r="CN110" s="104"/>
      <c r="CO110" s="32"/>
      <c r="CP110" s="33"/>
      <c r="CQ110" s="32"/>
      <c r="CR110" s="34"/>
      <c r="CS110" s="92"/>
      <c r="CT110" s="108"/>
      <c r="CU110" s="94"/>
      <c r="CV110" s="95"/>
      <c r="CW110" s="105"/>
      <c r="CX110" s="5101"/>
      <c r="CY110" s="920"/>
      <c r="CZ110" s="1495"/>
      <c r="DA110" s="101"/>
      <c r="DB110" s="1475"/>
      <c r="DC110" s="5109"/>
      <c r="DD110" s="5086"/>
      <c r="DF110" s="3">
        <v>1</v>
      </c>
      <c r="EY110" s="127">
        <v>1</v>
      </c>
      <c r="EZ110" s="920"/>
      <c r="FA110" s="1495">
        <f>IF(OR(ISBLANK(ET102),FA102=0),0,ET110*EY103)</f>
        <v>0</v>
      </c>
      <c r="FB110" s="101">
        <f>IFERROR(_xlfn.LET(_xlpm.v,IFERROR(_xlfn.XLOOKUP(EX110,ET139:FC139,ET140:FC140),_xlfn.XLOOKUP(EX110,ET141:FC141,ET142:FC142)),_xlpm.v*EW110*EY110*EY103*IF(ISBLANK(ET110),1,ET110)),0)</f>
        <v>0</v>
      </c>
      <c r="FC110" s="1476" t="str">
        <f>_xlfn.LET(_xlpm.unite,SUBSTITUTE(TRIM(EX110)," (s)",""),_xlpm.val,FB110,_xlpm.estVol,COUNTIF(EW139:FC139,_xlpm.unite)+COUNTIF(EW141:FC141,_xlpm.unite)&gt;0,_xlpm.estPoids,COUNTIF(ET139:EV139,_xlpm.unite)+COUNTIF(ET141:EV141,_xlpm.unite)&gt;0,IF(_xlpm.estVol,IF(ROUND(_xlpm.val,3)&gt;=1,ROUND(_xlpm.val,3)&amp;" L",MAX(1,ROUND(_xlpm.val*100,0))&amp;" cl"),IF(_xlpm.estPoids,IF(ROUND(_xlpm.val,3)&gt;=1,ROUND(_xlpm.val,3)&amp;" Kg",MAX(1,ROUND(_xlpm.val*1000,0))&amp;" g"),"")))</f>
        <v>1 cl</v>
      </c>
    </row>
    <row r="111" spans="2:159" ht="21" customHeight="1">
      <c r="B111" s="952" t="str">
        <f t="shared" si="28"/>
        <v>A</v>
      </c>
      <c r="C111" s="993" cm="1">
        <f t="array" ref="C111">SUMPRODUCT(LEN(D111:J111))</f>
        <v>0</v>
      </c>
      <c r="D111" s="167"/>
      <c r="E111" s="172"/>
      <c r="F111" s="172"/>
      <c r="G111" s="172"/>
      <c r="H111" s="172"/>
      <c r="I111" s="172"/>
      <c r="J111" s="173"/>
      <c r="K111" s="442" t="s">
        <v>22</v>
      </c>
      <c r="L111" s="27" t="s">
        <v>11</v>
      </c>
      <c r="M111" s="32" t="str">
        <f>M114</f>
        <v>P PRESSÉ DE BOUDIN NOIR | | Auteur &gt; Guy KRENZE - Eric GODDYN - Arnaud NICOLAS - CEPROC 2002</v>
      </c>
      <c r="N111" s="33">
        <f>N114</f>
        <v>20</v>
      </c>
      <c r="O111" s="33" t="str">
        <f>O114</f>
        <v>pressés de boudin</v>
      </c>
      <c r="P111" s="34" t="str">
        <f>P114</f>
        <v>Recette mère ► le Boudin en 4 déclinaisons</v>
      </c>
      <c r="Q111" s="42" t="s">
        <v>32</v>
      </c>
      <c r="R111" s="43"/>
      <c r="S111" s="43"/>
      <c r="T111" s="44" t="s">
        <v>33</v>
      </c>
      <c r="U111" s="5477" t="str">
        <f>V114&amp;" "&amp;W114&amp;" ► Famille = "&amp;X108&amp;" ► "&amp;R108&amp;" "&amp; "pour "&amp;X112&amp;" "&amp;Y112</f>
        <v>Recette mère ► le Boudin en 4 déclinaisons ► Famille =  charcuterie-BOUDIN-NOIR ► PRESSÉ DE BOUDIN NOIR pour 20 pressés de boudin</v>
      </c>
      <c r="V111" s="5477"/>
      <c r="W111" s="5477"/>
      <c r="X111" s="5039" t="s">
        <v>3306</v>
      </c>
      <c r="Y111" s="40"/>
      <c r="Z111" s="1472"/>
      <c r="AB111" s="27" t="s">
        <v>11</v>
      </c>
      <c r="AC111" s="32" t="str">
        <f>AC114</f>
        <v>P PRESSED BLACK PUDDING TERRINE | |  Author &gt; Guy KRENZE - Eric GODDYN - Arnaud NICOLAS - CEPROC 2002</v>
      </c>
      <c r="AD111" s="33">
        <f>AD114</f>
        <v>20</v>
      </c>
      <c r="AE111" s="33" t="str">
        <f>AE114</f>
        <v>pressés de boudin</v>
      </c>
      <c r="AF111" s="34" t="str">
        <f>AF114</f>
        <v>Master recipe ► Black pudding in 4 variations</v>
      </c>
      <c r="AG111" s="42" t="s">
        <v>137</v>
      </c>
      <c r="AH111" s="43"/>
      <c r="AI111" s="43"/>
      <c r="AJ111" s="44" t="s">
        <v>33</v>
      </c>
      <c r="AK111" s="5477" t="str">
        <f>AL114&amp;" "&amp;AM114&amp;" ► category = "&amp;AN108&amp;" ► "&amp;AH108&amp;" "&amp; "pour "&amp;AN112&amp;" "&amp;AO112</f>
        <v>Master recipe ► Black pudding in 4 variations ► category = charcuterie-BLACK-PUDDING ► PRESSED BLACK PUDDING TERRINE pour 36 pressés de boudin</v>
      </c>
      <c r="AL111" s="5477"/>
      <c r="AM111" s="5477"/>
      <c r="AN111" s="5039" t="s">
        <v>3324</v>
      </c>
      <c r="AO111" s="40"/>
      <c r="AP111" s="1472"/>
      <c r="AR111" s="27" t="s">
        <v>11</v>
      </c>
      <c r="AS111" s="32" t="str">
        <f>AS114</f>
        <v>P PRENSADO DE MORCILLA (TERRINA) | | Autor &gt; Guy KRENZE - Eric GODDYN - Arnaud NICOLAS - CEPROC 2002</v>
      </c>
      <c r="AT111" s="33">
        <f>AT114</f>
        <v>20</v>
      </c>
      <c r="AU111" s="33" t="str">
        <f>AU114</f>
        <v>pressés de boudin</v>
      </c>
      <c r="AV111" s="34" t="str">
        <f>AV114</f>
        <v>Receta madre ► Morcilla en 4 versiones</v>
      </c>
      <c r="AW111" s="42" t="s">
        <v>905</v>
      </c>
      <c r="AX111" s="43"/>
      <c r="AY111" s="43"/>
      <c r="AZ111" s="44" t="s">
        <v>33</v>
      </c>
      <c r="BA111" s="5477" t="str">
        <f>BB114&amp;" "&amp;BC114&amp;" ► Famille = "&amp;BD108&amp;" ► "&amp;AX108&amp;" "&amp; "pour "&amp;BD112&amp;" "&amp;BE112</f>
        <v>Receta madre ► Morcilla en 4 versiones ► Famille = charcutería--MORCILLA ► PRENSADO DE MORCILLA (TERRINA) pour 36 pressés de boudin</v>
      </c>
      <c r="BB111" s="5477"/>
      <c r="BC111" s="5477"/>
      <c r="BD111" s="5039" t="s">
        <v>3326</v>
      </c>
      <c r="BE111" s="40"/>
      <c r="BF111" s="1472"/>
      <c r="BH111" s="104"/>
      <c r="BI111" s="32"/>
      <c r="BJ111" s="33"/>
      <c r="BK111" s="32"/>
      <c r="BL111" s="34"/>
      <c r="BM111" s="92"/>
      <c r="BN111" s="108"/>
      <c r="BO111" s="94"/>
      <c r="BP111" s="95"/>
      <c r="BQ111" s="105"/>
      <c r="BR111" s="5101"/>
      <c r="BS111" s="920"/>
      <c r="BT111" s="1495"/>
      <c r="BU111" s="101"/>
      <c r="BV111" s="1475"/>
      <c r="BX111" s="104"/>
      <c r="BY111" s="32"/>
      <c r="BZ111" s="33"/>
      <c r="CA111" s="32"/>
      <c r="CB111" s="34"/>
      <c r="CC111" s="92"/>
      <c r="CD111" s="108"/>
      <c r="CE111" s="94"/>
      <c r="CF111" s="95"/>
      <c r="CG111" s="105"/>
      <c r="CH111" s="5101"/>
      <c r="CI111" s="920"/>
      <c r="CJ111" s="1495"/>
      <c r="CK111" s="101"/>
      <c r="CL111" s="1475"/>
      <c r="CN111" s="104"/>
      <c r="CO111" s="32"/>
      <c r="CP111" s="33"/>
      <c r="CQ111" s="32"/>
      <c r="CR111" s="34"/>
      <c r="CS111" s="92"/>
      <c r="CT111" s="108"/>
      <c r="CU111" s="94"/>
      <c r="CV111" s="95"/>
      <c r="CW111" s="105"/>
      <c r="CX111" s="5101"/>
      <c r="CY111" s="920"/>
      <c r="CZ111" s="1495"/>
      <c r="DA111" s="101"/>
      <c r="DB111" s="1475"/>
      <c r="DC111" s="5109"/>
      <c r="DD111" s="5086"/>
      <c r="DF111" s="3">
        <v>1</v>
      </c>
      <c r="EY111" s="127">
        <v>1</v>
      </c>
      <c r="EZ111" s="920" t="s">
        <v>3345</v>
      </c>
      <c r="FA111" s="1495">
        <f>IF(OR(ISBLANK(ET102),FA102=0),0,ET111*EY103)</f>
        <v>0</v>
      </c>
      <c r="FB111" s="101">
        <f>IFERROR(_xlfn.LET(_xlpm.v,IFERROR(_xlfn.XLOOKUP(EX111,ET139:FC139,ET140:FC140),_xlfn.XLOOKUP(EX111,ET141:FC141,ET142:FC142)),_xlpm.v*EW111*EY111*EY103*IF(ISBLANK(ET111),1,ET111)),0)</f>
        <v>0</v>
      </c>
      <c r="FC111" s="1475" t="str">
        <f>_xlfn.LET(_xlpm.unite,SUBSTITUTE(TRIM(EX111)," (s)",""),_xlpm.val,FB111,_xlpm.estVol,COUNTIF(EW139:FC139,_xlpm.unite)+COUNTIF(EW141:FC141,_xlpm.unite)&gt;0,_xlpm.estPoids,COUNTIF(ET139:EV139,_xlpm.unite)+COUNTIF(ET141:EV141,_xlpm.unite)&gt;0,IF(_xlpm.estVol,IF(ROUND(_xlpm.val,3)&gt;=1,ROUND(_xlpm.val,3)&amp;" L",MAX(1,ROUND(_xlpm.val*100,0))&amp;" cl"),IF(_xlpm.estPoids,IF(ROUND(_xlpm.val,3)&gt;=1,ROUND(_xlpm.val,3)&amp;" Kg",MAX(1,ROUND(_xlpm.val*1000,0))&amp;" g"),"")))</f>
        <v>1 cl</v>
      </c>
    </row>
    <row r="112" spans="2:159" ht="21" customHeight="1">
      <c r="B112" s="952" t="str">
        <f t="shared" si="28"/>
        <v>A</v>
      </c>
      <c r="C112" s="993" cm="1">
        <f t="array" ref="C112">SUMPRODUCT(LEN(D112:J112))</f>
        <v>0</v>
      </c>
      <c r="D112" s="167"/>
      <c r="E112" s="172"/>
      <c r="F112" s="172"/>
      <c r="G112" s="172"/>
      <c r="H112" s="172"/>
      <c r="I112" s="172"/>
      <c r="J112" s="173"/>
      <c r="K112" s="442" t="s">
        <v>22</v>
      </c>
      <c r="L112" s="27" t="s">
        <v>11</v>
      </c>
      <c r="M112" s="32" t="str">
        <f>M114</f>
        <v>P PRESSÉ DE BOUDIN NOIR | | Auteur &gt; Guy KRENZE - Eric GODDYN - Arnaud NICOLAS - CEPROC 2002</v>
      </c>
      <c r="N112" s="33">
        <f>N114</f>
        <v>20</v>
      </c>
      <c r="O112" s="33" t="str">
        <f>O114</f>
        <v>pressés de boudin</v>
      </c>
      <c r="P112" s="34" t="str">
        <f>P114</f>
        <v>Recette mère ► le Boudin en 4 déclinaisons</v>
      </c>
      <c r="Q112" s="50">
        <v>20</v>
      </c>
      <c r="R112" s="5038" t="s">
        <v>13001</v>
      </c>
      <c r="S112" s="42"/>
      <c r="T112" s="42"/>
      <c r="U112" s="5477"/>
      <c r="V112" s="5477"/>
      <c r="W112" s="5477"/>
      <c r="X112" s="46">
        <v>20</v>
      </c>
      <c r="Y112" s="5478" t="str">
        <f>R112</f>
        <v>pressés de boudin</v>
      </c>
      <c r="Z112" s="5479"/>
      <c r="AB112" s="27" t="s">
        <v>11</v>
      </c>
      <c r="AC112" s="32" t="str">
        <f>AC114</f>
        <v>P PRESSED BLACK PUDDING TERRINE | |  Author &gt; Guy KRENZE - Eric GODDYN - Arnaud NICOLAS - CEPROC 2002</v>
      </c>
      <c r="AD112" s="33">
        <f>AD114</f>
        <v>20</v>
      </c>
      <c r="AE112" s="33" t="str">
        <f>AE114</f>
        <v>pressés de boudin</v>
      </c>
      <c r="AF112" s="34" t="str">
        <f>AF114</f>
        <v>Master recipe ► Black pudding in 4 variations</v>
      </c>
      <c r="AG112" s="50">
        <v>20</v>
      </c>
      <c r="AH112" s="5038" t="s">
        <v>13001</v>
      </c>
      <c r="AI112" s="42"/>
      <c r="AJ112" s="42"/>
      <c r="AK112" s="5477"/>
      <c r="AL112" s="5477"/>
      <c r="AM112" s="5477"/>
      <c r="AN112" s="46">
        <v>36</v>
      </c>
      <c r="AO112" s="5478" t="str">
        <f>AH112</f>
        <v>pressés de boudin</v>
      </c>
      <c r="AP112" s="5479"/>
      <c r="AR112" s="27" t="s">
        <v>11</v>
      </c>
      <c r="AS112" s="32" t="str">
        <f>AS114</f>
        <v>P PRENSADO DE MORCILLA (TERRINA) | | Autor &gt; Guy KRENZE - Eric GODDYN - Arnaud NICOLAS - CEPROC 2002</v>
      </c>
      <c r="AT112" s="33">
        <f>AT114</f>
        <v>20</v>
      </c>
      <c r="AU112" s="33" t="str">
        <f>AU114</f>
        <v>pressés de boudin</v>
      </c>
      <c r="AV112" s="34" t="str">
        <f>AV114</f>
        <v>Receta madre ► Morcilla en 4 versiones</v>
      </c>
      <c r="AW112" s="50">
        <v>20</v>
      </c>
      <c r="AX112" s="5038" t="s">
        <v>13001</v>
      </c>
      <c r="AY112" s="42"/>
      <c r="AZ112" s="42"/>
      <c r="BA112" s="5477"/>
      <c r="BB112" s="5477"/>
      <c r="BC112" s="5477"/>
      <c r="BD112" s="46">
        <v>36</v>
      </c>
      <c r="BE112" s="5478" t="str">
        <f>AX112</f>
        <v>pressés de boudin</v>
      </c>
      <c r="BF112" s="5479"/>
      <c r="BH112" s="104"/>
      <c r="BI112" s="32"/>
      <c r="BJ112" s="33"/>
      <c r="BK112" s="32"/>
      <c r="BL112" s="34"/>
      <c r="BM112" s="92"/>
      <c r="BN112" s="108"/>
      <c r="BO112" s="94"/>
      <c r="BP112" s="95"/>
      <c r="BQ112" s="105"/>
      <c r="BR112" s="5101"/>
      <c r="BS112" s="920"/>
      <c r="BT112" s="1495"/>
      <c r="BU112" s="101"/>
      <c r="BV112" s="1475"/>
      <c r="BX112" s="104"/>
      <c r="BY112" s="32"/>
      <c r="BZ112" s="33"/>
      <c r="CA112" s="32"/>
      <c r="CB112" s="34"/>
      <c r="CC112" s="92"/>
      <c r="CD112" s="108"/>
      <c r="CE112" s="94"/>
      <c r="CF112" s="95"/>
      <c r="CG112" s="105"/>
      <c r="CH112" s="5101"/>
      <c r="CI112" s="920"/>
      <c r="CJ112" s="1495"/>
      <c r="CK112" s="101"/>
      <c r="CL112" s="1475"/>
      <c r="CN112" s="104"/>
      <c r="CO112" s="32"/>
      <c r="CP112" s="33"/>
      <c r="CQ112" s="32"/>
      <c r="CR112" s="34"/>
      <c r="CS112" s="92"/>
      <c r="CT112" s="108"/>
      <c r="CU112" s="94"/>
      <c r="CV112" s="95"/>
      <c r="CW112" s="105"/>
      <c r="CX112" s="5101"/>
      <c r="CY112" s="920"/>
      <c r="CZ112" s="1495"/>
      <c r="DA112" s="101"/>
      <c r="DB112" s="1475"/>
      <c r="DC112" s="5109"/>
      <c r="DD112" s="5086"/>
      <c r="DF112" s="3">
        <v>1</v>
      </c>
      <c r="EY112" s="127">
        <v>1</v>
      </c>
      <c r="EZ112" s="920"/>
      <c r="FA112" s="1495">
        <f>IF(OR(ISBLANK(ET102),FA102=0),0,ET112*EY103)</f>
        <v>0</v>
      </c>
      <c r="FB112" s="101">
        <f>IFERROR(_xlfn.LET(_xlpm.v,IFERROR(_xlfn.XLOOKUP(EX112,ET139:FC139,ET140:FC140),_xlfn.XLOOKUP(EX112,ET141:FC141,ET142:FC142)),_xlpm.v*EW112*EY112*EY103*IF(ISBLANK(ET112),1,ET112)),0)</f>
        <v>0</v>
      </c>
      <c r="FC112" s="1476" t="str">
        <f>_xlfn.LET(_xlpm.unite,SUBSTITUTE(TRIM(EX112)," (s)",""),_xlpm.val,FB112,_xlpm.estVol,COUNTIF(EW139:FC139,_xlpm.unite)+COUNTIF(EW141:FC141,_xlpm.unite)&gt;0,_xlpm.estPoids,COUNTIF(ET139:EV139,_xlpm.unite)+COUNTIF(ET141:EV141,_xlpm.unite)&gt;0,IF(_xlpm.estVol,IF(ROUND(_xlpm.val,3)&gt;=1,ROUND(_xlpm.val,3)&amp;" L",MAX(1,ROUND(_xlpm.val*100,0))&amp;" cl"),IF(_xlpm.estPoids,IF(ROUND(_xlpm.val,3)&gt;=1,ROUND(_xlpm.val,3)&amp;" Kg",MAX(1,ROUND(_xlpm.val*1000,0))&amp;" g"),"")))</f>
        <v>1 cl</v>
      </c>
    </row>
    <row r="113" spans="2:159" ht="21" customHeight="1">
      <c r="B113" s="952" t="str">
        <f t="shared" si="28"/>
        <v>►</v>
      </c>
      <c r="C113" s="993" cm="1">
        <f t="array" ref="C113">SUMPRODUCT(LEN(D113:J113))</f>
        <v>0</v>
      </c>
      <c r="D113" s="167"/>
      <c r="E113" s="172"/>
      <c r="F113" s="172"/>
      <c r="G113" s="172"/>
      <c r="H113" s="172"/>
      <c r="I113" s="172"/>
      <c r="J113" s="173"/>
      <c r="K113" s="442" t="s">
        <v>22</v>
      </c>
      <c r="L113" s="27" t="s">
        <v>16</v>
      </c>
      <c r="M113" s="32" t="str">
        <f>M114</f>
        <v>P PRESSÉ DE BOUDIN NOIR | | Auteur &gt; Guy KRENZE - Eric GODDYN - Arnaud NICOLAS - CEPROC 2002</v>
      </c>
      <c r="N113" s="33">
        <f>N114</f>
        <v>20</v>
      </c>
      <c r="O113" s="33" t="str">
        <f>O114</f>
        <v>pressés de boudin</v>
      </c>
      <c r="P113" s="34" t="str">
        <f>P114</f>
        <v>Recette mère ► le Boudin en 4 déclinaisons</v>
      </c>
      <c r="Q113" s="56"/>
      <c r="R113" s="5165" t="s">
        <v>13098</v>
      </c>
      <c r="S113" s="5468">
        <f>Y148/V113</f>
        <v>2.5619999999999998</v>
      </c>
      <c r="T113" s="5468"/>
      <c r="U113" s="5054" t="str" cm="1">
        <f t="array" ref="U113">"1= "&amp;IF(OR(Q112&lt;=0,S113=""),"",_xlfn.LET(_xlpm.kg,IF(ISNUMBER(S113),S113,VALEUR(SUBSTITUTE(SUBSTITUTE(SUBSTITUTE(LOWER(S113),"kg",""),",",".")," ",""))),TEXT(ROUND(_xlpm.kg*1000/Q112,2),"0.##")&amp;" g"))</f>
        <v>1= 128.1 g</v>
      </c>
      <c r="V113" s="1490">
        <f>IFERROR(X112/Q112,0)</f>
        <v>1</v>
      </c>
      <c r="W113" s="45"/>
      <c r="X113" s="5041" t="s">
        <v>50</v>
      </c>
      <c r="Y113" s="5042">
        <f>Y148</f>
        <v>2.5619999999999998</v>
      </c>
      <c r="Z113" s="5043"/>
      <c r="AB113" s="27" t="s">
        <v>16</v>
      </c>
      <c r="AC113" s="32"/>
      <c r="AD113" s="33">
        <f>AD114</f>
        <v>20</v>
      </c>
      <c r="AE113" s="33" t="str">
        <f>AE114</f>
        <v>pressés de boudin</v>
      </c>
      <c r="AF113" s="34" t="str">
        <f>AF114</f>
        <v>Master recipe ► Black pudding in 4 variations</v>
      </c>
      <c r="AG113" s="56"/>
      <c r="AH113" s="5165" t="s">
        <v>13100</v>
      </c>
      <c r="AI113" s="5468">
        <f>AO148/AL113</f>
        <v>2.5619999999999998</v>
      </c>
      <c r="AJ113" s="5468"/>
      <c r="AK113" s="5054" t="str" cm="1">
        <f t="array" ref="AK113">"1= "&amp;IF(OR(AG112&lt;=0,AI113=""),"",_xlfn.LET(_xlpm.kg,IF(ISNUMBER(AI113),AI113,VALEUR(SUBSTITUTE(SUBSTITUTE(SUBSTITUTE(LOWER(AI113),"kg",""),",",".")," ",""))),TEXT(ROUND(_xlpm.kg*1000/AG112,2),"0.##")&amp;" g"))</f>
        <v>1= 128.1 g</v>
      </c>
      <c r="AL113" s="1490">
        <f>IFERROR(AN112/AG112,0)</f>
        <v>1.8</v>
      </c>
      <c r="AM113" s="45"/>
      <c r="AN113" s="5041" t="s">
        <v>153</v>
      </c>
      <c r="AO113" s="5042">
        <f>AO148</f>
        <v>4.6116000000000001</v>
      </c>
      <c r="AP113" s="5043"/>
      <c r="AR113" s="27" t="s">
        <v>16</v>
      </c>
      <c r="AS113" s="32" t="str">
        <f>AS114</f>
        <v>P PRENSADO DE MORCILLA (TERRINA) | | Autor &gt; Guy KRENZE - Eric GODDYN - Arnaud NICOLAS - CEPROC 2002</v>
      </c>
      <c r="AT113" s="33">
        <f>AT114</f>
        <v>20</v>
      </c>
      <c r="AU113" s="33" t="str">
        <f>AU114</f>
        <v>pressés de boudin</v>
      </c>
      <c r="AV113" s="34" t="str">
        <f>AV114</f>
        <v>Receta madre ► Morcilla en 4 versiones</v>
      </c>
      <c r="AW113" s="56"/>
      <c r="AX113" s="5165" t="s">
        <v>13101</v>
      </c>
      <c r="AY113" s="5468">
        <f>BE148/BB113</f>
        <v>2.5619999999999998</v>
      </c>
      <c r="AZ113" s="5468"/>
      <c r="BA113" s="5054" t="str" cm="1">
        <f t="array" ref="BA113">"1= "&amp;IF(OR(AW112&lt;=0,AY113=""),"",_xlfn.LET(_xlpm.kg,IF(ISNUMBER(AY113),AY113,VALEUR(SUBSTITUTE(SUBSTITUTE(SUBSTITUTE(LOWER(AY113),"kg",""),",",".")," ",""))),TEXT(ROUND(_xlpm.kg*1000/AW112,2),"0.##")&amp;" g"))</f>
        <v>1= 128.1 g</v>
      </c>
      <c r="BB113" s="1490">
        <f>IFERROR(BD112/AW112,0)</f>
        <v>1.8</v>
      </c>
      <c r="BC113" s="45"/>
      <c r="BD113" s="5041" t="s">
        <v>248</v>
      </c>
      <c r="BE113" s="5042">
        <f>BE148</f>
        <v>4.6116000000000001</v>
      </c>
      <c r="BF113" s="5043"/>
      <c r="BH113" s="104"/>
      <c r="BI113" s="32"/>
      <c r="BJ113" s="33"/>
      <c r="BK113" s="32"/>
      <c r="BL113" s="34"/>
      <c r="BM113" s="92"/>
      <c r="BN113" s="108"/>
      <c r="BO113" s="94"/>
      <c r="BP113" s="95"/>
      <c r="BQ113" s="105"/>
      <c r="BR113" s="5101"/>
      <c r="BS113" s="920"/>
      <c r="BT113" s="1495"/>
      <c r="BU113" s="101"/>
      <c r="BV113" s="1475"/>
      <c r="BX113" s="104"/>
      <c r="BY113" s="32"/>
      <c r="BZ113" s="33"/>
      <c r="CA113" s="32"/>
      <c r="CB113" s="34"/>
      <c r="CC113" s="92"/>
      <c r="CD113" s="108"/>
      <c r="CE113" s="94"/>
      <c r="CF113" s="95"/>
      <c r="CG113" s="105"/>
      <c r="CH113" s="5101"/>
      <c r="CI113" s="920"/>
      <c r="CJ113" s="1495"/>
      <c r="CK113" s="101"/>
      <c r="CL113" s="1475"/>
      <c r="CN113" s="104"/>
      <c r="CO113" s="32"/>
      <c r="CP113" s="33"/>
      <c r="CQ113" s="32"/>
      <c r="CR113" s="34"/>
      <c r="CS113" s="92"/>
      <c r="CT113" s="108"/>
      <c r="CU113" s="94"/>
      <c r="CV113" s="95"/>
      <c r="CW113" s="105"/>
      <c r="CX113" s="5101"/>
      <c r="CY113" s="920"/>
      <c r="CZ113" s="1495"/>
      <c r="DA113" s="101"/>
      <c r="DB113" s="1475"/>
      <c r="DC113" s="5109"/>
      <c r="DD113" s="5086"/>
      <c r="DF113" s="3">
        <v>1</v>
      </c>
      <c r="EY113" s="127">
        <v>1</v>
      </c>
      <c r="EZ113" s="920"/>
      <c r="FA113" s="1495">
        <f>IF(OR(ISBLANK(ET102),FA102=0),0,ET113*EY103)</f>
        <v>0</v>
      </c>
      <c r="FB113" s="101">
        <f>IFERROR(_xlfn.LET(_xlpm.v,IFERROR(_xlfn.XLOOKUP(EX113,ET139:FC139,ET140:FC140),_xlfn.XLOOKUP(EX113,ET141:FC141,ET142:FC142)),_xlpm.v*EW113*EY113*EY103*IF(ISBLANK(ET113),1,ET113)),0)</f>
        <v>0</v>
      </c>
      <c r="FC113" s="1475" t="str">
        <f>_xlfn.LET(_xlpm.unite,SUBSTITUTE(TRIM(EX113)," (s)",""),_xlpm.val,FB113,_xlpm.estVol,COUNTIF(EW139:FC139,_xlpm.unite)+COUNTIF(EW141:FC141,_xlpm.unite)&gt;0,_xlpm.estPoids,COUNTIF(ET139:EV139,_xlpm.unite)+COUNTIF(ET141:EV141,_xlpm.unite)&gt;0,IF(_xlpm.estVol,IF(ROUND(_xlpm.val,3)&gt;=1,ROUND(_xlpm.val,3)&amp;" L",MAX(1,ROUND(_xlpm.val*100,0))&amp;" cl"),IF(_xlpm.estPoids,IF(ROUND(_xlpm.val,3)&gt;=1,ROUND(_xlpm.val,3)&amp;" Kg",MAX(1,ROUND(_xlpm.val*1000,0))&amp;" g"),"")))</f>
        <v>1 cl</v>
      </c>
    </row>
    <row r="114" spans="2:159" ht="21" customHeight="1">
      <c r="B114" s="952" t="str">
        <f t="shared" si="28"/>
        <v>►</v>
      </c>
      <c r="C114" s="993" cm="1">
        <f t="array" ref="C114">SUMPRODUCT(LEN(D114:J114))</f>
        <v>0</v>
      </c>
      <c r="D114" s="167"/>
      <c r="E114" s="172"/>
      <c r="F114" s="172"/>
      <c r="G114" s="172"/>
      <c r="H114" s="172"/>
      <c r="I114" s="172"/>
      <c r="J114" s="173"/>
      <c r="K114" s="442" t="s">
        <v>22</v>
      </c>
      <c r="L114" s="64" t="s">
        <v>16</v>
      </c>
      <c r="M114" s="65" t="str">
        <f>Q114</f>
        <v>P PRESSÉ DE BOUDIN NOIR | | Auteur &gt; Guy KRENZE - Eric GODDYN - Arnaud NICOLAS - CEPROC 2002</v>
      </c>
      <c r="N114" s="66">
        <f>Q112</f>
        <v>20</v>
      </c>
      <c r="O114" s="65" t="str">
        <f>R112</f>
        <v>pressés de boudin</v>
      </c>
      <c r="P114" s="67" t="str">
        <f>V114&amp;" "&amp;W114</f>
        <v>Recette mère ► le Boudin en 4 déclinaisons</v>
      </c>
      <c r="Q114" s="68" t="str">
        <f>UPPER(LEFT(R108,1))&amp;" "&amp;R108&amp;" | "&amp;Y108&amp;"| "&amp;T110&amp;" "&amp;U110</f>
        <v>P PRESSÉ DE BOUDIN NOIR | | Auteur &gt; Guy KRENZE - Eric GODDYN - Arnaud NICOLAS - CEPROC 2002</v>
      </c>
      <c r="R114" s="69" t="s">
        <v>54</v>
      </c>
      <c r="S114" s="5469" t="s">
        <v>55</v>
      </c>
      <c r="T114" s="5469"/>
      <c r="U114" s="5469"/>
      <c r="V114" s="70" t="str">
        <f>IF(ISTEXT(W114),"Recette mère ►",R114)</f>
        <v>Recette mère ►</v>
      </c>
      <c r="W114" s="71" t="s">
        <v>12836</v>
      </c>
      <c r="X114" s="71"/>
      <c r="Y114" s="72"/>
      <c r="Z114" s="1473"/>
      <c r="AB114" s="64" t="s">
        <v>16</v>
      </c>
      <c r="AC114" s="65" t="str">
        <f>AG114</f>
        <v>P PRESSED BLACK PUDDING TERRINE | |  Author &gt; Guy KRENZE - Eric GODDYN - Arnaud NICOLAS - CEPROC 2002</v>
      </c>
      <c r="AD114" s="66">
        <f>AG112</f>
        <v>20</v>
      </c>
      <c r="AE114" s="65" t="str">
        <f>AH112</f>
        <v>pressés de boudin</v>
      </c>
      <c r="AF114" s="67" t="str">
        <f>AL114&amp;" "&amp;AM114</f>
        <v>Master recipe ► Black pudding in 4 variations</v>
      </c>
      <c r="AG114" s="68" t="str">
        <f>UPPER(LEFT(AH108,1))&amp;" "&amp;AH108&amp;" | "&amp;AO108&amp;"| "&amp;AJ110&amp;" "&amp;AK110</f>
        <v>P PRESSED BLACK PUDDING TERRINE | |  Author &gt; Guy KRENZE - Eric GODDYN - Arnaud NICOLAS - CEPROC 2002</v>
      </c>
      <c r="AH114" s="69" t="s">
        <v>3315</v>
      </c>
      <c r="AI114" s="5469" t="s">
        <v>3316</v>
      </c>
      <c r="AJ114" s="5469"/>
      <c r="AK114" s="5469"/>
      <c r="AL114" s="70" t="str">
        <f>IF(ISTEXT(AM114),"Master recipe ►",AH114)</f>
        <v>Master recipe ►</v>
      </c>
      <c r="AM114" s="71" t="s">
        <v>12924</v>
      </c>
      <c r="AN114" s="71"/>
      <c r="AO114" s="72"/>
      <c r="AP114" s="1473"/>
      <c r="AR114" s="64" t="s">
        <v>16</v>
      </c>
      <c r="AS114" s="65" t="str">
        <f>AW114</f>
        <v>P PRENSADO DE MORCILLA (TERRINA) | | Autor &gt; Guy KRENZE - Eric GODDYN - Arnaud NICOLAS - CEPROC 2002</v>
      </c>
      <c r="AT114" s="66">
        <f>AW112</f>
        <v>20</v>
      </c>
      <c r="AU114" s="65" t="str">
        <f>AX112</f>
        <v>pressés de boudin</v>
      </c>
      <c r="AV114" s="67" t="str">
        <f>BB114&amp;" "&amp;BC114</f>
        <v>Receta madre ► Morcilla en 4 versiones</v>
      </c>
      <c r="AW114" s="68" t="str">
        <f>UPPER(LEFT(AX108,1))&amp;" "&amp;AX108&amp;" | "&amp;BE108&amp;"| "&amp;AZ110&amp;" "&amp;BA110</f>
        <v>P PRENSADO DE MORCILLA (TERRINA) | | Autor &gt; Guy KRENZE - Eric GODDYN - Arnaud NICOLAS - CEPROC 2002</v>
      </c>
      <c r="AX114" s="69" t="s">
        <v>3319</v>
      </c>
      <c r="AY114" s="5469" t="s">
        <v>906</v>
      </c>
      <c r="AZ114" s="5469"/>
      <c r="BA114" s="5469"/>
      <c r="BB114" s="70" t="str">
        <f>IF(ISTEXT(BC114),"Receta madre ►",AX114)</f>
        <v>Receta madre ►</v>
      </c>
      <c r="BC114" s="71" t="s">
        <v>12925</v>
      </c>
      <c r="BD114" s="71"/>
      <c r="BE114" s="72"/>
      <c r="BF114" s="1473"/>
      <c r="BH114" s="104"/>
      <c r="BI114" s="32"/>
      <c r="BJ114" s="33"/>
      <c r="BK114" s="32"/>
      <c r="BL114" s="34"/>
      <c r="BM114" s="92"/>
      <c r="BN114" s="108"/>
      <c r="BO114" s="94"/>
      <c r="BP114" s="95"/>
      <c r="BQ114" s="105"/>
      <c r="BR114" s="5101"/>
      <c r="BS114" s="920"/>
      <c r="BT114" s="1495"/>
      <c r="BU114" s="101"/>
      <c r="BV114" s="1475"/>
      <c r="BX114" s="104"/>
      <c r="BY114" s="32"/>
      <c r="BZ114" s="33"/>
      <c r="CA114" s="32"/>
      <c r="CB114" s="34"/>
      <c r="CC114" s="92"/>
      <c r="CD114" s="108"/>
      <c r="CE114" s="94"/>
      <c r="CF114" s="95"/>
      <c r="CG114" s="105"/>
      <c r="CH114" s="5101"/>
      <c r="CI114" s="920"/>
      <c r="CJ114" s="1495"/>
      <c r="CK114" s="101"/>
      <c r="CL114" s="1475"/>
      <c r="CN114" s="104"/>
      <c r="CO114" s="32"/>
      <c r="CP114" s="33"/>
      <c r="CQ114" s="32"/>
      <c r="CR114" s="34"/>
      <c r="CS114" s="92"/>
      <c r="CT114" s="108"/>
      <c r="CU114" s="94"/>
      <c r="CV114" s="95"/>
      <c r="CW114" s="105"/>
      <c r="CX114" s="5101"/>
      <c r="CY114" s="920"/>
      <c r="CZ114" s="1495"/>
      <c r="DA114" s="101"/>
      <c r="DB114" s="1475"/>
      <c r="DC114" s="5109"/>
      <c r="DD114" s="5069"/>
      <c r="DF114" s="3">
        <v>1</v>
      </c>
      <c r="EY114" s="127">
        <v>1</v>
      </c>
      <c r="EZ114" s="920"/>
      <c r="FA114" s="1495">
        <f>IF(OR(ISBLANK(ET102),FA102=0),0,ET114*EY103)</f>
        <v>0</v>
      </c>
      <c r="FB114" s="101">
        <f>IFERROR(_xlfn.LET(_xlpm.v,IFERROR(_xlfn.XLOOKUP(EX114,ET139:FC139,ET140:FC140),_xlfn.XLOOKUP(EX114,ET141:FC141,ET142:FC142)),_xlpm.v*EW114*EY114*EY103*IF(ISBLANK(ET114),1,ET114)),0)</f>
        <v>0</v>
      </c>
      <c r="FC114" s="1476" t="str">
        <f>_xlfn.LET(_xlpm.unite,SUBSTITUTE(TRIM(EX114)," (s)",""),_xlpm.val,FB114,_xlpm.estVol,COUNTIF(EW139:FC139,_xlpm.unite)+COUNTIF(EW141:FC141,_xlpm.unite)&gt;0,_xlpm.estPoids,COUNTIF(ET139:EV139,_xlpm.unite)+COUNTIF(ET141:EV141,_xlpm.unite)&gt;0,IF(_xlpm.estVol,IF(ROUND(_xlpm.val,3)&gt;=1,ROUND(_xlpm.val,3)&amp;" L",MAX(1,ROUND(_xlpm.val*100,0))&amp;" cl"),IF(_xlpm.estPoids,IF(ROUND(_xlpm.val,3)&gt;=1,ROUND(_xlpm.val,3)&amp;" Kg",MAX(1,ROUND(_xlpm.val*1000,0))&amp;" g"),"")))</f>
        <v>1 cl</v>
      </c>
    </row>
    <row r="115" spans="2:159" ht="21" customHeight="1">
      <c r="B115" s="952" t="str">
        <f t="shared" si="28"/>
        <v>►</v>
      </c>
      <c r="C115" s="993" cm="1">
        <f t="array" ref="C115">SUMPRODUCT(LEN(D115:J115))</f>
        <v>0</v>
      </c>
      <c r="D115" s="167"/>
      <c r="E115" s="172"/>
      <c r="F115" s="172"/>
      <c r="G115" s="172"/>
      <c r="H115" s="172"/>
      <c r="I115" s="172"/>
      <c r="J115" s="173"/>
      <c r="K115" s="442" t="s">
        <v>22</v>
      </c>
      <c r="L115" s="74" t="s">
        <v>16</v>
      </c>
      <c r="M115" s="75" t="str">
        <f>M114</f>
        <v>P PRESSÉ DE BOUDIN NOIR | | Auteur &gt; Guy KRENZE - Eric GODDYN - Arnaud NICOLAS - CEPROC 2002</v>
      </c>
      <c r="N115" s="75">
        <f>N114</f>
        <v>20</v>
      </c>
      <c r="O115" s="75" t="str">
        <f>O114</f>
        <v>pressés de boudin</v>
      </c>
      <c r="P115" s="76" t="str">
        <f>P114</f>
        <v>Recette mère ► le Boudin en 4 déclinaisons</v>
      </c>
      <c r="Q115" s="13" t="s">
        <v>66</v>
      </c>
      <c r="R115" s="13" t="s">
        <v>67</v>
      </c>
      <c r="S115" s="13" t="s">
        <v>68</v>
      </c>
      <c r="T115" s="13" t="s">
        <v>69</v>
      </c>
      <c r="U115" s="77" t="s">
        <v>70</v>
      </c>
      <c r="V115" s="78" t="s">
        <v>71</v>
      </c>
      <c r="W115" s="79" t="s">
        <v>72</v>
      </c>
      <c r="X115" s="1496" t="s">
        <v>73</v>
      </c>
      <c r="Y115" s="13" t="s">
        <v>74</v>
      </c>
      <c r="Z115" s="518" t="s">
        <v>75</v>
      </c>
      <c r="AB115" s="74" t="s">
        <v>16</v>
      </c>
      <c r="AC115" s="75" t="str">
        <f>AC114</f>
        <v>P PRESSED BLACK PUDDING TERRINE | |  Author &gt; Guy KRENZE - Eric GODDYN - Arnaud NICOLAS - CEPROC 2002</v>
      </c>
      <c r="AD115" s="75">
        <f>AD114</f>
        <v>20</v>
      </c>
      <c r="AE115" s="75" t="str">
        <f>AE114</f>
        <v>pressés de boudin</v>
      </c>
      <c r="AF115" s="76" t="str">
        <f>AF114</f>
        <v>Master recipe ► Black pudding in 4 variations</v>
      </c>
      <c r="AG115" s="13" t="s">
        <v>66</v>
      </c>
      <c r="AH115" s="13" t="s">
        <v>67</v>
      </c>
      <c r="AI115" s="13" t="s">
        <v>68</v>
      </c>
      <c r="AJ115" s="13" t="s">
        <v>69</v>
      </c>
      <c r="AK115" s="77" t="s">
        <v>70</v>
      </c>
      <c r="AL115" s="78" t="s">
        <v>71</v>
      </c>
      <c r="AM115" s="79" t="s">
        <v>72</v>
      </c>
      <c r="AN115" s="1496" t="s">
        <v>73</v>
      </c>
      <c r="AO115" s="13" t="s">
        <v>75</v>
      </c>
      <c r="AP115" s="518" t="s">
        <v>76</v>
      </c>
      <c r="AR115" s="74" t="s">
        <v>16</v>
      </c>
      <c r="AS115" s="75" t="str">
        <f>AS114</f>
        <v>P PRENSADO DE MORCILLA (TERRINA) | | Autor &gt; Guy KRENZE - Eric GODDYN - Arnaud NICOLAS - CEPROC 2002</v>
      </c>
      <c r="AT115" s="75">
        <f>AT114</f>
        <v>20</v>
      </c>
      <c r="AU115" s="75" t="str">
        <f>AU114</f>
        <v>pressés de boudin</v>
      </c>
      <c r="AV115" s="76" t="str">
        <f>AV114</f>
        <v>Receta madre ► Morcilla en 4 versiones</v>
      </c>
      <c r="AW115" s="13" t="s">
        <v>66</v>
      </c>
      <c r="AX115" s="13" t="s">
        <v>67</v>
      </c>
      <c r="AY115" s="13" t="s">
        <v>68</v>
      </c>
      <c r="AZ115" s="13" t="s">
        <v>69</v>
      </c>
      <c r="BA115" s="77" t="s">
        <v>70</v>
      </c>
      <c r="BB115" s="78" t="s">
        <v>71</v>
      </c>
      <c r="BC115" s="79" t="s">
        <v>72</v>
      </c>
      <c r="BD115" s="1496" t="s">
        <v>73</v>
      </c>
      <c r="BE115" s="13" t="s">
        <v>74</v>
      </c>
      <c r="BF115" s="518" t="s">
        <v>75</v>
      </c>
      <c r="BH115" s="104"/>
      <c r="BI115" s="32"/>
      <c r="BJ115" s="33"/>
      <c r="BK115" s="32"/>
      <c r="BL115" s="34"/>
      <c r="BM115" s="92"/>
      <c r="BN115" s="108"/>
      <c r="BO115" s="94"/>
      <c r="BP115" s="95"/>
      <c r="BQ115" s="105"/>
      <c r="BR115" s="5101"/>
      <c r="BS115" s="920"/>
      <c r="BT115" s="1495"/>
      <c r="BU115" s="101"/>
      <c r="BV115" s="1475"/>
      <c r="BX115" s="104"/>
      <c r="BY115" s="32"/>
      <c r="BZ115" s="33"/>
      <c r="CA115" s="32"/>
      <c r="CB115" s="34"/>
      <c r="CC115" s="92"/>
      <c r="CD115" s="108"/>
      <c r="CE115" s="94"/>
      <c r="CF115" s="95"/>
      <c r="CG115" s="105"/>
      <c r="CH115" s="5101"/>
      <c r="CI115" s="920"/>
      <c r="CJ115" s="1495"/>
      <c r="CK115" s="101"/>
      <c r="CL115" s="1475"/>
      <c r="CN115" s="104"/>
      <c r="CO115" s="32"/>
      <c r="CP115" s="33"/>
      <c r="CQ115" s="32"/>
      <c r="CR115" s="34"/>
      <c r="CS115" s="92"/>
      <c r="CT115" s="108"/>
      <c r="CU115" s="94"/>
      <c r="CV115" s="95"/>
      <c r="CW115" s="105"/>
      <c r="CX115" s="5101"/>
      <c r="CY115" s="920"/>
      <c r="CZ115" s="1495"/>
      <c r="DA115" s="101"/>
      <c r="DB115" s="1475"/>
      <c r="DC115" s="5109"/>
      <c r="DD115" s="5069"/>
      <c r="DF115" s="3">
        <v>1</v>
      </c>
      <c r="EY115" s="127">
        <v>1</v>
      </c>
      <c r="EZ115" s="920"/>
      <c r="FA115" s="1495">
        <f>IF(OR(ISBLANK(ET102),FA102=0),0,ET115*EY103)</f>
        <v>0</v>
      </c>
      <c r="FB115" s="101">
        <f>IFERROR(_xlfn.LET(_xlpm.v,IFERROR(_xlfn.XLOOKUP(EX115,ET139:FC139,ET140:FC140),_xlfn.XLOOKUP(EX115,ET141:FC141,ET142:FC142)),_xlpm.v*EW115*EY115*EY103*IF(ISBLANK(ET115),1,ET115)),0)</f>
        <v>0</v>
      </c>
      <c r="FC115" s="1475" t="str">
        <f>_xlfn.LET(_xlpm.unite,SUBSTITUTE(TRIM(EX115)," (s)",""),_xlpm.val,FB115,_xlpm.estVol,COUNTIF(EW139:FC139,_xlpm.unite)+COUNTIF(EW141:FC141,_xlpm.unite)&gt;0,_xlpm.estPoids,COUNTIF(ET139:EV139,_xlpm.unite)+COUNTIF(ET141:EV141,_xlpm.unite)&gt;0,IF(_xlpm.estVol,IF(ROUND(_xlpm.val,3)&gt;=1,ROUND(_xlpm.val,3)&amp;" L",MAX(1,ROUND(_xlpm.val*100,0))&amp;" cl"),IF(_xlpm.estPoids,IF(ROUND(_xlpm.val,3)&gt;=1,ROUND(_xlpm.val,3)&amp;" Kg",MAX(1,ROUND(_xlpm.val*1000,0))&amp;" g"),"")))</f>
        <v>1 cl</v>
      </c>
    </row>
    <row r="116" spans="2:159" ht="21" customHeight="1">
      <c r="B116" s="952" t="str">
        <f t="shared" si="28"/>
        <v>A</v>
      </c>
      <c r="C116" s="993" cm="1">
        <f t="array" ref="C116">SUMPRODUCT(LEN(D116:J116))</f>
        <v>0</v>
      </c>
      <c r="D116" s="167"/>
      <c r="E116" s="172"/>
      <c r="F116" s="172"/>
      <c r="G116" s="172"/>
      <c r="H116" s="172"/>
      <c r="I116" s="172"/>
      <c r="J116" s="173"/>
      <c r="K116" s="442" t="s">
        <v>22</v>
      </c>
      <c r="L116" s="27" t="s">
        <v>11</v>
      </c>
      <c r="M116" s="32" t="str">
        <f>M114</f>
        <v>P PRESSÉ DE BOUDIN NOIR | | Auteur &gt; Guy KRENZE - Eric GODDYN - Arnaud NICOLAS - CEPROC 2002</v>
      </c>
      <c r="N116" s="33">
        <f>N114</f>
        <v>20</v>
      </c>
      <c r="O116" s="32" t="str">
        <f>O114</f>
        <v>pressés de boudin</v>
      </c>
      <c r="P116" s="34" t="str">
        <f>P114</f>
        <v>Recette mère ► le Boudin en 4 déclinaisons</v>
      </c>
      <c r="Q116" s="81" t="s">
        <v>77</v>
      </c>
      <c r="R116" s="82" t="s">
        <v>78</v>
      </c>
      <c r="S116" s="83"/>
      <c r="T116" s="5454" t="s">
        <v>79</v>
      </c>
      <c r="U116" s="5464" t="s">
        <v>80</v>
      </c>
      <c r="V116" s="5466" t="s">
        <v>81</v>
      </c>
      <c r="W116" s="84" t="s">
        <v>82</v>
      </c>
      <c r="X116" s="5444" t="s">
        <v>83</v>
      </c>
      <c r="Y116" s="5446" t="s">
        <v>3297</v>
      </c>
      <c r="Z116" s="5448" t="s">
        <v>86</v>
      </c>
      <c r="AB116" s="27" t="s">
        <v>11</v>
      </c>
      <c r="AC116" s="32" t="str">
        <f>AC114</f>
        <v>P PRESSED BLACK PUDDING TERRINE | |  Author &gt; Guy KRENZE - Eric GODDYN - Arnaud NICOLAS - CEPROC 2002</v>
      </c>
      <c r="AD116" s="33">
        <f>AD114</f>
        <v>20</v>
      </c>
      <c r="AE116" s="32" t="str">
        <f>AE114</f>
        <v>pressés de boudin</v>
      </c>
      <c r="AF116" s="34" t="str">
        <f>AF114</f>
        <v>Master recipe ► Black pudding in 4 variations</v>
      </c>
      <c r="AG116" s="81" t="s">
        <v>77</v>
      </c>
      <c r="AH116" s="82" t="s">
        <v>78</v>
      </c>
      <c r="AI116" s="83"/>
      <c r="AJ116" s="5454" t="s">
        <v>228</v>
      </c>
      <c r="AK116" s="5464" t="s">
        <v>80</v>
      </c>
      <c r="AL116" s="5466" t="s">
        <v>81</v>
      </c>
      <c r="AM116" s="84" t="s">
        <v>82</v>
      </c>
      <c r="AN116" s="5444" t="s">
        <v>244</v>
      </c>
      <c r="AO116" s="5446" t="s">
        <v>890</v>
      </c>
      <c r="AP116" s="5448" t="s">
        <v>247</v>
      </c>
      <c r="AR116" s="27" t="s">
        <v>11</v>
      </c>
      <c r="AS116" s="32" t="str">
        <f>AS114</f>
        <v>P PRENSADO DE MORCILLA (TERRINA) | | Autor &gt; Guy KRENZE - Eric GODDYN - Arnaud NICOLAS - CEPROC 2002</v>
      </c>
      <c r="AT116" s="33">
        <f>AT114</f>
        <v>20</v>
      </c>
      <c r="AU116" s="32" t="str">
        <f>AU114</f>
        <v>pressés de boudin</v>
      </c>
      <c r="AV116" s="34" t="str">
        <f>AV114</f>
        <v>Receta madre ► Morcilla en 4 versiones</v>
      </c>
      <c r="AW116" s="81" t="s">
        <v>77</v>
      </c>
      <c r="AX116" s="82" t="s">
        <v>78</v>
      </c>
      <c r="AY116" s="83"/>
      <c r="AZ116" s="5470" t="s">
        <v>229</v>
      </c>
      <c r="BA116" s="5495" t="s">
        <v>80</v>
      </c>
      <c r="BB116" s="5481" t="s">
        <v>396</v>
      </c>
      <c r="BC116" s="84" t="s">
        <v>82</v>
      </c>
      <c r="BD116" s="5444" t="s">
        <v>249</v>
      </c>
      <c r="BE116" s="5446" t="s">
        <v>907</v>
      </c>
      <c r="BF116" s="5448" t="s">
        <v>252</v>
      </c>
      <c r="BH116" s="104"/>
      <c r="BI116" s="32"/>
      <c r="BJ116" s="33"/>
      <c r="BK116" s="32"/>
      <c r="BL116" s="34"/>
      <c r="BM116" s="92"/>
      <c r="BN116" s="108"/>
      <c r="BO116" s="94"/>
      <c r="BP116" s="95"/>
      <c r="BQ116" s="105"/>
      <c r="BR116" s="5101"/>
      <c r="BS116" s="920"/>
      <c r="BT116" s="1495"/>
      <c r="BU116" s="101"/>
      <c r="BV116" s="1475"/>
      <c r="BX116" s="104"/>
      <c r="BY116" s="32"/>
      <c r="BZ116" s="33"/>
      <c r="CA116" s="32"/>
      <c r="CB116" s="34"/>
      <c r="CC116" s="92"/>
      <c r="CD116" s="108"/>
      <c r="CE116" s="94"/>
      <c r="CF116" s="95"/>
      <c r="CG116" s="105"/>
      <c r="CH116" s="5101"/>
      <c r="CI116" s="920"/>
      <c r="CJ116" s="1495"/>
      <c r="CK116" s="101"/>
      <c r="CL116" s="1475"/>
      <c r="CN116" s="104"/>
      <c r="CO116" s="32"/>
      <c r="CP116" s="33"/>
      <c r="CQ116" s="32"/>
      <c r="CR116" s="34"/>
      <c r="CS116" s="92"/>
      <c r="CT116" s="108"/>
      <c r="CU116" s="94"/>
      <c r="CV116" s="95"/>
      <c r="CW116" s="105"/>
      <c r="CX116" s="5101"/>
      <c r="CY116" s="920"/>
      <c r="CZ116" s="1495"/>
      <c r="DA116" s="101"/>
      <c r="DB116" s="1475"/>
      <c r="DC116" s="5109"/>
      <c r="DD116" s="5086"/>
      <c r="DF116" s="3">
        <v>1</v>
      </c>
      <c r="EY116" s="127">
        <v>1</v>
      </c>
      <c r="EZ116" s="920"/>
      <c r="FA116" s="1495">
        <f>IF(OR(ISBLANK(ET102),FA102=0),0,ET116*EY103)</f>
        <v>0</v>
      </c>
      <c r="FB116" s="101">
        <f>IFERROR(_xlfn.LET(_xlpm.v,IFERROR(_xlfn.XLOOKUP(EX116,ET139:FC139,ET140:FC140),_xlfn.XLOOKUP(EX116,ET141:FC141,ET142:FC142)),_xlpm.v*EW116*EY116*EY103*IF(ISBLANK(ET116),1,ET116)),0)</f>
        <v>0</v>
      </c>
      <c r="FC116" s="1476" t="str">
        <f>_xlfn.LET(_xlpm.unite,SUBSTITUTE(TRIM(EX116)," (s)",""),_xlpm.val,FB116,_xlpm.estVol,COUNTIF(EW139:FC139,_xlpm.unite)+COUNTIF(EW141:FC141,_xlpm.unite)&gt;0,_xlpm.estPoids,COUNTIF(ET139:EV139,_xlpm.unite)+COUNTIF(ET141:EV141,_xlpm.unite)&gt;0,IF(_xlpm.estVol,IF(ROUND(_xlpm.val,3)&gt;=1,ROUND(_xlpm.val,3)&amp;" L",MAX(1,ROUND(_xlpm.val*100,0))&amp;" cl"),IF(_xlpm.estPoids,IF(ROUND(_xlpm.val,3)&gt;=1,ROUND(_xlpm.val,3)&amp;" Kg",MAX(1,ROUND(_xlpm.val*1000,0))&amp;" g"),"")))</f>
        <v>1 cl</v>
      </c>
    </row>
    <row r="117" spans="2:159" ht="21" customHeight="1">
      <c r="B117" s="952" t="str">
        <f t="shared" si="28"/>
        <v>A</v>
      </c>
      <c r="C117" s="993" cm="1">
        <f t="array" ref="C117">SUMPRODUCT(LEN(D117:J117))</f>
        <v>0</v>
      </c>
      <c r="D117" s="167"/>
      <c r="E117" s="172"/>
      <c r="F117" s="172"/>
      <c r="G117" s="172"/>
      <c r="H117" s="172"/>
      <c r="I117" s="172"/>
      <c r="J117" s="173"/>
      <c r="K117" s="442" t="s">
        <v>22</v>
      </c>
      <c r="L117" s="27" t="s">
        <v>11</v>
      </c>
      <c r="M117" s="32" t="str">
        <f>M114</f>
        <v>P PRESSÉ DE BOUDIN NOIR | | Auteur &gt; Guy KRENZE - Eric GODDYN - Arnaud NICOLAS - CEPROC 2002</v>
      </c>
      <c r="N117" s="33">
        <f>N114</f>
        <v>20</v>
      </c>
      <c r="O117" s="32" t="str">
        <f>O114</f>
        <v>pressés de boudin</v>
      </c>
      <c r="P117" s="34" t="str">
        <f>P114</f>
        <v>Recette mère ► le Boudin en 4 déclinaisons</v>
      </c>
      <c r="Q117" s="87" t="s">
        <v>91</v>
      </c>
      <c r="R117" s="88" t="s">
        <v>92</v>
      </c>
      <c r="S117" s="89" t="s">
        <v>93</v>
      </c>
      <c r="T117" s="5455"/>
      <c r="U117" s="5465"/>
      <c r="V117" s="5467"/>
      <c r="W117" s="90" t="s">
        <v>94</v>
      </c>
      <c r="X117" s="5445"/>
      <c r="Y117" s="5447"/>
      <c r="Z117" s="5449"/>
      <c r="AB117" s="27" t="s">
        <v>11</v>
      </c>
      <c r="AC117" s="32" t="str">
        <f>AC114</f>
        <v>P PRESSED BLACK PUDDING TERRINE | |  Author &gt; Guy KRENZE - Eric GODDYN - Arnaud NICOLAS - CEPROC 2002</v>
      </c>
      <c r="AD117" s="33">
        <f>AD114</f>
        <v>20</v>
      </c>
      <c r="AE117" s="32" t="str">
        <f>AE114</f>
        <v>pressés de boudin</v>
      </c>
      <c r="AF117" s="34" t="str">
        <f>AF114</f>
        <v>Master recipe ► Black pudding in 4 variations</v>
      </c>
      <c r="AG117" s="87" t="s">
        <v>231</v>
      </c>
      <c r="AH117" s="88" t="s">
        <v>232</v>
      </c>
      <c r="AI117" s="89" t="s">
        <v>891</v>
      </c>
      <c r="AJ117" s="5455"/>
      <c r="AK117" s="5465"/>
      <c r="AL117" s="5467"/>
      <c r="AM117" s="90" t="s">
        <v>867</v>
      </c>
      <c r="AN117" s="5445"/>
      <c r="AO117" s="5447"/>
      <c r="AP117" s="5449"/>
      <c r="AR117" s="27" t="s">
        <v>11</v>
      </c>
      <c r="AS117" s="32" t="str">
        <f>AS114</f>
        <v>P PRENSADO DE MORCILLA (TERRINA) | | Autor &gt; Guy KRENZE - Eric GODDYN - Arnaud NICOLAS - CEPROC 2002</v>
      </c>
      <c r="AT117" s="33">
        <f>AT114</f>
        <v>20</v>
      </c>
      <c r="AU117" s="32" t="str">
        <f>AU114</f>
        <v>pressés de boudin</v>
      </c>
      <c r="AV117" s="34" t="str">
        <f>AV114</f>
        <v>Receta madre ► Morcilla en 4 versiones</v>
      </c>
      <c r="AW117" s="87" t="s">
        <v>234</v>
      </c>
      <c r="AX117" s="88" t="s">
        <v>235</v>
      </c>
      <c r="AY117" s="89" t="s">
        <v>93</v>
      </c>
      <c r="AZ117" s="5455"/>
      <c r="BA117" s="5465"/>
      <c r="BB117" s="5467"/>
      <c r="BC117" s="90" t="s">
        <v>869</v>
      </c>
      <c r="BD117" s="5445"/>
      <c r="BE117" s="5447"/>
      <c r="BF117" s="5449"/>
      <c r="BH117" s="104"/>
      <c r="BI117" s="32"/>
      <c r="BJ117" s="33"/>
      <c r="BK117" s="32"/>
      <c r="BL117" s="34"/>
      <c r="BM117" s="92"/>
      <c r="BN117" s="108"/>
      <c r="BO117" s="94"/>
      <c r="BP117" s="95"/>
      <c r="BQ117" s="105"/>
      <c r="BR117" s="5101"/>
      <c r="BS117" s="920"/>
      <c r="BT117" s="1495"/>
      <c r="BU117" s="101"/>
      <c r="BV117" s="1475"/>
      <c r="BX117" s="104"/>
      <c r="BY117" s="32"/>
      <c r="BZ117" s="33"/>
      <c r="CA117" s="32"/>
      <c r="CB117" s="34"/>
      <c r="CC117" s="92"/>
      <c r="CD117" s="108"/>
      <c r="CE117" s="94"/>
      <c r="CF117" s="95"/>
      <c r="CG117" s="105"/>
      <c r="CH117" s="5101"/>
      <c r="CI117" s="920"/>
      <c r="CJ117" s="1495"/>
      <c r="CK117" s="101"/>
      <c r="CL117" s="1475"/>
      <c r="CN117" s="104"/>
      <c r="CO117" s="32"/>
      <c r="CP117" s="33"/>
      <c r="CQ117" s="32"/>
      <c r="CR117" s="34"/>
      <c r="CS117" s="92"/>
      <c r="CT117" s="108"/>
      <c r="CU117" s="94"/>
      <c r="CV117" s="95"/>
      <c r="CW117" s="105"/>
      <c r="CX117" s="5101"/>
      <c r="CY117" s="920"/>
      <c r="CZ117" s="1495"/>
      <c r="DA117" s="101"/>
      <c r="DB117" s="1475"/>
      <c r="DC117" s="5109"/>
      <c r="DD117" s="5086"/>
      <c r="DF117" s="3">
        <v>1</v>
      </c>
      <c r="EY117" s="127">
        <v>1</v>
      </c>
      <c r="EZ117" s="920"/>
      <c r="FA117" s="1495">
        <f>IF(OR(ISBLANK(ET102),FA102=0),0,ET117*EY103)</f>
        <v>0</v>
      </c>
      <c r="FB117" s="101">
        <f>IFERROR(_xlfn.LET(_xlpm.v,IFERROR(_xlfn.XLOOKUP(EX117,ET139:FC139,ET140:FC140),_xlfn.XLOOKUP(EX117,ET141:FC141,ET142:FC142)),_xlpm.v*EW117*EY117*EY103*IF(ISBLANK(ET117),1,ET117)),0)</f>
        <v>0</v>
      </c>
      <c r="FC117" s="1475" t="str">
        <f>_xlfn.LET(_xlpm.unite,SUBSTITUTE(TRIM(EX117)," (s)",""),_xlpm.val,FB117,_xlpm.estVol,COUNTIF(EW139:FC139,_xlpm.unite)+COUNTIF(EW141:FC141,_xlpm.unite)&gt;0,_xlpm.estPoids,COUNTIF(ET139:EV139,_xlpm.unite)+COUNTIF(ET141:EV141,_xlpm.unite)&gt;0,IF(_xlpm.estVol,IF(ROUND(_xlpm.val,3)&gt;=1,ROUND(_xlpm.val,3)&amp;" L",MAX(1,ROUND(_xlpm.val*100,0))&amp;" cl"),IF(_xlpm.estPoids,IF(ROUND(_xlpm.val,3)&gt;=1,ROUND(_xlpm.val,3)&amp;" Kg",MAX(1,ROUND(_xlpm.val*1000,0))&amp;" g"),"")))</f>
        <v>1 cl</v>
      </c>
    </row>
    <row r="118" spans="2:159" ht="21" customHeight="1">
      <c r="B118" s="952" t="str">
        <f t="shared" si="28"/>
        <v>A</v>
      </c>
      <c r="C118" s="993" cm="1">
        <f t="array" ref="C118">SUMPRODUCT(LEN(D118:J118))</f>
        <v>0</v>
      </c>
      <c r="D118" s="167"/>
      <c r="E118" s="172"/>
      <c r="F118" s="172"/>
      <c r="G118" s="172"/>
      <c r="H118" s="172"/>
      <c r="I118" s="172"/>
      <c r="J118" s="173"/>
      <c r="K118" s="442" t="s">
        <v>22</v>
      </c>
      <c r="L118" s="27" t="s">
        <v>11</v>
      </c>
      <c r="M118" s="32" t="str">
        <f>M114</f>
        <v>P PRESSÉ DE BOUDIN NOIR | | Auteur &gt; Guy KRENZE - Eric GODDYN - Arnaud NICOLAS - CEPROC 2002</v>
      </c>
      <c r="N118" s="33">
        <f>N114</f>
        <v>20</v>
      </c>
      <c r="O118" s="32" t="str">
        <f>O114</f>
        <v>pressés de boudin</v>
      </c>
      <c r="P118" s="34" t="str">
        <f>P114</f>
        <v>Recette mère ► le Boudin en 4 déclinaisons</v>
      </c>
      <c r="Q118" s="92"/>
      <c r="R118" s="93"/>
      <c r="S118" s="94" t="str">
        <f t="shared" ref="S118:S147" si="29">IF(OR(ISTEXT(Q118), Q118&lt;=0, T118&lt;=0), "", "de")</f>
        <v/>
      </c>
      <c r="T118" s="95"/>
      <c r="U118" s="126"/>
      <c r="V118" s="127">
        <v>1</v>
      </c>
      <c r="W118" s="5037" t="s">
        <v>12854</v>
      </c>
      <c r="X118" s="100">
        <f>IF(OR(ISBLANK(Q112),X112=0),0,Q118*V113)</f>
        <v>0</v>
      </c>
      <c r="Y118" s="101" cm="1">
        <f t="array" ref="Y118">IFERROR(_xlfn.LET(_xlpm.k,UPPER(TRIM(U118)),_xlpm.r,_xlfn.XLOOKUP(_xlpm.k,UPPER(TRIM(Q149:Z149)),Q150:Z150,_xlfn.XLOOKUP(_xlpm.k,UPPER(TRIM(Q151:Z151)),Q152:Z152)),_xlpm.r*T118*V118*V113*IF(ISBLANK(Q118),1,Q118)),0)</f>
        <v>0</v>
      </c>
      <c r="Z118" s="1476" t="str">
        <f>_xlfn.LET(_xlpm.unite,SUBSTITUTE(TRIM(U118)," (s)",""),_xlpm.val,Y118,_xlpm.estVol,COUNTIF(T149:Z149,_xlpm.unite)+COUNTIF(T151:Z151,_xlpm.unite)&gt;0,_xlpm.estPoids,COUNTIF(Q149:S149,_xlpm.unite)+COUNTIF(Q151:S151,_xlpm.unite)&gt;0,IF(_xlpm.estVol,IF(ROUND(_xlpm.val,3)&gt;=1,ROUND(_xlpm.val,3)&amp;" L",MAX(1,ROUND(_xlpm.val*100,0))&amp;" cl"),IF(_xlpm.estPoids,IF(ROUND(_xlpm.val,3)&gt;=1,ROUND(_xlpm.val,3)&amp;" Kg",MAX(1,ROUND(_xlpm.val*1000,0))&amp;" g"),"")))</f>
        <v/>
      </c>
      <c r="AB118" s="27" t="s">
        <v>11</v>
      </c>
      <c r="AC118" s="32" t="str">
        <f>AC114</f>
        <v>P PRESSED BLACK PUDDING TERRINE | |  Author &gt; Guy KRENZE - Eric GODDYN - Arnaud NICOLAS - CEPROC 2002</v>
      </c>
      <c r="AD118" s="33">
        <f>AD114</f>
        <v>20</v>
      </c>
      <c r="AE118" s="32" t="str">
        <f>AE114</f>
        <v>pressés de boudin</v>
      </c>
      <c r="AF118" s="34" t="str">
        <f>AF114</f>
        <v>Master recipe ► Black pudding in 4 variations</v>
      </c>
      <c r="AG118" s="92"/>
      <c r="AH118" s="93"/>
      <c r="AI118" s="94" t="str">
        <f t="shared" ref="AI118:AI147" si="30">IF(OR(ISTEXT(AG118), AG118&lt;=0, AJ118&lt;=0), "", "de")</f>
        <v/>
      </c>
      <c r="AJ118" s="95"/>
      <c r="AK118" s="126"/>
      <c r="AL118" s="127">
        <v>1</v>
      </c>
      <c r="AM118" s="5037" t="s">
        <v>12999</v>
      </c>
      <c r="AN118" s="100">
        <f>IF(OR(ISBLANK(AG112),AN112=0),0,AG118*AL113)</f>
        <v>0</v>
      </c>
      <c r="AO118" s="101" cm="1">
        <f t="array" ref="AO118">IFERROR(_xlfn.LET(_xlpm.k,UPPER(TRIM(AK118)),_xlpm.r,_xlfn.XLOOKUP(_xlpm.k,UPPER(TRIM(AG149:AP149)),AG150:AP150,_xlfn.XLOOKUP(_xlpm.k,UPPER(TRIM(AG151:AP151)),AG152:AP152)),_xlpm.r*AJ118*AL118*AL113*IF(ISBLANK(AG118),1,AG118)),0)</f>
        <v>0</v>
      </c>
      <c r="AP118" s="1476" t="str">
        <f>_xlfn.LET(_xlpm.unite,SUBSTITUTE(TRIM(AK118)," (s)",""),_xlpm.val,AO118,_xlpm.estVol,COUNTIF(AJ149:AP149,_xlpm.unite)+COUNTIF(AJ151:AP151,_xlpm.unite)&gt;0,_xlpm.estPoids,COUNTIF(AG149:AI149,_xlpm.unite)+COUNTIF(AG151:AI151,_xlpm.unite)&gt;0,IF(_xlpm.estVol,IF(ROUND(_xlpm.val,3)&gt;=1,ROUND(_xlpm.val,3)&amp;" L",MAX(1,ROUND(_xlpm.val*100,0))&amp;" cl"),IF(_xlpm.estPoids,IF(ROUND(_xlpm.val,3)&gt;=1,ROUND(_xlpm.val,3)&amp;" Kg",MAX(1,ROUND(_xlpm.val*1000,0))&amp;" g"),"")))</f>
        <v/>
      </c>
      <c r="AR118" s="27" t="s">
        <v>11</v>
      </c>
      <c r="AS118" s="32" t="str">
        <f>AS114</f>
        <v>P PRENSADO DE MORCILLA (TERRINA) | | Autor &gt; Guy KRENZE - Eric GODDYN - Arnaud NICOLAS - CEPROC 2002</v>
      </c>
      <c r="AT118" s="33">
        <f>AT114</f>
        <v>20</v>
      </c>
      <c r="AU118" s="32" t="str">
        <f>AU114</f>
        <v>pressés de boudin</v>
      </c>
      <c r="AV118" s="34" t="str">
        <f>AV114</f>
        <v>Receta madre ► Morcilla en 4 versiones</v>
      </c>
      <c r="AW118" s="92"/>
      <c r="AX118" s="93"/>
      <c r="AY118" s="94" t="str">
        <f t="shared" ref="AY118:AY147" si="31">IF(OR(ISTEXT(AW118), AW118&lt;=0, AZ118&lt;=0), "", "de")</f>
        <v/>
      </c>
      <c r="AZ118" s="95"/>
      <c r="BA118" s="126"/>
      <c r="BB118" s="127">
        <v>1</v>
      </c>
      <c r="BC118" s="5037" t="s">
        <v>13000</v>
      </c>
      <c r="BD118" s="100">
        <f>IF(OR(ISBLANK(AW112),BD112=0),0,AW118*BB113)</f>
        <v>0</v>
      </c>
      <c r="BE118" s="101" cm="1">
        <f t="array" ref="BE118">IFERROR(_xlfn.LET(_xlpm.k,UPPER(TRIM(BA118)),_xlpm.r,_xlfn.XLOOKUP(_xlpm.k,UPPER(TRIM(AW149:BF149)),AW150:BF150,_xlfn.XLOOKUP(_xlpm.k,UPPER(TRIM(AW151:BF151)),AW152:BF152)),_xlpm.r*AZ118*BB118*BB113*IF(ISBLANK(AW118),1,AW118)),0)</f>
        <v>0</v>
      </c>
      <c r="BF118" s="1476" t="str">
        <f>_xlfn.LET(_xlpm.unite,SUBSTITUTE(TRIM(BA118)," (s)",""),_xlpm.val,BE118,_xlpm.estVol,COUNTIF(AZ149:BF149,_xlpm.unite)+COUNTIF(AZ151:BF151,_xlpm.unite)&gt;0,_xlpm.estPoids,COUNTIF(AW149:AY149,_xlpm.unite)+COUNTIF(AW151:AY151,_xlpm.unite)&gt;0,IF(_xlpm.estVol,IF(ROUND(_xlpm.val,3)&gt;=1,ROUND(_xlpm.val,3)&amp;" L",MAX(1,ROUND(_xlpm.val*100,0))&amp;" cl"),IF(_xlpm.estPoids,IF(ROUND(_xlpm.val,3)&gt;=1,ROUND(_xlpm.val,3)&amp;" Kg",MAX(1,ROUND(_xlpm.val*1000,0))&amp;" g"),"")))</f>
        <v/>
      </c>
      <c r="BH118" s="104"/>
      <c r="BI118" s="32"/>
      <c r="BJ118" s="33"/>
      <c r="BK118" s="32"/>
      <c r="BL118" s="34"/>
      <c r="BM118" s="92"/>
      <c r="BN118" s="108"/>
      <c r="BO118" s="94"/>
      <c r="BP118" s="95"/>
      <c r="BQ118" s="105"/>
      <c r="BR118" s="5101"/>
      <c r="BS118" s="920"/>
      <c r="BT118" s="1495"/>
      <c r="BU118" s="101"/>
      <c r="BV118" s="1475"/>
      <c r="BX118" s="104"/>
      <c r="BY118" s="32"/>
      <c r="BZ118" s="33"/>
      <c r="CA118" s="32"/>
      <c r="CB118" s="34"/>
      <c r="CC118" s="92"/>
      <c r="CD118" s="108"/>
      <c r="CE118" s="94"/>
      <c r="CF118" s="95"/>
      <c r="CG118" s="105"/>
      <c r="CH118" s="5101"/>
      <c r="CI118" s="920"/>
      <c r="CJ118" s="1495"/>
      <c r="CK118" s="101"/>
      <c r="CL118" s="1475"/>
      <c r="CN118" s="104"/>
      <c r="CO118" s="32"/>
      <c r="CP118" s="33"/>
      <c r="CQ118" s="32"/>
      <c r="CR118" s="34"/>
      <c r="CS118" s="92"/>
      <c r="CT118" s="108"/>
      <c r="CU118" s="94"/>
      <c r="CV118" s="95"/>
      <c r="CW118" s="105"/>
      <c r="CX118" s="5101"/>
      <c r="CY118" s="920"/>
      <c r="CZ118" s="1495"/>
      <c r="DA118" s="101"/>
      <c r="DB118" s="1475"/>
      <c r="DC118" s="5109"/>
      <c r="DD118" s="5086"/>
      <c r="DF118" s="3">
        <v>1</v>
      </c>
      <c r="EY118" s="127">
        <v>1</v>
      </c>
      <c r="EZ118" s="920"/>
      <c r="FA118" s="1495">
        <f>IF(OR(ISBLANK(ET102),FA102=0),0,ET118*EY103)</f>
        <v>0</v>
      </c>
      <c r="FB118" s="101">
        <f>IFERROR(_xlfn.LET(_xlpm.v,IFERROR(_xlfn.XLOOKUP(EX118,ET139:FC139,ET140:FC140),_xlfn.XLOOKUP(EX118,ET141:FC141,ET142:FC142)),_xlpm.v*EW118*EY118*EY103*IF(ISBLANK(ET118),1,ET118)),0)</f>
        <v>0</v>
      </c>
      <c r="FC118" s="1476" t="str">
        <f>_xlfn.LET(_xlpm.unite,SUBSTITUTE(TRIM(EX118)," (s)",""),_xlpm.val,FB118,_xlpm.estVol,COUNTIF(EW139:FC139,_xlpm.unite)+COUNTIF(EW141:FC141,_xlpm.unite)&gt;0,_xlpm.estPoids,COUNTIF(ET139:EV139,_xlpm.unite)+COUNTIF(ET141:EV141,_xlpm.unite)&gt;0,IF(_xlpm.estVol,IF(ROUND(_xlpm.val,3)&gt;=1,ROUND(_xlpm.val,3)&amp;" L",MAX(1,ROUND(_xlpm.val*100,0))&amp;" cl"),IF(_xlpm.estPoids,IF(ROUND(_xlpm.val,3)&gt;=1,ROUND(_xlpm.val,3)&amp;" Kg",MAX(1,ROUND(_xlpm.val*1000,0))&amp;" g"),"")))</f>
        <v>1 cl</v>
      </c>
    </row>
    <row r="119" spans="2:159" ht="21" customHeight="1">
      <c r="B119" s="952" t="str">
        <f t="shared" si="28"/>
        <v>A</v>
      </c>
      <c r="C119" s="993" cm="1">
        <f t="array" ref="C119">SUMPRODUCT(LEN(D119:J119))</f>
        <v>0</v>
      </c>
      <c r="D119" s="167"/>
      <c r="E119" s="172"/>
      <c r="F119" s="172"/>
      <c r="G119" s="172"/>
      <c r="H119" s="172"/>
      <c r="I119" s="172"/>
      <c r="J119" s="173"/>
      <c r="K119" s="442" t="s">
        <v>22</v>
      </c>
      <c r="L119" s="104" t="str">
        <f t="shared" ref="L119:L147" si="32">IF(W119&lt;&gt;"","A","►")</f>
        <v>A</v>
      </c>
      <c r="M119" s="32" t="str">
        <f>M114</f>
        <v>P PRESSÉ DE BOUDIN NOIR | | Auteur &gt; Guy KRENZE - Eric GODDYN - Arnaud NICOLAS - CEPROC 2002</v>
      </c>
      <c r="N119" s="33">
        <f>N114</f>
        <v>20</v>
      </c>
      <c r="O119" s="32" t="str">
        <f>O114</f>
        <v>pressés de boudin</v>
      </c>
      <c r="P119" s="34" t="str">
        <f>P114</f>
        <v>Recette mère ► le Boudin en 4 déclinaisons</v>
      </c>
      <c r="Q119" s="92"/>
      <c r="R119" s="93"/>
      <c r="S119" s="94" t="str">
        <f t="shared" si="29"/>
        <v/>
      </c>
      <c r="T119" s="95">
        <v>300</v>
      </c>
      <c r="U119" s="105" t="s">
        <v>99</v>
      </c>
      <c r="V119" s="127">
        <v>1</v>
      </c>
      <c r="W119" s="920" t="s">
        <v>12848</v>
      </c>
      <c r="X119" s="1495">
        <f>IF(OR(ISBLANK(Q112),X112=0),0,Q119*V113)</f>
        <v>0</v>
      </c>
      <c r="Y119" s="101" cm="1">
        <f t="array" ref="Y119">IFERROR(_xlfn.LET(_xlpm.k,UPPER(TRIM(U119)),_xlpm.r,_xlfn.XLOOKUP(_xlpm.k,UPPER(TRIM(Q149:Z149)),Q150:Z150,_xlfn.XLOOKUP(_xlpm.k,UPPER(TRIM(Q151:Z151)),Q152:Z152)),_xlpm.r*T119*V119*V113*IF(ISBLANK(Q119),1,Q119)),0)</f>
        <v>0.3</v>
      </c>
      <c r="Z119" s="1475" t="str">
        <f>_xlfn.LET(_xlpm.unite,SUBSTITUTE(TRIM(U119)," (s)",""),_xlpm.val,Y119,_xlpm.estVol,COUNTIF(T149:Z149,_xlpm.unite)+COUNTIF(T151:Z151,_xlpm.unite)&gt;0,_xlpm.estPoids,COUNTIF(Q149:S149,_xlpm.unite)+COUNTIF(Q151:S151,_xlpm.unite)&gt;0,IF(_xlpm.estVol,IF(ROUND(_xlpm.val,3)&gt;=1,ROUND(_xlpm.val,3)&amp;" L",MAX(1,ROUND(_xlpm.val*100,0))&amp;" cl"),IF(_xlpm.estPoids,IF(ROUND(_xlpm.val,3)&gt;=1,ROUND(_xlpm.val,3)&amp;" Kg",MAX(1,ROUND(_xlpm.val*1000,0))&amp;" g"),"")))</f>
        <v>300 g</v>
      </c>
      <c r="AB119" s="104" t="str">
        <f t="shared" ref="AB119:AB147" si="33">IF(AM119&lt;&gt;"","A","►")</f>
        <v>A</v>
      </c>
      <c r="AC119" s="32" t="str">
        <f>AC114</f>
        <v>P PRESSED BLACK PUDDING TERRINE | |  Author &gt; Guy KRENZE - Eric GODDYN - Arnaud NICOLAS - CEPROC 2002</v>
      </c>
      <c r="AD119" s="33">
        <f>AD114</f>
        <v>20</v>
      </c>
      <c r="AE119" s="32" t="str">
        <f>AE114</f>
        <v>pressés de boudin</v>
      </c>
      <c r="AF119" s="34" t="str">
        <f>AF114</f>
        <v>Master recipe ► Black pudding in 4 variations</v>
      </c>
      <c r="AG119" s="92"/>
      <c r="AH119" s="93"/>
      <c r="AI119" s="94" t="str">
        <f t="shared" si="30"/>
        <v/>
      </c>
      <c r="AJ119" s="95">
        <v>300</v>
      </c>
      <c r="AK119" s="105" t="s">
        <v>99</v>
      </c>
      <c r="AL119" s="127">
        <v>1</v>
      </c>
      <c r="AM119" s="920" t="s">
        <v>12952</v>
      </c>
      <c r="AN119" s="1495">
        <f>IF(OR(ISBLANK(AG112),AN112=0),0,AG119*AL113)</f>
        <v>0</v>
      </c>
      <c r="AO119" s="101" cm="1">
        <f t="array" ref="AO119">IFERROR(_xlfn.LET(_xlpm.k,UPPER(TRIM(AK119)),_xlpm.r,_xlfn.XLOOKUP(_xlpm.k,UPPER(TRIM(AG149:AP149)),AG150:AP150,_xlfn.XLOOKUP(_xlpm.k,UPPER(TRIM(AG151:AP151)),AG152:AP152)),_xlpm.r*AJ119*AL119*AL113*IF(ISBLANK(AG119),1,AG119)),0)</f>
        <v>0.54</v>
      </c>
      <c r="AP119" s="1475" t="str">
        <f>_xlfn.LET(_xlpm.unite,SUBSTITUTE(TRIM(AK119)," (s)",""),_xlpm.val,AO119,_xlpm.estVol,COUNTIF(AJ149:AP149,_xlpm.unite)+COUNTIF(AJ151:AP151,_xlpm.unite)&gt;0,_xlpm.estPoids,COUNTIF(AG149:AI149,_xlpm.unite)+COUNTIF(AG151:AI151,_xlpm.unite)&gt;0,IF(_xlpm.estVol,IF(ROUND(_xlpm.val,3)&gt;=1,ROUND(_xlpm.val,3)&amp;" L",MAX(1,ROUND(_xlpm.val*100,0))&amp;" cl"),IF(_xlpm.estPoids,IF(ROUND(_xlpm.val,3)&gt;=1,ROUND(_xlpm.val,3)&amp;" Kg",MAX(1,ROUND(_xlpm.val*1000,0))&amp;" g"),"")))</f>
        <v>540 g</v>
      </c>
      <c r="AR119" s="104" t="str">
        <f t="shared" ref="AR119:AR147" si="34">IF(BC119&lt;&gt;"","A","►")</f>
        <v>A</v>
      </c>
      <c r="AS119" s="32" t="str">
        <f>AS114</f>
        <v>P PRENSADO DE MORCILLA (TERRINA) | | Autor &gt; Guy KRENZE - Eric GODDYN - Arnaud NICOLAS - CEPROC 2002</v>
      </c>
      <c r="AT119" s="33">
        <f>AT114</f>
        <v>20</v>
      </c>
      <c r="AU119" s="32" t="str">
        <f>AU114</f>
        <v>pressés de boudin</v>
      </c>
      <c r="AV119" s="34" t="str">
        <f>AV114</f>
        <v>Receta madre ► Morcilla en 4 versiones</v>
      </c>
      <c r="AW119" s="92"/>
      <c r="AX119" s="93"/>
      <c r="AY119" s="94" t="str">
        <f t="shared" si="31"/>
        <v/>
      </c>
      <c r="AZ119" s="95">
        <v>300</v>
      </c>
      <c r="BA119" s="105" t="s">
        <v>99</v>
      </c>
      <c r="BB119" s="127">
        <v>1</v>
      </c>
      <c r="BC119" s="920" t="s">
        <v>12953</v>
      </c>
      <c r="BD119" s="1495">
        <f>IF(OR(ISBLANK(AW112),BD112=0),0,AW119*BB113)</f>
        <v>0</v>
      </c>
      <c r="BE119" s="101" cm="1">
        <f t="array" ref="BE119">IFERROR(_xlfn.LET(_xlpm.k,UPPER(TRIM(BA119)),_xlpm.r,_xlfn.XLOOKUP(_xlpm.k,UPPER(TRIM(AW149:BF149)),AW150:BF150,_xlfn.XLOOKUP(_xlpm.k,UPPER(TRIM(AW151:BF151)),AW152:BF152)),_xlpm.r*AZ119*BB119*BB113*IF(ISBLANK(AW119),1,AW119)),0)</f>
        <v>0.54</v>
      </c>
      <c r="BF119" s="1475" t="str">
        <f>_xlfn.LET(_xlpm.unite,SUBSTITUTE(TRIM(BA119)," (s)",""),_xlpm.val,BE119,_xlpm.estVol,COUNTIF(AZ149:BF149,_xlpm.unite)+COUNTIF(AZ151:BF151,_xlpm.unite)&gt;0,_xlpm.estPoids,COUNTIF(AW149:AY149,_xlpm.unite)+COUNTIF(AW151:AY151,_xlpm.unite)&gt;0,IF(_xlpm.estVol,IF(ROUND(_xlpm.val,3)&gt;=1,ROUND(_xlpm.val,3)&amp;" L",MAX(1,ROUND(_xlpm.val*100,0))&amp;" cl"),IF(_xlpm.estPoids,IF(ROUND(_xlpm.val,3)&gt;=1,ROUND(_xlpm.val,3)&amp;" Kg",MAX(1,ROUND(_xlpm.val*1000,0))&amp;" g"),"")))</f>
        <v>540 g</v>
      </c>
      <c r="BH119" s="104"/>
      <c r="BI119" s="32"/>
      <c r="BJ119" s="33"/>
      <c r="BK119" s="32"/>
      <c r="BL119" s="34"/>
      <c r="BM119" s="92"/>
      <c r="BN119" s="108"/>
      <c r="BO119" s="94"/>
      <c r="BP119" s="95"/>
      <c r="BQ119" s="105"/>
      <c r="BR119" s="5101"/>
      <c r="BS119" s="920"/>
      <c r="BT119" s="1495"/>
      <c r="BU119" s="101"/>
      <c r="BV119" s="1475"/>
      <c r="BX119" s="104"/>
      <c r="BY119" s="32"/>
      <c r="BZ119" s="33"/>
      <c r="CA119" s="32"/>
      <c r="CB119" s="34"/>
      <c r="CC119" s="92"/>
      <c r="CD119" s="108"/>
      <c r="CE119" s="94"/>
      <c r="CF119" s="95"/>
      <c r="CG119" s="105"/>
      <c r="CH119" s="5101"/>
      <c r="CI119" s="920"/>
      <c r="CJ119" s="1495"/>
      <c r="CK119" s="101"/>
      <c r="CL119" s="1475"/>
      <c r="CN119" s="104"/>
      <c r="CO119" s="32"/>
      <c r="CP119" s="33"/>
      <c r="CQ119" s="32"/>
      <c r="CR119" s="34"/>
      <c r="CS119" s="92"/>
      <c r="CT119" s="108"/>
      <c r="CU119" s="94"/>
      <c r="CV119" s="95"/>
      <c r="CW119" s="105"/>
      <c r="CX119" s="5101"/>
      <c r="CY119" s="920"/>
      <c r="CZ119" s="1495"/>
      <c r="DA119" s="101"/>
      <c r="DB119" s="1475"/>
      <c r="DC119" s="5109"/>
      <c r="DD119" s="5069"/>
      <c r="DF119" s="3">
        <v>1</v>
      </c>
      <c r="EY119" s="127">
        <v>1</v>
      </c>
      <c r="EZ119" s="920"/>
      <c r="FA119" s="1495">
        <f>IF(OR(ISBLANK(ET102),FA102=0),0,ET119*EY103)</f>
        <v>0</v>
      </c>
      <c r="FB119" s="101">
        <f>IFERROR(_xlfn.LET(_xlpm.v,IFERROR(_xlfn.XLOOKUP(EX119,ET139:FC139,ET140:FC140),_xlfn.XLOOKUP(EX119,ET141:FC141,ET142:FC142)),_xlpm.v*EW119*EY119*EY103*IF(ISBLANK(ET119),1,ET119)),0)</f>
        <v>0</v>
      </c>
      <c r="FC119" s="1475" t="str">
        <f>_xlfn.LET(_xlpm.unite,SUBSTITUTE(TRIM(EX119)," (s)",""),_xlpm.val,FB119,_xlpm.estVol,COUNTIF(EW139:FC139,_xlpm.unite)+COUNTIF(EW141:FC141,_xlpm.unite)&gt;0,_xlpm.estPoids,COUNTIF(ET139:EV139,_xlpm.unite)+COUNTIF(ET141:EV141,_xlpm.unite)&gt;0,IF(_xlpm.estVol,IF(ROUND(_xlpm.val,3)&gt;=1,ROUND(_xlpm.val,3)&amp;" L",MAX(1,ROUND(_xlpm.val*100,0))&amp;" cl"),IF(_xlpm.estPoids,IF(ROUND(_xlpm.val,3)&gt;=1,ROUND(_xlpm.val,3)&amp;" Kg",MAX(1,ROUND(_xlpm.val*1000,0))&amp;" g"),"")))</f>
        <v>1 cl</v>
      </c>
    </row>
    <row r="120" spans="2:159" ht="21" customHeight="1">
      <c r="B120" s="952" t="str">
        <f t="shared" si="28"/>
        <v>A</v>
      </c>
      <c r="C120" s="993" cm="1">
        <f t="array" ref="C120">SUMPRODUCT(LEN(D120:J120))</f>
        <v>0</v>
      </c>
      <c r="D120" s="167"/>
      <c r="E120" s="172"/>
      <c r="F120" s="172"/>
      <c r="G120" s="172"/>
      <c r="H120" s="172"/>
      <c r="I120" s="172"/>
      <c r="J120" s="173"/>
      <c r="K120" s="442" t="s">
        <v>22</v>
      </c>
      <c r="L120" s="104" t="str">
        <f t="shared" si="32"/>
        <v>A</v>
      </c>
      <c r="M120" s="32" t="str">
        <f>M114</f>
        <v>P PRESSÉ DE BOUDIN NOIR | | Auteur &gt; Guy KRENZE - Eric GODDYN - Arnaud NICOLAS - CEPROC 2002</v>
      </c>
      <c r="N120" s="33">
        <f>N114</f>
        <v>20</v>
      </c>
      <c r="O120" s="32" t="str">
        <f>O114</f>
        <v>pressés de boudin</v>
      </c>
      <c r="P120" s="34" t="str">
        <f>P114</f>
        <v>Recette mère ► le Boudin en 4 déclinaisons</v>
      </c>
      <c r="Q120" s="92"/>
      <c r="R120" s="108"/>
      <c r="S120" s="94" t="str">
        <f t="shared" si="29"/>
        <v/>
      </c>
      <c r="T120" s="95">
        <v>300</v>
      </c>
      <c r="U120" s="105" t="s">
        <v>99</v>
      </c>
      <c r="V120" s="127">
        <v>1</v>
      </c>
      <c r="W120" s="920" t="s">
        <v>12849</v>
      </c>
      <c r="X120" s="1495">
        <f>IF(OR(ISBLANK(Q112),X112=0),0,Q120*V113)</f>
        <v>0</v>
      </c>
      <c r="Y120" s="101" cm="1">
        <f t="array" ref="Y120">IFERROR(_xlfn.LET(_xlpm.k,UPPER(TRIM(U120)),_xlpm.r,_xlfn.XLOOKUP(_xlpm.k,UPPER(TRIM(Q149:Z149)),Q150:Z150,_xlfn.XLOOKUP(_xlpm.k,UPPER(TRIM(Q151:Z151)),Q152:Z152)),_xlpm.r*T120*V120*V113*IF(ISBLANK(Q120),1,Q120)),0)</f>
        <v>0.3</v>
      </c>
      <c r="Z120" s="1476" t="str">
        <f>_xlfn.LET(_xlpm.unite,SUBSTITUTE(TRIM(U120)," (s)",""),_xlpm.val,Y120,_xlpm.estVol,COUNTIF(T149:Z149,_xlpm.unite)+COUNTIF(T151:Z151,_xlpm.unite)&gt;0,_xlpm.estPoids,COUNTIF(Q149:S149,_xlpm.unite)+COUNTIF(Q151:S151,_xlpm.unite)&gt;0,IF(_xlpm.estVol,IF(ROUND(_xlpm.val,3)&gt;=1,ROUND(_xlpm.val,3)&amp;" L",MAX(1,ROUND(_xlpm.val*100,0))&amp;" cl"),IF(_xlpm.estPoids,IF(ROUND(_xlpm.val,3)&gt;=1,ROUND(_xlpm.val,3)&amp;" Kg",MAX(1,ROUND(_xlpm.val*1000,0))&amp;" g"),"")))</f>
        <v>300 g</v>
      </c>
      <c r="AB120" s="104" t="str">
        <f t="shared" si="33"/>
        <v>A</v>
      </c>
      <c r="AC120" s="32" t="str">
        <f>AC114</f>
        <v>P PRESSED BLACK PUDDING TERRINE | |  Author &gt; Guy KRENZE - Eric GODDYN - Arnaud NICOLAS - CEPROC 2002</v>
      </c>
      <c r="AD120" s="33">
        <f>AD114</f>
        <v>20</v>
      </c>
      <c r="AE120" s="32" t="str">
        <f>AE114</f>
        <v>pressés de boudin</v>
      </c>
      <c r="AF120" s="34" t="str">
        <f>AF114</f>
        <v>Master recipe ► Black pudding in 4 variations</v>
      </c>
      <c r="AG120" s="92"/>
      <c r="AH120" s="108"/>
      <c r="AI120" s="94" t="str">
        <f t="shared" si="30"/>
        <v/>
      </c>
      <c r="AJ120" s="95">
        <v>300</v>
      </c>
      <c r="AK120" s="105" t="s">
        <v>99</v>
      </c>
      <c r="AL120" s="127">
        <v>1</v>
      </c>
      <c r="AM120" s="920" t="s">
        <v>12955</v>
      </c>
      <c r="AN120" s="1495">
        <f>IF(OR(ISBLANK(AG112),AN112=0),0,AG120*AL113)</f>
        <v>0</v>
      </c>
      <c r="AO120" s="101" cm="1">
        <f t="array" ref="AO120">IFERROR(_xlfn.LET(_xlpm.k,UPPER(TRIM(AK120)),_xlpm.r,_xlfn.XLOOKUP(_xlpm.k,UPPER(TRIM(AG149:AP149)),AG150:AP150,_xlfn.XLOOKUP(_xlpm.k,UPPER(TRIM(AG151:AP151)),AG152:AP152)),_xlpm.r*AJ120*AL120*AL113*IF(ISBLANK(AG120),1,AG120)),0)</f>
        <v>0.54</v>
      </c>
      <c r="AP120" s="1476" t="str">
        <f>_xlfn.LET(_xlpm.unite,SUBSTITUTE(TRIM(AK120)," (s)",""),_xlpm.val,AO120,_xlpm.estVol,COUNTIF(AJ149:AP149,_xlpm.unite)+COUNTIF(AJ151:AP151,_xlpm.unite)&gt;0,_xlpm.estPoids,COUNTIF(AG149:AI149,_xlpm.unite)+COUNTIF(AG151:AI151,_xlpm.unite)&gt;0,IF(_xlpm.estVol,IF(ROUND(_xlpm.val,3)&gt;=1,ROUND(_xlpm.val,3)&amp;" L",MAX(1,ROUND(_xlpm.val*100,0))&amp;" cl"),IF(_xlpm.estPoids,IF(ROUND(_xlpm.val,3)&gt;=1,ROUND(_xlpm.val,3)&amp;" Kg",MAX(1,ROUND(_xlpm.val*1000,0))&amp;" g"),"")))</f>
        <v>540 g</v>
      </c>
      <c r="AR120" s="104" t="str">
        <f t="shared" si="34"/>
        <v>A</v>
      </c>
      <c r="AS120" s="32" t="str">
        <f>AS114</f>
        <v>P PRENSADO DE MORCILLA (TERRINA) | | Autor &gt; Guy KRENZE - Eric GODDYN - Arnaud NICOLAS - CEPROC 2002</v>
      </c>
      <c r="AT120" s="33">
        <f>AT114</f>
        <v>20</v>
      </c>
      <c r="AU120" s="32" t="str">
        <f>AU114</f>
        <v>pressés de boudin</v>
      </c>
      <c r="AV120" s="34" t="str">
        <f>AV114</f>
        <v>Receta madre ► Morcilla en 4 versiones</v>
      </c>
      <c r="AW120" s="92"/>
      <c r="AX120" s="108"/>
      <c r="AY120" s="94" t="str">
        <f t="shared" si="31"/>
        <v/>
      </c>
      <c r="AZ120" s="95">
        <v>300</v>
      </c>
      <c r="BA120" s="105" t="s">
        <v>99</v>
      </c>
      <c r="BB120" s="127">
        <v>1</v>
      </c>
      <c r="BC120" s="920" t="s">
        <v>12956</v>
      </c>
      <c r="BD120" s="1495">
        <f>IF(OR(ISBLANK(AW112),BD112=0),0,AW120*BB113)</f>
        <v>0</v>
      </c>
      <c r="BE120" s="101" cm="1">
        <f t="array" ref="BE120">IFERROR(_xlfn.LET(_xlpm.k,UPPER(TRIM(BA120)),_xlpm.r,_xlfn.XLOOKUP(_xlpm.k,UPPER(TRIM(AW149:BF149)),AW150:BF150,_xlfn.XLOOKUP(_xlpm.k,UPPER(TRIM(AW151:BF151)),AW152:BF152)),_xlpm.r*AZ120*BB120*BB113*IF(ISBLANK(AW120),1,AW120)),0)</f>
        <v>0.54</v>
      </c>
      <c r="BF120" s="1476" t="str">
        <f>_xlfn.LET(_xlpm.unite,SUBSTITUTE(TRIM(BA120)," (s)",""),_xlpm.val,BE120,_xlpm.estVol,COUNTIF(AZ149:BF149,_xlpm.unite)+COUNTIF(AZ151:BF151,_xlpm.unite)&gt;0,_xlpm.estPoids,COUNTIF(AW149:AY149,_xlpm.unite)+COUNTIF(AW151:AY151,_xlpm.unite)&gt;0,IF(_xlpm.estVol,IF(ROUND(_xlpm.val,3)&gt;=1,ROUND(_xlpm.val,3)&amp;" L",MAX(1,ROUND(_xlpm.val*100,0))&amp;" cl"),IF(_xlpm.estPoids,IF(ROUND(_xlpm.val,3)&gt;=1,ROUND(_xlpm.val,3)&amp;" Kg",MAX(1,ROUND(_xlpm.val*1000,0))&amp;" g"),"")))</f>
        <v>540 g</v>
      </c>
      <c r="BH120" s="104"/>
      <c r="BI120" s="32"/>
      <c r="BJ120" s="33"/>
      <c r="BK120" s="32"/>
      <c r="BL120" s="34"/>
      <c r="BM120" s="92"/>
      <c r="BN120" s="108"/>
      <c r="BO120" s="94"/>
      <c r="BP120" s="95"/>
      <c r="BQ120" s="105"/>
      <c r="BR120" s="5101"/>
      <c r="BS120" s="920"/>
      <c r="BT120" s="1495"/>
      <c r="BU120" s="101"/>
      <c r="BV120" s="1475"/>
      <c r="BX120" s="104"/>
      <c r="BY120" s="32"/>
      <c r="BZ120" s="33"/>
      <c r="CA120" s="32"/>
      <c r="CB120" s="34"/>
      <c r="CC120" s="92"/>
      <c r="CD120" s="108"/>
      <c r="CE120" s="94"/>
      <c r="CF120" s="95"/>
      <c r="CG120" s="105"/>
      <c r="CH120" s="5101"/>
      <c r="CI120" s="920"/>
      <c r="CJ120" s="1495"/>
      <c r="CK120" s="101"/>
      <c r="CL120" s="1475"/>
      <c r="CN120" s="104"/>
      <c r="CO120" s="32"/>
      <c r="CP120" s="33"/>
      <c r="CQ120" s="32"/>
      <c r="CR120" s="34"/>
      <c r="CS120" s="92"/>
      <c r="CT120" s="108"/>
      <c r="CU120" s="94"/>
      <c r="CV120" s="95"/>
      <c r="CW120" s="105"/>
      <c r="CX120" s="5101"/>
      <c r="CY120" s="920"/>
      <c r="CZ120" s="1495"/>
      <c r="DA120" s="101"/>
      <c r="DB120" s="1475"/>
      <c r="DC120" s="5109"/>
      <c r="DD120" s="5069"/>
      <c r="DF120" s="3">
        <v>1</v>
      </c>
      <c r="EY120" s="127">
        <v>1</v>
      </c>
      <c r="EZ120" s="920"/>
      <c r="FA120" s="1495">
        <f>IF(OR(ISBLANK(ET102),FA102=0),0,ET120*EY103)</f>
        <v>0</v>
      </c>
      <c r="FB120" s="101">
        <f>IFERROR(_xlfn.LET(_xlpm.v,IFERROR(_xlfn.XLOOKUP(EX120,ET139:FC139,ET140:FC140),_xlfn.XLOOKUP(EX120,ET141:FC141,ET142:FC142)),_xlpm.v*EW120*EY120*EY103*IF(ISBLANK(ET120),1,ET120)),0)</f>
        <v>0</v>
      </c>
      <c r="FC120" s="1476" t="str">
        <f>_xlfn.LET(_xlpm.unite,SUBSTITUTE(TRIM(EX120)," (s)",""),_xlpm.val,FB120,_xlpm.estVol,COUNTIF(EW139:FC139,_xlpm.unite)+COUNTIF(EW141:FC141,_xlpm.unite)&gt;0,_xlpm.estPoids,COUNTIF(ET139:EV139,_xlpm.unite)+COUNTIF(ET141:EV141,_xlpm.unite)&gt;0,IF(_xlpm.estVol,IF(ROUND(_xlpm.val,3)&gt;=1,ROUND(_xlpm.val,3)&amp;" L",MAX(1,ROUND(_xlpm.val*100,0))&amp;" cl"),IF(_xlpm.estPoids,IF(ROUND(_xlpm.val,3)&gt;=1,ROUND(_xlpm.val,3)&amp;" Kg",MAX(1,ROUND(_xlpm.val*1000,0))&amp;" g"),"")))</f>
        <v>1 cl</v>
      </c>
    </row>
    <row r="121" spans="2:159" ht="21" customHeight="1">
      <c r="B121" s="952" t="str">
        <f t="shared" si="28"/>
        <v>A</v>
      </c>
      <c r="C121" s="993" cm="1">
        <f t="array" ref="C121">SUMPRODUCT(LEN(D121:J121))</f>
        <v>0</v>
      </c>
      <c r="D121" s="167"/>
      <c r="E121" s="172"/>
      <c r="F121" s="172"/>
      <c r="G121" s="172"/>
      <c r="H121" s="172"/>
      <c r="I121" s="172"/>
      <c r="J121" s="173"/>
      <c r="K121" s="442" t="s">
        <v>22</v>
      </c>
      <c r="L121" s="104" t="str">
        <f t="shared" si="32"/>
        <v>A</v>
      </c>
      <c r="M121" s="32" t="str">
        <f>M114</f>
        <v>P PRESSÉ DE BOUDIN NOIR | | Auteur &gt; Guy KRENZE - Eric GODDYN - Arnaud NICOLAS - CEPROC 2002</v>
      </c>
      <c r="N121" s="33">
        <f>N114</f>
        <v>20</v>
      </c>
      <c r="O121" s="32" t="str">
        <f>O114</f>
        <v>pressés de boudin</v>
      </c>
      <c r="P121" s="34" t="str">
        <f>P114</f>
        <v>Recette mère ► le Boudin en 4 déclinaisons</v>
      </c>
      <c r="Q121" s="92"/>
      <c r="R121" s="108"/>
      <c r="S121" s="94" t="str">
        <f t="shared" si="29"/>
        <v/>
      </c>
      <c r="T121" s="95">
        <v>45</v>
      </c>
      <c r="U121" s="105" t="s">
        <v>99</v>
      </c>
      <c r="V121" s="127">
        <v>1</v>
      </c>
      <c r="W121" s="920" t="s">
        <v>12850</v>
      </c>
      <c r="X121" s="1495">
        <f>IF(OR(ISBLANK(Q112),X112=0),0,Q121*V113)</f>
        <v>0</v>
      </c>
      <c r="Y121" s="101" cm="1">
        <f t="array" ref="Y121">IFERROR(_xlfn.LET(_xlpm.k,UPPER(TRIM(U121)),_xlpm.r,_xlfn.XLOOKUP(_xlpm.k,UPPER(TRIM(Q149:Z149)),Q150:Z150,_xlfn.XLOOKUP(_xlpm.k,UPPER(TRIM(Q151:Z151)),Q152:Z152)),_xlpm.r*T121*V121*V113*IF(ISBLANK(Q121),1,Q121)),0)</f>
        <v>4.4999999999999998E-2</v>
      </c>
      <c r="Z121" s="1475" t="str">
        <f>_xlfn.LET(_xlpm.unite,SUBSTITUTE(TRIM(U121)," (s)",""),_xlpm.val,Y121,_xlpm.estVol,COUNTIF(T149:Z149,_xlpm.unite)+COUNTIF(T151:Z151,_xlpm.unite)&gt;0,_xlpm.estPoids,COUNTIF(Q149:S149,_xlpm.unite)+COUNTIF(Q151:S151,_xlpm.unite)&gt;0,IF(_xlpm.estVol,IF(ROUND(_xlpm.val,3)&gt;=1,ROUND(_xlpm.val,3)&amp;" L",MAX(1,ROUND(_xlpm.val*100,0))&amp;" cl"),IF(_xlpm.estPoids,IF(ROUND(_xlpm.val,3)&gt;=1,ROUND(_xlpm.val,3)&amp;" Kg",MAX(1,ROUND(_xlpm.val*1000,0))&amp;" g"),"")))</f>
        <v>45 g</v>
      </c>
      <c r="AB121" s="104" t="str">
        <f t="shared" si="33"/>
        <v>A</v>
      </c>
      <c r="AC121" s="32" t="str">
        <f>AC114</f>
        <v>P PRESSED BLACK PUDDING TERRINE | |  Author &gt; Guy KRENZE - Eric GODDYN - Arnaud NICOLAS - CEPROC 2002</v>
      </c>
      <c r="AD121" s="33">
        <f>AD114</f>
        <v>20</v>
      </c>
      <c r="AE121" s="32" t="str">
        <f>AE114</f>
        <v>pressés de boudin</v>
      </c>
      <c r="AF121" s="34" t="str">
        <f>AF114</f>
        <v>Master recipe ► Black pudding in 4 variations</v>
      </c>
      <c r="AG121" s="92"/>
      <c r="AH121" s="108"/>
      <c r="AI121" s="94" t="str">
        <f t="shared" si="30"/>
        <v/>
      </c>
      <c r="AJ121" s="95">
        <v>45</v>
      </c>
      <c r="AK121" s="105" t="s">
        <v>99</v>
      </c>
      <c r="AL121" s="127">
        <v>1</v>
      </c>
      <c r="AM121" s="920" t="s">
        <v>12957</v>
      </c>
      <c r="AN121" s="1495">
        <f>IF(OR(ISBLANK(AG112),AN112=0),0,AG121*AL113)</f>
        <v>0</v>
      </c>
      <c r="AO121" s="101" cm="1">
        <f t="array" ref="AO121">IFERROR(_xlfn.LET(_xlpm.k,UPPER(TRIM(AK121)),_xlpm.r,_xlfn.XLOOKUP(_xlpm.k,UPPER(TRIM(AG149:AP149)),AG150:AP150,_xlfn.XLOOKUP(_xlpm.k,UPPER(TRIM(AG151:AP151)),AG152:AP152)),_xlpm.r*AJ121*AL121*AL113*IF(ISBLANK(AG121),1,AG121)),0)</f>
        <v>8.1000000000000003E-2</v>
      </c>
      <c r="AP121" s="1475" t="str">
        <f>_xlfn.LET(_xlpm.unite,SUBSTITUTE(TRIM(AK121)," (s)",""),_xlpm.val,AO121,_xlpm.estVol,COUNTIF(AJ149:AP149,_xlpm.unite)+COUNTIF(AJ151:AP151,_xlpm.unite)&gt;0,_xlpm.estPoids,COUNTIF(AG149:AI149,_xlpm.unite)+COUNTIF(AG151:AI151,_xlpm.unite)&gt;0,IF(_xlpm.estVol,IF(ROUND(_xlpm.val,3)&gt;=1,ROUND(_xlpm.val,3)&amp;" L",MAX(1,ROUND(_xlpm.val*100,0))&amp;" cl"),IF(_xlpm.estPoids,IF(ROUND(_xlpm.val,3)&gt;=1,ROUND(_xlpm.val,3)&amp;" Kg",MAX(1,ROUND(_xlpm.val*1000,0))&amp;" g"),"")))</f>
        <v>81 g</v>
      </c>
      <c r="AR121" s="104" t="str">
        <f t="shared" si="34"/>
        <v>A</v>
      </c>
      <c r="AS121" s="32" t="str">
        <f>AS114</f>
        <v>P PRENSADO DE MORCILLA (TERRINA) | | Autor &gt; Guy KRENZE - Eric GODDYN - Arnaud NICOLAS - CEPROC 2002</v>
      </c>
      <c r="AT121" s="33">
        <f>AT114</f>
        <v>20</v>
      </c>
      <c r="AU121" s="32" t="str">
        <f>AU114</f>
        <v>pressés de boudin</v>
      </c>
      <c r="AV121" s="34" t="str">
        <f>AV114</f>
        <v>Receta madre ► Morcilla en 4 versiones</v>
      </c>
      <c r="AW121" s="92"/>
      <c r="AX121" s="108"/>
      <c r="AY121" s="94" t="str">
        <f t="shared" si="31"/>
        <v/>
      </c>
      <c r="AZ121" s="95">
        <v>45</v>
      </c>
      <c r="BA121" s="105" t="s">
        <v>99</v>
      </c>
      <c r="BB121" s="127">
        <v>1</v>
      </c>
      <c r="BC121" s="920" t="s">
        <v>12958</v>
      </c>
      <c r="BD121" s="1495">
        <f>IF(OR(ISBLANK(AW112),BD112=0),0,AW121*BB113)</f>
        <v>0</v>
      </c>
      <c r="BE121" s="101" cm="1">
        <f t="array" ref="BE121">IFERROR(_xlfn.LET(_xlpm.k,UPPER(TRIM(BA121)),_xlpm.r,_xlfn.XLOOKUP(_xlpm.k,UPPER(TRIM(AW149:BF149)),AW150:BF150,_xlfn.XLOOKUP(_xlpm.k,UPPER(TRIM(AW151:BF151)),AW152:BF152)),_xlpm.r*AZ121*BB121*BB113*IF(ISBLANK(AW121),1,AW121)),0)</f>
        <v>8.1000000000000003E-2</v>
      </c>
      <c r="BF121" s="1475" t="str">
        <f>_xlfn.LET(_xlpm.unite,SUBSTITUTE(TRIM(BA121)," (s)",""),_xlpm.val,BE121,_xlpm.estVol,COUNTIF(AZ149:BF149,_xlpm.unite)+COUNTIF(AZ151:BF151,_xlpm.unite)&gt;0,_xlpm.estPoids,COUNTIF(AW149:AY149,_xlpm.unite)+COUNTIF(AW151:AY151,_xlpm.unite)&gt;0,IF(_xlpm.estVol,IF(ROUND(_xlpm.val,3)&gt;=1,ROUND(_xlpm.val,3)&amp;" L",MAX(1,ROUND(_xlpm.val*100,0))&amp;" cl"),IF(_xlpm.estPoids,IF(ROUND(_xlpm.val,3)&gt;=1,ROUND(_xlpm.val,3)&amp;" Kg",MAX(1,ROUND(_xlpm.val*1000,0))&amp;" g"),"")))</f>
        <v>81 g</v>
      </c>
      <c r="BH121" s="104"/>
      <c r="BI121" s="32"/>
      <c r="BJ121" s="33"/>
      <c r="BK121" s="32"/>
      <c r="BL121" s="34"/>
      <c r="BM121" s="92"/>
      <c r="BN121" s="108"/>
      <c r="BO121" s="94"/>
      <c r="BP121" s="95"/>
      <c r="BQ121" s="105"/>
      <c r="BR121" s="5101"/>
      <c r="BS121" s="920"/>
      <c r="BT121" s="1495"/>
      <c r="BU121" s="101"/>
      <c r="BV121" s="1475"/>
      <c r="BX121" s="104"/>
      <c r="BY121" s="32"/>
      <c r="BZ121" s="33"/>
      <c r="CA121" s="32"/>
      <c r="CB121" s="34"/>
      <c r="CC121" s="92"/>
      <c r="CD121" s="108"/>
      <c r="CE121" s="94"/>
      <c r="CF121" s="95"/>
      <c r="CG121" s="105"/>
      <c r="CH121" s="5101"/>
      <c r="CI121" s="920"/>
      <c r="CJ121" s="1495"/>
      <c r="CK121" s="101"/>
      <c r="CL121" s="1475"/>
      <c r="CN121" s="104"/>
      <c r="CO121" s="32"/>
      <c r="CP121" s="33"/>
      <c r="CQ121" s="32"/>
      <c r="CR121" s="34"/>
      <c r="CS121" s="92"/>
      <c r="CT121" s="108"/>
      <c r="CU121" s="94"/>
      <c r="CV121" s="95"/>
      <c r="CW121" s="105"/>
      <c r="CX121" s="5101"/>
      <c r="CY121" s="920"/>
      <c r="CZ121" s="1495"/>
      <c r="DA121" s="101"/>
      <c r="DB121" s="1475"/>
      <c r="DC121" s="5109"/>
      <c r="DD121" s="5086"/>
      <c r="DF121" s="3">
        <v>1</v>
      </c>
      <c r="EY121" s="127">
        <v>1</v>
      </c>
      <c r="EZ121" s="920"/>
      <c r="FA121" s="1495">
        <f>IF(OR(ISBLANK(ET102),FA102=0),0,ET121*EY103)</f>
        <v>0</v>
      </c>
      <c r="FB121" s="101">
        <f>IFERROR(_xlfn.LET(_xlpm.v,IFERROR(_xlfn.XLOOKUP(EX121,ET139:FC139,ET140:FC140),_xlfn.XLOOKUP(EX121,ET141:FC141,ET142:FC142)),_xlpm.v*EW121*EY121*EY103*IF(ISBLANK(ET121),1,ET121)),0)</f>
        <v>0</v>
      </c>
      <c r="FC121" s="1475" t="str">
        <f>_xlfn.LET(_xlpm.unite,SUBSTITUTE(TRIM(EX121)," (s)",""),_xlpm.val,FB121,_xlpm.estVol,COUNTIF(EW139:FC139,_xlpm.unite)+COUNTIF(EW141:FC141,_xlpm.unite)&gt;0,_xlpm.estPoids,COUNTIF(ET139:EV139,_xlpm.unite)+COUNTIF(ET141:EV141,_xlpm.unite)&gt;0,IF(_xlpm.estVol,IF(ROUND(_xlpm.val,3)&gt;=1,ROUND(_xlpm.val,3)&amp;" L",MAX(1,ROUND(_xlpm.val*100,0))&amp;" cl"),IF(_xlpm.estPoids,IF(ROUND(_xlpm.val,3)&gt;=1,ROUND(_xlpm.val,3)&amp;" Kg",MAX(1,ROUND(_xlpm.val*1000,0))&amp;" g"),"")))</f>
        <v>1 cl</v>
      </c>
    </row>
    <row r="122" spans="2:159" ht="21" customHeight="1">
      <c r="B122" s="952" t="str">
        <f t="shared" si="28"/>
        <v>A</v>
      </c>
      <c r="C122" s="993" cm="1">
        <f t="array" ref="C122">SUMPRODUCT(LEN(D122:J122))</f>
        <v>0</v>
      </c>
      <c r="D122" s="167"/>
      <c r="E122" s="172"/>
      <c r="F122" s="172"/>
      <c r="G122" s="172"/>
      <c r="H122" s="172"/>
      <c r="I122" s="172"/>
      <c r="J122" s="173"/>
      <c r="K122" s="442" t="s">
        <v>22</v>
      </c>
      <c r="L122" s="104" t="str">
        <f t="shared" si="32"/>
        <v>A</v>
      </c>
      <c r="M122" s="32" t="str">
        <f>M114</f>
        <v>P PRESSÉ DE BOUDIN NOIR | | Auteur &gt; Guy KRENZE - Eric GODDYN - Arnaud NICOLAS - CEPROC 2002</v>
      </c>
      <c r="N122" s="33">
        <f>N114</f>
        <v>20</v>
      </c>
      <c r="O122" s="32" t="str">
        <f>O114</f>
        <v>pressés de boudin</v>
      </c>
      <c r="P122" s="34" t="str">
        <f>P114</f>
        <v>Recette mère ► le Boudin en 4 déclinaisons</v>
      </c>
      <c r="Q122" s="92"/>
      <c r="R122" s="108"/>
      <c r="S122" s="94" t="str">
        <f t="shared" si="29"/>
        <v/>
      </c>
      <c r="T122" s="95">
        <v>50</v>
      </c>
      <c r="U122" s="105" t="s">
        <v>99</v>
      </c>
      <c r="V122" s="127">
        <v>1</v>
      </c>
      <c r="W122" s="920" t="s">
        <v>12831</v>
      </c>
      <c r="X122" s="1495">
        <f>IF(OR(ISBLANK(Q112),X112=0),0,Q122*V113)</f>
        <v>0</v>
      </c>
      <c r="Y122" s="101" cm="1">
        <f t="array" ref="Y122">IFERROR(_xlfn.LET(_xlpm.k,UPPER(TRIM(U122)),_xlpm.r,_xlfn.XLOOKUP(_xlpm.k,UPPER(TRIM(Q149:Z149)),Q150:Z150,_xlfn.XLOOKUP(_xlpm.k,UPPER(TRIM(Q151:Z151)),Q152:Z152)),_xlpm.r*T122*V122*V113*IF(ISBLANK(Q122),1,Q122)),0)</f>
        <v>0.05</v>
      </c>
      <c r="Z122" s="1476" t="str">
        <f>_xlfn.LET(_xlpm.unite,SUBSTITUTE(TRIM(U122)," (s)",""),_xlpm.val,Y122,_xlpm.estVol,COUNTIF(T149:Z149,_xlpm.unite)+COUNTIF(T151:Z151,_xlpm.unite)&gt;0,_xlpm.estPoids,COUNTIF(Q149:S149,_xlpm.unite)+COUNTIF(Q151:S151,_xlpm.unite)&gt;0,IF(_xlpm.estVol,IF(ROUND(_xlpm.val,3)&gt;=1,ROUND(_xlpm.val,3)&amp;" L",MAX(1,ROUND(_xlpm.val*100,0))&amp;" cl"),IF(_xlpm.estPoids,IF(ROUND(_xlpm.val,3)&gt;=1,ROUND(_xlpm.val,3)&amp;" Kg",MAX(1,ROUND(_xlpm.val*1000,0))&amp;" g"),"")))</f>
        <v>50 g</v>
      </c>
      <c r="AB122" s="104" t="str">
        <f t="shared" si="33"/>
        <v>A</v>
      </c>
      <c r="AC122" s="32" t="str">
        <f>AC114</f>
        <v>P PRESSED BLACK PUDDING TERRINE | |  Author &gt; Guy KRENZE - Eric GODDYN - Arnaud NICOLAS - CEPROC 2002</v>
      </c>
      <c r="AD122" s="33">
        <f>AD114</f>
        <v>20</v>
      </c>
      <c r="AE122" s="32" t="str">
        <f>AE114</f>
        <v>pressés de boudin</v>
      </c>
      <c r="AF122" s="34" t="str">
        <f>AF114</f>
        <v>Master recipe ► Black pudding in 4 variations</v>
      </c>
      <c r="AG122" s="92"/>
      <c r="AH122" s="108"/>
      <c r="AI122" s="94" t="str">
        <f t="shared" si="30"/>
        <v/>
      </c>
      <c r="AJ122" s="95">
        <v>50</v>
      </c>
      <c r="AK122" s="105" t="s">
        <v>99</v>
      </c>
      <c r="AL122" s="127">
        <v>1</v>
      </c>
      <c r="AM122" s="920" t="s">
        <v>12891</v>
      </c>
      <c r="AN122" s="1495">
        <f>IF(OR(ISBLANK(AG112),AN112=0),0,AG122*AL113)</f>
        <v>0</v>
      </c>
      <c r="AO122" s="101" cm="1">
        <f t="array" ref="AO122">IFERROR(_xlfn.LET(_xlpm.k,UPPER(TRIM(AK122)),_xlpm.r,_xlfn.XLOOKUP(_xlpm.k,UPPER(TRIM(AG149:AP149)),AG150:AP150,_xlfn.XLOOKUP(_xlpm.k,UPPER(TRIM(AG151:AP151)),AG152:AP152)),_xlpm.r*AJ122*AL122*AL113*IF(ISBLANK(AG122),1,AG122)),0)</f>
        <v>9.0000000000000011E-2</v>
      </c>
      <c r="AP122" s="1476" t="str">
        <f>_xlfn.LET(_xlpm.unite,SUBSTITUTE(TRIM(AK122)," (s)",""),_xlpm.val,AO122,_xlpm.estVol,COUNTIF(AJ149:AP149,_xlpm.unite)+COUNTIF(AJ151:AP151,_xlpm.unite)&gt;0,_xlpm.estPoids,COUNTIF(AG149:AI149,_xlpm.unite)+COUNTIF(AG151:AI151,_xlpm.unite)&gt;0,IF(_xlpm.estVol,IF(ROUND(_xlpm.val,3)&gt;=1,ROUND(_xlpm.val,3)&amp;" L",MAX(1,ROUND(_xlpm.val*100,0))&amp;" cl"),IF(_xlpm.estPoids,IF(ROUND(_xlpm.val,3)&gt;=1,ROUND(_xlpm.val,3)&amp;" Kg",MAX(1,ROUND(_xlpm.val*1000,0))&amp;" g"),"")))</f>
        <v>90 g</v>
      </c>
      <c r="AR122" s="104" t="str">
        <f t="shared" si="34"/>
        <v>A</v>
      </c>
      <c r="AS122" s="32" t="str">
        <f>AS114</f>
        <v>P PRENSADO DE MORCILLA (TERRINA) | | Autor &gt; Guy KRENZE - Eric GODDYN - Arnaud NICOLAS - CEPROC 2002</v>
      </c>
      <c r="AT122" s="33">
        <f>AT114</f>
        <v>20</v>
      </c>
      <c r="AU122" s="32" t="str">
        <f>AU114</f>
        <v>pressés de boudin</v>
      </c>
      <c r="AV122" s="34" t="str">
        <f>AV114</f>
        <v>Receta madre ► Morcilla en 4 versiones</v>
      </c>
      <c r="AW122" s="92"/>
      <c r="AX122" s="108"/>
      <c r="AY122" s="94" t="str">
        <f t="shared" si="31"/>
        <v/>
      </c>
      <c r="AZ122" s="95">
        <v>50</v>
      </c>
      <c r="BA122" s="105" t="s">
        <v>99</v>
      </c>
      <c r="BB122" s="127">
        <v>1</v>
      </c>
      <c r="BC122" s="920" t="s">
        <v>12892</v>
      </c>
      <c r="BD122" s="1495">
        <f>IF(OR(ISBLANK(AW112),BD112=0),0,AW122*BB113)</f>
        <v>0</v>
      </c>
      <c r="BE122" s="101" cm="1">
        <f t="array" ref="BE122">IFERROR(_xlfn.LET(_xlpm.k,UPPER(TRIM(BA122)),_xlpm.r,_xlfn.XLOOKUP(_xlpm.k,UPPER(TRIM(AW149:BF149)),AW150:BF150,_xlfn.XLOOKUP(_xlpm.k,UPPER(TRIM(AW151:BF151)),AW152:BF152)),_xlpm.r*AZ122*BB122*BB113*IF(ISBLANK(AW122),1,AW122)),0)</f>
        <v>9.0000000000000011E-2</v>
      </c>
      <c r="BF122" s="1476" t="str">
        <f>_xlfn.LET(_xlpm.unite,SUBSTITUTE(TRIM(BA122)," (s)",""),_xlpm.val,BE122,_xlpm.estVol,COUNTIF(AZ149:BF149,_xlpm.unite)+COUNTIF(AZ151:BF151,_xlpm.unite)&gt;0,_xlpm.estPoids,COUNTIF(AW149:AY149,_xlpm.unite)+COUNTIF(AW151:AY151,_xlpm.unite)&gt;0,IF(_xlpm.estVol,IF(ROUND(_xlpm.val,3)&gt;=1,ROUND(_xlpm.val,3)&amp;" L",MAX(1,ROUND(_xlpm.val*100,0))&amp;" cl"),IF(_xlpm.estPoids,IF(ROUND(_xlpm.val,3)&gt;=1,ROUND(_xlpm.val,3)&amp;" Kg",MAX(1,ROUND(_xlpm.val*1000,0))&amp;" g"),"")))</f>
        <v>90 g</v>
      </c>
      <c r="BH122" s="104"/>
      <c r="BI122" s="32"/>
      <c r="BJ122" s="33"/>
      <c r="BK122" s="32"/>
      <c r="BL122" s="34"/>
      <c r="BM122" s="92"/>
      <c r="BN122" s="108"/>
      <c r="BO122" s="94"/>
      <c r="BP122" s="95"/>
      <c r="BQ122" s="105"/>
      <c r="BR122" s="5101"/>
      <c r="BS122" s="920"/>
      <c r="BT122" s="1495"/>
      <c r="BU122" s="101"/>
      <c r="BV122" s="1475"/>
      <c r="BX122" s="104"/>
      <c r="BY122" s="32"/>
      <c r="BZ122" s="33"/>
      <c r="CA122" s="32"/>
      <c r="CB122" s="34"/>
      <c r="CC122" s="92"/>
      <c r="CD122" s="108"/>
      <c r="CE122" s="94"/>
      <c r="CF122" s="95"/>
      <c r="CG122" s="105"/>
      <c r="CH122" s="5101"/>
      <c r="CI122" s="920"/>
      <c r="CJ122" s="1495"/>
      <c r="CK122" s="101"/>
      <c r="CL122" s="1475"/>
      <c r="CN122" s="104"/>
      <c r="CO122" s="32"/>
      <c r="CP122" s="33"/>
      <c r="CQ122" s="32"/>
      <c r="CR122" s="34"/>
      <c r="CS122" s="92"/>
      <c r="CT122" s="108"/>
      <c r="CU122" s="94"/>
      <c r="CV122" s="95"/>
      <c r="CW122" s="105"/>
      <c r="CX122" s="5101"/>
      <c r="CY122" s="920"/>
      <c r="CZ122" s="1495"/>
      <c r="DA122" s="101"/>
      <c r="DB122" s="1475"/>
      <c r="DC122" s="5109"/>
      <c r="DD122" s="5086"/>
      <c r="DF122" s="3">
        <v>1</v>
      </c>
      <c r="EY122" s="127">
        <v>1</v>
      </c>
      <c r="EZ122" s="920"/>
      <c r="FA122" s="1495">
        <f>IF(OR(ISBLANK(ET102),FA102=0),0,ET122*EY103)</f>
        <v>0</v>
      </c>
      <c r="FB122" s="101">
        <f>IFERROR(_xlfn.LET(_xlpm.v,IFERROR(_xlfn.XLOOKUP(EX122,ET139:FC139,ET140:FC140),_xlfn.XLOOKUP(EX122,ET141:FC141,ET142:FC142)),_xlpm.v*EW122*EY122*EY103*IF(ISBLANK(ET122),1,ET122)),0)</f>
        <v>0</v>
      </c>
      <c r="FC122" s="1476" t="str">
        <f>_xlfn.LET(_xlpm.unite,SUBSTITUTE(TRIM(EX122)," (s)",""),_xlpm.val,FB122,_xlpm.estVol,COUNTIF(EW139:FC139,_xlpm.unite)+COUNTIF(EW141:FC141,_xlpm.unite)&gt;0,_xlpm.estPoids,COUNTIF(ET139:EV139,_xlpm.unite)+COUNTIF(ET141:EV141,_xlpm.unite)&gt;0,IF(_xlpm.estVol,IF(ROUND(_xlpm.val,3)&gt;=1,ROUND(_xlpm.val,3)&amp;" L",MAX(1,ROUND(_xlpm.val*100,0))&amp;" cl"),IF(_xlpm.estPoids,IF(ROUND(_xlpm.val,3)&gt;=1,ROUND(_xlpm.val,3)&amp;" Kg",MAX(1,ROUND(_xlpm.val*1000,0))&amp;" g"),"")))</f>
        <v>1 cl</v>
      </c>
    </row>
    <row r="123" spans="2:159" ht="21" customHeight="1">
      <c r="B123" s="952" t="str">
        <f t="shared" si="28"/>
        <v>A</v>
      </c>
      <c r="C123" s="993" cm="1">
        <f t="array" ref="C123">SUMPRODUCT(LEN(D123:J123))</f>
        <v>0</v>
      </c>
      <c r="D123" s="167"/>
      <c r="E123" s="172"/>
      <c r="F123" s="172"/>
      <c r="G123" s="172"/>
      <c r="H123" s="172"/>
      <c r="I123" s="172"/>
      <c r="J123" s="173"/>
      <c r="K123" s="442" t="s">
        <v>22</v>
      </c>
      <c r="L123" s="104" t="str">
        <f t="shared" si="32"/>
        <v>A</v>
      </c>
      <c r="M123" s="32" t="str">
        <f>M114</f>
        <v>P PRESSÉ DE BOUDIN NOIR | | Auteur &gt; Guy KRENZE - Eric GODDYN - Arnaud NICOLAS - CEPROC 2002</v>
      </c>
      <c r="N123" s="33">
        <f>N114</f>
        <v>20</v>
      </c>
      <c r="O123" s="32" t="str">
        <f>O114</f>
        <v>pressés de boudin</v>
      </c>
      <c r="P123" s="34" t="str">
        <f>P114</f>
        <v>Recette mère ► le Boudin en 4 déclinaisons</v>
      </c>
      <c r="Q123" s="92"/>
      <c r="R123" s="108"/>
      <c r="S123" s="94" t="str">
        <f t="shared" si="29"/>
        <v/>
      </c>
      <c r="T123" s="95">
        <v>7</v>
      </c>
      <c r="U123" s="105" t="s">
        <v>99</v>
      </c>
      <c r="V123" s="127">
        <v>1</v>
      </c>
      <c r="W123" s="920" t="s">
        <v>12851</v>
      </c>
      <c r="X123" s="1495">
        <f>IF(OR(ISBLANK(Q112),X112=0),0,Q123*V113)</f>
        <v>0</v>
      </c>
      <c r="Y123" s="101" cm="1">
        <f t="array" ref="Y123">IFERROR(_xlfn.LET(_xlpm.k,UPPER(TRIM(U123)),_xlpm.r,_xlfn.XLOOKUP(_xlpm.k,UPPER(TRIM(Q149:Z149)),Q150:Z150,_xlfn.XLOOKUP(_xlpm.k,UPPER(TRIM(Q151:Z151)),Q152:Z152)),_xlpm.r*T123*V123*V113*IF(ISBLANK(Q123),1,Q123)),0)</f>
        <v>7.0000000000000001E-3</v>
      </c>
      <c r="Z123" s="1475" t="str">
        <f>_xlfn.LET(_xlpm.unite,SUBSTITUTE(TRIM(U123)," (s)",""),_xlpm.val,Y123,_xlpm.estVol,COUNTIF(T149:Z149,_xlpm.unite)+COUNTIF(T151:Z151,_xlpm.unite)&gt;0,_xlpm.estPoids,COUNTIF(Q149:S149,_xlpm.unite)+COUNTIF(Q151:S151,_xlpm.unite)&gt;0,IF(_xlpm.estVol,IF(ROUND(_xlpm.val,3)&gt;=1,ROUND(_xlpm.val,3)&amp;" L",MAX(1,ROUND(_xlpm.val*100,0))&amp;" cl"),IF(_xlpm.estPoids,IF(ROUND(_xlpm.val,3)&gt;=1,ROUND(_xlpm.val,3)&amp;" Kg",MAX(1,ROUND(_xlpm.val*1000,0))&amp;" g"),"")))</f>
        <v>7 g</v>
      </c>
      <c r="AB123" s="104" t="str">
        <f t="shared" si="33"/>
        <v>A</v>
      </c>
      <c r="AC123" s="32" t="str">
        <f>AC114</f>
        <v>P PRESSED BLACK PUDDING TERRINE | |  Author &gt; Guy KRENZE - Eric GODDYN - Arnaud NICOLAS - CEPROC 2002</v>
      </c>
      <c r="AD123" s="33">
        <f>AD114</f>
        <v>20</v>
      </c>
      <c r="AE123" s="32" t="str">
        <f>AE114</f>
        <v>pressés de boudin</v>
      </c>
      <c r="AF123" s="34" t="str">
        <f>AF114</f>
        <v>Master recipe ► Black pudding in 4 variations</v>
      </c>
      <c r="AG123" s="92"/>
      <c r="AH123" s="108"/>
      <c r="AI123" s="94" t="str">
        <f t="shared" si="30"/>
        <v/>
      </c>
      <c r="AJ123" s="95">
        <v>7</v>
      </c>
      <c r="AK123" s="105" t="s">
        <v>99</v>
      </c>
      <c r="AL123" s="127">
        <v>1</v>
      </c>
      <c r="AM123" s="920" t="s">
        <v>12959</v>
      </c>
      <c r="AN123" s="1495">
        <f>IF(OR(ISBLANK(AG112),AN112=0),0,AG123*AL113)</f>
        <v>0</v>
      </c>
      <c r="AO123" s="101" cm="1">
        <f t="array" ref="AO123">IFERROR(_xlfn.LET(_xlpm.k,UPPER(TRIM(AK123)),_xlpm.r,_xlfn.XLOOKUP(_xlpm.k,UPPER(TRIM(AG149:AP149)),AG150:AP150,_xlfn.XLOOKUP(_xlpm.k,UPPER(TRIM(AG151:AP151)),AG152:AP152)),_xlpm.r*AJ123*AL123*AL113*IF(ISBLANK(AG123),1,AG123)),0)</f>
        <v>1.26E-2</v>
      </c>
      <c r="AP123" s="1475" t="str">
        <f>_xlfn.LET(_xlpm.unite,SUBSTITUTE(TRIM(AK123)," (s)",""),_xlpm.val,AO123,_xlpm.estVol,COUNTIF(AJ149:AP149,_xlpm.unite)+COUNTIF(AJ151:AP151,_xlpm.unite)&gt;0,_xlpm.estPoids,COUNTIF(AG149:AI149,_xlpm.unite)+COUNTIF(AG151:AI151,_xlpm.unite)&gt;0,IF(_xlpm.estVol,IF(ROUND(_xlpm.val,3)&gt;=1,ROUND(_xlpm.val,3)&amp;" L",MAX(1,ROUND(_xlpm.val*100,0))&amp;" cl"),IF(_xlpm.estPoids,IF(ROUND(_xlpm.val,3)&gt;=1,ROUND(_xlpm.val,3)&amp;" Kg",MAX(1,ROUND(_xlpm.val*1000,0))&amp;" g"),"")))</f>
        <v>13 g</v>
      </c>
      <c r="AR123" s="104" t="str">
        <f t="shared" si="34"/>
        <v>A</v>
      </c>
      <c r="AS123" s="32" t="str">
        <f>AS114</f>
        <v>P PRENSADO DE MORCILLA (TERRINA) | | Autor &gt; Guy KRENZE - Eric GODDYN - Arnaud NICOLAS - CEPROC 2002</v>
      </c>
      <c r="AT123" s="33">
        <f>AT114</f>
        <v>20</v>
      </c>
      <c r="AU123" s="32" t="str">
        <f>AU114</f>
        <v>pressés de boudin</v>
      </c>
      <c r="AV123" s="34" t="str">
        <f>AV114</f>
        <v>Receta madre ► Morcilla en 4 versiones</v>
      </c>
      <c r="AW123" s="92"/>
      <c r="AX123" s="108"/>
      <c r="AY123" s="94" t="str">
        <f t="shared" si="31"/>
        <v/>
      </c>
      <c r="AZ123" s="95">
        <v>7</v>
      </c>
      <c r="BA123" s="105" t="s">
        <v>99</v>
      </c>
      <c r="BB123" s="127">
        <v>1</v>
      </c>
      <c r="BC123" s="920" t="s">
        <v>12960</v>
      </c>
      <c r="BD123" s="1495">
        <f>IF(OR(ISBLANK(AW112),BD112=0),0,AW123*BB113)</f>
        <v>0</v>
      </c>
      <c r="BE123" s="101" cm="1">
        <f t="array" ref="BE123">IFERROR(_xlfn.LET(_xlpm.k,UPPER(TRIM(BA123)),_xlpm.r,_xlfn.XLOOKUP(_xlpm.k,UPPER(TRIM(AW149:BF149)),AW150:BF150,_xlfn.XLOOKUP(_xlpm.k,UPPER(TRIM(AW151:BF151)),AW152:BF152)),_xlpm.r*AZ123*BB123*BB113*IF(ISBLANK(AW123),1,AW123)),0)</f>
        <v>1.26E-2</v>
      </c>
      <c r="BF123" s="1475" t="str">
        <f>_xlfn.LET(_xlpm.unite,SUBSTITUTE(TRIM(BA123)," (s)",""),_xlpm.val,BE123,_xlpm.estVol,COUNTIF(AZ149:BF149,_xlpm.unite)+COUNTIF(AZ151:BF151,_xlpm.unite)&gt;0,_xlpm.estPoids,COUNTIF(AW149:AY149,_xlpm.unite)+COUNTIF(AW151:AY151,_xlpm.unite)&gt;0,IF(_xlpm.estVol,IF(ROUND(_xlpm.val,3)&gt;=1,ROUND(_xlpm.val,3)&amp;" L",MAX(1,ROUND(_xlpm.val*100,0))&amp;" cl"),IF(_xlpm.estPoids,IF(ROUND(_xlpm.val,3)&gt;=1,ROUND(_xlpm.val,3)&amp;" Kg",MAX(1,ROUND(_xlpm.val*1000,0))&amp;" g"),"")))</f>
        <v>13 g</v>
      </c>
      <c r="BH123" s="104"/>
      <c r="BI123" s="32"/>
      <c r="BJ123" s="33"/>
      <c r="BK123" s="32"/>
      <c r="BL123" s="34"/>
      <c r="BM123" s="92"/>
      <c r="BN123" s="108"/>
      <c r="BO123" s="94"/>
      <c r="BP123" s="95"/>
      <c r="BQ123" s="105"/>
      <c r="BR123" s="5101"/>
      <c r="BS123" s="920"/>
      <c r="BT123" s="1495"/>
      <c r="BU123" s="101"/>
      <c r="BV123" s="1475"/>
      <c r="BX123" s="104"/>
      <c r="BY123" s="32"/>
      <c r="BZ123" s="33"/>
      <c r="CA123" s="32"/>
      <c r="CB123" s="34"/>
      <c r="CC123" s="92"/>
      <c r="CD123" s="108"/>
      <c r="CE123" s="94"/>
      <c r="CF123" s="95"/>
      <c r="CG123" s="105"/>
      <c r="CH123" s="5101"/>
      <c r="CI123" s="920"/>
      <c r="CJ123" s="1495"/>
      <c r="CK123" s="101"/>
      <c r="CL123" s="1475"/>
      <c r="CN123" s="104"/>
      <c r="CO123" s="32"/>
      <c r="CP123" s="33"/>
      <c r="CQ123" s="32"/>
      <c r="CR123" s="34"/>
      <c r="CS123" s="92"/>
      <c r="CT123" s="108"/>
      <c r="CU123" s="94"/>
      <c r="CV123" s="95"/>
      <c r="CW123" s="105"/>
      <c r="CX123" s="5101"/>
      <c r="CY123" s="920"/>
      <c r="CZ123" s="1495"/>
      <c r="DA123" s="101"/>
      <c r="DB123" s="1475"/>
      <c r="DC123" s="5109"/>
      <c r="DD123" s="5086"/>
      <c r="DF123" s="3">
        <v>1</v>
      </c>
      <c r="EY123" s="127">
        <v>1</v>
      </c>
      <c r="EZ123" s="920"/>
      <c r="FA123" s="1495">
        <f>IF(OR(ISBLANK(ET102),FA102=0),0,ET123*EY103)</f>
        <v>0</v>
      </c>
      <c r="FB123" s="101">
        <f>IFERROR(_xlfn.LET(_xlpm.v,IFERROR(_xlfn.XLOOKUP(EX123,ET139:FC139,ET140:FC140),_xlfn.XLOOKUP(EX123,ET141:FC141,ET142:FC142)),_xlpm.v*EW123*EY123*EY103*IF(ISBLANK(ET123),1,ET123)),0)</f>
        <v>0</v>
      </c>
      <c r="FC123" s="1475" t="str">
        <f>_xlfn.LET(_xlpm.unite,SUBSTITUTE(TRIM(EX123)," (s)",""),_xlpm.val,FB123,_xlpm.estVol,COUNTIF(EW139:FC139,_xlpm.unite)+COUNTIF(EW141:FC141,_xlpm.unite)&gt;0,_xlpm.estPoids,COUNTIF(ET139:EV139,_xlpm.unite)+COUNTIF(ET141:EV141,_xlpm.unite)&gt;0,IF(_xlpm.estVol,IF(ROUND(_xlpm.val,3)&gt;=1,ROUND(_xlpm.val,3)&amp;" L",MAX(1,ROUND(_xlpm.val*100,0))&amp;" cl"),IF(_xlpm.estPoids,IF(ROUND(_xlpm.val,3)&gt;=1,ROUND(_xlpm.val,3)&amp;" Kg",MAX(1,ROUND(_xlpm.val*1000,0))&amp;" g"),"")))</f>
        <v>1 cl</v>
      </c>
    </row>
    <row r="124" spans="2:159" ht="21" customHeight="1">
      <c r="B124" s="952" t="str">
        <f t="shared" si="28"/>
        <v>A</v>
      </c>
      <c r="C124" s="993" cm="1">
        <f t="array" ref="C124">SUMPRODUCT(LEN(D124:J124))</f>
        <v>0</v>
      </c>
      <c r="D124" s="167"/>
      <c r="E124" s="172"/>
      <c r="F124" s="172"/>
      <c r="G124" s="172"/>
      <c r="H124" s="172"/>
      <c r="I124" s="172"/>
      <c r="J124" s="173"/>
      <c r="K124" s="442" t="s">
        <v>22</v>
      </c>
      <c r="L124" s="104" t="str">
        <f t="shared" si="32"/>
        <v>A</v>
      </c>
      <c r="M124" s="32" t="str">
        <f>M114</f>
        <v>P PRESSÉ DE BOUDIN NOIR | | Auteur &gt; Guy KRENZE - Eric GODDYN - Arnaud NICOLAS - CEPROC 2002</v>
      </c>
      <c r="N124" s="33">
        <f>N114</f>
        <v>20</v>
      </c>
      <c r="O124" s="32" t="str">
        <f>O114</f>
        <v>pressés de boudin</v>
      </c>
      <c r="P124" s="34" t="str">
        <f>P114</f>
        <v>Recette mère ► le Boudin en 4 déclinaisons</v>
      </c>
      <c r="Q124" s="92"/>
      <c r="R124" s="108"/>
      <c r="S124" s="94" t="str">
        <f t="shared" si="29"/>
        <v/>
      </c>
      <c r="T124" s="95">
        <v>20</v>
      </c>
      <c r="U124" s="105" t="s">
        <v>99</v>
      </c>
      <c r="V124" s="127">
        <v>1</v>
      </c>
      <c r="W124" s="920" t="s">
        <v>12852</v>
      </c>
      <c r="X124" s="1495">
        <f>IF(OR(ISBLANK(Q112),X112=0),0,Q124*V113)</f>
        <v>0</v>
      </c>
      <c r="Y124" s="101" cm="1">
        <f t="array" ref="Y124">IFERROR(_xlfn.LET(_xlpm.k,UPPER(TRIM(U124)),_xlpm.r,_xlfn.XLOOKUP(_xlpm.k,UPPER(TRIM(Q149:Z149)),Q150:Z150,_xlfn.XLOOKUP(_xlpm.k,UPPER(TRIM(Q151:Z151)),Q152:Z152)),_xlpm.r*T124*V124*V113*IF(ISBLANK(Q124),1,Q124)),0)</f>
        <v>0.02</v>
      </c>
      <c r="Z124" s="1476" t="str">
        <f>_xlfn.LET(_xlpm.unite,SUBSTITUTE(TRIM(U124)," (s)",""),_xlpm.val,Y124,_xlpm.estVol,COUNTIF(T149:Z149,_xlpm.unite)+COUNTIF(T151:Z151,_xlpm.unite)&gt;0,_xlpm.estPoids,COUNTIF(Q149:S149,_xlpm.unite)+COUNTIF(Q151:S151,_xlpm.unite)&gt;0,IF(_xlpm.estVol,IF(ROUND(_xlpm.val,3)&gt;=1,ROUND(_xlpm.val,3)&amp;" L",MAX(1,ROUND(_xlpm.val*100,0))&amp;" cl"),IF(_xlpm.estPoids,IF(ROUND(_xlpm.val,3)&gt;=1,ROUND(_xlpm.val,3)&amp;" Kg",MAX(1,ROUND(_xlpm.val*1000,0))&amp;" g"),"")))</f>
        <v>20 g</v>
      </c>
      <c r="AB124" s="104" t="str">
        <f t="shared" si="33"/>
        <v>A</v>
      </c>
      <c r="AC124" s="32" t="str">
        <f>AC114</f>
        <v>P PRESSED BLACK PUDDING TERRINE | |  Author &gt; Guy KRENZE - Eric GODDYN - Arnaud NICOLAS - CEPROC 2002</v>
      </c>
      <c r="AD124" s="33">
        <f>AD114</f>
        <v>20</v>
      </c>
      <c r="AE124" s="32" t="str">
        <f>AE114</f>
        <v>pressés de boudin</v>
      </c>
      <c r="AF124" s="34" t="str">
        <f>AF114</f>
        <v>Master recipe ► Black pudding in 4 variations</v>
      </c>
      <c r="AG124" s="92"/>
      <c r="AH124" s="108"/>
      <c r="AI124" s="94" t="str">
        <f t="shared" si="30"/>
        <v/>
      </c>
      <c r="AJ124" s="95">
        <v>20</v>
      </c>
      <c r="AK124" s="105" t="s">
        <v>99</v>
      </c>
      <c r="AL124" s="127">
        <v>1</v>
      </c>
      <c r="AM124" s="920" t="s">
        <v>12961</v>
      </c>
      <c r="AN124" s="1495">
        <f>IF(OR(ISBLANK(AG112),AN112=0),0,AG124*AL113)</f>
        <v>0</v>
      </c>
      <c r="AO124" s="101" cm="1">
        <f t="array" ref="AO124">IFERROR(_xlfn.LET(_xlpm.k,UPPER(TRIM(AK124)),_xlpm.r,_xlfn.XLOOKUP(_xlpm.k,UPPER(TRIM(AG149:AP149)),AG150:AP150,_xlfn.XLOOKUP(_xlpm.k,UPPER(TRIM(AG151:AP151)),AG152:AP152)),_xlpm.r*AJ124*AL124*AL113*IF(ISBLANK(AG124),1,AG124)),0)</f>
        <v>3.6000000000000004E-2</v>
      </c>
      <c r="AP124" s="1476" t="str">
        <f>_xlfn.LET(_xlpm.unite,SUBSTITUTE(TRIM(AK124)," (s)",""),_xlpm.val,AO124,_xlpm.estVol,COUNTIF(AJ149:AP149,_xlpm.unite)+COUNTIF(AJ151:AP151,_xlpm.unite)&gt;0,_xlpm.estPoids,COUNTIF(AG149:AI149,_xlpm.unite)+COUNTIF(AG151:AI151,_xlpm.unite)&gt;0,IF(_xlpm.estVol,IF(ROUND(_xlpm.val,3)&gt;=1,ROUND(_xlpm.val,3)&amp;" L",MAX(1,ROUND(_xlpm.val*100,0))&amp;" cl"),IF(_xlpm.estPoids,IF(ROUND(_xlpm.val,3)&gt;=1,ROUND(_xlpm.val,3)&amp;" Kg",MAX(1,ROUND(_xlpm.val*1000,0))&amp;" g"),"")))</f>
        <v>36 g</v>
      </c>
      <c r="AR124" s="104" t="str">
        <f t="shared" si="34"/>
        <v>A</v>
      </c>
      <c r="AS124" s="32" t="str">
        <f>AS114</f>
        <v>P PRENSADO DE MORCILLA (TERRINA) | | Autor &gt; Guy KRENZE - Eric GODDYN - Arnaud NICOLAS - CEPROC 2002</v>
      </c>
      <c r="AT124" s="33">
        <f>AT114</f>
        <v>20</v>
      </c>
      <c r="AU124" s="32" t="str">
        <f>AU114</f>
        <v>pressés de boudin</v>
      </c>
      <c r="AV124" s="34" t="str">
        <f>AV114</f>
        <v>Receta madre ► Morcilla en 4 versiones</v>
      </c>
      <c r="AW124" s="92"/>
      <c r="AX124" s="108"/>
      <c r="AY124" s="94" t="str">
        <f t="shared" si="31"/>
        <v/>
      </c>
      <c r="AZ124" s="95">
        <v>20</v>
      </c>
      <c r="BA124" s="105" t="s">
        <v>99</v>
      </c>
      <c r="BB124" s="127">
        <v>1</v>
      </c>
      <c r="BC124" s="920" t="s">
        <v>12962</v>
      </c>
      <c r="BD124" s="1495">
        <f>IF(OR(ISBLANK(AW112),BD112=0),0,AW124*BB113)</f>
        <v>0</v>
      </c>
      <c r="BE124" s="101" cm="1">
        <f t="array" ref="BE124">IFERROR(_xlfn.LET(_xlpm.k,UPPER(TRIM(BA124)),_xlpm.r,_xlfn.XLOOKUP(_xlpm.k,UPPER(TRIM(AW149:BF149)),AW150:BF150,_xlfn.XLOOKUP(_xlpm.k,UPPER(TRIM(AW151:BF151)),AW152:BF152)),_xlpm.r*AZ124*BB124*BB113*IF(ISBLANK(AW124),1,AW124)),0)</f>
        <v>3.6000000000000004E-2</v>
      </c>
      <c r="BF124" s="1476" t="str">
        <f>_xlfn.LET(_xlpm.unite,SUBSTITUTE(TRIM(BA124)," (s)",""),_xlpm.val,BE124,_xlpm.estVol,COUNTIF(AZ149:BF149,_xlpm.unite)+COUNTIF(AZ151:BF151,_xlpm.unite)&gt;0,_xlpm.estPoids,COUNTIF(AW149:AY149,_xlpm.unite)+COUNTIF(AW151:AY151,_xlpm.unite)&gt;0,IF(_xlpm.estVol,IF(ROUND(_xlpm.val,3)&gt;=1,ROUND(_xlpm.val,3)&amp;" L",MAX(1,ROUND(_xlpm.val*100,0))&amp;" cl"),IF(_xlpm.estPoids,IF(ROUND(_xlpm.val,3)&gt;=1,ROUND(_xlpm.val,3)&amp;" Kg",MAX(1,ROUND(_xlpm.val*1000,0))&amp;" g"),"")))</f>
        <v>36 g</v>
      </c>
      <c r="BH124" s="104"/>
      <c r="BI124" s="32"/>
      <c r="BJ124" s="33"/>
      <c r="BK124" s="32"/>
      <c r="BL124" s="34"/>
      <c r="BM124" s="92"/>
      <c r="BN124" s="108"/>
      <c r="BO124" s="94"/>
      <c r="BP124" s="95"/>
      <c r="BQ124" s="105"/>
      <c r="BR124" s="5101"/>
      <c r="BS124" s="920"/>
      <c r="BT124" s="1495"/>
      <c r="BU124" s="101"/>
      <c r="BV124" s="1475"/>
      <c r="BX124" s="104"/>
      <c r="BY124" s="32"/>
      <c r="BZ124" s="33"/>
      <c r="CA124" s="32"/>
      <c r="CB124" s="34"/>
      <c r="CC124" s="92"/>
      <c r="CD124" s="108"/>
      <c r="CE124" s="94"/>
      <c r="CF124" s="95"/>
      <c r="CG124" s="105"/>
      <c r="CH124" s="5101"/>
      <c r="CI124" s="920"/>
      <c r="CJ124" s="1495"/>
      <c r="CK124" s="101"/>
      <c r="CL124" s="1475"/>
      <c r="CN124" s="104"/>
      <c r="CO124" s="32"/>
      <c r="CP124" s="33"/>
      <c r="CQ124" s="32"/>
      <c r="CR124" s="34"/>
      <c r="CS124" s="92"/>
      <c r="CT124" s="108"/>
      <c r="CU124" s="94"/>
      <c r="CV124" s="95"/>
      <c r="CW124" s="105"/>
      <c r="CX124" s="5101"/>
      <c r="CY124" s="920"/>
      <c r="CZ124" s="1495"/>
      <c r="DA124" s="101"/>
      <c r="DB124" s="1475"/>
      <c r="DC124" s="5109"/>
      <c r="DD124" s="5086"/>
      <c r="DF124" s="3">
        <v>1</v>
      </c>
      <c r="EY124" s="127">
        <v>1</v>
      </c>
      <c r="EZ124" s="920"/>
      <c r="FA124" s="1495">
        <f>IF(OR(ISBLANK(ET102),FA102=0),0,ET124*EY103)</f>
        <v>0</v>
      </c>
      <c r="FB124" s="101">
        <f>IFERROR(_xlfn.LET(_xlpm.v,IFERROR(_xlfn.XLOOKUP(EX124,ET139:FC139,ET140:FC140),_xlfn.XLOOKUP(EX124,ET141:FC141,ET142:FC142)),_xlpm.v*EW124*EY124*EY103*IF(ISBLANK(ET124),1,ET124)),0)</f>
        <v>0</v>
      </c>
      <c r="FC124" s="1476" t="str">
        <f>_xlfn.LET(_xlpm.unite,SUBSTITUTE(TRIM(EX124)," (s)",""),_xlpm.val,FB124,_xlpm.estVol,COUNTIF(EW139:FC139,_xlpm.unite)+COUNTIF(EW141:FC141,_xlpm.unite)&gt;0,_xlpm.estPoids,COUNTIF(ET139:EV139,_xlpm.unite)+COUNTIF(ET141:EV141,_xlpm.unite)&gt;0,IF(_xlpm.estVol,IF(ROUND(_xlpm.val,3)&gt;=1,ROUND(_xlpm.val,3)&amp;" L",MAX(1,ROUND(_xlpm.val*100,0))&amp;" cl"),IF(_xlpm.estPoids,IF(ROUND(_xlpm.val,3)&gt;=1,ROUND(_xlpm.val,3)&amp;" Kg",MAX(1,ROUND(_xlpm.val*1000,0))&amp;" g"),"")))</f>
        <v>1 cl</v>
      </c>
    </row>
    <row r="125" spans="2:159" ht="21" customHeight="1">
      <c r="B125" s="952" t="str">
        <f t="shared" si="28"/>
        <v>A</v>
      </c>
      <c r="C125" s="993" cm="1">
        <f t="array" ref="C125">SUMPRODUCT(LEN(D125:J125))</f>
        <v>0</v>
      </c>
      <c r="D125" s="167"/>
      <c r="E125" s="172"/>
      <c r="F125" s="172"/>
      <c r="G125" s="172"/>
      <c r="H125" s="172"/>
      <c r="I125" s="172"/>
      <c r="J125" s="173"/>
      <c r="K125" s="442" t="s">
        <v>22</v>
      </c>
      <c r="L125" s="104" t="str">
        <f t="shared" si="32"/>
        <v>A</v>
      </c>
      <c r="M125" s="32" t="str">
        <f>M114</f>
        <v>P PRESSÉ DE BOUDIN NOIR | | Auteur &gt; Guy KRENZE - Eric GODDYN - Arnaud NICOLAS - CEPROC 2002</v>
      </c>
      <c r="N125" s="33">
        <f>N114</f>
        <v>20</v>
      </c>
      <c r="O125" s="32" t="str">
        <f>O114</f>
        <v>pressés de boudin</v>
      </c>
      <c r="P125" s="34" t="str">
        <f>P114</f>
        <v>Recette mère ► le Boudin en 4 déclinaisons</v>
      </c>
      <c r="Q125" s="92"/>
      <c r="R125" s="108"/>
      <c r="S125" s="94" t="str">
        <f t="shared" si="29"/>
        <v/>
      </c>
      <c r="T125" s="95">
        <v>300</v>
      </c>
      <c r="U125" s="105" t="s">
        <v>99</v>
      </c>
      <c r="V125" s="127">
        <v>1</v>
      </c>
      <c r="W125" s="920" t="s">
        <v>12853</v>
      </c>
      <c r="X125" s="1495">
        <f>IF(OR(ISBLANK(Q112),X112=0),0,Q125*V113)</f>
        <v>0</v>
      </c>
      <c r="Y125" s="101" cm="1">
        <f t="array" ref="Y125">IFERROR(_xlfn.LET(_xlpm.k,UPPER(TRIM(U125)),_xlpm.r,_xlfn.XLOOKUP(_xlpm.k,UPPER(TRIM(Q149:Z149)),Q150:Z150,_xlfn.XLOOKUP(_xlpm.k,UPPER(TRIM(Q151:Z151)),Q152:Z152)),_xlpm.r*T125*V125*V113*IF(ISBLANK(Q125),1,Q125)),0)</f>
        <v>0.3</v>
      </c>
      <c r="Z125" s="1475" t="str">
        <f>_xlfn.LET(_xlpm.unite,SUBSTITUTE(TRIM(U125)," (s)",""),_xlpm.val,Y125,_xlpm.estVol,COUNTIF(T149:Z149,_xlpm.unite)+COUNTIF(T151:Z151,_xlpm.unite)&gt;0,_xlpm.estPoids,COUNTIF(Q149:S149,_xlpm.unite)+COUNTIF(Q151:S151,_xlpm.unite)&gt;0,IF(_xlpm.estVol,IF(ROUND(_xlpm.val,3)&gt;=1,ROUND(_xlpm.val,3)&amp;" L",MAX(1,ROUND(_xlpm.val*100,0))&amp;" cl"),IF(_xlpm.estPoids,IF(ROUND(_xlpm.val,3)&gt;=1,ROUND(_xlpm.val,3)&amp;" Kg",MAX(1,ROUND(_xlpm.val*1000,0))&amp;" g"),"")))</f>
        <v>300 g</v>
      </c>
      <c r="AB125" s="104" t="str">
        <f t="shared" si="33"/>
        <v>A</v>
      </c>
      <c r="AC125" s="32" t="str">
        <f>AC114</f>
        <v>P PRESSED BLACK PUDDING TERRINE | |  Author &gt; Guy KRENZE - Eric GODDYN - Arnaud NICOLAS - CEPROC 2002</v>
      </c>
      <c r="AD125" s="33">
        <f>AD114</f>
        <v>20</v>
      </c>
      <c r="AE125" s="32" t="str">
        <f>AE114</f>
        <v>pressés de boudin</v>
      </c>
      <c r="AF125" s="34" t="str">
        <f>AF114</f>
        <v>Master recipe ► Black pudding in 4 variations</v>
      </c>
      <c r="AG125" s="92"/>
      <c r="AH125" s="108"/>
      <c r="AI125" s="94" t="str">
        <f t="shared" si="30"/>
        <v/>
      </c>
      <c r="AJ125" s="95">
        <v>300</v>
      </c>
      <c r="AK125" s="105" t="s">
        <v>99</v>
      </c>
      <c r="AL125" s="127">
        <v>1</v>
      </c>
      <c r="AM125" s="920" t="s">
        <v>12963</v>
      </c>
      <c r="AN125" s="1495">
        <f>IF(OR(ISBLANK(AG112),AN112=0),0,AG125*AL113)</f>
        <v>0</v>
      </c>
      <c r="AO125" s="101" cm="1">
        <f t="array" ref="AO125">IFERROR(_xlfn.LET(_xlpm.k,UPPER(TRIM(AK125)),_xlpm.r,_xlfn.XLOOKUP(_xlpm.k,UPPER(TRIM(AG149:AP149)),AG150:AP150,_xlfn.XLOOKUP(_xlpm.k,UPPER(TRIM(AG151:AP151)),AG152:AP152)),_xlpm.r*AJ125*AL125*AL113*IF(ISBLANK(AG125),1,AG125)),0)</f>
        <v>0.54</v>
      </c>
      <c r="AP125" s="1475" t="str">
        <f>_xlfn.LET(_xlpm.unite,SUBSTITUTE(TRIM(AK125)," (s)",""),_xlpm.val,AO125,_xlpm.estVol,COUNTIF(AJ149:AP149,_xlpm.unite)+COUNTIF(AJ151:AP151,_xlpm.unite)&gt;0,_xlpm.estPoids,COUNTIF(AG149:AI149,_xlpm.unite)+COUNTIF(AG151:AI151,_xlpm.unite)&gt;0,IF(_xlpm.estVol,IF(ROUND(_xlpm.val,3)&gt;=1,ROUND(_xlpm.val,3)&amp;" L",MAX(1,ROUND(_xlpm.val*100,0))&amp;" cl"),IF(_xlpm.estPoids,IF(ROUND(_xlpm.val,3)&gt;=1,ROUND(_xlpm.val,3)&amp;" Kg",MAX(1,ROUND(_xlpm.val*1000,0))&amp;" g"),"")))</f>
        <v>540 g</v>
      </c>
      <c r="AR125" s="104" t="str">
        <f t="shared" si="34"/>
        <v>A</v>
      </c>
      <c r="AS125" s="32" t="str">
        <f>AS114</f>
        <v>P PRENSADO DE MORCILLA (TERRINA) | | Autor &gt; Guy KRENZE - Eric GODDYN - Arnaud NICOLAS - CEPROC 2002</v>
      </c>
      <c r="AT125" s="33">
        <f>AT114</f>
        <v>20</v>
      </c>
      <c r="AU125" s="32" t="str">
        <f>AU114</f>
        <v>pressés de boudin</v>
      </c>
      <c r="AV125" s="34" t="str">
        <f>AV114</f>
        <v>Receta madre ► Morcilla en 4 versiones</v>
      </c>
      <c r="AW125" s="92"/>
      <c r="AX125" s="108"/>
      <c r="AY125" s="94" t="str">
        <f t="shared" si="31"/>
        <v/>
      </c>
      <c r="AZ125" s="95">
        <v>300</v>
      </c>
      <c r="BA125" s="105" t="s">
        <v>99</v>
      </c>
      <c r="BB125" s="127">
        <v>1</v>
      </c>
      <c r="BC125" s="920" t="s">
        <v>12964</v>
      </c>
      <c r="BD125" s="1495">
        <f>IF(OR(ISBLANK(AW112),BD112=0),0,AW125*BB113)</f>
        <v>0</v>
      </c>
      <c r="BE125" s="101" cm="1">
        <f t="array" ref="BE125">IFERROR(_xlfn.LET(_xlpm.k,UPPER(TRIM(BA125)),_xlpm.r,_xlfn.XLOOKUP(_xlpm.k,UPPER(TRIM(AW149:BF149)),AW150:BF150,_xlfn.XLOOKUP(_xlpm.k,UPPER(TRIM(AW151:BF151)),AW152:BF152)),_xlpm.r*AZ125*BB125*BB113*IF(ISBLANK(AW125),1,AW125)),0)</f>
        <v>0.54</v>
      </c>
      <c r="BF125" s="1475" t="str">
        <f>_xlfn.LET(_xlpm.unite,SUBSTITUTE(TRIM(BA125)," (s)",""),_xlpm.val,BE125,_xlpm.estVol,COUNTIF(AZ149:BF149,_xlpm.unite)+COUNTIF(AZ151:BF151,_xlpm.unite)&gt;0,_xlpm.estPoids,COUNTIF(AW149:AY149,_xlpm.unite)+COUNTIF(AW151:AY151,_xlpm.unite)&gt;0,IF(_xlpm.estVol,IF(ROUND(_xlpm.val,3)&gt;=1,ROUND(_xlpm.val,3)&amp;" L",MAX(1,ROUND(_xlpm.val*100,0))&amp;" cl"),IF(_xlpm.estPoids,IF(ROUND(_xlpm.val,3)&gt;=1,ROUND(_xlpm.val,3)&amp;" Kg",MAX(1,ROUND(_xlpm.val*1000,0))&amp;" g"),"")))</f>
        <v>540 g</v>
      </c>
      <c r="BH125" s="104"/>
      <c r="BI125" s="32"/>
      <c r="BJ125" s="33"/>
      <c r="BK125" s="32"/>
      <c r="BL125" s="34"/>
      <c r="BM125" s="92"/>
      <c r="BN125" s="108"/>
      <c r="BO125" s="94"/>
      <c r="BP125" s="95"/>
      <c r="BQ125" s="105"/>
      <c r="BR125" s="5101"/>
      <c r="BS125" s="920"/>
      <c r="BT125" s="1495"/>
      <c r="BU125" s="101"/>
      <c r="BV125" s="1475"/>
      <c r="BX125" s="104"/>
      <c r="BY125" s="32"/>
      <c r="BZ125" s="33"/>
      <c r="CA125" s="32"/>
      <c r="CB125" s="34"/>
      <c r="CC125" s="92"/>
      <c r="CD125" s="108"/>
      <c r="CE125" s="94"/>
      <c r="CF125" s="95"/>
      <c r="CG125" s="105"/>
      <c r="CH125" s="5101"/>
      <c r="CI125" s="920"/>
      <c r="CJ125" s="1495"/>
      <c r="CK125" s="101"/>
      <c r="CL125" s="1475"/>
      <c r="CN125" s="104"/>
      <c r="CO125" s="32"/>
      <c r="CP125" s="33"/>
      <c r="CQ125" s="32"/>
      <c r="CR125" s="34"/>
      <c r="CS125" s="92"/>
      <c r="CT125" s="108"/>
      <c r="CU125" s="94"/>
      <c r="CV125" s="95"/>
      <c r="CW125" s="105"/>
      <c r="CX125" s="5101"/>
      <c r="CY125" s="920"/>
      <c r="CZ125" s="1495"/>
      <c r="DA125" s="101"/>
      <c r="DB125" s="1475"/>
      <c r="DC125" s="5109"/>
      <c r="DD125" s="5086"/>
      <c r="DF125" s="3">
        <v>1</v>
      </c>
      <c r="EY125" s="127">
        <v>1</v>
      </c>
      <c r="EZ125" s="920"/>
      <c r="FA125" s="1495">
        <f>IF(OR(ISBLANK(ET102),FA102=0),0,ET125*EY103)</f>
        <v>0</v>
      </c>
      <c r="FB125" s="101">
        <f>IFERROR(_xlfn.LET(_xlpm.v,IFERROR(_xlfn.XLOOKUP(EX125,ET139:FC139,ET140:FC140),_xlfn.XLOOKUP(EX125,ET141:FC141,ET142:FC142)),_xlpm.v*EW125*EY125*EY103*IF(ISBLANK(ET125),1,ET125)),0)</f>
        <v>0</v>
      </c>
      <c r="FC125" s="1475" t="str">
        <f>_xlfn.LET(_xlpm.unite,SUBSTITUTE(TRIM(EX125)," (s)",""),_xlpm.val,FB125,_xlpm.estVol,COUNTIF(EW139:FC139,_xlpm.unite)+COUNTIF(EW141:FC141,_xlpm.unite)&gt;0,_xlpm.estPoids,COUNTIF(ET139:EV139,_xlpm.unite)+COUNTIF(ET141:EV141,_xlpm.unite)&gt;0,IF(_xlpm.estVol,IF(ROUND(_xlpm.val,3)&gt;=1,ROUND(_xlpm.val,3)&amp;" L",MAX(1,ROUND(_xlpm.val*100,0))&amp;" cl"),IF(_xlpm.estPoids,IF(ROUND(_xlpm.val,3)&gt;=1,ROUND(_xlpm.val,3)&amp;" Kg",MAX(1,ROUND(_xlpm.val*1000,0))&amp;" g"),"")))</f>
        <v>1 cl</v>
      </c>
    </row>
    <row r="126" spans="2:159" ht="21" customHeight="1">
      <c r="B126" s="952" t="str">
        <f t="shared" si="28"/>
        <v>A</v>
      </c>
      <c r="C126" s="993" cm="1">
        <f t="array" ref="C126">SUMPRODUCT(LEN(D126:J126))</f>
        <v>0</v>
      </c>
      <c r="D126" s="167"/>
      <c r="E126" s="172"/>
      <c r="F126" s="172"/>
      <c r="G126" s="172"/>
      <c r="H126" s="172"/>
      <c r="I126" s="172"/>
      <c r="J126" s="173"/>
      <c r="K126" s="442" t="s">
        <v>22</v>
      </c>
      <c r="L126" s="104" t="str">
        <f t="shared" si="32"/>
        <v>A</v>
      </c>
      <c r="M126" s="32" t="str">
        <f>M114</f>
        <v>P PRESSÉ DE BOUDIN NOIR | | Auteur &gt; Guy KRENZE - Eric GODDYN - Arnaud NICOLAS - CEPROC 2002</v>
      </c>
      <c r="N126" s="33">
        <f>N114</f>
        <v>20</v>
      </c>
      <c r="O126" s="32" t="str">
        <f>O114</f>
        <v>pressés de boudin</v>
      </c>
      <c r="P126" s="34" t="str">
        <f>P114</f>
        <v>Recette mère ► le Boudin en 4 déclinaisons</v>
      </c>
      <c r="Q126" s="92"/>
      <c r="R126" s="108"/>
      <c r="S126" s="94" t="str">
        <f t="shared" si="29"/>
        <v/>
      </c>
      <c r="T126" s="95">
        <v>2</v>
      </c>
      <c r="U126" s="105" t="s">
        <v>99</v>
      </c>
      <c r="V126" s="127">
        <v>1</v>
      </c>
      <c r="W126" s="920" t="s">
        <v>12827</v>
      </c>
      <c r="X126" s="1495">
        <f>IF(OR(ISBLANK(Q112),X112=0),0,Q126*V113)</f>
        <v>0</v>
      </c>
      <c r="Y126" s="101" cm="1">
        <f t="array" ref="Y126">IFERROR(_xlfn.LET(_xlpm.k,UPPER(TRIM(U126)),_xlpm.r,_xlfn.XLOOKUP(_xlpm.k,UPPER(TRIM(Q149:Z149)),Q150:Z150,_xlfn.XLOOKUP(_xlpm.k,UPPER(TRIM(Q151:Z151)),Q152:Z152)),_xlpm.r*T126*V126*V113*IF(ISBLANK(Q126),1,Q126)),0)</f>
        <v>2E-3</v>
      </c>
      <c r="Z126" s="1476" t="str">
        <f>_xlfn.LET(_xlpm.unite,SUBSTITUTE(TRIM(U126)," (s)",""),_xlpm.val,Y126,_xlpm.estVol,COUNTIF(T149:Z149,_xlpm.unite)+COUNTIF(T151:Z151,_xlpm.unite)&gt;0,_xlpm.estPoids,COUNTIF(Q149:S149,_xlpm.unite)+COUNTIF(Q151:S151,_xlpm.unite)&gt;0,IF(_xlpm.estVol,IF(ROUND(_xlpm.val,3)&gt;=1,ROUND(_xlpm.val,3)&amp;" L",MAX(1,ROUND(_xlpm.val*100,0))&amp;" cl"),IF(_xlpm.estPoids,IF(ROUND(_xlpm.val,3)&gt;=1,ROUND(_xlpm.val,3)&amp;" Kg",MAX(1,ROUND(_xlpm.val*1000,0))&amp;" g"),"")))</f>
        <v>2 g</v>
      </c>
      <c r="AB126" s="104" t="str">
        <f t="shared" si="33"/>
        <v>A</v>
      </c>
      <c r="AC126" s="32" t="str">
        <f>AC114</f>
        <v>P PRESSED BLACK PUDDING TERRINE | |  Author &gt; Guy KRENZE - Eric GODDYN - Arnaud NICOLAS - CEPROC 2002</v>
      </c>
      <c r="AD126" s="33">
        <f>AD114</f>
        <v>20</v>
      </c>
      <c r="AE126" s="32" t="str">
        <f>AE114</f>
        <v>pressés de boudin</v>
      </c>
      <c r="AF126" s="34" t="str">
        <f>AF114</f>
        <v>Master recipe ► Black pudding in 4 variations</v>
      </c>
      <c r="AG126" s="92"/>
      <c r="AH126" s="108"/>
      <c r="AI126" s="94" t="str">
        <f t="shared" si="30"/>
        <v/>
      </c>
      <c r="AJ126" s="95">
        <v>2</v>
      </c>
      <c r="AK126" s="105" t="s">
        <v>99</v>
      </c>
      <c r="AL126" s="127">
        <v>1</v>
      </c>
      <c r="AM126" s="920" t="s">
        <v>12882</v>
      </c>
      <c r="AN126" s="1495">
        <f>IF(OR(ISBLANK(AG112),AN112=0),0,AG126*AL113)</f>
        <v>0</v>
      </c>
      <c r="AO126" s="101" cm="1">
        <f t="array" ref="AO126">IFERROR(_xlfn.LET(_xlpm.k,UPPER(TRIM(AK126)),_xlpm.r,_xlfn.XLOOKUP(_xlpm.k,UPPER(TRIM(AG149:AP149)),AG150:AP150,_xlfn.XLOOKUP(_xlpm.k,UPPER(TRIM(AG151:AP151)),AG152:AP152)),_xlpm.r*AJ126*AL126*AL113*IF(ISBLANK(AG126),1,AG126)),0)</f>
        <v>3.6000000000000003E-3</v>
      </c>
      <c r="AP126" s="1476" t="str">
        <f>_xlfn.LET(_xlpm.unite,SUBSTITUTE(TRIM(AK126)," (s)",""),_xlpm.val,AO126,_xlpm.estVol,COUNTIF(AJ149:AP149,_xlpm.unite)+COUNTIF(AJ151:AP151,_xlpm.unite)&gt;0,_xlpm.estPoids,COUNTIF(AG149:AI149,_xlpm.unite)+COUNTIF(AG151:AI151,_xlpm.unite)&gt;0,IF(_xlpm.estVol,IF(ROUND(_xlpm.val,3)&gt;=1,ROUND(_xlpm.val,3)&amp;" L",MAX(1,ROUND(_xlpm.val*100,0))&amp;" cl"),IF(_xlpm.estPoids,IF(ROUND(_xlpm.val,3)&gt;=1,ROUND(_xlpm.val,3)&amp;" Kg",MAX(1,ROUND(_xlpm.val*1000,0))&amp;" g"),"")))</f>
        <v>4 g</v>
      </c>
      <c r="AR126" s="104" t="str">
        <f t="shared" si="34"/>
        <v>A</v>
      </c>
      <c r="AS126" s="32" t="str">
        <f>AS114</f>
        <v>P PRENSADO DE MORCILLA (TERRINA) | | Autor &gt; Guy KRENZE - Eric GODDYN - Arnaud NICOLAS - CEPROC 2002</v>
      </c>
      <c r="AT126" s="33">
        <f>AT114</f>
        <v>20</v>
      </c>
      <c r="AU126" s="32" t="str">
        <f>AU114</f>
        <v>pressés de boudin</v>
      </c>
      <c r="AV126" s="34" t="str">
        <f>AV114</f>
        <v>Receta madre ► Morcilla en 4 versiones</v>
      </c>
      <c r="AW126" s="92"/>
      <c r="AX126" s="108"/>
      <c r="AY126" s="94" t="str">
        <f t="shared" si="31"/>
        <v/>
      </c>
      <c r="AZ126" s="95">
        <v>2</v>
      </c>
      <c r="BA126" s="105" t="s">
        <v>99</v>
      </c>
      <c r="BB126" s="127">
        <v>1</v>
      </c>
      <c r="BC126" s="920" t="s">
        <v>12883</v>
      </c>
      <c r="BD126" s="1495">
        <f>IF(OR(ISBLANK(AW112),BD112=0),0,AW126*BB113)</f>
        <v>0</v>
      </c>
      <c r="BE126" s="101" cm="1">
        <f t="array" ref="BE126">IFERROR(_xlfn.LET(_xlpm.k,UPPER(TRIM(BA126)),_xlpm.r,_xlfn.XLOOKUP(_xlpm.k,UPPER(TRIM(AW149:BF149)),AW150:BF150,_xlfn.XLOOKUP(_xlpm.k,UPPER(TRIM(AW151:BF151)),AW152:BF152)),_xlpm.r*AZ126*BB126*BB113*IF(ISBLANK(AW126),1,AW126)),0)</f>
        <v>3.6000000000000003E-3</v>
      </c>
      <c r="BF126" s="1476" t="str">
        <f>_xlfn.LET(_xlpm.unite,SUBSTITUTE(TRIM(BA126)," (s)",""),_xlpm.val,BE126,_xlpm.estVol,COUNTIF(AZ149:BF149,_xlpm.unite)+COUNTIF(AZ151:BF151,_xlpm.unite)&gt;0,_xlpm.estPoids,COUNTIF(AW149:AY149,_xlpm.unite)+COUNTIF(AW151:AY151,_xlpm.unite)&gt;0,IF(_xlpm.estVol,IF(ROUND(_xlpm.val,3)&gt;=1,ROUND(_xlpm.val,3)&amp;" L",MAX(1,ROUND(_xlpm.val*100,0))&amp;" cl"),IF(_xlpm.estPoids,IF(ROUND(_xlpm.val,3)&gt;=1,ROUND(_xlpm.val,3)&amp;" Kg",MAX(1,ROUND(_xlpm.val*1000,0))&amp;" g"),"")))</f>
        <v>4 g</v>
      </c>
      <c r="BH126" s="104"/>
      <c r="BI126" s="32"/>
      <c r="BJ126" s="33"/>
      <c r="BK126" s="32"/>
      <c r="BL126" s="34"/>
      <c r="BM126" s="92"/>
      <c r="BN126" s="108"/>
      <c r="BO126" s="94"/>
      <c r="BP126" s="95"/>
      <c r="BQ126" s="105"/>
      <c r="BR126" s="5101"/>
      <c r="BS126" s="920"/>
      <c r="BT126" s="1495"/>
      <c r="BU126" s="101"/>
      <c r="BV126" s="1475"/>
      <c r="BX126" s="104"/>
      <c r="BY126" s="32"/>
      <c r="BZ126" s="33"/>
      <c r="CA126" s="32"/>
      <c r="CB126" s="34"/>
      <c r="CC126" s="92"/>
      <c r="CD126" s="108"/>
      <c r="CE126" s="94"/>
      <c r="CF126" s="95"/>
      <c r="CG126" s="105"/>
      <c r="CH126" s="5101"/>
      <c r="CI126" s="920"/>
      <c r="CJ126" s="1495"/>
      <c r="CK126" s="101"/>
      <c r="CL126" s="1475"/>
      <c r="CN126" s="104"/>
      <c r="CO126" s="32"/>
      <c r="CP126" s="33"/>
      <c r="CQ126" s="32"/>
      <c r="CR126" s="34"/>
      <c r="CS126" s="92"/>
      <c r="CT126" s="108"/>
      <c r="CU126" s="94"/>
      <c r="CV126" s="95"/>
      <c r="CW126" s="105"/>
      <c r="CX126" s="5101"/>
      <c r="CY126" s="920"/>
      <c r="CZ126" s="1495"/>
      <c r="DA126" s="101"/>
      <c r="DB126" s="1475"/>
      <c r="DC126" s="5109"/>
      <c r="DD126" s="5086"/>
      <c r="DF126" s="3">
        <v>1</v>
      </c>
      <c r="EY126" s="127">
        <v>1</v>
      </c>
      <c r="EZ126" s="920"/>
      <c r="FA126" s="1495">
        <f>IF(OR(ISBLANK(ET102),FA102=0),0,ET126*EY103)</f>
        <v>0</v>
      </c>
      <c r="FB126" s="101">
        <f>IFERROR(_xlfn.LET(_xlpm.v,IFERROR(_xlfn.XLOOKUP(EX126,ET139:FC139,ET140:FC140),_xlfn.XLOOKUP(EX126,ET141:FC141,ET142:FC142)),_xlpm.v*EW126*EY126*EY103*IF(ISBLANK(ET126),1,ET126)),0)</f>
        <v>0</v>
      </c>
      <c r="FC126" s="1476" t="str">
        <f>_xlfn.LET(_xlpm.unite,SUBSTITUTE(TRIM(EX126)," (s)",""),_xlpm.val,FB126,_xlpm.estVol,COUNTIF(EW139:FC139,_xlpm.unite)+COUNTIF(EW141:FC141,_xlpm.unite)&gt;0,_xlpm.estPoids,COUNTIF(ET139:EV139,_xlpm.unite)+COUNTIF(ET141:EV141,_xlpm.unite)&gt;0,IF(_xlpm.estVol,IF(ROUND(_xlpm.val,3)&gt;=1,ROUND(_xlpm.val,3)&amp;" L",MAX(1,ROUND(_xlpm.val*100,0))&amp;" cl"),IF(_xlpm.estPoids,IF(ROUND(_xlpm.val,3)&gt;=1,ROUND(_xlpm.val,3)&amp;" Kg",MAX(1,ROUND(_xlpm.val*1000,0))&amp;" g"),"")))</f>
        <v>1 cl</v>
      </c>
    </row>
    <row r="127" spans="2:159" ht="21" customHeight="1">
      <c r="B127" s="952" t="str">
        <f t="shared" si="28"/>
        <v>A</v>
      </c>
      <c r="C127" s="993" cm="1">
        <f t="array" ref="C127">SUMPRODUCT(LEN(D127:J127))</f>
        <v>0</v>
      </c>
      <c r="D127" s="167"/>
      <c r="E127" s="172"/>
      <c r="F127" s="172"/>
      <c r="G127" s="172"/>
      <c r="H127" s="172"/>
      <c r="I127" s="172"/>
      <c r="J127" s="173"/>
      <c r="K127" s="442" t="s">
        <v>22</v>
      </c>
      <c r="L127" s="104" t="str">
        <f t="shared" si="32"/>
        <v>A</v>
      </c>
      <c r="M127" s="32" t="str">
        <f>M114</f>
        <v>P PRESSÉ DE BOUDIN NOIR | | Auteur &gt; Guy KRENZE - Eric GODDYN - Arnaud NICOLAS - CEPROC 2002</v>
      </c>
      <c r="N127" s="33">
        <f>N114</f>
        <v>20</v>
      </c>
      <c r="O127" s="32" t="str">
        <f>O114</f>
        <v>pressés de boudin</v>
      </c>
      <c r="P127" s="34" t="str">
        <f>P114</f>
        <v>Recette mère ► le Boudin en 4 déclinaisons</v>
      </c>
      <c r="Q127" s="92"/>
      <c r="R127" s="108"/>
      <c r="S127" s="94" t="str">
        <f t="shared" si="29"/>
        <v/>
      </c>
      <c r="T127" s="95">
        <v>7</v>
      </c>
      <c r="U127" s="105" t="s">
        <v>99</v>
      </c>
      <c r="V127" s="127">
        <v>1</v>
      </c>
      <c r="W127" s="920" t="s">
        <v>8947</v>
      </c>
      <c r="X127" s="1495">
        <f>IF(OR(ISBLANK(Q112),X112=0),0,Q127*V113)</f>
        <v>0</v>
      </c>
      <c r="Y127" s="101" cm="1">
        <f t="array" ref="Y127">IFERROR(_xlfn.LET(_xlpm.k,UPPER(TRIM(U127)),_xlpm.r,_xlfn.XLOOKUP(_xlpm.k,UPPER(TRIM(Q149:Z149)),Q150:Z150,_xlfn.XLOOKUP(_xlpm.k,UPPER(TRIM(Q151:Z151)),Q152:Z152)),_xlpm.r*T127*V127*V113*IF(ISBLANK(Q127),1,Q127)),0)</f>
        <v>7.0000000000000001E-3</v>
      </c>
      <c r="Z127" s="1475" t="str">
        <f>_xlfn.LET(_xlpm.unite,SUBSTITUTE(TRIM(U127)," (s)",""),_xlpm.val,Y127,_xlpm.estVol,COUNTIF(T149:Z149,_xlpm.unite)+COUNTIF(T151:Z151,_xlpm.unite)&gt;0,_xlpm.estPoids,COUNTIF(Q149:S149,_xlpm.unite)+COUNTIF(Q151:S151,_xlpm.unite)&gt;0,IF(_xlpm.estVol,IF(ROUND(_xlpm.val,3)&gt;=1,ROUND(_xlpm.val,3)&amp;" L",MAX(1,ROUND(_xlpm.val*100,0))&amp;" cl"),IF(_xlpm.estPoids,IF(ROUND(_xlpm.val,3)&gt;=1,ROUND(_xlpm.val,3)&amp;" Kg",MAX(1,ROUND(_xlpm.val*1000,0))&amp;" g"),"")))</f>
        <v>7 g</v>
      </c>
      <c r="AB127" s="104" t="str">
        <f t="shared" si="33"/>
        <v>A</v>
      </c>
      <c r="AC127" s="32" t="str">
        <f>AC114</f>
        <v>P PRESSED BLACK PUDDING TERRINE | |  Author &gt; Guy KRENZE - Eric GODDYN - Arnaud NICOLAS - CEPROC 2002</v>
      </c>
      <c r="AD127" s="33">
        <f>AD114</f>
        <v>20</v>
      </c>
      <c r="AE127" s="32" t="str">
        <f>AE114</f>
        <v>pressés de boudin</v>
      </c>
      <c r="AF127" s="34" t="str">
        <f>AF114</f>
        <v>Master recipe ► Black pudding in 4 variations</v>
      </c>
      <c r="AG127" s="92"/>
      <c r="AH127" s="108"/>
      <c r="AI127" s="94" t="str">
        <f t="shared" si="30"/>
        <v/>
      </c>
      <c r="AJ127" s="95">
        <v>7</v>
      </c>
      <c r="AK127" s="105" t="s">
        <v>99</v>
      </c>
      <c r="AL127" s="127">
        <v>1</v>
      </c>
      <c r="AM127" s="920" t="s">
        <v>12884</v>
      </c>
      <c r="AN127" s="1495">
        <f>IF(OR(ISBLANK(AG112),AN112=0),0,AG127*AL113)</f>
        <v>0</v>
      </c>
      <c r="AO127" s="101" cm="1">
        <f t="array" ref="AO127">IFERROR(_xlfn.LET(_xlpm.k,UPPER(TRIM(AK127)),_xlpm.r,_xlfn.XLOOKUP(_xlpm.k,UPPER(TRIM(AG149:AP149)),AG150:AP150,_xlfn.XLOOKUP(_xlpm.k,UPPER(TRIM(AG151:AP151)),AG152:AP152)),_xlpm.r*AJ127*AL127*AL113*IF(ISBLANK(AG127),1,AG127)),0)</f>
        <v>1.26E-2</v>
      </c>
      <c r="AP127" s="1475" t="str">
        <f>_xlfn.LET(_xlpm.unite,SUBSTITUTE(TRIM(AK127)," (s)",""),_xlpm.val,AO127,_xlpm.estVol,COUNTIF(AJ149:AP149,_xlpm.unite)+COUNTIF(AJ151:AP151,_xlpm.unite)&gt;0,_xlpm.estPoids,COUNTIF(AG149:AI149,_xlpm.unite)+COUNTIF(AG151:AI151,_xlpm.unite)&gt;0,IF(_xlpm.estVol,IF(ROUND(_xlpm.val,3)&gt;=1,ROUND(_xlpm.val,3)&amp;" L",MAX(1,ROUND(_xlpm.val*100,0))&amp;" cl"),IF(_xlpm.estPoids,IF(ROUND(_xlpm.val,3)&gt;=1,ROUND(_xlpm.val,3)&amp;" Kg",MAX(1,ROUND(_xlpm.val*1000,0))&amp;" g"),"")))</f>
        <v>13 g</v>
      </c>
      <c r="AR127" s="104" t="str">
        <f t="shared" si="34"/>
        <v>A</v>
      </c>
      <c r="AS127" s="32" t="str">
        <f>AS114</f>
        <v>P PRENSADO DE MORCILLA (TERRINA) | | Autor &gt; Guy KRENZE - Eric GODDYN - Arnaud NICOLAS - CEPROC 2002</v>
      </c>
      <c r="AT127" s="33">
        <f>AT114</f>
        <v>20</v>
      </c>
      <c r="AU127" s="32" t="str">
        <f>AU114</f>
        <v>pressés de boudin</v>
      </c>
      <c r="AV127" s="34" t="str">
        <f>AV114</f>
        <v>Receta madre ► Morcilla en 4 versiones</v>
      </c>
      <c r="AW127" s="92"/>
      <c r="AX127" s="108"/>
      <c r="AY127" s="94" t="str">
        <f t="shared" si="31"/>
        <v/>
      </c>
      <c r="AZ127" s="95">
        <v>7</v>
      </c>
      <c r="BA127" s="105" t="s">
        <v>99</v>
      </c>
      <c r="BB127" s="127">
        <v>1</v>
      </c>
      <c r="BC127" s="920" t="s">
        <v>12885</v>
      </c>
      <c r="BD127" s="1495">
        <f>IF(OR(ISBLANK(AW112),BD112=0),0,AW127*BB113)</f>
        <v>0</v>
      </c>
      <c r="BE127" s="101" cm="1">
        <f t="array" ref="BE127">IFERROR(_xlfn.LET(_xlpm.k,UPPER(TRIM(BA127)),_xlpm.r,_xlfn.XLOOKUP(_xlpm.k,UPPER(TRIM(AW149:BF149)),AW150:BF150,_xlfn.XLOOKUP(_xlpm.k,UPPER(TRIM(AW151:BF151)),AW152:BF152)),_xlpm.r*AZ127*BB127*BB113*IF(ISBLANK(AW127),1,AW127)),0)</f>
        <v>1.26E-2</v>
      </c>
      <c r="BF127" s="1475" t="str">
        <f>_xlfn.LET(_xlpm.unite,SUBSTITUTE(TRIM(BA127)," (s)",""),_xlpm.val,BE127,_xlpm.estVol,COUNTIF(AZ149:BF149,_xlpm.unite)+COUNTIF(AZ151:BF151,_xlpm.unite)&gt;0,_xlpm.estPoids,COUNTIF(AW149:AY149,_xlpm.unite)+COUNTIF(AW151:AY151,_xlpm.unite)&gt;0,IF(_xlpm.estVol,IF(ROUND(_xlpm.val,3)&gt;=1,ROUND(_xlpm.val,3)&amp;" L",MAX(1,ROUND(_xlpm.val*100,0))&amp;" cl"),IF(_xlpm.estPoids,IF(ROUND(_xlpm.val,3)&gt;=1,ROUND(_xlpm.val,3)&amp;" Kg",MAX(1,ROUND(_xlpm.val*1000,0))&amp;" g"),"")))</f>
        <v>13 g</v>
      </c>
      <c r="BH127" s="104"/>
      <c r="BI127" s="32"/>
      <c r="BJ127" s="33"/>
      <c r="BK127" s="32"/>
      <c r="BL127" s="34"/>
      <c r="BM127" s="92"/>
      <c r="BN127" s="108"/>
      <c r="BO127" s="94"/>
      <c r="BP127" s="95"/>
      <c r="BQ127" s="105"/>
      <c r="BR127" s="5101"/>
      <c r="BS127" s="920"/>
      <c r="BT127" s="1495"/>
      <c r="BU127" s="101"/>
      <c r="BV127" s="1475"/>
      <c r="BX127" s="104"/>
      <c r="BY127" s="32"/>
      <c r="BZ127" s="33"/>
      <c r="CA127" s="32"/>
      <c r="CB127" s="34"/>
      <c r="CC127" s="92"/>
      <c r="CD127" s="108"/>
      <c r="CE127" s="94"/>
      <c r="CF127" s="95"/>
      <c r="CG127" s="105"/>
      <c r="CH127" s="5101"/>
      <c r="CI127" s="920"/>
      <c r="CJ127" s="1495"/>
      <c r="CK127" s="101"/>
      <c r="CL127" s="1475"/>
      <c r="CN127" s="104"/>
      <c r="CO127" s="32"/>
      <c r="CP127" s="33"/>
      <c r="CQ127" s="32"/>
      <c r="CR127" s="34"/>
      <c r="CS127" s="92"/>
      <c r="CT127" s="108"/>
      <c r="CU127" s="94"/>
      <c r="CV127" s="95"/>
      <c r="CW127" s="105"/>
      <c r="CX127" s="5101"/>
      <c r="CY127" s="920"/>
      <c r="CZ127" s="1495"/>
      <c r="DA127" s="101"/>
      <c r="DB127" s="1475"/>
      <c r="DC127" s="5109"/>
      <c r="DD127" s="5086"/>
      <c r="DF127" s="3">
        <v>1</v>
      </c>
      <c r="EY127" s="127">
        <v>1</v>
      </c>
      <c r="EZ127" s="920"/>
      <c r="FA127" s="1495">
        <f>IF(OR(ISBLANK(ET102),FA102=0),0,ET127*EY103)</f>
        <v>0</v>
      </c>
      <c r="FB127" s="101">
        <f>IFERROR(_xlfn.LET(_xlpm.v,IFERROR(_xlfn.XLOOKUP(EX127,ET139:FC139,ET140:FC140),_xlfn.XLOOKUP(EX127,ET141:FC141,ET142:FC142)),_xlpm.v*EW127*EY127*EY103*IF(ISBLANK(ET127),1,ET127)),0)</f>
        <v>0</v>
      </c>
      <c r="FC127" s="1475" t="str">
        <f>_xlfn.LET(_xlpm.unite,SUBSTITUTE(TRIM(EX127)," (s)",""),_xlpm.val,FB127,_xlpm.estVol,COUNTIF(EW139:FC139,_xlpm.unite)+COUNTIF(EW141:FC141,_xlpm.unite)&gt;0,_xlpm.estPoids,COUNTIF(ET139:EV139,_xlpm.unite)+COUNTIF(ET141:EV141,_xlpm.unite)&gt;0,IF(_xlpm.estVol,IF(ROUND(_xlpm.val,3)&gt;=1,ROUND(_xlpm.val,3)&amp;" L",MAX(1,ROUND(_xlpm.val*100,0))&amp;" cl"),IF(_xlpm.estPoids,IF(ROUND(_xlpm.val,3)&gt;=1,ROUND(_xlpm.val,3)&amp;" Kg",MAX(1,ROUND(_xlpm.val*1000,0))&amp;" g"),"")))</f>
        <v>1 cl</v>
      </c>
    </row>
    <row r="128" spans="2:159" ht="21" customHeight="1">
      <c r="B128" s="952" t="str">
        <f t="shared" si="28"/>
        <v>A</v>
      </c>
      <c r="C128" s="993" cm="1">
        <f t="array" ref="C128">SUMPRODUCT(LEN(D128:J128))</f>
        <v>0</v>
      </c>
      <c r="D128" s="167"/>
      <c r="E128" s="172"/>
      <c r="F128" s="172"/>
      <c r="G128" s="172"/>
      <c r="H128" s="172"/>
      <c r="I128" s="172"/>
      <c r="J128" s="173"/>
      <c r="K128" s="442" t="s">
        <v>22</v>
      </c>
      <c r="L128" s="104" t="str">
        <f t="shared" si="32"/>
        <v>A</v>
      </c>
      <c r="M128" s="32" t="str">
        <f>M114</f>
        <v>P PRESSÉ DE BOUDIN NOIR | | Auteur &gt; Guy KRENZE - Eric GODDYN - Arnaud NICOLAS - CEPROC 2002</v>
      </c>
      <c r="N128" s="33">
        <f>N114</f>
        <v>20</v>
      </c>
      <c r="O128" s="32" t="str">
        <f>O114</f>
        <v>pressés de boudin</v>
      </c>
      <c r="P128" s="34" t="str">
        <f>P114</f>
        <v>Recette mère ► le Boudin en 4 déclinaisons</v>
      </c>
      <c r="Q128" s="92"/>
      <c r="R128" s="108"/>
      <c r="S128" s="94" t="str">
        <f t="shared" si="29"/>
        <v/>
      </c>
      <c r="T128" s="95"/>
      <c r="U128" s="126"/>
      <c r="V128" s="127">
        <v>1</v>
      </c>
      <c r="W128" s="920" t="s">
        <v>12828</v>
      </c>
      <c r="X128" s="1495">
        <f>IF(OR(ISBLANK(Q112),X112=0),0,Q128*V113)</f>
        <v>0</v>
      </c>
      <c r="Y128" s="101" cm="1">
        <f t="array" ref="Y128">IFERROR(_xlfn.LET(_xlpm.k,UPPER(TRIM(U128)),_xlpm.r,_xlfn.XLOOKUP(_xlpm.k,UPPER(TRIM(Q149:Z149)),Q150:Z150,_xlfn.XLOOKUP(_xlpm.k,UPPER(TRIM(Q151:Z151)),Q152:Z152)),_xlpm.r*T128*V128*V113*IF(ISBLANK(Q128),1,Q128)),0)</f>
        <v>0</v>
      </c>
      <c r="Z128" s="1476" t="str">
        <f>_xlfn.LET(_xlpm.unite,SUBSTITUTE(TRIM(U128)," (s)",""),_xlpm.val,Y128,_xlpm.estVol,COUNTIF(T149:Z149,_xlpm.unite)+COUNTIF(T151:Z151,_xlpm.unite)&gt;0,_xlpm.estPoids,COUNTIF(Q149:S149,_xlpm.unite)+COUNTIF(Q151:S151,_xlpm.unite)&gt;0,IF(_xlpm.estVol,IF(ROUND(_xlpm.val,3)&gt;=1,ROUND(_xlpm.val,3)&amp;" L",MAX(1,ROUND(_xlpm.val*100,0))&amp;" cl"),IF(_xlpm.estPoids,IF(ROUND(_xlpm.val,3)&gt;=1,ROUND(_xlpm.val,3)&amp;" Kg",MAX(1,ROUND(_xlpm.val*1000,0))&amp;" g"),"")))</f>
        <v/>
      </c>
      <c r="AB128" s="104" t="str">
        <f t="shared" si="33"/>
        <v>A</v>
      </c>
      <c r="AC128" s="32" t="str">
        <f>AC114</f>
        <v>P PRESSED BLACK PUDDING TERRINE | |  Author &gt; Guy KRENZE - Eric GODDYN - Arnaud NICOLAS - CEPROC 2002</v>
      </c>
      <c r="AD128" s="33">
        <f>AD114</f>
        <v>20</v>
      </c>
      <c r="AE128" s="32" t="str">
        <f>AE114</f>
        <v>pressés de boudin</v>
      </c>
      <c r="AF128" s="34" t="str">
        <f>AF114</f>
        <v>Master recipe ► Black pudding in 4 variations</v>
      </c>
      <c r="AG128" s="92"/>
      <c r="AH128" s="108"/>
      <c r="AI128" s="94" t="str">
        <f t="shared" si="30"/>
        <v/>
      </c>
      <c r="AJ128" s="95"/>
      <c r="AK128" s="126"/>
      <c r="AL128" s="127">
        <v>1</v>
      </c>
      <c r="AM128" s="920" t="s">
        <v>12886</v>
      </c>
      <c r="AN128" s="1495">
        <f>IF(OR(ISBLANK(AG112),AN112=0),0,AG128*AL113)</f>
        <v>0</v>
      </c>
      <c r="AO128" s="101" cm="1">
        <f t="array" ref="AO128">IFERROR(_xlfn.LET(_xlpm.k,UPPER(TRIM(AK128)),_xlpm.r,_xlfn.XLOOKUP(_xlpm.k,UPPER(TRIM(AG149:AP149)),AG150:AP150,_xlfn.XLOOKUP(_xlpm.k,UPPER(TRIM(AG151:AP151)),AG152:AP152)),_xlpm.r*AJ128*AL128*AL113*IF(ISBLANK(AG128),1,AG128)),0)</f>
        <v>0</v>
      </c>
      <c r="AP128" s="1476" t="str">
        <f>_xlfn.LET(_xlpm.unite,SUBSTITUTE(TRIM(AK128)," (s)",""),_xlpm.val,AO128,_xlpm.estVol,COUNTIF(AJ149:AP149,_xlpm.unite)+COUNTIF(AJ151:AP151,_xlpm.unite)&gt;0,_xlpm.estPoids,COUNTIF(AG149:AI149,_xlpm.unite)+COUNTIF(AG151:AI151,_xlpm.unite)&gt;0,IF(_xlpm.estVol,IF(ROUND(_xlpm.val,3)&gt;=1,ROUND(_xlpm.val,3)&amp;" L",MAX(1,ROUND(_xlpm.val*100,0))&amp;" cl"),IF(_xlpm.estPoids,IF(ROUND(_xlpm.val,3)&gt;=1,ROUND(_xlpm.val,3)&amp;" Kg",MAX(1,ROUND(_xlpm.val*1000,0))&amp;" g"),"")))</f>
        <v/>
      </c>
      <c r="AR128" s="104" t="str">
        <f t="shared" si="34"/>
        <v>A</v>
      </c>
      <c r="AS128" s="32" t="str">
        <f>AS114</f>
        <v>P PRENSADO DE MORCILLA (TERRINA) | | Autor &gt; Guy KRENZE - Eric GODDYN - Arnaud NICOLAS - CEPROC 2002</v>
      </c>
      <c r="AT128" s="33">
        <f>AT114</f>
        <v>20</v>
      </c>
      <c r="AU128" s="32" t="str">
        <f>AU114</f>
        <v>pressés de boudin</v>
      </c>
      <c r="AV128" s="34" t="str">
        <f>AV114</f>
        <v>Receta madre ► Morcilla en 4 versiones</v>
      </c>
      <c r="AW128" s="92"/>
      <c r="AX128" s="108"/>
      <c r="AY128" s="94" t="str">
        <f t="shared" si="31"/>
        <v/>
      </c>
      <c r="AZ128" s="95"/>
      <c r="BA128" s="126"/>
      <c r="BB128" s="127">
        <v>1</v>
      </c>
      <c r="BC128" s="920" t="s">
        <v>12887</v>
      </c>
      <c r="BD128" s="1495">
        <f>IF(OR(ISBLANK(AW112),BD112=0),0,AW128*BB113)</f>
        <v>0</v>
      </c>
      <c r="BE128" s="101" cm="1">
        <f t="array" ref="BE128">IFERROR(_xlfn.LET(_xlpm.k,UPPER(TRIM(BA128)),_xlpm.r,_xlfn.XLOOKUP(_xlpm.k,UPPER(TRIM(AW149:BF149)),AW150:BF150,_xlfn.XLOOKUP(_xlpm.k,UPPER(TRIM(AW151:BF151)),AW152:BF152)),_xlpm.r*AZ128*BB128*BB113*IF(ISBLANK(AW128),1,AW128)),0)</f>
        <v>0</v>
      </c>
      <c r="BF128" s="1476" t="str">
        <f>_xlfn.LET(_xlpm.unite,SUBSTITUTE(TRIM(BA128)," (s)",""),_xlpm.val,BE128,_xlpm.estVol,COUNTIF(AZ149:BF149,_xlpm.unite)+COUNTIF(AZ151:BF151,_xlpm.unite)&gt;0,_xlpm.estPoids,COUNTIF(AW149:AY149,_xlpm.unite)+COUNTIF(AW151:AY151,_xlpm.unite)&gt;0,IF(_xlpm.estVol,IF(ROUND(_xlpm.val,3)&gt;=1,ROUND(_xlpm.val,3)&amp;" L",MAX(1,ROUND(_xlpm.val*100,0))&amp;" cl"),IF(_xlpm.estPoids,IF(ROUND(_xlpm.val,3)&gt;=1,ROUND(_xlpm.val,3)&amp;" Kg",MAX(1,ROUND(_xlpm.val*1000,0))&amp;" g"),"")))</f>
        <v/>
      </c>
      <c r="BH128" s="104"/>
      <c r="BI128" s="32"/>
      <c r="BJ128" s="33"/>
      <c r="BK128" s="32"/>
      <c r="BL128" s="34"/>
      <c r="BM128" s="92"/>
      <c r="BN128" s="108"/>
      <c r="BO128" s="94"/>
      <c r="BP128" s="95"/>
      <c r="BQ128" s="105"/>
      <c r="BR128" s="5101"/>
      <c r="BS128" s="920"/>
      <c r="BT128" s="1495"/>
      <c r="BU128" s="101"/>
      <c r="BV128" s="1475"/>
      <c r="BX128" s="104"/>
      <c r="BY128" s="32"/>
      <c r="BZ128" s="33"/>
      <c r="CA128" s="32"/>
      <c r="CB128" s="34"/>
      <c r="CC128" s="92"/>
      <c r="CD128" s="108"/>
      <c r="CE128" s="94"/>
      <c r="CF128" s="95"/>
      <c r="CG128" s="105"/>
      <c r="CH128" s="5101"/>
      <c r="CI128" s="920"/>
      <c r="CJ128" s="1495"/>
      <c r="CK128" s="101"/>
      <c r="CL128" s="1475"/>
      <c r="CN128" s="104"/>
      <c r="CO128" s="32"/>
      <c r="CP128" s="33"/>
      <c r="CQ128" s="32"/>
      <c r="CR128" s="34"/>
      <c r="CS128" s="92"/>
      <c r="CT128" s="108"/>
      <c r="CU128" s="94"/>
      <c r="CV128" s="95"/>
      <c r="CW128" s="105"/>
      <c r="CX128" s="5101"/>
      <c r="CY128" s="920"/>
      <c r="CZ128" s="1495"/>
      <c r="DA128" s="101"/>
      <c r="DB128" s="1475"/>
      <c r="DC128" s="5109"/>
      <c r="DD128" s="5086"/>
      <c r="DF128" s="3">
        <v>1</v>
      </c>
      <c r="EY128" s="127">
        <v>1</v>
      </c>
      <c r="EZ128" s="920"/>
      <c r="FA128" s="1495">
        <f>IF(OR(ISBLANK(ET102),FA102=0),0,ET128*EY103)</f>
        <v>0</v>
      </c>
      <c r="FB128" s="101">
        <f>IFERROR(_xlfn.LET(_xlpm.v,IFERROR(_xlfn.XLOOKUP(EX128,ET139:FC139,ET140:FC140),_xlfn.XLOOKUP(EX128,ET141:FC141,ET142:FC142)),_xlpm.v*EW128*EY128*EY103*IF(ISBLANK(ET128),1,ET128)),0)</f>
        <v>0</v>
      </c>
      <c r="FC128" s="1476" t="str">
        <f>_xlfn.LET(_xlpm.unite,SUBSTITUTE(TRIM(EX128)," (s)",""),_xlpm.val,FB128,_xlpm.estVol,COUNTIF(EW139:FC139,_xlpm.unite)+COUNTIF(EW141:FC141,_xlpm.unite)&gt;0,_xlpm.estPoids,COUNTIF(ET139:EV139,_xlpm.unite)+COUNTIF(ET141:EV141,_xlpm.unite)&gt;0,IF(_xlpm.estVol,IF(ROUND(_xlpm.val,3)&gt;=1,ROUND(_xlpm.val,3)&amp;" L",MAX(1,ROUND(_xlpm.val*100,0))&amp;" cl"),IF(_xlpm.estPoids,IF(ROUND(_xlpm.val,3)&gt;=1,ROUND(_xlpm.val,3)&amp;" Kg",MAX(1,ROUND(_xlpm.val*1000,0))&amp;" g"),"")))</f>
        <v>1 cl</v>
      </c>
    </row>
    <row r="129" spans="2:159" ht="21" customHeight="1">
      <c r="B129" s="952" t="str">
        <f t="shared" si="28"/>
        <v>►</v>
      </c>
      <c r="C129" s="993" cm="1">
        <f t="array" ref="C129">SUMPRODUCT(LEN(D129:J129))</f>
        <v>0</v>
      </c>
      <c r="D129" s="167"/>
      <c r="E129" s="172"/>
      <c r="F129" s="172"/>
      <c r="G129" s="172"/>
      <c r="H129" s="172"/>
      <c r="I129" s="172"/>
      <c r="J129" s="173"/>
      <c r="K129" s="442" t="s">
        <v>22</v>
      </c>
      <c r="L129" s="104" t="str">
        <f t="shared" si="32"/>
        <v>►</v>
      </c>
      <c r="M129" s="32" t="str">
        <f>M114</f>
        <v>P PRESSÉ DE BOUDIN NOIR | | Auteur &gt; Guy KRENZE - Eric GODDYN - Arnaud NICOLAS - CEPROC 2002</v>
      </c>
      <c r="N129" s="33">
        <f>N114</f>
        <v>20</v>
      </c>
      <c r="O129" s="32" t="str">
        <f>O114</f>
        <v>pressés de boudin</v>
      </c>
      <c r="P129" s="34" t="str">
        <f>P114</f>
        <v>Recette mère ► le Boudin en 4 déclinaisons</v>
      </c>
      <c r="Q129" s="92"/>
      <c r="R129" s="108"/>
      <c r="S129" s="94" t="str">
        <f t="shared" si="29"/>
        <v/>
      </c>
      <c r="T129" s="95"/>
      <c r="U129" s="126"/>
      <c r="V129" s="127">
        <v>1</v>
      </c>
      <c r="W129" s="920"/>
      <c r="X129" s="1495">
        <f>IF(OR(ISBLANK(Q112),X112=0),0,Q129*V113)</f>
        <v>0</v>
      </c>
      <c r="Y129" s="101" cm="1">
        <f t="array" ref="Y129">IFERROR(_xlfn.LET(_xlpm.k,UPPER(TRIM(U129)),_xlpm.r,_xlfn.XLOOKUP(_xlpm.k,UPPER(TRIM(Q149:Z149)),Q150:Z150,_xlfn.XLOOKUP(_xlpm.k,UPPER(TRIM(Q151:Z151)),Q152:Z152)),_xlpm.r*T129*V129*V113*IF(ISBLANK(Q129),1,Q129)),0)</f>
        <v>0</v>
      </c>
      <c r="Z129" s="1475" t="str">
        <f>_xlfn.LET(_xlpm.unite,SUBSTITUTE(TRIM(U129)," (s)",""),_xlpm.val,Y129,_xlpm.estVol,COUNTIF(T149:Z149,_xlpm.unite)+COUNTIF(T151:Z151,_xlpm.unite)&gt;0,_xlpm.estPoids,COUNTIF(Q149:S149,_xlpm.unite)+COUNTIF(Q151:S151,_xlpm.unite)&gt;0,IF(_xlpm.estVol,IF(ROUND(_xlpm.val,3)&gt;=1,ROUND(_xlpm.val,3)&amp;" L",MAX(1,ROUND(_xlpm.val*100,0))&amp;" cl"),IF(_xlpm.estPoids,IF(ROUND(_xlpm.val,3)&gt;=1,ROUND(_xlpm.val,3)&amp;" Kg",MAX(1,ROUND(_xlpm.val*1000,0))&amp;" g"),"")))</f>
        <v/>
      </c>
      <c r="AB129" s="104" t="str">
        <f t="shared" si="33"/>
        <v>►</v>
      </c>
      <c r="AC129" s="32" t="str">
        <f>AC114</f>
        <v>P PRESSED BLACK PUDDING TERRINE | |  Author &gt; Guy KRENZE - Eric GODDYN - Arnaud NICOLAS - CEPROC 2002</v>
      </c>
      <c r="AD129" s="33">
        <f>AD114</f>
        <v>20</v>
      </c>
      <c r="AE129" s="32" t="str">
        <f>AE114</f>
        <v>pressés de boudin</v>
      </c>
      <c r="AF129" s="34" t="str">
        <f>AF114</f>
        <v>Master recipe ► Black pudding in 4 variations</v>
      </c>
      <c r="AG129" s="92"/>
      <c r="AH129" s="108"/>
      <c r="AI129" s="94" t="str">
        <f t="shared" si="30"/>
        <v/>
      </c>
      <c r="AJ129" s="95"/>
      <c r="AK129" s="126"/>
      <c r="AL129" s="127">
        <v>1</v>
      </c>
      <c r="AM129" s="920"/>
      <c r="AN129" s="1495">
        <f>IF(OR(ISBLANK(AG112),AN112=0),0,AG129*AL113)</f>
        <v>0</v>
      </c>
      <c r="AO129" s="101" cm="1">
        <f t="array" ref="AO129">IFERROR(_xlfn.LET(_xlpm.k,UPPER(TRIM(AK129)),_xlpm.r,_xlfn.XLOOKUP(_xlpm.k,UPPER(TRIM(AG149:AP149)),AG150:AP150,_xlfn.XLOOKUP(_xlpm.k,UPPER(TRIM(AG151:AP151)),AG152:AP152)),_xlpm.r*AJ129*AL129*AL113*IF(ISBLANK(AG129),1,AG129)),0)</f>
        <v>0</v>
      </c>
      <c r="AP129" s="1475" t="str">
        <f>_xlfn.LET(_xlpm.unite,SUBSTITUTE(TRIM(AK129)," (s)",""),_xlpm.val,AO129,_xlpm.estVol,COUNTIF(AJ149:AP149,_xlpm.unite)+COUNTIF(AJ151:AP151,_xlpm.unite)&gt;0,_xlpm.estPoids,COUNTIF(AG149:AI149,_xlpm.unite)+COUNTIF(AG151:AI151,_xlpm.unite)&gt;0,IF(_xlpm.estVol,IF(ROUND(_xlpm.val,3)&gt;=1,ROUND(_xlpm.val,3)&amp;" L",MAX(1,ROUND(_xlpm.val*100,0))&amp;" cl"),IF(_xlpm.estPoids,IF(ROUND(_xlpm.val,3)&gt;=1,ROUND(_xlpm.val,3)&amp;" Kg",MAX(1,ROUND(_xlpm.val*1000,0))&amp;" g"),"")))</f>
        <v/>
      </c>
      <c r="AR129" s="104" t="str">
        <f t="shared" si="34"/>
        <v>►</v>
      </c>
      <c r="AS129" s="32" t="str">
        <f>AS114</f>
        <v>P PRENSADO DE MORCILLA (TERRINA) | | Autor &gt; Guy KRENZE - Eric GODDYN - Arnaud NICOLAS - CEPROC 2002</v>
      </c>
      <c r="AT129" s="33">
        <f>AT114</f>
        <v>20</v>
      </c>
      <c r="AU129" s="32" t="str">
        <f>AU114</f>
        <v>pressés de boudin</v>
      </c>
      <c r="AV129" s="34" t="str">
        <f>AV114</f>
        <v>Receta madre ► Morcilla en 4 versiones</v>
      </c>
      <c r="AW129" s="92"/>
      <c r="AX129" s="108"/>
      <c r="AY129" s="94" t="str">
        <f t="shared" si="31"/>
        <v/>
      </c>
      <c r="AZ129" s="95"/>
      <c r="BA129" s="126"/>
      <c r="BB129" s="127">
        <v>1</v>
      </c>
      <c r="BC129" s="920"/>
      <c r="BD129" s="1495">
        <f>IF(OR(ISBLANK(AW112),BD112=0),0,AW129*BB113)</f>
        <v>0</v>
      </c>
      <c r="BE129" s="101" cm="1">
        <f t="array" ref="BE129">IFERROR(_xlfn.LET(_xlpm.k,UPPER(TRIM(BA129)),_xlpm.r,_xlfn.XLOOKUP(_xlpm.k,UPPER(TRIM(AW149:BF149)),AW150:BF150,_xlfn.XLOOKUP(_xlpm.k,UPPER(TRIM(AW151:BF151)),AW152:BF152)),_xlpm.r*AZ129*BB129*BB113*IF(ISBLANK(AW129),1,AW129)),0)</f>
        <v>0</v>
      </c>
      <c r="BF129" s="1475" t="str">
        <f>_xlfn.LET(_xlpm.unite,SUBSTITUTE(TRIM(BA129)," (s)",""),_xlpm.val,BE129,_xlpm.estVol,COUNTIF(AZ149:BF149,_xlpm.unite)+COUNTIF(AZ151:BF151,_xlpm.unite)&gt;0,_xlpm.estPoids,COUNTIF(AW149:AY149,_xlpm.unite)+COUNTIF(AW151:AY151,_xlpm.unite)&gt;0,IF(_xlpm.estVol,IF(ROUND(_xlpm.val,3)&gt;=1,ROUND(_xlpm.val,3)&amp;" L",MAX(1,ROUND(_xlpm.val*100,0))&amp;" cl"),IF(_xlpm.estPoids,IF(ROUND(_xlpm.val,3)&gt;=1,ROUND(_xlpm.val,3)&amp;" Kg",MAX(1,ROUND(_xlpm.val*1000,0))&amp;" g"),"")))</f>
        <v/>
      </c>
      <c r="BH129" s="104"/>
      <c r="BI129" s="32"/>
      <c r="BJ129" s="33"/>
      <c r="BK129" s="32"/>
      <c r="BL129" s="34"/>
      <c r="BM129" s="92"/>
      <c r="BN129" s="108"/>
      <c r="BO129" s="94"/>
      <c r="BP129" s="95"/>
      <c r="BQ129" s="105"/>
      <c r="BR129" s="5101"/>
      <c r="BS129" s="920"/>
      <c r="BT129" s="1495"/>
      <c r="BU129" s="101"/>
      <c r="BV129" s="1475"/>
      <c r="BX129" s="104"/>
      <c r="BY129" s="32"/>
      <c r="BZ129" s="33"/>
      <c r="CA129" s="32"/>
      <c r="CB129" s="34"/>
      <c r="CC129" s="92"/>
      <c r="CD129" s="108"/>
      <c r="CE129" s="94"/>
      <c r="CF129" s="95"/>
      <c r="CG129" s="105"/>
      <c r="CH129" s="5101"/>
      <c r="CI129" s="920"/>
      <c r="CJ129" s="1495"/>
      <c r="CK129" s="101"/>
      <c r="CL129" s="1475"/>
      <c r="CN129" s="104"/>
      <c r="CO129" s="32"/>
      <c r="CP129" s="33"/>
      <c r="CQ129" s="32"/>
      <c r="CR129" s="34"/>
      <c r="CS129" s="92"/>
      <c r="CT129" s="108"/>
      <c r="CU129" s="94"/>
      <c r="CV129" s="95"/>
      <c r="CW129" s="105"/>
      <c r="CX129" s="5101"/>
      <c r="CY129" s="920"/>
      <c r="CZ129" s="1495"/>
      <c r="DA129" s="101"/>
      <c r="DB129" s="1475"/>
      <c r="DC129" s="5109"/>
      <c r="DD129" s="5086"/>
      <c r="DF129" s="3">
        <v>1</v>
      </c>
      <c r="EY129" s="127">
        <v>1</v>
      </c>
      <c r="EZ129" s="920"/>
      <c r="FA129" s="1495">
        <f>IF(OR(ISBLANK(ET102),FA102=0),0,ET129*EY103)</f>
        <v>0</v>
      </c>
      <c r="FB129" s="101">
        <f>IFERROR(_xlfn.LET(_xlpm.v,IFERROR(_xlfn.XLOOKUP(EX129,ET139:FC139,ET140:FC140),_xlfn.XLOOKUP(EX129,ET141:FC141,ET142:FC142)),_xlpm.v*EW129*EY129*EY103*IF(ISBLANK(ET129),1,ET129)),0)</f>
        <v>0</v>
      </c>
      <c r="FC129" s="1475" t="str">
        <f>_xlfn.LET(_xlpm.unite,SUBSTITUTE(TRIM(EX129)," (s)",""),_xlpm.val,FB129,_xlpm.estVol,COUNTIF(EW139:FC139,_xlpm.unite)+COUNTIF(EW141:FC141,_xlpm.unite)&gt;0,_xlpm.estPoids,COUNTIF(ET139:EV139,_xlpm.unite)+COUNTIF(ET141:EV141,_xlpm.unite)&gt;0,IF(_xlpm.estVol,IF(ROUND(_xlpm.val,3)&gt;=1,ROUND(_xlpm.val,3)&amp;" L",MAX(1,ROUND(_xlpm.val*100,0))&amp;" cl"),IF(_xlpm.estPoids,IF(ROUND(_xlpm.val,3)&gt;=1,ROUND(_xlpm.val,3)&amp;" Kg",MAX(1,ROUND(_xlpm.val*1000,0))&amp;" g"),"")))</f>
        <v>1 cl</v>
      </c>
    </row>
    <row r="130" spans="2:159" ht="21" customHeight="1">
      <c r="B130" s="952" t="str">
        <f t="shared" si="28"/>
        <v>A</v>
      </c>
      <c r="C130" s="993" cm="1">
        <f t="array" ref="C130">SUMPRODUCT(LEN(D130:J130))</f>
        <v>0</v>
      </c>
      <c r="D130" s="167"/>
      <c r="E130" s="172"/>
      <c r="F130" s="172"/>
      <c r="G130" s="172"/>
      <c r="H130" s="172"/>
      <c r="I130" s="172"/>
      <c r="J130" s="173"/>
      <c r="K130" s="442" t="s">
        <v>22</v>
      </c>
      <c r="L130" s="104" t="str">
        <f t="shared" si="32"/>
        <v>A</v>
      </c>
      <c r="M130" s="32" t="str">
        <f>M114</f>
        <v>P PRESSÉ DE BOUDIN NOIR | | Auteur &gt; Guy KRENZE - Eric GODDYN - Arnaud NICOLAS - CEPROC 2002</v>
      </c>
      <c r="N130" s="33">
        <f>N114</f>
        <v>20</v>
      </c>
      <c r="O130" s="32" t="str">
        <f>O114</f>
        <v>pressés de boudin</v>
      </c>
      <c r="P130" s="34" t="str">
        <f>P114</f>
        <v>Recette mère ► le Boudin en 4 déclinaisons</v>
      </c>
      <c r="Q130" s="92"/>
      <c r="R130" s="108"/>
      <c r="S130" s="94" t="str">
        <f t="shared" si="29"/>
        <v/>
      </c>
      <c r="T130" s="95"/>
      <c r="U130" s="126"/>
      <c r="V130" s="127">
        <v>1</v>
      </c>
      <c r="W130" s="920" t="s">
        <v>12856</v>
      </c>
      <c r="X130" s="1495">
        <f>IF(OR(ISBLANK(Q112),X112=0),0,Q130*V113)</f>
        <v>0</v>
      </c>
      <c r="Y130" s="101" cm="1">
        <f t="array" ref="Y130">IFERROR(_xlfn.LET(_xlpm.k,UPPER(TRIM(U130)),_xlpm.r,_xlfn.XLOOKUP(_xlpm.k,UPPER(TRIM(Q149:Z149)),Q150:Z150,_xlfn.XLOOKUP(_xlpm.k,UPPER(TRIM(Q151:Z151)),Q152:Z152)),_xlpm.r*T130*V130*V113*IF(ISBLANK(Q130),1,Q130)),0)</f>
        <v>0</v>
      </c>
      <c r="Z130" s="1476" t="str">
        <f>_xlfn.LET(_xlpm.unite,SUBSTITUTE(TRIM(U130)," (s)",""),_xlpm.val,Y130,_xlpm.estVol,COUNTIF(T149:Z149,_xlpm.unite)+COUNTIF(T151:Z151,_xlpm.unite)&gt;0,_xlpm.estPoids,COUNTIF(Q149:S149,_xlpm.unite)+COUNTIF(Q151:S151,_xlpm.unite)&gt;0,IF(_xlpm.estVol,IF(ROUND(_xlpm.val,3)&gt;=1,ROUND(_xlpm.val,3)&amp;" L",MAX(1,ROUND(_xlpm.val*100,0))&amp;" cl"),IF(_xlpm.estPoids,IF(ROUND(_xlpm.val,3)&gt;=1,ROUND(_xlpm.val,3)&amp;" Kg",MAX(1,ROUND(_xlpm.val*1000,0))&amp;" g"),"")))</f>
        <v/>
      </c>
      <c r="AB130" s="104" t="str">
        <f t="shared" si="33"/>
        <v>A</v>
      </c>
      <c r="AC130" s="32" t="str">
        <f>AC114</f>
        <v>P PRESSED BLACK PUDDING TERRINE | |  Author &gt; Guy KRENZE - Eric GODDYN - Arnaud NICOLAS - CEPROC 2002</v>
      </c>
      <c r="AD130" s="33">
        <f>AD114</f>
        <v>20</v>
      </c>
      <c r="AE130" s="32" t="str">
        <f>AE114</f>
        <v>pressés de boudin</v>
      </c>
      <c r="AF130" s="34" t="str">
        <f>AF114</f>
        <v>Master recipe ► Black pudding in 4 variations</v>
      </c>
      <c r="AG130" s="92"/>
      <c r="AH130" s="108"/>
      <c r="AI130" s="94" t="str">
        <f t="shared" si="30"/>
        <v/>
      </c>
      <c r="AJ130" s="95"/>
      <c r="AK130" s="126"/>
      <c r="AL130" s="127">
        <v>1</v>
      </c>
      <c r="AM130" s="920" t="s">
        <v>12998</v>
      </c>
      <c r="AN130" s="1495">
        <f>IF(OR(ISBLANK(AG112),AN112=0),0,AG130*AL113)</f>
        <v>0</v>
      </c>
      <c r="AO130" s="101" cm="1">
        <f t="array" ref="AO130">IFERROR(_xlfn.LET(_xlpm.k,UPPER(TRIM(AK130)),_xlpm.r,_xlfn.XLOOKUP(_xlpm.k,UPPER(TRIM(AG149:AP149)),AG150:AP150,_xlfn.XLOOKUP(_xlpm.k,UPPER(TRIM(AG151:AP151)),AG152:AP152)),_xlpm.r*AJ130*AL130*AL113*IF(ISBLANK(AG130),1,AG130)),0)</f>
        <v>0</v>
      </c>
      <c r="AP130" s="1476" t="str">
        <f>_xlfn.LET(_xlpm.unite,SUBSTITUTE(TRIM(AK130)," (s)",""),_xlpm.val,AO130,_xlpm.estVol,COUNTIF(AJ149:AP149,_xlpm.unite)+COUNTIF(AJ151:AP151,_xlpm.unite)&gt;0,_xlpm.estPoids,COUNTIF(AG149:AI149,_xlpm.unite)+COUNTIF(AG151:AI151,_xlpm.unite)&gt;0,IF(_xlpm.estVol,IF(ROUND(_xlpm.val,3)&gt;=1,ROUND(_xlpm.val,3)&amp;" L",MAX(1,ROUND(_xlpm.val*100,0))&amp;" cl"),IF(_xlpm.estPoids,IF(ROUND(_xlpm.val,3)&gt;=1,ROUND(_xlpm.val,3)&amp;" Kg",MAX(1,ROUND(_xlpm.val*1000,0))&amp;" g"),"")))</f>
        <v/>
      </c>
      <c r="AR130" s="104" t="str">
        <f t="shared" si="34"/>
        <v>A</v>
      </c>
      <c r="AS130" s="32" t="str">
        <f>AS114</f>
        <v>P PRENSADO DE MORCILLA (TERRINA) | | Autor &gt; Guy KRENZE - Eric GODDYN - Arnaud NICOLAS - CEPROC 2002</v>
      </c>
      <c r="AT130" s="33">
        <f>AT114</f>
        <v>20</v>
      </c>
      <c r="AU130" s="32" t="str">
        <f>AU114</f>
        <v>pressés de boudin</v>
      </c>
      <c r="AV130" s="34" t="str">
        <f>AV114</f>
        <v>Receta madre ► Morcilla en 4 versiones</v>
      </c>
      <c r="AW130" s="92"/>
      <c r="AX130" s="108"/>
      <c r="AY130" s="94" t="str">
        <f t="shared" si="31"/>
        <v/>
      </c>
      <c r="AZ130" s="95"/>
      <c r="BA130" s="126"/>
      <c r="BB130" s="127">
        <v>1</v>
      </c>
      <c r="BC130" s="920" t="s">
        <v>12997</v>
      </c>
      <c r="BD130" s="1495">
        <f>IF(OR(ISBLANK(AW112),BD112=0),0,AW130*BB113)</f>
        <v>0</v>
      </c>
      <c r="BE130" s="101" cm="1">
        <f t="array" ref="BE130">IFERROR(_xlfn.LET(_xlpm.k,UPPER(TRIM(BA130)),_xlpm.r,_xlfn.XLOOKUP(_xlpm.k,UPPER(TRIM(AW149:BF149)),AW150:BF150,_xlfn.XLOOKUP(_xlpm.k,UPPER(TRIM(AW151:BF151)),AW152:BF152)),_xlpm.r*AZ130*BB130*BB113*IF(ISBLANK(AW130),1,AW130)),0)</f>
        <v>0</v>
      </c>
      <c r="BF130" s="1476" t="str">
        <f>_xlfn.LET(_xlpm.unite,SUBSTITUTE(TRIM(BA130)," (s)",""),_xlpm.val,BE130,_xlpm.estVol,COUNTIF(AZ149:BF149,_xlpm.unite)+COUNTIF(AZ151:BF151,_xlpm.unite)&gt;0,_xlpm.estPoids,COUNTIF(AW149:AY149,_xlpm.unite)+COUNTIF(AW151:AY151,_xlpm.unite)&gt;0,IF(_xlpm.estVol,IF(ROUND(_xlpm.val,3)&gt;=1,ROUND(_xlpm.val,3)&amp;" L",MAX(1,ROUND(_xlpm.val*100,0))&amp;" cl"),IF(_xlpm.estPoids,IF(ROUND(_xlpm.val,3)&gt;=1,ROUND(_xlpm.val,3)&amp;" Kg",MAX(1,ROUND(_xlpm.val*1000,0))&amp;" g"),"")))</f>
        <v/>
      </c>
      <c r="BH130" s="104"/>
      <c r="BI130" s="32"/>
      <c r="BJ130" s="33"/>
      <c r="BK130" s="32"/>
      <c r="BL130" s="34"/>
      <c r="BM130" s="92"/>
      <c r="BN130" s="108"/>
      <c r="BO130" s="94"/>
      <c r="BP130" s="95"/>
      <c r="BQ130" s="105"/>
      <c r="BR130" s="5101"/>
      <c r="BS130" s="920"/>
      <c r="BT130" s="1495"/>
      <c r="BU130" s="101"/>
      <c r="BV130" s="1475"/>
      <c r="BX130" s="104"/>
      <c r="BY130" s="32"/>
      <c r="BZ130" s="33"/>
      <c r="CA130" s="32"/>
      <c r="CB130" s="34"/>
      <c r="CC130" s="92"/>
      <c r="CD130" s="108"/>
      <c r="CE130" s="94"/>
      <c r="CF130" s="95"/>
      <c r="CG130" s="105"/>
      <c r="CH130" s="5101"/>
      <c r="CI130" s="920"/>
      <c r="CJ130" s="1495"/>
      <c r="CK130" s="101"/>
      <c r="CL130" s="1475"/>
      <c r="CN130" s="104"/>
      <c r="CO130" s="32"/>
      <c r="CP130" s="33"/>
      <c r="CQ130" s="32"/>
      <c r="CR130" s="34"/>
      <c r="CS130" s="92"/>
      <c r="CT130" s="108"/>
      <c r="CU130" s="94"/>
      <c r="CV130" s="95"/>
      <c r="CW130" s="105"/>
      <c r="CX130" s="5101"/>
      <c r="CY130" s="920"/>
      <c r="CZ130" s="1495"/>
      <c r="DA130" s="101"/>
      <c r="DB130" s="1475"/>
      <c r="DC130" s="5109"/>
      <c r="DD130" s="5086"/>
      <c r="DF130" s="3">
        <v>1</v>
      </c>
      <c r="EY130" s="127">
        <v>1</v>
      </c>
      <c r="EZ130" s="920"/>
      <c r="FA130" s="1495">
        <f>IF(OR(ISBLANK(ET102),FA102=0),0,ET130*EY103)</f>
        <v>0</v>
      </c>
      <c r="FB130" s="101">
        <f>IFERROR(_xlfn.LET(_xlpm.v,IFERROR(_xlfn.XLOOKUP(EX130,ET139:FC139,ET140:FC140),_xlfn.XLOOKUP(EX130,ET141:FC141,ET142:FC142)),_xlpm.v*EW130*EY130*EY103*IF(ISBLANK(ET130),1,ET130)),0)</f>
        <v>0</v>
      </c>
      <c r="FC130" s="1476" t="str">
        <f>_xlfn.LET(_xlpm.unite,SUBSTITUTE(TRIM(EX130)," (s)",""),_xlpm.val,FB130,_xlpm.estVol,COUNTIF(EW139:FC139,_xlpm.unite)+COUNTIF(EW141:FC141,_xlpm.unite)&gt;0,_xlpm.estPoids,COUNTIF(ET139:EV139,_xlpm.unite)+COUNTIF(ET141:EV141,_xlpm.unite)&gt;0,IF(_xlpm.estVol,IF(ROUND(_xlpm.val,3)&gt;=1,ROUND(_xlpm.val,3)&amp;" L",MAX(1,ROUND(_xlpm.val*100,0))&amp;" cl"),IF(_xlpm.estPoids,IF(ROUND(_xlpm.val,3)&gt;=1,ROUND(_xlpm.val,3)&amp;" Kg",MAX(1,ROUND(_xlpm.val*1000,0))&amp;" g"),"")))</f>
        <v>1 cl</v>
      </c>
    </row>
    <row r="131" spans="2:159" ht="21" customHeight="1">
      <c r="B131" s="952" t="str">
        <f t="shared" si="28"/>
        <v>A</v>
      </c>
      <c r="C131" s="993" cm="1">
        <f t="array" ref="C131">SUMPRODUCT(LEN(D131:J131))</f>
        <v>0</v>
      </c>
      <c r="D131" s="167"/>
      <c r="E131" s="172"/>
      <c r="F131" s="172"/>
      <c r="G131" s="172"/>
      <c r="H131" s="172"/>
      <c r="I131" s="172"/>
      <c r="J131" s="173"/>
      <c r="K131" s="442" t="s">
        <v>22</v>
      </c>
      <c r="L131" s="104" t="str">
        <f t="shared" si="32"/>
        <v>A</v>
      </c>
      <c r="M131" s="32" t="str">
        <f>M114</f>
        <v>P PRESSÉ DE BOUDIN NOIR | | Auteur &gt; Guy KRENZE - Eric GODDYN - Arnaud NICOLAS - CEPROC 2002</v>
      </c>
      <c r="N131" s="33">
        <f>N114</f>
        <v>20</v>
      </c>
      <c r="O131" s="32" t="str">
        <f>O114</f>
        <v>pressés de boudin</v>
      </c>
      <c r="P131" s="34" t="str">
        <f>P114</f>
        <v>Recette mère ► le Boudin en 4 déclinaisons</v>
      </c>
      <c r="Q131" s="92"/>
      <c r="R131" s="108"/>
      <c r="S131" s="94" t="str">
        <f t="shared" si="29"/>
        <v/>
      </c>
      <c r="T131" s="95">
        <v>300</v>
      </c>
      <c r="U131" s="105" t="s">
        <v>99</v>
      </c>
      <c r="V131" s="127">
        <v>1</v>
      </c>
      <c r="W131" s="920" t="s">
        <v>12848</v>
      </c>
      <c r="X131" s="1495">
        <f>IF(OR(ISBLANK(Q112),X112=0),0,Q131*V113)</f>
        <v>0</v>
      </c>
      <c r="Y131" s="101" cm="1">
        <f t="array" ref="Y131">IFERROR(_xlfn.LET(_xlpm.k,UPPER(TRIM(U131)),_xlpm.r,_xlfn.XLOOKUP(_xlpm.k,UPPER(TRIM(Q149:Z149)),Q150:Z150,_xlfn.XLOOKUP(_xlpm.k,UPPER(TRIM(Q151:Z151)),Q152:Z152)),_xlpm.r*T131*V131*V113*IF(ISBLANK(Q131),1,Q131)),0)</f>
        <v>0.3</v>
      </c>
      <c r="Z131" s="1475" t="str">
        <f>_xlfn.LET(_xlpm.unite,SUBSTITUTE(TRIM(U131)," (s)",""),_xlpm.val,Y131,_xlpm.estVol,COUNTIF(T149:Z149,_xlpm.unite)+COUNTIF(T151:Z151,_xlpm.unite)&gt;0,_xlpm.estPoids,COUNTIF(Q149:S149,_xlpm.unite)+COUNTIF(Q151:S151,_xlpm.unite)&gt;0,IF(_xlpm.estVol,IF(ROUND(_xlpm.val,3)&gt;=1,ROUND(_xlpm.val,3)&amp;" L",MAX(1,ROUND(_xlpm.val*100,0))&amp;" cl"),IF(_xlpm.estPoids,IF(ROUND(_xlpm.val,3)&gt;=1,ROUND(_xlpm.val,3)&amp;" Kg",MAX(1,ROUND(_xlpm.val*1000,0))&amp;" g"),"")))</f>
        <v>300 g</v>
      </c>
      <c r="AB131" s="104" t="str">
        <f t="shared" si="33"/>
        <v>A</v>
      </c>
      <c r="AC131" s="32" t="str">
        <f>AC114</f>
        <v>P PRESSED BLACK PUDDING TERRINE | |  Author &gt; Guy KRENZE - Eric GODDYN - Arnaud NICOLAS - CEPROC 2002</v>
      </c>
      <c r="AD131" s="33">
        <f>AD114</f>
        <v>20</v>
      </c>
      <c r="AE131" s="32" t="str">
        <f>AE114</f>
        <v>pressés de boudin</v>
      </c>
      <c r="AF131" s="34" t="str">
        <f>AF114</f>
        <v>Master recipe ► Black pudding in 4 variations</v>
      </c>
      <c r="AG131" s="92"/>
      <c r="AH131" s="108"/>
      <c r="AI131" s="94" t="str">
        <f t="shared" si="30"/>
        <v/>
      </c>
      <c r="AJ131" s="95">
        <v>300</v>
      </c>
      <c r="AK131" s="105" t="s">
        <v>99</v>
      </c>
      <c r="AL131" s="127">
        <v>1</v>
      </c>
      <c r="AM131" s="920" t="s">
        <v>12952</v>
      </c>
      <c r="AN131" s="1495">
        <f>IF(OR(ISBLANK(AG112),AN112=0),0,AG131*AL113)</f>
        <v>0</v>
      </c>
      <c r="AO131" s="101" cm="1">
        <f t="array" ref="AO131">IFERROR(_xlfn.LET(_xlpm.k,UPPER(TRIM(AK131)),_xlpm.r,_xlfn.XLOOKUP(_xlpm.k,UPPER(TRIM(AG149:AP149)),AG150:AP150,_xlfn.XLOOKUP(_xlpm.k,UPPER(TRIM(AG151:AP151)),AG152:AP152)),_xlpm.r*AJ131*AL131*AL113*IF(ISBLANK(AG131),1,AG131)),0)</f>
        <v>0.54</v>
      </c>
      <c r="AP131" s="1475" t="str">
        <f>_xlfn.LET(_xlpm.unite,SUBSTITUTE(TRIM(AK131)," (s)",""),_xlpm.val,AO131,_xlpm.estVol,COUNTIF(AJ149:AP149,_xlpm.unite)+COUNTIF(AJ151:AP151,_xlpm.unite)&gt;0,_xlpm.estPoids,COUNTIF(AG149:AI149,_xlpm.unite)+COUNTIF(AG151:AI151,_xlpm.unite)&gt;0,IF(_xlpm.estVol,IF(ROUND(_xlpm.val,3)&gt;=1,ROUND(_xlpm.val,3)&amp;" L",MAX(1,ROUND(_xlpm.val*100,0))&amp;" cl"),IF(_xlpm.estPoids,IF(ROUND(_xlpm.val,3)&gt;=1,ROUND(_xlpm.val,3)&amp;" Kg",MAX(1,ROUND(_xlpm.val*1000,0))&amp;" g"),"")))</f>
        <v>540 g</v>
      </c>
      <c r="AR131" s="104" t="str">
        <f t="shared" si="34"/>
        <v>A</v>
      </c>
      <c r="AS131" s="32" t="str">
        <f>AS114</f>
        <v>P PRENSADO DE MORCILLA (TERRINA) | | Autor &gt; Guy KRENZE - Eric GODDYN - Arnaud NICOLAS - CEPROC 2002</v>
      </c>
      <c r="AT131" s="33">
        <f>AT114</f>
        <v>20</v>
      </c>
      <c r="AU131" s="32" t="str">
        <f>AU114</f>
        <v>pressés de boudin</v>
      </c>
      <c r="AV131" s="34" t="str">
        <f>AV114</f>
        <v>Receta madre ► Morcilla en 4 versiones</v>
      </c>
      <c r="AW131" s="92"/>
      <c r="AX131" s="108"/>
      <c r="AY131" s="94" t="str">
        <f t="shared" si="31"/>
        <v/>
      </c>
      <c r="AZ131" s="95">
        <v>300</v>
      </c>
      <c r="BA131" s="105" t="s">
        <v>99</v>
      </c>
      <c r="BB131" s="127">
        <v>1</v>
      </c>
      <c r="BC131" s="920" t="s">
        <v>12953</v>
      </c>
      <c r="BD131" s="1495">
        <f>IF(OR(ISBLANK(AW112),BD112=0),0,AW131*BB113)</f>
        <v>0</v>
      </c>
      <c r="BE131" s="101" cm="1">
        <f t="array" ref="BE131">IFERROR(_xlfn.LET(_xlpm.k,UPPER(TRIM(BA131)),_xlpm.r,_xlfn.XLOOKUP(_xlpm.k,UPPER(TRIM(AW149:BF149)),AW150:BF150,_xlfn.XLOOKUP(_xlpm.k,UPPER(TRIM(AW151:BF151)),AW152:BF152)),_xlpm.r*AZ131*BB131*BB113*IF(ISBLANK(AW131),1,AW131)),0)</f>
        <v>0.54</v>
      </c>
      <c r="BF131" s="1475" t="str">
        <f>_xlfn.LET(_xlpm.unite,SUBSTITUTE(TRIM(BA131)," (s)",""),_xlpm.val,BE131,_xlpm.estVol,COUNTIF(AZ149:BF149,_xlpm.unite)+COUNTIF(AZ151:BF151,_xlpm.unite)&gt;0,_xlpm.estPoids,COUNTIF(AW149:AY149,_xlpm.unite)+COUNTIF(AW151:AY151,_xlpm.unite)&gt;0,IF(_xlpm.estVol,IF(ROUND(_xlpm.val,3)&gt;=1,ROUND(_xlpm.val,3)&amp;" L",MAX(1,ROUND(_xlpm.val*100,0))&amp;" cl"),IF(_xlpm.estPoids,IF(ROUND(_xlpm.val,3)&gt;=1,ROUND(_xlpm.val,3)&amp;" Kg",MAX(1,ROUND(_xlpm.val*1000,0))&amp;" g"),"")))</f>
        <v>540 g</v>
      </c>
      <c r="BH131" s="104"/>
      <c r="BI131" s="32"/>
      <c r="BJ131" s="33"/>
      <c r="BK131" s="32"/>
      <c r="BL131" s="34"/>
      <c r="BM131" s="92"/>
      <c r="BN131" s="108"/>
      <c r="BO131" s="94"/>
      <c r="BP131" s="95"/>
      <c r="BQ131" s="105"/>
      <c r="BR131" s="5101"/>
      <c r="BS131" s="920"/>
      <c r="BT131" s="1495"/>
      <c r="BU131" s="101"/>
      <c r="BV131" s="1475"/>
      <c r="BX131" s="104"/>
      <c r="BY131" s="32"/>
      <c r="BZ131" s="33"/>
      <c r="CA131" s="32"/>
      <c r="CB131" s="34"/>
      <c r="CC131" s="92"/>
      <c r="CD131" s="108"/>
      <c r="CE131" s="94"/>
      <c r="CF131" s="95"/>
      <c r="CG131" s="105"/>
      <c r="CH131" s="5101"/>
      <c r="CI131" s="920"/>
      <c r="CJ131" s="1495"/>
      <c r="CK131" s="101"/>
      <c r="CL131" s="1475"/>
      <c r="CN131" s="104"/>
      <c r="CO131" s="32"/>
      <c r="CP131" s="33"/>
      <c r="CQ131" s="32"/>
      <c r="CR131" s="34"/>
      <c r="CS131" s="92"/>
      <c r="CT131" s="108"/>
      <c r="CU131" s="94"/>
      <c r="CV131" s="95"/>
      <c r="CW131" s="105"/>
      <c r="CX131" s="5101"/>
      <c r="CY131" s="920"/>
      <c r="CZ131" s="1495"/>
      <c r="DA131" s="101"/>
      <c r="DB131" s="1475"/>
      <c r="DC131" s="5109"/>
      <c r="DD131" s="5086"/>
      <c r="DF131" s="3">
        <v>1</v>
      </c>
      <c r="EY131" s="127">
        <v>1</v>
      </c>
      <c r="EZ131" s="920"/>
      <c r="FA131" s="1495">
        <f>IF(OR(ISBLANK(ET102),FA102=0),0,ET131*EY103)</f>
        <v>0</v>
      </c>
      <c r="FB131" s="101">
        <f>IFERROR(_xlfn.LET(_xlpm.v,IFERROR(_xlfn.XLOOKUP(EX131,ET139:FC139,ET140:FC140),_xlfn.XLOOKUP(EX131,ET141:FC141,ET142:FC142)),_xlpm.v*EW131*EY131*EY103*IF(ISBLANK(ET131),1,ET131)),0)</f>
        <v>0</v>
      </c>
      <c r="FC131" s="1475" t="str">
        <f>_xlfn.LET(_xlpm.unite,SUBSTITUTE(TRIM(EX131)," (s)",""),_xlpm.val,FB131,_xlpm.estVol,COUNTIF(EW139:FC139,_xlpm.unite)+COUNTIF(EW141:FC141,_xlpm.unite)&gt;0,_xlpm.estPoids,COUNTIF(ET139:EV139,_xlpm.unite)+COUNTIF(ET141:EV141,_xlpm.unite)&gt;0,IF(_xlpm.estVol,IF(ROUND(_xlpm.val,3)&gt;=1,ROUND(_xlpm.val,3)&amp;" L",MAX(1,ROUND(_xlpm.val*100,0))&amp;" cl"),IF(_xlpm.estPoids,IF(ROUND(_xlpm.val,3)&gt;=1,ROUND(_xlpm.val,3)&amp;" Kg",MAX(1,ROUND(_xlpm.val*1000,0))&amp;" g"),"")))</f>
        <v>1 cl</v>
      </c>
    </row>
    <row r="132" spans="2:159" ht="21" customHeight="1">
      <c r="B132" s="952" t="str">
        <f t="shared" si="28"/>
        <v>A</v>
      </c>
      <c r="C132" s="993" cm="1">
        <f t="array" ref="C132">SUMPRODUCT(LEN(D132:J132))</f>
        <v>0</v>
      </c>
      <c r="D132" s="167"/>
      <c r="E132" s="172"/>
      <c r="F132" s="172"/>
      <c r="G132" s="172"/>
      <c r="H132" s="172"/>
      <c r="I132" s="172"/>
      <c r="J132" s="173"/>
      <c r="K132" s="442" t="s">
        <v>22</v>
      </c>
      <c r="L132" s="104" t="str">
        <f t="shared" si="32"/>
        <v>A</v>
      </c>
      <c r="M132" s="32" t="str">
        <f>M114</f>
        <v>P PRESSÉ DE BOUDIN NOIR | | Auteur &gt; Guy KRENZE - Eric GODDYN - Arnaud NICOLAS - CEPROC 2002</v>
      </c>
      <c r="N132" s="33">
        <f>N114</f>
        <v>20</v>
      </c>
      <c r="O132" s="32" t="str">
        <f>O114</f>
        <v>pressés de boudin</v>
      </c>
      <c r="P132" s="34" t="str">
        <f>P114</f>
        <v>Recette mère ► le Boudin en 4 déclinaisons</v>
      </c>
      <c r="Q132" s="92"/>
      <c r="R132" s="108"/>
      <c r="S132" s="94" t="str">
        <f t="shared" si="29"/>
        <v/>
      </c>
      <c r="T132" s="95">
        <v>300</v>
      </c>
      <c r="U132" s="105" t="s">
        <v>99</v>
      </c>
      <c r="V132" s="127">
        <v>1</v>
      </c>
      <c r="W132" s="920" t="s">
        <v>12849</v>
      </c>
      <c r="X132" s="1495">
        <f>IF(OR(ISBLANK(Q112),X112=0),0,Q132*V113)</f>
        <v>0</v>
      </c>
      <c r="Y132" s="101" cm="1">
        <f t="array" ref="Y132">IFERROR(_xlfn.LET(_xlpm.k,UPPER(TRIM(U132)),_xlpm.r,_xlfn.XLOOKUP(_xlpm.k,UPPER(TRIM(Q149:Z149)),Q150:Z150,_xlfn.XLOOKUP(_xlpm.k,UPPER(TRIM(Q151:Z151)),Q152:Z152)),_xlpm.r*T132*V132*V113*IF(ISBLANK(Q132),1,Q132)),0)</f>
        <v>0.3</v>
      </c>
      <c r="Z132" s="1476" t="str">
        <f>_xlfn.LET(_xlpm.unite,SUBSTITUTE(TRIM(U132)," (s)",""),_xlpm.val,Y132,_xlpm.estVol,COUNTIF(T149:Z149,_xlpm.unite)+COUNTIF(T151:Z151,_xlpm.unite)&gt;0,_xlpm.estPoids,COUNTIF(Q149:S149,_xlpm.unite)+COUNTIF(Q151:S151,_xlpm.unite)&gt;0,IF(_xlpm.estVol,IF(ROUND(_xlpm.val,3)&gt;=1,ROUND(_xlpm.val,3)&amp;" L",MAX(1,ROUND(_xlpm.val*100,0))&amp;" cl"),IF(_xlpm.estPoids,IF(ROUND(_xlpm.val,3)&gt;=1,ROUND(_xlpm.val,3)&amp;" Kg",MAX(1,ROUND(_xlpm.val*1000,0))&amp;" g"),"")))</f>
        <v>300 g</v>
      </c>
      <c r="AB132" s="104" t="str">
        <f t="shared" si="33"/>
        <v>A</v>
      </c>
      <c r="AC132" s="32" t="str">
        <f>AC114</f>
        <v>P PRESSED BLACK PUDDING TERRINE | |  Author &gt; Guy KRENZE - Eric GODDYN - Arnaud NICOLAS - CEPROC 2002</v>
      </c>
      <c r="AD132" s="33">
        <f>AD114</f>
        <v>20</v>
      </c>
      <c r="AE132" s="32" t="str">
        <f>AE114</f>
        <v>pressés de boudin</v>
      </c>
      <c r="AF132" s="34" t="str">
        <f>AF114</f>
        <v>Master recipe ► Black pudding in 4 variations</v>
      </c>
      <c r="AG132" s="92"/>
      <c r="AH132" s="108"/>
      <c r="AI132" s="94" t="str">
        <f t="shared" si="30"/>
        <v/>
      </c>
      <c r="AJ132" s="95">
        <v>300</v>
      </c>
      <c r="AK132" s="105" t="s">
        <v>99</v>
      </c>
      <c r="AL132" s="127">
        <v>1</v>
      </c>
      <c r="AM132" s="920" t="s">
        <v>12955</v>
      </c>
      <c r="AN132" s="1495">
        <f>IF(OR(ISBLANK(AG112),AN112=0),0,AG132*AL113)</f>
        <v>0</v>
      </c>
      <c r="AO132" s="101" cm="1">
        <f t="array" ref="AO132">IFERROR(_xlfn.LET(_xlpm.k,UPPER(TRIM(AK132)),_xlpm.r,_xlfn.XLOOKUP(_xlpm.k,UPPER(TRIM(AG149:AP149)),AG150:AP150,_xlfn.XLOOKUP(_xlpm.k,UPPER(TRIM(AG151:AP151)),AG152:AP152)),_xlpm.r*AJ132*AL132*AL113*IF(ISBLANK(AG132),1,AG132)),0)</f>
        <v>0.54</v>
      </c>
      <c r="AP132" s="1476" t="str">
        <f>_xlfn.LET(_xlpm.unite,SUBSTITUTE(TRIM(AK132)," (s)",""),_xlpm.val,AO132,_xlpm.estVol,COUNTIF(AJ149:AP149,_xlpm.unite)+COUNTIF(AJ151:AP151,_xlpm.unite)&gt;0,_xlpm.estPoids,COUNTIF(AG149:AI149,_xlpm.unite)+COUNTIF(AG151:AI151,_xlpm.unite)&gt;0,IF(_xlpm.estVol,IF(ROUND(_xlpm.val,3)&gt;=1,ROUND(_xlpm.val,3)&amp;" L",MAX(1,ROUND(_xlpm.val*100,0))&amp;" cl"),IF(_xlpm.estPoids,IF(ROUND(_xlpm.val,3)&gt;=1,ROUND(_xlpm.val,3)&amp;" Kg",MAX(1,ROUND(_xlpm.val*1000,0))&amp;" g"),"")))</f>
        <v>540 g</v>
      </c>
      <c r="AR132" s="104" t="str">
        <f t="shared" si="34"/>
        <v>A</v>
      </c>
      <c r="AS132" s="32" t="str">
        <f>AS114</f>
        <v>P PRENSADO DE MORCILLA (TERRINA) | | Autor &gt; Guy KRENZE - Eric GODDYN - Arnaud NICOLAS - CEPROC 2002</v>
      </c>
      <c r="AT132" s="33">
        <f>AT114</f>
        <v>20</v>
      </c>
      <c r="AU132" s="32" t="str">
        <f>AU114</f>
        <v>pressés de boudin</v>
      </c>
      <c r="AV132" s="34" t="str">
        <f>AV114</f>
        <v>Receta madre ► Morcilla en 4 versiones</v>
      </c>
      <c r="AW132" s="92"/>
      <c r="AX132" s="108"/>
      <c r="AY132" s="94" t="str">
        <f t="shared" si="31"/>
        <v/>
      </c>
      <c r="AZ132" s="95">
        <v>300</v>
      </c>
      <c r="BA132" s="105" t="s">
        <v>99</v>
      </c>
      <c r="BB132" s="127">
        <v>1</v>
      </c>
      <c r="BC132" s="920" t="s">
        <v>12956</v>
      </c>
      <c r="BD132" s="1495">
        <f>IF(OR(ISBLANK(AW112),BD112=0),0,AW132*BB113)</f>
        <v>0</v>
      </c>
      <c r="BE132" s="101" cm="1">
        <f t="array" ref="BE132">IFERROR(_xlfn.LET(_xlpm.k,UPPER(TRIM(BA132)),_xlpm.r,_xlfn.XLOOKUP(_xlpm.k,UPPER(TRIM(AW149:BF149)),AW150:BF150,_xlfn.XLOOKUP(_xlpm.k,UPPER(TRIM(AW151:BF151)),AW152:BF152)),_xlpm.r*AZ132*BB132*BB113*IF(ISBLANK(AW132),1,AW132)),0)</f>
        <v>0.54</v>
      </c>
      <c r="BF132" s="1476" t="str">
        <f>_xlfn.LET(_xlpm.unite,SUBSTITUTE(TRIM(BA132)," (s)",""),_xlpm.val,BE132,_xlpm.estVol,COUNTIF(AZ149:BF149,_xlpm.unite)+COUNTIF(AZ151:BF151,_xlpm.unite)&gt;0,_xlpm.estPoids,COUNTIF(AW149:AY149,_xlpm.unite)+COUNTIF(AW151:AY151,_xlpm.unite)&gt;0,IF(_xlpm.estVol,IF(ROUND(_xlpm.val,3)&gt;=1,ROUND(_xlpm.val,3)&amp;" L",MAX(1,ROUND(_xlpm.val*100,0))&amp;" cl"),IF(_xlpm.estPoids,IF(ROUND(_xlpm.val,3)&gt;=1,ROUND(_xlpm.val,3)&amp;" Kg",MAX(1,ROUND(_xlpm.val*1000,0))&amp;" g"),"")))</f>
        <v>540 g</v>
      </c>
      <c r="BH132" s="104"/>
      <c r="BI132" s="32"/>
      <c r="BJ132" s="33"/>
      <c r="BK132" s="32"/>
      <c r="BL132" s="34"/>
      <c r="BM132" s="92"/>
      <c r="BN132" s="108"/>
      <c r="BO132" s="94"/>
      <c r="BP132" s="95"/>
      <c r="BQ132" s="105"/>
      <c r="BR132" s="5101"/>
      <c r="BS132" s="920"/>
      <c r="BT132" s="1495"/>
      <c r="BU132" s="101"/>
      <c r="BV132" s="1475"/>
      <c r="BX132" s="104"/>
      <c r="BY132" s="32"/>
      <c r="BZ132" s="33"/>
      <c r="CA132" s="32"/>
      <c r="CB132" s="34"/>
      <c r="CC132" s="92"/>
      <c r="CD132" s="108"/>
      <c r="CE132" s="94"/>
      <c r="CF132" s="95"/>
      <c r="CG132" s="105"/>
      <c r="CH132" s="5101"/>
      <c r="CI132" s="920"/>
      <c r="CJ132" s="1495"/>
      <c r="CK132" s="101"/>
      <c r="CL132" s="1475"/>
      <c r="CN132" s="104"/>
      <c r="CO132" s="32"/>
      <c r="CP132" s="33"/>
      <c r="CQ132" s="32"/>
      <c r="CR132" s="34"/>
      <c r="CS132" s="92"/>
      <c r="CT132" s="108"/>
      <c r="CU132" s="94"/>
      <c r="CV132" s="95"/>
      <c r="CW132" s="105"/>
      <c r="CX132" s="5101"/>
      <c r="CY132" s="920"/>
      <c r="CZ132" s="1495"/>
      <c r="DA132" s="101"/>
      <c r="DB132" s="1475"/>
      <c r="DC132" s="5109"/>
      <c r="DD132" s="5086"/>
      <c r="DF132" s="3">
        <v>1</v>
      </c>
      <c r="EY132" s="127">
        <v>1</v>
      </c>
      <c r="EZ132" s="920"/>
      <c r="FA132" s="1495">
        <f>IF(OR(ISBLANK(ET102),FA102=0),0,ET132*EY103)</f>
        <v>0</v>
      </c>
      <c r="FB132" s="101">
        <f>IFERROR(_xlfn.LET(_xlpm.v,IFERROR(_xlfn.XLOOKUP(EX132,ET139:FC139,ET140:FC140),_xlfn.XLOOKUP(EX132,ET141:FC141,ET142:FC142)),_xlpm.v*EW132*EY132*EY103*IF(ISBLANK(ET132),1,ET132)),0)</f>
        <v>0</v>
      </c>
      <c r="FC132" s="1476" t="str">
        <f>_xlfn.LET(_xlpm.unite,SUBSTITUTE(TRIM(EX132)," (s)",""),_xlpm.val,FB132,_xlpm.estVol,COUNTIF(EW139:FC139,_xlpm.unite)+COUNTIF(EW141:FC141,_xlpm.unite)&gt;0,_xlpm.estPoids,COUNTIF(ET139:EV139,_xlpm.unite)+COUNTIF(ET141:EV141,_xlpm.unite)&gt;0,IF(_xlpm.estVol,IF(ROUND(_xlpm.val,3)&gt;=1,ROUND(_xlpm.val,3)&amp;" L",MAX(1,ROUND(_xlpm.val*100,0))&amp;" cl"),IF(_xlpm.estPoids,IF(ROUND(_xlpm.val,3)&gt;=1,ROUND(_xlpm.val,3)&amp;" Kg",MAX(1,ROUND(_xlpm.val*1000,0))&amp;" g"),"")))</f>
        <v>1 cl</v>
      </c>
    </row>
    <row r="133" spans="2:159" ht="21" customHeight="1">
      <c r="B133" s="952" t="str">
        <f t="shared" si="28"/>
        <v>A</v>
      </c>
      <c r="C133" s="993" cm="1">
        <f t="array" ref="C133">SUMPRODUCT(LEN(D133:J133))</f>
        <v>0</v>
      </c>
      <c r="D133" s="167"/>
      <c r="E133" s="172"/>
      <c r="F133" s="172"/>
      <c r="G133" s="172"/>
      <c r="H133" s="172"/>
      <c r="I133" s="172"/>
      <c r="J133" s="173"/>
      <c r="K133" s="442" t="s">
        <v>22</v>
      </c>
      <c r="L133" s="104" t="str">
        <f t="shared" si="32"/>
        <v>A</v>
      </c>
      <c r="M133" s="32" t="str">
        <f>M114</f>
        <v>P PRESSÉ DE BOUDIN NOIR | | Auteur &gt; Guy KRENZE - Eric GODDYN - Arnaud NICOLAS - CEPROC 2002</v>
      </c>
      <c r="N133" s="33">
        <f>N114</f>
        <v>20</v>
      </c>
      <c r="O133" s="32" t="str">
        <f>O114</f>
        <v>pressés de boudin</v>
      </c>
      <c r="P133" s="34" t="str">
        <f>P114</f>
        <v>Recette mère ► le Boudin en 4 déclinaisons</v>
      </c>
      <c r="Q133" s="92"/>
      <c r="R133" s="108"/>
      <c r="S133" s="94" t="str">
        <f t="shared" si="29"/>
        <v/>
      </c>
      <c r="T133" s="95">
        <v>45</v>
      </c>
      <c r="U133" s="105" t="s">
        <v>99</v>
      </c>
      <c r="V133" s="127">
        <v>1</v>
      </c>
      <c r="W133" s="920" t="s">
        <v>12850</v>
      </c>
      <c r="X133" s="1495">
        <f>IF(OR(ISBLANK(Q112),X112=0),0,Q133*V113)</f>
        <v>0</v>
      </c>
      <c r="Y133" s="101" cm="1">
        <f t="array" ref="Y133">IFERROR(_xlfn.LET(_xlpm.k,UPPER(TRIM(U133)),_xlpm.r,_xlfn.XLOOKUP(_xlpm.k,UPPER(TRIM(Q149:Z149)),Q150:Z150,_xlfn.XLOOKUP(_xlpm.k,UPPER(TRIM(Q151:Z151)),Q152:Z152)),_xlpm.r*T133*V133*V113*IF(ISBLANK(Q133),1,Q133)),0)</f>
        <v>4.4999999999999998E-2</v>
      </c>
      <c r="Z133" s="1475" t="str">
        <f>_xlfn.LET(_xlpm.unite,SUBSTITUTE(TRIM(U133)," (s)",""),_xlpm.val,Y133,_xlpm.estVol,COUNTIF(T149:Z149,_xlpm.unite)+COUNTIF(T151:Z151,_xlpm.unite)&gt;0,_xlpm.estPoids,COUNTIF(Q149:S149,_xlpm.unite)+COUNTIF(Q151:S151,_xlpm.unite)&gt;0,IF(_xlpm.estVol,IF(ROUND(_xlpm.val,3)&gt;=1,ROUND(_xlpm.val,3)&amp;" L",MAX(1,ROUND(_xlpm.val*100,0))&amp;" cl"),IF(_xlpm.estPoids,IF(ROUND(_xlpm.val,3)&gt;=1,ROUND(_xlpm.val,3)&amp;" Kg",MAX(1,ROUND(_xlpm.val*1000,0))&amp;" g"),"")))</f>
        <v>45 g</v>
      </c>
      <c r="AB133" s="104" t="str">
        <f t="shared" si="33"/>
        <v>A</v>
      </c>
      <c r="AC133" s="32" t="str">
        <f>AC114</f>
        <v>P PRESSED BLACK PUDDING TERRINE | |  Author &gt; Guy KRENZE - Eric GODDYN - Arnaud NICOLAS - CEPROC 2002</v>
      </c>
      <c r="AD133" s="33">
        <f>AD114</f>
        <v>20</v>
      </c>
      <c r="AE133" s="32" t="str">
        <f>AE114</f>
        <v>pressés de boudin</v>
      </c>
      <c r="AF133" s="34" t="str">
        <f>AF114</f>
        <v>Master recipe ► Black pudding in 4 variations</v>
      </c>
      <c r="AG133" s="92"/>
      <c r="AH133" s="108"/>
      <c r="AI133" s="94" t="str">
        <f t="shared" si="30"/>
        <v/>
      </c>
      <c r="AJ133" s="95">
        <v>45</v>
      </c>
      <c r="AK133" s="105" t="s">
        <v>99</v>
      </c>
      <c r="AL133" s="127">
        <v>1</v>
      </c>
      <c r="AM133" s="920" t="s">
        <v>12957</v>
      </c>
      <c r="AN133" s="1495">
        <f>IF(OR(ISBLANK(AG112),AN112=0),0,AG133*AL113)</f>
        <v>0</v>
      </c>
      <c r="AO133" s="101" cm="1">
        <f t="array" ref="AO133">IFERROR(_xlfn.LET(_xlpm.k,UPPER(TRIM(AK133)),_xlpm.r,_xlfn.XLOOKUP(_xlpm.k,UPPER(TRIM(AG149:AP149)),AG150:AP150,_xlfn.XLOOKUP(_xlpm.k,UPPER(TRIM(AG151:AP151)),AG152:AP152)),_xlpm.r*AJ133*AL133*AL113*IF(ISBLANK(AG133),1,AG133)),0)</f>
        <v>8.1000000000000003E-2</v>
      </c>
      <c r="AP133" s="1475" t="str">
        <f>_xlfn.LET(_xlpm.unite,SUBSTITUTE(TRIM(AK133)," (s)",""),_xlpm.val,AO133,_xlpm.estVol,COUNTIF(AJ149:AP149,_xlpm.unite)+COUNTIF(AJ151:AP151,_xlpm.unite)&gt;0,_xlpm.estPoids,COUNTIF(AG149:AI149,_xlpm.unite)+COUNTIF(AG151:AI151,_xlpm.unite)&gt;0,IF(_xlpm.estVol,IF(ROUND(_xlpm.val,3)&gt;=1,ROUND(_xlpm.val,3)&amp;" L",MAX(1,ROUND(_xlpm.val*100,0))&amp;" cl"),IF(_xlpm.estPoids,IF(ROUND(_xlpm.val,3)&gt;=1,ROUND(_xlpm.val,3)&amp;" Kg",MAX(1,ROUND(_xlpm.val*1000,0))&amp;" g"),"")))</f>
        <v>81 g</v>
      </c>
      <c r="AR133" s="104" t="str">
        <f t="shared" si="34"/>
        <v>A</v>
      </c>
      <c r="AS133" s="32" t="str">
        <f>AS114</f>
        <v>P PRENSADO DE MORCILLA (TERRINA) | | Autor &gt; Guy KRENZE - Eric GODDYN - Arnaud NICOLAS - CEPROC 2002</v>
      </c>
      <c r="AT133" s="33">
        <f>AT114</f>
        <v>20</v>
      </c>
      <c r="AU133" s="32" t="str">
        <f>AU114</f>
        <v>pressés de boudin</v>
      </c>
      <c r="AV133" s="34" t="str">
        <f>AV114</f>
        <v>Receta madre ► Morcilla en 4 versiones</v>
      </c>
      <c r="AW133" s="92"/>
      <c r="AX133" s="108"/>
      <c r="AY133" s="94" t="str">
        <f t="shared" si="31"/>
        <v/>
      </c>
      <c r="AZ133" s="95">
        <v>45</v>
      </c>
      <c r="BA133" s="105" t="s">
        <v>99</v>
      </c>
      <c r="BB133" s="127">
        <v>1</v>
      </c>
      <c r="BC133" s="920" t="s">
        <v>12958</v>
      </c>
      <c r="BD133" s="1495">
        <f>IF(OR(ISBLANK(AW112),BD112=0),0,AW133*BB113)</f>
        <v>0</v>
      </c>
      <c r="BE133" s="101" cm="1">
        <f t="array" ref="BE133">IFERROR(_xlfn.LET(_xlpm.k,UPPER(TRIM(BA133)),_xlpm.r,_xlfn.XLOOKUP(_xlpm.k,UPPER(TRIM(AW149:BF149)),AW150:BF150,_xlfn.XLOOKUP(_xlpm.k,UPPER(TRIM(AW151:BF151)),AW152:BF152)),_xlpm.r*AZ133*BB133*BB113*IF(ISBLANK(AW133),1,AW133)),0)</f>
        <v>8.1000000000000003E-2</v>
      </c>
      <c r="BF133" s="1475" t="str">
        <f>_xlfn.LET(_xlpm.unite,SUBSTITUTE(TRIM(BA133)," (s)",""),_xlpm.val,BE133,_xlpm.estVol,COUNTIF(AZ149:BF149,_xlpm.unite)+COUNTIF(AZ151:BF151,_xlpm.unite)&gt;0,_xlpm.estPoids,COUNTIF(AW149:AY149,_xlpm.unite)+COUNTIF(AW151:AY151,_xlpm.unite)&gt;0,IF(_xlpm.estVol,IF(ROUND(_xlpm.val,3)&gt;=1,ROUND(_xlpm.val,3)&amp;" L",MAX(1,ROUND(_xlpm.val*100,0))&amp;" cl"),IF(_xlpm.estPoids,IF(ROUND(_xlpm.val,3)&gt;=1,ROUND(_xlpm.val,3)&amp;" Kg",MAX(1,ROUND(_xlpm.val*1000,0))&amp;" g"),"")))</f>
        <v>81 g</v>
      </c>
      <c r="BH133" s="104"/>
      <c r="BI133" s="32"/>
      <c r="BJ133" s="33"/>
      <c r="BK133" s="32"/>
      <c r="BL133" s="34"/>
      <c r="BM133" s="92"/>
      <c r="BN133" s="108"/>
      <c r="BO133" s="94"/>
      <c r="BP133" s="95"/>
      <c r="BQ133" s="105"/>
      <c r="BR133" s="5101"/>
      <c r="BS133" s="920"/>
      <c r="BT133" s="1495"/>
      <c r="BU133" s="101"/>
      <c r="BV133" s="1475"/>
      <c r="BX133" s="104"/>
      <c r="BY133" s="32"/>
      <c r="BZ133" s="33"/>
      <c r="CA133" s="32"/>
      <c r="CB133" s="34"/>
      <c r="CC133" s="92"/>
      <c r="CD133" s="108"/>
      <c r="CE133" s="94"/>
      <c r="CF133" s="95"/>
      <c r="CG133" s="105"/>
      <c r="CH133" s="5101"/>
      <c r="CI133" s="920"/>
      <c r="CJ133" s="1495"/>
      <c r="CK133" s="101"/>
      <c r="CL133" s="1475"/>
      <c r="CN133" s="104"/>
      <c r="CO133" s="32"/>
      <c r="CP133" s="33"/>
      <c r="CQ133" s="32"/>
      <c r="CR133" s="34"/>
      <c r="CS133" s="92"/>
      <c r="CT133" s="108"/>
      <c r="CU133" s="94"/>
      <c r="CV133" s="95"/>
      <c r="CW133" s="105"/>
      <c r="CX133" s="5101"/>
      <c r="CY133" s="920"/>
      <c r="CZ133" s="1495"/>
      <c r="DA133" s="101"/>
      <c r="DB133" s="1475"/>
      <c r="DC133" s="5109"/>
      <c r="DD133" s="5086"/>
      <c r="DF133" s="3">
        <v>1</v>
      </c>
      <c r="EY133" s="127">
        <v>1</v>
      </c>
      <c r="EZ133" s="920"/>
      <c r="FA133" s="1495">
        <f>IF(OR(ISBLANK(ET102),FA102=0),0,ET133*EY103)</f>
        <v>0</v>
      </c>
      <c r="FB133" s="101">
        <f>IFERROR(_xlfn.LET(_xlpm.v,IFERROR(_xlfn.XLOOKUP(EX133,ET139:FC139,ET140:FC140),_xlfn.XLOOKUP(EX133,ET141:FC141,ET142:FC142)),_xlpm.v*EW133*EY133*EY103*IF(ISBLANK(ET133),1,ET133)),0)</f>
        <v>0</v>
      </c>
      <c r="FC133" s="1475" t="str">
        <f>_xlfn.LET(_xlpm.unite,SUBSTITUTE(TRIM(EX133)," (s)",""),_xlpm.val,FB133,_xlpm.estVol,COUNTIF(EW139:FC139,_xlpm.unite)+COUNTIF(EW141:FC141,_xlpm.unite)&gt;0,_xlpm.estPoids,COUNTIF(ET139:EV139,_xlpm.unite)+COUNTIF(ET141:EV141,_xlpm.unite)&gt;0,IF(_xlpm.estVol,IF(ROUND(_xlpm.val,3)&gt;=1,ROUND(_xlpm.val,3)&amp;" L",MAX(1,ROUND(_xlpm.val*100,0))&amp;" cl"),IF(_xlpm.estPoids,IF(ROUND(_xlpm.val,3)&gt;=1,ROUND(_xlpm.val,3)&amp;" Kg",MAX(1,ROUND(_xlpm.val*1000,0))&amp;" g"),"")))</f>
        <v>1 cl</v>
      </c>
    </row>
    <row r="134" spans="2:159" ht="21" customHeight="1">
      <c r="B134" s="952" t="str">
        <f t="shared" si="28"/>
        <v>A</v>
      </c>
      <c r="C134" s="993" cm="1">
        <f t="array" ref="C134">SUMPRODUCT(LEN(D134:J134))</f>
        <v>0</v>
      </c>
      <c r="D134" s="167"/>
      <c r="E134" s="172"/>
      <c r="F134" s="172"/>
      <c r="G134" s="172"/>
      <c r="H134" s="172"/>
      <c r="I134" s="172"/>
      <c r="J134" s="173"/>
      <c r="K134" s="442" t="s">
        <v>22</v>
      </c>
      <c r="L134" s="104" t="str">
        <f t="shared" si="32"/>
        <v>A</v>
      </c>
      <c r="M134" s="32" t="str">
        <f>M114</f>
        <v>P PRESSÉ DE BOUDIN NOIR | | Auteur &gt; Guy KRENZE - Eric GODDYN - Arnaud NICOLAS - CEPROC 2002</v>
      </c>
      <c r="N134" s="33">
        <f>N114</f>
        <v>20</v>
      </c>
      <c r="O134" s="32" t="str">
        <f>O114</f>
        <v>pressés de boudin</v>
      </c>
      <c r="P134" s="34" t="str">
        <f>P114</f>
        <v>Recette mère ► le Boudin en 4 déclinaisons</v>
      </c>
      <c r="Q134" s="92"/>
      <c r="R134" s="108"/>
      <c r="S134" s="94" t="str">
        <f t="shared" si="29"/>
        <v/>
      </c>
      <c r="T134" s="95">
        <v>50</v>
      </c>
      <c r="U134" s="105" t="s">
        <v>99</v>
      </c>
      <c r="V134" s="127">
        <v>1</v>
      </c>
      <c r="W134" s="920" t="s">
        <v>12831</v>
      </c>
      <c r="X134" s="1495">
        <f>IF(OR(ISBLANK(Q112),X112=0),0,Q134*V113)</f>
        <v>0</v>
      </c>
      <c r="Y134" s="101" cm="1">
        <f t="array" ref="Y134">IFERROR(_xlfn.LET(_xlpm.k,UPPER(TRIM(U134)),_xlpm.r,_xlfn.XLOOKUP(_xlpm.k,UPPER(TRIM(Q149:Z149)),Q150:Z150,_xlfn.XLOOKUP(_xlpm.k,UPPER(TRIM(Q151:Z151)),Q152:Z152)),_xlpm.r*T134*V134*V113*IF(ISBLANK(Q134),1,Q134)),0)</f>
        <v>0.05</v>
      </c>
      <c r="Z134" s="1476" t="str">
        <f>_xlfn.LET(_xlpm.unite,SUBSTITUTE(TRIM(U134)," (s)",""),_xlpm.val,Y134,_xlpm.estVol,COUNTIF(T149:Z149,_xlpm.unite)+COUNTIF(T151:Z151,_xlpm.unite)&gt;0,_xlpm.estPoids,COUNTIF(Q149:S149,_xlpm.unite)+COUNTIF(Q151:S151,_xlpm.unite)&gt;0,IF(_xlpm.estVol,IF(ROUND(_xlpm.val,3)&gt;=1,ROUND(_xlpm.val,3)&amp;" L",MAX(1,ROUND(_xlpm.val*100,0))&amp;" cl"),IF(_xlpm.estPoids,IF(ROUND(_xlpm.val,3)&gt;=1,ROUND(_xlpm.val,3)&amp;" Kg",MAX(1,ROUND(_xlpm.val*1000,0))&amp;" g"),"")))</f>
        <v>50 g</v>
      </c>
      <c r="AB134" s="104" t="str">
        <f t="shared" si="33"/>
        <v>A</v>
      </c>
      <c r="AC134" s="32" t="str">
        <f>AC114</f>
        <v>P PRESSED BLACK PUDDING TERRINE | |  Author &gt; Guy KRENZE - Eric GODDYN - Arnaud NICOLAS - CEPROC 2002</v>
      </c>
      <c r="AD134" s="33">
        <f>AD114</f>
        <v>20</v>
      </c>
      <c r="AE134" s="32" t="str">
        <f>AE114</f>
        <v>pressés de boudin</v>
      </c>
      <c r="AF134" s="34" t="str">
        <f>AF114</f>
        <v>Master recipe ► Black pudding in 4 variations</v>
      </c>
      <c r="AG134" s="92"/>
      <c r="AH134" s="108"/>
      <c r="AI134" s="94" t="str">
        <f t="shared" si="30"/>
        <v/>
      </c>
      <c r="AJ134" s="95">
        <v>50</v>
      </c>
      <c r="AK134" s="105" t="s">
        <v>99</v>
      </c>
      <c r="AL134" s="127">
        <v>1</v>
      </c>
      <c r="AM134" s="920" t="s">
        <v>12891</v>
      </c>
      <c r="AN134" s="1495">
        <f>IF(OR(ISBLANK(AG112),AN112=0),0,AG134*AL113)</f>
        <v>0</v>
      </c>
      <c r="AO134" s="101" cm="1">
        <f t="array" ref="AO134">IFERROR(_xlfn.LET(_xlpm.k,UPPER(TRIM(AK134)),_xlpm.r,_xlfn.XLOOKUP(_xlpm.k,UPPER(TRIM(AG149:AP149)),AG150:AP150,_xlfn.XLOOKUP(_xlpm.k,UPPER(TRIM(AG151:AP151)),AG152:AP152)),_xlpm.r*AJ134*AL134*AL113*IF(ISBLANK(AG134),1,AG134)),0)</f>
        <v>9.0000000000000011E-2</v>
      </c>
      <c r="AP134" s="1476" t="str">
        <f>_xlfn.LET(_xlpm.unite,SUBSTITUTE(TRIM(AK134)," (s)",""),_xlpm.val,AO134,_xlpm.estVol,COUNTIF(AJ149:AP149,_xlpm.unite)+COUNTIF(AJ151:AP151,_xlpm.unite)&gt;0,_xlpm.estPoids,COUNTIF(AG149:AI149,_xlpm.unite)+COUNTIF(AG151:AI151,_xlpm.unite)&gt;0,IF(_xlpm.estVol,IF(ROUND(_xlpm.val,3)&gt;=1,ROUND(_xlpm.val,3)&amp;" L",MAX(1,ROUND(_xlpm.val*100,0))&amp;" cl"),IF(_xlpm.estPoids,IF(ROUND(_xlpm.val,3)&gt;=1,ROUND(_xlpm.val,3)&amp;" Kg",MAX(1,ROUND(_xlpm.val*1000,0))&amp;" g"),"")))</f>
        <v>90 g</v>
      </c>
      <c r="AR134" s="104" t="str">
        <f t="shared" si="34"/>
        <v>A</v>
      </c>
      <c r="AS134" s="32" t="str">
        <f>AS114</f>
        <v>P PRENSADO DE MORCILLA (TERRINA) | | Autor &gt; Guy KRENZE - Eric GODDYN - Arnaud NICOLAS - CEPROC 2002</v>
      </c>
      <c r="AT134" s="33">
        <f>AT114</f>
        <v>20</v>
      </c>
      <c r="AU134" s="32" t="str">
        <f>AU114</f>
        <v>pressés de boudin</v>
      </c>
      <c r="AV134" s="34" t="str">
        <f>AV114</f>
        <v>Receta madre ► Morcilla en 4 versiones</v>
      </c>
      <c r="AW134" s="92"/>
      <c r="AX134" s="108"/>
      <c r="AY134" s="94" t="str">
        <f t="shared" si="31"/>
        <v/>
      </c>
      <c r="AZ134" s="95">
        <v>50</v>
      </c>
      <c r="BA134" s="105" t="s">
        <v>99</v>
      </c>
      <c r="BB134" s="127">
        <v>1</v>
      </c>
      <c r="BC134" s="920" t="s">
        <v>12892</v>
      </c>
      <c r="BD134" s="1495">
        <f>IF(OR(ISBLANK(AW112),BD112=0),0,AW134*BB113)</f>
        <v>0</v>
      </c>
      <c r="BE134" s="101" cm="1">
        <f t="array" ref="BE134">IFERROR(_xlfn.LET(_xlpm.k,UPPER(TRIM(BA134)),_xlpm.r,_xlfn.XLOOKUP(_xlpm.k,UPPER(TRIM(AW149:BF149)),AW150:BF150,_xlfn.XLOOKUP(_xlpm.k,UPPER(TRIM(AW151:BF151)),AW152:BF152)),_xlpm.r*AZ134*BB134*BB113*IF(ISBLANK(AW134),1,AW134)),0)</f>
        <v>9.0000000000000011E-2</v>
      </c>
      <c r="BF134" s="1476" t="str">
        <f>_xlfn.LET(_xlpm.unite,SUBSTITUTE(TRIM(BA134)," (s)",""),_xlpm.val,BE134,_xlpm.estVol,COUNTIF(AZ149:BF149,_xlpm.unite)+COUNTIF(AZ151:BF151,_xlpm.unite)&gt;0,_xlpm.estPoids,COUNTIF(AW149:AY149,_xlpm.unite)+COUNTIF(AW151:AY151,_xlpm.unite)&gt;0,IF(_xlpm.estVol,IF(ROUND(_xlpm.val,3)&gt;=1,ROUND(_xlpm.val,3)&amp;" L",MAX(1,ROUND(_xlpm.val*100,0))&amp;" cl"),IF(_xlpm.estPoids,IF(ROUND(_xlpm.val,3)&gt;=1,ROUND(_xlpm.val,3)&amp;" Kg",MAX(1,ROUND(_xlpm.val*1000,0))&amp;" g"),"")))</f>
        <v>90 g</v>
      </c>
      <c r="BH134" s="104"/>
      <c r="BI134" s="32"/>
      <c r="BJ134" s="33"/>
      <c r="BK134" s="32"/>
      <c r="BL134" s="34"/>
      <c r="BM134" s="92"/>
      <c r="BN134" s="108"/>
      <c r="BO134" s="94"/>
      <c r="BP134" s="95"/>
      <c r="BQ134" s="105"/>
      <c r="BR134" s="5101"/>
      <c r="BS134" s="920"/>
      <c r="BT134" s="1495"/>
      <c r="BU134" s="101"/>
      <c r="BV134" s="1475"/>
      <c r="BX134" s="104"/>
      <c r="BY134" s="32"/>
      <c r="BZ134" s="33"/>
      <c r="CA134" s="32"/>
      <c r="CB134" s="34"/>
      <c r="CC134" s="92"/>
      <c r="CD134" s="108"/>
      <c r="CE134" s="94"/>
      <c r="CF134" s="95"/>
      <c r="CG134" s="105"/>
      <c r="CH134" s="5101"/>
      <c r="CI134" s="920"/>
      <c r="CJ134" s="1495"/>
      <c r="CK134" s="101"/>
      <c r="CL134" s="1475"/>
      <c r="CN134" s="104"/>
      <c r="CO134" s="32"/>
      <c r="CP134" s="33"/>
      <c r="CQ134" s="32"/>
      <c r="CR134" s="34"/>
      <c r="CS134" s="92"/>
      <c r="CT134" s="108"/>
      <c r="CU134" s="94"/>
      <c r="CV134" s="95"/>
      <c r="CW134" s="105"/>
      <c r="CX134" s="5101"/>
      <c r="CY134" s="920"/>
      <c r="CZ134" s="1495"/>
      <c r="DA134" s="101"/>
      <c r="DB134" s="1475"/>
      <c r="DC134" s="5109"/>
      <c r="DD134" s="5086"/>
      <c r="DF134" s="3">
        <v>1</v>
      </c>
      <c r="EY134" s="127">
        <v>1</v>
      </c>
      <c r="EZ134" s="920"/>
      <c r="FA134" s="1495">
        <f>IF(OR(ISBLANK(ET102),FA102=0),0,ET134*EY103)</f>
        <v>0</v>
      </c>
      <c r="FB134" s="101">
        <f>IFERROR(_xlfn.LET(_xlpm.v,IFERROR(_xlfn.XLOOKUP(EX134,ET139:FC139,ET140:FC140),_xlfn.XLOOKUP(EX134,ET141:FC141,ET142:FC142)),_xlpm.v*EW134*EY134*EY103*IF(ISBLANK(ET134),1,ET134)),0)</f>
        <v>0</v>
      </c>
      <c r="FC134" s="1476" t="str">
        <f>_xlfn.LET(_xlpm.unite,SUBSTITUTE(TRIM(EX134)," (s)",""),_xlpm.val,FB134,_xlpm.estVol,COUNTIF(EW139:FC139,_xlpm.unite)+COUNTIF(EW141:FC141,_xlpm.unite)&gt;0,_xlpm.estPoids,COUNTIF(ET139:EV139,_xlpm.unite)+COUNTIF(ET141:EV141,_xlpm.unite)&gt;0,IF(_xlpm.estVol,IF(ROUND(_xlpm.val,3)&gt;=1,ROUND(_xlpm.val,3)&amp;" L",MAX(1,ROUND(_xlpm.val*100,0))&amp;" cl"),IF(_xlpm.estPoids,IF(ROUND(_xlpm.val,3)&gt;=1,ROUND(_xlpm.val,3)&amp;" Kg",MAX(1,ROUND(_xlpm.val*1000,0))&amp;" g"),"")))</f>
        <v>1 cl</v>
      </c>
    </row>
    <row r="135" spans="2:159" ht="21" customHeight="1">
      <c r="B135" s="952" t="str">
        <f t="shared" si="28"/>
        <v>A</v>
      </c>
      <c r="C135" s="993" cm="1">
        <f t="array" ref="C135">SUMPRODUCT(LEN(D135:J135))</f>
        <v>0</v>
      </c>
      <c r="D135" s="167"/>
      <c r="E135" s="172"/>
      <c r="F135" s="172"/>
      <c r="G135" s="172"/>
      <c r="H135" s="172"/>
      <c r="I135" s="172"/>
      <c r="J135" s="173"/>
      <c r="K135" s="442" t="s">
        <v>22</v>
      </c>
      <c r="L135" s="104" t="str">
        <f t="shared" si="32"/>
        <v>A</v>
      </c>
      <c r="M135" s="32" t="str">
        <f>M114</f>
        <v>P PRESSÉ DE BOUDIN NOIR | | Auteur &gt; Guy KRENZE - Eric GODDYN - Arnaud NICOLAS - CEPROC 2002</v>
      </c>
      <c r="N135" s="33">
        <f>N114</f>
        <v>20</v>
      </c>
      <c r="O135" s="32" t="str">
        <f>O114</f>
        <v>pressés de boudin</v>
      </c>
      <c r="P135" s="34" t="str">
        <f>P114</f>
        <v>Recette mère ► le Boudin en 4 déclinaisons</v>
      </c>
      <c r="Q135" s="92"/>
      <c r="R135" s="108"/>
      <c r="S135" s="94" t="str">
        <f t="shared" si="29"/>
        <v/>
      </c>
      <c r="T135" s="95">
        <v>7</v>
      </c>
      <c r="U135" s="105" t="s">
        <v>99</v>
      </c>
      <c r="V135" s="127">
        <v>1</v>
      </c>
      <c r="W135" s="920" t="s">
        <v>12851</v>
      </c>
      <c r="X135" s="1495">
        <f>IF(OR(ISBLANK(Q112),X112=0),0,Q135*V113)</f>
        <v>0</v>
      </c>
      <c r="Y135" s="101" cm="1">
        <f t="array" ref="Y135">IFERROR(_xlfn.LET(_xlpm.k,UPPER(TRIM(U135)),_xlpm.r,_xlfn.XLOOKUP(_xlpm.k,UPPER(TRIM(Q149:Z149)),Q150:Z150,_xlfn.XLOOKUP(_xlpm.k,UPPER(TRIM(Q151:Z151)),Q152:Z152)),_xlpm.r*T135*V135*V113*IF(ISBLANK(Q135),1,Q135)),0)</f>
        <v>7.0000000000000001E-3</v>
      </c>
      <c r="Z135" s="1475" t="str">
        <f>_xlfn.LET(_xlpm.unite,SUBSTITUTE(TRIM(U135)," (s)",""),_xlpm.val,Y135,_xlpm.estVol,COUNTIF(T149:Z149,_xlpm.unite)+COUNTIF(T151:Z151,_xlpm.unite)&gt;0,_xlpm.estPoids,COUNTIF(Q149:S149,_xlpm.unite)+COUNTIF(Q151:S151,_xlpm.unite)&gt;0,IF(_xlpm.estVol,IF(ROUND(_xlpm.val,3)&gt;=1,ROUND(_xlpm.val,3)&amp;" L",MAX(1,ROUND(_xlpm.val*100,0))&amp;" cl"),IF(_xlpm.estPoids,IF(ROUND(_xlpm.val,3)&gt;=1,ROUND(_xlpm.val,3)&amp;" Kg",MAX(1,ROUND(_xlpm.val*1000,0))&amp;" g"),"")))</f>
        <v>7 g</v>
      </c>
      <c r="AB135" s="104" t="str">
        <f t="shared" si="33"/>
        <v>A</v>
      </c>
      <c r="AC135" s="32" t="str">
        <f>AC114</f>
        <v>P PRESSED BLACK PUDDING TERRINE | |  Author &gt; Guy KRENZE - Eric GODDYN - Arnaud NICOLAS - CEPROC 2002</v>
      </c>
      <c r="AD135" s="33">
        <f>AD114</f>
        <v>20</v>
      </c>
      <c r="AE135" s="32" t="str">
        <f>AE114</f>
        <v>pressés de boudin</v>
      </c>
      <c r="AF135" s="34" t="str">
        <f>AF114</f>
        <v>Master recipe ► Black pudding in 4 variations</v>
      </c>
      <c r="AG135" s="92"/>
      <c r="AH135" s="108"/>
      <c r="AI135" s="94" t="str">
        <f t="shared" si="30"/>
        <v/>
      </c>
      <c r="AJ135" s="95">
        <v>7</v>
      </c>
      <c r="AK135" s="105" t="s">
        <v>99</v>
      </c>
      <c r="AL135" s="127">
        <v>1</v>
      </c>
      <c r="AM135" s="920" t="s">
        <v>12959</v>
      </c>
      <c r="AN135" s="1495">
        <f>IF(OR(ISBLANK(AG112),AN112=0),0,AG135*AL113)</f>
        <v>0</v>
      </c>
      <c r="AO135" s="101" cm="1">
        <f t="array" ref="AO135">IFERROR(_xlfn.LET(_xlpm.k,UPPER(TRIM(AK135)),_xlpm.r,_xlfn.XLOOKUP(_xlpm.k,UPPER(TRIM(AG149:AP149)),AG150:AP150,_xlfn.XLOOKUP(_xlpm.k,UPPER(TRIM(AG151:AP151)),AG152:AP152)),_xlpm.r*AJ135*AL135*AL113*IF(ISBLANK(AG135),1,AG135)),0)</f>
        <v>1.26E-2</v>
      </c>
      <c r="AP135" s="1475" t="str">
        <f>_xlfn.LET(_xlpm.unite,SUBSTITUTE(TRIM(AK135)," (s)",""),_xlpm.val,AO135,_xlpm.estVol,COUNTIF(AJ149:AP149,_xlpm.unite)+COUNTIF(AJ151:AP151,_xlpm.unite)&gt;0,_xlpm.estPoids,COUNTIF(AG149:AI149,_xlpm.unite)+COUNTIF(AG151:AI151,_xlpm.unite)&gt;0,IF(_xlpm.estVol,IF(ROUND(_xlpm.val,3)&gt;=1,ROUND(_xlpm.val,3)&amp;" L",MAX(1,ROUND(_xlpm.val*100,0))&amp;" cl"),IF(_xlpm.estPoids,IF(ROUND(_xlpm.val,3)&gt;=1,ROUND(_xlpm.val,3)&amp;" Kg",MAX(1,ROUND(_xlpm.val*1000,0))&amp;" g"),"")))</f>
        <v>13 g</v>
      </c>
      <c r="AR135" s="104" t="str">
        <f t="shared" si="34"/>
        <v>A</v>
      </c>
      <c r="AS135" s="32" t="str">
        <f>AS114</f>
        <v>P PRENSADO DE MORCILLA (TERRINA) | | Autor &gt; Guy KRENZE - Eric GODDYN - Arnaud NICOLAS - CEPROC 2002</v>
      </c>
      <c r="AT135" s="33">
        <f>AT114</f>
        <v>20</v>
      </c>
      <c r="AU135" s="32" t="str">
        <f>AU114</f>
        <v>pressés de boudin</v>
      </c>
      <c r="AV135" s="34" t="str">
        <f>AV114</f>
        <v>Receta madre ► Morcilla en 4 versiones</v>
      </c>
      <c r="AW135" s="92"/>
      <c r="AX135" s="108"/>
      <c r="AY135" s="94" t="str">
        <f t="shared" si="31"/>
        <v/>
      </c>
      <c r="AZ135" s="95">
        <v>7</v>
      </c>
      <c r="BA135" s="105" t="s">
        <v>99</v>
      </c>
      <c r="BB135" s="127">
        <v>1</v>
      </c>
      <c r="BC135" s="920" t="s">
        <v>12960</v>
      </c>
      <c r="BD135" s="1495">
        <f>IF(OR(ISBLANK(AW112),BD112=0),0,AW135*BB113)</f>
        <v>0</v>
      </c>
      <c r="BE135" s="101" cm="1">
        <f t="array" ref="BE135">IFERROR(_xlfn.LET(_xlpm.k,UPPER(TRIM(BA135)),_xlpm.r,_xlfn.XLOOKUP(_xlpm.k,UPPER(TRIM(AW149:BF149)),AW150:BF150,_xlfn.XLOOKUP(_xlpm.k,UPPER(TRIM(AW151:BF151)),AW152:BF152)),_xlpm.r*AZ135*BB135*BB113*IF(ISBLANK(AW135),1,AW135)),0)</f>
        <v>1.26E-2</v>
      </c>
      <c r="BF135" s="1475" t="str">
        <f>_xlfn.LET(_xlpm.unite,SUBSTITUTE(TRIM(BA135)," (s)",""),_xlpm.val,BE135,_xlpm.estVol,COUNTIF(AZ149:BF149,_xlpm.unite)+COUNTIF(AZ151:BF151,_xlpm.unite)&gt;0,_xlpm.estPoids,COUNTIF(AW149:AY149,_xlpm.unite)+COUNTIF(AW151:AY151,_xlpm.unite)&gt;0,IF(_xlpm.estVol,IF(ROUND(_xlpm.val,3)&gt;=1,ROUND(_xlpm.val,3)&amp;" L",MAX(1,ROUND(_xlpm.val*100,0))&amp;" cl"),IF(_xlpm.estPoids,IF(ROUND(_xlpm.val,3)&gt;=1,ROUND(_xlpm.val,3)&amp;" Kg",MAX(1,ROUND(_xlpm.val*1000,0))&amp;" g"),"")))</f>
        <v>13 g</v>
      </c>
      <c r="BH135" s="104"/>
      <c r="BI135" s="32"/>
      <c r="BJ135" s="33"/>
      <c r="BK135" s="32"/>
      <c r="BL135" s="34"/>
      <c r="BM135" s="92"/>
      <c r="BN135" s="108"/>
      <c r="BO135" s="94"/>
      <c r="BP135" s="95"/>
      <c r="BQ135" s="105"/>
      <c r="BR135" s="5101"/>
      <c r="BS135" s="920"/>
      <c r="BT135" s="1495"/>
      <c r="BU135" s="101"/>
      <c r="BV135" s="1475"/>
      <c r="BX135" s="104"/>
      <c r="BY135" s="32"/>
      <c r="BZ135" s="33"/>
      <c r="CA135" s="32"/>
      <c r="CB135" s="34"/>
      <c r="CC135" s="92"/>
      <c r="CD135" s="108"/>
      <c r="CE135" s="94"/>
      <c r="CF135" s="95"/>
      <c r="CG135" s="105"/>
      <c r="CH135" s="5101"/>
      <c r="CI135" s="920"/>
      <c r="CJ135" s="1495"/>
      <c r="CK135" s="101"/>
      <c r="CL135" s="1475"/>
      <c r="CN135" s="104"/>
      <c r="CO135" s="32"/>
      <c r="CP135" s="33"/>
      <c r="CQ135" s="32"/>
      <c r="CR135" s="34"/>
      <c r="CS135" s="92"/>
      <c r="CT135" s="108"/>
      <c r="CU135" s="94"/>
      <c r="CV135" s="95"/>
      <c r="CW135" s="105"/>
      <c r="CX135" s="5101"/>
      <c r="CY135" s="920"/>
      <c r="CZ135" s="1495"/>
      <c r="DA135" s="101"/>
      <c r="DB135" s="1475"/>
      <c r="DC135" s="5109"/>
      <c r="DD135" s="5086"/>
      <c r="DF135" s="3">
        <v>1</v>
      </c>
      <c r="EY135" s="127">
        <v>1</v>
      </c>
      <c r="EZ135" s="920"/>
      <c r="FA135" s="1495">
        <f>IF(OR(ISBLANK(ET102),FA102=0),0,ET135*EY103)</f>
        <v>0</v>
      </c>
      <c r="FB135" s="101">
        <f>IFERROR(_xlfn.LET(_xlpm.v,IFERROR(_xlfn.XLOOKUP(EX135,ET139:FC139,ET140:FC140),_xlfn.XLOOKUP(EX135,ET141:FC141,ET142:FC142)),_xlpm.v*EW135*EY135*EY103*IF(ISBLANK(ET135),1,ET135)),0)</f>
        <v>0</v>
      </c>
      <c r="FC135" s="1475" t="str">
        <f>_xlfn.LET(_xlpm.unite,SUBSTITUTE(TRIM(EX135)," (s)",""),_xlpm.val,FB135,_xlpm.estVol,COUNTIF(EW139:FC139,_xlpm.unite)+COUNTIF(EW141:FC141,_xlpm.unite)&gt;0,_xlpm.estPoids,COUNTIF(ET139:EV139,_xlpm.unite)+COUNTIF(ET141:EV141,_xlpm.unite)&gt;0,IF(_xlpm.estVol,IF(ROUND(_xlpm.val,3)&gt;=1,ROUND(_xlpm.val,3)&amp;" L",MAX(1,ROUND(_xlpm.val*100,0))&amp;" cl"),IF(_xlpm.estPoids,IF(ROUND(_xlpm.val,3)&gt;=1,ROUND(_xlpm.val,3)&amp;" Kg",MAX(1,ROUND(_xlpm.val*1000,0))&amp;" g"),"")))</f>
        <v>1 cl</v>
      </c>
    </row>
    <row r="136" spans="2:159" ht="21" customHeight="1">
      <c r="B136" s="952" t="str">
        <f t="shared" si="28"/>
        <v>A</v>
      </c>
      <c r="C136" s="993" cm="1">
        <f t="array" ref="C136">SUMPRODUCT(LEN(D136:J136))</f>
        <v>0</v>
      </c>
      <c r="D136" s="167"/>
      <c r="E136" s="172"/>
      <c r="F136" s="172"/>
      <c r="G136" s="172"/>
      <c r="H136" s="172"/>
      <c r="I136" s="172"/>
      <c r="J136" s="173"/>
      <c r="K136" s="442" t="s">
        <v>22</v>
      </c>
      <c r="L136" s="104" t="str">
        <f t="shared" si="32"/>
        <v>A</v>
      </c>
      <c r="M136" s="32" t="str">
        <f>M114</f>
        <v>P PRESSÉ DE BOUDIN NOIR | | Auteur &gt; Guy KRENZE - Eric GODDYN - Arnaud NICOLAS - CEPROC 2002</v>
      </c>
      <c r="N136" s="33">
        <f>N114</f>
        <v>20</v>
      </c>
      <c r="O136" s="32" t="str">
        <f>O114</f>
        <v>pressés de boudin</v>
      </c>
      <c r="P136" s="34" t="str">
        <f>P114</f>
        <v>Recette mère ► le Boudin en 4 déclinaisons</v>
      </c>
      <c r="Q136" s="92"/>
      <c r="R136" s="108"/>
      <c r="S136" s="94" t="str">
        <f t="shared" si="29"/>
        <v/>
      </c>
      <c r="T136" s="95">
        <v>20</v>
      </c>
      <c r="U136" s="105" t="s">
        <v>99</v>
      </c>
      <c r="V136" s="127">
        <v>1</v>
      </c>
      <c r="W136" s="920" t="s">
        <v>12852</v>
      </c>
      <c r="X136" s="1495">
        <f>IF(OR(ISBLANK(Q112),X112=0),0,Q136*V113)</f>
        <v>0</v>
      </c>
      <c r="Y136" s="101" cm="1">
        <f t="array" ref="Y136">IFERROR(_xlfn.LET(_xlpm.k,UPPER(TRIM(U136)),_xlpm.r,_xlfn.XLOOKUP(_xlpm.k,UPPER(TRIM(Q149:Z149)),Q150:Z150,_xlfn.XLOOKUP(_xlpm.k,UPPER(TRIM(Q151:Z151)),Q152:Z152)),_xlpm.r*T136*V136*V113*IF(ISBLANK(Q136),1,Q136)),0)</f>
        <v>0.02</v>
      </c>
      <c r="Z136" s="1476" t="str">
        <f>_xlfn.LET(_xlpm.unite,SUBSTITUTE(TRIM(U136)," (s)",""),_xlpm.val,Y136,_xlpm.estVol,COUNTIF(T149:Z149,_xlpm.unite)+COUNTIF(T151:Z151,_xlpm.unite)&gt;0,_xlpm.estPoids,COUNTIF(Q149:S149,_xlpm.unite)+COUNTIF(Q151:S151,_xlpm.unite)&gt;0,IF(_xlpm.estVol,IF(ROUND(_xlpm.val,3)&gt;=1,ROUND(_xlpm.val,3)&amp;" L",MAX(1,ROUND(_xlpm.val*100,0))&amp;" cl"),IF(_xlpm.estPoids,IF(ROUND(_xlpm.val,3)&gt;=1,ROUND(_xlpm.val,3)&amp;" Kg",MAX(1,ROUND(_xlpm.val*1000,0))&amp;" g"),"")))</f>
        <v>20 g</v>
      </c>
      <c r="AB136" s="104" t="str">
        <f t="shared" si="33"/>
        <v>A</v>
      </c>
      <c r="AC136" s="32" t="str">
        <f>AC114</f>
        <v>P PRESSED BLACK PUDDING TERRINE | |  Author &gt; Guy KRENZE - Eric GODDYN - Arnaud NICOLAS - CEPROC 2002</v>
      </c>
      <c r="AD136" s="33">
        <f>AD114</f>
        <v>20</v>
      </c>
      <c r="AE136" s="32" t="str">
        <f>AE114</f>
        <v>pressés de boudin</v>
      </c>
      <c r="AF136" s="34" t="str">
        <f>AF114</f>
        <v>Master recipe ► Black pudding in 4 variations</v>
      </c>
      <c r="AG136" s="92"/>
      <c r="AH136" s="108"/>
      <c r="AI136" s="94" t="str">
        <f t="shared" si="30"/>
        <v/>
      </c>
      <c r="AJ136" s="95">
        <v>20</v>
      </c>
      <c r="AK136" s="105" t="s">
        <v>99</v>
      </c>
      <c r="AL136" s="127">
        <v>1</v>
      </c>
      <c r="AM136" s="920" t="s">
        <v>12961</v>
      </c>
      <c r="AN136" s="1495">
        <f>IF(OR(ISBLANK(AG112),AN112=0),0,AG136*AL113)</f>
        <v>0</v>
      </c>
      <c r="AO136" s="101" cm="1">
        <f t="array" ref="AO136">IFERROR(_xlfn.LET(_xlpm.k,UPPER(TRIM(AK136)),_xlpm.r,_xlfn.XLOOKUP(_xlpm.k,UPPER(TRIM(AG149:AP149)),AG150:AP150,_xlfn.XLOOKUP(_xlpm.k,UPPER(TRIM(AG151:AP151)),AG152:AP152)),_xlpm.r*AJ136*AL136*AL113*IF(ISBLANK(AG136),1,AG136)),0)</f>
        <v>3.6000000000000004E-2</v>
      </c>
      <c r="AP136" s="1476" t="str">
        <f>_xlfn.LET(_xlpm.unite,SUBSTITUTE(TRIM(AK136)," (s)",""),_xlpm.val,AO136,_xlpm.estVol,COUNTIF(AJ149:AP149,_xlpm.unite)+COUNTIF(AJ151:AP151,_xlpm.unite)&gt;0,_xlpm.estPoids,COUNTIF(AG149:AI149,_xlpm.unite)+COUNTIF(AG151:AI151,_xlpm.unite)&gt;0,IF(_xlpm.estVol,IF(ROUND(_xlpm.val,3)&gt;=1,ROUND(_xlpm.val,3)&amp;" L",MAX(1,ROUND(_xlpm.val*100,0))&amp;" cl"),IF(_xlpm.estPoids,IF(ROUND(_xlpm.val,3)&gt;=1,ROUND(_xlpm.val,3)&amp;" Kg",MAX(1,ROUND(_xlpm.val*1000,0))&amp;" g"),"")))</f>
        <v>36 g</v>
      </c>
      <c r="AR136" s="104" t="str">
        <f t="shared" si="34"/>
        <v>A</v>
      </c>
      <c r="AS136" s="32" t="str">
        <f>AS114</f>
        <v>P PRENSADO DE MORCILLA (TERRINA) | | Autor &gt; Guy KRENZE - Eric GODDYN - Arnaud NICOLAS - CEPROC 2002</v>
      </c>
      <c r="AT136" s="33">
        <f>AT114</f>
        <v>20</v>
      </c>
      <c r="AU136" s="32" t="str">
        <f>AU114</f>
        <v>pressés de boudin</v>
      </c>
      <c r="AV136" s="34" t="str">
        <f>AV114</f>
        <v>Receta madre ► Morcilla en 4 versiones</v>
      </c>
      <c r="AW136" s="92"/>
      <c r="AX136" s="108"/>
      <c r="AY136" s="94" t="str">
        <f t="shared" si="31"/>
        <v/>
      </c>
      <c r="AZ136" s="95">
        <v>20</v>
      </c>
      <c r="BA136" s="105" t="s">
        <v>99</v>
      </c>
      <c r="BB136" s="127">
        <v>1</v>
      </c>
      <c r="BC136" s="920" t="s">
        <v>12962</v>
      </c>
      <c r="BD136" s="1495">
        <f>IF(OR(ISBLANK(AW112),BD112=0),0,AW136*BB113)</f>
        <v>0</v>
      </c>
      <c r="BE136" s="101" cm="1">
        <f t="array" ref="BE136">IFERROR(_xlfn.LET(_xlpm.k,UPPER(TRIM(BA136)),_xlpm.r,_xlfn.XLOOKUP(_xlpm.k,UPPER(TRIM(AW149:BF149)),AW150:BF150,_xlfn.XLOOKUP(_xlpm.k,UPPER(TRIM(AW151:BF151)),AW152:BF152)),_xlpm.r*AZ136*BB136*BB113*IF(ISBLANK(AW136),1,AW136)),0)</f>
        <v>3.6000000000000004E-2</v>
      </c>
      <c r="BF136" s="1476" t="str">
        <f>_xlfn.LET(_xlpm.unite,SUBSTITUTE(TRIM(BA136)," (s)",""),_xlpm.val,BE136,_xlpm.estVol,COUNTIF(AZ149:BF149,_xlpm.unite)+COUNTIF(AZ151:BF151,_xlpm.unite)&gt;0,_xlpm.estPoids,COUNTIF(AW149:AY149,_xlpm.unite)+COUNTIF(AW151:AY151,_xlpm.unite)&gt;0,IF(_xlpm.estVol,IF(ROUND(_xlpm.val,3)&gt;=1,ROUND(_xlpm.val,3)&amp;" L",MAX(1,ROUND(_xlpm.val*100,0))&amp;" cl"),IF(_xlpm.estPoids,IF(ROUND(_xlpm.val,3)&gt;=1,ROUND(_xlpm.val,3)&amp;" Kg",MAX(1,ROUND(_xlpm.val*1000,0))&amp;" g"),"")))</f>
        <v>36 g</v>
      </c>
      <c r="BH136" s="104"/>
      <c r="BI136" s="32"/>
      <c r="BJ136" s="33"/>
      <c r="BK136" s="32"/>
      <c r="BL136" s="34"/>
      <c r="BM136" s="92"/>
      <c r="BN136" s="108"/>
      <c r="BO136" s="94"/>
      <c r="BP136" s="95"/>
      <c r="BQ136" s="105"/>
      <c r="BR136" s="5101"/>
      <c r="BS136" s="920"/>
      <c r="BT136" s="1495"/>
      <c r="BU136" s="101"/>
      <c r="BV136" s="1475"/>
      <c r="BX136" s="104"/>
      <c r="BY136" s="32"/>
      <c r="BZ136" s="33"/>
      <c r="CA136" s="32"/>
      <c r="CB136" s="34"/>
      <c r="CC136" s="92"/>
      <c r="CD136" s="108"/>
      <c r="CE136" s="94"/>
      <c r="CF136" s="95"/>
      <c r="CG136" s="105"/>
      <c r="CH136" s="5101"/>
      <c r="CI136" s="920"/>
      <c r="CJ136" s="1495"/>
      <c r="CK136" s="101"/>
      <c r="CL136" s="1475"/>
      <c r="CN136" s="104"/>
      <c r="CO136" s="32"/>
      <c r="CP136" s="33"/>
      <c r="CQ136" s="32"/>
      <c r="CR136" s="34"/>
      <c r="CS136" s="92"/>
      <c r="CT136" s="108"/>
      <c r="CU136" s="94"/>
      <c r="CV136" s="95"/>
      <c r="CW136" s="105"/>
      <c r="CX136" s="5101"/>
      <c r="CY136" s="920"/>
      <c r="CZ136" s="1495"/>
      <c r="DA136" s="101"/>
      <c r="DB136" s="1475"/>
      <c r="DC136" s="5109"/>
      <c r="DD136" s="5086"/>
      <c r="DF136" s="3">
        <v>1</v>
      </c>
      <c r="EY136" s="127">
        <v>1</v>
      </c>
      <c r="EZ136" s="920"/>
      <c r="FA136" s="1495">
        <f>IF(OR(ISBLANK(ET102),FA102=0),0,ET136*EY103)</f>
        <v>0</v>
      </c>
      <c r="FB136" s="101">
        <f>IFERROR(_xlfn.LET(_xlpm.v,IFERROR(_xlfn.XLOOKUP(EX136,ET139:FC139,ET140:FC140),_xlfn.XLOOKUP(EX136,ET141:FC141,ET142:FC142)),_xlpm.v*EW136*EY136*EY103*IF(ISBLANK(ET136),1,ET136)),0)</f>
        <v>0</v>
      </c>
      <c r="FC136" s="1476" t="str">
        <f>_xlfn.LET(_xlpm.unite,SUBSTITUTE(TRIM(EX136)," (s)",""),_xlpm.val,FB136,_xlpm.estVol,COUNTIF(EW139:FC139,_xlpm.unite)+COUNTIF(EW141:FC141,_xlpm.unite)&gt;0,_xlpm.estPoids,COUNTIF(ET139:EV139,_xlpm.unite)+COUNTIF(ET141:EV141,_xlpm.unite)&gt;0,IF(_xlpm.estVol,IF(ROUND(_xlpm.val,3)&gt;=1,ROUND(_xlpm.val,3)&amp;" L",MAX(1,ROUND(_xlpm.val*100,0))&amp;" cl"),IF(_xlpm.estPoids,IF(ROUND(_xlpm.val,3)&gt;=1,ROUND(_xlpm.val,3)&amp;" Kg",MAX(1,ROUND(_xlpm.val*1000,0))&amp;" g"),"")))</f>
        <v>1 cl</v>
      </c>
    </row>
    <row r="137" spans="2:159" ht="21" customHeight="1">
      <c r="B137" s="952" t="str">
        <f t="shared" si="28"/>
        <v>A</v>
      </c>
      <c r="C137" s="993" cm="1">
        <f t="array" ref="C137">SUMPRODUCT(LEN(D137:J137))</f>
        <v>0</v>
      </c>
      <c r="D137" s="167"/>
      <c r="E137" s="172"/>
      <c r="F137" s="172"/>
      <c r="G137" s="172"/>
      <c r="H137" s="172"/>
      <c r="I137" s="172"/>
      <c r="J137" s="173"/>
      <c r="K137" s="442" t="s">
        <v>22</v>
      </c>
      <c r="L137" s="104" t="str">
        <f t="shared" si="32"/>
        <v>A</v>
      </c>
      <c r="M137" s="32" t="str">
        <f>M114</f>
        <v>P PRESSÉ DE BOUDIN NOIR | | Auteur &gt; Guy KRENZE - Eric GODDYN - Arnaud NICOLAS - CEPROC 2002</v>
      </c>
      <c r="N137" s="33">
        <f>N114</f>
        <v>20</v>
      </c>
      <c r="O137" s="32" t="str">
        <f>O114</f>
        <v>pressés de boudin</v>
      </c>
      <c r="P137" s="34" t="str">
        <f>P114</f>
        <v>Recette mère ► le Boudin en 4 déclinaisons</v>
      </c>
      <c r="Q137" s="92"/>
      <c r="R137" s="108"/>
      <c r="S137" s="94" t="str">
        <f t="shared" si="29"/>
        <v/>
      </c>
      <c r="T137" s="95">
        <v>300</v>
      </c>
      <c r="U137" s="105" t="s">
        <v>99</v>
      </c>
      <c r="V137" s="127">
        <v>1</v>
      </c>
      <c r="W137" s="920" t="s">
        <v>12853</v>
      </c>
      <c r="X137" s="1495">
        <f>IF(OR(ISBLANK(Q112),X112=0),0,Q137*V113)</f>
        <v>0</v>
      </c>
      <c r="Y137" s="101" cm="1">
        <f t="array" ref="Y137">IFERROR(_xlfn.LET(_xlpm.k,UPPER(TRIM(U137)),_xlpm.r,_xlfn.XLOOKUP(_xlpm.k,UPPER(TRIM(Q149:Z149)),Q150:Z150,_xlfn.XLOOKUP(_xlpm.k,UPPER(TRIM(Q151:Z151)),Q152:Z152)),_xlpm.r*T137*V137*V113*IF(ISBLANK(Q137),1,Q137)),0)</f>
        <v>0.3</v>
      </c>
      <c r="Z137" s="1475" t="str">
        <f>_xlfn.LET(_xlpm.unite,SUBSTITUTE(TRIM(U137)," (s)",""),_xlpm.val,Y137,_xlpm.estVol,COUNTIF(T149:Z149,_xlpm.unite)+COUNTIF(T151:Z151,_xlpm.unite)&gt;0,_xlpm.estPoids,COUNTIF(Q149:S149,_xlpm.unite)+COUNTIF(Q151:S151,_xlpm.unite)&gt;0,IF(_xlpm.estVol,IF(ROUND(_xlpm.val,3)&gt;=1,ROUND(_xlpm.val,3)&amp;" L",MAX(1,ROUND(_xlpm.val*100,0))&amp;" cl"),IF(_xlpm.estPoids,IF(ROUND(_xlpm.val,3)&gt;=1,ROUND(_xlpm.val,3)&amp;" Kg",MAX(1,ROUND(_xlpm.val*1000,0))&amp;" g"),"")))</f>
        <v>300 g</v>
      </c>
      <c r="AB137" s="104" t="str">
        <f t="shared" si="33"/>
        <v>A</v>
      </c>
      <c r="AC137" s="32" t="str">
        <f>AC114</f>
        <v>P PRESSED BLACK PUDDING TERRINE | |  Author &gt; Guy KRENZE - Eric GODDYN - Arnaud NICOLAS - CEPROC 2002</v>
      </c>
      <c r="AD137" s="33">
        <f>AD114</f>
        <v>20</v>
      </c>
      <c r="AE137" s="32" t="str">
        <f>AE114</f>
        <v>pressés de boudin</v>
      </c>
      <c r="AF137" s="34" t="str">
        <f>AF114</f>
        <v>Master recipe ► Black pudding in 4 variations</v>
      </c>
      <c r="AG137" s="92"/>
      <c r="AH137" s="108"/>
      <c r="AI137" s="94" t="str">
        <f t="shared" si="30"/>
        <v/>
      </c>
      <c r="AJ137" s="95">
        <v>300</v>
      </c>
      <c r="AK137" s="105" t="s">
        <v>99</v>
      </c>
      <c r="AL137" s="127">
        <v>1</v>
      </c>
      <c r="AM137" s="920" t="s">
        <v>12963</v>
      </c>
      <c r="AN137" s="1495">
        <f>IF(OR(ISBLANK(AG112),AN112=0),0,AG137*AL113)</f>
        <v>0</v>
      </c>
      <c r="AO137" s="101" cm="1">
        <f t="array" ref="AO137">IFERROR(_xlfn.LET(_xlpm.k,UPPER(TRIM(AK137)),_xlpm.r,_xlfn.XLOOKUP(_xlpm.k,UPPER(TRIM(AG149:AP149)),AG150:AP150,_xlfn.XLOOKUP(_xlpm.k,UPPER(TRIM(AG151:AP151)),AG152:AP152)),_xlpm.r*AJ137*AL137*AL113*IF(ISBLANK(AG137),1,AG137)),0)</f>
        <v>0.54</v>
      </c>
      <c r="AP137" s="1475" t="str">
        <f>_xlfn.LET(_xlpm.unite,SUBSTITUTE(TRIM(AK137)," (s)",""),_xlpm.val,AO137,_xlpm.estVol,COUNTIF(AJ149:AP149,_xlpm.unite)+COUNTIF(AJ151:AP151,_xlpm.unite)&gt;0,_xlpm.estPoids,COUNTIF(AG149:AI149,_xlpm.unite)+COUNTIF(AG151:AI151,_xlpm.unite)&gt;0,IF(_xlpm.estVol,IF(ROUND(_xlpm.val,3)&gt;=1,ROUND(_xlpm.val,3)&amp;" L",MAX(1,ROUND(_xlpm.val*100,0))&amp;" cl"),IF(_xlpm.estPoids,IF(ROUND(_xlpm.val,3)&gt;=1,ROUND(_xlpm.val,3)&amp;" Kg",MAX(1,ROUND(_xlpm.val*1000,0))&amp;" g"),"")))</f>
        <v>540 g</v>
      </c>
      <c r="AR137" s="104" t="str">
        <f t="shared" si="34"/>
        <v>A</v>
      </c>
      <c r="AS137" s="32" t="str">
        <f>AS114</f>
        <v>P PRENSADO DE MORCILLA (TERRINA) | | Autor &gt; Guy KRENZE - Eric GODDYN - Arnaud NICOLAS - CEPROC 2002</v>
      </c>
      <c r="AT137" s="33">
        <f>AT114</f>
        <v>20</v>
      </c>
      <c r="AU137" s="32" t="str">
        <f>AU114</f>
        <v>pressés de boudin</v>
      </c>
      <c r="AV137" s="34" t="str">
        <f>AV114</f>
        <v>Receta madre ► Morcilla en 4 versiones</v>
      </c>
      <c r="AW137" s="92"/>
      <c r="AX137" s="108"/>
      <c r="AY137" s="94" t="str">
        <f t="shared" si="31"/>
        <v/>
      </c>
      <c r="AZ137" s="95">
        <v>300</v>
      </c>
      <c r="BA137" s="105" t="s">
        <v>99</v>
      </c>
      <c r="BB137" s="127">
        <v>1</v>
      </c>
      <c r="BC137" s="920" t="s">
        <v>12964</v>
      </c>
      <c r="BD137" s="1495">
        <f>IF(OR(ISBLANK(AW112),BD112=0),0,AW137*BB113)</f>
        <v>0</v>
      </c>
      <c r="BE137" s="101" cm="1">
        <f t="array" ref="BE137">IFERROR(_xlfn.LET(_xlpm.k,UPPER(TRIM(BA137)),_xlpm.r,_xlfn.XLOOKUP(_xlpm.k,UPPER(TRIM(AW149:BF149)),AW150:BF150,_xlfn.XLOOKUP(_xlpm.k,UPPER(TRIM(AW151:BF151)),AW152:BF152)),_xlpm.r*AZ137*BB137*BB113*IF(ISBLANK(AW137),1,AW137)),0)</f>
        <v>0.54</v>
      </c>
      <c r="BF137" s="1475" t="str">
        <f>_xlfn.LET(_xlpm.unite,SUBSTITUTE(TRIM(BA137)," (s)",""),_xlpm.val,BE137,_xlpm.estVol,COUNTIF(AZ149:BF149,_xlpm.unite)+COUNTIF(AZ151:BF151,_xlpm.unite)&gt;0,_xlpm.estPoids,COUNTIF(AW149:AY149,_xlpm.unite)+COUNTIF(AW151:AY151,_xlpm.unite)&gt;0,IF(_xlpm.estVol,IF(ROUND(_xlpm.val,3)&gt;=1,ROUND(_xlpm.val,3)&amp;" L",MAX(1,ROUND(_xlpm.val*100,0))&amp;" cl"),IF(_xlpm.estPoids,IF(ROUND(_xlpm.val,3)&gt;=1,ROUND(_xlpm.val,3)&amp;" Kg",MAX(1,ROUND(_xlpm.val*1000,0))&amp;" g"),"")))</f>
        <v>540 g</v>
      </c>
      <c r="BH137" s="104"/>
      <c r="BI137" s="32"/>
      <c r="BJ137" s="33"/>
      <c r="BK137" s="32"/>
      <c r="BL137" s="34"/>
      <c r="BM137" s="92"/>
      <c r="BN137" s="108"/>
      <c r="BO137" s="94"/>
      <c r="BP137" s="95"/>
      <c r="BQ137" s="105"/>
      <c r="BR137" s="5101"/>
      <c r="BS137" s="920"/>
      <c r="BT137" s="1495"/>
      <c r="BU137" s="101"/>
      <c r="BV137" s="1475"/>
      <c r="BX137" s="104"/>
      <c r="BY137" s="32"/>
      <c r="BZ137" s="33"/>
      <c r="CA137" s="32"/>
      <c r="CB137" s="34"/>
      <c r="CC137" s="92"/>
      <c r="CD137" s="108"/>
      <c r="CE137" s="94"/>
      <c r="CF137" s="95"/>
      <c r="CG137" s="105"/>
      <c r="CH137" s="5101"/>
      <c r="CI137" s="920"/>
      <c r="CJ137" s="1495"/>
      <c r="CK137" s="101"/>
      <c r="CL137" s="1475"/>
      <c r="CN137" s="104"/>
      <c r="CO137" s="32"/>
      <c r="CP137" s="33"/>
      <c r="CQ137" s="32"/>
      <c r="CR137" s="34"/>
      <c r="CS137" s="92"/>
      <c r="CT137" s="108"/>
      <c r="CU137" s="94"/>
      <c r="CV137" s="95"/>
      <c r="CW137" s="105"/>
      <c r="CX137" s="5101"/>
      <c r="CY137" s="920"/>
      <c r="CZ137" s="1495"/>
      <c r="DA137" s="101"/>
      <c r="DB137" s="1475"/>
      <c r="DC137" s="5109"/>
      <c r="DD137" s="5086"/>
      <c r="DF137" s="3">
        <v>1</v>
      </c>
      <c r="EY137" s="127">
        <v>1</v>
      </c>
      <c r="EZ137" s="920"/>
      <c r="FA137" s="1495">
        <f>IF(OR(ISBLANK(ET102),FA102=0),0,ET137*EY103)</f>
        <v>0</v>
      </c>
      <c r="FB137" s="101">
        <f>IFERROR(_xlfn.LET(_xlpm.v,IFERROR(_xlfn.XLOOKUP(EX137,ET139:FC139,ET140:FC140),_xlfn.XLOOKUP(EX137,ET141:FC141,ET142:FC142)),_xlpm.v*EW137*EY137*EY103*IF(ISBLANK(ET137),1,ET137)),0)</f>
        <v>0</v>
      </c>
      <c r="FC137" s="1475" t="str">
        <f>_xlfn.LET(_xlpm.unite,SUBSTITUTE(TRIM(EX137)," (s)",""),_xlpm.val,FB137,_xlpm.estVol,COUNTIF(EW139:FC139,_xlpm.unite)+COUNTIF(EW141:FC141,_xlpm.unite)&gt;0,_xlpm.estPoids,COUNTIF(ET139:EV139,_xlpm.unite)+COUNTIF(ET141:EV141,_xlpm.unite)&gt;0,IF(_xlpm.estVol,IF(ROUND(_xlpm.val,3)&gt;=1,ROUND(_xlpm.val,3)&amp;" L",MAX(1,ROUND(_xlpm.val*100,0))&amp;" cl"),IF(_xlpm.estPoids,IF(ROUND(_xlpm.val,3)&gt;=1,ROUND(_xlpm.val,3)&amp;" Kg",MAX(1,ROUND(_xlpm.val*1000,0))&amp;" g"),"")))</f>
        <v>1 cl</v>
      </c>
    </row>
    <row r="138" spans="2:159" ht="21" customHeight="1">
      <c r="B138" s="952" t="str">
        <f t="shared" si="28"/>
        <v>A</v>
      </c>
      <c r="C138" s="993" cm="1">
        <f t="array" ref="C138">SUMPRODUCT(LEN(D138:J138))</f>
        <v>0</v>
      </c>
      <c r="D138" s="167"/>
      <c r="E138" s="172"/>
      <c r="F138" s="172"/>
      <c r="G138" s="172"/>
      <c r="H138" s="172"/>
      <c r="I138" s="172"/>
      <c r="J138" s="173"/>
      <c r="K138" s="442" t="s">
        <v>22</v>
      </c>
      <c r="L138" s="104" t="str">
        <f t="shared" si="32"/>
        <v>A</v>
      </c>
      <c r="M138" s="32" t="str">
        <f>M114</f>
        <v>P PRESSÉ DE BOUDIN NOIR | | Auteur &gt; Guy KRENZE - Eric GODDYN - Arnaud NICOLAS - CEPROC 2002</v>
      </c>
      <c r="N138" s="33">
        <f>N114</f>
        <v>20</v>
      </c>
      <c r="O138" s="32" t="str">
        <f>O114</f>
        <v>pressés de boudin</v>
      </c>
      <c r="P138" s="34" t="str">
        <f>P114</f>
        <v>Recette mère ► le Boudin en 4 déclinaisons</v>
      </c>
      <c r="Q138" s="92"/>
      <c r="R138" s="108"/>
      <c r="S138" s="94" t="str">
        <f t="shared" si="29"/>
        <v/>
      </c>
      <c r="T138" s="95">
        <v>2</v>
      </c>
      <c r="U138" s="105" t="s">
        <v>99</v>
      </c>
      <c r="V138" s="127">
        <v>1</v>
      </c>
      <c r="W138" s="920" t="s">
        <v>12827</v>
      </c>
      <c r="X138" s="1495">
        <f>IF(OR(ISBLANK(Q112),X112=0),0,Q138*V113)</f>
        <v>0</v>
      </c>
      <c r="Y138" s="101" cm="1">
        <f t="array" ref="Y138">IFERROR(_xlfn.LET(_xlpm.k,UPPER(TRIM(U138)),_xlpm.r,_xlfn.XLOOKUP(_xlpm.k,UPPER(TRIM(Q149:Z149)),Q150:Z150,_xlfn.XLOOKUP(_xlpm.k,UPPER(TRIM(Q151:Z151)),Q152:Z152)),_xlpm.r*T138*V138*V113*IF(ISBLANK(Q138),1,Q138)),0)</f>
        <v>2E-3</v>
      </c>
      <c r="Z138" s="1476" t="str">
        <f>_xlfn.LET(_xlpm.unite,SUBSTITUTE(TRIM(U138)," (s)",""),_xlpm.val,Y138,_xlpm.estVol,COUNTIF(T149:Z149,_xlpm.unite)+COUNTIF(T151:Z151,_xlpm.unite)&gt;0,_xlpm.estPoids,COUNTIF(Q149:S149,_xlpm.unite)+COUNTIF(Q151:S151,_xlpm.unite)&gt;0,IF(_xlpm.estVol,IF(ROUND(_xlpm.val,3)&gt;=1,ROUND(_xlpm.val,3)&amp;" L",MAX(1,ROUND(_xlpm.val*100,0))&amp;" cl"),IF(_xlpm.estPoids,IF(ROUND(_xlpm.val,3)&gt;=1,ROUND(_xlpm.val,3)&amp;" Kg",MAX(1,ROUND(_xlpm.val*1000,0))&amp;" g"),"")))</f>
        <v>2 g</v>
      </c>
      <c r="AB138" s="104" t="str">
        <f t="shared" si="33"/>
        <v>A</v>
      </c>
      <c r="AC138" s="32" t="str">
        <f>AC114</f>
        <v>P PRESSED BLACK PUDDING TERRINE | |  Author &gt; Guy KRENZE - Eric GODDYN - Arnaud NICOLAS - CEPROC 2002</v>
      </c>
      <c r="AD138" s="33">
        <f>AD114</f>
        <v>20</v>
      </c>
      <c r="AE138" s="32" t="str">
        <f>AE114</f>
        <v>pressés de boudin</v>
      </c>
      <c r="AF138" s="34" t="str">
        <f>AF114</f>
        <v>Master recipe ► Black pudding in 4 variations</v>
      </c>
      <c r="AG138" s="92"/>
      <c r="AH138" s="108"/>
      <c r="AI138" s="94" t="str">
        <f t="shared" si="30"/>
        <v/>
      </c>
      <c r="AJ138" s="95">
        <v>2</v>
      </c>
      <c r="AK138" s="105" t="s">
        <v>99</v>
      </c>
      <c r="AL138" s="127">
        <v>1</v>
      </c>
      <c r="AM138" s="920" t="s">
        <v>12882</v>
      </c>
      <c r="AN138" s="1495">
        <f>IF(OR(ISBLANK(AG112),AN112=0),0,AG138*AL113)</f>
        <v>0</v>
      </c>
      <c r="AO138" s="101" cm="1">
        <f t="array" ref="AO138">IFERROR(_xlfn.LET(_xlpm.k,UPPER(TRIM(AK138)),_xlpm.r,_xlfn.XLOOKUP(_xlpm.k,UPPER(TRIM(AG149:AP149)),AG150:AP150,_xlfn.XLOOKUP(_xlpm.k,UPPER(TRIM(AG151:AP151)),AG152:AP152)),_xlpm.r*AJ138*AL138*AL113*IF(ISBLANK(AG138),1,AG138)),0)</f>
        <v>3.6000000000000003E-3</v>
      </c>
      <c r="AP138" s="1476" t="str">
        <f>_xlfn.LET(_xlpm.unite,SUBSTITUTE(TRIM(AK138)," (s)",""),_xlpm.val,AO138,_xlpm.estVol,COUNTIF(AJ149:AP149,_xlpm.unite)+COUNTIF(AJ151:AP151,_xlpm.unite)&gt;0,_xlpm.estPoids,COUNTIF(AG149:AI149,_xlpm.unite)+COUNTIF(AG151:AI151,_xlpm.unite)&gt;0,IF(_xlpm.estVol,IF(ROUND(_xlpm.val,3)&gt;=1,ROUND(_xlpm.val,3)&amp;" L",MAX(1,ROUND(_xlpm.val*100,0))&amp;" cl"),IF(_xlpm.estPoids,IF(ROUND(_xlpm.val,3)&gt;=1,ROUND(_xlpm.val,3)&amp;" Kg",MAX(1,ROUND(_xlpm.val*1000,0))&amp;" g"),"")))</f>
        <v>4 g</v>
      </c>
      <c r="AR138" s="104" t="str">
        <f t="shared" si="34"/>
        <v>A</v>
      </c>
      <c r="AS138" s="32" t="str">
        <f>AS114</f>
        <v>P PRENSADO DE MORCILLA (TERRINA) | | Autor &gt; Guy KRENZE - Eric GODDYN - Arnaud NICOLAS - CEPROC 2002</v>
      </c>
      <c r="AT138" s="33">
        <f>AT114</f>
        <v>20</v>
      </c>
      <c r="AU138" s="32" t="str">
        <f>AU114</f>
        <v>pressés de boudin</v>
      </c>
      <c r="AV138" s="34" t="str">
        <f>AV114</f>
        <v>Receta madre ► Morcilla en 4 versiones</v>
      </c>
      <c r="AW138" s="92"/>
      <c r="AX138" s="108"/>
      <c r="AY138" s="94" t="str">
        <f t="shared" si="31"/>
        <v/>
      </c>
      <c r="AZ138" s="95">
        <v>2</v>
      </c>
      <c r="BA138" s="105" t="s">
        <v>99</v>
      </c>
      <c r="BB138" s="127">
        <v>1</v>
      </c>
      <c r="BC138" s="920" t="s">
        <v>12883</v>
      </c>
      <c r="BD138" s="1495">
        <f>IF(OR(ISBLANK(AW112),BD112=0),0,AW138*BB113)</f>
        <v>0</v>
      </c>
      <c r="BE138" s="101" cm="1">
        <f t="array" ref="BE138">IFERROR(_xlfn.LET(_xlpm.k,UPPER(TRIM(BA138)),_xlpm.r,_xlfn.XLOOKUP(_xlpm.k,UPPER(TRIM(AW149:BF149)),AW150:BF150,_xlfn.XLOOKUP(_xlpm.k,UPPER(TRIM(AW151:BF151)),AW152:BF152)),_xlpm.r*AZ138*BB138*BB113*IF(ISBLANK(AW138),1,AW138)),0)</f>
        <v>3.6000000000000003E-3</v>
      </c>
      <c r="BF138" s="1476" t="str">
        <f>_xlfn.LET(_xlpm.unite,SUBSTITUTE(TRIM(BA138)," (s)",""),_xlpm.val,BE138,_xlpm.estVol,COUNTIF(AZ149:BF149,_xlpm.unite)+COUNTIF(AZ151:BF151,_xlpm.unite)&gt;0,_xlpm.estPoids,COUNTIF(AW149:AY149,_xlpm.unite)+COUNTIF(AW151:AY151,_xlpm.unite)&gt;0,IF(_xlpm.estVol,IF(ROUND(_xlpm.val,3)&gt;=1,ROUND(_xlpm.val,3)&amp;" L",MAX(1,ROUND(_xlpm.val*100,0))&amp;" cl"),IF(_xlpm.estPoids,IF(ROUND(_xlpm.val,3)&gt;=1,ROUND(_xlpm.val,3)&amp;" Kg",MAX(1,ROUND(_xlpm.val*1000,0))&amp;" g"),"")))</f>
        <v>4 g</v>
      </c>
      <c r="BH138" s="104"/>
      <c r="BI138" s="32"/>
      <c r="BJ138" s="33"/>
      <c r="BK138" s="32"/>
      <c r="BL138" s="34"/>
      <c r="BM138" s="92"/>
      <c r="BN138" s="108"/>
      <c r="BO138" s="94"/>
      <c r="BP138" s="95"/>
      <c r="BQ138" s="105"/>
      <c r="BR138" s="5101"/>
      <c r="BS138" s="920"/>
      <c r="BT138" s="1495"/>
      <c r="BU138" s="101"/>
      <c r="BV138" s="1475"/>
      <c r="BX138" s="104"/>
      <c r="BY138" s="32"/>
      <c r="BZ138" s="33"/>
      <c r="CA138" s="32"/>
      <c r="CB138" s="34"/>
      <c r="CC138" s="92"/>
      <c r="CD138" s="108"/>
      <c r="CE138" s="94"/>
      <c r="CF138" s="95"/>
      <c r="CG138" s="105"/>
      <c r="CH138" s="5101"/>
      <c r="CI138" s="920"/>
      <c r="CJ138" s="1495"/>
      <c r="CK138" s="101"/>
      <c r="CL138" s="1475"/>
      <c r="CN138" s="104"/>
      <c r="CO138" s="32"/>
      <c r="CP138" s="33"/>
      <c r="CQ138" s="32"/>
      <c r="CR138" s="34"/>
      <c r="CS138" s="92"/>
      <c r="CT138" s="108"/>
      <c r="CU138" s="94"/>
      <c r="CV138" s="95"/>
      <c r="CW138" s="105"/>
      <c r="CX138" s="5101"/>
      <c r="CY138" s="920"/>
      <c r="CZ138" s="1495"/>
      <c r="DA138" s="101"/>
      <c r="DB138" s="1475"/>
      <c r="DC138" s="5109"/>
      <c r="DD138" s="5086"/>
      <c r="DF138" s="3">
        <v>1</v>
      </c>
      <c r="EY138" s="908"/>
      <c r="EZ138" s="909"/>
      <c r="FA138" s="909"/>
      <c r="FB138" s="910">
        <f>SUM(FB108:FB137)</f>
        <v>0</v>
      </c>
      <c r="FC138" s="1489"/>
    </row>
    <row r="139" spans="2:159" ht="21" customHeight="1">
      <c r="B139" s="952" t="str">
        <f t="shared" ref="B139:B202" si="35">L139</f>
        <v>A</v>
      </c>
      <c r="C139" s="993" cm="1">
        <f t="array" ref="C139">SUMPRODUCT(LEN(D139:J139))</f>
        <v>0</v>
      </c>
      <c r="D139" s="167"/>
      <c r="E139" s="172"/>
      <c r="F139" s="172"/>
      <c r="G139" s="172"/>
      <c r="H139" s="172"/>
      <c r="I139" s="172"/>
      <c r="J139" s="173"/>
      <c r="K139" s="442" t="s">
        <v>22</v>
      </c>
      <c r="L139" s="104" t="str">
        <f t="shared" si="32"/>
        <v>A</v>
      </c>
      <c r="M139" s="32" t="str">
        <f>M114</f>
        <v>P PRESSÉ DE BOUDIN NOIR | | Auteur &gt; Guy KRENZE - Eric GODDYN - Arnaud NICOLAS - CEPROC 2002</v>
      </c>
      <c r="N139" s="33">
        <f>N114</f>
        <v>20</v>
      </c>
      <c r="O139" s="32" t="str">
        <f>O114</f>
        <v>pressés de boudin</v>
      </c>
      <c r="P139" s="34" t="str">
        <f>P114</f>
        <v>Recette mère ► le Boudin en 4 déclinaisons</v>
      </c>
      <c r="Q139" s="92"/>
      <c r="R139" s="108"/>
      <c r="S139" s="94" t="str">
        <f t="shared" si="29"/>
        <v/>
      </c>
      <c r="T139" s="95">
        <v>7</v>
      </c>
      <c r="U139" s="105" t="s">
        <v>99</v>
      </c>
      <c r="V139" s="127">
        <v>1</v>
      </c>
      <c r="W139" s="920" t="s">
        <v>8947</v>
      </c>
      <c r="X139" s="1495">
        <f>IF(OR(ISBLANK(Q112),X112=0),0,Q139*V113)</f>
        <v>0</v>
      </c>
      <c r="Y139" s="101" cm="1">
        <f t="array" ref="Y139">IFERROR(_xlfn.LET(_xlpm.k,UPPER(TRIM(U139)),_xlpm.r,_xlfn.XLOOKUP(_xlpm.k,UPPER(TRIM(Q149:Z149)),Q150:Z150,_xlfn.XLOOKUP(_xlpm.k,UPPER(TRIM(Q151:Z151)),Q152:Z152)),_xlpm.r*T139*V139*V113*IF(ISBLANK(Q139),1,Q139)),0)</f>
        <v>7.0000000000000001E-3</v>
      </c>
      <c r="Z139" s="1475" t="str">
        <f>_xlfn.LET(_xlpm.unite,SUBSTITUTE(TRIM(U139)," (s)",""),_xlpm.val,Y139,_xlpm.estVol,COUNTIF(T149:Z149,_xlpm.unite)+COUNTIF(T151:Z151,_xlpm.unite)&gt;0,_xlpm.estPoids,COUNTIF(Q149:S149,_xlpm.unite)+COUNTIF(Q151:S151,_xlpm.unite)&gt;0,IF(_xlpm.estVol,IF(ROUND(_xlpm.val,3)&gt;=1,ROUND(_xlpm.val,3)&amp;" L",MAX(1,ROUND(_xlpm.val*100,0))&amp;" cl"),IF(_xlpm.estPoids,IF(ROUND(_xlpm.val,3)&gt;=1,ROUND(_xlpm.val,3)&amp;" Kg",MAX(1,ROUND(_xlpm.val*1000,0))&amp;" g"),"")))</f>
        <v>7 g</v>
      </c>
      <c r="AB139" s="104" t="str">
        <f t="shared" si="33"/>
        <v>A</v>
      </c>
      <c r="AC139" s="32" t="str">
        <f>AC114</f>
        <v>P PRESSED BLACK PUDDING TERRINE | |  Author &gt; Guy KRENZE - Eric GODDYN - Arnaud NICOLAS - CEPROC 2002</v>
      </c>
      <c r="AD139" s="33">
        <f>AD114</f>
        <v>20</v>
      </c>
      <c r="AE139" s="32" t="str">
        <f>AE114</f>
        <v>pressés de boudin</v>
      </c>
      <c r="AF139" s="34" t="str">
        <f>AF114</f>
        <v>Master recipe ► Black pudding in 4 variations</v>
      </c>
      <c r="AG139" s="92"/>
      <c r="AH139" s="108"/>
      <c r="AI139" s="94" t="str">
        <f t="shared" si="30"/>
        <v/>
      </c>
      <c r="AJ139" s="95">
        <v>7</v>
      </c>
      <c r="AK139" s="105" t="s">
        <v>99</v>
      </c>
      <c r="AL139" s="127">
        <v>1</v>
      </c>
      <c r="AM139" s="920" t="s">
        <v>12884</v>
      </c>
      <c r="AN139" s="1495">
        <f>IF(OR(ISBLANK(AG112),AN112=0),0,AG139*AL113)</f>
        <v>0</v>
      </c>
      <c r="AO139" s="101" cm="1">
        <f t="array" ref="AO139">IFERROR(_xlfn.LET(_xlpm.k,UPPER(TRIM(AK139)),_xlpm.r,_xlfn.XLOOKUP(_xlpm.k,UPPER(TRIM(AG149:AP149)),AG150:AP150,_xlfn.XLOOKUP(_xlpm.k,UPPER(TRIM(AG151:AP151)),AG152:AP152)),_xlpm.r*AJ139*AL139*AL113*IF(ISBLANK(AG139),1,AG139)),0)</f>
        <v>1.26E-2</v>
      </c>
      <c r="AP139" s="1475" t="str">
        <f>_xlfn.LET(_xlpm.unite,SUBSTITUTE(TRIM(AK139)," (s)",""),_xlpm.val,AO139,_xlpm.estVol,COUNTIF(AJ149:AP149,_xlpm.unite)+COUNTIF(AJ151:AP151,_xlpm.unite)&gt;0,_xlpm.estPoids,COUNTIF(AG149:AI149,_xlpm.unite)+COUNTIF(AG151:AI151,_xlpm.unite)&gt;0,IF(_xlpm.estVol,IF(ROUND(_xlpm.val,3)&gt;=1,ROUND(_xlpm.val,3)&amp;" L",MAX(1,ROUND(_xlpm.val*100,0))&amp;" cl"),IF(_xlpm.estPoids,IF(ROUND(_xlpm.val,3)&gt;=1,ROUND(_xlpm.val,3)&amp;" Kg",MAX(1,ROUND(_xlpm.val*1000,0))&amp;" g"),"")))</f>
        <v>13 g</v>
      </c>
      <c r="AR139" s="104" t="str">
        <f t="shared" si="34"/>
        <v>A</v>
      </c>
      <c r="AS139" s="32" t="str">
        <f>AS114</f>
        <v>P PRENSADO DE MORCILLA (TERRINA) | | Autor &gt; Guy KRENZE - Eric GODDYN - Arnaud NICOLAS - CEPROC 2002</v>
      </c>
      <c r="AT139" s="33">
        <f>AT114</f>
        <v>20</v>
      </c>
      <c r="AU139" s="32" t="str">
        <f>AU114</f>
        <v>pressés de boudin</v>
      </c>
      <c r="AV139" s="34" t="str">
        <f>AV114</f>
        <v>Receta madre ► Morcilla en 4 versiones</v>
      </c>
      <c r="AW139" s="92"/>
      <c r="AX139" s="108"/>
      <c r="AY139" s="94" t="str">
        <f t="shared" si="31"/>
        <v/>
      </c>
      <c r="AZ139" s="95">
        <v>7</v>
      </c>
      <c r="BA139" s="105" t="s">
        <v>99</v>
      </c>
      <c r="BB139" s="127">
        <v>1</v>
      </c>
      <c r="BC139" s="920" t="s">
        <v>12885</v>
      </c>
      <c r="BD139" s="1495">
        <f>IF(OR(ISBLANK(AW112),BD112=0),0,AW139*BB113)</f>
        <v>0</v>
      </c>
      <c r="BE139" s="101" cm="1">
        <f t="array" ref="BE139">IFERROR(_xlfn.LET(_xlpm.k,UPPER(TRIM(BA139)),_xlpm.r,_xlfn.XLOOKUP(_xlpm.k,UPPER(TRIM(AW149:BF149)),AW150:BF150,_xlfn.XLOOKUP(_xlpm.k,UPPER(TRIM(AW151:BF151)),AW152:BF152)),_xlpm.r*AZ139*BB139*BB113*IF(ISBLANK(AW139),1,AW139)),0)</f>
        <v>1.26E-2</v>
      </c>
      <c r="BF139" s="1475" t="str">
        <f>_xlfn.LET(_xlpm.unite,SUBSTITUTE(TRIM(BA139)," (s)",""),_xlpm.val,BE139,_xlpm.estVol,COUNTIF(AZ149:BF149,_xlpm.unite)+COUNTIF(AZ151:BF151,_xlpm.unite)&gt;0,_xlpm.estPoids,COUNTIF(AW149:AY149,_xlpm.unite)+COUNTIF(AW151:AY151,_xlpm.unite)&gt;0,IF(_xlpm.estVol,IF(ROUND(_xlpm.val,3)&gt;=1,ROUND(_xlpm.val,3)&amp;" L",MAX(1,ROUND(_xlpm.val*100,0))&amp;" cl"),IF(_xlpm.estPoids,IF(ROUND(_xlpm.val,3)&gt;=1,ROUND(_xlpm.val,3)&amp;" Kg",MAX(1,ROUND(_xlpm.val*1000,0))&amp;" g"),"")))</f>
        <v>13 g</v>
      </c>
      <c r="BH139" s="104"/>
      <c r="BI139" s="32"/>
      <c r="BJ139" s="33"/>
      <c r="BK139" s="32"/>
      <c r="BL139" s="34"/>
      <c r="BM139" s="92"/>
      <c r="BN139" s="108"/>
      <c r="BO139" s="94"/>
      <c r="BP139" s="95"/>
      <c r="BQ139" s="105"/>
      <c r="BR139" s="5101"/>
      <c r="BS139" s="920"/>
      <c r="BT139" s="1495"/>
      <c r="BU139" s="101"/>
      <c r="BV139" s="1475"/>
      <c r="BX139" s="104"/>
      <c r="BY139" s="32"/>
      <c r="BZ139" s="33"/>
      <c r="CA139" s="32"/>
      <c r="CB139" s="34"/>
      <c r="CC139" s="92"/>
      <c r="CD139" s="108"/>
      <c r="CE139" s="94"/>
      <c r="CF139" s="95"/>
      <c r="CG139" s="105"/>
      <c r="CH139" s="5101"/>
      <c r="CI139" s="920"/>
      <c r="CJ139" s="1495"/>
      <c r="CK139" s="101"/>
      <c r="CL139" s="1475"/>
      <c r="CN139" s="104"/>
      <c r="CO139" s="32"/>
      <c r="CP139" s="33"/>
      <c r="CQ139" s="32"/>
      <c r="CR139" s="34"/>
      <c r="CS139" s="92"/>
      <c r="CT139" s="108"/>
      <c r="CU139" s="94"/>
      <c r="CV139" s="95"/>
      <c r="CW139" s="105"/>
      <c r="CX139" s="5101"/>
      <c r="CY139" s="920"/>
      <c r="CZ139" s="1495"/>
      <c r="DA139" s="101"/>
      <c r="DB139" s="1475"/>
      <c r="DC139" s="5109"/>
      <c r="DD139" s="5086"/>
      <c r="DF139" s="3">
        <v>1</v>
      </c>
      <c r="EY139" s="96" t="s">
        <v>147</v>
      </c>
      <c r="EZ139" s="96" t="s">
        <v>148</v>
      </c>
      <c r="FA139" s="109" t="s">
        <v>1379</v>
      </c>
      <c r="FB139" s="109" t="s">
        <v>1341</v>
      </c>
      <c r="FC139" s="109" t="s">
        <v>1342</v>
      </c>
    </row>
    <row r="140" spans="2:159" ht="21" customHeight="1">
      <c r="B140" s="952" t="str">
        <f t="shared" si="35"/>
        <v>►</v>
      </c>
      <c r="C140" s="993" cm="1">
        <f t="array" ref="C140">SUMPRODUCT(LEN(D140:J140))</f>
        <v>0</v>
      </c>
      <c r="D140" s="167"/>
      <c r="E140" s="172"/>
      <c r="F140" s="172"/>
      <c r="G140" s="172"/>
      <c r="H140" s="172"/>
      <c r="I140" s="172"/>
      <c r="J140" s="173"/>
      <c r="K140" s="442" t="s">
        <v>22</v>
      </c>
      <c r="L140" s="104" t="str">
        <f t="shared" si="32"/>
        <v>►</v>
      </c>
      <c r="M140" s="32" t="str">
        <f>M114</f>
        <v>P PRESSÉ DE BOUDIN NOIR | | Auteur &gt; Guy KRENZE - Eric GODDYN - Arnaud NICOLAS - CEPROC 2002</v>
      </c>
      <c r="N140" s="33">
        <f>N114</f>
        <v>20</v>
      </c>
      <c r="O140" s="32" t="str">
        <f>O114</f>
        <v>pressés de boudin</v>
      </c>
      <c r="P140" s="34" t="str">
        <f>P114</f>
        <v>Recette mère ► le Boudin en 4 déclinaisons</v>
      </c>
      <c r="Q140" s="92"/>
      <c r="R140" s="108"/>
      <c r="S140" s="94" t="str">
        <f t="shared" si="29"/>
        <v/>
      </c>
      <c r="T140" s="95"/>
      <c r="U140" s="126"/>
      <c r="V140" s="127">
        <v>1</v>
      </c>
      <c r="W140" s="920"/>
      <c r="X140" s="1495">
        <f>IF(OR(ISBLANK(Q112),X112=0),0,Q140*V113)</f>
        <v>0</v>
      </c>
      <c r="Y140" s="101" cm="1">
        <f t="array" ref="Y140">IFERROR(_xlfn.LET(_xlpm.k,UPPER(TRIM(U140)),_xlpm.r,_xlfn.XLOOKUP(_xlpm.k,UPPER(TRIM(Q149:Z149)),Q150:Z150,_xlfn.XLOOKUP(_xlpm.k,UPPER(TRIM(Q151:Z151)),Q152:Z152)),_xlpm.r*T140*V140*V113*IF(ISBLANK(Q140),1,Q140)),0)</f>
        <v>0</v>
      </c>
      <c r="Z140" s="1476" t="str">
        <f>_xlfn.LET(_xlpm.unite,SUBSTITUTE(TRIM(U140)," (s)",""),_xlpm.val,Y140,_xlpm.estVol,COUNTIF(T149:Z149,_xlpm.unite)+COUNTIF(T151:Z151,_xlpm.unite)&gt;0,_xlpm.estPoids,COUNTIF(Q149:S149,_xlpm.unite)+COUNTIF(Q151:S151,_xlpm.unite)&gt;0,IF(_xlpm.estVol,IF(ROUND(_xlpm.val,3)&gt;=1,ROUND(_xlpm.val,3)&amp;" L",MAX(1,ROUND(_xlpm.val*100,0))&amp;" cl"),IF(_xlpm.estPoids,IF(ROUND(_xlpm.val,3)&gt;=1,ROUND(_xlpm.val,3)&amp;" Kg",MAX(1,ROUND(_xlpm.val*1000,0))&amp;" g"),"")))</f>
        <v/>
      </c>
      <c r="AB140" s="104" t="str">
        <f t="shared" si="33"/>
        <v>►</v>
      </c>
      <c r="AC140" s="32" t="str">
        <f>AC114</f>
        <v>P PRESSED BLACK PUDDING TERRINE | |  Author &gt; Guy KRENZE - Eric GODDYN - Arnaud NICOLAS - CEPROC 2002</v>
      </c>
      <c r="AD140" s="33">
        <f>AD114</f>
        <v>20</v>
      </c>
      <c r="AE140" s="32" t="str">
        <f>AE114</f>
        <v>pressés de boudin</v>
      </c>
      <c r="AF140" s="34" t="str">
        <f>AF114</f>
        <v>Master recipe ► Black pudding in 4 variations</v>
      </c>
      <c r="AG140" s="92"/>
      <c r="AH140" s="108"/>
      <c r="AI140" s="94" t="str">
        <f t="shared" si="30"/>
        <v/>
      </c>
      <c r="AJ140" s="95"/>
      <c r="AK140" s="126"/>
      <c r="AL140" s="127">
        <v>1</v>
      </c>
      <c r="AM140" s="920"/>
      <c r="AN140" s="1495">
        <f>IF(OR(ISBLANK(AG112),AN112=0),0,AG140*AL113)</f>
        <v>0</v>
      </c>
      <c r="AO140" s="101" cm="1">
        <f t="array" ref="AO140">IFERROR(_xlfn.LET(_xlpm.k,UPPER(TRIM(AK140)),_xlpm.r,_xlfn.XLOOKUP(_xlpm.k,UPPER(TRIM(AG149:AP149)),AG150:AP150,_xlfn.XLOOKUP(_xlpm.k,UPPER(TRIM(AG151:AP151)),AG152:AP152)),_xlpm.r*AJ140*AL140*AL113*IF(ISBLANK(AG140),1,AG140)),0)</f>
        <v>0</v>
      </c>
      <c r="AP140" s="1476" t="str">
        <f>_xlfn.LET(_xlpm.unite,SUBSTITUTE(TRIM(AK140)," (s)",""),_xlpm.val,AO140,_xlpm.estVol,COUNTIF(AJ149:AP149,_xlpm.unite)+COUNTIF(AJ151:AP151,_xlpm.unite)&gt;0,_xlpm.estPoids,COUNTIF(AG149:AI149,_xlpm.unite)+COUNTIF(AG151:AI151,_xlpm.unite)&gt;0,IF(_xlpm.estVol,IF(ROUND(_xlpm.val,3)&gt;=1,ROUND(_xlpm.val,3)&amp;" L",MAX(1,ROUND(_xlpm.val*100,0))&amp;" cl"),IF(_xlpm.estPoids,IF(ROUND(_xlpm.val,3)&gt;=1,ROUND(_xlpm.val,3)&amp;" Kg",MAX(1,ROUND(_xlpm.val*1000,0))&amp;" g"),"")))</f>
        <v/>
      </c>
      <c r="AR140" s="104" t="str">
        <f t="shared" si="34"/>
        <v>►</v>
      </c>
      <c r="AS140" s="32" t="str">
        <f>AS114</f>
        <v>P PRENSADO DE MORCILLA (TERRINA) | | Autor &gt; Guy KRENZE - Eric GODDYN - Arnaud NICOLAS - CEPROC 2002</v>
      </c>
      <c r="AT140" s="33">
        <f>AT114</f>
        <v>20</v>
      </c>
      <c r="AU140" s="32" t="str">
        <f>AU114</f>
        <v>pressés de boudin</v>
      </c>
      <c r="AV140" s="34" t="str">
        <f>AV114</f>
        <v>Receta madre ► Morcilla en 4 versiones</v>
      </c>
      <c r="AW140" s="92"/>
      <c r="AX140" s="108"/>
      <c r="AY140" s="94" t="str">
        <f t="shared" si="31"/>
        <v/>
      </c>
      <c r="AZ140" s="95"/>
      <c r="BA140" s="126"/>
      <c r="BB140" s="127">
        <v>1</v>
      </c>
      <c r="BC140" s="920"/>
      <c r="BD140" s="1495">
        <f>IF(OR(ISBLANK(AW112),BD112=0),0,AW140*BB113)</f>
        <v>0</v>
      </c>
      <c r="BE140" s="101" cm="1">
        <f t="array" ref="BE140">IFERROR(_xlfn.LET(_xlpm.k,UPPER(TRIM(BA140)),_xlpm.r,_xlfn.XLOOKUP(_xlpm.k,UPPER(TRIM(AW149:BF149)),AW150:BF150,_xlfn.XLOOKUP(_xlpm.k,UPPER(TRIM(AW151:BF151)),AW152:BF152)),_xlpm.r*AZ140*BB140*BB113*IF(ISBLANK(AW140),1,AW140)),0)</f>
        <v>0</v>
      </c>
      <c r="BF140" s="1476" t="str">
        <f>_xlfn.LET(_xlpm.unite,SUBSTITUTE(TRIM(BA140)," (s)",""),_xlpm.val,BE140,_xlpm.estVol,COUNTIF(AZ149:BF149,_xlpm.unite)+COUNTIF(AZ151:BF151,_xlpm.unite)&gt;0,_xlpm.estPoids,COUNTIF(AW149:AY149,_xlpm.unite)+COUNTIF(AW151:AY151,_xlpm.unite)&gt;0,IF(_xlpm.estVol,IF(ROUND(_xlpm.val,3)&gt;=1,ROUND(_xlpm.val,3)&amp;" L",MAX(1,ROUND(_xlpm.val*100,0))&amp;" cl"),IF(_xlpm.estPoids,IF(ROUND(_xlpm.val,3)&gt;=1,ROUND(_xlpm.val,3)&amp;" Kg",MAX(1,ROUND(_xlpm.val*1000,0))&amp;" g"),"")))</f>
        <v/>
      </c>
      <c r="BH140" s="104"/>
      <c r="BI140" s="32"/>
      <c r="BJ140" s="33"/>
      <c r="BK140" s="32"/>
      <c r="BL140" s="34"/>
      <c r="BM140" s="92"/>
      <c r="BN140" s="108"/>
      <c r="BO140" s="94"/>
      <c r="BP140" s="95"/>
      <c r="BQ140" s="105"/>
      <c r="BR140" s="5101"/>
      <c r="BS140" s="920"/>
      <c r="BT140" s="1495"/>
      <c r="BU140" s="101"/>
      <c r="BV140" s="1475"/>
      <c r="BX140" s="104"/>
      <c r="BY140" s="32"/>
      <c r="BZ140" s="33"/>
      <c r="CA140" s="32"/>
      <c r="CB140" s="34"/>
      <c r="CC140" s="92"/>
      <c r="CD140" s="108"/>
      <c r="CE140" s="94"/>
      <c r="CF140" s="95"/>
      <c r="CG140" s="105"/>
      <c r="CH140" s="5101"/>
      <c r="CI140" s="920"/>
      <c r="CJ140" s="1495"/>
      <c r="CK140" s="101"/>
      <c r="CL140" s="1475"/>
      <c r="CN140" s="104"/>
      <c r="CO140" s="32"/>
      <c r="CP140" s="33"/>
      <c r="CQ140" s="32"/>
      <c r="CR140" s="34"/>
      <c r="CS140" s="92"/>
      <c r="CT140" s="108"/>
      <c r="CU140" s="94"/>
      <c r="CV140" s="95"/>
      <c r="CW140" s="105"/>
      <c r="CX140" s="5101"/>
      <c r="CY140" s="920"/>
      <c r="CZ140" s="1495"/>
      <c r="DA140" s="101"/>
      <c r="DB140" s="1475"/>
      <c r="DC140" s="5109"/>
      <c r="DD140" s="5086"/>
      <c r="DF140" s="3">
        <v>1</v>
      </c>
      <c r="EY140" s="914">
        <v>0.01</v>
      </c>
      <c r="EZ140" s="914">
        <v>1E-3</v>
      </c>
      <c r="FA140" s="914">
        <v>0.25</v>
      </c>
      <c r="FB140" s="914">
        <v>0.5</v>
      </c>
      <c r="FC140" s="914">
        <v>0.33300000000000002</v>
      </c>
    </row>
    <row r="141" spans="2:159" ht="21" customHeight="1">
      <c r="B141" s="952" t="str">
        <f t="shared" si="35"/>
        <v>A</v>
      </c>
      <c r="C141" s="993" cm="1">
        <f t="array" ref="C141">SUMPRODUCT(LEN(D141:J141))</f>
        <v>0</v>
      </c>
      <c r="D141" s="167"/>
      <c r="E141" s="172"/>
      <c r="F141" s="172"/>
      <c r="G141" s="172"/>
      <c r="H141" s="172"/>
      <c r="I141" s="172"/>
      <c r="J141" s="173"/>
      <c r="K141" s="442"/>
      <c r="L141" s="104" t="str">
        <f t="shared" si="32"/>
        <v>A</v>
      </c>
      <c r="M141" s="32" t="str">
        <f>M114</f>
        <v>P PRESSÉ DE BOUDIN NOIR | | Auteur &gt; Guy KRENZE - Eric GODDYN - Arnaud NICOLAS - CEPROC 2002</v>
      </c>
      <c r="N141" s="33">
        <f>N114</f>
        <v>20</v>
      </c>
      <c r="O141" s="32" t="str">
        <f>O114</f>
        <v>pressés de boudin</v>
      </c>
      <c r="P141" s="34" t="str">
        <f>P114</f>
        <v>Recette mère ► le Boudin en 4 déclinaisons</v>
      </c>
      <c r="Q141" s="92"/>
      <c r="R141" s="108"/>
      <c r="S141" s="94" t="str">
        <f t="shared" si="29"/>
        <v/>
      </c>
      <c r="T141" s="95"/>
      <c r="U141" s="126"/>
      <c r="V141" s="127">
        <v>1</v>
      </c>
      <c r="W141" s="920" t="s">
        <v>12888</v>
      </c>
      <c r="X141" s="1495">
        <f>IF(OR(ISBLANK(Q112),X112=0),0,Q141*V113)</f>
        <v>0</v>
      </c>
      <c r="Y141" s="101" cm="1">
        <f t="array" ref="Y141">IFERROR(_xlfn.LET(_xlpm.k,UPPER(TRIM(U141)),_xlpm.r,_xlfn.XLOOKUP(_xlpm.k,UPPER(TRIM(Q149:Z149)),Q150:Z150,_xlfn.XLOOKUP(_xlpm.k,UPPER(TRIM(Q151:Z151)),Q152:Z152)),_xlpm.r*T141*V141*V113*IF(ISBLANK(Q141),1,Q141)),0)</f>
        <v>0</v>
      </c>
      <c r="Z141" s="1475" t="str">
        <f>_xlfn.LET(_xlpm.unite,SUBSTITUTE(TRIM(U141)," (s)",""),_xlpm.val,Y141,_xlpm.estVol,COUNTIF(T149:Z149,_xlpm.unite)+COUNTIF(T151:Z151,_xlpm.unite)&gt;0,_xlpm.estPoids,COUNTIF(Q149:S149,_xlpm.unite)+COUNTIF(Q151:S151,_xlpm.unite)&gt;0,IF(_xlpm.estVol,IF(ROUND(_xlpm.val,3)&gt;=1,ROUND(_xlpm.val,3)&amp;" L",MAX(1,ROUND(_xlpm.val*100,0))&amp;" cl"),IF(_xlpm.estPoids,IF(ROUND(_xlpm.val,3)&gt;=1,ROUND(_xlpm.val,3)&amp;" Kg",MAX(1,ROUND(_xlpm.val*1000,0))&amp;" g"),"")))</f>
        <v/>
      </c>
      <c r="AB141" s="104" t="str">
        <f t="shared" si="33"/>
        <v>A</v>
      </c>
      <c r="AC141" s="32" t="str">
        <f>AC114</f>
        <v>P PRESSED BLACK PUDDING TERRINE | |  Author &gt; Guy KRENZE - Eric GODDYN - Arnaud NICOLAS - CEPROC 2002</v>
      </c>
      <c r="AD141" s="33">
        <f>AD114</f>
        <v>20</v>
      </c>
      <c r="AE141" s="32" t="str">
        <f>AE114</f>
        <v>pressés de boudin</v>
      </c>
      <c r="AF141" s="34" t="str">
        <f>AF114</f>
        <v>Master recipe ► Black pudding in 4 variations</v>
      </c>
      <c r="AG141" s="92"/>
      <c r="AH141" s="108"/>
      <c r="AI141" s="94" t="str">
        <f t="shared" si="30"/>
        <v/>
      </c>
      <c r="AJ141" s="95"/>
      <c r="AK141" s="126"/>
      <c r="AL141" s="127">
        <v>1</v>
      </c>
      <c r="AM141" s="920" t="s">
        <v>12888</v>
      </c>
      <c r="AN141" s="1495">
        <f>IF(OR(ISBLANK(AG112),AN112=0),0,AG141*AL113)</f>
        <v>0</v>
      </c>
      <c r="AO141" s="101" cm="1">
        <f t="array" ref="AO141">IFERROR(_xlfn.LET(_xlpm.k,UPPER(TRIM(AK141)),_xlpm.r,_xlfn.XLOOKUP(_xlpm.k,UPPER(TRIM(AG149:AP149)),AG150:AP150,_xlfn.XLOOKUP(_xlpm.k,UPPER(TRIM(AG151:AP151)),AG152:AP152)),_xlpm.r*AJ141*AL141*AL113*IF(ISBLANK(AG141),1,AG141)),0)</f>
        <v>0</v>
      </c>
      <c r="AP141" s="1475" t="str">
        <f>_xlfn.LET(_xlpm.unite,SUBSTITUTE(TRIM(AK141)," (s)",""),_xlpm.val,AO141,_xlpm.estVol,COUNTIF(AJ149:AP149,_xlpm.unite)+COUNTIF(AJ151:AP151,_xlpm.unite)&gt;0,_xlpm.estPoids,COUNTIF(AG149:AI149,_xlpm.unite)+COUNTIF(AG151:AI151,_xlpm.unite)&gt;0,IF(_xlpm.estVol,IF(ROUND(_xlpm.val,3)&gt;=1,ROUND(_xlpm.val,3)&amp;" L",MAX(1,ROUND(_xlpm.val*100,0))&amp;" cl"),IF(_xlpm.estPoids,IF(ROUND(_xlpm.val,3)&gt;=1,ROUND(_xlpm.val,3)&amp;" Kg",MAX(1,ROUND(_xlpm.val*1000,0))&amp;" g"),"")))</f>
        <v/>
      </c>
      <c r="AR141" s="104" t="str">
        <f t="shared" si="34"/>
        <v>A</v>
      </c>
      <c r="AS141" s="32" t="str">
        <f>AS114</f>
        <v>P PRENSADO DE MORCILLA (TERRINA) | | Autor &gt; Guy KRENZE - Eric GODDYN - Arnaud NICOLAS - CEPROC 2002</v>
      </c>
      <c r="AT141" s="33">
        <f>AT114</f>
        <v>20</v>
      </c>
      <c r="AU141" s="32" t="str">
        <f>AU114</f>
        <v>pressés de boudin</v>
      </c>
      <c r="AV141" s="34" t="str">
        <f>AV114</f>
        <v>Receta madre ► Morcilla en 4 versiones</v>
      </c>
      <c r="AW141" s="92"/>
      <c r="AX141" s="108"/>
      <c r="AY141" s="94" t="str">
        <f t="shared" si="31"/>
        <v/>
      </c>
      <c r="AZ141" s="95"/>
      <c r="BA141" s="126"/>
      <c r="BB141" s="127">
        <v>1</v>
      </c>
      <c r="BC141" s="920" t="s">
        <v>12888</v>
      </c>
      <c r="BD141" s="1495">
        <f>IF(OR(ISBLANK(AW112),BD112=0),0,AW141*BB113)</f>
        <v>0</v>
      </c>
      <c r="BE141" s="101" cm="1">
        <f t="array" ref="BE141">IFERROR(_xlfn.LET(_xlpm.k,UPPER(TRIM(BA141)),_xlpm.r,_xlfn.XLOOKUP(_xlpm.k,UPPER(TRIM(AW149:BF149)),AW150:BF150,_xlfn.XLOOKUP(_xlpm.k,UPPER(TRIM(AW151:BF151)),AW152:BF152)),_xlpm.r*AZ141*BB141*BB113*IF(ISBLANK(AW141),1,AW141)),0)</f>
        <v>0</v>
      </c>
      <c r="BF141" s="1475" t="str">
        <f>_xlfn.LET(_xlpm.unite,SUBSTITUTE(TRIM(BA141)," (s)",""),_xlpm.val,BE141,_xlpm.estVol,COUNTIF(AZ149:BF149,_xlpm.unite)+COUNTIF(AZ151:BF151,_xlpm.unite)&gt;0,_xlpm.estPoids,COUNTIF(AW149:AY149,_xlpm.unite)+COUNTIF(AW151:AY151,_xlpm.unite)&gt;0,IF(_xlpm.estVol,IF(ROUND(_xlpm.val,3)&gt;=1,ROUND(_xlpm.val,3)&amp;" L",MAX(1,ROUND(_xlpm.val*100,0))&amp;" cl"),IF(_xlpm.estPoids,IF(ROUND(_xlpm.val,3)&gt;=1,ROUND(_xlpm.val,3)&amp;" Kg",MAX(1,ROUND(_xlpm.val*1000,0))&amp;" g"),"")))</f>
        <v/>
      </c>
      <c r="BH141" s="104"/>
      <c r="BI141" s="32"/>
      <c r="BJ141" s="33"/>
      <c r="BK141" s="32"/>
      <c r="BL141" s="34"/>
      <c r="BM141" s="92"/>
      <c r="BN141" s="108"/>
      <c r="BO141" s="94"/>
      <c r="BP141" s="95"/>
      <c r="BQ141" s="105"/>
      <c r="BR141" s="5101"/>
      <c r="BS141" s="920"/>
      <c r="BT141" s="1495"/>
      <c r="BU141" s="101"/>
      <c r="BV141" s="1475"/>
      <c r="BX141" s="104"/>
      <c r="BY141" s="32"/>
      <c r="BZ141" s="33"/>
      <c r="CA141" s="32"/>
      <c r="CB141" s="34"/>
      <c r="CC141" s="92"/>
      <c r="CD141" s="108"/>
      <c r="CE141" s="94"/>
      <c r="CF141" s="95"/>
      <c r="CG141" s="105"/>
      <c r="CH141" s="5101"/>
      <c r="CI141" s="920"/>
      <c r="CJ141" s="1495"/>
      <c r="CK141" s="101"/>
      <c r="CL141" s="1475"/>
      <c r="CN141" s="104"/>
      <c r="CO141" s="32"/>
      <c r="CP141" s="33"/>
      <c r="CQ141" s="32"/>
      <c r="CR141" s="34"/>
      <c r="CS141" s="92"/>
      <c r="CT141" s="108"/>
      <c r="CU141" s="94"/>
      <c r="CV141" s="95"/>
      <c r="CW141" s="105"/>
      <c r="CX141" s="5101"/>
      <c r="CY141" s="920"/>
      <c r="CZ141" s="1495"/>
      <c r="DA141" s="101"/>
      <c r="DB141" s="1475"/>
      <c r="DC141" s="5109"/>
      <c r="DD141" s="5086"/>
      <c r="DF141" s="3">
        <v>1</v>
      </c>
      <c r="EY141" s="109" t="s">
        <v>1355</v>
      </c>
      <c r="EZ141" s="109" t="s">
        <v>1353</v>
      </c>
      <c r="FA141" s="149" t="s">
        <v>1351</v>
      </c>
      <c r="FB141" s="123" t="s">
        <v>1350</v>
      </c>
      <c r="FC141" s="1061" t="s">
        <v>1833</v>
      </c>
    </row>
    <row r="142" spans="2:159" ht="21" customHeight="1">
      <c r="B142" s="952" t="str">
        <f t="shared" si="35"/>
        <v>A</v>
      </c>
      <c r="C142" s="993" cm="1">
        <f t="array" ref="C142">SUMPRODUCT(LEN(D142:J142))</f>
        <v>0</v>
      </c>
      <c r="D142" s="167"/>
      <c r="E142" s="172"/>
      <c r="F142" s="172"/>
      <c r="G142" s="172"/>
      <c r="H142" s="172"/>
      <c r="I142" s="172"/>
      <c r="J142" s="173"/>
      <c r="K142" s="442"/>
      <c r="L142" s="104" t="str">
        <f t="shared" si="32"/>
        <v>A</v>
      </c>
      <c r="M142" s="32" t="str">
        <f>M114</f>
        <v>P PRESSÉ DE BOUDIN NOIR | | Auteur &gt; Guy KRENZE - Eric GODDYN - Arnaud NICOLAS - CEPROC 2002</v>
      </c>
      <c r="N142" s="33">
        <f>N114</f>
        <v>20</v>
      </c>
      <c r="O142" s="32" t="str">
        <f>O114</f>
        <v>pressés de boudin</v>
      </c>
      <c r="P142" s="34" t="str">
        <f>P114</f>
        <v>Recette mère ► le Boudin en 4 déclinaisons</v>
      </c>
      <c r="Q142" s="92"/>
      <c r="R142" s="108"/>
      <c r="S142" s="94" t="str">
        <f t="shared" si="29"/>
        <v/>
      </c>
      <c r="T142" s="95">
        <v>250</v>
      </c>
      <c r="U142" s="105" t="s">
        <v>99</v>
      </c>
      <c r="V142" s="127">
        <v>1</v>
      </c>
      <c r="W142" s="920" t="s">
        <v>12831</v>
      </c>
      <c r="X142" s="1495">
        <f>IF(OR(ISBLANK(Q112),X112=0),0,Q142*V113)</f>
        <v>0</v>
      </c>
      <c r="Y142" s="101" cm="1">
        <f t="array" ref="Y142">IFERROR(_xlfn.LET(_xlpm.k,UPPER(TRIM(U142)),_xlpm.r,_xlfn.XLOOKUP(_xlpm.k,UPPER(TRIM(Q149:Z149)),Q150:Z150,_xlfn.XLOOKUP(_xlpm.k,UPPER(TRIM(Q151:Z151)),Q152:Z152)),_xlpm.r*T142*V142*V113*IF(ISBLANK(Q142),1,Q142)),0)</f>
        <v>0.25</v>
      </c>
      <c r="Z142" s="1476" t="str">
        <f>_xlfn.LET(_xlpm.unite,SUBSTITUTE(TRIM(U142)," (s)",""),_xlpm.val,Y142,_xlpm.estVol,COUNTIF(T149:Z149,_xlpm.unite)+COUNTIF(T151:Z151,_xlpm.unite)&gt;0,_xlpm.estPoids,COUNTIF(Q149:S149,_xlpm.unite)+COUNTIF(Q151:S151,_xlpm.unite)&gt;0,IF(_xlpm.estVol,IF(ROUND(_xlpm.val,3)&gt;=1,ROUND(_xlpm.val,3)&amp;" L",MAX(1,ROUND(_xlpm.val*100,0))&amp;" cl"),IF(_xlpm.estPoids,IF(ROUND(_xlpm.val,3)&gt;=1,ROUND(_xlpm.val,3)&amp;" Kg",MAX(1,ROUND(_xlpm.val*1000,0))&amp;" g"),"")))</f>
        <v>250 g</v>
      </c>
      <c r="AB142" s="104" t="str">
        <f t="shared" si="33"/>
        <v>A</v>
      </c>
      <c r="AC142" s="32" t="str">
        <f>AC114</f>
        <v>P PRESSED BLACK PUDDING TERRINE | |  Author &gt; Guy KRENZE - Eric GODDYN - Arnaud NICOLAS - CEPROC 2002</v>
      </c>
      <c r="AD142" s="33">
        <f>AD114</f>
        <v>20</v>
      </c>
      <c r="AE142" s="32" t="str">
        <f>AE114</f>
        <v>pressés de boudin</v>
      </c>
      <c r="AF142" s="34" t="str">
        <f>AF114</f>
        <v>Master recipe ► Black pudding in 4 variations</v>
      </c>
      <c r="AG142" s="92"/>
      <c r="AH142" s="108"/>
      <c r="AI142" s="94" t="str">
        <f t="shared" si="30"/>
        <v/>
      </c>
      <c r="AJ142" s="95">
        <v>250</v>
      </c>
      <c r="AK142" s="105" t="s">
        <v>99</v>
      </c>
      <c r="AL142" s="127">
        <v>1</v>
      </c>
      <c r="AM142" s="920" t="s">
        <v>12831</v>
      </c>
      <c r="AN142" s="1495">
        <f>IF(OR(ISBLANK(AG112),AN112=0),0,AG142*AL113)</f>
        <v>0</v>
      </c>
      <c r="AO142" s="101" cm="1">
        <f t="array" ref="AO142">IFERROR(_xlfn.LET(_xlpm.k,UPPER(TRIM(AK142)),_xlpm.r,_xlfn.XLOOKUP(_xlpm.k,UPPER(TRIM(AG149:AP149)),AG150:AP150,_xlfn.XLOOKUP(_xlpm.k,UPPER(TRIM(AG151:AP151)),AG152:AP152)),_xlpm.r*AJ142*AL142*AL113*IF(ISBLANK(AG142),1,AG142)),0)</f>
        <v>0.45</v>
      </c>
      <c r="AP142" s="1476" t="str">
        <f>_xlfn.LET(_xlpm.unite,SUBSTITUTE(TRIM(AK142)," (s)",""),_xlpm.val,AO142,_xlpm.estVol,COUNTIF(AJ149:AP149,_xlpm.unite)+COUNTIF(AJ151:AP151,_xlpm.unite)&gt;0,_xlpm.estPoids,COUNTIF(AG149:AI149,_xlpm.unite)+COUNTIF(AG151:AI151,_xlpm.unite)&gt;0,IF(_xlpm.estVol,IF(ROUND(_xlpm.val,3)&gt;=1,ROUND(_xlpm.val,3)&amp;" L",MAX(1,ROUND(_xlpm.val*100,0))&amp;" cl"),IF(_xlpm.estPoids,IF(ROUND(_xlpm.val,3)&gt;=1,ROUND(_xlpm.val,3)&amp;" Kg",MAX(1,ROUND(_xlpm.val*1000,0))&amp;" g"),"")))</f>
        <v>450 g</v>
      </c>
      <c r="AR142" s="104" t="str">
        <f t="shared" si="34"/>
        <v>A</v>
      </c>
      <c r="AS142" s="32" t="str">
        <f>AS114</f>
        <v>P PRENSADO DE MORCILLA (TERRINA) | | Autor &gt; Guy KRENZE - Eric GODDYN - Arnaud NICOLAS - CEPROC 2002</v>
      </c>
      <c r="AT142" s="33">
        <f>AT114</f>
        <v>20</v>
      </c>
      <c r="AU142" s="32" t="str">
        <f>AU114</f>
        <v>pressés de boudin</v>
      </c>
      <c r="AV142" s="34" t="str">
        <f>AV114</f>
        <v>Receta madre ► Morcilla en 4 versiones</v>
      </c>
      <c r="AW142" s="92"/>
      <c r="AX142" s="108"/>
      <c r="AY142" s="94" t="str">
        <f t="shared" si="31"/>
        <v/>
      </c>
      <c r="AZ142" s="95">
        <v>250</v>
      </c>
      <c r="BA142" s="105" t="s">
        <v>99</v>
      </c>
      <c r="BB142" s="127">
        <v>1</v>
      </c>
      <c r="BC142" s="920" t="s">
        <v>12831</v>
      </c>
      <c r="BD142" s="1495">
        <f>IF(OR(ISBLANK(AW112),BD112=0),0,AW142*BB113)</f>
        <v>0</v>
      </c>
      <c r="BE142" s="101" cm="1">
        <f t="array" ref="BE142">IFERROR(_xlfn.LET(_xlpm.k,UPPER(TRIM(BA142)),_xlpm.r,_xlfn.XLOOKUP(_xlpm.k,UPPER(TRIM(AW149:BF149)),AW150:BF150,_xlfn.XLOOKUP(_xlpm.k,UPPER(TRIM(AW151:BF151)),AW152:BF152)),_xlpm.r*AZ142*BB142*BB113*IF(ISBLANK(AW142),1,AW142)),0)</f>
        <v>0.45</v>
      </c>
      <c r="BF142" s="1476" t="str">
        <f>_xlfn.LET(_xlpm.unite,SUBSTITUTE(TRIM(BA142)," (s)",""),_xlpm.val,BE142,_xlpm.estVol,COUNTIF(AZ149:BF149,_xlpm.unite)+COUNTIF(AZ151:BF151,_xlpm.unite)&gt;0,_xlpm.estPoids,COUNTIF(AW149:AY149,_xlpm.unite)+COUNTIF(AW151:AY151,_xlpm.unite)&gt;0,IF(_xlpm.estVol,IF(ROUND(_xlpm.val,3)&gt;=1,ROUND(_xlpm.val,3)&amp;" L",MAX(1,ROUND(_xlpm.val*100,0))&amp;" cl"),IF(_xlpm.estPoids,IF(ROUND(_xlpm.val,3)&gt;=1,ROUND(_xlpm.val,3)&amp;" Kg",MAX(1,ROUND(_xlpm.val*1000,0))&amp;" g"),"")))</f>
        <v>450 g</v>
      </c>
      <c r="BH142" s="104"/>
      <c r="BI142" s="32"/>
      <c r="BJ142" s="33"/>
      <c r="BK142" s="32"/>
      <c r="BL142" s="34"/>
      <c r="BM142" s="92"/>
      <c r="BN142" s="108"/>
      <c r="BO142" s="94"/>
      <c r="BP142" s="95"/>
      <c r="BQ142" s="105"/>
      <c r="BR142" s="5101"/>
      <c r="BS142" s="920"/>
      <c r="BT142" s="1495"/>
      <c r="BU142" s="101"/>
      <c r="BV142" s="1475"/>
      <c r="BX142" s="104"/>
      <c r="BY142" s="32"/>
      <c r="BZ142" s="33"/>
      <c r="CA142" s="32"/>
      <c r="CB142" s="34"/>
      <c r="CC142" s="92"/>
      <c r="CD142" s="108"/>
      <c r="CE142" s="94"/>
      <c r="CF142" s="95"/>
      <c r="CG142" s="105"/>
      <c r="CH142" s="5101"/>
      <c r="CI142" s="920"/>
      <c r="CJ142" s="1495"/>
      <c r="CK142" s="101"/>
      <c r="CL142" s="1475"/>
      <c r="CN142" s="104"/>
      <c r="CO142" s="32"/>
      <c r="CP142" s="33"/>
      <c r="CQ142" s="32"/>
      <c r="CR142" s="34"/>
      <c r="CS142" s="92"/>
      <c r="CT142" s="108"/>
      <c r="CU142" s="94"/>
      <c r="CV142" s="95"/>
      <c r="CW142" s="105"/>
      <c r="CX142" s="5101"/>
      <c r="CY142" s="920"/>
      <c r="CZ142" s="1495"/>
      <c r="DA142" s="101"/>
      <c r="DB142" s="1475"/>
      <c r="DC142" s="5109"/>
      <c r="DD142" s="5086"/>
      <c r="DF142" s="3">
        <v>1</v>
      </c>
      <c r="EY142" s="914">
        <v>0.22500000000000001</v>
      </c>
      <c r="EZ142" s="914">
        <v>1.4999999999999999E-2</v>
      </c>
      <c r="FA142" s="914">
        <v>4.9299999999999995E-3</v>
      </c>
      <c r="FB142" s="914">
        <v>0.35</v>
      </c>
      <c r="FC142" s="915">
        <v>0.25</v>
      </c>
    </row>
    <row r="143" spans="2:159" ht="21" customHeight="1">
      <c r="B143" s="952" t="str">
        <f t="shared" si="35"/>
        <v>A</v>
      </c>
      <c r="C143" s="993" cm="1">
        <f t="array" ref="C143">SUMPRODUCT(LEN(D143:J143))</f>
        <v>0</v>
      </c>
      <c r="D143" s="167"/>
      <c r="E143" s="172"/>
      <c r="F143" s="172"/>
      <c r="G143" s="172"/>
      <c r="H143" s="172"/>
      <c r="I143" s="172"/>
      <c r="J143" s="173"/>
      <c r="K143" s="442"/>
      <c r="L143" s="104" t="str">
        <f t="shared" si="32"/>
        <v>A</v>
      </c>
      <c r="M143" s="32" t="str">
        <f>M114</f>
        <v>P PRESSÉ DE BOUDIN NOIR | | Auteur &gt; Guy KRENZE - Eric GODDYN - Arnaud NICOLAS - CEPROC 2002</v>
      </c>
      <c r="N143" s="33">
        <f>N114</f>
        <v>20</v>
      </c>
      <c r="O143" s="32" t="str">
        <f>O114</f>
        <v>pressés de boudin</v>
      </c>
      <c r="P143" s="34" t="str">
        <f>P114</f>
        <v>Recette mère ► le Boudin en 4 déclinaisons</v>
      </c>
      <c r="Q143" s="92"/>
      <c r="R143" s="108"/>
      <c r="S143" s="94" t="str">
        <f t="shared" si="29"/>
        <v/>
      </c>
      <c r="T143" s="95">
        <v>250</v>
      </c>
      <c r="U143" s="105" t="s">
        <v>99</v>
      </c>
      <c r="V143" s="127">
        <v>1</v>
      </c>
      <c r="W143" s="920" t="s">
        <v>12832</v>
      </c>
      <c r="X143" s="1495">
        <f>IF(OR(ISBLANK(Q112),X112=0),0,Q143*V113)</f>
        <v>0</v>
      </c>
      <c r="Y143" s="101" cm="1">
        <f t="array" ref="Y143">IFERROR(_xlfn.LET(_xlpm.k,UPPER(TRIM(U143)),_xlpm.r,_xlfn.XLOOKUP(_xlpm.k,UPPER(TRIM(Q149:Z149)),Q150:Z150,_xlfn.XLOOKUP(_xlpm.k,UPPER(TRIM(Q151:Z151)),Q152:Z152)),_xlpm.r*T143*V143*V113*IF(ISBLANK(Q143),1,Q143)),0)</f>
        <v>0.25</v>
      </c>
      <c r="Z143" s="1475" t="str">
        <f>_xlfn.LET(_xlpm.unite,SUBSTITUTE(TRIM(U143)," (s)",""),_xlpm.val,Y143,_xlpm.estVol,COUNTIF(T149:Z149,_xlpm.unite)+COUNTIF(T151:Z151,_xlpm.unite)&gt;0,_xlpm.estPoids,COUNTIF(Q149:S149,_xlpm.unite)+COUNTIF(Q151:S151,_xlpm.unite)&gt;0,IF(_xlpm.estVol,IF(ROUND(_xlpm.val,3)&gt;=1,ROUND(_xlpm.val,3)&amp;" L",MAX(1,ROUND(_xlpm.val*100,0))&amp;" cl"),IF(_xlpm.estPoids,IF(ROUND(_xlpm.val,3)&gt;=1,ROUND(_xlpm.val,3)&amp;" Kg",MAX(1,ROUND(_xlpm.val*1000,0))&amp;" g"),"")))</f>
        <v>250 g</v>
      </c>
      <c r="AB143" s="104" t="str">
        <f t="shared" si="33"/>
        <v>A</v>
      </c>
      <c r="AC143" s="32" t="str">
        <f>AC114</f>
        <v>P PRESSED BLACK PUDDING TERRINE | |  Author &gt; Guy KRENZE - Eric GODDYN - Arnaud NICOLAS - CEPROC 2002</v>
      </c>
      <c r="AD143" s="33">
        <f>AD114</f>
        <v>20</v>
      </c>
      <c r="AE143" s="32" t="str">
        <f>AE114</f>
        <v>pressés de boudin</v>
      </c>
      <c r="AF143" s="34" t="str">
        <f>AF114</f>
        <v>Master recipe ► Black pudding in 4 variations</v>
      </c>
      <c r="AG143" s="92"/>
      <c r="AH143" s="108"/>
      <c r="AI143" s="94" t="str">
        <f t="shared" si="30"/>
        <v/>
      </c>
      <c r="AJ143" s="95">
        <v>250</v>
      </c>
      <c r="AK143" s="105" t="s">
        <v>99</v>
      </c>
      <c r="AL143" s="127">
        <v>1</v>
      </c>
      <c r="AM143" s="920" t="s">
        <v>12832</v>
      </c>
      <c r="AN143" s="1495">
        <f>IF(OR(ISBLANK(AG112),AN112=0),0,AG143*AL113)</f>
        <v>0</v>
      </c>
      <c r="AO143" s="101" cm="1">
        <f t="array" ref="AO143">IFERROR(_xlfn.LET(_xlpm.k,UPPER(TRIM(AK143)),_xlpm.r,_xlfn.XLOOKUP(_xlpm.k,UPPER(TRIM(AG149:AP149)),AG150:AP150,_xlfn.XLOOKUP(_xlpm.k,UPPER(TRIM(AG151:AP151)),AG152:AP152)),_xlpm.r*AJ143*AL143*AL113*IF(ISBLANK(AG143),1,AG143)),0)</f>
        <v>0.45</v>
      </c>
      <c r="AP143" s="1475" t="str">
        <f>_xlfn.LET(_xlpm.unite,SUBSTITUTE(TRIM(AK143)," (s)",""),_xlpm.val,AO143,_xlpm.estVol,COUNTIF(AJ149:AP149,_xlpm.unite)+COUNTIF(AJ151:AP151,_xlpm.unite)&gt;0,_xlpm.estPoids,COUNTIF(AG149:AI149,_xlpm.unite)+COUNTIF(AG151:AI151,_xlpm.unite)&gt;0,IF(_xlpm.estVol,IF(ROUND(_xlpm.val,3)&gt;=1,ROUND(_xlpm.val,3)&amp;" L",MAX(1,ROUND(_xlpm.val*100,0))&amp;" cl"),IF(_xlpm.estPoids,IF(ROUND(_xlpm.val,3)&gt;=1,ROUND(_xlpm.val,3)&amp;" Kg",MAX(1,ROUND(_xlpm.val*1000,0))&amp;" g"),"")))</f>
        <v>450 g</v>
      </c>
      <c r="AR143" s="104" t="str">
        <f t="shared" si="34"/>
        <v>A</v>
      </c>
      <c r="AS143" s="32" t="str">
        <f>AS114</f>
        <v>P PRENSADO DE MORCILLA (TERRINA) | | Autor &gt; Guy KRENZE - Eric GODDYN - Arnaud NICOLAS - CEPROC 2002</v>
      </c>
      <c r="AT143" s="33">
        <f>AT114</f>
        <v>20</v>
      </c>
      <c r="AU143" s="32" t="str">
        <f>AU114</f>
        <v>pressés de boudin</v>
      </c>
      <c r="AV143" s="34" t="str">
        <f>AV114</f>
        <v>Receta madre ► Morcilla en 4 versiones</v>
      </c>
      <c r="AW143" s="92"/>
      <c r="AX143" s="108"/>
      <c r="AY143" s="94" t="str">
        <f t="shared" si="31"/>
        <v/>
      </c>
      <c r="AZ143" s="95">
        <v>250</v>
      </c>
      <c r="BA143" s="105" t="s">
        <v>99</v>
      </c>
      <c r="BB143" s="127">
        <v>1</v>
      </c>
      <c r="BC143" s="920" t="s">
        <v>12832</v>
      </c>
      <c r="BD143" s="1495">
        <f>IF(OR(ISBLANK(AW112),BD112=0),0,AW143*BB113)</f>
        <v>0</v>
      </c>
      <c r="BE143" s="101" cm="1">
        <f t="array" ref="BE143">IFERROR(_xlfn.LET(_xlpm.k,UPPER(TRIM(BA143)),_xlpm.r,_xlfn.XLOOKUP(_xlpm.k,UPPER(TRIM(AW149:BF149)),AW150:BF150,_xlfn.XLOOKUP(_xlpm.k,UPPER(TRIM(AW151:BF151)),AW152:BF152)),_xlpm.r*AZ143*BB143*BB113*IF(ISBLANK(AW143),1,AW143)),0)</f>
        <v>0.45</v>
      </c>
      <c r="BF143" s="1475" t="str">
        <f>_xlfn.LET(_xlpm.unite,SUBSTITUTE(TRIM(BA143)," (s)",""),_xlpm.val,BE143,_xlpm.estVol,COUNTIF(AZ149:BF149,_xlpm.unite)+COUNTIF(AZ151:BF151,_xlpm.unite)&gt;0,_xlpm.estPoids,COUNTIF(AW149:AY149,_xlpm.unite)+COUNTIF(AW151:AY151,_xlpm.unite)&gt;0,IF(_xlpm.estVol,IF(ROUND(_xlpm.val,3)&gt;=1,ROUND(_xlpm.val,3)&amp;" L",MAX(1,ROUND(_xlpm.val*100,0))&amp;" cl"),IF(_xlpm.estPoids,IF(ROUND(_xlpm.val,3)&gt;=1,ROUND(_xlpm.val,3)&amp;" Kg",MAX(1,ROUND(_xlpm.val*1000,0))&amp;" g"),"")))</f>
        <v>450 g</v>
      </c>
      <c r="BH143" s="104"/>
      <c r="BI143" s="32"/>
      <c r="BJ143" s="33"/>
      <c r="BK143" s="32"/>
      <c r="BL143" s="34"/>
      <c r="BM143" s="92"/>
      <c r="BN143" s="108"/>
      <c r="BO143" s="94"/>
      <c r="BP143" s="95"/>
      <c r="BQ143" s="105"/>
      <c r="BR143" s="5101"/>
      <c r="BS143" s="920"/>
      <c r="BT143" s="1495"/>
      <c r="BU143" s="101"/>
      <c r="BV143" s="1475"/>
      <c r="BX143" s="104"/>
      <c r="BY143" s="32"/>
      <c r="BZ143" s="33"/>
      <c r="CA143" s="32"/>
      <c r="CB143" s="34"/>
      <c r="CC143" s="92"/>
      <c r="CD143" s="108"/>
      <c r="CE143" s="94"/>
      <c r="CF143" s="95"/>
      <c r="CG143" s="105"/>
      <c r="CH143" s="5101"/>
      <c r="CI143" s="920"/>
      <c r="CJ143" s="1495"/>
      <c r="CK143" s="101"/>
      <c r="CL143" s="1475"/>
      <c r="CN143" s="104"/>
      <c r="CO143" s="32"/>
      <c r="CP143" s="33"/>
      <c r="CQ143" s="32"/>
      <c r="CR143" s="34"/>
      <c r="CS143" s="92"/>
      <c r="CT143" s="108"/>
      <c r="CU143" s="94"/>
      <c r="CV143" s="95"/>
      <c r="CW143" s="105"/>
      <c r="CX143" s="5101"/>
      <c r="CY143" s="920"/>
      <c r="CZ143" s="1495"/>
      <c r="DA143" s="101"/>
      <c r="DB143" s="1475"/>
      <c r="DC143" s="5109"/>
      <c r="DD143" s="5086"/>
      <c r="DF143" s="3">
        <v>1</v>
      </c>
      <c r="EY143" s="155"/>
      <c r="EZ143" s="155"/>
      <c r="FA143" s="155"/>
      <c r="FB143" s="155"/>
      <c r="FC143" s="1477"/>
    </row>
    <row r="144" spans="2:159" ht="21" customHeight="1">
      <c r="B144" s="952" t="str">
        <f t="shared" si="35"/>
        <v>A</v>
      </c>
      <c r="C144" s="993" cm="1">
        <f t="array" ref="C144">SUMPRODUCT(LEN(D144:J144))</f>
        <v>0</v>
      </c>
      <c r="D144" s="167"/>
      <c r="E144" s="172"/>
      <c r="F144" s="172"/>
      <c r="G144" s="172"/>
      <c r="H144" s="172"/>
      <c r="I144" s="172"/>
      <c r="J144" s="173"/>
      <c r="K144" s="442"/>
      <c r="L144" s="104" t="str">
        <f t="shared" si="32"/>
        <v>A</v>
      </c>
      <c r="M144" s="32" t="str">
        <f>M114</f>
        <v>P PRESSÉ DE BOUDIN NOIR | | Auteur &gt; Guy KRENZE - Eric GODDYN - Arnaud NICOLAS - CEPROC 2002</v>
      </c>
      <c r="N144" s="33">
        <f>N114</f>
        <v>20</v>
      </c>
      <c r="O144" s="32" t="str">
        <f>O114</f>
        <v>pressés de boudin</v>
      </c>
      <c r="P144" s="34" t="str">
        <f>P114</f>
        <v>Recette mère ► le Boudin en 4 déclinaisons</v>
      </c>
      <c r="Q144" s="92"/>
      <c r="R144" s="108"/>
      <c r="S144" s="94" t="str">
        <f t="shared" si="29"/>
        <v/>
      </c>
      <c r="T144" s="95"/>
      <c r="U144" s="126"/>
      <c r="V144" s="127">
        <v>1</v>
      </c>
      <c r="W144" s="920" t="s">
        <v>12833</v>
      </c>
      <c r="X144" s="1495">
        <f>IF(OR(ISBLANK(Q112),X112=0),0,Q144*V113)</f>
        <v>0</v>
      </c>
      <c r="Y144" s="101" cm="1">
        <f t="array" ref="Y144">IFERROR(_xlfn.LET(_xlpm.k,UPPER(TRIM(U144)),_xlpm.r,_xlfn.XLOOKUP(_xlpm.k,UPPER(TRIM(Q149:Z149)),Q150:Z150,_xlfn.XLOOKUP(_xlpm.k,UPPER(TRIM(Q151:Z151)),Q152:Z152)),_xlpm.r*T144*V144*V113*IF(ISBLANK(Q144),1,Q144)),0)</f>
        <v>0</v>
      </c>
      <c r="Z144" s="1476" t="str">
        <f>_xlfn.LET(_xlpm.unite,SUBSTITUTE(TRIM(U144)," (s)",""),_xlpm.val,Y144,_xlpm.estVol,COUNTIF(T149:Z149,_xlpm.unite)+COUNTIF(T151:Z151,_xlpm.unite)&gt;0,_xlpm.estPoids,COUNTIF(Q149:S149,_xlpm.unite)+COUNTIF(Q151:S151,_xlpm.unite)&gt;0,IF(_xlpm.estVol,IF(ROUND(_xlpm.val,3)&gt;=1,ROUND(_xlpm.val,3)&amp;" L",MAX(1,ROUND(_xlpm.val*100,0))&amp;" cl"),IF(_xlpm.estPoids,IF(ROUND(_xlpm.val,3)&gt;=1,ROUND(_xlpm.val,3)&amp;" Kg",MAX(1,ROUND(_xlpm.val*1000,0))&amp;" g"),"")))</f>
        <v/>
      </c>
      <c r="AB144" s="104" t="str">
        <f t="shared" si="33"/>
        <v>A</v>
      </c>
      <c r="AC144" s="32" t="str">
        <f>AC114</f>
        <v>P PRESSED BLACK PUDDING TERRINE | |  Author &gt; Guy KRENZE - Eric GODDYN - Arnaud NICOLAS - CEPROC 2002</v>
      </c>
      <c r="AD144" s="33">
        <f>AD114</f>
        <v>20</v>
      </c>
      <c r="AE144" s="32" t="str">
        <f>AE114</f>
        <v>pressés de boudin</v>
      </c>
      <c r="AF144" s="34" t="str">
        <f>AF114</f>
        <v>Master recipe ► Black pudding in 4 variations</v>
      </c>
      <c r="AG144" s="92"/>
      <c r="AH144" s="108"/>
      <c r="AI144" s="94" t="str">
        <f t="shared" si="30"/>
        <v/>
      </c>
      <c r="AJ144" s="95"/>
      <c r="AK144" s="126"/>
      <c r="AL144" s="127">
        <v>1</v>
      </c>
      <c r="AM144" s="920" t="s">
        <v>12833</v>
      </c>
      <c r="AN144" s="1495">
        <f>IF(OR(ISBLANK(AG112),AN112=0),0,AG144*AL113)</f>
        <v>0</v>
      </c>
      <c r="AO144" s="101" cm="1">
        <f t="array" ref="AO144">IFERROR(_xlfn.LET(_xlpm.k,UPPER(TRIM(AK144)),_xlpm.r,_xlfn.XLOOKUP(_xlpm.k,UPPER(TRIM(AG149:AP149)),AG150:AP150,_xlfn.XLOOKUP(_xlpm.k,UPPER(TRIM(AG151:AP151)),AG152:AP152)),_xlpm.r*AJ144*AL144*AL113*IF(ISBLANK(AG144),1,AG144)),0)</f>
        <v>0</v>
      </c>
      <c r="AP144" s="1476" t="str">
        <f>_xlfn.LET(_xlpm.unite,SUBSTITUTE(TRIM(AK144)," (s)",""),_xlpm.val,AO144,_xlpm.estVol,COUNTIF(AJ149:AP149,_xlpm.unite)+COUNTIF(AJ151:AP151,_xlpm.unite)&gt;0,_xlpm.estPoids,COUNTIF(AG149:AI149,_xlpm.unite)+COUNTIF(AG151:AI151,_xlpm.unite)&gt;0,IF(_xlpm.estVol,IF(ROUND(_xlpm.val,3)&gt;=1,ROUND(_xlpm.val,3)&amp;" L",MAX(1,ROUND(_xlpm.val*100,0))&amp;" cl"),IF(_xlpm.estPoids,IF(ROUND(_xlpm.val,3)&gt;=1,ROUND(_xlpm.val,3)&amp;" Kg",MAX(1,ROUND(_xlpm.val*1000,0))&amp;" g"),"")))</f>
        <v/>
      </c>
      <c r="AR144" s="104" t="str">
        <f t="shared" si="34"/>
        <v>A</v>
      </c>
      <c r="AS144" s="32" t="str">
        <f>AS114</f>
        <v>P PRENSADO DE MORCILLA (TERRINA) | | Autor &gt; Guy KRENZE - Eric GODDYN - Arnaud NICOLAS - CEPROC 2002</v>
      </c>
      <c r="AT144" s="33">
        <f>AT114</f>
        <v>20</v>
      </c>
      <c r="AU144" s="32" t="str">
        <f>AU114</f>
        <v>pressés de boudin</v>
      </c>
      <c r="AV144" s="34" t="str">
        <f>AV114</f>
        <v>Receta madre ► Morcilla en 4 versiones</v>
      </c>
      <c r="AW144" s="92"/>
      <c r="AX144" s="108"/>
      <c r="AY144" s="94" t="str">
        <f t="shared" si="31"/>
        <v/>
      </c>
      <c r="AZ144" s="95"/>
      <c r="BA144" s="126"/>
      <c r="BB144" s="127">
        <v>1</v>
      </c>
      <c r="BC144" s="920" t="s">
        <v>12833</v>
      </c>
      <c r="BD144" s="1495">
        <f>IF(OR(ISBLANK(AW112),BD112=0),0,AW144*BB113)</f>
        <v>0</v>
      </c>
      <c r="BE144" s="101" cm="1">
        <f t="array" ref="BE144">IFERROR(_xlfn.LET(_xlpm.k,UPPER(TRIM(BA144)),_xlpm.r,_xlfn.XLOOKUP(_xlpm.k,UPPER(TRIM(AW149:BF149)),AW150:BF150,_xlfn.XLOOKUP(_xlpm.k,UPPER(TRIM(AW151:BF151)),AW152:BF152)),_xlpm.r*AZ144*BB144*BB113*IF(ISBLANK(AW144),1,AW144)),0)</f>
        <v>0</v>
      </c>
      <c r="BF144" s="1476" t="str">
        <f>_xlfn.LET(_xlpm.unite,SUBSTITUTE(TRIM(BA144)," (s)",""),_xlpm.val,BE144,_xlpm.estVol,COUNTIF(AZ149:BF149,_xlpm.unite)+COUNTIF(AZ151:BF151,_xlpm.unite)&gt;0,_xlpm.estPoids,COUNTIF(AW149:AY149,_xlpm.unite)+COUNTIF(AW151:AY151,_xlpm.unite)&gt;0,IF(_xlpm.estVol,IF(ROUND(_xlpm.val,3)&gt;=1,ROUND(_xlpm.val,3)&amp;" L",MAX(1,ROUND(_xlpm.val*100,0))&amp;" cl"),IF(_xlpm.estPoids,IF(ROUND(_xlpm.val,3)&gt;=1,ROUND(_xlpm.val,3)&amp;" Kg",MAX(1,ROUND(_xlpm.val*1000,0))&amp;" g"),"")))</f>
        <v/>
      </c>
      <c r="BH144" s="104"/>
      <c r="BI144" s="32"/>
      <c r="BJ144" s="33"/>
      <c r="BK144" s="32"/>
      <c r="BL144" s="34"/>
      <c r="BM144" s="92"/>
      <c r="BN144" s="108"/>
      <c r="BO144" s="94"/>
      <c r="BP144" s="95"/>
      <c r="BQ144" s="105"/>
      <c r="BR144" s="5101"/>
      <c r="BS144" s="920"/>
      <c r="BT144" s="1495"/>
      <c r="BU144" s="101"/>
      <c r="BV144" s="1475"/>
      <c r="BX144" s="104"/>
      <c r="BY144" s="32"/>
      <c r="BZ144" s="33"/>
      <c r="CA144" s="32"/>
      <c r="CB144" s="34"/>
      <c r="CC144" s="92"/>
      <c r="CD144" s="108"/>
      <c r="CE144" s="94"/>
      <c r="CF144" s="95"/>
      <c r="CG144" s="105"/>
      <c r="CH144" s="5101"/>
      <c r="CI144" s="920"/>
      <c r="CJ144" s="1495"/>
      <c r="CK144" s="101"/>
      <c r="CL144" s="1475"/>
      <c r="CN144" s="104"/>
      <c r="CO144" s="32"/>
      <c r="CP144" s="33"/>
      <c r="CQ144" s="32"/>
      <c r="CR144" s="34"/>
      <c r="CS144" s="92"/>
      <c r="CT144" s="108"/>
      <c r="CU144" s="94"/>
      <c r="CV144" s="95"/>
      <c r="CW144" s="105"/>
      <c r="CX144" s="5101"/>
      <c r="CY144" s="920"/>
      <c r="CZ144" s="1495"/>
      <c r="DA144" s="101"/>
      <c r="DB144" s="1475"/>
      <c r="DC144" s="5109"/>
      <c r="DD144" s="5086"/>
      <c r="DF144" s="3">
        <v>1</v>
      </c>
      <c r="EY144" s="172"/>
      <c r="EZ144" s="172"/>
      <c r="FA144" s="172"/>
      <c r="FB144" s="905" t="s">
        <v>908</v>
      </c>
      <c r="FC144" s="1484" t="s">
        <v>3276</v>
      </c>
    </row>
    <row r="145" spans="2:159" ht="21" customHeight="1">
      <c r="B145" s="952" t="str">
        <f t="shared" si="35"/>
        <v>►</v>
      </c>
      <c r="C145" s="993" cm="1">
        <f t="array" ref="C145">SUMPRODUCT(LEN(D145:J145))</f>
        <v>0</v>
      </c>
      <c r="D145" s="167"/>
      <c r="E145" s="172"/>
      <c r="F145" s="172"/>
      <c r="G145" s="172"/>
      <c r="H145" s="172"/>
      <c r="I145" s="172"/>
      <c r="J145" s="173"/>
      <c r="K145" s="442"/>
      <c r="L145" s="104" t="str">
        <f t="shared" si="32"/>
        <v>►</v>
      </c>
      <c r="M145" s="32" t="str">
        <f>M114</f>
        <v>P PRESSÉ DE BOUDIN NOIR | | Auteur &gt; Guy KRENZE - Eric GODDYN - Arnaud NICOLAS - CEPROC 2002</v>
      </c>
      <c r="N145" s="33">
        <f>N114</f>
        <v>20</v>
      </c>
      <c r="O145" s="32" t="str">
        <f>O114</f>
        <v>pressés de boudin</v>
      </c>
      <c r="P145" s="34" t="str">
        <f>P114</f>
        <v>Recette mère ► le Boudin en 4 déclinaisons</v>
      </c>
      <c r="Q145" s="92"/>
      <c r="R145" s="108"/>
      <c r="S145" s="94" t="str">
        <f t="shared" si="29"/>
        <v/>
      </c>
      <c r="T145" s="95"/>
      <c r="U145" s="126"/>
      <c r="V145" s="127">
        <v>1</v>
      </c>
      <c r="W145" s="920"/>
      <c r="X145" s="1495">
        <f>IF(OR(ISBLANK(Q112),X112=0),0,Q145*V113)</f>
        <v>0</v>
      </c>
      <c r="Y145" s="101" cm="1">
        <f t="array" ref="Y145">IFERROR(_xlfn.LET(_xlpm.k,UPPER(TRIM(U145)),_xlpm.r,_xlfn.XLOOKUP(_xlpm.k,UPPER(TRIM(Q149:Z149)),Q150:Z150,_xlfn.XLOOKUP(_xlpm.k,UPPER(TRIM(Q151:Z151)),Q152:Z152)),_xlpm.r*T145*V145*V113*IF(ISBLANK(Q145),1,Q145)),0)</f>
        <v>0</v>
      </c>
      <c r="Z145" s="1475" t="str">
        <f>_xlfn.LET(_xlpm.unite,SUBSTITUTE(TRIM(U145)," (s)",""),_xlpm.val,Y145,_xlpm.estVol,COUNTIF(T149:Z149,_xlpm.unite)+COUNTIF(T151:Z151,_xlpm.unite)&gt;0,_xlpm.estPoids,COUNTIF(Q149:S149,_xlpm.unite)+COUNTIF(Q151:S151,_xlpm.unite)&gt;0,IF(_xlpm.estVol,IF(ROUND(_xlpm.val,3)&gt;=1,ROUND(_xlpm.val,3)&amp;" L",MAX(1,ROUND(_xlpm.val*100,0))&amp;" cl"),IF(_xlpm.estPoids,IF(ROUND(_xlpm.val,3)&gt;=1,ROUND(_xlpm.val,3)&amp;" Kg",MAX(1,ROUND(_xlpm.val*1000,0))&amp;" g"),"")))</f>
        <v/>
      </c>
      <c r="AB145" s="104" t="str">
        <f t="shared" si="33"/>
        <v>►</v>
      </c>
      <c r="AC145" s="32" t="str">
        <f>AC114</f>
        <v>P PRESSED BLACK PUDDING TERRINE | |  Author &gt; Guy KRENZE - Eric GODDYN - Arnaud NICOLAS - CEPROC 2002</v>
      </c>
      <c r="AD145" s="33">
        <f>AD114</f>
        <v>20</v>
      </c>
      <c r="AE145" s="32" t="str">
        <f>AE114</f>
        <v>pressés de boudin</v>
      </c>
      <c r="AF145" s="34" t="str">
        <f>AF114</f>
        <v>Master recipe ► Black pudding in 4 variations</v>
      </c>
      <c r="AG145" s="92"/>
      <c r="AH145" s="108"/>
      <c r="AI145" s="94" t="str">
        <f t="shared" si="30"/>
        <v/>
      </c>
      <c r="AJ145" s="95"/>
      <c r="AK145" s="126"/>
      <c r="AL145" s="127">
        <v>1</v>
      </c>
      <c r="AM145" s="920"/>
      <c r="AN145" s="1495">
        <f>IF(OR(ISBLANK(AG112),AN112=0),0,AG145*AL113)</f>
        <v>0</v>
      </c>
      <c r="AO145" s="101" cm="1">
        <f t="array" ref="AO145">IFERROR(_xlfn.LET(_xlpm.k,UPPER(TRIM(AK145)),_xlpm.r,_xlfn.XLOOKUP(_xlpm.k,UPPER(TRIM(AG149:AP149)),AG150:AP150,_xlfn.XLOOKUP(_xlpm.k,UPPER(TRIM(AG151:AP151)),AG152:AP152)),_xlpm.r*AJ145*AL145*AL113*IF(ISBLANK(AG145),1,AG145)),0)</f>
        <v>0</v>
      </c>
      <c r="AP145" s="1475" t="str">
        <f>_xlfn.LET(_xlpm.unite,SUBSTITUTE(TRIM(AK145)," (s)",""),_xlpm.val,AO145,_xlpm.estVol,COUNTIF(AJ149:AP149,_xlpm.unite)+COUNTIF(AJ151:AP151,_xlpm.unite)&gt;0,_xlpm.estPoids,COUNTIF(AG149:AI149,_xlpm.unite)+COUNTIF(AG151:AI151,_xlpm.unite)&gt;0,IF(_xlpm.estVol,IF(ROUND(_xlpm.val,3)&gt;=1,ROUND(_xlpm.val,3)&amp;" L",MAX(1,ROUND(_xlpm.val*100,0))&amp;" cl"),IF(_xlpm.estPoids,IF(ROUND(_xlpm.val,3)&gt;=1,ROUND(_xlpm.val,3)&amp;" Kg",MAX(1,ROUND(_xlpm.val*1000,0))&amp;" g"),"")))</f>
        <v/>
      </c>
      <c r="AR145" s="104" t="str">
        <f t="shared" si="34"/>
        <v>►</v>
      </c>
      <c r="AS145" s="32" t="str">
        <f>AS114</f>
        <v>P PRENSADO DE MORCILLA (TERRINA) | | Autor &gt; Guy KRENZE - Eric GODDYN - Arnaud NICOLAS - CEPROC 2002</v>
      </c>
      <c r="AT145" s="33">
        <f>AT114</f>
        <v>20</v>
      </c>
      <c r="AU145" s="32" t="str">
        <f>AU114</f>
        <v>pressés de boudin</v>
      </c>
      <c r="AV145" s="34" t="str">
        <f>AV114</f>
        <v>Receta madre ► Morcilla en 4 versiones</v>
      </c>
      <c r="AW145" s="92"/>
      <c r="AX145" s="108"/>
      <c r="AY145" s="94" t="str">
        <f t="shared" si="31"/>
        <v/>
      </c>
      <c r="AZ145" s="95"/>
      <c r="BA145" s="126"/>
      <c r="BB145" s="127">
        <v>1</v>
      </c>
      <c r="BC145" s="920"/>
      <c r="BD145" s="1495">
        <f>IF(OR(ISBLANK(AW112),BD112=0),0,AW145*BB113)</f>
        <v>0</v>
      </c>
      <c r="BE145" s="101" cm="1">
        <f t="array" ref="BE145">IFERROR(_xlfn.LET(_xlpm.k,UPPER(TRIM(BA145)),_xlpm.r,_xlfn.XLOOKUP(_xlpm.k,UPPER(TRIM(AW149:BF149)),AW150:BF150,_xlfn.XLOOKUP(_xlpm.k,UPPER(TRIM(AW151:BF151)),AW152:BF152)),_xlpm.r*AZ145*BB145*BB113*IF(ISBLANK(AW145),1,AW145)),0)</f>
        <v>0</v>
      </c>
      <c r="BF145" s="1475" t="str">
        <f>_xlfn.LET(_xlpm.unite,SUBSTITUTE(TRIM(BA145)," (s)",""),_xlpm.val,BE145,_xlpm.estVol,COUNTIF(AZ149:BF149,_xlpm.unite)+COUNTIF(AZ151:BF151,_xlpm.unite)&gt;0,_xlpm.estPoids,COUNTIF(AW149:AY149,_xlpm.unite)+COUNTIF(AW151:AY151,_xlpm.unite)&gt;0,IF(_xlpm.estVol,IF(ROUND(_xlpm.val,3)&gt;=1,ROUND(_xlpm.val,3)&amp;" L",MAX(1,ROUND(_xlpm.val*100,0))&amp;" cl"),IF(_xlpm.estPoids,IF(ROUND(_xlpm.val,3)&gt;=1,ROUND(_xlpm.val,3)&amp;" Kg",MAX(1,ROUND(_xlpm.val*1000,0))&amp;" g"),"")))</f>
        <v/>
      </c>
      <c r="BH145" s="104"/>
      <c r="BI145" s="32"/>
      <c r="BJ145" s="33"/>
      <c r="BK145" s="32"/>
      <c r="BL145" s="34"/>
      <c r="BM145" s="92"/>
      <c r="BN145" s="108"/>
      <c r="BO145" s="94"/>
      <c r="BP145" s="95"/>
      <c r="BQ145" s="105"/>
      <c r="BR145" s="5101"/>
      <c r="BS145" s="920"/>
      <c r="BT145" s="1495"/>
      <c r="BU145" s="101"/>
      <c r="BV145" s="1475"/>
      <c r="BX145" s="104"/>
      <c r="BY145" s="32"/>
      <c r="BZ145" s="33"/>
      <c r="CA145" s="32"/>
      <c r="CB145" s="34"/>
      <c r="CC145" s="92"/>
      <c r="CD145" s="108"/>
      <c r="CE145" s="94"/>
      <c r="CF145" s="95"/>
      <c r="CG145" s="105"/>
      <c r="CH145" s="5101"/>
      <c r="CI145" s="920"/>
      <c r="CJ145" s="1495"/>
      <c r="CK145" s="101"/>
      <c r="CL145" s="1475"/>
      <c r="CN145" s="104"/>
      <c r="CO145" s="32"/>
      <c r="CP145" s="33"/>
      <c r="CQ145" s="32"/>
      <c r="CR145" s="34"/>
      <c r="CS145" s="92"/>
      <c r="CT145" s="108"/>
      <c r="CU145" s="94"/>
      <c r="CV145" s="95"/>
      <c r="CW145" s="105"/>
      <c r="CX145" s="5101"/>
      <c r="CY145" s="920"/>
      <c r="CZ145" s="1495"/>
      <c r="DA145" s="101"/>
      <c r="DB145" s="1475"/>
      <c r="DC145" s="5109"/>
      <c r="DD145" s="5086"/>
      <c r="DF145" s="3">
        <v>1</v>
      </c>
      <c r="EY145" s="172"/>
      <c r="EZ145" s="172"/>
      <c r="FA145" s="172"/>
      <c r="FB145" s="1474" t="s">
        <v>909</v>
      </c>
      <c r="FC145" s="1482" t="s">
        <v>668</v>
      </c>
    </row>
    <row r="146" spans="2:159" ht="21" customHeight="1">
      <c r="B146" s="952" t="str">
        <f t="shared" si="35"/>
        <v>►</v>
      </c>
      <c r="C146" s="993" cm="1">
        <f t="array" ref="C146">SUMPRODUCT(LEN(D146:J146))</f>
        <v>0</v>
      </c>
      <c r="D146" s="167"/>
      <c r="E146" s="172"/>
      <c r="F146" s="172"/>
      <c r="G146" s="172"/>
      <c r="H146" s="172"/>
      <c r="I146" s="172"/>
      <c r="J146" s="173"/>
      <c r="K146" s="442"/>
      <c r="L146" s="104" t="str">
        <f t="shared" si="32"/>
        <v>►</v>
      </c>
      <c r="M146" s="32" t="str">
        <f>M114</f>
        <v>P PRESSÉ DE BOUDIN NOIR | | Auteur &gt; Guy KRENZE - Eric GODDYN - Arnaud NICOLAS - CEPROC 2002</v>
      </c>
      <c r="N146" s="33">
        <f>N114</f>
        <v>20</v>
      </c>
      <c r="O146" s="32" t="str">
        <f>O114</f>
        <v>pressés de boudin</v>
      </c>
      <c r="P146" s="34" t="str">
        <f>P114</f>
        <v>Recette mère ► le Boudin en 4 déclinaisons</v>
      </c>
      <c r="Q146" s="92"/>
      <c r="R146" s="108"/>
      <c r="S146" s="94" t="str">
        <f t="shared" si="29"/>
        <v/>
      </c>
      <c r="T146" s="95"/>
      <c r="U146" s="126"/>
      <c r="V146" s="127">
        <v>1</v>
      </c>
      <c r="W146" s="920"/>
      <c r="X146" s="1495">
        <f>IF(OR(ISBLANK(Q112),X112=0),0,Q146*V113)</f>
        <v>0</v>
      </c>
      <c r="Y146" s="101" cm="1">
        <f t="array" ref="Y146">IFERROR(_xlfn.LET(_xlpm.k,UPPER(TRIM(U146)),_xlpm.r,_xlfn.XLOOKUP(_xlpm.k,UPPER(TRIM(Q149:Z149)),Q150:Z150,_xlfn.XLOOKUP(_xlpm.k,UPPER(TRIM(Q151:Z151)),Q152:Z152)),_xlpm.r*T146*V146*V113*IF(ISBLANK(Q146),1,Q146)),0)</f>
        <v>0</v>
      </c>
      <c r="Z146" s="1476" t="str">
        <f>_xlfn.LET(_xlpm.unite,SUBSTITUTE(TRIM(U146)," (s)",""),_xlpm.val,Y146,_xlpm.estVol,COUNTIF(T149:Z149,_xlpm.unite)+COUNTIF(T151:Z151,_xlpm.unite)&gt;0,_xlpm.estPoids,COUNTIF(Q149:S149,_xlpm.unite)+COUNTIF(Q151:S151,_xlpm.unite)&gt;0,IF(_xlpm.estVol,IF(ROUND(_xlpm.val,3)&gt;=1,ROUND(_xlpm.val,3)&amp;" L",MAX(1,ROUND(_xlpm.val*100,0))&amp;" cl"),IF(_xlpm.estPoids,IF(ROUND(_xlpm.val,3)&gt;=1,ROUND(_xlpm.val,3)&amp;" Kg",MAX(1,ROUND(_xlpm.val*1000,0))&amp;" g"),"")))</f>
        <v/>
      </c>
      <c r="AB146" s="104" t="str">
        <f t="shared" si="33"/>
        <v>►</v>
      </c>
      <c r="AC146" s="32" t="str">
        <f>AC114</f>
        <v>P PRESSED BLACK PUDDING TERRINE | |  Author &gt; Guy KRENZE - Eric GODDYN - Arnaud NICOLAS - CEPROC 2002</v>
      </c>
      <c r="AD146" s="33">
        <f>AD114</f>
        <v>20</v>
      </c>
      <c r="AE146" s="32" t="str">
        <f>AE114</f>
        <v>pressés de boudin</v>
      </c>
      <c r="AF146" s="34" t="str">
        <f>AF114</f>
        <v>Master recipe ► Black pudding in 4 variations</v>
      </c>
      <c r="AG146" s="92"/>
      <c r="AH146" s="108"/>
      <c r="AI146" s="94" t="str">
        <f t="shared" si="30"/>
        <v/>
      </c>
      <c r="AJ146" s="95"/>
      <c r="AK146" s="126"/>
      <c r="AL146" s="127">
        <v>1</v>
      </c>
      <c r="AM146" s="920"/>
      <c r="AN146" s="1495">
        <f>IF(OR(ISBLANK(AG112),AN112=0),0,AG146*AL113)</f>
        <v>0</v>
      </c>
      <c r="AO146" s="101" cm="1">
        <f t="array" ref="AO146">IFERROR(_xlfn.LET(_xlpm.k,UPPER(TRIM(AK146)),_xlpm.r,_xlfn.XLOOKUP(_xlpm.k,UPPER(TRIM(AG149:AP149)),AG150:AP150,_xlfn.XLOOKUP(_xlpm.k,UPPER(TRIM(AG151:AP151)),AG152:AP152)),_xlpm.r*AJ146*AL146*AL113*IF(ISBLANK(AG146),1,AG146)),0)</f>
        <v>0</v>
      </c>
      <c r="AP146" s="1476" t="str">
        <f>_xlfn.LET(_xlpm.unite,SUBSTITUTE(TRIM(AK146)," (s)",""),_xlpm.val,AO146,_xlpm.estVol,COUNTIF(AJ149:AP149,_xlpm.unite)+COUNTIF(AJ151:AP151,_xlpm.unite)&gt;0,_xlpm.estPoids,COUNTIF(AG149:AI149,_xlpm.unite)+COUNTIF(AG151:AI151,_xlpm.unite)&gt;0,IF(_xlpm.estVol,IF(ROUND(_xlpm.val,3)&gt;=1,ROUND(_xlpm.val,3)&amp;" L",MAX(1,ROUND(_xlpm.val*100,0))&amp;" cl"),IF(_xlpm.estPoids,IF(ROUND(_xlpm.val,3)&gt;=1,ROUND(_xlpm.val,3)&amp;" Kg",MAX(1,ROUND(_xlpm.val*1000,0))&amp;" g"),"")))</f>
        <v/>
      </c>
      <c r="AR146" s="104" t="str">
        <f t="shared" si="34"/>
        <v>►</v>
      </c>
      <c r="AS146" s="32" t="str">
        <f>AS114</f>
        <v>P PRENSADO DE MORCILLA (TERRINA) | | Autor &gt; Guy KRENZE - Eric GODDYN - Arnaud NICOLAS - CEPROC 2002</v>
      </c>
      <c r="AT146" s="33">
        <f>AT114</f>
        <v>20</v>
      </c>
      <c r="AU146" s="32" t="str">
        <f>AU114</f>
        <v>pressés de boudin</v>
      </c>
      <c r="AV146" s="34" t="str">
        <f>AV114</f>
        <v>Receta madre ► Morcilla en 4 versiones</v>
      </c>
      <c r="AW146" s="92"/>
      <c r="AX146" s="108"/>
      <c r="AY146" s="94" t="str">
        <f t="shared" si="31"/>
        <v/>
      </c>
      <c r="AZ146" s="95"/>
      <c r="BA146" s="126"/>
      <c r="BB146" s="127">
        <v>1</v>
      </c>
      <c r="BC146" s="920"/>
      <c r="BD146" s="1495">
        <f>IF(OR(ISBLANK(AW112),BD112=0),0,AW146*BB113)</f>
        <v>0</v>
      </c>
      <c r="BE146" s="101" cm="1">
        <f t="array" ref="BE146">IFERROR(_xlfn.LET(_xlpm.k,UPPER(TRIM(BA146)),_xlpm.r,_xlfn.XLOOKUP(_xlpm.k,UPPER(TRIM(AW149:BF149)),AW150:BF150,_xlfn.XLOOKUP(_xlpm.k,UPPER(TRIM(AW151:BF151)),AW152:BF152)),_xlpm.r*AZ146*BB146*BB113*IF(ISBLANK(AW146),1,AW146)),0)</f>
        <v>0</v>
      </c>
      <c r="BF146" s="1476" t="str">
        <f>_xlfn.LET(_xlpm.unite,SUBSTITUTE(TRIM(BA146)," (s)",""),_xlpm.val,BE146,_xlpm.estVol,COUNTIF(AZ149:BF149,_xlpm.unite)+COUNTIF(AZ151:BF151,_xlpm.unite)&gt;0,_xlpm.estPoids,COUNTIF(AW149:AY149,_xlpm.unite)+COUNTIF(AW151:AY151,_xlpm.unite)&gt;0,IF(_xlpm.estVol,IF(ROUND(_xlpm.val,3)&gt;=1,ROUND(_xlpm.val,3)&amp;" L",MAX(1,ROUND(_xlpm.val*100,0))&amp;" cl"),IF(_xlpm.estPoids,IF(ROUND(_xlpm.val,3)&gt;=1,ROUND(_xlpm.val,3)&amp;" Kg",MAX(1,ROUND(_xlpm.val*1000,0))&amp;" g"),"")))</f>
        <v/>
      </c>
      <c r="BH146" s="104"/>
      <c r="BI146" s="32"/>
      <c r="BJ146" s="33"/>
      <c r="BK146" s="32"/>
      <c r="BL146" s="34"/>
      <c r="BM146" s="92"/>
      <c r="BN146" s="108"/>
      <c r="BO146" s="94"/>
      <c r="BP146" s="95"/>
      <c r="BQ146" s="105"/>
      <c r="BR146" s="5101"/>
      <c r="BS146" s="920"/>
      <c r="BT146" s="1495"/>
      <c r="BU146" s="101"/>
      <c r="BV146" s="1475"/>
      <c r="BX146" s="104"/>
      <c r="BY146" s="32"/>
      <c r="BZ146" s="33"/>
      <c r="CA146" s="32"/>
      <c r="CB146" s="34"/>
      <c r="CC146" s="92"/>
      <c r="CD146" s="108"/>
      <c r="CE146" s="94"/>
      <c r="CF146" s="95"/>
      <c r="CG146" s="105"/>
      <c r="CH146" s="5101"/>
      <c r="CI146" s="920"/>
      <c r="CJ146" s="1495"/>
      <c r="CK146" s="101"/>
      <c r="CL146" s="1475"/>
      <c r="CN146" s="104"/>
      <c r="CO146" s="32"/>
      <c r="CP146" s="33"/>
      <c r="CQ146" s="32"/>
      <c r="CR146" s="34"/>
      <c r="CS146" s="92"/>
      <c r="CT146" s="108"/>
      <c r="CU146" s="94"/>
      <c r="CV146" s="95"/>
      <c r="CW146" s="105"/>
      <c r="CX146" s="5101"/>
      <c r="CY146" s="920"/>
      <c r="CZ146" s="1495"/>
      <c r="DA146" s="101"/>
      <c r="DB146" s="1475"/>
      <c r="DC146" s="5109"/>
      <c r="DD146" s="5069"/>
      <c r="DF146" s="3">
        <v>1</v>
      </c>
      <c r="EY146" s="172"/>
      <c r="EZ146" s="172"/>
      <c r="FA146" s="172"/>
      <c r="FB146" s="172"/>
      <c r="FC146" s="555"/>
    </row>
    <row r="147" spans="2:159" ht="21" customHeight="1">
      <c r="B147" s="952" t="str">
        <f t="shared" si="35"/>
        <v>►</v>
      </c>
      <c r="C147" s="993" cm="1">
        <f t="array" ref="C147">SUMPRODUCT(LEN(D147:J147))</f>
        <v>0</v>
      </c>
      <c r="D147" s="167"/>
      <c r="E147" s="172"/>
      <c r="F147" s="172"/>
      <c r="G147" s="172"/>
      <c r="H147" s="172"/>
      <c r="I147" s="172"/>
      <c r="J147" s="173"/>
      <c r="K147" s="442"/>
      <c r="L147" s="104" t="str">
        <f t="shared" si="32"/>
        <v>►</v>
      </c>
      <c r="M147" s="32" t="str">
        <f>M114</f>
        <v>P PRESSÉ DE BOUDIN NOIR | | Auteur &gt; Guy KRENZE - Eric GODDYN - Arnaud NICOLAS - CEPROC 2002</v>
      </c>
      <c r="N147" s="33">
        <f>N114</f>
        <v>20</v>
      </c>
      <c r="O147" s="32" t="str">
        <f>O114</f>
        <v>pressés de boudin</v>
      </c>
      <c r="P147" s="34" t="str">
        <f>P114</f>
        <v>Recette mère ► le Boudin en 4 déclinaisons</v>
      </c>
      <c r="Q147" s="92"/>
      <c r="R147" s="108"/>
      <c r="S147" s="94" t="str">
        <f t="shared" si="29"/>
        <v/>
      </c>
      <c r="T147" s="95"/>
      <c r="U147" s="126"/>
      <c r="V147" s="127">
        <v>1</v>
      </c>
      <c r="W147" s="920"/>
      <c r="X147" s="1495">
        <f>IF(OR(ISBLANK(Q112),X112=0),0,Q147*V113)</f>
        <v>0</v>
      </c>
      <c r="Y147" s="101" cm="1">
        <f t="array" ref="Y147">IFERROR(_xlfn.LET(_xlpm.k,UPPER(TRIM(U147)),_xlpm.r,_xlfn.XLOOKUP(_xlpm.k,UPPER(TRIM(Q149:Z149)),Q150:Z150,_xlfn.XLOOKUP(_xlpm.k,UPPER(TRIM(Q151:Z151)),Q152:Z152)),_xlpm.r*T147*V147*V113*IF(ISBLANK(Q147),1,Q147)),0)</f>
        <v>0</v>
      </c>
      <c r="Z147" s="1475" t="str">
        <f>_xlfn.LET(_xlpm.unite,SUBSTITUTE(TRIM(U147)," (s)",""),_xlpm.val,Y147,_xlpm.estVol,COUNTIF(T149:Z149,_xlpm.unite)+COUNTIF(T151:Z151,_xlpm.unite)&gt;0,_xlpm.estPoids,COUNTIF(Q149:S149,_xlpm.unite)+COUNTIF(Q151:S151,_xlpm.unite)&gt;0,IF(_xlpm.estVol,IF(ROUND(_xlpm.val,3)&gt;=1,ROUND(_xlpm.val,3)&amp;" L",MAX(1,ROUND(_xlpm.val*100,0))&amp;" cl"),IF(_xlpm.estPoids,IF(ROUND(_xlpm.val,3)&gt;=1,ROUND(_xlpm.val,3)&amp;" Kg",MAX(1,ROUND(_xlpm.val*1000,0))&amp;" g"),"")))</f>
        <v/>
      </c>
      <c r="AB147" s="104" t="str">
        <f t="shared" si="33"/>
        <v>►</v>
      </c>
      <c r="AC147" s="32" t="str">
        <f>AC114</f>
        <v>P PRESSED BLACK PUDDING TERRINE | |  Author &gt; Guy KRENZE - Eric GODDYN - Arnaud NICOLAS - CEPROC 2002</v>
      </c>
      <c r="AD147" s="33">
        <f>AD114</f>
        <v>20</v>
      </c>
      <c r="AE147" s="32" t="str">
        <f>AE114</f>
        <v>pressés de boudin</v>
      </c>
      <c r="AF147" s="34" t="str">
        <f>AF114</f>
        <v>Master recipe ► Black pudding in 4 variations</v>
      </c>
      <c r="AG147" s="92"/>
      <c r="AH147" s="108"/>
      <c r="AI147" s="94" t="str">
        <f t="shared" si="30"/>
        <v/>
      </c>
      <c r="AJ147" s="95"/>
      <c r="AK147" s="126"/>
      <c r="AL147" s="127">
        <v>1</v>
      </c>
      <c r="AM147" s="920"/>
      <c r="AN147" s="1495">
        <f>IF(OR(ISBLANK(AG112),AN112=0),0,AG147*AL113)</f>
        <v>0</v>
      </c>
      <c r="AO147" s="101" cm="1">
        <f t="array" ref="AO147">IFERROR(_xlfn.LET(_xlpm.k,UPPER(TRIM(AK147)),_xlpm.r,_xlfn.XLOOKUP(_xlpm.k,UPPER(TRIM(AG149:AP149)),AG150:AP150,_xlfn.XLOOKUP(_xlpm.k,UPPER(TRIM(AG151:AP151)),AG152:AP152)),_xlpm.r*AJ147*AL147*AL113*IF(ISBLANK(AG147),1,AG147)),0)</f>
        <v>0</v>
      </c>
      <c r="AP147" s="1475" t="str">
        <f>_xlfn.LET(_xlpm.unite,SUBSTITUTE(TRIM(AK147)," (s)",""),_xlpm.val,AO147,_xlpm.estVol,COUNTIF(AJ149:AP149,_xlpm.unite)+COUNTIF(AJ151:AP151,_xlpm.unite)&gt;0,_xlpm.estPoids,COUNTIF(AG149:AI149,_xlpm.unite)+COUNTIF(AG151:AI151,_xlpm.unite)&gt;0,IF(_xlpm.estVol,IF(ROUND(_xlpm.val,3)&gt;=1,ROUND(_xlpm.val,3)&amp;" L",MAX(1,ROUND(_xlpm.val*100,0))&amp;" cl"),IF(_xlpm.estPoids,IF(ROUND(_xlpm.val,3)&gt;=1,ROUND(_xlpm.val,3)&amp;" Kg",MAX(1,ROUND(_xlpm.val*1000,0))&amp;" g"),"")))</f>
        <v/>
      </c>
      <c r="AR147" s="104" t="str">
        <f t="shared" si="34"/>
        <v>►</v>
      </c>
      <c r="AS147" s="32" t="str">
        <f>AS114</f>
        <v>P PRENSADO DE MORCILLA (TERRINA) | | Autor &gt; Guy KRENZE - Eric GODDYN - Arnaud NICOLAS - CEPROC 2002</v>
      </c>
      <c r="AT147" s="33">
        <f>AT114</f>
        <v>20</v>
      </c>
      <c r="AU147" s="32" t="str">
        <f>AU114</f>
        <v>pressés de boudin</v>
      </c>
      <c r="AV147" s="34" t="str">
        <f>AV114</f>
        <v>Receta madre ► Morcilla en 4 versiones</v>
      </c>
      <c r="AW147" s="92"/>
      <c r="AX147" s="108"/>
      <c r="AY147" s="94" t="str">
        <f t="shared" si="31"/>
        <v/>
      </c>
      <c r="AZ147" s="95"/>
      <c r="BA147" s="126"/>
      <c r="BB147" s="127">
        <v>1</v>
      </c>
      <c r="BC147" s="920"/>
      <c r="BD147" s="1495">
        <f>IF(OR(ISBLANK(AW112),BD112=0),0,AW147*BB113)</f>
        <v>0</v>
      </c>
      <c r="BE147" s="101" cm="1">
        <f t="array" ref="BE147">IFERROR(_xlfn.LET(_xlpm.k,UPPER(TRIM(BA147)),_xlpm.r,_xlfn.XLOOKUP(_xlpm.k,UPPER(TRIM(AW149:BF149)),AW150:BF150,_xlfn.XLOOKUP(_xlpm.k,UPPER(TRIM(AW151:BF151)),AW152:BF152)),_xlpm.r*AZ147*BB147*BB113*IF(ISBLANK(AW147),1,AW147)),0)</f>
        <v>0</v>
      </c>
      <c r="BF147" s="1475" t="str">
        <f>_xlfn.LET(_xlpm.unite,SUBSTITUTE(TRIM(BA147)," (s)",""),_xlpm.val,BE147,_xlpm.estVol,COUNTIF(AZ149:BF149,_xlpm.unite)+COUNTIF(AZ151:BF151,_xlpm.unite)&gt;0,_xlpm.estPoids,COUNTIF(AW149:AY149,_xlpm.unite)+COUNTIF(AW151:AY151,_xlpm.unite)&gt;0,IF(_xlpm.estVol,IF(ROUND(_xlpm.val,3)&gt;=1,ROUND(_xlpm.val,3)&amp;" L",MAX(1,ROUND(_xlpm.val*100,0))&amp;" cl"),IF(_xlpm.estPoids,IF(ROUND(_xlpm.val,3)&gt;=1,ROUND(_xlpm.val,3)&amp;" Kg",MAX(1,ROUND(_xlpm.val*1000,0))&amp;" g"),"")))</f>
        <v/>
      </c>
      <c r="BH147" s="104"/>
      <c r="BI147" s="32"/>
      <c r="BJ147" s="33"/>
      <c r="BK147" s="32"/>
      <c r="BL147" s="34"/>
      <c r="BM147" s="92"/>
      <c r="BN147" s="108"/>
      <c r="BO147" s="94"/>
      <c r="BP147" s="95"/>
      <c r="BQ147" s="105"/>
      <c r="BR147" s="5101"/>
      <c r="BS147" s="920"/>
      <c r="BT147" s="1495"/>
      <c r="BU147" s="101"/>
      <c r="BV147" s="1475"/>
      <c r="BX147" s="104"/>
      <c r="BY147" s="32"/>
      <c r="BZ147" s="33"/>
      <c r="CA147" s="32"/>
      <c r="CB147" s="34"/>
      <c r="CC147" s="92"/>
      <c r="CD147" s="108"/>
      <c r="CE147" s="94"/>
      <c r="CF147" s="95"/>
      <c r="CG147" s="105"/>
      <c r="CH147" s="5101"/>
      <c r="CI147" s="920"/>
      <c r="CJ147" s="1495"/>
      <c r="CK147" s="101"/>
      <c r="CL147" s="1475"/>
      <c r="CN147" s="104"/>
      <c r="CO147" s="32"/>
      <c r="CP147" s="33"/>
      <c r="CQ147" s="32"/>
      <c r="CR147" s="34"/>
      <c r="CS147" s="92"/>
      <c r="CT147" s="108"/>
      <c r="CU147" s="94"/>
      <c r="CV147" s="95"/>
      <c r="CW147" s="105"/>
      <c r="CX147" s="5101"/>
      <c r="CY147" s="920"/>
      <c r="CZ147" s="1495"/>
      <c r="DA147" s="101"/>
      <c r="DB147" s="1475"/>
      <c r="DC147" s="5109"/>
      <c r="DD147" s="5069"/>
      <c r="DF147" s="3">
        <v>1</v>
      </c>
      <c r="EY147" s="172"/>
      <c r="EZ147" s="172"/>
      <c r="FA147" s="172"/>
      <c r="FB147" s="170" t="s">
        <v>677</v>
      </c>
      <c r="FC147" s="171">
        <v>3.472222222222222E-3</v>
      </c>
    </row>
    <row r="148" spans="2:159" ht="21" customHeight="1">
      <c r="B148" s="952" t="str">
        <f t="shared" si="35"/>
        <v>A</v>
      </c>
      <c r="C148" s="993" cm="1">
        <f t="array" ref="C148">SUMPRODUCT(LEN(D148:J148))</f>
        <v>0</v>
      </c>
      <c r="D148" s="167"/>
      <c r="E148" s="172"/>
      <c r="F148" s="172"/>
      <c r="G148" s="172"/>
      <c r="H148" s="172"/>
      <c r="I148" s="172"/>
      <c r="J148" s="173"/>
      <c r="K148" s="442"/>
      <c r="L148" s="104" t="s">
        <v>11</v>
      </c>
      <c r="M148" s="32" t="str">
        <f>M114</f>
        <v>P PRESSÉ DE BOUDIN NOIR | | Auteur &gt; Guy KRENZE - Eric GODDYN - Arnaud NICOLAS - CEPROC 2002</v>
      </c>
      <c r="N148" s="33">
        <f>N114</f>
        <v>20</v>
      </c>
      <c r="O148" s="32" t="str">
        <f>O114</f>
        <v>pressés de boudin</v>
      </c>
      <c r="P148" s="34" t="str">
        <f>P114</f>
        <v>Recette mère ► le Boudin en 4 déclinaisons</v>
      </c>
      <c r="Q148" s="907" t="s">
        <v>136</v>
      </c>
      <c r="R148" s="500"/>
      <c r="S148" s="500"/>
      <c r="T148" s="500"/>
      <c r="U148" s="500"/>
      <c r="V148" s="908"/>
      <c r="W148" s="909"/>
      <c r="X148" s="909"/>
      <c r="Y148" s="910">
        <f>SUM(Y118:Y147)</f>
        <v>2.5619999999999998</v>
      </c>
      <c r="Z148" s="1489"/>
      <c r="AB148" s="104" t="s">
        <v>11</v>
      </c>
      <c r="AC148" s="32" t="str">
        <f>AC114</f>
        <v>P PRESSED BLACK PUDDING TERRINE | |  Author &gt; Guy KRENZE - Eric GODDYN - Arnaud NICOLAS - CEPROC 2002</v>
      </c>
      <c r="AD148" s="33">
        <f>AD114</f>
        <v>20</v>
      </c>
      <c r="AE148" s="32" t="str">
        <f>AE114</f>
        <v>pressés de boudin</v>
      </c>
      <c r="AF148" s="34" t="str">
        <f>AF114</f>
        <v>Master recipe ► Black pudding in 4 variations</v>
      </c>
      <c r="AG148" s="907" t="s">
        <v>893</v>
      </c>
      <c r="AH148" s="500"/>
      <c r="AI148" s="500"/>
      <c r="AJ148" s="500"/>
      <c r="AK148" s="500"/>
      <c r="AL148" s="908"/>
      <c r="AM148" s="909"/>
      <c r="AN148" s="909"/>
      <c r="AO148" s="910">
        <f>SUM(AO118:AO147)</f>
        <v>4.6116000000000001</v>
      </c>
      <c r="AP148" s="1489"/>
      <c r="AR148" s="104" t="s">
        <v>11</v>
      </c>
      <c r="AS148" s="32" t="str">
        <f>AS114</f>
        <v>P PRENSADO DE MORCILLA (TERRINA) | | Autor &gt; Guy KRENZE - Eric GODDYN - Arnaud NICOLAS - CEPROC 2002</v>
      </c>
      <c r="AT148" s="33">
        <f>AT114</f>
        <v>20</v>
      </c>
      <c r="AU148" s="32" t="str">
        <f>AU114</f>
        <v>pressés de boudin</v>
      </c>
      <c r="AV148" s="34" t="str">
        <f>AV114</f>
        <v>Receta madre ► Morcilla en 4 versiones</v>
      </c>
      <c r="AW148" s="907" t="s">
        <v>893</v>
      </c>
      <c r="AX148" s="500"/>
      <c r="AY148" s="500"/>
      <c r="AZ148" s="500"/>
      <c r="BA148" s="500"/>
      <c r="BB148" s="908"/>
      <c r="BC148" s="909"/>
      <c r="BD148" s="909"/>
      <c r="BE148" s="910">
        <f>SUM(BE118:BE147)</f>
        <v>4.6116000000000001</v>
      </c>
      <c r="BF148" s="1489"/>
      <c r="BH148" s="104"/>
      <c r="BI148" s="32"/>
      <c r="BJ148" s="33"/>
      <c r="BK148" s="32"/>
      <c r="BL148" s="34"/>
      <c r="BM148" s="92"/>
      <c r="BN148" s="108"/>
      <c r="BO148" s="94"/>
      <c r="BP148" s="95"/>
      <c r="BQ148" s="105"/>
      <c r="BR148" s="5101"/>
      <c r="BS148" s="920"/>
      <c r="BT148" s="1495"/>
      <c r="BU148" s="101"/>
      <c r="BV148" s="1475"/>
      <c r="BX148" s="104"/>
      <c r="BY148" s="32"/>
      <c r="BZ148" s="33"/>
      <c r="CA148" s="32"/>
      <c r="CB148" s="34"/>
      <c r="CC148" s="92"/>
      <c r="CD148" s="108"/>
      <c r="CE148" s="94"/>
      <c r="CF148" s="95"/>
      <c r="CG148" s="105"/>
      <c r="CH148" s="5101"/>
      <c r="CI148" s="920"/>
      <c r="CJ148" s="1495"/>
      <c r="CK148" s="101"/>
      <c r="CL148" s="1475"/>
      <c r="CN148" s="104"/>
      <c r="CO148" s="32"/>
      <c r="CP148" s="33"/>
      <c r="CQ148" s="32"/>
      <c r="CR148" s="34"/>
      <c r="CS148" s="92"/>
      <c r="CT148" s="108"/>
      <c r="CU148" s="94"/>
      <c r="CV148" s="95"/>
      <c r="CW148" s="105"/>
      <c r="CX148" s="5101"/>
      <c r="CY148" s="920"/>
      <c r="CZ148" s="1495"/>
      <c r="DA148" s="101"/>
      <c r="DB148" s="1475"/>
      <c r="DC148" s="5109"/>
      <c r="DD148" s="5079"/>
      <c r="DF148" s="3">
        <v>1</v>
      </c>
      <c r="EY148" s="172"/>
      <c r="EZ148" s="172"/>
      <c r="FA148" s="172"/>
      <c r="FB148" s="170" t="s">
        <v>683</v>
      </c>
      <c r="FC148" s="174">
        <v>3.472222222222222E-3</v>
      </c>
    </row>
    <row r="149" spans="2:159" ht="21" customHeight="1">
      <c r="B149" s="952" t="str">
        <f t="shared" si="35"/>
        <v>►</v>
      </c>
      <c r="C149" s="993" cm="1">
        <f t="array" ref="C149">SUMPRODUCT(LEN(D149:J149))</f>
        <v>0</v>
      </c>
      <c r="D149" s="167"/>
      <c r="E149" s="172"/>
      <c r="F149" s="172"/>
      <c r="G149" s="172"/>
      <c r="H149" s="172"/>
      <c r="I149" s="172"/>
      <c r="J149" s="173"/>
      <c r="K149" s="442"/>
      <c r="L149" s="104" t="s">
        <v>16</v>
      </c>
      <c r="M149" s="32" t="str">
        <f>M114</f>
        <v>P PRESSÉ DE BOUDIN NOIR | | Auteur &gt; Guy KRENZE - Eric GODDYN - Arnaud NICOLAS - CEPROC 2002</v>
      </c>
      <c r="N149" s="33">
        <f>N114</f>
        <v>20</v>
      </c>
      <c r="O149" s="32" t="str">
        <f>O114</f>
        <v>pressés de boudin</v>
      </c>
      <c r="P149" s="34" t="str">
        <f>P114</f>
        <v>Recette mère ► le Boudin en 4 déclinaisons</v>
      </c>
      <c r="Q149" s="140" t="s">
        <v>143</v>
      </c>
      <c r="R149" s="105" t="s">
        <v>99</v>
      </c>
      <c r="S149" s="141" t="s">
        <v>144</v>
      </c>
      <c r="T149" s="96" t="s">
        <v>0</v>
      </c>
      <c r="U149" s="96" t="s">
        <v>96</v>
      </c>
      <c r="V149" s="96" t="s">
        <v>147</v>
      </c>
      <c r="W149" s="96" t="s">
        <v>148</v>
      </c>
      <c r="X149" s="109" t="s">
        <v>364</v>
      </c>
      <c r="Y149" s="109" t="s">
        <v>102</v>
      </c>
      <c r="Z149" s="109" t="s">
        <v>149</v>
      </c>
      <c r="AB149" s="104" t="s">
        <v>16</v>
      </c>
      <c r="AC149" s="32" t="str">
        <f>AC114</f>
        <v>P PRESSED BLACK PUDDING TERRINE | |  Author &gt; Guy KRENZE - Eric GODDYN - Arnaud NICOLAS - CEPROC 2002</v>
      </c>
      <c r="AD149" s="33">
        <f>AD114</f>
        <v>20</v>
      </c>
      <c r="AE149" s="32" t="str">
        <f>AE114</f>
        <v>pressés de boudin</v>
      </c>
      <c r="AF149" s="34" t="str">
        <f>AF114</f>
        <v>Master recipe ► Black pudding in 4 variations</v>
      </c>
      <c r="AG149" s="140" t="s">
        <v>143</v>
      </c>
      <c r="AH149" s="105" t="s">
        <v>99</v>
      </c>
      <c r="AI149" s="141" t="s">
        <v>144</v>
      </c>
      <c r="AJ149" s="96" t="s">
        <v>0</v>
      </c>
      <c r="AK149" s="96" t="s">
        <v>96</v>
      </c>
      <c r="AL149" s="96" t="s">
        <v>147</v>
      </c>
      <c r="AM149" s="96" t="s">
        <v>148</v>
      </c>
      <c r="AN149" s="109" t="s">
        <v>1378</v>
      </c>
      <c r="AO149" s="109" t="s">
        <v>1360</v>
      </c>
      <c r="AP149" s="109" t="s">
        <v>1361</v>
      </c>
      <c r="AR149" s="104" t="s">
        <v>16</v>
      </c>
      <c r="AS149" s="32" t="str">
        <f>AS114</f>
        <v>P PRENSADO DE MORCILLA (TERRINA) | | Autor &gt; Guy KRENZE - Eric GODDYN - Arnaud NICOLAS - CEPROC 2002</v>
      </c>
      <c r="AT149" s="33">
        <f>AT114</f>
        <v>20</v>
      </c>
      <c r="AU149" s="32" t="str">
        <f>AU114</f>
        <v>pressés de boudin</v>
      </c>
      <c r="AV149" s="34" t="str">
        <f>AV114</f>
        <v>Receta madre ► Morcilla en 4 versiones</v>
      </c>
      <c r="AW149" s="140" t="s">
        <v>143</v>
      </c>
      <c r="AX149" s="105" t="s">
        <v>99</v>
      </c>
      <c r="AY149" s="141" t="s">
        <v>144</v>
      </c>
      <c r="AZ149" s="96" t="s">
        <v>0</v>
      </c>
      <c r="BA149" s="96" t="s">
        <v>96</v>
      </c>
      <c r="BB149" s="96" t="s">
        <v>147</v>
      </c>
      <c r="BC149" s="96" t="s">
        <v>148</v>
      </c>
      <c r="BD149" s="109" t="s">
        <v>1379</v>
      </c>
      <c r="BE149" s="109" t="s">
        <v>1341</v>
      </c>
      <c r="BF149" s="109" t="s">
        <v>1342</v>
      </c>
      <c r="BH149" s="104"/>
      <c r="BI149" s="32"/>
      <c r="BJ149" s="33"/>
      <c r="BK149" s="32"/>
      <c r="BL149" s="34"/>
      <c r="BM149" s="92"/>
      <c r="BN149" s="108"/>
      <c r="BO149" s="94"/>
      <c r="BP149" s="95"/>
      <c r="BQ149" s="105"/>
      <c r="BR149" s="5101"/>
      <c r="BS149" s="920"/>
      <c r="BT149" s="1495"/>
      <c r="BU149" s="101"/>
      <c r="BV149" s="1475"/>
      <c r="BX149" s="104"/>
      <c r="BY149" s="32"/>
      <c r="BZ149" s="33"/>
      <c r="CA149" s="32"/>
      <c r="CB149" s="34"/>
      <c r="CC149" s="92"/>
      <c r="CD149" s="108"/>
      <c r="CE149" s="94"/>
      <c r="CF149" s="95"/>
      <c r="CG149" s="105"/>
      <c r="CH149" s="5101"/>
      <c r="CI149" s="920"/>
      <c r="CJ149" s="1495"/>
      <c r="CK149" s="101"/>
      <c r="CL149" s="1475"/>
      <c r="CN149" s="104"/>
      <c r="CO149" s="32"/>
      <c r="CP149" s="33"/>
      <c r="CQ149" s="32"/>
      <c r="CR149" s="34"/>
      <c r="CS149" s="92"/>
      <c r="CT149" s="108"/>
      <c r="CU149" s="94"/>
      <c r="CV149" s="95"/>
      <c r="CW149" s="105"/>
      <c r="CX149" s="5101"/>
      <c r="CY149" s="920"/>
      <c r="CZ149" s="1495"/>
      <c r="DA149" s="101"/>
      <c r="DB149" s="1475"/>
      <c r="DC149" s="5109"/>
      <c r="DD149" s="5079"/>
      <c r="DF149" s="3">
        <v>1</v>
      </c>
      <c r="EY149" s="172"/>
      <c r="EZ149" s="172"/>
      <c r="FA149" s="172"/>
      <c r="FB149" s="170" t="s">
        <v>911</v>
      </c>
      <c r="FC149" s="175">
        <v>3.472222222222222E-3</v>
      </c>
    </row>
    <row r="150" spans="2:159" ht="21" customHeight="1">
      <c r="B150" s="952" t="str">
        <f t="shared" si="35"/>
        <v>►</v>
      </c>
      <c r="C150" s="993" cm="1">
        <f t="array" ref="C150">SUMPRODUCT(LEN(D150:J150))</f>
        <v>0</v>
      </c>
      <c r="D150" s="167"/>
      <c r="E150" s="172"/>
      <c r="F150" s="172"/>
      <c r="G150" s="172"/>
      <c r="H150" s="172"/>
      <c r="I150" s="172"/>
      <c r="J150" s="173"/>
      <c r="K150" s="442"/>
      <c r="L150" s="104" t="s">
        <v>16</v>
      </c>
      <c r="M150" s="32" t="str">
        <f>M114</f>
        <v>P PRESSÉ DE BOUDIN NOIR | | Auteur &gt; Guy KRENZE - Eric GODDYN - Arnaud NICOLAS - CEPROC 2002</v>
      </c>
      <c r="N150" s="33">
        <f>N114</f>
        <v>20</v>
      </c>
      <c r="O150" s="32" t="str">
        <f>O114</f>
        <v>pressés de boudin</v>
      </c>
      <c r="P150" s="34" t="str">
        <f>P114</f>
        <v>Recette mère ► le Boudin en 4 déclinaisons</v>
      </c>
      <c r="Q150" s="911">
        <v>1</v>
      </c>
      <c r="R150" s="912">
        <v>1E-3</v>
      </c>
      <c r="S150" s="913">
        <v>0</v>
      </c>
      <c r="T150" s="914">
        <v>1</v>
      </c>
      <c r="U150" s="914">
        <v>0.1</v>
      </c>
      <c r="V150" s="914">
        <v>0.01</v>
      </c>
      <c r="W150" s="914">
        <v>1E-3</v>
      </c>
      <c r="X150" s="914">
        <v>0.25</v>
      </c>
      <c r="Y150" s="914">
        <v>0.5</v>
      </c>
      <c r="Z150" s="914">
        <v>0.33300000000000002</v>
      </c>
      <c r="AB150" s="104" t="s">
        <v>16</v>
      </c>
      <c r="AC150" s="32" t="str">
        <f>AC114</f>
        <v>P PRESSED BLACK PUDDING TERRINE | |  Author &gt; Guy KRENZE - Eric GODDYN - Arnaud NICOLAS - CEPROC 2002</v>
      </c>
      <c r="AD150" s="33">
        <f>AD114</f>
        <v>20</v>
      </c>
      <c r="AE150" s="32" t="str">
        <f>AE114</f>
        <v>pressés de boudin</v>
      </c>
      <c r="AF150" s="34" t="str">
        <f>AF114</f>
        <v>Master recipe ► Black pudding in 4 variations</v>
      </c>
      <c r="AG150" s="911">
        <v>1</v>
      </c>
      <c r="AH150" s="912">
        <v>1E-3</v>
      </c>
      <c r="AI150" s="913">
        <v>0</v>
      </c>
      <c r="AJ150" s="914">
        <v>1</v>
      </c>
      <c r="AK150" s="914">
        <v>0.1</v>
      </c>
      <c r="AL150" s="914">
        <v>0.01</v>
      </c>
      <c r="AM150" s="914">
        <v>1E-3</v>
      </c>
      <c r="AN150" s="914">
        <v>0.25</v>
      </c>
      <c r="AO150" s="914">
        <v>0.5</v>
      </c>
      <c r="AP150" s="914">
        <v>0.33300000000000002</v>
      </c>
      <c r="AR150" s="104" t="s">
        <v>16</v>
      </c>
      <c r="AS150" s="32" t="str">
        <f>AS114</f>
        <v>P PRENSADO DE MORCILLA (TERRINA) | | Autor &gt; Guy KRENZE - Eric GODDYN - Arnaud NICOLAS - CEPROC 2002</v>
      </c>
      <c r="AT150" s="33">
        <f>AT114</f>
        <v>20</v>
      </c>
      <c r="AU150" s="32" t="str">
        <f>AU114</f>
        <v>pressés de boudin</v>
      </c>
      <c r="AV150" s="34" t="str">
        <f>AV114</f>
        <v>Receta madre ► Morcilla en 4 versiones</v>
      </c>
      <c r="AW150" s="911">
        <v>1</v>
      </c>
      <c r="AX150" s="912">
        <v>1E-3</v>
      </c>
      <c r="AY150" s="913">
        <v>0</v>
      </c>
      <c r="AZ150" s="914">
        <v>1</v>
      </c>
      <c r="BA150" s="914">
        <v>0.1</v>
      </c>
      <c r="BB150" s="914">
        <v>0.01</v>
      </c>
      <c r="BC150" s="914">
        <v>1E-3</v>
      </c>
      <c r="BD150" s="914">
        <v>0.25</v>
      </c>
      <c r="BE150" s="914">
        <v>0.5</v>
      </c>
      <c r="BF150" s="914">
        <v>0.33300000000000002</v>
      </c>
      <c r="BH150" s="104"/>
      <c r="BI150" s="32"/>
      <c r="BJ150" s="33"/>
      <c r="BK150" s="32"/>
      <c r="BL150" s="34"/>
      <c r="BM150" s="92"/>
      <c r="BN150" s="108"/>
      <c r="BO150" s="94"/>
      <c r="BP150" s="95"/>
      <c r="BQ150" s="105"/>
      <c r="BR150" s="5101"/>
      <c r="BS150" s="920"/>
      <c r="BT150" s="1495"/>
      <c r="BU150" s="101"/>
      <c r="BV150" s="1475"/>
      <c r="BX150" s="104"/>
      <c r="BY150" s="32"/>
      <c r="BZ150" s="33"/>
      <c r="CA150" s="32"/>
      <c r="CB150" s="34"/>
      <c r="CC150" s="92"/>
      <c r="CD150" s="108"/>
      <c r="CE150" s="94"/>
      <c r="CF150" s="95"/>
      <c r="CG150" s="105"/>
      <c r="CH150" s="5101"/>
      <c r="CI150" s="920"/>
      <c r="CJ150" s="1495"/>
      <c r="CK150" s="101"/>
      <c r="CL150" s="1475"/>
      <c r="CN150" s="104"/>
      <c r="CO150" s="32"/>
      <c r="CP150" s="33"/>
      <c r="CQ150" s="32"/>
      <c r="CR150" s="34"/>
      <c r="CS150" s="92"/>
      <c r="CT150" s="108"/>
      <c r="CU150" s="94"/>
      <c r="CV150" s="95"/>
      <c r="CW150" s="105"/>
      <c r="CX150" s="5101"/>
      <c r="CY150" s="920"/>
      <c r="CZ150" s="1495"/>
      <c r="DA150" s="101"/>
      <c r="DB150" s="1475"/>
      <c r="DC150" s="5109"/>
      <c r="DD150" s="5079"/>
      <c r="DF150" s="3">
        <v>1</v>
      </c>
      <c r="EY150" s="172"/>
      <c r="EZ150" s="172"/>
      <c r="FA150" s="172"/>
      <c r="FB150" s="176" t="s">
        <v>183</v>
      </c>
      <c r="FC150" s="177">
        <f>FC147+FC148+FC149</f>
        <v>1.0416666666666666E-2</v>
      </c>
    </row>
    <row r="151" spans="2:159" ht="21" customHeight="1">
      <c r="B151" s="952" t="str">
        <f t="shared" si="35"/>
        <v>►</v>
      </c>
      <c r="C151" s="993" cm="1">
        <f t="array" ref="C151">SUMPRODUCT(LEN(D151:J151))</f>
        <v>0</v>
      </c>
      <c r="D151" s="167"/>
      <c r="E151" s="172"/>
      <c r="F151" s="172"/>
      <c r="G151" s="172"/>
      <c r="H151" s="172"/>
      <c r="I151" s="172"/>
      <c r="J151" s="173"/>
      <c r="K151" s="442"/>
      <c r="L151" s="104" t="s">
        <v>16</v>
      </c>
      <c r="M151" s="32" t="str">
        <f>M114</f>
        <v>P PRESSÉ DE BOUDIN NOIR | | Auteur &gt; Guy KRENZE - Eric GODDYN - Arnaud NICOLAS - CEPROC 2002</v>
      </c>
      <c r="N151" s="33">
        <f>N114</f>
        <v>20</v>
      </c>
      <c r="O151" s="32" t="str">
        <f>O114</f>
        <v>pressés de boudin</v>
      </c>
      <c r="P151" s="34" t="str">
        <f>P114</f>
        <v>Recette mère ► le Boudin en 4 déclinaisons</v>
      </c>
      <c r="Q151" s="142" t="s">
        <v>145</v>
      </c>
      <c r="R151" s="117" t="s">
        <v>107</v>
      </c>
      <c r="S151" s="141" t="s">
        <v>144</v>
      </c>
      <c r="T151" s="109" t="s">
        <v>150</v>
      </c>
      <c r="U151" s="109" t="s">
        <v>163</v>
      </c>
      <c r="V151" s="109" t="s">
        <v>103</v>
      </c>
      <c r="W151" s="109" t="s">
        <v>162</v>
      </c>
      <c r="X151" s="149" t="s">
        <v>160</v>
      </c>
      <c r="Y151" s="149" t="s">
        <v>117</v>
      </c>
      <c r="Z151" s="1061" t="s">
        <v>1831</v>
      </c>
      <c r="AB151" s="104" t="s">
        <v>16</v>
      </c>
      <c r="AC151" s="32" t="str">
        <f>AC114</f>
        <v>P PRESSED BLACK PUDDING TERRINE | |  Author &gt; Guy KRENZE - Eric GODDYN - Arnaud NICOLAS - CEPROC 2002</v>
      </c>
      <c r="AD151" s="33">
        <f>AD114</f>
        <v>20</v>
      </c>
      <c r="AE151" s="32" t="str">
        <f>AE114</f>
        <v>pressés de boudin</v>
      </c>
      <c r="AF151" s="34" t="str">
        <f>AF114</f>
        <v>Master recipe ► Black pudding in 4 variations</v>
      </c>
      <c r="AG151" s="142" t="s">
        <v>1357</v>
      </c>
      <c r="AH151" s="117" t="s">
        <v>1359</v>
      </c>
      <c r="AI151" s="141" t="s">
        <v>144</v>
      </c>
      <c r="AJ151" s="109" t="s">
        <v>1362</v>
      </c>
      <c r="AK151" s="109" t="s">
        <v>1371</v>
      </c>
      <c r="AL151" s="109" t="s">
        <v>1372</v>
      </c>
      <c r="AM151" s="109" t="s">
        <v>1370</v>
      </c>
      <c r="AN151" s="149" t="s">
        <v>1368</v>
      </c>
      <c r="AO151" s="149" t="s">
        <v>1367</v>
      </c>
      <c r="AP151" s="1061" t="s">
        <v>1832</v>
      </c>
      <c r="AR151" s="104" t="s">
        <v>16</v>
      </c>
      <c r="AS151" s="32" t="str">
        <f>AS114</f>
        <v>P PRENSADO DE MORCILLA (TERRINA) | | Autor &gt; Guy KRENZE - Eric GODDYN - Arnaud NICOLAS - CEPROC 2002</v>
      </c>
      <c r="AT151" s="33">
        <f>AT114</f>
        <v>20</v>
      </c>
      <c r="AU151" s="32" t="str">
        <f>AU114</f>
        <v>pressés de boudin</v>
      </c>
      <c r="AV151" s="34" t="str">
        <f>AV114</f>
        <v>Receta madre ► Morcilla en 4 versiones</v>
      </c>
      <c r="AW151" s="142" t="s">
        <v>145</v>
      </c>
      <c r="AX151" s="117" t="s">
        <v>107</v>
      </c>
      <c r="AY151" s="141" t="s">
        <v>144</v>
      </c>
      <c r="AZ151" s="143" t="s">
        <v>1343</v>
      </c>
      <c r="BA151" s="109" t="s">
        <v>1354</v>
      </c>
      <c r="BB151" s="109" t="s">
        <v>1355</v>
      </c>
      <c r="BC151" s="109" t="s">
        <v>1353</v>
      </c>
      <c r="BD151" s="149" t="s">
        <v>1351</v>
      </c>
      <c r="BE151" s="123" t="s">
        <v>1350</v>
      </c>
      <c r="BF151" s="1061" t="s">
        <v>1833</v>
      </c>
      <c r="BH151" s="104"/>
      <c r="BI151" s="32"/>
      <c r="BJ151" s="33"/>
      <c r="BK151" s="32"/>
      <c r="BL151" s="34"/>
      <c r="BM151" s="92"/>
      <c r="BN151" s="108"/>
      <c r="BO151" s="94"/>
      <c r="BP151" s="95"/>
      <c r="BQ151" s="105"/>
      <c r="BR151" s="5101"/>
      <c r="BS151" s="920"/>
      <c r="BT151" s="1495"/>
      <c r="BU151" s="101"/>
      <c r="BV151" s="1475"/>
      <c r="BX151" s="104"/>
      <c r="BY151" s="32"/>
      <c r="BZ151" s="33"/>
      <c r="CA151" s="32"/>
      <c r="CB151" s="34"/>
      <c r="CC151" s="92"/>
      <c r="CD151" s="108"/>
      <c r="CE151" s="94"/>
      <c r="CF151" s="95"/>
      <c r="CG151" s="105"/>
      <c r="CH151" s="5101"/>
      <c r="CI151" s="920"/>
      <c r="CJ151" s="1495"/>
      <c r="CK151" s="101"/>
      <c r="CL151" s="1475"/>
      <c r="CN151" s="104"/>
      <c r="CO151" s="32"/>
      <c r="CP151" s="33"/>
      <c r="CQ151" s="32"/>
      <c r="CR151" s="34"/>
      <c r="CS151" s="92"/>
      <c r="CT151" s="108"/>
      <c r="CU151" s="94"/>
      <c r="CV151" s="95"/>
      <c r="CW151" s="105"/>
      <c r="CX151" s="5101"/>
      <c r="CY151" s="920"/>
      <c r="CZ151" s="1495"/>
      <c r="DA151" s="101"/>
      <c r="DB151" s="1475"/>
      <c r="DC151" s="5109"/>
      <c r="DD151" s="5079"/>
      <c r="DF151" s="3">
        <v>1</v>
      </c>
      <c r="EY151" s="172"/>
      <c r="EZ151" s="172"/>
      <c r="FA151" s="172"/>
      <c r="FB151" s="172"/>
      <c r="FC151" s="555"/>
    </row>
    <row r="152" spans="2:159" ht="21" customHeight="1">
      <c r="B152" s="952" t="str">
        <f t="shared" si="35"/>
        <v>►</v>
      </c>
      <c r="C152" s="993" cm="1">
        <f t="array" ref="C152">SUMPRODUCT(LEN(D152:J152))</f>
        <v>0</v>
      </c>
      <c r="D152" s="167"/>
      <c r="E152" s="172"/>
      <c r="F152" s="172"/>
      <c r="G152" s="172"/>
      <c r="H152" s="172"/>
      <c r="I152" s="172"/>
      <c r="J152" s="173"/>
      <c r="K152" s="442"/>
      <c r="L152" s="104" t="s">
        <v>16</v>
      </c>
      <c r="M152" s="32" t="str">
        <f>M114</f>
        <v>P PRESSÉ DE BOUDIN NOIR | | Auteur &gt; Guy KRENZE - Eric GODDYN - Arnaud NICOLAS - CEPROC 2002</v>
      </c>
      <c r="N152" s="33">
        <f>N114</f>
        <v>20</v>
      </c>
      <c r="O152" s="32" t="str">
        <f>O114</f>
        <v>pressés de boudin</v>
      </c>
      <c r="P152" s="34" t="str">
        <f>P114</f>
        <v>Recette mère ► le Boudin en 4 déclinaisons</v>
      </c>
      <c r="Q152" s="912">
        <v>0.25</v>
      </c>
      <c r="R152" s="912">
        <v>0.5</v>
      </c>
      <c r="S152" s="913">
        <v>0</v>
      </c>
      <c r="T152" s="914">
        <v>0.2</v>
      </c>
      <c r="U152" s="914">
        <v>0.1</v>
      </c>
      <c r="V152" s="914">
        <v>0.22500000000000001</v>
      </c>
      <c r="W152" s="914">
        <v>1.4999999999999999E-2</v>
      </c>
      <c r="X152" s="914">
        <v>4.9299999999999995E-3</v>
      </c>
      <c r="Y152" s="914">
        <v>0.35</v>
      </c>
      <c r="Z152" s="915">
        <v>0.25</v>
      </c>
      <c r="AB152" s="104" t="s">
        <v>16</v>
      </c>
      <c r="AC152" s="32" t="str">
        <f>AC114</f>
        <v>P PRESSED BLACK PUDDING TERRINE | |  Author &gt; Guy KRENZE - Eric GODDYN - Arnaud NICOLAS - CEPROC 2002</v>
      </c>
      <c r="AD152" s="33">
        <f>AD114</f>
        <v>20</v>
      </c>
      <c r="AE152" s="32" t="str">
        <f>AE114</f>
        <v>pressés de boudin</v>
      </c>
      <c r="AF152" s="34" t="str">
        <f>AF114</f>
        <v>Master recipe ► Black pudding in 4 variations</v>
      </c>
      <c r="AG152" s="912">
        <v>0.25</v>
      </c>
      <c r="AH152" s="912">
        <v>0.5</v>
      </c>
      <c r="AI152" s="913">
        <v>0</v>
      </c>
      <c r="AJ152" s="914">
        <v>0.2</v>
      </c>
      <c r="AK152" s="914">
        <v>0.1</v>
      </c>
      <c r="AL152" s="914">
        <v>0.22500000000000001</v>
      </c>
      <c r="AM152" s="914">
        <v>1.4999999999999999E-2</v>
      </c>
      <c r="AN152" s="914">
        <v>4.9299999999999995E-3</v>
      </c>
      <c r="AO152" s="914">
        <v>0.35</v>
      </c>
      <c r="AP152" s="915">
        <v>0.25</v>
      </c>
      <c r="AR152" s="104" t="s">
        <v>16</v>
      </c>
      <c r="AS152" s="32" t="str">
        <f>AS114</f>
        <v>P PRENSADO DE MORCILLA (TERRINA) | | Autor &gt; Guy KRENZE - Eric GODDYN - Arnaud NICOLAS - CEPROC 2002</v>
      </c>
      <c r="AT152" s="33">
        <f>AT114</f>
        <v>20</v>
      </c>
      <c r="AU152" s="32" t="str">
        <f>AU114</f>
        <v>pressés de boudin</v>
      </c>
      <c r="AV152" s="34" t="str">
        <f>AV114</f>
        <v>Receta madre ► Morcilla en 4 versiones</v>
      </c>
      <c r="AW152" s="912">
        <v>0.25</v>
      </c>
      <c r="AX152" s="912">
        <v>0.5</v>
      </c>
      <c r="AY152" s="913">
        <v>0</v>
      </c>
      <c r="AZ152" s="914">
        <v>0.2</v>
      </c>
      <c r="BA152" s="914">
        <v>0.1</v>
      </c>
      <c r="BB152" s="914">
        <v>0.22500000000000001</v>
      </c>
      <c r="BC152" s="914">
        <v>1.4999999999999999E-2</v>
      </c>
      <c r="BD152" s="914">
        <v>4.9299999999999995E-3</v>
      </c>
      <c r="BE152" s="914">
        <v>0.35</v>
      </c>
      <c r="BF152" s="915">
        <v>0.25</v>
      </c>
      <c r="BH152" s="104"/>
      <c r="BI152" s="32"/>
      <c r="BJ152" s="33"/>
      <c r="BK152" s="32"/>
      <c r="BL152" s="34"/>
      <c r="BM152" s="92"/>
      <c r="BN152" s="108"/>
      <c r="BO152" s="94"/>
      <c r="BP152" s="95"/>
      <c r="BQ152" s="105"/>
      <c r="BR152" s="5101"/>
      <c r="BS152" s="920"/>
      <c r="BT152" s="1495"/>
      <c r="BU152" s="101"/>
      <c r="BV152" s="1475"/>
      <c r="BX152" s="104"/>
      <c r="BY152" s="32"/>
      <c r="BZ152" s="33"/>
      <c r="CA152" s="32"/>
      <c r="CB152" s="34"/>
      <c r="CC152" s="92"/>
      <c r="CD152" s="108"/>
      <c r="CE152" s="94"/>
      <c r="CF152" s="95"/>
      <c r="CG152" s="105"/>
      <c r="CH152" s="5101"/>
      <c r="CI152" s="920"/>
      <c r="CJ152" s="1495"/>
      <c r="CK152" s="101"/>
      <c r="CL152" s="1475"/>
      <c r="CN152" s="104"/>
      <c r="CO152" s="32"/>
      <c r="CP152" s="33"/>
      <c r="CQ152" s="32"/>
      <c r="CR152" s="34"/>
      <c r="CS152" s="92"/>
      <c r="CT152" s="108"/>
      <c r="CU152" s="94"/>
      <c r="CV152" s="95"/>
      <c r="CW152" s="105"/>
      <c r="CX152" s="5101"/>
      <c r="CY152" s="920"/>
      <c r="CZ152" s="1495"/>
      <c r="DA152" s="101"/>
      <c r="DB152" s="1475"/>
      <c r="DC152" s="5109"/>
      <c r="DD152" s="5079"/>
      <c r="DF152" s="3">
        <v>1</v>
      </c>
      <c r="EY152" s="172"/>
      <c r="EZ152" s="172"/>
      <c r="FA152" s="172"/>
      <c r="FB152" s="172"/>
      <c r="FC152" s="555"/>
    </row>
    <row r="153" spans="2:159" ht="21" customHeight="1">
      <c r="B153" s="952" t="str">
        <f t="shared" si="35"/>
        <v>►</v>
      </c>
      <c r="C153" s="993" cm="1">
        <f t="array" ref="C153">SUMPRODUCT(LEN(D153:J153))</f>
        <v>0</v>
      </c>
      <c r="D153" s="167"/>
      <c r="E153" s="172"/>
      <c r="F153" s="172"/>
      <c r="G153" s="172"/>
      <c r="H153" s="172"/>
      <c r="I153" s="172"/>
      <c r="J153" s="173"/>
      <c r="K153" s="442"/>
      <c r="L153" s="104" t="s">
        <v>16</v>
      </c>
      <c r="M153" s="32" t="str">
        <f>M114</f>
        <v>P PRESSÉ DE BOUDIN NOIR | | Auteur &gt; Guy KRENZE - Eric GODDYN - Arnaud NICOLAS - CEPROC 2002</v>
      </c>
      <c r="N153" s="33">
        <f>N114</f>
        <v>20</v>
      </c>
      <c r="O153" s="32" t="str">
        <f>O114</f>
        <v>pressés de boudin</v>
      </c>
      <c r="P153" s="34" t="str">
        <f>P114</f>
        <v>Recette mère ► le Boudin en 4 déclinaisons</v>
      </c>
      <c r="Q153" s="154" t="str">
        <f>Q115</f>
        <v>Col.6</v>
      </c>
      <c r="R153" s="154" t="str">
        <f>R115</f>
        <v>Col.7</v>
      </c>
      <c r="S153" s="155" t="s">
        <v>3295</v>
      </c>
      <c r="T153" s="155"/>
      <c r="U153" s="155"/>
      <c r="V153" s="155"/>
      <c r="W153" s="155"/>
      <c r="X153" s="155"/>
      <c r="Y153" s="155"/>
      <c r="Z153" s="1477"/>
      <c r="AB153" s="104" t="s">
        <v>16</v>
      </c>
      <c r="AC153" s="32" t="str">
        <f>AC114</f>
        <v>P PRESSED BLACK PUDDING TERRINE | |  Author &gt; Guy KRENZE - Eric GODDYN - Arnaud NICOLAS - CEPROC 2002</v>
      </c>
      <c r="AD153" s="33">
        <f>AD114</f>
        <v>20</v>
      </c>
      <c r="AE153" s="32" t="str">
        <f>AE114</f>
        <v>pressés de boudin</v>
      </c>
      <c r="AF153" s="34" t="str">
        <f>AF114</f>
        <v>Master recipe ► Black pudding in 4 variations</v>
      </c>
      <c r="AG153" s="154" t="str">
        <f>AG115</f>
        <v>Col.6</v>
      </c>
      <c r="AH153" s="154" t="str">
        <f>AH115</f>
        <v>Col.7</v>
      </c>
      <c r="AI153" s="155" t="s">
        <v>3296</v>
      </c>
      <c r="AJ153" s="155"/>
      <c r="AK153" s="155"/>
      <c r="AL153" s="155"/>
      <c r="AM153" s="155"/>
      <c r="AN153" s="155"/>
      <c r="AO153" s="155"/>
      <c r="AP153" s="1477"/>
      <c r="AR153" s="104" t="s">
        <v>16</v>
      </c>
      <c r="AS153" s="32" t="str">
        <f>AS114</f>
        <v>P PRENSADO DE MORCILLA (TERRINA) | | Autor &gt; Guy KRENZE - Eric GODDYN - Arnaud NICOLAS - CEPROC 2002</v>
      </c>
      <c r="AT153" s="33">
        <f>AT114</f>
        <v>20</v>
      </c>
      <c r="AU153" s="32" t="str">
        <f>AU114</f>
        <v>pressés de boudin</v>
      </c>
      <c r="AV153" s="34" t="str">
        <f>AV114</f>
        <v>Receta madre ► Morcilla en 4 versiones</v>
      </c>
      <c r="AW153" s="154" t="str">
        <f>AW115</f>
        <v>Col.6</v>
      </c>
      <c r="AX153" s="154" t="str">
        <f>AX115</f>
        <v>Col.7</v>
      </c>
      <c r="AY153" s="155" t="s">
        <v>3298</v>
      </c>
      <c r="AZ153" s="155"/>
      <c r="BA153" s="155"/>
      <c r="BB153" s="155"/>
      <c r="BC153" s="155"/>
      <c r="BD153" s="155"/>
      <c r="BE153" s="155"/>
      <c r="BF153" s="1477"/>
      <c r="BH153" s="104"/>
      <c r="BI153" s="32"/>
      <c r="BJ153" s="33"/>
      <c r="BK153" s="32"/>
      <c r="BL153" s="34"/>
      <c r="BM153" s="92"/>
      <c r="BN153" s="108"/>
      <c r="BO153" s="94"/>
      <c r="BP153" s="95"/>
      <c r="BQ153" s="105"/>
      <c r="BR153" s="5101"/>
      <c r="BS153" s="920"/>
      <c r="BT153" s="1495"/>
      <c r="BU153" s="101"/>
      <c r="BV153" s="1475"/>
      <c r="BX153" s="104"/>
      <c r="BY153" s="32"/>
      <c r="BZ153" s="33"/>
      <c r="CA153" s="32"/>
      <c r="CB153" s="34"/>
      <c r="CC153" s="92"/>
      <c r="CD153" s="108"/>
      <c r="CE153" s="94"/>
      <c r="CF153" s="95"/>
      <c r="CG153" s="105"/>
      <c r="CH153" s="5101"/>
      <c r="CI153" s="920"/>
      <c r="CJ153" s="1495"/>
      <c r="CK153" s="101"/>
      <c r="CL153" s="1475"/>
      <c r="CN153" s="104"/>
      <c r="CO153" s="32"/>
      <c r="CP153" s="33"/>
      <c r="CQ153" s="32"/>
      <c r="CR153" s="34"/>
      <c r="CS153" s="92"/>
      <c r="CT153" s="108"/>
      <c r="CU153" s="94"/>
      <c r="CV153" s="95"/>
      <c r="CW153" s="105"/>
      <c r="CX153" s="5101"/>
      <c r="CY153" s="920"/>
      <c r="CZ153" s="1495"/>
      <c r="DA153" s="101"/>
      <c r="DB153" s="1475"/>
      <c r="DC153" s="5109"/>
      <c r="DD153" s="5079"/>
      <c r="DF153" s="3">
        <v>1</v>
      </c>
      <c r="EY153" s="172"/>
      <c r="EZ153" s="172"/>
      <c r="FA153" s="172"/>
      <c r="FB153" s="172"/>
      <c r="FC153" s="555"/>
    </row>
    <row r="154" spans="2:159" ht="21" customHeight="1">
      <c r="B154" s="952" t="str">
        <f t="shared" si="35"/>
        <v>►</v>
      </c>
      <c r="C154" s="993" cm="1">
        <f t="array" ref="C154">SUMPRODUCT(LEN(D154:J154))</f>
        <v>0</v>
      </c>
      <c r="D154" s="167"/>
      <c r="E154" s="172"/>
      <c r="F154" s="172"/>
      <c r="G154" s="172"/>
      <c r="H154" s="172"/>
      <c r="I154" s="172"/>
      <c r="J154" s="173"/>
      <c r="K154" s="442"/>
      <c r="L154" s="104" t="s">
        <v>16</v>
      </c>
      <c r="M154" s="157" t="str">
        <f>M114</f>
        <v>P PRESSÉ DE BOUDIN NOIR | | Auteur &gt; Guy KRENZE - Eric GODDYN - Arnaud NICOLAS - CEPROC 2002</v>
      </c>
      <c r="N154" s="157">
        <f>N114</f>
        <v>20</v>
      </c>
      <c r="O154" s="158" t="str">
        <f>O114</f>
        <v>pressés de boudin</v>
      </c>
      <c r="P154" s="159" t="str">
        <f>P114</f>
        <v>Recette mère ► le Boudin en 4 déclinaisons</v>
      </c>
      <c r="Q154" s="160" t="s">
        <v>167</v>
      </c>
      <c r="R154" s="1483" t="s">
        <v>3328</v>
      </c>
      <c r="S154" s="162"/>
      <c r="T154" s="162"/>
      <c r="U154" s="172"/>
      <c r="V154" s="172"/>
      <c r="W154" s="172"/>
      <c r="X154" s="172"/>
      <c r="Y154" s="156" t="s">
        <v>165</v>
      </c>
      <c r="Z154" s="1484" t="s">
        <v>3276</v>
      </c>
      <c r="AB154" s="104" t="s">
        <v>16</v>
      </c>
      <c r="AC154" s="157" t="str">
        <f>AC114</f>
        <v>P PRESSED BLACK PUDDING TERRINE | |  Author &gt; Guy KRENZE - Eric GODDYN - Arnaud NICOLAS - CEPROC 2002</v>
      </c>
      <c r="AD154" s="157">
        <f>AD114</f>
        <v>20</v>
      </c>
      <c r="AE154" s="158" t="str">
        <f>AE114</f>
        <v>pressés de boudin</v>
      </c>
      <c r="AF154" s="159" t="str">
        <f>AF114</f>
        <v>Master recipe ► Black pudding in 4 variations</v>
      </c>
      <c r="AG154" s="232" t="s">
        <v>752</v>
      </c>
      <c r="AH154" s="161" t="s">
        <v>3327</v>
      </c>
      <c r="AI154" s="162"/>
      <c r="AJ154" s="162"/>
      <c r="AK154" s="172"/>
      <c r="AL154" s="172"/>
      <c r="AM154" s="172"/>
      <c r="AN154" s="172"/>
      <c r="AO154" s="156" t="s">
        <v>894</v>
      </c>
      <c r="AP154" s="1484" t="s">
        <v>3276</v>
      </c>
      <c r="AR154" s="104" t="s">
        <v>16</v>
      </c>
      <c r="AS154" s="157" t="str">
        <f>AS114</f>
        <v>P PRENSADO DE MORCILLA (TERRINA) | | Autor &gt; Guy KRENZE - Eric GODDYN - Arnaud NICOLAS - CEPROC 2002</v>
      </c>
      <c r="AT154" s="157">
        <f>AT114</f>
        <v>20</v>
      </c>
      <c r="AU154" s="158" t="str">
        <f>AU114</f>
        <v>pressés de boudin</v>
      </c>
      <c r="AV154" s="159" t="str">
        <f>AV114</f>
        <v>Receta madre ► Morcilla en 4 versiones</v>
      </c>
      <c r="AW154" s="232" t="s">
        <v>754</v>
      </c>
      <c r="AX154" s="161" t="s">
        <v>3325</v>
      </c>
      <c r="AY154" s="162"/>
      <c r="AZ154" s="162"/>
      <c r="BA154" s="172"/>
      <c r="BB154" s="172"/>
      <c r="BC154" s="172"/>
      <c r="BD154" s="172"/>
      <c r="BE154" s="905" t="s">
        <v>908</v>
      </c>
      <c r="BF154" s="1484" t="s">
        <v>3276</v>
      </c>
      <c r="BH154" s="104"/>
      <c r="BI154" s="32"/>
      <c r="BJ154" s="33"/>
      <c r="BK154" s="32"/>
      <c r="BL154" s="34"/>
      <c r="BM154" s="92"/>
      <c r="BN154" s="108"/>
      <c r="BO154" s="94"/>
      <c r="BP154" s="95"/>
      <c r="BQ154" s="105"/>
      <c r="BR154" s="5101"/>
      <c r="BS154" s="920"/>
      <c r="BT154" s="1495"/>
      <c r="BU154" s="101"/>
      <c r="BV154" s="1475"/>
      <c r="BX154" s="104"/>
      <c r="BY154" s="32"/>
      <c r="BZ154" s="33"/>
      <c r="CA154" s="32"/>
      <c r="CB154" s="34"/>
      <c r="CC154" s="92"/>
      <c r="CD154" s="108"/>
      <c r="CE154" s="94"/>
      <c r="CF154" s="95"/>
      <c r="CG154" s="105"/>
      <c r="CH154" s="5101"/>
      <c r="CI154" s="920"/>
      <c r="CJ154" s="1495"/>
      <c r="CK154" s="101"/>
      <c r="CL154" s="1475"/>
      <c r="CN154" s="104"/>
      <c r="CO154" s="32"/>
      <c r="CP154" s="33"/>
      <c r="CQ154" s="32"/>
      <c r="CR154" s="34"/>
      <c r="CS154" s="92"/>
      <c r="CT154" s="108"/>
      <c r="CU154" s="94"/>
      <c r="CV154" s="95"/>
      <c r="CW154" s="105"/>
      <c r="CX154" s="5101"/>
      <c r="CY154" s="920"/>
      <c r="CZ154" s="1495"/>
      <c r="DA154" s="101"/>
      <c r="DB154" s="1475"/>
      <c r="DC154" s="5109"/>
      <c r="DD154" s="5075"/>
      <c r="DF154" s="3">
        <v>1</v>
      </c>
      <c r="EY154" s="172"/>
      <c r="EZ154" s="172"/>
      <c r="FA154" s="172"/>
      <c r="FB154" s="172"/>
      <c r="FC154" s="555"/>
    </row>
    <row r="155" spans="2:159" ht="21" customHeight="1">
      <c r="B155" s="952" t="str">
        <f t="shared" si="35"/>
        <v>►</v>
      </c>
      <c r="C155" s="993" cm="1">
        <f t="array" ref="C155">SUMPRODUCT(LEN(D155:J155))</f>
        <v>0</v>
      </c>
      <c r="D155" s="167"/>
      <c r="E155" s="172"/>
      <c r="F155" s="172"/>
      <c r="G155" s="172"/>
      <c r="H155" s="172"/>
      <c r="I155" s="172"/>
      <c r="J155" s="173"/>
      <c r="K155" s="442"/>
      <c r="L155" s="104" t="s">
        <v>16</v>
      </c>
      <c r="M155" s="157" t="str">
        <f>M114</f>
        <v>P PRESSÉ DE BOUDIN NOIR | | Auteur &gt; Guy KRENZE - Eric GODDYN - Arnaud NICOLAS - CEPROC 2002</v>
      </c>
      <c r="N155" s="157">
        <f>N114</f>
        <v>20</v>
      </c>
      <c r="O155" s="158" t="str">
        <f>O114</f>
        <v>pressés de boudin</v>
      </c>
      <c r="P155" s="159" t="str">
        <f>P114</f>
        <v>Recette mère ► le Boudin en 4 déclinaisons</v>
      </c>
      <c r="Q155" s="5063" t="s">
        <v>2881</v>
      </c>
      <c r="R155" s="172"/>
      <c r="S155" s="172"/>
      <c r="T155" s="172"/>
      <c r="U155" s="172"/>
      <c r="V155" s="172"/>
      <c r="W155" s="172"/>
      <c r="X155" s="172"/>
      <c r="Y155" s="1474" t="s">
        <v>168</v>
      </c>
      <c r="Z155" s="1482" t="s">
        <v>668</v>
      </c>
      <c r="AB155" s="104" t="s">
        <v>16</v>
      </c>
      <c r="AC155" s="157" t="str">
        <f>AC114</f>
        <v>P PRESSED BLACK PUDDING TERRINE | |  Author &gt; Guy KRENZE - Eric GODDYN - Arnaud NICOLAS - CEPROC 2002</v>
      </c>
      <c r="AD155" s="157">
        <f>AD114</f>
        <v>20</v>
      </c>
      <c r="AE155" s="158" t="str">
        <f>AE114</f>
        <v>pressés de boudin</v>
      </c>
      <c r="AF155" s="159" t="str">
        <f>AF114</f>
        <v>Master recipe ► Black pudding in 4 variations</v>
      </c>
      <c r="AG155" s="5063" t="s">
        <v>2881</v>
      </c>
      <c r="AH155" s="172"/>
      <c r="AI155" s="172"/>
      <c r="AJ155" s="172"/>
      <c r="AK155" s="172"/>
      <c r="AL155" s="172"/>
      <c r="AM155" s="172"/>
      <c r="AN155" s="172"/>
      <c r="AO155" s="1474" t="s">
        <v>895</v>
      </c>
      <c r="AP155" s="1482" t="s">
        <v>668</v>
      </c>
      <c r="AR155" s="104" t="s">
        <v>16</v>
      </c>
      <c r="AS155" s="157" t="str">
        <f>AS114</f>
        <v>P PRENSADO DE MORCILLA (TERRINA) | | Autor &gt; Guy KRENZE - Eric GODDYN - Arnaud NICOLAS - CEPROC 2002</v>
      </c>
      <c r="AT155" s="157">
        <f>AT114</f>
        <v>20</v>
      </c>
      <c r="AU155" s="158" t="str">
        <f>AU114</f>
        <v>pressés de boudin</v>
      </c>
      <c r="AV155" s="159" t="str">
        <f>AV114</f>
        <v>Receta madre ► Morcilla en 4 versiones</v>
      </c>
      <c r="AW155" s="5063" t="s">
        <v>2881</v>
      </c>
      <c r="AX155" s="172"/>
      <c r="AY155" s="172"/>
      <c r="AZ155" s="172"/>
      <c r="BA155" s="172"/>
      <c r="BB155" s="172"/>
      <c r="BC155" s="172"/>
      <c r="BD155" s="172"/>
      <c r="BE155" s="1474" t="s">
        <v>909</v>
      </c>
      <c r="BF155" s="1482" t="s">
        <v>668</v>
      </c>
      <c r="BH155" s="104"/>
      <c r="BI155" s="32"/>
      <c r="BJ155" s="33"/>
      <c r="BK155" s="32"/>
      <c r="BL155" s="34"/>
      <c r="BM155" s="92"/>
      <c r="BN155" s="108"/>
      <c r="BO155" s="94"/>
      <c r="BP155" s="95"/>
      <c r="BQ155" s="105"/>
      <c r="BR155" s="5101"/>
      <c r="BS155" s="920"/>
      <c r="BT155" s="1495"/>
      <c r="BU155" s="101"/>
      <c r="BV155" s="1475"/>
      <c r="BX155" s="104"/>
      <c r="BY155" s="32"/>
      <c r="BZ155" s="33"/>
      <c r="CA155" s="32"/>
      <c r="CB155" s="34"/>
      <c r="CC155" s="92"/>
      <c r="CD155" s="108"/>
      <c r="CE155" s="94"/>
      <c r="CF155" s="95"/>
      <c r="CG155" s="105"/>
      <c r="CH155" s="5101"/>
      <c r="CI155" s="920"/>
      <c r="CJ155" s="1495"/>
      <c r="CK155" s="101"/>
      <c r="CL155" s="1475"/>
      <c r="CN155" s="104"/>
      <c r="CO155" s="32"/>
      <c r="CP155" s="33"/>
      <c r="CQ155" s="32"/>
      <c r="CR155" s="34"/>
      <c r="CS155" s="92"/>
      <c r="CT155" s="108"/>
      <c r="CU155" s="94"/>
      <c r="CV155" s="95"/>
      <c r="CW155" s="105"/>
      <c r="CX155" s="5101"/>
      <c r="CY155" s="920"/>
      <c r="CZ155" s="1495"/>
      <c r="DA155" s="101"/>
      <c r="DB155" s="1475"/>
      <c r="DC155" s="5109"/>
      <c r="DD155" s="5079"/>
      <c r="DF155" s="3">
        <v>1</v>
      </c>
      <c r="EY155" s="172"/>
      <c r="EZ155" s="172"/>
      <c r="FA155" s="172"/>
      <c r="FB155" s="172"/>
      <c r="FC155" s="555"/>
    </row>
    <row r="156" spans="2:159" ht="21" customHeight="1">
      <c r="B156" s="952" t="str">
        <f t="shared" si="35"/>
        <v>►</v>
      </c>
      <c r="C156" s="993" cm="1">
        <f t="array" ref="C156">SUMPRODUCT(LEN(D156:J156))</f>
        <v>0</v>
      </c>
      <c r="D156" s="167"/>
      <c r="E156" s="172"/>
      <c r="F156" s="172"/>
      <c r="G156" s="172"/>
      <c r="H156" s="172"/>
      <c r="I156" s="172"/>
      <c r="J156" s="173"/>
      <c r="K156" s="442"/>
      <c r="L156" s="104" t="s">
        <v>16</v>
      </c>
      <c r="M156" s="157" t="str">
        <f>M114</f>
        <v>P PRESSÉ DE BOUDIN NOIR | | Auteur &gt; Guy KRENZE - Eric GODDYN - Arnaud NICOLAS - CEPROC 2002</v>
      </c>
      <c r="N156" s="157">
        <f>N114</f>
        <v>20</v>
      </c>
      <c r="O156" s="158" t="str">
        <f>O114</f>
        <v>pressés de boudin</v>
      </c>
      <c r="P156" s="159" t="str">
        <f>P114</f>
        <v>Recette mère ► le Boudin en 4 déclinaisons</v>
      </c>
      <c r="Q156" s="172" t="s">
        <v>12856</v>
      </c>
      <c r="R156" s="172"/>
      <c r="S156" s="172"/>
      <c r="T156" s="172"/>
      <c r="U156" s="172"/>
      <c r="V156" s="172"/>
      <c r="W156" s="172"/>
      <c r="X156" s="172"/>
      <c r="Y156" s="172"/>
      <c r="Z156" s="555"/>
      <c r="AB156" s="104" t="s">
        <v>16</v>
      </c>
      <c r="AC156" s="157" t="str">
        <f>AC114</f>
        <v>P PRESSED BLACK PUDDING TERRINE | |  Author &gt; Guy KRENZE - Eric GODDYN - Arnaud NICOLAS - CEPROC 2002</v>
      </c>
      <c r="AD156" s="157">
        <f>AD114</f>
        <v>20</v>
      </c>
      <c r="AE156" s="158" t="str">
        <f>AE114</f>
        <v>pressés de boudin</v>
      </c>
      <c r="AF156" s="159" t="str">
        <f>AF114</f>
        <v>Master recipe ► Black pudding in 4 variations</v>
      </c>
      <c r="AG156" s="172" t="s">
        <v>12998</v>
      </c>
      <c r="AH156" s="172"/>
      <c r="AI156" s="172"/>
      <c r="AJ156" s="172"/>
      <c r="AK156" s="172"/>
      <c r="AL156" s="172"/>
      <c r="AM156" s="172"/>
      <c r="AN156" s="172"/>
      <c r="AO156" s="172"/>
      <c r="AP156" s="555"/>
      <c r="AR156" s="104" t="s">
        <v>16</v>
      </c>
      <c r="AS156" s="157" t="str">
        <f>AS114</f>
        <v>P PRENSADO DE MORCILLA (TERRINA) | | Autor &gt; Guy KRENZE - Eric GODDYN - Arnaud NICOLAS - CEPROC 2002</v>
      </c>
      <c r="AT156" s="157">
        <f>AT114</f>
        <v>20</v>
      </c>
      <c r="AU156" s="158" t="str">
        <f>AU114</f>
        <v>pressés de boudin</v>
      </c>
      <c r="AV156" s="159" t="str">
        <f>AV114</f>
        <v>Receta madre ► Morcilla en 4 versiones</v>
      </c>
      <c r="AW156" s="172" t="s">
        <v>13040</v>
      </c>
      <c r="AX156" s="172"/>
      <c r="AY156" s="172"/>
      <c r="AZ156" s="172"/>
      <c r="BA156" s="172"/>
      <c r="BB156" s="172"/>
      <c r="BC156" s="172"/>
      <c r="BD156" s="172"/>
      <c r="BE156" s="172"/>
      <c r="BF156" s="555"/>
      <c r="BH156" s="104"/>
      <c r="BI156" s="32"/>
      <c r="BJ156" s="33"/>
      <c r="BK156" s="32"/>
      <c r="BL156" s="34"/>
      <c r="BM156" s="92"/>
      <c r="BN156" s="108"/>
      <c r="BO156" s="94"/>
      <c r="BP156" s="95"/>
      <c r="BQ156" s="105"/>
      <c r="BR156" s="5101"/>
      <c r="BS156" s="920"/>
      <c r="BT156" s="1495"/>
      <c r="BU156" s="101"/>
      <c r="BV156" s="1475"/>
      <c r="BX156" s="104"/>
      <c r="BY156" s="32"/>
      <c r="BZ156" s="33"/>
      <c r="CA156" s="32"/>
      <c r="CB156" s="34"/>
      <c r="CC156" s="92"/>
      <c r="CD156" s="108"/>
      <c r="CE156" s="94"/>
      <c r="CF156" s="95"/>
      <c r="CG156" s="105"/>
      <c r="CH156" s="5101"/>
      <c r="CI156" s="920"/>
      <c r="CJ156" s="1495"/>
      <c r="CK156" s="101"/>
      <c r="CL156" s="1475"/>
      <c r="CN156" s="104"/>
      <c r="CO156" s="32"/>
      <c r="CP156" s="33"/>
      <c r="CQ156" s="32"/>
      <c r="CR156" s="34"/>
      <c r="CS156" s="92"/>
      <c r="CT156" s="108"/>
      <c r="CU156" s="94"/>
      <c r="CV156" s="95"/>
      <c r="CW156" s="105"/>
      <c r="CX156" s="5101"/>
      <c r="CY156" s="920"/>
      <c r="CZ156" s="1495"/>
      <c r="DA156" s="101"/>
      <c r="DB156" s="1475"/>
      <c r="DC156" s="5109"/>
      <c r="DD156" s="5079"/>
      <c r="DF156" s="3">
        <v>1</v>
      </c>
      <c r="EY156" s="172"/>
      <c r="EZ156" s="172"/>
      <c r="FA156" s="172"/>
      <c r="FB156" s="172"/>
      <c r="FC156" s="555"/>
    </row>
    <row r="157" spans="2:159" ht="21" customHeight="1">
      <c r="B157" s="952" t="str">
        <f t="shared" si="35"/>
        <v>►</v>
      </c>
      <c r="C157" s="993" cm="1">
        <f t="array" ref="C157">SUMPRODUCT(LEN(D157:J157))</f>
        <v>0</v>
      </c>
      <c r="D157" s="167"/>
      <c r="E157" s="172"/>
      <c r="F157" s="172"/>
      <c r="G157" s="172"/>
      <c r="H157" s="172"/>
      <c r="I157" s="172"/>
      <c r="J157" s="173"/>
      <c r="K157" s="442"/>
      <c r="L157" s="104" t="s">
        <v>16</v>
      </c>
      <c r="M157" s="157" t="str">
        <f>M114</f>
        <v>P PRESSÉ DE BOUDIN NOIR | | Auteur &gt; Guy KRENZE - Eric GODDYN - Arnaud NICOLAS - CEPROC 2002</v>
      </c>
      <c r="N157" s="157">
        <f>N114</f>
        <v>20</v>
      </c>
      <c r="O157" s="158" t="str">
        <f>O114</f>
        <v>pressés de boudin</v>
      </c>
      <c r="P157" s="159" t="str">
        <f>P114</f>
        <v>Recette mère ► le Boudin en 4 déclinaisons</v>
      </c>
      <c r="Q157" s="172" t="s">
        <v>12857</v>
      </c>
      <c r="R157" s="172"/>
      <c r="S157" s="172"/>
      <c r="T157" s="172"/>
      <c r="U157" s="172"/>
      <c r="V157" s="172"/>
      <c r="W157" s="172"/>
      <c r="X157" s="172"/>
      <c r="Y157" s="170" t="s">
        <v>172</v>
      </c>
      <c r="Z157" s="171">
        <v>3.472222222222222E-3</v>
      </c>
      <c r="AB157" s="104" t="s">
        <v>16</v>
      </c>
      <c r="AC157" s="157" t="str">
        <f>AC114</f>
        <v>P PRESSED BLACK PUDDING TERRINE | |  Author &gt; Guy KRENZE - Eric GODDYN - Arnaud NICOLAS - CEPROC 2002</v>
      </c>
      <c r="AD157" s="157">
        <f>AD114</f>
        <v>20</v>
      </c>
      <c r="AE157" s="158" t="str">
        <f>AE114</f>
        <v>pressés de boudin</v>
      </c>
      <c r="AF157" s="159" t="str">
        <f>AF114</f>
        <v>Master recipe ► Black pudding in 4 variations</v>
      </c>
      <c r="AG157" s="172" t="s">
        <v>12970</v>
      </c>
      <c r="AH157" s="172"/>
      <c r="AI157" s="172"/>
      <c r="AJ157" s="172"/>
      <c r="AK157" s="172"/>
      <c r="AL157" s="172"/>
      <c r="AM157" s="172"/>
      <c r="AN157" s="172"/>
      <c r="AO157" s="170" t="s">
        <v>676</v>
      </c>
      <c r="AP157" s="171">
        <v>3.472222222222222E-3</v>
      </c>
      <c r="AR157" s="104" t="s">
        <v>16</v>
      </c>
      <c r="AS157" s="157" t="str">
        <f>AS114</f>
        <v>P PRENSADO DE MORCILLA (TERRINA) | | Autor &gt; Guy KRENZE - Eric GODDYN - Arnaud NICOLAS - CEPROC 2002</v>
      </c>
      <c r="AT157" s="157">
        <f>AT114</f>
        <v>20</v>
      </c>
      <c r="AU157" s="158" t="str">
        <f>AU114</f>
        <v>pressés de boudin</v>
      </c>
      <c r="AV157" s="159" t="str">
        <f>AV114</f>
        <v>Receta madre ► Morcilla en 4 versiones</v>
      </c>
      <c r="AW157" s="172" t="s">
        <v>12971</v>
      </c>
      <c r="AX157" s="172"/>
      <c r="AY157" s="172"/>
      <c r="AZ157" s="172"/>
      <c r="BA157" s="172"/>
      <c r="BB157" s="172"/>
      <c r="BC157" s="172"/>
      <c r="BD157" s="172"/>
      <c r="BE157" s="170" t="s">
        <v>677</v>
      </c>
      <c r="BF157" s="171">
        <v>3.472222222222222E-3</v>
      </c>
      <c r="BH157" s="104"/>
      <c r="BI157" s="32"/>
      <c r="BJ157" s="33"/>
      <c r="BK157" s="32"/>
      <c r="BL157" s="34"/>
      <c r="BM157" s="92"/>
      <c r="BN157" s="108"/>
      <c r="BO157" s="94"/>
      <c r="BP157" s="95"/>
      <c r="BQ157" s="105"/>
      <c r="BR157" s="5101"/>
      <c r="BS157" s="920"/>
      <c r="BT157" s="1495"/>
      <c r="BU157" s="101"/>
      <c r="BV157" s="1475"/>
      <c r="BX157" s="104"/>
      <c r="BY157" s="32"/>
      <c r="BZ157" s="33"/>
      <c r="CA157" s="32"/>
      <c r="CB157" s="34"/>
      <c r="CC157" s="92"/>
      <c r="CD157" s="108"/>
      <c r="CE157" s="94"/>
      <c r="CF157" s="95"/>
      <c r="CG157" s="105"/>
      <c r="CH157" s="5101"/>
      <c r="CI157" s="920"/>
      <c r="CJ157" s="1495"/>
      <c r="CK157" s="101"/>
      <c r="CL157" s="1475"/>
      <c r="CN157" s="104"/>
      <c r="CO157" s="32"/>
      <c r="CP157" s="33"/>
      <c r="CQ157" s="32"/>
      <c r="CR157" s="34"/>
      <c r="CS157" s="92"/>
      <c r="CT157" s="108"/>
      <c r="CU157" s="94"/>
      <c r="CV157" s="95"/>
      <c r="CW157" s="105"/>
      <c r="CX157" s="5101"/>
      <c r="CY157" s="920"/>
      <c r="CZ157" s="1495"/>
      <c r="DA157" s="101"/>
      <c r="DB157" s="1475"/>
      <c r="DC157" s="5109"/>
      <c r="DD157" s="5079"/>
      <c r="DF157" s="3">
        <v>1</v>
      </c>
      <c r="EY157" s="172"/>
      <c r="EZ157" s="172"/>
      <c r="FA157" s="172"/>
      <c r="FB157" s="172"/>
      <c r="FC157" s="555"/>
    </row>
    <row r="158" spans="2:159" ht="21" customHeight="1">
      <c r="B158" s="952" t="str">
        <f t="shared" si="35"/>
        <v>►</v>
      </c>
      <c r="C158" s="993" cm="1">
        <f t="array" ref="C158">SUMPRODUCT(LEN(D158:J158))</f>
        <v>0</v>
      </c>
      <c r="D158" s="167"/>
      <c r="E158" s="172"/>
      <c r="F158" s="172"/>
      <c r="G158" s="172"/>
      <c r="H158" s="172"/>
      <c r="I158" s="172"/>
      <c r="J158" s="173"/>
      <c r="K158" s="442" t="s">
        <v>22</v>
      </c>
      <c r="L158" s="104" t="s">
        <v>16</v>
      </c>
      <c r="M158" s="157" t="str">
        <f>M114</f>
        <v>P PRESSÉ DE BOUDIN NOIR | | Auteur &gt; Guy KRENZE - Eric GODDYN - Arnaud NICOLAS - CEPROC 2002</v>
      </c>
      <c r="N158" s="157">
        <f>N114</f>
        <v>20</v>
      </c>
      <c r="O158" s="158" t="str">
        <f>O114</f>
        <v>pressés de boudin</v>
      </c>
      <c r="P158" s="159" t="str">
        <f>P114</f>
        <v>Recette mère ► le Boudin en 4 déclinaisons</v>
      </c>
      <c r="Q158" s="172" t="s">
        <v>12858</v>
      </c>
      <c r="R158" s="172"/>
      <c r="S158" s="172"/>
      <c r="T158" s="172"/>
      <c r="U158" s="172"/>
      <c r="V158" s="172"/>
      <c r="W158" s="172"/>
      <c r="X158" s="172"/>
      <c r="Y158" s="170" t="s">
        <v>174</v>
      </c>
      <c r="Z158" s="174">
        <v>3.472222222222222E-3</v>
      </c>
      <c r="AB158" s="104" t="s">
        <v>16</v>
      </c>
      <c r="AC158" s="157" t="str">
        <f>AC114</f>
        <v>P PRESSED BLACK PUDDING TERRINE | |  Author &gt; Guy KRENZE - Eric GODDYN - Arnaud NICOLAS - CEPROC 2002</v>
      </c>
      <c r="AD158" s="157">
        <f>AD114</f>
        <v>20</v>
      </c>
      <c r="AE158" s="158" t="str">
        <f>AE114</f>
        <v>pressés de boudin</v>
      </c>
      <c r="AF158" s="159" t="str">
        <f>AF114</f>
        <v>Master recipe ► Black pudding in 4 variations</v>
      </c>
      <c r="AG158" s="172" t="s">
        <v>13014</v>
      </c>
      <c r="AH158" s="172"/>
      <c r="AI158" s="172"/>
      <c r="AJ158" s="172"/>
      <c r="AK158" s="172"/>
      <c r="AL158" s="172"/>
      <c r="AM158" s="172"/>
      <c r="AN158" s="172"/>
      <c r="AO158" s="170" t="s">
        <v>682</v>
      </c>
      <c r="AP158" s="174">
        <v>3.472222222222222E-3</v>
      </c>
      <c r="AR158" s="104" t="s">
        <v>16</v>
      </c>
      <c r="AS158" s="157" t="str">
        <f>AS114</f>
        <v>P PRENSADO DE MORCILLA (TERRINA) | | Autor &gt; Guy KRENZE - Eric GODDYN - Arnaud NICOLAS - CEPROC 2002</v>
      </c>
      <c r="AT158" s="157">
        <f>AT114</f>
        <v>20</v>
      </c>
      <c r="AU158" s="158" t="str">
        <f>AU114</f>
        <v>pressés de boudin</v>
      </c>
      <c r="AV158" s="159" t="str">
        <f>AV114</f>
        <v>Receta madre ► Morcilla en 4 versiones</v>
      </c>
      <c r="AW158" s="172" t="s">
        <v>12973</v>
      </c>
      <c r="AX158" s="172"/>
      <c r="AY158" s="172"/>
      <c r="AZ158" s="172"/>
      <c r="BA158" s="172"/>
      <c r="BB158" s="172"/>
      <c r="BC158" s="172"/>
      <c r="BD158" s="172"/>
      <c r="BE158" s="170" t="s">
        <v>683</v>
      </c>
      <c r="BF158" s="174">
        <v>3.472222222222222E-3</v>
      </c>
      <c r="BH158" s="104"/>
      <c r="BI158" s="32"/>
      <c r="BJ158" s="33"/>
      <c r="BK158" s="32"/>
      <c r="BL158" s="34"/>
      <c r="BM158" s="92"/>
      <c r="BN158" s="108"/>
      <c r="BO158" s="94"/>
      <c r="BP158" s="95"/>
      <c r="BQ158" s="105"/>
      <c r="BR158" s="5101"/>
      <c r="BS158" s="920"/>
      <c r="BT158" s="1495"/>
      <c r="BU158" s="101"/>
      <c r="BV158" s="1475"/>
      <c r="BX158" s="104"/>
      <c r="BY158" s="32"/>
      <c r="BZ158" s="33"/>
      <c r="CA158" s="32"/>
      <c r="CB158" s="34"/>
      <c r="CC158" s="92"/>
      <c r="CD158" s="108"/>
      <c r="CE158" s="94"/>
      <c r="CF158" s="95"/>
      <c r="CG158" s="105"/>
      <c r="CH158" s="5101"/>
      <c r="CI158" s="920"/>
      <c r="CJ158" s="1495"/>
      <c r="CK158" s="101"/>
      <c r="CL158" s="1475"/>
      <c r="CN158" s="104"/>
      <c r="CO158" s="32"/>
      <c r="CP158" s="33"/>
      <c r="CQ158" s="32"/>
      <c r="CR158" s="34"/>
      <c r="CS158" s="92"/>
      <c r="CT158" s="108"/>
      <c r="CU158" s="94"/>
      <c r="CV158" s="95"/>
      <c r="CW158" s="105"/>
      <c r="CX158" s="5101"/>
      <c r="CY158" s="920"/>
      <c r="CZ158" s="1495"/>
      <c r="DA158" s="101"/>
      <c r="DB158" s="1475"/>
      <c r="DC158" s="5109"/>
      <c r="DD158" s="5079"/>
      <c r="DF158" s="3">
        <v>1</v>
      </c>
      <c r="EY158" s="172"/>
      <c r="EZ158" s="172"/>
      <c r="FA158" s="172"/>
      <c r="FB158" s="172"/>
      <c r="FC158" s="555"/>
    </row>
    <row r="159" spans="2:159" ht="21" customHeight="1">
      <c r="B159" s="952" t="str">
        <f t="shared" si="35"/>
        <v>►</v>
      </c>
      <c r="C159" s="993" cm="1">
        <f t="array" ref="C159">SUMPRODUCT(LEN(D159:J159))</f>
        <v>0</v>
      </c>
      <c r="D159" s="167"/>
      <c r="E159" s="172"/>
      <c r="F159" s="172"/>
      <c r="G159" s="172"/>
      <c r="H159" s="172"/>
      <c r="I159" s="172"/>
      <c r="J159" s="173"/>
      <c r="K159" s="442" t="s">
        <v>22</v>
      </c>
      <c r="L159" s="104" t="s">
        <v>16</v>
      </c>
      <c r="M159" s="157" t="str">
        <f>M114</f>
        <v>P PRESSÉ DE BOUDIN NOIR | | Auteur &gt; Guy KRENZE - Eric GODDYN - Arnaud NICOLAS - CEPROC 2002</v>
      </c>
      <c r="N159" s="157">
        <f>N114</f>
        <v>20</v>
      </c>
      <c r="O159" s="158" t="str">
        <f>O114</f>
        <v>pressés de boudin</v>
      </c>
      <c r="P159" s="159" t="str">
        <f>P114</f>
        <v>Recette mère ► le Boudin en 4 déclinaisons</v>
      </c>
      <c r="Q159" s="172" t="s">
        <v>12859</v>
      </c>
      <c r="R159" s="172"/>
      <c r="S159" s="172"/>
      <c r="T159" s="172"/>
      <c r="U159" s="172"/>
      <c r="V159" s="172"/>
      <c r="W159" s="172"/>
      <c r="X159" s="172"/>
      <c r="Y159" s="170" t="s">
        <v>182</v>
      </c>
      <c r="Z159" s="175">
        <v>3.472222222222222E-3</v>
      </c>
      <c r="AB159" s="104" t="s">
        <v>16</v>
      </c>
      <c r="AC159" s="157" t="str">
        <f>AC114</f>
        <v>P PRESSED BLACK PUDDING TERRINE | |  Author &gt; Guy KRENZE - Eric GODDYN - Arnaud NICOLAS - CEPROC 2002</v>
      </c>
      <c r="AD159" s="157">
        <f>AD114</f>
        <v>20</v>
      </c>
      <c r="AE159" s="158" t="str">
        <f>AE114</f>
        <v>pressés de boudin</v>
      </c>
      <c r="AF159" s="159" t="str">
        <f>AF114</f>
        <v>Master recipe ► Black pudding in 4 variations</v>
      </c>
      <c r="AG159" s="172" t="s">
        <v>13015</v>
      </c>
      <c r="AH159" s="172"/>
      <c r="AI159" s="172"/>
      <c r="AJ159" s="172"/>
      <c r="AK159" s="172"/>
      <c r="AL159" s="172"/>
      <c r="AM159" s="172"/>
      <c r="AN159" s="172"/>
      <c r="AO159" s="170" t="s">
        <v>684</v>
      </c>
      <c r="AP159" s="175">
        <v>3.472222222222222E-3</v>
      </c>
      <c r="AR159" s="104" t="s">
        <v>16</v>
      </c>
      <c r="AS159" s="157" t="str">
        <f>AS114</f>
        <v>P PRENSADO DE MORCILLA (TERRINA) | | Autor &gt; Guy KRENZE - Eric GODDYN - Arnaud NICOLAS - CEPROC 2002</v>
      </c>
      <c r="AT159" s="157">
        <f>AT114</f>
        <v>20</v>
      </c>
      <c r="AU159" s="158" t="str">
        <f>AU114</f>
        <v>pressés de boudin</v>
      </c>
      <c r="AV159" s="159" t="str">
        <f>AV114</f>
        <v>Receta madre ► Morcilla en 4 versiones</v>
      </c>
      <c r="AW159" s="172" t="s">
        <v>13016</v>
      </c>
      <c r="AX159" s="172"/>
      <c r="AY159" s="172"/>
      <c r="AZ159" s="172"/>
      <c r="BA159" s="172"/>
      <c r="BB159" s="172"/>
      <c r="BC159" s="172"/>
      <c r="BD159" s="172"/>
      <c r="BE159" s="170" t="s">
        <v>911</v>
      </c>
      <c r="BF159" s="175">
        <v>3.472222222222222E-3</v>
      </c>
      <c r="BH159" s="104"/>
      <c r="BI159" s="32"/>
      <c r="BJ159" s="33"/>
      <c r="BK159" s="32"/>
      <c r="BL159" s="34"/>
      <c r="BM159" s="92"/>
      <c r="BN159" s="108"/>
      <c r="BO159" s="94"/>
      <c r="BP159" s="95"/>
      <c r="BQ159" s="105"/>
      <c r="BR159" s="5101"/>
      <c r="BS159" s="920"/>
      <c r="BT159" s="1495"/>
      <c r="BU159" s="101"/>
      <c r="BV159" s="1475"/>
      <c r="BX159" s="104"/>
      <c r="BY159" s="32"/>
      <c r="BZ159" s="33"/>
      <c r="CA159" s="32"/>
      <c r="CB159" s="34"/>
      <c r="CC159" s="92"/>
      <c r="CD159" s="108"/>
      <c r="CE159" s="94"/>
      <c r="CF159" s="95"/>
      <c r="CG159" s="105"/>
      <c r="CH159" s="5101"/>
      <c r="CI159" s="920"/>
      <c r="CJ159" s="1495"/>
      <c r="CK159" s="101"/>
      <c r="CL159" s="1475"/>
      <c r="CN159" s="104"/>
      <c r="CO159" s="32"/>
      <c r="CP159" s="33"/>
      <c r="CQ159" s="32"/>
      <c r="CR159" s="34"/>
      <c r="CS159" s="92"/>
      <c r="CT159" s="108"/>
      <c r="CU159" s="94"/>
      <c r="CV159" s="95"/>
      <c r="CW159" s="105"/>
      <c r="CX159" s="5101"/>
      <c r="CY159" s="920"/>
      <c r="CZ159" s="1495"/>
      <c r="DA159" s="101"/>
      <c r="DB159" s="1475"/>
      <c r="DC159" s="5109"/>
      <c r="DD159" s="5079"/>
      <c r="DF159" s="3">
        <v>1</v>
      </c>
      <c r="EY159" s="172"/>
      <c r="EZ159" s="172"/>
      <c r="FA159" s="172"/>
      <c r="FB159" s="172"/>
      <c r="FC159" s="555"/>
    </row>
    <row r="160" spans="2:159" ht="21" customHeight="1">
      <c r="B160" s="952" t="str">
        <f t="shared" si="35"/>
        <v>►</v>
      </c>
      <c r="C160" s="993" cm="1">
        <f t="array" ref="C160">SUMPRODUCT(LEN(D160:J160))</f>
        <v>0</v>
      </c>
      <c r="D160" s="167"/>
      <c r="E160" s="172"/>
      <c r="F160" s="172"/>
      <c r="G160" s="172"/>
      <c r="H160" s="172"/>
      <c r="I160" s="172"/>
      <c r="J160" s="173"/>
      <c r="K160" s="442" t="s">
        <v>22</v>
      </c>
      <c r="L160" s="104" t="s">
        <v>16</v>
      </c>
      <c r="M160" s="157" t="str">
        <f>M114</f>
        <v>P PRESSÉ DE BOUDIN NOIR | | Auteur &gt; Guy KRENZE - Eric GODDYN - Arnaud NICOLAS - CEPROC 2002</v>
      </c>
      <c r="N160" s="157">
        <f>N114</f>
        <v>20</v>
      </c>
      <c r="O160" s="158" t="str">
        <f>O114</f>
        <v>pressés de boudin</v>
      </c>
      <c r="P160" s="159" t="str">
        <f>P114</f>
        <v>Recette mère ► le Boudin en 4 déclinaisons</v>
      </c>
      <c r="Q160" s="172" t="s">
        <v>12860</v>
      </c>
      <c r="R160" s="172"/>
      <c r="S160" s="172"/>
      <c r="T160" s="172"/>
      <c r="U160" s="172"/>
      <c r="V160" s="172"/>
      <c r="W160" s="172"/>
      <c r="X160" s="172"/>
      <c r="Y160" s="176" t="s">
        <v>183</v>
      </c>
      <c r="Z160" s="177">
        <f>Z157+Z158+Z159</f>
        <v>1.0416666666666666E-2</v>
      </c>
      <c r="AB160" s="104" t="s">
        <v>16</v>
      </c>
      <c r="AC160" s="157" t="str">
        <f>AC114</f>
        <v>P PRESSED BLACK PUDDING TERRINE | |  Author &gt; Guy KRENZE - Eric GODDYN - Arnaud NICOLAS - CEPROC 2002</v>
      </c>
      <c r="AD160" s="157">
        <f>AD114</f>
        <v>20</v>
      </c>
      <c r="AE160" s="158" t="str">
        <f>AE114</f>
        <v>pressés de boudin</v>
      </c>
      <c r="AF160" s="159" t="str">
        <f>AF114</f>
        <v>Master recipe ► Black pudding in 4 variations</v>
      </c>
      <c r="AG160" s="172" t="s">
        <v>12976</v>
      </c>
      <c r="AH160" s="172"/>
      <c r="AI160" s="172"/>
      <c r="AJ160" s="172"/>
      <c r="AK160" s="172"/>
      <c r="AL160" s="172"/>
      <c r="AM160" s="172"/>
      <c r="AN160" s="172"/>
      <c r="AO160" s="176" t="s">
        <v>183</v>
      </c>
      <c r="AP160" s="177">
        <f>AP157+AP158+AP159</f>
        <v>1.0416666666666666E-2</v>
      </c>
      <c r="AR160" s="104" t="s">
        <v>16</v>
      </c>
      <c r="AS160" s="157" t="str">
        <f>AS114</f>
        <v>P PRENSADO DE MORCILLA (TERRINA) | | Autor &gt; Guy KRENZE - Eric GODDYN - Arnaud NICOLAS - CEPROC 2002</v>
      </c>
      <c r="AT160" s="157">
        <f>AT114</f>
        <v>20</v>
      </c>
      <c r="AU160" s="158" t="str">
        <f>AU114</f>
        <v>pressés de boudin</v>
      </c>
      <c r="AV160" s="159" t="str">
        <f>AV114</f>
        <v>Receta madre ► Morcilla en 4 versiones</v>
      </c>
      <c r="AW160" s="172" t="s">
        <v>12977</v>
      </c>
      <c r="AX160" s="172"/>
      <c r="AY160" s="172"/>
      <c r="AZ160" s="172"/>
      <c r="BA160" s="172"/>
      <c r="BB160" s="172"/>
      <c r="BC160" s="172"/>
      <c r="BD160" s="172"/>
      <c r="BE160" s="176" t="s">
        <v>183</v>
      </c>
      <c r="BF160" s="177">
        <f>BF157+BF158+BF159</f>
        <v>1.0416666666666666E-2</v>
      </c>
      <c r="BH160" s="104"/>
      <c r="BI160" s="32"/>
      <c r="BJ160" s="33"/>
      <c r="BK160" s="32"/>
      <c r="BL160" s="34"/>
      <c r="BM160" s="92"/>
      <c r="BN160" s="108"/>
      <c r="BO160" s="94"/>
      <c r="BP160" s="95"/>
      <c r="BQ160" s="105"/>
      <c r="BR160" s="5101"/>
      <c r="BS160" s="920"/>
      <c r="BT160" s="1495"/>
      <c r="BU160" s="101"/>
      <c r="BV160" s="1475"/>
      <c r="BX160" s="104"/>
      <c r="BY160" s="32"/>
      <c r="BZ160" s="33"/>
      <c r="CA160" s="32"/>
      <c r="CB160" s="34"/>
      <c r="CC160" s="92"/>
      <c r="CD160" s="108"/>
      <c r="CE160" s="94"/>
      <c r="CF160" s="95"/>
      <c r="CG160" s="105"/>
      <c r="CH160" s="5101"/>
      <c r="CI160" s="920"/>
      <c r="CJ160" s="1495"/>
      <c r="CK160" s="101"/>
      <c r="CL160" s="1475"/>
      <c r="CN160" s="104"/>
      <c r="CO160" s="32"/>
      <c r="CP160" s="33"/>
      <c r="CQ160" s="32"/>
      <c r="CR160" s="34"/>
      <c r="CS160" s="92"/>
      <c r="CT160" s="108"/>
      <c r="CU160" s="94"/>
      <c r="CV160" s="95"/>
      <c r="CW160" s="105"/>
      <c r="CX160" s="5101"/>
      <c r="CY160" s="920"/>
      <c r="CZ160" s="1495"/>
      <c r="DA160" s="101"/>
      <c r="DB160" s="1475"/>
      <c r="DC160" s="5109"/>
      <c r="DD160" s="5079"/>
      <c r="DF160" s="3">
        <v>1</v>
      </c>
      <c r="EY160" s="172"/>
      <c r="EZ160" s="172"/>
      <c r="FA160" s="172"/>
      <c r="FB160" s="172"/>
      <c r="FC160" s="555"/>
    </row>
    <row r="161" spans="2:159" ht="21" customHeight="1">
      <c r="B161" s="952" t="str">
        <f t="shared" si="35"/>
        <v>►</v>
      </c>
      <c r="C161" s="993" cm="1">
        <f t="array" ref="C161">SUMPRODUCT(LEN(D161:J161))</f>
        <v>0</v>
      </c>
      <c r="D161" s="167"/>
      <c r="E161" s="172"/>
      <c r="F161" s="172"/>
      <c r="G161" s="172"/>
      <c r="H161" s="172"/>
      <c r="I161" s="172"/>
      <c r="J161" s="173"/>
      <c r="K161" s="442" t="s">
        <v>22</v>
      </c>
      <c r="L161" s="104" t="s">
        <v>16</v>
      </c>
      <c r="M161" s="157" t="str">
        <f>M114</f>
        <v>P PRESSÉ DE BOUDIN NOIR | | Auteur &gt; Guy KRENZE - Eric GODDYN - Arnaud NICOLAS - CEPROC 2002</v>
      </c>
      <c r="N161" s="157">
        <f>N114</f>
        <v>20</v>
      </c>
      <c r="O161" s="158" t="str">
        <f>O114</f>
        <v>pressés de boudin</v>
      </c>
      <c r="P161" s="159" t="str">
        <f>P114</f>
        <v>Recette mère ► le Boudin en 4 déclinaisons</v>
      </c>
      <c r="Q161" s="172" t="s">
        <v>12978</v>
      </c>
      <c r="R161" s="172"/>
      <c r="S161" s="172"/>
      <c r="T161" s="172"/>
      <c r="U161" s="172"/>
      <c r="V161" s="172"/>
      <c r="W161" s="172"/>
      <c r="X161" s="172"/>
      <c r="Y161" s="172"/>
      <c r="Z161" s="555"/>
      <c r="AB161" s="104" t="s">
        <v>16</v>
      </c>
      <c r="AC161" s="157" t="str">
        <f>AC114</f>
        <v>P PRESSED BLACK PUDDING TERRINE | |  Author &gt; Guy KRENZE - Eric GODDYN - Arnaud NICOLAS - CEPROC 2002</v>
      </c>
      <c r="AD161" s="157">
        <f>AD114</f>
        <v>20</v>
      </c>
      <c r="AE161" s="158" t="str">
        <f>AE114</f>
        <v>pressés de boudin</v>
      </c>
      <c r="AF161" s="159" t="str">
        <f>AF114</f>
        <v>Master recipe ► Black pudding in 4 variations</v>
      </c>
      <c r="AG161" s="172" t="s">
        <v>12979</v>
      </c>
      <c r="AH161" s="172"/>
      <c r="AI161" s="172"/>
      <c r="AJ161" s="172"/>
      <c r="AK161" s="172"/>
      <c r="AL161" s="172"/>
      <c r="AM161" s="172"/>
      <c r="AN161" s="172"/>
      <c r="AO161" s="172"/>
      <c r="AP161" s="555"/>
      <c r="AR161" s="104" t="s">
        <v>16</v>
      </c>
      <c r="AS161" s="157" t="str">
        <f>AS114</f>
        <v>P PRENSADO DE MORCILLA (TERRINA) | | Autor &gt; Guy KRENZE - Eric GODDYN - Arnaud NICOLAS - CEPROC 2002</v>
      </c>
      <c r="AT161" s="157">
        <f>AT114</f>
        <v>20</v>
      </c>
      <c r="AU161" s="158" t="str">
        <f>AU114</f>
        <v>pressés de boudin</v>
      </c>
      <c r="AV161" s="159" t="str">
        <f>AV114</f>
        <v>Receta madre ► Morcilla en 4 versiones</v>
      </c>
      <c r="AW161" s="172" t="s">
        <v>12980</v>
      </c>
      <c r="AX161" s="172"/>
      <c r="AY161" s="172"/>
      <c r="AZ161" s="172"/>
      <c r="BA161" s="172"/>
      <c r="BB161" s="172"/>
      <c r="BC161" s="172"/>
      <c r="BD161" s="172"/>
      <c r="BE161" s="172"/>
      <c r="BF161" s="555"/>
      <c r="BH161" s="104"/>
      <c r="BI161" s="32"/>
      <c r="BJ161" s="33"/>
      <c r="BK161" s="32"/>
      <c r="BL161" s="34"/>
      <c r="BM161" s="92"/>
      <c r="BN161" s="108"/>
      <c r="BO161" s="94"/>
      <c r="BP161" s="95"/>
      <c r="BQ161" s="105"/>
      <c r="BR161" s="5101"/>
      <c r="BS161" s="920"/>
      <c r="BT161" s="1495"/>
      <c r="BU161" s="101"/>
      <c r="BV161" s="1475"/>
      <c r="BX161" s="104"/>
      <c r="BY161" s="32"/>
      <c r="BZ161" s="33"/>
      <c r="CA161" s="32"/>
      <c r="CB161" s="34"/>
      <c r="CC161" s="92"/>
      <c r="CD161" s="108"/>
      <c r="CE161" s="94"/>
      <c r="CF161" s="95"/>
      <c r="CG161" s="105"/>
      <c r="CH161" s="5101"/>
      <c r="CI161" s="920"/>
      <c r="CJ161" s="1495"/>
      <c r="CK161" s="101"/>
      <c r="CL161" s="1475"/>
      <c r="CN161" s="104"/>
      <c r="CO161" s="32"/>
      <c r="CP161" s="33"/>
      <c r="CQ161" s="32"/>
      <c r="CR161" s="34"/>
      <c r="CS161" s="92"/>
      <c r="CT161" s="108"/>
      <c r="CU161" s="94"/>
      <c r="CV161" s="95"/>
      <c r="CW161" s="105"/>
      <c r="CX161" s="5101"/>
      <c r="CY161" s="920"/>
      <c r="CZ161" s="1495"/>
      <c r="DA161" s="101"/>
      <c r="DB161" s="1475"/>
      <c r="DC161" s="5109"/>
      <c r="DD161" s="5079"/>
      <c r="DF161" s="3">
        <v>1</v>
      </c>
      <c r="EY161" s="172"/>
      <c r="EZ161" s="172"/>
      <c r="FA161" s="172"/>
      <c r="FB161" s="172"/>
      <c r="FC161" s="555"/>
    </row>
    <row r="162" spans="2:159" ht="21" customHeight="1">
      <c r="B162" s="952" t="str">
        <f t="shared" si="35"/>
        <v>►</v>
      </c>
      <c r="C162" s="993" cm="1">
        <f t="array" ref="C162">SUMPRODUCT(LEN(D162:J162))</f>
        <v>0</v>
      </c>
      <c r="D162" s="167"/>
      <c r="E162" s="172"/>
      <c r="F162" s="172"/>
      <c r="G162" s="172"/>
      <c r="H162" s="172"/>
      <c r="I162" s="172"/>
      <c r="J162" s="173"/>
      <c r="K162" s="442" t="s">
        <v>22</v>
      </c>
      <c r="L162" s="104" t="s">
        <v>16</v>
      </c>
      <c r="M162" s="157" t="str">
        <f>M114</f>
        <v>P PRESSÉ DE BOUDIN NOIR | | Auteur &gt; Guy KRENZE - Eric GODDYN - Arnaud NICOLAS - CEPROC 2002</v>
      </c>
      <c r="N162" s="157">
        <f>N114</f>
        <v>20</v>
      </c>
      <c r="O162" s="158" t="str">
        <f>O114</f>
        <v>pressés de boudin</v>
      </c>
      <c r="P162" s="159" t="str">
        <f>P114</f>
        <v>Recette mère ► le Boudin en 4 déclinaisons</v>
      </c>
      <c r="Q162" s="172" t="s">
        <v>12861</v>
      </c>
      <c r="R162" s="172"/>
      <c r="S162" s="172"/>
      <c r="T162" s="172"/>
      <c r="U162" s="172"/>
      <c r="V162" s="172"/>
      <c r="W162" s="172"/>
      <c r="X162" s="172"/>
      <c r="Y162" s="172"/>
      <c r="Z162" s="555"/>
      <c r="AB162" s="104" t="s">
        <v>16</v>
      </c>
      <c r="AC162" s="157" t="str">
        <f>AC114</f>
        <v>P PRESSED BLACK PUDDING TERRINE | |  Author &gt; Guy KRENZE - Eric GODDYN - Arnaud NICOLAS - CEPROC 2002</v>
      </c>
      <c r="AD162" s="157">
        <f>AD114</f>
        <v>20</v>
      </c>
      <c r="AE162" s="158" t="str">
        <f>AE114</f>
        <v>pressés de boudin</v>
      </c>
      <c r="AF162" s="159" t="str">
        <f>AF114</f>
        <v>Master recipe ► Black pudding in 4 variations</v>
      </c>
      <c r="AG162" s="172" t="s">
        <v>13017</v>
      </c>
      <c r="AH162" s="172"/>
      <c r="AI162" s="172"/>
      <c r="AJ162" s="172"/>
      <c r="AK162" s="172"/>
      <c r="AL162" s="172"/>
      <c r="AM162" s="172"/>
      <c r="AN162" s="172"/>
      <c r="AO162" s="172"/>
      <c r="AP162" s="555"/>
      <c r="AR162" s="104" t="s">
        <v>16</v>
      </c>
      <c r="AS162" s="157" t="str">
        <f>AS114</f>
        <v>P PRENSADO DE MORCILLA (TERRINA) | | Autor &gt; Guy KRENZE - Eric GODDYN - Arnaud NICOLAS - CEPROC 2002</v>
      </c>
      <c r="AT162" s="157">
        <f>AT114</f>
        <v>20</v>
      </c>
      <c r="AU162" s="158" t="str">
        <f>AU114</f>
        <v>pressés de boudin</v>
      </c>
      <c r="AV162" s="159" t="str">
        <f>AV114</f>
        <v>Receta madre ► Morcilla en 4 versiones</v>
      </c>
      <c r="AW162" s="172" t="s">
        <v>13018</v>
      </c>
      <c r="AX162" s="172"/>
      <c r="AY162" s="172"/>
      <c r="AZ162" s="172"/>
      <c r="BA162" s="172"/>
      <c r="BB162" s="172"/>
      <c r="BC162" s="172"/>
      <c r="BD162" s="172"/>
      <c r="BE162" s="172"/>
      <c r="BF162" s="555"/>
      <c r="BH162" s="104"/>
      <c r="BI162" s="32"/>
      <c r="BJ162" s="33"/>
      <c r="BK162" s="32"/>
      <c r="BL162" s="34"/>
      <c r="BM162" s="92"/>
      <c r="BN162" s="108"/>
      <c r="BO162" s="94"/>
      <c r="BP162" s="95"/>
      <c r="BQ162" s="105"/>
      <c r="BR162" s="5101"/>
      <c r="BS162" s="920"/>
      <c r="BT162" s="1495"/>
      <c r="BU162" s="101"/>
      <c r="BV162" s="1475"/>
      <c r="BX162" s="104"/>
      <c r="BY162" s="32"/>
      <c r="BZ162" s="33"/>
      <c r="CA162" s="32"/>
      <c r="CB162" s="34"/>
      <c r="CC162" s="92"/>
      <c r="CD162" s="108"/>
      <c r="CE162" s="94"/>
      <c r="CF162" s="95"/>
      <c r="CG162" s="105"/>
      <c r="CH162" s="5101"/>
      <c r="CI162" s="920"/>
      <c r="CJ162" s="1495"/>
      <c r="CK162" s="101"/>
      <c r="CL162" s="1475"/>
      <c r="CN162" s="104"/>
      <c r="CO162" s="32"/>
      <c r="CP162" s="33"/>
      <c r="CQ162" s="32"/>
      <c r="CR162" s="34"/>
      <c r="CS162" s="92"/>
      <c r="CT162" s="108"/>
      <c r="CU162" s="94"/>
      <c r="CV162" s="95"/>
      <c r="CW162" s="105"/>
      <c r="CX162" s="5101"/>
      <c r="CY162" s="920"/>
      <c r="CZ162" s="1495"/>
      <c r="DA162" s="101"/>
      <c r="DB162" s="1475"/>
      <c r="DC162" s="5109"/>
      <c r="DD162" s="5079"/>
      <c r="DF162" s="3">
        <v>1</v>
      </c>
      <c r="EY162" s="172"/>
      <c r="EZ162" s="172"/>
      <c r="FA162" s="172"/>
      <c r="FB162" s="172"/>
      <c r="FC162" s="555"/>
    </row>
    <row r="163" spans="2:159" ht="21" customHeight="1">
      <c r="B163" s="952" t="str">
        <f t="shared" si="35"/>
        <v>►</v>
      </c>
      <c r="C163" s="993" cm="1">
        <f t="array" ref="C163">SUMPRODUCT(LEN(D163:J163))</f>
        <v>0</v>
      </c>
      <c r="D163" s="167"/>
      <c r="E163" s="172"/>
      <c r="F163" s="172"/>
      <c r="G163" s="172"/>
      <c r="H163" s="172"/>
      <c r="I163" s="172"/>
      <c r="J163" s="173"/>
      <c r="K163" s="442" t="s">
        <v>22</v>
      </c>
      <c r="L163" s="104" t="s">
        <v>16</v>
      </c>
      <c r="M163" s="157" t="str">
        <f>M114</f>
        <v>P PRESSÉ DE BOUDIN NOIR | | Auteur &gt; Guy KRENZE - Eric GODDYN - Arnaud NICOLAS - CEPROC 2002</v>
      </c>
      <c r="N163" s="157">
        <f>N114</f>
        <v>20</v>
      </c>
      <c r="O163" s="158" t="str">
        <f>O114</f>
        <v>pressés de boudin</v>
      </c>
      <c r="P163" s="159" t="str">
        <f>P114</f>
        <v>Recette mère ► le Boudin en 4 déclinaisons</v>
      </c>
      <c r="Q163" s="172" t="s">
        <v>12862</v>
      </c>
      <c r="R163" s="172"/>
      <c r="S163" s="172"/>
      <c r="T163" s="172"/>
      <c r="U163" s="172"/>
      <c r="V163" s="172"/>
      <c r="W163" s="172"/>
      <c r="X163" s="172"/>
      <c r="Y163" s="172"/>
      <c r="Z163" s="555"/>
      <c r="AB163" s="104" t="s">
        <v>16</v>
      </c>
      <c r="AC163" s="157" t="str">
        <f>AC114</f>
        <v>P PRESSED BLACK PUDDING TERRINE | |  Author &gt; Guy KRENZE - Eric GODDYN - Arnaud NICOLAS - CEPROC 2002</v>
      </c>
      <c r="AD163" s="157">
        <f>AD114</f>
        <v>20</v>
      </c>
      <c r="AE163" s="158" t="str">
        <f>AE114</f>
        <v>pressés de boudin</v>
      </c>
      <c r="AF163" s="159" t="str">
        <f>AF114</f>
        <v>Master recipe ► Black pudding in 4 variations</v>
      </c>
      <c r="AG163" s="172" t="s">
        <v>12983</v>
      </c>
      <c r="AH163" s="172"/>
      <c r="AI163" s="172"/>
      <c r="AJ163" s="172"/>
      <c r="AK163" s="172"/>
      <c r="AL163" s="172"/>
      <c r="AM163" s="172"/>
      <c r="AN163" s="172"/>
      <c r="AO163" s="172"/>
      <c r="AP163" s="555"/>
      <c r="AR163" s="104" t="s">
        <v>16</v>
      </c>
      <c r="AS163" s="157" t="str">
        <f>AS114</f>
        <v>P PRENSADO DE MORCILLA (TERRINA) | | Autor &gt; Guy KRENZE - Eric GODDYN - Arnaud NICOLAS - CEPROC 2002</v>
      </c>
      <c r="AT163" s="157">
        <f>AT114</f>
        <v>20</v>
      </c>
      <c r="AU163" s="158" t="str">
        <f>AU114</f>
        <v>pressés de boudin</v>
      </c>
      <c r="AV163" s="159" t="str">
        <f>AV114</f>
        <v>Receta madre ► Morcilla en 4 versiones</v>
      </c>
      <c r="AW163" s="172" t="s">
        <v>12984</v>
      </c>
      <c r="AX163" s="172"/>
      <c r="AY163" s="172"/>
      <c r="AZ163" s="172"/>
      <c r="BA163" s="172"/>
      <c r="BB163" s="172"/>
      <c r="BC163" s="172"/>
      <c r="BD163" s="172"/>
      <c r="BE163" s="172"/>
      <c r="BF163" s="555"/>
      <c r="BH163" s="104"/>
      <c r="BI163" s="32"/>
      <c r="BJ163" s="33"/>
      <c r="BK163" s="32"/>
      <c r="BL163" s="34"/>
      <c r="BM163" s="92"/>
      <c r="BN163" s="108"/>
      <c r="BO163" s="94"/>
      <c r="BP163" s="95"/>
      <c r="BQ163" s="105"/>
      <c r="BR163" s="5101"/>
      <c r="BS163" s="920"/>
      <c r="BT163" s="1495"/>
      <c r="BU163" s="101"/>
      <c r="BV163" s="1475"/>
      <c r="BX163" s="104"/>
      <c r="BY163" s="32"/>
      <c r="BZ163" s="33"/>
      <c r="CA163" s="32"/>
      <c r="CB163" s="34"/>
      <c r="CC163" s="92"/>
      <c r="CD163" s="108"/>
      <c r="CE163" s="94"/>
      <c r="CF163" s="95"/>
      <c r="CG163" s="105"/>
      <c r="CH163" s="5101"/>
      <c r="CI163" s="920"/>
      <c r="CJ163" s="1495"/>
      <c r="CK163" s="101"/>
      <c r="CL163" s="1475"/>
      <c r="CN163" s="104"/>
      <c r="CO163" s="32"/>
      <c r="CP163" s="33"/>
      <c r="CQ163" s="32"/>
      <c r="CR163" s="34"/>
      <c r="CS163" s="92"/>
      <c r="CT163" s="108"/>
      <c r="CU163" s="94"/>
      <c r="CV163" s="95"/>
      <c r="CW163" s="105"/>
      <c r="CX163" s="5101"/>
      <c r="CY163" s="920"/>
      <c r="CZ163" s="1495"/>
      <c r="DA163" s="101"/>
      <c r="DB163" s="1475"/>
      <c r="DC163" s="5109"/>
      <c r="DD163" s="5079"/>
      <c r="DF163" s="3">
        <v>1</v>
      </c>
      <c r="EY163" s="172"/>
      <c r="EZ163" s="172"/>
      <c r="FA163" s="172"/>
      <c r="FB163" s="172"/>
      <c r="FC163" s="555"/>
    </row>
    <row r="164" spans="2:159" ht="21" customHeight="1">
      <c r="B164" s="952" t="str">
        <f t="shared" si="35"/>
        <v>►</v>
      </c>
      <c r="C164" s="993" cm="1">
        <f t="array" ref="C164">SUMPRODUCT(LEN(D164:J164))</f>
        <v>0</v>
      </c>
      <c r="D164" s="167"/>
      <c r="E164" s="172"/>
      <c r="F164" s="172"/>
      <c r="G164" s="172"/>
      <c r="H164" s="172"/>
      <c r="I164" s="172"/>
      <c r="J164" s="173"/>
      <c r="K164" s="442" t="s">
        <v>22</v>
      </c>
      <c r="L164" s="104" t="s">
        <v>16</v>
      </c>
      <c r="M164" s="157" t="str">
        <f>M114</f>
        <v>P PRESSÉ DE BOUDIN NOIR | | Auteur &gt; Guy KRENZE - Eric GODDYN - Arnaud NICOLAS - CEPROC 2002</v>
      </c>
      <c r="N164" s="157">
        <f>N114</f>
        <v>20</v>
      </c>
      <c r="O164" s="158" t="str">
        <f>O114</f>
        <v>pressés de boudin</v>
      </c>
      <c r="P164" s="159" t="str">
        <f>P114</f>
        <v>Recette mère ► le Boudin en 4 déclinaisons</v>
      </c>
      <c r="Q164" s="172" t="s">
        <v>12985</v>
      </c>
      <c r="R164" s="172"/>
      <c r="S164" s="172"/>
      <c r="T164" s="172"/>
      <c r="U164" s="172"/>
      <c r="V164" s="172"/>
      <c r="W164" s="172"/>
      <c r="X164" s="172"/>
      <c r="Y164" s="172"/>
      <c r="Z164" s="555"/>
      <c r="AB164" s="104" t="s">
        <v>16</v>
      </c>
      <c r="AC164" s="157" t="str">
        <f>AC114</f>
        <v>P PRESSED BLACK PUDDING TERRINE | |  Author &gt; Guy KRENZE - Eric GODDYN - Arnaud NICOLAS - CEPROC 2002</v>
      </c>
      <c r="AD164" s="157">
        <f>AD114</f>
        <v>20</v>
      </c>
      <c r="AE164" s="158" t="str">
        <f>AE114</f>
        <v>pressés de boudin</v>
      </c>
      <c r="AF164" s="159" t="str">
        <f>AF114</f>
        <v>Master recipe ► Black pudding in 4 variations</v>
      </c>
      <c r="AG164" s="172" t="s">
        <v>13019</v>
      </c>
      <c r="AH164" s="172"/>
      <c r="AI164" s="172"/>
      <c r="AJ164" s="172"/>
      <c r="AK164" s="172"/>
      <c r="AL164" s="172"/>
      <c r="AM164" s="172"/>
      <c r="AN164" s="172"/>
      <c r="AO164" s="172"/>
      <c r="AP164" s="555"/>
      <c r="AR164" s="104" t="s">
        <v>16</v>
      </c>
      <c r="AS164" s="157" t="str">
        <f>AS114</f>
        <v>P PRENSADO DE MORCILLA (TERRINA) | | Autor &gt; Guy KRENZE - Eric GODDYN - Arnaud NICOLAS - CEPROC 2002</v>
      </c>
      <c r="AT164" s="157">
        <f>AT114</f>
        <v>20</v>
      </c>
      <c r="AU164" s="158" t="str">
        <f>AU114</f>
        <v>pressés de boudin</v>
      </c>
      <c r="AV164" s="159" t="str">
        <f>AV114</f>
        <v>Receta madre ► Morcilla en 4 versiones</v>
      </c>
      <c r="AW164" s="172" t="s">
        <v>13020</v>
      </c>
      <c r="AX164" s="172"/>
      <c r="AY164" s="172"/>
      <c r="AZ164" s="172"/>
      <c r="BA164" s="172"/>
      <c r="BB164" s="172"/>
      <c r="BC164" s="172"/>
      <c r="BD164" s="172"/>
      <c r="BE164" s="172"/>
      <c r="BF164" s="555"/>
      <c r="BH164" s="104"/>
      <c r="BI164" s="32"/>
      <c r="BJ164" s="33"/>
      <c r="BK164" s="32"/>
      <c r="BL164" s="34"/>
      <c r="BM164" s="92"/>
      <c r="BN164" s="108"/>
      <c r="BO164" s="94"/>
      <c r="BP164" s="95"/>
      <c r="BQ164" s="105"/>
      <c r="BR164" s="5101"/>
      <c r="BS164" s="920"/>
      <c r="BT164" s="1495"/>
      <c r="BU164" s="101"/>
      <c r="BV164" s="1475"/>
      <c r="BX164" s="104"/>
      <c r="BY164" s="32"/>
      <c r="BZ164" s="33"/>
      <c r="CA164" s="32"/>
      <c r="CB164" s="34"/>
      <c r="CC164" s="92"/>
      <c r="CD164" s="108"/>
      <c r="CE164" s="94"/>
      <c r="CF164" s="95"/>
      <c r="CG164" s="105"/>
      <c r="CH164" s="5101"/>
      <c r="CI164" s="920"/>
      <c r="CJ164" s="1495"/>
      <c r="CK164" s="101"/>
      <c r="CL164" s="1475"/>
      <c r="CN164" s="104"/>
      <c r="CO164" s="32"/>
      <c r="CP164" s="33"/>
      <c r="CQ164" s="32"/>
      <c r="CR164" s="34"/>
      <c r="CS164" s="92"/>
      <c r="CT164" s="108"/>
      <c r="CU164" s="94"/>
      <c r="CV164" s="95"/>
      <c r="CW164" s="105"/>
      <c r="CX164" s="5101"/>
      <c r="CY164" s="920"/>
      <c r="CZ164" s="1495"/>
      <c r="DA164" s="101"/>
      <c r="DB164" s="1475"/>
      <c r="DC164" s="5109"/>
      <c r="DD164" s="5079"/>
      <c r="DF164" s="3">
        <v>1</v>
      </c>
      <c r="EY164" s="1536"/>
      <c r="EZ164" s="1536"/>
      <c r="FA164" s="1536"/>
      <c r="FB164" s="1536"/>
      <c r="FC164" s="1537"/>
    </row>
    <row r="165" spans="2:159" ht="21" customHeight="1">
      <c r="B165" s="952" t="str">
        <f t="shared" si="35"/>
        <v>►</v>
      </c>
      <c r="C165" s="993" cm="1">
        <f t="array" ref="C165">SUMPRODUCT(LEN(D165:J165))</f>
        <v>0</v>
      </c>
      <c r="D165" s="167"/>
      <c r="E165" s="172"/>
      <c r="F165" s="172"/>
      <c r="G165" s="172"/>
      <c r="H165" s="172"/>
      <c r="I165" s="172"/>
      <c r="J165" s="173"/>
      <c r="K165" s="442" t="s">
        <v>22</v>
      </c>
      <c r="L165" s="104" t="s">
        <v>16</v>
      </c>
      <c r="M165" s="157" t="str">
        <f>M114</f>
        <v>P PRESSÉ DE BOUDIN NOIR | | Auteur &gt; Guy KRENZE - Eric GODDYN - Arnaud NICOLAS - CEPROC 2002</v>
      </c>
      <c r="N165" s="157">
        <f>N114</f>
        <v>20</v>
      </c>
      <c r="O165" s="158" t="str">
        <f>O114</f>
        <v>pressés de boudin</v>
      </c>
      <c r="P165" s="159" t="str">
        <f>P114</f>
        <v>Recette mère ► le Boudin en 4 déclinaisons</v>
      </c>
      <c r="Q165" s="172" t="s">
        <v>12863</v>
      </c>
      <c r="R165" s="172"/>
      <c r="S165" s="172"/>
      <c r="T165" s="172"/>
      <c r="U165" s="172"/>
      <c r="V165" s="172"/>
      <c r="W165" s="172"/>
      <c r="X165" s="172"/>
      <c r="Y165" s="172"/>
      <c r="Z165" s="555"/>
      <c r="AB165" s="104" t="s">
        <v>16</v>
      </c>
      <c r="AC165" s="157" t="str">
        <f>AC114</f>
        <v>P PRESSED BLACK PUDDING TERRINE | |  Author &gt; Guy KRENZE - Eric GODDYN - Arnaud NICOLAS - CEPROC 2002</v>
      </c>
      <c r="AD165" s="157">
        <f>AD114</f>
        <v>20</v>
      </c>
      <c r="AE165" s="158" t="str">
        <f>AE114</f>
        <v>pressés de boudin</v>
      </c>
      <c r="AF165" s="159" t="str">
        <f>AF114</f>
        <v>Master recipe ► Black pudding in 4 variations</v>
      </c>
      <c r="AG165" s="172" t="s">
        <v>12988</v>
      </c>
      <c r="AH165" s="172"/>
      <c r="AI165" s="172"/>
      <c r="AJ165" s="172"/>
      <c r="AK165" s="172"/>
      <c r="AL165" s="172"/>
      <c r="AM165" s="172"/>
      <c r="AN165" s="172"/>
      <c r="AO165" s="172"/>
      <c r="AP165" s="555"/>
      <c r="AR165" s="104" t="s">
        <v>16</v>
      </c>
      <c r="AS165" s="157" t="str">
        <f>AS114</f>
        <v>P PRENSADO DE MORCILLA (TERRINA) | | Autor &gt; Guy KRENZE - Eric GODDYN - Arnaud NICOLAS - CEPROC 2002</v>
      </c>
      <c r="AT165" s="157">
        <f>AT114</f>
        <v>20</v>
      </c>
      <c r="AU165" s="158" t="str">
        <f>AU114</f>
        <v>pressés de boudin</v>
      </c>
      <c r="AV165" s="159" t="str">
        <f>AV114</f>
        <v>Receta madre ► Morcilla en 4 versiones</v>
      </c>
      <c r="AW165" s="172" t="s">
        <v>12989</v>
      </c>
      <c r="AX165" s="172"/>
      <c r="AY165" s="172"/>
      <c r="AZ165" s="172"/>
      <c r="BA165" s="172"/>
      <c r="BB165" s="172"/>
      <c r="BC165" s="172"/>
      <c r="BD165" s="172"/>
      <c r="BE165" s="172"/>
      <c r="BF165" s="555"/>
      <c r="BH165" s="104"/>
      <c r="BI165" s="32"/>
      <c r="BJ165" s="33"/>
      <c r="BK165" s="32"/>
      <c r="BL165" s="34"/>
      <c r="BM165" s="92"/>
      <c r="BN165" s="108"/>
      <c r="BO165" s="94"/>
      <c r="BP165" s="95"/>
      <c r="BQ165" s="105"/>
      <c r="BR165" s="5101"/>
      <c r="BS165" s="920"/>
      <c r="BT165" s="1495"/>
      <c r="BU165" s="101"/>
      <c r="BV165" s="1475"/>
      <c r="BX165" s="104"/>
      <c r="BY165" s="32"/>
      <c r="BZ165" s="33"/>
      <c r="CA165" s="32"/>
      <c r="CB165" s="34"/>
      <c r="CC165" s="92"/>
      <c r="CD165" s="108"/>
      <c r="CE165" s="94"/>
      <c r="CF165" s="95"/>
      <c r="CG165" s="105"/>
      <c r="CH165" s="5101"/>
      <c r="CI165" s="920"/>
      <c r="CJ165" s="1495"/>
      <c r="CK165" s="101"/>
      <c r="CL165" s="1475"/>
      <c r="CN165" s="104"/>
      <c r="CO165" s="32"/>
      <c r="CP165" s="33"/>
      <c r="CQ165" s="32"/>
      <c r="CR165" s="34"/>
      <c r="CS165" s="92"/>
      <c r="CT165" s="108"/>
      <c r="CU165" s="94"/>
      <c r="CV165" s="95"/>
      <c r="CW165" s="105"/>
      <c r="CX165" s="5101"/>
      <c r="CY165" s="920"/>
      <c r="CZ165" s="1495"/>
      <c r="DA165" s="101"/>
      <c r="DB165" s="1475"/>
      <c r="DC165" s="5109"/>
      <c r="DD165" s="5079"/>
      <c r="DF165" s="3">
        <v>1</v>
      </c>
      <c r="EY165" s="172"/>
      <c r="EZ165" s="172"/>
      <c r="FA165" s="172"/>
      <c r="FB165" s="172"/>
      <c r="FC165" s="555"/>
    </row>
    <row r="166" spans="2:159" ht="21" customHeight="1">
      <c r="B166" s="952" t="str">
        <f t="shared" si="35"/>
        <v>►</v>
      </c>
      <c r="C166" s="993" cm="1">
        <f t="array" ref="C166">SUMPRODUCT(LEN(D166:J166))</f>
        <v>0</v>
      </c>
      <c r="D166" s="167"/>
      <c r="E166" s="172"/>
      <c r="F166" s="172"/>
      <c r="G166" s="172"/>
      <c r="H166" s="172"/>
      <c r="I166" s="172"/>
      <c r="J166" s="173"/>
      <c r="K166" s="442" t="s">
        <v>22</v>
      </c>
      <c r="L166" s="104" t="s">
        <v>16</v>
      </c>
      <c r="M166" s="157" t="str">
        <f>M114</f>
        <v>P PRESSÉ DE BOUDIN NOIR | | Auteur &gt; Guy KRENZE - Eric GODDYN - Arnaud NICOLAS - CEPROC 2002</v>
      </c>
      <c r="N166" s="157">
        <f>N114</f>
        <v>20</v>
      </c>
      <c r="O166" s="158" t="str">
        <f>O114</f>
        <v>pressés de boudin</v>
      </c>
      <c r="P166" s="159" t="str">
        <f>P114</f>
        <v>Recette mère ► le Boudin en 4 déclinaisons</v>
      </c>
      <c r="Q166" s="5063" t="s">
        <v>2882</v>
      </c>
      <c r="R166" s="172"/>
      <c r="S166" s="172"/>
      <c r="T166" s="172"/>
      <c r="U166" s="172"/>
      <c r="V166" s="172"/>
      <c r="W166" s="172"/>
      <c r="X166" s="172"/>
      <c r="Y166" s="172"/>
      <c r="Z166" s="555"/>
      <c r="AB166" s="104" t="s">
        <v>16</v>
      </c>
      <c r="AC166" s="157" t="str">
        <f>AC114</f>
        <v>P PRESSED BLACK PUDDING TERRINE | |  Author &gt; Guy KRENZE - Eric GODDYN - Arnaud NICOLAS - CEPROC 2002</v>
      </c>
      <c r="AD166" s="157">
        <f>AD114</f>
        <v>20</v>
      </c>
      <c r="AE166" s="158" t="str">
        <f>AE114</f>
        <v>pressés de boudin</v>
      </c>
      <c r="AF166" s="159" t="str">
        <f>AF114</f>
        <v>Master recipe ► Black pudding in 4 variations</v>
      </c>
      <c r="AG166" s="5063" t="s">
        <v>2882</v>
      </c>
      <c r="AH166" s="172"/>
      <c r="AI166" s="172"/>
      <c r="AJ166" s="172"/>
      <c r="AK166" s="172"/>
      <c r="AL166" s="172"/>
      <c r="AM166" s="172"/>
      <c r="AN166" s="172"/>
      <c r="AO166" s="172"/>
      <c r="AP166" s="555"/>
      <c r="AR166" s="104" t="s">
        <v>16</v>
      </c>
      <c r="AS166" s="157" t="str">
        <f>AS114</f>
        <v>P PRENSADO DE MORCILLA (TERRINA) | | Autor &gt; Guy KRENZE - Eric GODDYN - Arnaud NICOLAS - CEPROC 2002</v>
      </c>
      <c r="AT166" s="157">
        <f>AT114</f>
        <v>20</v>
      </c>
      <c r="AU166" s="158" t="str">
        <f>AU114</f>
        <v>pressés de boudin</v>
      </c>
      <c r="AV166" s="159" t="str">
        <f>AV114</f>
        <v>Receta madre ► Morcilla en 4 versiones</v>
      </c>
      <c r="AW166" s="5063" t="s">
        <v>2882</v>
      </c>
      <c r="AX166" s="172"/>
      <c r="AY166" s="172"/>
      <c r="AZ166" s="172"/>
      <c r="BA166" s="172"/>
      <c r="BB166" s="172"/>
      <c r="BC166" s="172"/>
      <c r="BD166" s="172"/>
      <c r="BE166" s="172"/>
      <c r="BF166" s="555"/>
      <c r="BH166" s="104"/>
      <c r="BI166" s="32"/>
      <c r="BJ166" s="33"/>
      <c r="BK166" s="32"/>
      <c r="BL166" s="34"/>
      <c r="BM166" s="92"/>
      <c r="BN166" s="108"/>
      <c r="BO166" s="94"/>
      <c r="BP166" s="95"/>
      <c r="BQ166" s="105"/>
      <c r="BR166" s="5101"/>
      <c r="BS166" s="920"/>
      <c r="BT166" s="1495"/>
      <c r="BU166" s="101"/>
      <c r="BV166" s="1475"/>
      <c r="BX166" s="104"/>
      <c r="BY166" s="32"/>
      <c r="BZ166" s="33"/>
      <c r="CA166" s="32"/>
      <c r="CB166" s="34"/>
      <c r="CC166" s="92"/>
      <c r="CD166" s="108"/>
      <c r="CE166" s="94"/>
      <c r="CF166" s="95"/>
      <c r="CG166" s="105"/>
      <c r="CH166" s="5101"/>
      <c r="CI166" s="920"/>
      <c r="CJ166" s="1495"/>
      <c r="CK166" s="101"/>
      <c r="CL166" s="1475"/>
      <c r="CN166" s="104"/>
      <c r="CO166" s="32"/>
      <c r="CP166" s="33"/>
      <c r="CQ166" s="32"/>
      <c r="CR166" s="34"/>
      <c r="CS166" s="92"/>
      <c r="CT166" s="108"/>
      <c r="CU166" s="94"/>
      <c r="CV166" s="95"/>
      <c r="CW166" s="105"/>
      <c r="CX166" s="5101"/>
      <c r="CY166" s="920"/>
      <c r="CZ166" s="1495"/>
      <c r="DA166" s="101"/>
      <c r="DB166" s="1475"/>
      <c r="DC166" s="5109"/>
      <c r="DD166" s="5079"/>
      <c r="DF166" s="3">
        <v>1</v>
      </c>
      <c r="EY166" s="172"/>
      <c r="EZ166" s="172"/>
      <c r="FA166" s="172"/>
      <c r="FB166" s="172"/>
      <c r="FC166" s="555"/>
    </row>
    <row r="167" spans="2:159" ht="21" customHeight="1">
      <c r="B167" s="952" t="str">
        <f t="shared" si="35"/>
        <v>►</v>
      </c>
      <c r="C167" s="993" cm="1">
        <f t="array" ref="C167">SUMPRODUCT(LEN(D167:J167))</f>
        <v>0</v>
      </c>
      <c r="D167" s="167"/>
      <c r="E167" s="172"/>
      <c r="F167" s="172"/>
      <c r="G167" s="172"/>
      <c r="H167" s="172"/>
      <c r="I167" s="172"/>
      <c r="J167" s="173"/>
      <c r="K167" s="442" t="s">
        <v>22</v>
      </c>
      <c r="L167" s="104" t="s">
        <v>16</v>
      </c>
      <c r="M167" s="157" t="str">
        <f>M114</f>
        <v>P PRESSÉ DE BOUDIN NOIR | | Auteur &gt; Guy KRENZE - Eric GODDYN - Arnaud NICOLAS - CEPROC 2002</v>
      </c>
      <c r="N167" s="157">
        <f>N114</f>
        <v>20</v>
      </c>
      <c r="O167" s="158" t="str">
        <f>O114</f>
        <v>pressés de boudin</v>
      </c>
      <c r="P167" s="159" t="str">
        <f>P114</f>
        <v>Recette mère ► le Boudin en 4 déclinaisons</v>
      </c>
      <c r="Q167" s="172" t="s">
        <v>13021</v>
      </c>
      <c r="R167" s="172"/>
      <c r="S167" s="172"/>
      <c r="T167" s="172"/>
      <c r="U167" s="172"/>
      <c r="V167" s="172"/>
      <c r="W167" s="172"/>
      <c r="X167" s="172"/>
      <c r="Y167" s="172"/>
      <c r="Z167" s="555"/>
      <c r="AB167" s="104" t="s">
        <v>16</v>
      </c>
      <c r="AC167" s="157" t="str">
        <f>AC114</f>
        <v>P PRESSED BLACK PUDDING TERRINE | |  Author &gt; Guy KRENZE - Eric GODDYN - Arnaud NICOLAS - CEPROC 2002</v>
      </c>
      <c r="AD167" s="157">
        <f>AD114</f>
        <v>20</v>
      </c>
      <c r="AE167" s="158" t="str">
        <f>AE114</f>
        <v>pressés de boudin</v>
      </c>
      <c r="AF167" s="159" t="str">
        <f>AF114</f>
        <v>Master recipe ► Black pudding in 4 variations</v>
      </c>
      <c r="AG167" s="172" t="s">
        <v>13022</v>
      </c>
      <c r="AH167" s="172"/>
      <c r="AI167" s="172"/>
      <c r="AJ167" s="172"/>
      <c r="AK167" s="172"/>
      <c r="AL167" s="172"/>
      <c r="AM167" s="172"/>
      <c r="AN167" s="172"/>
      <c r="AO167" s="172"/>
      <c r="AP167" s="555"/>
      <c r="AR167" s="104" t="s">
        <v>16</v>
      </c>
      <c r="AS167" s="157" t="str">
        <f>AS114</f>
        <v>P PRENSADO DE MORCILLA (TERRINA) | | Autor &gt; Guy KRENZE - Eric GODDYN - Arnaud NICOLAS - CEPROC 2002</v>
      </c>
      <c r="AT167" s="157">
        <f>AT114</f>
        <v>20</v>
      </c>
      <c r="AU167" s="158" t="str">
        <f>AU114</f>
        <v>pressés de boudin</v>
      </c>
      <c r="AV167" s="159" t="str">
        <f>AV114</f>
        <v>Receta madre ► Morcilla en 4 versiones</v>
      </c>
      <c r="AW167" s="172" t="s">
        <v>13023</v>
      </c>
      <c r="AX167" s="172"/>
      <c r="AY167" s="172"/>
      <c r="AZ167" s="172"/>
      <c r="BA167" s="172"/>
      <c r="BB167" s="172"/>
      <c r="BC167" s="172"/>
      <c r="BD167" s="172"/>
      <c r="BE167" s="172"/>
      <c r="BF167" s="555"/>
      <c r="BH167" s="104"/>
      <c r="BI167" s="32"/>
      <c r="BJ167" s="33"/>
      <c r="BK167" s="32"/>
      <c r="BL167" s="34"/>
      <c r="BM167" s="92"/>
      <c r="BN167" s="108"/>
      <c r="BO167" s="94"/>
      <c r="BP167" s="95"/>
      <c r="BQ167" s="105"/>
      <c r="BR167" s="5101"/>
      <c r="BS167" s="920"/>
      <c r="BT167" s="1495"/>
      <c r="BU167" s="101"/>
      <c r="BV167" s="1475"/>
      <c r="BX167" s="104"/>
      <c r="BY167" s="32"/>
      <c r="BZ167" s="33"/>
      <c r="CA167" s="32"/>
      <c r="CB167" s="34"/>
      <c r="CC167" s="92"/>
      <c r="CD167" s="108"/>
      <c r="CE167" s="94"/>
      <c r="CF167" s="95"/>
      <c r="CG167" s="105"/>
      <c r="CH167" s="5101"/>
      <c r="CI167" s="920"/>
      <c r="CJ167" s="1495"/>
      <c r="CK167" s="101"/>
      <c r="CL167" s="1475"/>
      <c r="CN167" s="104"/>
      <c r="CO167" s="32"/>
      <c r="CP167" s="33"/>
      <c r="CQ167" s="32"/>
      <c r="CR167" s="34"/>
      <c r="CS167" s="92"/>
      <c r="CT167" s="108"/>
      <c r="CU167" s="94"/>
      <c r="CV167" s="95"/>
      <c r="CW167" s="105"/>
      <c r="CX167" s="5101"/>
      <c r="CY167" s="920"/>
      <c r="CZ167" s="1495"/>
      <c r="DA167" s="101"/>
      <c r="DB167" s="1475"/>
      <c r="DC167" s="5109"/>
      <c r="DD167" s="5079"/>
      <c r="DF167" s="3">
        <v>1</v>
      </c>
      <c r="EY167" s="172"/>
      <c r="EZ167" s="172"/>
      <c r="FA167" s="172"/>
      <c r="FB167" s="172"/>
      <c r="FC167" s="555"/>
    </row>
    <row r="168" spans="2:159" ht="21" customHeight="1">
      <c r="B168" s="952" t="str">
        <f t="shared" si="35"/>
        <v>►</v>
      </c>
      <c r="C168" s="993" cm="1">
        <f t="array" ref="C168">SUMPRODUCT(LEN(D168:J168))</f>
        <v>0</v>
      </c>
      <c r="D168" s="167"/>
      <c r="E168" s="172"/>
      <c r="F168" s="172"/>
      <c r="G168" s="172"/>
      <c r="H168" s="172"/>
      <c r="I168" s="172"/>
      <c r="J168" s="173"/>
      <c r="K168" s="442" t="s">
        <v>22</v>
      </c>
      <c r="L168" s="104" t="s">
        <v>16</v>
      </c>
      <c r="M168" s="157" t="str">
        <f>M114</f>
        <v>P PRESSÉ DE BOUDIN NOIR | | Auteur &gt; Guy KRENZE - Eric GODDYN - Arnaud NICOLAS - CEPROC 2002</v>
      </c>
      <c r="N168" s="157">
        <f>N114</f>
        <v>20</v>
      </c>
      <c r="O168" s="158" t="str">
        <f>O114</f>
        <v>pressés de boudin</v>
      </c>
      <c r="P168" s="159" t="str">
        <f>P114</f>
        <v>Recette mère ► le Boudin en 4 déclinaisons</v>
      </c>
      <c r="Q168" s="172" t="s">
        <v>13009</v>
      </c>
      <c r="R168" s="172"/>
      <c r="S168" s="172"/>
      <c r="T168" s="172"/>
      <c r="U168" s="172"/>
      <c r="V168" s="172"/>
      <c r="W168" s="172"/>
      <c r="X168" s="172"/>
      <c r="Y168" s="172"/>
      <c r="Z168" s="555"/>
      <c r="AB168" s="104" t="s">
        <v>16</v>
      </c>
      <c r="AC168" s="157" t="str">
        <f>AC114</f>
        <v>P PRESSED BLACK PUDDING TERRINE | |  Author &gt; Guy KRENZE - Eric GODDYN - Arnaud NICOLAS - CEPROC 2002</v>
      </c>
      <c r="AD168" s="157">
        <f>AD114</f>
        <v>20</v>
      </c>
      <c r="AE168" s="158" t="str">
        <f>AE114</f>
        <v>pressés de boudin</v>
      </c>
      <c r="AF168" s="159" t="str">
        <f>AF114</f>
        <v>Master recipe ► Black pudding in 4 variations</v>
      </c>
      <c r="AG168" s="172" t="s">
        <v>13024</v>
      </c>
      <c r="AH168" s="172"/>
      <c r="AI168" s="172"/>
      <c r="AJ168" s="172"/>
      <c r="AK168" s="172"/>
      <c r="AL168" s="172"/>
      <c r="AM168" s="172"/>
      <c r="AN168" s="172"/>
      <c r="AO168" s="172"/>
      <c r="AP168" s="555"/>
      <c r="AR168" s="104" t="s">
        <v>16</v>
      </c>
      <c r="AS168" s="157" t="str">
        <f>AS114</f>
        <v>P PRENSADO DE MORCILLA (TERRINA) | | Autor &gt; Guy KRENZE - Eric GODDYN - Arnaud NICOLAS - CEPROC 2002</v>
      </c>
      <c r="AT168" s="157">
        <f>AT114</f>
        <v>20</v>
      </c>
      <c r="AU168" s="158" t="str">
        <f>AU114</f>
        <v>pressés de boudin</v>
      </c>
      <c r="AV168" s="159" t="str">
        <f>AV114</f>
        <v>Receta madre ► Morcilla en 4 versiones</v>
      </c>
      <c r="AW168" s="172" t="s">
        <v>13025</v>
      </c>
      <c r="AX168" s="172"/>
      <c r="AY168" s="172"/>
      <c r="AZ168" s="172"/>
      <c r="BA168" s="172"/>
      <c r="BB168" s="172"/>
      <c r="BC168" s="172"/>
      <c r="BD168" s="172"/>
      <c r="BE168" s="172"/>
      <c r="BF168" s="555"/>
      <c r="BH168" s="104"/>
      <c r="BI168" s="32"/>
      <c r="BJ168" s="33"/>
      <c r="BK168" s="32"/>
      <c r="BL168" s="34"/>
      <c r="BM168" s="92"/>
      <c r="BN168" s="108"/>
      <c r="BO168" s="94"/>
      <c r="BP168" s="95"/>
      <c r="BQ168" s="105"/>
      <c r="BR168" s="5101"/>
      <c r="BS168" s="920"/>
      <c r="BT168" s="1495"/>
      <c r="BU168" s="101"/>
      <c r="BV168" s="1475"/>
      <c r="BX168" s="104"/>
      <c r="BY168" s="32"/>
      <c r="BZ168" s="33"/>
      <c r="CA168" s="32"/>
      <c r="CB168" s="34"/>
      <c r="CC168" s="92"/>
      <c r="CD168" s="108"/>
      <c r="CE168" s="94"/>
      <c r="CF168" s="95"/>
      <c r="CG168" s="105"/>
      <c r="CH168" s="5101"/>
      <c r="CI168" s="920"/>
      <c r="CJ168" s="1495"/>
      <c r="CK168" s="101"/>
      <c r="CL168" s="1475"/>
      <c r="CN168" s="104"/>
      <c r="CO168" s="32"/>
      <c r="CP168" s="33"/>
      <c r="CQ168" s="32"/>
      <c r="CR168" s="34"/>
      <c r="CS168" s="92"/>
      <c r="CT168" s="108"/>
      <c r="CU168" s="94"/>
      <c r="CV168" s="95"/>
      <c r="CW168" s="105"/>
      <c r="CX168" s="5101"/>
      <c r="CY168" s="920"/>
      <c r="CZ168" s="1495"/>
      <c r="DA168" s="101"/>
      <c r="DB168" s="1475"/>
      <c r="DC168" s="5109"/>
      <c r="DD168" s="5079"/>
      <c r="DF168" s="3">
        <v>1</v>
      </c>
      <c r="EY168" s="172"/>
      <c r="EZ168" s="172"/>
      <c r="FA168" s="172"/>
      <c r="FB168" s="172"/>
      <c r="FC168" s="555"/>
    </row>
    <row r="169" spans="2:159" ht="21" customHeight="1">
      <c r="B169" s="952" t="str">
        <f t="shared" si="35"/>
        <v>►</v>
      </c>
      <c r="C169" s="993" cm="1">
        <f t="array" ref="C169">SUMPRODUCT(LEN(D169:J169))</f>
        <v>0</v>
      </c>
      <c r="D169" s="167"/>
      <c r="E169" s="172"/>
      <c r="F169" s="172"/>
      <c r="G169" s="172"/>
      <c r="H169" s="172"/>
      <c r="I169" s="172"/>
      <c r="J169" s="173"/>
      <c r="K169" s="442" t="s">
        <v>22</v>
      </c>
      <c r="L169" s="104" t="s">
        <v>16</v>
      </c>
      <c r="M169" s="157" t="str">
        <f>M114</f>
        <v>P PRESSÉ DE BOUDIN NOIR | | Auteur &gt; Guy KRENZE - Eric GODDYN - Arnaud NICOLAS - CEPROC 2002</v>
      </c>
      <c r="N169" s="157">
        <f>N114</f>
        <v>20</v>
      </c>
      <c r="O169" s="158" t="str">
        <f>O114</f>
        <v>pressés de boudin</v>
      </c>
      <c r="P169" s="159" t="str">
        <f>P114</f>
        <v>Recette mère ► le Boudin en 4 déclinaisons</v>
      </c>
      <c r="Q169" s="172" t="s">
        <v>13010</v>
      </c>
      <c r="R169" s="172"/>
      <c r="S169" s="172"/>
      <c r="T169" s="172"/>
      <c r="U169" s="172"/>
      <c r="V169" s="172"/>
      <c r="W169" s="172"/>
      <c r="X169" s="172"/>
      <c r="Y169" s="172"/>
      <c r="Z169" s="555"/>
      <c r="AB169" s="104" t="s">
        <v>16</v>
      </c>
      <c r="AC169" s="157" t="str">
        <f>AC114</f>
        <v>P PRESSED BLACK PUDDING TERRINE | |  Author &gt; Guy KRENZE - Eric GODDYN - Arnaud NICOLAS - CEPROC 2002</v>
      </c>
      <c r="AD169" s="157">
        <f>AD114</f>
        <v>20</v>
      </c>
      <c r="AE169" s="158" t="str">
        <f>AE114</f>
        <v>pressés de boudin</v>
      </c>
      <c r="AF169" s="159" t="str">
        <f>AF114</f>
        <v>Master recipe ► Black pudding in 4 variations</v>
      </c>
      <c r="AG169" s="172" t="s">
        <v>13026</v>
      </c>
      <c r="AH169" s="172"/>
      <c r="AI169" s="172"/>
      <c r="AJ169" s="172"/>
      <c r="AK169" s="172"/>
      <c r="AL169" s="172"/>
      <c r="AM169" s="172"/>
      <c r="AN169" s="172"/>
      <c r="AO169" s="172"/>
      <c r="AP169" s="555"/>
      <c r="AR169" s="104" t="s">
        <v>16</v>
      </c>
      <c r="AS169" s="157" t="str">
        <f>AS114</f>
        <v>P PRENSADO DE MORCILLA (TERRINA) | | Autor &gt; Guy KRENZE - Eric GODDYN - Arnaud NICOLAS - CEPROC 2002</v>
      </c>
      <c r="AT169" s="157">
        <f>AT114</f>
        <v>20</v>
      </c>
      <c r="AU169" s="158" t="str">
        <f>AU114</f>
        <v>pressés de boudin</v>
      </c>
      <c r="AV169" s="159" t="str">
        <f>AV114</f>
        <v>Receta madre ► Morcilla en 4 versiones</v>
      </c>
      <c r="AW169" s="172" t="s">
        <v>13027</v>
      </c>
      <c r="AX169" s="172"/>
      <c r="AY169" s="172"/>
      <c r="AZ169" s="172"/>
      <c r="BA169" s="172"/>
      <c r="BB169" s="172"/>
      <c r="BC169" s="172"/>
      <c r="BD169" s="172"/>
      <c r="BE169" s="172"/>
      <c r="BF169" s="555"/>
      <c r="BH169" s="104"/>
      <c r="BI169" s="32"/>
      <c r="BJ169" s="33"/>
      <c r="BK169" s="32"/>
      <c r="BL169" s="34"/>
      <c r="BM169" s="92"/>
      <c r="BN169" s="108"/>
      <c r="BO169" s="94"/>
      <c r="BP169" s="95"/>
      <c r="BQ169" s="105"/>
      <c r="BR169" s="5101"/>
      <c r="BS169" s="920"/>
      <c r="BT169" s="1495"/>
      <c r="BU169" s="101"/>
      <c r="BV169" s="1475"/>
      <c r="BX169" s="104"/>
      <c r="BY169" s="32"/>
      <c r="BZ169" s="33"/>
      <c r="CA169" s="32"/>
      <c r="CB169" s="34"/>
      <c r="CC169" s="92"/>
      <c r="CD169" s="108"/>
      <c r="CE169" s="94"/>
      <c r="CF169" s="95"/>
      <c r="CG169" s="105"/>
      <c r="CH169" s="5101"/>
      <c r="CI169" s="920"/>
      <c r="CJ169" s="1495"/>
      <c r="CK169" s="101"/>
      <c r="CL169" s="1475"/>
      <c r="CN169" s="104"/>
      <c r="CO169" s="32"/>
      <c r="CP169" s="33"/>
      <c r="CQ169" s="32"/>
      <c r="CR169" s="34"/>
      <c r="CS169" s="92"/>
      <c r="CT169" s="108"/>
      <c r="CU169" s="94"/>
      <c r="CV169" s="95"/>
      <c r="CW169" s="105"/>
      <c r="CX169" s="5101"/>
      <c r="CY169" s="920"/>
      <c r="CZ169" s="1495"/>
      <c r="DA169" s="101"/>
      <c r="DB169" s="1475"/>
      <c r="DC169" s="5109"/>
      <c r="DD169" s="5069"/>
      <c r="DF169" s="3">
        <v>1</v>
      </c>
      <c r="EY169" s="172"/>
      <c r="EZ169" s="172"/>
      <c r="FA169" s="172"/>
      <c r="FB169" s="172"/>
      <c r="FC169" s="555"/>
    </row>
    <row r="170" spans="2:159" ht="21" customHeight="1">
      <c r="B170" s="952" t="str">
        <f t="shared" si="35"/>
        <v>►</v>
      </c>
      <c r="C170" s="993" cm="1">
        <f t="array" ref="C170">SUMPRODUCT(LEN(D170:J170))</f>
        <v>0</v>
      </c>
      <c r="D170" s="167"/>
      <c r="E170" s="172"/>
      <c r="F170" s="172"/>
      <c r="G170" s="172"/>
      <c r="H170" s="172"/>
      <c r="I170" s="172"/>
      <c r="J170" s="173"/>
      <c r="K170" s="442" t="s">
        <v>22</v>
      </c>
      <c r="L170" s="104" t="s">
        <v>16</v>
      </c>
      <c r="M170" s="157" t="str">
        <f>M114</f>
        <v>P PRESSÉ DE BOUDIN NOIR | | Auteur &gt; Guy KRENZE - Eric GODDYN - Arnaud NICOLAS - CEPROC 2002</v>
      </c>
      <c r="N170" s="157">
        <f>N114</f>
        <v>20</v>
      </c>
      <c r="O170" s="158" t="str">
        <f>O114</f>
        <v>pressés de boudin</v>
      </c>
      <c r="P170" s="159" t="str">
        <f>P114</f>
        <v>Recette mère ► le Boudin en 4 déclinaisons</v>
      </c>
      <c r="Q170" s="172" t="s">
        <v>12864</v>
      </c>
      <c r="R170" s="172"/>
      <c r="S170" s="172"/>
      <c r="T170" s="172"/>
      <c r="U170" s="172"/>
      <c r="V170" s="172"/>
      <c r="W170" s="172"/>
      <c r="X170" s="172"/>
      <c r="Y170" s="172"/>
      <c r="Z170" s="555"/>
      <c r="AB170" s="104" t="s">
        <v>16</v>
      </c>
      <c r="AC170" s="157" t="str">
        <f>AC114</f>
        <v>P PRESSED BLACK PUDDING TERRINE | |  Author &gt; Guy KRENZE - Eric GODDYN - Arnaud NICOLAS - CEPROC 2002</v>
      </c>
      <c r="AD170" s="157">
        <f>AD114</f>
        <v>20</v>
      </c>
      <c r="AE170" s="158" t="str">
        <f>AE114</f>
        <v>pressés de boudin</v>
      </c>
      <c r="AF170" s="159" t="str">
        <f>AF114</f>
        <v>Master recipe ► Black pudding in 4 variations</v>
      </c>
      <c r="AG170" s="172" t="s">
        <v>12993</v>
      </c>
      <c r="AH170" s="172"/>
      <c r="AI170" s="172"/>
      <c r="AJ170" s="172"/>
      <c r="AK170" s="172"/>
      <c r="AL170" s="172"/>
      <c r="AM170" s="172"/>
      <c r="AN170" s="172"/>
      <c r="AO170" s="172"/>
      <c r="AP170" s="555"/>
      <c r="AR170" s="104" t="s">
        <v>16</v>
      </c>
      <c r="AS170" s="157" t="str">
        <f>AS114</f>
        <v>P PRENSADO DE MORCILLA (TERRINA) | | Autor &gt; Guy KRENZE - Eric GODDYN - Arnaud NICOLAS - CEPROC 2002</v>
      </c>
      <c r="AT170" s="157">
        <f>AT114</f>
        <v>20</v>
      </c>
      <c r="AU170" s="158" t="str">
        <f>AU114</f>
        <v>pressés de boudin</v>
      </c>
      <c r="AV170" s="159" t="str">
        <f>AV114</f>
        <v>Receta madre ► Morcilla en 4 versiones</v>
      </c>
      <c r="AW170" s="172" t="s">
        <v>12994</v>
      </c>
      <c r="AX170" s="172"/>
      <c r="AY170" s="172"/>
      <c r="AZ170" s="172"/>
      <c r="BA170" s="172"/>
      <c r="BB170" s="172"/>
      <c r="BC170" s="172"/>
      <c r="BD170" s="172"/>
      <c r="BE170" s="172"/>
      <c r="BF170" s="555"/>
      <c r="BH170" s="104"/>
      <c r="BI170" s="32"/>
      <c r="BJ170" s="33"/>
      <c r="BK170" s="32"/>
      <c r="BL170" s="34"/>
      <c r="BM170" s="92"/>
      <c r="BN170" s="108"/>
      <c r="BO170" s="94"/>
      <c r="BP170" s="95"/>
      <c r="BQ170" s="105"/>
      <c r="BR170" s="5101"/>
      <c r="BS170" s="920"/>
      <c r="BT170" s="1495"/>
      <c r="BU170" s="101"/>
      <c r="BV170" s="1475"/>
      <c r="BX170" s="104"/>
      <c r="BY170" s="32"/>
      <c r="BZ170" s="33"/>
      <c r="CA170" s="32"/>
      <c r="CB170" s="34"/>
      <c r="CC170" s="92"/>
      <c r="CD170" s="108"/>
      <c r="CE170" s="94"/>
      <c r="CF170" s="95"/>
      <c r="CG170" s="105"/>
      <c r="CH170" s="5101"/>
      <c r="CI170" s="920"/>
      <c r="CJ170" s="1495"/>
      <c r="CK170" s="101"/>
      <c r="CL170" s="1475"/>
      <c r="CN170" s="104"/>
      <c r="CO170" s="32"/>
      <c r="CP170" s="33"/>
      <c r="CQ170" s="32"/>
      <c r="CR170" s="34"/>
      <c r="CS170" s="92"/>
      <c r="CT170" s="108"/>
      <c r="CU170" s="94"/>
      <c r="CV170" s="95"/>
      <c r="CW170" s="105"/>
      <c r="CX170" s="5101"/>
      <c r="CY170" s="920"/>
      <c r="CZ170" s="1495"/>
      <c r="DA170" s="101"/>
      <c r="DB170" s="1475"/>
      <c r="DC170" s="5109"/>
      <c r="DD170" s="5093"/>
      <c r="DF170" s="3">
        <v>1</v>
      </c>
      <c r="EY170" s="172"/>
      <c r="EZ170" s="172"/>
      <c r="FA170" s="172"/>
      <c r="FB170" s="172"/>
      <c r="FC170" s="555"/>
    </row>
    <row r="171" spans="2:159" ht="21" customHeight="1">
      <c r="B171" s="952" t="str">
        <f t="shared" si="35"/>
        <v>►</v>
      </c>
      <c r="C171" s="993" cm="1">
        <f t="array" ref="C171">SUMPRODUCT(LEN(D171:J171))</f>
        <v>0</v>
      </c>
      <c r="D171" s="167"/>
      <c r="E171" s="172"/>
      <c r="F171" s="172"/>
      <c r="G171" s="172"/>
      <c r="H171" s="172"/>
      <c r="I171" s="172"/>
      <c r="J171" s="173"/>
      <c r="K171" s="442" t="s">
        <v>22</v>
      </c>
      <c r="L171" s="104" t="s">
        <v>16</v>
      </c>
      <c r="M171" s="157" t="str">
        <f>M114</f>
        <v>P PRESSÉ DE BOUDIN NOIR | | Auteur &gt; Guy KRENZE - Eric GODDYN - Arnaud NICOLAS - CEPROC 2002</v>
      </c>
      <c r="N171" s="157">
        <f>N114</f>
        <v>20</v>
      </c>
      <c r="O171" s="158" t="str">
        <f>O114</f>
        <v>pressés de boudin</v>
      </c>
      <c r="P171" s="159" t="str">
        <f>P114</f>
        <v>Recette mère ► le Boudin en 4 déclinaisons</v>
      </c>
      <c r="Q171" s="172"/>
      <c r="R171" s="172"/>
      <c r="S171" s="172"/>
      <c r="T171" s="172"/>
      <c r="U171" s="172"/>
      <c r="V171" s="172"/>
      <c r="W171" s="172"/>
      <c r="X171" s="172"/>
      <c r="Y171" s="172"/>
      <c r="Z171" s="555"/>
      <c r="AB171" s="104" t="s">
        <v>16</v>
      </c>
      <c r="AC171" s="157" t="str">
        <f>AC114</f>
        <v>P PRESSED BLACK PUDDING TERRINE | |  Author &gt; Guy KRENZE - Eric GODDYN - Arnaud NICOLAS - CEPROC 2002</v>
      </c>
      <c r="AD171" s="157">
        <f>AD114</f>
        <v>20</v>
      </c>
      <c r="AE171" s="158" t="str">
        <f>AE114</f>
        <v>pressés de boudin</v>
      </c>
      <c r="AF171" s="159" t="str">
        <f>AF114</f>
        <v>Master recipe ► Black pudding in 4 variations</v>
      </c>
      <c r="AG171" s="172"/>
      <c r="AH171" s="172"/>
      <c r="AI171" s="172"/>
      <c r="AJ171" s="172"/>
      <c r="AK171" s="172"/>
      <c r="AL171" s="172"/>
      <c r="AM171" s="172"/>
      <c r="AN171" s="172"/>
      <c r="AO171" s="172"/>
      <c r="AP171" s="555"/>
      <c r="AR171" s="104" t="s">
        <v>16</v>
      </c>
      <c r="AS171" s="157" t="str">
        <f>AS114</f>
        <v>P PRENSADO DE MORCILLA (TERRINA) | | Autor &gt; Guy KRENZE - Eric GODDYN - Arnaud NICOLAS - CEPROC 2002</v>
      </c>
      <c r="AT171" s="157">
        <f>AT114</f>
        <v>20</v>
      </c>
      <c r="AU171" s="158" t="str">
        <f>AU114</f>
        <v>pressés de boudin</v>
      </c>
      <c r="AV171" s="159" t="str">
        <f>AV114</f>
        <v>Receta madre ► Morcilla en 4 versiones</v>
      </c>
      <c r="AW171" s="172"/>
      <c r="AX171" s="172"/>
      <c r="AY171" s="172"/>
      <c r="AZ171" s="172"/>
      <c r="BA171" s="172"/>
      <c r="BB171" s="172"/>
      <c r="BC171" s="172"/>
      <c r="BD171" s="172"/>
      <c r="BE171" s="172"/>
      <c r="BF171" s="555"/>
      <c r="BH171" s="104"/>
      <c r="BI171" s="32"/>
      <c r="BJ171" s="33"/>
      <c r="BK171" s="32"/>
      <c r="BL171" s="34"/>
      <c r="BM171" s="92"/>
      <c r="BN171" s="108"/>
      <c r="BO171" s="94"/>
      <c r="BP171" s="95"/>
      <c r="BQ171" s="105"/>
      <c r="BR171" s="5101"/>
      <c r="BS171" s="920"/>
      <c r="BT171" s="1495"/>
      <c r="BU171" s="101"/>
      <c r="BV171" s="1475"/>
      <c r="BX171" s="104"/>
      <c r="BY171" s="32"/>
      <c r="BZ171" s="33"/>
      <c r="CA171" s="32"/>
      <c r="CB171" s="34"/>
      <c r="CC171" s="92"/>
      <c r="CD171" s="108"/>
      <c r="CE171" s="94"/>
      <c r="CF171" s="95"/>
      <c r="CG171" s="105"/>
      <c r="CH171" s="5101"/>
      <c r="CI171" s="920"/>
      <c r="CJ171" s="1495"/>
      <c r="CK171" s="101"/>
      <c r="CL171" s="1475"/>
      <c r="CN171" s="104"/>
      <c r="CO171" s="32"/>
      <c r="CP171" s="33"/>
      <c r="CQ171" s="32"/>
      <c r="CR171" s="34"/>
      <c r="CS171" s="92"/>
      <c r="CT171" s="108"/>
      <c r="CU171" s="94"/>
      <c r="CV171" s="95"/>
      <c r="CW171" s="105"/>
      <c r="CX171" s="5101"/>
      <c r="CY171" s="920"/>
      <c r="CZ171" s="1495"/>
      <c r="DA171" s="101"/>
      <c r="DB171" s="1475"/>
      <c r="DC171" s="5109"/>
      <c r="DD171" s="5086"/>
      <c r="DF171" s="3">
        <v>1</v>
      </c>
      <c r="EY171" s="172"/>
      <c r="EZ171" s="172"/>
      <c r="FA171" s="172"/>
      <c r="FB171" s="172"/>
      <c r="FC171" s="555"/>
    </row>
    <row r="172" spans="2:159" ht="21" customHeight="1">
      <c r="B172" s="952" t="str">
        <f t="shared" si="35"/>
        <v>►</v>
      </c>
      <c r="C172" s="993" cm="1">
        <f t="array" ref="C172">SUMPRODUCT(LEN(D172:J172))</f>
        <v>0</v>
      </c>
      <c r="D172" s="167"/>
      <c r="E172" s="172"/>
      <c r="F172" s="172"/>
      <c r="G172" s="172"/>
      <c r="H172" s="172"/>
      <c r="I172" s="172"/>
      <c r="J172" s="173"/>
      <c r="K172" s="442" t="s">
        <v>22</v>
      </c>
      <c r="L172" s="104" t="s">
        <v>16</v>
      </c>
      <c r="M172" s="157" t="str">
        <f>M114</f>
        <v>P PRESSÉ DE BOUDIN NOIR | | Auteur &gt; Guy KRENZE - Eric GODDYN - Arnaud NICOLAS - CEPROC 2002</v>
      </c>
      <c r="N172" s="157">
        <f>N114</f>
        <v>20</v>
      </c>
      <c r="O172" s="158" t="str">
        <f>O114</f>
        <v>pressés de boudin</v>
      </c>
      <c r="P172" s="159" t="str">
        <f>P114</f>
        <v>Recette mère ► le Boudin en 4 déclinaisons</v>
      </c>
      <c r="Q172" s="172"/>
      <c r="R172" s="172"/>
      <c r="S172" s="172"/>
      <c r="T172" s="172"/>
      <c r="U172" s="172"/>
      <c r="V172" s="172"/>
      <c r="W172" s="172"/>
      <c r="X172" s="172"/>
      <c r="Y172" s="172"/>
      <c r="Z172" s="555"/>
      <c r="AB172" s="104" t="s">
        <v>16</v>
      </c>
      <c r="AC172" s="157" t="str">
        <f>AC114</f>
        <v>P PRESSED BLACK PUDDING TERRINE | |  Author &gt; Guy KRENZE - Eric GODDYN - Arnaud NICOLAS - CEPROC 2002</v>
      </c>
      <c r="AD172" s="157">
        <f>AD114</f>
        <v>20</v>
      </c>
      <c r="AE172" s="158" t="str">
        <f>AE114</f>
        <v>pressés de boudin</v>
      </c>
      <c r="AF172" s="159" t="str">
        <f>AF114</f>
        <v>Master recipe ► Black pudding in 4 variations</v>
      </c>
      <c r="AG172" s="172"/>
      <c r="AH172" s="172"/>
      <c r="AI172" s="172"/>
      <c r="AJ172" s="172"/>
      <c r="AK172" s="172"/>
      <c r="AL172" s="172"/>
      <c r="AM172" s="172"/>
      <c r="AN172" s="172"/>
      <c r="AO172" s="172"/>
      <c r="AP172" s="555"/>
      <c r="AR172" s="104" t="s">
        <v>16</v>
      </c>
      <c r="AS172" s="157" t="str">
        <f>AS114</f>
        <v>P PRENSADO DE MORCILLA (TERRINA) | | Autor &gt; Guy KRENZE - Eric GODDYN - Arnaud NICOLAS - CEPROC 2002</v>
      </c>
      <c r="AT172" s="157">
        <f>AT114</f>
        <v>20</v>
      </c>
      <c r="AU172" s="158" t="str">
        <f>AU114</f>
        <v>pressés de boudin</v>
      </c>
      <c r="AV172" s="159" t="str">
        <f>AV114</f>
        <v>Receta madre ► Morcilla en 4 versiones</v>
      </c>
      <c r="AW172" s="172"/>
      <c r="AX172" s="172"/>
      <c r="AY172" s="172"/>
      <c r="AZ172" s="172"/>
      <c r="BA172" s="172"/>
      <c r="BB172" s="172"/>
      <c r="BC172" s="172"/>
      <c r="BD172" s="172"/>
      <c r="BE172" s="172"/>
      <c r="BF172" s="555"/>
      <c r="BH172" s="104"/>
      <c r="BI172" s="32"/>
      <c r="BJ172" s="33"/>
      <c r="BK172" s="32"/>
      <c r="BL172" s="34"/>
      <c r="BM172" s="92"/>
      <c r="BN172" s="108"/>
      <c r="BO172" s="94"/>
      <c r="BP172" s="95"/>
      <c r="BQ172" s="105"/>
      <c r="BR172" s="5101"/>
      <c r="BS172" s="920"/>
      <c r="BT172" s="1495"/>
      <c r="BU172" s="101"/>
      <c r="BV172" s="1475"/>
      <c r="BX172" s="104"/>
      <c r="BY172" s="32"/>
      <c r="BZ172" s="33"/>
      <c r="CA172" s="32"/>
      <c r="CB172" s="34"/>
      <c r="CC172" s="92"/>
      <c r="CD172" s="108"/>
      <c r="CE172" s="94"/>
      <c r="CF172" s="95"/>
      <c r="CG172" s="105"/>
      <c r="CH172" s="5101"/>
      <c r="CI172" s="920"/>
      <c r="CJ172" s="1495"/>
      <c r="CK172" s="101"/>
      <c r="CL172" s="1475"/>
      <c r="CN172" s="104"/>
      <c r="CO172" s="32"/>
      <c r="CP172" s="33"/>
      <c r="CQ172" s="32"/>
      <c r="CR172" s="34"/>
      <c r="CS172" s="92"/>
      <c r="CT172" s="108"/>
      <c r="CU172" s="94"/>
      <c r="CV172" s="95"/>
      <c r="CW172" s="105"/>
      <c r="CX172" s="5101"/>
      <c r="CY172" s="920"/>
      <c r="CZ172" s="1495"/>
      <c r="DA172" s="101"/>
      <c r="DB172" s="1475"/>
      <c r="DC172" s="5109"/>
      <c r="DD172" s="5093"/>
      <c r="DF172" s="3">
        <v>1</v>
      </c>
      <c r="EY172" s="172"/>
      <c r="EZ172" s="172"/>
      <c r="FA172" s="172"/>
      <c r="FB172" s="172"/>
      <c r="FC172" s="555"/>
    </row>
    <row r="173" spans="2:159" ht="21" customHeight="1">
      <c r="B173" s="952" t="str">
        <f t="shared" si="35"/>
        <v>►</v>
      </c>
      <c r="C173" s="993" cm="1">
        <f t="array" ref="C173">SUMPRODUCT(LEN(D173:J173))</f>
        <v>0</v>
      </c>
      <c r="D173" s="167"/>
      <c r="E173" s="172"/>
      <c r="F173" s="172"/>
      <c r="G173" s="172"/>
      <c r="H173" s="172"/>
      <c r="I173" s="172"/>
      <c r="J173" s="173"/>
      <c r="K173" s="442" t="s">
        <v>22</v>
      </c>
      <c r="L173" s="104" t="s">
        <v>16</v>
      </c>
      <c r="M173" s="157" t="str">
        <f>M114</f>
        <v>P PRESSÉ DE BOUDIN NOIR | | Auteur &gt; Guy KRENZE - Eric GODDYN - Arnaud NICOLAS - CEPROC 2002</v>
      </c>
      <c r="N173" s="157">
        <f>N114</f>
        <v>20</v>
      </c>
      <c r="O173" s="158" t="str">
        <f>O114</f>
        <v>pressés de boudin</v>
      </c>
      <c r="P173" s="159" t="str">
        <f>P114</f>
        <v>Recette mère ► le Boudin en 4 déclinaisons</v>
      </c>
      <c r="Q173" s="5063" t="s">
        <v>82</v>
      </c>
      <c r="R173" s="172"/>
      <c r="S173" s="172"/>
      <c r="T173" s="172"/>
      <c r="U173" s="172"/>
      <c r="V173" s="172"/>
      <c r="W173" s="172"/>
      <c r="X173" s="172"/>
      <c r="Y173" s="172"/>
      <c r="Z173" s="555"/>
      <c r="AB173" s="104" t="s">
        <v>16</v>
      </c>
      <c r="AC173" s="157" t="str">
        <f>AC114</f>
        <v>P PRESSED BLACK PUDDING TERRINE | |  Author &gt; Guy KRENZE - Eric GODDYN - Arnaud NICOLAS - CEPROC 2002</v>
      </c>
      <c r="AD173" s="157">
        <f>AD114</f>
        <v>20</v>
      </c>
      <c r="AE173" s="158" t="str">
        <f>AE114</f>
        <v>pressés de boudin</v>
      </c>
      <c r="AF173" s="159" t="str">
        <f>AF114</f>
        <v>Master recipe ► Black pudding in 4 variations</v>
      </c>
      <c r="AG173" s="5063" t="s">
        <v>82</v>
      </c>
      <c r="AH173" s="172"/>
      <c r="AI173" s="172"/>
      <c r="AJ173" s="172"/>
      <c r="AK173" s="172"/>
      <c r="AL173" s="172"/>
      <c r="AM173" s="172"/>
      <c r="AN173" s="172"/>
      <c r="AO173" s="172"/>
      <c r="AP173" s="555"/>
      <c r="AR173" s="104" t="s">
        <v>16</v>
      </c>
      <c r="AS173" s="157" t="str">
        <f>AS114</f>
        <v>P PRENSADO DE MORCILLA (TERRINA) | | Autor &gt; Guy KRENZE - Eric GODDYN - Arnaud NICOLAS - CEPROC 2002</v>
      </c>
      <c r="AT173" s="157">
        <f>AT114</f>
        <v>20</v>
      </c>
      <c r="AU173" s="158" t="str">
        <f>AU114</f>
        <v>pressés de boudin</v>
      </c>
      <c r="AV173" s="159" t="str">
        <f>AV114</f>
        <v>Receta madre ► Morcilla en 4 versiones</v>
      </c>
      <c r="AW173" s="5063" t="s">
        <v>82</v>
      </c>
      <c r="AX173" s="172"/>
      <c r="AY173" s="172"/>
      <c r="AZ173" s="172"/>
      <c r="BA173" s="172"/>
      <c r="BB173" s="172"/>
      <c r="BC173" s="172"/>
      <c r="BD173" s="172"/>
      <c r="BE173" s="172"/>
      <c r="BF173" s="555"/>
      <c r="BH173" s="104"/>
      <c r="BI173" s="32"/>
      <c r="BJ173" s="33"/>
      <c r="BK173" s="32"/>
      <c r="BL173" s="34"/>
      <c r="BM173" s="92"/>
      <c r="BN173" s="108"/>
      <c r="BO173" s="94"/>
      <c r="BP173" s="95"/>
      <c r="BQ173" s="105"/>
      <c r="BR173" s="5101"/>
      <c r="BS173" s="920"/>
      <c r="BT173" s="1495"/>
      <c r="BU173" s="101"/>
      <c r="BV173" s="1475"/>
      <c r="BX173" s="104"/>
      <c r="BY173" s="32"/>
      <c r="BZ173" s="33"/>
      <c r="CA173" s="32"/>
      <c r="CB173" s="34"/>
      <c r="CC173" s="92"/>
      <c r="CD173" s="108"/>
      <c r="CE173" s="94"/>
      <c r="CF173" s="95"/>
      <c r="CG173" s="105"/>
      <c r="CH173" s="5101"/>
      <c r="CI173" s="920"/>
      <c r="CJ173" s="1495"/>
      <c r="CK173" s="101"/>
      <c r="CL173" s="1475"/>
      <c r="CN173" s="104"/>
      <c r="CO173" s="32"/>
      <c r="CP173" s="33"/>
      <c r="CQ173" s="32"/>
      <c r="CR173" s="34"/>
      <c r="CS173" s="92"/>
      <c r="CT173" s="108"/>
      <c r="CU173" s="94"/>
      <c r="CV173" s="95"/>
      <c r="CW173" s="105"/>
      <c r="CX173" s="5101"/>
      <c r="CY173" s="920"/>
      <c r="CZ173" s="1495"/>
      <c r="DA173" s="101"/>
      <c r="DB173" s="1475"/>
      <c r="DC173" s="5109"/>
      <c r="DD173" s="5086"/>
      <c r="DF173" s="3">
        <v>1</v>
      </c>
      <c r="EY173" s="172"/>
      <c r="EZ173" s="172"/>
      <c r="FA173" s="172"/>
      <c r="FB173" s="172"/>
      <c r="FC173" s="555"/>
    </row>
    <row r="174" spans="2:159" ht="21" customHeight="1">
      <c r="B174" s="952" t="str">
        <f t="shared" si="35"/>
        <v>►</v>
      </c>
      <c r="C174" s="993" cm="1">
        <f t="array" ref="C174">SUMPRODUCT(LEN(D174:J174))</f>
        <v>0</v>
      </c>
      <c r="D174" s="167"/>
      <c r="E174" s="172"/>
      <c r="F174" s="172"/>
      <c r="G174" s="172"/>
      <c r="H174" s="172"/>
      <c r="I174" s="172"/>
      <c r="J174" s="173"/>
      <c r="K174" s="442" t="s">
        <v>22</v>
      </c>
      <c r="L174" s="104" t="s">
        <v>16</v>
      </c>
      <c r="M174" s="157" t="str">
        <f>M114</f>
        <v>P PRESSÉ DE BOUDIN NOIR | | Auteur &gt; Guy KRENZE - Eric GODDYN - Arnaud NICOLAS - CEPROC 2002</v>
      </c>
      <c r="N174" s="157">
        <f>N114</f>
        <v>20</v>
      </c>
      <c r="O174" s="158" t="str">
        <f>O114</f>
        <v>pressés de boudin</v>
      </c>
      <c r="P174" s="159" t="str">
        <f>P114</f>
        <v>Recette mère ► le Boudin en 4 déclinaisons</v>
      </c>
      <c r="Q174" s="172" t="s">
        <v>13008</v>
      </c>
      <c r="R174" s="1536"/>
      <c r="S174" s="1536"/>
      <c r="T174" s="1536"/>
      <c r="U174" s="1536"/>
      <c r="V174" s="1536"/>
      <c r="W174" s="1536"/>
      <c r="X174" s="1536"/>
      <c r="Y174" s="1536"/>
      <c r="Z174" s="1537"/>
      <c r="AB174" s="104" t="s">
        <v>16</v>
      </c>
      <c r="AC174" s="157" t="str">
        <f>AC114</f>
        <v>P PRESSED BLACK PUDDING TERRINE | |  Author &gt; Guy KRENZE - Eric GODDYN - Arnaud NICOLAS - CEPROC 2002</v>
      </c>
      <c r="AD174" s="157">
        <f>AD114</f>
        <v>20</v>
      </c>
      <c r="AE174" s="158" t="str">
        <f>AE114</f>
        <v>pressés de boudin</v>
      </c>
      <c r="AF174" s="159" t="str">
        <f>AF114</f>
        <v>Master recipe ► Black pudding in 4 variations</v>
      </c>
      <c r="AG174" s="172" t="s">
        <v>12999</v>
      </c>
      <c r="AH174" s="1536"/>
      <c r="AI174" s="1536"/>
      <c r="AJ174" s="1536"/>
      <c r="AK174" s="1536"/>
      <c r="AL174" s="1536"/>
      <c r="AM174" s="1536"/>
      <c r="AN174" s="1536"/>
      <c r="AO174" s="1536"/>
      <c r="AP174" s="1537"/>
      <c r="AR174" s="104" t="s">
        <v>16</v>
      </c>
      <c r="AS174" s="157" t="str">
        <f>AS114</f>
        <v>P PRENSADO DE MORCILLA (TERRINA) | | Autor &gt; Guy KRENZE - Eric GODDYN - Arnaud NICOLAS - CEPROC 2002</v>
      </c>
      <c r="AT174" s="157">
        <f>AT114</f>
        <v>20</v>
      </c>
      <c r="AU174" s="158" t="str">
        <f>AU114</f>
        <v>pressés de boudin</v>
      </c>
      <c r="AV174" s="159" t="str">
        <f>AV114</f>
        <v>Receta madre ► Morcilla en 4 versiones</v>
      </c>
      <c r="AW174" s="172" t="s">
        <v>13041</v>
      </c>
      <c r="AX174" s="1536"/>
      <c r="AY174" s="1536"/>
      <c r="AZ174" s="1536"/>
      <c r="BA174" s="1536"/>
      <c r="BB174" s="1536"/>
      <c r="BC174" s="1536"/>
      <c r="BD174" s="1536"/>
      <c r="BE174" s="1536"/>
      <c r="BF174" s="1537"/>
      <c r="BH174" s="104"/>
      <c r="BI174" s="32"/>
      <c r="BJ174" s="33"/>
      <c r="BK174" s="32"/>
      <c r="BL174" s="34"/>
      <c r="BM174" s="92"/>
      <c r="BN174" s="108"/>
      <c r="BO174" s="94"/>
      <c r="BP174" s="95"/>
      <c r="BQ174" s="105"/>
      <c r="BR174" s="5101"/>
      <c r="BS174" s="920"/>
      <c r="BT174" s="1495"/>
      <c r="BU174" s="101"/>
      <c r="BV174" s="1475"/>
      <c r="BX174" s="104"/>
      <c r="BY174" s="32"/>
      <c r="BZ174" s="33"/>
      <c r="CA174" s="32"/>
      <c r="CB174" s="34"/>
      <c r="CC174" s="92"/>
      <c r="CD174" s="108"/>
      <c r="CE174" s="94"/>
      <c r="CF174" s="95"/>
      <c r="CG174" s="105"/>
      <c r="CH174" s="5101"/>
      <c r="CI174" s="920"/>
      <c r="CJ174" s="1495"/>
      <c r="CK174" s="101"/>
      <c r="CL174" s="1475"/>
      <c r="CN174" s="104"/>
      <c r="CO174" s="32"/>
      <c r="CP174" s="33"/>
      <c r="CQ174" s="32"/>
      <c r="CR174" s="34"/>
      <c r="CS174" s="92"/>
      <c r="CT174" s="108"/>
      <c r="CU174" s="94"/>
      <c r="CV174" s="95"/>
      <c r="CW174" s="105"/>
      <c r="CX174" s="5101"/>
      <c r="CY174" s="920"/>
      <c r="CZ174" s="1495"/>
      <c r="DA174" s="101"/>
      <c r="DB174" s="1475"/>
      <c r="DC174" s="5109"/>
      <c r="DD174" s="5086"/>
      <c r="DF174" s="3">
        <v>1</v>
      </c>
      <c r="EY174" s="172"/>
      <c r="EZ174" s="172"/>
      <c r="FA174" s="172"/>
      <c r="FB174" s="172"/>
      <c r="FC174" s="555"/>
    </row>
    <row r="175" spans="2:159" ht="21" customHeight="1">
      <c r="B175" s="952" t="str">
        <f t="shared" si="35"/>
        <v>►</v>
      </c>
      <c r="C175" s="993" cm="1">
        <f t="array" ref="C175">SUMPRODUCT(LEN(D175:J175))</f>
        <v>0</v>
      </c>
      <c r="D175" s="167"/>
      <c r="E175" s="172"/>
      <c r="F175" s="172"/>
      <c r="G175" s="172"/>
      <c r="H175" s="172"/>
      <c r="I175" s="172"/>
      <c r="J175" s="173"/>
      <c r="K175" s="442" t="s">
        <v>22</v>
      </c>
      <c r="L175" s="104" t="s">
        <v>16</v>
      </c>
      <c r="M175" s="157" t="str">
        <f>M114</f>
        <v>P PRESSÉ DE BOUDIN NOIR | | Auteur &gt; Guy KRENZE - Eric GODDYN - Arnaud NICOLAS - CEPROC 2002</v>
      </c>
      <c r="N175" s="157">
        <f>N114</f>
        <v>20</v>
      </c>
      <c r="O175" s="158" t="str">
        <f>O114</f>
        <v>pressés de boudin</v>
      </c>
      <c r="P175" s="159" t="str">
        <f>P114</f>
        <v>Recette mère ► le Boudin en 4 déclinaisons</v>
      </c>
      <c r="Q175" s="172" t="s">
        <v>12837</v>
      </c>
      <c r="R175" s="172"/>
      <c r="S175" s="172"/>
      <c r="T175" s="172"/>
      <c r="U175" s="172"/>
      <c r="V175" s="172"/>
      <c r="W175" s="172"/>
      <c r="X175" s="172"/>
      <c r="Y175" s="172"/>
      <c r="Z175" s="555"/>
      <c r="AB175" s="104" t="s">
        <v>16</v>
      </c>
      <c r="AC175" s="157" t="str">
        <f>AC114</f>
        <v>P PRESSED BLACK PUDDING TERRINE | |  Author &gt; Guy KRENZE - Eric GODDYN - Arnaud NICOLAS - CEPROC 2002</v>
      </c>
      <c r="AD175" s="157">
        <f>AD114</f>
        <v>20</v>
      </c>
      <c r="AE175" s="158" t="str">
        <f>AE114</f>
        <v>pressés de boudin</v>
      </c>
      <c r="AF175" s="159" t="str">
        <f>AF114</f>
        <v>Master recipe ► Black pudding in 4 variations</v>
      </c>
      <c r="AG175" s="172" t="s">
        <v>13028</v>
      </c>
      <c r="AH175" s="172"/>
      <c r="AI175" s="172"/>
      <c r="AJ175" s="172"/>
      <c r="AK175" s="172"/>
      <c r="AL175" s="172"/>
      <c r="AM175" s="172"/>
      <c r="AN175" s="172"/>
      <c r="AO175" s="172"/>
      <c r="AP175" s="555"/>
      <c r="AR175" s="104" t="s">
        <v>16</v>
      </c>
      <c r="AS175" s="157" t="str">
        <f>AS114</f>
        <v>P PRENSADO DE MORCILLA (TERRINA) | | Autor &gt; Guy KRENZE - Eric GODDYN - Arnaud NICOLAS - CEPROC 2002</v>
      </c>
      <c r="AT175" s="157">
        <f>AT114</f>
        <v>20</v>
      </c>
      <c r="AU175" s="158" t="str">
        <f>AU114</f>
        <v>pressés de boudin</v>
      </c>
      <c r="AV175" s="159" t="str">
        <f>AV114</f>
        <v>Receta madre ► Morcilla en 4 versiones</v>
      </c>
      <c r="AW175" s="172" t="s">
        <v>13029</v>
      </c>
      <c r="AX175" s="172"/>
      <c r="AY175" s="172"/>
      <c r="AZ175" s="172"/>
      <c r="BA175" s="172"/>
      <c r="BB175" s="172"/>
      <c r="BC175" s="172"/>
      <c r="BD175" s="172"/>
      <c r="BE175" s="172"/>
      <c r="BF175" s="555"/>
      <c r="BH175" s="104"/>
      <c r="BI175" s="32"/>
      <c r="BJ175" s="33"/>
      <c r="BK175" s="32"/>
      <c r="BL175" s="34"/>
      <c r="BM175" s="92"/>
      <c r="BN175" s="108"/>
      <c r="BO175" s="94"/>
      <c r="BP175" s="95"/>
      <c r="BQ175" s="105"/>
      <c r="BR175" s="5101"/>
      <c r="BS175" s="920"/>
      <c r="BT175" s="1495"/>
      <c r="BU175" s="101"/>
      <c r="BV175" s="1475"/>
      <c r="BX175" s="104"/>
      <c r="BY175" s="32"/>
      <c r="BZ175" s="33"/>
      <c r="CA175" s="32"/>
      <c r="CB175" s="34"/>
      <c r="CC175" s="92"/>
      <c r="CD175" s="108"/>
      <c r="CE175" s="94"/>
      <c r="CF175" s="95"/>
      <c r="CG175" s="105"/>
      <c r="CH175" s="5101"/>
      <c r="CI175" s="920"/>
      <c r="CJ175" s="1495"/>
      <c r="CK175" s="101"/>
      <c r="CL175" s="1475"/>
      <c r="CN175" s="104"/>
      <c r="CO175" s="32"/>
      <c r="CP175" s="33"/>
      <c r="CQ175" s="32"/>
      <c r="CR175" s="34"/>
      <c r="CS175" s="92"/>
      <c r="CT175" s="108"/>
      <c r="CU175" s="94"/>
      <c r="CV175" s="95"/>
      <c r="CW175" s="105"/>
      <c r="CX175" s="5101"/>
      <c r="CY175" s="920"/>
      <c r="CZ175" s="1495"/>
      <c r="DA175" s="101"/>
      <c r="DB175" s="1475"/>
      <c r="DC175" s="5109"/>
      <c r="DD175" s="5079"/>
      <c r="DF175" s="3">
        <v>1</v>
      </c>
      <c r="EY175" s="172"/>
      <c r="EZ175" s="172"/>
      <c r="FA175" s="172"/>
      <c r="FB175" s="172"/>
      <c r="FC175" s="555"/>
    </row>
    <row r="176" spans="2:159" ht="21" customHeight="1">
      <c r="B176" s="952" t="str">
        <f t="shared" si="35"/>
        <v>►</v>
      </c>
      <c r="C176" s="993" cm="1">
        <f t="array" ref="C176">SUMPRODUCT(LEN(D176:J176))</f>
        <v>0</v>
      </c>
      <c r="D176" s="167"/>
      <c r="E176" s="172"/>
      <c r="F176" s="172"/>
      <c r="G176" s="172"/>
      <c r="H176" s="172"/>
      <c r="I176" s="172"/>
      <c r="J176" s="173"/>
      <c r="K176" s="442" t="s">
        <v>22</v>
      </c>
      <c r="L176" s="104" t="s">
        <v>16</v>
      </c>
      <c r="M176" s="157" t="str">
        <f>M114</f>
        <v>P PRESSÉ DE BOUDIN NOIR | | Auteur &gt; Guy KRENZE - Eric GODDYN - Arnaud NICOLAS - CEPROC 2002</v>
      </c>
      <c r="N176" s="157">
        <f>N114</f>
        <v>20</v>
      </c>
      <c r="O176" s="158" t="str">
        <f>O114</f>
        <v>pressés de boudin</v>
      </c>
      <c r="P176" s="159" t="str">
        <f>P114</f>
        <v>Recette mère ► le Boudin en 4 déclinaisons</v>
      </c>
      <c r="Q176" s="172" t="s">
        <v>12838</v>
      </c>
      <c r="R176" s="172"/>
      <c r="S176" s="172"/>
      <c r="T176" s="172"/>
      <c r="U176" s="172"/>
      <c r="V176" s="172"/>
      <c r="W176" s="172"/>
      <c r="X176" s="172"/>
      <c r="Y176" s="172"/>
      <c r="Z176" s="555"/>
      <c r="AB176" s="104" t="s">
        <v>16</v>
      </c>
      <c r="AC176" s="157" t="str">
        <f>AC114</f>
        <v>P PRESSED BLACK PUDDING TERRINE | |  Author &gt; Guy KRENZE - Eric GODDYN - Arnaud NICOLAS - CEPROC 2002</v>
      </c>
      <c r="AD176" s="157">
        <f>AD114</f>
        <v>20</v>
      </c>
      <c r="AE176" s="158" t="str">
        <f>AE114</f>
        <v>pressés de boudin</v>
      </c>
      <c r="AF176" s="159" t="str">
        <f>AF114</f>
        <v>Master recipe ► Black pudding in 4 variations</v>
      </c>
      <c r="AG176" s="172" t="s">
        <v>13030</v>
      </c>
      <c r="AH176" s="172"/>
      <c r="AI176" s="172"/>
      <c r="AJ176" s="172"/>
      <c r="AK176" s="172"/>
      <c r="AL176" s="172"/>
      <c r="AM176" s="172"/>
      <c r="AN176" s="172"/>
      <c r="AO176" s="172"/>
      <c r="AP176" s="555"/>
      <c r="AR176" s="104" t="s">
        <v>16</v>
      </c>
      <c r="AS176" s="157" t="str">
        <f>AS114</f>
        <v>P PRENSADO DE MORCILLA (TERRINA) | | Autor &gt; Guy KRENZE - Eric GODDYN - Arnaud NICOLAS - CEPROC 2002</v>
      </c>
      <c r="AT176" s="157">
        <f>AT114</f>
        <v>20</v>
      </c>
      <c r="AU176" s="158" t="str">
        <f>AU114</f>
        <v>pressés de boudin</v>
      </c>
      <c r="AV176" s="159" t="str">
        <f>AV114</f>
        <v>Receta madre ► Morcilla en 4 versiones</v>
      </c>
      <c r="AW176" s="172" t="s">
        <v>13031</v>
      </c>
      <c r="AX176" s="172"/>
      <c r="AY176" s="172"/>
      <c r="AZ176" s="172"/>
      <c r="BA176" s="172"/>
      <c r="BB176" s="172"/>
      <c r="BC176" s="172"/>
      <c r="BD176" s="172"/>
      <c r="BE176" s="172"/>
      <c r="BF176" s="555"/>
      <c r="BH176" s="104"/>
      <c r="BI176" s="32"/>
      <c r="BJ176" s="33"/>
      <c r="BK176" s="32"/>
      <c r="BL176" s="34"/>
      <c r="BM176" s="92"/>
      <c r="BN176" s="108"/>
      <c r="BO176" s="94"/>
      <c r="BP176" s="95"/>
      <c r="BQ176" s="105"/>
      <c r="BR176" s="5101"/>
      <c r="BS176" s="920"/>
      <c r="BT176" s="1495"/>
      <c r="BU176" s="101"/>
      <c r="BV176" s="1475"/>
      <c r="BX176" s="104"/>
      <c r="BY176" s="32"/>
      <c r="BZ176" s="33"/>
      <c r="CA176" s="32"/>
      <c r="CB176" s="34"/>
      <c r="CC176" s="92"/>
      <c r="CD176" s="108"/>
      <c r="CE176" s="94"/>
      <c r="CF176" s="95"/>
      <c r="CG176" s="105"/>
      <c r="CH176" s="5101"/>
      <c r="CI176" s="920"/>
      <c r="CJ176" s="1495"/>
      <c r="CK176" s="101"/>
      <c r="CL176" s="1475"/>
      <c r="CN176" s="104"/>
      <c r="CO176" s="32"/>
      <c r="CP176" s="33"/>
      <c r="CQ176" s="32"/>
      <c r="CR176" s="34"/>
      <c r="CS176" s="92"/>
      <c r="CT176" s="108"/>
      <c r="CU176" s="94"/>
      <c r="CV176" s="95"/>
      <c r="CW176" s="105"/>
      <c r="CX176" s="5101"/>
      <c r="CY176" s="920"/>
      <c r="CZ176" s="1495"/>
      <c r="DA176" s="101"/>
      <c r="DB176" s="1475"/>
      <c r="DC176" s="5109"/>
      <c r="DD176" s="5071"/>
      <c r="DF176" s="3">
        <v>1</v>
      </c>
      <c r="EY176" s="172"/>
      <c r="EZ176" s="172"/>
      <c r="FA176" s="172"/>
      <c r="FB176" s="172"/>
      <c r="FC176" s="555"/>
    </row>
    <row r="177" spans="2:159" ht="21" customHeight="1">
      <c r="B177" s="952" t="str">
        <f t="shared" si="35"/>
        <v>►</v>
      </c>
      <c r="C177" s="993" cm="1">
        <f t="array" ref="C177">SUMPRODUCT(LEN(D177:J177))</f>
        <v>0</v>
      </c>
      <c r="D177" s="167"/>
      <c r="E177" s="172"/>
      <c r="F177" s="172"/>
      <c r="G177" s="172"/>
      <c r="H177" s="172"/>
      <c r="I177" s="172"/>
      <c r="J177" s="173"/>
      <c r="K177" s="442" t="s">
        <v>22</v>
      </c>
      <c r="L177" s="104" t="s">
        <v>16</v>
      </c>
      <c r="M177" s="157" t="str">
        <f>M114</f>
        <v>P PRESSÉ DE BOUDIN NOIR | | Auteur &gt; Guy KRENZE - Eric GODDYN - Arnaud NICOLAS - CEPROC 2002</v>
      </c>
      <c r="N177" s="157">
        <f>N114</f>
        <v>20</v>
      </c>
      <c r="O177" s="158" t="str">
        <f>O114</f>
        <v>pressés de boudin</v>
      </c>
      <c r="P177" s="159" t="str">
        <f>P114</f>
        <v>Recette mère ► le Boudin en 4 déclinaisons</v>
      </c>
      <c r="Q177" s="172" t="s">
        <v>12839</v>
      </c>
      <c r="R177" s="172"/>
      <c r="S177" s="172"/>
      <c r="T177" s="172"/>
      <c r="U177" s="172"/>
      <c r="V177" s="172"/>
      <c r="W177" s="172"/>
      <c r="X177" s="172"/>
      <c r="Y177" s="172"/>
      <c r="Z177" s="555"/>
      <c r="AB177" s="104" t="s">
        <v>16</v>
      </c>
      <c r="AC177" s="157" t="str">
        <f>AC114</f>
        <v>P PRESSED BLACK PUDDING TERRINE | |  Author &gt; Guy KRENZE - Eric GODDYN - Arnaud NICOLAS - CEPROC 2002</v>
      </c>
      <c r="AD177" s="157">
        <f>AD114</f>
        <v>20</v>
      </c>
      <c r="AE177" s="158" t="str">
        <f>AE114</f>
        <v>pressés de boudin</v>
      </c>
      <c r="AF177" s="159" t="str">
        <f>AF114</f>
        <v>Master recipe ► Black pudding in 4 variations</v>
      </c>
      <c r="AG177" s="172" t="s">
        <v>12901</v>
      </c>
      <c r="AH177" s="172"/>
      <c r="AI177" s="172"/>
      <c r="AJ177" s="172"/>
      <c r="AK177" s="172"/>
      <c r="AL177" s="172"/>
      <c r="AM177" s="172"/>
      <c r="AN177" s="172"/>
      <c r="AO177" s="172"/>
      <c r="AP177" s="555"/>
      <c r="AR177" s="104" t="s">
        <v>16</v>
      </c>
      <c r="AS177" s="157" t="str">
        <f>AS114</f>
        <v>P PRENSADO DE MORCILLA (TERRINA) | | Autor &gt; Guy KRENZE - Eric GODDYN - Arnaud NICOLAS - CEPROC 2002</v>
      </c>
      <c r="AT177" s="157">
        <f>AT114</f>
        <v>20</v>
      </c>
      <c r="AU177" s="158" t="str">
        <f>AU114</f>
        <v>pressés de boudin</v>
      </c>
      <c r="AV177" s="159" t="str">
        <f>AV114</f>
        <v>Receta madre ► Morcilla en 4 versiones</v>
      </c>
      <c r="AW177" s="172" t="s">
        <v>12902</v>
      </c>
      <c r="AX177" s="172"/>
      <c r="AY177" s="172"/>
      <c r="AZ177" s="172"/>
      <c r="BA177" s="172"/>
      <c r="BB177" s="172"/>
      <c r="BC177" s="172"/>
      <c r="BD177" s="172"/>
      <c r="BE177" s="172"/>
      <c r="BF177" s="555"/>
      <c r="BH177" s="104"/>
      <c r="BI177" s="32"/>
      <c r="BJ177" s="33"/>
      <c r="BK177" s="32"/>
      <c r="BL177" s="34"/>
      <c r="BM177" s="92"/>
      <c r="BN177" s="108"/>
      <c r="BO177" s="94"/>
      <c r="BP177" s="95"/>
      <c r="BQ177" s="105"/>
      <c r="BR177" s="5101"/>
      <c r="BS177" s="920"/>
      <c r="BT177" s="1495"/>
      <c r="BU177" s="101"/>
      <c r="BV177" s="1475"/>
      <c r="BX177" s="104"/>
      <c r="BY177" s="32"/>
      <c r="BZ177" s="33"/>
      <c r="CA177" s="32"/>
      <c r="CB177" s="34"/>
      <c r="CC177" s="92"/>
      <c r="CD177" s="108"/>
      <c r="CE177" s="94"/>
      <c r="CF177" s="95"/>
      <c r="CG177" s="105"/>
      <c r="CH177" s="5101"/>
      <c r="CI177" s="920"/>
      <c r="CJ177" s="1495"/>
      <c r="CK177" s="101"/>
      <c r="CL177" s="1475"/>
      <c r="CN177" s="104"/>
      <c r="CO177" s="32"/>
      <c r="CP177" s="33"/>
      <c r="CQ177" s="32"/>
      <c r="CR177" s="34"/>
      <c r="CS177" s="92"/>
      <c r="CT177" s="108"/>
      <c r="CU177" s="94"/>
      <c r="CV177" s="95"/>
      <c r="CW177" s="105"/>
      <c r="CX177" s="5101"/>
      <c r="CY177" s="920"/>
      <c r="CZ177" s="1495"/>
      <c r="DA177" s="101"/>
      <c r="DB177" s="1475"/>
      <c r="DC177" s="5109"/>
      <c r="DD177" s="5094"/>
      <c r="DF177" s="3">
        <v>1</v>
      </c>
      <c r="EY177" s="172"/>
      <c r="EZ177" s="172"/>
      <c r="FA177" s="172"/>
      <c r="FB177" s="172"/>
      <c r="FC177" s="555"/>
    </row>
    <row r="178" spans="2:159" ht="21" customHeight="1">
      <c r="B178" s="952" t="str">
        <f t="shared" si="35"/>
        <v>►</v>
      </c>
      <c r="C178" s="993" cm="1">
        <f t="array" ref="C178">SUMPRODUCT(LEN(D178:J178))</f>
        <v>0</v>
      </c>
      <c r="D178" s="167"/>
      <c r="E178" s="172"/>
      <c r="F178" s="172"/>
      <c r="G178" s="172"/>
      <c r="H178" s="172"/>
      <c r="I178" s="172"/>
      <c r="J178" s="173"/>
      <c r="K178" s="442" t="s">
        <v>22</v>
      </c>
      <c r="L178" s="104" t="s">
        <v>16</v>
      </c>
      <c r="M178" s="157" t="str">
        <f>M114</f>
        <v>P PRESSÉ DE BOUDIN NOIR | | Auteur &gt; Guy KRENZE - Eric GODDYN - Arnaud NICOLAS - CEPROC 2002</v>
      </c>
      <c r="N178" s="157">
        <f>N114</f>
        <v>20</v>
      </c>
      <c r="O178" s="158" t="str">
        <f>O114</f>
        <v>pressés de boudin</v>
      </c>
      <c r="P178" s="159" t="str">
        <f>P114</f>
        <v>Recette mère ► le Boudin en 4 déclinaisons</v>
      </c>
      <c r="Q178" s="172" t="s">
        <v>12903</v>
      </c>
      <c r="R178" s="172"/>
      <c r="S178" s="172"/>
      <c r="T178" s="172"/>
      <c r="U178" s="172"/>
      <c r="V178" s="172"/>
      <c r="W178" s="172"/>
      <c r="X178" s="172"/>
      <c r="Y178" s="172"/>
      <c r="Z178" s="555"/>
      <c r="AB178" s="104" t="s">
        <v>16</v>
      </c>
      <c r="AC178" s="157" t="str">
        <f>AC114</f>
        <v>P PRESSED BLACK PUDDING TERRINE | |  Author &gt; Guy KRENZE - Eric GODDYN - Arnaud NICOLAS - CEPROC 2002</v>
      </c>
      <c r="AD178" s="157">
        <f>AD114</f>
        <v>20</v>
      </c>
      <c r="AE178" s="158" t="str">
        <f>AE114</f>
        <v>pressés de boudin</v>
      </c>
      <c r="AF178" s="159" t="str">
        <f>AF114</f>
        <v>Master recipe ► Black pudding in 4 variations</v>
      </c>
      <c r="AG178" s="172" t="s">
        <v>12904</v>
      </c>
      <c r="AH178" s="172"/>
      <c r="AI178" s="172"/>
      <c r="AJ178" s="172"/>
      <c r="AK178" s="172"/>
      <c r="AL178" s="172"/>
      <c r="AM178" s="172"/>
      <c r="AN178" s="172"/>
      <c r="AO178" s="172"/>
      <c r="AP178" s="555"/>
      <c r="AR178" s="104" t="s">
        <v>16</v>
      </c>
      <c r="AS178" s="157" t="str">
        <f>AS114</f>
        <v>P PRENSADO DE MORCILLA (TERRINA) | | Autor &gt; Guy KRENZE - Eric GODDYN - Arnaud NICOLAS - CEPROC 2002</v>
      </c>
      <c r="AT178" s="157">
        <f>AT114</f>
        <v>20</v>
      </c>
      <c r="AU178" s="158" t="str">
        <f>AU114</f>
        <v>pressés de boudin</v>
      </c>
      <c r="AV178" s="159" t="str">
        <f>AV114</f>
        <v>Receta madre ► Morcilla en 4 versiones</v>
      </c>
      <c r="AW178" s="172" t="s">
        <v>12905</v>
      </c>
      <c r="AX178" s="172"/>
      <c r="AY178" s="172"/>
      <c r="AZ178" s="172"/>
      <c r="BA178" s="172"/>
      <c r="BB178" s="172"/>
      <c r="BC178" s="172"/>
      <c r="BD178" s="172"/>
      <c r="BE178" s="172"/>
      <c r="BF178" s="555"/>
      <c r="BH178" s="104"/>
      <c r="BI178" s="32"/>
      <c r="BJ178" s="33"/>
      <c r="BK178" s="32"/>
      <c r="BL178" s="34"/>
      <c r="BM178" s="92"/>
      <c r="BN178" s="108"/>
      <c r="BO178" s="94"/>
      <c r="BP178" s="95"/>
      <c r="BQ178" s="105"/>
      <c r="BR178" s="5101"/>
      <c r="BS178" s="920"/>
      <c r="BT178" s="1495"/>
      <c r="BU178" s="101"/>
      <c r="BV178" s="1475"/>
      <c r="BX178" s="104"/>
      <c r="BY178" s="32"/>
      <c r="BZ178" s="33"/>
      <c r="CA178" s="32"/>
      <c r="CB178" s="34"/>
      <c r="CC178" s="92"/>
      <c r="CD178" s="108"/>
      <c r="CE178" s="94"/>
      <c r="CF178" s="95"/>
      <c r="CG178" s="105"/>
      <c r="CH178" s="5101"/>
      <c r="CI178" s="920"/>
      <c r="CJ178" s="1495"/>
      <c r="CK178" s="101"/>
      <c r="CL178" s="1475"/>
      <c r="CN178" s="104"/>
      <c r="CO178" s="32"/>
      <c r="CP178" s="33"/>
      <c r="CQ178" s="32"/>
      <c r="CR178" s="34"/>
      <c r="CS178" s="92"/>
      <c r="CT178" s="108"/>
      <c r="CU178" s="94"/>
      <c r="CV178" s="95"/>
      <c r="CW178" s="105"/>
      <c r="CX178" s="5101"/>
      <c r="CY178" s="920"/>
      <c r="CZ178" s="1495"/>
      <c r="DA178" s="101"/>
      <c r="DB178" s="1475"/>
      <c r="DC178" s="5109"/>
      <c r="DD178" s="5071"/>
      <c r="DF178" s="3">
        <v>1</v>
      </c>
      <c r="EY178" s="172"/>
      <c r="EZ178" s="172"/>
      <c r="FA178" s="172"/>
      <c r="FB178" s="172"/>
      <c r="FC178" s="555"/>
    </row>
    <row r="179" spans="2:159" ht="21" customHeight="1">
      <c r="B179" s="952" t="str">
        <f t="shared" si="35"/>
        <v>►</v>
      </c>
      <c r="C179" s="993" cm="1">
        <f t="array" ref="C179">SUMPRODUCT(LEN(D179:J179))</f>
        <v>0</v>
      </c>
      <c r="D179" s="167"/>
      <c r="E179" s="172"/>
      <c r="F179" s="172"/>
      <c r="G179" s="172"/>
      <c r="H179" s="172"/>
      <c r="I179" s="172"/>
      <c r="J179" s="173"/>
      <c r="K179" s="442" t="s">
        <v>22</v>
      </c>
      <c r="L179" s="104" t="s">
        <v>16</v>
      </c>
      <c r="M179" s="157" t="str">
        <f>M114</f>
        <v>P PRESSÉ DE BOUDIN NOIR | | Auteur &gt; Guy KRENZE - Eric GODDYN - Arnaud NICOLAS - CEPROC 2002</v>
      </c>
      <c r="N179" s="157">
        <f>N114</f>
        <v>20</v>
      </c>
      <c r="O179" s="158" t="str">
        <f>O114</f>
        <v>pressés de boudin</v>
      </c>
      <c r="P179" s="159" t="str">
        <f>P114</f>
        <v>Recette mère ► le Boudin en 4 déclinaisons</v>
      </c>
      <c r="Q179" s="172" t="s">
        <v>12906</v>
      </c>
      <c r="R179" s="172"/>
      <c r="S179" s="172"/>
      <c r="T179" s="172"/>
      <c r="U179" s="172"/>
      <c r="V179" s="172"/>
      <c r="W179" s="172"/>
      <c r="X179" s="172"/>
      <c r="Y179" s="172"/>
      <c r="Z179" s="555"/>
      <c r="AB179" s="104" t="s">
        <v>16</v>
      </c>
      <c r="AC179" s="157" t="str">
        <f>AC114</f>
        <v>P PRESSED BLACK PUDDING TERRINE | |  Author &gt; Guy KRENZE - Eric GODDYN - Arnaud NICOLAS - CEPROC 2002</v>
      </c>
      <c r="AD179" s="157">
        <f>AD114</f>
        <v>20</v>
      </c>
      <c r="AE179" s="158" t="str">
        <f>AE114</f>
        <v>pressés de boudin</v>
      </c>
      <c r="AF179" s="159" t="str">
        <f>AF114</f>
        <v>Master recipe ► Black pudding in 4 variations</v>
      </c>
      <c r="AG179" s="172" t="s">
        <v>12907</v>
      </c>
      <c r="AH179" s="172"/>
      <c r="AI179" s="172"/>
      <c r="AJ179" s="172"/>
      <c r="AK179" s="172"/>
      <c r="AL179" s="172"/>
      <c r="AM179" s="172"/>
      <c r="AN179" s="172"/>
      <c r="AO179" s="172"/>
      <c r="AP179" s="555"/>
      <c r="AR179" s="104" t="s">
        <v>16</v>
      </c>
      <c r="AS179" s="157" t="str">
        <f>AS114</f>
        <v>P PRENSADO DE MORCILLA (TERRINA) | | Autor &gt; Guy KRENZE - Eric GODDYN - Arnaud NICOLAS - CEPROC 2002</v>
      </c>
      <c r="AT179" s="157">
        <f>AT114</f>
        <v>20</v>
      </c>
      <c r="AU179" s="158" t="str">
        <f>AU114</f>
        <v>pressés de boudin</v>
      </c>
      <c r="AV179" s="159" t="str">
        <f>AV114</f>
        <v>Receta madre ► Morcilla en 4 versiones</v>
      </c>
      <c r="AW179" s="172" t="s">
        <v>12908</v>
      </c>
      <c r="AX179" s="172"/>
      <c r="AY179" s="172"/>
      <c r="AZ179" s="172"/>
      <c r="BA179" s="172"/>
      <c r="BB179" s="172"/>
      <c r="BC179" s="172"/>
      <c r="BD179" s="172"/>
      <c r="BE179" s="172"/>
      <c r="BF179" s="555"/>
      <c r="BH179" s="104"/>
      <c r="BI179" s="32"/>
      <c r="BJ179" s="33"/>
      <c r="BK179" s="32"/>
      <c r="BL179" s="34"/>
      <c r="BM179" s="92"/>
      <c r="BN179" s="108"/>
      <c r="BO179" s="94"/>
      <c r="BP179" s="95"/>
      <c r="BQ179" s="105"/>
      <c r="BR179" s="5101"/>
      <c r="BS179" s="920"/>
      <c r="BT179" s="1495"/>
      <c r="BU179" s="101"/>
      <c r="BV179" s="1475"/>
      <c r="BX179" s="104"/>
      <c r="BY179" s="32"/>
      <c r="BZ179" s="33"/>
      <c r="CA179" s="32"/>
      <c r="CB179" s="34"/>
      <c r="CC179" s="92"/>
      <c r="CD179" s="108"/>
      <c r="CE179" s="94"/>
      <c r="CF179" s="95"/>
      <c r="CG179" s="105"/>
      <c r="CH179" s="5101"/>
      <c r="CI179" s="920"/>
      <c r="CJ179" s="1495"/>
      <c r="CK179" s="101"/>
      <c r="CL179" s="1475"/>
      <c r="CN179" s="104"/>
      <c r="CO179" s="32"/>
      <c r="CP179" s="33"/>
      <c r="CQ179" s="32"/>
      <c r="CR179" s="34"/>
      <c r="CS179" s="92"/>
      <c r="CT179" s="108"/>
      <c r="CU179" s="94"/>
      <c r="CV179" s="95"/>
      <c r="CW179" s="105"/>
      <c r="CX179" s="5101"/>
      <c r="CY179" s="920"/>
      <c r="CZ179" s="1495"/>
      <c r="DA179" s="101"/>
      <c r="DB179" s="1475"/>
      <c r="DC179" s="5109"/>
      <c r="DD179" s="5094"/>
      <c r="DF179" s="3">
        <v>1</v>
      </c>
      <c r="EY179" s="172"/>
      <c r="EZ179" s="172"/>
      <c r="FA179" s="172"/>
      <c r="FB179" s="172"/>
      <c r="FC179" s="1486" t="s">
        <v>913</v>
      </c>
    </row>
    <row r="180" spans="2:159" ht="21" customHeight="1">
      <c r="B180" s="952" t="str">
        <f t="shared" si="35"/>
        <v>►</v>
      </c>
      <c r="C180" s="993" cm="1">
        <f t="array" ref="C180">SUMPRODUCT(LEN(D180:J180))</f>
        <v>0</v>
      </c>
      <c r="D180" s="167"/>
      <c r="E180" s="172"/>
      <c r="F180" s="172"/>
      <c r="G180" s="172"/>
      <c r="H180" s="172"/>
      <c r="I180" s="172"/>
      <c r="J180" s="173"/>
      <c r="K180" s="442" t="s">
        <v>22</v>
      </c>
      <c r="L180" s="104" t="s">
        <v>16</v>
      </c>
      <c r="M180" s="157" t="str">
        <f>M114</f>
        <v>P PRESSÉ DE BOUDIN NOIR | | Auteur &gt; Guy KRENZE - Eric GODDYN - Arnaud NICOLAS - CEPROC 2002</v>
      </c>
      <c r="N180" s="157">
        <f>N114</f>
        <v>20</v>
      </c>
      <c r="O180" s="158" t="str">
        <f>O114</f>
        <v>pressés de boudin</v>
      </c>
      <c r="P180" s="159" t="str">
        <f>P114</f>
        <v>Recette mère ► le Boudin en 4 déclinaisons</v>
      </c>
      <c r="Q180" s="172" t="s">
        <v>13011</v>
      </c>
      <c r="R180" s="172"/>
      <c r="S180" s="172"/>
      <c r="T180" s="172"/>
      <c r="U180" s="172"/>
      <c r="V180" s="172"/>
      <c r="W180" s="172"/>
      <c r="X180" s="172"/>
      <c r="Y180" s="172"/>
      <c r="Z180" s="555"/>
      <c r="AB180" s="104" t="s">
        <v>16</v>
      </c>
      <c r="AC180" s="157" t="str">
        <f>AC114</f>
        <v>P PRESSED BLACK PUDDING TERRINE | |  Author &gt; Guy KRENZE - Eric GODDYN - Arnaud NICOLAS - CEPROC 2002</v>
      </c>
      <c r="AD180" s="157">
        <f>AD114</f>
        <v>20</v>
      </c>
      <c r="AE180" s="158" t="str">
        <f>AE114</f>
        <v>pressés de boudin</v>
      </c>
      <c r="AF180" s="159" t="str">
        <f>AF114</f>
        <v>Master recipe ► Black pudding in 4 variations</v>
      </c>
      <c r="AG180" s="172" t="s">
        <v>13032</v>
      </c>
      <c r="AH180" s="172"/>
      <c r="AI180" s="172"/>
      <c r="AJ180" s="172"/>
      <c r="AK180" s="172"/>
      <c r="AL180" s="172"/>
      <c r="AM180" s="172"/>
      <c r="AN180" s="172"/>
      <c r="AO180" s="172"/>
      <c r="AP180" s="555"/>
      <c r="AR180" s="104" t="s">
        <v>16</v>
      </c>
      <c r="AS180" s="157" t="str">
        <f>AS114</f>
        <v>P PRENSADO DE MORCILLA (TERRINA) | | Autor &gt; Guy KRENZE - Eric GODDYN - Arnaud NICOLAS - CEPROC 2002</v>
      </c>
      <c r="AT180" s="157">
        <f>AT114</f>
        <v>20</v>
      </c>
      <c r="AU180" s="158" t="str">
        <f>AU114</f>
        <v>pressés de boudin</v>
      </c>
      <c r="AV180" s="159" t="str">
        <f>AV114</f>
        <v>Receta madre ► Morcilla en 4 versiones</v>
      </c>
      <c r="AW180" s="172" t="s">
        <v>13033</v>
      </c>
      <c r="AX180" s="172"/>
      <c r="AY180" s="172"/>
      <c r="AZ180" s="172"/>
      <c r="BA180" s="172"/>
      <c r="BB180" s="172"/>
      <c r="BC180" s="172"/>
      <c r="BD180" s="172"/>
      <c r="BE180" s="172"/>
      <c r="BF180" s="555"/>
      <c r="BH180" s="104"/>
      <c r="BI180" s="32"/>
      <c r="BJ180" s="33"/>
      <c r="BK180" s="32"/>
      <c r="BL180" s="34"/>
      <c r="BM180" s="92"/>
      <c r="BN180" s="108"/>
      <c r="BO180" s="94"/>
      <c r="BP180" s="95"/>
      <c r="BQ180" s="105"/>
      <c r="BR180" s="5101"/>
      <c r="BS180" s="920"/>
      <c r="BT180" s="1495"/>
      <c r="BU180" s="101"/>
      <c r="BV180" s="1475"/>
      <c r="BX180" s="104"/>
      <c r="BY180" s="32"/>
      <c r="BZ180" s="33"/>
      <c r="CA180" s="32"/>
      <c r="CB180" s="34"/>
      <c r="CC180" s="92"/>
      <c r="CD180" s="108"/>
      <c r="CE180" s="94"/>
      <c r="CF180" s="95"/>
      <c r="CG180" s="105"/>
      <c r="CH180" s="5101"/>
      <c r="CI180" s="920"/>
      <c r="CJ180" s="1495"/>
      <c r="CK180" s="101"/>
      <c r="CL180" s="1475"/>
      <c r="CN180" s="104"/>
      <c r="CO180" s="32"/>
      <c r="CP180" s="33"/>
      <c r="CQ180" s="32"/>
      <c r="CR180" s="34"/>
      <c r="CS180" s="92"/>
      <c r="CT180" s="108"/>
      <c r="CU180" s="94"/>
      <c r="CV180" s="95"/>
      <c r="CW180" s="105"/>
      <c r="CX180" s="5101"/>
      <c r="CY180" s="920"/>
      <c r="CZ180" s="1495"/>
      <c r="DA180" s="101"/>
      <c r="DB180" s="1475"/>
      <c r="DC180" s="5109"/>
      <c r="DD180" s="5086"/>
      <c r="DF180" s="3">
        <v>1</v>
      </c>
      <c r="EY180" s="206"/>
      <c r="EZ180" s="206"/>
      <c r="FA180" s="206"/>
      <c r="FB180" s="206"/>
      <c r="FC180" s="567"/>
    </row>
    <row r="181" spans="2:159" ht="21" customHeight="1">
      <c r="B181" s="952" t="str">
        <f t="shared" si="35"/>
        <v>►</v>
      </c>
      <c r="C181" s="993" cm="1">
        <f t="array" ref="C181">SUMPRODUCT(LEN(D181:J181))</f>
        <v>0</v>
      </c>
      <c r="D181" s="167"/>
      <c r="E181" s="172"/>
      <c r="F181" s="172"/>
      <c r="G181" s="172"/>
      <c r="H181" s="172"/>
      <c r="I181" s="172"/>
      <c r="J181" s="173"/>
      <c r="K181" s="442" t="s">
        <v>22</v>
      </c>
      <c r="L181" s="104" t="s">
        <v>16</v>
      </c>
      <c r="M181" s="157" t="str">
        <f>M114</f>
        <v>P PRESSÉ DE BOUDIN NOIR | | Auteur &gt; Guy KRENZE - Eric GODDYN - Arnaud NICOLAS - CEPROC 2002</v>
      </c>
      <c r="N181" s="157">
        <f>N114</f>
        <v>20</v>
      </c>
      <c r="O181" s="158" t="str">
        <f>O114</f>
        <v>pressés de boudin</v>
      </c>
      <c r="P181" s="159" t="str">
        <f>P114</f>
        <v>Recette mère ► le Boudin en 4 déclinaisons</v>
      </c>
      <c r="Q181" s="172" t="s">
        <v>13034</v>
      </c>
      <c r="R181" s="172"/>
      <c r="S181" s="172"/>
      <c r="T181" s="172"/>
      <c r="U181" s="172"/>
      <c r="V181" s="172"/>
      <c r="W181" s="172"/>
      <c r="X181" s="172"/>
      <c r="Y181" s="172"/>
      <c r="Z181" s="555"/>
      <c r="AB181" s="104" t="s">
        <v>16</v>
      </c>
      <c r="AC181" s="157" t="str">
        <f>AC114</f>
        <v>P PRESSED BLACK PUDDING TERRINE | |  Author &gt; Guy KRENZE - Eric GODDYN - Arnaud NICOLAS - CEPROC 2002</v>
      </c>
      <c r="AD181" s="157">
        <f>AD114</f>
        <v>20</v>
      </c>
      <c r="AE181" s="158" t="str">
        <f>AE114</f>
        <v>pressés de boudin</v>
      </c>
      <c r="AF181" s="159" t="str">
        <f>AF114</f>
        <v>Master recipe ► Black pudding in 4 variations</v>
      </c>
      <c r="AG181" s="172" t="s">
        <v>13035</v>
      </c>
      <c r="AH181" s="172"/>
      <c r="AI181" s="172"/>
      <c r="AJ181" s="172"/>
      <c r="AK181" s="172"/>
      <c r="AL181" s="172"/>
      <c r="AM181" s="172"/>
      <c r="AN181" s="172"/>
      <c r="AO181" s="172"/>
      <c r="AP181" s="555"/>
      <c r="AR181" s="104" t="s">
        <v>16</v>
      </c>
      <c r="AS181" s="157" t="str">
        <f>AS114</f>
        <v>P PRENSADO DE MORCILLA (TERRINA) | | Autor &gt; Guy KRENZE - Eric GODDYN - Arnaud NICOLAS - CEPROC 2002</v>
      </c>
      <c r="AT181" s="157">
        <f>AT114</f>
        <v>20</v>
      </c>
      <c r="AU181" s="158" t="str">
        <f>AU114</f>
        <v>pressés de boudin</v>
      </c>
      <c r="AV181" s="159" t="str">
        <f>AV114</f>
        <v>Receta madre ► Morcilla en 4 versiones</v>
      </c>
      <c r="AW181" s="172" t="s">
        <v>13036</v>
      </c>
      <c r="AX181" s="172"/>
      <c r="AY181" s="172"/>
      <c r="AZ181" s="172"/>
      <c r="BA181" s="172"/>
      <c r="BB181" s="172"/>
      <c r="BC181" s="172"/>
      <c r="BD181" s="172"/>
      <c r="BE181" s="172"/>
      <c r="BF181" s="555"/>
      <c r="BH181" s="104"/>
      <c r="BI181" s="32"/>
      <c r="BJ181" s="33"/>
      <c r="BK181" s="32"/>
      <c r="BL181" s="34"/>
      <c r="BM181" s="92"/>
      <c r="BN181" s="108"/>
      <c r="BO181" s="94"/>
      <c r="BP181" s="95"/>
      <c r="BQ181" s="105"/>
      <c r="BR181" s="5101"/>
      <c r="BS181" s="920"/>
      <c r="BT181" s="1495"/>
      <c r="BU181" s="101"/>
      <c r="BV181" s="1475"/>
      <c r="BX181" s="104"/>
      <c r="BY181" s="32"/>
      <c r="BZ181" s="33"/>
      <c r="CA181" s="32"/>
      <c r="CB181" s="34"/>
      <c r="CC181" s="92"/>
      <c r="CD181" s="108"/>
      <c r="CE181" s="94"/>
      <c r="CF181" s="95"/>
      <c r="CG181" s="105"/>
      <c r="CH181" s="5101"/>
      <c r="CI181" s="920"/>
      <c r="CJ181" s="1495"/>
      <c r="CK181" s="101"/>
      <c r="CL181" s="1475"/>
      <c r="CN181" s="104"/>
      <c r="CO181" s="32"/>
      <c r="CP181" s="33"/>
      <c r="CQ181" s="32"/>
      <c r="CR181" s="34"/>
      <c r="CS181" s="92"/>
      <c r="CT181" s="108"/>
      <c r="CU181" s="94"/>
      <c r="CV181" s="95"/>
      <c r="CW181" s="105"/>
      <c r="CX181" s="5101"/>
      <c r="CY181" s="920"/>
      <c r="CZ181" s="1495"/>
      <c r="DA181" s="101"/>
      <c r="DB181" s="1475"/>
      <c r="DC181" s="5109"/>
      <c r="DD181" s="5071"/>
      <c r="DF181" s="3">
        <v>1</v>
      </c>
      <c r="EY181" s="214"/>
      <c r="EZ181" s="214"/>
      <c r="FA181" s="214"/>
      <c r="FB181" s="214"/>
      <c r="FC181" s="582"/>
    </row>
    <row r="182" spans="2:159" ht="21" customHeight="1" thickBot="1">
      <c r="B182" s="952" t="str">
        <f t="shared" si="35"/>
        <v>►</v>
      </c>
      <c r="C182" s="993" cm="1">
        <f t="array" ref="C182">SUMPRODUCT(LEN(D182:J182))</f>
        <v>0</v>
      </c>
      <c r="D182" s="167"/>
      <c r="E182" s="172"/>
      <c r="F182" s="172"/>
      <c r="G182" s="172"/>
      <c r="H182" s="172"/>
      <c r="I182" s="172"/>
      <c r="J182" s="173"/>
      <c r="K182" s="442" t="s">
        <v>22</v>
      </c>
      <c r="L182" s="104" t="s">
        <v>16</v>
      </c>
      <c r="M182" s="157" t="str">
        <f>M114</f>
        <v>P PRESSÉ DE BOUDIN NOIR | | Auteur &gt; Guy KRENZE - Eric GODDYN - Arnaud NICOLAS - CEPROC 2002</v>
      </c>
      <c r="N182" s="157">
        <f>N114</f>
        <v>20</v>
      </c>
      <c r="O182" s="158" t="str">
        <f>O114</f>
        <v>pressés de boudin</v>
      </c>
      <c r="P182" s="159" t="str">
        <f>P114</f>
        <v>Recette mère ► le Boudin en 4 déclinaisons</v>
      </c>
      <c r="Q182" s="172" t="s">
        <v>12911</v>
      </c>
      <c r="R182" s="172"/>
      <c r="S182" s="172"/>
      <c r="T182" s="172"/>
      <c r="U182" s="172"/>
      <c r="V182" s="172"/>
      <c r="W182" s="172"/>
      <c r="X182" s="172"/>
      <c r="Y182" s="172"/>
      <c r="Z182" s="555"/>
      <c r="AB182" s="104" t="s">
        <v>16</v>
      </c>
      <c r="AC182" s="157" t="str">
        <f>AC114</f>
        <v>P PRESSED BLACK PUDDING TERRINE | |  Author &gt; Guy KRENZE - Eric GODDYN - Arnaud NICOLAS - CEPROC 2002</v>
      </c>
      <c r="AD182" s="157">
        <f>AD114</f>
        <v>20</v>
      </c>
      <c r="AE182" s="158" t="str">
        <f>AE114</f>
        <v>pressés de boudin</v>
      </c>
      <c r="AF182" s="159" t="str">
        <f>AF114</f>
        <v>Master recipe ► Black pudding in 4 variations</v>
      </c>
      <c r="AG182" s="172" t="s">
        <v>13037</v>
      </c>
      <c r="AH182" s="172"/>
      <c r="AI182" s="172"/>
      <c r="AJ182" s="172"/>
      <c r="AK182" s="172"/>
      <c r="AL182" s="172"/>
      <c r="AM182" s="172"/>
      <c r="AN182" s="172"/>
      <c r="AO182" s="172"/>
      <c r="AP182" s="555"/>
      <c r="AR182" s="104" t="s">
        <v>16</v>
      </c>
      <c r="AS182" s="157" t="str">
        <f>AS114</f>
        <v>P PRENSADO DE MORCILLA (TERRINA) | | Autor &gt; Guy KRENZE - Eric GODDYN - Arnaud NICOLAS - CEPROC 2002</v>
      </c>
      <c r="AT182" s="157">
        <f>AT114</f>
        <v>20</v>
      </c>
      <c r="AU182" s="158" t="str">
        <f>AU114</f>
        <v>pressés de boudin</v>
      </c>
      <c r="AV182" s="159" t="str">
        <f>AV114</f>
        <v>Receta madre ► Morcilla en 4 versiones</v>
      </c>
      <c r="AW182" s="172" t="s">
        <v>13038</v>
      </c>
      <c r="AX182" s="172"/>
      <c r="AY182" s="172"/>
      <c r="AZ182" s="172"/>
      <c r="BA182" s="172"/>
      <c r="BB182" s="172"/>
      <c r="BC182" s="172"/>
      <c r="BD182" s="172"/>
      <c r="BE182" s="172"/>
      <c r="BF182" s="555"/>
      <c r="BH182" s="104"/>
      <c r="BI182" s="32"/>
      <c r="BJ182" s="33"/>
      <c r="BK182" s="32"/>
      <c r="BL182" s="34"/>
      <c r="BM182" s="92"/>
      <c r="BN182" s="108"/>
      <c r="BO182" s="94"/>
      <c r="BP182" s="95"/>
      <c r="BQ182" s="105"/>
      <c r="BR182" s="5101"/>
      <c r="BS182" s="920"/>
      <c r="BT182" s="1495"/>
      <c r="BU182" s="101"/>
      <c r="BV182" s="1475"/>
      <c r="BX182" s="104"/>
      <c r="BY182" s="32"/>
      <c r="BZ182" s="33"/>
      <c r="CA182" s="32"/>
      <c r="CB182" s="34"/>
      <c r="CC182" s="92"/>
      <c r="CD182" s="108"/>
      <c r="CE182" s="94"/>
      <c r="CF182" s="95"/>
      <c r="CG182" s="105"/>
      <c r="CH182" s="5101"/>
      <c r="CI182" s="920"/>
      <c r="CJ182" s="1495"/>
      <c r="CK182" s="101"/>
      <c r="CL182" s="1475"/>
      <c r="CN182" s="104"/>
      <c r="CO182" s="32"/>
      <c r="CP182" s="33"/>
      <c r="CQ182" s="32"/>
      <c r="CR182" s="34"/>
      <c r="CS182" s="92"/>
      <c r="CT182" s="108"/>
      <c r="CU182" s="94"/>
      <c r="CV182" s="95"/>
      <c r="CW182" s="105"/>
      <c r="CX182" s="5101"/>
      <c r="CY182" s="920"/>
      <c r="CZ182" s="1495"/>
      <c r="DA182" s="101"/>
      <c r="DB182" s="1475"/>
      <c r="DC182" s="5109"/>
      <c r="DD182" s="5094"/>
      <c r="DF182" s="3">
        <v>1</v>
      </c>
      <c r="EY182" s="220"/>
      <c r="EZ182" s="220"/>
      <c r="FA182" s="220"/>
      <c r="FB182" s="220"/>
      <c r="FC182" s="221"/>
    </row>
    <row r="183" spans="2:159" ht="21" customHeight="1">
      <c r="B183" s="952" t="str">
        <f t="shared" si="35"/>
        <v>A</v>
      </c>
      <c r="C183" s="993" cm="1">
        <f t="array" ref="C183">SUMPRODUCT(LEN(D183:J183))</f>
        <v>0</v>
      </c>
      <c r="D183" s="167"/>
      <c r="E183" s="172"/>
      <c r="F183" s="172"/>
      <c r="G183" s="172"/>
      <c r="H183" s="172"/>
      <c r="I183" s="172"/>
      <c r="J183" s="173"/>
      <c r="K183" s="442" t="s">
        <v>22</v>
      </c>
      <c r="L183" s="104" t="str">
        <f>IF(OR(Q183&lt;&gt;"",R183&lt;&gt; "",S183&lt;&gt;"",T183&lt;&gt;""),"A", "►")</f>
        <v>A</v>
      </c>
      <c r="M183" s="157" t="str">
        <f>M114</f>
        <v>P PRESSÉ DE BOUDIN NOIR | | Auteur &gt; Guy KRENZE - Eric GODDYN - Arnaud NICOLAS - CEPROC 2002</v>
      </c>
      <c r="N183" s="157">
        <f>N114</f>
        <v>20</v>
      </c>
      <c r="O183" s="158" t="str">
        <f>O114</f>
        <v>pressés de boudin</v>
      </c>
      <c r="P183" s="159" t="str">
        <f>P114</f>
        <v>Recette mère ► le Boudin en 4 déclinaisons</v>
      </c>
      <c r="Q183" s="172" t="s">
        <v>12914</v>
      </c>
      <c r="R183" s="172"/>
      <c r="S183" s="172"/>
      <c r="T183" s="172"/>
      <c r="U183" s="172"/>
      <c r="V183" s="172"/>
      <c r="W183" s="172"/>
      <c r="X183" s="172"/>
      <c r="Y183" s="172"/>
      <c r="Z183" s="555"/>
      <c r="AB183" s="104" t="str">
        <f>IF(OR(AG183&lt;&gt;"",AH183&lt;&gt; "",AI183&lt;&gt;"",AJ183&lt;&gt;""),"A", "►")</f>
        <v>A</v>
      </c>
      <c r="AC183" s="157" t="str">
        <f>AC114</f>
        <v>P PRESSED BLACK PUDDING TERRINE | |  Author &gt; Guy KRENZE - Eric GODDYN - Arnaud NICOLAS - CEPROC 2002</v>
      </c>
      <c r="AD183" s="157">
        <f>AD114</f>
        <v>20</v>
      </c>
      <c r="AE183" s="158" t="str">
        <f>AE114</f>
        <v>pressés de boudin</v>
      </c>
      <c r="AF183" s="159" t="str">
        <f>AF114</f>
        <v>Master recipe ► Black pudding in 4 variations</v>
      </c>
      <c r="AG183" s="172" t="s">
        <v>12915</v>
      </c>
      <c r="AH183" s="172"/>
      <c r="AI183" s="172"/>
      <c r="AJ183" s="172"/>
      <c r="AK183" s="172"/>
      <c r="AL183" s="172"/>
      <c r="AM183" s="172"/>
      <c r="AN183" s="172"/>
      <c r="AO183" s="172"/>
      <c r="AP183" s="555"/>
      <c r="AR183" s="104" t="str">
        <f>IF(OR(AW183&lt;&gt;"",AX183&lt;&gt; "",AY183&lt;&gt;"",AZ183&lt;&gt;""),"A", "►")</f>
        <v>A</v>
      </c>
      <c r="AS183" s="157" t="str">
        <f>AS114</f>
        <v>P PRENSADO DE MORCILLA (TERRINA) | | Autor &gt; Guy KRENZE - Eric GODDYN - Arnaud NICOLAS - CEPROC 2002</v>
      </c>
      <c r="AT183" s="157">
        <f>AT114</f>
        <v>20</v>
      </c>
      <c r="AU183" s="158" t="str">
        <f>AU114</f>
        <v>pressés de boudin</v>
      </c>
      <c r="AV183" s="159" t="str">
        <f>AV114</f>
        <v>Receta madre ► Morcilla en 4 versiones</v>
      </c>
      <c r="AW183" s="172" t="s">
        <v>12916</v>
      </c>
      <c r="AX183" s="172"/>
      <c r="AY183" s="172"/>
      <c r="AZ183" s="172"/>
      <c r="BA183" s="172"/>
      <c r="BB183" s="172"/>
      <c r="BC183" s="172"/>
      <c r="BD183" s="172"/>
      <c r="BE183" s="172"/>
      <c r="BF183" s="555"/>
      <c r="BH183" s="104"/>
      <c r="BI183" s="32"/>
      <c r="BJ183" s="33"/>
      <c r="BK183" s="32"/>
      <c r="BL183" s="34"/>
      <c r="BM183" s="92"/>
      <c r="BN183" s="108"/>
      <c r="BO183" s="94"/>
      <c r="BP183" s="95"/>
      <c r="BQ183" s="105"/>
      <c r="BR183" s="5101"/>
      <c r="BS183" s="920"/>
      <c r="BT183" s="1495"/>
      <c r="BU183" s="101"/>
      <c r="BV183" s="1475"/>
      <c r="BX183" s="104"/>
      <c r="BY183" s="32"/>
      <c r="BZ183" s="33"/>
      <c r="CA183" s="32"/>
      <c r="CB183" s="34"/>
      <c r="CC183" s="92"/>
      <c r="CD183" s="108"/>
      <c r="CE183" s="94"/>
      <c r="CF183" s="95"/>
      <c r="CG183" s="105"/>
      <c r="CH183" s="5101"/>
      <c r="CI183" s="920"/>
      <c r="CJ183" s="1495"/>
      <c r="CK183" s="101"/>
      <c r="CL183" s="1475"/>
      <c r="CN183" s="104"/>
      <c r="CO183" s="32"/>
      <c r="CP183" s="33"/>
      <c r="CQ183" s="32"/>
      <c r="CR183" s="34"/>
      <c r="CS183" s="92"/>
      <c r="CT183" s="108"/>
      <c r="CU183" s="94"/>
      <c r="CV183" s="95"/>
      <c r="CW183" s="105"/>
      <c r="CX183" s="5101"/>
      <c r="CY183" s="920"/>
      <c r="CZ183" s="1495"/>
      <c r="DA183" s="101"/>
      <c r="DB183" s="1475"/>
      <c r="DC183" s="5109"/>
      <c r="DD183" s="5071"/>
      <c r="DF183" s="3">
        <v>1</v>
      </c>
    </row>
    <row r="184" spans="2:159" ht="21" customHeight="1">
      <c r="B184" s="952" t="str">
        <f t="shared" si="35"/>
        <v>►</v>
      </c>
      <c r="C184" s="993" cm="1">
        <f t="array" ref="C184">SUMPRODUCT(LEN(D184:J184))</f>
        <v>0</v>
      </c>
      <c r="D184" s="167"/>
      <c r="E184" s="172"/>
      <c r="F184" s="172"/>
      <c r="G184" s="172"/>
      <c r="H184" s="172"/>
      <c r="I184" s="172"/>
      <c r="J184" s="173"/>
      <c r="K184" s="442" t="s">
        <v>22</v>
      </c>
      <c r="L184" s="104" t="str">
        <f>IF(OR(Q184&lt;&gt;"",R184&lt;&gt; "",S184&lt;&gt;"",T184&lt;&gt;""),"A", "►")</f>
        <v>►</v>
      </c>
      <c r="M184" s="157" t="str">
        <f>M114</f>
        <v>P PRESSÉ DE BOUDIN NOIR | | Auteur &gt; Guy KRENZE - Eric GODDYN - Arnaud NICOLAS - CEPROC 2002</v>
      </c>
      <c r="N184" s="157">
        <f>N114</f>
        <v>20</v>
      </c>
      <c r="O184" s="158" t="str">
        <f>O114</f>
        <v>pressés de boudin</v>
      </c>
      <c r="P184" s="159" t="str">
        <f>P114</f>
        <v>Recette mère ► le Boudin en 4 déclinaisons</v>
      </c>
      <c r="Q184" s="172"/>
      <c r="R184" s="172"/>
      <c r="S184" s="172"/>
      <c r="T184" s="172"/>
      <c r="U184" s="172"/>
      <c r="V184" s="172"/>
      <c r="W184" s="172"/>
      <c r="X184" s="172"/>
      <c r="Y184" s="172"/>
      <c r="Z184" s="555"/>
      <c r="AB184" s="104" t="str">
        <f>IF(OR(AG184&lt;&gt;"",AH184&lt;&gt; "",AI184&lt;&gt;"",AJ184&lt;&gt;""),"A", "►")</f>
        <v>►</v>
      </c>
      <c r="AC184" s="157" t="str">
        <f>AC114</f>
        <v>P PRESSED BLACK PUDDING TERRINE | |  Author &gt; Guy KRENZE - Eric GODDYN - Arnaud NICOLAS - CEPROC 2002</v>
      </c>
      <c r="AD184" s="157">
        <f>AD114</f>
        <v>20</v>
      </c>
      <c r="AE184" s="158" t="str">
        <f>AE114</f>
        <v>pressés de boudin</v>
      </c>
      <c r="AF184" s="159" t="str">
        <f>AF114</f>
        <v>Master recipe ► Black pudding in 4 variations</v>
      </c>
      <c r="AG184" s="172"/>
      <c r="AH184" s="172"/>
      <c r="AI184" s="172"/>
      <c r="AJ184" s="172"/>
      <c r="AK184" s="172"/>
      <c r="AL184" s="172"/>
      <c r="AM184" s="172"/>
      <c r="AN184" s="172"/>
      <c r="AO184" s="172"/>
      <c r="AP184" s="555"/>
      <c r="AR184" s="104" t="str">
        <f>IF(OR(AW184&lt;&gt;"",AX184&lt;&gt; "",AY184&lt;&gt;"",AZ184&lt;&gt;""),"A", "►")</f>
        <v>►</v>
      </c>
      <c r="AS184" s="157" t="str">
        <f>AS114</f>
        <v>P PRENSADO DE MORCILLA (TERRINA) | | Autor &gt; Guy KRENZE - Eric GODDYN - Arnaud NICOLAS - CEPROC 2002</v>
      </c>
      <c r="AT184" s="157">
        <f>AT114</f>
        <v>20</v>
      </c>
      <c r="AU184" s="158" t="str">
        <f>AU114</f>
        <v>pressés de boudin</v>
      </c>
      <c r="AV184" s="159" t="str">
        <f>AV114</f>
        <v>Receta madre ► Morcilla en 4 versiones</v>
      </c>
      <c r="AW184" s="172"/>
      <c r="AX184" s="172"/>
      <c r="AY184" s="172"/>
      <c r="AZ184" s="172"/>
      <c r="BA184" s="172"/>
      <c r="BB184" s="172"/>
      <c r="BC184" s="172"/>
      <c r="BD184" s="172"/>
      <c r="BE184" s="172"/>
      <c r="BF184" s="555"/>
      <c r="BH184" s="104"/>
      <c r="BI184" s="32"/>
      <c r="BJ184" s="33"/>
      <c r="BK184" s="32"/>
      <c r="BL184" s="34"/>
      <c r="BM184" s="92"/>
      <c r="BN184" s="108"/>
      <c r="BO184" s="94"/>
      <c r="BP184" s="95"/>
      <c r="BQ184" s="105"/>
      <c r="BR184" s="5101"/>
      <c r="BS184" s="920"/>
      <c r="BT184" s="1495"/>
      <c r="BU184" s="101"/>
      <c r="BV184" s="1475"/>
      <c r="BX184" s="104"/>
      <c r="BY184" s="32"/>
      <c r="BZ184" s="33"/>
      <c r="CA184" s="32"/>
      <c r="CB184" s="34"/>
      <c r="CC184" s="92"/>
      <c r="CD184" s="108"/>
      <c r="CE184" s="94"/>
      <c r="CF184" s="95"/>
      <c r="CG184" s="105"/>
      <c r="CH184" s="5101"/>
      <c r="CI184" s="920"/>
      <c r="CJ184" s="1495"/>
      <c r="CK184" s="101"/>
      <c r="CL184" s="1475"/>
      <c r="CN184" s="104"/>
      <c r="CO184" s="32"/>
      <c r="CP184" s="33"/>
      <c r="CQ184" s="32"/>
      <c r="CR184" s="34"/>
      <c r="CS184" s="92"/>
      <c r="CT184" s="108"/>
      <c r="CU184" s="94"/>
      <c r="CV184" s="95"/>
      <c r="CW184" s="105"/>
      <c r="CX184" s="5101"/>
      <c r="CY184" s="920"/>
      <c r="CZ184" s="1495"/>
      <c r="DA184" s="101"/>
      <c r="DB184" s="1475"/>
      <c r="DC184" s="5109"/>
      <c r="DD184" s="5094"/>
      <c r="DF184" s="3">
        <v>1</v>
      </c>
    </row>
    <row r="185" spans="2:159" ht="21" customHeight="1">
      <c r="B185" s="952" t="str">
        <f t="shared" si="35"/>
        <v>►</v>
      </c>
      <c r="C185" s="993" cm="1">
        <f t="array" ref="C185">SUMPRODUCT(LEN(D185:J185))</f>
        <v>0</v>
      </c>
      <c r="D185" s="167"/>
      <c r="E185" s="172"/>
      <c r="F185" s="172"/>
      <c r="G185" s="172"/>
      <c r="H185" s="172"/>
      <c r="I185" s="172"/>
      <c r="J185" s="173"/>
      <c r="K185" s="442" t="s">
        <v>22</v>
      </c>
      <c r="L185" s="104" t="str">
        <f>IF(OR(Q185&lt;&gt;"",R185&lt;&gt; "",S185&lt;&gt;"",T185&lt;&gt;""),"A", "►")</f>
        <v>►</v>
      </c>
      <c r="M185" s="157" t="str">
        <f>M114</f>
        <v>P PRESSÉ DE BOUDIN NOIR | | Auteur &gt; Guy KRENZE - Eric GODDYN - Arnaud NICOLAS - CEPROC 2002</v>
      </c>
      <c r="N185" s="157">
        <f>N114</f>
        <v>20</v>
      </c>
      <c r="O185" s="158" t="str">
        <f>O114</f>
        <v>pressés de boudin</v>
      </c>
      <c r="P185" s="159" t="str">
        <f>P114</f>
        <v>Recette mère ► le Boudin en 4 déclinaisons</v>
      </c>
      <c r="Q185" s="172"/>
      <c r="R185" s="172"/>
      <c r="S185" s="172"/>
      <c r="T185" s="172"/>
      <c r="U185" s="172"/>
      <c r="V185" s="172"/>
      <c r="W185" s="172"/>
      <c r="X185" s="172"/>
      <c r="Y185" s="172"/>
      <c r="Z185" s="555"/>
      <c r="AB185" s="104" t="str">
        <f>IF(OR(AG185&lt;&gt;"",AH185&lt;&gt; "",AI185&lt;&gt;"",AJ185&lt;&gt;""),"A", "►")</f>
        <v>►</v>
      </c>
      <c r="AC185" s="157" t="str">
        <f>AC114</f>
        <v>P PRESSED BLACK PUDDING TERRINE | |  Author &gt; Guy KRENZE - Eric GODDYN - Arnaud NICOLAS - CEPROC 2002</v>
      </c>
      <c r="AD185" s="157">
        <f>AD114</f>
        <v>20</v>
      </c>
      <c r="AE185" s="158" t="str">
        <f>AE114</f>
        <v>pressés de boudin</v>
      </c>
      <c r="AF185" s="159" t="str">
        <f>AF114</f>
        <v>Master recipe ► Black pudding in 4 variations</v>
      </c>
      <c r="AG185" s="172"/>
      <c r="AH185" s="172"/>
      <c r="AI185" s="172"/>
      <c r="AJ185" s="172"/>
      <c r="AK185" s="172"/>
      <c r="AL185" s="172"/>
      <c r="AM185" s="172"/>
      <c r="AN185" s="172"/>
      <c r="AO185" s="172"/>
      <c r="AP185" s="555"/>
      <c r="AR185" s="104" t="str">
        <f>IF(OR(AW185&lt;&gt;"",AX185&lt;&gt; "",AY185&lt;&gt;"",AZ185&lt;&gt;""),"A", "►")</f>
        <v>►</v>
      </c>
      <c r="AS185" s="157" t="str">
        <f>AS114</f>
        <v>P PRENSADO DE MORCILLA (TERRINA) | | Autor &gt; Guy KRENZE - Eric GODDYN - Arnaud NICOLAS - CEPROC 2002</v>
      </c>
      <c r="AT185" s="157">
        <f>AT114</f>
        <v>20</v>
      </c>
      <c r="AU185" s="158" t="str">
        <f>AU114</f>
        <v>pressés de boudin</v>
      </c>
      <c r="AV185" s="159" t="str">
        <f>AV114</f>
        <v>Receta madre ► Morcilla en 4 versiones</v>
      </c>
      <c r="AW185" s="172"/>
      <c r="AX185" s="172"/>
      <c r="AY185" s="172"/>
      <c r="AZ185" s="172"/>
      <c r="BA185" s="172"/>
      <c r="BB185" s="172"/>
      <c r="BC185" s="172"/>
      <c r="BD185" s="172"/>
      <c r="BE185" s="172"/>
      <c r="BF185" s="555"/>
      <c r="BH185" s="104"/>
      <c r="BI185" s="32"/>
      <c r="BJ185" s="33"/>
      <c r="BK185" s="32"/>
      <c r="BL185" s="34"/>
      <c r="BM185" s="92"/>
      <c r="BN185" s="108"/>
      <c r="BO185" s="94"/>
      <c r="BP185" s="95"/>
      <c r="BQ185" s="105"/>
      <c r="BR185" s="5101"/>
      <c r="BS185" s="920"/>
      <c r="BT185" s="1495"/>
      <c r="BU185" s="101"/>
      <c r="BV185" s="1475"/>
      <c r="BX185" s="104"/>
      <c r="BY185" s="32"/>
      <c r="BZ185" s="33"/>
      <c r="CA185" s="32"/>
      <c r="CB185" s="34"/>
      <c r="CC185" s="92"/>
      <c r="CD185" s="108"/>
      <c r="CE185" s="94"/>
      <c r="CF185" s="95"/>
      <c r="CG185" s="105"/>
      <c r="CH185" s="5101"/>
      <c r="CI185" s="920"/>
      <c r="CJ185" s="1495"/>
      <c r="CK185" s="101"/>
      <c r="CL185" s="1475"/>
      <c r="CN185" s="104"/>
      <c r="CO185" s="32"/>
      <c r="CP185" s="33"/>
      <c r="CQ185" s="32"/>
      <c r="CR185" s="34"/>
      <c r="CS185" s="92"/>
      <c r="CT185" s="108"/>
      <c r="CU185" s="94"/>
      <c r="CV185" s="95"/>
      <c r="CW185" s="105"/>
      <c r="CX185" s="5101"/>
      <c r="CY185" s="920"/>
      <c r="CZ185" s="1495"/>
      <c r="DA185" s="101"/>
      <c r="DB185" s="1475"/>
      <c r="DC185" s="5109"/>
      <c r="DD185" s="5086"/>
      <c r="DF185" s="3">
        <v>1</v>
      </c>
    </row>
    <row r="186" spans="2:159" ht="21" customHeight="1">
      <c r="B186" s="952" t="str">
        <f t="shared" si="35"/>
        <v>A</v>
      </c>
      <c r="C186" s="993" cm="1">
        <f t="array" ref="C186">SUMPRODUCT(LEN(D186:J186))</f>
        <v>0</v>
      </c>
      <c r="D186" s="167"/>
      <c r="E186" s="172"/>
      <c r="F186" s="172"/>
      <c r="G186" s="172"/>
      <c r="H186" s="172"/>
      <c r="I186" s="172"/>
      <c r="J186" s="173"/>
      <c r="K186" s="442" t="s">
        <v>22</v>
      </c>
      <c r="L186" s="104" t="str">
        <f>IF(OR(Q186&lt;&gt;"",R186&lt;&gt; "",S186&lt;&gt;"",T186&lt;&gt;""),"A", "►")</f>
        <v>A</v>
      </c>
      <c r="M186" s="157" t="str">
        <f>M114</f>
        <v>P PRESSÉ DE BOUDIN NOIR | | Auteur &gt; Guy KRENZE - Eric GODDYN - Arnaud NICOLAS - CEPROC 2002</v>
      </c>
      <c r="N186" s="157">
        <f>N114</f>
        <v>20</v>
      </c>
      <c r="O186" s="158" t="str">
        <f>O114</f>
        <v>pressés de boudin</v>
      </c>
      <c r="P186" s="159" t="str">
        <f>P114</f>
        <v>Recette mère ► le Boudin en 4 déclinaisons</v>
      </c>
      <c r="Q186" s="172" t="s">
        <v>13039</v>
      </c>
      <c r="R186" s="172"/>
      <c r="S186" s="172"/>
      <c r="T186" s="172"/>
      <c r="U186" s="172"/>
      <c r="V186" s="172"/>
      <c r="W186" s="172"/>
      <c r="X186" s="172"/>
      <c r="Y186" s="172"/>
      <c r="Z186" s="555"/>
      <c r="AB186" s="104" t="str">
        <f>IF(OR(AG186&lt;&gt;"",AH186&lt;&gt; "",AI186&lt;&gt;"",AJ186&lt;&gt;""),"A", "►")</f>
        <v>A</v>
      </c>
      <c r="AC186" s="157" t="str">
        <f>AC114</f>
        <v>P PRESSED BLACK PUDDING TERRINE | |  Author &gt; Guy KRENZE - Eric GODDYN - Arnaud NICOLAS - CEPROC 2002</v>
      </c>
      <c r="AD186" s="157">
        <f>AD114</f>
        <v>20</v>
      </c>
      <c r="AE186" s="158" t="str">
        <f>AE114</f>
        <v>pressés de boudin</v>
      </c>
      <c r="AF186" s="159" t="str">
        <f>AF114</f>
        <v>Master recipe ► Black pudding in 4 variations</v>
      </c>
      <c r="AG186" s="172" t="s">
        <v>13039</v>
      </c>
      <c r="AH186" s="172"/>
      <c r="AI186" s="172"/>
      <c r="AJ186" s="172"/>
      <c r="AK186" s="172"/>
      <c r="AL186" s="172"/>
      <c r="AM186" s="172"/>
      <c r="AN186" s="172"/>
      <c r="AO186" s="172"/>
      <c r="AP186" s="555"/>
      <c r="AR186" s="104" t="str">
        <f>IF(OR(AW186&lt;&gt;"",AX186&lt;&gt; "",AY186&lt;&gt;"",AZ186&lt;&gt;""),"A", "►")</f>
        <v>A</v>
      </c>
      <c r="AS186" s="157" t="str">
        <f>AS114</f>
        <v>P PRENSADO DE MORCILLA (TERRINA) | | Autor &gt; Guy KRENZE - Eric GODDYN - Arnaud NICOLAS - CEPROC 2002</v>
      </c>
      <c r="AT186" s="157">
        <f>AT114</f>
        <v>20</v>
      </c>
      <c r="AU186" s="158" t="str">
        <f>AU114</f>
        <v>pressés de boudin</v>
      </c>
      <c r="AV186" s="159" t="str">
        <f>AV114</f>
        <v>Receta madre ► Morcilla en 4 versiones</v>
      </c>
      <c r="AW186" s="172" t="s">
        <v>13039</v>
      </c>
      <c r="AX186" s="172"/>
      <c r="AY186" s="172"/>
      <c r="AZ186" s="172"/>
      <c r="BA186" s="172"/>
      <c r="BB186" s="172"/>
      <c r="BC186" s="172"/>
      <c r="BD186" s="172"/>
      <c r="BE186" s="172"/>
      <c r="BF186" s="555"/>
      <c r="BH186" s="104"/>
      <c r="BI186" s="32"/>
      <c r="BJ186" s="33"/>
      <c r="BK186" s="32"/>
      <c r="BL186" s="34"/>
      <c r="BM186" s="92"/>
      <c r="BN186" s="108"/>
      <c r="BO186" s="94"/>
      <c r="BP186" s="95"/>
      <c r="BQ186" s="105"/>
      <c r="BR186" s="5101"/>
      <c r="BS186" s="920"/>
      <c r="BT186" s="1495"/>
      <c r="BU186" s="101"/>
      <c r="BV186" s="1475"/>
      <c r="BX186" s="104"/>
      <c r="BY186" s="32"/>
      <c r="BZ186" s="33"/>
      <c r="CA186" s="32"/>
      <c r="CB186" s="34"/>
      <c r="CC186" s="92"/>
      <c r="CD186" s="108"/>
      <c r="CE186" s="94"/>
      <c r="CF186" s="95"/>
      <c r="CG186" s="105"/>
      <c r="CH186" s="5101"/>
      <c r="CI186" s="920"/>
      <c r="CJ186" s="1495"/>
      <c r="CK186" s="101"/>
      <c r="CL186" s="1475"/>
      <c r="CN186" s="104"/>
      <c r="CO186" s="32"/>
      <c r="CP186" s="33"/>
      <c r="CQ186" s="32"/>
      <c r="CR186" s="34"/>
      <c r="CS186" s="92"/>
      <c r="CT186" s="108"/>
      <c r="CU186" s="94"/>
      <c r="CV186" s="95"/>
      <c r="CW186" s="105"/>
      <c r="CX186" s="5101"/>
      <c r="CY186" s="920"/>
      <c r="CZ186" s="1495"/>
      <c r="DA186" s="101"/>
      <c r="DB186" s="1475"/>
      <c r="DC186" s="5109"/>
      <c r="DD186" s="5069"/>
      <c r="DF186" s="3">
        <v>1</v>
      </c>
    </row>
    <row r="187" spans="2:159" ht="21" customHeight="1">
      <c r="B187" s="952" t="str">
        <f t="shared" si="35"/>
        <v>►</v>
      </c>
      <c r="C187" s="993" cm="1">
        <f t="array" ref="C187">SUMPRODUCT(LEN(D187:J187))</f>
        <v>0</v>
      </c>
      <c r="D187" s="167"/>
      <c r="E187" s="172"/>
      <c r="F187" s="172"/>
      <c r="G187" s="172"/>
      <c r="H187" s="172"/>
      <c r="I187" s="172"/>
      <c r="J187" s="173"/>
      <c r="K187" s="442" t="s">
        <v>22</v>
      </c>
      <c r="L187" s="196" t="s">
        <v>16</v>
      </c>
      <c r="M187" s="157" t="str">
        <f>M114</f>
        <v>P PRESSÉ DE BOUDIN NOIR | | Auteur &gt; Guy KRENZE - Eric GODDYN - Arnaud NICOLAS - CEPROC 2002</v>
      </c>
      <c r="N187" s="157">
        <f>N114</f>
        <v>20</v>
      </c>
      <c r="O187" s="158" t="str">
        <f>O114</f>
        <v>pressés de boudin</v>
      </c>
      <c r="P187" s="159" t="str">
        <f>P114</f>
        <v>Recette mère ► le Boudin en 4 déclinaisons</v>
      </c>
      <c r="Q187" s="172"/>
      <c r="R187" s="172"/>
      <c r="S187" s="172"/>
      <c r="T187" s="172"/>
      <c r="U187" s="172"/>
      <c r="V187" s="172"/>
      <c r="W187" s="172"/>
      <c r="X187" s="172"/>
      <c r="Y187" s="172"/>
      <c r="Z187" s="555"/>
      <c r="AB187" s="196" t="s">
        <v>16</v>
      </c>
      <c r="AC187" s="157" t="str">
        <f>AC114</f>
        <v>P PRESSED BLACK PUDDING TERRINE | |  Author &gt; Guy KRENZE - Eric GODDYN - Arnaud NICOLAS - CEPROC 2002</v>
      </c>
      <c r="AD187" s="157">
        <f>AD114</f>
        <v>20</v>
      </c>
      <c r="AE187" s="158" t="str">
        <f>AE114</f>
        <v>pressés de boudin</v>
      </c>
      <c r="AF187" s="159" t="str">
        <f>AF114</f>
        <v>Master recipe ► Black pudding in 4 variations</v>
      </c>
      <c r="AG187" s="172"/>
      <c r="AH187" s="172"/>
      <c r="AI187" s="172"/>
      <c r="AJ187" s="172"/>
      <c r="AK187" s="172"/>
      <c r="AL187" s="172"/>
      <c r="AM187" s="172"/>
      <c r="AN187" s="172"/>
      <c r="AO187" s="172"/>
      <c r="AP187" s="555"/>
      <c r="AR187" s="196" t="s">
        <v>16</v>
      </c>
      <c r="AS187" s="157" t="str">
        <f>AS114</f>
        <v>P PRENSADO DE MORCILLA (TERRINA) | | Autor &gt; Guy KRENZE - Eric GODDYN - Arnaud NICOLAS - CEPROC 2002</v>
      </c>
      <c r="AT187" s="157">
        <f>AT114</f>
        <v>20</v>
      </c>
      <c r="AU187" s="158" t="str">
        <f>AU114</f>
        <v>pressés de boudin</v>
      </c>
      <c r="AV187" s="159" t="str">
        <f>AV114</f>
        <v>Receta madre ► Morcilla en 4 versiones</v>
      </c>
      <c r="AW187" s="172"/>
      <c r="AX187" s="172"/>
      <c r="AY187" s="172"/>
      <c r="AZ187" s="172"/>
      <c r="BA187" s="172"/>
      <c r="BB187" s="172"/>
      <c r="BC187" s="172"/>
      <c r="BD187" s="172"/>
      <c r="BE187" s="172"/>
      <c r="BF187" s="555"/>
      <c r="BH187" s="104"/>
      <c r="BI187" s="32"/>
      <c r="BJ187" s="33"/>
      <c r="BK187" s="32"/>
      <c r="BL187" s="34"/>
      <c r="BM187" s="92"/>
      <c r="BN187" s="108"/>
      <c r="BO187" s="94"/>
      <c r="BP187" s="95"/>
      <c r="BQ187" s="105"/>
      <c r="BR187" s="5101"/>
      <c r="BS187" s="920"/>
      <c r="BT187" s="1495"/>
      <c r="BU187" s="101"/>
      <c r="BV187" s="1475"/>
      <c r="BX187" s="104"/>
      <c r="BY187" s="32"/>
      <c r="BZ187" s="33"/>
      <c r="CA187" s="32"/>
      <c r="CB187" s="34"/>
      <c r="CC187" s="92"/>
      <c r="CD187" s="108"/>
      <c r="CE187" s="94"/>
      <c r="CF187" s="95"/>
      <c r="CG187" s="105"/>
      <c r="CH187" s="5101"/>
      <c r="CI187" s="920"/>
      <c r="CJ187" s="1495"/>
      <c r="CK187" s="101"/>
      <c r="CL187" s="1475"/>
      <c r="CN187" s="104"/>
      <c r="CO187" s="32"/>
      <c r="CP187" s="33"/>
      <c r="CQ187" s="32"/>
      <c r="CR187" s="34"/>
      <c r="CS187" s="92"/>
      <c r="CT187" s="108"/>
      <c r="CU187" s="94"/>
      <c r="CV187" s="95"/>
      <c r="CW187" s="105"/>
      <c r="CX187" s="5101"/>
      <c r="CY187" s="920"/>
      <c r="CZ187" s="1495"/>
      <c r="DA187" s="101"/>
      <c r="DB187" s="1475"/>
      <c r="DC187" s="5109"/>
      <c r="DD187" s="5086"/>
      <c r="DF187" s="3">
        <v>1</v>
      </c>
    </row>
    <row r="188" spans="2:159" ht="21" customHeight="1">
      <c r="B188" s="952" t="str">
        <f t="shared" si="35"/>
        <v>A</v>
      </c>
      <c r="C188" s="993" cm="1">
        <f t="array" ref="C188">SUMPRODUCT(LEN(D188:J188))</f>
        <v>0</v>
      </c>
      <c r="D188" s="167"/>
      <c r="E188" s="172"/>
      <c r="F188" s="172"/>
      <c r="G188" s="172"/>
      <c r="H188" s="172"/>
      <c r="I188" s="172"/>
      <c r="J188" s="173"/>
      <c r="K188" s="442" t="s">
        <v>22</v>
      </c>
      <c r="L188" s="196" t="s">
        <v>11</v>
      </c>
      <c r="M188" s="157" t="str">
        <f>M114</f>
        <v>P PRESSÉ DE BOUDIN NOIR | | Auteur &gt; Guy KRENZE - Eric GODDYN - Arnaud NICOLAS - CEPROC 2002</v>
      </c>
      <c r="N188" s="157">
        <f>N114</f>
        <v>20</v>
      </c>
      <c r="O188" s="158" t="str">
        <f>O114</f>
        <v>pressés de boudin</v>
      </c>
      <c r="P188" s="159" t="str">
        <f>P114</f>
        <v>Recette mère ► le Boudin en 4 déclinaisons</v>
      </c>
      <c r="Q188" s="172"/>
      <c r="R188" s="172"/>
      <c r="S188" s="172"/>
      <c r="T188" s="172"/>
      <c r="U188" s="172"/>
      <c r="V188" s="172"/>
      <c r="W188" s="172"/>
      <c r="X188" s="172"/>
      <c r="Y188" s="172"/>
      <c r="Z188" s="555"/>
      <c r="AB188" s="196" t="s">
        <v>11</v>
      </c>
      <c r="AC188" s="157" t="str">
        <f>AC114</f>
        <v>P PRESSED BLACK PUDDING TERRINE | |  Author &gt; Guy KRENZE - Eric GODDYN - Arnaud NICOLAS - CEPROC 2002</v>
      </c>
      <c r="AD188" s="157">
        <f>AD114</f>
        <v>20</v>
      </c>
      <c r="AE188" s="158" t="str">
        <f>AE114</f>
        <v>pressés de boudin</v>
      </c>
      <c r="AF188" s="159" t="str">
        <f>AF114</f>
        <v>Master recipe ► Black pudding in 4 variations</v>
      </c>
      <c r="AG188" s="172"/>
      <c r="AH188" s="172"/>
      <c r="AI188" s="172"/>
      <c r="AJ188" s="172"/>
      <c r="AK188" s="172"/>
      <c r="AL188" s="172"/>
      <c r="AM188" s="172"/>
      <c r="AN188" s="172"/>
      <c r="AO188" s="172"/>
      <c r="AP188" s="555"/>
      <c r="AR188" s="196" t="s">
        <v>11</v>
      </c>
      <c r="AS188" s="157" t="str">
        <f>AS114</f>
        <v>P PRENSADO DE MORCILLA (TERRINA) | | Autor &gt; Guy KRENZE - Eric GODDYN - Arnaud NICOLAS - CEPROC 2002</v>
      </c>
      <c r="AT188" s="157">
        <f>AT114</f>
        <v>20</v>
      </c>
      <c r="AU188" s="158" t="str">
        <f>AU114</f>
        <v>pressés de boudin</v>
      </c>
      <c r="AV188" s="159" t="str">
        <f>AV114</f>
        <v>Receta madre ► Morcilla en 4 versiones</v>
      </c>
      <c r="AW188" s="172"/>
      <c r="AX188" s="172"/>
      <c r="AY188" s="172"/>
      <c r="AZ188" s="172"/>
      <c r="BA188" s="172"/>
      <c r="BB188" s="172"/>
      <c r="BC188" s="172"/>
      <c r="BD188" s="172"/>
      <c r="BE188" s="172"/>
      <c r="BF188" s="555"/>
      <c r="BH188" s="104"/>
      <c r="BI188" s="32"/>
      <c r="BJ188" s="33"/>
      <c r="BK188" s="32"/>
      <c r="BL188" s="34"/>
      <c r="BM188" s="92"/>
      <c r="BN188" s="108"/>
      <c r="BO188" s="94"/>
      <c r="BP188" s="95"/>
      <c r="BQ188" s="105"/>
      <c r="BR188" s="5101"/>
      <c r="BS188" s="920"/>
      <c r="BT188" s="1495"/>
      <c r="BU188" s="101"/>
      <c r="BV188" s="1475"/>
      <c r="BX188" s="104"/>
      <c r="BY188" s="32"/>
      <c r="BZ188" s="33"/>
      <c r="CA188" s="32"/>
      <c r="CB188" s="34"/>
      <c r="CC188" s="92"/>
      <c r="CD188" s="108"/>
      <c r="CE188" s="94"/>
      <c r="CF188" s="95"/>
      <c r="CG188" s="105"/>
      <c r="CH188" s="5101"/>
      <c r="CI188" s="920"/>
      <c r="CJ188" s="1495"/>
      <c r="CK188" s="101"/>
      <c r="CL188" s="1475"/>
      <c r="CN188" s="104"/>
      <c r="CO188" s="32"/>
      <c r="CP188" s="33"/>
      <c r="CQ188" s="32"/>
      <c r="CR188" s="34"/>
      <c r="CS188" s="92"/>
      <c r="CT188" s="108"/>
      <c r="CU188" s="94"/>
      <c r="CV188" s="95"/>
      <c r="CW188" s="105"/>
      <c r="CX188" s="5101"/>
      <c r="CY188" s="920"/>
      <c r="CZ188" s="1495"/>
      <c r="DA188" s="101"/>
      <c r="DB188" s="1475"/>
      <c r="DC188" s="5109"/>
      <c r="DD188" s="5086"/>
      <c r="DF188" s="3">
        <v>1</v>
      </c>
    </row>
    <row r="189" spans="2:159" ht="21" customHeight="1">
      <c r="B189" s="952" t="str">
        <f t="shared" si="35"/>
        <v>A</v>
      </c>
      <c r="C189" s="993" cm="1">
        <f t="array" ref="C189">SUMPRODUCT(LEN(D189:J189))</f>
        <v>0</v>
      </c>
      <c r="D189" s="167"/>
      <c r="E189" s="172"/>
      <c r="F189" s="172"/>
      <c r="G189" s="172"/>
      <c r="H189" s="172"/>
      <c r="I189" s="172"/>
      <c r="J189" s="173"/>
      <c r="K189" s="442" t="s">
        <v>22</v>
      </c>
      <c r="L189" s="196" t="s">
        <v>11</v>
      </c>
      <c r="M189" s="157" t="str">
        <f>M114</f>
        <v>P PRESSÉ DE BOUDIN NOIR | | Auteur &gt; Guy KRENZE - Eric GODDYN - Arnaud NICOLAS - CEPROC 2002</v>
      </c>
      <c r="N189" s="157">
        <f>N114</f>
        <v>20</v>
      </c>
      <c r="O189" s="158" t="str">
        <f>O114</f>
        <v>pressés de boudin</v>
      </c>
      <c r="P189" s="159" t="str">
        <f>P114</f>
        <v>Recette mère ► le Boudin en 4 déclinaisons</v>
      </c>
      <c r="Q189" s="167"/>
      <c r="R189" s="172"/>
      <c r="S189" s="172"/>
      <c r="T189" s="172"/>
      <c r="U189" s="172"/>
      <c r="V189" s="172"/>
      <c r="W189" s="172"/>
      <c r="X189" s="172"/>
      <c r="Y189" s="172"/>
      <c r="Z189" s="1485" t="s">
        <v>197</v>
      </c>
      <c r="AB189" s="196" t="s">
        <v>11</v>
      </c>
      <c r="AC189" s="157" t="str">
        <f>AC114</f>
        <v>P PRESSED BLACK PUDDING TERRINE | |  Author &gt; Guy KRENZE - Eric GODDYN - Arnaud NICOLAS - CEPROC 2002</v>
      </c>
      <c r="AD189" s="157">
        <f>AD114</f>
        <v>20</v>
      </c>
      <c r="AE189" s="158" t="str">
        <f>AE114</f>
        <v>pressés de boudin</v>
      </c>
      <c r="AF189" s="159" t="str">
        <f>AF114</f>
        <v>Master recipe ► Black pudding in 4 variations</v>
      </c>
      <c r="AG189" s="167"/>
      <c r="AH189" s="172"/>
      <c r="AI189" s="172"/>
      <c r="AJ189" s="172"/>
      <c r="AK189" s="172"/>
      <c r="AL189" s="172"/>
      <c r="AM189" s="172"/>
      <c r="AN189" s="172"/>
      <c r="AO189" s="172"/>
      <c r="AP189" s="1486" t="s">
        <v>899</v>
      </c>
      <c r="AR189" s="196" t="s">
        <v>11</v>
      </c>
      <c r="AS189" s="157" t="str">
        <f>AS114</f>
        <v>P PRENSADO DE MORCILLA (TERRINA) | | Autor &gt; Guy KRENZE - Eric GODDYN - Arnaud NICOLAS - CEPROC 2002</v>
      </c>
      <c r="AT189" s="157">
        <f>AT114</f>
        <v>20</v>
      </c>
      <c r="AU189" s="158" t="str">
        <f>AU114</f>
        <v>pressés de boudin</v>
      </c>
      <c r="AV189" s="159" t="str">
        <f>AV114</f>
        <v>Receta madre ► Morcilla en 4 versiones</v>
      </c>
      <c r="AW189" s="167"/>
      <c r="AX189" s="172"/>
      <c r="AY189" s="172"/>
      <c r="AZ189" s="172"/>
      <c r="BA189" s="172"/>
      <c r="BB189" s="172"/>
      <c r="BC189" s="172"/>
      <c r="BD189" s="172"/>
      <c r="BE189" s="172"/>
      <c r="BF189" s="1486" t="s">
        <v>913</v>
      </c>
      <c r="BH189" s="104"/>
      <c r="BI189" s="32"/>
      <c r="BJ189" s="33"/>
      <c r="BK189" s="32"/>
      <c r="BL189" s="34"/>
      <c r="BM189" s="92"/>
      <c r="BN189" s="108"/>
      <c r="BO189" s="94"/>
      <c r="BP189" s="95"/>
      <c r="BQ189" s="105"/>
      <c r="BR189" s="5101"/>
      <c r="BS189" s="920"/>
      <c r="BT189" s="1495"/>
      <c r="BU189" s="101"/>
      <c r="BV189" s="1475"/>
      <c r="BX189" s="104"/>
      <c r="BY189" s="32"/>
      <c r="BZ189" s="33"/>
      <c r="CA189" s="32"/>
      <c r="CB189" s="34"/>
      <c r="CC189" s="92"/>
      <c r="CD189" s="108"/>
      <c r="CE189" s="94"/>
      <c r="CF189" s="95"/>
      <c r="CG189" s="105"/>
      <c r="CH189" s="5101"/>
      <c r="CI189" s="920"/>
      <c r="CJ189" s="1495"/>
      <c r="CK189" s="101"/>
      <c r="CL189" s="1475"/>
      <c r="CN189" s="104"/>
      <c r="CO189" s="32"/>
      <c r="CP189" s="33"/>
      <c r="CQ189" s="32"/>
      <c r="CR189" s="34"/>
      <c r="CS189" s="92"/>
      <c r="CT189" s="108"/>
      <c r="CU189" s="94"/>
      <c r="CV189" s="95"/>
      <c r="CW189" s="105"/>
      <c r="CX189" s="5101"/>
      <c r="CY189" s="920"/>
      <c r="CZ189" s="1495"/>
      <c r="DA189" s="101"/>
      <c r="DB189" s="1475"/>
      <c r="DC189" s="5109"/>
      <c r="DD189" s="5086"/>
      <c r="DF189" s="3">
        <v>1</v>
      </c>
    </row>
    <row r="190" spans="2:159" ht="21" customHeight="1">
      <c r="B190" s="952" t="str">
        <f t="shared" si="35"/>
        <v>A</v>
      </c>
      <c r="C190" s="993" cm="1">
        <f t="array" ref="C190">SUMPRODUCT(LEN(D190:J190))</f>
        <v>0</v>
      </c>
      <c r="D190" s="167"/>
      <c r="E190" s="172"/>
      <c r="F190" s="172"/>
      <c r="G190" s="172"/>
      <c r="H190" s="172"/>
      <c r="I190" s="172"/>
      <c r="J190" s="173"/>
      <c r="K190" s="442" t="s">
        <v>22</v>
      </c>
      <c r="L190" s="196" t="s">
        <v>11</v>
      </c>
      <c r="M190" s="157" t="str">
        <f>M114</f>
        <v>P PRESSÉ DE BOUDIN NOIR | | Auteur &gt; Guy KRENZE - Eric GODDYN - Arnaud NICOLAS - CEPROC 2002</v>
      </c>
      <c r="N190" s="157">
        <f>N114</f>
        <v>20</v>
      </c>
      <c r="O190" s="158" t="str">
        <f>O114</f>
        <v>pressés de boudin</v>
      </c>
      <c r="P190" s="159" t="str">
        <f>P114</f>
        <v>Recette mère ► le Boudin en 4 déclinaisons</v>
      </c>
      <c r="Q190" s="204"/>
      <c r="R190" s="204"/>
      <c r="S190" s="204" t="s">
        <v>201</v>
      </c>
      <c r="T190" s="205"/>
      <c r="U190" s="206"/>
      <c r="V190" s="206"/>
      <c r="W190" s="206"/>
      <c r="X190" s="206"/>
      <c r="Y190" s="206"/>
      <c r="Z190" s="567"/>
      <c r="AB190" s="196" t="s">
        <v>11</v>
      </c>
      <c r="AC190" s="157" t="str">
        <f>AC114</f>
        <v>P PRESSED BLACK PUDDING TERRINE | |  Author &gt; Guy KRENZE - Eric GODDYN - Arnaud NICOLAS - CEPROC 2002</v>
      </c>
      <c r="AD190" s="157">
        <f>AD114</f>
        <v>20</v>
      </c>
      <c r="AE190" s="158" t="str">
        <f>AE114</f>
        <v>pressés de boudin</v>
      </c>
      <c r="AF190" s="159" t="str">
        <f>AF114</f>
        <v>Master recipe ► Black pudding in 4 variations</v>
      </c>
      <c r="AG190" s="204"/>
      <c r="AH190" s="204"/>
      <c r="AI190" s="204" t="s">
        <v>661</v>
      </c>
      <c r="AJ190" s="205"/>
      <c r="AK190" s="206"/>
      <c r="AL190" s="206"/>
      <c r="AM190" s="206"/>
      <c r="AN190" s="206"/>
      <c r="AO190" s="206"/>
      <c r="AP190" s="567"/>
      <c r="AR190" s="196" t="s">
        <v>11</v>
      </c>
      <c r="AS190" s="157" t="str">
        <f>AS114</f>
        <v>P PRENSADO DE MORCILLA (TERRINA) | | Autor &gt; Guy KRENZE - Eric GODDYN - Arnaud NICOLAS - CEPROC 2002</v>
      </c>
      <c r="AT190" s="157">
        <f>AT114</f>
        <v>20</v>
      </c>
      <c r="AU190" s="158" t="str">
        <f>AU114</f>
        <v>pressés de boudin</v>
      </c>
      <c r="AV190" s="159" t="str">
        <f>AV114</f>
        <v>Receta madre ► Morcilla en 4 versiones</v>
      </c>
      <c r="AW190" s="204"/>
      <c r="AX190" s="204"/>
      <c r="AY190" s="204" t="s">
        <v>915</v>
      </c>
      <c r="AZ190" s="205"/>
      <c r="BA190" s="206"/>
      <c r="BB190" s="206"/>
      <c r="BC190" s="206"/>
      <c r="BD190" s="206"/>
      <c r="BE190" s="206"/>
      <c r="BF190" s="567"/>
      <c r="BH190" s="104"/>
      <c r="BI190" s="32"/>
      <c r="BJ190" s="33"/>
      <c r="BK190" s="32"/>
      <c r="BL190" s="34"/>
      <c r="BM190" s="92"/>
      <c r="BN190" s="108"/>
      <c r="BO190" s="94"/>
      <c r="BP190" s="95"/>
      <c r="BQ190" s="105"/>
      <c r="BR190" s="5101"/>
      <c r="BS190" s="920"/>
      <c r="BT190" s="1495"/>
      <c r="BU190" s="101"/>
      <c r="BV190" s="1475"/>
      <c r="BX190" s="104"/>
      <c r="BY190" s="32"/>
      <c r="BZ190" s="33"/>
      <c r="CA190" s="32"/>
      <c r="CB190" s="34"/>
      <c r="CC190" s="92"/>
      <c r="CD190" s="108"/>
      <c r="CE190" s="94"/>
      <c r="CF190" s="95"/>
      <c r="CG190" s="105"/>
      <c r="CH190" s="5101"/>
      <c r="CI190" s="920"/>
      <c r="CJ190" s="1495"/>
      <c r="CK190" s="101"/>
      <c r="CL190" s="1475"/>
      <c r="CN190" s="104"/>
      <c r="CO190" s="32"/>
      <c r="CP190" s="33"/>
      <c r="CQ190" s="32"/>
      <c r="CR190" s="34"/>
      <c r="CS190" s="92"/>
      <c r="CT190" s="108"/>
      <c r="CU190" s="94"/>
      <c r="CV190" s="95"/>
      <c r="CW190" s="105"/>
      <c r="CX190" s="5101"/>
      <c r="CY190" s="920"/>
      <c r="CZ190" s="1495"/>
      <c r="DA190" s="101"/>
      <c r="DB190" s="1475"/>
      <c r="DC190" s="5109"/>
      <c r="DD190" s="5086"/>
      <c r="DF190" s="3">
        <v>1</v>
      </c>
    </row>
    <row r="191" spans="2:159" ht="21" customHeight="1">
      <c r="B191" s="952" t="str">
        <f t="shared" si="35"/>
        <v>A</v>
      </c>
      <c r="C191" s="993" cm="1">
        <f t="array" ref="C191">SUMPRODUCT(LEN(D191:J191))</f>
        <v>0</v>
      </c>
      <c r="D191" s="167"/>
      <c r="E191" s="172"/>
      <c r="F191" s="172"/>
      <c r="G191" s="172"/>
      <c r="H191" s="172"/>
      <c r="I191" s="172"/>
      <c r="J191" s="173"/>
      <c r="K191" s="442"/>
      <c r="L191" s="196" t="s">
        <v>11</v>
      </c>
      <c r="M191" s="209" t="str">
        <f>M114</f>
        <v>P PRESSÉ DE BOUDIN NOIR | | Auteur &gt; Guy KRENZE - Eric GODDYN - Arnaud NICOLAS - CEPROC 2002</v>
      </c>
      <c r="N191" s="209">
        <f>N114</f>
        <v>20</v>
      </c>
      <c r="O191" s="210" t="str">
        <f>O114</f>
        <v>pressés de boudin</v>
      </c>
      <c r="P191" s="211" t="str">
        <f>P114</f>
        <v>Recette mère ► le Boudin en 4 déclinaisons</v>
      </c>
      <c r="Q191" s="212"/>
      <c r="R191" s="213"/>
      <c r="S191" s="214"/>
      <c r="T191" s="215"/>
      <c r="U191" s="214"/>
      <c r="V191" s="214"/>
      <c r="W191" s="214"/>
      <c r="X191" s="214"/>
      <c r="Y191" s="214"/>
      <c r="Z191" s="582"/>
      <c r="AB191" s="196" t="s">
        <v>11</v>
      </c>
      <c r="AC191" s="209" t="str">
        <f>AC114</f>
        <v>P PRESSED BLACK PUDDING TERRINE | |  Author &gt; Guy KRENZE - Eric GODDYN - Arnaud NICOLAS - CEPROC 2002</v>
      </c>
      <c r="AD191" s="209">
        <f>AD114</f>
        <v>20</v>
      </c>
      <c r="AE191" s="210" t="str">
        <f>AE114</f>
        <v>pressés de boudin</v>
      </c>
      <c r="AF191" s="211" t="str">
        <f>AF114</f>
        <v>Master recipe ► Black pudding in 4 variations</v>
      </c>
      <c r="AG191" s="212"/>
      <c r="AH191" s="213"/>
      <c r="AI191" s="214"/>
      <c r="AJ191" s="215"/>
      <c r="AK191" s="214"/>
      <c r="AL191" s="214"/>
      <c r="AM191" s="214"/>
      <c r="AN191" s="214"/>
      <c r="AO191" s="214"/>
      <c r="AP191" s="582"/>
      <c r="AR191" s="196" t="s">
        <v>11</v>
      </c>
      <c r="AS191" s="209" t="str">
        <f>AS114</f>
        <v>P PRENSADO DE MORCILLA (TERRINA) | | Autor &gt; Guy KRENZE - Eric GODDYN - Arnaud NICOLAS - CEPROC 2002</v>
      </c>
      <c r="AT191" s="209">
        <f>AT114</f>
        <v>20</v>
      </c>
      <c r="AU191" s="210" t="str">
        <f>AU114</f>
        <v>pressés de boudin</v>
      </c>
      <c r="AV191" s="211" t="str">
        <f>AV114</f>
        <v>Receta madre ► Morcilla en 4 versiones</v>
      </c>
      <c r="AW191" s="212"/>
      <c r="AX191" s="213"/>
      <c r="AY191" s="214"/>
      <c r="AZ191" s="215"/>
      <c r="BA191" s="214"/>
      <c r="BB191" s="214"/>
      <c r="BC191" s="214"/>
      <c r="BD191" s="214"/>
      <c r="BE191" s="214"/>
      <c r="BF191" s="582"/>
      <c r="BH191" s="104"/>
      <c r="BI191" s="32"/>
      <c r="BJ191" s="33"/>
      <c r="BK191" s="32"/>
      <c r="BL191" s="34"/>
      <c r="BM191" s="92"/>
      <c r="BN191" s="108"/>
      <c r="BO191" s="94"/>
      <c r="BP191" s="95"/>
      <c r="BQ191" s="105"/>
      <c r="BR191" s="5101"/>
      <c r="BS191" s="920"/>
      <c r="BT191" s="1495"/>
      <c r="BU191" s="101"/>
      <c r="BV191" s="1475"/>
      <c r="BX191" s="104"/>
      <c r="BY191" s="32"/>
      <c r="BZ191" s="33"/>
      <c r="CA191" s="32"/>
      <c r="CB191" s="34"/>
      <c r="CC191" s="92"/>
      <c r="CD191" s="108"/>
      <c r="CE191" s="94"/>
      <c r="CF191" s="95"/>
      <c r="CG191" s="105"/>
      <c r="CH191" s="5101"/>
      <c r="CI191" s="920"/>
      <c r="CJ191" s="1495"/>
      <c r="CK191" s="101"/>
      <c r="CL191" s="1475"/>
      <c r="CN191" s="104"/>
      <c r="CO191" s="32"/>
      <c r="CP191" s="33"/>
      <c r="CQ191" s="32"/>
      <c r="CR191" s="34"/>
      <c r="CS191" s="92"/>
      <c r="CT191" s="108"/>
      <c r="CU191" s="94"/>
      <c r="CV191" s="95"/>
      <c r="CW191" s="105"/>
      <c r="CX191" s="5101"/>
      <c r="CY191" s="920"/>
      <c r="CZ191" s="1495"/>
      <c r="DA191" s="101"/>
      <c r="DB191" s="1475"/>
      <c r="DC191" s="5109"/>
      <c r="DD191" s="5086"/>
      <c r="DF191" s="3">
        <v>1</v>
      </c>
    </row>
    <row r="192" spans="2:159" ht="21" customHeight="1" thickBot="1">
      <c r="B192" s="952" t="str">
        <f t="shared" si="35"/>
        <v>A</v>
      </c>
      <c r="C192" s="993" cm="1">
        <f t="array" ref="C192">SUMPRODUCT(LEN(D192:J192))</f>
        <v>0</v>
      </c>
      <c r="D192" s="167"/>
      <c r="E192" s="172"/>
      <c r="F192" s="172"/>
      <c r="G192" s="172"/>
      <c r="H192" s="172"/>
      <c r="I192" s="172"/>
      <c r="J192" s="173"/>
      <c r="K192" s="442"/>
      <c r="L192" s="216" t="s">
        <v>11</v>
      </c>
      <c r="M192" s="217"/>
      <c r="N192" s="217"/>
      <c r="O192" s="217"/>
      <c r="P192" s="218"/>
      <c r="Q192" s="219" t="s">
        <v>208</v>
      </c>
      <c r="R192" s="1481" t="str">
        <f ca="1">CELL("nomfichier")</f>
        <v>D:\Données\1.UPRT\0-UPRT.fait\1-UPRT.FR-SITE-WEB\ff-fiches-fabrications\ff.fiches.fabrication.2023\ffr.restaurant.2023\[ff.FICHE.TRILINGUE.15.COLONNES.29.11.2025.xlsx]Notice.utilisateur</v>
      </c>
      <c r="S192" s="220"/>
      <c r="T192" s="220"/>
      <c r="U192" s="220"/>
      <c r="V192" s="220"/>
      <c r="W192" s="220"/>
      <c r="X192" s="220"/>
      <c r="Y192" s="220"/>
      <c r="Z192" s="221"/>
      <c r="AB192" s="216" t="s">
        <v>11</v>
      </c>
      <c r="AC192" s="217"/>
      <c r="AD192" s="217"/>
      <c r="AE192" s="217"/>
      <c r="AF192" s="218"/>
      <c r="AG192" s="219" t="s">
        <v>208</v>
      </c>
      <c r="AH192" s="1481" t="str">
        <f ca="1">CELL("nomfichier")</f>
        <v>D:\Données\1.UPRT\0-UPRT.fait\1-UPRT.FR-SITE-WEB\ff-fiches-fabrications\ff.fiches.fabrication.2023\ffr.restaurant.2023\[ff.FICHE.TRILINGUE.15.COLONNES.29.11.2025.xlsx]Notice.utilisateur</v>
      </c>
      <c r="AI192" s="220"/>
      <c r="AJ192" s="220"/>
      <c r="AK192" s="220"/>
      <c r="AL192" s="220"/>
      <c r="AM192" s="220"/>
      <c r="AN192" s="220"/>
      <c r="AO192" s="220"/>
      <c r="AP192" s="221"/>
      <c r="AR192" s="216" t="s">
        <v>11</v>
      </c>
      <c r="AS192" s="217"/>
      <c r="AT192" s="217"/>
      <c r="AU192" s="217"/>
      <c r="AV192" s="218"/>
      <c r="AW192" s="219" t="s">
        <v>208</v>
      </c>
      <c r="AX192" s="1481" t="str">
        <f ca="1">CELL("nomfichier")</f>
        <v>D:\Données\1.UPRT\0-UPRT.fait\1-UPRT.FR-SITE-WEB\ff-fiches-fabrications\ff.fiches.fabrication.2023\ffr.restaurant.2023\[ff.FICHE.TRILINGUE.15.COLONNES.29.11.2025.xlsx]Notice.utilisateur</v>
      </c>
      <c r="AY192" s="220"/>
      <c r="AZ192" s="220"/>
      <c r="BA192" s="220"/>
      <c r="BB192" s="220"/>
      <c r="BC192" s="220"/>
      <c r="BD192" s="220"/>
      <c r="BE192" s="220"/>
      <c r="BF192" s="221"/>
      <c r="BH192" s="104"/>
      <c r="BI192" s="32"/>
      <c r="BJ192" s="33"/>
      <c r="BK192" s="32"/>
      <c r="BL192" s="34"/>
      <c r="BM192" s="92"/>
      <c r="BN192" s="108"/>
      <c r="BO192" s="94"/>
      <c r="BP192" s="95"/>
      <c r="BQ192" s="105"/>
      <c r="BR192" s="5101"/>
      <c r="BS192" s="920"/>
      <c r="BT192" s="1495"/>
      <c r="BU192" s="101"/>
      <c r="BV192" s="1475"/>
      <c r="BX192" s="104"/>
      <c r="BY192" s="32"/>
      <c r="BZ192" s="33"/>
      <c r="CA192" s="32"/>
      <c r="CB192" s="34"/>
      <c r="CC192" s="92"/>
      <c r="CD192" s="108"/>
      <c r="CE192" s="94"/>
      <c r="CF192" s="95"/>
      <c r="CG192" s="105"/>
      <c r="CH192" s="5101"/>
      <c r="CI192" s="920"/>
      <c r="CJ192" s="1495"/>
      <c r="CK192" s="101"/>
      <c r="CL192" s="1475"/>
      <c r="CN192" s="104"/>
      <c r="CO192" s="32"/>
      <c r="CP192" s="33"/>
      <c r="CQ192" s="32"/>
      <c r="CR192" s="34"/>
      <c r="CS192" s="92"/>
      <c r="CT192" s="108"/>
      <c r="CU192" s="94"/>
      <c r="CV192" s="95"/>
      <c r="CW192" s="105"/>
      <c r="CX192" s="5101"/>
      <c r="CY192" s="920"/>
      <c r="CZ192" s="1495"/>
      <c r="DA192" s="101"/>
      <c r="DB192" s="1475"/>
      <c r="DC192" s="5109"/>
      <c r="DD192" s="5086"/>
      <c r="DF192" s="3">
        <v>1</v>
      </c>
    </row>
    <row r="193" spans="2:175" ht="21" customHeight="1" thickBot="1">
      <c r="B193" s="952" t="str">
        <f t="shared" si="35"/>
        <v>A</v>
      </c>
      <c r="C193" s="993" cm="1">
        <f t="array" ref="C193">SUMPRODUCT(LEN(D193:J193))</f>
        <v>0</v>
      </c>
      <c r="D193" s="167"/>
      <c r="E193" s="172"/>
      <c r="F193" s="172"/>
      <c r="G193" s="172"/>
      <c r="H193" s="172"/>
      <c r="I193" s="172"/>
      <c r="J193" s="173"/>
      <c r="K193"/>
      <c r="L193" s="5215" t="s">
        <v>11</v>
      </c>
      <c r="M193" s="5216" t="s">
        <v>11</v>
      </c>
      <c r="N193" s="5216" t="s">
        <v>11</v>
      </c>
      <c r="O193" s="5216" t="s">
        <v>11</v>
      </c>
      <c r="P193" s="5216" t="s">
        <v>11</v>
      </c>
      <c r="Q193" s="5217" t="s">
        <v>2613</v>
      </c>
      <c r="R193" s="5218"/>
      <c r="S193" s="5219"/>
      <c r="T193" s="5220"/>
      <c r="U193" s="5221"/>
      <c r="V193" s="5222"/>
      <c r="W193" s="5220"/>
      <c r="X193" s="5220"/>
      <c r="Y193" s="5220"/>
      <c r="Z193" s="5223" t="s">
        <v>1948</v>
      </c>
      <c r="AB193" s="5215" t="s">
        <v>11</v>
      </c>
      <c r="AC193" s="5216" t="s">
        <v>11</v>
      </c>
      <c r="AD193" s="5216" t="s">
        <v>11</v>
      </c>
      <c r="AE193" s="5216" t="s">
        <v>11</v>
      </c>
      <c r="AF193" s="5216" t="s">
        <v>11</v>
      </c>
      <c r="AG193" s="5217" t="s">
        <v>2613</v>
      </c>
      <c r="AH193" s="5218"/>
      <c r="AI193" s="5219"/>
      <c r="AJ193" s="5220"/>
      <c r="AK193" s="5221"/>
      <c r="AL193" s="5222"/>
      <c r="AM193" s="5220"/>
      <c r="AN193" s="5220"/>
      <c r="AO193" s="5220"/>
      <c r="AP193" s="5223" t="s">
        <v>1948</v>
      </c>
      <c r="AR193" s="5215" t="s">
        <v>11</v>
      </c>
      <c r="AS193" s="5216" t="s">
        <v>11</v>
      </c>
      <c r="AT193" s="5216" t="s">
        <v>11</v>
      </c>
      <c r="AU193" s="5216" t="s">
        <v>11</v>
      </c>
      <c r="AV193" s="5216" t="s">
        <v>11</v>
      </c>
      <c r="AW193" s="5217" t="s">
        <v>2613</v>
      </c>
      <c r="AX193" s="5218"/>
      <c r="AY193" s="5219"/>
      <c r="AZ193" s="5220"/>
      <c r="BA193" s="5221"/>
      <c r="BB193" s="5222"/>
      <c r="BC193" s="5220"/>
      <c r="BD193" s="5220"/>
      <c r="BE193" s="5220"/>
      <c r="BF193" s="5223" t="s">
        <v>1948</v>
      </c>
      <c r="BG193" s="5086"/>
      <c r="BH193" s="104"/>
      <c r="BI193" s="32"/>
      <c r="BJ193" s="33"/>
      <c r="BK193" s="32"/>
      <c r="BL193" s="34"/>
      <c r="BM193" s="92"/>
      <c r="BN193" s="108"/>
      <c r="BO193" s="94"/>
      <c r="BP193" s="95"/>
      <c r="BQ193" s="105"/>
      <c r="BR193" s="5101"/>
      <c r="BS193" s="920"/>
      <c r="BT193" s="1495"/>
      <c r="BU193" s="101"/>
      <c r="BV193" s="1475"/>
      <c r="BW193" s="5086"/>
      <c r="BX193" s="104"/>
      <c r="BY193" s="32"/>
      <c r="BZ193" s="33"/>
      <c r="CA193" s="32"/>
      <c r="CB193" s="34"/>
      <c r="CC193" s="92"/>
      <c r="CD193" s="108"/>
      <c r="CE193" s="94"/>
      <c r="CF193" s="95"/>
      <c r="CG193" s="105"/>
      <c r="CH193" s="5101"/>
      <c r="CI193" s="920"/>
      <c r="CJ193" s="1495"/>
      <c r="CK193" s="101"/>
      <c r="CL193" s="1475"/>
      <c r="CM193" s="5086"/>
      <c r="CN193" s="104"/>
      <c r="CO193" s="32"/>
      <c r="CP193" s="33"/>
      <c r="CQ193" s="32"/>
      <c r="CR193" s="34"/>
      <c r="CS193" s="92"/>
      <c r="CT193" s="108"/>
      <c r="CU193" s="94"/>
      <c r="CV193" s="95"/>
      <c r="CW193" s="105"/>
      <c r="CX193" s="5101"/>
      <c r="CY193" s="920"/>
      <c r="CZ193" s="1495"/>
      <c r="DA193" s="101"/>
      <c r="DB193" s="1475"/>
      <c r="DC193" s="5109"/>
      <c r="DD193" s="5086"/>
      <c r="DF193" s="3">
        <v>1</v>
      </c>
    </row>
    <row r="194" spans="2:175" ht="21" customHeight="1">
      <c r="B194" s="952" t="str">
        <f t="shared" si="35"/>
        <v>A</v>
      </c>
      <c r="C194" s="993" cm="1">
        <f t="array" ref="C194">SUMPRODUCT(LEN(D194:J194))</f>
        <v>0</v>
      </c>
      <c r="D194" s="167"/>
      <c r="E194" s="172"/>
      <c r="F194" s="172"/>
      <c r="G194" s="172"/>
      <c r="H194" s="172"/>
      <c r="I194" s="172"/>
      <c r="J194" s="173"/>
      <c r="K194"/>
      <c r="L194" s="22" t="s">
        <v>11</v>
      </c>
      <c r="M194" s="23" t="str">
        <f>M200</f>
        <v>N NOTRE BOUDIN NOIR | | Auteur &gt; Guy KRENZE - Eric GODDYN - Arnaud NICOLAS - CEPROC 2002</v>
      </c>
      <c r="N194" s="24">
        <f>N200</f>
        <v>16.34</v>
      </c>
      <c r="O194" s="24" t="str">
        <f>O200</f>
        <v>Kg</v>
      </c>
      <c r="P194" s="25" t="str">
        <f>P200</f>
        <v>Recette mère ► le Boudin en 4 déclinaisons</v>
      </c>
      <c r="Q194" s="26" t="s">
        <v>23</v>
      </c>
      <c r="R194" s="5471" t="s">
        <v>13045</v>
      </c>
      <c r="S194" s="5471"/>
      <c r="T194" s="5471"/>
      <c r="U194" s="5471"/>
      <c r="V194" s="5471"/>
      <c r="W194" s="5471"/>
      <c r="X194" s="5473" t="s">
        <v>1031</v>
      </c>
      <c r="Y194" s="5473"/>
      <c r="Z194" s="5475" t="str">
        <f>UPPER(LEFT(R194,1))</f>
        <v>N</v>
      </c>
      <c r="AA194" s="5086"/>
      <c r="AB194" s="22" t="s">
        <v>11</v>
      </c>
      <c r="AC194" s="23" t="str">
        <f>AC200</f>
        <v>O OUR BLACK PUDDING | |  Author &gt; Guy KRENZE - Eric GODDYN - Arnaud NICOLAS - CEPROC 2002</v>
      </c>
      <c r="AD194" s="24">
        <f>AD200</f>
        <v>16.34</v>
      </c>
      <c r="AE194" s="24" t="str">
        <f>AE200</f>
        <v>Kg</v>
      </c>
      <c r="AF194" s="25" t="str">
        <f>AF200</f>
        <v>Master recipe ► Black pudding in 4 variations</v>
      </c>
      <c r="AG194" s="26" t="s">
        <v>23</v>
      </c>
      <c r="AH194" s="5471" t="s">
        <v>13138</v>
      </c>
      <c r="AI194" s="5471"/>
      <c r="AJ194" s="5471"/>
      <c r="AK194" s="5471"/>
      <c r="AL194" s="5471"/>
      <c r="AM194" s="5471"/>
      <c r="AN194" s="5473" t="s">
        <v>13134</v>
      </c>
      <c r="AO194" s="5473"/>
      <c r="AP194" s="5475" t="str">
        <f>UPPER(LEFT(AH194,1))</f>
        <v>O</v>
      </c>
      <c r="AQ194" s="5086"/>
      <c r="AR194" s="22" t="s">
        <v>11</v>
      </c>
      <c r="AS194" s="23" t="str">
        <f>AS200</f>
        <v>N NUESTRA MORCILLA | | Autor &gt; Guy KRENZE - Eric GODDYN - Arnaud NICOLAS - CEPROC 2002</v>
      </c>
      <c r="AT194" s="24">
        <f>AT200</f>
        <v>16.34</v>
      </c>
      <c r="AU194" s="24" t="str">
        <f>AU200</f>
        <v>Kg</v>
      </c>
      <c r="AV194" s="25" t="str">
        <f>AV200</f>
        <v>Receta madre ► Morcilla en 4 versiones</v>
      </c>
      <c r="AW194" s="26" t="s">
        <v>23</v>
      </c>
      <c r="AX194" s="5471" t="s">
        <v>13137</v>
      </c>
      <c r="AY194" s="5471"/>
      <c r="AZ194" s="5471"/>
      <c r="BA194" s="5471"/>
      <c r="BB194" s="5471"/>
      <c r="BC194" s="5471"/>
      <c r="BD194" s="5473" t="s">
        <v>13135</v>
      </c>
      <c r="BE194" s="5473"/>
      <c r="BF194" s="5475" t="str">
        <f>UPPER(LEFT(AX194,1))</f>
        <v>N</v>
      </c>
      <c r="BG194" s="5086"/>
      <c r="BH194" s="104"/>
      <c r="BI194" s="32"/>
      <c r="BJ194" s="33"/>
      <c r="BK194" s="32"/>
      <c r="BL194" s="34"/>
      <c r="BM194" s="92"/>
      <c r="BN194" s="108"/>
      <c r="BO194" s="94"/>
      <c r="BP194" s="95"/>
      <c r="BQ194" s="105"/>
      <c r="BR194" s="5101"/>
      <c r="BS194" s="920"/>
      <c r="BT194" s="1495"/>
      <c r="BU194" s="101"/>
      <c r="BV194" s="1475"/>
      <c r="BW194" s="5086"/>
      <c r="BX194" s="104"/>
      <c r="BY194" s="32"/>
      <c r="BZ194" s="33"/>
      <c r="CA194" s="32"/>
      <c r="CB194" s="34"/>
      <c r="CC194" s="92"/>
      <c r="CD194" s="108"/>
      <c r="CE194" s="94"/>
      <c r="CF194" s="95"/>
      <c r="CG194" s="105"/>
      <c r="CH194" s="5101"/>
      <c r="CI194" s="920"/>
      <c r="CJ194" s="1495"/>
      <c r="CK194" s="101"/>
      <c r="CL194" s="1475"/>
      <c r="CM194" s="5086"/>
      <c r="CN194" s="104"/>
      <c r="CO194" s="32"/>
      <c r="CP194" s="33"/>
      <c r="CQ194" s="32"/>
      <c r="CR194" s="34"/>
      <c r="CS194" s="92"/>
      <c r="CT194" s="108"/>
      <c r="CU194" s="94"/>
      <c r="CV194" s="95"/>
      <c r="CW194" s="105"/>
      <c r="CX194" s="5101"/>
      <c r="CY194" s="920"/>
      <c r="CZ194" s="1495"/>
      <c r="DA194" s="101"/>
      <c r="DB194" s="1475"/>
      <c r="DC194" s="5109"/>
      <c r="DD194" s="5086"/>
      <c r="DF194" s="3">
        <v>1</v>
      </c>
    </row>
    <row r="195" spans="2:175" ht="21" customHeight="1">
      <c r="B195" s="952" t="str">
        <f t="shared" si="35"/>
        <v>A</v>
      </c>
      <c r="C195" s="993" cm="1">
        <f t="array" ref="C195">SUMPRODUCT(LEN(D195:J195))</f>
        <v>0</v>
      </c>
      <c r="D195" s="167"/>
      <c r="E195" s="172"/>
      <c r="F195" s="172"/>
      <c r="G195" s="172"/>
      <c r="H195" s="172"/>
      <c r="I195" s="172"/>
      <c r="J195" s="173"/>
      <c r="K195"/>
      <c r="L195" s="27" t="s">
        <v>11</v>
      </c>
      <c r="M195" s="28" t="str">
        <f>M200</f>
        <v>N NOTRE BOUDIN NOIR | | Auteur &gt; Guy KRENZE - Eric GODDYN - Arnaud NICOLAS - CEPROC 2002</v>
      </c>
      <c r="N195" s="29">
        <f>N200</f>
        <v>16.34</v>
      </c>
      <c r="O195" s="29" t="str">
        <f>O200</f>
        <v>Kg</v>
      </c>
      <c r="P195" s="30" t="str">
        <f>P200</f>
        <v>Recette mère ► le Boudin en 4 déclinaisons</v>
      </c>
      <c r="Q195" s="31" t="s">
        <v>29</v>
      </c>
      <c r="R195" s="5472"/>
      <c r="S195" s="5472"/>
      <c r="T195" s="5472"/>
      <c r="U195" s="5472"/>
      <c r="V195" s="5472"/>
      <c r="W195" s="5472"/>
      <c r="X195" s="5474"/>
      <c r="Y195" s="5474"/>
      <c r="Z195" s="5476"/>
      <c r="AA195" s="5086"/>
      <c r="AB195" s="27" t="s">
        <v>11</v>
      </c>
      <c r="AC195" s="28" t="str">
        <f>AC200</f>
        <v>O OUR BLACK PUDDING | |  Author &gt; Guy KRENZE - Eric GODDYN - Arnaud NICOLAS - CEPROC 2002</v>
      </c>
      <c r="AD195" s="29">
        <f>AD200</f>
        <v>16.34</v>
      </c>
      <c r="AE195" s="29" t="str">
        <f>AE200</f>
        <v>Kg</v>
      </c>
      <c r="AF195" s="30" t="str">
        <f>AF200</f>
        <v>Master recipe ► Black pudding in 4 variations</v>
      </c>
      <c r="AG195" s="31" t="s">
        <v>29</v>
      </c>
      <c r="AH195" s="5472"/>
      <c r="AI195" s="5472"/>
      <c r="AJ195" s="5472"/>
      <c r="AK195" s="5472"/>
      <c r="AL195" s="5472"/>
      <c r="AM195" s="5472"/>
      <c r="AN195" s="5474"/>
      <c r="AO195" s="5474"/>
      <c r="AP195" s="5476"/>
      <c r="AQ195" s="5086"/>
      <c r="AR195" s="27" t="s">
        <v>11</v>
      </c>
      <c r="AS195" s="28" t="str">
        <f>AS200</f>
        <v>N NUESTRA MORCILLA | | Autor &gt; Guy KRENZE - Eric GODDYN - Arnaud NICOLAS - CEPROC 2002</v>
      </c>
      <c r="AT195" s="29">
        <f>AT200</f>
        <v>16.34</v>
      </c>
      <c r="AU195" s="29" t="str">
        <f>AU200</f>
        <v>Kg</v>
      </c>
      <c r="AV195" s="30" t="str">
        <f>AV200</f>
        <v>Receta madre ► Morcilla en 4 versiones</v>
      </c>
      <c r="AW195" s="31" t="s">
        <v>29</v>
      </c>
      <c r="AX195" s="5472"/>
      <c r="AY195" s="5472"/>
      <c r="AZ195" s="5472"/>
      <c r="BA195" s="5472"/>
      <c r="BB195" s="5472"/>
      <c r="BC195" s="5472"/>
      <c r="BD195" s="5474" t="s">
        <v>116</v>
      </c>
      <c r="BE195" s="5474"/>
      <c r="BF195" s="5476"/>
      <c r="BG195" s="5086"/>
      <c r="BH195" s="104"/>
      <c r="BI195" s="32"/>
      <c r="BJ195" s="33"/>
      <c r="BK195" s="32"/>
      <c r="BL195" s="34"/>
      <c r="BM195" s="92"/>
      <c r="BN195" s="108"/>
      <c r="BO195" s="94"/>
      <c r="BP195" s="95"/>
      <c r="BQ195" s="105"/>
      <c r="BR195" s="5101"/>
      <c r="BS195" s="920"/>
      <c r="BT195" s="1495"/>
      <c r="BU195" s="101"/>
      <c r="BV195" s="1475"/>
      <c r="BW195" s="5086"/>
      <c r="BX195" s="104"/>
      <c r="BY195" s="32"/>
      <c r="BZ195" s="33"/>
      <c r="CA195" s="32"/>
      <c r="CB195" s="34"/>
      <c r="CC195" s="92"/>
      <c r="CD195" s="108"/>
      <c r="CE195" s="94"/>
      <c r="CF195" s="95"/>
      <c r="CG195" s="105"/>
      <c r="CH195" s="5101"/>
      <c r="CI195" s="920"/>
      <c r="CJ195" s="1495"/>
      <c r="CK195" s="101"/>
      <c r="CL195" s="1475"/>
      <c r="CM195" s="5086"/>
      <c r="CN195" s="104"/>
      <c r="CO195" s="32"/>
      <c r="CP195" s="33"/>
      <c r="CQ195" s="32"/>
      <c r="CR195" s="34"/>
      <c r="CS195" s="92"/>
      <c r="CT195" s="108"/>
      <c r="CU195" s="94"/>
      <c r="CV195" s="95"/>
      <c r="CW195" s="105"/>
      <c r="CX195" s="5101"/>
      <c r="CY195" s="920"/>
      <c r="CZ195" s="1495"/>
      <c r="DA195" s="101"/>
      <c r="DB195" s="1475"/>
      <c r="DC195" s="5109"/>
      <c r="DD195" s="5086"/>
      <c r="DF195" s="3">
        <v>1</v>
      </c>
    </row>
    <row r="196" spans="2:175" ht="21" customHeight="1">
      <c r="B196" s="952" t="str">
        <f t="shared" si="35"/>
        <v>A</v>
      </c>
      <c r="C196" s="993" cm="1">
        <f t="array" ref="C196">SUMPRODUCT(LEN(D196:J196))</f>
        <v>0</v>
      </c>
      <c r="D196" s="167"/>
      <c r="E196" s="172"/>
      <c r="F196" s="172"/>
      <c r="G196" s="172"/>
      <c r="H196" s="172"/>
      <c r="I196" s="172"/>
      <c r="J196" s="173"/>
      <c r="K196"/>
      <c r="L196" s="27" t="s">
        <v>11</v>
      </c>
      <c r="M196" s="5310" t="str">
        <f>M200</f>
        <v>N NOTRE BOUDIN NOIR | | Auteur &gt; Guy KRENZE - Eric GODDYN - Arnaud NICOLAS - CEPROC 2002</v>
      </c>
      <c r="N196" s="5310">
        <f>N200</f>
        <v>16.34</v>
      </c>
      <c r="O196" s="5311" t="str">
        <f>O200</f>
        <v>Kg</v>
      </c>
      <c r="P196" s="5312" t="str">
        <f>P200</f>
        <v>Recette mère ► le Boudin en 4 déclinaisons</v>
      </c>
      <c r="Q196" s="5313"/>
      <c r="R196" s="5314" t="s">
        <v>30</v>
      </c>
      <c r="S196" s="37"/>
      <c r="T196" s="38" t="s">
        <v>31</v>
      </c>
      <c r="U196" s="39" t="s">
        <v>12835</v>
      </c>
      <c r="V196" s="9"/>
      <c r="W196" s="39"/>
      <c r="X196" s="39"/>
      <c r="Y196" s="40"/>
      <c r="Z196" s="41"/>
      <c r="AA196" s="5086"/>
      <c r="AB196" s="27" t="s">
        <v>11</v>
      </c>
      <c r="AC196" s="5310" t="str">
        <f>AC200</f>
        <v>O OUR BLACK PUDDING | |  Author &gt; Guy KRENZE - Eric GODDYN - Arnaud NICOLAS - CEPROC 2002</v>
      </c>
      <c r="AD196" s="5310">
        <f>AD200</f>
        <v>16.34</v>
      </c>
      <c r="AE196" s="5311" t="str">
        <f>AE200</f>
        <v>Kg</v>
      </c>
      <c r="AF196" s="5312" t="str">
        <f>AF200</f>
        <v>Master recipe ► Black pudding in 4 variations</v>
      </c>
      <c r="AG196" s="5313"/>
      <c r="AH196" s="5314" t="s">
        <v>888</v>
      </c>
      <c r="AI196" s="37"/>
      <c r="AJ196" s="38" t="s">
        <v>889</v>
      </c>
      <c r="AK196" s="39" t="s">
        <v>12835</v>
      </c>
      <c r="AL196" s="9"/>
      <c r="AM196" s="39"/>
      <c r="AN196" s="39"/>
      <c r="AO196" s="40"/>
      <c r="AP196" s="41"/>
      <c r="AQ196" s="5086"/>
      <c r="AR196" s="27" t="s">
        <v>11</v>
      </c>
      <c r="AS196" s="5310" t="str">
        <f>AS200</f>
        <v>N NUESTRA MORCILLA | | Autor &gt; Guy KRENZE - Eric GODDYN - Arnaud NICOLAS - CEPROC 2002</v>
      </c>
      <c r="AT196" s="5310">
        <f>AT200</f>
        <v>16.34</v>
      </c>
      <c r="AU196" s="5311" t="str">
        <f>AU200</f>
        <v>Kg</v>
      </c>
      <c r="AV196" s="5312" t="str">
        <f>AV200</f>
        <v>Receta madre ► Morcilla en 4 versiones</v>
      </c>
      <c r="AW196" s="5313"/>
      <c r="AX196" s="5314" t="s">
        <v>30</v>
      </c>
      <c r="AY196" s="37"/>
      <c r="AZ196" s="38" t="s">
        <v>904</v>
      </c>
      <c r="BA196" s="39" t="s">
        <v>12835</v>
      </c>
      <c r="BB196" s="9"/>
      <c r="BC196" s="39"/>
      <c r="BD196" s="39"/>
      <c r="BE196" s="40"/>
      <c r="BF196" s="41"/>
      <c r="BG196" s="5086"/>
      <c r="BH196" s="104"/>
      <c r="BI196" s="32"/>
      <c r="BJ196" s="33"/>
      <c r="BK196" s="32"/>
      <c r="BL196" s="34"/>
      <c r="BM196" s="92"/>
      <c r="BN196" s="108"/>
      <c r="BO196" s="94"/>
      <c r="BP196" s="95"/>
      <c r="BQ196" s="105"/>
      <c r="BR196" s="5101"/>
      <c r="BS196" s="920"/>
      <c r="BT196" s="1495"/>
      <c r="BU196" s="101"/>
      <c r="BV196" s="1475"/>
      <c r="BW196" s="5086"/>
      <c r="BX196" s="104"/>
      <c r="BY196" s="32"/>
      <c r="BZ196" s="33"/>
      <c r="CA196" s="32"/>
      <c r="CB196" s="34"/>
      <c r="CC196" s="92"/>
      <c r="CD196" s="108"/>
      <c r="CE196" s="94"/>
      <c r="CF196" s="95"/>
      <c r="CG196" s="105"/>
      <c r="CH196" s="5101"/>
      <c r="CI196" s="920"/>
      <c r="CJ196" s="1495"/>
      <c r="CK196" s="101"/>
      <c r="CL196" s="1475"/>
      <c r="CM196" s="5086"/>
      <c r="CN196" s="104"/>
      <c r="CO196" s="32"/>
      <c r="CP196" s="33"/>
      <c r="CQ196" s="32"/>
      <c r="CR196" s="34"/>
      <c r="CS196" s="92"/>
      <c r="CT196" s="108"/>
      <c r="CU196" s="94"/>
      <c r="CV196" s="95"/>
      <c r="CW196" s="105"/>
      <c r="CX196" s="5101"/>
      <c r="CY196" s="920"/>
      <c r="CZ196" s="1495"/>
      <c r="DA196" s="101"/>
      <c r="DB196" s="1475"/>
      <c r="DC196" s="5109"/>
      <c r="DD196" s="5086"/>
      <c r="DF196" s="3">
        <v>1</v>
      </c>
    </row>
    <row r="197" spans="2:175" ht="21" customHeight="1">
      <c r="B197" s="952" t="str">
        <f t="shared" si="35"/>
        <v>A</v>
      </c>
      <c r="C197" s="993" cm="1">
        <f t="array" ref="C197">SUMPRODUCT(LEN(D197:J197))</f>
        <v>0</v>
      </c>
      <c r="D197" s="167"/>
      <c r="E197" s="172"/>
      <c r="F197" s="172"/>
      <c r="G197" s="172"/>
      <c r="H197" s="172"/>
      <c r="I197" s="172"/>
      <c r="J197" s="173"/>
      <c r="K197"/>
      <c r="L197" s="27" t="s">
        <v>11</v>
      </c>
      <c r="M197" s="32" t="str">
        <f>M200</f>
        <v>N NOTRE BOUDIN NOIR | | Auteur &gt; Guy KRENZE - Eric GODDYN - Arnaud NICOLAS - CEPROC 2002</v>
      </c>
      <c r="N197" s="33">
        <f>N200</f>
        <v>16.34</v>
      </c>
      <c r="O197" s="33" t="str">
        <f>O200</f>
        <v>Kg</v>
      </c>
      <c r="P197" s="34" t="str">
        <f>P200</f>
        <v>Recette mère ► le Boudin en 4 déclinaisons</v>
      </c>
      <c r="Q197" s="42" t="s">
        <v>32</v>
      </c>
      <c r="R197" s="43"/>
      <c r="S197" s="43"/>
      <c r="T197" s="44" t="s">
        <v>33</v>
      </c>
      <c r="U197" s="5477" t="str">
        <f>V200&amp;" "&amp;W200&amp;" ► Famille = "&amp;X194&amp;" ► "&amp;R194&amp;" "&amp; "pour "&amp;X198&amp;" "&amp;Y198</f>
        <v>Recette mère ► le Boudin en 4 déclinaisons ► Famille =  charcuterie-BOUDIN-NOIR ► NOTRE BOUDIN NOIR pour 5 Kg</v>
      </c>
      <c r="V197" s="5477"/>
      <c r="W197" s="5477"/>
      <c r="X197" s="5039" t="s">
        <v>3306</v>
      </c>
      <c r="Y197" s="40"/>
      <c r="Z197" s="1472"/>
      <c r="AA197" s="5086"/>
      <c r="AB197" s="27" t="s">
        <v>11</v>
      </c>
      <c r="AC197" s="32" t="str">
        <f>AC200</f>
        <v>O OUR BLACK PUDDING | |  Author &gt; Guy KRENZE - Eric GODDYN - Arnaud NICOLAS - CEPROC 2002</v>
      </c>
      <c r="AD197" s="33">
        <f>AD200</f>
        <v>16.34</v>
      </c>
      <c r="AE197" s="33" t="str">
        <f>AE200</f>
        <v>Kg</v>
      </c>
      <c r="AF197" s="34" t="str">
        <f>AF200</f>
        <v>Master recipe ► Black pudding in 4 variations</v>
      </c>
      <c r="AG197" s="42" t="s">
        <v>137</v>
      </c>
      <c r="AH197" s="43"/>
      <c r="AI197" s="43"/>
      <c r="AJ197" s="44" t="s">
        <v>13136</v>
      </c>
      <c r="AK197" s="5477" t="str">
        <f>AL200&amp;" "&amp;AM200&amp;" ► category = "&amp;AN194&amp;" ► "&amp;AH194&amp;" "&amp; "pour "&amp;AN198&amp;" "&amp;AO198</f>
        <v>Master recipe ► Black pudding in 4 variations ► category = charcuterie-BLACK-PUDDING ► OUR BLACK PUDDING pour 5 Kg</v>
      </c>
      <c r="AL197" s="5477"/>
      <c r="AM197" s="5477"/>
      <c r="AN197" s="5039" t="s">
        <v>3324</v>
      </c>
      <c r="AO197" s="40"/>
      <c r="AP197" s="1472"/>
      <c r="AQ197" s="5086"/>
      <c r="AR197" s="27" t="s">
        <v>11</v>
      </c>
      <c r="AS197" s="32" t="str">
        <f>AS200</f>
        <v>N NUESTRA MORCILLA | | Autor &gt; Guy KRENZE - Eric GODDYN - Arnaud NICOLAS - CEPROC 2002</v>
      </c>
      <c r="AT197" s="33">
        <f>AT200</f>
        <v>16.34</v>
      </c>
      <c r="AU197" s="33" t="str">
        <f>AU200</f>
        <v>Kg</v>
      </c>
      <c r="AV197" s="34" t="str">
        <f>AV200</f>
        <v>Receta madre ► Morcilla en 4 versiones</v>
      </c>
      <c r="AW197" s="42" t="s">
        <v>905</v>
      </c>
      <c r="AX197" s="43"/>
      <c r="AY197" s="43"/>
      <c r="AZ197" s="44" t="s">
        <v>33</v>
      </c>
      <c r="BA197" s="5477" t="str">
        <f>BB200&amp;" "&amp;BC200&amp;" ► Famille = "&amp;BD194&amp;" ► "&amp;AX194&amp;" "&amp; "pour "&amp;BD198&amp;" "&amp;BE198</f>
        <v>Receta madre ► Morcilla en 4 versiones ► Famille = charcutería--MORCILLA ► NUESTRA MORCILLA pour 5 Kg</v>
      </c>
      <c r="BB197" s="5477"/>
      <c r="BC197" s="5477"/>
      <c r="BD197" s="5039" t="s">
        <v>3326</v>
      </c>
      <c r="BE197" s="40"/>
      <c r="BF197" s="1472"/>
      <c r="BG197" s="5086"/>
      <c r="BH197" s="104"/>
      <c r="BI197" s="32"/>
      <c r="BJ197" s="33"/>
      <c r="BK197" s="32"/>
      <c r="BL197" s="34"/>
      <c r="BM197" s="92"/>
      <c r="BN197" s="108"/>
      <c r="BO197" s="94"/>
      <c r="BP197" s="95"/>
      <c r="BQ197" s="105"/>
      <c r="BR197" s="5101"/>
      <c r="BS197" s="920"/>
      <c r="BT197" s="1495"/>
      <c r="BU197" s="101"/>
      <c r="BV197" s="1475"/>
      <c r="BW197" s="5086"/>
      <c r="BX197" s="104"/>
      <c r="BY197" s="32"/>
      <c r="BZ197" s="33"/>
      <c r="CA197" s="32"/>
      <c r="CB197" s="34"/>
      <c r="CC197" s="92"/>
      <c r="CD197" s="108"/>
      <c r="CE197" s="94"/>
      <c r="CF197" s="95"/>
      <c r="CG197" s="105"/>
      <c r="CH197" s="5101"/>
      <c r="CI197" s="920"/>
      <c r="CJ197" s="1495"/>
      <c r="CK197" s="101"/>
      <c r="CL197" s="1475"/>
      <c r="CM197" s="5086"/>
      <c r="CN197" s="104"/>
      <c r="CO197" s="32"/>
      <c r="CP197" s="33"/>
      <c r="CQ197" s="32"/>
      <c r="CR197" s="34"/>
      <c r="CS197" s="92"/>
      <c r="CT197" s="108"/>
      <c r="CU197" s="94"/>
      <c r="CV197" s="95"/>
      <c r="CW197" s="105"/>
      <c r="CX197" s="5101"/>
      <c r="CY197" s="920"/>
      <c r="CZ197" s="1495"/>
      <c r="DA197" s="101"/>
      <c r="DB197" s="1475"/>
      <c r="DC197" s="5109"/>
      <c r="DD197" s="5086"/>
      <c r="DF197" s="3">
        <v>1</v>
      </c>
    </row>
    <row r="198" spans="2:175" ht="21" customHeight="1">
      <c r="B198" s="952" t="str">
        <f t="shared" si="35"/>
        <v>A</v>
      </c>
      <c r="C198" s="993" cm="1">
        <f t="array" ref="C198">SUMPRODUCT(LEN(D198:J198))</f>
        <v>0</v>
      </c>
      <c r="D198" s="167"/>
      <c r="E198" s="172"/>
      <c r="F198" s="172"/>
      <c r="G198" s="172"/>
      <c r="H198" s="172"/>
      <c r="I198" s="172"/>
      <c r="J198" s="173"/>
      <c r="K198"/>
      <c r="L198" s="27" t="s">
        <v>11</v>
      </c>
      <c r="M198" s="32" t="str">
        <f>M200</f>
        <v>N NOTRE BOUDIN NOIR | | Auteur &gt; Guy KRENZE - Eric GODDYN - Arnaud NICOLAS - CEPROC 2002</v>
      </c>
      <c r="N198" s="33">
        <f>N200</f>
        <v>16.34</v>
      </c>
      <c r="O198" s="33" t="str">
        <f>O200</f>
        <v>Kg</v>
      </c>
      <c r="P198" s="34" t="str">
        <f>P200</f>
        <v>Recette mère ► le Boudin en 4 déclinaisons</v>
      </c>
      <c r="Q198" s="50">
        <v>16.34</v>
      </c>
      <c r="R198" s="5053" t="s">
        <v>872</v>
      </c>
      <c r="S198" s="42"/>
      <c r="T198" s="42"/>
      <c r="U198" s="5477"/>
      <c r="V198" s="5477"/>
      <c r="W198" s="5477"/>
      <c r="X198" s="46">
        <v>5</v>
      </c>
      <c r="Y198" s="5478" t="str">
        <f>R198</f>
        <v>Kg</v>
      </c>
      <c r="Z198" s="5479"/>
      <c r="AA198" s="5086"/>
      <c r="AB198" s="27" t="s">
        <v>11</v>
      </c>
      <c r="AC198" s="32" t="str">
        <f>AC200</f>
        <v>O OUR BLACK PUDDING | |  Author &gt; Guy KRENZE - Eric GODDYN - Arnaud NICOLAS - CEPROC 2002</v>
      </c>
      <c r="AD198" s="33">
        <f>AD200</f>
        <v>16.34</v>
      </c>
      <c r="AE198" s="33" t="str">
        <f>AE200</f>
        <v>Kg</v>
      </c>
      <c r="AF198" s="34" t="str">
        <f>AF200</f>
        <v>Master recipe ► Black pudding in 4 variations</v>
      </c>
      <c r="AG198" s="50">
        <v>16.34</v>
      </c>
      <c r="AH198" s="5053" t="s">
        <v>872</v>
      </c>
      <c r="AI198" s="42"/>
      <c r="AJ198" s="42"/>
      <c r="AK198" s="5477"/>
      <c r="AL198" s="5477"/>
      <c r="AM198" s="5477"/>
      <c r="AN198" s="46">
        <v>5</v>
      </c>
      <c r="AO198" s="5478" t="str">
        <f>AH198</f>
        <v>Kg</v>
      </c>
      <c r="AP198" s="5479"/>
      <c r="AQ198" s="5086"/>
      <c r="AR198" s="27" t="s">
        <v>11</v>
      </c>
      <c r="AS198" s="32" t="str">
        <f>AS200</f>
        <v>N NUESTRA MORCILLA | | Autor &gt; Guy KRENZE - Eric GODDYN - Arnaud NICOLAS - CEPROC 2002</v>
      </c>
      <c r="AT198" s="33">
        <f>AT200</f>
        <v>16.34</v>
      </c>
      <c r="AU198" s="33" t="str">
        <f>AU200</f>
        <v>Kg</v>
      </c>
      <c r="AV198" s="34" t="str">
        <f>AV200</f>
        <v>Receta madre ► Morcilla en 4 versiones</v>
      </c>
      <c r="AW198" s="50">
        <v>16.34</v>
      </c>
      <c r="AX198" s="5053" t="s">
        <v>872</v>
      </c>
      <c r="AY198" s="42"/>
      <c r="AZ198" s="42"/>
      <c r="BA198" s="5477"/>
      <c r="BB198" s="5477"/>
      <c r="BC198" s="5477"/>
      <c r="BD198" s="46">
        <v>5</v>
      </c>
      <c r="BE198" s="5478" t="str">
        <f>AX198</f>
        <v>Kg</v>
      </c>
      <c r="BF198" s="5479"/>
      <c r="BG198" s="5086"/>
      <c r="BH198" s="104"/>
      <c r="BI198" s="32"/>
      <c r="BJ198" s="33"/>
      <c r="BK198" s="32"/>
      <c r="BL198" s="34"/>
      <c r="BM198" s="92"/>
      <c r="BN198" s="108"/>
      <c r="BO198" s="94"/>
      <c r="BP198" s="95"/>
      <c r="BQ198" s="105"/>
      <c r="BR198" s="5101"/>
      <c r="BS198" s="920"/>
      <c r="BT198" s="1495"/>
      <c r="BU198" s="101"/>
      <c r="BV198" s="1475"/>
      <c r="BW198" s="5086"/>
      <c r="BX198" s="104"/>
      <c r="BY198" s="32"/>
      <c r="BZ198" s="33"/>
      <c r="CA198" s="32"/>
      <c r="CB198" s="34"/>
      <c r="CC198" s="92"/>
      <c r="CD198" s="108"/>
      <c r="CE198" s="94"/>
      <c r="CF198" s="95"/>
      <c r="CG198" s="105"/>
      <c r="CH198" s="5101"/>
      <c r="CI198" s="920"/>
      <c r="CJ198" s="1495"/>
      <c r="CK198" s="101"/>
      <c r="CL198" s="1475"/>
      <c r="CM198" s="5086"/>
      <c r="CN198" s="104"/>
      <c r="CO198" s="32"/>
      <c r="CP198" s="33"/>
      <c r="CQ198" s="32"/>
      <c r="CR198" s="34"/>
      <c r="CS198" s="92"/>
      <c r="CT198" s="108"/>
      <c r="CU198" s="94"/>
      <c r="CV198" s="95"/>
      <c r="CW198" s="105"/>
      <c r="CX198" s="5101"/>
      <c r="CY198" s="920"/>
      <c r="CZ198" s="1495"/>
      <c r="DA198" s="101"/>
      <c r="DB198" s="1475"/>
      <c r="DC198" s="5109"/>
      <c r="DD198" s="5086"/>
      <c r="DF198" s="3">
        <v>1</v>
      </c>
    </row>
    <row r="199" spans="2:175" ht="21" customHeight="1">
      <c r="B199" s="952" t="str">
        <f t="shared" si="35"/>
        <v>►</v>
      </c>
      <c r="C199" s="993" cm="1">
        <f t="array" ref="C199">SUMPRODUCT(LEN(D199:J199))</f>
        <v>0</v>
      </c>
      <c r="D199" s="167"/>
      <c r="E199" s="172"/>
      <c r="F199" s="172"/>
      <c r="G199" s="172"/>
      <c r="H199" s="172"/>
      <c r="I199" s="172"/>
      <c r="J199" s="173"/>
      <c r="K199"/>
      <c r="L199" s="27" t="s">
        <v>16</v>
      </c>
      <c r="M199" s="32" t="str">
        <f>M200</f>
        <v>N NOTRE BOUDIN NOIR | | Auteur &gt; Guy KRENZE - Eric GODDYN - Arnaud NICOLAS - CEPROC 2002</v>
      </c>
      <c r="N199" s="33">
        <f>N200</f>
        <v>16.34</v>
      </c>
      <c r="O199" s="33" t="str">
        <f>O200</f>
        <v>Kg</v>
      </c>
      <c r="P199" s="34" t="str">
        <f>P200</f>
        <v>Recette mère ► le Boudin en 4 déclinaisons</v>
      </c>
      <c r="Q199" s="56"/>
      <c r="R199" s="5165" t="s">
        <v>13098</v>
      </c>
      <c r="S199" s="5468">
        <f>Y224/V199</f>
        <v>16.343603999999999</v>
      </c>
      <c r="T199" s="5468"/>
      <c r="U199" s="5054" t="str" cm="1">
        <f t="array" ref="U199">"1= "&amp;IF(OR(Q198&lt;=0,S199=""),"",_xlfn.LET(_xlpm.kg,IF(ISNUMBER(S199),S199,VALEUR(SUBSTITUTE(SUBSTITUTE(SUBSTITUTE(LOWER(S199),"kg",""),",",".")," ",""))),TEXT(ROUND(_xlpm.kg*1000/Q198,2),"0.##")&amp;" g"))</f>
        <v>1= 1000.22 g</v>
      </c>
      <c r="V199" s="1490">
        <f>IFERROR(X198/Q198,0)</f>
        <v>0.30599755201958384</v>
      </c>
      <c r="W199" s="45"/>
      <c r="X199" s="5041" t="s">
        <v>50</v>
      </c>
      <c r="Y199" s="5042">
        <f>Y224</f>
        <v>5.0011028151774788</v>
      </c>
      <c r="Z199" s="5043"/>
      <c r="AA199" s="5086"/>
      <c r="AB199" s="27" t="s">
        <v>16</v>
      </c>
      <c r="AC199" s="32" t="str">
        <f>AC200</f>
        <v>O OUR BLACK PUDDING | |  Author &gt; Guy KRENZE - Eric GODDYN - Arnaud NICOLAS - CEPROC 2002</v>
      </c>
      <c r="AD199" s="33">
        <f>AD200</f>
        <v>16.34</v>
      </c>
      <c r="AE199" s="33" t="str">
        <f>AE200</f>
        <v>Kg</v>
      </c>
      <c r="AF199" s="34" t="str">
        <f>AF200</f>
        <v>Master recipe ► Black pudding in 4 variations</v>
      </c>
      <c r="AG199" s="56"/>
      <c r="AH199" s="5165" t="s">
        <v>13100</v>
      </c>
      <c r="AI199" s="5468">
        <f>AO224/AL199</f>
        <v>16.343603999999999</v>
      </c>
      <c r="AJ199" s="5468"/>
      <c r="AK199" s="5054" t="str" cm="1">
        <f t="array" ref="AK199">"1= "&amp;IF(OR(AG198&lt;=0,AI199=""),"",_xlfn.LET(_xlpm.kg,IF(ISNUMBER(AI199),AI199,VALEUR(SUBSTITUTE(SUBSTITUTE(SUBSTITUTE(LOWER(AI199),"kg",""),",",".")," ",""))),TEXT(ROUND(_xlpm.kg*1000/AG198,2),"0.##")&amp;" g"))</f>
        <v>1= 1000.22 g</v>
      </c>
      <c r="AL199" s="1490">
        <f>IFERROR(AN198/AG198,0)</f>
        <v>0.30599755201958384</v>
      </c>
      <c r="AM199" s="45"/>
      <c r="AN199" s="5041" t="s">
        <v>153</v>
      </c>
      <c r="AO199" s="5042">
        <f>AO224</f>
        <v>5.0011028151774788</v>
      </c>
      <c r="AP199" s="5043"/>
      <c r="AQ199" s="5086"/>
      <c r="AR199" s="27" t="s">
        <v>16</v>
      </c>
      <c r="AS199" s="32" t="str">
        <f>AS200</f>
        <v>N NUESTRA MORCILLA | | Autor &gt; Guy KRENZE - Eric GODDYN - Arnaud NICOLAS - CEPROC 2002</v>
      </c>
      <c r="AT199" s="33">
        <f>AT200</f>
        <v>16.34</v>
      </c>
      <c r="AU199" s="33" t="str">
        <f>AU200</f>
        <v>Kg</v>
      </c>
      <c r="AV199" s="34" t="str">
        <f>AV200</f>
        <v>Receta madre ► Morcilla en 4 versiones</v>
      </c>
      <c r="AW199" s="56"/>
      <c r="AX199" s="5165" t="s">
        <v>13101</v>
      </c>
      <c r="AY199" s="5468">
        <f>BE224/BB199</f>
        <v>16.343603999999999</v>
      </c>
      <c r="AZ199" s="5468"/>
      <c r="BA199" s="5054" t="str" cm="1">
        <f t="array" ref="BA199">"1= "&amp;IF(OR(AW198&lt;=0,AY199=""),"",_xlfn.LET(_xlpm.kg,IF(ISNUMBER(AY199),AY199,VALEUR(SUBSTITUTE(SUBSTITUTE(SUBSTITUTE(LOWER(AY199),"kg",""),",",".")," ",""))),TEXT(ROUND(_xlpm.kg*1000/AW198,2),"0.##")&amp;" g"))</f>
        <v>1= 1000.22 g</v>
      </c>
      <c r="BB199" s="1490">
        <f>IFERROR(BD198/AW198,0)</f>
        <v>0.30599755201958384</v>
      </c>
      <c r="BC199" s="45"/>
      <c r="BD199" s="5041" t="s">
        <v>248</v>
      </c>
      <c r="BE199" s="5042">
        <f>BE224</f>
        <v>5.0011028151774788</v>
      </c>
      <c r="BF199" s="5043"/>
      <c r="BG199" s="5086"/>
      <c r="BH199" s="104"/>
      <c r="BI199" s="32"/>
      <c r="BJ199" s="33"/>
      <c r="BK199" s="32"/>
      <c r="BL199" s="34"/>
      <c r="BM199" s="92"/>
      <c r="BN199" s="108"/>
      <c r="BO199" s="94"/>
      <c r="BP199" s="95"/>
      <c r="BQ199" s="105"/>
      <c r="BR199" s="5101"/>
      <c r="BS199" s="920"/>
      <c r="BT199" s="1495"/>
      <c r="BU199" s="101"/>
      <c r="BV199" s="1475"/>
      <c r="BW199" s="5086"/>
      <c r="BX199" s="104"/>
      <c r="BY199" s="32"/>
      <c r="BZ199" s="33"/>
      <c r="CA199" s="32"/>
      <c r="CB199" s="34"/>
      <c r="CC199" s="92"/>
      <c r="CD199" s="108"/>
      <c r="CE199" s="94"/>
      <c r="CF199" s="95"/>
      <c r="CG199" s="105"/>
      <c r="CH199" s="5101"/>
      <c r="CI199" s="920"/>
      <c r="CJ199" s="1495"/>
      <c r="CK199" s="101"/>
      <c r="CL199" s="1475"/>
      <c r="CM199" s="5086"/>
      <c r="CN199" s="104"/>
      <c r="CO199" s="32"/>
      <c r="CP199" s="33"/>
      <c r="CQ199" s="32"/>
      <c r="CR199" s="34"/>
      <c r="CS199" s="92"/>
      <c r="CT199" s="108"/>
      <c r="CU199" s="94"/>
      <c r="CV199" s="95"/>
      <c r="CW199" s="105"/>
      <c r="CX199" s="5101"/>
      <c r="CY199" s="920"/>
      <c r="CZ199" s="1495"/>
      <c r="DA199" s="101"/>
      <c r="DB199" s="1475"/>
      <c r="DC199" s="5109"/>
      <c r="DD199" s="5086"/>
      <c r="DF199" s="3">
        <v>1</v>
      </c>
    </row>
    <row r="200" spans="2:175" ht="21" customHeight="1">
      <c r="B200" s="952" t="str">
        <f t="shared" si="35"/>
        <v>►</v>
      </c>
      <c r="C200" s="993" cm="1">
        <f t="array" ref="C200">SUMPRODUCT(LEN(D200:J200))</f>
        <v>0</v>
      </c>
      <c r="D200" s="167"/>
      <c r="E200" s="172"/>
      <c r="F200" s="172"/>
      <c r="G200" s="172"/>
      <c r="H200" s="172"/>
      <c r="I200" s="172"/>
      <c r="J200" s="173"/>
      <c r="K200"/>
      <c r="L200" s="64" t="s">
        <v>16</v>
      </c>
      <c r="M200" s="65" t="str">
        <f>Q200</f>
        <v>N NOTRE BOUDIN NOIR | | Auteur &gt; Guy KRENZE - Eric GODDYN - Arnaud NICOLAS - CEPROC 2002</v>
      </c>
      <c r="N200" s="66">
        <f>Q198</f>
        <v>16.34</v>
      </c>
      <c r="O200" s="65" t="str">
        <f>R198</f>
        <v>Kg</v>
      </c>
      <c r="P200" s="67" t="str">
        <f>V200&amp;" "&amp;W200</f>
        <v>Recette mère ► le Boudin en 4 déclinaisons</v>
      </c>
      <c r="Q200" s="68" t="str">
        <f>UPPER(LEFT(R194,1))&amp;" "&amp;R194&amp;" | "&amp;Y194&amp;"| "&amp;T196&amp;" "&amp;U196</f>
        <v>N NOTRE BOUDIN NOIR | | Auteur &gt; Guy KRENZE - Eric GODDYN - Arnaud NICOLAS - CEPROC 2002</v>
      </c>
      <c r="R200" s="69" t="s">
        <v>54</v>
      </c>
      <c r="S200" s="5469" t="s">
        <v>55</v>
      </c>
      <c r="T200" s="5469"/>
      <c r="U200" s="5469"/>
      <c r="V200" s="70" t="str">
        <f>IF(ISTEXT(W200),"Recette mère ►",R200)</f>
        <v>Recette mère ►</v>
      </c>
      <c r="W200" s="71" t="s">
        <v>12836</v>
      </c>
      <c r="X200" s="71"/>
      <c r="Y200" s="72"/>
      <c r="Z200" s="1473"/>
      <c r="AA200" s="5086"/>
      <c r="AB200" s="64" t="s">
        <v>16</v>
      </c>
      <c r="AC200" s="65" t="str">
        <f>AG200</f>
        <v>O OUR BLACK PUDDING | |  Author &gt; Guy KRENZE - Eric GODDYN - Arnaud NICOLAS - CEPROC 2002</v>
      </c>
      <c r="AD200" s="66">
        <f>AG198</f>
        <v>16.34</v>
      </c>
      <c r="AE200" s="65" t="str">
        <f>AH198</f>
        <v>Kg</v>
      </c>
      <c r="AF200" s="67" t="str">
        <f>AL200&amp;" "&amp;AM200</f>
        <v>Master recipe ► Black pudding in 4 variations</v>
      </c>
      <c r="AG200" s="68" t="str">
        <f>UPPER(LEFT(AH194,1))&amp;" "&amp;AH194&amp;" | "&amp;AO194&amp;"| "&amp;AJ196&amp;" "&amp;AK196</f>
        <v>O OUR BLACK PUDDING | |  Author &gt; Guy KRENZE - Eric GODDYN - Arnaud NICOLAS - CEPROC 2002</v>
      </c>
      <c r="AH200" s="69" t="s">
        <v>3315</v>
      </c>
      <c r="AI200" s="5469" t="s">
        <v>3316</v>
      </c>
      <c r="AJ200" s="5469"/>
      <c r="AK200" s="5469"/>
      <c r="AL200" s="70" t="str">
        <f>IF(ISTEXT(AM200),"Master recipe ►",AH200)</f>
        <v>Master recipe ►</v>
      </c>
      <c r="AM200" s="71" t="s">
        <v>12924</v>
      </c>
      <c r="AN200" s="71"/>
      <c r="AO200" s="72"/>
      <c r="AP200" s="1473"/>
      <c r="AQ200" s="5086"/>
      <c r="AR200" s="64" t="s">
        <v>16</v>
      </c>
      <c r="AS200" s="65" t="str">
        <f>AW200</f>
        <v>N NUESTRA MORCILLA | | Autor &gt; Guy KRENZE - Eric GODDYN - Arnaud NICOLAS - CEPROC 2002</v>
      </c>
      <c r="AT200" s="66">
        <f>AW198</f>
        <v>16.34</v>
      </c>
      <c r="AU200" s="65" t="str">
        <f>AX198</f>
        <v>Kg</v>
      </c>
      <c r="AV200" s="67" t="str">
        <f>BB200&amp;" "&amp;BC200</f>
        <v>Receta madre ► Morcilla en 4 versiones</v>
      </c>
      <c r="AW200" s="68" t="str">
        <f>UPPER(LEFT(AX194,1))&amp;" "&amp;AX194&amp;" | "&amp;BE194&amp;"| "&amp;AZ196&amp;" "&amp;BA196</f>
        <v>N NUESTRA MORCILLA | | Autor &gt; Guy KRENZE - Eric GODDYN - Arnaud NICOLAS - CEPROC 2002</v>
      </c>
      <c r="AX200" s="69" t="s">
        <v>3319</v>
      </c>
      <c r="AY200" s="5469" t="s">
        <v>906</v>
      </c>
      <c r="AZ200" s="5469"/>
      <c r="BA200" s="5469"/>
      <c r="BB200" s="70" t="str">
        <f>IF(ISTEXT(BC200),"Receta madre ►",AX200)</f>
        <v>Receta madre ►</v>
      </c>
      <c r="BC200" s="71" t="s">
        <v>12925</v>
      </c>
      <c r="BD200" s="71"/>
      <c r="BE200" s="72"/>
      <c r="BF200" s="1473"/>
      <c r="BG200" s="5086"/>
      <c r="BH200" s="104"/>
      <c r="BI200" s="32"/>
      <c r="BJ200" s="33"/>
      <c r="BK200" s="32"/>
      <c r="BL200" s="34"/>
      <c r="BM200" s="92"/>
      <c r="BN200" s="108"/>
      <c r="BO200" s="94"/>
      <c r="BP200" s="95"/>
      <c r="BQ200" s="105"/>
      <c r="BR200" s="5101"/>
      <c r="BS200" s="920"/>
      <c r="BT200" s="1495"/>
      <c r="BU200" s="101"/>
      <c r="BV200" s="1475"/>
      <c r="BW200" s="5086"/>
      <c r="BX200" s="104"/>
      <c r="BY200" s="32"/>
      <c r="BZ200" s="33"/>
      <c r="CA200" s="32"/>
      <c r="CB200" s="34"/>
      <c r="CC200" s="92"/>
      <c r="CD200" s="108"/>
      <c r="CE200" s="94"/>
      <c r="CF200" s="95"/>
      <c r="CG200" s="105"/>
      <c r="CH200" s="5101"/>
      <c r="CI200" s="920"/>
      <c r="CJ200" s="1495"/>
      <c r="CK200" s="101"/>
      <c r="CL200" s="1475"/>
      <c r="CM200" s="5086"/>
      <c r="CN200" s="104"/>
      <c r="CO200" s="32"/>
      <c r="CP200" s="33"/>
      <c r="CQ200" s="32"/>
      <c r="CR200" s="34"/>
      <c r="CS200" s="92"/>
      <c r="CT200" s="108"/>
      <c r="CU200" s="94"/>
      <c r="CV200" s="95"/>
      <c r="CW200" s="105"/>
      <c r="CX200" s="5101"/>
      <c r="CY200" s="920"/>
      <c r="CZ200" s="1495"/>
      <c r="DA200" s="101"/>
      <c r="DB200" s="1475"/>
      <c r="DC200" s="5109"/>
      <c r="DD200" s="5076"/>
      <c r="DF200" s="3">
        <v>1</v>
      </c>
    </row>
    <row r="201" spans="2:175" ht="21" customHeight="1" thickBot="1">
      <c r="B201" s="952" t="str">
        <f t="shared" si="35"/>
        <v>►</v>
      </c>
      <c r="C201" s="993" cm="1">
        <f t="array" ref="C201">SUMPRODUCT(LEN(D201:J201))</f>
        <v>0</v>
      </c>
      <c r="D201" s="167"/>
      <c r="E201" s="172"/>
      <c r="F201" s="172"/>
      <c r="G201" s="172"/>
      <c r="H201" s="172"/>
      <c r="I201" s="172"/>
      <c r="J201" s="173"/>
      <c r="K201"/>
      <c r="L201" s="74" t="s">
        <v>16</v>
      </c>
      <c r="M201" s="75" t="str">
        <f>M200</f>
        <v>N NOTRE BOUDIN NOIR | | Auteur &gt; Guy KRENZE - Eric GODDYN - Arnaud NICOLAS - CEPROC 2002</v>
      </c>
      <c r="N201" s="75">
        <f>N200</f>
        <v>16.34</v>
      </c>
      <c r="O201" s="75" t="str">
        <f>O200</f>
        <v>Kg</v>
      </c>
      <c r="P201" s="76" t="str">
        <f>P200</f>
        <v>Recette mère ► le Boudin en 4 déclinaisons</v>
      </c>
      <c r="Q201" s="13" t="s">
        <v>66</v>
      </c>
      <c r="R201" s="13" t="s">
        <v>67</v>
      </c>
      <c r="S201" s="13" t="s">
        <v>68</v>
      </c>
      <c r="T201" s="13" t="s">
        <v>69</v>
      </c>
      <c r="U201" s="77" t="s">
        <v>70</v>
      </c>
      <c r="V201" s="78" t="s">
        <v>71</v>
      </c>
      <c r="W201" s="79" t="s">
        <v>72</v>
      </c>
      <c r="X201" s="1496" t="s">
        <v>73</v>
      </c>
      <c r="Y201" s="13" t="s">
        <v>74</v>
      </c>
      <c r="Z201" s="518" t="s">
        <v>75</v>
      </c>
      <c r="AA201" s="5086"/>
      <c r="AB201" s="74" t="s">
        <v>16</v>
      </c>
      <c r="AC201" s="75" t="str">
        <f>AC200</f>
        <v>O OUR BLACK PUDDING | |  Author &gt; Guy KRENZE - Eric GODDYN - Arnaud NICOLAS - CEPROC 2002</v>
      </c>
      <c r="AD201" s="75">
        <f>AD200</f>
        <v>16.34</v>
      </c>
      <c r="AE201" s="75" t="str">
        <f>AE200</f>
        <v>Kg</v>
      </c>
      <c r="AF201" s="76" t="str">
        <f>AF200</f>
        <v>Master recipe ► Black pudding in 4 variations</v>
      </c>
      <c r="AG201" s="13" t="s">
        <v>66</v>
      </c>
      <c r="AH201" s="13" t="s">
        <v>67</v>
      </c>
      <c r="AI201" s="13" t="s">
        <v>68</v>
      </c>
      <c r="AJ201" s="13" t="s">
        <v>69</v>
      </c>
      <c r="AK201" s="77" t="s">
        <v>70</v>
      </c>
      <c r="AL201" s="78" t="s">
        <v>71</v>
      </c>
      <c r="AM201" s="79" t="s">
        <v>72</v>
      </c>
      <c r="AN201" s="1496" t="s">
        <v>73</v>
      </c>
      <c r="AO201" s="13" t="s">
        <v>74</v>
      </c>
      <c r="AP201" s="518" t="s">
        <v>75</v>
      </c>
      <c r="AQ201" s="5086"/>
      <c r="AR201" s="74" t="s">
        <v>16</v>
      </c>
      <c r="AS201" s="75" t="str">
        <f>AS200</f>
        <v>N NUESTRA MORCILLA | | Autor &gt; Guy KRENZE - Eric GODDYN - Arnaud NICOLAS - CEPROC 2002</v>
      </c>
      <c r="AT201" s="75">
        <f>AT200</f>
        <v>16.34</v>
      </c>
      <c r="AU201" s="75" t="str">
        <f>AU200</f>
        <v>Kg</v>
      </c>
      <c r="AV201" s="76" t="str">
        <f>AV200</f>
        <v>Receta madre ► Morcilla en 4 versiones</v>
      </c>
      <c r="AW201" s="13" t="s">
        <v>66</v>
      </c>
      <c r="AX201" s="13" t="s">
        <v>67</v>
      </c>
      <c r="AY201" s="13" t="s">
        <v>68</v>
      </c>
      <c r="AZ201" s="13" t="s">
        <v>69</v>
      </c>
      <c r="BA201" s="77" t="s">
        <v>70</v>
      </c>
      <c r="BB201" s="78" t="s">
        <v>71</v>
      </c>
      <c r="BC201" s="79" t="s">
        <v>72</v>
      </c>
      <c r="BD201" s="1496" t="s">
        <v>73</v>
      </c>
      <c r="BE201" s="13" t="s">
        <v>74</v>
      </c>
      <c r="BF201" s="518" t="s">
        <v>75</v>
      </c>
      <c r="BG201" s="5086"/>
      <c r="BH201" s="104"/>
      <c r="BI201" s="32"/>
      <c r="BJ201" s="33"/>
      <c r="BK201" s="32"/>
      <c r="BL201" s="34"/>
      <c r="BM201" s="92"/>
      <c r="BN201" s="108"/>
      <c r="BO201" s="94"/>
      <c r="BP201" s="95"/>
      <c r="BQ201" s="105"/>
      <c r="BR201" s="5101"/>
      <c r="BS201" s="920"/>
      <c r="BT201" s="1495"/>
      <c r="BU201" s="101"/>
      <c r="BV201" s="1475"/>
      <c r="BW201" s="5086"/>
      <c r="BX201" s="104"/>
      <c r="BY201" s="32"/>
      <c r="BZ201" s="33"/>
      <c r="CA201" s="32"/>
      <c r="CB201" s="34"/>
      <c r="CC201" s="92"/>
      <c r="CD201" s="108"/>
      <c r="CE201" s="94"/>
      <c r="CF201" s="95"/>
      <c r="CG201" s="105"/>
      <c r="CH201" s="5101"/>
      <c r="CI201" s="920"/>
      <c r="CJ201" s="1495"/>
      <c r="CK201" s="101"/>
      <c r="CL201" s="1475"/>
      <c r="CM201" s="5086"/>
      <c r="CN201" s="104"/>
      <c r="CO201" s="32"/>
      <c r="CP201" s="33"/>
      <c r="CQ201" s="32"/>
      <c r="CR201" s="34"/>
      <c r="CS201" s="92"/>
      <c r="CT201" s="108"/>
      <c r="CU201" s="94"/>
      <c r="CV201" s="95"/>
      <c r="CW201" s="105"/>
      <c r="CX201" s="5101"/>
      <c r="CY201" s="920"/>
      <c r="CZ201" s="1495"/>
      <c r="DA201" s="101"/>
      <c r="DB201" s="1475"/>
      <c r="DC201" s="5109"/>
      <c r="DD201" s="5076"/>
      <c r="DF201" s="3">
        <v>1</v>
      </c>
    </row>
    <row r="202" spans="2:175" ht="21" customHeight="1">
      <c r="B202" s="952" t="str">
        <f t="shared" si="35"/>
        <v>A</v>
      </c>
      <c r="C202" s="993" cm="1">
        <f t="array" ref="C202">SUMPRODUCT(LEN(D202:J202))</f>
        <v>0</v>
      </c>
      <c r="D202" s="167"/>
      <c r="E202" s="172"/>
      <c r="F202" s="172"/>
      <c r="G202" s="172"/>
      <c r="H202" s="172"/>
      <c r="I202" s="172"/>
      <c r="J202" s="173"/>
      <c r="K202"/>
      <c r="L202" s="27" t="s">
        <v>11</v>
      </c>
      <c r="M202" s="32" t="str">
        <f>M200</f>
        <v>N NOTRE BOUDIN NOIR | | Auteur &gt; Guy KRENZE - Eric GODDYN - Arnaud NICOLAS - CEPROC 2002</v>
      </c>
      <c r="N202" s="33">
        <f>N200</f>
        <v>16.34</v>
      </c>
      <c r="O202" s="32" t="str">
        <f>O200</f>
        <v>Kg</v>
      </c>
      <c r="P202" s="34" t="str">
        <f>P200</f>
        <v>Recette mère ► le Boudin en 4 déclinaisons</v>
      </c>
      <c r="Q202" s="81" t="s">
        <v>77</v>
      </c>
      <c r="R202" s="82" t="s">
        <v>78</v>
      </c>
      <c r="S202" s="83"/>
      <c r="T202" s="5454" t="s">
        <v>79</v>
      </c>
      <c r="U202" s="5464" t="s">
        <v>80</v>
      </c>
      <c r="V202" s="5466" t="s">
        <v>81</v>
      </c>
      <c r="W202" s="84" t="s">
        <v>82</v>
      </c>
      <c r="X202" s="5444" t="s">
        <v>83</v>
      </c>
      <c r="Y202" s="5446" t="s">
        <v>3297</v>
      </c>
      <c r="Z202" s="5448" t="s">
        <v>86</v>
      </c>
      <c r="AA202" s="5086"/>
      <c r="AB202" s="27" t="s">
        <v>11</v>
      </c>
      <c r="AC202" s="32" t="str">
        <f>AC200</f>
        <v>O OUR BLACK PUDDING | |  Author &gt; Guy KRENZE - Eric GODDYN - Arnaud NICOLAS - CEPROC 2002</v>
      </c>
      <c r="AD202" s="33">
        <f>AD200</f>
        <v>16.34</v>
      </c>
      <c r="AE202" s="32" t="str">
        <f>AE200</f>
        <v>Kg</v>
      </c>
      <c r="AF202" s="34" t="str">
        <f>AF200</f>
        <v>Master recipe ► Black pudding in 4 variations</v>
      </c>
      <c r="AG202" s="81" t="s">
        <v>77</v>
      </c>
      <c r="AH202" s="82" t="s">
        <v>78</v>
      </c>
      <c r="AI202" s="83"/>
      <c r="AJ202" s="5454" t="s">
        <v>228</v>
      </c>
      <c r="AK202" s="5464" t="s">
        <v>80</v>
      </c>
      <c r="AL202" s="5466" t="s">
        <v>81</v>
      </c>
      <c r="AM202" s="84" t="s">
        <v>82</v>
      </c>
      <c r="AN202" s="5444" t="s">
        <v>244</v>
      </c>
      <c r="AO202" s="5446" t="s">
        <v>890</v>
      </c>
      <c r="AP202" s="5448" t="s">
        <v>247</v>
      </c>
      <c r="AQ202" s="5086"/>
      <c r="AR202" s="27" t="s">
        <v>11</v>
      </c>
      <c r="AS202" s="32" t="str">
        <f>AS200</f>
        <v>N NUESTRA MORCILLA | | Autor &gt; Guy KRENZE - Eric GODDYN - Arnaud NICOLAS - CEPROC 2002</v>
      </c>
      <c r="AT202" s="33">
        <f>AT200</f>
        <v>16.34</v>
      </c>
      <c r="AU202" s="32" t="str">
        <f>AU200</f>
        <v>Kg</v>
      </c>
      <c r="AV202" s="34" t="str">
        <f>AV200</f>
        <v>Receta madre ► Morcilla en 4 versiones</v>
      </c>
      <c r="AW202" s="81" t="s">
        <v>77</v>
      </c>
      <c r="AX202" s="82" t="s">
        <v>78</v>
      </c>
      <c r="AY202" s="83"/>
      <c r="AZ202" s="5470" t="s">
        <v>229</v>
      </c>
      <c r="BA202" s="5495" t="s">
        <v>80</v>
      </c>
      <c r="BB202" s="5481" t="s">
        <v>396</v>
      </c>
      <c r="BC202" s="84" t="s">
        <v>82</v>
      </c>
      <c r="BD202" s="5444" t="s">
        <v>249</v>
      </c>
      <c r="BE202" s="5446" t="s">
        <v>907</v>
      </c>
      <c r="BF202" s="5448" t="s">
        <v>252</v>
      </c>
      <c r="BG202" s="5086"/>
      <c r="BH202" s="104"/>
      <c r="BI202" s="32"/>
      <c r="BJ202" s="33"/>
      <c r="BK202" s="32"/>
      <c r="BL202" s="34"/>
      <c r="BM202" s="92"/>
      <c r="BN202" s="108"/>
      <c r="BO202" s="94"/>
      <c r="BP202" s="95"/>
      <c r="BQ202" s="105"/>
      <c r="BR202" s="5101"/>
      <c r="BS202" s="920"/>
      <c r="BT202" s="1495"/>
      <c r="BU202" s="101"/>
      <c r="BV202" s="1475"/>
      <c r="BW202" s="5086"/>
      <c r="BX202" s="104"/>
      <c r="BY202" s="32"/>
      <c r="BZ202" s="33"/>
      <c r="CA202" s="32"/>
      <c r="CB202" s="34"/>
      <c r="CC202" s="92"/>
      <c r="CD202" s="108"/>
      <c r="CE202" s="94"/>
      <c r="CF202" s="95"/>
      <c r="CG202" s="105"/>
      <c r="CH202" s="5101"/>
      <c r="CI202" s="920"/>
      <c r="CJ202" s="1495"/>
      <c r="CK202" s="101"/>
      <c r="CL202" s="1475"/>
      <c r="CM202" s="5086"/>
      <c r="CN202" s="104"/>
      <c r="CO202" s="32"/>
      <c r="CP202" s="33"/>
      <c r="CQ202" s="32"/>
      <c r="CR202" s="34"/>
      <c r="CS202" s="92"/>
      <c r="CT202" s="108"/>
      <c r="CU202" s="94"/>
      <c r="CV202" s="95"/>
      <c r="CW202" s="105"/>
      <c r="CX202" s="5101"/>
      <c r="CY202" s="920"/>
      <c r="CZ202" s="1495"/>
      <c r="DA202" s="101"/>
      <c r="DB202" s="1475"/>
      <c r="DC202" s="5109"/>
      <c r="DD202" s="5086"/>
      <c r="DF202" s="3">
        <v>1</v>
      </c>
      <c r="EU202" s="5471" t="s">
        <v>12949</v>
      </c>
      <c r="EV202" s="5471"/>
      <c r="EW202" s="5471"/>
      <c r="EX202" s="5471"/>
      <c r="EY202" s="5471"/>
      <c r="EZ202" s="5471"/>
      <c r="FA202" s="5473" t="s">
        <v>1031</v>
      </c>
      <c r="FB202" s="5473"/>
      <c r="FC202" s="5475" t="str">
        <f>UPPER(LEFT(EU202,1))</f>
        <v>S</v>
      </c>
      <c r="FE202" s="22" t="s">
        <v>11</v>
      </c>
      <c r="FF202" s="23" t="str">
        <f>FF208</f>
        <v>R RODAJA DE MANITAS DE CERDO para terrinas | | Autor &gt; USTED</v>
      </c>
      <c r="FG202" s="24">
        <f>FG208</f>
        <v>1</v>
      </c>
      <c r="FH202" s="24" t="str">
        <f>FH208</f>
        <v>molde L 30 cm × A 9 cm × H 6 cm</v>
      </c>
      <c r="FI202" s="25" t="str">
        <f>FI208</f>
        <v>Receta madre ► Introduzca el nombre de la receta principal</v>
      </c>
      <c r="FJ202" s="26" t="s">
        <v>23</v>
      </c>
      <c r="FK202" s="5471" t="s">
        <v>12948</v>
      </c>
      <c r="FL202" s="5471"/>
      <c r="FM202" s="5471"/>
      <c r="FN202" s="5471"/>
      <c r="FO202" s="5471"/>
      <c r="FP202" s="5471"/>
      <c r="FQ202" s="5473" t="s">
        <v>1031</v>
      </c>
      <c r="FR202" s="5473"/>
      <c r="FS202" s="5475" t="str">
        <f>UPPER(LEFT(FK202,1))</f>
        <v>R</v>
      </c>
    </row>
    <row r="203" spans="2:175" ht="21" customHeight="1">
      <c r="B203" s="952" t="str">
        <f t="shared" ref="B203:B256" si="36">L203</f>
        <v>A</v>
      </c>
      <c r="C203" s="993" cm="1">
        <f t="array" ref="C203">SUMPRODUCT(LEN(D203:J203))</f>
        <v>0</v>
      </c>
      <c r="D203" s="167"/>
      <c r="E203" s="172"/>
      <c r="F203" s="172"/>
      <c r="G203" s="172"/>
      <c r="H203" s="172"/>
      <c r="I203" s="172"/>
      <c r="J203" s="173"/>
      <c r="K203"/>
      <c r="L203" s="27" t="s">
        <v>11</v>
      </c>
      <c r="M203" s="32" t="str">
        <f>M200</f>
        <v>N NOTRE BOUDIN NOIR | | Auteur &gt; Guy KRENZE - Eric GODDYN - Arnaud NICOLAS - CEPROC 2002</v>
      </c>
      <c r="N203" s="33">
        <f>N200</f>
        <v>16.34</v>
      </c>
      <c r="O203" s="32" t="str">
        <f>O200</f>
        <v>Kg</v>
      </c>
      <c r="P203" s="34" t="str">
        <f>P200</f>
        <v>Recette mère ► le Boudin en 4 déclinaisons</v>
      </c>
      <c r="Q203" s="87" t="s">
        <v>91</v>
      </c>
      <c r="R203" s="88" t="s">
        <v>92</v>
      </c>
      <c r="S203" s="89" t="s">
        <v>93</v>
      </c>
      <c r="T203" s="5455"/>
      <c r="U203" s="5465"/>
      <c r="V203" s="5467"/>
      <c r="W203" s="90" t="s">
        <v>94</v>
      </c>
      <c r="X203" s="5445"/>
      <c r="Y203" s="5447"/>
      <c r="Z203" s="5449"/>
      <c r="AA203" s="5086"/>
      <c r="AB203" s="27" t="s">
        <v>11</v>
      </c>
      <c r="AC203" s="32" t="str">
        <f>AC200</f>
        <v>O OUR BLACK PUDDING | |  Author &gt; Guy KRENZE - Eric GODDYN - Arnaud NICOLAS - CEPROC 2002</v>
      </c>
      <c r="AD203" s="33">
        <f>AD200</f>
        <v>16.34</v>
      </c>
      <c r="AE203" s="32" t="str">
        <f>AE200</f>
        <v>Kg</v>
      </c>
      <c r="AF203" s="34" t="str">
        <f>AF200</f>
        <v>Master recipe ► Black pudding in 4 variations</v>
      </c>
      <c r="AG203" s="87" t="s">
        <v>231</v>
      </c>
      <c r="AH203" s="88" t="s">
        <v>232</v>
      </c>
      <c r="AI203" s="89" t="s">
        <v>891</v>
      </c>
      <c r="AJ203" s="5455"/>
      <c r="AK203" s="5465"/>
      <c r="AL203" s="5467"/>
      <c r="AM203" s="90" t="s">
        <v>867</v>
      </c>
      <c r="AN203" s="5445"/>
      <c r="AO203" s="5447"/>
      <c r="AP203" s="5449"/>
      <c r="AQ203" s="5086"/>
      <c r="AR203" s="27" t="s">
        <v>11</v>
      </c>
      <c r="AS203" s="32" t="str">
        <f>AS200</f>
        <v>N NUESTRA MORCILLA | | Autor &gt; Guy KRENZE - Eric GODDYN - Arnaud NICOLAS - CEPROC 2002</v>
      </c>
      <c r="AT203" s="33">
        <f>AT200</f>
        <v>16.34</v>
      </c>
      <c r="AU203" s="32" t="str">
        <f>AU200</f>
        <v>Kg</v>
      </c>
      <c r="AV203" s="34" t="str">
        <f>AV200</f>
        <v>Receta madre ► Morcilla en 4 versiones</v>
      </c>
      <c r="AW203" s="87" t="s">
        <v>234</v>
      </c>
      <c r="AX203" s="88" t="s">
        <v>235</v>
      </c>
      <c r="AY203" s="89" t="s">
        <v>93</v>
      </c>
      <c r="AZ203" s="5455"/>
      <c r="BA203" s="5465"/>
      <c r="BB203" s="5467"/>
      <c r="BC203" s="90" t="s">
        <v>869</v>
      </c>
      <c r="BD203" s="5445"/>
      <c r="BE203" s="5447"/>
      <c r="BF203" s="5449"/>
      <c r="BG203" s="5086"/>
      <c r="BH203" s="104"/>
      <c r="BI203" s="32"/>
      <c r="BJ203" s="33"/>
      <c r="BK203" s="32"/>
      <c r="BL203" s="34"/>
      <c r="BM203" s="92"/>
      <c r="BN203" s="108"/>
      <c r="BO203" s="94"/>
      <c r="BP203" s="95"/>
      <c r="BQ203" s="105"/>
      <c r="BR203" s="5101"/>
      <c r="BS203" s="920"/>
      <c r="BT203" s="1495"/>
      <c r="BU203" s="101"/>
      <c r="BV203" s="1475"/>
      <c r="BW203" s="5086"/>
      <c r="BX203" s="104"/>
      <c r="BY203" s="32"/>
      <c r="BZ203" s="33"/>
      <c r="CA203" s="32"/>
      <c r="CB203" s="34"/>
      <c r="CC203" s="92"/>
      <c r="CD203" s="108"/>
      <c r="CE203" s="94"/>
      <c r="CF203" s="95"/>
      <c r="CG203" s="105"/>
      <c r="CH203" s="5101"/>
      <c r="CI203" s="920"/>
      <c r="CJ203" s="1495"/>
      <c r="CK203" s="101"/>
      <c r="CL203" s="1475"/>
      <c r="CM203" s="5086"/>
      <c r="CN203" s="104"/>
      <c r="CO203" s="32"/>
      <c r="CP203" s="33"/>
      <c r="CQ203" s="32"/>
      <c r="CR203" s="34"/>
      <c r="CS203" s="92"/>
      <c r="CT203" s="108"/>
      <c r="CU203" s="94"/>
      <c r="CV203" s="95"/>
      <c r="CW203" s="105"/>
      <c r="CX203" s="5101"/>
      <c r="CY203" s="920"/>
      <c r="CZ203" s="1495"/>
      <c r="DA203" s="101"/>
      <c r="DB203" s="1475"/>
      <c r="DC203" s="5109"/>
      <c r="DD203" s="5086"/>
      <c r="DF203" s="3">
        <v>1</v>
      </c>
      <c r="EU203" s="5472"/>
      <c r="EV203" s="5472"/>
      <c r="EW203" s="5472"/>
      <c r="EX203" s="5472"/>
      <c r="EY203" s="5472"/>
      <c r="EZ203" s="5472"/>
      <c r="FA203" s="5474"/>
      <c r="FB203" s="5474"/>
      <c r="FC203" s="5476"/>
      <c r="FE203" s="27" t="s">
        <v>11</v>
      </c>
      <c r="FF203" s="28" t="str">
        <f>FF208</f>
        <v>R RODAJA DE MANITAS DE CERDO para terrinas | | Autor &gt; USTED</v>
      </c>
      <c r="FG203" s="29">
        <f>FG208</f>
        <v>1</v>
      </c>
      <c r="FH203" s="29" t="str">
        <f>FH208</f>
        <v>molde L 30 cm × A 9 cm × H 6 cm</v>
      </c>
      <c r="FI203" s="30" t="str">
        <f>FI208</f>
        <v>Receta madre ► Introduzca el nombre de la receta principal</v>
      </c>
      <c r="FJ203" s="31" t="s">
        <v>29</v>
      </c>
      <c r="FK203" s="5472"/>
      <c r="FL203" s="5472"/>
      <c r="FM203" s="5472"/>
      <c r="FN203" s="5472"/>
      <c r="FO203" s="5472"/>
      <c r="FP203" s="5472"/>
      <c r="FQ203" s="5474"/>
      <c r="FR203" s="5474"/>
      <c r="FS203" s="5476"/>
    </row>
    <row r="204" spans="2:175" ht="21" customHeight="1">
      <c r="B204" s="952" t="str">
        <f t="shared" si="36"/>
        <v>A</v>
      </c>
      <c r="C204" s="993" cm="1">
        <f t="array" ref="C204">SUMPRODUCT(LEN(D204:J204))</f>
        <v>0</v>
      </c>
      <c r="D204" s="167"/>
      <c r="E204" s="172"/>
      <c r="F204" s="172"/>
      <c r="G204" s="172"/>
      <c r="H204" s="172"/>
      <c r="I204" s="172"/>
      <c r="J204" s="173"/>
      <c r="K204"/>
      <c r="L204" s="27" t="s">
        <v>11</v>
      </c>
      <c r="M204" s="32" t="str">
        <f>M200</f>
        <v>N NOTRE BOUDIN NOIR | | Auteur &gt; Guy KRENZE - Eric GODDYN - Arnaud NICOLAS - CEPROC 2002</v>
      </c>
      <c r="N204" s="33">
        <f>N200</f>
        <v>16.34</v>
      </c>
      <c r="O204" s="32" t="str">
        <f>O200</f>
        <v>Kg</v>
      </c>
      <c r="P204" s="34" t="str">
        <f>P200</f>
        <v>Recette mère ► le Boudin en 4 déclinaisons</v>
      </c>
      <c r="Q204" s="92"/>
      <c r="R204" s="93"/>
      <c r="S204" s="94" t="str">
        <f t="shared" ref="S204:S223" si="37">IF(OR(ISTEXT(Q204), Q204&lt;=0, T204&lt;=0), "", "de")</f>
        <v/>
      </c>
      <c r="T204" s="95">
        <v>3</v>
      </c>
      <c r="U204" s="96" t="s">
        <v>0</v>
      </c>
      <c r="V204" s="127">
        <v>1</v>
      </c>
      <c r="W204" s="919" t="s">
        <v>13046</v>
      </c>
      <c r="X204" s="100">
        <f>IF(OR(ISBLANK(Q198),X198=0),0,Q204*V199)</f>
        <v>0</v>
      </c>
      <c r="Y204" s="101">
        <f>IFERROR(_xlfn.LET(_xlpm.v,IFERROR(_xlfn.XLOOKUP(U204,Q241:Z241,Q242:Z242),_xlfn.XLOOKUP(U204,Q243:Z243,Q244:Z244)),_xlpm.v*T204*V204*V199*IF(ISBLANK(Q204),1,Q204)),0)</f>
        <v>0.91799265605875147</v>
      </c>
      <c r="Z204" s="1476" t="str">
        <f>_xlfn.LET(_xlpm.unite,SUBSTITUTE(TRIM(U204)," (s)",""),_xlpm.val,Y204,_xlpm.estVol,COUNTIF(T241:Z241,_xlpm.unite)+COUNTIF(T243:Z243,_xlpm.unite)&gt;0,_xlpm.estPoids,COUNTIF(Q241:S241,_xlpm.unite)+COUNTIF(Q243:S243,_xlpm.unite)&gt;0,IF(_xlpm.estVol,IF(ROUND(_xlpm.val,3)&gt;=1,ROUND(_xlpm.val,3)&amp;" L",MAX(1,ROUND(_xlpm.val*100,0))&amp;" cl"),IF(_xlpm.estPoids,IF(ROUND(_xlpm.val,3)&gt;=1,ROUND(_xlpm.val,3)&amp;" Kg",MAX(1,ROUND(_xlpm.val*1000,0))&amp;" g"),"")))</f>
        <v>92 cl</v>
      </c>
      <c r="AA204" s="5086"/>
      <c r="AB204" s="27" t="s">
        <v>11</v>
      </c>
      <c r="AC204" s="32" t="str">
        <f>AC200</f>
        <v>O OUR BLACK PUDDING | |  Author &gt; Guy KRENZE - Eric GODDYN - Arnaud NICOLAS - CEPROC 2002</v>
      </c>
      <c r="AD204" s="33">
        <f>AD200</f>
        <v>16.34</v>
      </c>
      <c r="AE204" s="32" t="str">
        <f>AE200</f>
        <v>Kg</v>
      </c>
      <c r="AF204" s="34" t="str">
        <f>AF200</f>
        <v>Master recipe ► Black pudding in 4 variations</v>
      </c>
      <c r="AG204" s="92"/>
      <c r="AH204" s="93"/>
      <c r="AI204" s="94" t="str">
        <f t="shared" ref="AI204:AI223" si="38">IF(OR(ISTEXT(AG204), AG204&lt;=0, AJ204&lt;=0), "", "de")</f>
        <v/>
      </c>
      <c r="AJ204" s="95">
        <v>3</v>
      </c>
      <c r="AK204" s="96" t="s">
        <v>0</v>
      </c>
      <c r="AL204" s="127">
        <v>1</v>
      </c>
      <c r="AM204" s="919" t="s">
        <v>13139</v>
      </c>
      <c r="AN204" s="100">
        <f>IF(OR(ISBLANK(AG198),AN198=0),0,AG204*AL199)</f>
        <v>0</v>
      </c>
      <c r="AO204" s="101">
        <f>IFERROR(_xlfn.LET(_xlpm.v,IFERROR(_xlfn.XLOOKUP(AK204,AG241:AP241,AG242:AP242),_xlfn.XLOOKUP(AK204,AG243:AP243,AG244:AP244)),_xlpm.v*AJ204*AL204*AL199*IF(ISBLANK(AG204),1,AG204)),0)</f>
        <v>0.91799265605875147</v>
      </c>
      <c r="AP204" s="1476" t="str">
        <f>_xlfn.LET(_xlpm.unite,SUBSTITUTE(TRIM(AK204)," (s)",""),_xlpm.val,AO204,_xlpm.estVol,COUNTIF(AJ241:AP241,_xlpm.unite)+COUNTIF(AJ243:AP243,_xlpm.unite)&gt;0,_xlpm.estPoids,COUNTIF(AG241:AI241,_xlpm.unite)+COUNTIF(AG243:AI243,_xlpm.unite)&gt;0,IF(_xlpm.estVol,IF(ROUND(_xlpm.val,3)&gt;=1,ROUND(_xlpm.val,3)&amp;" L",MAX(1,ROUND(_xlpm.val*100,0))&amp;" cl"),IF(_xlpm.estPoids,IF(ROUND(_xlpm.val,3)&gt;=1,ROUND(_xlpm.val,3)&amp;" Kg",MAX(1,ROUND(_xlpm.val*1000,0))&amp;" g"),"")))</f>
        <v>92 cl</v>
      </c>
      <c r="AQ204" s="5086"/>
      <c r="AR204" s="27" t="s">
        <v>11</v>
      </c>
      <c r="AS204" s="32" t="str">
        <f>AS200</f>
        <v>N NUESTRA MORCILLA | | Autor &gt; Guy KRENZE - Eric GODDYN - Arnaud NICOLAS - CEPROC 2002</v>
      </c>
      <c r="AT204" s="33">
        <f>AT200</f>
        <v>16.34</v>
      </c>
      <c r="AU204" s="32" t="str">
        <f>AU200</f>
        <v>Kg</v>
      </c>
      <c r="AV204" s="34" t="str">
        <f>AV200</f>
        <v>Receta madre ► Morcilla en 4 versiones</v>
      </c>
      <c r="AW204" s="92"/>
      <c r="AX204" s="93"/>
      <c r="AY204" s="94" t="str">
        <f t="shared" ref="AY204:AY223" si="39">IF(OR(ISTEXT(AW204), AW204&lt;=0, AZ204&lt;=0), "", "de")</f>
        <v/>
      </c>
      <c r="AZ204" s="95">
        <v>3</v>
      </c>
      <c r="BA204" s="96" t="s">
        <v>0</v>
      </c>
      <c r="BB204" s="127">
        <v>1</v>
      </c>
      <c r="BC204" s="919" t="s">
        <v>13155</v>
      </c>
      <c r="BD204" s="100">
        <f>IF(OR(ISBLANK(AW198),BD198=0),0,AW204*BB199)</f>
        <v>0</v>
      </c>
      <c r="BE204" s="101">
        <f>IFERROR(_xlfn.LET(_xlpm.v,IFERROR(_xlfn.XLOOKUP(BA204,AW241:BF241,AW242:BF242),_xlfn.XLOOKUP(BA204,AW243:BF243,AW244:BF244)),_xlpm.v*AZ204*BB204*BB199*IF(ISBLANK(AW204),1,AW204)),0)</f>
        <v>0.91799265605875147</v>
      </c>
      <c r="BF204" s="1476" t="str">
        <f>_xlfn.LET(_xlpm.unite,SUBSTITUTE(TRIM(BA204)," (s)",""),_xlpm.val,BE204,_xlpm.estVol,COUNTIF(AZ241:BF241,_xlpm.unite)+COUNTIF(AZ243:BF243,_xlpm.unite)&gt;0,_xlpm.estPoids,COUNTIF(AW241:AY241,_xlpm.unite)+COUNTIF(AW243:AY243,_xlpm.unite)&gt;0,IF(_xlpm.estVol,IF(ROUND(_xlpm.val,3)&gt;=1,ROUND(_xlpm.val,3)&amp;" L",MAX(1,ROUND(_xlpm.val*100,0))&amp;" cl"),IF(_xlpm.estPoids,IF(ROUND(_xlpm.val,3)&gt;=1,ROUND(_xlpm.val,3)&amp;" Kg",MAX(1,ROUND(_xlpm.val*1000,0))&amp;" g"),"")))</f>
        <v>92 cl</v>
      </c>
      <c r="BG204" s="5086"/>
      <c r="BH204" s="104"/>
      <c r="BI204" s="32"/>
      <c r="BJ204" s="33"/>
      <c r="BK204" s="32"/>
      <c r="BL204" s="34"/>
      <c r="BM204" s="92"/>
      <c r="BN204" s="108"/>
      <c r="BO204" s="94"/>
      <c r="BP204" s="95"/>
      <c r="BQ204" s="105"/>
      <c r="BR204" s="5101"/>
      <c r="BS204" s="920"/>
      <c r="BT204" s="1495"/>
      <c r="BU204" s="101"/>
      <c r="BV204" s="1475"/>
      <c r="BW204" s="5086"/>
      <c r="BX204" s="104"/>
      <c r="BY204" s="32"/>
      <c r="BZ204" s="33"/>
      <c r="CA204" s="32"/>
      <c r="CB204" s="34"/>
      <c r="CC204" s="92"/>
      <c r="CD204" s="108"/>
      <c r="CE204" s="94"/>
      <c r="CF204" s="95"/>
      <c r="CG204" s="105"/>
      <c r="CH204" s="5101"/>
      <c r="CI204" s="920"/>
      <c r="CJ204" s="1495"/>
      <c r="CK204" s="101"/>
      <c r="CL204" s="1475"/>
      <c r="CM204" s="5086"/>
      <c r="CN204" s="104"/>
      <c r="CO204" s="32"/>
      <c r="CP204" s="33"/>
      <c r="CQ204" s="32"/>
      <c r="CR204" s="34"/>
      <c r="CS204" s="92"/>
      <c r="CT204" s="108"/>
      <c r="CU204" s="94"/>
      <c r="CV204" s="95"/>
      <c r="CW204" s="105"/>
      <c r="CX204" s="5101"/>
      <c r="CY204" s="920"/>
      <c r="CZ204" s="1495"/>
      <c r="DA204" s="101"/>
      <c r="DB204" s="1475"/>
      <c r="DC204" s="5109"/>
      <c r="DD204" s="5086"/>
      <c r="DF204" s="3">
        <v>1</v>
      </c>
      <c r="EY204" s="9"/>
      <c r="EZ204" s="39"/>
      <c r="FA204" s="39"/>
      <c r="FB204" s="40"/>
      <c r="FC204" s="41"/>
      <c r="FE204" s="27" t="s">
        <v>11</v>
      </c>
      <c r="FF204" s="32" t="str">
        <f>FF208</f>
        <v>R RODAJA DE MANITAS DE CERDO para terrinas | | Autor &gt; USTED</v>
      </c>
      <c r="FG204" s="33">
        <f>FG208</f>
        <v>1</v>
      </c>
      <c r="FH204" s="33" t="str">
        <f>FH208</f>
        <v>molde L 30 cm × A 9 cm × H 6 cm</v>
      </c>
      <c r="FI204" s="34" t="str">
        <f>FI208</f>
        <v>Receta madre ► Introduzca el nombre de la receta principal</v>
      </c>
      <c r="FJ204" s="35"/>
      <c r="FK204" s="36" t="s">
        <v>903</v>
      </c>
      <c r="FL204" s="37"/>
      <c r="FM204" s="38" t="s">
        <v>904</v>
      </c>
      <c r="FN204" s="39" t="s">
        <v>64</v>
      </c>
      <c r="FO204" s="9"/>
      <c r="FP204" s="39"/>
      <c r="FQ204" s="39"/>
      <c r="FR204" s="40"/>
      <c r="FS204" s="41"/>
    </row>
    <row r="205" spans="2:175" ht="21" customHeight="1">
      <c r="B205" s="952" t="str">
        <f t="shared" si="36"/>
        <v>A</v>
      </c>
      <c r="C205" s="993" cm="1">
        <f t="array" ref="C205">SUMPRODUCT(LEN(D205:J205))</f>
        <v>0</v>
      </c>
      <c r="D205" s="167"/>
      <c r="E205" s="172"/>
      <c r="F205" s="172"/>
      <c r="G205" s="172"/>
      <c r="H205" s="172"/>
      <c r="I205" s="172"/>
      <c r="J205" s="173"/>
      <c r="K205"/>
      <c r="L205" s="104" t="str">
        <f t="shared" ref="L205:L223" si="40">IF(W205&lt;&gt;"","A","►")</f>
        <v>A</v>
      </c>
      <c r="M205" s="32" t="str">
        <f>M200</f>
        <v>N NOTRE BOUDIN NOIR | | Auteur &gt; Guy KRENZE - Eric GODDYN - Arnaud NICOLAS - CEPROC 2002</v>
      </c>
      <c r="N205" s="33">
        <f>N200</f>
        <v>16.34</v>
      </c>
      <c r="O205" s="32" t="str">
        <f>O200</f>
        <v>Kg</v>
      </c>
      <c r="P205" s="34" t="str">
        <f>P200</f>
        <v>Recette mère ► le Boudin en 4 déclinaisons</v>
      </c>
      <c r="Q205" s="92"/>
      <c r="R205" s="93"/>
      <c r="S205" s="94" t="str">
        <f t="shared" si="37"/>
        <v/>
      </c>
      <c r="T205" s="95">
        <v>9</v>
      </c>
      <c r="U205" s="140" t="s">
        <v>143</v>
      </c>
      <c r="V205" s="127">
        <v>1</v>
      </c>
      <c r="W205" s="920" t="s">
        <v>13080</v>
      </c>
      <c r="X205" s="1495">
        <f>IF(OR(ISBLANK(Q198),X198=0),0,Q205*V199)</f>
        <v>0</v>
      </c>
      <c r="Y205" s="101">
        <f>IFERROR(_xlfn.LET(_xlpm.v,IFERROR(_xlfn.XLOOKUP(U205,Q241:Z241,Q242:Z242),_xlfn.XLOOKUP(U205,Q243:Z243,Q244:Z244)),_xlpm.v*T205*V205*V199*IF(ISBLANK(Q205),1,Q205)),0)</f>
        <v>2.7539779681762546</v>
      </c>
      <c r="Z205" s="1475" t="str">
        <f>_xlfn.LET(_xlpm.unite,SUBSTITUTE(TRIM(U205)," (s)",""),_xlpm.val,Y205,_xlpm.estVol,COUNTIF(T241:Z241,_xlpm.unite)+COUNTIF(T243:Z243,_xlpm.unite)&gt;0,_xlpm.estPoids,COUNTIF(Q241:S241,_xlpm.unite)+COUNTIF(Q243:S243,_xlpm.unite)&gt;0,IF(_xlpm.estVol,IF(ROUND(_xlpm.val,3)&gt;=1,ROUND(_xlpm.val,3)&amp;" L",MAX(1,ROUND(_xlpm.val*100,0))&amp;" cl"),IF(_xlpm.estPoids,IF(ROUND(_xlpm.val,3)&gt;=1,ROUND(_xlpm.val,3)&amp;" Kg",MAX(1,ROUND(_xlpm.val*1000,0))&amp;" g"),"")))</f>
        <v>2.754 Kg</v>
      </c>
      <c r="AA205" s="5086"/>
      <c r="AB205" s="104" t="str">
        <f t="shared" ref="AB205:AB223" si="41">IF(AM205&lt;&gt;"","A","►")</f>
        <v>A</v>
      </c>
      <c r="AC205" s="32" t="str">
        <f>AC200</f>
        <v>O OUR BLACK PUDDING | |  Author &gt; Guy KRENZE - Eric GODDYN - Arnaud NICOLAS - CEPROC 2002</v>
      </c>
      <c r="AD205" s="33">
        <f>AD200</f>
        <v>16.34</v>
      </c>
      <c r="AE205" s="32" t="str">
        <f>AE200</f>
        <v>Kg</v>
      </c>
      <c r="AF205" s="34" t="str">
        <f>AF200</f>
        <v>Master recipe ► Black pudding in 4 variations</v>
      </c>
      <c r="AG205" s="92"/>
      <c r="AH205" s="93"/>
      <c r="AI205" s="94" t="str">
        <f t="shared" si="38"/>
        <v/>
      </c>
      <c r="AJ205" s="95">
        <v>9</v>
      </c>
      <c r="AK205" s="140" t="s">
        <v>143</v>
      </c>
      <c r="AL205" s="127">
        <v>1</v>
      </c>
      <c r="AM205" s="920" t="s">
        <v>13140</v>
      </c>
      <c r="AN205" s="1495">
        <f>IF(OR(ISBLANK(AG198),AN198=0),0,AG205*AL199)</f>
        <v>0</v>
      </c>
      <c r="AO205" s="101">
        <f>IFERROR(_xlfn.LET(_xlpm.v,IFERROR(_xlfn.XLOOKUP(AK205,AG241:AP241,AG242:AP242),_xlfn.XLOOKUP(AK205,AG243:AP243,AG244:AP244)),_xlpm.v*AJ205*AL205*AL199*IF(ISBLANK(AG205),1,AG205)),0)</f>
        <v>2.7539779681762546</v>
      </c>
      <c r="AP205" s="1475" t="str">
        <f>_xlfn.LET(_xlpm.unite,SUBSTITUTE(TRIM(AK205)," (s)",""),_xlpm.val,AO205,_xlpm.estVol,COUNTIF(AJ241:AP241,_xlpm.unite)+COUNTIF(AJ243:AP243,_xlpm.unite)&gt;0,_xlpm.estPoids,COUNTIF(AG241:AI241,_xlpm.unite)+COUNTIF(AG243:AI243,_xlpm.unite)&gt;0,IF(_xlpm.estVol,IF(ROUND(_xlpm.val,3)&gt;=1,ROUND(_xlpm.val,3)&amp;" L",MAX(1,ROUND(_xlpm.val*100,0))&amp;" cl"),IF(_xlpm.estPoids,IF(ROUND(_xlpm.val,3)&gt;=1,ROUND(_xlpm.val,3)&amp;" Kg",MAX(1,ROUND(_xlpm.val*1000,0))&amp;" g"),"")))</f>
        <v>2.754 Kg</v>
      </c>
      <c r="AQ205" s="5086"/>
      <c r="AR205" s="104" t="str">
        <f t="shared" ref="AR205:AR223" si="42">IF(BC205&lt;&gt;"","A","►")</f>
        <v>A</v>
      </c>
      <c r="AS205" s="32" t="str">
        <f>AS200</f>
        <v>N NUESTRA MORCILLA | | Autor &gt; Guy KRENZE - Eric GODDYN - Arnaud NICOLAS - CEPROC 2002</v>
      </c>
      <c r="AT205" s="33">
        <f>AT200</f>
        <v>16.34</v>
      </c>
      <c r="AU205" s="32" t="str">
        <f>AU200</f>
        <v>Kg</v>
      </c>
      <c r="AV205" s="34" t="str">
        <f>AV200</f>
        <v>Receta madre ► Morcilla en 4 versiones</v>
      </c>
      <c r="AW205" s="92"/>
      <c r="AX205" s="93"/>
      <c r="AY205" s="94" t="str">
        <f t="shared" si="39"/>
        <v/>
      </c>
      <c r="AZ205" s="95">
        <v>9</v>
      </c>
      <c r="BA205" s="140" t="s">
        <v>143</v>
      </c>
      <c r="BB205" s="127">
        <v>1</v>
      </c>
      <c r="BC205" s="920" t="s">
        <v>13156</v>
      </c>
      <c r="BD205" s="1495">
        <f>IF(OR(ISBLANK(AW198),BD198=0),0,AW205*BB199)</f>
        <v>0</v>
      </c>
      <c r="BE205" s="101">
        <f>IFERROR(_xlfn.LET(_xlpm.v,IFERROR(_xlfn.XLOOKUP(BA205,AW241:BF241,AW242:BF242),_xlfn.XLOOKUP(BA205,AW243:BF243,AW244:BF244)),_xlpm.v*AZ205*BB205*BB199*IF(ISBLANK(AW205),1,AW205)),0)</f>
        <v>2.7539779681762546</v>
      </c>
      <c r="BF205" s="1475" t="str">
        <f>_xlfn.LET(_xlpm.unite,SUBSTITUTE(TRIM(BA205)," (s)",""),_xlpm.val,BE205,_xlpm.estVol,COUNTIF(AZ241:BF241,_xlpm.unite)+COUNTIF(AZ243:BF243,_xlpm.unite)&gt;0,_xlpm.estPoids,COUNTIF(AW241:AY241,_xlpm.unite)+COUNTIF(AW243:AY243,_xlpm.unite)&gt;0,IF(_xlpm.estVol,IF(ROUND(_xlpm.val,3)&gt;=1,ROUND(_xlpm.val,3)&amp;" L",MAX(1,ROUND(_xlpm.val*100,0))&amp;" cl"),IF(_xlpm.estPoids,IF(ROUND(_xlpm.val,3)&gt;=1,ROUND(_xlpm.val,3)&amp;" Kg",MAX(1,ROUND(_xlpm.val*1000,0))&amp;" g"),"")))</f>
        <v>2.754 Kg</v>
      </c>
      <c r="BG205" s="5086"/>
      <c r="BH205" s="104"/>
      <c r="BI205" s="32"/>
      <c r="BJ205" s="33"/>
      <c r="BK205" s="32"/>
      <c r="BL205" s="34"/>
      <c r="BM205" s="92"/>
      <c r="BN205" s="108"/>
      <c r="BO205" s="94"/>
      <c r="BP205" s="95"/>
      <c r="BQ205" s="105"/>
      <c r="BR205" s="5101"/>
      <c r="BS205" s="920"/>
      <c r="BT205" s="1495"/>
      <c r="BU205" s="101"/>
      <c r="BV205" s="1475"/>
      <c r="BW205" s="5086"/>
      <c r="BX205" s="104"/>
      <c r="BY205" s="32"/>
      <c r="BZ205" s="33"/>
      <c r="CA205" s="32"/>
      <c r="CB205" s="34"/>
      <c r="CC205" s="92"/>
      <c r="CD205" s="108"/>
      <c r="CE205" s="94"/>
      <c r="CF205" s="95"/>
      <c r="CG205" s="105"/>
      <c r="CH205" s="5101"/>
      <c r="CI205" s="920"/>
      <c r="CJ205" s="1495"/>
      <c r="CK205" s="101"/>
      <c r="CL205" s="1475"/>
      <c r="CM205" s="5086"/>
      <c r="CN205" s="104"/>
      <c r="CO205" s="32"/>
      <c r="CP205" s="33"/>
      <c r="CQ205" s="32"/>
      <c r="CR205" s="34"/>
      <c r="CS205" s="92"/>
      <c r="CT205" s="108"/>
      <c r="CU205" s="94"/>
      <c r="CV205" s="95"/>
      <c r="CW205" s="105"/>
      <c r="CX205" s="5101"/>
      <c r="CY205" s="920"/>
      <c r="CZ205" s="1495"/>
      <c r="DA205" s="101"/>
      <c r="DB205" s="1475"/>
      <c r="DC205" s="5109"/>
      <c r="DD205" s="5067"/>
      <c r="DF205" s="3">
        <v>1</v>
      </c>
      <c r="EX205" s="5477" t="str">
        <f>EY208&amp;" "&amp;EZ208&amp;" ► Famille = "&amp;FA202&amp;" ► "&amp;EU202&amp;" "&amp; "pour "&amp;FA206&amp;" "&amp;FB206</f>
        <v>Master recipe ► Enter the main recipe name ► Famille =  charcuterie-BOUDIN-NOIR ► SLICE OF PIG’S TROTTERS  for terrines pour 2 0</v>
      </c>
      <c r="EY205" s="5477"/>
      <c r="EZ205" s="5477"/>
      <c r="FA205" s="5039" t="s">
        <v>3324</v>
      </c>
      <c r="FB205" s="40"/>
      <c r="FC205" s="1472"/>
      <c r="FE205" s="27" t="s">
        <v>11</v>
      </c>
      <c r="FF205" s="32" t="str">
        <f>FF208</f>
        <v>R RODAJA DE MANITAS DE CERDO para terrinas | | Autor &gt; USTED</v>
      </c>
      <c r="FG205" s="33">
        <f>FG208</f>
        <v>1</v>
      </c>
      <c r="FH205" s="33" t="str">
        <f>FH208</f>
        <v>molde L 30 cm × A 9 cm × H 6 cm</v>
      </c>
      <c r="FI205" s="34" t="str">
        <f>FI208</f>
        <v>Receta madre ► Introduzca el nombre de la receta principal</v>
      </c>
      <c r="FJ205" s="42" t="s">
        <v>905</v>
      </c>
      <c r="FK205" s="43"/>
      <c r="FL205" s="43"/>
      <c r="FM205" s="44" t="s">
        <v>33</v>
      </c>
      <c r="FN205" s="5477" t="str">
        <f>FO208&amp;" "&amp;FP208&amp;" ► Famille = "&amp;FQ202&amp;" ► "&amp;FK202&amp;" "&amp; "pour "&amp;FQ206&amp;" "&amp;FR206</f>
        <v>Receta madre ► Introduzca el nombre de la receta principal ► Famille =  charcuterie-BOUDIN-NOIR ► RODAJA DE MANITAS DE CERDO para terrinas pour 36 molde L 30 cm × A 9 cm × H 6 cm</v>
      </c>
      <c r="FO205" s="5477"/>
      <c r="FP205" s="5477"/>
      <c r="FQ205" s="5039" t="s">
        <v>3326</v>
      </c>
      <c r="FR205" s="40"/>
      <c r="FS205" s="1472"/>
    </row>
    <row r="206" spans="2:175" ht="21" customHeight="1">
      <c r="B206" s="952" t="str">
        <f t="shared" si="36"/>
        <v>A</v>
      </c>
      <c r="C206" s="993" cm="1">
        <f t="array" ref="C206">SUMPRODUCT(LEN(D206:J206))</f>
        <v>0</v>
      </c>
      <c r="D206" s="167"/>
      <c r="E206" s="172"/>
      <c r="F206" s="172"/>
      <c r="G206" s="172"/>
      <c r="H206" s="172"/>
      <c r="I206" s="172"/>
      <c r="J206" s="173"/>
      <c r="K206"/>
      <c r="L206" s="104" t="str">
        <f t="shared" si="40"/>
        <v>A</v>
      </c>
      <c r="M206" s="32" t="str">
        <f>M200</f>
        <v>N NOTRE BOUDIN NOIR | | Auteur &gt; Guy KRENZE - Eric GODDYN - Arnaud NICOLAS - CEPROC 2002</v>
      </c>
      <c r="N206" s="33">
        <f>N200</f>
        <v>16.34</v>
      </c>
      <c r="O206" s="32" t="str">
        <f>O200</f>
        <v>Kg</v>
      </c>
      <c r="P206" s="34" t="str">
        <f>P200</f>
        <v>Recette mère ► le Boudin en 4 déclinaisons</v>
      </c>
      <c r="Q206" s="92"/>
      <c r="R206" s="108"/>
      <c r="S206" s="94" t="str">
        <f t="shared" si="37"/>
        <v/>
      </c>
      <c r="T206" s="95"/>
      <c r="U206" s="126"/>
      <c r="V206" s="127">
        <v>1</v>
      </c>
      <c r="W206" s="5152" t="str">
        <f>"x par 1.33 = oignons frais &gt; "&amp;ROUND(Y205*1.33,2)&amp;" Kg"</f>
        <v>x par 1.33 = oignons frais &gt; 3.66 Kg</v>
      </c>
      <c r="X206" s="5159">
        <f>IF(OR(ISBLANK(Q198),X198=0),0,Q206*V199)</f>
        <v>0</v>
      </c>
      <c r="Y206" s="5160">
        <f>IFERROR(_xlfn.LET(_xlpm.v,IFERROR(_xlfn.XLOOKUP(U206,Q241:Z241,Q242:Z242),_xlfn.XLOOKUP(U206,Q243:Z243,Q244:Z244)),_xlpm.v*T206*V206*V199*IF(ISBLANK(Q206),1,Q206)),0)</f>
        <v>0</v>
      </c>
      <c r="Z206" s="5161" t="str">
        <f>_xlfn.LET(_xlpm.unite,SUBSTITUTE(TRIM(U206)," (s)",""),_xlpm.val,Y206,_xlpm.estVol,COUNTIF(T241:Z241,_xlpm.unite)+COUNTIF(T243:Z243,_xlpm.unite)&gt;0,_xlpm.estPoids,COUNTIF(Q241:S241,_xlpm.unite)+COUNTIF(Q243:S243,_xlpm.unite)&gt;0,IF(_xlpm.estVol,IF(ROUND(_xlpm.val,3)&gt;=1,ROUND(_xlpm.val,3)&amp;" L",MAX(1,ROUND(_xlpm.val*100,0))&amp;" cl"),IF(_xlpm.estPoids,IF(ROUND(_xlpm.val,3)&gt;=1,ROUND(_xlpm.val,3)&amp;" Kg",MAX(1,ROUND(_xlpm.val*1000,0))&amp;" g"),"")))</f>
        <v/>
      </c>
      <c r="AA206" s="5086"/>
      <c r="AB206" s="104" t="str">
        <f t="shared" si="41"/>
        <v>A</v>
      </c>
      <c r="AC206" s="32" t="str">
        <f>AC200</f>
        <v>O OUR BLACK PUDDING | |  Author &gt; Guy KRENZE - Eric GODDYN - Arnaud NICOLAS - CEPROC 2002</v>
      </c>
      <c r="AD206" s="33">
        <f>AD200</f>
        <v>16.34</v>
      </c>
      <c r="AE206" s="32" t="str">
        <f>AE200</f>
        <v>Kg</v>
      </c>
      <c r="AF206" s="34" t="str">
        <f>AF200</f>
        <v>Master recipe ► Black pudding in 4 variations</v>
      </c>
      <c r="AG206" s="92"/>
      <c r="AH206" s="108"/>
      <c r="AI206" s="94" t="str">
        <f t="shared" si="38"/>
        <v/>
      </c>
      <c r="AJ206" s="95"/>
      <c r="AK206" s="126"/>
      <c r="AL206" s="127">
        <v>1</v>
      </c>
      <c r="AM206" s="5152" t="str">
        <f>"x by 1.33 = fresh onions &gt; "&amp;ROUND(AO205*1.33,2)&amp;" Kg"</f>
        <v>x by 1.33 = fresh onions &gt; 3.66 Kg</v>
      </c>
      <c r="AN206" s="5159">
        <f>IF(OR(ISBLANK(AG198),AN198=0),0,AG206*AL199)</f>
        <v>0</v>
      </c>
      <c r="AO206" s="5160">
        <f>IFERROR(_xlfn.LET(_xlpm.v,IFERROR(_xlfn.XLOOKUP(AK206,AG241:AP241,AG242:AP242),_xlfn.XLOOKUP(AK206,AG243:AP243,AG244:AP244)),_xlpm.v*AJ206*AL206*AL199*IF(ISBLANK(AG206),1,AG206)),0)</f>
        <v>0</v>
      </c>
      <c r="AP206" s="5161" t="str">
        <f>_xlfn.LET(_xlpm.unite,SUBSTITUTE(TRIM(AK206)," (s)",""),_xlpm.val,AO206,_xlpm.estVol,COUNTIF(AJ241:AP241,_xlpm.unite)+COUNTIF(AJ243:AP243,_xlpm.unite)&gt;0,_xlpm.estPoids,COUNTIF(AG241:AI241,_xlpm.unite)+COUNTIF(AG243:AI243,_xlpm.unite)&gt;0,IF(_xlpm.estVol,IF(ROUND(_xlpm.val,3)&gt;=1,ROUND(_xlpm.val,3)&amp;" L",MAX(1,ROUND(_xlpm.val*100,0))&amp;" cl"),IF(_xlpm.estPoids,IF(ROUND(_xlpm.val,3)&gt;=1,ROUND(_xlpm.val,3)&amp;" Kg",MAX(1,ROUND(_xlpm.val*1000,0))&amp;" g"),"")))</f>
        <v/>
      </c>
      <c r="AQ206" s="5086"/>
      <c r="AR206" s="104" t="str">
        <f t="shared" si="42"/>
        <v>A</v>
      </c>
      <c r="AS206" s="32" t="str">
        <f>AS200</f>
        <v>N NUESTRA MORCILLA | | Autor &gt; Guy KRENZE - Eric GODDYN - Arnaud NICOLAS - CEPROC 2002</v>
      </c>
      <c r="AT206" s="33">
        <f>AT200</f>
        <v>16.34</v>
      </c>
      <c r="AU206" s="32" t="str">
        <f>AU200</f>
        <v>Kg</v>
      </c>
      <c r="AV206" s="34" t="str">
        <f>AV200</f>
        <v>Receta madre ► Morcilla en 4 versiones</v>
      </c>
      <c r="AW206" s="92"/>
      <c r="AX206" s="108"/>
      <c r="AY206" s="94" t="str">
        <f t="shared" si="39"/>
        <v/>
      </c>
      <c r="AZ206" s="95"/>
      <c r="BA206" s="126"/>
      <c r="BB206" s="127">
        <v>1</v>
      </c>
      <c r="BC206" s="5152" t="str">
        <f>"x por 1.33 = cebollas frescas  &gt; "&amp;ROUND(BE205*1.33,2)&amp;" Kg"</f>
        <v>x por 1.33 = cebollas frescas  &gt; 3.66 Kg</v>
      </c>
      <c r="BD206" s="5159">
        <f>IF(OR(ISBLANK(AW198),BD198=0),0,AW206*BB199)</f>
        <v>0</v>
      </c>
      <c r="BE206" s="5160">
        <f>IFERROR(_xlfn.LET(_xlpm.v,IFERROR(_xlfn.XLOOKUP(BA206,AW241:BF241,AW242:BF242),_xlfn.XLOOKUP(BA206,AW243:BF243,AW244:BF244)),_xlpm.v*AZ206*BB206*BB199*IF(ISBLANK(AW206),1,AW206)),0)</f>
        <v>0</v>
      </c>
      <c r="BF206" s="5161" t="str">
        <f>_xlfn.LET(_xlpm.unite,SUBSTITUTE(TRIM(BA206)," (s)",""),_xlpm.val,BE206,_xlpm.estVol,COUNTIF(AZ241:BF241,_xlpm.unite)+COUNTIF(AZ243:BF243,_xlpm.unite)&gt;0,_xlpm.estPoids,COUNTIF(AW241:AY241,_xlpm.unite)+COUNTIF(AW243:AY243,_xlpm.unite)&gt;0,IF(_xlpm.estVol,IF(ROUND(_xlpm.val,3)&gt;=1,ROUND(_xlpm.val,3)&amp;" L",MAX(1,ROUND(_xlpm.val*100,0))&amp;" cl"),IF(_xlpm.estPoids,IF(ROUND(_xlpm.val,3)&gt;=1,ROUND(_xlpm.val,3)&amp;" Kg",MAX(1,ROUND(_xlpm.val*1000,0))&amp;" g"),"")))</f>
        <v/>
      </c>
      <c r="BG206" s="5086"/>
      <c r="BH206" s="104"/>
      <c r="BI206" s="32"/>
      <c r="BJ206" s="33"/>
      <c r="BK206" s="32"/>
      <c r="BL206" s="34"/>
      <c r="BM206" s="92"/>
      <c r="BN206" s="108"/>
      <c r="BO206" s="94"/>
      <c r="BP206" s="95"/>
      <c r="BQ206" s="105"/>
      <c r="BR206" s="5101"/>
      <c r="BS206" s="920"/>
      <c r="BT206" s="1495"/>
      <c r="BU206" s="101"/>
      <c r="BV206" s="1475"/>
      <c r="BW206" s="5086"/>
      <c r="BX206" s="104"/>
      <c r="BY206" s="32"/>
      <c r="BZ206" s="33"/>
      <c r="CA206" s="32"/>
      <c r="CB206" s="34"/>
      <c r="CC206" s="92"/>
      <c r="CD206" s="108"/>
      <c r="CE206" s="94"/>
      <c r="CF206" s="95"/>
      <c r="CG206" s="105"/>
      <c r="CH206" s="5101"/>
      <c r="CI206" s="920"/>
      <c r="CJ206" s="1495"/>
      <c r="CK206" s="101"/>
      <c r="CL206" s="1475"/>
      <c r="CM206" s="5086"/>
      <c r="CN206" s="104"/>
      <c r="CO206" s="32"/>
      <c r="CP206" s="33"/>
      <c r="CQ206" s="32"/>
      <c r="CR206" s="34"/>
      <c r="CS206" s="92"/>
      <c r="CT206" s="108"/>
      <c r="CU206" s="94"/>
      <c r="CV206" s="95"/>
      <c r="CW206" s="105"/>
      <c r="CX206" s="5101"/>
      <c r="CY206" s="920"/>
      <c r="CZ206" s="1495"/>
      <c r="DA206" s="101"/>
      <c r="DB206" s="1475"/>
      <c r="DC206" s="5109"/>
      <c r="DD206" s="5095"/>
      <c r="DF206" s="3">
        <v>1</v>
      </c>
      <c r="EX206" s="5477"/>
      <c r="EY206" s="5477"/>
      <c r="EZ206" s="5477"/>
      <c r="FA206" s="46">
        <v>2</v>
      </c>
      <c r="FB206" s="5478">
        <f>EU206</f>
        <v>0</v>
      </c>
      <c r="FC206" s="5479"/>
      <c r="FE206" s="27" t="s">
        <v>11</v>
      </c>
      <c r="FF206" s="32" t="str">
        <f>FF208</f>
        <v>R RODAJA DE MANITAS DE CERDO para terrinas | | Autor &gt; USTED</v>
      </c>
      <c r="FG206" s="33">
        <f>FG208</f>
        <v>1</v>
      </c>
      <c r="FH206" s="33" t="str">
        <f>FH208</f>
        <v>molde L 30 cm × A 9 cm × H 6 cm</v>
      </c>
      <c r="FI206" s="34" t="str">
        <f>FI208</f>
        <v>Receta madre ► Introduzca el nombre de la receta principal</v>
      </c>
      <c r="FJ206" s="50">
        <v>1</v>
      </c>
      <c r="FK206" s="5053" t="s">
        <v>12967</v>
      </c>
      <c r="FL206" s="42"/>
      <c r="FM206" s="42"/>
      <c r="FN206" s="5477"/>
      <c r="FO206" s="5477"/>
      <c r="FP206" s="5477"/>
      <c r="FQ206" s="46">
        <v>36</v>
      </c>
      <c r="FR206" s="5478" t="str">
        <f>FK206</f>
        <v>molde L 30 cm × A 9 cm × H 6 cm</v>
      </c>
      <c r="FS206" s="5479"/>
    </row>
    <row r="207" spans="2:175" ht="21" customHeight="1">
      <c r="B207" s="952" t="str">
        <f t="shared" si="36"/>
        <v>A</v>
      </c>
      <c r="C207" s="993" cm="1">
        <f t="array" ref="C207">SUMPRODUCT(LEN(D207:J207))</f>
        <v>0</v>
      </c>
      <c r="D207" s="167"/>
      <c r="E207" s="172"/>
      <c r="F207" s="172"/>
      <c r="G207" s="172"/>
      <c r="H207" s="172"/>
      <c r="I207" s="172"/>
      <c r="J207" s="173"/>
      <c r="K207"/>
      <c r="L207" s="104" t="str">
        <f t="shared" si="40"/>
        <v>A</v>
      </c>
      <c r="M207" s="32" t="str">
        <f>M200</f>
        <v>N NOTRE BOUDIN NOIR | | Auteur &gt; Guy KRENZE - Eric GODDYN - Arnaud NICOLAS - CEPROC 2002</v>
      </c>
      <c r="N207" s="33">
        <f>N200</f>
        <v>16.34</v>
      </c>
      <c r="O207" s="32" t="str">
        <f>O200</f>
        <v>Kg</v>
      </c>
      <c r="P207" s="34" t="str">
        <f>P200</f>
        <v>Recette mère ► le Boudin en 4 déclinaisons</v>
      </c>
      <c r="Q207" s="92"/>
      <c r="R207" s="108"/>
      <c r="S207" s="94" t="str">
        <f t="shared" si="37"/>
        <v/>
      </c>
      <c r="T207" s="5110">
        <v>1.5</v>
      </c>
      <c r="U207" s="140" t="s">
        <v>143</v>
      </c>
      <c r="V207" s="127">
        <v>1</v>
      </c>
      <c r="W207" s="920" t="s">
        <v>13047</v>
      </c>
      <c r="X207" s="1495">
        <f>IF(OR(ISBLANK(Q198),X198=0),0,Q207*V199)</f>
        <v>0</v>
      </c>
      <c r="Y207" s="101">
        <f>IFERROR(_xlfn.LET(_xlpm.v,IFERROR(_xlfn.XLOOKUP(U207,Q241:Z241,Q242:Z242),_xlfn.XLOOKUP(U207,Q243:Z243,Q244:Z244)),_xlpm.v*T207*V207*V199*IF(ISBLANK(Q207),1,Q207)),0)</f>
        <v>0.45899632802937573</v>
      </c>
      <c r="Z207" s="1475" t="str">
        <f>_xlfn.LET(_xlpm.unite,SUBSTITUTE(TRIM(U207)," (s)",""),_xlpm.val,Y207,_xlpm.estVol,COUNTIF(T241:Z241,_xlpm.unite)+COUNTIF(T243:Z243,_xlpm.unite)&gt;0,_xlpm.estPoids,COUNTIF(Q241:S241,_xlpm.unite)+COUNTIF(Q243:S243,_xlpm.unite)&gt;0,IF(_xlpm.estVol,IF(ROUND(_xlpm.val,3)&gt;=1,ROUND(_xlpm.val,3)&amp;" L",MAX(1,ROUND(_xlpm.val*100,0))&amp;" cl"),IF(_xlpm.estPoids,IF(ROUND(_xlpm.val,3)&gt;=1,ROUND(_xlpm.val,3)&amp;" Kg",MAX(1,ROUND(_xlpm.val*1000,0))&amp;" g"),"")))</f>
        <v>459 g</v>
      </c>
      <c r="AA207" s="5086"/>
      <c r="AB207" s="104" t="str">
        <f t="shared" si="41"/>
        <v>A</v>
      </c>
      <c r="AC207" s="32" t="str">
        <f>AC200</f>
        <v>O OUR BLACK PUDDING | |  Author &gt; Guy KRENZE - Eric GODDYN - Arnaud NICOLAS - CEPROC 2002</v>
      </c>
      <c r="AD207" s="33">
        <f>AD200</f>
        <v>16.34</v>
      </c>
      <c r="AE207" s="32" t="str">
        <f>AE200</f>
        <v>Kg</v>
      </c>
      <c r="AF207" s="34" t="str">
        <f>AF200</f>
        <v>Master recipe ► Black pudding in 4 variations</v>
      </c>
      <c r="AG207" s="92"/>
      <c r="AH207" s="108"/>
      <c r="AI207" s="94" t="str">
        <f t="shared" si="38"/>
        <v/>
      </c>
      <c r="AJ207" s="5110">
        <v>1.5</v>
      </c>
      <c r="AK207" s="140" t="s">
        <v>143</v>
      </c>
      <c r="AL207" s="127">
        <v>1</v>
      </c>
      <c r="AM207" s="920" t="s">
        <v>13142</v>
      </c>
      <c r="AN207" s="1495">
        <f>IF(OR(ISBLANK(AG198),AN198=0),0,AG207*AL199)</f>
        <v>0</v>
      </c>
      <c r="AO207" s="101">
        <f>IFERROR(_xlfn.LET(_xlpm.v,IFERROR(_xlfn.XLOOKUP(AK207,AG241:AP241,AG242:AP242),_xlfn.XLOOKUP(AK207,AG243:AP243,AG244:AP244)),_xlpm.v*AJ207*AL207*AL199*IF(ISBLANK(AG207),1,AG207)),0)</f>
        <v>0.45899632802937573</v>
      </c>
      <c r="AP207" s="1475" t="str">
        <f>_xlfn.LET(_xlpm.unite,SUBSTITUTE(TRIM(AK207)," (s)",""),_xlpm.val,AO207,_xlpm.estVol,COUNTIF(AJ241:AP241,_xlpm.unite)+COUNTIF(AJ243:AP243,_xlpm.unite)&gt;0,_xlpm.estPoids,COUNTIF(AG241:AI241,_xlpm.unite)+COUNTIF(AG243:AI243,_xlpm.unite)&gt;0,IF(_xlpm.estVol,IF(ROUND(_xlpm.val,3)&gt;=1,ROUND(_xlpm.val,3)&amp;" L",MAX(1,ROUND(_xlpm.val*100,0))&amp;" cl"),IF(_xlpm.estPoids,IF(ROUND(_xlpm.val,3)&gt;=1,ROUND(_xlpm.val,3)&amp;" Kg",MAX(1,ROUND(_xlpm.val*1000,0))&amp;" g"),"")))</f>
        <v>459 g</v>
      </c>
      <c r="AQ207" s="5086"/>
      <c r="AR207" s="104" t="str">
        <f t="shared" si="42"/>
        <v>A</v>
      </c>
      <c r="AS207" s="32" t="str">
        <f>AS200</f>
        <v>N NUESTRA MORCILLA | | Autor &gt; Guy KRENZE - Eric GODDYN - Arnaud NICOLAS - CEPROC 2002</v>
      </c>
      <c r="AT207" s="33">
        <f>AT200</f>
        <v>16.34</v>
      </c>
      <c r="AU207" s="32" t="str">
        <f>AU200</f>
        <v>Kg</v>
      </c>
      <c r="AV207" s="34" t="str">
        <f>AV200</f>
        <v>Receta madre ► Morcilla en 4 versiones</v>
      </c>
      <c r="AW207" s="92"/>
      <c r="AX207" s="108"/>
      <c r="AY207" s="94" t="str">
        <f t="shared" si="39"/>
        <v/>
      </c>
      <c r="AZ207" s="5110">
        <v>1.5</v>
      </c>
      <c r="BA207" s="140" t="s">
        <v>143</v>
      </c>
      <c r="BB207" s="127">
        <v>1</v>
      </c>
      <c r="BC207" s="920" t="s">
        <v>13158</v>
      </c>
      <c r="BD207" s="1495">
        <f>IF(OR(ISBLANK(AW198),BD198=0),0,AW207*BB199)</f>
        <v>0</v>
      </c>
      <c r="BE207" s="101">
        <f>IFERROR(_xlfn.LET(_xlpm.v,IFERROR(_xlfn.XLOOKUP(BA207,AW241:BF241,AW242:BF242),_xlfn.XLOOKUP(BA207,AW243:BF243,AW244:BF244)),_xlpm.v*AZ207*BB207*BB199*IF(ISBLANK(AW207),1,AW207)),0)</f>
        <v>0.45899632802937573</v>
      </c>
      <c r="BF207" s="1475" t="str">
        <f>_xlfn.LET(_xlpm.unite,SUBSTITUTE(TRIM(BA207)," (s)",""),_xlpm.val,BE207,_xlpm.estVol,COUNTIF(AZ241:BF241,_xlpm.unite)+COUNTIF(AZ243:BF243,_xlpm.unite)&gt;0,_xlpm.estPoids,COUNTIF(AW241:AY241,_xlpm.unite)+COUNTIF(AW243:AY243,_xlpm.unite)&gt;0,IF(_xlpm.estVol,IF(ROUND(_xlpm.val,3)&gt;=1,ROUND(_xlpm.val,3)&amp;" L",MAX(1,ROUND(_xlpm.val*100,0))&amp;" cl"),IF(_xlpm.estPoids,IF(ROUND(_xlpm.val,3)&gt;=1,ROUND(_xlpm.val,3)&amp;" Kg",MAX(1,ROUND(_xlpm.val*1000,0))&amp;" g"),"")))</f>
        <v>459 g</v>
      </c>
      <c r="BG207" s="5086"/>
      <c r="BH207" s="104"/>
      <c r="BI207" s="32"/>
      <c r="BJ207" s="33"/>
      <c r="BK207" s="32"/>
      <c r="BL207" s="34"/>
      <c r="BM207" s="92"/>
      <c r="BN207" s="108"/>
      <c r="BO207" s="94"/>
      <c r="BP207" s="95"/>
      <c r="BQ207" s="105"/>
      <c r="BR207" s="5101"/>
      <c r="BS207" s="920"/>
      <c r="BT207" s="1495"/>
      <c r="BU207" s="101"/>
      <c r="BV207" s="1475"/>
      <c r="BW207" s="5086"/>
      <c r="BX207" s="104"/>
      <c r="BY207" s="32"/>
      <c r="BZ207" s="33"/>
      <c r="CA207" s="32"/>
      <c r="CB207" s="34"/>
      <c r="CC207" s="92"/>
      <c r="CD207" s="108"/>
      <c r="CE207" s="94"/>
      <c r="CF207" s="95"/>
      <c r="CG207" s="105"/>
      <c r="CH207" s="5101"/>
      <c r="CI207" s="920"/>
      <c r="CJ207" s="1495"/>
      <c r="CK207" s="101"/>
      <c r="CL207" s="1475"/>
      <c r="CM207" s="5086"/>
      <c r="CN207" s="104"/>
      <c r="CO207" s="32"/>
      <c r="CP207" s="33"/>
      <c r="CQ207" s="32"/>
      <c r="CR207" s="34"/>
      <c r="CS207" s="92"/>
      <c r="CT207" s="108"/>
      <c r="CU207" s="94"/>
      <c r="CV207" s="95"/>
      <c r="CW207" s="105"/>
      <c r="CX207" s="5101"/>
      <c r="CY207" s="920"/>
      <c r="CZ207" s="1495"/>
      <c r="DA207" s="101"/>
      <c r="DB207" s="1475"/>
      <c r="DC207" s="5109"/>
      <c r="DD207" s="5096"/>
      <c r="DF207" s="3">
        <v>1</v>
      </c>
      <c r="EY207" s="1490">
        <f>IFERROR(FA206/ET206,0)</f>
        <v>0</v>
      </c>
      <c r="EZ207" s="45"/>
      <c r="FA207" s="5041" t="s">
        <v>153</v>
      </c>
      <c r="FB207" s="5042" t="e">
        <f>#REF!</f>
        <v>#REF!</v>
      </c>
      <c r="FC207" s="5043"/>
      <c r="FE207" s="27" t="s">
        <v>16</v>
      </c>
      <c r="FF207" s="32" t="str">
        <f>FF208</f>
        <v>R RODAJA DE MANITAS DE CERDO para terrinas | | Autor &gt; USTED</v>
      </c>
      <c r="FG207" s="33">
        <f>FG208</f>
        <v>1</v>
      </c>
      <c r="FH207" s="33" t="str">
        <f>FH208</f>
        <v>molde L 30 cm × A 9 cm × H 6 cm</v>
      </c>
      <c r="FI207" s="34" t="str">
        <f>FI208</f>
        <v>Receta madre ► Introduzca el nombre de la receta principal</v>
      </c>
      <c r="FJ207" s="56" t="s">
        <v>248</v>
      </c>
      <c r="FK207" s="57" t="e">
        <f>#REF!/FO207</f>
        <v>#REF!</v>
      </c>
      <c r="FL207" s="227"/>
      <c r="FM207" s="5044" t="str">
        <f>IFERROR(TEXT((FK207/FJ206)*1000,"0,0")&amp;" g","")</f>
        <v/>
      </c>
      <c r="FN207" s="59"/>
      <c r="FO207" s="1490">
        <f>IFERROR(FQ206/FJ206,0)</f>
        <v>36</v>
      </c>
      <c r="FP207" s="45"/>
      <c r="FQ207" s="5041" t="s">
        <v>248</v>
      </c>
      <c r="FR207" s="5042" t="e">
        <f>#REF!</f>
        <v>#REF!</v>
      </c>
      <c r="FS207" s="5043"/>
    </row>
    <row r="208" spans="2:175" ht="21" customHeight="1">
      <c r="B208" s="952" t="str">
        <f t="shared" si="36"/>
        <v>A</v>
      </c>
      <c r="C208" s="993" cm="1">
        <f t="array" ref="C208">SUMPRODUCT(LEN(D208:J208))</f>
        <v>0</v>
      </c>
      <c r="D208" s="167"/>
      <c r="E208" s="172"/>
      <c r="F208" s="172"/>
      <c r="G208" s="172"/>
      <c r="H208" s="172"/>
      <c r="I208" s="172"/>
      <c r="J208" s="173"/>
      <c r="K208"/>
      <c r="L208" s="104" t="str">
        <f t="shared" si="40"/>
        <v>A</v>
      </c>
      <c r="M208" s="32" t="str">
        <f>M200</f>
        <v>N NOTRE BOUDIN NOIR | | Auteur &gt; Guy KRENZE - Eric GODDYN - Arnaud NICOLAS - CEPROC 2002</v>
      </c>
      <c r="N208" s="33">
        <f>N200</f>
        <v>16.34</v>
      </c>
      <c r="O208" s="32" t="str">
        <f>O200</f>
        <v>Kg</v>
      </c>
      <c r="P208" s="34" t="str">
        <f>P200</f>
        <v>Recette mère ► le Boudin en 4 déclinaisons</v>
      </c>
      <c r="Q208" s="92"/>
      <c r="R208" s="108"/>
      <c r="S208" s="94" t="str">
        <f t="shared" si="37"/>
        <v/>
      </c>
      <c r="T208" s="5110">
        <v>1.5</v>
      </c>
      <c r="U208" s="140" t="s">
        <v>143</v>
      </c>
      <c r="V208" s="127">
        <v>1</v>
      </c>
      <c r="W208" s="920" t="s">
        <v>13048</v>
      </c>
      <c r="X208" s="1495">
        <f>IF(OR(ISBLANK(Q198),X198=0),0,Q208*V199)</f>
        <v>0</v>
      </c>
      <c r="Y208" s="101">
        <f>IFERROR(_xlfn.LET(_xlpm.v,IFERROR(_xlfn.XLOOKUP(U208,Q241:Z241,Q242:Z242),_xlfn.XLOOKUP(U208,Q243:Z243,Q244:Z244)),_xlpm.v*T208*V208*V199*IF(ISBLANK(Q208),1,Q208)),0)</f>
        <v>0.45899632802937573</v>
      </c>
      <c r="Z208" s="1476" t="str">
        <f>_xlfn.LET(_xlpm.unite,SUBSTITUTE(TRIM(U208)," (s)",""),_xlpm.val,Y208,_xlpm.estVol,COUNTIF(T241:Z241,_xlpm.unite)+COUNTIF(T243:Z243,_xlpm.unite)&gt;0,_xlpm.estPoids,COUNTIF(Q241:S241,_xlpm.unite)+COUNTIF(Q243:S243,_xlpm.unite)&gt;0,IF(_xlpm.estVol,IF(ROUND(_xlpm.val,3)&gt;=1,ROUND(_xlpm.val,3)&amp;" L",MAX(1,ROUND(_xlpm.val*100,0))&amp;" cl"),IF(_xlpm.estPoids,IF(ROUND(_xlpm.val,3)&gt;=1,ROUND(_xlpm.val,3)&amp;" Kg",MAX(1,ROUND(_xlpm.val*1000,0))&amp;" g"),"")))</f>
        <v>459 g</v>
      </c>
      <c r="AA208" s="5086"/>
      <c r="AB208" s="104" t="str">
        <f t="shared" si="41"/>
        <v>A</v>
      </c>
      <c r="AC208" s="32" t="str">
        <f>AC200</f>
        <v>O OUR BLACK PUDDING | |  Author &gt; Guy KRENZE - Eric GODDYN - Arnaud NICOLAS - CEPROC 2002</v>
      </c>
      <c r="AD208" s="33">
        <f>AD200</f>
        <v>16.34</v>
      </c>
      <c r="AE208" s="32" t="str">
        <f>AE200</f>
        <v>Kg</v>
      </c>
      <c r="AF208" s="34" t="str">
        <f>AF200</f>
        <v>Master recipe ► Black pudding in 4 variations</v>
      </c>
      <c r="AG208" s="92"/>
      <c r="AH208" s="108"/>
      <c r="AI208" s="94" t="str">
        <f t="shared" si="38"/>
        <v/>
      </c>
      <c r="AJ208" s="5110">
        <v>1.5</v>
      </c>
      <c r="AK208" s="140" t="s">
        <v>143</v>
      </c>
      <c r="AL208" s="127">
        <v>1</v>
      </c>
      <c r="AM208" s="920" t="s">
        <v>13143</v>
      </c>
      <c r="AN208" s="1495">
        <f>IF(OR(ISBLANK(AG198),AN198=0),0,AG208*AL199)</f>
        <v>0</v>
      </c>
      <c r="AO208" s="101">
        <f>IFERROR(_xlfn.LET(_xlpm.v,IFERROR(_xlfn.XLOOKUP(AK208,AG241:AP241,AG242:AP242),_xlfn.XLOOKUP(AK208,AG243:AP243,AG244:AP244)),_xlpm.v*AJ208*AL208*AL199*IF(ISBLANK(AG208),1,AG208)),0)</f>
        <v>0.45899632802937573</v>
      </c>
      <c r="AP208" s="1476" t="str">
        <f>_xlfn.LET(_xlpm.unite,SUBSTITUTE(TRIM(AK208)," (s)",""),_xlpm.val,AO208,_xlpm.estVol,COUNTIF(AJ241:AP241,_xlpm.unite)+COUNTIF(AJ243:AP243,_xlpm.unite)&gt;0,_xlpm.estPoids,COUNTIF(AG241:AI241,_xlpm.unite)+COUNTIF(AG243:AI243,_xlpm.unite)&gt;0,IF(_xlpm.estVol,IF(ROUND(_xlpm.val,3)&gt;=1,ROUND(_xlpm.val,3)&amp;" L",MAX(1,ROUND(_xlpm.val*100,0))&amp;" cl"),IF(_xlpm.estPoids,IF(ROUND(_xlpm.val,3)&gt;=1,ROUND(_xlpm.val,3)&amp;" Kg",MAX(1,ROUND(_xlpm.val*1000,0))&amp;" g"),"")))</f>
        <v>459 g</v>
      </c>
      <c r="AQ208" s="5086"/>
      <c r="AR208" s="104" t="str">
        <f t="shared" si="42"/>
        <v>A</v>
      </c>
      <c r="AS208" s="32" t="str">
        <f>AS200</f>
        <v>N NUESTRA MORCILLA | | Autor &gt; Guy KRENZE - Eric GODDYN - Arnaud NICOLAS - CEPROC 2002</v>
      </c>
      <c r="AT208" s="33">
        <f>AT200</f>
        <v>16.34</v>
      </c>
      <c r="AU208" s="32" t="str">
        <f>AU200</f>
        <v>Kg</v>
      </c>
      <c r="AV208" s="34" t="str">
        <f>AV200</f>
        <v>Receta madre ► Morcilla en 4 versiones</v>
      </c>
      <c r="AW208" s="92"/>
      <c r="AX208" s="108"/>
      <c r="AY208" s="94" t="str">
        <f t="shared" si="39"/>
        <v/>
      </c>
      <c r="AZ208" s="5110">
        <v>1.5</v>
      </c>
      <c r="BA208" s="140" t="s">
        <v>143</v>
      </c>
      <c r="BB208" s="127">
        <v>1</v>
      </c>
      <c r="BC208" s="920" t="s">
        <v>13159</v>
      </c>
      <c r="BD208" s="1495">
        <f>IF(OR(ISBLANK(AW198),BD198=0),0,AW208*BB199)</f>
        <v>0</v>
      </c>
      <c r="BE208" s="101">
        <f>IFERROR(_xlfn.LET(_xlpm.v,IFERROR(_xlfn.XLOOKUP(BA208,AW241:BF241,AW242:BF242),_xlfn.XLOOKUP(BA208,AW243:BF243,AW244:BF244)),_xlpm.v*AZ208*BB208*BB199*IF(ISBLANK(AW208),1,AW208)),0)</f>
        <v>0.45899632802937573</v>
      </c>
      <c r="BF208" s="1476" t="str">
        <f>_xlfn.LET(_xlpm.unite,SUBSTITUTE(TRIM(BA208)," (s)",""),_xlpm.val,BE208,_xlpm.estVol,COUNTIF(AZ241:BF241,_xlpm.unite)+COUNTIF(AZ243:BF243,_xlpm.unite)&gt;0,_xlpm.estPoids,COUNTIF(AW241:AY241,_xlpm.unite)+COUNTIF(AW243:AY243,_xlpm.unite)&gt;0,IF(_xlpm.estVol,IF(ROUND(_xlpm.val,3)&gt;=1,ROUND(_xlpm.val,3)&amp;" L",MAX(1,ROUND(_xlpm.val*100,0))&amp;" cl"),IF(_xlpm.estPoids,IF(ROUND(_xlpm.val,3)&gt;=1,ROUND(_xlpm.val,3)&amp;" Kg",MAX(1,ROUND(_xlpm.val*1000,0))&amp;" g"),"")))</f>
        <v>459 g</v>
      </c>
      <c r="BG208" s="5086"/>
      <c r="BH208" s="104"/>
      <c r="BI208" s="32"/>
      <c r="BJ208" s="33"/>
      <c r="BK208" s="32"/>
      <c r="BL208" s="34"/>
      <c r="BM208" s="92"/>
      <c r="BN208" s="108"/>
      <c r="BO208" s="94"/>
      <c r="BP208" s="95"/>
      <c r="BQ208" s="105"/>
      <c r="BR208" s="5101"/>
      <c r="BS208" s="920"/>
      <c r="BT208" s="1495"/>
      <c r="BU208" s="101"/>
      <c r="BV208" s="1475"/>
      <c r="BW208" s="5086"/>
      <c r="BX208" s="104"/>
      <c r="BY208" s="32"/>
      <c r="BZ208" s="33"/>
      <c r="CA208" s="32"/>
      <c r="CB208" s="34"/>
      <c r="CC208" s="92"/>
      <c r="CD208" s="108"/>
      <c r="CE208" s="94"/>
      <c r="CF208" s="95"/>
      <c r="CG208" s="105"/>
      <c r="CH208" s="5101"/>
      <c r="CI208" s="920"/>
      <c r="CJ208" s="1495"/>
      <c r="CK208" s="101"/>
      <c r="CL208" s="1475"/>
      <c r="CM208" s="5086"/>
      <c r="CN208" s="104"/>
      <c r="CO208" s="32"/>
      <c r="CP208" s="33"/>
      <c r="CQ208" s="32"/>
      <c r="CR208" s="34"/>
      <c r="CS208" s="92"/>
      <c r="CT208" s="108"/>
      <c r="CU208" s="94"/>
      <c r="CV208" s="95"/>
      <c r="CW208" s="105"/>
      <c r="CX208" s="5101"/>
      <c r="CY208" s="920"/>
      <c r="CZ208" s="1495"/>
      <c r="DA208" s="101"/>
      <c r="DB208" s="1475"/>
      <c r="DC208" s="5109"/>
      <c r="DD208" s="5077"/>
      <c r="DF208" s="3">
        <v>1</v>
      </c>
      <c r="EY208" s="70" t="str">
        <f>IF(ISTEXT(EZ208),"Master recipe ►",EU208)</f>
        <v>Master recipe ►</v>
      </c>
      <c r="EZ208" s="71" t="s">
        <v>3317</v>
      </c>
      <c r="FA208" s="71"/>
      <c r="FB208" s="72"/>
      <c r="FC208" s="1473"/>
      <c r="FE208" s="64" t="s">
        <v>16</v>
      </c>
      <c r="FF208" s="65" t="str">
        <f>FJ208</f>
        <v>R RODAJA DE MANITAS DE CERDO para terrinas | | Autor &gt; USTED</v>
      </c>
      <c r="FG208" s="66">
        <f>FJ206</f>
        <v>1</v>
      </c>
      <c r="FH208" s="65" t="str">
        <f>FK206</f>
        <v>molde L 30 cm × A 9 cm × H 6 cm</v>
      </c>
      <c r="FI208" s="67" t="str">
        <f>FO208&amp;" "&amp;FP208</f>
        <v>Receta madre ► Introduzca el nombre de la receta principal</v>
      </c>
      <c r="FJ208" s="68" t="str">
        <f>UPPER(LEFT(FK202,1))&amp;" "&amp;FK202&amp;" | "&amp;FR202&amp;"| "&amp;FM204&amp;" "&amp;FN204</f>
        <v>R RODAJA DE MANITAS DE CERDO para terrinas | | Autor &gt; USTED</v>
      </c>
      <c r="FK208" s="69" t="s">
        <v>3319</v>
      </c>
      <c r="FL208" s="5469" t="s">
        <v>906</v>
      </c>
      <c r="FM208" s="5469"/>
      <c r="FN208" s="5469"/>
      <c r="FO208" s="70" t="str">
        <f>IF(ISTEXT(FP208),"Receta madre ►",FK208)</f>
        <v>Receta madre ►</v>
      </c>
      <c r="FP208" s="71" t="s">
        <v>3318</v>
      </c>
      <c r="FQ208" s="71"/>
      <c r="FR208" s="72"/>
      <c r="FS208" s="1473"/>
    </row>
    <row r="209" spans="2:192" ht="21" customHeight="1">
      <c r="B209" s="952" t="str">
        <f t="shared" si="36"/>
        <v>A</v>
      </c>
      <c r="C209" s="993" cm="1">
        <f t="array" ref="C209">SUMPRODUCT(LEN(D209:J209))</f>
        <v>0</v>
      </c>
      <c r="D209" s="167"/>
      <c r="E209" s="172"/>
      <c r="F209" s="172"/>
      <c r="G209" s="172"/>
      <c r="H209" s="172"/>
      <c r="I209" s="172"/>
      <c r="J209" s="173"/>
      <c r="K209"/>
      <c r="L209" s="104" t="str">
        <f t="shared" si="40"/>
        <v>A</v>
      </c>
      <c r="M209" s="32" t="str">
        <f>M200</f>
        <v>N NOTRE BOUDIN NOIR | | Auteur &gt; Guy KRENZE - Eric GODDYN - Arnaud NICOLAS - CEPROC 2002</v>
      </c>
      <c r="N209" s="33">
        <f>N200</f>
        <v>16.34</v>
      </c>
      <c r="O209" s="32" t="str">
        <f>O200</f>
        <v>Kg</v>
      </c>
      <c r="P209" s="34" t="str">
        <f>P200</f>
        <v>Recette mère ► le Boudin en 4 déclinaisons</v>
      </c>
      <c r="Q209" s="92"/>
      <c r="R209" s="108"/>
      <c r="S209" s="94" t="str">
        <f t="shared" si="37"/>
        <v/>
      </c>
      <c r="T209" s="95">
        <v>500</v>
      </c>
      <c r="U209" s="105" t="s">
        <v>99</v>
      </c>
      <c r="V209" s="127">
        <v>1</v>
      </c>
      <c r="W209" s="920" t="s">
        <v>13049</v>
      </c>
      <c r="X209" s="1495">
        <f>IF(OR(ISBLANK(Q198),X198=0),0,Q209*V199)</f>
        <v>0</v>
      </c>
      <c r="Y209" s="101">
        <f>IFERROR(_xlfn.LET(_xlpm.v,IFERROR(_xlfn.XLOOKUP(U209,Q241:Z241,Q242:Z242),_xlfn.XLOOKUP(U209,Q243:Z243,Q244:Z244)),_xlpm.v*T209*V209*V199*IF(ISBLANK(Q209),1,Q209)),0)</f>
        <v>0.15299877600979192</v>
      </c>
      <c r="Z209" s="1475" t="str">
        <f>_xlfn.LET(_xlpm.unite,SUBSTITUTE(TRIM(U209)," (s)",""),_xlpm.val,Y209,_xlpm.estVol,COUNTIF(T241:Z241,_xlpm.unite)+COUNTIF(T243:Z243,_xlpm.unite)&gt;0,_xlpm.estPoids,COUNTIF(Q241:S241,_xlpm.unite)+COUNTIF(Q243:S243,_xlpm.unite)&gt;0,IF(_xlpm.estVol,IF(ROUND(_xlpm.val,3)&gt;=1,ROUND(_xlpm.val,3)&amp;" L",MAX(1,ROUND(_xlpm.val*100,0))&amp;" cl"),IF(_xlpm.estPoids,IF(ROUND(_xlpm.val,3)&gt;=1,ROUND(_xlpm.val,3)&amp;" Kg",MAX(1,ROUND(_xlpm.val*1000,0))&amp;" g"),"")))</f>
        <v>153 g</v>
      </c>
      <c r="AA209" s="5086"/>
      <c r="AB209" s="104" t="str">
        <f t="shared" si="41"/>
        <v>A</v>
      </c>
      <c r="AC209" s="32" t="str">
        <f>AC200</f>
        <v>O OUR BLACK PUDDING | |  Author &gt; Guy KRENZE - Eric GODDYN - Arnaud NICOLAS - CEPROC 2002</v>
      </c>
      <c r="AD209" s="33">
        <f>AD200</f>
        <v>16.34</v>
      </c>
      <c r="AE209" s="32" t="str">
        <f>AE200</f>
        <v>Kg</v>
      </c>
      <c r="AF209" s="34" t="str">
        <f>AF200</f>
        <v>Master recipe ► Black pudding in 4 variations</v>
      </c>
      <c r="AG209" s="92"/>
      <c r="AH209" s="108"/>
      <c r="AI209" s="94" t="str">
        <f t="shared" si="38"/>
        <v/>
      </c>
      <c r="AJ209" s="95">
        <v>500</v>
      </c>
      <c r="AK209" s="105" t="s">
        <v>99</v>
      </c>
      <c r="AL209" s="127">
        <v>1</v>
      </c>
      <c r="AM209" s="920" t="s">
        <v>13144</v>
      </c>
      <c r="AN209" s="1495">
        <f>IF(OR(ISBLANK(AG198),AN198=0),0,AG209*AL199)</f>
        <v>0</v>
      </c>
      <c r="AO209" s="101">
        <f>IFERROR(_xlfn.LET(_xlpm.v,IFERROR(_xlfn.XLOOKUP(AK209,AG241:AP241,AG242:AP242),_xlfn.XLOOKUP(AK209,AG243:AP243,AG244:AP244)),_xlpm.v*AJ209*AL209*AL199*IF(ISBLANK(AG209),1,AG209)),0)</f>
        <v>0.15299877600979192</v>
      </c>
      <c r="AP209" s="1475" t="str">
        <f>_xlfn.LET(_xlpm.unite,SUBSTITUTE(TRIM(AK209)," (s)",""),_xlpm.val,AO209,_xlpm.estVol,COUNTIF(AJ241:AP241,_xlpm.unite)+COUNTIF(AJ243:AP243,_xlpm.unite)&gt;0,_xlpm.estPoids,COUNTIF(AG241:AI241,_xlpm.unite)+COUNTIF(AG243:AI243,_xlpm.unite)&gt;0,IF(_xlpm.estVol,IF(ROUND(_xlpm.val,3)&gt;=1,ROUND(_xlpm.val,3)&amp;" L",MAX(1,ROUND(_xlpm.val*100,0))&amp;" cl"),IF(_xlpm.estPoids,IF(ROUND(_xlpm.val,3)&gt;=1,ROUND(_xlpm.val,3)&amp;" Kg",MAX(1,ROUND(_xlpm.val*1000,0))&amp;" g"),"")))</f>
        <v>153 g</v>
      </c>
      <c r="AQ209" s="5086"/>
      <c r="AR209" s="104" t="str">
        <f t="shared" si="42"/>
        <v>A</v>
      </c>
      <c r="AS209" s="32" t="str">
        <f>AS200</f>
        <v>N NUESTRA MORCILLA | | Autor &gt; Guy KRENZE - Eric GODDYN - Arnaud NICOLAS - CEPROC 2002</v>
      </c>
      <c r="AT209" s="33">
        <f>AT200</f>
        <v>16.34</v>
      </c>
      <c r="AU209" s="32" t="str">
        <f>AU200</f>
        <v>Kg</v>
      </c>
      <c r="AV209" s="34" t="str">
        <f>AV200</f>
        <v>Receta madre ► Morcilla en 4 versiones</v>
      </c>
      <c r="AW209" s="92"/>
      <c r="AX209" s="108"/>
      <c r="AY209" s="94" t="str">
        <f t="shared" si="39"/>
        <v/>
      </c>
      <c r="AZ209" s="95">
        <v>500</v>
      </c>
      <c r="BA209" s="105" t="s">
        <v>99</v>
      </c>
      <c r="BB209" s="127">
        <v>1</v>
      </c>
      <c r="BC209" s="920" t="s">
        <v>13160</v>
      </c>
      <c r="BD209" s="1495">
        <f>IF(OR(ISBLANK(AW198),BD198=0),0,AW209*BB199)</f>
        <v>0</v>
      </c>
      <c r="BE209" s="101">
        <f>IFERROR(_xlfn.LET(_xlpm.v,IFERROR(_xlfn.XLOOKUP(BA209,AW241:BF241,AW242:BF242),_xlfn.XLOOKUP(BA209,AW243:BF243,AW244:BF244)),_xlpm.v*AZ209*BB209*BB199*IF(ISBLANK(AW209),1,AW209)),0)</f>
        <v>0.15299877600979192</v>
      </c>
      <c r="BF209" s="1475" t="str">
        <f>_xlfn.LET(_xlpm.unite,SUBSTITUTE(TRIM(BA209)," (s)",""),_xlpm.val,BE209,_xlpm.estVol,COUNTIF(AZ241:BF241,_xlpm.unite)+COUNTIF(AZ243:BF243,_xlpm.unite)&gt;0,_xlpm.estPoids,COUNTIF(AW241:AY241,_xlpm.unite)+COUNTIF(AW243:AY243,_xlpm.unite)&gt;0,IF(_xlpm.estVol,IF(ROUND(_xlpm.val,3)&gt;=1,ROUND(_xlpm.val,3)&amp;" L",MAX(1,ROUND(_xlpm.val*100,0))&amp;" cl"),IF(_xlpm.estPoids,IF(ROUND(_xlpm.val,3)&gt;=1,ROUND(_xlpm.val,3)&amp;" Kg",MAX(1,ROUND(_xlpm.val*1000,0))&amp;" g"),"")))</f>
        <v>153 g</v>
      </c>
      <c r="BG209" s="5086"/>
      <c r="BH209" s="104"/>
      <c r="BI209" s="32"/>
      <c r="BJ209" s="33"/>
      <c r="BK209" s="32"/>
      <c r="BL209" s="34"/>
      <c r="BM209" s="92"/>
      <c r="BN209" s="108"/>
      <c r="BO209" s="94"/>
      <c r="BP209" s="95"/>
      <c r="BQ209" s="105"/>
      <c r="BR209" s="5101"/>
      <c r="BS209" s="920"/>
      <c r="BT209" s="1495"/>
      <c r="BU209" s="101"/>
      <c r="BV209" s="1475"/>
      <c r="BW209" s="5086"/>
      <c r="BX209" s="104"/>
      <c r="BY209" s="32"/>
      <c r="BZ209" s="33"/>
      <c r="CA209" s="32"/>
      <c r="CB209" s="34"/>
      <c r="CC209" s="92"/>
      <c r="CD209" s="108"/>
      <c r="CE209" s="94"/>
      <c r="CF209" s="95"/>
      <c r="CG209" s="105"/>
      <c r="CH209" s="5101"/>
      <c r="CI209" s="920"/>
      <c r="CJ209" s="1495"/>
      <c r="CK209" s="101"/>
      <c r="CL209" s="1475"/>
      <c r="CM209" s="5086"/>
      <c r="CN209" s="104"/>
      <c r="CO209" s="32"/>
      <c r="CP209" s="33"/>
      <c r="CQ209" s="32"/>
      <c r="CR209" s="34"/>
      <c r="CS209" s="92"/>
      <c r="CT209" s="108"/>
      <c r="CU209" s="94"/>
      <c r="CV209" s="95"/>
      <c r="CW209" s="105"/>
      <c r="CX209" s="5101"/>
      <c r="CY209" s="920"/>
      <c r="CZ209" s="1495"/>
      <c r="DA209" s="101"/>
      <c r="DB209" s="1475"/>
      <c r="DC209" s="5109"/>
      <c r="DD209" s="5077"/>
      <c r="DF209" s="3">
        <v>1</v>
      </c>
      <c r="EY209" s="78" t="s">
        <v>71</v>
      </c>
      <c r="EZ209" s="79" t="s">
        <v>72</v>
      </c>
      <c r="FA209" s="1496" t="s">
        <v>73</v>
      </c>
      <c r="FB209" s="13" t="s">
        <v>75</v>
      </c>
      <c r="FC209" s="518" t="s">
        <v>76</v>
      </c>
      <c r="FE209" s="74" t="s">
        <v>16</v>
      </c>
      <c r="FF209" s="75" t="str">
        <f>FF208</f>
        <v>R RODAJA DE MANITAS DE CERDO para terrinas | | Autor &gt; USTED</v>
      </c>
      <c r="FG209" s="75">
        <f>FG208</f>
        <v>1</v>
      </c>
      <c r="FH209" s="75" t="str">
        <f>FH208</f>
        <v>molde L 30 cm × A 9 cm × H 6 cm</v>
      </c>
      <c r="FI209" s="76" t="str">
        <f>FI208</f>
        <v>Receta madre ► Introduzca el nombre de la receta principal</v>
      </c>
      <c r="FJ209" s="13" t="s">
        <v>66</v>
      </c>
      <c r="FK209" s="13" t="s">
        <v>67</v>
      </c>
      <c r="FL209" s="13" t="s">
        <v>68</v>
      </c>
      <c r="FM209" s="13" t="s">
        <v>69</v>
      </c>
      <c r="FN209" s="77" t="s">
        <v>70</v>
      </c>
      <c r="FO209" s="78" t="s">
        <v>71</v>
      </c>
      <c r="FP209" s="79" t="s">
        <v>72</v>
      </c>
      <c r="FQ209" s="1496" t="s">
        <v>73</v>
      </c>
      <c r="FR209" s="13" t="s">
        <v>74</v>
      </c>
      <c r="FS209" s="518" t="s">
        <v>75</v>
      </c>
    </row>
    <row r="210" spans="2:192" ht="21" customHeight="1">
      <c r="B210" s="952" t="str">
        <f t="shared" si="36"/>
        <v>A</v>
      </c>
      <c r="C210" s="993" cm="1">
        <f t="array" ref="C210">SUMPRODUCT(LEN(D210:J210))</f>
        <v>0</v>
      </c>
      <c r="D210" s="167"/>
      <c r="E210" s="172"/>
      <c r="F210" s="172"/>
      <c r="G210" s="172"/>
      <c r="H210" s="172"/>
      <c r="I210" s="172"/>
      <c r="J210" s="173"/>
      <c r="K210"/>
      <c r="L210" s="104" t="str">
        <f t="shared" si="40"/>
        <v>A</v>
      </c>
      <c r="M210" s="32" t="str">
        <f>M200</f>
        <v>N NOTRE BOUDIN NOIR | | Auteur &gt; Guy KRENZE - Eric GODDYN - Arnaud NICOLAS - CEPROC 2002</v>
      </c>
      <c r="N210" s="33">
        <f>N200</f>
        <v>16.34</v>
      </c>
      <c r="O210" s="32" t="str">
        <f>O200</f>
        <v>Kg</v>
      </c>
      <c r="P210" s="34" t="str">
        <f>P200</f>
        <v>Recette mère ► le Boudin en 4 déclinaisons</v>
      </c>
      <c r="Q210" s="92"/>
      <c r="R210" s="108"/>
      <c r="S210" s="94" t="str">
        <f t="shared" si="37"/>
        <v/>
      </c>
      <c r="T210" s="95">
        <v>80</v>
      </c>
      <c r="U210" s="105" t="s">
        <v>99</v>
      </c>
      <c r="V210" s="127">
        <v>1</v>
      </c>
      <c r="W210" s="920" t="s">
        <v>13050</v>
      </c>
      <c r="X210" s="1495">
        <f>IF(OR(ISBLANK(Q198),X198=0),0,Q210*V199)</f>
        <v>0</v>
      </c>
      <c r="Y210" s="101">
        <f>IFERROR(_xlfn.LET(_xlpm.v,IFERROR(_xlfn.XLOOKUP(U210,Q241:Z241,Q242:Z242),_xlfn.XLOOKUP(U210,Q243:Z243,Q244:Z244)),_xlpm.v*T210*V210*V199*IF(ISBLANK(Q210),1,Q210)),0)</f>
        <v>2.4479804161566709E-2</v>
      </c>
      <c r="Z210" s="1476" t="str">
        <f>_xlfn.LET(_xlpm.unite,SUBSTITUTE(TRIM(U210)," (s)",""),_xlpm.val,Y210,_xlpm.estVol,COUNTIF(T241:Z241,_xlpm.unite)+COUNTIF(T243:Z243,_xlpm.unite)&gt;0,_xlpm.estPoids,COUNTIF(Q241:S241,_xlpm.unite)+COUNTIF(Q243:S243,_xlpm.unite)&gt;0,IF(_xlpm.estVol,IF(ROUND(_xlpm.val,3)&gt;=1,ROUND(_xlpm.val,3)&amp;" L",MAX(1,ROUND(_xlpm.val*100,0))&amp;" cl"),IF(_xlpm.estPoids,IF(ROUND(_xlpm.val,3)&gt;=1,ROUND(_xlpm.val,3)&amp;" Kg",MAX(1,ROUND(_xlpm.val*1000,0))&amp;" g"),"")))</f>
        <v>24 g</v>
      </c>
      <c r="AA210" s="5086"/>
      <c r="AB210" s="104" t="str">
        <f t="shared" si="41"/>
        <v>A</v>
      </c>
      <c r="AC210" s="32" t="str">
        <f>AC200</f>
        <v>O OUR BLACK PUDDING | |  Author &gt; Guy KRENZE - Eric GODDYN - Arnaud NICOLAS - CEPROC 2002</v>
      </c>
      <c r="AD210" s="33">
        <f>AD200</f>
        <v>16.34</v>
      </c>
      <c r="AE210" s="32" t="str">
        <f>AE200</f>
        <v>Kg</v>
      </c>
      <c r="AF210" s="34" t="str">
        <f>AF200</f>
        <v>Master recipe ► Black pudding in 4 variations</v>
      </c>
      <c r="AG210" s="92"/>
      <c r="AH210" s="108"/>
      <c r="AI210" s="94" t="str">
        <f t="shared" si="38"/>
        <v/>
      </c>
      <c r="AJ210" s="95">
        <v>80</v>
      </c>
      <c r="AK210" s="105" t="s">
        <v>99</v>
      </c>
      <c r="AL210" s="127">
        <v>1</v>
      </c>
      <c r="AM210" s="920" t="s">
        <v>13145</v>
      </c>
      <c r="AN210" s="1495">
        <f>IF(OR(ISBLANK(AG198),AN198=0),0,AG210*AL199)</f>
        <v>0</v>
      </c>
      <c r="AO210" s="101">
        <f>IFERROR(_xlfn.LET(_xlpm.v,IFERROR(_xlfn.XLOOKUP(AK210,AG241:AP241,AG242:AP242),_xlfn.XLOOKUP(AK210,AG243:AP243,AG244:AP244)),_xlpm.v*AJ210*AL210*AL199*IF(ISBLANK(AG210),1,AG210)),0)</f>
        <v>2.4479804161566709E-2</v>
      </c>
      <c r="AP210" s="1476" t="str">
        <f>_xlfn.LET(_xlpm.unite,SUBSTITUTE(TRIM(AK210)," (s)",""),_xlpm.val,AO210,_xlpm.estVol,COUNTIF(AJ241:AP241,_xlpm.unite)+COUNTIF(AJ243:AP243,_xlpm.unite)&gt;0,_xlpm.estPoids,COUNTIF(AG241:AI241,_xlpm.unite)+COUNTIF(AG243:AI243,_xlpm.unite)&gt;0,IF(_xlpm.estVol,IF(ROUND(_xlpm.val,3)&gt;=1,ROUND(_xlpm.val,3)&amp;" L",MAX(1,ROUND(_xlpm.val*100,0))&amp;" cl"),IF(_xlpm.estPoids,IF(ROUND(_xlpm.val,3)&gt;=1,ROUND(_xlpm.val,3)&amp;" Kg",MAX(1,ROUND(_xlpm.val*1000,0))&amp;" g"),"")))</f>
        <v>24 g</v>
      </c>
      <c r="AQ210" s="5086"/>
      <c r="AR210" s="104" t="str">
        <f t="shared" si="42"/>
        <v>A</v>
      </c>
      <c r="AS210" s="32" t="str">
        <f>AS200</f>
        <v>N NUESTRA MORCILLA | | Autor &gt; Guy KRENZE - Eric GODDYN - Arnaud NICOLAS - CEPROC 2002</v>
      </c>
      <c r="AT210" s="33">
        <f>AT200</f>
        <v>16.34</v>
      </c>
      <c r="AU210" s="32" t="str">
        <f>AU200</f>
        <v>Kg</v>
      </c>
      <c r="AV210" s="34" t="str">
        <f>AV200</f>
        <v>Receta madre ► Morcilla en 4 versiones</v>
      </c>
      <c r="AW210" s="92"/>
      <c r="AX210" s="108"/>
      <c r="AY210" s="94" t="str">
        <f t="shared" si="39"/>
        <v/>
      </c>
      <c r="AZ210" s="95">
        <v>80</v>
      </c>
      <c r="BA210" s="105" t="s">
        <v>99</v>
      </c>
      <c r="BB210" s="127">
        <v>1</v>
      </c>
      <c r="BC210" s="920" t="s">
        <v>13161</v>
      </c>
      <c r="BD210" s="1495">
        <f>IF(OR(ISBLANK(AW198),BD198=0),0,AW210*BB199)</f>
        <v>0</v>
      </c>
      <c r="BE210" s="101">
        <f>IFERROR(_xlfn.LET(_xlpm.v,IFERROR(_xlfn.XLOOKUP(BA210,AW241:BF241,AW242:BF242),_xlfn.XLOOKUP(BA210,AW243:BF243,AW244:BF244)),_xlpm.v*AZ210*BB210*BB199*IF(ISBLANK(AW210),1,AW210)),0)</f>
        <v>2.4479804161566709E-2</v>
      </c>
      <c r="BF210" s="1476" t="str">
        <f>_xlfn.LET(_xlpm.unite,SUBSTITUTE(TRIM(BA210)," (s)",""),_xlpm.val,BE210,_xlpm.estVol,COUNTIF(AZ241:BF241,_xlpm.unite)+COUNTIF(AZ243:BF243,_xlpm.unite)&gt;0,_xlpm.estPoids,COUNTIF(AW241:AY241,_xlpm.unite)+COUNTIF(AW243:AY243,_xlpm.unite)&gt;0,IF(_xlpm.estVol,IF(ROUND(_xlpm.val,3)&gt;=1,ROUND(_xlpm.val,3)&amp;" L",MAX(1,ROUND(_xlpm.val*100,0))&amp;" cl"),IF(_xlpm.estPoids,IF(ROUND(_xlpm.val,3)&gt;=1,ROUND(_xlpm.val,3)&amp;" Kg",MAX(1,ROUND(_xlpm.val*1000,0))&amp;" g"),"")))</f>
        <v>24 g</v>
      </c>
      <c r="BG210" s="5086"/>
      <c r="BH210" s="104"/>
      <c r="BI210" s="32"/>
      <c r="BJ210" s="33"/>
      <c r="BK210" s="32"/>
      <c r="BL210" s="34"/>
      <c r="BM210" s="92"/>
      <c r="BN210" s="108"/>
      <c r="BO210" s="94"/>
      <c r="BP210" s="95"/>
      <c r="BQ210" s="105"/>
      <c r="BR210" s="5101"/>
      <c r="BS210" s="920"/>
      <c r="BT210" s="1495"/>
      <c r="BU210" s="101"/>
      <c r="BV210" s="1475"/>
      <c r="BW210" s="5086"/>
      <c r="BX210" s="104"/>
      <c r="BY210" s="32"/>
      <c r="BZ210" s="33"/>
      <c r="CA210" s="32"/>
      <c r="CB210" s="34"/>
      <c r="CC210" s="92"/>
      <c r="CD210" s="108"/>
      <c r="CE210" s="94"/>
      <c r="CF210" s="95"/>
      <c r="CG210" s="105"/>
      <c r="CH210" s="5101"/>
      <c r="CI210" s="920"/>
      <c r="CJ210" s="1495"/>
      <c r="CK210" s="101"/>
      <c r="CL210" s="1475"/>
      <c r="CM210" s="5086"/>
      <c r="CN210" s="104"/>
      <c r="CO210" s="32"/>
      <c r="CP210" s="33"/>
      <c r="CQ210" s="32"/>
      <c r="CR210" s="34"/>
      <c r="CS210" s="92"/>
      <c r="CT210" s="108"/>
      <c r="CU210" s="94"/>
      <c r="CV210" s="95"/>
      <c r="CW210" s="105"/>
      <c r="CX210" s="5101"/>
      <c r="CY210" s="920"/>
      <c r="CZ210" s="1495"/>
      <c r="DA210" s="101"/>
      <c r="DB210" s="1475"/>
      <c r="DC210" s="5109"/>
      <c r="DD210" s="5078"/>
      <c r="DF210" s="3">
        <v>1</v>
      </c>
      <c r="EY210" s="5466" t="s">
        <v>81</v>
      </c>
      <c r="EZ210" s="84" t="s">
        <v>82</v>
      </c>
      <c r="FA210" s="5444" t="s">
        <v>244</v>
      </c>
      <c r="FB210" s="5446" t="s">
        <v>890</v>
      </c>
      <c r="FC210" s="5448" t="s">
        <v>247</v>
      </c>
      <c r="FE210" s="27" t="s">
        <v>11</v>
      </c>
      <c r="FF210" s="32" t="str">
        <f>FF208</f>
        <v>R RODAJA DE MANITAS DE CERDO para terrinas | | Autor &gt; USTED</v>
      </c>
      <c r="FG210" s="33">
        <f>FG208</f>
        <v>1</v>
      </c>
      <c r="FH210" s="32" t="str">
        <f>FH208</f>
        <v>molde L 30 cm × A 9 cm × H 6 cm</v>
      </c>
      <c r="FI210" s="34" t="str">
        <f>FI208</f>
        <v>Receta madre ► Introduzca el nombre de la receta principal</v>
      </c>
      <c r="FJ210" s="81" t="s">
        <v>77</v>
      </c>
      <c r="FK210" s="82" t="s">
        <v>78</v>
      </c>
      <c r="FL210" s="83"/>
      <c r="FM210" s="5470" t="s">
        <v>229</v>
      </c>
      <c r="FN210" s="5495" t="s">
        <v>80</v>
      </c>
      <c r="FO210" s="5481" t="s">
        <v>396</v>
      </c>
      <c r="FP210" s="84" t="s">
        <v>82</v>
      </c>
      <c r="FQ210" s="5444" t="s">
        <v>249</v>
      </c>
      <c r="FR210" s="5446" t="s">
        <v>907</v>
      </c>
      <c r="FS210" s="5448" t="s">
        <v>252</v>
      </c>
      <c r="FW210" s="988"/>
      <c r="FX210" s="988" t="s">
        <v>825</v>
      </c>
      <c r="FY210" s="988" t="s">
        <v>826</v>
      </c>
    </row>
    <row r="211" spans="2:192" ht="21" customHeight="1">
      <c r="B211" s="952" t="str">
        <f t="shared" si="36"/>
        <v>A</v>
      </c>
      <c r="C211" s="993" cm="1">
        <f t="array" ref="C211">SUMPRODUCT(LEN(D211:J211))</f>
        <v>0</v>
      </c>
      <c r="D211" s="167"/>
      <c r="E211" s="172"/>
      <c r="F211" s="172"/>
      <c r="G211" s="172"/>
      <c r="H211" s="172"/>
      <c r="I211" s="172"/>
      <c r="J211" s="173"/>
      <c r="K211"/>
      <c r="L211" s="104" t="str">
        <f t="shared" si="40"/>
        <v>A</v>
      </c>
      <c r="M211" s="32" t="str">
        <f>M200</f>
        <v>N NOTRE BOUDIN NOIR | | Auteur &gt; Guy KRENZE - Eric GODDYN - Arnaud NICOLAS - CEPROC 2002</v>
      </c>
      <c r="N211" s="33">
        <f>N200</f>
        <v>16.34</v>
      </c>
      <c r="O211" s="32" t="str">
        <f>O200</f>
        <v>Kg</v>
      </c>
      <c r="P211" s="34" t="str">
        <f>P200</f>
        <v>Recette mère ► le Boudin en 4 déclinaisons</v>
      </c>
      <c r="Q211" s="92"/>
      <c r="R211" s="108"/>
      <c r="S211" s="94" t="str">
        <f t="shared" si="37"/>
        <v/>
      </c>
      <c r="T211" s="95">
        <v>50</v>
      </c>
      <c r="U211" s="105" t="s">
        <v>99</v>
      </c>
      <c r="V211" s="127">
        <v>1</v>
      </c>
      <c r="W211" s="920" t="s">
        <v>13051</v>
      </c>
      <c r="X211" s="1495">
        <f>IF(OR(ISBLANK(Q198),X198=0),0,Q211*V199)</f>
        <v>0</v>
      </c>
      <c r="Y211" s="101">
        <f>IFERROR(_xlfn.LET(_xlpm.v,IFERROR(_xlfn.XLOOKUP(U211,Q241:Z241,Q242:Z242),_xlfn.XLOOKUP(U211,Q243:Z243,Q244:Z244)),_xlpm.v*T211*V211*V199*IF(ISBLANK(Q211),1,Q211)),0)</f>
        <v>1.5299877600979193E-2</v>
      </c>
      <c r="Z211" s="1475" t="str">
        <f>_xlfn.LET(_xlpm.unite,SUBSTITUTE(TRIM(U211)," (s)",""),_xlpm.val,Y211,_xlpm.estVol,COUNTIF(T241:Z241,_xlpm.unite)+COUNTIF(T243:Z243,_xlpm.unite)&gt;0,_xlpm.estPoids,COUNTIF(Q241:S241,_xlpm.unite)+COUNTIF(Q243:S243,_xlpm.unite)&gt;0,IF(_xlpm.estVol,IF(ROUND(_xlpm.val,3)&gt;=1,ROUND(_xlpm.val,3)&amp;" L",MAX(1,ROUND(_xlpm.val*100,0))&amp;" cl"),IF(_xlpm.estPoids,IF(ROUND(_xlpm.val,3)&gt;=1,ROUND(_xlpm.val,3)&amp;" Kg",MAX(1,ROUND(_xlpm.val*1000,0))&amp;" g"),"")))</f>
        <v>15 g</v>
      </c>
      <c r="AA211" s="5086"/>
      <c r="AB211" s="104" t="str">
        <f t="shared" si="41"/>
        <v>A</v>
      </c>
      <c r="AC211" s="32" t="str">
        <f>AC200</f>
        <v>O OUR BLACK PUDDING | |  Author &gt; Guy KRENZE - Eric GODDYN - Arnaud NICOLAS - CEPROC 2002</v>
      </c>
      <c r="AD211" s="33">
        <f>AD200</f>
        <v>16.34</v>
      </c>
      <c r="AE211" s="32" t="str">
        <f>AE200</f>
        <v>Kg</v>
      </c>
      <c r="AF211" s="34" t="str">
        <f>AF200</f>
        <v>Master recipe ► Black pudding in 4 variations</v>
      </c>
      <c r="AG211" s="92"/>
      <c r="AH211" s="108"/>
      <c r="AI211" s="94" t="str">
        <f t="shared" si="38"/>
        <v/>
      </c>
      <c r="AJ211" s="95">
        <v>50</v>
      </c>
      <c r="AK211" s="105" t="s">
        <v>99</v>
      </c>
      <c r="AL211" s="127">
        <v>1</v>
      </c>
      <c r="AM211" s="920" t="s">
        <v>13146</v>
      </c>
      <c r="AN211" s="1495">
        <f>IF(OR(ISBLANK(AG198),AN198=0),0,AG211*AL199)</f>
        <v>0</v>
      </c>
      <c r="AO211" s="101">
        <f>IFERROR(_xlfn.LET(_xlpm.v,IFERROR(_xlfn.XLOOKUP(AK211,AG241:AP241,AG242:AP242),_xlfn.XLOOKUP(AK211,AG243:AP243,AG244:AP244)),_xlpm.v*AJ211*AL211*AL199*IF(ISBLANK(AG211),1,AG211)),0)</f>
        <v>1.5299877600979193E-2</v>
      </c>
      <c r="AP211" s="1475" t="str">
        <f>_xlfn.LET(_xlpm.unite,SUBSTITUTE(TRIM(AK211)," (s)",""),_xlpm.val,AO211,_xlpm.estVol,COUNTIF(AJ241:AP241,_xlpm.unite)+COUNTIF(AJ243:AP243,_xlpm.unite)&gt;0,_xlpm.estPoids,COUNTIF(AG241:AI241,_xlpm.unite)+COUNTIF(AG243:AI243,_xlpm.unite)&gt;0,IF(_xlpm.estVol,IF(ROUND(_xlpm.val,3)&gt;=1,ROUND(_xlpm.val,3)&amp;" L",MAX(1,ROUND(_xlpm.val*100,0))&amp;" cl"),IF(_xlpm.estPoids,IF(ROUND(_xlpm.val,3)&gt;=1,ROUND(_xlpm.val,3)&amp;" Kg",MAX(1,ROUND(_xlpm.val*1000,0))&amp;" g"),"")))</f>
        <v>15 g</v>
      </c>
      <c r="AQ211" s="5086"/>
      <c r="AR211" s="104" t="str">
        <f t="shared" si="42"/>
        <v>A</v>
      </c>
      <c r="AS211" s="32" t="str">
        <f>AS200</f>
        <v>N NUESTRA MORCILLA | | Autor &gt; Guy KRENZE - Eric GODDYN - Arnaud NICOLAS - CEPROC 2002</v>
      </c>
      <c r="AT211" s="33">
        <f>AT200</f>
        <v>16.34</v>
      </c>
      <c r="AU211" s="32" t="str">
        <f>AU200</f>
        <v>Kg</v>
      </c>
      <c r="AV211" s="34" t="str">
        <f>AV200</f>
        <v>Receta madre ► Morcilla en 4 versiones</v>
      </c>
      <c r="AW211" s="92"/>
      <c r="AX211" s="108"/>
      <c r="AY211" s="94" t="str">
        <f t="shared" si="39"/>
        <v/>
      </c>
      <c r="AZ211" s="95">
        <v>50</v>
      </c>
      <c r="BA211" s="105" t="s">
        <v>99</v>
      </c>
      <c r="BB211" s="127">
        <v>1</v>
      </c>
      <c r="BC211" s="920" t="s">
        <v>13162</v>
      </c>
      <c r="BD211" s="1495">
        <f>IF(OR(ISBLANK(AW198),BD198=0),0,AW211*BB199)</f>
        <v>0</v>
      </c>
      <c r="BE211" s="101">
        <f>IFERROR(_xlfn.LET(_xlpm.v,IFERROR(_xlfn.XLOOKUP(BA211,AW241:BF241,AW242:BF242),_xlfn.XLOOKUP(BA211,AW243:BF243,AW244:BF244)),_xlpm.v*AZ211*BB211*BB199*IF(ISBLANK(AW211),1,AW211)),0)</f>
        <v>1.5299877600979193E-2</v>
      </c>
      <c r="BF211" s="1475" t="str">
        <f>_xlfn.LET(_xlpm.unite,SUBSTITUTE(TRIM(BA211)," (s)",""),_xlpm.val,BE211,_xlpm.estVol,COUNTIF(AZ241:BF241,_xlpm.unite)+COUNTIF(AZ243:BF243,_xlpm.unite)&gt;0,_xlpm.estPoids,COUNTIF(AW241:AY241,_xlpm.unite)+COUNTIF(AW243:AY243,_xlpm.unite)&gt;0,IF(_xlpm.estVol,IF(ROUND(_xlpm.val,3)&gt;=1,ROUND(_xlpm.val,3)&amp;" L",MAX(1,ROUND(_xlpm.val*100,0))&amp;" cl"),IF(_xlpm.estPoids,IF(ROUND(_xlpm.val,3)&gt;=1,ROUND(_xlpm.val,3)&amp;" Kg",MAX(1,ROUND(_xlpm.val*1000,0))&amp;" g"),"")))</f>
        <v>15 g</v>
      </c>
      <c r="BG211" s="5086"/>
      <c r="BH211" s="104"/>
      <c r="BI211" s="32"/>
      <c r="BJ211" s="33"/>
      <c r="BK211" s="32"/>
      <c r="BL211" s="34"/>
      <c r="BM211" s="92"/>
      <c r="BN211" s="108"/>
      <c r="BO211" s="94"/>
      <c r="BP211" s="95"/>
      <c r="BQ211" s="105"/>
      <c r="BR211" s="5101"/>
      <c r="BS211" s="920"/>
      <c r="BT211" s="1495"/>
      <c r="BU211" s="101"/>
      <c r="BV211" s="1475"/>
      <c r="BW211" s="5086"/>
      <c r="BX211" s="104"/>
      <c r="BY211" s="32"/>
      <c r="BZ211" s="33"/>
      <c r="CA211" s="32"/>
      <c r="CB211" s="34"/>
      <c r="CC211" s="92"/>
      <c r="CD211" s="108"/>
      <c r="CE211" s="94"/>
      <c r="CF211" s="95"/>
      <c r="CG211" s="105"/>
      <c r="CH211" s="5101"/>
      <c r="CI211" s="920"/>
      <c r="CJ211" s="1495"/>
      <c r="CK211" s="101"/>
      <c r="CL211" s="1475"/>
      <c r="CM211" s="5086"/>
      <c r="CN211" s="104"/>
      <c r="CO211" s="32"/>
      <c r="CP211" s="33"/>
      <c r="CQ211" s="32"/>
      <c r="CR211" s="34"/>
      <c r="CS211" s="92"/>
      <c r="CT211" s="108"/>
      <c r="CU211" s="94"/>
      <c r="CV211" s="95"/>
      <c r="CW211" s="105"/>
      <c r="CX211" s="5101"/>
      <c r="CY211" s="920"/>
      <c r="CZ211" s="1495"/>
      <c r="DA211" s="101"/>
      <c r="DB211" s="1475"/>
      <c r="DC211" s="5109"/>
      <c r="DD211" s="5078"/>
      <c r="DF211" s="3">
        <v>1</v>
      </c>
      <c r="EY211" s="5467"/>
      <c r="EZ211" s="90" t="s">
        <v>867</v>
      </c>
      <c r="FA211" s="5445"/>
      <c r="FB211" s="5447"/>
      <c r="FC211" s="5449"/>
      <c r="FE211" s="27" t="s">
        <v>11</v>
      </c>
      <c r="FF211" s="32" t="str">
        <f>FF208</f>
        <v>R RODAJA DE MANITAS DE CERDO para terrinas | | Autor &gt; USTED</v>
      </c>
      <c r="FG211" s="33">
        <f>FG208</f>
        <v>1</v>
      </c>
      <c r="FH211" s="32" t="str">
        <f>FH208</f>
        <v>molde L 30 cm × A 9 cm × H 6 cm</v>
      </c>
      <c r="FI211" s="34" t="str">
        <f>FI208</f>
        <v>Receta madre ► Introduzca el nombre de la receta principal</v>
      </c>
      <c r="FJ211" s="87" t="s">
        <v>234</v>
      </c>
      <c r="FK211" s="88" t="s">
        <v>235</v>
      </c>
      <c r="FL211" s="89" t="s">
        <v>93</v>
      </c>
      <c r="FM211" s="5455"/>
      <c r="FN211" s="5465"/>
      <c r="FO211" s="5467"/>
      <c r="FP211" s="90" t="s">
        <v>869</v>
      </c>
      <c r="FQ211" s="5445"/>
      <c r="FR211" s="5447"/>
      <c r="FS211" s="5449"/>
      <c r="FW211" s="5046" t="s">
        <v>12856</v>
      </c>
      <c r="FX211" s="5046" t="s">
        <v>12950</v>
      </c>
      <c r="FY211" s="5046" t="s">
        <v>12951</v>
      </c>
    </row>
    <row r="212" spans="2:192" ht="21" customHeight="1">
      <c r="B212" s="952" t="str">
        <f t="shared" si="36"/>
        <v>A</v>
      </c>
      <c r="C212" s="993" cm="1">
        <f t="array" ref="C212">SUMPRODUCT(LEN(D212:J212))</f>
        <v>0</v>
      </c>
      <c r="D212" s="167"/>
      <c r="E212" s="172"/>
      <c r="F212" s="172"/>
      <c r="G212" s="172"/>
      <c r="H212" s="172"/>
      <c r="I212" s="172"/>
      <c r="J212" s="173"/>
      <c r="K212"/>
      <c r="L212" s="104" t="str">
        <f t="shared" si="40"/>
        <v>A</v>
      </c>
      <c r="M212" s="32" t="str">
        <f>M200</f>
        <v>N NOTRE BOUDIN NOIR | | Auteur &gt; Guy KRENZE - Eric GODDYN - Arnaud NICOLAS - CEPROC 2002</v>
      </c>
      <c r="N212" s="33">
        <f>N200</f>
        <v>16.34</v>
      </c>
      <c r="O212" s="32" t="str">
        <f>O200</f>
        <v>Kg</v>
      </c>
      <c r="P212" s="34" t="str">
        <f>P200</f>
        <v>Recette mère ► le Boudin en 4 déclinaisons</v>
      </c>
      <c r="Q212" s="92"/>
      <c r="R212" s="108"/>
      <c r="S212" s="94" t="str">
        <f t="shared" si="37"/>
        <v/>
      </c>
      <c r="T212" s="95">
        <v>7</v>
      </c>
      <c r="U212" s="105" t="s">
        <v>99</v>
      </c>
      <c r="V212" s="127">
        <v>1</v>
      </c>
      <c r="W212" s="920" t="s">
        <v>13052</v>
      </c>
      <c r="X212" s="1495">
        <f>IF(OR(ISBLANK(Q198),X198=0),0,Q212*V199)</f>
        <v>0</v>
      </c>
      <c r="Y212" s="101">
        <f>IFERROR(_xlfn.LET(_xlpm.v,IFERROR(_xlfn.XLOOKUP(U212,Q241:Z241,Q242:Z242),_xlfn.XLOOKUP(U212,Q243:Z243,Q244:Z244)),_xlpm.v*T212*V212*V199*IF(ISBLANK(Q212),1,Q212)),0)</f>
        <v>2.1419828641370867E-3</v>
      </c>
      <c r="Z212" s="1476" t="str">
        <f>_xlfn.LET(_xlpm.unite,SUBSTITUTE(TRIM(U212)," (s)",""),_xlpm.val,Y212,_xlpm.estVol,COUNTIF(T241:Z241,_xlpm.unite)+COUNTIF(T243:Z243,_xlpm.unite)&gt;0,_xlpm.estPoids,COUNTIF(Q241:S241,_xlpm.unite)+COUNTIF(Q243:S243,_xlpm.unite)&gt;0,IF(_xlpm.estVol,IF(ROUND(_xlpm.val,3)&gt;=1,ROUND(_xlpm.val,3)&amp;" L",MAX(1,ROUND(_xlpm.val*100,0))&amp;" cl"),IF(_xlpm.estPoids,IF(ROUND(_xlpm.val,3)&gt;=1,ROUND(_xlpm.val,3)&amp;" Kg",MAX(1,ROUND(_xlpm.val*1000,0))&amp;" g"),"")))</f>
        <v>2 g</v>
      </c>
      <c r="AA212" s="5086"/>
      <c r="AB212" s="104" t="str">
        <f t="shared" si="41"/>
        <v>A</v>
      </c>
      <c r="AC212" s="32" t="str">
        <f>AC200</f>
        <v>O OUR BLACK PUDDING | |  Author &gt; Guy KRENZE - Eric GODDYN - Arnaud NICOLAS - CEPROC 2002</v>
      </c>
      <c r="AD212" s="33">
        <f>AD200</f>
        <v>16.34</v>
      </c>
      <c r="AE212" s="32" t="str">
        <f>AE200</f>
        <v>Kg</v>
      </c>
      <c r="AF212" s="34" t="str">
        <f>AF200</f>
        <v>Master recipe ► Black pudding in 4 variations</v>
      </c>
      <c r="AG212" s="92"/>
      <c r="AH212" s="108"/>
      <c r="AI212" s="94" t="str">
        <f t="shared" si="38"/>
        <v/>
      </c>
      <c r="AJ212" s="95">
        <v>7</v>
      </c>
      <c r="AK212" s="105" t="s">
        <v>99</v>
      </c>
      <c r="AL212" s="127">
        <v>1</v>
      </c>
      <c r="AM212" s="920" t="s">
        <v>13147</v>
      </c>
      <c r="AN212" s="1495">
        <f>IF(OR(ISBLANK(AG198),AN198=0),0,AG212*AL199)</f>
        <v>0</v>
      </c>
      <c r="AO212" s="101">
        <f>IFERROR(_xlfn.LET(_xlpm.v,IFERROR(_xlfn.XLOOKUP(AK212,AG241:AP241,AG242:AP242),_xlfn.XLOOKUP(AK212,AG243:AP243,AG244:AP244)),_xlpm.v*AJ212*AL212*AL199*IF(ISBLANK(AG212),1,AG212)),0)</f>
        <v>2.1419828641370867E-3</v>
      </c>
      <c r="AP212" s="1476" t="str">
        <f>_xlfn.LET(_xlpm.unite,SUBSTITUTE(TRIM(AK212)," (s)",""),_xlpm.val,AO212,_xlpm.estVol,COUNTIF(AJ241:AP241,_xlpm.unite)+COUNTIF(AJ243:AP243,_xlpm.unite)&gt;0,_xlpm.estPoids,COUNTIF(AG241:AI241,_xlpm.unite)+COUNTIF(AG243:AI243,_xlpm.unite)&gt;0,IF(_xlpm.estVol,IF(ROUND(_xlpm.val,3)&gt;=1,ROUND(_xlpm.val,3)&amp;" L",MAX(1,ROUND(_xlpm.val*100,0))&amp;" cl"),IF(_xlpm.estPoids,IF(ROUND(_xlpm.val,3)&gt;=1,ROUND(_xlpm.val,3)&amp;" Kg",MAX(1,ROUND(_xlpm.val*1000,0))&amp;" g"),"")))</f>
        <v>2 g</v>
      </c>
      <c r="AQ212" s="5086"/>
      <c r="AR212" s="104" t="str">
        <f t="shared" si="42"/>
        <v>A</v>
      </c>
      <c r="AS212" s="32" t="str">
        <f>AS200</f>
        <v>N NUESTRA MORCILLA | | Autor &gt; Guy KRENZE - Eric GODDYN - Arnaud NICOLAS - CEPROC 2002</v>
      </c>
      <c r="AT212" s="33">
        <f>AT200</f>
        <v>16.34</v>
      </c>
      <c r="AU212" s="32" t="str">
        <f>AU200</f>
        <v>Kg</v>
      </c>
      <c r="AV212" s="34" t="str">
        <f>AV200</f>
        <v>Receta madre ► Morcilla en 4 versiones</v>
      </c>
      <c r="AW212" s="92"/>
      <c r="AX212" s="108"/>
      <c r="AY212" s="94" t="str">
        <f t="shared" si="39"/>
        <v/>
      </c>
      <c r="AZ212" s="95">
        <v>7</v>
      </c>
      <c r="BA212" s="105" t="s">
        <v>99</v>
      </c>
      <c r="BB212" s="127">
        <v>1</v>
      </c>
      <c r="BC212" s="920" t="s">
        <v>13163</v>
      </c>
      <c r="BD212" s="1495">
        <f>IF(OR(ISBLANK(AW198),BD198=0),0,AW212*BB199)</f>
        <v>0</v>
      </c>
      <c r="BE212" s="101">
        <f>IFERROR(_xlfn.LET(_xlpm.v,IFERROR(_xlfn.XLOOKUP(BA212,AW241:BF241,AW242:BF242),_xlfn.XLOOKUP(BA212,AW243:BF243,AW244:BF244)),_xlpm.v*AZ212*BB212*BB199*IF(ISBLANK(AW212),1,AW212)),0)</f>
        <v>2.1419828641370867E-3</v>
      </c>
      <c r="BF212" s="1476" t="str">
        <f>_xlfn.LET(_xlpm.unite,SUBSTITUTE(TRIM(BA212)," (s)",""),_xlpm.val,BE212,_xlpm.estVol,COUNTIF(AZ241:BF241,_xlpm.unite)+COUNTIF(AZ243:BF243,_xlpm.unite)&gt;0,_xlpm.estPoids,COUNTIF(AW241:AY241,_xlpm.unite)+COUNTIF(AW243:AY243,_xlpm.unite)&gt;0,IF(_xlpm.estVol,IF(ROUND(_xlpm.val,3)&gt;=1,ROUND(_xlpm.val,3)&amp;" L",MAX(1,ROUND(_xlpm.val*100,0))&amp;" cl"),IF(_xlpm.estPoids,IF(ROUND(_xlpm.val,3)&gt;=1,ROUND(_xlpm.val,3)&amp;" Kg",MAX(1,ROUND(_xlpm.val*1000,0))&amp;" g"),"")))</f>
        <v>2 g</v>
      </c>
      <c r="BG212" s="5086"/>
      <c r="BH212" s="104"/>
      <c r="BI212" s="32"/>
      <c r="BJ212" s="33"/>
      <c r="BK212" s="32"/>
      <c r="BL212" s="34"/>
      <c r="BM212" s="92"/>
      <c r="BN212" s="108"/>
      <c r="BO212" s="94"/>
      <c r="BP212" s="95"/>
      <c r="BQ212" s="105"/>
      <c r="BR212" s="5101"/>
      <c r="BS212" s="920"/>
      <c r="BT212" s="1495"/>
      <c r="BU212" s="101"/>
      <c r="BV212" s="1475"/>
      <c r="BW212" s="5086"/>
      <c r="BX212" s="104"/>
      <c r="BY212" s="32"/>
      <c r="BZ212" s="33"/>
      <c r="CA212" s="32"/>
      <c r="CB212" s="34"/>
      <c r="CC212" s="92"/>
      <c r="CD212" s="108"/>
      <c r="CE212" s="94"/>
      <c r="CF212" s="95"/>
      <c r="CG212" s="105"/>
      <c r="CH212" s="5101"/>
      <c r="CI212" s="920"/>
      <c r="CJ212" s="1495"/>
      <c r="CK212" s="101"/>
      <c r="CL212" s="1475"/>
      <c r="CM212" s="5086"/>
      <c r="CN212" s="104"/>
      <c r="CO212" s="32"/>
      <c r="CP212" s="33"/>
      <c r="CQ212" s="32"/>
      <c r="CR212" s="34"/>
      <c r="CS212" s="92"/>
      <c r="CT212" s="108"/>
      <c r="CU212" s="94"/>
      <c r="CV212" s="95"/>
      <c r="CW212" s="105"/>
      <c r="CX212" s="5101"/>
      <c r="CY212" s="920"/>
      <c r="CZ212" s="1495"/>
      <c r="DA212" s="101"/>
      <c r="DB212" s="1475"/>
      <c r="DC212" s="5109"/>
      <c r="DD212" s="5092"/>
      <c r="DF212" s="3">
        <v>1</v>
      </c>
      <c r="EY212" s="127">
        <v>1</v>
      </c>
      <c r="EZ212" s="919"/>
      <c r="FA212" s="100">
        <f>IF(OR(ISBLANK(ET206),FA206=0),0,ET212*EY207)</f>
        <v>0</v>
      </c>
      <c r="FB212" s="101">
        <f>IFERROR(_xlfn.LET(_xlpm.v,IFERROR(_xlfn.XLOOKUP(EX212,#REF!,#REF!),_xlfn.XLOOKUP(EX212,#REF!,#REF!)),_xlpm.v*EW212*EY212*EY207*IF(ISBLANK(ET212),1,ET212)),0)</f>
        <v>0</v>
      </c>
      <c r="FC212" s="1476" t="e">
        <f>_xlfn.LET(_xlpm.unite,SUBSTITUTE(TRIM(EX212)," (s)",""),_xlpm.val,FB212,_xlpm.estVol,COUNTIF(#REF!,_xlpm.unite)+COUNTIF(#REF!,_xlpm.unite)&gt;0,_xlpm.estPoids,COUNTIF(#REF!,_xlpm.unite)+COUNTIF(#REF!,_xlpm.unite)&gt;0,IF(_xlpm.estVol,IF(ROUND(_xlpm.val,3)&gt;=1,ROUND(_xlpm.val,3)&amp;" L",MAX(1,ROUND(_xlpm.val*100,0))&amp;" cl"),IF(_xlpm.estPoids,IF(ROUND(_xlpm.val,3)&gt;=1,ROUND(_xlpm.val,3)&amp;" Kg",MAX(1,ROUND(_xlpm.val*1000,0))&amp;" g"),"")))</f>
        <v>#REF!</v>
      </c>
      <c r="FE212" s="27" t="s">
        <v>11</v>
      </c>
      <c r="FF212" s="32" t="str">
        <f>FF208</f>
        <v>R RODAJA DE MANITAS DE CERDO para terrinas | | Autor &gt; USTED</v>
      </c>
      <c r="FG212" s="33">
        <f>FG208</f>
        <v>1</v>
      </c>
      <c r="FH212" s="32" t="str">
        <f>FH208</f>
        <v>molde L 30 cm × A 9 cm × H 6 cm</v>
      </c>
      <c r="FI212" s="34" t="str">
        <f>FI208</f>
        <v>Receta madre ► Introduzca el nombre de la receta principal</v>
      </c>
      <c r="FJ212" s="92"/>
      <c r="FK212" s="93"/>
      <c r="FL212" s="94" t="str">
        <f t="shared" ref="FL212:FL222" si="43">IF(OR(ISTEXT(FJ212), FJ212&lt;=0, FM212&lt;=0), "", "de")</f>
        <v/>
      </c>
      <c r="FM212" s="95"/>
      <c r="FN212" s="126"/>
      <c r="FO212" s="127">
        <v>1</v>
      </c>
      <c r="FP212" s="919"/>
      <c r="FQ212" s="100">
        <f>IF(OR(ISBLANK(FJ206),FQ206=0),0,FJ212*FO207)</f>
        <v>0</v>
      </c>
      <c r="FR212" s="101">
        <f>IFERROR(_xlfn.LET(_xlpm.v,IFERROR(_xlfn.XLOOKUP(FN212,#REF!,#REF!),_xlfn.XLOOKUP(FN212,#REF!,#REF!)),_xlpm.v*FM212*FO212*FO207*IF(ISBLANK(FJ212),1,FJ212)),0)</f>
        <v>0</v>
      </c>
      <c r="FS212" s="1476" t="e">
        <f>_xlfn.LET(_xlpm.unite,SUBSTITUTE(TRIM(FN212)," (s)",""),_xlpm.val,FR212,_xlpm.estVol,COUNTIF(#REF!,_xlpm.unite)+COUNTIF(#REF!,_xlpm.unite)&gt;0,_xlpm.estPoids,COUNTIF(#REF!,_xlpm.unite)+COUNTIF(#REF!,_xlpm.unite)&gt;0,IF(_xlpm.estVol,IF(ROUND(_xlpm.val,3)&gt;=1,ROUND(_xlpm.val,3)&amp;" L",MAX(1,ROUND(_xlpm.val*100,0))&amp;" cl"),IF(_xlpm.estPoids,IF(ROUND(_xlpm.val,3)&gt;=1,ROUND(_xlpm.val,3)&amp;" Kg",MAX(1,ROUND(_xlpm.val*1000,0))&amp;" g"),"")))</f>
        <v>#REF!</v>
      </c>
      <c r="FW212" s="852" t="s">
        <v>12848</v>
      </c>
      <c r="FX212" s="852" t="s">
        <v>12952</v>
      </c>
      <c r="FY212" s="852" t="s">
        <v>12953</v>
      </c>
    </row>
    <row r="213" spans="2:192" ht="21" customHeight="1">
      <c r="B213" s="952" t="str">
        <f t="shared" si="36"/>
        <v>A</v>
      </c>
      <c r="C213" s="993" cm="1">
        <f t="array" ref="C213">SUMPRODUCT(LEN(D213:J213))</f>
        <v>0</v>
      </c>
      <c r="D213" s="167"/>
      <c r="E213" s="172"/>
      <c r="F213" s="172"/>
      <c r="G213" s="172"/>
      <c r="H213" s="172"/>
      <c r="I213" s="172"/>
      <c r="J213" s="173"/>
      <c r="K213"/>
      <c r="L213" s="104" t="str">
        <f t="shared" si="40"/>
        <v>A</v>
      </c>
      <c r="M213" s="32" t="str">
        <f>M200</f>
        <v>N NOTRE BOUDIN NOIR | | Auteur &gt; Guy KRENZE - Eric GODDYN - Arnaud NICOLAS - CEPROC 2002</v>
      </c>
      <c r="N213" s="33">
        <f>N200</f>
        <v>16.34</v>
      </c>
      <c r="O213" s="32" t="str">
        <f>O200</f>
        <v>Kg</v>
      </c>
      <c r="P213" s="34" t="str">
        <f>P200</f>
        <v>Recette mère ► le Boudin en 4 déclinaisons</v>
      </c>
      <c r="Q213" s="92"/>
      <c r="R213" s="108"/>
      <c r="S213" s="94" t="str">
        <f t="shared" si="37"/>
        <v/>
      </c>
      <c r="T213" s="95">
        <v>150</v>
      </c>
      <c r="U213" s="105" t="s">
        <v>99</v>
      </c>
      <c r="V213" s="127">
        <v>1</v>
      </c>
      <c r="W213" s="920" t="s">
        <v>13053</v>
      </c>
      <c r="X213" s="1495">
        <f>IF(OR(ISBLANK(Q198),X198=0),0,Q213*V199)</f>
        <v>0</v>
      </c>
      <c r="Y213" s="101">
        <f>IFERROR(_xlfn.LET(_xlpm.v,IFERROR(_xlfn.XLOOKUP(U213,Q241:Z241,Q242:Z242),_xlfn.XLOOKUP(U213,Q243:Z243,Q244:Z244)),_xlpm.v*T213*V213*V199*IF(ISBLANK(Q213),1,Q213)),0)</f>
        <v>4.5899632802937573E-2</v>
      </c>
      <c r="Z213" s="1475" t="str">
        <f>_xlfn.LET(_xlpm.unite,SUBSTITUTE(TRIM(U213)," (s)",""),_xlpm.val,Y213,_xlpm.estVol,COUNTIF(T241:Z241,_xlpm.unite)+COUNTIF(T243:Z243,_xlpm.unite)&gt;0,_xlpm.estPoids,COUNTIF(Q241:S241,_xlpm.unite)+COUNTIF(Q243:S243,_xlpm.unite)&gt;0,IF(_xlpm.estVol,IF(ROUND(_xlpm.val,3)&gt;=1,ROUND(_xlpm.val,3)&amp;" L",MAX(1,ROUND(_xlpm.val*100,0))&amp;" cl"),IF(_xlpm.estPoids,IF(ROUND(_xlpm.val,3)&gt;=1,ROUND(_xlpm.val,3)&amp;" Kg",MAX(1,ROUND(_xlpm.val*1000,0))&amp;" g"),"")))</f>
        <v>46 g</v>
      </c>
      <c r="AA213" s="5086"/>
      <c r="AB213" s="104" t="str">
        <f t="shared" si="41"/>
        <v>A</v>
      </c>
      <c r="AC213" s="32" t="str">
        <f>AC200</f>
        <v>O OUR BLACK PUDDING | |  Author &gt; Guy KRENZE - Eric GODDYN - Arnaud NICOLAS - CEPROC 2002</v>
      </c>
      <c r="AD213" s="33">
        <f>AD200</f>
        <v>16.34</v>
      </c>
      <c r="AE213" s="32" t="str">
        <f>AE200</f>
        <v>Kg</v>
      </c>
      <c r="AF213" s="34" t="str">
        <f>AF200</f>
        <v>Master recipe ► Black pudding in 4 variations</v>
      </c>
      <c r="AG213" s="92"/>
      <c r="AH213" s="108"/>
      <c r="AI213" s="94" t="str">
        <f t="shared" si="38"/>
        <v/>
      </c>
      <c r="AJ213" s="95">
        <v>150</v>
      </c>
      <c r="AK213" s="105" t="s">
        <v>99</v>
      </c>
      <c r="AL213" s="127">
        <v>1</v>
      </c>
      <c r="AM213" s="920" t="s">
        <v>13148</v>
      </c>
      <c r="AN213" s="1495">
        <f>IF(OR(ISBLANK(AG198),AN198=0),0,AG213*AL199)</f>
        <v>0</v>
      </c>
      <c r="AO213" s="101">
        <f>IFERROR(_xlfn.LET(_xlpm.v,IFERROR(_xlfn.XLOOKUP(AK213,AG241:AP241,AG242:AP242),_xlfn.XLOOKUP(AK213,AG243:AP243,AG244:AP244)),_xlpm.v*AJ213*AL213*AL199*IF(ISBLANK(AG213),1,AG213)),0)</f>
        <v>4.5899632802937573E-2</v>
      </c>
      <c r="AP213" s="1475" t="str">
        <f>_xlfn.LET(_xlpm.unite,SUBSTITUTE(TRIM(AK213)," (s)",""),_xlpm.val,AO213,_xlpm.estVol,COUNTIF(AJ241:AP241,_xlpm.unite)+COUNTIF(AJ243:AP243,_xlpm.unite)&gt;0,_xlpm.estPoids,COUNTIF(AG241:AI241,_xlpm.unite)+COUNTIF(AG243:AI243,_xlpm.unite)&gt;0,IF(_xlpm.estVol,IF(ROUND(_xlpm.val,3)&gt;=1,ROUND(_xlpm.val,3)&amp;" L",MAX(1,ROUND(_xlpm.val*100,0))&amp;" cl"),IF(_xlpm.estPoids,IF(ROUND(_xlpm.val,3)&gt;=1,ROUND(_xlpm.val,3)&amp;" Kg",MAX(1,ROUND(_xlpm.val*1000,0))&amp;" g"),"")))</f>
        <v>46 g</v>
      </c>
      <c r="AQ213" s="5086"/>
      <c r="AR213" s="104" t="str">
        <f t="shared" si="42"/>
        <v>A</v>
      </c>
      <c r="AS213" s="32" t="str">
        <f>AS200</f>
        <v>N NUESTRA MORCILLA | | Autor &gt; Guy KRENZE - Eric GODDYN - Arnaud NICOLAS - CEPROC 2002</v>
      </c>
      <c r="AT213" s="33">
        <f>AT200</f>
        <v>16.34</v>
      </c>
      <c r="AU213" s="32" t="str">
        <f>AU200</f>
        <v>Kg</v>
      </c>
      <c r="AV213" s="34" t="str">
        <f>AV200</f>
        <v>Receta madre ► Morcilla en 4 versiones</v>
      </c>
      <c r="AW213" s="92"/>
      <c r="AX213" s="108"/>
      <c r="AY213" s="94" t="str">
        <f t="shared" si="39"/>
        <v/>
      </c>
      <c r="AZ213" s="95">
        <v>150</v>
      </c>
      <c r="BA213" s="105" t="s">
        <v>99</v>
      </c>
      <c r="BB213" s="127">
        <v>1</v>
      </c>
      <c r="BC213" s="920" t="s">
        <v>13164</v>
      </c>
      <c r="BD213" s="1495">
        <f>IF(OR(ISBLANK(AW198),BD198=0),0,AW213*BB199)</f>
        <v>0</v>
      </c>
      <c r="BE213" s="101">
        <f>IFERROR(_xlfn.LET(_xlpm.v,IFERROR(_xlfn.XLOOKUP(BA213,AW241:BF241,AW242:BF242),_xlfn.XLOOKUP(BA213,AW243:BF243,AW244:BF244)),_xlpm.v*AZ213*BB213*BB199*IF(ISBLANK(AW213),1,AW213)),0)</f>
        <v>4.5899632802937573E-2</v>
      </c>
      <c r="BF213" s="1475" t="str">
        <f>_xlfn.LET(_xlpm.unite,SUBSTITUTE(TRIM(BA213)," (s)",""),_xlpm.val,BE213,_xlpm.estVol,COUNTIF(AZ241:BF241,_xlpm.unite)+COUNTIF(AZ243:BF243,_xlpm.unite)&gt;0,_xlpm.estPoids,COUNTIF(AW241:AY241,_xlpm.unite)+COUNTIF(AW243:AY243,_xlpm.unite)&gt;0,IF(_xlpm.estVol,IF(ROUND(_xlpm.val,3)&gt;=1,ROUND(_xlpm.val,3)&amp;" L",MAX(1,ROUND(_xlpm.val*100,0))&amp;" cl"),IF(_xlpm.estPoids,IF(ROUND(_xlpm.val,3)&gt;=1,ROUND(_xlpm.val,3)&amp;" Kg",MAX(1,ROUND(_xlpm.val*1000,0))&amp;" g"),"")))</f>
        <v>46 g</v>
      </c>
      <c r="BG213" s="5086"/>
      <c r="BH213" s="104"/>
      <c r="BI213" s="32"/>
      <c r="BJ213" s="33"/>
      <c r="BK213" s="32"/>
      <c r="BL213" s="34"/>
      <c r="BM213" s="92"/>
      <c r="BN213" s="108"/>
      <c r="BO213" s="94"/>
      <c r="BP213" s="95"/>
      <c r="BQ213" s="105"/>
      <c r="BR213" s="5101"/>
      <c r="BS213" s="920"/>
      <c r="BT213" s="1495"/>
      <c r="BU213" s="101"/>
      <c r="BV213" s="1475"/>
      <c r="BW213" s="5086"/>
      <c r="BX213" s="104"/>
      <c r="BY213" s="32"/>
      <c r="BZ213" s="33"/>
      <c r="CA213" s="32"/>
      <c r="CB213" s="34"/>
      <c r="CC213" s="92"/>
      <c r="CD213" s="108"/>
      <c r="CE213" s="94"/>
      <c r="CF213" s="95"/>
      <c r="CG213" s="105"/>
      <c r="CH213" s="5101"/>
      <c r="CI213" s="920"/>
      <c r="CJ213" s="1495"/>
      <c r="CK213" s="101"/>
      <c r="CL213" s="1475"/>
      <c r="CM213" s="5086"/>
      <c r="CN213" s="104"/>
      <c r="CO213" s="32"/>
      <c r="CP213" s="33"/>
      <c r="CQ213" s="32"/>
      <c r="CR213" s="34"/>
      <c r="CS213" s="92"/>
      <c r="CT213" s="108"/>
      <c r="CU213" s="94"/>
      <c r="CV213" s="95"/>
      <c r="CW213" s="105"/>
      <c r="CX213" s="5101"/>
      <c r="CY213" s="920"/>
      <c r="CZ213" s="1495"/>
      <c r="DA213" s="101"/>
      <c r="DB213" s="1475"/>
      <c r="DC213" s="5109"/>
      <c r="DD213" s="5092"/>
      <c r="DF213" s="3">
        <v>1</v>
      </c>
      <c r="EY213" s="127">
        <v>1</v>
      </c>
      <c r="EZ213" s="920" t="s">
        <v>12950</v>
      </c>
      <c r="FA213" s="1494">
        <f>IF(OR(ISBLANK(ET206),FA206=0),0,ET213*EY207)</f>
        <v>0</v>
      </c>
      <c r="FB213" s="101">
        <f>IFERROR(_xlfn.LET(_xlpm.v,IFERROR(_xlfn.XLOOKUP(EX213,#REF!,#REF!),_xlfn.XLOOKUP(EX213,#REF!,#REF!)),_xlpm.v*EW213*EY213*EY207*IF(ISBLANK(ET213),1,ET213)),0)</f>
        <v>0</v>
      </c>
      <c r="FC213" s="1475" t="e">
        <f>_xlfn.LET(_xlpm.unite,SUBSTITUTE(TRIM(EX213)," (s)",""),_xlpm.val,FB213,_xlpm.estVol,COUNTIF(#REF!,_xlpm.unite)+COUNTIF(#REF!,_xlpm.unite)&gt;0,_xlpm.estPoids,COUNTIF(#REF!,_xlpm.unite)+COUNTIF(#REF!,_xlpm.unite)&gt;0,IF(_xlpm.estVol,IF(ROUND(_xlpm.val,3)&gt;=1,ROUND(_xlpm.val,3)&amp;" L",MAX(1,ROUND(_xlpm.val*100,0))&amp;" cl"),IF(_xlpm.estPoids,IF(ROUND(_xlpm.val,3)&gt;=1,ROUND(_xlpm.val,3)&amp;" Kg",MAX(1,ROUND(_xlpm.val*1000,0))&amp;" g"),"")))</f>
        <v>#REF!</v>
      </c>
      <c r="FE213" s="104" t="str">
        <f t="shared" ref="FE213:FE222" si="44">IF(FP213&lt;&gt;"","A","►")</f>
        <v>A</v>
      </c>
      <c r="FF213" s="32" t="str">
        <f>FF208</f>
        <v>R RODAJA DE MANITAS DE CERDO para terrinas | | Autor &gt; USTED</v>
      </c>
      <c r="FG213" s="33">
        <f>FG208</f>
        <v>1</v>
      </c>
      <c r="FH213" s="32" t="str">
        <f>FH208</f>
        <v>molde L 30 cm × A 9 cm × H 6 cm</v>
      </c>
      <c r="FI213" s="34" t="str">
        <f>FI208</f>
        <v>Receta madre ► Introduzca el nombre de la receta principal</v>
      </c>
      <c r="FJ213" s="92"/>
      <c r="FK213" s="93"/>
      <c r="FL213" s="94" t="str">
        <f t="shared" si="43"/>
        <v/>
      </c>
      <c r="FM213" s="95"/>
      <c r="FN213" s="126"/>
      <c r="FO213" s="127">
        <v>1</v>
      </c>
      <c r="FP213" s="920" t="s">
        <v>12951</v>
      </c>
      <c r="FQ213" s="1494">
        <f>IF(OR(ISBLANK(FJ206),FQ206=0),0,FJ213*FO207)</f>
        <v>0</v>
      </c>
      <c r="FR213" s="101">
        <f>IFERROR(_xlfn.LET(_xlpm.v,IFERROR(_xlfn.XLOOKUP(FN213,#REF!,#REF!),_xlfn.XLOOKUP(FN213,#REF!,#REF!)),_xlpm.v*FM213*FO213*FO207*IF(ISBLANK(FJ213),1,FJ213)),0)</f>
        <v>0</v>
      </c>
      <c r="FS213" s="1475" t="e">
        <f>_xlfn.LET(_xlpm.unite,SUBSTITUTE(TRIM(FN213)," (s)",""),_xlpm.val,FR213,_xlpm.estVol,COUNTIF(#REF!,_xlpm.unite)+COUNTIF(#REF!,_xlpm.unite)&gt;0,_xlpm.estPoids,COUNTIF(#REF!,_xlpm.unite)+COUNTIF(#REF!,_xlpm.unite)&gt;0,IF(_xlpm.estVol,IF(ROUND(_xlpm.val,3)&gt;=1,ROUND(_xlpm.val,3)&amp;" L",MAX(1,ROUND(_xlpm.val*100,0))&amp;" cl"),IF(_xlpm.estPoids,IF(ROUND(_xlpm.val,3)&gt;=1,ROUND(_xlpm.val,3)&amp;" Kg",MAX(1,ROUND(_xlpm.val*1000,0))&amp;" g"),"")))</f>
        <v>#REF!</v>
      </c>
      <c r="FW213" s="852" t="s">
        <v>12954</v>
      </c>
      <c r="FX213" s="852" t="s">
        <v>12955</v>
      </c>
      <c r="FY213" s="852" t="s">
        <v>12956</v>
      </c>
    </row>
    <row r="214" spans="2:192" ht="21" customHeight="1">
      <c r="B214" s="952" t="str">
        <f t="shared" si="36"/>
        <v>A</v>
      </c>
      <c r="C214" s="993" cm="1">
        <f t="array" ref="C214">SUMPRODUCT(LEN(D214:J214))</f>
        <v>0</v>
      </c>
      <c r="D214" s="167"/>
      <c r="E214" s="172"/>
      <c r="F214" s="172"/>
      <c r="G214" s="172"/>
      <c r="H214" s="172"/>
      <c r="I214" s="172"/>
      <c r="J214" s="173"/>
      <c r="K214"/>
      <c r="L214" s="104" t="str">
        <f t="shared" si="40"/>
        <v>A</v>
      </c>
      <c r="M214" s="32" t="str">
        <f>M200</f>
        <v>N NOTRE BOUDIN NOIR | | Auteur &gt; Guy KRENZE - Eric GODDYN - Arnaud NICOLAS - CEPROC 2002</v>
      </c>
      <c r="N214" s="33">
        <f>N200</f>
        <v>16.34</v>
      </c>
      <c r="O214" s="32" t="str">
        <f>O200</f>
        <v>Kg</v>
      </c>
      <c r="P214" s="34" t="str">
        <f>P200</f>
        <v>Recette mère ► le Boudin en 4 déclinaisons</v>
      </c>
      <c r="Q214" s="92"/>
      <c r="R214" s="108"/>
      <c r="S214" s="94" t="str">
        <f t="shared" si="37"/>
        <v/>
      </c>
      <c r="T214" s="95">
        <v>220</v>
      </c>
      <c r="U214" s="105" t="s">
        <v>99</v>
      </c>
      <c r="V214" s="127">
        <v>1</v>
      </c>
      <c r="W214" s="920" t="s">
        <v>13054</v>
      </c>
      <c r="X214" s="1495">
        <f>IF(OR(ISBLANK(Q198),X198=0),0,Q214*V199)</f>
        <v>0</v>
      </c>
      <c r="Y214" s="101">
        <f>IFERROR(_xlfn.LET(_xlpm.v,IFERROR(_xlfn.XLOOKUP(U214,Q241:Z241,Q242:Z242),_xlfn.XLOOKUP(U214,Q243:Z243,Q244:Z244)),_xlpm.v*T214*V214*V199*IF(ISBLANK(Q214),1,Q214)),0)</f>
        <v>6.7319461444308448E-2</v>
      </c>
      <c r="Z214" s="1476" t="str">
        <f>_xlfn.LET(_xlpm.unite,SUBSTITUTE(TRIM(U214)," (s)",""),_xlpm.val,Y214,_xlpm.estVol,COUNTIF(T241:Z241,_xlpm.unite)+COUNTIF(T243:Z243,_xlpm.unite)&gt;0,_xlpm.estPoids,COUNTIF(Q241:S241,_xlpm.unite)+COUNTIF(Q243:S243,_xlpm.unite)&gt;0,IF(_xlpm.estVol,IF(ROUND(_xlpm.val,3)&gt;=1,ROUND(_xlpm.val,3)&amp;" L",MAX(1,ROUND(_xlpm.val*100,0))&amp;" cl"),IF(_xlpm.estPoids,IF(ROUND(_xlpm.val,3)&gt;=1,ROUND(_xlpm.val,3)&amp;" Kg",MAX(1,ROUND(_xlpm.val*1000,0))&amp;" g"),"")))</f>
        <v>67 g</v>
      </c>
      <c r="AA214" s="5086"/>
      <c r="AB214" s="104" t="str">
        <f t="shared" si="41"/>
        <v>A</v>
      </c>
      <c r="AC214" s="32" t="str">
        <f>AC200</f>
        <v>O OUR BLACK PUDDING | |  Author &gt; Guy KRENZE - Eric GODDYN - Arnaud NICOLAS - CEPROC 2002</v>
      </c>
      <c r="AD214" s="33">
        <f>AD200</f>
        <v>16.34</v>
      </c>
      <c r="AE214" s="32" t="str">
        <f>AE200</f>
        <v>Kg</v>
      </c>
      <c r="AF214" s="34" t="str">
        <f>AF200</f>
        <v>Master recipe ► Black pudding in 4 variations</v>
      </c>
      <c r="AG214" s="92"/>
      <c r="AH214" s="108"/>
      <c r="AI214" s="94" t="str">
        <f t="shared" si="38"/>
        <v/>
      </c>
      <c r="AJ214" s="95">
        <v>220</v>
      </c>
      <c r="AK214" s="105" t="s">
        <v>99</v>
      </c>
      <c r="AL214" s="127">
        <v>1</v>
      </c>
      <c r="AM214" s="920" t="s">
        <v>13149</v>
      </c>
      <c r="AN214" s="1495">
        <f>IF(OR(ISBLANK(AG198),AN198=0),0,AG214*AL199)</f>
        <v>0</v>
      </c>
      <c r="AO214" s="101">
        <f>IFERROR(_xlfn.LET(_xlpm.v,IFERROR(_xlfn.XLOOKUP(AK214,AG241:AP241,AG242:AP242),_xlfn.XLOOKUP(AK214,AG243:AP243,AG244:AP244)),_xlpm.v*AJ214*AL214*AL199*IF(ISBLANK(AG214),1,AG214)),0)</f>
        <v>6.7319461444308448E-2</v>
      </c>
      <c r="AP214" s="1476" t="str">
        <f>_xlfn.LET(_xlpm.unite,SUBSTITUTE(TRIM(AK214)," (s)",""),_xlpm.val,AO214,_xlpm.estVol,COUNTIF(AJ241:AP241,_xlpm.unite)+COUNTIF(AJ243:AP243,_xlpm.unite)&gt;0,_xlpm.estPoids,COUNTIF(AG241:AI241,_xlpm.unite)+COUNTIF(AG243:AI243,_xlpm.unite)&gt;0,IF(_xlpm.estVol,IF(ROUND(_xlpm.val,3)&gt;=1,ROUND(_xlpm.val,3)&amp;" L",MAX(1,ROUND(_xlpm.val*100,0))&amp;" cl"),IF(_xlpm.estPoids,IF(ROUND(_xlpm.val,3)&gt;=1,ROUND(_xlpm.val,3)&amp;" Kg",MAX(1,ROUND(_xlpm.val*1000,0))&amp;" g"),"")))</f>
        <v>67 g</v>
      </c>
      <c r="AQ214" s="5086"/>
      <c r="AR214" s="104" t="str">
        <f t="shared" si="42"/>
        <v>A</v>
      </c>
      <c r="AS214" s="32" t="str">
        <f>AS200</f>
        <v>N NUESTRA MORCILLA | | Autor &gt; Guy KRENZE - Eric GODDYN - Arnaud NICOLAS - CEPROC 2002</v>
      </c>
      <c r="AT214" s="33">
        <f>AT200</f>
        <v>16.34</v>
      </c>
      <c r="AU214" s="32" t="str">
        <f>AU200</f>
        <v>Kg</v>
      </c>
      <c r="AV214" s="34" t="str">
        <f>AV200</f>
        <v>Receta madre ► Morcilla en 4 versiones</v>
      </c>
      <c r="AW214" s="92"/>
      <c r="AX214" s="108"/>
      <c r="AY214" s="94" t="str">
        <f t="shared" si="39"/>
        <v/>
      </c>
      <c r="AZ214" s="95">
        <v>220</v>
      </c>
      <c r="BA214" s="105" t="s">
        <v>99</v>
      </c>
      <c r="BB214" s="127">
        <v>1</v>
      </c>
      <c r="BC214" s="920" t="s">
        <v>13165</v>
      </c>
      <c r="BD214" s="1495">
        <f>IF(OR(ISBLANK(AW198),BD198=0),0,AW214*BB199)</f>
        <v>0</v>
      </c>
      <c r="BE214" s="101">
        <f>IFERROR(_xlfn.LET(_xlpm.v,IFERROR(_xlfn.XLOOKUP(BA214,AW241:BF241,AW242:BF242),_xlfn.XLOOKUP(BA214,AW243:BF243,AW244:BF244)),_xlpm.v*AZ214*BB214*BB199*IF(ISBLANK(AW214),1,AW214)),0)</f>
        <v>6.7319461444308448E-2</v>
      </c>
      <c r="BF214" s="1476" t="str">
        <f>_xlfn.LET(_xlpm.unite,SUBSTITUTE(TRIM(BA214)," (s)",""),_xlpm.val,BE214,_xlpm.estVol,COUNTIF(AZ241:BF241,_xlpm.unite)+COUNTIF(AZ243:BF243,_xlpm.unite)&gt;0,_xlpm.estPoids,COUNTIF(AW241:AY241,_xlpm.unite)+COUNTIF(AW243:AY243,_xlpm.unite)&gt;0,IF(_xlpm.estVol,IF(ROUND(_xlpm.val,3)&gt;=1,ROUND(_xlpm.val,3)&amp;" L",MAX(1,ROUND(_xlpm.val*100,0))&amp;" cl"),IF(_xlpm.estPoids,IF(ROUND(_xlpm.val,3)&gt;=1,ROUND(_xlpm.val,3)&amp;" Kg",MAX(1,ROUND(_xlpm.val*1000,0))&amp;" g"),"")))</f>
        <v>67 g</v>
      </c>
      <c r="BG214" s="5086"/>
      <c r="BH214" s="104"/>
      <c r="BI214" s="32"/>
      <c r="BJ214" s="33"/>
      <c r="BK214" s="32"/>
      <c r="BL214" s="34"/>
      <c r="BM214" s="92"/>
      <c r="BN214" s="108"/>
      <c r="BO214" s="94"/>
      <c r="BP214" s="95"/>
      <c r="BQ214" s="105"/>
      <c r="BR214" s="5101"/>
      <c r="BS214" s="920"/>
      <c r="BT214" s="1495"/>
      <c r="BU214" s="101"/>
      <c r="BV214" s="1475"/>
      <c r="BW214" s="5086"/>
      <c r="BX214" s="104"/>
      <c r="BY214" s="32"/>
      <c r="BZ214" s="33"/>
      <c r="CA214" s="32"/>
      <c r="CB214" s="34"/>
      <c r="CC214" s="92"/>
      <c r="CD214" s="108"/>
      <c r="CE214" s="94"/>
      <c r="CF214" s="95"/>
      <c r="CG214" s="105"/>
      <c r="CH214" s="5101"/>
      <c r="CI214" s="920"/>
      <c r="CJ214" s="1495"/>
      <c r="CK214" s="101"/>
      <c r="CL214" s="1475"/>
      <c r="CM214" s="5086"/>
      <c r="CN214" s="104"/>
      <c r="CO214" s="32"/>
      <c r="CP214" s="33"/>
      <c r="CQ214" s="32"/>
      <c r="CR214" s="34"/>
      <c r="CS214" s="92"/>
      <c r="CT214" s="108"/>
      <c r="CU214" s="94"/>
      <c r="CV214" s="95"/>
      <c r="CW214" s="105"/>
      <c r="CX214" s="5101"/>
      <c r="CY214" s="920"/>
      <c r="CZ214" s="1495"/>
      <c r="DA214" s="101"/>
      <c r="DB214" s="1475"/>
      <c r="DC214" s="5109"/>
      <c r="DD214" s="5067"/>
      <c r="DF214" s="3">
        <v>1</v>
      </c>
      <c r="EY214" s="127">
        <v>1</v>
      </c>
      <c r="EZ214" s="920" t="s">
        <v>12952</v>
      </c>
      <c r="FA214" s="1494">
        <f>IF(OR(ISBLANK(ET206),FA206=0),0,ET214*EY207)</f>
        <v>0</v>
      </c>
      <c r="FB214" s="101">
        <f>IFERROR(_xlfn.LET(_xlpm.v,IFERROR(_xlfn.XLOOKUP(EX214,#REF!,#REF!),_xlfn.XLOOKUP(EX214,#REF!,#REF!)),_xlpm.v*EW214*EY214*EY207*IF(ISBLANK(ET214),1,ET214)),0)</f>
        <v>0</v>
      </c>
      <c r="FC214" s="1476" t="e">
        <f>_xlfn.LET(_xlpm.unite,SUBSTITUTE(TRIM(EX214)," (s)",""),_xlpm.val,FB214,_xlpm.estVol,COUNTIF(#REF!,_xlpm.unite)+COUNTIF(#REF!,_xlpm.unite)&gt;0,_xlpm.estPoids,COUNTIF(#REF!,_xlpm.unite)+COUNTIF(#REF!,_xlpm.unite)&gt;0,IF(_xlpm.estVol,IF(ROUND(_xlpm.val,3)&gt;=1,ROUND(_xlpm.val,3)&amp;" L",MAX(1,ROUND(_xlpm.val*100,0))&amp;" cl"),IF(_xlpm.estPoids,IF(ROUND(_xlpm.val,3)&gt;=1,ROUND(_xlpm.val,3)&amp;" Kg",MAX(1,ROUND(_xlpm.val*1000,0))&amp;" g"),"")))</f>
        <v>#REF!</v>
      </c>
      <c r="FE214" s="104" t="str">
        <f t="shared" si="44"/>
        <v>A</v>
      </c>
      <c r="FF214" s="32" t="str">
        <f>FF208</f>
        <v>R RODAJA DE MANITAS DE CERDO para terrinas | | Autor &gt; USTED</v>
      </c>
      <c r="FG214" s="33">
        <f>FG208</f>
        <v>1</v>
      </c>
      <c r="FH214" s="32" t="str">
        <f>FH208</f>
        <v>molde L 30 cm × A 9 cm × H 6 cm</v>
      </c>
      <c r="FI214" s="34" t="str">
        <f>FI208</f>
        <v>Receta madre ► Introduzca el nombre de la receta principal</v>
      </c>
      <c r="FJ214" s="92"/>
      <c r="FK214" s="108"/>
      <c r="FL214" s="94" t="str">
        <f t="shared" si="43"/>
        <v/>
      </c>
      <c r="FM214" s="95">
        <v>300</v>
      </c>
      <c r="FN214" s="105" t="s">
        <v>99</v>
      </c>
      <c r="FO214" s="127">
        <v>1</v>
      </c>
      <c r="FP214" s="920" t="s">
        <v>12953</v>
      </c>
      <c r="FQ214" s="1494">
        <f>IF(OR(ISBLANK(FJ206),FQ206=0),0,FJ214*FO207)</f>
        <v>0</v>
      </c>
      <c r="FR214" s="101">
        <f>IFERROR(_xlfn.LET(_xlpm.v,IFERROR(_xlfn.XLOOKUP(FN214,#REF!,#REF!),_xlfn.XLOOKUP(FN214,#REF!,#REF!)),_xlpm.v*FM214*FO214*FO207*IF(ISBLANK(FJ214),1,FJ214)),0)</f>
        <v>0</v>
      </c>
      <c r="FS214" s="1476" t="e">
        <f>_xlfn.LET(_xlpm.unite,SUBSTITUTE(TRIM(FN214)," (s)",""),_xlpm.val,FR214,_xlpm.estVol,COUNTIF(#REF!,_xlpm.unite)+COUNTIF(#REF!,_xlpm.unite)&gt;0,_xlpm.estPoids,COUNTIF(#REF!,_xlpm.unite)+COUNTIF(#REF!,_xlpm.unite)&gt;0,IF(_xlpm.estVol,IF(ROUND(_xlpm.val,3)&gt;=1,ROUND(_xlpm.val,3)&amp;" L",MAX(1,ROUND(_xlpm.val*100,0))&amp;" cl"),IF(_xlpm.estPoids,IF(ROUND(_xlpm.val,3)&gt;=1,ROUND(_xlpm.val,3)&amp;" Kg",MAX(1,ROUND(_xlpm.val*1000,0))&amp;" g"),"")))</f>
        <v>#REF!</v>
      </c>
      <c r="FW214" s="852" t="s">
        <v>12850</v>
      </c>
      <c r="FX214" s="852" t="s">
        <v>12957</v>
      </c>
      <c r="FY214" s="852" t="s">
        <v>12958</v>
      </c>
    </row>
    <row r="215" spans="2:192" ht="21" customHeight="1">
      <c r="B215" s="952" t="str">
        <f t="shared" si="36"/>
        <v>A</v>
      </c>
      <c r="C215" s="993" cm="1">
        <f t="array" ref="C215">SUMPRODUCT(LEN(D215:J215))</f>
        <v>0</v>
      </c>
      <c r="D215" s="167"/>
      <c r="E215" s="172"/>
      <c r="F215" s="172"/>
      <c r="G215" s="172"/>
      <c r="H215" s="172"/>
      <c r="I215" s="172"/>
      <c r="J215" s="173"/>
      <c r="K215"/>
      <c r="L215" s="104" t="str">
        <f t="shared" si="40"/>
        <v>A</v>
      </c>
      <c r="M215" s="32" t="str">
        <f>M200</f>
        <v>N NOTRE BOUDIN NOIR | | Auteur &gt; Guy KRENZE - Eric GODDYN - Arnaud NICOLAS - CEPROC 2002</v>
      </c>
      <c r="N215" s="33">
        <f>N200</f>
        <v>16.34</v>
      </c>
      <c r="O215" s="32" t="str">
        <f>O200</f>
        <v>Kg</v>
      </c>
      <c r="P215" s="34" t="str">
        <f>P200</f>
        <v>Recette mère ► le Boudin en 4 déclinaisons</v>
      </c>
      <c r="Q215" s="92"/>
      <c r="R215" s="108"/>
      <c r="S215" s="94" t="str">
        <f t="shared" si="37"/>
        <v/>
      </c>
      <c r="T215" s="95"/>
      <c r="U215" s="5111"/>
      <c r="V215" s="127">
        <v>1</v>
      </c>
      <c r="W215" s="5152" t="s">
        <v>13084</v>
      </c>
      <c r="X215" s="5153"/>
      <c r="Y215" s="5127">
        <f>ROUND(SUM(Y204:Y214)*18/1000,3)</f>
        <v>8.7999999999999995E-2</v>
      </c>
      <c r="Z215" s="5154">
        <f>Y215*1000</f>
        <v>88</v>
      </c>
      <c r="AA215" s="5086"/>
      <c r="AB215" s="104" t="str">
        <f t="shared" si="41"/>
        <v>A</v>
      </c>
      <c r="AC215" s="32" t="str">
        <f>AC200</f>
        <v>O OUR BLACK PUDDING | |  Author &gt; Guy KRENZE - Eric GODDYN - Arnaud NICOLAS - CEPROC 2002</v>
      </c>
      <c r="AD215" s="33">
        <f>AD200</f>
        <v>16.34</v>
      </c>
      <c r="AE215" s="32" t="str">
        <f>AE200</f>
        <v>Kg</v>
      </c>
      <c r="AF215" s="34" t="str">
        <f>AF200</f>
        <v>Master recipe ► Black pudding in 4 variations</v>
      </c>
      <c r="AG215" s="92"/>
      <c r="AH215" s="108"/>
      <c r="AI215" s="94" t="str">
        <f t="shared" si="38"/>
        <v/>
      </c>
      <c r="AJ215" s="95"/>
      <c r="AK215" s="5111"/>
      <c r="AL215" s="127">
        <v>1</v>
      </c>
      <c r="AM215" s="5152" t="s">
        <v>13172</v>
      </c>
      <c r="AN215" s="5153"/>
      <c r="AO215" s="5127">
        <f>ROUND(SUM(AO204:AO214)*18/1000,3)</f>
        <v>8.7999999999999995E-2</v>
      </c>
      <c r="AP215" s="5154">
        <f>AO215*1000</f>
        <v>88</v>
      </c>
      <c r="AQ215" s="5086"/>
      <c r="AR215" s="104" t="str">
        <f t="shared" si="42"/>
        <v>A</v>
      </c>
      <c r="AS215" s="32" t="str">
        <f>AS200</f>
        <v>N NUESTRA MORCILLA | | Autor &gt; Guy KRENZE - Eric GODDYN - Arnaud NICOLAS - CEPROC 2002</v>
      </c>
      <c r="AT215" s="33">
        <f>AT200</f>
        <v>16.34</v>
      </c>
      <c r="AU215" s="32" t="str">
        <f>AU200</f>
        <v>Kg</v>
      </c>
      <c r="AV215" s="34" t="str">
        <f>AV200</f>
        <v>Receta madre ► Morcilla en 4 versiones</v>
      </c>
      <c r="AW215" s="92"/>
      <c r="AX215" s="108"/>
      <c r="AY215" s="94" t="str">
        <f t="shared" si="39"/>
        <v/>
      </c>
      <c r="AZ215" s="95"/>
      <c r="BA215" s="5111"/>
      <c r="BB215" s="127">
        <v>1</v>
      </c>
      <c r="BC215" s="5152" t="s">
        <v>13166</v>
      </c>
      <c r="BD215" s="5153"/>
      <c r="BE215" s="5127">
        <f>ROUND(SUM(BE204:BE214)*18/1000,3)</f>
        <v>8.7999999999999995E-2</v>
      </c>
      <c r="BF215" s="5154">
        <f>BE215*1000</f>
        <v>88</v>
      </c>
      <c r="BG215" s="5086"/>
      <c r="BH215" s="104"/>
      <c r="BI215" s="32"/>
      <c r="BJ215" s="33"/>
      <c r="BK215" s="32"/>
      <c r="BL215" s="34"/>
      <c r="BM215" s="92"/>
      <c r="BN215" s="108"/>
      <c r="BO215" s="94"/>
      <c r="BP215" s="95"/>
      <c r="BQ215" s="105"/>
      <c r="BR215" s="5101"/>
      <c r="BS215" s="920"/>
      <c r="BT215" s="1495"/>
      <c r="BU215" s="101"/>
      <c r="BV215" s="1475"/>
      <c r="BW215" s="5086"/>
      <c r="BX215" s="104"/>
      <c r="BY215" s="32"/>
      <c r="BZ215" s="33"/>
      <c r="CA215" s="32"/>
      <c r="CB215" s="34"/>
      <c r="CC215" s="92"/>
      <c r="CD215" s="108"/>
      <c r="CE215" s="94"/>
      <c r="CF215" s="95"/>
      <c r="CG215" s="105"/>
      <c r="CH215" s="5101"/>
      <c r="CI215" s="920"/>
      <c r="CJ215" s="1495"/>
      <c r="CK215" s="101"/>
      <c r="CL215" s="1475"/>
      <c r="CM215" s="5086"/>
      <c r="CN215" s="104"/>
      <c r="CO215" s="32"/>
      <c r="CP215" s="33"/>
      <c r="CQ215" s="32"/>
      <c r="CR215" s="34"/>
      <c r="CS215" s="92"/>
      <c r="CT215" s="108"/>
      <c r="CU215" s="94"/>
      <c r="CV215" s="95"/>
      <c r="CW215" s="105"/>
      <c r="CX215" s="5101"/>
      <c r="CY215" s="920"/>
      <c r="CZ215" s="1495"/>
      <c r="DA215" s="101"/>
      <c r="DB215" s="1475"/>
      <c r="DC215" s="5109"/>
      <c r="DD215" s="5086"/>
      <c r="DF215" s="3">
        <v>1</v>
      </c>
      <c r="EY215" s="127">
        <v>1</v>
      </c>
      <c r="EZ215" s="920" t="s">
        <v>12955</v>
      </c>
      <c r="FA215" s="1494">
        <f>IF(OR(ISBLANK(ET206),FA206=0),0,ET215*EY207)</f>
        <v>0</v>
      </c>
      <c r="FB215" s="101">
        <f>IFERROR(_xlfn.LET(_xlpm.v,IFERROR(_xlfn.XLOOKUP(EX215,#REF!,#REF!),_xlfn.XLOOKUP(EX215,#REF!,#REF!)),_xlpm.v*EW215*EY215*EY207*IF(ISBLANK(ET215),1,ET215)),0)</f>
        <v>0</v>
      </c>
      <c r="FC215" s="1475" t="e">
        <f>_xlfn.LET(_xlpm.unite,SUBSTITUTE(TRIM(EX215)," (s)",""),_xlpm.val,FB215,_xlpm.estVol,COUNTIF(#REF!,_xlpm.unite)+COUNTIF(#REF!,_xlpm.unite)&gt;0,_xlpm.estPoids,COUNTIF(#REF!,_xlpm.unite)+COUNTIF(#REF!,_xlpm.unite)&gt;0,IF(_xlpm.estVol,IF(ROUND(_xlpm.val,3)&gt;=1,ROUND(_xlpm.val,3)&amp;" L",MAX(1,ROUND(_xlpm.val*100,0))&amp;" cl"),IF(_xlpm.estPoids,IF(ROUND(_xlpm.val,3)&gt;=1,ROUND(_xlpm.val,3)&amp;" Kg",MAX(1,ROUND(_xlpm.val*1000,0))&amp;" g"),"")))</f>
        <v>#REF!</v>
      </c>
      <c r="FE215" s="104" t="str">
        <f t="shared" si="44"/>
        <v>A</v>
      </c>
      <c r="FF215" s="32" t="str">
        <f>FF208</f>
        <v>R RODAJA DE MANITAS DE CERDO para terrinas | | Autor &gt; USTED</v>
      </c>
      <c r="FG215" s="33">
        <f>FG208</f>
        <v>1</v>
      </c>
      <c r="FH215" s="32" t="str">
        <f>FH208</f>
        <v>molde L 30 cm × A 9 cm × H 6 cm</v>
      </c>
      <c r="FI215" s="34" t="str">
        <f>FI208</f>
        <v>Receta madre ► Introduzca el nombre de la receta principal</v>
      </c>
      <c r="FJ215" s="92"/>
      <c r="FK215" s="108"/>
      <c r="FL215" s="94" t="str">
        <f t="shared" si="43"/>
        <v/>
      </c>
      <c r="FM215" s="95">
        <v>300</v>
      </c>
      <c r="FN215" s="105" t="s">
        <v>99</v>
      </c>
      <c r="FO215" s="127">
        <v>1</v>
      </c>
      <c r="FP215" s="920" t="s">
        <v>12956</v>
      </c>
      <c r="FQ215" s="1494">
        <f>IF(OR(ISBLANK(FJ206),FQ206=0),0,FJ215*FO207)</f>
        <v>0</v>
      </c>
      <c r="FR215" s="101">
        <f>IFERROR(_xlfn.LET(_xlpm.v,IFERROR(_xlfn.XLOOKUP(FN215,#REF!,#REF!),_xlfn.XLOOKUP(FN215,#REF!,#REF!)),_xlpm.v*FM215*FO215*FO207*IF(ISBLANK(FJ215),1,FJ215)),0)</f>
        <v>0</v>
      </c>
      <c r="FS215" s="1475" t="e">
        <f>_xlfn.LET(_xlpm.unite,SUBSTITUTE(TRIM(FN215)," (s)",""),_xlpm.val,FR215,_xlpm.estVol,COUNTIF(#REF!,_xlpm.unite)+COUNTIF(#REF!,_xlpm.unite)&gt;0,_xlpm.estPoids,COUNTIF(#REF!,_xlpm.unite)+COUNTIF(#REF!,_xlpm.unite)&gt;0,IF(_xlpm.estVol,IF(ROUND(_xlpm.val,3)&gt;=1,ROUND(_xlpm.val,3)&amp;" L",MAX(1,ROUND(_xlpm.val*100,0))&amp;" cl"),IF(_xlpm.estPoids,IF(ROUND(_xlpm.val,3)&gt;=1,ROUND(_xlpm.val,3)&amp;" Kg",MAX(1,ROUND(_xlpm.val*1000,0))&amp;" g"),"")))</f>
        <v>#REF!</v>
      </c>
      <c r="FW215" s="852" t="s">
        <v>12831</v>
      </c>
      <c r="FX215" s="852" t="s">
        <v>12891</v>
      </c>
      <c r="FY215" s="852" t="s">
        <v>12892</v>
      </c>
    </row>
    <row r="216" spans="2:192" ht="21" customHeight="1">
      <c r="B216" s="952" t="str">
        <f t="shared" si="36"/>
        <v>A</v>
      </c>
      <c r="C216" s="993" cm="1">
        <f t="array" ref="C216">SUMPRODUCT(LEN(D216:J216))</f>
        <v>0</v>
      </c>
      <c r="D216" s="167"/>
      <c r="E216" s="172"/>
      <c r="F216" s="172"/>
      <c r="G216" s="172"/>
      <c r="H216" s="172"/>
      <c r="I216" s="172"/>
      <c r="J216" s="173"/>
      <c r="K216"/>
      <c r="L216" s="104" t="str">
        <f t="shared" si="40"/>
        <v>A</v>
      </c>
      <c r="M216" s="32" t="str">
        <f>M200</f>
        <v>N NOTRE BOUDIN NOIR | | Auteur &gt; Guy KRENZE - Eric GODDYN - Arnaud NICOLAS - CEPROC 2002</v>
      </c>
      <c r="N216" s="33">
        <f>N200</f>
        <v>16.34</v>
      </c>
      <c r="O216" s="32" t="str">
        <f>O200</f>
        <v>Kg</v>
      </c>
      <c r="P216" s="34" t="str">
        <f>P200</f>
        <v>Recette mère ► le Boudin en 4 déclinaisons</v>
      </c>
      <c r="Q216" s="92"/>
      <c r="R216" s="108"/>
      <c r="S216" s="94" t="str">
        <f t="shared" si="37"/>
        <v/>
      </c>
      <c r="T216" s="95"/>
      <c r="U216" s="126"/>
      <c r="V216" s="127">
        <v>1</v>
      </c>
      <c r="W216" s="5155" t="str">
        <f>"Total "&amp;TEXT(SUM(Y204:Y214),"#,##0.00")&amp;" kg × 18 g/kg = "&amp;TEXT(ROUND(SUM(Y204:Y214)*18,0),"0")&amp;" g"&amp;" de sel"</f>
        <v>Total ,4.90 kg × 18 g/kg = 88 g de sel</v>
      </c>
      <c r="X216" s="5153"/>
      <c r="Y216" s="5156"/>
      <c r="Z216" s="5157"/>
      <c r="AA216" s="5086"/>
      <c r="AB216" s="104" t="str">
        <f t="shared" si="41"/>
        <v>A</v>
      </c>
      <c r="AC216" s="32" t="str">
        <f>AC200</f>
        <v>O OUR BLACK PUDDING | |  Author &gt; Guy KRENZE - Eric GODDYN - Arnaud NICOLAS - CEPROC 2002</v>
      </c>
      <c r="AD216" s="33">
        <f>AD200</f>
        <v>16.34</v>
      </c>
      <c r="AE216" s="32" t="str">
        <f>AE200</f>
        <v>Kg</v>
      </c>
      <c r="AF216" s="34" t="str">
        <f>AF200</f>
        <v>Master recipe ► Black pudding in 4 variations</v>
      </c>
      <c r="AG216" s="92"/>
      <c r="AH216" s="108"/>
      <c r="AI216" s="94" t="str">
        <f t="shared" si="38"/>
        <v/>
      </c>
      <c r="AJ216" s="95"/>
      <c r="AK216" s="126"/>
      <c r="AL216" s="127">
        <v>1</v>
      </c>
      <c r="AM216" s="5155" t="str">
        <f>"Total "&amp;TEXT(SUM(AO204:AO214),"#,##0.00")&amp;" kg × 18 g/kg = "&amp;TEXT(ROUND(SUM(AO204:AO214)*18,0),"0")&amp;" g"&amp;" de sel"</f>
        <v>Total ,4.90 kg × 18 g/kg = 88 g de sel</v>
      </c>
      <c r="AN216" s="5153"/>
      <c r="AO216" s="5156"/>
      <c r="AP216" s="5157"/>
      <c r="AQ216" s="5086"/>
      <c r="AR216" s="104" t="str">
        <f t="shared" si="42"/>
        <v>A</v>
      </c>
      <c r="AS216" s="32" t="str">
        <f>AS200</f>
        <v>N NUESTRA MORCILLA | | Autor &gt; Guy KRENZE - Eric GODDYN - Arnaud NICOLAS - CEPROC 2002</v>
      </c>
      <c r="AT216" s="33">
        <f>AT200</f>
        <v>16.34</v>
      </c>
      <c r="AU216" s="32" t="str">
        <f>AU200</f>
        <v>Kg</v>
      </c>
      <c r="AV216" s="34" t="str">
        <f>AV200</f>
        <v>Receta madre ► Morcilla en 4 versiones</v>
      </c>
      <c r="AW216" s="92"/>
      <c r="AX216" s="108"/>
      <c r="AY216" s="94" t="str">
        <f t="shared" si="39"/>
        <v/>
      </c>
      <c r="AZ216" s="95"/>
      <c r="BA216" s="126"/>
      <c r="BB216" s="127">
        <v>1</v>
      </c>
      <c r="BC216" s="5155" t="str">
        <f>"Total "&amp;TEXT(SUM(BE204:BE214),"#,##0.00")&amp;" kg × 18 g/kg = "&amp;TEXT(ROUND(SUM(BE204:BE214)*18,0),"0")&amp;" g"&amp;" de sal"</f>
        <v>Total ,4.90 kg × 18 g/kg = 88 g de sal</v>
      </c>
      <c r="BD216" s="5153"/>
      <c r="BE216" s="5156"/>
      <c r="BF216" s="5157"/>
      <c r="BG216" s="5086"/>
      <c r="BH216" s="104"/>
      <c r="BI216" s="32"/>
      <c r="BJ216" s="33"/>
      <c r="BK216" s="32"/>
      <c r="BL216" s="34"/>
      <c r="BM216" s="92"/>
      <c r="BN216" s="108"/>
      <c r="BO216" s="94"/>
      <c r="BP216" s="95"/>
      <c r="BQ216" s="105"/>
      <c r="BR216" s="5101"/>
      <c r="BS216" s="920"/>
      <c r="BT216" s="1495"/>
      <c r="BU216" s="101"/>
      <c r="BV216" s="1475"/>
      <c r="BW216" s="5086"/>
      <c r="BX216" s="104"/>
      <c r="BY216" s="32"/>
      <c r="BZ216" s="33"/>
      <c r="CA216" s="32"/>
      <c r="CB216" s="34"/>
      <c r="CC216" s="92"/>
      <c r="CD216" s="108"/>
      <c r="CE216" s="94"/>
      <c r="CF216" s="95"/>
      <c r="CG216" s="105"/>
      <c r="CH216" s="5101"/>
      <c r="CI216" s="920"/>
      <c r="CJ216" s="1495"/>
      <c r="CK216" s="101"/>
      <c r="CL216" s="1475"/>
      <c r="CM216" s="5086"/>
      <c r="CN216" s="104"/>
      <c r="CO216" s="32"/>
      <c r="CP216" s="33"/>
      <c r="CQ216" s="32"/>
      <c r="CR216" s="34"/>
      <c r="CS216" s="92"/>
      <c r="CT216" s="108"/>
      <c r="CU216" s="94"/>
      <c r="CV216" s="95"/>
      <c r="CW216" s="105"/>
      <c r="CX216" s="5101"/>
      <c r="CY216" s="920"/>
      <c r="CZ216" s="1495"/>
      <c r="DA216" s="101"/>
      <c r="DB216" s="1475"/>
      <c r="DC216" s="5109"/>
      <c r="DD216" s="5086"/>
      <c r="DF216" s="3">
        <v>1</v>
      </c>
      <c r="EY216" s="127">
        <v>1</v>
      </c>
      <c r="EZ216" s="920" t="s">
        <v>12957</v>
      </c>
      <c r="FA216" s="1494">
        <f>IF(OR(ISBLANK(ET206),FA206=0),0,ET216*EY207)</f>
        <v>0</v>
      </c>
      <c r="FB216" s="101">
        <f>IFERROR(_xlfn.LET(_xlpm.v,IFERROR(_xlfn.XLOOKUP(EX216,#REF!,#REF!),_xlfn.XLOOKUP(EX216,#REF!,#REF!)),_xlpm.v*EW216*EY216*EY207*IF(ISBLANK(ET216),1,ET216)),0)</f>
        <v>0</v>
      </c>
      <c r="FC216" s="1476" t="e">
        <f>_xlfn.LET(_xlpm.unite,SUBSTITUTE(TRIM(EX216)," (s)",""),_xlpm.val,FB216,_xlpm.estVol,COUNTIF(#REF!,_xlpm.unite)+COUNTIF(#REF!,_xlpm.unite)&gt;0,_xlpm.estPoids,COUNTIF(#REF!,_xlpm.unite)+COUNTIF(#REF!,_xlpm.unite)&gt;0,IF(_xlpm.estVol,IF(ROUND(_xlpm.val,3)&gt;=1,ROUND(_xlpm.val,3)&amp;" L",MAX(1,ROUND(_xlpm.val*100,0))&amp;" cl"),IF(_xlpm.estPoids,IF(ROUND(_xlpm.val,3)&gt;=1,ROUND(_xlpm.val,3)&amp;" Kg",MAX(1,ROUND(_xlpm.val*1000,0))&amp;" g"),"")))</f>
        <v>#REF!</v>
      </c>
      <c r="FE216" s="104" t="str">
        <f t="shared" si="44"/>
        <v>A</v>
      </c>
      <c r="FF216" s="32" t="str">
        <f>FF208</f>
        <v>R RODAJA DE MANITAS DE CERDO para terrinas | | Autor &gt; USTED</v>
      </c>
      <c r="FG216" s="33">
        <f>FG208</f>
        <v>1</v>
      </c>
      <c r="FH216" s="32" t="str">
        <f>FH208</f>
        <v>molde L 30 cm × A 9 cm × H 6 cm</v>
      </c>
      <c r="FI216" s="34" t="str">
        <f>FI208</f>
        <v>Receta madre ► Introduzca el nombre de la receta principal</v>
      </c>
      <c r="FJ216" s="92"/>
      <c r="FK216" s="108"/>
      <c r="FL216" s="94" t="str">
        <f t="shared" si="43"/>
        <v/>
      </c>
      <c r="FM216" s="95">
        <v>45</v>
      </c>
      <c r="FN216" s="105" t="s">
        <v>99</v>
      </c>
      <c r="FO216" s="127">
        <v>1</v>
      </c>
      <c r="FP216" s="920" t="s">
        <v>12958</v>
      </c>
      <c r="FQ216" s="1494">
        <f>IF(OR(ISBLANK(FJ206),FQ206=0),0,FJ216*FO207)</f>
        <v>0</v>
      </c>
      <c r="FR216" s="101">
        <f>IFERROR(_xlfn.LET(_xlpm.v,IFERROR(_xlfn.XLOOKUP(FN216,#REF!,#REF!),_xlfn.XLOOKUP(FN216,#REF!,#REF!)),_xlpm.v*FM216*FO216*FO207*IF(ISBLANK(FJ216),1,FJ216)),0)</f>
        <v>0</v>
      </c>
      <c r="FS216" s="1476" t="e">
        <f>_xlfn.LET(_xlpm.unite,SUBSTITUTE(TRIM(FN216)," (s)",""),_xlpm.val,FR216,_xlpm.estVol,COUNTIF(#REF!,_xlpm.unite)+COUNTIF(#REF!,_xlpm.unite)&gt;0,_xlpm.estPoids,COUNTIF(#REF!,_xlpm.unite)+COUNTIF(#REF!,_xlpm.unite)&gt;0,IF(_xlpm.estVol,IF(ROUND(_xlpm.val,3)&gt;=1,ROUND(_xlpm.val,3)&amp;" L",MAX(1,ROUND(_xlpm.val*100,0))&amp;" cl"),IF(_xlpm.estPoids,IF(ROUND(_xlpm.val,3)&gt;=1,ROUND(_xlpm.val,3)&amp;" Kg",MAX(1,ROUND(_xlpm.val*1000,0))&amp;" g"),"")))</f>
        <v>#REF!</v>
      </c>
      <c r="FW216" s="852" t="s">
        <v>12851</v>
      </c>
      <c r="FX216" s="852" t="s">
        <v>12959</v>
      </c>
      <c r="FY216" s="852" t="s">
        <v>12960</v>
      </c>
    </row>
    <row r="217" spans="2:192" ht="21" customHeight="1">
      <c r="B217" s="952" t="str">
        <f t="shared" si="36"/>
        <v>►</v>
      </c>
      <c r="C217" s="993" cm="1">
        <f t="array" ref="C217">SUMPRODUCT(LEN(D217:J217))</f>
        <v>0</v>
      </c>
      <c r="D217" s="167"/>
      <c r="E217" s="172"/>
      <c r="F217" s="172"/>
      <c r="G217" s="172"/>
      <c r="H217" s="172"/>
      <c r="I217" s="172"/>
      <c r="J217" s="173"/>
      <c r="K217"/>
      <c r="L217" s="104" t="str">
        <f t="shared" si="40"/>
        <v>►</v>
      </c>
      <c r="M217" s="32" t="str">
        <f>M200</f>
        <v>N NOTRE BOUDIN NOIR | | Auteur &gt; Guy KRENZE - Eric GODDYN - Arnaud NICOLAS - CEPROC 2002</v>
      </c>
      <c r="N217" s="33">
        <f>N200</f>
        <v>16.34</v>
      </c>
      <c r="O217" s="32" t="str">
        <f>O200</f>
        <v>Kg</v>
      </c>
      <c r="P217" s="34" t="str">
        <f>P200</f>
        <v>Recette mère ► le Boudin en 4 déclinaisons</v>
      </c>
      <c r="Q217" s="92"/>
      <c r="R217" s="108"/>
      <c r="S217" s="94" t="str">
        <f t="shared" si="37"/>
        <v/>
      </c>
      <c r="T217" s="95"/>
      <c r="U217" s="126"/>
      <c r="V217" s="127">
        <v>1</v>
      </c>
      <c r="W217" s="5158"/>
      <c r="X217" s="5153"/>
      <c r="Y217" s="5156"/>
      <c r="Z217" s="5157"/>
      <c r="AA217" s="5086"/>
      <c r="AB217" s="104" t="str">
        <f t="shared" si="41"/>
        <v>►</v>
      </c>
      <c r="AC217" s="32" t="str">
        <f>AC200</f>
        <v>O OUR BLACK PUDDING | |  Author &gt; Guy KRENZE - Eric GODDYN - Arnaud NICOLAS - CEPROC 2002</v>
      </c>
      <c r="AD217" s="33">
        <f>AD200</f>
        <v>16.34</v>
      </c>
      <c r="AE217" s="32" t="str">
        <f>AE200</f>
        <v>Kg</v>
      </c>
      <c r="AF217" s="34" t="str">
        <f>AF200</f>
        <v>Master recipe ► Black pudding in 4 variations</v>
      </c>
      <c r="AG217" s="92"/>
      <c r="AH217" s="108"/>
      <c r="AI217" s="94" t="str">
        <f t="shared" si="38"/>
        <v/>
      </c>
      <c r="AJ217" s="95"/>
      <c r="AK217" s="126"/>
      <c r="AL217" s="127">
        <v>1</v>
      </c>
      <c r="AM217" s="5158"/>
      <c r="AN217" s="5153"/>
      <c r="AO217" s="5156"/>
      <c r="AP217" s="5157"/>
      <c r="AQ217" s="5086"/>
      <c r="AR217" s="104" t="str">
        <f t="shared" si="42"/>
        <v>►</v>
      </c>
      <c r="AS217" s="32" t="str">
        <f>AS200</f>
        <v>N NUESTRA MORCILLA | | Autor &gt; Guy KRENZE - Eric GODDYN - Arnaud NICOLAS - CEPROC 2002</v>
      </c>
      <c r="AT217" s="33">
        <f>AT200</f>
        <v>16.34</v>
      </c>
      <c r="AU217" s="32" t="str">
        <f>AU200</f>
        <v>Kg</v>
      </c>
      <c r="AV217" s="34" t="str">
        <f>AV200</f>
        <v>Receta madre ► Morcilla en 4 versiones</v>
      </c>
      <c r="AW217" s="92"/>
      <c r="AX217" s="108"/>
      <c r="AY217" s="94" t="str">
        <f t="shared" si="39"/>
        <v/>
      </c>
      <c r="AZ217" s="95"/>
      <c r="BA217" s="126"/>
      <c r="BB217" s="127">
        <v>1</v>
      </c>
      <c r="BC217" s="5158"/>
      <c r="BD217" s="5153"/>
      <c r="BE217" s="5156"/>
      <c r="BF217" s="5157"/>
      <c r="BG217" s="5086"/>
      <c r="BH217" s="104"/>
      <c r="BI217" s="32"/>
      <c r="BJ217" s="33"/>
      <c r="BK217" s="32"/>
      <c r="BL217" s="34"/>
      <c r="BM217" s="92"/>
      <c r="BN217" s="108"/>
      <c r="BO217" s="94"/>
      <c r="BP217" s="95"/>
      <c r="BQ217" s="105"/>
      <c r="BR217" s="5101"/>
      <c r="BS217" s="920"/>
      <c r="BT217" s="1495"/>
      <c r="BU217" s="101"/>
      <c r="BV217" s="1475"/>
      <c r="BW217" s="5086"/>
      <c r="BX217" s="104"/>
      <c r="BY217" s="32"/>
      <c r="BZ217" s="33"/>
      <c r="CA217" s="32"/>
      <c r="CB217" s="34"/>
      <c r="CC217" s="92"/>
      <c r="CD217" s="108"/>
      <c r="CE217" s="94"/>
      <c r="CF217" s="95"/>
      <c r="CG217" s="105"/>
      <c r="CH217" s="5101"/>
      <c r="CI217" s="920"/>
      <c r="CJ217" s="1495"/>
      <c r="CK217" s="101"/>
      <c r="CL217" s="1475"/>
      <c r="CM217" s="5086"/>
      <c r="CN217" s="104"/>
      <c r="CO217" s="32"/>
      <c r="CP217" s="33"/>
      <c r="CQ217" s="32"/>
      <c r="CR217" s="34"/>
      <c r="CS217" s="92"/>
      <c r="CT217" s="108"/>
      <c r="CU217" s="94"/>
      <c r="CV217" s="95"/>
      <c r="CW217" s="105"/>
      <c r="CX217" s="5101"/>
      <c r="CY217" s="920"/>
      <c r="CZ217" s="1495"/>
      <c r="DA217" s="101"/>
      <c r="DB217" s="1475"/>
      <c r="DC217" s="5109"/>
      <c r="DD217" s="5086"/>
      <c r="DF217" s="3">
        <v>1</v>
      </c>
      <c r="EY217" s="127">
        <v>1</v>
      </c>
      <c r="EZ217" s="920" t="s">
        <v>12891</v>
      </c>
      <c r="FA217" s="1494">
        <f>IF(OR(ISBLANK(ET206),FA206=0),0,ET217*EY207)</f>
        <v>0</v>
      </c>
      <c r="FB217" s="101">
        <f>IFERROR(_xlfn.LET(_xlpm.v,IFERROR(_xlfn.XLOOKUP(EX217,#REF!,#REF!),_xlfn.XLOOKUP(EX217,#REF!,#REF!)),_xlpm.v*EW217*EY217*EY207*IF(ISBLANK(ET217),1,ET217)),0)</f>
        <v>0</v>
      </c>
      <c r="FC217" s="1475" t="e">
        <f>_xlfn.LET(_xlpm.unite,SUBSTITUTE(TRIM(EX217)," (s)",""),_xlpm.val,FB217,_xlpm.estVol,COUNTIF(#REF!,_xlpm.unite)+COUNTIF(#REF!,_xlpm.unite)&gt;0,_xlpm.estPoids,COUNTIF(#REF!,_xlpm.unite)+COUNTIF(#REF!,_xlpm.unite)&gt;0,IF(_xlpm.estVol,IF(ROUND(_xlpm.val,3)&gt;=1,ROUND(_xlpm.val,3)&amp;" L",MAX(1,ROUND(_xlpm.val*100,0))&amp;" cl"),IF(_xlpm.estPoids,IF(ROUND(_xlpm.val,3)&gt;=1,ROUND(_xlpm.val,3)&amp;" Kg",MAX(1,ROUND(_xlpm.val*1000,0))&amp;" g"),"")))</f>
        <v>#REF!</v>
      </c>
      <c r="FE217" s="104" t="str">
        <f t="shared" si="44"/>
        <v>A</v>
      </c>
      <c r="FF217" s="32" t="str">
        <f>FF208</f>
        <v>R RODAJA DE MANITAS DE CERDO para terrinas | | Autor &gt; USTED</v>
      </c>
      <c r="FG217" s="33">
        <f>FG208</f>
        <v>1</v>
      </c>
      <c r="FH217" s="32" t="str">
        <f>FH208</f>
        <v>molde L 30 cm × A 9 cm × H 6 cm</v>
      </c>
      <c r="FI217" s="34" t="str">
        <f>FI208</f>
        <v>Receta madre ► Introduzca el nombre de la receta principal</v>
      </c>
      <c r="FJ217" s="92"/>
      <c r="FK217" s="108"/>
      <c r="FL217" s="94" t="str">
        <f t="shared" si="43"/>
        <v/>
      </c>
      <c r="FM217" s="95">
        <v>50</v>
      </c>
      <c r="FN217" s="105" t="s">
        <v>99</v>
      </c>
      <c r="FO217" s="127">
        <v>1</v>
      </c>
      <c r="FP217" s="920" t="s">
        <v>12892</v>
      </c>
      <c r="FQ217" s="1494">
        <f>IF(OR(ISBLANK(FJ206),FQ206=0),0,FJ217*FO207)</f>
        <v>0</v>
      </c>
      <c r="FR217" s="101">
        <f>IFERROR(_xlfn.LET(_xlpm.v,IFERROR(_xlfn.XLOOKUP(FN217,#REF!,#REF!),_xlfn.XLOOKUP(FN217,#REF!,#REF!)),_xlpm.v*FM217*FO217*FO207*IF(ISBLANK(FJ217),1,FJ217)),0)</f>
        <v>0</v>
      </c>
      <c r="FS217" s="1475" t="e">
        <f>_xlfn.LET(_xlpm.unite,SUBSTITUTE(TRIM(FN217)," (s)",""),_xlpm.val,FR217,_xlpm.estVol,COUNTIF(#REF!,_xlpm.unite)+COUNTIF(#REF!,_xlpm.unite)&gt;0,_xlpm.estPoids,COUNTIF(#REF!,_xlpm.unite)+COUNTIF(#REF!,_xlpm.unite)&gt;0,IF(_xlpm.estVol,IF(ROUND(_xlpm.val,3)&gt;=1,ROUND(_xlpm.val,3)&amp;" L",MAX(1,ROUND(_xlpm.val*100,0))&amp;" cl"),IF(_xlpm.estPoids,IF(ROUND(_xlpm.val,3)&gt;=1,ROUND(_xlpm.val,3)&amp;" Kg",MAX(1,ROUND(_xlpm.val*1000,0))&amp;" g"),"")))</f>
        <v>#REF!</v>
      </c>
      <c r="FW217" s="852" t="s">
        <v>12852</v>
      </c>
      <c r="FX217" s="852" t="s">
        <v>12961</v>
      </c>
      <c r="FY217" s="852" t="s">
        <v>12962</v>
      </c>
    </row>
    <row r="218" spans="2:192" ht="21" customHeight="1">
      <c r="B218" s="952" t="str">
        <f t="shared" si="36"/>
        <v>A</v>
      </c>
      <c r="C218" s="993" cm="1">
        <f t="array" ref="C218">SUMPRODUCT(LEN(D218:J218))</f>
        <v>0</v>
      </c>
      <c r="D218" s="167"/>
      <c r="E218" s="172"/>
      <c r="F218" s="172"/>
      <c r="G218" s="172"/>
      <c r="H218" s="172"/>
      <c r="I218" s="172"/>
      <c r="J218" s="173"/>
      <c r="K218"/>
      <c r="L218" s="104" t="str">
        <f t="shared" si="40"/>
        <v>A</v>
      </c>
      <c r="M218" s="32" t="str">
        <f>M200</f>
        <v>N NOTRE BOUDIN NOIR | | Auteur &gt; Guy KRENZE - Eric GODDYN - Arnaud NICOLAS - CEPROC 2002</v>
      </c>
      <c r="N218" s="33">
        <f>N200</f>
        <v>16.34</v>
      </c>
      <c r="O218" s="32" t="str">
        <f>O200</f>
        <v>Kg</v>
      </c>
      <c r="P218" s="34" t="str">
        <f>P200</f>
        <v>Recette mère ► le Boudin en 4 déclinaisons</v>
      </c>
      <c r="Q218" s="92"/>
      <c r="R218" s="108"/>
      <c r="S218" s="94" t="str">
        <f t="shared" si="37"/>
        <v/>
      </c>
      <c r="T218" s="95"/>
      <c r="U218" s="126"/>
      <c r="V218" s="127">
        <v>1</v>
      </c>
      <c r="W218" s="5152" t="s">
        <v>13065</v>
      </c>
      <c r="X218" s="5153"/>
      <c r="Y218" s="5127">
        <f>ROUND(SUM(Y204:Y214)*3/1000,3)</f>
        <v>1.4999999999999999E-2</v>
      </c>
      <c r="Z218" s="5154">
        <f>Y218*1000</f>
        <v>15</v>
      </c>
      <c r="AA218" s="5086"/>
      <c r="AB218" s="104" t="str">
        <f t="shared" si="41"/>
        <v>A</v>
      </c>
      <c r="AC218" s="32" t="str">
        <f>AC200</f>
        <v>O OUR BLACK PUDDING | |  Author &gt; Guy KRENZE - Eric GODDYN - Arnaud NICOLAS - CEPROC 2002</v>
      </c>
      <c r="AD218" s="33">
        <f>AD200</f>
        <v>16.34</v>
      </c>
      <c r="AE218" s="32" t="str">
        <f>AE200</f>
        <v>Kg</v>
      </c>
      <c r="AF218" s="34" t="str">
        <f>AF200</f>
        <v>Master recipe ► Black pudding in 4 variations</v>
      </c>
      <c r="AG218" s="92"/>
      <c r="AH218" s="108"/>
      <c r="AI218" s="94" t="str">
        <f t="shared" si="38"/>
        <v/>
      </c>
      <c r="AJ218" s="95"/>
      <c r="AK218" s="126"/>
      <c r="AL218" s="127">
        <v>1</v>
      </c>
      <c r="AM218" s="5152" t="s">
        <v>13152</v>
      </c>
      <c r="AN218" s="5153"/>
      <c r="AO218" s="5127">
        <f>ROUND(SUM(AO204:AO214)*3/1000,3)</f>
        <v>1.4999999999999999E-2</v>
      </c>
      <c r="AP218" s="5154">
        <f>AO218*1000</f>
        <v>15</v>
      </c>
      <c r="AQ218" s="5086"/>
      <c r="AR218" s="104" t="str">
        <f t="shared" si="42"/>
        <v>A</v>
      </c>
      <c r="AS218" s="32" t="str">
        <f>AS200</f>
        <v>N NUESTRA MORCILLA | | Autor &gt; Guy KRENZE - Eric GODDYN - Arnaud NICOLAS - CEPROC 2002</v>
      </c>
      <c r="AT218" s="33">
        <f>AT200</f>
        <v>16.34</v>
      </c>
      <c r="AU218" s="32" t="str">
        <f>AU200</f>
        <v>Kg</v>
      </c>
      <c r="AV218" s="34" t="str">
        <f>AV200</f>
        <v>Receta madre ► Morcilla en 4 versiones</v>
      </c>
      <c r="AW218" s="92"/>
      <c r="AX218" s="108"/>
      <c r="AY218" s="94" t="str">
        <f t="shared" si="39"/>
        <v/>
      </c>
      <c r="AZ218" s="95"/>
      <c r="BA218" s="126"/>
      <c r="BB218" s="127">
        <v>1</v>
      </c>
      <c r="BC218" s="5152" t="s">
        <v>13168</v>
      </c>
      <c r="BD218" s="5153"/>
      <c r="BE218" s="5127">
        <f>ROUND(SUM(BE204:BE214)*3/1000,3)</f>
        <v>1.4999999999999999E-2</v>
      </c>
      <c r="BF218" s="5154">
        <f>BE218*1000</f>
        <v>15</v>
      </c>
      <c r="BG218" s="5086"/>
      <c r="BH218" s="104"/>
      <c r="BI218" s="32"/>
      <c r="BJ218" s="33"/>
      <c r="BK218" s="32"/>
      <c r="BL218" s="34"/>
      <c r="BM218" s="92"/>
      <c r="BN218" s="108"/>
      <c r="BO218" s="94"/>
      <c r="BP218" s="95"/>
      <c r="BQ218" s="105"/>
      <c r="BR218" s="5101"/>
      <c r="BS218" s="920"/>
      <c r="BT218" s="1495"/>
      <c r="BU218" s="101"/>
      <c r="BV218" s="1475"/>
      <c r="BW218" s="5086"/>
      <c r="BX218" s="104"/>
      <c r="BY218" s="32"/>
      <c r="BZ218" s="33"/>
      <c r="CA218" s="32"/>
      <c r="CB218" s="34"/>
      <c r="CC218" s="92"/>
      <c r="CD218" s="108"/>
      <c r="CE218" s="94"/>
      <c r="CF218" s="95"/>
      <c r="CG218" s="105"/>
      <c r="CH218" s="5101"/>
      <c r="CI218" s="920"/>
      <c r="CJ218" s="1495"/>
      <c r="CK218" s="101"/>
      <c r="CL218" s="1475"/>
      <c r="CM218" s="5086"/>
      <c r="CN218" s="104"/>
      <c r="CO218" s="32"/>
      <c r="CP218" s="33"/>
      <c r="CQ218" s="32"/>
      <c r="CR218" s="34"/>
      <c r="CS218" s="92"/>
      <c r="CT218" s="108"/>
      <c r="CU218" s="94"/>
      <c r="CV218" s="95"/>
      <c r="CW218" s="105"/>
      <c r="CX218" s="5101"/>
      <c r="CY218" s="920"/>
      <c r="CZ218" s="1495"/>
      <c r="DA218" s="101"/>
      <c r="DB218" s="1475"/>
      <c r="DC218" s="5109"/>
      <c r="DD218" s="5086"/>
      <c r="DF218" s="3">
        <v>1</v>
      </c>
      <c r="EY218" s="127">
        <v>1</v>
      </c>
      <c r="EZ218" s="920" t="s">
        <v>12959</v>
      </c>
      <c r="FA218" s="1494">
        <f>IF(OR(ISBLANK(ET206),FA206=0),0,ET218*EY207)</f>
        <v>0</v>
      </c>
      <c r="FB218" s="101">
        <f>IFERROR(_xlfn.LET(_xlpm.v,IFERROR(_xlfn.XLOOKUP(EX218,#REF!,#REF!),_xlfn.XLOOKUP(EX218,#REF!,#REF!)),_xlpm.v*EW218*EY218*EY207*IF(ISBLANK(ET218),1,ET218)),0)</f>
        <v>0</v>
      </c>
      <c r="FC218" s="1476" t="e">
        <f>_xlfn.LET(_xlpm.unite,SUBSTITUTE(TRIM(EX218)," (s)",""),_xlpm.val,FB218,_xlpm.estVol,COUNTIF(#REF!,_xlpm.unite)+COUNTIF(#REF!,_xlpm.unite)&gt;0,_xlpm.estPoids,COUNTIF(#REF!,_xlpm.unite)+COUNTIF(#REF!,_xlpm.unite)&gt;0,IF(_xlpm.estVol,IF(ROUND(_xlpm.val,3)&gt;=1,ROUND(_xlpm.val,3)&amp;" L",MAX(1,ROUND(_xlpm.val*100,0))&amp;" cl"),IF(_xlpm.estPoids,IF(ROUND(_xlpm.val,3)&gt;=1,ROUND(_xlpm.val,3)&amp;" Kg",MAX(1,ROUND(_xlpm.val*1000,0))&amp;" g"),"")))</f>
        <v>#REF!</v>
      </c>
      <c r="FE218" s="104" t="str">
        <f t="shared" si="44"/>
        <v>A</v>
      </c>
      <c r="FF218" s="32" t="str">
        <f>FF208</f>
        <v>R RODAJA DE MANITAS DE CERDO para terrinas | | Autor &gt; USTED</v>
      </c>
      <c r="FG218" s="33">
        <f>FG208</f>
        <v>1</v>
      </c>
      <c r="FH218" s="32" t="str">
        <f>FH208</f>
        <v>molde L 30 cm × A 9 cm × H 6 cm</v>
      </c>
      <c r="FI218" s="34" t="str">
        <f>FI208</f>
        <v>Receta madre ► Introduzca el nombre de la receta principal</v>
      </c>
      <c r="FJ218" s="92"/>
      <c r="FK218" s="108"/>
      <c r="FL218" s="94" t="str">
        <f t="shared" si="43"/>
        <v/>
      </c>
      <c r="FM218" s="95">
        <v>7</v>
      </c>
      <c r="FN218" s="105" t="s">
        <v>99</v>
      </c>
      <c r="FO218" s="127">
        <v>1</v>
      </c>
      <c r="FP218" s="920" t="s">
        <v>12960</v>
      </c>
      <c r="FQ218" s="1494">
        <f>IF(OR(ISBLANK(FJ206),FQ206=0),0,FJ218*FO207)</f>
        <v>0</v>
      </c>
      <c r="FR218" s="101">
        <f>IFERROR(_xlfn.LET(_xlpm.v,IFERROR(_xlfn.XLOOKUP(FN218,#REF!,#REF!),_xlfn.XLOOKUP(FN218,#REF!,#REF!)),_xlpm.v*FM218*FO218*FO207*IF(ISBLANK(FJ218),1,FJ218)),0)</f>
        <v>0</v>
      </c>
      <c r="FS218" s="1476" t="e">
        <f>_xlfn.LET(_xlpm.unite,SUBSTITUTE(TRIM(FN218)," (s)",""),_xlpm.val,FR218,_xlpm.estVol,COUNTIF(#REF!,_xlpm.unite)+COUNTIF(#REF!,_xlpm.unite)&gt;0,_xlpm.estPoids,COUNTIF(#REF!,_xlpm.unite)+COUNTIF(#REF!,_xlpm.unite)&gt;0,IF(_xlpm.estVol,IF(ROUND(_xlpm.val,3)&gt;=1,ROUND(_xlpm.val,3)&amp;" L",MAX(1,ROUND(_xlpm.val*100,0))&amp;" cl"),IF(_xlpm.estPoids,IF(ROUND(_xlpm.val,3)&gt;=1,ROUND(_xlpm.val,3)&amp;" Kg",MAX(1,ROUND(_xlpm.val*1000,0))&amp;" g"),"")))</f>
        <v>#REF!</v>
      </c>
      <c r="FW218" s="852" t="s">
        <v>12853</v>
      </c>
      <c r="FX218" s="852" t="s">
        <v>12963</v>
      </c>
      <c r="FY218" s="852" t="s">
        <v>12964</v>
      </c>
    </row>
    <row r="219" spans="2:192" ht="21" customHeight="1">
      <c r="B219" s="952" t="str">
        <f t="shared" si="36"/>
        <v>A</v>
      </c>
      <c r="C219" s="993" cm="1">
        <f t="array" ref="C219">SUMPRODUCT(LEN(D219:J219))</f>
        <v>0</v>
      </c>
      <c r="D219" s="167"/>
      <c r="E219" s="172"/>
      <c r="F219" s="172"/>
      <c r="G219" s="172"/>
      <c r="H219" s="172"/>
      <c r="I219" s="172"/>
      <c r="J219" s="173"/>
      <c r="K219"/>
      <c r="L219" s="104" t="str">
        <f t="shared" si="40"/>
        <v>A</v>
      </c>
      <c r="M219" s="32" t="str">
        <f>M200</f>
        <v>N NOTRE BOUDIN NOIR | | Auteur &gt; Guy KRENZE - Eric GODDYN - Arnaud NICOLAS - CEPROC 2002</v>
      </c>
      <c r="N219" s="33">
        <f>N200</f>
        <v>16.34</v>
      </c>
      <c r="O219" s="32" t="str">
        <f>O200</f>
        <v>Kg</v>
      </c>
      <c r="P219" s="34" t="str">
        <f>P200</f>
        <v>Recette mère ► le Boudin en 4 déclinaisons</v>
      </c>
      <c r="Q219" s="92"/>
      <c r="R219" s="108"/>
      <c r="S219" s="94" t="str">
        <f t="shared" si="37"/>
        <v/>
      </c>
      <c r="T219" s="95"/>
      <c r="U219" s="126"/>
      <c r="V219" s="127">
        <v>1</v>
      </c>
      <c r="W219" s="5155" t="str">
        <f>"Total "&amp;TEXT(SUM(Y204:Y214),"#,##0.00")&amp;" kg × 3 g/kg = "&amp;TEXT(ROUND(SUM(Y204:Y214)*3,0),"0")&amp;" g"&amp;" d'épices"</f>
        <v>Total ,4.90 kg × 3 g/kg = 15 g d'épices</v>
      </c>
      <c r="X219" s="5153"/>
      <c r="Y219" s="5156"/>
      <c r="Z219" s="5157"/>
      <c r="AA219" s="5086"/>
      <c r="AB219" s="104" t="str">
        <f t="shared" si="41"/>
        <v>A</v>
      </c>
      <c r="AC219" s="32" t="str">
        <f>AC200</f>
        <v>O OUR BLACK PUDDING | |  Author &gt; Guy KRENZE - Eric GODDYN - Arnaud NICOLAS - CEPROC 2002</v>
      </c>
      <c r="AD219" s="33">
        <f>AD200</f>
        <v>16.34</v>
      </c>
      <c r="AE219" s="32" t="str">
        <f>AE200</f>
        <v>Kg</v>
      </c>
      <c r="AF219" s="34" t="str">
        <f>AF200</f>
        <v>Master recipe ► Black pudding in 4 variations</v>
      </c>
      <c r="AG219" s="92"/>
      <c r="AH219" s="108"/>
      <c r="AI219" s="94" t="str">
        <f t="shared" si="38"/>
        <v/>
      </c>
      <c r="AJ219" s="95"/>
      <c r="AK219" s="126"/>
      <c r="AL219" s="127">
        <v>1</v>
      </c>
      <c r="AM219" s="5155" t="str">
        <f>"Total "&amp;TEXT(SUM(AO204:AO214),"#,##0.00")&amp;" kg × 3 g/kg = "&amp;TEXT(ROUND(SUM(AO204:AO214)*3,0),"0")&amp;" g"&amp;" d'épices"</f>
        <v>Total ,4.90 kg × 3 g/kg = 15 g d'épices</v>
      </c>
      <c r="AN219" s="5153"/>
      <c r="AO219" s="5156"/>
      <c r="AP219" s="5157"/>
      <c r="AQ219" s="5086"/>
      <c r="AR219" s="104" t="str">
        <f t="shared" si="42"/>
        <v>A</v>
      </c>
      <c r="AS219" s="32" t="str">
        <f>AS200</f>
        <v>N NUESTRA MORCILLA | | Autor &gt; Guy KRENZE - Eric GODDYN - Arnaud NICOLAS - CEPROC 2002</v>
      </c>
      <c r="AT219" s="33">
        <f>AT200</f>
        <v>16.34</v>
      </c>
      <c r="AU219" s="32" t="str">
        <f>AU200</f>
        <v>Kg</v>
      </c>
      <c r="AV219" s="34" t="str">
        <f>AV200</f>
        <v>Receta madre ► Morcilla en 4 versiones</v>
      </c>
      <c r="AW219" s="92"/>
      <c r="AX219" s="108"/>
      <c r="AY219" s="94" t="str">
        <f t="shared" si="39"/>
        <v/>
      </c>
      <c r="AZ219" s="95"/>
      <c r="BA219" s="126"/>
      <c r="BB219" s="127">
        <v>1</v>
      </c>
      <c r="BC219" s="5155" t="str">
        <f>"Total "&amp;TEXT(SUM(BE204:BE214),"#,##0.00")&amp;" kg × 3 g/kg = "&amp;TEXT(ROUND(SUM(BE204:BE214)*3,0),"0")&amp;" g"&amp;" de especias"</f>
        <v>Total ,4.90 kg × 3 g/kg = 15 g de especias</v>
      </c>
      <c r="BD219" s="5153"/>
      <c r="BE219" s="5156"/>
      <c r="BF219" s="5157"/>
      <c r="BG219" s="5086"/>
      <c r="BH219" s="104"/>
      <c r="BI219" s="32"/>
      <c r="BJ219" s="33"/>
      <c r="BK219" s="32"/>
      <c r="BL219" s="34"/>
      <c r="BM219" s="92"/>
      <c r="BN219" s="108"/>
      <c r="BO219" s="94"/>
      <c r="BP219" s="95"/>
      <c r="BQ219" s="105"/>
      <c r="BR219" s="5101"/>
      <c r="BS219" s="920"/>
      <c r="BT219" s="1495"/>
      <c r="BU219" s="101"/>
      <c r="BV219" s="1475"/>
      <c r="BW219" s="5086"/>
      <c r="BX219" s="104"/>
      <c r="BY219" s="32"/>
      <c r="BZ219" s="33"/>
      <c r="CA219" s="32"/>
      <c r="CB219" s="34"/>
      <c r="CC219" s="92"/>
      <c r="CD219" s="108"/>
      <c r="CE219" s="94"/>
      <c r="CF219" s="95"/>
      <c r="CG219" s="105"/>
      <c r="CH219" s="5101"/>
      <c r="CI219" s="920"/>
      <c r="CJ219" s="1495"/>
      <c r="CK219" s="101"/>
      <c r="CL219" s="1475"/>
      <c r="CM219" s="5086"/>
      <c r="CN219" s="104"/>
      <c r="CO219" s="32"/>
      <c r="CP219" s="33"/>
      <c r="CQ219" s="32"/>
      <c r="CR219" s="34"/>
      <c r="CS219" s="92"/>
      <c r="CT219" s="108"/>
      <c r="CU219" s="94"/>
      <c r="CV219" s="95"/>
      <c r="CW219" s="105"/>
      <c r="CX219" s="5101"/>
      <c r="CY219" s="920"/>
      <c r="CZ219" s="1495"/>
      <c r="DA219" s="101"/>
      <c r="DB219" s="1475"/>
      <c r="DC219" s="5109"/>
      <c r="DD219" s="5086"/>
      <c r="DF219" s="3">
        <v>1</v>
      </c>
      <c r="EY219" s="127">
        <v>1</v>
      </c>
      <c r="EZ219" s="920" t="s">
        <v>12961</v>
      </c>
      <c r="FA219" s="1494">
        <f>IF(OR(ISBLANK(ET206),FA206=0),0,ET219*EY207)</f>
        <v>0</v>
      </c>
      <c r="FB219" s="101">
        <f>IFERROR(_xlfn.LET(_xlpm.v,IFERROR(_xlfn.XLOOKUP(EX219,#REF!,#REF!),_xlfn.XLOOKUP(EX219,#REF!,#REF!)),_xlpm.v*EW219*EY219*EY207*IF(ISBLANK(ET219),1,ET219)),0)</f>
        <v>0</v>
      </c>
      <c r="FC219" s="1475" t="e">
        <f>_xlfn.LET(_xlpm.unite,SUBSTITUTE(TRIM(EX219)," (s)",""),_xlpm.val,FB219,_xlpm.estVol,COUNTIF(#REF!,_xlpm.unite)+COUNTIF(#REF!,_xlpm.unite)&gt;0,_xlpm.estPoids,COUNTIF(#REF!,_xlpm.unite)+COUNTIF(#REF!,_xlpm.unite)&gt;0,IF(_xlpm.estVol,IF(ROUND(_xlpm.val,3)&gt;=1,ROUND(_xlpm.val,3)&amp;" L",MAX(1,ROUND(_xlpm.val*100,0))&amp;" cl"),IF(_xlpm.estPoids,IF(ROUND(_xlpm.val,3)&gt;=1,ROUND(_xlpm.val,3)&amp;" Kg",MAX(1,ROUND(_xlpm.val*1000,0))&amp;" g"),"")))</f>
        <v>#REF!</v>
      </c>
      <c r="FE219" s="104" t="str">
        <f t="shared" si="44"/>
        <v>A</v>
      </c>
      <c r="FF219" s="32" t="str">
        <f>FF208</f>
        <v>R RODAJA DE MANITAS DE CERDO para terrinas | | Autor &gt; USTED</v>
      </c>
      <c r="FG219" s="33">
        <f>FG208</f>
        <v>1</v>
      </c>
      <c r="FH219" s="32" t="str">
        <f>FH208</f>
        <v>molde L 30 cm × A 9 cm × H 6 cm</v>
      </c>
      <c r="FI219" s="34" t="str">
        <f>FI208</f>
        <v>Receta madre ► Introduzca el nombre de la receta principal</v>
      </c>
      <c r="FJ219" s="92"/>
      <c r="FK219" s="108"/>
      <c r="FL219" s="94" t="str">
        <f t="shared" si="43"/>
        <v/>
      </c>
      <c r="FM219" s="95">
        <v>20</v>
      </c>
      <c r="FN219" s="105" t="s">
        <v>99</v>
      </c>
      <c r="FO219" s="127">
        <v>1</v>
      </c>
      <c r="FP219" s="920" t="s">
        <v>12962</v>
      </c>
      <c r="FQ219" s="1494">
        <f>IF(OR(ISBLANK(FJ206),FQ206=0),0,FJ219*FO207)</f>
        <v>0</v>
      </c>
      <c r="FR219" s="101">
        <f>IFERROR(_xlfn.LET(_xlpm.v,IFERROR(_xlfn.XLOOKUP(FN219,#REF!,#REF!),_xlfn.XLOOKUP(FN219,#REF!,#REF!)),_xlpm.v*FM219*FO219*FO207*IF(ISBLANK(FJ219),1,FJ219)),0)</f>
        <v>0</v>
      </c>
      <c r="FS219" s="1475" t="e">
        <f>_xlfn.LET(_xlpm.unite,SUBSTITUTE(TRIM(FN219)," (s)",""),_xlpm.val,FR219,_xlpm.estVol,COUNTIF(#REF!,_xlpm.unite)+COUNTIF(#REF!,_xlpm.unite)&gt;0,_xlpm.estPoids,COUNTIF(#REF!,_xlpm.unite)+COUNTIF(#REF!,_xlpm.unite)&gt;0,IF(_xlpm.estVol,IF(ROUND(_xlpm.val,3)&gt;=1,ROUND(_xlpm.val,3)&amp;" L",MAX(1,ROUND(_xlpm.val*100,0))&amp;" cl"),IF(_xlpm.estPoids,IF(ROUND(_xlpm.val,3)&gt;=1,ROUND(_xlpm.val,3)&amp;" Kg",MAX(1,ROUND(_xlpm.val*1000,0))&amp;" g"),"")))</f>
        <v>#REF!</v>
      </c>
      <c r="FW219" s="852" t="s">
        <v>12827</v>
      </c>
      <c r="FX219" s="852" t="s">
        <v>12882</v>
      </c>
      <c r="FY219" s="852" t="s">
        <v>12883</v>
      </c>
    </row>
    <row r="220" spans="2:192" ht="21" customHeight="1">
      <c r="B220" s="952" t="str">
        <f t="shared" si="36"/>
        <v>►</v>
      </c>
      <c r="C220" s="993" cm="1">
        <f t="array" ref="C220">SUMPRODUCT(LEN(D220:J220))</f>
        <v>0</v>
      </c>
      <c r="D220" s="167"/>
      <c r="E220" s="172"/>
      <c r="F220" s="172"/>
      <c r="G220" s="172"/>
      <c r="H220" s="172"/>
      <c r="I220" s="172"/>
      <c r="J220" s="173"/>
      <c r="K220"/>
      <c r="L220" s="104" t="str">
        <f t="shared" si="40"/>
        <v>►</v>
      </c>
      <c r="M220" s="32" t="str">
        <f>M200</f>
        <v>N NOTRE BOUDIN NOIR | | Auteur &gt; Guy KRENZE - Eric GODDYN - Arnaud NICOLAS - CEPROC 2002</v>
      </c>
      <c r="N220" s="33">
        <f>N200</f>
        <v>16.34</v>
      </c>
      <c r="O220" s="32" t="str">
        <f>O200</f>
        <v>Kg</v>
      </c>
      <c r="P220" s="34" t="str">
        <f>P200</f>
        <v>Recette mère ► le Boudin en 4 déclinaisons</v>
      </c>
      <c r="Q220" s="92"/>
      <c r="R220" s="108"/>
      <c r="S220" s="94" t="str">
        <f t="shared" si="37"/>
        <v/>
      </c>
      <c r="T220" s="95"/>
      <c r="U220" s="126"/>
      <c r="V220" s="127">
        <v>1</v>
      </c>
      <c r="W220" s="920"/>
      <c r="X220" s="1495">
        <f>IF(OR(ISBLANK(Q198),X198=0),0,Q220*V199)</f>
        <v>0</v>
      </c>
      <c r="Y220" s="101">
        <f>IFERROR(_xlfn.LET(_xlpm.v,IFERROR(_xlfn.XLOOKUP(U220,Q241:Z241,Q242:Z242),_xlfn.XLOOKUP(U220,Q243:Z243,Q244:Z244)),_xlpm.v*T220*V220*V199*IF(ISBLANK(Q220),1,Q220)),0)</f>
        <v>0</v>
      </c>
      <c r="Z220" s="1476" t="str">
        <f>_xlfn.LET(_xlpm.unite,SUBSTITUTE(TRIM(U220)," (s)",""),_xlpm.val,Y220,_xlpm.estVol,COUNTIF(T241:Z241,_xlpm.unite)+COUNTIF(T243:Z243,_xlpm.unite)&gt;0,_xlpm.estPoids,COUNTIF(Q241:S241,_xlpm.unite)+COUNTIF(Q243:S243,_xlpm.unite)&gt;0,IF(_xlpm.estVol,IF(ROUND(_xlpm.val,3)&gt;=1,ROUND(_xlpm.val,3)&amp;" L",MAX(1,ROUND(_xlpm.val*100,0))&amp;" cl"),IF(_xlpm.estPoids,IF(ROUND(_xlpm.val,3)&gt;=1,ROUND(_xlpm.val,3)&amp;" Kg",MAX(1,ROUND(_xlpm.val*1000,0))&amp;" g"),"")))</f>
        <v/>
      </c>
      <c r="AA220" s="5086"/>
      <c r="AB220" s="104" t="str">
        <f t="shared" si="41"/>
        <v>►</v>
      </c>
      <c r="AC220" s="32" t="str">
        <f>AC200</f>
        <v>O OUR BLACK PUDDING | |  Author &gt; Guy KRENZE - Eric GODDYN - Arnaud NICOLAS - CEPROC 2002</v>
      </c>
      <c r="AD220" s="33">
        <f>AD200</f>
        <v>16.34</v>
      </c>
      <c r="AE220" s="32" t="str">
        <f>AE200</f>
        <v>Kg</v>
      </c>
      <c r="AF220" s="34" t="str">
        <f>AF200</f>
        <v>Master recipe ► Black pudding in 4 variations</v>
      </c>
      <c r="AG220" s="92"/>
      <c r="AH220" s="108"/>
      <c r="AI220" s="94" t="str">
        <f t="shared" si="38"/>
        <v/>
      </c>
      <c r="AJ220" s="95"/>
      <c r="AK220" s="126"/>
      <c r="AL220" s="127">
        <v>1</v>
      </c>
      <c r="AM220" s="920"/>
      <c r="AN220" s="1495">
        <f>IF(OR(ISBLANK(AG198),AN198=0),0,AG220*AL199)</f>
        <v>0</v>
      </c>
      <c r="AO220" s="101">
        <f>IFERROR(_xlfn.LET(_xlpm.v,IFERROR(_xlfn.XLOOKUP(AK220,AG241:AP241,AG242:AP242),_xlfn.XLOOKUP(AK220,AG243:AP243,AG244:AP244)),_xlpm.v*AJ220*AL220*AL199*IF(ISBLANK(AG220),1,AG220)),0)</f>
        <v>0</v>
      </c>
      <c r="AP220" s="1476" t="str">
        <f>_xlfn.LET(_xlpm.unite,SUBSTITUTE(TRIM(AK220)," (s)",""),_xlpm.val,AO220,_xlpm.estVol,COUNTIF(AJ241:AP241,_xlpm.unite)+COUNTIF(AJ243:AP243,_xlpm.unite)&gt;0,_xlpm.estPoids,COUNTIF(AG241:AI241,_xlpm.unite)+COUNTIF(AG243:AI243,_xlpm.unite)&gt;0,IF(_xlpm.estVol,IF(ROUND(_xlpm.val,3)&gt;=1,ROUND(_xlpm.val,3)&amp;" L",MAX(1,ROUND(_xlpm.val*100,0))&amp;" cl"),IF(_xlpm.estPoids,IF(ROUND(_xlpm.val,3)&gt;=1,ROUND(_xlpm.val,3)&amp;" Kg",MAX(1,ROUND(_xlpm.val*1000,0))&amp;" g"),"")))</f>
        <v/>
      </c>
      <c r="AQ220" s="5086"/>
      <c r="AR220" s="104" t="str">
        <f t="shared" si="42"/>
        <v>►</v>
      </c>
      <c r="AS220" s="32" t="str">
        <f>AS200</f>
        <v>N NUESTRA MORCILLA | | Autor &gt; Guy KRENZE - Eric GODDYN - Arnaud NICOLAS - CEPROC 2002</v>
      </c>
      <c r="AT220" s="33">
        <f>AT200</f>
        <v>16.34</v>
      </c>
      <c r="AU220" s="32" t="str">
        <f>AU200</f>
        <v>Kg</v>
      </c>
      <c r="AV220" s="34" t="str">
        <f>AV200</f>
        <v>Receta madre ► Morcilla en 4 versiones</v>
      </c>
      <c r="AW220" s="92"/>
      <c r="AX220" s="108"/>
      <c r="AY220" s="94" t="str">
        <f t="shared" si="39"/>
        <v/>
      </c>
      <c r="AZ220" s="95"/>
      <c r="BA220" s="126"/>
      <c r="BB220" s="127">
        <v>1</v>
      </c>
      <c r="BC220" s="920"/>
      <c r="BD220" s="1495">
        <f>IF(OR(ISBLANK(AW198),BD198=0),0,AW220*BB199)</f>
        <v>0</v>
      </c>
      <c r="BE220" s="101">
        <f>IFERROR(_xlfn.LET(_xlpm.v,IFERROR(_xlfn.XLOOKUP(BA220,AW241:BF241,AW242:BF242),_xlfn.XLOOKUP(BA220,AW243:BF243,AW244:BF244)),_xlpm.v*AZ220*BB220*BB199*IF(ISBLANK(AW220),1,AW220)),0)</f>
        <v>0</v>
      </c>
      <c r="BF220" s="1476" t="str">
        <f>_xlfn.LET(_xlpm.unite,SUBSTITUTE(TRIM(BA220)," (s)",""),_xlpm.val,BE220,_xlpm.estVol,COUNTIF(AZ241:BF241,_xlpm.unite)+COUNTIF(AZ243:BF243,_xlpm.unite)&gt;0,_xlpm.estPoids,COUNTIF(AW241:AY241,_xlpm.unite)+COUNTIF(AW243:AY243,_xlpm.unite)&gt;0,IF(_xlpm.estVol,IF(ROUND(_xlpm.val,3)&gt;=1,ROUND(_xlpm.val,3)&amp;" L",MAX(1,ROUND(_xlpm.val*100,0))&amp;" cl"),IF(_xlpm.estPoids,IF(ROUND(_xlpm.val,3)&gt;=1,ROUND(_xlpm.val,3)&amp;" Kg",MAX(1,ROUND(_xlpm.val*1000,0))&amp;" g"),"")))</f>
        <v/>
      </c>
      <c r="BG220" s="5086"/>
      <c r="BH220" s="104"/>
      <c r="BI220" s="32"/>
      <c r="BJ220" s="33"/>
      <c r="BK220" s="32"/>
      <c r="BL220" s="34"/>
      <c r="BM220" s="92"/>
      <c r="BN220" s="108"/>
      <c r="BO220" s="94"/>
      <c r="BP220" s="95"/>
      <c r="BQ220" s="105"/>
      <c r="BR220" s="5101"/>
      <c r="BS220" s="920"/>
      <c r="BT220" s="1495"/>
      <c r="BU220" s="101"/>
      <c r="BV220" s="1475"/>
      <c r="BW220" s="5086"/>
      <c r="BX220" s="104"/>
      <c r="BY220" s="32"/>
      <c r="BZ220" s="33"/>
      <c r="CA220" s="32"/>
      <c r="CB220" s="34"/>
      <c r="CC220" s="92"/>
      <c r="CD220" s="108"/>
      <c r="CE220" s="94"/>
      <c r="CF220" s="95"/>
      <c r="CG220" s="105"/>
      <c r="CH220" s="5101"/>
      <c r="CI220" s="920"/>
      <c r="CJ220" s="1495"/>
      <c r="CK220" s="101"/>
      <c r="CL220" s="1475"/>
      <c r="CM220" s="5086"/>
      <c r="CN220" s="104"/>
      <c r="CO220" s="32"/>
      <c r="CP220" s="33"/>
      <c r="CQ220" s="32"/>
      <c r="CR220" s="34"/>
      <c r="CS220" s="92"/>
      <c r="CT220" s="108"/>
      <c r="CU220" s="94"/>
      <c r="CV220" s="95"/>
      <c r="CW220" s="105"/>
      <c r="CX220" s="5101"/>
      <c r="CY220" s="920"/>
      <c r="CZ220" s="1495"/>
      <c r="DA220" s="101"/>
      <c r="DB220" s="1475"/>
      <c r="DC220" s="5109"/>
      <c r="DD220" s="5086"/>
      <c r="DF220" s="3">
        <v>1</v>
      </c>
      <c r="EY220" s="127">
        <v>1</v>
      </c>
      <c r="EZ220" s="920" t="s">
        <v>12963</v>
      </c>
      <c r="FA220" s="1494">
        <f>IF(OR(ISBLANK(ET206),FA206=0),0,ET220*EY207)</f>
        <v>0</v>
      </c>
      <c r="FB220" s="101">
        <f>IFERROR(_xlfn.LET(_xlpm.v,IFERROR(_xlfn.XLOOKUP(EX220,#REF!,#REF!),_xlfn.XLOOKUP(EX220,#REF!,#REF!)),_xlpm.v*EW220*EY220*EY207*IF(ISBLANK(ET220),1,ET220)),0)</f>
        <v>0</v>
      </c>
      <c r="FC220" s="1476" t="e">
        <f>_xlfn.LET(_xlpm.unite,SUBSTITUTE(TRIM(EX220)," (s)",""),_xlpm.val,FB220,_xlpm.estVol,COUNTIF(#REF!,_xlpm.unite)+COUNTIF(#REF!,_xlpm.unite)&gt;0,_xlpm.estPoids,COUNTIF(#REF!,_xlpm.unite)+COUNTIF(#REF!,_xlpm.unite)&gt;0,IF(_xlpm.estVol,IF(ROUND(_xlpm.val,3)&gt;=1,ROUND(_xlpm.val,3)&amp;" L",MAX(1,ROUND(_xlpm.val*100,0))&amp;" cl"),IF(_xlpm.estPoids,IF(ROUND(_xlpm.val,3)&gt;=1,ROUND(_xlpm.val,3)&amp;" Kg",MAX(1,ROUND(_xlpm.val*1000,0))&amp;" g"),"")))</f>
        <v>#REF!</v>
      </c>
      <c r="FE220" s="104" t="str">
        <f t="shared" si="44"/>
        <v>A</v>
      </c>
      <c r="FF220" s="32" t="str">
        <f>FF208</f>
        <v>R RODAJA DE MANITAS DE CERDO para terrinas | | Autor &gt; USTED</v>
      </c>
      <c r="FG220" s="33">
        <f>FG208</f>
        <v>1</v>
      </c>
      <c r="FH220" s="32" t="str">
        <f>FH208</f>
        <v>molde L 30 cm × A 9 cm × H 6 cm</v>
      </c>
      <c r="FI220" s="34" t="str">
        <f>FI208</f>
        <v>Receta madre ► Introduzca el nombre de la receta principal</v>
      </c>
      <c r="FJ220" s="92"/>
      <c r="FK220" s="108"/>
      <c r="FL220" s="94" t="str">
        <f t="shared" si="43"/>
        <v/>
      </c>
      <c r="FM220" s="95">
        <v>300</v>
      </c>
      <c r="FN220" s="105" t="s">
        <v>99</v>
      </c>
      <c r="FO220" s="127">
        <v>1</v>
      </c>
      <c r="FP220" s="920" t="s">
        <v>12964</v>
      </c>
      <c r="FQ220" s="1494">
        <f>IF(OR(ISBLANK(FJ206),FQ206=0),0,FJ220*FO207)</f>
        <v>0</v>
      </c>
      <c r="FR220" s="101">
        <f>IFERROR(_xlfn.LET(_xlpm.v,IFERROR(_xlfn.XLOOKUP(FN220,#REF!,#REF!),_xlfn.XLOOKUP(FN220,#REF!,#REF!)),_xlpm.v*FM220*FO220*FO207*IF(ISBLANK(FJ220),1,FJ220)),0)</f>
        <v>0</v>
      </c>
      <c r="FS220" s="1476" t="e">
        <f>_xlfn.LET(_xlpm.unite,SUBSTITUTE(TRIM(FN220)," (s)",""),_xlpm.val,FR220,_xlpm.estVol,COUNTIF(#REF!,_xlpm.unite)+COUNTIF(#REF!,_xlpm.unite)&gt;0,_xlpm.estPoids,COUNTIF(#REF!,_xlpm.unite)+COUNTIF(#REF!,_xlpm.unite)&gt;0,IF(_xlpm.estVol,IF(ROUND(_xlpm.val,3)&gt;=1,ROUND(_xlpm.val,3)&amp;" L",MAX(1,ROUND(_xlpm.val*100,0))&amp;" cl"),IF(_xlpm.estPoids,IF(ROUND(_xlpm.val,3)&gt;=1,ROUND(_xlpm.val,3)&amp;" Kg",MAX(1,ROUND(_xlpm.val*1000,0))&amp;" g"),"")))</f>
        <v>#REF!</v>
      </c>
      <c r="FW220" s="852" t="s">
        <v>8947</v>
      </c>
      <c r="FX220" s="852" t="s">
        <v>12884</v>
      </c>
    </row>
    <row r="221" spans="2:192" ht="21" customHeight="1">
      <c r="B221" s="952" t="str">
        <f t="shared" si="36"/>
        <v>A</v>
      </c>
      <c r="C221" s="993" cm="1">
        <f t="array" ref="C221">SUMPRODUCT(LEN(D221:J221))</f>
        <v>0</v>
      </c>
      <c r="D221" s="167"/>
      <c r="E221" s="172"/>
      <c r="F221" s="172"/>
      <c r="G221" s="172"/>
      <c r="H221" s="172"/>
      <c r="I221" s="172"/>
      <c r="J221" s="173"/>
      <c r="K221"/>
      <c r="L221" s="104" t="str">
        <f t="shared" si="40"/>
        <v>A</v>
      </c>
      <c r="M221" s="32" t="str">
        <f>M200</f>
        <v>N NOTRE BOUDIN NOIR | | Auteur &gt; Guy KRENZE - Eric GODDYN - Arnaud NICOLAS - CEPROC 2002</v>
      </c>
      <c r="N221" s="33">
        <f>N200</f>
        <v>16.34</v>
      </c>
      <c r="O221" s="32" t="str">
        <f>O200</f>
        <v>Kg</v>
      </c>
      <c r="P221" s="34" t="str">
        <f>P200</f>
        <v>Recette mère ► le Boudin en 4 déclinaisons</v>
      </c>
      <c r="Q221" s="92"/>
      <c r="R221" s="108"/>
      <c r="S221" s="94" t="str">
        <f t="shared" si="37"/>
        <v/>
      </c>
      <c r="T221" s="95"/>
      <c r="U221" s="126"/>
      <c r="V221" s="127">
        <v>1</v>
      </c>
      <c r="W221" s="920" t="s">
        <v>13055</v>
      </c>
      <c r="X221" s="1495">
        <f>IF(OR(ISBLANK(Q198),X198=0),0,Q221*V199)</f>
        <v>0</v>
      </c>
      <c r="Y221" s="101">
        <f>IFERROR(_xlfn.LET(_xlpm.v,IFERROR(_xlfn.XLOOKUP(U221,Q241:Z241,Q242:Z242),_xlfn.XLOOKUP(U221,Q243:Z243,Q244:Z244)),_xlpm.v*T221*V221*V199*IF(ISBLANK(Q221),1,Q221)),0)</f>
        <v>0</v>
      </c>
      <c r="Z221" s="1475" t="str">
        <f>_xlfn.LET(_xlpm.unite,SUBSTITUTE(TRIM(U221)," (s)",""),_xlpm.val,Y221,_xlpm.estVol,COUNTIF(T241:Z241,_xlpm.unite)+COUNTIF(T243:Z243,_xlpm.unite)&gt;0,_xlpm.estPoids,COUNTIF(Q241:S241,_xlpm.unite)+COUNTIF(Q243:S243,_xlpm.unite)&gt;0,IF(_xlpm.estVol,IF(ROUND(_xlpm.val,3)&gt;=1,ROUND(_xlpm.val,3)&amp;" L",MAX(1,ROUND(_xlpm.val*100,0))&amp;" cl"),IF(_xlpm.estPoids,IF(ROUND(_xlpm.val,3)&gt;=1,ROUND(_xlpm.val,3)&amp;" Kg",MAX(1,ROUND(_xlpm.val*1000,0))&amp;" g"),"")))</f>
        <v/>
      </c>
      <c r="AA221" s="5086"/>
      <c r="AB221" s="104" t="str">
        <f t="shared" si="41"/>
        <v>A</v>
      </c>
      <c r="AC221" s="32" t="str">
        <f>AC200</f>
        <v>O OUR BLACK PUDDING | |  Author &gt; Guy KRENZE - Eric GODDYN - Arnaud NICOLAS - CEPROC 2002</v>
      </c>
      <c r="AD221" s="33">
        <f>AD200</f>
        <v>16.34</v>
      </c>
      <c r="AE221" s="32" t="str">
        <f>AE200</f>
        <v>Kg</v>
      </c>
      <c r="AF221" s="34" t="str">
        <f>AF200</f>
        <v>Master recipe ► Black pudding in 4 variations</v>
      </c>
      <c r="AG221" s="92"/>
      <c r="AH221" s="108"/>
      <c r="AI221" s="94" t="str">
        <f t="shared" si="38"/>
        <v/>
      </c>
      <c r="AJ221" s="95"/>
      <c r="AK221" s="126"/>
      <c r="AL221" s="127">
        <v>1</v>
      </c>
      <c r="AM221" s="920" t="s">
        <v>13154</v>
      </c>
      <c r="AN221" s="1495">
        <f>IF(OR(ISBLANK(AG198),AN198=0),0,AG221*AL199)</f>
        <v>0</v>
      </c>
      <c r="AO221" s="101">
        <f>IFERROR(_xlfn.LET(_xlpm.v,IFERROR(_xlfn.XLOOKUP(AK221,AG241:AP241,AG242:AP242),_xlfn.XLOOKUP(AK221,AG243:AP243,AG244:AP244)),_xlpm.v*AJ221*AL221*AL199*IF(ISBLANK(AG221),1,AG221)),0)</f>
        <v>0</v>
      </c>
      <c r="AP221" s="1475" t="str">
        <f>_xlfn.LET(_xlpm.unite,SUBSTITUTE(TRIM(AK221)," (s)",""),_xlpm.val,AO221,_xlpm.estVol,COUNTIF(AJ241:AP241,_xlpm.unite)+COUNTIF(AJ243:AP243,_xlpm.unite)&gt;0,_xlpm.estPoids,COUNTIF(AG241:AI241,_xlpm.unite)+COUNTIF(AG243:AI243,_xlpm.unite)&gt;0,IF(_xlpm.estVol,IF(ROUND(_xlpm.val,3)&gt;=1,ROUND(_xlpm.val,3)&amp;" L",MAX(1,ROUND(_xlpm.val*100,0))&amp;" cl"),IF(_xlpm.estPoids,IF(ROUND(_xlpm.val,3)&gt;=1,ROUND(_xlpm.val,3)&amp;" Kg",MAX(1,ROUND(_xlpm.val*1000,0))&amp;" g"),"")))</f>
        <v/>
      </c>
      <c r="AQ221" s="5086"/>
      <c r="AR221" s="104" t="str">
        <f t="shared" si="42"/>
        <v>A</v>
      </c>
      <c r="AS221" s="32" t="str">
        <f>AS200</f>
        <v>N NUESTRA MORCILLA | | Autor &gt; Guy KRENZE - Eric GODDYN - Arnaud NICOLAS - CEPROC 2002</v>
      </c>
      <c r="AT221" s="33">
        <f>AT200</f>
        <v>16.34</v>
      </c>
      <c r="AU221" s="32" t="str">
        <f>AU200</f>
        <v>Kg</v>
      </c>
      <c r="AV221" s="34" t="str">
        <f>AV200</f>
        <v>Receta madre ► Morcilla en 4 versiones</v>
      </c>
      <c r="AW221" s="92"/>
      <c r="AX221" s="108"/>
      <c r="AY221" s="94" t="str">
        <f t="shared" si="39"/>
        <v/>
      </c>
      <c r="AZ221" s="95"/>
      <c r="BA221" s="126"/>
      <c r="BB221" s="127">
        <v>1</v>
      </c>
      <c r="BC221" s="920" t="s">
        <v>13170</v>
      </c>
      <c r="BD221" s="1495">
        <f>IF(OR(ISBLANK(AW198),BD198=0),0,AW221*BB199)</f>
        <v>0</v>
      </c>
      <c r="BE221" s="101">
        <f>IFERROR(_xlfn.LET(_xlpm.v,IFERROR(_xlfn.XLOOKUP(BA221,AW241:BF241,AW242:BF242),_xlfn.XLOOKUP(BA221,AW243:BF243,AW244:BF244)),_xlpm.v*AZ221*BB221*BB199*IF(ISBLANK(AW221),1,AW221)),0)</f>
        <v>0</v>
      </c>
      <c r="BF221" s="1475" t="str">
        <f>_xlfn.LET(_xlpm.unite,SUBSTITUTE(TRIM(BA221)," (s)",""),_xlpm.val,BE221,_xlpm.estVol,COUNTIF(AZ241:BF241,_xlpm.unite)+COUNTIF(AZ243:BF243,_xlpm.unite)&gt;0,_xlpm.estPoids,COUNTIF(AW241:AY241,_xlpm.unite)+COUNTIF(AW243:AY243,_xlpm.unite)&gt;0,IF(_xlpm.estVol,IF(ROUND(_xlpm.val,3)&gt;=1,ROUND(_xlpm.val,3)&amp;" L",MAX(1,ROUND(_xlpm.val*100,0))&amp;" cl"),IF(_xlpm.estPoids,IF(ROUND(_xlpm.val,3)&gt;=1,ROUND(_xlpm.val,3)&amp;" Kg",MAX(1,ROUND(_xlpm.val*1000,0))&amp;" g"),"")))</f>
        <v/>
      </c>
      <c r="BG221" s="5086"/>
      <c r="BH221" s="104"/>
      <c r="BI221" s="32"/>
      <c r="BJ221" s="33"/>
      <c r="BK221" s="32"/>
      <c r="BL221" s="34"/>
      <c r="BM221" s="92"/>
      <c r="BN221" s="108"/>
      <c r="BO221" s="94"/>
      <c r="BP221" s="95"/>
      <c r="BQ221" s="105"/>
      <c r="BR221" s="5101"/>
      <c r="BS221" s="920"/>
      <c r="BT221" s="1495"/>
      <c r="BU221" s="101"/>
      <c r="BV221" s="1475"/>
      <c r="BW221" s="5086"/>
      <c r="BX221" s="104"/>
      <c r="BY221" s="32"/>
      <c r="BZ221" s="33"/>
      <c r="CA221" s="32"/>
      <c r="CB221" s="34"/>
      <c r="CC221" s="92"/>
      <c r="CD221" s="108"/>
      <c r="CE221" s="94"/>
      <c r="CF221" s="95"/>
      <c r="CG221" s="105"/>
      <c r="CH221" s="5101"/>
      <c r="CI221" s="920"/>
      <c r="CJ221" s="1495"/>
      <c r="CK221" s="101"/>
      <c r="CL221" s="1475"/>
      <c r="CM221" s="5086"/>
      <c r="CN221" s="104"/>
      <c r="CO221" s="32"/>
      <c r="CP221" s="33"/>
      <c r="CQ221" s="32"/>
      <c r="CR221" s="34"/>
      <c r="CS221" s="92"/>
      <c r="CT221" s="108"/>
      <c r="CU221" s="94"/>
      <c r="CV221" s="95"/>
      <c r="CW221" s="105"/>
      <c r="CX221" s="5101"/>
      <c r="CY221" s="920"/>
      <c r="CZ221" s="1495"/>
      <c r="DA221" s="101"/>
      <c r="DB221" s="1475"/>
      <c r="DC221" s="5109"/>
      <c r="DD221" s="5086"/>
      <c r="DF221" s="3">
        <v>1</v>
      </c>
      <c r="EY221" s="127">
        <v>1</v>
      </c>
      <c r="EZ221" s="920" t="s">
        <v>12882</v>
      </c>
      <c r="FA221" s="1494">
        <f>IF(OR(ISBLANK(ET206),FA206=0),0,ET221*EY207)</f>
        <v>0</v>
      </c>
      <c r="FB221" s="101">
        <f>IFERROR(_xlfn.LET(_xlpm.v,IFERROR(_xlfn.XLOOKUP(EX221,#REF!,#REF!),_xlfn.XLOOKUP(EX221,#REF!,#REF!)),_xlpm.v*EW221*EY221*EY207*IF(ISBLANK(ET221),1,ET221)),0)</f>
        <v>0</v>
      </c>
      <c r="FC221" s="1475" t="e">
        <f>_xlfn.LET(_xlpm.unite,SUBSTITUTE(TRIM(EX221)," (s)",""),_xlpm.val,FB221,_xlpm.estVol,COUNTIF(#REF!,_xlpm.unite)+COUNTIF(#REF!,_xlpm.unite)&gt;0,_xlpm.estPoids,COUNTIF(#REF!,_xlpm.unite)+COUNTIF(#REF!,_xlpm.unite)&gt;0,IF(_xlpm.estVol,IF(ROUND(_xlpm.val,3)&gt;=1,ROUND(_xlpm.val,3)&amp;" L",MAX(1,ROUND(_xlpm.val*100,0))&amp;" cl"),IF(_xlpm.estPoids,IF(ROUND(_xlpm.val,3)&gt;=1,ROUND(_xlpm.val,3)&amp;" Kg",MAX(1,ROUND(_xlpm.val*1000,0))&amp;" g"),"")))</f>
        <v>#REF!</v>
      </c>
      <c r="FE221" s="104" t="str">
        <f t="shared" si="44"/>
        <v>A</v>
      </c>
      <c r="FF221" s="32" t="str">
        <f>FF208</f>
        <v>R RODAJA DE MANITAS DE CERDO para terrinas | | Autor &gt; USTED</v>
      </c>
      <c r="FG221" s="33">
        <f>FG208</f>
        <v>1</v>
      </c>
      <c r="FH221" s="32" t="str">
        <f>FH208</f>
        <v>molde L 30 cm × A 9 cm × H 6 cm</v>
      </c>
      <c r="FI221" s="34" t="str">
        <f>FI208</f>
        <v>Receta madre ► Introduzca el nombre de la receta principal</v>
      </c>
      <c r="FJ221" s="92"/>
      <c r="FK221" s="108"/>
      <c r="FL221" s="94" t="str">
        <f t="shared" si="43"/>
        <v/>
      </c>
      <c r="FM221" s="95">
        <v>2</v>
      </c>
      <c r="FN221" s="105" t="s">
        <v>99</v>
      </c>
      <c r="FO221" s="127">
        <v>1</v>
      </c>
      <c r="FP221" s="920" t="s">
        <v>12883</v>
      </c>
      <c r="FQ221" s="1494">
        <f>IF(OR(ISBLANK(FJ206),FQ206=0),0,FJ221*FO207)</f>
        <v>0</v>
      </c>
      <c r="FR221" s="101">
        <f>IFERROR(_xlfn.LET(_xlpm.v,IFERROR(_xlfn.XLOOKUP(FN221,#REF!,#REF!),_xlfn.XLOOKUP(FN221,#REF!,#REF!)),_xlpm.v*FM221*FO221*FO207*IF(ISBLANK(FJ221),1,FJ221)),0)</f>
        <v>0</v>
      </c>
      <c r="FS221" s="1475" t="e">
        <f>_xlfn.LET(_xlpm.unite,SUBSTITUTE(TRIM(FN221)," (s)",""),_xlpm.val,FR221,_xlpm.estVol,COUNTIF(#REF!,_xlpm.unite)+COUNTIF(#REF!,_xlpm.unite)&gt;0,_xlpm.estPoids,COUNTIF(#REF!,_xlpm.unite)+COUNTIF(#REF!,_xlpm.unite)&gt;0,IF(_xlpm.estVol,IF(ROUND(_xlpm.val,3)&gt;=1,ROUND(_xlpm.val,3)&amp;" L",MAX(1,ROUND(_xlpm.val*100,0))&amp;" cl"),IF(_xlpm.estPoids,IF(ROUND(_xlpm.val,3)&gt;=1,ROUND(_xlpm.val,3)&amp;" Kg",MAX(1,ROUND(_xlpm.val*1000,0))&amp;" g"),"")))</f>
        <v>#REF!</v>
      </c>
    </row>
    <row r="222" spans="2:192" ht="21" customHeight="1">
      <c r="B222" s="952" t="str">
        <f t="shared" si="36"/>
        <v>►</v>
      </c>
      <c r="C222" s="993" cm="1">
        <f t="array" ref="C222">SUMPRODUCT(LEN(D222:J222))</f>
        <v>0</v>
      </c>
      <c r="D222" s="167"/>
      <c r="E222" s="172"/>
      <c r="F222" s="172"/>
      <c r="G222" s="172"/>
      <c r="H222" s="172"/>
      <c r="I222" s="172"/>
      <c r="J222" s="173"/>
      <c r="K222"/>
      <c r="L222" s="104" t="str">
        <f t="shared" si="40"/>
        <v>►</v>
      </c>
      <c r="M222" s="32" t="str">
        <f>M200</f>
        <v>N NOTRE BOUDIN NOIR | | Auteur &gt; Guy KRENZE - Eric GODDYN - Arnaud NICOLAS - CEPROC 2002</v>
      </c>
      <c r="N222" s="33">
        <f>N200</f>
        <v>16.34</v>
      </c>
      <c r="O222" s="32" t="str">
        <f>O200</f>
        <v>Kg</v>
      </c>
      <c r="P222" s="34" t="str">
        <f>P200</f>
        <v>Recette mère ► le Boudin en 4 déclinaisons</v>
      </c>
      <c r="Q222" s="92"/>
      <c r="R222" s="108"/>
      <c r="S222" s="94" t="str">
        <f t="shared" si="37"/>
        <v/>
      </c>
      <c r="T222" s="95"/>
      <c r="U222" s="126"/>
      <c r="V222" s="127">
        <v>1</v>
      </c>
      <c r="W222" s="920"/>
      <c r="X222" s="1495">
        <f>IF(OR(ISBLANK(Q198),X198=0),0,Q222*V199)</f>
        <v>0</v>
      </c>
      <c r="Y222" s="101">
        <f>IFERROR(_xlfn.LET(_xlpm.v,IFERROR(_xlfn.XLOOKUP(U222,Q241:Z241,Q242:Z242),_xlfn.XLOOKUP(U222,Q243:Z243,Q244:Z244)),_xlpm.v*T222*V222*V199*IF(ISBLANK(Q222),1,Q222)),0)</f>
        <v>0</v>
      </c>
      <c r="Z222" s="1476" t="str">
        <f>_xlfn.LET(_xlpm.unite,SUBSTITUTE(TRIM(U222)," (s)",""),_xlpm.val,Y222,_xlpm.estVol,COUNTIF(T241:Z241,_xlpm.unite)+COUNTIF(T243:Z243,_xlpm.unite)&gt;0,_xlpm.estPoids,COUNTIF(Q241:S241,_xlpm.unite)+COUNTIF(Q243:S243,_xlpm.unite)&gt;0,IF(_xlpm.estVol,IF(ROUND(_xlpm.val,3)&gt;=1,ROUND(_xlpm.val,3)&amp;" L",MAX(1,ROUND(_xlpm.val*100,0))&amp;" cl"),IF(_xlpm.estPoids,IF(ROUND(_xlpm.val,3)&gt;=1,ROUND(_xlpm.val,3)&amp;" Kg",MAX(1,ROUND(_xlpm.val*1000,0))&amp;" g"),"")))</f>
        <v/>
      </c>
      <c r="AA222" s="5086"/>
      <c r="AB222" s="104" t="str">
        <f t="shared" si="41"/>
        <v>►</v>
      </c>
      <c r="AC222" s="32" t="str">
        <f>AC200</f>
        <v>O OUR BLACK PUDDING | |  Author &gt; Guy KRENZE - Eric GODDYN - Arnaud NICOLAS - CEPROC 2002</v>
      </c>
      <c r="AD222" s="33">
        <f>AD200</f>
        <v>16.34</v>
      </c>
      <c r="AE222" s="32" t="str">
        <f>AE200</f>
        <v>Kg</v>
      </c>
      <c r="AF222" s="34" t="str">
        <f>AF200</f>
        <v>Master recipe ► Black pudding in 4 variations</v>
      </c>
      <c r="AG222" s="92"/>
      <c r="AH222" s="108"/>
      <c r="AI222" s="94" t="str">
        <f t="shared" si="38"/>
        <v/>
      </c>
      <c r="AJ222" s="95"/>
      <c r="AK222" s="126"/>
      <c r="AL222" s="127">
        <v>1</v>
      </c>
      <c r="AM222" s="920"/>
      <c r="AN222" s="1495">
        <f>IF(OR(ISBLANK(AG198),AN198=0),0,AG222*AL199)</f>
        <v>0</v>
      </c>
      <c r="AO222" s="101">
        <f>IFERROR(_xlfn.LET(_xlpm.v,IFERROR(_xlfn.XLOOKUP(AK222,AG241:AP241,AG242:AP242),_xlfn.XLOOKUP(AK222,AG243:AP243,AG244:AP244)),_xlpm.v*AJ222*AL222*AL199*IF(ISBLANK(AG222),1,AG222)),0)</f>
        <v>0</v>
      </c>
      <c r="AP222" s="1476" t="str">
        <f>_xlfn.LET(_xlpm.unite,SUBSTITUTE(TRIM(AK222)," (s)",""),_xlpm.val,AO222,_xlpm.estVol,COUNTIF(AJ241:AP241,_xlpm.unite)+COUNTIF(AJ243:AP243,_xlpm.unite)&gt;0,_xlpm.estPoids,COUNTIF(AG241:AI241,_xlpm.unite)+COUNTIF(AG243:AI243,_xlpm.unite)&gt;0,IF(_xlpm.estVol,IF(ROUND(_xlpm.val,3)&gt;=1,ROUND(_xlpm.val,3)&amp;" L",MAX(1,ROUND(_xlpm.val*100,0))&amp;" cl"),IF(_xlpm.estPoids,IF(ROUND(_xlpm.val,3)&gt;=1,ROUND(_xlpm.val,3)&amp;" Kg",MAX(1,ROUND(_xlpm.val*1000,0))&amp;" g"),"")))</f>
        <v/>
      </c>
      <c r="AQ222" s="5086"/>
      <c r="AR222" s="104" t="str">
        <f t="shared" si="42"/>
        <v>►</v>
      </c>
      <c r="AS222" s="32" t="str">
        <f>AS200</f>
        <v>N NUESTRA MORCILLA | | Autor &gt; Guy KRENZE - Eric GODDYN - Arnaud NICOLAS - CEPROC 2002</v>
      </c>
      <c r="AT222" s="33">
        <f>AT200</f>
        <v>16.34</v>
      </c>
      <c r="AU222" s="32" t="str">
        <f>AU200</f>
        <v>Kg</v>
      </c>
      <c r="AV222" s="34" t="str">
        <f>AV200</f>
        <v>Receta madre ► Morcilla en 4 versiones</v>
      </c>
      <c r="AW222" s="92"/>
      <c r="AX222" s="108"/>
      <c r="AY222" s="94" t="str">
        <f t="shared" si="39"/>
        <v/>
      </c>
      <c r="AZ222" s="95"/>
      <c r="BA222" s="126"/>
      <c r="BB222" s="127">
        <v>1</v>
      </c>
      <c r="BC222" s="920"/>
      <c r="BD222" s="1495">
        <f>IF(OR(ISBLANK(AW198),BD198=0),0,AW222*BB199)</f>
        <v>0</v>
      </c>
      <c r="BE222" s="101">
        <f>IFERROR(_xlfn.LET(_xlpm.v,IFERROR(_xlfn.XLOOKUP(BA222,AW241:BF241,AW242:BF242),_xlfn.XLOOKUP(BA222,AW243:BF243,AW244:BF244)),_xlpm.v*AZ222*BB222*BB199*IF(ISBLANK(AW222),1,AW222)),0)</f>
        <v>0</v>
      </c>
      <c r="BF222" s="1476" t="str">
        <f>_xlfn.LET(_xlpm.unite,SUBSTITUTE(TRIM(BA222)," (s)",""),_xlpm.val,BE222,_xlpm.estVol,COUNTIF(AZ241:BF241,_xlpm.unite)+COUNTIF(AZ243:BF243,_xlpm.unite)&gt;0,_xlpm.estPoids,COUNTIF(AW241:AY241,_xlpm.unite)+COUNTIF(AW243:AY243,_xlpm.unite)&gt;0,IF(_xlpm.estVol,IF(ROUND(_xlpm.val,3)&gt;=1,ROUND(_xlpm.val,3)&amp;" L",MAX(1,ROUND(_xlpm.val*100,0))&amp;" cl"),IF(_xlpm.estPoids,IF(ROUND(_xlpm.val,3)&gt;=1,ROUND(_xlpm.val,3)&amp;" Kg",MAX(1,ROUND(_xlpm.val*1000,0))&amp;" g"),"")))</f>
        <v/>
      </c>
      <c r="BG222" s="5086"/>
      <c r="BH222" s="104"/>
      <c r="BI222" s="32"/>
      <c r="BJ222" s="33"/>
      <c r="BK222" s="32"/>
      <c r="BL222" s="34"/>
      <c r="BM222" s="92"/>
      <c r="BN222" s="108"/>
      <c r="BO222" s="94"/>
      <c r="BP222" s="95"/>
      <c r="BQ222" s="105"/>
      <c r="BR222" s="5101"/>
      <c r="BS222" s="920"/>
      <c r="BT222" s="1495"/>
      <c r="BU222" s="101"/>
      <c r="BV222" s="1475"/>
      <c r="BW222" s="5086"/>
      <c r="BX222" s="104"/>
      <c r="BY222" s="32"/>
      <c r="BZ222" s="33"/>
      <c r="CA222" s="32"/>
      <c r="CB222" s="34"/>
      <c r="CC222" s="92"/>
      <c r="CD222" s="108"/>
      <c r="CE222" s="94"/>
      <c r="CF222" s="95"/>
      <c r="CG222" s="105"/>
      <c r="CH222" s="5101"/>
      <c r="CI222" s="920"/>
      <c r="CJ222" s="1495"/>
      <c r="CK222" s="101"/>
      <c r="CL222" s="1475"/>
      <c r="CM222" s="5086"/>
      <c r="CN222" s="104"/>
      <c r="CO222" s="32"/>
      <c r="CP222" s="33"/>
      <c r="CQ222" s="32"/>
      <c r="CR222" s="34"/>
      <c r="CS222" s="92"/>
      <c r="CT222" s="108"/>
      <c r="CU222" s="94"/>
      <c r="CV222" s="95"/>
      <c r="CW222" s="105"/>
      <c r="CX222" s="5101"/>
      <c r="CY222" s="920"/>
      <c r="CZ222" s="1495"/>
      <c r="DA222" s="101"/>
      <c r="DB222" s="1475"/>
      <c r="DC222" s="5109"/>
      <c r="DD222" s="5086"/>
      <c r="DF222" s="3">
        <v>1</v>
      </c>
      <c r="EY222" s="127">
        <v>1</v>
      </c>
      <c r="EZ222" s="920" t="s">
        <v>12884</v>
      </c>
      <c r="FA222" s="1494">
        <f>IF(OR(ISBLANK(ET206),FA206=0),0,ET222*EY207)</f>
        <v>0</v>
      </c>
      <c r="FB222" s="101">
        <f>IFERROR(_xlfn.LET(_xlpm.v,IFERROR(_xlfn.XLOOKUP(EX222,#REF!,#REF!),_xlfn.XLOOKUP(EX222,#REF!,#REF!)),_xlpm.v*EW222*EY222*EY207*IF(ISBLANK(ET222),1,ET222)),0)</f>
        <v>0</v>
      </c>
      <c r="FC222" s="1476" t="e">
        <f>_xlfn.LET(_xlpm.unite,SUBSTITUTE(TRIM(EX222)," (s)",""),_xlpm.val,FB222,_xlpm.estVol,COUNTIF(#REF!,_xlpm.unite)+COUNTIF(#REF!,_xlpm.unite)&gt;0,_xlpm.estPoids,COUNTIF(#REF!,_xlpm.unite)+COUNTIF(#REF!,_xlpm.unite)&gt;0,IF(_xlpm.estVol,IF(ROUND(_xlpm.val,3)&gt;=1,ROUND(_xlpm.val,3)&amp;" L",MAX(1,ROUND(_xlpm.val*100,0))&amp;" cl"),IF(_xlpm.estPoids,IF(ROUND(_xlpm.val,3)&gt;=1,ROUND(_xlpm.val,3)&amp;" Kg",MAX(1,ROUND(_xlpm.val*1000,0))&amp;" g"),"")))</f>
        <v>#REF!</v>
      </c>
      <c r="FE222" s="104" t="str">
        <f t="shared" si="44"/>
        <v>A</v>
      </c>
      <c r="FF222" s="32" t="str">
        <f>FF208</f>
        <v>R RODAJA DE MANITAS DE CERDO para terrinas | | Autor &gt; USTED</v>
      </c>
      <c r="FG222" s="33">
        <f>FG208</f>
        <v>1</v>
      </c>
      <c r="FH222" s="32" t="str">
        <f>FH208</f>
        <v>molde L 30 cm × A 9 cm × H 6 cm</v>
      </c>
      <c r="FI222" s="34" t="str">
        <f>FI208</f>
        <v>Receta madre ► Introduzca el nombre de la receta principal</v>
      </c>
      <c r="FJ222" s="92"/>
      <c r="FK222" s="108"/>
      <c r="FL222" s="94" t="str">
        <f t="shared" si="43"/>
        <v/>
      </c>
      <c r="FM222" s="95">
        <v>7</v>
      </c>
      <c r="FN222" s="105" t="s">
        <v>99</v>
      </c>
      <c r="FO222" s="127">
        <v>1</v>
      </c>
      <c r="FP222" s="920" t="s">
        <v>12885</v>
      </c>
      <c r="FQ222" s="1494">
        <f>IF(OR(ISBLANK(FJ206),FQ206=0),0,FJ222*FO207)</f>
        <v>0</v>
      </c>
      <c r="FR222" s="101">
        <f>IFERROR(_xlfn.LET(_xlpm.v,IFERROR(_xlfn.XLOOKUP(FN222,#REF!,#REF!),_xlfn.XLOOKUP(FN222,#REF!,#REF!)),_xlpm.v*FM222*FO222*FO207*IF(ISBLANK(FJ222),1,FJ222)),0)</f>
        <v>0</v>
      </c>
      <c r="FS222" s="1476" t="e">
        <f>_xlfn.LET(_xlpm.unite,SUBSTITUTE(TRIM(FN222)," (s)",""),_xlpm.val,FR222,_xlpm.estVol,COUNTIF(#REF!,_xlpm.unite)+COUNTIF(#REF!,_xlpm.unite)&gt;0,_xlpm.estPoids,COUNTIF(#REF!,_xlpm.unite)+COUNTIF(#REF!,_xlpm.unite)&gt;0,IF(_xlpm.estVol,IF(ROUND(_xlpm.val,3)&gt;=1,ROUND(_xlpm.val,3)&amp;" L",MAX(1,ROUND(_xlpm.val*100,0))&amp;" cl"),IF(_xlpm.estPoids,IF(ROUND(_xlpm.val,3)&gt;=1,ROUND(_xlpm.val,3)&amp;" Kg",MAX(1,ROUND(_xlpm.val*1000,0))&amp;" g"),"")))</f>
        <v>#REF!</v>
      </c>
      <c r="FW222" s="172" t="s">
        <v>12856</v>
      </c>
      <c r="GD222" s="5046"/>
      <c r="GE222" s="5046" t="s">
        <v>12968</v>
      </c>
      <c r="GJ222" s="5046" t="s">
        <v>12969</v>
      </c>
    </row>
    <row r="223" spans="2:192" ht="21" customHeight="1">
      <c r="B223" s="952" t="str">
        <f t="shared" si="36"/>
        <v>►</v>
      </c>
      <c r="C223" s="993" cm="1">
        <f t="array" ref="C223">SUMPRODUCT(LEN(D223:J223))</f>
        <v>0</v>
      </c>
      <c r="D223" s="167"/>
      <c r="E223" s="172"/>
      <c r="F223" s="172"/>
      <c r="G223" s="172"/>
      <c r="H223" s="172"/>
      <c r="I223" s="172"/>
      <c r="J223" s="173"/>
      <c r="K223"/>
      <c r="L223" s="104" t="str">
        <f t="shared" si="40"/>
        <v>►</v>
      </c>
      <c r="M223" s="32" t="str">
        <f>M200</f>
        <v>N NOTRE BOUDIN NOIR | | Auteur &gt; Guy KRENZE - Eric GODDYN - Arnaud NICOLAS - CEPROC 2002</v>
      </c>
      <c r="N223" s="33">
        <f>N200</f>
        <v>16.34</v>
      </c>
      <c r="O223" s="32" t="str">
        <f>O200</f>
        <v>Kg</v>
      </c>
      <c r="P223" s="34" t="str">
        <f>P200</f>
        <v>Recette mère ► le Boudin en 4 déclinaisons</v>
      </c>
      <c r="Q223" s="92"/>
      <c r="R223" s="108"/>
      <c r="S223" s="94" t="str">
        <f t="shared" si="37"/>
        <v/>
      </c>
      <c r="T223" s="95"/>
      <c r="U223" s="126"/>
      <c r="V223" s="127">
        <v>1</v>
      </c>
      <c r="W223" s="920"/>
      <c r="X223" s="1495">
        <f>IF(OR(ISBLANK(Q198),X198=0),0,Q223*V199)</f>
        <v>0</v>
      </c>
      <c r="Y223" s="101">
        <f>IFERROR(_xlfn.LET(_xlpm.v,IFERROR(_xlfn.XLOOKUP(U223,Q241:Z241,Q242:Z242),_xlfn.XLOOKUP(U223,Q243:Z243,Q244:Z244)),_xlpm.v*T223*V223*V199*IF(ISBLANK(Q223),1,Q223)),0)</f>
        <v>0</v>
      </c>
      <c r="Z223" s="1475" t="str">
        <f>_xlfn.LET(_xlpm.unite,SUBSTITUTE(TRIM(U223)," (s)",""),_xlpm.val,Y223,_xlpm.estVol,COUNTIF(T241:Z241,_xlpm.unite)+COUNTIF(T243:Z243,_xlpm.unite)&gt;0,_xlpm.estPoids,COUNTIF(Q241:S241,_xlpm.unite)+COUNTIF(Q243:S243,_xlpm.unite)&gt;0,IF(_xlpm.estVol,IF(ROUND(_xlpm.val,3)&gt;=1,ROUND(_xlpm.val,3)&amp;" L",MAX(1,ROUND(_xlpm.val*100,0))&amp;" cl"),IF(_xlpm.estPoids,IF(ROUND(_xlpm.val,3)&gt;=1,ROUND(_xlpm.val,3)&amp;" Kg",MAX(1,ROUND(_xlpm.val*1000,0))&amp;" g"),"")))</f>
        <v/>
      </c>
      <c r="AA223" s="5086"/>
      <c r="AB223" s="104" t="str">
        <f t="shared" si="41"/>
        <v>►</v>
      </c>
      <c r="AC223" s="32" t="str">
        <f>AC200</f>
        <v>O OUR BLACK PUDDING | |  Author &gt; Guy KRENZE - Eric GODDYN - Arnaud NICOLAS - CEPROC 2002</v>
      </c>
      <c r="AD223" s="33">
        <f>AD200</f>
        <v>16.34</v>
      </c>
      <c r="AE223" s="32" t="str">
        <f>AE200</f>
        <v>Kg</v>
      </c>
      <c r="AF223" s="34" t="str">
        <f>AF200</f>
        <v>Master recipe ► Black pudding in 4 variations</v>
      </c>
      <c r="AG223" s="92"/>
      <c r="AH223" s="108"/>
      <c r="AI223" s="94" t="str">
        <f t="shared" si="38"/>
        <v/>
      </c>
      <c r="AJ223" s="95"/>
      <c r="AK223" s="126"/>
      <c r="AL223" s="127">
        <v>1</v>
      </c>
      <c r="AM223" s="920"/>
      <c r="AN223" s="1495">
        <f>IF(OR(ISBLANK(AG198),AN198=0),0,AG223*AL199)</f>
        <v>0</v>
      </c>
      <c r="AO223" s="101">
        <f>IFERROR(_xlfn.LET(_xlpm.v,IFERROR(_xlfn.XLOOKUP(AK223,AG241:AP241,AG242:AP242),_xlfn.XLOOKUP(AK223,AG243:AP243,AG244:AP244)),_xlpm.v*AJ223*AL223*AL199*IF(ISBLANK(AG223),1,AG223)),0)</f>
        <v>0</v>
      </c>
      <c r="AP223" s="1475" t="str">
        <f>_xlfn.LET(_xlpm.unite,SUBSTITUTE(TRIM(AK223)," (s)",""),_xlpm.val,AO223,_xlpm.estVol,COUNTIF(AJ241:AP241,_xlpm.unite)+COUNTIF(AJ243:AP243,_xlpm.unite)&gt;0,_xlpm.estPoids,COUNTIF(AG241:AI241,_xlpm.unite)+COUNTIF(AG243:AI243,_xlpm.unite)&gt;0,IF(_xlpm.estVol,IF(ROUND(_xlpm.val,3)&gt;=1,ROUND(_xlpm.val,3)&amp;" L",MAX(1,ROUND(_xlpm.val*100,0))&amp;" cl"),IF(_xlpm.estPoids,IF(ROUND(_xlpm.val,3)&gt;=1,ROUND(_xlpm.val,3)&amp;" Kg",MAX(1,ROUND(_xlpm.val*1000,0))&amp;" g"),"")))</f>
        <v/>
      </c>
      <c r="AQ223" s="5086"/>
      <c r="AR223" s="104" t="str">
        <f t="shared" si="42"/>
        <v>►</v>
      </c>
      <c r="AS223" s="32" t="str">
        <f>AS200</f>
        <v>N NUESTRA MORCILLA | | Autor &gt; Guy KRENZE - Eric GODDYN - Arnaud NICOLAS - CEPROC 2002</v>
      </c>
      <c r="AT223" s="33">
        <f>AT200</f>
        <v>16.34</v>
      </c>
      <c r="AU223" s="32" t="str">
        <f>AU200</f>
        <v>Kg</v>
      </c>
      <c r="AV223" s="34" t="str">
        <f>AV200</f>
        <v>Receta madre ► Morcilla en 4 versiones</v>
      </c>
      <c r="AW223" s="92"/>
      <c r="AX223" s="108"/>
      <c r="AY223" s="94" t="str">
        <f t="shared" si="39"/>
        <v/>
      </c>
      <c r="AZ223" s="95"/>
      <c r="BA223" s="126"/>
      <c r="BB223" s="127">
        <v>1</v>
      </c>
      <c r="BC223" s="920"/>
      <c r="BD223" s="1495">
        <f>IF(OR(ISBLANK(AW198),BD198=0),0,AW223*BB199)</f>
        <v>0</v>
      </c>
      <c r="BE223" s="101">
        <f>IFERROR(_xlfn.LET(_xlpm.v,IFERROR(_xlfn.XLOOKUP(BA223,AW241:BF241,AW242:BF242),_xlfn.XLOOKUP(BA223,AW243:BF243,AW244:BF244)),_xlpm.v*AZ223*BB223*BB199*IF(ISBLANK(AW223),1,AW223)),0)</f>
        <v>0</v>
      </c>
      <c r="BF223" s="1475" t="str">
        <f>_xlfn.LET(_xlpm.unite,SUBSTITUTE(TRIM(BA223)," (s)",""),_xlpm.val,BE223,_xlpm.estVol,COUNTIF(AZ241:BF241,_xlpm.unite)+COUNTIF(AZ243:BF243,_xlpm.unite)&gt;0,_xlpm.estPoids,COUNTIF(AW241:AY241,_xlpm.unite)+COUNTIF(AW243:AY243,_xlpm.unite)&gt;0,IF(_xlpm.estVol,IF(ROUND(_xlpm.val,3)&gt;=1,ROUND(_xlpm.val,3)&amp;" L",MAX(1,ROUND(_xlpm.val*100,0))&amp;" cl"),IF(_xlpm.estPoids,IF(ROUND(_xlpm.val,3)&gt;=1,ROUND(_xlpm.val,3)&amp;" Kg",MAX(1,ROUND(_xlpm.val*1000,0))&amp;" g"),"")))</f>
        <v/>
      </c>
      <c r="BG223" s="5086"/>
      <c r="BH223" s="104"/>
      <c r="BI223" s="32"/>
      <c r="BJ223" s="33"/>
      <c r="BK223" s="32"/>
      <c r="BL223" s="34"/>
      <c r="BM223" s="92"/>
      <c r="BN223" s="108"/>
      <c r="BO223" s="94"/>
      <c r="BP223" s="95"/>
      <c r="BQ223" s="105"/>
      <c r="BR223" s="5101"/>
      <c r="BS223" s="920"/>
      <c r="BT223" s="1495"/>
      <c r="BU223" s="101"/>
      <c r="BV223" s="1475"/>
      <c r="BW223" s="5086"/>
      <c r="BX223" s="104"/>
      <c r="BY223" s="32"/>
      <c r="BZ223" s="33"/>
      <c r="CA223" s="32"/>
      <c r="CB223" s="34"/>
      <c r="CC223" s="92"/>
      <c r="CD223" s="108"/>
      <c r="CE223" s="94"/>
      <c r="CF223" s="95"/>
      <c r="CG223" s="105"/>
      <c r="CH223" s="5101"/>
      <c r="CI223" s="920"/>
      <c r="CJ223" s="1495"/>
      <c r="CK223" s="101"/>
      <c r="CL223" s="1475"/>
      <c r="CM223" s="5086"/>
      <c r="CN223" s="104"/>
      <c r="CO223" s="32"/>
      <c r="CP223" s="33"/>
      <c r="CQ223" s="32"/>
      <c r="CR223" s="34"/>
      <c r="CS223" s="92"/>
      <c r="CT223" s="108"/>
      <c r="CU223" s="94"/>
      <c r="CV223" s="95"/>
      <c r="CW223" s="105"/>
      <c r="CX223" s="5101"/>
      <c r="CY223" s="920"/>
      <c r="CZ223" s="1495"/>
      <c r="DA223" s="101"/>
      <c r="DB223" s="1475"/>
      <c r="DC223" s="5109"/>
      <c r="DD223" s="5086"/>
      <c r="DF223" s="3">
        <v>1</v>
      </c>
      <c r="EY223" s="172"/>
      <c r="EZ223" s="172"/>
      <c r="FA223" s="172"/>
      <c r="FB223" s="156" t="s">
        <v>894</v>
      </c>
      <c r="FC223" s="1484" t="s">
        <v>166</v>
      </c>
      <c r="FE223" s="104" t="s">
        <v>16</v>
      </c>
      <c r="FF223" s="157" t="str">
        <f>FF208</f>
        <v>R RODAJA DE MANITAS DE CERDO para terrinas | | Autor &gt; USTED</v>
      </c>
      <c r="FG223" s="157">
        <f>FG208</f>
        <v>1</v>
      </c>
      <c r="FH223" s="158" t="str">
        <f>FH208</f>
        <v>molde L 30 cm × A 9 cm × H 6 cm</v>
      </c>
      <c r="FI223" s="159" t="str">
        <f>FI208</f>
        <v>Receta madre ► Introduzca el nombre de la receta principal</v>
      </c>
      <c r="FJ223" s="232" t="s">
        <v>754</v>
      </c>
      <c r="FK223" s="161" t="s">
        <v>3325</v>
      </c>
      <c r="FL223" s="162"/>
      <c r="FM223" s="162"/>
      <c r="FN223" s="172"/>
      <c r="FO223" s="172"/>
      <c r="FP223" s="172"/>
      <c r="FQ223" s="172"/>
      <c r="FR223" s="905" t="s">
        <v>908</v>
      </c>
      <c r="FS223" s="1484" t="s">
        <v>166</v>
      </c>
      <c r="FW223" s="172" t="s">
        <v>12990</v>
      </c>
      <c r="GD223" s="852"/>
      <c r="GE223" s="852" t="s">
        <v>12991</v>
      </c>
      <c r="GJ223" s="852" t="s">
        <v>12992</v>
      </c>
    </row>
    <row r="224" spans="2:192" ht="21" customHeight="1">
      <c r="B224" s="952" t="str">
        <f t="shared" si="36"/>
        <v>A</v>
      </c>
      <c r="C224" s="993" cm="1">
        <f t="array" ref="C224">SUMPRODUCT(LEN(D224:J224))</f>
        <v>0</v>
      </c>
      <c r="D224" s="167"/>
      <c r="E224" s="172"/>
      <c r="F224" s="172"/>
      <c r="G224" s="172"/>
      <c r="H224" s="172"/>
      <c r="I224" s="172"/>
      <c r="J224" s="173"/>
      <c r="K224"/>
      <c r="L224" s="27" t="s">
        <v>11</v>
      </c>
      <c r="M224" s="32" t="str">
        <f>M200</f>
        <v>N NOTRE BOUDIN NOIR | | Auteur &gt; Guy KRENZE - Eric GODDYN - Arnaud NICOLAS - CEPROC 2002</v>
      </c>
      <c r="N224" s="33">
        <f>N200</f>
        <v>16.34</v>
      </c>
      <c r="O224" s="32" t="str">
        <f>O200</f>
        <v>Kg</v>
      </c>
      <c r="P224" s="34" t="str">
        <f>P200</f>
        <v>Recette mère ► le Boudin en 4 déclinaisons</v>
      </c>
      <c r="Q224" s="907" t="s">
        <v>136</v>
      </c>
      <c r="R224" s="500"/>
      <c r="S224" s="500"/>
      <c r="T224" s="500"/>
      <c r="U224" s="500"/>
      <c r="V224" s="908"/>
      <c r="W224" s="909"/>
      <c r="X224" s="909"/>
      <c r="Y224" s="5164">
        <f>SUM(Y204:Y223)</f>
        <v>5.0011028151774788</v>
      </c>
      <c r="Z224" s="1489"/>
      <c r="AA224" s="5086"/>
      <c r="AB224" s="27" t="s">
        <v>11</v>
      </c>
      <c r="AC224" s="32" t="str">
        <f>AC200</f>
        <v>O OUR BLACK PUDDING | |  Author &gt; Guy KRENZE - Eric GODDYN - Arnaud NICOLAS - CEPROC 2002</v>
      </c>
      <c r="AD224" s="33">
        <f>AD200</f>
        <v>16.34</v>
      </c>
      <c r="AE224" s="32" t="str">
        <f>AE200</f>
        <v>Kg</v>
      </c>
      <c r="AF224" s="34" t="str">
        <f>AF200</f>
        <v>Master recipe ► Black pudding in 4 variations</v>
      </c>
      <c r="AG224" s="907" t="s">
        <v>136</v>
      </c>
      <c r="AH224" s="500"/>
      <c r="AI224" s="500"/>
      <c r="AJ224" s="500"/>
      <c r="AK224" s="500"/>
      <c r="AL224" s="908"/>
      <c r="AM224" s="909"/>
      <c r="AN224" s="909"/>
      <c r="AO224" s="5164">
        <f>SUM(AO204:AO223)</f>
        <v>5.0011028151774788</v>
      </c>
      <c r="AP224" s="1489"/>
      <c r="AQ224" s="5086"/>
      <c r="AR224" s="27" t="s">
        <v>11</v>
      </c>
      <c r="AS224" s="32" t="str">
        <f>AS200</f>
        <v>N NUESTRA MORCILLA | | Autor &gt; Guy KRENZE - Eric GODDYN - Arnaud NICOLAS - CEPROC 2002</v>
      </c>
      <c r="AT224" s="33">
        <f>AT200</f>
        <v>16.34</v>
      </c>
      <c r="AU224" s="32" t="str">
        <f>AU200</f>
        <v>Kg</v>
      </c>
      <c r="AV224" s="34" t="str">
        <f>AV200</f>
        <v>Receta madre ► Morcilla en 4 versiones</v>
      </c>
      <c r="AW224" s="907" t="s">
        <v>893</v>
      </c>
      <c r="AX224" s="500"/>
      <c r="AY224" s="500"/>
      <c r="AZ224" s="500"/>
      <c r="BA224" s="500"/>
      <c r="BB224" s="908"/>
      <c r="BC224" s="909"/>
      <c r="BD224" s="909"/>
      <c r="BE224" s="5164">
        <f>SUM(BE204:BE223)</f>
        <v>5.0011028151774788</v>
      </c>
      <c r="BF224" s="1489"/>
      <c r="BG224" s="5086"/>
      <c r="BH224" s="104"/>
      <c r="BI224" s="32"/>
      <c r="BJ224" s="33"/>
      <c r="BK224" s="32"/>
      <c r="BL224" s="34"/>
      <c r="BM224" s="92"/>
      <c r="BN224" s="108"/>
      <c r="BO224" s="94"/>
      <c r="BP224" s="95"/>
      <c r="BQ224" s="105"/>
      <c r="BR224" s="5101"/>
      <c r="BS224" s="920"/>
      <c r="BT224" s="1495"/>
      <c r="BU224" s="101"/>
      <c r="BV224" s="1475"/>
      <c r="BW224" s="5086"/>
      <c r="BX224" s="104"/>
      <c r="BY224" s="32"/>
      <c r="BZ224" s="33"/>
      <c r="CA224" s="32"/>
      <c r="CB224" s="34"/>
      <c r="CC224" s="92"/>
      <c r="CD224" s="108"/>
      <c r="CE224" s="94"/>
      <c r="CF224" s="95"/>
      <c r="CG224" s="105"/>
      <c r="CH224" s="5101"/>
      <c r="CI224" s="920"/>
      <c r="CJ224" s="1495"/>
      <c r="CK224" s="101"/>
      <c r="CL224" s="1475"/>
      <c r="CM224" s="5086"/>
      <c r="CN224" s="104"/>
      <c r="CO224" s="32"/>
      <c r="CP224" s="33"/>
      <c r="CQ224" s="32"/>
      <c r="CR224" s="34"/>
      <c r="CS224" s="92"/>
      <c r="CT224" s="108"/>
      <c r="CU224" s="94"/>
      <c r="CV224" s="95"/>
      <c r="CW224" s="105"/>
      <c r="CX224" s="5101"/>
      <c r="CY224" s="920"/>
      <c r="CZ224" s="1495"/>
      <c r="DA224" s="101"/>
      <c r="DB224" s="1475"/>
      <c r="DC224" s="5109"/>
      <c r="DD224" s="5086"/>
      <c r="DF224" s="3">
        <v>1</v>
      </c>
      <c r="EY224" s="172"/>
      <c r="EZ224" s="172"/>
      <c r="FA224" s="172"/>
      <c r="FB224" s="1474" t="s">
        <v>895</v>
      </c>
      <c r="FC224" s="1482" t="s">
        <v>668</v>
      </c>
      <c r="FE224" s="104" t="s">
        <v>16</v>
      </c>
      <c r="FF224" s="157" t="str">
        <f>FF208</f>
        <v>R RODAJA DE MANITAS DE CERDO para terrinas | | Autor &gt; USTED</v>
      </c>
      <c r="FG224" s="157">
        <f>FG208</f>
        <v>1</v>
      </c>
      <c r="FH224" s="158" t="str">
        <f>FH208</f>
        <v>molde L 30 cm × A 9 cm × H 6 cm</v>
      </c>
      <c r="FI224" s="159" t="str">
        <f>FI208</f>
        <v>Receta madre ► Introduzca el nombre de la receta principal</v>
      </c>
      <c r="FJ224" s="172"/>
      <c r="FK224" s="172"/>
      <c r="FL224" s="172"/>
      <c r="FM224" s="172"/>
      <c r="FN224" s="172"/>
      <c r="FO224" s="172"/>
      <c r="FP224" s="172"/>
      <c r="FQ224" s="172"/>
      <c r="FR224" s="1474" t="s">
        <v>909</v>
      </c>
      <c r="FS224" s="1482" t="s">
        <v>668</v>
      </c>
      <c r="FW224" s="172" t="s">
        <v>12864</v>
      </c>
      <c r="GD224" s="852"/>
      <c r="GE224" s="852" t="s">
        <v>12993</v>
      </c>
      <c r="GJ224" s="852" t="s">
        <v>12994</v>
      </c>
    </row>
    <row r="225" spans="2:175" ht="21" customHeight="1">
      <c r="B225" s="952" t="str">
        <f t="shared" si="36"/>
        <v>A</v>
      </c>
      <c r="C225" s="993" cm="1">
        <f t="array" ref="C225">SUMPRODUCT(LEN(D225:J225))</f>
        <v>0</v>
      </c>
      <c r="D225" s="167"/>
      <c r="E225" s="172"/>
      <c r="F225" s="172"/>
      <c r="G225" s="172"/>
      <c r="H225" s="172"/>
      <c r="I225" s="172"/>
      <c r="J225" s="173"/>
      <c r="K225"/>
      <c r="L225" s="27" t="s">
        <v>11</v>
      </c>
      <c r="M225" s="32" t="str">
        <f>M200</f>
        <v>N NOTRE BOUDIN NOIR | | Auteur &gt; Guy KRENZE - Eric GODDYN - Arnaud NICOLAS - CEPROC 2002</v>
      </c>
      <c r="N225" s="33">
        <f>N200</f>
        <v>16.34</v>
      </c>
      <c r="O225" s="32" t="str">
        <f>O200</f>
        <v>Kg</v>
      </c>
      <c r="P225" s="34" t="str">
        <f>P200</f>
        <v>Recette mère ► le Boudin en 4 déclinaisons</v>
      </c>
      <c r="Q225" s="5142"/>
      <c r="R225" s="5450" t="s">
        <v>13070</v>
      </c>
      <c r="S225" s="5450"/>
      <c r="T225" s="5450"/>
      <c r="U225" s="5450"/>
      <c r="V225" s="5450"/>
      <c r="W225" s="5450"/>
      <c r="X225" s="5450"/>
      <c r="Y225" s="5450"/>
      <c r="Z225" s="5451"/>
      <c r="AA225" s="5086"/>
      <c r="AB225" s="27" t="s">
        <v>11</v>
      </c>
      <c r="AC225" s="32" t="str">
        <f>AC200</f>
        <v>O OUR BLACK PUDDING | |  Author &gt; Guy KRENZE - Eric GODDYN - Arnaud NICOLAS - CEPROC 2002</v>
      </c>
      <c r="AD225" s="33">
        <f>AD200</f>
        <v>16.34</v>
      </c>
      <c r="AE225" s="32" t="str">
        <f>AE200</f>
        <v>Kg</v>
      </c>
      <c r="AF225" s="34" t="str">
        <f>AF200</f>
        <v>Master recipe ► Black pudding in 4 variations</v>
      </c>
      <c r="AG225" s="5142"/>
      <c r="AH225" s="5450" t="s">
        <v>13173</v>
      </c>
      <c r="AI225" s="5450"/>
      <c r="AJ225" s="5450"/>
      <c r="AK225" s="5450"/>
      <c r="AL225" s="5450"/>
      <c r="AM225" s="5450"/>
      <c r="AN225" s="5450"/>
      <c r="AO225" s="5450"/>
      <c r="AP225" s="5451"/>
      <c r="AQ225" s="5086"/>
      <c r="AR225" s="27" t="s">
        <v>11</v>
      </c>
      <c r="AS225" s="32" t="str">
        <f>AS200</f>
        <v>N NUESTRA MORCILLA | | Autor &gt; Guy KRENZE - Eric GODDYN - Arnaud NICOLAS - CEPROC 2002</v>
      </c>
      <c r="AT225" s="33">
        <f>AT200</f>
        <v>16.34</v>
      </c>
      <c r="AU225" s="32" t="str">
        <f>AU200</f>
        <v>Kg</v>
      </c>
      <c r="AV225" s="34" t="str">
        <f>AV200</f>
        <v>Receta madre ► Morcilla en 4 versiones</v>
      </c>
      <c r="AW225" s="5142"/>
      <c r="AX225" s="5450" t="s">
        <v>13183</v>
      </c>
      <c r="AY225" s="5450"/>
      <c r="AZ225" s="5450"/>
      <c r="BA225" s="5450"/>
      <c r="BB225" s="5450"/>
      <c r="BC225" s="5450"/>
      <c r="BD225" s="5450"/>
      <c r="BE225" s="5450"/>
      <c r="BF225" s="5451"/>
      <c r="BG225" s="5086"/>
      <c r="BH225" s="104"/>
      <c r="BI225" s="32"/>
      <c r="BJ225" s="33"/>
      <c r="BK225" s="32"/>
      <c r="BL225" s="34"/>
      <c r="BM225" s="92"/>
      <c r="BN225" s="108"/>
      <c r="BO225" s="94"/>
      <c r="BP225" s="95"/>
      <c r="BQ225" s="105"/>
      <c r="BR225" s="5101"/>
      <c r="BS225" s="920"/>
      <c r="BT225" s="1495"/>
      <c r="BU225" s="101"/>
      <c r="BV225" s="1475"/>
      <c r="BW225" s="5086"/>
      <c r="BX225" s="104"/>
      <c r="BY225" s="32"/>
      <c r="BZ225" s="33"/>
      <c r="CA225" s="32"/>
      <c r="CB225" s="34"/>
      <c r="CC225" s="92"/>
      <c r="CD225" s="108"/>
      <c r="CE225" s="94"/>
      <c r="CF225" s="95"/>
      <c r="CG225" s="105"/>
      <c r="CH225" s="5101"/>
      <c r="CI225" s="920"/>
      <c r="CJ225" s="1495"/>
      <c r="CK225" s="101"/>
      <c r="CL225" s="1475"/>
      <c r="CM225" s="5086"/>
      <c r="CN225" s="104"/>
      <c r="CO225" s="32"/>
      <c r="CP225" s="33"/>
      <c r="CQ225" s="32"/>
      <c r="CR225" s="34"/>
      <c r="CS225" s="92"/>
      <c r="CT225" s="108"/>
      <c r="CU225" s="94"/>
      <c r="CV225" s="95"/>
      <c r="CW225" s="105"/>
      <c r="CX225" s="5101"/>
      <c r="CY225" s="920"/>
      <c r="CZ225" s="1495"/>
      <c r="DA225" s="101"/>
      <c r="DB225" s="1475"/>
      <c r="DC225" s="5109"/>
      <c r="DD225" s="5086"/>
      <c r="DF225" s="3">
        <v>1</v>
      </c>
      <c r="EY225" s="172"/>
      <c r="EZ225" s="172"/>
      <c r="FA225" s="172"/>
      <c r="FB225" s="172"/>
      <c r="FC225" s="555"/>
      <c r="FE225" s="104" t="s">
        <v>16</v>
      </c>
      <c r="FF225" s="157" t="str">
        <f>FF208</f>
        <v>R RODAJA DE MANITAS DE CERDO para terrinas | | Autor &gt; USTED</v>
      </c>
      <c r="FG225" s="157">
        <f>FG208</f>
        <v>1</v>
      </c>
      <c r="FH225" s="158" t="str">
        <f>FH208</f>
        <v>molde L 30 cm × A 9 cm × H 6 cm</v>
      </c>
      <c r="FI225" s="159" t="str">
        <f>FI208</f>
        <v>Receta madre ► Introduzca el nombre de la receta principal</v>
      </c>
      <c r="FJ225" s="172" t="s">
        <v>12995</v>
      </c>
      <c r="FK225" s="172"/>
      <c r="FL225" s="172"/>
      <c r="FM225" s="172"/>
      <c r="FN225" s="172"/>
      <c r="FO225" s="172"/>
      <c r="FP225" s="172"/>
      <c r="FQ225" s="172"/>
      <c r="FR225" s="172"/>
      <c r="FS225" s="555"/>
    </row>
    <row r="226" spans="2:175" ht="21" customHeight="1">
      <c r="B226" s="952" t="str">
        <f t="shared" si="36"/>
        <v>A</v>
      </c>
      <c r="C226" s="993" cm="1">
        <f t="array" ref="C226">SUMPRODUCT(LEN(D226:J226))</f>
        <v>0</v>
      </c>
      <c r="D226" s="167"/>
      <c r="E226" s="172"/>
      <c r="F226" s="172"/>
      <c r="G226" s="172"/>
      <c r="H226" s="172"/>
      <c r="I226" s="172"/>
      <c r="J226" s="173"/>
      <c r="K226"/>
      <c r="L226" s="27" t="s">
        <v>11</v>
      </c>
      <c r="M226" s="32" t="str">
        <f>M200</f>
        <v>N NOTRE BOUDIN NOIR | | Auteur &gt; Guy KRENZE - Eric GODDYN - Arnaud NICOLAS - CEPROC 2002</v>
      </c>
      <c r="N226" s="33">
        <f>N200</f>
        <v>16.34</v>
      </c>
      <c r="O226" s="32" t="str">
        <f>O200</f>
        <v>Kg</v>
      </c>
      <c r="P226" s="34" t="str">
        <f>P200</f>
        <v>Recette mère ► le Boudin en 4 déclinaisons</v>
      </c>
      <c r="Q226" s="5130">
        <v>0.40799999999999997</v>
      </c>
      <c r="R226" s="5053" t="s">
        <v>872</v>
      </c>
      <c r="S226" s="5131" t="s">
        <v>13096</v>
      </c>
      <c r="T226" s="42"/>
      <c r="U226" s="5129"/>
      <c r="V226" s="5129"/>
      <c r="W226" s="5162" t="str">
        <f>W218</f>
        <v>poivre et épices en mélange 3g/kg</v>
      </c>
      <c r="X226" s="5163">
        <f>Y218</f>
        <v>1.4999999999999999E-2</v>
      </c>
      <c r="Y226" s="5452" t="str">
        <f>R226</f>
        <v>Kg</v>
      </c>
      <c r="Z226" s="5453"/>
      <c r="AA226" s="5086"/>
      <c r="AB226" s="27" t="s">
        <v>11</v>
      </c>
      <c r="AC226" s="32" t="str">
        <f>AC200</f>
        <v>O OUR BLACK PUDDING | |  Author &gt; Guy KRENZE - Eric GODDYN - Arnaud NICOLAS - CEPROC 2002</v>
      </c>
      <c r="AD226" s="33">
        <f>AD200</f>
        <v>16.34</v>
      </c>
      <c r="AE226" s="32" t="str">
        <f>AE200</f>
        <v>Kg</v>
      </c>
      <c r="AF226" s="34" t="str">
        <f>AF200</f>
        <v>Master recipe ► Black pudding in 4 variations</v>
      </c>
      <c r="AG226" s="5130">
        <v>0.40799999999999997</v>
      </c>
      <c r="AH226" s="5053" t="s">
        <v>872</v>
      </c>
      <c r="AI226" s="5131" t="s">
        <v>13096</v>
      </c>
      <c r="AJ226" s="42"/>
      <c r="AK226" s="5129"/>
      <c r="AL226" s="5129"/>
      <c r="AM226" s="5162" t="str">
        <f>AM218</f>
        <v>mixed pepper and spices 3 g/kg</v>
      </c>
      <c r="AN226" s="5163">
        <f>AO218</f>
        <v>1.4999999999999999E-2</v>
      </c>
      <c r="AO226" s="5452" t="str">
        <f>AH226</f>
        <v>Kg</v>
      </c>
      <c r="AP226" s="5453"/>
      <c r="AQ226" s="5086"/>
      <c r="AR226" s="27" t="s">
        <v>11</v>
      </c>
      <c r="AS226" s="32" t="str">
        <f>AS200</f>
        <v>N NUESTRA MORCILLA | | Autor &gt; Guy KRENZE - Eric GODDYN - Arnaud NICOLAS - CEPROC 2002</v>
      </c>
      <c r="AT226" s="33">
        <f>AT200</f>
        <v>16.34</v>
      </c>
      <c r="AU226" s="32" t="str">
        <f>AU200</f>
        <v>Kg</v>
      </c>
      <c r="AV226" s="34" t="str">
        <f>AV200</f>
        <v>Receta madre ► Morcilla en 4 versiones</v>
      </c>
      <c r="AW226" s="5130">
        <v>0.40799999999999997</v>
      </c>
      <c r="AX226" s="5053" t="s">
        <v>872</v>
      </c>
      <c r="AY226" s="5131" t="s">
        <v>13239</v>
      </c>
      <c r="AZ226" s="42"/>
      <c r="BA226" s="5129"/>
      <c r="BB226" s="5129"/>
      <c r="BC226" s="5162" t="str">
        <f>BC218</f>
        <v>mezcla de pimienta y especias 3 g/kg</v>
      </c>
      <c r="BD226" s="5163">
        <f>BE218</f>
        <v>1.4999999999999999E-2</v>
      </c>
      <c r="BE226" s="5452" t="str">
        <f>AX226</f>
        <v>Kg</v>
      </c>
      <c r="BF226" s="5453"/>
      <c r="BG226" s="5086"/>
      <c r="BH226" s="104"/>
      <c r="BI226" s="32"/>
      <c r="BJ226" s="33"/>
      <c r="BK226" s="32"/>
      <c r="BL226" s="34"/>
      <c r="BM226" s="92"/>
      <c r="BN226" s="108"/>
      <c r="BO226" s="94"/>
      <c r="BP226" s="95"/>
      <c r="BQ226" s="105"/>
      <c r="BR226" s="5101"/>
      <c r="BS226" s="920"/>
      <c r="BT226" s="1495"/>
      <c r="BU226" s="101"/>
      <c r="BV226" s="1475"/>
      <c r="BW226" s="5086"/>
      <c r="BX226" s="104"/>
      <c r="BY226" s="32"/>
      <c r="BZ226" s="33"/>
      <c r="CA226" s="32"/>
      <c r="CB226" s="34"/>
      <c r="CC226" s="92"/>
      <c r="CD226" s="108"/>
      <c r="CE226" s="94"/>
      <c r="CF226" s="95"/>
      <c r="CG226" s="105"/>
      <c r="CH226" s="5101"/>
      <c r="CI226" s="920"/>
      <c r="CJ226" s="1495"/>
      <c r="CK226" s="101"/>
      <c r="CL226" s="1475"/>
      <c r="CM226" s="5086"/>
      <c r="CN226" s="104"/>
      <c r="CO226" s="32"/>
      <c r="CP226" s="33"/>
      <c r="CQ226" s="32"/>
      <c r="CR226" s="34"/>
      <c r="CS226" s="92"/>
      <c r="CT226" s="108"/>
      <c r="CU226" s="94"/>
      <c r="CV226" s="95"/>
      <c r="CW226" s="105"/>
      <c r="CX226" s="5101"/>
      <c r="CY226" s="920"/>
      <c r="CZ226" s="1495"/>
      <c r="DA226" s="101"/>
      <c r="DB226" s="1475"/>
      <c r="DC226" s="5109"/>
      <c r="DD226" s="5086"/>
      <c r="DF226" s="3">
        <v>1</v>
      </c>
      <c r="EY226" s="172"/>
      <c r="EZ226" s="172"/>
      <c r="FA226" s="172"/>
      <c r="FB226" s="170" t="s">
        <v>676</v>
      </c>
      <c r="FC226" s="171">
        <v>3.472222222222222E-3</v>
      </c>
      <c r="FE226" s="104" t="s">
        <v>16</v>
      </c>
      <c r="FF226" s="157" t="str">
        <f>FF208</f>
        <v>R RODAJA DE MANITAS DE CERDO para terrinas | | Autor &gt; USTED</v>
      </c>
      <c r="FG226" s="157">
        <f>FG208</f>
        <v>1</v>
      </c>
      <c r="FH226" s="158" t="str">
        <f>FH208</f>
        <v>molde L 30 cm × A 9 cm × H 6 cm</v>
      </c>
      <c r="FI226" s="159" t="str">
        <f>FI208</f>
        <v>Receta madre ► Introduzca el nombre de la receta principal</v>
      </c>
      <c r="FJ226" s="172" t="s">
        <v>12971</v>
      </c>
      <c r="FK226" s="172"/>
      <c r="FL226" s="172"/>
      <c r="FM226" s="172"/>
      <c r="FN226" s="172"/>
      <c r="FO226" s="172"/>
      <c r="FP226" s="172"/>
      <c r="FQ226" s="172"/>
      <c r="FR226" s="170" t="s">
        <v>677</v>
      </c>
      <c r="FS226" s="171">
        <v>3.472222222222222E-3</v>
      </c>
    </row>
    <row r="227" spans="2:175" ht="21" customHeight="1">
      <c r="B227" s="952" t="str">
        <f t="shared" si="36"/>
        <v>A</v>
      </c>
      <c r="C227" s="993" cm="1">
        <f t="array" ref="C227">SUMPRODUCT(LEN(D227:J227))</f>
        <v>0</v>
      </c>
      <c r="D227" s="167"/>
      <c r="E227" s="172"/>
      <c r="F227" s="172"/>
      <c r="G227" s="172"/>
      <c r="H227" s="172"/>
      <c r="I227" s="172"/>
      <c r="J227" s="173"/>
      <c r="K227"/>
      <c r="L227" s="27" t="s">
        <v>11</v>
      </c>
      <c r="M227" s="32" t="str">
        <f>M200</f>
        <v>N NOTRE BOUDIN NOIR | | Auteur &gt; Guy KRENZE - Eric GODDYN - Arnaud NICOLAS - CEPROC 2002</v>
      </c>
      <c r="N227" s="33">
        <f>N200</f>
        <v>16.34</v>
      </c>
      <c r="O227" s="32" t="str">
        <f>O200</f>
        <v>Kg</v>
      </c>
      <c r="P227" s="34" t="str">
        <f>P200</f>
        <v>Recette mère ► le Boudin en 4 déclinaisons</v>
      </c>
      <c r="Q227" s="5145" t="s">
        <v>50</v>
      </c>
      <c r="R227" s="5143">
        <f>Y240/V227</f>
        <v>0.40750000000000003</v>
      </c>
      <c r="S227" s="5144" t="s">
        <v>13099</v>
      </c>
      <c r="T227" s="5044"/>
      <c r="U227" s="59"/>
      <c r="V227" s="5268">
        <f>IFERROR(X226/Q226,0)</f>
        <v>3.6764705882352942E-2</v>
      </c>
      <c r="W227" s="5132"/>
      <c r="X227" s="5133"/>
      <c r="Y227" s="5134"/>
      <c r="Z227" s="5141"/>
      <c r="AA227" s="5086"/>
      <c r="AB227" s="27" t="s">
        <v>11</v>
      </c>
      <c r="AC227" s="32" t="str">
        <f>AC200</f>
        <v>O OUR BLACK PUDDING | |  Author &gt; Guy KRENZE - Eric GODDYN - Arnaud NICOLAS - CEPROC 2002</v>
      </c>
      <c r="AD227" s="33">
        <f>AD200</f>
        <v>16.34</v>
      </c>
      <c r="AE227" s="32" t="str">
        <f>AE200</f>
        <v>Kg</v>
      </c>
      <c r="AF227" s="34" t="str">
        <f>AF200</f>
        <v>Master recipe ► Black pudding in 4 variations</v>
      </c>
      <c r="AG227" s="5145" t="s">
        <v>13193</v>
      </c>
      <c r="AH227" s="5143">
        <f>AO240/AL227</f>
        <v>0.40750000000000003</v>
      </c>
      <c r="AI227" s="5144" t="s">
        <v>13192</v>
      </c>
      <c r="AJ227" s="5044"/>
      <c r="AK227" s="59"/>
      <c r="AL227" s="1490">
        <f>IFERROR(AN226/AG226,0)</f>
        <v>3.6764705882352942E-2</v>
      </c>
      <c r="AM227" s="5132"/>
      <c r="AN227" s="5133"/>
      <c r="AO227" s="5134"/>
      <c r="AP227" s="5141"/>
      <c r="AQ227" s="5086"/>
      <c r="AR227" s="27" t="s">
        <v>11</v>
      </c>
      <c r="AS227" s="32" t="str">
        <f>AS200</f>
        <v>N NUESTRA MORCILLA | | Autor &gt; Guy KRENZE - Eric GODDYN - Arnaud NICOLAS - CEPROC 2002</v>
      </c>
      <c r="AT227" s="33">
        <f>AT200</f>
        <v>16.34</v>
      </c>
      <c r="AU227" s="32" t="str">
        <f>AU200</f>
        <v>Kg</v>
      </c>
      <c r="AV227" s="34" t="str">
        <f>AV200</f>
        <v>Receta madre ► Morcilla en 4 versiones</v>
      </c>
      <c r="AW227" s="5145" t="s">
        <v>248</v>
      </c>
      <c r="AX227" s="5143">
        <f>BE240/BB227</f>
        <v>0.40750000000000003</v>
      </c>
      <c r="AY227" s="5144" t="s">
        <v>13240</v>
      </c>
      <c r="AZ227" s="5044"/>
      <c r="BA227" s="59"/>
      <c r="BB227" s="1490">
        <f>IFERROR(BD226/AW226,0)</f>
        <v>3.6764705882352942E-2</v>
      </c>
      <c r="BC227" s="5132"/>
      <c r="BD227" s="5133"/>
      <c r="BE227" s="5134"/>
      <c r="BF227" s="5141"/>
      <c r="BG227" s="5086"/>
      <c r="BH227" s="104"/>
      <c r="BI227" s="32"/>
      <c r="BJ227" s="33"/>
      <c r="BK227" s="32"/>
      <c r="BL227" s="34"/>
      <c r="BM227" s="92"/>
      <c r="BN227" s="108"/>
      <c r="BO227" s="94"/>
      <c r="BP227" s="95"/>
      <c r="BQ227" s="105"/>
      <c r="BR227" s="5101"/>
      <c r="BS227" s="920"/>
      <c r="BT227" s="1495"/>
      <c r="BU227" s="101"/>
      <c r="BV227" s="1475"/>
      <c r="BW227" s="5086"/>
      <c r="BX227" s="104"/>
      <c r="BY227" s="32"/>
      <c r="BZ227" s="33"/>
      <c r="CA227" s="32"/>
      <c r="CB227" s="34"/>
      <c r="CC227" s="92"/>
      <c r="CD227" s="108"/>
      <c r="CE227" s="94"/>
      <c r="CF227" s="95"/>
      <c r="CG227" s="105"/>
      <c r="CH227" s="5101"/>
      <c r="CI227" s="920"/>
      <c r="CJ227" s="1495"/>
      <c r="CK227" s="101"/>
      <c r="CL227" s="1475"/>
      <c r="CM227" s="5086"/>
      <c r="CN227" s="104"/>
      <c r="CO227" s="32"/>
      <c r="CP227" s="33"/>
      <c r="CQ227" s="32"/>
      <c r="CR227" s="34"/>
      <c r="CS227" s="92"/>
      <c r="CT227" s="108"/>
      <c r="CU227" s="94"/>
      <c r="CV227" s="95"/>
      <c r="CW227" s="105"/>
      <c r="CX227" s="5101"/>
      <c r="CY227" s="920"/>
      <c r="CZ227" s="1495"/>
      <c r="DA227" s="101"/>
      <c r="DB227" s="1475"/>
      <c r="DC227" s="5109"/>
      <c r="DD227" s="5086"/>
      <c r="DF227" s="3">
        <v>1</v>
      </c>
      <c r="EY227" s="172"/>
      <c r="EZ227" s="172"/>
      <c r="FA227" s="172"/>
      <c r="FB227" s="170" t="s">
        <v>682</v>
      </c>
      <c r="FC227" s="174">
        <v>3.472222222222222E-3</v>
      </c>
      <c r="FE227" s="104" t="s">
        <v>16</v>
      </c>
      <c r="FF227" s="157" t="str">
        <f>FF208</f>
        <v>R RODAJA DE MANITAS DE CERDO para terrinas | | Autor &gt; USTED</v>
      </c>
      <c r="FG227" s="157">
        <f>FG208</f>
        <v>1</v>
      </c>
      <c r="FH227" s="158" t="str">
        <f>FH208</f>
        <v>molde L 30 cm × A 9 cm × H 6 cm</v>
      </c>
      <c r="FI227" s="159" t="str">
        <f>FI208</f>
        <v>Receta madre ► Introduzca el nombre de la receta principal</v>
      </c>
      <c r="FJ227" s="172" t="s">
        <v>12973</v>
      </c>
      <c r="FK227" s="172"/>
      <c r="FL227" s="172"/>
      <c r="FM227" s="172"/>
      <c r="FN227" s="172"/>
      <c r="FO227" s="172"/>
      <c r="FP227" s="172"/>
      <c r="FQ227" s="172"/>
      <c r="FR227" s="170" t="s">
        <v>683</v>
      </c>
      <c r="FS227" s="174">
        <v>3.472222222222222E-3</v>
      </c>
    </row>
    <row r="228" spans="2:175" ht="21" customHeight="1">
      <c r="B228" s="952" t="str">
        <f t="shared" si="36"/>
        <v>A</v>
      </c>
      <c r="C228" s="993" cm="1">
        <f t="array" ref="C228">SUMPRODUCT(LEN(D228:J228))</f>
        <v>0</v>
      </c>
      <c r="D228" s="167"/>
      <c r="E228" s="172"/>
      <c r="F228" s="172"/>
      <c r="G228" s="172"/>
      <c r="H228" s="172"/>
      <c r="I228" s="172"/>
      <c r="J228" s="173"/>
      <c r="K228"/>
      <c r="L228" s="27" t="s">
        <v>11</v>
      </c>
      <c r="M228" s="32" t="str">
        <f>M200</f>
        <v>N NOTRE BOUDIN NOIR | | Auteur &gt; Guy KRENZE - Eric GODDYN - Arnaud NICOLAS - CEPROC 2002</v>
      </c>
      <c r="N228" s="33">
        <f>N200</f>
        <v>16.34</v>
      </c>
      <c r="O228" s="32" t="str">
        <f>O200</f>
        <v>Kg</v>
      </c>
      <c r="P228" s="34" t="str">
        <f>P200</f>
        <v>Recette mère ► le Boudin en 4 déclinaisons</v>
      </c>
      <c r="Q228" s="81" t="s">
        <v>77</v>
      </c>
      <c r="R228" s="82" t="s">
        <v>78</v>
      </c>
      <c r="S228" s="83"/>
      <c r="T228" s="5470" t="s">
        <v>79</v>
      </c>
      <c r="U228" s="5480" t="s">
        <v>80</v>
      </c>
      <c r="V228" s="5481" t="s">
        <v>81</v>
      </c>
      <c r="W228" s="5138" t="s">
        <v>82</v>
      </c>
      <c r="X228" s="5482" t="s">
        <v>83</v>
      </c>
      <c r="Y228" s="5483" t="s">
        <v>3297</v>
      </c>
      <c r="Z228" s="5484" t="s">
        <v>86</v>
      </c>
      <c r="AA228" s="5086"/>
      <c r="AB228" s="27" t="s">
        <v>11</v>
      </c>
      <c r="AC228" s="32" t="str">
        <f>AC200</f>
        <v>O OUR BLACK PUDDING | |  Author &gt; Guy KRENZE - Eric GODDYN - Arnaud NICOLAS - CEPROC 2002</v>
      </c>
      <c r="AD228" s="33">
        <f>AD200</f>
        <v>16.34</v>
      </c>
      <c r="AE228" s="32" t="str">
        <f>AE200</f>
        <v>Kg</v>
      </c>
      <c r="AF228" s="34" t="str">
        <f>AF200</f>
        <v>Master recipe ► Black pudding in 4 variations</v>
      </c>
      <c r="AG228" s="81" t="s">
        <v>77</v>
      </c>
      <c r="AH228" s="82" t="s">
        <v>78</v>
      </c>
      <c r="AI228" s="83"/>
      <c r="AJ228" s="5454" t="s">
        <v>228</v>
      </c>
      <c r="AK228" s="5464" t="s">
        <v>80</v>
      </c>
      <c r="AL228" s="5466" t="s">
        <v>81</v>
      </c>
      <c r="AM228" s="84" t="s">
        <v>82</v>
      </c>
      <c r="AN228" s="5444" t="s">
        <v>244</v>
      </c>
      <c r="AO228" s="5446" t="s">
        <v>890</v>
      </c>
      <c r="AP228" s="5448" t="s">
        <v>247</v>
      </c>
      <c r="AQ228" s="5086"/>
      <c r="AR228" s="27" t="s">
        <v>11</v>
      </c>
      <c r="AS228" s="32" t="str">
        <f>AS200</f>
        <v>N NUESTRA MORCILLA | | Autor &gt; Guy KRENZE - Eric GODDYN - Arnaud NICOLAS - CEPROC 2002</v>
      </c>
      <c r="AT228" s="33">
        <f>AT200</f>
        <v>16.34</v>
      </c>
      <c r="AU228" s="32" t="str">
        <f>AU200</f>
        <v>Kg</v>
      </c>
      <c r="AV228" s="34" t="str">
        <f>AV200</f>
        <v>Receta madre ► Morcilla en 4 versiones</v>
      </c>
      <c r="AW228" s="5180" t="s">
        <v>77</v>
      </c>
      <c r="AX228" s="5181" t="s">
        <v>78</v>
      </c>
      <c r="AY228" s="310"/>
      <c r="AZ228" s="5454" t="s">
        <v>229</v>
      </c>
      <c r="BA228" s="5456" t="s">
        <v>80</v>
      </c>
      <c r="BB228" s="5458" t="s">
        <v>396</v>
      </c>
      <c r="BC228" s="5182" t="s">
        <v>82</v>
      </c>
      <c r="BD228" s="5460" t="s">
        <v>249</v>
      </c>
      <c r="BE228" s="5446" t="s">
        <v>907</v>
      </c>
      <c r="BF228" s="5462" t="s">
        <v>252</v>
      </c>
      <c r="BG228" s="5086"/>
      <c r="BH228" s="104"/>
      <c r="BI228" s="32"/>
      <c r="BJ228" s="33"/>
      <c r="BK228" s="32"/>
      <c r="BL228" s="34"/>
      <c r="BM228" s="92"/>
      <c r="BN228" s="108"/>
      <c r="BO228" s="94"/>
      <c r="BP228" s="95"/>
      <c r="BQ228" s="105"/>
      <c r="BR228" s="5101"/>
      <c r="BS228" s="920"/>
      <c r="BT228" s="1495"/>
      <c r="BU228" s="101"/>
      <c r="BV228" s="1475"/>
      <c r="BW228" s="5086"/>
      <c r="BX228" s="104"/>
      <c r="BY228" s="32"/>
      <c r="BZ228" s="33"/>
      <c r="CA228" s="32"/>
      <c r="CB228" s="34"/>
      <c r="CC228" s="92"/>
      <c r="CD228" s="108"/>
      <c r="CE228" s="94"/>
      <c r="CF228" s="95"/>
      <c r="CG228" s="105"/>
      <c r="CH228" s="5101"/>
      <c r="CI228" s="920"/>
      <c r="CJ228" s="1495"/>
      <c r="CK228" s="101"/>
      <c r="CL228" s="1475"/>
      <c r="CM228" s="5086"/>
      <c r="CN228" s="104"/>
      <c r="CO228" s="32"/>
      <c r="CP228" s="33"/>
      <c r="CQ228" s="32"/>
      <c r="CR228" s="34"/>
      <c r="CS228" s="92"/>
      <c r="CT228" s="108"/>
      <c r="CU228" s="94"/>
      <c r="CV228" s="95"/>
      <c r="CW228" s="105"/>
      <c r="CX228" s="5101"/>
      <c r="CY228" s="920"/>
      <c r="CZ228" s="1495"/>
      <c r="DA228" s="101"/>
      <c r="DB228" s="1475"/>
      <c r="DC228" s="5109"/>
      <c r="DD228" s="5086"/>
      <c r="DF228" s="3">
        <v>1</v>
      </c>
      <c r="EY228" s="172"/>
      <c r="EZ228" s="172"/>
      <c r="FA228" s="172"/>
      <c r="FB228" s="170" t="s">
        <v>684</v>
      </c>
      <c r="FC228" s="175">
        <v>3.472222222222222E-3</v>
      </c>
      <c r="FE228" s="104" t="s">
        <v>16</v>
      </c>
      <c r="FF228" s="157" t="str">
        <f>FF208</f>
        <v>R RODAJA DE MANITAS DE CERDO para terrinas | | Autor &gt; USTED</v>
      </c>
      <c r="FG228" s="157">
        <f>FG208</f>
        <v>1</v>
      </c>
      <c r="FH228" s="158" t="str">
        <f>FH208</f>
        <v>molde L 30 cm × A 9 cm × H 6 cm</v>
      </c>
      <c r="FI228" s="159" t="str">
        <f>FI208</f>
        <v>Receta madre ► Introduzca el nombre de la receta principal</v>
      </c>
      <c r="FJ228" s="172" t="s">
        <v>12975</v>
      </c>
      <c r="FK228" s="172"/>
      <c r="FL228" s="172"/>
      <c r="FM228" s="172"/>
      <c r="FN228" s="172"/>
      <c r="FO228" s="172"/>
      <c r="FP228" s="172"/>
      <c r="FQ228" s="172"/>
      <c r="FR228" s="170" t="s">
        <v>911</v>
      </c>
      <c r="FS228" s="175">
        <v>3.472222222222222E-3</v>
      </c>
    </row>
    <row r="229" spans="2:175" ht="21" customHeight="1">
      <c r="B229" s="952" t="str">
        <f t="shared" si="36"/>
        <v>A</v>
      </c>
      <c r="C229" s="993" cm="1">
        <f t="array" ref="C229">SUMPRODUCT(LEN(D229:J229))</f>
        <v>0</v>
      </c>
      <c r="D229" s="167"/>
      <c r="E229" s="172"/>
      <c r="F229" s="172"/>
      <c r="G229" s="172"/>
      <c r="H229" s="172"/>
      <c r="I229" s="172"/>
      <c r="J229" s="173"/>
      <c r="K229"/>
      <c r="L229" s="27" t="s">
        <v>11</v>
      </c>
      <c r="M229" s="32" t="str">
        <f>M200</f>
        <v>N NOTRE BOUDIN NOIR | | Auteur &gt; Guy KRENZE - Eric GODDYN - Arnaud NICOLAS - CEPROC 2002</v>
      </c>
      <c r="N229" s="33">
        <f>N200</f>
        <v>16.34</v>
      </c>
      <c r="O229" s="32" t="str">
        <f>O200</f>
        <v>Kg</v>
      </c>
      <c r="P229" s="34" t="str">
        <f>P200</f>
        <v>Recette mère ► le Boudin en 4 déclinaisons</v>
      </c>
      <c r="Q229" s="5139" t="s">
        <v>91</v>
      </c>
      <c r="R229" s="88" t="s">
        <v>92</v>
      </c>
      <c r="S229" s="89" t="s">
        <v>93</v>
      </c>
      <c r="T229" s="5455"/>
      <c r="U229" s="5457"/>
      <c r="V229" s="5459"/>
      <c r="W229" s="5140" t="s">
        <v>94</v>
      </c>
      <c r="X229" s="5461"/>
      <c r="Y229" s="5447"/>
      <c r="Z229" s="5463"/>
      <c r="AA229" s="5086"/>
      <c r="AB229" s="27" t="s">
        <v>11</v>
      </c>
      <c r="AC229" s="32" t="str">
        <f>AC200</f>
        <v>O OUR BLACK PUDDING | |  Author &gt; Guy KRENZE - Eric GODDYN - Arnaud NICOLAS - CEPROC 2002</v>
      </c>
      <c r="AD229" s="33">
        <f>AD200</f>
        <v>16.34</v>
      </c>
      <c r="AE229" s="32" t="str">
        <f>AE200</f>
        <v>Kg</v>
      </c>
      <c r="AF229" s="34" t="str">
        <f>AF200</f>
        <v>Master recipe ► Black pudding in 4 variations</v>
      </c>
      <c r="AG229" s="87" t="s">
        <v>231</v>
      </c>
      <c r="AH229" s="88" t="s">
        <v>232</v>
      </c>
      <c r="AI229" s="89" t="s">
        <v>891</v>
      </c>
      <c r="AJ229" s="5455"/>
      <c r="AK229" s="5465"/>
      <c r="AL229" s="5467"/>
      <c r="AM229" s="90" t="s">
        <v>867</v>
      </c>
      <c r="AN229" s="5445"/>
      <c r="AO229" s="5447"/>
      <c r="AP229" s="5449"/>
      <c r="AQ229" s="5086"/>
      <c r="AR229" s="27" t="s">
        <v>11</v>
      </c>
      <c r="AS229" s="32" t="str">
        <f>AS200</f>
        <v>N NUESTRA MORCILLA | | Autor &gt; Guy KRENZE - Eric GODDYN - Arnaud NICOLAS - CEPROC 2002</v>
      </c>
      <c r="AT229" s="33">
        <f>AT200</f>
        <v>16.34</v>
      </c>
      <c r="AU229" s="32" t="str">
        <f>AU200</f>
        <v>Kg</v>
      </c>
      <c r="AV229" s="34" t="str">
        <f>AV200</f>
        <v>Receta madre ► Morcilla en 4 versiones</v>
      </c>
      <c r="AW229" s="5139" t="s">
        <v>234</v>
      </c>
      <c r="AX229" s="88" t="s">
        <v>235</v>
      </c>
      <c r="AY229" s="89" t="s">
        <v>93</v>
      </c>
      <c r="AZ229" s="5455"/>
      <c r="BA229" s="5457"/>
      <c r="BB229" s="5459"/>
      <c r="BC229" s="5140" t="s">
        <v>869</v>
      </c>
      <c r="BD229" s="5461"/>
      <c r="BE229" s="5447"/>
      <c r="BF229" s="5463"/>
      <c r="BG229" s="5086"/>
      <c r="BH229" s="104"/>
      <c r="BI229" s="32"/>
      <c r="BJ229" s="33"/>
      <c r="BK229" s="32"/>
      <c r="BL229" s="34"/>
      <c r="BM229" s="92"/>
      <c r="BN229" s="108"/>
      <c r="BO229" s="94"/>
      <c r="BP229" s="95"/>
      <c r="BQ229" s="105"/>
      <c r="BR229" s="5101"/>
      <c r="BS229" s="920"/>
      <c r="BT229" s="1495"/>
      <c r="BU229" s="101"/>
      <c r="BV229" s="1475"/>
      <c r="BW229" s="5086"/>
      <c r="BX229" s="104"/>
      <c r="BY229" s="32"/>
      <c r="BZ229" s="33"/>
      <c r="CA229" s="32"/>
      <c r="CB229" s="34"/>
      <c r="CC229" s="92"/>
      <c r="CD229" s="108"/>
      <c r="CE229" s="94"/>
      <c r="CF229" s="95"/>
      <c r="CG229" s="105"/>
      <c r="CH229" s="5101"/>
      <c r="CI229" s="920"/>
      <c r="CJ229" s="1495"/>
      <c r="CK229" s="101"/>
      <c r="CL229" s="1475"/>
      <c r="CM229" s="5086"/>
      <c r="CN229" s="104"/>
      <c r="CO229" s="32"/>
      <c r="CP229" s="33"/>
      <c r="CQ229" s="32"/>
      <c r="CR229" s="34"/>
      <c r="CS229" s="92"/>
      <c r="CT229" s="108"/>
      <c r="CU229" s="94"/>
      <c r="CV229" s="95"/>
      <c r="CW229" s="105"/>
      <c r="CX229" s="5101"/>
      <c r="CY229" s="920"/>
      <c r="CZ229" s="1495"/>
      <c r="DA229" s="101"/>
      <c r="DB229" s="1475"/>
      <c r="DC229" s="5109"/>
      <c r="DD229" s="5086"/>
      <c r="DF229" s="3">
        <v>1</v>
      </c>
      <c r="EY229" s="172"/>
      <c r="EZ229" s="172"/>
      <c r="FA229" s="172"/>
      <c r="FB229" s="176" t="s">
        <v>183</v>
      </c>
      <c r="FC229" s="177">
        <f>FC226+FC227+FC228</f>
        <v>1.0416666666666666E-2</v>
      </c>
      <c r="FE229" s="104" t="s">
        <v>16</v>
      </c>
      <c r="FF229" s="157" t="str">
        <f>FF208</f>
        <v>R RODAJA DE MANITAS DE CERDO para terrinas | | Autor &gt; USTED</v>
      </c>
      <c r="FG229" s="157">
        <f>FG208</f>
        <v>1</v>
      </c>
      <c r="FH229" s="158" t="str">
        <f>FH208</f>
        <v>molde L 30 cm × A 9 cm × H 6 cm</v>
      </c>
      <c r="FI229" s="159" t="str">
        <f>FI208</f>
        <v>Receta madre ► Introduzca el nombre de la receta principal</v>
      </c>
      <c r="FJ229" s="172" t="s">
        <v>12977</v>
      </c>
      <c r="FK229" s="172"/>
      <c r="FL229" s="172"/>
      <c r="FM229" s="172"/>
      <c r="FN229" s="172"/>
      <c r="FO229" s="172"/>
      <c r="FP229" s="172"/>
      <c r="FQ229" s="172"/>
      <c r="FR229" s="176" t="s">
        <v>183</v>
      </c>
      <c r="FS229" s="177">
        <f>FS226+FS227+FS228</f>
        <v>1.0416666666666666E-2</v>
      </c>
    </row>
    <row r="230" spans="2:175" ht="21" customHeight="1">
      <c r="B230" s="952" t="str">
        <f t="shared" si="36"/>
        <v>A</v>
      </c>
      <c r="C230" s="993" cm="1">
        <f t="array" ref="C230">SUMPRODUCT(LEN(D230:J230))</f>
        <v>0</v>
      </c>
      <c r="D230" s="167"/>
      <c r="E230" s="172"/>
      <c r="F230" s="172"/>
      <c r="G230" s="172"/>
      <c r="H230" s="172"/>
      <c r="I230" s="172"/>
      <c r="J230" s="173"/>
      <c r="K230"/>
      <c r="L230" s="104" t="str">
        <f t="shared" ref="L230:L239" si="45">IF(W230&lt;&gt;"","A","►")</f>
        <v>A</v>
      </c>
      <c r="M230" s="32" t="str">
        <f>M200</f>
        <v>N NOTRE BOUDIN NOIR | | Auteur &gt; Guy KRENZE - Eric GODDYN - Arnaud NICOLAS - CEPROC 2002</v>
      </c>
      <c r="N230" s="33">
        <f>N200</f>
        <v>16.34</v>
      </c>
      <c r="O230" s="32" t="str">
        <f>O200</f>
        <v>Kg</v>
      </c>
      <c r="P230" s="34" t="str">
        <f>P200</f>
        <v>Recette mère ► le Boudin en 4 déclinaisons</v>
      </c>
      <c r="Q230" s="92"/>
      <c r="R230" s="108"/>
      <c r="S230" s="94" t="str">
        <f t="shared" ref="S230:S239" si="46">IF(OR(ISTEXT(Q230), Q230&lt;=0, T230&lt;=0), "", "de")</f>
        <v/>
      </c>
      <c r="T230" s="95"/>
      <c r="U230" s="126"/>
      <c r="V230" s="127">
        <v>1</v>
      </c>
      <c r="W230" s="920" t="s">
        <v>13056</v>
      </c>
      <c r="X230" s="100">
        <f>IF(OR(ISBLANK(Q226),X226=0),0,Q230*V227)</f>
        <v>0</v>
      </c>
      <c r="Y230" s="101">
        <f>IFERROR(_xlfn.LET(_xlpm.v,IFERROR(_xlfn.XLOOKUP(U230,Q241:Z241,Q242:Z242),_xlfn.XLOOKUP(U230,Q243:Z243,Q244:Z244)),_xlpm.v*T230*V230*V227*IF(ISBLANK(Q230),1,Q230)),0)</f>
        <v>0</v>
      </c>
      <c r="Z230" s="1476" t="str">
        <f>_xlfn.LET(_xlpm.unite,SUBSTITUTE(TRIM(U230)," (s)",""),_xlpm.val,Y230,_xlpm.estVol,COUNTIF(T241:Z241,_xlpm.unite)+COUNTIF(T243:Z243,_xlpm.unite)&gt;0,_xlpm.estPoids,COUNTIF(Q241:S241,_xlpm.unite)+COUNTIF(Q243:S243,_xlpm.unite)&gt;0,IF(_xlpm.estVol,IF(ROUND(_xlpm.val,3)&gt;=1,ROUND(_xlpm.val,3)&amp;" L",MAX(1,ROUND(_xlpm.val*100,0))&amp;" cl"),IF(_xlpm.estPoids,IF(ROUND(_xlpm.val,3)&gt;=1,ROUND(_xlpm.val,3)&amp;" Kg",MAX(1,ROUND(_xlpm.val*1000,0))&amp;" g"),"")))</f>
        <v/>
      </c>
      <c r="AA230" s="5086"/>
      <c r="AB230" s="104" t="str">
        <f t="shared" ref="AB230:AB232" si="47">IF(AM230&lt;&gt;"","A","►")</f>
        <v>A</v>
      </c>
      <c r="AC230" s="32" t="str">
        <f>AC200</f>
        <v>O OUR BLACK PUDDING | |  Author &gt; Guy KRENZE - Eric GODDYN - Arnaud NICOLAS - CEPROC 2002</v>
      </c>
      <c r="AD230" s="33">
        <f>AD200</f>
        <v>16.34</v>
      </c>
      <c r="AE230" s="32" t="str">
        <f>AE200</f>
        <v>Kg</v>
      </c>
      <c r="AF230" s="34" t="str">
        <f>AF200</f>
        <v>Master recipe ► Black pudding in 4 variations</v>
      </c>
      <c r="AG230" s="92"/>
      <c r="AH230" s="108"/>
      <c r="AI230" s="94" t="str">
        <f t="shared" ref="AI230:AI239" si="48">IF(OR(ISTEXT(AG230), AG230&lt;=0, AJ230&lt;=0), "", "de")</f>
        <v/>
      </c>
      <c r="AJ230" s="95"/>
      <c r="AK230" s="126"/>
      <c r="AL230" s="127">
        <v>1</v>
      </c>
      <c r="AM230" s="920" t="s">
        <v>13174</v>
      </c>
      <c r="AN230" s="100">
        <f>IF(OR(ISBLANK(AG226),AN226=0),0,AG230*AL227)</f>
        <v>0</v>
      </c>
      <c r="AO230" s="101">
        <f>IFERROR(_xlfn.LET(_xlpm.v,IFERROR(_xlfn.XLOOKUP(AK230,AG241:AP241,AG242:AP242),_xlfn.XLOOKUP(AK230,AG243:AP243,AG244:AP244)),_xlpm.v*AJ230*AL230*AL227*IF(ISBLANK(AG230),1,AG230)),0)</f>
        <v>0</v>
      </c>
      <c r="AP230" s="1476" t="str">
        <f>_xlfn.LET(_xlpm.unite,SUBSTITUTE(TRIM(AK230)," (s)",""),_xlpm.val,AO230,_xlpm.estVol,COUNTIF(AJ241:AP241,_xlpm.unite)+COUNTIF(AJ243:AP243,_xlpm.unite)&gt;0,_xlpm.estPoids,COUNTIF(AG241:AI241,_xlpm.unite)+COUNTIF(AG243:AI243,_xlpm.unite)&gt;0,IF(_xlpm.estVol,IF(ROUND(_xlpm.val,3)&gt;=1,ROUND(_xlpm.val,3)&amp;" L",MAX(1,ROUND(_xlpm.val*100,0))&amp;" cl"),IF(_xlpm.estPoids,IF(ROUND(_xlpm.val,3)&gt;=1,ROUND(_xlpm.val,3)&amp;" Kg",MAX(1,ROUND(_xlpm.val*1000,0))&amp;" g"),"")))</f>
        <v/>
      </c>
      <c r="AQ230" s="5086"/>
      <c r="AR230" s="104" t="str">
        <f t="shared" ref="AR230:AR239" si="49">IF(BC230&lt;&gt;"","A","►")</f>
        <v>A</v>
      </c>
      <c r="AS230" s="32" t="str">
        <f>AS200</f>
        <v>N NUESTRA MORCILLA | | Autor &gt; Guy KRENZE - Eric GODDYN - Arnaud NICOLAS - CEPROC 2002</v>
      </c>
      <c r="AT230" s="33">
        <f>AT200</f>
        <v>16.34</v>
      </c>
      <c r="AU230" s="32" t="str">
        <f>AU200</f>
        <v>Kg</v>
      </c>
      <c r="AV230" s="34" t="str">
        <f>AV200</f>
        <v>Receta madre ► Morcilla en 4 versiones</v>
      </c>
      <c r="AW230" s="92"/>
      <c r="AX230" s="108"/>
      <c r="AY230" s="94" t="str">
        <f t="shared" ref="AY230:AY239" si="50">IF(OR(ISTEXT(AW230), AW230&lt;=0, AZ230&lt;=0), "", "de")</f>
        <v/>
      </c>
      <c r="AZ230" s="95"/>
      <c r="BA230" s="126"/>
      <c r="BB230" s="127">
        <v>1</v>
      </c>
      <c r="BC230" s="920" t="s">
        <v>13184</v>
      </c>
      <c r="BD230" s="100">
        <f>IF(OR(ISBLANK(AW226),BD226=0),0,AW230*BB227)</f>
        <v>0</v>
      </c>
      <c r="BE230" s="101">
        <f>IFERROR(_xlfn.LET(_xlpm.v,IFERROR(_xlfn.XLOOKUP(BA230,AW241:BF241,AW242:BF242),_xlfn.XLOOKUP(BA230,AW243:BF243,AW244:BF244)),_xlpm.v*AZ230*BB230*BB227*IF(ISBLANK(AW230),1,AW230)),0)</f>
        <v>0</v>
      </c>
      <c r="BF230" s="1476" t="str">
        <f>_xlfn.LET(_xlpm.unite,SUBSTITUTE(TRIM(BA230)," (s)",""),_xlpm.val,BE230,_xlpm.estVol,COUNTIF(AZ241:BF241,_xlpm.unite)+COUNTIF(AZ243:BF243,_xlpm.unite)&gt;0,_xlpm.estPoids,COUNTIF(AW241:AY241,_xlpm.unite)+COUNTIF(AW243:AY243,_xlpm.unite)&gt;0,IF(_xlpm.estVol,IF(ROUND(_xlpm.val,3)&gt;=1,ROUND(_xlpm.val,3)&amp;" L",MAX(1,ROUND(_xlpm.val*100,0))&amp;" cl"),IF(_xlpm.estPoids,IF(ROUND(_xlpm.val,3)&gt;=1,ROUND(_xlpm.val,3)&amp;" Kg",MAX(1,ROUND(_xlpm.val*1000,0))&amp;" g"),"")))</f>
        <v/>
      </c>
      <c r="BG230" s="5086"/>
      <c r="BH230" s="104"/>
      <c r="BI230" s="32"/>
      <c r="BJ230" s="33"/>
      <c r="BK230" s="32"/>
      <c r="BL230" s="34"/>
      <c r="BM230" s="92"/>
      <c r="BN230" s="108"/>
      <c r="BO230" s="94"/>
      <c r="BP230" s="95"/>
      <c r="BQ230" s="105"/>
      <c r="BR230" s="5101"/>
      <c r="BS230" s="920"/>
      <c r="BT230" s="1495"/>
      <c r="BU230" s="101"/>
      <c r="BV230" s="1475"/>
      <c r="BW230" s="5086"/>
      <c r="BX230" s="104"/>
      <c r="BY230" s="32"/>
      <c r="BZ230" s="33"/>
      <c r="CA230" s="32"/>
      <c r="CB230" s="34"/>
      <c r="CC230" s="92"/>
      <c r="CD230" s="108"/>
      <c r="CE230" s="94"/>
      <c r="CF230" s="95"/>
      <c r="CG230" s="105"/>
      <c r="CH230" s="5101"/>
      <c r="CI230" s="920"/>
      <c r="CJ230" s="1495"/>
      <c r="CK230" s="101"/>
      <c r="CL230" s="1475"/>
      <c r="CM230" s="5086"/>
      <c r="CN230" s="104"/>
      <c r="CO230" s="32"/>
      <c r="CP230" s="33"/>
      <c r="CQ230" s="32"/>
      <c r="CR230" s="34"/>
      <c r="CS230" s="92"/>
      <c r="CT230" s="108"/>
      <c r="CU230" s="94"/>
      <c r="CV230" s="95"/>
      <c r="CW230" s="105"/>
      <c r="CX230" s="5101"/>
      <c r="CY230" s="920"/>
      <c r="CZ230" s="1495"/>
      <c r="DA230" s="101"/>
      <c r="DB230" s="1475"/>
      <c r="DC230" s="5109"/>
      <c r="DD230" s="5086"/>
      <c r="DF230" s="3">
        <v>1</v>
      </c>
      <c r="EY230" s="172"/>
      <c r="EZ230" s="172"/>
      <c r="FA230" s="172"/>
      <c r="FB230" s="172"/>
      <c r="FC230" s="555"/>
      <c r="FE230" s="104" t="str">
        <f>IF(OR(FJ230&lt;&gt;"",FK230&lt;&gt; "",FL230&lt;&gt;"",FM230&lt;&gt;""),"A", "►")</f>
        <v>A</v>
      </c>
      <c r="FF230" s="157" t="str">
        <f>FF208</f>
        <v>R RODAJA DE MANITAS DE CERDO para terrinas | | Autor &gt; USTED</v>
      </c>
      <c r="FG230" s="157">
        <f>FG208</f>
        <v>1</v>
      </c>
      <c r="FH230" s="158" t="str">
        <f>FH208</f>
        <v>molde L 30 cm × A 9 cm × H 6 cm</v>
      </c>
      <c r="FI230" s="159" t="str">
        <f>FI208</f>
        <v>Receta madre ► Introduzca el nombre de la receta principal</v>
      </c>
      <c r="FJ230" s="172" t="s">
        <v>12980</v>
      </c>
      <c r="FK230" s="172"/>
      <c r="FL230" s="172"/>
      <c r="FM230" s="172"/>
      <c r="FN230" s="172"/>
      <c r="FO230" s="172"/>
      <c r="FP230" s="172"/>
      <c r="FQ230" s="172"/>
      <c r="FR230" s="172"/>
      <c r="FS230" s="555"/>
    </row>
    <row r="231" spans="2:175" ht="21" customHeight="1">
      <c r="B231" s="952" t="str">
        <f t="shared" si="36"/>
        <v>A</v>
      </c>
      <c r="C231" s="993" cm="1">
        <f t="array" ref="C231">SUMPRODUCT(LEN(D231:J231))</f>
        <v>0</v>
      </c>
      <c r="D231" s="167"/>
      <c r="E231" s="172"/>
      <c r="F231" s="172"/>
      <c r="G231" s="172"/>
      <c r="H231" s="172"/>
      <c r="I231" s="172"/>
      <c r="J231" s="173"/>
      <c r="K231"/>
      <c r="L231" s="104" t="str">
        <f t="shared" si="45"/>
        <v>A</v>
      </c>
      <c r="M231" s="32" t="str">
        <f>M200</f>
        <v>N NOTRE BOUDIN NOIR | | Auteur &gt; Guy KRENZE - Eric GODDYN - Arnaud NICOLAS - CEPROC 2002</v>
      </c>
      <c r="N231" s="33">
        <f>N200</f>
        <v>16.34</v>
      </c>
      <c r="O231" s="32" t="str">
        <f>O200</f>
        <v>Kg</v>
      </c>
      <c r="P231" s="34" t="str">
        <f>P200</f>
        <v>Recette mère ► le Boudin en 4 déclinaisons</v>
      </c>
      <c r="Q231" s="92"/>
      <c r="R231" s="108"/>
      <c r="S231" s="94" t="str">
        <f t="shared" si="46"/>
        <v/>
      </c>
      <c r="T231" s="95">
        <v>200</v>
      </c>
      <c r="U231" s="105" t="s">
        <v>99</v>
      </c>
      <c r="V231" s="127">
        <v>1</v>
      </c>
      <c r="W231" s="920" t="s">
        <v>13057</v>
      </c>
      <c r="X231" s="1494">
        <f>IF(OR(ISBLANK(Q226),X226=0),0,Q231*V227)</f>
        <v>0</v>
      </c>
      <c r="Y231" s="101">
        <f>IFERROR(_xlfn.LET(_xlpm.v,IFERROR(_xlfn.XLOOKUP(U231,Q241:Z241,Q242:Z242),_xlfn.XLOOKUP(U231,Q243:Z243,Q244:Z244)),_xlpm.v*T231*V231*V227*IF(ISBLANK(Q231),1,Q231)),0)</f>
        <v>7.352941176470589E-3</v>
      </c>
      <c r="Z231" s="1475" t="str">
        <f>_xlfn.LET(_xlpm.unite,SUBSTITUTE(TRIM(U231)," (s)",""),_xlpm.val,Y231,_xlpm.estVol,COUNTIF(T241:Z241,_xlpm.unite)+COUNTIF(T243:Z243,_xlpm.unite)&gt;0,_xlpm.estPoids,COUNTIF(Q241:S241,_xlpm.unite)+COUNTIF(Q243:S243,_xlpm.unite)&gt;0,IF(_xlpm.estVol,IF(ROUND(_xlpm.val,3)&gt;=1,ROUND(_xlpm.val,3)&amp;" L",MAX(1,ROUND(_xlpm.val*100,0))&amp;" cl"),IF(_xlpm.estPoids,IF(ROUND(_xlpm.val,3)&gt;=1,ROUND(_xlpm.val,3)&amp;" Kg",MAX(1,ROUND(_xlpm.val*1000,0))&amp;" g"),"")))</f>
        <v>7 g</v>
      </c>
      <c r="AA231" s="5086"/>
      <c r="AB231" s="104" t="str">
        <f t="shared" si="47"/>
        <v>A</v>
      </c>
      <c r="AC231" s="32" t="str">
        <f>AC200</f>
        <v>O OUR BLACK PUDDING | |  Author &gt; Guy KRENZE - Eric GODDYN - Arnaud NICOLAS - CEPROC 2002</v>
      </c>
      <c r="AD231" s="33">
        <f>AD200</f>
        <v>16.34</v>
      </c>
      <c r="AE231" s="32" t="str">
        <f>AE200</f>
        <v>Kg</v>
      </c>
      <c r="AF231" s="34" t="str">
        <f>AF200</f>
        <v>Master recipe ► Black pudding in 4 variations</v>
      </c>
      <c r="AG231" s="92"/>
      <c r="AH231" s="108"/>
      <c r="AI231" s="94" t="str">
        <f t="shared" si="48"/>
        <v/>
      </c>
      <c r="AJ231" s="95">
        <v>200</v>
      </c>
      <c r="AK231" s="105" t="s">
        <v>99</v>
      </c>
      <c r="AL231" s="127">
        <v>1</v>
      </c>
      <c r="AM231" s="920" t="s">
        <v>13175</v>
      </c>
      <c r="AN231" s="1494">
        <f>IF(OR(ISBLANK(AG226),AN226=0),0,AG231*AL227)</f>
        <v>0</v>
      </c>
      <c r="AO231" s="101">
        <f>IFERROR(_xlfn.LET(_xlpm.v,IFERROR(_xlfn.XLOOKUP(AK231,AG241:AP241,AG242:AP242),_xlfn.XLOOKUP(AK231,AG243:AP243,AG244:AP244)),_xlpm.v*AJ231*AL231*AL227*IF(ISBLANK(AG231),1,AG231)),0)</f>
        <v>7.352941176470589E-3</v>
      </c>
      <c r="AP231" s="1475" t="str">
        <f>_xlfn.LET(_xlpm.unite,SUBSTITUTE(TRIM(AK231)," (s)",""),_xlpm.val,AO231,_xlpm.estVol,COUNTIF(AJ241:AP241,_xlpm.unite)+COUNTIF(AJ243:AP243,_xlpm.unite)&gt;0,_xlpm.estPoids,COUNTIF(AG241:AI241,_xlpm.unite)+COUNTIF(AG243:AI243,_xlpm.unite)&gt;0,IF(_xlpm.estVol,IF(ROUND(_xlpm.val,3)&gt;=1,ROUND(_xlpm.val,3)&amp;" L",MAX(1,ROUND(_xlpm.val*100,0))&amp;" cl"),IF(_xlpm.estPoids,IF(ROUND(_xlpm.val,3)&gt;=1,ROUND(_xlpm.val,3)&amp;" Kg",MAX(1,ROUND(_xlpm.val*1000,0))&amp;" g"),"")))</f>
        <v>7 g</v>
      </c>
      <c r="AQ231" s="5086"/>
      <c r="AR231" s="104" t="str">
        <f t="shared" si="49"/>
        <v>A</v>
      </c>
      <c r="AS231" s="32" t="str">
        <f>AS200</f>
        <v>N NUESTRA MORCILLA | | Autor &gt; Guy KRENZE - Eric GODDYN - Arnaud NICOLAS - CEPROC 2002</v>
      </c>
      <c r="AT231" s="33">
        <f>AT200</f>
        <v>16.34</v>
      </c>
      <c r="AU231" s="32" t="str">
        <f>AU200</f>
        <v>Kg</v>
      </c>
      <c r="AV231" s="34" t="str">
        <f>AV200</f>
        <v>Receta madre ► Morcilla en 4 versiones</v>
      </c>
      <c r="AW231" s="92"/>
      <c r="AX231" s="108"/>
      <c r="AY231" s="94" t="str">
        <f t="shared" si="50"/>
        <v/>
      </c>
      <c r="AZ231" s="95">
        <v>200</v>
      </c>
      <c r="BA231" s="105" t="s">
        <v>99</v>
      </c>
      <c r="BB231" s="127">
        <v>1</v>
      </c>
      <c r="BC231" s="920" t="s">
        <v>13185</v>
      </c>
      <c r="BD231" s="1494">
        <f>IF(OR(ISBLANK(AW226),BD226=0),0,AW231*BB227)</f>
        <v>0</v>
      </c>
      <c r="BE231" s="101">
        <f>IFERROR(_xlfn.LET(_xlpm.v,IFERROR(_xlfn.XLOOKUP(BA231,AW241:BF241,AW242:BF242),_xlfn.XLOOKUP(BA231,AW243:BF243,AW244:BF244)),_xlpm.v*AZ231*BB231*BB227*IF(ISBLANK(AW231),1,AW231)),0)</f>
        <v>7.352941176470589E-3</v>
      </c>
      <c r="BF231" s="1475" t="str">
        <f>_xlfn.LET(_xlpm.unite,SUBSTITUTE(TRIM(BA231)," (s)",""),_xlpm.val,BE231,_xlpm.estVol,COUNTIF(AZ241:BF241,_xlpm.unite)+COUNTIF(AZ243:BF243,_xlpm.unite)&gt;0,_xlpm.estPoids,COUNTIF(AW241:AY241,_xlpm.unite)+COUNTIF(AW243:AY243,_xlpm.unite)&gt;0,IF(_xlpm.estVol,IF(ROUND(_xlpm.val,3)&gt;=1,ROUND(_xlpm.val,3)&amp;" L",MAX(1,ROUND(_xlpm.val*100,0))&amp;" cl"),IF(_xlpm.estPoids,IF(ROUND(_xlpm.val,3)&gt;=1,ROUND(_xlpm.val,3)&amp;" Kg",MAX(1,ROUND(_xlpm.val*1000,0))&amp;" g"),"")))</f>
        <v>7 g</v>
      </c>
      <c r="BG231" s="5086"/>
      <c r="BH231" s="104"/>
      <c r="BI231" s="32"/>
      <c r="BJ231" s="33"/>
      <c r="BK231" s="32"/>
      <c r="BL231" s="34"/>
      <c r="BM231" s="92"/>
      <c r="BN231" s="108"/>
      <c r="BO231" s="94"/>
      <c r="BP231" s="95"/>
      <c r="BQ231" s="105"/>
      <c r="BR231" s="5101"/>
      <c r="BS231" s="920"/>
      <c r="BT231" s="1495"/>
      <c r="BU231" s="101"/>
      <c r="BV231" s="1475"/>
      <c r="BW231" s="5086"/>
      <c r="BX231" s="104"/>
      <c r="BY231" s="32"/>
      <c r="BZ231" s="33"/>
      <c r="CA231" s="32"/>
      <c r="CB231" s="34"/>
      <c r="CC231" s="92"/>
      <c r="CD231" s="108"/>
      <c r="CE231" s="94"/>
      <c r="CF231" s="95"/>
      <c r="CG231" s="105"/>
      <c r="CH231" s="5101"/>
      <c r="CI231" s="920"/>
      <c r="CJ231" s="1495"/>
      <c r="CK231" s="101"/>
      <c r="CL231" s="1475"/>
      <c r="CM231" s="5086"/>
      <c r="CN231" s="104"/>
      <c r="CO231" s="32"/>
      <c r="CP231" s="33"/>
      <c r="CQ231" s="32"/>
      <c r="CR231" s="34"/>
      <c r="CS231" s="92"/>
      <c r="CT231" s="108"/>
      <c r="CU231" s="94"/>
      <c r="CV231" s="95"/>
      <c r="CW231" s="105"/>
      <c r="CX231" s="5101"/>
      <c r="CY231" s="920"/>
      <c r="CZ231" s="1495"/>
      <c r="DA231" s="101"/>
      <c r="DB231" s="1475"/>
      <c r="DC231" s="5109"/>
      <c r="DD231" s="5086"/>
      <c r="DF231" s="3">
        <v>1</v>
      </c>
      <c r="EY231" s="172"/>
      <c r="EZ231" s="172"/>
      <c r="FA231" s="172"/>
      <c r="FB231" s="172"/>
      <c r="FC231" s="555"/>
      <c r="FE231" s="104" t="str">
        <f>IF(OR(FJ231&lt;&gt;"",FK231&lt;&gt; "",FL231&lt;&gt;"",FM231&lt;&gt;""),"A", "►")</f>
        <v>A</v>
      </c>
      <c r="FF231" s="157" t="str">
        <f>FF208</f>
        <v>R RODAJA DE MANITAS DE CERDO para terrinas | | Autor &gt; USTED</v>
      </c>
      <c r="FG231" s="157">
        <f>FG208</f>
        <v>1</v>
      </c>
      <c r="FH231" s="158" t="str">
        <f>FH208</f>
        <v>molde L 30 cm × A 9 cm × H 6 cm</v>
      </c>
      <c r="FI231" s="159" t="str">
        <f>FI208</f>
        <v>Receta madre ► Introduzca el nombre de la receta principal</v>
      </c>
      <c r="FJ231" s="172" t="s">
        <v>12982</v>
      </c>
      <c r="FK231" s="172"/>
      <c r="FL231" s="172"/>
      <c r="FM231" s="172"/>
      <c r="FN231" s="172"/>
      <c r="FO231" s="172"/>
      <c r="FP231" s="172"/>
      <c r="FQ231" s="172"/>
      <c r="FR231" s="172"/>
      <c r="FS231" s="555"/>
    </row>
    <row r="232" spans="2:175" ht="21" customHeight="1">
      <c r="B232" s="952" t="str">
        <f t="shared" si="36"/>
        <v>A</v>
      </c>
      <c r="C232" s="993" cm="1">
        <f t="array" ref="C232">SUMPRODUCT(LEN(D232:J232))</f>
        <v>0</v>
      </c>
      <c r="D232" s="167"/>
      <c r="E232" s="172"/>
      <c r="F232" s="172"/>
      <c r="G232" s="172"/>
      <c r="H232" s="172"/>
      <c r="I232" s="172"/>
      <c r="J232" s="173"/>
      <c r="K232"/>
      <c r="L232" s="104" t="str">
        <f t="shared" si="45"/>
        <v>A</v>
      </c>
      <c r="M232" s="32" t="str">
        <f>M200</f>
        <v>N NOTRE BOUDIN NOIR | | Auteur &gt; Guy KRENZE - Eric GODDYN - Arnaud NICOLAS - CEPROC 2002</v>
      </c>
      <c r="N232" s="33">
        <f>N200</f>
        <v>16.34</v>
      </c>
      <c r="O232" s="32" t="str">
        <f>O200</f>
        <v>Kg</v>
      </c>
      <c r="P232" s="34" t="str">
        <f>P200</f>
        <v>Recette mère ► le Boudin en 4 déclinaisons</v>
      </c>
      <c r="Q232" s="92"/>
      <c r="R232" s="108"/>
      <c r="S232" s="94" t="str">
        <f t="shared" si="46"/>
        <v/>
      </c>
      <c r="T232" s="95">
        <v>50</v>
      </c>
      <c r="U232" s="105" t="s">
        <v>99</v>
      </c>
      <c r="V232" s="127">
        <v>1</v>
      </c>
      <c r="W232" s="920" t="s">
        <v>13058</v>
      </c>
      <c r="X232" s="1494">
        <f>IF(OR(ISBLANK(Q226),X226=0),0,Q232*V227)</f>
        <v>0</v>
      </c>
      <c r="Y232" s="101">
        <f>IFERROR(_xlfn.LET(_xlpm.v,IFERROR(_xlfn.XLOOKUP(U232,Q241:Z241,Q242:Z242),_xlfn.XLOOKUP(U232,Q243:Z243,Q244:Z244)),_xlpm.v*T232*V232*V227*IF(ISBLANK(Q232),1,Q232)),0)</f>
        <v>1.8382352941176473E-3</v>
      </c>
      <c r="Z232" s="1476" t="str">
        <f>_xlfn.LET(_xlpm.unite,SUBSTITUTE(TRIM(U232)," (s)",""),_xlpm.val,Y232,_xlpm.estVol,COUNTIF(T241:Z241,_xlpm.unite)+COUNTIF(T243:Z243,_xlpm.unite)&gt;0,_xlpm.estPoids,COUNTIF(Q241:S241,_xlpm.unite)+COUNTIF(Q243:S243,_xlpm.unite)&gt;0,IF(_xlpm.estVol,IF(ROUND(_xlpm.val,3)&gt;=1,ROUND(_xlpm.val,3)&amp;" L",MAX(1,ROUND(_xlpm.val*100,0))&amp;" cl"),IF(_xlpm.estPoids,IF(ROUND(_xlpm.val,3)&gt;=1,ROUND(_xlpm.val,3)&amp;" Kg",MAX(1,ROUND(_xlpm.val*1000,0))&amp;" g"),"")))</f>
        <v>2 g</v>
      </c>
      <c r="AA232" s="5086"/>
      <c r="AB232" s="104" t="str">
        <f t="shared" si="47"/>
        <v>A</v>
      </c>
      <c r="AC232" s="32" t="str">
        <f>AC200</f>
        <v>O OUR BLACK PUDDING | |  Author &gt; Guy KRENZE - Eric GODDYN - Arnaud NICOLAS - CEPROC 2002</v>
      </c>
      <c r="AD232" s="33">
        <f>AD200</f>
        <v>16.34</v>
      </c>
      <c r="AE232" s="32" t="str">
        <f>AE200</f>
        <v>Kg</v>
      </c>
      <c r="AF232" s="34" t="str">
        <f>AF200</f>
        <v>Master recipe ► Black pudding in 4 variations</v>
      </c>
      <c r="AG232" s="92"/>
      <c r="AH232" s="108"/>
      <c r="AI232" s="94" t="str">
        <f t="shared" si="48"/>
        <v/>
      </c>
      <c r="AJ232" s="95">
        <v>50</v>
      </c>
      <c r="AK232" s="105" t="s">
        <v>99</v>
      </c>
      <c r="AL232" s="127">
        <v>1</v>
      </c>
      <c r="AM232" s="920" t="s">
        <v>13176</v>
      </c>
      <c r="AN232" s="1494">
        <f>IF(OR(ISBLANK(AG226),AN226=0),0,AG232*AL227)</f>
        <v>0</v>
      </c>
      <c r="AO232" s="101">
        <f>IFERROR(_xlfn.LET(_xlpm.v,IFERROR(_xlfn.XLOOKUP(AK232,AG241:AP241,AG242:AP242),_xlfn.XLOOKUP(AK232,AG243:AP243,AG244:AP244)),_xlpm.v*AJ232*AL232*AL227*IF(ISBLANK(AG232),1,AG232)),0)</f>
        <v>1.8382352941176473E-3</v>
      </c>
      <c r="AP232" s="1476" t="str">
        <f>_xlfn.LET(_xlpm.unite,SUBSTITUTE(TRIM(AK232)," (s)",""),_xlpm.val,AO232,_xlpm.estVol,COUNTIF(AJ241:AP241,_xlpm.unite)+COUNTIF(AJ243:AP243,_xlpm.unite)&gt;0,_xlpm.estPoids,COUNTIF(AG241:AI241,_xlpm.unite)+COUNTIF(AG243:AI243,_xlpm.unite)&gt;0,IF(_xlpm.estVol,IF(ROUND(_xlpm.val,3)&gt;=1,ROUND(_xlpm.val,3)&amp;" L",MAX(1,ROUND(_xlpm.val*100,0))&amp;" cl"),IF(_xlpm.estPoids,IF(ROUND(_xlpm.val,3)&gt;=1,ROUND(_xlpm.val,3)&amp;" Kg",MAX(1,ROUND(_xlpm.val*1000,0))&amp;" g"),"")))</f>
        <v>2 g</v>
      </c>
      <c r="AQ232" s="5086"/>
      <c r="AR232" s="104" t="str">
        <f t="shared" si="49"/>
        <v>A</v>
      </c>
      <c r="AS232" s="32" t="str">
        <f>AS200</f>
        <v>N NUESTRA MORCILLA | | Autor &gt; Guy KRENZE - Eric GODDYN - Arnaud NICOLAS - CEPROC 2002</v>
      </c>
      <c r="AT232" s="33">
        <f>AT200</f>
        <v>16.34</v>
      </c>
      <c r="AU232" s="32" t="str">
        <f>AU200</f>
        <v>Kg</v>
      </c>
      <c r="AV232" s="34" t="str">
        <f>AV200</f>
        <v>Receta madre ► Morcilla en 4 versiones</v>
      </c>
      <c r="AW232" s="92"/>
      <c r="AX232" s="108"/>
      <c r="AY232" s="94" t="str">
        <f t="shared" si="50"/>
        <v/>
      </c>
      <c r="AZ232" s="95">
        <v>50</v>
      </c>
      <c r="BA232" s="105" t="s">
        <v>99</v>
      </c>
      <c r="BB232" s="127">
        <v>1</v>
      </c>
      <c r="BC232" s="920" t="s">
        <v>13186</v>
      </c>
      <c r="BD232" s="1494">
        <f>IF(OR(ISBLANK(AW226),BD226=0),0,AW232*BB227)</f>
        <v>0</v>
      </c>
      <c r="BE232" s="101">
        <f>IFERROR(_xlfn.LET(_xlpm.v,IFERROR(_xlfn.XLOOKUP(BA232,AW241:BF241,AW242:BF242),_xlfn.XLOOKUP(BA232,AW243:BF243,AW244:BF244)),_xlpm.v*AZ232*BB232*BB227*IF(ISBLANK(AW232),1,AW232)),0)</f>
        <v>1.8382352941176473E-3</v>
      </c>
      <c r="BF232" s="1476" t="str">
        <f>_xlfn.LET(_xlpm.unite,SUBSTITUTE(TRIM(BA232)," (s)",""),_xlpm.val,BE232,_xlpm.estVol,COUNTIF(AZ241:BF241,_xlpm.unite)+COUNTIF(AZ243:BF243,_xlpm.unite)&gt;0,_xlpm.estPoids,COUNTIF(AW241:AY241,_xlpm.unite)+COUNTIF(AW243:AY243,_xlpm.unite)&gt;0,IF(_xlpm.estVol,IF(ROUND(_xlpm.val,3)&gt;=1,ROUND(_xlpm.val,3)&amp;" L",MAX(1,ROUND(_xlpm.val*100,0))&amp;" cl"),IF(_xlpm.estPoids,IF(ROUND(_xlpm.val,3)&gt;=1,ROUND(_xlpm.val,3)&amp;" Kg",MAX(1,ROUND(_xlpm.val*1000,0))&amp;" g"),"")))</f>
        <v>2 g</v>
      </c>
      <c r="BG232" s="5086"/>
      <c r="BH232" s="104"/>
      <c r="BI232" s="32"/>
      <c r="BJ232" s="33"/>
      <c r="BK232" s="32"/>
      <c r="BL232" s="34"/>
      <c r="BM232" s="92"/>
      <c r="BN232" s="108"/>
      <c r="BO232" s="94"/>
      <c r="BP232" s="95"/>
      <c r="BQ232" s="105"/>
      <c r="BR232" s="5101"/>
      <c r="BS232" s="920"/>
      <c r="BT232" s="1495"/>
      <c r="BU232" s="101"/>
      <c r="BV232" s="1475"/>
      <c r="BW232" s="5086"/>
      <c r="BX232" s="104"/>
      <c r="BY232" s="32"/>
      <c r="BZ232" s="33"/>
      <c r="CA232" s="32"/>
      <c r="CB232" s="34"/>
      <c r="CC232" s="92"/>
      <c r="CD232" s="108"/>
      <c r="CE232" s="94"/>
      <c r="CF232" s="95"/>
      <c r="CG232" s="105"/>
      <c r="CH232" s="5101"/>
      <c r="CI232" s="920"/>
      <c r="CJ232" s="1495"/>
      <c r="CK232" s="101"/>
      <c r="CL232" s="1475"/>
      <c r="CM232" s="5086"/>
      <c r="CN232" s="104"/>
      <c r="CO232" s="32"/>
      <c r="CP232" s="33"/>
      <c r="CQ232" s="32"/>
      <c r="CR232" s="34"/>
      <c r="CS232" s="92"/>
      <c r="CT232" s="108"/>
      <c r="CU232" s="94"/>
      <c r="CV232" s="95"/>
      <c r="CW232" s="105"/>
      <c r="CX232" s="5101"/>
      <c r="CY232" s="920"/>
      <c r="CZ232" s="1495"/>
      <c r="DA232" s="101"/>
      <c r="DB232" s="1475"/>
      <c r="DC232" s="5109"/>
      <c r="DD232" s="5086"/>
      <c r="DF232" s="3">
        <v>1</v>
      </c>
      <c r="EY232" s="172"/>
      <c r="EZ232" s="172"/>
      <c r="FA232" s="172"/>
      <c r="FB232" s="172"/>
      <c r="FC232" s="555"/>
      <c r="FE232" s="104" t="str">
        <f>IF(OR(FJ232&lt;&gt;"",FK232&lt;&gt; "",FL232&lt;&gt;"",FM232&lt;&gt;""),"A", "►")</f>
        <v>A</v>
      </c>
      <c r="FF232" s="157" t="str">
        <f>FF208</f>
        <v>R RODAJA DE MANITAS DE CERDO para terrinas | | Autor &gt; USTED</v>
      </c>
      <c r="FG232" s="157">
        <f>FG208</f>
        <v>1</v>
      </c>
      <c r="FH232" s="158" t="str">
        <f>FH208</f>
        <v>molde L 30 cm × A 9 cm × H 6 cm</v>
      </c>
      <c r="FI232" s="159" t="str">
        <f>FI208</f>
        <v>Receta madre ► Introduzca el nombre de la receta principal</v>
      </c>
      <c r="FJ232" s="172" t="s">
        <v>12984</v>
      </c>
      <c r="FK232" s="172"/>
      <c r="FL232" s="172"/>
      <c r="FM232" s="172"/>
      <c r="FN232" s="172"/>
      <c r="FO232" s="172"/>
      <c r="FP232" s="172"/>
      <c r="FQ232" s="172"/>
      <c r="FR232" s="172"/>
      <c r="FS232" s="555"/>
    </row>
    <row r="233" spans="2:175" ht="21" customHeight="1">
      <c r="B233" s="952" t="str">
        <f t="shared" si="36"/>
        <v>A</v>
      </c>
      <c r="C233" s="993" cm="1">
        <f t="array" ref="C233">SUMPRODUCT(LEN(D233:J233))</f>
        <v>0</v>
      </c>
      <c r="D233" s="167"/>
      <c r="E233" s="172"/>
      <c r="F233" s="172"/>
      <c r="G233" s="172"/>
      <c r="H233" s="172"/>
      <c r="I233" s="172"/>
      <c r="J233" s="173"/>
      <c r="K233"/>
      <c r="L233" s="104" t="str">
        <f>IF(W233&lt;&gt;"","A","►")</f>
        <v>A</v>
      </c>
      <c r="M233" s="32" t="str">
        <f>M200</f>
        <v>N NOTRE BOUDIN NOIR | | Auteur &gt; Guy KRENZE - Eric GODDYN - Arnaud NICOLAS - CEPROC 2002</v>
      </c>
      <c r="N233" s="33">
        <f>N200</f>
        <v>16.34</v>
      </c>
      <c r="O233" s="32" t="str">
        <f>O200</f>
        <v>Kg</v>
      </c>
      <c r="P233" s="34" t="str">
        <f>P200</f>
        <v>Recette mère ► le Boudin en 4 déclinaisons</v>
      </c>
      <c r="Q233" s="92"/>
      <c r="R233" s="108"/>
      <c r="S233" s="94" t="str">
        <f t="shared" si="46"/>
        <v/>
      </c>
      <c r="T233" s="95">
        <v>60</v>
      </c>
      <c r="U233" s="105" t="s">
        <v>99</v>
      </c>
      <c r="V233" s="127">
        <v>1</v>
      </c>
      <c r="W233" s="920" t="s">
        <v>13059</v>
      </c>
      <c r="X233" s="1494">
        <f>IF(OR(ISBLANK(Q226),X226=0),0,Q233*V227)</f>
        <v>0</v>
      </c>
      <c r="Y233" s="101">
        <f>IFERROR(_xlfn.LET(_xlpm.v,IFERROR(_xlfn.XLOOKUP(U233,Q241:Z241,Q242:Z242),_xlfn.XLOOKUP(U233,Q243:Z243,Q244:Z244)),_xlpm.v*T233*V233*V227*IF(ISBLANK(Q233),1,Q233)),0)</f>
        <v>2.2058823529411764E-3</v>
      </c>
      <c r="Z233" s="1475" t="str">
        <f>_xlfn.LET(_xlpm.unite,SUBSTITUTE(TRIM(U233)," (s)",""),_xlpm.val,Y233,_xlpm.estVol,COUNTIF(T241:Z241,_xlpm.unite)+COUNTIF(T243:Z243,_xlpm.unite)&gt;0,_xlpm.estPoids,COUNTIF(Q241:S241,_xlpm.unite)+COUNTIF(Q243:S243,_xlpm.unite)&gt;0,IF(_xlpm.estVol,IF(ROUND(_xlpm.val,3)&gt;=1,ROUND(_xlpm.val,3)&amp;" L",MAX(1,ROUND(_xlpm.val*100,0))&amp;" cl"),IF(_xlpm.estPoids,IF(ROUND(_xlpm.val,3)&gt;=1,ROUND(_xlpm.val,3)&amp;" Kg",MAX(1,ROUND(_xlpm.val*1000,0))&amp;" g"),"")))</f>
        <v>2 g</v>
      </c>
      <c r="AA233" s="5086"/>
      <c r="AB233" s="104" t="str">
        <f>IF(AM233&lt;&gt;"","A","►")</f>
        <v>A</v>
      </c>
      <c r="AC233" s="32" t="str">
        <f>AC200</f>
        <v>O OUR BLACK PUDDING | |  Author &gt; Guy KRENZE - Eric GODDYN - Arnaud NICOLAS - CEPROC 2002</v>
      </c>
      <c r="AD233" s="33">
        <f>AD200</f>
        <v>16.34</v>
      </c>
      <c r="AE233" s="32" t="str">
        <f>AE200</f>
        <v>Kg</v>
      </c>
      <c r="AF233" s="34" t="str">
        <f>AF200</f>
        <v>Master recipe ► Black pudding in 4 variations</v>
      </c>
      <c r="AG233" s="92"/>
      <c r="AH233" s="108"/>
      <c r="AI233" s="94" t="str">
        <f t="shared" si="48"/>
        <v/>
      </c>
      <c r="AJ233" s="95">
        <v>60</v>
      </c>
      <c r="AK233" s="105" t="s">
        <v>99</v>
      </c>
      <c r="AL233" s="127">
        <v>1</v>
      </c>
      <c r="AM233" s="920" t="s">
        <v>13177</v>
      </c>
      <c r="AN233" s="1494">
        <f>IF(OR(ISBLANK(AG226),AN226=0),0,AG233*AL227)</f>
        <v>0</v>
      </c>
      <c r="AO233" s="101">
        <f>IFERROR(_xlfn.LET(_xlpm.v,IFERROR(_xlfn.XLOOKUP(AK233,AG241:AP241,AG242:AP242),_xlfn.XLOOKUP(AK233,AG243:AP243,AG244:AP244)),_xlpm.v*AJ233*AL233*AL227*IF(ISBLANK(AG233),1,AG233)),0)</f>
        <v>2.2058823529411764E-3</v>
      </c>
      <c r="AP233" s="1475" t="str">
        <f>_xlfn.LET(_xlpm.unite,SUBSTITUTE(TRIM(AK233)," (s)",""),_xlpm.val,AO233,_xlpm.estVol,COUNTIF(AJ241:AP241,_xlpm.unite)+COUNTIF(AJ243:AP243,_xlpm.unite)&gt;0,_xlpm.estPoids,COUNTIF(AG241:AI241,_xlpm.unite)+COUNTIF(AG243:AI243,_xlpm.unite)&gt;0,IF(_xlpm.estVol,IF(ROUND(_xlpm.val,3)&gt;=1,ROUND(_xlpm.val,3)&amp;" L",MAX(1,ROUND(_xlpm.val*100,0))&amp;" cl"),IF(_xlpm.estPoids,IF(ROUND(_xlpm.val,3)&gt;=1,ROUND(_xlpm.val,3)&amp;" Kg",MAX(1,ROUND(_xlpm.val*1000,0))&amp;" g"),"")))</f>
        <v>2 g</v>
      </c>
      <c r="AQ233" s="5086"/>
      <c r="AR233" s="104" t="str">
        <f>IF(BC233&lt;&gt;"","A","►")</f>
        <v>A</v>
      </c>
      <c r="AS233" s="32" t="str">
        <f>AS200</f>
        <v>N NUESTRA MORCILLA | | Autor &gt; Guy KRENZE - Eric GODDYN - Arnaud NICOLAS - CEPROC 2002</v>
      </c>
      <c r="AT233" s="33">
        <f>AT200</f>
        <v>16.34</v>
      </c>
      <c r="AU233" s="32" t="str">
        <f>AU200</f>
        <v>Kg</v>
      </c>
      <c r="AV233" s="34" t="str">
        <f>AV200</f>
        <v>Receta madre ► Morcilla en 4 versiones</v>
      </c>
      <c r="AW233" s="92"/>
      <c r="AX233" s="108"/>
      <c r="AY233" s="94" t="str">
        <f t="shared" si="50"/>
        <v/>
      </c>
      <c r="AZ233" s="95">
        <v>60</v>
      </c>
      <c r="BA233" s="105" t="s">
        <v>99</v>
      </c>
      <c r="BB233" s="127">
        <v>1</v>
      </c>
      <c r="BC233" s="920" t="s">
        <v>13187</v>
      </c>
      <c r="BD233" s="1494">
        <f>IF(OR(ISBLANK(AW226),BD226=0),0,AW233*BB227)</f>
        <v>0</v>
      </c>
      <c r="BE233" s="101">
        <f>IFERROR(_xlfn.LET(_xlpm.v,IFERROR(_xlfn.XLOOKUP(BA233,AW241:BF241,AW242:BF242),_xlfn.XLOOKUP(BA233,AW243:BF243,AW244:BF244)),_xlpm.v*AZ233*BB233*BB227*IF(ISBLANK(AW233),1,AW233)),0)</f>
        <v>2.2058823529411764E-3</v>
      </c>
      <c r="BF233" s="1475" t="str">
        <f>_xlfn.LET(_xlpm.unite,SUBSTITUTE(TRIM(BA233)," (s)",""),_xlpm.val,BE233,_xlpm.estVol,COUNTIF(AZ241:BF241,_xlpm.unite)+COUNTIF(AZ243:BF243,_xlpm.unite)&gt;0,_xlpm.estPoids,COUNTIF(AW241:AY241,_xlpm.unite)+COUNTIF(AW243:AY243,_xlpm.unite)&gt;0,IF(_xlpm.estVol,IF(ROUND(_xlpm.val,3)&gt;=1,ROUND(_xlpm.val,3)&amp;" L",MAX(1,ROUND(_xlpm.val*100,0))&amp;" cl"),IF(_xlpm.estPoids,IF(ROUND(_xlpm.val,3)&gt;=1,ROUND(_xlpm.val,3)&amp;" Kg",MAX(1,ROUND(_xlpm.val*1000,0))&amp;" g"),"")))</f>
        <v>2 g</v>
      </c>
      <c r="BG233" s="5086"/>
      <c r="BH233" s="104"/>
      <c r="BI233" s="32"/>
      <c r="BJ233" s="33"/>
      <c r="BK233" s="32"/>
      <c r="BL233" s="34"/>
      <c r="BM233" s="92"/>
      <c r="BN233" s="108"/>
      <c r="BO233" s="94"/>
      <c r="BP233" s="95"/>
      <c r="BQ233" s="105"/>
      <c r="BR233" s="5101"/>
      <c r="BS233" s="920"/>
      <c r="BT233" s="1495"/>
      <c r="BU233" s="101"/>
      <c r="BV233" s="1475"/>
      <c r="BW233" s="5086"/>
      <c r="BX233" s="104"/>
      <c r="BY233" s="32"/>
      <c r="BZ233" s="33"/>
      <c r="CA233" s="32"/>
      <c r="CB233" s="34"/>
      <c r="CC233" s="92"/>
      <c r="CD233" s="108"/>
      <c r="CE233" s="94"/>
      <c r="CF233" s="95"/>
      <c r="CG233" s="105"/>
      <c r="CH233" s="5101"/>
      <c r="CI233" s="920"/>
      <c r="CJ233" s="1495"/>
      <c r="CK233" s="101"/>
      <c r="CL233" s="1475"/>
      <c r="CM233" s="5086"/>
      <c r="CN233" s="104"/>
      <c r="CO233" s="32"/>
      <c r="CP233" s="33"/>
      <c r="CQ233" s="32"/>
      <c r="CR233" s="34"/>
      <c r="CS233" s="92"/>
      <c r="CT233" s="108"/>
      <c r="CU233" s="94"/>
      <c r="CV233" s="95"/>
      <c r="CW233" s="105"/>
      <c r="CX233" s="5101"/>
      <c r="CY233" s="920"/>
      <c r="CZ233" s="1495"/>
      <c r="DA233" s="101"/>
      <c r="DB233" s="1475"/>
      <c r="DC233" s="5109"/>
      <c r="DD233" s="5086"/>
      <c r="DF233" s="3">
        <v>1</v>
      </c>
      <c r="EY233" s="172"/>
      <c r="EZ233" s="172"/>
      <c r="FA233" s="172"/>
      <c r="FB233" s="172"/>
      <c r="FC233" s="555"/>
      <c r="FE233" s="104" t="str">
        <f>IF(OR(FJ233&lt;&gt;"",FK233&lt;&gt; "",FL233&lt;&gt;"",FM233&lt;&gt;""),"A", "►")</f>
        <v>A</v>
      </c>
      <c r="FF233" s="157" t="str">
        <f>FF208</f>
        <v>R RODAJA DE MANITAS DE CERDO para terrinas | | Autor &gt; USTED</v>
      </c>
      <c r="FG233" s="157">
        <f>FG208</f>
        <v>1</v>
      </c>
      <c r="FH233" s="158" t="str">
        <f>FH208</f>
        <v>molde L 30 cm × A 9 cm × H 6 cm</v>
      </c>
      <c r="FI233" s="159" t="str">
        <f>FI208</f>
        <v>Receta madre ► Introduzca el nombre de la receta principal</v>
      </c>
      <c r="FJ233" s="172" t="s">
        <v>12987</v>
      </c>
      <c r="FK233" s="172"/>
      <c r="FL233" s="172"/>
      <c r="FM233" s="172"/>
      <c r="FN233" s="172"/>
      <c r="FO233" s="172"/>
      <c r="FP233" s="172"/>
      <c r="FQ233" s="172"/>
      <c r="FR233" s="172"/>
      <c r="FS233" s="555"/>
    </row>
    <row r="234" spans="2:175" ht="21" customHeight="1">
      <c r="B234" s="952" t="str">
        <f t="shared" si="36"/>
        <v>A</v>
      </c>
      <c r="C234" s="993" cm="1">
        <f t="array" ref="C234">SUMPRODUCT(LEN(D234:J234))</f>
        <v>0</v>
      </c>
      <c r="D234" s="167"/>
      <c r="E234" s="172"/>
      <c r="F234" s="172"/>
      <c r="G234" s="172"/>
      <c r="H234" s="172"/>
      <c r="I234" s="172"/>
      <c r="J234" s="173"/>
      <c r="K234"/>
      <c r="L234" s="104" t="str">
        <f t="shared" si="45"/>
        <v>A</v>
      </c>
      <c r="M234" s="32" t="str">
        <f>M200</f>
        <v>N NOTRE BOUDIN NOIR | | Auteur &gt; Guy KRENZE - Eric GODDYN - Arnaud NICOLAS - CEPROC 2002</v>
      </c>
      <c r="N234" s="33">
        <f>N200</f>
        <v>16.34</v>
      </c>
      <c r="O234" s="32" t="str">
        <f>O200</f>
        <v>Kg</v>
      </c>
      <c r="P234" s="34" t="str">
        <f>P200</f>
        <v>Recette mère ► le Boudin en 4 déclinaisons</v>
      </c>
      <c r="Q234" s="92"/>
      <c r="R234" s="108"/>
      <c r="S234" s="94" t="str">
        <f t="shared" si="46"/>
        <v/>
      </c>
      <c r="T234" s="95">
        <v>50</v>
      </c>
      <c r="U234" s="105" t="s">
        <v>99</v>
      </c>
      <c r="V234" s="127">
        <v>1</v>
      </c>
      <c r="W234" s="920" t="s">
        <v>13060</v>
      </c>
      <c r="X234" s="1494">
        <f>IF(OR(ISBLANK(Q226),X226=0),0,Q234*V227)</f>
        <v>0</v>
      </c>
      <c r="Y234" s="101">
        <f>IFERROR(_xlfn.LET(_xlpm.v,IFERROR(_xlfn.XLOOKUP(U234,Q241:Z241,Q242:Z242),_xlfn.XLOOKUP(U234,Q243:Z243,Q244:Z244)),_xlpm.v*T234*V234*V227*IF(ISBLANK(Q234),1,Q234)),0)</f>
        <v>1.8382352941176473E-3</v>
      </c>
      <c r="Z234" s="1476" t="str">
        <f>_xlfn.LET(_xlpm.unite,SUBSTITUTE(TRIM(U234)," (s)",""),_xlpm.val,Y234,_xlpm.estVol,COUNTIF(T241:Z241,_xlpm.unite)+COUNTIF(T243:Z243,_xlpm.unite)&gt;0,_xlpm.estPoids,COUNTIF(Q241:S241,_xlpm.unite)+COUNTIF(Q243:S243,_xlpm.unite)&gt;0,IF(_xlpm.estVol,IF(ROUND(_xlpm.val,3)&gt;=1,ROUND(_xlpm.val,3)&amp;" L",MAX(1,ROUND(_xlpm.val*100,0))&amp;" cl"),IF(_xlpm.estPoids,IF(ROUND(_xlpm.val,3)&gt;=1,ROUND(_xlpm.val,3)&amp;" Kg",MAX(1,ROUND(_xlpm.val*1000,0))&amp;" g"),"")))</f>
        <v>2 g</v>
      </c>
      <c r="AA234" s="5086"/>
      <c r="AB234" s="104" t="str">
        <f t="shared" ref="AB234:AB239" si="51">IF(AM234&lt;&gt;"","A","►")</f>
        <v>A</v>
      </c>
      <c r="AC234" s="32" t="str">
        <f>AC200</f>
        <v>O OUR BLACK PUDDING | |  Author &gt; Guy KRENZE - Eric GODDYN - Arnaud NICOLAS - CEPROC 2002</v>
      </c>
      <c r="AD234" s="33">
        <f>AD200</f>
        <v>16.34</v>
      </c>
      <c r="AE234" s="32" t="str">
        <f>AE200</f>
        <v>Kg</v>
      </c>
      <c r="AF234" s="34" t="str">
        <f>AF200</f>
        <v>Master recipe ► Black pudding in 4 variations</v>
      </c>
      <c r="AG234" s="92"/>
      <c r="AH234" s="108"/>
      <c r="AI234" s="94" t="str">
        <f t="shared" si="48"/>
        <v/>
      </c>
      <c r="AJ234" s="95">
        <v>50</v>
      </c>
      <c r="AK234" s="105" t="s">
        <v>99</v>
      </c>
      <c r="AL234" s="127">
        <v>1</v>
      </c>
      <c r="AM234" s="920" t="s">
        <v>13178</v>
      </c>
      <c r="AN234" s="1494">
        <f>IF(OR(ISBLANK(AG226),AN226=0),0,AG234*AL227)</f>
        <v>0</v>
      </c>
      <c r="AO234" s="101">
        <f>IFERROR(_xlfn.LET(_xlpm.v,IFERROR(_xlfn.XLOOKUP(AK234,AG241:AP241,AG242:AP242),_xlfn.XLOOKUP(AK234,AG243:AP243,AG244:AP244)),_xlpm.v*AJ234*AL234*AL227*IF(ISBLANK(AG234),1,AG234)),0)</f>
        <v>1.8382352941176473E-3</v>
      </c>
      <c r="AP234" s="1476" t="str">
        <f>_xlfn.LET(_xlpm.unite,SUBSTITUTE(TRIM(AK234)," (s)",""),_xlpm.val,AO234,_xlpm.estVol,COUNTIF(AJ241:AP241,_xlpm.unite)+COUNTIF(AJ243:AP243,_xlpm.unite)&gt;0,_xlpm.estPoids,COUNTIF(AG241:AI241,_xlpm.unite)+COUNTIF(AG243:AI243,_xlpm.unite)&gt;0,IF(_xlpm.estVol,IF(ROUND(_xlpm.val,3)&gt;=1,ROUND(_xlpm.val,3)&amp;" L",MAX(1,ROUND(_xlpm.val*100,0))&amp;" cl"),IF(_xlpm.estPoids,IF(ROUND(_xlpm.val,3)&gt;=1,ROUND(_xlpm.val,3)&amp;" Kg",MAX(1,ROUND(_xlpm.val*1000,0))&amp;" g"),"")))</f>
        <v>2 g</v>
      </c>
      <c r="AQ234" s="5086"/>
      <c r="AR234" s="104" t="str">
        <f t="shared" si="49"/>
        <v>A</v>
      </c>
      <c r="AS234" s="32" t="str">
        <f>AS200</f>
        <v>N NUESTRA MORCILLA | | Autor &gt; Guy KRENZE - Eric GODDYN - Arnaud NICOLAS - CEPROC 2002</v>
      </c>
      <c r="AT234" s="33">
        <f>AT200</f>
        <v>16.34</v>
      </c>
      <c r="AU234" s="32" t="str">
        <f>AU200</f>
        <v>Kg</v>
      </c>
      <c r="AV234" s="34" t="str">
        <f>AV200</f>
        <v>Receta madre ► Morcilla en 4 versiones</v>
      </c>
      <c r="AW234" s="92"/>
      <c r="AX234" s="108"/>
      <c r="AY234" s="94" t="str">
        <f t="shared" si="50"/>
        <v/>
      </c>
      <c r="AZ234" s="95">
        <v>50</v>
      </c>
      <c r="BA234" s="105" t="s">
        <v>99</v>
      </c>
      <c r="BB234" s="127">
        <v>1</v>
      </c>
      <c r="BC234" s="920" t="s">
        <v>13188</v>
      </c>
      <c r="BD234" s="1494">
        <f>IF(OR(ISBLANK(AW226),BD226=0),0,AW234*BB227)</f>
        <v>0</v>
      </c>
      <c r="BE234" s="101">
        <f>IFERROR(_xlfn.LET(_xlpm.v,IFERROR(_xlfn.XLOOKUP(BA234,AW241:BF241,AW242:BF242),_xlfn.XLOOKUP(BA234,AW243:BF243,AW244:BF244)),_xlpm.v*AZ234*BB234*BB227*IF(ISBLANK(AW234),1,AW234)),0)</f>
        <v>1.8382352941176473E-3</v>
      </c>
      <c r="BF234" s="1476" t="str">
        <f>_xlfn.LET(_xlpm.unite,SUBSTITUTE(TRIM(BA234)," (s)",""),_xlpm.val,BE234,_xlpm.estVol,COUNTIF(AZ241:BF241,_xlpm.unite)+COUNTIF(AZ243:BF243,_xlpm.unite)&gt;0,_xlpm.estPoids,COUNTIF(AW241:AY241,_xlpm.unite)+COUNTIF(AW243:AY243,_xlpm.unite)&gt;0,IF(_xlpm.estVol,IF(ROUND(_xlpm.val,3)&gt;=1,ROUND(_xlpm.val,3)&amp;" L",MAX(1,ROUND(_xlpm.val*100,0))&amp;" cl"),IF(_xlpm.estPoids,IF(ROUND(_xlpm.val,3)&gt;=1,ROUND(_xlpm.val,3)&amp;" Kg",MAX(1,ROUND(_xlpm.val*1000,0))&amp;" g"),"")))</f>
        <v>2 g</v>
      </c>
      <c r="BG234" s="5086"/>
      <c r="BH234" s="104"/>
      <c r="BI234" s="32"/>
      <c r="BJ234" s="33"/>
      <c r="BK234" s="32"/>
      <c r="BL234" s="34"/>
      <c r="BM234" s="92"/>
      <c r="BN234" s="108"/>
      <c r="BO234" s="94"/>
      <c r="BP234" s="95"/>
      <c r="BQ234" s="105"/>
      <c r="BR234" s="5101"/>
      <c r="BS234" s="920"/>
      <c r="BT234" s="1495"/>
      <c r="BU234" s="101"/>
      <c r="BV234" s="1475"/>
      <c r="BW234" s="5086"/>
      <c r="BX234" s="104"/>
      <c r="BY234" s="32"/>
      <c r="BZ234" s="33"/>
      <c r="CA234" s="32"/>
      <c r="CB234" s="34"/>
      <c r="CC234" s="92"/>
      <c r="CD234" s="108"/>
      <c r="CE234" s="94"/>
      <c r="CF234" s="95"/>
      <c r="CG234" s="105"/>
      <c r="CH234" s="5101"/>
      <c r="CI234" s="920"/>
      <c r="CJ234" s="1495"/>
      <c r="CK234" s="101"/>
      <c r="CL234" s="1475"/>
      <c r="CM234" s="5086"/>
      <c r="CN234" s="104"/>
      <c r="CO234" s="32"/>
      <c r="CP234" s="33"/>
      <c r="CQ234" s="32"/>
      <c r="CR234" s="34"/>
      <c r="CS234" s="92"/>
      <c r="CT234" s="108"/>
      <c r="CU234" s="94"/>
      <c r="CV234" s="95"/>
      <c r="CW234" s="105"/>
      <c r="CX234" s="5101"/>
      <c r="CY234" s="920"/>
      <c r="CZ234" s="1495"/>
      <c r="DA234" s="101"/>
      <c r="DB234" s="1475"/>
      <c r="DC234" s="5109"/>
      <c r="DD234" s="5086"/>
      <c r="DF234" s="3">
        <v>1</v>
      </c>
      <c r="EY234" s="172"/>
      <c r="EZ234" s="172"/>
      <c r="FA234" s="172"/>
      <c r="FB234" s="172"/>
      <c r="FC234" s="555"/>
      <c r="FE234" s="104" t="str">
        <f>IF(OR(FJ234&lt;&gt;"",FK234&lt;&gt; "",FL234&lt;&gt;"",FM234&lt;&gt;""),"A", "►")</f>
        <v>►</v>
      </c>
      <c r="FF234" s="157" t="str">
        <f>FF208</f>
        <v>R RODAJA DE MANITAS DE CERDO para terrinas | | Autor &gt; USTED</v>
      </c>
      <c r="FG234" s="157">
        <f>FG208</f>
        <v>1</v>
      </c>
      <c r="FH234" s="158" t="str">
        <f>FH208</f>
        <v>molde L 30 cm × A 9 cm × H 6 cm</v>
      </c>
      <c r="FI234" s="159" t="str">
        <f>FI208</f>
        <v>Receta madre ► Introduzca el nombre de la receta principal</v>
      </c>
      <c r="FJ234" s="172"/>
      <c r="FK234" s="172"/>
      <c r="FL234" s="172"/>
      <c r="FM234" s="172"/>
      <c r="FN234" s="172"/>
      <c r="FO234" s="172"/>
      <c r="FP234" s="172"/>
      <c r="FQ234" s="172"/>
      <c r="FR234" s="172"/>
      <c r="FS234" s="555"/>
    </row>
    <row r="235" spans="2:175" ht="21" customHeight="1">
      <c r="B235" s="952" t="str">
        <f t="shared" si="36"/>
        <v>A</v>
      </c>
      <c r="C235" s="993" cm="1">
        <f t="array" ref="C235">SUMPRODUCT(LEN(D235:J235))</f>
        <v>0</v>
      </c>
      <c r="D235" s="167"/>
      <c r="E235" s="172"/>
      <c r="F235" s="172"/>
      <c r="G235" s="172"/>
      <c r="H235" s="172"/>
      <c r="I235" s="172"/>
      <c r="J235" s="173"/>
      <c r="K235"/>
      <c r="L235" s="104" t="str">
        <f t="shared" si="45"/>
        <v>A</v>
      </c>
      <c r="M235" s="32" t="str">
        <f>M200</f>
        <v>N NOTRE BOUDIN NOIR | | Auteur &gt; Guy KRENZE - Eric GODDYN - Arnaud NICOLAS - CEPROC 2002</v>
      </c>
      <c r="N235" s="33">
        <f>N200</f>
        <v>16.34</v>
      </c>
      <c r="O235" s="32" t="str">
        <f>O200</f>
        <v>Kg</v>
      </c>
      <c r="P235" s="34" t="str">
        <f>P200</f>
        <v>Recette mère ► le Boudin en 4 déclinaisons</v>
      </c>
      <c r="Q235" s="92">
        <v>5</v>
      </c>
      <c r="R235" s="108" t="s">
        <v>13066</v>
      </c>
      <c r="S235" s="94" t="str">
        <f t="shared" si="46"/>
        <v>de</v>
      </c>
      <c r="T235" s="5110">
        <v>0.5</v>
      </c>
      <c r="U235" s="105" t="s">
        <v>99</v>
      </c>
      <c r="V235" s="127">
        <v>1</v>
      </c>
      <c r="W235" s="920" t="s">
        <v>13061</v>
      </c>
      <c r="X235" s="1494">
        <f>IF(OR(ISBLANK(Q226),X226=0),0,Q235*V227)</f>
        <v>0.18382352941176472</v>
      </c>
      <c r="Y235" s="101">
        <f>IFERROR(_xlfn.LET(_xlpm.v,IFERROR(_xlfn.XLOOKUP(U235,Q241:Z241,Q242:Z242),_xlfn.XLOOKUP(U235,Q243:Z243,Q244:Z244)),_xlpm.v*T235*V235*V227*IF(ISBLANK(Q235),1,Q235)),0)</f>
        <v>9.1911764705882365E-5</v>
      </c>
      <c r="Z235" s="1475" t="str">
        <f>_xlfn.LET(_xlpm.unite,SUBSTITUTE(TRIM(U235)," (s)",""),_xlpm.val,Y235,_xlpm.estVol,COUNTIF(T241:Z241,_xlpm.unite)+COUNTIF(T243:Z243,_xlpm.unite)&gt;0,_xlpm.estPoids,COUNTIF(Q241:S241,_xlpm.unite)+COUNTIF(Q243:S243,_xlpm.unite)&gt;0,IF(_xlpm.estVol,IF(ROUND(_xlpm.val,3)&gt;=1,ROUND(_xlpm.val,3)&amp;" L",MAX(1,ROUND(_xlpm.val*100,0))&amp;" cl"),IF(_xlpm.estPoids,IF(ROUND(_xlpm.val,3)&gt;=1,ROUND(_xlpm.val,3)&amp;" Kg",MAX(1,ROUND(_xlpm.val*1000,0))&amp;" g"),"")))</f>
        <v>1 g</v>
      </c>
      <c r="AA235" s="5086"/>
      <c r="AB235" s="104" t="str">
        <f t="shared" si="51"/>
        <v>A</v>
      </c>
      <c r="AC235" s="32" t="str">
        <f>AC200</f>
        <v>O OUR BLACK PUDDING | |  Author &gt; Guy KRENZE - Eric GODDYN - Arnaud NICOLAS - CEPROC 2002</v>
      </c>
      <c r="AD235" s="33">
        <f>AD200</f>
        <v>16.34</v>
      </c>
      <c r="AE235" s="32" t="str">
        <f>AE200</f>
        <v>Kg</v>
      </c>
      <c r="AF235" s="34" t="str">
        <f>AF200</f>
        <v>Master recipe ► Black pudding in 4 variations</v>
      </c>
      <c r="AG235" s="92">
        <v>5</v>
      </c>
      <c r="AH235" s="108" t="s">
        <v>13066</v>
      </c>
      <c r="AI235" s="94" t="str">
        <f t="shared" si="48"/>
        <v>de</v>
      </c>
      <c r="AJ235" s="5110">
        <v>0.5</v>
      </c>
      <c r="AK235" s="105" t="s">
        <v>99</v>
      </c>
      <c r="AL235" s="127">
        <v>1</v>
      </c>
      <c r="AM235" s="920" t="s">
        <v>13179</v>
      </c>
      <c r="AN235" s="1494">
        <f>IF(OR(ISBLANK(AG226),AN226=0),0,AG235*AL227)</f>
        <v>0.18382352941176472</v>
      </c>
      <c r="AO235" s="101">
        <f>IFERROR(_xlfn.LET(_xlpm.v,IFERROR(_xlfn.XLOOKUP(AK235,AG241:AP241,AG242:AP242),_xlfn.XLOOKUP(AK235,AG243:AP243,AG244:AP244)),_xlpm.v*AJ235*AL235*AL227*IF(ISBLANK(AG235),1,AG235)),0)</f>
        <v>9.1911764705882365E-5</v>
      </c>
      <c r="AP235" s="1475" t="str">
        <f>_xlfn.LET(_xlpm.unite,SUBSTITUTE(TRIM(AK235)," (s)",""),_xlpm.val,AO235,_xlpm.estVol,COUNTIF(AJ241:AP241,_xlpm.unite)+COUNTIF(AJ243:AP243,_xlpm.unite)&gt;0,_xlpm.estPoids,COUNTIF(AG241:AI241,_xlpm.unite)+COUNTIF(AG243:AI243,_xlpm.unite)&gt;0,IF(_xlpm.estVol,IF(ROUND(_xlpm.val,3)&gt;=1,ROUND(_xlpm.val,3)&amp;" L",MAX(1,ROUND(_xlpm.val*100,0))&amp;" cl"),IF(_xlpm.estPoids,IF(ROUND(_xlpm.val,3)&gt;=1,ROUND(_xlpm.val,3)&amp;" Kg",MAX(1,ROUND(_xlpm.val*1000,0))&amp;" g"),"")))</f>
        <v>1 g</v>
      </c>
      <c r="AQ235" s="5086"/>
      <c r="AR235" s="104" t="str">
        <f t="shared" si="49"/>
        <v>A</v>
      </c>
      <c r="AS235" s="32" t="str">
        <f>AS200</f>
        <v>N NUESTRA MORCILLA | | Autor &gt; Guy KRENZE - Eric GODDYN - Arnaud NICOLAS - CEPROC 2002</v>
      </c>
      <c r="AT235" s="33">
        <f>AT200</f>
        <v>16.34</v>
      </c>
      <c r="AU235" s="32" t="str">
        <f>AU200</f>
        <v>Kg</v>
      </c>
      <c r="AV235" s="34" t="str">
        <f>AV200</f>
        <v>Receta madre ► Morcilla en 4 versiones</v>
      </c>
      <c r="AW235" s="92">
        <v>5</v>
      </c>
      <c r="AX235" s="108" t="s">
        <v>13066</v>
      </c>
      <c r="AY235" s="94" t="str">
        <f t="shared" si="50"/>
        <v>de</v>
      </c>
      <c r="AZ235" s="5110">
        <v>0.5</v>
      </c>
      <c r="BA235" s="105" t="s">
        <v>99</v>
      </c>
      <c r="BB235" s="127">
        <v>1</v>
      </c>
      <c r="BC235" s="920" t="s">
        <v>13189</v>
      </c>
      <c r="BD235" s="1494">
        <f>IF(OR(ISBLANK(AW226),BD226=0),0,AW235*BB227)</f>
        <v>0.18382352941176472</v>
      </c>
      <c r="BE235" s="101">
        <f>IFERROR(_xlfn.LET(_xlpm.v,IFERROR(_xlfn.XLOOKUP(BA235,AW241:BF241,AW242:BF242),_xlfn.XLOOKUP(BA235,AW243:BF243,AW244:BF244)),_xlpm.v*AZ235*BB235*BB227*IF(ISBLANK(AW235),1,AW235)),0)</f>
        <v>9.1911764705882365E-5</v>
      </c>
      <c r="BF235" s="1475" t="str">
        <f>_xlfn.LET(_xlpm.unite,SUBSTITUTE(TRIM(BA235)," (s)",""),_xlpm.val,BE235,_xlpm.estVol,COUNTIF(AZ241:BF241,_xlpm.unite)+COUNTIF(AZ243:BF243,_xlpm.unite)&gt;0,_xlpm.estPoids,COUNTIF(AW241:AY241,_xlpm.unite)+COUNTIF(AW243:AY243,_xlpm.unite)&gt;0,IF(_xlpm.estVol,IF(ROUND(_xlpm.val,3)&gt;=1,ROUND(_xlpm.val,3)&amp;" L",MAX(1,ROUND(_xlpm.val*100,0))&amp;" cl"),IF(_xlpm.estPoids,IF(ROUND(_xlpm.val,3)&gt;=1,ROUND(_xlpm.val,3)&amp;" Kg",MAX(1,ROUND(_xlpm.val*1000,0))&amp;" g"),"")))</f>
        <v>1 g</v>
      </c>
      <c r="BG235" s="5086"/>
      <c r="BH235" s="104"/>
      <c r="BI235" s="32"/>
      <c r="BJ235" s="33"/>
      <c r="BK235" s="32"/>
      <c r="BL235" s="34"/>
      <c r="BM235" s="92"/>
      <c r="BN235" s="108"/>
      <c r="BO235" s="94"/>
      <c r="BP235" s="95"/>
      <c r="BQ235" s="105"/>
      <c r="BR235" s="5101"/>
      <c r="BS235" s="920"/>
      <c r="BT235" s="1495"/>
      <c r="BU235" s="101"/>
      <c r="BV235" s="1475"/>
      <c r="BW235" s="5086"/>
      <c r="BX235" s="104"/>
      <c r="BY235" s="32"/>
      <c r="BZ235" s="33"/>
      <c r="CA235" s="32"/>
      <c r="CB235" s="34"/>
      <c r="CC235" s="92"/>
      <c r="CD235" s="108"/>
      <c r="CE235" s="94"/>
      <c r="CF235" s="95"/>
      <c r="CG235" s="105"/>
      <c r="CH235" s="5101"/>
      <c r="CI235" s="920"/>
      <c r="CJ235" s="1495"/>
      <c r="CK235" s="101"/>
      <c r="CL235" s="1475"/>
      <c r="CM235" s="5086"/>
      <c r="CN235" s="104"/>
      <c r="CO235" s="32"/>
      <c r="CP235" s="33"/>
      <c r="CQ235" s="32"/>
      <c r="CR235" s="34"/>
      <c r="CS235" s="92"/>
      <c r="CT235" s="108"/>
      <c r="CU235" s="94"/>
      <c r="CV235" s="95"/>
      <c r="CW235" s="105"/>
      <c r="CX235" s="5101"/>
      <c r="CY235" s="920"/>
      <c r="CZ235" s="1495"/>
      <c r="DA235" s="101"/>
      <c r="DB235" s="1475"/>
      <c r="DC235" s="5109"/>
      <c r="DD235" s="5069"/>
      <c r="DF235" s="3">
        <v>1</v>
      </c>
      <c r="EY235" s="172"/>
      <c r="EZ235" s="172"/>
      <c r="FA235" s="172"/>
      <c r="FB235" s="172"/>
      <c r="FC235" s="555"/>
      <c r="FE235" s="196" t="s">
        <v>16</v>
      </c>
      <c r="FF235" s="157" t="str">
        <f>FF208</f>
        <v>R RODAJA DE MANITAS DE CERDO para terrinas | | Autor &gt; USTED</v>
      </c>
      <c r="FG235" s="157">
        <f>FG208</f>
        <v>1</v>
      </c>
      <c r="FH235" s="158" t="str">
        <f>FH208</f>
        <v>molde L 30 cm × A 9 cm × H 6 cm</v>
      </c>
      <c r="FI235" s="159" t="str">
        <f>FI208</f>
        <v>Receta madre ► Introduzca el nombre de la receta principal</v>
      </c>
      <c r="FJ235" s="172"/>
      <c r="FK235" s="172"/>
      <c r="FL235" s="172"/>
      <c r="FM235" s="172"/>
      <c r="FN235" s="172"/>
      <c r="FO235" s="172"/>
      <c r="FP235" s="172"/>
      <c r="FQ235" s="172"/>
      <c r="FR235" s="172"/>
      <c r="FS235" s="555"/>
    </row>
    <row r="236" spans="2:175" ht="21" customHeight="1">
      <c r="B236" s="952" t="str">
        <f t="shared" si="36"/>
        <v>A</v>
      </c>
      <c r="C236" s="993" cm="1">
        <f t="array" ref="C236">SUMPRODUCT(LEN(D236:J236))</f>
        <v>0</v>
      </c>
      <c r="D236" s="167"/>
      <c r="E236" s="172"/>
      <c r="F236" s="172"/>
      <c r="G236" s="172"/>
      <c r="H236" s="172"/>
      <c r="I236" s="172"/>
      <c r="J236" s="173"/>
      <c r="K236"/>
      <c r="L236" s="104" t="str">
        <f t="shared" si="45"/>
        <v>A</v>
      </c>
      <c r="M236" s="32" t="str">
        <f>M200</f>
        <v>N NOTRE BOUDIN NOIR | | Auteur &gt; Guy KRENZE - Eric GODDYN - Arnaud NICOLAS - CEPROC 2002</v>
      </c>
      <c r="N236" s="33">
        <f>N200</f>
        <v>16.34</v>
      </c>
      <c r="O236" s="32" t="str">
        <f>O200</f>
        <v>Kg</v>
      </c>
      <c r="P236" s="34" t="str">
        <f>P200</f>
        <v>Recette mère ► le Boudin en 4 déclinaisons</v>
      </c>
      <c r="Q236" s="92"/>
      <c r="R236" s="108"/>
      <c r="S236" s="94" t="str">
        <f t="shared" si="46"/>
        <v/>
      </c>
      <c r="T236" s="95">
        <v>20</v>
      </c>
      <c r="U236" s="105" t="s">
        <v>99</v>
      </c>
      <c r="V236" s="127">
        <v>1</v>
      </c>
      <c r="W236" s="920" t="s">
        <v>13062</v>
      </c>
      <c r="X236" s="1494">
        <f>IF(OR(ISBLANK(Q226),X226=0),0,Q236*V227)</f>
        <v>0</v>
      </c>
      <c r="Y236" s="101">
        <f>IFERROR(_xlfn.LET(_xlpm.v,IFERROR(_xlfn.XLOOKUP(U236,Q241:Z241,Q242:Z242),_xlfn.XLOOKUP(U236,Q243:Z243,Q244:Z244)),_xlpm.v*T236*V236*V227*IF(ISBLANK(Q236),1,Q236)),0)</f>
        <v>7.3529411764705881E-4</v>
      </c>
      <c r="Z236" s="1476" t="str">
        <f>_xlfn.LET(_xlpm.unite,SUBSTITUTE(TRIM(U236)," (s)",""),_xlpm.val,Y236,_xlpm.estVol,COUNTIF(T241:Z241,_xlpm.unite)+COUNTIF(T243:Z243,_xlpm.unite)&gt;0,_xlpm.estPoids,COUNTIF(Q241:S241,_xlpm.unite)+COUNTIF(Q243:S243,_xlpm.unite)&gt;0,IF(_xlpm.estVol,IF(ROUND(_xlpm.val,3)&gt;=1,ROUND(_xlpm.val,3)&amp;" L",MAX(1,ROUND(_xlpm.val*100,0))&amp;" cl"),IF(_xlpm.estPoids,IF(ROUND(_xlpm.val,3)&gt;=1,ROUND(_xlpm.val,3)&amp;" Kg",MAX(1,ROUND(_xlpm.val*1000,0))&amp;" g"),"")))</f>
        <v>1 g</v>
      </c>
      <c r="AA236" s="5086"/>
      <c r="AB236" s="104" t="str">
        <f t="shared" si="51"/>
        <v>A</v>
      </c>
      <c r="AC236" s="32" t="str">
        <f>AC200</f>
        <v>O OUR BLACK PUDDING | |  Author &gt; Guy KRENZE - Eric GODDYN - Arnaud NICOLAS - CEPROC 2002</v>
      </c>
      <c r="AD236" s="33">
        <f>AD200</f>
        <v>16.34</v>
      </c>
      <c r="AE236" s="32" t="str">
        <f>AE200</f>
        <v>Kg</v>
      </c>
      <c r="AF236" s="34" t="str">
        <f>AF200</f>
        <v>Master recipe ► Black pudding in 4 variations</v>
      </c>
      <c r="AG236" s="92"/>
      <c r="AH236" s="108"/>
      <c r="AI236" s="94" t="str">
        <f t="shared" si="48"/>
        <v/>
      </c>
      <c r="AJ236" s="95">
        <v>20</v>
      </c>
      <c r="AK236" s="105" t="s">
        <v>99</v>
      </c>
      <c r="AL236" s="127">
        <v>1</v>
      </c>
      <c r="AM236" s="920" t="s">
        <v>13180</v>
      </c>
      <c r="AN236" s="1494">
        <f>IF(OR(ISBLANK(AG226),AN226=0),0,AG236*AL227)</f>
        <v>0</v>
      </c>
      <c r="AO236" s="101">
        <f>IFERROR(_xlfn.LET(_xlpm.v,IFERROR(_xlfn.XLOOKUP(AK236,AG241:AP241,AG242:AP242),_xlfn.XLOOKUP(AK236,AG243:AP243,AG244:AP244)),_xlpm.v*AJ236*AL236*AL227*IF(ISBLANK(AG236),1,AG236)),0)</f>
        <v>7.3529411764705881E-4</v>
      </c>
      <c r="AP236" s="1476" t="str">
        <f>_xlfn.LET(_xlpm.unite,SUBSTITUTE(TRIM(AK236)," (s)",""),_xlpm.val,AO236,_xlpm.estVol,COUNTIF(AJ241:AP241,_xlpm.unite)+COUNTIF(AJ243:AP243,_xlpm.unite)&gt;0,_xlpm.estPoids,COUNTIF(AG241:AI241,_xlpm.unite)+COUNTIF(AG243:AI243,_xlpm.unite)&gt;0,IF(_xlpm.estVol,IF(ROUND(_xlpm.val,3)&gt;=1,ROUND(_xlpm.val,3)&amp;" L",MAX(1,ROUND(_xlpm.val*100,0))&amp;" cl"),IF(_xlpm.estPoids,IF(ROUND(_xlpm.val,3)&gt;=1,ROUND(_xlpm.val,3)&amp;" Kg",MAX(1,ROUND(_xlpm.val*1000,0))&amp;" g"),"")))</f>
        <v>1 g</v>
      </c>
      <c r="AQ236" s="5086"/>
      <c r="AR236" s="104" t="str">
        <f t="shared" si="49"/>
        <v>A</v>
      </c>
      <c r="AS236" s="32" t="str">
        <f>AS200</f>
        <v>N NUESTRA MORCILLA | | Autor &gt; Guy KRENZE - Eric GODDYN - Arnaud NICOLAS - CEPROC 2002</v>
      </c>
      <c r="AT236" s="33">
        <f>AT200</f>
        <v>16.34</v>
      </c>
      <c r="AU236" s="32" t="str">
        <f>AU200</f>
        <v>Kg</v>
      </c>
      <c r="AV236" s="34" t="str">
        <f>AV200</f>
        <v>Receta madre ► Morcilla en 4 versiones</v>
      </c>
      <c r="AW236" s="92"/>
      <c r="AX236" s="108"/>
      <c r="AY236" s="94" t="str">
        <f t="shared" si="50"/>
        <v/>
      </c>
      <c r="AZ236" s="95">
        <v>20</v>
      </c>
      <c r="BA236" s="105" t="s">
        <v>99</v>
      </c>
      <c r="BB236" s="127">
        <v>1</v>
      </c>
      <c r="BC236" s="920" t="s">
        <v>13190</v>
      </c>
      <c r="BD236" s="1494">
        <f>IF(OR(ISBLANK(AW226),BD226=0),0,AW236*BB227)</f>
        <v>0</v>
      </c>
      <c r="BE236" s="101">
        <f>IFERROR(_xlfn.LET(_xlpm.v,IFERROR(_xlfn.XLOOKUP(BA236,AW241:BF241,AW242:BF242),_xlfn.XLOOKUP(BA236,AW243:BF243,AW244:BF244)),_xlpm.v*AZ236*BB236*BB227*IF(ISBLANK(AW236),1,AW236)),0)</f>
        <v>7.3529411764705881E-4</v>
      </c>
      <c r="BF236" s="1476" t="str">
        <f>_xlfn.LET(_xlpm.unite,SUBSTITUTE(TRIM(BA236)," (s)",""),_xlpm.val,BE236,_xlpm.estVol,COUNTIF(AZ241:BF241,_xlpm.unite)+COUNTIF(AZ243:BF243,_xlpm.unite)&gt;0,_xlpm.estPoids,COUNTIF(AW241:AY241,_xlpm.unite)+COUNTIF(AW243:AY243,_xlpm.unite)&gt;0,IF(_xlpm.estVol,IF(ROUND(_xlpm.val,3)&gt;=1,ROUND(_xlpm.val,3)&amp;" L",MAX(1,ROUND(_xlpm.val*100,0))&amp;" cl"),IF(_xlpm.estPoids,IF(ROUND(_xlpm.val,3)&gt;=1,ROUND(_xlpm.val,3)&amp;" Kg",MAX(1,ROUND(_xlpm.val*1000,0))&amp;" g"),"")))</f>
        <v>1 g</v>
      </c>
      <c r="BG236" s="5086"/>
      <c r="BH236" s="104"/>
      <c r="BI236" s="32"/>
      <c r="BJ236" s="33"/>
      <c r="BK236" s="32"/>
      <c r="BL236" s="34"/>
      <c r="BM236" s="92"/>
      <c r="BN236" s="108"/>
      <c r="BO236" s="94"/>
      <c r="BP236" s="95"/>
      <c r="BQ236" s="105"/>
      <c r="BR236" s="5101"/>
      <c r="BS236" s="920"/>
      <c r="BT236" s="1495"/>
      <c r="BU236" s="101"/>
      <c r="BV236" s="1475"/>
      <c r="BW236" s="5086"/>
      <c r="BX236" s="104"/>
      <c r="BY236" s="32"/>
      <c r="BZ236" s="33"/>
      <c r="CA236" s="32"/>
      <c r="CB236" s="34"/>
      <c r="CC236" s="92"/>
      <c r="CD236" s="108"/>
      <c r="CE236" s="94"/>
      <c r="CF236" s="95"/>
      <c r="CG236" s="105"/>
      <c r="CH236" s="5101"/>
      <c r="CI236" s="920"/>
      <c r="CJ236" s="1495"/>
      <c r="CK236" s="101"/>
      <c r="CL236" s="1475"/>
      <c r="CM236" s="5086"/>
      <c r="CN236" s="104"/>
      <c r="CO236" s="32"/>
      <c r="CP236" s="33"/>
      <c r="CQ236" s="32"/>
      <c r="CR236" s="34"/>
      <c r="CS236" s="92"/>
      <c r="CT236" s="108"/>
      <c r="CU236" s="94"/>
      <c r="CV236" s="95"/>
      <c r="CW236" s="105"/>
      <c r="CX236" s="5101"/>
      <c r="CY236" s="920"/>
      <c r="CZ236" s="1495"/>
      <c r="DA236" s="101"/>
      <c r="DB236" s="1475"/>
      <c r="DC236" s="5109"/>
      <c r="DD236" s="5086"/>
      <c r="DF236" s="3">
        <v>1</v>
      </c>
      <c r="EY236" s="172"/>
      <c r="EZ236" s="172"/>
      <c r="FA236" s="172"/>
      <c r="FB236" s="172"/>
      <c r="FC236" s="555"/>
      <c r="FE236" s="196" t="s">
        <v>11</v>
      </c>
      <c r="FF236" s="157" t="str">
        <f>FF208</f>
        <v>R RODAJA DE MANITAS DE CERDO para terrinas | | Autor &gt; USTED</v>
      </c>
      <c r="FG236" s="157">
        <f>FG208</f>
        <v>1</v>
      </c>
      <c r="FH236" s="158" t="str">
        <f>FH208</f>
        <v>molde L 30 cm × A 9 cm × H 6 cm</v>
      </c>
      <c r="FI236" s="159" t="str">
        <f>FI208</f>
        <v>Receta madre ► Introduzca el nombre de la receta principal</v>
      </c>
      <c r="FJ236" s="172"/>
      <c r="FK236" s="172"/>
      <c r="FL236" s="172"/>
      <c r="FM236" s="172"/>
      <c r="FN236" s="172"/>
      <c r="FO236" s="172"/>
      <c r="FP236" s="172"/>
      <c r="FQ236" s="172"/>
      <c r="FR236" s="172"/>
      <c r="FS236" s="555"/>
    </row>
    <row r="237" spans="2:175" ht="21" customHeight="1">
      <c r="B237" s="952" t="str">
        <f t="shared" si="36"/>
        <v>A</v>
      </c>
      <c r="C237" s="993" cm="1">
        <f t="array" ref="C237">SUMPRODUCT(LEN(D237:J237))</f>
        <v>0</v>
      </c>
      <c r="D237" s="167"/>
      <c r="E237" s="172"/>
      <c r="F237" s="172"/>
      <c r="G237" s="172"/>
      <c r="H237" s="172"/>
      <c r="I237" s="172"/>
      <c r="J237" s="173"/>
      <c r="K237"/>
      <c r="L237" s="104" t="str">
        <f t="shared" si="45"/>
        <v>A</v>
      </c>
      <c r="M237" s="32" t="str">
        <f>M200</f>
        <v>N NOTRE BOUDIN NOIR | | Auteur &gt; Guy KRENZE - Eric GODDYN - Arnaud NICOLAS - CEPROC 2002</v>
      </c>
      <c r="N237" s="33">
        <f>N200</f>
        <v>16.34</v>
      </c>
      <c r="O237" s="32" t="str">
        <f>O200</f>
        <v>Kg</v>
      </c>
      <c r="P237" s="34" t="str">
        <f>P200</f>
        <v>Recette mère ► le Boudin en 4 déclinaisons</v>
      </c>
      <c r="Q237" s="92"/>
      <c r="R237" s="108"/>
      <c r="S237" s="94" t="str">
        <f t="shared" si="46"/>
        <v/>
      </c>
      <c r="T237" s="95">
        <v>10</v>
      </c>
      <c r="U237" s="105" t="s">
        <v>99</v>
      </c>
      <c r="V237" s="127">
        <v>1</v>
      </c>
      <c r="W237" s="920" t="s">
        <v>13063</v>
      </c>
      <c r="X237" s="1494">
        <f>IF(OR(ISBLANK(Q226),X226=0),0,Q237*V227)</f>
        <v>0</v>
      </c>
      <c r="Y237" s="101">
        <f>IFERROR(_xlfn.LET(_xlpm.v,IFERROR(_xlfn.XLOOKUP(U237,Q241:Z241,Q242:Z242),_xlfn.XLOOKUP(U237,Q243:Z243,Q244:Z244)),_xlpm.v*T237*V237*V227*IF(ISBLANK(Q237),1,Q237)),0)</f>
        <v>3.6764705882352941E-4</v>
      </c>
      <c r="Z237" s="1475" t="str">
        <f>_xlfn.LET(_xlpm.unite,SUBSTITUTE(TRIM(U237)," (s)",""),_xlpm.val,Y237,_xlpm.estVol,COUNTIF(T241:Z241,_xlpm.unite)+COUNTIF(T243:Z243,_xlpm.unite)&gt;0,_xlpm.estPoids,COUNTIF(Q241:S241,_xlpm.unite)+COUNTIF(Q243:S243,_xlpm.unite)&gt;0,IF(_xlpm.estVol,IF(ROUND(_xlpm.val,3)&gt;=1,ROUND(_xlpm.val,3)&amp;" L",MAX(1,ROUND(_xlpm.val*100,0))&amp;" cl"),IF(_xlpm.estPoids,IF(ROUND(_xlpm.val,3)&gt;=1,ROUND(_xlpm.val,3)&amp;" Kg",MAX(1,ROUND(_xlpm.val*1000,0))&amp;" g"),"")))</f>
        <v>1 g</v>
      </c>
      <c r="AA237" s="5086"/>
      <c r="AB237" s="104" t="str">
        <f t="shared" si="51"/>
        <v>A</v>
      </c>
      <c r="AC237" s="32" t="str">
        <f>AC200</f>
        <v>O OUR BLACK PUDDING | |  Author &gt; Guy KRENZE - Eric GODDYN - Arnaud NICOLAS - CEPROC 2002</v>
      </c>
      <c r="AD237" s="33">
        <f>AD200</f>
        <v>16.34</v>
      </c>
      <c r="AE237" s="32" t="str">
        <f>AE200</f>
        <v>Kg</v>
      </c>
      <c r="AF237" s="34" t="str">
        <f>AF200</f>
        <v>Master recipe ► Black pudding in 4 variations</v>
      </c>
      <c r="AG237" s="92"/>
      <c r="AH237" s="108"/>
      <c r="AI237" s="94" t="str">
        <f t="shared" si="48"/>
        <v/>
      </c>
      <c r="AJ237" s="95">
        <v>10</v>
      </c>
      <c r="AK237" s="105" t="s">
        <v>99</v>
      </c>
      <c r="AL237" s="127">
        <v>1</v>
      </c>
      <c r="AM237" s="920" t="s">
        <v>13181</v>
      </c>
      <c r="AN237" s="1494">
        <f>IF(OR(ISBLANK(AG226),AN226=0),0,AG237*AL227)</f>
        <v>0</v>
      </c>
      <c r="AO237" s="101">
        <f>IFERROR(_xlfn.LET(_xlpm.v,IFERROR(_xlfn.XLOOKUP(AK237,AG241:AP241,AG242:AP242),_xlfn.XLOOKUP(AK237,AG243:AP243,AG244:AP244)),_xlpm.v*AJ237*AL237*AL227*IF(ISBLANK(AG237),1,AG237)),0)</f>
        <v>3.6764705882352941E-4</v>
      </c>
      <c r="AP237" s="1475" t="str">
        <f>_xlfn.LET(_xlpm.unite,SUBSTITUTE(TRIM(AK237)," (s)",""),_xlpm.val,AO237,_xlpm.estVol,COUNTIF(AJ241:AP241,_xlpm.unite)+COUNTIF(AJ243:AP243,_xlpm.unite)&gt;0,_xlpm.estPoids,COUNTIF(AG241:AI241,_xlpm.unite)+COUNTIF(AG243:AI243,_xlpm.unite)&gt;0,IF(_xlpm.estVol,IF(ROUND(_xlpm.val,3)&gt;=1,ROUND(_xlpm.val,3)&amp;" L",MAX(1,ROUND(_xlpm.val*100,0))&amp;" cl"),IF(_xlpm.estPoids,IF(ROUND(_xlpm.val,3)&gt;=1,ROUND(_xlpm.val,3)&amp;" Kg",MAX(1,ROUND(_xlpm.val*1000,0))&amp;" g"),"")))</f>
        <v>1 g</v>
      </c>
      <c r="AQ237" s="5086"/>
      <c r="AR237" s="104" t="str">
        <f t="shared" si="49"/>
        <v>A</v>
      </c>
      <c r="AS237" s="32" t="str">
        <f>AS200</f>
        <v>N NUESTRA MORCILLA | | Autor &gt; Guy KRENZE - Eric GODDYN - Arnaud NICOLAS - CEPROC 2002</v>
      </c>
      <c r="AT237" s="33">
        <f>AT200</f>
        <v>16.34</v>
      </c>
      <c r="AU237" s="32" t="str">
        <f>AU200</f>
        <v>Kg</v>
      </c>
      <c r="AV237" s="34" t="str">
        <f>AV200</f>
        <v>Receta madre ► Morcilla en 4 versiones</v>
      </c>
      <c r="AW237" s="92"/>
      <c r="AX237" s="108"/>
      <c r="AY237" s="94" t="str">
        <f t="shared" si="50"/>
        <v/>
      </c>
      <c r="AZ237" s="95">
        <v>10</v>
      </c>
      <c r="BA237" s="105" t="s">
        <v>99</v>
      </c>
      <c r="BB237" s="127">
        <v>1</v>
      </c>
      <c r="BC237" s="920" t="s">
        <v>13063</v>
      </c>
      <c r="BD237" s="1494">
        <f>IF(OR(ISBLANK(AW226),BD226=0),0,AW237*BB227)</f>
        <v>0</v>
      </c>
      <c r="BE237" s="101">
        <f>IFERROR(_xlfn.LET(_xlpm.v,IFERROR(_xlfn.XLOOKUP(BA237,AW241:BF241,AW242:BF242),_xlfn.XLOOKUP(BA237,AW243:BF243,AW244:BF244)),_xlpm.v*AZ237*BB237*BB227*IF(ISBLANK(AW237),1,AW237)),0)</f>
        <v>3.6764705882352941E-4</v>
      </c>
      <c r="BF237" s="1475" t="str">
        <f>_xlfn.LET(_xlpm.unite,SUBSTITUTE(TRIM(BA237)," (s)",""),_xlpm.val,BE237,_xlpm.estVol,COUNTIF(AZ241:BF241,_xlpm.unite)+COUNTIF(AZ243:BF243,_xlpm.unite)&gt;0,_xlpm.estPoids,COUNTIF(AW241:AY241,_xlpm.unite)+COUNTIF(AW243:AY243,_xlpm.unite)&gt;0,IF(_xlpm.estVol,IF(ROUND(_xlpm.val,3)&gt;=1,ROUND(_xlpm.val,3)&amp;" L",MAX(1,ROUND(_xlpm.val*100,0))&amp;" cl"),IF(_xlpm.estPoids,IF(ROUND(_xlpm.val,3)&gt;=1,ROUND(_xlpm.val,3)&amp;" Kg",MAX(1,ROUND(_xlpm.val*1000,0))&amp;" g"),"")))</f>
        <v>1 g</v>
      </c>
      <c r="BG237" s="5086"/>
      <c r="BH237" s="104"/>
      <c r="BI237" s="32"/>
      <c r="BJ237" s="33"/>
      <c r="BK237" s="32"/>
      <c r="BL237" s="34"/>
      <c r="BM237" s="92"/>
      <c r="BN237" s="108"/>
      <c r="BO237" s="94"/>
      <c r="BP237" s="95"/>
      <c r="BQ237" s="105"/>
      <c r="BR237" s="5101"/>
      <c r="BS237" s="920"/>
      <c r="BT237" s="1495"/>
      <c r="BU237" s="101"/>
      <c r="BV237" s="1475"/>
      <c r="BW237" s="5086"/>
      <c r="BX237" s="104"/>
      <c r="BY237" s="32"/>
      <c r="BZ237" s="33"/>
      <c r="CA237" s="32"/>
      <c r="CB237" s="34"/>
      <c r="CC237" s="92"/>
      <c r="CD237" s="108"/>
      <c r="CE237" s="94"/>
      <c r="CF237" s="95"/>
      <c r="CG237" s="105"/>
      <c r="CH237" s="5101"/>
      <c r="CI237" s="920"/>
      <c r="CJ237" s="1495"/>
      <c r="CK237" s="101"/>
      <c r="CL237" s="1475"/>
      <c r="CM237" s="5086"/>
      <c r="CN237" s="104"/>
      <c r="CO237" s="32"/>
      <c r="CP237" s="33"/>
      <c r="CQ237" s="32"/>
      <c r="CR237" s="34"/>
      <c r="CS237" s="92"/>
      <c r="CT237" s="108"/>
      <c r="CU237" s="94"/>
      <c r="CV237" s="95"/>
      <c r="CW237" s="105"/>
      <c r="CX237" s="5101"/>
      <c r="CY237" s="920"/>
      <c r="CZ237" s="1495"/>
      <c r="DA237" s="101"/>
      <c r="DB237" s="1475"/>
      <c r="DC237" s="5109"/>
      <c r="DD237" s="5086"/>
      <c r="DF237" s="3">
        <v>1</v>
      </c>
      <c r="EY237" s="172"/>
      <c r="EZ237" s="172"/>
      <c r="FA237" s="172"/>
      <c r="FB237" s="172"/>
      <c r="FC237" s="1486" t="s">
        <v>899</v>
      </c>
      <c r="FE237" s="196" t="s">
        <v>11</v>
      </c>
      <c r="FF237" s="157" t="str">
        <f>FF208</f>
        <v>R RODAJA DE MANITAS DE CERDO para terrinas | | Autor &gt; USTED</v>
      </c>
      <c r="FG237" s="157">
        <f>FG208</f>
        <v>1</v>
      </c>
      <c r="FH237" s="158" t="str">
        <f>FH208</f>
        <v>molde L 30 cm × A 9 cm × H 6 cm</v>
      </c>
      <c r="FI237" s="159" t="str">
        <f>FI208</f>
        <v>Receta madre ► Introduzca el nombre de la receta principal</v>
      </c>
      <c r="FJ237" s="172"/>
      <c r="FK237" s="172"/>
      <c r="FL237" s="172"/>
      <c r="FM237" s="172"/>
      <c r="FN237" s="172"/>
      <c r="FO237" s="172"/>
      <c r="FP237" s="172"/>
      <c r="FQ237" s="172"/>
      <c r="FR237" s="172"/>
      <c r="FS237" s="1486" t="s">
        <v>913</v>
      </c>
    </row>
    <row r="238" spans="2:175" ht="21" customHeight="1">
      <c r="B238" s="952" t="str">
        <f t="shared" si="36"/>
        <v>A</v>
      </c>
      <c r="C238" s="993" cm="1">
        <f t="array" ref="C238">SUMPRODUCT(LEN(D238:J238))</f>
        <v>0</v>
      </c>
      <c r="D238" s="167"/>
      <c r="E238" s="172"/>
      <c r="F238" s="172"/>
      <c r="G238" s="172"/>
      <c r="H238" s="172"/>
      <c r="I238" s="172"/>
      <c r="J238" s="173"/>
      <c r="K238"/>
      <c r="L238" s="104" t="str">
        <f t="shared" si="45"/>
        <v>A</v>
      </c>
      <c r="M238" s="32" t="str">
        <f>M200</f>
        <v>N NOTRE BOUDIN NOIR | | Auteur &gt; Guy KRENZE - Eric GODDYN - Arnaud NICOLAS - CEPROC 2002</v>
      </c>
      <c r="N238" s="33">
        <f>N200</f>
        <v>16.34</v>
      </c>
      <c r="O238" s="32" t="str">
        <f>O200</f>
        <v>Kg</v>
      </c>
      <c r="P238" s="34" t="str">
        <f>P200</f>
        <v>Recette mère ► le Boudin en 4 déclinaisons</v>
      </c>
      <c r="Q238" s="92"/>
      <c r="R238" s="108"/>
      <c r="S238" s="94" t="str">
        <f t="shared" si="46"/>
        <v/>
      </c>
      <c r="T238" s="95">
        <v>15</v>
      </c>
      <c r="U238" s="105" t="s">
        <v>99</v>
      </c>
      <c r="V238" s="127">
        <v>1</v>
      </c>
      <c r="W238" s="920" t="s">
        <v>13064</v>
      </c>
      <c r="X238" s="1494">
        <f>IF(OR(ISBLANK(Q226),X226=0),0,Q238*V227)</f>
        <v>0</v>
      </c>
      <c r="Y238" s="101">
        <f>IFERROR(_xlfn.LET(_xlpm.v,IFERROR(_xlfn.XLOOKUP(U238,Q241:Z241,Q242:Z242),_xlfn.XLOOKUP(U238,Q243:Z243,Q244:Z244)),_xlpm.v*T238*V238*V227*IF(ISBLANK(Q238),1,Q238)),0)</f>
        <v>5.5147058823529411E-4</v>
      </c>
      <c r="Z238" s="1476" t="str">
        <f>_xlfn.LET(_xlpm.unite,SUBSTITUTE(TRIM(U238)," (s)",""),_xlpm.val,Y238,_xlpm.estVol,COUNTIF(T241:Z241,_xlpm.unite)+COUNTIF(T243:Z243,_xlpm.unite)&gt;0,_xlpm.estPoids,COUNTIF(Q241:S241,_xlpm.unite)+COUNTIF(Q243:S243,_xlpm.unite)&gt;0,IF(_xlpm.estVol,IF(ROUND(_xlpm.val,3)&gt;=1,ROUND(_xlpm.val,3)&amp;" L",MAX(1,ROUND(_xlpm.val*100,0))&amp;" cl"),IF(_xlpm.estPoids,IF(ROUND(_xlpm.val,3)&gt;=1,ROUND(_xlpm.val,3)&amp;" Kg",MAX(1,ROUND(_xlpm.val*1000,0))&amp;" g"),"")))</f>
        <v>1 g</v>
      </c>
      <c r="AA238" s="5086"/>
      <c r="AB238" s="104" t="str">
        <f t="shared" si="51"/>
        <v>A</v>
      </c>
      <c r="AC238" s="32" t="str">
        <f>AC200</f>
        <v>O OUR BLACK PUDDING | |  Author &gt; Guy KRENZE - Eric GODDYN - Arnaud NICOLAS - CEPROC 2002</v>
      </c>
      <c r="AD238" s="33">
        <f>AD200</f>
        <v>16.34</v>
      </c>
      <c r="AE238" s="32" t="str">
        <f>AE200</f>
        <v>Kg</v>
      </c>
      <c r="AF238" s="34" t="str">
        <f>AF200</f>
        <v>Master recipe ► Black pudding in 4 variations</v>
      </c>
      <c r="AG238" s="92"/>
      <c r="AH238" s="108"/>
      <c r="AI238" s="94" t="str">
        <f t="shared" si="48"/>
        <v/>
      </c>
      <c r="AJ238" s="95">
        <v>15</v>
      </c>
      <c r="AK238" s="105" t="s">
        <v>99</v>
      </c>
      <c r="AL238" s="127">
        <v>1</v>
      </c>
      <c r="AM238" s="920" t="s">
        <v>13182</v>
      </c>
      <c r="AN238" s="1494">
        <f>IF(OR(ISBLANK(AG226),AN226=0),0,AG238*AL227)</f>
        <v>0</v>
      </c>
      <c r="AO238" s="101">
        <f>IFERROR(_xlfn.LET(_xlpm.v,IFERROR(_xlfn.XLOOKUP(AK238,AG241:AP241,AG242:AP242),_xlfn.XLOOKUP(AK238,AG243:AP243,AG244:AP244)),_xlpm.v*AJ238*AL238*AL227*IF(ISBLANK(AG238),1,AG238)),0)</f>
        <v>5.5147058823529411E-4</v>
      </c>
      <c r="AP238" s="1476" t="str">
        <f>_xlfn.LET(_xlpm.unite,SUBSTITUTE(TRIM(AK238)," (s)",""),_xlpm.val,AO238,_xlpm.estVol,COUNTIF(AJ241:AP241,_xlpm.unite)+COUNTIF(AJ243:AP243,_xlpm.unite)&gt;0,_xlpm.estPoids,COUNTIF(AG241:AI241,_xlpm.unite)+COUNTIF(AG243:AI243,_xlpm.unite)&gt;0,IF(_xlpm.estVol,IF(ROUND(_xlpm.val,3)&gt;=1,ROUND(_xlpm.val,3)&amp;" L",MAX(1,ROUND(_xlpm.val*100,0))&amp;" cl"),IF(_xlpm.estPoids,IF(ROUND(_xlpm.val,3)&gt;=1,ROUND(_xlpm.val,3)&amp;" Kg",MAX(1,ROUND(_xlpm.val*1000,0))&amp;" g"),"")))</f>
        <v>1 g</v>
      </c>
      <c r="AQ238" s="5086"/>
      <c r="AR238" s="104" t="str">
        <f t="shared" si="49"/>
        <v>A</v>
      </c>
      <c r="AS238" s="32" t="str">
        <f>AS200</f>
        <v>N NUESTRA MORCILLA | | Autor &gt; Guy KRENZE - Eric GODDYN - Arnaud NICOLAS - CEPROC 2002</v>
      </c>
      <c r="AT238" s="33">
        <f>AT200</f>
        <v>16.34</v>
      </c>
      <c r="AU238" s="32" t="str">
        <f>AU200</f>
        <v>Kg</v>
      </c>
      <c r="AV238" s="34" t="str">
        <f>AV200</f>
        <v>Receta madre ► Morcilla en 4 versiones</v>
      </c>
      <c r="AW238" s="92"/>
      <c r="AX238" s="108"/>
      <c r="AY238" s="94" t="str">
        <f t="shared" si="50"/>
        <v/>
      </c>
      <c r="AZ238" s="95">
        <v>15</v>
      </c>
      <c r="BA238" s="105" t="s">
        <v>99</v>
      </c>
      <c r="BB238" s="127">
        <v>1</v>
      </c>
      <c r="BC238" s="920" t="s">
        <v>13191</v>
      </c>
      <c r="BD238" s="1494">
        <f>IF(OR(ISBLANK(AW226),BD226=0),0,AW238*BB227)</f>
        <v>0</v>
      </c>
      <c r="BE238" s="101">
        <f>IFERROR(_xlfn.LET(_xlpm.v,IFERROR(_xlfn.XLOOKUP(BA238,AW241:BF241,AW242:BF242),_xlfn.XLOOKUP(BA238,AW243:BF243,AW244:BF244)),_xlpm.v*AZ238*BB238*BB227*IF(ISBLANK(AW238),1,AW238)),0)</f>
        <v>5.5147058823529411E-4</v>
      </c>
      <c r="BF238" s="1476" t="str">
        <f>_xlfn.LET(_xlpm.unite,SUBSTITUTE(TRIM(BA238)," (s)",""),_xlpm.val,BE238,_xlpm.estVol,COUNTIF(AZ241:BF241,_xlpm.unite)+COUNTIF(AZ243:BF243,_xlpm.unite)&gt;0,_xlpm.estPoids,COUNTIF(AW241:AY241,_xlpm.unite)+COUNTIF(AW243:AY243,_xlpm.unite)&gt;0,IF(_xlpm.estVol,IF(ROUND(_xlpm.val,3)&gt;=1,ROUND(_xlpm.val,3)&amp;" L",MAX(1,ROUND(_xlpm.val*100,0))&amp;" cl"),IF(_xlpm.estPoids,IF(ROUND(_xlpm.val,3)&gt;=1,ROUND(_xlpm.val,3)&amp;" Kg",MAX(1,ROUND(_xlpm.val*1000,0))&amp;" g"),"")))</f>
        <v>1 g</v>
      </c>
      <c r="BG238" s="5086"/>
      <c r="BH238" s="104"/>
      <c r="BI238" s="32"/>
      <c r="BJ238" s="33"/>
      <c r="BK238" s="32"/>
      <c r="BL238" s="34"/>
      <c r="BM238" s="92"/>
      <c r="BN238" s="108"/>
      <c r="BO238" s="94"/>
      <c r="BP238" s="95"/>
      <c r="BQ238" s="105"/>
      <c r="BR238" s="5101"/>
      <c r="BS238" s="920"/>
      <c r="BT238" s="1495"/>
      <c r="BU238" s="101"/>
      <c r="BV238" s="1475"/>
      <c r="BW238" s="5086"/>
      <c r="BX238" s="104"/>
      <c r="BY238" s="32"/>
      <c r="BZ238" s="33"/>
      <c r="CA238" s="32"/>
      <c r="CB238" s="34"/>
      <c r="CC238" s="92"/>
      <c r="CD238" s="108"/>
      <c r="CE238" s="94"/>
      <c r="CF238" s="95"/>
      <c r="CG238" s="105"/>
      <c r="CH238" s="5101"/>
      <c r="CI238" s="920"/>
      <c r="CJ238" s="1495"/>
      <c r="CK238" s="101"/>
      <c r="CL238" s="1475"/>
      <c r="CM238" s="5086"/>
      <c r="CN238" s="104"/>
      <c r="CO238" s="32"/>
      <c r="CP238" s="33"/>
      <c r="CQ238" s="32"/>
      <c r="CR238" s="34"/>
      <c r="CS238" s="92"/>
      <c r="CT238" s="108"/>
      <c r="CU238" s="94"/>
      <c r="CV238" s="95"/>
      <c r="CW238" s="105"/>
      <c r="CX238" s="5101"/>
      <c r="CY238" s="920"/>
      <c r="CZ238" s="1495"/>
      <c r="DA238" s="101"/>
      <c r="DB238" s="1475"/>
      <c r="DC238" s="5109"/>
      <c r="DD238" s="5086"/>
      <c r="DF238" s="3">
        <v>1</v>
      </c>
      <c r="DH238" t="s">
        <v>13005</v>
      </c>
      <c r="EY238" s="206"/>
      <c r="EZ238" s="206"/>
      <c r="FA238" s="206"/>
      <c r="FB238" s="206"/>
      <c r="FC238" s="567"/>
      <c r="FE238" s="196" t="s">
        <v>11</v>
      </c>
      <c r="FF238" s="157" t="str">
        <f>FF208</f>
        <v>R RODAJA DE MANITAS DE CERDO para terrinas | | Autor &gt; USTED</v>
      </c>
      <c r="FG238" s="157">
        <f>FG208</f>
        <v>1</v>
      </c>
      <c r="FH238" s="158" t="str">
        <f>FH208</f>
        <v>molde L 30 cm × A 9 cm × H 6 cm</v>
      </c>
      <c r="FI238" s="159" t="str">
        <f>FI208</f>
        <v>Receta madre ► Introduzca el nombre de la receta principal</v>
      </c>
      <c r="FJ238" s="204"/>
      <c r="FK238" s="204"/>
      <c r="FL238" s="204" t="s">
        <v>915</v>
      </c>
      <c r="FM238" s="205"/>
      <c r="FN238" s="206"/>
      <c r="FO238" s="206"/>
      <c r="FP238" s="206"/>
      <c r="FQ238" s="206"/>
      <c r="FR238" s="206"/>
      <c r="FS238" s="567"/>
    </row>
    <row r="239" spans="2:175" ht="21" customHeight="1">
      <c r="B239" s="952" t="str">
        <f t="shared" si="36"/>
        <v>►</v>
      </c>
      <c r="C239" s="993" cm="1">
        <f t="array" ref="C239">SUMPRODUCT(LEN(D239:J239))</f>
        <v>0</v>
      </c>
      <c r="D239" s="167"/>
      <c r="E239" s="172"/>
      <c r="F239" s="172"/>
      <c r="G239" s="172"/>
      <c r="H239" s="172"/>
      <c r="I239" s="172"/>
      <c r="J239" s="173"/>
      <c r="K239"/>
      <c r="L239" s="104" t="str">
        <f t="shared" si="45"/>
        <v>►</v>
      </c>
      <c r="M239" s="32" t="str">
        <f>M200</f>
        <v>N NOTRE BOUDIN NOIR | | Auteur &gt; Guy KRENZE - Eric GODDYN - Arnaud NICOLAS - CEPROC 2002</v>
      </c>
      <c r="N239" s="33">
        <f>N200</f>
        <v>16.34</v>
      </c>
      <c r="O239" s="32" t="str">
        <f>O200</f>
        <v>Kg</v>
      </c>
      <c r="P239" s="34" t="str">
        <f>P200</f>
        <v>Recette mère ► le Boudin en 4 déclinaisons</v>
      </c>
      <c r="Q239" s="92"/>
      <c r="R239" s="108"/>
      <c r="S239" s="94" t="str">
        <f t="shared" si="46"/>
        <v/>
      </c>
      <c r="T239" s="95"/>
      <c r="U239" s="126"/>
      <c r="V239" s="127">
        <v>1</v>
      </c>
      <c r="W239" s="920"/>
      <c r="X239" s="1494">
        <f>IF(OR(ISBLANK(Q226),X226=0),0,Q239*V227)</f>
        <v>0</v>
      </c>
      <c r="Y239" s="101">
        <f>IFERROR(_xlfn.LET(_xlpm.v,IFERROR(_xlfn.XLOOKUP(U239,Q241:Z241,Q242:Z242),_xlfn.XLOOKUP(U239,Q243:Z243,Q244:Z244)),_xlpm.v*T239*V239*V227*IF(ISBLANK(Q239),1,Q239)),0)</f>
        <v>0</v>
      </c>
      <c r="Z239" s="1475" t="str">
        <f>_xlfn.LET(_xlpm.unite,SUBSTITUTE(TRIM(U239)," (s)",""),_xlpm.val,Y239,_xlpm.estVol,COUNTIF(T241:Z241,_xlpm.unite)+COUNTIF(T243:Z243,_xlpm.unite)&gt;0,_xlpm.estPoids,COUNTIF(Q241:S241,_xlpm.unite)+COUNTIF(Q243:S243,_xlpm.unite)&gt;0,IF(_xlpm.estVol,IF(ROUND(_xlpm.val,3)&gt;=1,ROUND(_xlpm.val,3)&amp;" L",MAX(1,ROUND(_xlpm.val*100,0))&amp;" cl"),IF(_xlpm.estPoids,IF(ROUND(_xlpm.val,3)&gt;=1,ROUND(_xlpm.val,3)&amp;" Kg",MAX(1,ROUND(_xlpm.val*1000,0))&amp;" g"),"")))</f>
        <v/>
      </c>
      <c r="AA239" s="5086"/>
      <c r="AB239" s="104" t="str">
        <f t="shared" si="51"/>
        <v>►</v>
      </c>
      <c r="AC239" s="32" t="str">
        <f>AC200</f>
        <v>O OUR BLACK PUDDING | |  Author &gt; Guy KRENZE - Eric GODDYN - Arnaud NICOLAS - CEPROC 2002</v>
      </c>
      <c r="AD239" s="33">
        <f>AD200</f>
        <v>16.34</v>
      </c>
      <c r="AE239" s="32" t="str">
        <f>AE200</f>
        <v>Kg</v>
      </c>
      <c r="AF239" s="34" t="str">
        <f>AF200</f>
        <v>Master recipe ► Black pudding in 4 variations</v>
      </c>
      <c r="AG239" s="92"/>
      <c r="AH239" s="108"/>
      <c r="AI239" s="94" t="str">
        <f t="shared" si="48"/>
        <v/>
      </c>
      <c r="AJ239" s="95"/>
      <c r="AK239" s="126"/>
      <c r="AL239" s="127">
        <v>1</v>
      </c>
      <c r="AM239" s="920"/>
      <c r="AN239" s="1494">
        <f>IF(OR(ISBLANK(AG226),AN226=0),0,AG239*AL227)</f>
        <v>0</v>
      </c>
      <c r="AO239" s="101">
        <f>IFERROR(_xlfn.LET(_xlpm.v,IFERROR(_xlfn.XLOOKUP(AK239,AG241:AP241,AG242:AP242),_xlfn.XLOOKUP(AK239,AG243:AP243,AG244:AP244)),_xlpm.v*AJ239*AL239*AL227*IF(ISBLANK(AG239),1,AG239)),0)</f>
        <v>0</v>
      </c>
      <c r="AP239" s="1475" t="str">
        <f>_xlfn.LET(_xlpm.unite,SUBSTITUTE(TRIM(AK239)," (s)",""),_xlpm.val,AO239,_xlpm.estVol,COUNTIF(AJ241:AP241,_xlpm.unite)+COUNTIF(AJ243:AP243,_xlpm.unite)&gt;0,_xlpm.estPoids,COUNTIF(AG241:AI241,_xlpm.unite)+COUNTIF(AG243:AI243,_xlpm.unite)&gt;0,IF(_xlpm.estVol,IF(ROUND(_xlpm.val,3)&gt;=1,ROUND(_xlpm.val,3)&amp;" L",MAX(1,ROUND(_xlpm.val*100,0))&amp;" cl"),IF(_xlpm.estPoids,IF(ROUND(_xlpm.val,3)&gt;=1,ROUND(_xlpm.val,3)&amp;" Kg",MAX(1,ROUND(_xlpm.val*1000,0))&amp;" g"),"")))</f>
        <v/>
      </c>
      <c r="AQ239" s="5086"/>
      <c r="AR239" s="104" t="str">
        <f t="shared" si="49"/>
        <v>►</v>
      </c>
      <c r="AS239" s="32" t="str">
        <f>AS200</f>
        <v>N NUESTRA MORCILLA | | Autor &gt; Guy KRENZE - Eric GODDYN - Arnaud NICOLAS - CEPROC 2002</v>
      </c>
      <c r="AT239" s="33">
        <f>AT200</f>
        <v>16.34</v>
      </c>
      <c r="AU239" s="32" t="str">
        <f>AU200</f>
        <v>Kg</v>
      </c>
      <c r="AV239" s="34" t="str">
        <f>AV200</f>
        <v>Receta madre ► Morcilla en 4 versiones</v>
      </c>
      <c r="AW239" s="92"/>
      <c r="AX239" s="108"/>
      <c r="AY239" s="94" t="str">
        <f t="shared" si="50"/>
        <v/>
      </c>
      <c r="AZ239" s="95"/>
      <c r="BA239" s="126"/>
      <c r="BB239" s="127">
        <v>1</v>
      </c>
      <c r="BC239" s="920"/>
      <c r="BD239" s="1494">
        <f>IF(OR(ISBLANK(AW226),BD226=0),0,AW239*BB227)</f>
        <v>0</v>
      </c>
      <c r="BE239" s="101">
        <f>IFERROR(_xlfn.LET(_xlpm.v,IFERROR(_xlfn.XLOOKUP(BA239,AW241:BF241,AW242:BF242),_xlfn.XLOOKUP(BA239,AW243:BF243,AW244:BF244)),_xlpm.v*AZ239*BB239*BB227*IF(ISBLANK(AW239),1,AW239)),0)</f>
        <v>0</v>
      </c>
      <c r="BF239" s="1475" t="str">
        <f>_xlfn.LET(_xlpm.unite,SUBSTITUTE(TRIM(BA239)," (s)",""),_xlpm.val,BE239,_xlpm.estVol,COUNTIF(AZ241:BF241,_xlpm.unite)+COUNTIF(AZ243:BF243,_xlpm.unite)&gt;0,_xlpm.estPoids,COUNTIF(AW241:AY241,_xlpm.unite)+COUNTIF(AW243:AY243,_xlpm.unite)&gt;0,IF(_xlpm.estVol,IF(ROUND(_xlpm.val,3)&gt;=1,ROUND(_xlpm.val,3)&amp;" L",MAX(1,ROUND(_xlpm.val*100,0))&amp;" cl"),IF(_xlpm.estPoids,IF(ROUND(_xlpm.val,3)&gt;=1,ROUND(_xlpm.val,3)&amp;" Kg",MAX(1,ROUND(_xlpm.val*1000,0))&amp;" g"),"")))</f>
        <v/>
      </c>
      <c r="BG239" s="5086"/>
      <c r="BH239" s="104"/>
      <c r="BI239" s="32"/>
      <c r="BJ239" s="33"/>
      <c r="BK239" s="32"/>
      <c r="BL239" s="34"/>
      <c r="BM239" s="92"/>
      <c r="BN239" s="108"/>
      <c r="BO239" s="94"/>
      <c r="BP239" s="95"/>
      <c r="BQ239" s="105"/>
      <c r="BR239" s="5101"/>
      <c r="BS239" s="920"/>
      <c r="BT239" s="1495"/>
      <c r="BU239" s="101"/>
      <c r="BV239" s="1475"/>
      <c r="BW239" s="5086"/>
      <c r="BX239" s="104"/>
      <c r="BY239" s="32"/>
      <c r="BZ239" s="33"/>
      <c r="CA239" s="32"/>
      <c r="CB239" s="34"/>
      <c r="CC239" s="92"/>
      <c r="CD239" s="108"/>
      <c r="CE239" s="94"/>
      <c r="CF239" s="95"/>
      <c r="CG239" s="105"/>
      <c r="CH239" s="5101"/>
      <c r="CI239" s="920"/>
      <c r="CJ239" s="1495"/>
      <c r="CK239" s="101"/>
      <c r="CL239" s="1475"/>
      <c r="CM239" s="5086"/>
      <c r="CN239" s="104"/>
      <c r="CO239" s="32"/>
      <c r="CP239" s="33"/>
      <c r="CQ239" s="32"/>
      <c r="CR239" s="34"/>
      <c r="CS239" s="92"/>
      <c r="CT239" s="108"/>
      <c r="CU239" s="94"/>
      <c r="CV239" s="95"/>
      <c r="CW239" s="105"/>
      <c r="CX239" s="5101"/>
      <c r="CY239" s="920"/>
      <c r="CZ239" s="1495"/>
      <c r="DA239" s="101"/>
      <c r="DB239" s="1475"/>
      <c r="DC239" s="5109"/>
      <c r="DD239" s="5086"/>
      <c r="DF239" s="3">
        <v>1</v>
      </c>
      <c r="EY239" s="214"/>
      <c r="EZ239" s="214"/>
      <c r="FA239" s="214"/>
      <c r="FB239" s="214"/>
      <c r="FC239" s="582"/>
      <c r="FE239" s="196" t="s">
        <v>11</v>
      </c>
      <c r="FF239" s="209" t="str">
        <f>FF208</f>
        <v>R RODAJA DE MANITAS DE CERDO para terrinas | | Autor &gt; USTED</v>
      </c>
      <c r="FG239" s="209">
        <f>FG208</f>
        <v>1</v>
      </c>
      <c r="FH239" s="210" t="str">
        <f>FH208</f>
        <v>molde L 30 cm × A 9 cm × H 6 cm</v>
      </c>
      <c r="FI239" s="211" t="str">
        <f>FI208</f>
        <v>Receta madre ► Introduzca el nombre de la receta principal</v>
      </c>
      <c r="FJ239" s="212"/>
      <c r="FK239" s="213"/>
      <c r="FL239" s="214"/>
      <c r="FM239" s="215"/>
      <c r="FN239" s="214"/>
      <c r="FO239" s="214"/>
      <c r="FP239" s="214"/>
      <c r="FQ239" s="214"/>
      <c r="FR239" s="214"/>
      <c r="FS239" s="582"/>
    </row>
    <row r="240" spans="2:175" ht="21" customHeight="1" thickBot="1">
      <c r="B240" s="952" t="str">
        <f t="shared" si="36"/>
        <v>A</v>
      </c>
      <c r="C240" s="993" cm="1">
        <f t="array" ref="C240">SUMPRODUCT(LEN(D240:J240))</f>
        <v>0</v>
      </c>
      <c r="D240" s="167"/>
      <c r="E240" s="172"/>
      <c r="F240" s="172"/>
      <c r="G240" s="172"/>
      <c r="H240" s="172"/>
      <c r="I240" s="172"/>
      <c r="J240" s="173"/>
      <c r="K240"/>
      <c r="L240" s="104" t="s">
        <v>11</v>
      </c>
      <c r="M240" s="32" t="str">
        <f>M200</f>
        <v>N NOTRE BOUDIN NOIR | | Auteur &gt; Guy KRENZE - Eric GODDYN - Arnaud NICOLAS - CEPROC 2002</v>
      </c>
      <c r="N240" s="33">
        <f>N200</f>
        <v>16.34</v>
      </c>
      <c r="O240" s="32" t="str">
        <f>O200</f>
        <v>Kg</v>
      </c>
      <c r="P240" s="34" t="str">
        <f>P200</f>
        <v>Recette mère ► le Boudin en 4 déclinaisons</v>
      </c>
      <c r="Q240" s="907" t="s">
        <v>136</v>
      </c>
      <c r="R240" s="500"/>
      <c r="S240" s="500"/>
      <c r="T240" s="500"/>
      <c r="U240" s="500"/>
      <c r="V240" s="908"/>
      <c r="W240" s="909"/>
      <c r="X240" s="909"/>
      <c r="Y240" s="5164">
        <f>SUM(Y230:Y239)</f>
        <v>1.4981617647058826E-2</v>
      </c>
      <c r="Z240" s="1489"/>
      <c r="AA240" s="5086"/>
      <c r="AB240" s="104" t="s">
        <v>11</v>
      </c>
      <c r="AC240" s="32" t="str">
        <f>AC200</f>
        <v>O OUR BLACK PUDDING | |  Author &gt; Guy KRENZE - Eric GODDYN - Arnaud NICOLAS - CEPROC 2002</v>
      </c>
      <c r="AD240" s="33">
        <f>AD200</f>
        <v>16.34</v>
      </c>
      <c r="AE240" s="32" t="str">
        <f>AE200</f>
        <v>Kg</v>
      </c>
      <c r="AF240" s="34" t="str">
        <f>AF200</f>
        <v>Master recipe ► Black pudding in 4 variations</v>
      </c>
      <c r="AG240" s="907" t="s">
        <v>136</v>
      </c>
      <c r="AH240" s="500"/>
      <c r="AI240" s="500"/>
      <c r="AJ240" s="500"/>
      <c r="AK240" s="500"/>
      <c r="AL240" s="908"/>
      <c r="AM240" s="909"/>
      <c r="AN240" s="909"/>
      <c r="AO240" s="5164">
        <f>SUM(AO230:AO239)</f>
        <v>1.4981617647058826E-2</v>
      </c>
      <c r="AP240" s="1489"/>
      <c r="AQ240" s="5086"/>
      <c r="AR240" s="104" t="s">
        <v>11</v>
      </c>
      <c r="AS240" s="32" t="str">
        <f>AS200</f>
        <v>N NUESTRA MORCILLA | | Autor &gt; Guy KRENZE - Eric GODDYN - Arnaud NICOLAS - CEPROC 2002</v>
      </c>
      <c r="AT240" s="33">
        <f>AT200</f>
        <v>16.34</v>
      </c>
      <c r="AU240" s="32" t="str">
        <f>AU200</f>
        <v>Kg</v>
      </c>
      <c r="AV240" s="34" t="str">
        <f>AV200</f>
        <v>Receta madre ► Morcilla en 4 versiones</v>
      </c>
      <c r="AW240" s="907" t="s">
        <v>136</v>
      </c>
      <c r="AX240" s="500"/>
      <c r="AY240" s="500"/>
      <c r="AZ240" s="500"/>
      <c r="BA240" s="500"/>
      <c r="BB240" s="908"/>
      <c r="BC240" s="909"/>
      <c r="BD240" s="909"/>
      <c r="BE240" s="5164">
        <f>SUM(BE230:BE239)</f>
        <v>1.4981617647058826E-2</v>
      </c>
      <c r="BF240" s="1489"/>
      <c r="BG240" s="5086"/>
      <c r="BH240" s="104"/>
      <c r="BI240" s="32"/>
      <c r="BJ240" s="33"/>
      <c r="BK240" s="32"/>
      <c r="BL240" s="34"/>
      <c r="BM240" s="92"/>
      <c r="BN240" s="108"/>
      <c r="BO240" s="94"/>
      <c r="BP240" s="95"/>
      <c r="BQ240" s="105"/>
      <c r="BR240" s="5101"/>
      <c r="BS240" s="920"/>
      <c r="BT240" s="1495"/>
      <c r="BU240" s="101"/>
      <c r="BV240" s="1475"/>
      <c r="BW240" s="5086"/>
      <c r="BX240" s="104"/>
      <c r="BY240" s="32"/>
      <c r="BZ240" s="33"/>
      <c r="CA240" s="32"/>
      <c r="CB240" s="34"/>
      <c r="CC240" s="92"/>
      <c r="CD240" s="108"/>
      <c r="CE240" s="94"/>
      <c r="CF240" s="95"/>
      <c r="CG240" s="105"/>
      <c r="CH240" s="5101"/>
      <c r="CI240" s="920"/>
      <c r="CJ240" s="1495"/>
      <c r="CK240" s="101"/>
      <c r="CL240" s="1475"/>
      <c r="CM240" s="5086"/>
      <c r="CN240" s="104"/>
      <c r="CO240" s="32"/>
      <c r="CP240" s="33"/>
      <c r="CQ240" s="32"/>
      <c r="CR240" s="34"/>
      <c r="CS240" s="92"/>
      <c r="CT240" s="108"/>
      <c r="CU240" s="94"/>
      <c r="CV240" s="95"/>
      <c r="CW240" s="105"/>
      <c r="CX240" s="5101"/>
      <c r="CY240" s="920"/>
      <c r="CZ240" s="1495"/>
      <c r="DA240" s="101"/>
      <c r="DB240" s="1475"/>
      <c r="DC240" s="5109"/>
      <c r="DD240" s="5086"/>
      <c r="DF240" s="3">
        <v>1</v>
      </c>
      <c r="DH240" t="s">
        <v>13004</v>
      </c>
      <c r="EY240" s="220"/>
      <c r="EZ240" s="220"/>
      <c r="FA240" s="220"/>
      <c r="FB240" s="220"/>
      <c r="FC240" s="221"/>
      <c r="FE240" s="216" t="s">
        <v>11</v>
      </c>
      <c r="FF240" s="217" t="str">
        <f>FF208</f>
        <v>R RODAJA DE MANITAS DE CERDO para terrinas | | Autor &gt; USTED</v>
      </c>
      <c r="FG240" s="217">
        <f>FG208</f>
        <v>1</v>
      </c>
      <c r="FH240" s="217" t="str">
        <f>FH208</f>
        <v>molde L 30 cm × A 9 cm × H 6 cm</v>
      </c>
      <c r="FI240" s="218" t="str">
        <f>FI208</f>
        <v>Receta madre ► Introduzca el nombre de la receta principal</v>
      </c>
      <c r="FJ240" s="219" t="s">
        <v>208</v>
      </c>
      <c r="FK240" s="1481" t="str">
        <f ca="1">CELL("nomfichier")</f>
        <v>D:\Données\1.UPRT\0-UPRT.fait\1-UPRT.FR-SITE-WEB\ff-fiches-fabrications\ff.fiches.fabrication.2023\ffr.restaurant.2023\[ff.FICHE.TRILINGUE.15.COLONNES.29.11.2025.xlsx]Notice.utilisateur</v>
      </c>
      <c r="FL240" s="220"/>
      <c r="FM240" s="220"/>
      <c r="FN240" s="220"/>
      <c r="FO240" s="220"/>
      <c r="FP240" s="220"/>
      <c r="FQ240" s="220"/>
      <c r="FR240" s="220"/>
      <c r="FS240" s="221"/>
    </row>
    <row r="241" spans="2:178" ht="21" customHeight="1">
      <c r="B241" s="952" t="str">
        <f t="shared" si="36"/>
        <v>►</v>
      </c>
      <c r="C241" s="993" cm="1">
        <f t="array" ref="C241">SUMPRODUCT(LEN(D241:J241))</f>
        <v>0</v>
      </c>
      <c r="D241" s="167"/>
      <c r="E241" s="172"/>
      <c r="F241" s="172"/>
      <c r="G241" s="172"/>
      <c r="H241" s="172"/>
      <c r="I241" s="172"/>
      <c r="J241" s="173"/>
      <c r="K241"/>
      <c r="L241" s="104" t="s">
        <v>16</v>
      </c>
      <c r="M241" s="32" t="str">
        <f>M200</f>
        <v>N NOTRE BOUDIN NOIR | | Auteur &gt; Guy KRENZE - Eric GODDYN - Arnaud NICOLAS - CEPROC 2002</v>
      </c>
      <c r="N241" s="33">
        <f>N200</f>
        <v>16.34</v>
      </c>
      <c r="O241" s="32" t="str">
        <f>O200</f>
        <v>Kg</v>
      </c>
      <c r="P241" s="34" t="str">
        <f>P200</f>
        <v>Recette mère ► le Boudin en 4 déclinaisons</v>
      </c>
      <c r="Q241" s="140" t="s">
        <v>143</v>
      </c>
      <c r="R241" s="105" t="s">
        <v>99</v>
      </c>
      <c r="S241" s="141" t="s">
        <v>144</v>
      </c>
      <c r="T241" s="96" t="s">
        <v>0</v>
      </c>
      <c r="U241" s="96" t="s">
        <v>96</v>
      </c>
      <c r="V241" s="96" t="s">
        <v>147</v>
      </c>
      <c r="W241" s="96" t="s">
        <v>148</v>
      </c>
      <c r="X241" s="109" t="s">
        <v>364</v>
      </c>
      <c r="Y241" s="109" t="s">
        <v>102</v>
      </c>
      <c r="Z241" s="109" t="s">
        <v>149</v>
      </c>
      <c r="AA241" s="5086"/>
      <c r="AB241" s="104" t="s">
        <v>16</v>
      </c>
      <c r="AC241" s="32" t="str">
        <f>AC200</f>
        <v>O OUR BLACK PUDDING | |  Author &gt; Guy KRENZE - Eric GODDYN - Arnaud NICOLAS - CEPROC 2002</v>
      </c>
      <c r="AD241" s="33">
        <f>AD200</f>
        <v>16.34</v>
      </c>
      <c r="AE241" s="32" t="str">
        <f>AE200</f>
        <v>Kg</v>
      </c>
      <c r="AF241" s="34" t="str">
        <f>AF200</f>
        <v>Master recipe ► Black pudding in 4 variations</v>
      </c>
      <c r="AG241" s="140" t="s">
        <v>143</v>
      </c>
      <c r="AH241" s="105" t="s">
        <v>99</v>
      </c>
      <c r="AI241" s="141" t="s">
        <v>144</v>
      </c>
      <c r="AJ241" s="96" t="s">
        <v>0</v>
      </c>
      <c r="AK241" s="96" t="s">
        <v>96</v>
      </c>
      <c r="AL241" s="96" t="s">
        <v>147</v>
      </c>
      <c r="AM241" s="96" t="s">
        <v>148</v>
      </c>
      <c r="AN241" s="109" t="s">
        <v>1378</v>
      </c>
      <c r="AO241" s="109" t="s">
        <v>1360</v>
      </c>
      <c r="AP241" s="109" t="s">
        <v>1361</v>
      </c>
      <c r="AQ241" s="5086"/>
      <c r="AR241" s="104" t="s">
        <v>16</v>
      </c>
      <c r="AS241" s="32" t="str">
        <f>AS200</f>
        <v>N NUESTRA MORCILLA | | Autor &gt; Guy KRENZE - Eric GODDYN - Arnaud NICOLAS - CEPROC 2002</v>
      </c>
      <c r="AT241" s="33">
        <f>AT200</f>
        <v>16.34</v>
      </c>
      <c r="AU241" s="32" t="str">
        <f>AU200</f>
        <v>Kg</v>
      </c>
      <c r="AV241" s="34" t="str">
        <f>AV200</f>
        <v>Receta madre ► Morcilla en 4 versiones</v>
      </c>
      <c r="AW241" s="140" t="s">
        <v>143</v>
      </c>
      <c r="AX241" s="105" t="s">
        <v>99</v>
      </c>
      <c r="AY241" s="141" t="s">
        <v>144</v>
      </c>
      <c r="AZ241" s="96" t="s">
        <v>0</v>
      </c>
      <c r="BA241" s="96" t="s">
        <v>96</v>
      </c>
      <c r="BB241" s="96" t="s">
        <v>147</v>
      </c>
      <c r="BC241" s="96" t="s">
        <v>148</v>
      </c>
      <c r="BD241" s="109" t="s">
        <v>1379</v>
      </c>
      <c r="BE241" s="109" t="s">
        <v>1341</v>
      </c>
      <c r="BF241" s="109" t="s">
        <v>1342</v>
      </c>
      <c r="BG241" s="5086"/>
      <c r="BH241" s="104"/>
      <c r="BI241" s="32"/>
      <c r="BJ241" s="33"/>
      <c r="BK241" s="32"/>
      <c r="BL241" s="34"/>
      <c r="BM241" s="92"/>
      <c r="BN241" s="108"/>
      <c r="BO241" s="94"/>
      <c r="BP241" s="95"/>
      <c r="BQ241" s="105"/>
      <c r="BR241" s="5101"/>
      <c r="BS241" s="920"/>
      <c r="BT241" s="1495"/>
      <c r="BU241" s="101"/>
      <c r="BV241" s="1475"/>
      <c r="BW241" s="5086"/>
      <c r="BX241" s="104"/>
      <c r="BY241" s="32"/>
      <c r="BZ241" s="33"/>
      <c r="CA241" s="32"/>
      <c r="CB241" s="34"/>
      <c r="CC241" s="92"/>
      <c r="CD241" s="108"/>
      <c r="CE241" s="94"/>
      <c r="CF241" s="95"/>
      <c r="CG241" s="105"/>
      <c r="CH241" s="5101"/>
      <c r="CI241" s="920"/>
      <c r="CJ241" s="1495"/>
      <c r="CK241" s="101"/>
      <c r="CL241" s="1475"/>
      <c r="CM241" s="5086"/>
      <c r="CN241" s="104"/>
      <c r="CO241" s="32"/>
      <c r="CP241" s="33"/>
      <c r="CQ241" s="32"/>
      <c r="CR241" s="34"/>
      <c r="CS241" s="92"/>
      <c r="CT241" s="108"/>
      <c r="CU241" s="94"/>
      <c r="CV241" s="95"/>
      <c r="CW241" s="105"/>
      <c r="CX241" s="5101"/>
      <c r="CY241" s="920"/>
      <c r="CZ241" s="1495"/>
      <c r="DA241" s="101"/>
      <c r="DB241" s="1475"/>
      <c r="DC241" s="5109"/>
      <c r="DD241" s="5081"/>
      <c r="DF241" s="3">
        <v>1</v>
      </c>
      <c r="DH241" t="s">
        <v>13003</v>
      </c>
      <c r="EY241" s="78" t="s">
        <v>71</v>
      </c>
      <c r="EZ241" s="79" t="s">
        <v>72</v>
      </c>
      <c r="FA241" s="1496" t="s">
        <v>73</v>
      </c>
      <c r="FB241" s="13" t="s">
        <v>74</v>
      </c>
      <c r="FC241" s="518" t="s">
        <v>75</v>
      </c>
    </row>
    <row r="242" spans="2:178" ht="21" customHeight="1">
      <c r="B242" s="952" t="str">
        <f t="shared" si="36"/>
        <v>►</v>
      </c>
      <c r="C242" s="993" cm="1">
        <f t="array" ref="C242">SUMPRODUCT(LEN(D242:J242))</f>
        <v>0</v>
      </c>
      <c r="D242" s="167"/>
      <c r="E242" s="172"/>
      <c r="F242" s="172"/>
      <c r="G242" s="172"/>
      <c r="H242" s="172"/>
      <c r="I242" s="172"/>
      <c r="J242" s="173"/>
      <c r="K242"/>
      <c r="L242" s="104" t="s">
        <v>16</v>
      </c>
      <c r="M242" s="32" t="str">
        <f>M200</f>
        <v>N NOTRE BOUDIN NOIR | | Auteur &gt; Guy KRENZE - Eric GODDYN - Arnaud NICOLAS - CEPROC 2002</v>
      </c>
      <c r="N242" s="33">
        <f>N200</f>
        <v>16.34</v>
      </c>
      <c r="O242" s="32" t="str">
        <f>O200</f>
        <v>Kg</v>
      </c>
      <c r="P242" s="34" t="str">
        <f>P200</f>
        <v>Recette mère ► le Boudin en 4 déclinaisons</v>
      </c>
      <c r="Q242" s="911">
        <v>1</v>
      </c>
      <c r="R242" s="912">
        <v>1E-3</v>
      </c>
      <c r="S242" s="913">
        <v>0</v>
      </c>
      <c r="T242" s="914">
        <v>1</v>
      </c>
      <c r="U242" s="914">
        <v>0.1</v>
      </c>
      <c r="V242" s="914">
        <v>0.01</v>
      </c>
      <c r="W242" s="914">
        <v>1E-3</v>
      </c>
      <c r="X242" s="914">
        <v>0.25</v>
      </c>
      <c r="Y242" s="914">
        <v>0.5</v>
      </c>
      <c r="Z242" s="914">
        <v>0.33300000000000002</v>
      </c>
      <c r="AA242" s="5086"/>
      <c r="AB242" s="104" t="s">
        <v>16</v>
      </c>
      <c r="AC242" s="32" t="str">
        <f>AC200</f>
        <v>O OUR BLACK PUDDING | |  Author &gt; Guy KRENZE - Eric GODDYN - Arnaud NICOLAS - CEPROC 2002</v>
      </c>
      <c r="AD242" s="33">
        <f>AD200</f>
        <v>16.34</v>
      </c>
      <c r="AE242" s="32" t="str">
        <f>AE200</f>
        <v>Kg</v>
      </c>
      <c r="AF242" s="34" t="str">
        <f>AF200</f>
        <v>Master recipe ► Black pudding in 4 variations</v>
      </c>
      <c r="AG242" s="911">
        <v>1</v>
      </c>
      <c r="AH242" s="912">
        <v>1E-3</v>
      </c>
      <c r="AI242" s="913">
        <v>0</v>
      </c>
      <c r="AJ242" s="914">
        <v>1</v>
      </c>
      <c r="AK242" s="914">
        <v>0.1</v>
      </c>
      <c r="AL242" s="914">
        <v>0.01</v>
      </c>
      <c r="AM242" s="914">
        <v>1E-3</v>
      </c>
      <c r="AN242" s="914">
        <v>0.25</v>
      </c>
      <c r="AO242" s="914">
        <v>0.5</v>
      </c>
      <c r="AP242" s="914">
        <v>0.33300000000000002</v>
      </c>
      <c r="AQ242" s="5086"/>
      <c r="AR242" s="104" t="s">
        <v>16</v>
      </c>
      <c r="AS242" s="32" t="str">
        <f>AS200</f>
        <v>N NUESTRA MORCILLA | | Autor &gt; Guy KRENZE - Eric GODDYN - Arnaud NICOLAS - CEPROC 2002</v>
      </c>
      <c r="AT242" s="33">
        <f>AT200</f>
        <v>16.34</v>
      </c>
      <c r="AU242" s="32" t="str">
        <f>AU200</f>
        <v>Kg</v>
      </c>
      <c r="AV242" s="34" t="str">
        <f>AV200</f>
        <v>Receta madre ► Morcilla en 4 versiones</v>
      </c>
      <c r="AW242" s="911">
        <v>1</v>
      </c>
      <c r="AX242" s="912">
        <v>1E-3</v>
      </c>
      <c r="AY242" s="913">
        <v>0</v>
      </c>
      <c r="AZ242" s="914">
        <v>1</v>
      </c>
      <c r="BA242" s="914">
        <v>0.1</v>
      </c>
      <c r="BB242" s="914">
        <v>0.01</v>
      </c>
      <c r="BC242" s="914">
        <v>1E-3</v>
      </c>
      <c r="BD242" s="914">
        <v>0.25</v>
      </c>
      <c r="BE242" s="914">
        <v>0.5</v>
      </c>
      <c r="BF242" s="914">
        <v>0.33300000000000002</v>
      </c>
      <c r="BG242" s="5086"/>
      <c r="BH242" s="104"/>
      <c r="BI242" s="32"/>
      <c r="BJ242" s="33"/>
      <c r="BK242" s="32"/>
      <c r="BL242" s="34"/>
      <c r="BM242" s="92"/>
      <c r="BN242" s="108"/>
      <c r="BO242" s="94"/>
      <c r="BP242" s="95"/>
      <c r="BQ242" s="105"/>
      <c r="BR242" s="5101"/>
      <c r="BS242" s="920"/>
      <c r="BT242" s="1495"/>
      <c r="BU242" s="101"/>
      <c r="BV242" s="1475"/>
      <c r="BW242" s="5086"/>
      <c r="BX242" s="104"/>
      <c r="BY242" s="32"/>
      <c r="BZ242" s="33"/>
      <c r="CA242" s="32"/>
      <c r="CB242" s="34"/>
      <c r="CC242" s="92"/>
      <c r="CD242" s="108"/>
      <c r="CE242" s="94"/>
      <c r="CF242" s="95"/>
      <c r="CG242" s="105"/>
      <c r="CH242" s="5101"/>
      <c r="CI242" s="920"/>
      <c r="CJ242" s="1495"/>
      <c r="CK242" s="101"/>
      <c r="CL242" s="1475"/>
      <c r="CM242" s="5086"/>
      <c r="CN242" s="104"/>
      <c r="CO242" s="32"/>
      <c r="CP242" s="33"/>
      <c r="CQ242" s="32"/>
      <c r="CR242" s="34"/>
      <c r="CS242" s="92"/>
      <c r="CT242" s="108"/>
      <c r="CU242" s="94"/>
      <c r="CV242" s="95"/>
      <c r="CW242" s="105"/>
      <c r="CX242" s="5101"/>
      <c r="CY242" s="920"/>
      <c r="CZ242" s="1495"/>
      <c r="DA242" s="101"/>
      <c r="DB242" s="1475"/>
      <c r="DC242" s="5109"/>
      <c r="DD242" s="5079"/>
      <c r="DF242" s="3">
        <v>1</v>
      </c>
      <c r="EY242" s="5061" t="s">
        <v>396</v>
      </c>
      <c r="EZ242" s="84" t="s">
        <v>82</v>
      </c>
      <c r="FA242" s="5055" t="s">
        <v>249</v>
      </c>
      <c r="FB242" s="5057" t="s">
        <v>907</v>
      </c>
      <c r="FC242" s="5059" t="s">
        <v>252</v>
      </c>
      <c r="FH242" t="str">
        <f>UPPER(FH243)</f>
        <v>BLACK PUDDING MIXTURE (FILLING)</v>
      </c>
      <c r="FI242" t="str">
        <f>UPPER(FI243)</f>
        <v>APARATO/MEZCLA DE MORCILLA</v>
      </c>
    </row>
    <row r="243" spans="2:178" ht="21" customHeight="1">
      <c r="B243" s="952" t="str">
        <f t="shared" si="36"/>
        <v>►</v>
      </c>
      <c r="C243" s="993" cm="1">
        <f t="array" ref="C243">SUMPRODUCT(LEN(D243:J243))</f>
        <v>0</v>
      </c>
      <c r="D243" s="167"/>
      <c r="E243" s="172"/>
      <c r="F243" s="172"/>
      <c r="G243" s="172"/>
      <c r="H243" s="172"/>
      <c r="I243" s="172"/>
      <c r="J243" s="173"/>
      <c r="K243"/>
      <c r="L243" s="104" t="s">
        <v>16</v>
      </c>
      <c r="M243" s="32" t="str">
        <f>M200</f>
        <v>N NOTRE BOUDIN NOIR | | Auteur &gt; Guy KRENZE - Eric GODDYN - Arnaud NICOLAS - CEPROC 2002</v>
      </c>
      <c r="N243" s="33">
        <f>N200</f>
        <v>16.34</v>
      </c>
      <c r="O243" s="32" t="str">
        <f>O200</f>
        <v>Kg</v>
      </c>
      <c r="P243" s="34" t="str">
        <f>P200</f>
        <v>Recette mère ► le Boudin en 4 déclinaisons</v>
      </c>
      <c r="Q243" s="142" t="s">
        <v>145</v>
      </c>
      <c r="R243" s="117" t="s">
        <v>107</v>
      </c>
      <c r="S243" s="141" t="s">
        <v>144</v>
      </c>
      <c r="T243" s="109" t="s">
        <v>150</v>
      </c>
      <c r="U243" s="109" t="s">
        <v>163</v>
      </c>
      <c r="V243" s="109" t="s">
        <v>103</v>
      </c>
      <c r="W243" s="109" t="s">
        <v>162</v>
      </c>
      <c r="X243" s="149" t="s">
        <v>160</v>
      </c>
      <c r="Y243" s="149" t="s">
        <v>117</v>
      </c>
      <c r="Z243" s="1061" t="s">
        <v>1831</v>
      </c>
      <c r="AA243" s="5086"/>
      <c r="AB243" s="104" t="s">
        <v>16</v>
      </c>
      <c r="AC243" s="32" t="str">
        <f>AC200</f>
        <v>O OUR BLACK PUDDING | |  Author &gt; Guy KRENZE - Eric GODDYN - Arnaud NICOLAS - CEPROC 2002</v>
      </c>
      <c r="AD243" s="33">
        <f>AD200</f>
        <v>16.34</v>
      </c>
      <c r="AE243" s="32" t="str">
        <f>AE200</f>
        <v>Kg</v>
      </c>
      <c r="AF243" s="34" t="str">
        <f>AF200</f>
        <v>Master recipe ► Black pudding in 4 variations</v>
      </c>
      <c r="AG243" s="142" t="s">
        <v>1357</v>
      </c>
      <c r="AH243" s="117" t="s">
        <v>1359</v>
      </c>
      <c r="AI243" s="141" t="s">
        <v>144</v>
      </c>
      <c r="AJ243" s="109" t="s">
        <v>1362</v>
      </c>
      <c r="AK243" s="109" t="s">
        <v>1371</v>
      </c>
      <c r="AL243" s="109" t="s">
        <v>1372</v>
      </c>
      <c r="AM243" s="109" t="s">
        <v>1370</v>
      </c>
      <c r="AN243" s="149" t="s">
        <v>1368</v>
      </c>
      <c r="AO243" s="149" t="s">
        <v>1367</v>
      </c>
      <c r="AP243" s="1061" t="s">
        <v>1832</v>
      </c>
      <c r="AQ243" s="5086"/>
      <c r="AR243" s="104" t="s">
        <v>16</v>
      </c>
      <c r="AS243" s="32" t="str">
        <f>AS200</f>
        <v>N NUESTRA MORCILLA | | Autor &gt; Guy KRENZE - Eric GODDYN - Arnaud NICOLAS - CEPROC 2002</v>
      </c>
      <c r="AT243" s="33">
        <f>AT200</f>
        <v>16.34</v>
      </c>
      <c r="AU243" s="32" t="str">
        <f>AU200</f>
        <v>Kg</v>
      </c>
      <c r="AV243" s="34" t="str">
        <f>AV200</f>
        <v>Receta madre ► Morcilla en 4 versiones</v>
      </c>
      <c r="AW243" s="142" t="s">
        <v>145</v>
      </c>
      <c r="AX243" s="117" t="s">
        <v>107</v>
      </c>
      <c r="AY243" s="141" t="s">
        <v>144</v>
      </c>
      <c r="AZ243" s="143" t="s">
        <v>1343</v>
      </c>
      <c r="BA243" s="109" t="s">
        <v>1354</v>
      </c>
      <c r="BB243" s="109" t="s">
        <v>1355</v>
      </c>
      <c r="BC243" s="109" t="s">
        <v>1353</v>
      </c>
      <c r="BD243" s="149" t="s">
        <v>1351</v>
      </c>
      <c r="BE243" s="123" t="s">
        <v>1350</v>
      </c>
      <c r="BF243" s="1061" t="s">
        <v>1833</v>
      </c>
      <c r="BG243" s="5086"/>
      <c r="BH243" s="104"/>
      <c r="BI243" s="32"/>
      <c r="BJ243" s="33"/>
      <c r="BK243" s="32"/>
      <c r="BL243" s="34"/>
      <c r="BM243" s="92"/>
      <c r="BN243" s="108"/>
      <c r="BO243" s="94"/>
      <c r="BP243" s="95"/>
      <c r="BQ243" s="105"/>
      <c r="BR243" s="5101"/>
      <c r="BS243" s="920"/>
      <c r="BT243" s="1495"/>
      <c r="BU243" s="101"/>
      <c r="BV243" s="1475"/>
      <c r="BW243" s="5086"/>
      <c r="BX243" s="104"/>
      <c r="BY243" s="32"/>
      <c r="BZ243" s="33"/>
      <c r="CA243" s="32"/>
      <c r="CB243" s="34"/>
      <c r="CC243" s="92"/>
      <c r="CD243" s="108"/>
      <c r="CE243" s="94"/>
      <c r="CF243" s="95"/>
      <c r="CG243" s="105"/>
      <c r="CH243" s="5101"/>
      <c r="CI243" s="920"/>
      <c r="CJ243" s="1495"/>
      <c r="CK243" s="101"/>
      <c r="CL243" s="1475"/>
      <c r="CM243" s="5086"/>
      <c r="CN243" s="104"/>
      <c r="CO243" s="32"/>
      <c r="CP243" s="33"/>
      <c r="CQ243" s="32"/>
      <c r="CR243" s="34"/>
      <c r="CS243" s="92"/>
      <c r="CT243" s="108"/>
      <c r="CU243" s="94"/>
      <c r="CV243" s="95"/>
      <c r="CW243" s="105"/>
      <c r="CX243" s="5101"/>
      <c r="CY243" s="920"/>
      <c r="CZ243" s="1495"/>
      <c r="DA243" s="101"/>
      <c r="DB243" s="1475"/>
      <c r="DC243" s="5109"/>
      <c r="DD243" s="5077"/>
      <c r="DF243" s="3">
        <v>1</v>
      </c>
      <c r="EY243" s="5062"/>
      <c r="EZ243" s="90" t="s">
        <v>869</v>
      </c>
      <c r="FA243" s="5056"/>
      <c r="FB243" s="5058"/>
      <c r="FC243" s="5060"/>
      <c r="FE243" s="852" t="s">
        <v>12854</v>
      </c>
      <c r="FH243" s="852" t="s">
        <v>12999</v>
      </c>
      <c r="FI243" s="852" t="s">
        <v>13000</v>
      </c>
    </row>
    <row r="244" spans="2:178" ht="21" customHeight="1">
      <c r="B244" s="952" t="str">
        <f t="shared" si="36"/>
        <v>►</v>
      </c>
      <c r="C244" s="993" cm="1">
        <f t="array" ref="C244">SUMPRODUCT(LEN(D244:J244))</f>
        <v>0</v>
      </c>
      <c r="D244" s="167"/>
      <c r="E244" s="172"/>
      <c r="F244" s="172"/>
      <c r="G244" s="172"/>
      <c r="H244" s="172"/>
      <c r="I244" s="172"/>
      <c r="J244" s="173"/>
      <c r="K244"/>
      <c r="L244" s="104" t="s">
        <v>16</v>
      </c>
      <c r="M244" s="32" t="str">
        <f>M200</f>
        <v>N NOTRE BOUDIN NOIR | | Auteur &gt; Guy KRENZE - Eric GODDYN - Arnaud NICOLAS - CEPROC 2002</v>
      </c>
      <c r="N244" s="33">
        <f>N200</f>
        <v>16.34</v>
      </c>
      <c r="O244" s="32" t="str">
        <f>O200</f>
        <v>Kg</v>
      </c>
      <c r="P244" s="34" t="str">
        <f>P200</f>
        <v>Recette mère ► le Boudin en 4 déclinaisons</v>
      </c>
      <c r="Q244" s="912">
        <v>0.25</v>
      </c>
      <c r="R244" s="912">
        <v>0.5</v>
      </c>
      <c r="S244" s="913">
        <v>0</v>
      </c>
      <c r="T244" s="914">
        <v>0.2</v>
      </c>
      <c r="U244" s="914">
        <v>0.1</v>
      </c>
      <c r="V244" s="914">
        <v>0.22500000000000001</v>
      </c>
      <c r="W244" s="914">
        <v>1.4999999999999999E-2</v>
      </c>
      <c r="X244" s="914">
        <v>4.9299999999999995E-3</v>
      </c>
      <c r="Y244" s="914">
        <v>0.35</v>
      </c>
      <c r="Z244" s="915">
        <v>0.25</v>
      </c>
      <c r="AA244" s="5086"/>
      <c r="AB244" s="104" t="s">
        <v>16</v>
      </c>
      <c r="AC244" s="32" t="str">
        <f>AC200</f>
        <v>O OUR BLACK PUDDING | |  Author &gt; Guy KRENZE - Eric GODDYN - Arnaud NICOLAS - CEPROC 2002</v>
      </c>
      <c r="AD244" s="33">
        <f>AD200</f>
        <v>16.34</v>
      </c>
      <c r="AE244" s="32" t="str">
        <f>AE200</f>
        <v>Kg</v>
      </c>
      <c r="AF244" s="34" t="str">
        <f>AF200</f>
        <v>Master recipe ► Black pudding in 4 variations</v>
      </c>
      <c r="AG244" s="912">
        <v>0.25</v>
      </c>
      <c r="AH244" s="912">
        <v>0.5</v>
      </c>
      <c r="AI244" s="913">
        <v>0</v>
      </c>
      <c r="AJ244" s="914">
        <v>0.2</v>
      </c>
      <c r="AK244" s="914">
        <v>0.1</v>
      </c>
      <c r="AL244" s="914">
        <v>0.22500000000000001</v>
      </c>
      <c r="AM244" s="914">
        <v>1.4999999999999999E-2</v>
      </c>
      <c r="AN244" s="914">
        <v>4.9299999999999995E-3</v>
      </c>
      <c r="AO244" s="914">
        <v>0.35</v>
      </c>
      <c r="AP244" s="915">
        <v>0.25</v>
      </c>
      <c r="AQ244" s="5086"/>
      <c r="AR244" s="104" t="s">
        <v>16</v>
      </c>
      <c r="AS244" s="32" t="str">
        <f>AS200</f>
        <v>N NUESTRA MORCILLA | | Autor &gt; Guy KRENZE - Eric GODDYN - Arnaud NICOLAS - CEPROC 2002</v>
      </c>
      <c r="AT244" s="33">
        <f>AT200</f>
        <v>16.34</v>
      </c>
      <c r="AU244" s="32" t="str">
        <f>AU200</f>
        <v>Kg</v>
      </c>
      <c r="AV244" s="34" t="str">
        <f>AV200</f>
        <v>Receta madre ► Morcilla en 4 versiones</v>
      </c>
      <c r="AW244" s="912">
        <v>0.25</v>
      </c>
      <c r="AX244" s="912">
        <v>0.5</v>
      </c>
      <c r="AY244" s="913">
        <v>0</v>
      </c>
      <c r="AZ244" s="914">
        <v>0.2</v>
      </c>
      <c r="BA244" s="914">
        <v>0.1</v>
      </c>
      <c r="BB244" s="914">
        <v>0.22500000000000001</v>
      </c>
      <c r="BC244" s="914">
        <v>1.4999999999999999E-2</v>
      </c>
      <c r="BD244" s="914">
        <v>4.9299999999999995E-3</v>
      </c>
      <c r="BE244" s="914">
        <v>0.35</v>
      </c>
      <c r="BF244" s="915">
        <v>0.25</v>
      </c>
      <c r="BG244" s="5086"/>
      <c r="BH244" s="104"/>
      <c r="BI244" s="32"/>
      <c r="BJ244" s="33"/>
      <c r="BK244" s="32"/>
      <c r="BL244" s="34"/>
      <c r="BM244" s="92"/>
      <c r="BN244" s="108"/>
      <c r="BO244" s="94"/>
      <c r="BP244" s="95"/>
      <c r="BQ244" s="105"/>
      <c r="BR244" s="5101"/>
      <c r="BS244" s="920"/>
      <c r="BT244" s="1495"/>
      <c r="BU244" s="101"/>
      <c r="BV244" s="1475"/>
      <c r="BW244" s="5086"/>
      <c r="BX244" s="104"/>
      <c r="BY244" s="32"/>
      <c r="BZ244" s="33"/>
      <c r="CA244" s="32"/>
      <c r="CB244" s="34"/>
      <c r="CC244" s="92"/>
      <c r="CD244" s="108"/>
      <c r="CE244" s="94"/>
      <c r="CF244" s="95"/>
      <c r="CG244" s="105"/>
      <c r="CH244" s="5101"/>
      <c r="CI244" s="920"/>
      <c r="CJ244" s="1495"/>
      <c r="CK244" s="101"/>
      <c r="CL244" s="1475"/>
      <c r="CM244" s="5086"/>
      <c r="CN244" s="104"/>
      <c r="CO244" s="32"/>
      <c r="CP244" s="33"/>
      <c r="CQ244" s="32"/>
      <c r="CR244" s="34"/>
      <c r="CS244" s="92"/>
      <c r="CT244" s="108"/>
      <c r="CU244" s="94"/>
      <c r="CV244" s="95"/>
      <c r="CW244" s="105"/>
      <c r="CX244" s="5101"/>
      <c r="CY244" s="920"/>
      <c r="CZ244" s="1495"/>
      <c r="DA244" s="101"/>
      <c r="DB244" s="1475"/>
      <c r="DC244" s="5109"/>
      <c r="DD244" s="5077"/>
      <c r="DF244" s="3">
        <v>1</v>
      </c>
      <c r="EY244" s="127">
        <v>1</v>
      </c>
      <c r="EZ244" s="5037" t="s">
        <v>13000</v>
      </c>
      <c r="FA244" s="100">
        <f>IF(OR(ISBLANK(ET238),FA238=0),0,ET244*EY239)</f>
        <v>0</v>
      </c>
      <c r="FB244" s="101">
        <f>IFERROR(_xlfn.LET(_xlpm.v,IFERROR(_xlfn.XLOOKUP(EX244,ET275:FC275,ET276:FC276),_xlfn.XLOOKUP(EX244,ET277:FC277,ET278:FC278)),_xlpm.v*EW244*EY244*EY239*IF(ISBLANK(ET244),1,ET244)),0)</f>
        <v>0</v>
      </c>
      <c r="FC244" s="1476" t="str">
        <f>_xlfn.LET(_xlpm.unite,SUBSTITUTE(TRIM(EX244)," (s)",""),_xlpm.val,FB244,_xlpm.estVol,COUNTIF(EW275:FC275,_xlpm.unite)+COUNTIF(EW277:FC277,_xlpm.unite)&gt;0,_xlpm.estPoids,COUNTIF(ET275:EV275,_xlpm.unite)+COUNTIF(ET277:EV277,_xlpm.unite)&gt;0,IF(_xlpm.estVol,IF(ROUND(_xlpm.val,3)&gt;=1,ROUND(_xlpm.val,3)&amp;" L",MAX(1,ROUND(_xlpm.val*100,0))&amp;" cl"),IF(_xlpm.estPoids,IF(ROUND(_xlpm.val,3)&gt;=1,ROUND(_xlpm.val,3)&amp;" Kg",MAX(1,ROUND(_xlpm.val*1000,0))&amp;" g"),"")))</f>
        <v>1 cl</v>
      </c>
      <c r="FE244" s="852" t="s">
        <v>12848</v>
      </c>
      <c r="FH244" s="852" t="s">
        <v>12952</v>
      </c>
      <c r="FI244" s="852" t="s">
        <v>12953</v>
      </c>
    </row>
    <row r="245" spans="2:178" ht="21" customHeight="1">
      <c r="B245" s="952" t="str">
        <f t="shared" si="36"/>
        <v>►</v>
      </c>
      <c r="C245" s="993" cm="1">
        <f t="array" ref="C245">SUMPRODUCT(LEN(D245:J245))</f>
        <v>0</v>
      </c>
      <c r="D245" s="167"/>
      <c r="E245" s="172"/>
      <c r="F245" s="172"/>
      <c r="G245" s="172"/>
      <c r="H245" s="172"/>
      <c r="I245" s="172"/>
      <c r="J245" s="173"/>
      <c r="K245"/>
      <c r="L245" s="104" t="s">
        <v>16</v>
      </c>
      <c r="M245" s="32" t="str">
        <f>M200</f>
        <v>N NOTRE BOUDIN NOIR | | Auteur &gt; Guy KRENZE - Eric GODDYN - Arnaud NICOLAS - CEPROC 2002</v>
      </c>
      <c r="N245" s="33">
        <f>N200</f>
        <v>16.34</v>
      </c>
      <c r="O245" s="32" t="str">
        <f>O200</f>
        <v>Kg</v>
      </c>
      <c r="P245" s="34" t="str">
        <f>P200</f>
        <v>Recette mère ► le Boudin en 4 déclinaisons</v>
      </c>
      <c r="Q245" s="5135" t="str">
        <f>Q201</f>
        <v>Col.6</v>
      </c>
      <c r="R245" s="5135" t="str">
        <f>R201</f>
        <v>Col.7</v>
      </c>
      <c r="S245" s="5136" t="s">
        <v>3295</v>
      </c>
      <c r="T245" s="5136"/>
      <c r="U245" s="5136"/>
      <c r="V245" s="5136"/>
      <c r="W245" s="5136"/>
      <c r="X245" s="5136"/>
      <c r="Y245" s="5136"/>
      <c r="Z245" s="5137"/>
      <c r="AA245" s="5086"/>
      <c r="AB245" s="104" t="s">
        <v>16</v>
      </c>
      <c r="AC245" s="32" t="str">
        <f>AC200</f>
        <v>O OUR BLACK PUDDING | |  Author &gt; Guy KRENZE - Eric GODDYN - Arnaud NICOLAS - CEPROC 2002</v>
      </c>
      <c r="AD245" s="33">
        <f>AD200</f>
        <v>16.34</v>
      </c>
      <c r="AE245" s="32" t="str">
        <f>AE200</f>
        <v>Kg</v>
      </c>
      <c r="AF245" s="34" t="str">
        <f>AF200</f>
        <v>Master recipe ► Black pudding in 4 variations</v>
      </c>
      <c r="AG245" s="5135" t="str">
        <f>AG201</f>
        <v>Col.6</v>
      </c>
      <c r="AH245" s="5135" t="str">
        <f>AH201</f>
        <v>Col.7</v>
      </c>
      <c r="AI245" s="5136" t="str">
        <f>AS245</f>
        <v>N NUESTRA MORCILLA | | Autor &gt; Guy KRENZE - Eric GODDYN - Arnaud NICOLAS - CEPROC 2002</v>
      </c>
      <c r="AJ245" s="5136"/>
      <c r="AK245" s="5136"/>
      <c r="AL245" s="5136"/>
      <c r="AM245" s="5136"/>
      <c r="AN245" s="5136"/>
      <c r="AO245" s="5136"/>
      <c r="AP245" s="5137"/>
      <c r="AQ245" s="5086"/>
      <c r="AR245" s="104" t="s">
        <v>16</v>
      </c>
      <c r="AS245" s="32" t="str">
        <f>AS200</f>
        <v>N NUESTRA MORCILLA | | Autor &gt; Guy KRENZE - Eric GODDYN - Arnaud NICOLAS - CEPROC 2002</v>
      </c>
      <c r="AT245" s="33">
        <f>AT200</f>
        <v>16.34</v>
      </c>
      <c r="AU245" s="32" t="str">
        <f>AU200</f>
        <v>Kg</v>
      </c>
      <c r="AV245" s="34" t="str">
        <f>AV200</f>
        <v>Receta madre ► Morcilla en 4 versiones</v>
      </c>
      <c r="AW245" s="5135" t="str">
        <f>AW201</f>
        <v>Col.6</v>
      </c>
      <c r="AX245" s="5135" t="str">
        <f>AX201</f>
        <v>Col.7</v>
      </c>
      <c r="AY245" s="5136" t="s">
        <v>13212</v>
      </c>
      <c r="AZ245" s="5136"/>
      <c r="BA245" s="5136"/>
      <c r="BB245" s="5136"/>
      <c r="BC245" s="5136"/>
      <c r="BD245" s="5136"/>
      <c r="BE245" s="5136"/>
      <c r="BF245" s="5137"/>
      <c r="BG245" s="5086"/>
      <c r="BH245" s="104"/>
      <c r="BI245" s="32"/>
      <c r="BJ245" s="33"/>
      <c r="BK245" s="32"/>
      <c r="BL245" s="34"/>
      <c r="BM245" s="92"/>
      <c r="BN245" s="108"/>
      <c r="BO245" s="94"/>
      <c r="BP245" s="95"/>
      <c r="BQ245" s="105"/>
      <c r="BR245" s="5101"/>
      <c r="BS245" s="920"/>
      <c r="BT245" s="1495"/>
      <c r="BU245" s="101"/>
      <c r="BV245" s="1475"/>
      <c r="BW245" s="5086"/>
      <c r="BX245" s="104"/>
      <c r="BY245" s="32"/>
      <c r="BZ245" s="33"/>
      <c r="CA245" s="32"/>
      <c r="CB245" s="34"/>
      <c r="CC245" s="92"/>
      <c r="CD245" s="108"/>
      <c r="CE245" s="94"/>
      <c r="CF245" s="95"/>
      <c r="CG245" s="105"/>
      <c r="CH245" s="5101"/>
      <c r="CI245" s="920"/>
      <c r="CJ245" s="1495"/>
      <c r="CK245" s="101"/>
      <c r="CL245" s="1475"/>
      <c r="CM245" s="5086"/>
      <c r="CN245" s="104"/>
      <c r="CO245" s="32"/>
      <c r="CP245" s="33"/>
      <c r="CQ245" s="32"/>
      <c r="CR245" s="34"/>
      <c r="CS245" s="92"/>
      <c r="CT245" s="108"/>
      <c r="CU245" s="94"/>
      <c r="CV245" s="95"/>
      <c r="CW245" s="105"/>
      <c r="CX245" s="5101"/>
      <c r="CY245" s="920"/>
      <c r="CZ245" s="1495"/>
      <c r="DA245" s="101"/>
      <c r="DB245" s="1475"/>
      <c r="DC245" s="5109"/>
      <c r="DD245" s="5078"/>
      <c r="DF245" s="3">
        <v>1</v>
      </c>
      <c r="EY245" s="127">
        <v>1</v>
      </c>
      <c r="EZ245" s="920" t="s">
        <v>12953</v>
      </c>
      <c r="FA245" s="1495">
        <f>IF(OR(ISBLANK(ET238),FA238=0),0,ET245*EY239)</f>
        <v>0</v>
      </c>
      <c r="FB245" s="101">
        <f>IFERROR(_xlfn.LET(_xlpm.v,IFERROR(_xlfn.XLOOKUP(EX245,ET275:FC275,ET276:FC276),_xlfn.XLOOKUP(EX245,ET277:FC277,ET278:FC278)),_xlpm.v*EW245*EY245*EY239*IF(ISBLANK(ET245),1,ET245)),0)</f>
        <v>0</v>
      </c>
      <c r="FC245" s="1475" t="str">
        <f>_xlfn.LET(_xlpm.unite,SUBSTITUTE(TRIM(EX245)," (s)",""),_xlpm.val,FB245,_xlpm.estVol,COUNTIF(EW275:FC275,_xlpm.unite)+COUNTIF(EW277:FC277,_xlpm.unite)&gt;0,_xlpm.estPoids,COUNTIF(ET275:EV275,_xlpm.unite)+COUNTIF(ET277:EV277,_xlpm.unite)&gt;0,IF(_xlpm.estVol,IF(ROUND(_xlpm.val,3)&gt;=1,ROUND(_xlpm.val,3)&amp;" L",MAX(1,ROUND(_xlpm.val*100,0))&amp;" cl"),IF(_xlpm.estPoids,IF(ROUND(_xlpm.val,3)&gt;=1,ROUND(_xlpm.val,3)&amp;" Kg",MAX(1,ROUND(_xlpm.val*1000,0))&amp;" g"),"")))</f>
        <v>1 cl</v>
      </c>
      <c r="FE245" s="852" t="s">
        <v>12954</v>
      </c>
      <c r="FH245" s="852" t="s">
        <v>12955</v>
      </c>
      <c r="FI245" s="852" t="s">
        <v>12956</v>
      </c>
    </row>
    <row r="246" spans="2:178" ht="21" customHeight="1">
      <c r="B246" s="952" t="str">
        <f t="shared" si="36"/>
        <v>A</v>
      </c>
      <c r="C246" s="993" cm="1">
        <f t="array" ref="C246">SUMPRODUCT(LEN(D246:J246))</f>
        <v>0</v>
      </c>
      <c r="D246" s="167"/>
      <c r="E246" s="172"/>
      <c r="F246" s="172"/>
      <c r="G246" s="172"/>
      <c r="H246" s="172"/>
      <c r="I246" s="172"/>
      <c r="J246" s="173"/>
      <c r="K246"/>
      <c r="L246" s="104" t="s">
        <v>11</v>
      </c>
      <c r="M246" s="5146" t="str">
        <f>M200</f>
        <v>N NOTRE BOUDIN NOIR | | Auteur &gt; Guy KRENZE - Eric GODDYN - Arnaud NICOLAS - CEPROC 2002</v>
      </c>
      <c r="N246" s="5146">
        <f>N200</f>
        <v>16.34</v>
      </c>
      <c r="O246" s="5147" t="str">
        <f>O200</f>
        <v>Kg</v>
      </c>
      <c r="P246" s="5148" t="str">
        <f>P200</f>
        <v>Recette mère ► le Boudin en 4 déclinaisons</v>
      </c>
      <c r="Q246" s="5149">
        <v>0</v>
      </c>
      <c r="R246" s="976" t="s">
        <v>3328</v>
      </c>
      <c r="S246" s="162"/>
      <c r="T246" s="162"/>
      <c r="U246" s="5150"/>
      <c r="V246" s="5150"/>
      <c r="W246" s="5150"/>
      <c r="X246" s="5150"/>
      <c r="Y246" s="5151" t="s">
        <v>165</v>
      </c>
      <c r="Z246" s="1484" t="s">
        <v>3276</v>
      </c>
      <c r="AA246" s="5086"/>
      <c r="AB246" s="104" t="s">
        <v>11</v>
      </c>
      <c r="AC246" s="5146" t="str">
        <f>AC200</f>
        <v>O OUR BLACK PUDDING | |  Author &gt; Guy KRENZE - Eric GODDYN - Arnaud NICOLAS - CEPROC 2002</v>
      </c>
      <c r="AD246" s="5146">
        <f>AD200</f>
        <v>16.34</v>
      </c>
      <c r="AE246" s="5147" t="str">
        <f>AE200</f>
        <v>Kg</v>
      </c>
      <c r="AF246" s="5148" t="str">
        <f>AF200</f>
        <v>Master recipe ► Black pudding in 4 variations</v>
      </c>
      <c r="AG246" s="5149">
        <v>0</v>
      </c>
      <c r="AH246" s="976" t="s">
        <v>13197</v>
      </c>
      <c r="AI246" s="162"/>
      <c r="AJ246" s="162"/>
      <c r="AK246" s="5150"/>
      <c r="AL246" s="5150"/>
      <c r="AM246" s="5150"/>
      <c r="AN246" s="5150"/>
      <c r="AO246" s="156" t="s">
        <v>894</v>
      </c>
      <c r="AP246" s="1484" t="s">
        <v>3276</v>
      </c>
      <c r="AQ246" s="5086"/>
      <c r="AR246" s="104" t="s">
        <v>11</v>
      </c>
      <c r="AS246" s="5146" t="str">
        <f>AS200</f>
        <v>N NUESTRA MORCILLA | | Autor &gt; Guy KRENZE - Eric GODDYN - Arnaud NICOLAS - CEPROC 2002</v>
      </c>
      <c r="AT246" s="5146">
        <f>AT200</f>
        <v>16.34</v>
      </c>
      <c r="AU246" s="5147" t="str">
        <f>AU200</f>
        <v>Kg</v>
      </c>
      <c r="AV246" s="5148" t="str">
        <f>AV200</f>
        <v>Receta madre ► Morcilla en 4 versiones</v>
      </c>
      <c r="AW246" s="5149">
        <v>0</v>
      </c>
      <c r="AX246" s="976" t="s">
        <v>3325</v>
      </c>
      <c r="AY246" s="162"/>
      <c r="AZ246" s="162"/>
      <c r="BA246" s="5150"/>
      <c r="BB246" s="5150"/>
      <c r="BC246" s="5150"/>
      <c r="BD246" s="5150"/>
      <c r="BE246" s="5151" t="s">
        <v>908</v>
      </c>
      <c r="BF246" s="1484" t="s">
        <v>3276</v>
      </c>
      <c r="BG246" s="5086"/>
      <c r="BH246" s="104"/>
      <c r="BI246" s="32"/>
      <c r="BJ246" s="33"/>
      <c r="BK246" s="32"/>
      <c r="BL246" s="34"/>
      <c r="BM246" s="92"/>
      <c r="BN246" s="108"/>
      <c r="BO246" s="94"/>
      <c r="BP246" s="95"/>
      <c r="BQ246" s="105"/>
      <c r="BR246" s="5101"/>
      <c r="BS246" s="920"/>
      <c r="BT246" s="1495"/>
      <c r="BU246" s="101"/>
      <c r="BV246" s="1475"/>
      <c r="BW246" s="5086"/>
      <c r="BX246" s="104"/>
      <c r="BY246" s="32"/>
      <c r="BZ246" s="33"/>
      <c r="CA246" s="32"/>
      <c r="CB246" s="34"/>
      <c r="CC246" s="92"/>
      <c r="CD246" s="108"/>
      <c r="CE246" s="94"/>
      <c r="CF246" s="95"/>
      <c r="CG246" s="105"/>
      <c r="CH246" s="5101"/>
      <c r="CI246" s="920"/>
      <c r="CJ246" s="1495"/>
      <c r="CK246" s="101"/>
      <c r="CL246" s="1475"/>
      <c r="CM246" s="5086"/>
      <c r="CN246" s="104"/>
      <c r="CO246" s="32"/>
      <c r="CP246" s="33"/>
      <c r="CQ246" s="32"/>
      <c r="CR246" s="34"/>
      <c r="CS246" s="92"/>
      <c r="CT246" s="108"/>
      <c r="CU246" s="94"/>
      <c r="CV246" s="95"/>
      <c r="CW246" s="105"/>
      <c r="CX246" s="5101"/>
      <c r="CY246" s="920"/>
      <c r="CZ246" s="1495"/>
      <c r="DA246" s="101"/>
      <c r="DB246" s="1475"/>
      <c r="DC246" s="5109"/>
      <c r="DD246" s="5092"/>
      <c r="DF246" s="3">
        <v>1</v>
      </c>
      <c r="EY246" s="127">
        <v>1</v>
      </c>
      <c r="EZ246" s="920" t="s">
        <v>12956</v>
      </c>
      <c r="FA246" s="1495">
        <f>IF(OR(ISBLANK(ET238),FA238=0),0,ET246*EY239)</f>
        <v>0</v>
      </c>
      <c r="FB246" s="101">
        <f>IFERROR(_xlfn.LET(_xlpm.v,IFERROR(_xlfn.XLOOKUP(EX246,ET275:FC275,ET276:FC276),_xlfn.XLOOKUP(EX246,ET277:FC277,ET278:FC278)),_xlpm.v*EW246*EY246*EY239*IF(ISBLANK(ET246),1,ET246)),0)</f>
        <v>0</v>
      </c>
      <c r="FC246" s="1476" t="str">
        <f>_xlfn.LET(_xlpm.unite,SUBSTITUTE(TRIM(EX246)," (s)",""),_xlpm.val,FB246,_xlpm.estVol,COUNTIF(EW275:FC275,_xlpm.unite)+COUNTIF(EW277:FC277,_xlpm.unite)&gt;0,_xlpm.estPoids,COUNTIF(ET275:EV275,_xlpm.unite)+COUNTIF(ET277:EV277,_xlpm.unite)&gt;0,IF(_xlpm.estVol,IF(ROUND(_xlpm.val,3)&gt;=1,ROUND(_xlpm.val,3)&amp;" L",MAX(1,ROUND(_xlpm.val*100,0))&amp;" cl"),IF(_xlpm.estPoids,IF(ROUND(_xlpm.val,3)&gt;=1,ROUND(_xlpm.val,3)&amp;" Kg",MAX(1,ROUND(_xlpm.val*1000,0))&amp;" g"),"")))</f>
        <v>1 cl</v>
      </c>
      <c r="FE246" s="852" t="s">
        <v>12850</v>
      </c>
      <c r="FH246" s="852" t="s">
        <v>12957</v>
      </c>
      <c r="FI246" s="852" t="s">
        <v>12958</v>
      </c>
    </row>
    <row r="247" spans="2:178" ht="21" customHeight="1">
      <c r="B247" s="952" t="str">
        <f t="shared" si="36"/>
        <v>A</v>
      </c>
      <c r="C247" s="993" cm="1">
        <f t="array" ref="C247">SUMPRODUCT(LEN(D247:J247))</f>
        <v>0</v>
      </c>
      <c r="D247" s="167"/>
      <c r="E247" s="172"/>
      <c r="F247" s="172"/>
      <c r="G247" s="172"/>
      <c r="H247" s="172"/>
      <c r="I247" s="172"/>
      <c r="J247" s="173"/>
      <c r="K247"/>
      <c r="L247" s="104" t="str">
        <f>IF(COUNTIF(R247:V247,"&lt;&gt;")&gt;0,"A","►")</f>
        <v>A</v>
      </c>
      <c r="M247" s="5146" t="str">
        <f>M200</f>
        <v>N NOTRE BOUDIN NOIR | | Auteur &gt; Guy KRENZE - Eric GODDYN - Arnaud NICOLAS - CEPROC 2002</v>
      </c>
      <c r="N247" s="5146">
        <f>N200</f>
        <v>16.34</v>
      </c>
      <c r="O247" s="5147" t="str">
        <f>O200</f>
        <v>Kg</v>
      </c>
      <c r="P247" s="5148" t="str">
        <f>P200</f>
        <v>Recette mère ► le Boudin en 4 déclinaisons</v>
      </c>
      <c r="Q247" s="5128">
        <f>IF(ISBLANK(R247),"",LARGE(Q246:Q246,1)+1)</f>
        <v>1</v>
      </c>
      <c r="R247" s="5040" t="s">
        <v>13085</v>
      </c>
      <c r="S247" s="172"/>
      <c r="T247" s="172"/>
      <c r="U247" s="172"/>
      <c r="V247" s="172"/>
      <c r="W247" s="172"/>
      <c r="X247" s="172"/>
      <c r="Y247" s="1474" t="s">
        <v>168</v>
      </c>
      <c r="Z247" s="1482" t="s">
        <v>668</v>
      </c>
      <c r="AA247" s="5086"/>
      <c r="AB247" s="104" t="str">
        <f>IF(COUNTIF(AH247:AL247,"&lt;&gt;")&gt;0,"A","►")</f>
        <v>A</v>
      </c>
      <c r="AC247" s="5146" t="str">
        <f>AC200</f>
        <v>O OUR BLACK PUDDING | |  Author &gt; Guy KRENZE - Eric GODDYN - Arnaud NICOLAS - CEPROC 2002</v>
      </c>
      <c r="AD247" s="5146">
        <f>AD200</f>
        <v>16.34</v>
      </c>
      <c r="AE247" s="5147" t="str">
        <f>AE200</f>
        <v>Kg</v>
      </c>
      <c r="AF247" s="5148" t="str">
        <f>AF200</f>
        <v>Master recipe ► Black pudding in 4 variations</v>
      </c>
      <c r="AG247" s="5128">
        <f>IF(ISBLANK(AH247),"",LARGE(AG246:AG246,1)+1)</f>
        <v>1</v>
      </c>
      <c r="AH247" s="5040" t="s">
        <v>13198</v>
      </c>
      <c r="AI247" s="172"/>
      <c r="AJ247" s="172"/>
      <c r="AK247" s="172"/>
      <c r="AL247" s="172"/>
      <c r="AM247" s="172"/>
      <c r="AN247" s="172"/>
      <c r="AO247" s="1474" t="s">
        <v>895</v>
      </c>
      <c r="AP247" s="1482" t="s">
        <v>668</v>
      </c>
      <c r="AQ247" s="5086"/>
      <c r="AR247" s="104" t="str">
        <f>IF(COUNTIF(AX247:BB247,"&lt;&gt;")&gt;0,"A","►")</f>
        <v>A</v>
      </c>
      <c r="AS247" s="5146" t="str">
        <f>AS200</f>
        <v>N NUESTRA MORCILLA | | Autor &gt; Guy KRENZE - Eric GODDYN - Arnaud NICOLAS - CEPROC 2002</v>
      </c>
      <c r="AT247" s="5146">
        <f>AT200</f>
        <v>16.34</v>
      </c>
      <c r="AU247" s="5147" t="str">
        <f>AU200</f>
        <v>Kg</v>
      </c>
      <c r="AV247" s="5148" t="str">
        <f>AV200</f>
        <v>Receta madre ► Morcilla en 4 versiones</v>
      </c>
      <c r="AW247" s="5128">
        <f>IF(ISBLANK(AX247),"",LARGE(AW246:AW246,1)+1)</f>
        <v>1</v>
      </c>
      <c r="AX247" s="5040" t="s">
        <v>13214</v>
      </c>
      <c r="AY247" s="172"/>
      <c r="AZ247" s="172"/>
      <c r="BA247" s="172"/>
      <c r="BB247" s="172"/>
      <c r="BC247" s="172"/>
      <c r="BD247" s="172"/>
      <c r="BE247" s="1474" t="s">
        <v>13213</v>
      </c>
      <c r="BF247" s="1482" t="s">
        <v>668</v>
      </c>
      <c r="BG247" s="5086"/>
      <c r="BH247" s="104"/>
      <c r="BI247" s="32"/>
      <c r="BJ247" s="33"/>
      <c r="BK247" s="32"/>
      <c r="BL247" s="34"/>
      <c r="BM247" s="92"/>
      <c r="BN247" s="108"/>
      <c r="BO247" s="94"/>
      <c r="BP247" s="95"/>
      <c r="BQ247" s="105"/>
      <c r="BR247" s="5101"/>
      <c r="BS247" s="920"/>
      <c r="BT247" s="1495"/>
      <c r="BU247" s="101"/>
      <c r="BV247" s="1475"/>
      <c r="BW247" s="5086"/>
      <c r="BX247" s="104"/>
      <c r="BY247" s="32"/>
      <c r="BZ247" s="33"/>
      <c r="CA247" s="32"/>
      <c r="CB247" s="34"/>
      <c r="CC247" s="92"/>
      <c r="CD247" s="108"/>
      <c r="CE247" s="94"/>
      <c r="CF247" s="95"/>
      <c r="CG247" s="105"/>
      <c r="CH247" s="5101"/>
      <c r="CI247" s="920"/>
      <c r="CJ247" s="1495"/>
      <c r="CK247" s="101"/>
      <c r="CL247" s="1475"/>
      <c r="CM247" s="5086"/>
      <c r="CN247" s="104"/>
      <c r="CO247" s="32"/>
      <c r="CP247" s="33"/>
      <c r="CQ247" s="32"/>
      <c r="CR247" s="34"/>
      <c r="CS247" s="92"/>
      <c r="CT247" s="108"/>
      <c r="CU247" s="94"/>
      <c r="CV247" s="95"/>
      <c r="CW247" s="105"/>
      <c r="CX247" s="5101"/>
      <c r="CY247" s="920"/>
      <c r="CZ247" s="1495"/>
      <c r="DA247" s="101"/>
      <c r="DB247" s="1475"/>
      <c r="DC247" s="5109"/>
      <c r="DD247" s="5067"/>
      <c r="DF247" s="3">
        <v>1</v>
      </c>
      <c r="EY247" s="127">
        <v>1</v>
      </c>
      <c r="EZ247" s="920" t="s">
        <v>12958</v>
      </c>
      <c r="FA247" s="1495">
        <f>IF(OR(ISBLANK(ET238),FA238=0),0,ET247*EY239)</f>
        <v>0</v>
      </c>
      <c r="FB247" s="101">
        <f>IFERROR(_xlfn.LET(_xlpm.v,IFERROR(_xlfn.XLOOKUP(EX247,ET275:FC275,ET276:FC276),_xlfn.XLOOKUP(EX247,ET277:FC277,ET278:FC278)),_xlpm.v*EW247*EY247*EY239*IF(ISBLANK(ET247),1,ET247)),0)</f>
        <v>0</v>
      </c>
      <c r="FC247" s="1475" t="str">
        <f>_xlfn.LET(_xlpm.unite,SUBSTITUTE(TRIM(EX247)," (s)",""),_xlpm.val,FB247,_xlpm.estVol,COUNTIF(EW275:FC275,_xlpm.unite)+COUNTIF(EW277:FC277,_xlpm.unite)&gt;0,_xlpm.estPoids,COUNTIF(ET275:EV275,_xlpm.unite)+COUNTIF(ET277:EV277,_xlpm.unite)&gt;0,IF(_xlpm.estVol,IF(ROUND(_xlpm.val,3)&gt;=1,ROUND(_xlpm.val,3)&amp;" L",MAX(1,ROUND(_xlpm.val*100,0))&amp;" cl"),IF(_xlpm.estPoids,IF(ROUND(_xlpm.val,3)&gt;=1,ROUND(_xlpm.val,3)&amp;" Kg",MAX(1,ROUND(_xlpm.val*1000,0))&amp;" g"),"")))</f>
        <v>1 cl</v>
      </c>
      <c r="FE247" s="852" t="s">
        <v>12831</v>
      </c>
      <c r="FH247" s="852" t="s">
        <v>12891</v>
      </c>
      <c r="FI247" s="852" t="s">
        <v>12892</v>
      </c>
    </row>
    <row r="248" spans="2:178" ht="21" customHeight="1">
      <c r="B248" s="952" t="str">
        <f t="shared" si="36"/>
        <v>A</v>
      </c>
      <c r="C248" s="993" cm="1">
        <f t="array" ref="C248">SUMPRODUCT(LEN(D248:J248))</f>
        <v>0</v>
      </c>
      <c r="D248" s="167"/>
      <c r="E248" s="172"/>
      <c r="F248" s="172"/>
      <c r="G248" s="172"/>
      <c r="H248" s="172"/>
      <c r="I248" s="172"/>
      <c r="J248" s="173"/>
      <c r="K248"/>
      <c r="L248" s="104" t="str">
        <f t="shared" ref="L248:L280" si="52">IF(COUNTIF(R248:V248,"&lt;&gt;")&gt;0,"A","►")</f>
        <v>A</v>
      </c>
      <c r="M248" s="157" t="str">
        <f>M200</f>
        <v>N NOTRE BOUDIN NOIR | | Auteur &gt; Guy KRENZE - Eric GODDYN - Arnaud NICOLAS - CEPROC 2002</v>
      </c>
      <c r="N248" s="157">
        <f>N200</f>
        <v>16.34</v>
      </c>
      <c r="O248" s="158" t="str">
        <f>O200</f>
        <v>Kg</v>
      </c>
      <c r="P248" s="159" t="str">
        <f>P200</f>
        <v>Recette mère ► le Boudin en 4 déclinaisons</v>
      </c>
      <c r="Q248" s="5128">
        <f>IF(ISBLANK(R248),"",LARGE(Q246:Q247,1)+1)</f>
        <v>2</v>
      </c>
      <c r="R248" s="5040" t="s">
        <v>13086</v>
      </c>
      <c r="S248" s="172"/>
      <c r="T248" s="172"/>
      <c r="U248" s="172"/>
      <c r="V248" s="172"/>
      <c r="W248" s="172"/>
      <c r="X248" s="172"/>
      <c r="Y248" s="172"/>
      <c r="Z248" s="555"/>
      <c r="AA248" s="5086"/>
      <c r="AB248" s="104" t="str">
        <f t="shared" ref="AB248:AB263" si="53">IF(COUNTIF(AH248:AL248,"&lt;&gt;")&gt;0,"A","►")</f>
        <v>A</v>
      </c>
      <c r="AC248" s="157" t="str">
        <f>AC200</f>
        <v>O OUR BLACK PUDDING | |  Author &gt; Guy KRENZE - Eric GODDYN - Arnaud NICOLAS - CEPROC 2002</v>
      </c>
      <c r="AD248" s="157">
        <f>AD200</f>
        <v>16.34</v>
      </c>
      <c r="AE248" s="158" t="str">
        <f>AE200</f>
        <v>Kg</v>
      </c>
      <c r="AF248" s="159" t="str">
        <f>AF200</f>
        <v>Master recipe ► Black pudding in 4 variations</v>
      </c>
      <c r="AG248" s="5128">
        <f>IF(ISBLANK(AH248),"",LARGE(AG246:AG247,1)+1)</f>
        <v>2</v>
      </c>
      <c r="AH248" s="5040" t="s">
        <v>13199</v>
      </c>
      <c r="AI248" s="172"/>
      <c r="AJ248" s="172"/>
      <c r="AK248" s="172"/>
      <c r="AL248" s="172"/>
      <c r="AM248" s="172"/>
      <c r="AN248" s="172"/>
      <c r="AO248" s="172"/>
      <c r="AP248" s="555"/>
      <c r="AQ248" s="5086"/>
      <c r="AR248" s="104" t="str">
        <f t="shared" ref="AR248:AR280" si="54">IF(COUNTIF(AX248:BB248,"&lt;&gt;")&gt;0,"A","►")</f>
        <v>A</v>
      </c>
      <c r="AS248" s="157" t="str">
        <f>AS200</f>
        <v>N NUESTRA MORCILLA | | Autor &gt; Guy KRENZE - Eric GODDYN - Arnaud NICOLAS - CEPROC 2002</v>
      </c>
      <c r="AT248" s="157">
        <f>AT200</f>
        <v>16.34</v>
      </c>
      <c r="AU248" s="158" t="str">
        <f>AU200</f>
        <v>Kg</v>
      </c>
      <c r="AV248" s="159" t="str">
        <f>AV200</f>
        <v>Receta madre ► Morcilla en 4 versiones</v>
      </c>
      <c r="AW248" s="5128">
        <f>IF(ISBLANK(AX248),"",LARGE(AW246:AW247,1)+1)</f>
        <v>2</v>
      </c>
      <c r="AX248" s="5040" t="s">
        <v>13215</v>
      </c>
      <c r="AY248" s="172"/>
      <c r="AZ248" s="172"/>
      <c r="BA248" s="172"/>
      <c r="BB248" s="172"/>
      <c r="BC248" s="172"/>
      <c r="BD248" s="172"/>
      <c r="BE248" s="172"/>
      <c r="BF248" s="555"/>
      <c r="BG248" s="5086"/>
      <c r="BH248" s="104"/>
      <c r="BI248" s="32"/>
      <c r="BJ248" s="33"/>
      <c r="BK248" s="32"/>
      <c r="BL248" s="34"/>
      <c r="BM248" s="92"/>
      <c r="BN248" s="108"/>
      <c r="BO248" s="94"/>
      <c r="BP248" s="95"/>
      <c r="BQ248" s="105"/>
      <c r="BR248" s="5101"/>
      <c r="BS248" s="920"/>
      <c r="BT248" s="1495"/>
      <c r="BU248" s="101"/>
      <c r="BV248" s="1475"/>
      <c r="BW248" s="5086"/>
      <c r="BX248" s="104"/>
      <c r="BY248" s="32"/>
      <c r="BZ248" s="33"/>
      <c r="CA248" s="32"/>
      <c r="CB248" s="34"/>
      <c r="CC248" s="92"/>
      <c r="CD248" s="108"/>
      <c r="CE248" s="94"/>
      <c r="CF248" s="95"/>
      <c r="CG248" s="105"/>
      <c r="CH248" s="5101"/>
      <c r="CI248" s="920"/>
      <c r="CJ248" s="1495"/>
      <c r="CK248" s="101"/>
      <c r="CL248" s="1475"/>
      <c r="CM248" s="5086"/>
      <c r="CN248" s="104"/>
      <c r="CO248" s="32"/>
      <c r="CP248" s="33"/>
      <c r="CQ248" s="32"/>
      <c r="CR248" s="34"/>
      <c r="CS248" s="92"/>
      <c r="CT248" s="108"/>
      <c r="CU248" s="94"/>
      <c r="CV248" s="95"/>
      <c r="CW248" s="105"/>
      <c r="CX248" s="5101"/>
      <c r="CY248" s="920"/>
      <c r="CZ248" s="1495"/>
      <c r="DA248" s="101"/>
      <c r="DB248" s="1475"/>
      <c r="DC248" s="5109"/>
      <c r="DD248" s="5086"/>
      <c r="DF248" s="3">
        <v>1</v>
      </c>
      <c r="EY248" s="127">
        <v>1</v>
      </c>
      <c r="EZ248" s="920" t="s">
        <v>12892</v>
      </c>
      <c r="FA248" s="1495">
        <f>IF(OR(ISBLANK(ET238),FA238=0),0,ET248*EY239)</f>
        <v>0</v>
      </c>
      <c r="FB248" s="101">
        <f>IFERROR(_xlfn.LET(_xlpm.v,IFERROR(_xlfn.XLOOKUP(EX248,ET275:FC275,ET276:FC276),_xlfn.XLOOKUP(EX248,ET277:FC277,ET278:FC278)),_xlpm.v*EW248*EY248*EY239*IF(ISBLANK(ET248),1,ET248)),0)</f>
        <v>0</v>
      </c>
      <c r="FC248" s="1476" t="str">
        <f>_xlfn.LET(_xlpm.unite,SUBSTITUTE(TRIM(EX248)," (s)",""),_xlpm.val,FB248,_xlpm.estVol,COUNTIF(EW275:FC275,_xlpm.unite)+COUNTIF(EW277:FC277,_xlpm.unite)&gt;0,_xlpm.estPoids,COUNTIF(ET275:EV275,_xlpm.unite)+COUNTIF(ET277:EV277,_xlpm.unite)&gt;0,IF(_xlpm.estVol,IF(ROUND(_xlpm.val,3)&gt;=1,ROUND(_xlpm.val,3)&amp;" L",MAX(1,ROUND(_xlpm.val*100,0))&amp;" cl"),IF(_xlpm.estPoids,IF(ROUND(_xlpm.val,3)&gt;=1,ROUND(_xlpm.val,3)&amp;" Kg",MAX(1,ROUND(_xlpm.val*1000,0))&amp;" g"),"")))</f>
        <v>1 cl</v>
      </c>
      <c r="FE248" s="852" t="s">
        <v>12851</v>
      </c>
      <c r="FH248" s="852" t="s">
        <v>12959</v>
      </c>
      <c r="FI248" s="852" t="s">
        <v>12960</v>
      </c>
      <c r="FV248" t="s">
        <v>13002</v>
      </c>
    </row>
    <row r="249" spans="2:178" ht="21" customHeight="1">
      <c r="B249" s="952" t="str">
        <f t="shared" si="36"/>
        <v>A</v>
      </c>
      <c r="C249" s="993" cm="1">
        <f t="array" ref="C249">SUMPRODUCT(LEN(D249:J249))</f>
        <v>0</v>
      </c>
      <c r="D249" s="167"/>
      <c r="E249" s="172"/>
      <c r="F249" s="172"/>
      <c r="G249" s="172"/>
      <c r="H249" s="172"/>
      <c r="I249" s="172"/>
      <c r="J249" s="173"/>
      <c r="K249"/>
      <c r="L249" s="104" t="str">
        <f t="shared" si="52"/>
        <v>A</v>
      </c>
      <c r="M249" s="157" t="str">
        <f>M200</f>
        <v>N NOTRE BOUDIN NOIR | | Auteur &gt; Guy KRENZE - Eric GODDYN - Arnaud NICOLAS - CEPROC 2002</v>
      </c>
      <c r="N249" s="157">
        <f>N200</f>
        <v>16.34</v>
      </c>
      <c r="O249" s="158" t="str">
        <f>O200</f>
        <v>Kg</v>
      </c>
      <c r="P249" s="159" t="str">
        <f>P200</f>
        <v>Recette mère ► le Boudin en 4 déclinaisons</v>
      </c>
      <c r="Q249" s="5128">
        <f>IF(ISBLANK(R249),"",LARGE(Q246:Q248,1)+1)</f>
        <v>3</v>
      </c>
      <c r="R249" s="5040" t="s">
        <v>13087</v>
      </c>
      <c r="S249" s="172"/>
      <c r="T249" s="172"/>
      <c r="U249" s="172"/>
      <c r="V249" s="172"/>
      <c r="W249" s="172"/>
      <c r="X249" s="172"/>
      <c r="Y249" s="170" t="s">
        <v>172</v>
      </c>
      <c r="Z249" s="171">
        <v>3.472222222222222E-3</v>
      </c>
      <c r="AA249" s="5086"/>
      <c r="AB249" s="104" t="str">
        <f t="shared" si="53"/>
        <v>A</v>
      </c>
      <c r="AC249" s="157" t="str">
        <f>AC200</f>
        <v>O OUR BLACK PUDDING | |  Author &gt; Guy KRENZE - Eric GODDYN - Arnaud NICOLAS - CEPROC 2002</v>
      </c>
      <c r="AD249" s="157">
        <f>AD200</f>
        <v>16.34</v>
      </c>
      <c r="AE249" s="158" t="str">
        <f>AE200</f>
        <v>Kg</v>
      </c>
      <c r="AF249" s="159" t="str">
        <f>AF200</f>
        <v>Master recipe ► Black pudding in 4 variations</v>
      </c>
      <c r="AG249" s="5128">
        <f>IF(ISBLANK(AH249),"",LARGE(AG246:AG248,1)+1)</f>
        <v>3</v>
      </c>
      <c r="AH249" s="5040" t="s">
        <v>13200</v>
      </c>
      <c r="AI249" s="172"/>
      <c r="AJ249" s="172"/>
      <c r="AK249" s="172"/>
      <c r="AL249" s="172"/>
      <c r="AM249" s="172"/>
      <c r="AN249" s="172"/>
      <c r="AO249" s="170" t="s">
        <v>676</v>
      </c>
      <c r="AP249" s="171">
        <v>3.472222222222222E-3</v>
      </c>
      <c r="AQ249" s="5086"/>
      <c r="AR249" s="104" t="str">
        <f t="shared" si="54"/>
        <v>A</v>
      </c>
      <c r="AS249" s="157" t="str">
        <f>AS200</f>
        <v>N NUESTRA MORCILLA | | Autor &gt; Guy KRENZE - Eric GODDYN - Arnaud NICOLAS - CEPROC 2002</v>
      </c>
      <c r="AT249" s="157">
        <f>AT200</f>
        <v>16.34</v>
      </c>
      <c r="AU249" s="158" t="str">
        <f>AU200</f>
        <v>Kg</v>
      </c>
      <c r="AV249" s="159" t="str">
        <f>AV200</f>
        <v>Receta madre ► Morcilla en 4 versiones</v>
      </c>
      <c r="AW249" s="5128">
        <f>IF(ISBLANK(AX249),"",LARGE(AW246:AW248,1)+1)</f>
        <v>3</v>
      </c>
      <c r="AX249" s="5040" t="s">
        <v>13216</v>
      </c>
      <c r="AY249" s="172"/>
      <c r="AZ249" s="172"/>
      <c r="BA249" s="172"/>
      <c r="BB249" s="172"/>
      <c r="BC249" s="172"/>
      <c r="BD249" s="172"/>
      <c r="BE249" s="170" t="s">
        <v>677</v>
      </c>
      <c r="BF249" s="171">
        <v>3.472222222222222E-3</v>
      </c>
      <c r="BG249" s="5086"/>
      <c r="BH249" s="104"/>
      <c r="BI249" s="32"/>
      <c r="BJ249" s="33"/>
      <c r="BK249" s="32"/>
      <c r="BL249" s="34"/>
      <c r="BM249" s="92"/>
      <c r="BN249" s="108"/>
      <c r="BO249" s="94"/>
      <c r="BP249" s="95"/>
      <c r="BQ249" s="105"/>
      <c r="BR249" s="5101"/>
      <c r="BS249" s="920"/>
      <c r="BT249" s="1495"/>
      <c r="BU249" s="101"/>
      <c r="BV249" s="1475"/>
      <c r="BW249" s="5086"/>
      <c r="BX249" s="104"/>
      <c r="BY249" s="32"/>
      <c r="BZ249" s="33"/>
      <c r="CA249" s="32"/>
      <c r="CB249" s="34"/>
      <c r="CC249" s="92"/>
      <c r="CD249" s="108"/>
      <c r="CE249" s="94"/>
      <c r="CF249" s="95"/>
      <c r="CG249" s="105"/>
      <c r="CH249" s="5101"/>
      <c r="CI249" s="920"/>
      <c r="CJ249" s="1495"/>
      <c r="CK249" s="101"/>
      <c r="CL249" s="1475"/>
      <c r="CM249" s="5086"/>
      <c r="CN249" s="104"/>
      <c r="CO249" s="32"/>
      <c r="CP249" s="33"/>
      <c r="CQ249" s="32"/>
      <c r="CR249" s="34"/>
      <c r="CS249" s="92"/>
      <c r="CT249" s="108"/>
      <c r="CU249" s="94"/>
      <c r="CV249" s="95"/>
      <c r="CW249" s="105"/>
      <c r="CX249" s="5101"/>
      <c r="CY249" s="920"/>
      <c r="CZ249" s="1495"/>
      <c r="DA249" s="101"/>
      <c r="DB249" s="1475"/>
      <c r="DC249" s="5109"/>
      <c r="DD249" s="5081"/>
      <c r="DF249" s="3">
        <v>1</v>
      </c>
      <c r="EY249" s="127">
        <v>1</v>
      </c>
      <c r="EZ249" s="920" t="s">
        <v>12960</v>
      </c>
      <c r="FA249" s="1495">
        <f>IF(OR(ISBLANK(ET238),FA238=0),0,ET249*EY239)</f>
        <v>0</v>
      </c>
      <c r="FB249" s="101">
        <f>IFERROR(_xlfn.LET(_xlpm.v,IFERROR(_xlfn.XLOOKUP(EX249,ET275:FC275,ET276:FC276),_xlfn.XLOOKUP(EX249,ET277:FC277,ET278:FC278)),_xlpm.v*EW249*EY249*EY239*IF(ISBLANK(ET249),1,ET249)),0)</f>
        <v>0</v>
      </c>
      <c r="FC249" s="1475" t="str">
        <f>_xlfn.LET(_xlpm.unite,SUBSTITUTE(TRIM(EX249)," (s)",""),_xlpm.val,FB249,_xlpm.estVol,COUNTIF(EW275:FC275,_xlpm.unite)+COUNTIF(EW277:FC277,_xlpm.unite)&gt;0,_xlpm.estPoids,COUNTIF(ET275:EV275,_xlpm.unite)+COUNTIF(ET277:EV277,_xlpm.unite)&gt;0,IF(_xlpm.estVol,IF(ROUND(_xlpm.val,3)&gt;=1,ROUND(_xlpm.val,3)&amp;" L",MAX(1,ROUND(_xlpm.val*100,0))&amp;" cl"),IF(_xlpm.estPoids,IF(ROUND(_xlpm.val,3)&gt;=1,ROUND(_xlpm.val,3)&amp;" Kg",MAX(1,ROUND(_xlpm.val*1000,0))&amp;" g"),"")))</f>
        <v>1 cl</v>
      </c>
      <c r="FE249" s="852" t="s">
        <v>12852</v>
      </c>
      <c r="FH249" s="852" t="s">
        <v>12961</v>
      </c>
      <c r="FI249" s="852" t="s">
        <v>12962</v>
      </c>
    </row>
    <row r="250" spans="2:178" ht="21" customHeight="1">
      <c r="B250" s="952" t="str">
        <f t="shared" si="36"/>
        <v>A</v>
      </c>
      <c r="C250" s="993" cm="1">
        <f t="array" ref="C250">SUMPRODUCT(LEN(D250:J250))</f>
        <v>0</v>
      </c>
      <c r="D250" s="167"/>
      <c r="E250" s="172"/>
      <c r="F250" s="172"/>
      <c r="G250" s="172"/>
      <c r="H250" s="172"/>
      <c r="I250" s="172"/>
      <c r="J250" s="173"/>
      <c r="K250"/>
      <c r="L250" s="104" t="str">
        <f t="shared" si="52"/>
        <v>A</v>
      </c>
      <c r="M250" s="157" t="str">
        <f>M200</f>
        <v>N NOTRE BOUDIN NOIR | | Auteur &gt; Guy KRENZE - Eric GODDYN - Arnaud NICOLAS - CEPROC 2002</v>
      </c>
      <c r="N250" s="157">
        <f>N200</f>
        <v>16.34</v>
      </c>
      <c r="O250" s="158" t="str">
        <f>O200</f>
        <v>Kg</v>
      </c>
      <c r="P250" s="159" t="str">
        <f>P200</f>
        <v>Recette mère ► le Boudin en 4 déclinaisons</v>
      </c>
      <c r="Q250" s="5128">
        <f>IF(ISBLANK(R250),"",LARGE(Q246:Q249,1)+1)</f>
        <v>4</v>
      </c>
      <c r="R250" s="5040" t="s">
        <v>13088</v>
      </c>
      <c r="S250" s="172"/>
      <c r="T250" s="172"/>
      <c r="U250" s="172"/>
      <c r="V250" s="172"/>
      <c r="W250" s="172"/>
      <c r="X250" s="172"/>
      <c r="Y250" s="170" t="s">
        <v>174</v>
      </c>
      <c r="Z250" s="174">
        <v>3.472222222222222E-3</v>
      </c>
      <c r="AA250" s="5086"/>
      <c r="AB250" s="104" t="str">
        <f t="shared" si="53"/>
        <v>A</v>
      </c>
      <c r="AC250" s="157" t="str">
        <f>AC200</f>
        <v>O OUR BLACK PUDDING | |  Author &gt; Guy KRENZE - Eric GODDYN - Arnaud NICOLAS - CEPROC 2002</v>
      </c>
      <c r="AD250" s="157">
        <f>AD200</f>
        <v>16.34</v>
      </c>
      <c r="AE250" s="158" t="str">
        <f>AE200</f>
        <v>Kg</v>
      </c>
      <c r="AF250" s="159" t="str">
        <f>AF200</f>
        <v>Master recipe ► Black pudding in 4 variations</v>
      </c>
      <c r="AG250" s="5128">
        <f>IF(ISBLANK(AH250),"",LARGE(AG246:AG249,1)+1)</f>
        <v>4</v>
      </c>
      <c r="AH250" s="5040" t="s">
        <v>13201</v>
      </c>
      <c r="AI250" s="172"/>
      <c r="AJ250" s="172"/>
      <c r="AK250" s="172"/>
      <c r="AL250" s="172"/>
      <c r="AM250" s="172"/>
      <c r="AN250" s="172"/>
      <c r="AO250" s="170" t="s">
        <v>682</v>
      </c>
      <c r="AP250" s="174">
        <v>3.472222222222222E-3</v>
      </c>
      <c r="AQ250" s="5086"/>
      <c r="AR250" s="104" t="str">
        <f t="shared" si="54"/>
        <v>A</v>
      </c>
      <c r="AS250" s="157" t="str">
        <f>AS200</f>
        <v>N NUESTRA MORCILLA | | Autor &gt; Guy KRENZE - Eric GODDYN - Arnaud NICOLAS - CEPROC 2002</v>
      </c>
      <c r="AT250" s="157">
        <f>AT200</f>
        <v>16.34</v>
      </c>
      <c r="AU250" s="158" t="str">
        <f>AU200</f>
        <v>Kg</v>
      </c>
      <c r="AV250" s="159" t="str">
        <f>AV200</f>
        <v>Receta madre ► Morcilla en 4 versiones</v>
      </c>
      <c r="AW250" s="5128">
        <f>IF(ISBLANK(AX250),"",LARGE(AW246:AW249,1)+1)</f>
        <v>4</v>
      </c>
      <c r="AX250" s="5040" t="s">
        <v>13217</v>
      </c>
      <c r="AY250" s="172"/>
      <c r="AZ250" s="172"/>
      <c r="BA250" s="172"/>
      <c r="BB250" s="172"/>
      <c r="BC250" s="172"/>
      <c r="BD250" s="172"/>
      <c r="BE250" s="170" t="s">
        <v>683</v>
      </c>
      <c r="BF250" s="174">
        <v>3.472222222222222E-3</v>
      </c>
      <c r="BG250" s="5086"/>
      <c r="BH250" s="104"/>
      <c r="BI250" s="32"/>
      <c r="BJ250" s="33"/>
      <c r="BK250" s="32"/>
      <c r="BL250" s="34"/>
      <c r="BM250" s="92"/>
      <c r="BN250" s="108"/>
      <c r="BO250" s="94"/>
      <c r="BP250" s="95"/>
      <c r="BQ250" s="105"/>
      <c r="BR250" s="5101"/>
      <c r="BS250" s="920"/>
      <c r="BT250" s="1495"/>
      <c r="BU250" s="101"/>
      <c r="BV250" s="1475"/>
      <c r="BW250" s="5086"/>
      <c r="BX250" s="104"/>
      <c r="BY250" s="32"/>
      <c r="BZ250" s="33"/>
      <c r="CA250" s="32"/>
      <c r="CB250" s="34"/>
      <c r="CC250" s="92"/>
      <c r="CD250" s="108"/>
      <c r="CE250" s="94"/>
      <c r="CF250" s="95"/>
      <c r="CG250" s="105"/>
      <c r="CH250" s="5101"/>
      <c r="CI250" s="920"/>
      <c r="CJ250" s="1495"/>
      <c r="CK250" s="101"/>
      <c r="CL250" s="1475"/>
      <c r="CM250" s="5086"/>
      <c r="CN250" s="104"/>
      <c r="CO250" s="32"/>
      <c r="CP250" s="33"/>
      <c r="CQ250" s="32"/>
      <c r="CR250" s="34"/>
      <c r="CS250" s="92"/>
      <c r="CT250" s="108"/>
      <c r="CU250" s="94"/>
      <c r="CV250" s="95"/>
      <c r="CW250" s="105"/>
      <c r="CX250" s="5101"/>
      <c r="CY250" s="920"/>
      <c r="CZ250" s="1495"/>
      <c r="DA250" s="101"/>
      <c r="DB250" s="1475"/>
      <c r="DC250" s="5109"/>
      <c r="DD250" s="5079"/>
      <c r="DF250" s="3">
        <v>1</v>
      </c>
      <c r="EY250" s="127">
        <v>1</v>
      </c>
      <c r="EZ250" s="920" t="s">
        <v>12962</v>
      </c>
      <c r="FA250" s="1495">
        <f>IF(OR(ISBLANK(ET238),FA238=0),0,ET250*EY239)</f>
        <v>0</v>
      </c>
      <c r="FB250" s="101">
        <f>IFERROR(_xlfn.LET(_xlpm.v,IFERROR(_xlfn.XLOOKUP(EX250,ET275:FC275,ET276:FC276),_xlfn.XLOOKUP(EX250,ET277:FC277,ET278:FC278)),_xlpm.v*EW250*EY250*EY239*IF(ISBLANK(ET250),1,ET250)),0)</f>
        <v>0</v>
      </c>
      <c r="FC250" s="1476" t="str">
        <f>_xlfn.LET(_xlpm.unite,SUBSTITUTE(TRIM(EX250)," (s)",""),_xlpm.val,FB250,_xlpm.estVol,COUNTIF(EW275:FC275,_xlpm.unite)+COUNTIF(EW277:FC277,_xlpm.unite)&gt;0,_xlpm.estPoids,COUNTIF(ET275:EV275,_xlpm.unite)+COUNTIF(ET277:EV277,_xlpm.unite)&gt;0,IF(_xlpm.estVol,IF(ROUND(_xlpm.val,3)&gt;=1,ROUND(_xlpm.val,3)&amp;" L",MAX(1,ROUND(_xlpm.val*100,0))&amp;" cl"),IF(_xlpm.estPoids,IF(ROUND(_xlpm.val,3)&gt;=1,ROUND(_xlpm.val,3)&amp;" Kg",MAX(1,ROUND(_xlpm.val*1000,0))&amp;" g"),"")))</f>
        <v>1 cl</v>
      </c>
      <c r="FE250" s="852" t="s">
        <v>12853</v>
      </c>
      <c r="FH250" s="852" t="s">
        <v>12963</v>
      </c>
      <c r="FI250" s="852" t="s">
        <v>12964</v>
      </c>
    </row>
    <row r="251" spans="2:178" ht="21" customHeight="1">
      <c r="B251" s="952" t="str">
        <f t="shared" si="36"/>
        <v>A</v>
      </c>
      <c r="C251" s="993" cm="1">
        <f t="array" ref="C251">SUMPRODUCT(LEN(D251:J251))</f>
        <v>0</v>
      </c>
      <c r="D251" s="167"/>
      <c r="E251" s="172"/>
      <c r="F251" s="172"/>
      <c r="G251" s="172"/>
      <c r="H251" s="172"/>
      <c r="I251" s="172"/>
      <c r="J251" s="173"/>
      <c r="K251"/>
      <c r="L251" s="104" t="str">
        <f t="shared" si="52"/>
        <v>A</v>
      </c>
      <c r="M251" s="157" t="str">
        <f>M200</f>
        <v>N NOTRE BOUDIN NOIR | | Auteur &gt; Guy KRENZE - Eric GODDYN - Arnaud NICOLAS - CEPROC 2002</v>
      </c>
      <c r="N251" s="157">
        <f>N200</f>
        <v>16.34</v>
      </c>
      <c r="O251" s="158" t="str">
        <f>O200</f>
        <v>Kg</v>
      </c>
      <c r="P251" s="159" t="str">
        <f>P200</f>
        <v>Recette mère ► le Boudin en 4 déclinaisons</v>
      </c>
      <c r="Q251" s="5128">
        <f>IF(ISBLANK(R251),"",LARGE(Q246:Q250,1)+1)</f>
        <v>5</v>
      </c>
      <c r="R251" s="5040" t="s">
        <v>13095</v>
      </c>
      <c r="S251" s="172"/>
      <c r="T251" s="172"/>
      <c r="U251" s="172"/>
      <c r="V251" s="172"/>
      <c r="W251" s="172"/>
      <c r="X251" s="172"/>
      <c r="Y251" s="170" t="s">
        <v>182</v>
      </c>
      <c r="Z251" s="175">
        <v>3.472222222222222E-3</v>
      </c>
      <c r="AA251" s="5086"/>
      <c r="AB251" s="104" t="str">
        <f t="shared" si="53"/>
        <v>A</v>
      </c>
      <c r="AC251" s="157" t="str">
        <f>AC200</f>
        <v>O OUR BLACK PUDDING | |  Author &gt; Guy KRENZE - Eric GODDYN - Arnaud NICOLAS - CEPROC 2002</v>
      </c>
      <c r="AD251" s="157">
        <f>AD200</f>
        <v>16.34</v>
      </c>
      <c r="AE251" s="158" t="str">
        <f>AE200</f>
        <v>Kg</v>
      </c>
      <c r="AF251" s="159" t="str">
        <f>AF200</f>
        <v>Master recipe ► Black pudding in 4 variations</v>
      </c>
      <c r="AG251" s="5128">
        <f>IF(ISBLANK(AH251),"",LARGE(AG246:AG250,1)+1)</f>
        <v>5</v>
      </c>
      <c r="AH251" s="5040" t="s">
        <v>13202</v>
      </c>
      <c r="AI251" s="172"/>
      <c r="AJ251" s="172"/>
      <c r="AK251" s="172"/>
      <c r="AL251" s="172"/>
      <c r="AM251" s="172"/>
      <c r="AN251" s="172"/>
      <c r="AO251" s="170" t="s">
        <v>684</v>
      </c>
      <c r="AP251" s="175">
        <v>3.472222222222222E-3</v>
      </c>
      <c r="AQ251" s="5086"/>
      <c r="AR251" s="104" t="str">
        <f t="shared" si="54"/>
        <v>A</v>
      </c>
      <c r="AS251" s="157" t="str">
        <f>AS200</f>
        <v>N NUESTRA MORCILLA | | Autor &gt; Guy KRENZE - Eric GODDYN - Arnaud NICOLAS - CEPROC 2002</v>
      </c>
      <c r="AT251" s="157">
        <f>AT200</f>
        <v>16.34</v>
      </c>
      <c r="AU251" s="158" t="str">
        <f>AU200</f>
        <v>Kg</v>
      </c>
      <c r="AV251" s="159" t="str">
        <f>AV200</f>
        <v>Receta madre ► Morcilla en 4 versiones</v>
      </c>
      <c r="AW251" s="5128">
        <f>IF(ISBLANK(AX251),"",LARGE(AW246:AW250,1)+1)</f>
        <v>5</v>
      </c>
      <c r="AX251" s="5040" t="s">
        <v>13218</v>
      </c>
      <c r="AY251" s="172"/>
      <c r="AZ251" s="172"/>
      <c r="BA251" s="172"/>
      <c r="BB251" s="172"/>
      <c r="BC251" s="172"/>
      <c r="BD251" s="172"/>
      <c r="BE251" s="170" t="s">
        <v>685</v>
      </c>
      <c r="BF251" s="175">
        <v>3.472222222222222E-3</v>
      </c>
      <c r="BG251" s="5086"/>
      <c r="BH251" s="104"/>
      <c r="BI251" s="32"/>
      <c r="BJ251" s="33"/>
      <c r="BK251" s="32"/>
      <c r="BL251" s="34"/>
      <c r="BM251" s="92"/>
      <c r="BN251" s="108"/>
      <c r="BO251" s="94"/>
      <c r="BP251" s="95"/>
      <c r="BQ251" s="105"/>
      <c r="BR251" s="5101"/>
      <c r="BS251" s="920"/>
      <c r="BT251" s="1495"/>
      <c r="BU251" s="101"/>
      <c r="BV251" s="1475"/>
      <c r="BW251" s="5086"/>
      <c r="BX251" s="104"/>
      <c r="BY251" s="32"/>
      <c r="BZ251" s="33"/>
      <c r="CA251" s="32"/>
      <c r="CB251" s="34"/>
      <c r="CC251" s="92"/>
      <c r="CD251" s="108"/>
      <c r="CE251" s="94"/>
      <c r="CF251" s="95"/>
      <c r="CG251" s="105"/>
      <c r="CH251" s="5101"/>
      <c r="CI251" s="920"/>
      <c r="CJ251" s="1495"/>
      <c r="CK251" s="101"/>
      <c r="CL251" s="1475"/>
      <c r="CM251" s="5086"/>
      <c r="CN251" s="104"/>
      <c r="CO251" s="32"/>
      <c r="CP251" s="33"/>
      <c r="CQ251" s="32"/>
      <c r="CR251" s="34"/>
      <c r="CS251" s="92"/>
      <c r="CT251" s="108"/>
      <c r="CU251" s="94"/>
      <c r="CV251" s="95"/>
      <c r="CW251" s="105"/>
      <c r="CX251" s="5101"/>
      <c r="CY251" s="920"/>
      <c r="CZ251" s="1495"/>
      <c r="DA251" s="101"/>
      <c r="DB251" s="1475"/>
      <c r="DC251" s="5109"/>
      <c r="DD251" s="5097"/>
      <c r="DF251" s="3">
        <v>1</v>
      </c>
      <c r="EY251" s="127">
        <v>1</v>
      </c>
      <c r="EZ251" s="920" t="s">
        <v>12964</v>
      </c>
      <c r="FA251" s="1495">
        <f>IF(OR(ISBLANK(ET238),FA238=0),0,ET251*EY239)</f>
        <v>0</v>
      </c>
      <c r="FB251" s="101">
        <f>IFERROR(_xlfn.LET(_xlpm.v,IFERROR(_xlfn.XLOOKUP(EX251,ET275:FC275,ET276:FC276),_xlfn.XLOOKUP(EX251,ET277:FC277,ET278:FC278)),_xlpm.v*EW251*EY251*EY239*IF(ISBLANK(ET251),1,ET251)),0)</f>
        <v>0</v>
      </c>
      <c r="FC251" s="1475" t="str">
        <f>_xlfn.LET(_xlpm.unite,SUBSTITUTE(TRIM(EX251)," (s)",""),_xlpm.val,FB251,_xlpm.estVol,COUNTIF(EW275:FC275,_xlpm.unite)+COUNTIF(EW277:FC277,_xlpm.unite)&gt;0,_xlpm.estPoids,COUNTIF(ET275:EV275,_xlpm.unite)+COUNTIF(ET277:EV277,_xlpm.unite)&gt;0,IF(_xlpm.estVol,IF(ROUND(_xlpm.val,3)&gt;=1,ROUND(_xlpm.val,3)&amp;" L",MAX(1,ROUND(_xlpm.val*100,0))&amp;" cl"),IF(_xlpm.estPoids,IF(ROUND(_xlpm.val,3)&gt;=1,ROUND(_xlpm.val,3)&amp;" Kg",MAX(1,ROUND(_xlpm.val*1000,0))&amp;" g"),"")))</f>
        <v>1 cl</v>
      </c>
      <c r="FE251" s="852" t="s">
        <v>12827</v>
      </c>
      <c r="FH251" s="852" t="s">
        <v>12882</v>
      </c>
      <c r="FI251" s="852" t="s">
        <v>12883</v>
      </c>
    </row>
    <row r="252" spans="2:178" ht="21" customHeight="1">
      <c r="B252" s="952" t="str">
        <f t="shared" si="36"/>
        <v>A</v>
      </c>
      <c r="C252" s="993" cm="1">
        <f t="array" ref="C252">SUMPRODUCT(LEN(D252:J252))</f>
        <v>0</v>
      </c>
      <c r="D252" s="167"/>
      <c r="E252" s="172"/>
      <c r="F252" s="172"/>
      <c r="G252" s="172"/>
      <c r="H252" s="172"/>
      <c r="I252" s="172"/>
      <c r="J252" s="173"/>
      <c r="K252"/>
      <c r="L252" s="104" t="str">
        <f t="shared" si="52"/>
        <v>A</v>
      </c>
      <c r="M252" s="157" t="str">
        <f>M200</f>
        <v>N NOTRE BOUDIN NOIR | | Auteur &gt; Guy KRENZE - Eric GODDYN - Arnaud NICOLAS - CEPROC 2002</v>
      </c>
      <c r="N252" s="157">
        <f>N200</f>
        <v>16.34</v>
      </c>
      <c r="O252" s="158" t="str">
        <f>O200</f>
        <v>Kg</v>
      </c>
      <c r="P252" s="159" t="str">
        <f>P200</f>
        <v>Recette mère ► le Boudin en 4 déclinaisons</v>
      </c>
      <c r="Q252" s="5128">
        <f>IF(ISBLANK(R252),"",LARGE(Q246:Q251,1)+1)</f>
        <v>6</v>
      </c>
      <c r="R252" s="5040" t="s">
        <v>13089</v>
      </c>
      <c r="S252" s="172"/>
      <c r="T252" s="172"/>
      <c r="U252" s="172"/>
      <c r="V252" s="172"/>
      <c r="W252" s="172"/>
      <c r="X252" s="172"/>
      <c r="Y252" s="176" t="s">
        <v>183</v>
      </c>
      <c r="Z252" s="177">
        <f>Z249+Z250+Z251</f>
        <v>1.0416666666666666E-2</v>
      </c>
      <c r="AA252" s="5086"/>
      <c r="AB252" s="104" t="str">
        <f t="shared" si="53"/>
        <v>A</v>
      </c>
      <c r="AC252" s="157" t="str">
        <f>AC200</f>
        <v>O OUR BLACK PUDDING | |  Author &gt; Guy KRENZE - Eric GODDYN - Arnaud NICOLAS - CEPROC 2002</v>
      </c>
      <c r="AD252" s="157">
        <f>AD200</f>
        <v>16.34</v>
      </c>
      <c r="AE252" s="158" t="str">
        <f>AE200</f>
        <v>Kg</v>
      </c>
      <c r="AF252" s="159" t="str">
        <f>AF200</f>
        <v>Master recipe ► Black pudding in 4 variations</v>
      </c>
      <c r="AG252" s="5128">
        <f>IF(ISBLANK(AH252),"",LARGE(AG246:AG251,1)+1)</f>
        <v>6</v>
      </c>
      <c r="AH252" s="5040" t="s">
        <v>13203</v>
      </c>
      <c r="AI252" s="172"/>
      <c r="AJ252" s="172"/>
      <c r="AK252" s="172"/>
      <c r="AL252" s="172"/>
      <c r="AM252" s="172"/>
      <c r="AN252" s="172"/>
      <c r="AO252" s="176" t="s">
        <v>183</v>
      </c>
      <c r="AP252" s="177">
        <f>AP249+AP250+AP251</f>
        <v>1.0416666666666666E-2</v>
      </c>
      <c r="AQ252" s="5086"/>
      <c r="AR252" s="104" t="str">
        <f t="shared" si="54"/>
        <v>A</v>
      </c>
      <c r="AS252" s="157" t="str">
        <f>AS200</f>
        <v>N NUESTRA MORCILLA | | Autor &gt; Guy KRENZE - Eric GODDYN - Arnaud NICOLAS - CEPROC 2002</v>
      </c>
      <c r="AT252" s="157">
        <f>AT200</f>
        <v>16.34</v>
      </c>
      <c r="AU252" s="158" t="str">
        <f>AU200</f>
        <v>Kg</v>
      </c>
      <c r="AV252" s="159" t="str">
        <f>AV200</f>
        <v>Receta madre ► Morcilla en 4 versiones</v>
      </c>
      <c r="AW252" s="5128">
        <f>IF(ISBLANK(AX252),"",LARGE(AW246:AW251,1)+1)</f>
        <v>6</v>
      </c>
      <c r="AX252" s="5040" t="s">
        <v>13219</v>
      </c>
      <c r="AY252" s="172"/>
      <c r="AZ252" s="172"/>
      <c r="BA252" s="172"/>
      <c r="BB252" s="172"/>
      <c r="BC252" s="172"/>
      <c r="BD252" s="172"/>
      <c r="BE252" s="176" t="s">
        <v>183</v>
      </c>
      <c r="BF252" s="177">
        <f>BF249+BF250+BF251</f>
        <v>1.0416666666666666E-2</v>
      </c>
      <c r="BG252" s="5086"/>
      <c r="BH252" s="104"/>
      <c r="BI252" s="32"/>
      <c r="BJ252" s="33"/>
      <c r="BK252" s="32"/>
      <c r="BL252" s="34"/>
      <c r="BM252" s="92"/>
      <c r="BN252" s="108"/>
      <c r="BO252" s="94"/>
      <c r="BP252" s="95"/>
      <c r="BQ252" s="105"/>
      <c r="BR252" s="5101"/>
      <c r="BS252" s="920"/>
      <c r="BT252" s="1495"/>
      <c r="BU252" s="101"/>
      <c r="BV252" s="1475"/>
      <c r="BW252" s="5086"/>
      <c r="BX252" s="104"/>
      <c r="BY252" s="32"/>
      <c r="BZ252" s="33"/>
      <c r="CA252" s="32"/>
      <c r="CB252" s="34"/>
      <c r="CC252" s="92"/>
      <c r="CD252" s="108"/>
      <c r="CE252" s="94"/>
      <c r="CF252" s="95"/>
      <c r="CG252" s="105"/>
      <c r="CH252" s="5101"/>
      <c r="CI252" s="920"/>
      <c r="CJ252" s="1495"/>
      <c r="CK252" s="101"/>
      <c r="CL252" s="1475"/>
      <c r="CM252" s="5086"/>
      <c r="CN252" s="104"/>
      <c r="CO252" s="32"/>
      <c r="CP252" s="33"/>
      <c r="CQ252" s="32"/>
      <c r="CR252" s="34"/>
      <c r="CS252" s="92"/>
      <c r="CT252" s="108"/>
      <c r="CU252" s="94"/>
      <c r="CV252" s="95"/>
      <c r="CW252" s="105"/>
      <c r="CX252" s="5101"/>
      <c r="CY252" s="920"/>
      <c r="CZ252" s="1495"/>
      <c r="DA252" s="101"/>
      <c r="DB252" s="1475"/>
      <c r="DC252" s="5109"/>
      <c r="DD252" s="5097"/>
      <c r="DF252" s="3">
        <v>1</v>
      </c>
      <c r="EY252" s="127">
        <v>1</v>
      </c>
      <c r="EZ252" s="920" t="s">
        <v>12883</v>
      </c>
      <c r="FA252" s="1495">
        <f>IF(OR(ISBLANK(ET238),FA238=0),0,ET252*EY239)</f>
        <v>0</v>
      </c>
      <c r="FB252" s="101">
        <f>IFERROR(_xlfn.LET(_xlpm.v,IFERROR(_xlfn.XLOOKUP(EX252,ET275:FC275,ET276:FC276),_xlfn.XLOOKUP(EX252,ET277:FC277,ET278:FC278)),_xlpm.v*EW252*EY252*EY239*IF(ISBLANK(ET252),1,ET252)),0)</f>
        <v>0</v>
      </c>
      <c r="FC252" s="1476" t="str">
        <f>_xlfn.LET(_xlpm.unite,SUBSTITUTE(TRIM(EX252)," (s)",""),_xlpm.val,FB252,_xlpm.estVol,COUNTIF(EW275:FC275,_xlpm.unite)+COUNTIF(EW277:FC277,_xlpm.unite)&gt;0,_xlpm.estPoids,COUNTIF(ET275:EV275,_xlpm.unite)+COUNTIF(ET277:EV277,_xlpm.unite)&gt;0,IF(_xlpm.estVol,IF(ROUND(_xlpm.val,3)&gt;=1,ROUND(_xlpm.val,3)&amp;" L",MAX(1,ROUND(_xlpm.val*100,0))&amp;" cl"),IF(_xlpm.estPoids,IF(ROUND(_xlpm.val,3)&gt;=1,ROUND(_xlpm.val,3)&amp;" Kg",MAX(1,ROUND(_xlpm.val*1000,0))&amp;" g"),"")))</f>
        <v>1 cl</v>
      </c>
      <c r="FE252" s="852" t="s">
        <v>8947</v>
      </c>
      <c r="FH252" s="852" t="s">
        <v>12884</v>
      </c>
      <c r="FI252" s="852" t="s">
        <v>12885</v>
      </c>
    </row>
    <row r="253" spans="2:178" ht="21" customHeight="1">
      <c r="B253" s="952" t="str">
        <f t="shared" si="36"/>
        <v>A</v>
      </c>
      <c r="C253" s="993" cm="1">
        <f t="array" ref="C253">SUMPRODUCT(LEN(D253:J253))</f>
        <v>0</v>
      </c>
      <c r="D253" s="167"/>
      <c r="E253" s="172"/>
      <c r="F253" s="172"/>
      <c r="G253" s="172"/>
      <c r="H253" s="172"/>
      <c r="I253" s="172"/>
      <c r="J253" s="173"/>
      <c r="K253"/>
      <c r="L253" s="104" t="str">
        <f t="shared" si="52"/>
        <v>A</v>
      </c>
      <c r="M253" s="157" t="str">
        <f>M200</f>
        <v>N NOTRE BOUDIN NOIR | | Auteur &gt; Guy KRENZE - Eric GODDYN - Arnaud NICOLAS - CEPROC 2002</v>
      </c>
      <c r="N253" s="157">
        <f>N200</f>
        <v>16.34</v>
      </c>
      <c r="O253" s="158" t="str">
        <f>O200</f>
        <v>Kg</v>
      </c>
      <c r="P253" s="159" t="str">
        <f>P200</f>
        <v>Recette mère ► le Boudin en 4 déclinaisons</v>
      </c>
      <c r="Q253" s="5128">
        <f>IF(ISBLANK(R253),"",LARGE(Q246:Q252,1)+1)</f>
        <v>7</v>
      </c>
      <c r="R253" s="5040" t="s">
        <v>13090</v>
      </c>
      <c r="S253" s="172"/>
      <c r="T253" s="172"/>
      <c r="U253" s="172"/>
      <c r="V253" s="172"/>
      <c r="W253" s="172"/>
      <c r="X253" s="172"/>
      <c r="Y253" s="172"/>
      <c r="Z253" s="555"/>
      <c r="AA253" s="5086"/>
      <c r="AB253" s="104" t="str">
        <f t="shared" si="53"/>
        <v>A</v>
      </c>
      <c r="AC253" s="157" t="str">
        <f>AC200</f>
        <v>O OUR BLACK PUDDING | |  Author &gt; Guy KRENZE - Eric GODDYN - Arnaud NICOLAS - CEPROC 2002</v>
      </c>
      <c r="AD253" s="157">
        <f>AD200</f>
        <v>16.34</v>
      </c>
      <c r="AE253" s="158" t="str">
        <f>AE200</f>
        <v>Kg</v>
      </c>
      <c r="AF253" s="159" t="str">
        <f>AF200</f>
        <v>Master recipe ► Black pudding in 4 variations</v>
      </c>
      <c r="AG253" s="5128">
        <f>IF(ISBLANK(AH253),"",LARGE(AG246:AG252,1)+1)</f>
        <v>7</v>
      </c>
      <c r="AH253" s="5040" t="s">
        <v>13204</v>
      </c>
      <c r="AI253" s="172"/>
      <c r="AJ253" s="172"/>
      <c r="AK253" s="172"/>
      <c r="AL253" s="172"/>
      <c r="AM253" s="172"/>
      <c r="AN253" s="172"/>
      <c r="AO253" s="172"/>
      <c r="AP253" s="555"/>
      <c r="AQ253" s="5086"/>
      <c r="AR253" s="104" t="str">
        <f t="shared" si="54"/>
        <v>A</v>
      </c>
      <c r="AS253" s="157" t="str">
        <f>AS200</f>
        <v>N NUESTRA MORCILLA | | Autor &gt; Guy KRENZE - Eric GODDYN - Arnaud NICOLAS - CEPROC 2002</v>
      </c>
      <c r="AT253" s="157">
        <f>AT200</f>
        <v>16.34</v>
      </c>
      <c r="AU253" s="158" t="str">
        <f>AU200</f>
        <v>Kg</v>
      </c>
      <c r="AV253" s="159" t="str">
        <f>AV200</f>
        <v>Receta madre ► Morcilla en 4 versiones</v>
      </c>
      <c r="AW253" s="5128">
        <f>IF(ISBLANK(AX253),"",LARGE(AW246:AW252,1)+1)</f>
        <v>7</v>
      </c>
      <c r="AX253" s="5040" t="s">
        <v>13220</v>
      </c>
      <c r="AY253" s="172"/>
      <c r="AZ253" s="172"/>
      <c r="BA253" s="172"/>
      <c r="BB253" s="172"/>
      <c r="BC253" s="172"/>
      <c r="BD253" s="172"/>
      <c r="BE253" s="172"/>
      <c r="BF253" s="555"/>
      <c r="BG253" s="5086"/>
      <c r="BH253" s="104"/>
      <c r="BI253" s="32"/>
      <c r="BJ253" s="33"/>
      <c r="BK253" s="32"/>
      <c r="BL253" s="34"/>
      <c r="BM253" s="92"/>
      <c r="BN253" s="108"/>
      <c r="BO253" s="94"/>
      <c r="BP253" s="95"/>
      <c r="BQ253" s="105"/>
      <c r="BR253" s="5101"/>
      <c r="BS253" s="920"/>
      <c r="BT253" s="1495"/>
      <c r="BU253" s="101"/>
      <c r="BV253" s="1475"/>
      <c r="BW253" s="5086"/>
      <c r="BX253" s="104"/>
      <c r="BY253" s="32"/>
      <c r="BZ253" s="33"/>
      <c r="CA253" s="32"/>
      <c r="CB253" s="34"/>
      <c r="CC253" s="92"/>
      <c r="CD253" s="108"/>
      <c r="CE253" s="94"/>
      <c r="CF253" s="95"/>
      <c r="CG253" s="105"/>
      <c r="CH253" s="5101"/>
      <c r="CI253" s="920"/>
      <c r="CJ253" s="1495"/>
      <c r="CK253" s="101"/>
      <c r="CL253" s="1475"/>
      <c r="CM253" s="5086"/>
      <c r="CN253" s="104"/>
      <c r="CO253" s="32"/>
      <c r="CP253" s="33"/>
      <c r="CQ253" s="32"/>
      <c r="CR253" s="34"/>
      <c r="CS253" s="92"/>
      <c r="CT253" s="108"/>
      <c r="CU253" s="94"/>
      <c r="CV253" s="95"/>
      <c r="CW253" s="105"/>
      <c r="CX253" s="5101"/>
      <c r="CY253" s="920"/>
      <c r="CZ253" s="1495"/>
      <c r="DA253" s="101"/>
      <c r="DB253" s="1475"/>
      <c r="DC253" s="5109"/>
      <c r="DD253" s="5077"/>
      <c r="DF253" s="3">
        <v>1</v>
      </c>
      <c r="EY253" s="127">
        <v>1</v>
      </c>
      <c r="EZ253" s="920" t="s">
        <v>12885</v>
      </c>
      <c r="FA253" s="1495">
        <f>IF(OR(ISBLANK(ET238),FA238=0),0,ET253*EY239)</f>
        <v>0</v>
      </c>
      <c r="FB253" s="101">
        <f>IFERROR(_xlfn.LET(_xlpm.v,IFERROR(_xlfn.XLOOKUP(EX253,ET275:FC275,ET276:FC276),_xlfn.XLOOKUP(EX253,ET277:FC277,ET278:FC278)),_xlpm.v*EW253*EY253*EY239*IF(ISBLANK(ET253),1,ET253)),0)</f>
        <v>0</v>
      </c>
      <c r="FC253" s="1475" t="str">
        <f>_xlfn.LET(_xlpm.unite,SUBSTITUTE(TRIM(EX253)," (s)",""),_xlpm.val,FB253,_xlpm.estVol,COUNTIF(EW275:FC275,_xlpm.unite)+COUNTIF(EW277:FC277,_xlpm.unite)&gt;0,_xlpm.estPoids,COUNTIF(ET275:EV275,_xlpm.unite)+COUNTIF(ET277:EV277,_xlpm.unite)&gt;0,IF(_xlpm.estVol,IF(ROUND(_xlpm.val,3)&gt;=1,ROUND(_xlpm.val,3)&amp;" L",MAX(1,ROUND(_xlpm.val*100,0))&amp;" cl"),IF(_xlpm.estPoids,IF(ROUND(_xlpm.val,3)&gt;=1,ROUND(_xlpm.val,3)&amp;" Kg",MAX(1,ROUND(_xlpm.val*1000,0))&amp;" g"),"")))</f>
        <v>1 cl</v>
      </c>
      <c r="FE253" s="852" t="s">
        <v>12828</v>
      </c>
      <c r="FH253" s="852" t="s">
        <v>12886</v>
      </c>
      <c r="FI253" s="852" t="s">
        <v>12887</v>
      </c>
    </row>
    <row r="254" spans="2:178" ht="21" customHeight="1">
      <c r="B254" s="952" t="str">
        <f t="shared" si="36"/>
        <v>A</v>
      </c>
      <c r="C254" s="993" cm="1">
        <f t="array" ref="C254">SUMPRODUCT(LEN(D254:J254))</f>
        <v>0</v>
      </c>
      <c r="D254" s="167"/>
      <c r="E254" s="172"/>
      <c r="F254" s="172"/>
      <c r="G254" s="172"/>
      <c r="H254" s="172"/>
      <c r="I254" s="172"/>
      <c r="J254" s="173"/>
      <c r="K254"/>
      <c r="L254" s="104" t="str">
        <f t="shared" si="52"/>
        <v>A</v>
      </c>
      <c r="M254" s="157" t="str">
        <f>M200</f>
        <v>N NOTRE BOUDIN NOIR | | Auteur &gt; Guy KRENZE - Eric GODDYN - Arnaud NICOLAS - CEPROC 2002</v>
      </c>
      <c r="N254" s="157">
        <f>N200</f>
        <v>16.34</v>
      </c>
      <c r="O254" s="158" t="str">
        <f>O200</f>
        <v>Kg</v>
      </c>
      <c r="P254" s="159" t="str">
        <f>P200</f>
        <v>Recette mère ► le Boudin en 4 déclinaisons</v>
      </c>
      <c r="Q254" s="5128">
        <f>IF(ISBLANK(R254),"",LARGE(Q246:Q253,1)+1)</f>
        <v>8</v>
      </c>
      <c r="R254" s="5040" t="s">
        <v>13091</v>
      </c>
      <c r="S254" s="172"/>
      <c r="T254" s="172"/>
      <c r="U254" s="172"/>
      <c r="V254" s="172"/>
      <c r="W254" s="172"/>
      <c r="X254" s="172"/>
      <c r="Y254" s="172"/>
      <c r="Z254" s="555"/>
      <c r="AA254" s="5086"/>
      <c r="AB254" s="104" t="str">
        <f t="shared" si="53"/>
        <v>A</v>
      </c>
      <c r="AC254" s="157" t="str">
        <f>AC200</f>
        <v>O OUR BLACK PUDDING | |  Author &gt; Guy KRENZE - Eric GODDYN - Arnaud NICOLAS - CEPROC 2002</v>
      </c>
      <c r="AD254" s="157">
        <f>AD200</f>
        <v>16.34</v>
      </c>
      <c r="AE254" s="158" t="str">
        <f>AE200</f>
        <v>Kg</v>
      </c>
      <c r="AF254" s="159" t="str">
        <f>AF200</f>
        <v>Master recipe ► Black pudding in 4 variations</v>
      </c>
      <c r="AG254" s="5128">
        <f>IF(ISBLANK(AH254),"",LARGE(AG246:AG253,1)+1)</f>
        <v>8</v>
      </c>
      <c r="AH254" s="5040" t="s">
        <v>13205</v>
      </c>
      <c r="AI254" s="172"/>
      <c r="AJ254" s="172"/>
      <c r="AK254" s="172"/>
      <c r="AL254" s="172"/>
      <c r="AM254" s="172"/>
      <c r="AN254" s="172"/>
      <c r="AO254" s="172"/>
      <c r="AP254" s="555"/>
      <c r="AQ254" s="5086"/>
      <c r="AR254" s="104" t="str">
        <f t="shared" si="54"/>
        <v>A</v>
      </c>
      <c r="AS254" s="157" t="str">
        <f>AS200</f>
        <v>N NUESTRA MORCILLA | | Autor &gt; Guy KRENZE - Eric GODDYN - Arnaud NICOLAS - CEPROC 2002</v>
      </c>
      <c r="AT254" s="157">
        <f>AT200</f>
        <v>16.34</v>
      </c>
      <c r="AU254" s="158" t="str">
        <f>AU200</f>
        <v>Kg</v>
      </c>
      <c r="AV254" s="159" t="str">
        <f>AV200</f>
        <v>Receta madre ► Morcilla en 4 versiones</v>
      </c>
      <c r="AW254" s="5128">
        <f>IF(ISBLANK(AX254),"",LARGE(AW246:AW253,1)+1)</f>
        <v>8</v>
      </c>
      <c r="AX254" s="5040" t="s">
        <v>13221</v>
      </c>
      <c r="AY254" s="172"/>
      <c r="AZ254" s="172"/>
      <c r="BA254" s="172"/>
      <c r="BB254" s="172"/>
      <c r="BC254" s="172"/>
      <c r="BD254" s="172"/>
      <c r="BE254" s="172"/>
      <c r="BF254" s="555"/>
      <c r="BG254" s="5086"/>
      <c r="BH254" s="104"/>
      <c r="BI254" s="32"/>
      <c r="BJ254" s="33"/>
      <c r="BK254" s="32"/>
      <c r="BL254" s="34"/>
      <c r="BM254" s="92"/>
      <c r="BN254" s="108"/>
      <c r="BO254" s="94"/>
      <c r="BP254" s="95"/>
      <c r="BQ254" s="105"/>
      <c r="BR254" s="5101"/>
      <c r="BS254" s="920"/>
      <c r="BT254" s="1495"/>
      <c r="BU254" s="101"/>
      <c r="BV254" s="1475"/>
      <c r="BW254" s="5086"/>
      <c r="BX254" s="104"/>
      <c r="BY254" s="32"/>
      <c r="BZ254" s="33"/>
      <c r="CA254" s="32"/>
      <c r="CB254" s="34"/>
      <c r="CC254" s="92"/>
      <c r="CD254" s="108"/>
      <c r="CE254" s="94"/>
      <c r="CF254" s="95"/>
      <c r="CG254" s="105"/>
      <c r="CH254" s="5101"/>
      <c r="CI254" s="920"/>
      <c r="CJ254" s="1495"/>
      <c r="CK254" s="101"/>
      <c r="CL254" s="1475"/>
      <c r="CM254" s="5086"/>
      <c r="CN254" s="104"/>
      <c r="CO254" s="32"/>
      <c r="CP254" s="33"/>
      <c r="CQ254" s="32"/>
      <c r="CR254" s="34"/>
      <c r="CS254" s="92"/>
      <c r="CT254" s="108"/>
      <c r="CU254" s="94"/>
      <c r="CV254" s="95"/>
      <c r="CW254" s="105"/>
      <c r="CX254" s="5101"/>
      <c r="CY254" s="920"/>
      <c r="CZ254" s="1495"/>
      <c r="DA254" s="101"/>
      <c r="DB254" s="1475"/>
      <c r="DC254" s="5109"/>
      <c r="DD254" s="5095"/>
      <c r="DF254" s="3">
        <v>1</v>
      </c>
      <c r="EY254" s="127">
        <v>1</v>
      </c>
      <c r="EZ254" s="920" t="s">
        <v>12887</v>
      </c>
      <c r="FA254" s="1495">
        <f>IF(OR(ISBLANK(ET238),FA238=0),0,ET254*EY239)</f>
        <v>0</v>
      </c>
      <c r="FB254" s="101">
        <f>IFERROR(_xlfn.LET(_xlpm.v,IFERROR(_xlfn.XLOOKUP(EX254,ET275:FC275,ET276:FC276),_xlfn.XLOOKUP(EX254,ET277:FC277,ET278:FC278)),_xlpm.v*EW254*EY254*EY239*IF(ISBLANK(ET254),1,ET254)),0)</f>
        <v>0</v>
      </c>
      <c r="FC254" s="1476" t="str">
        <f>_xlfn.LET(_xlpm.unite,SUBSTITUTE(TRIM(EX254)," (s)",""),_xlpm.val,FB254,_xlpm.estVol,COUNTIF(EW275:FC275,_xlpm.unite)+COUNTIF(EW277:FC277,_xlpm.unite)&gt;0,_xlpm.estPoids,COUNTIF(ET275:EV275,_xlpm.unite)+COUNTIF(ET277:EV277,_xlpm.unite)&gt;0,IF(_xlpm.estVol,IF(ROUND(_xlpm.val,3)&gt;=1,ROUND(_xlpm.val,3)&amp;" L",MAX(1,ROUND(_xlpm.val*100,0))&amp;" cl"),IF(_xlpm.estPoids,IF(ROUND(_xlpm.val,3)&gt;=1,ROUND(_xlpm.val,3)&amp;" Kg",MAX(1,ROUND(_xlpm.val*1000,0))&amp;" g"),"")))</f>
        <v>1 cl</v>
      </c>
    </row>
    <row r="255" spans="2:178" ht="21" customHeight="1">
      <c r="B255" s="952" t="str">
        <f t="shared" si="36"/>
        <v>A</v>
      </c>
      <c r="C255" s="993" cm="1">
        <f t="array" ref="C255">SUMPRODUCT(LEN(D255:J255))</f>
        <v>0</v>
      </c>
      <c r="D255" s="167"/>
      <c r="E255" s="172"/>
      <c r="F255" s="172"/>
      <c r="G255" s="172"/>
      <c r="H255" s="172"/>
      <c r="I255" s="172"/>
      <c r="J255" s="173"/>
      <c r="K255"/>
      <c r="L255" s="104" t="str">
        <f t="shared" si="52"/>
        <v>A</v>
      </c>
      <c r="M255" s="157" t="str">
        <f>M200</f>
        <v>N NOTRE BOUDIN NOIR | | Auteur &gt; Guy KRENZE - Eric GODDYN - Arnaud NICOLAS - CEPROC 2002</v>
      </c>
      <c r="N255" s="157">
        <f>N200</f>
        <v>16.34</v>
      </c>
      <c r="O255" s="158" t="str">
        <f>O200</f>
        <v>Kg</v>
      </c>
      <c r="P255" s="159" t="str">
        <f>P200</f>
        <v>Recette mère ► le Boudin en 4 déclinaisons</v>
      </c>
      <c r="Q255" s="5128">
        <f>IF(ISBLANK(R255),"",LARGE(Q246:Q254,1)+1)</f>
        <v>9</v>
      </c>
      <c r="R255" s="5040" t="s">
        <v>13092</v>
      </c>
      <c r="S255" s="172"/>
      <c r="T255" s="172"/>
      <c r="U255" s="172"/>
      <c r="V255" s="172"/>
      <c r="W255" s="172"/>
      <c r="X255" s="172"/>
      <c r="Y255" s="172"/>
      <c r="Z255" s="555"/>
      <c r="AA255" s="5086"/>
      <c r="AB255" s="104" t="str">
        <f t="shared" si="53"/>
        <v>A</v>
      </c>
      <c r="AC255" s="157" t="str">
        <f>AC200</f>
        <v>O OUR BLACK PUDDING | |  Author &gt; Guy KRENZE - Eric GODDYN - Arnaud NICOLAS - CEPROC 2002</v>
      </c>
      <c r="AD255" s="157">
        <f>AD200</f>
        <v>16.34</v>
      </c>
      <c r="AE255" s="158" t="str">
        <f>AE200</f>
        <v>Kg</v>
      </c>
      <c r="AF255" s="159" t="str">
        <f>AF200</f>
        <v>Master recipe ► Black pudding in 4 variations</v>
      </c>
      <c r="AG255" s="5128">
        <f>IF(ISBLANK(AH255),"",LARGE(AG246:AG254,1)+1)</f>
        <v>9</v>
      </c>
      <c r="AH255" s="5040" t="s">
        <v>13206</v>
      </c>
      <c r="AI255" s="172"/>
      <c r="AJ255" s="172"/>
      <c r="AK255" s="172"/>
      <c r="AL255" s="172"/>
      <c r="AM255" s="172"/>
      <c r="AN255" s="172"/>
      <c r="AO255" s="172"/>
      <c r="AP255" s="555"/>
      <c r="AQ255" s="5086"/>
      <c r="AR255" s="104" t="str">
        <f t="shared" si="54"/>
        <v>A</v>
      </c>
      <c r="AS255" s="157" t="str">
        <f>AS200</f>
        <v>N NUESTRA MORCILLA | | Autor &gt; Guy KRENZE - Eric GODDYN - Arnaud NICOLAS - CEPROC 2002</v>
      </c>
      <c r="AT255" s="157">
        <f>AT200</f>
        <v>16.34</v>
      </c>
      <c r="AU255" s="158" t="str">
        <f>AU200</f>
        <v>Kg</v>
      </c>
      <c r="AV255" s="159" t="str">
        <f>AV200</f>
        <v>Receta madre ► Morcilla en 4 versiones</v>
      </c>
      <c r="AW255" s="5128">
        <f>IF(ISBLANK(AX255),"",LARGE(AW246:AW254,1)+1)</f>
        <v>9</v>
      </c>
      <c r="AX255" s="5040" t="s">
        <v>13222</v>
      </c>
      <c r="AY255" s="172"/>
      <c r="AZ255" s="172"/>
      <c r="BA255" s="172"/>
      <c r="BB255" s="172"/>
      <c r="BC255" s="172"/>
      <c r="BD255" s="172"/>
      <c r="BE255" s="172"/>
      <c r="BF255" s="555"/>
      <c r="BG255" s="5086"/>
      <c r="BH255" s="104"/>
      <c r="BI255" s="32"/>
      <c r="BJ255" s="33"/>
      <c r="BK255" s="32"/>
      <c r="BL255" s="34"/>
      <c r="BM255" s="92"/>
      <c r="BN255" s="108"/>
      <c r="BO255" s="94"/>
      <c r="BP255" s="95"/>
      <c r="BQ255" s="105"/>
      <c r="BR255" s="5101"/>
      <c r="BS255" s="920"/>
      <c r="BT255" s="1495"/>
      <c r="BU255" s="101"/>
      <c r="BV255" s="1475"/>
      <c r="BW255" s="5086"/>
      <c r="BX255" s="104"/>
      <c r="BY255" s="32"/>
      <c r="BZ255" s="33"/>
      <c r="CA255" s="32"/>
      <c r="CB255" s="34"/>
      <c r="CC255" s="92"/>
      <c r="CD255" s="108"/>
      <c r="CE255" s="94"/>
      <c r="CF255" s="95"/>
      <c r="CG255" s="105"/>
      <c r="CH255" s="5101"/>
      <c r="CI255" s="920"/>
      <c r="CJ255" s="1495"/>
      <c r="CK255" s="101"/>
      <c r="CL255" s="1475"/>
      <c r="CM255" s="5086"/>
      <c r="CN255" s="104"/>
      <c r="CO255" s="32"/>
      <c r="CP255" s="33"/>
      <c r="CQ255" s="32"/>
      <c r="CR255" s="34"/>
      <c r="CS255" s="92"/>
      <c r="CT255" s="108"/>
      <c r="CU255" s="94"/>
      <c r="CV255" s="95"/>
      <c r="CW255" s="105"/>
      <c r="CX255" s="5101"/>
      <c r="CY255" s="920"/>
      <c r="CZ255" s="1495"/>
      <c r="DA255" s="101"/>
      <c r="DB255" s="1475"/>
      <c r="DC255" s="5109"/>
      <c r="DD255" s="5082"/>
      <c r="DF255" s="3">
        <v>1</v>
      </c>
      <c r="EY255" s="127">
        <v>1</v>
      </c>
      <c r="EZ255" s="920"/>
      <c r="FA255" s="1495">
        <f>IF(OR(ISBLANK(ET238),FA238=0),0,ET255*EY239)</f>
        <v>0</v>
      </c>
      <c r="FB255" s="101">
        <f>IFERROR(_xlfn.LET(_xlpm.v,IFERROR(_xlfn.XLOOKUP(EX255,ET275:FC275,ET276:FC276),_xlfn.XLOOKUP(EX255,ET277:FC277,ET278:FC278)),_xlpm.v*EW255*EY255*EY239*IF(ISBLANK(ET255),1,ET255)),0)</f>
        <v>0</v>
      </c>
      <c r="FC255" s="1475" t="str">
        <f>_xlfn.LET(_xlpm.unite,SUBSTITUTE(TRIM(EX255)," (s)",""),_xlpm.val,FB255,_xlpm.estVol,COUNTIF(EW275:FC275,_xlpm.unite)+COUNTIF(EW277:FC277,_xlpm.unite)&gt;0,_xlpm.estPoids,COUNTIF(ET275:EV275,_xlpm.unite)+COUNTIF(ET277:EV277,_xlpm.unite)&gt;0,IF(_xlpm.estVol,IF(ROUND(_xlpm.val,3)&gt;=1,ROUND(_xlpm.val,3)&amp;" L",MAX(1,ROUND(_xlpm.val*100,0))&amp;" cl"),IF(_xlpm.estPoids,IF(ROUND(_xlpm.val,3)&gt;=1,ROUND(_xlpm.val,3)&amp;" Kg",MAX(1,ROUND(_xlpm.val*1000,0))&amp;" g"),"")))</f>
        <v>1 cl</v>
      </c>
      <c r="FE255" s="852" t="s">
        <v>12856</v>
      </c>
      <c r="FH255" s="852" t="s">
        <v>12998</v>
      </c>
      <c r="FI255" s="852" t="s">
        <v>12997</v>
      </c>
    </row>
    <row r="256" spans="2:178" ht="21" customHeight="1">
      <c r="B256" s="952" t="str">
        <f t="shared" si="36"/>
        <v>A</v>
      </c>
      <c r="C256" s="993" cm="1">
        <f t="array" ref="C256">SUMPRODUCT(LEN(D256:J256))</f>
        <v>0</v>
      </c>
      <c r="D256" s="167"/>
      <c r="E256" s="172"/>
      <c r="F256" s="172"/>
      <c r="G256" s="172"/>
      <c r="H256" s="172"/>
      <c r="I256" s="172"/>
      <c r="J256" s="173"/>
      <c r="K256"/>
      <c r="L256" s="104" t="str">
        <f t="shared" si="52"/>
        <v>A</v>
      </c>
      <c r="M256" s="157" t="str">
        <f>M200</f>
        <v>N NOTRE BOUDIN NOIR | | Auteur &gt; Guy KRENZE - Eric GODDYN - Arnaud NICOLAS - CEPROC 2002</v>
      </c>
      <c r="N256" s="157">
        <f>N200</f>
        <v>16.34</v>
      </c>
      <c r="O256" s="158" t="str">
        <f>O200</f>
        <v>Kg</v>
      </c>
      <c r="P256" s="159" t="str">
        <f>P200</f>
        <v>Recette mère ► le Boudin en 4 déclinaisons</v>
      </c>
      <c r="Q256" s="5128">
        <f>IF(ISBLANK(R256),"",LARGE(Q246:Q255,1)+1)</f>
        <v>10</v>
      </c>
      <c r="R256" s="5040" t="s">
        <v>13093</v>
      </c>
      <c r="S256" s="172"/>
      <c r="T256" s="172"/>
      <c r="U256" s="172"/>
      <c r="V256" s="172"/>
      <c r="W256" s="172"/>
      <c r="X256" s="172"/>
      <c r="Y256" s="172"/>
      <c r="Z256" s="555"/>
      <c r="AA256" s="5086"/>
      <c r="AB256" s="104" t="str">
        <f t="shared" si="53"/>
        <v>A</v>
      </c>
      <c r="AC256" s="157" t="str">
        <f>AC200</f>
        <v>O OUR BLACK PUDDING | |  Author &gt; Guy KRENZE - Eric GODDYN - Arnaud NICOLAS - CEPROC 2002</v>
      </c>
      <c r="AD256" s="157">
        <f>AD200</f>
        <v>16.34</v>
      </c>
      <c r="AE256" s="158" t="str">
        <f>AE200</f>
        <v>Kg</v>
      </c>
      <c r="AF256" s="159" t="str">
        <f>AF200</f>
        <v>Master recipe ► Black pudding in 4 variations</v>
      </c>
      <c r="AG256" s="5128">
        <f>IF(ISBLANK(AH256),"",LARGE(AG246:AG255,1)+1)</f>
        <v>10</v>
      </c>
      <c r="AH256" s="5040" t="s">
        <v>13207</v>
      </c>
      <c r="AI256" s="172"/>
      <c r="AJ256" s="172"/>
      <c r="AK256" s="172"/>
      <c r="AL256" s="172"/>
      <c r="AM256" s="172"/>
      <c r="AN256" s="172"/>
      <c r="AO256" s="172"/>
      <c r="AP256" s="555"/>
      <c r="AQ256" s="5086"/>
      <c r="AR256" s="104" t="str">
        <f t="shared" si="54"/>
        <v>A</v>
      </c>
      <c r="AS256" s="157" t="str">
        <f>AS200</f>
        <v>N NUESTRA MORCILLA | | Autor &gt; Guy KRENZE - Eric GODDYN - Arnaud NICOLAS - CEPROC 2002</v>
      </c>
      <c r="AT256" s="157">
        <f>AT200</f>
        <v>16.34</v>
      </c>
      <c r="AU256" s="158" t="str">
        <f>AU200</f>
        <v>Kg</v>
      </c>
      <c r="AV256" s="159" t="str">
        <f>AV200</f>
        <v>Receta madre ► Morcilla en 4 versiones</v>
      </c>
      <c r="AW256" s="5128">
        <f>IF(ISBLANK(AX256),"",LARGE(AW246:AW255,1)+1)</f>
        <v>10</v>
      </c>
      <c r="AX256" s="5040" t="s">
        <v>13223</v>
      </c>
      <c r="AY256" s="172"/>
      <c r="AZ256" s="172"/>
      <c r="BA256" s="172"/>
      <c r="BB256" s="172"/>
      <c r="BC256" s="172"/>
      <c r="BD256" s="172"/>
      <c r="BE256" s="172"/>
      <c r="BF256" s="555"/>
      <c r="BG256" s="5086"/>
      <c r="BH256" s="104"/>
      <c r="BI256" s="32"/>
      <c r="BJ256" s="33"/>
      <c r="BK256" s="32"/>
      <c r="BL256" s="34"/>
      <c r="BM256" s="92"/>
      <c r="BN256" s="108"/>
      <c r="BO256" s="94"/>
      <c r="BP256" s="95"/>
      <c r="BQ256" s="105"/>
      <c r="BR256" s="5101"/>
      <c r="BS256" s="920"/>
      <c r="BT256" s="1495"/>
      <c r="BU256" s="101"/>
      <c r="BV256" s="1475"/>
      <c r="BW256" s="5086"/>
      <c r="BX256" s="104"/>
      <c r="BY256" s="32"/>
      <c r="BZ256" s="33"/>
      <c r="CA256" s="32"/>
      <c r="CB256" s="34"/>
      <c r="CC256" s="92"/>
      <c r="CD256" s="108"/>
      <c r="CE256" s="94"/>
      <c r="CF256" s="95"/>
      <c r="CG256" s="105"/>
      <c r="CH256" s="5101"/>
      <c r="CI256" s="920"/>
      <c r="CJ256" s="1495"/>
      <c r="CK256" s="101"/>
      <c r="CL256" s="1475"/>
      <c r="CM256" s="5086"/>
      <c r="CN256" s="104"/>
      <c r="CO256" s="32"/>
      <c r="CP256" s="33"/>
      <c r="CQ256" s="32"/>
      <c r="CR256" s="34"/>
      <c r="CS256" s="92"/>
      <c r="CT256" s="108"/>
      <c r="CU256" s="94"/>
      <c r="CV256" s="95"/>
      <c r="CW256" s="105"/>
      <c r="CX256" s="5101"/>
      <c r="CY256" s="920"/>
      <c r="CZ256" s="1495"/>
      <c r="DA256" s="101"/>
      <c r="DB256" s="1475"/>
      <c r="DC256" s="5109"/>
      <c r="DD256" s="5082"/>
      <c r="DF256" s="3">
        <v>1</v>
      </c>
      <c r="EY256" s="127">
        <v>1</v>
      </c>
      <c r="EZ256" s="920" t="s">
        <v>12997</v>
      </c>
      <c r="FA256" s="1495">
        <f>IF(OR(ISBLANK(ET238),FA238=0),0,ET256*EY239)</f>
        <v>0</v>
      </c>
      <c r="FB256" s="101">
        <f>IFERROR(_xlfn.LET(_xlpm.v,IFERROR(_xlfn.XLOOKUP(EX256,ET275:FC275,ET276:FC276),_xlfn.XLOOKUP(EX256,ET277:FC277,ET278:FC278)),_xlpm.v*EW256*EY256*EY239*IF(ISBLANK(ET256),1,ET256)),0)</f>
        <v>0</v>
      </c>
      <c r="FC256" s="1476" t="str">
        <f>_xlfn.LET(_xlpm.unite,SUBSTITUTE(TRIM(EX256)," (s)",""),_xlpm.val,FB256,_xlpm.estVol,COUNTIF(EW275:FC275,_xlpm.unite)+COUNTIF(EW277:FC277,_xlpm.unite)&gt;0,_xlpm.estPoids,COUNTIF(ET275:EV275,_xlpm.unite)+COUNTIF(ET277:EV277,_xlpm.unite)&gt;0,IF(_xlpm.estVol,IF(ROUND(_xlpm.val,3)&gt;=1,ROUND(_xlpm.val,3)&amp;" L",MAX(1,ROUND(_xlpm.val*100,0))&amp;" cl"),IF(_xlpm.estPoids,IF(ROUND(_xlpm.val,3)&gt;=1,ROUND(_xlpm.val,3)&amp;" Kg",MAX(1,ROUND(_xlpm.val*1000,0))&amp;" g"),"")))</f>
        <v>1 cl</v>
      </c>
      <c r="FE256" s="852" t="s">
        <v>12848</v>
      </c>
      <c r="FH256" s="852" t="s">
        <v>12952</v>
      </c>
      <c r="FI256" s="852" t="s">
        <v>12953</v>
      </c>
    </row>
    <row r="257" spans="2:165" ht="21" customHeight="1">
      <c r="B257" s="952" t="str">
        <f t="shared" ref="B257:B282" si="55">L257</f>
        <v>A</v>
      </c>
      <c r="C257" s="993" cm="1">
        <f t="array" ref="C257">SUMPRODUCT(LEN(D257:J257))</f>
        <v>0</v>
      </c>
      <c r="D257" s="167"/>
      <c r="E257" s="172"/>
      <c r="F257" s="172"/>
      <c r="G257" s="172"/>
      <c r="H257" s="172"/>
      <c r="I257" s="172"/>
      <c r="J257" s="173"/>
      <c r="K257"/>
      <c r="L257" s="104" t="str">
        <f t="shared" si="52"/>
        <v>A</v>
      </c>
      <c r="M257" s="157" t="str">
        <f>M200</f>
        <v>N NOTRE BOUDIN NOIR | | Auteur &gt; Guy KRENZE - Eric GODDYN - Arnaud NICOLAS - CEPROC 2002</v>
      </c>
      <c r="N257" s="157">
        <f>N200</f>
        <v>16.34</v>
      </c>
      <c r="O257" s="158" t="str">
        <f>O200</f>
        <v>Kg</v>
      </c>
      <c r="P257" s="159" t="str">
        <f>P200</f>
        <v>Recette mère ► le Boudin en 4 déclinaisons</v>
      </c>
      <c r="Q257" s="5128">
        <f>IF(ISBLANK(R257),"",LARGE(Q246:Q256,1)+1)</f>
        <v>11</v>
      </c>
      <c r="R257" s="5040" t="s">
        <v>13094</v>
      </c>
      <c r="S257" s="172"/>
      <c r="T257" s="172"/>
      <c r="U257" s="172"/>
      <c r="V257" s="172"/>
      <c r="W257" s="172"/>
      <c r="X257" s="172"/>
      <c r="Y257" s="172"/>
      <c r="Z257" s="555"/>
      <c r="AA257" s="5086"/>
      <c r="AB257" s="104" t="str">
        <f t="shared" si="53"/>
        <v>A</v>
      </c>
      <c r="AC257" s="157" t="str">
        <f>AC200</f>
        <v>O OUR BLACK PUDDING | |  Author &gt; Guy KRENZE - Eric GODDYN - Arnaud NICOLAS - CEPROC 2002</v>
      </c>
      <c r="AD257" s="157">
        <f>AD200</f>
        <v>16.34</v>
      </c>
      <c r="AE257" s="158" t="str">
        <f>AE200</f>
        <v>Kg</v>
      </c>
      <c r="AF257" s="159" t="str">
        <f>AF200</f>
        <v>Master recipe ► Black pudding in 4 variations</v>
      </c>
      <c r="AG257" s="5128">
        <f>IF(ISBLANK(AH257),"",LARGE(AG246:AG256,1)+1)</f>
        <v>11</v>
      </c>
      <c r="AH257" s="5040" t="s">
        <v>13208</v>
      </c>
      <c r="AI257" s="172"/>
      <c r="AJ257" s="172"/>
      <c r="AK257" s="172"/>
      <c r="AL257" s="172"/>
      <c r="AM257" s="172"/>
      <c r="AN257" s="172"/>
      <c r="AO257" s="172"/>
      <c r="AP257" s="555"/>
      <c r="AQ257" s="5086"/>
      <c r="AR257" s="104" t="str">
        <f t="shared" si="54"/>
        <v>A</v>
      </c>
      <c r="AS257" s="157" t="str">
        <f>AS200</f>
        <v>N NUESTRA MORCILLA | | Autor &gt; Guy KRENZE - Eric GODDYN - Arnaud NICOLAS - CEPROC 2002</v>
      </c>
      <c r="AT257" s="157">
        <f>AT200</f>
        <v>16.34</v>
      </c>
      <c r="AU257" s="158" t="str">
        <f>AU200</f>
        <v>Kg</v>
      </c>
      <c r="AV257" s="159" t="str">
        <f>AV200</f>
        <v>Receta madre ► Morcilla en 4 versiones</v>
      </c>
      <c r="AW257" s="5128">
        <f>IF(ISBLANK(AX257),"",LARGE(AW246:AW256,1)+1)</f>
        <v>11</v>
      </c>
      <c r="AX257" s="5040" t="s">
        <v>13224</v>
      </c>
      <c r="AY257" s="172"/>
      <c r="AZ257" s="172"/>
      <c r="BA257" s="172"/>
      <c r="BB257" s="172"/>
      <c r="BC257" s="172"/>
      <c r="BD257" s="172"/>
      <c r="BE257" s="172"/>
      <c r="BF257" s="555"/>
      <c r="BG257" s="5086"/>
      <c r="BH257" s="104"/>
      <c r="BI257" s="32"/>
      <c r="BJ257" s="33"/>
      <c r="BK257" s="32"/>
      <c r="BL257" s="34"/>
      <c r="BM257" s="92"/>
      <c r="BN257" s="108"/>
      <c r="BO257" s="94"/>
      <c r="BP257" s="95"/>
      <c r="BQ257" s="105"/>
      <c r="BR257" s="5101"/>
      <c r="BS257" s="920"/>
      <c r="BT257" s="1495"/>
      <c r="BU257" s="101"/>
      <c r="BV257" s="1475"/>
      <c r="BW257" s="5086"/>
      <c r="BX257" s="104"/>
      <c r="BY257" s="32"/>
      <c r="BZ257" s="33"/>
      <c r="CA257" s="32"/>
      <c r="CB257" s="34"/>
      <c r="CC257" s="92"/>
      <c r="CD257" s="108"/>
      <c r="CE257" s="94"/>
      <c r="CF257" s="95"/>
      <c r="CG257" s="105"/>
      <c r="CH257" s="5101"/>
      <c r="CI257" s="920"/>
      <c r="CJ257" s="1495"/>
      <c r="CK257" s="101"/>
      <c r="CL257" s="1475"/>
      <c r="CM257" s="5086"/>
      <c r="CN257" s="104"/>
      <c r="CO257" s="32"/>
      <c r="CP257" s="33"/>
      <c r="CQ257" s="32"/>
      <c r="CR257" s="34"/>
      <c r="CS257" s="92"/>
      <c r="CT257" s="108"/>
      <c r="CU257" s="94"/>
      <c r="CV257" s="95"/>
      <c r="CW257" s="105"/>
      <c r="CX257" s="5101"/>
      <c r="CY257" s="920"/>
      <c r="CZ257" s="1495"/>
      <c r="DA257" s="101"/>
      <c r="DB257" s="1475"/>
      <c r="DC257" s="5109"/>
      <c r="DD257" s="5082"/>
      <c r="DF257" s="3">
        <v>1</v>
      </c>
      <c r="EY257" s="127">
        <v>1</v>
      </c>
      <c r="EZ257" s="920" t="s">
        <v>12953</v>
      </c>
      <c r="FA257" s="1495">
        <f>IF(OR(ISBLANK(ET238),FA238=0),0,ET257*EY239)</f>
        <v>0</v>
      </c>
      <c r="FB257" s="101">
        <f>IFERROR(_xlfn.LET(_xlpm.v,IFERROR(_xlfn.XLOOKUP(EX257,ET275:FC275,ET276:FC276),_xlfn.XLOOKUP(EX257,ET277:FC277,ET278:FC278)),_xlpm.v*EW257*EY257*EY239*IF(ISBLANK(ET257),1,ET257)),0)</f>
        <v>0</v>
      </c>
      <c r="FC257" s="1475" t="str">
        <f>_xlfn.LET(_xlpm.unite,SUBSTITUTE(TRIM(EX257)," (s)",""),_xlpm.val,FB257,_xlpm.estVol,COUNTIF(EW275:FC275,_xlpm.unite)+COUNTIF(EW277:FC277,_xlpm.unite)&gt;0,_xlpm.estPoids,COUNTIF(ET275:EV275,_xlpm.unite)+COUNTIF(ET277:EV277,_xlpm.unite)&gt;0,IF(_xlpm.estVol,IF(ROUND(_xlpm.val,3)&gt;=1,ROUND(_xlpm.val,3)&amp;" L",MAX(1,ROUND(_xlpm.val*100,0))&amp;" cl"),IF(_xlpm.estPoids,IF(ROUND(_xlpm.val,3)&gt;=1,ROUND(_xlpm.val,3)&amp;" Kg",MAX(1,ROUND(_xlpm.val*1000,0))&amp;" g"),"")))</f>
        <v>1 cl</v>
      </c>
      <c r="FE257" s="852" t="s">
        <v>12954</v>
      </c>
      <c r="FH257" s="852" t="s">
        <v>12955</v>
      </c>
      <c r="FI257" s="852" t="s">
        <v>12956</v>
      </c>
    </row>
    <row r="258" spans="2:165" ht="21" customHeight="1">
      <c r="B258" s="952" t="str">
        <f t="shared" si="55"/>
        <v>►</v>
      </c>
      <c r="C258" s="993" cm="1">
        <f t="array" ref="C258">SUMPRODUCT(LEN(D258:J258))</f>
        <v>0</v>
      </c>
      <c r="D258" s="167"/>
      <c r="E258" s="172"/>
      <c r="F258" s="172"/>
      <c r="G258" s="172"/>
      <c r="H258" s="172"/>
      <c r="I258" s="172"/>
      <c r="J258" s="173"/>
      <c r="K258"/>
      <c r="L258" s="104" t="str">
        <f t="shared" si="52"/>
        <v>►</v>
      </c>
      <c r="M258" s="157" t="str">
        <f>M200</f>
        <v>N NOTRE BOUDIN NOIR | | Auteur &gt; Guy KRENZE - Eric GODDYN - Arnaud NICOLAS - CEPROC 2002</v>
      </c>
      <c r="N258" s="157">
        <f>N200</f>
        <v>16.34</v>
      </c>
      <c r="O258" s="158" t="str">
        <f>O200</f>
        <v>Kg</v>
      </c>
      <c r="P258" s="159" t="str">
        <f>P200</f>
        <v>Recette mère ► le Boudin en 4 déclinaisons</v>
      </c>
      <c r="Q258" s="5128" t="str">
        <f>IF(ISBLANK(R258),"",LARGE(Q246:Q257,1)+1)</f>
        <v/>
      </c>
      <c r="R258" s="5040"/>
      <c r="S258" s="172"/>
      <c r="T258" s="172"/>
      <c r="U258" s="172"/>
      <c r="V258" s="172"/>
      <c r="W258" s="5179"/>
      <c r="X258" s="172"/>
      <c r="Y258" s="172"/>
      <c r="Z258" s="555"/>
      <c r="AA258" s="5086"/>
      <c r="AB258" s="104" t="str">
        <f t="shared" si="53"/>
        <v>►</v>
      </c>
      <c r="AC258" s="157" t="str">
        <f>AC200</f>
        <v>O OUR BLACK PUDDING | |  Author &gt; Guy KRENZE - Eric GODDYN - Arnaud NICOLAS - CEPROC 2002</v>
      </c>
      <c r="AD258" s="157">
        <f>AD200</f>
        <v>16.34</v>
      </c>
      <c r="AE258" s="158" t="str">
        <f>AE200</f>
        <v>Kg</v>
      </c>
      <c r="AF258" s="159" t="str">
        <f>AF200</f>
        <v>Master recipe ► Black pudding in 4 variations</v>
      </c>
      <c r="AG258" s="5128" t="str">
        <f>IF(ISBLANK(AH258),"",LARGE(AG246:AG257,1)+1)</f>
        <v/>
      </c>
      <c r="AH258" s="5040"/>
      <c r="AI258" s="172"/>
      <c r="AJ258" s="172"/>
      <c r="AK258" s="172"/>
      <c r="AL258" s="172"/>
      <c r="AM258" s="5179"/>
      <c r="AN258" s="172"/>
      <c r="AO258" s="172"/>
      <c r="AP258" s="555"/>
      <c r="AQ258" s="5086"/>
      <c r="AR258" s="104" t="str">
        <f t="shared" si="54"/>
        <v>►</v>
      </c>
      <c r="AS258" s="157" t="str">
        <f>AS200</f>
        <v>N NUESTRA MORCILLA | | Autor &gt; Guy KRENZE - Eric GODDYN - Arnaud NICOLAS - CEPROC 2002</v>
      </c>
      <c r="AT258" s="157">
        <f>AT200</f>
        <v>16.34</v>
      </c>
      <c r="AU258" s="158" t="str">
        <f>AU200</f>
        <v>Kg</v>
      </c>
      <c r="AV258" s="159" t="str">
        <f>AV200</f>
        <v>Receta madre ► Morcilla en 4 versiones</v>
      </c>
      <c r="AW258" s="5128" t="str">
        <f>IF(ISBLANK(AX258),"",LARGE(AW246:AW257,1)+1)</f>
        <v/>
      </c>
      <c r="AX258" s="5040"/>
      <c r="AY258" s="172"/>
      <c r="AZ258" s="172"/>
      <c r="BA258" s="172"/>
      <c r="BB258" s="172"/>
      <c r="BC258" s="5179"/>
      <c r="BD258" s="172"/>
      <c r="BE258" s="172"/>
      <c r="BF258" s="555"/>
      <c r="BG258" s="5086"/>
      <c r="BH258" s="104"/>
      <c r="BI258" s="32"/>
      <c r="BJ258" s="33"/>
      <c r="BK258" s="32"/>
      <c r="BL258" s="34"/>
      <c r="BM258" s="92"/>
      <c r="BN258" s="108"/>
      <c r="BO258" s="94"/>
      <c r="BP258" s="95"/>
      <c r="BQ258" s="105"/>
      <c r="BR258" s="5101"/>
      <c r="BS258" s="920"/>
      <c r="BT258" s="1495"/>
      <c r="BU258" s="101"/>
      <c r="BV258" s="1475"/>
      <c r="BW258" s="5086"/>
      <c r="BX258" s="104"/>
      <c r="BY258" s="32"/>
      <c r="BZ258" s="33"/>
      <c r="CA258" s="32"/>
      <c r="CB258" s="34"/>
      <c r="CC258" s="92"/>
      <c r="CD258" s="108"/>
      <c r="CE258" s="94"/>
      <c r="CF258" s="95"/>
      <c r="CG258" s="105"/>
      <c r="CH258" s="5101"/>
      <c r="CI258" s="920"/>
      <c r="CJ258" s="1495"/>
      <c r="CK258" s="101"/>
      <c r="CL258" s="1475"/>
      <c r="CM258" s="5086"/>
      <c r="CN258" s="104"/>
      <c r="CO258" s="32"/>
      <c r="CP258" s="33"/>
      <c r="CQ258" s="32"/>
      <c r="CR258" s="34"/>
      <c r="CS258" s="92"/>
      <c r="CT258" s="108"/>
      <c r="CU258" s="94"/>
      <c r="CV258" s="95"/>
      <c r="CW258" s="105"/>
      <c r="CX258" s="5101"/>
      <c r="CY258" s="920"/>
      <c r="CZ258" s="1495"/>
      <c r="DA258" s="101"/>
      <c r="DB258" s="1475"/>
      <c r="DC258" s="5109"/>
      <c r="DD258" s="5082"/>
      <c r="DF258" s="3">
        <v>1</v>
      </c>
      <c r="EY258" s="127">
        <v>1</v>
      </c>
      <c r="EZ258" s="920" t="s">
        <v>12956</v>
      </c>
      <c r="FA258" s="1495">
        <f>IF(OR(ISBLANK(ET238),FA238=0),0,ET258*EY239)</f>
        <v>0</v>
      </c>
      <c r="FB258" s="101">
        <f>IFERROR(_xlfn.LET(_xlpm.v,IFERROR(_xlfn.XLOOKUP(EX258,ET275:FC275,ET276:FC276),_xlfn.XLOOKUP(EX258,ET277:FC277,ET278:FC278)),_xlpm.v*EW258*EY258*EY239*IF(ISBLANK(ET258),1,ET258)),0)</f>
        <v>0</v>
      </c>
      <c r="FC258" s="1476" t="str">
        <f>_xlfn.LET(_xlpm.unite,SUBSTITUTE(TRIM(EX258)," (s)",""),_xlpm.val,FB258,_xlpm.estVol,COUNTIF(EW275:FC275,_xlpm.unite)+COUNTIF(EW277:FC277,_xlpm.unite)&gt;0,_xlpm.estPoids,COUNTIF(ET275:EV275,_xlpm.unite)+COUNTIF(ET277:EV277,_xlpm.unite)&gt;0,IF(_xlpm.estVol,IF(ROUND(_xlpm.val,3)&gt;=1,ROUND(_xlpm.val,3)&amp;" L",MAX(1,ROUND(_xlpm.val*100,0))&amp;" cl"),IF(_xlpm.estPoids,IF(ROUND(_xlpm.val,3)&gt;=1,ROUND(_xlpm.val,3)&amp;" Kg",MAX(1,ROUND(_xlpm.val*1000,0))&amp;" g"),"")))</f>
        <v>1 cl</v>
      </c>
      <c r="FE258" s="852" t="s">
        <v>12850</v>
      </c>
      <c r="FH258" s="852" t="s">
        <v>12957</v>
      </c>
      <c r="FI258" s="852" t="s">
        <v>12958</v>
      </c>
    </row>
    <row r="259" spans="2:165" ht="21" customHeight="1">
      <c r="B259" s="952" t="str">
        <f t="shared" si="55"/>
        <v>►</v>
      </c>
      <c r="C259" s="993" cm="1">
        <f t="array" ref="C259">SUMPRODUCT(LEN(D259:J259))</f>
        <v>0</v>
      </c>
      <c r="D259" s="167"/>
      <c r="E259" s="172"/>
      <c r="F259" s="172"/>
      <c r="G259" s="172"/>
      <c r="H259" s="172"/>
      <c r="I259" s="172"/>
      <c r="J259" s="173"/>
      <c r="K259"/>
      <c r="L259" s="104" t="str">
        <f t="shared" si="52"/>
        <v>►</v>
      </c>
      <c r="M259" s="157" t="str">
        <f>M200</f>
        <v>N NOTRE BOUDIN NOIR | | Auteur &gt; Guy KRENZE - Eric GODDYN - Arnaud NICOLAS - CEPROC 2002</v>
      </c>
      <c r="N259" s="157">
        <f>N200</f>
        <v>16.34</v>
      </c>
      <c r="O259" s="158" t="str">
        <f>O200</f>
        <v>Kg</v>
      </c>
      <c r="P259" s="159" t="str">
        <f>P200</f>
        <v>Recette mère ► le Boudin en 4 déclinaisons</v>
      </c>
      <c r="Q259" s="5128" t="str">
        <f>IF(ISBLANK(R259),"",LARGE(Q246:Q258,1)+1)</f>
        <v/>
      </c>
      <c r="R259" s="5040"/>
      <c r="S259" s="172"/>
      <c r="T259" s="172"/>
      <c r="U259" s="172"/>
      <c r="V259" s="172"/>
      <c r="W259" s="172"/>
      <c r="X259" s="172"/>
      <c r="Y259" s="172"/>
      <c r="Z259" s="555"/>
      <c r="AA259" s="5086"/>
      <c r="AB259" s="104" t="str">
        <f t="shared" si="53"/>
        <v>►</v>
      </c>
      <c r="AC259" s="157" t="str">
        <f>AC200</f>
        <v>O OUR BLACK PUDDING | |  Author &gt; Guy KRENZE - Eric GODDYN - Arnaud NICOLAS - CEPROC 2002</v>
      </c>
      <c r="AD259" s="157">
        <f>AD200</f>
        <v>16.34</v>
      </c>
      <c r="AE259" s="158" t="str">
        <f>AE200</f>
        <v>Kg</v>
      </c>
      <c r="AF259" s="159" t="str">
        <f>AF200</f>
        <v>Master recipe ► Black pudding in 4 variations</v>
      </c>
      <c r="AG259" s="5128" t="str">
        <f>IF(ISBLANK(AH259),"",LARGE(AG246:AG258,1)+1)</f>
        <v/>
      </c>
      <c r="AH259" s="5040"/>
      <c r="AI259" s="172"/>
      <c r="AJ259" s="172"/>
      <c r="AK259" s="172"/>
      <c r="AL259" s="172"/>
      <c r="AM259" s="172"/>
      <c r="AN259" s="172"/>
      <c r="AO259" s="172"/>
      <c r="AP259" s="555"/>
      <c r="AQ259" s="5086"/>
      <c r="AR259" s="104" t="str">
        <f t="shared" si="54"/>
        <v>►</v>
      </c>
      <c r="AS259" s="157" t="str">
        <f>AS200</f>
        <v>N NUESTRA MORCILLA | | Autor &gt; Guy KRENZE - Eric GODDYN - Arnaud NICOLAS - CEPROC 2002</v>
      </c>
      <c r="AT259" s="157">
        <f>AT200</f>
        <v>16.34</v>
      </c>
      <c r="AU259" s="158" t="str">
        <f>AU200</f>
        <v>Kg</v>
      </c>
      <c r="AV259" s="159" t="str">
        <f>AV200</f>
        <v>Receta madre ► Morcilla en 4 versiones</v>
      </c>
      <c r="AW259" s="5128" t="str">
        <f>IF(ISBLANK(AX259),"",LARGE(AW246:AW258,1)+1)</f>
        <v/>
      </c>
      <c r="AX259" s="5040"/>
      <c r="AY259" s="172"/>
      <c r="AZ259" s="172"/>
      <c r="BA259" s="172"/>
      <c r="BB259" s="172"/>
      <c r="BC259" s="172"/>
      <c r="BD259" s="172"/>
      <c r="BE259" s="172"/>
      <c r="BF259" s="555"/>
      <c r="BG259" s="5086"/>
      <c r="BH259" s="104"/>
      <c r="BI259" s="32"/>
      <c r="BJ259" s="33"/>
      <c r="BK259" s="32"/>
      <c r="BL259" s="34"/>
      <c r="BM259" s="92"/>
      <c r="BN259" s="108"/>
      <c r="BO259" s="94"/>
      <c r="BP259" s="95"/>
      <c r="BQ259" s="105"/>
      <c r="BR259" s="5101"/>
      <c r="BS259" s="920"/>
      <c r="BT259" s="1495"/>
      <c r="BU259" s="101"/>
      <c r="BV259" s="1475"/>
      <c r="BW259" s="5086"/>
      <c r="BX259" s="104"/>
      <c r="BY259" s="32"/>
      <c r="BZ259" s="33"/>
      <c r="CA259" s="32"/>
      <c r="CB259" s="34"/>
      <c r="CC259" s="92"/>
      <c r="CD259" s="108"/>
      <c r="CE259" s="94"/>
      <c r="CF259" s="95"/>
      <c r="CG259" s="105"/>
      <c r="CH259" s="5101"/>
      <c r="CI259" s="920"/>
      <c r="CJ259" s="1495"/>
      <c r="CK259" s="101"/>
      <c r="CL259" s="1475"/>
      <c r="CM259" s="5086"/>
      <c r="CN259" s="104"/>
      <c r="CO259" s="32"/>
      <c r="CP259" s="33"/>
      <c r="CQ259" s="32"/>
      <c r="CR259" s="34"/>
      <c r="CS259" s="92"/>
      <c r="CT259" s="108"/>
      <c r="CU259" s="94"/>
      <c r="CV259" s="95"/>
      <c r="CW259" s="105"/>
      <c r="CX259" s="5101"/>
      <c r="CY259" s="920"/>
      <c r="CZ259" s="1495"/>
      <c r="DA259" s="101"/>
      <c r="DB259" s="1475"/>
      <c r="DC259" s="5109"/>
      <c r="DD259" s="5067"/>
      <c r="DF259" s="3">
        <v>1</v>
      </c>
      <c r="EY259" s="127">
        <v>1</v>
      </c>
      <c r="EZ259" s="920" t="s">
        <v>12958</v>
      </c>
      <c r="FA259" s="1495">
        <f>IF(OR(ISBLANK(ET238),FA238=0),0,ET259*EY239)</f>
        <v>0</v>
      </c>
      <c r="FB259" s="101">
        <f>IFERROR(_xlfn.LET(_xlpm.v,IFERROR(_xlfn.XLOOKUP(EX259,ET275:FC275,ET276:FC276),_xlfn.XLOOKUP(EX259,ET277:FC277,ET278:FC278)),_xlpm.v*EW259*EY259*EY239*IF(ISBLANK(ET259),1,ET259)),0)</f>
        <v>0</v>
      </c>
      <c r="FC259" s="1475" t="str">
        <f>_xlfn.LET(_xlpm.unite,SUBSTITUTE(TRIM(EX259)," (s)",""),_xlpm.val,FB259,_xlpm.estVol,COUNTIF(EW275:FC275,_xlpm.unite)+COUNTIF(EW277:FC277,_xlpm.unite)&gt;0,_xlpm.estPoids,COUNTIF(ET275:EV275,_xlpm.unite)+COUNTIF(ET277:EV277,_xlpm.unite)&gt;0,IF(_xlpm.estVol,IF(ROUND(_xlpm.val,3)&gt;=1,ROUND(_xlpm.val,3)&amp;" L",MAX(1,ROUND(_xlpm.val*100,0))&amp;" cl"),IF(_xlpm.estPoids,IF(ROUND(_xlpm.val,3)&gt;=1,ROUND(_xlpm.val,3)&amp;" Kg",MAX(1,ROUND(_xlpm.val*1000,0))&amp;" g"),"")))</f>
        <v>1 cl</v>
      </c>
      <c r="FE259" s="852" t="s">
        <v>12831</v>
      </c>
      <c r="FH259" s="852" t="s">
        <v>12891</v>
      </c>
      <c r="FI259" s="852" t="s">
        <v>12892</v>
      </c>
    </row>
    <row r="260" spans="2:165" ht="21" customHeight="1">
      <c r="B260" s="952" t="str">
        <f t="shared" si="55"/>
        <v>►</v>
      </c>
      <c r="C260" s="993" cm="1">
        <f t="array" ref="C260">SUMPRODUCT(LEN(D260:J260))</f>
        <v>0</v>
      </c>
      <c r="D260" s="167"/>
      <c r="E260" s="172"/>
      <c r="F260" s="172"/>
      <c r="G260" s="172"/>
      <c r="H260" s="172"/>
      <c r="I260" s="172"/>
      <c r="J260" s="173"/>
      <c r="K260"/>
      <c r="L260" s="104" t="str">
        <f t="shared" si="52"/>
        <v>►</v>
      </c>
      <c r="M260" s="157" t="str">
        <f>M200</f>
        <v>N NOTRE BOUDIN NOIR | | Auteur &gt; Guy KRENZE - Eric GODDYN - Arnaud NICOLAS - CEPROC 2002</v>
      </c>
      <c r="N260" s="157">
        <f>N200</f>
        <v>16.34</v>
      </c>
      <c r="O260" s="158" t="str">
        <f>O200</f>
        <v>Kg</v>
      </c>
      <c r="P260" s="159" t="str">
        <f>P200</f>
        <v>Recette mère ► le Boudin en 4 déclinaisons</v>
      </c>
      <c r="Q260" s="5128" t="str">
        <f>IF(ISBLANK(R260),"",LARGE(Q246:Q259,1)+1)</f>
        <v/>
      </c>
      <c r="R260" s="5040"/>
      <c r="S260" s="172"/>
      <c r="T260" s="172"/>
      <c r="U260" s="172"/>
      <c r="V260" s="172"/>
      <c r="W260" s="172"/>
      <c r="X260" s="172"/>
      <c r="Y260" s="172"/>
      <c r="Z260" s="555"/>
      <c r="AA260" s="5086"/>
      <c r="AB260" s="104" t="str">
        <f t="shared" si="53"/>
        <v>►</v>
      </c>
      <c r="AC260" s="157" t="str">
        <f>AC200</f>
        <v>O OUR BLACK PUDDING | |  Author &gt; Guy KRENZE - Eric GODDYN - Arnaud NICOLAS - CEPROC 2002</v>
      </c>
      <c r="AD260" s="157">
        <f>AD200</f>
        <v>16.34</v>
      </c>
      <c r="AE260" s="158" t="str">
        <f>AE200</f>
        <v>Kg</v>
      </c>
      <c r="AF260" s="159" t="str">
        <f>AF200</f>
        <v>Master recipe ► Black pudding in 4 variations</v>
      </c>
      <c r="AG260" s="5128" t="str">
        <f>IF(ISBLANK(AH260),"",LARGE(AG246:AG259,1)+1)</f>
        <v/>
      </c>
      <c r="AH260" s="5040"/>
      <c r="AI260" s="172"/>
      <c r="AJ260" s="172"/>
      <c r="AK260" s="172"/>
      <c r="AL260" s="172"/>
      <c r="AM260" s="172"/>
      <c r="AN260" s="172"/>
      <c r="AO260" s="172"/>
      <c r="AP260" s="555"/>
      <c r="AQ260" s="5086"/>
      <c r="AR260" s="104" t="str">
        <f t="shared" si="54"/>
        <v>►</v>
      </c>
      <c r="AS260" s="157" t="str">
        <f>AS200</f>
        <v>N NUESTRA MORCILLA | | Autor &gt; Guy KRENZE - Eric GODDYN - Arnaud NICOLAS - CEPROC 2002</v>
      </c>
      <c r="AT260" s="157">
        <f>AT200</f>
        <v>16.34</v>
      </c>
      <c r="AU260" s="158" t="str">
        <f>AU200</f>
        <v>Kg</v>
      </c>
      <c r="AV260" s="159" t="str">
        <f>AV200</f>
        <v>Receta madre ► Morcilla en 4 versiones</v>
      </c>
      <c r="AW260" s="5128" t="str">
        <f>IF(ISBLANK(AX260),"",LARGE(AW246:AW259,1)+1)</f>
        <v/>
      </c>
      <c r="AX260" s="5040"/>
      <c r="AY260" s="172"/>
      <c r="AZ260" s="172"/>
      <c r="BA260" s="172"/>
      <c r="BB260" s="172"/>
      <c r="BC260" s="172"/>
      <c r="BD260" s="172"/>
      <c r="BE260" s="172"/>
      <c r="BF260" s="555"/>
      <c r="BG260" s="5086"/>
      <c r="BH260" s="104"/>
      <c r="BI260" s="32"/>
      <c r="BJ260" s="33"/>
      <c r="BK260" s="32"/>
      <c r="BL260" s="34"/>
      <c r="BM260" s="92"/>
      <c r="BN260" s="108"/>
      <c r="BO260" s="94"/>
      <c r="BP260" s="95"/>
      <c r="BQ260" s="105"/>
      <c r="BR260" s="5101"/>
      <c r="BS260" s="920"/>
      <c r="BT260" s="1495"/>
      <c r="BU260" s="101"/>
      <c r="BV260" s="1475"/>
      <c r="BW260" s="5086"/>
      <c r="BX260" s="104"/>
      <c r="BY260" s="32"/>
      <c r="BZ260" s="33"/>
      <c r="CA260" s="32"/>
      <c r="CB260" s="34"/>
      <c r="CC260" s="92"/>
      <c r="CD260" s="108"/>
      <c r="CE260" s="94"/>
      <c r="CF260" s="95"/>
      <c r="CG260" s="105"/>
      <c r="CH260" s="5101"/>
      <c r="CI260" s="920"/>
      <c r="CJ260" s="1495"/>
      <c r="CK260" s="101"/>
      <c r="CL260" s="1475"/>
      <c r="CM260" s="5086"/>
      <c r="CN260" s="104"/>
      <c r="CO260" s="32"/>
      <c r="CP260" s="33"/>
      <c r="CQ260" s="32"/>
      <c r="CR260" s="34"/>
      <c r="CS260" s="92"/>
      <c r="CT260" s="108"/>
      <c r="CU260" s="94"/>
      <c r="CV260" s="95"/>
      <c r="CW260" s="105"/>
      <c r="CX260" s="5101"/>
      <c r="CY260" s="920"/>
      <c r="CZ260" s="1495"/>
      <c r="DA260" s="101"/>
      <c r="DB260" s="1475"/>
      <c r="DC260" s="5109"/>
      <c r="DD260" s="5086"/>
      <c r="DF260" s="3">
        <v>1</v>
      </c>
      <c r="EY260" s="127">
        <v>1</v>
      </c>
      <c r="EZ260" s="920" t="s">
        <v>12892</v>
      </c>
      <c r="FA260" s="1495">
        <f>IF(OR(ISBLANK(ET238),FA238=0),0,ET260*EY239)</f>
        <v>0</v>
      </c>
      <c r="FB260" s="101">
        <f>IFERROR(_xlfn.LET(_xlpm.v,IFERROR(_xlfn.XLOOKUP(EX260,ET275:FC275,ET276:FC276),_xlfn.XLOOKUP(EX260,ET277:FC277,ET278:FC278)),_xlpm.v*EW260*EY260*EY239*IF(ISBLANK(ET260),1,ET260)),0)</f>
        <v>0</v>
      </c>
      <c r="FC260" s="1476" t="str">
        <f>_xlfn.LET(_xlpm.unite,SUBSTITUTE(TRIM(EX260)," (s)",""),_xlpm.val,FB260,_xlpm.estVol,COUNTIF(EW275:FC275,_xlpm.unite)+COUNTIF(EW277:FC277,_xlpm.unite)&gt;0,_xlpm.estPoids,COUNTIF(ET275:EV275,_xlpm.unite)+COUNTIF(ET277:EV277,_xlpm.unite)&gt;0,IF(_xlpm.estVol,IF(ROUND(_xlpm.val,3)&gt;=1,ROUND(_xlpm.val,3)&amp;" L",MAX(1,ROUND(_xlpm.val*100,0))&amp;" cl"),IF(_xlpm.estPoids,IF(ROUND(_xlpm.val,3)&gt;=1,ROUND(_xlpm.val,3)&amp;" Kg",MAX(1,ROUND(_xlpm.val*1000,0))&amp;" g"),"")))</f>
        <v>1 cl</v>
      </c>
      <c r="FE260" s="852" t="s">
        <v>12851</v>
      </c>
      <c r="FH260" s="852" t="s">
        <v>12959</v>
      </c>
      <c r="FI260" s="852" t="s">
        <v>12960</v>
      </c>
    </row>
    <row r="261" spans="2:165" ht="21" customHeight="1">
      <c r="B261" s="952" t="str">
        <f t="shared" si="55"/>
        <v>►</v>
      </c>
      <c r="C261" s="993" cm="1">
        <f t="array" ref="C261">SUMPRODUCT(LEN(D261:J261))</f>
        <v>0</v>
      </c>
      <c r="D261" s="167"/>
      <c r="E261" s="172"/>
      <c r="F261" s="172"/>
      <c r="G261" s="172"/>
      <c r="H261" s="172"/>
      <c r="I261" s="172"/>
      <c r="J261" s="173"/>
      <c r="K261"/>
      <c r="L261" s="104" t="str">
        <f t="shared" si="52"/>
        <v>►</v>
      </c>
      <c r="M261" s="157" t="str">
        <f>M200</f>
        <v>N NOTRE BOUDIN NOIR | | Auteur &gt; Guy KRENZE - Eric GODDYN - Arnaud NICOLAS - CEPROC 2002</v>
      </c>
      <c r="N261" s="157">
        <f>N200</f>
        <v>16.34</v>
      </c>
      <c r="O261" s="158" t="str">
        <f>O200</f>
        <v>Kg</v>
      </c>
      <c r="P261" s="159" t="str">
        <f>P200</f>
        <v>Recette mère ► le Boudin en 4 déclinaisons</v>
      </c>
      <c r="Q261" s="5128" t="str">
        <f>IF(ISBLANK(R261),"",LARGE(Q246:Q260,1)+1)</f>
        <v/>
      </c>
      <c r="R261" s="5040"/>
      <c r="S261" s="172"/>
      <c r="T261" s="172"/>
      <c r="U261" s="172"/>
      <c r="V261" s="172"/>
      <c r="W261" s="172"/>
      <c r="X261" s="172"/>
      <c r="Y261" s="172"/>
      <c r="Z261" s="555"/>
      <c r="AA261" s="5086"/>
      <c r="AB261" s="104" t="str">
        <f t="shared" si="53"/>
        <v>►</v>
      </c>
      <c r="AC261" s="157" t="str">
        <f>AC200</f>
        <v>O OUR BLACK PUDDING | |  Author &gt; Guy KRENZE - Eric GODDYN - Arnaud NICOLAS - CEPROC 2002</v>
      </c>
      <c r="AD261" s="157">
        <f>AD200</f>
        <v>16.34</v>
      </c>
      <c r="AE261" s="158" t="str">
        <f>AE200</f>
        <v>Kg</v>
      </c>
      <c r="AF261" s="159" t="str">
        <f>AF200</f>
        <v>Master recipe ► Black pudding in 4 variations</v>
      </c>
      <c r="AG261" s="5128" t="str">
        <f>IF(ISBLANK(AH261),"",LARGE(AG246:AG260,1)+1)</f>
        <v/>
      </c>
      <c r="AH261" s="5040"/>
      <c r="AI261" s="172"/>
      <c r="AJ261" s="172"/>
      <c r="AK261" s="172"/>
      <c r="AL261" s="172"/>
      <c r="AM261" s="172"/>
      <c r="AN261" s="172"/>
      <c r="AO261" s="172"/>
      <c r="AP261" s="555"/>
      <c r="AQ261" s="5086"/>
      <c r="AR261" s="104" t="str">
        <f t="shared" si="54"/>
        <v>►</v>
      </c>
      <c r="AS261" s="157" t="str">
        <f>AS200</f>
        <v>N NUESTRA MORCILLA | | Autor &gt; Guy KRENZE - Eric GODDYN - Arnaud NICOLAS - CEPROC 2002</v>
      </c>
      <c r="AT261" s="157">
        <f>AT200</f>
        <v>16.34</v>
      </c>
      <c r="AU261" s="158" t="str">
        <f>AU200</f>
        <v>Kg</v>
      </c>
      <c r="AV261" s="159" t="str">
        <f>AV200</f>
        <v>Receta madre ► Morcilla en 4 versiones</v>
      </c>
      <c r="AW261" s="5128" t="str">
        <f>IF(ISBLANK(AX261),"",LARGE(AW246:AW260,1)+1)</f>
        <v/>
      </c>
      <c r="AX261" s="5040"/>
      <c r="AY261" s="172"/>
      <c r="AZ261" s="172"/>
      <c r="BA261" s="172"/>
      <c r="BB261" s="172"/>
      <c r="BC261" s="172"/>
      <c r="BD261" s="172"/>
      <c r="BE261" s="172"/>
      <c r="BF261" s="555"/>
      <c r="BG261" s="5086"/>
      <c r="BH261" s="104"/>
      <c r="BI261" s="32"/>
      <c r="BJ261" s="33"/>
      <c r="BK261" s="32"/>
      <c r="BL261" s="34"/>
      <c r="BM261" s="92"/>
      <c r="BN261" s="108"/>
      <c r="BO261" s="94"/>
      <c r="BP261" s="95"/>
      <c r="BQ261" s="105"/>
      <c r="BR261" s="5101"/>
      <c r="BS261" s="920"/>
      <c r="BT261" s="1495"/>
      <c r="BU261" s="101"/>
      <c r="BV261" s="1475"/>
      <c r="BW261" s="5086"/>
      <c r="BX261" s="104"/>
      <c r="BY261" s="32"/>
      <c r="BZ261" s="33"/>
      <c r="CA261" s="32"/>
      <c r="CB261" s="34"/>
      <c r="CC261" s="92"/>
      <c r="CD261" s="108"/>
      <c r="CE261" s="94"/>
      <c r="CF261" s="95"/>
      <c r="CG261" s="105"/>
      <c r="CH261" s="5101"/>
      <c r="CI261" s="920"/>
      <c r="CJ261" s="1495"/>
      <c r="CK261" s="101"/>
      <c r="CL261" s="1475"/>
      <c r="CM261" s="5086"/>
      <c r="CN261" s="104"/>
      <c r="CO261" s="32"/>
      <c r="CP261" s="33"/>
      <c r="CQ261" s="32"/>
      <c r="CR261" s="34"/>
      <c r="CS261" s="92"/>
      <c r="CT261" s="108"/>
      <c r="CU261" s="94"/>
      <c r="CV261" s="95"/>
      <c r="CW261" s="105"/>
      <c r="CX261" s="5101"/>
      <c r="CY261" s="920"/>
      <c r="CZ261" s="1495"/>
      <c r="DA261" s="101"/>
      <c r="DB261" s="1475"/>
      <c r="DC261" s="5109"/>
      <c r="DD261" s="5081"/>
      <c r="DF261" s="3">
        <v>1</v>
      </c>
      <c r="EY261" s="127">
        <v>1</v>
      </c>
      <c r="EZ261" s="920" t="s">
        <v>12960</v>
      </c>
      <c r="FA261" s="1495">
        <f>IF(OR(ISBLANK(ET238),FA238=0),0,ET261*EY239)</f>
        <v>0</v>
      </c>
      <c r="FB261" s="101">
        <f>IFERROR(_xlfn.LET(_xlpm.v,IFERROR(_xlfn.XLOOKUP(EX261,ET275:FC275,ET276:FC276),_xlfn.XLOOKUP(EX261,ET277:FC277,ET278:FC278)),_xlpm.v*EW261*EY261*EY239*IF(ISBLANK(ET261),1,ET261)),0)</f>
        <v>0</v>
      </c>
      <c r="FC261" s="1475" t="str">
        <f>_xlfn.LET(_xlpm.unite,SUBSTITUTE(TRIM(EX261)," (s)",""),_xlpm.val,FB261,_xlpm.estVol,COUNTIF(EW275:FC275,_xlpm.unite)+COUNTIF(EW277:FC277,_xlpm.unite)&gt;0,_xlpm.estPoids,COUNTIF(ET275:EV275,_xlpm.unite)+COUNTIF(ET277:EV277,_xlpm.unite)&gt;0,IF(_xlpm.estVol,IF(ROUND(_xlpm.val,3)&gt;=1,ROUND(_xlpm.val,3)&amp;" L",MAX(1,ROUND(_xlpm.val*100,0))&amp;" cl"),IF(_xlpm.estPoids,IF(ROUND(_xlpm.val,3)&gt;=1,ROUND(_xlpm.val,3)&amp;" Kg",MAX(1,ROUND(_xlpm.val*1000,0))&amp;" g"),"")))</f>
        <v>1 cl</v>
      </c>
      <c r="FE261" s="852" t="s">
        <v>12852</v>
      </c>
      <c r="FH261" s="852" t="s">
        <v>12961</v>
      </c>
      <c r="FI261" s="852" t="s">
        <v>12962</v>
      </c>
    </row>
    <row r="262" spans="2:165" ht="21" customHeight="1">
      <c r="B262" s="952" t="str">
        <f t="shared" si="55"/>
        <v>►</v>
      </c>
      <c r="C262" s="993" cm="1">
        <f t="array" ref="C262">SUMPRODUCT(LEN(D262:J262))</f>
        <v>0</v>
      </c>
      <c r="D262" s="167"/>
      <c r="E262" s="172"/>
      <c r="F262" s="172"/>
      <c r="G262" s="172"/>
      <c r="H262" s="172"/>
      <c r="I262" s="172"/>
      <c r="J262" s="173"/>
      <c r="K262"/>
      <c r="L262" s="104" t="str">
        <f t="shared" si="52"/>
        <v>►</v>
      </c>
      <c r="M262" s="157" t="str">
        <f>M200</f>
        <v>N NOTRE BOUDIN NOIR | | Auteur &gt; Guy KRENZE - Eric GODDYN - Arnaud NICOLAS - CEPROC 2002</v>
      </c>
      <c r="N262" s="157">
        <f>N200</f>
        <v>16.34</v>
      </c>
      <c r="O262" s="158" t="str">
        <f>O200</f>
        <v>Kg</v>
      </c>
      <c r="P262" s="159" t="str">
        <f>P200</f>
        <v>Recette mère ► le Boudin en 4 déclinaisons</v>
      </c>
      <c r="Q262" s="5128" t="str">
        <f>IF(ISBLANK(R262),"",LARGE(Q246:Q261,1)+1)</f>
        <v/>
      </c>
      <c r="R262" s="5040"/>
      <c r="S262" s="172"/>
      <c r="T262" s="172"/>
      <c r="U262" s="172"/>
      <c r="V262" s="172"/>
      <c r="W262" s="172"/>
      <c r="X262" s="172"/>
      <c r="Y262" s="172"/>
      <c r="Z262" s="555"/>
      <c r="AA262" s="5086"/>
      <c r="AB262" s="104" t="str">
        <f t="shared" si="53"/>
        <v>►</v>
      </c>
      <c r="AC262" s="157" t="str">
        <f>AC200</f>
        <v>O OUR BLACK PUDDING | |  Author &gt; Guy KRENZE - Eric GODDYN - Arnaud NICOLAS - CEPROC 2002</v>
      </c>
      <c r="AD262" s="157">
        <f>AD200</f>
        <v>16.34</v>
      </c>
      <c r="AE262" s="158" t="str">
        <f>AE200</f>
        <v>Kg</v>
      </c>
      <c r="AF262" s="159" t="str">
        <f>AF200</f>
        <v>Master recipe ► Black pudding in 4 variations</v>
      </c>
      <c r="AG262" s="5128" t="str">
        <f>IF(ISBLANK(AH262),"",LARGE(AG246:AG261,1)+1)</f>
        <v/>
      </c>
      <c r="AH262" s="5040"/>
      <c r="AI262" s="172"/>
      <c r="AJ262" s="172"/>
      <c r="AK262" s="172"/>
      <c r="AL262" s="172"/>
      <c r="AM262" s="172"/>
      <c r="AN262" s="172"/>
      <c r="AO262" s="172"/>
      <c r="AP262" s="555"/>
      <c r="AQ262" s="5086"/>
      <c r="AR262" s="104" t="str">
        <f t="shared" si="54"/>
        <v>►</v>
      </c>
      <c r="AS262" s="157" t="str">
        <f>AS200</f>
        <v>N NUESTRA MORCILLA | | Autor &gt; Guy KRENZE - Eric GODDYN - Arnaud NICOLAS - CEPROC 2002</v>
      </c>
      <c r="AT262" s="157">
        <f>AT200</f>
        <v>16.34</v>
      </c>
      <c r="AU262" s="158" t="str">
        <f>AU200</f>
        <v>Kg</v>
      </c>
      <c r="AV262" s="159" t="str">
        <f>AV200</f>
        <v>Receta madre ► Morcilla en 4 versiones</v>
      </c>
      <c r="AW262" s="5128" t="str">
        <f>IF(ISBLANK(AX262),"",LARGE(AW246:AW261,1)+1)</f>
        <v/>
      </c>
      <c r="AX262" s="5040"/>
      <c r="AY262" s="172"/>
      <c r="AZ262" s="172"/>
      <c r="BA262" s="172"/>
      <c r="BB262" s="172"/>
      <c r="BC262" s="172"/>
      <c r="BD262" s="172"/>
      <c r="BE262" s="172"/>
      <c r="BF262" s="555"/>
      <c r="BG262" s="5086"/>
      <c r="BH262" s="104"/>
      <c r="BI262" s="32"/>
      <c r="BJ262" s="33"/>
      <c r="BK262" s="32"/>
      <c r="BL262" s="34"/>
      <c r="BM262" s="92"/>
      <c r="BN262" s="108"/>
      <c r="BO262" s="94"/>
      <c r="BP262" s="95"/>
      <c r="BQ262" s="105"/>
      <c r="BR262" s="5101"/>
      <c r="BS262" s="920"/>
      <c r="BT262" s="1495"/>
      <c r="BU262" s="101"/>
      <c r="BV262" s="1475"/>
      <c r="BW262" s="5086"/>
      <c r="BX262" s="104"/>
      <c r="BY262" s="32"/>
      <c r="BZ262" s="33"/>
      <c r="CA262" s="32"/>
      <c r="CB262" s="34"/>
      <c r="CC262" s="92"/>
      <c r="CD262" s="108"/>
      <c r="CE262" s="94"/>
      <c r="CF262" s="95"/>
      <c r="CG262" s="105"/>
      <c r="CH262" s="5101"/>
      <c r="CI262" s="920"/>
      <c r="CJ262" s="1495"/>
      <c r="CK262" s="101"/>
      <c r="CL262" s="1475"/>
      <c r="CM262" s="5086"/>
      <c r="CN262" s="104"/>
      <c r="CO262" s="32"/>
      <c r="CP262" s="33"/>
      <c r="CQ262" s="32"/>
      <c r="CR262" s="34"/>
      <c r="CS262" s="92"/>
      <c r="CT262" s="108"/>
      <c r="CU262" s="94"/>
      <c r="CV262" s="95"/>
      <c r="CW262" s="105"/>
      <c r="CX262" s="5101"/>
      <c r="CY262" s="920"/>
      <c r="CZ262" s="1495"/>
      <c r="DA262" s="101"/>
      <c r="DB262" s="1475"/>
      <c r="DC262" s="5109"/>
      <c r="DD262" s="5083"/>
      <c r="DF262" s="3">
        <v>1</v>
      </c>
      <c r="EY262" s="127">
        <v>1</v>
      </c>
      <c r="EZ262" s="920" t="s">
        <v>12962</v>
      </c>
      <c r="FA262" s="1495">
        <f>IF(OR(ISBLANK(ET238),FA238=0),0,ET262*EY239)</f>
        <v>0</v>
      </c>
      <c r="FB262" s="101">
        <f>IFERROR(_xlfn.LET(_xlpm.v,IFERROR(_xlfn.XLOOKUP(EX262,ET275:FC275,ET276:FC276),_xlfn.XLOOKUP(EX262,ET277:FC277,ET278:FC278)),_xlpm.v*EW262*EY262*EY239*IF(ISBLANK(ET262),1,ET262)),0)</f>
        <v>0</v>
      </c>
      <c r="FC262" s="1476" t="str">
        <f>_xlfn.LET(_xlpm.unite,SUBSTITUTE(TRIM(EX262)," (s)",""),_xlpm.val,FB262,_xlpm.estVol,COUNTIF(EW275:FC275,_xlpm.unite)+COUNTIF(EW277:FC277,_xlpm.unite)&gt;0,_xlpm.estPoids,COUNTIF(ET275:EV275,_xlpm.unite)+COUNTIF(ET277:EV277,_xlpm.unite)&gt;0,IF(_xlpm.estVol,IF(ROUND(_xlpm.val,3)&gt;=1,ROUND(_xlpm.val,3)&amp;" L",MAX(1,ROUND(_xlpm.val*100,0))&amp;" cl"),IF(_xlpm.estPoids,IF(ROUND(_xlpm.val,3)&gt;=1,ROUND(_xlpm.val,3)&amp;" Kg",MAX(1,ROUND(_xlpm.val*1000,0))&amp;" g"),"")))</f>
        <v>1 cl</v>
      </c>
      <c r="FE262" s="852" t="s">
        <v>12853</v>
      </c>
      <c r="FH262" s="852" t="s">
        <v>12963</v>
      </c>
      <c r="FI262" s="852" t="s">
        <v>12964</v>
      </c>
    </row>
    <row r="263" spans="2:165" ht="21" customHeight="1">
      <c r="B263" s="952" t="str">
        <f t="shared" si="55"/>
        <v>A</v>
      </c>
      <c r="C263" s="993" cm="1">
        <f t="array" ref="C263">SUMPRODUCT(LEN(D263:J263))</f>
        <v>0</v>
      </c>
      <c r="D263" s="167"/>
      <c r="E263" s="172"/>
      <c r="F263" s="172"/>
      <c r="G263" s="172"/>
      <c r="H263" s="172"/>
      <c r="I263" s="172"/>
      <c r="J263" s="173"/>
      <c r="K263"/>
      <c r="L263" s="104" t="str">
        <f t="shared" si="52"/>
        <v>A</v>
      </c>
      <c r="M263" s="157" t="str">
        <f>M200</f>
        <v>N NOTRE BOUDIN NOIR | | Auteur &gt; Guy KRENZE - Eric GODDYN - Arnaud NICOLAS - CEPROC 2002</v>
      </c>
      <c r="N263" s="157">
        <f>N200</f>
        <v>16.34</v>
      </c>
      <c r="O263" s="158" t="str">
        <f>O200</f>
        <v>Kg</v>
      </c>
      <c r="P263" s="159" t="str">
        <f>P200</f>
        <v>Recette mère ► le Boudin en 4 déclinaisons</v>
      </c>
      <c r="Q263" s="5128">
        <f>IF(ISBLANK(R263),"",LARGE(Q246:Q262,1)+1)</f>
        <v>12</v>
      </c>
      <c r="R263" s="5040" t="s">
        <v>13132</v>
      </c>
      <c r="S263" s="172"/>
      <c r="T263" s="172"/>
      <c r="U263" s="172"/>
      <c r="V263" s="172"/>
      <c r="W263" s="172"/>
      <c r="X263" s="172"/>
      <c r="Y263" s="172"/>
      <c r="Z263" s="555"/>
      <c r="AA263" s="5086"/>
      <c r="AB263" s="104" t="str">
        <f t="shared" si="53"/>
        <v>A</v>
      </c>
      <c r="AC263" s="157" t="str">
        <f>AC200</f>
        <v>O OUR BLACK PUDDING | |  Author &gt; Guy KRENZE - Eric GODDYN - Arnaud NICOLAS - CEPROC 2002</v>
      </c>
      <c r="AD263" s="157">
        <f>AD200</f>
        <v>16.34</v>
      </c>
      <c r="AE263" s="158" t="str">
        <f>AE200</f>
        <v>Kg</v>
      </c>
      <c r="AF263" s="159" t="str">
        <f>AF200</f>
        <v>Master recipe ► Black pudding in 4 variations</v>
      </c>
      <c r="AG263" s="5128">
        <f>IF(ISBLANK(AH263),"",LARGE(AG246:AG262,1)+1)</f>
        <v>12</v>
      </c>
      <c r="AH263" s="5040" t="s">
        <v>13209</v>
      </c>
      <c r="AI263" s="172"/>
      <c r="AJ263" s="172"/>
      <c r="AK263" s="172"/>
      <c r="AL263" s="172"/>
      <c r="AM263" s="172"/>
      <c r="AN263" s="172"/>
      <c r="AO263" s="172"/>
      <c r="AP263" s="555"/>
      <c r="AQ263" s="5086"/>
      <c r="AR263" s="104" t="str">
        <f t="shared" si="54"/>
        <v>A</v>
      </c>
      <c r="AS263" s="157" t="str">
        <f>AS200</f>
        <v>N NUESTRA MORCILLA | | Autor &gt; Guy KRENZE - Eric GODDYN - Arnaud NICOLAS - CEPROC 2002</v>
      </c>
      <c r="AT263" s="157">
        <f>AT200</f>
        <v>16.34</v>
      </c>
      <c r="AU263" s="158" t="str">
        <f>AU200</f>
        <v>Kg</v>
      </c>
      <c r="AV263" s="159" t="str">
        <f>AV200</f>
        <v>Receta madre ► Morcilla en 4 versiones</v>
      </c>
      <c r="AW263" s="5128">
        <f>IF(ISBLANK(AX263),"",LARGE(AW246:AW262,1)+1)</f>
        <v>12</v>
      </c>
      <c r="AX263" s="5040" t="s">
        <v>13225</v>
      </c>
      <c r="AY263" s="172"/>
      <c r="AZ263" s="172"/>
      <c r="BA263" s="172"/>
      <c r="BB263" s="172"/>
      <c r="BC263" s="172"/>
      <c r="BD263" s="172"/>
      <c r="BE263" s="172"/>
      <c r="BF263" s="555"/>
      <c r="BG263" s="5086"/>
      <c r="BH263" s="104"/>
      <c r="BI263" s="32"/>
      <c r="BJ263" s="33"/>
      <c r="BK263" s="32"/>
      <c r="BL263" s="34"/>
      <c r="BM263" s="92"/>
      <c r="BN263" s="108"/>
      <c r="BO263" s="94"/>
      <c r="BP263" s="95"/>
      <c r="BQ263" s="105"/>
      <c r="BR263" s="5101"/>
      <c r="BS263" s="920"/>
      <c r="BT263" s="1495"/>
      <c r="BU263" s="101"/>
      <c r="BV263" s="1475"/>
      <c r="BW263" s="5086"/>
      <c r="BX263" s="104"/>
      <c r="BY263" s="32"/>
      <c r="BZ263" s="33"/>
      <c r="CA263" s="32"/>
      <c r="CB263" s="34"/>
      <c r="CC263" s="92"/>
      <c r="CD263" s="108"/>
      <c r="CE263" s="94"/>
      <c r="CF263" s="95"/>
      <c r="CG263" s="105"/>
      <c r="CH263" s="5101"/>
      <c r="CI263" s="920"/>
      <c r="CJ263" s="1495"/>
      <c r="CK263" s="101"/>
      <c r="CL263" s="1475"/>
      <c r="CM263" s="5086"/>
      <c r="CN263" s="104"/>
      <c r="CO263" s="32"/>
      <c r="CP263" s="33"/>
      <c r="CQ263" s="32"/>
      <c r="CR263" s="34"/>
      <c r="CS263" s="92"/>
      <c r="CT263" s="108"/>
      <c r="CU263" s="94"/>
      <c r="CV263" s="95"/>
      <c r="CW263" s="105"/>
      <c r="CX263" s="5101"/>
      <c r="CY263" s="920"/>
      <c r="CZ263" s="1495"/>
      <c r="DA263" s="101"/>
      <c r="DB263" s="1475"/>
      <c r="DC263" s="5109"/>
      <c r="DD263" s="5084"/>
      <c r="DF263" s="3">
        <v>1</v>
      </c>
      <c r="EY263" s="127">
        <v>1</v>
      </c>
      <c r="EZ263" s="920" t="s">
        <v>12964</v>
      </c>
      <c r="FA263" s="1495">
        <f>IF(OR(ISBLANK(ET238),FA238=0),0,ET263*EY239)</f>
        <v>0</v>
      </c>
      <c r="FB263" s="101">
        <f>IFERROR(_xlfn.LET(_xlpm.v,IFERROR(_xlfn.XLOOKUP(EX263,ET275:FC275,ET276:FC276),_xlfn.XLOOKUP(EX263,ET277:FC277,ET278:FC278)),_xlpm.v*EW263*EY263*EY239*IF(ISBLANK(ET263),1,ET263)),0)</f>
        <v>0</v>
      </c>
      <c r="FC263" s="1475" t="str">
        <f>_xlfn.LET(_xlpm.unite,SUBSTITUTE(TRIM(EX263)," (s)",""),_xlpm.val,FB263,_xlpm.estVol,COUNTIF(EW275:FC275,_xlpm.unite)+COUNTIF(EW277:FC277,_xlpm.unite)&gt;0,_xlpm.estPoids,COUNTIF(ET275:EV275,_xlpm.unite)+COUNTIF(ET277:EV277,_xlpm.unite)&gt;0,IF(_xlpm.estVol,IF(ROUND(_xlpm.val,3)&gt;=1,ROUND(_xlpm.val,3)&amp;" L",MAX(1,ROUND(_xlpm.val*100,0))&amp;" cl"),IF(_xlpm.estPoids,IF(ROUND(_xlpm.val,3)&gt;=1,ROUND(_xlpm.val,3)&amp;" Kg",MAX(1,ROUND(_xlpm.val*1000,0))&amp;" g"),"")))</f>
        <v>1 cl</v>
      </c>
      <c r="FE263" s="852" t="s">
        <v>12827</v>
      </c>
      <c r="FH263" s="852" t="s">
        <v>12882</v>
      </c>
      <c r="FI263" s="852" t="s">
        <v>12883</v>
      </c>
    </row>
    <row r="264" spans="2:165" ht="21" customHeight="1">
      <c r="B264" s="952" t="str">
        <f t="shared" si="55"/>
        <v>A</v>
      </c>
      <c r="C264" s="993" cm="1">
        <f t="array" ref="C264">SUMPRODUCT(LEN(D264:J264))</f>
        <v>0</v>
      </c>
      <c r="D264" s="167"/>
      <c r="E264" s="172"/>
      <c r="F264" s="172"/>
      <c r="G264" s="172"/>
      <c r="H264" s="172"/>
      <c r="I264" s="172"/>
      <c r="J264" s="173"/>
      <c r="K264"/>
      <c r="L264" s="104" t="str">
        <f>IF(COUNTIF(R264:V264,"&lt;&gt;")&gt;0,"A","►")</f>
        <v>A</v>
      </c>
      <c r="M264" s="157" t="str">
        <f>M200</f>
        <v>N NOTRE BOUDIN NOIR | | Auteur &gt; Guy KRENZE - Eric GODDYN - Arnaud NICOLAS - CEPROC 2002</v>
      </c>
      <c r="N264" s="157">
        <f>N200</f>
        <v>16.34</v>
      </c>
      <c r="O264" s="158" t="str">
        <f>O200</f>
        <v>Kg</v>
      </c>
      <c r="P264" s="159" t="str">
        <f>P200</f>
        <v>Recette mère ► le Boudin en 4 déclinaisons</v>
      </c>
      <c r="Q264" s="5128">
        <f>IF(ISBLANK(R264),"",LARGE(Q246:Q263,1)+1)</f>
        <v>13</v>
      </c>
      <c r="R264" s="5040" t="s">
        <v>13130</v>
      </c>
      <c r="S264" s="172"/>
      <c r="T264" s="172"/>
      <c r="U264" s="172"/>
      <c r="V264" s="172"/>
      <c r="W264" s="172"/>
      <c r="X264" s="172"/>
      <c r="Y264" s="172"/>
      <c r="Z264" s="555"/>
      <c r="AA264" s="5086"/>
      <c r="AB264" s="104" t="str">
        <f>IF(COUNTIF(AH264:AL264,"&lt;&gt;")&gt;0,"A","►")</f>
        <v>A</v>
      </c>
      <c r="AC264" s="157" t="str">
        <f>AC200</f>
        <v>O OUR BLACK PUDDING | |  Author &gt; Guy KRENZE - Eric GODDYN - Arnaud NICOLAS - CEPROC 2002</v>
      </c>
      <c r="AD264" s="157">
        <f>AD200</f>
        <v>16.34</v>
      </c>
      <c r="AE264" s="158" t="str">
        <f>AE200</f>
        <v>Kg</v>
      </c>
      <c r="AF264" s="159" t="str">
        <f>AF200</f>
        <v>Master recipe ► Black pudding in 4 variations</v>
      </c>
      <c r="AG264" s="5128">
        <f>IF(ISBLANK(AH264),"",LARGE(AG246:AG263,1)+1)</f>
        <v>13</v>
      </c>
      <c r="AH264" s="5040" t="s">
        <v>13210</v>
      </c>
      <c r="AI264" s="172"/>
      <c r="AJ264" s="172"/>
      <c r="AK264" s="172"/>
      <c r="AL264" s="172"/>
      <c r="AM264" s="172"/>
      <c r="AN264" s="172"/>
      <c r="AO264" s="172"/>
      <c r="AP264" s="555"/>
      <c r="AQ264" s="5086"/>
      <c r="AR264" s="104" t="str">
        <f>IF(COUNTIF(AX264:BB264,"&lt;&gt;")&gt;0,"A","►")</f>
        <v>A</v>
      </c>
      <c r="AS264" s="157" t="str">
        <f>AS200</f>
        <v>N NUESTRA MORCILLA | | Autor &gt; Guy KRENZE - Eric GODDYN - Arnaud NICOLAS - CEPROC 2002</v>
      </c>
      <c r="AT264" s="157">
        <f>AT200</f>
        <v>16.34</v>
      </c>
      <c r="AU264" s="158" t="str">
        <f>AU200</f>
        <v>Kg</v>
      </c>
      <c r="AV264" s="159" t="str">
        <f>AV200</f>
        <v>Receta madre ► Morcilla en 4 versiones</v>
      </c>
      <c r="AW264" s="5128">
        <f>IF(ISBLANK(AX264),"",LARGE(AW246:AW263,1)+1)</f>
        <v>13</v>
      </c>
      <c r="AX264" s="5040" t="s">
        <v>13226</v>
      </c>
      <c r="AY264" s="172"/>
      <c r="AZ264" s="172"/>
      <c r="BA264" s="172"/>
      <c r="BB264" s="172"/>
      <c r="BC264" s="172"/>
      <c r="BD264" s="172"/>
      <c r="BE264" s="172"/>
      <c r="BF264" s="555"/>
      <c r="BG264" s="5086"/>
      <c r="BH264" s="104"/>
      <c r="BI264" s="32"/>
      <c r="BJ264" s="33"/>
      <c r="BK264" s="32"/>
      <c r="BL264" s="34"/>
      <c r="BM264" s="92"/>
      <c r="BN264" s="108"/>
      <c r="BO264" s="94"/>
      <c r="BP264" s="95"/>
      <c r="BQ264" s="105"/>
      <c r="BR264" s="5101"/>
      <c r="BS264" s="920"/>
      <c r="BT264" s="1495"/>
      <c r="BU264" s="101"/>
      <c r="BV264" s="1475"/>
      <c r="BW264" s="5086"/>
      <c r="BX264" s="104"/>
      <c r="BY264" s="32"/>
      <c r="BZ264" s="33"/>
      <c r="CA264" s="32"/>
      <c r="CB264" s="34"/>
      <c r="CC264" s="92"/>
      <c r="CD264" s="108"/>
      <c r="CE264" s="94"/>
      <c r="CF264" s="95"/>
      <c r="CG264" s="105"/>
      <c r="CH264" s="5101"/>
      <c r="CI264" s="920"/>
      <c r="CJ264" s="1495"/>
      <c r="CK264" s="101"/>
      <c r="CL264" s="1475"/>
      <c r="CM264" s="5086"/>
      <c r="CN264" s="104"/>
      <c r="CO264" s="32"/>
      <c r="CP264" s="33"/>
      <c r="CQ264" s="32"/>
      <c r="CR264" s="34"/>
      <c r="CS264" s="92"/>
      <c r="CT264" s="108"/>
      <c r="CU264" s="94"/>
      <c r="CV264" s="95"/>
      <c r="CW264" s="105"/>
      <c r="CX264" s="5101"/>
      <c r="CY264" s="920"/>
      <c r="CZ264" s="1495"/>
      <c r="DA264" s="101"/>
      <c r="DB264" s="1475"/>
      <c r="DC264" s="5109"/>
      <c r="DD264" s="5084"/>
      <c r="DF264" s="3">
        <v>1</v>
      </c>
      <c r="EY264" s="127">
        <v>1</v>
      </c>
      <c r="EZ264" s="920" t="s">
        <v>12883</v>
      </c>
      <c r="FA264" s="1495">
        <f>IF(OR(ISBLANK(ET238),FA238=0),0,ET264*EY239)</f>
        <v>0</v>
      </c>
      <c r="FB264" s="101">
        <f>IFERROR(_xlfn.LET(_xlpm.v,IFERROR(_xlfn.XLOOKUP(EX264,ET275:FC275,ET276:FC276),_xlfn.XLOOKUP(EX264,ET277:FC277,ET278:FC278)),_xlpm.v*EW264*EY264*EY239*IF(ISBLANK(ET264),1,ET264)),0)</f>
        <v>0</v>
      </c>
      <c r="FC264" s="1476" t="str">
        <f>_xlfn.LET(_xlpm.unite,SUBSTITUTE(TRIM(EX264)," (s)",""),_xlpm.val,FB264,_xlpm.estVol,COUNTIF(EW275:FC275,_xlpm.unite)+COUNTIF(EW277:FC277,_xlpm.unite)&gt;0,_xlpm.estPoids,COUNTIF(ET275:EV275,_xlpm.unite)+COUNTIF(ET277:EV277,_xlpm.unite)&gt;0,IF(_xlpm.estVol,IF(ROUND(_xlpm.val,3)&gt;=1,ROUND(_xlpm.val,3)&amp;" L",MAX(1,ROUND(_xlpm.val*100,0))&amp;" cl"),IF(_xlpm.estPoids,IF(ROUND(_xlpm.val,3)&gt;=1,ROUND(_xlpm.val,3)&amp;" Kg",MAX(1,ROUND(_xlpm.val*1000,0))&amp;" g"),"")))</f>
        <v>1 cl</v>
      </c>
      <c r="FE264" s="852" t="s">
        <v>8947</v>
      </c>
      <c r="FH264" s="852" t="s">
        <v>12884</v>
      </c>
      <c r="FI264" s="852" t="s">
        <v>12885</v>
      </c>
    </row>
    <row r="265" spans="2:165" ht="21" customHeight="1">
      <c r="B265" s="952" t="str">
        <f t="shared" si="55"/>
        <v>A</v>
      </c>
      <c r="C265" s="993" cm="1">
        <f t="array" ref="C265">SUMPRODUCT(LEN(D265:J265))</f>
        <v>0</v>
      </c>
      <c r="D265" s="167"/>
      <c r="E265" s="172"/>
      <c r="F265" s="172"/>
      <c r="G265" s="172"/>
      <c r="H265" s="172"/>
      <c r="I265" s="172"/>
      <c r="J265" s="173"/>
      <c r="K265"/>
      <c r="L265" s="104" t="str">
        <f t="shared" si="52"/>
        <v>A</v>
      </c>
      <c r="M265" s="157" t="str">
        <f>M200</f>
        <v>N NOTRE BOUDIN NOIR | | Auteur &gt; Guy KRENZE - Eric GODDYN - Arnaud NICOLAS - CEPROC 2002</v>
      </c>
      <c r="N265" s="157">
        <f>N200</f>
        <v>16.34</v>
      </c>
      <c r="O265" s="158" t="str">
        <f>O200</f>
        <v>Kg</v>
      </c>
      <c r="P265" s="159" t="str">
        <f>P200</f>
        <v>Recette mère ► le Boudin en 4 déclinaisons</v>
      </c>
      <c r="Q265" s="5128">
        <f>IF(ISBLANK(R265),"",LARGE(Q246:Q264,1)+1)</f>
        <v>14</v>
      </c>
      <c r="R265" s="5040" t="s">
        <v>13131</v>
      </c>
      <c r="S265" s="172"/>
      <c r="T265" s="172"/>
      <c r="U265" s="172"/>
      <c r="V265" s="172"/>
      <c r="W265" s="172"/>
      <c r="X265" s="172"/>
      <c r="Y265" s="172"/>
      <c r="Z265" s="555"/>
      <c r="AA265" s="5086"/>
      <c r="AB265" s="104" t="str">
        <f t="shared" ref="AB265" si="56">IF(COUNTIF(AH265:AL265,"&lt;&gt;")&gt;0,"A","►")</f>
        <v>A</v>
      </c>
      <c r="AC265" s="157" t="str">
        <f>AC200</f>
        <v>O OUR BLACK PUDDING | |  Author &gt; Guy KRENZE - Eric GODDYN - Arnaud NICOLAS - CEPROC 2002</v>
      </c>
      <c r="AD265" s="157">
        <f>AD200</f>
        <v>16.34</v>
      </c>
      <c r="AE265" s="158" t="str">
        <f>AE200</f>
        <v>Kg</v>
      </c>
      <c r="AF265" s="159" t="str">
        <f>AF200</f>
        <v>Master recipe ► Black pudding in 4 variations</v>
      </c>
      <c r="AG265" s="5128">
        <f>IF(ISBLANK(AH265),"",LARGE(AG246:AG264,1)+1)</f>
        <v>14</v>
      </c>
      <c r="AH265" s="5040" t="s">
        <v>13211</v>
      </c>
      <c r="AI265" s="172"/>
      <c r="AJ265" s="172"/>
      <c r="AK265" s="172"/>
      <c r="AL265" s="172"/>
      <c r="AM265" s="172"/>
      <c r="AN265" s="172"/>
      <c r="AO265" s="172"/>
      <c r="AP265" s="555"/>
      <c r="AQ265" s="5086"/>
      <c r="AR265" s="104" t="str">
        <f t="shared" si="54"/>
        <v>A</v>
      </c>
      <c r="AS265" s="157" t="str">
        <f>AS200</f>
        <v>N NUESTRA MORCILLA | | Autor &gt; Guy KRENZE - Eric GODDYN - Arnaud NICOLAS - CEPROC 2002</v>
      </c>
      <c r="AT265" s="157">
        <f>AT200</f>
        <v>16.34</v>
      </c>
      <c r="AU265" s="158" t="str">
        <f>AU200</f>
        <v>Kg</v>
      </c>
      <c r="AV265" s="159" t="str">
        <f>AV200</f>
        <v>Receta madre ► Morcilla en 4 versiones</v>
      </c>
      <c r="AW265" s="5128">
        <f>IF(ISBLANK(AX265),"",LARGE(AW246:AW264,1)+1)</f>
        <v>14</v>
      </c>
      <c r="AX265" s="5040" t="s">
        <v>13227</v>
      </c>
      <c r="AY265" s="172"/>
      <c r="AZ265" s="172"/>
      <c r="BA265" s="172"/>
      <c r="BB265" s="172"/>
      <c r="BC265" s="172"/>
      <c r="BD265" s="172"/>
      <c r="BE265" s="172"/>
      <c r="BF265" s="555"/>
      <c r="BG265" s="5086"/>
      <c r="BH265" s="104"/>
      <c r="BI265" s="32"/>
      <c r="BJ265" s="33"/>
      <c r="BK265" s="32"/>
      <c r="BL265" s="34"/>
      <c r="BM265" s="92"/>
      <c r="BN265" s="108"/>
      <c r="BO265" s="94"/>
      <c r="BP265" s="95"/>
      <c r="BQ265" s="105"/>
      <c r="BR265" s="5101"/>
      <c r="BS265" s="920"/>
      <c r="BT265" s="1495"/>
      <c r="BU265" s="101"/>
      <c r="BV265" s="1475"/>
      <c r="BW265" s="5086"/>
      <c r="BX265" s="104"/>
      <c r="BY265" s="32"/>
      <c r="BZ265" s="33"/>
      <c r="CA265" s="32"/>
      <c r="CB265" s="34"/>
      <c r="CC265" s="92"/>
      <c r="CD265" s="108"/>
      <c r="CE265" s="94"/>
      <c r="CF265" s="95"/>
      <c r="CG265" s="105"/>
      <c r="CH265" s="5101"/>
      <c r="CI265" s="920"/>
      <c r="CJ265" s="1495"/>
      <c r="CK265" s="101"/>
      <c r="CL265" s="1475"/>
      <c r="CM265" s="5086"/>
      <c r="CN265" s="104"/>
      <c r="CO265" s="32"/>
      <c r="CP265" s="33"/>
      <c r="CQ265" s="32"/>
      <c r="CR265" s="34"/>
      <c r="CS265" s="92"/>
      <c r="CT265" s="108"/>
      <c r="CU265" s="94"/>
      <c r="CV265" s="95"/>
      <c r="CW265" s="105"/>
      <c r="CX265" s="5101"/>
      <c r="CY265" s="920"/>
      <c r="CZ265" s="1495"/>
      <c r="DA265" s="101"/>
      <c r="DB265" s="1475"/>
      <c r="DC265" s="5109"/>
      <c r="DD265" s="5084"/>
      <c r="DF265" s="3">
        <v>1</v>
      </c>
      <c r="EY265" s="127">
        <v>1</v>
      </c>
      <c r="EZ265" s="920" t="s">
        <v>12885</v>
      </c>
      <c r="FA265" s="1495">
        <f>IF(OR(ISBLANK(ET238),FA238=0),0,ET265*EY239)</f>
        <v>0</v>
      </c>
      <c r="FB265" s="101">
        <f>IFERROR(_xlfn.LET(_xlpm.v,IFERROR(_xlfn.XLOOKUP(EX265,ET275:FC275,ET276:FC276),_xlfn.XLOOKUP(EX265,ET277:FC277,ET278:FC278)),_xlpm.v*EW265*EY265*EY239*IF(ISBLANK(ET265),1,ET265)),0)</f>
        <v>0</v>
      </c>
      <c r="FC265" s="1475" t="str">
        <f>_xlfn.LET(_xlpm.unite,SUBSTITUTE(TRIM(EX265)," (s)",""),_xlpm.val,FB265,_xlpm.estVol,COUNTIF(EW275:FC275,_xlpm.unite)+COUNTIF(EW277:FC277,_xlpm.unite)&gt;0,_xlpm.estPoids,COUNTIF(ET275:EV275,_xlpm.unite)+COUNTIF(ET277:EV277,_xlpm.unite)&gt;0,IF(_xlpm.estVol,IF(ROUND(_xlpm.val,3)&gt;=1,ROUND(_xlpm.val,3)&amp;" L",MAX(1,ROUND(_xlpm.val*100,0))&amp;" cl"),IF(_xlpm.estPoids,IF(ROUND(_xlpm.val,3)&gt;=1,ROUND(_xlpm.val,3)&amp;" Kg",MAX(1,ROUND(_xlpm.val*1000,0))&amp;" g"),"")))</f>
        <v>1 cl</v>
      </c>
    </row>
    <row r="266" spans="2:165" ht="21" customHeight="1">
      <c r="B266" s="952" t="str">
        <f t="shared" si="55"/>
        <v>►</v>
      </c>
      <c r="C266" s="993" cm="1">
        <f t="array" ref="C266">SUMPRODUCT(LEN(D266:J266))</f>
        <v>0</v>
      </c>
      <c r="D266" s="167"/>
      <c r="E266" s="172"/>
      <c r="F266" s="172"/>
      <c r="G266" s="172"/>
      <c r="H266" s="172"/>
      <c r="I266" s="172"/>
      <c r="J266" s="173"/>
      <c r="K266"/>
      <c r="L266" s="104" t="str">
        <f>IF(COUNTIF(R266:V266,"&lt;&gt;")&gt;0,"A","►")</f>
        <v>►</v>
      </c>
      <c r="M266" s="157" t="str">
        <f>M200</f>
        <v>N NOTRE BOUDIN NOIR | | Auteur &gt; Guy KRENZE - Eric GODDYN - Arnaud NICOLAS - CEPROC 2002</v>
      </c>
      <c r="N266" s="157">
        <f>N200</f>
        <v>16.34</v>
      </c>
      <c r="O266" s="158" t="str">
        <f>O200</f>
        <v>Kg</v>
      </c>
      <c r="P266" s="159" t="str">
        <f>P200</f>
        <v>Recette mère ► le Boudin en 4 déclinaisons</v>
      </c>
      <c r="Q266" s="160" t="s">
        <v>167</v>
      </c>
      <c r="R266" s="1536"/>
      <c r="S266" s="1536"/>
      <c r="T266" s="1536"/>
      <c r="U266" s="1536"/>
      <c r="V266" s="1536"/>
      <c r="W266" s="1536"/>
      <c r="X266" s="1536"/>
      <c r="Y266" s="1536"/>
      <c r="Z266" s="1537"/>
      <c r="AA266" s="5086"/>
      <c r="AB266" s="104" t="str">
        <f>IF(COUNTIF(AH266:AL266,"&lt;&gt;")&gt;0,"A","►")</f>
        <v>►</v>
      </c>
      <c r="AC266" s="157" t="str">
        <f>AC200</f>
        <v>O OUR BLACK PUDDING | |  Author &gt; Guy KRENZE - Eric GODDYN - Arnaud NICOLAS - CEPROC 2002</v>
      </c>
      <c r="AD266" s="157">
        <f>AD200</f>
        <v>16.34</v>
      </c>
      <c r="AE266" s="158" t="str">
        <f>AE200</f>
        <v>Kg</v>
      </c>
      <c r="AF266" s="159" t="str">
        <f>AF200</f>
        <v>Master recipe ► Black pudding in 4 variations</v>
      </c>
      <c r="AG266" s="160" t="s">
        <v>167</v>
      </c>
      <c r="AH266" s="1536"/>
      <c r="AI266" s="1536"/>
      <c r="AJ266" s="1536"/>
      <c r="AK266" s="1536"/>
      <c r="AL266" s="1536"/>
      <c r="AM266" s="1536"/>
      <c r="AN266" s="1536"/>
      <c r="AO266" s="1536"/>
      <c r="AP266" s="1537"/>
      <c r="AQ266" s="5086"/>
      <c r="AR266" s="104" t="str">
        <f>IF(COUNTIF(AX266:BB266,"&lt;&gt;")&gt;0,"A","►")</f>
        <v>►</v>
      </c>
      <c r="AS266" s="157" t="str">
        <f>AS200</f>
        <v>N NUESTRA MORCILLA | | Autor &gt; Guy KRENZE - Eric GODDYN - Arnaud NICOLAS - CEPROC 2002</v>
      </c>
      <c r="AT266" s="157">
        <f>AT200</f>
        <v>16.34</v>
      </c>
      <c r="AU266" s="158" t="str">
        <f>AU200</f>
        <v>Kg</v>
      </c>
      <c r="AV266" s="159" t="str">
        <f>AV200</f>
        <v>Receta madre ► Morcilla en 4 versiones</v>
      </c>
      <c r="AW266" s="160" t="s">
        <v>167</v>
      </c>
      <c r="AX266" s="1536"/>
      <c r="AY266" s="1536"/>
      <c r="AZ266" s="1536"/>
      <c r="BA266" s="1536"/>
      <c r="BB266" s="1536"/>
      <c r="BC266" s="1536"/>
      <c r="BD266" s="1536"/>
      <c r="BE266" s="1536"/>
      <c r="BF266" s="1537"/>
      <c r="BG266" s="5086"/>
      <c r="BH266" s="104"/>
      <c r="BI266" s="32"/>
      <c r="BJ266" s="33"/>
      <c r="BK266" s="32"/>
      <c r="BL266" s="34"/>
      <c r="BM266" s="92"/>
      <c r="BN266" s="108"/>
      <c r="BO266" s="94"/>
      <c r="BP266" s="95"/>
      <c r="BQ266" s="105"/>
      <c r="BR266" s="5101"/>
      <c r="BS266" s="920"/>
      <c r="BT266" s="1495"/>
      <c r="BU266" s="101"/>
      <c r="BV266" s="1475"/>
      <c r="BW266" s="5086"/>
      <c r="BX266" s="104"/>
      <c r="BY266" s="32"/>
      <c r="BZ266" s="33"/>
      <c r="CA266" s="32"/>
      <c r="CB266" s="34"/>
      <c r="CC266" s="92"/>
      <c r="CD266" s="108"/>
      <c r="CE266" s="94"/>
      <c r="CF266" s="95"/>
      <c r="CG266" s="105"/>
      <c r="CH266" s="5101"/>
      <c r="CI266" s="920"/>
      <c r="CJ266" s="1495"/>
      <c r="CK266" s="101"/>
      <c r="CL266" s="1475"/>
      <c r="CM266" s="5086"/>
      <c r="CN266" s="104"/>
      <c r="CO266" s="32"/>
      <c r="CP266" s="33"/>
      <c r="CQ266" s="32"/>
      <c r="CR266" s="34"/>
      <c r="CS266" s="92"/>
      <c r="CT266" s="108"/>
      <c r="CU266" s="94"/>
      <c r="CV266" s="95"/>
      <c r="CW266" s="105"/>
      <c r="CX266" s="5101"/>
      <c r="CY266" s="920"/>
      <c r="CZ266" s="1495"/>
      <c r="DA266" s="101"/>
      <c r="DB266" s="1475"/>
      <c r="DC266" s="5109"/>
      <c r="DD266" s="5084"/>
      <c r="DF266" s="3">
        <v>1</v>
      </c>
      <c r="EY266" s="127">
        <v>1</v>
      </c>
      <c r="EZ266" s="920"/>
      <c r="FA266" s="1495">
        <f>IF(OR(ISBLANK(ET238),FA238=0),0,ET266*EY239)</f>
        <v>0</v>
      </c>
      <c r="FB266" s="101">
        <f>IFERROR(_xlfn.LET(_xlpm.v,IFERROR(_xlfn.XLOOKUP(EX266,ET275:FC275,ET276:FC276),_xlfn.XLOOKUP(EX266,ET277:FC277,ET278:FC278)),_xlpm.v*EW266*EY266*EY239*IF(ISBLANK(ET266),1,ET266)),0)</f>
        <v>0</v>
      </c>
      <c r="FC266" s="1476" t="str">
        <f>_xlfn.LET(_xlpm.unite,SUBSTITUTE(TRIM(EX266)," (s)",""),_xlpm.val,FB266,_xlpm.estVol,COUNTIF(EW275:FC275,_xlpm.unite)+COUNTIF(EW277:FC277,_xlpm.unite)&gt;0,_xlpm.estPoids,COUNTIF(ET275:EV275,_xlpm.unite)+COUNTIF(ET277:EV277,_xlpm.unite)&gt;0,IF(_xlpm.estVol,IF(ROUND(_xlpm.val,3)&gt;=1,ROUND(_xlpm.val,3)&amp;" L",MAX(1,ROUND(_xlpm.val*100,0))&amp;" cl"),IF(_xlpm.estPoids,IF(ROUND(_xlpm.val,3)&gt;=1,ROUND(_xlpm.val,3)&amp;" Kg",MAX(1,ROUND(_xlpm.val*1000,0))&amp;" g"),"")))</f>
        <v>1 cl</v>
      </c>
    </row>
    <row r="267" spans="2:165" ht="21" customHeight="1">
      <c r="B267" s="952" t="str">
        <f t="shared" si="55"/>
        <v>A</v>
      </c>
      <c r="C267" s="993" cm="1">
        <f t="array" ref="C267">SUMPRODUCT(LEN(D267:J267))</f>
        <v>0</v>
      </c>
      <c r="D267" s="167"/>
      <c r="E267" s="172"/>
      <c r="F267" s="172"/>
      <c r="G267" s="172"/>
      <c r="H267" s="172"/>
      <c r="I267" s="172"/>
      <c r="J267" s="173"/>
      <c r="K267"/>
      <c r="L267" s="104" t="str">
        <f t="shared" si="52"/>
        <v>A</v>
      </c>
      <c r="M267" s="157" t="str">
        <f>M200</f>
        <v>N NOTRE BOUDIN NOIR | | Auteur &gt; Guy KRENZE - Eric GODDYN - Arnaud NICOLAS - CEPROC 2002</v>
      </c>
      <c r="N267" s="157">
        <f>N200</f>
        <v>16.34</v>
      </c>
      <c r="O267" s="158" t="str">
        <f>O200</f>
        <v>Kg</v>
      </c>
      <c r="P267" s="159" t="str">
        <f>P200</f>
        <v>Recette mère ► le Boudin en 4 déclinaisons</v>
      </c>
      <c r="Q267" s="5441" t="s">
        <v>13079</v>
      </c>
      <c r="R267" s="5442"/>
      <c r="S267" s="5442"/>
      <c r="T267" s="5442"/>
      <c r="U267" s="5443"/>
      <c r="V267" s="172" t="s">
        <v>13133</v>
      </c>
      <c r="W267" s="172"/>
      <c r="X267" s="172"/>
      <c r="Y267" s="172"/>
      <c r="Z267" s="555"/>
      <c r="AA267" s="5086"/>
      <c r="AB267" s="104" t="str">
        <f t="shared" ref="AB267:AB278" si="57">IF(COUNTIF(AH267:AL267,"&lt;&gt;")&gt;0,"A","►")</f>
        <v>A</v>
      </c>
      <c r="AC267" s="157" t="str">
        <f>AC200</f>
        <v>O OUR BLACK PUDDING | |  Author &gt; Guy KRENZE - Eric GODDYN - Arnaud NICOLAS - CEPROC 2002</v>
      </c>
      <c r="AD267" s="157">
        <f>AD200</f>
        <v>16.34</v>
      </c>
      <c r="AE267" s="158" t="str">
        <f>AE200</f>
        <v>Kg</v>
      </c>
      <c r="AF267" s="159" t="str">
        <f>AF200</f>
        <v>Master recipe ► Black pudding in 4 variations</v>
      </c>
      <c r="AG267" s="5441" t="s">
        <v>13235</v>
      </c>
      <c r="AH267" s="5442"/>
      <c r="AI267" s="5442"/>
      <c r="AJ267" s="5442"/>
      <c r="AK267" s="5443"/>
      <c r="AL267" s="172" t="s">
        <v>13133</v>
      </c>
      <c r="AM267" s="172"/>
      <c r="AN267" s="172"/>
      <c r="AO267" s="172"/>
      <c r="AP267" s="555"/>
      <c r="AQ267" s="5086"/>
      <c r="AR267" s="104" t="str">
        <f t="shared" si="54"/>
        <v>A</v>
      </c>
      <c r="AS267" s="157" t="str">
        <f>AS200</f>
        <v>N NUESTRA MORCILLA | | Autor &gt; Guy KRENZE - Eric GODDYN - Arnaud NICOLAS - CEPROC 2002</v>
      </c>
      <c r="AT267" s="157">
        <f>AT200</f>
        <v>16.34</v>
      </c>
      <c r="AU267" s="158" t="str">
        <f>AU200</f>
        <v>Kg</v>
      </c>
      <c r="AV267" s="159" t="str">
        <f>AV200</f>
        <v>Receta madre ► Morcilla en 4 versiones</v>
      </c>
      <c r="AW267" s="5441" t="s">
        <v>13237</v>
      </c>
      <c r="AX267" s="5442"/>
      <c r="AY267" s="5442"/>
      <c r="AZ267" s="5442"/>
      <c r="BA267" s="5443"/>
      <c r="BB267" s="172" t="s">
        <v>13133</v>
      </c>
      <c r="BC267" s="172"/>
      <c r="BD267" s="172"/>
      <c r="BE267" s="172"/>
      <c r="BF267" s="555"/>
      <c r="BG267" s="5086"/>
      <c r="BH267" s="104"/>
      <c r="BI267" s="32"/>
      <c r="BJ267" s="33"/>
      <c r="BK267" s="32"/>
      <c r="BL267" s="34"/>
      <c r="BM267" s="92"/>
      <c r="BN267" s="108"/>
      <c r="BO267" s="94"/>
      <c r="BP267" s="95"/>
      <c r="BQ267" s="105"/>
      <c r="BR267" s="5101"/>
      <c r="BS267" s="920"/>
      <c r="BT267" s="1495"/>
      <c r="BU267" s="101"/>
      <c r="BV267" s="1475"/>
      <c r="BW267" s="5086"/>
      <c r="BX267" s="104"/>
      <c r="BY267" s="32"/>
      <c r="BZ267" s="33"/>
      <c r="CA267" s="32"/>
      <c r="CB267" s="34"/>
      <c r="CC267" s="92"/>
      <c r="CD267" s="108"/>
      <c r="CE267" s="94"/>
      <c r="CF267" s="95"/>
      <c r="CG267" s="105"/>
      <c r="CH267" s="5101"/>
      <c r="CI267" s="920"/>
      <c r="CJ267" s="1495"/>
      <c r="CK267" s="101"/>
      <c r="CL267" s="1475"/>
      <c r="CM267" s="5086"/>
      <c r="CN267" s="104"/>
      <c r="CO267" s="32"/>
      <c r="CP267" s="33"/>
      <c r="CQ267" s="32"/>
      <c r="CR267" s="34"/>
      <c r="CS267" s="92"/>
      <c r="CT267" s="108"/>
      <c r="CU267" s="94"/>
      <c r="CV267" s="95"/>
      <c r="CW267" s="105"/>
      <c r="CX267" s="5101"/>
      <c r="CY267" s="920"/>
      <c r="CZ267" s="1495"/>
      <c r="DA267" s="101"/>
      <c r="DB267" s="1475"/>
      <c r="DC267" s="5109"/>
      <c r="DD267" s="5083"/>
      <c r="DF267" s="3">
        <v>1</v>
      </c>
      <c r="EY267" s="127">
        <v>1</v>
      </c>
      <c r="EZ267" s="920" t="s">
        <v>12888</v>
      </c>
      <c r="FA267" s="1495">
        <f>IF(OR(ISBLANK(ET238),FA238=0),0,ET267*EY239)</f>
        <v>0</v>
      </c>
      <c r="FB267" s="101">
        <f>IFERROR(_xlfn.LET(_xlpm.v,IFERROR(_xlfn.XLOOKUP(EX267,ET275:FC275,ET276:FC276),_xlfn.XLOOKUP(EX267,ET277:FC277,ET278:FC278)),_xlpm.v*EW267*EY267*EY239*IF(ISBLANK(ET267),1,ET267)),0)</f>
        <v>0</v>
      </c>
      <c r="FC267" s="1475" t="str">
        <f>_xlfn.LET(_xlpm.unite,SUBSTITUTE(TRIM(EX267)," (s)",""),_xlpm.val,FB267,_xlpm.estVol,COUNTIF(EW275:FC275,_xlpm.unite)+COUNTIF(EW277:FC277,_xlpm.unite)&gt;0,_xlpm.estPoids,COUNTIF(ET275:EV275,_xlpm.unite)+COUNTIF(ET277:EV277,_xlpm.unite)&gt;0,IF(_xlpm.estVol,IF(ROUND(_xlpm.val,3)&gt;=1,ROUND(_xlpm.val,3)&amp;" L",MAX(1,ROUND(_xlpm.val*100,0))&amp;" cl"),IF(_xlpm.estPoids,IF(ROUND(_xlpm.val,3)&gt;=1,ROUND(_xlpm.val,3)&amp;" Kg",MAX(1,ROUND(_xlpm.val*1000,0))&amp;" g"),"")))</f>
        <v>1 cl</v>
      </c>
    </row>
    <row r="268" spans="2:165" ht="21" customHeight="1">
      <c r="B268" s="952" t="str">
        <f t="shared" ca="1" si="55"/>
        <v>A</v>
      </c>
      <c r="C268" s="993" cm="1">
        <f t="array" ref="C268">SUMPRODUCT(LEN(D268:J268))</f>
        <v>0</v>
      </c>
      <c r="D268" s="167"/>
      <c r="E268" s="172"/>
      <c r="F268" s="172"/>
      <c r="G268" s="172"/>
      <c r="H268" s="172"/>
      <c r="I268" s="172"/>
      <c r="J268" s="173"/>
      <c r="K268"/>
      <c r="L268" s="104" t="str">
        <f t="shared" ca="1" si="52"/>
        <v>A</v>
      </c>
      <c r="M268" s="157" t="str">
        <f>M200</f>
        <v>N NOTRE BOUDIN NOIR | | Auteur &gt; Guy KRENZE - Eric GODDYN - Arnaud NICOLAS - CEPROC 2002</v>
      </c>
      <c r="N268" s="157">
        <f>N200</f>
        <v>16.34</v>
      </c>
      <c r="O268" s="158" t="str">
        <f>O200</f>
        <v>Kg</v>
      </c>
      <c r="P268" s="159" t="str">
        <f>P200</f>
        <v>Recette mère ► le Boudin en 4 déclinaisons</v>
      </c>
      <c r="Q268" s="5114" t="s">
        <v>748</v>
      </c>
      <c r="R268" s="5122">
        <v>12</v>
      </c>
      <c r="S268" s="197"/>
      <c r="T268" s="5116" t="s">
        <v>748</v>
      </c>
      <c r="U268" s="5115">
        <f>IF(AND(ISNUMBER(R268),R268&gt;0),R268,IF(OR(ISBLANK(R269),ISBLANK(R270),IF(R270&gt;1,R270/100,R270)&gt;=1),"",R269/(1-IF(R270&gt;1,R270/100,R270))))</f>
        <v>12</v>
      </c>
      <c r="V268" s="5178" t="str">
        <f ca="1">_xlfn.FORMULATEXT(U268)</f>
        <v>=SI(ET(ESTNUM(R268);R268&gt;0);R268;SI(OU(ESTVIDE(R269);ESTVIDE(R270);SI(R270&gt;1;R270/100;R270)&gt;=1);"";R269/(1-SI(R270&gt;1;R270/100;R270))))</v>
      </c>
      <c r="W268" s="172"/>
      <c r="X268" s="172"/>
      <c r="Y268" s="172"/>
      <c r="Z268" s="555"/>
      <c r="AA268" s="5086"/>
      <c r="AB268" s="104" t="str">
        <f t="shared" ca="1" si="57"/>
        <v>A</v>
      </c>
      <c r="AC268" s="157" t="str">
        <f>AC200</f>
        <v>O OUR BLACK PUDDING | |  Author &gt; Guy KRENZE - Eric GODDYN - Arnaud NICOLAS - CEPROC 2002</v>
      </c>
      <c r="AD268" s="157">
        <f>AD200</f>
        <v>16.34</v>
      </c>
      <c r="AE268" s="158" t="str">
        <f>AE200</f>
        <v>Kg</v>
      </c>
      <c r="AF268" s="159" t="str">
        <f>AF200</f>
        <v>Master recipe ► Black pudding in 4 variations</v>
      </c>
      <c r="AG268" s="5183" t="s">
        <v>1651</v>
      </c>
      <c r="AH268" s="5122">
        <v>12</v>
      </c>
      <c r="AI268" s="197"/>
      <c r="AJ268" s="5116" t="s">
        <v>1651</v>
      </c>
      <c r="AK268" s="5115">
        <f>IF(AND(ISNUMBER(AH268),AH268&gt;0),AH268,IF(OR(ISBLANK(AH269),ISBLANK(AH270),IF(AH270&gt;1,AH270/100,AH270)&gt;=1),"",AH269/(1-IF(AH270&gt;1,AH270/100,AH270))))</f>
        <v>12</v>
      </c>
      <c r="AL268" s="5178" t="str">
        <f ca="1">_xlfn.FORMULATEXT(AK268)</f>
        <v>=SI(ET(ESTNUM(AH268);AH268&gt;0);AH268;SI(OU(ESTVIDE(AH269);ESTVIDE(AH270);SI(AH270&gt;1;AH270/100;AH270)&gt;=1);"";AH269/(1-SI(AH270&gt;1;AH270/100;AH270))))</v>
      </c>
      <c r="AM268" s="172"/>
      <c r="AN268" s="172"/>
      <c r="AO268" s="172"/>
      <c r="AP268" s="555"/>
      <c r="AQ268" s="5086"/>
      <c r="AR268" s="104" t="str">
        <f t="shared" ca="1" si="54"/>
        <v>A</v>
      </c>
      <c r="AS268" s="157" t="str">
        <f>AS200</f>
        <v>N NUESTRA MORCILLA | | Autor &gt; Guy KRENZE - Eric GODDYN - Arnaud NICOLAS - CEPROC 2002</v>
      </c>
      <c r="AT268" s="157">
        <f>AT200</f>
        <v>16.34</v>
      </c>
      <c r="AU268" s="158" t="str">
        <f>AU200</f>
        <v>Kg</v>
      </c>
      <c r="AV268" s="159" t="str">
        <f>AV200</f>
        <v>Receta madre ► Morcilla en 4 versiones</v>
      </c>
      <c r="AW268" s="5114" t="s">
        <v>1653</v>
      </c>
      <c r="AX268" s="5122">
        <v>12</v>
      </c>
      <c r="AY268" s="197"/>
      <c r="AZ268" s="5116" t="s">
        <v>1653</v>
      </c>
      <c r="BA268" s="5115">
        <f>IF(AND(ISNUMBER(AX268),AX268&gt;0),AX268,IF(OR(ISBLANK(AX269),ISBLANK(AX270),IF(AX270&gt;1,AX270/100,AX270)&gt;=1),"",AX269/(1-IF(AX270&gt;1,AX270/100,AX270))))</f>
        <v>12</v>
      </c>
      <c r="BB268" s="5178" t="str">
        <f ca="1">_xlfn.FORMULATEXT(BA268)</f>
        <v>=SI(ET(ESTNUM(AX268);AX268&gt;0);AX268;SI(OU(ESTVIDE(AX269);ESTVIDE(AX270);SI(AX270&gt;1;AX270/100;AX270)&gt;=1);"";AX269/(1-SI(AX270&gt;1;AX270/100;AX270))))</v>
      </c>
      <c r="BC268" s="172"/>
      <c r="BD268" s="172"/>
      <c r="BE268" s="172"/>
      <c r="BF268" s="555"/>
      <c r="BG268" s="5086"/>
      <c r="BH268" s="104"/>
      <c r="BI268" s="32"/>
      <c r="BJ268" s="33"/>
      <c r="BK268" s="32"/>
      <c r="BL268" s="34"/>
      <c r="BM268" s="92"/>
      <c r="BN268" s="108"/>
      <c r="BO268" s="94"/>
      <c r="BP268" s="95"/>
      <c r="BQ268" s="105"/>
      <c r="BR268" s="5101"/>
      <c r="BS268" s="920"/>
      <c r="BT268" s="1495"/>
      <c r="BU268" s="101"/>
      <c r="BV268" s="1475"/>
      <c r="BW268" s="5086"/>
      <c r="BX268" s="104"/>
      <c r="BY268" s="32"/>
      <c r="BZ268" s="33"/>
      <c r="CA268" s="32"/>
      <c r="CB268" s="34"/>
      <c r="CC268" s="92"/>
      <c r="CD268" s="108"/>
      <c r="CE268" s="94"/>
      <c r="CF268" s="95"/>
      <c r="CG268" s="105"/>
      <c r="CH268" s="5101"/>
      <c r="CI268" s="920"/>
      <c r="CJ268" s="1495"/>
      <c r="CK268" s="101"/>
      <c r="CL268" s="1475"/>
      <c r="CM268" s="5086"/>
      <c r="CN268" s="104"/>
      <c r="CO268" s="32"/>
      <c r="CP268" s="33"/>
      <c r="CQ268" s="32"/>
      <c r="CR268" s="34"/>
      <c r="CS268" s="92"/>
      <c r="CT268" s="108"/>
      <c r="CU268" s="94"/>
      <c r="CV268" s="95"/>
      <c r="CW268" s="105"/>
      <c r="CX268" s="5101"/>
      <c r="CY268" s="920"/>
      <c r="CZ268" s="1495"/>
      <c r="DA268" s="101"/>
      <c r="DB268" s="1475"/>
      <c r="DC268" s="5109"/>
      <c r="DD268" s="5084"/>
      <c r="DF268" s="3">
        <v>1</v>
      </c>
      <c r="EY268" s="127">
        <v>1</v>
      </c>
      <c r="EZ268" s="920" t="s">
        <v>12831</v>
      </c>
      <c r="FA268" s="1495">
        <f>IF(OR(ISBLANK(ET238),FA238=0),0,ET268*EY239)</f>
        <v>0</v>
      </c>
      <c r="FB268" s="101">
        <f>IFERROR(_xlfn.LET(_xlpm.v,IFERROR(_xlfn.XLOOKUP(EX268,ET275:FC275,ET276:FC276),_xlfn.XLOOKUP(EX268,ET277:FC277,ET278:FC278)),_xlpm.v*EW268*EY268*EY239*IF(ISBLANK(ET268),1,ET268)),0)</f>
        <v>0</v>
      </c>
      <c r="FC268" s="1476" t="str">
        <f>_xlfn.LET(_xlpm.unite,SUBSTITUTE(TRIM(EX268)," (s)",""),_xlpm.val,FB268,_xlpm.estVol,COUNTIF(EW275:FC275,_xlpm.unite)+COUNTIF(EW277:FC277,_xlpm.unite)&gt;0,_xlpm.estPoids,COUNTIF(ET275:EV275,_xlpm.unite)+COUNTIF(ET277:EV277,_xlpm.unite)&gt;0,IF(_xlpm.estVol,IF(ROUND(_xlpm.val,3)&gt;=1,ROUND(_xlpm.val,3)&amp;" L",MAX(1,ROUND(_xlpm.val*100,0))&amp;" cl"),IF(_xlpm.estPoids,IF(ROUND(_xlpm.val,3)&gt;=1,ROUND(_xlpm.val,3)&amp;" Kg",MAX(1,ROUND(_xlpm.val*1000,0))&amp;" g"),"")))</f>
        <v>1 cl</v>
      </c>
    </row>
    <row r="269" spans="2:165" ht="21" customHeight="1">
      <c r="B269" s="952" t="str">
        <f t="shared" ca="1" si="55"/>
        <v>A</v>
      </c>
      <c r="C269" s="993" cm="1">
        <f t="array" ref="C269">SUMPRODUCT(LEN(D269:J269))</f>
        <v>0</v>
      </c>
      <c r="D269" s="167"/>
      <c r="E269" s="172"/>
      <c r="F269" s="172"/>
      <c r="G269" s="172"/>
      <c r="H269" s="172"/>
      <c r="I269" s="172"/>
      <c r="J269" s="173"/>
      <c r="K269"/>
      <c r="L269" s="104" t="str">
        <f t="shared" ca="1" si="52"/>
        <v>A</v>
      </c>
      <c r="M269" s="157" t="str">
        <f>M200</f>
        <v>N NOTRE BOUDIN NOIR | | Auteur &gt; Guy KRENZE - Eric GODDYN - Arnaud NICOLAS - CEPROC 2002</v>
      </c>
      <c r="N269" s="157">
        <f>N200</f>
        <v>16.34</v>
      </c>
      <c r="O269" s="158" t="str">
        <f>O200</f>
        <v>Kg</v>
      </c>
      <c r="P269" s="159" t="str">
        <f>P200</f>
        <v>Recette mère ► le Boudin en 4 déclinaisons</v>
      </c>
      <c r="Q269" s="5112" t="s">
        <v>750</v>
      </c>
      <c r="R269" s="5117">
        <v>9</v>
      </c>
      <c r="S269" s="197"/>
      <c r="T269" s="5116" t="s">
        <v>750</v>
      </c>
      <c r="U269" s="5115">
        <f>IF(AND(ISNUMBER(R269),R270&lt;=1,R269&gt;0),R269,IF(OR(ISBLANK(R268),ISBLANK(R270),NOT(ISNUMBER(R268)),NOT(ISNUMBER(R270))),"",MAX(0,R268*(1-IF(R270&gt;1,R270/100,R270)))))</f>
        <v>9</v>
      </c>
      <c r="V269" s="5178" t="str">
        <f ca="1">_xlfn.FORMULATEXT(U269)</f>
        <v>=SI(ET(ESTNUM(R269);R270&lt;=1;R269&gt;0);R269;SI(OU(ESTVIDE(R268);ESTVIDE(R270);NON(ESTNUM(R268));NON(ESTNUM(R270)));"";MAX(0;R268*(1-SI(R270&gt;1;R270/100;R270)))))</v>
      </c>
      <c r="W269" s="172"/>
      <c r="X269" s="172"/>
      <c r="Y269" s="172"/>
      <c r="Z269" s="555"/>
      <c r="AB269" s="104" t="str">
        <f t="shared" ca="1" si="57"/>
        <v>A</v>
      </c>
      <c r="AC269" s="157" t="str">
        <f>AC200</f>
        <v>O OUR BLACK PUDDING | |  Author &gt; Guy KRENZE - Eric GODDYN - Arnaud NICOLAS - CEPROC 2002</v>
      </c>
      <c r="AD269" s="157">
        <f>AD200</f>
        <v>16.34</v>
      </c>
      <c r="AE269" s="158" t="str">
        <f>AE200</f>
        <v>Kg</v>
      </c>
      <c r="AF269" s="159" t="str">
        <f>AF200</f>
        <v>Master recipe ► Black pudding in 4 variations</v>
      </c>
      <c r="AG269" s="5112" t="s">
        <v>1655</v>
      </c>
      <c r="AH269" s="5117">
        <v>9</v>
      </c>
      <c r="AI269" s="197"/>
      <c r="AJ269" s="5116" t="s">
        <v>1655</v>
      </c>
      <c r="AK269" s="5115">
        <f>IF(AND(ISNUMBER(AH269),AH270&lt;=1,AH269&gt;0),AH269,IF(OR(ISBLANK(AH268),ISBLANK(AH270),NOT(ISNUMBER(AH268)),NOT(ISNUMBER(AH270))),"",MAX(0,AH268*(1-IF(AH270&gt;1,AH270/100,AH270)))))</f>
        <v>9</v>
      </c>
      <c r="AL269" s="5178" t="str">
        <f ca="1">_xlfn.FORMULATEXT(AK269)</f>
        <v>=SI(ET(ESTNUM(AH269);AH270&lt;=1;AH269&gt;0);AH269;SI(OU(ESTVIDE(AH268);ESTVIDE(AH270);NON(ESTNUM(AH268));NON(ESTNUM(AH270)));"";MAX(0;AH268*(1-SI(AH270&gt;1;AH270/100;AH270)))))</v>
      </c>
      <c r="AM269" s="172"/>
      <c r="AN269" s="172"/>
      <c r="AO269" s="172"/>
      <c r="AP269" s="555"/>
      <c r="AR269" s="104" t="str">
        <f t="shared" ca="1" si="54"/>
        <v>A</v>
      </c>
      <c r="AS269" s="157" t="str">
        <f>AS200</f>
        <v>N NUESTRA MORCILLA | | Autor &gt; Guy KRENZE - Eric GODDYN - Arnaud NICOLAS - CEPROC 2002</v>
      </c>
      <c r="AT269" s="157">
        <f>AT200</f>
        <v>16.34</v>
      </c>
      <c r="AU269" s="158" t="str">
        <f>AU200</f>
        <v>Kg</v>
      </c>
      <c r="AV269" s="159" t="str">
        <f>AV200</f>
        <v>Receta madre ► Morcilla en 4 versiones</v>
      </c>
      <c r="AW269" s="5112" t="s">
        <v>1657</v>
      </c>
      <c r="AX269" s="5117">
        <v>9</v>
      </c>
      <c r="AY269" s="197"/>
      <c r="AZ269" s="5116" t="s">
        <v>1657</v>
      </c>
      <c r="BA269" s="5115">
        <f>IF(AND(ISNUMBER(AX269),AX270&lt;=1,AX269&gt;0),AX269,IF(OR(ISBLANK(AX268),ISBLANK(AX270),NOT(ISNUMBER(AX268)),NOT(ISNUMBER(AX270))),"",MAX(0,AX268*(1-IF(AX270&gt;1,AX270/100,AX270)))))</f>
        <v>9</v>
      </c>
      <c r="BB269" s="5178" t="str">
        <f ca="1">_xlfn.FORMULATEXT(BA269)</f>
        <v>=SI(ET(ESTNUM(AX269);AX270&lt;=1;AX269&gt;0);AX269;SI(OU(ESTVIDE(AX268);ESTVIDE(AX270);NON(ESTNUM(AX268));NON(ESTNUM(AX270)));"";MAX(0;AX268*(1-SI(AX270&gt;1;AX270/100;AX270)))))</v>
      </c>
      <c r="BC269" s="172"/>
      <c r="BD269" s="172"/>
      <c r="BE269" s="172"/>
      <c r="BF269" s="555"/>
      <c r="BG269" s="5086"/>
      <c r="BH269" s="104"/>
      <c r="BI269" s="32"/>
      <c r="BJ269" s="33"/>
      <c r="BK269" s="32"/>
      <c r="BL269" s="34"/>
      <c r="BM269" s="92"/>
      <c r="BN269" s="108"/>
      <c r="BO269" s="94"/>
      <c r="BP269" s="95"/>
      <c r="BQ269" s="105"/>
      <c r="BR269" s="5101"/>
      <c r="BS269" s="920"/>
      <c r="BT269" s="1495"/>
      <c r="BU269" s="101"/>
      <c r="BV269" s="1475"/>
      <c r="BW269" s="5086"/>
      <c r="BX269" s="104"/>
      <c r="BY269" s="32"/>
      <c r="BZ269" s="33"/>
      <c r="CA269" s="32"/>
      <c r="CB269" s="34"/>
      <c r="CC269" s="92"/>
      <c r="CD269" s="108"/>
      <c r="CE269" s="94"/>
      <c r="CF269" s="95"/>
      <c r="CG269" s="105"/>
      <c r="CH269" s="5101"/>
      <c r="CI269" s="920"/>
      <c r="CJ269" s="1495"/>
      <c r="CK269" s="101"/>
      <c r="CL269" s="1475"/>
      <c r="CM269" s="5086"/>
      <c r="CN269" s="104"/>
      <c r="CO269" s="32"/>
      <c r="CP269" s="33"/>
      <c r="CQ269" s="32"/>
      <c r="CR269" s="34"/>
      <c r="CS269" s="92"/>
      <c r="CT269" s="108"/>
      <c r="CU269" s="94"/>
      <c r="CV269" s="95"/>
      <c r="CW269" s="105"/>
      <c r="CX269" s="5101"/>
      <c r="CY269" s="920"/>
      <c r="CZ269" s="1495"/>
      <c r="DA269" s="101"/>
      <c r="DB269" s="1475"/>
      <c r="DC269" s="5109"/>
      <c r="DD269" s="5084"/>
      <c r="DF269" s="3">
        <v>1</v>
      </c>
      <c r="EY269" s="127">
        <v>1</v>
      </c>
      <c r="EZ269" s="920" t="s">
        <v>12832</v>
      </c>
      <c r="FA269" s="1495">
        <f>IF(OR(ISBLANK(ET238),FA238=0),0,ET269*EY239)</f>
        <v>0</v>
      </c>
      <c r="FB269" s="101">
        <f>IFERROR(_xlfn.LET(_xlpm.v,IFERROR(_xlfn.XLOOKUP(EX269,ET275:FC275,ET276:FC276),_xlfn.XLOOKUP(EX269,ET277:FC277,ET278:FC278)),_xlpm.v*EW269*EY269*EY239*IF(ISBLANK(ET269),1,ET269)),0)</f>
        <v>0</v>
      </c>
      <c r="FC269" s="1475" t="str">
        <f>_xlfn.LET(_xlpm.unite,SUBSTITUTE(TRIM(EX269)," (s)",""),_xlpm.val,FB269,_xlpm.estVol,COUNTIF(EW275:FC275,_xlpm.unite)+COUNTIF(EW277:FC277,_xlpm.unite)&gt;0,_xlpm.estPoids,COUNTIF(ET275:EV275,_xlpm.unite)+COUNTIF(ET277:EV277,_xlpm.unite)&gt;0,IF(_xlpm.estVol,IF(ROUND(_xlpm.val,3)&gt;=1,ROUND(_xlpm.val,3)&amp;" L",MAX(1,ROUND(_xlpm.val*100,0))&amp;" cl"),IF(_xlpm.estPoids,IF(ROUND(_xlpm.val,3)&gt;=1,ROUND(_xlpm.val,3)&amp;" Kg",MAX(1,ROUND(_xlpm.val*1000,0))&amp;" g"),"")))</f>
        <v>1 cl</v>
      </c>
    </row>
    <row r="270" spans="2:165" ht="21" customHeight="1">
      <c r="B270" s="952" t="str">
        <f t="shared" ca="1" si="55"/>
        <v>A</v>
      </c>
      <c r="C270" s="993" cm="1">
        <f t="array" ref="C270">SUMPRODUCT(LEN(D270:J270))</f>
        <v>0</v>
      </c>
      <c r="D270" s="167"/>
      <c r="E270" s="172"/>
      <c r="F270" s="172"/>
      <c r="G270" s="172"/>
      <c r="H270" s="172"/>
      <c r="I270" s="172"/>
      <c r="J270" s="173"/>
      <c r="K270"/>
      <c r="L270" s="104" t="str">
        <f t="shared" ca="1" si="52"/>
        <v>A</v>
      </c>
      <c r="M270" s="157" t="str">
        <f>M200</f>
        <v>N NOTRE BOUDIN NOIR | | Auteur &gt; Guy KRENZE - Eric GODDYN - Arnaud NICOLAS - CEPROC 2002</v>
      </c>
      <c r="N270" s="157">
        <f>N200</f>
        <v>16.34</v>
      </c>
      <c r="O270" s="158" t="str">
        <f>O200</f>
        <v>Kg</v>
      </c>
      <c r="P270" s="159" t="str">
        <f>P200</f>
        <v>Recette mère ► le Boudin en 4 déclinaisons</v>
      </c>
      <c r="Q270" s="5113" t="s">
        <v>764</v>
      </c>
      <c r="R270" s="5118"/>
      <c r="S270" s="197"/>
      <c r="T270" s="5116" t="s">
        <v>764</v>
      </c>
      <c r="U270" s="5177">
        <f>IF( R270 &gt; 0, R270, IF( OR(ISBLANK(R268), ISBLANK(R269), NOT(ISNUMBER(R268)), NOT(ISNUMBER(R269)), R268 = 0), "", (R268 - R269) / R268 * IF(R270 &gt; 1, R270 / 100, 1) ) )</f>
        <v>0.25</v>
      </c>
      <c r="V270" s="5178" t="str">
        <f t="shared" ref="V270:V273" ca="1" si="58">_xlfn.FORMULATEXT(U270)</f>
        <v>=SI( R270 &gt; 0; R270; SI( OU(ESTVIDE(R268); ESTVIDE(R269); NON(ESTNUM(R268)); NON(ESTNUM(R269)); R268 = 0); ""; (R268 - R269) / R268 * SI(R270 &gt; 1; R270 / 100; 1) ) )</v>
      </c>
      <c r="W270" s="172"/>
      <c r="X270" s="172"/>
      <c r="Y270" s="172"/>
      <c r="Z270" s="555"/>
      <c r="AA270" s="5086"/>
      <c r="AB270" s="104" t="str">
        <f t="shared" ca="1" si="57"/>
        <v>A</v>
      </c>
      <c r="AC270" s="157" t="str">
        <f>AC200</f>
        <v>O OUR BLACK PUDDING | |  Author &gt; Guy KRENZE - Eric GODDYN - Arnaud NICOLAS - CEPROC 2002</v>
      </c>
      <c r="AD270" s="157">
        <f>AD200</f>
        <v>16.34</v>
      </c>
      <c r="AE270" s="158" t="str">
        <f>AE200</f>
        <v>Kg</v>
      </c>
      <c r="AF270" s="159" t="str">
        <f>AF200</f>
        <v>Master recipe ► Black pudding in 4 variations</v>
      </c>
      <c r="AG270" s="5113" t="s">
        <v>1667</v>
      </c>
      <c r="AH270" s="5118"/>
      <c r="AI270" s="197"/>
      <c r="AJ270" s="5116" t="s">
        <v>1667</v>
      </c>
      <c r="AK270" s="5177">
        <f>IF( AH270 &gt; 0, AH270, IF( OR(ISBLANK(AH268), ISBLANK(AH269), NOT(ISNUMBER(AH268)), NOT(ISNUMBER(AH269)), AH268 = 0), "", (AH268 - AH269) / AH268 * IF(AH270 &gt; 1, AH270 / 100, 1) ) )</f>
        <v>0.25</v>
      </c>
      <c r="AL270" s="5178" t="str">
        <f t="shared" ref="AL270:AL273" ca="1" si="59">_xlfn.FORMULATEXT(AK270)</f>
        <v>=SI( AH270 &gt; 0; AH270; SI( OU(ESTVIDE(AH268); ESTVIDE(AH269); NON(ESTNUM(AH268)); NON(ESTNUM(AH269)); AH268 = 0); ""; (AH268 - AH269) / AH268 * SI(AH270 &gt; 1; AH270 / 100; 1) ) )</v>
      </c>
      <c r="AM270" s="172"/>
      <c r="AN270" s="172"/>
      <c r="AO270" s="172"/>
      <c r="AP270" s="555"/>
      <c r="AQ270" s="5086"/>
      <c r="AR270" s="104" t="str">
        <f t="shared" ca="1" si="54"/>
        <v>A</v>
      </c>
      <c r="AS270" s="157" t="str">
        <f>AS200</f>
        <v>N NUESTRA MORCILLA | | Autor &gt; Guy KRENZE - Eric GODDYN - Arnaud NICOLAS - CEPROC 2002</v>
      </c>
      <c r="AT270" s="157">
        <f>AT200</f>
        <v>16.34</v>
      </c>
      <c r="AU270" s="158" t="str">
        <f>AU200</f>
        <v>Kg</v>
      </c>
      <c r="AV270" s="159" t="str">
        <f>AV200</f>
        <v>Receta madre ► Morcilla en 4 versiones</v>
      </c>
      <c r="AW270" s="5113" t="s">
        <v>13231</v>
      </c>
      <c r="AX270" s="5118"/>
      <c r="AY270" s="197"/>
      <c r="AZ270" s="5116" t="s">
        <v>13231</v>
      </c>
      <c r="BA270" s="5177">
        <f>IF( AX270 &gt; 0, AX270, IF( OR(ISBLANK(AX268), ISBLANK(AX269), NOT(ISNUMBER(AX268)), NOT(ISNUMBER(AX269)), AX268 = 0), "", (AX268 - AX269) / AX268 * IF(AX270 &gt; 1, AX270 / 100, 1) ) )</f>
        <v>0.25</v>
      </c>
      <c r="BB270" s="5178" t="str">
        <f t="shared" ref="BB270:BB273" ca="1" si="60">_xlfn.FORMULATEXT(BA270)</f>
        <v>=SI( AX270 &gt; 0; AX270; SI( OU(ESTVIDE(AX268); ESTVIDE(AX269); NON(ESTNUM(AX268)); NON(ESTNUM(AX269)); AX268 = 0); ""; (AX268 - AX269) / AX268 * SI(AX270 &gt; 1; AX270 / 100; 1) ) )</v>
      </c>
      <c r="BC270" s="172"/>
      <c r="BD270" s="172"/>
      <c r="BE270" s="172"/>
      <c r="BF270" s="555"/>
      <c r="BG270" s="5086"/>
      <c r="BH270" s="104"/>
      <c r="BI270" s="32"/>
      <c r="BJ270" s="33"/>
      <c r="BK270" s="32"/>
      <c r="BL270" s="34"/>
      <c r="BM270" s="92"/>
      <c r="BN270" s="108"/>
      <c r="BO270" s="94"/>
      <c r="BP270" s="95"/>
      <c r="BQ270" s="105"/>
      <c r="BR270" s="5101"/>
      <c r="BS270" s="920"/>
      <c r="BT270" s="1495"/>
      <c r="BU270" s="101"/>
      <c r="BV270" s="1475"/>
      <c r="BW270" s="5086"/>
      <c r="BX270" s="104"/>
      <c r="BY270" s="32"/>
      <c r="BZ270" s="33"/>
      <c r="CA270" s="32"/>
      <c r="CB270" s="34"/>
      <c r="CC270" s="92"/>
      <c r="CD270" s="108"/>
      <c r="CE270" s="94"/>
      <c r="CF270" s="95"/>
      <c r="CG270" s="105"/>
      <c r="CH270" s="5101"/>
      <c r="CI270" s="920"/>
      <c r="CJ270" s="1495"/>
      <c r="CK270" s="101"/>
      <c r="CL270" s="1475"/>
      <c r="CM270" s="5086"/>
      <c r="CN270" s="104"/>
      <c r="CO270" s="32"/>
      <c r="CP270" s="33"/>
      <c r="CQ270" s="32"/>
      <c r="CR270" s="34"/>
      <c r="CS270" s="92"/>
      <c r="CT270" s="108"/>
      <c r="CU270" s="94"/>
      <c r="CV270" s="95"/>
      <c r="CW270" s="105"/>
      <c r="CX270" s="5101"/>
      <c r="CY270" s="920"/>
      <c r="CZ270" s="1495"/>
      <c r="DA270" s="101"/>
      <c r="DB270" s="1475"/>
      <c r="DC270" s="5109"/>
      <c r="DD270" s="5067"/>
      <c r="DF270" s="3">
        <v>1</v>
      </c>
      <c r="EY270" s="127">
        <v>1</v>
      </c>
      <c r="EZ270" s="920" t="s">
        <v>12833</v>
      </c>
      <c r="FA270" s="1495">
        <f>IF(OR(ISBLANK(ET238),FA238=0),0,ET270*EY239)</f>
        <v>0</v>
      </c>
      <c r="FB270" s="101">
        <f>IFERROR(_xlfn.LET(_xlpm.v,IFERROR(_xlfn.XLOOKUP(EX270,ET275:FC275,ET276:FC276),_xlfn.XLOOKUP(EX270,ET277:FC277,ET278:FC278)),_xlpm.v*EW270*EY270*EY239*IF(ISBLANK(ET270),1,ET270)),0)</f>
        <v>0</v>
      </c>
      <c r="FC270" s="1476" t="str">
        <f>_xlfn.LET(_xlpm.unite,SUBSTITUTE(TRIM(EX270)," (s)",""),_xlpm.val,FB270,_xlpm.estVol,COUNTIF(EW275:FC275,_xlpm.unite)+COUNTIF(EW277:FC277,_xlpm.unite)&gt;0,_xlpm.estPoids,COUNTIF(ET275:EV275,_xlpm.unite)+COUNTIF(ET277:EV277,_xlpm.unite)&gt;0,IF(_xlpm.estVol,IF(ROUND(_xlpm.val,3)&gt;=1,ROUND(_xlpm.val,3)&amp;" L",MAX(1,ROUND(_xlpm.val*100,0))&amp;" cl"),IF(_xlpm.estPoids,IF(ROUND(_xlpm.val,3)&gt;=1,ROUND(_xlpm.val,3)&amp;" Kg",MAX(1,ROUND(_xlpm.val*1000,0))&amp;" g"),"")))</f>
        <v>1 cl</v>
      </c>
    </row>
    <row r="271" spans="2:165" ht="21" customHeight="1">
      <c r="B271" s="952" t="str">
        <f t="shared" ca="1" si="55"/>
        <v>A</v>
      </c>
      <c r="C271" s="993" cm="1">
        <f t="array" ref="C271">SUMPRODUCT(LEN(D271:J271))</f>
        <v>0</v>
      </c>
      <c r="D271" s="167"/>
      <c r="E271" s="172"/>
      <c r="F271" s="172"/>
      <c r="G271" s="172"/>
      <c r="H271" s="172"/>
      <c r="I271" s="172"/>
      <c r="J271" s="173"/>
      <c r="K271"/>
      <c r="L271" s="104" t="str">
        <f t="shared" ca="1" si="52"/>
        <v>A</v>
      </c>
      <c r="M271" s="157" t="str">
        <f>M200</f>
        <v>N NOTRE BOUDIN NOIR | | Auteur &gt; Guy KRENZE - Eric GODDYN - Arnaud NICOLAS - CEPROC 2002</v>
      </c>
      <c r="N271" s="157">
        <f>N200</f>
        <v>16.34</v>
      </c>
      <c r="O271" s="158" t="str">
        <f>O200</f>
        <v>Kg</v>
      </c>
      <c r="P271" s="159" t="str">
        <f>P200</f>
        <v>Recette mère ► le Boudin en 4 déclinaisons</v>
      </c>
      <c r="Q271" s="5176"/>
      <c r="R271" s="172"/>
      <c r="S271" s="197"/>
      <c r="T271" s="5116" t="s">
        <v>13081</v>
      </c>
      <c r="U271" s="5115">
        <f>IF(AND(NOT(ISBLANK(R268)),NOT(ISBLANK(R269))),R268-R269,IF(NOT(ISBLANK(R270)),IF(NOT(ISBLANK(R268)),R268*IF(R270&gt;1,R270/100,R270),IF(NOT(ISBLANK(R269)),R269*IF(R270&gt;1,R270/100,R270)/(1-IF(R270&gt;1,R270/100,R270)),"")),""))</f>
        <v>3</v>
      </c>
      <c r="V271" s="5178" t="str">
        <f t="shared" ca="1" si="58"/>
        <v>=SI(ET(NON(ESTVIDE(R268));NON(ESTVIDE(R269)));R268-R269;SI(NON(ESTVIDE(R270));SI(NON(ESTVIDE(R268));R268*SI(R270&gt;1;R270/100;R270);SI(NON(ESTVIDE(R269));R269*SI(R270&gt;1;R270/100;R270)/(1-SI(R270&gt;1;R270/100;R270));""));""))</v>
      </c>
      <c r="W271" s="172"/>
      <c r="X271" s="172"/>
      <c r="Y271" s="172"/>
      <c r="Z271" s="555"/>
      <c r="AA271" s="5086"/>
      <c r="AB271" s="104" t="str">
        <f t="shared" ca="1" si="57"/>
        <v>A</v>
      </c>
      <c r="AC271" s="157" t="str">
        <f>AC200</f>
        <v>O OUR BLACK PUDDING | |  Author &gt; Guy KRENZE - Eric GODDYN - Arnaud NICOLAS - CEPROC 2002</v>
      </c>
      <c r="AD271" s="157">
        <f>AD200</f>
        <v>16.34</v>
      </c>
      <c r="AE271" s="158" t="str">
        <f>AE200</f>
        <v>Kg</v>
      </c>
      <c r="AF271" s="159" t="str">
        <f>AF200</f>
        <v>Master recipe ► Black pudding in 4 variations</v>
      </c>
      <c r="AG271" s="5176"/>
      <c r="AH271" s="172"/>
      <c r="AI271" s="197"/>
      <c r="AJ271" s="5116" t="s">
        <v>13228</v>
      </c>
      <c r="AK271" s="5115">
        <f>IF(AND(NOT(ISBLANK(AH268)),NOT(ISBLANK(AH269))),AH268-AH269,IF(NOT(ISBLANK(AH270)),IF(NOT(ISBLANK(AH268)),AH268*IF(AH270&gt;1,AH270/100,AH270),IF(NOT(ISBLANK(AH269)),AH269*IF(AH270&gt;1,AH270/100,AH270)/(1-IF(AH270&gt;1,AH270/100,AH270)),"")),""))</f>
        <v>3</v>
      </c>
      <c r="AL271" s="5178" t="str">
        <f t="shared" ca="1" si="59"/>
        <v>=SI(ET(NON(ESTVIDE(AH268));NON(ESTVIDE(AH269)));AH268-AH269;SI(NON(ESTVIDE(AH270));SI(NON(ESTVIDE(AH268));AH268*SI(AH270&gt;1;AH270/100;AH270);SI(NON(ESTVIDE(AH269));AH269*SI(AH270&gt;1;AH270/100;AH270)/(1-SI(AH270&gt;1;AH270/100;AH270));""));""))</v>
      </c>
      <c r="AM271" s="172"/>
      <c r="AN271" s="172"/>
      <c r="AO271" s="172"/>
      <c r="AP271" s="555"/>
      <c r="AQ271" s="5086"/>
      <c r="AR271" s="104" t="str">
        <f t="shared" ca="1" si="54"/>
        <v>A</v>
      </c>
      <c r="AS271" s="157" t="str">
        <f>AS200</f>
        <v>N NUESTRA MORCILLA | | Autor &gt; Guy KRENZE - Eric GODDYN - Arnaud NICOLAS - CEPROC 2002</v>
      </c>
      <c r="AT271" s="157">
        <f>AT200</f>
        <v>16.34</v>
      </c>
      <c r="AU271" s="158" t="str">
        <f>AU200</f>
        <v>Kg</v>
      </c>
      <c r="AV271" s="159" t="str">
        <f>AV200</f>
        <v>Receta madre ► Morcilla en 4 versiones</v>
      </c>
      <c r="AW271" s="5176"/>
      <c r="AX271" s="172"/>
      <c r="AY271" s="197"/>
      <c r="AZ271" s="5116" t="s">
        <v>13232</v>
      </c>
      <c r="BA271" s="5115">
        <f>IF(AND(NOT(ISBLANK(AX268)),NOT(ISBLANK(AX269))),AX268-AX269,IF(NOT(ISBLANK(AX270)),IF(NOT(ISBLANK(AX268)),AX268*IF(AX270&gt;1,AX270/100,AX270),IF(NOT(ISBLANK(AX269)),AX269*IF(AX270&gt;1,AX270/100,AX270)/(1-IF(AX270&gt;1,AX270/100,AX270)),"")),""))</f>
        <v>3</v>
      </c>
      <c r="BB271" s="5178" t="str">
        <f t="shared" ca="1" si="60"/>
        <v>=SI(ET(NON(ESTVIDE(AX268));NON(ESTVIDE(AX269)));AX268-AX269;SI(NON(ESTVIDE(AX270));SI(NON(ESTVIDE(AX268));AX268*SI(AX270&gt;1;AX270/100;AX270);SI(NON(ESTVIDE(AX269));AX269*SI(AX270&gt;1;AX270/100;AX270)/(1-SI(AX270&gt;1;AX270/100;AX270));""));""))</v>
      </c>
      <c r="BC271" s="172"/>
      <c r="BD271" s="172"/>
      <c r="BE271" s="172"/>
      <c r="BF271" s="555"/>
      <c r="BG271" s="5086"/>
      <c r="BH271" s="104"/>
      <c r="BI271" s="32"/>
      <c r="BJ271" s="33"/>
      <c r="BK271" s="32"/>
      <c r="BL271" s="34"/>
      <c r="BM271" s="92"/>
      <c r="BN271" s="108"/>
      <c r="BO271" s="94"/>
      <c r="BP271" s="95"/>
      <c r="BQ271" s="105"/>
      <c r="BR271" s="5101"/>
      <c r="BS271" s="920"/>
      <c r="BT271" s="1495"/>
      <c r="BU271" s="101"/>
      <c r="BV271" s="1475"/>
      <c r="BW271" s="5086"/>
      <c r="BX271" s="104"/>
      <c r="BY271" s="32"/>
      <c r="BZ271" s="33"/>
      <c r="CA271" s="32"/>
      <c r="CB271" s="34"/>
      <c r="CC271" s="92"/>
      <c r="CD271" s="108"/>
      <c r="CE271" s="94"/>
      <c r="CF271" s="95"/>
      <c r="CG271" s="105"/>
      <c r="CH271" s="5101"/>
      <c r="CI271" s="920"/>
      <c r="CJ271" s="1495"/>
      <c r="CK271" s="101"/>
      <c r="CL271" s="1475"/>
      <c r="CM271" s="5086"/>
      <c r="CN271" s="104"/>
      <c r="CO271" s="32"/>
      <c r="CP271" s="33"/>
      <c r="CQ271" s="32"/>
      <c r="CR271" s="34"/>
      <c r="CS271" s="92"/>
      <c r="CT271" s="108"/>
      <c r="CU271" s="94"/>
      <c r="CV271" s="95"/>
      <c r="CW271" s="105"/>
      <c r="CX271" s="5101"/>
      <c r="CY271" s="920"/>
      <c r="CZ271" s="1495"/>
      <c r="DA271" s="101"/>
      <c r="DB271" s="1475"/>
      <c r="DC271" s="5109"/>
      <c r="DD271" s="5086"/>
      <c r="DF271" s="3">
        <v>1</v>
      </c>
      <c r="EY271" s="127">
        <v>1</v>
      </c>
      <c r="EZ271" s="920"/>
      <c r="FA271" s="1495">
        <f>IF(OR(ISBLANK(ET238),FA238=0),0,ET271*EY239)</f>
        <v>0</v>
      </c>
      <c r="FB271" s="101">
        <f>IFERROR(_xlfn.LET(_xlpm.v,IFERROR(_xlfn.XLOOKUP(EX271,ET275:FC275,ET276:FC276),_xlfn.XLOOKUP(EX271,ET277:FC277,ET278:FC278)),_xlpm.v*EW271*EY271*EY239*IF(ISBLANK(ET271),1,ET271)),0)</f>
        <v>0</v>
      </c>
      <c r="FC271" s="1475" t="str">
        <f>_xlfn.LET(_xlpm.unite,SUBSTITUTE(TRIM(EX271)," (s)",""),_xlpm.val,FB271,_xlpm.estVol,COUNTIF(EW275:FC275,_xlpm.unite)+COUNTIF(EW277:FC277,_xlpm.unite)&gt;0,_xlpm.estPoids,COUNTIF(ET275:EV275,_xlpm.unite)+COUNTIF(ET277:EV277,_xlpm.unite)&gt;0,IF(_xlpm.estVol,IF(ROUND(_xlpm.val,3)&gt;=1,ROUND(_xlpm.val,3)&amp;" L",MAX(1,ROUND(_xlpm.val*100,0))&amp;" cl"),IF(_xlpm.estPoids,IF(ROUND(_xlpm.val,3)&gt;=1,ROUND(_xlpm.val,3)&amp;" Kg",MAX(1,ROUND(_xlpm.val*1000,0))&amp;" g"),"")))</f>
        <v>1 cl</v>
      </c>
    </row>
    <row r="272" spans="2:165" ht="21" customHeight="1">
      <c r="B272" s="952" t="str">
        <f t="shared" ca="1" si="55"/>
        <v>A</v>
      </c>
      <c r="C272" s="993" cm="1">
        <f t="array" ref="C272">SUMPRODUCT(LEN(D272:J272))</f>
        <v>0</v>
      </c>
      <c r="D272" s="167"/>
      <c r="E272" s="172"/>
      <c r="F272" s="172"/>
      <c r="G272" s="172"/>
      <c r="H272" s="172"/>
      <c r="I272" s="172"/>
      <c r="J272" s="173"/>
      <c r="K272"/>
      <c r="L272" s="104" t="str">
        <f t="shared" ca="1" si="52"/>
        <v>A</v>
      </c>
      <c r="M272" s="157" t="str">
        <f>M200</f>
        <v>N NOTRE BOUDIN NOIR | | Auteur &gt; Guy KRENZE - Eric GODDYN - Arnaud NICOLAS - CEPROC 2002</v>
      </c>
      <c r="N272" s="157">
        <f>N200</f>
        <v>16.34</v>
      </c>
      <c r="O272" s="158" t="str">
        <f>O200</f>
        <v>Kg</v>
      </c>
      <c r="P272" s="159" t="str">
        <f>P200</f>
        <v>Recette mère ► le Boudin en 4 déclinaisons</v>
      </c>
      <c r="Q272" s="5175"/>
      <c r="R272" s="172"/>
      <c r="S272" s="172"/>
      <c r="T272" s="5120" t="s">
        <v>13082</v>
      </c>
      <c r="U272" s="5121">
        <f>IF(OR(ISBLANK(R268),ISBLANK(R269)),"",R268/R269)</f>
        <v>1.3333333333333333</v>
      </c>
      <c r="V272" s="5178" t="str">
        <f t="shared" ca="1" si="58"/>
        <v>=SI(OU(ESTVIDE(R268);ESTVIDE(R269));"";R268/R269)</v>
      </c>
      <c r="W272" s="172"/>
      <c r="X272" s="172"/>
      <c r="Y272" s="172"/>
      <c r="Z272" s="555"/>
      <c r="AA272" s="5086"/>
      <c r="AB272" s="104" t="str">
        <f t="shared" ca="1" si="57"/>
        <v>A</v>
      </c>
      <c r="AC272" s="157" t="str">
        <f>AC200</f>
        <v>O OUR BLACK PUDDING | |  Author &gt; Guy KRENZE - Eric GODDYN - Arnaud NICOLAS - CEPROC 2002</v>
      </c>
      <c r="AD272" s="157">
        <f>AD200</f>
        <v>16.34</v>
      </c>
      <c r="AE272" s="158" t="str">
        <f>AE200</f>
        <v>Kg</v>
      </c>
      <c r="AF272" s="159" t="str">
        <f>AF200</f>
        <v>Master recipe ► Black pudding in 4 variations</v>
      </c>
      <c r="AG272" s="5175"/>
      <c r="AH272" s="172"/>
      <c r="AI272" s="172"/>
      <c r="AJ272" s="5120" t="s">
        <v>13229</v>
      </c>
      <c r="AK272" s="5121">
        <f>IF(OR(ISBLANK(AH268),ISBLANK(AH269)),"",AH268/AH269)</f>
        <v>1.3333333333333333</v>
      </c>
      <c r="AL272" s="5178" t="str">
        <f t="shared" ca="1" si="59"/>
        <v>=SI(OU(ESTVIDE(AH268);ESTVIDE(AH269));"";AH268/AH269)</v>
      </c>
      <c r="AM272" s="172"/>
      <c r="AN272" s="172"/>
      <c r="AO272" s="172"/>
      <c r="AP272" s="555"/>
      <c r="AQ272" s="5086"/>
      <c r="AR272" s="104" t="str">
        <f t="shared" ca="1" si="54"/>
        <v>A</v>
      </c>
      <c r="AS272" s="157" t="str">
        <f>AS200</f>
        <v>N NUESTRA MORCILLA | | Autor &gt; Guy KRENZE - Eric GODDYN - Arnaud NICOLAS - CEPROC 2002</v>
      </c>
      <c r="AT272" s="157">
        <f>AT200</f>
        <v>16.34</v>
      </c>
      <c r="AU272" s="158" t="str">
        <f>AU200</f>
        <v>Kg</v>
      </c>
      <c r="AV272" s="159" t="str">
        <f>AV200</f>
        <v>Receta madre ► Morcilla en 4 versiones</v>
      </c>
      <c r="AW272" s="5175"/>
      <c r="AX272" s="172"/>
      <c r="AY272" s="172"/>
      <c r="AZ272" s="5120" t="s">
        <v>13233</v>
      </c>
      <c r="BA272" s="5121">
        <f>IF(OR(ISBLANK(AX268),ISBLANK(AX269)),"",AX268/AX269)</f>
        <v>1.3333333333333333</v>
      </c>
      <c r="BB272" s="5178" t="str">
        <f t="shared" ca="1" si="60"/>
        <v>=SI(OU(ESTVIDE(AX268);ESTVIDE(AX269));"";AX268/AX269)</v>
      </c>
      <c r="BC272" s="172"/>
      <c r="BD272" s="172"/>
      <c r="BE272" s="172"/>
      <c r="BF272" s="555"/>
      <c r="BG272" s="5086"/>
      <c r="BH272" s="104"/>
      <c r="BI272" s="32"/>
      <c r="BJ272" s="33"/>
      <c r="BK272" s="32"/>
      <c r="BL272" s="34"/>
      <c r="BM272" s="92"/>
      <c r="BN272" s="108"/>
      <c r="BO272" s="94"/>
      <c r="BP272" s="95"/>
      <c r="BQ272" s="105"/>
      <c r="BR272" s="5101"/>
      <c r="BS272" s="920"/>
      <c r="BT272" s="1495"/>
      <c r="BU272" s="101"/>
      <c r="BV272" s="1475"/>
      <c r="BW272" s="5086"/>
      <c r="BX272" s="104"/>
      <c r="BY272" s="32"/>
      <c r="BZ272" s="33"/>
      <c r="CA272" s="32"/>
      <c r="CB272" s="34"/>
      <c r="CC272" s="92"/>
      <c r="CD272" s="108"/>
      <c r="CE272" s="94"/>
      <c r="CF272" s="95"/>
      <c r="CG272" s="105"/>
      <c r="CH272" s="5101"/>
      <c r="CI272" s="920"/>
      <c r="CJ272" s="1495"/>
      <c r="CK272" s="101"/>
      <c r="CL272" s="1475"/>
      <c r="CM272" s="5086"/>
      <c r="CN272" s="104"/>
      <c r="CO272" s="32"/>
      <c r="CP272" s="33"/>
      <c r="CQ272" s="32"/>
      <c r="CR272" s="34"/>
      <c r="CS272" s="92"/>
      <c r="CT272" s="108"/>
      <c r="CU272" s="94"/>
      <c r="CV272" s="95"/>
      <c r="CW272" s="105"/>
      <c r="CX272" s="5101"/>
      <c r="CY272" s="920"/>
      <c r="CZ272" s="1495"/>
      <c r="DA272" s="101"/>
      <c r="DB272" s="1475"/>
      <c r="DC272" s="5109"/>
      <c r="DD272" s="5081"/>
      <c r="DF272" s="3">
        <v>1</v>
      </c>
      <c r="EY272" s="127">
        <v>1</v>
      </c>
      <c r="EZ272" s="920"/>
      <c r="FA272" s="1495">
        <f>IF(OR(ISBLANK(ET238),FA238=0),0,ET272*EY239)</f>
        <v>0</v>
      </c>
      <c r="FB272" s="101">
        <f>IFERROR(_xlfn.LET(_xlpm.v,IFERROR(_xlfn.XLOOKUP(EX272,ET275:FC275,ET276:FC276),_xlfn.XLOOKUP(EX272,ET277:FC277,ET278:FC278)),_xlpm.v*EW272*EY272*EY239*IF(ISBLANK(ET272),1,ET272)),0)</f>
        <v>0</v>
      </c>
      <c r="FC272" s="1476" t="str">
        <f>_xlfn.LET(_xlpm.unite,SUBSTITUTE(TRIM(EX272)," (s)",""),_xlpm.val,FB272,_xlpm.estVol,COUNTIF(EW275:FC275,_xlpm.unite)+COUNTIF(EW277:FC277,_xlpm.unite)&gt;0,_xlpm.estPoids,COUNTIF(ET275:EV275,_xlpm.unite)+COUNTIF(ET277:EV277,_xlpm.unite)&gt;0,IF(_xlpm.estVol,IF(ROUND(_xlpm.val,3)&gt;=1,ROUND(_xlpm.val,3)&amp;" L",MAX(1,ROUND(_xlpm.val*100,0))&amp;" cl"),IF(_xlpm.estPoids,IF(ROUND(_xlpm.val,3)&gt;=1,ROUND(_xlpm.val,3)&amp;" Kg",MAX(1,ROUND(_xlpm.val*1000,0))&amp;" g"),"")))</f>
        <v>1 cl</v>
      </c>
    </row>
    <row r="273" spans="2:159" ht="21" customHeight="1">
      <c r="B273" s="952" t="str">
        <f t="shared" ca="1" si="55"/>
        <v>A</v>
      </c>
      <c r="C273" s="993" cm="1">
        <f t="array" ref="C273">SUMPRODUCT(LEN(D273:J273))</f>
        <v>0</v>
      </c>
      <c r="D273" s="167"/>
      <c r="E273" s="172"/>
      <c r="F273" s="172"/>
      <c r="G273" s="172"/>
      <c r="H273" s="172"/>
      <c r="I273" s="172"/>
      <c r="J273" s="173"/>
      <c r="K273"/>
      <c r="L273" s="104" t="str">
        <f t="shared" ca="1" si="52"/>
        <v>A</v>
      </c>
      <c r="M273" s="157" t="str">
        <f>M200</f>
        <v>N NOTRE BOUDIN NOIR | | Auteur &gt; Guy KRENZE - Eric GODDYN - Arnaud NICOLAS - CEPROC 2002</v>
      </c>
      <c r="N273" s="157">
        <f>N200</f>
        <v>16.34</v>
      </c>
      <c r="O273" s="158" t="str">
        <f>O200</f>
        <v>Kg</v>
      </c>
      <c r="P273" s="159" t="str">
        <f>P200</f>
        <v>Recette mère ► le Boudin en 4 déclinaisons</v>
      </c>
      <c r="Q273" s="5119"/>
      <c r="R273" s="172"/>
      <c r="S273" s="172"/>
      <c r="T273" s="5120" t="s">
        <v>13083</v>
      </c>
      <c r="U273" s="5123">
        <f>IF(OR(ISBLANK(R268),ISBLANK(R269)),"",R269/R268)</f>
        <v>0.75</v>
      </c>
      <c r="V273" s="5178" t="str">
        <f t="shared" ca="1" si="58"/>
        <v>=SI(OU(ESTVIDE(R268);ESTVIDE(R269));"";R269/R268)</v>
      </c>
      <c r="W273" s="172"/>
      <c r="X273" s="172"/>
      <c r="Y273" s="172"/>
      <c r="Z273" s="555"/>
      <c r="AA273" s="5086"/>
      <c r="AB273" s="104" t="str">
        <f t="shared" ca="1" si="57"/>
        <v>A</v>
      </c>
      <c r="AC273" s="157" t="str">
        <f>AC200</f>
        <v>O OUR BLACK PUDDING | |  Author &gt; Guy KRENZE - Eric GODDYN - Arnaud NICOLAS - CEPROC 2002</v>
      </c>
      <c r="AD273" s="157">
        <f>AD200</f>
        <v>16.34</v>
      </c>
      <c r="AE273" s="158" t="str">
        <f>AE200</f>
        <v>Kg</v>
      </c>
      <c r="AF273" s="159" t="str">
        <f>AF200</f>
        <v>Master recipe ► Black pudding in 4 variations</v>
      </c>
      <c r="AG273" s="5119"/>
      <c r="AH273" s="172"/>
      <c r="AI273" s="172"/>
      <c r="AJ273" s="5120" t="s">
        <v>13230</v>
      </c>
      <c r="AK273" s="5123">
        <f>IF(OR(ISBLANK(AH268),ISBLANK(AH269)),"",AH269/AH268)</f>
        <v>0.75</v>
      </c>
      <c r="AL273" s="5178" t="str">
        <f t="shared" ca="1" si="59"/>
        <v>=SI(OU(ESTVIDE(AH268);ESTVIDE(AH269));"";AH269/AH268)</v>
      </c>
      <c r="AM273" s="172"/>
      <c r="AN273" s="172"/>
      <c r="AO273" s="172"/>
      <c r="AP273" s="555"/>
      <c r="AQ273" s="5086"/>
      <c r="AR273" s="104" t="str">
        <f t="shared" ca="1" si="54"/>
        <v>A</v>
      </c>
      <c r="AS273" s="157" t="str">
        <f>AS200</f>
        <v>N NUESTRA MORCILLA | | Autor &gt; Guy KRENZE - Eric GODDYN - Arnaud NICOLAS - CEPROC 2002</v>
      </c>
      <c r="AT273" s="157">
        <f>AT200</f>
        <v>16.34</v>
      </c>
      <c r="AU273" s="158" t="str">
        <f>AU200</f>
        <v>Kg</v>
      </c>
      <c r="AV273" s="159" t="str">
        <f>AV200</f>
        <v>Receta madre ► Morcilla en 4 versiones</v>
      </c>
      <c r="AW273" s="5119"/>
      <c r="AX273" s="172"/>
      <c r="AY273" s="172"/>
      <c r="AZ273" s="5120" t="s">
        <v>13234</v>
      </c>
      <c r="BA273" s="5123">
        <f>IF(OR(ISBLANK(AX268),ISBLANK(AX269)),"",AX269/AX268)</f>
        <v>0.75</v>
      </c>
      <c r="BB273" s="5178" t="str">
        <f t="shared" ca="1" si="60"/>
        <v>=SI(OU(ESTVIDE(AX268);ESTVIDE(AX269));"";AX269/AX268)</v>
      </c>
      <c r="BC273" s="172"/>
      <c r="BD273" s="172"/>
      <c r="BE273" s="172"/>
      <c r="BF273" s="555"/>
      <c r="BG273" s="5086"/>
      <c r="BH273" s="104"/>
      <c r="BI273" s="32"/>
      <c r="BJ273" s="33"/>
      <c r="BK273" s="32"/>
      <c r="BL273" s="34"/>
      <c r="BM273" s="92"/>
      <c r="BN273" s="108"/>
      <c r="BO273" s="94"/>
      <c r="BP273" s="95"/>
      <c r="BQ273" s="105"/>
      <c r="BR273" s="5101"/>
      <c r="BS273" s="920"/>
      <c r="BT273" s="1495"/>
      <c r="BU273" s="101"/>
      <c r="BV273" s="1475"/>
      <c r="BW273" s="5086"/>
      <c r="BX273" s="104"/>
      <c r="BY273" s="32"/>
      <c r="BZ273" s="33"/>
      <c r="CA273" s="32"/>
      <c r="CB273" s="34"/>
      <c r="CC273" s="92"/>
      <c r="CD273" s="108"/>
      <c r="CE273" s="94"/>
      <c r="CF273" s="95"/>
      <c r="CG273" s="105"/>
      <c r="CH273" s="5101"/>
      <c r="CI273" s="920"/>
      <c r="CJ273" s="1495"/>
      <c r="CK273" s="101"/>
      <c r="CL273" s="1475"/>
      <c r="CM273" s="5086"/>
      <c r="CN273" s="104"/>
      <c r="CO273" s="32"/>
      <c r="CP273" s="33"/>
      <c r="CQ273" s="32"/>
      <c r="CR273" s="34"/>
      <c r="CS273" s="92"/>
      <c r="CT273" s="108"/>
      <c r="CU273" s="94"/>
      <c r="CV273" s="95"/>
      <c r="CW273" s="105"/>
      <c r="CX273" s="5101"/>
      <c r="CY273" s="920"/>
      <c r="CZ273" s="1495"/>
      <c r="DA273" s="101"/>
      <c r="DB273" s="1475"/>
      <c r="DC273" s="5109"/>
      <c r="DD273" s="5080"/>
      <c r="DF273" s="3">
        <v>1</v>
      </c>
      <c r="EY273" s="127">
        <v>1</v>
      </c>
      <c r="EZ273" s="920"/>
      <c r="FA273" s="1495">
        <f>IF(OR(ISBLANK(ET238),FA238=0),0,ET273*EY239)</f>
        <v>0</v>
      </c>
      <c r="FB273" s="101">
        <f>IFERROR(_xlfn.LET(_xlpm.v,IFERROR(_xlfn.XLOOKUP(EX273,ET275:FC275,ET276:FC276),_xlfn.XLOOKUP(EX273,ET277:FC277,ET278:FC278)),_xlpm.v*EW273*EY273*EY239*IF(ISBLANK(ET273),1,ET273)),0)</f>
        <v>0</v>
      </c>
      <c r="FC273" s="1475" t="str">
        <f>_xlfn.LET(_xlpm.unite,SUBSTITUTE(TRIM(EX273)," (s)",""),_xlpm.val,FB273,_xlpm.estVol,COUNTIF(EW275:FC275,_xlpm.unite)+COUNTIF(EW277:FC277,_xlpm.unite)&gt;0,_xlpm.estPoids,COUNTIF(ET275:EV275,_xlpm.unite)+COUNTIF(ET277:EV277,_xlpm.unite)&gt;0,IF(_xlpm.estVol,IF(ROUND(_xlpm.val,3)&gt;=1,ROUND(_xlpm.val,3)&amp;" L",MAX(1,ROUND(_xlpm.val*100,0))&amp;" cl"),IF(_xlpm.estPoids,IF(ROUND(_xlpm.val,3)&gt;=1,ROUND(_xlpm.val,3)&amp;" Kg",MAX(1,ROUND(_xlpm.val*1000,0))&amp;" g"),"")))</f>
        <v>1 cl</v>
      </c>
    </row>
    <row r="274" spans="2:159" ht="21" customHeight="1">
      <c r="B274" s="952" t="str">
        <f t="shared" si="55"/>
        <v>►</v>
      </c>
      <c r="C274" s="993" cm="1">
        <f t="array" ref="C274">SUMPRODUCT(LEN(D274:J274))</f>
        <v>0</v>
      </c>
      <c r="D274" s="167"/>
      <c r="E274" s="172"/>
      <c r="F274" s="172"/>
      <c r="G274" s="172"/>
      <c r="H274" s="172"/>
      <c r="I274" s="172"/>
      <c r="J274" s="173"/>
      <c r="K274"/>
      <c r="L274" s="104" t="str">
        <f t="shared" si="52"/>
        <v>►</v>
      </c>
      <c r="M274" s="157" t="str">
        <f>M200</f>
        <v>N NOTRE BOUDIN NOIR | | Auteur &gt; Guy KRENZE - Eric GODDYN - Arnaud NICOLAS - CEPROC 2002</v>
      </c>
      <c r="N274" s="157">
        <f>N200</f>
        <v>16.34</v>
      </c>
      <c r="O274" s="158" t="str">
        <f>O200</f>
        <v>Kg</v>
      </c>
      <c r="P274" s="159" t="str">
        <f>P200</f>
        <v>Recette mère ► le Boudin en 4 déclinaisons</v>
      </c>
      <c r="Q274" s="5124" t="s">
        <v>9233</v>
      </c>
      <c r="R274" s="5125"/>
      <c r="S274" s="5125"/>
      <c r="T274" s="5125"/>
      <c r="U274" s="5126"/>
      <c r="V274" s="172"/>
      <c r="W274" s="172"/>
      <c r="X274" s="172"/>
      <c r="Y274" s="172"/>
      <c r="Z274" s="555"/>
      <c r="AA274" s="5086"/>
      <c r="AB274" s="104" t="str">
        <f t="shared" si="57"/>
        <v>►</v>
      </c>
      <c r="AC274" s="157" t="str">
        <f>AC200</f>
        <v>O OUR BLACK PUDDING | |  Author &gt; Guy KRENZE - Eric GODDYN - Arnaud NICOLAS - CEPROC 2002</v>
      </c>
      <c r="AD274" s="157">
        <f>AD200</f>
        <v>16.34</v>
      </c>
      <c r="AE274" s="158" t="str">
        <f>AE200</f>
        <v>Kg</v>
      </c>
      <c r="AF274" s="159" t="str">
        <f>AF200</f>
        <v>Master recipe ► Black pudding in 4 variations</v>
      </c>
      <c r="AG274" s="5124" t="s">
        <v>13236</v>
      </c>
      <c r="AH274" s="5125"/>
      <c r="AI274" s="5125"/>
      <c r="AJ274" s="5125"/>
      <c r="AK274" s="5126"/>
      <c r="AL274" s="172"/>
      <c r="AM274" s="172"/>
      <c r="AN274" s="172"/>
      <c r="AO274" s="172"/>
      <c r="AP274" s="555"/>
      <c r="AQ274" s="5086"/>
      <c r="AR274" s="104" t="str">
        <f t="shared" si="54"/>
        <v>►</v>
      </c>
      <c r="AS274" s="157" t="str">
        <f>AS200</f>
        <v>N NUESTRA MORCILLA | | Autor &gt; Guy KRENZE - Eric GODDYN - Arnaud NICOLAS - CEPROC 2002</v>
      </c>
      <c r="AT274" s="157">
        <f>AT200</f>
        <v>16.34</v>
      </c>
      <c r="AU274" s="158" t="str">
        <f>AU200</f>
        <v>Kg</v>
      </c>
      <c r="AV274" s="159" t="str">
        <f>AV200</f>
        <v>Receta madre ► Morcilla en 4 versiones</v>
      </c>
      <c r="AW274" s="5124" t="s">
        <v>13238</v>
      </c>
      <c r="AX274" s="5125"/>
      <c r="AY274" s="5125"/>
      <c r="AZ274" s="5125"/>
      <c r="BA274" s="5126"/>
      <c r="BB274" s="172"/>
      <c r="BC274" s="172"/>
      <c r="BD274" s="172"/>
      <c r="BE274" s="172"/>
      <c r="BF274" s="555"/>
      <c r="BG274" s="5086"/>
      <c r="BH274" s="104"/>
      <c r="BI274" s="32"/>
      <c r="BJ274" s="33"/>
      <c r="BK274" s="32"/>
      <c r="BL274" s="34"/>
      <c r="BM274" s="92"/>
      <c r="BN274" s="108"/>
      <c r="BO274" s="94"/>
      <c r="BP274" s="95"/>
      <c r="BQ274" s="105"/>
      <c r="BR274" s="5101"/>
      <c r="BS274" s="920"/>
      <c r="BT274" s="1495"/>
      <c r="BU274" s="101"/>
      <c r="BV274" s="1475"/>
      <c r="BW274" s="5086"/>
      <c r="BX274" s="104"/>
      <c r="BY274" s="32"/>
      <c r="BZ274" s="33"/>
      <c r="CA274" s="32"/>
      <c r="CB274" s="34"/>
      <c r="CC274" s="92"/>
      <c r="CD274" s="108"/>
      <c r="CE274" s="94"/>
      <c r="CF274" s="95"/>
      <c r="CG274" s="105"/>
      <c r="CH274" s="5101"/>
      <c r="CI274" s="920"/>
      <c r="CJ274" s="1495"/>
      <c r="CK274" s="101"/>
      <c r="CL274" s="1475"/>
      <c r="CM274" s="5086"/>
      <c r="CN274" s="104"/>
      <c r="CO274" s="32"/>
      <c r="CP274" s="33"/>
      <c r="CQ274" s="32"/>
      <c r="CR274" s="34"/>
      <c r="CS274" s="92"/>
      <c r="CT274" s="108"/>
      <c r="CU274" s="94"/>
      <c r="CV274" s="95"/>
      <c r="CW274" s="105"/>
      <c r="CX274" s="5101"/>
      <c r="CY274" s="920"/>
      <c r="CZ274" s="1495"/>
      <c r="DA274" s="101"/>
      <c r="DB274" s="1475"/>
      <c r="DC274" s="5109"/>
      <c r="DD274" s="5077"/>
      <c r="DF274" s="3">
        <v>1</v>
      </c>
      <c r="EY274" s="908"/>
      <c r="EZ274" s="909"/>
      <c r="FA274" s="909"/>
      <c r="FB274" s="910">
        <f>SUM(FB244:FB273)</f>
        <v>0</v>
      </c>
      <c r="FC274" s="1489"/>
    </row>
    <row r="275" spans="2:159" ht="21" customHeight="1">
      <c r="B275" s="952" t="str">
        <f t="shared" si="55"/>
        <v>►</v>
      </c>
      <c r="C275" s="993" cm="1">
        <f t="array" ref="C275">SUMPRODUCT(LEN(D275:J275))</f>
        <v>0</v>
      </c>
      <c r="D275" s="167"/>
      <c r="E275" s="172"/>
      <c r="F275" s="172"/>
      <c r="G275" s="172"/>
      <c r="H275" s="172"/>
      <c r="I275" s="172"/>
      <c r="J275" s="173"/>
      <c r="K275"/>
      <c r="L275" s="104" t="str">
        <f t="shared" si="52"/>
        <v>►</v>
      </c>
      <c r="M275" s="157" t="str">
        <f>M200</f>
        <v>N NOTRE BOUDIN NOIR | | Auteur &gt; Guy KRENZE - Eric GODDYN - Arnaud NICOLAS - CEPROC 2002</v>
      </c>
      <c r="N275" s="157">
        <f>N200</f>
        <v>16.34</v>
      </c>
      <c r="O275" s="158" t="str">
        <f>O200</f>
        <v>Kg</v>
      </c>
      <c r="P275" s="159" t="str">
        <f>P200</f>
        <v>Recette mère ► le Boudin en 4 déclinaisons</v>
      </c>
      <c r="Q275" s="172" t="s">
        <v>13243</v>
      </c>
      <c r="R275" s="172"/>
      <c r="S275" s="172"/>
      <c r="T275" s="172"/>
      <c r="U275" s="172"/>
      <c r="V275" s="172"/>
      <c r="W275" s="172"/>
      <c r="X275" s="172"/>
      <c r="Y275" s="172"/>
      <c r="Z275" s="555"/>
      <c r="AA275" s="5086"/>
      <c r="AB275" s="104" t="str">
        <f t="shared" si="57"/>
        <v>►</v>
      </c>
      <c r="AC275" s="157" t="str">
        <f>AC200</f>
        <v>O OUR BLACK PUDDING | |  Author &gt; Guy KRENZE - Eric GODDYN - Arnaud NICOLAS - CEPROC 2002</v>
      </c>
      <c r="AD275" s="157">
        <f>AD200</f>
        <v>16.34</v>
      </c>
      <c r="AE275" s="158" t="str">
        <f>AE200</f>
        <v>Kg</v>
      </c>
      <c r="AF275" s="159" t="str">
        <f>AF200</f>
        <v>Master recipe ► Black pudding in 4 variations</v>
      </c>
      <c r="AG275" s="172" t="s">
        <v>13241</v>
      </c>
      <c r="AH275" s="172"/>
      <c r="AI275" s="172"/>
      <c r="AJ275" s="172"/>
      <c r="AK275" s="172"/>
      <c r="AL275" s="172"/>
      <c r="AM275" s="172"/>
      <c r="AN275" s="172"/>
      <c r="AO275" s="172"/>
      <c r="AP275" s="555"/>
      <c r="AQ275" s="5086"/>
      <c r="AR275" s="104" t="str">
        <f t="shared" si="54"/>
        <v>►</v>
      </c>
      <c r="AS275" s="157" t="str">
        <f>AS200</f>
        <v>N NUESTRA MORCILLA | | Autor &gt; Guy KRENZE - Eric GODDYN - Arnaud NICOLAS - CEPROC 2002</v>
      </c>
      <c r="AT275" s="157">
        <f>AT200</f>
        <v>16.34</v>
      </c>
      <c r="AU275" s="158" t="str">
        <f>AU200</f>
        <v>Kg</v>
      </c>
      <c r="AV275" s="159" t="str">
        <f>AV200</f>
        <v>Receta madre ► Morcilla en 4 versiones</v>
      </c>
      <c r="AW275" s="172" t="s">
        <v>13242</v>
      </c>
      <c r="AX275" s="172"/>
      <c r="AY275" s="172"/>
      <c r="AZ275" s="172"/>
      <c r="BA275" s="172"/>
      <c r="BB275" s="172"/>
      <c r="BC275" s="172"/>
      <c r="BD275" s="172"/>
      <c r="BE275" s="172"/>
      <c r="BF275" s="555"/>
      <c r="BG275" s="5086"/>
      <c r="BH275" s="104"/>
      <c r="BI275" s="32"/>
      <c r="BJ275" s="33"/>
      <c r="BK275" s="32"/>
      <c r="BL275" s="34"/>
      <c r="BM275" s="92"/>
      <c r="BN275" s="108"/>
      <c r="BO275" s="94"/>
      <c r="BP275" s="95"/>
      <c r="BQ275" s="105"/>
      <c r="BR275" s="5101"/>
      <c r="BS275" s="920"/>
      <c r="BT275" s="1495"/>
      <c r="BU275" s="101"/>
      <c r="BV275" s="1475"/>
      <c r="BW275" s="5086"/>
      <c r="BX275" s="104"/>
      <c r="BY275" s="32"/>
      <c r="BZ275" s="33"/>
      <c r="CA275" s="32"/>
      <c r="CB275" s="34"/>
      <c r="CC275" s="92"/>
      <c r="CD275" s="108"/>
      <c r="CE275" s="94"/>
      <c r="CF275" s="95"/>
      <c r="CG275" s="105"/>
      <c r="CH275" s="5101"/>
      <c r="CI275" s="920"/>
      <c r="CJ275" s="1495"/>
      <c r="CK275" s="101"/>
      <c r="CL275" s="1475"/>
      <c r="CM275" s="5086"/>
      <c r="CN275" s="104"/>
      <c r="CO275" s="32"/>
      <c r="CP275" s="33"/>
      <c r="CQ275" s="32"/>
      <c r="CR275" s="34"/>
      <c r="CS275" s="92"/>
      <c r="CT275" s="108"/>
      <c r="CU275" s="94"/>
      <c r="CV275" s="95"/>
      <c r="CW275" s="105"/>
      <c r="CX275" s="5101"/>
      <c r="CY275" s="920"/>
      <c r="CZ275" s="1495"/>
      <c r="DA275" s="101"/>
      <c r="DB275" s="1475"/>
      <c r="DC275" s="5109"/>
      <c r="DD275" s="5077"/>
      <c r="DF275" s="3">
        <v>1</v>
      </c>
      <c r="EY275" s="96" t="s">
        <v>147</v>
      </c>
      <c r="EZ275" s="96" t="s">
        <v>148</v>
      </c>
      <c r="FA275" s="109" t="s">
        <v>1379</v>
      </c>
      <c r="FB275" s="109" t="s">
        <v>1341</v>
      </c>
      <c r="FC275" s="109" t="s">
        <v>1342</v>
      </c>
    </row>
    <row r="276" spans="2:159" ht="21" customHeight="1">
      <c r="B276" s="952" t="str">
        <f t="shared" si="55"/>
        <v>►</v>
      </c>
      <c r="C276" s="993" cm="1">
        <f t="array" ref="C276">SUMPRODUCT(LEN(D276:J276))</f>
        <v>0</v>
      </c>
      <c r="D276" s="167"/>
      <c r="E276" s="172"/>
      <c r="F276" s="172"/>
      <c r="G276" s="172"/>
      <c r="H276" s="172"/>
      <c r="I276" s="172"/>
      <c r="J276" s="173"/>
      <c r="K276"/>
      <c r="L276" s="104" t="str">
        <f t="shared" si="52"/>
        <v>►</v>
      </c>
      <c r="M276" s="157" t="str">
        <f>M200</f>
        <v>N NOTRE BOUDIN NOIR | | Auteur &gt; Guy KRENZE - Eric GODDYN - Arnaud NICOLAS - CEPROC 2002</v>
      </c>
      <c r="N276" s="157">
        <f>N200</f>
        <v>16.34</v>
      </c>
      <c r="O276" s="158" t="str">
        <f>O200</f>
        <v>Kg</v>
      </c>
      <c r="P276" s="159" t="str">
        <f>P200</f>
        <v>Recette mère ► le Boudin en 4 déclinaisons</v>
      </c>
      <c r="Q276" s="172"/>
      <c r="R276" s="172"/>
      <c r="S276" s="172"/>
      <c r="T276" s="172"/>
      <c r="U276" s="172"/>
      <c r="V276" s="172"/>
      <c r="W276" s="172"/>
      <c r="X276" s="172"/>
      <c r="Y276" s="172"/>
      <c r="Z276" s="555"/>
      <c r="AA276" s="5086"/>
      <c r="AB276" s="104" t="str">
        <f t="shared" si="57"/>
        <v>►</v>
      </c>
      <c r="AC276" s="157" t="str">
        <f>AC200</f>
        <v>O OUR BLACK PUDDING | |  Author &gt; Guy KRENZE - Eric GODDYN - Arnaud NICOLAS - CEPROC 2002</v>
      </c>
      <c r="AD276" s="157">
        <f>AD200</f>
        <v>16.34</v>
      </c>
      <c r="AE276" s="158" t="str">
        <f>AE200</f>
        <v>Kg</v>
      </c>
      <c r="AF276" s="159" t="str">
        <f>AF200</f>
        <v>Master recipe ► Black pudding in 4 variations</v>
      </c>
      <c r="AG276" s="172"/>
      <c r="AH276" s="172"/>
      <c r="AI276" s="172"/>
      <c r="AJ276" s="172"/>
      <c r="AK276" s="172"/>
      <c r="AL276" s="172"/>
      <c r="AM276" s="172"/>
      <c r="AN276" s="172"/>
      <c r="AO276" s="172"/>
      <c r="AP276" s="555"/>
      <c r="AQ276" s="5086"/>
      <c r="AR276" s="104" t="str">
        <f t="shared" si="54"/>
        <v>►</v>
      </c>
      <c r="AS276" s="157" t="str">
        <f>AS200</f>
        <v>N NUESTRA MORCILLA | | Autor &gt; Guy KRENZE - Eric GODDYN - Arnaud NICOLAS - CEPROC 2002</v>
      </c>
      <c r="AT276" s="157">
        <f>AT200</f>
        <v>16.34</v>
      </c>
      <c r="AU276" s="158" t="str">
        <f>AU200</f>
        <v>Kg</v>
      </c>
      <c r="AV276" s="159" t="str">
        <f>AV200</f>
        <v>Receta madre ► Morcilla en 4 versiones</v>
      </c>
      <c r="AW276" s="172"/>
      <c r="AX276" s="172"/>
      <c r="AY276" s="172"/>
      <c r="AZ276" s="172"/>
      <c r="BA276" s="172"/>
      <c r="BB276" s="172"/>
      <c r="BC276" s="172"/>
      <c r="BD276" s="172"/>
      <c r="BE276" s="172"/>
      <c r="BF276" s="555"/>
      <c r="BG276" s="5086"/>
      <c r="BH276" s="104"/>
      <c r="BI276" s="32"/>
      <c r="BJ276" s="33"/>
      <c r="BK276" s="32"/>
      <c r="BL276" s="34"/>
      <c r="BM276" s="92"/>
      <c r="BN276" s="108"/>
      <c r="BO276" s="94"/>
      <c r="BP276" s="95"/>
      <c r="BQ276" s="105"/>
      <c r="BR276" s="5101"/>
      <c r="BS276" s="920"/>
      <c r="BT276" s="1495"/>
      <c r="BU276" s="101"/>
      <c r="BV276" s="1475"/>
      <c r="BW276" s="5086"/>
      <c r="BX276" s="104"/>
      <c r="BY276" s="32"/>
      <c r="BZ276" s="33"/>
      <c r="CA276" s="32"/>
      <c r="CB276" s="34"/>
      <c r="CC276" s="92"/>
      <c r="CD276" s="108"/>
      <c r="CE276" s="94"/>
      <c r="CF276" s="95"/>
      <c r="CG276" s="105"/>
      <c r="CH276" s="5101"/>
      <c r="CI276" s="920"/>
      <c r="CJ276" s="1495"/>
      <c r="CK276" s="101"/>
      <c r="CL276" s="1475"/>
      <c r="CM276" s="5086"/>
      <c r="CN276" s="104"/>
      <c r="CO276" s="32"/>
      <c r="CP276" s="33"/>
      <c r="CQ276" s="32"/>
      <c r="CR276" s="34"/>
      <c r="CS276" s="92"/>
      <c r="CT276" s="108"/>
      <c r="CU276" s="94"/>
      <c r="CV276" s="95"/>
      <c r="CW276" s="105"/>
      <c r="CX276" s="5101"/>
      <c r="CY276" s="920"/>
      <c r="CZ276" s="1495"/>
      <c r="DA276" s="101"/>
      <c r="DB276" s="1475"/>
      <c r="DC276" s="5109"/>
      <c r="DD276" s="5077"/>
      <c r="DF276" s="3">
        <v>1</v>
      </c>
      <c r="EY276" s="914">
        <v>0.01</v>
      </c>
      <c r="EZ276" s="914">
        <v>1E-3</v>
      </c>
      <c r="FA276" s="914">
        <v>0.25</v>
      </c>
      <c r="FB276" s="914">
        <v>0.5</v>
      </c>
      <c r="FC276" s="914">
        <v>0.33300000000000002</v>
      </c>
    </row>
    <row r="277" spans="2:159" ht="21" customHeight="1">
      <c r="B277" s="952" t="str">
        <f t="shared" si="55"/>
        <v>►</v>
      </c>
      <c r="C277" s="993" cm="1">
        <f t="array" ref="C277">SUMPRODUCT(LEN(D277:J277))</f>
        <v>0</v>
      </c>
      <c r="D277" s="167"/>
      <c r="E277" s="172"/>
      <c r="F277" s="172"/>
      <c r="G277" s="172"/>
      <c r="H277" s="172"/>
      <c r="I277" s="172"/>
      <c r="J277" s="173"/>
      <c r="K277"/>
      <c r="L277" s="104" t="str">
        <f t="shared" si="52"/>
        <v>►</v>
      </c>
      <c r="M277" s="157" t="str">
        <f>M200</f>
        <v>N NOTRE BOUDIN NOIR | | Auteur &gt; Guy KRENZE - Eric GODDYN - Arnaud NICOLAS - CEPROC 2002</v>
      </c>
      <c r="N277" s="157">
        <f>N200</f>
        <v>16.34</v>
      </c>
      <c r="O277" s="158" t="str">
        <f>O200</f>
        <v>Kg</v>
      </c>
      <c r="P277" s="159" t="str">
        <f>P200</f>
        <v>Recette mère ► le Boudin en 4 déclinaisons</v>
      </c>
      <c r="Q277" s="172"/>
      <c r="R277" s="172"/>
      <c r="S277" s="172"/>
      <c r="T277" s="172"/>
      <c r="U277" s="172"/>
      <c r="V277" s="172"/>
      <c r="W277" s="172"/>
      <c r="X277" s="172"/>
      <c r="Y277" s="172"/>
      <c r="Z277" s="555"/>
      <c r="AA277" s="5086"/>
      <c r="AB277" s="104" t="str">
        <f t="shared" si="57"/>
        <v>►</v>
      </c>
      <c r="AC277" s="157" t="str">
        <f>AC200</f>
        <v>O OUR BLACK PUDDING | |  Author &gt; Guy KRENZE - Eric GODDYN - Arnaud NICOLAS - CEPROC 2002</v>
      </c>
      <c r="AD277" s="157">
        <f>AD200</f>
        <v>16.34</v>
      </c>
      <c r="AE277" s="158" t="str">
        <f>AE200</f>
        <v>Kg</v>
      </c>
      <c r="AF277" s="159" t="str">
        <f>AF200</f>
        <v>Master recipe ► Black pudding in 4 variations</v>
      </c>
      <c r="AG277" s="172"/>
      <c r="AH277" s="172"/>
      <c r="AI277" s="172"/>
      <c r="AJ277" s="172"/>
      <c r="AK277" s="172"/>
      <c r="AL277" s="172"/>
      <c r="AM277" s="172"/>
      <c r="AN277" s="172"/>
      <c r="AO277" s="172"/>
      <c r="AP277" s="555"/>
      <c r="AQ277" s="5086"/>
      <c r="AR277" s="104" t="str">
        <f t="shared" si="54"/>
        <v>►</v>
      </c>
      <c r="AS277" s="157" t="str">
        <f>AS200</f>
        <v>N NUESTRA MORCILLA | | Autor &gt; Guy KRENZE - Eric GODDYN - Arnaud NICOLAS - CEPROC 2002</v>
      </c>
      <c r="AT277" s="157">
        <f>AT200</f>
        <v>16.34</v>
      </c>
      <c r="AU277" s="158" t="str">
        <f>AU200</f>
        <v>Kg</v>
      </c>
      <c r="AV277" s="159" t="str">
        <f>AV200</f>
        <v>Receta madre ► Morcilla en 4 versiones</v>
      </c>
      <c r="AW277" s="172"/>
      <c r="AX277" s="172"/>
      <c r="AY277" s="172"/>
      <c r="AZ277" s="172"/>
      <c r="BA277" s="172"/>
      <c r="BB277" s="172"/>
      <c r="BC277" s="172"/>
      <c r="BD277" s="172"/>
      <c r="BE277" s="172"/>
      <c r="BF277" s="555"/>
      <c r="BG277" s="5086"/>
      <c r="BH277" s="104"/>
      <c r="BI277" s="32"/>
      <c r="BJ277" s="33"/>
      <c r="BK277" s="32"/>
      <c r="BL277" s="34"/>
      <c r="BM277" s="92"/>
      <c r="BN277" s="108"/>
      <c r="BO277" s="94"/>
      <c r="BP277" s="95"/>
      <c r="BQ277" s="105"/>
      <c r="BR277" s="5101"/>
      <c r="BS277" s="920"/>
      <c r="BT277" s="1495"/>
      <c r="BU277" s="101"/>
      <c r="BV277" s="1475"/>
      <c r="BW277" s="5086"/>
      <c r="BX277" s="104"/>
      <c r="BY277" s="32"/>
      <c r="BZ277" s="33"/>
      <c r="CA277" s="32"/>
      <c r="CB277" s="34"/>
      <c r="CC277" s="92"/>
      <c r="CD277" s="108"/>
      <c r="CE277" s="94"/>
      <c r="CF277" s="95"/>
      <c r="CG277" s="105"/>
      <c r="CH277" s="5101"/>
      <c r="CI277" s="920"/>
      <c r="CJ277" s="1495"/>
      <c r="CK277" s="101"/>
      <c r="CL277" s="1475"/>
      <c r="CM277" s="5086"/>
      <c r="CN277" s="104"/>
      <c r="CO277" s="32"/>
      <c r="CP277" s="33"/>
      <c r="CQ277" s="32"/>
      <c r="CR277" s="34"/>
      <c r="CS277" s="92"/>
      <c r="CT277" s="108"/>
      <c r="CU277" s="94"/>
      <c r="CV277" s="95"/>
      <c r="CW277" s="105"/>
      <c r="CX277" s="5101"/>
      <c r="CY277" s="920"/>
      <c r="CZ277" s="1495"/>
      <c r="DA277" s="101"/>
      <c r="DB277" s="1475"/>
      <c r="DC277" s="5109"/>
      <c r="DD277" s="5077"/>
      <c r="DF277" s="3">
        <v>1</v>
      </c>
      <c r="EY277" s="109" t="s">
        <v>1355</v>
      </c>
      <c r="EZ277" s="109" t="s">
        <v>1353</v>
      </c>
      <c r="FA277" s="149" t="s">
        <v>1351</v>
      </c>
      <c r="FB277" s="123" t="s">
        <v>1350</v>
      </c>
      <c r="FC277" s="1061" t="s">
        <v>1833</v>
      </c>
    </row>
    <row r="278" spans="2:159" ht="21" customHeight="1">
      <c r="B278" s="952" t="str">
        <f t="shared" si="55"/>
        <v>►</v>
      </c>
      <c r="C278" s="993" cm="1">
        <f t="array" ref="C278">SUMPRODUCT(LEN(D278:J278))</f>
        <v>0</v>
      </c>
      <c r="D278" s="167"/>
      <c r="E278" s="172"/>
      <c r="F278" s="172"/>
      <c r="G278" s="172"/>
      <c r="H278" s="172"/>
      <c r="I278" s="172"/>
      <c r="J278" s="173"/>
      <c r="K278"/>
      <c r="L278" s="104" t="str">
        <f t="shared" si="52"/>
        <v>►</v>
      </c>
      <c r="M278" s="157" t="str">
        <f>M200</f>
        <v>N NOTRE BOUDIN NOIR | | Auteur &gt; Guy KRENZE - Eric GODDYN - Arnaud NICOLAS - CEPROC 2002</v>
      </c>
      <c r="N278" s="157">
        <f>N200</f>
        <v>16.34</v>
      </c>
      <c r="O278" s="158" t="str">
        <f>O200</f>
        <v>Kg</v>
      </c>
      <c r="P278" s="159" t="str">
        <f>P200</f>
        <v>Recette mère ► le Boudin en 4 déclinaisons</v>
      </c>
      <c r="Q278" s="172"/>
      <c r="R278" s="172"/>
      <c r="S278" s="172"/>
      <c r="T278" s="172"/>
      <c r="U278" s="172"/>
      <c r="V278" s="172"/>
      <c r="W278" s="172"/>
      <c r="X278" s="172"/>
      <c r="Y278" s="172"/>
      <c r="Z278" s="555"/>
      <c r="AA278" s="5086"/>
      <c r="AB278" s="104" t="str">
        <f t="shared" si="57"/>
        <v>►</v>
      </c>
      <c r="AC278" s="157" t="str">
        <f>AC200</f>
        <v>O OUR BLACK PUDDING | |  Author &gt; Guy KRENZE - Eric GODDYN - Arnaud NICOLAS - CEPROC 2002</v>
      </c>
      <c r="AD278" s="157">
        <f>AD200</f>
        <v>16.34</v>
      </c>
      <c r="AE278" s="158" t="str">
        <f>AE200</f>
        <v>Kg</v>
      </c>
      <c r="AF278" s="159" t="str">
        <f>AF200</f>
        <v>Master recipe ► Black pudding in 4 variations</v>
      </c>
      <c r="AG278" s="172"/>
      <c r="AH278" s="172"/>
      <c r="AI278" s="172"/>
      <c r="AJ278" s="172"/>
      <c r="AK278" s="172"/>
      <c r="AL278" s="172"/>
      <c r="AM278" s="172"/>
      <c r="AN278" s="172"/>
      <c r="AO278" s="172"/>
      <c r="AP278" s="555"/>
      <c r="AQ278" s="5086"/>
      <c r="AR278" s="104" t="str">
        <f t="shared" si="54"/>
        <v>►</v>
      </c>
      <c r="AS278" s="157" t="str">
        <f>AS200</f>
        <v>N NUESTRA MORCILLA | | Autor &gt; Guy KRENZE - Eric GODDYN - Arnaud NICOLAS - CEPROC 2002</v>
      </c>
      <c r="AT278" s="157">
        <f>AT200</f>
        <v>16.34</v>
      </c>
      <c r="AU278" s="158" t="str">
        <f>AU200</f>
        <v>Kg</v>
      </c>
      <c r="AV278" s="159" t="str">
        <f>AV200</f>
        <v>Receta madre ► Morcilla en 4 versiones</v>
      </c>
      <c r="AW278" s="172"/>
      <c r="AX278" s="172"/>
      <c r="AY278" s="172"/>
      <c r="AZ278" s="172"/>
      <c r="BA278" s="172"/>
      <c r="BB278" s="172"/>
      <c r="BC278" s="172"/>
      <c r="BD278" s="172"/>
      <c r="BE278" s="172"/>
      <c r="BF278" s="555"/>
      <c r="BG278" s="5086"/>
      <c r="BH278" s="104"/>
      <c r="BI278" s="32"/>
      <c r="BJ278" s="33"/>
      <c r="BK278" s="32"/>
      <c r="BL278" s="34"/>
      <c r="BM278" s="92"/>
      <c r="BN278" s="108"/>
      <c r="BO278" s="94"/>
      <c r="BP278" s="95"/>
      <c r="BQ278" s="105"/>
      <c r="BR278" s="5101"/>
      <c r="BS278" s="920"/>
      <c r="BT278" s="1495"/>
      <c r="BU278" s="101"/>
      <c r="BV278" s="1475"/>
      <c r="BW278" s="5086"/>
      <c r="BX278" s="104"/>
      <c r="BY278" s="32"/>
      <c r="BZ278" s="33"/>
      <c r="CA278" s="32"/>
      <c r="CB278" s="34"/>
      <c r="CC278" s="92"/>
      <c r="CD278" s="108"/>
      <c r="CE278" s="94"/>
      <c r="CF278" s="95"/>
      <c r="CG278" s="105"/>
      <c r="CH278" s="5101"/>
      <c r="CI278" s="920"/>
      <c r="CJ278" s="1495"/>
      <c r="CK278" s="101"/>
      <c r="CL278" s="1475"/>
      <c r="CM278" s="5086"/>
      <c r="CN278" s="104"/>
      <c r="CO278" s="32"/>
      <c r="CP278" s="33"/>
      <c r="CQ278" s="32"/>
      <c r="CR278" s="34"/>
      <c r="CS278" s="92"/>
      <c r="CT278" s="108"/>
      <c r="CU278" s="94"/>
      <c r="CV278" s="95"/>
      <c r="CW278" s="105"/>
      <c r="CX278" s="5101"/>
      <c r="CY278" s="920"/>
      <c r="CZ278" s="1495"/>
      <c r="DA278" s="101"/>
      <c r="DB278" s="1475"/>
      <c r="DC278" s="5109"/>
      <c r="DD278" s="5077"/>
      <c r="DF278" s="3">
        <v>1</v>
      </c>
      <c r="EY278" s="914">
        <v>0.22500000000000001</v>
      </c>
      <c r="EZ278" s="914">
        <v>1.4999999999999999E-2</v>
      </c>
      <c r="FA278" s="914">
        <v>4.9299999999999995E-3</v>
      </c>
      <c r="FB278" s="914">
        <v>0.35</v>
      </c>
      <c r="FC278" s="915">
        <v>0.25</v>
      </c>
    </row>
    <row r="279" spans="2:159" ht="21" customHeight="1">
      <c r="B279" s="952" t="str">
        <f t="shared" si="55"/>
        <v>►</v>
      </c>
      <c r="C279" s="993" cm="1">
        <f t="array" ref="C279">SUMPRODUCT(LEN(D279:J279))</f>
        <v>0</v>
      </c>
      <c r="D279" s="167"/>
      <c r="E279" s="172"/>
      <c r="F279" s="172"/>
      <c r="G279" s="172"/>
      <c r="H279" s="172"/>
      <c r="I279" s="172"/>
      <c r="J279" s="173"/>
      <c r="K279"/>
      <c r="L279" s="104" t="str">
        <f>IF(COUNTIF(R279:V279,"&lt;&gt;")&gt;0,"A","►")</f>
        <v>►</v>
      </c>
      <c r="M279" s="157" t="str">
        <f>M200</f>
        <v>N NOTRE BOUDIN NOIR | | Auteur &gt; Guy KRENZE - Eric GODDYN - Arnaud NICOLAS - CEPROC 2002</v>
      </c>
      <c r="N279" s="157">
        <f>N200</f>
        <v>16.34</v>
      </c>
      <c r="O279" s="158" t="str">
        <f>O200</f>
        <v>Kg</v>
      </c>
      <c r="P279" s="159" t="str">
        <f>P200</f>
        <v>Recette mère ► le Boudin en 4 déclinaisons</v>
      </c>
      <c r="Q279" s="172"/>
      <c r="R279" s="172"/>
      <c r="S279" s="172"/>
      <c r="T279" s="172"/>
      <c r="U279" s="172"/>
      <c r="V279" s="172"/>
      <c r="W279" s="172"/>
      <c r="X279" s="172"/>
      <c r="Y279" s="172"/>
      <c r="Z279" s="555"/>
      <c r="AA279" s="5086"/>
      <c r="AB279" s="104" t="str">
        <f>IF(COUNTIF(AH279:AL279,"&lt;&gt;")&gt;0,"A","►")</f>
        <v>►</v>
      </c>
      <c r="AC279" s="157" t="str">
        <f>AC200</f>
        <v>O OUR BLACK PUDDING | |  Author &gt; Guy KRENZE - Eric GODDYN - Arnaud NICOLAS - CEPROC 2002</v>
      </c>
      <c r="AD279" s="157">
        <f>AD200</f>
        <v>16.34</v>
      </c>
      <c r="AE279" s="158" t="str">
        <f>AE200</f>
        <v>Kg</v>
      </c>
      <c r="AF279" s="159" t="str">
        <f>AF200</f>
        <v>Master recipe ► Black pudding in 4 variations</v>
      </c>
      <c r="AG279" s="172"/>
      <c r="AH279" s="172"/>
      <c r="AI279" s="172"/>
      <c r="AJ279" s="172"/>
      <c r="AK279" s="172"/>
      <c r="AL279" s="172"/>
      <c r="AM279" s="172"/>
      <c r="AN279" s="172"/>
      <c r="AO279" s="172"/>
      <c r="AP279" s="555"/>
      <c r="AQ279" s="5086"/>
      <c r="AR279" s="104" t="str">
        <f>IF(COUNTIF(AX279:BB279,"&lt;&gt;")&gt;0,"A","►")</f>
        <v>►</v>
      </c>
      <c r="AS279" s="157" t="str">
        <f>AS200</f>
        <v>N NUESTRA MORCILLA | | Autor &gt; Guy KRENZE - Eric GODDYN - Arnaud NICOLAS - CEPROC 2002</v>
      </c>
      <c r="AT279" s="157">
        <f>AT200</f>
        <v>16.34</v>
      </c>
      <c r="AU279" s="158" t="str">
        <f>AU200</f>
        <v>Kg</v>
      </c>
      <c r="AV279" s="159" t="str">
        <f>AV200</f>
        <v>Receta madre ► Morcilla en 4 versiones</v>
      </c>
      <c r="AW279" s="172"/>
      <c r="AX279" s="172"/>
      <c r="AY279" s="172"/>
      <c r="AZ279" s="172"/>
      <c r="BA279" s="172"/>
      <c r="BB279" s="172"/>
      <c r="BC279" s="172"/>
      <c r="BD279" s="172"/>
      <c r="BE279" s="172"/>
      <c r="BF279" s="555"/>
      <c r="BG279" s="5086"/>
      <c r="BH279" s="104"/>
      <c r="BI279" s="32"/>
      <c r="BJ279" s="33"/>
      <c r="BK279" s="32"/>
      <c r="BL279" s="34"/>
      <c r="BM279" s="92"/>
      <c r="BN279" s="108"/>
      <c r="BO279" s="94"/>
      <c r="BP279" s="95"/>
      <c r="BQ279" s="105"/>
      <c r="BR279" s="5101"/>
      <c r="BS279" s="920"/>
      <c r="BT279" s="1495"/>
      <c r="BU279" s="101"/>
      <c r="BV279" s="1475"/>
      <c r="BW279" s="5086"/>
      <c r="BX279" s="104"/>
      <c r="BY279" s="32"/>
      <c r="BZ279" s="33"/>
      <c r="CA279" s="32"/>
      <c r="CB279" s="34"/>
      <c r="CC279" s="92"/>
      <c r="CD279" s="108"/>
      <c r="CE279" s="94"/>
      <c r="CF279" s="95"/>
      <c r="CG279" s="105"/>
      <c r="CH279" s="5101"/>
      <c r="CI279" s="920"/>
      <c r="CJ279" s="1495"/>
      <c r="CK279" s="101"/>
      <c r="CL279" s="1475"/>
      <c r="CM279" s="5086"/>
      <c r="CN279" s="104"/>
      <c r="CO279" s="32"/>
      <c r="CP279" s="33"/>
      <c r="CQ279" s="32"/>
      <c r="CR279" s="34"/>
      <c r="CS279" s="92"/>
      <c r="CT279" s="108"/>
      <c r="CU279" s="94"/>
      <c r="CV279" s="95"/>
      <c r="CW279" s="105"/>
      <c r="CX279" s="5101"/>
      <c r="CY279" s="920"/>
      <c r="CZ279" s="1495"/>
      <c r="DA279" s="101"/>
      <c r="DB279" s="1475"/>
      <c r="DC279" s="5109"/>
      <c r="DD279" s="5077"/>
      <c r="DF279" s="3">
        <v>1</v>
      </c>
      <c r="EY279" s="155"/>
      <c r="EZ279" s="155"/>
      <c r="FA279" s="155"/>
      <c r="FB279" s="155"/>
      <c r="FC279" s="1477"/>
    </row>
    <row r="280" spans="2:159" ht="21" customHeight="1">
      <c r="B280" s="952" t="str">
        <f t="shared" si="55"/>
        <v>►</v>
      </c>
      <c r="C280" s="993" cm="1">
        <f t="array" ref="C280">SUMPRODUCT(LEN(D280:J280))</f>
        <v>0</v>
      </c>
      <c r="D280" s="167"/>
      <c r="E280" s="172"/>
      <c r="F280" s="172"/>
      <c r="G280" s="172"/>
      <c r="H280" s="172"/>
      <c r="I280" s="172"/>
      <c r="J280" s="173"/>
      <c r="K280"/>
      <c r="L280" s="104" t="str">
        <f t="shared" si="52"/>
        <v>►</v>
      </c>
      <c r="M280" s="157" t="str">
        <f>M200</f>
        <v>N NOTRE BOUDIN NOIR | | Auteur &gt; Guy KRENZE - Eric GODDYN - Arnaud NICOLAS - CEPROC 2002</v>
      </c>
      <c r="N280" s="157">
        <f>N200</f>
        <v>16.34</v>
      </c>
      <c r="O280" s="158" t="str">
        <f>O200</f>
        <v>Kg</v>
      </c>
      <c r="P280" s="159" t="str">
        <f>P200</f>
        <v>Recette mère ► le Boudin en 4 déclinaisons</v>
      </c>
      <c r="Q280" s="172"/>
      <c r="R280" s="172"/>
      <c r="S280" s="172"/>
      <c r="T280" s="172"/>
      <c r="U280" s="172"/>
      <c r="V280" s="172"/>
      <c r="W280" s="172"/>
      <c r="X280" s="172"/>
      <c r="Y280" s="172"/>
      <c r="Z280" s="555"/>
      <c r="AA280" s="5086"/>
      <c r="AB280" s="104" t="str">
        <f t="shared" ref="AB280" si="61">IF(COUNTIF(AH280:AL280,"&lt;&gt;")&gt;0,"A","►")</f>
        <v>►</v>
      </c>
      <c r="AC280" s="157" t="str">
        <f>AC200</f>
        <v>O OUR BLACK PUDDING | |  Author &gt; Guy KRENZE - Eric GODDYN - Arnaud NICOLAS - CEPROC 2002</v>
      </c>
      <c r="AD280" s="157">
        <f>AD200</f>
        <v>16.34</v>
      </c>
      <c r="AE280" s="158" t="str">
        <f>AE200</f>
        <v>Kg</v>
      </c>
      <c r="AF280" s="159" t="str">
        <f>AF200</f>
        <v>Master recipe ► Black pudding in 4 variations</v>
      </c>
      <c r="AG280" s="172"/>
      <c r="AH280" s="172"/>
      <c r="AI280" s="172"/>
      <c r="AJ280" s="172"/>
      <c r="AK280" s="172"/>
      <c r="AL280" s="172"/>
      <c r="AM280" s="172"/>
      <c r="AN280" s="172"/>
      <c r="AO280" s="172"/>
      <c r="AP280" s="555"/>
      <c r="AQ280" s="5086"/>
      <c r="AR280" s="104" t="str">
        <f t="shared" si="54"/>
        <v>►</v>
      </c>
      <c r="AS280" s="157" t="str">
        <f>AS200</f>
        <v>N NUESTRA MORCILLA | | Autor &gt; Guy KRENZE - Eric GODDYN - Arnaud NICOLAS - CEPROC 2002</v>
      </c>
      <c r="AT280" s="157">
        <f>AT200</f>
        <v>16.34</v>
      </c>
      <c r="AU280" s="158" t="str">
        <f>AU200</f>
        <v>Kg</v>
      </c>
      <c r="AV280" s="159" t="str">
        <f>AV200</f>
        <v>Receta madre ► Morcilla en 4 versiones</v>
      </c>
      <c r="AW280" s="172"/>
      <c r="AX280" s="172"/>
      <c r="AY280" s="172"/>
      <c r="AZ280" s="172"/>
      <c r="BA280" s="172"/>
      <c r="BB280" s="172"/>
      <c r="BC280" s="172"/>
      <c r="BD280" s="172"/>
      <c r="BE280" s="172"/>
      <c r="BF280" s="555"/>
      <c r="BG280" s="5086"/>
      <c r="BH280" s="104"/>
      <c r="BI280" s="32"/>
      <c r="BJ280" s="33"/>
      <c r="BK280" s="32"/>
      <c r="BL280" s="34"/>
      <c r="BM280" s="92"/>
      <c r="BN280" s="108"/>
      <c r="BO280" s="94"/>
      <c r="BP280" s="95"/>
      <c r="BQ280" s="105"/>
      <c r="BR280" s="5101"/>
      <c r="BS280" s="920"/>
      <c r="BT280" s="1495"/>
      <c r="BU280" s="101"/>
      <c r="BV280" s="1475"/>
      <c r="BW280" s="5086"/>
      <c r="BX280" s="104"/>
      <c r="BY280" s="32"/>
      <c r="BZ280" s="33"/>
      <c r="CA280" s="32"/>
      <c r="CB280" s="34"/>
      <c r="CC280" s="92"/>
      <c r="CD280" s="108"/>
      <c r="CE280" s="94"/>
      <c r="CF280" s="95"/>
      <c r="CG280" s="105"/>
      <c r="CH280" s="5101"/>
      <c r="CI280" s="920"/>
      <c r="CJ280" s="1495"/>
      <c r="CK280" s="101"/>
      <c r="CL280" s="1475"/>
      <c r="CM280" s="5086"/>
      <c r="CN280" s="104"/>
      <c r="CO280" s="32"/>
      <c r="CP280" s="33"/>
      <c r="CQ280" s="32"/>
      <c r="CR280" s="34"/>
      <c r="CS280" s="92"/>
      <c r="CT280" s="108"/>
      <c r="CU280" s="94"/>
      <c r="CV280" s="95"/>
      <c r="CW280" s="105"/>
      <c r="CX280" s="5101"/>
      <c r="CY280" s="920"/>
      <c r="CZ280" s="1495"/>
      <c r="DA280" s="101"/>
      <c r="DB280" s="1475"/>
      <c r="DC280" s="5109"/>
      <c r="DD280" s="5085"/>
      <c r="DF280" s="3">
        <v>1</v>
      </c>
      <c r="EY280" s="172"/>
      <c r="EZ280" s="172"/>
      <c r="FA280" s="172"/>
      <c r="FB280" s="905" t="s">
        <v>908</v>
      </c>
      <c r="FC280" s="1484" t="s">
        <v>3276</v>
      </c>
    </row>
    <row r="281" spans="2:159" ht="21" customHeight="1">
      <c r="B281" s="952" t="str">
        <f t="shared" si="55"/>
        <v>A</v>
      </c>
      <c r="C281" s="993" cm="1">
        <f t="array" ref="C281">SUMPRODUCT(LEN(D281:J281))</f>
        <v>0</v>
      </c>
      <c r="D281" s="167"/>
      <c r="E281" s="172"/>
      <c r="F281" s="172"/>
      <c r="G281" s="172"/>
      <c r="H281" s="172"/>
      <c r="I281" s="172"/>
      <c r="J281" s="173"/>
      <c r="K281"/>
      <c r="L281" s="196" t="s">
        <v>11</v>
      </c>
      <c r="M281" s="157" t="str">
        <f>M200</f>
        <v>N NOTRE BOUDIN NOIR | | Auteur &gt; Guy KRENZE - Eric GODDYN - Arnaud NICOLAS - CEPROC 2002</v>
      </c>
      <c r="N281" s="157">
        <f>N200</f>
        <v>16.34</v>
      </c>
      <c r="O281" s="158" t="str">
        <f>O200</f>
        <v>Kg</v>
      </c>
      <c r="P281" s="159" t="str">
        <f>P200</f>
        <v>Recette mère ► le Boudin en 4 déclinaisons</v>
      </c>
      <c r="Q281" s="167"/>
      <c r="R281" s="172"/>
      <c r="S281" s="172"/>
      <c r="T281" s="172"/>
      <c r="U281" s="172"/>
      <c r="V281" s="172"/>
      <c r="W281" s="172"/>
      <c r="X281" s="172"/>
      <c r="Y281" s="172"/>
      <c r="Z281" s="1485" t="s">
        <v>197</v>
      </c>
      <c r="AA281" s="5086"/>
      <c r="AB281" s="196" t="s">
        <v>11</v>
      </c>
      <c r="AC281" s="157" t="str">
        <f>AC200</f>
        <v>O OUR BLACK PUDDING | |  Author &gt; Guy KRENZE - Eric GODDYN - Arnaud NICOLAS - CEPROC 2002</v>
      </c>
      <c r="AD281" s="157">
        <f>AD200</f>
        <v>16.34</v>
      </c>
      <c r="AE281" s="158" t="str">
        <f>AE200</f>
        <v>Kg</v>
      </c>
      <c r="AF281" s="159" t="str">
        <f>AF200</f>
        <v>Master recipe ► Black pudding in 4 variations</v>
      </c>
      <c r="AG281" s="167"/>
      <c r="AH281" s="172"/>
      <c r="AI281" s="172"/>
      <c r="AJ281" s="172"/>
      <c r="AK281" s="172"/>
      <c r="AL281" s="172"/>
      <c r="AM281" s="172"/>
      <c r="AN281" s="172"/>
      <c r="AO281" s="172"/>
      <c r="AP281" s="1485" t="s">
        <v>197</v>
      </c>
      <c r="AQ281" s="5086"/>
      <c r="AR281" s="196" t="s">
        <v>11</v>
      </c>
      <c r="AS281" s="157" t="str">
        <f>AS200</f>
        <v>N NUESTRA MORCILLA | | Autor &gt; Guy KRENZE - Eric GODDYN - Arnaud NICOLAS - CEPROC 2002</v>
      </c>
      <c r="AT281" s="157">
        <f>AT200</f>
        <v>16.34</v>
      </c>
      <c r="AU281" s="158" t="str">
        <f>AU200</f>
        <v>Kg</v>
      </c>
      <c r="AV281" s="159" t="str">
        <f>AV200</f>
        <v>Receta madre ► Morcilla en 4 versiones</v>
      </c>
      <c r="AW281" s="167"/>
      <c r="AX281" s="172"/>
      <c r="AY281" s="172"/>
      <c r="AZ281" s="172"/>
      <c r="BA281" s="172"/>
      <c r="BB281" s="172"/>
      <c r="BC281" s="172"/>
      <c r="BD281" s="172"/>
      <c r="BE281" s="172"/>
      <c r="BF281" s="1485" t="s">
        <v>197</v>
      </c>
      <c r="BG281" s="5086"/>
      <c r="BH281" s="104"/>
      <c r="BI281" s="32"/>
      <c r="BJ281" s="33"/>
      <c r="BK281" s="32"/>
      <c r="BL281" s="34"/>
      <c r="BM281" s="92"/>
      <c r="BN281" s="108"/>
      <c r="BO281" s="94"/>
      <c r="BP281" s="95"/>
      <c r="BQ281" s="105"/>
      <c r="BR281" s="5101"/>
      <c r="BS281" s="920"/>
      <c r="BT281" s="1495"/>
      <c r="BU281" s="101"/>
      <c r="BV281" s="1475"/>
      <c r="BW281" s="5086"/>
      <c r="BX281" s="104"/>
      <c r="BY281" s="32"/>
      <c r="BZ281" s="33"/>
      <c r="CA281" s="32"/>
      <c r="CB281" s="34"/>
      <c r="CC281" s="92"/>
      <c r="CD281" s="108"/>
      <c r="CE281" s="94"/>
      <c r="CF281" s="95"/>
      <c r="CG281" s="105"/>
      <c r="CH281" s="5101"/>
      <c r="CI281" s="920"/>
      <c r="CJ281" s="1495"/>
      <c r="CK281" s="101"/>
      <c r="CL281" s="1475"/>
      <c r="CM281" s="5086"/>
      <c r="CN281" s="104"/>
      <c r="CO281" s="32"/>
      <c r="CP281" s="33"/>
      <c r="CQ281" s="32"/>
      <c r="CR281" s="34"/>
      <c r="CS281" s="92"/>
      <c r="CT281" s="108"/>
      <c r="CU281" s="94"/>
      <c r="CV281" s="95"/>
      <c r="CW281" s="105"/>
      <c r="CX281" s="5101"/>
      <c r="CY281" s="920"/>
      <c r="CZ281" s="1495"/>
      <c r="DA281" s="101"/>
      <c r="DB281" s="1475"/>
      <c r="DC281" s="5109"/>
      <c r="DD281" s="5085"/>
      <c r="DF281" s="3">
        <v>1</v>
      </c>
      <c r="EY281" s="172"/>
      <c r="EZ281" s="172"/>
      <c r="FA281" s="172"/>
      <c r="FB281" s="1474" t="s">
        <v>909</v>
      </c>
      <c r="FC281" s="1482" t="s">
        <v>668</v>
      </c>
    </row>
    <row r="282" spans="2:159" ht="21" customHeight="1">
      <c r="B282" s="952" t="str">
        <f t="shared" si="55"/>
        <v>A</v>
      </c>
      <c r="C282" s="993" cm="1">
        <f t="array" ref="C282">SUMPRODUCT(LEN(D282:J282))</f>
        <v>0</v>
      </c>
      <c r="D282" s="167"/>
      <c r="E282" s="172"/>
      <c r="F282" s="172"/>
      <c r="G282" s="172"/>
      <c r="H282" s="172"/>
      <c r="I282" s="172"/>
      <c r="J282" s="173"/>
      <c r="K282"/>
      <c r="L282" s="196" t="s">
        <v>11</v>
      </c>
      <c r="M282" s="157" t="str">
        <f>M200</f>
        <v>N NOTRE BOUDIN NOIR | | Auteur &gt; Guy KRENZE - Eric GODDYN - Arnaud NICOLAS - CEPROC 2002</v>
      </c>
      <c r="N282" s="157">
        <f>N200</f>
        <v>16.34</v>
      </c>
      <c r="O282" s="158" t="str">
        <f>O200</f>
        <v>Kg</v>
      </c>
      <c r="P282" s="159" t="str">
        <f>P200</f>
        <v>Recette mère ► le Boudin en 4 déclinaisons</v>
      </c>
      <c r="Q282" s="204"/>
      <c r="R282" s="204"/>
      <c r="S282" s="204" t="s">
        <v>201</v>
      </c>
      <c r="T282" s="205"/>
      <c r="U282" s="206"/>
      <c r="V282" s="206"/>
      <c r="W282" s="206"/>
      <c r="X282" s="206"/>
      <c r="Y282" s="206"/>
      <c r="Z282" s="567"/>
      <c r="AA282" s="5086"/>
      <c r="AB282" s="196" t="s">
        <v>11</v>
      </c>
      <c r="AC282" s="157" t="str">
        <f>AC200</f>
        <v>O OUR BLACK PUDDING | |  Author &gt; Guy KRENZE - Eric GODDYN - Arnaud NICOLAS - CEPROC 2002</v>
      </c>
      <c r="AD282" s="157">
        <f>AD200</f>
        <v>16.34</v>
      </c>
      <c r="AE282" s="158" t="str">
        <f>AE200</f>
        <v>Kg</v>
      </c>
      <c r="AF282" s="159" t="str">
        <f>AF200</f>
        <v>Master recipe ► Black pudding in 4 variations</v>
      </c>
      <c r="AG282" s="204"/>
      <c r="AH282" s="204"/>
      <c r="AI282" s="204" t="s">
        <v>201</v>
      </c>
      <c r="AJ282" s="205"/>
      <c r="AK282" s="206"/>
      <c r="AL282" s="206"/>
      <c r="AM282" s="206"/>
      <c r="AN282" s="206"/>
      <c r="AO282" s="206"/>
      <c r="AP282" s="567"/>
      <c r="AQ282" s="5086"/>
      <c r="AR282" s="196" t="s">
        <v>11</v>
      </c>
      <c r="AS282" s="157" t="str">
        <f>AS200</f>
        <v>N NUESTRA MORCILLA | | Autor &gt; Guy KRENZE - Eric GODDYN - Arnaud NICOLAS - CEPROC 2002</v>
      </c>
      <c r="AT282" s="157">
        <f>AT200</f>
        <v>16.34</v>
      </c>
      <c r="AU282" s="158" t="str">
        <f>AU200</f>
        <v>Kg</v>
      </c>
      <c r="AV282" s="159" t="str">
        <f>AV200</f>
        <v>Receta madre ► Morcilla en 4 versiones</v>
      </c>
      <c r="AW282" s="204"/>
      <c r="AX282" s="204"/>
      <c r="AY282" s="204" t="s">
        <v>201</v>
      </c>
      <c r="AZ282" s="205"/>
      <c r="BA282" s="206"/>
      <c r="BB282" s="206"/>
      <c r="BC282" s="206"/>
      <c r="BD282" s="206"/>
      <c r="BE282" s="206"/>
      <c r="BF282" s="567"/>
      <c r="BG282" s="5086"/>
      <c r="BH282" s="104"/>
      <c r="BI282" s="32"/>
      <c r="BJ282" s="33"/>
      <c r="BK282" s="32"/>
      <c r="BL282" s="34"/>
      <c r="BM282" s="92"/>
      <c r="BN282" s="108"/>
      <c r="BO282" s="94"/>
      <c r="BP282" s="95"/>
      <c r="BQ282" s="105"/>
      <c r="BR282" s="5101"/>
      <c r="BS282" s="920"/>
      <c r="BT282" s="1495"/>
      <c r="BU282" s="101"/>
      <c r="BV282" s="1475"/>
      <c r="BW282" s="5086"/>
      <c r="BX282" s="104"/>
      <c r="BY282" s="32"/>
      <c r="BZ282" s="33"/>
      <c r="CA282" s="32"/>
      <c r="CB282" s="34"/>
      <c r="CC282" s="92"/>
      <c r="CD282" s="108"/>
      <c r="CE282" s="94"/>
      <c r="CF282" s="95"/>
      <c r="CG282" s="105"/>
      <c r="CH282" s="5101"/>
      <c r="CI282" s="920"/>
      <c r="CJ282" s="1495"/>
      <c r="CK282" s="101"/>
      <c r="CL282" s="1475"/>
      <c r="CM282" s="5086"/>
      <c r="CN282" s="104"/>
      <c r="CO282" s="32"/>
      <c r="CP282" s="33"/>
      <c r="CQ282" s="32"/>
      <c r="CR282" s="34"/>
      <c r="CS282" s="92"/>
      <c r="CT282" s="108"/>
      <c r="CU282" s="94"/>
      <c r="CV282" s="95"/>
      <c r="CW282" s="105"/>
      <c r="CX282" s="5101"/>
      <c r="CY282" s="920"/>
      <c r="CZ282" s="1495"/>
      <c r="DA282" s="101"/>
      <c r="DB282" s="1475"/>
      <c r="DC282" s="5109"/>
      <c r="DD282" s="5085"/>
      <c r="DF282" s="3">
        <v>1</v>
      </c>
      <c r="EY282" s="172"/>
      <c r="EZ282" s="172"/>
      <c r="FA282" s="172"/>
      <c r="FB282" s="172"/>
      <c r="FC282" s="555"/>
    </row>
    <row r="283" spans="2:159" ht="21" customHeight="1">
      <c r="B283" s="952" t="str">
        <f t="shared" ref="B283:B346" si="62">L283</f>
        <v>A</v>
      </c>
      <c r="C283" s="993" cm="1">
        <f t="array" ref="C283">SUMPRODUCT(LEN(D283:J283))</f>
        <v>0</v>
      </c>
      <c r="D283" s="167"/>
      <c r="E283" s="172"/>
      <c r="F283" s="172"/>
      <c r="G283" s="172"/>
      <c r="H283" s="172"/>
      <c r="I283" s="172"/>
      <c r="J283" s="173"/>
      <c r="K283"/>
      <c r="L283" s="196" t="s">
        <v>11</v>
      </c>
      <c r="M283" s="209" t="str">
        <f>M200</f>
        <v>N NOTRE BOUDIN NOIR | | Auteur &gt; Guy KRENZE - Eric GODDYN - Arnaud NICOLAS - CEPROC 2002</v>
      </c>
      <c r="N283" s="209">
        <f>N200</f>
        <v>16.34</v>
      </c>
      <c r="O283" s="210" t="str">
        <f>O200</f>
        <v>Kg</v>
      </c>
      <c r="P283" s="211" t="str">
        <f>P200</f>
        <v>Recette mère ► le Boudin en 4 déclinaisons</v>
      </c>
      <c r="Q283" s="212"/>
      <c r="R283" s="213"/>
      <c r="S283" s="214"/>
      <c r="T283" s="215"/>
      <c r="U283" s="214"/>
      <c r="V283" s="214"/>
      <c r="W283" s="214"/>
      <c r="X283" s="214"/>
      <c r="Y283" s="214"/>
      <c r="Z283" s="582"/>
      <c r="AA283" s="5086"/>
      <c r="AB283" s="196" t="s">
        <v>11</v>
      </c>
      <c r="AC283" s="209" t="str">
        <f>AC200</f>
        <v>O OUR BLACK PUDDING | |  Author &gt; Guy KRENZE - Eric GODDYN - Arnaud NICOLAS - CEPROC 2002</v>
      </c>
      <c r="AD283" s="209">
        <f>AD200</f>
        <v>16.34</v>
      </c>
      <c r="AE283" s="210" t="str">
        <f>AE200</f>
        <v>Kg</v>
      </c>
      <c r="AF283" s="211" t="str">
        <f>AF200</f>
        <v>Master recipe ► Black pudding in 4 variations</v>
      </c>
      <c r="AG283" s="212"/>
      <c r="AH283" s="213"/>
      <c r="AI283" s="214"/>
      <c r="AJ283" s="215"/>
      <c r="AK283" s="214"/>
      <c r="AL283" s="214"/>
      <c r="AM283" s="214"/>
      <c r="AN283" s="214"/>
      <c r="AO283" s="214"/>
      <c r="AP283" s="582"/>
      <c r="AQ283" s="5086"/>
      <c r="AR283" s="196" t="s">
        <v>11</v>
      </c>
      <c r="AS283" s="209" t="str">
        <f>AS200</f>
        <v>N NUESTRA MORCILLA | | Autor &gt; Guy KRENZE - Eric GODDYN - Arnaud NICOLAS - CEPROC 2002</v>
      </c>
      <c r="AT283" s="209">
        <f>AT200</f>
        <v>16.34</v>
      </c>
      <c r="AU283" s="210" t="str">
        <f>AU200</f>
        <v>Kg</v>
      </c>
      <c r="AV283" s="211" t="str">
        <f>AV200</f>
        <v>Receta madre ► Morcilla en 4 versiones</v>
      </c>
      <c r="AW283" s="212"/>
      <c r="AX283" s="213"/>
      <c r="AY283" s="214"/>
      <c r="AZ283" s="215"/>
      <c r="BA283" s="214"/>
      <c r="BB283" s="214"/>
      <c r="BC283" s="214"/>
      <c r="BD283" s="214"/>
      <c r="BE283" s="214"/>
      <c r="BF283" s="582"/>
      <c r="BG283" s="5086"/>
      <c r="BH283" s="104"/>
      <c r="BI283" s="32"/>
      <c r="BJ283" s="33"/>
      <c r="BK283" s="32"/>
      <c r="BL283" s="34"/>
      <c r="BM283" s="92"/>
      <c r="BN283" s="108"/>
      <c r="BO283" s="94"/>
      <c r="BP283" s="95"/>
      <c r="BQ283" s="105"/>
      <c r="BR283" s="5101"/>
      <c r="BS283" s="920"/>
      <c r="BT283" s="1495"/>
      <c r="BU283" s="101"/>
      <c r="BV283" s="1475"/>
      <c r="BW283" s="5086"/>
      <c r="BX283" s="104"/>
      <c r="BY283" s="32"/>
      <c r="BZ283" s="33"/>
      <c r="CA283" s="32"/>
      <c r="CB283" s="34"/>
      <c r="CC283" s="92"/>
      <c r="CD283" s="108"/>
      <c r="CE283" s="94"/>
      <c r="CF283" s="95"/>
      <c r="CG283" s="105"/>
      <c r="CH283" s="5101"/>
      <c r="CI283" s="920"/>
      <c r="CJ283" s="1495"/>
      <c r="CK283" s="101"/>
      <c r="CL283" s="1475"/>
      <c r="CM283" s="5086"/>
      <c r="CN283" s="104"/>
      <c r="CO283" s="32"/>
      <c r="CP283" s="33"/>
      <c r="CQ283" s="32"/>
      <c r="CR283" s="34"/>
      <c r="CS283" s="92"/>
      <c r="CT283" s="108"/>
      <c r="CU283" s="94"/>
      <c r="CV283" s="95"/>
      <c r="CW283" s="105"/>
      <c r="CX283" s="5101"/>
      <c r="CY283" s="920"/>
      <c r="CZ283" s="1495"/>
      <c r="DA283" s="101"/>
      <c r="DB283" s="1475"/>
      <c r="DC283" s="5109"/>
      <c r="DD283" s="5067"/>
      <c r="DF283" s="3">
        <v>1</v>
      </c>
      <c r="EY283" s="172"/>
      <c r="EZ283" s="172"/>
      <c r="FA283" s="172"/>
      <c r="FB283" s="170" t="s">
        <v>677</v>
      </c>
      <c r="FC283" s="171">
        <v>3.472222222222222E-3</v>
      </c>
    </row>
    <row r="284" spans="2:159" ht="21" customHeight="1" thickBot="1">
      <c r="B284" s="952" t="str">
        <f t="shared" si="62"/>
        <v>A</v>
      </c>
      <c r="C284" s="993" cm="1">
        <f t="array" ref="C284">SUMPRODUCT(LEN(D284:J284))</f>
        <v>0</v>
      </c>
      <c r="D284" s="167"/>
      <c r="E284" s="172"/>
      <c r="F284" s="172"/>
      <c r="G284" s="172"/>
      <c r="H284" s="172"/>
      <c r="I284" s="172"/>
      <c r="J284" s="173"/>
      <c r="K284"/>
      <c r="L284" s="216" t="s">
        <v>11</v>
      </c>
      <c r="M284" s="217"/>
      <c r="N284" s="217"/>
      <c r="O284" s="217"/>
      <c r="P284" s="218"/>
      <c r="Q284" s="219" t="s">
        <v>208</v>
      </c>
      <c r="R284" s="1481" t="str">
        <f ca="1">CELL("nomfichier")</f>
        <v>D:\Données\1.UPRT\0-UPRT.fait\1-UPRT.FR-SITE-WEB\ff-fiches-fabrications\ff.fiches.fabrication.2023\ffr.restaurant.2023\[ff.FICHE.TRILINGUE.15.COLONNES.29.11.2025.xlsx]Notice.utilisateur</v>
      </c>
      <c r="S284" s="220"/>
      <c r="T284" s="220"/>
      <c r="U284" s="220"/>
      <c r="V284" s="220"/>
      <c r="W284" s="220"/>
      <c r="X284" s="220"/>
      <c r="Y284" s="220"/>
      <c r="Z284" s="221"/>
      <c r="AA284" s="5086"/>
      <c r="AB284" s="216" t="s">
        <v>11</v>
      </c>
      <c r="AC284" s="217"/>
      <c r="AD284" s="217"/>
      <c r="AE284" s="217"/>
      <c r="AF284" s="218"/>
      <c r="AG284" s="219" t="s">
        <v>208</v>
      </c>
      <c r="AH284" s="1481" t="str">
        <f ca="1">CELL("nomfichier")</f>
        <v>D:\Données\1.UPRT\0-UPRT.fait\1-UPRT.FR-SITE-WEB\ff-fiches-fabrications\ff.fiches.fabrication.2023\ffr.restaurant.2023\[ff.FICHE.TRILINGUE.15.COLONNES.29.11.2025.xlsx]Notice.utilisateur</v>
      </c>
      <c r="AI284" s="220"/>
      <c r="AJ284" s="220"/>
      <c r="AK284" s="220"/>
      <c r="AL284" s="220"/>
      <c r="AM284" s="220"/>
      <c r="AN284" s="220"/>
      <c r="AO284" s="220"/>
      <c r="AP284" s="221"/>
      <c r="AQ284" s="5086"/>
      <c r="AR284" s="216" t="s">
        <v>11</v>
      </c>
      <c r="AS284" s="217"/>
      <c r="AT284" s="217"/>
      <c r="AU284" s="217"/>
      <c r="AV284" s="218"/>
      <c r="AW284" s="219" t="s">
        <v>208</v>
      </c>
      <c r="AX284" s="1481" t="str">
        <f ca="1">CELL("nomfichier")</f>
        <v>D:\Données\1.UPRT\0-UPRT.fait\1-UPRT.FR-SITE-WEB\ff-fiches-fabrications\ff.fiches.fabrication.2023\ffr.restaurant.2023\[ff.FICHE.TRILINGUE.15.COLONNES.29.11.2025.xlsx]Notice.utilisateur</v>
      </c>
      <c r="AY284" s="220"/>
      <c r="AZ284" s="220"/>
      <c r="BA284" s="220"/>
      <c r="BB284" s="220"/>
      <c r="BC284" s="220"/>
      <c r="BD284" s="220"/>
      <c r="BE284" s="220"/>
      <c r="BF284" s="221"/>
      <c r="BG284" s="5086"/>
      <c r="BH284" s="104"/>
      <c r="BI284" s="32"/>
      <c r="BJ284" s="33"/>
      <c r="BK284" s="32"/>
      <c r="BL284" s="34"/>
      <c r="BM284" s="92"/>
      <c r="BN284" s="108"/>
      <c r="BO284" s="94"/>
      <c r="BP284" s="95"/>
      <c r="BQ284" s="105"/>
      <c r="BR284" s="5101"/>
      <c r="BS284" s="920"/>
      <c r="BT284" s="1495"/>
      <c r="BU284" s="101"/>
      <c r="BV284" s="1475"/>
      <c r="BW284" s="5086"/>
      <c r="BX284" s="104"/>
      <c r="BY284" s="32"/>
      <c r="BZ284" s="33"/>
      <c r="CA284" s="32"/>
      <c r="CB284" s="34"/>
      <c r="CC284" s="92"/>
      <c r="CD284" s="108"/>
      <c r="CE284" s="94"/>
      <c r="CF284" s="95"/>
      <c r="CG284" s="105"/>
      <c r="CH284" s="5101"/>
      <c r="CI284" s="920"/>
      <c r="CJ284" s="1495"/>
      <c r="CK284" s="101"/>
      <c r="CL284" s="1475"/>
      <c r="CM284" s="5086"/>
      <c r="CN284" s="104"/>
      <c r="CO284" s="32"/>
      <c r="CP284" s="33"/>
      <c r="CQ284" s="32"/>
      <c r="CR284" s="34"/>
      <c r="CS284" s="92"/>
      <c r="CT284" s="108"/>
      <c r="CU284" s="94"/>
      <c r="CV284" s="95"/>
      <c r="CW284" s="105"/>
      <c r="CX284" s="5101"/>
      <c r="CY284" s="920"/>
      <c r="CZ284" s="1495"/>
      <c r="DA284" s="101"/>
      <c r="DB284" s="1475"/>
      <c r="DC284" s="5109"/>
      <c r="DD284" s="5086"/>
      <c r="DF284" s="3">
        <v>1</v>
      </c>
      <c r="EY284" s="172"/>
      <c r="EZ284" s="172"/>
      <c r="FA284" s="172"/>
      <c r="FB284" s="170" t="s">
        <v>683</v>
      </c>
      <c r="FC284" s="174">
        <v>3.472222222222222E-3</v>
      </c>
    </row>
    <row r="285" spans="2:159" ht="21" customHeight="1" thickBot="1">
      <c r="B285" s="952" t="str">
        <f t="shared" si="62"/>
        <v>A</v>
      </c>
      <c r="C285" s="993" cm="1">
        <f t="array" ref="C285">SUMPRODUCT(LEN(D285:J285))</f>
        <v>0</v>
      </c>
      <c r="D285" s="167"/>
      <c r="E285" s="172"/>
      <c r="F285" s="172"/>
      <c r="G285" s="172"/>
      <c r="H285" s="172"/>
      <c r="I285" s="172"/>
      <c r="J285" s="173"/>
      <c r="K285"/>
      <c r="L285" s="5215" t="s">
        <v>11</v>
      </c>
      <c r="M285" s="5216" t="s">
        <v>11</v>
      </c>
      <c r="N285" s="5216" t="s">
        <v>11</v>
      </c>
      <c r="O285" s="5216" t="s">
        <v>11</v>
      </c>
      <c r="P285" s="5216" t="s">
        <v>11</v>
      </c>
      <c r="Q285" s="5217" t="s">
        <v>2613</v>
      </c>
      <c r="R285" s="5218"/>
      <c r="S285" s="5219"/>
      <c r="T285" s="5220"/>
      <c r="U285" s="5221"/>
      <c r="V285" s="5222"/>
      <c r="W285" s="5220"/>
      <c r="X285" s="5220"/>
      <c r="Y285" s="5220"/>
      <c r="Z285" s="5223" t="s">
        <v>1948</v>
      </c>
      <c r="AA285" s="5086"/>
      <c r="AB285" s="5215" t="s">
        <v>11</v>
      </c>
      <c r="AC285" s="5216" t="s">
        <v>11</v>
      </c>
      <c r="AD285" s="5216" t="s">
        <v>11</v>
      </c>
      <c r="AE285" s="5216" t="s">
        <v>11</v>
      </c>
      <c r="AF285" s="5216" t="s">
        <v>11</v>
      </c>
      <c r="AG285" s="5217" t="s">
        <v>2613</v>
      </c>
      <c r="AH285" s="5218"/>
      <c r="AI285" s="5219"/>
      <c r="AJ285" s="5220"/>
      <c r="AK285" s="5221"/>
      <c r="AL285" s="5222"/>
      <c r="AM285" s="5220"/>
      <c r="AN285" s="5220"/>
      <c r="AO285" s="5220"/>
      <c r="AP285" s="5223" t="s">
        <v>1948</v>
      </c>
      <c r="AQ285" s="5086"/>
      <c r="AR285" s="5215" t="s">
        <v>11</v>
      </c>
      <c r="AS285" s="5216" t="s">
        <v>11</v>
      </c>
      <c r="AT285" s="5216" t="s">
        <v>11</v>
      </c>
      <c r="AU285" s="5216" t="s">
        <v>11</v>
      </c>
      <c r="AV285" s="5216" t="s">
        <v>11</v>
      </c>
      <c r="AW285" s="5217" t="s">
        <v>2613</v>
      </c>
      <c r="AX285" s="5218"/>
      <c r="AY285" s="5219"/>
      <c r="AZ285" s="5220"/>
      <c r="BA285" s="5221"/>
      <c r="BB285" s="5222"/>
      <c r="BC285" s="5220"/>
      <c r="BD285" s="5220"/>
      <c r="BE285" s="5220"/>
      <c r="BF285" s="5223" t="s">
        <v>1948</v>
      </c>
      <c r="BG285" s="5086"/>
      <c r="BH285" s="104"/>
      <c r="BI285" s="32"/>
      <c r="BJ285" s="33"/>
      <c r="BK285" s="32"/>
      <c r="BL285" s="34"/>
      <c r="BM285" s="92"/>
      <c r="BN285" s="108"/>
      <c r="BO285" s="94"/>
      <c r="BP285" s="95"/>
      <c r="BQ285" s="105"/>
      <c r="BR285" s="5101"/>
      <c r="BS285" s="920"/>
      <c r="BT285" s="1495"/>
      <c r="BU285" s="101"/>
      <c r="BV285" s="1475"/>
      <c r="BW285" s="5086"/>
      <c r="BX285" s="104"/>
      <c r="BY285" s="32"/>
      <c r="BZ285" s="33"/>
      <c r="CA285" s="32"/>
      <c r="CB285" s="34"/>
      <c r="CC285" s="92"/>
      <c r="CD285" s="108"/>
      <c r="CE285" s="94"/>
      <c r="CF285" s="95"/>
      <c r="CG285" s="105"/>
      <c r="CH285" s="5101"/>
      <c r="CI285" s="920"/>
      <c r="CJ285" s="1495"/>
      <c r="CK285" s="101"/>
      <c r="CL285" s="1475"/>
      <c r="CM285" s="5086"/>
      <c r="CN285" s="104"/>
      <c r="CO285" s="32"/>
      <c r="CP285" s="33"/>
      <c r="CQ285" s="32"/>
      <c r="CR285" s="34"/>
      <c r="CS285" s="92"/>
      <c r="CT285" s="108"/>
      <c r="CU285" s="94"/>
      <c r="CV285" s="95"/>
      <c r="CW285" s="105"/>
      <c r="CX285" s="5101"/>
      <c r="CY285" s="920"/>
      <c r="CZ285" s="1495"/>
      <c r="DA285" s="101"/>
      <c r="DB285" s="1475"/>
      <c r="DC285" s="5109"/>
      <c r="DD285" s="5086"/>
      <c r="DF285" s="3">
        <v>1</v>
      </c>
      <c r="EY285" s="172"/>
      <c r="EZ285" s="172"/>
      <c r="FA285" s="172"/>
      <c r="FB285" s="170" t="s">
        <v>911</v>
      </c>
      <c r="FC285" s="175">
        <v>3.472222222222222E-3</v>
      </c>
    </row>
    <row r="286" spans="2:159" ht="21" customHeight="1">
      <c r="B286" s="952" t="str">
        <f t="shared" si="62"/>
        <v>A</v>
      </c>
      <c r="C286" s="993" cm="1">
        <f t="array" ref="C286">SUMPRODUCT(LEN(D286:J286))</f>
        <v>0</v>
      </c>
      <c r="D286" s="167"/>
      <c r="E286" s="172"/>
      <c r="F286" s="172"/>
      <c r="G286" s="172"/>
      <c r="H286" s="172"/>
      <c r="I286" s="172"/>
      <c r="J286" s="173"/>
      <c r="K286"/>
      <c r="L286" s="22" t="s">
        <v>11</v>
      </c>
      <c r="M286" s="23" t="str">
        <f>M292</f>
        <v>É ÉPICES POUR BOUDIN | |  Author &gt; Guy KRENZE - Eric GODDYN - Arnaud NICOLAS - CEPROC 2002</v>
      </c>
      <c r="N286" s="24">
        <f>N292</f>
        <v>408</v>
      </c>
      <c r="O286" s="24" t="str">
        <f>O292</f>
        <v>g</v>
      </c>
      <c r="P286" s="25" t="str">
        <f>P292</f>
        <v>Master recipe ► le Boudin en 4 déclinaisons</v>
      </c>
      <c r="Q286" s="26" t="s">
        <v>23</v>
      </c>
      <c r="R286" s="5471" t="s">
        <v>13070</v>
      </c>
      <c r="S286" s="5471"/>
      <c r="T286" s="5471"/>
      <c r="U286" s="5471"/>
      <c r="V286" s="5471"/>
      <c r="W286" s="5471"/>
      <c r="X286" s="5473" t="s">
        <v>1031</v>
      </c>
      <c r="Y286" s="5473"/>
      <c r="Z286" s="5475" t="str">
        <f>UPPER(LEFT(R286,1))</f>
        <v>É</v>
      </c>
      <c r="AA286" s="5086"/>
      <c r="AB286" s="22" t="s">
        <v>11</v>
      </c>
      <c r="AC286" s="23" t="str">
        <f>AC292</f>
        <v>S SPICES FOR BLOOD SAUSAGE | |  Author &gt; Guy KRENZE - Eric GODDYN - Arnaud NICOLAS - CEPROC 2002</v>
      </c>
      <c r="AD286" s="24">
        <f>AD292</f>
        <v>408</v>
      </c>
      <c r="AE286" s="24" t="str">
        <f>AE292</f>
        <v>g</v>
      </c>
      <c r="AF286" s="25" t="str">
        <f>AF292</f>
        <v>Master recipe ► Black pudding in 4 variations</v>
      </c>
      <c r="AG286" s="26" t="s">
        <v>23</v>
      </c>
      <c r="AH286" s="5471" t="s">
        <v>13173</v>
      </c>
      <c r="AI286" s="5471"/>
      <c r="AJ286" s="5471"/>
      <c r="AK286" s="5471"/>
      <c r="AL286" s="5471"/>
      <c r="AM286" s="5471"/>
      <c r="AN286" s="5473" t="s">
        <v>13134</v>
      </c>
      <c r="AO286" s="5473"/>
      <c r="AP286" s="5475" t="str">
        <f>UPPER(LEFT(AH286,1))</f>
        <v>S</v>
      </c>
      <c r="AQ286" s="5086"/>
      <c r="AR286" s="22" t="s">
        <v>11</v>
      </c>
      <c r="AS286" s="23" t="str">
        <f>AS292</f>
        <v>E ESPECIAS PARA MORCILLA | | Autor &gt; Guy KRENZE - Eric GODDYN - Arnaud NICOLAS - CEPROC 2002</v>
      </c>
      <c r="AT286" s="24">
        <f>AT292</f>
        <v>408</v>
      </c>
      <c r="AU286" s="24" t="str">
        <f>AU292</f>
        <v>g</v>
      </c>
      <c r="AV286" s="25" t="str">
        <f>AV292</f>
        <v>Receta madre ► Morcilla en 4 versiones</v>
      </c>
      <c r="AW286" s="26" t="s">
        <v>23</v>
      </c>
      <c r="AX286" s="5471" t="s">
        <v>13183</v>
      </c>
      <c r="AY286" s="5471"/>
      <c r="AZ286" s="5471"/>
      <c r="BA286" s="5471"/>
      <c r="BB286" s="5471"/>
      <c r="BC286" s="5471"/>
      <c r="BD286" s="5473" t="s">
        <v>13135</v>
      </c>
      <c r="BE286" s="5473"/>
      <c r="BF286" s="5475" t="str">
        <f>UPPER(LEFT(AX286,1))</f>
        <v>E</v>
      </c>
      <c r="BG286" s="5086"/>
      <c r="BH286" s="104"/>
      <c r="BI286" s="32"/>
      <c r="BJ286" s="33"/>
      <c r="BK286" s="32"/>
      <c r="BL286" s="34"/>
      <c r="BM286" s="92"/>
      <c r="BN286" s="108"/>
      <c r="BO286" s="94"/>
      <c r="BP286" s="95"/>
      <c r="BQ286" s="105"/>
      <c r="BR286" s="5101"/>
      <c r="BS286" s="920"/>
      <c r="BT286" s="1495"/>
      <c r="BU286" s="101"/>
      <c r="BV286" s="1475"/>
      <c r="BW286" s="5086"/>
      <c r="BX286" s="104"/>
      <c r="BY286" s="32"/>
      <c r="BZ286" s="33"/>
      <c r="CA286" s="32"/>
      <c r="CB286" s="34"/>
      <c r="CC286" s="92"/>
      <c r="CD286" s="108"/>
      <c r="CE286" s="94"/>
      <c r="CF286" s="95"/>
      <c r="CG286" s="105"/>
      <c r="CH286" s="5101"/>
      <c r="CI286" s="920"/>
      <c r="CJ286" s="1495"/>
      <c r="CK286" s="101"/>
      <c r="CL286" s="1475"/>
      <c r="CM286" s="5086"/>
      <c r="CN286" s="104"/>
      <c r="CO286" s="32"/>
      <c r="CP286" s="33"/>
      <c r="CQ286" s="32"/>
      <c r="CR286" s="34"/>
      <c r="CS286" s="92"/>
      <c r="CT286" s="108"/>
      <c r="CU286" s="94"/>
      <c r="CV286" s="95"/>
      <c r="CW286" s="105"/>
      <c r="CX286" s="5101"/>
      <c r="CY286" s="920"/>
      <c r="CZ286" s="1495"/>
      <c r="DA286" s="101"/>
      <c r="DB286" s="1475"/>
      <c r="DC286" s="5109"/>
      <c r="DD286" s="5064"/>
      <c r="DF286" s="3">
        <v>1</v>
      </c>
      <c r="EY286" s="172"/>
      <c r="EZ286" s="172"/>
      <c r="FA286" s="172"/>
      <c r="FB286" s="176" t="s">
        <v>183</v>
      </c>
      <c r="FC286" s="177">
        <f>FC283+FC284+FC285</f>
        <v>1.0416666666666666E-2</v>
      </c>
    </row>
    <row r="287" spans="2:159" ht="21" customHeight="1">
      <c r="B287" s="952" t="str">
        <f t="shared" si="62"/>
        <v>A</v>
      </c>
      <c r="C287" s="993" cm="1">
        <f t="array" ref="C287">SUMPRODUCT(LEN(D287:J287))</f>
        <v>0</v>
      </c>
      <c r="D287" s="167"/>
      <c r="E287" s="172"/>
      <c r="F287" s="172"/>
      <c r="G287" s="172"/>
      <c r="H287" s="172"/>
      <c r="I287" s="172"/>
      <c r="J287" s="173"/>
      <c r="K287"/>
      <c r="L287" s="27" t="s">
        <v>11</v>
      </c>
      <c r="M287" s="28" t="str">
        <f>M292</f>
        <v>É ÉPICES POUR BOUDIN | |  Author &gt; Guy KRENZE - Eric GODDYN - Arnaud NICOLAS - CEPROC 2002</v>
      </c>
      <c r="N287" s="29">
        <f>N292</f>
        <v>408</v>
      </c>
      <c r="O287" s="29" t="str">
        <f>O292</f>
        <v>g</v>
      </c>
      <c r="P287" s="30" t="str">
        <f>P292</f>
        <v>Master recipe ► le Boudin en 4 déclinaisons</v>
      </c>
      <c r="Q287" s="31" t="s">
        <v>29</v>
      </c>
      <c r="R287" s="5472"/>
      <c r="S287" s="5472"/>
      <c r="T287" s="5472"/>
      <c r="U287" s="5472"/>
      <c r="V287" s="5472"/>
      <c r="W287" s="5472"/>
      <c r="X287" s="5474"/>
      <c r="Y287" s="5474"/>
      <c r="Z287" s="5476"/>
      <c r="AA287" s="5086"/>
      <c r="AB287" s="27" t="s">
        <v>11</v>
      </c>
      <c r="AC287" s="28" t="str">
        <f>AC292</f>
        <v>S SPICES FOR BLOOD SAUSAGE | |  Author &gt; Guy KRENZE - Eric GODDYN - Arnaud NICOLAS - CEPROC 2002</v>
      </c>
      <c r="AD287" s="29">
        <f>AD292</f>
        <v>408</v>
      </c>
      <c r="AE287" s="29" t="str">
        <f>AE292</f>
        <v>g</v>
      </c>
      <c r="AF287" s="30" t="str">
        <f>AF292</f>
        <v>Master recipe ► Black pudding in 4 variations</v>
      </c>
      <c r="AG287" s="31" t="s">
        <v>29</v>
      </c>
      <c r="AH287" s="5472"/>
      <c r="AI287" s="5472"/>
      <c r="AJ287" s="5472"/>
      <c r="AK287" s="5472"/>
      <c r="AL287" s="5472"/>
      <c r="AM287" s="5472"/>
      <c r="AN287" s="5474" t="s">
        <v>116</v>
      </c>
      <c r="AO287" s="5474"/>
      <c r="AP287" s="5476"/>
      <c r="AQ287" s="5086"/>
      <c r="AR287" s="27" t="s">
        <v>11</v>
      </c>
      <c r="AS287" s="28" t="str">
        <f>AS292</f>
        <v>E ESPECIAS PARA MORCILLA | | Autor &gt; Guy KRENZE - Eric GODDYN - Arnaud NICOLAS - CEPROC 2002</v>
      </c>
      <c r="AT287" s="29">
        <f>AT292</f>
        <v>408</v>
      </c>
      <c r="AU287" s="29" t="str">
        <f>AU292</f>
        <v>g</v>
      </c>
      <c r="AV287" s="30" t="str">
        <f>AV292</f>
        <v>Receta madre ► Morcilla en 4 versiones</v>
      </c>
      <c r="AW287" s="31" t="s">
        <v>29</v>
      </c>
      <c r="AX287" s="5472"/>
      <c r="AY287" s="5472"/>
      <c r="AZ287" s="5472"/>
      <c r="BA287" s="5472"/>
      <c r="BB287" s="5472"/>
      <c r="BC287" s="5472"/>
      <c r="BD287" s="5474" t="s">
        <v>116</v>
      </c>
      <c r="BE287" s="5474"/>
      <c r="BF287" s="5476"/>
      <c r="BG287" s="5086"/>
      <c r="BH287" s="104"/>
      <c r="BI287" s="32"/>
      <c r="BJ287" s="33"/>
      <c r="BK287" s="32"/>
      <c r="BL287" s="34"/>
      <c r="BM287" s="92"/>
      <c r="BN287" s="108"/>
      <c r="BO287" s="94"/>
      <c r="BP287" s="95"/>
      <c r="BQ287" s="105"/>
      <c r="BR287" s="5101"/>
      <c r="BS287" s="920"/>
      <c r="BT287" s="1495"/>
      <c r="BU287" s="101"/>
      <c r="BV287" s="1475"/>
      <c r="BW287" s="5086"/>
      <c r="BX287" s="104"/>
      <c r="BY287" s="32"/>
      <c r="BZ287" s="33"/>
      <c r="CA287" s="32"/>
      <c r="CB287" s="34"/>
      <c r="CC287" s="92"/>
      <c r="CD287" s="108"/>
      <c r="CE287" s="94"/>
      <c r="CF287" s="95"/>
      <c r="CG287" s="105"/>
      <c r="CH287" s="5101"/>
      <c r="CI287" s="920"/>
      <c r="CJ287" s="1495"/>
      <c r="CK287" s="101"/>
      <c r="CL287" s="1475"/>
      <c r="CM287" s="5086"/>
      <c r="CN287" s="104"/>
      <c r="CO287" s="32"/>
      <c r="CP287" s="33"/>
      <c r="CQ287" s="32"/>
      <c r="CR287" s="34"/>
      <c r="CS287" s="92"/>
      <c r="CT287" s="108"/>
      <c r="CU287" s="94"/>
      <c r="CV287" s="95"/>
      <c r="CW287" s="105"/>
      <c r="CX287" s="5101"/>
      <c r="CY287" s="920"/>
      <c r="CZ287" s="1495"/>
      <c r="DA287" s="101"/>
      <c r="DB287" s="1475"/>
      <c r="DC287" s="5109"/>
      <c r="DD287" s="5064"/>
      <c r="DF287" s="3">
        <v>1</v>
      </c>
      <c r="EY287" s="172"/>
      <c r="EZ287" s="172"/>
      <c r="FA287" s="172"/>
      <c r="FB287" s="172"/>
      <c r="FC287" s="555"/>
    </row>
    <row r="288" spans="2:159" ht="21" customHeight="1">
      <c r="B288" s="952" t="str">
        <f t="shared" si="62"/>
        <v>A</v>
      </c>
      <c r="C288" s="993" cm="1">
        <f t="array" ref="C288">SUMPRODUCT(LEN(D288:J288))</f>
        <v>0</v>
      </c>
      <c r="D288" s="167"/>
      <c r="E288" s="172"/>
      <c r="F288" s="172"/>
      <c r="G288" s="172"/>
      <c r="H288" s="172"/>
      <c r="I288" s="172"/>
      <c r="J288" s="173"/>
      <c r="K288"/>
      <c r="L288" s="27" t="s">
        <v>11</v>
      </c>
      <c r="M288" s="5310" t="str">
        <f>M292</f>
        <v>É ÉPICES POUR BOUDIN | |  Author &gt; Guy KRENZE - Eric GODDYN - Arnaud NICOLAS - CEPROC 2002</v>
      </c>
      <c r="N288" s="5310">
        <f>N292</f>
        <v>408</v>
      </c>
      <c r="O288" s="5311" t="str">
        <f>O292</f>
        <v>g</v>
      </c>
      <c r="P288" s="5312" t="str">
        <f>P292</f>
        <v>Master recipe ► le Boudin en 4 déclinaisons</v>
      </c>
      <c r="Q288" s="5313"/>
      <c r="R288" s="5314" t="s">
        <v>30</v>
      </c>
      <c r="S288" s="37"/>
      <c r="T288" s="38" t="s">
        <v>889</v>
      </c>
      <c r="U288" s="39" t="s">
        <v>12835</v>
      </c>
      <c r="V288" s="9"/>
      <c r="W288" s="39"/>
      <c r="X288" s="39"/>
      <c r="Y288" s="40"/>
      <c r="Z288" s="41"/>
      <c r="AA288" s="5086"/>
      <c r="AB288" s="27" t="s">
        <v>11</v>
      </c>
      <c r="AC288" s="5310" t="str">
        <f>AC292</f>
        <v>S SPICES FOR BLOOD SAUSAGE | |  Author &gt; Guy KRENZE - Eric GODDYN - Arnaud NICOLAS - CEPROC 2002</v>
      </c>
      <c r="AD288" s="5310">
        <f>AD292</f>
        <v>408</v>
      </c>
      <c r="AE288" s="5311" t="str">
        <f>AE292</f>
        <v>g</v>
      </c>
      <c r="AF288" s="5312" t="str">
        <f>AF292</f>
        <v>Master recipe ► Black pudding in 4 variations</v>
      </c>
      <c r="AG288" s="5313"/>
      <c r="AH288" s="5314" t="s">
        <v>30</v>
      </c>
      <c r="AI288" s="37"/>
      <c r="AJ288" s="38" t="s">
        <v>889</v>
      </c>
      <c r="AK288" s="39" t="s">
        <v>12835</v>
      </c>
      <c r="AL288" s="9"/>
      <c r="AM288" s="39"/>
      <c r="AN288" s="39"/>
      <c r="AO288" s="40"/>
      <c r="AP288" s="41"/>
      <c r="AQ288" s="5086"/>
      <c r="AR288" s="27" t="s">
        <v>11</v>
      </c>
      <c r="AS288" s="5310" t="str">
        <f>AS292</f>
        <v>E ESPECIAS PARA MORCILLA | | Autor &gt; Guy KRENZE - Eric GODDYN - Arnaud NICOLAS - CEPROC 2002</v>
      </c>
      <c r="AT288" s="5310">
        <f>AT292</f>
        <v>408</v>
      </c>
      <c r="AU288" s="5311" t="str">
        <f>AU292</f>
        <v>g</v>
      </c>
      <c r="AV288" s="5312" t="str">
        <f>AV292</f>
        <v>Receta madre ► Morcilla en 4 versiones</v>
      </c>
      <c r="AW288" s="5313"/>
      <c r="AX288" s="5314" t="s">
        <v>30</v>
      </c>
      <c r="AY288" s="37"/>
      <c r="AZ288" s="38" t="s">
        <v>904</v>
      </c>
      <c r="BA288" s="39" t="s">
        <v>12835</v>
      </c>
      <c r="BB288" s="9"/>
      <c r="BC288" s="39"/>
      <c r="BD288" s="39"/>
      <c r="BE288" s="40"/>
      <c r="BF288" s="41"/>
      <c r="BG288" s="5086"/>
      <c r="BH288" s="104"/>
      <c r="BI288" s="32"/>
      <c r="BJ288" s="33"/>
      <c r="BK288" s="32"/>
      <c r="BL288" s="34"/>
      <c r="BM288" s="92"/>
      <c r="BN288" s="108"/>
      <c r="BO288" s="94"/>
      <c r="BP288" s="95"/>
      <c r="BQ288" s="105"/>
      <c r="BR288" s="5101"/>
      <c r="BS288" s="920"/>
      <c r="BT288" s="1495"/>
      <c r="BU288" s="101"/>
      <c r="BV288" s="1475"/>
      <c r="BW288" s="5086"/>
      <c r="BX288" s="104"/>
      <c r="BY288" s="32"/>
      <c r="BZ288" s="33"/>
      <c r="CA288" s="32"/>
      <c r="CB288" s="34"/>
      <c r="CC288" s="92"/>
      <c r="CD288" s="108"/>
      <c r="CE288" s="94"/>
      <c r="CF288" s="95"/>
      <c r="CG288" s="105"/>
      <c r="CH288" s="5101"/>
      <c r="CI288" s="920"/>
      <c r="CJ288" s="1495"/>
      <c r="CK288" s="101"/>
      <c r="CL288" s="1475"/>
      <c r="CM288" s="5086"/>
      <c r="CN288" s="104"/>
      <c r="CO288" s="32"/>
      <c r="CP288" s="33"/>
      <c r="CQ288" s="32"/>
      <c r="CR288" s="34"/>
      <c r="CS288" s="92"/>
      <c r="CT288" s="108"/>
      <c r="CU288" s="94"/>
      <c r="CV288" s="95"/>
      <c r="CW288" s="105"/>
      <c r="CX288" s="5101"/>
      <c r="CY288" s="920"/>
      <c r="CZ288" s="1495"/>
      <c r="DA288" s="101"/>
      <c r="DB288" s="1475"/>
      <c r="DC288" s="5109"/>
      <c r="DD288" s="5086"/>
      <c r="DF288" s="3">
        <v>1</v>
      </c>
      <c r="EY288" s="172"/>
      <c r="EZ288" s="172"/>
      <c r="FA288" s="172"/>
      <c r="FB288" s="172"/>
      <c r="FC288" s="555"/>
    </row>
    <row r="289" spans="2:159" ht="21" customHeight="1">
      <c r="B289" s="952" t="str">
        <f t="shared" si="62"/>
        <v>A</v>
      </c>
      <c r="C289" s="993" cm="1">
        <f t="array" ref="C289">SUMPRODUCT(LEN(D289:J289))</f>
        <v>0</v>
      </c>
      <c r="D289" s="167"/>
      <c r="E289" s="172"/>
      <c r="F289" s="172"/>
      <c r="G289" s="172"/>
      <c r="H289" s="172"/>
      <c r="I289" s="172"/>
      <c r="J289" s="173"/>
      <c r="K289"/>
      <c r="L289" s="27" t="s">
        <v>11</v>
      </c>
      <c r="M289" s="32" t="str">
        <f>M292</f>
        <v>É ÉPICES POUR BOUDIN | |  Author &gt; Guy KRENZE - Eric GODDYN - Arnaud NICOLAS - CEPROC 2002</v>
      </c>
      <c r="N289" s="33">
        <f>N292</f>
        <v>408</v>
      </c>
      <c r="O289" s="33" t="str">
        <f>O292</f>
        <v>g</v>
      </c>
      <c r="P289" s="34" t="str">
        <f>P292</f>
        <v>Master recipe ► le Boudin en 4 déclinaisons</v>
      </c>
      <c r="Q289" s="42" t="s">
        <v>137</v>
      </c>
      <c r="R289" s="43"/>
      <c r="S289" s="43"/>
      <c r="T289" s="44" t="s">
        <v>33</v>
      </c>
      <c r="U289" s="5477" t="str">
        <f>V292&amp;" "&amp;W292&amp;" ► Famille = "&amp;X286&amp;" ► "&amp;R286&amp;" "&amp; "pour "&amp;X290&amp;" "&amp;Y290</f>
        <v>Master recipe ► le Boudin en 4 déclinaisons ► Famille =  charcuterie-BOUDIN-NOIR ► ÉPICES POUR BOUDIN pour 100 g</v>
      </c>
      <c r="V289" s="5477"/>
      <c r="W289" s="5477"/>
      <c r="X289" s="5039" t="s">
        <v>3324</v>
      </c>
      <c r="Y289" s="40"/>
      <c r="Z289" s="1472"/>
      <c r="AA289" s="5086"/>
      <c r="AB289" s="27" t="s">
        <v>11</v>
      </c>
      <c r="AC289" s="32" t="str">
        <f>AC292</f>
        <v>S SPICES FOR BLOOD SAUSAGE | |  Author &gt; Guy KRENZE - Eric GODDYN - Arnaud NICOLAS - CEPROC 2002</v>
      </c>
      <c r="AD289" s="33">
        <f>AD292</f>
        <v>408</v>
      </c>
      <c r="AE289" s="33" t="str">
        <f>AE292</f>
        <v>g</v>
      </c>
      <c r="AF289" s="34" t="str">
        <f>AF292</f>
        <v>Master recipe ► Black pudding in 4 variations</v>
      </c>
      <c r="AG289" s="42" t="s">
        <v>137</v>
      </c>
      <c r="AH289" s="43"/>
      <c r="AI289" s="43"/>
      <c r="AJ289" s="44" t="s">
        <v>33</v>
      </c>
      <c r="AK289" s="5477" t="str">
        <f>AL292&amp;" "&amp;AM292&amp;" ► category = "&amp;AN286&amp;" ► "&amp;AH286&amp;" "&amp; "pour "&amp;AN290&amp;" "&amp;AO290</f>
        <v>Master recipe ► Black pudding in 4 variations ► category = charcuterie-BLACK-PUDDING ► SPICES FOR BLOOD SAUSAGE pour 100 g</v>
      </c>
      <c r="AL289" s="5477"/>
      <c r="AM289" s="5477"/>
      <c r="AN289" s="5039" t="s">
        <v>3324</v>
      </c>
      <c r="AO289" s="40"/>
      <c r="AP289" s="1472"/>
      <c r="AQ289" s="5086"/>
      <c r="AR289" s="27" t="s">
        <v>11</v>
      </c>
      <c r="AS289" s="32" t="str">
        <f>AS292</f>
        <v>E ESPECIAS PARA MORCILLA | | Autor &gt; Guy KRENZE - Eric GODDYN - Arnaud NICOLAS - CEPROC 2002</v>
      </c>
      <c r="AT289" s="33">
        <f>AT292</f>
        <v>408</v>
      </c>
      <c r="AU289" s="33" t="str">
        <f>AU292</f>
        <v>g</v>
      </c>
      <c r="AV289" s="34" t="str">
        <f>AV292</f>
        <v>Receta madre ► Morcilla en 4 versiones</v>
      </c>
      <c r="AW289" s="42" t="s">
        <v>905</v>
      </c>
      <c r="AX289" s="43"/>
      <c r="AY289" s="43"/>
      <c r="AZ289" s="44" t="s">
        <v>33</v>
      </c>
      <c r="BA289" s="5477" t="str">
        <f>BB292&amp;" "&amp;BC292&amp;" ► Famille = "&amp;BD286&amp;" ► "&amp;AX286&amp;" "&amp; "pour "&amp;BD290&amp;" "&amp;BE290</f>
        <v>Receta madre ► Morcilla en 4 versiones ► Famille = charcutería--MORCILLA ► ESPECIAS PARA MORCILLA pour 100 g</v>
      </c>
      <c r="BB289" s="5477"/>
      <c r="BC289" s="5477"/>
      <c r="BD289" s="5039" t="s">
        <v>3326</v>
      </c>
      <c r="BE289" s="40"/>
      <c r="BF289" s="1472"/>
      <c r="BG289" s="5086"/>
      <c r="BH289" s="104"/>
      <c r="BI289" s="32"/>
      <c r="BJ289" s="33"/>
      <c r="BK289" s="32"/>
      <c r="BL289" s="34"/>
      <c r="BM289" s="92"/>
      <c r="BN289" s="108"/>
      <c r="BO289" s="94"/>
      <c r="BP289" s="95"/>
      <c r="BQ289" s="105"/>
      <c r="BR289" s="5101"/>
      <c r="BS289" s="920"/>
      <c r="BT289" s="1495"/>
      <c r="BU289" s="101"/>
      <c r="BV289" s="1475"/>
      <c r="BW289" s="5086"/>
      <c r="BX289" s="104"/>
      <c r="BY289" s="32"/>
      <c r="BZ289" s="33"/>
      <c r="CA289" s="32"/>
      <c r="CB289" s="34"/>
      <c r="CC289" s="92"/>
      <c r="CD289" s="108"/>
      <c r="CE289" s="94"/>
      <c r="CF289" s="95"/>
      <c r="CG289" s="105"/>
      <c r="CH289" s="5101"/>
      <c r="CI289" s="920"/>
      <c r="CJ289" s="1495"/>
      <c r="CK289" s="101"/>
      <c r="CL289" s="1475"/>
      <c r="CM289" s="5086"/>
      <c r="CN289" s="104"/>
      <c r="CO289" s="32"/>
      <c r="CP289" s="33"/>
      <c r="CQ289" s="32"/>
      <c r="CR289" s="34"/>
      <c r="CS289" s="92"/>
      <c r="CT289" s="108"/>
      <c r="CU289" s="94"/>
      <c r="CV289" s="95"/>
      <c r="CW289" s="105"/>
      <c r="CX289" s="5101"/>
      <c r="CY289" s="920"/>
      <c r="CZ289" s="1495"/>
      <c r="DA289" s="101"/>
      <c r="DB289" s="1475"/>
      <c r="DC289" s="5109"/>
      <c r="DD289" s="5086"/>
      <c r="DF289" s="3">
        <v>1</v>
      </c>
      <c r="EY289" s="172"/>
      <c r="EZ289" s="172"/>
      <c r="FA289" s="172"/>
      <c r="FB289" s="172"/>
      <c r="FC289" s="555"/>
    </row>
    <row r="290" spans="2:159" ht="21" customHeight="1">
      <c r="B290" s="952" t="str">
        <f t="shared" si="62"/>
        <v>A</v>
      </c>
      <c r="C290" s="993" cm="1">
        <f t="array" ref="C290">SUMPRODUCT(LEN(D290:J290))</f>
        <v>0</v>
      </c>
      <c r="D290" s="167"/>
      <c r="E290" s="172"/>
      <c r="F290" s="172"/>
      <c r="G290" s="172"/>
      <c r="H290" s="172"/>
      <c r="I290" s="172"/>
      <c r="J290" s="173"/>
      <c r="K290"/>
      <c r="L290" s="27" t="s">
        <v>11</v>
      </c>
      <c r="M290" s="32" t="str">
        <f>M292</f>
        <v>É ÉPICES POUR BOUDIN | |  Author &gt; Guy KRENZE - Eric GODDYN - Arnaud NICOLAS - CEPROC 2002</v>
      </c>
      <c r="N290" s="33">
        <f>N292</f>
        <v>408</v>
      </c>
      <c r="O290" s="33" t="str">
        <f>O292</f>
        <v>g</v>
      </c>
      <c r="P290" s="34" t="str">
        <f>P292</f>
        <v>Master recipe ► le Boudin en 4 déclinaisons</v>
      </c>
      <c r="Q290" s="50">
        <v>408</v>
      </c>
      <c r="R290" s="51" t="s">
        <v>99</v>
      </c>
      <c r="S290" s="42"/>
      <c r="T290" s="42"/>
      <c r="U290" s="5477"/>
      <c r="V290" s="5477"/>
      <c r="W290" s="5477"/>
      <c r="X290" s="46">
        <v>100</v>
      </c>
      <c r="Y290" s="5478" t="str">
        <f>R290</f>
        <v>g</v>
      </c>
      <c r="Z290" s="5479"/>
      <c r="AA290" s="5086"/>
      <c r="AB290" s="27" t="s">
        <v>11</v>
      </c>
      <c r="AC290" s="32" t="str">
        <f>AC292</f>
        <v>S SPICES FOR BLOOD SAUSAGE | |  Author &gt; Guy KRENZE - Eric GODDYN - Arnaud NICOLAS - CEPROC 2002</v>
      </c>
      <c r="AD290" s="33">
        <f>AD292</f>
        <v>408</v>
      </c>
      <c r="AE290" s="33" t="str">
        <f>AE292</f>
        <v>g</v>
      </c>
      <c r="AF290" s="34" t="str">
        <f>AF292</f>
        <v>Master recipe ► Black pudding in 4 variations</v>
      </c>
      <c r="AG290" s="50">
        <v>408</v>
      </c>
      <c r="AH290" s="51" t="s">
        <v>99</v>
      </c>
      <c r="AI290" s="42"/>
      <c r="AJ290" s="42"/>
      <c r="AK290" s="5477"/>
      <c r="AL290" s="5477"/>
      <c r="AM290" s="5477"/>
      <c r="AN290" s="46">
        <v>100</v>
      </c>
      <c r="AO290" s="5478" t="str">
        <f>AH290</f>
        <v>g</v>
      </c>
      <c r="AP290" s="5479"/>
      <c r="AQ290" s="5086"/>
      <c r="AR290" s="27" t="s">
        <v>11</v>
      </c>
      <c r="AS290" s="32" t="str">
        <f>AS292</f>
        <v>E ESPECIAS PARA MORCILLA | | Autor &gt; Guy KRENZE - Eric GODDYN - Arnaud NICOLAS - CEPROC 2002</v>
      </c>
      <c r="AT290" s="33">
        <f>AT292</f>
        <v>408</v>
      </c>
      <c r="AU290" s="33" t="str">
        <f>AU292</f>
        <v>g</v>
      </c>
      <c r="AV290" s="34" t="str">
        <f>AV292</f>
        <v>Receta madre ► Morcilla en 4 versiones</v>
      </c>
      <c r="AW290" s="50">
        <v>408</v>
      </c>
      <c r="AX290" s="51" t="s">
        <v>99</v>
      </c>
      <c r="AY290" s="42"/>
      <c r="AZ290" s="42"/>
      <c r="BA290" s="5477"/>
      <c r="BB290" s="5477"/>
      <c r="BC290" s="5477"/>
      <c r="BD290" s="46">
        <v>100</v>
      </c>
      <c r="BE290" s="5478" t="str">
        <f>AX290</f>
        <v>g</v>
      </c>
      <c r="BF290" s="5479"/>
      <c r="BG290" s="5086"/>
      <c r="BH290" s="104"/>
      <c r="BI290" s="32"/>
      <c r="BJ290" s="33"/>
      <c r="BK290" s="32"/>
      <c r="BL290" s="34"/>
      <c r="BM290" s="92"/>
      <c r="BN290" s="108"/>
      <c r="BO290" s="94"/>
      <c r="BP290" s="95"/>
      <c r="BQ290" s="105"/>
      <c r="BR290" s="5101"/>
      <c r="BS290" s="920"/>
      <c r="BT290" s="1495"/>
      <c r="BU290" s="101"/>
      <c r="BV290" s="1475"/>
      <c r="BW290" s="5086"/>
      <c r="BX290" s="104"/>
      <c r="BY290" s="32"/>
      <c r="BZ290" s="33"/>
      <c r="CA290" s="32"/>
      <c r="CB290" s="34"/>
      <c r="CC290" s="92"/>
      <c r="CD290" s="108"/>
      <c r="CE290" s="94"/>
      <c r="CF290" s="95"/>
      <c r="CG290" s="105"/>
      <c r="CH290" s="5101"/>
      <c r="CI290" s="920"/>
      <c r="CJ290" s="1495"/>
      <c r="CK290" s="101"/>
      <c r="CL290" s="1475"/>
      <c r="CM290" s="5086"/>
      <c r="CN290" s="104"/>
      <c r="CO290" s="32"/>
      <c r="CP290" s="33"/>
      <c r="CQ290" s="32"/>
      <c r="CR290" s="34"/>
      <c r="CS290" s="92"/>
      <c r="CT290" s="108"/>
      <c r="CU290" s="94"/>
      <c r="CV290" s="95"/>
      <c r="CW290" s="105"/>
      <c r="CX290" s="5101"/>
      <c r="CY290" s="920"/>
      <c r="CZ290" s="1495"/>
      <c r="DA290" s="101"/>
      <c r="DB290" s="1475"/>
      <c r="DC290" s="5109"/>
      <c r="DD290" s="5086"/>
      <c r="DF290" s="3">
        <v>1</v>
      </c>
      <c r="EY290" s="172"/>
      <c r="EZ290" s="172"/>
      <c r="FA290" s="172"/>
      <c r="FB290" s="172"/>
      <c r="FC290" s="555"/>
    </row>
    <row r="291" spans="2:159" ht="21" customHeight="1">
      <c r="B291" s="952" t="str">
        <f t="shared" si="62"/>
        <v>►</v>
      </c>
      <c r="C291" s="993" cm="1">
        <f t="array" ref="C291">SUMPRODUCT(LEN(D291:J291))</f>
        <v>0</v>
      </c>
      <c r="D291" s="167"/>
      <c r="E291" s="172"/>
      <c r="F291" s="172"/>
      <c r="G291" s="172"/>
      <c r="H291" s="172"/>
      <c r="I291" s="172"/>
      <c r="J291" s="173"/>
      <c r="K291"/>
      <c r="L291" s="27" t="s">
        <v>16</v>
      </c>
      <c r="M291" s="32" t="str">
        <f>M292</f>
        <v>É ÉPICES POUR BOUDIN | |  Author &gt; Guy KRENZE - Eric GODDYN - Arnaud NICOLAS - CEPROC 2002</v>
      </c>
      <c r="N291" s="33">
        <f>N292</f>
        <v>408</v>
      </c>
      <c r="O291" s="33" t="str">
        <f>O292</f>
        <v>g</v>
      </c>
      <c r="P291" s="34" t="str">
        <f>P292</f>
        <v>Master recipe ► le Boudin en 4 déclinaisons</v>
      </c>
      <c r="Q291" s="56"/>
      <c r="R291" s="5165" t="s">
        <v>13100</v>
      </c>
      <c r="S291" s="5468">
        <f>Y306/V291</f>
        <v>0.40749999999999997</v>
      </c>
      <c r="T291" s="5468"/>
      <c r="U291" s="5054" t="str" cm="1">
        <f t="array" ref="U291">"1= "&amp;IF(OR(Q290&lt;=0,S291=""),"",_xlfn.LET(_xlpm.kg,IF(ISNUMBER(S291),S291,VALEUR(SUBSTITUTE(SUBSTITUTE(SUBSTITUTE(LOWER(S291),"kg",""),",",".")," ",""))),TEXT(ROUND(_xlpm.kg*1000/Q290,2),"0.##")&amp;" g"))</f>
        <v>1= 1. g</v>
      </c>
      <c r="V291" s="1490">
        <f>IFERROR(X290/Q290,0)</f>
        <v>0.24509803921568626</v>
      </c>
      <c r="W291" s="45"/>
      <c r="X291" s="5041" t="s">
        <v>153</v>
      </c>
      <c r="Y291" s="5042">
        <f>Y306</f>
        <v>9.9877450980392149E-2</v>
      </c>
      <c r="Z291" s="5043"/>
      <c r="AA291" s="5086"/>
      <c r="AB291" s="27" t="s">
        <v>16</v>
      </c>
      <c r="AC291" s="32" t="str">
        <f>AC292</f>
        <v>S SPICES FOR BLOOD SAUSAGE | |  Author &gt; Guy KRENZE - Eric GODDYN - Arnaud NICOLAS - CEPROC 2002</v>
      </c>
      <c r="AD291" s="33">
        <f>AD292</f>
        <v>408</v>
      </c>
      <c r="AE291" s="33" t="str">
        <f>AE292</f>
        <v>g</v>
      </c>
      <c r="AF291" s="34" t="str">
        <f>AF292</f>
        <v>Master recipe ► Black pudding in 4 variations</v>
      </c>
      <c r="AG291" s="56"/>
      <c r="AH291" s="5165" t="s">
        <v>13100</v>
      </c>
      <c r="AI291" s="5498">
        <f>AO306/AL291</f>
        <v>0.40749999999999997</v>
      </c>
      <c r="AJ291" s="5498"/>
      <c r="AK291" s="5054" t="str" cm="1">
        <f t="array" ref="AK291">"1= "&amp;IF(OR(AG290&lt;=0,AI291=""),"",_xlfn.LET(_xlpm.kg,IF(ISNUMBER(AI291),AI291,VALEUR(SUBSTITUTE(SUBSTITUTE(SUBSTITUTE(LOWER(AI291),"kg",""),",",".")," ",""))),TEXT(ROUND(_xlpm.kg*1000/AG290,2),"0.##")&amp;" g"))</f>
        <v>1= 1. g</v>
      </c>
      <c r="AL291" s="1490">
        <f>IFERROR(AN290/AG290,0)</f>
        <v>0.24509803921568626</v>
      </c>
      <c r="AM291" s="45"/>
      <c r="AN291" s="5041" t="s">
        <v>153</v>
      </c>
      <c r="AO291" s="5042">
        <f>AO306</f>
        <v>9.9877450980392149E-2</v>
      </c>
      <c r="AP291" s="5043"/>
      <c r="AQ291" s="5086"/>
      <c r="AR291" s="27" t="s">
        <v>16</v>
      </c>
      <c r="AS291" s="32" t="str">
        <f>AS292</f>
        <v>E ESPECIAS PARA MORCILLA | | Autor &gt; Guy KRENZE - Eric GODDYN - Arnaud NICOLAS - CEPROC 2002</v>
      </c>
      <c r="AT291" s="33">
        <f>AT292</f>
        <v>408</v>
      </c>
      <c r="AU291" s="33" t="str">
        <f>AU292</f>
        <v>g</v>
      </c>
      <c r="AV291" s="34" t="str">
        <f>AV292</f>
        <v>Receta madre ► Morcilla en 4 versiones</v>
      </c>
      <c r="AW291" s="56"/>
      <c r="AX291" s="5165" t="s">
        <v>13101</v>
      </c>
      <c r="AY291" s="5468">
        <f>BE306/BB291</f>
        <v>0.40749999999999997</v>
      </c>
      <c r="AZ291" s="5468"/>
      <c r="BA291" s="5054" t="str" cm="1">
        <f t="array" ref="BA291">"1= "&amp;IF(OR(AW290&lt;=0,AY291=""),"",_xlfn.LET(_xlpm.kg,IF(ISNUMBER(AY291),AY291,VALEUR(SUBSTITUTE(SUBSTITUTE(SUBSTITUTE(LOWER(AY291),"kg",""),",",".")," ",""))),TEXT(ROUND(_xlpm.kg*1000/AW290,2),"0.##")&amp;" g"))</f>
        <v>1= 1. g</v>
      </c>
      <c r="BB291" s="1490">
        <f>IFERROR(BD290/AW290,0)</f>
        <v>0.24509803921568626</v>
      </c>
      <c r="BC291" s="45"/>
      <c r="BD291" s="5041" t="s">
        <v>248</v>
      </c>
      <c r="BE291" s="5042">
        <f>BE306</f>
        <v>9.9877450980392149E-2</v>
      </c>
      <c r="BF291" s="5043"/>
      <c r="BG291" s="5086"/>
      <c r="BH291" s="104"/>
      <c r="BI291" s="32"/>
      <c r="BJ291" s="33"/>
      <c r="BK291" s="32"/>
      <c r="BL291" s="34"/>
      <c r="BM291" s="92"/>
      <c r="BN291" s="108"/>
      <c r="BO291" s="94"/>
      <c r="BP291" s="95"/>
      <c r="BQ291" s="105"/>
      <c r="BR291" s="5101"/>
      <c r="BS291" s="920"/>
      <c r="BT291" s="1495"/>
      <c r="BU291" s="101"/>
      <c r="BV291" s="1475"/>
      <c r="BW291" s="5086"/>
      <c r="BX291" s="104"/>
      <c r="BY291" s="32"/>
      <c r="BZ291" s="33"/>
      <c r="CA291" s="32"/>
      <c r="CB291" s="34"/>
      <c r="CC291" s="92"/>
      <c r="CD291" s="108"/>
      <c r="CE291" s="94"/>
      <c r="CF291" s="95"/>
      <c r="CG291" s="105"/>
      <c r="CH291" s="5101"/>
      <c r="CI291" s="920"/>
      <c r="CJ291" s="1495"/>
      <c r="CK291" s="101"/>
      <c r="CL291" s="1475"/>
      <c r="CM291" s="5086"/>
      <c r="CN291" s="104"/>
      <c r="CO291" s="32"/>
      <c r="CP291" s="33"/>
      <c r="CQ291" s="32"/>
      <c r="CR291" s="34"/>
      <c r="CS291" s="92"/>
      <c r="CT291" s="108"/>
      <c r="CU291" s="94"/>
      <c r="CV291" s="95"/>
      <c r="CW291" s="105"/>
      <c r="CX291" s="5101"/>
      <c r="CY291" s="920"/>
      <c r="CZ291" s="1495"/>
      <c r="DA291" s="101"/>
      <c r="DB291" s="1475"/>
      <c r="DC291" s="5109"/>
      <c r="DD291" s="5086"/>
      <c r="DF291" s="3">
        <v>1</v>
      </c>
      <c r="EY291" s="172"/>
      <c r="EZ291" s="172"/>
      <c r="FA291" s="172"/>
      <c r="FB291" s="172"/>
      <c r="FC291" s="555"/>
    </row>
    <row r="292" spans="2:159" ht="21" customHeight="1">
      <c r="B292" s="952" t="str">
        <f t="shared" si="62"/>
        <v>►</v>
      </c>
      <c r="C292" s="993" cm="1">
        <f t="array" ref="C292">SUMPRODUCT(LEN(D292:J292))</f>
        <v>0</v>
      </c>
      <c r="D292" s="167"/>
      <c r="E292" s="172"/>
      <c r="F292" s="172"/>
      <c r="G292" s="172"/>
      <c r="H292" s="172"/>
      <c r="I292" s="172"/>
      <c r="J292" s="173"/>
      <c r="K292"/>
      <c r="L292" s="64" t="s">
        <v>16</v>
      </c>
      <c r="M292" s="65" t="str">
        <f>Q292</f>
        <v>É ÉPICES POUR BOUDIN | |  Author &gt; Guy KRENZE - Eric GODDYN - Arnaud NICOLAS - CEPROC 2002</v>
      </c>
      <c r="N292" s="66">
        <f>Q290</f>
        <v>408</v>
      </c>
      <c r="O292" s="65" t="str">
        <f>R290</f>
        <v>g</v>
      </c>
      <c r="P292" s="67" t="str">
        <f>V292&amp;" "&amp;W292</f>
        <v>Master recipe ► le Boudin en 4 déclinaisons</v>
      </c>
      <c r="Q292" s="68" t="str">
        <f>UPPER(LEFT(R286,1))&amp;" "&amp;R286&amp;" | "&amp;Y286&amp;"| "&amp;T288&amp;" "&amp;U288</f>
        <v>É ÉPICES POUR BOUDIN | |  Author &gt; Guy KRENZE - Eric GODDYN - Arnaud NICOLAS - CEPROC 2002</v>
      </c>
      <c r="R292" s="69" t="s">
        <v>3315</v>
      </c>
      <c r="S292" s="5469" t="s">
        <v>3316</v>
      </c>
      <c r="T292" s="5469"/>
      <c r="U292" s="5469"/>
      <c r="V292" s="70" t="str">
        <f>IF(ISTEXT(W292),"Master recipe ►",R292)</f>
        <v>Master recipe ►</v>
      </c>
      <c r="W292" s="71" t="s">
        <v>12836</v>
      </c>
      <c r="X292" s="71"/>
      <c r="Y292" s="72"/>
      <c r="Z292" s="1473"/>
      <c r="AA292" s="5086"/>
      <c r="AB292" s="64" t="s">
        <v>16</v>
      </c>
      <c r="AC292" s="65" t="str">
        <f>AG292</f>
        <v>S SPICES FOR BLOOD SAUSAGE | |  Author &gt; Guy KRENZE - Eric GODDYN - Arnaud NICOLAS - CEPROC 2002</v>
      </c>
      <c r="AD292" s="66">
        <f>AG290</f>
        <v>408</v>
      </c>
      <c r="AE292" s="65" t="str">
        <f>AH290</f>
        <v>g</v>
      </c>
      <c r="AF292" s="67" t="str">
        <f>AL292&amp;" "&amp;AM292</f>
        <v>Master recipe ► Black pudding in 4 variations</v>
      </c>
      <c r="AG292" s="68" t="str">
        <f>UPPER(LEFT(AH286,1))&amp;" "&amp;AH286&amp;" | "&amp;AO286&amp;"| "&amp;AJ288&amp;" "&amp;AK288</f>
        <v>S SPICES FOR BLOOD SAUSAGE | |  Author &gt; Guy KRENZE - Eric GODDYN - Arnaud NICOLAS - CEPROC 2002</v>
      </c>
      <c r="AH292" s="69" t="s">
        <v>3315</v>
      </c>
      <c r="AI292" s="5469" t="s">
        <v>3316</v>
      </c>
      <c r="AJ292" s="5469"/>
      <c r="AK292" s="5469"/>
      <c r="AL292" s="70" t="str">
        <f>IF(ISTEXT(AM292),"Master recipe ►",AH292)</f>
        <v>Master recipe ►</v>
      </c>
      <c r="AM292" s="71" t="s">
        <v>12924</v>
      </c>
      <c r="AN292" s="71"/>
      <c r="AO292" s="72"/>
      <c r="AP292" s="1473"/>
      <c r="AQ292" s="5086"/>
      <c r="AR292" s="64" t="s">
        <v>16</v>
      </c>
      <c r="AS292" s="65" t="str">
        <f>AW292</f>
        <v>E ESPECIAS PARA MORCILLA | | Autor &gt; Guy KRENZE - Eric GODDYN - Arnaud NICOLAS - CEPROC 2002</v>
      </c>
      <c r="AT292" s="66">
        <f>AW290</f>
        <v>408</v>
      </c>
      <c r="AU292" s="65" t="str">
        <f>AX290</f>
        <v>g</v>
      </c>
      <c r="AV292" s="67" t="str">
        <f>BB292&amp;" "&amp;BC292</f>
        <v>Receta madre ► Morcilla en 4 versiones</v>
      </c>
      <c r="AW292" s="68" t="str">
        <f>UPPER(LEFT(AX286,1))&amp;" "&amp;AX286&amp;" | "&amp;BE286&amp;"| "&amp;AZ288&amp;" "&amp;BA288</f>
        <v>E ESPECIAS PARA MORCILLA | | Autor &gt; Guy KRENZE - Eric GODDYN - Arnaud NICOLAS - CEPROC 2002</v>
      </c>
      <c r="AX292" s="69" t="s">
        <v>3319</v>
      </c>
      <c r="AY292" s="5469" t="s">
        <v>906</v>
      </c>
      <c r="AZ292" s="5469"/>
      <c r="BA292" s="5469"/>
      <c r="BB292" s="70" t="str">
        <f>IF(ISTEXT(BC292),"Receta madre ►",AX292)</f>
        <v>Receta madre ►</v>
      </c>
      <c r="BC292" s="71" t="s">
        <v>12925</v>
      </c>
      <c r="BD292" s="71"/>
      <c r="BE292" s="72"/>
      <c r="BF292" s="1473"/>
      <c r="BG292" s="5086"/>
      <c r="BH292" s="104"/>
      <c r="BI292" s="32"/>
      <c r="BJ292" s="33"/>
      <c r="BK292" s="32"/>
      <c r="BL292" s="34"/>
      <c r="BM292" s="92"/>
      <c r="BN292" s="108"/>
      <c r="BO292" s="94"/>
      <c r="BP292" s="95"/>
      <c r="BQ292" s="105"/>
      <c r="BR292" s="5101"/>
      <c r="BS292" s="920"/>
      <c r="BT292" s="1495"/>
      <c r="BU292" s="101"/>
      <c r="BV292" s="1475"/>
      <c r="BW292" s="5086"/>
      <c r="BX292" s="104"/>
      <c r="BY292" s="32"/>
      <c r="BZ292" s="33"/>
      <c r="CA292" s="32"/>
      <c r="CB292" s="34"/>
      <c r="CC292" s="92"/>
      <c r="CD292" s="108"/>
      <c r="CE292" s="94"/>
      <c r="CF292" s="95"/>
      <c r="CG292" s="105"/>
      <c r="CH292" s="5101"/>
      <c r="CI292" s="920"/>
      <c r="CJ292" s="1495"/>
      <c r="CK292" s="101"/>
      <c r="CL292" s="1475"/>
      <c r="CM292" s="5086"/>
      <c r="CN292" s="104"/>
      <c r="CO292" s="32"/>
      <c r="CP292" s="33"/>
      <c r="CQ292" s="32"/>
      <c r="CR292" s="34"/>
      <c r="CS292" s="92"/>
      <c r="CT292" s="108"/>
      <c r="CU292" s="94"/>
      <c r="CV292" s="95"/>
      <c r="CW292" s="105"/>
      <c r="CX292" s="5101"/>
      <c r="CY292" s="920"/>
      <c r="CZ292" s="1495"/>
      <c r="DA292" s="101"/>
      <c r="DB292" s="1475"/>
      <c r="DC292" s="5109"/>
      <c r="DD292" s="5086"/>
      <c r="DF292" s="3">
        <v>1</v>
      </c>
      <c r="EY292" s="172"/>
      <c r="EZ292" s="172"/>
      <c r="FA292" s="172"/>
      <c r="FB292" s="172"/>
      <c r="FC292" s="555"/>
    </row>
    <row r="293" spans="2:159" ht="21" customHeight="1">
      <c r="B293" s="952" t="str">
        <f t="shared" si="62"/>
        <v>►</v>
      </c>
      <c r="C293" s="993" cm="1">
        <f t="array" ref="C293">SUMPRODUCT(LEN(D293:J293))</f>
        <v>0</v>
      </c>
      <c r="D293" s="167"/>
      <c r="E293" s="172"/>
      <c r="F293" s="172"/>
      <c r="G293" s="172"/>
      <c r="H293" s="172"/>
      <c r="I293" s="172"/>
      <c r="J293" s="173"/>
      <c r="K293"/>
      <c r="L293" s="74" t="s">
        <v>16</v>
      </c>
      <c r="M293" s="75" t="str">
        <f>M292</f>
        <v>É ÉPICES POUR BOUDIN | |  Author &gt; Guy KRENZE - Eric GODDYN - Arnaud NICOLAS - CEPROC 2002</v>
      </c>
      <c r="N293" s="75">
        <f>N292</f>
        <v>408</v>
      </c>
      <c r="O293" s="75" t="str">
        <f>O292</f>
        <v>g</v>
      </c>
      <c r="P293" s="76" t="str">
        <f>P292</f>
        <v>Master recipe ► le Boudin en 4 déclinaisons</v>
      </c>
      <c r="Q293" s="13" t="s">
        <v>66</v>
      </c>
      <c r="R293" s="13" t="s">
        <v>67</v>
      </c>
      <c r="S293" s="13" t="s">
        <v>68</v>
      </c>
      <c r="T293" s="13" t="s">
        <v>69</v>
      </c>
      <c r="U293" s="77" t="s">
        <v>70</v>
      </c>
      <c r="V293" s="78" t="s">
        <v>71</v>
      </c>
      <c r="W293" s="79" t="s">
        <v>72</v>
      </c>
      <c r="X293" s="1496" t="s">
        <v>73</v>
      </c>
      <c r="Y293" s="13" t="s">
        <v>74</v>
      </c>
      <c r="Z293" s="518" t="s">
        <v>75</v>
      </c>
      <c r="AA293" s="5086"/>
      <c r="AB293" s="74" t="s">
        <v>16</v>
      </c>
      <c r="AC293" s="75" t="str">
        <f>AC292</f>
        <v>S SPICES FOR BLOOD SAUSAGE | |  Author &gt; Guy KRENZE - Eric GODDYN - Arnaud NICOLAS - CEPROC 2002</v>
      </c>
      <c r="AD293" s="75">
        <f>AD292</f>
        <v>408</v>
      </c>
      <c r="AE293" s="75" t="str">
        <f>AE292</f>
        <v>g</v>
      </c>
      <c r="AF293" s="76" t="str">
        <f>AF292</f>
        <v>Master recipe ► Black pudding in 4 variations</v>
      </c>
      <c r="AG293" s="13" t="s">
        <v>66</v>
      </c>
      <c r="AH293" s="13" t="s">
        <v>67</v>
      </c>
      <c r="AI293" s="13" t="s">
        <v>68</v>
      </c>
      <c r="AJ293" s="13" t="s">
        <v>69</v>
      </c>
      <c r="AK293" s="77" t="s">
        <v>70</v>
      </c>
      <c r="AL293" s="78" t="s">
        <v>71</v>
      </c>
      <c r="AM293" s="79" t="s">
        <v>72</v>
      </c>
      <c r="AN293" s="1496" t="s">
        <v>73</v>
      </c>
      <c r="AO293" s="13" t="s">
        <v>74</v>
      </c>
      <c r="AP293" s="518" t="s">
        <v>75</v>
      </c>
      <c r="AQ293" s="5086"/>
      <c r="AR293" s="74" t="s">
        <v>16</v>
      </c>
      <c r="AS293" s="75" t="str">
        <f>AS292</f>
        <v>E ESPECIAS PARA MORCILLA | | Autor &gt; Guy KRENZE - Eric GODDYN - Arnaud NICOLAS - CEPROC 2002</v>
      </c>
      <c r="AT293" s="75">
        <f>AT292</f>
        <v>408</v>
      </c>
      <c r="AU293" s="75" t="str">
        <f>AU292</f>
        <v>g</v>
      </c>
      <c r="AV293" s="76" t="str">
        <f>AV292</f>
        <v>Receta madre ► Morcilla en 4 versiones</v>
      </c>
      <c r="AW293" s="13" t="s">
        <v>66</v>
      </c>
      <c r="AX293" s="13" t="s">
        <v>67</v>
      </c>
      <c r="AY293" s="13" t="s">
        <v>68</v>
      </c>
      <c r="AZ293" s="13" t="s">
        <v>69</v>
      </c>
      <c r="BA293" s="77" t="s">
        <v>70</v>
      </c>
      <c r="BB293" s="78" t="s">
        <v>71</v>
      </c>
      <c r="BC293" s="79" t="s">
        <v>72</v>
      </c>
      <c r="BD293" s="1496" t="s">
        <v>73</v>
      </c>
      <c r="BE293" s="13" t="s">
        <v>74</v>
      </c>
      <c r="BF293" s="518" t="s">
        <v>75</v>
      </c>
      <c r="BG293" s="5086"/>
      <c r="BH293" s="104"/>
      <c r="BI293" s="32"/>
      <c r="BJ293" s="33"/>
      <c r="BK293" s="32"/>
      <c r="BL293" s="34"/>
      <c r="BM293" s="92"/>
      <c r="BN293" s="108"/>
      <c r="BO293" s="94"/>
      <c r="BP293" s="95"/>
      <c r="BQ293" s="105"/>
      <c r="BR293" s="5101"/>
      <c r="BS293" s="920"/>
      <c r="BT293" s="1495"/>
      <c r="BU293" s="101"/>
      <c r="BV293" s="1475"/>
      <c r="BW293" s="5086"/>
      <c r="BX293" s="104"/>
      <c r="BY293" s="32"/>
      <c r="BZ293" s="33"/>
      <c r="CA293" s="32"/>
      <c r="CB293" s="34"/>
      <c r="CC293" s="92"/>
      <c r="CD293" s="108"/>
      <c r="CE293" s="94"/>
      <c r="CF293" s="95"/>
      <c r="CG293" s="105"/>
      <c r="CH293" s="5101"/>
      <c r="CI293" s="920"/>
      <c r="CJ293" s="1495"/>
      <c r="CK293" s="101"/>
      <c r="CL293" s="1475"/>
      <c r="CM293" s="5086"/>
      <c r="CN293" s="104"/>
      <c r="CO293" s="32"/>
      <c r="CP293" s="33"/>
      <c r="CQ293" s="32"/>
      <c r="CR293" s="34"/>
      <c r="CS293" s="92"/>
      <c r="CT293" s="108"/>
      <c r="CU293" s="94"/>
      <c r="CV293" s="95"/>
      <c r="CW293" s="105"/>
      <c r="CX293" s="5101"/>
      <c r="CY293" s="920"/>
      <c r="CZ293" s="1495"/>
      <c r="DA293" s="101"/>
      <c r="DB293" s="1475"/>
      <c r="DC293" s="5109"/>
      <c r="DD293" s="5086"/>
      <c r="DF293" s="3">
        <v>1</v>
      </c>
      <c r="EY293" s="172"/>
      <c r="EZ293" s="172"/>
      <c r="FA293" s="172"/>
      <c r="FB293" s="172"/>
      <c r="FC293" s="555"/>
    </row>
    <row r="294" spans="2:159" ht="21" customHeight="1">
      <c r="B294" s="952" t="str">
        <f t="shared" si="62"/>
        <v>A</v>
      </c>
      <c r="C294" s="993" cm="1">
        <f t="array" ref="C294">SUMPRODUCT(LEN(D294:J294))</f>
        <v>0</v>
      </c>
      <c r="D294" s="167"/>
      <c r="E294" s="172"/>
      <c r="F294" s="172"/>
      <c r="G294" s="172"/>
      <c r="H294" s="172"/>
      <c r="I294" s="172"/>
      <c r="J294" s="173"/>
      <c r="K294"/>
      <c r="L294" s="27" t="s">
        <v>11</v>
      </c>
      <c r="M294" s="32" t="str">
        <f>M292</f>
        <v>É ÉPICES POUR BOUDIN | |  Author &gt; Guy KRENZE - Eric GODDYN - Arnaud NICOLAS - CEPROC 2002</v>
      </c>
      <c r="N294" s="33">
        <f>N292</f>
        <v>408</v>
      </c>
      <c r="O294" s="32" t="str">
        <f>O292</f>
        <v>g</v>
      </c>
      <c r="P294" s="34" t="str">
        <f>P292</f>
        <v>Master recipe ► le Boudin en 4 déclinaisons</v>
      </c>
      <c r="Q294" s="81" t="s">
        <v>77</v>
      </c>
      <c r="R294" s="82" t="s">
        <v>78</v>
      </c>
      <c r="S294" s="83"/>
      <c r="T294" s="5454" t="s">
        <v>228</v>
      </c>
      <c r="U294" s="5464" t="s">
        <v>80</v>
      </c>
      <c r="V294" s="5466" t="s">
        <v>81</v>
      </c>
      <c r="W294" s="84" t="s">
        <v>82</v>
      </c>
      <c r="X294" s="5444" t="s">
        <v>244</v>
      </c>
      <c r="Y294" s="5446" t="s">
        <v>890</v>
      </c>
      <c r="Z294" s="5448" t="s">
        <v>247</v>
      </c>
      <c r="AA294" s="5086"/>
      <c r="AB294" s="27" t="s">
        <v>11</v>
      </c>
      <c r="AC294" s="32" t="str">
        <f>AC292</f>
        <v>S SPICES FOR BLOOD SAUSAGE | |  Author &gt; Guy KRENZE - Eric GODDYN - Arnaud NICOLAS - CEPROC 2002</v>
      </c>
      <c r="AD294" s="33">
        <f>AD292</f>
        <v>408</v>
      </c>
      <c r="AE294" s="32" t="str">
        <f>AE292</f>
        <v>g</v>
      </c>
      <c r="AF294" s="34" t="str">
        <f>AF292</f>
        <v>Master recipe ► Black pudding in 4 variations</v>
      </c>
      <c r="AG294" s="81" t="s">
        <v>77</v>
      </c>
      <c r="AH294" s="82" t="s">
        <v>78</v>
      </c>
      <c r="AI294" s="83"/>
      <c r="AJ294" s="5454" t="s">
        <v>228</v>
      </c>
      <c r="AK294" s="5464" t="s">
        <v>80</v>
      </c>
      <c r="AL294" s="5466" t="s">
        <v>81</v>
      </c>
      <c r="AM294" s="84" t="s">
        <v>82</v>
      </c>
      <c r="AN294" s="5444" t="s">
        <v>244</v>
      </c>
      <c r="AO294" s="5446" t="s">
        <v>890</v>
      </c>
      <c r="AP294" s="5448" t="s">
        <v>247</v>
      </c>
      <c r="AQ294" s="5086"/>
      <c r="AR294" s="27" t="s">
        <v>11</v>
      </c>
      <c r="AS294" s="32" t="str">
        <f>AS292</f>
        <v>E ESPECIAS PARA MORCILLA | | Autor &gt; Guy KRENZE - Eric GODDYN - Arnaud NICOLAS - CEPROC 2002</v>
      </c>
      <c r="AT294" s="33">
        <f>AT292</f>
        <v>408</v>
      </c>
      <c r="AU294" s="32" t="str">
        <f>AU292</f>
        <v>g</v>
      </c>
      <c r="AV294" s="34" t="str">
        <f>AV292</f>
        <v>Receta madre ► Morcilla en 4 versiones</v>
      </c>
      <c r="AW294" s="81" t="s">
        <v>77</v>
      </c>
      <c r="AX294" s="82" t="s">
        <v>78</v>
      </c>
      <c r="AY294" s="83"/>
      <c r="AZ294" s="5470" t="s">
        <v>229</v>
      </c>
      <c r="BA294" s="5495" t="s">
        <v>80</v>
      </c>
      <c r="BB294" s="5481" t="s">
        <v>396</v>
      </c>
      <c r="BC294" s="84" t="s">
        <v>82</v>
      </c>
      <c r="BD294" s="5444" t="s">
        <v>249</v>
      </c>
      <c r="BE294" s="5446" t="s">
        <v>907</v>
      </c>
      <c r="BF294" s="5448" t="s">
        <v>252</v>
      </c>
      <c r="BG294" s="5086"/>
      <c r="BH294" s="104"/>
      <c r="BI294" s="32"/>
      <c r="BJ294" s="33"/>
      <c r="BK294" s="32"/>
      <c r="BL294" s="34"/>
      <c r="BM294" s="92"/>
      <c r="BN294" s="108"/>
      <c r="BO294" s="94"/>
      <c r="BP294" s="95"/>
      <c r="BQ294" s="105"/>
      <c r="BR294" s="5101"/>
      <c r="BS294" s="920"/>
      <c r="BT294" s="1495"/>
      <c r="BU294" s="101"/>
      <c r="BV294" s="1475"/>
      <c r="BW294" s="5086"/>
      <c r="BX294" s="104"/>
      <c r="BY294" s="32"/>
      <c r="BZ294" s="33"/>
      <c r="CA294" s="32"/>
      <c r="CB294" s="34"/>
      <c r="CC294" s="92"/>
      <c r="CD294" s="108"/>
      <c r="CE294" s="94"/>
      <c r="CF294" s="95"/>
      <c r="CG294" s="105"/>
      <c r="CH294" s="5101"/>
      <c r="CI294" s="920"/>
      <c r="CJ294" s="1495"/>
      <c r="CK294" s="101"/>
      <c r="CL294" s="1475"/>
      <c r="CM294" s="5086"/>
      <c r="CN294" s="104"/>
      <c r="CO294" s="32"/>
      <c r="CP294" s="33"/>
      <c r="CQ294" s="32"/>
      <c r="CR294" s="34"/>
      <c r="CS294" s="92"/>
      <c r="CT294" s="108"/>
      <c r="CU294" s="94"/>
      <c r="CV294" s="95"/>
      <c r="CW294" s="105"/>
      <c r="CX294" s="5101"/>
      <c r="CY294" s="920"/>
      <c r="CZ294" s="1495"/>
      <c r="DA294" s="101"/>
      <c r="DB294" s="1475"/>
      <c r="DC294" s="5109"/>
      <c r="DD294" s="5086"/>
      <c r="DF294" s="3">
        <v>1</v>
      </c>
      <c r="EY294" s="172"/>
      <c r="EZ294" s="172"/>
      <c r="FA294" s="172"/>
      <c r="FB294" s="172"/>
      <c r="FC294" s="555"/>
    </row>
    <row r="295" spans="2:159" ht="21" customHeight="1">
      <c r="B295" s="952" t="str">
        <f t="shared" si="62"/>
        <v>A</v>
      </c>
      <c r="C295" s="993" cm="1">
        <f t="array" ref="C295">SUMPRODUCT(LEN(D295:J295))</f>
        <v>0</v>
      </c>
      <c r="D295" s="167"/>
      <c r="E295" s="172"/>
      <c r="F295" s="172"/>
      <c r="G295" s="172"/>
      <c r="H295" s="172"/>
      <c r="I295" s="172"/>
      <c r="J295" s="173"/>
      <c r="K295"/>
      <c r="L295" s="27" t="s">
        <v>11</v>
      </c>
      <c r="M295" s="32" t="str">
        <f>M292</f>
        <v>É ÉPICES POUR BOUDIN | |  Author &gt; Guy KRENZE - Eric GODDYN - Arnaud NICOLAS - CEPROC 2002</v>
      </c>
      <c r="N295" s="33">
        <f>N292</f>
        <v>408</v>
      </c>
      <c r="O295" s="32" t="str">
        <f>O292</f>
        <v>g</v>
      </c>
      <c r="P295" s="34" t="str">
        <f>P292</f>
        <v>Master recipe ► le Boudin en 4 déclinaisons</v>
      </c>
      <c r="Q295" s="87" t="s">
        <v>231</v>
      </c>
      <c r="R295" s="88" t="s">
        <v>232</v>
      </c>
      <c r="S295" s="89" t="s">
        <v>891</v>
      </c>
      <c r="T295" s="5455"/>
      <c r="U295" s="5465"/>
      <c r="V295" s="5467"/>
      <c r="W295" s="90" t="s">
        <v>867</v>
      </c>
      <c r="X295" s="5445"/>
      <c r="Y295" s="5447"/>
      <c r="Z295" s="5449"/>
      <c r="AA295" s="5086"/>
      <c r="AB295" s="27" t="s">
        <v>11</v>
      </c>
      <c r="AC295" s="32" t="str">
        <f>AC292</f>
        <v>S SPICES FOR BLOOD SAUSAGE | |  Author &gt; Guy KRENZE - Eric GODDYN - Arnaud NICOLAS - CEPROC 2002</v>
      </c>
      <c r="AD295" s="33">
        <f>AD292</f>
        <v>408</v>
      </c>
      <c r="AE295" s="32" t="str">
        <f>AE292</f>
        <v>g</v>
      </c>
      <c r="AF295" s="34" t="str">
        <f>AF292</f>
        <v>Master recipe ► Black pudding in 4 variations</v>
      </c>
      <c r="AG295" s="87" t="s">
        <v>231</v>
      </c>
      <c r="AH295" s="88" t="s">
        <v>232</v>
      </c>
      <c r="AI295" s="89" t="s">
        <v>891</v>
      </c>
      <c r="AJ295" s="5455"/>
      <c r="AK295" s="5465"/>
      <c r="AL295" s="5467"/>
      <c r="AM295" s="90" t="s">
        <v>867</v>
      </c>
      <c r="AN295" s="5445"/>
      <c r="AO295" s="5447"/>
      <c r="AP295" s="5449"/>
      <c r="AQ295" s="5086"/>
      <c r="AR295" s="27" t="s">
        <v>11</v>
      </c>
      <c r="AS295" s="32" t="str">
        <f>AS292</f>
        <v>E ESPECIAS PARA MORCILLA | | Autor &gt; Guy KRENZE - Eric GODDYN - Arnaud NICOLAS - CEPROC 2002</v>
      </c>
      <c r="AT295" s="33">
        <f>AT292</f>
        <v>408</v>
      </c>
      <c r="AU295" s="32" t="str">
        <f>AU292</f>
        <v>g</v>
      </c>
      <c r="AV295" s="34" t="str">
        <f>AV292</f>
        <v>Receta madre ► Morcilla en 4 versiones</v>
      </c>
      <c r="AW295" s="87" t="s">
        <v>234</v>
      </c>
      <c r="AX295" s="88" t="s">
        <v>235</v>
      </c>
      <c r="AY295" s="89" t="s">
        <v>93</v>
      </c>
      <c r="AZ295" s="5455"/>
      <c r="BA295" s="5465"/>
      <c r="BB295" s="5467"/>
      <c r="BC295" s="90" t="s">
        <v>869</v>
      </c>
      <c r="BD295" s="5445"/>
      <c r="BE295" s="5447"/>
      <c r="BF295" s="5449"/>
      <c r="BG295" s="5086"/>
      <c r="BH295" s="104"/>
      <c r="BI295" s="32"/>
      <c r="BJ295" s="33"/>
      <c r="BK295" s="32"/>
      <c r="BL295" s="34"/>
      <c r="BM295" s="92"/>
      <c r="BN295" s="108"/>
      <c r="BO295" s="94"/>
      <c r="BP295" s="95"/>
      <c r="BQ295" s="105"/>
      <c r="BR295" s="5101"/>
      <c r="BS295" s="920"/>
      <c r="BT295" s="1495"/>
      <c r="BU295" s="101"/>
      <c r="BV295" s="1475"/>
      <c r="BW295" s="5086"/>
      <c r="BX295" s="104"/>
      <c r="BY295" s="32"/>
      <c r="BZ295" s="33"/>
      <c r="CA295" s="32"/>
      <c r="CB295" s="34"/>
      <c r="CC295" s="92"/>
      <c r="CD295" s="108"/>
      <c r="CE295" s="94"/>
      <c r="CF295" s="95"/>
      <c r="CG295" s="105"/>
      <c r="CH295" s="5101"/>
      <c r="CI295" s="920"/>
      <c r="CJ295" s="1495"/>
      <c r="CK295" s="101"/>
      <c r="CL295" s="1475"/>
      <c r="CM295" s="5086"/>
      <c r="CN295" s="104"/>
      <c r="CO295" s="32"/>
      <c r="CP295" s="33"/>
      <c r="CQ295" s="32"/>
      <c r="CR295" s="34"/>
      <c r="CS295" s="92"/>
      <c r="CT295" s="108"/>
      <c r="CU295" s="94"/>
      <c r="CV295" s="95"/>
      <c r="CW295" s="105"/>
      <c r="CX295" s="5101"/>
      <c r="CY295" s="920"/>
      <c r="CZ295" s="1495"/>
      <c r="DA295" s="101"/>
      <c r="DB295" s="1475"/>
      <c r="DC295" s="5109"/>
      <c r="DD295" s="5086"/>
      <c r="DF295" s="3">
        <v>1</v>
      </c>
      <c r="EY295" s="172"/>
      <c r="EZ295" s="172"/>
      <c r="FA295" s="172"/>
      <c r="FB295" s="172"/>
      <c r="FC295" s="555"/>
    </row>
    <row r="296" spans="2:159" ht="21" customHeight="1">
      <c r="B296" s="952" t="str">
        <f t="shared" si="62"/>
        <v>A</v>
      </c>
      <c r="C296" s="993" cm="1">
        <f t="array" ref="C296">SUMPRODUCT(LEN(D296:J296))</f>
        <v>0</v>
      </c>
      <c r="D296" s="167"/>
      <c r="E296" s="172"/>
      <c r="F296" s="172"/>
      <c r="G296" s="172"/>
      <c r="H296" s="172"/>
      <c r="I296" s="172"/>
      <c r="J296" s="173"/>
      <c r="K296"/>
      <c r="L296" s="27" t="s">
        <v>11</v>
      </c>
      <c r="M296" s="32" t="str">
        <f>M292</f>
        <v>É ÉPICES POUR BOUDIN | |  Author &gt; Guy KRENZE - Eric GODDYN - Arnaud NICOLAS - CEPROC 2002</v>
      </c>
      <c r="N296" s="33">
        <f>N292</f>
        <v>408</v>
      </c>
      <c r="O296" s="32" t="str">
        <f>O292</f>
        <v>g</v>
      </c>
      <c r="P296" s="34" t="str">
        <f>P292</f>
        <v>Master recipe ► le Boudin en 4 déclinaisons</v>
      </c>
      <c r="Q296" s="92"/>
      <c r="R296" s="108"/>
      <c r="S296" s="94" t="str">
        <f t="shared" ref="S296:S305" si="63">IF(OR(ISTEXT(Q296), Q296&lt;=0, T296&lt;=0), "", "de")</f>
        <v/>
      </c>
      <c r="T296" s="95"/>
      <c r="U296" s="126"/>
      <c r="V296" s="127">
        <v>1</v>
      </c>
      <c r="W296" s="920" t="s">
        <v>13056</v>
      </c>
      <c r="X296" s="100">
        <f>IF(OR(ISBLANK(Q290),X290=0),0,Q296*V291)</f>
        <v>0</v>
      </c>
      <c r="Y296" s="101" cm="1">
        <f t="array" ref="Y296">IFERROR(_xlfn.LET(_xlpm.k,UPPER(TRIM(U296)),_xlpm.r,_xlfn.XLOOKUP(_xlpm.k,UPPER(TRIM(Q307:Z307)),Q308:Z308,_xlfn.XLOOKUP(_xlpm.k,UPPER(TRIM(Q309:Z309)),Q310:Z310)),_xlpm.r*T296*V296*V291*IF(ISBLANK(Q296),1,Q296)),0)</f>
        <v>0</v>
      </c>
      <c r="Z296" s="1476" t="str">
        <f>_xlfn.LET(_xlpm.unite,SUBSTITUTE(TRIM(U296)," (s)",""),_xlpm.val,Y296,_xlpm.estVol,COUNTIF(T307:Z307,_xlpm.unite)+COUNTIF(T309:Z309,_xlpm.unite)&gt;0,_xlpm.estPoids,COUNTIF(Q307:S307,_xlpm.unite)+COUNTIF(Q309:S309,_xlpm.unite)&gt;0,IF(_xlpm.estVol,IF(ROUND(_xlpm.val,3)&gt;=1,ROUND(_xlpm.val,3)&amp;" L",MAX(1,ROUND(_xlpm.val*100,0))&amp;" cl"),IF(_xlpm.estPoids,IF(ROUND(_xlpm.val,3)&gt;=1,ROUND(_xlpm.val,3)&amp;" Kg",MAX(1,ROUND(_xlpm.val*1000,0))&amp;" g"),"")))</f>
        <v/>
      </c>
      <c r="AA296" s="5086"/>
      <c r="AB296" s="27" t="s">
        <v>11</v>
      </c>
      <c r="AC296" s="32" t="str">
        <f>AC292</f>
        <v>S SPICES FOR BLOOD SAUSAGE | |  Author &gt; Guy KRENZE - Eric GODDYN - Arnaud NICOLAS - CEPROC 2002</v>
      </c>
      <c r="AD296" s="33">
        <f>AD292</f>
        <v>408</v>
      </c>
      <c r="AE296" s="32" t="str">
        <f>AE292</f>
        <v>g</v>
      </c>
      <c r="AF296" s="34" t="str">
        <f>AF292</f>
        <v>Master recipe ► Black pudding in 4 variations</v>
      </c>
      <c r="AG296" s="92"/>
      <c r="AH296" s="108"/>
      <c r="AI296" s="94" t="str">
        <f t="shared" ref="AI296:AI305" si="64">IF(OR(ISTEXT(AG296), AG296&lt;=0, AJ296&lt;=0), "", "de")</f>
        <v/>
      </c>
      <c r="AJ296" s="95"/>
      <c r="AK296" s="126"/>
      <c r="AL296" s="127">
        <v>1</v>
      </c>
      <c r="AM296" s="920" t="s">
        <v>13174</v>
      </c>
      <c r="AN296" s="100">
        <f>IF(OR(ISBLANK(AG290),AN290=0),0,AG296*AL291)</f>
        <v>0</v>
      </c>
      <c r="AO296" s="101" cm="1">
        <f t="array" ref="AO296">IFERROR(_xlfn.LET(_xlpm.k,UPPER(TRIM(AK296)),_xlpm.r,_xlfn.XLOOKUP(_xlpm.k,UPPER(TRIM(AG307:AP307)),AG308:AP308,_xlfn.XLOOKUP(_xlpm.k,UPPER(TRIM(AG309:AP309)),AG310:AP310)),_xlpm.r*AJ296*AL296*AL291*IF(ISBLANK(AG296),1,AG296)),0)</f>
        <v>0</v>
      </c>
      <c r="AP296" s="1476" t="str">
        <f>_xlfn.LET(_xlpm.unite,SUBSTITUTE(TRIM(AK296)," (s)",""),_xlpm.val,AO296,_xlpm.estVol,COUNTIF(AJ307:AP307,_xlpm.unite)+COUNTIF(AJ309:AP309,_xlpm.unite)&gt;0,_xlpm.estPoids,COUNTIF(AG307:AI307,_xlpm.unite)+COUNTIF(AG309:AI309,_xlpm.unite)&gt;0,IF(_xlpm.estVol,IF(ROUND(_xlpm.val,3)&gt;=1,ROUND(_xlpm.val,3)&amp;" L",MAX(1,ROUND(_xlpm.val*100,0))&amp;" cl"),IF(_xlpm.estPoids,IF(ROUND(_xlpm.val,3)&gt;=1,ROUND(_xlpm.val,3)&amp;" Kg",MAX(1,ROUND(_xlpm.val*1000,0))&amp;" g"),"")))</f>
        <v/>
      </c>
      <c r="AQ296" s="5086"/>
      <c r="AR296" s="27" t="s">
        <v>11</v>
      </c>
      <c r="AS296" s="32" t="str">
        <f>AS292</f>
        <v>E ESPECIAS PARA MORCILLA | | Autor &gt; Guy KRENZE - Eric GODDYN - Arnaud NICOLAS - CEPROC 2002</v>
      </c>
      <c r="AT296" s="33">
        <f>AT292</f>
        <v>408</v>
      </c>
      <c r="AU296" s="32" t="str">
        <f>AU292</f>
        <v>g</v>
      </c>
      <c r="AV296" s="34" t="str">
        <f>AV292</f>
        <v>Receta madre ► Morcilla en 4 versiones</v>
      </c>
      <c r="AW296" s="92"/>
      <c r="AX296" s="108"/>
      <c r="AY296" s="94" t="str">
        <f t="shared" ref="AY296:AY305" si="65">IF(OR(ISTEXT(AW296), AW296&lt;=0, AZ296&lt;=0), "", "de")</f>
        <v/>
      </c>
      <c r="AZ296" s="95"/>
      <c r="BA296" s="126"/>
      <c r="BB296" s="127">
        <v>1</v>
      </c>
      <c r="BC296" s="920" t="s">
        <v>13184</v>
      </c>
      <c r="BD296" s="100">
        <f>IF(OR(ISBLANK(AW290),BD290=0),0,AW296*BB291)</f>
        <v>0</v>
      </c>
      <c r="BE296" s="101" cm="1">
        <f t="array" ref="BE296">IFERROR(_xlfn.LET(_xlpm.k,UPPER(TRIM(BA296)),_xlpm.r,_xlfn.XLOOKUP(_xlpm.k,UPPER(TRIM(AW307:BF307)),AW308:BF308,_xlfn.XLOOKUP(_xlpm.k,UPPER(TRIM(AW309:BF309)),AW310:BF310)),_xlpm.r*AZ296*BB296*BB291*IF(ISBLANK(AW296),1,AW296)),0)</f>
        <v>0</v>
      </c>
      <c r="BF296" s="1476" t="str">
        <f>_xlfn.LET(_xlpm.unite,SUBSTITUTE(TRIM(BA296)," (s)",""),_xlpm.val,BE296,_xlpm.estVol,COUNTIF(AZ307:BF307,_xlpm.unite)+COUNTIF(AZ309:BF309,_xlpm.unite)&gt;0,_xlpm.estPoids,COUNTIF(AW307:AY307,_xlpm.unite)+COUNTIF(AW309:AY309,_xlpm.unite)&gt;0,IF(_xlpm.estVol,IF(ROUND(_xlpm.val,3)&gt;=1,ROUND(_xlpm.val,3)&amp;" L",MAX(1,ROUND(_xlpm.val*100,0))&amp;" cl"),IF(_xlpm.estPoids,IF(ROUND(_xlpm.val,3)&gt;=1,ROUND(_xlpm.val,3)&amp;" Kg",MAX(1,ROUND(_xlpm.val*1000,0))&amp;" g"),"")))</f>
        <v/>
      </c>
      <c r="BG296" s="5086"/>
      <c r="BH296" s="104"/>
      <c r="BI296" s="32"/>
      <c r="BJ296" s="33"/>
      <c r="BK296" s="32"/>
      <c r="BL296" s="34"/>
      <c r="BM296" s="92"/>
      <c r="BN296" s="108"/>
      <c r="BO296" s="94"/>
      <c r="BP296" s="95"/>
      <c r="BQ296" s="105"/>
      <c r="BR296" s="5101"/>
      <c r="BS296" s="920"/>
      <c r="BT296" s="1495"/>
      <c r="BU296" s="101"/>
      <c r="BV296" s="1475"/>
      <c r="BW296" s="5086"/>
      <c r="BX296" s="104"/>
      <c r="BY296" s="32"/>
      <c r="BZ296" s="33"/>
      <c r="CA296" s="32"/>
      <c r="CB296" s="34"/>
      <c r="CC296" s="92"/>
      <c r="CD296" s="108"/>
      <c r="CE296" s="94"/>
      <c r="CF296" s="95"/>
      <c r="CG296" s="105"/>
      <c r="CH296" s="5101"/>
      <c r="CI296" s="920"/>
      <c r="CJ296" s="1495"/>
      <c r="CK296" s="101"/>
      <c r="CL296" s="1475"/>
      <c r="CM296" s="5086"/>
      <c r="CN296" s="104"/>
      <c r="CO296" s="32"/>
      <c r="CP296" s="33"/>
      <c r="CQ296" s="32"/>
      <c r="CR296" s="34"/>
      <c r="CS296" s="92"/>
      <c r="CT296" s="108"/>
      <c r="CU296" s="94"/>
      <c r="CV296" s="95"/>
      <c r="CW296" s="105"/>
      <c r="CX296" s="5101"/>
      <c r="CY296" s="920"/>
      <c r="CZ296" s="1495"/>
      <c r="DA296" s="101"/>
      <c r="DB296" s="1475"/>
      <c r="DC296" s="5109"/>
      <c r="DD296" s="5086"/>
      <c r="DF296" s="3">
        <v>1</v>
      </c>
      <c r="EY296" s="172"/>
      <c r="EZ296" s="172"/>
      <c r="FA296" s="172"/>
      <c r="FB296" s="172"/>
      <c r="FC296" s="555"/>
    </row>
    <row r="297" spans="2:159" ht="21" customHeight="1">
      <c r="B297" s="952" t="str">
        <f t="shared" si="62"/>
        <v>A</v>
      </c>
      <c r="C297" s="993" cm="1">
        <f t="array" ref="C297">SUMPRODUCT(LEN(D297:J297))</f>
        <v>0</v>
      </c>
      <c r="D297" s="167"/>
      <c r="E297" s="172"/>
      <c r="F297" s="172"/>
      <c r="G297" s="172"/>
      <c r="H297" s="172"/>
      <c r="I297" s="172"/>
      <c r="J297" s="173"/>
      <c r="K297"/>
      <c r="L297" s="104" t="str">
        <f t="shared" ref="L297:L305" si="66">IF(W297&lt;&gt;"","A","►")</f>
        <v>A</v>
      </c>
      <c r="M297" s="32" t="str">
        <f>M292</f>
        <v>É ÉPICES POUR BOUDIN | |  Author &gt; Guy KRENZE - Eric GODDYN - Arnaud NICOLAS - CEPROC 2002</v>
      </c>
      <c r="N297" s="33">
        <f>N292</f>
        <v>408</v>
      </c>
      <c r="O297" s="32" t="str">
        <f>O292</f>
        <v>g</v>
      </c>
      <c r="P297" s="34" t="str">
        <f>P292</f>
        <v>Master recipe ► le Boudin en 4 déclinaisons</v>
      </c>
      <c r="Q297" s="92"/>
      <c r="R297" s="108"/>
      <c r="S297" s="94" t="str">
        <f t="shared" si="63"/>
        <v/>
      </c>
      <c r="T297" s="95">
        <v>200</v>
      </c>
      <c r="U297" s="105" t="s">
        <v>99</v>
      </c>
      <c r="V297" s="127">
        <v>1</v>
      </c>
      <c r="W297" s="920" t="s">
        <v>13057</v>
      </c>
      <c r="X297" s="1494">
        <f>IF(OR(ISBLANK(Q290),X290=0),0,Q297*V291)</f>
        <v>0</v>
      </c>
      <c r="Y297" s="101" cm="1">
        <f t="array" ref="Y297">IFERROR(_xlfn.LET(_xlpm.k,UPPER(TRIM(U297)),_xlpm.r,_xlfn.XLOOKUP(_xlpm.k,UPPER(TRIM(Q307:Z307)),Q308:Z308,_xlfn.XLOOKUP(_xlpm.k,UPPER(TRIM(Q309:Z309)),Q310:Z310)),_xlpm.r*T297*V297*V291*IF(ISBLANK(Q297),1,Q297)),0)</f>
        <v>4.9019607843137254E-2</v>
      </c>
      <c r="Z297" s="1475" t="str">
        <f>_xlfn.LET(_xlpm.unite,SUBSTITUTE(TRIM(U297)," (s)",""),_xlpm.val,Y297,_xlpm.estVol,COUNTIF(T307:Z307,_xlpm.unite)+COUNTIF(T309:Z309,_xlpm.unite)&gt;0,_xlpm.estPoids,COUNTIF(Q307:S307,_xlpm.unite)+COUNTIF(Q309:S309,_xlpm.unite)&gt;0,IF(_xlpm.estVol,IF(ROUND(_xlpm.val,3)&gt;=1,ROUND(_xlpm.val,3)&amp;" L",MAX(1,ROUND(_xlpm.val*100,0))&amp;" cl"),IF(_xlpm.estPoids,IF(ROUND(_xlpm.val,3)&gt;=1,ROUND(_xlpm.val,3)&amp;" Kg",MAX(1,ROUND(_xlpm.val*1000,0))&amp;" g"),"")))</f>
        <v>49 g</v>
      </c>
      <c r="AA297" s="5086"/>
      <c r="AB297" s="104" t="str">
        <f t="shared" ref="AB297:AB305" si="67">IF(AM297&lt;&gt;"","A","►")</f>
        <v>A</v>
      </c>
      <c r="AC297" s="32" t="str">
        <f>AC292</f>
        <v>S SPICES FOR BLOOD SAUSAGE | |  Author &gt; Guy KRENZE - Eric GODDYN - Arnaud NICOLAS - CEPROC 2002</v>
      </c>
      <c r="AD297" s="33">
        <f>AD292</f>
        <v>408</v>
      </c>
      <c r="AE297" s="32" t="str">
        <f>AE292</f>
        <v>g</v>
      </c>
      <c r="AF297" s="34" t="str">
        <f>AF292</f>
        <v>Master recipe ► Black pudding in 4 variations</v>
      </c>
      <c r="AG297" s="92"/>
      <c r="AH297" s="108"/>
      <c r="AI297" s="94" t="str">
        <f t="shared" si="64"/>
        <v/>
      </c>
      <c r="AJ297" s="95">
        <v>200</v>
      </c>
      <c r="AK297" s="105" t="s">
        <v>99</v>
      </c>
      <c r="AL297" s="127">
        <v>1</v>
      </c>
      <c r="AM297" s="920" t="s">
        <v>13175</v>
      </c>
      <c r="AN297" s="1494">
        <f>IF(OR(ISBLANK(AG290),AN290=0),0,AG297*AL291)</f>
        <v>0</v>
      </c>
      <c r="AO297" s="101" cm="1">
        <f t="array" ref="AO297">IFERROR(_xlfn.LET(_xlpm.k,UPPER(TRIM(AK297)),_xlpm.r,_xlfn.XLOOKUP(_xlpm.k,UPPER(TRIM(AG307:AP307)),AG308:AP308,_xlfn.XLOOKUP(_xlpm.k,UPPER(TRIM(AG309:AP309)),AG310:AP310)),_xlpm.r*AJ297*AL297*AL291*IF(ISBLANK(AG297),1,AG297)),0)</f>
        <v>4.9019607843137254E-2</v>
      </c>
      <c r="AP297" s="1475" t="str">
        <f>_xlfn.LET(_xlpm.unite,SUBSTITUTE(TRIM(AK297)," (s)",""),_xlpm.val,AO297,_xlpm.estVol,COUNTIF(AJ307:AP307,_xlpm.unite)+COUNTIF(AJ309:AP309,_xlpm.unite)&gt;0,_xlpm.estPoids,COUNTIF(AG307:AI307,_xlpm.unite)+COUNTIF(AG309:AI309,_xlpm.unite)&gt;0,IF(_xlpm.estVol,IF(ROUND(_xlpm.val,3)&gt;=1,ROUND(_xlpm.val,3)&amp;" L",MAX(1,ROUND(_xlpm.val*100,0))&amp;" cl"),IF(_xlpm.estPoids,IF(ROUND(_xlpm.val,3)&gt;=1,ROUND(_xlpm.val,3)&amp;" Kg",MAX(1,ROUND(_xlpm.val*1000,0))&amp;" g"),"")))</f>
        <v>49 g</v>
      </c>
      <c r="AQ297" s="5086"/>
      <c r="AR297" s="104" t="str">
        <f t="shared" ref="AR297:AR305" si="68">IF(BC297&lt;&gt;"","A","►")</f>
        <v>A</v>
      </c>
      <c r="AS297" s="32" t="str">
        <f>AS292</f>
        <v>E ESPECIAS PARA MORCILLA | | Autor &gt; Guy KRENZE - Eric GODDYN - Arnaud NICOLAS - CEPROC 2002</v>
      </c>
      <c r="AT297" s="33">
        <f>AT292</f>
        <v>408</v>
      </c>
      <c r="AU297" s="32" t="str">
        <f>AU292</f>
        <v>g</v>
      </c>
      <c r="AV297" s="34" t="str">
        <f>AV292</f>
        <v>Receta madre ► Morcilla en 4 versiones</v>
      </c>
      <c r="AW297" s="92"/>
      <c r="AX297" s="108"/>
      <c r="AY297" s="94" t="str">
        <f t="shared" si="65"/>
        <v/>
      </c>
      <c r="AZ297" s="95">
        <v>200</v>
      </c>
      <c r="BA297" s="105" t="s">
        <v>99</v>
      </c>
      <c r="BB297" s="127">
        <v>1</v>
      </c>
      <c r="BC297" s="920" t="s">
        <v>13185</v>
      </c>
      <c r="BD297" s="1494">
        <f>IF(OR(ISBLANK(AW290),BD290=0),0,AW297*BB291)</f>
        <v>0</v>
      </c>
      <c r="BE297" s="101" cm="1">
        <f t="array" ref="BE297">IFERROR(_xlfn.LET(_xlpm.k,UPPER(TRIM(BA297)),_xlpm.r,_xlfn.XLOOKUP(_xlpm.k,UPPER(TRIM(AW307:BF307)),AW308:BF308,_xlfn.XLOOKUP(_xlpm.k,UPPER(TRIM(AW309:BF309)),AW310:BF310)),_xlpm.r*AZ297*BB297*BB291*IF(ISBLANK(AW297),1,AW297)),0)</f>
        <v>4.9019607843137254E-2</v>
      </c>
      <c r="BF297" s="1475" t="str">
        <f>_xlfn.LET(_xlpm.unite,SUBSTITUTE(TRIM(BA297)," (s)",""),_xlpm.val,BE297,_xlpm.estVol,COUNTIF(AZ307:BF307,_xlpm.unite)+COUNTIF(AZ309:BF309,_xlpm.unite)&gt;0,_xlpm.estPoids,COUNTIF(AW307:AY307,_xlpm.unite)+COUNTIF(AW309:AY309,_xlpm.unite)&gt;0,IF(_xlpm.estVol,IF(ROUND(_xlpm.val,3)&gt;=1,ROUND(_xlpm.val,3)&amp;" L",MAX(1,ROUND(_xlpm.val*100,0))&amp;" cl"),IF(_xlpm.estPoids,IF(ROUND(_xlpm.val,3)&gt;=1,ROUND(_xlpm.val,3)&amp;" Kg",MAX(1,ROUND(_xlpm.val*1000,0))&amp;" g"),"")))</f>
        <v>49 g</v>
      </c>
      <c r="BG297" s="5086"/>
      <c r="BH297" s="104"/>
      <c r="BI297" s="32"/>
      <c r="BJ297" s="33"/>
      <c r="BK297" s="32"/>
      <c r="BL297" s="34"/>
      <c r="BM297" s="92"/>
      <c r="BN297" s="108"/>
      <c r="BO297" s="94"/>
      <c r="BP297" s="95"/>
      <c r="BQ297" s="105"/>
      <c r="BR297" s="5101"/>
      <c r="BS297" s="920"/>
      <c r="BT297" s="1495"/>
      <c r="BU297" s="101"/>
      <c r="BV297" s="1475"/>
      <c r="BW297" s="5086"/>
      <c r="BX297" s="104"/>
      <c r="BY297" s="32"/>
      <c r="BZ297" s="33"/>
      <c r="CA297" s="32"/>
      <c r="CB297" s="34"/>
      <c r="CC297" s="92"/>
      <c r="CD297" s="108"/>
      <c r="CE297" s="94"/>
      <c r="CF297" s="95"/>
      <c r="CG297" s="105"/>
      <c r="CH297" s="5101"/>
      <c r="CI297" s="920"/>
      <c r="CJ297" s="1495"/>
      <c r="CK297" s="101"/>
      <c r="CL297" s="1475"/>
      <c r="CM297" s="5086"/>
      <c r="CN297" s="104"/>
      <c r="CO297" s="32"/>
      <c r="CP297" s="33"/>
      <c r="CQ297" s="32"/>
      <c r="CR297" s="34"/>
      <c r="CS297" s="92"/>
      <c r="CT297" s="108"/>
      <c r="CU297" s="94"/>
      <c r="CV297" s="95"/>
      <c r="CW297" s="105"/>
      <c r="CX297" s="5101"/>
      <c r="CY297" s="920"/>
      <c r="CZ297" s="1495"/>
      <c r="DA297" s="101"/>
      <c r="DB297" s="1475"/>
      <c r="DC297" s="5109"/>
      <c r="DD297" s="5086"/>
      <c r="DF297" s="3">
        <v>1</v>
      </c>
      <c r="EY297" s="172"/>
      <c r="EZ297" s="172"/>
      <c r="FA297" s="172"/>
      <c r="FB297" s="172"/>
      <c r="FC297" s="555"/>
    </row>
    <row r="298" spans="2:159" ht="21" customHeight="1">
      <c r="B298" s="952" t="str">
        <f t="shared" si="62"/>
        <v>A</v>
      </c>
      <c r="C298" s="993" cm="1">
        <f t="array" ref="C298">SUMPRODUCT(LEN(D298:J298))</f>
        <v>0</v>
      </c>
      <c r="D298" s="167"/>
      <c r="E298" s="172"/>
      <c r="F298" s="172"/>
      <c r="G298" s="172"/>
      <c r="H298" s="172"/>
      <c r="I298" s="172"/>
      <c r="J298" s="173"/>
      <c r="K298"/>
      <c r="L298" s="104" t="str">
        <f t="shared" si="66"/>
        <v>A</v>
      </c>
      <c r="M298" s="32" t="str">
        <f>M292</f>
        <v>É ÉPICES POUR BOUDIN | |  Author &gt; Guy KRENZE - Eric GODDYN - Arnaud NICOLAS - CEPROC 2002</v>
      </c>
      <c r="N298" s="33">
        <f>N292</f>
        <v>408</v>
      </c>
      <c r="O298" s="32" t="str">
        <f>O292</f>
        <v>g</v>
      </c>
      <c r="P298" s="34" t="str">
        <f>P292</f>
        <v>Master recipe ► le Boudin en 4 déclinaisons</v>
      </c>
      <c r="Q298" s="92"/>
      <c r="R298" s="108"/>
      <c r="S298" s="94" t="str">
        <f t="shared" si="63"/>
        <v/>
      </c>
      <c r="T298" s="95">
        <v>50</v>
      </c>
      <c r="U298" s="105" t="s">
        <v>99</v>
      </c>
      <c r="V298" s="127">
        <v>1</v>
      </c>
      <c r="W298" s="920" t="s">
        <v>13058</v>
      </c>
      <c r="X298" s="1494">
        <f>IF(OR(ISBLANK(Q290),X290=0),0,Q298*V291)</f>
        <v>0</v>
      </c>
      <c r="Y298" s="101" cm="1">
        <f t="array" ref="Y298">IFERROR(_xlfn.LET(_xlpm.k,UPPER(TRIM(U298)),_xlpm.r,_xlfn.XLOOKUP(_xlpm.k,UPPER(TRIM(Q307:Z307)),Q308:Z308,_xlfn.XLOOKUP(_xlpm.k,UPPER(TRIM(Q309:Z309)),Q310:Z310)),_xlpm.r*T298*V298*V291*IF(ISBLANK(Q298),1,Q298)),0)</f>
        <v>1.2254901960784314E-2</v>
      </c>
      <c r="Z298" s="1476" t="str">
        <f>_xlfn.LET(_xlpm.unite,SUBSTITUTE(TRIM(U298)," (s)",""),_xlpm.val,Y298,_xlpm.estVol,COUNTIF(T307:Z307,_xlpm.unite)+COUNTIF(T309:Z309,_xlpm.unite)&gt;0,_xlpm.estPoids,COUNTIF(Q307:S307,_xlpm.unite)+COUNTIF(Q309:S309,_xlpm.unite)&gt;0,IF(_xlpm.estVol,IF(ROUND(_xlpm.val,3)&gt;=1,ROUND(_xlpm.val,3)&amp;" L",MAX(1,ROUND(_xlpm.val*100,0))&amp;" cl"),IF(_xlpm.estPoids,IF(ROUND(_xlpm.val,3)&gt;=1,ROUND(_xlpm.val,3)&amp;" Kg",MAX(1,ROUND(_xlpm.val*1000,0))&amp;" g"),"")))</f>
        <v>12 g</v>
      </c>
      <c r="AA298" s="5086"/>
      <c r="AB298" s="104" t="str">
        <f t="shared" si="67"/>
        <v>A</v>
      </c>
      <c r="AC298" s="32" t="str">
        <f>AC292</f>
        <v>S SPICES FOR BLOOD SAUSAGE | |  Author &gt; Guy KRENZE - Eric GODDYN - Arnaud NICOLAS - CEPROC 2002</v>
      </c>
      <c r="AD298" s="33">
        <f>AD292</f>
        <v>408</v>
      </c>
      <c r="AE298" s="32" t="str">
        <f>AE292</f>
        <v>g</v>
      </c>
      <c r="AF298" s="34" t="str">
        <f>AF292</f>
        <v>Master recipe ► Black pudding in 4 variations</v>
      </c>
      <c r="AG298" s="92"/>
      <c r="AH298" s="108"/>
      <c r="AI298" s="94" t="str">
        <f t="shared" si="64"/>
        <v/>
      </c>
      <c r="AJ298" s="95">
        <v>50</v>
      </c>
      <c r="AK298" s="105" t="s">
        <v>99</v>
      </c>
      <c r="AL298" s="127">
        <v>1</v>
      </c>
      <c r="AM298" s="920" t="s">
        <v>13176</v>
      </c>
      <c r="AN298" s="1494">
        <f>IF(OR(ISBLANK(AG290),AN290=0),0,AG298*AL291)</f>
        <v>0</v>
      </c>
      <c r="AO298" s="101" cm="1">
        <f t="array" ref="AO298">IFERROR(_xlfn.LET(_xlpm.k,UPPER(TRIM(AK298)),_xlpm.r,_xlfn.XLOOKUP(_xlpm.k,UPPER(TRIM(AG307:AP307)),AG308:AP308,_xlfn.XLOOKUP(_xlpm.k,UPPER(TRIM(AG309:AP309)),AG310:AP310)),_xlpm.r*AJ298*AL298*AL291*IF(ISBLANK(AG298),1,AG298)),0)</f>
        <v>1.2254901960784314E-2</v>
      </c>
      <c r="AP298" s="1476" t="str">
        <f>_xlfn.LET(_xlpm.unite,SUBSTITUTE(TRIM(AK298)," (s)",""),_xlpm.val,AO298,_xlpm.estVol,COUNTIF(AJ307:AP307,_xlpm.unite)+COUNTIF(AJ309:AP309,_xlpm.unite)&gt;0,_xlpm.estPoids,COUNTIF(AG307:AI307,_xlpm.unite)+COUNTIF(AG309:AI309,_xlpm.unite)&gt;0,IF(_xlpm.estVol,IF(ROUND(_xlpm.val,3)&gt;=1,ROUND(_xlpm.val,3)&amp;" L",MAX(1,ROUND(_xlpm.val*100,0))&amp;" cl"),IF(_xlpm.estPoids,IF(ROUND(_xlpm.val,3)&gt;=1,ROUND(_xlpm.val,3)&amp;" Kg",MAX(1,ROUND(_xlpm.val*1000,0))&amp;" g"),"")))</f>
        <v>12 g</v>
      </c>
      <c r="AQ298" s="5086"/>
      <c r="AR298" s="104" t="str">
        <f t="shared" si="68"/>
        <v>A</v>
      </c>
      <c r="AS298" s="32" t="str">
        <f>AS292</f>
        <v>E ESPECIAS PARA MORCILLA | | Autor &gt; Guy KRENZE - Eric GODDYN - Arnaud NICOLAS - CEPROC 2002</v>
      </c>
      <c r="AT298" s="33">
        <f>AT292</f>
        <v>408</v>
      </c>
      <c r="AU298" s="32" t="str">
        <f>AU292</f>
        <v>g</v>
      </c>
      <c r="AV298" s="34" t="str">
        <f>AV292</f>
        <v>Receta madre ► Morcilla en 4 versiones</v>
      </c>
      <c r="AW298" s="92"/>
      <c r="AX298" s="108"/>
      <c r="AY298" s="94" t="str">
        <f t="shared" si="65"/>
        <v/>
      </c>
      <c r="AZ298" s="95">
        <v>50</v>
      </c>
      <c r="BA298" s="105" t="s">
        <v>99</v>
      </c>
      <c r="BB298" s="127">
        <v>1</v>
      </c>
      <c r="BC298" s="920" t="s">
        <v>13186</v>
      </c>
      <c r="BD298" s="1494">
        <f>IF(OR(ISBLANK(AW290),BD290=0),0,AW298*BB291)</f>
        <v>0</v>
      </c>
      <c r="BE298" s="101" cm="1">
        <f t="array" ref="BE298">IFERROR(_xlfn.LET(_xlpm.k,UPPER(TRIM(BA298)),_xlpm.r,_xlfn.XLOOKUP(_xlpm.k,UPPER(TRIM(AW307:BF307)),AW308:BF308,_xlfn.XLOOKUP(_xlpm.k,UPPER(TRIM(AW309:BF309)),AW310:BF310)),_xlpm.r*AZ298*BB298*BB291*IF(ISBLANK(AW298),1,AW298)),0)</f>
        <v>1.2254901960784314E-2</v>
      </c>
      <c r="BF298" s="1476" t="str">
        <f>_xlfn.LET(_xlpm.unite,SUBSTITUTE(TRIM(BA298)," (s)",""),_xlpm.val,BE298,_xlpm.estVol,COUNTIF(AZ307:BF307,_xlpm.unite)+COUNTIF(AZ309:BF309,_xlpm.unite)&gt;0,_xlpm.estPoids,COUNTIF(AW307:AY307,_xlpm.unite)+COUNTIF(AW309:AY309,_xlpm.unite)&gt;0,IF(_xlpm.estVol,IF(ROUND(_xlpm.val,3)&gt;=1,ROUND(_xlpm.val,3)&amp;" L",MAX(1,ROUND(_xlpm.val*100,0))&amp;" cl"),IF(_xlpm.estPoids,IF(ROUND(_xlpm.val,3)&gt;=1,ROUND(_xlpm.val,3)&amp;" Kg",MAX(1,ROUND(_xlpm.val*1000,0))&amp;" g"),"")))</f>
        <v>12 g</v>
      </c>
      <c r="BG298" s="5086"/>
      <c r="BH298" s="104"/>
      <c r="BI298" s="32"/>
      <c r="BJ298" s="33"/>
      <c r="BK298" s="32"/>
      <c r="BL298" s="34"/>
      <c r="BM298" s="92"/>
      <c r="BN298" s="108"/>
      <c r="BO298" s="94"/>
      <c r="BP298" s="95"/>
      <c r="BQ298" s="105"/>
      <c r="BR298" s="5101"/>
      <c r="BS298" s="920"/>
      <c r="BT298" s="1495"/>
      <c r="BU298" s="101"/>
      <c r="BV298" s="1475"/>
      <c r="BW298" s="5086"/>
      <c r="BX298" s="104"/>
      <c r="BY298" s="32"/>
      <c r="BZ298" s="33"/>
      <c r="CA298" s="32"/>
      <c r="CB298" s="34"/>
      <c r="CC298" s="92"/>
      <c r="CD298" s="108"/>
      <c r="CE298" s="94"/>
      <c r="CF298" s="95"/>
      <c r="CG298" s="105"/>
      <c r="CH298" s="5101"/>
      <c r="CI298" s="920"/>
      <c r="CJ298" s="1495"/>
      <c r="CK298" s="101"/>
      <c r="CL298" s="1475"/>
      <c r="CM298" s="5086"/>
      <c r="CN298" s="104"/>
      <c r="CO298" s="32"/>
      <c r="CP298" s="33"/>
      <c r="CQ298" s="32"/>
      <c r="CR298" s="34"/>
      <c r="CS298" s="92"/>
      <c r="CT298" s="108"/>
      <c r="CU298" s="94"/>
      <c r="CV298" s="95"/>
      <c r="CW298" s="105"/>
      <c r="CX298" s="5101"/>
      <c r="CY298" s="920"/>
      <c r="CZ298" s="1495"/>
      <c r="DA298" s="101"/>
      <c r="DB298" s="1475"/>
      <c r="DC298" s="5109"/>
      <c r="DD298" s="5086"/>
      <c r="DF298" s="3">
        <v>1</v>
      </c>
      <c r="EY298" s="172"/>
      <c r="EZ298" s="172"/>
      <c r="FA298" s="172"/>
      <c r="FB298" s="172"/>
      <c r="FC298" s="555"/>
    </row>
    <row r="299" spans="2:159" ht="21" customHeight="1">
      <c r="B299" s="952" t="str">
        <f t="shared" si="62"/>
        <v>A</v>
      </c>
      <c r="C299" s="993" cm="1">
        <f t="array" ref="C299">SUMPRODUCT(LEN(D299:J299))</f>
        <v>0</v>
      </c>
      <c r="D299" s="167"/>
      <c r="E299" s="172"/>
      <c r="F299" s="172"/>
      <c r="G299" s="172"/>
      <c r="H299" s="172"/>
      <c r="I299" s="172"/>
      <c r="J299" s="173"/>
      <c r="K299"/>
      <c r="L299" s="104" t="str">
        <f t="shared" si="66"/>
        <v>A</v>
      </c>
      <c r="M299" s="32" t="str">
        <f>M292</f>
        <v>É ÉPICES POUR BOUDIN | |  Author &gt; Guy KRENZE - Eric GODDYN - Arnaud NICOLAS - CEPROC 2002</v>
      </c>
      <c r="N299" s="33">
        <f>N292</f>
        <v>408</v>
      </c>
      <c r="O299" s="32" t="str">
        <f>O292</f>
        <v>g</v>
      </c>
      <c r="P299" s="34" t="str">
        <f>P292</f>
        <v>Master recipe ► le Boudin en 4 déclinaisons</v>
      </c>
      <c r="Q299" s="92"/>
      <c r="R299" s="108"/>
      <c r="S299" s="94" t="str">
        <f t="shared" si="63"/>
        <v/>
      </c>
      <c r="T299" s="95">
        <v>60</v>
      </c>
      <c r="U299" s="105" t="s">
        <v>99</v>
      </c>
      <c r="V299" s="127">
        <v>1</v>
      </c>
      <c r="W299" s="920" t="s">
        <v>13059</v>
      </c>
      <c r="X299" s="1494">
        <f>IF(OR(ISBLANK(Q290),X290=0),0,Q299*V291)</f>
        <v>0</v>
      </c>
      <c r="Y299" s="101" cm="1">
        <f t="array" ref="Y299">IFERROR(_xlfn.LET(_xlpm.k,UPPER(TRIM(U299)),_xlpm.r,_xlfn.XLOOKUP(_xlpm.k,UPPER(TRIM(Q307:Z307)),Q308:Z308,_xlfn.XLOOKUP(_xlpm.k,UPPER(TRIM(Q309:Z309)),Q310:Z310)),_xlpm.r*T299*V299*V291*IF(ISBLANK(Q299),1,Q299)),0)</f>
        <v>1.4705882352941175E-2</v>
      </c>
      <c r="Z299" s="1475" t="str">
        <f>_xlfn.LET(_xlpm.unite,SUBSTITUTE(TRIM(U299)," (s)",""),_xlpm.val,Y299,_xlpm.estVol,COUNTIF(T307:Z307,_xlpm.unite)+COUNTIF(T309:Z309,_xlpm.unite)&gt;0,_xlpm.estPoids,COUNTIF(Q307:S307,_xlpm.unite)+COUNTIF(Q309:S309,_xlpm.unite)&gt;0,IF(_xlpm.estVol,IF(ROUND(_xlpm.val,3)&gt;=1,ROUND(_xlpm.val,3)&amp;" L",MAX(1,ROUND(_xlpm.val*100,0))&amp;" cl"),IF(_xlpm.estPoids,IF(ROUND(_xlpm.val,3)&gt;=1,ROUND(_xlpm.val,3)&amp;" Kg",MAX(1,ROUND(_xlpm.val*1000,0))&amp;" g"),"")))</f>
        <v>15 g</v>
      </c>
      <c r="AA299" s="5086"/>
      <c r="AB299" s="104" t="str">
        <f t="shared" si="67"/>
        <v>A</v>
      </c>
      <c r="AC299" s="32" t="str">
        <f>AC292</f>
        <v>S SPICES FOR BLOOD SAUSAGE | |  Author &gt; Guy KRENZE - Eric GODDYN - Arnaud NICOLAS - CEPROC 2002</v>
      </c>
      <c r="AD299" s="33">
        <f>AD292</f>
        <v>408</v>
      </c>
      <c r="AE299" s="32" t="str">
        <f>AE292</f>
        <v>g</v>
      </c>
      <c r="AF299" s="34" t="str">
        <f>AF292</f>
        <v>Master recipe ► Black pudding in 4 variations</v>
      </c>
      <c r="AG299" s="92"/>
      <c r="AH299" s="108"/>
      <c r="AI299" s="94" t="str">
        <f t="shared" si="64"/>
        <v/>
      </c>
      <c r="AJ299" s="95">
        <v>60</v>
      </c>
      <c r="AK299" s="105" t="s">
        <v>99</v>
      </c>
      <c r="AL299" s="127">
        <v>1</v>
      </c>
      <c r="AM299" s="920" t="s">
        <v>13177</v>
      </c>
      <c r="AN299" s="1494">
        <f>IF(OR(ISBLANK(AG290),AN290=0),0,AG299*AL291)</f>
        <v>0</v>
      </c>
      <c r="AO299" s="101" cm="1">
        <f t="array" ref="AO299">IFERROR(_xlfn.LET(_xlpm.k,UPPER(TRIM(AK299)),_xlpm.r,_xlfn.XLOOKUP(_xlpm.k,UPPER(TRIM(AG307:AP307)),AG308:AP308,_xlfn.XLOOKUP(_xlpm.k,UPPER(TRIM(AG309:AP309)),AG310:AP310)),_xlpm.r*AJ299*AL299*AL291*IF(ISBLANK(AG299),1,AG299)),0)</f>
        <v>1.4705882352941175E-2</v>
      </c>
      <c r="AP299" s="1475" t="str">
        <f>_xlfn.LET(_xlpm.unite,SUBSTITUTE(TRIM(AK299)," (s)",""),_xlpm.val,AO299,_xlpm.estVol,COUNTIF(AJ307:AP307,_xlpm.unite)+COUNTIF(AJ309:AP309,_xlpm.unite)&gt;0,_xlpm.estPoids,COUNTIF(AG307:AI307,_xlpm.unite)+COUNTIF(AG309:AI309,_xlpm.unite)&gt;0,IF(_xlpm.estVol,IF(ROUND(_xlpm.val,3)&gt;=1,ROUND(_xlpm.val,3)&amp;" L",MAX(1,ROUND(_xlpm.val*100,0))&amp;" cl"),IF(_xlpm.estPoids,IF(ROUND(_xlpm.val,3)&gt;=1,ROUND(_xlpm.val,3)&amp;" Kg",MAX(1,ROUND(_xlpm.val*1000,0))&amp;" g"),"")))</f>
        <v>15 g</v>
      </c>
      <c r="AQ299" s="5086"/>
      <c r="AR299" s="104" t="str">
        <f t="shared" si="68"/>
        <v>A</v>
      </c>
      <c r="AS299" s="32" t="str">
        <f>AS292</f>
        <v>E ESPECIAS PARA MORCILLA | | Autor &gt; Guy KRENZE - Eric GODDYN - Arnaud NICOLAS - CEPROC 2002</v>
      </c>
      <c r="AT299" s="33">
        <f>AT292</f>
        <v>408</v>
      </c>
      <c r="AU299" s="32" t="str">
        <f>AU292</f>
        <v>g</v>
      </c>
      <c r="AV299" s="34" t="str">
        <f>AV292</f>
        <v>Receta madre ► Morcilla en 4 versiones</v>
      </c>
      <c r="AW299" s="92"/>
      <c r="AX299" s="108"/>
      <c r="AY299" s="94" t="str">
        <f t="shared" si="65"/>
        <v/>
      </c>
      <c r="AZ299" s="95">
        <v>60</v>
      </c>
      <c r="BA299" s="105" t="s">
        <v>99</v>
      </c>
      <c r="BB299" s="127">
        <v>1</v>
      </c>
      <c r="BC299" s="920" t="s">
        <v>13187</v>
      </c>
      <c r="BD299" s="1494">
        <f>IF(OR(ISBLANK(AW290),BD290=0),0,AW299*BB291)</f>
        <v>0</v>
      </c>
      <c r="BE299" s="101" cm="1">
        <f t="array" ref="BE299">IFERROR(_xlfn.LET(_xlpm.k,UPPER(TRIM(BA299)),_xlpm.r,_xlfn.XLOOKUP(_xlpm.k,UPPER(TRIM(AW307:BF307)),AW308:BF308,_xlfn.XLOOKUP(_xlpm.k,UPPER(TRIM(AW309:BF309)),AW310:BF310)),_xlpm.r*AZ299*BB299*BB291*IF(ISBLANK(AW299),1,AW299)),0)</f>
        <v>1.4705882352941175E-2</v>
      </c>
      <c r="BF299" s="1475" t="str">
        <f>_xlfn.LET(_xlpm.unite,SUBSTITUTE(TRIM(BA299)," (s)",""),_xlpm.val,BE299,_xlpm.estVol,COUNTIF(AZ307:BF307,_xlpm.unite)+COUNTIF(AZ309:BF309,_xlpm.unite)&gt;0,_xlpm.estPoids,COUNTIF(AW307:AY307,_xlpm.unite)+COUNTIF(AW309:AY309,_xlpm.unite)&gt;0,IF(_xlpm.estVol,IF(ROUND(_xlpm.val,3)&gt;=1,ROUND(_xlpm.val,3)&amp;" L",MAX(1,ROUND(_xlpm.val*100,0))&amp;" cl"),IF(_xlpm.estPoids,IF(ROUND(_xlpm.val,3)&gt;=1,ROUND(_xlpm.val,3)&amp;" Kg",MAX(1,ROUND(_xlpm.val*1000,0))&amp;" g"),"")))</f>
        <v>15 g</v>
      </c>
      <c r="BG299" s="5086"/>
      <c r="BH299" s="104"/>
      <c r="BI299" s="32"/>
      <c r="BJ299" s="33"/>
      <c r="BK299" s="32"/>
      <c r="BL299" s="34"/>
      <c r="BM299" s="92"/>
      <c r="BN299" s="108"/>
      <c r="BO299" s="94"/>
      <c r="BP299" s="95"/>
      <c r="BQ299" s="105"/>
      <c r="BR299" s="5101"/>
      <c r="BS299" s="920"/>
      <c r="BT299" s="1495"/>
      <c r="BU299" s="101"/>
      <c r="BV299" s="1475"/>
      <c r="BW299" s="5086"/>
      <c r="BX299" s="104"/>
      <c r="BY299" s="32"/>
      <c r="BZ299" s="33"/>
      <c r="CA299" s="32"/>
      <c r="CB299" s="34"/>
      <c r="CC299" s="92"/>
      <c r="CD299" s="108"/>
      <c r="CE299" s="94"/>
      <c r="CF299" s="95"/>
      <c r="CG299" s="105"/>
      <c r="CH299" s="5101"/>
      <c r="CI299" s="920"/>
      <c r="CJ299" s="1495"/>
      <c r="CK299" s="101"/>
      <c r="CL299" s="1475"/>
      <c r="CM299" s="5086"/>
      <c r="CN299" s="104"/>
      <c r="CO299" s="32"/>
      <c r="CP299" s="33"/>
      <c r="CQ299" s="32"/>
      <c r="CR299" s="34"/>
      <c r="CS299" s="92"/>
      <c r="CT299" s="108"/>
      <c r="CU299" s="94"/>
      <c r="CV299" s="95"/>
      <c r="CW299" s="105"/>
      <c r="CX299" s="5101"/>
      <c r="CY299" s="920"/>
      <c r="CZ299" s="1495"/>
      <c r="DA299" s="101"/>
      <c r="DB299" s="1475"/>
      <c r="DC299" s="5109"/>
      <c r="DD299" s="5086"/>
      <c r="DF299" s="3">
        <v>1</v>
      </c>
      <c r="EY299" s="172"/>
      <c r="EZ299" s="172"/>
      <c r="FA299" s="172"/>
      <c r="FB299" s="172"/>
      <c r="FC299" s="555"/>
    </row>
    <row r="300" spans="2:159" ht="21" customHeight="1">
      <c r="B300" s="952" t="str">
        <f t="shared" si="62"/>
        <v>A</v>
      </c>
      <c r="C300" s="993" cm="1">
        <f t="array" ref="C300">SUMPRODUCT(LEN(D300:J300))</f>
        <v>0</v>
      </c>
      <c r="D300" s="167"/>
      <c r="E300" s="172"/>
      <c r="F300" s="172"/>
      <c r="G300" s="172"/>
      <c r="H300" s="172"/>
      <c r="I300" s="172"/>
      <c r="J300" s="173"/>
      <c r="K300"/>
      <c r="L300" s="104" t="str">
        <f t="shared" si="66"/>
        <v>A</v>
      </c>
      <c r="M300" s="32" t="str">
        <f>M292</f>
        <v>É ÉPICES POUR BOUDIN | |  Author &gt; Guy KRENZE - Eric GODDYN - Arnaud NICOLAS - CEPROC 2002</v>
      </c>
      <c r="N300" s="33">
        <f>N292</f>
        <v>408</v>
      </c>
      <c r="O300" s="32" t="str">
        <f>O292</f>
        <v>g</v>
      </c>
      <c r="P300" s="34" t="str">
        <f>P292</f>
        <v>Master recipe ► le Boudin en 4 déclinaisons</v>
      </c>
      <c r="Q300" s="92"/>
      <c r="R300" s="108"/>
      <c r="S300" s="94" t="str">
        <f t="shared" si="63"/>
        <v/>
      </c>
      <c r="T300" s="95">
        <v>50</v>
      </c>
      <c r="U300" s="105" t="s">
        <v>99</v>
      </c>
      <c r="V300" s="127">
        <v>1</v>
      </c>
      <c r="W300" s="920" t="s">
        <v>13060</v>
      </c>
      <c r="X300" s="1494">
        <f>IF(OR(ISBLANK(Q290),X290=0),0,Q300*V291)</f>
        <v>0</v>
      </c>
      <c r="Y300" s="101" cm="1">
        <f t="array" ref="Y300">IFERROR(_xlfn.LET(_xlpm.k,UPPER(TRIM(U300)),_xlpm.r,_xlfn.XLOOKUP(_xlpm.k,UPPER(TRIM(Q307:Z307)),Q308:Z308,_xlfn.XLOOKUP(_xlpm.k,UPPER(TRIM(Q309:Z309)),Q310:Z310)),_xlpm.r*T300*V300*V291*IF(ISBLANK(Q300),1,Q300)),0)</f>
        <v>1.2254901960784314E-2</v>
      </c>
      <c r="Z300" s="1476" t="str">
        <f>_xlfn.LET(_xlpm.unite,SUBSTITUTE(TRIM(U300)," (s)",""),_xlpm.val,Y300,_xlpm.estVol,COUNTIF(T307:Z307,_xlpm.unite)+COUNTIF(T309:Z309,_xlpm.unite)&gt;0,_xlpm.estPoids,COUNTIF(Q307:S307,_xlpm.unite)+COUNTIF(Q309:S309,_xlpm.unite)&gt;0,IF(_xlpm.estVol,IF(ROUND(_xlpm.val,3)&gt;=1,ROUND(_xlpm.val,3)&amp;" L",MAX(1,ROUND(_xlpm.val*100,0))&amp;" cl"),IF(_xlpm.estPoids,IF(ROUND(_xlpm.val,3)&gt;=1,ROUND(_xlpm.val,3)&amp;" Kg",MAX(1,ROUND(_xlpm.val*1000,0))&amp;" g"),"")))</f>
        <v>12 g</v>
      </c>
      <c r="AA300" s="5086"/>
      <c r="AB300" s="104" t="str">
        <f t="shared" si="67"/>
        <v>A</v>
      </c>
      <c r="AC300" s="32" t="str">
        <f>AC292</f>
        <v>S SPICES FOR BLOOD SAUSAGE | |  Author &gt; Guy KRENZE - Eric GODDYN - Arnaud NICOLAS - CEPROC 2002</v>
      </c>
      <c r="AD300" s="33">
        <f>AD292</f>
        <v>408</v>
      </c>
      <c r="AE300" s="32" t="str">
        <f>AE292</f>
        <v>g</v>
      </c>
      <c r="AF300" s="34" t="str">
        <f>AF292</f>
        <v>Master recipe ► Black pudding in 4 variations</v>
      </c>
      <c r="AG300" s="92"/>
      <c r="AH300" s="108"/>
      <c r="AI300" s="94" t="str">
        <f t="shared" si="64"/>
        <v/>
      </c>
      <c r="AJ300" s="95">
        <v>50</v>
      </c>
      <c r="AK300" s="105" t="s">
        <v>99</v>
      </c>
      <c r="AL300" s="127">
        <v>1</v>
      </c>
      <c r="AM300" s="920" t="s">
        <v>13178</v>
      </c>
      <c r="AN300" s="1494">
        <f>IF(OR(ISBLANK(AG290),AN290=0),0,AG300*AL291)</f>
        <v>0</v>
      </c>
      <c r="AO300" s="101" cm="1">
        <f t="array" ref="AO300">IFERROR(_xlfn.LET(_xlpm.k,UPPER(TRIM(AK300)),_xlpm.r,_xlfn.XLOOKUP(_xlpm.k,UPPER(TRIM(AG307:AP307)),AG308:AP308,_xlfn.XLOOKUP(_xlpm.k,UPPER(TRIM(AG309:AP309)),AG310:AP310)),_xlpm.r*AJ300*AL300*AL291*IF(ISBLANK(AG300),1,AG300)),0)</f>
        <v>1.2254901960784314E-2</v>
      </c>
      <c r="AP300" s="1476" t="str">
        <f>_xlfn.LET(_xlpm.unite,SUBSTITUTE(TRIM(AK300)," (s)",""),_xlpm.val,AO300,_xlpm.estVol,COUNTIF(AJ307:AP307,_xlpm.unite)+COUNTIF(AJ309:AP309,_xlpm.unite)&gt;0,_xlpm.estPoids,COUNTIF(AG307:AI307,_xlpm.unite)+COUNTIF(AG309:AI309,_xlpm.unite)&gt;0,IF(_xlpm.estVol,IF(ROUND(_xlpm.val,3)&gt;=1,ROUND(_xlpm.val,3)&amp;" L",MAX(1,ROUND(_xlpm.val*100,0))&amp;" cl"),IF(_xlpm.estPoids,IF(ROUND(_xlpm.val,3)&gt;=1,ROUND(_xlpm.val,3)&amp;" Kg",MAX(1,ROUND(_xlpm.val*1000,0))&amp;" g"),"")))</f>
        <v>12 g</v>
      </c>
      <c r="AQ300" s="5086"/>
      <c r="AR300" s="104" t="str">
        <f t="shared" si="68"/>
        <v>A</v>
      </c>
      <c r="AS300" s="32" t="str">
        <f>AS292</f>
        <v>E ESPECIAS PARA MORCILLA | | Autor &gt; Guy KRENZE - Eric GODDYN - Arnaud NICOLAS - CEPROC 2002</v>
      </c>
      <c r="AT300" s="33">
        <f>AT292</f>
        <v>408</v>
      </c>
      <c r="AU300" s="32" t="str">
        <f>AU292</f>
        <v>g</v>
      </c>
      <c r="AV300" s="34" t="str">
        <f>AV292</f>
        <v>Receta madre ► Morcilla en 4 versiones</v>
      </c>
      <c r="AW300" s="92"/>
      <c r="AX300" s="108"/>
      <c r="AY300" s="94" t="str">
        <f t="shared" si="65"/>
        <v/>
      </c>
      <c r="AZ300" s="95">
        <v>50</v>
      </c>
      <c r="BA300" s="105" t="s">
        <v>99</v>
      </c>
      <c r="BB300" s="127">
        <v>1</v>
      </c>
      <c r="BC300" s="920" t="s">
        <v>13188</v>
      </c>
      <c r="BD300" s="1494">
        <f>IF(OR(ISBLANK(AW290),BD290=0),0,AW300*BB291)</f>
        <v>0</v>
      </c>
      <c r="BE300" s="101" cm="1">
        <f t="array" ref="BE300">IFERROR(_xlfn.LET(_xlpm.k,UPPER(TRIM(BA300)),_xlpm.r,_xlfn.XLOOKUP(_xlpm.k,UPPER(TRIM(AW307:BF307)),AW308:BF308,_xlfn.XLOOKUP(_xlpm.k,UPPER(TRIM(AW309:BF309)),AW310:BF310)),_xlpm.r*AZ300*BB300*BB291*IF(ISBLANK(AW300),1,AW300)),0)</f>
        <v>1.2254901960784314E-2</v>
      </c>
      <c r="BF300" s="1476" t="str">
        <f>_xlfn.LET(_xlpm.unite,SUBSTITUTE(TRIM(BA300)," (s)",""),_xlpm.val,BE300,_xlpm.estVol,COUNTIF(AZ307:BF307,_xlpm.unite)+COUNTIF(AZ309:BF309,_xlpm.unite)&gt;0,_xlpm.estPoids,COUNTIF(AW307:AY307,_xlpm.unite)+COUNTIF(AW309:AY309,_xlpm.unite)&gt;0,IF(_xlpm.estVol,IF(ROUND(_xlpm.val,3)&gt;=1,ROUND(_xlpm.val,3)&amp;" L",MAX(1,ROUND(_xlpm.val*100,0))&amp;" cl"),IF(_xlpm.estPoids,IF(ROUND(_xlpm.val,3)&gt;=1,ROUND(_xlpm.val,3)&amp;" Kg",MAX(1,ROUND(_xlpm.val*1000,0))&amp;" g"),"")))</f>
        <v>12 g</v>
      </c>
      <c r="BG300" s="5086"/>
      <c r="BH300" s="104"/>
      <c r="BI300" s="32"/>
      <c r="BJ300" s="33"/>
      <c r="BK300" s="32"/>
      <c r="BL300" s="34"/>
      <c r="BM300" s="92"/>
      <c r="BN300" s="108"/>
      <c r="BO300" s="94"/>
      <c r="BP300" s="95"/>
      <c r="BQ300" s="105"/>
      <c r="BR300" s="5101"/>
      <c r="BS300" s="920"/>
      <c r="BT300" s="1495"/>
      <c r="BU300" s="101"/>
      <c r="BV300" s="1475"/>
      <c r="BW300" s="5086"/>
      <c r="BX300" s="104"/>
      <c r="BY300" s="32"/>
      <c r="BZ300" s="33"/>
      <c r="CA300" s="32"/>
      <c r="CB300" s="34"/>
      <c r="CC300" s="92"/>
      <c r="CD300" s="108"/>
      <c r="CE300" s="94"/>
      <c r="CF300" s="95"/>
      <c r="CG300" s="105"/>
      <c r="CH300" s="5101"/>
      <c r="CI300" s="920"/>
      <c r="CJ300" s="1495"/>
      <c r="CK300" s="101"/>
      <c r="CL300" s="1475"/>
      <c r="CM300" s="5086"/>
      <c r="CN300" s="104"/>
      <c r="CO300" s="32"/>
      <c r="CP300" s="33"/>
      <c r="CQ300" s="32"/>
      <c r="CR300" s="34"/>
      <c r="CS300" s="92"/>
      <c r="CT300" s="108"/>
      <c r="CU300" s="94"/>
      <c r="CV300" s="95"/>
      <c r="CW300" s="105"/>
      <c r="CX300" s="5101"/>
      <c r="CY300" s="920"/>
      <c r="CZ300" s="1495"/>
      <c r="DA300" s="101"/>
      <c r="DB300" s="1475"/>
      <c r="DC300" s="5109"/>
      <c r="DD300" s="5086"/>
      <c r="DF300" s="3">
        <v>1</v>
      </c>
      <c r="EY300" s="1536"/>
      <c r="EZ300" s="1536"/>
      <c r="FA300" s="1536"/>
      <c r="FB300" s="1536"/>
      <c r="FC300" s="1537"/>
    </row>
    <row r="301" spans="2:159" ht="18.75">
      <c r="B301" s="952" t="str">
        <f t="shared" si="62"/>
        <v>A</v>
      </c>
      <c r="C301" s="993" cm="1">
        <f t="array" ref="C301">SUMPRODUCT(LEN(D301:J301))</f>
        <v>0</v>
      </c>
      <c r="D301" s="167"/>
      <c r="E301" s="172"/>
      <c r="F301" s="172"/>
      <c r="G301" s="172"/>
      <c r="H301" s="172"/>
      <c r="I301" s="172"/>
      <c r="J301" s="173"/>
      <c r="K301"/>
      <c r="L301" s="104" t="str">
        <f t="shared" si="66"/>
        <v>A</v>
      </c>
      <c r="M301" s="32" t="str">
        <f>M292</f>
        <v>É ÉPICES POUR BOUDIN | |  Author &gt; Guy KRENZE - Eric GODDYN - Arnaud NICOLAS - CEPROC 2002</v>
      </c>
      <c r="N301" s="33">
        <f>N292</f>
        <v>408</v>
      </c>
      <c r="O301" s="32" t="str">
        <f>O292</f>
        <v>g</v>
      </c>
      <c r="P301" s="34" t="str">
        <f>P292</f>
        <v>Master recipe ► le Boudin en 4 déclinaisons</v>
      </c>
      <c r="Q301" s="92">
        <v>5</v>
      </c>
      <c r="R301" s="108" t="s">
        <v>13066</v>
      </c>
      <c r="S301" s="94" t="str">
        <f t="shared" si="63"/>
        <v>de</v>
      </c>
      <c r="T301" s="5110">
        <v>0.5</v>
      </c>
      <c r="U301" s="105" t="s">
        <v>99</v>
      </c>
      <c r="V301" s="127">
        <v>1</v>
      </c>
      <c r="W301" s="920" t="s">
        <v>13061</v>
      </c>
      <c r="X301" s="1494">
        <f>IF(OR(ISBLANK(Q290),X290=0),0,Q301*V291)</f>
        <v>1.2254901960784312</v>
      </c>
      <c r="Y301" s="101" cm="1">
        <f t="array" ref="Y301">IFERROR(_xlfn.LET(_xlpm.k,UPPER(TRIM(U301)),_xlpm.r,_xlfn.XLOOKUP(_xlpm.k,UPPER(TRIM(Q307:Z307)),Q308:Z308,_xlfn.XLOOKUP(_xlpm.k,UPPER(TRIM(Q309:Z309)),Q310:Z310)),_xlpm.r*T301*V301*V291*IF(ISBLANK(Q301),1,Q301)),0)</f>
        <v>6.1274509803921568E-4</v>
      </c>
      <c r="Z301" s="1475" t="str">
        <f>_xlfn.LET(_xlpm.unite,SUBSTITUTE(TRIM(U301)," (s)",""),_xlpm.val,Y301,_xlpm.estVol,COUNTIF(T307:Z307,_xlpm.unite)+COUNTIF(T309:Z309,_xlpm.unite)&gt;0,_xlpm.estPoids,COUNTIF(Q307:S307,_xlpm.unite)+COUNTIF(Q309:S309,_xlpm.unite)&gt;0,IF(_xlpm.estVol,IF(ROUND(_xlpm.val,3)&gt;=1,ROUND(_xlpm.val,3)&amp;" L",MAX(1,ROUND(_xlpm.val*100,0))&amp;" cl"),IF(_xlpm.estPoids,IF(ROUND(_xlpm.val,3)&gt;=1,ROUND(_xlpm.val,3)&amp;" Kg",MAX(1,ROUND(_xlpm.val*1000,0))&amp;" g"),"")))</f>
        <v>1 g</v>
      </c>
      <c r="AA301" s="5086"/>
      <c r="AB301" s="104" t="str">
        <f t="shared" si="67"/>
        <v>A</v>
      </c>
      <c r="AC301" s="32" t="str">
        <f>AC292</f>
        <v>S SPICES FOR BLOOD SAUSAGE | |  Author &gt; Guy KRENZE - Eric GODDYN - Arnaud NICOLAS - CEPROC 2002</v>
      </c>
      <c r="AD301" s="33">
        <f>AD292</f>
        <v>408</v>
      </c>
      <c r="AE301" s="32" t="str">
        <f>AE292</f>
        <v>g</v>
      </c>
      <c r="AF301" s="34" t="str">
        <f>AF292</f>
        <v>Master recipe ► Black pudding in 4 variations</v>
      </c>
      <c r="AG301" s="92">
        <v>5</v>
      </c>
      <c r="AH301" s="108" t="s">
        <v>13066</v>
      </c>
      <c r="AI301" s="94" t="str">
        <f t="shared" si="64"/>
        <v>de</v>
      </c>
      <c r="AJ301" s="5110">
        <v>0.5</v>
      </c>
      <c r="AK301" s="105" t="s">
        <v>99</v>
      </c>
      <c r="AL301" s="127">
        <v>1</v>
      </c>
      <c r="AM301" s="920" t="s">
        <v>13179</v>
      </c>
      <c r="AN301" s="1494">
        <f>IF(OR(ISBLANK(AG290),AN290=0),0,AG301*AL291)</f>
        <v>1.2254901960784312</v>
      </c>
      <c r="AO301" s="101" cm="1">
        <f t="array" ref="AO301">IFERROR(_xlfn.LET(_xlpm.k,UPPER(TRIM(AK301)),_xlpm.r,_xlfn.XLOOKUP(_xlpm.k,UPPER(TRIM(AG307:AP307)),AG308:AP308,_xlfn.XLOOKUP(_xlpm.k,UPPER(TRIM(AG309:AP309)),AG310:AP310)),_xlpm.r*AJ301*AL301*AL291*IF(ISBLANK(AG301),1,AG301)),0)</f>
        <v>6.1274509803921568E-4</v>
      </c>
      <c r="AP301" s="1475" t="str">
        <f>_xlfn.LET(_xlpm.unite,SUBSTITUTE(TRIM(AK301)," (s)",""),_xlpm.val,AO301,_xlpm.estVol,COUNTIF(AJ307:AP307,_xlpm.unite)+COUNTIF(AJ309:AP309,_xlpm.unite)&gt;0,_xlpm.estPoids,COUNTIF(AG307:AI307,_xlpm.unite)+COUNTIF(AG309:AI309,_xlpm.unite)&gt;0,IF(_xlpm.estVol,IF(ROUND(_xlpm.val,3)&gt;=1,ROUND(_xlpm.val,3)&amp;" L",MAX(1,ROUND(_xlpm.val*100,0))&amp;" cl"),IF(_xlpm.estPoids,IF(ROUND(_xlpm.val,3)&gt;=1,ROUND(_xlpm.val,3)&amp;" Kg",MAX(1,ROUND(_xlpm.val*1000,0))&amp;" g"),"")))</f>
        <v>1 g</v>
      </c>
      <c r="AQ301" s="5086"/>
      <c r="AR301" s="104" t="str">
        <f t="shared" si="68"/>
        <v>A</v>
      </c>
      <c r="AS301" s="32" t="str">
        <f>AS292</f>
        <v>E ESPECIAS PARA MORCILLA | | Autor &gt; Guy KRENZE - Eric GODDYN - Arnaud NICOLAS - CEPROC 2002</v>
      </c>
      <c r="AT301" s="33">
        <f>AT292</f>
        <v>408</v>
      </c>
      <c r="AU301" s="32" t="str">
        <f>AU292</f>
        <v>g</v>
      </c>
      <c r="AV301" s="34" t="str">
        <f>AV292</f>
        <v>Receta madre ► Morcilla en 4 versiones</v>
      </c>
      <c r="AW301" s="92">
        <v>5</v>
      </c>
      <c r="AX301" s="108" t="s">
        <v>13066</v>
      </c>
      <c r="AY301" s="94" t="str">
        <f t="shared" si="65"/>
        <v>de</v>
      </c>
      <c r="AZ301" s="5110">
        <v>0.5</v>
      </c>
      <c r="BA301" s="105" t="s">
        <v>99</v>
      </c>
      <c r="BB301" s="127">
        <v>1</v>
      </c>
      <c r="BC301" s="920" t="s">
        <v>13189</v>
      </c>
      <c r="BD301" s="1494">
        <f>IF(OR(ISBLANK(AW290),BD290=0),0,AW301*BB291)</f>
        <v>1.2254901960784312</v>
      </c>
      <c r="BE301" s="101" cm="1">
        <f t="array" ref="BE301">IFERROR(_xlfn.LET(_xlpm.k,UPPER(TRIM(BA301)),_xlpm.r,_xlfn.XLOOKUP(_xlpm.k,UPPER(TRIM(AW307:BF307)),AW308:BF308,_xlfn.XLOOKUP(_xlpm.k,UPPER(TRIM(AW309:BF309)),AW310:BF310)),_xlpm.r*AZ301*BB301*BB291*IF(ISBLANK(AW301),1,AW301)),0)</f>
        <v>6.1274509803921568E-4</v>
      </c>
      <c r="BF301" s="1475" t="str">
        <f>_xlfn.LET(_xlpm.unite,SUBSTITUTE(TRIM(BA301)," (s)",""),_xlpm.val,BE301,_xlpm.estVol,COUNTIF(AZ307:BF307,_xlpm.unite)+COUNTIF(AZ309:BF309,_xlpm.unite)&gt;0,_xlpm.estPoids,COUNTIF(AW307:AY307,_xlpm.unite)+COUNTIF(AW309:AY309,_xlpm.unite)&gt;0,IF(_xlpm.estVol,IF(ROUND(_xlpm.val,3)&gt;=1,ROUND(_xlpm.val,3)&amp;" L",MAX(1,ROUND(_xlpm.val*100,0))&amp;" cl"),IF(_xlpm.estPoids,IF(ROUND(_xlpm.val,3)&gt;=1,ROUND(_xlpm.val,3)&amp;" Kg",MAX(1,ROUND(_xlpm.val*1000,0))&amp;" g"),"")))</f>
        <v>1 g</v>
      </c>
      <c r="BG301" s="5086"/>
      <c r="BH301" s="104"/>
      <c r="BI301" s="32"/>
      <c r="BJ301" s="33"/>
      <c r="BK301" s="32"/>
      <c r="BL301" s="34"/>
      <c r="BM301" s="92"/>
      <c r="BN301" s="108"/>
      <c r="BO301" s="94"/>
      <c r="BP301" s="95"/>
      <c r="BQ301" s="105"/>
      <c r="BR301" s="5101"/>
      <c r="BS301" s="920"/>
      <c r="BT301" s="1495"/>
      <c r="BU301" s="101"/>
      <c r="BV301" s="1475"/>
      <c r="BW301" s="5086"/>
      <c r="BX301" s="104"/>
      <c r="BY301" s="32"/>
      <c r="BZ301" s="33"/>
      <c r="CA301" s="32"/>
      <c r="CB301" s="34"/>
      <c r="CC301" s="92"/>
      <c r="CD301" s="108"/>
      <c r="CE301" s="94"/>
      <c r="CF301" s="95"/>
      <c r="CG301" s="105"/>
      <c r="CH301" s="5101"/>
      <c r="CI301" s="920"/>
      <c r="CJ301" s="1495"/>
      <c r="CK301" s="101"/>
      <c r="CL301" s="1475"/>
      <c r="CM301" s="5086"/>
      <c r="CN301" s="104"/>
      <c r="CO301" s="32"/>
      <c r="CP301" s="33"/>
      <c r="CQ301" s="32"/>
      <c r="CR301" s="34"/>
      <c r="CS301" s="92"/>
      <c r="CT301" s="108"/>
      <c r="CU301" s="94"/>
      <c r="CV301" s="95"/>
      <c r="CW301" s="105"/>
      <c r="CX301" s="5101"/>
      <c r="CY301" s="920"/>
      <c r="CZ301" s="1495"/>
      <c r="DA301" s="101"/>
      <c r="DB301" s="1475"/>
      <c r="DC301" s="5109"/>
      <c r="DD301" s="5086"/>
      <c r="DF301" s="3">
        <v>1</v>
      </c>
      <c r="EY301" s="172"/>
      <c r="EZ301" s="172"/>
      <c r="FA301" s="172"/>
      <c r="FB301" s="172"/>
      <c r="FC301" s="555"/>
    </row>
    <row r="302" spans="2:159" ht="18.75">
      <c r="B302" s="952" t="str">
        <f t="shared" si="62"/>
        <v>A</v>
      </c>
      <c r="C302" s="993" cm="1">
        <f t="array" ref="C302">SUMPRODUCT(LEN(D302:J302))</f>
        <v>0</v>
      </c>
      <c r="D302" s="167"/>
      <c r="E302" s="172"/>
      <c r="F302" s="172"/>
      <c r="G302" s="172"/>
      <c r="H302" s="172"/>
      <c r="I302" s="172"/>
      <c r="J302" s="173"/>
      <c r="K302"/>
      <c r="L302" s="104" t="str">
        <f t="shared" si="66"/>
        <v>A</v>
      </c>
      <c r="M302" s="32" t="str">
        <f>M292</f>
        <v>É ÉPICES POUR BOUDIN | |  Author &gt; Guy KRENZE - Eric GODDYN - Arnaud NICOLAS - CEPROC 2002</v>
      </c>
      <c r="N302" s="33">
        <f>N292</f>
        <v>408</v>
      </c>
      <c r="O302" s="32" t="str">
        <f>O292</f>
        <v>g</v>
      </c>
      <c r="P302" s="34" t="str">
        <f>P292</f>
        <v>Master recipe ► le Boudin en 4 déclinaisons</v>
      </c>
      <c r="Q302" s="92"/>
      <c r="R302" s="108"/>
      <c r="S302" s="94" t="str">
        <f t="shared" si="63"/>
        <v/>
      </c>
      <c r="T302" s="95">
        <v>20</v>
      </c>
      <c r="U302" s="105" t="s">
        <v>99</v>
      </c>
      <c r="V302" s="127">
        <v>1</v>
      </c>
      <c r="W302" s="920" t="s">
        <v>13062</v>
      </c>
      <c r="X302" s="1494">
        <f>IF(OR(ISBLANK(Q290),X290=0),0,Q302*V291)</f>
        <v>0</v>
      </c>
      <c r="Y302" s="101" cm="1">
        <f t="array" ref="Y302">IFERROR(_xlfn.LET(_xlpm.k,UPPER(TRIM(U302)),_xlpm.r,_xlfn.XLOOKUP(_xlpm.k,UPPER(TRIM(Q307:Z307)),Q308:Z308,_xlfn.XLOOKUP(_xlpm.k,UPPER(TRIM(Q309:Z309)),Q310:Z310)),_xlpm.r*T302*V302*V291*IF(ISBLANK(Q302),1,Q302)),0)</f>
        <v>4.9019607843137254E-3</v>
      </c>
      <c r="Z302" s="1476" t="str">
        <f>_xlfn.LET(_xlpm.unite,SUBSTITUTE(TRIM(U302)," (s)",""),_xlpm.val,Y302,_xlpm.estVol,COUNTIF(T307:Z307,_xlpm.unite)+COUNTIF(T309:Z309,_xlpm.unite)&gt;0,_xlpm.estPoids,COUNTIF(Q307:S307,_xlpm.unite)+COUNTIF(Q309:S309,_xlpm.unite)&gt;0,IF(_xlpm.estVol,IF(ROUND(_xlpm.val,3)&gt;=1,ROUND(_xlpm.val,3)&amp;" L",MAX(1,ROUND(_xlpm.val*100,0))&amp;" cl"),IF(_xlpm.estPoids,IF(ROUND(_xlpm.val,3)&gt;=1,ROUND(_xlpm.val,3)&amp;" Kg",MAX(1,ROUND(_xlpm.val*1000,0))&amp;" g"),"")))</f>
        <v>5 g</v>
      </c>
      <c r="AA302" s="5086"/>
      <c r="AB302" s="104" t="str">
        <f t="shared" si="67"/>
        <v>A</v>
      </c>
      <c r="AC302" s="32" t="str">
        <f>AC292</f>
        <v>S SPICES FOR BLOOD SAUSAGE | |  Author &gt; Guy KRENZE - Eric GODDYN - Arnaud NICOLAS - CEPROC 2002</v>
      </c>
      <c r="AD302" s="33">
        <f>AD292</f>
        <v>408</v>
      </c>
      <c r="AE302" s="32" t="str">
        <f>AE292</f>
        <v>g</v>
      </c>
      <c r="AF302" s="34" t="str">
        <f>AF292</f>
        <v>Master recipe ► Black pudding in 4 variations</v>
      </c>
      <c r="AG302" s="92"/>
      <c r="AH302" s="108"/>
      <c r="AI302" s="94" t="str">
        <f t="shared" si="64"/>
        <v/>
      </c>
      <c r="AJ302" s="95">
        <v>20</v>
      </c>
      <c r="AK302" s="105" t="s">
        <v>99</v>
      </c>
      <c r="AL302" s="127">
        <v>1</v>
      </c>
      <c r="AM302" s="920" t="s">
        <v>13180</v>
      </c>
      <c r="AN302" s="1494">
        <f>IF(OR(ISBLANK(AG290),AN290=0),0,AG302*AL291)</f>
        <v>0</v>
      </c>
      <c r="AO302" s="101" cm="1">
        <f t="array" ref="AO302">IFERROR(_xlfn.LET(_xlpm.k,UPPER(TRIM(AK302)),_xlpm.r,_xlfn.XLOOKUP(_xlpm.k,UPPER(TRIM(AG307:AP307)),AG308:AP308,_xlfn.XLOOKUP(_xlpm.k,UPPER(TRIM(AG309:AP309)),AG310:AP310)),_xlpm.r*AJ302*AL302*AL291*IF(ISBLANK(AG302),1,AG302)),0)</f>
        <v>4.9019607843137254E-3</v>
      </c>
      <c r="AP302" s="1476" t="str">
        <f>_xlfn.LET(_xlpm.unite,SUBSTITUTE(TRIM(AK302)," (s)",""),_xlpm.val,AO302,_xlpm.estVol,COUNTIF(AJ307:AP307,_xlpm.unite)+COUNTIF(AJ309:AP309,_xlpm.unite)&gt;0,_xlpm.estPoids,COUNTIF(AG307:AI307,_xlpm.unite)+COUNTIF(AG309:AI309,_xlpm.unite)&gt;0,IF(_xlpm.estVol,IF(ROUND(_xlpm.val,3)&gt;=1,ROUND(_xlpm.val,3)&amp;" L",MAX(1,ROUND(_xlpm.val*100,0))&amp;" cl"),IF(_xlpm.estPoids,IF(ROUND(_xlpm.val,3)&gt;=1,ROUND(_xlpm.val,3)&amp;" Kg",MAX(1,ROUND(_xlpm.val*1000,0))&amp;" g"),"")))</f>
        <v>5 g</v>
      </c>
      <c r="AQ302" s="5086"/>
      <c r="AR302" s="104" t="str">
        <f t="shared" si="68"/>
        <v>A</v>
      </c>
      <c r="AS302" s="32" t="str">
        <f>AS292</f>
        <v>E ESPECIAS PARA MORCILLA | | Autor &gt; Guy KRENZE - Eric GODDYN - Arnaud NICOLAS - CEPROC 2002</v>
      </c>
      <c r="AT302" s="33">
        <f>AT292</f>
        <v>408</v>
      </c>
      <c r="AU302" s="32" t="str">
        <f>AU292</f>
        <v>g</v>
      </c>
      <c r="AV302" s="34" t="str">
        <f>AV292</f>
        <v>Receta madre ► Morcilla en 4 versiones</v>
      </c>
      <c r="AW302" s="92"/>
      <c r="AX302" s="108"/>
      <c r="AY302" s="94" t="str">
        <f t="shared" si="65"/>
        <v/>
      </c>
      <c r="AZ302" s="95">
        <v>20</v>
      </c>
      <c r="BA302" s="105" t="s">
        <v>99</v>
      </c>
      <c r="BB302" s="127">
        <v>1</v>
      </c>
      <c r="BC302" s="920" t="s">
        <v>13190</v>
      </c>
      <c r="BD302" s="1494">
        <f>IF(OR(ISBLANK(AW290),BD290=0),0,AW302*BB291)</f>
        <v>0</v>
      </c>
      <c r="BE302" s="101" cm="1">
        <f t="array" ref="BE302">IFERROR(_xlfn.LET(_xlpm.k,UPPER(TRIM(BA302)),_xlpm.r,_xlfn.XLOOKUP(_xlpm.k,UPPER(TRIM(AW307:BF307)),AW308:BF308,_xlfn.XLOOKUP(_xlpm.k,UPPER(TRIM(AW309:BF309)),AW310:BF310)),_xlpm.r*AZ302*BB302*BB291*IF(ISBLANK(AW302),1,AW302)),0)</f>
        <v>4.9019607843137254E-3</v>
      </c>
      <c r="BF302" s="1476" t="str">
        <f>_xlfn.LET(_xlpm.unite,SUBSTITUTE(TRIM(BA302)," (s)",""),_xlpm.val,BE302,_xlpm.estVol,COUNTIF(AZ307:BF307,_xlpm.unite)+COUNTIF(AZ309:BF309,_xlpm.unite)&gt;0,_xlpm.estPoids,COUNTIF(AW307:AY307,_xlpm.unite)+COUNTIF(AW309:AY309,_xlpm.unite)&gt;0,IF(_xlpm.estVol,IF(ROUND(_xlpm.val,3)&gt;=1,ROUND(_xlpm.val,3)&amp;" L",MAX(1,ROUND(_xlpm.val*100,0))&amp;" cl"),IF(_xlpm.estPoids,IF(ROUND(_xlpm.val,3)&gt;=1,ROUND(_xlpm.val,3)&amp;" Kg",MAX(1,ROUND(_xlpm.val*1000,0))&amp;" g"),"")))</f>
        <v>5 g</v>
      </c>
      <c r="BG302" s="5086"/>
      <c r="BH302" s="104"/>
      <c r="BI302" s="32"/>
      <c r="BJ302" s="33"/>
      <c r="BK302" s="32"/>
      <c r="BL302" s="34"/>
      <c r="BM302" s="92"/>
      <c r="BN302" s="108"/>
      <c r="BO302" s="94"/>
      <c r="BP302" s="95"/>
      <c r="BQ302" s="105"/>
      <c r="BR302" s="5101"/>
      <c r="BS302" s="920"/>
      <c r="BT302" s="1495"/>
      <c r="BU302" s="101"/>
      <c r="BV302" s="1475"/>
      <c r="BW302" s="5086"/>
      <c r="BX302" s="104"/>
      <c r="BY302" s="32"/>
      <c r="BZ302" s="33"/>
      <c r="CA302" s="32"/>
      <c r="CB302" s="34"/>
      <c r="CC302" s="92"/>
      <c r="CD302" s="108"/>
      <c r="CE302" s="94"/>
      <c r="CF302" s="95"/>
      <c r="CG302" s="105"/>
      <c r="CH302" s="5101"/>
      <c r="CI302" s="920"/>
      <c r="CJ302" s="1495"/>
      <c r="CK302" s="101"/>
      <c r="CL302" s="1475"/>
      <c r="CM302" s="5086"/>
      <c r="CN302" s="104"/>
      <c r="CO302" s="32"/>
      <c r="CP302" s="33"/>
      <c r="CQ302" s="32"/>
      <c r="CR302" s="34"/>
      <c r="CS302" s="92"/>
      <c r="CT302" s="108"/>
      <c r="CU302" s="94"/>
      <c r="CV302" s="95"/>
      <c r="CW302" s="105"/>
      <c r="CX302" s="5101"/>
      <c r="CY302" s="920"/>
      <c r="CZ302" s="1495"/>
      <c r="DA302" s="101"/>
      <c r="DB302" s="1475"/>
      <c r="DC302" s="5109"/>
      <c r="DD302" s="5086"/>
      <c r="DF302" s="3">
        <v>1</v>
      </c>
      <c r="EY302" s="172"/>
      <c r="EZ302" s="172"/>
      <c r="FA302" s="172"/>
      <c r="FB302" s="172"/>
      <c r="FC302" s="555"/>
    </row>
    <row r="303" spans="2:159" ht="18.75">
      <c r="B303" s="952" t="str">
        <f t="shared" si="62"/>
        <v>A</v>
      </c>
      <c r="C303" s="993" cm="1">
        <f t="array" ref="C303">SUMPRODUCT(LEN(D303:J303))</f>
        <v>0</v>
      </c>
      <c r="D303" s="167"/>
      <c r="E303" s="172"/>
      <c r="F303" s="172"/>
      <c r="G303" s="172"/>
      <c r="H303" s="172"/>
      <c r="I303" s="172"/>
      <c r="J303" s="173"/>
      <c r="K303"/>
      <c r="L303" s="104" t="str">
        <f t="shared" si="66"/>
        <v>A</v>
      </c>
      <c r="M303" s="32" t="str">
        <f>M292</f>
        <v>É ÉPICES POUR BOUDIN | |  Author &gt; Guy KRENZE - Eric GODDYN - Arnaud NICOLAS - CEPROC 2002</v>
      </c>
      <c r="N303" s="33">
        <f>N292</f>
        <v>408</v>
      </c>
      <c r="O303" s="32" t="str">
        <f>O292</f>
        <v>g</v>
      </c>
      <c r="P303" s="34" t="str">
        <f>P292</f>
        <v>Master recipe ► le Boudin en 4 déclinaisons</v>
      </c>
      <c r="Q303" s="92"/>
      <c r="R303" s="108"/>
      <c r="S303" s="94" t="str">
        <f t="shared" si="63"/>
        <v/>
      </c>
      <c r="T303" s="95">
        <v>10</v>
      </c>
      <c r="U303" s="105" t="s">
        <v>99</v>
      </c>
      <c r="V303" s="127">
        <v>1</v>
      </c>
      <c r="W303" s="920" t="s">
        <v>13063</v>
      </c>
      <c r="X303" s="1494">
        <f>IF(OR(ISBLANK(Q290),X290=0),0,Q303*V291)</f>
        <v>0</v>
      </c>
      <c r="Y303" s="101" cm="1">
        <f t="array" ref="Y303">IFERROR(_xlfn.LET(_xlpm.k,UPPER(TRIM(U303)),_xlpm.r,_xlfn.XLOOKUP(_xlpm.k,UPPER(TRIM(Q307:Z307)),Q308:Z308,_xlfn.XLOOKUP(_xlpm.k,UPPER(TRIM(Q309:Z309)),Q310:Z310)),_xlpm.r*T303*V303*V291*IF(ISBLANK(Q303),1,Q303)),0)</f>
        <v>2.4509803921568627E-3</v>
      </c>
      <c r="Z303" s="1475" t="str">
        <f>_xlfn.LET(_xlpm.unite,SUBSTITUTE(TRIM(U303)," (s)",""),_xlpm.val,Y303,_xlpm.estVol,COUNTIF(T307:Z307,_xlpm.unite)+COUNTIF(T309:Z309,_xlpm.unite)&gt;0,_xlpm.estPoids,COUNTIF(Q307:S307,_xlpm.unite)+COUNTIF(Q309:S309,_xlpm.unite)&gt;0,IF(_xlpm.estVol,IF(ROUND(_xlpm.val,3)&gt;=1,ROUND(_xlpm.val,3)&amp;" L",MAX(1,ROUND(_xlpm.val*100,0))&amp;" cl"),IF(_xlpm.estPoids,IF(ROUND(_xlpm.val,3)&gt;=1,ROUND(_xlpm.val,3)&amp;" Kg",MAX(1,ROUND(_xlpm.val*1000,0))&amp;" g"),"")))</f>
        <v>2 g</v>
      </c>
      <c r="AA303" s="5086"/>
      <c r="AB303" s="104" t="str">
        <f t="shared" si="67"/>
        <v>A</v>
      </c>
      <c r="AC303" s="32" t="str">
        <f>AC292</f>
        <v>S SPICES FOR BLOOD SAUSAGE | |  Author &gt; Guy KRENZE - Eric GODDYN - Arnaud NICOLAS - CEPROC 2002</v>
      </c>
      <c r="AD303" s="33">
        <f>AD292</f>
        <v>408</v>
      </c>
      <c r="AE303" s="32" t="str">
        <f>AE292</f>
        <v>g</v>
      </c>
      <c r="AF303" s="34" t="str">
        <f>AF292</f>
        <v>Master recipe ► Black pudding in 4 variations</v>
      </c>
      <c r="AG303" s="92"/>
      <c r="AH303" s="108"/>
      <c r="AI303" s="94" t="str">
        <f t="shared" si="64"/>
        <v/>
      </c>
      <c r="AJ303" s="95">
        <v>10</v>
      </c>
      <c r="AK303" s="105" t="s">
        <v>99</v>
      </c>
      <c r="AL303" s="127">
        <v>1</v>
      </c>
      <c r="AM303" s="920" t="s">
        <v>13181</v>
      </c>
      <c r="AN303" s="1494">
        <f>IF(OR(ISBLANK(AG290),AN290=0),0,AG303*AL291)</f>
        <v>0</v>
      </c>
      <c r="AO303" s="101" cm="1">
        <f t="array" ref="AO303">IFERROR(_xlfn.LET(_xlpm.k,UPPER(TRIM(AK303)),_xlpm.r,_xlfn.XLOOKUP(_xlpm.k,UPPER(TRIM(AG307:AP307)),AG308:AP308,_xlfn.XLOOKUP(_xlpm.k,UPPER(TRIM(AG309:AP309)),AG310:AP310)),_xlpm.r*AJ303*AL303*AL291*IF(ISBLANK(AG303),1,AG303)),0)</f>
        <v>2.4509803921568627E-3</v>
      </c>
      <c r="AP303" s="1475" t="str">
        <f>_xlfn.LET(_xlpm.unite,SUBSTITUTE(TRIM(AK303)," (s)",""),_xlpm.val,AO303,_xlpm.estVol,COUNTIF(AJ307:AP307,_xlpm.unite)+COUNTIF(AJ309:AP309,_xlpm.unite)&gt;0,_xlpm.estPoids,COUNTIF(AG307:AI307,_xlpm.unite)+COUNTIF(AG309:AI309,_xlpm.unite)&gt;0,IF(_xlpm.estVol,IF(ROUND(_xlpm.val,3)&gt;=1,ROUND(_xlpm.val,3)&amp;" L",MAX(1,ROUND(_xlpm.val*100,0))&amp;" cl"),IF(_xlpm.estPoids,IF(ROUND(_xlpm.val,3)&gt;=1,ROUND(_xlpm.val,3)&amp;" Kg",MAX(1,ROUND(_xlpm.val*1000,0))&amp;" g"),"")))</f>
        <v>2 g</v>
      </c>
      <c r="AQ303" s="5086"/>
      <c r="AR303" s="104" t="str">
        <f t="shared" si="68"/>
        <v>A</v>
      </c>
      <c r="AS303" s="32" t="str">
        <f>AS292</f>
        <v>E ESPECIAS PARA MORCILLA | | Autor &gt; Guy KRENZE - Eric GODDYN - Arnaud NICOLAS - CEPROC 2002</v>
      </c>
      <c r="AT303" s="33">
        <f>AT292</f>
        <v>408</v>
      </c>
      <c r="AU303" s="32" t="str">
        <f>AU292</f>
        <v>g</v>
      </c>
      <c r="AV303" s="34" t="str">
        <f>AV292</f>
        <v>Receta madre ► Morcilla en 4 versiones</v>
      </c>
      <c r="AW303" s="92"/>
      <c r="AX303" s="108"/>
      <c r="AY303" s="94" t="str">
        <f t="shared" si="65"/>
        <v/>
      </c>
      <c r="AZ303" s="95">
        <v>10</v>
      </c>
      <c r="BA303" s="105" t="s">
        <v>99</v>
      </c>
      <c r="BB303" s="127">
        <v>1</v>
      </c>
      <c r="BC303" s="920" t="s">
        <v>13063</v>
      </c>
      <c r="BD303" s="1494">
        <f>IF(OR(ISBLANK(AW290),BD290=0),0,AW303*BB291)</f>
        <v>0</v>
      </c>
      <c r="BE303" s="101" cm="1">
        <f t="array" ref="BE303">IFERROR(_xlfn.LET(_xlpm.k,UPPER(TRIM(BA303)),_xlpm.r,_xlfn.XLOOKUP(_xlpm.k,UPPER(TRIM(AW307:BF307)),AW308:BF308,_xlfn.XLOOKUP(_xlpm.k,UPPER(TRIM(AW309:BF309)),AW310:BF310)),_xlpm.r*AZ303*BB303*BB291*IF(ISBLANK(AW303),1,AW303)),0)</f>
        <v>2.4509803921568627E-3</v>
      </c>
      <c r="BF303" s="1475" t="str">
        <f>_xlfn.LET(_xlpm.unite,SUBSTITUTE(TRIM(BA303)," (s)",""),_xlpm.val,BE303,_xlpm.estVol,COUNTIF(AZ307:BF307,_xlpm.unite)+COUNTIF(AZ309:BF309,_xlpm.unite)&gt;0,_xlpm.estPoids,COUNTIF(AW307:AY307,_xlpm.unite)+COUNTIF(AW309:AY309,_xlpm.unite)&gt;0,IF(_xlpm.estVol,IF(ROUND(_xlpm.val,3)&gt;=1,ROUND(_xlpm.val,3)&amp;" L",MAX(1,ROUND(_xlpm.val*100,0))&amp;" cl"),IF(_xlpm.estPoids,IF(ROUND(_xlpm.val,3)&gt;=1,ROUND(_xlpm.val,3)&amp;" Kg",MAX(1,ROUND(_xlpm.val*1000,0))&amp;" g"),"")))</f>
        <v>2 g</v>
      </c>
      <c r="BG303" s="5086"/>
      <c r="BH303" s="104"/>
      <c r="BI303" s="32"/>
      <c r="BJ303" s="33"/>
      <c r="BK303" s="32"/>
      <c r="BL303" s="34"/>
      <c r="BM303" s="92"/>
      <c r="BN303" s="108"/>
      <c r="BO303" s="94"/>
      <c r="BP303" s="95"/>
      <c r="BQ303" s="105"/>
      <c r="BR303" s="5101"/>
      <c r="BS303" s="920"/>
      <c r="BT303" s="1495"/>
      <c r="BU303" s="101"/>
      <c r="BV303" s="1475"/>
      <c r="BW303" s="5086"/>
      <c r="BX303" s="104"/>
      <c r="BY303" s="32"/>
      <c r="BZ303" s="33"/>
      <c r="CA303" s="32"/>
      <c r="CB303" s="34"/>
      <c r="CC303" s="92"/>
      <c r="CD303" s="108"/>
      <c r="CE303" s="94"/>
      <c r="CF303" s="95"/>
      <c r="CG303" s="105"/>
      <c r="CH303" s="5101"/>
      <c r="CI303" s="920"/>
      <c r="CJ303" s="1495"/>
      <c r="CK303" s="101"/>
      <c r="CL303" s="1475"/>
      <c r="CM303" s="5086"/>
      <c r="CN303" s="104"/>
      <c r="CO303" s="32"/>
      <c r="CP303" s="33"/>
      <c r="CQ303" s="32"/>
      <c r="CR303" s="34"/>
      <c r="CS303" s="92"/>
      <c r="CT303" s="108"/>
      <c r="CU303" s="94"/>
      <c r="CV303" s="95"/>
      <c r="CW303" s="105"/>
      <c r="CX303" s="5101"/>
      <c r="CY303" s="920"/>
      <c r="CZ303" s="1495"/>
      <c r="DA303" s="101"/>
      <c r="DB303" s="1475"/>
      <c r="DC303" s="5109"/>
      <c r="DD303" s="5086"/>
      <c r="DF303" s="3">
        <v>1</v>
      </c>
      <c r="EY303" s="172"/>
      <c r="EZ303" s="172"/>
      <c r="FA303" s="172"/>
      <c r="FB303" s="172"/>
      <c r="FC303" s="555"/>
    </row>
    <row r="304" spans="2:159" ht="18.75">
      <c r="B304" s="952" t="str">
        <f t="shared" si="62"/>
        <v>A</v>
      </c>
      <c r="C304" s="993" cm="1">
        <f t="array" ref="C304">SUMPRODUCT(LEN(D304:J304))</f>
        <v>0</v>
      </c>
      <c r="D304" s="167"/>
      <c r="E304" s="172"/>
      <c r="F304" s="172"/>
      <c r="G304" s="172"/>
      <c r="H304" s="172"/>
      <c r="I304" s="172"/>
      <c r="J304" s="173"/>
      <c r="K304"/>
      <c r="L304" s="104" t="str">
        <f t="shared" si="66"/>
        <v>A</v>
      </c>
      <c r="M304" s="32" t="str">
        <f>M292</f>
        <v>É ÉPICES POUR BOUDIN | |  Author &gt; Guy KRENZE - Eric GODDYN - Arnaud NICOLAS - CEPROC 2002</v>
      </c>
      <c r="N304" s="33">
        <f>N292</f>
        <v>408</v>
      </c>
      <c r="O304" s="32" t="str">
        <f>O292</f>
        <v>g</v>
      </c>
      <c r="P304" s="34" t="str">
        <f>P292</f>
        <v>Master recipe ► le Boudin en 4 déclinaisons</v>
      </c>
      <c r="Q304" s="92"/>
      <c r="R304" s="108"/>
      <c r="S304" s="94" t="str">
        <f t="shared" si="63"/>
        <v/>
      </c>
      <c r="T304" s="95">
        <v>15</v>
      </c>
      <c r="U304" s="105" t="s">
        <v>99</v>
      </c>
      <c r="V304" s="127">
        <v>1</v>
      </c>
      <c r="W304" s="920" t="s">
        <v>13064</v>
      </c>
      <c r="X304" s="1494">
        <f>IF(OR(ISBLANK(Q290),X290=0),0,Q304*V291)</f>
        <v>0</v>
      </c>
      <c r="Y304" s="101" cm="1">
        <f t="array" ref="Y304">IFERROR(_xlfn.LET(_xlpm.k,UPPER(TRIM(U304)),_xlpm.r,_xlfn.XLOOKUP(_xlpm.k,UPPER(TRIM(Q307:Z307)),Q308:Z308,_xlfn.XLOOKUP(_xlpm.k,UPPER(TRIM(Q309:Z309)),Q310:Z310)),_xlpm.r*T304*V304*V291*IF(ISBLANK(Q304),1,Q304)),0)</f>
        <v>3.6764705882352936E-3</v>
      </c>
      <c r="Z304" s="1476" t="str">
        <f>_xlfn.LET(_xlpm.unite,SUBSTITUTE(TRIM(U304)," (s)",""),_xlpm.val,Y304,_xlpm.estVol,COUNTIF(T307:Z307,_xlpm.unite)+COUNTIF(T309:Z309,_xlpm.unite)&gt;0,_xlpm.estPoids,COUNTIF(Q307:S307,_xlpm.unite)+COUNTIF(Q309:S309,_xlpm.unite)&gt;0,IF(_xlpm.estVol,IF(ROUND(_xlpm.val,3)&gt;=1,ROUND(_xlpm.val,3)&amp;" L",MAX(1,ROUND(_xlpm.val*100,0))&amp;" cl"),IF(_xlpm.estPoids,IF(ROUND(_xlpm.val,3)&gt;=1,ROUND(_xlpm.val,3)&amp;" Kg",MAX(1,ROUND(_xlpm.val*1000,0))&amp;" g"),"")))</f>
        <v>4 g</v>
      </c>
      <c r="AA304" s="5086"/>
      <c r="AB304" s="104" t="str">
        <f t="shared" si="67"/>
        <v>A</v>
      </c>
      <c r="AC304" s="32" t="str">
        <f>AC292</f>
        <v>S SPICES FOR BLOOD SAUSAGE | |  Author &gt; Guy KRENZE - Eric GODDYN - Arnaud NICOLAS - CEPROC 2002</v>
      </c>
      <c r="AD304" s="33">
        <f>AD292</f>
        <v>408</v>
      </c>
      <c r="AE304" s="32" t="str">
        <f>AE292</f>
        <v>g</v>
      </c>
      <c r="AF304" s="34" t="str">
        <f>AF292</f>
        <v>Master recipe ► Black pudding in 4 variations</v>
      </c>
      <c r="AG304" s="92"/>
      <c r="AH304" s="108"/>
      <c r="AI304" s="94" t="str">
        <f t="shared" si="64"/>
        <v/>
      </c>
      <c r="AJ304" s="95">
        <v>15</v>
      </c>
      <c r="AK304" s="105" t="s">
        <v>99</v>
      </c>
      <c r="AL304" s="127">
        <v>1</v>
      </c>
      <c r="AM304" s="920" t="s">
        <v>13182</v>
      </c>
      <c r="AN304" s="1494">
        <f>IF(OR(ISBLANK(AG290),AN290=0),0,AG304*AL291)</f>
        <v>0</v>
      </c>
      <c r="AO304" s="101" cm="1">
        <f t="array" ref="AO304">IFERROR(_xlfn.LET(_xlpm.k,UPPER(TRIM(AK304)),_xlpm.r,_xlfn.XLOOKUP(_xlpm.k,UPPER(TRIM(AG307:AP307)),AG308:AP308,_xlfn.XLOOKUP(_xlpm.k,UPPER(TRIM(AG309:AP309)),AG310:AP310)),_xlpm.r*AJ304*AL304*AL291*IF(ISBLANK(AG304),1,AG304)),0)</f>
        <v>3.6764705882352936E-3</v>
      </c>
      <c r="AP304" s="1476" t="str">
        <f>_xlfn.LET(_xlpm.unite,SUBSTITUTE(TRIM(AK304)," (s)",""),_xlpm.val,AO304,_xlpm.estVol,COUNTIF(AJ307:AP307,_xlpm.unite)+COUNTIF(AJ309:AP309,_xlpm.unite)&gt;0,_xlpm.estPoids,COUNTIF(AG307:AI307,_xlpm.unite)+COUNTIF(AG309:AI309,_xlpm.unite)&gt;0,IF(_xlpm.estVol,IF(ROUND(_xlpm.val,3)&gt;=1,ROUND(_xlpm.val,3)&amp;" L",MAX(1,ROUND(_xlpm.val*100,0))&amp;" cl"),IF(_xlpm.estPoids,IF(ROUND(_xlpm.val,3)&gt;=1,ROUND(_xlpm.val,3)&amp;" Kg",MAX(1,ROUND(_xlpm.val*1000,0))&amp;" g"),"")))</f>
        <v>4 g</v>
      </c>
      <c r="AQ304" s="5086"/>
      <c r="AR304" s="104" t="str">
        <f t="shared" si="68"/>
        <v>A</v>
      </c>
      <c r="AS304" s="32" t="str">
        <f>AS292</f>
        <v>E ESPECIAS PARA MORCILLA | | Autor &gt; Guy KRENZE - Eric GODDYN - Arnaud NICOLAS - CEPROC 2002</v>
      </c>
      <c r="AT304" s="33">
        <f>AT292</f>
        <v>408</v>
      </c>
      <c r="AU304" s="32" t="str">
        <f>AU292</f>
        <v>g</v>
      </c>
      <c r="AV304" s="34" t="str">
        <f>AV292</f>
        <v>Receta madre ► Morcilla en 4 versiones</v>
      </c>
      <c r="AW304" s="92"/>
      <c r="AX304" s="108"/>
      <c r="AY304" s="94" t="str">
        <f t="shared" si="65"/>
        <v/>
      </c>
      <c r="AZ304" s="95">
        <v>15</v>
      </c>
      <c r="BA304" s="105" t="s">
        <v>99</v>
      </c>
      <c r="BB304" s="127">
        <v>1</v>
      </c>
      <c r="BC304" s="920" t="s">
        <v>13191</v>
      </c>
      <c r="BD304" s="1494">
        <f>IF(OR(ISBLANK(AW290),BD290=0),0,AW304*BB291)</f>
        <v>0</v>
      </c>
      <c r="BE304" s="101" cm="1">
        <f t="array" ref="BE304">IFERROR(_xlfn.LET(_xlpm.k,UPPER(TRIM(BA304)),_xlpm.r,_xlfn.XLOOKUP(_xlpm.k,UPPER(TRIM(AW307:BF307)),AW308:BF308,_xlfn.XLOOKUP(_xlpm.k,UPPER(TRIM(AW309:BF309)),AW310:BF310)),_xlpm.r*AZ304*BB304*BB291*IF(ISBLANK(AW304),1,AW304)),0)</f>
        <v>3.6764705882352936E-3</v>
      </c>
      <c r="BF304" s="1476" t="str">
        <f>_xlfn.LET(_xlpm.unite,SUBSTITUTE(TRIM(BA304)," (s)",""),_xlpm.val,BE304,_xlpm.estVol,COUNTIF(AZ307:BF307,_xlpm.unite)+COUNTIF(AZ309:BF309,_xlpm.unite)&gt;0,_xlpm.estPoids,COUNTIF(AW307:AY307,_xlpm.unite)+COUNTIF(AW309:AY309,_xlpm.unite)&gt;0,IF(_xlpm.estVol,IF(ROUND(_xlpm.val,3)&gt;=1,ROUND(_xlpm.val,3)&amp;" L",MAX(1,ROUND(_xlpm.val*100,0))&amp;" cl"),IF(_xlpm.estPoids,IF(ROUND(_xlpm.val,3)&gt;=1,ROUND(_xlpm.val,3)&amp;" Kg",MAX(1,ROUND(_xlpm.val*1000,0))&amp;" g"),"")))</f>
        <v>4 g</v>
      </c>
      <c r="BG304" s="5086"/>
      <c r="BH304" s="104"/>
      <c r="BI304" s="32"/>
      <c r="BJ304" s="33"/>
      <c r="BK304" s="32"/>
      <c r="BL304" s="34"/>
      <c r="BM304" s="92"/>
      <c r="BN304" s="108"/>
      <c r="BO304" s="94"/>
      <c r="BP304" s="95"/>
      <c r="BQ304" s="105"/>
      <c r="BR304" s="5101"/>
      <c r="BS304" s="920"/>
      <c r="BT304" s="1495"/>
      <c r="BU304" s="101"/>
      <c r="BV304" s="1475"/>
      <c r="BW304" s="5086"/>
      <c r="BX304" s="104"/>
      <c r="BY304" s="32"/>
      <c r="BZ304" s="33"/>
      <c r="CA304" s="32"/>
      <c r="CB304" s="34"/>
      <c r="CC304" s="92"/>
      <c r="CD304" s="108"/>
      <c r="CE304" s="94"/>
      <c r="CF304" s="95"/>
      <c r="CG304" s="105"/>
      <c r="CH304" s="5101"/>
      <c r="CI304" s="920"/>
      <c r="CJ304" s="1495"/>
      <c r="CK304" s="101"/>
      <c r="CL304" s="1475"/>
      <c r="CM304" s="5086"/>
      <c r="CN304" s="104"/>
      <c r="CO304" s="32"/>
      <c r="CP304" s="33"/>
      <c r="CQ304" s="32"/>
      <c r="CR304" s="34"/>
      <c r="CS304" s="92"/>
      <c r="CT304" s="108"/>
      <c r="CU304" s="94"/>
      <c r="CV304" s="95"/>
      <c r="CW304" s="105"/>
      <c r="CX304" s="5101"/>
      <c r="CY304" s="920"/>
      <c r="CZ304" s="1495"/>
      <c r="DA304" s="101"/>
      <c r="DB304" s="1475"/>
      <c r="DC304" s="5109"/>
      <c r="DD304" s="5086"/>
      <c r="DF304" s="3">
        <v>1</v>
      </c>
      <c r="EY304" s="172"/>
      <c r="EZ304" s="172"/>
      <c r="FA304" s="172"/>
      <c r="FB304" s="172"/>
      <c r="FC304" s="555"/>
    </row>
    <row r="305" spans="2:159" ht="18.75">
      <c r="B305" s="952" t="str">
        <f t="shared" si="62"/>
        <v>►</v>
      </c>
      <c r="C305" s="993" cm="1">
        <f t="array" ref="C305">SUMPRODUCT(LEN(D305:J305))</f>
        <v>0</v>
      </c>
      <c r="D305" s="167"/>
      <c r="E305" s="172"/>
      <c r="F305" s="172"/>
      <c r="G305" s="172"/>
      <c r="H305" s="172"/>
      <c r="I305" s="172"/>
      <c r="J305" s="173"/>
      <c r="K305"/>
      <c r="L305" s="104" t="str">
        <f t="shared" si="66"/>
        <v>►</v>
      </c>
      <c r="M305" s="32" t="str">
        <f>M292</f>
        <v>É ÉPICES POUR BOUDIN | |  Author &gt; Guy KRENZE - Eric GODDYN - Arnaud NICOLAS - CEPROC 2002</v>
      </c>
      <c r="N305" s="33">
        <f>N292</f>
        <v>408</v>
      </c>
      <c r="O305" s="32" t="str">
        <f>O292</f>
        <v>g</v>
      </c>
      <c r="P305" s="34" t="str">
        <f>P292</f>
        <v>Master recipe ► le Boudin en 4 déclinaisons</v>
      </c>
      <c r="Q305" s="92"/>
      <c r="R305" s="108"/>
      <c r="S305" s="94" t="str">
        <f t="shared" si="63"/>
        <v/>
      </c>
      <c r="T305" s="95"/>
      <c r="U305" s="126"/>
      <c r="V305" s="127">
        <v>1</v>
      </c>
      <c r="W305" s="920"/>
      <c r="X305" s="1494">
        <f>IF(OR(ISBLANK(Q290),X290=0),0,Q305*V291)</f>
        <v>0</v>
      </c>
      <c r="Y305" s="101" cm="1">
        <f t="array" ref="Y305">IFERROR(_xlfn.LET(_xlpm.k,UPPER(TRIM(U305)),_xlpm.r,_xlfn.XLOOKUP(_xlpm.k,UPPER(TRIM(Q307:Z307)),Q308:Z308,_xlfn.XLOOKUP(_xlpm.k,UPPER(TRIM(Q309:Z309)),Q310:Z310)),_xlpm.r*T305*V305*V291*IF(ISBLANK(Q305),1,Q305)),0)</f>
        <v>0</v>
      </c>
      <c r="Z305" s="1475" t="str">
        <f>_xlfn.LET(_xlpm.unite,SUBSTITUTE(TRIM(U305)," (s)",""),_xlpm.val,Y305,_xlpm.estVol,COUNTIF(T307:Z307,_xlpm.unite)+COUNTIF(T309:Z309,_xlpm.unite)&gt;0,_xlpm.estPoids,COUNTIF(Q307:S307,_xlpm.unite)+COUNTIF(Q309:S309,_xlpm.unite)&gt;0,IF(_xlpm.estVol,IF(ROUND(_xlpm.val,3)&gt;=1,ROUND(_xlpm.val,3)&amp;" L",MAX(1,ROUND(_xlpm.val*100,0))&amp;" cl"),IF(_xlpm.estPoids,IF(ROUND(_xlpm.val,3)&gt;=1,ROUND(_xlpm.val,3)&amp;" Kg",MAX(1,ROUND(_xlpm.val*1000,0))&amp;" g"),"")))</f>
        <v/>
      </c>
      <c r="AA305" s="5086"/>
      <c r="AB305" s="104" t="str">
        <f t="shared" si="67"/>
        <v>►</v>
      </c>
      <c r="AC305" s="32" t="str">
        <f>AC292</f>
        <v>S SPICES FOR BLOOD SAUSAGE | |  Author &gt; Guy KRENZE - Eric GODDYN - Arnaud NICOLAS - CEPROC 2002</v>
      </c>
      <c r="AD305" s="33">
        <f>AD292</f>
        <v>408</v>
      </c>
      <c r="AE305" s="32" t="str">
        <f>AE292</f>
        <v>g</v>
      </c>
      <c r="AF305" s="34" t="str">
        <f>AF292</f>
        <v>Master recipe ► Black pudding in 4 variations</v>
      </c>
      <c r="AG305" s="92"/>
      <c r="AH305" s="108"/>
      <c r="AI305" s="94" t="str">
        <f t="shared" si="64"/>
        <v/>
      </c>
      <c r="AJ305" s="95"/>
      <c r="AK305" s="126"/>
      <c r="AL305" s="127">
        <v>1</v>
      </c>
      <c r="AM305" s="920"/>
      <c r="AN305" s="1494">
        <f>IF(OR(ISBLANK(AG290),AN290=0),0,AG305*AL291)</f>
        <v>0</v>
      </c>
      <c r="AO305" s="101" cm="1">
        <f t="array" ref="AO305">IFERROR(_xlfn.LET(_xlpm.k,UPPER(TRIM(AK305)),_xlpm.r,_xlfn.XLOOKUP(_xlpm.k,UPPER(TRIM(AG307:AP307)),AG308:AP308,_xlfn.XLOOKUP(_xlpm.k,UPPER(TRIM(AG309:AP309)),AG310:AP310)),_xlpm.r*AJ305*AL305*AL291*IF(ISBLANK(AG305),1,AG305)),0)</f>
        <v>0</v>
      </c>
      <c r="AP305" s="1475" t="str">
        <f>_xlfn.LET(_xlpm.unite,SUBSTITUTE(TRIM(AK305)," (s)",""),_xlpm.val,AO305,_xlpm.estVol,COUNTIF(AJ307:AP307,_xlpm.unite)+COUNTIF(AJ309:AP309,_xlpm.unite)&gt;0,_xlpm.estPoids,COUNTIF(AG307:AI307,_xlpm.unite)+COUNTIF(AG309:AI309,_xlpm.unite)&gt;0,IF(_xlpm.estVol,IF(ROUND(_xlpm.val,3)&gt;=1,ROUND(_xlpm.val,3)&amp;" L",MAX(1,ROUND(_xlpm.val*100,0))&amp;" cl"),IF(_xlpm.estPoids,IF(ROUND(_xlpm.val,3)&gt;=1,ROUND(_xlpm.val,3)&amp;" Kg",MAX(1,ROUND(_xlpm.val*1000,0))&amp;" g"),"")))</f>
        <v/>
      </c>
      <c r="AQ305" s="5086"/>
      <c r="AR305" s="104" t="str">
        <f t="shared" si="68"/>
        <v>►</v>
      </c>
      <c r="AS305" s="32" t="str">
        <f>AS292</f>
        <v>E ESPECIAS PARA MORCILLA | | Autor &gt; Guy KRENZE - Eric GODDYN - Arnaud NICOLAS - CEPROC 2002</v>
      </c>
      <c r="AT305" s="33">
        <f>AT292</f>
        <v>408</v>
      </c>
      <c r="AU305" s="32" t="str">
        <f>AU292</f>
        <v>g</v>
      </c>
      <c r="AV305" s="34" t="str">
        <f>AV292</f>
        <v>Receta madre ► Morcilla en 4 versiones</v>
      </c>
      <c r="AW305" s="92"/>
      <c r="AX305" s="108"/>
      <c r="AY305" s="94" t="str">
        <f t="shared" si="65"/>
        <v/>
      </c>
      <c r="AZ305" s="95"/>
      <c r="BA305" s="126"/>
      <c r="BB305" s="127">
        <v>1</v>
      </c>
      <c r="BC305" s="920"/>
      <c r="BD305" s="1494">
        <f>IF(OR(ISBLANK(AW290),BD290=0),0,AW305*BB291)</f>
        <v>0</v>
      </c>
      <c r="BE305" s="101" cm="1">
        <f t="array" ref="BE305">IFERROR(_xlfn.LET(_xlpm.k,UPPER(TRIM(BA305)),_xlpm.r,_xlfn.XLOOKUP(_xlpm.k,UPPER(TRIM(AW307:BF307)),AW308:BF308,_xlfn.XLOOKUP(_xlpm.k,UPPER(TRIM(AW309:BF309)),AW310:BF310)),_xlpm.r*AZ305*BB305*BB291*IF(ISBLANK(AW305),1,AW305)),0)</f>
        <v>0</v>
      </c>
      <c r="BF305" s="1475" t="str">
        <f>_xlfn.LET(_xlpm.unite,SUBSTITUTE(TRIM(BA305)," (s)",""),_xlpm.val,BE305,_xlpm.estVol,COUNTIF(AZ307:BF307,_xlpm.unite)+COUNTIF(AZ309:BF309,_xlpm.unite)&gt;0,_xlpm.estPoids,COUNTIF(AW307:AY307,_xlpm.unite)+COUNTIF(AW309:AY309,_xlpm.unite)&gt;0,IF(_xlpm.estVol,IF(ROUND(_xlpm.val,3)&gt;=1,ROUND(_xlpm.val,3)&amp;" L",MAX(1,ROUND(_xlpm.val*100,0))&amp;" cl"),IF(_xlpm.estPoids,IF(ROUND(_xlpm.val,3)&gt;=1,ROUND(_xlpm.val,3)&amp;" Kg",MAX(1,ROUND(_xlpm.val*1000,0))&amp;" g"),"")))</f>
        <v/>
      </c>
      <c r="BG305" s="5086"/>
      <c r="BH305" s="104"/>
      <c r="BI305" s="32"/>
      <c r="BJ305" s="33"/>
      <c r="BK305" s="32"/>
      <c r="BL305" s="34"/>
      <c r="BM305" s="92"/>
      <c r="BN305" s="108"/>
      <c r="BO305" s="94"/>
      <c r="BP305" s="95"/>
      <c r="BQ305" s="105"/>
      <c r="BR305" s="5101"/>
      <c r="BS305" s="920"/>
      <c r="BT305" s="1495"/>
      <c r="BU305" s="101"/>
      <c r="BV305" s="1475"/>
      <c r="BW305" s="5086"/>
      <c r="BX305" s="104"/>
      <c r="BY305" s="32"/>
      <c r="BZ305" s="33"/>
      <c r="CA305" s="32"/>
      <c r="CB305" s="34"/>
      <c r="CC305" s="92"/>
      <c r="CD305" s="108"/>
      <c r="CE305" s="94"/>
      <c r="CF305" s="95"/>
      <c r="CG305" s="105"/>
      <c r="CH305" s="5101"/>
      <c r="CI305" s="920"/>
      <c r="CJ305" s="1495"/>
      <c r="CK305" s="101"/>
      <c r="CL305" s="1475"/>
      <c r="CM305" s="5086"/>
      <c r="CN305" s="104"/>
      <c r="CO305" s="32"/>
      <c r="CP305" s="33"/>
      <c r="CQ305" s="32"/>
      <c r="CR305" s="34"/>
      <c r="CS305" s="92"/>
      <c r="CT305" s="108"/>
      <c r="CU305" s="94"/>
      <c r="CV305" s="95"/>
      <c r="CW305" s="105"/>
      <c r="CX305" s="5101"/>
      <c r="CY305" s="920"/>
      <c r="CZ305" s="1495"/>
      <c r="DA305" s="101"/>
      <c r="DB305" s="1475"/>
      <c r="DC305" s="5109"/>
      <c r="DD305" s="5086"/>
      <c r="DF305" s="3">
        <v>1</v>
      </c>
      <c r="EY305" s="172"/>
      <c r="EZ305" s="172"/>
      <c r="FA305" s="172"/>
      <c r="FB305" s="172"/>
      <c r="FC305" s="555"/>
    </row>
    <row r="306" spans="2:159" ht="18.75">
      <c r="B306" s="952" t="str">
        <f t="shared" si="62"/>
        <v>A</v>
      </c>
      <c r="C306" s="993" cm="1">
        <f t="array" ref="C306">SUMPRODUCT(LEN(D306:J306))</f>
        <v>0</v>
      </c>
      <c r="D306" s="167"/>
      <c r="E306" s="172"/>
      <c r="F306" s="172"/>
      <c r="G306" s="172"/>
      <c r="H306" s="172"/>
      <c r="I306" s="172"/>
      <c r="J306" s="173"/>
      <c r="K306"/>
      <c r="L306" s="104" t="s">
        <v>11</v>
      </c>
      <c r="M306" s="32" t="str">
        <f>M292</f>
        <v>É ÉPICES POUR BOUDIN | |  Author &gt; Guy KRENZE - Eric GODDYN - Arnaud NICOLAS - CEPROC 2002</v>
      </c>
      <c r="N306" s="33">
        <f>N292</f>
        <v>408</v>
      </c>
      <c r="O306" s="32" t="str">
        <f>O292</f>
        <v>g</v>
      </c>
      <c r="P306" s="34" t="str">
        <f>P292</f>
        <v>Master recipe ► le Boudin en 4 déclinaisons</v>
      </c>
      <c r="Q306" s="907" t="s">
        <v>136</v>
      </c>
      <c r="R306" s="500"/>
      <c r="S306" s="500"/>
      <c r="T306" s="500"/>
      <c r="U306" s="500"/>
      <c r="V306" s="908"/>
      <c r="W306" s="909"/>
      <c r="X306" s="909"/>
      <c r="Y306" s="5164">
        <f>SUM(Y296:Y305)</f>
        <v>9.9877450980392149E-2</v>
      </c>
      <c r="Z306" s="1489"/>
      <c r="AA306" s="5086"/>
      <c r="AB306" s="104" t="s">
        <v>11</v>
      </c>
      <c r="AC306" s="32" t="str">
        <f>AC292</f>
        <v>S SPICES FOR BLOOD SAUSAGE | |  Author &gt; Guy KRENZE - Eric GODDYN - Arnaud NICOLAS - CEPROC 2002</v>
      </c>
      <c r="AD306" s="33">
        <f>AD292</f>
        <v>408</v>
      </c>
      <c r="AE306" s="32" t="str">
        <f>AE292</f>
        <v>g</v>
      </c>
      <c r="AF306" s="34" t="str">
        <f>AF292</f>
        <v>Master recipe ► Black pudding in 4 variations</v>
      </c>
      <c r="AG306" s="907" t="s">
        <v>136</v>
      </c>
      <c r="AH306" s="500"/>
      <c r="AI306" s="500"/>
      <c r="AJ306" s="500"/>
      <c r="AK306" s="500"/>
      <c r="AL306" s="908"/>
      <c r="AM306" s="909"/>
      <c r="AN306" s="909"/>
      <c r="AO306" s="5164">
        <f>SUM(AO296:AO305)</f>
        <v>9.9877450980392149E-2</v>
      </c>
      <c r="AP306" s="1489"/>
      <c r="AQ306" s="5086"/>
      <c r="AR306" s="104" t="s">
        <v>11</v>
      </c>
      <c r="AS306" s="32" t="str">
        <f>AS292</f>
        <v>E ESPECIAS PARA MORCILLA | | Autor &gt; Guy KRENZE - Eric GODDYN - Arnaud NICOLAS - CEPROC 2002</v>
      </c>
      <c r="AT306" s="33">
        <f>AT292</f>
        <v>408</v>
      </c>
      <c r="AU306" s="32" t="str">
        <f>AU292</f>
        <v>g</v>
      </c>
      <c r="AV306" s="34" t="str">
        <f>AV292</f>
        <v>Receta madre ► Morcilla en 4 versiones</v>
      </c>
      <c r="AW306" s="907" t="s">
        <v>893</v>
      </c>
      <c r="AX306" s="500"/>
      <c r="AY306" s="500"/>
      <c r="AZ306" s="500"/>
      <c r="BA306" s="500"/>
      <c r="BB306" s="908"/>
      <c r="BC306" s="909"/>
      <c r="BD306" s="909"/>
      <c r="BE306" s="5164">
        <f>SUM(BE296:BE305)</f>
        <v>9.9877450980392149E-2</v>
      </c>
      <c r="BF306" s="1489"/>
      <c r="BG306" s="5086"/>
      <c r="BH306" s="104"/>
      <c r="BI306" s="32"/>
      <c r="BJ306" s="33"/>
      <c r="BK306" s="32"/>
      <c r="BL306" s="34"/>
      <c r="BM306" s="92"/>
      <c r="BN306" s="108"/>
      <c r="BO306" s="94"/>
      <c r="BP306" s="95"/>
      <c r="BQ306" s="105"/>
      <c r="BR306" s="5101"/>
      <c r="BS306" s="920"/>
      <c r="BT306" s="1495"/>
      <c r="BU306" s="101"/>
      <c r="BV306" s="1475"/>
      <c r="BW306" s="5086"/>
      <c r="BX306" s="104"/>
      <c r="BY306" s="32"/>
      <c r="BZ306" s="33"/>
      <c r="CA306" s="32"/>
      <c r="CB306" s="34"/>
      <c r="CC306" s="92"/>
      <c r="CD306" s="108"/>
      <c r="CE306" s="94"/>
      <c r="CF306" s="95"/>
      <c r="CG306" s="105"/>
      <c r="CH306" s="5101"/>
      <c r="CI306" s="920"/>
      <c r="CJ306" s="1495"/>
      <c r="CK306" s="101"/>
      <c r="CL306" s="1475"/>
      <c r="CM306" s="5086"/>
      <c r="CN306" s="104"/>
      <c r="CO306" s="32"/>
      <c r="CP306" s="33"/>
      <c r="CQ306" s="32"/>
      <c r="CR306" s="34"/>
      <c r="CS306" s="92"/>
      <c r="CT306" s="108"/>
      <c r="CU306" s="94"/>
      <c r="CV306" s="95"/>
      <c r="CW306" s="105"/>
      <c r="CX306" s="5101"/>
      <c r="CY306" s="920"/>
      <c r="CZ306" s="1495"/>
      <c r="DA306" s="101"/>
      <c r="DB306" s="1475"/>
      <c r="DC306" s="5109"/>
      <c r="DD306" s="5086"/>
      <c r="DF306" s="3">
        <v>1</v>
      </c>
      <c r="EY306" s="172"/>
      <c r="EZ306" s="172"/>
      <c r="FA306" s="172"/>
      <c r="FB306" s="172"/>
      <c r="FC306" s="555"/>
    </row>
    <row r="307" spans="2:159" ht="18.75">
      <c r="B307" s="952" t="str">
        <f t="shared" si="62"/>
        <v>►</v>
      </c>
      <c r="C307" s="993" cm="1">
        <f t="array" ref="C307">SUMPRODUCT(LEN(D307:J307))</f>
        <v>0</v>
      </c>
      <c r="D307" s="167"/>
      <c r="E307" s="172"/>
      <c r="F307" s="172"/>
      <c r="G307" s="172"/>
      <c r="H307" s="172"/>
      <c r="I307" s="172"/>
      <c r="J307" s="173"/>
      <c r="K307"/>
      <c r="L307" s="104" t="s">
        <v>16</v>
      </c>
      <c r="M307" s="32" t="str">
        <f>M292</f>
        <v>É ÉPICES POUR BOUDIN | |  Author &gt; Guy KRENZE - Eric GODDYN - Arnaud NICOLAS - CEPROC 2002</v>
      </c>
      <c r="N307" s="33">
        <f>N292</f>
        <v>408</v>
      </c>
      <c r="O307" s="32" t="str">
        <f>O292</f>
        <v>g</v>
      </c>
      <c r="P307" s="34" t="str">
        <f>P292</f>
        <v>Master recipe ► le Boudin en 4 déclinaisons</v>
      </c>
      <c r="Q307" s="140" t="s">
        <v>143</v>
      </c>
      <c r="R307" s="105" t="s">
        <v>99</v>
      </c>
      <c r="S307" s="141" t="s">
        <v>144</v>
      </c>
      <c r="T307" s="96" t="s">
        <v>0</v>
      </c>
      <c r="U307" s="96" t="s">
        <v>96</v>
      </c>
      <c r="V307" s="96" t="s">
        <v>147</v>
      </c>
      <c r="W307" s="96" t="s">
        <v>148</v>
      </c>
      <c r="X307" s="109" t="s">
        <v>364</v>
      </c>
      <c r="Y307" s="109" t="s">
        <v>102</v>
      </c>
      <c r="Z307" s="109" t="s">
        <v>149</v>
      </c>
      <c r="AA307" s="5086"/>
      <c r="AB307" s="104" t="s">
        <v>16</v>
      </c>
      <c r="AC307" s="32" t="str">
        <f>AC292</f>
        <v>S SPICES FOR BLOOD SAUSAGE | |  Author &gt; Guy KRENZE - Eric GODDYN - Arnaud NICOLAS - CEPROC 2002</v>
      </c>
      <c r="AD307" s="33">
        <f>AD292</f>
        <v>408</v>
      </c>
      <c r="AE307" s="32" t="str">
        <f>AE292</f>
        <v>g</v>
      </c>
      <c r="AF307" s="34" t="str">
        <f>AF292</f>
        <v>Master recipe ► Black pudding in 4 variations</v>
      </c>
      <c r="AG307" s="140" t="s">
        <v>143</v>
      </c>
      <c r="AH307" s="105" t="s">
        <v>99</v>
      </c>
      <c r="AI307" s="141" t="s">
        <v>144</v>
      </c>
      <c r="AJ307" s="96" t="s">
        <v>0</v>
      </c>
      <c r="AK307" s="96" t="s">
        <v>96</v>
      </c>
      <c r="AL307" s="96" t="s">
        <v>147</v>
      </c>
      <c r="AM307" s="96" t="s">
        <v>148</v>
      </c>
      <c r="AN307" s="109" t="s">
        <v>1378</v>
      </c>
      <c r="AO307" s="109" t="s">
        <v>1360</v>
      </c>
      <c r="AP307" s="109" t="s">
        <v>1361</v>
      </c>
      <c r="AQ307" s="5086"/>
      <c r="AR307" s="104" t="s">
        <v>16</v>
      </c>
      <c r="AS307" s="32" t="str">
        <f>AS292</f>
        <v>E ESPECIAS PARA MORCILLA | | Autor &gt; Guy KRENZE - Eric GODDYN - Arnaud NICOLAS - CEPROC 2002</v>
      </c>
      <c r="AT307" s="33">
        <f>AT292</f>
        <v>408</v>
      </c>
      <c r="AU307" s="32" t="str">
        <f>AU292</f>
        <v>g</v>
      </c>
      <c r="AV307" s="34" t="str">
        <f>AV292</f>
        <v>Receta madre ► Morcilla en 4 versiones</v>
      </c>
      <c r="AW307" s="140" t="s">
        <v>143</v>
      </c>
      <c r="AX307" s="105" t="s">
        <v>99</v>
      </c>
      <c r="AY307" s="141" t="s">
        <v>144</v>
      </c>
      <c r="AZ307" s="96" t="s">
        <v>0</v>
      </c>
      <c r="BA307" s="96" t="s">
        <v>96</v>
      </c>
      <c r="BB307" s="96" t="s">
        <v>147</v>
      </c>
      <c r="BC307" s="96" t="s">
        <v>148</v>
      </c>
      <c r="BD307" s="109" t="s">
        <v>1379</v>
      </c>
      <c r="BE307" s="109" t="s">
        <v>1341</v>
      </c>
      <c r="BF307" s="109" t="s">
        <v>1342</v>
      </c>
      <c r="BG307" s="5086"/>
      <c r="BH307" s="104"/>
      <c r="BI307" s="32"/>
      <c r="BJ307" s="33"/>
      <c r="BK307" s="32"/>
      <c r="BL307" s="34"/>
      <c r="BM307" s="92"/>
      <c r="BN307" s="108"/>
      <c r="BO307" s="94"/>
      <c r="BP307" s="95"/>
      <c r="BQ307" s="105"/>
      <c r="BR307" s="5101"/>
      <c r="BS307" s="920"/>
      <c r="BT307" s="1495"/>
      <c r="BU307" s="101"/>
      <c r="BV307" s="1475"/>
      <c r="BW307" s="5086"/>
      <c r="BX307" s="104"/>
      <c r="BY307" s="32"/>
      <c r="BZ307" s="33"/>
      <c r="CA307" s="32"/>
      <c r="CB307" s="34"/>
      <c r="CC307" s="92"/>
      <c r="CD307" s="108"/>
      <c r="CE307" s="94"/>
      <c r="CF307" s="95"/>
      <c r="CG307" s="105"/>
      <c r="CH307" s="5101"/>
      <c r="CI307" s="920"/>
      <c r="CJ307" s="1495"/>
      <c r="CK307" s="101"/>
      <c r="CL307" s="1475"/>
      <c r="CM307" s="5086"/>
      <c r="CN307" s="104"/>
      <c r="CO307" s="32"/>
      <c r="CP307" s="33"/>
      <c r="CQ307" s="32"/>
      <c r="CR307" s="34"/>
      <c r="CS307" s="92"/>
      <c r="CT307" s="108"/>
      <c r="CU307" s="94"/>
      <c r="CV307" s="95"/>
      <c r="CW307" s="105"/>
      <c r="CX307" s="5101"/>
      <c r="CY307" s="920"/>
      <c r="CZ307" s="1495"/>
      <c r="DA307" s="101"/>
      <c r="DB307" s="1475"/>
      <c r="DC307" s="5109"/>
      <c r="DD307" s="5086"/>
      <c r="DF307" s="3">
        <v>1</v>
      </c>
      <c r="EY307" s="172"/>
      <c r="EZ307" s="172"/>
      <c r="FA307" s="172"/>
      <c r="FB307" s="172"/>
      <c r="FC307" s="555"/>
    </row>
    <row r="308" spans="2:159" ht="18.75">
      <c r="B308" s="952" t="str">
        <f t="shared" si="62"/>
        <v>►</v>
      </c>
      <c r="C308" s="993" cm="1">
        <f t="array" ref="C308">SUMPRODUCT(LEN(D308:J308))</f>
        <v>0</v>
      </c>
      <c r="D308" s="167"/>
      <c r="E308" s="172"/>
      <c r="F308" s="172"/>
      <c r="G308" s="172"/>
      <c r="H308" s="172"/>
      <c r="I308" s="172"/>
      <c r="J308" s="173"/>
      <c r="K308"/>
      <c r="L308" s="104" t="s">
        <v>16</v>
      </c>
      <c r="M308" s="32" t="str">
        <f>M292</f>
        <v>É ÉPICES POUR BOUDIN | |  Author &gt; Guy KRENZE - Eric GODDYN - Arnaud NICOLAS - CEPROC 2002</v>
      </c>
      <c r="N308" s="33">
        <f>N292</f>
        <v>408</v>
      </c>
      <c r="O308" s="32" t="str">
        <f>O292</f>
        <v>g</v>
      </c>
      <c r="P308" s="34" t="str">
        <f>P292</f>
        <v>Master recipe ► le Boudin en 4 déclinaisons</v>
      </c>
      <c r="Q308" s="911">
        <v>1</v>
      </c>
      <c r="R308" s="912">
        <v>1E-3</v>
      </c>
      <c r="S308" s="913">
        <v>0</v>
      </c>
      <c r="T308" s="914">
        <v>1</v>
      </c>
      <c r="U308" s="914">
        <v>0.1</v>
      </c>
      <c r="V308" s="914">
        <v>0.01</v>
      </c>
      <c r="W308" s="914">
        <v>1E-3</v>
      </c>
      <c r="X308" s="914">
        <v>0.25</v>
      </c>
      <c r="Y308" s="914">
        <v>0.5</v>
      </c>
      <c r="Z308" s="914">
        <v>0.33300000000000002</v>
      </c>
      <c r="AA308" s="5086"/>
      <c r="AB308" s="104" t="s">
        <v>16</v>
      </c>
      <c r="AC308" s="32" t="str">
        <f>AC292</f>
        <v>S SPICES FOR BLOOD SAUSAGE | |  Author &gt; Guy KRENZE - Eric GODDYN - Arnaud NICOLAS - CEPROC 2002</v>
      </c>
      <c r="AD308" s="33">
        <f>AD292</f>
        <v>408</v>
      </c>
      <c r="AE308" s="32" t="str">
        <f>AE292</f>
        <v>g</v>
      </c>
      <c r="AF308" s="34" t="str">
        <f>AF292</f>
        <v>Master recipe ► Black pudding in 4 variations</v>
      </c>
      <c r="AG308" s="911">
        <v>1</v>
      </c>
      <c r="AH308" s="912">
        <v>1E-3</v>
      </c>
      <c r="AI308" s="913">
        <v>0</v>
      </c>
      <c r="AJ308" s="914">
        <v>1</v>
      </c>
      <c r="AK308" s="914">
        <v>0.1</v>
      </c>
      <c r="AL308" s="914">
        <v>0.01</v>
      </c>
      <c r="AM308" s="914">
        <v>1E-3</v>
      </c>
      <c r="AN308" s="914">
        <v>0.25</v>
      </c>
      <c r="AO308" s="914">
        <v>0.5</v>
      </c>
      <c r="AP308" s="914">
        <v>0.33300000000000002</v>
      </c>
      <c r="AQ308" s="5086"/>
      <c r="AR308" s="104" t="s">
        <v>16</v>
      </c>
      <c r="AS308" s="32" t="str">
        <f>AS292</f>
        <v>E ESPECIAS PARA MORCILLA | | Autor &gt; Guy KRENZE - Eric GODDYN - Arnaud NICOLAS - CEPROC 2002</v>
      </c>
      <c r="AT308" s="33">
        <f>AT292</f>
        <v>408</v>
      </c>
      <c r="AU308" s="32" t="str">
        <f>AU292</f>
        <v>g</v>
      </c>
      <c r="AV308" s="34" t="str">
        <f>AV292</f>
        <v>Receta madre ► Morcilla en 4 versiones</v>
      </c>
      <c r="AW308" s="911">
        <v>1</v>
      </c>
      <c r="AX308" s="912">
        <v>1E-3</v>
      </c>
      <c r="AY308" s="913">
        <v>0</v>
      </c>
      <c r="AZ308" s="914">
        <v>1</v>
      </c>
      <c r="BA308" s="914">
        <v>0.1</v>
      </c>
      <c r="BB308" s="914">
        <v>0.01</v>
      </c>
      <c r="BC308" s="914">
        <v>1E-3</v>
      </c>
      <c r="BD308" s="914">
        <v>0.25</v>
      </c>
      <c r="BE308" s="914">
        <v>0.5</v>
      </c>
      <c r="BF308" s="914">
        <v>0.33300000000000002</v>
      </c>
      <c r="BG308" s="5086"/>
      <c r="BH308" s="104"/>
      <c r="BI308" s="32"/>
      <c r="BJ308" s="33"/>
      <c r="BK308" s="32"/>
      <c r="BL308" s="34"/>
      <c r="BM308" s="92"/>
      <c r="BN308" s="108"/>
      <c r="BO308" s="94"/>
      <c r="BP308" s="95"/>
      <c r="BQ308" s="105"/>
      <c r="BR308" s="5101"/>
      <c r="BS308" s="920"/>
      <c r="BT308" s="1495"/>
      <c r="BU308" s="101"/>
      <c r="BV308" s="1475"/>
      <c r="BW308" s="5086"/>
      <c r="BX308" s="104"/>
      <c r="BY308" s="32"/>
      <c r="BZ308" s="33"/>
      <c r="CA308" s="32"/>
      <c r="CB308" s="34"/>
      <c r="CC308" s="92"/>
      <c r="CD308" s="108"/>
      <c r="CE308" s="94"/>
      <c r="CF308" s="95"/>
      <c r="CG308" s="105"/>
      <c r="CH308" s="5101"/>
      <c r="CI308" s="920"/>
      <c r="CJ308" s="1495"/>
      <c r="CK308" s="101"/>
      <c r="CL308" s="1475"/>
      <c r="CM308" s="5086"/>
      <c r="CN308" s="104"/>
      <c r="CO308" s="32"/>
      <c r="CP308" s="33"/>
      <c r="CQ308" s="32"/>
      <c r="CR308" s="34"/>
      <c r="CS308" s="92"/>
      <c r="CT308" s="108"/>
      <c r="CU308" s="94"/>
      <c r="CV308" s="95"/>
      <c r="CW308" s="105"/>
      <c r="CX308" s="5101"/>
      <c r="CY308" s="920"/>
      <c r="CZ308" s="1495"/>
      <c r="DA308" s="101"/>
      <c r="DB308" s="1475"/>
      <c r="DC308" s="5109"/>
      <c r="DD308" s="5086"/>
      <c r="DF308" s="3">
        <v>1</v>
      </c>
      <c r="EY308" s="172"/>
      <c r="EZ308" s="172"/>
      <c r="FA308" s="172"/>
      <c r="FB308" s="172"/>
      <c r="FC308" s="555"/>
    </row>
    <row r="309" spans="2:159" ht="18.75">
      <c r="B309" s="952" t="str">
        <f t="shared" si="62"/>
        <v>►</v>
      </c>
      <c r="C309" s="993" cm="1">
        <f t="array" ref="C309">SUMPRODUCT(LEN(D309:J309))</f>
        <v>0</v>
      </c>
      <c r="D309" s="167"/>
      <c r="E309" s="172"/>
      <c r="F309" s="172"/>
      <c r="G309" s="172"/>
      <c r="H309" s="172"/>
      <c r="I309" s="172"/>
      <c r="J309" s="173"/>
      <c r="K309"/>
      <c r="L309" s="104" t="s">
        <v>16</v>
      </c>
      <c r="M309" s="32" t="str">
        <f>M292</f>
        <v>É ÉPICES POUR BOUDIN | |  Author &gt; Guy KRENZE - Eric GODDYN - Arnaud NICOLAS - CEPROC 2002</v>
      </c>
      <c r="N309" s="33">
        <f>N292</f>
        <v>408</v>
      </c>
      <c r="O309" s="32" t="str">
        <f>O292</f>
        <v>g</v>
      </c>
      <c r="P309" s="34" t="str">
        <f>P292</f>
        <v>Master recipe ► le Boudin en 4 déclinaisons</v>
      </c>
      <c r="Q309" s="142" t="s">
        <v>145</v>
      </c>
      <c r="R309" s="117" t="s">
        <v>107</v>
      </c>
      <c r="S309" s="141" t="s">
        <v>144</v>
      </c>
      <c r="T309" s="109" t="s">
        <v>150</v>
      </c>
      <c r="U309" s="109" t="s">
        <v>163</v>
      </c>
      <c r="V309" s="109" t="s">
        <v>103</v>
      </c>
      <c r="W309" s="109" t="s">
        <v>162</v>
      </c>
      <c r="X309" s="149" t="s">
        <v>160</v>
      </c>
      <c r="Y309" s="149" t="s">
        <v>117</v>
      </c>
      <c r="Z309" s="1061" t="s">
        <v>1831</v>
      </c>
      <c r="AA309" s="5086"/>
      <c r="AB309" s="104" t="s">
        <v>16</v>
      </c>
      <c r="AC309" s="32" t="str">
        <f>AC292</f>
        <v>S SPICES FOR BLOOD SAUSAGE | |  Author &gt; Guy KRENZE - Eric GODDYN - Arnaud NICOLAS - CEPROC 2002</v>
      </c>
      <c r="AD309" s="33">
        <f>AD292</f>
        <v>408</v>
      </c>
      <c r="AE309" s="32" t="str">
        <f>AE292</f>
        <v>g</v>
      </c>
      <c r="AF309" s="34" t="str">
        <f>AF292</f>
        <v>Master recipe ► Black pudding in 4 variations</v>
      </c>
      <c r="AG309" s="142" t="s">
        <v>1357</v>
      </c>
      <c r="AH309" s="117" t="s">
        <v>1359</v>
      </c>
      <c r="AI309" s="141" t="s">
        <v>144</v>
      </c>
      <c r="AJ309" s="109" t="s">
        <v>1362</v>
      </c>
      <c r="AK309" s="109" t="s">
        <v>1371</v>
      </c>
      <c r="AL309" s="109" t="s">
        <v>1372</v>
      </c>
      <c r="AM309" s="109" t="s">
        <v>1370</v>
      </c>
      <c r="AN309" s="149" t="s">
        <v>1368</v>
      </c>
      <c r="AO309" s="149" t="s">
        <v>1367</v>
      </c>
      <c r="AP309" s="1061" t="s">
        <v>1832</v>
      </c>
      <c r="AQ309" s="5086"/>
      <c r="AR309" s="104" t="s">
        <v>16</v>
      </c>
      <c r="AS309" s="32" t="str">
        <f>AS292</f>
        <v>E ESPECIAS PARA MORCILLA | | Autor &gt; Guy KRENZE - Eric GODDYN - Arnaud NICOLAS - CEPROC 2002</v>
      </c>
      <c r="AT309" s="33">
        <f>AT292</f>
        <v>408</v>
      </c>
      <c r="AU309" s="32" t="str">
        <f>AU292</f>
        <v>g</v>
      </c>
      <c r="AV309" s="34" t="str">
        <f>AV292</f>
        <v>Receta madre ► Morcilla en 4 versiones</v>
      </c>
      <c r="AW309" s="142" t="s">
        <v>145</v>
      </c>
      <c r="AX309" s="117" t="s">
        <v>107</v>
      </c>
      <c r="AY309" s="141" t="s">
        <v>144</v>
      </c>
      <c r="AZ309" s="143" t="s">
        <v>1343</v>
      </c>
      <c r="BA309" s="109" t="s">
        <v>1354</v>
      </c>
      <c r="BB309" s="109" t="s">
        <v>1355</v>
      </c>
      <c r="BC309" s="109" t="s">
        <v>1353</v>
      </c>
      <c r="BD309" s="149" t="s">
        <v>1351</v>
      </c>
      <c r="BE309" s="123" t="s">
        <v>1350</v>
      </c>
      <c r="BF309" s="1061" t="s">
        <v>1833</v>
      </c>
      <c r="BG309" s="5086"/>
      <c r="BH309" s="104"/>
      <c r="BI309" s="32"/>
      <c r="BJ309" s="33"/>
      <c r="BK309" s="32"/>
      <c r="BL309" s="34"/>
      <c r="BM309" s="92"/>
      <c r="BN309" s="108"/>
      <c r="BO309" s="94"/>
      <c r="BP309" s="95"/>
      <c r="BQ309" s="105"/>
      <c r="BR309" s="5101"/>
      <c r="BS309" s="920"/>
      <c r="BT309" s="1495"/>
      <c r="BU309" s="101"/>
      <c r="BV309" s="1475"/>
      <c r="BW309" s="5086"/>
      <c r="BX309" s="104"/>
      <c r="BY309" s="32"/>
      <c r="BZ309" s="33"/>
      <c r="CA309" s="32"/>
      <c r="CB309" s="34"/>
      <c r="CC309" s="92"/>
      <c r="CD309" s="108"/>
      <c r="CE309" s="94"/>
      <c r="CF309" s="95"/>
      <c r="CG309" s="105"/>
      <c r="CH309" s="5101"/>
      <c r="CI309" s="920"/>
      <c r="CJ309" s="1495"/>
      <c r="CK309" s="101"/>
      <c r="CL309" s="1475"/>
      <c r="CM309" s="5086"/>
      <c r="CN309" s="104"/>
      <c r="CO309" s="32"/>
      <c r="CP309" s="33"/>
      <c r="CQ309" s="32"/>
      <c r="CR309" s="34"/>
      <c r="CS309" s="92"/>
      <c r="CT309" s="108"/>
      <c r="CU309" s="94"/>
      <c r="CV309" s="95"/>
      <c r="CW309" s="105"/>
      <c r="CX309" s="5101"/>
      <c r="CY309" s="920"/>
      <c r="CZ309" s="1495"/>
      <c r="DA309" s="101"/>
      <c r="DB309" s="1475"/>
      <c r="DC309" s="5109"/>
      <c r="DD309" s="5086"/>
      <c r="DF309" s="3">
        <v>1</v>
      </c>
      <c r="EY309" s="172"/>
      <c r="EZ309" s="172"/>
      <c r="FA309" s="172"/>
      <c r="FB309" s="172"/>
      <c r="FC309" s="555"/>
    </row>
    <row r="310" spans="2:159" ht="18.75">
      <c r="B310" s="952" t="str">
        <f t="shared" si="62"/>
        <v>►</v>
      </c>
      <c r="C310" s="993" cm="1">
        <f t="array" ref="C310">SUMPRODUCT(LEN(D310:J310))</f>
        <v>0</v>
      </c>
      <c r="D310" s="167"/>
      <c r="E310" s="172"/>
      <c r="F310" s="172"/>
      <c r="G310" s="172"/>
      <c r="H310" s="172"/>
      <c r="I310" s="172"/>
      <c r="J310" s="173"/>
      <c r="K310"/>
      <c r="L310" s="104" t="s">
        <v>16</v>
      </c>
      <c r="M310" s="32" t="str">
        <f>M292</f>
        <v>É ÉPICES POUR BOUDIN | |  Author &gt; Guy KRENZE - Eric GODDYN - Arnaud NICOLAS - CEPROC 2002</v>
      </c>
      <c r="N310" s="33">
        <f>N292</f>
        <v>408</v>
      </c>
      <c r="O310" s="32" t="str">
        <f>O292</f>
        <v>g</v>
      </c>
      <c r="P310" s="34" t="str">
        <f>P292</f>
        <v>Master recipe ► le Boudin en 4 déclinaisons</v>
      </c>
      <c r="Q310" s="912">
        <v>0.25</v>
      </c>
      <c r="R310" s="912">
        <v>0.5</v>
      </c>
      <c r="S310" s="913">
        <v>0</v>
      </c>
      <c r="T310" s="914">
        <v>0.2</v>
      </c>
      <c r="U310" s="914">
        <v>0.1</v>
      </c>
      <c r="V310" s="914">
        <v>0.22500000000000001</v>
      </c>
      <c r="W310" s="914">
        <v>1.4999999999999999E-2</v>
      </c>
      <c r="X310" s="914">
        <v>4.9299999999999995E-3</v>
      </c>
      <c r="Y310" s="914">
        <v>0.35</v>
      </c>
      <c r="Z310" s="915">
        <v>0.25</v>
      </c>
      <c r="AA310" s="5086"/>
      <c r="AB310" s="104" t="s">
        <v>16</v>
      </c>
      <c r="AC310" s="32" t="str">
        <f>AC292</f>
        <v>S SPICES FOR BLOOD SAUSAGE | |  Author &gt; Guy KRENZE - Eric GODDYN - Arnaud NICOLAS - CEPROC 2002</v>
      </c>
      <c r="AD310" s="33">
        <f>AD292</f>
        <v>408</v>
      </c>
      <c r="AE310" s="32" t="str">
        <f>AE292</f>
        <v>g</v>
      </c>
      <c r="AF310" s="34" t="str">
        <f>AF292</f>
        <v>Master recipe ► Black pudding in 4 variations</v>
      </c>
      <c r="AG310" s="912">
        <v>0.25</v>
      </c>
      <c r="AH310" s="912">
        <v>0.5</v>
      </c>
      <c r="AI310" s="913">
        <v>0</v>
      </c>
      <c r="AJ310" s="914">
        <v>0.2</v>
      </c>
      <c r="AK310" s="914">
        <v>0.1</v>
      </c>
      <c r="AL310" s="914">
        <v>0.22500000000000001</v>
      </c>
      <c r="AM310" s="914">
        <v>1.4999999999999999E-2</v>
      </c>
      <c r="AN310" s="914">
        <v>4.9299999999999995E-3</v>
      </c>
      <c r="AO310" s="914">
        <v>0.35</v>
      </c>
      <c r="AP310" s="915">
        <v>0.25</v>
      </c>
      <c r="AQ310" s="5086"/>
      <c r="AR310" s="104" t="s">
        <v>16</v>
      </c>
      <c r="AS310" s="32" t="str">
        <f>AS292</f>
        <v>E ESPECIAS PARA MORCILLA | | Autor &gt; Guy KRENZE - Eric GODDYN - Arnaud NICOLAS - CEPROC 2002</v>
      </c>
      <c r="AT310" s="33">
        <f>AT292</f>
        <v>408</v>
      </c>
      <c r="AU310" s="32" t="str">
        <f>AU292</f>
        <v>g</v>
      </c>
      <c r="AV310" s="34" t="str">
        <f>AV292</f>
        <v>Receta madre ► Morcilla en 4 versiones</v>
      </c>
      <c r="AW310" s="912">
        <v>0.25</v>
      </c>
      <c r="AX310" s="912">
        <v>0.5</v>
      </c>
      <c r="AY310" s="913">
        <v>0</v>
      </c>
      <c r="AZ310" s="914">
        <v>0.2</v>
      </c>
      <c r="BA310" s="914">
        <v>0.1</v>
      </c>
      <c r="BB310" s="914">
        <v>0.22500000000000001</v>
      </c>
      <c r="BC310" s="914">
        <v>1.4999999999999999E-2</v>
      </c>
      <c r="BD310" s="914">
        <v>4.9299999999999995E-3</v>
      </c>
      <c r="BE310" s="914">
        <v>0.35</v>
      </c>
      <c r="BF310" s="915">
        <v>0.25</v>
      </c>
      <c r="BG310" s="5086"/>
      <c r="BH310" s="104"/>
      <c r="BI310" s="32"/>
      <c r="BJ310" s="33"/>
      <c r="BK310" s="32"/>
      <c r="BL310" s="34"/>
      <c r="BM310" s="92"/>
      <c r="BN310" s="108"/>
      <c r="BO310" s="94"/>
      <c r="BP310" s="95"/>
      <c r="BQ310" s="105"/>
      <c r="BR310" s="5101"/>
      <c r="BS310" s="920"/>
      <c r="BT310" s="1495"/>
      <c r="BU310" s="101"/>
      <c r="BV310" s="1475"/>
      <c r="BW310" s="5086"/>
      <c r="BX310" s="104"/>
      <c r="BY310" s="32"/>
      <c r="BZ310" s="33"/>
      <c r="CA310" s="32"/>
      <c r="CB310" s="34"/>
      <c r="CC310" s="92"/>
      <c r="CD310" s="108"/>
      <c r="CE310" s="94"/>
      <c r="CF310" s="95"/>
      <c r="CG310" s="105"/>
      <c r="CH310" s="5101"/>
      <c r="CI310" s="920"/>
      <c r="CJ310" s="1495"/>
      <c r="CK310" s="101"/>
      <c r="CL310" s="1475"/>
      <c r="CM310" s="5086"/>
      <c r="CN310" s="104"/>
      <c r="CO310" s="32"/>
      <c r="CP310" s="33"/>
      <c r="CQ310" s="32"/>
      <c r="CR310" s="34"/>
      <c r="CS310" s="92"/>
      <c r="CT310" s="108"/>
      <c r="CU310" s="94"/>
      <c r="CV310" s="95"/>
      <c r="CW310" s="105"/>
      <c r="CX310" s="5101"/>
      <c r="CY310" s="920"/>
      <c r="CZ310" s="1495"/>
      <c r="DA310" s="101"/>
      <c r="DB310" s="1475"/>
      <c r="DC310" s="5109"/>
      <c r="DD310" s="5086"/>
      <c r="DF310" s="3">
        <v>1</v>
      </c>
      <c r="EY310" s="172"/>
      <c r="EZ310" s="172"/>
      <c r="FA310" s="172"/>
      <c r="FB310" s="172"/>
      <c r="FC310" s="555"/>
    </row>
    <row r="311" spans="2:159" ht="18.75">
      <c r="B311" s="952" t="str">
        <f t="shared" si="62"/>
        <v>►</v>
      </c>
      <c r="C311" s="993" cm="1">
        <f t="array" ref="C311">SUMPRODUCT(LEN(D311:J311))</f>
        <v>0</v>
      </c>
      <c r="D311" s="167"/>
      <c r="E311" s="172"/>
      <c r="F311" s="172"/>
      <c r="G311" s="172"/>
      <c r="H311" s="172"/>
      <c r="I311" s="172"/>
      <c r="J311" s="173"/>
      <c r="K311"/>
      <c r="L311" s="104" t="s">
        <v>16</v>
      </c>
      <c r="M311" s="32" t="str">
        <f>M292</f>
        <v>É ÉPICES POUR BOUDIN | |  Author &gt; Guy KRENZE - Eric GODDYN - Arnaud NICOLAS - CEPROC 2002</v>
      </c>
      <c r="N311" s="33">
        <f>N292</f>
        <v>408</v>
      </c>
      <c r="O311" s="32" t="str">
        <f>O292</f>
        <v>g</v>
      </c>
      <c r="P311" s="34" t="str">
        <f>P292</f>
        <v>Master recipe ► le Boudin en 4 déclinaisons</v>
      </c>
      <c r="Q311" s="154" t="str">
        <f>Q293</f>
        <v>Col.6</v>
      </c>
      <c r="R311" s="154" t="str">
        <f>R293</f>
        <v>Col.7</v>
      </c>
      <c r="S311" s="155" t="s">
        <v>3295</v>
      </c>
      <c r="T311" s="155"/>
      <c r="U311" s="155"/>
      <c r="V311" s="155"/>
      <c r="W311" s="155"/>
      <c r="X311" s="155"/>
      <c r="Y311" s="155"/>
      <c r="Z311" s="1477"/>
      <c r="AA311" s="5086"/>
      <c r="AB311" s="104" t="s">
        <v>16</v>
      </c>
      <c r="AC311" s="32" t="str">
        <f>AC292</f>
        <v>S SPICES FOR BLOOD SAUSAGE | |  Author &gt; Guy KRENZE - Eric GODDYN - Arnaud NICOLAS - CEPROC 2002</v>
      </c>
      <c r="AD311" s="33">
        <f>AD292</f>
        <v>408</v>
      </c>
      <c r="AE311" s="32" t="str">
        <f>AE292</f>
        <v>g</v>
      </c>
      <c r="AF311" s="34" t="str">
        <f>AF292</f>
        <v>Master recipe ► Black pudding in 4 variations</v>
      </c>
      <c r="AG311" s="154" t="str">
        <f>AG293</f>
        <v>Col.6</v>
      </c>
      <c r="AH311" s="154" t="str">
        <f>AH293</f>
        <v>Col.7</v>
      </c>
      <c r="AI311" s="155" t="s">
        <v>3295</v>
      </c>
      <c r="AJ311" s="155"/>
      <c r="AK311" s="155"/>
      <c r="AL311" s="155"/>
      <c r="AM311" s="155"/>
      <c r="AN311" s="155"/>
      <c r="AO311" s="155"/>
      <c r="AP311" s="1477"/>
      <c r="AQ311" s="5086"/>
      <c r="AR311" s="104" t="s">
        <v>16</v>
      </c>
      <c r="AS311" s="32" t="str">
        <f>AS292</f>
        <v>E ESPECIAS PARA MORCILLA | | Autor &gt; Guy KRENZE - Eric GODDYN - Arnaud NICOLAS - CEPROC 2002</v>
      </c>
      <c r="AT311" s="33">
        <f>AT292</f>
        <v>408</v>
      </c>
      <c r="AU311" s="32" t="str">
        <f>AU292</f>
        <v>g</v>
      </c>
      <c r="AV311" s="34" t="str">
        <f>AV292</f>
        <v>Receta madre ► Morcilla en 4 versiones</v>
      </c>
      <c r="AW311" s="154" t="str">
        <f>AW293</f>
        <v>Col.6</v>
      </c>
      <c r="AX311" s="154" t="str">
        <f>AX293</f>
        <v>Col.7</v>
      </c>
      <c r="AY311" s="155" t="s">
        <v>3298</v>
      </c>
      <c r="AZ311" s="155"/>
      <c r="BA311" s="155"/>
      <c r="BB311" s="155"/>
      <c r="BC311" s="155"/>
      <c r="BD311" s="155"/>
      <c r="BE311" s="155"/>
      <c r="BF311" s="1477"/>
      <c r="BG311" s="5086"/>
      <c r="BH311" s="104"/>
      <c r="BI311" s="32"/>
      <c r="BJ311" s="33"/>
      <c r="BK311" s="32"/>
      <c r="BL311" s="34"/>
      <c r="BM311" s="92"/>
      <c r="BN311" s="108"/>
      <c r="BO311" s="94"/>
      <c r="BP311" s="95"/>
      <c r="BQ311" s="105"/>
      <c r="BR311" s="5101"/>
      <c r="BS311" s="920"/>
      <c r="BT311" s="1495"/>
      <c r="BU311" s="101"/>
      <c r="BV311" s="1475"/>
      <c r="BW311" s="5086"/>
      <c r="BX311" s="104"/>
      <c r="BY311" s="32"/>
      <c r="BZ311" s="33"/>
      <c r="CA311" s="32"/>
      <c r="CB311" s="34"/>
      <c r="CC311" s="92"/>
      <c r="CD311" s="108"/>
      <c r="CE311" s="94"/>
      <c r="CF311" s="95"/>
      <c r="CG311" s="105"/>
      <c r="CH311" s="5101"/>
      <c r="CI311" s="920"/>
      <c r="CJ311" s="1495"/>
      <c r="CK311" s="101"/>
      <c r="CL311" s="1475"/>
      <c r="CM311" s="5086"/>
      <c r="CN311" s="104"/>
      <c r="CO311" s="32"/>
      <c r="CP311" s="33"/>
      <c r="CQ311" s="32"/>
      <c r="CR311" s="34"/>
      <c r="CS311" s="92"/>
      <c r="CT311" s="108"/>
      <c r="CU311" s="94"/>
      <c r="CV311" s="95"/>
      <c r="CW311" s="105"/>
      <c r="CX311" s="5101"/>
      <c r="CY311" s="920"/>
      <c r="CZ311" s="1495"/>
      <c r="DA311" s="101"/>
      <c r="DB311" s="1475"/>
      <c r="DC311" s="5109"/>
      <c r="DD311" s="5086"/>
      <c r="DF311" s="3">
        <v>1</v>
      </c>
      <c r="EY311" s="172"/>
      <c r="EZ311" s="172"/>
      <c r="FA311" s="172"/>
      <c r="FB311" s="172"/>
      <c r="FC311" s="555"/>
    </row>
    <row r="312" spans="2:159" ht="23.25">
      <c r="B312" s="952" t="str">
        <f t="shared" si="62"/>
        <v>►</v>
      </c>
      <c r="C312" s="993" cm="1">
        <f t="array" ref="C312">SUMPRODUCT(LEN(D312:J312))</f>
        <v>0</v>
      </c>
      <c r="D312" s="167"/>
      <c r="E312" s="172"/>
      <c r="F312" s="172"/>
      <c r="G312" s="172"/>
      <c r="H312" s="172"/>
      <c r="I312" s="172"/>
      <c r="J312" s="173"/>
      <c r="K312"/>
      <c r="L312" s="104" t="s">
        <v>16</v>
      </c>
      <c r="M312" s="157" t="str">
        <f>M292</f>
        <v>É ÉPICES POUR BOUDIN | |  Author &gt; Guy KRENZE - Eric GODDYN - Arnaud NICOLAS - CEPROC 2002</v>
      </c>
      <c r="N312" s="157">
        <f>N292</f>
        <v>408</v>
      </c>
      <c r="O312" s="158" t="str">
        <f>O292</f>
        <v>g</v>
      </c>
      <c r="P312" s="159" t="str">
        <f>P292</f>
        <v>Master recipe ► le Boudin en 4 déclinaisons</v>
      </c>
      <c r="Q312" s="160" t="s">
        <v>167</v>
      </c>
      <c r="R312" s="1483" t="s">
        <v>3328</v>
      </c>
      <c r="S312" s="162"/>
      <c r="T312" s="162"/>
      <c r="U312" s="172"/>
      <c r="V312" s="172"/>
      <c r="W312" s="172"/>
      <c r="X312" s="172"/>
      <c r="Y312" s="156" t="s">
        <v>165</v>
      </c>
      <c r="Z312" s="1484" t="s">
        <v>3276</v>
      </c>
      <c r="AA312" s="5086"/>
      <c r="AB312" s="104" t="s">
        <v>16</v>
      </c>
      <c r="AC312" s="157" t="str">
        <f>AC292</f>
        <v>S SPICES FOR BLOOD SAUSAGE | |  Author &gt; Guy KRENZE - Eric GODDYN - Arnaud NICOLAS - CEPROC 2002</v>
      </c>
      <c r="AD312" s="157">
        <f>AD292</f>
        <v>408</v>
      </c>
      <c r="AE312" s="158" t="str">
        <f>AE292</f>
        <v>g</v>
      </c>
      <c r="AF312" s="159" t="str">
        <f>AF292</f>
        <v>Master recipe ► Black pudding in 4 variations</v>
      </c>
      <c r="AG312" s="232" t="s">
        <v>752</v>
      </c>
      <c r="AH312" s="161" t="s">
        <v>3327</v>
      </c>
      <c r="AI312" s="162"/>
      <c r="AJ312" s="162"/>
      <c r="AK312" s="172"/>
      <c r="AL312" s="172"/>
      <c r="AM312" s="172"/>
      <c r="AN312" s="172"/>
      <c r="AO312" s="156" t="s">
        <v>894</v>
      </c>
      <c r="AP312" s="1484" t="s">
        <v>3276</v>
      </c>
      <c r="AQ312" s="5086"/>
      <c r="AR312" s="104" t="s">
        <v>16</v>
      </c>
      <c r="AS312" s="157" t="str">
        <f>AS292</f>
        <v>E ESPECIAS PARA MORCILLA | | Autor &gt; Guy KRENZE - Eric GODDYN - Arnaud NICOLAS - CEPROC 2002</v>
      </c>
      <c r="AT312" s="157">
        <f>AT292</f>
        <v>408</v>
      </c>
      <c r="AU312" s="158" t="str">
        <f>AU292</f>
        <v>g</v>
      </c>
      <c r="AV312" s="159" t="str">
        <f>AV292</f>
        <v>Receta madre ► Morcilla en 4 versiones</v>
      </c>
      <c r="AW312" s="232" t="s">
        <v>754</v>
      </c>
      <c r="AX312" s="161" t="s">
        <v>3325</v>
      </c>
      <c r="AY312" s="162"/>
      <c r="AZ312" s="162"/>
      <c r="BA312" s="172"/>
      <c r="BB312" s="172"/>
      <c r="BC312" s="172"/>
      <c r="BD312" s="172"/>
      <c r="BE312" s="905" t="s">
        <v>908</v>
      </c>
      <c r="BF312" s="1484" t="s">
        <v>3276</v>
      </c>
      <c r="BG312" s="5086"/>
      <c r="BH312" s="104"/>
      <c r="BI312" s="32"/>
      <c r="BJ312" s="33"/>
      <c r="BK312" s="32"/>
      <c r="BL312" s="34"/>
      <c r="BM312" s="92"/>
      <c r="BN312" s="108"/>
      <c r="BO312" s="94"/>
      <c r="BP312" s="95"/>
      <c r="BQ312" s="105"/>
      <c r="BR312" s="5101"/>
      <c r="BS312" s="920"/>
      <c r="BT312" s="1495"/>
      <c r="BU312" s="101"/>
      <c r="BV312" s="1475"/>
      <c r="BW312" s="5086"/>
      <c r="BX312" s="104"/>
      <c r="BY312" s="32"/>
      <c r="BZ312" s="33"/>
      <c r="CA312" s="32"/>
      <c r="CB312" s="34"/>
      <c r="CC312" s="92"/>
      <c r="CD312" s="108"/>
      <c r="CE312" s="94"/>
      <c r="CF312" s="95"/>
      <c r="CG312" s="105"/>
      <c r="CH312" s="5101"/>
      <c r="CI312" s="920"/>
      <c r="CJ312" s="1495"/>
      <c r="CK312" s="101"/>
      <c r="CL312" s="1475"/>
      <c r="CM312" s="5086"/>
      <c r="CN312" s="104"/>
      <c r="CO312" s="32"/>
      <c r="CP312" s="33"/>
      <c r="CQ312" s="32"/>
      <c r="CR312" s="34"/>
      <c r="CS312" s="92"/>
      <c r="CT312" s="108"/>
      <c r="CU312" s="94"/>
      <c r="CV312" s="95"/>
      <c r="CW312" s="105"/>
      <c r="CX312" s="5101"/>
      <c r="CY312" s="920"/>
      <c r="CZ312" s="1495"/>
      <c r="DA312" s="101"/>
      <c r="DB312" s="1475"/>
      <c r="DC312" s="5109"/>
      <c r="DD312" s="5086"/>
      <c r="DF312" s="3">
        <v>1</v>
      </c>
      <c r="EY312" s="172"/>
      <c r="EZ312" s="172"/>
      <c r="FA312" s="172"/>
      <c r="FB312" s="172"/>
      <c r="FC312" s="555"/>
    </row>
    <row r="313" spans="2:159" ht="23.25">
      <c r="B313" s="952" t="str">
        <f t="shared" si="62"/>
        <v>►</v>
      </c>
      <c r="C313" s="993" cm="1">
        <f t="array" ref="C313">SUMPRODUCT(LEN(D313:J313))</f>
        <v>0</v>
      </c>
      <c r="D313" s="167"/>
      <c r="E313" s="172"/>
      <c r="F313" s="172"/>
      <c r="G313" s="172"/>
      <c r="H313" s="172"/>
      <c r="I313" s="172"/>
      <c r="J313" s="173"/>
      <c r="K313"/>
      <c r="L313" s="104" t="s">
        <v>16</v>
      </c>
      <c r="M313" s="157" t="str">
        <f>M292</f>
        <v>É ÉPICES POUR BOUDIN | |  Author &gt; Guy KRENZE - Eric GODDYN - Arnaud NICOLAS - CEPROC 2002</v>
      </c>
      <c r="N313" s="157">
        <f>N292</f>
        <v>408</v>
      </c>
      <c r="O313" s="158" t="str">
        <f>O292</f>
        <v>g</v>
      </c>
      <c r="P313" s="159" t="str">
        <f>P292</f>
        <v>Master recipe ► le Boudin en 4 déclinaisons</v>
      </c>
      <c r="Q313" s="172"/>
      <c r="R313" s="172"/>
      <c r="S313" s="172"/>
      <c r="T313" s="172"/>
      <c r="U313" s="172"/>
      <c r="V313" s="172"/>
      <c r="W313" s="172"/>
      <c r="X313" s="172"/>
      <c r="Y313" s="1474" t="s">
        <v>168</v>
      </c>
      <c r="Z313" s="1482" t="s">
        <v>668</v>
      </c>
      <c r="AA313" s="5086"/>
      <c r="AB313" s="104" t="s">
        <v>16</v>
      </c>
      <c r="AC313" s="157" t="str">
        <f>AC292</f>
        <v>S SPICES FOR BLOOD SAUSAGE | |  Author &gt; Guy KRENZE - Eric GODDYN - Arnaud NICOLAS - CEPROC 2002</v>
      </c>
      <c r="AD313" s="157">
        <f>AD292</f>
        <v>408</v>
      </c>
      <c r="AE313" s="158" t="str">
        <f>AE292</f>
        <v>g</v>
      </c>
      <c r="AF313" s="159" t="str">
        <f>AF292</f>
        <v>Master recipe ► Black pudding in 4 variations</v>
      </c>
      <c r="AG313" s="172"/>
      <c r="AH313" s="172"/>
      <c r="AI313" s="172"/>
      <c r="AJ313" s="172"/>
      <c r="AK313" s="172"/>
      <c r="AL313" s="172"/>
      <c r="AM313" s="172"/>
      <c r="AN313" s="172"/>
      <c r="AO313" s="1474" t="s">
        <v>895</v>
      </c>
      <c r="AP313" s="1482" t="s">
        <v>668</v>
      </c>
      <c r="AQ313" s="5086"/>
      <c r="AR313" s="104" t="s">
        <v>16</v>
      </c>
      <c r="AS313" s="157" t="str">
        <f>AS292</f>
        <v>E ESPECIAS PARA MORCILLA | | Autor &gt; Guy KRENZE - Eric GODDYN - Arnaud NICOLAS - CEPROC 2002</v>
      </c>
      <c r="AT313" s="157">
        <f>AT292</f>
        <v>408</v>
      </c>
      <c r="AU313" s="158" t="str">
        <f>AU292</f>
        <v>g</v>
      </c>
      <c r="AV313" s="159" t="str">
        <f>AV292</f>
        <v>Receta madre ► Morcilla en 4 versiones</v>
      </c>
      <c r="AW313" s="172"/>
      <c r="AX313" s="172"/>
      <c r="AY313" s="172"/>
      <c r="AZ313" s="172"/>
      <c r="BA313" s="172"/>
      <c r="BB313" s="172"/>
      <c r="BC313" s="172"/>
      <c r="BD313" s="172"/>
      <c r="BE313" s="1474" t="s">
        <v>909</v>
      </c>
      <c r="BF313" s="1482" t="s">
        <v>668</v>
      </c>
      <c r="BG313" s="5086"/>
      <c r="BH313" s="104"/>
      <c r="BI313" s="32"/>
      <c r="BJ313" s="33"/>
      <c r="BK313" s="32"/>
      <c r="BL313" s="34"/>
      <c r="BM313" s="92"/>
      <c r="BN313" s="108"/>
      <c r="BO313" s="94"/>
      <c r="BP313" s="95"/>
      <c r="BQ313" s="105"/>
      <c r="BR313" s="5101"/>
      <c r="BS313" s="920"/>
      <c r="BT313" s="1495"/>
      <c r="BU313" s="101"/>
      <c r="BV313" s="1475"/>
      <c r="BW313" s="5086"/>
      <c r="BX313" s="104"/>
      <c r="BY313" s="32"/>
      <c r="BZ313" s="33"/>
      <c r="CA313" s="32"/>
      <c r="CB313" s="34"/>
      <c r="CC313" s="92"/>
      <c r="CD313" s="108"/>
      <c r="CE313" s="94"/>
      <c r="CF313" s="95"/>
      <c r="CG313" s="105"/>
      <c r="CH313" s="5101"/>
      <c r="CI313" s="920"/>
      <c r="CJ313" s="1495"/>
      <c r="CK313" s="101"/>
      <c r="CL313" s="1475"/>
      <c r="CM313" s="5086"/>
      <c r="CN313" s="104"/>
      <c r="CO313" s="32"/>
      <c r="CP313" s="33"/>
      <c r="CQ313" s="32"/>
      <c r="CR313" s="34"/>
      <c r="CS313" s="92"/>
      <c r="CT313" s="108"/>
      <c r="CU313" s="94"/>
      <c r="CV313" s="95"/>
      <c r="CW313" s="105"/>
      <c r="CX313" s="5101"/>
      <c r="CY313" s="920"/>
      <c r="CZ313" s="1495"/>
      <c r="DA313" s="101"/>
      <c r="DB313" s="1475"/>
      <c r="DC313" s="5109"/>
      <c r="DD313" s="5086"/>
      <c r="DF313" s="3">
        <v>1</v>
      </c>
      <c r="EY313" s="172"/>
      <c r="EZ313" s="172"/>
      <c r="FA313" s="172"/>
      <c r="FB313" s="172"/>
      <c r="FC313" s="555"/>
    </row>
    <row r="314" spans="2:159" ht="18.75">
      <c r="B314" s="952" t="str">
        <f t="shared" si="62"/>
        <v>►</v>
      </c>
      <c r="C314" s="993" cm="1">
        <f t="array" ref="C314">SUMPRODUCT(LEN(D314:J314))</f>
        <v>0</v>
      </c>
      <c r="D314" s="167"/>
      <c r="E314" s="172"/>
      <c r="F314" s="172"/>
      <c r="G314" s="172"/>
      <c r="H314" s="172"/>
      <c r="I314" s="172"/>
      <c r="J314" s="173"/>
      <c r="K314"/>
      <c r="L314" s="104" t="s">
        <v>16</v>
      </c>
      <c r="M314" s="157" t="str">
        <f>M292</f>
        <v>É ÉPICES POUR BOUDIN | |  Author &gt; Guy KRENZE - Eric GODDYN - Arnaud NICOLAS - CEPROC 2002</v>
      </c>
      <c r="N314" s="157">
        <f>N292</f>
        <v>408</v>
      </c>
      <c r="O314" s="158" t="str">
        <f>O292</f>
        <v>g</v>
      </c>
      <c r="P314" s="159" t="str">
        <f>P292</f>
        <v>Master recipe ► le Boudin en 4 déclinaisons</v>
      </c>
      <c r="Q314" s="172" t="s">
        <v>13071</v>
      </c>
      <c r="R314" s="172"/>
      <c r="S314" s="172"/>
      <c r="T314" s="172"/>
      <c r="U314" s="172"/>
      <c r="V314" s="172"/>
      <c r="W314" s="172"/>
      <c r="X314" s="172"/>
      <c r="Y314" s="172"/>
      <c r="Z314" s="555"/>
      <c r="AA314" s="5086"/>
      <c r="AB314" s="104" t="s">
        <v>16</v>
      </c>
      <c r="AC314" s="157" t="str">
        <f>AC292</f>
        <v>S SPICES FOR BLOOD SAUSAGE | |  Author &gt; Guy KRENZE - Eric GODDYN - Arnaud NICOLAS - CEPROC 2002</v>
      </c>
      <c r="AD314" s="157">
        <f>AD292</f>
        <v>408</v>
      </c>
      <c r="AE314" s="158" t="str">
        <f>AE292</f>
        <v>g</v>
      </c>
      <c r="AF314" s="159" t="str">
        <f>AF292</f>
        <v>Master recipe ► Black pudding in 4 variations</v>
      </c>
      <c r="AG314" s="172" t="s">
        <v>13253</v>
      </c>
      <c r="AH314" s="172"/>
      <c r="AI314" s="172"/>
      <c r="AJ314" s="172"/>
      <c r="AK314" s="172"/>
      <c r="AL314" s="172"/>
      <c r="AM314" s="172"/>
      <c r="AN314" s="172"/>
      <c r="AO314" s="172"/>
      <c r="AP314" s="555"/>
      <c r="AQ314" s="5086"/>
      <c r="AR314" s="104" t="s">
        <v>16</v>
      </c>
      <c r="AS314" s="157" t="str">
        <f>AS292</f>
        <v>E ESPECIAS PARA MORCILLA | | Autor &gt; Guy KRENZE - Eric GODDYN - Arnaud NICOLAS - CEPROC 2002</v>
      </c>
      <c r="AT314" s="157">
        <f>AT292</f>
        <v>408</v>
      </c>
      <c r="AU314" s="158" t="str">
        <f>AU292</f>
        <v>g</v>
      </c>
      <c r="AV314" s="159" t="str">
        <f>AV292</f>
        <v>Receta madre ► Morcilla en 4 versiones</v>
      </c>
      <c r="AW314" s="172" t="s">
        <v>13245</v>
      </c>
      <c r="AX314" s="172"/>
      <c r="AY314" s="172"/>
      <c r="AZ314" s="172"/>
      <c r="BA314" s="172"/>
      <c r="BB314" s="172"/>
      <c r="BC314" s="172"/>
      <c r="BD314" s="172"/>
      <c r="BE314" s="172"/>
      <c r="BF314" s="555"/>
      <c r="BG314" s="5086"/>
      <c r="BH314" s="104"/>
      <c r="BI314" s="32"/>
      <c r="BJ314" s="33"/>
      <c r="BK314" s="32"/>
      <c r="BL314" s="34"/>
      <c r="BM314" s="92"/>
      <c r="BN314" s="108"/>
      <c r="BO314" s="94"/>
      <c r="BP314" s="95"/>
      <c r="BQ314" s="105"/>
      <c r="BR314" s="5101"/>
      <c r="BS314" s="920"/>
      <c r="BT314" s="1495"/>
      <c r="BU314" s="101"/>
      <c r="BV314" s="1475"/>
      <c r="BW314" s="5086"/>
      <c r="BX314" s="104"/>
      <c r="BY314" s="32"/>
      <c r="BZ314" s="33"/>
      <c r="CA314" s="32"/>
      <c r="CB314" s="34"/>
      <c r="CC314" s="92"/>
      <c r="CD314" s="108"/>
      <c r="CE314" s="94"/>
      <c r="CF314" s="95"/>
      <c r="CG314" s="105"/>
      <c r="CH314" s="5101"/>
      <c r="CI314" s="920"/>
      <c r="CJ314" s="1495"/>
      <c r="CK314" s="101"/>
      <c r="CL314" s="1475"/>
      <c r="CM314" s="5086"/>
      <c r="CN314" s="104"/>
      <c r="CO314" s="32"/>
      <c r="CP314" s="33"/>
      <c r="CQ314" s="32"/>
      <c r="CR314" s="34"/>
      <c r="CS314" s="92"/>
      <c r="CT314" s="108"/>
      <c r="CU314" s="94"/>
      <c r="CV314" s="95"/>
      <c r="CW314" s="105"/>
      <c r="CX314" s="5101"/>
      <c r="CY314" s="920"/>
      <c r="CZ314" s="1495"/>
      <c r="DA314" s="101"/>
      <c r="DB314" s="1475"/>
      <c r="DC314" s="5109"/>
      <c r="DD314" s="5086"/>
      <c r="DF314" s="3">
        <v>1</v>
      </c>
      <c r="EY314" s="172"/>
      <c r="EZ314" s="172"/>
      <c r="FA314" s="172"/>
      <c r="FB314" s="172"/>
      <c r="FC314" s="555"/>
    </row>
    <row r="315" spans="2:159" ht="18.75">
      <c r="B315" s="952" t="str">
        <f t="shared" si="62"/>
        <v>►</v>
      </c>
      <c r="C315" s="993" cm="1">
        <f t="array" ref="C315">SUMPRODUCT(LEN(D315:J315))</f>
        <v>0</v>
      </c>
      <c r="D315" s="167"/>
      <c r="E315" s="172"/>
      <c r="F315" s="172"/>
      <c r="G315" s="172"/>
      <c r="H315" s="172"/>
      <c r="I315" s="172"/>
      <c r="J315" s="173"/>
      <c r="K315"/>
      <c r="L315" s="104" t="s">
        <v>16</v>
      </c>
      <c r="M315" s="157" t="str">
        <f>M292</f>
        <v>É ÉPICES POUR BOUDIN | |  Author &gt; Guy KRENZE - Eric GODDYN - Arnaud NICOLAS - CEPROC 2002</v>
      </c>
      <c r="N315" s="157">
        <f>N292</f>
        <v>408</v>
      </c>
      <c r="O315" s="158" t="str">
        <f>O292</f>
        <v>g</v>
      </c>
      <c r="P315" s="159" t="str">
        <f>P292</f>
        <v>Master recipe ► le Boudin en 4 déclinaisons</v>
      </c>
      <c r="Q315" s="172" t="s">
        <v>13072</v>
      </c>
      <c r="R315" s="172"/>
      <c r="S315" s="172"/>
      <c r="T315" s="172"/>
      <c r="U315" s="172"/>
      <c r="V315" s="172"/>
      <c r="W315" s="172"/>
      <c r="X315" s="172"/>
      <c r="Y315" s="170" t="s">
        <v>172</v>
      </c>
      <c r="Z315" s="171">
        <v>3.472222222222222E-3</v>
      </c>
      <c r="AA315" s="5086"/>
      <c r="AB315" s="104" t="s">
        <v>16</v>
      </c>
      <c r="AC315" s="157" t="str">
        <f>AC292</f>
        <v>S SPICES FOR BLOOD SAUSAGE | |  Author &gt; Guy KRENZE - Eric GODDYN - Arnaud NICOLAS - CEPROC 2002</v>
      </c>
      <c r="AD315" s="157">
        <f>AD292</f>
        <v>408</v>
      </c>
      <c r="AE315" s="158" t="str">
        <f>AE292</f>
        <v>g</v>
      </c>
      <c r="AF315" s="159" t="str">
        <f>AF292</f>
        <v>Master recipe ► Black pudding in 4 variations</v>
      </c>
      <c r="AG315" s="172" t="s">
        <v>13254</v>
      </c>
      <c r="AH315" s="172"/>
      <c r="AI315" s="172"/>
      <c r="AJ315" s="172"/>
      <c r="AK315" s="172"/>
      <c r="AL315" s="172"/>
      <c r="AM315" s="172"/>
      <c r="AN315" s="172"/>
      <c r="AO315" s="170" t="s">
        <v>676</v>
      </c>
      <c r="AP315" s="171">
        <v>3.472222222222222E-3</v>
      </c>
      <c r="AQ315" s="5086"/>
      <c r="AR315" s="104" t="s">
        <v>16</v>
      </c>
      <c r="AS315" s="157" t="str">
        <f>AS292</f>
        <v>E ESPECIAS PARA MORCILLA | | Autor &gt; Guy KRENZE - Eric GODDYN - Arnaud NICOLAS - CEPROC 2002</v>
      </c>
      <c r="AT315" s="157">
        <f>AT292</f>
        <v>408</v>
      </c>
      <c r="AU315" s="158" t="str">
        <f>AU292</f>
        <v>g</v>
      </c>
      <c r="AV315" s="159" t="str">
        <f>AV292</f>
        <v>Receta madre ► Morcilla en 4 versiones</v>
      </c>
      <c r="AW315" s="172" t="s">
        <v>13246</v>
      </c>
      <c r="AX315" s="172"/>
      <c r="AY315" s="172"/>
      <c r="AZ315" s="172"/>
      <c r="BA315" s="172"/>
      <c r="BB315" s="172"/>
      <c r="BC315" s="172"/>
      <c r="BD315" s="172"/>
      <c r="BE315" s="170" t="s">
        <v>677</v>
      </c>
      <c r="BF315" s="171">
        <v>3.472222222222222E-3</v>
      </c>
      <c r="BG315" s="5086"/>
      <c r="BH315" s="104"/>
      <c r="BI315" s="32"/>
      <c r="BJ315" s="33"/>
      <c r="BK315" s="32"/>
      <c r="BL315" s="34"/>
      <c r="BM315" s="92"/>
      <c r="BN315" s="108"/>
      <c r="BO315" s="94"/>
      <c r="BP315" s="95"/>
      <c r="BQ315" s="105"/>
      <c r="BR315" s="5101"/>
      <c r="BS315" s="920"/>
      <c r="BT315" s="1495"/>
      <c r="BU315" s="101"/>
      <c r="BV315" s="1475"/>
      <c r="BW315" s="5086"/>
      <c r="BX315" s="104"/>
      <c r="BY315" s="32"/>
      <c r="BZ315" s="33"/>
      <c r="CA315" s="32"/>
      <c r="CB315" s="34"/>
      <c r="CC315" s="92"/>
      <c r="CD315" s="108"/>
      <c r="CE315" s="94"/>
      <c r="CF315" s="95"/>
      <c r="CG315" s="105"/>
      <c r="CH315" s="5101"/>
      <c r="CI315" s="920"/>
      <c r="CJ315" s="1495"/>
      <c r="CK315" s="101"/>
      <c r="CL315" s="1475"/>
      <c r="CM315" s="5086"/>
      <c r="CN315" s="104"/>
      <c r="CO315" s="32"/>
      <c r="CP315" s="33"/>
      <c r="CQ315" s="32"/>
      <c r="CR315" s="34"/>
      <c r="CS315" s="92"/>
      <c r="CT315" s="108"/>
      <c r="CU315" s="94"/>
      <c r="CV315" s="95"/>
      <c r="CW315" s="105"/>
      <c r="CX315" s="5101"/>
      <c r="CY315" s="920"/>
      <c r="CZ315" s="1495"/>
      <c r="DA315" s="101"/>
      <c r="DB315" s="1475"/>
      <c r="DC315" s="5109"/>
      <c r="DD315" s="5086"/>
      <c r="DF315" s="3">
        <v>1</v>
      </c>
      <c r="EY315" s="172"/>
      <c r="EZ315" s="172"/>
      <c r="FA315" s="172"/>
      <c r="FB315" s="172"/>
      <c r="FC315" s="1486" t="s">
        <v>913</v>
      </c>
    </row>
    <row r="316" spans="2:159" ht="18.75">
      <c r="B316" s="952" t="str">
        <f t="shared" si="62"/>
        <v>►</v>
      </c>
      <c r="C316" s="993" cm="1">
        <f t="array" ref="C316">SUMPRODUCT(LEN(D316:J316))</f>
        <v>0</v>
      </c>
      <c r="D316" s="167"/>
      <c r="E316" s="172"/>
      <c r="F316" s="172"/>
      <c r="G316" s="172"/>
      <c r="H316" s="172"/>
      <c r="I316" s="172"/>
      <c r="J316" s="173"/>
      <c r="K316"/>
      <c r="L316" s="104" t="s">
        <v>16</v>
      </c>
      <c r="M316" s="157" t="str">
        <f>M292</f>
        <v>É ÉPICES POUR BOUDIN | |  Author &gt; Guy KRENZE - Eric GODDYN - Arnaud NICOLAS - CEPROC 2002</v>
      </c>
      <c r="N316" s="157">
        <f>N292</f>
        <v>408</v>
      </c>
      <c r="O316" s="158" t="str">
        <f>O292</f>
        <v>g</v>
      </c>
      <c r="P316" s="159" t="str">
        <f>P292</f>
        <v>Master recipe ► le Boudin en 4 déclinaisons</v>
      </c>
      <c r="Q316" s="172" t="s">
        <v>13073</v>
      </c>
      <c r="R316" s="172"/>
      <c r="S316" s="172"/>
      <c r="T316" s="172"/>
      <c r="U316" s="172"/>
      <c r="V316" s="172"/>
      <c r="W316" s="172"/>
      <c r="X316" s="172"/>
      <c r="Y316" s="170" t="s">
        <v>174</v>
      </c>
      <c r="Z316" s="174">
        <v>3.472222222222222E-3</v>
      </c>
      <c r="AA316" s="5086"/>
      <c r="AB316" s="104" t="s">
        <v>16</v>
      </c>
      <c r="AC316" s="157" t="str">
        <f>AC292</f>
        <v>S SPICES FOR BLOOD SAUSAGE | |  Author &gt; Guy KRENZE - Eric GODDYN - Arnaud NICOLAS - CEPROC 2002</v>
      </c>
      <c r="AD316" s="157">
        <f>AD292</f>
        <v>408</v>
      </c>
      <c r="AE316" s="158" t="str">
        <f>AE292</f>
        <v>g</v>
      </c>
      <c r="AF316" s="159" t="str">
        <f>AF292</f>
        <v>Master recipe ► Black pudding in 4 variations</v>
      </c>
      <c r="AG316" s="172" t="s">
        <v>13255</v>
      </c>
      <c r="AH316" s="172"/>
      <c r="AI316" s="172"/>
      <c r="AJ316" s="172"/>
      <c r="AK316" s="172"/>
      <c r="AL316" s="172"/>
      <c r="AM316" s="172"/>
      <c r="AN316" s="172"/>
      <c r="AO316" s="170" t="s">
        <v>682</v>
      </c>
      <c r="AP316" s="174">
        <v>3.472222222222222E-3</v>
      </c>
      <c r="AQ316" s="5086"/>
      <c r="AR316" s="104" t="s">
        <v>16</v>
      </c>
      <c r="AS316" s="157" t="str">
        <f>AS292</f>
        <v>E ESPECIAS PARA MORCILLA | | Autor &gt; Guy KRENZE - Eric GODDYN - Arnaud NICOLAS - CEPROC 2002</v>
      </c>
      <c r="AT316" s="157">
        <f>AT292</f>
        <v>408</v>
      </c>
      <c r="AU316" s="158" t="str">
        <f>AU292</f>
        <v>g</v>
      </c>
      <c r="AV316" s="159" t="str">
        <f>AV292</f>
        <v>Receta madre ► Morcilla en 4 versiones</v>
      </c>
      <c r="AW316" s="172" t="s">
        <v>13247</v>
      </c>
      <c r="AX316" s="172"/>
      <c r="AY316" s="172"/>
      <c r="AZ316" s="172"/>
      <c r="BA316" s="172"/>
      <c r="BB316" s="172"/>
      <c r="BC316" s="172"/>
      <c r="BD316" s="172"/>
      <c r="BE316" s="170" t="s">
        <v>683</v>
      </c>
      <c r="BF316" s="174">
        <v>3.472222222222222E-3</v>
      </c>
      <c r="BG316" s="5086"/>
      <c r="BH316" s="104"/>
      <c r="BI316" s="32"/>
      <c r="BJ316" s="33"/>
      <c r="BK316" s="32"/>
      <c r="BL316" s="34"/>
      <c r="BM316" s="92"/>
      <c r="BN316" s="108"/>
      <c r="BO316" s="94"/>
      <c r="BP316" s="95"/>
      <c r="BQ316" s="105"/>
      <c r="BR316" s="5101"/>
      <c r="BS316" s="920"/>
      <c r="BT316" s="1495"/>
      <c r="BU316" s="101"/>
      <c r="BV316" s="1475"/>
      <c r="BW316" s="5086"/>
      <c r="BX316" s="104"/>
      <c r="BY316" s="32"/>
      <c r="BZ316" s="33"/>
      <c r="CA316" s="32"/>
      <c r="CB316" s="34"/>
      <c r="CC316" s="92"/>
      <c r="CD316" s="108"/>
      <c r="CE316" s="94"/>
      <c r="CF316" s="95"/>
      <c r="CG316" s="105"/>
      <c r="CH316" s="5101"/>
      <c r="CI316" s="920"/>
      <c r="CJ316" s="1495"/>
      <c r="CK316" s="101"/>
      <c r="CL316" s="1475"/>
      <c r="CM316" s="5086"/>
      <c r="CN316" s="104"/>
      <c r="CO316" s="32"/>
      <c r="CP316" s="33"/>
      <c r="CQ316" s="32"/>
      <c r="CR316" s="34"/>
      <c r="CS316" s="92"/>
      <c r="CT316" s="108"/>
      <c r="CU316" s="94"/>
      <c r="CV316" s="95"/>
      <c r="CW316" s="105"/>
      <c r="CX316" s="5101"/>
      <c r="CY316" s="920"/>
      <c r="CZ316" s="1495"/>
      <c r="DA316" s="101"/>
      <c r="DB316" s="1475"/>
      <c r="DC316" s="5109"/>
      <c r="DD316" s="5086"/>
      <c r="DF316" s="3">
        <v>1</v>
      </c>
      <c r="EY316" s="206"/>
      <c r="EZ316" s="206"/>
      <c r="FA316" s="206"/>
      <c r="FB316" s="206"/>
      <c r="FC316" s="567"/>
    </row>
    <row r="317" spans="2:159" ht="18.75">
      <c r="B317" s="952" t="str">
        <f t="shared" si="62"/>
        <v>►</v>
      </c>
      <c r="C317" s="993" cm="1">
        <f t="array" ref="C317">SUMPRODUCT(LEN(D317:J317))</f>
        <v>0</v>
      </c>
      <c r="D317" s="167"/>
      <c r="E317" s="172"/>
      <c r="F317" s="172"/>
      <c r="G317" s="172"/>
      <c r="H317" s="172"/>
      <c r="I317" s="172"/>
      <c r="J317" s="173"/>
      <c r="K317"/>
      <c r="L317" s="104" t="s">
        <v>16</v>
      </c>
      <c r="M317" s="157" t="str">
        <f>M292</f>
        <v>É ÉPICES POUR BOUDIN | |  Author &gt; Guy KRENZE - Eric GODDYN - Arnaud NICOLAS - CEPROC 2002</v>
      </c>
      <c r="N317" s="157">
        <f>N292</f>
        <v>408</v>
      </c>
      <c r="O317" s="158" t="str">
        <f>O292</f>
        <v>g</v>
      </c>
      <c r="P317" s="159" t="str">
        <f>P292</f>
        <v>Master recipe ► le Boudin en 4 déclinaisons</v>
      </c>
      <c r="Q317" s="172" t="s">
        <v>13076</v>
      </c>
      <c r="R317" s="172"/>
      <c r="S317" s="172"/>
      <c r="T317" s="172"/>
      <c r="U317" s="172"/>
      <c r="V317" s="172"/>
      <c r="W317" s="172"/>
      <c r="X317" s="172"/>
      <c r="Y317" s="170" t="s">
        <v>182</v>
      </c>
      <c r="Z317" s="175">
        <v>3.472222222222222E-3</v>
      </c>
      <c r="AA317" s="5086"/>
      <c r="AB317" s="104" t="s">
        <v>16</v>
      </c>
      <c r="AC317" s="157" t="str">
        <f>AC292</f>
        <v>S SPICES FOR BLOOD SAUSAGE | |  Author &gt; Guy KRENZE - Eric GODDYN - Arnaud NICOLAS - CEPROC 2002</v>
      </c>
      <c r="AD317" s="157">
        <f>AD292</f>
        <v>408</v>
      </c>
      <c r="AE317" s="158" t="str">
        <f>AE292</f>
        <v>g</v>
      </c>
      <c r="AF317" s="159" t="str">
        <f>AF292</f>
        <v>Master recipe ► Black pudding in 4 variations</v>
      </c>
      <c r="AG317" s="172" t="s">
        <v>13256</v>
      </c>
      <c r="AH317" s="172"/>
      <c r="AI317" s="172"/>
      <c r="AJ317" s="172"/>
      <c r="AK317" s="172"/>
      <c r="AL317" s="172"/>
      <c r="AM317" s="172"/>
      <c r="AN317" s="172"/>
      <c r="AO317" s="170" t="s">
        <v>684</v>
      </c>
      <c r="AP317" s="175">
        <v>3.472222222222222E-3</v>
      </c>
      <c r="AQ317" s="5086"/>
      <c r="AR317" s="104" t="s">
        <v>16</v>
      </c>
      <c r="AS317" s="157" t="str">
        <f>AS292</f>
        <v>E ESPECIAS PARA MORCILLA | | Autor &gt; Guy KRENZE - Eric GODDYN - Arnaud NICOLAS - CEPROC 2002</v>
      </c>
      <c r="AT317" s="157">
        <f>AT292</f>
        <v>408</v>
      </c>
      <c r="AU317" s="158" t="str">
        <f>AU292</f>
        <v>g</v>
      </c>
      <c r="AV317" s="159" t="str">
        <f>AV292</f>
        <v>Receta madre ► Morcilla en 4 versiones</v>
      </c>
      <c r="AW317" s="172" t="s">
        <v>13248</v>
      </c>
      <c r="AX317" s="172"/>
      <c r="AY317" s="172"/>
      <c r="AZ317" s="172"/>
      <c r="BA317" s="172"/>
      <c r="BB317" s="172"/>
      <c r="BC317" s="172"/>
      <c r="BD317" s="172"/>
      <c r="BE317" s="170" t="s">
        <v>911</v>
      </c>
      <c r="BF317" s="175">
        <v>3.472222222222222E-3</v>
      </c>
      <c r="BG317" s="5086"/>
      <c r="BH317" s="104"/>
      <c r="BI317" s="32"/>
      <c r="BJ317" s="33"/>
      <c r="BK317" s="32"/>
      <c r="BL317" s="34"/>
      <c r="BM317" s="92"/>
      <c r="BN317" s="108"/>
      <c r="BO317" s="94"/>
      <c r="BP317" s="95"/>
      <c r="BQ317" s="105"/>
      <c r="BR317" s="5101"/>
      <c r="BS317" s="920"/>
      <c r="BT317" s="1495"/>
      <c r="BU317" s="101"/>
      <c r="BV317" s="1475"/>
      <c r="BW317" s="5086"/>
      <c r="BX317" s="104"/>
      <c r="BY317" s="32"/>
      <c r="BZ317" s="33"/>
      <c r="CA317" s="32"/>
      <c r="CB317" s="34"/>
      <c r="CC317" s="92"/>
      <c r="CD317" s="108"/>
      <c r="CE317" s="94"/>
      <c r="CF317" s="95"/>
      <c r="CG317" s="105"/>
      <c r="CH317" s="5101"/>
      <c r="CI317" s="920"/>
      <c r="CJ317" s="1495"/>
      <c r="CK317" s="101"/>
      <c r="CL317" s="1475"/>
      <c r="CM317" s="5086"/>
      <c r="CN317" s="104"/>
      <c r="CO317" s="32"/>
      <c r="CP317" s="33"/>
      <c r="CQ317" s="32"/>
      <c r="CR317" s="34"/>
      <c r="CS317" s="92"/>
      <c r="CT317" s="108"/>
      <c r="CU317" s="94"/>
      <c r="CV317" s="95"/>
      <c r="CW317" s="105"/>
      <c r="CX317" s="5101"/>
      <c r="CY317" s="920"/>
      <c r="CZ317" s="1495"/>
      <c r="DA317" s="101"/>
      <c r="DB317" s="1475"/>
      <c r="DC317" s="5109"/>
      <c r="DD317" s="5086"/>
      <c r="DF317" s="3">
        <v>1</v>
      </c>
      <c r="EY317" s="214"/>
      <c r="EZ317" s="214"/>
      <c r="FA317" s="214"/>
      <c r="FB317" s="214"/>
      <c r="FC317" s="582"/>
    </row>
    <row r="318" spans="2:159" ht="19.5" thickBot="1">
      <c r="B318" s="952" t="str">
        <f t="shared" si="62"/>
        <v>►</v>
      </c>
      <c r="C318" s="993" cm="1">
        <f t="array" ref="C318">SUMPRODUCT(LEN(D318:J318))</f>
        <v>0</v>
      </c>
      <c r="D318" s="167"/>
      <c r="E318" s="172"/>
      <c r="F318" s="172"/>
      <c r="G318" s="172"/>
      <c r="H318" s="172"/>
      <c r="I318" s="172"/>
      <c r="J318" s="173"/>
      <c r="K318"/>
      <c r="L318" s="104" t="s">
        <v>16</v>
      </c>
      <c r="M318" s="157" t="str">
        <f>M292</f>
        <v>É ÉPICES POUR BOUDIN | |  Author &gt; Guy KRENZE - Eric GODDYN - Arnaud NICOLAS - CEPROC 2002</v>
      </c>
      <c r="N318" s="157">
        <f>N292</f>
        <v>408</v>
      </c>
      <c r="O318" s="158" t="str">
        <f>O292</f>
        <v>g</v>
      </c>
      <c r="P318" s="159" t="str">
        <f>P292</f>
        <v>Master recipe ► le Boudin en 4 déclinaisons</v>
      </c>
      <c r="Q318" s="172" t="s">
        <v>13074</v>
      </c>
      <c r="R318" s="172"/>
      <c r="S318" s="172"/>
      <c r="T318" s="172"/>
      <c r="U318" s="172"/>
      <c r="V318" s="172"/>
      <c r="W318" s="172"/>
      <c r="X318" s="172"/>
      <c r="Y318" s="176" t="s">
        <v>183</v>
      </c>
      <c r="Z318" s="177">
        <f>Z315+Z316+Z317</f>
        <v>1.0416666666666666E-2</v>
      </c>
      <c r="AA318" s="5086"/>
      <c r="AB318" s="104" t="s">
        <v>16</v>
      </c>
      <c r="AC318" s="157" t="str">
        <f>AC292</f>
        <v>S SPICES FOR BLOOD SAUSAGE | |  Author &gt; Guy KRENZE - Eric GODDYN - Arnaud NICOLAS - CEPROC 2002</v>
      </c>
      <c r="AD318" s="157">
        <f>AD292</f>
        <v>408</v>
      </c>
      <c r="AE318" s="158" t="str">
        <f>AE292</f>
        <v>g</v>
      </c>
      <c r="AF318" s="159" t="str">
        <f>AF292</f>
        <v>Master recipe ► Black pudding in 4 variations</v>
      </c>
      <c r="AG318" s="172" t="s">
        <v>13257</v>
      </c>
      <c r="AH318" s="172"/>
      <c r="AI318" s="172"/>
      <c r="AJ318" s="172"/>
      <c r="AK318" s="172"/>
      <c r="AL318" s="172"/>
      <c r="AM318" s="172"/>
      <c r="AN318" s="172"/>
      <c r="AO318" s="176" t="s">
        <v>183</v>
      </c>
      <c r="AP318" s="177">
        <f>AP315+AP316+AP317</f>
        <v>1.0416666666666666E-2</v>
      </c>
      <c r="AQ318" s="5086"/>
      <c r="AR318" s="104" t="s">
        <v>16</v>
      </c>
      <c r="AS318" s="157" t="str">
        <f>AS292</f>
        <v>E ESPECIAS PARA MORCILLA | | Autor &gt; Guy KRENZE - Eric GODDYN - Arnaud NICOLAS - CEPROC 2002</v>
      </c>
      <c r="AT318" s="157">
        <f>AT292</f>
        <v>408</v>
      </c>
      <c r="AU318" s="158" t="str">
        <f>AU292</f>
        <v>g</v>
      </c>
      <c r="AV318" s="159" t="str">
        <f>AV292</f>
        <v>Receta madre ► Morcilla en 4 versiones</v>
      </c>
      <c r="AW318" s="172" t="s">
        <v>13249</v>
      </c>
      <c r="AX318" s="172"/>
      <c r="AY318" s="172"/>
      <c r="AZ318" s="172"/>
      <c r="BA318" s="172"/>
      <c r="BB318" s="172"/>
      <c r="BC318" s="172"/>
      <c r="BD318" s="172"/>
      <c r="BE318" s="176" t="s">
        <v>183</v>
      </c>
      <c r="BF318" s="177">
        <f>BF315+BF316+BF317</f>
        <v>1.0416666666666666E-2</v>
      </c>
      <c r="BG318" s="5086"/>
      <c r="BH318" s="104"/>
      <c r="BI318" s="32"/>
      <c r="BJ318" s="33"/>
      <c r="BK318" s="32"/>
      <c r="BL318" s="34"/>
      <c r="BM318" s="92"/>
      <c r="BN318" s="108"/>
      <c r="BO318" s="94"/>
      <c r="BP318" s="95"/>
      <c r="BQ318" s="105"/>
      <c r="BR318" s="5101"/>
      <c r="BS318" s="920"/>
      <c r="BT318" s="1495"/>
      <c r="BU318" s="101"/>
      <c r="BV318" s="1475"/>
      <c r="BW318" s="5086"/>
      <c r="BX318" s="104"/>
      <c r="BY318" s="32"/>
      <c r="BZ318" s="33"/>
      <c r="CA318" s="32"/>
      <c r="CB318" s="34"/>
      <c r="CC318" s="92"/>
      <c r="CD318" s="108"/>
      <c r="CE318" s="94"/>
      <c r="CF318" s="95"/>
      <c r="CG318" s="105"/>
      <c r="CH318" s="5101"/>
      <c r="CI318" s="920"/>
      <c r="CJ318" s="1495"/>
      <c r="CK318" s="101"/>
      <c r="CL318" s="1475"/>
      <c r="CM318" s="5086"/>
      <c r="CN318" s="104"/>
      <c r="CO318" s="32"/>
      <c r="CP318" s="33"/>
      <c r="CQ318" s="32"/>
      <c r="CR318" s="34"/>
      <c r="CS318" s="92"/>
      <c r="CT318" s="108"/>
      <c r="CU318" s="94"/>
      <c r="CV318" s="95"/>
      <c r="CW318" s="105"/>
      <c r="CX318" s="5101"/>
      <c r="CY318" s="920"/>
      <c r="CZ318" s="1495"/>
      <c r="DA318" s="101"/>
      <c r="DB318" s="1475"/>
      <c r="DC318" s="5109"/>
      <c r="DD318" s="5086"/>
      <c r="DF318" s="3">
        <v>1</v>
      </c>
      <c r="EY318" s="220"/>
      <c r="EZ318" s="220"/>
      <c r="FA318" s="220"/>
      <c r="FB318" s="220"/>
      <c r="FC318" s="221"/>
    </row>
    <row r="319" spans="2:159" ht="19.5" thickBot="1">
      <c r="B319" s="952" t="str">
        <f t="shared" si="62"/>
        <v>A</v>
      </c>
      <c r="C319" s="993" cm="1">
        <f t="array" ref="C319">SUMPRODUCT(LEN(D319:J319))</f>
        <v>0</v>
      </c>
      <c r="D319" s="167"/>
      <c r="E319" s="172"/>
      <c r="F319" s="172"/>
      <c r="G319" s="172"/>
      <c r="H319" s="172"/>
      <c r="I319" s="172"/>
      <c r="J319" s="173"/>
      <c r="K319"/>
      <c r="L319" s="104" t="str">
        <f>IF(OR(Q319&lt;&gt;"",R319&lt;&gt; "",S319&lt;&gt;"",T319&lt;&gt;""),"A", "►")</f>
        <v>A</v>
      </c>
      <c r="M319" s="157" t="str">
        <f>M292</f>
        <v>É ÉPICES POUR BOUDIN | |  Author &gt; Guy KRENZE - Eric GODDYN - Arnaud NICOLAS - CEPROC 2002</v>
      </c>
      <c r="N319" s="157">
        <f>N292</f>
        <v>408</v>
      </c>
      <c r="O319" s="158" t="str">
        <f>O292</f>
        <v>g</v>
      </c>
      <c r="P319" s="159" t="str">
        <f>P292</f>
        <v>Master recipe ► le Boudin en 4 déclinaisons</v>
      </c>
      <c r="Q319" s="172" t="s">
        <v>13075</v>
      </c>
      <c r="R319" s="172"/>
      <c r="S319" s="172"/>
      <c r="T319" s="172"/>
      <c r="U319" s="172"/>
      <c r="V319" s="172"/>
      <c r="W319" s="172"/>
      <c r="X319" s="172"/>
      <c r="Y319" s="172"/>
      <c r="Z319" s="555"/>
      <c r="AA319" s="5086"/>
      <c r="AB319" s="104" t="str">
        <f>IF(OR(AG319&lt;&gt;"",AH319&lt;&gt; "",AI319&lt;&gt;"",AJ319&lt;&gt;""),"A", "►")</f>
        <v>A</v>
      </c>
      <c r="AC319" s="157" t="str">
        <f>AC292</f>
        <v>S SPICES FOR BLOOD SAUSAGE | |  Author &gt; Guy KRENZE - Eric GODDYN - Arnaud NICOLAS - CEPROC 2002</v>
      </c>
      <c r="AD319" s="157">
        <f>AD292</f>
        <v>408</v>
      </c>
      <c r="AE319" s="158" t="str">
        <f>AE292</f>
        <v>g</v>
      </c>
      <c r="AF319" s="159" t="str">
        <f>AF292</f>
        <v>Master recipe ► Black pudding in 4 variations</v>
      </c>
      <c r="AG319" s="172" t="s">
        <v>13258</v>
      </c>
      <c r="AH319" s="172"/>
      <c r="AI319" s="172"/>
      <c r="AJ319" s="172"/>
      <c r="AK319" s="172"/>
      <c r="AL319" s="172"/>
      <c r="AM319" s="172"/>
      <c r="AN319" s="172"/>
      <c r="AO319" s="172"/>
      <c r="AP319" s="555"/>
      <c r="AQ319" s="5086"/>
      <c r="AR319" s="104" t="str">
        <f>IF(OR(AW319&lt;&gt;"",AX319&lt;&gt; "",AY319&lt;&gt;"",AZ319&lt;&gt;""),"A", "►")</f>
        <v>A</v>
      </c>
      <c r="AS319" s="157" t="str">
        <f>AS292</f>
        <v>E ESPECIAS PARA MORCILLA | | Autor &gt; Guy KRENZE - Eric GODDYN - Arnaud NICOLAS - CEPROC 2002</v>
      </c>
      <c r="AT319" s="157">
        <f>AT292</f>
        <v>408</v>
      </c>
      <c r="AU319" s="158" t="str">
        <f>AU292</f>
        <v>g</v>
      </c>
      <c r="AV319" s="159" t="str">
        <f>AV292</f>
        <v>Receta madre ► Morcilla en 4 versiones</v>
      </c>
      <c r="AW319" s="172" t="s">
        <v>13250</v>
      </c>
      <c r="AX319" s="172"/>
      <c r="AY319" s="172"/>
      <c r="AZ319" s="172"/>
      <c r="BA319" s="172"/>
      <c r="BB319" s="172"/>
      <c r="BC319" s="172"/>
      <c r="BD319" s="172"/>
      <c r="BE319" s="172"/>
      <c r="BF319" s="555"/>
      <c r="BG319" s="5086"/>
      <c r="BH319" s="104"/>
      <c r="BI319" s="32"/>
      <c r="BJ319" s="33"/>
      <c r="BK319" s="32"/>
      <c r="BL319" s="34"/>
      <c r="BM319" s="92"/>
      <c r="BN319" s="108"/>
      <c r="BO319" s="94"/>
      <c r="BP319" s="95"/>
      <c r="BQ319" s="105"/>
      <c r="BR319" s="5101"/>
      <c r="BS319" s="920"/>
      <c r="BT319" s="1495"/>
      <c r="BU319" s="101"/>
      <c r="BV319" s="1475"/>
      <c r="BW319" s="5086"/>
      <c r="BX319" s="104"/>
      <c r="BY319" s="32"/>
      <c r="BZ319" s="33"/>
      <c r="CA319" s="32"/>
      <c r="CB319" s="34"/>
      <c r="CC319" s="92"/>
      <c r="CD319" s="108"/>
      <c r="CE319" s="94"/>
      <c r="CF319" s="95"/>
      <c r="CG319" s="105"/>
      <c r="CH319" s="5101"/>
      <c r="CI319" s="920"/>
      <c r="CJ319" s="1495"/>
      <c r="CK319" s="101"/>
      <c r="CL319" s="1475"/>
      <c r="CM319" s="5086"/>
      <c r="CN319" s="104"/>
      <c r="CO319" s="32"/>
      <c r="CP319" s="33"/>
      <c r="CQ319" s="32"/>
      <c r="CR319" s="34"/>
      <c r="CS319" s="92"/>
      <c r="CT319" s="108"/>
      <c r="CU319" s="94"/>
      <c r="CV319" s="95"/>
      <c r="CW319" s="105"/>
      <c r="CX319" s="5101"/>
      <c r="CY319" s="920"/>
      <c r="CZ319" s="1495"/>
      <c r="DA319" s="101"/>
      <c r="DB319" s="1475"/>
      <c r="DC319" s="5109"/>
      <c r="DD319" s="5086"/>
      <c r="DF319" s="3">
        <v>1</v>
      </c>
    </row>
    <row r="320" spans="2:159" ht="15.75" customHeight="1">
      <c r="B320" s="952" t="str">
        <f t="shared" si="62"/>
        <v>A</v>
      </c>
      <c r="C320" s="993" cm="1">
        <f t="array" ref="C320">SUMPRODUCT(LEN(D320:J320))</f>
        <v>0</v>
      </c>
      <c r="D320" s="167"/>
      <c r="E320" s="172"/>
      <c r="F320" s="172"/>
      <c r="G320" s="172"/>
      <c r="H320" s="172"/>
      <c r="I320" s="172"/>
      <c r="J320" s="173"/>
      <c r="K320"/>
      <c r="L320" s="104" t="str">
        <f>IF(OR(Q320&lt;&gt;"",R320&lt;&gt; "",S320&lt;&gt;"",T320&lt;&gt;""),"A", "►")</f>
        <v>A</v>
      </c>
      <c r="M320" s="157" t="str">
        <f>M292</f>
        <v>É ÉPICES POUR BOUDIN | |  Author &gt; Guy KRENZE - Eric GODDYN - Arnaud NICOLAS - CEPROC 2002</v>
      </c>
      <c r="N320" s="157">
        <f>N292</f>
        <v>408</v>
      </c>
      <c r="O320" s="158" t="str">
        <f>O292</f>
        <v>g</v>
      </c>
      <c r="P320" s="159" t="str">
        <f>P292</f>
        <v>Master recipe ► le Boudin en 4 déclinaisons</v>
      </c>
      <c r="Q320" s="172" t="s">
        <v>13077</v>
      </c>
      <c r="R320" s="172"/>
      <c r="S320" s="172"/>
      <c r="T320" s="172"/>
      <c r="U320" s="172"/>
      <c r="V320" s="172"/>
      <c r="W320" s="172"/>
      <c r="X320" s="172"/>
      <c r="Y320" s="172"/>
      <c r="Z320" s="555"/>
      <c r="AA320" s="5086"/>
      <c r="AB320" s="104" t="str">
        <f>IF(OR(AG320&lt;&gt;"",AH320&lt;&gt; "",AI320&lt;&gt;"",AJ320&lt;&gt;""),"A", "►")</f>
        <v>A</v>
      </c>
      <c r="AC320" s="157" t="str">
        <f>AC292</f>
        <v>S SPICES FOR BLOOD SAUSAGE | |  Author &gt; Guy KRENZE - Eric GODDYN - Arnaud NICOLAS - CEPROC 2002</v>
      </c>
      <c r="AD320" s="157">
        <f>AD292</f>
        <v>408</v>
      </c>
      <c r="AE320" s="158" t="str">
        <f>AE292</f>
        <v>g</v>
      </c>
      <c r="AF320" s="159" t="str">
        <f>AF292</f>
        <v>Master recipe ► Black pudding in 4 variations</v>
      </c>
      <c r="AG320" s="172" t="s">
        <v>13260</v>
      </c>
      <c r="AH320" s="172"/>
      <c r="AI320" s="172"/>
      <c r="AJ320" s="172"/>
      <c r="AK320" s="172"/>
      <c r="AL320" s="172"/>
      <c r="AM320" s="172"/>
      <c r="AN320" s="172"/>
      <c r="AO320" s="172"/>
      <c r="AP320" s="555"/>
      <c r="AQ320" s="5086"/>
      <c r="AR320" s="104" t="str">
        <f>IF(OR(AW320&lt;&gt;"",AX320&lt;&gt; "",AY320&lt;&gt;"",AZ320&lt;&gt;""),"A", "►")</f>
        <v>A</v>
      </c>
      <c r="AS320" s="157" t="str">
        <f>AS292</f>
        <v>E ESPECIAS PARA MORCILLA | | Autor &gt; Guy KRENZE - Eric GODDYN - Arnaud NICOLAS - CEPROC 2002</v>
      </c>
      <c r="AT320" s="157">
        <f>AT292</f>
        <v>408</v>
      </c>
      <c r="AU320" s="158" t="str">
        <f>AU292</f>
        <v>g</v>
      </c>
      <c r="AV320" s="159" t="str">
        <f>AV292</f>
        <v>Receta madre ► Morcilla en 4 versiones</v>
      </c>
      <c r="AW320" s="172" t="s">
        <v>13251</v>
      </c>
      <c r="AX320" s="172"/>
      <c r="AY320" s="172"/>
      <c r="AZ320" s="172"/>
      <c r="BA320" s="172"/>
      <c r="BB320" s="172"/>
      <c r="BC320" s="172"/>
      <c r="BD320" s="172"/>
      <c r="BE320" s="172"/>
      <c r="BF320" s="555"/>
      <c r="BG320" s="5086"/>
      <c r="BH320" s="104"/>
      <c r="BI320" s="32"/>
      <c r="BJ320" s="33"/>
      <c r="BK320" s="32"/>
      <c r="BL320" s="34"/>
      <c r="BM320" s="92"/>
      <c r="BN320" s="108"/>
      <c r="BO320" s="94"/>
      <c r="BP320" s="95"/>
      <c r="BQ320" s="105"/>
      <c r="BR320" s="5101"/>
      <c r="BS320" s="920"/>
      <c r="BT320" s="1495"/>
      <c r="BU320" s="101"/>
      <c r="BV320" s="1475"/>
      <c r="BW320" s="5086"/>
      <c r="BX320" s="104"/>
      <c r="BY320" s="32"/>
      <c r="BZ320" s="33"/>
      <c r="CA320" s="32"/>
      <c r="CB320" s="34"/>
      <c r="CC320" s="92"/>
      <c r="CD320" s="108"/>
      <c r="CE320" s="94"/>
      <c r="CF320" s="95"/>
      <c r="CG320" s="105"/>
      <c r="CH320" s="5101"/>
      <c r="CI320" s="920"/>
      <c r="CJ320" s="1495"/>
      <c r="CK320" s="101"/>
      <c r="CL320" s="1475"/>
      <c r="CM320" s="5086"/>
      <c r="CN320" s="104"/>
      <c r="CO320" s="32"/>
      <c r="CP320" s="33"/>
      <c r="CQ320" s="32"/>
      <c r="CR320" s="34"/>
      <c r="CS320" s="92"/>
      <c r="CT320" s="108"/>
      <c r="CU320" s="94"/>
      <c r="CV320" s="95"/>
      <c r="CW320" s="105"/>
      <c r="CX320" s="5101"/>
      <c r="CY320" s="920"/>
      <c r="CZ320" s="1495"/>
      <c r="DA320" s="101"/>
      <c r="DB320" s="1475"/>
      <c r="DC320" s="5109"/>
      <c r="DD320" s="5086"/>
      <c r="DF320" s="3">
        <v>1</v>
      </c>
      <c r="EU320" s="5471" t="s">
        <v>3320</v>
      </c>
      <c r="EV320" s="5471"/>
      <c r="EW320" s="5471"/>
      <c r="EX320" s="5471"/>
      <c r="EY320" s="5471"/>
      <c r="EZ320" s="5471"/>
      <c r="FA320" s="5473" t="s">
        <v>1031</v>
      </c>
      <c r="FB320" s="5473"/>
      <c r="FC320" s="5475" t="str">
        <f>UPPER(LEFT(EU320,1))</f>
        <v>N</v>
      </c>
    </row>
    <row r="321" spans="2:159" ht="15.75" customHeight="1">
      <c r="B321" s="952" t="str">
        <f t="shared" si="62"/>
        <v>A</v>
      </c>
      <c r="C321" s="993" cm="1">
        <f t="array" ref="C321">SUMPRODUCT(LEN(D321:J321))</f>
        <v>0</v>
      </c>
      <c r="D321" s="167"/>
      <c r="E321" s="172"/>
      <c r="F321" s="172"/>
      <c r="G321" s="172"/>
      <c r="H321" s="172"/>
      <c r="I321" s="172"/>
      <c r="J321" s="173"/>
      <c r="K321"/>
      <c r="L321" s="104" t="str">
        <f>IF(OR(Q321&lt;&gt;"",R321&lt;&gt; "",S321&lt;&gt;"",T321&lt;&gt;""),"A", "►")</f>
        <v>A</v>
      </c>
      <c r="M321" s="157" t="str">
        <f>M292</f>
        <v>É ÉPICES POUR BOUDIN | |  Author &gt; Guy KRENZE - Eric GODDYN - Arnaud NICOLAS - CEPROC 2002</v>
      </c>
      <c r="N321" s="157">
        <f>N292</f>
        <v>408</v>
      </c>
      <c r="O321" s="158" t="str">
        <f>O292</f>
        <v>g</v>
      </c>
      <c r="P321" s="159" t="str">
        <f>P292</f>
        <v>Master recipe ► le Boudin en 4 déclinaisons</v>
      </c>
      <c r="Q321" s="172" t="s">
        <v>13078</v>
      </c>
      <c r="R321" s="172"/>
      <c r="S321" s="172"/>
      <c r="T321" s="172"/>
      <c r="U321" s="172"/>
      <c r="V321" s="172"/>
      <c r="W321" s="172"/>
      <c r="X321" s="172"/>
      <c r="Y321" s="172"/>
      <c r="Z321" s="555"/>
      <c r="AA321" s="5086"/>
      <c r="AB321" s="104" t="str">
        <f>IF(OR(AG321&lt;&gt;"",AH321&lt;&gt; "",AI321&lt;&gt;"",AJ321&lt;&gt;""),"A", "►")</f>
        <v>A</v>
      </c>
      <c r="AC321" s="157" t="str">
        <f>AC292</f>
        <v>S SPICES FOR BLOOD SAUSAGE | |  Author &gt; Guy KRENZE - Eric GODDYN - Arnaud NICOLAS - CEPROC 2002</v>
      </c>
      <c r="AD321" s="157">
        <f>AD292</f>
        <v>408</v>
      </c>
      <c r="AE321" s="158" t="str">
        <f>AE292</f>
        <v>g</v>
      </c>
      <c r="AF321" s="159" t="str">
        <f>AF292</f>
        <v>Master recipe ► Black pudding in 4 variations</v>
      </c>
      <c r="AG321" s="172" t="s">
        <v>13261</v>
      </c>
      <c r="AH321" s="172"/>
      <c r="AI321" s="172"/>
      <c r="AJ321" s="172"/>
      <c r="AK321" s="172"/>
      <c r="AL321" s="172"/>
      <c r="AM321" s="172"/>
      <c r="AN321" s="172"/>
      <c r="AO321" s="172"/>
      <c r="AP321" s="555"/>
      <c r="AQ321" s="5086"/>
      <c r="AR321" s="104" t="str">
        <f>IF(OR(AW321&lt;&gt;"",AX321&lt;&gt; "",AY321&lt;&gt;"",AZ321&lt;&gt;""),"A", "►")</f>
        <v>A</v>
      </c>
      <c r="AS321" s="157" t="str">
        <f>AS292</f>
        <v>E ESPECIAS PARA MORCILLA | | Autor &gt; Guy KRENZE - Eric GODDYN - Arnaud NICOLAS - CEPROC 2002</v>
      </c>
      <c r="AT321" s="157">
        <f>AT292</f>
        <v>408</v>
      </c>
      <c r="AU321" s="158" t="str">
        <f>AU292</f>
        <v>g</v>
      </c>
      <c r="AV321" s="159" t="str">
        <f>AV292</f>
        <v>Receta madre ► Morcilla en 4 versiones</v>
      </c>
      <c r="AW321" s="172" t="s">
        <v>13252</v>
      </c>
      <c r="AX321" s="172"/>
      <c r="AY321" s="172"/>
      <c r="AZ321" s="172"/>
      <c r="BA321" s="172"/>
      <c r="BB321" s="172"/>
      <c r="BC321" s="172"/>
      <c r="BD321" s="172"/>
      <c r="BE321" s="172"/>
      <c r="BF321" s="555"/>
      <c r="BG321" s="5086"/>
      <c r="BH321" s="104"/>
      <c r="BI321" s="32"/>
      <c r="BJ321" s="33"/>
      <c r="BK321" s="32"/>
      <c r="BL321" s="34"/>
      <c r="BM321" s="92"/>
      <c r="BN321" s="108"/>
      <c r="BO321" s="94"/>
      <c r="BP321" s="95"/>
      <c r="BQ321" s="105"/>
      <c r="BR321" s="5101"/>
      <c r="BS321" s="920"/>
      <c r="BT321" s="1495"/>
      <c r="BU321" s="101"/>
      <c r="BV321" s="1475"/>
      <c r="BW321" s="5086"/>
      <c r="BX321" s="104"/>
      <c r="BY321" s="32"/>
      <c r="BZ321" s="33"/>
      <c r="CA321" s="32"/>
      <c r="CB321" s="34"/>
      <c r="CC321" s="92"/>
      <c r="CD321" s="108"/>
      <c r="CE321" s="94"/>
      <c r="CF321" s="95"/>
      <c r="CG321" s="105"/>
      <c r="CH321" s="5101"/>
      <c r="CI321" s="920"/>
      <c r="CJ321" s="1495"/>
      <c r="CK321" s="101"/>
      <c r="CL321" s="1475"/>
      <c r="CM321" s="5086"/>
      <c r="CN321" s="104"/>
      <c r="CO321" s="32"/>
      <c r="CP321" s="33"/>
      <c r="CQ321" s="32"/>
      <c r="CR321" s="34"/>
      <c r="CS321" s="92"/>
      <c r="CT321" s="108"/>
      <c r="CU321" s="94"/>
      <c r="CV321" s="95"/>
      <c r="CW321" s="105"/>
      <c r="CX321" s="5101"/>
      <c r="CY321" s="920"/>
      <c r="CZ321" s="1495"/>
      <c r="DA321" s="101"/>
      <c r="DB321" s="1475"/>
      <c r="DC321" s="5109"/>
      <c r="DD321" s="5086"/>
      <c r="DF321" s="3">
        <v>1</v>
      </c>
      <c r="EU321" s="5472"/>
      <c r="EV321" s="5472"/>
      <c r="EW321" s="5472"/>
      <c r="EX321" s="5472"/>
      <c r="EY321" s="5472"/>
      <c r="EZ321" s="5472"/>
      <c r="FA321" s="5474"/>
      <c r="FB321" s="5474"/>
      <c r="FC321" s="5476"/>
    </row>
    <row r="322" spans="2:159" ht="18.75">
      <c r="B322" s="952" t="str">
        <f t="shared" si="62"/>
        <v>►</v>
      </c>
      <c r="C322" s="993" cm="1">
        <f t="array" ref="C322">SUMPRODUCT(LEN(D322:J322))</f>
        <v>0</v>
      </c>
      <c r="D322" s="167"/>
      <c r="E322" s="172"/>
      <c r="F322" s="172"/>
      <c r="G322" s="172"/>
      <c r="H322" s="172"/>
      <c r="I322" s="172"/>
      <c r="J322" s="173"/>
      <c r="K322"/>
      <c r="L322" s="104" t="str">
        <f>IF(OR(Q322&lt;&gt;"",R322&lt;&gt; "",S322&lt;&gt;"",T322&lt;&gt;""),"A", "►")</f>
        <v>►</v>
      </c>
      <c r="M322" s="157" t="str">
        <f>M292</f>
        <v>É ÉPICES POUR BOUDIN | |  Author &gt; Guy KRENZE - Eric GODDYN - Arnaud NICOLAS - CEPROC 2002</v>
      </c>
      <c r="N322" s="157">
        <f>N292</f>
        <v>408</v>
      </c>
      <c r="O322" s="158" t="str">
        <f>O292</f>
        <v>g</v>
      </c>
      <c r="P322" s="159" t="str">
        <f>P292</f>
        <v>Master recipe ► le Boudin en 4 déclinaisons</v>
      </c>
      <c r="Q322" s="172"/>
      <c r="R322" s="172"/>
      <c r="S322" s="172"/>
      <c r="T322" s="172"/>
      <c r="U322" s="172"/>
      <c r="V322" s="172"/>
      <c r="W322" s="172"/>
      <c r="X322" s="172"/>
      <c r="Y322" s="172"/>
      <c r="Z322" s="555"/>
      <c r="AA322" s="5086"/>
      <c r="AB322" s="104" t="str">
        <f>IF(OR(AG322&lt;&gt;"",AH322&lt;&gt; "",AI322&lt;&gt;"",AJ322&lt;&gt;""),"A", "►")</f>
        <v>►</v>
      </c>
      <c r="AC322" s="157" t="str">
        <f>AC292</f>
        <v>S SPICES FOR BLOOD SAUSAGE | |  Author &gt; Guy KRENZE - Eric GODDYN - Arnaud NICOLAS - CEPROC 2002</v>
      </c>
      <c r="AD322" s="157">
        <f>AD292</f>
        <v>408</v>
      </c>
      <c r="AE322" s="158" t="str">
        <f>AE292</f>
        <v>g</v>
      </c>
      <c r="AF322" s="159" t="str">
        <f>AF292</f>
        <v>Master recipe ► Black pudding in 4 variations</v>
      </c>
      <c r="AG322" s="172"/>
      <c r="AH322" s="172"/>
      <c r="AI322" s="172"/>
      <c r="AJ322" s="172"/>
      <c r="AK322" s="172"/>
      <c r="AL322" s="172"/>
      <c r="AM322" s="172"/>
      <c r="AN322" s="172"/>
      <c r="AO322" s="172"/>
      <c r="AP322" s="555"/>
      <c r="AQ322" s="5086"/>
      <c r="AR322" s="104" t="str">
        <f>IF(OR(AW322&lt;&gt;"",AX322&lt;&gt; "",AY322&lt;&gt;"",AZ322&lt;&gt;""),"A", "►")</f>
        <v>►</v>
      </c>
      <c r="AS322" s="157" t="str">
        <f>AS292</f>
        <v>E ESPECIAS PARA MORCILLA | | Autor &gt; Guy KRENZE - Eric GODDYN - Arnaud NICOLAS - CEPROC 2002</v>
      </c>
      <c r="AT322" s="157">
        <f>AT292</f>
        <v>408</v>
      </c>
      <c r="AU322" s="158" t="str">
        <f>AU292</f>
        <v>g</v>
      </c>
      <c r="AV322" s="159" t="str">
        <f>AV292</f>
        <v>Receta madre ► Morcilla en 4 versiones</v>
      </c>
      <c r="AW322" s="172"/>
      <c r="AX322" s="172"/>
      <c r="AY322" s="172"/>
      <c r="AZ322" s="172"/>
      <c r="BA322" s="172"/>
      <c r="BB322" s="172"/>
      <c r="BC322" s="172"/>
      <c r="BD322" s="172"/>
      <c r="BE322" s="172"/>
      <c r="BF322" s="555"/>
      <c r="BG322" s="5086"/>
      <c r="BH322" s="104"/>
      <c r="BI322" s="32"/>
      <c r="BJ322" s="33"/>
      <c r="BK322" s="32"/>
      <c r="BL322" s="34"/>
      <c r="BM322" s="92"/>
      <c r="BN322" s="108"/>
      <c r="BO322" s="94"/>
      <c r="BP322" s="95"/>
      <c r="BQ322" s="105"/>
      <c r="BR322" s="5101"/>
      <c r="BS322" s="920"/>
      <c r="BT322" s="1495"/>
      <c r="BU322" s="101"/>
      <c r="BV322" s="1475"/>
      <c r="BW322" s="5086"/>
      <c r="BX322" s="104"/>
      <c r="BY322" s="32"/>
      <c r="BZ322" s="33"/>
      <c r="CA322" s="32"/>
      <c r="CB322" s="34"/>
      <c r="CC322" s="92"/>
      <c r="CD322" s="108"/>
      <c r="CE322" s="94"/>
      <c r="CF322" s="95"/>
      <c r="CG322" s="105"/>
      <c r="CH322" s="5101"/>
      <c r="CI322" s="920"/>
      <c r="CJ322" s="1495"/>
      <c r="CK322" s="101"/>
      <c r="CL322" s="1475"/>
      <c r="CM322" s="5086"/>
      <c r="CN322" s="104"/>
      <c r="CO322" s="32"/>
      <c r="CP322" s="33"/>
      <c r="CQ322" s="32"/>
      <c r="CR322" s="34"/>
      <c r="CS322" s="92"/>
      <c r="CT322" s="108"/>
      <c r="CU322" s="94"/>
      <c r="CV322" s="95"/>
      <c r="CW322" s="105"/>
      <c r="CX322" s="5101"/>
      <c r="CY322" s="920"/>
      <c r="CZ322" s="1495"/>
      <c r="DA322" s="101"/>
      <c r="DB322" s="1475"/>
      <c r="DC322" s="5109"/>
      <c r="DD322" s="5086"/>
      <c r="DF322" s="3">
        <v>1</v>
      </c>
      <c r="EY322" s="9"/>
      <c r="EZ322" s="39"/>
      <c r="FA322" s="39"/>
      <c r="FB322" s="40"/>
      <c r="FC322" s="41"/>
    </row>
    <row r="323" spans="2:159" ht="18.75" customHeight="1">
      <c r="B323" s="952" t="str">
        <f t="shared" si="62"/>
        <v>►</v>
      </c>
      <c r="C323" s="993" cm="1">
        <f t="array" ref="C323">SUMPRODUCT(LEN(D323:J323))</f>
        <v>0</v>
      </c>
      <c r="D323" s="167"/>
      <c r="E323" s="172"/>
      <c r="F323" s="172"/>
      <c r="G323" s="172"/>
      <c r="H323" s="172"/>
      <c r="I323" s="172"/>
      <c r="J323" s="173"/>
      <c r="K323"/>
      <c r="L323" s="104" t="str">
        <f>IF(OR(Q323&lt;&gt;"",R323&lt;&gt; "",S323&lt;&gt;"",T323&lt;&gt;""),"A", "►")</f>
        <v>►</v>
      </c>
      <c r="M323" s="157" t="str">
        <f>M292</f>
        <v>É ÉPICES POUR BOUDIN | |  Author &gt; Guy KRENZE - Eric GODDYN - Arnaud NICOLAS - CEPROC 2002</v>
      </c>
      <c r="N323" s="157">
        <f>N292</f>
        <v>408</v>
      </c>
      <c r="O323" s="158" t="str">
        <f>O292</f>
        <v>g</v>
      </c>
      <c r="P323" s="159" t="str">
        <f>P292</f>
        <v>Master recipe ► le Boudin en 4 déclinaisons</v>
      </c>
      <c r="Q323" s="172"/>
      <c r="R323" s="172"/>
      <c r="S323" s="172"/>
      <c r="T323" s="172"/>
      <c r="U323" s="172"/>
      <c r="V323" s="172"/>
      <c r="W323" s="172"/>
      <c r="X323" s="172"/>
      <c r="Y323" s="172"/>
      <c r="Z323" s="555"/>
      <c r="AA323" s="5086"/>
      <c r="AB323" s="104" t="str">
        <f>IF(OR(AG323&lt;&gt;"",AH323&lt;&gt; "",AI323&lt;&gt;"",AJ323&lt;&gt;""),"A", "►")</f>
        <v>►</v>
      </c>
      <c r="AC323" s="157" t="str">
        <f>AC292</f>
        <v>S SPICES FOR BLOOD SAUSAGE | |  Author &gt; Guy KRENZE - Eric GODDYN - Arnaud NICOLAS - CEPROC 2002</v>
      </c>
      <c r="AD323" s="157">
        <f>AD292</f>
        <v>408</v>
      </c>
      <c r="AE323" s="158" t="str">
        <f>AE292</f>
        <v>g</v>
      </c>
      <c r="AF323" s="159" t="str">
        <f>AF292</f>
        <v>Master recipe ► Black pudding in 4 variations</v>
      </c>
      <c r="AG323" s="172"/>
      <c r="AH323" s="172"/>
      <c r="AI323" s="172"/>
      <c r="AJ323" s="172"/>
      <c r="AK323" s="172"/>
      <c r="AL323" s="172"/>
      <c r="AM323" s="172"/>
      <c r="AN323" s="172"/>
      <c r="AO323" s="172"/>
      <c r="AP323" s="555"/>
      <c r="AQ323" s="5086"/>
      <c r="AR323" s="104" t="str">
        <f>IF(OR(AW323&lt;&gt;"",AX323&lt;&gt; "",AY323&lt;&gt;"",AZ323&lt;&gt;""),"A", "►")</f>
        <v>►</v>
      </c>
      <c r="AS323" s="157" t="str">
        <f>AS292</f>
        <v>E ESPECIAS PARA MORCILLA | | Autor &gt; Guy KRENZE - Eric GODDYN - Arnaud NICOLAS - CEPROC 2002</v>
      </c>
      <c r="AT323" s="157">
        <f>AT292</f>
        <v>408</v>
      </c>
      <c r="AU323" s="158" t="str">
        <f>AU292</f>
        <v>g</v>
      </c>
      <c r="AV323" s="159" t="str">
        <f>AV292</f>
        <v>Receta madre ► Morcilla en 4 versiones</v>
      </c>
      <c r="AW323" s="172"/>
      <c r="AX323" s="172"/>
      <c r="AY323" s="172"/>
      <c r="AZ323" s="172"/>
      <c r="BA323" s="172"/>
      <c r="BB323" s="172"/>
      <c r="BC323" s="172"/>
      <c r="BD323" s="172"/>
      <c r="BE323" s="172"/>
      <c r="BF323" s="555"/>
      <c r="BG323" s="5086"/>
      <c r="BH323" s="104"/>
      <c r="BI323" s="32"/>
      <c r="BJ323" s="33"/>
      <c r="BK323" s="32"/>
      <c r="BL323" s="34"/>
      <c r="BM323" s="92"/>
      <c r="BN323" s="108"/>
      <c r="BO323" s="94"/>
      <c r="BP323" s="95"/>
      <c r="BQ323" s="105"/>
      <c r="BR323" s="5101"/>
      <c r="BS323" s="920"/>
      <c r="BT323" s="1495"/>
      <c r="BU323" s="101"/>
      <c r="BV323" s="1475"/>
      <c r="BW323" s="5086"/>
      <c r="BX323" s="104"/>
      <c r="BY323" s="32"/>
      <c r="BZ323" s="33"/>
      <c r="CA323" s="32"/>
      <c r="CB323" s="34"/>
      <c r="CC323" s="92"/>
      <c r="CD323" s="108"/>
      <c r="CE323" s="94"/>
      <c r="CF323" s="95"/>
      <c r="CG323" s="105"/>
      <c r="CH323" s="5101"/>
      <c r="CI323" s="920"/>
      <c r="CJ323" s="1495"/>
      <c r="CK323" s="101"/>
      <c r="CL323" s="1475"/>
      <c r="CM323" s="5086"/>
      <c r="CN323" s="104"/>
      <c r="CO323" s="32"/>
      <c r="CP323" s="33"/>
      <c r="CQ323" s="32"/>
      <c r="CR323" s="34"/>
      <c r="CS323" s="92"/>
      <c r="CT323" s="108"/>
      <c r="CU323" s="94"/>
      <c r="CV323" s="95"/>
      <c r="CW323" s="105"/>
      <c r="CX323" s="5101"/>
      <c r="CY323" s="920"/>
      <c r="CZ323" s="1495"/>
      <c r="DA323" s="101"/>
      <c r="DB323" s="1475"/>
      <c r="DC323" s="5109"/>
      <c r="DD323" s="5086"/>
      <c r="DF323" s="3">
        <v>1</v>
      </c>
      <c r="EX323" s="5477" t="str">
        <f>EY326&amp;" "&amp;EZ326&amp;" ► Famille = "&amp;FA320&amp;" ► "&amp;EU320&amp;" "&amp; "pour "&amp;FA324&amp;" "&amp;FB324</f>
        <v>Receta madre ► Introduzca el nombre de la receta principal ► Famille =  charcuterie-BOUDIN-NOIR ► NOMBRE DE LA RECETA pour 36 0</v>
      </c>
      <c r="EY323" s="5477"/>
      <c r="EZ323" s="5477"/>
      <c r="FA323" s="5039" t="s">
        <v>3326</v>
      </c>
      <c r="FB323" s="40"/>
      <c r="FC323" s="1472"/>
    </row>
    <row r="324" spans="2:159" ht="21" customHeight="1">
      <c r="B324" s="952" t="str">
        <f t="shared" si="62"/>
        <v>►</v>
      </c>
      <c r="C324" s="993" cm="1">
        <f t="array" ref="C324">SUMPRODUCT(LEN(D324:J324))</f>
        <v>0</v>
      </c>
      <c r="D324" s="167"/>
      <c r="E324" s="172"/>
      <c r="F324" s="172"/>
      <c r="G324" s="172"/>
      <c r="H324" s="172"/>
      <c r="I324" s="172"/>
      <c r="J324" s="173"/>
      <c r="K324"/>
      <c r="L324" s="196" t="s">
        <v>16</v>
      </c>
      <c r="M324" s="157" t="str">
        <f>M292</f>
        <v>É ÉPICES POUR BOUDIN | |  Author &gt; Guy KRENZE - Eric GODDYN - Arnaud NICOLAS - CEPROC 2002</v>
      </c>
      <c r="N324" s="157">
        <f>N292</f>
        <v>408</v>
      </c>
      <c r="O324" s="158" t="str">
        <f>O292</f>
        <v>g</v>
      </c>
      <c r="P324" s="159" t="str">
        <f>P292</f>
        <v>Master recipe ► le Boudin en 4 déclinaisons</v>
      </c>
      <c r="Q324" s="172"/>
      <c r="R324" s="172"/>
      <c r="S324" s="172"/>
      <c r="T324" s="172"/>
      <c r="U324" s="172"/>
      <c r="V324" s="172"/>
      <c r="W324" s="172"/>
      <c r="X324" s="172"/>
      <c r="Y324" s="172"/>
      <c r="Z324" s="555"/>
      <c r="AA324" s="5086"/>
      <c r="AB324" s="196" t="s">
        <v>16</v>
      </c>
      <c r="AC324" s="157" t="str">
        <f>AC292</f>
        <v>S SPICES FOR BLOOD SAUSAGE | |  Author &gt; Guy KRENZE - Eric GODDYN - Arnaud NICOLAS - CEPROC 2002</v>
      </c>
      <c r="AD324" s="157">
        <f>AD292</f>
        <v>408</v>
      </c>
      <c r="AE324" s="158" t="str">
        <f>AE292</f>
        <v>g</v>
      </c>
      <c r="AF324" s="159" t="str">
        <f>AF292</f>
        <v>Master recipe ► Black pudding in 4 variations</v>
      </c>
      <c r="AG324" s="172"/>
      <c r="AH324" s="172"/>
      <c r="AI324" s="172"/>
      <c r="AJ324" s="172"/>
      <c r="AK324" s="172"/>
      <c r="AL324" s="172"/>
      <c r="AM324" s="172"/>
      <c r="AN324" s="172"/>
      <c r="AO324" s="172"/>
      <c r="AP324" s="555"/>
      <c r="AQ324" s="5086"/>
      <c r="AR324" s="196" t="s">
        <v>16</v>
      </c>
      <c r="AS324" s="157" t="str">
        <f>AS292</f>
        <v>E ESPECIAS PARA MORCILLA | | Autor &gt; Guy KRENZE - Eric GODDYN - Arnaud NICOLAS - CEPROC 2002</v>
      </c>
      <c r="AT324" s="157">
        <f>AT292</f>
        <v>408</v>
      </c>
      <c r="AU324" s="158" t="str">
        <f>AU292</f>
        <v>g</v>
      </c>
      <c r="AV324" s="159" t="str">
        <f>AV292</f>
        <v>Receta madre ► Morcilla en 4 versiones</v>
      </c>
      <c r="AW324" s="172"/>
      <c r="AX324" s="172"/>
      <c r="AY324" s="172"/>
      <c r="AZ324" s="172"/>
      <c r="BA324" s="172"/>
      <c r="BB324" s="172"/>
      <c r="BC324" s="172"/>
      <c r="BD324" s="172"/>
      <c r="BE324" s="172"/>
      <c r="BF324" s="555"/>
      <c r="BG324" s="5086"/>
      <c r="BH324" s="104"/>
      <c r="BI324" s="32"/>
      <c r="BJ324" s="33"/>
      <c r="BK324" s="32"/>
      <c r="BL324" s="34"/>
      <c r="BM324" s="92"/>
      <c r="BN324" s="108"/>
      <c r="BO324" s="94"/>
      <c r="BP324" s="95"/>
      <c r="BQ324" s="105"/>
      <c r="BR324" s="5101"/>
      <c r="BS324" s="920"/>
      <c r="BT324" s="1495"/>
      <c r="BU324" s="101"/>
      <c r="BV324" s="1475"/>
      <c r="BW324" s="5086"/>
      <c r="BX324" s="104"/>
      <c r="BY324" s="32"/>
      <c r="BZ324" s="33"/>
      <c r="CA324" s="32"/>
      <c r="CB324" s="34"/>
      <c r="CC324" s="92"/>
      <c r="CD324" s="108"/>
      <c r="CE324" s="94"/>
      <c r="CF324" s="95"/>
      <c r="CG324" s="105"/>
      <c r="CH324" s="5101"/>
      <c r="CI324" s="920"/>
      <c r="CJ324" s="1495"/>
      <c r="CK324" s="101"/>
      <c r="CL324" s="1475"/>
      <c r="CM324" s="5086"/>
      <c r="CN324" s="104"/>
      <c r="CO324" s="32"/>
      <c r="CP324" s="33"/>
      <c r="CQ324" s="32"/>
      <c r="CR324" s="34"/>
      <c r="CS324" s="92"/>
      <c r="CT324" s="108"/>
      <c r="CU324" s="94"/>
      <c r="CV324" s="95"/>
      <c r="CW324" s="105"/>
      <c r="CX324" s="5101"/>
      <c r="CY324" s="920"/>
      <c r="CZ324" s="1495"/>
      <c r="DA324" s="101"/>
      <c r="DB324" s="1475"/>
      <c r="DC324" s="5109"/>
      <c r="DD324" s="5086"/>
      <c r="DF324" s="3">
        <v>1</v>
      </c>
      <c r="EX324" s="5477"/>
      <c r="EY324" s="5477"/>
      <c r="EZ324" s="5477"/>
      <c r="FA324" s="46">
        <v>36</v>
      </c>
      <c r="FB324" s="5478">
        <f>EU324</f>
        <v>0</v>
      </c>
      <c r="FC324" s="5479"/>
    </row>
    <row r="325" spans="2:159" ht="18.75">
      <c r="B325" s="952" t="str">
        <f t="shared" si="62"/>
        <v>A</v>
      </c>
      <c r="C325" s="993" cm="1">
        <f t="array" ref="C325">SUMPRODUCT(LEN(D325:J325))</f>
        <v>0</v>
      </c>
      <c r="D325" s="167"/>
      <c r="E325" s="172"/>
      <c r="F325" s="172"/>
      <c r="G325" s="172"/>
      <c r="H325" s="172"/>
      <c r="I325" s="172"/>
      <c r="J325" s="173"/>
      <c r="K325"/>
      <c r="L325" s="196" t="s">
        <v>11</v>
      </c>
      <c r="M325" s="157" t="str">
        <f>M292</f>
        <v>É ÉPICES POUR BOUDIN | |  Author &gt; Guy KRENZE - Eric GODDYN - Arnaud NICOLAS - CEPROC 2002</v>
      </c>
      <c r="N325" s="157">
        <f>N292</f>
        <v>408</v>
      </c>
      <c r="O325" s="158" t="str">
        <f>O292</f>
        <v>g</v>
      </c>
      <c r="P325" s="159" t="str">
        <f>P292</f>
        <v>Master recipe ► le Boudin en 4 déclinaisons</v>
      </c>
      <c r="Q325" s="172"/>
      <c r="R325" s="172"/>
      <c r="S325" s="172"/>
      <c r="T325" s="172"/>
      <c r="U325" s="172"/>
      <c r="V325" s="172"/>
      <c r="W325" s="172"/>
      <c r="X325" s="172"/>
      <c r="Y325" s="172"/>
      <c r="Z325" s="555"/>
      <c r="AA325" s="5086"/>
      <c r="AB325" s="196" t="s">
        <v>11</v>
      </c>
      <c r="AC325" s="157" t="str">
        <f>AC292</f>
        <v>S SPICES FOR BLOOD SAUSAGE | |  Author &gt; Guy KRENZE - Eric GODDYN - Arnaud NICOLAS - CEPROC 2002</v>
      </c>
      <c r="AD325" s="157">
        <f>AD292</f>
        <v>408</v>
      </c>
      <c r="AE325" s="158" t="str">
        <f>AE292</f>
        <v>g</v>
      </c>
      <c r="AF325" s="159" t="str">
        <f>AF292</f>
        <v>Master recipe ► Black pudding in 4 variations</v>
      </c>
      <c r="AG325" s="172"/>
      <c r="AH325" s="172"/>
      <c r="AI325" s="172"/>
      <c r="AJ325" s="172"/>
      <c r="AK325" s="172"/>
      <c r="AL325" s="172"/>
      <c r="AM325" s="172"/>
      <c r="AN325" s="172"/>
      <c r="AO325" s="172"/>
      <c r="AP325" s="555"/>
      <c r="AQ325" s="5086"/>
      <c r="AR325" s="196" t="s">
        <v>11</v>
      </c>
      <c r="AS325" s="157" t="str">
        <f>AS292</f>
        <v>E ESPECIAS PARA MORCILLA | | Autor &gt; Guy KRENZE - Eric GODDYN - Arnaud NICOLAS - CEPROC 2002</v>
      </c>
      <c r="AT325" s="157">
        <f>AT292</f>
        <v>408</v>
      </c>
      <c r="AU325" s="158" t="str">
        <f>AU292</f>
        <v>g</v>
      </c>
      <c r="AV325" s="159" t="str">
        <f>AV292</f>
        <v>Receta madre ► Morcilla en 4 versiones</v>
      </c>
      <c r="AW325" s="172"/>
      <c r="AX325" s="172"/>
      <c r="AY325" s="172"/>
      <c r="AZ325" s="172"/>
      <c r="BA325" s="172"/>
      <c r="BB325" s="172"/>
      <c r="BC325" s="172"/>
      <c r="BD325" s="172"/>
      <c r="BE325" s="172"/>
      <c r="BF325" s="555"/>
      <c r="BG325" s="5086"/>
      <c r="BH325" s="104"/>
      <c r="BI325" s="32"/>
      <c r="BJ325" s="33"/>
      <c r="BK325" s="32"/>
      <c r="BL325" s="34"/>
      <c r="BM325" s="92"/>
      <c r="BN325" s="108"/>
      <c r="BO325" s="94"/>
      <c r="BP325" s="95"/>
      <c r="BQ325" s="105"/>
      <c r="BR325" s="5101"/>
      <c r="BS325" s="920"/>
      <c r="BT325" s="1495"/>
      <c r="BU325" s="101"/>
      <c r="BV325" s="1475"/>
      <c r="BW325" s="5086"/>
      <c r="BX325" s="104"/>
      <c r="BY325" s="32"/>
      <c r="BZ325" s="33"/>
      <c r="CA325" s="32"/>
      <c r="CB325" s="34"/>
      <c r="CC325" s="92"/>
      <c r="CD325" s="108"/>
      <c r="CE325" s="94"/>
      <c r="CF325" s="95"/>
      <c r="CG325" s="105"/>
      <c r="CH325" s="5101"/>
      <c r="CI325" s="920"/>
      <c r="CJ325" s="1495"/>
      <c r="CK325" s="101"/>
      <c r="CL325" s="1475"/>
      <c r="CM325" s="5086"/>
      <c r="CN325" s="104"/>
      <c r="CO325" s="32"/>
      <c r="CP325" s="33"/>
      <c r="CQ325" s="32"/>
      <c r="CR325" s="34"/>
      <c r="CS325" s="92"/>
      <c r="CT325" s="108"/>
      <c r="CU325" s="94"/>
      <c r="CV325" s="95"/>
      <c r="CW325" s="105"/>
      <c r="CX325" s="5101"/>
      <c r="CY325" s="920"/>
      <c r="CZ325" s="1495"/>
      <c r="DA325" s="101"/>
      <c r="DB325" s="1475"/>
      <c r="DC325" s="5109"/>
      <c r="DD325" s="5086"/>
      <c r="DF325" s="3">
        <v>1</v>
      </c>
      <c r="EY325" s="1490">
        <f>IFERROR(FA324/ET324,0)</f>
        <v>0</v>
      </c>
      <c r="EZ325" s="45"/>
      <c r="FA325" s="5041" t="s">
        <v>248</v>
      </c>
      <c r="FB325" s="5042">
        <f>FB360</f>
        <v>0</v>
      </c>
      <c r="FC325" s="5043"/>
    </row>
    <row r="326" spans="2:159" ht="18.75">
      <c r="B326" s="952" t="str">
        <f t="shared" si="62"/>
        <v>A</v>
      </c>
      <c r="C326" s="993" cm="1">
        <f t="array" ref="C326">SUMPRODUCT(LEN(D326:J326))</f>
        <v>0</v>
      </c>
      <c r="D326" s="167"/>
      <c r="E326" s="172"/>
      <c r="F326" s="172"/>
      <c r="G326" s="172"/>
      <c r="H326" s="172"/>
      <c r="I326" s="172"/>
      <c r="J326" s="173"/>
      <c r="K326"/>
      <c r="L326" s="196" t="s">
        <v>11</v>
      </c>
      <c r="M326" s="157" t="str">
        <f>M292</f>
        <v>É ÉPICES POUR BOUDIN | |  Author &gt; Guy KRENZE - Eric GODDYN - Arnaud NICOLAS - CEPROC 2002</v>
      </c>
      <c r="N326" s="157">
        <f>N292</f>
        <v>408</v>
      </c>
      <c r="O326" s="158" t="str">
        <f>O292</f>
        <v>g</v>
      </c>
      <c r="P326" s="159" t="str">
        <f>P292</f>
        <v>Master recipe ► le Boudin en 4 déclinaisons</v>
      </c>
      <c r="Q326" s="172"/>
      <c r="R326" s="172"/>
      <c r="S326" s="172"/>
      <c r="T326" s="172"/>
      <c r="U326" s="172"/>
      <c r="V326" s="172"/>
      <c r="W326" s="172"/>
      <c r="X326" s="172"/>
      <c r="Y326" s="172"/>
      <c r="Z326" s="1486" t="s">
        <v>197</v>
      </c>
      <c r="AA326" s="5086"/>
      <c r="AB326" s="196" t="s">
        <v>11</v>
      </c>
      <c r="AC326" s="157" t="str">
        <f>AC292</f>
        <v>S SPICES FOR BLOOD SAUSAGE | |  Author &gt; Guy KRENZE - Eric GODDYN - Arnaud NICOLAS - CEPROC 2002</v>
      </c>
      <c r="AD326" s="157">
        <f>AD292</f>
        <v>408</v>
      </c>
      <c r="AE326" s="158" t="str">
        <f>AE292</f>
        <v>g</v>
      </c>
      <c r="AF326" s="159" t="str">
        <f>AF292</f>
        <v>Master recipe ► Black pudding in 4 variations</v>
      </c>
      <c r="AG326" s="172"/>
      <c r="AH326" s="172"/>
      <c r="AI326" s="172"/>
      <c r="AJ326" s="172"/>
      <c r="AK326" s="172"/>
      <c r="AL326" s="172"/>
      <c r="AM326" s="172"/>
      <c r="AN326" s="172"/>
      <c r="AO326" s="172"/>
      <c r="AP326" s="1486" t="s">
        <v>899</v>
      </c>
      <c r="AQ326" s="5086"/>
      <c r="AR326" s="196" t="s">
        <v>11</v>
      </c>
      <c r="AS326" s="157" t="str">
        <f>AS292</f>
        <v>E ESPECIAS PARA MORCILLA | | Autor &gt; Guy KRENZE - Eric GODDYN - Arnaud NICOLAS - CEPROC 2002</v>
      </c>
      <c r="AT326" s="157">
        <f>AT292</f>
        <v>408</v>
      </c>
      <c r="AU326" s="158" t="str">
        <f>AU292</f>
        <v>g</v>
      </c>
      <c r="AV326" s="159" t="str">
        <f>AV292</f>
        <v>Receta madre ► Morcilla en 4 versiones</v>
      </c>
      <c r="AW326" s="172"/>
      <c r="AX326" s="172"/>
      <c r="AY326" s="172"/>
      <c r="AZ326" s="172"/>
      <c r="BA326" s="172"/>
      <c r="BB326" s="172"/>
      <c r="BC326" s="172"/>
      <c r="BD326" s="172"/>
      <c r="BE326" s="172"/>
      <c r="BF326" s="1486" t="s">
        <v>913</v>
      </c>
      <c r="BG326" s="5086"/>
      <c r="BH326" s="104"/>
      <c r="BI326" s="32"/>
      <c r="BJ326" s="33"/>
      <c r="BK326" s="32"/>
      <c r="BL326" s="34"/>
      <c r="BM326" s="92"/>
      <c r="BN326" s="108"/>
      <c r="BO326" s="94"/>
      <c r="BP326" s="95"/>
      <c r="BQ326" s="105"/>
      <c r="BR326" s="5101"/>
      <c r="BS326" s="920"/>
      <c r="BT326" s="1495"/>
      <c r="BU326" s="101"/>
      <c r="BV326" s="1475"/>
      <c r="BW326" s="5086"/>
      <c r="BX326" s="104"/>
      <c r="BY326" s="32"/>
      <c r="BZ326" s="33"/>
      <c r="CA326" s="32"/>
      <c r="CB326" s="34"/>
      <c r="CC326" s="92"/>
      <c r="CD326" s="108"/>
      <c r="CE326" s="94"/>
      <c r="CF326" s="95"/>
      <c r="CG326" s="105"/>
      <c r="CH326" s="5101"/>
      <c r="CI326" s="920"/>
      <c r="CJ326" s="1495"/>
      <c r="CK326" s="101"/>
      <c r="CL326" s="1475"/>
      <c r="CM326" s="5086"/>
      <c r="CN326" s="104"/>
      <c r="CO326" s="32"/>
      <c r="CP326" s="33"/>
      <c r="CQ326" s="32"/>
      <c r="CR326" s="34"/>
      <c r="CS326" s="92"/>
      <c r="CT326" s="108"/>
      <c r="CU326" s="94"/>
      <c r="CV326" s="95"/>
      <c r="CW326" s="105"/>
      <c r="CX326" s="5101"/>
      <c r="CY326" s="920"/>
      <c r="CZ326" s="1495"/>
      <c r="DA326" s="101"/>
      <c r="DB326" s="1475"/>
      <c r="DC326" s="5109"/>
      <c r="DD326" s="5086"/>
      <c r="DF326" s="3">
        <v>1</v>
      </c>
      <c r="EY326" s="70" t="str">
        <f>IF(ISTEXT(EZ326),"Receta madre ►",EU326)</f>
        <v>Receta madre ►</v>
      </c>
      <c r="EZ326" s="71" t="s">
        <v>3318</v>
      </c>
      <c r="FA326" s="71"/>
      <c r="FB326" s="72"/>
      <c r="FC326" s="1473"/>
    </row>
    <row r="327" spans="2:159" ht="18.75">
      <c r="B327" s="952" t="str">
        <f t="shared" si="62"/>
        <v>A</v>
      </c>
      <c r="C327" s="993" cm="1">
        <f t="array" ref="C327">SUMPRODUCT(LEN(D327:J327))</f>
        <v>0</v>
      </c>
      <c r="D327" s="167"/>
      <c r="E327" s="172"/>
      <c r="F327" s="172"/>
      <c r="G327" s="172"/>
      <c r="H327" s="172"/>
      <c r="I327" s="172"/>
      <c r="J327" s="173"/>
      <c r="K327"/>
      <c r="L327" s="196" t="s">
        <v>11</v>
      </c>
      <c r="M327" s="157" t="str">
        <f>M292</f>
        <v>É ÉPICES POUR BOUDIN | |  Author &gt; Guy KRENZE - Eric GODDYN - Arnaud NICOLAS - CEPROC 2002</v>
      </c>
      <c r="N327" s="157">
        <f>N292</f>
        <v>408</v>
      </c>
      <c r="O327" s="158" t="str">
        <f>O292</f>
        <v>g</v>
      </c>
      <c r="P327" s="159" t="str">
        <f>P292</f>
        <v>Master recipe ► le Boudin en 4 déclinaisons</v>
      </c>
      <c r="Q327" s="204"/>
      <c r="R327" s="204"/>
      <c r="S327" s="204" t="s">
        <v>201</v>
      </c>
      <c r="T327" s="205"/>
      <c r="U327" s="206"/>
      <c r="V327" s="206"/>
      <c r="W327" s="206"/>
      <c r="X327" s="206"/>
      <c r="Y327" s="206"/>
      <c r="Z327" s="567"/>
      <c r="AA327" s="5086"/>
      <c r="AB327" s="196" t="s">
        <v>11</v>
      </c>
      <c r="AC327" s="157" t="str">
        <f>AC292</f>
        <v>S SPICES FOR BLOOD SAUSAGE | |  Author &gt; Guy KRENZE - Eric GODDYN - Arnaud NICOLAS - CEPROC 2002</v>
      </c>
      <c r="AD327" s="157">
        <f>AD292</f>
        <v>408</v>
      </c>
      <c r="AE327" s="158" t="str">
        <f>AE292</f>
        <v>g</v>
      </c>
      <c r="AF327" s="159" t="str">
        <f>AF292</f>
        <v>Master recipe ► Black pudding in 4 variations</v>
      </c>
      <c r="AG327" s="204"/>
      <c r="AH327" s="204"/>
      <c r="AI327" s="204" t="s">
        <v>661</v>
      </c>
      <c r="AJ327" s="205"/>
      <c r="AK327" s="206"/>
      <c r="AL327" s="206"/>
      <c r="AM327" s="206"/>
      <c r="AN327" s="206"/>
      <c r="AO327" s="206"/>
      <c r="AP327" s="567"/>
      <c r="AQ327" s="5086"/>
      <c r="AR327" s="196" t="s">
        <v>11</v>
      </c>
      <c r="AS327" s="157" t="str">
        <f>AS292</f>
        <v>E ESPECIAS PARA MORCILLA | | Autor &gt; Guy KRENZE - Eric GODDYN - Arnaud NICOLAS - CEPROC 2002</v>
      </c>
      <c r="AT327" s="157">
        <f>AT292</f>
        <v>408</v>
      </c>
      <c r="AU327" s="158" t="str">
        <f>AU292</f>
        <v>g</v>
      </c>
      <c r="AV327" s="159" t="str">
        <f>AV292</f>
        <v>Receta madre ► Morcilla en 4 versiones</v>
      </c>
      <c r="AW327" s="204"/>
      <c r="AX327" s="204"/>
      <c r="AY327" s="204" t="s">
        <v>915</v>
      </c>
      <c r="AZ327" s="205"/>
      <c r="BA327" s="206"/>
      <c r="BB327" s="206"/>
      <c r="BC327" s="206"/>
      <c r="BD327" s="206"/>
      <c r="BE327" s="206"/>
      <c r="BF327" s="567"/>
      <c r="BG327" s="5086"/>
      <c r="BH327" s="104"/>
      <c r="BI327" s="32"/>
      <c r="BJ327" s="33"/>
      <c r="BK327" s="32"/>
      <c r="BL327" s="34"/>
      <c r="BM327" s="92"/>
      <c r="BN327" s="108"/>
      <c r="BO327" s="94"/>
      <c r="BP327" s="95"/>
      <c r="BQ327" s="105"/>
      <c r="BR327" s="5101"/>
      <c r="BS327" s="920"/>
      <c r="BT327" s="1495"/>
      <c r="BU327" s="101"/>
      <c r="BV327" s="1475"/>
      <c r="BW327" s="5086"/>
      <c r="BX327" s="104"/>
      <c r="BY327" s="32"/>
      <c r="BZ327" s="33"/>
      <c r="CA327" s="32"/>
      <c r="CB327" s="34"/>
      <c r="CC327" s="92"/>
      <c r="CD327" s="108"/>
      <c r="CE327" s="94"/>
      <c r="CF327" s="95"/>
      <c r="CG327" s="105"/>
      <c r="CH327" s="5101"/>
      <c r="CI327" s="920"/>
      <c r="CJ327" s="1495"/>
      <c r="CK327" s="101"/>
      <c r="CL327" s="1475"/>
      <c r="CM327" s="5086"/>
      <c r="CN327" s="104"/>
      <c r="CO327" s="32"/>
      <c r="CP327" s="33"/>
      <c r="CQ327" s="32"/>
      <c r="CR327" s="34"/>
      <c r="CS327" s="92"/>
      <c r="CT327" s="108"/>
      <c r="CU327" s="94"/>
      <c r="CV327" s="95"/>
      <c r="CW327" s="105"/>
      <c r="CX327" s="5101"/>
      <c r="CY327" s="920"/>
      <c r="CZ327" s="1495"/>
      <c r="DA327" s="101"/>
      <c r="DB327" s="1475"/>
      <c r="DC327" s="5109"/>
      <c r="DD327" s="5086"/>
      <c r="DF327" s="3">
        <v>1</v>
      </c>
      <c r="EY327" s="78" t="s">
        <v>71</v>
      </c>
      <c r="EZ327" s="79" t="s">
        <v>72</v>
      </c>
      <c r="FA327" s="1496" t="s">
        <v>73</v>
      </c>
      <c r="FB327" s="13" t="s">
        <v>74</v>
      </c>
      <c r="FC327" s="518" t="s">
        <v>75</v>
      </c>
    </row>
    <row r="328" spans="2:159" ht="15.75" customHeight="1">
      <c r="B328" s="952" t="str">
        <f t="shared" si="62"/>
        <v>A</v>
      </c>
      <c r="C328" s="993" cm="1">
        <f t="array" ref="C328">SUMPRODUCT(LEN(D328:J328))</f>
        <v>0</v>
      </c>
      <c r="D328" s="167"/>
      <c r="E328" s="172"/>
      <c r="F328" s="172"/>
      <c r="G328" s="172"/>
      <c r="H328" s="172"/>
      <c r="I328" s="172"/>
      <c r="J328" s="173"/>
      <c r="K328"/>
      <c r="L328" s="196" t="s">
        <v>11</v>
      </c>
      <c r="M328" s="209" t="str">
        <f>M292</f>
        <v>É ÉPICES POUR BOUDIN | |  Author &gt; Guy KRENZE - Eric GODDYN - Arnaud NICOLAS - CEPROC 2002</v>
      </c>
      <c r="N328" s="209">
        <f>N292</f>
        <v>408</v>
      </c>
      <c r="O328" s="210" t="str">
        <f>O292</f>
        <v>g</v>
      </c>
      <c r="P328" s="211" t="str">
        <f>P292</f>
        <v>Master recipe ► le Boudin en 4 déclinaisons</v>
      </c>
      <c r="Q328" s="212"/>
      <c r="R328" s="213"/>
      <c r="S328" s="214"/>
      <c r="T328" s="215"/>
      <c r="U328" s="214"/>
      <c r="V328" s="214"/>
      <c r="W328" s="214"/>
      <c r="X328" s="214"/>
      <c r="Y328" s="214"/>
      <c r="Z328" s="582"/>
      <c r="AA328" s="5086"/>
      <c r="AB328" s="196" t="s">
        <v>11</v>
      </c>
      <c r="AC328" s="209" t="str">
        <f>AC292</f>
        <v>S SPICES FOR BLOOD SAUSAGE | |  Author &gt; Guy KRENZE - Eric GODDYN - Arnaud NICOLAS - CEPROC 2002</v>
      </c>
      <c r="AD328" s="209">
        <f>AD292</f>
        <v>408</v>
      </c>
      <c r="AE328" s="210" t="str">
        <f>AE292</f>
        <v>g</v>
      </c>
      <c r="AF328" s="211" t="str">
        <f>AF292</f>
        <v>Master recipe ► Black pudding in 4 variations</v>
      </c>
      <c r="AG328" s="212"/>
      <c r="AH328" s="213"/>
      <c r="AI328" s="214"/>
      <c r="AJ328" s="215"/>
      <c r="AK328" s="214"/>
      <c r="AL328" s="214"/>
      <c r="AM328" s="214"/>
      <c r="AN328" s="214"/>
      <c r="AO328" s="214"/>
      <c r="AP328" s="582"/>
      <c r="AQ328" s="5086"/>
      <c r="AR328" s="196" t="s">
        <v>11</v>
      </c>
      <c r="AS328" s="209" t="str">
        <f>AS292</f>
        <v>E ESPECIAS PARA MORCILLA | | Autor &gt; Guy KRENZE - Eric GODDYN - Arnaud NICOLAS - CEPROC 2002</v>
      </c>
      <c r="AT328" s="209">
        <f>AT292</f>
        <v>408</v>
      </c>
      <c r="AU328" s="210" t="str">
        <f>AU292</f>
        <v>g</v>
      </c>
      <c r="AV328" s="211" t="str">
        <f>AV292</f>
        <v>Receta madre ► Morcilla en 4 versiones</v>
      </c>
      <c r="AW328" s="212"/>
      <c r="AX328" s="213"/>
      <c r="AY328" s="214"/>
      <c r="AZ328" s="215"/>
      <c r="BA328" s="214"/>
      <c r="BB328" s="214"/>
      <c r="BC328" s="214"/>
      <c r="BD328" s="214"/>
      <c r="BE328" s="214"/>
      <c r="BF328" s="582"/>
      <c r="BG328" s="5086"/>
      <c r="BH328" s="104"/>
      <c r="BI328" s="32"/>
      <c r="BJ328" s="33"/>
      <c r="BK328" s="32"/>
      <c r="BL328" s="34"/>
      <c r="BM328" s="92"/>
      <c r="BN328" s="108"/>
      <c r="BO328" s="94"/>
      <c r="BP328" s="95"/>
      <c r="BQ328" s="105"/>
      <c r="BR328" s="5101"/>
      <c r="BS328" s="920"/>
      <c r="BT328" s="1495"/>
      <c r="BU328" s="101"/>
      <c r="BV328" s="1475"/>
      <c r="BW328" s="5086"/>
      <c r="BX328" s="104"/>
      <c r="BY328" s="32"/>
      <c r="BZ328" s="33"/>
      <c r="CA328" s="32"/>
      <c r="CB328" s="34"/>
      <c r="CC328" s="92"/>
      <c r="CD328" s="108"/>
      <c r="CE328" s="94"/>
      <c r="CF328" s="95"/>
      <c r="CG328" s="105"/>
      <c r="CH328" s="5101"/>
      <c r="CI328" s="920"/>
      <c r="CJ328" s="1495"/>
      <c r="CK328" s="101"/>
      <c r="CL328" s="1475"/>
      <c r="CM328" s="5086"/>
      <c r="CN328" s="104"/>
      <c r="CO328" s="32"/>
      <c r="CP328" s="33"/>
      <c r="CQ328" s="32"/>
      <c r="CR328" s="34"/>
      <c r="CS328" s="92"/>
      <c r="CT328" s="108"/>
      <c r="CU328" s="94"/>
      <c r="CV328" s="95"/>
      <c r="CW328" s="105"/>
      <c r="CX328" s="5101"/>
      <c r="CY328" s="920"/>
      <c r="CZ328" s="1495"/>
      <c r="DA328" s="101"/>
      <c r="DB328" s="1475"/>
      <c r="DC328" s="5109"/>
      <c r="DD328" s="5086"/>
      <c r="DF328" s="3">
        <v>1</v>
      </c>
      <c r="EY328" s="5481" t="s">
        <v>396</v>
      </c>
      <c r="EZ328" s="84" t="s">
        <v>82</v>
      </c>
      <c r="FA328" s="5444" t="s">
        <v>249</v>
      </c>
      <c r="FB328" s="5446" t="s">
        <v>907</v>
      </c>
      <c r="FC328" s="5448" t="s">
        <v>252</v>
      </c>
    </row>
    <row r="329" spans="2:159" ht="19.5" thickBot="1">
      <c r="B329" s="952" t="str">
        <f t="shared" si="62"/>
        <v>A</v>
      </c>
      <c r="C329" s="993" cm="1">
        <f t="array" ref="C329">SUMPRODUCT(LEN(D329:J329))</f>
        <v>0</v>
      </c>
      <c r="D329" s="167"/>
      <c r="E329" s="172"/>
      <c r="F329" s="172"/>
      <c r="G329" s="172"/>
      <c r="H329" s="172"/>
      <c r="I329" s="172"/>
      <c r="J329" s="173"/>
      <c r="K329"/>
      <c r="L329" s="216" t="s">
        <v>11</v>
      </c>
      <c r="M329" s="217"/>
      <c r="N329" s="217"/>
      <c r="O329" s="217"/>
      <c r="P329" s="218"/>
      <c r="Q329" s="219" t="s">
        <v>208</v>
      </c>
      <c r="R329" s="1481" t="str">
        <f ca="1">CELL("nomfichier")</f>
        <v>D:\Données\1.UPRT\0-UPRT.fait\1-UPRT.FR-SITE-WEB\ff-fiches-fabrications\ff.fiches.fabrication.2023\ffr.restaurant.2023\[ff.FICHE.TRILINGUE.15.COLONNES.29.11.2025.xlsx]Notice.utilisateur</v>
      </c>
      <c r="S329" s="220"/>
      <c r="T329" s="220"/>
      <c r="U329" s="220"/>
      <c r="V329" s="220"/>
      <c r="W329" s="220"/>
      <c r="X329" s="220"/>
      <c r="Y329" s="220"/>
      <c r="Z329" s="221"/>
      <c r="AA329" s="5086"/>
      <c r="AB329" s="216" t="s">
        <v>11</v>
      </c>
      <c r="AC329" s="217"/>
      <c r="AD329" s="217"/>
      <c r="AE329" s="217"/>
      <c r="AF329" s="218"/>
      <c r="AG329" s="219" t="s">
        <v>208</v>
      </c>
      <c r="AH329" s="1481" t="str">
        <f ca="1">CELL("nomfichier")</f>
        <v>D:\Données\1.UPRT\0-UPRT.fait\1-UPRT.FR-SITE-WEB\ff-fiches-fabrications\ff.fiches.fabrication.2023\ffr.restaurant.2023\[ff.FICHE.TRILINGUE.15.COLONNES.29.11.2025.xlsx]Notice.utilisateur</v>
      </c>
      <c r="AI329" s="220"/>
      <c r="AJ329" s="220"/>
      <c r="AK329" s="220"/>
      <c r="AL329" s="220"/>
      <c r="AM329" s="220"/>
      <c r="AN329" s="220"/>
      <c r="AO329" s="220"/>
      <c r="AP329" s="221"/>
      <c r="AQ329" s="5086"/>
      <c r="AR329" s="216" t="s">
        <v>11</v>
      </c>
      <c r="AS329" s="217"/>
      <c r="AT329" s="217"/>
      <c r="AU329" s="217"/>
      <c r="AV329" s="218"/>
      <c r="AW329" s="219" t="s">
        <v>208</v>
      </c>
      <c r="AX329" s="1481" t="str">
        <f ca="1">CELL("nomfichier")</f>
        <v>D:\Données\1.UPRT\0-UPRT.fait\1-UPRT.FR-SITE-WEB\ff-fiches-fabrications\ff.fiches.fabrication.2023\ffr.restaurant.2023\[ff.FICHE.TRILINGUE.15.COLONNES.29.11.2025.xlsx]Notice.utilisateur</v>
      </c>
      <c r="AY329" s="220"/>
      <c r="AZ329" s="220"/>
      <c r="BA329" s="220"/>
      <c r="BB329" s="220"/>
      <c r="BC329" s="220"/>
      <c r="BD329" s="220"/>
      <c r="BE329" s="220"/>
      <c r="BF329" s="221"/>
      <c r="BG329" s="5086"/>
      <c r="BH329" s="104"/>
      <c r="BI329" s="32"/>
      <c r="BJ329" s="33"/>
      <c r="BK329" s="32"/>
      <c r="BL329" s="34"/>
      <c r="BM329" s="92"/>
      <c r="BN329" s="108"/>
      <c r="BO329" s="94"/>
      <c r="BP329" s="95"/>
      <c r="BQ329" s="105"/>
      <c r="BR329" s="5101"/>
      <c r="BS329" s="920"/>
      <c r="BT329" s="1495"/>
      <c r="BU329" s="101"/>
      <c r="BV329" s="1475"/>
      <c r="BW329" s="5086"/>
      <c r="BX329" s="104"/>
      <c r="BY329" s="32"/>
      <c r="BZ329" s="33"/>
      <c r="CA329" s="32"/>
      <c r="CB329" s="34"/>
      <c r="CC329" s="92"/>
      <c r="CD329" s="108"/>
      <c r="CE329" s="94"/>
      <c r="CF329" s="95"/>
      <c r="CG329" s="105"/>
      <c r="CH329" s="5101"/>
      <c r="CI329" s="920"/>
      <c r="CJ329" s="1495"/>
      <c r="CK329" s="101"/>
      <c r="CL329" s="1475"/>
      <c r="CM329" s="5086"/>
      <c r="CN329" s="104"/>
      <c r="CO329" s="32"/>
      <c r="CP329" s="33"/>
      <c r="CQ329" s="32"/>
      <c r="CR329" s="34"/>
      <c r="CS329" s="92"/>
      <c r="CT329" s="108"/>
      <c r="CU329" s="94"/>
      <c r="CV329" s="95"/>
      <c r="CW329" s="105"/>
      <c r="CX329" s="5101"/>
      <c r="CY329" s="920"/>
      <c r="CZ329" s="1495"/>
      <c r="DA329" s="101"/>
      <c r="DB329" s="1475"/>
      <c r="DC329" s="5109"/>
      <c r="DD329" s="5086"/>
      <c r="DF329" s="3">
        <v>1</v>
      </c>
      <c r="EY329" s="5467"/>
      <c r="EZ329" s="90" t="s">
        <v>869</v>
      </c>
      <c r="FA329" s="5445"/>
      <c r="FB329" s="5447"/>
      <c r="FC329" s="5449"/>
    </row>
    <row r="330" spans="2:159" ht="19.5" thickBot="1">
      <c r="B330" s="952" t="str">
        <f t="shared" si="62"/>
        <v>A</v>
      </c>
      <c r="C330" s="993" cm="1">
        <f t="array" ref="C330">SUMPRODUCT(LEN(D330:J330))</f>
        <v>0</v>
      </c>
      <c r="D330" s="167"/>
      <c r="E330" s="172"/>
      <c r="F330" s="172"/>
      <c r="G330" s="172"/>
      <c r="H330" s="172"/>
      <c r="I330" s="172"/>
      <c r="J330" s="173"/>
      <c r="K330"/>
      <c r="L330" s="5215" t="s">
        <v>11</v>
      </c>
      <c r="M330" s="5216" t="s">
        <v>11</v>
      </c>
      <c r="N330" s="5216" t="s">
        <v>11</v>
      </c>
      <c r="O330" s="5216" t="s">
        <v>11</v>
      </c>
      <c r="P330" s="5216" t="s">
        <v>11</v>
      </c>
      <c r="Q330" s="5217" t="s">
        <v>2613</v>
      </c>
      <c r="R330" s="5218"/>
      <c r="S330" s="5219"/>
      <c r="T330" s="5220"/>
      <c r="U330" s="5221"/>
      <c r="V330" s="5222"/>
      <c r="W330" s="5220"/>
      <c r="X330" s="5220"/>
      <c r="Y330" s="5220"/>
      <c r="Z330" s="5223" t="s">
        <v>1948</v>
      </c>
      <c r="AA330" s="5086"/>
      <c r="AB330" s="5215" t="s">
        <v>11</v>
      </c>
      <c r="AC330" s="5216" t="s">
        <v>11</v>
      </c>
      <c r="AD330" s="5216" t="s">
        <v>11</v>
      </c>
      <c r="AE330" s="5216" t="s">
        <v>11</v>
      </c>
      <c r="AF330" s="5216" t="s">
        <v>11</v>
      </c>
      <c r="AG330" s="5217" t="s">
        <v>2613</v>
      </c>
      <c r="AH330" s="5218"/>
      <c r="AI330" s="5219"/>
      <c r="AJ330" s="5220"/>
      <c r="AK330" s="5221"/>
      <c r="AL330" s="5222"/>
      <c r="AM330" s="5220"/>
      <c r="AN330" s="5220"/>
      <c r="AO330" s="5220"/>
      <c r="AP330" s="5223" t="s">
        <v>1948</v>
      </c>
      <c r="AQ330" s="5086"/>
      <c r="AR330" s="5215" t="s">
        <v>11</v>
      </c>
      <c r="AS330" s="5216" t="s">
        <v>11</v>
      </c>
      <c r="AT330" s="5216" t="s">
        <v>11</v>
      </c>
      <c r="AU330" s="5216" t="s">
        <v>11</v>
      </c>
      <c r="AV330" s="5216" t="s">
        <v>11</v>
      </c>
      <c r="AW330" s="5217" t="s">
        <v>2613</v>
      </c>
      <c r="AX330" s="5218"/>
      <c r="AY330" s="5219"/>
      <c r="AZ330" s="5220"/>
      <c r="BA330" s="5221"/>
      <c r="BB330" s="5222"/>
      <c r="BC330" s="5220"/>
      <c r="BD330" s="5220"/>
      <c r="BE330" s="5220"/>
      <c r="BF330" s="5223" t="s">
        <v>1948</v>
      </c>
      <c r="BG330" s="5086"/>
      <c r="BH330" s="104"/>
      <c r="BI330" s="32"/>
      <c r="BJ330" s="33"/>
      <c r="BK330" s="32"/>
      <c r="BL330" s="34"/>
      <c r="BM330" s="92"/>
      <c r="BN330" s="108"/>
      <c r="BO330" s="94"/>
      <c r="BP330" s="95"/>
      <c r="BQ330" s="105"/>
      <c r="BR330" s="5101"/>
      <c r="BS330" s="920"/>
      <c r="BT330" s="1495"/>
      <c r="BU330" s="101"/>
      <c r="BV330" s="1475"/>
      <c r="BW330" s="5086"/>
      <c r="BX330" s="104"/>
      <c r="BY330" s="32"/>
      <c r="BZ330" s="33"/>
      <c r="CA330" s="32"/>
      <c r="CB330" s="34"/>
      <c r="CC330" s="92"/>
      <c r="CD330" s="108"/>
      <c r="CE330" s="94"/>
      <c r="CF330" s="95"/>
      <c r="CG330" s="105"/>
      <c r="CH330" s="5101"/>
      <c r="CI330" s="920"/>
      <c r="CJ330" s="1495"/>
      <c r="CK330" s="101"/>
      <c r="CL330" s="1475"/>
      <c r="CM330" s="5086"/>
      <c r="CN330" s="104"/>
      <c r="CO330" s="32"/>
      <c r="CP330" s="33"/>
      <c r="CQ330" s="32"/>
      <c r="CR330" s="34"/>
      <c r="CS330" s="92"/>
      <c r="CT330" s="108"/>
      <c r="CU330" s="94"/>
      <c r="CV330" s="95"/>
      <c r="CW330" s="105"/>
      <c r="CX330" s="5101"/>
      <c r="CY330" s="920"/>
      <c r="CZ330" s="1495"/>
      <c r="DA330" s="101"/>
      <c r="DB330" s="1475"/>
      <c r="DC330" s="5109"/>
      <c r="DD330" s="5086"/>
      <c r="DF330" s="3">
        <v>1</v>
      </c>
      <c r="EY330" s="127">
        <v>1</v>
      </c>
      <c r="EZ330" s="5037" t="s">
        <v>13000</v>
      </c>
      <c r="FA330" s="100">
        <f>IF(OR(ISBLANK(ET324),FA324=0),0,ET330*EY325)</f>
        <v>0</v>
      </c>
      <c r="FB330" s="101">
        <f>IFERROR(_xlfn.LET(_xlpm.v,IFERROR(_xlfn.XLOOKUP(EX330,ET361:FC361,ET362:FC362),_xlfn.XLOOKUP(EX330,ET363:FC363,ET364:FC364)),_xlpm.v*EW330*EY330*EY325*IF(ISBLANK(ET330),1,ET330)),0)</f>
        <v>0</v>
      </c>
      <c r="FC330" s="1476" t="str">
        <f>_xlfn.LET(_xlpm.unite,SUBSTITUTE(TRIM(EX330)," (s)",""),_xlpm.val,FB330,_xlpm.estVol,COUNTIF(EW361:FC361,_xlpm.unite)+COUNTIF(EW363:FC363,_xlpm.unite)&gt;0,_xlpm.estPoids,COUNTIF(ET361:EV361,_xlpm.unite)+COUNTIF(ET363:EV363,_xlpm.unite)&gt;0,IF(_xlpm.estVol,IF(ROUND(_xlpm.val,3)&gt;=1,ROUND(_xlpm.val,3)&amp;" L",MAX(1,ROUND(_xlpm.val*100,0))&amp;" cl"),IF(_xlpm.estPoids,IF(ROUND(_xlpm.val,3)&gt;=1,ROUND(_xlpm.val,3)&amp;" Kg",MAX(1,ROUND(_xlpm.val*1000,0))&amp;" g"),"")))</f>
        <v>1 cl</v>
      </c>
    </row>
    <row r="331" spans="2:159" ht="18.75" customHeight="1">
      <c r="B331" s="952" t="str">
        <f t="shared" si="62"/>
        <v>A</v>
      </c>
      <c r="C331" s="993" cm="1">
        <f t="array" ref="C331">SUMPRODUCT(LEN(D331:J331))</f>
        <v>0</v>
      </c>
      <c r="D331" s="167"/>
      <c r="E331" s="172"/>
      <c r="F331" s="172"/>
      <c r="G331" s="172"/>
      <c r="H331" s="172"/>
      <c r="I331" s="172"/>
      <c r="J331" s="173"/>
      <c r="K331"/>
      <c r="L331" s="22" t="s">
        <v>11</v>
      </c>
      <c r="M331" s="23" t="str">
        <f>M337</f>
        <v>B BAUDRUCHE DE COPAIN | | Auteur &gt; Guy KRENZE - Eric GODDYN - Arnaud NICOLAS - CEPROC 2002</v>
      </c>
      <c r="N331" s="24">
        <f>N337</f>
        <v>9.0500000000000007</v>
      </c>
      <c r="O331" s="24" t="str">
        <f>O337</f>
        <v>Kg</v>
      </c>
      <c r="P331" s="25" t="str">
        <f>P337</f>
        <v>Recette mère ► le Boudin en 4 déclinaisons</v>
      </c>
      <c r="Q331" s="26" t="s">
        <v>23</v>
      </c>
      <c r="R331" s="5471" t="s">
        <v>13117</v>
      </c>
      <c r="S331" s="5471"/>
      <c r="T331" s="5471"/>
      <c r="U331" s="5471"/>
      <c r="V331" s="5471"/>
      <c r="W331" s="5471"/>
      <c r="X331" s="5496" t="s">
        <v>3309</v>
      </c>
      <c r="Y331" s="5496"/>
      <c r="Z331" s="5475" t="str">
        <f>UPPER(LEFT(R331,1))</f>
        <v>B</v>
      </c>
      <c r="AA331" s="5086"/>
      <c r="AB331" s="22" t="s">
        <v>11</v>
      </c>
      <c r="AC331" s="23" t="str">
        <f>AC337</f>
        <v>B BAUDRUCHE DE COPAIN | |  Author &gt; Guy KRENZE - Eric GODDYN - Arnaud NICOLAS - CEPROC 2002</v>
      </c>
      <c r="AD331" s="24">
        <f>AD337</f>
        <v>9.0500000000000007</v>
      </c>
      <c r="AE331" s="24" t="str">
        <f>AE337</f>
        <v>Kg</v>
      </c>
      <c r="AF331" s="25" t="str">
        <f>AF337</f>
        <v>Master recipe ► Black pudding in 4 variations</v>
      </c>
      <c r="AG331" s="26" t="s">
        <v>23</v>
      </c>
      <c r="AH331" s="5471" t="s">
        <v>13117</v>
      </c>
      <c r="AI331" s="5471"/>
      <c r="AJ331" s="5471"/>
      <c r="AK331" s="5471"/>
      <c r="AL331" s="5471"/>
      <c r="AM331" s="5471"/>
      <c r="AN331" s="5473" t="s">
        <v>13134</v>
      </c>
      <c r="AO331" s="5473"/>
      <c r="AP331" s="5475" t="str">
        <f>UPPER(LEFT(AH331,1))</f>
        <v>B</v>
      </c>
      <c r="AQ331" s="5086"/>
      <c r="AR331" s="22" t="s">
        <v>11</v>
      </c>
      <c r="AS331" s="23" t="str">
        <f>AS337</f>
        <v>B BAUDRUCHE DE COPAIN | | Autor &gt; Guy KRENZE - Eric GODDYN - Arnaud NICOLAS - CEPROC 2002</v>
      </c>
      <c r="AT331" s="24">
        <f>AT337</f>
        <v>9.0500000000000007</v>
      </c>
      <c r="AU331" s="24" t="str">
        <f>AU337</f>
        <v>Kg</v>
      </c>
      <c r="AV331" s="25" t="str">
        <f>AV337</f>
        <v>Receta madre ► Morcilla en 4 versiones</v>
      </c>
      <c r="AW331" s="26" t="s">
        <v>23</v>
      </c>
      <c r="AX331" s="5471" t="s">
        <v>13117</v>
      </c>
      <c r="AY331" s="5471"/>
      <c r="AZ331" s="5471"/>
      <c r="BA331" s="5471"/>
      <c r="BB331" s="5471"/>
      <c r="BC331" s="5471"/>
      <c r="BD331" s="5473" t="s">
        <v>13135</v>
      </c>
      <c r="BE331" s="5473"/>
      <c r="BF331" s="5475" t="str">
        <f>UPPER(LEFT(AX331,1))</f>
        <v>B</v>
      </c>
      <c r="BG331" s="5086"/>
      <c r="BH331" s="104"/>
      <c r="BI331" s="32"/>
      <c r="BJ331" s="33"/>
      <c r="BK331" s="32"/>
      <c r="BL331" s="34"/>
      <c r="BM331" s="92"/>
      <c r="BN331" s="108"/>
      <c r="BO331" s="94"/>
      <c r="BP331" s="95"/>
      <c r="BQ331" s="105"/>
      <c r="BR331" s="5101"/>
      <c r="BS331" s="920"/>
      <c r="BT331" s="1495"/>
      <c r="BU331" s="101"/>
      <c r="BV331" s="1475"/>
      <c r="BW331" s="5086"/>
      <c r="BX331" s="104"/>
      <c r="BY331" s="32"/>
      <c r="BZ331" s="33"/>
      <c r="CA331" s="32"/>
      <c r="CB331" s="34"/>
      <c r="CC331" s="92"/>
      <c r="CD331" s="108"/>
      <c r="CE331" s="94"/>
      <c r="CF331" s="95"/>
      <c r="CG331" s="105"/>
      <c r="CH331" s="5101"/>
      <c r="CI331" s="920"/>
      <c r="CJ331" s="1495"/>
      <c r="CK331" s="101"/>
      <c r="CL331" s="1475"/>
      <c r="CM331" s="5086"/>
      <c r="CN331" s="104"/>
      <c r="CO331" s="32"/>
      <c r="CP331" s="33"/>
      <c r="CQ331" s="32"/>
      <c r="CR331" s="34"/>
      <c r="CS331" s="92"/>
      <c r="CT331" s="108"/>
      <c r="CU331" s="94"/>
      <c r="CV331" s="95"/>
      <c r="CW331" s="105"/>
      <c r="CX331" s="5101"/>
      <c r="CY331" s="920"/>
      <c r="CZ331" s="1495"/>
      <c r="DA331" s="101"/>
      <c r="DB331" s="1475"/>
      <c r="DC331" s="5109"/>
      <c r="DD331" s="5086"/>
      <c r="DF331" s="3">
        <v>1</v>
      </c>
      <c r="EY331" s="127">
        <v>1</v>
      </c>
      <c r="EZ331" s="920" t="s">
        <v>12953</v>
      </c>
      <c r="FA331" s="1495">
        <f>IF(OR(ISBLANK(ET324),FA324=0),0,ET331*EY325)</f>
        <v>0</v>
      </c>
      <c r="FB331" s="101">
        <f>IFERROR(_xlfn.LET(_xlpm.v,IFERROR(_xlfn.XLOOKUP(EX331,ET361:FC361,ET362:FC362),_xlfn.XLOOKUP(EX331,ET363:FC363,ET364:FC364)),_xlpm.v*EW331*EY331*EY325*IF(ISBLANK(ET331),1,ET331)),0)</f>
        <v>0</v>
      </c>
      <c r="FC331" s="1475" t="str">
        <f>_xlfn.LET(_xlpm.unite,SUBSTITUTE(TRIM(EX331)," (s)",""),_xlpm.val,FB331,_xlpm.estVol,COUNTIF(EW361:FC361,_xlpm.unite)+COUNTIF(EW363:FC363,_xlpm.unite)&gt;0,_xlpm.estPoids,COUNTIF(ET361:EV361,_xlpm.unite)+COUNTIF(ET363:EV363,_xlpm.unite)&gt;0,IF(_xlpm.estVol,IF(ROUND(_xlpm.val,3)&gt;=1,ROUND(_xlpm.val,3)&amp;" L",MAX(1,ROUND(_xlpm.val*100,0))&amp;" cl"),IF(_xlpm.estPoids,IF(ROUND(_xlpm.val,3)&gt;=1,ROUND(_xlpm.val,3)&amp;" Kg",MAX(1,ROUND(_xlpm.val*1000,0))&amp;" g"),"")))</f>
        <v>1 cl</v>
      </c>
    </row>
    <row r="332" spans="2:159" ht="18.75" customHeight="1">
      <c r="B332" s="952" t="str">
        <f t="shared" si="62"/>
        <v>A</v>
      </c>
      <c r="C332" s="993" cm="1">
        <f t="array" ref="C332">SUMPRODUCT(LEN(D332:J332))</f>
        <v>0</v>
      </c>
      <c r="D332" s="167"/>
      <c r="E332" s="172"/>
      <c r="F332" s="172"/>
      <c r="G332" s="172"/>
      <c r="H332" s="172"/>
      <c r="I332" s="172"/>
      <c r="J332" s="173"/>
      <c r="K332"/>
      <c r="L332" s="27" t="s">
        <v>11</v>
      </c>
      <c r="M332" s="28" t="str">
        <f>M337</f>
        <v>B BAUDRUCHE DE COPAIN | | Auteur &gt; Guy KRENZE - Eric GODDYN - Arnaud NICOLAS - CEPROC 2002</v>
      </c>
      <c r="N332" s="29">
        <f>N337</f>
        <v>9.0500000000000007</v>
      </c>
      <c r="O332" s="29" t="str">
        <f>O337</f>
        <v>Kg</v>
      </c>
      <c r="P332" s="30" t="str">
        <f>P337</f>
        <v>Recette mère ► le Boudin en 4 déclinaisons</v>
      </c>
      <c r="Q332" s="31" t="s">
        <v>29</v>
      </c>
      <c r="R332" s="5472"/>
      <c r="S332" s="5472"/>
      <c r="T332" s="5472"/>
      <c r="U332" s="5472"/>
      <c r="V332" s="5472"/>
      <c r="W332" s="5472"/>
      <c r="X332" s="5497"/>
      <c r="Y332" s="5497"/>
      <c r="Z332" s="5476"/>
      <c r="AA332" s="5086"/>
      <c r="AB332" s="27" t="s">
        <v>11</v>
      </c>
      <c r="AC332" s="28" t="str">
        <f>AC337</f>
        <v>B BAUDRUCHE DE COPAIN | |  Author &gt; Guy KRENZE - Eric GODDYN - Arnaud NICOLAS - CEPROC 2002</v>
      </c>
      <c r="AD332" s="29">
        <f>AD337</f>
        <v>9.0500000000000007</v>
      </c>
      <c r="AE332" s="29" t="str">
        <f>AE337</f>
        <v>Kg</v>
      </c>
      <c r="AF332" s="30" t="str">
        <f>AF337</f>
        <v>Master recipe ► Black pudding in 4 variations</v>
      </c>
      <c r="AG332" s="31" t="s">
        <v>29</v>
      </c>
      <c r="AH332" s="5472"/>
      <c r="AI332" s="5472"/>
      <c r="AJ332" s="5472"/>
      <c r="AK332" s="5472"/>
      <c r="AL332" s="5472"/>
      <c r="AM332" s="5472"/>
      <c r="AN332" s="5474"/>
      <c r="AO332" s="5474"/>
      <c r="AP332" s="5476"/>
      <c r="AQ332" s="5086"/>
      <c r="AR332" s="27" t="s">
        <v>11</v>
      </c>
      <c r="AS332" s="28" t="str">
        <f>AS337</f>
        <v>B BAUDRUCHE DE COPAIN | | Autor &gt; Guy KRENZE - Eric GODDYN - Arnaud NICOLAS - CEPROC 2002</v>
      </c>
      <c r="AT332" s="29">
        <f>AT337</f>
        <v>9.0500000000000007</v>
      </c>
      <c r="AU332" s="29" t="str">
        <f>AU337</f>
        <v>Kg</v>
      </c>
      <c r="AV332" s="30" t="str">
        <f>AV337</f>
        <v>Receta madre ► Morcilla en 4 versiones</v>
      </c>
      <c r="AW332" s="31" t="s">
        <v>29</v>
      </c>
      <c r="AX332" s="5472"/>
      <c r="AY332" s="5472"/>
      <c r="AZ332" s="5472"/>
      <c r="BA332" s="5472"/>
      <c r="BB332" s="5472"/>
      <c r="BC332" s="5472"/>
      <c r="BD332" s="5474" t="s">
        <v>116</v>
      </c>
      <c r="BE332" s="5474"/>
      <c r="BF332" s="5476"/>
      <c r="BG332" s="5086"/>
      <c r="BH332" s="104"/>
      <c r="BI332" s="32"/>
      <c r="BJ332" s="33"/>
      <c r="BK332" s="32"/>
      <c r="BL332" s="34"/>
      <c r="BM332" s="92"/>
      <c r="BN332" s="108"/>
      <c r="BO332" s="94"/>
      <c r="BP332" s="95"/>
      <c r="BQ332" s="105"/>
      <c r="BR332" s="5101"/>
      <c r="BS332" s="920"/>
      <c r="BT332" s="1495"/>
      <c r="BU332" s="101"/>
      <c r="BV332" s="1475"/>
      <c r="BW332" s="5086"/>
      <c r="BX332" s="104"/>
      <c r="BY332" s="32"/>
      <c r="BZ332" s="33"/>
      <c r="CA332" s="32"/>
      <c r="CB332" s="34"/>
      <c r="CC332" s="92"/>
      <c r="CD332" s="108"/>
      <c r="CE332" s="94"/>
      <c r="CF332" s="95"/>
      <c r="CG332" s="105"/>
      <c r="CH332" s="5101"/>
      <c r="CI332" s="920"/>
      <c r="CJ332" s="1495"/>
      <c r="CK332" s="101"/>
      <c r="CL332" s="1475"/>
      <c r="CM332" s="5086"/>
      <c r="CN332" s="104"/>
      <c r="CO332" s="32"/>
      <c r="CP332" s="33"/>
      <c r="CQ332" s="32"/>
      <c r="CR332" s="34"/>
      <c r="CS332" s="92"/>
      <c r="CT332" s="108"/>
      <c r="CU332" s="94"/>
      <c r="CV332" s="95"/>
      <c r="CW332" s="105"/>
      <c r="CX332" s="5101"/>
      <c r="CY332" s="920"/>
      <c r="CZ332" s="1495"/>
      <c r="DA332" s="101"/>
      <c r="DB332" s="1475"/>
      <c r="DC332" s="5109"/>
      <c r="DD332" s="5086"/>
      <c r="DF332" s="3">
        <v>1</v>
      </c>
      <c r="EY332" s="127">
        <v>1</v>
      </c>
      <c r="EZ332" s="920" t="s">
        <v>12956</v>
      </c>
      <c r="FA332" s="1495">
        <f>IF(OR(ISBLANK(ET324),FA324=0),0,ET332*EY325)</f>
        <v>0</v>
      </c>
      <c r="FB332" s="101">
        <f>IFERROR(_xlfn.LET(_xlpm.v,IFERROR(_xlfn.XLOOKUP(EX332,ET361:FC361,ET362:FC362),_xlfn.XLOOKUP(EX332,ET363:FC363,ET364:FC364)),_xlpm.v*EW332*EY332*EY325*IF(ISBLANK(ET332),1,ET332)),0)</f>
        <v>0</v>
      </c>
      <c r="FC332" s="1476" t="str">
        <f>_xlfn.LET(_xlpm.unite,SUBSTITUTE(TRIM(EX332)," (s)",""),_xlpm.val,FB332,_xlpm.estVol,COUNTIF(EW361:FC361,_xlpm.unite)+COUNTIF(EW363:FC363,_xlpm.unite)&gt;0,_xlpm.estPoids,COUNTIF(ET361:EV361,_xlpm.unite)+COUNTIF(ET363:EV363,_xlpm.unite)&gt;0,IF(_xlpm.estVol,IF(ROUND(_xlpm.val,3)&gt;=1,ROUND(_xlpm.val,3)&amp;" L",MAX(1,ROUND(_xlpm.val*100,0))&amp;" cl"),IF(_xlpm.estPoids,IF(ROUND(_xlpm.val,3)&gt;=1,ROUND(_xlpm.val,3)&amp;" Kg",MAX(1,ROUND(_xlpm.val*1000,0))&amp;" g"),"")))</f>
        <v>1 cl</v>
      </c>
    </row>
    <row r="333" spans="2:159" ht="18.75">
      <c r="B333" s="952" t="str">
        <f t="shared" si="62"/>
        <v>A</v>
      </c>
      <c r="C333" s="993" cm="1">
        <f t="array" ref="C333">SUMPRODUCT(LEN(D333:J333))</f>
        <v>0</v>
      </c>
      <c r="D333" s="167"/>
      <c r="E333" s="172"/>
      <c r="F333" s="172"/>
      <c r="G333" s="172"/>
      <c r="H333" s="172"/>
      <c r="I333" s="172"/>
      <c r="J333" s="173"/>
      <c r="K333"/>
      <c r="L333" s="27" t="s">
        <v>11</v>
      </c>
      <c r="M333" s="5310" t="str">
        <f>M337</f>
        <v>B BAUDRUCHE DE COPAIN | | Auteur &gt; Guy KRENZE - Eric GODDYN - Arnaud NICOLAS - CEPROC 2002</v>
      </c>
      <c r="N333" s="5310">
        <f>N337</f>
        <v>9.0500000000000007</v>
      </c>
      <c r="O333" s="5311" t="str">
        <f>O337</f>
        <v>Kg</v>
      </c>
      <c r="P333" s="5312" t="str">
        <f>P337</f>
        <v>Recette mère ► le Boudin en 4 déclinaisons</v>
      </c>
      <c r="Q333" s="5313"/>
      <c r="R333" s="5314" t="s">
        <v>30</v>
      </c>
      <c r="S333" s="37"/>
      <c r="T333" s="38" t="s">
        <v>31</v>
      </c>
      <c r="U333" s="39" t="s">
        <v>12835</v>
      </c>
      <c r="V333" s="9"/>
      <c r="W333" s="39"/>
      <c r="X333" s="39"/>
      <c r="Y333" s="40"/>
      <c r="Z333" s="41"/>
      <c r="AA333" s="5086"/>
      <c r="AB333" s="27" t="s">
        <v>11</v>
      </c>
      <c r="AC333" s="5310" t="str">
        <f>AC337</f>
        <v>B BAUDRUCHE DE COPAIN | |  Author &gt; Guy KRENZE - Eric GODDYN - Arnaud NICOLAS - CEPROC 2002</v>
      </c>
      <c r="AD333" s="5310">
        <f>AD337</f>
        <v>9.0500000000000007</v>
      </c>
      <c r="AE333" s="5311" t="str">
        <f>AE337</f>
        <v>Kg</v>
      </c>
      <c r="AF333" s="5312" t="str">
        <f>AF337</f>
        <v>Master recipe ► Black pudding in 4 variations</v>
      </c>
      <c r="AG333" s="5313"/>
      <c r="AH333" s="5314" t="s">
        <v>888</v>
      </c>
      <c r="AI333" s="37"/>
      <c r="AJ333" s="38" t="s">
        <v>889</v>
      </c>
      <c r="AK333" s="39" t="s">
        <v>12835</v>
      </c>
      <c r="AL333" s="9"/>
      <c r="AM333" s="39"/>
      <c r="AN333" s="39"/>
      <c r="AO333" s="40"/>
      <c r="AP333" s="41"/>
      <c r="AQ333" s="5086"/>
      <c r="AR333" s="27" t="s">
        <v>11</v>
      </c>
      <c r="AS333" s="5310" t="str">
        <f>AS337</f>
        <v>B BAUDRUCHE DE COPAIN | | Autor &gt; Guy KRENZE - Eric GODDYN - Arnaud NICOLAS - CEPROC 2002</v>
      </c>
      <c r="AT333" s="5310">
        <f>AT337</f>
        <v>9.0500000000000007</v>
      </c>
      <c r="AU333" s="5311" t="str">
        <f>AU337</f>
        <v>Kg</v>
      </c>
      <c r="AV333" s="5312" t="str">
        <f>AV337</f>
        <v>Receta madre ► Morcilla en 4 versiones</v>
      </c>
      <c r="AW333" s="5313"/>
      <c r="AX333" s="5314" t="s">
        <v>903</v>
      </c>
      <c r="AY333" s="37"/>
      <c r="AZ333" s="38" t="s">
        <v>904</v>
      </c>
      <c r="BA333" s="39" t="s">
        <v>12835</v>
      </c>
      <c r="BB333" s="9"/>
      <c r="BC333" s="39"/>
      <c r="BD333" s="39"/>
      <c r="BE333" s="40"/>
      <c r="BF333" s="41"/>
      <c r="BG333" s="5086"/>
      <c r="BH333" s="104"/>
      <c r="BI333" s="32"/>
      <c r="BJ333" s="33"/>
      <c r="BK333" s="32"/>
      <c r="BL333" s="34"/>
      <c r="BM333" s="92"/>
      <c r="BN333" s="108"/>
      <c r="BO333" s="94"/>
      <c r="BP333" s="95"/>
      <c r="BQ333" s="105"/>
      <c r="BR333" s="5101"/>
      <c r="BS333" s="920"/>
      <c r="BT333" s="1495"/>
      <c r="BU333" s="101"/>
      <c r="BV333" s="1475"/>
      <c r="BW333" s="5086"/>
      <c r="BX333" s="104"/>
      <c r="BY333" s="32"/>
      <c r="BZ333" s="33"/>
      <c r="CA333" s="32"/>
      <c r="CB333" s="34"/>
      <c r="CC333" s="92"/>
      <c r="CD333" s="108"/>
      <c r="CE333" s="94"/>
      <c r="CF333" s="95"/>
      <c r="CG333" s="105"/>
      <c r="CH333" s="5101"/>
      <c r="CI333" s="920"/>
      <c r="CJ333" s="1495"/>
      <c r="CK333" s="101"/>
      <c r="CL333" s="1475"/>
      <c r="CM333" s="5086"/>
      <c r="CN333" s="104"/>
      <c r="CO333" s="32"/>
      <c r="CP333" s="33"/>
      <c r="CQ333" s="32"/>
      <c r="CR333" s="34"/>
      <c r="CS333" s="92"/>
      <c r="CT333" s="108"/>
      <c r="CU333" s="94"/>
      <c r="CV333" s="95"/>
      <c r="CW333" s="105"/>
      <c r="CX333" s="5101"/>
      <c r="CY333" s="920"/>
      <c r="CZ333" s="1495"/>
      <c r="DA333" s="101"/>
      <c r="DB333" s="1475"/>
      <c r="DC333" s="5109"/>
      <c r="DD333" s="5086"/>
      <c r="DF333" s="3">
        <v>1</v>
      </c>
      <c r="EY333" s="127">
        <v>1</v>
      </c>
      <c r="EZ333" s="920" t="s">
        <v>12958</v>
      </c>
      <c r="FA333" s="1495">
        <f>IF(OR(ISBLANK(ET324),FA324=0),0,ET333*EY325)</f>
        <v>0</v>
      </c>
      <c r="FB333" s="101">
        <f>IFERROR(_xlfn.LET(_xlpm.v,IFERROR(_xlfn.XLOOKUP(EX333,ET361:FC361,ET362:FC362),_xlfn.XLOOKUP(EX333,ET363:FC363,ET364:FC364)),_xlpm.v*EW333*EY333*EY325*IF(ISBLANK(ET333),1,ET333)),0)</f>
        <v>0</v>
      </c>
      <c r="FC333" s="1475" t="str">
        <f>_xlfn.LET(_xlpm.unite,SUBSTITUTE(TRIM(EX333)," (s)",""),_xlpm.val,FB333,_xlpm.estVol,COUNTIF(EW361:FC361,_xlpm.unite)+COUNTIF(EW363:FC363,_xlpm.unite)&gt;0,_xlpm.estPoids,COUNTIF(ET361:EV361,_xlpm.unite)+COUNTIF(ET363:EV363,_xlpm.unite)&gt;0,IF(_xlpm.estVol,IF(ROUND(_xlpm.val,3)&gt;=1,ROUND(_xlpm.val,3)&amp;" L",MAX(1,ROUND(_xlpm.val*100,0))&amp;" cl"),IF(_xlpm.estPoids,IF(ROUND(_xlpm.val,3)&gt;=1,ROUND(_xlpm.val,3)&amp;" Kg",MAX(1,ROUND(_xlpm.val*1000,0))&amp;" g"),"")))</f>
        <v>1 cl</v>
      </c>
    </row>
    <row r="334" spans="2:159" ht="18.75" customHeight="1">
      <c r="B334" s="952" t="str">
        <f t="shared" si="62"/>
        <v>A</v>
      </c>
      <c r="C334" s="993" cm="1">
        <f t="array" ref="C334">SUMPRODUCT(LEN(D334:J334))</f>
        <v>0</v>
      </c>
      <c r="D334" s="167"/>
      <c r="E334" s="172"/>
      <c r="F334" s="172"/>
      <c r="G334" s="172"/>
      <c r="H334" s="172"/>
      <c r="I334" s="172"/>
      <c r="J334" s="173"/>
      <c r="K334"/>
      <c r="L334" s="27" t="s">
        <v>11</v>
      </c>
      <c r="M334" s="32" t="str">
        <f>M337</f>
        <v>B BAUDRUCHE DE COPAIN | | Auteur &gt; Guy KRENZE - Eric GODDYN - Arnaud NICOLAS - CEPROC 2002</v>
      </c>
      <c r="N334" s="33">
        <f>N337</f>
        <v>9.0500000000000007</v>
      </c>
      <c r="O334" s="33" t="str">
        <f>O337</f>
        <v>Kg</v>
      </c>
      <c r="P334" s="34" t="str">
        <f>P337</f>
        <v>Recette mère ► le Boudin en 4 déclinaisons</v>
      </c>
      <c r="Q334" s="42" t="s">
        <v>32</v>
      </c>
      <c r="R334" s="43"/>
      <c r="S334" s="43"/>
      <c r="T334" s="44" t="s">
        <v>33</v>
      </c>
      <c r="U334" s="5477" t="str">
        <f>V337&amp;" "&amp;W337&amp;" ► Famille = "&amp;X331&amp;" ► "&amp;R331&amp;" "&amp; "pour "&amp;X335&amp;" "&amp;Y335</f>
        <v>Recette mère ► le Boudin en 4 déclinaisons ► Famille = famille--COLLEZ ► BAUDRUCHE DE COPAIN pour 10 Kg</v>
      </c>
      <c r="V334" s="5477"/>
      <c r="W334" s="5477"/>
      <c r="X334" s="5039" t="s">
        <v>3306</v>
      </c>
      <c r="Y334" s="40"/>
      <c r="Z334" s="1472"/>
      <c r="AA334" s="5086"/>
      <c r="AB334" s="27" t="s">
        <v>11</v>
      </c>
      <c r="AC334" s="32" t="str">
        <f>AC337</f>
        <v>B BAUDRUCHE DE COPAIN | |  Author &gt; Guy KRENZE - Eric GODDYN - Arnaud NICOLAS - CEPROC 2002</v>
      </c>
      <c r="AD334" s="33">
        <f>AD337</f>
        <v>9.0500000000000007</v>
      </c>
      <c r="AE334" s="33" t="str">
        <f>AE337</f>
        <v>Kg</v>
      </c>
      <c r="AF334" s="34" t="str">
        <f>AF337</f>
        <v>Master recipe ► Black pudding in 4 variations</v>
      </c>
      <c r="AG334" s="42" t="s">
        <v>137</v>
      </c>
      <c r="AH334" s="43"/>
      <c r="AI334" s="43"/>
      <c r="AJ334" s="44" t="s">
        <v>33</v>
      </c>
      <c r="AK334" s="5477" t="str">
        <f>AL337&amp;" "&amp;AM337&amp;" ► category = "&amp;AN331&amp;" ► "&amp;AH331&amp;" "&amp; "for "&amp;AN335&amp;" "&amp;AO335</f>
        <v>Master recipe ► Black pudding in 4 variations ► category = charcuterie-BLACK-PUDDING ► BAUDRUCHE DE COPAIN for 10 Kg</v>
      </c>
      <c r="AL334" s="5477"/>
      <c r="AM334" s="5477"/>
      <c r="AN334" s="5039" t="s">
        <v>3324</v>
      </c>
      <c r="AO334" s="40"/>
      <c r="AP334" s="1472"/>
      <c r="AQ334" s="5086"/>
      <c r="AR334" s="27" t="s">
        <v>11</v>
      </c>
      <c r="AS334" s="32" t="str">
        <f>AS337</f>
        <v>B BAUDRUCHE DE COPAIN | | Autor &gt; Guy KRENZE - Eric GODDYN - Arnaud NICOLAS - CEPROC 2002</v>
      </c>
      <c r="AT334" s="33">
        <f>AT337</f>
        <v>9.0500000000000007</v>
      </c>
      <c r="AU334" s="33" t="str">
        <f>AU337</f>
        <v>Kg</v>
      </c>
      <c r="AV334" s="34" t="str">
        <f>AV337</f>
        <v>Receta madre ► Morcilla en 4 versiones</v>
      </c>
      <c r="AW334" s="42" t="s">
        <v>905</v>
      </c>
      <c r="AX334" s="43"/>
      <c r="AY334" s="43"/>
      <c r="AZ334" s="44" t="s">
        <v>33</v>
      </c>
      <c r="BA334" s="5477" t="str">
        <f>BB337&amp;" "&amp;BC337&amp;" ► Famille = "&amp;BD331&amp;" ► "&amp;AX331&amp;" "&amp; "pour "&amp;BD335&amp;" "&amp;BE335</f>
        <v>Receta madre ► Morcilla en 4 versiones ► Famille = charcutería--MORCILLA ► BAUDRUCHE DE COPAIN pour 10 Kg</v>
      </c>
      <c r="BB334" s="5477"/>
      <c r="BC334" s="5477"/>
      <c r="BD334" s="5039" t="s">
        <v>3326</v>
      </c>
      <c r="BE334" s="40"/>
      <c r="BF334" s="1472"/>
      <c r="BG334" s="5086"/>
      <c r="BH334" s="104"/>
      <c r="BI334" s="32"/>
      <c r="BJ334" s="33"/>
      <c r="BK334" s="32"/>
      <c r="BL334" s="34"/>
      <c r="BM334" s="92"/>
      <c r="BN334" s="108"/>
      <c r="BO334" s="94"/>
      <c r="BP334" s="95"/>
      <c r="BQ334" s="105"/>
      <c r="BR334" s="5101"/>
      <c r="BS334" s="920"/>
      <c r="BT334" s="1495"/>
      <c r="BU334" s="101"/>
      <c r="BV334" s="1475"/>
      <c r="BW334" s="5086"/>
      <c r="BX334" s="104"/>
      <c r="BY334" s="32"/>
      <c r="BZ334" s="33"/>
      <c r="CA334" s="32"/>
      <c r="CB334" s="34"/>
      <c r="CC334" s="92"/>
      <c r="CD334" s="108"/>
      <c r="CE334" s="94"/>
      <c r="CF334" s="95"/>
      <c r="CG334" s="105"/>
      <c r="CH334" s="5101"/>
      <c r="CI334" s="920"/>
      <c r="CJ334" s="1495"/>
      <c r="CK334" s="101"/>
      <c r="CL334" s="1475"/>
      <c r="CM334" s="5086"/>
      <c r="CN334" s="104"/>
      <c r="CO334" s="32"/>
      <c r="CP334" s="33"/>
      <c r="CQ334" s="32"/>
      <c r="CR334" s="34"/>
      <c r="CS334" s="92"/>
      <c r="CT334" s="108"/>
      <c r="CU334" s="94"/>
      <c r="CV334" s="95"/>
      <c r="CW334" s="105"/>
      <c r="CX334" s="5101"/>
      <c r="CY334" s="920"/>
      <c r="CZ334" s="1495"/>
      <c r="DA334" s="101"/>
      <c r="DB334" s="1475"/>
      <c r="DC334" s="5109"/>
      <c r="DD334" s="5086"/>
      <c r="DF334" s="3">
        <v>1</v>
      </c>
      <c r="EY334" s="127">
        <v>1</v>
      </c>
      <c r="EZ334" s="920" t="s">
        <v>12892</v>
      </c>
      <c r="FA334" s="1495">
        <f>IF(OR(ISBLANK(ET324),FA324=0),0,ET334*EY325)</f>
        <v>0</v>
      </c>
      <c r="FB334" s="101">
        <f>IFERROR(_xlfn.LET(_xlpm.v,IFERROR(_xlfn.XLOOKUP(EX334,ET361:FC361,ET362:FC362),_xlfn.XLOOKUP(EX334,ET363:FC363,ET364:FC364)),_xlpm.v*EW334*EY334*EY325*IF(ISBLANK(ET334),1,ET334)),0)</f>
        <v>0</v>
      </c>
      <c r="FC334" s="1476" t="str">
        <f>_xlfn.LET(_xlpm.unite,SUBSTITUTE(TRIM(EX334)," (s)",""),_xlpm.val,FB334,_xlpm.estVol,COUNTIF(EW361:FC361,_xlpm.unite)+COUNTIF(EW363:FC363,_xlpm.unite)&gt;0,_xlpm.estPoids,COUNTIF(ET361:EV361,_xlpm.unite)+COUNTIF(ET363:EV363,_xlpm.unite)&gt;0,IF(_xlpm.estVol,IF(ROUND(_xlpm.val,3)&gt;=1,ROUND(_xlpm.val,3)&amp;" L",MAX(1,ROUND(_xlpm.val*100,0))&amp;" cl"),IF(_xlpm.estPoids,IF(ROUND(_xlpm.val,3)&gt;=1,ROUND(_xlpm.val,3)&amp;" Kg",MAX(1,ROUND(_xlpm.val*1000,0))&amp;" g"),"")))</f>
        <v>1 cl</v>
      </c>
    </row>
    <row r="335" spans="2:159" ht="21">
      <c r="B335" s="952" t="str">
        <f t="shared" si="62"/>
        <v>A</v>
      </c>
      <c r="C335" s="993" cm="1">
        <f t="array" ref="C335">SUMPRODUCT(LEN(D335:J335))</f>
        <v>0</v>
      </c>
      <c r="D335" s="167"/>
      <c r="E335" s="172"/>
      <c r="F335" s="172"/>
      <c r="G335" s="172"/>
      <c r="H335" s="172"/>
      <c r="I335" s="172"/>
      <c r="J335" s="173"/>
      <c r="K335"/>
      <c r="L335" s="27" t="s">
        <v>11</v>
      </c>
      <c r="M335" s="32" t="str">
        <f>M337</f>
        <v>B BAUDRUCHE DE COPAIN | | Auteur &gt; Guy KRENZE - Eric GODDYN - Arnaud NICOLAS - CEPROC 2002</v>
      </c>
      <c r="N335" s="33">
        <f>N337</f>
        <v>9.0500000000000007</v>
      </c>
      <c r="O335" s="33" t="str">
        <f>O337</f>
        <v>Kg</v>
      </c>
      <c r="P335" s="34" t="str">
        <f>P337</f>
        <v>Recette mère ► le Boudin en 4 déclinaisons</v>
      </c>
      <c r="Q335" s="50">
        <v>9.0500000000000007</v>
      </c>
      <c r="R335" s="51" t="s">
        <v>872</v>
      </c>
      <c r="S335" s="42"/>
      <c r="T335" s="42"/>
      <c r="U335" s="5477"/>
      <c r="V335" s="5477"/>
      <c r="W335" s="5477"/>
      <c r="X335" s="46">
        <v>10</v>
      </c>
      <c r="Y335" s="5478" t="str">
        <f>R335</f>
        <v>Kg</v>
      </c>
      <c r="Z335" s="5479"/>
      <c r="AA335" s="5086"/>
      <c r="AB335" s="27" t="s">
        <v>11</v>
      </c>
      <c r="AC335" s="32" t="str">
        <f>AC337</f>
        <v>B BAUDRUCHE DE COPAIN | |  Author &gt; Guy KRENZE - Eric GODDYN - Arnaud NICOLAS - CEPROC 2002</v>
      </c>
      <c r="AD335" s="33">
        <f>AD337</f>
        <v>9.0500000000000007</v>
      </c>
      <c r="AE335" s="33" t="str">
        <f>AE337</f>
        <v>Kg</v>
      </c>
      <c r="AF335" s="34" t="str">
        <f>AF337</f>
        <v>Master recipe ► Black pudding in 4 variations</v>
      </c>
      <c r="AG335" s="50">
        <v>9.0500000000000007</v>
      </c>
      <c r="AH335" s="51" t="s">
        <v>872</v>
      </c>
      <c r="AI335" s="42"/>
      <c r="AJ335" s="42"/>
      <c r="AK335" s="5477"/>
      <c r="AL335" s="5477"/>
      <c r="AM335" s="5477"/>
      <c r="AN335" s="46">
        <v>10</v>
      </c>
      <c r="AO335" s="5478" t="str">
        <f>AH335</f>
        <v>Kg</v>
      </c>
      <c r="AP335" s="5479"/>
      <c r="AQ335" s="5086"/>
      <c r="AR335" s="27" t="s">
        <v>11</v>
      </c>
      <c r="AS335" s="32" t="str">
        <f>AS337</f>
        <v>B BAUDRUCHE DE COPAIN | | Autor &gt; Guy KRENZE - Eric GODDYN - Arnaud NICOLAS - CEPROC 2002</v>
      </c>
      <c r="AT335" s="33">
        <f>AT337</f>
        <v>9.0500000000000007</v>
      </c>
      <c r="AU335" s="33" t="str">
        <f>AU337</f>
        <v>Kg</v>
      </c>
      <c r="AV335" s="34" t="str">
        <f>AV337</f>
        <v>Receta madre ► Morcilla en 4 versiones</v>
      </c>
      <c r="AW335" s="50">
        <v>9.0500000000000007</v>
      </c>
      <c r="AX335" s="51" t="s">
        <v>872</v>
      </c>
      <c r="AY335" s="42"/>
      <c r="AZ335" s="42"/>
      <c r="BA335" s="5477"/>
      <c r="BB335" s="5477"/>
      <c r="BC335" s="5477"/>
      <c r="BD335" s="46">
        <v>10</v>
      </c>
      <c r="BE335" s="5478" t="str">
        <f>AX335</f>
        <v>Kg</v>
      </c>
      <c r="BF335" s="5479"/>
      <c r="BG335" s="5086"/>
      <c r="BH335" s="104"/>
      <c r="BI335" s="32"/>
      <c r="BJ335" s="33"/>
      <c r="BK335" s="32"/>
      <c r="BL335" s="34"/>
      <c r="BM335" s="92"/>
      <c r="BN335" s="108"/>
      <c r="BO335" s="94"/>
      <c r="BP335" s="95"/>
      <c r="BQ335" s="105"/>
      <c r="BR335" s="5101"/>
      <c r="BS335" s="920"/>
      <c r="BT335" s="1495"/>
      <c r="BU335" s="101"/>
      <c r="BV335" s="1475"/>
      <c r="BW335" s="5086"/>
      <c r="BX335" s="104"/>
      <c r="BY335" s="32"/>
      <c r="BZ335" s="33"/>
      <c r="CA335" s="32"/>
      <c r="CB335" s="34"/>
      <c r="CC335" s="92"/>
      <c r="CD335" s="108"/>
      <c r="CE335" s="94"/>
      <c r="CF335" s="95"/>
      <c r="CG335" s="105"/>
      <c r="CH335" s="5101"/>
      <c r="CI335" s="920"/>
      <c r="CJ335" s="1495"/>
      <c r="CK335" s="101"/>
      <c r="CL335" s="1475"/>
      <c r="CM335" s="5086"/>
      <c r="CN335" s="104"/>
      <c r="CO335" s="32"/>
      <c r="CP335" s="33"/>
      <c r="CQ335" s="32"/>
      <c r="CR335" s="34"/>
      <c r="CS335" s="92"/>
      <c r="CT335" s="108"/>
      <c r="CU335" s="94"/>
      <c r="CV335" s="95"/>
      <c r="CW335" s="105"/>
      <c r="CX335" s="5101"/>
      <c r="CY335" s="920"/>
      <c r="CZ335" s="1495"/>
      <c r="DA335" s="101"/>
      <c r="DB335" s="1475"/>
      <c r="DC335" s="5109"/>
      <c r="DD335" s="5086"/>
      <c r="DF335" s="3">
        <v>1</v>
      </c>
      <c r="EY335" s="127">
        <v>1</v>
      </c>
      <c r="EZ335" s="920" t="s">
        <v>12960</v>
      </c>
      <c r="FA335" s="1495">
        <f>IF(OR(ISBLANK(ET324),FA324=0),0,ET335*EY325)</f>
        <v>0</v>
      </c>
      <c r="FB335" s="101">
        <f>IFERROR(_xlfn.LET(_xlpm.v,IFERROR(_xlfn.XLOOKUP(EX335,ET361:FC361,ET362:FC362),_xlfn.XLOOKUP(EX335,ET363:FC363,ET364:FC364)),_xlpm.v*EW335*EY335*EY325*IF(ISBLANK(ET335),1,ET335)),0)</f>
        <v>0</v>
      </c>
      <c r="FC335" s="1475" t="str">
        <f>_xlfn.LET(_xlpm.unite,SUBSTITUTE(TRIM(EX335)," (s)",""),_xlpm.val,FB335,_xlpm.estVol,COUNTIF(EW361:FC361,_xlpm.unite)+COUNTIF(EW363:FC363,_xlpm.unite)&gt;0,_xlpm.estPoids,COUNTIF(ET361:EV361,_xlpm.unite)+COUNTIF(ET363:EV363,_xlpm.unite)&gt;0,IF(_xlpm.estVol,IF(ROUND(_xlpm.val,3)&gt;=1,ROUND(_xlpm.val,3)&amp;" L",MAX(1,ROUND(_xlpm.val*100,0))&amp;" cl"),IF(_xlpm.estPoids,IF(ROUND(_xlpm.val,3)&gt;=1,ROUND(_xlpm.val,3)&amp;" Kg",MAX(1,ROUND(_xlpm.val*1000,0))&amp;" g"),"")))</f>
        <v>1 cl</v>
      </c>
    </row>
    <row r="336" spans="2:159" ht="18.75">
      <c r="B336" s="952" t="str">
        <f t="shared" si="62"/>
        <v>►</v>
      </c>
      <c r="C336" s="993" cm="1">
        <f t="array" ref="C336">SUMPRODUCT(LEN(D336:J336))</f>
        <v>0</v>
      </c>
      <c r="D336" s="167"/>
      <c r="E336" s="172"/>
      <c r="F336" s="172"/>
      <c r="G336" s="172"/>
      <c r="H336" s="172"/>
      <c r="I336" s="172"/>
      <c r="J336" s="173"/>
      <c r="K336"/>
      <c r="L336" s="27" t="s">
        <v>16</v>
      </c>
      <c r="M336" s="32" t="str">
        <f>M337</f>
        <v>B BAUDRUCHE DE COPAIN | | Auteur &gt; Guy KRENZE - Eric GODDYN - Arnaud NICOLAS - CEPROC 2002</v>
      </c>
      <c r="N336" s="33">
        <f>N337</f>
        <v>9.0500000000000007</v>
      </c>
      <c r="O336" s="33" t="str">
        <f>O337</f>
        <v>Kg</v>
      </c>
      <c r="P336" s="34" t="str">
        <f>P337</f>
        <v>Recette mère ► le Boudin en 4 déclinaisons</v>
      </c>
      <c r="Q336" s="56"/>
      <c r="R336" s="5165" t="s">
        <v>13098</v>
      </c>
      <c r="S336" s="5468">
        <f>Y361/V336</f>
        <v>9.0499999999999989</v>
      </c>
      <c r="T336" s="5468"/>
      <c r="U336" s="5054" t="str" cm="1">
        <f t="array" ref="U336">"1= "&amp;IF(OR(Q335&lt;=0,S336=""),"",_xlfn.LET(_xlpm.kg,IF(ISNUMBER(S336),S336,VALEUR(SUBSTITUTE(SUBSTITUTE(SUBSTITUTE(LOWER(S336),"kg",""),",",".")," ",""))),TEXT(ROUND(_xlpm.kg*1000/Q335,2),"0.##")&amp;" g"))</f>
        <v>1= 1000. g</v>
      </c>
      <c r="V336" s="1490">
        <f>IFERROR(X335/Q335,0)</f>
        <v>1.1049723756906076</v>
      </c>
      <c r="W336" s="45"/>
      <c r="X336" s="5041" t="s">
        <v>50</v>
      </c>
      <c r="Y336" s="5042">
        <f>Y361</f>
        <v>9.9999999999999982</v>
      </c>
      <c r="Z336" s="5043"/>
      <c r="AA336" s="5086"/>
      <c r="AB336" s="27" t="s">
        <v>16</v>
      </c>
      <c r="AC336" s="32" t="str">
        <f>AC337</f>
        <v>B BAUDRUCHE DE COPAIN | |  Author &gt; Guy KRENZE - Eric GODDYN - Arnaud NICOLAS - CEPROC 2002</v>
      </c>
      <c r="AD336" s="33">
        <f>AD337</f>
        <v>9.0500000000000007</v>
      </c>
      <c r="AE336" s="33" t="str">
        <f>AE337</f>
        <v>Kg</v>
      </c>
      <c r="AF336" s="34" t="str">
        <f>AF337</f>
        <v>Master recipe ► Black pudding in 4 variations</v>
      </c>
      <c r="AG336" s="56"/>
      <c r="AH336" s="5165" t="s">
        <v>13100</v>
      </c>
      <c r="AI336" s="5468">
        <f>AO361/AL336</f>
        <v>9.0499999999999989</v>
      </c>
      <c r="AJ336" s="5468"/>
      <c r="AK336" s="5054" t="str" cm="1">
        <f t="array" ref="AK336">"1= "&amp;IF(OR(AG335&lt;=0,AI336=""),"",_xlfn.LET(_xlpm.kg,IF(ISNUMBER(AI336),AI336,VALEUR(SUBSTITUTE(SUBSTITUTE(SUBSTITUTE(LOWER(AI336),"kg",""),",",".")," ",""))),TEXT(ROUND(_xlpm.kg*1000/AG335,2),"0.##")&amp;" g"))</f>
        <v>1= 1000. g</v>
      </c>
      <c r="AL336" s="1490">
        <f>IFERROR(AN335/AG335,0)</f>
        <v>1.1049723756906076</v>
      </c>
      <c r="AM336" s="45"/>
      <c r="AN336" s="5041" t="s">
        <v>153</v>
      </c>
      <c r="AO336" s="5042">
        <f>AO361</f>
        <v>9.9999999999999982</v>
      </c>
      <c r="AP336" s="5043"/>
      <c r="AQ336" s="5086"/>
      <c r="AR336" s="27" t="s">
        <v>16</v>
      </c>
      <c r="AS336" s="32" t="str">
        <f>AS337</f>
        <v>B BAUDRUCHE DE COPAIN | | Autor &gt; Guy KRENZE - Eric GODDYN - Arnaud NICOLAS - CEPROC 2002</v>
      </c>
      <c r="AT336" s="33">
        <f>AT337</f>
        <v>9.0500000000000007</v>
      </c>
      <c r="AU336" s="33" t="str">
        <f>AU337</f>
        <v>Kg</v>
      </c>
      <c r="AV336" s="34" t="str">
        <f>AV337</f>
        <v>Receta madre ► Morcilla en 4 versiones</v>
      </c>
      <c r="AW336" s="56"/>
      <c r="AX336" s="5165" t="s">
        <v>13101</v>
      </c>
      <c r="AY336" s="5468">
        <f>BE361/BB336</f>
        <v>9.0499999999999989</v>
      </c>
      <c r="AZ336" s="5468"/>
      <c r="BA336" s="5054" t="str" cm="1">
        <f t="array" ref="BA336">"1= "&amp;IF(OR(AW335&lt;=0,AY336=""),"",_xlfn.LET(_xlpm.kg,IF(ISNUMBER(AY336),AY336,VALEUR(SUBSTITUTE(SUBSTITUTE(SUBSTITUTE(LOWER(AY336),"kg",""),",",".")," ",""))),TEXT(ROUND(_xlpm.kg*1000/AW335,2),"0.##")&amp;" g"))</f>
        <v>1= 1000. g</v>
      </c>
      <c r="BB336" s="1490">
        <f>IFERROR(BD335/AW335,0)</f>
        <v>1.1049723756906076</v>
      </c>
      <c r="BC336" s="45"/>
      <c r="BD336" s="5041" t="s">
        <v>248</v>
      </c>
      <c r="BE336" s="5042">
        <f>BE361</f>
        <v>9.9999999999999982</v>
      </c>
      <c r="BF336" s="5043"/>
      <c r="BG336" s="5086"/>
      <c r="BH336" s="104"/>
      <c r="BI336" s="32"/>
      <c r="BJ336" s="33"/>
      <c r="BK336" s="32"/>
      <c r="BL336" s="34"/>
      <c r="BM336" s="92"/>
      <c r="BN336" s="108"/>
      <c r="BO336" s="94"/>
      <c r="BP336" s="95"/>
      <c r="BQ336" s="105"/>
      <c r="BR336" s="5101"/>
      <c r="BS336" s="920"/>
      <c r="BT336" s="1495"/>
      <c r="BU336" s="101"/>
      <c r="BV336" s="1475"/>
      <c r="BW336" s="5086"/>
      <c r="BX336" s="104"/>
      <c r="BY336" s="32"/>
      <c r="BZ336" s="33"/>
      <c r="CA336" s="32"/>
      <c r="CB336" s="34"/>
      <c r="CC336" s="92"/>
      <c r="CD336" s="108"/>
      <c r="CE336" s="94"/>
      <c r="CF336" s="95"/>
      <c r="CG336" s="105"/>
      <c r="CH336" s="5101"/>
      <c r="CI336" s="920"/>
      <c r="CJ336" s="1495"/>
      <c r="CK336" s="101"/>
      <c r="CL336" s="1475"/>
      <c r="CM336" s="5086"/>
      <c r="CN336" s="104"/>
      <c r="CO336" s="32"/>
      <c r="CP336" s="33"/>
      <c r="CQ336" s="32"/>
      <c r="CR336" s="34"/>
      <c r="CS336" s="92"/>
      <c r="CT336" s="108"/>
      <c r="CU336" s="94"/>
      <c r="CV336" s="95"/>
      <c r="CW336" s="105"/>
      <c r="CX336" s="5101"/>
      <c r="CY336" s="920"/>
      <c r="CZ336" s="1495"/>
      <c r="DA336" s="101"/>
      <c r="DB336" s="1475"/>
      <c r="DC336" s="5109"/>
      <c r="DD336" s="5086"/>
      <c r="DF336" s="3">
        <v>1</v>
      </c>
      <c r="EY336" s="127">
        <v>1</v>
      </c>
      <c r="EZ336" s="920" t="s">
        <v>12962</v>
      </c>
      <c r="FA336" s="1495">
        <f>IF(OR(ISBLANK(ET324),FA324=0),0,ET336*EY325)</f>
        <v>0</v>
      </c>
      <c r="FB336" s="101">
        <f>IFERROR(_xlfn.LET(_xlpm.v,IFERROR(_xlfn.XLOOKUP(EX336,ET361:FC361,ET362:FC362),_xlfn.XLOOKUP(EX336,ET363:FC363,ET364:FC364)),_xlpm.v*EW336*EY336*EY325*IF(ISBLANK(ET336),1,ET336)),0)</f>
        <v>0</v>
      </c>
      <c r="FC336" s="1476" t="str">
        <f>_xlfn.LET(_xlpm.unite,SUBSTITUTE(TRIM(EX336)," (s)",""),_xlpm.val,FB336,_xlpm.estVol,COUNTIF(EW361:FC361,_xlpm.unite)+COUNTIF(EW363:FC363,_xlpm.unite)&gt;0,_xlpm.estPoids,COUNTIF(ET361:EV361,_xlpm.unite)+COUNTIF(ET363:EV363,_xlpm.unite)&gt;0,IF(_xlpm.estVol,IF(ROUND(_xlpm.val,3)&gt;=1,ROUND(_xlpm.val,3)&amp;" L",MAX(1,ROUND(_xlpm.val*100,0))&amp;" cl"),IF(_xlpm.estPoids,IF(ROUND(_xlpm.val,3)&gt;=1,ROUND(_xlpm.val,3)&amp;" Kg",MAX(1,ROUND(_xlpm.val*1000,0))&amp;" g"),"")))</f>
        <v>1 cl</v>
      </c>
    </row>
    <row r="337" spans="2:159" ht="18.75">
      <c r="B337" s="952" t="str">
        <f t="shared" si="62"/>
        <v>►</v>
      </c>
      <c r="C337" s="993" cm="1">
        <f t="array" ref="C337">SUMPRODUCT(LEN(D337:J337))</f>
        <v>0</v>
      </c>
      <c r="D337" s="167"/>
      <c r="E337" s="172"/>
      <c r="F337" s="172"/>
      <c r="G337" s="172"/>
      <c r="H337" s="172"/>
      <c r="I337" s="172"/>
      <c r="J337" s="173"/>
      <c r="K337"/>
      <c r="L337" s="64" t="s">
        <v>16</v>
      </c>
      <c r="M337" s="65" t="str">
        <f>Q337</f>
        <v>B BAUDRUCHE DE COPAIN | | Auteur &gt; Guy KRENZE - Eric GODDYN - Arnaud NICOLAS - CEPROC 2002</v>
      </c>
      <c r="N337" s="66">
        <f>Q335</f>
        <v>9.0500000000000007</v>
      </c>
      <c r="O337" s="65" t="str">
        <f>R335</f>
        <v>Kg</v>
      </c>
      <c r="P337" s="67" t="str">
        <f>V337&amp;" "&amp;W337</f>
        <v>Recette mère ► le Boudin en 4 déclinaisons</v>
      </c>
      <c r="Q337" s="68" t="str">
        <f>UPPER(LEFT(R331,1))&amp;" "&amp;R331&amp;" | "&amp;Y331&amp;"| "&amp;T333&amp;" "&amp;U333</f>
        <v>B BAUDRUCHE DE COPAIN | | Auteur &gt; Guy KRENZE - Eric GODDYN - Arnaud NICOLAS - CEPROC 2002</v>
      </c>
      <c r="R337" s="69" t="s">
        <v>54</v>
      </c>
      <c r="S337" s="5469" t="s">
        <v>55</v>
      </c>
      <c r="T337" s="5469"/>
      <c r="U337" s="5469"/>
      <c r="V337" s="70" t="str">
        <f>IF(ISTEXT(W337),"Recette mère ►",R337)</f>
        <v>Recette mère ►</v>
      </c>
      <c r="W337" s="71" t="s">
        <v>12836</v>
      </c>
      <c r="X337" s="71"/>
      <c r="Y337" s="72"/>
      <c r="Z337" s="1473"/>
      <c r="AA337" s="5086"/>
      <c r="AB337" s="64" t="s">
        <v>16</v>
      </c>
      <c r="AC337" s="65" t="str">
        <f>AG337</f>
        <v>B BAUDRUCHE DE COPAIN | |  Author &gt; Guy KRENZE - Eric GODDYN - Arnaud NICOLAS - CEPROC 2002</v>
      </c>
      <c r="AD337" s="66">
        <f>AG335</f>
        <v>9.0500000000000007</v>
      </c>
      <c r="AE337" s="65" t="str">
        <f>AH335</f>
        <v>Kg</v>
      </c>
      <c r="AF337" s="67" t="str">
        <f>AL337&amp;" "&amp;AM337</f>
        <v>Master recipe ► Black pudding in 4 variations</v>
      </c>
      <c r="AG337" s="68" t="str">
        <f>UPPER(LEFT(AH331,1))&amp;" "&amp;AH331&amp;" | "&amp;AO331&amp;"| "&amp;AJ333&amp;" "&amp;AK333</f>
        <v>B BAUDRUCHE DE COPAIN | |  Author &gt; Guy KRENZE - Eric GODDYN - Arnaud NICOLAS - CEPROC 2002</v>
      </c>
      <c r="AH337" s="69" t="s">
        <v>3315</v>
      </c>
      <c r="AI337" s="5469" t="s">
        <v>3316</v>
      </c>
      <c r="AJ337" s="5469"/>
      <c r="AK337" s="5469"/>
      <c r="AL337" s="70" t="str">
        <f>IF(ISTEXT(AM337),"Master recipe ►",AH337)</f>
        <v>Master recipe ►</v>
      </c>
      <c r="AM337" s="71" t="s">
        <v>12924</v>
      </c>
      <c r="AN337" s="71"/>
      <c r="AO337" s="72"/>
      <c r="AP337" s="1473"/>
      <c r="AQ337" s="5086"/>
      <c r="AR337" s="64" t="s">
        <v>16</v>
      </c>
      <c r="AS337" s="65" t="str">
        <f>AW337</f>
        <v>B BAUDRUCHE DE COPAIN | | Autor &gt; Guy KRENZE - Eric GODDYN - Arnaud NICOLAS - CEPROC 2002</v>
      </c>
      <c r="AT337" s="66">
        <f>AW335</f>
        <v>9.0500000000000007</v>
      </c>
      <c r="AU337" s="65" t="str">
        <f>AX335</f>
        <v>Kg</v>
      </c>
      <c r="AV337" s="67" t="str">
        <f>BB337&amp;" "&amp;BC337</f>
        <v>Receta madre ► Morcilla en 4 versiones</v>
      </c>
      <c r="AW337" s="68" t="str">
        <f>UPPER(LEFT(AX331,1))&amp;" "&amp;AX331&amp;" | "&amp;BE331&amp;"| "&amp;AZ333&amp;" "&amp;BA333</f>
        <v>B BAUDRUCHE DE COPAIN | | Autor &gt; Guy KRENZE - Eric GODDYN - Arnaud NICOLAS - CEPROC 2002</v>
      </c>
      <c r="AX337" s="69" t="s">
        <v>3319</v>
      </c>
      <c r="AY337" s="5469" t="s">
        <v>906</v>
      </c>
      <c r="AZ337" s="5469"/>
      <c r="BA337" s="5469"/>
      <c r="BB337" s="70" t="str">
        <f>IF(ISTEXT(BC337),"Receta madre ►",AX337)</f>
        <v>Receta madre ►</v>
      </c>
      <c r="BC337" s="71" t="s">
        <v>12925</v>
      </c>
      <c r="BD337" s="71"/>
      <c r="BE337" s="72"/>
      <c r="BF337" s="1473"/>
      <c r="BG337" s="5086"/>
      <c r="BH337" s="104"/>
      <c r="BI337" s="32"/>
      <c r="BJ337" s="33"/>
      <c r="BK337" s="32"/>
      <c r="BL337" s="34"/>
      <c r="BM337" s="92"/>
      <c r="BN337" s="108"/>
      <c r="BO337" s="94"/>
      <c r="BP337" s="95"/>
      <c r="BQ337" s="105"/>
      <c r="BR337" s="5101"/>
      <c r="BS337" s="920"/>
      <c r="BT337" s="1495"/>
      <c r="BU337" s="101"/>
      <c r="BV337" s="1475"/>
      <c r="BW337" s="5086"/>
      <c r="BX337" s="104"/>
      <c r="BY337" s="32"/>
      <c r="BZ337" s="33"/>
      <c r="CA337" s="32"/>
      <c r="CB337" s="34"/>
      <c r="CC337" s="92"/>
      <c r="CD337" s="108"/>
      <c r="CE337" s="94"/>
      <c r="CF337" s="95"/>
      <c r="CG337" s="105"/>
      <c r="CH337" s="5101"/>
      <c r="CI337" s="920"/>
      <c r="CJ337" s="1495"/>
      <c r="CK337" s="101"/>
      <c r="CL337" s="1475"/>
      <c r="CM337" s="5086"/>
      <c r="CN337" s="104"/>
      <c r="CO337" s="32"/>
      <c r="CP337" s="33"/>
      <c r="CQ337" s="32"/>
      <c r="CR337" s="34"/>
      <c r="CS337" s="92"/>
      <c r="CT337" s="108"/>
      <c r="CU337" s="94"/>
      <c r="CV337" s="95"/>
      <c r="CW337" s="105"/>
      <c r="CX337" s="5101"/>
      <c r="CY337" s="920"/>
      <c r="CZ337" s="1495"/>
      <c r="DA337" s="101"/>
      <c r="DB337" s="1475"/>
      <c r="DC337" s="5109"/>
      <c r="DD337" s="5086"/>
      <c r="DF337" s="3">
        <v>1</v>
      </c>
      <c r="EY337" s="127">
        <v>1</v>
      </c>
      <c r="EZ337" s="920" t="s">
        <v>12964</v>
      </c>
      <c r="FA337" s="1495">
        <f>IF(OR(ISBLANK(ET324),FA324=0),0,ET337*EY325)</f>
        <v>0</v>
      </c>
      <c r="FB337" s="101">
        <f>IFERROR(_xlfn.LET(_xlpm.v,IFERROR(_xlfn.XLOOKUP(EX337,ET361:FC361,ET362:FC362),_xlfn.XLOOKUP(EX337,ET363:FC363,ET364:FC364)),_xlpm.v*EW337*EY337*EY325*IF(ISBLANK(ET337),1,ET337)),0)</f>
        <v>0</v>
      </c>
      <c r="FC337" s="1475" t="str">
        <f>_xlfn.LET(_xlpm.unite,SUBSTITUTE(TRIM(EX337)," (s)",""),_xlpm.val,FB337,_xlpm.estVol,COUNTIF(EW361:FC361,_xlpm.unite)+COUNTIF(EW363:FC363,_xlpm.unite)&gt;0,_xlpm.estPoids,COUNTIF(ET361:EV361,_xlpm.unite)+COUNTIF(ET363:EV363,_xlpm.unite)&gt;0,IF(_xlpm.estVol,IF(ROUND(_xlpm.val,3)&gt;=1,ROUND(_xlpm.val,3)&amp;" L",MAX(1,ROUND(_xlpm.val*100,0))&amp;" cl"),IF(_xlpm.estPoids,IF(ROUND(_xlpm.val,3)&gt;=1,ROUND(_xlpm.val,3)&amp;" Kg",MAX(1,ROUND(_xlpm.val*1000,0))&amp;" g"),"")))</f>
        <v>1 cl</v>
      </c>
    </row>
    <row r="338" spans="2:159" ht="18.75">
      <c r="B338" s="952" t="str">
        <f t="shared" si="62"/>
        <v>►</v>
      </c>
      <c r="C338" s="993" cm="1">
        <f t="array" ref="C338">SUMPRODUCT(LEN(D338:J338))</f>
        <v>0</v>
      </c>
      <c r="D338" s="167"/>
      <c r="E338" s="172"/>
      <c r="F338" s="172"/>
      <c r="G338" s="172"/>
      <c r="H338" s="172"/>
      <c r="I338" s="172"/>
      <c r="J338" s="173"/>
      <c r="K338"/>
      <c r="L338" s="74" t="s">
        <v>16</v>
      </c>
      <c r="M338" s="75" t="str">
        <f>M337</f>
        <v>B BAUDRUCHE DE COPAIN | | Auteur &gt; Guy KRENZE - Eric GODDYN - Arnaud NICOLAS - CEPROC 2002</v>
      </c>
      <c r="N338" s="75">
        <f>N337</f>
        <v>9.0500000000000007</v>
      </c>
      <c r="O338" s="75" t="str">
        <f>O337</f>
        <v>Kg</v>
      </c>
      <c r="P338" s="76" t="str">
        <f>P337</f>
        <v>Recette mère ► le Boudin en 4 déclinaisons</v>
      </c>
      <c r="Q338" s="13" t="s">
        <v>66</v>
      </c>
      <c r="R338" s="13" t="s">
        <v>67</v>
      </c>
      <c r="S338" s="13" t="s">
        <v>68</v>
      </c>
      <c r="T338" s="13" t="s">
        <v>69</v>
      </c>
      <c r="U338" s="77" t="s">
        <v>70</v>
      </c>
      <c r="V338" s="78" t="s">
        <v>71</v>
      </c>
      <c r="W338" s="79" t="s">
        <v>72</v>
      </c>
      <c r="X338" s="1496" t="s">
        <v>73</v>
      </c>
      <c r="Y338" s="13" t="s">
        <v>74</v>
      </c>
      <c r="Z338" s="518" t="s">
        <v>75</v>
      </c>
      <c r="AA338" s="5086"/>
      <c r="AB338" s="74" t="s">
        <v>16</v>
      </c>
      <c r="AC338" s="75" t="str">
        <f>AC337</f>
        <v>B BAUDRUCHE DE COPAIN | |  Author &gt; Guy KRENZE - Eric GODDYN - Arnaud NICOLAS - CEPROC 2002</v>
      </c>
      <c r="AD338" s="75">
        <f>AD337</f>
        <v>9.0500000000000007</v>
      </c>
      <c r="AE338" s="75" t="str">
        <f>AE337</f>
        <v>Kg</v>
      </c>
      <c r="AF338" s="76" t="str">
        <f>AF337</f>
        <v>Master recipe ► Black pudding in 4 variations</v>
      </c>
      <c r="AG338" s="13" t="s">
        <v>66</v>
      </c>
      <c r="AH338" s="13" t="s">
        <v>67</v>
      </c>
      <c r="AI338" s="13" t="s">
        <v>68</v>
      </c>
      <c r="AJ338" s="13" t="s">
        <v>69</v>
      </c>
      <c r="AK338" s="77" t="s">
        <v>70</v>
      </c>
      <c r="AL338" s="78" t="s">
        <v>71</v>
      </c>
      <c r="AM338" s="79" t="s">
        <v>72</v>
      </c>
      <c r="AN338" s="1496" t="s">
        <v>73</v>
      </c>
      <c r="AO338" s="13" t="s">
        <v>74</v>
      </c>
      <c r="AP338" s="518" t="s">
        <v>75</v>
      </c>
      <c r="AQ338" s="5086"/>
      <c r="AR338" s="74" t="s">
        <v>16</v>
      </c>
      <c r="AS338" s="75" t="str">
        <f>AS337</f>
        <v>B BAUDRUCHE DE COPAIN | | Autor &gt; Guy KRENZE - Eric GODDYN - Arnaud NICOLAS - CEPROC 2002</v>
      </c>
      <c r="AT338" s="75">
        <f>AT337</f>
        <v>9.0500000000000007</v>
      </c>
      <c r="AU338" s="75" t="str">
        <f>AU337</f>
        <v>Kg</v>
      </c>
      <c r="AV338" s="76" t="str">
        <f>AV337</f>
        <v>Receta madre ► Morcilla en 4 versiones</v>
      </c>
      <c r="AW338" s="13" t="s">
        <v>66</v>
      </c>
      <c r="AX338" s="13" t="s">
        <v>67</v>
      </c>
      <c r="AY338" s="13" t="s">
        <v>68</v>
      </c>
      <c r="AZ338" s="13" t="s">
        <v>69</v>
      </c>
      <c r="BA338" s="77" t="s">
        <v>70</v>
      </c>
      <c r="BB338" s="78" t="s">
        <v>71</v>
      </c>
      <c r="BC338" s="79" t="s">
        <v>72</v>
      </c>
      <c r="BD338" s="1496" t="s">
        <v>73</v>
      </c>
      <c r="BE338" s="13" t="s">
        <v>74</v>
      </c>
      <c r="BF338" s="518" t="s">
        <v>75</v>
      </c>
      <c r="BG338" s="5086"/>
      <c r="BH338" s="104"/>
      <c r="BI338" s="32"/>
      <c r="BJ338" s="33"/>
      <c r="BK338" s="32"/>
      <c r="BL338" s="34"/>
      <c r="BM338" s="92"/>
      <c r="BN338" s="108"/>
      <c r="BO338" s="94"/>
      <c r="BP338" s="95"/>
      <c r="BQ338" s="105"/>
      <c r="BR338" s="5101"/>
      <c r="BS338" s="920"/>
      <c r="BT338" s="1495"/>
      <c r="BU338" s="101"/>
      <c r="BV338" s="1475"/>
      <c r="BW338" s="5086"/>
      <c r="BX338" s="104"/>
      <c r="BY338" s="32"/>
      <c r="BZ338" s="33"/>
      <c r="CA338" s="32"/>
      <c r="CB338" s="34"/>
      <c r="CC338" s="92"/>
      <c r="CD338" s="108"/>
      <c r="CE338" s="94"/>
      <c r="CF338" s="95"/>
      <c r="CG338" s="105"/>
      <c r="CH338" s="5101"/>
      <c r="CI338" s="920"/>
      <c r="CJ338" s="1495"/>
      <c r="CK338" s="101"/>
      <c r="CL338" s="1475"/>
      <c r="CM338" s="5086"/>
      <c r="CN338" s="104"/>
      <c r="CO338" s="32"/>
      <c r="CP338" s="33"/>
      <c r="CQ338" s="32"/>
      <c r="CR338" s="34"/>
      <c r="CS338" s="92"/>
      <c r="CT338" s="108"/>
      <c r="CU338" s="94"/>
      <c r="CV338" s="95"/>
      <c r="CW338" s="105"/>
      <c r="CX338" s="5101"/>
      <c r="CY338" s="920"/>
      <c r="CZ338" s="1495"/>
      <c r="DA338" s="101"/>
      <c r="DB338" s="1475"/>
      <c r="DC338" s="5109"/>
      <c r="DD338" s="5086"/>
      <c r="DF338" s="3">
        <v>1</v>
      </c>
      <c r="EY338" s="127">
        <v>1</v>
      </c>
      <c r="EZ338" s="920" t="s">
        <v>12883</v>
      </c>
      <c r="FA338" s="1495">
        <f>IF(OR(ISBLANK(ET324),FA324=0),0,ET338*EY325)</f>
        <v>0</v>
      </c>
      <c r="FB338" s="101">
        <f>IFERROR(_xlfn.LET(_xlpm.v,IFERROR(_xlfn.XLOOKUP(EX338,ET361:FC361,ET362:FC362),_xlfn.XLOOKUP(EX338,ET363:FC363,ET364:FC364)),_xlpm.v*EW338*EY338*EY325*IF(ISBLANK(ET338),1,ET338)),0)</f>
        <v>0</v>
      </c>
      <c r="FC338" s="1476" t="str">
        <f>_xlfn.LET(_xlpm.unite,SUBSTITUTE(TRIM(EX338)," (s)",""),_xlpm.val,FB338,_xlpm.estVol,COUNTIF(EW361:FC361,_xlpm.unite)+COUNTIF(EW363:FC363,_xlpm.unite)&gt;0,_xlpm.estPoids,COUNTIF(ET361:EV361,_xlpm.unite)+COUNTIF(ET363:EV363,_xlpm.unite)&gt;0,IF(_xlpm.estVol,IF(ROUND(_xlpm.val,3)&gt;=1,ROUND(_xlpm.val,3)&amp;" L",MAX(1,ROUND(_xlpm.val*100,0))&amp;" cl"),IF(_xlpm.estPoids,IF(ROUND(_xlpm.val,3)&gt;=1,ROUND(_xlpm.val,3)&amp;" Kg",MAX(1,ROUND(_xlpm.val*1000,0))&amp;" g"),"")))</f>
        <v>1 cl</v>
      </c>
    </row>
    <row r="339" spans="2:159" ht="15.75" customHeight="1">
      <c r="B339" s="952" t="str">
        <f t="shared" si="62"/>
        <v>A</v>
      </c>
      <c r="C339" s="993" cm="1">
        <f t="array" ref="C339">SUMPRODUCT(LEN(D339:J339))</f>
        <v>0</v>
      </c>
      <c r="D339" s="167"/>
      <c r="E339" s="172"/>
      <c r="F339" s="172"/>
      <c r="G339" s="172"/>
      <c r="H339" s="172"/>
      <c r="I339" s="172"/>
      <c r="J339" s="173"/>
      <c r="K339"/>
      <c r="L339" s="27" t="s">
        <v>11</v>
      </c>
      <c r="M339" s="32" t="str">
        <f>M337</f>
        <v>B BAUDRUCHE DE COPAIN | | Auteur &gt; Guy KRENZE - Eric GODDYN - Arnaud NICOLAS - CEPROC 2002</v>
      </c>
      <c r="N339" s="33">
        <f>N337</f>
        <v>9.0500000000000007</v>
      </c>
      <c r="O339" s="32" t="str">
        <f>O337</f>
        <v>Kg</v>
      </c>
      <c r="P339" s="34" t="str">
        <f>P337</f>
        <v>Recette mère ► le Boudin en 4 déclinaisons</v>
      </c>
      <c r="Q339" s="81" t="s">
        <v>77</v>
      </c>
      <c r="R339" s="82" t="s">
        <v>78</v>
      </c>
      <c r="S339" s="83"/>
      <c r="T339" s="5454" t="s">
        <v>79</v>
      </c>
      <c r="U339" s="5464" t="s">
        <v>80</v>
      </c>
      <c r="V339" s="5466" t="s">
        <v>81</v>
      </c>
      <c r="W339" s="84" t="s">
        <v>82</v>
      </c>
      <c r="X339" s="5444" t="s">
        <v>83</v>
      </c>
      <c r="Y339" s="5446" t="s">
        <v>3297</v>
      </c>
      <c r="Z339" s="5448" t="s">
        <v>86</v>
      </c>
      <c r="AA339" s="5086"/>
      <c r="AB339" s="27" t="s">
        <v>11</v>
      </c>
      <c r="AC339" s="32" t="str">
        <f>AC337</f>
        <v>B BAUDRUCHE DE COPAIN | |  Author &gt; Guy KRENZE - Eric GODDYN - Arnaud NICOLAS - CEPROC 2002</v>
      </c>
      <c r="AD339" s="33">
        <f>AD337</f>
        <v>9.0500000000000007</v>
      </c>
      <c r="AE339" s="32" t="str">
        <f>AE337</f>
        <v>Kg</v>
      </c>
      <c r="AF339" s="34" t="str">
        <f>AF337</f>
        <v>Master recipe ► Black pudding in 4 variations</v>
      </c>
      <c r="AG339" s="81" t="s">
        <v>77</v>
      </c>
      <c r="AH339" s="82" t="s">
        <v>78</v>
      </c>
      <c r="AI339" s="83"/>
      <c r="AJ339" s="5454" t="s">
        <v>228</v>
      </c>
      <c r="AK339" s="5464" t="s">
        <v>80</v>
      </c>
      <c r="AL339" s="5466" t="s">
        <v>81</v>
      </c>
      <c r="AM339" s="84" t="s">
        <v>82</v>
      </c>
      <c r="AN339" s="5444" t="s">
        <v>244</v>
      </c>
      <c r="AO339" s="5446" t="s">
        <v>890</v>
      </c>
      <c r="AP339" s="5448" t="s">
        <v>247</v>
      </c>
      <c r="AQ339" s="5086"/>
      <c r="AR339" s="27" t="s">
        <v>11</v>
      </c>
      <c r="AS339" s="32" t="str">
        <f>AS337</f>
        <v>B BAUDRUCHE DE COPAIN | | Autor &gt; Guy KRENZE - Eric GODDYN - Arnaud NICOLAS - CEPROC 2002</v>
      </c>
      <c r="AT339" s="33">
        <f>AT337</f>
        <v>9.0500000000000007</v>
      </c>
      <c r="AU339" s="32" t="str">
        <f>AU337</f>
        <v>Kg</v>
      </c>
      <c r="AV339" s="34" t="str">
        <f>AV337</f>
        <v>Receta madre ► Morcilla en 4 versiones</v>
      </c>
      <c r="AW339" s="81" t="s">
        <v>77</v>
      </c>
      <c r="AX339" s="82" t="s">
        <v>78</v>
      </c>
      <c r="AY339" s="83"/>
      <c r="AZ339" s="5470" t="s">
        <v>229</v>
      </c>
      <c r="BA339" s="5495" t="s">
        <v>80</v>
      </c>
      <c r="BB339" s="5481" t="s">
        <v>396</v>
      </c>
      <c r="BC339" s="84" t="s">
        <v>82</v>
      </c>
      <c r="BD339" s="5444" t="s">
        <v>249</v>
      </c>
      <c r="BE339" s="5446" t="s">
        <v>907</v>
      </c>
      <c r="BF339" s="5448" t="s">
        <v>252</v>
      </c>
      <c r="BG339" s="5086"/>
      <c r="BH339" s="104"/>
      <c r="BI339" s="32"/>
      <c r="BJ339" s="33"/>
      <c r="BK339" s="32"/>
      <c r="BL339" s="34"/>
      <c r="BM339" s="92"/>
      <c r="BN339" s="108"/>
      <c r="BO339" s="94"/>
      <c r="BP339" s="95"/>
      <c r="BQ339" s="105"/>
      <c r="BR339" s="5101"/>
      <c r="BS339" s="920"/>
      <c r="BT339" s="1495"/>
      <c r="BU339" s="101"/>
      <c r="BV339" s="1475"/>
      <c r="BW339" s="5086"/>
      <c r="BX339" s="104"/>
      <c r="BY339" s="32"/>
      <c r="BZ339" s="33"/>
      <c r="CA339" s="32"/>
      <c r="CB339" s="34"/>
      <c r="CC339" s="92"/>
      <c r="CD339" s="108"/>
      <c r="CE339" s="94"/>
      <c r="CF339" s="95"/>
      <c r="CG339" s="105"/>
      <c r="CH339" s="5101"/>
      <c r="CI339" s="920"/>
      <c r="CJ339" s="1495"/>
      <c r="CK339" s="101"/>
      <c r="CL339" s="1475"/>
      <c r="CM339" s="5086"/>
      <c r="CN339" s="104"/>
      <c r="CO339" s="32"/>
      <c r="CP339" s="33"/>
      <c r="CQ339" s="32"/>
      <c r="CR339" s="34"/>
      <c r="CS339" s="92"/>
      <c r="CT339" s="108"/>
      <c r="CU339" s="94"/>
      <c r="CV339" s="95"/>
      <c r="CW339" s="105"/>
      <c r="CX339" s="5101"/>
      <c r="CY339" s="920"/>
      <c r="CZ339" s="1495"/>
      <c r="DA339" s="101"/>
      <c r="DB339" s="1475"/>
      <c r="DC339" s="5109"/>
      <c r="DD339" s="5086"/>
      <c r="DF339" s="3">
        <v>1</v>
      </c>
      <c r="EY339" s="127">
        <v>1</v>
      </c>
      <c r="EZ339" s="920" t="s">
        <v>12885</v>
      </c>
      <c r="FA339" s="1495">
        <f>IF(OR(ISBLANK(ET324),FA324=0),0,ET339*EY325)</f>
        <v>0</v>
      </c>
      <c r="FB339" s="101">
        <f>IFERROR(_xlfn.LET(_xlpm.v,IFERROR(_xlfn.XLOOKUP(EX339,ET361:FC361,ET362:FC362),_xlfn.XLOOKUP(EX339,ET363:FC363,ET364:FC364)),_xlpm.v*EW339*EY339*EY325*IF(ISBLANK(ET339),1,ET339)),0)</f>
        <v>0</v>
      </c>
      <c r="FC339" s="1475" t="str">
        <f>_xlfn.LET(_xlpm.unite,SUBSTITUTE(TRIM(EX339)," (s)",""),_xlpm.val,FB339,_xlpm.estVol,COUNTIF(EW361:FC361,_xlpm.unite)+COUNTIF(EW363:FC363,_xlpm.unite)&gt;0,_xlpm.estPoids,COUNTIF(ET361:EV361,_xlpm.unite)+COUNTIF(ET363:EV363,_xlpm.unite)&gt;0,IF(_xlpm.estVol,IF(ROUND(_xlpm.val,3)&gt;=1,ROUND(_xlpm.val,3)&amp;" L",MAX(1,ROUND(_xlpm.val*100,0))&amp;" cl"),IF(_xlpm.estPoids,IF(ROUND(_xlpm.val,3)&gt;=1,ROUND(_xlpm.val,3)&amp;" Kg",MAX(1,ROUND(_xlpm.val*1000,0))&amp;" g"),"")))</f>
        <v>1 cl</v>
      </c>
    </row>
    <row r="340" spans="2:159" ht="18.75">
      <c r="B340" s="952" t="str">
        <f t="shared" si="62"/>
        <v>A</v>
      </c>
      <c r="C340" s="993" cm="1">
        <f t="array" ref="C340">SUMPRODUCT(LEN(D340:J340))</f>
        <v>0</v>
      </c>
      <c r="D340" s="167"/>
      <c r="E340" s="172"/>
      <c r="F340" s="172"/>
      <c r="G340" s="172"/>
      <c r="H340" s="172"/>
      <c r="I340" s="172"/>
      <c r="J340" s="173"/>
      <c r="K340"/>
      <c r="L340" s="27" t="s">
        <v>11</v>
      </c>
      <c r="M340" s="32" t="str">
        <f>M337</f>
        <v>B BAUDRUCHE DE COPAIN | | Auteur &gt; Guy KRENZE - Eric GODDYN - Arnaud NICOLAS - CEPROC 2002</v>
      </c>
      <c r="N340" s="33">
        <f>N337</f>
        <v>9.0500000000000007</v>
      </c>
      <c r="O340" s="32" t="str">
        <f>O337</f>
        <v>Kg</v>
      </c>
      <c r="P340" s="34" t="str">
        <f>P337</f>
        <v>Recette mère ► le Boudin en 4 déclinaisons</v>
      </c>
      <c r="Q340" s="87" t="s">
        <v>91</v>
      </c>
      <c r="R340" s="88" t="s">
        <v>92</v>
      </c>
      <c r="S340" s="89" t="s">
        <v>93</v>
      </c>
      <c r="T340" s="5455"/>
      <c r="U340" s="5465"/>
      <c r="V340" s="5467"/>
      <c r="W340" s="90" t="s">
        <v>94</v>
      </c>
      <c r="X340" s="5445"/>
      <c r="Y340" s="5447"/>
      <c r="Z340" s="5449"/>
      <c r="AA340" s="5086"/>
      <c r="AB340" s="27" t="s">
        <v>11</v>
      </c>
      <c r="AC340" s="32" t="str">
        <f>AC337</f>
        <v>B BAUDRUCHE DE COPAIN | |  Author &gt; Guy KRENZE - Eric GODDYN - Arnaud NICOLAS - CEPROC 2002</v>
      </c>
      <c r="AD340" s="33">
        <f>AD337</f>
        <v>9.0500000000000007</v>
      </c>
      <c r="AE340" s="32" t="str">
        <f>AE337</f>
        <v>Kg</v>
      </c>
      <c r="AF340" s="34" t="str">
        <f>AF337</f>
        <v>Master recipe ► Black pudding in 4 variations</v>
      </c>
      <c r="AG340" s="87" t="s">
        <v>231</v>
      </c>
      <c r="AH340" s="88" t="s">
        <v>232</v>
      </c>
      <c r="AI340" s="89" t="s">
        <v>891</v>
      </c>
      <c r="AJ340" s="5455"/>
      <c r="AK340" s="5465"/>
      <c r="AL340" s="5467"/>
      <c r="AM340" s="90" t="s">
        <v>867</v>
      </c>
      <c r="AN340" s="5445"/>
      <c r="AO340" s="5447"/>
      <c r="AP340" s="5449"/>
      <c r="AQ340" s="5086"/>
      <c r="AR340" s="27" t="s">
        <v>11</v>
      </c>
      <c r="AS340" s="32" t="str">
        <f>AS337</f>
        <v>B BAUDRUCHE DE COPAIN | | Autor &gt; Guy KRENZE - Eric GODDYN - Arnaud NICOLAS - CEPROC 2002</v>
      </c>
      <c r="AT340" s="33">
        <f>AT337</f>
        <v>9.0500000000000007</v>
      </c>
      <c r="AU340" s="32" t="str">
        <f>AU337</f>
        <v>Kg</v>
      </c>
      <c r="AV340" s="34" t="str">
        <f>AV337</f>
        <v>Receta madre ► Morcilla en 4 versiones</v>
      </c>
      <c r="AW340" s="87" t="s">
        <v>234</v>
      </c>
      <c r="AX340" s="88" t="s">
        <v>235</v>
      </c>
      <c r="AY340" s="89" t="s">
        <v>93</v>
      </c>
      <c r="AZ340" s="5455"/>
      <c r="BA340" s="5465"/>
      <c r="BB340" s="5467"/>
      <c r="BC340" s="90" t="s">
        <v>869</v>
      </c>
      <c r="BD340" s="5445"/>
      <c r="BE340" s="5447"/>
      <c r="BF340" s="5449"/>
      <c r="BG340" s="5086"/>
      <c r="BH340" s="104"/>
      <c r="BI340" s="32"/>
      <c r="BJ340" s="33"/>
      <c r="BK340" s="32"/>
      <c r="BL340" s="34"/>
      <c r="BM340" s="92"/>
      <c r="BN340" s="108"/>
      <c r="BO340" s="94"/>
      <c r="BP340" s="95"/>
      <c r="BQ340" s="105"/>
      <c r="BR340" s="5101"/>
      <c r="BS340" s="920"/>
      <c r="BT340" s="1495"/>
      <c r="BU340" s="101"/>
      <c r="BV340" s="1475"/>
      <c r="BW340" s="5086"/>
      <c r="BX340" s="104"/>
      <c r="BY340" s="32"/>
      <c r="BZ340" s="33"/>
      <c r="CA340" s="32"/>
      <c r="CB340" s="34"/>
      <c r="CC340" s="92"/>
      <c r="CD340" s="108"/>
      <c r="CE340" s="94"/>
      <c r="CF340" s="95"/>
      <c r="CG340" s="105"/>
      <c r="CH340" s="5101"/>
      <c r="CI340" s="920"/>
      <c r="CJ340" s="1495"/>
      <c r="CK340" s="101"/>
      <c r="CL340" s="1475"/>
      <c r="CM340" s="5086"/>
      <c r="CN340" s="104"/>
      <c r="CO340" s="32"/>
      <c r="CP340" s="33"/>
      <c r="CQ340" s="32"/>
      <c r="CR340" s="34"/>
      <c r="CS340" s="92"/>
      <c r="CT340" s="108"/>
      <c r="CU340" s="94"/>
      <c r="CV340" s="95"/>
      <c r="CW340" s="105"/>
      <c r="CX340" s="5101"/>
      <c r="CY340" s="920"/>
      <c r="CZ340" s="1495"/>
      <c r="DA340" s="101"/>
      <c r="DB340" s="1475"/>
      <c r="DC340" s="5109"/>
      <c r="DD340" s="5086"/>
      <c r="DF340" s="3">
        <v>1</v>
      </c>
      <c r="EY340" s="127">
        <v>1</v>
      </c>
      <c r="EZ340" s="920" t="s">
        <v>12887</v>
      </c>
      <c r="FA340" s="1495">
        <f>IF(OR(ISBLANK(ET324),FA324=0),0,ET340*EY325)</f>
        <v>0</v>
      </c>
      <c r="FB340" s="101">
        <f>IFERROR(_xlfn.LET(_xlpm.v,IFERROR(_xlfn.XLOOKUP(EX340,ET361:FC361,ET362:FC362),_xlfn.XLOOKUP(EX340,ET363:FC363,ET364:FC364)),_xlpm.v*EW340*EY340*EY325*IF(ISBLANK(ET340),1,ET340)),0)</f>
        <v>0</v>
      </c>
      <c r="FC340" s="1476" t="str">
        <f>_xlfn.LET(_xlpm.unite,SUBSTITUTE(TRIM(EX340)," (s)",""),_xlpm.val,FB340,_xlpm.estVol,COUNTIF(EW361:FC361,_xlpm.unite)+COUNTIF(EW363:FC363,_xlpm.unite)&gt;0,_xlpm.estPoids,COUNTIF(ET361:EV361,_xlpm.unite)+COUNTIF(ET363:EV363,_xlpm.unite)&gt;0,IF(_xlpm.estVol,IF(ROUND(_xlpm.val,3)&gt;=1,ROUND(_xlpm.val,3)&amp;" L",MAX(1,ROUND(_xlpm.val*100,0))&amp;" cl"),IF(_xlpm.estPoids,IF(ROUND(_xlpm.val,3)&gt;=1,ROUND(_xlpm.val,3)&amp;" Kg",MAX(1,ROUND(_xlpm.val*1000,0))&amp;" g"),"")))</f>
        <v>1 cl</v>
      </c>
    </row>
    <row r="341" spans="2:159" ht="18.75">
      <c r="B341" s="952" t="str">
        <f t="shared" si="62"/>
        <v>A</v>
      </c>
      <c r="C341" s="993" cm="1">
        <f t="array" ref="C341">SUMPRODUCT(LEN(D341:J341))</f>
        <v>0</v>
      </c>
      <c r="D341" s="167"/>
      <c r="E341" s="172"/>
      <c r="F341" s="172"/>
      <c r="G341" s="172"/>
      <c r="H341" s="172"/>
      <c r="I341" s="172"/>
      <c r="J341" s="173"/>
      <c r="K341"/>
      <c r="L341" s="27" t="s">
        <v>11</v>
      </c>
      <c r="M341" s="32" t="str">
        <f>M337</f>
        <v>B BAUDRUCHE DE COPAIN | | Auteur &gt; Guy KRENZE - Eric GODDYN - Arnaud NICOLAS - CEPROC 2002</v>
      </c>
      <c r="N341" s="33">
        <f>N337</f>
        <v>9.0500000000000007</v>
      </c>
      <c r="O341" s="32" t="str">
        <f>O337</f>
        <v>Kg</v>
      </c>
      <c r="P341" s="34" t="str">
        <f>P337</f>
        <v>Recette mère ► le Boudin en 4 déclinaisons</v>
      </c>
      <c r="Q341" s="92"/>
      <c r="R341" s="93"/>
      <c r="S341" s="94" t="str">
        <f t="shared" ref="S341:S360" si="69">IF(OR(ISTEXT(Q341), Q341&lt;=0, T341&lt;=0), "", "de")</f>
        <v/>
      </c>
      <c r="T341" s="95">
        <v>250</v>
      </c>
      <c r="U341" s="105" t="s">
        <v>99</v>
      </c>
      <c r="V341" s="127">
        <v>1</v>
      </c>
      <c r="W341" s="919" t="s">
        <v>13102</v>
      </c>
      <c r="X341" s="100">
        <f>IF(OR(ISBLANK(Q335),X335=0),0,Q341*V336)</f>
        <v>0</v>
      </c>
      <c r="Y341" s="101" cm="1">
        <f t="array" ref="Y341">IFERROR(_xlfn.LET(_xlpm.k,UPPER(TRIM(U341)),_xlpm.r,_xlfn.XLOOKUP(_xlpm.k,UPPER(TRIM(Q362:Z362)),Q363:Z363,_xlfn.XLOOKUP(_xlpm.k,UPPER(TRIM(Q364:Z364)),Q365:Z365)),_xlpm.r*T341*V341*V336*IF(ISBLANK(Q341),1,Q341)),0)</f>
        <v>0.27624309392265189</v>
      </c>
      <c r="Z341" s="1476" t="str">
        <f>_xlfn.LET(_xlpm.unite,SUBSTITUTE(TRIM(U341)," (s)",""),_xlpm.val,Y341,_xlpm.estVol,COUNTIF(T362:Z362,_xlpm.unite)+COUNTIF(T364:Z364,_xlpm.unite)&gt;0,_xlpm.estPoids,COUNTIF(Q362:S362,_xlpm.unite)+COUNTIF(Q364:S364,_xlpm.unite)&gt;0,IF(_xlpm.estVol,IF(ROUND(_xlpm.val,3)&gt;=1,ROUND(_xlpm.val,3)&amp;" L",MAX(1,ROUND(_xlpm.val*100,0))&amp;" cl"),IF(_xlpm.estPoids,IF(ROUND(_xlpm.val,3)&gt;=1,ROUND(_xlpm.val,3)&amp;" Kg",MAX(1,ROUND(_xlpm.val*1000,0))&amp;" g"),"")))</f>
        <v>276 g</v>
      </c>
      <c r="AA341" s="5086"/>
      <c r="AB341" s="27" t="s">
        <v>11</v>
      </c>
      <c r="AC341" s="32" t="str">
        <f>AC337</f>
        <v>B BAUDRUCHE DE COPAIN | |  Author &gt; Guy KRENZE - Eric GODDYN - Arnaud NICOLAS - CEPROC 2002</v>
      </c>
      <c r="AD341" s="33">
        <f>AD337</f>
        <v>9.0500000000000007</v>
      </c>
      <c r="AE341" s="32" t="str">
        <f>AE337</f>
        <v>Kg</v>
      </c>
      <c r="AF341" s="34" t="str">
        <f>AF337</f>
        <v>Master recipe ► Black pudding in 4 variations</v>
      </c>
      <c r="AG341" s="92"/>
      <c r="AH341" s="93"/>
      <c r="AI341" s="94" t="str">
        <f t="shared" ref="AI341:AI360" si="70">IF(OR(ISTEXT(AG341), AG341&lt;=0, AJ341&lt;=0), "", "de")</f>
        <v/>
      </c>
      <c r="AJ341" s="95">
        <v>250</v>
      </c>
      <c r="AK341" s="105" t="s">
        <v>99</v>
      </c>
      <c r="AL341" s="127">
        <v>1</v>
      </c>
      <c r="AM341" s="919" t="s">
        <v>13262</v>
      </c>
      <c r="AN341" s="100">
        <f>IF(OR(ISBLANK(AG335),AN335=0),0,AG341*AL336)</f>
        <v>0</v>
      </c>
      <c r="AO341" s="101" cm="1">
        <f t="array" ref="AO341">IFERROR(_xlfn.LET(_xlpm.k,UPPER(TRIM(AK341)),_xlpm.r,_xlfn.XLOOKUP(_xlpm.k,UPPER(TRIM(AG362:AP362)),AG363:AP363,_xlfn.XLOOKUP(_xlpm.k,UPPER(TRIM(AG364:AP364)),AG365:AP365)),_xlpm.r*AJ341*AL341*AL336*IF(ISBLANK(AG341),1,AG341)),0)</f>
        <v>0.27624309392265189</v>
      </c>
      <c r="AP341" s="1476" t="str">
        <f>_xlfn.LET(_xlpm.unite,SUBSTITUTE(TRIM(AK341)," (s)",""),_xlpm.val,AO341,_xlpm.estVol,COUNTIF(AJ362:AP362,_xlpm.unite)+COUNTIF(AJ364:AP364,_xlpm.unite)&gt;0,_xlpm.estPoids,COUNTIF(AG362:AI362,_xlpm.unite)+COUNTIF(AG364:AI364,_xlpm.unite)&gt;0,IF(_xlpm.estVol,IF(ROUND(_xlpm.val,3)&gt;=1,ROUND(_xlpm.val,3)&amp;" L",MAX(1,ROUND(_xlpm.val*100,0))&amp;" cl"),IF(_xlpm.estPoids,IF(ROUND(_xlpm.val,3)&gt;=1,ROUND(_xlpm.val,3)&amp;" Kg",MAX(1,ROUND(_xlpm.val*1000,0))&amp;" g"),"")))</f>
        <v>276 g</v>
      </c>
      <c r="AQ341" s="5086"/>
      <c r="AR341" s="27" t="s">
        <v>11</v>
      </c>
      <c r="AS341" s="32" t="str">
        <f>AS337</f>
        <v>B BAUDRUCHE DE COPAIN | | Autor &gt; Guy KRENZE - Eric GODDYN - Arnaud NICOLAS - CEPROC 2002</v>
      </c>
      <c r="AT341" s="33">
        <f>AT337</f>
        <v>9.0500000000000007</v>
      </c>
      <c r="AU341" s="32" t="str">
        <f>AU337</f>
        <v>Kg</v>
      </c>
      <c r="AV341" s="34" t="str">
        <f>AV337</f>
        <v>Receta madre ► Morcilla en 4 versiones</v>
      </c>
      <c r="AW341" s="92"/>
      <c r="AX341" s="93"/>
      <c r="AY341" s="94" t="str">
        <f t="shared" ref="AY341:AY360" si="71">IF(OR(ISTEXT(AW341), AW341&lt;=0, AZ341&lt;=0), "", "de")</f>
        <v/>
      </c>
      <c r="AZ341" s="95">
        <v>250</v>
      </c>
      <c r="BA341" s="105" t="s">
        <v>99</v>
      </c>
      <c r="BB341" s="127">
        <v>1</v>
      </c>
      <c r="BC341" s="919" t="s">
        <v>13278</v>
      </c>
      <c r="BD341" s="100">
        <f>IF(OR(ISBLANK(AW335),BD335=0),0,AW341*BB336)</f>
        <v>0</v>
      </c>
      <c r="BE341" s="101" cm="1">
        <f t="array" ref="BE341">IFERROR(_xlfn.LET(_xlpm.k,UPPER(TRIM(BA341)),_xlpm.r,_xlfn.XLOOKUP(_xlpm.k,UPPER(TRIM(AW362:BF362)),AW363:BF363,_xlfn.XLOOKUP(_xlpm.k,UPPER(TRIM(AW364:BF364)),AW365:BF365)),_xlpm.r*AZ341*BB341*BB336*IF(ISBLANK(AW341),1,AW341)),0)</f>
        <v>0.27624309392265189</v>
      </c>
      <c r="BF341" s="1476" t="str">
        <f>_xlfn.LET(_xlpm.unite,SUBSTITUTE(TRIM(BA341)," (s)",""),_xlpm.val,BE341,_xlpm.estVol,COUNTIF(AZ362:BF362,_xlpm.unite)+COUNTIF(AZ364:BF364,_xlpm.unite)&gt;0,_xlpm.estPoids,COUNTIF(AW362:AY362,_xlpm.unite)+COUNTIF(AW364:AY364,_xlpm.unite)&gt;0,IF(_xlpm.estVol,IF(ROUND(_xlpm.val,3)&gt;=1,ROUND(_xlpm.val,3)&amp;" L",MAX(1,ROUND(_xlpm.val*100,0))&amp;" cl"),IF(_xlpm.estPoids,IF(ROUND(_xlpm.val,3)&gt;=1,ROUND(_xlpm.val,3)&amp;" Kg",MAX(1,ROUND(_xlpm.val*1000,0))&amp;" g"),"")))</f>
        <v>276 g</v>
      </c>
      <c r="BG341" s="5086"/>
      <c r="BH341" s="104"/>
      <c r="BI341" s="32"/>
      <c r="BJ341" s="33"/>
      <c r="BK341" s="32"/>
      <c r="BL341" s="34"/>
      <c r="BM341" s="92"/>
      <c r="BN341" s="108"/>
      <c r="BO341" s="94"/>
      <c r="BP341" s="95"/>
      <c r="BQ341" s="105"/>
      <c r="BR341" s="5101"/>
      <c r="BS341" s="920"/>
      <c r="BT341" s="1495"/>
      <c r="BU341" s="101"/>
      <c r="BV341" s="1475"/>
      <c r="BW341" s="5086"/>
      <c r="BX341" s="104"/>
      <c r="BY341" s="32"/>
      <c r="BZ341" s="33"/>
      <c r="CA341" s="32"/>
      <c r="CB341" s="34"/>
      <c r="CC341" s="92"/>
      <c r="CD341" s="108"/>
      <c r="CE341" s="94"/>
      <c r="CF341" s="95"/>
      <c r="CG341" s="105"/>
      <c r="CH341" s="5101"/>
      <c r="CI341" s="920"/>
      <c r="CJ341" s="1495"/>
      <c r="CK341" s="101"/>
      <c r="CL341" s="1475"/>
      <c r="CM341" s="5086"/>
      <c r="CN341" s="104"/>
      <c r="CO341" s="32"/>
      <c r="CP341" s="33"/>
      <c r="CQ341" s="32"/>
      <c r="CR341" s="34"/>
      <c r="CS341" s="92"/>
      <c r="CT341" s="108"/>
      <c r="CU341" s="94"/>
      <c r="CV341" s="95"/>
      <c r="CW341" s="105"/>
      <c r="CX341" s="5101"/>
      <c r="CY341" s="920"/>
      <c r="CZ341" s="1495"/>
      <c r="DA341" s="101"/>
      <c r="DB341" s="1475"/>
      <c r="DC341" s="5109"/>
      <c r="DD341" s="5086"/>
      <c r="DF341" s="3">
        <v>1</v>
      </c>
      <c r="EY341" s="127">
        <v>1</v>
      </c>
      <c r="EZ341" s="920"/>
      <c r="FA341" s="1495">
        <f>IF(OR(ISBLANK(ET324),FA324=0),0,ET341*EY325)</f>
        <v>0</v>
      </c>
      <c r="FB341" s="101">
        <f>IFERROR(_xlfn.LET(_xlpm.v,IFERROR(_xlfn.XLOOKUP(EX341,ET361:FC361,ET362:FC362),_xlfn.XLOOKUP(EX341,ET363:FC363,ET364:FC364)),_xlpm.v*EW341*EY341*EY325*IF(ISBLANK(ET341),1,ET341)),0)</f>
        <v>0</v>
      </c>
      <c r="FC341" s="1475" t="str">
        <f>_xlfn.LET(_xlpm.unite,SUBSTITUTE(TRIM(EX341)," (s)",""),_xlpm.val,FB341,_xlpm.estVol,COUNTIF(EW361:FC361,_xlpm.unite)+COUNTIF(EW363:FC363,_xlpm.unite)&gt;0,_xlpm.estPoids,COUNTIF(ET361:EV361,_xlpm.unite)+COUNTIF(ET363:EV363,_xlpm.unite)&gt;0,IF(_xlpm.estVol,IF(ROUND(_xlpm.val,3)&gt;=1,ROUND(_xlpm.val,3)&amp;" L",MAX(1,ROUND(_xlpm.val*100,0))&amp;" cl"),IF(_xlpm.estPoids,IF(ROUND(_xlpm.val,3)&gt;=1,ROUND(_xlpm.val,3)&amp;" Kg",MAX(1,ROUND(_xlpm.val*1000,0))&amp;" g"),"")))</f>
        <v>1 cl</v>
      </c>
    </row>
    <row r="342" spans="2:159" ht="18.75">
      <c r="B342" s="952" t="str">
        <f t="shared" si="62"/>
        <v>A</v>
      </c>
      <c r="C342" s="993" cm="1">
        <f t="array" ref="C342">SUMPRODUCT(LEN(D342:J342))</f>
        <v>0</v>
      </c>
      <c r="D342" s="167"/>
      <c r="E342" s="172"/>
      <c r="F342" s="172"/>
      <c r="G342" s="172"/>
      <c r="H342" s="172"/>
      <c r="I342" s="172"/>
      <c r="J342" s="173"/>
      <c r="K342"/>
      <c r="L342" s="104" t="str">
        <f t="shared" ref="L342:L360" si="72">IF(W342&lt;&gt;"","A","►")</f>
        <v>A</v>
      </c>
      <c r="M342" s="32" t="str">
        <f>M337</f>
        <v>B BAUDRUCHE DE COPAIN | | Auteur &gt; Guy KRENZE - Eric GODDYN - Arnaud NICOLAS - CEPROC 2002</v>
      </c>
      <c r="N342" s="33">
        <f>N337</f>
        <v>9.0500000000000007</v>
      </c>
      <c r="O342" s="32" t="str">
        <f>O337</f>
        <v>Kg</v>
      </c>
      <c r="P342" s="34" t="str">
        <f>P337</f>
        <v>Recette mère ► le Boudin en 4 déclinaisons</v>
      </c>
      <c r="Q342" s="92"/>
      <c r="R342" s="93"/>
      <c r="S342" s="94" t="str">
        <f t="shared" si="69"/>
        <v/>
      </c>
      <c r="T342" s="95">
        <v>250</v>
      </c>
      <c r="U342" s="105" t="s">
        <v>99</v>
      </c>
      <c r="V342" s="127">
        <v>1</v>
      </c>
      <c r="W342" s="920" t="s">
        <v>13103</v>
      </c>
      <c r="X342" s="1495">
        <f>IF(OR(ISBLANK(Q335),X335=0),0,Q342*V336)</f>
        <v>0</v>
      </c>
      <c r="Y342" s="101" cm="1">
        <f t="array" ref="Y342">IFERROR(_xlfn.LET(_xlpm.k,UPPER(TRIM(U342)),_xlpm.r,_xlfn.XLOOKUP(_xlpm.k,UPPER(TRIM(Q362:Z362)),Q363:Z363,_xlfn.XLOOKUP(_xlpm.k,UPPER(TRIM(Q364:Z364)),Q365:Z365)),_xlpm.r*T342*V342*V336*IF(ISBLANK(Q342),1,Q342)),0)</f>
        <v>0.27624309392265189</v>
      </c>
      <c r="Z342" s="1475" t="str">
        <f>_xlfn.LET(_xlpm.unite,SUBSTITUTE(TRIM(U342)," (s)",""),_xlpm.val,Y342,_xlpm.estVol,COUNTIF(T362:Z362,_xlpm.unite)+COUNTIF(T364:Z364,_xlpm.unite)&gt;0,_xlpm.estPoids,COUNTIF(Q362:S362,_xlpm.unite)+COUNTIF(Q364:S364,_xlpm.unite)&gt;0,IF(_xlpm.estVol,IF(ROUND(_xlpm.val,3)&gt;=1,ROUND(_xlpm.val,3)&amp;" L",MAX(1,ROUND(_xlpm.val*100,0))&amp;" cl"),IF(_xlpm.estPoids,IF(ROUND(_xlpm.val,3)&gt;=1,ROUND(_xlpm.val,3)&amp;" Kg",MAX(1,ROUND(_xlpm.val*1000,0))&amp;" g"),"")))</f>
        <v>276 g</v>
      </c>
      <c r="AA342" s="5086"/>
      <c r="AB342" s="104" t="str">
        <f t="shared" ref="AB342:AB360" si="73">IF(AM342&lt;&gt;"","A","►")</f>
        <v>A</v>
      </c>
      <c r="AC342" s="32" t="str">
        <f>AC337</f>
        <v>B BAUDRUCHE DE COPAIN | |  Author &gt; Guy KRENZE - Eric GODDYN - Arnaud NICOLAS - CEPROC 2002</v>
      </c>
      <c r="AD342" s="33">
        <f>AD337</f>
        <v>9.0500000000000007</v>
      </c>
      <c r="AE342" s="32" t="str">
        <f>AE337</f>
        <v>Kg</v>
      </c>
      <c r="AF342" s="34" t="str">
        <f>AF337</f>
        <v>Master recipe ► Black pudding in 4 variations</v>
      </c>
      <c r="AG342" s="92"/>
      <c r="AH342" s="93"/>
      <c r="AI342" s="94" t="str">
        <f t="shared" si="70"/>
        <v/>
      </c>
      <c r="AJ342" s="95">
        <v>250</v>
      </c>
      <c r="AK342" s="105" t="s">
        <v>99</v>
      </c>
      <c r="AL342" s="127">
        <v>1</v>
      </c>
      <c r="AM342" s="920" t="s">
        <v>13263</v>
      </c>
      <c r="AN342" s="1495">
        <f>IF(OR(ISBLANK(AG335),AN335=0),0,AG342*AL336)</f>
        <v>0</v>
      </c>
      <c r="AO342" s="101" cm="1">
        <f t="array" ref="AO342">IFERROR(_xlfn.LET(_xlpm.k,UPPER(TRIM(AK342)),_xlpm.r,_xlfn.XLOOKUP(_xlpm.k,UPPER(TRIM(AG362:AP362)),AG363:AP363,_xlfn.XLOOKUP(_xlpm.k,UPPER(TRIM(AG364:AP364)),AG365:AP365)),_xlpm.r*AJ342*AL342*AL336*IF(ISBLANK(AG342),1,AG342)),0)</f>
        <v>0.27624309392265189</v>
      </c>
      <c r="AP342" s="1475" t="str">
        <f>_xlfn.LET(_xlpm.unite,SUBSTITUTE(TRIM(AK342)," (s)",""),_xlpm.val,AO342,_xlpm.estVol,COUNTIF(AJ362:AP362,_xlpm.unite)+COUNTIF(AJ364:AP364,_xlpm.unite)&gt;0,_xlpm.estPoids,COUNTIF(AG362:AI362,_xlpm.unite)+COUNTIF(AG364:AI364,_xlpm.unite)&gt;0,IF(_xlpm.estVol,IF(ROUND(_xlpm.val,3)&gt;=1,ROUND(_xlpm.val,3)&amp;" L",MAX(1,ROUND(_xlpm.val*100,0))&amp;" cl"),IF(_xlpm.estPoids,IF(ROUND(_xlpm.val,3)&gt;=1,ROUND(_xlpm.val,3)&amp;" Kg",MAX(1,ROUND(_xlpm.val*1000,0))&amp;" g"),"")))</f>
        <v>276 g</v>
      </c>
      <c r="AQ342" s="5086"/>
      <c r="AR342" s="104" t="str">
        <f t="shared" ref="AR342:AR360" si="74">IF(BC342&lt;&gt;"","A","►")</f>
        <v>A</v>
      </c>
      <c r="AS342" s="32" t="str">
        <f>AS337</f>
        <v>B BAUDRUCHE DE COPAIN | | Autor &gt; Guy KRENZE - Eric GODDYN - Arnaud NICOLAS - CEPROC 2002</v>
      </c>
      <c r="AT342" s="33">
        <f>AT337</f>
        <v>9.0500000000000007</v>
      </c>
      <c r="AU342" s="32" t="str">
        <f>AU337</f>
        <v>Kg</v>
      </c>
      <c r="AV342" s="34" t="str">
        <f>AV337</f>
        <v>Receta madre ► Morcilla en 4 versiones</v>
      </c>
      <c r="AW342" s="92"/>
      <c r="AX342" s="93"/>
      <c r="AY342" s="94" t="str">
        <f t="shared" si="71"/>
        <v/>
      </c>
      <c r="AZ342" s="95">
        <v>250</v>
      </c>
      <c r="BA342" s="105" t="s">
        <v>99</v>
      </c>
      <c r="BB342" s="127">
        <v>1</v>
      </c>
      <c r="BC342" s="920" t="s">
        <v>13279</v>
      </c>
      <c r="BD342" s="1495">
        <f>IF(OR(ISBLANK(AW335),BD335=0),0,AW342*BB336)</f>
        <v>0</v>
      </c>
      <c r="BE342" s="101" cm="1">
        <f t="array" ref="BE342">IFERROR(_xlfn.LET(_xlpm.k,UPPER(TRIM(BA342)),_xlpm.r,_xlfn.XLOOKUP(_xlpm.k,UPPER(TRIM(AW362:BF362)),AW363:BF363,_xlfn.XLOOKUP(_xlpm.k,UPPER(TRIM(AW364:BF364)),AW365:BF365)),_xlpm.r*AZ342*BB342*BB336*IF(ISBLANK(AW342),1,AW342)),0)</f>
        <v>0.27624309392265189</v>
      </c>
      <c r="BF342" s="1475" t="str">
        <f>_xlfn.LET(_xlpm.unite,SUBSTITUTE(TRIM(BA342)," (s)",""),_xlpm.val,BE342,_xlpm.estVol,COUNTIF(AZ362:BF362,_xlpm.unite)+COUNTIF(AZ364:BF364,_xlpm.unite)&gt;0,_xlpm.estPoids,COUNTIF(AW362:AY362,_xlpm.unite)+COUNTIF(AW364:AY364,_xlpm.unite)&gt;0,IF(_xlpm.estVol,IF(ROUND(_xlpm.val,3)&gt;=1,ROUND(_xlpm.val,3)&amp;" L",MAX(1,ROUND(_xlpm.val*100,0))&amp;" cl"),IF(_xlpm.estPoids,IF(ROUND(_xlpm.val,3)&gt;=1,ROUND(_xlpm.val,3)&amp;" Kg",MAX(1,ROUND(_xlpm.val*1000,0))&amp;" g"),"")))</f>
        <v>276 g</v>
      </c>
      <c r="BG342" s="5086"/>
      <c r="BH342" s="104"/>
      <c r="BI342" s="32"/>
      <c r="BJ342" s="33"/>
      <c r="BK342" s="32"/>
      <c r="BL342" s="34"/>
      <c r="BM342" s="92"/>
      <c r="BN342" s="108"/>
      <c r="BO342" s="94"/>
      <c r="BP342" s="95"/>
      <c r="BQ342" s="105"/>
      <c r="BR342" s="5101"/>
      <c r="BS342" s="920"/>
      <c r="BT342" s="1495"/>
      <c r="BU342" s="101"/>
      <c r="BV342" s="1475"/>
      <c r="BW342" s="5086"/>
      <c r="BX342" s="104"/>
      <c r="BY342" s="32"/>
      <c r="BZ342" s="33"/>
      <c r="CA342" s="32"/>
      <c r="CB342" s="34"/>
      <c r="CC342" s="92"/>
      <c r="CD342" s="108"/>
      <c r="CE342" s="94"/>
      <c r="CF342" s="95"/>
      <c r="CG342" s="105"/>
      <c r="CH342" s="5101"/>
      <c r="CI342" s="920"/>
      <c r="CJ342" s="1495"/>
      <c r="CK342" s="101"/>
      <c r="CL342" s="1475"/>
      <c r="CM342" s="5086"/>
      <c r="CN342" s="104"/>
      <c r="CO342" s="32"/>
      <c r="CP342" s="33"/>
      <c r="CQ342" s="32"/>
      <c r="CR342" s="34"/>
      <c r="CS342" s="92"/>
      <c r="CT342" s="108"/>
      <c r="CU342" s="94"/>
      <c r="CV342" s="95"/>
      <c r="CW342" s="105"/>
      <c r="CX342" s="5101"/>
      <c r="CY342" s="920"/>
      <c r="CZ342" s="1495"/>
      <c r="DA342" s="101"/>
      <c r="DB342" s="1475"/>
      <c r="DC342" s="5109"/>
      <c r="DD342" s="5086"/>
      <c r="DF342" s="3">
        <v>1</v>
      </c>
      <c r="EY342" s="127">
        <v>1</v>
      </c>
      <c r="EZ342" s="920" t="s">
        <v>12997</v>
      </c>
      <c r="FA342" s="1495">
        <f>IF(OR(ISBLANK(ET324),FA324=0),0,ET342*EY325)</f>
        <v>0</v>
      </c>
      <c r="FB342" s="101">
        <f>IFERROR(_xlfn.LET(_xlpm.v,IFERROR(_xlfn.XLOOKUP(EX342,ET361:FC361,ET362:FC362),_xlfn.XLOOKUP(EX342,ET363:FC363,ET364:FC364)),_xlpm.v*EW342*EY342*EY325*IF(ISBLANK(ET342),1,ET342)),0)</f>
        <v>0</v>
      </c>
      <c r="FC342" s="1476" t="str">
        <f>_xlfn.LET(_xlpm.unite,SUBSTITUTE(TRIM(EX342)," (s)",""),_xlpm.val,FB342,_xlpm.estVol,COUNTIF(EW361:FC361,_xlpm.unite)+COUNTIF(EW363:FC363,_xlpm.unite)&gt;0,_xlpm.estPoids,COUNTIF(ET361:EV361,_xlpm.unite)+COUNTIF(ET363:EV363,_xlpm.unite)&gt;0,IF(_xlpm.estVol,IF(ROUND(_xlpm.val,3)&gt;=1,ROUND(_xlpm.val,3)&amp;" L",MAX(1,ROUND(_xlpm.val*100,0))&amp;" cl"),IF(_xlpm.estPoids,IF(ROUND(_xlpm.val,3)&gt;=1,ROUND(_xlpm.val,3)&amp;" Kg",MAX(1,ROUND(_xlpm.val*1000,0))&amp;" g"),"")))</f>
        <v>1 cl</v>
      </c>
    </row>
    <row r="343" spans="2:159" ht="18.75">
      <c r="B343" s="952" t="str">
        <f t="shared" si="62"/>
        <v>A</v>
      </c>
      <c r="C343" s="993" cm="1">
        <f t="array" ref="C343">SUMPRODUCT(LEN(D343:J343))</f>
        <v>0</v>
      </c>
      <c r="D343" s="167"/>
      <c r="E343" s="172"/>
      <c r="F343" s="172"/>
      <c r="G343" s="172"/>
      <c r="H343" s="172"/>
      <c r="I343" s="172"/>
      <c r="J343" s="173"/>
      <c r="K343"/>
      <c r="L343" s="104" t="str">
        <f t="shared" si="72"/>
        <v>A</v>
      </c>
      <c r="M343" s="32" t="str">
        <f>M337</f>
        <v>B BAUDRUCHE DE COPAIN | | Auteur &gt; Guy KRENZE - Eric GODDYN - Arnaud NICOLAS - CEPROC 2002</v>
      </c>
      <c r="N343" s="33">
        <f>N337</f>
        <v>9.0500000000000007</v>
      </c>
      <c r="O343" s="32" t="str">
        <f>O337</f>
        <v>Kg</v>
      </c>
      <c r="P343" s="34" t="str">
        <f>P337</f>
        <v>Recette mère ► le Boudin en 4 déclinaisons</v>
      </c>
      <c r="Q343" s="92"/>
      <c r="R343" s="108"/>
      <c r="S343" s="94" t="str">
        <f t="shared" si="69"/>
        <v/>
      </c>
      <c r="T343" s="95">
        <v>1</v>
      </c>
      <c r="U343" s="140" t="s">
        <v>143</v>
      </c>
      <c r="V343" s="127">
        <v>1</v>
      </c>
      <c r="W343" s="920" t="s">
        <v>13104</v>
      </c>
      <c r="X343" s="1495">
        <f>IF(OR(ISBLANK(Q335),X335=0),0,Q343*V336)</f>
        <v>0</v>
      </c>
      <c r="Y343" s="101" cm="1">
        <f t="array" ref="Y343">IFERROR(_xlfn.LET(_xlpm.k,UPPER(TRIM(U343)),_xlpm.r,_xlfn.XLOOKUP(_xlpm.k,UPPER(TRIM(Q362:Z362)),Q363:Z363,_xlfn.XLOOKUP(_xlpm.k,UPPER(TRIM(Q364:Z364)),Q365:Z365)),_xlpm.r*T343*V343*V336*IF(ISBLANK(Q343),1,Q343)),0)</f>
        <v>1.1049723756906076</v>
      </c>
      <c r="Z343" s="1476" t="str">
        <f>_xlfn.LET(_xlpm.unite,SUBSTITUTE(TRIM(U343)," (s)",""),_xlpm.val,Y343,_xlpm.estVol,COUNTIF(T362:Z362,_xlpm.unite)+COUNTIF(T364:Z364,_xlpm.unite)&gt;0,_xlpm.estPoids,COUNTIF(Q362:S362,_xlpm.unite)+COUNTIF(Q364:S364,_xlpm.unite)&gt;0,IF(_xlpm.estVol,IF(ROUND(_xlpm.val,3)&gt;=1,ROUND(_xlpm.val,3)&amp;" L",MAX(1,ROUND(_xlpm.val*100,0))&amp;" cl"),IF(_xlpm.estPoids,IF(ROUND(_xlpm.val,3)&gt;=1,ROUND(_xlpm.val,3)&amp;" Kg",MAX(1,ROUND(_xlpm.val*1000,0))&amp;" g"),"")))</f>
        <v>1.105 Kg</v>
      </c>
      <c r="AA343" s="5086"/>
      <c r="AB343" s="104" t="str">
        <f t="shared" si="73"/>
        <v>A</v>
      </c>
      <c r="AC343" s="32" t="str">
        <f>AC337</f>
        <v>B BAUDRUCHE DE COPAIN | |  Author &gt; Guy KRENZE - Eric GODDYN - Arnaud NICOLAS - CEPROC 2002</v>
      </c>
      <c r="AD343" s="33">
        <f>AD337</f>
        <v>9.0500000000000007</v>
      </c>
      <c r="AE343" s="32" t="str">
        <f>AE337</f>
        <v>Kg</v>
      </c>
      <c r="AF343" s="34" t="str">
        <f>AF337</f>
        <v>Master recipe ► Black pudding in 4 variations</v>
      </c>
      <c r="AG343" s="92"/>
      <c r="AH343" s="108"/>
      <c r="AI343" s="94" t="str">
        <f t="shared" si="70"/>
        <v/>
      </c>
      <c r="AJ343" s="95">
        <v>1</v>
      </c>
      <c r="AK343" s="140" t="s">
        <v>143</v>
      </c>
      <c r="AL343" s="127">
        <v>1</v>
      </c>
      <c r="AM343" s="920" t="s">
        <v>13264</v>
      </c>
      <c r="AN343" s="1495">
        <f>IF(OR(ISBLANK(AG335),AN335=0),0,AG343*AL336)</f>
        <v>0</v>
      </c>
      <c r="AO343" s="101" cm="1">
        <f t="array" ref="AO343">IFERROR(_xlfn.LET(_xlpm.k,UPPER(TRIM(AK343)),_xlpm.r,_xlfn.XLOOKUP(_xlpm.k,UPPER(TRIM(AG362:AP362)),AG363:AP363,_xlfn.XLOOKUP(_xlpm.k,UPPER(TRIM(AG364:AP364)),AG365:AP365)),_xlpm.r*AJ343*AL343*AL336*IF(ISBLANK(AG343),1,AG343)),0)</f>
        <v>1.1049723756906076</v>
      </c>
      <c r="AP343" s="1476" t="str">
        <f>_xlfn.LET(_xlpm.unite,SUBSTITUTE(TRIM(AK343)," (s)",""),_xlpm.val,AO343,_xlpm.estVol,COUNTIF(AJ362:AP362,_xlpm.unite)+COUNTIF(AJ364:AP364,_xlpm.unite)&gt;0,_xlpm.estPoids,COUNTIF(AG362:AI362,_xlpm.unite)+COUNTIF(AG364:AI364,_xlpm.unite)&gt;0,IF(_xlpm.estVol,IF(ROUND(_xlpm.val,3)&gt;=1,ROUND(_xlpm.val,3)&amp;" L",MAX(1,ROUND(_xlpm.val*100,0))&amp;" cl"),IF(_xlpm.estPoids,IF(ROUND(_xlpm.val,3)&gt;=1,ROUND(_xlpm.val,3)&amp;" Kg",MAX(1,ROUND(_xlpm.val*1000,0))&amp;" g"),"")))</f>
        <v>1.105 Kg</v>
      </c>
      <c r="AQ343" s="5086"/>
      <c r="AR343" s="104" t="str">
        <f t="shared" si="74"/>
        <v>A</v>
      </c>
      <c r="AS343" s="32" t="str">
        <f>AS337</f>
        <v>B BAUDRUCHE DE COPAIN | | Autor &gt; Guy KRENZE - Eric GODDYN - Arnaud NICOLAS - CEPROC 2002</v>
      </c>
      <c r="AT343" s="33">
        <f>AT337</f>
        <v>9.0500000000000007</v>
      </c>
      <c r="AU343" s="32" t="str">
        <f>AU337</f>
        <v>Kg</v>
      </c>
      <c r="AV343" s="34" t="str">
        <f>AV337</f>
        <v>Receta madre ► Morcilla en 4 versiones</v>
      </c>
      <c r="AW343" s="92"/>
      <c r="AX343" s="108"/>
      <c r="AY343" s="94" t="str">
        <f t="shared" si="71"/>
        <v/>
      </c>
      <c r="AZ343" s="95">
        <v>1</v>
      </c>
      <c r="BA343" s="140" t="s">
        <v>143</v>
      </c>
      <c r="BB343" s="127">
        <v>1</v>
      </c>
      <c r="BC343" s="920" t="s">
        <v>13280</v>
      </c>
      <c r="BD343" s="1495">
        <f>IF(OR(ISBLANK(AW335),BD335=0),0,AW343*BB336)</f>
        <v>0</v>
      </c>
      <c r="BE343" s="101" cm="1">
        <f t="array" ref="BE343">IFERROR(_xlfn.LET(_xlpm.k,UPPER(TRIM(BA343)),_xlpm.r,_xlfn.XLOOKUP(_xlpm.k,UPPER(TRIM(AW362:BF362)),AW363:BF363,_xlfn.XLOOKUP(_xlpm.k,UPPER(TRIM(AW364:BF364)),AW365:BF365)),_xlpm.r*AZ343*BB343*BB336*IF(ISBLANK(AW343),1,AW343)),0)</f>
        <v>1.1049723756906076</v>
      </c>
      <c r="BF343" s="1476" t="str">
        <f>_xlfn.LET(_xlpm.unite,SUBSTITUTE(TRIM(BA343)," (s)",""),_xlpm.val,BE343,_xlpm.estVol,COUNTIF(AZ362:BF362,_xlpm.unite)+COUNTIF(AZ364:BF364,_xlpm.unite)&gt;0,_xlpm.estPoids,COUNTIF(AW362:AY362,_xlpm.unite)+COUNTIF(AW364:AY364,_xlpm.unite)&gt;0,IF(_xlpm.estVol,IF(ROUND(_xlpm.val,3)&gt;=1,ROUND(_xlpm.val,3)&amp;" L",MAX(1,ROUND(_xlpm.val*100,0))&amp;" cl"),IF(_xlpm.estPoids,IF(ROUND(_xlpm.val,3)&gt;=1,ROUND(_xlpm.val,3)&amp;" Kg",MAX(1,ROUND(_xlpm.val*1000,0))&amp;" g"),"")))</f>
        <v>1.105 Kg</v>
      </c>
      <c r="BG343" s="5086"/>
      <c r="BH343" s="104"/>
      <c r="BI343" s="32"/>
      <c r="BJ343" s="33"/>
      <c r="BK343" s="32"/>
      <c r="BL343" s="34"/>
      <c r="BM343" s="92"/>
      <c r="BN343" s="108"/>
      <c r="BO343" s="94"/>
      <c r="BP343" s="95"/>
      <c r="BQ343" s="105"/>
      <c r="BR343" s="5101"/>
      <c r="BS343" s="920"/>
      <c r="BT343" s="1495"/>
      <c r="BU343" s="101"/>
      <c r="BV343" s="1475"/>
      <c r="BW343" s="5086"/>
      <c r="BX343" s="104"/>
      <c r="BY343" s="32"/>
      <c r="BZ343" s="33"/>
      <c r="CA343" s="32"/>
      <c r="CB343" s="34"/>
      <c r="CC343" s="92"/>
      <c r="CD343" s="108"/>
      <c r="CE343" s="94"/>
      <c r="CF343" s="95"/>
      <c r="CG343" s="105"/>
      <c r="CH343" s="5101"/>
      <c r="CI343" s="920"/>
      <c r="CJ343" s="1495"/>
      <c r="CK343" s="101"/>
      <c r="CL343" s="1475"/>
      <c r="CM343" s="5086"/>
      <c r="CN343" s="104"/>
      <c r="CO343" s="32"/>
      <c r="CP343" s="33"/>
      <c r="CQ343" s="32"/>
      <c r="CR343" s="34"/>
      <c r="CS343" s="92"/>
      <c r="CT343" s="108"/>
      <c r="CU343" s="94"/>
      <c r="CV343" s="95"/>
      <c r="CW343" s="105"/>
      <c r="CX343" s="5101"/>
      <c r="CY343" s="920"/>
      <c r="CZ343" s="1495"/>
      <c r="DA343" s="101"/>
      <c r="DB343" s="1475"/>
      <c r="DC343" s="5109"/>
      <c r="DD343" s="5086"/>
      <c r="DF343" s="3">
        <v>1</v>
      </c>
      <c r="EY343" s="127">
        <v>1</v>
      </c>
      <c r="EZ343" s="920" t="s">
        <v>12953</v>
      </c>
      <c r="FA343" s="1495">
        <f>IF(OR(ISBLANK(ET324),FA324=0),0,ET343*EY325)</f>
        <v>0</v>
      </c>
      <c r="FB343" s="101">
        <f>IFERROR(_xlfn.LET(_xlpm.v,IFERROR(_xlfn.XLOOKUP(EX343,ET361:FC361,ET362:FC362),_xlfn.XLOOKUP(EX343,ET363:FC363,ET364:FC364)),_xlpm.v*EW343*EY343*EY325*IF(ISBLANK(ET343),1,ET343)),0)</f>
        <v>0</v>
      </c>
      <c r="FC343" s="1475" t="str">
        <f>_xlfn.LET(_xlpm.unite,SUBSTITUTE(TRIM(EX343)," (s)",""),_xlpm.val,FB343,_xlpm.estVol,COUNTIF(EW361:FC361,_xlpm.unite)+COUNTIF(EW363:FC363,_xlpm.unite)&gt;0,_xlpm.estPoids,COUNTIF(ET361:EV361,_xlpm.unite)+COUNTIF(ET363:EV363,_xlpm.unite)&gt;0,IF(_xlpm.estVol,IF(ROUND(_xlpm.val,3)&gt;=1,ROUND(_xlpm.val,3)&amp;" L",MAX(1,ROUND(_xlpm.val*100,0))&amp;" cl"),IF(_xlpm.estPoids,IF(ROUND(_xlpm.val,3)&gt;=1,ROUND(_xlpm.val,3)&amp;" Kg",MAX(1,ROUND(_xlpm.val*1000,0))&amp;" g"),"")))</f>
        <v>1 cl</v>
      </c>
    </row>
    <row r="344" spans="2:159" ht="18.75">
      <c r="B344" s="952" t="str">
        <f t="shared" si="62"/>
        <v>A</v>
      </c>
      <c r="C344" s="993" cm="1">
        <f t="array" ref="C344">SUMPRODUCT(LEN(D344:J344))</f>
        <v>0</v>
      </c>
      <c r="D344" s="167"/>
      <c r="E344" s="172"/>
      <c r="F344" s="172"/>
      <c r="G344" s="172"/>
      <c r="H344" s="172"/>
      <c r="I344" s="172"/>
      <c r="J344" s="173"/>
      <c r="K344"/>
      <c r="L344" s="104" t="str">
        <f t="shared" si="72"/>
        <v>A</v>
      </c>
      <c r="M344" s="32" t="str">
        <f>M337</f>
        <v>B BAUDRUCHE DE COPAIN | | Auteur &gt; Guy KRENZE - Eric GODDYN - Arnaud NICOLAS - CEPROC 2002</v>
      </c>
      <c r="N344" s="33">
        <f>N337</f>
        <v>9.0500000000000007</v>
      </c>
      <c r="O344" s="32" t="str">
        <f>O337</f>
        <v>Kg</v>
      </c>
      <c r="P344" s="34" t="str">
        <f>P337</f>
        <v>Recette mère ► le Boudin en 4 déclinaisons</v>
      </c>
      <c r="Q344" s="92"/>
      <c r="R344" s="108"/>
      <c r="S344" s="94" t="str">
        <f t="shared" si="69"/>
        <v/>
      </c>
      <c r="T344" s="95">
        <v>2</v>
      </c>
      <c r="U344" s="140" t="s">
        <v>143</v>
      </c>
      <c r="V344" s="127">
        <v>1</v>
      </c>
      <c r="W344" s="920" t="s">
        <v>13080</v>
      </c>
      <c r="X344" s="1495">
        <f>IF(OR(ISBLANK(Q335),X335=0),0,Q344*V336)</f>
        <v>0</v>
      </c>
      <c r="Y344" s="101" cm="1">
        <f t="array" ref="Y344">IFERROR(_xlfn.LET(_xlpm.k,UPPER(TRIM(U344)),_xlpm.r,_xlfn.XLOOKUP(_xlpm.k,UPPER(TRIM(Q362:Z362)),Q363:Z363,_xlfn.XLOOKUP(_xlpm.k,UPPER(TRIM(Q364:Z364)),Q365:Z365)),_xlpm.r*T344*V344*V336*IF(ISBLANK(Q344),1,Q344)),0)</f>
        <v>2.2099447513812152</v>
      </c>
      <c r="Z344" s="1475" t="str">
        <f>_xlfn.LET(_xlpm.unite,SUBSTITUTE(TRIM(U344)," (s)",""),_xlpm.val,Y344,_xlpm.estVol,COUNTIF(T362:Z362,_xlpm.unite)+COUNTIF(T364:Z364,_xlpm.unite)&gt;0,_xlpm.estPoids,COUNTIF(Q362:S362,_xlpm.unite)+COUNTIF(Q364:S364,_xlpm.unite)&gt;0,IF(_xlpm.estVol,IF(ROUND(_xlpm.val,3)&gt;=1,ROUND(_xlpm.val,3)&amp;" L",MAX(1,ROUND(_xlpm.val*100,0))&amp;" cl"),IF(_xlpm.estPoids,IF(ROUND(_xlpm.val,3)&gt;=1,ROUND(_xlpm.val,3)&amp;" Kg",MAX(1,ROUND(_xlpm.val*1000,0))&amp;" g"),"")))</f>
        <v>2.21 Kg</v>
      </c>
      <c r="AA344" s="5086"/>
      <c r="AB344" s="104" t="str">
        <f t="shared" si="73"/>
        <v>A</v>
      </c>
      <c r="AC344" s="32" t="str">
        <f>AC337</f>
        <v>B BAUDRUCHE DE COPAIN | |  Author &gt; Guy KRENZE - Eric GODDYN - Arnaud NICOLAS - CEPROC 2002</v>
      </c>
      <c r="AD344" s="33">
        <f>AD337</f>
        <v>9.0500000000000007</v>
      </c>
      <c r="AE344" s="32" t="str">
        <f>AE337</f>
        <v>Kg</v>
      </c>
      <c r="AF344" s="34" t="str">
        <f>AF337</f>
        <v>Master recipe ► Black pudding in 4 variations</v>
      </c>
      <c r="AG344" s="92"/>
      <c r="AH344" s="108"/>
      <c r="AI344" s="94" t="str">
        <f t="shared" si="70"/>
        <v/>
      </c>
      <c r="AJ344" s="95">
        <v>2</v>
      </c>
      <c r="AK344" s="140" t="s">
        <v>143</v>
      </c>
      <c r="AL344" s="127">
        <v>1</v>
      </c>
      <c r="AM344" s="920" t="s">
        <v>13140</v>
      </c>
      <c r="AN344" s="1495">
        <f>IF(OR(ISBLANK(AG335),AN335=0),0,AG344*AL336)</f>
        <v>0</v>
      </c>
      <c r="AO344" s="101" cm="1">
        <f t="array" ref="AO344">IFERROR(_xlfn.LET(_xlpm.k,UPPER(TRIM(AK344)),_xlpm.r,_xlfn.XLOOKUP(_xlpm.k,UPPER(TRIM(AG362:AP362)),AG363:AP363,_xlfn.XLOOKUP(_xlpm.k,UPPER(TRIM(AG364:AP364)),AG365:AP365)),_xlpm.r*AJ344*AL344*AL336*IF(ISBLANK(AG344),1,AG344)),0)</f>
        <v>2.2099447513812152</v>
      </c>
      <c r="AP344" s="1475" t="str">
        <f>_xlfn.LET(_xlpm.unite,SUBSTITUTE(TRIM(AK344)," (s)",""),_xlpm.val,AO344,_xlpm.estVol,COUNTIF(AJ362:AP362,_xlpm.unite)+COUNTIF(AJ364:AP364,_xlpm.unite)&gt;0,_xlpm.estPoids,COUNTIF(AG362:AI362,_xlpm.unite)+COUNTIF(AG364:AI364,_xlpm.unite)&gt;0,IF(_xlpm.estVol,IF(ROUND(_xlpm.val,3)&gt;=1,ROUND(_xlpm.val,3)&amp;" L",MAX(1,ROUND(_xlpm.val*100,0))&amp;" cl"),IF(_xlpm.estPoids,IF(ROUND(_xlpm.val,3)&gt;=1,ROUND(_xlpm.val,3)&amp;" Kg",MAX(1,ROUND(_xlpm.val*1000,0))&amp;" g"),"")))</f>
        <v>2.21 Kg</v>
      </c>
      <c r="AQ344" s="5086"/>
      <c r="AR344" s="104" t="str">
        <f t="shared" si="74"/>
        <v>A</v>
      </c>
      <c r="AS344" s="32" t="str">
        <f>AS337</f>
        <v>B BAUDRUCHE DE COPAIN | | Autor &gt; Guy KRENZE - Eric GODDYN - Arnaud NICOLAS - CEPROC 2002</v>
      </c>
      <c r="AT344" s="33">
        <f>AT337</f>
        <v>9.0500000000000007</v>
      </c>
      <c r="AU344" s="32" t="str">
        <f>AU337</f>
        <v>Kg</v>
      </c>
      <c r="AV344" s="34" t="str">
        <f>AV337</f>
        <v>Receta madre ► Morcilla en 4 versiones</v>
      </c>
      <c r="AW344" s="92"/>
      <c r="AX344" s="108"/>
      <c r="AY344" s="94" t="str">
        <f t="shared" si="71"/>
        <v/>
      </c>
      <c r="AZ344" s="95">
        <v>2</v>
      </c>
      <c r="BA344" s="140" t="s">
        <v>143</v>
      </c>
      <c r="BB344" s="127">
        <v>1</v>
      </c>
      <c r="BC344" s="920" t="s">
        <v>13156</v>
      </c>
      <c r="BD344" s="1495">
        <f>IF(OR(ISBLANK(AW335),BD335=0),0,AW344*BB336)</f>
        <v>0</v>
      </c>
      <c r="BE344" s="101" cm="1">
        <f t="array" ref="BE344">IFERROR(_xlfn.LET(_xlpm.k,UPPER(TRIM(BA344)),_xlpm.r,_xlfn.XLOOKUP(_xlpm.k,UPPER(TRIM(AW362:BF362)),AW363:BF363,_xlfn.XLOOKUP(_xlpm.k,UPPER(TRIM(AW364:BF364)),AW365:BF365)),_xlpm.r*AZ344*BB344*BB336*IF(ISBLANK(AW344),1,AW344)),0)</f>
        <v>2.2099447513812152</v>
      </c>
      <c r="BF344" s="1475" t="str">
        <f>_xlfn.LET(_xlpm.unite,SUBSTITUTE(TRIM(BA344)," (s)",""),_xlpm.val,BE344,_xlpm.estVol,COUNTIF(AZ362:BF362,_xlpm.unite)+COUNTIF(AZ364:BF364,_xlpm.unite)&gt;0,_xlpm.estPoids,COUNTIF(AW362:AY362,_xlpm.unite)+COUNTIF(AW364:AY364,_xlpm.unite)&gt;0,IF(_xlpm.estVol,IF(ROUND(_xlpm.val,3)&gt;=1,ROUND(_xlpm.val,3)&amp;" L",MAX(1,ROUND(_xlpm.val*100,0))&amp;" cl"),IF(_xlpm.estPoids,IF(ROUND(_xlpm.val,3)&gt;=1,ROUND(_xlpm.val,3)&amp;" Kg",MAX(1,ROUND(_xlpm.val*1000,0))&amp;" g"),"")))</f>
        <v>2.21 Kg</v>
      </c>
      <c r="BG344" s="5086"/>
      <c r="BH344" s="104"/>
      <c r="BI344" s="32"/>
      <c r="BJ344" s="33"/>
      <c r="BK344" s="32"/>
      <c r="BL344" s="34"/>
      <c r="BM344" s="92"/>
      <c r="BN344" s="108"/>
      <c r="BO344" s="94"/>
      <c r="BP344" s="95"/>
      <c r="BQ344" s="105"/>
      <c r="BR344" s="5101"/>
      <c r="BS344" s="920"/>
      <c r="BT344" s="1495"/>
      <c r="BU344" s="101"/>
      <c r="BV344" s="1475"/>
      <c r="BW344" s="5086"/>
      <c r="BX344" s="104"/>
      <c r="BY344" s="32"/>
      <c r="BZ344" s="33"/>
      <c r="CA344" s="32"/>
      <c r="CB344" s="34"/>
      <c r="CC344" s="92"/>
      <c r="CD344" s="108"/>
      <c r="CE344" s="94"/>
      <c r="CF344" s="95"/>
      <c r="CG344" s="105"/>
      <c r="CH344" s="5101"/>
      <c r="CI344" s="920"/>
      <c r="CJ344" s="1495"/>
      <c r="CK344" s="101"/>
      <c r="CL344" s="1475"/>
      <c r="CM344" s="5086"/>
      <c r="CN344" s="104"/>
      <c r="CO344" s="32"/>
      <c r="CP344" s="33"/>
      <c r="CQ344" s="32"/>
      <c r="CR344" s="34"/>
      <c r="CS344" s="92"/>
      <c r="CT344" s="108"/>
      <c r="CU344" s="94"/>
      <c r="CV344" s="95"/>
      <c r="CW344" s="105"/>
      <c r="CX344" s="5101"/>
      <c r="CY344" s="920"/>
      <c r="CZ344" s="1495"/>
      <c r="DA344" s="101"/>
      <c r="DB344" s="1475"/>
      <c r="DC344" s="5109"/>
      <c r="DD344" s="5086"/>
      <c r="DF344" s="3">
        <v>1</v>
      </c>
      <c r="EY344" s="127">
        <v>1</v>
      </c>
      <c r="EZ344" s="920" t="s">
        <v>12956</v>
      </c>
      <c r="FA344" s="1495">
        <f>IF(OR(ISBLANK(ET324),FA324=0),0,ET344*EY325)</f>
        <v>0</v>
      </c>
      <c r="FB344" s="101">
        <f>IFERROR(_xlfn.LET(_xlpm.v,IFERROR(_xlfn.XLOOKUP(EX344,ET361:FC361,ET362:FC362),_xlfn.XLOOKUP(EX344,ET363:FC363,ET364:FC364)),_xlpm.v*EW344*EY344*EY325*IF(ISBLANK(ET344),1,ET344)),0)</f>
        <v>0</v>
      </c>
      <c r="FC344" s="1476" t="str">
        <f>_xlfn.LET(_xlpm.unite,SUBSTITUTE(TRIM(EX344)," (s)",""),_xlpm.val,FB344,_xlpm.estVol,COUNTIF(EW361:FC361,_xlpm.unite)+COUNTIF(EW363:FC363,_xlpm.unite)&gt;0,_xlpm.estPoids,COUNTIF(ET361:EV361,_xlpm.unite)+COUNTIF(ET363:EV363,_xlpm.unite)&gt;0,IF(_xlpm.estVol,IF(ROUND(_xlpm.val,3)&gt;=1,ROUND(_xlpm.val,3)&amp;" L",MAX(1,ROUND(_xlpm.val*100,0))&amp;" cl"),IF(_xlpm.estPoids,IF(ROUND(_xlpm.val,3)&gt;=1,ROUND(_xlpm.val,3)&amp;" Kg",MAX(1,ROUND(_xlpm.val*1000,0))&amp;" g"),"")))</f>
        <v>1 cl</v>
      </c>
    </row>
    <row r="345" spans="2:159" ht="18.75">
      <c r="B345" s="952" t="str">
        <f t="shared" si="62"/>
        <v>A</v>
      </c>
      <c r="C345" s="993" cm="1">
        <f t="array" ref="C345">SUMPRODUCT(LEN(D345:J345))</f>
        <v>0</v>
      </c>
      <c r="D345" s="167"/>
      <c r="E345" s="172"/>
      <c r="F345" s="172"/>
      <c r="G345" s="172"/>
      <c r="H345" s="172"/>
      <c r="I345" s="172"/>
      <c r="J345" s="173"/>
      <c r="K345"/>
      <c r="L345" s="104" t="str">
        <f t="shared" si="72"/>
        <v>A</v>
      </c>
      <c r="M345" s="32" t="str">
        <f>M337</f>
        <v>B BAUDRUCHE DE COPAIN | | Auteur &gt; Guy KRENZE - Eric GODDYN - Arnaud NICOLAS - CEPROC 2002</v>
      </c>
      <c r="N345" s="33">
        <f>N337</f>
        <v>9.0500000000000007</v>
      </c>
      <c r="O345" s="32" t="str">
        <f>O337</f>
        <v>Kg</v>
      </c>
      <c r="P345" s="34" t="str">
        <f>P337</f>
        <v>Recette mère ► le Boudin en 4 déclinaisons</v>
      </c>
      <c r="Q345" s="92"/>
      <c r="R345" s="108"/>
      <c r="S345" s="94" t="str">
        <f t="shared" si="69"/>
        <v/>
      </c>
      <c r="T345" s="5110">
        <v>1.5</v>
      </c>
      <c r="U345" s="96" t="s">
        <v>0</v>
      </c>
      <c r="V345" s="127">
        <v>1</v>
      </c>
      <c r="W345" s="920" t="s">
        <v>12826</v>
      </c>
      <c r="X345" s="1495">
        <f>IF(OR(ISBLANK(Q335),X335=0),0,Q345*V336)</f>
        <v>0</v>
      </c>
      <c r="Y345" s="101" cm="1">
        <f t="array" ref="Y345">IFERROR(_xlfn.LET(_xlpm.k,UPPER(TRIM(U345)),_xlpm.r,_xlfn.XLOOKUP(_xlpm.k,UPPER(TRIM(Q362:Z362)),Q363:Z363,_xlfn.XLOOKUP(_xlpm.k,UPPER(TRIM(Q364:Z364)),Q365:Z365)),_xlpm.r*T345*V345*V336*IF(ISBLANK(Q345),1,Q345)),0)</f>
        <v>1.6574585635359114</v>
      </c>
      <c r="Z345" s="1476" t="str">
        <f>_xlfn.LET(_xlpm.unite,SUBSTITUTE(TRIM(U345)," (s)",""),_xlpm.val,Y345,_xlpm.estVol,COUNTIF(T362:Z362,_xlpm.unite)+COUNTIF(T364:Z364,_xlpm.unite)&gt;0,_xlpm.estPoids,COUNTIF(Q362:S362,_xlpm.unite)+COUNTIF(Q364:S364,_xlpm.unite)&gt;0,IF(_xlpm.estVol,IF(ROUND(_xlpm.val,3)&gt;=1,ROUND(_xlpm.val,3)&amp;" L",MAX(1,ROUND(_xlpm.val*100,0))&amp;" cl"),IF(_xlpm.estPoids,IF(ROUND(_xlpm.val,3)&gt;=1,ROUND(_xlpm.val,3)&amp;" Kg",MAX(1,ROUND(_xlpm.val*1000,0))&amp;" g"),"")))</f>
        <v>1.657 L</v>
      </c>
      <c r="AA345" s="5086"/>
      <c r="AB345" s="104" t="str">
        <f t="shared" si="73"/>
        <v>A</v>
      </c>
      <c r="AC345" s="32" t="str">
        <f>AC337</f>
        <v>B BAUDRUCHE DE COPAIN | |  Author &gt; Guy KRENZE - Eric GODDYN - Arnaud NICOLAS - CEPROC 2002</v>
      </c>
      <c r="AD345" s="33">
        <f>AD337</f>
        <v>9.0500000000000007</v>
      </c>
      <c r="AE345" s="32" t="str">
        <f>AE337</f>
        <v>Kg</v>
      </c>
      <c r="AF345" s="34" t="str">
        <f>AF337</f>
        <v>Master recipe ► Black pudding in 4 variations</v>
      </c>
      <c r="AG345" s="92"/>
      <c r="AH345" s="108"/>
      <c r="AI345" s="94" t="str">
        <f t="shared" si="70"/>
        <v/>
      </c>
      <c r="AJ345" s="5110">
        <v>1.5</v>
      </c>
      <c r="AK345" s="96" t="s">
        <v>0</v>
      </c>
      <c r="AL345" s="127">
        <v>1</v>
      </c>
      <c r="AM345" s="920" t="s">
        <v>12880</v>
      </c>
      <c r="AN345" s="1495">
        <f>IF(OR(ISBLANK(AG335),AN335=0),0,AG345*AL336)</f>
        <v>0</v>
      </c>
      <c r="AO345" s="101" cm="1">
        <f t="array" ref="AO345">IFERROR(_xlfn.LET(_xlpm.k,UPPER(TRIM(AK345)),_xlpm.r,_xlfn.XLOOKUP(_xlpm.k,UPPER(TRIM(AG362:AP362)),AG363:AP363,_xlfn.XLOOKUP(_xlpm.k,UPPER(TRIM(AG364:AP364)),AG365:AP365)),_xlpm.r*AJ345*AL345*AL336*IF(ISBLANK(AG345),1,AG345)),0)</f>
        <v>1.6574585635359114</v>
      </c>
      <c r="AP345" s="1476" t="str">
        <f>_xlfn.LET(_xlpm.unite,SUBSTITUTE(TRIM(AK345)," (s)",""),_xlpm.val,AO345,_xlpm.estVol,COUNTIF(AJ362:AP362,_xlpm.unite)+COUNTIF(AJ364:AP364,_xlpm.unite)&gt;0,_xlpm.estPoids,COUNTIF(AG362:AI362,_xlpm.unite)+COUNTIF(AG364:AI364,_xlpm.unite)&gt;0,IF(_xlpm.estVol,IF(ROUND(_xlpm.val,3)&gt;=1,ROUND(_xlpm.val,3)&amp;" L",MAX(1,ROUND(_xlpm.val*100,0))&amp;" cl"),IF(_xlpm.estPoids,IF(ROUND(_xlpm.val,3)&gt;=1,ROUND(_xlpm.val,3)&amp;" Kg",MAX(1,ROUND(_xlpm.val*1000,0))&amp;" g"),"")))</f>
        <v>1.657 L</v>
      </c>
      <c r="AQ345" s="5086"/>
      <c r="AR345" s="104" t="str">
        <f t="shared" si="74"/>
        <v>A</v>
      </c>
      <c r="AS345" s="32" t="str">
        <f>AS337</f>
        <v>B BAUDRUCHE DE COPAIN | | Autor &gt; Guy KRENZE - Eric GODDYN - Arnaud NICOLAS - CEPROC 2002</v>
      </c>
      <c r="AT345" s="33">
        <f>AT337</f>
        <v>9.0500000000000007</v>
      </c>
      <c r="AU345" s="32" t="str">
        <f>AU337</f>
        <v>Kg</v>
      </c>
      <c r="AV345" s="34" t="str">
        <f>AV337</f>
        <v>Receta madre ► Morcilla en 4 versiones</v>
      </c>
      <c r="AW345" s="92"/>
      <c r="AX345" s="108"/>
      <c r="AY345" s="94" t="str">
        <f t="shared" si="71"/>
        <v/>
      </c>
      <c r="AZ345" s="5110">
        <v>1.5</v>
      </c>
      <c r="BA345" s="96" t="s">
        <v>0</v>
      </c>
      <c r="BB345" s="127">
        <v>1</v>
      </c>
      <c r="BC345" s="920" t="s">
        <v>12881</v>
      </c>
      <c r="BD345" s="1495">
        <f>IF(OR(ISBLANK(AW335),BD335=0),0,AW345*BB336)</f>
        <v>0</v>
      </c>
      <c r="BE345" s="101" cm="1">
        <f t="array" ref="BE345">IFERROR(_xlfn.LET(_xlpm.k,UPPER(TRIM(BA345)),_xlpm.r,_xlfn.XLOOKUP(_xlpm.k,UPPER(TRIM(AW362:BF362)),AW363:BF363,_xlfn.XLOOKUP(_xlpm.k,UPPER(TRIM(AW364:BF364)),AW365:BF365)),_xlpm.r*AZ345*BB345*BB336*IF(ISBLANK(AW345),1,AW345)),0)</f>
        <v>1.6574585635359114</v>
      </c>
      <c r="BF345" s="1476" t="str">
        <f>_xlfn.LET(_xlpm.unite,SUBSTITUTE(TRIM(BA345)," (s)",""),_xlpm.val,BE345,_xlpm.estVol,COUNTIF(AZ362:BF362,_xlpm.unite)+COUNTIF(AZ364:BF364,_xlpm.unite)&gt;0,_xlpm.estPoids,COUNTIF(AW362:AY362,_xlpm.unite)+COUNTIF(AW364:AY364,_xlpm.unite)&gt;0,IF(_xlpm.estVol,IF(ROUND(_xlpm.val,3)&gt;=1,ROUND(_xlpm.val,3)&amp;" L",MAX(1,ROUND(_xlpm.val*100,0))&amp;" cl"),IF(_xlpm.estPoids,IF(ROUND(_xlpm.val,3)&gt;=1,ROUND(_xlpm.val,3)&amp;" Kg",MAX(1,ROUND(_xlpm.val*1000,0))&amp;" g"),"")))</f>
        <v>1.657 L</v>
      </c>
      <c r="BG345" s="5086"/>
      <c r="BH345" s="104"/>
      <c r="BI345" s="32"/>
      <c r="BJ345" s="33"/>
      <c r="BK345" s="32"/>
      <c r="BL345" s="34"/>
      <c r="BM345" s="92"/>
      <c r="BN345" s="108"/>
      <c r="BO345" s="94"/>
      <c r="BP345" s="95"/>
      <c r="BQ345" s="105"/>
      <c r="BR345" s="5101"/>
      <c r="BS345" s="920"/>
      <c r="BT345" s="1495"/>
      <c r="BU345" s="101"/>
      <c r="BV345" s="1475"/>
      <c r="BW345" s="5086"/>
      <c r="BX345" s="104"/>
      <c r="BY345" s="32"/>
      <c r="BZ345" s="33"/>
      <c r="CA345" s="32"/>
      <c r="CB345" s="34"/>
      <c r="CC345" s="92"/>
      <c r="CD345" s="108"/>
      <c r="CE345" s="94"/>
      <c r="CF345" s="95"/>
      <c r="CG345" s="105"/>
      <c r="CH345" s="5101"/>
      <c r="CI345" s="920"/>
      <c r="CJ345" s="1495"/>
      <c r="CK345" s="101"/>
      <c r="CL345" s="1475"/>
      <c r="CM345" s="5086"/>
      <c r="CN345" s="104"/>
      <c r="CO345" s="32"/>
      <c r="CP345" s="33"/>
      <c r="CQ345" s="32"/>
      <c r="CR345" s="34"/>
      <c r="CS345" s="92"/>
      <c r="CT345" s="108"/>
      <c r="CU345" s="94"/>
      <c r="CV345" s="95"/>
      <c r="CW345" s="105"/>
      <c r="CX345" s="5101"/>
      <c r="CY345" s="920"/>
      <c r="CZ345" s="1495"/>
      <c r="DA345" s="101"/>
      <c r="DB345" s="1475"/>
      <c r="DC345" s="5109"/>
      <c r="DD345" s="5086"/>
      <c r="DF345" s="3">
        <v>1</v>
      </c>
      <c r="EY345" s="127">
        <v>1</v>
      </c>
      <c r="EZ345" s="920" t="s">
        <v>12958</v>
      </c>
      <c r="FA345" s="1495">
        <f>IF(OR(ISBLANK(ET324),FA324=0),0,ET345*EY325)</f>
        <v>0</v>
      </c>
      <c r="FB345" s="101">
        <f>IFERROR(_xlfn.LET(_xlpm.v,IFERROR(_xlfn.XLOOKUP(EX345,ET361:FC361,ET362:FC362),_xlfn.XLOOKUP(EX345,ET363:FC363,ET364:FC364)),_xlpm.v*EW345*EY345*EY325*IF(ISBLANK(ET345),1,ET345)),0)</f>
        <v>0</v>
      </c>
      <c r="FC345" s="1475" t="str">
        <f>_xlfn.LET(_xlpm.unite,SUBSTITUTE(TRIM(EX345)," (s)",""),_xlpm.val,FB345,_xlpm.estVol,COUNTIF(EW361:FC361,_xlpm.unite)+COUNTIF(EW363:FC363,_xlpm.unite)&gt;0,_xlpm.estPoids,COUNTIF(ET361:EV361,_xlpm.unite)+COUNTIF(ET363:EV363,_xlpm.unite)&gt;0,IF(_xlpm.estVol,IF(ROUND(_xlpm.val,3)&gt;=1,ROUND(_xlpm.val,3)&amp;" L",MAX(1,ROUND(_xlpm.val*100,0))&amp;" cl"),IF(_xlpm.estPoids,IF(ROUND(_xlpm.val,3)&gt;=1,ROUND(_xlpm.val,3)&amp;" Kg",MAX(1,ROUND(_xlpm.val*1000,0))&amp;" g"),"")))</f>
        <v>1 cl</v>
      </c>
    </row>
    <row r="346" spans="2:159" ht="18.75">
      <c r="B346" s="952" t="str">
        <f t="shared" si="62"/>
        <v>A</v>
      </c>
      <c r="C346" s="993" cm="1">
        <f t="array" ref="C346">SUMPRODUCT(LEN(D346:J346))</f>
        <v>0</v>
      </c>
      <c r="D346" s="167"/>
      <c r="E346" s="172"/>
      <c r="F346" s="172"/>
      <c r="G346" s="172"/>
      <c r="H346" s="172"/>
      <c r="I346" s="172"/>
      <c r="J346" s="173"/>
      <c r="K346"/>
      <c r="L346" s="104" t="str">
        <f t="shared" si="72"/>
        <v>A</v>
      </c>
      <c r="M346" s="32" t="str">
        <f>M337</f>
        <v>B BAUDRUCHE DE COPAIN | | Auteur &gt; Guy KRENZE - Eric GODDYN - Arnaud NICOLAS - CEPROC 2002</v>
      </c>
      <c r="N346" s="33">
        <f>N337</f>
        <v>9.0500000000000007</v>
      </c>
      <c r="O346" s="32" t="str">
        <f>O337</f>
        <v>Kg</v>
      </c>
      <c r="P346" s="34" t="str">
        <f>P337</f>
        <v>Recette mère ► le Boudin en 4 déclinaisons</v>
      </c>
      <c r="Q346" s="92"/>
      <c r="R346" s="108"/>
      <c r="S346" s="94" t="str">
        <f t="shared" si="69"/>
        <v/>
      </c>
      <c r="T346" s="95">
        <v>650</v>
      </c>
      <c r="U346" s="105" t="s">
        <v>99</v>
      </c>
      <c r="V346" s="127">
        <v>1</v>
      </c>
      <c r="W346" s="920" t="s">
        <v>13105</v>
      </c>
      <c r="X346" s="1495">
        <f>IF(OR(ISBLANK(Q335),X335=0),0,Q346*V336)</f>
        <v>0</v>
      </c>
      <c r="Y346" s="101" cm="1">
        <f t="array" ref="Y346">IFERROR(_xlfn.LET(_xlpm.k,UPPER(TRIM(U346)),_xlpm.r,_xlfn.XLOOKUP(_xlpm.k,UPPER(TRIM(Q362:Z362)),Q363:Z363,_xlfn.XLOOKUP(_xlpm.k,UPPER(TRIM(Q364:Z364)),Q365:Z365)),_xlpm.r*T346*V346*V336*IF(ISBLANK(Q346),1,Q346)),0)</f>
        <v>0.71823204419889497</v>
      </c>
      <c r="Z346" s="1475" t="str">
        <f>_xlfn.LET(_xlpm.unite,SUBSTITUTE(TRIM(U346)," (s)",""),_xlpm.val,Y346,_xlpm.estVol,COUNTIF(T362:Z362,_xlpm.unite)+COUNTIF(T364:Z364,_xlpm.unite)&gt;0,_xlpm.estPoids,COUNTIF(Q362:S362,_xlpm.unite)+COUNTIF(Q364:S364,_xlpm.unite)&gt;0,IF(_xlpm.estVol,IF(ROUND(_xlpm.val,3)&gt;=1,ROUND(_xlpm.val,3)&amp;" L",MAX(1,ROUND(_xlpm.val*100,0))&amp;" cl"),IF(_xlpm.estPoids,IF(ROUND(_xlpm.val,3)&gt;=1,ROUND(_xlpm.val,3)&amp;" Kg",MAX(1,ROUND(_xlpm.val*1000,0))&amp;" g"),"")))</f>
        <v>718 g</v>
      </c>
      <c r="AA346" s="5086"/>
      <c r="AB346" s="104" t="str">
        <f t="shared" si="73"/>
        <v>A</v>
      </c>
      <c r="AC346" s="32" t="str">
        <f>AC337</f>
        <v>B BAUDRUCHE DE COPAIN | |  Author &gt; Guy KRENZE - Eric GODDYN - Arnaud NICOLAS - CEPROC 2002</v>
      </c>
      <c r="AD346" s="33">
        <f>AD337</f>
        <v>9.0500000000000007</v>
      </c>
      <c r="AE346" s="32" t="str">
        <f>AE337</f>
        <v>Kg</v>
      </c>
      <c r="AF346" s="34" t="str">
        <f>AF337</f>
        <v>Master recipe ► Black pudding in 4 variations</v>
      </c>
      <c r="AG346" s="92"/>
      <c r="AH346" s="108"/>
      <c r="AI346" s="94" t="str">
        <f t="shared" si="70"/>
        <v/>
      </c>
      <c r="AJ346" s="95">
        <v>650</v>
      </c>
      <c r="AK346" s="105" t="s">
        <v>99</v>
      </c>
      <c r="AL346" s="127">
        <v>1</v>
      </c>
      <c r="AM346" s="920" t="s">
        <v>13265</v>
      </c>
      <c r="AN346" s="1495">
        <f>IF(OR(ISBLANK(AG335),AN335=0),0,AG346*AL336)</f>
        <v>0</v>
      </c>
      <c r="AO346" s="101" cm="1">
        <f t="array" ref="AO346">IFERROR(_xlfn.LET(_xlpm.k,UPPER(TRIM(AK346)),_xlpm.r,_xlfn.XLOOKUP(_xlpm.k,UPPER(TRIM(AG362:AP362)),AG363:AP363,_xlfn.XLOOKUP(_xlpm.k,UPPER(TRIM(AG364:AP364)),AG365:AP365)),_xlpm.r*AJ346*AL346*AL336*IF(ISBLANK(AG346),1,AG346)),0)</f>
        <v>0.71823204419889497</v>
      </c>
      <c r="AP346" s="1475" t="str">
        <f>_xlfn.LET(_xlpm.unite,SUBSTITUTE(TRIM(AK346)," (s)",""),_xlpm.val,AO346,_xlpm.estVol,COUNTIF(AJ362:AP362,_xlpm.unite)+COUNTIF(AJ364:AP364,_xlpm.unite)&gt;0,_xlpm.estPoids,COUNTIF(AG362:AI362,_xlpm.unite)+COUNTIF(AG364:AI364,_xlpm.unite)&gt;0,IF(_xlpm.estVol,IF(ROUND(_xlpm.val,3)&gt;=1,ROUND(_xlpm.val,3)&amp;" L",MAX(1,ROUND(_xlpm.val*100,0))&amp;" cl"),IF(_xlpm.estPoids,IF(ROUND(_xlpm.val,3)&gt;=1,ROUND(_xlpm.val,3)&amp;" Kg",MAX(1,ROUND(_xlpm.val*1000,0))&amp;" g"),"")))</f>
        <v>718 g</v>
      </c>
      <c r="AQ346" s="5086"/>
      <c r="AR346" s="104" t="str">
        <f t="shared" si="74"/>
        <v>A</v>
      </c>
      <c r="AS346" s="32" t="str">
        <f>AS337</f>
        <v>B BAUDRUCHE DE COPAIN | | Autor &gt; Guy KRENZE - Eric GODDYN - Arnaud NICOLAS - CEPROC 2002</v>
      </c>
      <c r="AT346" s="33">
        <f>AT337</f>
        <v>9.0500000000000007</v>
      </c>
      <c r="AU346" s="32" t="str">
        <f>AU337</f>
        <v>Kg</v>
      </c>
      <c r="AV346" s="34" t="str">
        <f>AV337</f>
        <v>Receta madre ► Morcilla en 4 versiones</v>
      </c>
      <c r="AW346" s="92"/>
      <c r="AX346" s="108"/>
      <c r="AY346" s="94" t="str">
        <f t="shared" si="71"/>
        <v/>
      </c>
      <c r="AZ346" s="95">
        <v>650</v>
      </c>
      <c r="BA346" s="105" t="s">
        <v>99</v>
      </c>
      <c r="BB346" s="127">
        <v>1</v>
      </c>
      <c r="BC346" s="920" t="s">
        <v>13281</v>
      </c>
      <c r="BD346" s="1495">
        <f>IF(OR(ISBLANK(AW335),BD335=0),0,AW346*BB336)</f>
        <v>0</v>
      </c>
      <c r="BE346" s="101" cm="1">
        <f t="array" ref="BE346">IFERROR(_xlfn.LET(_xlpm.k,UPPER(TRIM(BA346)),_xlpm.r,_xlfn.XLOOKUP(_xlpm.k,UPPER(TRIM(AW362:BF362)),AW363:BF363,_xlfn.XLOOKUP(_xlpm.k,UPPER(TRIM(AW364:BF364)),AW365:BF365)),_xlpm.r*AZ346*BB346*BB336*IF(ISBLANK(AW346),1,AW346)),0)</f>
        <v>0.71823204419889497</v>
      </c>
      <c r="BF346" s="1475" t="str">
        <f>_xlfn.LET(_xlpm.unite,SUBSTITUTE(TRIM(BA346)," (s)",""),_xlpm.val,BE346,_xlpm.estVol,COUNTIF(AZ362:BF362,_xlpm.unite)+COUNTIF(AZ364:BF364,_xlpm.unite)&gt;0,_xlpm.estPoids,COUNTIF(AW362:AY362,_xlpm.unite)+COUNTIF(AW364:AY364,_xlpm.unite)&gt;0,IF(_xlpm.estVol,IF(ROUND(_xlpm.val,3)&gt;=1,ROUND(_xlpm.val,3)&amp;" L",MAX(1,ROUND(_xlpm.val*100,0))&amp;" cl"),IF(_xlpm.estPoids,IF(ROUND(_xlpm.val,3)&gt;=1,ROUND(_xlpm.val,3)&amp;" Kg",MAX(1,ROUND(_xlpm.val*1000,0))&amp;" g"),"")))</f>
        <v>718 g</v>
      </c>
      <c r="BG346" s="5086"/>
      <c r="BH346" s="104"/>
      <c r="BI346" s="32"/>
      <c r="BJ346" s="33"/>
      <c r="BK346" s="32"/>
      <c r="BL346" s="34"/>
      <c r="BM346" s="92"/>
      <c r="BN346" s="108"/>
      <c r="BO346" s="94"/>
      <c r="BP346" s="95"/>
      <c r="BQ346" s="105"/>
      <c r="BR346" s="5101"/>
      <c r="BS346" s="920"/>
      <c r="BT346" s="1495"/>
      <c r="BU346" s="101"/>
      <c r="BV346" s="1475"/>
      <c r="BW346" s="5086"/>
      <c r="BX346" s="104"/>
      <c r="BY346" s="32"/>
      <c r="BZ346" s="33"/>
      <c r="CA346" s="32"/>
      <c r="CB346" s="34"/>
      <c r="CC346" s="92"/>
      <c r="CD346" s="108"/>
      <c r="CE346" s="94"/>
      <c r="CF346" s="95"/>
      <c r="CG346" s="105"/>
      <c r="CH346" s="5101"/>
      <c r="CI346" s="920"/>
      <c r="CJ346" s="1495"/>
      <c r="CK346" s="101"/>
      <c r="CL346" s="1475"/>
      <c r="CM346" s="5086"/>
      <c r="CN346" s="104"/>
      <c r="CO346" s="32"/>
      <c r="CP346" s="33"/>
      <c r="CQ346" s="32"/>
      <c r="CR346" s="34"/>
      <c r="CS346" s="92"/>
      <c r="CT346" s="108"/>
      <c r="CU346" s="94"/>
      <c r="CV346" s="95"/>
      <c r="CW346" s="105"/>
      <c r="CX346" s="5101"/>
      <c r="CY346" s="920"/>
      <c r="CZ346" s="1495"/>
      <c r="DA346" s="101"/>
      <c r="DB346" s="1475"/>
      <c r="DC346" s="5109"/>
      <c r="DD346" s="5086"/>
      <c r="DF346" s="3">
        <v>1</v>
      </c>
      <c r="EY346" s="127">
        <v>1</v>
      </c>
      <c r="EZ346" s="920" t="s">
        <v>12892</v>
      </c>
      <c r="FA346" s="1495">
        <f>IF(OR(ISBLANK(ET324),FA324=0),0,ET346*EY325)</f>
        <v>0</v>
      </c>
      <c r="FB346" s="101">
        <f>IFERROR(_xlfn.LET(_xlpm.v,IFERROR(_xlfn.XLOOKUP(EX346,ET361:FC361,ET362:FC362),_xlfn.XLOOKUP(EX346,ET363:FC363,ET364:FC364)),_xlpm.v*EW346*EY346*EY325*IF(ISBLANK(ET346),1,ET346)),0)</f>
        <v>0</v>
      </c>
      <c r="FC346" s="1476" t="str">
        <f>_xlfn.LET(_xlpm.unite,SUBSTITUTE(TRIM(EX346)," (s)",""),_xlpm.val,FB346,_xlpm.estVol,COUNTIF(EW361:FC361,_xlpm.unite)+COUNTIF(EW363:FC363,_xlpm.unite)&gt;0,_xlpm.estPoids,COUNTIF(ET361:EV361,_xlpm.unite)+COUNTIF(ET363:EV363,_xlpm.unite)&gt;0,IF(_xlpm.estVol,IF(ROUND(_xlpm.val,3)&gt;=1,ROUND(_xlpm.val,3)&amp;" L",MAX(1,ROUND(_xlpm.val*100,0))&amp;" cl"),IF(_xlpm.estPoids,IF(ROUND(_xlpm.val,3)&gt;=1,ROUND(_xlpm.val,3)&amp;" Kg",MAX(1,ROUND(_xlpm.val*1000,0))&amp;" g"),"")))</f>
        <v>1 cl</v>
      </c>
    </row>
    <row r="347" spans="2:159" ht="18.75">
      <c r="B347" s="952" t="str">
        <f t="shared" ref="B347:B410" si="75">L347</f>
        <v>A</v>
      </c>
      <c r="C347" s="993" cm="1">
        <f t="array" ref="C347">SUMPRODUCT(LEN(D347:J347))</f>
        <v>0</v>
      </c>
      <c r="D347" s="167"/>
      <c r="E347" s="172"/>
      <c r="F347" s="172"/>
      <c r="G347" s="172"/>
      <c r="H347" s="172"/>
      <c r="I347" s="172"/>
      <c r="J347" s="173"/>
      <c r="K347"/>
      <c r="L347" s="104" t="str">
        <f t="shared" si="72"/>
        <v>A</v>
      </c>
      <c r="M347" s="32" t="str">
        <f>M337</f>
        <v>B BAUDRUCHE DE COPAIN | | Auteur &gt; Guy KRENZE - Eric GODDYN - Arnaud NICOLAS - CEPROC 2002</v>
      </c>
      <c r="N347" s="33">
        <f>N337</f>
        <v>9.0500000000000007</v>
      </c>
      <c r="O347" s="32" t="str">
        <f>O337</f>
        <v>Kg</v>
      </c>
      <c r="P347" s="34" t="str">
        <f>P337</f>
        <v>Recette mère ► le Boudin en 4 déclinaisons</v>
      </c>
      <c r="Q347" s="92"/>
      <c r="R347" s="108"/>
      <c r="S347" s="94" t="str">
        <f t="shared" si="69"/>
        <v/>
      </c>
      <c r="T347" s="95">
        <v>3</v>
      </c>
      <c r="U347" s="140" t="s">
        <v>143</v>
      </c>
      <c r="V347" s="127">
        <v>1</v>
      </c>
      <c r="W347" s="920" t="s">
        <v>13106</v>
      </c>
      <c r="X347" s="1495">
        <f>IF(OR(ISBLANK(Q335),X335=0),0,Q347*V336)</f>
        <v>0</v>
      </c>
      <c r="Y347" s="101" cm="1">
        <f t="array" ref="Y347">IFERROR(_xlfn.LET(_xlpm.k,UPPER(TRIM(U347)),_xlpm.r,_xlfn.XLOOKUP(_xlpm.k,UPPER(TRIM(Q362:Z362)),Q363:Z363,_xlfn.XLOOKUP(_xlpm.k,UPPER(TRIM(Q364:Z364)),Q365:Z365)),_xlpm.r*T347*V347*V336*IF(ISBLANK(Q347),1,Q347)),0)</f>
        <v>3.3149171270718227</v>
      </c>
      <c r="Z347" s="1476" t="str">
        <f>_xlfn.LET(_xlpm.unite,SUBSTITUTE(TRIM(U347)," (s)",""),_xlpm.val,Y347,_xlpm.estVol,COUNTIF(T362:Z362,_xlpm.unite)+COUNTIF(T364:Z364,_xlpm.unite)&gt;0,_xlpm.estPoids,COUNTIF(Q362:S362,_xlpm.unite)+COUNTIF(Q364:S364,_xlpm.unite)&gt;0,IF(_xlpm.estVol,IF(ROUND(_xlpm.val,3)&gt;=1,ROUND(_xlpm.val,3)&amp;" L",MAX(1,ROUND(_xlpm.val*100,0))&amp;" cl"),IF(_xlpm.estPoids,IF(ROUND(_xlpm.val,3)&gt;=1,ROUND(_xlpm.val,3)&amp;" Kg",MAX(1,ROUND(_xlpm.val*1000,0))&amp;" g"),"")))</f>
        <v>3.315 Kg</v>
      </c>
      <c r="AA347" s="5086"/>
      <c r="AB347" s="104" t="str">
        <f t="shared" si="73"/>
        <v>A</v>
      </c>
      <c r="AC347" s="32" t="str">
        <f>AC337</f>
        <v>B BAUDRUCHE DE COPAIN | |  Author &gt; Guy KRENZE - Eric GODDYN - Arnaud NICOLAS - CEPROC 2002</v>
      </c>
      <c r="AD347" s="33">
        <f>AD337</f>
        <v>9.0500000000000007</v>
      </c>
      <c r="AE347" s="32" t="str">
        <f>AE337</f>
        <v>Kg</v>
      </c>
      <c r="AF347" s="34" t="str">
        <f>AF337</f>
        <v>Master recipe ► Black pudding in 4 variations</v>
      </c>
      <c r="AG347" s="92"/>
      <c r="AH347" s="108"/>
      <c r="AI347" s="94" t="str">
        <f t="shared" si="70"/>
        <v/>
      </c>
      <c r="AJ347" s="95">
        <v>3</v>
      </c>
      <c r="AK347" s="140" t="s">
        <v>143</v>
      </c>
      <c r="AL347" s="127">
        <v>1</v>
      </c>
      <c r="AM347" s="920" t="s">
        <v>13266</v>
      </c>
      <c r="AN347" s="1495">
        <f>IF(OR(ISBLANK(AG335),AN335=0),0,AG347*AL336)</f>
        <v>0</v>
      </c>
      <c r="AO347" s="101" cm="1">
        <f t="array" ref="AO347">IFERROR(_xlfn.LET(_xlpm.k,UPPER(TRIM(AK347)),_xlpm.r,_xlfn.XLOOKUP(_xlpm.k,UPPER(TRIM(AG362:AP362)),AG363:AP363,_xlfn.XLOOKUP(_xlpm.k,UPPER(TRIM(AG364:AP364)),AG365:AP365)),_xlpm.r*AJ347*AL347*AL336*IF(ISBLANK(AG347),1,AG347)),0)</f>
        <v>3.3149171270718227</v>
      </c>
      <c r="AP347" s="1476" t="str">
        <f>_xlfn.LET(_xlpm.unite,SUBSTITUTE(TRIM(AK347)," (s)",""),_xlpm.val,AO347,_xlpm.estVol,COUNTIF(AJ362:AP362,_xlpm.unite)+COUNTIF(AJ364:AP364,_xlpm.unite)&gt;0,_xlpm.estPoids,COUNTIF(AG362:AI362,_xlpm.unite)+COUNTIF(AG364:AI364,_xlpm.unite)&gt;0,IF(_xlpm.estVol,IF(ROUND(_xlpm.val,3)&gt;=1,ROUND(_xlpm.val,3)&amp;" L",MAX(1,ROUND(_xlpm.val*100,0))&amp;" cl"),IF(_xlpm.estPoids,IF(ROUND(_xlpm.val,3)&gt;=1,ROUND(_xlpm.val,3)&amp;" Kg",MAX(1,ROUND(_xlpm.val*1000,0))&amp;" g"),"")))</f>
        <v>3.315 Kg</v>
      </c>
      <c r="AQ347" s="5086"/>
      <c r="AR347" s="104" t="str">
        <f t="shared" si="74"/>
        <v>A</v>
      </c>
      <c r="AS347" s="32" t="str">
        <f>AS337</f>
        <v>B BAUDRUCHE DE COPAIN | | Autor &gt; Guy KRENZE - Eric GODDYN - Arnaud NICOLAS - CEPROC 2002</v>
      </c>
      <c r="AT347" s="33">
        <f>AT337</f>
        <v>9.0500000000000007</v>
      </c>
      <c r="AU347" s="32" t="str">
        <f>AU337</f>
        <v>Kg</v>
      </c>
      <c r="AV347" s="34" t="str">
        <f>AV337</f>
        <v>Receta madre ► Morcilla en 4 versiones</v>
      </c>
      <c r="AW347" s="92"/>
      <c r="AX347" s="108"/>
      <c r="AY347" s="94" t="str">
        <f t="shared" si="71"/>
        <v/>
      </c>
      <c r="AZ347" s="95">
        <v>3</v>
      </c>
      <c r="BA347" s="140" t="s">
        <v>143</v>
      </c>
      <c r="BB347" s="127">
        <v>1</v>
      </c>
      <c r="BC347" s="920" t="s">
        <v>13282</v>
      </c>
      <c r="BD347" s="1495">
        <f>IF(OR(ISBLANK(AW335),BD335=0),0,AW347*BB336)</f>
        <v>0</v>
      </c>
      <c r="BE347" s="101" cm="1">
        <f t="array" ref="BE347">IFERROR(_xlfn.LET(_xlpm.k,UPPER(TRIM(BA347)),_xlpm.r,_xlfn.XLOOKUP(_xlpm.k,UPPER(TRIM(AW362:BF362)),AW363:BF363,_xlfn.XLOOKUP(_xlpm.k,UPPER(TRIM(AW364:BF364)),AW365:BF365)),_xlpm.r*AZ347*BB347*BB336*IF(ISBLANK(AW347),1,AW347)),0)</f>
        <v>3.3149171270718227</v>
      </c>
      <c r="BF347" s="1476" t="str">
        <f>_xlfn.LET(_xlpm.unite,SUBSTITUTE(TRIM(BA347)," (s)",""),_xlpm.val,BE347,_xlpm.estVol,COUNTIF(AZ362:BF362,_xlpm.unite)+COUNTIF(AZ364:BF364,_xlpm.unite)&gt;0,_xlpm.estPoids,COUNTIF(AW362:AY362,_xlpm.unite)+COUNTIF(AW364:AY364,_xlpm.unite)&gt;0,IF(_xlpm.estVol,IF(ROUND(_xlpm.val,3)&gt;=1,ROUND(_xlpm.val,3)&amp;" L",MAX(1,ROUND(_xlpm.val*100,0))&amp;" cl"),IF(_xlpm.estPoids,IF(ROUND(_xlpm.val,3)&gt;=1,ROUND(_xlpm.val,3)&amp;" Kg",MAX(1,ROUND(_xlpm.val*1000,0))&amp;" g"),"")))</f>
        <v>3.315 Kg</v>
      </c>
      <c r="BG347" s="5086"/>
      <c r="BH347" s="104"/>
      <c r="BI347" s="32"/>
      <c r="BJ347" s="33"/>
      <c r="BK347" s="32"/>
      <c r="BL347" s="34"/>
      <c r="BM347" s="92"/>
      <c r="BN347" s="108"/>
      <c r="BO347" s="94"/>
      <c r="BP347" s="95"/>
      <c r="BQ347" s="105"/>
      <c r="BR347" s="5101"/>
      <c r="BS347" s="920"/>
      <c r="BT347" s="1495"/>
      <c r="BU347" s="101"/>
      <c r="BV347" s="1475"/>
      <c r="BW347" s="5086"/>
      <c r="BX347" s="104"/>
      <c r="BY347" s="32"/>
      <c r="BZ347" s="33"/>
      <c r="CA347" s="32"/>
      <c r="CB347" s="34"/>
      <c r="CC347" s="92"/>
      <c r="CD347" s="108"/>
      <c r="CE347" s="94"/>
      <c r="CF347" s="95"/>
      <c r="CG347" s="105"/>
      <c r="CH347" s="5101"/>
      <c r="CI347" s="920"/>
      <c r="CJ347" s="1495"/>
      <c r="CK347" s="101"/>
      <c r="CL347" s="1475"/>
      <c r="CM347" s="5086"/>
      <c r="CN347" s="104"/>
      <c r="CO347" s="32"/>
      <c r="CP347" s="33"/>
      <c r="CQ347" s="32"/>
      <c r="CR347" s="34"/>
      <c r="CS347" s="92"/>
      <c r="CT347" s="108"/>
      <c r="CU347" s="94"/>
      <c r="CV347" s="95"/>
      <c r="CW347" s="105"/>
      <c r="CX347" s="5101"/>
      <c r="CY347" s="920"/>
      <c r="CZ347" s="1495"/>
      <c r="DA347" s="101"/>
      <c r="DB347" s="1475"/>
      <c r="DC347" s="5109"/>
      <c r="DD347" s="5086"/>
      <c r="DF347" s="3">
        <v>1</v>
      </c>
      <c r="EY347" s="127">
        <v>1</v>
      </c>
      <c r="EZ347" s="920" t="s">
        <v>12960</v>
      </c>
      <c r="FA347" s="1495">
        <f>IF(OR(ISBLANK(ET324),FA324=0),0,ET347*EY325)</f>
        <v>0</v>
      </c>
      <c r="FB347" s="101">
        <f>IFERROR(_xlfn.LET(_xlpm.v,IFERROR(_xlfn.XLOOKUP(EX347,ET361:FC361,ET362:FC362),_xlfn.XLOOKUP(EX347,ET363:FC363,ET364:FC364)),_xlpm.v*EW347*EY347*EY325*IF(ISBLANK(ET347),1,ET347)),0)</f>
        <v>0</v>
      </c>
      <c r="FC347" s="1475" t="str">
        <f>_xlfn.LET(_xlpm.unite,SUBSTITUTE(TRIM(EX347)," (s)",""),_xlpm.val,FB347,_xlpm.estVol,COUNTIF(EW361:FC361,_xlpm.unite)+COUNTIF(EW363:FC363,_xlpm.unite)&gt;0,_xlpm.estPoids,COUNTIF(ET361:EV361,_xlpm.unite)+COUNTIF(ET363:EV363,_xlpm.unite)&gt;0,IF(_xlpm.estVol,IF(ROUND(_xlpm.val,3)&gt;=1,ROUND(_xlpm.val,3)&amp;" L",MAX(1,ROUND(_xlpm.val*100,0))&amp;" cl"),IF(_xlpm.estPoids,IF(ROUND(_xlpm.val,3)&gt;=1,ROUND(_xlpm.val,3)&amp;" Kg",MAX(1,ROUND(_xlpm.val*1000,0))&amp;" g"),"")))</f>
        <v>1 cl</v>
      </c>
    </row>
    <row r="348" spans="2:159" ht="18.75">
      <c r="B348" s="952" t="str">
        <f t="shared" si="75"/>
        <v>A</v>
      </c>
      <c r="C348" s="993" cm="1">
        <f t="array" ref="C348">SUMPRODUCT(LEN(D348:J348))</f>
        <v>0</v>
      </c>
      <c r="D348" s="167"/>
      <c r="E348" s="172"/>
      <c r="F348" s="172"/>
      <c r="G348" s="172"/>
      <c r="H348" s="172"/>
      <c r="I348" s="172"/>
      <c r="J348" s="173"/>
      <c r="K348"/>
      <c r="L348" s="104" t="str">
        <f t="shared" si="72"/>
        <v>A</v>
      </c>
      <c r="M348" s="32" t="str">
        <f>M337</f>
        <v>B BAUDRUCHE DE COPAIN | | Auteur &gt; Guy KRENZE - Eric GODDYN - Arnaud NICOLAS - CEPROC 2002</v>
      </c>
      <c r="N348" s="33">
        <f>N337</f>
        <v>9.0500000000000007</v>
      </c>
      <c r="O348" s="32" t="str">
        <f>O337</f>
        <v>Kg</v>
      </c>
      <c r="P348" s="34" t="str">
        <f>P337</f>
        <v>Recette mère ► le Boudin en 4 déclinaisons</v>
      </c>
      <c r="Q348" s="92"/>
      <c r="R348" s="108" t="s">
        <v>13114</v>
      </c>
      <c r="S348" s="94" t="str">
        <f t="shared" si="69"/>
        <v/>
      </c>
      <c r="T348" s="95"/>
      <c r="U348" s="126"/>
      <c r="V348" s="127">
        <v>1</v>
      </c>
      <c r="W348" s="920" t="s">
        <v>13107</v>
      </c>
      <c r="X348" s="1495">
        <f>IF(OR(ISBLANK(Q335),X335=0),0,Q348*V336)</f>
        <v>0</v>
      </c>
      <c r="Y348" s="101" cm="1">
        <f t="array" ref="Y348">IFERROR(_xlfn.LET(_xlpm.k,UPPER(TRIM(U348)),_xlpm.r,_xlfn.XLOOKUP(_xlpm.k,UPPER(TRIM(Q362:Z362)),Q363:Z363,_xlfn.XLOOKUP(_xlpm.k,UPPER(TRIM(Q364:Z364)),Q365:Z365)),_xlpm.r*T348*V348*V336*IF(ISBLANK(Q348),1,Q348)),0)</f>
        <v>0</v>
      </c>
      <c r="Z348" s="1475" t="str">
        <f>_xlfn.LET(_xlpm.unite,SUBSTITUTE(TRIM(U348)," (s)",""),_xlpm.val,Y348,_xlpm.estVol,COUNTIF(T362:Z362,_xlpm.unite)+COUNTIF(T364:Z364,_xlpm.unite)&gt;0,_xlpm.estPoids,COUNTIF(Q362:S362,_xlpm.unite)+COUNTIF(Q364:S364,_xlpm.unite)&gt;0,IF(_xlpm.estVol,IF(ROUND(_xlpm.val,3)&gt;=1,ROUND(_xlpm.val,3)&amp;" L",MAX(1,ROUND(_xlpm.val*100,0))&amp;" cl"),IF(_xlpm.estPoids,IF(ROUND(_xlpm.val,3)&gt;=1,ROUND(_xlpm.val,3)&amp;" Kg",MAX(1,ROUND(_xlpm.val*1000,0))&amp;" g"),"")))</f>
        <v/>
      </c>
      <c r="AA348" s="5086"/>
      <c r="AB348" s="104" t="str">
        <f t="shared" si="73"/>
        <v>A</v>
      </c>
      <c r="AC348" s="32" t="str">
        <f>AC337</f>
        <v>B BAUDRUCHE DE COPAIN | |  Author &gt; Guy KRENZE - Eric GODDYN - Arnaud NICOLAS - CEPROC 2002</v>
      </c>
      <c r="AD348" s="33">
        <f>AD337</f>
        <v>9.0500000000000007</v>
      </c>
      <c r="AE348" s="32" t="str">
        <f>AE337</f>
        <v>Kg</v>
      </c>
      <c r="AF348" s="34" t="str">
        <f>AF337</f>
        <v>Master recipe ► Black pudding in 4 variations</v>
      </c>
      <c r="AG348" s="92"/>
      <c r="AH348" s="108" t="s">
        <v>13114</v>
      </c>
      <c r="AI348" s="94" t="str">
        <f t="shared" si="70"/>
        <v/>
      </c>
      <c r="AJ348" s="95"/>
      <c r="AK348" s="126"/>
      <c r="AL348" s="127">
        <v>1</v>
      </c>
      <c r="AM348" s="920" t="s">
        <v>13267</v>
      </c>
      <c r="AN348" s="1495">
        <f>IF(OR(ISBLANK(AG335),AN335=0),0,AG348*AL336)</f>
        <v>0</v>
      </c>
      <c r="AO348" s="101" cm="1">
        <f t="array" ref="AO348">IFERROR(_xlfn.LET(_xlpm.k,UPPER(TRIM(AK348)),_xlpm.r,_xlfn.XLOOKUP(_xlpm.k,UPPER(TRIM(AG362:AP362)),AG363:AP363,_xlfn.XLOOKUP(_xlpm.k,UPPER(TRIM(AG364:AP364)),AG365:AP365)),_xlpm.r*AJ348*AL348*AL336*IF(ISBLANK(AG348),1,AG348)),0)</f>
        <v>0</v>
      </c>
      <c r="AP348" s="1475" t="str">
        <f>_xlfn.LET(_xlpm.unite,SUBSTITUTE(TRIM(AK348)," (s)",""),_xlpm.val,AO348,_xlpm.estVol,COUNTIF(AJ362:AP362,_xlpm.unite)+COUNTIF(AJ364:AP364,_xlpm.unite)&gt;0,_xlpm.estPoids,COUNTIF(AG362:AI362,_xlpm.unite)+COUNTIF(AG364:AI364,_xlpm.unite)&gt;0,IF(_xlpm.estVol,IF(ROUND(_xlpm.val,3)&gt;=1,ROUND(_xlpm.val,3)&amp;" L",MAX(1,ROUND(_xlpm.val*100,0))&amp;" cl"),IF(_xlpm.estPoids,IF(ROUND(_xlpm.val,3)&gt;=1,ROUND(_xlpm.val,3)&amp;" Kg",MAX(1,ROUND(_xlpm.val*1000,0))&amp;" g"),"")))</f>
        <v/>
      </c>
      <c r="AQ348" s="5086"/>
      <c r="AR348" s="104" t="str">
        <f t="shared" si="74"/>
        <v>A</v>
      </c>
      <c r="AS348" s="32" t="str">
        <f>AS337</f>
        <v>B BAUDRUCHE DE COPAIN | | Autor &gt; Guy KRENZE - Eric GODDYN - Arnaud NICOLAS - CEPROC 2002</v>
      </c>
      <c r="AT348" s="33">
        <f>AT337</f>
        <v>9.0500000000000007</v>
      </c>
      <c r="AU348" s="32" t="str">
        <f>AU337</f>
        <v>Kg</v>
      </c>
      <c r="AV348" s="34" t="str">
        <f>AV337</f>
        <v>Receta madre ► Morcilla en 4 versiones</v>
      </c>
      <c r="AW348" s="92"/>
      <c r="AX348" s="108" t="s">
        <v>13114</v>
      </c>
      <c r="AY348" s="94" t="str">
        <f t="shared" si="71"/>
        <v/>
      </c>
      <c r="AZ348" s="95"/>
      <c r="BA348" s="126"/>
      <c r="BB348" s="127">
        <v>1</v>
      </c>
      <c r="BC348" s="920" t="s">
        <v>13283</v>
      </c>
      <c r="BD348" s="1495">
        <f>IF(OR(ISBLANK(AW335),BD335=0),0,AW348*BB336)</f>
        <v>0</v>
      </c>
      <c r="BE348" s="101" cm="1">
        <f t="array" ref="BE348">IFERROR(_xlfn.LET(_xlpm.k,UPPER(TRIM(BA348)),_xlpm.r,_xlfn.XLOOKUP(_xlpm.k,UPPER(TRIM(AW362:BF362)),AW363:BF363,_xlfn.XLOOKUP(_xlpm.k,UPPER(TRIM(AW364:BF364)),AW365:BF365)),_xlpm.r*AZ348*BB348*BB336*IF(ISBLANK(AW348),1,AW348)),0)</f>
        <v>0</v>
      </c>
      <c r="BF348" s="1475" t="str">
        <f>_xlfn.LET(_xlpm.unite,SUBSTITUTE(TRIM(BA348)," (s)",""),_xlpm.val,BE348,_xlpm.estVol,COUNTIF(AZ362:BF362,_xlpm.unite)+COUNTIF(AZ364:BF364,_xlpm.unite)&gt;0,_xlpm.estPoids,COUNTIF(AW362:AY362,_xlpm.unite)+COUNTIF(AW364:AY364,_xlpm.unite)&gt;0,IF(_xlpm.estVol,IF(ROUND(_xlpm.val,3)&gt;=1,ROUND(_xlpm.val,3)&amp;" L",MAX(1,ROUND(_xlpm.val*100,0))&amp;" cl"),IF(_xlpm.estPoids,IF(ROUND(_xlpm.val,3)&gt;=1,ROUND(_xlpm.val,3)&amp;" Kg",MAX(1,ROUND(_xlpm.val*1000,0))&amp;" g"),"")))</f>
        <v/>
      </c>
      <c r="BG348" s="5086"/>
      <c r="BH348" s="104"/>
      <c r="BI348" s="32"/>
      <c r="BJ348" s="33"/>
      <c r="BK348" s="32"/>
      <c r="BL348" s="34"/>
      <c r="BM348" s="92"/>
      <c r="BN348" s="108"/>
      <c r="BO348" s="94"/>
      <c r="BP348" s="95"/>
      <c r="BQ348" s="105"/>
      <c r="BR348" s="5101"/>
      <c r="BS348" s="920"/>
      <c r="BT348" s="1495"/>
      <c r="BU348" s="101"/>
      <c r="BV348" s="1475"/>
      <c r="BW348" s="5086"/>
      <c r="BX348" s="104"/>
      <c r="BY348" s="32"/>
      <c r="BZ348" s="33"/>
      <c r="CA348" s="32"/>
      <c r="CB348" s="34"/>
      <c r="CC348" s="92"/>
      <c r="CD348" s="108"/>
      <c r="CE348" s="94"/>
      <c r="CF348" s="95"/>
      <c r="CG348" s="105"/>
      <c r="CH348" s="5101"/>
      <c r="CI348" s="920"/>
      <c r="CJ348" s="1495"/>
      <c r="CK348" s="101"/>
      <c r="CL348" s="1475"/>
      <c r="CM348" s="5086"/>
      <c r="CN348" s="104"/>
      <c r="CO348" s="32"/>
      <c r="CP348" s="33"/>
      <c r="CQ348" s="32"/>
      <c r="CR348" s="34"/>
      <c r="CS348" s="92"/>
      <c r="CT348" s="108"/>
      <c r="CU348" s="94"/>
      <c r="CV348" s="95"/>
      <c r="CW348" s="105"/>
      <c r="CX348" s="5101"/>
      <c r="CY348" s="920"/>
      <c r="CZ348" s="1495"/>
      <c r="DA348" s="101"/>
      <c r="DB348" s="1475"/>
      <c r="DC348" s="5109"/>
      <c r="DD348" s="5086"/>
      <c r="DF348" s="3">
        <v>1</v>
      </c>
      <c r="EY348" s="127">
        <v>1</v>
      </c>
      <c r="EZ348" s="920" t="s">
        <v>12962</v>
      </c>
      <c r="FA348" s="1495">
        <f>IF(OR(ISBLANK(ET324),FA324=0),0,ET348*EY325)</f>
        <v>0</v>
      </c>
      <c r="FB348" s="101">
        <f>IFERROR(_xlfn.LET(_xlpm.v,IFERROR(_xlfn.XLOOKUP(EX348,ET361:FC361,ET362:FC362),_xlfn.XLOOKUP(EX348,ET363:FC363,ET364:FC364)),_xlpm.v*EW348*EY348*EY325*IF(ISBLANK(ET348),1,ET348)),0)</f>
        <v>0</v>
      </c>
      <c r="FC348" s="1476" t="str">
        <f>_xlfn.LET(_xlpm.unite,SUBSTITUTE(TRIM(EX348)," (s)",""),_xlpm.val,FB348,_xlpm.estVol,COUNTIF(EW361:FC361,_xlpm.unite)+COUNTIF(EW363:FC363,_xlpm.unite)&gt;0,_xlpm.estPoids,COUNTIF(ET361:EV361,_xlpm.unite)+COUNTIF(ET363:EV363,_xlpm.unite)&gt;0,IF(_xlpm.estVol,IF(ROUND(_xlpm.val,3)&gt;=1,ROUND(_xlpm.val,3)&amp;" L",MAX(1,ROUND(_xlpm.val*100,0))&amp;" cl"),IF(_xlpm.estPoids,IF(ROUND(_xlpm.val,3)&gt;=1,ROUND(_xlpm.val,3)&amp;" Kg",MAX(1,ROUND(_xlpm.val*1000,0))&amp;" g"),"")))</f>
        <v>1 cl</v>
      </c>
    </row>
    <row r="349" spans="2:159" ht="18.75">
      <c r="B349" s="952" t="str">
        <f t="shared" si="75"/>
        <v>A</v>
      </c>
      <c r="C349" s="993" cm="1">
        <f t="array" ref="C349">SUMPRODUCT(LEN(D349:J349))</f>
        <v>0</v>
      </c>
      <c r="D349" s="167"/>
      <c r="E349" s="172"/>
      <c r="F349" s="172"/>
      <c r="G349" s="172"/>
      <c r="H349" s="172"/>
      <c r="I349" s="172"/>
      <c r="J349" s="173"/>
      <c r="K349"/>
      <c r="L349" s="104" t="str">
        <f t="shared" si="72"/>
        <v>A</v>
      </c>
      <c r="M349" s="32" t="str">
        <f>M337</f>
        <v>B BAUDRUCHE DE COPAIN | | Auteur &gt; Guy KRENZE - Eric GODDYN - Arnaud NICOLAS - CEPROC 2002</v>
      </c>
      <c r="N349" s="33">
        <f>N337</f>
        <v>9.0500000000000007</v>
      </c>
      <c r="O349" s="32" t="str">
        <f>O337</f>
        <v>Kg</v>
      </c>
      <c r="P349" s="34" t="str">
        <f>P337</f>
        <v>Recette mère ► le Boudin en 4 déclinaisons</v>
      </c>
      <c r="Q349" s="92"/>
      <c r="R349" s="108" t="s">
        <v>13114</v>
      </c>
      <c r="S349" s="94" t="str">
        <f t="shared" si="69"/>
        <v/>
      </c>
      <c r="T349" s="95"/>
      <c r="U349" s="126"/>
      <c r="V349" s="127">
        <v>1</v>
      </c>
      <c r="W349" s="920" t="s">
        <v>13108</v>
      </c>
      <c r="X349" s="1495">
        <f>IF(OR(ISBLANK(Q335),X335=0),0,Q349*V336)</f>
        <v>0</v>
      </c>
      <c r="Y349" s="101" cm="1">
        <f t="array" ref="Y349">IFERROR(_xlfn.LET(_xlpm.k,UPPER(TRIM(U349)),_xlpm.r,_xlfn.XLOOKUP(_xlpm.k,UPPER(TRIM(Q362:Z362)),Q363:Z363,_xlfn.XLOOKUP(_xlpm.k,UPPER(TRIM(Q364:Z364)),Q365:Z365)),_xlpm.r*T349*V349*V336*IF(ISBLANK(Q349),1,Q349)),0)</f>
        <v>0</v>
      </c>
      <c r="Z349" s="1476" t="str">
        <f>_xlfn.LET(_xlpm.unite,SUBSTITUTE(TRIM(U349)," (s)",""),_xlpm.val,Y349,_xlpm.estVol,COUNTIF(T362:Z362,_xlpm.unite)+COUNTIF(T364:Z364,_xlpm.unite)&gt;0,_xlpm.estPoids,COUNTIF(Q362:S362,_xlpm.unite)+COUNTIF(Q364:S364,_xlpm.unite)&gt;0,IF(_xlpm.estVol,IF(ROUND(_xlpm.val,3)&gt;=1,ROUND(_xlpm.val,3)&amp;" L",MAX(1,ROUND(_xlpm.val*100,0))&amp;" cl"),IF(_xlpm.estPoids,IF(ROUND(_xlpm.val,3)&gt;=1,ROUND(_xlpm.val,3)&amp;" Kg",MAX(1,ROUND(_xlpm.val*1000,0))&amp;" g"),"")))</f>
        <v/>
      </c>
      <c r="AA349" s="5086"/>
      <c r="AB349" s="104" t="str">
        <f t="shared" si="73"/>
        <v>A</v>
      </c>
      <c r="AC349" s="32" t="str">
        <f>AC337</f>
        <v>B BAUDRUCHE DE COPAIN | |  Author &gt; Guy KRENZE - Eric GODDYN - Arnaud NICOLAS - CEPROC 2002</v>
      </c>
      <c r="AD349" s="33">
        <f>AD337</f>
        <v>9.0500000000000007</v>
      </c>
      <c r="AE349" s="32" t="str">
        <f>AE337</f>
        <v>Kg</v>
      </c>
      <c r="AF349" s="34" t="str">
        <f>AF337</f>
        <v>Master recipe ► Black pudding in 4 variations</v>
      </c>
      <c r="AG349" s="92"/>
      <c r="AH349" s="108" t="s">
        <v>13114</v>
      </c>
      <c r="AI349" s="94" t="str">
        <f t="shared" si="70"/>
        <v/>
      </c>
      <c r="AJ349" s="95"/>
      <c r="AK349" s="126"/>
      <c r="AL349" s="127">
        <v>1</v>
      </c>
      <c r="AM349" s="920" t="s">
        <v>13268</v>
      </c>
      <c r="AN349" s="1495">
        <f>IF(OR(ISBLANK(AG335),AN335=0),0,AG349*AL336)</f>
        <v>0</v>
      </c>
      <c r="AO349" s="101" cm="1">
        <f t="array" ref="AO349">IFERROR(_xlfn.LET(_xlpm.k,UPPER(TRIM(AK349)),_xlpm.r,_xlfn.XLOOKUP(_xlpm.k,UPPER(TRIM(AG362:AP362)),AG363:AP363,_xlfn.XLOOKUP(_xlpm.k,UPPER(TRIM(AG364:AP364)),AG365:AP365)),_xlpm.r*AJ349*AL349*AL336*IF(ISBLANK(AG349),1,AG349)),0)</f>
        <v>0</v>
      </c>
      <c r="AP349" s="1476" t="str">
        <f>_xlfn.LET(_xlpm.unite,SUBSTITUTE(TRIM(AK349)," (s)",""),_xlpm.val,AO349,_xlpm.estVol,COUNTIF(AJ362:AP362,_xlpm.unite)+COUNTIF(AJ364:AP364,_xlpm.unite)&gt;0,_xlpm.estPoids,COUNTIF(AG362:AI362,_xlpm.unite)+COUNTIF(AG364:AI364,_xlpm.unite)&gt;0,IF(_xlpm.estVol,IF(ROUND(_xlpm.val,3)&gt;=1,ROUND(_xlpm.val,3)&amp;" L",MAX(1,ROUND(_xlpm.val*100,0))&amp;" cl"),IF(_xlpm.estPoids,IF(ROUND(_xlpm.val,3)&gt;=1,ROUND(_xlpm.val,3)&amp;" Kg",MAX(1,ROUND(_xlpm.val*1000,0))&amp;" g"),"")))</f>
        <v/>
      </c>
      <c r="AQ349" s="5086"/>
      <c r="AR349" s="104" t="str">
        <f t="shared" si="74"/>
        <v>A</v>
      </c>
      <c r="AS349" s="32" t="str">
        <f>AS337</f>
        <v>B BAUDRUCHE DE COPAIN | | Autor &gt; Guy KRENZE - Eric GODDYN - Arnaud NICOLAS - CEPROC 2002</v>
      </c>
      <c r="AT349" s="33">
        <f>AT337</f>
        <v>9.0500000000000007</v>
      </c>
      <c r="AU349" s="32" t="str">
        <f>AU337</f>
        <v>Kg</v>
      </c>
      <c r="AV349" s="34" t="str">
        <f>AV337</f>
        <v>Receta madre ► Morcilla en 4 versiones</v>
      </c>
      <c r="AW349" s="92"/>
      <c r="AX349" s="108" t="s">
        <v>13114</v>
      </c>
      <c r="AY349" s="94" t="str">
        <f t="shared" si="71"/>
        <v/>
      </c>
      <c r="AZ349" s="95"/>
      <c r="BA349" s="126"/>
      <c r="BB349" s="127">
        <v>1</v>
      </c>
      <c r="BC349" s="920" t="s">
        <v>13284</v>
      </c>
      <c r="BD349" s="1495">
        <f>IF(OR(ISBLANK(AW335),BD335=0),0,AW349*BB336)</f>
        <v>0</v>
      </c>
      <c r="BE349" s="101" cm="1">
        <f t="array" ref="BE349">IFERROR(_xlfn.LET(_xlpm.k,UPPER(TRIM(BA349)),_xlpm.r,_xlfn.XLOOKUP(_xlpm.k,UPPER(TRIM(AW362:BF362)),AW363:BF363,_xlfn.XLOOKUP(_xlpm.k,UPPER(TRIM(AW364:BF364)),AW365:BF365)),_xlpm.r*AZ349*BB349*BB336*IF(ISBLANK(AW349),1,AW349)),0)</f>
        <v>0</v>
      </c>
      <c r="BF349" s="1476" t="str">
        <f>_xlfn.LET(_xlpm.unite,SUBSTITUTE(TRIM(BA349)," (s)",""),_xlpm.val,BE349,_xlpm.estVol,COUNTIF(AZ362:BF362,_xlpm.unite)+COUNTIF(AZ364:BF364,_xlpm.unite)&gt;0,_xlpm.estPoids,COUNTIF(AW362:AY362,_xlpm.unite)+COUNTIF(AW364:AY364,_xlpm.unite)&gt;0,IF(_xlpm.estVol,IF(ROUND(_xlpm.val,3)&gt;=1,ROUND(_xlpm.val,3)&amp;" L",MAX(1,ROUND(_xlpm.val*100,0))&amp;" cl"),IF(_xlpm.estPoids,IF(ROUND(_xlpm.val,3)&gt;=1,ROUND(_xlpm.val,3)&amp;" Kg",MAX(1,ROUND(_xlpm.val*1000,0))&amp;" g"),"")))</f>
        <v/>
      </c>
      <c r="BG349" s="5086"/>
      <c r="BH349" s="104"/>
      <c r="BI349" s="32"/>
      <c r="BJ349" s="33"/>
      <c r="BK349" s="32"/>
      <c r="BL349" s="34"/>
      <c r="BM349" s="92"/>
      <c r="BN349" s="108"/>
      <c r="BO349" s="94"/>
      <c r="BP349" s="95"/>
      <c r="BQ349" s="105"/>
      <c r="BR349" s="5101"/>
      <c r="BS349" s="920"/>
      <c r="BT349" s="1495"/>
      <c r="BU349" s="101"/>
      <c r="BV349" s="1475"/>
      <c r="BW349" s="5086"/>
      <c r="BX349" s="104"/>
      <c r="BY349" s="32"/>
      <c r="BZ349" s="33"/>
      <c r="CA349" s="32"/>
      <c r="CB349" s="34"/>
      <c r="CC349" s="92"/>
      <c r="CD349" s="108"/>
      <c r="CE349" s="94"/>
      <c r="CF349" s="95"/>
      <c r="CG349" s="105"/>
      <c r="CH349" s="5101"/>
      <c r="CI349" s="920"/>
      <c r="CJ349" s="1495"/>
      <c r="CK349" s="101"/>
      <c r="CL349" s="1475"/>
      <c r="CM349" s="5086"/>
      <c r="CN349" s="104"/>
      <c r="CO349" s="32"/>
      <c r="CP349" s="33"/>
      <c r="CQ349" s="32"/>
      <c r="CR349" s="34"/>
      <c r="CS349" s="92"/>
      <c r="CT349" s="108"/>
      <c r="CU349" s="94"/>
      <c r="CV349" s="95"/>
      <c r="CW349" s="105"/>
      <c r="CX349" s="5101"/>
      <c r="CY349" s="920"/>
      <c r="CZ349" s="1495"/>
      <c r="DA349" s="101"/>
      <c r="DB349" s="1475"/>
      <c r="DC349" s="5109"/>
      <c r="DD349" s="5086"/>
      <c r="DF349" s="3">
        <v>1</v>
      </c>
      <c r="EY349" s="127">
        <v>1</v>
      </c>
      <c r="EZ349" s="920" t="s">
        <v>12964</v>
      </c>
      <c r="FA349" s="1495">
        <f>IF(OR(ISBLANK(ET324),FA324=0),0,ET349*EY325)</f>
        <v>0</v>
      </c>
      <c r="FB349" s="101">
        <f>IFERROR(_xlfn.LET(_xlpm.v,IFERROR(_xlfn.XLOOKUP(EX349,ET361:FC361,ET362:FC362),_xlfn.XLOOKUP(EX349,ET363:FC363,ET364:FC364)),_xlpm.v*EW349*EY349*EY325*IF(ISBLANK(ET349),1,ET349)),0)</f>
        <v>0</v>
      </c>
      <c r="FC349" s="1475" t="str">
        <f>_xlfn.LET(_xlpm.unite,SUBSTITUTE(TRIM(EX349)," (s)",""),_xlpm.val,FB349,_xlpm.estVol,COUNTIF(EW361:FC361,_xlpm.unite)+COUNTIF(EW363:FC363,_xlpm.unite)&gt;0,_xlpm.estPoids,COUNTIF(ET361:EV361,_xlpm.unite)+COUNTIF(ET363:EV363,_xlpm.unite)&gt;0,IF(_xlpm.estVol,IF(ROUND(_xlpm.val,3)&gt;=1,ROUND(_xlpm.val,3)&amp;" L",MAX(1,ROUND(_xlpm.val*100,0))&amp;" cl"),IF(_xlpm.estPoids,IF(ROUND(_xlpm.val,3)&gt;=1,ROUND(_xlpm.val,3)&amp;" Kg",MAX(1,ROUND(_xlpm.val*1000,0))&amp;" g"),"")))</f>
        <v>1 cl</v>
      </c>
    </row>
    <row r="350" spans="2:159" ht="18.75">
      <c r="B350" s="952" t="str">
        <f t="shared" si="75"/>
        <v>A</v>
      </c>
      <c r="C350" s="993" cm="1">
        <f t="array" ref="C350">SUMPRODUCT(LEN(D350:J350))</f>
        <v>0</v>
      </c>
      <c r="D350" s="167"/>
      <c r="E350" s="172"/>
      <c r="F350" s="172"/>
      <c r="G350" s="172"/>
      <c r="H350" s="172"/>
      <c r="I350" s="172"/>
      <c r="J350" s="173"/>
      <c r="K350"/>
      <c r="L350" s="104" t="str">
        <f t="shared" si="72"/>
        <v>A</v>
      </c>
      <c r="M350" s="32" t="str">
        <f>M337</f>
        <v>B BAUDRUCHE DE COPAIN | | Auteur &gt; Guy KRENZE - Eric GODDYN - Arnaud NICOLAS - CEPROC 2002</v>
      </c>
      <c r="N350" s="33">
        <f>N337</f>
        <v>9.0500000000000007</v>
      </c>
      <c r="O350" s="32" t="str">
        <f>O337</f>
        <v>Kg</v>
      </c>
      <c r="P350" s="34" t="str">
        <f>P337</f>
        <v>Recette mère ► le Boudin en 4 déclinaisons</v>
      </c>
      <c r="Q350" s="92"/>
      <c r="R350" s="108" t="s">
        <v>13114</v>
      </c>
      <c r="S350" s="94" t="str">
        <f t="shared" si="69"/>
        <v/>
      </c>
      <c r="T350" s="95"/>
      <c r="U350" s="126"/>
      <c r="V350" s="127">
        <v>1</v>
      </c>
      <c r="W350" s="920" t="s">
        <v>13109</v>
      </c>
      <c r="X350" s="1495">
        <f>IF(OR(ISBLANK(Q335),X335=0),0,Q350*V336)</f>
        <v>0</v>
      </c>
      <c r="Y350" s="101" cm="1">
        <f t="array" ref="Y350">IFERROR(_xlfn.LET(_xlpm.k,UPPER(TRIM(U350)),_xlpm.r,_xlfn.XLOOKUP(_xlpm.k,UPPER(TRIM(Q362:Z362)),Q363:Z363,_xlfn.XLOOKUP(_xlpm.k,UPPER(TRIM(Q364:Z364)),Q365:Z365)),_xlpm.r*T350*V350*V336*IF(ISBLANK(Q350),1,Q350)),0)</f>
        <v>0</v>
      </c>
      <c r="Z350" s="1475" t="str">
        <f>_xlfn.LET(_xlpm.unite,SUBSTITUTE(TRIM(U350)," (s)",""),_xlpm.val,Y350,_xlpm.estVol,COUNTIF(T362:Z362,_xlpm.unite)+COUNTIF(T364:Z364,_xlpm.unite)&gt;0,_xlpm.estPoids,COUNTIF(Q362:S362,_xlpm.unite)+COUNTIF(Q364:S364,_xlpm.unite)&gt;0,IF(_xlpm.estVol,IF(ROUND(_xlpm.val,3)&gt;=1,ROUND(_xlpm.val,3)&amp;" L",MAX(1,ROUND(_xlpm.val*100,0))&amp;" cl"),IF(_xlpm.estPoids,IF(ROUND(_xlpm.val,3)&gt;=1,ROUND(_xlpm.val,3)&amp;" Kg",MAX(1,ROUND(_xlpm.val*1000,0))&amp;" g"),"")))</f>
        <v/>
      </c>
      <c r="AA350" s="5086"/>
      <c r="AB350" s="104" t="str">
        <f t="shared" si="73"/>
        <v>A</v>
      </c>
      <c r="AC350" s="32" t="str">
        <f>AC337</f>
        <v>B BAUDRUCHE DE COPAIN | |  Author &gt; Guy KRENZE - Eric GODDYN - Arnaud NICOLAS - CEPROC 2002</v>
      </c>
      <c r="AD350" s="33">
        <f>AD337</f>
        <v>9.0500000000000007</v>
      </c>
      <c r="AE350" s="32" t="str">
        <f>AE337</f>
        <v>Kg</v>
      </c>
      <c r="AF350" s="34" t="str">
        <f>AF337</f>
        <v>Master recipe ► Black pudding in 4 variations</v>
      </c>
      <c r="AG350" s="92"/>
      <c r="AH350" s="108" t="s">
        <v>13114</v>
      </c>
      <c r="AI350" s="94" t="str">
        <f t="shared" si="70"/>
        <v/>
      </c>
      <c r="AJ350" s="95"/>
      <c r="AK350" s="126"/>
      <c r="AL350" s="127">
        <v>1</v>
      </c>
      <c r="AM350" s="920" t="s">
        <v>13269</v>
      </c>
      <c r="AN350" s="1495">
        <f>IF(OR(ISBLANK(AG335),AN335=0),0,AG350*AL336)</f>
        <v>0</v>
      </c>
      <c r="AO350" s="101" cm="1">
        <f t="array" ref="AO350">IFERROR(_xlfn.LET(_xlpm.k,UPPER(TRIM(AK350)),_xlpm.r,_xlfn.XLOOKUP(_xlpm.k,UPPER(TRIM(AG362:AP362)),AG363:AP363,_xlfn.XLOOKUP(_xlpm.k,UPPER(TRIM(AG364:AP364)),AG365:AP365)),_xlpm.r*AJ350*AL350*AL336*IF(ISBLANK(AG350),1,AG350)),0)</f>
        <v>0</v>
      </c>
      <c r="AP350" s="1475" t="str">
        <f>_xlfn.LET(_xlpm.unite,SUBSTITUTE(TRIM(AK350)," (s)",""),_xlpm.val,AO350,_xlpm.estVol,COUNTIF(AJ362:AP362,_xlpm.unite)+COUNTIF(AJ364:AP364,_xlpm.unite)&gt;0,_xlpm.estPoids,COUNTIF(AG362:AI362,_xlpm.unite)+COUNTIF(AG364:AI364,_xlpm.unite)&gt;0,IF(_xlpm.estVol,IF(ROUND(_xlpm.val,3)&gt;=1,ROUND(_xlpm.val,3)&amp;" L",MAX(1,ROUND(_xlpm.val*100,0))&amp;" cl"),IF(_xlpm.estPoids,IF(ROUND(_xlpm.val,3)&gt;=1,ROUND(_xlpm.val,3)&amp;" Kg",MAX(1,ROUND(_xlpm.val*1000,0))&amp;" g"),"")))</f>
        <v/>
      </c>
      <c r="AQ350" s="5086"/>
      <c r="AR350" s="104" t="str">
        <f t="shared" si="74"/>
        <v>A</v>
      </c>
      <c r="AS350" s="32" t="str">
        <f>AS337</f>
        <v>B BAUDRUCHE DE COPAIN | | Autor &gt; Guy KRENZE - Eric GODDYN - Arnaud NICOLAS - CEPROC 2002</v>
      </c>
      <c r="AT350" s="33">
        <f>AT337</f>
        <v>9.0500000000000007</v>
      </c>
      <c r="AU350" s="32" t="str">
        <f>AU337</f>
        <v>Kg</v>
      </c>
      <c r="AV350" s="34" t="str">
        <f>AV337</f>
        <v>Receta madre ► Morcilla en 4 versiones</v>
      </c>
      <c r="AW350" s="92"/>
      <c r="AX350" s="108" t="s">
        <v>13114</v>
      </c>
      <c r="AY350" s="94" t="str">
        <f t="shared" si="71"/>
        <v/>
      </c>
      <c r="AZ350" s="95"/>
      <c r="BA350" s="126"/>
      <c r="BB350" s="127">
        <v>1</v>
      </c>
      <c r="BC350" s="920" t="s">
        <v>13285</v>
      </c>
      <c r="BD350" s="1495">
        <f>IF(OR(ISBLANK(AW335),BD335=0),0,AW350*BB336)</f>
        <v>0</v>
      </c>
      <c r="BE350" s="101" cm="1">
        <f t="array" ref="BE350">IFERROR(_xlfn.LET(_xlpm.k,UPPER(TRIM(BA350)),_xlpm.r,_xlfn.XLOOKUP(_xlpm.k,UPPER(TRIM(AW362:BF362)),AW363:BF363,_xlfn.XLOOKUP(_xlpm.k,UPPER(TRIM(AW364:BF364)),AW365:BF365)),_xlpm.r*AZ350*BB350*BB336*IF(ISBLANK(AW350),1,AW350)),0)</f>
        <v>0</v>
      </c>
      <c r="BF350" s="1475" t="str">
        <f>_xlfn.LET(_xlpm.unite,SUBSTITUTE(TRIM(BA350)," (s)",""),_xlpm.val,BE350,_xlpm.estVol,COUNTIF(AZ362:BF362,_xlpm.unite)+COUNTIF(AZ364:BF364,_xlpm.unite)&gt;0,_xlpm.estPoids,COUNTIF(AW362:AY362,_xlpm.unite)+COUNTIF(AW364:AY364,_xlpm.unite)&gt;0,IF(_xlpm.estVol,IF(ROUND(_xlpm.val,3)&gt;=1,ROUND(_xlpm.val,3)&amp;" L",MAX(1,ROUND(_xlpm.val*100,0))&amp;" cl"),IF(_xlpm.estPoids,IF(ROUND(_xlpm.val,3)&gt;=1,ROUND(_xlpm.val,3)&amp;" Kg",MAX(1,ROUND(_xlpm.val*1000,0))&amp;" g"),"")))</f>
        <v/>
      </c>
      <c r="BG350" s="5086"/>
      <c r="BH350" s="104"/>
      <c r="BI350" s="32"/>
      <c r="BJ350" s="33"/>
      <c r="BK350" s="32"/>
      <c r="BL350" s="34"/>
      <c r="BM350" s="92"/>
      <c r="BN350" s="108"/>
      <c r="BO350" s="94"/>
      <c r="BP350" s="95"/>
      <c r="BQ350" s="105"/>
      <c r="BR350" s="5101"/>
      <c r="BS350" s="920"/>
      <c r="BT350" s="1495"/>
      <c r="BU350" s="101"/>
      <c r="BV350" s="1475"/>
      <c r="BW350" s="5086"/>
      <c r="BX350" s="104"/>
      <c r="BY350" s="32"/>
      <c r="BZ350" s="33"/>
      <c r="CA350" s="32"/>
      <c r="CB350" s="34"/>
      <c r="CC350" s="92"/>
      <c r="CD350" s="108"/>
      <c r="CE350" s="94"/>
      <c r="CF350" s="95"/>
      <c r="CG350" s="105"/>
      <c r="CH350" s="5101"/>
      <c r="CI350" s="920"/>
      <c r="CJ350" s="1495"/>
      <c r="CK350" s="101"/>
      <c r="CL350" s="1475"/>
      <c r="CM350" s="5086"/>
      <c r="CN350" s="104"/>
      <c r="CO350" s="32"/>
      <c r="CP350" s="33"/>
      <c r="CQ350" s="32"/>
      <c r="CR350" s="34"/>
      <c r="CS350" s="92"/>
      <c r="CT350" s="108"/>
      <c r="CU350" s="94"/>
      <c r="CV350" s="95"/>
      <c r="CW350" s="105"/>
      <c r="CX350" s="5101"/>
      <c r="CY350" s="920"/>
      <c r="CZ350" s="1495"/>
      <c r="DA350" s="101"/>
      <c r="DB350" s="1475"/>
      <c r="DC350" s="5109"/>
      <c r="DD350" s="5086"/>
      <c r="DF350" s="3">
        <v>1</v>
      </c>
      <c r="EY350" s="127">
        <v>1</v>
      </c>
      <c r="EZ350" s="920" t="s">
        <v>12883</v>
      </c>
      <c r="FA350" s="1495">
        <f>IF(OR(ISBLANK(ET324),FA324=0),0,ET350*EY325)</f>
        <v>0</v>
      </c>
      <c r="FB350" s="101">
        <f>IFERROR(_xlfn.LET(_xlpm.v,IFERROR(_xlfn.XLOOKUP(EX350,ET361:FC361,ET362:FC362),_xlfn.XLOOKUP(EX350,ET363:FC363,ET364:FC364)),_xlpm.v*EW350*EY350*EY325*IF(ISBLANK(ET350),1,ET350)),0)</f>
        <v>0</v>
      </c>
      <c r="FC350" s="1476" t="str">
        <f>_xlfn.LET(_xlpm.unite,SUBSTITUTE(TRIM(EX350)," (s)",""),_xlpm.val,FB350,_xlpm.estVol,COUNTIF(EW361:FC361,_xlpm.unite)+COUNTIF(EW363:FC363,_xlpm.unite)&gt;0,_xlpm.estPoids,COUNTIF(ET361:EV361,_xlpm.unite)+COUNTIF(ET363:EV363,_xlpm.unite)&gt;0,IF(_xlpm.estVol,IF(ROUND(_xlpm.val,3)&gt;=1,ROUND(_xlpm.val,3)&amp;" L",MAX(1,ROUND(_xlpm.val*100,0))&amp;" cl"),IF(_xlpm.estPoids,IF(ROUND(_xlpm.val,3)&gt;=1,ROUND(_xlpm.val,3)&amp;" Kg",MAX(1,ROUND(_xlpm.val*1000,0))&amp;" g"),"")))</f>
        <v>1 cl</v>
      </c>
    </row>
    <row r="351" spans="2:159" ht="18.75">
      <c r="B351" s="952" t="str">
        <f t="shared" si="75"/>
        <v>A</v>
      </c>
      <c r="C351" s="993" cm="1">
        <f t="array" ref="C351">SUMPRODUCT(LEN(D351:J351))</f>
        <v>0</v>
      </c>
      <c r="D351" s="167"/>
      <c r="E351" s="172"/>
      <c r="F351" s="172"/>
      <c r="G351" s="172"/>
      <c r="H351" s="172"/>
      <c r="I351" s="172"/>
      <c r="J351" s="173"/>
      <c r="K351"/>
      <c r="L351" s="104" t="str">
        <f t="shared" si="72"/>
        <v>A</v>
      </c>
      <c r="M351" s="32" t="str">
        <f>M337</f>
        <v>B BAUDRUCHE DE COPAIN | | Auteur &gt; Guy KRENZE - Eric GODDYN - Arnaud NICOLAS - CEPROC 2002</v>
      </c>
      <c r="N351" s="33">
        <f>N337</f>
        <v>9.0500000000000007</v>
      </c>
      <c r="O351" s="32" t="str">
        <f>O337</f>
        <v>Kg</v>
      </c>
      <c r="P351" s="34" t="str">
        <f>P337</f>
        <v>Recette mère ► le Boudin en 4 déclinaisons</v>
      </c>
      <c r="Q351" s="92"/>
      <c r="R351" s="108"/>
      <c r="S351" s="94" t="str">
        <f t="shared" si="69"/>
        <v/>
      </c>
      <c r="T351" s="95">
        <v>250</v>
      </c>
      <c r="U351" s="105" t="s">
        <v>99</v>
      </c>
      <c r="V351" s="127">
        <v>1</v>
      </c>
      <c r="W351" s="920" t="s">
        <v>13110</v>
      </c>
      <c r="X351" s="1495">
        <f>IF(OR(ISBLANK(Q335),X335=0),0,Q351*V336)</f>
        <v>0</v>
      </c>
      <c r="Y351" s="101" cm="1">
        <f t="array" ref="Y351">IFERROR(_xlfn.LET(_xlpm.k,UPPER(TRIM(U351)),_xlpm.r,_xlfn.XLOOKUP(_xlpm.k,UPPER(TRIM(Q362:Z362)),Q363:Z363,_xlfn.XLOOKUP(_xlpm.k,UPPER(TRIM(Q364:Z364)),Q365:Z365)),_xlpm.r*T351*V351*V336*IF(ISBLANK(Q351),1,Q351)),0)</f>
        <v>0.27624309392265189</v>
      </c>
      <c r="Z351" s="1476" t="str">
        <f>_xlfn.LET(_xlpm.unite,SUBSTITUTE(TRIM(U351)," (s)",""),_xlpm.val,Y351,_xlpm.estVol,COUNTIF(T362:Z362,_xlpm.unite)+COUNTIF(T364:Z364,_xlpm.unite)&gt;0,_xlpm.estPoids,COUNTIF(Q362:S362,_xlpm.unite)+COUNTIF(Q364:S364,_xlpm.unite)&gt;0,IF(_xlpm.estVol,IF(ROUND(_xlpm.val,3)&gt;=1,ROUND(_xlpm.val,3)&amp;" L",MAX(1,ROUND(_xlpm.val*100,0))&amp;" cl"),IF(_xlpm.estPoids,IF(ROUND(_xlpm.val,3)&gt;=1,ROUND(_xlpm.val,3)&amp;" Kg",MAX(1,ROUND(_xlpm.val*1000,0))&amp;" g"),"")))</f>
        <v>276 g</v>
      </c>
      <c r="AA351" s="5086"/>
      <c r="AB351" s="104" t="str">
        <f t="shared" si="73"/>
        <v>A</v>
      </c>
      <c r="AC351" s="32" t="str">
        <f>AC337</f>
        <v>B BAUDRUCHE DE COPAIN | |  Author &gt; Guy KRENZE - Eric GODDYN - Arnaud NICOLAS - CEPROC 2002</v>
      </c>
      <c r="AD351" s="33">
        <f>AD337</f>
        <v>9.0500000000000007</v>
      </c>
      <c r="AE351" s="32" t="str">
        <f>AE337</f>
        <v>Kg</v>
      </c>
      <c r="AF351" s="34" t="str">
        <f>AF337</f>
        <v>Master recipe ► Black pudding in 4 variations</v>
      </c>
      <c r="AG351" s="92"/>
      <c r="AH351" s="108"/>
      <c r="AI351" s="94" t="str">
        <f t="shared" si="70"/>
        <v/>
      </c>
      <c r="AJ351" s="95">
        <v>250</v>
      </c>
      <c r="AK351" s="105" t="s">
        <v>99</v>
      </c>
      <c r="AL351" s="127">
        <v>1</v>
      </c>
      <c r="AM351" s="920" t="s">
        <v>13270</v>
      </c>
      <c r="AN351" s="1495">
        <f>IF(OR(ISBLANK(AG335),AN335=0),0,AG351*AL336)</f>
        <v>0</v>
      </c>
      <c r="AO351" s="101" cm="1">
        <f t="array" ref="AO351">IFERROR(_xlfn.LET(_xlpm.k,UPPER(TRIM(AK351)),_xlpm.r,_xlfn.XLOOKUP(_xlpm.k,UPPER(TRIM(AG362:AP362)),AG363:AP363,_xlfn.XLOOKUP(_xlpm.k,UPPER(TRIM(AG364:AP364)),AG365:AP365)),_xlpm.r*AJ351*AL351*AL336*IF(ISBLANK(AG351),1,AG351)),0)</f>
        <v>0.27624309392265189</v>
      </c>
      <c r="AP351" s="1476" t="str">
        <f>_xlfn.LET(_xlpm.unite,SUBSTITUTE(TRIM(AK351)," (s)",""),_xlpm.val,AO351,_xlpm.estVol,COUNTIF(AJ362:AP362,_xlpm.unite)+COUNTIF(AJ364:AP364,_xlpm.unite)&gt;0,_xlpm.estPoids,COUNTIF(AG362:AI362,_xlpm.unite)+COUNTIF(AG364:AI364,_xlpm.unite)&gt;0,IF(_xlpm.estVol,IF(ROUND(_xlpm.val,3)&gt;=1,ROUND(_xlpm.val,3)&amp;" L",MAX(1,ROUND(_xlpm.val*100,0))&amp;" cl"),IF(_xlpm.estPoids,IF(ROUND(_xlpm.val,3)&gt;=1,ROUND(_xlpm.val,3)&amp;" Kg",MAX(1,ROUND(_xlpm.val*1000,0))&amp;" g"),"")))</f>
        <v>276 g</v>
      </c>
      <c r="AQ351" s="5086"/>
      <c r="AR351" s="104" t="str">
        <f t="shared" si="74"/>
        <v>A</v>
      </c>
      <c r="AS351" s="32" t="str">
        <f>AS337</f>
        <v>B BAUDRUCHE DE COPAIN | | Autor &gt; Guy KRENZE - Eric GODDYN - Arnaud NICOLAS - CEPROC 2002</v>
      </c>
      <c r="AT351" s="33">
        <f>AT337</f>
        <v>9.0500000000000007</v>
      </c>
      <c r="AU351" s="32" t="str">
        <f>AU337</f>
        <v>Kg</v>
      </c>
      <c r="AV351" s="34" t="str">
        <f>AV337</f>
        <v>Receta madre ► Morcilla en 4 versiones</v>
      </c>
      <c r="AW351" s="92"/>
      <c r="AX351" s="108"/>
      <c r="AY351" s="94" t="str">
        <f t="shared" si="71"/>
        <v/>
      </c>
      <c r="AZ351" s="95">
        <v>250</v>
      </c>
      <c r="BA351" s="105" t="s">
        <v>99</v>
      </c>
      <c r="BB351" s="127">
        <v>1</v>
      </c>
      <c r="BC351" s="920" t="s">
        <v>13286</v>
      </c>
      <c r="BD351" s="1495">
        <f>IF(OR(ISBLANK(AW335),BD335=0),0,AW351*BB336)</f>
        <v>0</v>
      </c>
      <c r="BE351" s="101" cm="1">
        <f t="array" ref="BE351">IFERROR(_xlfn.LET(_xlpm.k,UPPER(TRIM(BA351)),_xlpm.r,_xlfn.XLOOKUP(_xlpm.k,UPPER(TRIM(AW362:BF362)),AW363:BF363,_xlfn.XLOOKUP(_xlpm.k,UPPER(TRIM(AW364:BF364)),AW365:BF365)),_xlpm.r*AZ351*BB351*BB336*IF(ISBLANK(AW351),1,AW351)),0)</f>
        <v>0.27624309392265189</v>
      </c>
      <c r="BF351" s="1476" t="str">
        <f>_xlfn.LET(_xlpm.unite,SUBSTITUTE(TRIM(BA351)," (s)",""),_xlpm.val,BE351,_xlpm.estVol,COUNTIF(AZ362:BF362,_xlpm.unite)+COUNTIF(AZ364:BF364,_xlpm.unite)&gt;0,_xlpm.estPoids,COUNTIF(AW362:AY362,_xlpm.unite)+COUNTIF(AW364:AY364,_xlpm.unite)&gt;0,IF(_xlpm.estVol,IF(ROUND(_xlpm.val,3)&gt;=1,ROUND(_xlpm.val,3)&amp;" L",MAX(1,ROUND(_xlpm.val*100,0))&amp;" cl"),IF(_xlpm.estPoids,IF(ROUND(_xlpm.val,3)&gt;=1,ROUND(_xlpm.val,3)&amp;" Kg",MAX(1,ROUND(_xlpm.val*1000,0))&amp;" g"),"")))</f>
        <v>276 g</v>
      </c>
      <c r="BG351" s="5086"/>
      <c r="BH351" s="104"/>
      <c r="BI351" s="32"/>
      <c r="BJ351" s="33"/>
      <c r="BK351" s="32"/>
      <c r="BL351" s="34"/>
      <c r="BM351" s="92"/>
      <c r="BN351" s="108"/>
      <c r="BO351" s="94"/>
      <c r="BP351" s="95"/>
      <c r="BQ351" s="105"/>
      <c r="BR351" s="5101"/>
      <c r="BS351" s="920"/>
      <c r="BT351" s="1495"/>
      <c r="BU351" s="101"/>
      <c r="BV351" s="1475"/>
      <c r="BW351" s="5086"/>
      <c r="BX351" s="104"/>
      <c r="BY351" s="32"/>
      <c r="BZ351" s="33"/>
      <c r="CA351" s="32"/>
      <c r="CB351" s="34"/>
      <c r="CC351" s="92"/>
      <c r="CD351" s="108"/>
      <c r="CE351" s="94"/>
      <c r="CF351" s="95"/>
      <c r="CG351" s="105"/>
      <c r="CH351" s="5101"/>
      <c r="CI351" s="920"/>
      <c r="CJ351" s="1495"/>
      <c r="CK351" s="101"/>
      <c r="CL351" s="1475"/>
      <c r="CM351" s="5086"/>
      <c r="CN351" s="104"/>
      <c r="CO351" s="32"/>
      <c r="CP351" s="33"/>
      <c r="CQ351" s="32"/>
      <c r="CR351" s="34"/>
      <c r="CS351" s="92"/>
      <c r="CT351" s="108"/>
      <c r="CU351" s="94"/>
      <c r="CV351" s="95"/>
      <c r="CW351" s="105"/>
      <c r="CX351" s="5101"/>
      <c r="CY351" s="920"/>
      <c r="CZ351" s="1495"/>
      <c r="DA351" s="101"/>
      <c r="DB351" s="1475"/>
      <c r="DC351" s="5109"/>
      <c r="DD351" s="5086"/>
      <c r="DF351" s="3">
        <v>1</v>
      </c>
      <c r="EY351" s="127">
        <v>1</v>
      </c>
      <c r="EZ351" s="920" t="s">
        <v>12885</v>
      </c>
      <c r="FA351" s="1495">
        <f>IF(OR(ISBLANK(ET324),FA324=0),0,ET351*EY325)</f>
        <v>0</v>
      </c>
      <c r="FB351" s="101">
        <f>IFERROR(_xlfn.LET(_xlpm.v,IFERROR(_xlfn.XLOOKUP(EX351,ET361:FC361,ET362:FC362),_xlfn.XLOOKUP(EX351,ET363:FC363,ET364:FC364)),_xlpm.v*EW351*EY351*EY325*IF(ISBLANK(ET351),1,ET351)),0)</f>
        <v>0</v>
      </c>
      <c r="FC351" s="1475" t="str">
        <f>_xlfn.LET(_xlpm.unite,SUBSTITUTE(TRIM(EX351)," (s)",""),_xlpm.val,FB351,_xlpm.estVol,COUNTIF(EW361:FC361,_xlpm.unite)+COUNTIF(EW363:FC363,_xlpm.unite)&gt;0,_xlpm.estPoids,COUNTIF(ET361:EV361,_xlpm.unite)+COUNTIF(ET363:EV363,_xlpm.unite)&gt;0,IF(_xlpm.estVol,IF(ROUND(_xlpm.val,3)&gt;=1,ROUND(_xlpm.val,3)&amp;" L",MAX(1,ROUND(_xlpm.val*100,0))&amp;" cl"),IF(_xlpm.estPoids,IF(ROUND(_xlpm.val,3)&gt;=1,ROUND(_xlpm.val,3)&amp;" Kg",MAX(1,ROUND(_xlpm.val*1000,0))&amp;" g"),"")))</f>
        <v>1 cl</v>
      </c>
    </row>
    <row r="352" spans="2:159" ht="18.75">
      <c r="B352" s="952" t="str">
        <f t="shared" si="75"/>
        <v>A</v>
      </c>
      <c r="C352" s="993" cm="1">
        <f t="array" ref="C352">SUMPRODUCT(LEN(D352:J352))</f>
        <v>0</v>
      </c>
      <c r="D352" s="167"/>
      <c r="E352" s="172"/>
      <c r="F352" s="172"/>
      <c r="G352" s="172"/>
      <c r="H352" s="172"/>
      <c r="I352" s="172"/>
      <c r="J352" s="173"/>
      <c r="K352"/>
      <c r="L352" s="104" t="str">
        <f t="shared" si="72"/>
        <v>A</v>
      </c>
      <c r="M352" s="32" t="str">
        <f>M337</f>
        <v>B BAUDRUCHE DE COPAIN | | Auteur &gt; Guy KRENZE - Eric GODDYN - Arnaud NICOLAS - CEPROC 2002</v>
      </c>
      <c r="N352" s="33">
        <f>N337</f>
        <v>9.0500000000000007</v>
      </c>
      <c r="O352" s="32" t="str">
        <f>O337</f>
        <v>Kg</v>
      </c>
      <c r="P352" s="34" t="str">
        <f>P337</f>
        <v>Recette mère ► le Boudin en 4 déclinaisons</v>
      </c>
      <c r="Q352" s="92"/>
      <c r="R352" s="108"/>
      <c r="S352" s="94" t="str">
        <f t="shared" si="69"/>
        <v/>
      </c>
      <c r="T352" s="95">
        <v>50</v>
      </c>
      <c r="U352" s="105" t="s">
        <v>99</v>
      </c>
      <c r="V352" s="127">
        <v>1</v>
      </c>
      <c r="W352" s="920" t="s">
        <v>13111</v>
      </c>
      <c r="X352" s="1495">
        <f>IF(OR(ISBLANK(Q335),X335=0),0,Q352*V336)</f>
        <v>0</v>
      </c>
      <c r="Y352" s="101" cm="1">
        <f t="array" ref="Y352">IFERROR(_xlfn.LET(_xlpm.k,UPPER(TRIM(U352)),_xlpm.r,_xlfn.XLOOKUP(_xlpm.k,UPPER(TRIM(Q362:Z362)),Q363:Z363,_xlfn.XLOOKUP(_xlpm.k,UPPER(TRIM(Q364:Z364)),Q365:Z365)),_xlpm.r*T352*V352*V336*IF(ISBLANK(Q352),1,Q352)),0)</f>
        <v>5.5248618784530384E-2</v>
      </c>
      <c r="Z352" s="1475" t="str">
        <f>_xlfn.LET(_xlpm.unite,SUBSTITUTE(TRIM(U352)," (s)",""),_xlpm.val,Y352,_xlpm.estVol,COUNTIF(T362:Z362,_xlpm.unite)+COUNTIF(T364:Z364,_xlpm.unite)&gt;0,_xlpm.estPoids,COUNTIF(Q362:S362,_xlpm.unite)+COUNTIF(Q364:S364,_xlpm.unite)&gt;0,IF(_xlpm.estVol,IF(ROUND(_xlpm.val,3)&gt;=1,ROUND(_xlpm.val,3)&amp;" L",MAX(1,ROUND(_xlpm.val*100,0))&amp;" cl"),IF(_xlpm.estPoids,IF(ROUND(_xlpm.val,3)&gt;=1,ROUND(_xlpm.val,3)&amp;" Kg",MAX(1,ROUND(_xlpm.val*1000,0))&amp;" g"),"")))</f>
        <v>55 g</v>
      </c>
      <c r="AA352" s="5086"/>
      <c r="AB352" s="104" t="str">
        <f t="shared" si="73"/>
        <v>A</v>
      </c>
      <c r="AC352" s="32" t="str">
        <f>AC337</f>
        <v>B BAUDRUCHE DE COPAIN | |  Author &gt; Guy KRENZE - Eric GODDYN - Arnaud NICOLAS - CEPROC 2002</v>
      </c>
      <c r="AD352" s="33">
        <f>AD337</f>
        <v>9.0500000000000007</v>
      </c>
      <c r="AE352" s="32" t="str">
        <f>AE337</f>
        <v>Kg</v>
      </c>
      <c r="AF352" s="34" t="str">
        <f>AF337</f>
        <v>Master recipe ► Black pudding in 4 variations</v>
      </c>
      <c r="AG352" s="92"/>
      <c r="AH352" s="108"/>
      <c r="AI352" s="94" t="str">
        <f t="shared" si="70"/>
        <v/>
      </c>
      <c r="AJ352" s="95">
        <v>50</v>
      </c>
      <c r="AK352" s="105" t="s">
        <v>99</v>
      </c>
      <c r="AL352" s="127">
        <v>1</v>
      </c>
      <c r="AM352" s="920" t="s">
        <v>13271</v>
      </c>
      <c r="AN352" s="1495">
        <f>IF(OR(ISBLANK(AG335),AN335=0),0,AG352*AL336)</f>
        <v>0</v>
      </c>
      <c r="AO352" s="101" cm="1">
        <f t="array" ref="AO352">IFERROR(_xlfn.LET(_xlpm.k,UPPER(TRIM(AK352)),_xlpm.r,_xlfn.XLOOKUP(_xlpm.k,UPPER(TRIM(AG362:AP362)),AG363:AP363,_xlfn.XLOOKUP(_xlpm.k,UPPER(TRIM(AG364:AP364)),AG365:AP365)),_xlpm.r*AJ352*AL352*AL336*IF(ISBLANK(AG352),1,AG352)),0)</f>
        <v>5.5248618784530384E-2</v>
      </c>
      <c r="AP352" s="1475" t="str">
        <f>_xlfn.LET(_xlpm.unite,SUBSTITUTE(TRIM(AK352)," (s)",""),_xlpm.val,AO352,_xlpm.estVol,COUNTIF(AJ362:AP362,_xlpm.unite)+COUNTIF(AJ364:AP364,_xlpm.unite)&gt;0,_xlpm.estPoids,COUNTIF(AG362:AI362,_xlpm.unite)+COUNTIF(AG364:AI364,_xlpm.unite)&gt;0,IF(_xlpm.estVol,IF(ROUND(_xlpm.val,3)&gt;=1,ROUND(_xlpm.val,3)&amp;" L",MAX(1,ROUND(_xlpm.val*100,0))&amp;" cl"),IF(_xlpm.estPoids,IF(ROUND(_xlpm.val,3)&gt;=1,ROUND(_xlpm.val,3)&amp;" Kg",MAX(1,ROUND(_xlpm.val*1000,0))&amp;" g"),"")))</f>
        <v>55 g</v>
      </c>
      <c r="AQ352" s="5086"/>
      <c r="AR352" s="104" t="str">
        <f t="shared" si="74"/>
        <v>A</v>
      </c>
      <c r="AS352" s="32" t="str">
        <f>AS337</f>
        <v>B BAUDRUCHE DE COPAIN | | Autor &gt; Guy KRENZE - Eric GODDYN - Arnaud NICOLAS - CEPROC 2002</v>
      </c>
      <c r="AT352" s="33">
        <f>AT337</f>
        <v>9.0500000000000007</v>
      </c>
      <c r="AU352" s="32" t="str">
        <f>AU337</f>
        <v>Kg</v>
      </c>
      <c r="AV352" s="34" t="str">
        <f>AV337</f>
        <v>Receta madre ► Morcilla en 4 versiones</v>
      </c>
      <c r="AW352" s="92"/>
      <c r="AX352" s="108"/>
      <c r="AY352" s="94" t="str">
        <f t="shared" si="71"/>
        <v/>
      </c>
      <c r="AZ352" s="95">
        <v>50</v>
      </c>
      <c r="BA352" s="105" t="s">
        <v>99</v>
      </c>
      <c r="BB352" s="127">
        <v>1</v>
      </c>
      <c r="BC352" s="920" t="s">
        <v>13287</v>
      </c>
      <c r="BD352" s="1495">
        <f>IF(OR(ISBLANK(AW335),BD335=0),0,AW352*BB336)</f>
        <v>0</v>
      </c>
      <c r="BE352" s="101" cm="1">
        <f t="array" ref="BE352">IFERROR(_xlfn.LET(_xlpm.k,UPPER(TRIM(BA352)),_xlpm.r,_xlfn.XLOOKUP(_xlpm.k,UPPER(TRIM(AW362:BF362)),AW363:BF363,_xlfn.XLOOKUP(_xlpm.k,UPPER(TRIM(AW364:BF364)),AW365:BF365)),_xlpm.r*AZ352*BB352*BB336*IF(ISBLANK(AW352),1,AW352)),0)</f>
        <v>5.5248618784530384E-2</v>
      </c>
      <c r="BF352" s="1475" t="str">
        <f>_xlfn.LET(_xlpm.unite,SUBSTITUTE(TRIM(BA352)," (s)",""),_xlpm.val,BE352,_xlpm.estVol,COUNTIF(AZ362:BF362,_xlpm.unite)+COUNTIF(AZ364:BF364,_xlpm.unite)&gt;0,_xlpm.estPoids,COUNTIF(AW362:AY362,_xlpm.unite)+COUNTIF(AW364:AY364,_xlpm.unite)&gt;0,IF(_xlpm.estVol,IF(ROUND(_xlpm.val,3)&gt;=1,ROUND(_xlpm.val,3)&amp;" L",MAX(1,ROUND(_xlpm.val*100,0))&amp;" cl"),IF(_xlpm.estPoids,IF(ROUND(_xlpm.val,3)&gt;=1,ROUND(_xlpm.val,3)&amp;" Kg",MAX(1,ROUND(_xlpm.val*1000,0))&amp;" g"),"")))</f>
        <v>55 g</v>
      </c>
      <c r="BG352" s="5086"/>
      <c r="BH352" s="104"/>
      <c r="BI352" s="32"/>
      <c r="BJ352" s="33"/>
      <c r="BK352" s="32"/>
      <c r="BL352" s="34"/>
      <c r="BM352" s="92"/>
      <c r="BN352" s="108"/>
      <c r="BO352" s="94"/>
      <c r="BP352" s="95"/>
      <c r="BQ352" s="105"/>
      <c r="BR352" s="5101"/>
      <c r="BS352" s="920"/>
      <c r="BT352" s="1495"/>
      <c r="BU352" s="101"/>
      <c r="BV352" s="1475"/>
      <c r="BW352" s="5086"/>
      <c r="BX352" s="104"/>
      <c r="BY352" s="32"/>
      <c r="BZ352" s="33"/>
      <c r="CA352" s="32"/>
      <c r="CB352" s="34"/>
      <c r="CC352" s="92"/>
      <c r="CD352" s="108"/>
      <c r="CE352" s="94"/>
      <c r="CF352" s="95"/>
      <c r="CG352" s="105"/>
      <c r="CH352" s="5101"/>
      <c r="CI352" s="920"/>
      <c r="CJ352" s="1495"/>
      <c r="CK352" s="101"/>
      <c r="CL352" s="1475"/>
      <c r="CM352" s="5086"/>
      <c r="CN352" s="104"/>
      <c r="CO352" s="32"/>
      <c r="CP352" s="33"/>
      <c r="CQ352" s="32"/>
      <c r="CR352" s="34"/>
      <c r="CS352" s="92"/>
      <c r="CT352" s="108"/>
      <c r="CU352" s="94"/>
      <c r="CV352" s="95"/>
      <c r="CW352" s="105"/>
      <c r="CX352" s="5101"/>
      <c r="CY352" s="920"/>
      <c r="CZ352" s="1495"/>
      <c r="DA352" s="101"/>
      <c r="DB352" s="1475"/>
      <c r="DC352" s="5109"/>
      <c r="DD352" s="5086"/>
      <c r="DF352" s="3">
        <v>1</v>
      </c>
      <c r="EY352" s="127">
        <v>1</v>
      </c>
      <c r="EZ352" s="920"/>
      <c r="FA352" s="1495">
        <f>IF(OR(ISBLANK(ET324),FA324=0),0,ET352*EY325)</f>
        <v>0</v>
      </c>
      <c r="FB352" s="101">
        <f>IFERROR(_xlfn.LET(_xlpm.v,IFERROR(_xlfn.XLOOKUP(EX352,ET361:FC361,ET362:FC362),_xlfn.XLOOKUP(EX352,ET363:FC363,ET364:FC364)),_xlpm.v*EW352*EY352*EY325*IF(ISBLANK(ET352),1,ET352)),0)</f>
        <v>0</v>
      </c>
      <c r="FC352" s="1476" t="str">
        <f>_xlfn.LET(_xlpm.unite,SUBSTITUTE(TRIM(EX352)," (s)",""),_xlpm.val,FB352,_xlpm.estVol,COUNTIF(EW361:FC361,_xlpm.unite)+COUNTIF(EW363:FC363,_xlpm.unite)&gt;0,_xlpm.estPoids,COUNTIF(ET361:EV361,_xlpm.unite)+COUNTIF(ET363:EV363,_xlpm.unite)&gt;0,IF(_xlpm.estVol,IF(ROUND(_xlpm.val,3)&gt;=1,ROUND(_xlpm.val,3)&amp;" L",MAX(1,ROUND(_xlpm.val*100,0))&amp;" cl"),IF(_xlpm.estPoids,IF(ROUND(_xlpm.val,3)&gt;=1,ROUND(_xlpm.val,3)&amp;" Kg",MAX(1,ROUND(_xlpm.val*1000,0))&amp;" g"),"")))</f>
        <v>1 cl</v>
      </c>
    </row>
    <row r="353" spans="2:159" ht="18.75">
      <c r="B353" s="952" t="str">
        <f t="shared" si="75"/>
        <v>A</v>
      </c>
      <c r="C353" s="993" cm="1">
        <f t="array" ref="C353">SUMPRODUCT(LEN(D353:J353))</f>
        <v>0</v>
      </c>
      <c r="D353" s="167"/>
      <c r="E353" s="172"/>
      <c r="F353" s="172"/>
      <c r="G353" s="172"/>
      <c r="H353" s="172"/>
      <c r="I353" s="172"/>
      <c r="J353" s="173"/>
      <c r="K353"/>
      <c r="L353" s="104" t="str">
        <f t="shared" si="72"/>
        <v>A</v>
      </c>
      <c r="M353" s="32" t="str">
        <f>M337</f>
        <v>B BAUDRUCHE DE COPAIN | | Auteur &gt; Guy KRENZE - Eric GODDYN - Arnaud NICOLAS - CEPROC 2002</v>
      </c>
      <c r="N353" s="33">
        <f>N337</f>
        <v>9.0500000000000007</v>
      </c>
      <c r="O353" s="32" t="str">
        <f>O337</f>
        <v>Kg</v>
      </c>
      <c r="P353" s="34" t="str">
        <f>P337</f>
        <v>Recette mère ► le Boudin en 4 déclinaisons</v>
      </c>
      <c r="Q353" s="92"/>
      <c r="R353" s="108"/>
      <c r="S353" s="94" t="str">
        <f t="shared" si="69"/>
        <v/>
      </c>
      <c r="T353" s="95">
        <v>100</v>
      </c>
      <c r="U353" s="105" t="s">
        <v>99</v>
      </c>
      <c r="V353" s="127">
        <v>1</v>
      </c>
      <c r="W353" s="920" t="s">
        <v>13112</v>
      </c>
      <c r="X353" s="1495">
        <f>IF(OR(ISBLANK(Q335),X335=0),0,Q353*V336)</f>
        <v>0</v>
      </c>
      <c r="Y353" s="101" cm="1">
        <f t="array" ref="Y353">IFERROR(_xlfn.LET(_xlpm.k,UPPER(TRIM(U353)),_xlpm.r,_xlfn.XLOOKUP(_xlpm.k,UPPER(TRIM(Q362:Z362)),Q363:Z363,_xlfn.XLOOKUP(_xlpm.k,UPPER(TRIM(Q364:Z364)),Q365:Z365)),_xlpm.r*T353*V353*V336*IF(ISBLANK(Q353),1,Q353)),0)</f>
        <v>0.11049723756906077</v>
      </c>
      <c r="Z353" s="1476" t="str">
        <f>_xlfn.LET(_xlpm.unite,SUBSTITUTE(TRIM(U353)," (s)",""),_xlpm.val,Y353,_xlpm.estVol,COUNTIF(T362:Z362,_xlpm.unite)+COUNTIF(T364:Z364,_xlpm.unite)&gt;0,_xlpm.estPoids,COUNTIF(Q362:S362,_xlpm.unite)+COUNTIF(Q364:S364,_xlpm.unite)&gt;0,IF(_xlpm.estVol,IF(ROUND(_xlpm.val,3)&gt;=1,ROUND(_xlpm.val,3)&amp;" L",MAX(1,ROUND(_xlpm.val*100,0))&amp;" cl"),IF(_xlpm.estPoids,IF(ROUND(_xlpm.val,3)&gt;=1,ROUND(_xlpm.val,3)&amp;" Kg",MAX(1,ROUND(_xlpm.val*1000,0))&amp;" g"),"")))</f>
        <v>110 g</v>
      </c>
      <c r="AA353" s="5086"/>
      <c r="AB353" s="104" t="str">
        <f t="shared" si="73"/>
        <v>A</v>
      </c>
      <c r="AC353" s="32" t="str">
        <f>AC337</f>
        <v>B BAUDRUCHE DE COPAIN | |  Author &gt; Guy KRENZE - Eric GODDYN - Arnaud NICOLAS - CEPROC 2002</v>
      </c>
      <c r="AD353" s="33">
        <f>AD337</f>
        <v>9.0500000000000007</v>
      </c>
      <c r="AE353" s="32" t="str">
        <f>AE337</f>
        <v>Kg</v>
      </c>
      <c r="AF353" s="34" t="str">
        <f>AF337</f>
        <v>Master recipe ► Black pudding in 4 variations</v>
      </c>
      <c r="AG353" s="92"/>
      <c r="AH353" s="108"/>
      <c r="AI353" s="94" t="str">
        <f t="shared" si="70"/>
        <v/>
      </c>
      <c r="AJ353" s="95">
        <v>100</v>
      </c>
      <c r="AK353" s="105" t="s">
        <v>99</v>
      </c>
      <c r="AL353" s="127">
        <v>1</v>
      </c>
      <c r="AM353" s="920" t="s">
        <v>13272</v>
      </c>
      <c r="AN353" s="1495">
        <f>IF(OR(ISBLANK(AG335),AN335=0),0,AG353*AL336)</f>
        <v>0</v>
      </c>
      <c r="AO353" s="101" cm="1">
        <f t="array" ref="AO353">IFERROR(_xlfn.LET(_xlpm.k,UPPER(TRIM(AK353)),_xlpm.r,_xlfn.XLOOKUP(_xlpm.k,UPPER(TRIM(AG362:AP362)),AG363:AP363,_xlfn.XLOOKUP(_xlpm.k,UPPER(TRIM(AG364:AP364)),AG365:AP365)),_xlpm.r*AJ353*AL353*AL336*IF(ISBLANK(AG353),1,AG353)),0)</f>
        <v>0.11049723756906077</v>
      </c>
      <c r="AP353" s="1476" t="str">
        <f>_xlfn.LET(_xlpm.unite,SUBSTITUTE(TRIM(AK353)," (s)",""),_xlpm.val,AO353,_xlpm.estVol,COUNTIF(AJ362:AP362,_xlpm.unite)+COUNTIF(AJ364:AP364,_xlpm.unite)&gt;0,_xlpm.estPoids,COUNTIF(AG362:AI362,_xlpm.unite)+COUNTIF(AG364:AI364,_xlpm.unite)&gt;0,IF(_xlpm.estVol,IF(ROUND(_xlpm.val,3)&gt;=1,ROUND(_xlpm.val,3)&amp;" L",MAX(1,ROUND(_xlpm.val*100,0))&amp;" cl"),IF(_xlpm.estPoids,IF(ROUND(_xlpm.val,3)&gt;=1,ROUND(_xlpm.val,3)&amp;" Kg",MAX(1,ROUND(_xlpm.val*1000,0))&amp;" g"),"")))</f>
        <v>110 g</v>
      </c>
      <c r="AQ353" s="5086"/>
      <c r="AR353" s="104" t="str">
        <f t="shared" si="74"/>
        <v>A</v>
      </c>
      <c r="AS353" s="32" t="str">
        <f>AS337</f>
        <v>B BAUDRUCHE DE COPAIN | | Autor &gt; Guy KRENZE - Eric GODDYN - Arnaud NICOLAS - CEPROC 2002</v>
      </c>
      <c r="AT353" s="33">
        <f>AT337</f>
        <v>9.0500000000000007</v>
      </c>
      <c r="AU353" s="32" t="str">
        <f>AU337</f>
        <v>Kg</v>
      </c>
      <c r="AV353" s="34" t="str">
        <f>AV337</f>
        <v>Receta madre ► Morcilla en 4 versiones</v>
      </c>
      <c r="AW353" s="92"/>
      <c r="AX353" s="108"/>
      <c r="AY353" s="94" t="str">
        <f t="shared" si="71"/>
        <v/>
      </c>
      <c r="AZ353" s="95">
        <v>100</v>
      </c>
      <c r="BA353" s="105" t="s">
        <v>99</v>
      </c>
      <c r="BB353" s="127">
        <v>1</v>
      </c>
      <c r="BC353" s="920" t="s">
        <v>13288</v>
      </c>
      <c r="BD353" s="1495">
        <f>IF(OR(ISBLANK(AW335),BD335=0),0,AW353*BB336)</f>
        <v>0</v>
      </c>
      <c r="BE353" s="101" cm="1">
        <f t="array" ref="BE353">IFERROR(_xlfn.LET(_xlpm.k,UPPER(TRIM(BA353)),_xlpm.r,_xlfn.XLOOKUP(_xlpm.k,UPPER(TRIM(AW362:BF362)),AW363:BF363,_xlfn.XLOOKUP(_xlpm.k,UPPER(TRIM(AW364:BF364)),AW365:BF365)),_xlpm.r*AZ353*BB353*BB336*IF(ISBLANK(AW353),1,AW353)),0)</f>
        <v>0.11049723756906077</v>
      </c>
      <c r="BF353" s="1476" t="str">
        <f>_xlfn.LET(_xlpm.unite,SUBSTITUTE(TRIM(BA353)," (s)",""),_xlpm.val,BE353,_xlpm.estVol,COUNTIF(AZ362:BF362,_xlpm.unite)+COUNTIF(AZ364:BF364,_xlpm.unite)&gt;0,_xlpm.estPoids,COUNTIF(AW362:AY362,_xlpm.unite)+COUNTIF(AW364:AY364,_xlpm.unite)&gt;0,IF(_xlpm.estVol,IF(ROUND(_xlpm.val,3)&gt;=1,ROUND(_xlpm.val,3)&amp;" L",MAX(1,ROUND(_xlpm.val*100,0))&amp;" cl"),IF(_xlpm.estPoids,IF(ROUND(_xlpm.val,3)&gt;=1,ROUND(_xlpm.val,3)&amp;" Kg",MAX(1,ROUND(_xlpm.val*1000,0))&amp;" g"),"")))</f>
        <v>110 g</v>
      </c>
      <c r="BG353" s="5086"/>
      <c r="BH353" s="104"/>
      <c r="BI353" s="32"/>
      <c r="BJ353" s="33"/>
      <c r="BK353" s="32"/>
      <c r="BL353" s="34"/>
      <c r="BM353" s="92"/>
      <c r="BN353" s="108"/>
      <c r="BO353" s="94"/>
      <c r="BP353" s="95"/>
      <c r="BQ353" s="105"/>
      <c r="BR353" s="5101"/>
      <c r="BS353" s="920"/>
      <c r="BT353" s="1495"/>
      <c r="BU353" s="101"/>
      <c r="BV353" s="1475"/>
      <c r="BW353" s="5086"/>
      <c r="BX353" s="104"/>
      <c r="BY353" s="32"/>
      <c r="BZ353" s="33"/>
      <c r="CA353" s="32"/>
      <c r="CB353" s="34"/>
      <c r="CC353" s="92"/>
      <c r="CD353" s="108"/>
      <c r="CE353" s="94"/>
      <c r="CF353" s="95"/>
      <c r="CG353" s="105"/>
      <c r="CH353" s="5101"/>
      <c r="CI353" s="920"/>
      <c r="CJ353" s="1495"/>
      <c r="CK353" s="101"/>
      <c r="CL353" s="1475"/>
      <c r="CM353" s="5086"/>
      <c r="CN353" s="104"/>
      <c r="CO353" s="32"/>
      <c r="CP353" s="33"/>
      <c r="CQ353" s="32"/>
      <c r="CR353" s="34"/>
      <c r="CS353" s="92"/>
      <c r="CT353" s="108"/>
      <c r="CU353" s="94"/>
      <c r="CV353" s="95"/>
      <c r="CW353" s="105"/>
      <c r="CX353" s="5101"/>
      <c r="CY353" s="920"/>
      <c r="CZ353" s="1495"/>
      <c r="DA353" s="101"/>
      <c r="DB353" s="1475"/>
      <c r="DC353" s="5109"/>
      <c r="DD353" s="5086"/>
      <c r="DF353" s="3">
        <v>1</v>
      </c>
      <c r="EY353" s="127">
        <v>1</v>
      </c>
      <c r="EZ353" s="920" t="s">
        <v>12888</v>
      </c>
      <c r="FA353" s="1495">
        <f>IF(OR(ISBLANK(ET324),FA324=0),0,ET353*EY325)</f>
        <v>0</v>
      </c>
      <c r="FB353" s="101">
        <f>IFERROR(_xlfn.LET(_xlpm.v,IFERROR(_xlfn.XLOOKUP(EX353,ET361:FC361,ET362:FC362),_xlfn.XLOOKUP(EX353,ET363:FC363,ET364:FC364)),_xlpm.v*EW353*EY353*EY325*IF(ISBLANK(ET353),1,ET353)),0)</f>
        <v>0</v>
      </c>
      <c r="FC353" s="1475" t="str">
        <f>_xlfn.LET(_xlpm.unite,SUBSTITUTE(TRIM(EX353)," (s)",""),_xlpm.val,FB353,_xlpm.estVol,COUNTIF(EW361:FC361,_xlpm.unite)+COUNTIF(EW363:FC363,_xlpm.unite)&gt;0,_xlpm.estPoids,COUNTIF(ET361:EV361,_xlpm.unite)+COUNTIF(ET363:EV363,_xlpm.unite)&gt;0,IF(_xlpm.estVol,IF(ROUND(_xlpm.val,3)&gt;=1,ROUND(_xlpm.val,3)&amp;" L",MAX(1,ROUND(_xlpm.val*100,0))&amp;" cl"),IF(_xlpm.estPoids,IF(ROUND(_xlpm.val,3)&gt;=1,ROUND(_xlpm.val,3)&amp;" Kg",MAX(1,ROUND(_xlpm.val*1000,0))&amp;" g"),"")))</f>
        <v>1 cl</v>
      </c>
    </row>
    <row r="354" spans="2:159" ht="15.75" customHeight="1">
      <c r="B354" s="952" t="str">
        <f t="shared" si="75"/>
        <v>A</v>
      </c>
      <c r="C354" s="993" cm="1">
        <f t="array" ref="C354">SUMPRODUCT(LEN(D354:J354))</f>
        <v>0</v>
      </c>
      <c r="D354" s="167"/>
      <c r="E354" s="172"/>
      <c r="F354" s="172"/>
      <c r="G354" s="172"/>
      <c r="H354" s="172"/>
      <c r="I354" s="172"/>
      <c r="J354" s="173"/>
      <c r="K354"/>
      <c r="L354" s="104" t="str">
        <f t="shared" si="72"/>
        <v>A</v>
      </c>
      <c r="M354" s="32" t="str">
        <f>M337</f>
        <v>B BAUDRUCHE DE COPAIN | | Auteur &gt; Guy KRENZE - Eric GODDYN - Arnaud NICOLAS - CEPROC 2002</v>
      </c>
      <c r="N354" s="33">
        <f>N337</f>
        <v>9.0500000000000007</v>
      </c>
      <c r="O354" s="32" t="str">
        <f>O337</f>
        <v>Kg</v>
      </c>
      <c r="P354" s="34" t="str">
        <f>P337</f>
        <v>Recette mère ► le Boudin en 4 déclinaisons</v>
      </c>
      <c r="Q354" s="92"/>
      <c r="R354" s="108"/>
      <c r="S354" s="94" t="str">
        <f t="shared" si="69"/>
        <v/>
      </c>
      <c r="T354" s="95"/>
      <c r="U354" s="126"/>
      <c r="V354" s="127">
        <v>1</v>
      </c>
      <c r="W354" s="5168" t="str">
        <f>"Poids sans les têtes "&amp;TEXT(ROUND(SUM(Y341:Y346,Y348:Y353),2),IF(TEXT(1,"0,00")="1,00", "# ##0,00", "#,##0.00")) &amp; "Kg"</f>
        <v>Poids sans les têtes ,6.69Kg</v>
      </c>
      <c r="X354" s="1495">
        <f>IF(OR(ISBLANK(Q335),X335=0),0,Q354*V336)</f>
        <v>0</v>
      </c>
      <c r="Y354" s="101" cm="1">
        <f t="array" ref="Y354">IFERROR(_xlfn.LET(_xlpm.k,UPPER(TRIM(U354)),_xlpm.r,_xlfn.XLOOKUP(_xlpm.k,UPPER(TRIM(Q362:Z362)),Q363:Z363,_xlfn.XLOOKUP(_xlpm.k,UPPER(TRIM(Q364:Z364)),Q365:Z365)),_xlpm.r*T354*V354*V336*IF(ISBLANK(Q354),1,Q354)),0)</f>
        <v>0</v>
      </c>
      <c r="Z354" s="1475" t="str">
        <f>_xlfn.LET(_xlpm.unite,SUBSTITUTE(TRIM(U354)," (s)",""),_xlpm.val,Y354,_xlpm.estVol,COUNTIF(T362:Z362,_xlpm.unite)+COUNTIF(T364:Z364,_xlpm.unite)&gt;0,_xlpm.estPoids,COUNTIF(Q362:S362,_xlpm.unite)+COUNTIF(Q364:S364,_xlpm.unite)&gt;0,IF(_xlpm.estVol,IF(ROUND(_xlpm.val,3)&gt;=1,ROUND(_xlpm.val,3)&amp;" L",MAX(1,ROUND(_xlpm.val*100,0))&amp;" cl"),IF(_xlpm.estPoids,IF(ROUND(_xlpm.val,3)&gt;=1,ROUND(_xlpm.val,3)&amp;" Kg",MAX(1,ROUND(_xlpm.val*1000,0))&amp;" g"),"")))</f>
        <v/>
      </c>
      <c r="AA354" s="5086"/>
      <c r="AB354" s="104" t="str">
        <f t="shared" si="73"/>
        <v>A</v>
      </c>
      <c r="AC354" s="32" t="str">
        <f>AC337</f>
        <v>B BAUDRUCHE DE COPAIN | |  Author &gt; Guy KRENZE - Eric GODDYN - Arnaud NICOLAS - CEPROC 2002</v>
      </c>
      <c r="AD354" s="33">
        <f>AD337</f>
        <v>9.0500000000000007</v>
      </c>
      <c r="AE354" s="32" t="str">
        <f>AE337</f>
        <v>Kg</v>
      </c>
      <c r="AF354" s="34" t="str">
        <f>AF337</f>
        <v>Master recipe ► Black pudding in 4 variations</v>
      </c>
      <c r="AG354" s="92"/>
      <c r="AH354" s="108"/>
      <c r="AI354" s="94" t="str">
        <f t="shared" si="70"/>
        <v/>
      </c>
      <c r="AJ354" s="95"/>
      <c r="AK354" s="126"/>
      <c r="AL354" s="127">
        <v>1</v>
      </c>
      <c r="AM354" s="5168" t="str">
        <f>"Weight without the heads "&amp;TEXT(ROUND(SUM(AO341:AO346,AO348:AO353),2),IF(TEXT(1,"0,00")="1,00", "# ##0,00", "#,##0.00")) &amp; "Kg"</f>
        <v>Weight without the heads ,6.69Kg</v>
      </c>
      <c r="AN354" s="1495">
        <f>IF(OR(ISBLANK(AG335),AN335=0),0,AG354*AL336)</f>
        <v>0</v>
      </c>
      <c r="AO354" s="101" cm="1">
        <f t="array" ref="AO354">IFERROR(_xlfn.LET(_xlpm.k,UPPER(TRIM(AK354)),_xlpm.r,_xlfn.XLOOKUP(_xlpm.k,UPPER(TRIM(AG362:AP362)),AG363:AP363,_xlfn.XLOOKUP(_xlpm.k,UPPER(TRIM(AG364:AP364)),AG365:AP365)),_xlpm.r*AJ354*AL354*AL336*IF(ISBLANK(AG354),1,AG354)),0)</f>
        <v>0</v>
      </c>
      <c r="AP354" s="1475" t="str">
        <f>_xlfn.LET(_xlpm.unite,SUBSTITUTE(TRIM(AK354)," (s)",""),_xlpm.val,AO354,_xlpm.estVol,COUNTIF(AJ362:AP362,_xlpm.unite)+COUNTIF(AJ364:AP364,_xlpm.unite)&gt;0,_xlpm.estPoids,COUNTIF(AG362:AI362,_xlpm.unite)+COUNTIF(AG364:AI364,_xlpm.unite)&gt;0,IF(_xlpm.estVol,IF(ROUND(_xlpm.val,3)&gt;=1,ROUND(_xlpm.val,3)&amp;" L",MAX(1,ROUND(_xlpm.val*100,0))&amp;" cl"),IF(_xlpm.estPoids,IF(ROUND(_xlpm.val,3)&gt;=1,ROUND(_xlpm.val,3)&amp;" Kg",MAX(1,ROUND(_xlpm.val*1000,0))&amp;" g"),"")))</f>
        <v/>
      </c>
      <c r="AQ354" s="5086"/>
      <c r="AR354" s="104" t="str">
        <f t="shared" si="74"/>
        <v>A</v>
      </c>
      <c r="AS354" s="32" t="str">
        <f>AS337</f>
        <v>B BAUDRUCHE DE COPAIN | | Autor &gt; Guy KRENZE - Eric GODDYN - Arnaud NICOLAS - CEPROC 2002</v>
      </c>
      <c r="AT354" s="33">
        <f>AT337</f>
        <v>9.0500000000000007</v>
      </c>
      <c r="AU354" s="32" t="str">
        <f>AU337</f>
        <v>Kg</v>
      </c>
      <c r="AV354" s="34" t="str">
        <f>AV337</f>
        <v>Receta madre ► Morcilla en 4 versiones</v>
      </c>
      <c r="AW354" s="92"/>
      <c r="AX354" s="108"/>
      <c r="AY354" s="94" t="str">
        <f t="shared" si="71"/>
        <v/>
      </c>
      <c r="AZ354" s="95"/>
      <c r="BA354" s="126"/>
      <c r="BB354" s="127">
        <v>1</v>
      </c>
      <c r="BC354" s="5168" t="str">
        <f>"Peso sin las cabezas "&amp;TEXT(ROUND(SUM(BE341:BE346,BE348:BE353),2),IF(TEXT(1,"0,00")="1,00", "# ##0,00", "#,##0.00")) &amp; "Kg"</f>
        <v>Peso sin las cabezas ,6.69Kg</v>
      </c>
      <c r="BD354" s="1495">
        <f>IF(OR(ISBLANK(AW335),BD335=0),0,AW354*BB336)</f>
        <v>0</v>
      </c>
      <c r="BE354" s="101" cm="1">
        <f t="array" ref="BE354">IFERROR(_xlfn.LET(_xlpm.k,UPPER(TRIM(BA354)),_xlpm.r,_xlfn.XLOOKUP(_xlpm.k,UPPER(TRIM(AW362:BF362)),AW363:BF363,_xlfn.XLOOKUP(_xlpm.k,UPPER(TRIM(AW364:BF364)),AW365:BF365)),_xlpm.r*AZ354*BB354*BB336*IF(ISBLANK(AW354),1,AW354)),0)</f>
        <v>0</v>
      </c>
      <c r="BF354" s="1475" t="str">
        <f>_xlfn.LET(_xlpm.unite,SUBSTITUTE(TRIM(BA354)," (s)",""),_xlpm.val,BE354,_xlpm.estVol,COUNTIF(AZ362:BF362,_xlpm.unite)+COUNTIF(AZ364:BF364,_xlpm.unite)&gt;0,_xlpm.estPoids,COUNTIF(AW362:AY362,_xlpm.unite)+COUNTIF(AW364:AY364,_xlpm.unite)&gt;0,IF(_xlpm.estVol,IF(ROUND(_xlpm.val,3)&gt;=1,ROUND(_xlpm.val,3)&amp;" L",MAX(1,ROUND(_xlpm.val*100,0))&amp;" cl"),IF(_xlpm.estPoids,IF(ROUND(_xlpm.val,3)&gt;=1,ROUND(_xlpm.val,3)&amp;" Kg",MAX(1,ROUND(_xlpm.val*1000,0))&amp;" g"),"")))</f>
        <v/>
      </c>
      <c r="BG354" s="5086"/>
      <c r="BH354" s="104"/>
      <c r="BI354" s="32"/>
      <c r="BJ354" s="33"/>
      <c r="BK354" s="32"/>
      <c r="BL354" s="34"/>
      <c r="BM354" s="92"/>
      <c r="BN354" s="108"/>
      <c r="BO354" s="94"/>
      <c r="BP354" s="95"/>
      <c r="BQ354" s="105"/>
      <c r="BR354" s="5101"/>
      <c r="BS354" s="920"/>
      <c r="BT354" s="1495"/>
      <c r="BU354" s="101"/>
      <c r="BV354" s="1475"/>
      <c r="BW354" s="5086"/>
      <c r="BX354" s="104"/>
      <c r="BY354" s="32"/>
      <c r="BZ354" s="33"/>
      <c r="CA354" s="32"/>
      <c r="CB354" s="34"/>
      <c r="CC354" s="92"/>
      <c r="CD354" s="108"/>
      <c r="CE354" s="94"/>
      <c r="CF354" s="95"/>
      <c r="CG354" s="105"/>
      <c r="CH354" s="5101"/>
      <c r="CI354" s="920"/>
      <c r="CJ354" s="1495"/>
      <c r="CK354" s="101"/>
      <c r="CL354" s="1475"/>
      <c r="CM354" s="5086"/>
      <c r="CN354" s="104"/>
      <c r="CO354" s="32"/>
      <c r="CP354" s="33"/>
      <c r="CQ354" s="32"/>
      <c r="CR354" s="34"/>
      <c r="CS354" s="92"/>
      <c r="CT354" s="108"/>
      <c r="CU354" s="94"/>
      <c r="CV354" s="95"/>
      <c r="CW354" s="105"/>
      <c r="CX354" s="5101"/>
      <c r="CY354" s="920"/>
      <c r="CZ354" s="1495"/>
      <c r="DA354" s="101"/>
      <c r="DB354" s="1475"/>
      <c r="DC354" s="5109"/>
      <c r="DD354" s="5086"/>
      <c r="DF354" s="3">
        <v>1</v>
      </c>
      <c r="EY354" s="127">
        <v>1</v>
      </c>
      <c r="EZ354" s="920" t="s">
        <v>12831</v>
      </c>
      <c r="FA354" s="1495">
        <f>IF(OR(ISBLANK(ET324),FA324=0),0,ET354*EY325)</f>
        <v>0</v>
      </c>
      <c r="FB354" s="101">
        <f>IFERROR(_xlfn.LET(_xlpm.v,IFERROR(_xlfn.XLOOKUP(EX354,ET361:FC361,ET362:FC362),_xlfn.XLOOKUP(EX354,ET363:FC363,ET364:FC364)),_xlpm.v*EW354*EY354*EY325*IF(ISBLANK(ET354),1,ET354)),0)</f>
        <v>0</v>
      </c>
      <c r="FC354" s="1476" t="str">
        <f>_xlfn.LET(_xlpm.unite,SUBSTITUTE(TRIM(EX354)," (s)",""),_xlpm.val,FB354,_xlpm.estVol,COUNTIF(EW361:FC361,_xlpm.unite)+COUNTIF(EW363:FC363,_xlpm.unite)&gt;0,_xlpm.estPoids,COUNTIF(ET361:EV361,_xlpm.unite)+COUNTIF(ET363:EV363,_xlpm.unite)&gt;0,IF(_xlpm.estVol,IF(ROUND(_xlpm.val,3)&gt;=1,ROUND(_xlpm.val,3)&amp;" L",MAX(1,ROUND(_xlpm.val*100,0))&amp;" cl"),IF(_xlpm.estPoids,IF(ROUND(_xlpm.val,3)&gt;=1,ROUND(_xlpm.val,3)&amp;" Kg",MAX(1,ROUND(_xlpm.val*1000,0))&amp;" g"),"")))</f>
        <v>1 cl</v>
      </c>
    </row>
    <row r="355" spans="2:159" ht="18.75">
      <c r="B355" s="952" t="str">
        <f t="shared" si="75"/>
        <v>A</v>
      </c>
      <c r="C355" s="993" cm="1">
        <f t="array" ref="C355">SUMPRODUCT(LEN(D355:J355))</f>
        <v>0</v>
      </c>
      <c r="D355" s="167"/>
      <c r="E355" s="172"/>
      <c r="F355" s="172"/>
      <c r="G355" s="172"/>
      <c r="H355" s="172"/>
      <c r="I355" s="172"/>
      <c r="J355" s="173"/>
      <c r="K355"/>
      <c r="L355" s="104" t="str">
        <f t="shared" si="72"/>
        <v>A</v>
      </c>
      <c r="M355" s="32" t="str">
        <f>M337</f>
        <v>B BAUDRUCHE DE COPAIN | | Auteur &gt; Guy KRENZE - Eric GODDYN - Arnaud NICOLAS - CEPROC 2002</v>
      </c>
      <c r="N355" s="33">
        <f>N337</f>
        <v>9.0500000000000007</v>
      </c>
      <c r="O355" s="32" t="str">
        <f>O337</f>
        <v>Kg</v>
      </c>
      <c r="P355" s="34" t="str">
        <f>P337</f>
        <v>Recette mère ► le Boudin en 4 déclinaisons</v>
      </c>
      <c r="Q355" s="92"/>
      <c r="R355" s="108"/>
      <c r="S355" s="94" t="str">
        <f t="shared" si="69"/>
        <v/>
      </c>
      <c r="T355" s="95"/>
      <c r="U355" s="126"/>
      <c r="V355" s="127">
        <v>1</v>
      </c>
      <c r="W355" s="5169" t="s">
        <v>13116</v>
      </c>
      <c r="X355" s="5167">
        <f>IF(OR(ISBLANK(Q335),X335=0),0,Q355*V336)</f>
        <v>0</v>
      </c>
      <c r="Y355" s="101" cm="1">
        <f t="array" ref="Y355">IFERROR(_xlfn.LET(_xlpm.k,UPPER(TRIM(U355)),_xlpm.r,_xlfn.XLOOKUP(_xlpm.k,UPPER(TRIM(Q362:Z362)),Q363:Z363,_xlfn.XLOOKUP(_xlpm.k,UPPER(TRIM(Q364:Z364)),Q365:Z365)),_xlpm.r*T355*V355*V336*IF(ISBLANK(Q355),1,Q355)),0)</f>
        <v>0</v>
      </c>
      <c r="Z355" s="1476" t="str">
        <f>_xlfn.LET(_xlpm.unite,SUBSTITUTE(TRIM(U355)," (s)",""),_xlpm.val,Y355,_xlpm.estVol,COUNTIF(T362:Z362,_xlpm.unite)+COUNTIF(T364:Z364,_xlpm.unite)&gt;0,_xlpm.estPoids,COUNTIF(Q362:S362,_xlpm.unite)+COUNTIF(Q364:S364,_xlpm.unite)&gt;0,IF(_xlpm.estVol,IF(ROUND(_xlpm.val,3)&gt;=1,ROUND(_xlpm.val,3)&amp;" L",MAX(1,ROUND(_xlpm.val*100,0))&amp;" cl"),IF(_xlpm.estPoids,IF(ROUND(_xlpm.val,3)&gt;=1,ROUND(_xlpm.val,3)&amp;" Kg",MAX(1,ROUND(_xlpm.val*1000,0))&amp;" g"),"")))</f>
        <v/>
      </c>
      <c r="AA355" s="5086"/>
      <c r="AB355" s="104" t="str">
        <f t="shared" si="73"/>
        <v>A</v>
      </c>
      <c r="AC355" s="32" t="str">
        <f>AC337</f>
        <v>B BAUDRUCHE DE COPAIN | |  Author &gt; Guy KRENZE - Eric GODDYN - Arnaud NICOLAS - CEPROC 2002</v>
      </c>
      <c r="AD355" s="33">
        <f>AD337</f>
        <v>9.0500000000000007</v>
      </c>
      <c r="AE355" s="32" t="str">
        <f>AE337</f>
        <v>Kg</v>
      </c>
      <c r="AF355" s="34" t="str">
        <f>AF337</f>
        <v>Master recipe ► Black pudding in 4 variations</v>
      </c>
      <c r="AG355" s="92"/>
      <c r="AH355" s="108"/>
      <c r="AI355" s="94" t="str">
        <f t="shared" si="70"/>
        <v/>
      </c>
      <c r="AJ355" s="95"/>
      <c r="AK355" s="126"/>
      <c r="AL355" s="127">
        <v>1</v>
      </c>
      <c r="AM355" s="5169" t="s">
        <v>13273</v>
      </c>
      <c r="AN355" s="5167">
        <f>IF(OR(ISBLANK(AG335),AN335=0),0,AG355*AL336)</f>
        <v>0</v>
      </c>
      <c r="AO355" s="101" cm="1">
        <f t="array" ref="AO355">IFERROR(_xlfn.LET(_xlpm.k,UPPER(TRIM(AK355)),_xlpm.r,_xlfn.XLOOKUP(_xlpm.k,UPPER(TRIM(AG362:AP362)),AG363:AP363,_xlfn.XLOOKUP(_xlpm.k,UPPER(TRIM(AG364:AP364)),AG365:AP365)),_xlpm.r*AJ355*AL355*AL336*IF(ISBLANK(AG355),1,AG355)),0)</f>
        <v>0</v>
      </c>
      <c r="AP355" s="1476" t="str">
        <f>_xlfn.LET(_xlpm.unite,SUBSTITUTE(TRIM(AK355)," (s)",""),_xlpm.val,AO355,_xlpm.estVol,COUNTIF(AJ362:AP362,_xlpm.unite)+COUNTIF(AJ364:AP364,_xlpm.unite)&gt;0,_xlpm.estPoids,COUNTIF(AG362:AI362,_xlpm.unite)+COUNTIF(AG364:AI364,_xlpm.unite)&gt;0,IF(_xlpm.estVol,IF(ROUND(_xlpm.val,3)&gt;=1,ROUND(_xlpm.val,3)&amp;" L",MAX(1,ROUND(_xlpm.val*100,0))&amp;" cl"),IF(_xlpm.estPoids,IF(ROUND(_xlpm.val,3)&gt;=1,ROUND(_xlpm.val,3)&amp;" Kg",MAX(1,ROUND(_xlpm.val*1000,0))&amp;" g"),"")))</f>
        <v/>
      </c>
      <c r="AQ355" s="5086"/>
      <c r="AR355" s="104" t="str">
        <f t="shared" si="74"/>
        <v>A</v>
      </c>
      <c r="AS355" s="32" t="str">
        <f>AS337</f>
        <v>B BAUDRUCHE DE COPAIN | | Autor &gt; Guy KRENZE - Eric GODDYN - Arnaud NICOLAS - CEPROC 2002</v>
      </c>
      <c r="AT355" s="33">
        <f>AT337</f>
        <v>9.0500000000000007</v>
      </c>
      <c r="AU355" s="32" t="str">
        <f>AU337</f>
        <v>Kg</v>
      </c>
      <c r="AV355" s="34" t="str">
        <f>AV337</f>
        <v>Receta madre ► Morcilla en 4 versiones</v>
      </c>
      <c r="AW355" s="92"/>
      <c r="AX355" s="108"/>
      <c r="AY355" s="94" t="str">
        <f t="shared" si="71"/>
        <v/>
      </c>
      <c r="AZ355" s="95"/>
      <c r="BA355" s="126"/>
      <c r="BB355" s="127">
        <v>1</v>
      </c>
      <c r="BC355" s="5169" t="s">
        <v>13289</v>
      </c>
      <c r="BD355" s="5167">
        <f>IF(OR(ISBLANK(AW335),BD335=0),0,AW355*BB336)</f>
        <v>0</v>
      </c>
      <c r="BE355" s="101" cm="1">
        <f t="array" ref="BE355">IFERROR(_xlfn.LET(_xlpm.k,UPPER(TRIM(BA355)),_xlpm.r,_xlfn.XLOOKUP(_xlpm.k,UPPER(TRIM(AW362:BF362)),AW363:BF363,_xlfn.XLOOKUP(_xlpm.k,UPPER(TRIM(AW364:BF364)),AW365:BF365)),_xlpm.r*AZ355*BB355*BB336*IF(ISBLANK(AW355),1,AW355)),0)</f>
        <v>0</v>
      </c>
      <c r="BF355" s="1476" t="str">
        <f>_xlfn.LET(_xlpm.unite,SUBSTITUTE(TRIM(BA355)," (s)",""),_xlpm.val,BE355,_xlpm.estVol,COUNTIF(AZ362:BF362,_xlpm.unite)+COUNTIF(AZ364:BF364,_xlpm.unite)&gt;0,_xlpm.estPoids,COUNTIF(AW362:AY362,_xlpm.unite)+COUNTIF(AW364:AY364,_xlpm.unite)&gt;0,IF(_xlpm.estVol,IF(ROUND(_xlpm.val,3)&gt;=1,ROUND(_xlpm.val,3)&amp;" L",MAX(1,ROUND(_xlpm.val*100,0))&amp;" cl"),IF(_xlpm.estPoids,IF(ROUND(_xlpm.val,3)&gt;=1,ROUND(_xlpm.val,3)&amp;" Kg",MAX(1,ROUND(_xlpm.val*1000,0))&amp;" g"),"")))</f>
        <v/>
      </c>
      <c r="BG355" s="5086"/>
      <c r="BH355" s="104"/>
      <c r="BI355" s="32"/>
      <c r="BJ355" s="33"/>
      <c r="BK355" s="32"/>
      <c r="BL355" s="34"/>
      <c r="BM355" s="92"/>
      <c r="BN355" s="108"/>
      <c r="BO355" s="94"/>
      <c r="BP355" s="95"/>
      <c r="BQ355" s="105"/>
      <c r="BR355" s="5101"/>
      <c r="BS355" s="920"/>
      <c r="BT355" s="1495"/>
      <c r="BU355" s="101"/>
      <c r="BV355" s="1475"/>
      <c r="BW355" s="5086"/>
      <c r="BX355" s="104"/>
      <c r="BY355" s="32"/>
      <c r="BZ355" s="33"/>
      <c r="CA355" s="32"/>
      <c r="CB355" s="34"/>
      <c r="CC355" s="92"/>
      <c r="CD355" s="108"/>
      <c r="CE355" s="94"/>
      <c r="CF355" s="95"/>
      <c r="CG355" s="105"/>
      <c r="CH355" s="5101"/>
      <c r="CI355" s="920"/>
      <c r="CJ355" s="1495"/>
      <c r="CK355" s="101"/>
      <c r="CL355" s="1475"/>
      <c r="CM355" s="5086"/>
      <c r="CN355" s="104"/>
      <c r="CO355" s="32"/>
      <c r="CP355" s="33"/>
      <c r="CQ355" s="32"/>
      <c r="CR355" s="34"/>
      <c r="CS355" s="92"/>
      <c r="CT355" s="108"/>
      <c r="CU355" s="94"/>
      <c r="CV355" s="95"/>
      <c r="CW355" s="105"/>
      <c r="CX355" s="5101"/>
      <c r="CY355" s="920"/>
      <c r="CZ355" s="1495"/>
      <c r="DA355" s="101"/>
      <c r="DB355" s="1475"/>
      <c r="DC355" s="5109"/>
      <c r="DD355" s="5086"/>
      <c r="DF355" s="3">
        <v>1</v>
      </c>
      <c r="EY355" s="127">
        <v>1</v>
      </c>
      <c r="EZ355" s="920" t="s">
        <v>12832</v>
      </c>
      <c r="FA355" s="1495">
        <f>IF(OR(ISBLANK(ET324),FA324=0),0,ET355*EY325)</f>
        <v>0</v>
      </c>
      <c r="FB355" s="101">
        <f>IFERROR(_xlfn.LET(_xlpm.v,IFERROR(_xlfn.XLOOKUP(EX355,ET361:FC361,ET362:FC362),_xlfn.XLOOKUP(EX355,ET363:FC363,ET364:FC364)),_xlpm.v*EW355*EY355*EY325*IF(ISBLANK(ET355),1,ET355)),0)</f>
        <v>0</v>
      </c>
      <c r="FC355" s="1475" t="str">
        <f>_xlfn.LET(_xlpm.unite,SUBSTITUTE(TRIM(EX355)," (s)",""),_xlpm.val,FB355,_xlpm.estVol,COUNTIF(EW361:FC361,_xlpm.unite)+COUNTIF(EW363:FC363,_xlpm.unite)&gt;0,_xlpm.estPoids,COUNTIF(ET361:EV361,_xlpm.unite)+COUNTIF(ET363:EV363,_xlpm.unite)&gt;0,IF(_xlpm.estVol,IF(ROUND(_xlpm.val,3)&gt;=1,ROUND(_xlpm.val,3)&amp;" L",MAX(1,ROUND(_xlpm.val*100,0))&amp;" cl"),IF(_xlpm.estPoids,IF(ROUND(_xlpm.val,3)&gt;=1,ROUND(_xlpm.val,3)&amp;" Kg",MAX(1,ROUND(_xlpm.val*1000,0))&amp;" g"),"")))</f>
        <v>1 cl</v>
      </c>
    </row>
    <row r="356" spans="2:159" ht="15.75" customHeight="1">
      <c r="B356" s="952" t="str">
        <f t="shared" si="75"/>
        <v>A</v>
      </c>
      <c r="C356" s="993" cm="1">
        <f t="array" ref="C356">SUMPRODUCT(LEN(D356:J356))</f>
        <v>0</v>
      </c>
      <c r="D356" s="167"/>
      <c r="E356" s="172"/>
      <c r="F356" s="172"/>
      <c r="G356" s="172"/>
      <c r="H356" s="172"/>
      <c r="I356" s="172"/>
      <c r="J356" s="173"/>
      <c r="K356"/>
      <c r="L356" s="104" t="str">
        <f t="shared" si="72"/>
        <v>A</v>
      </c>
      <c r="M356" s="32" t="str">
        <f>M337</f>
        <v>B BAUDRUCHE DE COPAIN | | Auteur &gt; Guy KRENZE - Eric GODDYN - Arnaud NICOLAS - CEPROC 2002</v>
      </c>
      <c r="N356" s="33">
        <f>N337</f>
        <v>9.0500000000000007</v>
      </c>
      <c r="O356" s="32" t="str">
        <f>O337</f>
        <v>Kg</v>
      </c>
      <c r="P356" s="34" t="str">
        <f>P337</f>
        <v>Recette mère ► le Boudin en 4 déclinaisons</v>
      </c>
      <c r="Q356" s="92"/>
      <c r="R356" s="108"/>
      <c r="S356" s="94" t="str">
        <f t="shared" si="69"/>
        <v/>
      </c>
      <c r="T356" s="95"/>
      <c r="U356" s="126"/>
      <c r="V356" s="127">
        <v>1</v>
      </c>
      <c r="W356" s="5170" t="str">
        <f>"sel fin 30 g/kg = "&amp;TEXT(ROUND(SUM(Y341:Y346,Y348:Y353)*30/1000,3),IF(TEXT(1,"0,00")="1,00","0,000","0.000"))&amp;" Kg = "&amp;TEXT(ROUND(SUM(Y341:Y346,Y348:Y353)*30,0),IF(TEXT(1,"0,00")="1,00","# ##0","#,##0"))&amp;" g"</f>
        <v>sel fin 30 g/kg = 0.201 Kg = ,201 g</v>
      </c>
      <c r="X356" s="5172">
        <f>IF(OR(ISBLANK(Q335),X335=0),0,Q356*V336)</f>
        <v>0</v>
      </c>
      <c r="Y356" s="101" cm="1">
        <f t="array" ref="Y356">IFERROR(_xlfn.LET(_xlpm.k,UPPER(TRIM(U356)),_xlpm.r,_xlfn.XLOOKUP(_xlpm.k,UPPER(TRIM(Q362:Z362)),Q363:Z363,_xlfn.XLOOKUP(_xlpm.k,UPPER(TRIM(Q364:Z364)),Q365:Z365)),_xlpm.r*T356*V356*V336*IF(ISBLANK(Q356),1,Q356)),0)</f>
        <v>0</v>
      </c>
      <c r="Z356" s="1475" t="str">
        <f>_xlfn.LET(_xlpm.unite,SUBSTITUTE(TRIM(U356)," (s)",""),_xlpm.val,Y356,_xlpm.estVol,COUNTIF(T362:Z362,_xlpm.unite)+COUNTIF(T364:Z364,_xlpm.unite)&gt;0,_xlpm.estPoids,COUNTIF(Q362:S362,_xlpm.unite)+COUNTIF(Q364:S364,_xlpm.unite)&gt;0,IF(_xlpm.estVol,IF(ROUND(_xlpm.val,3)&gt;=1,ROUND(_xlpm.val,3)&amp;" L",MAX(1,ROUND(_xlpm.val*100,0))&amp;" cl"),IF(_xlpm.estPoids,IF(ROUND(_xlpm.val,3)&gt;=1,ROUND(_xlpm.val,3)&amp;" Kg",MAX(1,ROUND(_xlpm.val*1000,0))&amp;" g"),"")))</f>
        <v/>
      </c>
      <c r="AA356" s="5086"/>
      <c r="AB356" s="104" t="str">
        <f>IF(AM355&lt;&gt;"","A","►")</f>
        <v>A</v>
      </c>
      <c r="AC356" s="32" t="str">
        <f>AC337</f>
        <v>B BAUDRUCHE DE COPAIN | |  Author &gt; Guy KRENZE - Eric GODDYN - Arnaud NICOLAS - CEPROC 2002</v>
      </c>
      <c r="AD356" s="33">
        <f>AD337</f>
        <v>9.0500000000000007</v>
      </c>
      <c r="AE356" s="32" t="str">
        <f>AE337</f>
        <v>Kg</v>
      </c>
      <c r="AF356" s="34" t="str">
        <f>AF337</f>
        <v>Master recipe ► Black pudding in 4 variations</v>
      </c>
      <c r="AG356" s="92"/>
      <c r="AH356" s="108"/>
      <c r="AI356" s="94" t="str">
        <f t="shared" si="70"/>
        <v/>
      </c>
      <c r="AJ356" s="95"/>
      <c r="AK356" s="126"/>
      <c r="AL356" s="127">
        <v>1</v>
      </c>
      <c r="AM356" s="5170" t="str">
        <f>"sel fin 30 g/kg = "&amp;TEXT(ROUND(SUM(AO341:AO346,AO348:AO353)*30/1000,3),IF(TEXT(1,"0,00")="1,00","0,000","0.000"))&amp;" Kg = "&amp;TEXT(ROUND(SUM(AO341:AO346,AO348:AO353)*30,0),IF(TEXT(1,"0,00")="1,00","# ##0","#,##0"))&amp;" g"</f>
        <v>sel fin 30 g/kg = 0.201 Kg = ,201 g</v>
      </c>
      <c r="AN356" s="5172">
        <f>IF(OR(ISBLANK(AG335),AN335=0),0,AG356*AL336)</f>
        <v>0</v>
      </c>
      <c r="AO356" s="101" cm="1">
        <f t="array" ref="AO356">IFERROR(_xlfn.LET(_xlpm.k,UPPER(TRIM(AK356)),_xlpm.r,_xlfn.XLOOKUP(_xlpm.k,UPPER(TRIM(AG362:AP362)),AG363:AP363,_xlfn.XLOOKUP(_xlpm.k,UPPER(TRIM(AG364:AP364)),AG365:AP365)),_xlpm.r*AJ356*AL356*AL336*IF(ISBLANK(AG356),1,AG356)),0)</f>
        <v>0</v>
      </c>
      <c r="AP356" s="1475" t="str">
        <f>_xlfn.LET(_xlpm.unite,SUBSTITUTE(TRIM(AK356)," (s)",""),_xlpm.val,AO356,_xlpm.estVol,COUNTIF(AJ362:AP362,_xlpm.unite)+COUNTIF(AJ364:AP364,_xlpm.unite)&gt;0,_xlpm.estPoids,COUNTIF(AG362:AI362,_xlpm.unite)+COUNTIF(AG364:AI364,_xlpm.unite)&gt;0,IF(_xlpm.estVol,IF(ROUND(_xlpm.val,3)&gt;=1,ROUND(_xlpm.val,3)&amp;" L",MAX(1,ROUND(_xlpm.val*100,0))&amp;" cl"),IF(_xlpm.estPoids,IF(ROUND(_xlpm.val,3)&gt;=1,ROUND(_xlpm.val,3)&amp;" Kg",MAX(1,ROUND(_xlpm.val*1000,0))&amp;" g"),"")))</f>
        <v/>
      </c>
      <c r="AQ356" s="5086"/>
      <c r="AR356" s="104" t="str">
        <f>IF(BC355&lt;&gt;"","A","►")</f>
        <v>A</v>
      </c>
      <c r="AS356" s="32" t="str">
        <f>AS337</f>
        <v>B BAUDRUCHE DE COPAIN | | Autor &gt; Guy KRENZE - Eric GODDYN - Arnaud NICOLAS - CEPROC 2002</v>
      </c>
      <c r="AT356" s="33">
        <f>AT337</f>
        <v>9.0500000000000007</v>
      </c>
      <c r="AU356" s="32" t="str">
        <f>AU337</f>
        <v>Kg</v>
      </c>
      <c r="AV356" s="34" t="str">
        <f>AV337</f>
        <v>Receta madre ► Morcilla en 4 versiones</v>
      </c>
      <c r="AW356" s="92"/>
      <c r="AX356" s="108"/>
      <c r="AY356" s="94" t="str">
        <f t="shared" si="71"/>
        <v/>
      </c>
      <c r="AZ356" s="95"/>
      <c r="BA356" s="126"/>
      <c r="BB356" s="127">
        <v>1</v>
      </c>
      <c r="BC356" s="5170" t="str">
        <f>"sal fina 30 g/kg = "&amp;TEXT(ROUND(SUM(BE341:BE346,BE348:BE353)*30/1000,3),IF(TEXT(1,"0,00")="1,00","0,000","0.000"))&amp;" Kg = "&amp;TEXT(ROUND(SUM(BE341:BE346,BE348:BE353)*30,0),IF(TEXT(1,"0,00")="1,00","# ##0","#,##0"))&amp;" g"</f>
        <v>sal fina 30 g/kg = 0.201 Kg = ,201 g</v>
      </c>
      <c r="BD356" s="5172">
        <f>IF(OR(ISBLANK(AW335),BD335=0),0,AW356*BB336)</f>
        <v>0</v>
      </c>
      <c r="BE356" s="101" cm="1">
        <f t="array" ref="BE356">IFERROR(_xlfn.LET(_xlpm.k,UPPER(TRIM(BA356)),_xlpm.r,_xlfn.XLOOKUP(_xlpm.k,UPPER(TRIM(AW362:BF362)),AW363:BF363,_xlfn.XLOOKUP(_xlpm.k,UPPER(TRIM(AW364:BF364)),AW365:BF365)),_xlpm.r*AZ356*BB356*BB336*IF(ISBLANK(AW356),1,AW356)),0)</f>
        <v>0</v>
      </c>
      <c r="BF356" s="1475" t="str">
        <f>_xlfn.LET(_xlpm.unite,SUBSTITUTE(TRIM(BA356)," (s)",""),_xlpm.val,BE356,_xlpm.estVol,COUNTIF(AZ362:BF362,_xlpm.unite)+COUNTIF(AZ364:BF364,_xlpm.unite)&gt;0,_xlpm.estPoids,COUNTIF(AW362:AY362,_xlpm.unite)+COUNTIF(AW364:AY364,_xlpm.unite)&gt;0,IF(_xlpm.estVol,IF(ROUND(_xlpm.val,3)&gt;=1,ROUND(_xlpm.val,3)&amp;" L",MAX(1,ROUND(_xlpm.val*100,0))&amp;" cl"),IF(_xlpm.estPoids,IF(ROUND(_xlpm.val,3)&gt;=1,ROUND(_xlpm.val,3)&amp;" Kg",MAX(1,ROUND(_xlpm.val*1000,0))&amp;" g"),"")))</f>
        <v/>
      </c>
      <c r="BG356" s="5086"/>
      <c r="BH356" s="104"/>
      <c r="BI356" s="32"/>
      <c r="BJ356" s="33"/>
      <c r="BK356" s="32"/>
      <c r="BL356" s="34"/>
      <c r="BM356" s="92"/>
      <c r="BN356" s="108"/>
      <c r="BO356" s="94"/>
      <c r="BP356" s="95"/>
      <c r="BQ356" s="105"/>
      <c r="BR356" s="5101"/>
      <c r="BS356" s="920"/>
      <c r="BT356" s="1495"/>
      <c r="BU356" s="101"/>
      <c r="BV356" s="1475"/>
      <c r="BW356" s="5086"/>
      <c r="BX356" s="104"/>
      <c r="BY356" s="32"/>
      <c r="BZ356" s="33"/>
      <c r="CA356" s="32"/>
      <c r="CB356" s="34"/>
      <c r="CC356" s="92"/>
      <c r="CD356" s="108"/>
      <c r="CE356" s="94"/>
      <c r="CF356" s="95"/>
      <c r="CG356" s="105"/>
      <c r="CH356" s="5101"/>
      <c r="CI356" s="920"/>
      <c r="CJ356" s="1495"/>
      <c r="CK356" s="101"/>
      <c r="CL356" s="1475"/>
      <c r="CM356" s="5086"/>
      <c r="CN356" s="104"/>
      <c r="CO356" s="32"/>
      <c r="CP356" s="33"/>
      <c r="CQ356" s="32"/>
      <c r="CR356" s="34"/>
      <c r="CS356" s="92"/>
      <c r="CT356" s="108"/>
      <c r="CU356" s="94"/>
      <c r="CV356" s="95"/>
      <c r="CW356" s="105"/>
      <c r="CX356" s="5101"/>
      <c r="CY356" s="920"/>
      <c r="CZ356" s="1495"/>
      <c r="DA356" s="101"/>
      <c r="DB356" s="1475"/>
      <c r="DC356" s="5109"/>
      <c r="DD356" s="5086"/>
      <c r="DF356" s="3">
        <v>1</v>
      </c>
      <c r="EY356" s="127">
        <v>1</v>
      </c>
      <c r="EZ356" s="920" t="s">
        <v>12833</v>
      </c>
      <c r="FA356" s="1495">
        <f>IF(OR(ISBLANK(ET324),FA324=0),0,ET356*EY325)</f>
        <v>0</v>
      </c>
      <c r="FB356" s="101">
        <f>IFERROR(_xlfn.LET(_xlpm.v,IFERROR(_xlfn.XLOOKUP(EX356,ET361:FC361,ET362:FC362),_xlfn.XLOOKUP(EX356,ET363:FC363,ET364:FC364)),_xlpm.v*EW356*EY356*EY325*IF(ISBLANK(ET356),1,ET356)),0)</f>
        <v>0</v>
      </c>
      <c r="FC356" s="1476" t="str">
        <f>_xlfn.LET(_xlpm.unite,SUBSTITUTE(TRIM(EX356)," (s)",""),_xlpm.val,FB356,_xlpm.estVol,COUNTIF(EW361:FC361,_xlpm.unite)+COUNTIF(EW363:FC363,_xlpm.unite)&gt;0,_xlpm.estPoids,COUNTIF(ET361:EV361,_xlpm.unite)+COUNTIF(ET363:EV363,_xlpm.unite)&gt;0,IF(_xlpm.estVol,IF(ROUND(_xlpm.val,3)&gt;=1,ROUND(_xlpm.val,3)&amp;" L",MAX(1,ROUND(_xlpm.val*100,0))&amp;" cl"),IF(_xlpm.estPoids,IF(ROUND(_xlpm.val,3)&gt;=1,ROUND(_xlpm.val,3)&amp;" Kg",MAX(1,ROUND(_xlpm.val*1000,0))&amp;" g"),"")))</f>
        <v>1 cl</v>
      </c>
    </row>
    <row r="357" spans="2:159" ht="15.75" customHeight="1">
      <c r="B357" s="952" t="str">
        <f t="shared" si="75"/>
        <v>A</v>
      </c>
      <c r="C357" s="993" cm="1">
        <f t="array" ref="C357">SUMPRODUCT(LEN(D357:J357))</f>
        <v>0</v>
      </c>
      <c r="D357" s="167"/>
      <c r="E357" s="172"/>
      <c r="F357" s="172"/>
      <c r="G357" s="172"/>
      <c r="H357" s="172"/>
      <c r="I357" s="172"/>
      <c r="J357" s="173"/>
      <c r="K357"/>
      <c r="L357" s="104" t="str">
        <f>IF(W356&lt;&gt;"","A","►")</f>
        <v>A</v>
      </c>
      <c r="M357" s="32" t="str">
        <f>M337</f>
        <v>B BAUDRUCHE DE COPAIN | | Auteur &gt; Guy KRENZE - Eric GODDYN - Arnaud NICOLAS - CEPROC 2002</v>
      </c>
      <c r="N357" s="33">
        <f>N337</f>
        <v>9.0500000000000007</v>
      </c>
      <c r="O357" s="32" t="str">
        <f>O337</f>
        <v>Kg</v>
      </c>
      <c r="P357" s="34" t="str">
        <f>P337</f>
        <v>Recette mère ► le Boudin en 4 déclinaisons</v>
      </c>
      <c r="Q357" s="92"/>
      <c r="R357" s="108"/>
      <c r="S357" s="94" t="str">
        <f t="shared" si="69"/>
        <v/>
      </c>
      <c r="T357" s="95"/>
      <c r="U357" s="126"/>
      <c r="V357" s="127">
        <v>1</v>
      </c>
      <c r="X357" s="5172">
        <f>IF(OR(ISBLANK(Q335),X335=0),0,Q357*V336)</f>
        <v>0</v>
      </c>
      <c r="Y357" s="101" cm="1">
        <f t="array" ref="Y357">IFERROR(_xlfn.LET(_xlpm.k,UPPER(TRIM(U357)),_xlpm.r,_xlfn.XLOOKUP(_xlpm.k,UPPER(TRIM(Q362:Z362)),Q363:Z363,_xlfn.XLOOKUP(_xlpm.k,UPPER(TRIM(Q364:Z364)),Q365:Z365)),_xlpm.r*T357*V357*V336*IF(ISBLANK(Q357),1,Q357)),0)</f>
        <v>0</v>
      </c>
      <c r="Z357" s="1476" t="str">
        <f>_xlfn.LET(_xlpm.unite,SUBSTITUTE(TRIM(U357)," (s)",""),_xlpm.val,Y357,_xlpm.estVol,COUNTIF(T362:Z362,_xlpm.unite)+COUNTIF(T364:Z364,_xlpm.unite)&gt;0,_xlpm.estPoids,COUNTIF(Q362:S362,_xlpm.unite)+COUNTIF(Q364:S364,_xlpm.unite)&gt;0,IF(_xlpm.estVol,IF(ROUND(_xlpm.val,3)&gt;=1,ROUND(_xlpm.val,3)&amp;" L",MAX(1,ROUND(_xlpm.val*100,0))&amp;" cl"),IF(_xlpm.estPoids,IF(ROUND(_xlpm.val,3)&gt;=1,ROUND(_xlpm.val,3)&amp;" Kg",MAX(1,ROUND(_xlpm.val*1000,0))&amp;" g"),"")))</f>
        <v/>
      </c>
      <c r="AA357" s="5086"/>
      <c r="AB357" s="104" t="str">
        <f>IF(AM356&lt;&gt;"","A","►")</f>
        <v>A</v>
      </c>
      <c r="AC357" s="32" t="str">
        <f>AC337</f>
        <v>B BAUDRUCHE DE COPAIN | |  Author &gt; Guy KRENZE - Eric GODDYN - Arnaud NICOLAS - CEPROC 2002</v>
      </c>
      <c r="AD357" s="33">
        <f>AD337</f>
        <v>9.0500000000000007</v>
      </c>
      <c r="AE357" s="32" t="str">
        <f>AE337</f>
        <v>Kg</v>
      </c>
      <c r="AF357" s="34" t="str">
        <f>AF337</f>
        <v>Master recipe ► Black pudding in 4 variations</v>
      </c>
      <c r="AG357" s="92"/>
      <c r="AH357" s="108"/>
      <c r="AI357" s="94" t="str">
        <f t="shared" si="70"/>
        <v/>
      </c>
      <c r="AJ357" s="95"/>
      <c r="AK357" s="126"/>
      <c r="AL357" s="127">
        <v>1</v>
      </c>
      <c r="AN357" s="5172">
        <f>IF(OR(ISBLANK(AG335),AN335=0),0,AG357*AL336)</f>
        <v>0</v>
      </c>
      <c r="AO357" s="101" cm="1">
        <f t="array" ref="AO357">IFERROR(_xlfn.LET(_xlpm.k,UPPER(TRIM(AK357)),_xlpm.r,_xlfn.XLOOKUP(_xlpm.k,UPPER(TRIM(AG362:AP362)),AG363:AP363,_xlfn.XLOOKUP(_xlpm.k,UPPER(TRIM(AG364:AP364)),AG365:AP365)),_xlpm.r*AJ357*AL357*AL336*IF(ISBLANK(AG357),1,AG357)),0)</f>
        <v>0</v>
      </c>
      <c r="AP357" s="1476" t="str">
        <f>_xlfn.LET(_xlpm.unite,SUBSTITUTE(TRIM(AK357)," (s)",""),_xlpm.val,AO357,_xlpm.estVol,COUNTIF(AJ362:AP362,_xlpm.unite)+COUNTIF(AJ364:AP364,_xlpm.unite)&gt;0,_xlpm.estPoids,COUNTIF(AG362:AI362,_xlpm.unite)+COUNTIF(AG364:AI364,_xlpm.unite)&gt;0,IF(_xlpm.estVol,IF(ROUND(_xlpm.val,3)&gt;=1,ROUND(_xlpm.val,3)&amp;" L",MAX(1,ROUND(_xlpm.val*100,0))&amp;" cl"),IF(_xlpm.estPoids,IF(ROUND(_xlpm.val,3)&gt;=1,ROUND(_xlpm.val,3)&amp;" Kg",MAX(1,ROUND(_xlpm.val*1000,0))&amp;" g"),"")))</f>
        <v/>
      </c>
      <c r="AQ357" s="5086"/>
      <c r="AR357" s="104" t="str">
        <f>IF(BC356&lt;&gt;"","A","►")</f>
        <v>A</v>
      </c>
      <c r="AS357" s="32" t="str">
        <f>AS337</f>
        <v>B BAUDRUCHE DE COPAIN | | Autor &gt; Guy KRENZE - Eric GODDYN - Arnaud NICOLAS - CEPROC 2002</v>
      </c>
      <c r="AT357" s="33">
        <f>AT337</f>
        <v>9.0500000000000007</v>
      </c>
      <c r="AU357" s="32" t="str">
        <f>AU337</f>
        <v>Kg</v>
      </c>
      <c r="AV357" s="34" t="str">
        <f>AV337</f>
        <v>Receta madre ► Morcilla en 4 versiones</v>
      </c>
      <c r="AW357" s="92"/>
      <c r="AX357" s="108"/>
      <c r="AY357" s="94" t="str">
        <f t="shared" si="71"/>
        <v/>
      </c>
      <c r="AZ357" s="95"/>
      <c r="BA357" s="126"/>
      <c r="BB357" s="127">
        <v>1</v>
      </c>
      <c r="BD357" s="5172">
        <f>IF(OR(ISBLANK(AW335),BD335=0),0,AW357*BB336)</f>
        <v>0</v>
      </c>
      <c r="BE357" s="101" cm="1">
        <f t="array" ref="BE357">IFERROR(_xlfn.LET(_xlpm.k,UPPER(TRIM(BA357)),_xlpm.r,_xlfn.XLOOKUP(_xlpm.k,UPPER(TRIM(AW362:BF362)),AW363:BF363,_xlfn.XLOOKUP(_xlpm.k,UPPER(TRIM(AW364:BF364)),AW365:BF365)),_xlpm.r*AZ357*BB357*BB336*IF(ISBLANK(AW357),1,AW357)),0)</f>
        <v>0</v>
      </c>
      <c r="BF357" s="1476" t="str">
        <f>_xlfn.LET(_xlpm.unite,SUBSTITUTE(TRIM(BA357)," (s)",""),_xlpm.val,BE357,_xlpm.estVol,COUNTIF(AZ362:BF362,_xlpm.unite)+COUNTIF(AZ364:BF364,_xlpm.unite)&gt;0,_xlpm.estPoids,COUNTIF(AW362:AY362,_xlpm.unite)+COUNTIF(AW364:AY364,_xlpm.unite)&gt;0,IF(_xlpm.estVol,IF(ROUND(_xlpm.val,3)&gt;=1,ROUND(_xlpm.val,3)&amp;" L",MAX(1,ROUND(_xlpm.val*100,0))&amp;" cl"),IF(_xlpm.estPoids,IF(ROUND(_xlpm.val,3)&gt;=1,ROUND(_xlpm.val,3)&amp;" Kg",MAX(1,ROUND(_xlpm.val*1000,0))&amp;" g"),"")))</f>
        <v/>
      </c>
      <c r="BG357" s="5086"/>
      <c r="BH357" s="104"/>
      <c r="BI357" s="32"/>
      <c r="BJ357" s="33"/>
      <c r="BK357" s="32"/>
      <c r="BL357" s="34"/>
      <c r="BM357" s="92"/>
      <c r="BN357" s="108"/>
      <c r="BO357" s="94"/>
      <c r="BP357" s="95"/>
      <c r="BQ357" s="105"/>
      <c r="BR357" s="5101"/>
      <c r="BS357" s="920"/>
      <c r="BT357" s="1495"/>
      <c r="BU357" s="101"/>
      <c r="BV357" s="1475"/>
      <c r="BW357" s="5086"/>
      <c r="BX357" s="104"/>
      <c r="BY357" s="32"/>
      <c r="BZ357" s="33"/>
      <c r="CA357" s="32"/>
      <c r="CB357" s="34"/>
      <c r="CC357" s="92"/>
      <c r="CD357" s="108"/>
      <c r="CE357" s="94"/>
      <c r="CF357" s="95"/>
      <c r="CG357" s="105"/>
      <c r="CH357" s="5101"/>
      <c r="CI357" s="920"/>
      <c r="CJ357" s="1495"/>
      <c r="CK357" s="101"/>
      <c r="CL357" s="1475"/>
      <c r="CM357" s="5086"/>
      <c r="CN357" s="104"/>
      <c r="CO357" s="32"/>
      <c r="CP357" s="33"/>
      <c r="CQ357" s="32"/>
      <c r="CR357" s="34"/>
      <c r="CS357" s="92"/>
      <c r="CT357" s="108"/>
      <c r="CU357" s="94"/>
      <c r="CV357" s="95"/>
      <c r="CW357" s="105"/>
      <c r="CX357" s="5101"/>
      <c r="CY357" s="920"/>
      <c r="CZ357" s="1495"/>
      <c r="DA357" s="101"/>
      <c r="DB357" s="1475"/>
      <c r="DC357" s="5109"/>
      <c r="DD357" s="5086"/>
      <c r="DF357" s="3">
        <v>1</v>
      </c>
      <c r="EY357" s="127">
        <v>1</v>
      </c>
      <c r="EZ357" s="920"/>
      <c r="FA357" s="1495">
        <f>IF(OR(ISBLANK(ET324),FA324=0),0,ET357*EY325)</f>
        <v>0</v>
      </c>
      <c r="FB357" s="101">
        <f>IFERROR(_xlfn.LET(_xlpm.v,IFERROR(_xlfn.XLOOKUP(EX357,ET361:FC361,ET362:FC362),_xlfn.XLOOKUP(EX357,ET363:FC363,ET364:FC364)),_xlpm.v*EW357*EY357*EY325*IF(ISBLANK(ET357),1,ET357)),0)</f>
        <v>0</v>
      </c>
      <c r="FC357" s="1475" t="str">
        <f>_xlfn.LET(_xlpm.unite,SUBSTITUTE(TRIM(EX357)," (s)",""),_xlpm.val,FB357,_xlpm.estVol,COUNTIF(EW361:FC361,_xlpm.unite)+COUNTIF(EW363:FC363,_xlpm.unite)&gt;0,_xlpm.estPoids,COUNTIF(ET361:EV361,_xlpm.unite)+COUNTIF(ET363:EV363,_xlpm.unite)&gt;0,IF(_xlpm.estVol,IF(ROUND(_xlpm.val,3)&gt;=1,ROUND(_xlpm.val,3)&amp;" L",MAX(1,ROUND(_xlpm.val*100,0))&amp;" cl"),IF(_xlpm.estPoids,IF(ROUND(_xlpm.val,3)&gt;=1,ROUND(_xlpm.val,3)&amp;" Kg",MAX(1,ROUND(_xlpm.val*1000,0))&amp;" g"),"")))</f>
        <v>1 cl</v>
      </c>
    </row>
    <row r="358" spans="2:159" ht="18.75">
      <c r="B358" s="952" t="str">
        <f t="shared" si="75"/>
        <v>A</v>
      </c>
      <c r="C358" s="993" cm="1">
        <f t="array" ref="C358">SUMPRODUCT(LEN(D358:J358))</f>
        <v>0</v>
      </c>
      <c r="D358" s="167"/>
      <c r="E358" s="172"/>
      <c r="F358" s="172"/>
      <c r="G358" s="172"/>
      <c r="H358" s="172"/>
      <c r="I358" s="172"/>
      <c r="J358" s="173"/>
      <c r="K358"/>
      <c r="L358" s="104" t="str">
        <f t="shared" si="72"/>
        <v>A</v>
      </c>
      <c r="M358" s="32" t="str">
        <f>M337</f>
        <v>B BAUDRUCHE DE COPAIN | | Auteur &gt; Guy KRENZE - Eric GODDYN - Arnaud NICOLAS - CEPROC 2002</v>
      </c>
      <c r="N358" s="33">
        <f>N337</f>
        <v>9.0500000000000007</v>
      </c>
      <c r="O358" s="32" t="str">
        <f>O337</f>
        <v>Kg</v>
      </c>
      <c r="P358" s="34" t="str">
        <f>P337</f>
        <v>Recette mère ► le Boudin en 4 déclinaisons</v>
      </c>
      <c r="Q358" s="92"/>
      <c r="R358" s="108"/>
      <c r="S358" s="94" t="str">
        <f t="shared" si="69"/>
        <v/>
      </c>
      <c r="T358" s="95"/>
      <c r="U358" s="126"/>
      <c r="V358" s="127">
        <v>1</v>
      </c>
      <c r="W358" s="5171" t="s">
        <v>13115</v>
      </c>
      <c r="X358" s="5172">
        <f>IF(OR(ISBLANK(Q335),X335=0),0,Q358*V336)</f>
        <v>0</v>
      </c>
      <c r="Y358" s="101" cm="1">
        <f t="array" ref="Y358">IFERROR(_xlfn.LET(_xlpm.k,UPPER(TRIM(U358)),_xlpm.r,_xlfn.XLOOKUP(_xlpm.k,UPPER(TRIM(Q362:Z362)),Q363:Z363,_xlfn.XLOOKUP(_xlpm.k,UPPER(TRIM(Q364:Z364)),Q365:Z365)),_xlpm.r*T358*V358*V336*IF(ISBLANK(Q358),1,Q358)),0)</f>
        <v>0</v>
      </c>
      <c r="Z358" s="1476" t="str">
        <f>_xlfn.LET(_xlpm.unite,SUBSTITUTE(TRIM(U358)," (s)",""),_xlpm.val,Y358,_xlpm.estVol,COUNTIF(T362:Z362,_xlpm.unite)+COUNTIF(T364:Z364,_xlpm.unite)&gt;0,_xlpm.estPoids,COUNTIF(Q362:S362,_xlpm.unite)+COUNTIF(Q364:S364,_xlpm.unite)&gt;0,IF(_xlpm.estVol,IF(ROUND(_xlpm.val,3)&gt;=1,ROUND(_xlpm.val,3)&amp;" L",MAX(1,ROUND(_xlpm.val*100,0))&amp;" cl"),IF(_xlpm.estPoids,IF(ROUND(_xlpm.val,3)&gt;=1,ROUND(_xlpm.val,3)&amp;" Kg",MAX(1,ROUND(_xlpm.val*1000,0))&amp;" g"),"")))</f>
        <v/>
      </c>
      <c r="AA358" s="5086"/>
      <c r="AB358" s="104" t="str">
        <f t="shared" si="73"/>
        <v>A</v>
      </c>
      <c r="AC358" s="32" t="str">
        <f>AC337</f>
        <v>B BAUDRUCHE DE COPAIN | |  Author &gt; Guy KRENZE - Eric GODDYN - Arnaud NICOLAS - CEPROC 2002</v>
      </c>
      <c r="AD358" s="33">
        <f>AD337</f>
        <v>9.0500000000000007</v>
      </c>
      <c r="AE358" s="32" t="str">
        <f>AE337</f>
        <v>Kg</v>
      </c>
      <c r="AF358" s="34" t="str">
        <f>AF337</f>
        <v>Master recipe ► Black pudding in 4 variations</v>
      </c>
      <c r="AG358" s="92"/>
      <c r="AH358" s="108"/>
      <c r="AI358" s="94" t="str">
        <f t="shared" si="70"/>
        <v/>
      </c>
      <c r="AJ358" s="95"/>
      <c r="AK358" s="126"/>
      <c r="AL358" s="127">
        <v>1</v>
      </c>
      <c r="AM358" s="5171" t="s">
        <v>13275</v>
      </c>
      <c r="AN358" s="5172">
        <f>IF(OR(ISBLANK(AG335),AN335=0),0,AG358*AL336)</f>
        <v>0</v>
      </c>
      <c r="AO358" s="101" cm="1">
        <f t="array" ref="AO358">IFERROR(_xlfn.LET(_xlpm.k,UPPER(TRIM(AK358)),_xlpm.r,_xlfn.XLOOKUP(_xlpm.k,UPPER(TRIM(AG362:AP362)),AG363:AP363,_xlfn.XLOOKUP(_xlpm.k,UPPER(TRIM(AG364:AP364)),AG365:AP365)),_xlpm.r*AJ358*AL358*AL336*IF(ISBLANK(AG358),1,AG358)),0)</f>
        <v>0</v>
      </c>
      <c r="AP358" s="1476" t="str">
        <f>_xlfn.LET(_xlpm.unite,SUBSTITUTE(TRIM(AK358)," (s)",""),_xlpm.val,AO358,_xlpm.estVol,COUNTIF(AJ362:AP362,_xlpm.unite)+COUNTIF(AJ364:AP364,_xlpm.unite)&gt;0,_xlpm.estPoids,COUNTIF(AG362:AI362,_xlpm.unite)+COUNTIF(AG364:AI364,_xlpm.unite)&gt;0,IF(_xlpm.estVol,IF(ROUND(_xlpm.val,3)&gt;=1,ROUND(_xlpm.val,3)&amp;" L",MAX(1,ROUND(_xlpm.val*100,0))&amp;" cl"),IF(_xlpm.estPoids,IF(ROUND(_xlpm.val,3)&gt;=1,ROUND(_xlpm.val,3)&amp;" Kg",MAX(1,ROUND(_xlpm.val*1000,0))&amp;" g"),"")))</f>
        <v/>
      </c>
      <c r="AQ358" s="5086"/>
      <c r="AR358" s="104" t="str">
        <f t="shared" si="74"/>
        <v>A</v>
      </c>
      <c r="AS358" s="32" t="str">
        <f>AS337</f>
        <v>B BAUDRUCHE DE COPAIN | | Autor &gt; Guy KRENZE - Eric GODDYN - Arnaud NICOLAS - CEPROC 2002</v>
      </c>
      <c r="AT358" s="33">
        <f>AT337</f>
        <v>9.0500000000000007</v>
      </c>
      <c r="AU358" s="32" t="str">
        <f>AU337</f>
        <v>Kg</v>
      </c>
      <c r="AV358" s="34" t="str">
        <f>AV337</f>
        <v>Receta madre ► Morcilla en 4 versiones</v>
      </c>
      <c r="AW358" s="92"/>
      <c r="AX358" s="108"/>
      <c r="AY358" s="94" t="str">
        <f t="shared" si="71"/>
        <v/>
      </c>
      <c r="AZ358" s="95"/>
      <c r="BA358" s="126"/>
      <c r="BB358" s="127">
        <v>1</v>
      </c>
      <c r="BC358" s="5171" t="s">
        <v>13291</v>
      </c>
      <c r="BD358" s="5172">
        <f>IF(OR(ISBLANK(AW335),BD335=0),0,AW358*BB336)</f>
        <v>0</v>
      </c>
      <c r="BE358" s="101" cm="1">
        <f t="array" ref="BE358">IFERROR(_xlfn.LET(_xlpm.k,UPPER(TRIM(BA358)),_xlpm.r,_xlfn.XLOOKUP(_xlpm.k,UPPER(TRIM(AW362:BF362)),AW363:BF363,_xlfn.XLOOKUP(_xlpm.k,UPPER(TRIM(AW364:BF364)),AW365:BF365)),_xlpm.r*AZ358*BB358*BB336*IF(ISBLANK(AW358),1,AW358)),0)</f>
        <v>0</v>
      </c>
      <c r="BF358" s="1476" t="str">
        <f>_xlfn.LET(_xlpm.unite,SUBSTITUTE(TRIM(BA358)," (s)",""),_xlpm.val,BE358,_xlpm.estVol,COUNTIF(AZ362:BF362,_xlpm.unite)+COUNTIF(AZ364:BF364,_xlpm.unite)&gt;0,_xlpm.estPoids,COUNTIF(AW362:AY362,_xlpm.unite)+COUNTIF(AW364:AY364,_xlpm.unite)&gt;0,IF(_xlpm.estVol,IF(ROUND(_xlpm.val,3)&gt;=1,ROUND(_xlpm.val,3)&amp;" L",MAX(1,ROUND(_xlpm.val*100,0))&amp;" cl"),IF(_xlpm.estPoids,IF(ROUND(_xlpm.val,3)&gt;=1,ROUND(_xlpm.val,3)&amp;" Kg",MAX(1,ROUND(_xlpm.val*1000,0))&amp;" g"),"")))</f>
        <v/>
      </c>
      <c r="BG358" s="5086"/>
      <c r="BH358" s="104"/>
      <c r="BI358" s="32"/>
      <c r="BJ358" s="33"/>
      <c r="BK358" s="32"/>
      <c r="BL358" s="34"/>
      <c r="BM358" s="92"/>
      <c r="BN358" s="108"/>
      <c r="BO358" s="94"/>
      <c r="BP358" s="95"/>
      <c r="BQ358" s="105"/>
      <c r="BR358" s="5101"/>
      <c r="BS358" s="920"/>
      <c r="BT358" s="1495"/>
      <c r="BU358" s="101"/>
      <c r="BV358" s="1475"/>
      <c r="BW358" s="5086"/>
      <c r="BX358" s="104"/>
      <c r="BY358" s="32"/>
      <c r="BZ358" s="33"/>
      <c r="CA358" s="32"/>
      <c r="CB358" s="34"/>
      <c r="CC358" s="92"/>
      <c r="CD358" s="108"/>
      <c r="CE358" s="94"/>
      <c r="CF358" s="95"/>
      <c r="CG358" s="105"/>
      <c r="CH358" s="5101"/>
      <c r="CI358" s="920"/>
      <c r="CJ358" s="1495"/>
      <c r="CK358" s="101"/>
      <c r="CL358" s="1475"/>
      <c r="CM358" s="5086"/>
      <c r="CN358" s="104"/>
      <c r="CO358" s="32"/>
      <c r="CP358" s="33"/>
      <c r="CQ358" s="32"/>
      <c r="CR358" s="34"/>
      <c r="CS358" s="92"/>
      <c r="CT358" s="108"/>
      <c r="CU358" s="94"/>
      <c r="CV358" s="95"/>
      <c r="CW358" s="105"/>
      <c r="CX358" s="5101"/>
      <c r="CY358" s="920"/>
      <c r="CZ358" s="1495"/>
      <c r="DA358" s="101"/>
      <c r="DB358" s="1475"/>
      <c r="DC358" s="5109"/>
      <c r="DD358" s="5086"/>
      <c r="DF358" s="3">
        <v>1</v>
      </c>
      <c r="EY358" s="127">
        <v>1</v>
      </c>
      <c r="EZ358" s="920"/>
      <c r="FA358" s="1495">
        <f>IF(OR(ISBLANK(ET324),FA324=0),0,ET358*EY325)</f>
        <v>0</v>
      </c>
      <c r="FB358" s="101">
        <f>IFERROR(_xlfn.LET(_xlpm.v,IFERROR(_xlfn.XLOOKUP(EX358,ET361:FC361,ET362:FC362),_xlfn.XLOOKUP(EX358,ET363:FC363,ET364:FC364)),_xlpm.v*EW358*EY358*EY325*IF(ISBLANK(ET358),1,ET358)),0)</f>
        <v>0</v>
      </c>
      <c r="FC358" s="1476" t="str">
        <f>_xlfn.LET(_xlpm.unite,SUBSTITUTE(TRIM(EX358)," (s)",""),_xlpm.val,FB358,_xlpm.estVol,COUNTIF(EW361:FC361,_xlpm.unite)+COUNTIF(EW363:FC363,_xlpm.unite)&gt;0,_xlpm.estPoids,COUNTIF(ET361:EV361,_xlpm.unite)+COUNTIF(ET363:EV363,_xlpm.unite)&gt;0,IF(_xlpm.estVol,IF(ROUND(_xlpm.val,3)&gt;=1,ROUND(_xlpm.val,3)&amp;" L",MAX(1,ROUND(_xlpm.val*100,0))&amp;" cl"),IF(_xlpm.estPoids,IF(ROUND(_xlpm.val,3)&gt;=1,ROUND(_xlpm.val,3)&amp;" Kg",MAX(1,ROUND(_xlpm.val*1000,0))&amp;" g"),"")))</f>
        <v>1 cl</v>
      </c>
    </row>
    <row r="359" spans="2:159" ht="18.75">
      <c r="B359" s="952" t="str">
        <f t="shared" si="75"/>
        <v>A</v>
      </c>
      <c r="C359" s="993" cm="1">
        <f t="array" ref="C359">SUMPRODUCT(LEN(D359:J359))</f>
        <v>0</v>
      </c>
      <c r="D359" s="167"/>
      <c r="E359" s="172"/>
      <c r="F359" s="172"/>
      <c r="G359" s="172"/>
      <c r="H359" s="172"/>
      <c r="I359" s="172"/>
      <c r="J359" s="173"/>
      <c r="K359"/>
      <c r="L359" s="104" t="str">
        <f t="shared" si="72"/>
        <v>A</v>
      </c>
      <c r="M359" s="32" t="str">
        <f>M337</f>
        <v>B BAUDRUCHE DE COPAIN | | Auteur &gt; Guy KRENZE - Eric GODDYN - Arnaud NICOLAS - CEPROC 2002</v>
      </c>
      <c r="N359" s="33">
        <f>N337</f>
        <v>9.0500000000000007</v>
      </c>
      <c r="O359" s="32" t="str">
        <f>O337</f>
        <v>Kg</v>
      </c>
      <c r="P359" s="34" t="str">
        <f>P337</f>
        <v>Recette mère ► le Boudin en 4 déclinaisons</v>
      </c>
      <c r="Q359" s="92"/>
      <c r="R359" s="108"/>
      <c r="S359" s="94" t="str">
        <f t="shared" si="69"/>
        <v/>
      </c>
      <c r="T359" s="95"/>
      <c r="U359" s="126"/>
      <c r="V359" s="127">
        <v>1</v>
      </c>
      <c r="W359" s="5166" t="str">
        <f>"épices 1 g/kg = "&amp;TEXT(ROUND(SUM(Y341:Y346,Y348:Y353)*10/1000,3),IF(TEXT(1,"0,00")="1,00","0,000","0.000"))&amp;" Kg = "&amp;TEXT(ROUND(SUM(Y341:Y346,Y348:Y353)*10,0),IF(TEXT(1,"0,00")="1,00","# ##0","#,##0"))&amp;" g"</f>
        <v>épices 1 g/kg = 0.067 Kg = ,67 g</v>
      </c>
      <c r="X359" s="5167">
        <f>IF(OR(ISBLANK(Q335),X335=0),0,Q359*V336)</f>
        <v>0</v>
      </c>
      <c r="Y359" s="101" cm="1">
        <f t="array" ref="Y359">IFERROR(_xlfn.LET(_xlpm.k,UPPER(TRIM(U359)),_xlpm.r,_xlfn.XLOOKUP(_xlpm.k,UPPER(TRIM(Q362:Z362)),Q363:Z363,_xlfn.XLOOKUP(_xlpm.k,UPPER(TRIM(Q364:Z364)),Q365:Z365)),_xlpm.r*T359*V359*V336*IF(ISBLANK(Q359),1,Q359)),0)</f>
        <v>0</v>
      </c>
      <c r="Z359" s="1475" t="str">
        <f>_xlfn.LET(_xlpm.unite,SUBSTITUTE(TRIM(U359)," (s)",""),_xlpm.val,Y359,_xlpm.estVol,COUNTIF(T362:Z362,_xlpm.unite)+COUNTIF(T364:Z364,_xlpm.unite)&gt;0,_xlpm.estPoids,COUNTIF(Q362:S362,_xlpm.unite)+COUNTIF(Q364:S364,_xlpm.unite)&gt;0,IF(_xlpm.estVol,IF(ROUND(_xlpm.val,3)&gt;=1,ROUND(_xlpm.val,3)&amp;" L",MAX(1,ROUND(_xlpm.val*100,0))&amp;" cl"),IF(_xlpm.estPoids,IF(ROUND(_xlpm.val,3)&gt;=1,ROUND(_xlpm.val,3)&amp;" Kg",MAX(1,ROUND(_xlpm.val*1000,0))&amp;" g"),"")))</f>
        <v/>
      </c>
      <c r="AA359" s="5086"/>
      <c r="AB359" s="104" t="str">
        <f t="shared" si="73"/>
        <v>A</v>
      </c>
      <c r="AC359" s="32" t="str">
        <f>AC337</f>
        <v>B BAUDRUCHE DE COPAIN | |  Author &gt; Guy KRENZE - Eric GODDYN - Arnaud NICOLAS - CEPROC 2002</v>
      </c>
      <c r="AD359" s="33">
        <f>AD337</f>
        <v>9.0500000000000007</v>
      </c>
      <c r="AE359" s="32" t="str">
        <f>AE337</f>
        <v>Kg</v>
      </c>
      <c r="AF359" s="34" t="str">
        <f>AF337</f>
        <v>Master recipe ► Black pudding in 4 variations</v>
      </c>
      <c r="AG359" s="92"/>
      <c r="AH359" s="108"/>
      <c r="AI359" s="94" t="str">
        <f t="shared" si="70"/>
        <v/>
      </c>
      <c r="AJ359" s="95"/>
      <c r="AK359" s="126"/>
      <c r="AL359" s="127">
        <v>1</v>
      </c>
      <c r="AM359" s="5166" t="str">
        <f>"spices 1 g/kg = "&amp;TEXT(ROUND(SUM(AO341:AO346,AO348:AO353)*10/1000,3),IF(TEXT(1,"0,00")="1,00","0,000","0.000"))&amp;" Kg = "&amp;TEXT(ROUND(SUM(AO341:AO346,AO348:AO353)*10,0),IF(TEXT(1,"0,00")="1,00","# ##0","#,##0"))&amp;" g"</f>
        <v>spices 1 g/kg = 0.067 Kg = ,67 g</v>
      </c>
      <c r="AN359" s="5167">
        <f>IF(OR(ISBLANK(AG335),AN335=0),0,AG359*AL336)</f>
        <v>0</v>
      </c>
      <c r="AO359" s="101" cm="1">
        <f t="array" ref="AO359">IFERROR(_xlfn.LET(_xlpm.k,UPPER(TRIM(AK359)),_xlpm.r,_xlfn.XLOOKUP(_xlpm.k,UPPER(TRIM(AG362:AP362)),AG363:AP363,_xlfn.XLOOKUP(_xlpm.k,UPPER(TRIM(AG364:AP364)),AG365:AP365)),_xlpm.r*AJ359*AL359*AL336*IF(ISBLANK(AG359),1,AG359)),0)</f>
        <v>0</v>
      </c>
      <c r="AP359" s="1475" t="str">
        <f>_xlfn.LET(_xlpm.unite,SUBSTITUTE(TRIM(AK359)," (s)",""),_xlpm.val,AO359,_xlpm.estVol,COUNTIF(AJ362:AP362,_xlpm.unite)+COUNTIF(AJ364:AP364,_xlpm.unite)&gt;0,_xlpm.estPoids,COUNTIF(AG362:AI362,_xlpm.unite)+COUNTIF(AG364:AI364,_xlpm.unite)&gt;0,IF(_xlpm.estVol,IF(ROUND(_xlpm.val,3)&gt;=1,ROUND(_xlpm.val,3)&amp;" L",MAX(1,ROUND(_xlpm.val*100,0))&amp;" cl"),IF(_xlpm.estPoids,IF(ROUND(_xlpm.val,3)&gt;=1,ROUND(_xlpm.val,3)&amp;" Kg",MAX(1,ROUND(_xlpm.val*1000,0))&amp;" g"),"")))</f>
        <v/>
      </c>
      <c r="AQ359" s="5086"/>
      <c r="AR359" s="104" t="str">
        <f t="shared" si="74"/>
        <v>A</v>
      </c>
      <c r="AS359" s="32" t="str">
        <f>AS337</f>
        <v>B BAUDRUCHE DE COPAIN | | Autor &gt; Guy KRENZE - Eric GODDYN - Arnaud NICOLAS - CEPROC 2002</v>
      </c>
      <c r="AT359" s="33">
        <f>AT337</f>
        <v>9.0500000000000007</v>
      </c>
      <c r="AU359" s="32" t="str">
        <f>AU337</f>
        <v>Kg</v>
      </c>
      <c r="AV359" s="34" t="str">
        <f>AV337</f>
        <v>Receta madre ► Morcilla en 4 versiones</v>
      </c>
      <c r="AW359" s="92"/>
      <c r="AX359" s="108"/>
      <c r="AY359" s="94" t="str">
        <f t="shared" si="71"/>
        <v/>
      </c>
      <c r="AZ359" s="95"/>
      <c r="BA359" s="126"/>
      <c r="BB359" s="127">
        <v>1</v>
      </c>
      <c r="BC359" s="5166" t="str">
        <f>"especias 1 g/kg = "&amp;TEXT(ROUND(SUM(BE341:BE346,BE348:BE353)*10/1000,3),IF(TEXT(1,"0,00")="1,00","0,000","0.000"))&amp;" Kg = "&amp;TEXT(ROUND(SUM(BE341:BE346,BE348:BE353)*10,0),IF(TEXT(1,"0,00")="1,00","# ##0","#,##0"))&amp;" g"</f>
        <v>especias 1 g/kg = 0.067 Kg = ,67 g</v>
      </c>
      <c r="BD359" s="5167">
        <f>IF(OR(ISBLANK(AW335),BD335=0),0,AW359*BB336)</f>
        <v>0</v>
      </c>
      <c r="BE359" s="101" cm="1">
        <f t="array" ref="BE359">IFERROR(_xlfn.LET(_xlpm.k,UPPER(TRIM(BA359)),_xlpm.r,_xlfn.XLOOKUP(_xlpm.k,UPPER(TRIM(AW362:BF362)),AW363:BF363,_xlfn.XLOOKUP(_xlpm.k,UPPER(TRIM(AW364:BF364)),AW365:BF365)),_xlpm.r*AZ359*BB359*BB336*IF(ISBLANK(AW359),1,AW359)),0)</f>
        <v>0</v>
      </c>
      <c r="BF359" s="1475" t="str">
        <f>_xlfn.LET(_xlpm.unite,SUBSTITUTE(TRIM(BA359)," (s)",""),_xlpm.val,BE359,_xlpm.estVol,COUNTIF(AZ362:BF362,_xlpm.unite)+COUNTIF(AZ364:BF364,_xlpm.unite)&gt;0,_xlpm.estPoids,COUNTIF(AW362:AY362,_xlpm.unite)+COUNTIF(AW364:AY364,_xlpm.unite)&gt;0,IF(_xlpm.estVol,IF(ROUND(_xlpm.val,3)&gt;=1,ROUND(_xlpm.val,3)&amp;" L",MAX(1,ROUND(_xlpm.val*100,0))&amp;" cl"),IF(_xlpm.estPoids,IF(ROUND(_xlpm.val,3)&gt;=1,ROUND(_xlpm.val,3)&amp;" Kg",MAX(1,ROUND(_xlpm.val*1000,0))&amp;" g"),"")))</f>
        <v/>
      </c>
      <c r="BG359" s="5086"/>
      <c r="BH359" s="104"/>
      <c r="BI359" s="32"/>
      <c r="BJ359" s="33"/>
      <c r="BK359" s="32"/>
      <c r="BL359" s="34"/>
      <c r="BM359" s="92"/>
      <c r="BN359" s="108"/>
      <c r="BO359" s="94"/>
      <c r="BP359" s="95"/>
      <c r="BQ359" s="105"/>
      <c r="BR359" s="5101"/>
      <c r="BS359" s="920"/>
      <c r="BT359" s="1495"/>
      <c r="BU359" s="101"/>
      <c r="BV359" s="1475"/>
      <c r="BW359" s="5086"/>
      <c r="BX359" s="104"/>
      <c r="BY359" s="32"/>
      <c r="BZ359" s="33"/>
      <c r="CA359" s="32"/>
      <c r="CB359" s="34"/>
      <c r="CC359" s="92"/>
      <c r="CD359" s="108"/>
      <c r="CE359" s="94"/>
      <c r="CF359" s="95"/>
      <c r="CG359" s="105"/>
      <c r="CH359" s="5101"/>
      <c r="CI359" s="920"/>
      <c r="CJ359" s="1495"/>
      <c r="CK359" s="101"/>
      <c r="CL359" s="1475"/>
      <c r="CM359" s="5086"/>
      <c r="CN359" s="104"/>
      <c r="CO359" s="32"/>
      <c r="CP359" s="33"/>
      <c r="CQ359" s="32"/>
      <c r="CR359" s="34"/>
      <c r="CS359" s="92"/>
      <c r="CT359" s="108"/>
      <c r="CU359" s="94"/>
      <c r="CV359" s="95"/>
      <c r="CW359" s="105"/>
      <c r="CX359" s="5101"/>
      <c r="CY359" s="920"/>
      <c r="CZ359" s="1495"/>
      <c r="DA359" s="101"/>
      <c r="DB359" s="1475"/>
      <c r="DC359" s="5109"/>
      <c r="DD359" s="5086"/>
      <c r="DF359" s="3">
        <v>1</v>
      </c>
      <c r="EY359" s="127">
        <v>1</v>
      </c>
      <c r="EZ359" s="920"/>
      <c r="FA359" s="1495">
        <f>IF(OR(ISBLANK(ET324),FA324=0),0,ET359*EY325)</f>
        <v>0</v>
      </c>
      <c r="FB359" s="101">
        <f>IFERROR(_xlfn.LET(_xlpm.v,IFERROR(_xlfn.XLOOKUP(EX359,ET361:FC361,ET362:FC362),_xlfn.XLOOKUP(EX359,ET363:FC363,ET364:FC364)),_xlpm.v*EW359*EY359*EY325*IF(ISBLANK(ET359),1,ET359)),0)</f>
        <v>0</v>
      </c>
      <c r="FC359" s="1475" t="str">
        <f>_xlfn.LET(_xlpm.unite,SUBSTITUTE(TRIM(EX359)," (s)",""),_xlpm.val,FB359,_xlpm.estVol,COUNTIF(EW361:FC361,_xlpm.unite)+COUNTIF(EW363:FC363,_xlpm.unite)&gt;0,_xlpm.estPoids,COUNTIF(ET361:EV361,_xlpm.unite)+COUNTIF(ET363:EV363,_xlpm.unite)&gt;0,IF(_xlpm.estVol,IF(ROUND(_xlpm.val,3)&gt;=1,ROUND(_xlpm.val,3)&amp;" L",MAX(1,ROUND(_xlpm.val*100,0))&amp;" cl"),IF(_xlpm.estPoids,IF(ROUND(_xlpm.val,3)&gt;=1,ROUND(_xlpm.val,3)&amp;" Kg",MAX(1,ROUND(_xlpm.val*1000,0))&amp;" g"),"")))</f>
        <v>1 cl</v>
      </c>
    </row>
    <row r="360" spans="2:159" ht="15.75" customHeight="1">
      <c r="B360" s="952" t="str">
        <f t="shared" si="75"/>
        <v>A</v>
      </c>
      <c r="C360" s="993" cm="1">
        <f t="array" ref="C360">SUMPRODUCT(LEN(D360:J360))</f>
        <v>0</v>
      </c>
      <c r="D360" s="167"/>
      <c r="E360" s="172"/>
      <c r="F360" s="172"/>
      <c r="G360" s="172"/>
      <c r="H360" s="172"/>
      <c r="I360" s="172"/>
      <c r="J360" s="173"/>
      <c r="K360"/>
      <c r="L360" s="104" t="str">
        <f t="shared" si="72"/>
        <v>A</v>
      </c>
      <c r="M360" s="32" t="str">
        <f>M337</f>
        <v>B BAUDRUCHE DE COPAIN | | Auteur &gt; Guy KRENZE - Eric GODDYN - Arnaud NICOLAS - CEPROC 2002</v>
      </c>
      <c r="N360" s="33">
        <f>N337</f>
        <v>9.0500000000000007</v>
      </c>
      <c r="O360" s="32" t="str">
        <f>O337</f>
        <v>Kg</v>
      </c>
      <c r="P360" s="34" t="str">
        <f>P337</f>
        <v>Recette mère ► le Boudin en 4 déclinaisons</v>
      </c>
      <c r="Q360" s="92"/>
      <c r="R360" s="108"/>
      <c r="S360" s="94" t="str">
        <f t="shared" si="69"/>
        <v/>
      </c>
      <c r="T360" s="95"/>
      <c r="U360" s="126"/>
      <c r="V360" s="127">
        <v>1</v>
      </c>
      <c r="W360" s="920" t="s">
        <v>13113</v>
      </c>
      <c r="X360" s="1495">
        <f>IF(OR(ISBLANK(Q335),X335=0),0,Q360*V336)</f>
        <v>0</v>
      </c>
      <c r="Y360" s="101" cm="1">
        <f t="array" ref="Y360">IFERROR(_xlfn.LET(_xlpm.k,UPPER(TRIM(U360)),_xlpm.r,_xlfn.XLOOKUP(_xlpm.k,UPPER(TRIM(Q362:Z362)),Q363:Z363,_xlfn.XLOOKUP(_xlpm.k,UPPER(TRIM(Q364:Z364)),Q365:Z365)),_xlpm.r*T360*V360*V336*IF(ISBLANK(Q360),1,Q360)),0)</f>
        <v>0</v>
      </c>
      <c r="Z360" s="1475" t="str">
        <f>_xlfn.LET(_xlpm.unite,SUBSTITUTE(TRIM(U360)," (s)",""),_xlpm.val,Y360,_xlpm.estVol,COUNTIF(T362:Z362,_xlpm.unite)+COUNTIF(T364:Z364,_xlpm.unite)&gt;0,_xlpm.estPoids,COUNTIF(Q362:S362,_xlpm.unite)+COUNTIF(Q364:S364,_xlpm.unite)&gt;0,IF(_xlpm.estVol,IF(ROUND(_xlpm.val,3)&gt;=1,ROUND(_xlpm.val,3)&amp;" L",MAX(1,ROUND(_xlpm.val*100,0))&amp;" cl"),IF(_xlpm.estPoids,IF(ROUND(_xlpm.val,3)&gt;=1,ROUND(_xlpm.val,3)&amp;" Kg",MAX(1,ROUND(_xlpm.val*1000,0))&amp;" g"),"")))</f>
        <v/>
      </c>
      <c r="AA360" s="5086"/>
      <c r="AB360" s="104" t="str">
        <f t="shared" si="73"/>
        <v>A</v>
      </c>
      <c r="AC360" s="32" t="str">
        <f>AC337</f>
        <v>B BAUDRUCHE DE COPAIN | |  Author &gt; Guy KRENZE - Eric GODDYN - Arnaud NICOLAS - CEPROC 2002</v>
      </c>
      <c r="AD360" s="33">
        <f>AD337</f>
        <v>9.0500000000000007</v>
      </c>
      <c r="AE360" s="32" t="str">
        <f>AE337</f>
        <v>Kg</v>
      </c>
      <c r="AF360" s="34" t="str">
        <f>AF337</f>
        <v>Master recipe ► Black pudding in 4 variations</v>
      </c>
      <c r="AG360" s="92"/>
      <c r="AH360" s="108"/>
      <c r="AI360" s="94" t="str">
        <f t="shared" si="70"/>
        <v/>
      </c>
      <c r="AJ360" s="95"/>
      <c r="AK360" s="126"/>
      <c r="AL360" s="127">
        <v>1</v>
      </c>
      <c r="AM360" s="920" t="s">
        <v>13277</v>
      </c>
      <c r="AN360" s="1495">
        <f>IF(OR(ISBLANK(AG335),AN335=0),0,AG360*AL336)</f>
        <v>0</v>
      </c>
      <c r="AO360" s="101" cm="1">
        <f t="array" ref="AO360">IFERROR(_xlfn.LET(_xlpm.k,UPPER(TRIM(AK360)),_xlpm.r,_xlfn.XLOOKUP(_xlpm.k,UPPER(TRIM(AG362:AP362)),AG363:AP363,_xlfn.XLOOKUP(_xlpm.k,UPPER(TRIM(AG364:AP364)),AG365:AP365)),_xlpm.r*AJ360*AL360*AL336*IF(ISBLANK(AG360),1,AG360)),0)</f>
        <v>0</v>
      </c>
      <c r="AP360" s="1475" t="str">
        <f>_xlfn.LET(_xlpm.unite,SUBSTITUTE(TRIM(AK360)," (s)",""),_xlpm.val,AO360,_xlpm.estVol,COUNTIF(AJ362:AP362,_xlpm.unite)+COUNTIF(AJ364:AP364,_xlpm.unite)&gt;0,_xlpm.estPoids,COUNTIF(AG362:AI362,_xlpm.unite)+COUNTIF(AG364:AI364,_xlpm.unite)&gt;0,IF(_xlpm.estVol,IF(ROUND(_xlpm.val,3)&gt;=1,ROUND(_xlpm.val,3)&amp;" L",MAX(1,ROUND(_xlpm.val*100,0))&amp;" cl"),IF(_xlpm.estPoids,IF(ROUND(_xlpm.val,3)&gt;=1,ROUND(_xlpm.val,3)&amp;" Kg",MAX(1,ROUND(_xlpm.val*1000,0))&amp;" g"),"")))</f>
        <v/>
      </c>
      <c r="AQ360" s="5086"/>
      <c r="AR360" s="104" t="str">
        <f t="shared" si="74"/>
        <v>A</v>
      </c>
      <c r="AS360" s="32" t="str">
        <f>AS337</f>
        <v>B BAUDRUCHE DE COPAIN | | Autor &gt; Guy KRENZE - Eric GODDYN - Arnaud NICOLAS - CEPROC 2002</v>
      </c>
      <c r="AT360" s="33">
        <f>AT337</f>
        <v>9.0500000000000007</v>
      </c>
      <c r="AU360" s="32" t="str">
        <f>AU337</f>
        <v>Kg</v>
      </c>
      <c r="AV360" s="34" t="str">
        <f>AV337</f>
        <v>Receta madre ► Morcilla en 4 versiones</v>
      </c>
      <c r="AW360" s="92"/>
      <c r="AX360" s="108"/>
      <c r="AY360" s="94" t="str">
        <f t="shared" si="71"/>
        <v/>
      </c>
      <c r="AZ360" s="95"/>
      <c r="BA360" s="126"/>
      <c r="BB360" s="127">
        <v>1</v>
      </c>
      <c r="BC360" s="920" t="s">
        <v>13293</v>
      </c>
      <c r="BD360" s="1495">
        <f>IF(OR(ISBLANK(AW335),BD335=0),0,AW360*BB336)</f>
        <v>0</v>
      </c>
      <c r="BE360" s="101" cm="1">
        <f t="array" ref="BE360">IFERROR(_xlfn.LET(_xlpm.k,UPPER(TRIM(BA360)),_xlpm.r,_xlfn.XLOOKUP(_xlpm.k,UPPER(TRIM(AW362:BF362)),AW363:BF363,_xlfn.XLOOKUP(_xlpm.k,UPPER(TRIM(AW364:BF364)),AW365:BF365)),_xlpm.r*AZ360*BB360*BB336*IF(ISBLANK(AW360),1,AW360)),0)</f>
        <v>0</v>
      </c>
      <c r="BF360" s="1475" t="str">
        <f>_xlfn.LET(_xlpm.unite,SUBSTITUTE(TRIM(BA360)," (s)",""),_xlpm.val,BE360,_xlpm.estVol,COUNTIF(AZ362:BF362,_xlpm.unite)+COUNTIF(AZ364:BF364,_xlpm.unite)&gt;0,_xlpm.estPoids,COUNTIF(AW362:AY362,_xlpm.unite)+COUNTIF(AW364:AY364,_xlpm.unite)&gt;0,IF(_xlpm.estVol,IF(ROUND(_xlpm.val,3)&gt;=1,ROUND(_xlpm.val,3)&amp;" L",MAX(1,ROUND(_xlpm.val*100,0))&amp;" cl"),IF(_xlpm.estPoids,IF(ROUND(_xlpm.val,3)&gt;=1,ROUND(_xlpm.val,3)&amp;" Kg",MAX(1,ROUND(_xlpm.val*1000,0))&amp;" g"),"")))</f>
        <v/>
      </c>
      <c r="BG360" s="5086"/>
      <c r="BH360" s="104"/>
      <c r="BI360" s="32"/>
      <c r="BJ360" s="33"/>
      <c r="BK360" s="32"/>
      <c r="BL360" s="34"/>
      <c r="BM360" s="92"/>
      <c r="BN360" s="108"/>
      <c r="BO360" s="94"/>
      <c r="BP360" s="95"/>
      <c r="BQ360" s="105"/>
      <c r="BR360" s="5101"/>
      <c r="BS360" s="920"/>
      <c r="BT360" s="1495"/>
      <c r="BU360" s="101"/>
      <c r="BV360" s="1475"/>
      <c r="BW360" s="5086"/>
      <c r="BX360" s="104"/>
      <c r="BY360" s="32"/>
      <c r="BZ360" s="33"/>
      <c r="CA360" s="32"/>
      <c r="CB360" s="34"/>
      <c r="CC360" s="92"/>
      <c r="CD360" s="108"/>
      <c r="CE360" s="94"/>
      <c r="CF360" s="95"/>
      <c r="CG360" s="105"/>
      <c r="CH360" s="5101"/>
      <c r="CI360" s="920"/>
      <c r="CJ360" s="1495"/>
      <c r="CK360" s="101"/>
      <c r="CL360" s="1475"/>
      <c r="CM360" s="5086"/>
      <c r="CN360" s="104"/>
      <c r="CO360" s="32"/>
      <c r="CP360" s="33"/>
      <c r="CQ360" s="32"/>
      <c r="CR360" s="34"/>
      <c r="CS360" s="92"/>
      <c r="CT360" s="108"/>
      <c r="CU360" s="94"/>
      <c r="CV360" s="95"/>
      <c r="CW360" s="105"/>
      <c r="CX360" s="5101"/>
      <c r="CY360" s="920"/>
      <c r="CZ360" s="1495"/>
      <c r="DA360" s="101"/>
      <c r="DB360" s="1475"/>
      <c r="DC360" s="5109"/>
      <c r="DD360" s="5086"/>
      <c r="DF360" s="3">
        <v>1</v>
      </c>
      <c r="EY360" s="908"/>
      <c r="EZ360" s="909"/>
      <c r="FA360" s="909"/>
      <c r="FB360" s="910">
        <f>SUM(FB330:FB359)</f>
        <v>0</v>
      </c>
      <c r="FC360" s="1489"/>
    </row>
    <row r="361" spans="2:159" ht="15.75" customHeight="1">
      <c r="B361" s="952" t="str">
        <f t="shared" si="75"/>
        <v>A</v>
      </c>
      <c r="C361" s="993" cm="1">
        <f t="array" ref="C361">SUMPRODUCT(LEN(D361:J361))</f>
        <v>0</v>
      </c>
      <c r="D361" s="167"/>
      <c r="E361" s="172"/>
      <c r="F361" s="172"/>
      <c r="G361" s="172"/>
      <c r="H361" s="172"/>
      <c r="I361" s="172"/>
      <c r="J361" s="173"/>
      <c r="K361"/>
      <c r="L361" s="104" t="s">
        <v>11</v>
      </c>
      <c r="M361" s="32" t="str">
        <f>M337</f>
        <v>B BAUDRUCHE DE COPAIN | | Auteur &gt; Guy KRENZE - Eric GODDYN - Arnaud NICOLAS - CEPROC 2002</v>
      </c>
      <c r="N361" s="33">
        <f>N337</f>
        <v>9.0500000000000007</v>
      </c>
      <c r="O361" s="32" t="str">
        <f>O337</f>
        <v>Kg</v>
      </c>
      <c r="P361" s="34" t="str">
        <f>P337</f>
        <v>Recette mère ► le Boudin en 4 déclinaisons</v>
      </c>
      <c r="Q361" s="907" t="s">
        <v>136</v>
      </c>
      <c r="R361" s="500"/>
      <c r="S361" s="500"/>
      <c r="T361" s="500"/>
      <c r="U361" s="500"/>
      <c r="V361" s="908"/>
      <c r="W361" s="909"/>
      <c r="X361" s="909"/>
      <c r="Y361" s="910">
        <f>SUM(Y341:Y360)</f>
        <v>9.9999999999999982</v>
      </c>
      <c r="Z361" s="1489"/>
      <c r="AA361" s="5086"/>
      <c r="AB361" s="104" t="s">
        <v>11</v>
      </c>
      <c r="AC361" s="32" t="str">
        <f>AC337</f>
        <v>B BAUDRUCHE DE COPAIN | |  Author &gt; Guy KRENZE - Eric GODDYN - Arnaud NICOLAS - CEPROC 2002</v>
      </c>
      <c r="AD361" s="33">
        <f>AD337</f>
        <v>9.0500000000000007</v>
      </c>
      <c r="AE361" s="32" t="str">
        <f>AE337</f>
        <v>Kg</v>
      </c>
      <c r="AF361" s="34" t="str">
        <f>AF337</f>
        <v>Master recipe ► Black pudding in 4 variations</v>
      </c>
      <c r="AG361" s="907" t="s">
        <v>893</v>
      </c>
      <c r="AH361" s="500"/>
      <c r="AI361" s="500"/>
      <c r="AJ361" s="500"/>
      <c r="AK361" s="500"/>
      <c r="AL361" s="908"/>
      <c r="AM361" s="909"/>
      <c r="AN361" s="909"/>
      <c r="AO361" s="910">
        <f>SUM(AO341:AO360)</f>
        <v>9.9999999999999982</v>
      </c>
      <c r="AP361" s="1489"/>
      <c r="AQ361" s="5086"/>
      <c r="AR361" s="104" t="s">
        <v>11</v>
      </c>
      <c r="AS361" s="32" t="str">
        <f>AS337</f>
        <v>B BAUDRUCHE DE COPAIN | | Autor &gt; Guy KRENZE - Eric GODDYN - Arnaud NICOLAS - CEPROC 2002</v>
      </c>
      <c r="AT361" s="33">
        <f>AT337</f>
        <v>9.0500000000000007</v>
      </c>
      <c r="AU361" s="32" t="str">
        <f>AU337</f>
        <v>Kg</v>
      </c>
      <c r="AV361" s="34" t="str">
        <f>AV337</f>
        <v>Receta madre ► Morcilla en 4 versiones</v>
      </c>
      <c r="AW361" s="907" t="s">
        <v>893</v>
      </c>
      <c r="AX361" s="500"/>
      <c r="AY361" s="500"/>
      <c r="AZ361" s="500"/>
      <c r="BA361" s="500"/>
      <c r="BB361" s="908"/>
      <c r="BC361" s="909"/>
      <c r="BD361" s="909"/>
      <c r="BE361" s="910">
        <f>SUM(BE341:BE360)</f>
        <v>9.9999999999999982</v>
      </c>
      <c r="BF361" s="1489"/>
      <c r="BG361" s="5086"/>
      <c r="BH361" s="104"/>
      <c r="BI361" s="32"/>
      <c r="BJ361" s="33"/>
      <c r="BK361" s="32"/>
      <c r="BL361" s="34"/>
      <c r="BM361" s="92"/>
      <c r="BN361" s="108"/>
      <c r="BO361" s="94"/>
      <c r="BP361" s="95"/>
      <c r="BQ361" s="105"/>
      <c r="BR361" s="5101"/>
      <c r="BS361" s="920"/>
      <c r="BT361" s="1495"/>
      <c r="BU361" s="101"/>
      <c r="BV361" s="1475"/>
      <c r="BW361" s="5086"/>
      <c r="BX361" s="104"/>
      <c r="BY361" s="32"/>
      <c r="BZ361" s="33"/>
      <c r="CA361" s="32"/>
      <c r="CB361" s="34"/>
      <c r="CC361" s="92"/>
      <c r="CD361" s="108"/>
      <c r="CE361" s="94"/>
      <c r="CF361" s="95"/>
      <c r="CG361" s="105"/>
      <c r="CH361" s="5101"/>
      <c r="CI361" s="920"/>
      <c r="CJ361" s="1495"/>
      <c r="CK361" s="101"/>
      <c r="CL361" s="1475"/>
      <c r="CM361" s="5086"/>
      <c r="CN361" s="104"/>
      <c r="CO361" s="32"/>
      <c r="CP361" s="33"/>
      <c r="CQ361" s="32"/>
      <c r="CR361" s="34"/>
      <c r="CS361" s="92"/>
      <c r="CT361" s="108"/>
      <c r="CU361" s="94"/>
      <c r="CV361" s="95"/>
      <c r="CW361" s="105"/>
      <c r="CX361" s="5101"/>
      <c r="CY361" s="920"/>
      <c r="CZ361" s="1495"/>
      <c r="DA361" s="101"/>
      <c r="DB361" s="1475"/>
      <c r="DC361" s="5109"/>
      <c r="DD361" s="5086"/>
      <c r="DF361" s="3">
        <v>1</v>
      </c>
      <c r="EY361" s="96" t="s">
        <v>147</v>
      </c>
      <c r="EZ361" s="96" t="s">
        <v>148</v>
      </c>
      <c r="FA361" s="109" t="s">
        <v>1379</v>
      </c>
      <c r="FB361" s="109" t="s">
        <v>1341</v>
      </c>
      <c r="FC361" s="109" t="s">
        <v>1342</v>
      </c>
    </row>
    <row r="362" spans="2:159" ht="18.75">
      <c r="B362" s="952" t="str">
        <f t="shared" si="75"/>
        <v>►</v>
      </c>
      <c r="C362" s="993" cm="1">
        <f t="array" ref="C362">SUMPRODUCT(LEN(D362:J362))</f>
        <v>0</v>
      </c>
      <c r="D362" s="167"/>
      <c r="E362" s="172"/>
      <c r="F362" s="172"/>
      <c r="G362" s="172"/>
      <c r="H362" s="172"/>
      <c r="I362" s="172"/>
      <c r="J362" s="173"/>
      <c r="K362"/>
      <c r="L362" s="104" t="s">
        <v>16</v>
      </c>
      <c r="M362" s="32" t="str">
        <f>M337</f>
        <v>B BAUDRUCHE DE COPAIN | | Auteur &gt; Guy KRENZE - Eric GODDYN - Arnaud NICOLAS - CEPROC 2002</v>
      </c>
      <c r="N362" s="33">
        <f>N337</f>
        <v>9.0500000000000007</v>
      </c>
      <c r="O362" s="32" t="str">
        <f>O337</f>
        <v>Kg</v>
      </c>
      <c r="P362" s="34" t="str">
        <f>P337</f>
        <v>Recette mère ► le Boudin en 4 déclinaisons</v>
      </c>
      <c r="Q362" s="140" t="s">
        <v>143</v>
      </c>
      <c r="R362" s="105" t="s">
        <v>99</v>
      </c>
      <c r="S362" s="141" t="s">
        <v>144</v>
      </c>
      <c r="T362" s="96" t="s">
        <v>0</v>
      </c>
      <c r="U362" s="96" t="s">
        <v>96</v>
      </c>
      <c r="V362" s="96" t="s">
        <v>147</v>
      </c>
      <c r="W362" s="96" t="s">
        <v>148</v>
      </c>
      <c r="X362" s="109" t="s">
        <v>364</v>
      </c>
      <c r="Y362" s="109" t="s">
        <v>102</v>
      </c>
      <c r="Z362" s="109" t="s">
        <v>149</v>
      </c>
      <c r="AA362" s="5086"/>
      <c r="AB362" s="104" t="s">
        <v>16</v>
      </c>
      <c r="AC362" s="32" t="str">
        <f>AC337</f>
        <v>B BAUDRUCHE DE COPAIN | |  Author &gt; Guy KRENZE - Eric GODDYN - Arnaud NICOLAS - CEPROC 2002</v>
      </c>
      <c r="AD362" s="33">
        <f>AD337</f>
        <v>9.0500000000000007</v>
      </c>
      <c r="AE362" s="32" t="str">
        <f>AE337</f>
        <v>Kg</v>
      </c>
      <c r="AF362" s="34" t="str">
        <f>AF337</f>
        <v>Master recipe ► Black pudding in 4 variations</v>
      </c>
      <c r="AG362" s="140" t="s">
        <v>143</v>
      </c>
      <c r="AH362" s="105" t="s">
        <v>99</v>
      </c>
      <c r="AI362" s="141" t="s">
        <v>144</v>
      </c>
      <c r="AJ362" s="96" t="s">
        <v>0</v>
      </c>
      <c r="AK362" s="96" t="s">
        <v>96</v>
      </c>
      <c r="AL362" s="96" t="s">
        <v>147</v>
      </c>
      <c r="AM362" s="96" t="s">
        <v>148</v>
      </c>
      <c r="AN362" s="109" t="s">
        <v>1378</v>
      </c>
      <c r="AO362" s="109" t="s">
        <v>1360</v>
      </c>
      <c r="AP362" s="109" t="s">
        <v>1361</v>
      </c>
      <c r="AQ362" s="5086"/>
      <c r="AR362" s="104" t="s">
        <v>16</v>
      </c>
      <c r="AS362" s="32" t="str">
        <f>AS337</f>
        <v>B BAUDRUCHE DE COPAIN | | Autor &gt; Guy KRENZE - Eric GODDYN - Arnaud NICOLAS - CEPROC 2002</v>
      </c>
      <c r="AT362" s="33">
        <f>AT337</f>
        <v>9.0500000000000007</v>
      </c>
      <c r="AU362" s="32" t="str">
        <f>AU337</f>
        <v>Kg</v>
      </c>
      <c r="AV362" s="34" t="str">
        <f>AV337</f>
        <v>Receta madre ► Morcilla en 4 versiones</v>
      </c>
      <c r="AW362" s="140" t="s">
        <v>143</v>
      </c>
      <c r="AX362" s="105" t="s">
        <v>99</v>
      </c>
      <c r="AY362" s="141" t="s">
        <v>144</v>
      </c>
      <c r="AZ362" s="96" t="s">
        <v>0</v>
      </c>
      <c r="BA362" s="96" t="s">
        <v>96</v>
      </c>
      <c r="BB362" s="96" t="s">
        <v>147</v>
      </c>
      <c r="BC362" s="96" t="s">
        <v>148</v>
      </c>
      <c r="BD362" s="109" t="s">
        <v>1379</v>
      </c>
      <c r="BE362" s="109" t="s">
        <v>1341</v>
      </c>
      <c r="BF362" s="109" t="s">
        <v>1342</v>
      </c>
      <c r="BG362" s="5086"/>
      <c r="BH362" s="104"/>
      <c r="BI362" s="32"/>
      <c r="BJ362" s="33"/>
      <c r="BK362" s="32"/>
      <c r="BL362" s="34"/>
      <c r="BM362" s="92"/>
      <c r="BN362" s="108"/>
      <c r="BO362" s="94"/>
      <c r="BP362" s="95"/>
      <c r="BQ362" s="105"/>
      <c r="BR362" s="5101"/>
      <c r="BS362" s="920"/>
      <c r="BT362" s="1495"/>
      <c r="BU362" s="101"/>
      <c r="BV362" s="1475"/>
      <c r="BW362" s="5086"/>
      <c r="BX362" s="104"/>
      <c r="BY362" s="32"/>
      <c r="BZ362" s="33"/>
      <c r="CA362" s="32"/>
      <c r="CB362" s="34"/>
      <c r="CC362" s="92"/>
      <c r="CD362" s="108"/>
      <c r="CE362" s="94"/>
      <c r="CF362" s="95"/>
      <c r="CG362" s="105"/>
      <c r="CH362" s="5101"/>
      <c r="CI362" s="920"/>
      <c r="CJ362" s="1495"/>
      <c r="CK362" s="101"/>
      <c r="CL362" s="1475"/>
      <c r="CM362" s="5086"/>
      <c r="CN362" s="104"/>
      <c r="CO362" s="32"/>
      <c r="CP362" s="33"/>
      <c r="CQ362" s="32"/>
      <c r="CR362" s="34"/>
      <c r="CS362" s="92"/>
      <c r="CT362" s="108"/>
      <c r="CU362" s="94"/>
      <c r="CV362" s="95"/>
      <c r="CW362" s="105"/>
      <c r="CX362" s="5101"/>
      <c r="CY362" s="920"/>
      <c r="CZ362" s="1495"/>
      <c r="DA362" s="101"/>
      <c r="DB362" s="1475"/>
      <c r="DC362" s="5109"/>
      <c r="DD362" s="5086"/>
      <c r="DF362" s="3">
        <v>1</v>
      </c>
      <c r="EY362" s="914">
        <v>0.01</v>
      </c>
      <c r="EZ362" s="914">
        <v>1E-3</v>
      </c>
      <c r="FA362" s="914">
        <v>0.25</v>
      </c>
      <c r="FB362" s="914">
        <v>0.5</v>
      </c>
      <c r="FC362" s="914">
        <v>0.33300000000000002</v>
      </c>
    </row>
    <row r="363" spans="2:159" ht="18.75">
      <c r="B363" s="952" t="str">
        <f t="shared" si="75"/>
        <v>►</v>
      </c>
      <c r="C363" s="993" cm="1">
        <f t="array" ref="C363">SUMPRODUCT(LEN(D363:J363))</f>
        <v>0</v>
      </c>
      <c r="D363" s="167"/>
      <c r="E363" s="172"/>
      <c r="F363" s="172"/>
      <c r="G363" s="172"/>
      <c r="H363" s="172"/>
      <c r="I363" s="172"/>
      <c r="J363" s="173"/>
      <c r="K363"/>
      <c r="L363" s="104" t="s">
        <v>16</v>
      </c>
      <c r="M363" s="32" t="str">
        <f>M337</f>
        <v>B BAUDRUCHE DE COPAIN | | Auteur &gt; Guy KRENZE - Eric GODDYN - Arnaud NICOLAS - CEPROC 2002</v>
      </c>
      <c r="N363" s="33">
        <f>N337</f>
        <v>9.0500000000000007</v>
      </c>
      <c r="O363" s="32" t="str">
        <f>O337</f>
        <v>Kg</v>
      </c>
      <c r="P363" s="34" t="str">
        <f>P337</f>
        <v>Recette mère ► le Boudin en 4 déclinaisons</v>
      </c>
      <c r="Q363" s="911">
        <v>1</v>
      </c>
      <c r="R363" s="912">
        <v>1E-3</v>
      </c>
      <c r="S363" s="913">
        <v>0</v>
      </c>
      <c r="T363" s="914">
        <v>1</v>
      </c>
      <c r="U363" s="914">
        <v>0.1</v>
      </c>
      <c r="V363" s="914">
        <v>0.01</v>
      </c>
      <c r="W363" s="914">
        <v>1E-3</v>
      </c>
      <c r="X363" s="914">
        <v>0.25</v>
      </c>
      <c r="Y363" s="914">
        <v>0.5</v>
      </c>
      <c r="Z363" s="914">
        <v>0.33300000000000002</v>
      </c>
      <c r="AA363" s="5086"/>
      <c r="AB363" s="104" t="s">
        <v>16</v>
      </c>
      <c r="AC363" s="32" t="str">
        <f>AC337</f>
        <v>B BAUDRUCHE DE COPAIN | |  Author &gt; Guy KRENZE - Eric GODDYN - Arnaud NICOLAS - CEPROC 2002</v>
      </c>
      <c r="AD363" s="33">
        <f>AD337</f>
        <v>9.0500000000000007</v>
      </c>
      <c r="AE363" s="32" t="str">
        <f>AE337</f>
        <v>Kg</v>
      </c>
      <c r="AF363" s="34" t="str">
        <f>AF337</f>
        <v>Master recipe ► Black pudding in 4 variations</v>
      </c>
      <c r="AG363" s="911">
        <v>1</v>
      </c>
      <c r="AH363" s="912">
        <v>1E-3</v>
      </c>
      <c r="AI363" s="913">
        <v>0</v>
      </c>
      <c r="AJ363" s="914">
        <v>1</v>
      </c>
      <c r="AK363" s="914">
        <v>0.1</v>
      </c>
      <c r="AL363" s="914">
        <v>0.01</v>
      </c>
      <c r="AM363" s="914">
        <v>1E-3</v>
      </c>
      <c r="AN363" s="914">
        <v>0.25</v>
      </c>
      <c r="AO363" s="914">
        <v>0.5</v>
      </c>
      <c r="AP363" s="914">
        <v>0.33300000000000002</v>
      </c>
      <c r="AQ363" s="5086"/>
      <c r="AR363" s="104" t="s">
        <v>16</v>
      </c>
      <c r="AS363" s="32" t="str">
        <f>AS337</f>
        <v>B BAUDRUCHE DE COPAIN | | Autor &gt; Guy KRENZE - Eric GODDYN - Arnaud NICOLAS - CEPROC 2002</v>
      </c>
      <c r="AT363" s="33">
        <f>AT337</f>
        <v>9.0500000000000007</v>
      </c>
      <c r="AU363" s="32" t="str">
        <f>AU337</f>
        <v>Kg</v>
      </c>
      <c r="AV363" s="34" t="str">
        <f>AV337</f>
        <v>Receta madre ► Morcilla en 4 versiones</v>
      </c>
      <c r="AW363" s="911">
        <v>1</v>
      </c>
      <c r="AX363" s="912">
        <v>1E-3</v>
      </c>
      <c r="AY363" s="913">
        <v>0</v>
      </c>
      <c r="AZ363" s="914">
        <v>1</v>
      </c>
      <c r="BA363" s="914">
        <v>0.1</v>
      </c>
      <c r="BB363" s="914">
        <v>0.01</v>
      </c>
      <c r="BC363" s="914">
        <v>1E-3</v>
      </c>
      <c r="BD363" s="914">
        <v>0.25</v>
      </c>
      <c r="BE363" s="914">
        <v>0.5</v>
      </c>
      <c r="BF363" s="914">
        <v>0.33300000000000002</v>
      </c>
      <c r="BG363" s="5086"/>
      <c r="BH363" s="104"/>
      <c r="BI363" s="32"/>
      <c r="BJ363" s="33"/>
      <c r="BK363" s="32"/>
      <c r="BL363" s="34"/>
      <c r="BM363" s="92"/>
      <c r="BN363" s="108"/>
      <c r="BO363" s="94"/>
      <c r="BP363" s="95"/>
      <c r="BQ363" s="105"/>
      <c r="BR363" s="5101"/>
      <c r="BS363" s="920"/>
      <c r="BT363" s="1495"/>
      <c r="BU363" s="101"/>
      <c r="BV363" s="1475"/>
      <c r="BW363" s="5086"/>
      <c r="BX363" s="104"/>
      <c r="BY363" s="32"/>
      <c r="BZ363" s="33"/>
      <c r="CA363" s="32"/>
      <c r="CB363" s="34"/>
      <c r="CC363" s="92"/>
      <c r="CD363" s="108"/>
      <c r="CE363" s="94"/>
      <c r="CF363" s="95"/>
      <c r="CG363" s="105"/>
      <c r="CH363" s="5101"/>
      <c r="CI363" s="920"/>
      <c r="CJ363" s="1495"/>
      <c r="CK363" s="101"/>
      <c r="CL363" s="1475"/>
      <c r="CM363" s="5086"/>
      <c r="CN363" s="104"/>
      <c r="CO363" s="32"/>
      <c r="CP363" s="33"/>
      <c r="CQ363" s="32"/>
      <c r="CR363" s="34"/>
      <c r="CS363" s="92"/>
      <c r="CT363" s="108"/>
      <c r="CU363" s="94"/>
      <c r="CV363" s="95"/>
      <c r="CW363" s="105"/>
      <c r="CX363" s="5101"/>
      <c r="CY363" s="920"/>
      <c r="CZ363" s="1495"/>
      <c r="DA363" s="101"/>
      <c r="DB363" s="1475"/>
      <c r="DC363" s="5109"/>
      <c r="DD363" s="5086"/>
      <c r="DF363" s="3">
        <v>1</v>
      </c>
      <c r="EY363" s="109" t="s">
        <v>1355</v>
      </c>
      <c r="EZ363" s="109" t="s">
        <v>1353</v>
      </c>
      <c r="FA363" s="149" t="s">
        <v>1351</v>
      </c>
      <c r="FB363" s="123" t="s">
        <v>1350</v>
      </c>
      <c r="FC363" s="1061" t="s">
        <v>1833</v>
      </c>
    </row>
    <row r="364" spans="2:159" ht="18.75">
      <c r="B364" s="952" t="str">
        <f t="shared" si="75"/>
        <v>►</v>
      </c>
      <c r="C364" s="993" cm="1">
        <f t="array" ref="C364">SUMPRODUCT(LEN(D364:J364))</f>
        <v>0</v>
      </c>
      <c r="D364" s="167"/>
      <c r="E364" s="172"/>
      <c r="F364" s="172"/>
      <c r="G364" s="172"/>
      <c r="H364" s="172"/>
      <c r="I364" s="172"/>
      <c r="J364" s="173"/>
      <c r="K364"/>
      <c r="L364" s="104" t="s">
        <v>16</v>
      </c>
      <c r="M364" s="32" t="str">
        <f>M337</f>
        <v>B BAUDRUCHE DE COPAIN | | Auteur &gt; Guy KRENZE - Eric GODDYN - Arnaud NICOLAS - CEPROC 2002</v>
      </c>
      <c r="N364" s="33">
        <f>N337</f>
        <v>9.0500000000000007</v>
      </c>
      <c r="O364" s="32" t="str">
        <f>O337</f>
        <v>Kg</v>
      </c>
      <c r="P364" s="34" t="str">
        <f>P337</f>
        <v>Recette mère ► le Boudin en 4 déclinaisons</v>
      </c>
      <c r="Q364" s="142" t="s">
        <v>145</v>
      </c>
      <c r="R364" s="117" t="s">
        <v>107</v>
      </c>
      <c r="S364" s="141" t="s">
        <v>144</v>
      </c>
      <c r="T364" s="109" t="s">
        <v>150</v>
      </c>
      <c r="U364" s="109" t="s">
        <v>163</v>
      </c>
      <c r="V364" s="109" t="s">
        <v>103</v>
      </c>
      <c r="W364" s="109" t="s">
        <v>162</v>
      </c>
      <c r="X364" s="149" t="s">
        <v>160</v>
      </c>
      <c r="Y364" s="149" t="s">
        <v>117</v>
      </c>
      <c r="Z364" s="1061" t="s">
        <v>1831</v>
      </c>
      <c r="AA364" s="5086"/>
      <c r="AB364" s="104" t="s">
        <v>16</v>
      </c>
      <c r="AC364" s="32" t="str">
        <f>AC337</f>
        <v>B BAUDRUCHE DE COPAIN | |  Author &gt; Guy KRENZE - Eric GODDYN - Arnaud NICOLAS - CEPROC 2002</v>
      </c>
      <c r="AD364" s="33">
        <f>AD337</f>
        <v>9.0500000000000007</v>
      </c>
      <c r="AE364" s="32" t="str">
        <f>AE337</f>
        <v>Kg</v>
      </c>
      <c r="AF364" s="34" t="str">
        <f>AF337</f>
        <v>Master recipe ► Black pudding in 4 variations</v>
      </c>
      <c r="AG364" s="142" t="s">
        <v>1357</v>
      </c>
      <c r="AH364" s="117" t="s">
        <v>1359</v>
      </c>
      <c r="AI364" s="141" t="s">
        <v>144</v>
      </c>
      <c r="AJ364" s="109" t="s">
        <v>1362</v>
      </c>
      <c r="AK364" s="109" t="s">
        <v>1371</v>
      </c>
      <c r="AL364" s="109" t="s">
        <v>1372</v>
      </c>
      <c r="AM364" s="109" t="s">
        <v>1370</v>
      </c>
      <c r="AN364" s="149" t="s">
        <v>1368</v>
      </c>
      <c r="AO364" s="149" t="s">
        <v>1367</v>
      </c>
      <c r="AP364" s="1061" t="s">
        <v>1832</v>
      </c>
      <c r="AQ364" s="5086"/>
      <c r="AR364" s="104" t="s">
        <v>16</v>
      </c>
      <c r="AS364" s="32" t="str">
        <f>AS337</f>
        <v>B BAUDRUCHE DE COPAIN | | Autor &gt; Guy KRENZE - Eric GODDYN - Arnaud NICOLAS - CEPROC 2002</v>
      </c>
      <c r="AT364" s="33">
        <f>AT337</f>
        <v>9.0500000000000007</v>
      </c>
      <c r="AU364" s="32" t="str">
        <f>AU337</f>
        <v>Kg</v>
      </c>
      <c r="AV364" s="34" t="str">
        <f>AV337</f>
        <v>Receta madre ► Morcilla en 4 versiones</v>
      </c>
      <c r="AW364" s="142" t="s">
        <v>145</v>
      </c>
      <c r="AX364" s="117" t="s">
        <v>107</v>
      </c>
      <c r="AY364" s="141" t="s">
        <v>144</v>
      </c>
      <c r="AZ364" s="143" t="s">
        <v>1343</v>
      </c>
      <c r="BA364" s="109" t="s">
        <v>1354</v>
      </c>
      <c r="BB364" s="109" t="s">
        <v>1355</v>
      </c>
      <c r="BC364" s="109" t="s">
        <v>1353</v>
      </c>
      <c r="BD364" s="149" t="s">
        <v>1351</v>
      </c>
      <c r="BE364" s="123" t="s">
        <v>1350</v>
      </c>
      <c r="BF364" s="1061" t="s">
        <v>1833</v>
      </c>
      <c r="BG364" s="5086"/>
      <c r="BH364" s="104"/>
      <c r="BI364" s="32"/>
      <c r="BJ364" s="33"/>
      <c r="BK364" s="32"/>
      <c r="BL364" s="34"/>
      <c r="BM364" s="92"/>
      <c r="BN364" s="108"/>
      <c r="BO364" s="94"/>
      <c r="BP364" s="95"/>
      <c r="BQ364" s="105"/>
      <c r="BR364" s="5101"/>
      <c r="BS364" s="920"/>
      <c r="BT364" s="1495"/>
      <c r="BU364" s="101"/>
      <c r="BV364" s="1475"/>
      <c r="BW364" s="5086"/>
      <c r="BX364" s="104"/>
      <c r="BY364" s="32"/>
      <c r="BZ364" s="33"/>
      <c r="CA364" s="32"/>
      <c r="CB364" s="34"/>
      <c r="CC364" s="92"/>
      <c r="CD364" s="108"/>
      <c r="CE364" s="94"/>
      <c r="CF364" s="95"/>
      <c r="CG364" s="105"/>
      <c r="CH364" s="5101"/>
      <c r="CI364" s="920"/>
      <c r="CJ364" s="1495"/>
      <c r="CK364" s="101"/>
      <c r="CL364" s="1475"/>
      <c r="CM364" s="5086"/>
      <c r="CN364" s="104"/>
      <c r="CO364" s="32"/>
      <c r="CP364" s="33"/>
      <c r="CQ364" s="32"/>
      <c r="CR364" s="34"/>
      <c r="CS364" s="92"/>
      <c r="CT364" s="108"/>
      <c r="CU364" s="94"/>
      <c r="CV364" s="95"/>
      <c r="CW364" s="105"/>
      <c r="CX364" s="5101"/>
      <c r="CY364" s="920"/>
      <c r="CZ364" s="1495"/>
      <c r="DA364" s="101"/>
      <c r="DB364" s="1475"/>
      <c r="DC364" s="5109"/>
      <c r="DD364" s="5086"/>
      <c r="DF364" s="3">
        <v>1</v>
      </c>
      <c r="EY364" s="914">
        <v>0.22500000000000001</v>
      </c>
      <c r="EZ364" s="914">
        <v>1.4999999999999999E-2</v>
      </c>
      <c r="FA364" s="914">
        <v>4.9299999999999995E-3</v>
      </c>
      <c r="FB364" s="914">
        <v>0.35</v>
      </c>
      <c r="FC364" s="915">
        <v>0.25</v>
      </c>
    </row>
    <row r="365" spans="2:159" ht="18.75">
      <c r="B365" s="952" t="str">
        <f t="shared" si="75"/>
        <v>►</v>
      </c>
      <c r="C365" s="993" cm="1">
        <f t="array" ref="C365">SUMPRODUCT(LEN(D365:J365))</f>
        <v>0</v>
      </c>
      <c r="D365" s="167"/>
      <c r="E365" s="172"/>
      <c r="F365" s="172"/>
      <c r="G365" s="172"/>
      <c r="H365" s="172"/>
      <c r="I365" s="172"/>
      <c r="J365" s="173"/>
      <c r="K365"/>
      <c r="L365" s="104" t="s">
        <v>16</v>
      </c>
      <c r="M365" s="32" t="str">
        <f>M337</f>
        <v>B BAUDRUCHE DE COPAIN | | Auteur &gt; Guy KRENZE - Eric GODDYN - Arnaud NICOLAS - CEPROC 2002</v>
      </c>
      <c r="N365" s="33">
        <f>N337</f>
        <v>9.0500000000000007</v>
      </c>
      <c r="O365" s="32" t="str">
        <f>O337</f>
        <v>Kg</v>
      </c>
      <c r="P365" s="34" t="str">
        <f>P337</f>
        <v>Recette mère ► le Boudin en 4 déclinaisons</v>
      </c>
      <c r="Q365" s="912">
        <v>0.25</v>
      </c>
      <c r="R365" s="912">
        <v>0.5</v>
      </c>
      <c r="S365" s="913">
        <v>0</v>
      </c>
      <c r="T365" s="914">
        <v>0.2</v>
      </c>
      <c r="U365" s="914">
        <v>0.1</v>
      </c>
      <c r="V365" s="914">
        <v>0.22500000000000001</v>
      </c>
      <c r="W365" s="914">
        <v>1.4999999999999999E-2</v>
      </c>
      <c r="X365" s="914">
        <v>4.9299999999999995E-3</v>
      </c>
      <c r="Y365" s="914">
        <v>0.35</v>
      </c>
      <c r="Z365" s="915">
        <v>0.25</v>
      </c>
      <c r="AA365" s="5086"/>
      <c r="AB365" s="104" t="s">
        <v>16</v>
      </c>
      <c r="AC365" s="32" t="str">
        <f>AC337</f>
        <v>B BAUDRUCHE DE COPAIN | |  Author &gt; Guy KRENZE - Eric GODDYN - Arnaud NICOLAS - CEPROC 2002</v>
      </c>
      <c r="AD365" s="33">
        <f>AD337</f>
        <v>9.0500000000000007</v>
      </c>
      <c r="AE365" s="32" t="str">
        <f>AE337</f>
        <v>Kg</v>
      </c>
      <c r="AF365" s="34" t="str">
        <f>AF337</f>
        <v>Master recipe ► Black pudding in 4 variations</v>
      </c>
      <c r="AG365" s="912">
        <v>0.25</v>
      </c>
      <c r="AH365" s="912">
        <v>0.5</v>
      </c>
      <c r="AI365" s="913">
        <v>0</v>
      </c>
      <c r="AJ365" s="914">
        <v>0.2</v>
      </c>
      <c r="AK365" s="914">
        <v>0.1</v>
      </c>
      <c r="AL365" s="914">
        <v>0.22500000000000001</v>
      </c>
      <c r="AM365" s="914">
        <v>1.4999999999999999E-2</v>
      </c>
      <c r="AN365" s="914">
        <v>4.9299999999999995E-3</v>
      </c>
      <c r="AO365" s="914">
        <v>0.35</v>
      </c>
      <c r="AP365" s="915">
        <v>0.25</v>
      </c>
      <c r="AQ365" s="5086"/>
      <c r="AR365" s="104" t="s">
        <v>16</v>
      </c>
      <c r="AS365" s="32" t="str">
        <f>AS337</f>
        <v>B BAUDRUCHE DE COPAIN | | Autor &gt; Guy KRENZE - Eric GODDYN - Arnaud NICOLAS - CEPROC 2002</v>
      </c>
      <c r="AT365" s="33">
        <f>AT337</f>
        <v>9.0500000000000007</v>
      </c>
      <c r="AU365" s="32" t="str">
        <f>AU337</f>
        <v>Kg</v>
      </c>
      <c r="AV365" s="34" t="str">
        <f>AV337</f>
        <v>Receta madre ► Morcilla en 4 versiones</v>
      </c>
      <c r="AW365" s="912">
        <v>0.25</v>
      </c>
      <c r="AX365" s="912">
        <v>0.5</v>
      </c>
      <c r="AY365" s="913">
        <v>0</v>
      </c>
      <c r="AZ365" s="914">
        <v>0.2</v>
      </c>
      <c r="BA365" s="914">
        <v>0.1</v>
      </c>
      <c r="BB365" s="914">
        <v>0.22500000000000001</v>
      </c>
      <c r="BC365" s="914">
        <v>1.4999999999999999E-2</v>
      </c>
      <c r="BD365" s="914">
        <v>4.9299999999999995E-3</v>
      </c>
      <c r="BE365" s="914">
        <v>0.35</v>
      </c>
      <c r="BF365" s="915">
        <v>0.25</v>
      </c>
      <c r="BG365" s="5086"/>
      <c r="BH365" s="104"/>
      <c r="BI365" s="32"/>
      <c r="BJ365" s="33"/>
      <c r="BK365" s="32"/>
      <c r="BL365" s="34"/>
      <c r="BM365" s="92"/>
      <c r="BN365" s="108"/>
      <c r="BO365" s="94"/>
      <c r="BP365" s="95"/>
      <c r="BQ365" s="105"/>
      <c r="BR365" s="5101"/>
      <c r="BS365" s="920"/>
      <c r="BT365" s="1495"/>
      <c r="BU365" s="101"/>
      <c r="BV365" s="1475"/>
      <c r="BW365" s="5086"/>
      <c r="BX365" s="104"/>
      <c r="BY365" s="32"/>
      <c r="BZ365" s="33"/>
      <c r="CA365" s="32"/>
      <c r="CB365" s="34"/>
      <c r="CC365" s="92"/>
      <c r="CD365" s="108"/>
      <c r="CE365" s="94"/>
      <c r="CF365" s="95"/>
      <c r="CG365" s="105"/>
      <c r="CH365" s="5101"/>
      <c r="CI365" s="920"/>
      <c r="CJ365" s="1495"/>
      <c r="CK365" s="101"/>
      <c r="CL365" s="1475"/>
      <c r="CM365" s="5086"/>
      <c r="CN365" s="104"/>
      <c r="CO365" s="32"/>
      <c r="CP365" s="33"/>
      <c r="CQ365" s="32"/>
      <c r="CR365" s="34"/>
      <c r="CS365" s="92"/>
      <c r="CT365" s="108"/>
      <c r="CU365" s="94"/>
      <c r="CV365" s="95"/>
      <c r="CW365" s="105"/>
      <c r="CX365" s="5101"/>
      <c r="CY365" s="920"/>
      <c r="CZ365" s="1495"/>
      <c r="DA365" s="101"/>
      <c r="DB365" s="1475"/>
      <c r="DC365" s="5109"/>
      <c r="DD365" s="5086"/>
      <c r="DF365" s="3">
        <v>1</v>
      </c>
      <c r="EY365" s="155"/>
      <c r="EZ365" s="155"/>
      <c r="FA365" s="155"/>
      <c r="FB365" s="155"/>
      <c r="FC365" s="1477"/>
    </row>
    <row r="366" spans="2:159" ht="15" customHeight="1">
      <c r="B366" s="952" t="str">
        <f t="shared" si="75"/>
        <v>►</v>
      </c>
      <c r="C366" s="993" cm="1">
        <f t="array" ref="C366">SUMPRODUCT(LEN(D366:J366))</f>
        <v>0</v>
      </c>
      <c r="D366" s="167"/>
      <c r="E366" s="172"/>
      <c r="F366" s="172"/>
      <c r="G366" s="172"/>
      <c r="H366" s="172"/>
      <c r="I366" s="172"/>
      <c r="J366" s="173"/>
      <c r="K366"/>
      <c r="L366" s="104" t="s">
        <v>16</v>
      </c>
      <c r="M366" s="32" t="str">
        <f>M337</f>
        <v>B BAUDRUCHE DE COPAIN | | Auteur &gt; Guy KRENZE - Eric GODDYN - Arnaud NICOLAS - CEPROC 2002</v>
      </c>
      <c r="N366" s="33">
        <f>N337</f>
        <v>9.0500000000000007</v>
      </c>
      <c r="O366" s="32" t="str">
        <f>O337</f>
        <v>Kg</v>
      </c>
      <c r="P366" s="34" t="str">
        <f>P337</f>
        <v>Recette mère ► le Boudin en 4 déclinaisons</v>
      </c>
      <c r="Q366" s="154" t="str">
        <f>Q338</f>
        <v>Col.6</v>
      </c>
      <c r="R366" s="154" t="str">
        <f>R338</f>
        <v>Col.7</v>
      </c>
      <c r="S366" s="155" t="s">
        <v>3295</v>
      </c>
      <c r="T366" s="155"/>
      <c r="U366" s="155"/>
      <c r="V366" s="155"/>
      <c r="W366" s="155"/>
      <c r="X366" s="155"/>
      <c r="Y366" s="155"/>
      <c r="Z366" s="1477"/>
      <c r="AA366" s="5086"/>
      <c r="AB366" s="104" t="s">
        <v>16</v>
      </c>
      <c r="AC366" s="32" t="str">
        <f>AC337</f>
        <v>B BAUDRUCHE DE COPAIN | |  Author &gt; Guy KRENZE - Eric GODDYN - Arnaud NICOLAS - CEPROC 2002</v>
      </c>
      <c r="AD366" s="33">
        <f>AD337</f>
        <v>9.0500000000000007</v>
      </c>
      <c r="AE366" s="32" t="str">
        <f>AE337</f>
        <v>Kg</v>
      </c>
      <c r="AF366" s="34" t="str">
        <f>AF337</f>
        <v>Master recipe ► Black pudding in 4 variations</v>
      </c>
      <c r="AG366" s="154" t="str">
        <f>AG338</f>
        <v>Col.6</v>
      </c>
      <c r="AH366" s="154" t="str">
        <f>AH338</f>
        <v>Col.7</v>
      </c>
      <c r="AI366" s="155" t="s">
        <v>3296</v>
      </c>
      <c r="AJ366" s="155"/>
      <c r="AK366" s="155"/>
      <c r="AL366" s="155"/>
      <c r="AM366" s="155"/>
      <c r="AN366" s="155"/>
      <c r="AO366" s="155"/>
      <c r="AP366" s="1477"/>
      <c r="AQ366" s="5086"/>
      <c r="AR366" s="104" t="s">
        <v>16</v>
      </c>
      <c r="AS366" s="32" t="str">
        <f>AS337</f>
        <v>B BAUDRUCHE DE COPAIN | | Autor &gt; Guy KRENZE - Eric GODDYN - Arnaud NICOLAS - CEPROC 2002</v>
      </c>
      <c r="AT366" s="33">
        <f>AT337</f>
        <v>9.0500000000000007</v>
      </c>
      <c r="AU366" s="32" t="str">
        <f>AU337</f>
        <v>Kg</v>
      </c>
      <c r="AV366" s="34" t="str">
        <f>AV337</f>
        <v>Receta madre ► Morcilla en 4 versiones</v>
      </c>
      <c r="AW366" s="154" t="str">
        <f>AW338</f>
        <v>Col.6</v>
      </c>
      <c r="AX366" s="154" t="str">
        <f>AX338</f>
        <v>Col.7</v>
      </c>
      <c r="AY366" s="155" t="s">
        <v>3296</v>
      </c>
      <c r="AZ366" s="155"/>
      <c r="BA366" s="155"/>
      <c r="BB366" s="155"/>
      <c r="BC366" s="155"/>
      <c r="BD366" s="155"/>
      <c r="BE366" s="155"/>
      <c r="BF366" s="1477"/>
      <c r="BG366" s="5086"/>
      <c r="BH366" s="104"/>
      <c r="BI366" s="32"/>
      <c r="BJ366" s="33"/>
      <c r="BK366" s="32"/>
      <c r="BL366" s="34"/>
      <c r="BM366" s="92"/>
      <c r="BN366" s="108"/>
      <c r="BO366" s="94"/>
      <c r="BP366" s="95"/>
      <c r="BQ366" s="105"/>
      <c r="BR366" s="5101"/>
      <c r="BS366" s="920"/>
      <c r="BT366" s="1495"/>
      <c r="BU366" s="101"/>
      <c r="BV366" s="1475"/>
      <c r="BW366" s="5086"/>
      <c r="BX366" s="104"/>
      <c r="BY366" s="32"/>
      <c r="BZ366" s="33"/>
      <c r="CA366" s="32"/>
      <c r="CB366" s="34"/>
      <c r="CC366" s="92"/>
      <c r="CD366" s="108"/>
      <c r="CE366" s="94"/>
      <c r="CF366" s="95"/>
      <c r="CG366" s="105"/>
      <c r="CH366" s="5101"/>
      <c r="CI366" s="920"/>
      <c r="CJ366" s="1495"/>
      <c r="CK366" s="101"/>
      <c r="CL366" s="1475"/>
      <c r="CM366" s="5086"/>
      <c r="CN366" s="104"/>
      <c r="CO366" s="32"/>
      <c r="CP366" s="33"/>
      <c r="CQ366" s="32"/>
      <c r="CR366" s="34"/>
      <c r="CS366" s="92"/>
      <c r="CT366" s="108"/>
      <c r="CU366" s="94"/>
      <c r="CV366" s="95"/>
      <c r="CW366" s="105"/>
      <c r="CX366" s="5101"/>
      <c r="CY366" s="920"/>
      <c r="CZ366" s="1495"/>
      <c r="DA366" s="101"/>
      <c r="DB366" s="1475"/>
      <c r="DC366" s="5109"/>
      <c r="DD366" s="5086"/>
      <c r="DF366" s="3">
        <v>1</v>
      </c>
      <c r="EY366" s="172"/>
      <c r="EZ366" s="172"/>
      <c r="FA366" s="172"/>
      <c r="FB366" s="905" t="s">
        <v>908</v>
      </c>
      <c r="FC366" s="1484" t="s">
        <v>3276</v>
      </c>
    </row>
    <row r="367" spans="2:159" ht="15" customHeight="1">
      <c r="B367" s="952" t="str">
        <f t="shared" si="75"/>
        <v>►</v>
      </c>
      <c r="C367" s="993" cm="1">
        <f t="array" ref="C367">SUMPRODUCT(LEN(D367:J367))</f>
        <v>0</v>
      </c>
      <c r="D367" s="167"/>
      <c r="E367" s="172"/>
      <c r="F367" s="172"/>
      <c r="G367" s="172"/>
      <c r="H367" s="172"/>
      <c r="I367" s="172"/>
      <c r="J367" s="173"/>
      <c r="K367"/>
      <c r="L367" s="104" t="s">
        <v>16</v>
      </c>
      <c r="M367" s="157" t="str">
        <f>M337</f>
        <v>B BAUDRUCHE DE COPAIN | | Auteur &gt; Guy KRENZE - Eric GODDYN - Arnaud NICOLAS - CEPROC 2002</v>
      </c>
      <c r="N367" s="157">
        <f>N337</f>
        <v>9.0500000000000007</v>
      </c>
      <c r="O367" s="158" t="str">
        <f>O337</f>
        <v>Kg</v>
      </c>
      <c r="P367" s="159" t="str">
        <f>P337</f>
        <v>Recette mère ► le Boudin en 4 déclinaisons</v>
      </c>
      <c r="Q367" s="160" t="s">
        <v>167</v>
      </c>
      <c r="R367" s="1483" t="s">
        <v>3328</v>
      </c>
      <c r="S367" s="162"/>
      <c r="T367" s="162"/>
      <c r="U367" s="172"/>
      <c r="V367" s="172"/>
      <c r="W367" s="172"/>
      <c r="X367" s="172"/>
      <c r="Y367" s="156" t="s">
        <v>165</v>
      </c>
      <c r="Z367" s="1484" t="s">
        <v>3276</v>
      </c>
      <c r="AA367" s="5086"/>
      <c r="AB367" s="104" t="s">
        <v>16</v>
      </c>
      <c r="AC367" s="157" t="str">
        <f>AC337</f>
        <v>B BAUDRUCHE DE COPAIN | |  Author &gt; Guy KRENZE - Eric GODDYN - Arnaud NICOLAS - CEPROC 2002</v>
      </c>
      <c r="AD367" s="157">
        <f>AD337</f>
        <v>9.0500000000000007</v>
      </c>
      <c r="AE367" s="158" t="str">
        <f>AE337</f>
        <v>Kg</v>
      </c>
      <c r="AF367" s="159" t="str">
        <f>AF337</f>
        <v>Master recipe ► Black pudding in 4 variations</v>
      </c>
      <c r="AG367" s="232" t="s">
        <v>752</v>
      </c>
      <c r="AH367" s="161" t="s">
        <v>3327</v>
      </c>
      <c r="AI367" s="162"/>
      <c r="AJ367" s="162"/>
      <c r="AK367" s="172"/>
      <c r="AL367" s="172"/>
      <c r="AM367" s="172"/>
      <c r="AN367" s="172"/>
      <c r="AO367" s="156" t="s">
        <v>894</v>
      </c>
      <c r="AP367" s="1484" t="s">
        <v>3276</v>
      </c>
      <c r="AQ367" s="5086"/>
      <c r="AR367" s="104" t="s">
        <v>16</v>
      </c>
      <c r="AS367" s="157" t="str">
        <f>AS337</f>
        <v>B BAUDRUCHE DE COPAIN | | Autor &gt; Guy KRENZE - Eric GODDYN - Arnaud NICOLAS - CEPROC 2002</v>
      </c>
      <c r="AT367" s="157">
        <f>AT337</f>
        <v>9.0500000000000007</v>
      </c>
      <c r="AU367" s="158" t="str">
        <f>AU337</f>
        <v>Kg</v>
      </c>
      <c r="AV367" s="159" t="str">
        <f>AV337</f>
        <v>Receta madre ► Morcilla en 4 versiones</v>
      </c>
      <c r="AW367" s="232" t="s">
        <v>754</v>
      </c>
      <c r="AX367" s="161" t="s">
        <v>3325</v>
      </c>
      <c r="AY367" s="162"/>
      <c r="AZ367" s="162"/>
      <c r="BA367" s="172"/>
      <c r="BB367" s="172"/>
      <c r="BC367" s="172"/>
      <c r="BD367" s="172"/>
      <c r="BE367" s="905" t="s">
        <v>908</v>
      </c>
      <c r="BF367" s="1484" t="s">
        <v>3276</v>
      </c>
      <c r="BG367" s="5086"/>
      <c r="BH367" s="104"/>
      <c r="BI367" s="32"/>
      <c r="BJ367" s="33"/>
      <c r="BK367" s="32"/>
      <c r="BL367" s="34"/>
      <c r="BM367" s="92"/>
      <c r="BN367" s="108"/>
      <c r="BO367" s="94"/>
      <c r="BP367" s="95"/>
      <c r="BQ367" s="105"/>
      <c r="BR367" s="5101"/>
      <c r="BS367" s="920"/>
      <c r="BT367" s="1495"/>
      <c r="BU367" s="101"/>
      <c r="BV367" s="1475"/>
      <c r="BW367" s="5086"/>
      <c r="BX367" s="104"/>
      <c r="BY367" s="32"/>
      <c r="BZ367" s="33"/>
      <c r="CA367" s="32"/>
      <c r="CB367" s="34"/>
      <c r="CC367" s="92"/>
      <c r="CD367" s="108"/>
      <c r="CE367" s="94"/>
      <c r="CF367" s="95"/>
      <c r="CG367" s="105"/>
      <c r="CH367" s="5101"/>
      <c r="CI367" s="920"/>
      <c r="CJ367" s="1495"/>
      <c r="CK367" s="101"/>
      <c r="CL367" s="1475"/>
      <c r="CM367" s="5086"/>
      <c r="CN367" s="104"/>
      <c r="CO367" s="32"/>
      <c r="CP367" s="33"/>
      <c r="CQ367" s="32"/>
      <c r="CR367" s="34"/>
      <c r="CS367" s="92"/>
      <c r="CT367" s="108"/>
      <c r="CU367" s="94"/>
      <c r="CV367" s="95"/>
      <c r="CW367" s="105"/>
      <c r="CX367" s="5101"/>
      <c r="CY367" s="920"/>
      <c r="CZ367" s="1495"/>
      <c r="DA367" s="101"/>
      <c r="DB367" s="1475"/>
      <c r="DC367" s="5109"/>
      <c r="DD367" s="5086"/>
      <c r="DF367" s="3">
        <v>1</v>
      </c>
      <c r="EY367" s="172"/>
      <c r="EZ367" s="172"/>
      <c r="FA367" s="172"/>
      <c r="FB367" s="1474" t="s">
        <v>909</v>
      </c>
      <c r="FC367" s="1482" t="s">
        <v>668</v>
      </c>
    </row>
    <row r="368" spans="2:159" ht="23.25">
      <c r="B368" s="952" t="str">
        <f t="shared" si="75"/>
        <v>►</v>
      </c>
      <c r="C368" s="993" cm="1">
        <f t="array" ref="C368">SUMPRODUCT(LEN(D368:J368))</f>
        <v>0</v>
      </c>
      <c r="D368" s="167"/>
      <c r="E368" s="172"/>
      <c r="F368" s="172"/>
      <c r="G368" s="172"/>
      <c r="H368" s="172"/>
      <c r="I368" s="172"/>
      <c r="J368" s="173"/>
      <c r="K368"/>
      <c r="L368" s="104" t="s">
        <v>16</v>
      </c>
      <c r="M368" s="157" t="str">
        <f>M337</f>
        <v>B BAUDRUCHE DE COPAIN | | Auteur &gt; Guy KRENZE - Eric GODDYN - Arnaud NICOLAS - CEPROC 2002</v>
      </c>
      <c r="N368" s="157">
        <f>N337</f>
        <v>9.0500000000000007</v>
      </c>
      <c r="O368" s="158" t="str">
        <f>O337</f>
        <v>Kg</v>
      </c>
      <c r="P368" s="159" t="str">
        <f>P337</f>
        <v>Recette mère ► le Boudin en 4 déclinaisons</v>
      </c>
      <c r="Q368" s="5173" t="str">
        <f>"Poids sans les têtes " &amp;ROUND(SUM(Y341:Y346,Y348:Y353),2)&amp;" Kg"</f>
        <v>Poids sans les têtes 6.69 Kg</v>
      </c>
      <c r="R368" s="172"/>
      <c r="S368" s="172"/>
      <c r="T368" s="172"/>
      <c r="U368" s="172"/>
      <c r="V368" s="172"/>
      <c r="W368" s="172"/>
      <c r="X368" s="172"/>
      <c r="Y368" s="1474" t="s">
        <v>168</v>
      </c>
      <c r="Z368" s="1482" t="s">
        <v>668</v>
      </c>
      <c r="AA368" s="5086"/>
      <c r="AB368" s="104" t="s">
        <v>16</v>
      </c>
      <c r="AC368" s="157" t="str">
        <f>AC337</f>
        <v>B BAUDRUCHE DE COPAIN | |  Author &gt; Guy KRENZE - Eric GODDYN - Arnaud NICOLAS - CEPROC 2002</v>
      </c>
      <c r="AD368" s="157">
        <f>AD337</f>
        <v>9.0500000000000007</v>
      </c>
      <c r="AE368" s="158" t="str">
        <f>AE337</f>
        <v>Kg</v>
      </c>
      <c r="AF368" s="159" t="str">
        <f>AF337</f>
        <v>Master recipe ► Black pudding in 4 variations</v>
      </c>
      <c r="AG368" s="5173" t="str">
        <f>"Weight without the heads:  " &amp;ROUND(SUM(AO341:AO346,AO348:AO353),2)&amp;" Kg"</f>
        <v>Weight without the heads:  6.69 Kg</v>
      </c>
      <c r="AH368" s="172"/>
      <c r="AI368" s="172"/>
      <c r="AJ368" s="172"/>
      <c r="AK368" s="172"/>
      <c r="AL368" s="172"/>
      <c r="AM368" s="172"/>
      <c r="AN368" s="172"/>
      <c r="AO368" s="1474" t="s">
        <v>895</v>
      </c>
      <c r="AP368" s="1482" t="s">
        <v>668</v>
      </c>
      <c r="AQ368" s="5086"/>
      <c r="AR368" s="104" t="s">
        <v>16</v>
      </c>
      <c r="AS368" s="157" t="str">
        <f>AS337</f>
        <v>B BAUDRUCHE DE COPAIN | | Autor &gt; Guy KRENZE - Eric GODDYN - Arnaud NICOLAS - CEPROC 2002</v>
      </c>
      <c r="AT368" s="157">
        <f>AT337</f>
        <v>9.0500000000000007</v>
      </c>
      <c r="AU368" s="158" t="str">
        <f>AU337</f>
        <v>Kg</v>
      </c>
      <c r="AV368" s="159" t="str">
        <f>AV337</f>
        <v>Receta madre ► Morcilla en 4 versiones</v>
      </c>
      <c r="AW368" s="5173" t="str">
        <f>"Peso sin las cabezas  " &amp;ROUND(SUM(BE341:BE346,BE348:BE353),2)&amp;" Kg"</f>
        <v>Peso sin las cabezas  6.69 Kg</v>
      </c>
      <c r="AX368" s="172"/>
      <c r="AY368" s="172"/>
      <c r="AZ368" s="172"/>
      <c r="BA368" s="172"/>
      <c r="BB368" s="172"/>
      <c r="BC368" s="172"/>
      <c r="BD368" s="172"/>
      <c r="BE368" s="1474" t="s">
        <v>909</v>
      </c>
      <c r="BF368" s="1482" t="s">
        <v>668</v>
      </c>
      <c r="BG368" s="5086"/>
      <c r="BH368" s="104"/>
      <c r="BI368" s="32"/>
      <c r="BJ368" s="33"/>
      <c r="BK368" s="32"/>
      <c r="BL368" s="34"/>
      <c r="BM368" s="92"/>
      <c r="BN368" s="108"/>
      <c r="BO368" s="94"/>
      <c r="BP368" s="95"/>
      <c r="BQ368" s="105"/>
      <c r="BR368" s="5101"/>
      <c r="BS368" s="920"/>
      <c r="BT368" s="1495"/>
      <c r="BU368" s="101"/>
      <c r="BV368" s="1475"/>
      <c r="BW368" s="5086"/>
      <c r="BX368" s="104"/>
      <c r="BY368" s="32"/>
      <c r="BZ368" s="33"/>
      <c r="CA368" s="32"/>
      <c r="CB368" s="34"/>
      <c r="CC368" s="92"/>
      <c r="CD368" s="108"/>
      <c r="CE368" s="94"/>
      <c r="CF368" s="95"/>
      <c r="CG368" s="105"/>
      <c r="CH368" s="5101"/>
      <c r="CI368" s="920"/>
      <c r="CJ368" s="1495"/>
      <c r="CK368" s="101"/>
      <c r="CL368" s="1475"/>
      <c r="CM368" s="5086"/>
      <c r="CN368" s="104"/>
      <c r="CO368" s="32"/>
      <c r="CP368" s="33"/>
      <c r="CQ368" s="32"/>
      <c r="CR368" s="34"/>
      <c r="CS368" s="92"/>
      <c r="CT368" s="108"/>
      <c r="CU368" s="94"/>
      <c r="CV368" s="95"/>
      <c r="CW368" s="105"/>
      <c r="CX368" s="5101"/>
      <c r="CY368" s="920"/>
      <c r="CZ368" s="1495"/>
      <c r="DA368" s="101"/>
      <c r="DB368" s="1475"/>
      <c r="DC368" s="5109"/>
      <c r="DD368" s="5086"/>
      <c r="DF368" s="3">
        <v>1</v>
      </c>
      <c r="EY368" s="172"/>
      <c r="EZ368" s="172"/>
      <c r="FA368" s="172"/>
      <c r="FB368" s="172"/>
      <c r="FC368" s="555"/>
    </row>
    <row r="369" spans="2:159" ht="18.75">
      <c r="B369" s="952" t="str">
        <f t="shared" si="75"/>
        <v>►</v>
      </c>
      <c r="C369" s="993" cm="1">
        <f t="array" ref="C369">SUMPRODUCT(LEN(D369:J369))</f>
        <v>0</v>
      </c>
      <c r="D369" s="167"/>
      <c r="E369" s="172"/>
      <c r="F369" s="172"/>
      <c r="G369" s="172"/>
      <c r="H369" s="172"/>
      <c r="I369" s="172"/>
      <c r="J369" s="173"/>
      <c r="K369"/>
      <c r="L369" s="104" t="s">
        <v>16</v>
      </c>
      <c r="M369" s="157" t="str">
        <f>M337</f>
        <v>B BAUDRUCHE DE COPAIN | | Auteur &gt; Guy KRENZE - Eric GODDYN - Arnaud NICOLAS - CEPROC 2002</v>
      </c>
      <c r="N369" s="157">
        <f>N337</f>
        <v>9.0500000000000007</v>
      </c>
      <c r="O369" s="158" t="str">
        <f>O337</f>
        <v>Kg</v>
      </c>
      <c r="P369" s="159" t="str">
        <f>P337</f>
        <v>Recette mère ► le Boudin en 4 déclinaisons</v>
      </c>
      <c r="R369" s="172"/>
      <c r="S369" s="172"/>
      <c r="T369" s="172"/>
      <c r="U369" s="172"/>
      <c r="V369" s="172"/>
      <c r="W369" s="172"/>
      <c r="X369" s="172"/>
      <c r="Y369" s="172"/>
      <c r="Z369" s="555"/>
      <c r="AA369" s="5086"/>
      <c r="AB369" s="104" t="s">
        <v>16</v>
      </c>
      <c r="AC369" s="157" t="str">
        <f>AC337</f>
        <v>B BAUDRUCHE DE COPAIN | |  Author &gt; Guy KRENZE - Eric GODDYN - Arnaud NICOLAS - CEPROC 2002</v>
      </c>
      <c r="AD369" s="157">
        <f>AD337</f>
        <v>9.0500000000000007</v>
      </c>
      <c r="AE369" s="158" t="str">
        <f>AE337</f>
        <v>Kg</v>
      </c>
      <c r="AF369" s="159" t="str">
        <f>AF337</f>
        <v>Master recipe ► Black pudding in 4 variations</v>
      </c>
      <c r="AH369" s="172"/>
      <c r="AI369" s="172"/>
      <c r="AJ369" s="172"/>
      <c r="AK369" s="172"/>
      <c r="AL369" s="172"/>
      <c r="AM369" s="172"/>
      <c r="AN369" s="172"/>
      <c r="AO369" s="172"/>
      <c r="AP369" s="555"/>
      <c r="AQ369" s="5086"/>
      <c r="AR369" s="104" t="s">
        <v>16</v>
      </c>
      <c r="AS369" s="157" t="str">
        <f>AS337</f>
        <v>B BAUDRUCHE DE COPAIN | | Autor &gt; Guy KRENZE - Eric GODDYN - Arnaud NICOLAS - CEPROC 2002</v>
      </c>
      <c r="AT369" s="157">
        <f>AT337</f>
        <v>9.0500000000000007</v>
      </c>
      <c r="AU369" s="158" t="str">
        <f>AU337</f>
        <v>Kg</v>
      </c>
      <c r="AV369" s="159" t="str">
        <f>AV337</f>
        <v>Receta madre ► Morcilla en 4 versiones</v>
      </c>
      <c r="AX369" s="172"/>
      <c r="AY369" s="172"/>
      <c r="AZ369" s="172"/>
      <c r="BA369" s="172"/>
      <c r="BB369" s="172"/>
      <c r="BC369" s="172"/>
      <c r="BD369" s="172"/>
      <c r="BE369" s="172"/>
      <c r="BF369" s="555"/>
      <c r="BG369" s="5086"/>
      <c r="BH369" s="104"/>
      <c r="BI369" s="32"/>
      <c r="BJ369" s="33"/>
      <c r="BK369" s="32"/>
      <c r="BL369" s="34"/>
      <c r="BM369" s="92"/>
      <c r="BN369" s="108"/>
      <c r="BO369" s="94"/>
      <c r="BP369" s="95"/>
      <c r="BQ369" s="105"/>
      <c r="BR369" s="5101"/>
      <c r="BS369" s="920"/>
      <c r="BT369" s="1495"/>
      <c r="BU369" s="101"/>
      <c r="BV369" s="1475"/>
      <c r="BW369" s="5086"/>
      <c r="BX369" s="104"/>
      <c r="BY369" s="32"/>
      <c r="BZ369" s="33"/>
      <c r="CA369" s="32"/>
      <c r="CB369" s="34"/>
      <c r="CC369" s="92"/>
      <c r="CD369" s="108"/>
      <c r="CE369" s="94"/>
      <c r="CF369" s="95"/>
      <c r="CG369" s="105"/>
      <c r="CH369" s="5101"/>
      <c r="CI369" s="920"/>
      <c r="CJ369" s="1495"/>
      <c r="CK369" s="101"/>
      <c r="CL369" s="1475"/>
      <c r="CM369" s="5086"/>
      <c r="CN369" s="104"/>
      <c r="CO369" s="32"/>
      <c r="CP369" s="33"/>
      <c r="CQ369" s="32"/>
      <c r="CR369" s="34"/>
      <c r="CS369" s="92"/>
      <c r="CT369" s="108"/>
      <c r="CU369" s="94"/>
      <c r="CV369" s="95"/>
      <c r="CW369" s="105"/>
      <c r="CX369" s="5101"/>
      <c r="CY369" s="920"/>
      <c r="CZ369" s="1495"/>
      <c r="DA369" s="101"/>
      <c r="DB369" s="1475"/>
      <c r="DC369" s="5109"/>
      <c r="DD369" s="5086"/>
      <c r="DF369" s="3">
        <v>1</v>
      </c>
      <c r="EY369" s="172"/>
      <c r="EZ369" s="172"/>
      <c r="FA369" s="172"/>
      <c r="FB369" s="170" t="s">
        <v>677</v>
      </c>
      <c r="FC369" s="171">
        <v>3.472222222222222E-3</v>
      </c>
    </row>
    <row r="370" spans="2:159" ht="18.75">
      <c r="B370" s="952" t="str">
        <f t="shared" si="75"/>
        <v>►</v>
      </c>
      <c r="C370" s="993" cm="1">
        <f t="array" ref="C370">SUMPRODUCT(LEN(D370:J370))</f>
        <v>0</v>
      </c>
      <c r="D370" s="167"/>
      <c r="E370" s="172"/>
      <c r="F370" s="172"/>
      <c r="G370" s="172"/>
      <c r="H370" s="172"/>
      <c r="I370" s="172"/>
      <c r="J370" s="173"/>
      <c r="K370"/>
      <c r="L370" s="104" t="s">
        <v>16</v>
      </c>
      <c r="M370" s="157" t="str">
        <f>M337</f>
        <v>B BAUDRUCHE DE COPAIN | | Auteur &gt; Guy KRENZE - Eric GODDYN - Arnaud NICOLAS - CEPROC 2002</v>
      </c>
      <c r="N370" s="157">
        <f>N337</f>
        <v>9.0500000000000007</v>
      </c>
      <c r="O370" s="158" t="str">
        <f>O337</f>
        <v>Kg</v>
      </c>
      <c r="P370" s="159" t="str">
        <f>P337</f>
        <v>Recette mère ► le Boudin en 4 déclinaisons</v>
      </c>
      <c r="Q370" s="172" t="s">
        <v>13118</v>
      </c>
      <c r="R370" s="172"/>
      <c r="S370" s="172"/>
      <c r="T370" s="172"/>
      <c r="U370" s="172"/>
      <c r="V370" s="172"/>
      <c r="W370" s="172"/>
      <c r="X370" s="172"/>
      <c r="Y370" s="170" t="s">
        <v>172</v>
      </c>
      <c r="Z370" s="171">
        <v>3.472222222222222E-3</v>
      </c>
      <c r="AA370" s="5086"/>
      <c r="AB370" s="104" t="s">
        <v>16</v>
      </c>
      <c r="AC370" s="157" t="str">
        <f>AC337</f>
        <v>B BAUDRUCHE DE COPAIN | |  Author &gt; Guy KRENZE - Eric GODDYN - Arnaud NICOLAS - CEPROC 2002</v>
      </c>
      <c r="AD370" s="157">
        <f>AD337</f>
        <v>9.0500000000000007</v>
      </c>
      <c r="AE370" s="158" t="str">
        <f>AE337</f>
        <v>Kg</v>
      </c>
      <c r="AF370" s="159" t="str">
        <f>AF337</f>
        <v>Master recipe ► Black pudding in 4 variations</v>
      </c>
      <c r="AG370" s="172" t="s">
        <v>13295</v>
      </c>
      <c r="AH370" s="172"/>
      <c r="AI370" s="172"/>
      <c r="AJ370" s="172"/>
      <c r="AK370" s="172"/>
      <c r="AL370" s="172"/>
      <c r="AM370" s="172"/>
      <c r="AN370" s="172"/>
      <c r="AO370" s="170" t="s">
        <v>676</v>
      </c>
      <c r="AP370" s="171">
        <v>3.472222222222222E-3</v>
      </c>
      <c r="AQ370" s="5086"/>
      <c r="AR370" s="104" t="s">
        <v>16</v>
      </c>
      <c r="AS370" s="157" t="str">
        <f>AS337</f>
        <v>B BAUDRUCHE DE COPAIN | | Autor &gt; Guy KRENZE - Eric GODDYN - Arnaud NICOLAS - CEPROC 2002</v>
      </c>
      <c r="AT370" s="157">
        <f>AT337</f>
        <v>9.0500000000000007</v>
      </c>
      <c r="AU370" s="158" t="str">
        <f>AU337</f>
        <v>Kg</v>
      </c>
      <c r="AV370" s="159" t="str">
        <f>AV337</f>
        <v>Receta madre ► Morcilla en 4 versiones</v>
      </c>
      <c r="AW370" s="172" t="s">
        <v>13308</v>
      </c>
      <c r="AX370" s="172"/>
      <c r="AY370" s="172"/>
      <c r="AZ370" s="172"/>
      <c r="BA370" s="172"/>
      <c r="BB370" s="172"/>
      <c r="BC370" s="172"/>
      <c r="BD370" s="172"/>
      <c r="BE370" s="170" t="s">
        <v>677</v>
      </c>
      <c r="BF370" s="171">
        <v>3.472222222222222E-3</v>
      </c>
      <c r="BG370" s="5086"/>
      <c r="BH370" s="104"/>
      <c r="BI370" s="32"/>
      <c r="BJ370" s="33"/>
      <c r="BK370" s="32"/>
      <c r="BL370" s="34"/>
      <c r="BM370" s="92"/>
      <c r="BN370" s="108"/>
      <c r="BO370" s="94"/>
      <c r="BP370" s="95"/>
      <c r="BQ370" s="105"/>
      <c r="BR370" s="5101"/>
      <c r="BS370" s="920"/>
      <c r="BT370" s="1495"/>
      <c r="BU370" s="101"/>
      <c r="BV370" s="1475"/>
      <c r="BW370" s="5086"/>
      <c r="BX370" s="104"/>
      <c r="BY370" s="32"/>
      <c r="BZ370" s="33"/>
      <c r="CA370" s="32"/>
      <c r="CB370" s="34"/>
      <c r="CC370" s="92"/>
      <c r="CD370" s="108"/>
      <c r="CE370" s="94"/>
      <c r="CF370" s="95"/>
      <c r="CG370" s="105"/>
      <c r="CH370" s="5101"/>
      <c r="CI370" s="920"/>
      <c r="CJ370" s="1495"/>
      <c r="CK370" s="101"/>
      <c r="CL370" s="1475"/>
      <c r="CM370" s="5086"/>
      <c r="CN370" s="104"/>
      <c r="CO370" s="32"/>
      <c r="CP370" s="33"/>
      <c r="CQ370" s="32"/>
      <c r="CR370" s="34"/>
      <c r="CS370" s="92"/>
      <c r="CT370" s="108"/>
      <c r="CU370" s="94"/>
      <c r="CV370" s="95"/>
      <c r="CW370" s="105"/>
      <c r="CX370" s="5101"/>
      <c r="CY370" s="920"/>
      <c r="CZ370" s="1495"/>
      <c r="DA370" s="101"/>
      <c r="DB370" s="1475"/>
      <c r="DC370" s="5109"/>
      <c r="DD370" s="5086"/>
      <c r="DF370" s="3">
        <v>1</v>
      </c>
      <c r="EY370" s="172"/>
      <c r="EZ370" s="172"/>
      <c r="FA370" s="172"/>
      <c r="FB370" s="170" t="s">
        <v>683</v>
      </c>
      <c r="FC370" s="174">
        <v>3.472222222222222E-3</v>
      </c>
    </row>
    <row r="371" spans="2:159" ht="18.75">
      <c r="B371" s="952" t="str">
        <f t="shared" si="75"/>
        <v>►</v>
      </c>
      <c r="C371" s="993" cm="1">
        <f t="array" ref="C371">SUMPRODUCT(LEN(D371:J371))</f>
        <v>0</v>
      </c>
      <c r="D371" s="167"/>
      <c r="E371" s="172"/>
      <c r="F371" s="172"/>
      <c r="G371" s="172"/>
      <c r="H371" s="172"/>
      <c r="I371" s="172"/>
      <c r="J371" s="173"/>
      <c r="K371"/>
      <c r="L371" s="104" t="s">
        <v>16</v>
      </c>
      <c r="M371" s="157" t="str">
        <f>M337</f>
        <v>B BAUDRUCHE DE COPAIN | | Auteur &gt; Guy KRENZE - Eric GODDYN - Arnaud NICOLAS - CEPROC 2002</v>
      </c>
      <c r="N371" s="157">
        <f>N337</f>
        <v>9.0500000000000007</v>
      </c>
      <c r="O371" s="158" t="str">
        <f>O337</f>
        <v>Kg</v>
      </c>
      <c r="P371" s="159" t="str">
        <f>P337</f>
        <v>Recette mère ► le Boudin en 4 déclinaisons</v>
      </c>
      <c r="Q371" s="172" t="s">
        <v>13119</v>
      </c>
      <c r="R371" s="172"/>
      <c r="S371" s="172"/>
      <c r="T371" s="172"/>
      <c r="U371" s="172"/>
      <c r="V371" s="172"/>
      <c r="W371" s="172"/>
      <c r="X371" s="172"/>
      <c r="Y371" s="170" t="s">
        <v>174</v>
      </c>
      <c r="Z371" s="174">
        <v>3.472222222222222E-3</v>
      </c>
      <c r="AA371" s="5086"/>
      <c r="AB371" s="104" t="s">
        <v>16</v>
      </c>
      <c r="AC371" s="157" t="str">
        <f>AC337</f>
        <v>B BAUDRUCHE DE COPAIN | |  Author &gt; Guy KRENZE - Eric GODDYN - Arnaud NICOLAS - CEPROC 2002</v>
      </c>
      <c r="AD371" s="157">
        <f>AD337</f>
        <v>9.0500000000000007</v>
      </c>
      <c r="AE371" s="158" t="str">
        <f>AE337</f>
        <v>Kg</v>
      </c>
      <c r="AF371" s="159" t="str">
        <f>AF337</f>
        <v>Master recipe ► Black pudding in 4 variations</v>
      </c>
      <c r="AG371" s="172" t="s">
        <v>13296</v>
      </c>
      <c r="AH371" s="172"/>
      <c r="AI371" s="172"/>
      <c r="AJ371" s="172"/>
      <c r="AK371" s="172"/>
      <c r="AL371" s="172"/>
      <c r="AM371" s="172"/>
      <c r="AN371" s="172"/>
      <c r="AO371" s="170" t="s">
        <v>682</v>
      </c>
      <c r="AP371" s="174">
        <v>3.472222222222222E-3</v>
      </c>
      <c r="AQ371" s="5086"/>
      <c r="AR371" s="104" t="s">
        <v>16</v>
      </c>
      <c r="AS371" s="157" t="str">
        <f>AS337</f>
        <v>B BAUDRUCHE DE COPAIN | | Autor &gt; Guy KRENZE - Eric GODDYN - Arnaud NICOLAS - CEPROC 2002</v>
      </c>
      <c r="AT371" s="157">
        <f>AT337</f>
        <v>9.0500000000000007</v>
      </c>
      <c r="AU371" s="158" t="str">
        <f>AU337</f>
        <v>Kg</v>
      </c>
      <c r="AV371" s="159" t="str">
        <f>AV337</f>
        <v>Receta madre ► Morcilla en 4 versiones</v>
      </c>
      <c r="AW371" s="172" t="s">
        <v>13309</v>
      </c>
      <c r="AX371" s="172"/>
      <c r="AY371" s="172"/>
      <c r="AZ371" s="172"/>
      <c r="BA371" s="172"/>
      <c r="BB371" s="172"/>
      <c r="BC371" s="172"/>
      <c r="BD371" s="172"/>
      <c r="BE371" s="170" t="s">
        <v>683</v>
      </c>
      <c r="BF371" s="174">
        <v>3.472222222222222E-3</v>
      </c>
      <c r="BG371" s="5086"/>
      <c r="BH371" s="104"/>
      <c r="BI371" s="32"/>
      <c r="BJ371" s="33"/>
      <c r="BK371" s="32"/>
      <c r="BL371" s="34"/>
      <c r="BM371" s="92"/>
      <c r="BN371" s="108"/>
      <c r="BO371" s="94"/>
      <c r="BP371" s="95"/>
      <c r="BQ371" s="105"/>
      <c r="BR371" s="5101"/>
      <c r="BS371" s="920"/>
      <c r="BT371" s="1495"/>
      <c r="BU371" s="101"/>
      <c r="BV371" s="1475"/>
      <c r="BW371" s="5086"/>
      <c r="BX371" s="104"/>
      <c r="BY371" s="32"/>
      <c r="BZ371" s="33"/>
      <c r="CA371" s="32"/>
      <c r="CB371" s="34"/>
      <c r="CC371" s="92"/>
      <c r="CD371" s="108"/>
      <c r="CE371" s="94"/>
      <c r="CF371" s="95"/>
      <c r="CG371" s="105"/>
      <c r="CH371" s="5101"/>
      <c r="CI371" s="920"/>
      <c r="CJ371" s="1495"/>
      <c r="CK371" s="101"/>
      <c r="CL371" s="1475"/>
      <c r="CM371" s="5086"/>
      <c r="CN371" s="104"/>
      <c r="CO371" s="32"/>
      <c r="CP371" s="33"/>
      <c r="CQ371" s="32"/>
      <c r="CR371" s="34"/>
      <c r="CS371" s="92"/>
      <c r="CT371" s="108"/>
      <c r="CU371" s="94"/>
      <c r="CV371" s="95"/>
      <c r="CW371" s="105"/>
      <c r="CX371" s="5101"/>
      <c r="CY371" s="920"/>
      <c r="CZ371" s="1495"/>
      <c r="DA371" s="101"/>
      <c r="DB371" s="1475"/>
      <c r="DC371" s="5109"/>
      <c r="DD371" s="5086"/>
      <c r="DF371" s="3">
        <v>1</v>
      </c>
      <c r="EY371" s="172"/>
      <c r="EZ371" s="172"/>
      <c r="FA371" s="172"/>
      <c r="FB371" s="170" t="s">
        <v>911</v>
      </c>
      <c r="FC371" s="175">
        <v>3.472222222222222E-3</v>
      </c>
    </row>
    <row r="372" spans="2:159" ht="18.75">
      <c r="B372" s="952" t="str">
        <f t="shared" si="75"/>
        <v>►</v>
      </c>
      <c r="C372" s="993" cm="1">
        <f t="array" ref="C372">SUMPRODUCT(LEN(D372:J372))</f>
        <v>0</v>
      </c>
      <c r="D372" s="167"/>
      <c r="E372" s="172"/>
      <c r="F372" s="172"/>
      <c r="G372" s="172"/>
      <c r="H372" s="172"/>
      <c r="I372" s="172"/>
      <c r="J372" s="173"/>
      <c r="K372"/>
      <c r="L372" s="104" t="s">
        <v>16</v>
      </c>
      <c r="M372" s="157" t="str">
        <f>M337</f>
        <v>B BAUDRUCHE DE COPAIN | | Auteur &gt; Guy KRENZE - Eric GODDYN - Arnaud NICOLAS - CEPROC 2002</v>
      </c>
      <c r="N372" s="157">
        <f>N337</f>
        <v>9.0500000000000007</v>
      </c>
      <c r="O372" s="158" t="str">
        <f>O337</f>
        <v>Kg</v>
      </c>
      <c r="P372" s="159" t="str">
        <f>P337</f>
        <v>Recette mère ► le Boudin en 4 déclinaisons</v>
      </c>
      <c r="Q372" s="172" t="s">
        <v>13120</v>
      </c>
      <c r="R372" s="172"/>
      <c r="S372" s="172"/>
      <c r="T372" s="172"/>
      <c r="U372" s="172"/>
      <c r="V372" s="172"/>
      <c r="W372" s="172"/>
      <c r="X372" s="172"/>
      <c r="Y372" s="170" t="s">
        <v>182</v>
      </c>
      <c r="Z372" s="175">
        <v>3.472222222222222E-3</v>
      </c>
      <c r="AA372" s="5086"/>
      <c r="AB372" s="104" t="s">
        <v>16</v>
      </c>
      <c r="AC372" s="157" t="str">
        <f>AC337</f>
        <v>B BAUDRUCHE DE COPAIN | |  Author &gt; Guy KRENZE - Eric GODDYN - Arnaud NICOLAS - CEPROC 2002</v>
      </c>
      <c r="AD372" s="157">
        <f>AD337</f>
        <v>9.0500000000000007</v>
      </c>
      <c r="AE372" s="158" t="str">
        <f>AE337</f>
        <v>Kg</v>
      </c>
      <c r="AF372" s="159" t="str">
        <f>AF337</f>
        <v>Master recipe ► Black pudding in 4 variations</v>
      </c>
      <c r="AG372" s="172" t="s">
        <v>13297</v>
      </c>
      <c r="AH372" s="172"/>
      <c r="AI372" s="172"/>
      <c r="AJ372" s="172"/>
      <c r="AK372" s="172"/>
      <c r="AL372" s="172"/>
      <c r="AM372" s="172"/>
      <c r="AN372" s="172"/>
      <c r="AO372" s="170" t="s">
        <v>684</v>
      </c>
      <c r="AP372" s="175">
        <v>3.472222222222222E-3</v>
      </c>
      <c r="AQ372" s="5086"/>
      <c r="AR372" s="104" t="s">
        <v>16</v>
      </c>
      <c r="AS372" s="157" t="str">
        <f>AS337</f>
        <v>B BAUDRUCHE DE COPAIN | | Autor &gt; Guy KRENZE - Eric GODDYN - Arnaud NICOLAS - CEPROC 2002</v>
      </c>
      <c r="AT372" s="157">
        <f>AT337</f>
        <v>9.0500000000000007</v>
      </c>
      <c r="AU372" s="158" t="str">
        <f>AU337</f>
        <v>Kg</v>
      </c>
      <c r="AV372" s="159" t="str">
        <f>AV337</f>
        <v>Receta madre ► Morcilla en 4 versiones</v>
      </c>
      <c r="AW372" s="172" t="s">
        <v>13310</v>
      </c>
      <c r="AX372" s="172"/>
      <c r="AY372" s="172"/>
      <c r="AZ372" s="172"/>
      <c r="BA372" s="172"/>
      <c r="BB372" s="172"/>
      <c r="BC372" s="172"/>
      <c r="BD372" s="172"/>
      <c r="BE372" s="170" t="s">
        <v>911</v>
      </c>
      <c r="BF372" s="175">
        <v>3.472222222222222E-3</v>
      </c>
      <c r="BG372" s="5086"/>
      <c r="BH372" s="104"/>
      <c r="BI372" s="32"/>
      <c r="BJ372" s="33"/>
      <c r="BK372" s="32"/>
      <c r="BL372" s="34"/>
      <c r="BM372" s="92"/>
      <c r="BN372" s="108"/>
      <c r="BO372" s="94"/>
      <c r="BP372" s="95"/>
      <c r="BQ372" s="105"/>
      <c r="BR372" s="5101"/>
      <c r="BS372" s="920"/>
      <c r="BT372" s="1495"/>
      <c r="BU372" s="101"/>
      <c r="BV372" s="1475"/>
      <c r="BW372" s="5086"/>
      <c r="BX372" s="104"/>
      <c r="BY372" s="32"/>
      <c r="BZ372" s="33"/>
      <c r="CA372" s="32"/>
      <c r="CB372" s="34"/>
      <c r="CC372" s="92"/>
      <c r="CD372" s="108"/>
      <c r="CE372" s="94"/>
      <c r="CF372" s="95"/>
      <c r="CG372" s="105"/>
      <c r="CH372" s="5101"/>
      <c r="CI372" s="920"/>
      <c r="CJ372" s="1495"/>
      <c r="CK372" s="101"/>
      <c r="CL372" s="1475"/>
      <c r="CM372" s="5086"/>
      <c r="CN372" s="104"/>
      <c r="CO372" s="32"/>
      <c r="CP372" s="33"/>
      <c r="CQ372" s="32"/>
      <c r="CR372" s="34"/>
      <c r="CS372" s="92"/>
      <c r="CT372" s="108"/>
      <c r="CU372" s="94"/>
      <c r="CV372" s="95"/>
      <c r="CW372" s="105"/>
      <c r="CX372" s="5101"/>
      <c r="CY372" s="920"/>
      <c r="CZ372" s="1495"/>
      <c r="DA372" s="101"/>
      <c r="DB372" s="1475"/>
      <c r="DC372" s="5109"/>
      <c r="DD372" s="5086"/>
      <c r="DF372" s="3">
        <v>1</v>
      </c>
      <c r="EY372" s="172"/>
      <c r="EZ372" s="172"/>
      <c r="FA372" s="172"/>
      <c r="FB372" s="176" t="s">
        <v>183</v>
      </c>
      <c r="FC372" s="177">
        <f>FC369+FC370+FC371</f>
        <v>1.0416666666666666E-2</v>
      </c>
    </row>
    <row r="373" spans="2:159" ht="18.75">
      <c r="B373" s="952" t="str">
        <f t="shared" si="75"/>
        <v>►</v>
      </c>
      <c r="C373" s="993" cm="1">
        <f t="array" ref="C373">SUMPRODUCT(LEN(D373:J373))</f>
        <v>0</v>
      </c>
      <c r="D373" s="167"/>
      <c r="E373" s="172"/>
      <c r="F373" s="172"/>
      <c r="G373" s="172"/>
      <c r="H373" s="172"/>
      <c r="I373" s="172"/>
      <c r="J373" s="173"/>
      <c r="K373"/>
      <c r="L373" s="104" t="s">
        <v>16</v>
      </c>
      <c r="M373" s="157" t="str">
        <f>M337</f>
        <v>B BAUDRUCHE DE COPAIN | | Auteur &gt; Guy KRENZE - Eric GODDYN - Arnaud NICOLAS - CEPROC 2002</v>
      </c>
      <c r="N373" s="157">
        <f>N337</f>
        <v>9.0500000000000007</v>
      </c>
      <c r="O373" s="158" t="str">
        <f>O337</f>
        <v>Kg</v>
      </c>
      <c r="P373" s="159" t="str">
        <f>P337</f>
        <v>Recette mère ► le Boudin en 4 déclinaisons</v>
      </c>
      <c r="Q373" s="172" t="s">
        <v>13121</v>
      </c>
      <c r="R373" s="172"/>
      <c r="S373" s="172"/>
      <c r="T373" s="172"/>
      <c r="U373" s="172"/>
      <c r="V373" s="172"/>
      <c r="W373" s="172"/>
      <c r="X373" s="172"/>
      <c r="Y373" s="176" t="s">
        <v>183</v>
      </c>
      <c r="Z373" s="177">
        <f>Z370+Z371+Z372</f>
        <v>1.0416666666666666E-2</v>
      </c>
      <c r="AA373" s="5086"/>
      <c r="AB373" s="104" t="s">
        <v>16</v>
      </c>
      <c r="AC373" s="157" t="str">
        <f>AC337</f>
        <v>B BAUDRUCHE DE COPAIN | |  Author &gt; Guy KRENZE - Eric GODDYN - Arnaud NICOLAS - CEPROC 2002</v>
      </c>
      <c r="AD373" s="157">
        <f>AD337</f>
        <v>9.0500000000000007</v>
      </c>
      <c r="AE373" s="158" t="str">
        <f>AE337</f>
        <v>Kg</v>
      </c>
      <c r="AF373" s="159" t="str">
        <f>AF337</f>
        <v>Master recipe ► Black pudding in 4 variations</v>
      </c>
      <c r="AG373" s="172" t="s">
        <v>13298</v>
      </c>
      <c r="AH373" s="172"/>
      <c r="AI373" s="172"/>
      <c r="AJ373" s="172"/>
      <c r="AK373" s="172"/>
      <c r="AL373" s="172"/>
      <c r="AM373" s="172"/>
      <c r="AN373" s="172"/>
      <c r="AO373" s="176" t="s">
        <v>183</v>
      </c>
      <c r="AP373" s="177">
        <f>AP370+AP371+AP372</f>
        <v>1.0416666666666666E-2</v>
      </c>
      <c r="AQ373" s="5086"/>
      <c r="AR373" s="104" t="s">
        <v>16</v>
      </c>
      <c r="AS373" s="157" t="str">
        <f>AS337</f>
        <v>B BAUDRUCHE DE COPAIN | | Autor &gt; Guy KRENZE - Eric GODDYN - Arnaud NICOLAS - CEPROC 2002</v>
      </c>
      <c r="AT373" s="157">
        <f>AT337</f>
        <v>9.0500000000000007</v>
      </c>
      <c r="AU373" s="158" t="str">
        <f>AU337</f>
        <v>Kg</v>
      </c>
      <c r="AV373" s="159" t="str">
        <f>AV337</f>
        <v>Receta madre ► Morcilla en 4 versiones</v>
      </c>
      <c r="AW373" s="172" t="s">
        <v>13311</v>
      </c>
      <c r="AX373" s="172"/>
      <c r="AY373" s="172"/>
      <c r="AZ373" s="172"/>
      <c r="BA373" s="172"/>
      <c r="BB373" s="172"/>
      <c r="BC373" s="172"/>
      <c r="BD373" s="172"/>
      <c r="BE373" s="176" t="s">
        <v>183</v>
      </c>
      <c r="BF373" s="177">
        <f>BF370+BF371+BF372</f>
        <v>1.0416666666666666E-2</v>
      </c>
      <c r="BG373" s="5086"/>
      <c r="BH373" s="104"/>
      <c r="BI373" s="32"/>
      <c r="BJ373" s="33"/>
      <c r="BK373" s="32"/>
      <c r="BL373" s="34"/>
      <c r="BM373" s="92"/>
      <c r="BN373" s="108"/>
      <c r="BO373" s="94"/>
      <c r="BP373" s="95"/>
      <c r="BQ373" s="105"/>
      <c r="BR373" s="5101"/>
      <c r="BS373" s="920"/>
      <c r="BT373" s="1495"/>
      <c r="BU373" s="101"/>
      <c r="BV373" s="1475"/>
      <c r="BW373" s="5086"/>
      <c r="BX373" s="104"/>
      <c r="BY373" s="32"/>
      <c r="BZ373" s="33"/>
      <c r="CA373" s="32"/>
      <c r="CB373" s="34"/>
      <c r="CC373" s="92"/>
      <c r="CD373" s="108"/>
      <c r="CE373" s="94"/>
      <c r="CF373" s="95"/>
      <c r="CG373" s="105"/>
      <c r="CH373" s="5101"/>
      <c r="CI373" s="920"/>
      <c r="CJ373" s="1495"/>
      <c r="CK373" s="101"/>
      <c r="CL373" s="1475"/>
      <c r="CM373" s="5086"/>
      <c r="CN373" s="104"/>
      <c r="CO373" s="32"/>
      <c r="CP373" s="33"/>
      <c r="CQ373" s="32"/>
      <c r="CR373" s="34"/>
      <c r="CS373" s="92"/>
      <c r="CT373" s="108"/>
      <c r="CU373" s="94"/>
      <c r="CV373" s="95"/>
      <c r="CW373" s="105"/>
      <c r="CX373" s="5101"/>
      <c r="CY373" s="920"/>
      <c r="CZ373" s="1495"/>
      <c r="DA373" s="101"/>
      <c r="DB373" s="1475"/>
      <c r="DC373" s="5109"/>
      <c r="DD373" s="5086"/>
      <c r="DF373" s="3">
        <v>1</v>
      </c>
      <c r="EY373" s="172"/>
      <c r="EZ373" s="172"/>
      <c r="FA373" s="172"/>
      <c r="FB373" s="172"/>
      <c r="FC373" s="555"/>
    </row>
    <row r="374" spans="2:159" ht="18.75">
      <c r="B374" s="952" t="str">
        <f t="shared" si="75"/>
        <v>►</v>
      </c>
      <c r="C374" s="993" cm="1">
        <f t="array" ref="C374">SUMPRODUCT(LEN(D374:J374))</f>
        <v>0</v>
      </c>
      <c r="D374" s="167"/>
      <c r="E374" s="172"/>
      <c r="F374" s="172"/>
      <c r="G374" s="172"/>
      <c r="H374" s="172"/>
      <c r="I374" s="172"/>
      <c r="J374" s="173"/>
      <c r="K374"/>
      <c r="L374" s="104" t="s">
        <v>16</v>
      </c>
      <c r="M374" s="157" t="str">
        <f>M337</f>
        <v>B BAUDRUCHE DE COPAIN | | Auteur &gt; Guy KRENZE - Eric GODDYN - Arnaud NICOLAS - CEPROC 2002</v>
      </c>
      <c r="N374" s="157">
        <f>N337</f>
        <v>9.0500000000000007</v>
      </c>
      <c r="O374" s="158" t="str">
        <f>O337</f>
        <v>Kg</v>
      </c>
      <c r="P374" s="159" t="str">
        <f>P337</f>
        <v>Recette mère ► le Boudin en 4 déclinaisons</v>
      </c>
      <c r="Q374" s="172" t="s">
        <v>13122</v>
      </c>
      <c r="R374" s="172"/>
      <c r="S374" s="172"/>
      <c r="T374" s="172"/>
      <c r="U374" s="172"/>
      <c r="V374" s="172"/>
      <c r="W374" s="172"/>
      <c r="X374" s="172"/>
      <c r="Y374" s="172"/>
      <c r="Z374" s="555"/>
      <c r="AA374" s="5086"/>
      <c r="AB374" s="104" t="s">
        <v>16</v>
      </c>
      <c r="AC374" s="157" t="str">
        <f>AC337</f>
        <v>B BAUDRUCHE DE COPAIN | |  Author &gt; Guy KRENZE - Eric GODDYN - Arnaud NICOLAS - CEPROC 2002</v>
      </c>
      <c r="AD374" s="157">
        <f>AD337</f>
        <v>9.0500000000000007</v>
      </c>
      <c r="AE374" s="158" t="str">
        <f>AE337</f>
        <v>Kg</v>
      </c>
      <c r="AF374" s="159" t="str">
        <f>AF337</f>
        <v>Master recipe ► Black pudding in 4 variations</v>
      </c>
      <c r="AG374" s="172" t="s">
        <v>13299</v>
      </c>
      <c r="AH374" s="172"/>
      <c r="AI374" s="172"/>
      <c r="AJ374" s="172"/>
      <c r="AK374" s="172"/>
      <c r="AL374" s="172"/>
      <c r="AM374" s="172"/>
      <c r="AN374" s="172"/>
      <c r="AO374" s="172"/>
      <c r="AP374" s="555"/>
      <c r="AQ374" s="5086"/>
      <c r="AR374" s="104" t="s">
        <v>16</v>
      </c>
      <c r="AS374" s="157" t="str">
        <f>AS337</f>
        <v>B BAUDRUCHE DE COPAIN | | Autor &gt; Guy KRENZE - Eric GODDYN - Arnaud NICOLAS - CEPROC 2002</v>
      </c>
      <c r="AT374" s="157">
        <f>AT337</f>
        <v>9.0500000000000007</v>
      </c>
      <c r="AU374" s="158" t="str">
        <f>AU337</f>
        <v>Kg</v>
      </c>
      <c r="AV374" s="159" t="str">
        <f>AV337</f>
        <v>Receta madre ► Morcilla en 4 versiones</v>
      </c>
      <c r="AW374" s="172" t="s">
        <v>13312</v>
      </c>
      <c r="AX374" s="172"/>
      <c r="AY374" s="172"/>
      <c r="AZ374" s="172"/>
      <c r="BA374" s="172"/>
      <c r="BB374" s="172"/>
      <c r="BC374" s="172"/>
      <c r="BD374" s="172"/>
      <c r="BE374" s="172"/>
      <c r="BF374" s="555"/>
      <c r="BG374" s="5086"/>
      <c r="BH374" s="104"/>
      <c r="BI374" s="32"/>
      <c r="BJ374" s="33"/>
      <c r="BK374" s="32"/>
      <c r="BL374" s="34"/>
      <c r="BM374" s="92"/>
      <c r="BN374" s="108"/>
      <c r="BO374" s="94"/>
      <c r="BP374" s="95"/>
      <c r="BQ374" s="105"/>
      <c r="BR374" s="5101"/>
      <c r="BS374" s="920"/>
      <c r="BT374" s="1495"/>
      <c r="BU374" s="101"/>
      <c r="BV374" s="1475"/>
      <c r="BW374" s="5086"/>
      <c r="BX374" s="104"/>
      <c r="BY374" s="32"/>
      <c r="BZ374" s="33"/>
      <c r="CA374" s="32"/>
      <c r="CB374" s="34"/>
      <c r="CC374" s="92"/>
      <c r="CD374" s="108"/>
      <c r="CE374" s="94"/>
      <c r="CF374" s="95"/>
      <c r="CG374" s="105"/>
      <c r="CH374" s="5101"/>
      <c r="CI374" s="920"/>
      <c r="CJ374" s="1495"/>
      <c r="CK374" s="101"/>
      <c r="CL374" s="1475"/>
      <c r="CM374" s="5086"/>
      <c r="CN374" s="104"/>
      <c r="CO374" s="32"/>
      <c r="CP374" s="33"/>
      <c r="CQ374" s="32"/>
      <c r="CR374" s="34"/>
      <c r="CS374" s="92"/>
      <c r="CT374" s="108"/>
      <c r="CU374" s="94"/>
      <c r="CV374" s="95"/>
      <c r="CW374" s="105"/>
      <c r="CX374" s="5101"/>
      <c r="CY374" s="920"/>
      <c r="CZ374" s="1495"/>
      <c r="DA374" s="101"/>
      <c r="DB374" s="1475"/>
      <c r="DC374" s="5109"/>
      <c r="DD374" s="5086"/>
      <c r="DF374" s="3">
        <v>1</v>
      </c>
      <c r="EY374" s="172"/>
      <c r="EZ374" s="172"/>
      <c r="FA374" s="172"/>
      <c r="FB374" s="172"/>
      <c r="FC374" s="555"/>
    </row>
    <row r="375" spans="2:159" ht="18.75">
      <c r="B375" s="952" t="str">
        <f t="shared" si="75"/>
        <v>►</v>
      </c>
      <c r="C375" s="993" cm="1">
        <f t="array" ref="C375">SUMPRODUCT(LEN(D375:J375))</f>
        <v>0</v>
      </c>
      <c r="D375" s="167"/>
      <c r="E375" s="172"/>
      <c r="F375" s="172"/>
      <c r="G375" s="172"/>
      <c r="H375" s="172"/>
      <c r="I375" s="172"/>
      <c r="J375" s="173"/>
      <c r="K375"/>
      <c r="L375" s="104" t="s">
        <v>16</v>
      </c>
      <c r="M375" s="157" t="str">
        <f>M337</f>
        <v>B BAUDRUCHE DE COPAIN | | Auteur &gt; Guy KRENZE - Eric GODDYN - Arnaud NICOLAS - CEPROC 2002</v>
      </c>
      <c r="N375" s="157">
        <f>N337</f>
        <v>9.0500000000000007</v>
      </c>
      <c r="O375" s="158" t="str">
        <f>O337</f>
        <v>Kg</v>
      </c>
      <c r="P375" s="159" t="str">
        <f>P337</f>
        <v>Recette mère ► le Boudin en 4 déclinaisons</v>
      </c>
      <c r="Q375" s="172" t="s">
        <v>13123</v>
      </c>
      <c r="R375" s="172"/>
      <c r="S375" s="172"/>
      <c r="T375" s="172"/>
      <c r="U375" s="172"/>
      <c r="V375" s="172"/>
      <c r="W375" s="172"/>
      <c r="X375" s="172"/>
      <c r="Y375" s="172"/>
      <c r="Z375" s="555"/>
      <c r="AA375" s="5086"/>
      <c r="AB375" s="104" t="s">
        <v>16</v>
      </c>
      <c r="AC375" s="157" t="str">
        <f>AC337</f>
        <v>B BAUDRUCHE DE COPAIN | |  Author &gt; Guy KRENZE - Eric GODDYN - Arnaud NICOLAS - CEPROC 2002</v>
      </c>
      <c r="AD375" s="157">
        <f>AD337</f>
        <v>9.0500000000000007</v>
      </c>
      <c r="AE375" s="158" t="str">
        <f>AE337</f>
        <v>Kg</v>
      </c>
      <c r="AF375" s="159" t="str">
        <f>AF337</f>
        <v>Master recipe ► Black pudding in 4 variations</v>
      </c>
      <c r="AG375" s="172" t="s">
        <v>13300</v>
      </c>
      <c r="AH375" s="172"/>
      <c r="AI375" s="172"/>
      <c r="AJ375" s="172"/>
      <c r="AK375" s="172"/>
      <c r="AL375" s="172"/>
      <c r="AM375" s="172"/>
      <c r="AN375" s="172"/>
      <c r="AO375" s="172"/>
      <c r="AP375" s="555"/>
      <c r="AQ375" s="5086"/>
      <c r="AR375" s="104" t="s">
        <v>16</v>
      </c>
      <c r="AS375" s="157" t="str">
        <f>AS337</f>
        <v>B BAUDRUCHE DE COPAIN | | Autor &gt; Guy KRENZE - Eric GODDYN - Arnaud NICOLAS - CEPROC 2002</v>
      </c>
      <c r="AT375" s="157">
        <f>AT337</f>
        <v>9.0500000000000007</v>
      </c>
      <c r="AU375" s="158" t="str">
        <f>AU337</f>
        <v>Kg</v>
      </c>
      <c r="AV375" s="159" t="str">
        <f>AV337</f>
        <v>Receta madre ► Morcilla en 4 versiones</v>
      </c>
      <c r="AW375" s="172" t="s">
        <v>13313</v>
      </c>
      <c r="AX375" s="172"/>
      <c r="AY375" s="172"/>
      <c r="AZ375" s="172"/>
      <c r="BA375" s="172"/>
      <c r="BB375" s="172"/>
      <c r="BC375" s="172"/>
      <c r="BD375" s="172"/>
      <c r="BE375" s="172"/>
      <c r="BF375" s="555"/>
      <c r="BG375" s="5086"/>
      <c r="BH375" s="104"/>
      <c r="BI375" s="32"/>
      <c r="BJ375" s="33"/>
      <c r="BK375" s="32"/>
      <c r="BL375" s="34"/>
      <c r="BM375" s="92"/>
      <c r="BN375" s="108"/>
      <c r="BO375" s="94"/>
      <c r="BP375" s="95"/>
      <c r="BQ375" s="105"/>
      <c r="BR375" s="5101"/>
      <c r="BS375" s="920"/>
      <c r="BT375" s="1495"/>
      <c r="BU375" s="101"/>
      <c r="BV375" s="1475"/>
      <c r="BW375" s="5086"/>
      <c r="BX375" s="104"/>
      <c r="BY375" s="32"/>
      <c r="BZ375" s="33"/>
      <c r="CA375" s="32"/>
      <c r="CB375" s="34"/>
      <c r="CC375" s="92"/>
      <c r="CD375" s="108"/>
      <c r="CE375" s="94"/>
      <c r="CF375" s="95"/>
      <c r="CG375" s="105"/>
      <c r="CH375" s="5101"/>
      <c r="CI375" s="920"/>
      <c r="CJ375" s="1495"/>
      <c r="CK375" s="101"/>
      <c r="CL375" s="1475"/>
      <c r="CM375" s="5086"/>
      <c r="CN375" s="104"/>
      <c r="CO375" s="32"/>
      <c r="CP375" s="33"/>
      <c r="CQ375" s="32"/>
      <c r="CR375" s="34"/>
      <c r="CS375" s="92"/>
      <c r="CT375" s="108"/>
      <c r="CU375" s="94"/>
      <c r="CV375" s="95"/>
      <c r="CW375" s="105"/>
      <c r="CX375" s="5101"/>
      <c r="CY375" s="920"/>
      <c r="CZ375" s="1495"/>
      <c r="DA375" s="101"/>
      <c r="DB375" s="1475"/>
      <c r="DC375" s="5109"/>
      <c r="DD375" s="5086"/>
      <c r="DF375" s="3">
        <v>1</v>
      </c>
      <c r="EY375" s="172"/>
      <c r="EZ375" s="172"/>
      <c r="FA375" s="172"/>
      <c r="FB375" s="172"/>
      <c r="FC375" s="555"/>
    </row>
    <row r="376" spans="2:159" ht="18.75">
      <c r="B376" s="952" t="str">
        <f t="shared" si="75"/>
        <v>►</v>
      </c>
      <c r="C376" s="993" cm="1">
        <f t="array" ref="C376">SUMPRODUCT(LEN(D376:J376))</f>
        <v>0</v>
      </c>
      <c r="D376" s="167"/>
      <c r="E376" s="172"/>
      <c r="F376" s="172"/>
      <c r="G376" s="172"/>
      <c r="H376" s="172"/>
      <c r="I376" s="172"/>
      <c r="J376" s="173"/>
      <c r="K376"/>
      <c r="L376" s="104" t="s">
        <v>16</v>
      </c>
      <c r="M376" s="157" t="str">
        <f>M337</f>
        <v>B BAUDRUCHE DE COPAIN | | Auteur &gt; Guy KRENZE - Eric GODDYN - Arnaud NICOLAS - CEPROC 2002</v>
      </c>
      <c r="N376" s="157">
        <f>N337</f>
        <v>9.0500000000000007</v>
      </c>
      <c r="O376" s="158" t="str">
        <f>O337</f>
        <v>Kg</v>
      </c>
      <c r="P376" s="159" t="str">
        <f>P337</f>
        <v>Recette mère ► le Boudin en 4 déclinaisons</v>
      </c>
      <c r="Q376" s="172" t="s">
        <v>13124</v>
      </c>
      <c r="R376" s="172"/>
      <c r="S376" s="172"/>
      <c r="T376" s="172"/>
      <c r="U376" s="172"/>
      <c r="V376" s="172"/>
      <c r="W376" s="172"/>
      <c r="X376" s="172"/>
      <c r="Y376" s="172"/>
      <c r="Z376" s="555"/>
      <c r="AA376" s="5086"/>
      <c r="AB376" s="104" t="s">
        <v>16</v>
      </c>
      <c r="AC376" s="157" t="str">
        <f>AC337</f>
        <v>B BAUDRUCHE DE COPAIN | |  Author &gt; Guy KRENZE - Eric GODDYN - Arnaud NICOLAS - CEPROC 2002</v>
      </c>
      <c r="AD376" s="157">
        <f>AD337</f>
        <v>9.0500000000000007</v>
      </c>
      <c r="AE376" s="158" t="str">
        <f>AE337</f>
        <v>Kg</v>
      </c>
      <c r="AF376" s="159" t="str">
        <f>AF337</f>
        <v>Master recipe ► Black pudding in 4 variations</v>
      </c>
      <c r="AG376" s="172" t="s">
        <v>13301</v>
      </c>
      <c r="AH376" s="172"/>
      <c r="AI376" s="172"/>
      <c r="AJ376" s="172"/>
      <c r="AK376" s="172"/>
      <c r="AL376" s="172"/>
      <c r="AM376" s="172"/>
      <c r="AN376" s="172"/>
      <c r="AO376" s="172"/>
      <c r="AP376" s="555"/>
      <c r="AQ376" s="5086"/>
      <c r="AR376" s="104" t="s">
        <v>16</v>
      </c>
      <c r="AS376" s="157" t="str">
        <f>AS337</f>
        <v>B BAUDRUCHE DE COPAIN | | Autor &gt; Guy KRENZE - Eric GODDYN - Arnaud NICOLAS - CEPROC 2002</v>
      </c>
      <c r="AT376" s="157">
        <f>AT337</f>
        <v>9.0500000000000007</v>
      </c>
      <c r="AU376" s="158" t="str">
        <f>AU337</f>
        <v>Kg</v>
      </c>
      <c r="AV376" s="159" t="str">
        <f>AV337</f>
        <v>Receta madre ► Morcilla en 4 versiones</v>
      </c>
      <c r="AW376" s="172" t="s">
        <v>13314</v>
      </c>
      <c r="AX376" s="172"/>
      <c r="AY376" s="172"/>
      <c r="AZ376" s="172"/>
      <c r="BA376" s="172"/>
      <c r="BB376" s="172"/>
      <c r="BC376" s="172"/>
      <c r="BD376" s="172"/>
      <c r="BE376" s="172"/>
      <c r="BF376" s="555"/>
      <c r="BG376" s="5086"/>
      <c r="BH376" s="104"/>
      <c r="BI376" s="32"/>
      <c r="BJ376" s="33"/>
      <c r="BK376" s="32"/>
      <c r="BL376" s="34"/>
      <c r="BM376" s="92"/>
      <c r="BN376" s="108"/>
      <c r="BO376" s="94"/>
      <c r="BP376" s="95"/>
      <c r="BQ376" s="105"/>
      <c r="BR376" s="5101"/>
      <c r="BS376" s="920"/>
      <c r="BT376" s="1495"/>
      <c r="BU376" s="101"/>
      <c r="BV376" s="1475"/>
      <c r="BW376" s="5086"/>
      <c r="BX376" s="104"/>
      <c r="BY376" s="32"/>
      <c r="BZ376" s="33"/>
      <c r="CA376" s="32"/>
      <c r="CB376" s="34"/>
      <c r="CC376" s="92"/>
      <c r="CD376" s="108"/>
      <c r="CE376" s="94"/>
      <c r="CF376" s="95"/>
      <c r="CG376" s="105"/>
      <c r="CH376" s="5101"/>
      <c r="CI376" s="920"/>
      <c r="CJ376" s="1495"/>
      <c r="CK376" s="101"/>
      <c r="CL376" s="1475"/>
      <c r="CM376" s="5086"/>
      <c r="CN376" s="104"/>
      <c r="CO376" s="32"/>
      <c r="CP376" s="33"/>
      <c r="CQ376" s="32"/>
      <c r="CR376" s="34"/>
      <c r="CS376" s="92"/>
      <c r="CT376" s="108"/>
      <c r="CU376" s="94"/>
      <c r="CV376" s="95"/>
      <c r="CW376" s="105"/>
      <c r="CX376" s="5101"/>
      <c r="CY376" s="920"/>
      <c r="CZ376" s="1495"/>
      <c r="DA376" s="101"/>
      <c r="DB376" s="1475"/>
      <c r="DC376" s="5109"/>
      <c r="DD376" s="5086"/>
      <c r="DF376" s="3">
        <v>1</v>
      </c>
      <c r="EY376" s="172"/>
      <c r="EZ376" s="172"/>
      <c r="FA376" s="172"/>
      <c r="FB376" s="172"/>
      <c r="FC376" s="555"/>
    </row>
    <row r="377" spans="2:159" ht="18.75">
      <c r="B377" s="952" t="str">
        <f t="shared" si="75"/>
        <v>►</v>
      </c>
      <c r="C377" s="993" cm="1">
        <f t="array" ref="C377">SUMPRODUCT(LEN(D377:J377))</f>
        <v>0</v>
      </c>
      <c r="D377" s="167"/>
      <c r="E377" s="172"/>
      <c r="F377" s="172"/>
      <c r="G377" s="172"/>
      <c r="H377" s="172"/>
      <c r="I377" s="172"/>
      <c r="J377" s="173"/>
      <c r="K377"/>
      <c r="L377" s="104" t="s">
        <v>16</v>
      </c>
      <c r="M377" s="157" t="str">
        <f>M337</f>
        <v>B BAUDRUCHE DE COPAIN | | Auteur &gt; Guy KRENZE - Eric GODDYN - Arnaud NICOLAS - CEPROC 2002</v>
      </c>
      <c r="N377" s="157">
        <f>N337</f>
        <v>9.0500000000000007</v>
      </c>
      <c r="O377" s="158" t="str">
        <f>O337</f>
        <v>Kg</v>
      </c>
      <c r="P377" s="159" t="str">
        <f>P337</f>
        <v>Recette mère ► le Boudin en 4 déclinaisons</v>
      </c>
      <c r="Q377" s="172" t="s">
        <v>13125</v>
      </c>
      <c r="R377" s="172"/>
      <c r="S377" s="172"/>
      <c r="T377" s="172"/>
      <c r="U377" s="172"/>
      <c r="V377" s="172"/>
      <c r="W377" s="172"/>
      <c r="X377" s="172"/>
      <c r="Y377" s="172"/>
      <c r="Z377" s="555"/>
      <c r="AA377" s="5086"/>
      <c r="AB377" s="104" t="s">
        <v>16</v>
      </c>
      <c r="AC377" s="157" t="str">
        <f>AC337</f>
        <v>B BAUDRUCHE DE COPAIN | |  Author &gt; Guy KRENZE - Eric GODDYN - Arnaud NICOLAS - CEPROC 2002</v>
      </c>
      <c r="AD377" s="157">
        <f>AD337</f>
        <v>9.0500000000000007</v>
      </c>
      <c r="AE377" s="158" t="str">
        <f>AE337</f>
        <v>Kg</v>
      </c>
      <c r="AF377" s="159" t="str">
        <f>AF337</f>
        <v>Master recipe ► Black pudding in 4 variations</v>
      </c>
      <c r="AG377" s="172" t="s">
        <v>13302</v>
      </c>
      <c r="AH377" s="172"/>
      <c r="AI377" s="172"/>
      <c r="AJ377" s="172"/>
      <c r="AK377" s="172"/>
      <c r="AL377" s="172"/>
      <c r="AM377" s="172"/>
      <c r="AN377" s="172"/>
      <c r="AO377" s="172"/>
      <c r="AP377" s="555"/>
      <c r="AQ377" s="5086"/>
      <c r="AR377" s="104" t="s">
        <v>16</v>
      </c>
      <c r="AS377" s="157" t="str">
        <f>AS337</f>
        <v>B BAUDRUCHE DE COPAIN | | Autor &gt; Guy KRENZE - Eric GODDYN - Arnaud NICOLAS - CEPROC 2002</v>
      </c>
      <c r="AT377" s="157">
        <f>AT337</f>
        <v>9.0500000000000007</v>
      </c>
      <c r="AU377" s="158" t="str">
        <f>AU337</f>
        <v>Kg</v>
      </c>
      <c r="AV377" s="159" t="str">
        <f>AV337</f>
        <v>Receta madre ► Morcilla en 4 versiones</v>
      </c>
      <c r="AW377" s="172" t="s">
        <v>13315</v>
      </c>
      <c r="AX377" s="172"/>
      <c r="AY377" s="172"/>
      <c r="AZ377" s="172"/>
      <c r="BA377" s="172"/>
      <c r="BB377" s="172"/>
      <c r="BC377" s="172"/>
      <c r="BD377" s="172"/>
      <c r="BE377" s="172"/>
      <c r="BF377" s="555"/>
      <c r="BG377" s="5086"/>
      <c r="BH377" s="104"/>
      <c r="BI377" s="32"/>
      <c r="BJ377" s="33"/>
      <c r="BK377" s="32"/>
      <c r="BL377" s="34"/>
      <c r="BM377" s="92"/>
      <c r="BN377" s="108"/>
      <c r="BO377" s="94"/>
      <c r="BP377" s="95"/>
      <c r="BQ377" s="105"/>
      <c r="BR377" s="5101"/>
      <c r="BS377" s="920"/>
      <c r="BT377" s="1495"/>
      <c r="BU377" s="101"/>
      <c r="BV377" s="1475"/>
      <c r="BW377" s="5086"/>
      <c r="BX377" s="104"/>
      <c r="BY377" s="32"/>
      <c r="BZ377" s="33"/>
      <c r="CA377" s="32"/>
      <c r="CB377" s="34"/>
      <c r="CC377" s="92"/>
      <c r="CD377" s="108"/>
      <c r="CE377" s="94"/>
      <c r="CF377" s="95"/>
      <c r="CG377" s="105"/>
      <c r="CH377" s="5101"/>
      <c r="CI377" s="920"/>
      <c r="CJ377" s="1495"/>
      <c r="CK377" s="101"/>
      <c r="CL377" s="1475"/>
      <c r="CM377" s="5086"/>
      <c r="CN377" s="104"/>
      <c r="CO377" s="32"/>
      <c r="CP377" s="33"/>
      <c r="CQ377" s="32"/>
      <c r="CR377" s="34"/>
      <c r="CS377" s="92"/>
      <c r="CT377" s="108"/>
      <c r="CU377" s="94"/>
      <c r="CV377" s="95"/>
      <c r="CW377" s="105"/>
      <c r="CX377" s="5101"/>
      <c r="CY377" s="920"/>
      <c r="CZ377" s="1495"/>
      <c r="DA377" s="101"/>
      <c r="DB377" s="1475"/>
      <c r="DC377" s="5109"/>
      <c r="DD377" s="5086"/>
      <c r="DF377" s="3">
        <v>1</v>
      </c>
      <c r="EY377" s="172"/>
      <c r="EZ377" s="172"/>
      <c r="FA377" s="172"/>
      <c r="FB377" s="172"/>
      <c r="FC377" s="555"/>
    </row>
    <row r="378" spans="2:159" ht="18.75">
      <c r="B378" s="952" t="str">
        <f t="shared" si="75"/>
        <v>►</v>
      </c>
      <c r="C378" s="993" cm="1">
        <f t="array" ref="C378">SUMPRODUCT(LEN(D378:J378))</f>
        <v>0</v>
      </c>
      <c r="D378" s="167"/>
      <c r="E378" s="172"/>
      <c r="F378" s="172"/>
      <c r="G378" s="172"/>
      <c r="H378" s="172"/>
      <c r="I378" s="172"/>
      <c r="J378" s="173"/>
      <c r="K378"/>
      <c r="L378" s="104" t="s">
        <v>16</v>
      </c>
      <c r="M378" s="157" t="str">
        <f>M337</f>
        <v>B BAUDRUCHE DE COPAIN | | Auteur &gt; Guy KRENZE - Eric GODDYN - Arnaud NICOLAS - CEPROC 2002</v>
      </c>
      <c r="N378" s="157">
        <f>N337</f>
        <v>9.0500000000000007</v>
      </c>
      <c r="O378" s="158" t="str">
        <f>O337</f>
        <v>Kg</v>
      </c>
      <c r="P378" s="159" t="str">
        <f>P337</f>
        <v>Recette mère ► le Boudin en 4 déclinaisons</v>
      </c>
      <c r="Q378" s="172" t="s">
        <v>13126</v>
      </c>
      <c r="R378" s="172"/>
      <c r="S378" s="172"/>
      <c r="T378" s="172"/>
      <c r="U378" s="172"/>
      <c r="V378" s="172"/>
      <c r="W378" s="172"/>
      <c r="X378" s="172"/>
      <c r="Y378" s="172"/>
      <c r="Z378" s="555"/>
      <c r="AA378" s="5086"/>
      <c r="AB378" s="104" t="s">
        <v>16</v>
      </c>
      <c r="AC378" s="157" t="str">
        <f>AC337</f>
        <v>B BAUDRUCHE DE COPAIN | |  Author &gt; Guy KRENZE - Eric GODDYN - Arnaud NICOLAS - CEPROC 2002</v>
      </c>
      <c r="AD378" s="157">
        <f>AD337</f>
        <v>9.0500000000000007</v>
      </c>
      <c r="AE378" s="158" t="str">
        <f>AE337</f>
        <v>Kg</v>
      </c>
      <c r="AF378" s="159" t="str">
        <f>AF337</f>
        <v>Master recipe ► Black pudding in 4 variations</v>
      </c>
      <c r="AG378" s="172" t="s">
        <v>13303</v>
      </c>
      <c r="AH378" s="172"/>
      <c r="AI378" s="172"/>
      <c r="AJ378" s="172"/>
      <c r="AK378" s="172"/>
      <c r="AL378" s="172"/>
      <c r="AM378" s="172"/>
      <c r="AN378" s="172"/>
      <c r="AO378" s="172"/>
      <c r="AP378" s="555"/>
      <c r="AQ378" s="5086"/>
      <c r="AR378" s="104" t="s">
        <v>16</v>
      </c>
      <c r="AS378" s="157" t="str">
        <f>AS337</f>
        <v>B BAUDRUCHE DE COPAIN | | Autor &gt; Guy KRENZE - Eric GODDYN - Arnaud NICOLAS - CEPROC 2002</v>
      </c>
      <c r="AT378" s="157">
        <f>AT337</f>
        <v>9.0500000000000007</v>
      </c>
      <c r="AU378" s="158" t="str">
        <f>AU337</f>
        <v>Kg</v>
      </c>
      <c r="AV378" s="159" t="str">
        <f>AV337</f>
        <v>Receta madre ► Morcilla en 4 versiones</v>
      </c>
      <c r="AW378" s="172" t="s">
        <v>13316</v>
      </c>
      <c r="AX378" s="172"/>
      <c r="AY378" s="172"/>
      <c r="AZ378" s="172"/>
      <c r="BA378" s="172"/>
      <c r="BB378" s="172"/>
      <c r="BC378" s="172"/>
      <c r="BD378" s="172"/>
      <c r="BE378" s="172"/>
      <c r="BF378" s="555"/>
      <c r="BG378" s="5086"/>
      <c r="BH378" s="104"/>
      <c r="BI378" s="32"/>
      <c r="BJ378" s="33"/>
      <c r="BK378" s="32"/>
      <c r="BL378" s="34"/>
      <c r="BM378" s="92"/>
      <c r="BN378" s="108"/>
      <c r="BO378" s="94"/>
      <c r="BP378" s="95"/>
      <c r="BQ378" s="105"/>
      <c r="BR378" s="5101"/>
      <c r="BS378" s="920"/>
      <c r="BT378" s="1495"/>
      <c r="BU378" s="101"/>
      <c r="BV378" s="1475"/>
      <c r="BW378" s="5086"/>
      <c r="BX378" s="104"/>
      <c r="BY378" s="32"/>
      <c r="BZ378" s="33"/>
      <c r="CA378" s="32"/>
      <c r="CB378" s="34"/>
      <c r="CC378" s="92"/>
      <c r="CD378" s="108"/>
      <c r="CE378" s="94"/>
      <c r="CF378" s="95"/>
      <c r="CG378" s="105"/>
      <c r="CH378" s="5101"/>
      <c r="CI378" s="920"/>
      <c r="CJ378" s="1495"/>
      <c r="CK378" s="101"/>
      <c r="CL378" s="1475"/>
      <c r="CM378" s="5086"/>
      <c r="CN378" s="104"/>
      <c r="CO378" s="32"/>
      <c r="CP378" s="33"/>
      <c r="CQ378" s="32"/>
      <c r="CR378" s="34"/>
      <c r="CS378" s="92"/>
      <c r="CT378" s="108"/>
      <c r="CU378" s="94"/>
      <c r="CV378" s="95"/>
      <c r="CW378" s="105"/>
      <c r="CX378" s="5101"/>
      <c r="CY378" s="920"/>
      <c r="CZ378" s="1495"/>
      <c r="DA378" s="101"/>
      <c r="DB378" s="1475"/>
      <c r="DC378" s="5109"/>
      <c r="DD378" s="5086"/>
      <c r="DF378" s="3">
        <v>1</v>
      </c>
      <c r="EY378" s="172"/>
      <c r="EZ378" s="172"/>
      <c r="FA378" s="172"/>
      <c r="FB378" s="172"/>
      <c r="FC378" s="555"/>
    </row>
    <row r="379" spans="2:159" ht="18.75">
      <c r="B379" s="952" t="str">
        <f t="shared" si="75"/>
        <v>►</v>
      </c>
      <c r="C379" s="993" cm="1">
        <f t="array" ref="C379">SUMPRODUCT(LEN(D379:J379))</f>
        <v>0</v>
      </c>
      <c r="D379" s="167"/>
      <c r="E379" s="172"/>
      <c r="F379" s="172"/>
      <c r="G379" s="172"/>
      <c r="H379" s="172"/>
      <c r="I379" s="172"/>
      <c r="J379" s="173"/>
      <c r="K379"/>
      <c r="L379" s="104" t="s">
        <v>16</v>
      </c>
      <c r="M379" s="157" t="str">
        <f>M337</f>
        <v>B BAUDRUCHE DE COPAIN | | Auteur &gt; Guy KRENZE - Eric GODDYN - Arnaud NICOLAS - CEPROC 2002</v>
      </c>
      <c r="N379" s="157">
        <f>N337</f>
        <v>9.0500000000000007</v>
      </c>
      <c r="O379" s="158" t="str">
        <f>O337</f>
        <v>Kg</v>
      </c>
      <c r="P379" s="159" t="str">
        <f>P337</f>
        <v>Recette mère ► le Boudin en 4 déclinaisons</v>
      </c>
      <c r="Q379" s="172" t="s">
        <v>13127</v>
      </c>
      <c r="R379" s="172"/>
      <c r="S379" s="172"/>
      <c r="T379" s="172"/>
      <c r="U379" s="172"/>
      <c r="V379" s="172"/>
      <c r="W379" s="172"/>
      <c r="X379" s="172"/>
      <c r="Y379" s="172"/>
      <c r="Z379" s="555"/>
      <c r="AA379" s="5086"/>
      <c r="AB379" s="104" t="s">
        <v>16</v>
      </c>
      <c r="AC379" s="157" t="str">
        <f>AC337</f>
        <v>B BAUDRUCHE DE COPAIN | |  Author &gt; Guy KRENZE - Eric GODDYN - Arnaud NICOLAS - CEPROC 2002</v>
      </c>
      <c r="AD379" s="157">
        <f>AD337</f>
        <v>9.0500000000000007</v>
      </c>
      <c r="AE379" s="158" t="str">
        <f>AE337</f>
        <v>Kg</v>
      </c>
      <c r="AF379" s="159" t="str">
        <f>AF337</f>
        <v>Master recipe ► Black pudding in 4 variations</v>
      </c>
      <c r="AG379" s="172" t="s">
        <v>13304</v>
      </c>
      <c r="AH379" s="172"/>
      <c r="AI379" s="172"/>
      <c r="AJ379" s="172"/>
      <c r="AK379" s="172"/>
      <c r="AL379" s="172"/>
      <c r="AM379" s="172"/>
      <c r="AN379" s="172"/>
      <c r="AO379" s="172"/>
      <c r="AP379" s="555"/>
      <c r="AQ379" s="5086"/>
      <c r="AR379" s="104" t="s">
        <v>16</v>
      </c>
      <c r="AS379" s="157" t="str">
        <f>AS337</f>
        <v>B BAUDRUCHE DE COPAIN | | Autor &gt; Guy KRENZE - Eric GODDYN - Arnaud NICOLAS - CEPROC 2002</v>
      </c>
      <c r="AT379" s="157">
        <f>AT337</f>
        <v>9.0500000000000007</v>
      </c>
      <c r="AU379" s="158" t="str">
        <f>AU337</f>
        <v>Kg</v>
      </c>
      <c r="AV379" s="159" t="str">
        <f>AV337</f>
        <v>Receta madre ► Morcilla en 4 versiones</v>
      </c>
      <c r="AW379" s="172" t="s">
        <v>13317</v>
      </c>
      <c r="AX379" s="172"/>
      <c r="AY379" s="172"/>
      <c r="AZ379" s="172"/>
      <c r="BA379" s="172"/>
      <c r="BB379" s="172"/>
      <c r="BC379" s="172"/>
      <c r="BD379" s="172"/>
      <c r="BE379" s="172"/>
      <c r="BF379" s="555"/>
      <c r="BG379" s="5086"/>
      <c r="BH379" s="104"/>
      <c r="BI379" s="32"/>
      <c r="BJ379" s="33"/>
      <c r="BK379" s="32"/>
      <c r="BL379" s="34"/>
      <c r="BM379" s="92"/>
      <c r="BN379" s="108"/>
      <c r="BO379" s="94"/>
      <c r="BP379" s="95"/>
      <c r="BQ379" s="105"/>
      <c r="BR379" s="5101"/>
      <c r="BS379" s="920"/>
      <c r="BT379" s="1495"/>
      <c r="BU379" s="101"/>
      <c r="BV379" s="1475"/>
      <c r="BW379" s="5086"/>
      <c r="BX379" s="104"/>
      <c r="BY379" s="32"/>
      <c r="BZ379" s="33"/>
      <c r="CA379" s="32"/>
      <c r="CB379" s="34"/>
      <c r="CC379" s="92"/>
      <c r="CD379" s="108"/>
      <c r="CE379" s="94"/>
      <c r="CF379" s="95"/>
      <c r="CG379" s="105"/>
      <c r="CH379" s="5101"/>
      <c r="CI379" s="920"/>
      <c r="CJ379" s="1495"/>
      <c r="CK379" s="101"/>
      <c r="CL379" s="1475"/>
      <c r="CM379" s="5086"/>
      <c r="CN379" s="104"/>
      <c r="CO379" s="32"/>
      <c r="CP379" s="33"/>
      <c r="CQ379" s="32"/>
      <c r="CR379" s="34"/>
      <c r="CS379" s="92"/>
      <c r="CT379" s="108"/>
      <c r="CU379" s="94"/>
      <c r="CV379" s="95"/>
      <c r="CW379" s="105"/>
      <c r="CX379" s="5101"/>
      <c r="CY379" s="920"/>
      <c r="CZ379" s="1495"/>
      <c r="DA379" s="101"/>
      <c r="DB379" s="1475"/>
      <c r="DC379" s="5109"/>
      <c r="DD379" s="5086"/>
      <c r="DF379" s="3">
        <v>1</v>
      </c>
      <c r="EY379" s="172"/>
      <c r="EZ379" s="172"/>
      <c r="FA379" s="172"/>
      <c r="FB379" s="172"/>
      <c r="FC379" s="555"/>
    </row>
    <row r="380" spans="2:159" ht="18.75">
      <c r="B380" s="952" t="str">
        <f t="shared" si="75"/>
        <v>►</v>
      </c>
      <c r="C380" s="993" cm="1">
        <f t="array" ref="C380">SUMPRODUCT(LEN(D380:J380))</f>
        <v>0</v>
      </c>
      <c r="D380" s="167"/>
      <c r="E380" s="172"/>
      <c r="F380" s="172"/>
      <c r="G380" s="172"/>
      <c r="H380" s="172"/>
      <c r="I380" s="172"/>
      <c r="J380" s="173"/>
      <c r="K380"/>
      <c r="L380" s="104" t="s">
        <v>16</v>
      </c>
      <c r="M380" s="157" t="str">
        <f>M337</f>
        <v>B BAUDRUCHE DE COPAIN | | Auteur &gt; Guy KRENZE - Eric GODDYN - Arnaud NICOLAS - CEPROC 2002</v>
      </c>
      <c r="N380" s="157">
        <f>N337</f>
        <v>9.0500000000000007</v>
      </c>
      <c r="O380" s="158" t="str">
        <f>O337</f>
        <v>Kg</v>
      </c>
      <c r="P380" s="159" t="str">
        <f>P337</f>
        <v>Recette mère ► le Boudin en 4 déclinaisons</v>
      </c>
      <c r="Q380" s="172" t="s">
        <v>13128</v>
      </c>
      <c r="R380" s="172"/>
      <c r="S380" s="172"/>
      <c r="T380" s="172"/>
      <c r="U380" s="172"/>
      <c r="V380" s="172"/>
      <c r="W380" s="172"/>
      <c r="X380" s="172"/>
      <c r="Y380" s="172"/>
      <c r="Z380" s="555"/>
      <c r="AA380" s="5086"/>
      <c r="AB380" s="104" t="s">
        <v>16</v>
      </c>
      <c r="AC380" s="157" t="str">
        <f>AC337</f>
        <v>B BAUDRUCHE DE COPAIN | |  Author &gt; Guy KRENZE - Eric GODDYN - Arnaud NICOLAS - CEPROC 2002</v>
      </c>
      <c r="AD380" s="157">
        <f>AD337</f>
        <v>9.0500000000000007</v>
      </c>
      <c r="AE380" s="158" t="str">
        <f>AE337</f>
        <v>Kg</v>
      </c>
      <c r="AF380" s="159" t="str">
        <f>AF337</f>
        <v>Master recipe ► Black pudding in 4 variations</v>
      </c>
      <c r="AG380" s="172" t="s">
        <v>13305</v>
      </c>
      <c r="AH380" s="172"/>
      <c r="AI380" s="172"/>
      <c r="AJ380" s="172"/>
      <c r="AK380" s="172"/>
      <c r="AL380" s="172"/>
      <c r="AM380" s="172"/>
      <c r="AN380" s="172"/>
      <c r="AO380" s="172"/>
      <c r="AP380" s="555"/>
      <c r="AQ380" s="5086"/>
      <c r="AR380" s="104" t="s">
        <v>16</v>
      </c>
      <c r="AS380" s="157" t="str">
        <f>AS337</f>
        <v>B BAUDRUCHE DE COPAIN | | Autor &gt; Guy KRENZE - Eric GODDYN - Arnaud NICOLAS - CEPROC 2002</v>
      </c>
      <c r="AT380" s="157">
        <f>AT337</f>
        <v>9.0500000000000007</v>
      </c>
      <c r="AU380" s="158" t="str">
        <f>AU337</f>
        <v>Kg</v>
      </c>
      <c r="AV380" s="159" t="str">
        <f>AV337</f>
        <v>Receta madre ► Morcilla en 4 versiones</v>
      </c>
      <c r="AW380" s="172" t="s">
        <v>13318</v>
      </c>
      <c r="AX380" s="172"/>
      <c r="AY380" s="172"/>
      <c r="AZ380" s="172"/>
      <c r="BA380" s="172"/>
      <c r="BB380" s="172"/>
      <c r="BC380" s="172"/>
      <c r="BD380" s="172"/>
      <c r="BE380" s="172"/>
      <c r="BF380" s="555"/>
      <c r="BG380" s="5086"/>
      <c r="BH380" s="104"/>
      <c r="BI380" s="32"/>
      <c r="BJ380" s="33"/>
      <c r="BK380" s="32"/>
      <c r="BL380" s="34"/>
      <c r="BM380" s="92"/>
      <c r="BN380" s="108"/>
      <c r="BO380" s="94"/>
      <c r="BP380" s="95"/>
      <c r="BQ380" s="105"/>
      <c r="BR380" s="5101"/>
      <c r="BS380" s="920"/>
      <c r="BT380" s="1495"/>
      <c r="BU380" s="101"/>
      <c r="BV380" s="1475"/>
      <c r="BW380" s="5086"/>
      <c r="BX380" s="104"/>
      <c r="BY380" s="32"/>
      <c r="BZ380" s="33"/>
      <c r="CA380" s="32"/>
      <c r="CB380" s="34"/>
      <c r="CC380" s="92"/>
      <c r="CD380" s="108"/>
      <c r="CE380" s="94"/>
      <c r="CF380" s="95"/>
      <c r="CG380" s="105"/>
      <c r="CH380" s="5101"/>
      <c r="CI380" s="920"/>
      <c r="CJ380" s="1495"/>
      <c r="CK380" s="101"/>
      <c r="CL380" s="1475"/>
      <c r="CM380" s="5086"/>
      <c r="CN380" s="104"/>
      <c r="CO380" s="32"/>
      <c r="CP380" s="33"/>
      <c r="CQ380" s="32"/>
      <c r="CR380" s="34"/>
      <c r="CS380" s="92"/>
      <c r="CT380" s="108"/>
      <c r="CU380" s="94"/>
      <c r="CV380" s="95"/>
      <c r="CW380" s="105"/>
      <c r="CX380" s="5101"/>
      <c r="CY380" s="920"/>
      <c r="CZ380" s="1495"/>
      <c r="DA380" s="101"/>
      <c r="DB380" s="1475"/>
      <c r="DC380" s="5109"/>
      <c r="DD380" s="5086"/>
      <c r="DF380" s="3">
        <v>1</v>
      </c>
      <c r="EY380" s="172"/>
      <c r="EZ380" s="172"/>
      <c r="FA380" s="172"/>
      <c r="FB380" s="172"/>
      <c r="FC380" s="555"/>
    </row>
    <row r="381" spans="2:159" ht="18.75">
      <c r="B381" s="952" t="str">
        <f t="shared" si="75"/>
        <v>►</v>
      </c>
      <c r="C381" s="993" cm="1">
        <f t="array" ref="C381">SUMPRODUCT(LEN(D381:J381))</f>
        <v>0</v>
      </c>
      <c r="D381" s="167"/>
      <c r="E381" s="172"/>
      <c r="F381" s="172"/>
      <c r="G381" s="172"/>
      <c r="H381" s="172"/>
      <c r="I381" s="172"/>
      <c r="J381" s="173"/>
      <c r="K381"/>
      <c r="L381" s="104" t="s">
        <v>16</v>
      </c>
      <c r="M381" s="157" t="str">
        <f>M337</f>
        <v>B BAUDRUCHE DE COPAIN | | Auteur &gt; Guy KRENZE - Eric GODDYN - Arnaud NICOLAS - CEPROC 2002</v>
      </c>
      <c r="N381" s="157">
        <f>N337</f>
        <v>9.0500000000000007</v>
      </c>
      <c r="O381" s="158" t="str">
        <f>O337</f>
        <v>Kg</v>
      </c>
      <c r="P381" s="159" t="str">
        <f>P337</f>
        <v>Recette mère ► le Boudin en 4 déclinaisons</v>
      </c>
      <c r="Q381" s="172"/>
      <c r="R381" s="172"/>
      <c r="S381" s="172"/>
      <c r="T381" s="172"/>
      <c r="U381" s="172"/>
      <c r="V381" s="172"/>
      <c r="W381" s="172"/>
      <c r="X381" s="172"/>
      <c r="Y381" s="172"/>
      <c r="Z381" s="555"/>
      <c r="AA381" s="5086"/>
      <c r="AB381" s="104" t="s">
        <v>16</v>
      </c>
      <c r="AC381" s="157" t="str">
        <f>AC337</f>
        <v>B BAUDRUCHE DE COPAIN | |  Author &gt; Guy KRENZE - Eric GODDYN - Arnaud NICOLAS - CEPROC 2002</v>
      </c>
      <c r="AD381" s="157">
        <f>AD337</f>
        <v>9.0500000000000007</v>
      </c>
      <c r="AE381" s="158" t="str">
        <f>AE337</f>
        <v>Kg</v>
      </c>
      <c r="AF381" s="159" t="str">
        <f>AF337</f>
        <v>Master recipe ► Black pudding in 4 variations</v>
      </c>
      <c r="AG381" s="172"/>
      <c r="AH381" s="172"/>
      <c r="AI381" s="172"/>
      <c r="AJ381" s="172"/>
      <c r="AK381" s="172"/>
      <c r="AL381" s="172"/>
      <c r="AM381" s="172"/>
      <c r="AN381" s="172"/>
      <c r="AO381" s="172"/>
      <c r="AP381" s="555"/>
      <c r="AQ381" s="5086"/>
      <c r="AR381" s="104" t="s">
        <v>16</v>
      </c>
      <c r="AS381" s="157" t="str">
        <f>AS337</f>
        <v>B BAUDRUCHE DE COPAIN | | Autor &gt; Guy KRENZE - Eric GODDYN - Arnaud NICOLAS - CEPROC 2002</v>
      </c>
      <c r="AT381" s="157">
        <f>AT337</f>
        <v>9.0500000000000007</v>
      </c>
      <c r="AU381" s="158" t="str">
        <f>AU337</f>
        <v>Kg</v>
      </c>
      <c r="AV381" s="159" t="str">
        <f>AV337</f>
        <v>Receta madre ► Morcilla en 4 versiones</v>
      </c>
      <c r="AW381" s="172"/>
      <c r="AX381" s="172"/>
      <c r="AY381" s="172"/>
      <c r="AZ381" s="172"/>
      <c r="BA381" s="172"/>
      <c r="BB381" s="172"/>
      <c r="BC381" s="172"/>
      <c r="BD381" s="172"/>
      <c r="BE381" s="172"/>
      <c r="BF381" s="555"/>
      <c r="BG381" s="5086"/>
      <c r="BH381" s="104"/>
      <c r="BI381" s="32"/>
      <c r="BJ381" s="33"/>
      <c r="BK381" s="32"/>
      <c r="BL381" s="34"/>
      <c r="BM381" s="92"/>
      <c r="BN381" s="108"/>
      <c r="BO381" s="94"/>
      <c r="BP381" s="95"/>
      <c r="BQ381" s="105"/>
      <c r="BR381" s="5101"/>
      <c r="BS381" s="920"/>
      <c r="BT381" s="1495"/>
      <c r="BU381" s="101"/>
      <c r="BV381" s="1475"/>
      <c r="BW381" s="5086"/>
      <c r="BX381" s="104"/>
      <c r="BY381" s="32"/>
      <c r="BZ381" s="33"/>
      <c r="CA381" s="32"/>
      <c r="CB381" s="34"/>
      <c r="CC381" s="92"/>
      <c r="CD381" s="108"/>
      <c r="CE381" s="94"/>
      <c r="CF381" s="95"/>
      <c r="CG381" s="105"/>
      <c r="CH381" s="5101"/>
      <c r="CI381" s="920"/>
      <c r="CJ381" s="1495"/>
      <c r="CK381" s="101"/>
      <c r="CL381" s="1475"/>
      <c r="CM381" s="5086"/>
      <c r="CN381" s="104"/>
      <c r="CO381" s="32"/>
      <c r="CP381" s="33"/>
      <c r="CQ381" s="32"/>
      <c r="CR381" s="34"/>
      <c r="CS381" s="92"/>
      <c r="CT381" s="108"/>
      <c r="CU381" s="94"/>
      <c r="CV381" s="95"/>
      <c r="CW381" s="105"/>
      <c r="CX381" s="5101"/>
      <c r="CY381" s="920"/>
      <c r="CZ381" s="1495"/>
      <c r="DA381" s="101"/>
      <c r="DB381" s="1475"/>
      <c r="DC381" s="5109"/>
      <c r="DD381" s="5086"/>
      <c r="DF381" s="3">
        <v>1</v>
      </c>
      <c r="EY381" s="172"/>
      <c r="EZ381" s="172"/>
      <c r="FA381" s="172"/>
      <c r="FB381" s="172"/>
      <c r="FC381" s="555"/>
    </row>
    <row r="382" spans="2:159" ht="18.75">
      <c r="B382" s="952" t="str">
        <f t="shared" si="75"/>
        <v>►</v>
      </c>
      <c r="C382" s="993" cm="1">
        <f t="array" ref="C382">SUMPRODUCT(LEN(D382:J382))</f>
        <v>0</v>
      </c>
      <c r="D382" s="167"/>
      <c r="E382" s="172"/>
      <c r="F382" s="172"/>
      <c r="G382" s="172"/>
      <c r="H382" s="172"/>
      <c r="I382" s="172"/>
      <c r="J382" s="173"/>
      <c r="K382"/>
      <c r="L382" s="104" t="s">
        <v>16</v>
      </c>
      <c r="M382" s="157" t="str">
        <f>M337</f>
        <v>B BAUDRUCHE DE COPAIN | | Auteur &gt; Guy KRENZE - Eric GODDYN - Arnaud NICOLAS - CEPROC 2002</v>
      </c>
      <c r="N382" s="157">
        <f>N337</f>
        <v>9.0500000000000007</v>
      </c>
      <c r="O382" s="158" t="str">
        <f>O337</f>
        <v>Kg</v>
      </c>
      <c r="P382" s="159" t="str">
        <f>P337</f>
        <v>Recette mère ► le Boudin en 4 déclinaisons</v>
      </c>
      <c r="Q382" s="172"/>
      <c r="R382" s="172"/>
      <c r="S382" s="172"/>
      <c r="T382" s="172"/>
      <c r="U382" s="172"/>
      <c r="V382" s="172"/>
      <c r="W382" s="172"/>
      <c r="X382" s="172"/>
      <c r="Y382" s="172"/>
      <c r="Z382" s="555"/>
      <c r="AA382" s="5086"/>
      <c r="AB382" s="104" t="s">
        <v>16</v>
      </c>
      <c r="AC382" s="157" t="str">
        <f>AC337</f>
        <v>B BAUDRUCHE DE COPAIN | |  Author &gt; Guy KRENZE - Eric GODDYN - Arnaud NICOLAS - CEPROC 2002</v>
      </c>
      <c r="AD382" s="157">
        <f>AD337</f>
        <v>9.0500000000000007</v>
      </c>
      <c r="AE382" s="158" t="str">
        <f>AE337</f>
        <v>Kg</v>
      </c>
      <c r="AF382" s="159" t="str">
        <f>AF337</f>
        <v>Master recipe ► Black pudding in 4 variations</v>
      </c>
      <c r="AG382" s="172"/>
      <c r="AH382" s="172"/>
      <c r="AI382" s="172"/>
      <c r="AJ382" s="172"/>
      <c r="AK382" s="172"/>
      <c r="AL382" s="172"/>
      <c r="AM382" s="172"/>
      <c r="AN382" s="172"/>
      <c r="AO382" s="172"/>
      <c r="AP382" s="555"/>
      <c r="AQ382" s="5086"/>
      <c r="AR382" s="104" t="s">
        <v>16</v>
      </c>
      <c r="AS382" s="157" t="str">
        <f>AS337</f>
        <v>B BAUDRUCHE DE COPAIN | | Autor &gt; Guy KRENZE - Eric GODDYN - Arnaud NICOLAS - CEPROC 2002</v>
      </c>
      <c r="AT382" s="157">
        <f>AT337</f>
        <v>9.0500000000000007</v>
      </c>
      <c r="AU382" s="158" t="str">
        <f>AU337</f>
        <v>Kg</v>
      </c>
      <c r="AV382" s="159" t="str">
        <f>AV337</f>
        <v>Receta madre ► Morcilla en 4 versiones</v>
      </c>
      <c r="AW382" s="172"/>
      <c r="AX382" s="172"/>
      <c r="AY382" s="172"/>
      <c r="AZ382" s="172"/>
      <c r="BA382" s="172"/>
      <c r="BB382" s="172"/>
      <c r="BC382" s="172"/>
      <c r="BD382" s="172"/>
      <c r="BE382" s="172"/>
      <c r="BF382" s="555"/>
      <c r="BG382" s="5086"/>
      <c r="BH382" s="104"/>
      <c r="BI382" s="32"/>
      <c r="BJ382" s="33"/>
      <c r="BK382" s="32"/>
      <c r="BL382" s="34"/>
      <c r="BM382" s="92"/>
      <c r="BN382" s="108"/>
      <c r="BO382" s="94"/>
      <c r="BP382" s="95"/>
      <c r="BQ382" s="105"/>
      <c r="BR382" s="5101"/>
      <c r="BS382" s="920"/>
      <c r="BT382" s="1495"/>
      <c r="BU382" s="101"/>
      <c r="BV382" s="1475"/>
      <c r="BW382" s="5086"/>
      <c r="BX382" s="104"/>
      <c r="BY382" s="32"/>
      <c r="BZ382" s="33"/>
      <c r="CA382" s="32"/>
      <c r="CB382" s="34"/>
      <c r="CC382" s="92"/>
      <c r="CD382" s="108"/>
      <c r="CE382" s="94"/>
      <c r="CF382" s="95"/>
      <c r="CG382" s="105"/>
      <c r="CH382" s="5101"/>
      <c r="CI382" s="920"/>
      <c r="CJ382" s="1495"/>
      <c r="CK382" s="101"/>
      <c r="CL382" s="1475"/>
      <c r="CM382" s="5086"/>
      <c r="CN382" s="104"/>
      <c r="CO382" s="32"/>
      <c r="CP382" s="33"/>
      <c r="CQ382" s="32"/>
      <c r="CR382" s="34"/>
      <c r="CS382" s="92"/>
      <c r="CT382" s="108"/>
      <c r="CU382" s="94"/>
      <c r="CV382" s="95"/>
      <c r="CW382" s="105"/>
      <c r="CX382" s="5101"/>
      <c r="CY382" s="920"/>
      <c r="CZ382" s="1495"/>
      <c r="DA382" s="101"/>
      <c r="DB382" s="1475"/>
      <c r="DC382" s="5109"/>
      <c r="DD382" s="5086"/>
      <c r="DF382" s="3">
        <v>1</v>
      </c>
      <c r="EY382" s="172"/>
      <c r="EZ382" s="172"/>
      <c r="FA382" s="172"/>
      <c r="FB382" s="172"/>
      <c r="FC382" s="555"/>
    </row>
    <row r="383" spans="2:159" ht="18.75">
      <c r="B383" s="952" t="str">
        <f t="shared" si="75"/>
        <v>►</v>
      </c>
      <c r="C383" s="993" cm="1">
        <f t="array" ref="C383">SUMPRODUCT(LEN(D383:J383))</f>
        <v>0</v>
      </c>
      <c r="D383" s="167"/>
      <c r="E383" s="172"/>
      <c r="F383" s="172"/>
      <c r="G383" s="172"/>
      <c r="H383" s="172"/>
      <c r="I383" s="172"/>
      <c r="J383" s="173"/>
      <c r="K383"/>
      <c r="L383" s="104" t="s">
        <v>16</v>
      </c>
      <c r="M383" s="157" t="str">
        <f>M337</f>
        <v>B BAUDRUCHE DE COPAIN | | Auteur &gt; Guy KRENZE - Eric GODDYN - Arnaud NICOLAS - CEPROC 2002</v>
      </c>
      <c r="N383" s="157">
        <f>N337</f>
        <v>9.0500000000000007</v>
      </c>
      <c r="O383" s="158" t="str">
        <f>O337</f>
        <v>Kg</v>
      </c>
      <c r="P383" s="159" t="str">
        <f>P337</f>
        <v>Recette mère ► le Boudin en 4 déclinaisons</v>
      </c>
      <c r="Q383" s="172"/>
      <c r="R383" s="172"/>
      <c r="S383" s="172"/>
      <c r="T383" s="172"/>
      <c r="U383" s="172"/>
      <c r="V383" s="172"/>
      <c r="W383" s="172"/>
      <c r="X383" s="172"/>
      <c r="Y383" s="172"/>
      <c r="Z383" s="555"/>
      <c r="AA383" s="5086"/>
      <c r="AB383" s="104" t="s">
        <v>16</v>
      </c>
      <c r="AC383" s="157" t="str">
        <f>AC337</f>
        <v>B BAUDRUCHE DE COPAIN | |  Author &gt; Guy KRENZE - Eric GODDYN - Arnaud NICOLAS - CEPROC 2002</v>
      </c>
      <c r="AD383" s="157">
        <f>AD337</f>
        <v>9.0500000000000007</v>
      </c>
      <c r="AE383" s="158" t="str">
        <f>AE337</f>
        <v>Kg</v>
      </c>
      <c r="AF383" s="159" t="str">
        <f>AF337</f>
        <v>Master recipe ► Black pudding in 4 variations</v>
      </c>
      <c r="AG383" s="172"/>
      <c r="AH383" s="172"/>
      <c r="AI383" s="172"/>
      <c r="AJ383" s="172"/>
      <c r="AK383" s="172"/>
      <c r="AL383" s="172"/>
      <c r="AM383" s="172"/>
      <c r="AN383" s="172"/>
      <c r="AO383" s="172"/>
      <c r="AP383" s="555"/>
      <c r="AQ383" s="5086"/>
      <c r="AR383" s="104" t="s">
        <v>16</v>
      </c>
      <c r="AS383" s="157" t="str">
        <f>AS337</f>
        <v>B BAUDRUCHE DE COPAIN | | Autor &gt; Guy KRENZE - Eric GODDYN - Arnaud NICOLAS - CEPROC 2002</v>
      </c>
      <c r="AT383" s="157">
        <f>AT337</f>
        <v>9.0500000000000007</v>
      </c>
      <c r="AU383" s="158" t="str">
        <f>AU337</f>
        <v>Kg</v>
      </c>
      <c r="AV383" s="159" t="str">
        <f>AV337</f>
        <v>Receta madre ► Morcilla en 4 versiones</v>
      </c>
      <c r="AW383" s="172"/>
      <c r="AX383" s="172"/>
      <c r="AY383" s="172"/>
      <c r="AZ383" s="172"/>
      <c r="BA383" s="172"/>
      <c r="BB383" s="172"/>
      <c r="BC383" s="172"/>
      <c r="BD383" s="172"/>
      <c r="BE383" s="172"/>
      <c r="BF383" s="555"/>
      <c r="BG383" s="5086"/>
      <c r="BH383" s="104"/>
      <c r="BI383" s="32"/>
      <c r="BJ383" s="33"/>
      <c r="BK383" s="32"/>
      <c r="BL383" s="34"/>
      <c r="BM383" s="92"/>
      <c r="BN383" s="108"/>
      <c r="BO383" s="94"/>
      <c r="BP383" s="95"/>
      <c r="BQ383" s="105"/>
      <c r="BR383" s="5101"/>
      <c r="BS383" s="920"/>
      <c r="BT383" s="1495"/>
      <c r="BU383" s="101"/>
      <c r="BV383" s="1475"/>
      <c r="BW383" s="5086"/>
      <c r="BX383" s="104"/>
      <c r="BY383" s="32"/>
      <c r="BZ383" s="33"/>
      <c r="CA383" s="32"/>
      <c r="CB383" s="34"/>
      <c r="CC383" s="92"/>
      <c r="CD383" s="108"/>
      <c r="CE383" s="94"/>
      <c r="CF383" s="95"/>
      <c r="CG383" s="105"/>
      <c r="CH383" s="5101"/>
      <c r="CI383" s="920"/>
      <c r="CJ383" s="1495"/>
      <c r="CK383" s="101"/>
      <c r="CL383" s="1475"/>
      <c r="CM383" s="5086"/>
      <c r="CN383" s="104"/>
      <c r="CO383" s="32"/>
      <c r="CP383" s="33"/>
      <c r="CQ383" s="32"/>
      <c r="CR383" s="34"/>
      <c r="CS383" s="92"/>
      <c r="CT383" s="108"/>
      <c r="CU383" s="94"/>
      <c r="CV383" s="95"/>
      <c r="CW383" s="105"/>
      <c r="CX383" s="5101"/>
      <c r="CY383" s="920"/>
      <c r="CZ383" s="1495"/>
      <c r="DA383" s="101"/>
      <c r="DB383" s="1475"/>
      <c r="DC383" s="5109"/>
      <c r="DD383" s="5086"/>
      <c r="DF383" s="3">
        <v>1</v>
      </c>
      <c r="EY383" s="172"/>
      <c r="EZ383" s="172"/>
      <c r="FA383" s="172"/>
      <c r="FB383" s="172"/>
      <c r="FC383" s="555"/>
    </row>
    <row r="384" spans="2:159" ht="18.75">
      <c r="B384" s="952" t="str">
        <f t="shared" si="75"/>
        <v>►</v>
      </c>
      <c r="C384" s="993" cm="1">
        <f t="array" ref="C384">SUMPRODUCT(LEN(D384:J384))</f>
        <v>0</v>
      </c>
      <c r="D384" s="167"/>
      <c r="E384" s="172"/>
      <c r="F384" s="172"/>
      <c r="G384" s="172"/>
      <c r="H384" s="172"/>
      <c r="I384" s="172"/>
      <c r="J384" s="173"/>
      <c r="K384"/>
      <c r="L384" s="104" t="s">
        <v>16</v>
      </c>
      <c r="M384" s="157" t="str">
        <f>M337</f>
        <v>B BAUDRUCHE DE COPAIN | | Auteur &gt; Guy KRENZE - Eric GODDYN - Arnaud NICOLAS - CEPROC 2002</v>
      </c>
      <c r="N384" s="157">
        <f>N337</f>
        <v>9.0500000000000007</v>
      </c>
      <c r="O384" s="158" t="str">
        <f>O337</f>
        <v>Kg</v>
      </c>
      <c r="P384" s="159" t="str">
        <f>P337</f>
        <v>Recette mère ► le Boudin en 4 déclinaisons</v>
      </c>
      <c r="Q384" s="5174" t="s">
        <v>13129</v>
      </c>
      <c r="R384" s="172"/>
      <c r="S384" s="172"/>
      <c r="T384" s="172"/>
      <c r="U384" s="172"/>
      <c r="V384" s="172"/>
      <c r="W384" s="172"/>
      <c r="X384" s="172"/>
      <c r="Y384" s="172"/>
      <c r="Z384" s="555"/>
      <c r="AA384" s="5086"/>
      <c r="AB384" s="104" t="s">
        <v>16</v>
      </c>
      <c r="AC384" s="157" t="str">
        <f>AC337</f>
        <v>B BAUDRUCHE DE COPAIN | |  Author &gt; Guy KRENZE - Eric GODDYN - Arnaud NICOLAS - CEPROC 2002</v>
      </c>
      <c r="AD384" s="157">
        <f>AD337</f>
        <v>9.0500000000000007</v>
      </c>
      <c r="AE384" s="158" t="str">
        <f>AE337</f>
        <v>Kg</v>
      </c>
      <c r="AF384" s="159" t="str">
        <f>AF337</f>
        <v>Master recipe ► Black pudding in 4 variations</v>
      </c>
      <c r="AG384" s="5174" t="s">
        <v>13306</v>
      </c>
      <c r="AH384" s="172"/>
      <c r="AI384" s="172"/>
      <c r="AJ384" s="172"/>
      <c r="AK384" s="172"/>
      <c r="AL384" s="172"/>
      <c r="AM384" s="172"/>
      <c r="AN384" s="172"/>
      <c r="AO384" s="172"/>
      <c r="AP384" s="555"/>
      <c r="AQ384" s="5086"/>
      <c r="AR384" s="104" t="s">
        <v>16</v>
      </c>
      <c r="AS384" s="157" t="str">
        <f>AS337</f>
        <v>B BAUDRUCHE DE COPAIN | | Autor &gt; Guy KRENZE - Eric GODDYN - Arnaud NICOLAS - CEPROC 2002</v>
      </c>
      <c r="AT384" s="157">
        <f>AT337</f>
        <v>9.0500000000000007</v>
      </c>
      <c r="AU384" s="158" t="str">
        <f>AU337</f>
        <v>Kg</v>
      </c>
      <c r="AV384" s="159" t="str">
        <f>AV337</f>
        <v>Receta madre ► Morcilla en 4 versiones</v>
      </c>
      <c r="AW384" s="5174" t="s">
        <v>13319</v>
      </c>
      <c r="AX384" s="172"/>
      <c r="AY384" s="172"/>
      <c r="AZ384" s="172"/>
      <c r="BA384" s="172"/>
      <c r="BB384" s="172"/>
      <c r="BC384" s="172"/>
      <c r="BD384" s="172"/>
      <c r="BE384" s="172"/>
      <c r="BF384" s="555"/>
      <c r="BG384" s="5086"/>
      <c r="BH384" s="104"/>
      <c r="BI384" s="32"/>
      <c r="BJ384" s="33"/>
      <c r="BK384" s="32"/>
      <c r="BL384" s="34"/>
      <c r="BM384" s="92"/>
      <c r="BN384" s="108"/>
      <c r="BO384" s="94"/>
      <c r="BP384" s="95"/>
      <c r="BQ384" s="105"/>
      <c r="BR384" s="5101"/>
      <c r="BS384" s="920"/>
      <c r="BT384" s="1495"/>
      <c r="BU384" s="101"/>
      <c r="BV384" s="1475"/>
      <c r="BW384" s="5086"/>
      <c r="BX384" s="104"/>
      <c r="BY384" s="32"/>
      <c r="BZ384" s="33"/>
      <c r="CA384" s="32"/>
      <c r="CB384" s="34"/>
      <c r="CC384" s="92"/>
      <c r="CD384" s="108"/>
      <c r="CE384" s="94"/>
      <c r="CF384" s="95"/>
      <c r="CG384" s="105"/>
      <c r="CH384" s="5101"/>
      <c r="CI384" s="920"/>
      <c r="CJ384" s="1495"/>
      <c r="CK384" s="101"/>
      <c r="CL384" s="1475"/>
      <c r="CM384" s="5086"/>
      <c r="CN384" s="104"/>
      <c r="CO384" s="32"/>
      <c r="CP384" s="33"/>
      <c r="CQ384" s="32"/>
      <c r="CR384" s="34"/>
      <c r="CS384" s="92"/>
      <c r="CT384" s="108"/>
      <c r="CU384" s="94"/>
      <c r="CV384" s="95"/>
      <c r="CW384" s="105"/>
      <c r="CX384" s="5101"/>
      <c r="CY384" s="920"/>
      <c r="CZ384" s="1495"/>
      <c r="DA384" s="101"/>
      <c r="DB384" s="1475"/>
      <c r="DC384" s="5109"/>
      <c r="DD384" s="5086"/>
      <c r="DF384" s="3">
        <v>1</v>
      </c>
      <c r="EY384" s="172"/>
      <c r="EZ384" s="172"/>
      <c r="FA384" s="172"/>
      <c r="FB384" s="172"/>
      <c r="FC384" s="555"/>
    </row>
    <row r="385" spans="2:159" ht="18.75">
      <c r="B385" s="952" t="str">
        <f t="shared" si="75"/>
        <v>►</v>
      </c>
      <c r="C385" s="993" cm="1">
        <f t="array" ref="C385">SUMPRODUCT(LEN(D385:J385))</f>
        <v>0</v>
      </c>
      <c r="D385" s="167"/>
      <c r="E385" s="172"/>
      <c r="F385" s="172"/>
      <c r="G385" s="172"/>
      <c r="H385" s="172"/>
      <c r="I385" s="172"/>
      <c r="J385" s="173"/>
      <c r="K385"/>
      <c r="L385" s="104" t="s">
        <v>16</v>
      </c>
      <c r="M385" s="157" t="str">
        <f>M337</f>
        <v>B BAUDRUCHE DE COPAIN | | Auteur &gt; Guy KRENZE - Eric GODDYN - Arnaud NICOLAS - CEPROC 2002</v>
      </c>
      <c r="N385" s="157">
        <f>N337</f>
        <v>9.0500000000000007</v>
      </c>
      <c r="O385" s="158" t="str">
        <f>O337</f>
        <v>Kg</v>
      </c>
      <c r="P385" s="159" t="str">
        <f>P337</f>
        <v>Recette mère ► le Boudin en 4 déclinaisons</v>
      </c>
      <c r="Q385" s="172"/>
      <c r="R385" s="172"/>
      <c r="S385" s="172"/>
      <c r="T385" s="172"/>
      <c r="U385" s="172"/>
      <c r="V385" s="172"/>
      <c r="W385" s="172"/>
      <c r="X385" s="172"/>
      <c r="Y385" s="172"/>
      <c r="Z385" s="555"/>
      <c r="AA385" s="5086"/>
      <c r="AB385" s="104" t="s">
        <v>16</v>
      </c>
      <c r="AC385" s="157" t="str">
        <f>AC337</f>
        <v>B BAUDRUCHE DE COPAIN | |  Author &gt; Guy KRENZE - Eric GODDYN - Arnaud NICOLAS - CEPROC 2002</v>
      </c>
      <c r="AD385" s="157">
        <f>AD337</f>
        <v>9.0500000000000007</v>
      </c>
      <c r="AE385" s="158" t="str">
        <f>AE337</f>
        <v>Kg</v>
      </c>
      <c r="AF385" s="159" t="str">
        <f>AF337</f>
        <v>Master recipe ► Black pudding in 4 variations</v>
      </c>
      <c r="AG385" s="172"/>
      <c r="AH385" s="172"/>
      <c r="AI385" s="172"/>
      <c r="AJ385" s="172"/>
      <c r="AK385" s="172"/>
      <c r="AL385" s="172"/>
      <c r="AM385" s="172"/>
      <c r="AN385" s="172"/>
      <c r="AO385" s="172"/>
      <c r="AP385" s="555"/>
      <c r="AQ385" s="5086"/>
      <c r="AR385" s="104" t="s">
        <v>16</v>
      </c>
      <c r="AS385" s="157" t="str">
        <f>AS337</f>
        <v>B BAUDRUCHE DE COPAIN | | Autor &gt; Guy KRENZE - Eric GODDYN - Arnaud NICOLAS - CEPROC 2002</v>
      </c>
      <c r="AT385" s="157">
        <f>AT337</f>
        <v>9.0500000000000007</v>
      </c>
      <c r="AU385" s="158" t="str">
        <f>AU337</f>
        <v>Kg</v>
      </c>
      <c r="AV385" s="159" t="str">
        <f>AV337</f>
        <v>Receta madre ► Morcilla en 4 versiones</v>
      </c>
      <c r="AW385" s="172"/>
      <c r="AX385" s="172"/>
      <c r="AY385" s="172"/>
      <c r="AZ385" s="172"/>
      <c r="BA385" s="172"/>
      <c r="BB385" s="172"/>
      <c r="BC385" s="172"/>
      <c r="BD385" s="172"/>
      <c r="BE385" s="172"/>
      <c r="BF385" s="555"/>
      <c r="BG385" s="5086"/>
      <c r="BH385" s="104"/>
      <c r="BI385" s="32"/>
      <c r="BJ385" s="33"/>
      <c r="BK385" s="32"/>
      <c r="BL385" s="34"/>
      <c r="BM385" s="92"/>
      <c r="BN385" s="108"/>
      <c r="BO385" s="94"/>
      <c r="BP385" s="95"/>
      <c r="BQ385" s="105"/>
      <c r="BR385" s="5101"/>
      <c r="BS385" s="920"/>
      <c r="BT385" s="1495"/>
      <c r="BU385" s="101"/>
      <c r="BV385" s="1475"/>
      <c r="BW385" s="5086"/>
      <c r="BX385" s="104"/>
      <c r="BY385" s="32"/>
      <c r="BZ385" s="33"/>
      <c r="CA385" s="32"/>
      <c r="CB385" s="34"/>
      <c r="CC385" s="92"/>
      <c r="CD385" s="108"/>
      <c r="CE385" s="94"/>
      <c r="CF385" s="95"/>
      <c r="CG385" s="105"/>
      <c r="CH385" s="5101"/>
      <c r="CI385" s="920"/>
      <c r="CJ385" s="1495"/>
      <c r="CK385" s="101"/>
      <c r="CL385" s="1475"/>
      <c r="CM385" s="5086"/>
      <c r="CN385" s="104"/>
      <c r="CO385" s="32"/>
      <c r="CP385" s="33"/>
      <c r="CQ385" s="32"/>
      <c r="CR385" s="34"/>
      <c r="CS385" s="92"/>
      <c r="CT385" s="108"/>
      <c r="CU385" s="94"/>
      <c r="CV385" s="95"/>
      <c r="CW385" s="105"/>
      <c r="CX385" s="5101"/>
      <c r="CY385" s="920"/>
      <c r="CZ385" s="1495"/>
      <c r="DA385" s="101"/>
      <c r="DB385" s="1475"/>
      <c r="DC385" s="5109"/>
      <c r="DD385" s="5086"/>
      <c r="DF385" s="3">
        <v>1</v>
      </c>
      <c r="EY385" s="172"/>
      <c r="EZ385" s="172"/>
      <c r="FA385" s="172"/>
      <c r="FB385" s="172"/>
      <c r="FC385" s="555"/>
    </row>
    <row r="386" spans="2:159" ht="15.75" customHeight="1">
      <c r="B386" s="952" t="str">
        <f t="shared" si="75"/>
        <v>►</v>
      </c>
      <c r="C386" s="993" cm="1">
        <f t="array" ref="C386">SUMPRODUCT(LEN(D386:J386))</f>
        <v>0</v>
      </c>
      <c r="D386" s="167"/>
      <c r="E386" s="172"/>
      <c r="F386" s="172"/>
      <c r="G386" s="172"/>
      <c r="H386" s="172"/>
      <c r="I386" s="172"/>
      <c r="J386" s="173"/>
      <c r="K386"/>
      <c r="L386" s="104" t="s">
        <v>16</v>
      </c>
      <c r="M386" s="157" t="str">
        <f>M337</f>
        <v>B BAUDRUCHE DE COPAIN | | Auteur &gt; Guy KRENZE - Eric GODDYN - Arnaud NICOLAS - CEPROC 2002</v>
      </c>
      <c r="N386" s="157">
        <f>N337</f>
        <v>9.0500000000000007</v>
      </c>
      <c r="O386" s="158" t="str">
        <f>O337</f>
        <v>Kg</v>
      </c>
      <c r="P386" s="159" t="str">
        <f>P337</f>
        <v>Recette mère ► le Boudin en 4 déclinaisons</v>
      </c>
      <c r="Q386" s="172"/>
      <c r="R386" s="172"/>
      <c r="S386" s="172"/>
      <c r="T386" s="172"/>
      <c r="U386" s="172"/>
      <c r="V386" s="172"/>
      <c r="W386" s="172"/>
      <c r="X386" s="172"/>
      <c r="Y386" s="172"/>
      <c r="Z386" s="555"/>
      <c r="AA386" s="5086"/>
      <c r="AB386" s="104" t="s">
        <v>16</v>
      </c>
      <c r="AC386" s="157" t="str">
        <f>AC337</f>
        <v>B BAUDRUCHE DE COPAIN | |  Author &gt; Guy KRENZE - Eric GODDYN - Arnaud NICOLAS - CEPROC 2002</v>
      </c>
      <c r="AD386" s="157">
        <f>AD337</f>
        <v>9.0500000000000007</v>
      </c>
      <c r="AE386" s="158" t="str">
        <f>AE337</f>
        <v>Kg</v>
      </c>
      <c r="AF386" s="159" t="str">
        <f>AF337</f>
        <v>Master recipe ► Black pudding in 4 variations</v>
      </c>
      <c r="AG386" s="172"/>
      <c r="AH386" s="172"/>
      <c r="AI386" s="172"/>
      <c r="AJ386" s="172"/>
      <c r="AK386" s="172"/>
      <c r="AL386" s="172"/>
      <c r="AM386" s="172"/>
      <c r="AN386" s="172"/>
      <c r="AO386" s="172"/>
      <c r="AP386" s="555"/>
      <c r="AQ386" s="5086"/>
      <c r="AR386" s="104" t="s">
        <v>16</v>
      </c>
      <c r="AS386" s="157" t="str">
        <f>AS337</f>
        <v>B BAUDRUCHE DE COPAIN | | Autor &gt; Guy KRENZE - Eric GODDYN - Arnaud NICOLAS - CEPROC 2002</v>
      </c>
      <c r="AT386" s="157">
        <f>AT337</f>
        <v>9.0500000000000007</v>
      </c>
      <c r="AU386" s="158" t="str">
        <f>AU337</f>
        <v>Kg</v>
      </c>
      <c r="AV386" s="159" t="str">
        <f>AV337</f>
        <v>Receta madre ► Morcilla en 4 versiones</v>
      </c>
      <c r="AW386" s="172"/>
      <c r="AX386" s="172"/>
      <c r="AY386" s="172"/>
      <c r="AZ386" s="172"/>
      <c r="BA386" s="172"/>
      <c r="BB386" s="172"/>
      <c r="BC386" s="172"/>
      <c r="BD386" s="172"/>
      <c r="BE386" s="172"/>
      <c r="BF386" s="555"/>
      <c r="BG386" s="5086"/>
      <c r="BH386" s="104"/>
      <c r="BI386" s="32"/>
      <c r="BJ386" s="33"/>
      <c r="BK386" s="32"/>
      <c r="BL386" s="34"/>
      <c r="BM386" s="92"/>
      <c r="BN386" s="108"/>
      <c r="BO386" s="94"/>
      <c r="BP386" s="95"/>
      <c r="BQ386" s="105"/>
      <c r="BR386" s="5101"/>
      <c r="BS386" s="920"/>
      <c r="BT386" s="1495"/>
      <c r="BU386" s="101"/>
      <c r="BV386" s="1475"/>
      <c r="BW386" s="5086"/>
      <c r="BX386" s="104"/>
      <c r="BY386" s="32"/>
      <c r="BZ386" s="33"/>
      <c r="CA386" s="32"/>
      <c r="CB386" s="34"/>
      <c r="CC386" s="92"/>
      <c r="CD386" s="108"/>
      <c r="CE386" s="94"/>
      <c r="CF386" s="95"/>
      <c r="CG386" s="105"/>
      <c r="CH386" s="5101"/>
      <c r="CI386" s="920"/>
      <c r="CJ386" s="1495"/>
      <c r="CK386" s="101"/>
      <c r="CL386" s="1475"/>
      <c r="CM386" s="5086"/>
      <c r="CN386" s="104"/>
      <c r="CO386" s="32"/>
      <c r="CP386" s="33"/>
      <c r="CQ386" s="32"/>
      <c r="CR386" s="34"/>
      <c r="CS386" s="92"/>
      <c r="CT386" s="108"/>
      <c r="CU386" s="94"/>
      <c r="CV386" s="95"/>
      <c r="CW386" s="105"/>
      <c r="CX386" s="5101"/>
      <c r="CY386" s="920"/>
      <c r="CZ386" s="1495"/>
      <c r="DA386" s="101"/>
      <c r="DB386" s="1475"/>
      <c r="DC386" s="5109"/>
      <c r="DD386" s="5086"/>
      <c r="DF386" s="3">
        <v>1</v>
      </c>
      <c r="EY386" s="1536"/>
      <c r="EZ386" s="1536"/>
      <c r="FA386" s="1536"/>
      <c r="FB386" s="1536"/>
      <c r="FC386" s="1537"/>
    </row>
    <row r="387" spans="2:159" ht="18.75">
      <c r="B387" s="952" t="str">
        <f t="shared" si="75"/>
        <v>►</v>
      </c>
      <c r="C387" s="993" cm="1">
        <f t="array" ref="C387">SUMPRODUCT(LEN(D387:J387))</f>
        <v>0</v>
      </c>
      <c r="D387" s="167"/>
      <c r="E387" s="172"/>
      <c r="F387" s="172"/>
      <c r="G387" s="172"/>
      <c r="H387" s="172"/>
      <c r="I387" s="172"/>
      <c r="J387" s="173"/>
      <c r="K387"/>
      <c r="L387" s="104" t="s">
        <v>16</v>
      </c>
      <c r="M387" s="157" t="str">
        <f>M337</f>
        <v>B BAUDRUCHE DE COPAIN | | Auteur &gt; Guy KRENZE - Eric GODDYN - Arnaud NICOLAS - CEPROC 2002</v>
      </c>
      <c r="N387" s="157">
        <f>N337</f>
        <v>9.0500000000000007</v>
      </c>
      <c r="O387" s="158" t="str">
        <f>O337</f>
        <v>Kg</v>
      </c>
      <c r="P387" s="159" t="str">
        <f>P337</f>
        <v>Recette mère ► le Boudin en 4 déclinaisons</v>
      </c>
      <c r="Q387" s="160" t="s">
        <v>167</v>
      </c>
      <c r="R387" s="1536"/>
      <c r="S387" s="1536"/>
      <c r="T387" s="1536"/>
      <c r="U387" s="1536"/>
      <c r="V387" s="1536"/>
      <c r="W387" s="1536"/>
      <c r="X387" s="1536"/>
      <c r="Y387" s="1536"/>
      <c r="Z387" s="1537"/>
      <c r="AA387" s="5086"/>
      <c r="AB387" s="104" t="s">
        <v>16</v>
      </c>
      <c r="AC387" s="157" t="str">
        <f>AC337</f>
        <v>B BAUDRUCHE DE COPAIN | |  Author &gt; Guy KRENZE - Eric GODDYN - Arnaud NICOLAS - CEPROC 2002</v>
      </c>
      <c r="AD387" s="157">
        <f>AD337</f>
        <v>9.0500000000000007</v>
      </c>
      <c r="AE387" s="158" t="str">
        <f>AE337</f>
        <v>Kg</v>
      </c>
      <c r="AF387" s="159" t="str">
        <f>AF337</f>
        <v>Master recipe ► Black pudding in 4 variations</v>
      </c>
      <c r="AG387" s="232" t="s">
        <v>752</v>
      </c>
      <c r="AH387" s="1536"/>
      <c r="AI387" s="1536"/>
      <c r="AJ387" s="1536"/>
      <c r="AK387" s="1536"/>
      <c r="AL387" s="1536"/>
      <c r="AM387" s="1536"/>
      <c r="AN387" s="1536"/>
      <c r="AO387" s="1536"/>
      <c r="AP387" s="1537"/>
      <c r="AQ387" s="5086"/>
      <c r="AR387" s="104" t="s">
        <v>16</v>
      </c>
      <c r="AS387" s="157" t="str">
        <f>AS337</f>
        <v>B BAUDRUCHE DE COPAIN | | Autor &gt; Guy KRENZE - Eric GODDYN - Arnaud NICOLAS - CEPROC 2002</v>
      </c>
      <c r="AT387" s="157">
        <f>AT337</f>
        <v>9.0500000000000007</v>
      </c>
      <c r="AU387" s="158" t="str">
        <f>AU337</f>
        <v>Kg</v>
      </c>
      <c r="AV387" s="159" t="str">
        <f>AV337</f>
        <v>Receta madre ► Morcilla en 4 versiones</v>
      </c>
      <c r="AW387" s="232" t="s">
        <v>754</v>
      </c>
      <c r="AX387" s="1536"/>
      <c r="AY387" s="1536"/>
      <c r="AZ387" s="1536"/>
      <c r="BA387" s="1536"/>
      <c r="BB387" s="1536"/>
      <c r="BC387" s="1536"/>
      <c r="BD387" s="1536"/>
      <c r="BE387" s="1536"/>
      <c r="BF387" s="1537"/>
      <c r="BG387" s="5086"/>
      <c r="BH387" s="104"/>
      <c r="BI387" s="32"/>
      <c r="BJ387" s="33"/>
      <c r="BK387" s="32"/>
      <c r="BL387" s="34"/>
      <c r="BM387" s="92"/>
      <c r="BN387" s="108"/>
      <c r="BO387" s="94"/>
      <c r="BP387" s="95"/>
      <c r="BQ387" s="105"/>
      <c r="BR387" s="5101"/>
      <c r="BS387" s="920"/>
      <c r="BT387" s="1495"/>
      <c r="BU387" s="101"/>
      <c r="BV387" s="1475"/>
      <c r="BW387" s="5086"/>
      <c r="BX387" s="104"/>
      <c r="BY387" s="32"/>
      <c r="BZ387" s="33"/>
      <c r="CA387" s="32"/>
      <c r="CB387" s="34"/>
      <c r="CC387" s="92"/>
      <c r="CD387" s="108"/>
      <c r="CE387" s="94"/>
      <c r="CF387" s="95"/>
      <c r="CG387" s="105"/>
      <c r="CH387" s="5101"/>
      <c r="CI387" s="920"/>
      <c r="CJ387" s="1495"/>
      <c r="CK387" s="101"/>
      <c r="CL387" s="1475"/>
      <c r="CM387" s="5086"/>
      <c r="CN387" s="104"/>
      <c r="CO387" s="32"/>
      <c r="CP387" s="33"/>
      <c r="CQ387" s="32"/>
      <c r="CR387" s="34"/>
      <c r="CS387" s="92"/>
      <c r="CT387" s="108"/>
      <c r="CU387" s="94"/>
      <c r="CV387" s="95"/>
      <c r="CW387" s="105"/>
      <c r="CX387" s="5101"/>
      <c r="CY387" s="920"/>
      <c r="CZ387" s="1495"/>
      <c r="DA387" s="101"/>
      <c r="DB387" s="1475"/>
      <c r="DC387" s="5109"/>
      <c r="DD387" s="5086"/>
      <c r="DF387" s="3">
        <v>1</v>
      </c>
      <c r="EY387" s="172"/>
      <c r="EZ387" s="172"/>
      <c r="FA387" s="172"/>
      <c r="FB387" s="172"/>
      <c r="FC387" s="555"/>
    </row>
    <row r="388" spans="2:159" ht="18.75">
      <c r="B388" s="952" t="str">
        <f t="shared" si="75"/>
        <v>►</v>
      </c>
      <c r="C388" s="993" cm="1">
        <f t="array" ref="C388">SUMPRODUCT(LEN(D388:J388))</f>
        <v>0</v>
      </c>
      <c r="D388" s="167"/>
      <c r="E388" s="172"/>
      <c r="F388" s="172"/>
      <c r="G388" s="172"/>
      <c r="H388" s="172"/>
      <c r="I388" s="172"/>
      <c r="J388" s="173"/>
      <c r="K388"/>
      <c r="L388" s="104" t="s">
        <v>16</v>
      </c>
      <c r="M388" s="157" t="str">
        <f>M337</f>
        <v>B BAUDRUCHE DE COPAIN | | Auteur &gt; Guy KRENZE - Eric GODDYN - Arnaud NICOLAS - CEPROC 2002</v>
      </c>
      <c r="N388" s="157">
        <f>N337</f>
        <v>9.0500000000000007</v>
      </c>
      <c r="O388" s="158" t="str">
        <f>O337</f>
        <v>Kg</v>
      </c>
      <c r="P388" s="159" t="str">
        <f>P337</f>
        <v>Recette mère ► le Boudin en 4 déclinaisons</v>
      </c>
      <c r="Q388" s="172"/>
      <c r="R388" s="172"/>
      <c r="S388" s="172"/>
      <c r="T388" s="172"/>
      <c r="U388" s="172"/>
      <c r="V388" s="172"/>
      <c r="W388" s="172"/>
      <c r="X388" s="172"/>
      <c r="Y388" s="172"/>
      <c r="Z388" s="555"/>
      <c r="AA388" s="5086"/>
      <c r="AB388" s="104" t="s">
        <v>16</v>
      </c>
      <c r="AC388" s="157" t="str">
        <f>AC337</f>
        <v>B BAUDRUCHE DE COPAIN | |  Author &gt; Guy KRENZE - Eric GODDYN - Arnaud NICOLAS - CEPROC 2002</v>
      </c>
      <c r="AD388" s="157">
        <f>AD337</f>
        <v>9.0500000000000007</v>
      </c>
      <c r="AE388" s="158" t="str">
        <f>AE337</f>
        <v>Kg</v>
      </c>
      <c r="AF388" s="159" t="str">
        <f>AF337</f>
        <v>Master recipe ► Black pudding in 4 variations</v>
      </c>
      <c r="AG388" s="172"/>
      <c r="AH388" s="172"/>
      <c r="AI388" s="172"/>
      <c r="AJ388" s="172"/>
      <c r="AK388" s="172"/>
      <c r="AL388" s="172"/>
      <c r="AM388" s="172"/>
      <c r="AN388" s="172"/>
      <c r="AO388" s="172"/>
      <c r="AP388" s="555"/>
      <c r="AQ388" s="5086"/>
      <c r="AR388" s="104" t="s">
        <v>16</v>
      </c>
      <c r="AS388" s="157" t="str">
        <f>AS337</f>
        <v>B BAUDRUCHE DE COPAIN | | Autor &gt; Guy KRENZE - Eric GODDYN - Arnaud NICOLAS - CEPROC 2002</v>
      </c>
      <c r="AT388" s="157">
        <f>AT337</f>
        <v>9.0500000000000007</v>
      </c>
      <c r="AU388" s="158" t="str">
        <f>AU337</f>
        <v>Kg</v>
      </c>
      <c r="AV388" s="159" t="str">
        <f>AV337</f>
        <v>Receta madre ► Morcilla en 4 versiones</v>
      </c>
      <c r="AW388" s="172"/>
      <c r="AX388" s="172"/>
      <c r="AY388" s="172"/>
      <c r="AZ388" s="172"/>
      <c r="BA388" s="172"/>
      <c r="BB388" s="172"/>
      <c r="BC388" s="172"/>
      <c r="BD388" s="172"/>
      <c r="BE388" s="172"/>
      <c r="BF388" s="555"/>
      <c r="BG388" s="5086"/>
      <c r="BH388" s="104"/>
      <c r="BI388" s="32"/>
      <c r="BJ388" s="33"/>
      <c r="BK388" s="32"/>
      <c r="BL388" s="34"/>
      <c r="BM388" s="92"/>
      <c r="BN388" s="108"/>
      <c r="BO388" s="94"/>
      <c r="BP388" s="95"/>
      <c r="BQ388" s="105"/>
      <c r="BR388" s="5101"/>
      <c r="BS388" s="920"/>
      <c r="BT388" s="1495"/>
      <c r="BU388" s="101"/>
      <c r="BV388" s="1475"/>
      <c r="BW388" s="5086"/>
      <c r="BX388" s="104"/>
      <c r="BY388" s="32"/>
      <c r="BZ388" s="33"/>
      <c r="CA388" s="32"/>
      <c r="CB388" s="34"/>
      <c r="CC388" s="92"/>
      <c r="CD388" s="108"/>
      <c r="CE388" s="94"/>
      <c r="CF388" s="95"/>
      <c r="CG388" s="105"/>
      <c r="CH388" s="5101"/>
      <c r="CI388" s="920"/>
      <c r="CJ388" s="1495"/>
      <c r="CK388" s="101"/>
      <c r="CL388" s="1475"/>
      <c r="CM388" s="5086"/>
      <c r="CN388" s="104"/>
      <c r="CO388" s="32"/>
      <c r="CP388" s="33"/>
      <c r="CQ388" s="32"/>
      <c r="CR388" s="34"/>
      <c r="CS388" s="92"/>
      <c r="CT388" s="108"/>
      <c r="CU388" s="94"/>
      <c r="CV388" s="95"/>
      <c r="CW388" s="105"/>
      <c r="CX388" s="5101"/>
      <c r="CY388" s="920"/>
      <c r="CZ388" s="1495"/>
      <c r="DA388" s="101"/>
      <c r="DB388" s="1475"/>
      <c r="DC388" s="5109"/>
      <c r="DD388" s="5086"/>
      <c r="DF388" s="3">
        <v>1</v>
      </c>
      <c r="EY388" s="172"/>
      <c r="EZ388" s="172"/>
      <c r="FA388" s="172"/>
      <c r="FB388" s="172"/>
      <c r="FC388" s="555"/>
    </row>
    <row r="389" spans="2:159" ht="18.75">
      <c r="B389" s="952" t="str">
        <f t="shared" si="75"/>
        <v>►</v>
      </c>
      <c r="C389" s="993" cm="1">
        <f t="array" ref="C389">SUMPRODUCT(LEN(D389:J389))</f>
        <v>0</v>
      </c>
      <c r="D389" s="167"/>
      <c r="E389" s="172"/>
      <c r="F389" s="172"/>
      <c r="G389" s="172"/>
      <c r="H389" s="172"/>
      <c r="I389" s="172"/>
      <c r="J389" s="173"/>
      <c r="K389"/>
      <c r="L389" s="104" t="s">
        <v>16</v>
      </c>
      <c r="M389" s="157" t="str">
        <f>M337</f>
        <v>B BAUDRUCHE DE COPAIN | | Auteur &gt; Guy KRENZE - Eric GODDYN - Arnaud NICOLAS - CEPROC 2002</v>
      </c>
      <c r="N389" s="157">
        <f>N337</f>
        <v>9.0500000000000007</v>
      </c>
      <c r="O389" s="158" t="str">
        <f>O337</f>
        <v>Kg</v>
      </c>
      <c r="P389" s="159" t="str">
        <f>P337</f>
        <v>Recette mère ► le Boudin en 4 déclinaisons</v>
      </c>
      <c r="Q389" s="172"/>
      <c r="R389" s="172"/>
      <c r="S389" s="172"/>
      <c r="T389" s="172"/>
      <c r="U389" s="172"/>
      <c r="V389" s="172"/>
      <c r="W389" s="172"/>
      <c r="X389" s="172"/>
      <c r="Y389" s="172"/>
      <c r="Z389" s="555"/>
      <c r="AA389" s="5086"/>
      <c r="AB389" s="104" t="s">
        <v>16</v>
      </c>
      <c r="AC389" s="157" t="str">
        <f>AC337</f>
        <v>B BAUDRUCHE DE COPAIN | |  Author &gt; Guy KRENZE - Eric GODDYN - Arnaud NICOLAS - CEPROC 2002</v>
      </c>
      <c r="AD389" s="157">
        <f>AD337</f>
        <v>9.0500000000000007</v>
      </c>
      <c r="AE389" s="158" t="str">
        <f>AE337</f>
        <v>Kg</v>
      </c>
      <c r="AF389" s="159" t="str">
        <f>AF337</f>
        <v>Master recipe ► Black pudding in 4 variations</v>
      </c>
      <c r="AG389" s="172"/>
      <c r="AH389" s="172"/>
      <c r="AI389" s="172"/>
      <c r="AJ389" s="172"/>
      <c r="AK389" s="172"/>
      <c r="AL389" s="172"/>
      <c r="AM389" s="172"/>
      <c r="AN389" s="172"/>
      <c r="AO389" s="172"/>
      <c r="AP389" s="555"/>
      <c r="AQ389" s="5086"/>
      <c r="AR389" s="104" t="s">
        <v>16</v>
      </c>
      <c r="AS389" s="157" t="str">
        <f>AS337</f>
        <v>B BAUDRUCHE DE COPAIN | | Autor &gt; Guy KRENZE - Eric GODDYN - Arnaud NICOLAS - CEPROC 2002</v>
      </c>
      <c r="AT389" s="157">
        <f>AT337</f>
        <v>9.0500000000000007</v>
      </c>
      <c r="AU389" s="158" t="str">
        <f>AU337</f>
        <v>Kg</v>
      </c>
      <c r="AV389" s="159" t="str">
        <f>AV337</f>
        <v>Receta madre ► Morcilla en 4 versiones</v>
      </c>
      <c r="AW389" s="172"/>
      <c r="AX389" s="172"/>
      <c r="AY389" s="172"/>
      <c r="AZ389" s="172"/>
      <c r="BA389" s="172"/>
      <c r="BB389" s="172"/>
      <c r="BC389" s="172"/>
      <c r="BD389" s="172"/>
      <c r="BE389" s="172"/>
      <c r="BF389" s="555"/>
      <c r="BG389" s="5086"/>
      <c r="BH389" s="104"/>
      <c r="BI389" s="32"/>
      <c r="BJ389" s="33"/>
      <c r="BK389" s="32"/>
      <c r="BL389" s="34"/>
      <c r="BM389" s="92"/>
      <c r="BN389" s="108"/>
      <c r="BO389" s="94"/>
      <c r="BP389" s="95"/>
      <c r="BQ389" s="105"/>
      <c r="BR389" s="5101"/>
      <c r="BS389" s="920"/>
      <c r="BT389" s="1495"/>
      <c r="BU389" s="101"/>
      <c r="BV389" s="1475"/>
      <c r="BW389" s="5086"/>
      <c r="BX389" s="104"/>
      <c r="BY389" s="32"/>
      <c r="BZ389" s="33"/>
      <c r="CA389" s="32"/>
      <c r="CB389" s="34"/>
      <c r="CC389" s="92"/>
      <c r="CD389" s="108"/>
      <c r="CE389" s="94"/>
      <c r="CF389" s="95"/>
      <c r="CG389" s="105"/>
      <c r="CH389" s="5101"/>
      <c r="CI389" s="920"/>
      <c r="CJ389" s="1495"/>
      <c r="CK389" s="101"/>
      <c r="CL389" s="1475"/>
      <c r="CM389" s="5086"/>
      <c r="CN389" s="104"/>
      <c r="CO389" s="32"/>
      <c r="CP389" s="33"/>
      <c r="CQ389" s="32"/>
      <c r="CR389" s="34"/>
      <c r="CS389" s="92"/>
      <c r="CT389" s="108"/>
      <c r="CU389" s="94"/>
      <c r="CV389" s="95"/>
      <c r="CW389" s="105"/>
      <c r="CX389" s="5101"/>
      <c r="CY389" s="920"/>
      <c r="CZ389" s="1495"/>
      <c r="DA389" s="101"/>
      <c r="DB389" s="1475"/>
      <c r="DC389" s="5109"/>
      <c r="DD389" s="5086"/>
      <c r="DF389" s="3">
        <v>1</v>
      </c>
      <c r="EY389" s="172"/>
      <c r="EZ389" s="172"/>
      <c r="FA389" s="172"/>
      <c r="FB389" s="172"/>
      <c r="FC389" s="555"/>
    </row>
    <row r="390" spans="2:159" ht="18.75">
      <c r="B390" s="952" t="str">
        <f t="shared" si="75"/>
        <v>►</v>
      </c>
      <c r="C390" s="993" cm="1">
        <f t="array" ref="C390">SUMPRODUCT(LEN(D390:J390))</f>
        <v>0</v>
      </c>
      <c r="D390" s="167"/>
      <c r="E390" s="172"/>
      <c r="F390" s="172"/>
      <c r="G390" s="172"/>
      <c r="H390" s="172"/>
      <c r="I390" s="172"/>
      <c r="J390" s="173"/>
      <c r="K390"/>
      <c r="L390" s="104" t="s">
        <v>16</v>
      </c>
      <c r="M390" s="157" t="str">
        <f>M337</f>
        <v>B BAUDRUCHE DE COPAIN | | Auteur &gt; Guy KRENZE - Eric GODDYN - Arnaud NICOLAS - CEPROC 2002</v>
      </c>
      <c r="N390" s="157">
        <f>N337</f>
        <v>9.0500000000000007</v>
      </c>
      <c r="O390" s="158" t="str">
        <f>O337</f>
        <v>Kg</v>
      </c>
      <c r="P390" s="159" t="str">
        <f>P337</f>
        <v>Recette mère ► le Boudin en 4 déclinaisons</v>
      </c>
      <c r="Q390" s="172"/>
      <c r="R390" s="172"/>
      <c r="S390" s="172"/>
      <c r="T390" s="172"/>
      <c r="U390" s="172"/>
      <c r="V390" s="172"/>
      <c r="W390" s="172"/>
      <c r="X390" s="172"/>
      <c r="Y390" s="172"/>
      <c r="Z390" s="555"/>
      <c r="AA390" s="5086"/>
      <c r="AB390" s="104" t="s">
        <v>16</v>
      </c>
      <c r="AC390" s="157" t="str">
        <f>AC337</f>
        <v>B BAUDRUCHE DE COPAIN | |  Author &gt; Guy KRENZE - Eric GODDYN - Arnaud NICOLAS - CEPROC 2002</v>
      </c>
      <c r="AD390" s="157">
        <f>AD337</f>
        <v>9.0500000000000007</v>
      </c>
      <c r="AE390" s="158" t="str">
        <f>AE337</f>
        <v>Kg</v>
      </c>
      <c r="AF390" s="159" t="str">
        <f>AF337</f>
        <v>Master recipe ► Black pudding in 4 variations</v>
      </c>
      <c r="AG390" s="172"/>
      <c r="AH390" s="172"/>
      <c r="AI390" s="172"/>
      <c r="AJ390" s="172"/>
      <c r="AK390" s="172"/>
      <c r="AL390" s="172"/>
      <c r="AM390" s="172"/>
      <c r="AN390" s="172"/>
      <c r="AO390" s="172"/>
      <c r="AP390" s="555"/>
      <c r="AQ390" s="5086"/>
      <c r="AR390" s="104" t="s">
        <v>16</v>
      </c>
      <c r="AS390" s="157" t="str">
        <f>AS337</f>
        <v>B BAUDRUCHE DE COPAIN | | Autor &gt; Guy KRENZE - Eric GODDYN - Arnaud NICOLAS - CEPROC 2002</v>
      </c>
      <c r="AT390" s="157">
        <f>AT337</f>
        <v>9.0500000000000007</v>
      </c>
      <c r="AU390" s="158" t="str">
        <f>AU337</f>
        <v>Kg</v>
      </c>
      <c r="AV390" s="159" t="str">
        <f>AV337</f>
        <v>Receta madre ► Morcilla en 4 versiones</v>
      </c>
      <c r="AW390" s="172"/>
      <c r="AX390" s="172"/>
      <c r="AY390" s="172"/>
      <c r="AZ390" s="172"/>
      <c r="BA390" s="172"/>
      <c r="BB390" s="172"/>
      <c r="BC390" s="172"/>
      <c r="BD390" s="172"/>
      <c r="BE390" s="172"/>
      <c r="BF390" s="555"/>
      <c r="BG390" s="5086"/>
      <c r="BH390" s="104"/>
      <c r="BI390" s="32"/>
      <c r="BJ390" s="33"/>
      <c r="BK390" s="32"/>
      <c r="BL390" s="34"/>
      <c r="BM390" s="92"/>
      <c r="BN390" s="108"/>
      <c r="BO390" s="94"/>
      <c r="BP390" s="95"/>
      <c r="BQ390" s="105"/>
      <c r="BR390" s="5101"/>
      <c r="BS390" s="920"/>
      <c r="BT390" s="1495"/>
      <c r="BU390" s="101"/>
      <c r="BV390" s="1475"/>
      <c r="BW390" s="5086"/>
      <c r="BX390" s="104"/>
      <c r="BY390" s="32"/>
      <c r="BZ390" s="33"/>
      <c r="CA390" s="32"/>
      <c r="CB390" s="34"/>
      <c r="CC390" s="92"/>
      <c r="CD390" s="108"/>
      <c r="CE390" s="94"/>
      <c r="CF390" s="95"/>
      <c r="CG390" s="105"/>
      <c r="CH390" s="5101"/>
      <c r="CI390" s="920"/>
      <c r="CJ390" s="1495"/>
      <c r="CK390" s="101"/>
      <c r="CL390" s="1475"/>
      <c r="CM390" s="5086"/>
      <c r="CN390" s="104"/>
      <c r="CO390" s="32"/>
      <c r="CP390" s="33"/>
      <c r="CQ390" s="32"/>
      <c r="CR390" s="34"/>
      <c r="CS390" s="92"/>
      <c r="CT390" s="108"/>
      <c r="CU390" s="94"/>
      <c r="CV390" s="95"/>
      <c r="CW390" s="105"/>
      <c r="CX390" s="5101"/>
      <c r="CY390" s="920"/>
      <c r="CZ390" s="1495"/>
      <c r="DA390" s="101"/>
      <c r="DB390" s="1475"/>
      <c r="DC390" s="5109"/>
      <c r="DD390" s="5086"/>
      <c r="DF390" s="3">
        <v>1</v>
      </c>
      <c r="EY390" s="172"/>
      <c r="EZ390" s="172"/>
      <c r="FA390" s="172"/>
      <c r="FB390" s="172"/>
      <c r="FC390" s="555"/>
    </row>
    <row r="391" spans="2:159" ht="18.75">
      <c r="B391" s="952" t="str">
        <f t="shared" si="75"/>
        <v>►</v>
      </c>
      <c r="C391" s="993" cm="1">
        <f t="array" ref="C391">SUMPRODUCT(LEN(D391:J391))</f>
        <v>0</v>
      </c>
      <c r="D391" s="167"/>
      <c r="E391" s="172"/>
      <c r="F391" s="172"/>
      <c r="G391" s="172"/>
      <c r="H391" s="172"/>
      <c r="I391" s="172"/>
      <c r="J391" s="173"/>
      <c r="K391"/>
      <c r="L391" s="104" t="s">
        <v>16</v>
      </c>
      <c r="M391" s="157" t="str">
        <f>M337</f>
        <v>B BAUDRUCHE DE COPAIN | | Auteur &gt; Guy KRENZE - Eric GODDYN - Arnaud NICOLAS - CEPROC 2002</v>
      </c>
      <c r="N391" s="157">
        <f>N337</f>
        <v>9.0500000000000007</v>
      </c>
      <c r="O391" s="158" t="str">
        <f>O337</f>
        <v>Kg</v>
      </c>
      <c r="P391" s="159" t="str">
        <f>P337</f>
        <v>Recette mère ► le Boudin en 4 déclinaisons</v>
      </c>
      <c r="Q391" s="172"/>
      <c r="R391" s="172"/>
      <c r="S391" s="172"/>
      <c r="T391" s="172"/>
      <c r="U391" s="172"/>
      <c r="V391" s="172"/>
      <c r="W391" s="172"/>
      <c r="X391" s="172"/>
      <c r="Y391" s="172"/>
      <c r="Z391" s="555"/>
      <c r="AA391" s="5086"/>
      <c r="AB391" s="104" t="s">
        <v>16</v>
      </c>
      <c r="AC391" s="157" t="str">
        <f>AC337</f>
        <v>B BAUDRUCHE DE COPAIN | |  Author &gt; Guy KRENZE - Eric GODDYN - Arnaud NICOLAS - CEPROC 2002</v>
      </c>
      <c r="AD391" s="157">
        <f>AD337</f>
        <v>9.0500000000000007</v>
      </c>
      <c r="AE391" s="158" t="str">
        <f>AE337</f>
        <v>Kg</v>
      </c>
      <c r="AF391" s="159" t="str">
        <f>AF337</f>
        <v>Master recipe ► Black pudding in 4 variations</v>
      </c>
      <c r="AG391" s="172"/>
      <c r="AH391" s="172"/>
      <c r="AI391" s="172"/>
      <c r="AJ391" s="172"/>
      <c r="AK391" s="172"/>
      <c r="AL391" s="172"/>
      <c r="AM391" s="172"/>
      <c r="AN391" s="172"/>
      <c r="AO391" s="172"/>
      <c r="AP391" s="555"/>
      <c r="AQ391" s="5086"/>
      <c r="AR391" s="104" t="s">
        <v>16</v>
      </c>
      <c r="AS391" s="157" t="str">
        <f>AS337</f>
        <v>B BAUDRUCHE DE COPAIN | | Autor &gt; Guy KRENZE - Eric GODDYN - Arnaud NICOLAS - CEPROC 2002</v>
      </c>
      <c r="AT391" s="157">
        <f>AT337</f>
        <v>9.0500000000000007</v>
      </c>
      <c r="AU391" s="158" t="str">
        <f>AU337</f>
        <v>Kg</v>
      </c>
      <c r="AV391" s="159" t="str">
        <f>AV337</f>
        <v>Receta madre ► Morcilla en 4 versiones</v>
      </c>
      <c r="AW391" s="172"/>
      <c r="AX391" s="172"/>
      <c r="AY391" s="172"/>
      <c r="AZ391" s="172"/>
      <c r="BA391" s="172"/>
      <c r="BB391" s="172"/>
      <c r="BC391" s="172"/>
      <c r="BD391" s="172"/>
      <c r="BE391" s="172"/>
      <c r="BF391" s="555"/>
      <c r="BG391" s="5086"/>
      <c r="BH391" s="104"/>
      <c r="BI391" s="32"/>
      <c r="BJ391" s="33"/>
      <c r="BK391" s="32"/>
      <c r="BL391" s="34"/>
      <c r="BM391" s="92"/>
      <c r="BN391" s="108"/>
      <c r="BO391" s="94"/>
      <c r="BP391" s="95"/>
      <c r="BQ391" s="105"/>
      <c r="BR391" s="5101"/>
      <c r="BS391" s="920"/>
      <c r="BT391" s="1495"/>
      <c r="BU391" s="101"/>
      <c r="BV391" s="1475"/>
      <c r="BW391" s="5086"/>
      <c r="BX391" s="104"/>
      <c r="BY391" s="32"/>
      <c r="BZ391" s="33"/>
      <c r="CA391" s="32"/>
      <c r="CB391" s="34"/>
      <c r="CC391" s="92"/>
      <c r="CD391" s="108"/>
      <c r="CE391" s="94"/>
      <c r="CF391" s="95"/>
      <c r="CG391" s="105"/>
      <c r="CH391" s="5101"/>
      <c r="CI391" s="920"/>
      <c r="CJ391" s="1495"/>
      <c r="CK391" s="101"/>
      <c r="CL391" s="1475"/>
      <c r="CM391" s="5086"/>
      <c r="CN391" s="104"/>
      <c r="CO391" s="32"/>
      <c r="CP391" s="33"/>
      <c r="CQ391" s="32"/>
      <c r="CR391" s="34"/>
      <c r="CS391" s="92"/>
      <c r="CT391" s="108"/>
      <c r="CU391" s="94"/>
      <c r="CV391" s="95"/>
      <c r="CW391" s="105"/>
      <c r="CX391" s="5101"/>
      <c r="CY391" s="920"/>
      <c r="CZ391" s="1495"/>
      <c r="DA391" s="101"/>
      <c r="DB391" s="1475"/>
      <c r="DC391" s="5109"/>
      <c r="DD391" s="5086"/>
      <c r="DF391" s="3">
        <v>1</v>
      </c>
      <c r="EY391" s="172"/>
      <c r="EZ391" s="172"/>
      <c r="FA391" s="172"/>
      <c r="FB391" s="172"/>
      <c r="FC391" s="555"/>
    </row>
    <row r="392" spans="2:159" ht="18.75">
      <c r="B392" s="952" t="str">
        <f t="shared" si="75"/>
        <v>►</v>
      </c>
      <c r="C392" s="993" cm="1">
        <f t="array" ref="C392">SUMPRODUCT(LEN(D392:J392))</f>
        <v>0</v>
      </c>
      <c r="D392" s="167"/>
      <c r="E392" s="172"/>
      <c r="F392" s="172"/>
      <c r="G392" s="172"/>
      <c r="H392" s="172"/>
      <c r="I392" s="172"/>
      <c r="J392" s="173"/>
      <c r="K392"/>
      <c r="L392" s="104" t="s">
        <v>16</v>
      </c>
      <c r="M392" s="157" t="str">
        <f>M337</f>
        <v>B BAUDRUCHE DE COPAIN | | Auteur &gt; Guy KRENZE - Eric GODDYN - Arnaud NICOLAS - CEPROC 2002</v>
      </c>
      <c r="N392" s="157">
        <f>N337</f>
        <v>9.0500000000000007</v>
      </c>
      <c r="O392" s="158" t="str">
        <f>O337</f>
        <v>Kg</v>
      </c>
      <c r="P392" s="159" t="str">
        <f>P337</f>
        <v>Recette mère ► le Boudin en 4 déclinaisons</v>
      </c>
      <c r="Q392" s="172"/>
      <c r="R392" s="172"/>
      <c r="S392" s="172"/>
      <c r="T392" s="172"/>
      <c r="U392" s="172"/>
      <c r="V392" s="172"/>
      <c r="W392" s="172"/>
      <c r="X392" s="172"/>
      <c r="Y392" s="172"/>
      <c r="Z392" s="555"/>
      <c r="AA392" s="5086"/>
      <c r="AB392" s="104" t="s">
        <v>16</v>
      </c>
      <c r="AC392" s="157" t="str">
        <f>AC337</f>
        <v>B BAUDRUCHE DE COPAIN | |  Author &gt; Guy KRENZE - Eric GODDYN - Arnaud NICOLAS - CEPROC 2002</v>
      </c>
      <c r="AD392" s="157">
        <f>AD337</f>
        <v>9.0500000000000007</v>
      </c>
      <c r="AE392" s="158" t="str">
        <f>AE337</f>
        <v>Kg</v>
      </c>
      <c r="AF392" s="159" t="str">
        <f>AF337</f>
        <v>Master recipe ► Black pudding in 4 variations</v>
      </c>
      <c r="AG392" s="172"/>
      <c r="AH392" s="172"/>
      <c r="AI392" s="172"/>
      <c r="AJ392" s="172"/>
      <c r="AK392" s="172"/>
      <c r="AL392" s="172"/>
      <c r="AM392" s="172"/>
      <c r="AN392" s="172"/>
      <c r="AO392" s="172"/>
      <c r="AP392" s="555"/>
      <c r="AQ392" s="5086"/>
      <c r="AR392" s="104" t="s">
        <v>16</v>
      </c>
      <c r="AS392" s="157" t="str">
        <f>AS337</f>
        <v>B BAUDRUCHE DE COPAIN | | Autor &gt; Guy KRENZE - Eric GODDYN - Arnaud NICOLAS - CEPROC 2002</v>
      </c>
      <c r="AT392" s="157">
        <f>AT337</f>
        <v>9.0500000000000007</v>
      </c>
      <c r="AU392" s="158" t="str">
        <f>AU337</f>
        <v>Kg</v>
      </c>
      <c r="AV392" s="159" t="str">
        <f>AV337</f>
        <v>Receta madre ► Morcilla en 4 versiones</v>
      </c>
      <c r="AW392" s="172"/>
      <c r="AX392" s="172"/>
      <c r="AY392" s="172"/>
      <c r="AZ392" s="172"/>
      <c r="BA392" s="172"/>
      <c r="BB392" s="172"/>
      <c r="BC392" s="172"/>
      <c r="BD392" s="172"/>
      <c r="BE392" s="172"/>
      <c r="BF392" s="555"/>
      <c r="BG392" s="5086"/>
      <c r="BH392" s="104"/>
      <c r="BI392" s="32"/>
      <c r="BJ392" s="33"/>
      <c r="BK392" s="32"/>
      <c r="BL392" s="34"/>
      <c r="BM392" s="92"/>
      <c r="BN392" s="108"/>
      <c r="BO392" s="94"/>
      <c r="BP392" s="95"/>
      <c r="BQ392" s="105"/>
      <c r="BR392" s="5101"/>
      <c r="BS392" s="920"/>
      <c r="BT392" s="1495"/>
      <c r="BU392" s="101"/>
      <c r="BV392" s="1475"/>
      <c r="BW392" s="5086"/>
      <c r="BX392" s="104"/>
      <c r="BY392" s="32"/>
      <c r="BZ392" s="33"/>
      <c r="CA392" s="32"/>
      <c r="CB392" s="34"/>
      <c r="CC392" s="92"/>
      <c r="CD392" s="108"/>
      <c r="CE392" s="94"/>
      <c r="CF392" s="95"/>
      <c r="CG392" s="105"/>
      <c r="CH392" s="5101"/>
      <c r="CI392" s="920"/>
      <c r="CJ392" s="1495"/>
      <c r="CK392" s="101"/>
      <c r="CL392" s="1475"/>
      <c r="CM392" s="5086"/>
      <c r="CN392" s="104"/>
      <c r="CO392" s="32"/>
      <c r="CP392" s="33"/>
      <c r="CQ392" s="32"/>
      <c r="CR392" s="34"/>
      <c r="CS392" s="92"/>
      <c r="CT392" s="108"/>
      <c r="CU392" s="94"/>
      <c r="CV392" s="95"/>
      <c r="CW392" s="105"/>
      <c r="CX392" s="5101"/>
      <c r="CY392" s="920"/>
      <c r="CZ392" s="1495"/>
      <c r="DA392" s="101"/>
      <c r="DB392" s="1475"/>
      <c r="DC392" s="5109"/>
      <c r="DD392" s="5086"/>
      <c r="DF392" s="3">
        <v>1</v>
      </c>
      <c r="EY392" s="172"/>
      <c r="EZ392" s="172"/>
      <c r="FA392" s="172"/>
      <c r="FB392" s="172"/>
      <c r="FC392" s="555"/>
    </row>
    <row r="393" spans="2:159" ht="18.75">
      <c r="B393" s="952" t="str">
        <f t="shared" si="75"/>
        <v>►</v>
      </c>
      <c r="C393" s="993" cm="1">
        <f t="array" ref="C393">SUMPRODUCT(LEN(D393:J393))</f>
        <v>0</v>
      </c>
      <c r="D393" s="167"/>
      <c r="E393" s="172"/>
      <c r="F393" s="172"/>
      <c r="G393" s="172"/>
      <c r="H393" s="172"/>
      <c r="I393" s="172"/>
      <c r="J393" s="173"/>
      <c r="K393"/>
      <c r="L393" s="104" t="s">
        <v>16</v>
      </c>
      <c r="M393" s="157" t="str">
        <f>M337</f>
        <v>B BAUDRUCHE DE COPAIN | | Auteur &gt; Guy KRENZE - Eric GODDYN - Arnaud NICOLAS - CEPROC 2002</v>
      </c>
      <c r="N393" s="157">
        <f>N337</f>
        <v>9.0500000000000007</v>
      </c>
      <c r="O393" s="158" t="str">
        <f>O337</f>
        <v>Kg</v>
      </c>
      <c r="P393" s="159" t="str">
        <f>P337</f>
        <v>Recette mère ► le Boudin en 4 déclinaisons</v>
      </c>
      <c r="Q393" s="172"/>
      <c r="R393" s="172"/>
      <c r="S393" s="172"/>
      <c r="T393" s="172"/>
      <c r="U393" s="172"/>
      <c r="V393" s="172"/>
      <c r="W393" s="172"/>
      <c r="X393" s="172"/>
      <c r="Y393" s="172"/>
      <c r="Z393" s="555"/>
      <c r="AA393" s="5086"/>
      <c r="AB393" s="104" t="s">
        <v>16</v>
      </c>
      <c r="AC393" s="157" t="str">
        <f>AC337</f>
        <v>B BAUDRUCHE DE COPAIN | |  Author &gt; Guy KRENZE - Eric GODDYN - Arnaud NICOLAS - CEPROC 2002</v>
      </c>
      <c r="AD393" s="157">
        <f>AD337</f>
        <v>9.0500000000000007</v>
      </c>
      <c r="AE393" s="158" t="str">
        <f>AE337</f>
        <v>Kg</v>
      </c>
      <c r="AF393" s="159" t="str">
        <f>AF337</f>
        <v>Master recipe ► Black pudding in 4 variations</v>
      </c>
      <c r="AG393" s="172"/>
      <c r="AH393" s="172"/>
      <c r="AI393" s="172"/>
      <c r="AJ393" s="172"/>
      <c r="AK393" s="172"/>
      <c r="AL393" s="172"/>
      <c r="AM393" s="172"/>
      <c r="AN393" s="172"/>
      <c r="AO393" s="172"/>
      <c r="AP393" s="555"/>
      <c r="AQ393" s="5086"/>
      <c r="AR393" s="104" t="s">
        <v>16</v>
      </c>
      <c r="AS393" s="157" t="str">
        <f>AS337</f>
        <v>B BAUDRUCHE DE COPAIN | | Autor &gt; Guy KRENZE - Eric GODDYN - Arnaud NICOLAS - CEPROC 2002</v>
      </c>
      <c r="AT393" s="157">
        <f>AT337</f>
        <v>9.0500000000000007</v>
      </c>
      <c r="AU393" s="158" t="str">
        <f>AU337</f>
        <v>Kg</v>
      </c>
      <c r="AV393" s="159" t="str">
        <f>AV337</f>
        <v>Receta madre ► Morcilla en 4 versiones</v>
      </c>
      <c r="AW393" s="172"/>
      <c r="AX393" s="172"/>
      <c r="AY393" s="172"/>
      <c r="AZ393" s="172"/>
      <c r="BA393" s="172"/>
      <c r="BB393" s="172"/>
      <c r="BC393" s="172"/>
      <c r="BD393" s="172"/>
      <c r="BE393" s="172"/>
      <c r="BF393" s="555"/>
      <c r="BG393" s="5086"/>
      <c r="BH393" s="104"/>
      <c r="BI393" s="32"/>
      <c r="BJ393" s="33"/>
      <c r="BK393" s="32"/>
      <c r="BL393" s="34"/>
      <c r="BM393" s="92"/>
      <c r="BN393" s="108"/>
      <c r="BO393" s="94"/>
      <c r="BP393" s="95"/>
      <c r="BQ393" s="105"/>
      <c r="BR393" s="5101"/>
      <c r="BS393" s="920"/>
      <c r="BT393" s="1495"/>
      <c r="BU393" s="101"/>
      <c r="BV393" s="1475"/>
      <c r="BW393" s="5086"/>
      <c r="BX393" s="104"/>
      <c r="BY393" s="32"/>
      <c r="BZ393" s="33"/>
      <c r="CA393" s="32"/>
      <c r="CB393" s="34"/>
      <c r="CC393" s="92"/>
      <c r="CD393" s="108"/>
      <c r="CE393" s="94"/>
      <c r="CF393" s="95"/>
      <c r="CG393" s="105"/>
      <c r="CH393" s="5101"/>
      <c r="CI393" s="920"/>
      <c r="CJ393" s="1495"/>
      <c r="CK393" s="101"/>
      <c r="CL393" s="1475"/>
      <c r="CM393" s="5086"/>
      <c r="CN393" s="104"/>
      <c r="CO393" s="32"/>
      <c r="CP393" s="33"/>
      <c r="CQ393" s="32"/>
      <c r="CR393" s="34"/>
      <c r="CS393" s="92"/>
      <c r="CT393" s="108"/>
      <c r="CU393" s="94"/>
      <c r="CV393" s="95"/>
      <c r="CW393" s="105"/>
      <c r="CX393" s="5101"/>
      <c r="CY393" s="920"/>
      <c r="CZ393" s="1495"/>
      <c r="DA393" s="101"/>
      <c r="DB393" s="1475"/>
      <c r="DC393" s="5109"/>
      <c r="DD393" s="5086"/>
      <c r="DF393" s="3">
        <v>1</v>
      </c>
      <c r="EY393" s="172"/>
      <c r="EZ393" s="172"/>
      <c r="FA393" s="172"/>
      <c r="FB393" s="172"/>
      <c r="FC393" s="555"/>
    </row>
    <row r="394" spans="2:159" ht="18.75">
      <c r="B394" s="952" t="str">
        <f t="shared" si="75"/>
        <v>►</v>
      </c>
      <c r="C394" s="993" cm="1">
        <f t="array" ref="C394">SUMPRODUCT(LEN(D394:J394))</f>
        <v>0</v>
      </c>
      <c r="D394" s="167"/>
      <c r="E394" s="172"/>
      <c r="F394" s="172"/>
      <c r="G394" s="172"/>
      <c r="H394" s="172"/>
      <c r="I394" s="172"/>
      <c r="J394" s="173"/>
      <c r="K394"/>
      <c r="L394" s="104" t="s">
        <v>16</v>
      </c>
      <c r="M394" s="157" t="str">
        <f>M337</f>
        <v>B BAUDRUCHE DE COPAIN | | Auteur &gt; Guy KRENZE - Eric GODDYN - Arnaud NICOLAS - CEPROC 2002</v>
      </c>
      <c r="N394" s="157">
        <f>N337</f>
        <v>9.0500000000000007</v>
      </c>
      <c r="O394" s="158" t="str">
        <f>O337</f>
        <v>Kg</v>
      </c>
      <c r="P394" s="159" t="str">
        <f>P337</f>
        <v>Recette mère ► le Boudin en 4 déclinaisons</v>
      </c>
      <c r="Q394" s="172"/>
      <c r="R394" s="172"/>
      <c r="S394" s="172"/>
      <c r="T394" s="172"/>
      <c r="U394" s="172"/>
      <c r="V394" s="172"/>
      <c r="W394" s="172"/>
      <c r="X394" s="172"/>
      <c r="Y394" s="172"/>
      <c r="Z394" s="555"/>
      <c r="AA394" s="5086"/>
      <c r="AB394" s="104" t="s">
        <v>16</v>
      </c>
      <c r="AC394" s="157" t="str">
        <f>AC337</f>
        <v>B BAUDRUCHE DE COPAIN | |  Author &gt; Guy KRENZE - Eric GODDYN - Arnaud NICOLAS - CEPROC 2002</v>
      </c>
      <c r="AD394" s="157">
        <f>AD337</f>
        <v>9.0500000000000007</v>
      </c>
      <c r="AE394" s="158" t="str">
        <f>AE337</f>
        <v>Kg</v>
      </c>
      <c r="AF394" s="159" t="str">
        <f>AF337</f>
        <v>Master recipe ► Black pudding in 4 variations</v>
      </c>
      <c r="AG394" s="172"/>
      <c r="AH394" s="172"/>
      <c r="AI394" s="172"/>
      <c r="AJ394" s="172"/>
      <c r="AK394" s="172"/>
      <c r="AL394" s="172"/>
      <c r="AM394" s="172"/>
      <c r="AN394" s="172"/>
      <c r="AO394" s="172"/>
      <c r="AP394" s="555"/>
      <c r="AQ394" s="5086"/>
      <c r="AR394" s="104" t="s">
        <v>16</v>
      </c>
      <c r="AS394" s="157" t="str">
        <f>AS337</f>
        <v>B BAUDRUCHE DE COPAIN | | Autor &gt; Guy KRENZE - Eric GODDYN - Arnaud NICOLAS - CEPROC 2002</v>
      </c>
      <c r="AT394" s="157">
        <f>AT337</f>
        <v>9.0500000000000007</v>
      </c>
      <c r="AU394" s="158" t="str">
        <f>AU337</f>
        <v>Kg</v>
      </c>
      <c r="AV394" s="159" t="str">
        <f>AV337</f>
        <v>Receta madre ► Morcilla en 4 versiones</v>
      </c>
      <c r="AW394" s="172"/>
      <c r="AX394" s="172"/>
      <c r="AY394" s="172"/>
      <c r="AZ394" s="172"/>
      <c r="BA394" s="172"/>
      <c r="BB394" s="172"/>
      <c r="BC394" s="172"/>
      <c r="BD394" s="172"/>
      <c r="BE394" s="172"/>
      <c r="BF394" s="555"/>
      <c r="BG394" s="5086"/>
      <c r="BH394" s="104"/>
      <c r="BI394" s="32"/>
      <c r="BJ394" s="33"/>
      <c r="BK394" s="32"/>
      <c r="BL394" s="34"/>
      <c r="BM394" s="92"/>
      <c r="BN394" s="108"/>
      <c r="BO394" s="94"/>
      <c r="BP394" s="95"/>
      <c r="BQ394" s="105"/>
      <c r="BR394" s="5101"/>
      <c r="BS394" s="920"/>
      <c r="BT394" s="1495"/>
      <c r="BU394" s="101"/>
      <c r="BV394" s="1475"/>
      <c r="BW394" s="5086"/>
      <c r="BX394" s="104"/>
      <c r="BY394" s="32"/>
      <c r="BZ394" s="33"/>
      <c r="CA394" s="32"/>
      <c r="CB394" s="34"/>
      <c r="CC394" s="92"/>
      <c r="CD394" s="108"/>
      <c r="CE394" s="94"/>
      <c r="CF394" s="95"/>
      <c r="CG394" s="105"/>
      <c r="CH394" s="5101"/>
      <c r="CI394" s="920"/>
      <c r="CJ394" s="1495"/>
      <c r="CK394" s="101"/>
      <c r="CL394" s="1475"/>
      <c r="CM394" s="5086"/>
      <c r="CN394" s="104"/>
      <c r="CO394" s="32"/>
      <c r="CP394" s="33"/>
      <c r="CQ394" s="32"/>
      <c r="CR394" s="34"/>
      <c r="CS394" s="92"/>
      <c r="CT394" s="108"/>
      <c r="CU394" s="94"/>
      <c r="CV394" s="95"/>
      <c r="CW394" s="105"/>
      <c r="CX394" s="5101"/>
      <c r="CY394" s="920"/>
      <c r="CZ394" s="1495"/>
      <c r="DA394" s="101"/>
      <c r="DB394" s="1475"/>
      <c r="DC394" s="5109"/>
      <c r="DD394" s="5086"/>
      <c r="DF394" s="3">
        <v>1</v>
      </c>
      <c r="EY394" s="172"/>
      <c r="EZ394" s="172"/>
      <c r="FA394" s="172"/>
      <c r="FB394" s="172"/>
      <c r="FC394" s="555"/>
    </row>
    <row r="395" spans="2:159" ht="18.75" customHeight="1">
      <c r="B395" s="952" t="str">
        <f t="shared" si="75"/>
        <v>►</v>
      </c>
      <c r="C395" s="993" cm="1">
        <f t="array" ref="C395">SUMPRODUCT(LEN(D395:J395))</f>
        <v>0</v>
      </c>
      <c r="D395" s="167"/>
      <c r="E395" s="172"/>
      <c r="F395" s="172"/>
      <c r="G395" s="172"/>
      <c r="H395" s="172"/>
      <c r="I395" s="172"/>
      <c r="J395" s="173"/>
      <c r="K395"/>
      <c r="L395" s="104" t="s">
        <v>16</v>
      </c>
      <c r="M395" s="157" t="str">
        <f>M337</f>
        <v>B BAUDRUCHE DE COPAIN | | Auteur &gt; Guy KRENZE - Eric GODDYN - Arnaud NICOLAS - CEPROC 2002</v>
      </c>
      <c r="N395" s="157">
        <f>N337</f>
        <v>9.0500000000000007</v>
      </c>
      <c r="O395" s="158" t="str">
        <f>O337</f>
        <v>Kg</v>
      </c>
      <c r="P395" s="159" t="str">
        <f>P337</f>
        <v>Recette mère ► le Boudin en 4 déclinaisons</v>
      </c>
      <c r="Q395" s="172"/>
      <c r="R395" s="172"/>
      <c r="S395" s="172"/>
      <c r="T395" s="172"/>
      <c r="U395" s="172"/>
      <c r="V395" s="172"/>
      <c r="W395" s="172"/>
      <c r="X395" s="172"/>
      <c r="Y395" s="172"/>
      <c r="Z395" s="555"/>
      <c r="AA395" s="5086"/>
      <c r="AB395" s="104" t="s">
        <v>16</v>
      </c>
      <c r="AC395" s="157" t="str">
        <f>AC337</f>
        <v>B BAUDRUCHE DE COPAIN | |  Author &gt; Guy KRENZE - Eric GODDYN - Arnaud NICOLAS - CEPROC 2002</v>
      </c>
      <c r="AD395" s="157">
        <f>AD337</f>
        <v>9.0500000000000007</v>
      </c>
      <c r="AE395" s="158" t="str">
        <f>AE337</f>
        <v>Kg</v>
      </c>
      <c r="AF395" s="159" t="str">
        <f>AF337</f>
        <v>Master recipe ► Black pudding in 4 variations</v>
      </c>
      <c r="AG395" s="172"/>
      <c r="AH395" s="172"/>
      <c r="AI395" s="172"/>
      <c r="AJ395" s="172"/>
      <c r="AK395" s="172"/>
      <c r="AL395" s="172"/>
      <c r="AM395" s="172"/>
      <c r="AN395" s="172"/>
      <c r="AO395" s="172"/>
      <c r="AP395" s="555"/>
      <c r="AQ395" s="5086"/>
      <c r="AR395" s="104" t="s">
        <v>16</v>
      </c>
      <c r="AS395" s="157" t="str">
        <f>AS337</f>
        <v>B BAUDRUCHE DE COPAIN | | Autor &gt; Guy KRENZE - Eric GODDYN - Arnaud NICOLAS - CEPROC 2002</v>
      </c>
      <c r="AT395" s="157">
        <f>AT337</f>
        <v>9.0500000000000007</v>
      </c>
      <c r="AU395" s="158" t="str">
        <f>AU337</f>
        <v>Kg</v>
      </c>
      <c r="AV395" s="159" t="str">
        <f>AV337</f>
        <v>Receta madre ► Morcilla en 4 versiones</v>
      </c>
      <c r="AW395" s="172"/>
      <c r="AX395" s="172"/>
      <c r="AY395" s="172"/>
      <c r="AZ395" s="172"/>
      <c r="BA395" s="172"/>
      <c r="BB395" s="172"/>
      <c r="BC395" s="172"/>
      <c r="BD395" s="172"/>
      <c r="BE395" s="172"/>
      <c r="BF395" s="555"/>
      <c r="BG395" s="5086"/>
      <c r="BH395" s="104"/>
      <c r="BI395" s="32"/>
      <c r="BJ395" s="33"/>
      <c r="BK395" s="32"/>
      <c r="BL395" s="34"/>
      <c r="BM395" s="92"/>
      <c r="BN395" s="108"/>
      <c r="BO395" s="94"/>
      <c r="BP395" s="95"/>
      <c r="BQ395" s="105"/>
      <c r="BR395" s="5101"/>
      <c r="BS395" s="920"/>
      <c r="BT395" s="1495"/>
      <c r="BU395" s="101"/>
      <c r="BV395" s="1475"/>
      <c r="BW395" s="5086"/>
      <c r="BX395" s="104"/>
      <c r="BY395" s="32"/>
      <c r="BZ395" s="33"/>
      <c r="CA395" s="32"/>
      <c r="CB395" s="34"/>
      <c r="CC395" s="92"/>
      <c r="CD395" s="108"/>
      <c r="CE395" s="94"/>
      <c r="CF395" s="95"/>
      <c r="CG395" s="105"/>
      <c r="CH395" s="5101"/>
      <c r="CI395" s="920"/>
      <c r="CJ395" s="1495"/>
      <c r="CK395" s="101"/>
      <c r="CL395" s="1475"/>
      <c r="CM395" s="5086"/>
      <c r="CN395" s="104"/>
      <c r="CO395" s="32"/>
      <c r="CP395" s="33"/>
      <c r="CQ395" s="32"/>
      <c r="CR395" s="34"/>
      <c r="CS395" s="92"/>
      <c r="CT395" s="108"/>
      <c r="CU395" s="94"/>
      <c r="CV395" s="95"/>
      <c r="CW395" s="105"/>
      <c r="CX395" s="5101"/>
      <c r="CY395" s="920"/>
      <c r="CZ395" s="1495"/>
      <c r="DA395" s="101"/>
      <c r="DB395" s="1475"/>
      <c r="DC395" s="5109"/>
      <c r="DD395" s="5086"/>
      <c r="DF395" s="3">
        <v>1</v>
      </c>
      <c r="EY395" s="172"/>
      <c r="EZ395" s="172"/>
      <c r="FA395" s="172"/>
      <c r="FB395" s="172"/>
      <c r="FC395" s="555"/>
    </row>
    <row r="396" spans="2:159" ht="18.75" customHeight="1">
      <c r="B396" s="952" t="str">
        <f t="shared" si="75"/>
        <v>►</v>
      </c>
      <c r="C396" s="993" cm="1">
        <f t="array" ref="C396">SUMPRODUCT(LEN(D396:J396))</f>
        <v>0</v>
      </c>
      <c r="D396" s="167"/>
      <c r="E396" s="172"/>
      <c r="F396" s="172"/>
      <c r="G396" s="172"/>
      <c r="H396" s="172"/>
      <c r="I396" s="172"/>
      <c r="J396" s="173"/>
      <c r="K396"/>
      <c r="L396" s="104" t="str">
        <f>IF(OR(Q396&lt;&gt;"",R396&lt;&gt; "",S396&lt;&gt;"",T396&lt;&gt;""),"A", "►")</f>
        <v>►</v>
      </c>
      <c r="M396" s="157" t="str">
        <f>M337</f>
        <v>B BAUDRUCHE DE COPAIN | | Auteur &gt; Guy KRENZE - Eric GODDYN - Arnaud NICOLAS - CEPROC 2002</v>
      </c>
      <c r="N396" s="157">
        <f>N337</f>
        <v>9.0500000000000007</v>
      </c>
      <c r="O396" s="158" t="str">
        <f>O337</f>
        <v>Kg</v>
      </c>
      <c r="P396" s="159" t="str">
        <f>P337</f>
        <v>Recette mère ► le Boudin en 4 déclinaisons</v>
      </c>
      <c r="Q396" s="172"/>
      <c r="R396" s="172"/>
      <c r="S396" s="172"/>
      <c r="T396" s="172"/>
      <c r="U396" s="172"/>
      <c r="V396" s="172"/>
      <c r="W396" s="172"/>
      <c r="X396" s="172"/>
      <c r="Y396" s="172"/>
      <c r="Z396" s="555"/>
      <c r="AA396" s="5086"/>
      <c r="AB396" s="104" t="str">
        <f>IF(OR(AG396&lt;&gt;"",AH396&lt;&gt; "",AI396&lt;&gt;"",AJ396&lt;&gt;""),"A", "►")</f>
        <v>►</v>
      </c>
      <c r="AC396" s="157" t="str">
        <f>AC337</f>
        <v>B BAUDRUCHE DE COPAIN | |  Author &gt; Guy KRENZE - Eric GODDYN - Arnaud NICOLAS - CEPROC 2002</v>
      </c>
      <c r="AD396" s="157">
        <f>AD337</f>
        <v>9.0500000000000007</v>
      </c>
      <c r="AE396" s="158" t="str">
        <f>AE337</f>
        <v>Kg</v>
      </c>
      <c r="AF396" s="159" t="str">
        <f>AF337</f>
        <v>Master recipe ► Black pudding in 4 variations</v>
      </c>
      <c r="AG396" s="172"/>
      <c r="AH396" s="172"/>
      <c r="AI396" s="172"/>
      <c r="AJ396" s="172"/>
      <c r="AK396" s="172"/>
      <c r="AL396" s="172"/>
      <c r="AM396" s="172"/>
      <c r="AN396" s="172"/>
      <c r="AO396" s="172"/>
      <c r="AP396" s="555"/>
      <c r="AQ396" s="5086"/>
      <c r="AR396" s="104" t="str">
        <f>IF(OR(AW396&lt;&gt;"",AX396&lt;&gt; "",AY396&lt;&gt;"",AZ396&lt;&gt;""),"A", "►")</f>
        <v>►</v>
      </c>
      <c r="AS396" s="157" t="str">
        <f>AS337</f>
        <v>B BAUDRUCHE DE COPAIN | | Autor &gt; Guy KRENZE - Eric GODDYN - Arnaud NICOLAS - CEPROC 2002</v>
      </c>
      <c r="AT396" s="157">
        <f>AT337</f>
        <v>9.0500000000000007</v>
      </c>
      <c r="AU396" s="158" t="str">
        <f>AU337</f>
        <v>Kg</v>
      </c>
      <c r="AV396" s="159" t="str">
        <f>AV337</f>
        <v>Receta madre ► Morcilla en 4 versiones</v>
      </c>
      <c r="AW396" s="172"/>
      <c r="AX396" s="172"/>
      <c r="AY396" s="172"/>
      <c r="AZ396" s="172"/>
      <c r="BA396" s="172"/>
      <c r="BB396" s="172"/>
      <c r="BC396" s="172"/>
      <c r="BD396" s="172"/>
      <c r="BE396" s="172"/>
      <c r="BF396" s="555"/>
      <c r="BG396" s="5086"/>
      <c r="BH396" s="104"/>
      <c r="BI396" s="32"/>
      <c r="BJ396" s="33"/>
      <c r="BK396" s="32"/>
      <c r="BL396" s="34"/>
      <c r="BM396" s="92"/>
      <c r="BN396" s="108"/>
      <c r="BO396" s="94"/>
      <c r="BP396" s="95"/>
      <c r="BQ396" s="105"/>
      <c r="BR396" s="5101"/>
      <c r="BS396" s="920"/>
      <c r="BT396" s="1495"/>
      <c r="BU396" s="101"/>
      <c r="BV396" s="1475"/>
      <c r="BW396" s="5086"/>
      <c r="BX396" s="104"/>
      <c r="BY396" s="32"/>
      <c r="BZ396" s="33"/>
      <c r="CA396" s="32"/>
      <c r="CB396" s="34"/>
      <c r="CC396" s="92"/>
      <c r="CD396" s="108"/>
      <c r="CE396" s="94"/>
      <c r="CF396" s="95"/>
      <c r="CG396" s="105"/>
      <c r="CH396" s="5101"/>
      <c r="CI396" s="920"/>
      <c r="CJ396" s="1495"/>
      <c r="CK396" s="101"/>
      <c r="CL396" s="1475"/>
      <c r="CM396" s="5086"/>
      <c r="CN396" s="104"/>
      <c r="CO396" s="32"/>
      <c r="CP396" s="33"/>
      <c r="CQ396" s="32"/>
      <c r="CR396" s="34"/>
      <c r="CS396" s="92"/>
      <c r="CT396" s="108"/>
      <c r="CU396" s="94"/>
      <c r="CV396" s="95"/>
      <c r="CW396" s="105"/>
      <c r="CX396" s="5101"/>
      <c r="CY396" s="920"/>
      <c r="CZ396" s="1495"/>
      <c r="DA396" s="101"/>
      <c r="DB396" s="1475"/>
      <c r="DC396" s="5109"/>
      <c r="DD396" s="5086"/>
      <c r="DF396" s="3">
        <v>1</v>
      </c>
      <c r="EY396" s="172"/>
      <c r="EZ396" s="172"/>
      <c r="FA396" s="172"/>
      <c r="FB396" s="172"/>
      <c r="FC396" s="555"/>
    </row>
    <row r="397" spans="2:159" ht="18.75">
      <c r="B397" s="952" t="str">
        <f t="shared" si="75"/>
        <v>►</v>
      </c>
      <c r="C397" s="993" cm="1">
        <f t="array" ref="C397">SUMPRODUCT(LEN(D397:J397))</f>
        <v>0</v>
      </c>
      <c r="D397" s="167"/>
      <c r="E397" s="172"/>
      <c r="F397" s="172"/>
      <c r="G397" s="172"/>
      <c r="H397" s="172"/>
      <c r="I397" s="172"/>
      <c r="J397" s="173"/>
      <c r="K397"/>
      <c r="L397" s="104" t="str">
        <f>IF(OR(Q397&lt;&gt;"",R397&lt;&gt; "",S397&lt;&gt;"",T397&lt;&gt;""),"A", "►")</f>
        <v>►</v>
      </c>
      <c r="M397" s="157" t="str">
        <f>M337</f>
        <v>B BAUDRUCHE DE COPAIN | | Auteur &gt; Guy KRENZE - Eric GODDYN - Arnaud NICOLAS - CEPROC 2002</v>
      </c>
      <c r="N397" s="157">
        <f>N337</f>
        <v>9.0500000000000007</v>
      </c>
      <c r="O397" s="158" t="str">
        <f>O337</f>
        <v>Kg</v>
      </c>
      <c r="P397" s="159" t="str">
        <f>P337</f>
        <v>Recette mère ► le Boudin en 4 déclinaisons</v>
      </c>
      <c r="Q397" s="172"/>
      <c r="R397" s="172"/>
      <c r="S397" s="172"/>
      <c r="T397" s="172"/>
      <c r="U397" s="172"/>
      <c r="V397" s="172"/>
      <c r="W397" s="172"/>
      <c r="X397" s="172"/>
      <c r="Y397" s="172"/>
      <c r="Z397" s="555"/>
      <c r="AA397" s="5086"/>
      <c r="AB397" s="104" t="str">
        <f>IF(OR(AG397&lt;&gt;"",AH397&lt;&gt; "",AI397&lt;&gt;"",AJ397&lt;&gt;""),"A", "►")</f>
        <v>►</v>
      </c>
      <c r="AC397" s="157" t="str">
        <f>AC337</f>
        <v>B BAUDRUCHE DE COPAIN | |  Author &gt; Guy KRENZE - Eric GODDYN - Arnaud NICOLAS - CEPROC 2002</v>
      </c>
      <c r="AD397" s="157">
        <f>AD337</f>
        <v>9.0500000000000007</v>
      </c>
      <c r="AE397" s="158" t="str">
        <f>AE337</f>
        <v>Kg</v>
      </c>
      <c r="AF397" s="159" t="str">
        <f>AF337</f>
        <v>Master recipe ► Black pudding in 4 variations</v>
      </c>
      <c r="AG397" s="172"/>
      <c r="AH397" s="172"/>
      <c r="AI397" s="172"/>
      <c r="AJ397" s="172"/>
      <c r="AK397" s="172"/>
      <c r="AL397" s="172"/>
      <c r="AM397" s="172"/>
      <c r="AN397" s="172"/>
      <c r="AO397" s="172"/>
      <c r="AP397" s="555"/>
      <c r="AQ397" s="5086"/>
      <c r="AR397" s="104" t="str">
        <f>IF(OR(AW397&lt;&gt;"",AX397&lt;&gt; "",AY397&lt;&gt;"",AZ397&lt;&gt;""),"A", "►")</f>
        <v>►</v>
      </c>
      <c r="AS397" s="157" t="str">
        <f>AS337</f>
        <v>B BAUDRUCHE DE COPAIN | | Autor &gt; Guy KRENZE - Eric GODDYN - Arnaud NICOLAS - CEPROC 2002</v>
      </c>
      <c r="AT397" s="157">
        <f>AT337</f>
        <v>9.0500000000000007</v>
      </c>
      <c r="AU397" s="158" t="str">
        <f>AU337</f>
        <v>Kg</v>
      </c>
      <c r="AV397" s="159" t="str">
        <f>AV337</f>
        <v>Receta madre ► Morcilla en 4 versiones</v>
      </c>
      <c r="AW397" s="172"/>
      <c r="AX397" s="172"/>
      <c r="AY397" s="172"/>
      <c r="AZ397" s="172"/>
      <c r="BA397" s="172"/>
      <c r="BB397" s="172"/>
      <c r="BC397" s="172"/>
      <c r="BD397" s="172"/>
      <c r="BE397" s="172"/>
      <c r="BF397" s="555"/>
      <c r="BG397" s="5086"/>
      <c r="BH397" s="104"/>
      <c r="BI397" s="32"/>
      <c r="BJ397" s="33"/>
      <c r="BK397" s="32"/>
      <c r="BL397" s="34"/>
      <c r="BM397" s="92"/>
      <c r="BN397" s="108"/>
      <c r="BO397" s="94"/>
      <c r="BP397" s="95"/>
      <c r="BQ397" s="105"/>
      <c r="BR397" s="5101"/>
      <c r="BS397" s="920"/>
      <c r="BT397" s="1495"/>
      <c r="BU397" s="101"/>
      <c r="BV397" s="1475"/>
      <c r="BW397" s="5086"/>
      <c r="BX397" s="104"/>
      <c r="BY397" s="32"/>
      <c r="BZ397" s="33"/>
      <c r="CA397" s="32"/>
      <c r="CB397" s="34"/>
      <c r="CC397" s="92"/>
      <c r="CD397" s="108"/>
      <c r="CE397" s="94"/>
      <c r="CF397" s="95"/>
      <c r="CG397" s="105"/>
      <c r="CH397" s="5101"/>
      <c r="CI397" s="920"/>
      <c r="CJ397" s="1495"/>
      <c r="CK397" s="101"/>
      <c r="CL397" s="1475"/>
      <c r="CM397" s="5086"/>
      <c r="CN397" s="104"/>
      <c r="CO397" s="32"/>
      <c r="CP397" s="33"/>
      <c r="CQ397" s="32"/>
      <c r="CR397" s="34"/>
      <c r="CS397" s="92"/>
      <c r="CT397" s="108"/>
      <c r="CU397" s="94"/>
      <c r="CV397" s="95"/>
      <c r="CW397" s="105"/>
      <c r="CX397" s="5101"/>
      <c r="CY397" s="920"/>
      <c r="CZ397" s="1495"/>
      <c r="DA397" s="101"/>
      <c r="DB397" s="1475"/>
      <c r="DC397" s="5109"/>
      <c r="DD397" s="5086"/>
      <c r="DF397" s="3">
        <v>1</v>
      </c>
      <c r="EY397" s="172"/>
      <c r="EZ397" s="172"/>
      <c r="FA397" s="172"/>
      <c r="FB397" s="172"/>
      <c r="FC397" s="555"/>
    </row>
    <row r="398" spans="2:159" ht="18.75" customHeight="1">
      <c r="B398" s="952" t="str">
        <f t="shared" si="75"/>
        <v>►</v>
      </c>
      <c r="C398" s="993" cm="1">
        <f t="array" ref="C398">SUMPRODUCT(LEN(D398:J398))</f>
        <v>0</v>
      </c>
      <c r="D398" s="167"/>
      <c r="E398" s="172"/>
      <c r="F398" s="172"/>
      <c r="G398" s="172"/>
      <c r="H398" s="172"/>
      <c r="I398" s="172"/>
      <c r="J398" s="173"/>
      <c r="K398"/>
      <c r="L398" s="104" t="str">
        <f>IF(OR(Q398&lt;&gt;"",R398&lt;&gt; "",S398&lt;&gt;"",T398&lt;&gt;""),"A", "►")</f>
        <v>►</v>
      </c>
      <c r="M398" s="157" t="str">
        <f>M337</f>
        <v>B BAUDRUCHE DE COPAIN | | Auteur &gt; Guy KRENZE - Eric GODDYN - Arnaud NICOLAS - CEPROC 2002</v>
      </c>
      <c r="N398" s="157">
        <f>N337</f>
        <v>9.0500000000000007</v>
      </c>
      <c r="O398" s="158" t="str">
        <f>O337</f>
        <v>Kg</v>
      </c>
      <c r="P398" s="159" t="str">
        <f>P337</f>
        <v>Recette mère ► le Boudin en 4 déclinaisons</v>
      </c>
      <c r="Q398" s="172"/>
      <c r="R398" s="172"/>
      <c r="S398" s="172"/>
      <c r="T398" s="172"/>
      <c r="U398" s="172"/>
      <c r="V398" s="172"/>
      <c r="W398" s="172"/>
      <c r="X398" s="172"/>
      <c r="Y398" s="172"/>
      <c r="Z398" s="555"/>
      <c r="AA398" s="5086"/>
      <c r="AB398" s="104" t="str">
        <f>IF(OR(AG398&lt;&gt;"",AH398&lt;&gt; "",AI398&lt;&gt;"",AJ398&lt;&gt;""),"A", "►")</f>
        <v>►</v>
      </c>
      <c r="AC398" s="157" t="str">
        <f>AC337</f>
        <v>B BAUDRUCHE DE COPAIN | |  Author &gt; Guy KRENZE - Eric GODDYN - Arnaud NICOLAS - CEPROC 2002</v>
      </c>
      <c r="AD398" s="157">
        <f>AD337</f>
        <v>9.0500000000000007</v>
      </c>
      <c r="AE398" s="158" t="str">
        <f>AE337</f>
        <v>Kg</v>
      </c>
      <c r="AF398" s="159" t="str">
        <f>AF337</f>
        <v>Master recipe ► Black pudding in 4 variations</v>
      </c>
      <c r="AG398" s="172"/>
      <c r="AH398" s="172"/>
      <c r="AI398" s="172"/>
      <c r="AJ398" s="172"/>
      <c r="AK398" s="172"/>
      <c r="AL398" s="172"/>
      <c r="AM398" s="172"/>
      <c r="AN398" s="172"/>
      <c r="AO398" s="172"/>
      <c r="AP398" s="555"/>
      <c r="AQ398" s="5086"/>
      <c r="AR398" s="104" t="str">
        <f>IF(OR(AW398&lt;&gt;"",AX398&lt;&gt; "",AY398&lt;&gt;"",AZ398&lt;&gt;""),"A", "►")</f>
        <v>►</v>
      </c>
      <c r="AS398" s="157" t="str">
        <f>AS337</f>
        <v>B BAUDRUCHE DE COPAIN | | Autor &gt; Guy KRENZE - Eric GODDYN - Arnaud NICOLAS - CEPROC 2002</v>
      </c>
      <c r="AT398" s="157">
        <f>AT337</f>
        <v>9.0500000000000007</v>
      </c>
      <c r="AU398" s="158" t="str">
        <f>AU337</f>
        <v>Kg</v>
      </c>
      <c r="AV398" s="159" t="str">
        <f>AV337</f>
        <v>Receta madre ► Morcilla en 4 versiones</v>
      </c>
      <c r="AW398" s="172"/>
      <c r="AX398" s="172"/>
      <c r="AY398" s="172"/>
      <c r="AZ398" s="172"/>
      <c r="BA398" s="172"/>
      <c r="BB398" s="172"/>
      <c r="BC398" s="172"/>
      <c r="BD398" s="172"/>
      <c r="BE398" s="172"/>
      <c r="BF398" s="555"/>
      <c r="BG398" s="5086"/>
      <c r="BH398" s="104"/>
      <c r="BI398" s="32"/>
      <c r="BJ398" s="33"/>
      <c r="BK398" s="32"/>
      <c r="BL398" s="34"/>
      <c r="BM398" s="92"/>
      <c r="BN398" s="108"/>
      <c r="BO398" s="94"/>
      <c r="BP398" s="95"/>
      <c r="BQ398" s="105"/>
      <c r="BR398" s="5101"/>
      <c r="BS398" s="920"/>
      <c r="BT398" s="1495"/>
      <c r="BU398" s="101"/>
      <c r="BV398" s="1475"/>
      <c r="BW398" s="5086"/>
      <c r="BX398" s="104"/>
      <c r="BY398" s="32"/>
      <c r="BZ398" s="33"/>
      <c r="CA398" s="32"/>
      <c r="CB398" s="34"/>
      <c r="CC398" s="92"/>
      <c r="CD398" s="108"/>
      <c r="CE398" s="94"/>
      <c r="CF398" s="95"/>
      <c r="CG398" s="105"/>
      <c r="CH398" s="5101"/>
      <c r="CI398" s="920"/>
      <c r="CJ398" s="1495"/>
      <c r="CK398" s="101"/>
      <c r="CL398" s="1475"/>
      <c r="CM398" s="5086"/>
      <c r="CN398" s="104"/>
      <c r="CO398" s="32"/>
      <c r="CP398" s="33"/>
      <c r="CQ398" s="32"/>
      <c r="CR398" s="34"/>
      <c r="CS398" s="92"/>
      <c r="CT398" s="108"/>
      <c r="CU398" s="94"/>
      <c r="CV398" s="95"/>
      <c r="CW398" s="105"/>
      <c r="CX398" s="5101"/>
      <c r="CY398" s="920"/>
      <c r="CZ398" s="1495"/>
      <c r="DA398" s="101"/>
      <c r="DB398" s="1475"/>
      <c r="DC398" s="5109"/>
      <c r="DD398" s="5086"/>
      <c r="DF398" s="3">
        <v>1</v>
      </c>
      <c r="EY398" s="172"/>
      <c r="EZ398" s="172"/>
      <c r="FA398" s="172"/>
      <c r="FB398" s="172"/>
      <c r="FC398" s="555"/>
    </row>
    <row r="399" spans="2:159" ht="18.75">
      <c r="B399" s="952" t="str">
        <f t="shared" si="75"/>
        <v>►</v>
      </c>
      <c r="C399" s="993" cm="1">
        <f t="array" ref="C399">SUMPRODUCT(LEN(D399:J399))</f>
        <v>0</v>
      </c>
      <c r="D399" s="167"/>
      <c r="E399" s="172"/>
      <c r="F399" s="172"/>
      <c r="G399" s="172"/>
      <c r="H399" s="172"/>
      <c r="I399" s="172"/>
      <c r="J399" s="173"/>
      <c r="K399"/>
      <c r="L399" s="104" t="str">
        <f>IF(OR(Q399&lt;&gt;"",R399&lt;&gt; "",S399&lt;&gt;"",T399&lt;&gt;""),"A", "►")</f>
        <v>►</v>
      </c>
      <c r="M399" s="157" t="str">
        <f>M337</f>
        <v>B BAUDRUCHE DE COPAIN | | Auteur &gt; Guy KRENZE - Eric GODDYN - Arnaud NICOLAS - CEPROC 2002</v>
      </c>
      <c r="N399" s="157">
        <f>N337</f>
        <v>9.0500000000000007</v>
      </c>
      <c r="O399" s="158" t="str">
        <f>O337</f>
        <v>Kg</v>
      </c>
      <c r="P399" s="159" t="str">
        <f>P337</f>
        <v>Recette mère ► le Boudin en 4 déclinaisons</v>
      </c>
      <c r="Q399" s="172"/>
      <c r="R399" s="172"/>
      <c r="S399" s="172"/>
      <c r="T399" s="172"/>
      <c r="U399" s="172"/>
      <c r="V399" s="172"/>
      <c r="W399" s="172"/>
      <c r="X399" s="172"/>
      <c r="Y399" s="172"/>
      <c r="Z399" s="555"/>
      <c r="AA399" s="5086"/>
      <c r="AB399" s="104" t="str">
        <f>IF(OR(AG399&lt;&gt;"",AH399&lt;&gt; "",AI399&lt;&gt;"",AJ399&lt;&gt;""),"A", "►")</f>
        <v>►</v>
      </c>
      <c r="AC399" s="157" t="str">
        <f>AC337</f>
        <v>B BAUDRUCHE DE COPAIN | |  Author &gt; Guy KRENZE - Eric GODDYN - Arnaud NICOLAS - CEPROC 2002</v>
      </c>
      <c r="AD399" s="157">
        <f>AD337</f>
        <v>9.0500000000000007</v>
      </c>
      <c r="AE399" s="158" t="str">
        <f>AE337</f>
        <v>Kg</v>
      </c>
      <c r="AF399" s="159" t="str">
        <f>AF337</f>
        <v>Master recipe ► Black pudding in 4 variations</v>
      </c>
      <c r="AG399" s="172"/>
      <c r="AH399" s="172"/>
      <c r="AI399" s="172"/>
      <c r="AJ399" s="172"/>
      <c r="AK399" s="172"/>
      <c r="AL399" s="172"/>
      <c r="AM399" s="172"/>
      <c r="AN399" s="172"/>
      <c r="AO399" s="172"/>
      <c r="AP399" s="555"/>
      <c r="AQ399" s="5086"/>
      <c r="AR399" s="104" t="str">
        <f>IF(OR(AW399&lt;&gt;"",AX399&lt;&gt; "",AY399&lt;&gt;"",AZ399&lt;&gt;""),"A", "►")</f>
        <v>►</v>
      </c>
      <c r="AS399" s="157" t="str">
        <f>AS337</f>
        <v>B BAUDRUCHE DE COPAIN | | Autor &gt; Guy KRENZE - Eric GODDYN - Arnaud NICOLAS - CEPROC 2002</v>
      </c>
      <c r="AT399" s="157">
        <f>AT337</f>
        <v>9.0500000000000007</v>
      </c>
      <c r="AU399" s="158" t="str">
        <f>AU337</f>
        <v>Kg</v>
      </c>
      <c r="AV399" s="159" t="str">
        <f>AV337</f>
        <v>Receta madre ► Morcilla en 4 versiones</v>
      </c>
      <c r="AW399" s="172"/>
      <c r="AX399" s="172"/>
      <c r="AY399" s="172"/>
      <c r="AZ399" s="172"/>
      <c r="BA399" s="172"/>
      <c r="BB399" s="172"/>
      <c r="BC399" s="172"/>
      <c r="BD399" s="172"/>
      <c r="BE399" s="172"/>
      <c r="BF399" s="555"/>
      <c r="BG399" s="5086"/>
      <c r="BH399" s="104"/>
      <c r="BI399" s="32"/>
      <c r="BJ399" s="33"/>
      <c r="BK399" s="32"/>
      <c r="BL399" s="34"/>
      <c r="BM399" s="92"/>
      <c r="BN399" s="108"/>
      <c r="BO399" s="94"/>
      <c r="BP399" s="95"/>
      <c r="BQ399" s="105"/>
      <c r="BR399" s="5101"/>
      <c r="BS399" s="920"/>
      <c r="BT399" s="1495"/>
      <c r="BU399" s="101"/>
      <c r="BV399" s="1475"/>
      <c r="BW399" s="5086"/>
      <c r="BX399" s="104"/>
      <c r="BY399" s="32"/>
      <c r="BZ399" s="33"/>
      <c r="CA399" s="32"/>
      <c r="CB399" s="34"/>
      <c r="CC399" s="92"/>
      <c r="CD399" s="108"/>
      <c r="CE399" s="94"/>
      <c r="CF399" s="95"/>
      <c r="CG399" s="105"/>
      <c r="CH399" s="5101"/>
      <c r="CI399" s="920"/>
      <c r="CJ399" s="1495"/>
      <c r="CK399" s="101"/>
      <c r="CL399" s="1475"/>
      <c r="CM399" s="5086"/>
      <c r="CN399" s="104"/>
      <c r="CO399" s="32"/>
      <c r="CP399" s="33"/>
      <c r="CQ399" s="32"/>
      <c r="CR399" s="34"/>
      <c r="CS399" s="92"/>
      <c r="CT399" s="108"/>
      <c r="CU399" s="94"/>
      <c r="CV399" s="95"/>
      <c r="CW399" s="105"/>
      <c r="CX399" s="5101"/>
      <c r="CY399" s="920"/>
      <c r="CZ399" s="1495"/>
      <c r="DA399" s="101"/>
      <c r="DB399" s="1475"/>
      <c r="DC399" s="5109"/>
      <c r="DD399" s="5086"/>
      <c r="DF399" s="3">
        <v>1</v>
      </c>
      <c r="EY399" s="172"/>
      <c r="EZ399" s="172"/>
      <c r="FA399" s="172"/>
      <c r="FB399" s="172"/>
      <c r="FC399" s="555"/>
    </row>
    <row r="400" spans="2:159" ht="18.75">
      <c r="B400" s="952" t="str">
        <f t="shared" si="75"/>
        <v>►</v>
      </c>
      <c r="C400" s="993" cm="1">
        <f t="array" ref="C400">SUMPRODUCT(LEN(D400:J400))</f>
        <v>0</v>
      </c>
      <c r="D400" s="167"/>
      <c r="E400" s="172"/>
      <c r="F400" s="172"/>
      <c r="G400" s="172"/>
      <c r="H400" s="172"/>
      <c r="I400" s="172"/>
      <c r="J400" s="173"/>
      <c r="K400"/>
      <c r="L400" s="196" t="s">
        <v>16</v>
      </c>
      <c r="M400" s="157" t="str">
        <f>M337</f>
        <v>B BAUDRUCHE DE COPAIN | | Auteur &gt; Guy KRENZE - Eric GODDYN - Arnaud NICOLAS - CEPROC 2002</v>
      </c>
      <c r="N400" s="157">
        <f>N337</f>
        <v>9.0500000000000007</v>
      </c>
      <c r="O400" s="158" t="str">
        <f>O337</f>
        <v>Kg</v>
      </c>
      <c r="P400" s="159" t="str">
        <f>P337</f>
        <v>Recette mère ► le Boudin en 4 déclinaisons</v>
      </c>
      <c r="Q400" s="172"/>
      <c r="R400" s="172"/>
      <c r="S400" s="172"/>
      <c r="T400" s="172"/>
      <c r="U400" s="172"/>
      <c r="V400" s="172"/>
      <c r="W400" s="172"/>
      <c r="X400" s="172"/>
      <c r="Y400" s="172"/>
      <c r="Z400" s="555"/>
      <c r="AA400" s="5086"/>
      <c r="AB400" s="196" t="s">
        <v>16</v>
      </c>
      <c r="AC400" s="157" t="str">
        <f>AC337</f>
        <v>B BAUDRUCHE DE COPAIN | |  Author &gt; Guy KRENZE - Eric GODDYN - Arnaud NICOLAS - CEPROC 2002</v>
      </c>
      <c r="AD400" s="157">
        <f>AD337</f>
        <v>9.0500000000000007</v>
      </c>
      <c r="AE400" s="158" t="str">
        <f>AE337</f>
        <v>Kg</v>
      </c>
      <c r="AF400" s="159" t="str">
        <f>AF337</f>
        <v>Master recipe ► Black pudding in 4 variations</v>
      </c>
      <c r="AG400" s="172"/>
      <c r="AH400" s="172"/>
      <c r="AI400" s="172"/>
      <c r="AJ400" s="172"/>
      <c r="AK400" s="172"/>
      <c r="AL400" s="172"/>
      <c r="AM400" s="172"/>
      <c r="AN400" s="172"/>
      <c r="AO400" s="172"/>
      <c r="AP400" s="555"/>
      <c r="AQ400" s="5086"/>
      <c r="AR400" s="196" t="s">
        <v>16</v>
      </c>
      <c r="AS400" s="157" t="str">
        <f>AS337</f>
        <v>B BAUDRUCHE DE COPAIN | | Autor &gt; Guy KRENZE - Eric GODDYN - Arnaud NICOLAS - CEPROC 2002</v>
      </c>
      <c r="AT400" s="157">
        <f>AT337</f>
        <v>9.0500000000000007</v>
      </c>
      <c r="AU400" s="158" t="str">
        <f>AU337</f>
        <v>Kg</v>
      </c>
      <c r="AV400" s="159" t="str">
        <f>AV337</f>
        <v>Receta madre ► Morcilla en 4 versiones</v>
      </c>
      <c r="AW400" s="172"/>
      <c r="AX400" s="172"/>
      <c r="AY400" s="172"/>
      <c r="AZ400" s="172"/>
      <c r="BA400" s="172"/>
      <c r="BB400" s="172"/>
      <c r="BC400" s="172"/>
      <c r="BD400" s="172"/>
      <c r="BE400" s="172"/>
      <c r="BF400" s="555"/>
      <c r="BG400" s="5086"/>
      <c r="BH400" s="104"/>
      <c r="BI400" s="32"/>
      <c r="BJ400" s="33"/>
      <c r="BK400" s="32"/>
      <c r="BL400" s="34"/>
      <c r="BM400" s="92"/>
      <c r="BN400" s="108"/>
      <c r="BO400" s="94"/>
      <c r="BP400" s="95"/>
      <c r="BQ400" s="105"/>
      <c r="BR400" s="5101"/>
      <c r="BS400" s="920"/>
      <c r="BT400" s="1495"/>
      <c r="BU400" s="101"/>
      <c r="BV400" s="1475"/>
      <c r="BW400" s="5086"/>
      <c r="BX400" s="104"/>
      <c r="BY400" s="32"/>
      <c r="BZ400" s="33"/>
      <c r="CA400" s="32"/>
      <c r="CB400" s="34"/>
      <c r="CC400" s="92"/>
      <c r="CD400" s="108"/>
      <c r="CE400" s="94"/>
      <c r="CF400" s="95"/>
      <c r="CG400" s="105"/>
      <c r="CH400" s="5101"/>
      <c r="CI400" s="920"/>
      <c r="CJ400" s="1495"/>
      <c r="CK400" s="101"/>
      <c r="CL400" s="1475"/>
      <c r="CM400" s="5086"/>
      <c r="CN400" s="104"/>
      <c r="CO400" s="32"/>
      <c r="CP400" s="33"/>
      <c r="CQ400" s="32"/>
      <c r="CR400" s="34"/>
      <c r="CS400" s="92"/>
      <c r="CT400" s="108"/>
      <c r="CU400" s="94"/>
      <c r="CV400" s="95"/>
      <c r="CW400" s="105"/>
      <c r="CX400" s="5101"/>
      <c r="CY400" s="920"/>
      <c r="CZ400" s="1495"/>
      <c r="DA400" s="101"/>
      <c r="DB400" s="1475"/>
      <c r="DC400" s="5109"/>
      <c r="DD400" s="5086"/>
      <c r="DF400" s="3">
        <v>1</v>
      </c>
      <c r="EY400" s="172"/>
      <c r="EZ400" s="172"/>
      <c r="FA400" s="172"/>
      <c r="FB400" s="172"/>
      <c r="FC400" s="555"/>
    </row>
    <row r="401" spans="2:159" ht="18.75">
      <c r="B401" s="952" t="str">
        <f t="shared" si="75"/>
        <v>A</v>
      </c>
      <c r="C401" s="993" cm="1">
        <f t="array" ref="C401">SUMPRODUCT(LEN(D401:J401))</f>
        <v>0</v>
      </c>
      <c r="D401" s="167"/>
      <c r="E401" s="172"/>
      <c r="F401" s="172"/>
      <c r="G401" s="172"/>
      <c r="H401" s="172"/>
      <c r="I401" s="172"/>
      <c r="J401" s="173"/>
      <c r="K401"/>
      <c r="L401" s="196" t="s">
        <v>11</v>
      </c>
      <c r="M401" s="157" t="str">
        <f>M337</f>
        <v>B BAUDRUCHE DE COPAIN | | Auteur &gt; Guy KRENZE - Eric GODDYN - Arnaud NICOLAS - CEPROC 2002</v>
      </c>
      <c r="N401" s="157">
        <f>N337</f>
        <v>9.0500000000000007</v>
      </c>
      <c r="O401" s="158" t="str">
        <f>O337</f>
        <v>Kg</v>
      </c>
      <c r="P401" s="159" t="str">
        <f>P337</f>
        <v>Recette mère ► le Boudin en 4 déclinaisons</v>
      </c>
      <c r="Q401" s="172"/>
      <c r="R401" s="172"/>
      <c r="S401" s="172"/>
      <c r="T401" s="172"/>
      <c r="U401" s="172"/>
      <c r="V401" s="172"/>
      <c r="W401" s="172"/>
      <c r="X401" s="172"/>
      <c r="Y401" s="172"/>
      <c r="Z401" s="555"/>
      <c r="AA401" s="5086"/>
      <c r="AB401" s="196" t="s">
        <v>11</v>
      </c>
      <c r="AC401" s="157" t="str">
        <f>AC337</f>
        <v>B BAUDRUCHE DE COPAIN | |  Author &gt; Guy KRENZE - Eric GODDYN - Arnaud NICOLAS - CEPROC 2002</v>
      </c>
      <c r="AD401" s="157">
        <f>AD337</f>
        <v>9.0500000000000007</v>
      </c>
      <c r="AE401" s="158" t="str">
        <f>AE337</f>
        <v>Kg</v>
      </c>
      <c r="AF401" s="159" t="str">
        <f>AF337</f>
        <v>Master recipe ► Black pudding in 4 variations</v>
      </c>
      <c r="AG401" s="172"/>
      <c r="AH401" s="172"/>
      <c r="AI401" s="172"/>
      <c r="AJ401" s="172"/>
      <c r="AK401" s="172"/>
      <c r="AL401" s="172"/>
      <c r="AM401" s="172"/>
      <c r="AN401" s="172"/>
      <c r="AO401" s="172"/>
      <c r="AP401" s="555"/>
      <c r="AQ401" s="5086"/>
      <c r="AR401" s="196" t="s">
        <v>11</v>
      </c>
      <c r="AS401" s="157" t="str">
        <f>AS337</f>
        <v>B BAUDRUCHE DE COPAIN | | Autor &gt; Guy KRENZE - Eric GODDYN - Arnaud NICOLAS - CEPROC 2002</v>
      </c>
      <c r="AT401" s="157">
        <f>AT337</f>
        <v>9.0500000000000007</v>
      </c>
      <c r="AU401" s="158" t="str">
        <f>AU337</f>
        <v>Kg</v>
      </c>
      <c r="AV401" s="159" t="str">
        <f>AV337</f>
        <v>Receta madre ► Morcilla en 4 versiones</v>
      </c>
      <c r="AW401" s="172"/>
      <c r="AX401" s="172"/>
      <c r="AY401" s="172"/>
      <c r="AZ401" s="172"/>
      <c r="BA401" s="172"/>
      <c r="BB401" s="172"/>
      <c r="BC401" s="172"/>
      <c r="BD401" s="172"/>
      <c r="BE401" s="172"/>
      <c r="BF401" s="555"/>
      <c r="BG401" s="5086"/>
      <c r="BH401" s="104"/>
      <c r="BI401" s="32"/>
      <c r="BJ401" s="33"/>
      <c r="BK401" s="32"/>
      <c r="BL401" s="34"/>
      <c r="BM401" s="92"/>
      <c r="BN401" s="108"/>
      <c r="BO401" s="94"/>
      <c r="BP401" s="95"/>
      <c r="BQ401" s="105"/>
      <c r="BR401" s="5101"/>
      <c r="BS401" s="920"/>
      <c r="BT401" s="1495"/>
      <c r="BU401" s="101"/>
      <c r="BV401" s="1475"/>
      <c r="BW401" s="5086"/>
      <c r="BX401" s="104"/>
      <c r="BY401" s="32"/>
      <c r="BZ401" s="33"/>
      <c r="CA401" s="32"/>
      <c r="CB401" s="34"/>
      <c r="CC401" s="92"/>
      <c r="CD401" s="108"/>
      <c r="CE401" s="94"/>
      <c r="CF401" s="95"/>
      <c r="CG401" s="105"/>
      <c r="CH401" s="5101"/>
      <c r="CI401" s="920"/>
      <c r="CJ401" s="1495"/>
      <c r="CK401" s="101"/>
      <c r="CL401" s="1475"/>
      <c r="CM401" s="5086"/>
      <c r="CN401" s="104"/>
      <c r="CO401" s="32"/>
      <c r="CP401" s="33"/>
      <c r="CQ401" s="32"/>
      <c r="CR401" s="34"/>
      <c r="CS401" s="92"/>
      <c r="CT401" s="108"/>
      <c r="CU401" s="94"/>
      <c r="CV401" s="95"/>
      <c r="CW401" s="105"/>
      <c r="CX401" s="5101"/>
      <c r="CY401" s="920"/>
      <c r="CZ401" s="1495"/>
      <c r="DA401" s="101"/>
      <c r="DB401" s="1475"/>
      <c r="DC401" s="5109"/>
      <c r="DD401" s="5086"/>
      <c r="DF401" s="3">
        <v>1</v>
      </c>
      <c r="EY401" s="172"/>
      <c r="EZ401" s="172"/>
      <c r="FA401" s="172"/>
      <c r="FB401" s="172"/>
      <c r="FC401" s="1486" t="s">
        <v>913</v>
      </c>
    </row>
    <row r="402" spans="2:159" ht="18.75">
      <c r="B402" s="952" t="str">
        <f t="shared" si="75"/>
        <v>A</v>
      </c>
      <c r="C402" s="993" cm="1">
        <f t="array" ref="C402">SUMPRODUCT(LEN(D402:J402))</f>
        <v>0</v>
      </c>
      <c r="D402" s="167"/>
      <c r="E402" s="172"/>
      <c r="F402" s="172"/>
      <c r="G402" s="172"/>
      <c r="H402" s="172"/>
      <c r="I402" s="172"/>
      <c r="J402" s="173"/>
      <c r="K402"/>
      <c r="L402" s="196" t="s">
        <v>11</v>
      </c>
      <c r="M402" s="157" t="str">
        <f>M337</f>
        <v>B BAUDRUCHE DE COPAIN | | Auteur &gt; Guy KRENZE - Eric GODDYN - Arnaud NICOLAS - CEPROC 2002</v>
      </c>
      <c r="N402" s="157">
        <f>N337</f>
        <v>9.0500000000000007</v>
      </c>
      <c r="O402" s="158" t="str">
        <f>O337</f>
        <v>Kg</v>
      </c>
      <c r="P402" s="159" t="str">
        <f>P337</f>
        <v>Recette mère ► le Boudin en 4 déclinaisons</v>
      </c>
      <c r="Q402" s="167"/>
      <c r="R402" s="172"/>
      <c r="S402" s="172"/>
      <c r="T402" s="172"/>
      <c r="U402" s="172"/>
      <c r="V402" s="172"/>
      <c r="W402" s="172"/>
      <c r="X402" s="172"/>
      <c r="Y402" s="172"/>
      <c r="Z402" s="1485" t="s">
        <v>197</v>
      </c>
      <c r="AA402" s="5086"/>
      <c r="AB402" s="196" t="s">
        <v>11</v>
      </c>
      <c r="AC402" s="157" t="str">
        <f>AC337</f>
        <v>B BAUDRUCHE DE COPAIN | |  Author &gt; Guy KRENZE - Eric GODDYN - Arnaud NICOLAS - CEPROC 2002</v>
      </c>
      <c r="AD402" s="157">
        <f>AD337</f>
        <v>9.0500000000000007</v>
      </c>
      <c r="AE402" s="158" t="str">
        <f>AE337</f>
        <v>Kg</v>
      </c>
      <c r="AF402" s="159" t="str">
        <f>AF337</f>
        <v>Master recipe ► Black pudding in 4 variations</v>
      </c>
      <c r="AG402" s="167"/>
      <c r="AH402" s="172"/>
      <c r="AI402" s="172"/>
      <c r="AJ402" s="172"/>
      <c r="AK402" s="172"/>
      <c r="AL402" s="172"/>
      <c r="AM402" s="172"/>
      <c r="AN402" s="172"/>
      <c r="AO402" s="172"/>
      <c r="AP402" s="1486" t="s">
        <v>899</v>
      </c>
      <c r="AQ402" s="5086"/>
      <c r="AR402" s="196" t="s">
        <v>11</v>
      </c>
      <c r="AS402" s="157" t="str">
        <f>AS337</f>
        <v>B BAUDRUCHE DE COPAIN | | Autor &gt; Guy KRENZE - Eric GODDYN - Arnaud NICOLAS - CEPROC 2002</v>
      </c>
      <c r="AT402" s="157">
        <f>AT337</f>
        <v>9.0500000000000007</v>
      </c>
      <c r="AU402" s="158" t="str">
        <f>AU337</f>
        <v>Kg</v>
      </c>
      <c r="AV402" s="159" t="str">
        <f>AV337</f>
        <v>Receta madre ► Morcilla en 4 versiones</v>
      </c>
      <c r="AW402" s="167"/>
      <c r="AX402" s="172"/>
      <c r="AY402" s="172"/>
      <c r="AZ402" s="172"/>
      <c r="BA402" s="172"/>
      <c r="BB402" s="172"/>
      <c r="BC402" s="172"/>
      <c r="BD402" s="172"/>
      <c r="BE402" s="172"/>
      <c r="BF402" s="1486" t="s">
        <v>913</v>
      </c>
      <c r="BG402" s="5086"/>
      <c r="BH402" s="104"/>
      <c r="BI402" s="32"/>
      <c r="BJ402" s="33"/>
      <c r="BK402" s="32"/>
      <c r="BL402" s="34"/>
      <c r="BM402" s="92"/>
      <c r="BN402" s="108"/>
      <c r="BO402" s="94"/>
      <c r="BP402" s="95"/>
      <c r="BQ402" s="105"/>
      <c r="BR402" s="5101"/>
      <c r="BS402" s="920"/>
      <c r="BT402" s="1495"/>
      <c r="BU402" s="101"/>
      <c r="BV402" s="1475"/>
      <c r="BW402" s="5086"/>
      <c r="BX402" s="104"/>
      <c r="BY402" s="32"/>
      <c r="BZ402" s="33"/>
      <c r="CA402" s="32"/>
      <c r="CB402" s="34"/>
      <c r="CC402" s="92"/>
      <c r="CD402" s="108"/>
      <c r="CE402" s="94"/>
      <c r="CF402" s="95"/>
      <c r="CG402" s="105"/>
      <c r="CH402" s="5101"/>
      <c r="CI402" s="920"/>
      <c r="CJ402" s="1495"/>
      <c r="CK402" s="101"/>
      <c r="CL402" s="1475"/>
      <c r="CM402" s="5086"/>
      <c r="CN402" s="104"/>
      <c r="CO402" s="32"/>
      <c r="CP402" s="33"/>
      <c r="CQ402" s="32"/>
      <c r="CR402" s="34"/>
      <c r="CS402" s="92"/>
      <c r="CT402" s="108"/>
      <c r="CU402" s="94"/>
      <c r="CV402" s="95"/>
      <c r="CW402" s="105"/>
      <c r="CX402" s="5101"/>
      <c r="CY402" s="920"/>
      <c r="CZ402" s="1495"/>
      <c r="DA402" s="101"/>
      <c r="DB402" s="1475"/>
      <c r="DC402" s="5109"/>
      <c r="DD402" s="5086"/>
      <c r="DF402" s="3">
        <v>1</v>
      </c>
      <c r="EY402" s="206"/>
      <c r="EZ402" s="206"/>
      <c r="FA402" s="206"/>
      <c r="FB402" s="206"/>
      <c r="FC402" s="567"/>
    </row>
    <row r="403" spans="2:159" ht="18.75" customHeight="1">
      <c r="B403" s="952" t="str">
        <f t="shared" si="75"/>
        <v>A</v>
      </c>
      <c r="C403" s="993" cm="1">
        <f t="array" ref="C403">SUMPRODUCT(LEN(D403:J403))</f>
        <v>0</v>
      </c>
      <c r="D403" s="167"/>
      <c r="E403" s="172"/>
      <c r="F403" s="172"/>
      <c r="G403" s="172"/>
      <c r="H403" s="172"/>
      <c r="I403" s="172"/>
      <c r="J403" s="173"/>
      <c r="K403"/>
      <c r="L403" s="196" t="s">
        <v>11</v>
      </c>
      <c r="M403" s="157" t="str">
        <f>M337</f>
        <v>B BAUDRUCHE DE COPAIN | | Auteur &gt; Guy KRENZE - Eric GODDYN - Arnaud NICOLAS - CEPROC 2002</v>
      </c>
      <c r="N403" s="157">
        <f>N337</f>
        <v>9.0500000000000007</v>
      </c>
      <c r="O403" s="158" t="str">
        <f>O337</f>
        <v>Kg</v>
      </c>
      <c r="P403" s="159" t="str">
        <f>P337</f>
        <v>Recette mère ► le Boudin en 4 déclinaisons</v>
      </c>
      <c r="Q403" s="204"/>
      <c r="R403" s="204"/>
      <c r="S403" s="204" t="s">
        <v>201</v>
      </c>
      <c r="T403" s="205"/>
      <c r="U403" s="206"/>
      <c r="V403" s="206"/>
      <c r="W403" s="206"/>
      <c r="X403" s="206"/>
      <c r="Y403" s="206"/>
      <c r="Z403" s="567"/>
      <c r="AA403" s="5086"/>
      <c r="AB403" s="196" t="s">
        <v>11</v>
      </c>
      <c r="AC403" s="157" t="str">
        <f>AC337</f>
        <v>B BAUDRUCHE DE COPAIN | |  Author &gt; Guy KRENZE - Eric GODDYN - Arnaud NICOLAS - CEPROC 2002</v>
      </c>
      <c r="AD403" s="157">
        <f>AD337</f>
        <v>9.0500000000000007</v>
      </c>
      <c r="AE403" s="158" t="str">
        <f>AE337</f>
        <v>Kg</v>
      </c>
      <c r="AF403" s="159" t="str">
        <f>AF337</f>
        <v>Master recipe ► Black pudding in 4 variations</v>
      </c>
      <c r="AG403" s="204"/>
      <c r="AH403" s="204"/>
      <c r="AI403" s="204" t="s">
        <v>661</v>
      </c>
      <c r="AJ403" s="205"/>
      <c r="AK403" s="206"/>
      <c r="AL403" s="206"/>
      <c r="AM403" s="206"/>
      <c r="AN403" s="206"/>
      <c r="AO403" s="206"/>
      <c r="AP403" s="567"/>
      <c r="AQ403" s="5086"/>
      <c r="AR403" s="196" t="s">
        <v>11</v>
      </c>
      <c r="AS403" s="157" t="str">
        <f>AS337</f>
        <v>B BAUDRUCHE DE COPAIN | | Autor &gt; Guy KRENZE - Eric GODDYN - Arnaud NICOLAS - CEPROC 2002</v>
      </c>
      <c r="AT403" s="157">
        <f>AT337</f>
        <v>9.0500000000000007</v>
      </c>
      <c r="AU403" s="158" t="str">
        <f>AU337</f>
        <v>Kg</v>
      </c>
      <c r="AV403" s="159" t="str">
        <f>AV337</f>
        <v>Receta madre ► Morcilla en 4 versiones</v>
      </c>
      <c r="AW403" s="204"/>
      <c r="AX403" s="204"/>
      <c r="AY403" s="204" t="s">
        <v>915</v>
      </c>
      <c r="AZ403" s="205"/>
      <c r="BA403" s="206"/>
      <c r="BB403" s="206"/>
      <c r="BC403" s="206"/>
      <c r="BD403" s="206"/>
      <c r="BE403" s="206"/>
      <c r="BF403" s="567"/>
      <c r="BG403" s="5086"/>
      <c r="BH403" s="104"/>
      <c r="BI403" s="32"/>
      <c r="BJ403" s="33"/>
      <c r="BK403" s="32"/>
      <c r="BL403" s="34"/>
      <c r="BM403" s="92"/>
      <c r="BN403" s="108"/>
      <c r="BO403" s="94"/>
      <c r="BP403" s="95"/>
      <c r="BQ403" s="105"/>
      <c r="BR403" s="5101"/>
      <c r="BS403" s="920"/>
      <c r="BT403" s="1495"/>
      <c r="BU403" s="101"/>
      <c r="BV403" s="1475"/>
      <c r="BW403" s="5086"/>
      <c r="BX403" s="104"/>
      <c r="BY403" s="32"/>
      <c r="BZ403" s="33"/>
      <c r="CA403" s="32"/>
      <c r="CB403" s="34"/>
      <c r="CC403" s="92"/>
      <c r="CD403" s="108"/>
      <c r="CE403" s="94"/>
      <c r="CF403" s="95"/>
      <c r="CG403" s="105"/>
      <c r="CH403" s="5101"/>
      <c r="CI403" s="920"/>
      <c r="CJ403" s="1495"/>
      <c r="CK403" s="101"/>
      <c r="CL403" s="1475"/>
      <c r="CM403" s="5086"/>
      <c r="CN403" s="104"/>
      <c r="CO403" s="32"/>
      <c r="CP403" s="33"/>
      <c r="CQ403" s="32"/>
      <c r="CR403" s="34"/>
      <c r="CS403" s="92"/>
      <c r="CT403" s="108"/>
      <c r="CU403" s="94"/>
      <c r="CV403" s="95"/>
      <c r="CW403" s="105"/>
      <c r="CX403" s="5101"/>
      <c r="CY403" s="920"/>
      <c r="CZ403" s="1495"/>
      <c r="DA403" s="101"/>
      <c r="DB403" s="1475"/>
      <c r="DC403" s="5109"/>
      <c r="DD403" s="5086"/>
      <c r="DF403" s="3">
        <v>1</v>
      </c>
      <c r="EY403" s="214"/>
      <c r="EZ403" s="214"/>
      <c r="FA403" s="214"/>
      <c r="FB403" s="214"/>
      <c r="FC403" s="582"/>
    </row>
    <row r="404" spans="2:159" ht="19.5" thickBot="1">
      <c r="B404" s="952" t="str">
        <f t="shared" si="75"/>
        <v>A</v>
      </c>
      <c r="C404" s="993" cm="1">
        <f t="array" ref="C404">SUMPRODUCT(LEN(D404:J404))</f>
        <v>0</v>
      </c>
      <c r="D404" s="167"/>
      <c r="E404" s="172"/>
      <c r="F404" s="172"/>
      <c r="G404" s="172"/>
      <c r="H404" s="172"/>
      <c r="I404" s="172"/>
      <c r="J404" s="173"/>
      <c r="K404"/>
      <c r="L404" s="196" t="s">
        <v>11</v>
      </c>
      <c r="M404" s="209" t="str">
        <f>M337</f>
        <v>B BAUDRUCHE DE COPAIN | | Auteur &gt; Guy KRENZE - Eric GODDYN - Arnaud NICOLAS - CEPROC 2002</v>
      </c>
      <c r="N404" s="209">
        <f>N337</f>
        <v>9.0500000000000007</v>
      </c>
      <c r="O404" s="210" t="str">
        <f>O337</f>
        <v>Kg</v>
      </c>
      <c r="P404" s="211" t="str">
        <f>P337</f>
        <v>Recette mère ► le Boudin en 4 déclinaisons</v>
      </c>
      <c r="Q404" s="212"/>
      <c r="R404" s="213"/>
      <c r="S404" s="214"/>
      <c r="T404" s="215"/>
      <c r="U404" s="214"/>
      <c r="V404" s="214"/>
      <c r="W404" s="214"/>
      <c r="X404" s="214"/>
      <c r="Y404" s="214"/>
      <c r="Z404" s="582"/>
      <c r="AA404" s="5086"/>
      <c r="AB404" s="196" t="s">
        <v>11</v>
      </c>
      <c r="AC404" s="209" t="str">
        <f>AC337</f>
        <v>B BAUDRUCHE DE COPAIN | |  Author &gt; Guy KRENZE - Eric GODDYN - Arnaud NICOLAS - CEPROC 2002</v>
      </c>
      <c r="AD404" s="209">
        <f>AD337</f>
        <v>9.0500000000000007</v>
      </c>
      <c r="AE404" s="210" t="str">
        <f>AE337</f>
        <v>Kg</v>
      </c>
      <c r="AF404" s="211" t="str">
        <f>AF337</f>
        <v>Master recipe ► Black pudding in 4 variations</v>
      </c>
      <c r="AG404" s="212"/>
      <c r="AH404" s="213"/>
      <c r="AI404" s="214"/>
      <c r="AJ404" s="215"/>
      <c r="AK404" s="214"/>
      <c r="AL404" s="214"/>
      <c r="AM404" s="214"/>
      <c r="AN404" s="214"/>
      <c r="AO404" s="214"/>
      <c r="AP404" s="582"/>
      <c r="AQ404" s="5086"/>
      <c r="AR404" s="196" t="s">
        <v>11</v>
      </c>
      <c r="AS404" s="209" t="str">
        <f>AS337</f>
        <v>B BAUDRUCHE DE COPAIN | | Autor &gt; Guy KRENZE - Eric GODDYN - Arnaud NICOLAS - CEPROC 2002</v>
      </c>
      <c r="AT404" s="209">
        <f>AT337</f>
        <v>9.0500000000000007</v>
      </c>
      <c r="AU404" s="210" t="str">
        <f>AU337</f>
        <v>Kg</v>
      </c>
      <c r="AV404" s="211" t="str">
        <f>AV337</f>
        <v>Receta madre ► Morcilla en 4 versiones</v>
      </c>
      <c r="AW404" s="212"/>
      <c r="AX404" s="213"/>
      <c r="AY404" s="214"/>
      <c r="AZ404" s="215"/>
      <c r="BA404" s="214"/>
      <c r="BB404" s="214"/>
      <c r="BC404" s="214"/>
      <c r="BD404" s="214"/>
      <c r="BE404" s="214"/>
      <c r="BF404" s="582"/>
      <c r="BG404" s="5086"/>
      <c r="BH404" s="104"/>
      <c r="BI404" s="32"/>
      <c r="BJ404" s="33"/>
      <c r="BK404" s="32"/>
      <c r="BL404" s="34"/>
      <c r="BM404" s="92"/>
      <c r="BN404" s="108"/>
      <c r="BO404" s="94"/>
      <c r="BP404" s="95"/>
      <c r="BQ404" s="105"/>
      <c r="BR404" s="5101"/>
      <c r="BS404" s="920"/>
      <c r="BT404" s="1495"/>
      <c r="BU404" s="101"/>
      <c r="BV404" s="1475"/>
      <c r="BW404" s="5086"/>
      <c r="BX404" s="104"/>
      <c r="BY404" s="32"/>
      <c r="BZ404" s="33"/>
      <c r="CA404" s="32"/>
      <c r="CB404" s="34"/>
      <c r="CC404" s="92"/>
      <c r="CD404" s="108"/>
      <c r="CE404" s="94"/>
      <c r="CF404" s="95"/>
      <c r="CG404" s="105"/>
      <c r="CH404" s="5101"/>
      <c r="CI404" s="920"/>
      <c r="CJ404" s="1495"/>
      <c r="CK404" s="101"/>
      <c r="CL404" s="1475"/>
      <c r="CM404" s="5086"/>
      <c r="CN404" s="104"/>
      <c r="CO404" s="32"/>
      <c r="CP404" s="33"/>
      <c r="CQ404" s="32"/>
      <c r="CR404" s="34"/>
      <c r="CS404" s="92"/>
      <c r="CT404" s="108"/>
      <c r="CU404" s="94"/>
      <c r="CV404" s="95"/>
      <c r="CW404" s="105"/>
      <c r="CX404" s="5101"/>
      <c r="CY404" s="920"/>
      <c r="CZ404" s="1495"/>
      <c r="DA404" s="101"/>
      <c r="DB404" s="1475"/>
      <c r="DC404" s="5109"/>
      <c r="DD404" s="5086"/>
      <c r="DF404" s="3">
        <v>1</v>
      </c>
      <c r="EY404" s="220"/>
      <c r="EZ404" s="220"/>
      <c r="FA404" s="220"/>
      <c r="FB404" s="220"/>
      <c r="FC404" s="221"/>
    </row>
    <row r="405" spans="2:159" ht="19.5" thickBot="1">
      <c r="B405" s="952" t="str">
        <f t="shared" si="75"/>
        <v>A</v>
      </c>
      <c r="C405" s="993" cm="1">
        <f t="array" ref="C405">SUMPRODUCT(LEN(D405:J405))</f>
        <v>0</v>
      </c>
      <c r="D405" s="167"/>
      <c r="E405" s="172"/>
      <c r="F405" s="172"/>
      <c r="G405" s="172"/>
      <c r="H405" s="172"/>
      <c r="I405" s="172"/>
      <c r="J405" s="173"/>
      <c r="K405"/>
      <c r="L405" s="216" t="s">
        <v>11</v>
      </c>
      <c r="M405" s="217"/>
      <c r="N405" s="217"/>
      <c r="O405" s="217"/>
      <c r="P405" s="218"/>
      <c r="Q405" s="219" t="s">
        <v>208</v>
      </c>
      <c r="R405" s="1481" t="str">
        <f ca="1">CELL("nomfichier")</f>
        <v>D:\Données\1.UPRT\0-UPRT.fait\1-UPRT.FR-SITE-WEB\ff-fiches-fabrications\ff.fiches.fabrication.2023\ffr.restaurant.2023\[ff.FICHE.TRILINGUE.15.COLONNES.29.11.2025.xlsx]Notice.utilisateur</v>
      </c>
      <c r="S405" s="220"/>
      <c r="T405" s="220"/>
      <c r="U405" s="220"/>
      <c r="V405" s="220"/>
      <c r="W405" s="220"/>
      <c r="X405" s="220"/>
      <c r="Y405" s="220"/>
      <c r="Z405" s="221"/>
      <c r="AA405" s="5086"/>
      <c r="AB405" s="216" t="s">
        <v>11</v>
      </c>
      <c r="AC405" s="217"/>
      <c r="AD405" s="217"/>
      <c r="AE405" s="217"/>
      <c r="AF405" s="218"/>
      <c r="AG405" s="219" t="s">
        <v>208</v>
      </c>
      <c r="AH405" s="1481" t="str">
        <f ca="1">CELL("nomfichier")</f>
        <v>D:\Données\1.UPRT\0-UPRT.fait\1-UPRT.FR-SITE-WEB\ff-fiches-fabrications\ff.fiches.fabrication.2023\ffr.restaurant.2023\[ff.FICHE.TRILINGUE.15.COLONNES.29.11.2025.xlsx]Notice.utilisateur</v>
      </c>
      <c r="AI405" s="220"/>
      <c r="AJ405" s="220"/>
      <c r="AK405" s="220"/>
      <c r="AL405" s="220"/>
      <c r="AM405" s="220"/>
      <c r="AN405" s="220"/>
      <c r="AO405" s="220"/>
      <c r="AP405" s="221"/>
      <c r="AQ405" s="5086"/>
      <c r="AR405" s="216" t="s">
        <v>11</v>
      </c>
      <c r="AS405" s="217"/>
      <c r="AT405" s="217"/>
      <c r="AU405" s="217"/>
      <c r="AV405" s="218"/>
      <c r="AW405" s="219" t="s">
        <v>208</v>
      </c>
      <c r="AX405" s="1481" t="str">
        <f ca="1">CELL("nomfichier")</f>
        <v>D:\Données\1.UPRT\0-UPRT.fait\1-UPRT.FR-SITE-WEB\ff-fiches-fabrications\ff.fiches.fabrication.2023\ffr.restaurant.2023\[ff.FICHE.TRILINGUE.15.COLONNES.29.11.2025.xlsx]Notice.utilisateur</v>
      </c>
      <c r="AY405" s="220"/>
      <c r="AZ405" s="220"/>
      <c r="BA405" s="220"/>
      <c r="BB405" s="220"/>
      <c r="BC405" s="220"/>
      <c r="BD405" s="220"/>
      <c r="BE405" s="220"/>
      <c r="BF405" s="221"/>
      <c r="BG405" s="5086"/>
      <c r="BH405" s="104"/>
      <c r="BI405" s="32"/>
      <c r="BJ405" s="33"/>
      <c r="BK405" s="32"/>
      <c r="BL405" s="34"/>
      <c r="BM405" s="92"/>
      <c r="BN405" s="108"/>
      <c r="BO405" s="94"/>
      <c r="BP405" s="95"/>
      <c r="BQ405" s="105"/>
      <c r="BR405" s="5101"/>
      <c r="BS405" s="920"/>
      <c r="BT405" s="1495"/>
      <c r="BU405" s="101"/>
      <c r="BV405" s="1475"/>
      <c r="BW405" s="5086"/>
      <c r="BX405" s="104"/>
      <c r="BY405" s="32"/>
      <c r="BZ405" s="33"/>
      <c r="CA405" s="32"/>
      <c r="CB405" s="34"/>
      <c r="CC405" s="92"/>
      <c r="CD405" s="108"/>
      <c r="CE405" s="94"/>
      <c r="CF405" s="95"/>
      <c r="CG405" s="105"/>
      <c r="CH405" s="5101"/>
      <c r="CI405" s="920"/>
      <c r="CJ405" s="1495"/>
      <c r="CK405" s="101"/>
      <c r="CL405" s="1475"/>
      <c r="CM405" s="5086"/>
      <c r="CN405" s="104"/>
      <c r="CO405" s="32"/>
      <c r="CP405" s="33"/>
      <c r="CQ405" s="32"/>
      <c r="CR405" s="34"/>
      <c r="CS405" s="92"/>
      <c r="CT405" s="108"/>
      <c r="CU405" s="94"/>
      <c r="CV405" s="95"/>
      <c r="CW405" s="105"/>
      <c r="CX405" s="5101"/>
      <c r="CY405" s="920"/>
      <c r="CZ405" s="1495"/>
      <c r="DA405" s="101"/>
      <c r="DB405" s="1475"/>
      <c r="DC405" s="5109"/>
      <c r="DD405" s="5086"/>
      <c r="DF405" s="3">
        <v>1</v>
      </c>
    </row>
    <row r="406" spans="2:159" ht="19.5" thickBot="1">
      <c r="B406" s="952" t="str">
        <f t="shared" si="75"/>
        <v>A</v>
      </c>
      <c r="C406" s="993" cm="1">
        <f t="array" ref="C406">SUMPRODUCT(LEN(D406:J406))</f>
        <v>0</v>
      </c>
      <c r="D406" s="167"/>
      <c r="E406" s="172"/>
      <c r="F406" s="172"/>
      <c r="G406" s="172"/>
      <c r="H406" s="172"/>
      <c r="I406" s="172"/>
      <c r="J406" s="173"/>
      <c r="K406"/>
      <c r="L406" s="5215" t="s">
        <v>11</v>
      </c>
      <c r="M406" s="5216" t="s">
        <v>11</v>
      </c>
      <c r="N406" s="5216" t="s">
        <v>11</v>
      </c>
      <c r="O406" s="5216" t="s">
        <v>11</v>
      </c>
      <c r="P406" s="5216" t="s">
        <v>11</v>
      </c>
      <c r="Q406" s="5217" t="s">
        <v>2613</v>
      </c>
      <c r="R406" s="5218"/>
      <c r="S406" s="5219"/>
      <c r="T406" s="5220"/>
      <c r="U406" s="5221"/>
      <c r="V406" s="5222"/>
      <c r="W406" s="5220"/>
      <c r="X406" s="5220"/>
      <c r="Y406" s="5220"/>
      <c r="Z406" s="5223" t="s">
        <v>1948</v>
      </c>
      <c r="AA406" s="5086"/>
      <c r="AB406" s="5215" t="s">
        <v>11</v>
      </c>
      <c r="AC406" s="5216" t="s">
        <v>11</v>
      </c>
      <c r="AD406" s="5216" t="s">
        <v>11</v>
      </c>
      <c r="AE406" s="5216" t="s">
        <v>11</v>
      </c>
      <c r="AF406" s="5216" t="s">
        <v>11</v>
      </c>
      <c r="AG406" s="5217" t="s">
        <v>2613</v>
      </c>
      <c r="AH406" s="5218"/>
      <c r="AI406" s="5219"/>
      <c r="AJ406" s="5220"/>
      <c r="AK406" s="5221"/>
      <c r="AL406" s="5222"/>
      <c r="AM406" s="5220"/>
      <c r="AN406" s="5220"/>
      <c r="AO406" s="5220"/>
      <c r="AP406" s="5223" t="s">
        <v>1948</v>
      </c>
      <c r="AQ406" s="5086"/>
      <c r="AR406" s="5215" t="s">
        <v>11</v>
      </c>
      <c r="AS406" s="5216" t="s">
        <v>11</v>
      </c>
      <c r="AT406" s="5216" t="s">
        <v>11</v>
      </c>
      <c r="AU406" s="5216" t="s">
        <v>11</v>
      </c>
      <c r="AV406" s="5216" t="s">
        <v>11</v>
      </c>
      <c r="AW406" s="5217" t="s">
        <v>2613</v>
      </c>
      <c r="AX406" s="5218"/>
      <c r="AY406" s="5219"/>
      <c r="AZ406" s="5220"/>
      <c r="BA406" s="5221"/>
      <c r="BB406" s="5222"/>
      <c r="BC406" s="5220"/>
      <c r="BD406" s="5220"/>
      <c r="BE406" s="5220"/>
      <c r="BF406" s="5223" t="s">
        <v>1948</v>
      </c>
      <c r="BG406" s="5086"/>
      <c r="BH406" s="104"/>
      <c r="BI406" s="32"/>
      <c r="BJ406" s="33"/>
      <c r="BK406" s="32"/>
      <c r="BL406" s="34"/>
      <c r="BM406" s="92"/>
      <c r="BN406" s="108"/>
      <c r="BO406" s="94"/>
      <c r="BP406" s="95"/>
      <c r="BQ406" s="105"/>
      <c r="BR406" s="5101"/>
      <c r="BS406" s="920"/>
      <c r="BT406" s="1495"/>
      <c r="BU406" s="101"/>
      <c r="BV406" s="1475"/>
      <c r="BW406" s="5086"/>
      <c r="BX406" s="104"/>
      <c r="BY406" s="32"/>
      <c r="BZ406" s="33"/>
      <c r="CA406" s="32"/>
      <c r="CB406" s="34"/>
      <c r="CC406" s="92"/>
      <c r="CD406" s="108"/>
      <c r="CE406" s="94"/>
      <c r="CF406" s="95"/>
      <c r="CG406" s="105"/>
      <c r="CH406" s="5101"/>
      <c r="CI406" s="920"/>
      <c r="CJ406" s="1495"/>
      <c r="CK406" s="101"/>
      <c r="CL406" s="1475"/>
      <c r="CM406" s="5086"/>
      <c r="CN406" s="104"/>
      <c r="CO406" s="32"/>
      <c r="CP406" s="33"/>
      <c r="CQ406" s="32"/>
      <c r="CR406" s="34"/>
      <c r="CS406" s="92"/>
      <c r="CT406" s="108"/>
      <c r="CU406" s="94"/>
      <c r="CV406" s="95"/>
      <c r="CW406" s="105"/>
      <c r="CX406" s="5101"/>
      <c r="CY406" s="920"/>
      <c r="CZ406" s="1495"/>
      <c r="DA406" s="101"/>
      <c r="DB406" s="1475"/>
      <c r="DC406" s="5109"/>
      <c r="DD406" s="5086"/>
      <c r="DF406" s="3">
        <v>1</v>
      </c>
    </row>
    <row r="407" spans="2:159" ht="18.75">
      <c r="B407" s="952">
        <f t="shared" si="75"/>
        <v>0</v>
      </c>
      <c r="C407" s="993" cm="1">
        <f t="array" ref="C407">SUMPRODUCT(LEN(D407:J407))</f>
        <v>0</v>
      </c>
      <c r="D407" s="167"/>
      <c r="E407" s="172"/>
      <c r="F407" s="172"/>
      <c r="G407" s="172"/>
      <c r="H407" s="172"/>
      <c r="I407" s="172"/>
      <c r="J407" s="173"/>
      <c r="K407"/>
      <c r="L407" s="104"/>
      <c r="M407" s="32"/>
      <c r="N407" s="33"/>
      <c r="O407" s="32"/>
      <c r="P407" s="34"/>
      <c r="Q407" s="92"/>
      <c r="R407" s="108"/>
      <c r="S407" s="94"/>
      <c r="T407" s="95"/>
      <c r="U407" s="105"/>
      <c r="V407" s="5101"/>
      <c r="W407" s="920"/>
      <c r="X407" s="1495"/>
      <c r="Y407" s="101"/>
      <c r="Z407" s="1475"/>
      <c r="AA407" s="5086"/>
      <c r="AB407" s="104"/>
      <c r="AC407" s="32"/>
      <c r="AD407" s="33"/>
      <c r="AE407" s="32"/>
      <c r="AF407" s="34"/>
      <c r="AG407" s="92"/>
      <c r="AH407" s="108"/>
      <c r="AI407" s="94"/>
      <c r="AJ407" s="95"/>
      <c r="AK407" s="105"/>
      <c r="AL407" s="5101"/>
      <c r="AM407" s="920"/>
      <c r="AN407" s="1495"/>
      <c r="AO407" s="101"/>
      <c r="AP407" s="1475"/>
      <c r="AQ407" s="5086"/>
      <c r="AR407" s="104"/>
      <c r="AS407" s="32"/>
      <c r="AT407" s="33"/>
      <c r="AU407" s="32"/>
      <c r="AV407" s="34"/>
      <c r="AW407" s="92"/>
      <c r="AX407" s="108"/>
      <c r="AY407" s="94"/>
      <c r="AZ407" s="95"/>
      <c r="BA407" s="105"/>
      <c r="BB407" s="5101"/>
      <c r="BC407" s="920"/>
      <c r="BD407" s="1495"/>
      <c r="BE407" s="101"/>
      <c r="BF407" s="1475"/>
      <c r="BG407" s="5086"/>
      <c r="BH407" s="104"/>
      <c r="BI407" s="32"/>
      <c r="BJ407" s="33"/>
      <c r="BK407" s="32"/>
      <c r="BL407" s="34"/>
      <c r="BM407" s="92"/>
      <c r="BN407" s="108"/>
      <c r="BO407" s="94"/>
      <c r="BP407" s="95"/>
      <c r="BQ407" s="105"/>
      <c r="BR407" s="5101"/>
      <c r="BS407" s="920"/>
      <c r="BT407" s="1495"/>
      <c r="BU407" s="101"/>
      <c r="BV407" s="1475"/>
      <c r="BW407" s="5086"/>
      <c r="BX407" s="104"/>
      <c r="BY407" s="32"/>
      <c r="BZ407" s="33"/>
      <c r="CA407" s="32"/>
      <c r="CB407" s="34"/>
      <c r="CC407" s="92"/>
      <c r="CD407" s="108"/>
      <c r="CE407" s="94"/>
      <c r="CF407" s="95"/>
      <c r="CG407" s="105"/>
      <c r="CH407" s="5101"/>
      <c r="CI407" s="920"/>
      <c r="CJ407" s="1495"/>
      <c r="CK407" s="101"/>
      <c r="CL407" s="1475"/>
      <c r="CM407" s="5086"/>
      <c r="CN407" s="104"/>
      <c r="CO407" s="32"/>
      <c r="CP407" s="33"/>
      <c r="CQ407" s="32"/>
      <c r="CR407" s="34"/>
      <c r="CS407" s="92"/>
      <c r="CT407" s="108"/>
      <c r="CU407" s="94"/>
      <c r="CV407" s="95"/>
      <c r="CW407" s="105"/>
      <c r="CX407" s="5101"/>
      <c r="CY407" s="920"/>
      <c r="CZ407" s="1495"/>
      <c r="DA407" s="101"/>
      <c r="DB407" s="1475"/>
      <c r="DC407" s="5109"/>
      <c r="DD407" s="5086"/>
      <c r="DF407" s="3">
        <v>1</v>
      </c>
    </row>
    <row r="408" spans="2:159" ht="18.75">
      <c r="B408" s="952">
        <f t="shared" si="75"/>
        <v>0</v>
      </c>
      <c r="C408" s="993" cm="1">
        <f t="array" ref="C408">SUMPRODUCT(LEN(D408:J408))</f>
        <v>0</v>
      </c>
      <c r="D408" s="167"/>
      <c r="E408" s="172"/>
      <c r="F408" s="172"/>
      <c r="G408" s="172"/>
      <c r="H408" s="172"/>
      <c r="I408" s="172"/>
      <c r="J408" s="173"/>
      <c r="K408"/>
      <c r="L408" s="104"/>
      <c r="M408" s="32"/>
      <c r="N408" s="33"/>
      <c r="O408" s="32"/>
      <c r="P408" s="34"/>
      <c r="Q408" s="92"/>
      <c r="R408" s="108"/>
      <c r="S408" s="94"/>
      <c r="T408" s="95"/>
      <c r="U408" s="105"/>
      <c r="V408" s="5101"/>
      <c r="W408" s="920"/>
      <c r="X408" s="1495"/>
      <c r="Y408" s="101"/>
      <c r="Z408" s="1475"/>
      <c r="AA408" s="5086"/>
      <c r="AB408" s="104"/>
      <c r="AC408" s="32"/>
      <c r="AD408" s="33"/>
      <c r="AE408" s="32"/>
      <c r="AF408" s="34"/>
      <c r="AG408" s="92"/>
      <c r="AH408" s="108"/>
      <c r="AI408" s="94"/>
      <c r="AJ408" s="95"/>
      <c r="AK408" s="105"/>
      <c r="AL408" s="5101"/>
      <c r="AM408" s="920"/>
      <c r="AN408" s="1495"/>
      <c r="AO408" s="101"/>
      <c r="AP408" s="1475"/>
      <c r="AQ408" s="5086"/>
      <c r="AR408" s="104"/>
      <c r="AS408" s="32"/>
      <c r="AT408" s="33"/>
      <c r="AU408" s="32"/>
      <c r="AV408" s="34"/>
      <c r="AW408" s="92"/>
      <c r="AX408" s="108"/>
      <c r="AY408" s="94"/>
      <c r="AZ408" s="95"/>
      <c r="BA408" s="105"/>
      <c r="BB408" s="5101"/>
      <c r="BC408" s="920"/>
      <c r="BD408" s="1495"/>
      <c r="BE408" s="101"/>
      <c r="BF408" s="1475"/>
      <c r="BG408" s="5086"/>
      <c r="BH408" s="104"/>
      <c r="BI408" s="32"/>
      <c r="BJ408" s="33"/>
      <c r="BK408" s="32"/>
      <c r="BL408" s="34"/>
      <c r="BM408" s="92"/>
      <c r="BN408" s="108"/>
      <c r="BO408" s="94"/>
      <c r="BP408" s="95"/>
      <c r="BQ408" s="105"/>
      <c r="BR408" s="5101"/>
      <c r="BS408" s="920"/>
      <c r="BT408" s="1495"/>
      <c r="BU408" s="101"/>
      <c r="BV408" s="1475"/>
      <c r="BW408" s="5086"/>
      <c r="BX408" s="104"/>
      <c r="BY408" s="32"/>
      <c r="BZ408" s="33"/>
      <c r="CA408" s="32"/>
      <c r="CB408" s="34"/>
      <c r="CC408" s="92"/>
      <c r="CD408" s="108"/>
      <c r="CE408" s="94"/>
      <c r="CF408" s="95"/>
      <c r="CG408" s="105"/>
      <c r="CH408" s="5101"/>
      <c r="CI408" s="920"/>
      <c r="CJ408" s="1495"/>
      <c r="CK408" s="101"/>
      <c r="CL408" s="1475"/>
      <c r="CM408" s="5086"/>
      <c r="CN408" s="104"/>
      <c r="CO408" s="32"/>
      <c r="CP408" s="33"/>
      <c r="CQ408" s="32"/>
      <c r="CR408" s="34"/>
      <c r="CS408" s="92"/>
      <c r="CT408" s="108"/>
      <c r="CU408" s="94"/>
      <c r="CV408" s="95"/>
      <c r="CW408" s="105"/>
      <c r="CX408" s="5101"/>
      <c r="CY408" s="920"/>
      <c r="CZ408" s="1495"/>
      <c r="DA408" s="101"/>
      <c r="DB408" s="1475"/>
      <c r="DC408" s="5109"/>
      <c r="DD408" s="5086"/>
      <c r="DF408" s="3">
        <v>1</v>
      </c>
    </row>
    <row r="409" spans="2:159" ht="18.75">
      <c r="B409" s="952">
        <f t="shared" si="75"/>
        <v>0</v>
      </c>
      <c r="C409" s="993" cm="1">
        <f t="array" ref="C409">SUMPRODUCT(LEN(D409:J409))</f>
        <v>0</v>
      </c>
      <c r="D409" s="167"/>
      <c r="E409" s="172"/>
      <c r="F409" s="172"/>
      <c r="G409" s="172"/>
      <c r="H409" s="172"/>
      <c r="I409" s="172"/>
      <c r="J409" s="173"/>
      <c r="K409"/>
      <c r="L409" s="104"/>
      <c r="M409" s="32"/>
      <c r="N409" s="33"/>
      <c r="O409" s="32"/>
      <c r="P409" s="34"/>
      <c r="Q409" s="92"/>
      <c r="R409" s="108"/>
      <c r="S409" s="94"/>
      <c r="T409" s="95"/>
      <c r="U409" s="105"/>
      <c r="V409" s="5101"/>
      <c r="W409" s="920"/>
      <c r="X409" s="1495"/>
      <c r="Y409" s="101"/>
      <c r="Z409" s="1475"/>
      <c r="AA409" s="5086"/>
      <c r="AB409" s="104"/>
      <c r="AC409" s="32"/>
      <c r="AD409" s="33"/>
      <c r="AE409" s="32"/>
      <c r="AF409" s="34"/>
      <c r="AG409" s="92"/>
      <c r="AH409" s="108"/>
      <c r="AI409" s="94"/>
      <c r="AJ409" s="95"/>
      <c r="AK409" s="105"/>
      <c r="AL409" s="5101"/>
      <c r="AM409" s="920"/>
      <c r="AN409" s="1495"/>
      <c r="AO409" s="101"/>
      <c r="AP409" s="1475"/>
      <c r="AQ409" s="5086"/>
      <c r="AR409" s="104"/>
      <c r="AS409" s="32"/>
      <c r="AT409" s="33"/>
      <c r="AU409" s="32"/>
      <c r="AV409" s="34"/>
      <c r="AW409" s="92"/>
      <c r="AX409" s="108"/>
      <c r="AY409" s="94"/>
      <c r="AZ409" s="95"/>
      <c r="BA409" s="105"/>
      <c r="BB409" s="5101"/>
      <c r="BC409" s="920"/>
      <c r="BD409" s="1495"/>
      <c r="BE409" s="101"/>
      <c r="BF409" s="1475"/>
      <c r="BG409" s="5086"/>
      <c r="BH409" s="104"/>
      <c r="BI409" s="32"/>
      <c r="BJ409" s="33"/>
      <c r="BK409" s="32"/>
      <c r="BL409" s="34"/>
      <c r="BM409" s="92"/>
      <c r="BN409" s="108"/>
      <c r="BO409" s="94"/>
      <c r="BP409" s="95"/>
      <c r="BQ409" s="105"/>
      <c r="BR409" s="5101"/>
      <c r="BS409" s="920"/>
      <c r="BT409" s="1495"/>
      <c r="BU409" s="101"/>
      <c r="BV409" s="1475"/>
      <c r="BW409" s="5086"/>
      <c r="BX409" s="104"/>
      <c r="BY409" s="32"/>
      <c r="BZ409" s="33"/>
      <c r="CA409" s="32"/>
      <c r="CB409" s="34"/>
      <c r="CC409" s="92"/>
      <c r="CD409" s="108"/>
      <c r="CE409" s="94"/>
      <c r="CF409" s="95"/>
      <c r="CG409" s="105"/>
      <c r="CH409" s="5101"/>
      <c r="CI409" s="920"/>
      <c r="CJ409" s="1495"/>
      <c r="CK409" s="101"/>
      <c r="CL409" s="1475"/>
      <c r="CM409" s="5086"/>
      <c r="CN409" s="104"/>
      <c r="CO409" s="32"/>
      <c r="CP409" s="33"/>
      <c r="CQ409" s="32"/>
      <c r="CR409" s="34"/>
      <c r="CS409" s="92"/>
      <c r="CT409" s="108"/>
      <c r="CU409" s="94"/>
      <c r="CV409" s="95"/>
      <c r="CW409" s="105"/>
      <c r="CX409" s="5101"/>
      <c r="CY409" s="920"/>
      <c r="CZ409" s="1495"/>
      <c r="DA409" s="101"/>
      <c r="DB409" s="1475"/>
      <c r="DC409" s="5109"/>
      <c r="DF409" s="3">
        <v>1</v>
      </c>
    </row>
    <row r="410" spans="2:159" ht="18.75">
      <c r="B410" s="952">
        <f t="shared" si="75"/>
        <v>0</v>
      </c>
      <c r="C410" s="993" cm="1">
        <f t="array" ref="C410">SUMPRODUCT(LEN(D410:J410))</f>
        <v>0</v>
      </c>
      <c r="D410" s="167"/>
      <c r="E410" s="172"/>
      <c r="F410" s="172"/>
      <c r="G410" s="172"/>
      <c r="H410" s="172"/>
      <c r="I410" s="172"/>
      <c r="J410" s="173"/>
      <c r="K410"/>
      <c r="L410" s="104"/>
      <c r="M410" s="32"/>
      <c r="N410" s="33"/>
      <c r="O410" s="32"/>
      <c r="P410" s="34"/>
      <c r="Q410" s="92"/>
      <c r="R410" s="108"/>
      <c r="S410" s="94"/>
      <c r="T410" s="95"/>
      <c r="U410" s="105"/>
      <c r="V410" s="5101"/>
      <c r="W410" s="920"/>
      <c r="X410" s="1495"/>
      <c r="Y410" s="101"/>
      <c r="Z410" s="1475"/>
      <c r="AA410" s="5086"/>
      <c r="AB410" s="104"/>
      <c r="AC410" s="32"/>
      <c r="AD410" s="33"/>
      <c r="AE410" s="32"/>
      <c r="AF410" s="34"/>
      <c r="AG410" s="92"/>
      <c r="AH410" s="108"/>
      <c r="AI410" s="94"/>
      <c r="AJ410" s="95"/>
      <c r="AK410" s="105"/>
      <c r="AL410" s="5101"/>
      <c r="AM410" s="920"/>
      <c r="AN410" s="1495"/>
      <c r="AO410" s="101"/>
      <c r="AP410" s="1475"/>
      <c r="AQ410" s="5086"/>
      <c r="AR410" s="104"/>
      <c r="AS410" s="32"/>
      <c r="AT410" s="33"/>
      <c r="AU410" s="32"/>
      <c r="AV410" s="34"/>
      <c r="AW410" s="92"/>
      <c r="AX410" s="108"/>
      <c r="AY410" s="94"/>
      <c r="AZ410" s="95"/>
      <c r="BA410" s="105"/>
      <c r="BB410" s="5101"/>
      <c r="BC410" s="920"/>
      <c r="BD410" s="1495"/>
      <c r="BE410" s="101"/>
      <c r="BF410" s="1475"/>
      <c r="BG410" s="5086"/>
      <c r="BH410" s="104"/>
      <c r="BI410" s="32"/>
      <c r="BJ410" s="33"/>
      <c r="BK410" s="32"/>
      <c r="BL410" s="34"/>
      <c r="BM410" s="92"/>
      <c r="BN410" s="108"/>
      <c r="BO410" s="94"/>
      <c r="BP410" s="95"/>
      <c r="BQ410" s="105"/>
      <c r="BR410" s="5101"/>
      <c r="BS410" s="920"/>
      <c r="BT410" s="1495"/>
      <c r="BU410" s="101"/>
      <c r="BV410" s="1475"/>
      <c r="BW410" s="5086"/>
      <c r="BX410" s="104"/>
      <c r="BY410" s="32"/>
      <c r="BZ410" s="33"/>
      <c r="CA410" s="32"/>
      <c r="CB410" s="34"/>
      <c r="CC410" s="92"/>
      <c r="CD410" s="108"/>
      <c r="CE410" s="94"/>
      <c r="CF410" s="95"/>
      <c r="CG410" s="105"/>
      <c r="CH410" s="5101"/>
      <c r="CI410" s="920"/>
      <c r="CJ410" s="1495"/>
      <c r="CK410" s="101"/>
      <c r="CL410" s="1475"/>
      <c r="CM410" s="5086"/>
      <c r="CN410" s="104"/>
      <c r="CO410" s="32"/>
      <c r="CP410" s="33"/>
      <c r="CQ410" s="32"/>
      <c r="CR410" s="34"/>
      <c r="CS410" s="92"/>
      <c r="CT410" s="108"/>
      <c r="CU410" s="94"/>
      <c r="CV410" s="95"/>
      <c r="CW410" s="105"/>
      <c r="CX410" s="5101"/>
      <c r="CY410" s="920"/>
      <c r="CZ410" s="1495"/>
      <c r="DA410" s="101"/>
      <c r="DB410" s="1475"/>
      <c r="DC410" s="5109"/>
      <c r="DF410" s="3">
        <v>1</v>
      </c>
    </row>
    <row r="411" spans="2:159" ht="18.75">
      <c r="B411" s="952">
        <f t="shared" ref="B411:B474" si="76">L411</f>
        <v>0</v>
      </c>
      <c r="C411" s="993" cm="1">
        <f t="array" ref="C411">SUMPRODUCT(LEN(D411:J411))</f>
        <v>0</v>
      </c>
      <c r="D411" s="167"/>
      <c r="E411" s="172"/>
      <c r="F411" s="172"/>
      <c r="G411" s="172"/>
      <c r="H411" s="172"/>
      <c r="I411" s="172"/>
      <c r="J411" s="173"/>
      <c r="K411"/>
      <c r="L411" s="104"/>
      <c r="M411" s="32"/>
      <c r="N411" s="33"/>
      <c r="O411" s="32"/>
      <c r="P411" s="34"/>
      <c r="Q411" s="92"/>
      <c r="R411" s="108"/>
      <c r="S411" s="94"/>
      <c r="T411" s="95"/>
      <c r="U411" s="105"/>
      <c r="V411" s="5101"/>
      <c r="W411" s="920"/>
      <c r="X411" s="1495"/>
      <c r="Y411" s="101"/>
      <c r="Z411" s="1475"/>
      <c r="AA411" s="5086"/>
      <c r="AB411" s="104"/>
      <c r="AC411" s="32"/>
      <c r="AD411" s="33"/>
      <c r="AE411" s="32"/>
      <c r="AF411" s="34"/>
      <c r="AG411" s="92"/>
      <c r="AH411" s="108"/>
      <c r="AI411" s="94"/>
      <c r="AJ411" s="95"/>
      <c r="AK411" s="105"/>
      <c r="AL411" s="5101"/>
      <c r="AM411" s="920"/>
      <c r="AN411" s="1495"/>
      <c r="AO411" s="101"/>
      <c r="AP411" s="1475"/>
      <c r="AQ411" s="5086"/>
      <c r="AR411" s="104"/>
      <c r="AS411" s="32"/>
      <c r="AT411" s="33"/>
      <c r="AU411" s="32"/>
      <c r="AV411" s="34"/>
      <c r="AW411" s="92"/>
      <c r="AX411" s="108"/>
      <c r="AY411" s="94"/>
      <c r="AZ411" s="95"/>
      <c r="BA411" s="105"/>
      <c r="BB411" s="5101"/>
      <c r="BC411" s="920"/>
      <c r="BD411" s="1495"/>
      <c r="BE411" s="101"/>
      <c r="BF411" s="1475"/>
      <c r="BG411" s="5086"/>
      <c r="BH411" s="104"/>
      <c r="BI411" s="32"/>
      <c r="BJ411" s="33"/>
      <c r="BK411" s="32"/>
      <c r="BL411" s="34"/>
      <c r="BM411" s="92"/>
      <c r="BN411" s="108"/>
      <c r="BO411" s="94"/>
      <c r="BP411" s="95"/>
      <c r="BQ411" s="105"/>
      <c r="BR411" s="5101"/>
      <c r="BS411" s="920"/>
      <c r="BT411" s="1495"/>
      <c r="BU411" s="101"/>
      <c r="BV411" s="1475"/>
      <c r="BW411" s="5086"/>
      <c r="BX411" s="104"/>
      <c r="BY411" s="32"/>
      <c r="BZ411" s="33"/>
      <c r="CA411" s="32"/>
      <c r="CB411" s="34"/>
      <c r="CC411" s="92"/>
      <c r="CD411" s="108"/>
      <c r="CE411" s="94"/>
      <c r="CF411" s="95"/>
      <c r="CG411" s="105"/>
      <c r="CH411" s="5101"/>
      <c r="CI411" s="920"/>
      <c r="CJ411" s="1495"/>
      <c r="CK411" s="101"/>
      <c r="CL411" s="1475"/>
      <c r="CM411" s="5086"/>
      <c r="CN411" s="104"/>
      <c r="CO411" s="32"/>
      <c r="CP411" s="33"/>
      <c r="CQ411" s="32"/>
      <c r="CR411" s="34"/>
      <c r="CS411" s="92"/>
      <c r="CT411" s="108"/>
      <c r="CU411" s="94"/>
      <c r="CV411" s="95"/>
      <c r="CW411" s="105"/>
      <c r="CX411" s="5101"/>
      <c r="CY411" s="920"/>
      <c r="CZ411" s="1495"/>
      <c r="DA411" s="101"/>
      <c r="DB411" s="1475"/>
      <c r="DC411" s="5109"/>
      <c r="DF411" s="3">
        <v>1</v>
      </c>
    </row>
    <row r="412" spans="2:159" ht="18.75">
      <c r="B412" s="952">
        <f t="shared" si="76"/>
        <v>0</v>
      </c>
      <c r="C412" s="993" cm="1">
        <f t="array" ref="C412">SUMPRODUCT(LEN(D412:J412))</f>
        <v>0</v>
      </c>
      <c r="D412" s="167"/>
      <c r="E412" s="172"/>
      <c r="F412" s="172"/>
      <c r="G412" s="172"/>
      <c r="H412" s="172"/>
      <c r="I412" s="172"/>
      <c r="J412" s="173"/>
      <c r="K412"/>
      <c r="L412" s="104"/>
      <c r="M412" s="32"/>
      <c r="N412" s="33"/>
      <c r="O412" s="32"/>
      <c r="P412" s="34"/>
      <c r="Q412" s="92"/>
      <c r="R412" s="108"/>
      <c r="S412" s="94"/>
      <c r="T412" s="95"/>
      <c r="U412" s="105"/>
      <c r="V412" s="5101"/>
      <c r="W412" s="920"/>
      <c r="X412" s="1495"/>
      <c r="Y412" s="101"/>
      <c r="Z412" s="1475"/>
      <c r="AA412" s="5086"/>
      <c r="AB412" s="104"/>
      <c r="AC412" s="32"/>
      <c r="AD412" s="33"/>
      <c r="AE412" s="32"/>
      <c r="AF412" s="34"/>
      <c r="AG412" s="92"/>
      <c r="AH412" s="108"/>
      <c r="AI412" s="94"/>
      <c r="AJ412" s="95"/>
      <c r="AK412" s="105"/>
      <c r="AL412" s="5101"/>
      <c r="AM412" s="920"/>
      <c r="AN412" s="1495"/>
      <c r="AO412" s="101"/>
      <c r="AP412" s="1475"/>
      <c r="AQ412" s="5086"/>
      <c r="AR412" s="104"/>
      <c r="AS412" s="32"/>
      <c r="AT412" s="33"/>
      <c r="AU412" s="32"/>
      <c r="AV412" s="34"/>
      <c r="AW412" s="92"/>
      <c r="AX412" s="108"/>
      <c r="AY412" s="94"/>
      <c r="AZ412" s="95"/>
      <c r="BA412" s="105"/>
      <c r="BB412" s="5101"/>
      <c r="BC412" s="920"/>
      <c r="BD412" s="1495"/>
      <c r="BE412" s="101"/>
      <c r="BF412" s="1475"/>
      <c r="BG412" s="5086"/>
      <c r="BH412" s="104"/>
      <c r="BI412" s="32"/>
      <c r="BJ412" s="33"/>
      <c r="BK412" s="32"/>
      <c r="BL412" s="34"/>
      <c r="BM412" s="92"/>
      <c r="BN412" s="108"/>
      <c r="BO412" s="94"/>
      <c r="BP412" s="95"/>
      <c r="BQ412" s="105"/>
      <c r="BR412" s="5101"/>
      <c r="BS412" s="920"/>
      <c r="BT412" s="1495"/>
      <c r="BU412" s="101"/>
      <c r="BV412" s="1475"/>
      <c r="BW412" s="5086"/>
      <c r="BX412" s="104"/>
      <c r="BY412" s="32"/>
      <c r="BZ412" s="33"/>
      <c r="CA412" s="32"/>
      <c r="CB412" s="34"/>
      <c r="CC412" s="92"/>
      <c r="CD412" s="108"/>
      <c r="CE412" s="94"/>
      <c r="CF412" s="95"/>
      <c r="CG412" s="105"/>
      <c r="CH412" s="5101"/>
      <c r="CI412" s="920"/>
      <c r="CJ412" s="1495"/>
      <c r="CK412" s="101"/>
      <c r="CL412" s="1475"/>
      <c r="CM412" s="5086"/>
      <c r="CN412" s="104"/>
      <c r="CO412" s="32"/>
      <c r="CP412" s="33"/>
      <c r="CQ412" s="32"/>
      <c r="CR412" s="34"/>
      <c r="CS412" s="92"/>
      <c r="CT412" s="108"/>
      <c r="CU412" s="94"/>
      <c r="CV412" s="95"/>
      <c r="CW412" s="105"/>
      <c r="CX412" s="5101"/>
      <c r="CY412" s="920"/>
      <c r="CZ412" s="1495"/>
      <c r="DA412" s="101"/>
      <c r="DB412" s="1475"/>
      <c r="DC412" s="5109"/>
      <c r="DF412" s="3">
        <v>1</v>
      </c>
    </row>
    <row r="413" spans="2:159" ht="18.75">
      <c r="B413" s="952">
        <f t="shared" si="76"/>
        <v>0</v>
      </c>
      <c r="C413" s="993" cm="1">
        <f t="array" ref="C413">SUMPRODUCT(LEN(D413:J413))</f>
        <v>0</v>
      </c>
      <c r="D413" s="167"/>
      <c r="E413" s="172"/>
      <c r="F413" s="172"/>
      <c r="G413" s="172"/>
      <c r="H413" s="172"/>
      <c r="I413" s="172"/>
      <c r="J413" s="173"/>
      <c r="K413"/>
      <c r="L413" s="104"/>
      <c r="M413" s="32"/>
      <c r="N413" s="33"/>
      <c r="O413" s="32"/>
      <c r="P413" s="34"/>
      <c r="Q413" s="92"/>
      <c r="R413" s="108"/>
      <c r="S413" s="94"/>
      <c r="T413" s="95"/>
      <c r="U413" s="105"/>
      <c r="V413" s="5101"/>
      <c r="W413" s="920"/>
      <c r="X413" s="1495"/>
      <c r="Y413" s="101"/>
      <c r="Z413" s="1475"/>
      <c r="AA413" s="5086"/>
      <c r="AB413" s="104"/>
      <c r="AC413" s="32"/>
      <c r="AD413" s="33"/>
      <c r="AE413" s="32"/>
      <c r="AF413" s="34"/>
      <c r="AG413" s="92"/>
      <c r="AH413" s="108"/>
      <c r="AI413" s="94"/>
      <c r="AJ413" s="95"/>
      <c r="AK413" s="105"/>
      <c r="AL413" s="5101"/>
      <c r="AM413" s="920"/>
      <c r="AN413" s="1495"/>
      <c r="AO413" s="101"/>
      <c r="AP413" s="1475"/>
      <c r="AQ413" s="5086"/>
      <c r="AR413" s="104"/>
      <c r="AS413" s="32"/>
      <c r="AT413" s="33"/>
      <c r="AU413" s="32"/>
      <c r="AV413" s="34"/>
      <c r="AW413" s="92"/>
      <c r="AX413" s="108"/>
      <c r="AY413" s="94"/>
      <c r="AZ413" s="95"/>
      <c r="BA413" s="105"/>
      <c r="BB413" s="5101"/>
      <c r="BC413" s="920"/>
      <c r="BD413" s="1495"/>
      <c r="BE413" s="101"/>
      <c r="BF413" s="1475"/>
      <c r="BG413" s="5086"/>
      <c r="BH413" s="104"/>
      <c r="BI413" s="32"/>
      <c r="BJ413" s="33"/>
      <c r="BK413" s="32"/>
      <c r="BL413" s="34"/>
      <c r="BM413" s="92"/>
      <c r="BN413" s="108"/>
      <c r="BO413" s="94"/>
      <c r="BP413" s="95"/>
      <c r="BQ413" s="105"/>
      <c r="BR413" s="5101"/>
      <c r="BS413" s="920"/>
      <c r="BT413" s="1495"/>
      <c r="BU413" s="101"/>
      <c r="BV413" s="1475"/>
      <c r="BW413" s="5086"/>
      <c r="BX413" s="104"/>
      <c r="BY413" s="32"/>
      <c r="BZ413" s="33"/>
      <c r="CA413" s="32"/>
      <c r="CB413" s="34"/>
      <c r="CC413" s="92"/>
      <c r="CD413" s="108"/>
      <c r="CE413" s="94"/>
      <c r="CF413" s="95"/>
      <c r="CG413" s="105"/>
      <c r="CH413" s="5101"/>
      <c r="CI413" s="920"/>
      <c r="CJ413" s="1495"/>
      <c r="CK413" s="101"/>
      <c r="CL413" s="1475"/>
      <c r="CM413" s="5086"/>
      <c r="CN413" s="104"/>
      <c r="CO413" s="32"/>
      <c r="CP413" s="33"/>
      <c r="CQ413" s="32"/>
      <c r="CR413" s="34"/>
      <c r="CS413" s="92"/>
      <c r="CT413" s="108"/>
      <c r="CU413" s="94"/>
      <c r="CV413" s="95"/>
      <c r="CW413" s="105"/>
      <c r="CX413" s="5101"/>
      <c r="CY413" s="920"/>
      <c r="CZ413" s="1495"/>
      <c r="DA413" s="101"/>
      <c r="DB413" s="1475"/>
      <c r="DC413" s="5109"/>
      <c r="DF413" s="3">
        <v>1</v>
      </c>
    </row>
    <row r="414" spans="2:159" ht="18.75">
      <c r="B414" s="952">
        <f t="shared" si="76"/>
        <v>0</v>
      </c>
      <c r="C414" s="993" cm="1">
        <f t="array" ref="C414">SUMPRODUCT(LEN(D414:J414))</f>
        <v>0</v>
      </c>
      <c r="D414" s="167"/>
      <c r="E414" s="172"/>
      <c r="F414" s="172"/>
      <c r="G414" s="172"/>
      <c r="H414" s="172"/>
      <c r="I414" s="172"/>
      <c r="J414" s="173"/>
      <c r="K414"/>
      <c r="L414" s="104"/>
      <c r="M414" s="32"/>
      <c r="N414" s="33"/>
      <c r="O414" s="32"/>
      <c r="P414" s="34"/>
      <c r="Q414" s="92"/>
      <c r="R414" s="108"/>
      <c r="S414" s="94"/>
      <c r="T414" s="95"/>
      <c r="U414" s="105"/>
      <c r="V414" s="5101"/>
      <c r="W414" s="920"/>
      <c r="X414" s="1495"/>
      <c r="Y414" s="101"/>
      <c r="Z414" s="1475"/>
      <c r="AA414" s="5086"/>
      <c r="AB414" s="104"/>
      <c r="AC414" s="32"/>
      <c r="AD414" s="33"/>
      <c r="AE414" s="32"/>
      <c r="AF414" s="34"/>
      <c r="AG414" s="92"/>
      <c r="AH414" s="108"/>
      <c r="AI414" s="94"/>
      <c r="AJ414" s="95"/>
      <c r="AK414" s="105"/>
      <c r="AL414" s="5101"/>
      <c r="AM414" s="920"/>
      <c r="AN414" s="1495"/>
      <c r="AO414" s="101"/>
      <c r="AP414" s="1475"/>
      <c r="AQ414" s="5086"/>
      <c r="AR414" s="104"/>
      <c r="AS414" s="32"/>
      <c r="AT414" s="33"/>
      <c r="AU414" s="32"/>
      <c r="AV414" s="34"/>
      <c r="AW414" s="92"/>
      <c r="AX414" s="108"/>
      <c r="AY414" s="94"/>
      <c r="AZ414" s="95"/>
      <c r="BA414" s="105"/>
      <c r="BB414" s="5101"/>
      <c r="BC414" s="920"/>
      <c r="BD414" s="1495"/>
      <c r="BE414" s="101"/>
      <c r="BF414" s="1475"/>
      <c r="BG414" s="5086"/>
      <c r="BH414" s="104"/>
      <c r="BI414" s="32"/>
      <c r="BJ414" s="33"/>
      <c r="BK414" s="32"/>
      <c r="BL414" s="34"/>
      <c r="BM414" s="92"/>
      <c r="BN414" s="108"/>
      <c r="BO414" s="94"/>
      <c r="BP414" s="95"/>
      <c r="BQ414" s="105"/>
      <c r="BR414" s="5101"/>
      <c r="BS414" s="920"/>
      <c r="BT414" s="1495"/>
      <c r="BU414" s="101"/>
      <c r="BV414" s="1475"/>
      <c r="BW414" s="5086"/>
      <c r="BX414" s="104"/>
      <c r="BY414" s="32"/>
      <c r="BZ414" s="33"/>
      <c r="CA414" s="32"/>
      <c r="CB414" s="34"/>
      <c r="CC414" s="92"/>
      <c r="CD414" s="108"/>
      <c r="CE414" s="94"/>
      <c r="CF414" s="95"/>
      <c r="CG414" s="105"/>
      <c r="CH414" s="5101"/>
      <c r="CI414" s="920"/>
      <c r="CJ414" s="1495"/>
      <c r="CK414" s="101"/>
      <c r="CL414" s="1475"/>
      <c r="CM414" s="5086"/>
      <c r="CN414" s="104"/>
      <c r="CO414" s="32"/>
      <c r="CP414" s="33"/>
      <c r="CQ414" s="32"/>
      <c r="CR414" s="34"/>
      <c r="CS414" s="92"/>
      <c r="CT414" s="108"/>
      <c r="CU414" s="94"/>
      <c r="CV414" s="95"/>
      <c r="CW414" s="105"/>
      <c r="CX414" s="5101"/>
      <c r="CY414" s="920"/>
      <c r="CZ414" s="1495"/>
      <c r="DA414" s="101"/>
      <c r="DB414" s="1475"/>
      <c r="DC414" s="5109"/>
      <c r="DF414" s="3">
        <v>1</v>
      </c>
    </row>
    <row r="415" spans="2:159" ht="18.75">
      <c r="B415" s="952">
        <f t="shared" si="76"/>
        <v>0</v>
      </c>
      <c r="C415" s="993" cm="1">
        <f t="array" ref="C415">SUMPRODUCT(LEN(D415:J415))</f>
        <v>0</v>
      </c>
      <c r="D415" s="167"/>
      <c r="E415" s="172"/>
      <c r="F415" s="172"/>
      <c r="G415" s="172"/>
      <c r="H415" s="172"/>
      <c r="I415" s="172"/>
      <c r="J415" s="173"/>
      <c r="K415"/>
      <c r="L415" s="104"/>
      <c r="M415" s="32"/>
      <c r="N415" s="33"/>
      <c r="O415" s="32"/>
      <c r="P415" s="34"/>
      <c r="Q415" s="92"/>
      <c r="R415" s="108"/>
      <c r="S415" s="94"/>
      <c r="T415" s="95"/>
      <c r="U415" s="105"/>
      <c r="V415" s="5101"/>
      <c r="W415" s="920"/>
      <c r="X415" s="1495"/>
      <c r="Y415" s="101"/>
      <c r="Z415" s="1475"/>
      <c r="AA415" s="5086"/>
      <c r="AB415" s="104"/>
      <c r="AC415" s="32"/>
      <c r="AD415" s="33"/>
      <c r="AE415" s="32"/>
      <c r="AF415" s="34"/>
      <c r="AG415" s="92"/>
      <c r="AH415" s="108"/>
      <c r="AI415" s="94"/>
      <c r="AJ415" s="95"/>
      <c r="AK415" s="105"/>
      <c r="AL415" s="5101"/>
      <c r="AM415" s="920"/>
      <c r="AN415" s="1495"/>
      <c r="AO415" s="101"/>
      <c r="AP415" s="1475"/>
      <c r="AQ415" s="5086"/>
      <c r="AR415" s="104"/>
      <c r="AS415" s="32"/>
      <c r="AT415" s="33"/>
      <c r="AU415" s="32"/>
      <c r="AV415" s="34"/>
      <c r="AW415" s="92"/>
      <c r="AX415" s="108"/>
      <c r="AY415" s="94"/>
      <c r="AZ415" s="95"/>
      <c r="BA415" s="105"/>
      <c r="BB415" s="5101"/>
      <c r="BC415" s="920"/>
      <c r="BD415" s="1495"/>
      <c r="BE415" s="101"/>
      <c r="BF415" s="1475"/>
      <c r="BG415" s="5086"/>
      <c r="BH415" s="104"/>
      <c r="BI415" s="32"/>
      <c r="BJ415" s="33"/>
      <c r="BK415" s="32"/>
      <c r="BL415" s="34"/>
      <c r="BM415" s="92"/>
      <c r="BN415" s="108"/>
      <c r="BO415" s="94"/>
      <c r="BP415" s="95"/>
      <c r="BQ415" s="105"/>
      <c r="BR415" s="5101"/>
      <c r="BS415" s="920"/>
      <c r="BT415" s="1495"/>
      <c r="BU415" s="101"/>
      <c r="BV415" s="1475"/>
      <c r="BW415" s="5086"/>
      <c r="BX415" s="104"/>
      <c r="BY415" s="32"/>
      <c r="BZ415" s="33"/>
      <c r="CA415" s="32"/>
      <c r="CB415" s="34"/>
      <c r="CC415" s="92"/>
      <c r="CD415" s="108"/>
      <c r="CE415" s="94"/>
      <c r="CF415" s="95"/>
      <c r="CG415" s="105"/>
      <c r="CH415" s="5101"/>
      <c r="CI415" s="920"/>
      <c r="CJ415" s="1495"/>
      <c r="CK415" s="101"/>
      <c r="CL415" s="1475"/>
      <c r="CM415" s="5086"/>
      <c r="CN415" s="104"/>
      <c r="CO415" s="32"/>
      <c r="CP415" s="33"/>
      <c r="CQ415" s="32"/>
      <c r="CR415" s="34"/>
      <c r="CS415" s="92"/>
      <c r="CT415" s="108"/>
      <c r="CU415" s="94"/>
      <c r="CV415" s="95"/>
      <c r="CW415" s="105"/>
      <c r="CX415" s="5101"/>
      <c r="CY415" s="920"/>
      <c r="CZ415" s="1495"/>
      <c r="DA415" s="101"/>
      <c r="DB415" s="1475"/>
      <c r="DC415" s="5109"/>
      <c r="DF415" s="3">
        <v>1</v>
      </c>
    </row>
    <row r="416" spans="2:159" ht="18.75">
      <c r="B416" s="952">
        <f t="shared" si="76"/>
        <v>0</v>
      </c>
      <c r="C416" s="993" cm="1">
        <f t="array" ref="C416">SUMPRODUCT(LEN(D416:J416))</f>
        <v>0</v>
      </c>
      <c r="D416" s="167"/>
      <c r="E416" s="172"/>
      <c r="F416" s="172"/>
      <c r="G416" s="172"/>
      <c r="H416" s="172"/>
      <c r="I416" s="172"/>
      <c r="J416" s="173"/>
      <c r="K416"/>
      <c r="L416" s="104"/>
      <c r="M416" s="32"/>
      <c r="N416" s="33"/>
      <c r="O416" s="32"/>
      <c r="P416" s="34"/>
      <c r="Q416" s="92"/>
      <c r="R416" s="108"/>
      <c r="S416" s="94"/>
      <c r="T416" s="95"/>
      <c r="U416" s="105"/>
      <c r="V416" s="5101"/>
      <c r="W416" s="920"/>
      <c r="X416" s="1495"/>
      <c r="Y416" s="101"/>
      <c r="Z416" s="1475"/>
      <c r="AA416" s="5086"/>
      <c r="AB416" s="104"/>
      <c r="AC416" s="32"/>
      <c r="AD416" s="33"/>
      <c r="AE416" s="32"/>
      <c r="AF416" s="34"/>
      <c r="AG416" s="92"/>
      <c r="AH416" s="108"/>
      <c r="AI416" s="94"/>
      <c r="AJ416" s="95"/>
      <c r="AK416" s="105"/>
      <c r="AL416" s="5101"/>
      <c r="AM416" s="920"/>
      <c r="AN416" s="1495"/>
      <c r="AO416" s="101"/>
      <c r="AP416" s="1475"/>
      <c r="AQ416" s="5086"/>
      <c r="AR416" s="104"/>
      <c r="AS416" s="32"/>
      <c r="AT416" s="33"/>
      <c r="AU416" s="32"/>
      <c r="AV416" s="34"/>
      <c r="AW416" s="92"/>
      <c r="AX416" s="108"/>
      <c r="AY416" s="94"/>
      <c r="AZ416" s="95"/>
      <c r="BA416" s="105"/>
      <c r="BB416" s="5101"/>
      <c r="BC416" s="920"/>
      <c r="BD416" s="1495"/>
      <c r="BE416" s="101"/>
      <c r="BF416" s="1475"/>
      <c r="BG416" s="5086"/>
      <c r="BH416" s="104"/>
      <c r="BI416" s="32"/>
      <c r="BJ416" s="33"/>
      <c r="BK416" s="32"/>
      <c r="BL416" s="34"/>
      <c r="BM416" s="92"/>
      <c r="BN416" s="108"/>
      <c r="BO416" s="94"/>
      <c r="BP416" s="95"/>
      <c r="BQ416" s="105"/>
      <c r="BR416" s="5101"/>
      <c r="BS416" s="920"/>
      <c r="BT416" s="1495"/>
      <c r="BU416" s="101"/>
      <c r="BV416" s="1475"/>
      <c r="BW416" s="5086"/>
      <c r="BX416" s="104"/>
      <c r="BY416" s="32"/>
      <c r="BZ416" s="33"/>
      <c r="CA416" s="32"/>
      <c r="CB416" s="34"/>
      <c r="CC416" s="92"/>
      <c r="CD416" s="108"/>
      <c r="CE416" s="94"/>
      <c r="CF416" s="95"/>
      <c r="CG416" s="105"/>
      <c r="CH416" s="5101"/>
      <c r="CI416" s="920"/>
      <c r="CJ416" s="1495"/>
      <c r="CK416" s="101"/>
      <c r="CL416" s="1475"/>
      <c r="CM416" s="5086"/>
      <c r="CN416" s="104"/>
      <c r="CO416" s="32"/>
      <c r="CP416" s="33"/>
      <c r="CQ416" s="32"/>
      <c r="CR416" s="34"/>
      <c r="CS416" s="92"/>
      <c r="CT416" s="108"/>
      <c r="CU416" s="94"/>
      <c r="CV416" s="95"/>
      <c r="CW416" s="105"/>
      <c r="CX416" s="5101"/>
      <c r="CY416" s="920"/>
      <c r="CZ416" s="1495"/>
      <c r="DA416" s="101"/>
      <c r="DB416" s="1475"/>
      <c r="DC416" s="5109"/>
      <c r="DF416" s="3">
        <v>1</v>
      </c>
    </row>
    <row r="417" spans="2:110" ht="18.75">
      <c r="B417" s="952">
        <f t="shared" si="76"/>
        <v>0</v>
      </c>
      <c r="C417" s="993" cm="1">
        <f t="array" ref="C417">SUMPRODUCT(LEN(D417:J417))</f>
        <v>0</v>
      </c>
      <c r="D417" s="167"/>
      <c r="E417" s="172"/>
      <c r="F417" s="172"/>
      <c r="G417" s="172"/>
      <c r="H417" s="172"/>
      <c r="I417" s="172"/>
      <c r="J417" s="173"/>
      <c r="K417"/>
      <c r="L417" s="104"/>
      <c r="M417" s="32"/>
      <c r="N417" s="33"/>
      <c r="O417" s="32"/>
      <c r="P417" s="34"/>
      <c r="Q417" s="92"/>
      <c r="R417" s="108"/>
      <c r="S417" s="94"/>
      <c r="T417" s="95"/>
      <c r="U417" s="105"/>
      <c r="V417" s="5101"/>
      <c r="W417" s="920"/>
      <c r="X417" s="1495"/>
      <c r="Y417" s="101"/>
      <c r="Z417" s="1475"/>
      <c r="AA417" s="5086"/>
      <c r="AB417" s="104"/>
      <c r="AC417" s="32"/>
      <c r="AD417" s="33"/>
      <c r="AE417" s="32"/>
      <c r="AF417" s="34"/>
      <c r="AG417" s="92"/>
      <c r="AH417" s="108"/>
      <c r="AI417" s="94"/>
      <c r="AJ417" s="95"/>
      <c r="AK417" s="105"/>
      <c r="AL417" s="5101"/>
      <c r="AM417" s="920"/>
      <c r="AN417" s="1495"/>
      <c r="AO417" s="101"/>
      <c r="AP417" s="1475"/>
      <c r="AQ417" s="5086"/>
      <c r="AR417" s="104"/>
      <c r="AS417" s="32"/>
      <c r="AT417" s="33"/>
      <c r="AU417" s="32"/>
      <c r="AV417" s="34"/>
      <c r="AW417" s="92"/>
      <c r="AX417" s="108"/>
      <c r="AY417" s="94"/>
      <c r="AZ417" s="95"/>
      <c r="BA417" s="105"/>
      <c r="BB417" s="5101"/>
      <c r="BC417" s="920"/>
      <c r="BD417" s="1495"/>
      <c r="BE417" s="101"/>
      <c r="BF417" s="1475"/>
      <c r="BG417" s="5086"/>
      <c r="BH417" s="104"/>
      <c r="BI417" s="32"/>
      <c r="BJ417" s="33"/>
      <c r="BK417" s="32"/>
      <c r="BL417" s="34"/>
      <c r="BM417" s="92"/>
      <c r="BN417" s="108"/>
      <c r="BO417" s="94"/>
      <c r="BP417" s="95"/>
      <c r="BQ417" s="105"/>
      <c r="BR417" s="5101"/>
      <c r="BS417" s="920"/>
      <c r="BT417" s="1495"/>
      <c r="BU417" s="101"/>
      <c r="BV417" s="1475"/>
      <c r="BW417" s="5086"/>
      <c r="BX417" s="104"/>
      <c r="BY417" s="32"/>
      <c r="BZ417" s="33"/>
      <c r="CA417" s="32"/>
      <c r="CB417" s="34"/>
      <c r="CC417" s="92"/>
      <c r="CD417" s="108"/>
      <c r="CE417" s="94"/>
      <c r="CF417" s="95"/>
      <c r="CG417" s="105"/>
      <c r="CH417" s="5101"/>
      <c r="CI417" s="920"/>
      <c r="CJ417" s="1495"/>
      <c r="CK417" s="101"/>
      <c r="CL417" s="1475"/>
      <c r="CM417" s="5086"/>
      <c r="CN417" s="104"/>
      <c r="CO417" s="32"/>
      <c r="CP417" s="33"/>
      <c r="CQ417" s="32"/>
      <c r="CR417" s="34"/>
      <c r="CS417" s="92"/>
      <c r="CT417" s="108"/>
      <c r="CU417" s="94"/>
      <c r="CV417" s="95"/>
      <c r="CW417" s="105"/>
      <c r="CX417" s="5101"/>
      <c r="CY417" s="920"/>
      <c r="CZ417" s="1495"/>
      <c r="DA417" s="101"/>
      <c r="DB417" s="1475"/>
      <c r="DC417" s="5109"/>
      <c r="DF417" s="3">
        <v>1</v>
      </c>
    </row>
    <row r="418" spans="2:110" ht="18.75">
      <c r="B418" s="952">
        <f t="shared" si="76"/>
        <v>0</v>
      </c>
      <c r="C418" s="993" cm="1">
        <f t="array" ref="C418">SUMPRODUCT(LEN(D418:J418))</f>
        <v>0</v>
      </c>
      <c r="D418" s="167"/>
      <c r="E418" s="172"/>
      <c r="F418" s="172"/>
      <c r="G418" s="172"/>
      <c r="H418" s="172"/>
      <c r="I418" s="172"/>
      <c r="J418" s="173"/>
      <c r="K418"/>
      <c r="L418" s="104"/>
      <c r="M418" s="32"/>
      <c r="N418" s="33"/>
      <c r="O418" s="32"/>
      <c r="P418" s="34"/>
      <c r="Q418" s="92"/>
      <c r="R418" s="108"/>
      <c r="S418" s="94"/>
      <c r="T418" s="95"/>
      <c r="U418" s="105"/>
      <c r="V418" s="5101"/>
      <c r="W418" s="920"/>
      <c r="X418" s="1495"/>
      <c r="Y418" s="101"/>
      <c r="Z418" s="1475"/>
      <c r="AA418" s="5086"/>
      <c r="AB418" s="104"/>
      <c r="AC418" s="32"/>
      <c r="AD418" s="33"/>
      <c r="AE418" s="32"/>
      <c r="AF418" s="34"/>
      <c r="AG418" s="92"/>
      <c r="AH418" s="108"/>
      <c r="AI418" s="94"/>
      <c r="AJ418" s="95"/>
      <c r="AK418" s="105"/>
      <c r="AL418" s="5101"/>
      <c r="AM418" s="920"/>
      <c r="AN418" s="1495"/>
      <c r="AO418" s="101"/>
      <c r="AP418" s="1475"/>
      <c r="AQ418" s="5086"/>
      <c r="AR418" s="104"/>
      <c r="AS418" s="32"/>
      <c r="AT418" s="33"/>
      <c r="AU418" s="32"/>
      <c r="AV418" s="34"/>
      <c r="AW418" s="92"/>
      <c r="AX418" s="108"/>
      <c r="AY418" s="94"/>
      <c r="AZ418" s="95"/>
      <c r="BA418" s="105"/>
      <c r="BB418" s="5101"/>
      <c r="BC418" s="920"/>
      <c r="BD418" s="1495"/>
      <c r="BE418" s="101"/>
      <c r="BF418" s="1475"/>
      <c r="BG418" s="5086"/>
      <c r="BH418" s="104"/>
      <c r="BI418" s="32"/>
      <c r="BJ418" s="33"/>
      <c r="BK418" s="32"/>
      <c r="BL418" s="34"/>
      <c r="BM418" s="92"/>
      <c r="BN418" s="108"/>
      <c r="BO418" s="94"/>
      <c r="BP418" s="95"/>
      <c r="BQ418" s="105"/>
      <c r="BR418" s="5101"/>
      <c r="BS418" s="920"/>
      <c r="BT418" s="1495"/>
      <c r="BU418" s="101"/>
      <c r="BV418" s="1475"/>
      <c r="BW418" s="5086"/>
      <c r="BX418" s="104"/>
      <c r="BY418" s="32"/>
      <c r="BZ418" s="33"/>
      <c r="CA418" s="32"/>
      <c r="CB418" s="34"/>
      <c r="CC418" s="92"/>
      <c r="CD418" s="108"/>
      <c r="CE418" s="94"/>
      <c r="CF418" s="95"/>
      <c r="CG418" s="105"/>
      <c r="CH418" s="5101"/>
      <c r="CI418" s="920"/>
      <c r="CJ418" s="1495"/>
      <c r="CK418" s="101"/>
      <c r="CL418" s="1475"/>
      <c r="CM418" s="5086"/>
      <c r="CN418" s="104"/>
      <c r="CO418" s="32"/>
      <c r="CP418" s="33"/>
      <c r="CQ418" s="32"/>
      <c r="CR418" s="34"/>
      <c r="CS418" s="92"/>
      <c r="CT418" s="108"/>
      <c r="CU418" s="94"/>
      <c r="CV418" s="95"/>
      <c r="CW418" s="105"/>
      <c r="CX418" s="5101"/>
      <c r="CY418" s="920"/>
      <c r="CZ418" s="1495"/>
      <c r="DA418" s="101"/>
      <c r="DB418" s="1475"/>
      <c r="DC418" s="5109"/>
      <c r="DF418" s="3">
        <v>1</v>
      </c>
    </row>
    <row r="419" spans="2:110" ht="18.75">
      <c r="B419" s="952">
        <f t="shared" si="76"/>
        <v>0</v>
      </c>
      <c r="C419" s="993" cm="1">
        <f t="array" ref="C419">SUMPRODUCT(LEN(D419:J419))</f>
        <v>0</v>
      </c>
      <c r="D419" s="167"/>
      <c r="E419" s="172"/>
      <c r="F419" s="172"/>
      <c r="G419" s="172"/>
      <c r="H419" s="172"/>
      <c r="I419" s="172"/>
      <c r="J419" s="173"/>
      <c r="K419"/>
      <c r="L419" s="104"/>
      <c r="M419" s="32"/>
      <c r="N419" s="33"/>
      <c r="O419" s="32"/>
      <c r="P419" s="34"/>
      <c r="Q419" s="92"/>
      <c r="R419" s="108"/>
      <c r="S419" s="94"/>
      <c r="T419" s="95"/>
      <c r="U419" s="105"/>
      <c r="V419" s="5101"/>
      <c r="W419" s="920"/>
      <c r="X419" s="1495"/>
      <c r="Y419" s="101"/>
      <c r="Z419" s="1475"/>
      <c r="AA419" s="5086"/>
      <c r="AB419" s="104"/>
      <c r="AC419" s="32"/>
      <c r="AD419" s="33"/>
      <c r="AE419" s="32"/>
      <c r="AF419" s="34"/>
      <c r="AG419" s="92"/>
      <c r="AH419" s="108"/>
      <c r="AI419" s="94"/>
      <c r="AJ419" s="95"/>
      <c r="AK419" s="105"/>
      <c r="AL419" s="5101"/>
      <c r="AM419" s="920"/>
      <c r="AN419" s="1495"/>
      <c r="AO419" s="101"/>
      <c r="AP419" s="1475"/>
      <c r="AQ419" s="5086"/>
      <c r="AR419" s="104"/>
      <c r="AS419" s="32"/>
      <c r="AT419" s="33"/>
      <c r="AU419" s="32"/>
      <c r="AV419" s="34"/>
      <c r="AW419" s="92"/>
      <c r="AX419" s="108"/>
      <c r="AY419" s="94"/>
      <c r="AZ419" s="95"/>
      <c r="BA419" s="105"/>
      <c r="BB419" s="5101"/>
      <c r="BC419" s="920"/>
      <c r="BD419" s="1495"/>
      <c r="BE419" s="101"/>
      <c r="BF419" s="1475"/>
      <c r="BG419" s="5086"/>
      <c r="BH419" s="104"/>
      <c r="BI419" s="32"/>
      <c r="BJ419" s="33"/>
      <c r="BK419" s="32"/>
      <c r="BL419" s="34"/>
      <c r="BM419" s="92"/>
      <c r="BN419" s="108"/>
      <c r="BO419" s="94"/>
      <c r="BP419" s="95"/>
      <c r="BQ419" s="105"/>
      <c r="BR419" s="5101"/>
      <c r="BS419" s="920"/>
      <c r="BT419" s="1495"/>
      <c r="BU419" s="101"/>
      <c r="BV419" s="1475"/>
      <c r="BW419" s="5086"/>
      <c r="BX419" s="104"/>
      <c r="BY419" s="32"/>
      <c r="BZ419" s="33"/>
      <c r="CA419" s="32"/>
      <c r="CB419" s="34"/>
      <c r="CC419" s="92"/>
      <c r="CD419" s="108"/>
      <c r="CE419" s="94"/>
      <c r="CF419" s="95"/>
      <c r="CG419" s="105"/>
      <c r="CH419" s="5101"/>
      <c r="CI419" s="920"/>
      <c r="CJ419" s="1495"/>
      <c r="CK419" s="101"/>
      <c r="CL419" s="1475"/>
      <c r="CM419" s="5086"/>
      <c r="CN419" s="104"/>
      <c r="CO419" s="32"/>
      <c r="CP419" s="33"/>
      <c r="CQ419" s="32"/>
      <c r="CR419" s="34"/>
      <c r="CS419" s="92"/>
      <c r="CT419" s="108"/>
      <c r="CU419" s="94"/>
      <c r="CV419" s="95"/>
      <c r="CW419" s="105"/>
      <c r="CX419" s="5101"/>
      <c r="CY419" s="920"/>
      <c r="CZ419" s="1495"/>
      <c r="DA419" s="101"/>
      <c r="DB419" s="1475"/>
      <c r="DC419" s="5109"/>
      <c r="DF419" s="3">
        <v>1</v>
      </c>
    </row>
    <row r="420" spans="2:110" ht="18.75">
      <c r="B420" s="952">
        <f t="shared" si="76"/>
        <v>0</v>
      </c>
      <c r="C420" s="993" cm="1">
        <f t="array" ref="C420">SUMPRODUCT(LEN(D420:J420))</f>
        <v>0</v>
      </c>
      <c r="D420" s="167"/>
      <c r="E420" s="172"/>
      <c r="F420" s="172"/>
      <c r="G420" s="172"/>
      <c r="H420" s="172"/>
      <c r="I420" s="172"/>
      <c r="J420" s="173"/>
      <c r="K420"/>
      <c r="L420" s="104"/>
      <c r="M420" s="32"/>
      <c r="N420" s="33"/>
      <c r="O420" s="32"/>
      <c r="P420" s="34"/>
      <c r="Q420" s="92"/>
      <c r="R420" s="108"/>
      <c r="S420" s="94"/>
      <c r="T420" s="95"/>
      <c r="U420" s="105"/>
      <c r="V420" s="5101"/>
      <c r="W420" s="920"/>
      <c r="X420" s="1495"/>
      <c r="Y420" s="101"/>
      <c r="Z420" s="1475"/>
      <c r="AA420" s="5086"/>
      <c r="AB420" s="104"/>
      <c r="AC420" s="32"/>
      <c r="AD420" s="33"/>
      <c r="AE420" s="32"/>
      <c r="AF420" s="34"/>
      <c r="AG420" s="92"/>
      <c r="AH420" s="108"/>
      <c r="AI420" s="94"/>
      <c r="AJ420" s="95"/>
      <c r="AK420" s="105"/>
      <c r="AL420" s="5101"/>
      <c r="AM420" s="920"/>
      <c r="AN420" s="1495"/>
      <c r="AO420" s="101"/>
      <c r="AP420" s="1475"/>
      <c r="AQ420" s="5086"/>
      <c r="AR420" s="104"/>
      <c r="AS420" s="32"/>
      <c r="AT420" s="33"/>
      <c r="AU420" s="32"/>
      <c r="AV420" s="34"/>
      <c r="AW420" s="92"/>
      <c r="AX420" s="108"/>
      <c r="AY420" s="94"/>
      <c r="AZ420" s="95"/>
      <c r="BA420" s="105"/>
      <c r="BB420" s="5101"/>
      <c r="BC420" s="920"/>
      <c r="BD420" s="1495"/>
      <c r="BE420" s="101"/>
      <c r="BF420" s="1475"/>
      <c r="BG420" s="5086"/>
      <c r="BH420" s="104"/>
      <c r="BI420" s="32"/>
      <c r="BJ420" s="33"/>
      <c r="BK420" s="32"/>
      <c r="BL420" s="34"/>
      <c r="BM420" s="92"/>
      <c r="BN420" s="108"/>
      <c r="BO420" s="94"/>
      <c r="BP420" s="95"/>
      <c r="BQ420" s="105"/>
      <c r="BR420" s="5101"/>
      <c r="BS420" s="920"/>
      <c r="BT420" s="1495"/>
      <c r="BU420" s="101"/>
      <c r="BV420" s="1475"/>
      <c r="BW420" s="5086"/>
      <c r="BX420" s="104"/>
      <c r="BY420" s="32"/>
      <c r="BZ420" s="33"/>
      <c r="CA420" s="32"/>
      <c r="CB420" s="34"/>
      <c r="CC420" s="92"/>
      <c r="CD420" s="108"/>
      <c r="CE420" s="94"/>
      <c r="CF420" s="95"/>
      <c r="CG420" s="105"/>
      <c r="CH420" s="5101"/>
      <c r="CI420" s="920"/>
      <c r="CJ420" s="1495"/>
      <c r="CK420" s="101"/>
      <c r="CL420" s="1475"/>
      <c r="CM420" s="5086"/>
      <c r="CN420" s="104"/>
      <c r="CO420" s="32"/>
      <c r="CP420" s="33"/>
      <c r="CQ420" s="32"/>
      <c r="CR420" s="34"/>
      <c r="CS420" s="92"/>
      <c r="CT420" s="108"/>
      <c r="CU420" s="94"/>
      <c r="CV420" s="95"/>
      <c r="CW420" s="105"/>
      <c r="CX420" s="5101"/>
      <c r="CY420" s="920"/>
      <c r="CZ420" s="1495"/>
      <c r="DA420" s="101"/>
      <c r="DB420" s="1475"/>
      <c r="DC420" s="5109"/>
      <c r="DF420" s="3">
        <v>1</v>
      </c>
    </row>
    <row r="421" spans="2:110" ht="18.75">
      <c r="B421" s="952">
        <f t="shared" si="76"/>
        <v>0</v>
      </c>
      <c r="C421" s="993" cm="1">
        <f t="array" ref="C421">SUMPRODUCT(LEN(D421:J421))</f>
        <v>0</v>
      </c>
      <c r="D421" s="167"/>
      <c r="E421" s="172"/>
      <c r="F421" s="172"/>
      <c r="G421" s="172"/>
      <c r="H421" s="172"/>
      <c r="I421" s="172"/>
      <c r="J421" s="173"/>
      <c r="K421"/>
      <c r="L421" s="104"/>
      <c r="M421" s="32"/>
      <c r="N421" s="33"/>
      <c r="O421" s="32"/>
      <c r="P421" s="34"/>
      <c r="Q421" s="92"/>
      <c r="R421" s="108"/>
      <c r="S421" s="94"/>
      <c r="T421" s="95"/>
      <c r="U421" s="105"/>
      <c r="V421" s="5101"/>
      <c r="W421" s="920"/>
      <c r="X421" s="1495"/>
      <c r="Y421" s="101"/>
      <c r="Z421" s="1475"/>
      <c r="AA421" s="5086"/>
      <c r="AB421" s="104"/>
      <c r="AC421" s="32"/>
      <c r="AD421" s="33"/>
      <c r="AE421" s="32"/>
      <c r="AF421" s="34"/>
      <c r="AG421" s="92"/>
      <c r="AH421" s="108"/>
      <c r="AI421" s="94"/>
      <c r="AJ421" s="95"/>
      <c r="AK421" s="105"/>
      <c r="AL421" s="5101"/>
      <c r="AM421" s="920"/>
      <c r="AN421" s="1495"/>
      <c r="AO421" s="101"/>
      <c r="AP421" s="1475"/>
      <c r="AQ421" s="5086"/>
      <c r="AR421" s="104"/>
      <c r="AS421" s="32"/>
      <c r="AT421" s="33"/>
      <c r="AU421" s="32"/>
      <c r="AV421" s="34"/>
      <c r="AW421" s="92"/>
      <c r="AX421" s="108"/>
      <c r="AY421" s="94"/>
      <c r="AZ421" s="95"/>
      <c r="BA421" s="105"/>
      <c r="BB421" s="5101"/>
      <c r="BC421" s="920"/>
      <c r="BD421" s="1495"/>
      <c r="BE421" s="101"/>
      <c r="BF421" s="1475"/>
      <c r="BG421" s="5086"/>
      <c r="BH421" s="104"/>
      <c r="BI421" s="32"/>
      <c r="BJ421" s="33"/>
      <c r="BK421" s="32"/>
      <c r="BL421" s="34"/>
      <c r="BM421" s="92"/>
      <c r="BN421" s="108"/>
      <c r="BO421" s="94"/>
      <c r="BP421" s="95"/>
      <c r="BQ421" s="105"/>
      <c r="BR421" s="5101"/>
      <c r="BS421" s="920"/>
      <c r="BT421" s="1495"/>
      <c r="BU421" s="101"/>
      <c r="BV421" s="1475"/>
      <c r="BW421" s="5086"/>
      <c r="BX421" s="104"/>
      <c r="BY421" s="32"/>
      <c r="BZ421" s="33"/>
      <c r="CA421" s="32"/>
      <c r="CB421" s="34"/>
      <c r="CC421" s="92"/>
      <c r="CD421" s="108"/>
      <c r="CE421" s="94"/>
      <c r="CF421" s="95"/>
      <c r="CG421" s="105"/>
      <c r="CH421" s="5101"/>
      <c r="CI421" s="920"/>
      <c r="CJ421" s="1495"/>
      <c r="CK421" s="101"/>
      <c r="CL421" s="1475"/>
      <c r="CM421" s="5086"/>
      <c r="CN421" s="104"/>
      <c r="CO421" s="32"/>
      <c r="CP421" s="33"/>
      <c r="CQ421" s="32"/>
      <c r="CR421" s="34"/>
      <c r="CS421" s="92"/>
      <c r="CT421" s="108"/>
      <c r="CU421" s="94"/>
      <c r="CV421" s="95"/>
      <c r="CW421" s="105"/>
      <c r="CX421" s="5101"/>
      <c r="CY421" s="920"/>
      <c r="CZ421" s="1495"/>
      <c r="DA421" s="101"/>
      <c r="DB421" s="1475"/>
      <c r="DC421" s="5109"/>
      <c r="DF421" s="3">
        <v>1</v>
      </c>
    </row>
    <row r="422" spans="2:110" ht="18.75">
      <c r="B422" s="952">
        <f t="shared" si="76"/>
        <v>0</v>
      </c>
      <c r="C422" s="993" cm="1">
        <f t="array" ref="C422">SUMPRODUCT(LEN(D422:J422))</f>
        <v>0</v>
      </c>
      <c r="D422" s="167"/>
      <c r="E422" s="172"/>
      <c r="F422" s="172"/>
      <c r="G422" s="172"/>
      <c r="H422" s="172"/>
      <c r="I422" s="172"/>
      <c r="J422" s="173"/>
      <c r="K422"/>
      <c r="L422" s="104"/>
      <c r="M422" s="32"/>
      <c r="N422" s="33"/>
      <c r="O422" s="32"/>
      <c r="P422" s="34"/>
      <c r="Q422" s="92"/>
      <c r="R422" s="108"/>
      <c r="S422" s="94"/>
      <c r="T422" s="95"/>
      <c r="U422" s="105"/>
      <c r="V422" s="5101"/>
      <c r="W422" s="920"/>
      <c r="X422" s="1495"/>
      <c r="Y422" s="101"/>
      <c r="Z422" s="1475"/>
      <c r="AA422" s="5086"/>
      <c r="AB422" s="104"/>
      <c r="AC422" s="32"/>
      <c r="AD422" s="33"/>
      <c r="AE422" s="32"/>
      <c r="AF422" s="34"/>
      <c r="AG422" s="92"/>
      <c r="AH422" s="108"/>
      <c r="AI422" s="94"/>
      <c r="AJ422" s="95"/>
      <c r="AK422" s="105"/>
      <c r="AL422" s="5101"/>
      <c r="AM422" s="920"/>
      <c r="AN422" s="1495"/>
      <c r="AO422" s="101"/>
      <c r="AP422" s="1475"/>
      <c r="AQ422" s="5086"/>
      <c r="AR422" s="104"/>
      <c r="AS422" s="32"/>
      <c r="AT422" s="33"/>
      <c r="AU422" s="32"/>
      <c r="AV422" s="34"/>
      <c r="AW422" s="92"/>
      <c r="AX422" s="108"/>
      <c r="AY422" s="94"/>
      <c r="AZ422" s="95"/>
      <c r="BA422" s="105"/>
      <c r="BB422" s="5101"/>
      <c r="BC422" s="920"/>
      <c r="BD422" s="1495"/>
      <c r="BE422" s="101"/>
      <c r="BF422" s="1475"/>
      <c r="BG422" s="5086"/>
      <c r="BH422" s="104"/>
      <c r="BI422" s="32"/>
      <c r="BJ422" s="33"/>
      <c r="BK422" s="32"/>
      <c r="BL422" s="34"/>
      <c r="BM422" s="92"/>
      <c r="BN422" s="108"/>
      <c r="BO422" s="94"/>
      <c r="BP422" s="95"/>
      <c r="BQ422" s="105"/>
      <c r="BR422" s="5101"/>
      <c r="BS422" s="920"/>
      <c r="BT422" s="1495"/>
      <c r="BU422" s="101"/>
      <c r="BV422" s="1475"/>
      <c r="BW422" s="5086"/>
      <c r="BX422" s="104"/>
      <c r="BY422" s="32"/>
      <c r="BZ422" s="33"/>
      <c r="CA422" s="32"/>
      <c r="CB422" s="34"/>
      <c r="CC422" s="92"/>
      <c r="CD422" s="108"/>
      <c r="CE422" s="94"/>
      <c r="CF422" s="95"/>
      <c r="CG422" s="105"/>
      <c r="CH422" s="5101"/>
      <c r="CI422" s="920"/>
      <c r="CJ422" s="1495"/>
      <c r="CK422" s="101"/>
      <c r="CL422" s="1475"/>
      <c r="CM422" s="5086"/>
      <c r="CN422" s="104"/>
      <c r="CO422" s="32"/>
      <c r="CP422" s="33"/>
      <c r="CQ422" s="32"/>
      <c r="CR422" s="34"/>
      <c r="CS422" s="92"/>
      <c r="CT422" s="108"/>
      <c r="CU422" s="94"/>
      <c r="CV422" s="95"/>
      <c r="CW422" s="105"/>
      <c r="CX422" s="5101"/>
      <c r="CY422" s="920"/>
      <c r="CZ422" s="1495"/>
      <c r="DA422" s="101"/>
      <c r="DB422" s="1475"/>
      <c r="DC422" s="5109"/>
      <c r="DF422" s="3">
        <v>1</v>
      </c>
    </row>
    <row r="423" spans="2:110" ht="18.75">
      <c r="B423" s="952">
        <f t="shared" si="76"/>
        <v>0</v>
      </c>
      <c r="C423" s="993" cm="1">
        <f t="array" ref="C423">SUMPRODUCT(LEN(D423:J423))</f>
        <v>0</v>
      </c>
      <c r="D423" s="167"/>
      <c r="E423" s="172"/>
      <c r="F423" s="172"/>
      <c r="G423" s="172"/>
      <c r="H423" s="172"/>
      <c r="I423" s="172"/>
      <c r="J423" s="173"/>
      <c r="K423"/>
      <c r="L423" s="104"/>
      <c r="M423" s="32"/>
      <c r="N423" s="33"/>
      <c r="O423" s="32"/>
      <c r="P423" s="34"/>
      <c r="Q423" s="92"/>
      <c r="R423" s="108"/>
      <c r="S423" s="94"/>
      <c r="T423" s="95"/>
      <c r="U423" s="105"/>
      <c r="V423" s="5101"/>
      <c r="W423" s="920"/>
      <c r="X423" s="1495"/>
      <c r="Y423" s="101"/>
      <c r="Z423" s="1475"/>
      <c r="AA423" s="5086"/>
      <c r="AB423" s="104"/>
      <c r="AC423" s="32"/>
      <c r="AD423" s="33"/>
      <c r="AE423" s="32"/>
      <c r="AF423" s="34"/>
      <c r="AG423" s="92"/>
      <c r="AH423" s="108"/>
      <c r="AI423" s="94"/>
      <c r="AJ423" s="95"/>
      <c r="AK423" s="105"/>
      <c r="AL423" s="5101"/>
      <c r="AM423" s="920"/>
      <c r="AN423" s="1495"/>
      <c r="AO423" s="101"/>
      <c r="AP423" s="1475"/>
      <c r="AQ423" s="5086"/>
      <c r="AR423" s="104"/>
      <c r="AS423" s="32"/>
      <c r="AT423" s="33"/>
      <c r="AU423" s="32"/>
      <c r="AV423" s="34"/>
      <c r="AW423" s="92"/>
      <c r="AX423" s="108"/>
      <c r="AY423" s="94"/>
      <c r="AZ423" s="95"/>
      <c r="BA423" s="105"/>
      <c r="BB423" s="5101"/>
      <c r="BC423" s="920"/>
      <c r="BD423" s="1495"/>
      <c r="BE423" s="101"/>
      <c r="BF423" s="1475"/>
      <c r="BG423" s="5086"/>
      <c r="BH423" s="104"/>
      <c r="BI423" s="32"/>
      <c r="BJ423" s="33"/>
      <c r="BK423" s="32"/>
      <c r="BL423" s="34"/>
      <c r="BM423" s="92"/>
      <c r="BN423" s="108"/>
      <c r="BO423" s="94"/>
      <c r="BP423" s="95"/>
      <c r="BQ423" s="105"/>
      <c r="BR423" s="5101"/>
      <c r="BS423" s="920"/>
      <c r="BT423" s="1495"/>
      <c r="BU423" s="101"/>
      <c r="BV423" s="1475"/>
      <c r="BW423" s="5086"/>
      <c r="BX423" s="104"/>
      <c r="BY423" s="32"/>
      <c r="BZ423" s="33"/>
      <c r="CA423" s="32"/>
      <c r="CB423" s="34"/>
      <c r="CC423" s="92"/>
      <c r="CD423" s="108"/>
      <c r="CE423" s="94"/>
      <c r="CF423" s="95"/>
      <c r="CG423" s="105"/>
      <c r="CH423" s="5101"/>
      <c r="CI423" s="920"/>
      <c r="CJ423" s="1495"/>
      <c r="CK423" s="101"/>
      <c r="CL423" s="1475"/>
      <c r="CM423" s="5086"/>
      <c r="CN423" s="104"/>
      <c r="CO423" s="32"/>
      <c r="CP423" s="33"/>
      <c r="CQ423" s="32"/>
      <c r="CR423" s="34"/>
      <c r="CS423" s="92"/>
      <c r="CT423" s="108"/>
      <c r="CU423" s="94"/>
      <c r="CV423" s="95"/>
      <c r="CW423" s="105"/>
      <c r="CX423" s="5101"/>
      <c r="CY423" s="920"/>
      <c r="CZ423" s="1495"/>
      <c r="DA423" s="101"/>
      <c r="DB423" s="1475"/>
      <c r="DC423" s="5109"/>
      <c r="DF423" s="3">
        <v>1</v>
      </c>
    </row>
    <row r="424" spans="2:110" ht="18.75">
      <c r="B424" s="952">
        <f t="shared" si="76"/>
        <v>0</v>
      </c>
      <c r="C424" s="993" cm="1">
        <f t="array" ref="C424">SUMPRODUCT(LEN(D424:J424))</f>
        <v>0</v>
      </c>
      <c r="D424" s="167"/>
      <c r="E424" s="172"/>
      <c r="F424" s="172"/>
      <c r="G424" s="172"/>
      <c r="H424" s="172"/>
      <c r="I424" s="172"/>
      <c r="J424" s="173"/>
      <c r="K424"/>
      <c r="L424" s="104"/>
      <c r="M424" s="32"/>
      <c r="N424" s="33"/>
      <c r="O424" s="32"/>
      <c r="P424" s="34"/>
      <c r="Q424" s="92"/>
      <c r="R424" s="108"/>
      <c r="S424" s="94"/>
      <c r="T424" s="95"/>
      <c r="U424" s="105"/>
      <c r="V424" s="5101"/>
      <c r="W424" s="920"/>
      <c r="X424" s="1495"/>
      <c r="Y424" s="101"/>
      <c r="Z424" s="1475"/>
      <c r="AA424" s="5086"/>
      <c r="AB424" s="104"/>
      <c r="AC424" s="32"/>
      <c r="AD424" s="33"/>
      <c r="AE424" s="32"/>
      <c r="AF424" s="34"/>
      <c r="AG424" s="92"/>
      <c r="AH424" s="108"/>
      <c r="AI424" s="94"/>
      <c r="AJ424" s="95"/>
      <c r="AK424" s="105"/>
      <c r="AL424" s="5101"/>
      <c r="AM424" s="920"/>
      <c r="AN424" s="1495"/>
      <c r="AO424" s="101"/>
      <c r="AP424" s="1475"/>
      <c r="AQ424" s="5086"/>
      <c r="AR424" s="104"/>
      <c r="AS424" s="32"/>
      <c r="AT424" s="33"/>
      <c r="AU424" s="32"/>
      <c r="AV424" s="34"/>
      <c r="AW424" s="92"/>
      <c r="AX424" s="108"/>
      <c r="AY424" s="94"/>
      <c r="AZ424" s="95"/>
      <c r="BA424" s="105"/>
      <c r="BB424" s="5101"/>
      <c r="BC424" s="920"/>
      <c r="BD424" s="1495"/>
      <c r="BE424" s="101"/>
      <c r="BF424" s="1475"/>
      <c r="BG424" s="5086"/>
      <c r="BH424" s="104"/>
      <c r="BI424" s="32"/>
      <c r="BJ424" s="33"/>
      <c r="BK424" s="32"/>
      <c r="BL424" s="34"/>
      <c r="BM424" s="92"/>
      <c r="BN424" s="108"/>
      <c r="BO424" s="94"/>
      <c r="BP424" s="95"/>
      <c r="BQ424" s="105"/>
      <c r="BR424" s="5101"/>
      <c r="BS424" s="920"/>
      <c r="BT424" s="1495"/>
      <c r="BU424" s="101"/>
      <c r="BV424" s="1475"/>
      <c r="BW424" s="5086"/>
      <c r="BX424" s="104"/>
      <c r="BY424" s="32"/>
      <c r="BZ424" s="33"/>
      <c r="CA424" s="32"/>
      <c r="CB424" s="34"/>
      <c r="CC424" s="92"/>
      <c r="CD424" s="108"/>
      <c r="CE424" s="94"/>
      <c r="CF424" s="95"/>
      <c r="CG424" s="105"/>
      <c r="CH424" s="5101"/>
      <c r="CI424" s="920"/>
      <c r="CJ424" s="1495"/>
      <c r="CK424" s="101"/>
      <c r="CL424" s="1475"/>
      <c r="CM424" s="5086"/>
      <c r="CN424" s="104"/>
      <c r="CO424" s="32"/>
      <c r="CP424" s="33"/>
      <c r="CQ424" s="32"/>
      <c r="CR424" s="34"/>
      <c r="CS424" s="92"/>
      <c r="CT424" s="108"/>
      <c r="CU424" s="94"/>
      <c r="CV424" s="95"/>
      <c r="CW424" s="105"/>
      <c r="CX424" s="5101"/>
      <c r="CY424" s="920"/>
      <c r="CZ424" s="1495"/>
      <c r="DA424" s="101"/>
      <c r="DB424" s="1475"/>
      <c r="DC424" s="5109"/>
      <c r="DF424" s="3">
        <v>1</v>
      </c>
    </row>
    <row r="425" spans="2:110" ht="18.75">
      <c r="B425" s="952">
        <f t="shared" si="76"/>
        <v>0</v>
      </c>
      <c r="C425" s="993" cm="1">
        <f t="array" ref="C425">SUMPRODUCT(LEN(D425:J425))</f>
        <v>0</v>
      </c>
      <c r="D425" s="167"/>
      <c r="E425" s="172"/>
      <c r="F425" s="172"/>
      <c r="G425" s="172"/>
      <c r="H425" s="172"/>
      <c r="I425" s="172"/>
      <c r="J425" s="173"/>
      <c r="K425"/>
      <c r="L425" s="104"/>
      <c r="M425" s="32"/>
      <c r="N425" s="33"/>
      <c r="O425" s="32"/>
      <c r="P425" s="34"/>
      <c r="Q425" s="92"/>
      <c r="R425" s="108"/>
      <c r="S425" s="94"/>
      <c r="T425" s="95"/>
      <c r="U425" s="105"/>
      <c r="V425" s="5101"/>
      <c r="W425" s="920"/>
      <c r="X425" s="1495"/>
      <c r="Y425" s="101"/>
      <c r="Z425" s="1475"/>
      <c r="AA425" s="5086"/>
      <c r="AB425" s="104"/>
      <c r="AC425" s="32"/>
      <c r="AD425" s="33"/>
      <c r="AE425" s="32"/>
      <c r="AF425" s="34"/>
      <c r="AG425" s="92"/>
      <c r="AH425" s="108"/>
      <c r="AI425" s="94"/>
      <c r="AJ425" s="95"/>
      <c r="AK425" s="105"/>
      <c r="AL425" s="5101"/>
      <c r="AM425" s="920"/>
      <c r="AN425" s="1495"/>
      <c r="AO425" s="101"/>
      <c r="AP425" s="1475"/>
      <c r="AQ425" s="5086"/>
      <c r="AR425" s="104"/>
      <c r="AS425" s="32"/>
      <c r="AT425" s="33"/>
      <c r="AU425" s="32"/>
      <c r="AV425" s="34"/>
      <c r="AW425" s="92"/>
      <c r="AX425" s="108"/>
      <c r="AY425" s="94"/>
      <c r="AZ425" s="95"/>
      <c r="BA425" s="105"/>
      <c r="BB425" s="5101"/>
      <c r="BC425" s="920"/>
      <c r="BD425" s="1495"/>
      <c r="BE425" s="101"/>
      <c r="BF425" s="1475"/>
      <c r="BG425" s="5086"/>
      <c r="BH425" s="104"/>
      <c r="BI425" s="32"/>
      <c r="BJ425" s="33"/>
      <c r="BK425" s="32"/>
      <c r="BL425" s="34"/>
      <c r="BM425" s="92"/>
      <c r="BN425" s="108"/>
      <c r="BO425" s="94"/>
      <c r="BP425" s="95"/>
      <c r="BQ425" s="105"/>
      <c r="BR425" s="5101"/>
      <c r="BS425" s="920"/>
      <c r="BT425" s="1495"/>
      <c r="BU425" s="101"/>
      <c r="BV425" s="1475"/>
      <c r="BW425" s="5086"/>
      <c r="BX425" s="104"/>
      <c r="BY425" s="32"/>
      <c r="BZ425" s="33"/>
      <c r="CA425" s="32"/>
      <c r="CB425" s="34"/>
      <c r="CC425" s="92"/>
      <c r="CD425" s="108"/>
      <c r="CE425" s="94"/>
      <c r="CF425" s="95"/>
      <c r="CG425" s="105"/>
      <c r="CH425" s="5101"/>
      <c r="CI425" s="920"/>
      <c r="CJ425" s="1495"/>
      <c r="CK425" s="101"/>
      <c r="CL425" s="1475"/>
      <c r="CM425" s="5086"/>
      <c r="CN425" s="104"/>
      <c r="CO425" s="32"/>
      <c r="CP425" s="33"/>
      <c r="CQ425" s="32"/>
      <c r="CR425" s="34"/>
      <c r="CS425" s="92"/>
      <c r="CT425" s="108"/>
      <c r="CU425" s="94"/>
      <c r="CV425" s="95"/>
      <c r="CW425" s="105"/>
      <c r="CX425" s="5101"/>
      <c r="CY425" s="920"/>
      <c r="CZ425" s="1495"/>
      <c r="DA425" s="101"/>
      <c r="DB425" s="1475"/>
      <c r="DC425" s="5109"/>
      <c r="DF425" s="3">
        <v>1</v>
      </c>
    </row>
    <row r="426" spans="2:110" ht="18.75">
      <c r="B426" s="952">
        <f t="shared" si="76"/>
        <v>0</v>
      </c>
      <c r="C426" s="993" cm="1">
        <f t="array" ref="C426">SUMPRODUCT(LEN(D426:J426))</f>
        <v>0</v>
      </c>
      <c r="D426" s="167"/>
      <c r="E426" s="172"/>
      <c r="F426" s="172"/>
      <c r="G426" s="172"/>
      <c r="H426" s="172"/>
      <c r="I426" s="172"/>
      <c r="J426" s="173"/>
      <c r="K426"/>
      <c r="L426" s="104"/>
      <c r="M426" s="32"/>
      <c r="N426" s="33"/>
      <c r="O426" s="32"/>
      <c r="P426" s="34"/>
      <c r="Q426" s="92"/>
      <c r="R426" s="108"/>
      <c r="S426" s="94"/>
      <c r="T426" s="95"/>
      <c r="U426" s="105"/>
      <c r="V426" s="5101"/>
      <c r="W426" s="920"/>
      <c r="X426" s="1495"/>
      <c r="Y426" s="101"/>
      <c r="Z426" s="1475"/>
      <c r="AA426" s="5086"/>
      <c r="AB426" s="104"/>
      <c r="AC426" s="32"/>
      <c r="AD426" s="33"/>
      <c r="AE426" s="32"/>
      <c r="AF426" s="34"/>
      <c r="AG426" s="92"/>
      <c r="AH426" s="108"/>
      <c r="AI426" s="94"/>
      <c r="AJ426" s="95"/>
      <c r="AK426" s="105"/>
      <c r="AL426" s="5101"/>
      <c r="AM426" s="920"/>
      <c r="AN426" s="1495"/>
      <c r="AO426" s="101"/>
      <c r="AP426" s="1475"/>
      <c r="AQ426" s="5086"/>
      <c r="AR426" s="104"/>
      <c r="AS426" s="32"/>
      <c r="AT426" s="33"/>
      <c r="AU426" s="32"/>
      <c r="AV426" s="34"/>
      <c r="AW426" s="92"/>
      <c r="AX426" s="108"/>
      <c r="AY426" s="94"/>
      <c r="AZ426" s="95"/>
      <c r="BA426" s="105"/>
      <c r="BB426" s="5101"/>
      <c r="BC426" s="920"/>
      <c r="BD426" s="1495"/>
      <c r="BE426" s="101"/>
      <c r="BF426" s="1475"/>
      <c r="BG426" s="5086"/>
      <c r="BH426" s="104"/>
      <c r="BI426" s="32"/>
      <c r="BJ426" s="33"/>
      <c r="BK426" s="32"/>
      <c r="BL426" s="34"/>
      <c r="BM426" s="92"/>
      <c r="BN426" s="108"/>
      <c r="BO426" s="94"/>
      <c r="BP426" s="95"/>
      <c r="BQ426" s="105"/>
      <c r="BR426" s="5101"/>
      <c r="BS426" s="920"/>
      <c r="BT426" s="1495"/>
      <c r="BU426" s="101"/>
      <c r="BV426" s="1475"/>
      <c r="BW426" s="5086"/>
      <c r="BX426" s="104"/>
      <c r="BY426" s="32"/>
      <c r="BZ426" s="33"/>
      <c r="CA426" s="32"/>
      <c r="CB426" s="34"/>
      <c r="CC426" s="92"/>
      <c r="CD426" s="108"/>
      <c r="CE426" s="94"/>
      <c r="CF426" s="95"/>
      <c r="CG426" s="105"/>
      <c r="CH426" s="5101"/>
      <c r="CI426" s="920"/>
      <c r="CJ426" s="1495"/>
      <c r="CK426" s="101"/>
      <c r="CL426" s="1475"/>
      <c r="CM426" s="5086"/>
      <c r="CN426" s="104"/>
      <c r="CO426" s="32"/>
      <c r="CP426" s="33"/>
      <c r="CQ426" s="32"/>
      <c r="CR426" s="34"/>
      <c r="CS426" s="92"/>
      <c r="CT426" s="108"/>
      <c r="CU426" s="94"/>
      <c r="CV426" s="95"/>
      <c r="CW426" s="105"/>
      <c r="CX426" s="5101"/>
      <c r="CY426" s="920"/>
      <c r="CZ426" s="1495"/>
      <c r="DA426" s="101"/>
      <c r="DB426" s="1475"/>
      <c r="DC426" s="5109"/>
      <c r="DF426" s="3">
        <v>1</v>
      </c>
    </row>
    <row r="427" spans="2:110" ht="18.75">
      <c r="B427" s="952">
        <f t="shared" si="76"/>
        <v>0</v>
      </c>
      <c r="C427" s="993" cm="1">
        <f t="array" ref="C427">SUMPRODUCT(LEN(D427:J427))</f>
        <v>0</v>
      </c>
      <c r="D427" s="167"/>
      <c r="E427" s="172"/>
      <c r="F427" s="172"/>
      <c r="G427" s="172"/>
      <c r="H427" s="172"/>
      <c r="I427" s="172"/>
      <c r="J427" s="173"/>
      <c r="K427"/>
      <c r="L427" s="104"/>
      <c r="M427" s="32"/>
      <c r="N427" s="33"/>
      <c r="O427" s="32"/>
      <c r="P427" s="34"/>
      <c r="Q427" s="92"/>
      <c r="R427" s="108"/>
      <c r="S427" s="94"/>
      <c r="T427" s="95"/>
      <c r="U427" s="105"/>
      <c r="V427" s="5101"/>
      <c r="W427" s="920"/>
      <c r="X427" s="1495"/>
      <c r="Y427" s="101"/>
      <c r="Z427" s="1475"/>
      <c r="AA427" s="5086"/>
      <c r="AB427" s="104"/>
      <c r="AC427" s="32"/>
      <c r="AD427" s="33"/>
      <c r="AE427" s="32"/>
      <c r="AF427" s="34"/>
      <c r="AG427" s="92"/>
      <c r="AH427" s="108"/>
      <c r="AI427" s="94"/>
      <c r="AJ427" s="95"/>
      <c r="AK427" s="105"/>
      <c r="AL427" s="5101"/>
      <c r="AM427" s="920"/>
      <c r="AN427" s="1495"/>
      <c r="AO427" s="101"/>
      <c r="AP427" s="1475"/>
      <c r="AQ427" s="5086"/>
      <c r="AR427" s="104"/>
      <c r="AS427" s="32"/>
      <c r="AT427" s="33"/>
      <c r="AU427" s="32"/>
      <c r="AV427" s="34"/>
      <c r="AW427" s="92"/>
      <c r="AX427" s="108"/>
      <c r="AY427" s="94"/>
      <c r="AZ427" s="95"/>
      <c r="BA427" s="105"/>
      <c r="BB427" s="5101"/>
      <c r="BC427" s="920"/>
      <c r="BD427" s="1495"/>
      <c r="BE427" s="101"/>
      <c r="BF427" s="1475"/>
      <c r="BG427" s="5086"/>
      <c r="BH427" s="104"/>
      <c r="BI427" s="32"/>
      <c r="BJ427" s="33"/>
      <c r="BK427" s="32"/>
      <c r="BL427" s="34"/>
      <c r="BM427" s="92"/>
      <c r="BN427" s="108"/>
      <c r="BO427" s="94"/>
      <c r="BP427" s="95"/>
      <c r="BQ427" s="105"/>
      <c r="BR427" s="5101"/>
      <c r="BS427" s="920"/>
      <c r="BT427" s="1495"/>
      <c r="BU427" s="101"/>
      <c r="BV427" s="1475"/>
      <c r="BW427" s="5086"/>
      <c r="BX427" s="104"/>
      <c r="BY427" s="32"/>
      <c r="BZ427" s="33"/>
      <c r="CA427" s="32"/>
      <c r="CB427" s="34"/>
      <c r="CC427" s="92"/>
      <c r="CD427" s="108"/>
      <c r="CE427" s="94"/>
      <c r="CF427" s="95"/>
      <c r="CG427" s="105"/>
      <c r="CH427" s="5101"/>
      <c r="CI427" s="920"/>
      <c r="CJ427" s="1495"/>
      <c r="CK427" s="101"/>
      <c r="CL427" s="1475"/>
      <c r="CM427" s="5086"/>
      <c r="CN427" s="104"/>
      <c r="CO427" s="32"/>
      <c r="CP427" s="33"/>
      <c r="CQ427" s="32"/>
      <c r="CR427" s="34"/>
      <c r="CS427" s="92"/>
      <c r="CT427" s="108"/>
      <c r="CU427" s="94"/>
      <c r="CV427" s="95"/>
      <c r="CW427" s="105"/>
      <c r="CX427" s="5101"/>
      <c r="CY427" s="920"/>
      <c r="CZ427" s="1495"/>
      <c r="DA427" s="101"/>
      <c r="DB427" s="1475"/>
      <c r="DC427" s="5109"/>
      <c r="DF427" s="3">
        <v>1</v>
      </c>
    </row>
    <row r="428" spans="2:110" ht="18.75">
      <c r="B428" s="952">
        <f t="shared" si="76"/>
        <v>0</v>
      </c>
      <c r="C428" s="993" cm="1">
        <f t="array" ref="C428">SUMPRODUCT(LEN(D428:J428))</f>
        <v>0</v>
      </c>
      <c r="D428" s="167"/>
      <c r="E428" s="172"/>
      <c r="F428" s="172"/>
      <c r="G428" s="172"/>
      <c r="H428" s="172"/>
      <c r="I428" s="172"/>
      <c r="J428" s="173"/>
      <c r="K428"/>
      <c r="L428" s="104"/>
      <c r="M428" s="32"/>
      <c r="N428" s="33"/>
      <c r="O428" s="32"/>
      <c r="P428" s="34"/>
      <c r="Q428" s="92"/>
      <c r="R428" s="108"/>
      <c r="S428" s="94"/>
      <c r="T428" s="95"/>
      <c r="U428" s="105"/>
      <c r="V428" s="5101"/>
      <c r="W428" s="920"/>
      <c r="X428" s="1495"/>
      <c r="Y428" s="101"/>
      <c r="Z428" s="1475"/>
      <c r="AA428" s="5086"/>
      <c r="AB428" s="104"/>
      <c r="AC428" s="32"/>
      <c r="AD428" s="33"/>
      <c r="AE428" s="32"/>
      <c r="AF428" s="34"/>
      <c r="AG428" s="92"/>
      <c r="AH428" s="108"/>
      <c r="AI428" s="94"/>
      <c r="AJ428" s="95"/>
      <c r="AK428" s="105"/>
      <c r="AL428" s="5101"/>
      <c r="AM428" s="920"/>
      <c r="AN428" s="1495"/>
      <c r="AO428" s="101"/>
      <c r="AP428" s="1475"/>
      <c r="AQ428" s="5086"/>
      <c r="AR428" s="104"/>
      <c r="AS428" s="32"/>
      <c r="AT428" s="33"/>
      <c r="AU428" s="32"/>
      <c r="AV428" s="34"/>
      <c r="AW428" s="92"/>
      <c r="AX428" s="108"/>
      <c r="AY428" s="94"/>
      <c r="AZ428" s="95"/>
      <c r="BA428" s="105"/>
      <c r="BB428" s="5101"/>
      <c r="BC428" s="920"/>
      <c r="BD428" s="1495"/>
      <c r="BE428" s="101"/>
      <c r="BF428" s="1475"/>
      <c r="BG428" s="5086"/>
      <c r="BH428" s="104"/>
      <c r="BI428" s="32"/>
      <c r="BJ428" s="33"/>
      <c r="BK428" s="32"/>
      <c r="BL428" s="34"/>
      <c r="BM428" s="92"/>
      <c r="BN428" s="108"/>
      <c r="BO428" s="94"/>
      <c r="BP428" s="95"/>
      <c r="BQ428" s="105"/>
      <c r="BR428" s="5101"/>
      <c r="BS428" s="920"/>
      <c r="BT428" s="1495"/>
      <c r="BU428" s="101"/>
      <c r="BV428" s="1475"/>
      <c r="BW428" s="5086"/>
      <c r="BX428" s="104"/>
      <c r="BY428" s="32"/>
      <c r="BZ428" s="33"/>
      <c r="CA428" s="32"/>
      <c r="CB428" s="34"/>
      <c r="CC428" s="92"/>
      <c r="CD428" s="108"/>
      <c r="CE428" s="94"/>
      <c r="CF428" s="95"/>
      <c r="CG428" s="105"/>
      <c r="CH428" s="5101"/>
      <c r="CI428" s="920"/>
      <c r="CJ428" s="1495"/>
      <c r="CK428" s="101"/>
      <c r="CL428" s="1475"/>
      <c r="CM428" s="5086"/>
      <c r="CN428" s="104"/>
      <c r="CO428" s="32"/>
      <c r="CP428" s="33"/>
      <c r="CQ428" s="32"/>
      <c r="CR428" s="34"/>
      <c r="CS428" s="92"/>
      <c r="CT428" s="108"/>
      <c r="CU428" s="94"/>
      <c r="CV428" s="95"/>
      <c r="CW428" s="105"/>
      <c r="CX428" s="5101"/>
      <c r="CY428" s="920"/>
      <c r="CZ428" s="1495"/>
      <c r="DA428" s="101"/>
      <c r="DB428" s="1475"/>
      <c r="DC428" s="5109"/>
      <c r="DF428" s="3">
        <v>1</v>
      </c>
    </row>
    <row r="429" spans="2:110" ht="18.75">
      <c r="B429" s="952">
        <f t="shared" si="76"/>
        <v>0</v>
      </c>
      <c r="C429" s="993" cm="1">
        <f t="array" ref="C429">SUMPRODUCT(LEN(D429:J429))</f>
        <v>0</v>
      </c>
      <c r="D429" s="167"/>
      <c r="E429" s="172"/>
      <c r="F429" s="172"/>
      <c r="G429" s="172"/>
      <c r="H429" s="172"/>
      <c r="I429" s="172"/>
      <c r="J429" s="173"/>
      <c r="K429"/>
      <c r="L429" s="104"/>
      <c r="M429" s="32"/>
      <c r="N429" s="33"/>
      <c r="O429" s="32"/>
      <c r="P429" s="34"/>
      <c r="Q429" s="92"/>
      <c r="R429" s="108"/>
      <c r="S429" s="94"/>
      <c r="T429" s="95"/>
      <c r="U429" s="105"/>
      <c r="V429" s="5101"/>
      <c r="W429" s="920"/>
      <c r="X429" s="1495"/>
      <c r="Y429" s="101"/>
      <c r="Z429" s="1475"/>
      <c r="AA429" s="5086"/>
      <c r="AB429" s="104"/>
      <c r="AC429" s="32"/>
      <c r="AD429" s="33"/>
      <c r="AE429" s="32"/>
      <c r="AF429" s="34"/>
      <c r="AG429" s="92"/>
      <c r="AH429" s="108"/>
      <c r="AI429" s="94"/>
      <c r="AJ429" s="95"/>
      <c r="AK429" s="105"/>
      <c r="AL429" s="5101"/>
      <c r="AM429" s="920"/>
      <c r="AN429" s="1495"/>
      <c r="AO429" s="101"/>
      <c r="AP429" s="1475"/>
      <c r="AQ429" s="5086"/>
      <c r="AR429" s="104"/>
      <c r="AS429" s="32"/>
      <c r="AT429" s="33"/>
      <c r="AU429" s="32"/>
      <c r="AV429" s="34"/>
      <c r="AW429" s="92"/>
      <c r="AX429" s="108"/>
      <c r="AY429" s="94"/>
      <c r="AZ429" s="95"/>
      <c r="BA429" s="105"/>
      <c r="BB429" s="5101"/>
      <c r="BC429" s="920"/>
      <c r="BD429" s="1495"/>
      <c r="BE429" s="101"/>
      <c r="BF429" s="1475"/>
      <c r="BG429" s="5086"/>
      <c r="BH429" s="104"/>
      <c r="BI429" s="32"/>
      <c r="BJ429" s="33"/>
      <c r="BK429" s="32"/>
      <c r="BL429" s="34"/>
      <c r="BM429" s="92"/>
      <c r="BN429" s="108"/>
      <c r="BO429" s="94"/>
      <c r="BP429" s="95"/>
      <c r="BQ429" s="105"/>
      <c r="BR429" s="5101"/>
      <c r="BS429" s="920"/>
      <c r="BT429" s="1495"/>
      <c r="BU429" s="101"/>
      <c r="BV429" s="1475"/>
      <c r="BW429" s="5086"/>
      <c r="BX429" s="104"/>
      <c r="BY429" s="32"/>
      <c r="BZ429" s="33"/>
      <c r="CA429" s="32"/>
      <c r="CB429" s="34"/>
      <c r="CC429" s="92"/>
      <c r="CD429" s="108"/>
      <c r="CE429" s="94"/>
      <c r="CF429" s="95"/>
      <c r="CG429" s="105"/>
      <c r="CH429" s="5101"/>
      <c r="CI429" s="920"/>
      <c r="CJ429" s="1495"/>
      <c r="CK429" s="101"/>
      <c r="CL429" s="1475"/>
      <c r="CM429" s="5086"/>
      <c r="CN429" s="104"/>
      <c r="CO429" s="32"/>
      <c r="CP429" s="33"/>
      <c r="CQ429" s="32"/>
      <c r="CR429" s="34"/>
      <c r="CS429" s="92"/>
      <c r="CT429" s="108"/>
      <c r="CU429" s="94"/>
      <c r="CV429" s="95"/>
      <c r="CW429" s="105"/>
      <c r="CX429" s="5101"/>
      <c r="CY429" s="920"/>
      <c r="CZ429" s="1495"/>
      <c r="DA429" s="101"/>
      <c r="DB429" s="1475"/>
      <c r="DC429" s="5109"/>
      <c r="DF429" s="3">
        <v>1</v>
      </c>
    </row>
    <row r="430" spans="2:110" ht="18.75">
      <c r="B430" s="952">
        <f t="shared" si="76"/>
        <v>0</v>
      </c>
      <c r="C430" s="993" cm="1">
        <f t="array" ref="C430">SUMPRODUCT(LEN(D430:J430))</f>
        <v>0</v>
      </c>
      <c r="D430" s="167"/>
      <c r="E430" s="172"/>
      <c r="F430" s="172"/>
      <c r="G430" s="172"/>
      <c r="H430" s="172"/>
      <c r="I430" s="172"/>
      <c r="J430" s="173"/>
      <c r="K430"/>
      <c r="L430" s="104"/>
      <c r="M430" s="32"/>
      <c r="N430" s="33"/>
      <c r="O430" s="32"/>
      <c r="P430" s="34"/>
      <c r="Q430" s="92"/>
      <c r="R430" s="108"/>
      <c r="S430" s="94"/>
      <c r="T430" s="95"/>
      <c r="U430" s="105"/>
      <c r="V430" s="5101"/>
      <c r="W430" s="920"/>
      <c r="X430" s="1495"/>
      <c r="Y430" s="101"/>
      <c r="Z430" s="1475"/>
      <c r="AA430" s="5086"/>
      <c r="AB430" s="104"/>
      <c r="AC430" s="32"/>
      <c r="AD430" s="33"/>
      <c r="AE430" s="32"/>
      <c r="AF430" s="34"/>
      <c r="AG430" s="92"/>
      <c r="AH430" s="108"/>
      <c r="AI430" s="94"/>
      <c r="AJ430" s="95"/>
      <c r="AK430" s="105"/>
      <c r="AL430" s="5101"/>
      <c r="AM430" s="920"/>
      <c r="AN430" s="1495"/>
      <c r="AO430" s="101"/>
      <c r="AP430" s="1475"/>
      <c r="AQ430" s="5086"/>
      <c r="AR430" s="104"/>
      <c r="AS430" s="32"/>
      <c r="AT430" s="33"/>
      <c r="AU430" s="32"/>
      <c r="AV430" s="34"/>
      <c r="AW430" s="92"/>
      <c r="AX430" s="108"/>
      <c r="AY430" s="94"/>
      <c r="AZ430" s="95"/>
      <c r="BA430" s="105"/>
      <c r="BB430" s="5101"/>
      <c r="BC430" s="920"/>
      <c r="BD430" s="1495"/>
      <c r="BE430" s="101"/>
      <c r="BF430" s="1475"/>
      <c r="BG430" s="5086"/>
      <c r="BH430" s="104"/>
      <c r="BI430" s="32"/>
      <c r="BJ430" s="33"/>
      <c r="BK430" s="32"/>
      <c r="BL430" s="34"/>
      <c r="BM430" s="92"/>
      <c r="BN430" s="108"/>
      <c r="BO430" s="94"/>
      <c r="BP430" s="95"/>
      <c r="BQ430" s="105"/>
      <c r="BR430" s="5101"/>
      <c r="BS430" s="920"/>
      <c r="BT430" s="1495"/>
      <c r="BU430" s="101"/>
      <c r="BV430" s="1475"/>
      <c r="BW430" s="5086"/>
      <c r="BX430" s="104"/>
      <c r="BY430" s="32"/>
      <c r="BZ430" s="33"/>
      <c r="CA430" s="32"/>
      <c r="CB430" s="34"/>
      <c r="CC430" s="92"/>
      <c r="CD430" s="108"/>
      <c r="CE430" s="94"/>
      <c r="CF430" s="95"/>
      <c r="CG430" s="105"/>
      <c r="CH430" s="5101"/>
      <c r="CI430" s="920"/>
      <c r="CJ430" s="1495"/>
      <c r="CK430" s="101"/>
      <c r="CL430" s="1475"/>
      <c r="CM430" s="5086"/>
      <c r="CN430" s="104"/>
      <c r="CO430" s="32"/>
      <c r="CP430" s="33"/>
      <c r="CQ430" s="32"/>
      <c r="CR430" s="34"/>
      <c r="CS430" s="92"/>
      <c r="CT430" s="108"/>
      <c r="CU430" s="94"/>
      <c r="CV430" s="95"/>
      <c r="CW430" s="105"/>
      <c r="CX430" s="5101"/>
      <c r="CY430" s="920"/>
      <c r="CZ430" s="1495"/>
      <c r="DA430" s="101"/>
      <c r="DB430" s="1475"/>
      <c r="DC430" s="5109"/>
      <c r="DF430" s="3">
        <v>1</v>
      </c>
    </row>
    <row r="431" spans="2:110" ht="18.75">
      <c r="B431" s="952">
        <f t="shared" si="76"/>
        <v>0</v>
      </c>
      <c r="C431" s="993" cm="1">
        <f t="array" ref="C431">SUMPRODUCT(LEN(D431:J431))</f>
        <v>0</v>
      </c>
      <c r="D431" s="167"/>
      <c r="E431" s="172"/>
      <c r="F431" s="172"/>
      <c r="G431" s="172"/>
      <c r="H431" s="172"/>
      <c r="I431" s="172"/>
      <c r="J431" s="173"/>
      <c r="K431"/>
      <c r="L431" s="104"/>
      <c r="M431" s="32"/>
      <c r="N431" s="33"/>
      <c r="O431" s="32"/>
      <c r="P431" s="34"/>
      <c r="Q431" s="92"/>
      <c r="R431" s="108"/>
      <c r="S431" s="94"/>
      <c r="T431" s="95"/>
      <c r="U431" s="105"/>
      <c r="V431" s="5101"/>
      <c r="W431" s="920"/>
      <c r="X431" s="1495"/>
      <c r="Y431" s="101"/>
      <c r="Z431" s="1475"/>
      <c r="AA431" s="5086"/>
      <c r="AB431" s="104"/>
      <c r="AC431" s="32"/>
      <c r="AD431" s="33"/>
      <c r="AE431" s="32"/>
      <c r="AF431" s="34"/>
      <c r="AG431" s="92"/>
      <c r="AH431" s="108"/>
      <c r="AI431" s="94"/>
      <c r="AJ431" s="95"/>
      <c r="AK431" s="105"/>
      <c r="AL431" s="5101"/>
      <c r="AM431" s="920"/>
      <c r="AN431" s="1495"/>
      <c r="AO431" s="101"/>
      <c r="AP431" s="1475"/>
      <c r="AQ431" s="5086"/>
      <c r="AR431" s="104"/>
      <c r="AS431" s="32"/>
      <c r="AT431" s="33"/>
      <c r="AU431" s="32"/>
      <c r="AV431" s="34"/>
      <c r="AW431" s="92"/>
      <c r="AX431" s="108"/>
      <c r="AY431" s="94"/>
      <c r="AZ431" s="95"/>
      <c r="BA431" s="105"/>
      <c r="BB431" s="5101"/>
      <c r="BC431" s="920"/>
      <c r="BD431" s="1495"/>
      <c r="BE431" s="101"/>
      <c r="BF431" s="1475"/>
      <c r="BG431" s="5086"/>
      <c r="BH431" s="104"/>
      <c r="BI431" s="32"/>
      <c r="BJ431" s="33"/>
      <c r="BK431" s="32"/>
      <c r="BL431" s="34"/>
      <c r="BM431" s="92"/>
      <c r="BN431" s="108"/>
      <c r="BO431" s="94"/>
      <c r="BP431" s="95"/>
      <c r="BQ431" s="105"/>
      <c r="BR431" s="5101"/>
      <c r="BS431" s="920"/>
      <c r="BT431" s="1495"/>
      <c r="BU431" s="101"/>
      <c r="BV431" s="1475"/>
      <c r="BW431" s="5086"/>
      <c r="BX431" s="104"/>
      <c r="BY431" s="32"/>
      <c r="BZ431" s="33"/>
      <c r="CA431" s="32"/>
      <c r="CB431" s="34"/>
      <c r="CC431" s="92"/>
      <c r="CD431" s="108"/>
      <c r="CE431" s="94"/>
      <c r="CF431" s="95"/>
      <c r="CG431" s="105"/>
      <c r="CH431" s="5101"/>
      <c r="CI431" s="920"/>
      <c r="CJ431" s="1495"/>
      <c r="CK431" s="101"/>
      <c r="CL431" s="1475"/>
      <c r="CM431" s="5086"/>
      <c r="CN431" s="104"/>
      <c r="CO431" s="32"/>
      <c r="CP431" s="33"/>
      <c r="CQ431" s="32"/>
      <c r="CR431" s="34"/>
      <c r="CS431" s="92"/>
      <c r="CT431" s="108"/>
      <c r="CU431" s="94"/>
      <c r="CV431" s="95"/>
      <c r="CW431" s="105"/>
      <c r="CX431" s="5101"/>
      <c r="CY431" s="920"/>
      <c r="CZ431" s="1495"/>
      <c r="DA431" s="101"/>
      <c r="DB431" s="1475"/>
      <c r="DC431" s="5109"/>
      <c r="DF431" s="3">
        <v>1</v>
      </c>
    </row>
    <row r="432" spans="2:110" ht="18.75">
      <c r="B432" s="952">
        <f t="shared" si="76"/>
        <v>0</v>
      </c>
      <c r="C432" s="993" cm="1">
        <f t="array" ref="C432">SUMPRODUCT(LEN(D432:J432))</f>
        <v>0</v>
      </c>
      <c r="D432" s="167"/>
      <c r="E432" s="172"/>
      <c r="F432" s="172"/>
      <c r="G432" s="172"/>
      <c r="H432" s="172"/>
      <c r="I432" s="172"/>
      <c r="J432" s="173"/>
      <c r="K432"/>
      <c r="L432" s="104"/>
      <c r="M432" s="32"/>
      <c r="N432" s="33"/>
      <c r="O432" s="32"/>
      <c r="P432" s="34"/>
      <c r="Q432" s="92"/>
      <c r="R432" s="108"/>
      <c r="S432" s="94"/>
      <c r="T432" s="95"/>
      <c r="U432" s="105"/>
      <c r="V432" s="5101"/>
      <c r="W432" s="920"/>
      <c r="X432" s="1495"/>
      <c r="Y432" s="101"/>
      <c r="Z432" s="1475"/>
      <c r="AA432" s="5086"/>
      <c r="AB432" s="104"/>
      <c r="AC432" s="32"/>
      <c r="AD432" s="33"/>
      <c r="AE432" s="32"/>
      <c r="AF432" s="34"/>
      <c r="AG432" s="92"/>
      <c r="AH432" s="108"/>
      <c r="AI432" s="94"/>
      <c r="AJ432" s="95"/>
      <c r="AK432" s="105"/>
      <c r="AL432" s="5101"/>
      <c r="AM432" s="920"/>
      <c r="AN432" s="1495"/>
      <c r="AO432" s="101"/>
      <c r="AP432" s="1475"/>
      <c r="AQ432" s="5086"/>
      <c r="AR432" s="104"/>
      <c r="AS432" s="32"/>
      <c r="AT432" s="33"/>
      <c r="AU432" s="32"/>
      <c r="AV432" s="34"/>
      <c r="AW432" s="92"/>
      <c r="AX432" s="108"/>
      <c r="AY432" s="94"/>
      <c r="AZ432" s="95"/>
      <c r="BA432" s="105"/>
      <c r="BB432" s="5101"/>
      <c r="BC432" s="920"/>
      <c r="BD432" s="1495"/>
      <c r="BE432" s="101"/>
      <c r="BF432" s="1475"/>
      <c r="BG432" s="5086"/>
      <c r="BH432" s="104"/>
      <c r="BI432" s="32"/>
      <c r="BJ432" s="33"/>
      <c r="BK432" s="32"/>
      <c r="BL432" s="34"/>
      <c r="BM432" s="92"/>
      <c r="BN432" s="108"/>
      <c r="BO432" s="94"/>
      <c r="BP432" s="95"/>
      <c r="BQ432" s="105"/>
      <c r="BR432" s="5101"/>
      <c r="BS432" s="920"/>
      <c r="BT432" s="1495"/>
      <c r="BU432" s="101"/>
      <c r="BV432" s="1475"/>
      <c r="BW432" s="5086"/>
      <c r="BX432" s="104"/>
      <c r="BY432" s="32"/>
      <c r="BZ432" s="33"/>
      <c r="CA432" s="32"/>
      <c r="CB432" s="34"/>
      <c r="CC432" s="92"/>
      <c r="CD432" s="108"/>
      <c r="CE432" s="94"/>
      <c r="CF432" s="95"/>
      <c r="CG432" s="105"/>
      <c r="CH432" s="5101"/>
      <c r="CI432" s="920"/>
      <c r="CJ432" s="1495"/>
      <c r="CK432" s="101"/>
      <c r="CL432" s="1475"/>
      <c r="CM432" s="5086"/>
      <c r="CN432" s="104"/>
      <c r="CO432" s="32"/>
      <c r="CP432" s="33"/>
      <c r="CQ432" s="32"/>
      <c r="CR432" s="34"/>
      <c r="CS432" s="92"/>
      <c r="CT432" s="108"/>
      <c r="CU432" s="94"/>
      <c r="CV432" s="95"/>
      <c r="CW432" s="105"/>
      <c r="CX432" s="5101"/>
      <c r="CY432" s="920"/>
      <c r="CZ432" s="1495"/>
      <c r="DA432" s="101"/>
      <c r="DB432" s="1475"/>
      <c r="DC432" s="5109"/>
      <c r="DF432" s="3">
        <v>1</v>
      </c>
    </row>
    <row r="433" spans="2:110" ht="18.75">
      <c r="B433" s="952">
        <f t="shared" si="76"/>
        <v>0</v>
      </c>
      <c r="C433" s="993" cm="1">
        <f t="array" ref="C433">SUMPRODUCT(LEN(D433:J433))</f>
        <v>0</v>
      </c>
      <c r="D433" s="167"/>
      <c r="E433" s="172"/>
      <c r="F433" s="172"/>
      <c r="G433" s="172"/>
      <c r="H433" s="172"/>
      <c r="I433" s="172"/>
      <c r="J433" s="173"/>
      <c r="K433"/>
      <c r="L433" s="104"/>
      <c r="M433" s="32"/>
      <c r="N433" s="33"/>
      <c r="O433" s="32"/>
      <c r="P433" s="34"/>
      <c r="Q433" s="92"/>
      <c r="R433" s="108"/>
      <c r="S433" s="94"/>
      <c r="T433" s="95"/>
      <c r="U433" s="105"/>
      <c r="V433" s="5101"/>
      <c r="W433" s="920"/>
      <c r="X433" s="1495"/>
      <c r="Y433" s="101"/>
      <c r="Z433" s="1475"/>
      <c r="AA433" s="5086"/>
      <c r="AB433" s="104"/>
      <c r="AC433" s="32"/>
      <c r="AD433" s="33"/>
      <c r="AE433" s="32"/>
      <c r="AF433" s="34"/>
      <c r="AG433" s="92"/>
      <c r="AH433" s="108"/>
      <c r="AI433" s="94"/>
      <c r="AJ433" s="95"/>
      <c r="AK433" s="105"/>
      <c r="AL433" s="5101"/>
      <c r="AM433" s="920"/>
      <c r="AN433" s="1495"/>
      <c r="AO433" s="101"/>
      <c r="AP433" s="1475"/>
      <c r="AQ433" s="5086"/>
      <c r="AR433" s="104"/>
      <c r="AS433" s="32"/>
      <c r="AT433" s="33"/>
      <c r="AU433" s="32"/>
      <c r="AV433" s="34"/>
      <c r="AW433" s="92"/>
      <c r="AX433" s="108"/>
      <c r="AY433" s="94"/>
      <c r="AZ433" s="95"/>
      <c r="BA433" s="105"/>
      <c r="BB433" s="5101"/>
      <c r="BC433" s="920"/>
      <c r="BD433" s="1495"/>
      <c r="BE433" s="101"/>
      <c r="BF433" s="1475"/>
      <c r="BG433" s="5086"/>
      <c r="BH433" s="104"/>
      <c r="BI433" s="32"/>
      <c r="BJ433" s="33"/>
      <c r="BK433" s="32"/>
      <c r="BL433" s="34"/>
      <c r="BM433" s="92"/>
      <c r="BN433" s="108"/>
      <c r="BO433" s="94"/>
      <c r="BP433" s="95"/>
      <c r="BQ433" s="105"/>
      <c r="BR433" s="5101"/>
      <c r="BS433" s="920"/>
      <c r="BT433" s="1495"/>
      <c r="BU433" s="101"/>
      <c r="BV433" s="1475"/>
      <c r="BW433" s="5086"/>
      <c r="BX433" s="104"/>
      <c r="BY433" s="32"/>
      <c r="BZ433" s="33"/>
      <c r="CA433" s="32"/>
      <c r="CB433" s="34"/>
      <c r="CC433" s="92"/>
      <c r="CD433" s="108"/>
      <c r="CE433" s="94"/>
      <c r="CF433" s="95"/>
      <c r="CG433" s="105"/>
      <c r="CH433" s="5101"/>
      <c r="CI433" s="920"/>
      <c r="CJ433" s="1495"/>
      <c r="CK433" s="101"/>
      <c r="CL433" s="1475"/>
      <c r="CM433" s="5086"/>
      <c r="CN433" s="104"/>
      <c r="CO433" s="32"/>
      <c r="CP433" s="33"/>
      <c r="CQ433" s="32"/>
      <c r="CR433" s="34"/>
      <c r="CS433" s="92"/>
      <c r="CT433" s="108"/>
      <c r="CU433" s="94"/>
      <c r="CV433" s="95"/>
      <c r="CW433" s="105"/>
      <c r="CX433" s="5101"/>
      <c r="CY433" s="920"/>
      <c r="CZ433" s="1495"/>
      <c r="DA433" s="101"/>
      <c r="DB433" s="1475"/>
      <c r="DC433" s="5109"/>
      <c r="DF433" s="3">
        <v>1</v>
      </c>
    </row>
    <row r="434" spans="2:110" ht="18.75">
      <c r="B434" s="952">
        <f t="shared" si="76"/>
        <v>0</v>
      </c>
      <c r="C434" s="993" cm="1">
        <f t="array" ref="C434">SUMPRODUCT(LEN(D434:J434))</f>
        <v>0</v>
      </c>
      <c r="D434" s="167"/>
      <c r="E434" s="172"/>
      <c r="F434" s="172"/>
      <c r="G434" s="172"/>
      <c r="H434" s="172"/>
      <c r="I434" s="172"/>
      <c r="J434" s="173"/>
      <c r="K434"/>
      <c r="L434" s="104"/>
      <c r="M434" s="32"/>
      <c r="N434" s="33"/>
      <c r="O434" s="32"/>
      <c r="P434" s="34"/>
      <c r="Q434" s="92"/>
      <c r="R434" s="108"/>
      <c r="S434" s="94"/>
      <c r="T434" s="95"/>
      <c r="U434" s="105"/>
      <c r="V434" s="5101"/>
      <c r="W434" s="920"/>
      <c r="X434" s="1495"/>
      <c r="Y434" s="101"/>
      <c r="Z434" s="1475"/>
      <c r="AA434" s="5086"/>
      <c r="AB434" s="104"/>
      <c r="AC434" s="32"/>
      <c r="AD434" s="33"/>
      <c r="AE434" s="32"/>
      <c r="AF434" s="34"/>
      <c r="AG434" s="92"/>
      <c r="AH434" s="108"/>
      <c r="AI434" s="94"/>
      <c r="AJ434" s="95"/>
      <c r="AK434" s="105"/>
      <c r="AL434" s="5101"/>
      <c r="AM434" s="920"/>
      <c r="AN434" s="1495"/>
      <c r="AO434" s="101"/>
      <c r="AP434" s="1475"/>
      <c r="AQ434" s="5086"/>
      <c r="AR434" s="104"/>
      <c r="AS434" s="32"/>
      <c r="AT434" s="33"/>
      <c r="AU434" s="32"/>
      <c r="AV434" s="34"/>
      <c r="AW434" s="92"/>
      <c r="AX434" s="108"/>
      <c r="AY434" s="94"/>
      <c r="AZ434" s="95"/>
      <c r="BA434" s="105"/>
      <c r="BB434" s="5101"/>
      <c r="BC434" s="920"/>
      <c r="BD434" s="1495"/>
      <c r="BE434" s="101"/>
      <c r="BF434" s="1475"/>
      <c r="BG434" s="5086"/>
      <c r="BH434" s="104"/>
      <c r="BI434" s="32"/>
      <c r="BJ434" s="33"/>
      <c r="BK434" s="32"/>
      <c r="BL434" s="34"/>
      <c r="BM434" s="92"/>
      <c r="BN434" s="108"/>
      <c r="BO434" s="94"/>
      <c r="BP434" s="95"/>
      <c r="BQ434" s="105"/>
      <c r="BR434" s="5101"/>
      <c r="BS434" s="920"/>
      <c r="BT434" s="1495"/>
      <c r="BU434" s="101"/>
      <c r="BV434" s="1475"/>
      <c r="BW434" s="5086"/>
      <c r="BX434" s="104"/>
      <c r="BY434" s="32"/>
      <c r="BZ434" s="33"/>
      <c r="CA434" s="32"/>
      <c r="CB434" s="34"/>
      <c r="CC434" s="92"/>
      <c r="CD434" s="108"/>
      <c r="CE434" s="94"/>
      <c r="CF434" s="95"/>
      <c r="CG434" s="105"/>
      <c r="CH434" s="5101"/>
      <c r="CI434" s="920"/>
      <c r="CJ434" s="1495"/>
      <c r="CK434" s="101"/>
      <c r="CL434" s="1475"/>
      <c r="CM434" s="5086"/>
      <c r="CN434" s="104"/>
      <c r="CO434" s="32"/>
      <c r="CP434" s="33"/>
      <c r="CQ434" s="32"/>
      <c r="CR434" s="34"/>
      <c r="CS434" s="92"/>
      <c r="CT434" s="108"/>
      <c r="CU434" s="94"/>
      <c r="CV434" s="95"/>
      <c r="CW434" s="105"/>
      <c r="CX434" s="5101"/>
      <c r="CY434" s="920"/>
      <c r="CZ434" s="1495"/>
      <c r="DA434" s="101"/>
      <c r="DB434" s="1475"/>
      <c r="DC434" s="5109"/>
      <c r="DF434" s="3">
        <v>1</v>
      </c>
    </row>
    <row r="435" spans="2:110" ht="18.75">
      <c r="B435" s="952">
        <f t="shared" si="76"/>
        <v>0</v>
      </c>
      <c r="C435" s="993" cm="1">
        <f t="array" ref="C435">SUMPRODUCT(LEN(D435:J435))</f>
        <v>0</v>
      </c>
      <c r="D435" s="167"/>
      <c r="E435" s="172"/>
      <c r="F435" s="172"/>
      <c r="G435" s="172"/>
      <c r="H435" s="172"/>
      <c r="I435" s="172"/>
      <c r="J435" s="173"/>
      <c r="K435"/>
      <c r="L435" s="104"/>
      <c r="M435" s="32"/>
      <c r="N435" s="33"/>
      <c r="O435" s="32"/>
      <c r="P435" s="34"/>
      <c r="Q435" s="92"/>
      <c r="R435" s="108"/>
      <c r="S435" s="94"/>
      <c r="T435" s="95"/>
      <c r="U435" s="105"/>
      <c r="V435" s="5101"/>
      <c r="W435" s="920"/>
      <c r="X435" s="1495"/>
      <c r="Y435" s="101"/>
      <c r="Z435" s="1475"/>
      <c r="AA435" s="5086"/>
      <c r="AB435" s="104"/>
      <c r="AC435" s="32"/>
      <c r="AD435" s="33"/>
      <c r="AE435" s="32"/>
      <c r="AF435" s="34"/>
      <c r="AG435" s="92"/>
      <c r="AH435" s="108"/>
      <c r="AI435" s="94"/>
      <c r="AJ435" s="95"/>
      <c r="AK435" s="105"/>
      <c r="AL435" s="5101"/>
      <c r="AM435" s="920"/>
      <c r="AN435" s="1495"/>
      <c r="AO435" s="101"/>
      <c r="AP435" s="1475"/>
      <c r="AQ435" s="5086"/>
      <c r="AR435" s="104"/>
      <c r="AS435" s="32"/>
      <c r="AT435" s="33"/>
      <c r="AU435" s="32"/>
      <c r="AV435" s="34"/>
      <c r="AW435" s="92"/>
      <c r="AX435" s="108"/>
      <c r="AY435" s="94"/>
      <c r="AZ435" s="95"/>
      <c r="BA435" s="105"/>
      <c r="BB435" s="5101"/>
      <c r="BC435" s="920"/>
      <c r="BD435" s="1495"/>
      <c r="BE435" s="101"/>
      <c r="BF435" s="1475"/>
      <c r="BG435" s="5086"/>
      <c r="BH435" s="104"/>
      <c r="BI435" s="32"/>
      <c r="BJ435" s="33"/>
      <c r="BK435" s="32"/>
      <c r="BL435" s="34"/>
      <c r="BM435" s="92"/>
      <c r="BN435" s="108"/>
      <c r="BO435" s="94"/>
      <c r="BP435" s="95"/>
      <c r="BQ435" s="105"/>
      <c r="BR435" s="5101"/>
      <c r="BS435" s="920"/>
      <c r="BT435" s="1495"/>
      <c r="BU435" s="101"/>
      <c r="BV435" s="1475"/>
      <c r="BW435" s="5086"/>
      <c r="BX435" s="104"/>
      <c r="BY435" s="32"/>
      <c r="BZ435" s="33"/>
      <c r="CA435" s="32"/>
      <c r="CB435" s="34"/>
      <c r="CC435" s="92"/>
      <c r="CD435" s="108"/>
      <c r="CE435" s="94"/>
      <c r="CF435" s="95"/>
      <c r="CG435" s="105"/>
      <c r="CH435" s="5101"/>
      <c r="CI435" s="920"/>
      <c r="CJ435" s="1495"/>
      <c r="CK435" s="101"/>
      <c r="CL435" s="1475"/>
      <c r="CM435" s="5086"/>
      <c r="CN435" s="104"/>
      <c r="CO435" s="32"/>
      <c r="CP435" s="33"/>
      <c r="CQ435" s="32"/>
      <c r="CR435" s="34"/>
      <c r="CS435" s="92"/>
      <c r="CT435" s="108"/>
      <c r="CU435" s="94"/>
      <c r="CV435" s="95"/>
      <c r="CW435" s="105"/>
      <c r="CX435" s="5101"/>
      <c r="CY435" s="920"/>
      <c r="CZ435" s="1495"/>
      <c r="DA435" s="101"/>
      <c r="DB435" s="1475"/>
      <c r="DC435" s="5109"/>
      <c r="DF435" s="3">
        <v>1</v>
      </c>
    </row>
    <row r="436" spans="2:110" ht="18.75">
      <c r="B436" s="952">
        <f t="shared" si="76"/>
        <v>0</v>
      </c>
      <c r="C436" s="993" cm="1">
        <f t="array" ref="C436">SUMPRODUCT(LEN(D436:J436))</f>
        <v>0</v>
      </c>
      <c r="D436" s="167"/>
      <c r="E436" s="172"/>
      <c r="F436" s="172"/>
      <c r="G436" s="172"/>
      <c r="H436" s="172"/>
      <c r="I436" s="172"/>
      <c r="J436" s="173"/>
      <c r="K436"/>
      <c r="L436" s="104"/>
      <c r="M436" s="32"/>
      <c r="N436" s="33"/>
      <c r="O436" s="32"/>
      <c r="P436" s="34"/>
      <c r="Q436" s="92"/>
      <c r="R436" s="108"/>
      <c r="S436" s="94"/>
      <c r="T436" s="95"/>
      <c r="U436" s="105"/>
      <c r="V436" s="5101"/>
      <c r="W436" s="920"/>
      <c r="X436" s="1495"/>
      <c r="Y436" s="101"/>
      <c r="Z436" s="1475"/>
      <c r="AA436" s="5086"/>
      <c r="AB436" s="104"/>
      <c r="AC436" s="32"/>
      <c r="AD436" s="33"/>
      <c r="AE436" s="32"/>
      <c r="AF436" s="34"/>
      <c r="AG436" s="92"/>
      <c r="AH436" s="108"/>
      <c r="AI436" s="94"/>
      <c r="AJ436" s="95"/>
      <c r="AK436" s="105"/>
      <c r="AL436" s="5101"/>
      <c r="AM436" s="920"/>
      <c r="AN436" s="1495"/>
      <c r="AO436" s="101"/>
      <c r="AP436" s="1475"/>
      <c r="AQ436" s="5086"/>
      <c r="AR436" s="104"/>
      <c r="AS436" s="32"/>
      <c r="AT436" s="33"/>
      <c r="AU436" s="32"/>
      <c r="AV436" s="34"/>
      <c r="AW436" s="92"/>
      <c r="AX436" s="108"/>
      <c r="AY436" s="94"/>
      <c r="AZ436" s="95"/>
      <c r="BA436" s="105"/>
      <c r="BB436" s="5101"/>
      <c r="BC436" s="920"/>
      <c r="BD436" s="1495"/>
      <c r="BE436" s="101"/>
      <c r="BF436" s="1475"/>
      <c r="BG436" s="5086"/>
      <c r="BH436" s="104"/>
      <c r="BI436" s="32"/>
      <c r="BJ436" s="33"/>
      <c r="BK436" s="32"/>
      <c r="BL436" s="34"/>
      <c r="BM436" s="92"/>
      <c r="BN436" s="108"/>
      <c r="BO436" s="94"/>
      <c r="BP436" s="95"/>
      <c r="BQ436" s="105"/>
      <c r="BR436" s="5101"/>
      <c r="BS436" s="920"/>
      <c r="BT436" s="1495"/>
      <c r="BU436" s="101"/>
      <c r="BV436" s="1475"/>
      <c r="BW436" s="5086"/>
      <c r="BX436" s="104"/>
      <c r="BY436" s="32"/>
      <c r="BZ436" s="33"/>
      <c r="CA436" s="32"/>
      <c r="CB436" s="34"/>
      <c r="CC436" s="92"/>
      <c r="CD436" s="108"/>
      <c r="CE436" s="94"/>
      <c r="CF436" s="95"/>
      <c r="CG436" s="105"/>
      <c r="CH436" s="5101"/>
      <c r="CI436" s="920"/>
      <c r="CJ436" s="1495"/>
      <c r="CK436" s="101"/>
      <c r="CL436" s="1475"/>
      <c r="CM436" s="5086"/>
      <c r="CN436" s="104"/>
      <c r="CO436" s="32"/>
      <c r="CP436" s="33"/>
      <c r="CQ436" s="32"/>
      <c r="CR436" s="34"/>
      <c r="CS436" s="92"/>
      <c r="CT436" s="108"/>
      <c r="CU436" s="94"/>
      <c r="CV436" s="95"/>
      <c r="CW436" s="105"/>
      <c r="CX436" s="5101"/>
      <c r="CY436" s="920"/>
      <c r="CZ436" s="1495"/>
      <c r="DA436" s="101"/>
      <c r="DB436" s="1475"/>
      <c r="DC436" s="5109"/>
      <c r="DF436" s="3">
        <v>1</v>
      </c>
    </row>
    <row r="437" spans="2:110" ht="18.75">
      <c r="B437" s="952">
        <f t="shared" si="76"/>
        <v>0</v>
      </c>
      <c r="C437" s="993" cm="1">
        <f t="array" ref="C437">SUMPRODUCT(LEN(D437:J437))</f>
        <v>0</v>
      </c>
      <c r="D437" s="167"/>
      <c r="E437" s="172"/>
      <c r="F437" s="172"/>
      <c r="G437" s="172"/>
      <c r="H437" s="172"/>
      <c r="I437" s="172"/>
      <c r="J437" s="173"/>
      <c r="K437"/>
      <c r="L437" s="104"/>
      <c r="M437" s="32"/>
      <c r="N437" s="33"/>
      <c r="O437" s="32"/>
      <c r="P437" s="34"/>
      <c r="Q437" s="92"/>
      <c r="R437" s="108"/>
      <c r="S437" s="94"/>
      <c r="T437" s="95"/>
      <c r="U437" s="105"/>
      <c r="V437" s="5101"/>
      <c r="W437" s="920"/>
      <c r="X437" s="1495"/>
      <c r="Y437" s="101"/>
      <c r="Z437" s="1475"/>
      <c r="AA437" s="5086"/>
      <c r="AB437" s="104"/>
      <c r="AC437" s="32"/>
      <c r="AD437" s="33"/>
      <c r="AE437" s="32"/>
      <c r="AF437" s="34"/>
      <c r="AG437" s="92"/>
      <c r="AH437" s="108"/>
      <c r="AI437" s="94"/>
      <c r="AJ437" s="95"/>
      <c r="AK437" s="105"/>
      <c r="AL437" s="5101"/>
      <c r="AM437" s="920"/>
      <c r="AN437" s="1495"/>
      <c r="AO437" s="101"/>
      <c r="AP437" s="1475"/>
      <c r="AQ437" s="5086"/>
      <c r="AR437" s="104"/>
      <c r="AS437" s="32"/>
      <c r="AT437" s="33"/>
      <c r="AU437" s="32"/>
      <c r="AV437" s="34"/>
      <c r="AW437" s="92"/>
      <c r="AX437" s="108"/>
      <c r="AY437" s="94"/>
      <c r="AZ437" s="95"/>
      <c r="BA437" s="105"/>
      <c r="BB437" s="5101"/>
      <c r="BC437" s="920"/>
      <c r="BD437" s="1495"/>
      <c r="BE437" s="101"/>
      <c r="BF437" s="1475"/>
      <c r="BG437" s="5086"/>
      <c r="BH437" s="104"/>
      <c r="BI437" s="32"/>
      <c r="BJ437" s="33"/>
      <c r="BK437" s="32"/>
      <c r="BL437" s="34"/>
      <c r="BM437" s="92"/>
      <c r="BN437" s="108"/>
      <c r="BO437" s="94"/>
      <c r="BP437" s="95"/>
      <c r="BQ437" s="105"/>
      <c r="BR437" s="5101"/>
      <c r="BS437" s="920"/>
      <c r="BT437" s="1495"/>
      <c r="BU437" s="101"/>
      <c r="BV437" s="1475"/>
      <c r="BW437" s="5086"/>
      <c r="BX437" s="104"/>
      <c r="BY437" s="32"/>
      <c r="BZ437" s="33"/>
      <c r="CA437" s="32"/>
      <c r="CB437" s="34"/>
      <c r="CC437" s="92"/>
      <c r="CD437" s="108"/>
      <c r="CE437" s="94"/>
      <c r="CF437" s="95"/>
      <c r="CG437" s="105"/>
      <c r="CH437" s="5101"/>
      <c r="CI437" s="920"/>
      <c r="CJ437" s="1495"/>
      <c r="CK437" s="101"/>
      <c r="CL437" s="1475"/>
      <c r="CM437" s="5086"/>
      <c r="CN437" s="104"/>
      <c r="CO437" s="32"/>
      <c r="CP437" s="33"/>
      <c r="CQ437" s="32"/>
      <c r="CR437" s="34"/>
      <c r="CS437" s="92"/>
      <c r="CT437" s="108"/>
      <c r="CU437" s="94"/>
      <c r="CV437" s="95"/>
      <c r="CW437" s="105"/>
      <c r="CX437" s="5101"/>
      <c r="CY437" s="920"/>
      <c r="CZ437" s="1495"/>
      <c r="DA437" s="101"/>
      <c r="DB437" s="1475"/>
      <c r="DC437" s="5109"/>
      <c r="DF437" s="3">
        <v>1</v>
      </c>
    </row>
    <row r="438" spans="2:110" ht="18.75">
      <c r="B438" s="952">
        <f t="shared" si="76"/>
        <v>0</v>
      </c>
      <c r="C438" s="993" cm="1">
        <f t="array" ref="C438">SUMPRODUCT(LEN(D438:J438))</f>
        <v>0</v>
      </c>
      <c r="D438" s="167"/>
      <c r="E438" s="172"/>
      <c r="F438" s="172"/>
      <c r="G438" s="172"/>
      <c r="H438" s="172"/>
      <c r="I438" s="172"/>
      <c r="J438" s="173"/>
      <c r="K438"/>
      <c r="L438" s="104"/>
      <c r="M438" s="32"/>
      <c r="N438" s="33"/>
      <c r="O438" s="32"/>
      <c r="P438" s="34"/>
      <c r="Q438" s="92"/>
      <c r="R438" s="108"/>
      <c r="S438" s="94"/>
      <c r="T438" s="95"/>
      <c r="U438" s="105"/>
      <c r="V438" s="5101"/>
      <c r="W438" s="920"/>
      <c r="X438" s="1495"/>
      <c r="Y438" s="101"/>
      <c r="Z438" s="1475"/>
      <c r="AA438" s="5086"/>
      <c r="AB438" s="104"/>
      <c r="AC438" s="32"/>
      <c r="AD438" s="33"/>
      <c r="AE438" s="32"/>
      <c r="AF438" s="34"/>
      <c r="AG438" s="92"/>
      <c r="AH438" s="108"/>
      <c r="AI438" s="94"/>
      <c r="AJ438" s="95"/>
      <c r="AK438" s="105"/>
      <c r="AL438" s="5101"/>
      <c r="AM438" s="920"/>
      <c r="AN438" s="1495"/>
      <c r="AO438" s="101"/>
      <c r="AP438" s="1475"/>
      <c r="AQ438" s="5086"/>
      <c r="AR438" s="104"/>
      <c r="AS438" s="32"/>
      <c r="AT438" s="33"/>
      <c r="AU438" s="32"/>
      <c r="AV438" s="34"/>
      <c r="AW438" s="92"/>
      <c r="AX438" s="108"/>
      <c r="AY438" s="94"/>
      <c r="AZ438" s="95"/>
      <c r="BA438" s="105"/>
      <c r="BB438" s="5101"/>
      <c r="BC438" s="920"/>
      <c r="BD438" s="1495"/>
      <c r="BE438" s="101"/>
      <c r="BF438" s="1475"/>
      <c r="BG438" s="5086"/>
      <c r="BH438" s="104"/>
      <c r="BI438" s="32"/>
      <c r="BJ438" s="33"/>
      <c r="BK438" s="32"/>
      <c r="BL438" s="34"/>
      <c r="BM438" s="92"/>
      <c r="BN438" s="108"/>
      <c r="BO438" s="94"/>
      <c r="BP438" s="95"/>
      <c r="BQ438" s="105"/>
      <c r="BR438" s="5101"/>
      <c r="BS438" s="920"/>
      <c r="BT438" s="1495"/>
      <c r="BU438" s="101"/>
      <c r="BV438" s="1475"/>
      <c r="BW438" s="5086"/>
      <c r="BX438" s="104"/>
      <c r="BY438" s="32"/>
      <c r="BZ438" s="33"/>
      <c r="CA438" s="32"/>
      <c r="CB438" s="34"/>
      <c r="CC438" s="92"/>
      <c r="CD438" s="108"/>
      <c r="CE438" s="94"/>
      <c r="CF438" s="95"/>
      <c r="CG438" s="105"/>
      <c r="CH438" s="5101"/>
      <c r="CI438" s="920"/>
      <c r="CJ438" s="1495"/>
      <c r="CK438" s="101"/>
      <c r="CL438" s="1475"/>
      <c r="CM438" s="5086"/>
      <c r="CN438" s="104"/>
      <c r="CO438" s="32"/>
      <c r="CP438" s="33"/>
      <c r="CQ438" s="32"/>
      <c r="CR438" s="34"/>
      <c r="CS438" s="92"/>
      <c r="CT438" s="108"/>
      <c r="CU438" s="94"/>
      <c r="CV438" s="95"/>
      <c r="CW438" s="105"/>
      <c r="CX438" s="5101"/>
      <c r="CY438" s="920"/>
      <c r="CZ438" s="1495"/>
      <c r="DA438" s="101"/>
      <c r="DB438" s="1475"/>
      <c r="DC438" s="5109"/>
      <c r="DF438" s="3">
        <v>1</v>
      </c>
    </row>
    <row r="439" spans="2:110" ht="18.75">
      <c r="B439" s="952">
        <f t="shared" si="76"/>
        <v>0</v>
      </c>
      <c r="C439" s="993" cm="1">
        <f t="array" ref="C439">SUMPRODUCT(LEN(D439:J439))</f>
        <v>0</v>
      </c>
      <c r="D439" s="167"/>
      <c r="E439" s="172"/>
      <c r="F439" s="172"/>
      <c r="G439" s="172"/>
      <c r="H439" s="172"/>
      <c r="I439" s="172"/>
      <c r="J439" s="173"/>
      <c r="K439"/>
      <c r="L439" s="104"/>
      <c r="M439" s="32"/>
      <c r="N439" s="33"/>
      <c r="O439" s="32"/>
      <c r="P439" s="34"/>
      <c r="Q439" s="92"/>
      <c r="R439" s="108"/>
      <c r="S439" s="94"/>
      <c r="T439" s="95"/>
      <c r="U439" s="105"/>
      <c r="V439" s="5101"/>
      <c r="W439" s="920"/>
      <c r="X439" s="1495"/>
      <c r="Y439" s="101"/>
      <c r="Z439" s="1475"/>
      <c r="AA439" s="5086"/>
      <c r="AB439" s="104"/>
      <c r="AC439" s="32"/>
      <c r="AD439" s="33"/>
      <c r="AE439" s="32"/>
      <c r="AF439" s="34"/>
      <c r="AG439" s="92"/>
      <c r="AH439" s="108"/>
      <c r="AI439" s="94"/>
      <c r="AJ439" s="95"/>
      <c r="AK439" s="105"/>
      <c r="AL439" s="5101"/>
      <c r="AM439" s="920"/>
      <c r="AN439" s="1495"/>
      <c r="AO439" s="101"/>
      <c r="AP439" s="1475"/>
      <c r="AQ439" s="5086"/>
      <c r="AR439" s="104"/>
      <c r="AS439" s="32"/>
      <c r="AT439" s="33"/>
      <c r="AU439" s="32"/>
      <c r="AV439" s="34"/>
      <c r="AW439" s="92"/>
      <c r="AX439" s="108"/>
      <c r="AY439" s="94"/>
      <c r="AZ439" s="95"/>
      <c r="BA439" s="105"/>
      <c r="BB439" s="5101"/>
      <c r="BC439" s="920"/>
      <c r="BD439" s="1495"/>
      <c r="BE439" s="101"/>
      <c r="BF439" s="1475"/>
      <c r="BG439" s="5086"/>
      <c r="BH439" s="104"/>
      <c r="BI439" s="32"/>
      <c r="BJ439" s="33"/>
      <c r="BK439" s="32"/>
      <c r="BL439" s="34"/>
      <c r="BM439" s="92"/>
      <c r="BN439" s="108"/>
      <c r="BO439" s="94"/>
      <c r="BP439" s="95"/>
      <c r="BQ439" s="105"/>
      <c r="BR439" s="5101"/>
      <c r="BS439" s="920"/>
      <c r="BT439" s="1495"/>
      <c r="BU439" s="101"/>
      <c r="BV439" s="1475"/>
      <c r="BW439" s="5086"/>
      <c r="BX439" s="104"/>
      <c r="BY439" s="32"/>
      <c r="BZ439" s="33"/>
      <c r="CA439" s="32"/>
      <c r="CB439" s="34"/>
      <c r="CC439" s="92"/>
      <c r="CD439" s="108"/>
      <c r="CE439" s="94"/>
      <c r="CF439" s="95"/>
      <c r="CG439" s="105"/>
      <c r="CH439" s="5101"/>
      <c r="CI439" s="920"/>
      <c r="CJ439" s="1495"/>
      <c r="CK439" s="101"/>
      <c r="CL439" s="1475"/>
      <c r="CM439" s="5086"/>
      <c r="CN439" s="104"/>
      <c r="CO439" s="32"/>
      <c r="CP439" s="33"/>
      <c r="CQ439" s="32"/>
      <c r="CR439" s="34"/>
      <c r="CS439" s="92"/>
      <c r="CT439" s="108"/>
      <c r="CU439" s="94"/>
      <c r="CV439" s="95"/>
      <c r="CW439" s="105"/>
      <c r="CX439" s="5101"/>
      <c r="CY439" s="920"/>
      <c r="CZ439" s="1495"/>
      <c r="DA439" s="101"/>
      <c r="DB439" s="1475"/>
      <c r="DC439" s="5109"/>
      <c r="DF439" s="3">
        <v>1</v>
      </c>
    </row>
    <row r="440" spans="2:110" ht="18.75">
      <c r="B440" s="952">
        <f t="shared" si="76"/>
        <v>0</v>
      </c>
      <c r="C440" s="993" cm="1">
        <f t="array" ref="C440">SUMPRODUCT(LEN(D440:J440))</f>
        <v>0</v>
      </c>
      <c r="D440" s="167"/>
      <c r="E440" s="172"/>
      <c r="F440" s="172"/>
      <c r="G440" s="172"/>
      <c r="H440" s="172"/>
      <c r="I440" s="172"/>
      <c r="J440" s="173"/>
      <c r="K440"/>
      <c r="L440" s="104"/>
      <c r="M440" s="32"/>
      <c r="N440" s="33"/>
      <c r="O440" s="32"/>
      <c r="P440" s="34"/>
      <c r="Q440" s="92"/>
      <c r="R440" s="108"/>
      <c r="S440" s="94"/>
      <c r="T440" s="95"/>
      <c r="U440" s="105"/>
      <c r="V440" s="5101"/>
      <c r="W440" s="920"/>
      <c r="X440" s="1495"/>
      <c r="Y440" s="101"/>
      <c r="Z440" s="1475"/>
      <c r="AA440" s="5086"/>
      <c r="AB440" s="104"/>
      <c r="AC440" s="32"/>
      <c r="AD440" s="33"/>
      <c r="AE440" s="32"/>
      <c r="AF440" s="34"/>
      <c r="AG440" s="92"/>
      <c r="AH440" s="108"/>
      <c r="AI440" s="94"/>
      <c r="AJ440" s="95"/>
      <c r="AK440" s="105"/>
      <c r="AL440" s="5101"/>
      <c r="AM440" s="920"/>
      <c r="AN440" s="1495"/>
      <c r="AO440" s="101"/>
      <c r="AP440" s="1475"/>
      <c r="AQ440" s="5086"/>
      <c r="AR440" s="104"/>
      <c r="AS440" s="32"/>
      <c r="AT440" s="33"/>
      <c r="AU440" s="32"/>
      <c r="AV440" s="34"/>
      <c r="AW440" s="92"/>
      <c r="AX440" s="108"/>
      <c r="AY440" s="94"/>
      <c r="AZ440" s="95"/>
      <c r="BA440" s="105"/>
      <c r="BB440" s="5101"/>
      <c r="BC440" s="920"/>
      <c r="BD440" s="1495"/>
      <c r="BE440" s="101"/>
      <c r="BF440" s="1475"/>
      <c r="BG440" s="5086"/>
      <c r="BH440" s="104"/>
      <c r="BI440" s="32"/>
      <c r="BJ440" s="33"/>
      <c r="BK440" s="32"/>
      <c r="BL440" s="34"/>
      <c r="BM440" s="92"/>
      <c r="BN440" s="108"/>
      <c r="BO440" s="94"/>
      <c r="BP440" s="95"/>
      <c r="BQ440" s="105"/>
      <c r="BR440" s="5101"/>
      <c r="BS440" s="920"/>
      <c r="BT440" s="1495"/>
      <c r="BU440" s="101"/>
      <c r="BV440" s="1475"/>
      <c r="BW440" s="5086"/>
      <c r="BX440" s="104"/>
      <c r="BY440" s="32"/>
      <c r="BZ440" s="33"/>
      <c r="CA440" s="32"/>
      <c r="CB440" s="34"/>
      <c r="CC440" s="92"/>
      <c r="CD440" s="108"/>
      <c r="CE440" s="94"/>
      <c r="CF440" s="95"/>
      <c r="CG440" s="105"/>
      <c r="CH440" s="5101"/>
      <c r="CI440" s="920"/>
      <c r="CJ440" s="1495"/>
      <c r="CK440" s="101"/>
      <c r="CL440" s="1475"/>
      <c r="CM440" s="5086"/>
      <c r="CN440" s="104"/>
      <c r="CO440" s="32"/>
      <c r="CP440" s="33"/>
      <c r="CQ440" s="32"/>
      <c r="CR440" s="34"/>
      <c r="CS440" s="92"/>
      <c r="CT440" s="108"/>
      <c r="CU440" s="94"/>
      <c r="CV440" s="95"/>
      <c r="CW440" s="105"/>
      <c r="CX440" s="5101"/>
      <c r="CY440" s="920"/>
      <c r="CZ440" s="1495"/>
      <c r="DA440" s="101"/>
      <c r="DB440" s="1475"/>
      <c r="DC440" s="5109"/>
      <c r="DF440" s="3">
        <v>1</v>
      </c>
    </row>
    <row r="441" spans="2:110" ht="18.75">
      <c r="B441" s="952">
        <f t="shared" si="76"/>
        <v>0</v>
      </c>
      <c r="C441" s="993" cm="1">
        <f t="array" ref="C441">SUMPRODUCT(LEN(D441:J441))</f>
        <v>0</v>
      </c>
      <c r="D441" s="167"/>
      <c r="E441" s="172"/>
      <c r="F441" s="172"/>
      <c r="G441" s="172"/>
      <c r="H441" s="172"/>
      <c r="I441" s="172"/>
      <c r="J441" s="173"/>
      <c r="K441"/>
      <c r="L441" s="104"/>
      <c r="M441" s="32"/>
      <c r="N441" s="33"/>
      <c r="O441" s="32"/>
      <c r="P441" s="34"/>
      <c r="Q441" s="92"/>
      <c r="R441" s="108"/>
      <c r="S441" s="94"/>
      <c r="T441" s="95"/>
      <c r="U441" s="105"/>
      <c r="V441" s="5101"/>
      <c r="W441" s="920"/>
      <c r="X441" s="1495"/>
      <c r="Y441" s="101"/>
      <c r="Z441" s="1475"/>
      <c r="AA441" s="5086"/>
      <c r="AB441" s="104"/>
      <c r="AC441" s="32"/>
      <c r="AD441" s="33"/>
      <c r="AE441" s="32"/>
      <c r="AF441" s="34"/>
      <c r="AG441" s="92"/>
      <c r="AH441" s="108"/>
      <c r="AI441" s="94"/>
      <c r="AJ441" s="95"/>
      <c r="AK441" s="105"/>
      <c r="AL441" s="5101"/>
      <c r="AM441" s="920"/>
      <c r="AN441" s="1495"/>
      <c r="AO441" s="101"/>
      <c r="AP441" s="1475"/>
      <c r="AQ441" s="5086"/>
      <c r="AR441" s="104"/>
      <c r="AS441" s="32"/>
      <c r="AT441" s="33"/>
      <c r="AU441" s="32"/>
      <c r="AV441" s="34"/>
      <c r="AW441" s="92"/>
      <c r="AX441" s="108"/>
      <c r="AY441" s="94"/>
      <c r="AZ441" s="95"/>
      <c r="BA441" s="105"/>
      <c r="BB441" s="5101"/>
      <c r="BC441" s="920"/>
      <c r="BD441" s="1495"/>
      <c r="BE441" s="101"/>
      <c r="BF441" s="1475"/>
      <c r="BG441" s="5086"/>
      <c r="BH441" s="104"/>
      <c r="BI441" s="32"/>
      <c r="BJ441" s="33"/>
      <c r="BK441" s="32"/>
      <c r="BL441" s="34"/>
      <c r="BM441" s="92"/>
      <c r="BN441" s="108"/>
      <c r="BO441" s="94"/>
      <c r="BP441" s="95"/>
      <c r="BQ441" s="105"/>
      <c r="BR441" s="5101"/>
      <c r="BS441" s="920"/>
      <c r="BT441" s="1495"/>
      <c r="BU441" s="101"/>
      <c r="BV441" s="1475"/>
      <c r="BW441" s="5086"/>
      <c r="BX441" s="104"/>
      <c r="BY441" s="32"/>
      <c r="BZ441" s="33"/>
      <c r="CA441" s="32"/>
      <c r="CB441" s="34"/>
      <c r="CC441" s="92"/>
      <c r="CD441" s="108"/>
      <c r="CE441" s="94"/>
      <c r="CF441" s="95"/>
      <c r="CG441" s="105"/>
      <c r="CH441" s="5101"/>
      <c r="CI441" s="920"/>
      <c r="CJ441" s="1495"/>
      <c r="CK441" s="101"/>
      <c r="CL441" s="1475"/>
      <c r="CM441" s="5086"/>
      <c r="CN441" s="104"/>
      <c r="CO441" s="32"/>
      <c r="CP441" s="33"/>
      <c r="CQ441" s="32"/>
      <c r="CR441" s="34"/>
      <c r="CS441" s="92"/>
      <c r="CT441" s="108"/>
      <c r="CU441" s="94"/>
      <c r="CV441" s="95"/>
      <c r="CW441" s="105"/>
      <c r="CX441" s="5101"/>
      <c r="CY441" s="920"/>
      <c r="CZ441" s="1495"/>
      <c r="DA441" s="101"/>
      <c r="DB441" s="1475"/>
      <c r="DC441" s="5109"/>
      <c r="DF441" s="3">
        <v>1</v>
      </c>
    </row>
    <row r="442" spans="2:110" ht="18.75">
      <c r="B442" s="952">
        <f t="shared" si="76"/>
        <v>0</v>
      </c>
      <c r="C442" s="993" cm="1">
        <f t="array" ref="C442">SUMPRODUCT(LEN(D442:J442))</f>
        <v>0</v>
      </c>
      <c r="D442" s="167"/>
      <c r="E442" s="172"/>
      <c r="F442" s="172"/>
      <c r="G442" s="172"/>
      <c r="H442" s="172"/>
      <c r="I442" s="172"/>
      <c r="J442" s="173"/>
      <c r="K442"/>
      <c r="L442" s="104"/>
      <c r="M442" s="32"/>
      <c r="N442" s="33"/>
      <c r="O442" s="32"/>
      <c r="P442" s="34"/>
      <c r="Q442" s="92"/>
      <c r="R442" s="108"/>
      <c r="S442" s="94"/>
      <c r="T442" s="95"/>
      <c r="U442" s="105"/>
      <c r="V442" s="5101"/>
      <c r="W442" s="920"/>
      <c r="X442" s="1495"/>
      <c r="Y442" s="101"/>
      <c r="Z442" s="1475"/>
      <c r="AA442" s="5086"/>
      <c r="AB442" s="104"/>
      <c r="AC442" s="32"/>
      <c r="AD442" s="33"/>
      <c r="AE442" s="32"/>
      <c r="AF442" s="34"/>
      <c r="AG442" s="92"/>
      <c r="AH442" s="108"/>
      <c r="AI442" s="94"/>
      <c r="AJ442" s="95"/>
      <c r="AK442" s="105"/>
      <c r="AL442" s="5101"/>
      <c r="AM442" s="920"/>
      <c r="AN442" s="1495"/>
      <c r="AO442" s="101"/>
      <c r="AP442" s="1475"/>
      <c r="AQ442" s="5086"/>
      <c r="AR442" s="104"/>
      <c r="AS442" s="32"/>
      <c r="AT442" s="33"/>
      <c r="AU442" s="32"/>
      <c r="AV442" s="34"/>
      <c r="AW442" s="92"/>
      <c r="AX442" s="108"/>
      <c r="AY442" s="94"/>
      <c r="AZ442" s="95"/>
      <c r="BA442" s="105"/>
      <c r="BB442" s="5101"/>
      <c r="BC442" s="920"/>
      <c r="BD442" s="1495"/>
      <c r="BE442" s="101"/>
      <c r="BF442" s="1475"/>
      <c r="BG442" s="5086"/>
      <c r="BH442" s="104"/>
      <c r="BI442" s="32"/>
      <c r="BJ442" s="33"/>
      <c r="BK442" s="32"/>
      <c r="BL442" s="34"/>
      <c r="BM442" s="92"/>
      <c r="BN442" s="108"/>
      <c r="BO442" s="94"/>
      <c r="BP442" s="95"/>
      <c r="BQ442" s="105"/>
      <c r="BR442" s="5101"/>
      <c r="BS442" s="920"/>
      <c r="BT442" s="1495"/>
      <c r="BU442" s="101"/>
      <c r="BV442" s="1475"/>
      <c r="BW442" s="5086"/>
      <c r="BX442" s="104"/>
      <c r="BY442" s="32"/>
      <c r="BZ442" s="33"/>
      <c r="CA442" s="32"/>
      <c r="CB442" s="34"/>
      <c r="CC442" s="92"/>
      <c r="CD442" s="108"/>
      <c r="CE442" s="94"/>
      <c r="CF442" s="95"/>
      <c r="CG442" s="105"/>
      <c r="CH442" s="5101"/>
      <c r="CI442" s="920"/>
      <c r="CJ442" s="1495"/>
      <c r="CK442" s="101"/>
      <c r="CL442" s="1475"/>
      <c r="CM442" s="5086"/>
      <c r="CN442" s="104"/>
      <c r="CO442" s="32"/>
      <c r="CP442" s="33"/>
      <c r="CQ442" s="32"/>
      <c r="CR442" s="34"/>
      <c r="CS442" s="92"/>
      <c r="CT442" s="108"/>
      <c r="CU442" s="94"/>
      <c r="CV442" s="95"/>
      <c r="CW442" s="105"/>
      <c r="CX442" s="5101"/>
      <c r="CY442" s="920"/>
      <c r="CZ442" s="1495"/>
      <c r="DA442" s="101"/>
      <c r="DB442" s="1475"/>
      <c r="DC442" s="5109"/>
      <c r="DF442" s="3">
        <v>1</v>
      </c>
    </row>
    <row r="443" spans="2:110" ht="18.75">
      <c r="B443" s="952">
        <f t="shared" si="76"/>
        <v>0</v>
      </c>
      <c r="C443" s="993" cm="1">
        <f t="array" ref="C443">SUMPRODUCT(LEN(D443:J443))</f>
        <v>0</v>
      </c>
      <c r="D443" s="167"/>
      <c r="E443" s="172"/>
      <c r="F443" s="172"/>
      <c r="G443" s="172"/>
      <c r="H443" s="172"/>
      <c r="I443" s="172"/>
      <c r="J443" s="173"/>
      <c r="K443"/>
      <c r="L443" s="104"/>
      <c r="M443" s="32"/>
      <c r="N443" s="33"/>
      <c r="O443" s="32"/>
      <c r="P443" s="34"/>
      <c r="Q443" s="92"/>
      <c r="R443" s="108"/>
      <c r="S443" s="94"/>
      <c r="T443" s="95"/>
      <c r="U443" s="105"/>
      <c r="V443" s="5101"/>
      <c r="W443" s="920"/>
      <c r="X443" s="1495"/>
      <c r="Y443" s="101"/>
      <c r="Z443" s="1475"/>
      <c r="AA443" s="5086"/>
      <c r="AB443" s="104"/>
      <c r="AC443" s="32"/>
      <c r="AD443" s="33"/>
      <c r="AE443" s="32"/>
      <c r="AF443" s="34"/>
      <c r="AG443" s="92"/>
      <c r="AH443" s="108"/>
      <c r="AI443" s="94"/>
      <c r="AJ443" s="95"/>
      <c r="AK443" s="105"/>
      <c r="AL443" s="5101"/>
      <c r="AM443" s="920"/>
      <c r="AN443" s="1495"/>
      <c r="AO443" s="101"/>
      <c r="AP443" s="1475"/>
      <c r="AQ443" s="5086"/>
      <c r="AR443" s="104"/>
      <c r="AS443" s="32"/>
      <c r="AT443" s="33"/>
      <c r="AU443" s="32"/>
      <c r="AV443" s="34"/>
      <c r="AW443" s="92"/>
      <c r="AX443" s="108"/>
      <c r="AY443" s="94"/>
      <c r="AZ443" s="95"/>
      <c r="BA443" s="105"/>
      <c r="BB443" s="5101"/>
      <c r="BC443" s="920"/>
      <c r="BD443" s="1495"/>
      <c r="BE443" s="101"/>
      <c r="BF443" s="1475"/>
      <c r="BG443" s="5086"/>
      <c r="BH443" s="104"/>
      <c r="BI443" s="32"/>
      <c r="BJ443" s="33"/>
      <c r="BK443" s="32"/>
      <c r="BL443" s="34"/>
      <c r="BM443" s="92"/>
      <c r="BN443" s="108"/>
      <c r="BO443" s="94"/>
      <c r="BP443" s="95"/>
      <c r="BQ443" s="105"/>
      <c r="BR443" s="5101"/>
      <c r="BS443" s="920"/>
      <c r="BT443" s="1495"/>
      <c r="BU443" s="101"/>
      <c r="BV443" s="1475"/>
      <c r="BW443" s="5086"/>
      <c r="BX443" s="104"/>
      <c r="BY443" s="32"/>
      <c r="BZ443" s="33"/>
      <c r="CA443" s="32"/>
      <c r="CB443" s="34"/>
      <c r="CC443" s="92"/>
      <c r="CD443" s="108"/>
      <c r="CE443" s="94"/>
      <c r="CF443" s="95"/>
      <c r="CG443" s="105"/>
      <c r="CH443" s="5101"/>
      <c r="CI443" s="920"/>
      <c r="CJ443" s="1495"/>
      <c r="CK443" s="101"/>
      <c r="CL443" s="1475"/>
      <c r="CM443" s="5086"/>
      <c r="CN443" s="104"/>
      <c r="CO443" s="32"/>
      <c r="CP443" s="33"/>
      <c r="CQ443" s="32"/>
      <c r="CR443" s="34"/>
      <c r="CS443" s="92"/>
      <c r="CT443" s="108"/>
      <c r="CU443" s="94"/>
      <c r="CV443" s="95"/>
      <c r="CW443" s="105"/>
      <c r="CX443" s="5101"/>
      <c r="CY443" s="920"/>
      <c r="CZ443" s="1495"/>
      <c r="DA443" s="101"/>
      <c r="DB443" s="1475"/>
      <c r="DC443" s="5109"/>
      <c r="DF443" s="3">
        <v>1</v>
      </c>
    </row>
    <row r="444" spans="2:110" ht="18.75">
      <c r="B444" s="952">
        <f t="shared" si="76"/>
        <v>0</v>
      </c>
      <c r="C444" s="993" cm="1">
        <f t="array" ref="C444">SUMPRODUCT(LEN(D444:J444))</f>
        <v>0</v>
      </c>
      <c r="D444" s="167"/>
      <c r="E444" s="172"/>
      <c r="F444" s="172"/>
      <c r="G444" s="172"/>
      <c r="H444" s="172"/>
      <c r="I444" s="172"/>
      <c r="J444" s="173"/>
      <c r="K444"/>
      <c r="L444" s="104"/>
      <c r="M444" s="32"/>
      <c r="N444" s="33"/>
      <c r="O444" s="32"/>
      <c r="P444" s="34"/>
      <c r="Q444" s="92"/>
      <c r="R444" s="108"/>
      <c r="S444" s="94"/>
      <c r="T444" s="95"/>
      <c r="U444" s="105"/>
      <c r="V444" s="5101"/>
      <c r="W444" s="920"/>
      <c r="X444" s="1495"/>
      <c r="Y444" s="101"/>
      <c r="Z444" s="1475"/>
      <c r="AA444" s="5086"/>
      <c r="AB444" s="104"/>
      <c r="AC444" s="32"/>
      <c r="AD444" s="33"/>
      <c r="AE444" s="32"/>
      <c r="AF444" s="34"/>
      <c r="AG444" s="92"/>
      <c r="AH444" s="108"/>
      <c r="AI444" s="94"/>
      <c r="AJ444" s="95"/>
      <c r="AK444" s="105"/>
      <c r="AL444" s="5101"/>
      <c r="AM444" s="920"/>
      <c r="AN444" s="1495"/>
      <c r="AO444" s="101"/>
      <c r="AP444" s="1475"/>
      <c r="AQ444" s="5086"/>
      <c r="AR444" s="104"/>
      <c r="AS444" s="32"/>
      <c r="AT444" s="33"/>
      <c r="AU444" s="32"/>
      <c r="AV444" s="34"/>
      <c r="AW444" s="92"/>
      <c r="AX444" s="108"/>
      <c r="AY444" s="94"/>
      <c r="AZ444" s="95"/>
      <c r="BA444" s="105"/>
      <c r="BB444" s="5101"/>
      <c r="BC444" s="920"/>
      <c r="BD444" s="1495"/>
      <c r="BE444" s="101"/>
      <c r="BF444" s="1475"/>
      <c r="BG444" s="5086"/>
      <c r="BH444" s="104"/>
      <c r="BI444" s="32"/>
      <c r="BJ444" s="33"/>
      <c r="BK444" s="32"/>
      <c r="BL444" s="34"/>
      <c r="BM444" s="92"/>
      <c r="BN444" s="108"/>
      <c r="BO444" s="94"/>
      <c r="BP444" s="95"/>
      <c r="BQ444" s="105"/>
      <c r="BR444" s="5101"/>
      <c r="BS444" s="920"/>
      <c r="BT444" s="1495"/>
      <c r="BU444" s="101"/>
      <c r="BV444" s="1475"/>
      <c r="BW444" s="5086"/>
      <c r="BX444" s="104"/>
      <c r="BY444" s="32"/>
      <c r="BZ444" s="33"/>
      <c r="CA444" s="32"/>
      <c r="CB444" s="34"/>
      <c r="CC444" s="92"/>
      <c r="CD444" s="108"/>
      <c r="CE444" s="94"/>
      <c r="CF444" s="95"/>
      <c r="CG444" s="105"/>
      <c r="CH444" s="5101"/>
      <c r="CI444" s="920"/>
      <c r="CJ444" s="1495"/>
      <c r="CK444" s="101"/>
      <c r="CL444" s="1475"/>
      <c r="CM444" s="5086"/>
      <c r="CN444" s="104"/>
      <c r="CO444" s="32"/>
      <c r="CP444" s="33"/>
      <c r="CQ444" s="32"/>
      <c r="CR444" s="34"/>
      <c r="CS444" s="92"/>
      <c r="CT444" s="108"/>
      <c r="CU444" s="94"/>
      <c r="CV444" s="95"/>
      <c r="CW444" s="105"/>
      <c r="CX444" s="5101"/>
      <c r="CY444" s="920"/>
      <c r="CZ444" s="1495"/>
      <c r="DA444" s="101"/>
      <c r="DB444" s="1475"/>
      <c r="DC444" s="5109"/>
      <c r="DF444" s="3">
        <v>1</v>
      </c>
    </row>
    <row r="445" spans="2:110" ht="18.75">
      <c r="B445" s="952">
        <f t="shared" si="76"/>
        <v>0</v>
      </c>
      <c r="C445" s="993" cm="1">
        <f t="array" ref="C445">SUMPRODUCT(LEN(D445:J445))</f>
        <v>0</v>
      </c>
      <c r="D445" s="167"/>
      <c r="E445" s="172"/>
      <c r="F445" s="172"/>
      <c r="G445" s="172"/>
      <c r="H445" s="172"/>
      <c r="I445" s="172"/>
      <c r="J445" s="173"/>
      <c r="K445"/>
      <c r="L445" s="104"/>
      <c r="M445" s="32"/>
      <c r="N445" s="33"/>
      <c r="O445" s="32"/>
      <c r="P445" s="34"/>
      <c r="Q445" s="92"/>
      <c r="R445" s="108"/>
      <c r="S445" s="94"/>
      <c r="T445" s="95"/>
      <c r="U445" s="105"/>
      <c r="V445" s="5101"/>
      <c r="W445" s="920"/>
      <c r="X445" s="1495"/>
      <c r="Y445" s="101"/>
      <c r="Z445" s="1475"/>
      <c r="AA445" s="5086"/>
      <c r="AB445" s="104"/>
      <c r="AC445" s="32"/>
      <c r="AD445" s="33"/>
      <c r="AE445" s="32"/>
      <c r="AF445" s="34"/>
      <c r="AG445" s="92"/>
      <c r="AH445" s="108"/>
      <c r="AI445" s="94"/>
      <c r="AJ445" s="95"/>
      <c r="AK445" s="105"/>
      <c r="AL445" s="5101"/>
      <c r="AM445" s="920"/>
      <c r="AN445" s="1495"/>
      <c r="AO445" s="101"/>
      <c r="AP445" s="1475"/>
      <c r="AQ445" s="5086"/>
      <c r="AR445" s="104"/>
      <c r="AS445" s="32"/>
      <c r="AT445" s="33"/>
      <c r="AU445" s="32"/>
      <c r="AV445" s="34"/>
      <c r="AW445" s="92"/>
      <c r="AX445" s="108"/>
      <c r="AY445" s="94"/>
      <c r="AZ445" s="95"/>
      <c r="BA445" s="105"/>
      <c r="BB445" s="5101"/>
      <c r="BC445" s="920"/>
      <c r="BD445" s="1495"/>
      <c r="BE445" s="101"/>
      <c r="BF445" s="1475"/>
      <c r="BG445" s="5086"/>
      <c r="BH445" s="104"/>
      <c r="BI445" s="32"/>
      <c r="BJ445" s="33"/>
      <c r="BK445" s="32"/>
      <c r="BL445" s="34"/>
      <c r="BM445" s="92"/>
      <c r="BN445" s="108"/>
      <c r="BO445" s="94"/>
      <c r="BP445" s="95"/>
      <c r="BQ445" s="105"/>
      <c r="BR445" s="5101"/>
      <c r="BS445" s="920"/>
      <c r="BT445" s="1495"/>
      <c r="BU445" s="101"/>
      <c r="BV445" s="1475"/>
      <c r="BW445" s="5086"/>
      <c r="BX445" s="104"/>
      <c r="BY445" s="32"/>
      <c r="BZ445" s="33"/>
      <c r="CA445" s="32"/>
      <c r="CB445" s="34"/>
      <c r="CC445" s="92"/>
      <c r="CD445" s="108"/>
      <c r="CE445" s="94"/>
      <c r="CF445" s="95"/>
      <c r="CG445" s="105"/>
      <c r="CH445" s="5101"/>
      <c r="CI445" s="920"/>
      <c r="CJ445" s="1495"/>
      <c r="CK445" s="101"/>
      <c r="CL445" s="1475"/>
      <c r="CM445" s="5086"/>
      <c r="CN445" s="104"/>
      <c r="CO445" s="32"/>
      <c r="CP445" s="33"/>
      <c r="CQ445" s="32"/>
      <c r="CR445" s="34"/>
      <c r="CS445" s="92"/>
      <c r="CT445" s="108"/>
      <c r="CU445" s="94"/>
      <c r="CV445" s="95"/>
      <c r="CW445" s="105"/>
      <c r="CX445" s="5101"/>
      <c r="CY445" s="920"/>
      <c r="CZ445" s="1495"/>
      <c r="DA445" s="101"/>
      <c r="DB445" s="1475"/>
      <c r="DC445" s="5109"/>
      <c r="DF445" s="3">
        <v>1</v>
      </c>
    </row>
    <row r="446" spans="2:110" ht="18.75">
      <c r="B446" s="952">
        <f t="shared" si="76"/>
        <v>0</v>
      </c>
      <c r="C446" s="993" cm="1">
        <f t="array" ref="C446">SUMPRODUCT(LEN(D446:J446))</f>
        <v>0</v>
      </c>
      <c r="D446" s="167"/>
      <c r="E446" s="172"/>
      <c r="F446" s="172"/>
      <c r="G446" s="172"/>
      <c r="H446" s="172"/>
      <c r="I446" s="172"/>
      <c r="J446" s="173"/>
      <c r="K446"/>
      <c r="L446" s="104"/>
      <c r="M446" s="32"/>
      <c r="N446" s="33"/>
      <c r="O446" s="32"/>
      <c r="P446" s="34"/>
      <c r="Q446" s="92"/>
      <c r="R446" s="108"/>
      <c r="S446" s="94"/>
      <c r="T446" s="95"/>
      <c r="U446" s="105"/>
      <c r="V446" s="5101"/>
      <c r="W446" s="920"/>
      <c r="X446" s="1495"/>
      <c r="Y446" s="101"/>
      <c r="Z446" s="1475"/>
      <c r="AA446" s="5086"/>
      <c r="AB446" s="104"/>
      <c r="AC446" s="32"/>
      <c r="AD446" s="33"/>
      <c r="AE446" s="32"/>
      <c r="AF446" s="34"/>
      <c r="AG446" s="92"/>
      <c r="AH446" s="108"/>
      <c r="AI446" s="94"/>
      <c r="AJ446" s="95"/>
      <c r="AK446" s="105"/>
      <c r="AL446" s="5101"/>
      <c r="AM446" s="920"/>
      <c r="AN446" s="1495"/>
      <c r="AO446" s="101"/>
      <c r="AP446" s="1475"/>
      <c r="AQ446" s="5086"/>
      <c r="AR446" s="104"/>
      <c r="AS446" s="32"/>
      <c r="AT446" s="33"/>
      <c r="AU446" s="32"/>
      <c r="AV446" s="34"/>
      <c r="AW446" s="92"/>
      <c r="AX446" s="108"/>
      <c r="AY446" s="94"/>
      <c r="AZ446" s="95"/>
      <c r="BA446" s="105"/>
      <c r="BB446" s="5101"/>
      <c r="BC446" s="920"/>
      <c r="BD446" s="1495"/>
      <c r="BE446" s="101"/>
      <c r="BF446" s="1475"/>
      <c r="BG446" s="5086"/>
      <c r="BH446" s="104"/>
      <c r="BI446" s="32"/>
      <c r="BJ446" s="33"/>
      <c r="BK446" s="32"/>
      <c r="BL446" s="34"/>
      <c r="BM446" s="92"/>
      <c r="BN446" s="108"/>
      <c r="BO446" s="94"/>
      <c r="BP446" s="95"/>
      <c r="BQ446" s="105"/>
      <c r="BR446" s="5101"/>
      <c r="BS446" s="920"/>
      <c r="BT446" s="1495"/>
      <c r="BU446" s="101"/>
      <c r="BV446" s="1475"/>
      <c r="BW446" s="5086"/>
      <c r="BX446" s="104"/>
      <c r="BY446" s="32"/>
      <c r="BZ446" s="33"/>
      <c r="CA446" s="32"/>
      <c r="CB446" s="34"/>
      <c r="CC446" s="92"/>
      <c r="CD446" s="108"/>
      <c r="CE446" s="94"/>
      <c r="CF446" s="95"/>
      <c r="CG446" s="105"/>
      <c r="CH446" s="5101"/>
      <c r="CI446" s="920"/>
      <c r="CJ446" s="1495"/>
      <c r="CK446" s="101"/>
      <c r="CL446" s="1475"/>
      <c r="CM446" s="5086"/>
      <c r="CN446" s="104"/>
      <c r="CO446" s="32"/>
      <c r="CP446" s="33"/>
      <c r="CQ446" s="32"/>
      <c r="CR446" s="34"/>
      <c r="CS446" s="92"/>
      <c r="CT446" s="108"/>
      <c r="CU446" s="94"/>
      <c r="CV446" s="95"/>
      <c r="CW446" s="105"/>
      <c r="CX446" s="5101"/>
      <c r="CY446" s="920"/>
      <c r="CZ446" s="1495"/>
      <c r="DA446" s="101"/>
      <c r="DB446" s="1475"/>
      <c r="DC446" s="5109"/>
      <c r="DF446" s="3">
        <v>1</v>
      </c>
    </row>
    <row r="447" spans="2:110" ht="18.75">
      <c r="B447" s="952">
        <f t="shared" si="76"/>
        <v>0</v>
      </c>
      <c r="C447" s="993" cm="1">
        <f t="array" ref="C447">SUMPRODUCT(LEN(D447:J447))</f>
        <v>0</v>
      </c>
      <c r="D447" s="167"/>
      <c r="E447" s="172"/>
      <c r="F447" s="172"/>
      <c r="G447" s="172"/>
      <c r="H447" s="172"/>
      <c r="I447" s="172"/>
      <c r="J447" s="173"/>
      <c r="K447"/>
      <c r="L447" s="104"/>
      <c r="M447" s="32"/>
      <c r="N447" s="33"/>
      <c r="O447" s="32"/>
      <c r="P447" s="34"/>
      <c r="Q447" s="92"/>
      <c r="R447" s="108"/>
      <c r="S447" s="94"/>
      <c r="T447" s="95"/>
      <c r="U447" s="105"/>
      <c r="V447" s="5101"/>
      <c r="W447" s="920"/>
      <c r="X447" s="1495"/>
      <c r="Y447" s="101"/>
      <c r="Z447" s="1475"/>
      <c r="AA447" s="5086"/>
      <c r="AB447" s="104"/>
      <c r="AC447" s="32"/>
      <c r="AD447" s="33"/>
      <c r="AE447" s="32"/>
      <c r="AF447" s="34"/>
      <c r="AG447" s="92"/>
      <c r="AH447" s="108"/>
      <c r="AI447" s="94"/>
      <c r="AJ447" s="95"/>
      <c r="AK447" s="105"/>
      <c r="AL447" s="5101"/>
      <c r="AM447" s="920"/>
      <c r="AN447" s="1495"/>
      <c r="AO447" s="101"/>
      <c r="AP447" s="1475"/>
      <c r="AQ447" s="5086"/>
      <c r="AR447" s="104"/>
      <c r="AS447" s="32"/>
      <c r="AT447" s="33"/>
      <c r="AU447" s="32"/>
      <c r="AV447" s="34"/>
      <c r="AW447" s="92"/>
      <c r="AX447" s="108"/>
      <c r="AY447" s="94"/>
      <c r="AZ447" s="95"/>
      <c r="BA447" s="105"/>
      <c r="BB447" s="5101"/>
      <c r="BC447" s="920"/>
      <c r="BD447" s="1495"/>
      <c r="BE447" s="101"/>
      <c r="BF447" s="1475"/>
      <c r="BG447" s="5086"/>
      <c r="BH447" s="104"/>
      <c r="BI447" s="32"/>
      <c r="BJ447" s="33"/>
      <c r="BK447" s="32"/>
      <c r="BL447" s="34"/>
      <c r="BM447" s="92"/>
      <c r="BN447" s="108"/>
      <c r="BO447" s="94"/>
      <c r="BP447" s="95"/>
      <c r="BQ447" s="105"/>
      <c r="BR447" s="5101"/>
      <c r="BS447" s="920"/>
      <c r="BT447" s="1495"/>
      <c r="BU447" s="101"/>
      <c r="BV447" s="1475"/>
      <c r="BW447" s="5086"/>
      <c r="BX447" s="104"/>
      <c r="BY447" s="32"/>
      <c r="BZ447" s="33"/>
      <c r="CA447" s="32"/>
      <c r="CB447" s="34"/>
      <c r="CC447" s="92"/>
      <c r="CD447" s="108"/>
      <c r="CE447" s="94"/>
      <c r="CF447" s="95"/>
      <c r="CG447" s="105"/>
      <c r="CH447" s="5101"/>
      <c r="CI447" s="920"/>
      <c r="CJ447" s="1495"/>
      <c r="CK447" s="101"/>
      <c r="CL447" s="1475"/>
      <c r="CM447" s="5086"/>
      <c r="CN447" s="104"/>
      <c r="CO447" s="32"/>
      <c r="CP447" s="33"/>
      <c r="CQ447" s="32"/>
      <c r="CR447" s="34"/>
      <c r="CS447" s="92"/>
      <c r="CT447" s="108"/>
      <c r="CU447" s="94"/>
      <c r="CV447" s="95"/>
      <c r="CW447" s="105"/>
      <c r="CX447" s="5101"/>
      <c r="CY447" s="920"/>
      <c r="CZ447" s="1495"/>
      <c r="DA447" s="101"/>
      <c r="DB447" s="1475"/>
      <c r="DC447" s="5109"/>
      <c r="DF447" s="3">
        <v>1</v>
      </c>
    </row>
    <row r="448" spans="2:110" ht="18.75">
      <c r="B448" s="952">
        <f t="shared" si="76"/>
        <v>0</v>
      </c>
      <c r="C448" s="993" cm="1">
        <f t="array" ref="C448">SUMPRODUCT(LEN(D448:J448))</f>
        <v>0</v>
      </c>
      <c r="D448" s="167"/>
      <c r="E448" s="172"/>
      <c r="F448" s="172"/>
      <c r="G448" s="172"/>
      <c r="H448" s="172"/>
      <c r="I448" s="172"/>
      <c r="J448" s="173"/>
      <c r="K448"/>
      <c r="L448" s="104"/>
      <c r="M448" s="32"/>
      <c r="N448" s="33"/>
      <c r="O448" s="32"/>
      <c r="P448" s="34"/>
      <c r="Q448" s="92"/>
      <c r="R448" s="108"/>
      <c r="S448" s="94"/>
      <c r="T448" s="95"/>
      <c r="U448" s="105"/>
      <c r="V448" s="5101"/>
      <c r="W448" s="920"/>
      <c r="X448" s="1495"/>
      <c r="Y448" s="101"/>
      <c r="Z448" s="1475"/>
      <c r="AA448" s="5086"/>
      <c r="AB448" s="104"/>
      <c r="AC448" s="32"/>
      <c r="AD448" s="33"/>
      <c r="AE448" s="32"/>
      <c r="AF448" s="34"/>
      <c r="AG448" s="92"/>
      <c r="AH448" s="108"/>
      <c r="AI448" s="94"/>
      <c r="AJ448" s="95"/>
      <c r="AK448" s="105"/>
      <c r="AL448" s="5101"/>
      <c r="AM448" s="920"/>
      <c r="AN448" s="1495"/>
      <c r="AO448" s="101"/>
      <c r="AP448" s="1475"/>
      <c r="AQ448" s="5086"/>
      <c r="AR448" s="104"/>
      <c r="AS448" s="32"/>
      <c r="AT448" s="33"/>
      <c r="AU448" s="32"/>
      <c r="AV448" s="34"/>
      <c r="AW448" s="92"/>
      <c r="AX448" s="108"/>
      <c r="AY448" s="94"/>
      <c r="AZ448" s="95"/>
      <c r="BA448" s="105"/>
      <c r="BB448" s="5101"/>
      <c r="BC448" s="920"/>
      <c r="BD448" s="1495"/>
      <c r="BE448" s="101"/>
      <c r="BF448" s="1475"/>
      <c r="BG448" s="5086"/>
      <c r="BH448" s="104"/>
      <c r="BI448" s="32"/>
      <c r="BJ448" s="33"/>
      <c r="BK448" s="32"/>
      <c r="BL448" s="34"/>
      <c r="BM448" s="92"/>
      <c r="BN448" s="108"/>
      <c r="BO448" s="94"/>
      <c r="BP448" s="95"/>
      <c r="BQ448" s="105"/>
      <c r="BR448" s="5101"/>
      <c r="BS448" s="920"/>
      <c r="BT448" s="1495"/>
      <c r="BU448" s="101"/>
      <c r="BV448" s="1475"/>
      <c r="BW448" s="5086"/>
      <c r="BX448" s="104"/>
      <c r="BY448" s="32"/>
      <c r="BZ448" s="33"/>
      <c r="CA448" s="32"/>
      <c r="CB448" s="34"/>
      <c r="CC448" s="92"/>
      <c r="CD448" s="108"/>
      <c r="CE448" s="94"/>
      <c r="CF448" s="95"/>
      <c r="CG448" s="105"/>
      <c r="CH448" s="5101"/>
      <c r="CI448" s="920"/>
      <c r="CJ448" s="1495"/>
      <c r="CK448" s="101"/>
      <c r="CL448" s="1475"/>
      <c r="CM448" s="5086"/>
      <c r="CN448" s="104"/>
      <c r="CO448" s="32"/>
      <c r="CP448" s="33"/>
      <c r="CQ448" s="32"/>
      <c r="CR448" s="34"/>
      <c r="CS448" s="92"/>
      <c r="CT448" s="108"/>
      <c r="CU448" s="94"/>
      <c r="CV448" s="95"/>
      <c r="CW448" s="105"/>
      <c r="CX448" s="5101"/>
      <c r="CY448" s="920"/>
      <c r="CZ448" s="1495"/>
      <c r="DA448" s="101"/>
      <c r="DB448" s="1475"/>
      <c r="DC448" s="5109"/>
      <c r="DF448" s="3">
        <v>1</v>
      </c>
    </row>
    <row r="449" spans="2:110" ht="18.75">
      <c r="B449" s="952">
        <f t="shared" si="76"/>
        <v>0</v>
      </c>
      <c r="C449" s="993" cm="1">
        <f t="array" ref="C449">SUMPRODUCT(LEN(D449:J449))</f>
        <v>0</v>
      </c>
      <c r="D449" s="167"/>
      <c r="E449" s="172"/>
      <c r="F449" s="172"/>
      <c r="G449" s="172"/>
      <c r="H449" s="172"/>
      <c r="I449" s="172"/>
      <c r="J449" s="173"/>
      <c r="K449"/>
      <c r="L449" s="104"/>
      <c r="M449" s="32"/>
      <c r="N449" s="33"/>
      <c r="O449" s="32"/>
      <c r="P449" s="34"/>
      <c r="Q449" s="92"/>
      <c r="R449" s="108"/>
      <c r="S449" s="94"/>
      <c r="T449" s="95"/>
      <c r="U449" s="105"/>
      <c r="V449" s="5101"/>
      <c r="W449" s="920"/>
      <c r="X449" s="1495"/>
      <c r="Y449" s="101"/>
      <c r="Z449" s="1475"/>
      <c r="AA449" s="5086"/>
      <c r="AB449" s="104"/>
      <c r="AC449" s="32"/>
      <c r="AD449" s="33"/>
      <c r="AE449" s="32"/>
      <c r="AF449" s="34"/>
      <c r="AG449" s="92"/>
      <c r="AH449" s="108"/>
      <c r="AI449" s="94"/>
      <c r="AJ449" s="95"/>
      <c r="AK449" s="105"/>
      <c r="AL449" s="5101"/>
      <c r="AM449" s="920"/>
      <c r="AN449" s="1495"/>
      <c r="AO449" s="101"/>
      <c r="AP449" s="1475"/>
      <c r="AQ449" s="5086"/>
      <c r="AR449" s="104"/>
      <c r="AS449" s="32"/>
      <c r="AT449" s="33"/>
      <c r="AU449" s="32"/>
      <c r="AV449" s="34"/>
      <c r="AW449" s="92"/>
      <c r="AX449" s="108"/>
      <c r="AY449" s="94"/>
      <c r="AZ449" s="95"/>
      <c r="BA449" s="105"/>
      <c r="BB449" s="5101"/>
      <c r="BC449" s="920"/>
      <c r="BD449" s="1495"/>
      <c r="BE449" s="101"/>
      <c r="BF449" s="1475"/>
      <c r="BG449" s="5086"/>
      <c r="BH449" s="104"/>
      <c r="BI449" s="32"/>
      <c r="BJ449" s="33"/>
      <c r="BK449" s="32"/>
      <c r="BL449" s="34"/>
      <c r="BM449" s="92"/>
      <c r="BN449" s="108"/>
      <c r="BO449" s="94"/>
      <c r="BP449" s="95"/>
      <c r="BQ449" s="105"/>
      <c r="BR449" s="5101"/>
      <c r="BS449" s="920"/>
      <c r="BT449" s="1495"/>
      <c r="BU449" s="101"/>
      <c r="BV449" s="1475"/>
      <c r="BW449" s="5086"/>
      <c r="BX449" s="104"/>
      <c r="BY449" s="32"/>
      <c r="BZ449" s="33"/>
      <c r="CA449" s="32"/>
      <c r="CB449" s="34"/>
      <c r="CC449" s="92"/>
      <c r="CD449" s="108"/>
      <c r="CE449" s="94"/>
      <c r="CF449" s="95"/>
      <c r="CG449" s="105"/>
      <c r="CH449" s="5101"/>
      <c r="CI449" s="920"/>
      <c r="CJ449" s="1495"/>
      <c r="CK449" s="101"/>
      <c r="CL449" s="1475"/>
      <c r="CM449" s="5086"/>
      <c r="CN449" s="104"/>
      <c r="CO449" s="32"/>
      <c r="CP449" s="33"/>
      <c r="CQ449" s="32"/>
      <c r="CR449" s="34"/>
      <c r="CS449" s="92"/>
      <c r="CT449" s="108"/>
      <c r="CU449" s="94"/>
      <c r="CV449" s="95"/>
      <c r="CW449" s="105"/>
      <c r="CX449" s="5101"/>
      <c r="CY449" s="920"/>
      <c r="CZ449" s="1495"/>
      <c r="DA449" s="101"/>
      <c r="DB449" s="1475"/>
      <c r="DC449" s="5109"/>
      <c r="DF449" s="3">
        <v>1</v>
      </c>
    </row>
    <row r="450" spans="2:110" ht="15.75" customHeight="1">
      <c r="B450" s="952">
        <f t="shared" si="76"/>
        <v>0</v>
      </c>
      <c r="C450" s="993" cm="1">
        <f t="array" ref="C450">SUMPRODUCT(LEN(D450:J450))</f>
        <v>0</v>
      </c>
      <c r="D450" s="167"/>
      <c r="E450" s="172"/>
      <c r="F450" s="172"/>
      <c r="G450" s="172"/>
      <c r="H450" s="172"/>
      <c r="I450" s="172"/>
      <c r="J450" s="173"/>
      <c r="K450"/>
      <c r="L450" s="104"/>
      <c r="M450" s="32"/>
      <c r="N450" s="33"/>
      <c r="O450" s="32"/>
      <c r="P450" s="34"/>
      <c r="Q450" s="92"/>
      <c r="R450" s="108"/>
      <c r="S450" s="94"/>
      <c r="T450" s="95"/>
      <c r="U450" s="105"/>
      <c r="V450" s="5101"/>
      <c r="W450" s="920"/>
      <c r="X450" s="1495"/>
      <c r="Y450" s="101"/>
      <c r="Z450" s="1475"/>
      <c r="AA450" s="5086"/>
      <c r="AB450" s="104"/>
      <c r="AC450" s="32"/>
      <c r="AD450" s="33"/>
      <c r="AE450" s="32"/>
      <c r="AF450" s="34"/>
      <c r="AG450" s="92"/>
      <c r="AH450" s="108"/>
      <c r="AI450" s="94"/>
      <c r="AJ450" s="95"/>
      <c r="AK450" s="105"/>
      <c r="AL450" s="5101"/>
      <c r="AM450" s="920"/>
      <c r="AN450" s="1495"/>
      <c r="AO450" s="101"/>
      <c r="AP450" s="1475"/>
      <c r="AQ450" s="5086"/>
      <c r="AR450" s="104"/>
      <c r="AS450" s="32"/>
      <c r="AT450" s="33"/>
      <c r="AU450" s="32"/>
      <c r="AV450" s="34"/>
      <c r="AW450" s="92"/>
      <c r="AX450" s="108"/>
      <c r="AY450" s="94"/>
      <c r="AZ450" s="95"/>
      <c r="BA450" s="105"/>
      <c r="BB450" s="5101"/>
      <c r="BC450" s="920"/>
      <c r="BD450" s="1495"/>
      <c r="BE450" s="101"/>
      <c r="BF450" s="1475"/>
      <c r="BG450" s="5086"/>
      <c r="BH450" s="104"/>
      <c r="BI450" s="32"/>
      <c r="BJ450" s="33"/>
      <c r="BK450" s="32"/>
      <c r="BL450" s="34"/>
      <c r="BM450" s="92"/>
      <c r="BN450" s="108"/>
      <c r="BO450" s="94"/>
      <c r="BP450" s="95"/>
      <c r="BQ450" s="105"/>
      <c r="BR450" s="5101"/>
      <c r="BS450" s="920"/>
      <c r="BT450" s="1495"/>
      <c r="BU450" s="101"/>
      <c r="BV450" s="1475"/>
      <c r="BW450" s="5086"/>
      <c r="BX450" s="104"/>
      <c r="BY450" s="32"/>
      <c r="BZ450" s="33"/>
      <c r="CA450" s="32"/>
      <c r="CB450" s="34"/>
      <c r="CC450" s="92"/>
      <c r="CD450" s="108"/>
      <c r="CE450" s="94"/>
      <c r="CF450" s="95"/>
      <c r="CG450" s="105"/>
      <c r="CH450" s="5101"/>
      <c r="CI450" s="920"/>
      <c r="CJ450" s="1495"/>
      <c r="CK450" s="101"/>
      <c r="CL450" s="1475"/>
      <c r="CM450" s="5086"/>
      <c r="CN450" s="104"/>
      <c r="CO450" s="32"/>
      <c r="CP450" s="33"/>
      <c r="CQ450" s="32"/>
      <c r="CR450" s="34"/>
      <c r="CS450" s="92"/>
      <c r="CT450" s="108"/>
      <c r="CU450" s="94"/>
      <c r="CV450" s="95"/>
      <c r="CW450" s="105"/>
      <c r="CX450" s="5101"/>
      <c r="CY450" s="920"/>
      <c r="CZ450" s="1495"/>
      <c r="DA450" s="101"/>
      <c r="DB450" s="1475"/>
      <c r="DC450" s="5109"/>
      <c r="DF450" s="3">
        <v>1</v>
      </c>
    </row>
    <row r="451" spans="2:110" ht="18.75">
      <c r="B451" s="952">
        <f t="shared" si="76"/>
        <v>0</v>
      </c>
      <c r="C451" s="993" cm="1">
        <f t="array" ref="C451">SUMPRODUCT(LEN(D451:J451))</f>
        <v>0</v>
      </c>
      <c r="D451" s="167"/>
      <c r="E451" s="172"/>
      <c r="F451" s="172"/>
      <c r="G451" s="172"/>
      <c r="H451" s="172"/>
      <c r="I451" s="172"/>
      <c r="J451" s="173"/>
      <c r="K451"/>
      <c r="L451" s="104"/>
      <c r="M451" s="32"/>
      <c r="N451" s="33"/>
      <c r="O451" s="32"/>
      <c r="P451" s="34"/>
      <c r="Q451" s="92"/>
      <c r="R451" s="108"/>
      <c r="S451" s="94"/>
      <c r="T451" s="95"/>
      <c r="U451" s="105"/>
      <c r="V451" s="5101"/>
      <c r="W451" s="920"/>
      <c r="X451" s="1495"/>
      <c r="Y451" s="101"/>
      <c r="Z451" s="1475"/>
      <c r="AA451" s="5086"/>
      <c r="AB451" s="104"/>
      <c r="AC451" s="32"/>
      <c r="AD451" s="33"/>
      <c r="AE451" s="32"/>
      <c r="AF451" s="34"/>
      <c r="AG451" s="92"/>
      <c r="AH451" s="108"/>
      <c r="AI451" s="94"/>
      <c r="AJ451" s="95"/>
      <c r="AK451" s="105"/>
      <c r="AL451" s="5101"/>
      <c r="AM451" s="920"/>
      <c r="AN451" s="1495"/>
      <c r="AO451" s="101"/>
      <c r="AP451" s="1475"/>
      <c r="AQ451" s="5086"/>
      <c r="AR451" s="104"/>
      <c r="AS451" s="32"/>
      <c r="AT451" s="33"/>
      <c r="AU451" s="32"/>
      <c r="AV451" s="34"/>
      <c r="AW451" s="92"/>
      <c r="AX451" s="108"/>
      <c r="AY451" s="94"/>
      <c r="AZ451" s="95"/>
      <c r="BA451" s="105"/>
      <c r="BB451" s="5101"/>
      <c r="BC451" s="920"/>
      <c r="BD451" s="1495"/>
      <c r="BE451" s="101"/>
      <c r="BF451" s="1475"/>
      <c r="BG451" s="5086"/>
      <c r="BH451" s="104"/>
      <c r="BI451" s="32"/>
      <c r="BJ451" s="33"/>
      <c r="BK451" s="32"/>
      <c r="BL451" s="34"/>
      <c r="BM451" s="92"/>
      <c r="BN451" s="108"/>
      <c r="BO451" s="94"/>
      <c r="BP451" s="95"/>
      <c r="BQ451" s="105"/>
      <c r="BR451" s="5101"/>
      <c r="BS451" s="920"/>
      <c r="BT451" s="1495"/>
      <c r="BU451" s="101"/>
      <c r="BV451" s="1475"/>
      <c r="BW451" s="5086"/>
      <c r="BX451" s="104"/>
      <c r="BY451" s="32"/>
      <c r="BZ451" s="33"/>
      <c r="CA451" s="32"/>
      <c r="CB451" s="34"/>
      <c r="CC451" s="92"/>
      <c r="CD451" s="108"/>
      <c r="CE451" s="94"/>
      <c r="CF451" s="95"/>
      <c r="CG451" s="105"/>
      <c r="CH451" s="5101"/>
      <c r="CI451" s="920"/>
      <c r="CJ451" s="1495"/>
      <c r="CK451" s="101"/>
      <c r="CL451" s="1475"/>
      <c r="CM451" s="5086"/>
      <c r="CN451" s="104"/>
      <c r="CO451" s="32"/>
      <c r="CP451" s="33"/>
      <c r="CQ451" s="32"/>
      <c r="CR451" s="34"/>
      <c r="CS451" s="92"/>
      <c r="CT451" s="108"/>
      <c r="CU451" s="94"/>
      <c r="CV451" s="95"/>
      <c r="CW451" s="105"/>
      <c r="CX451" s="5101"/>
      <c r="CY451" s="920"/>
      <c r="CZ451" s="1495"/>
      <c r="DA451" s="101"/>
      <c r="DB451" s="1475"/>
      <c r="DC451" s="5109"/>
      <c r="DF451" s="3">
        <v>1</v>
      </c>
    </row>
    <row r="452" spans="2:110" ht="18.75">
      <c r="B452" s="952">
        <f t="shared" si="76"/>
        <v>0</v>
      </c>
      <c r="C452" s="993" cm="1">
        <f t="array" ref="C452">SUMPRODUCT(LEN(D452:J452))</f>
        <v>0</v>
      </c>
      <c r="D452" s="167"/>
      <c r="E452" s="172"/>
      <c r="F452" s="172"/>
      <c r="G452" s="172"/>
      <c r="H452" s="172"/>
      <c r="I452" s="172"/>
      <c r="J452" s="173"/>
      <c r="K452"/>
      <c r="L452" s="104"/>
      <c r="M452" s="32"/>
      <c r="N452" s="33"/>
      <c r="O452" s="32"/>
      <c r="P452" s="34"/>
      <c r="Q452" s="92"/>
      <c r="R452" s="108"/>
      <c r="S452" s="94"/>
      <c r="T452" s="95"/>
      <c r="U452" s="105"/>
      <c r="V452" s="5101"/>
      <c r="W452" s="920"/>
      <c r="X452" s="1495"/>
      <c r="Y452" s="101"/>
      <c r="Z452" s="1475"/>
      <c r="AA452" s="5086"/>
      <c r="AB452" s="104"/>
      <c r="AC452" s="32"/>
      <c r="AD452" s="33"/>
      <c r="AE452" s="32"/>
      <c r="AF452" s="34"/>
      <c r="AG452" s="92"/>
      <c r="AH452" s="108"/>
      <c r="AI452" s="94"/>
      <c r="AJ452" s="95"/>
      <c r="AK452" s="105"/>
      <c r="AL452" s="5101"/>
      <c r="AM452" s="920"/>
      <c r="AN452" s="1495"/>
      <c r="AO452" s="101"/>
      <c r="AP452" s="1475"/>
      <c r="AQ452" s="5086"/>
      <c r="AR452" s="104"/>
      <c r="AS452" s="32"/>
      <c r="AT452" s="33"/>
      <c r="AU452" s="32"/>
      <c r="AV452" s="34"/>
      <c r="AW452" s="92"/>
      <c r="AX452" s="108"/>
      <c r="AY452" s="94"/>
      <c r="AZ452" s="95"/>
      <c r="BA452" s="105"/>
      <c r="BB452" s="5101"/>
      <c r="BC452" s="920"/>
      <c r="BD452" s="1495"/>
      <c r="BE452" s="101"/>
      <c r="BF452" s="1475"/>
      <c r="BG452" s="5086"/>
      <c r="BH452" s="104"/>
      <c r="BI452" s="32"/>
      <c r="BJ452" s="33"/>
      <c r="BK452" s="32"/>
      <c r="BL452" s="34"/>
      <c r="BM452" s="92"/>
      <c r="BN452" s="108"/>
      <c r="BO452" s="94"/>
      <c r="BP452" s="95"/>
      <c r="BQ452" s="105"/>
      <c r="BR452" s="5101"/>
      <c r="BS452" s="920"/>
      <c r="BT452" s="1495"/>
      <c r="BU452" s="101"/>
      <c r="BV452" s="1475"/>
      <c r="BW452" s="5086"/>
      <c r="BX452" s="104"/>
      <c r="BY452" s="32"/>
      <c r="BZ452" s="33"/>
      <c r="CA452" s="32"/>
      <c r="CB452" s="34"/>
      <c r="CC452" s="92"/>
      <c r="CD452" s="108"/>
      <c r="CE452" s="94"/>
      <c r="CF452" s="95"/>
      <c r="CG452" s="105"/>
      <c r="CH452" s="5101"/>
      <c r="CI452" s="920"/>
      <c r="CJ452" s="1495"/>
      <c r="CK452" s="101"/>
      <c r="CL452" s="1475"/>
      <c r="CM452" s="5086"/>
      <c r="CN452" s="104"/>
      <c r="CO452" s="32"/>
      <c r="CP452" s="33"/>
      <c r="CQ452" s="32"/>
      <c r="CR452" s="34"/>
      <c r="CS452" s="92"/>
      <c r="CT452" s="108"/>
      <c r="CU452" s="94"/>
      <c r="CV452" s="95"/>
      <c r="CW452" s="105"/>
      <c r="CX452" s="5101"/>
      <c r="CY452" s="920"/>
      <c r="CZ452" s="1495"/>
      <c r="DA452" s="101"/>
      <c r="DB452" s="1475"/>
      <c r="DC452" s="5109"/>
      <c r="DF452" s="3">
        <v>1</v>
      </c>
    </row>
    <row r="453" spans="2:110" ht="18.75">
      <c r="B453" s="952">
        <f t="shared" si="76"/>
        <v>0</v>
      </c>
      <c r="C453" s="993" cm="1">
        <f t="array" ref="C453">SUMPRODUCT(LEN(D453:J453))</f>
        <v>0</v>
      </c>
      <c r="D453" s="167"/>
      <c r="E453" s="172"/>
      <c r="F453" s="172"/>
      <c r="G453" s="172"/>
      <c r="H453" s="172"/>
      <c r="I453" s="172"/>
      <c r="J453" s="173"/>
      <c r="K453"/>
      <c r="L453" s="104"/>
      <c r="M453" s="32"/>
      <c r="N453" s="33"/>
      <c r="O453" s="32"/>
      <c r="P453" s="34"/>
      <c r="Q453" s="92"/>
      <c r="R453" s="108"/>
      <c r="S453" s="94"/>
      <c r="T453" s="95"/>
      <c r="U453" s="105"/>
      <c r="V453" s="5101"/>
      <c r="W453" s="920"/>
      <c r="X453" s="1495"/>
      <c r="Y453" s="101"/>
      <c r="Z453" s="1475"/>
      <c r="AA453" s="5086"/>
      <c r="AB453" s="104"/>
      <c r="AC453" s="32"/>
      <c r="AD453" s="33"/>
      <c r="AE453" s="32"/>
      <c r="AF453" s="34"/>
      <c r="AG453" s="92"/>
      <c r="AH453" s="108"/>
      <c r="AI453" s="94"/>
      <c r="AJ453" s="95"/>
      <c r="AK453" s="105"/>
      <c r="AL453" s="5101"/>
      <c r="AM453" s="920"/>
      <c r="AN453" s="1495"/>
      <c r="AO453" s="101"/>
      <c r="AP453" s="1475"/>
      <c r="AQ453" s="5086"/>
      <c r="AR453" s="104"/>
      <c r="AS453" s="32"/>
      <c r="AT453" s="33"/>
      <c r="AU453" s="32"/>
      <c r="AV453" s="34"/>
      <c r="AW453" s="92"/>
      <c r="AX453" s="108"/>
      <c r="AY453" s="94"/>
      <c r="AZ453" s="95"/>
      <c r="BA453" s="105"/>
      <c r="BB453" s="5101"/>
      <c r="BC453" s="920"/>
      <c r="BD453" s="1495"/>
      <c r="BE453" s="101"/>
      <c r="BF453" s="1475"/>
      <c r="BG453" s="5086"/>
      <c r="BH453" s="104"/>
      <c r="BI453" s="32"/>
      <c r="BJ453" s="33"/>
      <c r="BK453" s="32"/>
      <c r="BL453" s="34"/>
      <c r="BM453" s="92"/>
      <c r="BN453" s="108"/>
      <c r="BO453" s="94"/>
      <c r="BP453" s="95"/>
      <c r="BQ453" s="105"/>
      <c r="BR453" s="5101"/>
      <c r="BS453" s="920"/>
      <c r="BT453" s="1495"/>
      <c r="BU453" s="101"/>
      <c r="BV453" s="1475"/>
      <c r="BW453" s="5086"/>
      <c r="BX453" s="104"/>
      <c r="BY453" s="32"/>
      <c r="BZ453" s="33"/>
      <c r="CA453" s="32"/>
      <c r="CB453" s="34"/>
      <c r="CC453" s="92"/>
      <c r="CD453" s="108"/>
      <c r="CE453" s="94"/>
      <c r="CF453" s="95"/>
      <c r="CG453" s="105"/>
      <c r="CH453" s="5101"/>
      <c r="CI453" s="920"/>
      <c r="CJ453" s="1495"/>
      <c r="CK453" s="101"/>
      <c r="CL453" s="1475"/>
      <c r="CM453" s="5086"/>
      <c r="CN453" s="104"/>
      <c r="CO453" s="32"/>
      <c r="CP453" s="33"/>
      <c r="CQ453" s="32"/>
      <c r="CR453" s="34"/>
      <c r="CS453" s="92"/>
      <c r="CT453" s="108"/>
      <c r="CU453" s="94"/>
      <c r="CV453" s="95"/>
      <c r="CW453" s="105"/>
      <c r="CX453" s="5101"/>
      <c r="CY453" s="920"/>
      <c r="CZ453" s="1495"/>
      <c r="DA453" s="101"/>
      <c r="DB453" s="1475"/>
      <c r="DC453" s="5109"/>
      <c r="DF453" s="3">
        <v>1</v>
      </c>
    </row>
    <row r="454" spans="2:110" ht="18.75">
      <c r="B454" s="952">
        <f t="shared" si="76"/>
        <v>0</v>
      </c>
      <c r="C454" s="993" cm="1">
        <f t="array" ref="C454">SUMPRODUCT(LEN(D454:J454))</f>
        <v>0</v>
      </c>
      <c r="D454" s="167"/>
      <c r="E454" s="172"/>
      <c r="F454" s="172"/>
      <c r="G454" s="172"/>
      <c r="H454" s="172"/>
      <c r="I454" s="172"/>
      <c r="J454" s="173"/>
      <c r="K454"/>
      <c r="L454" s="104"/>
      <c r="M454" s="32"/>
      <c r="N454" s="33"/>
      <c r="O454" s="32"/>
      <c r="P454" s="34"/>
      <c r="Q454" s="92"/>
      <c r="R454" s="108"/>
      <c r="S454" s="94"/>
      <c r="T454" s="95"/>
      <c r="U454" s="105"/>
      <c r="V454" s="5101"/>
      <c r="W454" s="920"/>
      <c r="X454" s="1495"/>
      <c r="Y454" s="101"/>
      <c r="Z454" s="1475"/>
      <c r="AA454" s="5086"/>
      <c r="AB454" s="104"/>
      <c r="AC454" s="32"/>
      <c r="AD454" s="33"/>
      <c r="AE454" s="32"/>
      <c r="AF454" s="34"/>
      <c r="AG454" s="92"/>
      <c r="AH454" s="108"/>
      <c r="AI454" s="94"/>
      <c r="AJ454" s="95"/>
      <c r="AK454" s="105"/>
      <c r="AL454" s="5101"/>
      <c r="AM454" s="920"/>
      <c r="AN454" s="1495"/>
      <c r="AO454" s="101"/>
      <c r="AP454" s="1475"/>
      <c r="AQ454" s="5086"/>
      <c r="AR454" s="104"/>
      <c r="AS454" s="32"/>
      <c r="AT454" s="33"/>
      <c r="AU454" s="32"/>
      <c r="AV454" s="34"/>
      <c r="AW454" s="92"/>
      <c r="AX454" s="108"/>
      <c r="AY454" s="94"/>
      <c r="AZ454" s="95"/>
      <c r="BA454" s="105"/>
      <c r="BB454" s="5101"/>
      <c r="BC454" s="920"/>
      <c r="BD454" s="1495"/>
      <c r="BE454" s="101"/>
      <c r="BF454" s="1475"/>
      <c r="BG454" s="5086"/>
      <c r="BH454" s="104"/>
      <c r="BI454" s="32"/>
      <c r="BJ454" s="33"/>
      <c r="BK454" s="32"/>
      <c r="BL454" s="34"/>
      <c r="BM454" s="92"/>
      <c r="BN454" s="108"/>
      <c r="BO454" s="94"/>
      <c r="BP454" s="95"/>
      <c r="BQ454" s="105"/>
      <c r="BR454" s="5101"/>
      <c r="BS454" s="920"/>
      <c r="BT454" s="1495"/>
      <c r="BU454" s="101"/>
      <c r="BV454" s="1475"/>
      <c r="BW454" s="5086"/>
      <c r="BX454" s="104"/>
      <c r="BY454" s="32"/>
      <c r="BZ454" s="33"/>
      <c r="CA454" s="32"/>
      <c r="CB454" s="34"/>
      <c r="CC454" s="92"/>
      <c r="CD454" s="108"/>
      <c r="CE454" s="94"/>
      <c r="CF454" s="95"/>
      <c r="CG454" s="105"/>
      <c r="CH454" s="5101"/>
      <c r="CI454" s="920"/>
      <c r="CJ454" s="1495"/>
      <c r="CK454" s="101"/>
      <c r="CL454" s="1475"/>
      <c r="CM454" s="5086"/>
      <c r="CN454" s="104"/>
      <c r="CO454" s="32"/>
      <c r="CP454" s="33"/>
      <c r="CQ454" s="32"/>
      <c r="CR454" s="34"/>
      <c r="CS454" s="92"/>
      <c r="CT454" s="108"/>
      <c r="CU454" s="94"/>
      <c r="CV454" s="95"/>
      <c r="CW454" s="105"/>
      <c r="CX454" s="5101"/>
      <c r="CY454" s="920"/>
      <c r="CZ454" s="1495"/>
      <c r="DA454" s="101"/>
      <c r="DB454" s="1475"/>
      <c r="DC454" s="5109"/>
      <c r="DF454" s="3">
        <v>1</v>
      </c>
    </row>
    <row r="455" spans="2:110" ht="18.75">
      <c r="B455" s="952">
        <f t="shared" si="76"/>
        <v>0</v>
      </c>
      <c r="C455" s="993" cm="1">
        <f t="array" ref="C455">SUMPRODUCT(LEN(D455:J455))</f>
        <v>0</v>
      </c>
      <c r="D455" s="167"/>
      <c r="E455" s="172"/>
      <c r="F455" s="172"/>
      <c r="G455" s="172"/>
      <c r="H455" s="172"/>
      <c r="I455" s="172"/>
      <c r="J455" s="173"/>
      <c r="K455"/>
      <c r="L455" s="104"/>
      <c r="M455" s="32"/>
      <c r="N455" s="33"/>
      <c r="O455" s="32"/>
      <c r="P455" s="34"/>
      <c r="Q455" s="92"/>
      <c r="R455" s="108"/>
      <c r="S455" s="94"/>
      <c r="T455" s="95"/>
      <c r="U455" s="105"/>
      <c r="V455" s="5101"/>
      <c r="W455" s="920"/>
      <c r="X455" s="1495"/>
      <c r="Y455" s="101"/>
      <c r="Z455" s="1475"/>
      <c r="AA455" s="5086"/>
      <c r="AB455" s="104"/>
      <c r="AC455" s="32"/>
      <c r="AD455" s="33"/>
      <c r="AE455" s="32"/>
      <c r="AF455" s="34"/>
      <c r="AG455" s="92"/>
      <c r="AH455" s="108"/>
      <c r="AI455" s="94"/>
      <c r="AJ455" s="95"/>
      <c r="AK455" s="105"/>
      <c r="AL455" s="5101"/>
      <c r="AM455" s="920"/>
      <c r="AN455" s="1495"/>
      <c r="AO455" s="101"/>
      <c r="AP455" s="1475"/>
      <c r="AQ455" s="5086"/>
      <c r="AR455" s="104"/>
      <c r="AS455" s="32"/>
      <c r="AT455" s="33"/>
      <c r="AU455" s="32"/>
      <c r="AV455" s="34"/>
      <c r="AW455" s="92"/>
      <c r="AX455" s="108"/>
      <c r="AY455" s="94"/>
      <c r="AZ455" s="95"/>
      <c r="BA455" s="105"/>
      <c r="BB455" s="5101"/>
      <c r="BC455" s="920"/>
      <c r="BD455" s="1495"/>
      <c r="BE455" s="101"/>
      <c r="BF455" s="1475"/>
      <c r="BG455" s="5086"/>
      <c r="BH455" s="104"/>
      <c r="BI455" s="32"/>
      <c r="BJ455" s="33"/>
      <c r="BK455" s="32"/>
      <c r="BL455" s="34"/>
      <c r="BM455" s="92"/>
      <c r="BN455" s="108"/>
      <c r="BO455" s="94"/>
      <c r="BP455" s="95"/>
      <c r="BQ455" s="105"/>
      <c r="BR455" s="5101"/>
      <c r="BS455" s="920"/>
      <c r="BT455" s="1495"/>
      <c r="BU455" s="101"/>
      <c r="BV455" s="1475"/>
      <c r="BW455" s="5086"/>
      <c r="BX455" s="104"/>
      <c r="BY455" s="32"/>
      <c r="BZ455" s="33"/>
      <c r="CA455" s="32"/>
      <c r="CB455" s="34"/>
      <c r="CC455" s="92"/>
      <c r="CD455" s="108"/>
      <c r="CE455" s="94"/>
      <c r="CF455" s="95"/>
      <c r="CG455" s="105"/>
      <c r="CH455" s="5101"/>
      <c r="CI455" s="920"/>
      <c r="CJ455" s="1495"/>
      <c r="CK455" s="101"/>
      <c r="CL455" s="1475"/>
      <c r="CM455" s="5086"/>
      <c r="CN455" s="104"/>
      <c r="CO455" s="32"/>
      <c r="CP455" s="33"/>
      <c r="CQ455" s="32"/>
      <c r="CR455" s="34"/>
      <c r="CS455" s="92"/>
      <c r="CT455" s="108"/>
      <c r="CU455" s="94"/>
      <c r="CV455" s="95"/>
      <c r="CW455" s="105"/>
      <c r="CX455" s="5101"/>
      <c r="CY455" s="920"/>
      <c r="CZ455" s="1495"/>
      <c r="DA455" s="101"/>
      <c r="DB455" s="1475"/>
      <c r="DC455" s="5109"/>
      <c r="DF455" s="3">
        <v>1</v>
      </c>
    </row>
    <row r="456" spans="2:110" ht="18.75">
      <c r="B456" s="952">
        <f t="shared" si="76"/>
        <v>0</v>
      </c>
      <c r="C456" s="993" cm="1">
        <f t="array" ref="C456">SUMPRODUCT(LEN(D456:J456))</f>
        <v>0</v>
      </c>
      <c r="D456" s="167"/>
      <c r="E456" s="172"/>
      <c r="F456" s="172"/>
      <c r="G456" s="172"/>
      <c r="H456" s="172"/>
      <c r="I456" s="172"/>
      <c r="J456" s="173"/>
      <c r="K456"/>
      <c r="L456" s="104"/>
      <c r="M456" s="32"/>
      <c r="N456" s="33"/>
      <c r="O456" s="32"/>
      <c r="P456" s="34"/>
      <c r="Q456" s="92"/>
      <c r="R456" s="108"/>
      <c r="S456" s="94"/>
      <c r="T456" s="95"/>
      <c r="U456" s="105"/>
      <c r="V456" s="5101"/>
      <c r="W456" s="920"/>
      <c r="X456" s="1495"/>
      <c r="Y456" s="101"/>
      <c r="Z456" s="1475"/>
      <c r="AA456" s="5086"/>
      <c r="AB456" s="104"/>
      <c r="AC456" s="32"/>
      <c r="AD456" s="33"/>
      <c r="AE456" s="32"/>
      <c r="AF456" s="34"/>
      <c r="AG456" s="92"/>
      <c r="AH456" s="108"/>
      <c r="AI456" s="94"/>
      <c r="AJ456" s="95"/>
      <c r="AK456" s="105"/>
      <c r="AL456" s="5101"/>
      <c r="AM456" s="920"/>
      <c r="AN456" s="1495"/>
      <c r="AO456" s="101"/>
      <c r="AP456" s="1475"/>
      <c r="AQ456" s="5086"/>
      <c r="AR456" s="104"/>
      <c r="AS456" s="32"/>
      <c r="AT456" s="33"/>
      <c r="AU456" s="32"/>
      <c r="AV456" s="34"/>
      <c r="AW456" s="92"/>
      <c r="AX456" s="108"/>
      <c r="AY456" s="94"/>
      <c r="AZ456" s="95"/>
      <c r="BA456" s="105"/>
      <c r="BB456" s="5101"/>
      <c r="BC456" s="920"/>
      <c r="BD456" s="1495"/>
      <c r="BE456" s="101"/>
      <c r="BF456" s="1475"/>
      <c r="BG456" s="5086"/>
      <c r="BH456" s="104"/>
      <c r="BI456" s="32"/>
      <c r="BJ456" s="33"/>
      <c r="BK456" s="32"/>
      <c r="BL456" s="34"/>
      <c r="BM456" s="92"/>
      <c r="BN456" s="108"/>
      <c r="BO456" s="94"/>
      <c r="BP456" s="95"/>
      <c r="BQ456" s="105"/>
      <c r="BR456" s="5101"/>
      <c r="BS456" s="920"/>
      <c r="BT456" s="1495"/>
      <c r="BU456" s="101"/>
      <c r="BV456" s="1475"/>
      <c r="BW456" s="5086"/>
      <c r="BX456" s="104"/>
      <c r="BY456" s="32"/>
      <c r="BZ456" s="33"/>
      <c r="CA456" s="32"/>
      <c r="CB456" s="34"/>
      <c r="CC456" s="92"/>
      <c r="CD456" s="108"/>
      <c r="CE456" s="94"/>
      <c r="CF456" s="95"/>
      <c r="CG456" s="105"/>
      <c r="CH456" s="5101"/>
      <c r="CI456" s="920"/>
      <c r="CJ456" s="1495"/>
      <c r="CK456" s="101"/>
      <c r="CL456" s="1475"/>
      <c r="CM456" s="5086"/>
      <c r="CN456" s="104"/>
      <c r="CO456" s="32"/>
      <c r="CP456" s="33"/>
      <c r="CQ456" s="32"/>
      <c r="CR456" s="34"/>
      <c r="CS456" s="92"/>
      <c r="CT456" s="108"/>
      <c r="CU456" s="94"/>
      <c r="CV456" s="95"/>
      <c r="CW456" s="105"/>
      <c r="CX456" s="5101"/>
      <c r="CY456" s="920"/>
      <c r="CZ456" s="1495"/>
      <c r="DA456" s="101"/>
      <c r="DB456" s="1475"/>
      <c r="DC456" s="5109"/>
      <c r="DF456" s="3">
        <v>1</v>
      </c>
    </row>
    <row r="457" spans="2:110" ht="18.75">
      <c r="B457" s="952">
        <f t="shared" si="76"/>
        <v>0</v>
      </c>
      <c r="C457" s="993" cm="1">
        <f t="array" ref="C457">SUMPRODUCT(LEN(D457:J457))</f>
        <v>0</v>
      </c>
      <c r="D457" s="167"/>
      <c r="E457" s="172"/>
      <c r="F457" s="172"/>
      <c r="G457" s="172"/>
      <c r="H457" s="172"/>
      <c r="I457" s="172"/>
      <c r="J457" s="173"/>
      <c r="K457"/>
      <c r="L457" s="104"/>
      <c r="M457" s="32"/>
      <c r="N457" s="33"/>
      <c r="O457" s="32"/>
      <c r="P457" s="34"/>
      <c r="Q457" s="92"/>
      <c r="R457" s="108"/>
      <c r="S457" s="94"/>
      <c r="T457" s="95"/>
      <c r="U457" s="105"/>
      <c r="V457" s="5101"/>
      <c r="W457" s="920"/>
      <c r="X457" s="1495"/>
      <c r="Y457" s="101"/>
      <c r="Z457" s="1475"/>
      <c r="AA457" s="5086"/>
      <c r="AB457" s="104"/>
      <c r="AC457" s="32"/>
      <c r="AD457" s="33"/>
      <c r="AE457" s="32"/>
      <c r="AF457" s="34"/>
      <c r="AG457" s="92"/>
      <c r="AH457" s="108"/>
      <c r="AI457" s="94"/>
      <c r="AJ457" s="95"/>
      <c r="AK457" s="105"/>
      <c r="AL457" s="5101"/>
      <c r="AM457" s="920"/>
      <c r="AN457" s="1495"/>
      <c r="AO457" s="101"/>
      <c r="AP457" s="1475"/>
      <c r="AQ457" s="5086"/>
      <c r="AR457" s="104"/>
      <c r="AS457" s="32"/>
      <c r="AT457" s="33"/>
      <c r="AU457" s="32"/>
      <c r="AV457" s="34"/>
      <c r="AW457" s="92"/>
      <c r="AX457" s="108"/>
      <c r="AY457" s="94"/>
      <c r="AZ457" s="95"/>
      <c r="BA457" s="105"/>
      <c r="BB457" s="5101"/>
      <c r="BC457" s="920"/>
      <c r="BD457" s="1495"/>
      <c r="BE457" s="101"/>
      <c r="BF457" s="1475"/>
      <c r="BG457" s="5086"/>
      <c r="BH457" s="104"/>
      <c r="BI457" s="32"/>
      <c r="BJ457" s="33"/>
      <c r="BK457" s="32"/>
      <c r="BL457" s="34"/>
      <c r="BM457" s="92"/>
      <c r="BN457" s="108"/>
      <c r="BO457" s="94"/>
      <c r="BP457" s="95"/>
      <c r="BQ457" s="105"/>
      <c r="BR457" s="5101"/>
      <c r="BS457" s="920"/>
      <c r="BT457" s="1495"/>
      <c r="BU457" s="101"/>
      <c r="BV457" s="1475"/>
      <c r="BW457" s="5086"/>
      <c r="BX457" s="104"/>
      <c r="BY457" s="32"/>
      <c r="BZ457" s="33"/>
      <c r="CA457" s="32"/>
      <c r="CB457" s="34"/>
      <c r="CC457" s="92"/>
      <c r="CD457" s="108"/>
      <c r="CE457" s="94"/>
      <c r="CF457" s="95"/>
      <c r="CG457" s="105"/>
      <c r="CH457" s="5101"/>
      <c r="CI457" s="920"/>
      <c r="CJ457" s="1495"/>
      <c r="CK457" s="101"/>
      <c r="CL457" s="1475"/>
      <c r="CM457" s="5086"/>
      <c r="CN457" s="104"/>
      <c r="CO457" s="32"/>
      <c r="CP457" s="33"/>
      <c r="CQ457" s="32"/>
      <c r="CR457" s="34"/>
      <c r="CS457" s="92"/>
      <c r="CT457" s="108"/>
      <c r="CU457" s="94"/>
      <c r="CV457" s="95"/>
      <c r="CW457" s="105"/>
      <c r="CX457" s="5101"/>
      <c r="CY457" s="920"/>
      <c r="CZ457" s="1495"/>
      <c r="DA457" s="101"/>
      <c r="DB457" s="1475"/>
      <c r="DC457" s="5109"/>
      <c r="DF457" s="3">
        <v>1</v>
      </c>
    </row>
    <row r="458" spans="2:110" ht="18.75">
      <c r="B458" s="952">
        <f t="shared" si="76"/>
        <v>0</v>
      </c>
      <c r="C458" s="993" cm="1">
        <f t="array" ref="C458">SUMPRODUCT(LEN(D458:J458))</f>
        <v>0</v>
      </c>
      <c r="D458" s="167"/>
      <c r="E458" s="172"/>
      <c r="F458" s="172"/>
      <c r="G458" s="172"/>
      <c r="H458" s="172"/>
      <c r="I458" s="172"/>
      <c r="J458" s="173"/>
      <c r="K458"/>
      <c r="L458" s="104"/>
      <c r="M458" s="32"/>
      <c r="N458" s="33"/>
      <c r="O458" s="32"/>
      <c r="P458" s="34"/>
      <c r="Q458" s="92"/>
      <c r="R458" s="108"/>
      <c r="S458" s="94"/>
      <c r="T458" s="95"/>
      <c r="U458" s="105"/>
      <c r="V458" s="5101"/>
      <c r="W458" s="920"/>
      <c r="X458" s="1495"/>
      <c r="Y458" s="101"/>
      <c r="Z458" s="1475"/>
      <c r="AA458" s="5086"/>
      <c r="AB458" s="104"/>
      <c r="AC458" s="32"/>
      <c r="AD458" s="33"/>
      <c r="AE458" s="32"/>
      <c r="AF458" s="34"/>
      <c r="AG458" s="92"/>
      <c r="AH458" s="108"/>
      <c r="AI458" s="94"/>
      <c r="AJ458" s="95"/>
      <c r="AK458" s="105"/>
      <c r="AL458" s="5101"/>
      <c r="AM458" s="920"/>
      <c r="AN458" s="1495"/>
      <c r="AO458" s="101"/>
      <c r="AP458" s="1475"/>
      <c r="AQ458" s="5086"/>
      <c r="AR458" s="104"/>
      <c r="AS458" s="32"/>
      <c r="AT458" s="33"/>
      <c r="AU458" s="32"/>
      <c r="AV458" s="34"/>
      <c r="AW458" s="92"/>
      <c r="AX458" s="108"/>
      <c r="AY458" s="94"/>
      <c r="AZ458" s="95"/>
      <c r="BA458" s="105"/>
      <c r="BB458" s="5101"/>
      <c r="BC458" s="920"/>
      <c r="BD458" s="1495"/>
      <c r="BE458" s="101"/>
      <c r="BF458" s="1475"/>
      <c r="BG458" s="5086"/>
      <c r="BH458" s="104"/>
      <c r="BI458" s="32"/>
      <c r="BJ458" s="33"/>
      <c r="BK458" s="32"/>
      <c r="BL458" s="34"/>
      <c r="BM458" s="92"/>
      <c r="BN458" s="108"/>
      <c r="BO458" s="94"/>
      <c r="BP458" s="95"/>
      <c r="BQ458" s="105"/>
      <c r="BR458" s="5101"/>
      <c r="BS458" s="920"/>
      <c r="BT458" s="1495"/>
      <c r="BU458" s="101"/>
      <c r="BV458" s="1475"/>
      <c r="BW458" s="5086"/>
      <c r="BX458" s="104"/>
      <c r="BY458" s="32"/>
      <c r="BZ458" s="33"/>
      <c r="CA458" s="32"/>
      <c r="CB458" s="34"/>
      <c r="CC458" s="92"/>
      <c r="CD458" s="108"/>
      <c r="CE458" s="94"/>
      <c r="CF458" s="95"/>
      <c r="CG458" s="105"/>
      <c r="CH458" s="5101"/>
      <c r="CI458" s="920"/>
      <c r="CJ458" s="1495"/>
      <c r="CK458" s="101"/>
      <c r="CL458" s="1475"/>
      <c r="CM458" s="5086"/>
      <c r="CN458" s="104"/>
      <c r="CO458" s="32"/>
      <c r="CP458" s="33"/>
      <c r="CQ458" s="32"/>
      <c r="CR458" s="34"/>
      <c r="CS458" s="92"/>
      <c r="CT458" s="108"/>
      <c r="CU458" s="94"/>
      <c r="CV458" s="95"/>
      <c r="CW458" s="105"/>
      <c r="CX458" s="5101"/>
      <c r="CY458" s="920"/>
      <c r="CZ458" s="1495"/>
      <c r="DA458" s="101"/>
      <c r="DB458" s="1475"/>
      <c r="DC458" s="5109"/>
      <c r="DF458" s="3">
        <v>1</v>
      </c>
    </row>
    <row r="459" spans="2:110" ht="18.75">
      <c r="B459" s="952">
        <f t="shared" si="76"/>
        <v>0</v>
      </c>
      <c r="C459" s="993" cm="1">
        <f t="array" ref="C459">SUMPRODUCT(LEN(D459:J459))</f>
        <v>0</v>
      </c>
      <c r="D459" s="167"/>
      <c r="E459" s="172"/>
      <c r="F459" s="172"/>
      <c r="G459" s="172"/>
      <c r="H459" s="172"/>
      <c r="I459" s="172"/>
      <c r="J459" s="173"/>
      <c r="K459"/>
      <c r="L459" s="104"/>
      <c r="M459" s="32"/>
      <c r="N459" s="33"/>
      <c r="O459" s="32"/>
      <c r="P459" s="34"/>
      <c r="Q459" s="92"/>
      <c r="R459" s="108"/>
      <c r="S459" s="94"/>
      <c r="T459" s="95"/>
      <c r="U459" s="105"/>
      <c r="V459" s="5101"/>
      <c r="W459" s="920"/>
      <c r="X459" s="1495"/>
      <c r="Y459" s="101"/>
      <c r="Z459" s="1475"/>
      <c r="AA459" s="5086"/>
      <c r="AB459" s="104"/>
      <c r="AC459" s="32"/>
      <c r="AD459" s="33"/>
      <c r="AE459" s="32"/>
      <c r="AF459" s="34"/>
      <c r="AG459" s="92"/>
      <c r="AH459" s="108"/>
      <c r="AI459" s="94"/>
      <c r="AJ459" s="95"/>
      <c r="AK459" s="105"/>
      <c r="AL459" s="5101"/>
      <c r="AM459" s="920"/>
      <c r="AN459" s="1495"/>
      <c r="AO459" s="101"/>
      <c r="AP459" s="1475"/>
      <c r="AQ459" s="5086"/>
      <c r="AR459" s="104"/>
      <c r="AS459" s="32"/>
      <c r="AT459" s="33"/>
      <c r="AU459" s="32"/>
      <c r="AV459" s="34"/>
      <c r="AW459" s="92"/>
      <c r="AX459" s="108"/>
      <c r="AY459" s="94"/>
      <c r="AZ459" s="95"/>
      <c r="BA459" s="105"/>
      <c r="BB459" s="5101"/>
      <c r="BC459" s="920"/>
      <c r="BD459" s="1495"/>
      <c r="BE459" s="101"/>
      <c r="BF459" s="1475"/>
      <c r="BG459" s="5086"/>
      <c r="BH459" s="104"/>
      <c r="BI459" s="32"/>
      <c r="BJ459" s="33"/>
      <c r="BK459" s="32"/>
      <c r="BL459" s="34"/>
      <c r="BM459" s="92"/>
      <c r="BN459" s="108"/>
      <c r="BO459" s="94"/>
      <c r="BP459" s="95"/>
      <c r="BQ459" s="105"/>
      <c r="BR459" s="5101"/>
      <c r="BS459" s="920"/>
      <c r="BT459" s="1495"/>
      <c r="BU459" s="101"/>
      <c r="BV459" s="1475"/>
      <c r="BW459" s="5086"/>
      <c r="BX459" s="104"/>
      <c r="BY459" s="32"/>
      <c r="BZ459" s="33"/>
      <c r="CA459" s="32"/>
      <c r="CB459" s="34"/>
      <c r="CC459" s="92"/>
      <c r="CD459" s="108"/>
      <c r="CE459" s="94"/>
      <c r="CF459" s="95"/>
      <c r="CG459" s="105"/>
      <c r="CH459" s="5101"/>
      <c r="CI459" s="920"/>
      <c r="CJ459" s="1495"/>
      <c r="CK459" s="101"/>
      <c r="CL459" s="1475"/>
      <c r="CM459" s="5086"/>
      <c r="CN459" s="104"/>
      <c r="CO459" s="32"/>
      <c r="CP459" s="33"/>
      <c r="CQ459" s="32"/>
      <c r="CR459" s="34"/>
      <c r="CS459" s="92"/>
      <c r="CT459" s="108"/>
      <c r="CU459" s="94"/>
      <c r="CV459" s="95"/>
      <c r="CW459" s="105"/>
      <c r="CX459" s="5101"/>
      <c r="CY459" s="920"/>
      <c r="CZ459" s="1495"/>
      <c r="DA459" s="101"/>
      <c r="DB459" s="1475"/>
      <c r="DC459" s="5109"/>
      <c r="DF459" s="3">
        <v>1</v>
      </c>
    </row>
    <row r="460" spans="2:110" ht="18.75">
      <c r="B460" s="952">
        <f t="shared" si="76"/>
        <v>0</v>
      </c>
      <c r="C460" s="993" cm="1">
        <f t="array" ref="C460">SUMPRODUCT(LEN(D460:J460))</f>
        <v>0</v>
      </c>
      <c r="D460" s="167"/>
      <c r="E460" s="172"/>
      <c r="F460" s="172"/>
      <c r="G460" s="172"/>
      <c r="H460" s="172"/>
      <c r="I460" s="172"/>
      <c r="J460" s="173"/>
      <c r="K460"/>
      <c r="L460" s="104"/>
      <c r="M460" s="32"/>
      <c r="N460" s="33"/>
      <c r="O460" s="32"/>
      <c r="P460" s="34"/>
      <c r="Q460" s="92"/>
      <c r="R460" s="108"/>
      <c r="S460" s="94"/>
      <c r="T460" s="95"/>
      <c r="U460" s="105"/>
      <c r="V460" s="5101"/>
      <c r="W460" s="920"/>
      <c r="X460" s="1495"/>
      <c r="Y460" s="101"/>
      <c r="Z460" s="1475"/>
      <c r="AA460" s="5086"/>
      <c r="AB460" s="104"/>
      <c r="AC460" s="32"/>
      <c r="AD460" s="33"/>
      <c r="AE460" s="32"/>
      <c r="AF460" s="34"/>
      <c r="AG460" s="92"/>
      <c r="AH460" s="108"/>
      <c r="AI460" s="94"/>
      <c r="AJ460" s="95"/>
      <c r="AK460" s="105"/>
      <c r="AL460" s="5101"/>
      <c r="AM460" s="920"/>
      <c r="AN460" s="1495"/>
      <c r="AO460" s="101"/>
      <c r="AP460" s="1475"/>
      <c r="AQ460" s="5086"/>
      <c r="AR460" s="104"/>
      <c r="AS460" s="32"/>
      <c r="AT460" s="33"/>
      <c r="AU460" s="32"/>
      <c r="AV460" s="34"/>
      <c r="AW460" s="92"/>
      <c r="AX460" s="108"/>
      <c r="AY460" s="94"/>
      <c r="AZ460" s="95"/>
      <c r="BA460" s="105"/>
      <c r="BB460" s="5101"/>
      <c r="BC460" s="920"/>
      <c r="BD460" s="1495"/>
      <c r="BE460" s="101"/>
      <c r="BF460" s="1475"/>
      <c r="BG460" s="5086"/>
      <c r="BH460" s="104"/>
      <c r="BI460" s="32"/>
      <c r="BJ460" s="33"/>
      <c r="BK460" s="32"/>
      <c r="BL460" s="34"/>
      <c r="BM460" s="92"/>
      <c r="BN460" s="108"/>
      <c r="BO460" s="94"/>
      <c r="BP460" s="95"/>
      <c r="BQ460" s="105"/>
      <c r="BR460" s="5101"/>
      <c r="BS460" s="920"/>
      <c r="BT460" s="1495"/>
      <c r="BU460" s="101"/>
      <c r="BV460" s="1475"/>
      <c r="BW460" s="5086"/>
      <c r="BX460" s="104"/>
      <c r="BY460" s="32"/>
      <c r="BZ460" s="33"/>
      <c r="CA460" s="32"/>
      <c r="CB460" s="34"/>
      <c r="CC460" s="92"/>
      <c r="CD460" s="108"/>
      <c r="CE460" s="94"/>
      <c r="CF460" s="95"/>
      <c r="CG460" s="105"/>
      <c r="CH460" s="5101"/>
      <c r="CI460" s="920"/>
      <c r="CJ460" s="1495"/>
      <c r="CK460" s="101"/>
      <c r="CL460" s="1475"/>
      <c r="CM460" s="5086"/>
      <c r="CN460" s="104"/>
      <c r="CO460" s="32"/>
      <c r="CP460" s="33"/>
      <c r="CQ460" s="32"/>
      <c r="CR460" s="34"/>
      <c r="CS460" s="92"/>
      <c r="CT460" s="108"/>
      <c r="CU460" s="94"/>
      <c r="CV460" s="95"/>
      <c r="CW460" s="105"/>
      <c r="CX460" s="5101"/>
      <c r="CY460" s="920"/>
      <c r="CZ460" s="1495"/>
      <c r="DA460" s="101"/>
      <c r="DB460" s="1475"/>
      <c r="DC460" s="5109"/>
      <c r="DF460" s="3">
        <v>1</v>
      </c>
    </row>
    <row r="461" spans="2:110" ht="18.75">
      <c r="B461" s="952">
        <f t="shared" si="76"/>
        <v>0</v>
      </c>
      <c r="C461" s="993" cm="1">
        <f t="array" ref="C461">SUMPRODUCT(LEN(D461:J461))</f>
        <v>0</v>
      </c>
      <c r="D461" s="167"/>
      <c r="E461" s="172"/>
      <c r="F461" s="172"/>
      <c r="G461" s="172"/>
      <c r="H461" s="172"/>
      <c r="I461" s="172"/>
      <c r="J461" s="173"/>
      <c r="K461"/>
      <c r="L461" s="104"/>
      <c r="M461" s="32"/>
      <c r="N461" s="33"/>
      <c r="O461" s="32"/>
      <c r="P461" s="34"/>
      <c r="Q461" s="92"/>
      <c r="R461" s="108"/>
      <c r="S461" s="94"/>
      <c r="T461" s="95"/>
      <c r="U461" s="105"/>
      <c r="V461" s="5101"/>
      <c r="W461" s="920"/>
      <c r="X461" s="1495"/>
      <c r="Y461" s="101"/>
      <c r="Z461" s="1475"/>
      <c r="AA461" s="5086"/>
      <c r="AB461" s="104"/>
      <c r="AC461" s="32"/>
      <c r="AD461" s="33"/>
      <c r="AE461" s="32"/>
      <c r="AF461" s="34"/>
      <c r="AG461" s="92"/>
      <c r="AH461" s="108"/>
      <c r="AI461" s="94"/>
      <c r="AJ461" s="95"/>
      <c r="AK461" s="105"/>
      <c r="AL461" s="5101"/>
      <c r="AM461" s="920"/>
      <c r="AN461" s="1495"/>
      <c r="AO461" s="101"/>
      <c r="AP461" s="1475"/>
      <c r="AQ461" s="5086"/>
      <c r="AR461" s="104"/>
      <c r="AS461" s="32"/>
      <c r="AT461" s="33"/>
      <c r="AU461" s="32"/>
      <c r="AV461" s="34"/>
      <c r="AW461" s="92"/>
      <c r="AX461" s="108"/>
      <c r="AY461" s="94"/>
      <c r="AZ461" s="95"/>
      <c r="BA461" s="105"/>
      <c r="BB461" s="5101"/>
      <c r="BC461" s="920"/>
      <c r="BD461" s="1495"/>
      <c r="BE461" s="101"/>
      <c r="BF461" s="1475"/>
      <c r="BG461" s="5086"/>
      <c r="BH461" s="104"/>
      <c r="BI461" s="32"/>
      <c r="BJ461" s="33"/>
      <c r="BK461" s="32"/>
      <c r="BL461" s="34"/>
      <c r="BM461" s="92"/>
      <c r="BN461" s="108"/>
      <c r="BO461" s="94"/>
      <c r="BP461" s="95"/>
      <c r="BQ461" s="105"/>
      <c r="BR461" s="5101"/>
      <c r="BS461" s="920"/>
      <c r="BT461" s="1495"/>
      <c r="BU461" s="101"/>
      <c r="BV461" s="1475"/>
      <c r="BW461" s="5086"/>
      <c r="BX461" s="104"/>
      <c r="BY461" s="32"/>
      <c r="BZ461" s="33"/>
      <c r="CA461" s="32"/>
      <c r="CB461" s="34"/>
      <c r="CC461" s="92"/>
      <c r="CD461" s="108"/>
      <c r="CE461" s="94"/>
      <c r="CF461" s="95"/>
      <c r="CG461" s="105"/>
      <c r="CH461" s="5101"/>
      <c r="CI461" s="920"/>
      <c r="CJ461" s="1495"/>
      <c r="CK461" s="101"/>
      <c r="CL461" s="1475"/>
      <c r="CM461" s="5086"/>
      <c r="CN461" s="104"/>
      <c r="CO461" s="32"/>
      <c r="CP461" s="33"/>
      <c r="CQ461" s="32"/>
      <c r="CR461" s="34"/>
      <c r="CS461" s="92"/>
      <c r="CT461" s="108"/>
      <c r="CU461" s="94"/>
      <c r="CV461" s="95"/>
      <c r="CW461" s="105"/>
      <c r="CX461" s="5101"/>
      <c r="CY461" s="920"/>
      <c r="CZ461" s="1495"/>
      <c r="DA461" s="101"/>
      <c r="DB461" s="1475"/>
      <c r="DC461" s="5109"/>
      <c r="DF461" s="3">
        <v>1</v>
      </c>
    </row>
    <row r="462" spans="2:110" ht="18.75">
      <c r="B462" s="952">
        <f t="shared" si="76"/>
        <v>0</v>
      </c>
      <c r="C462" s="993" cm="1">
        <f t="array" ref="C462">SUMPRODUCT(LEN(D462:J462))</f>
        <v>0</v>
      </c>
      <c r="D462" s="167"/>
      <c r="E462" s="172"/>
      <c r="F462" s="172"/>
      <c r="G462" s="172"/>
      <c r="H462" s="172"/>
      <c r="I462" s="172"/>
      <c r="J462" s="173"/>
      <c r="K462"/>
      <c r="L462" s="104"/>
      <c r="M462" s="32"/>
      <c r="N462" s="33"/>
      <c r="O462" s="32"/>
      <c r="P462" s="34"/>
      <c r="Q462" s="92"/>
      <c r="R462" s="108"/>
      <c r="S462" s="94"/>
      <c r="T462" s="95"/>
      <c r="U462" s="105"/>
      <c r="V462" s="5101"/>
      <c r="W462" s="920"/>
      <c r="X462" s="1495"/>
      <c r="Y462" s="101"/>
      <c r="Z462" s="1475"/>
      <c r="AA462" s="5086"/>
      <c r="AB462" s="104"/>
      <c r="AC462" s="32"/>
      <c r="AD462" s="33"/>
      <c r="AE462" s="32"/>
      <c r="AF462" s="34"/>
      <c r="AG462" s="92"/>
      <c r="AH462" s="108"/>
      <c r="AI462" s="94"/>
      <c r="AJ462" s="95"/>
      <c r="AK462" s="105"/>
      <c r="AL462" s="5101"/>
      <c r="AM462" s="920"/>
      <c r="AN462" s="1495"/>
      <c r="AO462" s="101"/>
      <c r="AP462" s="1475"/>
      <c r="AQ462" s="5086"/>
      <c r="AR462" s="104"/>
      <c r="AS462" s="32"/>
      <c r="AT462" s="33"/>
      <c r="AU462" s="32"/>
      <c r="AV462" s="34"/>
      <c r="AW462" s="92"/>
      <c r="AX462" s="108"/>
      <c r="AY462" s="94"/>
      <c r="AZ462" s="95"/>
      <c r="BA462" s="105"/>
      <c r="BB462" s="5101"/>
      <c r="BC462" s="920"/>
      <c r="BD462" s="1495"/>
      <c r="BE462" s="101"/>
      <c r="BF462" s="1475"/>
      <c r="BG462" s="5086"/>
      <c r="BH462" s="104"/>
      <c r="BI462" s="32"/>
      <c r="BJ462" s="33"/>
      <c r="BK462" s="32"/>
      <c r="BL462" s="34"/>
      <c r="BM462" s="92"/>
      <c r="BN462" s="108"/>
      <c r="BO462" s="94"/>
      <c r="BP462" s="95"/>
      <c r="BQ462" s="105"/>
      <c r="BR462" s="5101"/>
      <c r="BS462" s="920"/>
      <c r="BT462" s="1495"/>
      <c r="BU462" s="101"/>
      <c r="BV462" s="1475"/>
      <c r="BW462" s="5086"/>
      <c r="BX462" s="104"/>
      <c r="BY462" s="32"/>
      <c r="BZ462" s="33"/>
      <c r="CA462" s="32"/>
      <c r="CB462" s="34"/>
      <c r="CC462" s="92"/>
      <c r="CD462" s="108"/>
      <c r="CE462" s="94"/>
      <c r="CF462" s="95"/>
      <c r="CG462" s="105"/>
      <c r="CH462" s="5101"/>
      <c r="CI462" s="920"/>
      <c r="CJ462" s="1495"/>
      <c r="CK462" s="101"/>
      <c r="CL462" s="1475"/>
      <c r="CM462" s="5086"/>
      <c r="CN462" s="104"/>
      <c r="CO462" s="32"/>
      <c r="CP462" s="33"/>
      <c r="CQ462" s="32"/>
      <c r="CR462" s="34"/>
      <c r="CS462" s="92"/>
      <c r="CT462" s="108"/>
      <c r="CU462" s="94"/>
      <c r="CV462" s="95"/>
      <c r="CW462" s="105"/>
      <c r="CX462" s="5101"/>
      <c r="CY462" s="920"/>
      <c r="CZ462" s="1495"/>
      <c r="DA462" s="101"/>
      <c r="DB462" s="1475"/>
      <c r="DC462" s="5109"/>
      <c r="DF462" s="3">
        <v>1</v>
      </c>
    </row>
    <row r="463" spans="2:110" ht="18.75">
      <c r="B463" s="952">
        <f t="shared" si="76"/>
        <v>0</v>
      </c>
      <c r="C463" s="993" cm="1">
        <f t="array" ref="C463">SUMPRODUCT(LEN(D463:J463))</f>
        <v>0</v>
      </c>
      <c r="D463" s="167"/>
      <c r="E463" s="172"/>
      <c r="F463" s="172"/>
      <c r="G463" s="172"/>
      <c r="H463" s="172"/>
      <c r="I463" s="172"/>
      <c r="J463" s="173"/>
      <c r="K463"/>
      <c r="L463" s="104"/>
      <c r="M463" s="32"/>
      <c r="N463" s="33"/>
      <c r="O463" s="32"/>
      <c r="P463" s="34"/>
      <c r="Q463" s="92"/>
      <c r="R463" s="108"/>
      <c r="S463" s="94"/>
      <c r="T463" s="95"/>
      <c r="U463" s="105"/>
      <c r="V463" s="5101"/>
      <c r="W463" s="920"/>
      <c r="X463" s="1495"/>
      <c r="Y463" s="101"/>
      <c r="Z463" s="1475"/>
      <c r="AA463" s="5086"/>
      <c r="AB463" s="104"/>
      <c r="AC463" s="32"/>
      <c r="AD463" s="33"/>
      <c r="AE463" s="32"/>
      <c r="AF463" s="34"/>
      <c r="AG463" s="92"/>
      <c r="AH463" s="108"/>
      <c r="AI463" s="94"/>
      <c r="AJ463" s="95"/>
      <c r="AK463" s="105"/>
      <c r="AL463" s="5101"/>
      <c r="AM463" s="920"/>
      <c r="AN463" s="1495"/>
      <c r="AO463" s="101"/>
      <c r="AP463" s="1475"/>
      <c r="AQ463" s="5086"/>
      <c r="AR463" s="104"/>
      <c r="AS463" s="32"/>
      <c r="AT463" s="33"/>
      <c r="AU463" s="32"/>
      <c r="AV463" s="34"/>
      <c r="AW463" s="92"/>
      <c r="AX463" s="108"/>
      <c r="AY463" s="94"/>
      <c r="AZ463" s="95"/>
      <c r="BA463" s="105"/>
      <c r="BB463" s="5101"/>
      <c r="BC463" s="920"/>
      <c r="BD463" s="1495"/>
      <c r="BE463" s="101"/>
      <c r="BF463" s="1475"/>
      <c r="BG463" s="5086"/>
      <c r="BH463" s="104"/>
      <c r="BI463" s="32"/>
      <c r="BJ463" s="33"/>
      <c r="BK463" s="32"/>
      <c r="BL463" s="34"/>
      <c r="BM463" s="92"/>
      <c r="BN463" s="108"/>
      <c r="BO463" s="94"/>
      <c r="BP463" s="95"/>
      <c r="BQ463" s="105"/>
      <c r="BR463" s="5101"/>
      <c r="BS463" s="920"/>
      <c r="BT463" s="1495"/>
      <c r="BU463" s="101"/>
      <c r="BV463" s="1475"/>
      <c r="BW463" s="5086"/>
      <c r="BX463" s="104"/>
      <c r="BY463" s="32"/>
      <c r="BZ463" s="33"/>
      <c r="CA463" s="32"/>
      <c r="CB463" s="34"/>
      <c r="CC463" s="92"/>
      <c r="CD463" s="108"/>
      <c r="CE463" s="94"/>
      <c r="CF463" s="95"/>
      <c r="CG463" s="105"/>
      <c r="CH463" s="5101"/>
      <c r="CI463" s="920"/>
      <c r="CJ463" s="1495"/>
      <c r="CK463" s="101"/>
      <c r="CL463" s="1475"/>
      <c r="CM463" s="5086"/>
      <c r="CN463" s="104"/>
      <c r="CO463" s="32"/>
      <c r="CP463" s="33"/>
      <c r="CQ463" s="32"/>
      <c r="CR463" s="34"/>
      <c r="CS463" s="92"/>
      <c r="CT463" s="108"/>
      <c r="CU463" s="94"/>
      <c r="CV463" s="95"/>
      <c r="CW463" s="105"/>
      <c r="CX463" s="5101"/>
      <c r="CY463" s="920"/>
      <c r="CZ463" s="1495"/>
      <c r="DA463" s="101"/>
      <c r="DB463" s="1475"/>
      <c r="DC463" s="5109"/>
      <c r="DF463" s="3">
        <v>1</v>
      </c>
    </row>
    <row r="464" spans="2:110" ht="18.75">
      <c r="B464" s="952">
        <f t="shared" si="76"/>
        <v>0</v>
      </c>
      <c r="C464" s="993" cm="1">
        <f t="array" ref="C464">SUMPRODUCT(LEN(D464:J464))</f>
        <v>0</v>
      </c>
      <c r="D464" s="167"/>
      <c r="E464" s="172"/>
      <c r="F464" s="172"/>
      <c r="G464" s="172"/>
      <c r="H464" s="172"/>
      <c r="I464" s="172"/>
      <c r="J464" s="173"/>
      <c r="K464"/>
      <c r="L464" s="104"/>
      <c r="M464" s="32"/>
      <c r="N464" s="33"/>
      <c r="O464" s="32"/>
      <c r="P464" s="34"/>
      <c r="Q464" s="92"/>
      <c r="R464" s="108"/>
      <c r="S464" s="94"/>
      <c r="T464" s="95"/>
      <c r="U464" s="105"/>
      <c r="V464" s="5101"/>
      <c r="W464" s="920"/>
      <c r="X464" s="1495"/>
      <c r="Y464" s="101"/>
      <c r="Z464" s="1475"/>
      <c r="AA464" s="5086"/>
      <c r="AB464" s="104"/>
      <c r="AC464" s="32"/>
      <c r="AD464" s="33"/>
      <c r="AE464" s="32"/>
      <c r="AF464" s="34"/>
      <c r="AG464" s="92"/>
      <c r="AH464" s="108"/>
      <c r="AI464" s="94"/>
      <c r="AJ464" s="95"/>
      <c r="AK464" s="105"/>
      <c r="AL464" s="5101"/>
      <c r="AM464" s="920"/>
      <c r="AN464" s="1495"/>
      <c r="AO464" s="101"/>
      <c r="AP464" s="1475"/>
      <c r="AQ464" s="5086"/>
      <c r="AR464" s="104"/>
      <c r="AS464" s="32"/>
      <c r="AT464" s="33"/>
      <c r="AU464" s="32"/>
      <c r="AV464" s="34"/>
      <c r="AW464" s="92"/>
      <c r="AX464" s="108"/>
      <c r="AY464" s="94"/>
      <c r="AZ464" s="95"/>
      <c r="BA464" s="105"/>
      <c r="BB464" s="5101"/>
      <c r="BC464" s="920"/>
      <c r="BD464" s="1495"/>
      <c r="BE464" s="101"/>
      <c r="BF464" s="1475"/>
      <c r="BG464" s="5086"/>
      <c r="BH464" s="104"/>
      <c r="BI464" s="32"/>
      <c r="BJ464" s="33"/>
      <c r="BK464" s="32"/>
      <c r="BL464" s="34"/>
      <c r="BM464" s="92"/>
      <c r="BN464" s="108"/>
      <c r="BO464" s="94"/>
      <c r="BP464" s="95"/>
      <c r="BQ464" s="105"/>
      <c r="BR464" s="5101"/>
      <c r="BS464" s="920"/>
      <c r="BT464" s="1495"/>
      <c r="BU464" s="101"/>
      <c r="BV464" s="1475"/>
      <c r="BW464" s="5086"/>
      <c r="BX464" s="104"/>
      <c r="BY464" s="32"/>
      <c r="BZ464" s="33"/>
      <c r="CA464" s="32"/>
      <c r="CB464" s="34"/>
      <c r="CC464" s="92"/>
      <c r="CD464" s="108"/>
      <c r="CE464" s="94"/>
      <c r="CF464" s="95"/>
      <c r="CG464" s="105"/>
      <c r="CH464" s="5101"/>
      <c r="CI464" s="920"/>
      <c r="CJ464" s="1495"/>
      <c r="CK464" s="101"/>
      <c r="CL464" s="1475"/>
      <c r="CM464" s="5086"/>
      <c r="CN464" s="104"/>
      <c r="CO464" s="32"/>
      <c r="CP464" s="33"/>
      <c r="CQ464" s="32"/>
      <c r="CR464" s="34"/>
      <c r="CS464" s="92"/>
      <c r="CT464" s="108"/>
      <c r="CU464" s="94"/>
      <c r="CV464" s="95"/>
      <c r="CW464" s="105"/>
      <c r="CX464" s="5101"/>
      <c r="CY464" s="920"/>
      <c r="CZ464" s="1495"/>
      <c r="DA464" s="101"/>
      <c r="DB464" s="1475"/>
      <c r="DC464" s="5109"/>
      <c r="DF464" s="3">
        <v>1</v>
      </c>
    </row>
    <row r="465" spans="1:112" ht="18.75">
      <c r="B465" s="952">
        <f t="shared" si="76"/>
        <v>0</v>
      </c>
      <c r="C465" s="993" cm="1">
        <f t="array" ref="C465">SUMPRODUCT(LEN(D465:J465))</f>
        <v>0</v>
      </c>
      <c r="D465" s="167"/>
      <c r="E465" s="172"/>
      <c r="F465" s="172"/>
      <c r="G465" s="172"/>
      <c r="H465" s="172"/>
      <c r="I465" s="172"/>
      <c r="J465" s="173"/>
      <c r="K465"/>
      <c r="L465" s="104"/>
      <c r="M465" s="32"/>
      <c r="N465" s="33"/>
      <c r="O465" s="32"/>
      <c r="P465" s="34"/>
      <c r="Q465" s="92"/>
      <c r="R465" s="108"/>
      <c r="S465" s="94"/>
      <c r="T465" s="95"/>
      <c r="U465" s="105"/>
      <c r="V465" s="5101"/>
      <c r="W465" s="920"/>
      <c r="X465" s="1495"/>
      <c r="Y465" s="101"/>
      <c r="Z465" s="1475"/>
      <c r="AA465" s="5086"/>
      <c r="AB465" s="104"/>
      <c r="AC465" s="32"/>
      <c r="AD465" s="33"/>
      <c r="AE465" s="32"/>
      <c r="AF465" s="34"/>
      <c r="AG465" s="92"/>
      <c r="AH465" s="108"/>
      <c r="AI465" s="94"/>
      <c r="AJ465" s="95"/>
      <c r="AK465" s="105"/>
      <c r="AL465" s="5101"/>
      <c r="AM465" s="920"/>
      <c r="AN465" s="1495"/>
      <c r="AO465" s="101"/>
      <c r="AP465" s="1475"/>
      <c r="AQ465" s="5086"/>
      <c r="AR465" s="104"/>
      <c r="AS465" s="32"/>
      <c r="AT465" s="33"/>
      <c r="AU465" s="32"/>
      <c r="AV465" s="34"/>
      <c r="AW465" s="92"/>
      <c r="AX465" s="108"/>
      <c r="AY465" s="94"/>
      <c r="AZ465" s="95"/>
      <c r="BA465" s="105"/>
      <c r="BB465" s="5101"/>
      <c r="BC465" s="920"/>
      <c r="BD465" s="1495"/>
      <c r="BE465" s="101"/>
      <c r="BF465" s="1475"/>
      <c r="BG465" s="5086"/>
      <c r="BH465" s="104"/>
      <c r="BI465" s="32"/>
      <c r="BJ465" s="33"/>
      <c r="BK465" s="32"/>
      <c r="BL465" s="34"/>
      <c r="BM465" s="92"/>
      <c r="BN465" s="108"/>
      <c r="BO465" s="94"/>
      <c r="BP465" s="95"/>
      <c r="BQ465" s="105"/>
      <c r="BR465" s="5101"/>
      <c r="BS465" s="920"/>
      <c r="BT465" s="1495"/>
      <c r="BU465" s="101"/>
      <c r="BV465" s="1475"/>
      <c r="BW465" s="5086"/>
      <c r="BX465" s="104"/>
      <c r="BY465" s="32"/>
      <c r="BZ465" s="33"/>
      <c r="CA465" s="32"/>
      <c r="CB465" s="34"/>
      <c r="CC465" s="92"/>
      <c r="CD465" s="108"/>
      <c r="CE465" s="94"/>
      <c r="CF465" s="95"/>
      <c r="CG465" s="105"/>
      <c r="CH465" s="5101"/>
      <c r="CI465" s="920"/>
      <c r="CJ465" s="1495"/>
      <c r="CK465" s="101"/>
      <c r="CL465" s="1475"/>
      <c r="CM465" s="5086"/>
      <c r="CN465" s="104"/>
      <c r="CO465" s="32"/>
      <c r="CP465" s="33"/>
      <c r="CQ465" s="32"/>
      <c r="CR465" s="34"/>
      <c r="CS465" s="92"/>
      <c r="CT465" s="108"/>
      <c r="CU465" s="94"/>
      <c r="CV465" s="95"/>
      <c r="CW465" s="105"/>
      <c r="CX465" s="5101"/>
      <c r="CY465" s="920"/>
      <c r="CZ465" s="1495"/>
      <c r="DA465" s="101"/>
      <c r="DB465" s="1475"/>
      <c r="DC465" s="5109"/>
      <c r="DF465" s="3">
        <v>1</v>
      </c>
    </row>
    <row r="466" spans="1:112" ht="18.75">
      <c r="B466" s="952">
        <f t="shared" si="76"/>
        <v>0</v>
      </c>
      <c r="C466" s="993" cm="1">
        <f t="array" ref="C466">SUMPRODUCT(LEN(D466:J466))</f>
        <v>0</v>
      </c>
      <c r="D466" s="167"/>
      <c r="E466" s="172"/>
      <c r="F466" s="172"/>
      <c r="G466" s="172"/>
      <c r="H466" s="172"/>
      <c r="I466" s="172"/>
      <c r="J466" s="173"/>
      <c r="K466"/>
      <c r="L466" s="104"/>
      <c r="M466" s="32"/>
      <c r="N466" s="33"/>
      <c r="O466" s="32"/>
      <c r="P466" s="34"/>
      <c r="Q466" s="92"/>
      <c r="R466" s="108"/>
      <c r="S466" s="94"/>
      <c r="T466" s="95"/>
      <c r="U466" s="105"/>
      <c r="V466" s="5101"/>
      <c r="W466" s="920"/>
      <c r="X466" s="1495"/>
      <c r="Y466" s="101"/>
      <c r="Z466" s="1475"/>
      <c r="AA466" s="5086"/>
      <c r="AB466" s="104"/>
      <c r="AC466" s="32"/>
      <c r="AD466" s="33"/>
      <c r="AE466" s="32"/>
      <c r="AF466" s="34"/>
      <c r="AG466" s="92"/>
      <c r="AH466" s="108"/>
      <c r="AI466" s="94"/>
      <c r="AJ466" s="95"/>
      <c r="AK466" s="105"/>
      <c r="AL466" s="5101"/>
      <c r="AM466" s="920"/>
      <c r="AN466" s="1495"/>
      <c r="AO466" s="101"/>
      <c r="AP466" s="1475"/>
      <c r="AQ466" s="5086"/>
      <c r="AR466" s="104"/>
      <c r="AS466" s="32"/>
      <c r="AT466" s="33"/>
      <c r="AU466" s="32"/>
      <c r="AV466" s="34"/>
      <c r="AW466" s="92"/>
      <c r="AX466" s="108"/>
      <c r="AY466" s="94"/>
      <c r="AZ466" s="95"/>
      <c r="BA466" s="105"/>
      <c r="BB466" s="5101"/>
      <c r="BC466" s="920"/>
      <c r="BD466" s="1495"/>
      <c r="BE466" s="101"/>
      <c r="BF466" s="1475"/>
      <c r="BG466" s="5086"/>
      <c r="BH466" s="104"/>
      <c r="BI466" s="32"/>
      <c r="BJ466" s="33"/>
      <c r="BK466" s="32"/>
      <c r="BL466" s="34"/>
      <c r="BM466" s="92"/>
      <c r="BN466" s="108"/>
      <c r="BO466" s="94"/>
      <c r="BP466" s="95"/>
      <c r="BQ466" s="105"/>
      <c r="BR466" s="5101"/>
      <c r="BS466" s="920"/>
      <c r="BT466" s="1495"/>
      <c r="BU466" s="101"/>
      <c r="BV466" s="1475"/>
      <c r="BW466" s="5086"/>
      <c r="BX466" s="104"/>
      <c r="BY466" s="32"/>
      <c r="BZ466" s="33"/>
      <c r="CA466" s="32"/>
      <c r="CB466" s="34"/>
      <c r="CC466" s="92"/>
      <c r="CD466" s="108"/>
      <c r="CE466" s="94"/>
      <c r="CF466" s="95"/>
      <c r="CG466" s="105"/>
      <c r="CH466" s="5101"/>
      <c r="CI466" s="920"/>
      <c r="CJ466" s="1495"/>
      <c r="CK466" s="101"/>
      <c r="CL466" s="1475"/>
      <c r="CM466" s="5086"/>
      <c r="CN466" s="104"/>
      <c r="CO466" s="32"/>
      <c r="CP466" s="33"/>
      <c r="CQ466" s="32"/>
      <c r="CR466" s="34"/>
      <c r="CS466" s="92"/>
      <c r="CT466" s="108"/>
      <c r="CU466" s="94"/>
      <c r="CV466" s="95"/>
      <c r="CW466" s="105"/>
      <c r="CX466" s="5101"/>
      <c r="CY466" s="920"/>
      <c r="CZ466" s="1495"/>
      <c r="DA466" s="101"/>
      <c r="DB466" s="1475"/>
      <c r="DC466" s="5109"/>
      <c r="DF466" s="3">
        <v>1</v>
      </c>
    </row>
    <row r="467" spans="1:112" ht="18.75">
      <c r="B467" s="952">
        <f t="shared" si="76"/>
        <v>0</v>
      </c>
      <c r="C467" s="993" cm="1">
        <f t="array" ref="C467">SUMPRODUCT(LEN(D467:J467))</f>
        <v>0</v>
      </c>
      <c r="D467" s="167"/>
      <c r="E467" s="172"/>
      <c r="F467" s="172"/>
      <c r="G467" s="172"/>
      <c r="H467" s="172"/>
      <c r="I467" s="172"/>
      <c r="J467" s="173"/>
      <c r="K467"/>
      <c r="L467" s="104"/>
      <c r="M467" s="32"/>
      <c r="N467" s="33"/>
      <c r="O467" s="32"/>
      <c r="P467" s="34"/>
      <c r="Q467" s="92"/>
      <c r="R467" s="108"/>
      <c r="S467" s="94"/>
      <c r="T467" s="95"/>
      <c r="U467" s="105"/>
      <c r="V467" s="5101"/>
      <c r="W467" s="920"/>
      <c r="X467" s="1495"/>
      <c r="Y467" s="101"/>
      <c r="Z467" s="1475"/>
      <c r="AA467" s="5086"/>
      <c r="AB467" s="104"/>
      <c r="AC467" s="32"/>
      <c r="AD467" s="33"/>
      <c r="AE467" s="32"/>
      <c r="AF467" s="34"/>
      <c r="AG467" s="92"/>
      <c r="AH467" s="108"/>
      <c r="AI467" s="94"/>
      <c r="AJ467" s="95"/>
      <c r="AK467" s="105"/>
      <c r="AL467" s="5101"/>
      <c r="AM467" s="920"/>
      <c r="AN467" s="1495"/>
      <c r="AO467" s="101"/>
      <c r="AP467" s="1475"/>
      <c r="AQ467" s="5086"/>
      <c r="AR467" s="104"/>
      <c r="AS467" s="32"/>
      <c r="AT467" s="33"/>
      <c r="AU467" s="32"/>
      <c r="AV467" s="34"/>
      <c r="AW467" s="92"/>
      <c r="AX467" s="108"/>
      <c r="AY467" s="94"/>
      <c r="AZ467" s="95"/>
      <c r="BA467" s="105"/>
      <c r="BB467" s="5101"/>
      <c r="BC467" s="920"/>
      <c r="BD467" s="1495"/>
      <c r="BE467" s="101"/>
      <c r="BF467" s="1475"/>
      <c r="BG467" s="5086"/>
      <c r="BH467" s="104"/>
      <c r="BI467" s="32"/>
      <c r="BJ467" s="33"/>
      <c r="BK467" s="32"/>
      <c r="BL467" s="34"/>
      <c r="BM467" s="92"/>
      <c r="BN467" s="108"/>
      <c r="BO467" s="94"/>
      <c r="BP467" s="95"/>
      <c r="BQ467" s="105"/>
      <c r="BR467" s="5101"/>
      <c r="BS467" s="920"/>
      <c r="BT467" s="1495"/>
      <c r="BU467" s="101"/>
      <c r="BV467" s="1475"/>
      <c r="BW467" s="5086"/>
      <c r="BX467" s="104"/>
      <c r="BY467" s="32"/>
      <c r="BZ467" s="33"/>
      <c r="CA467" s="32"/>
      <c r="CB467" s="34"/>
      <c r="CC467" s="92"/>
      <c r="CD467" s="108"/>
      <c r="CE467" s="94"/>
      <c r="CF467" s="95"/>
      <c r="CG467" s="105"/>
      <c r="CH467" s="5101"/>
      <c r="CI467" s="920"/>
      <c r="CJ467" s="1495"/>
      <c r="CK467" s="101"/>
      <c r="CL467" s="1475"/>
      <c r="CM467" s="5086"/>
      <c r="CN467" s="104"/>
      <c r="CO467" s="32"/>
      <c r="CP467" s="33"/>
      <c r="CQ467" s="32"/>
      <c r="CR467" s="34"/>
      <c r="CS467" s="92"/>
      <c r="CT467" s="108"/>
      <c r="CU467" s="94"/>
      <c r="CV467" s="95"/>
      <c r="CW467" s="105"/>
      <c r="CX467" s="5101"/>
      <c r="CY467" s="920"/>
      <c r="CZ467" s="1495"/>
      <c r="DA467" s="101"/>
      <c r="DB467" s="1475"/>
      <c r="DC467" s="5109"/>
      <c r="DF467" s="3">
        <v>1</v>
      </c>
    </row>
    <row r="468" spans="1:112" ht="18.75">
      <c r="B468" s="952">
        <f t="shared" si="76"/>
        <v>0</v>
      </c>
      <c r="C468" s="993" cm="1">
        <f t="array" ref="C468">SUMPRODUCT(LEN(D468:J468))</f>
        <v>0</v>
      </c>
      <c r="D468" s="167"/>
      <c r="E468" s="172"/>
      <c r="F468" s="172"/>
      <c r="G468" s="172"/>
      <c r="H468" s="172"/>
      <c r="I468" s="172"/>
      <c r="J468" s="173"/>
      <c r="K468"/>
      <c r="L468" s="104"/>
      <c r="M468" s="32"/>
      <c r="N468" s="33"/>
      <c r="O468" s="32"/>
      <c r="P468" s="34"/>
      <c r="Q468" s="92"/>
      <c r="R468" s="108"/>
      <c r="S468" s="94"/>
      <c r="T468" s="95"/>
      <c r="U468" s="105"/>
      <c r="V468" s="5101"/>
      <c r="W468" s="920"/>
      <c r="X468" s="1495"/>
      <c r="Y468" s="101"/>
      <c r="Z468" s="1475"/>
      <c r="AA468" s="5086"/>
      <c r="AB468" s="104"/>
      <c r="AC468" s="32"/>
      <c r="AD468" s="33"/>
      <c r="AE468" s="32"/>
      <c r="AF468" s="34"/>
      <c r="AG468" s="92"/>
      <c r="AH468" s="108"/>
      <c r="AI468" s="94"/>
      <c r="AJ468" s="95"/>
      <c r="AK468" s="105"/>
      <c r="AL468" s="5101"/>
      <c r="AM468" s="920"/>
      <c r="AN468" s="1495"/>
      <c r="AO468" s="101"/>
      <c r="AP468" s="1475"/>
      <c r="AQ468" s="5086"/>
      <c r="AR468" s="104"/>
      <c r="AS468" s="32"/>
      <c r="AT468" s="33"/>
      <c r="AU468" s="32"/>
      <c r="AV468" s="34"/>
      <c r="AW468" s="92"/>
      <c r="AX468" s="108"/>
      <c r="AY468" s="94"/>
      <c r="AZ468" s="95"/>
      <c r="BA468" s="105"/>
      <c r="BB468" s="5101"/>
      <c r="BC468" s="920"/>
      <c r="BD468" s="1495"/>
      <c r="BE468" s="101"/>
      <c r="BF468" s="1475"/>
      <c r="BG468" s="5086"/>
      <c r="BH468" s="104"/>
      <c r="BI468" s="32"/>
      <c r="BJ468" s="33"/>
      <c r="BK468" s="32"/>
      <c r="BL468" s="34"/>
      <c r="BM468" s="92"/>
      <c r="BN468" s="108"/>
      <c r="BO468" s="94"/>
      <c r="BP468" s="95"/>
      <c r="BQ468" s="105"/>
      <c r="BR468" s="5101"/>
      <c r="BS468" s="920"/>
      <c r="BT468" s="1495"/>
      <c r="BU468" s="101"/>
      <c r="BV468" s="1475"/>
      <c r="BW468" s="5086"/>
      <c r="BX468" s="104"/>
      <c r="BY468" s="32"/>
      <c r="BZ468" s="33"/>
      <c r="CA468" s="32"/>
      <c r="CB468" s="34"/>
      <c r="CC468" s="92"/>
      <c r="CD468" s="108"/>
      <c r="CE468" s="94"/>
      <c r="CF468" s="95"/>
      <c r="CG468" s="105"/>
      <c r="CH468" s="5101"/>
      <c r="CI468" s="920"/>
      <c r="CJ468" s="1495"/>
      <c r="CK468" s="101"/>
      <c r="CL468" s="1475"/>
      <c r="CM468" s="5086"/>
      <c r="CN468" s="104"/>
      <c r="CO468" s="32"/>
      <c r="CP468" s="33"/>
      <c r="CQ468" s="32"/>
      <c r="CR468" s="34"/>
      <c r="CS468" s="92"/>
      <c r="CT468" s="108"/>
      <c r="CU468" s="94"/>
      <c r="CV468" s="95"/>
      <c r="CW468" s="105"/>
      <c r="CX468" s="5101"/>
      <c r="CY468" s="920"/>
      <c r="CZ468" s="1495"/>
      <c r="DA468" s="101"/>
      <c r="DB468" s="1475"/>
      <c r="DC468" s="5109"/>
      <c r="DF468" s="3">
        <v>1</v>
      </c>
    </row>
    <row r="469" spans="1:112" ht="18.75">
      <c r="B469" s="952">
        <f t="shared" si="76"/>
        <v>0</v>
      </c>
      <c r="C469" s="993" cm="1">
        <f t="array" ref="C469">SUMPRODUCT(LEN(D469:J469))</f>
        <v>0</v>
      </c>
      <c r="D469" s="167"/>
      <c r="E469" s="172"/>
      <c r="F469" s="172"/>
      <c r="G469" s="172"/>
      <c r="H469" s="172"/>
      <c r="I469" s="172"/>
      <c r="J469" s="173"/>
      <c r="K469"/>
      <c r="L469" s="104"/>
      <c r="M469" s="32"/>
      <c r="N469" s="33"/>
      <c r="O469" s="32"/>
      <c r="P469" s="34"/>
      <c r="Q469" s="92"/>
      <c r="R469" s="108"/>
      <c r="S469" s="94"/>
      <c r="T469" s="95"/>
      <c r="U469" s="105"/>
      <c r="V469" s="5101"/>
      <c r="W469" s="920"/>
      <c r="X469" s="1495"/>
      <c r="Y469" s="101"/>
      <c r="Z469" s="1475"/>
      <c r="AA469" s="5086"/>
      <c r="AB469" s="104"/>
      <c r="AC469" s="32"/>
      <c r="AD469" s="33"/>
      <c r="AE469" s="32"/>
      <c r="AF469" s="34"/>
      <c r="AG469" s="92"/>
      <c r="AH469" s="108"/>
      <c r="AI469" s="94"/>
      <c r="AJ469" s="95"/>
      <c r="AK469" s="105"/>
      <c r="AL469" s="5101"/>
      <c r="AM469" s="920"/>
      <c r="AN469" s="1495"/>
      <c r="AO469" s="101"/>
      <c r="AP469" s="1475"/>
      <c r="AQ469" s="5086"/>
      <c r="AR469" s="104"/>
      <c r="AS469" s="32"/>
      <c r="AT469" s="33"/>
      <c r="AU469" s="32"/>
      <c r="AV469" s="34"/>
      <c r="AW469" s="92"/>
      <c r="AX469" s="108"/>
      <c r="AY469" s="94"/>
      <c r="AZ469" s="95"/>
      <c r="BA469" s="105"/>
      <c r="BB469" s="5101"/>
      <c r="BC469" s="920"/>
      <c r="BD469" s="1495"/>
      <c r="BE469" s="101"/>
      <c r="BF469" s="1475"/>
      <c r="BG469" s="5086"/>
      <c r="BH469" s="104"/>
      <c r="BI469" s="32"/>
      <c r="BJ469" s="33"/>
      <c r="BK469" s="32"/>
      <c r="BL469" s="34"/>
      <c r="BM469" s="92"/>
      <c r="BN469" s="108"/>
      <c r="BO469" s="94"/>
      <c r="BP469" s="95"/>
      <c r="BQ469" s="105"/>
      <c r="BR469" s="5101"/>
      <c r="BS469" s="920"/>
      <c r="BT469" s="1495"/>
      <c r="BU469" s="101"/>
      <c r="BV469" s="1475"/>
      <c r="BW469" s="5086"/>
      <c r="BX469" s="104"/>
      <c r="BY469" s="32"/>
      <c r="BZ469" s="33"/>
      <c r="CA469" s="32"/>
      <c r="CB469" s="34"/>
      <c r="CC469" s="92"/>
      <c r="CD469" s="108"/>
      <c r="CE469" s="94"/>
      <c r="CF469" s="95"/>
      <c r="CG469" s="105"/>
      <c r="CH469" s="5101"/>
      <c r="CI469" s="920"/>
      <c r="CJ469" s="1495"/>
      <c r="CK469" s="101"/>
      <c r="CL469" s="1475"/>
      <c r="CM469" s="5086"/>
      <c r="CN469" s="104"/>
      <c r="CO469" s="32"/>
      <c r="CP469" s="33"/>
      <c r="CQ469" s="32"/>
      <c r="CR469" s="34"/>
      <c r="CS469" s="92"/>
      <c r="CT469" s="108"/>
      <c r="CU469" s="94"/>
      <c r="CV469" s="95"/>
      <c r="CW469" s="105"/>
      <c r="CX469" s="5101"/>
      <c r="CY469" s="920"/>
      <c r="CZ469" s="1495"/>
      <c r="DA469" s="101"/>
      <c r="DB469" s="1475"/>
      <c r="DC469" s="5109"/>
      <c r="DF469" s="3">
        <v>1</v>
      </c>
    </row>
    <row r="470" spans="1:112" ht="18.75">
      <c r="B470" s="952">
        <f t="shared" si="76"/>
        <v>0</v>
      </c>
      <c r="C470" s="993" cm="1">
        <f t="array" ref="C470">SUMPRODUCT(LEN(D470:J470))</f>
        <v>0</v>
      </c>
      <c r="D470" s="167"/>
      <c r="E470" s="172"/>
      <c r="F470" s="172"/>
      <c r="G470" s="172"/>
      <c r="H470" s="172"/>
      <c r="I470" s="172"/>
      <c r="J470" s="173"/>
      <c r="K470"/>
      <c r="L470" s="104"/>
      <c r="M470" s="32"/>
      <c r="N470" s="33"/>
      <c r="O470" s="32"/>
      <c r="P470" s="34"/>
      <c r="Q470" s="92"/>
      <c r="R470" s="108"/>
      <c r="S470" s="94"/>
      <c r="T470" s="95"/>
      <c r="U470" s="105"/>
      <c r="V470" s="5101"/>
      <c r="W470" s="920"/>
      <c r="X470" s="1495"/>
      <c r="Y470" s="101"/>
      <c r="Z470" s="1475"/>
      <c r="AA470" s="5086"/>
      <c r="AB470" s="104"/>
      <c r="AC470" s="32"/>
      <c r="AD470" s="33"/>
      <c r="AE470" s="32"/>
      <c r="AF470" s="34"/>
      <c r="AG470" s="92"/>
      <c r="AH470" s="108"/>
      <c r="AI470" s="94"/>
      <c r="AJ470" s="95"/>
      <c r="AK470" s="105"/>
      <c r="AL470" s="5101"/>
      <c r="AM470" s="920"/>
      <c r="AN470" s="1495"/>
      <c r="AO470" s="101"/>
      <c r="AP470" s="1475"/>
      <c r="AQ470" s="5086"/>
      <c r="AR470" s="104"/>
      <c r="AS470" s="32"/>
      <c r="AT470" s="33"/>
      <c r="AU470" s="32"/>
      <c r="AV470" s="34"/>
      <c r="AW470" s="92"/>
      <c r="AX470" s="108"/>
      <c r="AY470" s="94"/>
      <c r="AZ470" s="95"/>
      <c r="BA470" s="105"/>
      <c r="BB470" s="5101"/>
      <c r="BC470" s="920"/>
      <c r="BD470" s="1495"/>
      <c r="BE470" s="101"/>
      <c r="BF470" s="1475"/>
      <c r="BG470" s="5086"/>
      <c r="BH470" s="104"/>
      <c r="BI470" s="32"/>
      <c r="BJ470" s="33"/>
      <c r="BK470" s="32"/>
      <c r="BL470" s="34"/>
      <c r="BM470" s="92"/>
      <c r="BN470" s="108"/>
      <c r="BO470" s="94"/>
      <c r="BP470" s="95"/>
      <c r="BQ470" s="105"/>
      <c r="BR470" s="5101"/>
      <c r="BS470" s="920"/>
      <c r="BT470" s="1495"/>
      <c r="BU470" s="101"/>
      <c r="BV470" s="1475"/>
      <c r="BW470" s="5086"/>
      <c r="BX470" s="104"/>
      <c r="BY470" s="32"/>
      <c r="BZ470" s="33"/>
      <c r="CA470" s="32"/>
      <c r="CB470" s="34"/>
      <c r="CC470" s="92"/>
      <c r="CD470" s="108"/>
      <c r="CE470" s="94"/>
      <c r="CF470" s="95"/>
      <c r="CG470" s="105"/>
      <c r="CH470" s="5101"/>
      <c r="CI470" s="920"/>
      <c r="CJ470" s="1495"/>
      <c r="CK470" s="101"/>
      <c r="CL470" s="1475"/>
      <c r="CM470" s="5086"/>
      <c r="CN470" s="104"/>
      <c r="CO470" s="32"/>
      <c r="CP470" s="33"/>
      <c r="CQ470" s="32"/>
      <c r="CR470" s="34"/>
      <c r="CS470" s="92"/>
      <c r="CT470" s="108"/>
      <c r="CU470" s="94"/>
      <c r="CV470" s="95"/>
      <c r="CW470" s="105"/>
      <c r="CX470" s="5101"/>
      <c r="CY470" s="920"/>
      <c r="CZ470" s="1495"/>
      <c r="DA470" s="101"/>
      <c r="DB470" s="1475"/>
      <c r="DC470" s="5109"/>
      <c r="DF470" s="3">
        <v>1</v>
      </c>
    </row>
    <row r="471" spans="1:112" ht="18.75">
      <c r="B471" s="952">
        <f t="shared" si="76"/>
        <v>0</v>
      </c>
      <c r="C471" s="993" cm="1">
        <f t="array" ref="C471">SUMPRODUCT(LEN(D471:J471))</f>
        <v>0</v>
      </c>
      <c r="D471" s="167"/>
      <c r="E471" s="172"/>
      <c r="F471" s="172"/>
      <c r="G471" s="172"/>
      <c r="H471" s="172"/>
      <c r="I471" s="172"/>
      <c r="J471" s="173"/>
      <c r="K471"/>
      <c r="L471" s="104"/>
      <c r="M471" s="32"/>
      <c r="N471" s="33"/>
      <c r="O471" s="32"/>
      <c r="P471" s="34"/>
      <c r="Q471" s="92"/>
      <c r="R471" s="108"/>
      <c r="S471" s="94"/>
      <c r="T471" s="95"/>
      <c r="U471" s="105"/>
      <c r="V471" s="5101"/>
      <c r="W471" s="920"/>
      <c r="X471" s="1495"/>
      <c r="Y471" s="101"/>
      <c r="Z471" s="1475"/>
      <c r="AA471" s="5086"/>
      <c r="AB471" s="104"/>
      <c r="AC471" s="32"/>
      <c r="AD471" s="33"/>
      <c r="AE471" s="32"/>
      <c r="AF471" s="34"/>
      <c r="AG471" s="92"/>
      <c r="AH471" s="108"/>
      <c r="AI471" s="94"/>
      <c r="AJ471" s="95"/>
      <c r="AK471" s="105"/>
      <c r="AL471" s="5101"/>
      <c r="AM471" s="920"/>
      <c r="AN471" s="1495"/>
      <c r="AO471" s="101"/>
      <c r="AP471" s="1475"/>
      <c r="AQ471" s="5086"/>
      <c r="AR471" s="104"/>
      <c r="AS471" s="32"/>
      <c r="AT471" s="33"/>
      <c r="AU471" s="32"/>
      <c r="AV471" s="34"/>
      <c r="AW471" s="92"/>
      <c r="AX471" s="108"/>
      <c r="AY471" s="94"/>
      <c r="AZ471" s="95"/>
      <c r="BA471" s="105"/>
      <c r="BB471" s="5101"/>
      <c r="BC471" s="920"/>
      <c r="BD471" s="1495"/>
      <c r="BE471" s="101"/>
      <c r="BF471" s="1475"/>
      <c r="BG471" s="5086"/>
      <c r="BH471" s="104"/>
      <c r="BI471" s="32"/>
      <c r="BJ471" s="33"/>
      <c r="BK471" s="32"/>
      <c r="BL471" s="34"/>
      <c r="BM471" s="92"/>
      <c r="BN471" s="108"/>
      <c r="BO471" s="94"/>
      <c r="BP471" s="95"/>
      <c r="BQ471" s="105"/>
      <c r="BR471" s="5101"/>
      <c r="BS471" s="920"/>
      <c r="BT471" s="1495"/>
      <c r="BU471" s="101"/>
      <c r="BV471" s="1475"/>
      <c r="BW471" s="5086"/>
      <c r="BX471" s="104"/>
      <c r="BY471" s="32"/>
      <c r="BZ471" s="33"/>
      <c r="CA471" s="32"/>
      <c r="CB471" s="34"/>
      <c r="CC471" s="92"/>
      <c r="CD471" s="108"/>
      <c r="CE471" s="94"/>
      <c r="CF471" s="95"/>
      <c r="CG471" s="105"/>
      <c r="CH471" s="5101"/>
      <c r="CI471" s="920"/>
      <c r="CJ471" s="1495"/>
      <c r="CK471" s="101"/>
      <c r="CL471" s="1475"/>
      <c r="CM471" s="5086"/>
      <c r="CN471" s="104"/>
      <c r="CO471" s="32"/>
      <c r="CP471" s="33"/>
      <c r="CQ471" s="32"/>
      <c r="CR471" s="34"/>
      <c r="CS471" s="92"/>
      <c r="CT471" s="108"/>
      <c r="CU471" s="94"/>
      <c r="CV471" s="95"/>
      <c r="CW471" s="105"/>
      <c r="CX471" s="5101"/>
      <c r="CY471" s="920"/>
      <c r="CZ471" s="1495"/>
      <c r="DA471" s="101"/>
      <c r="DB471" s="1475"/>
      <c r="DC471" s="5109"/>
      <c r="DF471" s="3">
        <v>1</v>
      </c>
    </row>
    <row r="472" spans="1:112" ht="18.75">
      <c r="B472" s="952">
        <f t="shared" si="76"/>
        <v>0</v>
      </c>
      <c r="C472" s="993" cm="1">
        <f t="array" ref="C472">SUMPRODUCT(LEN(D472:J472))</f>
        <v>0</v>
      </c>
      <c r="D472" s="167"/>
      <c r="E472" s="172"/>
      <c r="F472" s="172"/>
      <c r="G472" s="172"/>
      <c r="H472" s="172"/>
      <c r="I472" s="172"/>
      <c r="J472" s="173"/>
      <c r="K472"/>
      <c r="L472" s="104"/>
      <c r="M472" s="32"/>
      <c r="N472" s="33"/>
      <c r="O472" s="32"/>
      <c r="P472" s="34"/>
      <c r="Q472" s="92"/>
      <c r="R472" s="108"/>
      <c r="S472" s="94"/>
      <c r="T472" s="95"/>
      <c r="U472" s="105"/>
      <c r="V472" s="5101"/>
      <c r="W472" s="920"/>
      <c r="X472" s="1495"/>
      <c r="Y472" s="101"/>
      <c r="Z472" s="1475"/>
      <c r="AA472" s="5086"/>
      <c r="AB472" s="104"/>
      <c r="AC472" s="32"/>
      <c r="AD472" s="33"/>
      <c r="AE472" s="32"/>
      <c r="AF472" s="34"/>
      <c r="AG472" s="92"/>
      <c r="AH472" s="108"/>
      <c r="AI472" s="94"/>
      <c r="AJ472" s="95"/>
      <c r="AK472" s="105"/>
      <c r="AL472" s="5101"/>
      <c r="AM472" s="920"/>
      <c r="AN472" s="1495"/>
      <c r="AO472" s="101"/>
      <c r="AP472" s="1475"/>
      <c r="AQ472" s="5086"/>
      <c r="AR472" s="104"/>
      <c r="AS472" s="32"/>
      <c r="AT472" s="33"/>
      <c r="AU472" s="32"/>
      <c r="AV472" s="34"/>
      <c r="AW472" s="92"/>
      <c r="AX472" s="108"/>
      <c r="AY472" s="94"/>
      <c r="AZ472" s="95"/>
      <c r="BA472" s="105"/>
      <c r="BB472" s="5101"/>
      <c r="BC472" s="920"/>
      <c r="BD472" s="1495"/>
      <c r="BE472" s="101"/>
      <c r="BF472" s="1475"/>
      <c r="BG472" s="5086"/>
      <c r="BH472" s="104"/>
      <c r="BI472" s="32"/>
      <c r="BJ472" s="33"/>
      <c r="BK472" s="32"/>
      <c r="BL472" s="34"/>
      <c r="BM472" s="92"/>
      <c r="BN472" s="108"/>
      <c r="BO472" s="94"/>
      <c r="BP472" s="95"/>
      <c r="BQ472" s="105"/>
      <c r="BR472" s="5101"/>
      <c r="BS472" s="920"/>
      <c r="BT472" s="1495"/>
      <c r="BU472" s="101"/>
      <c r="BV472" s="1475"/>
      <c r="BW472" s="5086"/>
      <c r="BX472" s="104"/>
      <c r="BY472" s="32"/>
      <c r="BZ472" s="33"/>
      <c r="CA472" s="32"/>
      <c r="CB472" s="34"/>
      <c r="CC472" s="92"/>
      <c r="CD472" s="108"/>
      <c r="CE472" s="94"/>
      <c r="CF472" s="95"/>
      <c r="CG472" s="105"/>
      <c r="CH472" s="5101"/>
      <c r="CI472" s="920"/>
      <c r="CJ472" s="1495"/>
      <c r="CK472" s="101"/>
      <c r="CL472" s="1475"/>
      <c r="CM472" s="5086"/>
      <c r="CN472" s="104"/>
      <c r="CO472" s="32"/>
      <c r="CP472" s="33"/>
      <c r="CQ472" s="32"/>
      <c r="CR472" s="34"/>
      <c r="CS472" s="92"/>
      <c r="CT472" s="108"/>
      <c r="CU472" s="94"/>
      <c r="CV472" s="95"/>
      <c r="CW472" s="105"/>
      <c r="CX472" s="5101"/>
      <c r="CY472" s="920"/>
      <c r="CZ472" s="1495"/>
      <c r="DA472" s="101"/>
      <c r="DB472" s="1475"/>
      <c r="DC472" s="5109"/>
      <c r="DF472" s="3">
        <v>1</v>
      </c>
    </row>
    <row r="473" spans="1:112" ht="18.75">
      <c r="B473" s="952">
        <f t="shared" si="76"/>
        <v>0</v>
      </c>
      <c r="C473" s="993" cm="1">
        <f t="array" ref="C473">SUMPRODUCT(LEN(D473:J473))</f>
        <v>0</v>
      </c>
      <c r="D473" s="167"/>
      <c r="E473" s="172"/>
      <c r="F473" s="172"/>
      <c r="G473" s="172"/>
      <c r="H473" s="172"/>
      <c r="I473" s="172"/>
      <c r="J473" s="173"/>
      <c r="K473"/>
      <c r="L473" s="104"/>
      <c r="M473" s="32"/>
      <c r="N473" s="33"/>
      <c r="O473" s="32"/>
      <c r="P473" s="34"/>
      <c r="Q473" s="92"/>
      <c r="R473" s="108"/>
      <c r="S473" s="94"/>
      <c r="T473" s="95"/>
      <c r="U473" s="105"/>
      <c r="V473" s="5101"/>
      <c r="W473" s="920"/>
      <c r="X473" s="1495"/>
      <c r="Y473" s="101"/>
      <c r="Z473" s="1475"/>
      <c r="AA473" s="5086"/>
      <c r="AB473" s="104"/>
      <c r="AC473" s="32"/>
      <c r="AD473" s="33"/>
      <c r="AE473" s="32"/>
      <c r="AF473" s="34"/>
      <c r="AG473" s="92"/>
      <c r="AH473" s="108"/>
      <c r="AI473" s="94"/>
      <c r="AJ473" s="95"/>
      <c r="AK473" s="105"/>
      <c r="AL473" s="5101"/>
      <c r="AM473" s="920"/>
      <c r="AN473" s="1495"/>
      <c r="AO473" s="101"/>
      <c r="AP473" s="1475"/>
      <c r="AQ473" s="5086"/>
      <c r="AR473" s="104"/>
      <c r="AS473" s="32"/>
      <c r="AT473" s="33"/>
      <c r="AU473" s="32"/>
      <c r="AV473" s="34"/>
      <c r="AW473" s="92"/>
      <c r="AX473" s="108"/>
      <c r="AY473" s="94"/>
      <c r="AZ473" s="95"/>
      <c r="BA473" s="105"/>
      <c r="BB473" s="5101"/>
      <c r="BC473" s="920"/>
      <c r="BD473" s="1495"/>
      <c r="BE473" s="101"/>
      <c r="BF473" s="1475"/>
      <c r="BG473" s="5086"/>
      <c r="BH473" s="104"/>
      <c r="BI473" s="32"/>
      <c r="BJ473" s="33"/>
      <c r="BK473" s="32"/>
      <c r="BL473" s="34"/>
      <c r="BM473" s="92"/>
      <c r="BN473" s="108"/>
      <c r="BO473" s="94"/>
      <c r="BP473" s="95"/>
      <c r="BQ473" s="105"/>
      <c r="BR473" s="5101"/>
      <c r="BS473" s="920"/>
      <c r="BT473" s="1495"/>
      <c r="BU473" s="101"/>
      <c r="BV473" s="1475"/>
      <c r="BW473" s="5086"/>
      <c r="BX473" s="104"/>
      <c r="BY473" s="32"/>
      <c r="BZ473" s="33"/>
      <c r="CA473" s="32"/>
      <c r="CB473" s="34"/>
      <c r="CC473" s="92"/>
      <c r="CD473" s="108"/>
      <c r="CE473" s="94"/>
      <c r="CF473" s="95"/>
      <c r="CG473" s="105"/>
      <c r="CH473" s="5101"/>
      <c r="CI473" s="920"/>
      <c r="CJ473" s="1495"/>
      <c r="CK473" s="101"/>
      <c r="CL473" s="1475"/>
      <c r="CM473" s="5086"/>
      <c r="CN473" s="104"/>
      <c r="CO473" s="32"/>
      <c r="CP473" s="33"/>
      <c r="CQ473" s="32"/>
      <c r="CR473" s="34"/>
      <c r="CS473" s="92"/>
      <c r="CT473" s="108"/>
      <c r="CU473" s="94"/>
      <c r="CV473" s="95"/>
      <c r="CW473" s="105"/>
      <c r="CX473" s="5101"/>
      <c r="CY473" s="920"/>
      <c r="CZ473" s="1495"/>
      <c r="DA473" s="101"/>
      <c r="DB473" s="1475"/>
      <c r="DC473" s="5109"/>
      <c r="DF473" s="3">
        <v>1</v>
      </c>
    </row>
    <row r="474" spans="1:112" ht="18.75">
      <c r="B474" s="952">
        <f t="shared" si="76"/>
        <v>0</v>
      </c>
      <c r="C474" s="993" cm="1">
        <f t="array" ref="C474">SUMPRODUCT(LEN(D474:J474))</f>
        <v>0</v>
      </c>
      <c r="D474" s="167"/>
      <c r="E474" s="172"/>
      <c r="F474" s="172"/>
      <c r="G474" s="172"/>
      <c r="H474" s="172"/>
      <c r="I474" s="172"/>
      <c r="J474" s="173"/>
      <c r="K474"/>
      <c r="L474" s="104"/>
      <c r="M474" s="32"/>
      <c r="N474" s="33"/>
      <c r="O474" s="32"/>
      <c r="P474" s="34"/>
      <c r="Q474" s="92"/>
      <c r="R474" s="108"/>
      <c r="S474" s="94"/>
      <c r="T474" s="95"/>
      <c r="U474" s="105"/>
      <c r="V474" s="5101"/>
      <c r="W474" s="920"/>
      <c r="X474" s="1495"/>
      <c r="Y474" s="101"/>
      <c r="Z474" s="1475"/>
      <c r="AA474" s="5086"/>
      <c r="AB474" s="104"/>
      <c r="AC474" s="32"/>
      <c r="AD474" s="33"/>
      <c r="AE474" s="32"/>
      <c r="AF474" s="34"/>
      <c r="AG474" s="92"/>
      <c r="AH474" s="108"/>
      <c r="AI474" s="94"/>
      <c r="AJ474" s="95"/>
      <c r="AK474" s="105"/>
      <c r="AL474" s="5101"/>
      <c r="AM474" s="920"/>
      <c r="AN474" s="1495"/>
      <c r="AO474" s="101"/>
      <c r="AP474" s="1475"/>
      <c r="AQ474" s="5086"/>
      <c r="AR474" s="104"/>
      <c r="AS474" s="32"/>
      <c r="AT474" s="33"/>
      <c r="AU474" s="32"/>
      <c r="AV474" s="34"/>
      <c r="AW474" s="92"/>
      <c r="AX474" s="108"/>
      <c r="AY474" s="94"/>
      <c r="AZ474" s="95"/>
      <c r="BA474" s="105"/>
      <c r="BB474" s="5101"/>
      <c r="BC474" s="920"/>
      <c r="BD474" s="1495"/>
      <c r="BE474" s="101"/>
      <c r="BF474" s="1475"/>
      <c r="BG474" s="5086"/>
      <c r="BH474" s="104"/>
      <c r="BI474" s="32"/>
      <c r="BJ474" s="33"/>
      <c r="BK474" s="32"/>
      <c r="BL474" s="34"/>
      <c r="BM474" s="92"/>
      <c r="BN474" s="108"/>
      <c r="BO474" s="94"/>
      <c r="BP474" s="95"/>
      <c r="BQ474" s="105"/>
      <c r="BR474" s="5101"/>
      <c r="BS474" s="920"/>
      <c r="BT474" s="1495"/>
      <c r="BU474" s="101"/>
      <c r="BV474" s="1475"/>
      <c r="BW474" s="5086"/>
      <c r="BX474" s="104"/>
      <c r="BY474" s="32"/>
      <c r="BZ474" s="33"/>
      <c r="CA474" s="32"/>
      <c r="CB474" s="34"/>
      <c r="CC474" s="92"/>
      <c r="CD474" s="108"/>
      <c r="CE474" s="94"/>
      <c r="CF474" s="95"/>
      <c r="CG474" s="105"/>
      <c r="CH474" s="5101"/>
      <c r="CI474" s="920"/>
      <c r="CJ474" s="1495"/>
      <c r="CK474" s="101"/>
      <c r="CL474" s="1475"/>
      <c r="CM474" s="5086"/>
      <c r="CN474" s="104"/>
      <c r="CO474" s="32"/>
      <c r="CP474" s="33"/>
      <c r="CQ474" s="32"/>
      <c r="CR474" s="34"/>
      <c r="CS474" s="92"/>
      <c r="CT474" s="108"/>
      <c r="CU474" s="94"/>
      <c r="CV474" s="95"/>
      <c r="CW474" s="105"/>
      <c r="CX474" s="5101"/>
      <c r="CY474" s="920"/>
      <c r="CZ474" s="1495"/>
      <c r="DA474" s="101"/>
      <c r="DB474" s="1475"/>
      <c r="DC474" s="5109"/>
      <c r="DF474" s="3">
        <v>1</v>
      </c>
    </row>
    <row r="475" spans="1:112" ht="18.75">
      <c r="B475" s="952">
        <f t="shared" ref="B475:B476" si="77">L475</f>
        <v>0</v>
      </c>
      <c r="C475" s="993" cm="1">
        <f t="array" ref="C475">SUMPRODUCT(LEN(D475:J475))</f>
        <v>0</v>
      </c>
      <c r="D475" s="167"/>
      <c r="E475" s="172"/>
      <c r="F475" s="172"/>
      <c r="G475" s="172"/>
      <c r="H475" s="172"/>
      <c r="I475" s="172"/>
      <c r="J475" s="173"/>
      <c r="K475"/>
      <c r="L475" s="104"/>
      <c r="M475" s="32"/>
      <c r="N475" s="33"/>
      <c r="O475" s="32"/>
      <c r="P475" s="34"/>
      <c r="Q475" s="92"/>
      <c r="R475" s="108"/>
      <c r="S475" s="94"/>
      <c r="T475" s="95"/>
      <c r="U475" s="105"/>
      <c r="V475" s="5101"/>
      <c r="W475" s="920"/>
      <c r="X475" s="1495"/>
      <c r="Y475" s="101"/>
      <c r="Z475" s="1475"/>
      <c r="AA475" s="5086"/>
      <c r="AB475" s="104"/>
      <c r="AC475" s="32"/>
      <c r="AD475" s="33"/>
      <c r="AE475" s="32"/>
      <c r="AF475" s="34"/>
      <c r="AG475" s="92"/>
      <c r="AH475" s="108"/>
      <c r="AI475" s="94"/>
      <c r="AJ475" s="95"/>
      <c r="AK475" s="105"/>
      <c r="AL475" s="5101"/>
      <c r="AM475" s="920"/>
      <c r="AN475" s="1495"/>
      <c r="AO475" s="101"/>
      <c r="AP475" s="1475"/>
      <c r="AQ475" s="5086"/>
      <c r="AR475" s="104"/>
      <c r="AS475" s="32"/>
      <c r="AT475" s="33"/>
      <c r="AU475" s="32"/>
      <c r="AV475" s="34"/>
      <c r="AW475" s="92"/>
      <c r="AX475" s="108"/>
      <c r="AY475" s="94"/>
      <c r="AZ475" s="95"/>
      <c r="BA475" s="105"/>
      <c r="BB475" s="5101"/>
      <c r="BC475" s="920"/>
      <c r="BD475" s="1495"/>
      <c r="BE475" s="101"/>
      <c r="BF475" s="1475"/>
      <c r="BG475" s="5086"/>
      <c r="BH475" s="104"/>
      <c r="BI475" s="32"/>
      <c r="BJ475" s="33"/>
      <c r="BK475" s="32"/>
      <c r="BL475" s="34"/>
      <c r="BM475" s="92"/>
      <c r="BN475" s="108"/>
      <c r="BO475" s="94"/>
      <c r="BP475" s="95"/>
      <c r="BQ475" s="105"/>
      <c r="BR475" s="5101"/>
      <c r="BS475" s="920"/>
      <c r="BT475" s="1495"/>
      <c r="BU475" s="101"/>
      <c r="BV475" s="1475"/>
      <c r="BW475" s="5086"/>
      <c r="BX475" s="104"/>
      <c r="BY475" s="32"/>
      <c r="BZ475" s="33"/>
      <c r="CA475" s="32"/>
      <c r="CB475" s="34"/>
      <c r="CC475" s="92"/>
      <c r="CD475" s="108"/>
      <c r="CE475" s="94"/>
      <c r="CF475" s="95"/>
      <c r="CG475" s="105"/>
      <c r="CH475" s="5101"/>
      <c r="CI475" s="920"/>
      <c r="CJ475" s="1495"/>
      <c r="CK475" s="101"/>
      <c r="CL475" s="1475"/>
      <c r="CM475" s="5086"/>
      <c r="CN475" s="104"/>
      <c r="CO475" s="32"/>
      <c r="CP475" s="33"/>
      <c r="CQ475" s="32"/>
      <c r="CR475" s="34"/>
      <c r="CS475" s="92"/>
      <c r="CT475" s="108"/>
      <c r="CU475" s="94"/>
      <c r="CV475" s="95"/>
      <c r="CW475" s="105"/>
      <c r="CX475" s="5101"/>
      <c r="CY475" s="920"/>
      <c r="CZ475" s="1495"/>
      <c r="DA475" s="101"/>
      <c r="DB475" s="1475"/>
      <c r="DC475" s="5109"/>
      <c r="DF475" s="3">
        <v>1</v>
      </c>
    </row>
    <row r="476" spans="1:112" ht="18.75">
      <c r="B476" s="952">
        <f t="shared" si="77"/>
        <v>0</v>
      </c>
      <c r="C476" s="993" cm="1">
        <f t="array" ref="C476">SUMPRODUCT(LEN(D476:J476))</f>
        <v>0</v>
      </c>
      <c r="D476" s="167"/>
      <c r="E476" s="172"/>
      <c r="F476" s="172"/>
      <c r="G476" s="172"/>
      <c r="H476" s="172"/>
      <c r="I476" s="172"/>
      <c r="J476" s="173"/>
      <c r="K476"/>
      <c r="L476" s="104"/>
      <c r="M476" s="32"/>
      <c r="N476" s="33"/>
      <c r="O476" s="32"/>
      <c r="P476" s="34"/>
      <c r="Q476" s="92"/>
      <c r="R476" s="108"/>
      <c r="S476" s="94"/>
      <c r="T476" s="95"/>
      <c r="U476" s="105"/>
      <c r="V476" s="5101"/>
      <c r="W476" s="920"/>
      <c r="X476" s="1495"/>
      <c r="Y476" s="101"/>
      <c r="Z476" s="1475"/>
      <c r="AA476" s="5086"/>
      <c r="AB476" s="104"/>
      <c r="AC476" s="32"/>
      <c r="AD476" s="33"/>
      <c r="AE476" s="32"/>
      <c r="AF476" s="34"/>
      <c r="AG476" s="92"/>
      <c r="AH476" s="108"/>
      <c r="AI476" s="94"/>
      <c r="AJ476" s="95"/>
      <c r="AK476" s="105"/>
      <c r="AL476" s="5101"/>
      <c r="AM476" s="920"/>
      <c r="AN476" s="1495"/>
      <c r="AO476" s="101"/>
      <c r="AP476" s="1475"/>
      <c r="AQ476" s="5086"/>
      <c r="AR476" s="104"/>
      <c r="AS476" s="32"/>
      <c r="AT476" s="33"/>
      <c r="AU476" s="32"/>
      <c r="AV476" s="34"/>
      <c r="AW476" s="92"/>
      <c r="AX476" s="108"/>
      <c r="AY476" s="94"/>
      <c r="AZ476" s="95"/>
      <c r="BA476" s="105"/>
      <c r="BB476" s="5101"/>
      <c r="BC476" s="920"/>
      <c r="BD476" s="1495"/>
      <c r="BE476" s="101"/>
      <c r="BF476" s="1475"/>
      <c r="BG476" s="5086"/>
      <c r="BH476" s="104"/>
      <c r="BI476" s="32"/>
      <c r="BJ476" s="33"/>
      <c r="BK476" s="32"/>
      <c r="BL476" s="34"/>
      <c r="BM476" s="92"/>
      <c r="BN476" s="108"/>
      <c r="BO476" s="94"/>
      <c r="BP476" s="95"/>
      <c r="BQ476" s="105"/>
      <c r="BR476" s="5101"/>
      <c r="BS476" s="920"/>
      <c r="BT476" s="1495"/>
      <c r="BU476" s="101"/>
      <c r="BV476" s="1475"/>
      <c r="BW476" s="5086"/>
      <c r="BX476" s="104"/>
      <c r="BY476" s="32"/>
      <c r="BZ476" s="33"/>
      <c r="CA476" s="32"/>
      <c r="CB476" s="34"/>
      <c r="CC476" s="92"/>
      <c r="CD476" s="108"/>
      <c r="CE476" s="94"/>
      <c r="CF476" s="95"/>
      <c r="CG476" s="105"/>
      <c r="CH476" s="5101"/>
      <c r="CI476" s="920"/>
      <c r="CJ476" s="1495"/>
      <c r="CK476" s="101"/>
      <c r="CL476" s="1475"/>
      <c r="CM476" s="5086"/>
      <c r="CN476" s="104"/>
      <c r="CO476" s="32"/>
      <c r="CP476" s="33"/>
      <c r="CQ476" s="32"/>
      <c r="CR476" s="34"/>
      <c r="CS476" s="92"/>
      <c r="CT476" s="108"/>
      <c r="CU476" s="94"/>
      <c r="CV476" s="95"/>
      <c r="CW476" s="105"/>
      <c r="CX476" s="5101"/>
      <c r="CY476" s="920"/>
      <c r="CZ476" s="1495"/>
      <c r="DA476" s="101"/>
      <c r="DB476" s="1475"/>
      <c r="DC476" s="5109"/>
      <c r="DF476" s="3">
        <v>1</v>
      </c>
    </row>
    <row r="477" spans="1:112">
      <c r="B477" s="1124">
        <v>3</v>
      </c>
      <c r="C477" s="1124">
        <v>9</v>
      </c>
      <c r="D477" s="1124">
        <v>12</v>
      </c>
      <c r="E477" s="1124">
        <v>12</v>
      </c>
      <c r="F477" s="1124">
        <v>3</v>
      </c>
      <c r="G477" s="1124">
        <v>9</v>
      </c>
      <c r="H477" s="1124">
        <v>12</v>
      </c>
      <c r="I477" s="1124">
        <v>13</v>
      </c>
      <c r="J477" s="1124">
        <v>40</v>
      </c>
      <c r="DF477" s="3">
        <v>1</v>
      </c>
    </row>
    <row r="478" spans="1:112" ht="15.75" thickBot="1">
      <c r="B478" s="706" t="e">
        <f>#REF!</f>
        <v>#REF!</v>
      </c>
      <c r="C478" s="706">
        <f t="shared" ref="C478:J478" ca="1" si="78">CELL("largeur",C478)</f>
        <v>9</v>
      </c>
      <c r="D478" s="706">
        <f t="shared" ca="1" si="78"/>
        <v>12</v>
      </c>
      <c r="E478" s="706">
        <f t="shared" ca="1" si="78"/>
        <v>12</v>
      </c>
      <c r="F478" s="706">
        <f t="shared" ca="1" si="78"/>
        <v>3</v>
      </c>
      <c r="G478" s="706">
        <f t="shared" ca="1" si="78"/>
        <v>9</v>
      </c>
      <c r="H478" s="706">
        <f t="shared" ca="1" si="78"/>
        <v>12</v>
      </c>
      <c r="I478" s="706">
        <f t="shared" ca="1" si="78"/>
        <v>13</v>
      </c>
      <c r="J478" s="706">
        <f t="shared" ca="1" si="78"/>
        <v>40</v>
      </c>
      <c r="DF478" s="708" t="s">
        <v>823</v>
      </c>
    </row>
    <row r="479" spans="1:112">
      <c r="A479" s="3">
        <v>1</v>
      </c>
      <c r="L479" s="3">
        <v>1</v>
      </c>
      <c r="M479" s="3">
        <v>1</v>
      </c>
      <c r="N479" s="3">
        <v>1</v>
      </c>
      <c r="O479" s="3">
        <v>1</v>
      </c>
      <c r="P479" s="3">
        <v>1</v>
      </c>
      <c r="Q479" s="3">
        <v>1</v>
      </c>
      <c r="R479" s="3">
        <v>1</v>
      </c>
      <c r="S479" s="3">
        <v>1</v>
      </c>
      <c r="T479" s="3">
        <v>1</v>
      </c>
      <c r="U479" s="3">
        <v>1</v>
      </c>
      <c r="V479" s="3">
        <v>1</v>
      </c>
      <c r="W479" s="3">
        <v>1</v>
      </c>
      <c r="X479" s="3">
        <v>1</v>
      </c>
      <c r="Y479" s="3">
        <v>1</v>
      </c>
      <c r="Z479" s="3">
        <v>1</v>
      </c>
      <c r="AA479" s="3">
        <v>1</v>
      </c>
      <c r="AB479" s="3">
        <v>1</v>
      </c>
      <c r="AC479" s="3">
        <v>1</v>
      </c>
      <c r="AD479" s="3">
        <v>1</v>
      </c>
      <c r="AE479" s="3">
        <v>1</v>
      </c>
      <c r="AF479" s="3">
        <v>1</v>
      </c>
      <c r="AG479" s="3">
        <v>1</v>
      </c>
      <c r="AH479" s="3">
        <v>1</v>
      </c>
      <c r="AI479" s="3">
        <v>1</v>
      </c>
      <c r="AJ479" s="3">
        <v>1</v>
      </c>
      <c r="AK479" s="3">
        <v>1</v>
      </c>
      <c r="AL479" s="3">
        <v>1</v>
      </c>
      <c r="AM479" s="3">
        <v>1</v>
      </c>
      <c r="AN479" s="3">
        <v>1</v>
      </c>
      <c r="AO479" s="3">
        <v>1</v>
      </c>
      <c r="AP479" s="3">
        <v>1</v>
      </c>
      <c r="AQ479" s="3">
        <v>1</v>
      </c>
      <c r="AR479" s="3">
        <v>1</v>
      </c>
      <c r="AS479" s="3">
        <v>1</v>
      </c>
      <c r="AT479" s="3">
        <v>1</v>
      </c>
      <c r="AU479" s="3">
        <v>1</v>
      </c>
      <c r="AV479" s="3">
        <v>1</v>
      </c>
      <c r="AW479" s="3">
        <v>1</v>
      </c>
      <c r="AX479" s="3">
        <v>1</v>
      </c>
      <c r="AY479" s="3">
        <v>1</v>
      </c>
      <c r="AZ479" s="3">
        <v>1</v>
      </c>
      <c r="BA479" s="3">
        <v>1</v>
      </c>
      <c r="BB479" s="3">
        <v>1</v>
      </c>
      <c r="BC479" s="3">
        <v>1</v>
      </c>
      <c r="BD479" s="3">
        <v>1</v>
      </c>
      <c r="BE479" s="3">
        <v>1</v>
      </c>
      <c r="BF479" s="3">
        <v>1</v>
      </c>
      <c r="BG479" s="3">
        <v>1</v>
      </c>
      <c r="BH479" s="5108">
        <v>1</v>
      </c>
      <c r="BI479" s="5108">
        <v>1</v>
      </c>
      <c r="BJ479" s="5108">
        <v>1</v>
      </c>
      <c r="BK479" s="5108">
        <v>1</v>
      </c>
      <c r="BL479" s="5108">
        <v>1</v>
      </c>
      <c r="BM479" s="5108">
        <v>1</v>
      </c>
      <c r="BN479" s="5108">
        <v>1</v>
      </c>
      <c r="BO479" s="5108">
        <v>1</v>
      </c>
      <c r="BP479" s="5108">
        <v>1</v>
      </c>
      <c r="BQ479" s="5108">
        <v>1</v>
      </c>
      <c r="BR479" s="5108">
        <v>1</v>
      </c>
      <c r="BS479" s="5108">
        <v>1</v>
      </c>
      <c r="BT479" s="5108">
        <v>1</v>
      </c>
      <c r="BU479" s="5108">
        <v>1</v>
      </c>
      <c r="BV479" s="5108">
        <v>1</v>
      </c>
      <c r="BW479" s="3">
        <v>1</v>
      </c>
      <c r="BX479" s="5108">
        <v>1</v>
      </c>
      <c r="BY479" s="5108">
        <v>1</v>
      </c>
      <c r="BZ479" s="5108">
        <v>1</v>
      </c>
      <c r="CA479" s="5108">
        <v>1</v>
      </c>
      <c r="CB479" s="5108">
        <v>1</v>
      </c>
      <c r="CC479" s="5108">
        <v>1</v>
      </c>
      <c r="CD479" s="5108">
        <v>1</v>
      </c>
      <c r="CE479" s="5108">
        <v>1</v>
      </c>
      <c r="CF479" s="5108">
        <v>1</v>
      </c>
      <c r="CG479" s="5108">
        <v>1</v>
      </c>
      <c r="CH479" s="5108">
        <v>1</v>
      </c>
      <c r="CI479" s="5108">
        <v>1</v>
      </c>
      <c r="CJ479" s="5108">
        <v>1</v>
      </c>
      <c r="CK479" s="5108">
        <v>1</v>
      </c>
      <c r="CL479" s="5108">
        <v>1</v>
      </c>
      <c r="CM479" s="3">
        <v>1</v>
      </c>
      <c r="CN479" s="5108">
        <v>1</v>
      </c>
      <c r="CO479" s="5108">
        <v>1</v>
      </c>
      <c r="CP479" s="5108">
        <v>1</v>
      </c>
      <c r="CQ479" s="5108">
        <v>1</v>
      </c>
      <c r="CR479" s="5108">
        <v>1</v>
      </c>
      <c r="CS479" s="5108">
        <v>1</v>
      </c>
      <c r="CT479" s="5108">
        <v>1</v>
      </c>
      <c r="CU479" s="5108">
        <v>1</v>
      </c>
      <c r="CV479" s="5108">
        <v>1</v>
      </c>
      <c r="CW479" s="5108">
        <v>1</v>
      </c>
      <c r="CX479" s="5108">
        <v>1</v>
      </c>
      <c r="CY479" s="5108">
        <v>1</v>
      </c>
      <c r="CZ479" s="5108">
        <v>1</v>
      </c>
      <c r="DA479" s="5108">
        <v>1</v>
      </c>
      <c r="DB479" s="5108">
        <v>1</v>
      </c>
      <c r="DC479" s="5108"/>
      <c r="DD479" s="3">
        <v>1</v>
      </c>
      <c r="DE479" s="3">
        <v>1</v>
      </c>
      <c r="DF479" s="1" t="str">
        <f>ADDRESS(ROW(),COLUMN(),4)</f>
        <v>DF479</v>
      </c>
      <c r="DG479" s="710"/>
      <c r="DH479" s="711" t="str">
        <f>ADDRESS(ROW(),COLUMN(),4)</f>
        <v>DH479</v>
      </c>
    </row>
    <row r="540" spans="2:11">
      <c r="B540" s="225"/>
      <c r="C540" s="133"/>
      <c r="D540" s="225"/>
      <c r="E540" s="225"/>
      <c r="F540" s="225"/>
      <c r="G540" s="225"/>
      <c r="H540" s="225"/>
      <c r="I540" s="225"/>
      <c r="J540" s="225"/>
      <c r="K540" s="225"/>
    </row>
    <row r="541" spans="2:11">
      <c r="B541" s="3">
        <v>1</v>
      </c>
      <c r="C541" s="3">
        <v>1</v>
      </c>
      <c r="D541" s="3">
        <v>1</v>
      </c>
      <c r="E541" s="3">
        <v>1</v>
      </c>
      <c r="F541" s="3">
        <v>1</v>
      </c>
      <c r="G541" s="3">
        <v>1</v>
      </c>
      <c r="H541" s="3">
        <v>1</v>
      </c>
      <c r="I541" s="3">
        <v>1</v>
      </c>
      <c r="J541" s="3">
        <v>1</v>
      </c>
      <c r="K541" s="3">
        <v>1</v>
      </c>
    </row>
  </sheetData>
  <mergeCells count="307">
    <mergeCell ref="AX331:BC332"/>
    <mergeCell ref="BD331:BE332"/>
    <mergeCell ref="BF331:BF332"/>
    <mergeCell ref="BA334:BC335"/>
    <mergeCell ref="BE335:BF335"/>
    <mergeCell ref="AY336:AZ336"/>
    <mergeCell ref="AY337:BA337"/>
    <mergeCell ref="AZ339:AZ340"/>
    <mergeCell ref="BA339:BA340"/>
    <mergeCell ref="BB339:BB340"/>
    <mergeCell ref="BD339:BD340"/>
    <mergeCell ref="BE339:BE340"/>
    <mergeCell ref="BF339:BF340"/>
    <mergeCell ref="AH331:AM332"/>
    <mergeCell ref="AN331:AO332"/>
    <mergeCell ref="AP331:AP332"/>
    <mergeCell ref="AK334:AM335"/>
    <mergeCell ref="AO335:AP335"/>
    <mergeCell ref="AI336:AJ336"/>
    <mergeCell ref="AI337:AK337"/>
    <mergeCell ref="AJ339:AJ340"/>
    <mergeCell ref="AK339:AK340"/>
    <mergeCell ref="AL339:AL340"/>
    <mergeCell ref="AN339:AN340"/>
    <mergeCell ref="AO339:AO340"/>
    <mergeCell ref="AP339:AP340"/>
    <mergeCell ref="AH286:AM287"/>
    <mergeCell ref="AN286:AO287"/>
    <mergeCell ref="AP286:AP287"/>
    <mergeCell ref="AK289:AM290"/>
    <mergeCell ref="AO290:AP290"/>
    <mergeCell ref="AI291:AJ291"/>
    <mergeCell ref="AI292:AK292"/>
    <mergeCell ref="AJ294:AJ295"/>
    <mergeCell ref="AK294:AK295"/>
    <mergeCell ref="AL294:AL295"/>
    <mergeCell ref="AN294:AN295"/>
    <mergeCell ref="AO294:AO295"/>
    <mergeCell ref="AP294:AP295"/>
    <mergeCell ref="AX286:BC287"/>
    <mergeCell ref="BD286:BE287"/>
    <mergeCell ref="BF286:BF287"/>
    <mergeCell ref="BA289:BC290"/>
    <mergeCell ref="BE290:BF290"/>
    <mergeCell ref="AY291:AZ291"/>
    <mergeCell ref="AY292:BA292"/>
    <mergeCell ref="AZ294:AZ295"/>
    <mergeCell ref="BA294:BA295"/>
    <mergeCell ref="BB294:BB295"/>
    <mergeCell ref="BD294:BD295"/>
    <mergeCell ref="BE294:BE295"/>
    <mergeCell ref="BF294:BF295"/>
    <mergeCell ref="R331:W332"/>
    <mergeCell ref="X331:Y332"/>
    <mergeCell ref="Z331:Z332"/>
    <mergeCell ref="U334:W335"/>
    <mergeCell ref="Y335:Z335"/>
    <mergeCell ref="S336:T336"/>
    <mergeCell ref="S337:U337"/>
    <mergeCell ref="T339:T340"/>
    <mergeCell ref="U339:U340"/>
    <mergeCell ref="V339:V340"/>
    <mergeCell ref="X339:X340"/>
    <mergeCell ref="Y339:Y340"/>
    <mergeCell ref="Z339:Z340"/>
    <mergeCell ref="U116:U117"/>
    <mergeCell ref="AP116:AP117"/>
    <mergeCell ref="AZ116:AZ117"/>
    <mergeCell ref="BA116:BA117"/>
    <mergeCell ref="BB116:BB117"/>
    <mergeCell ref="BD116:BD117"/>
    <mergeCell ref="BE116:BE117"/>
    <mergeCell ref="BF116:BF117"/>
    <mergeCell ref="V116:V117"/>
    <mergeCell ref="X116:X117"/>
    <mergeCell ref="Y116:Y117"/>
    <mergeCell ref="Z116:Z117"/>
    <mergeCell ref="AJ116:AJ117"/>
    <mergeCell ref="AK116:AK117"/>
    <mergeCell ref="AL116:AL117"/>
    <mergeCell ref="AN116:AN117"/>
    <mergeCell ref="AO116:AO117"/>
    <mergeCell ref="EY328:EY329"/>
    <mergeCell ref="FA328:FA329"/>
    <mergeCell ref="FB328:FB329"/>
    <mergeCell ref="FC328:FC329"/>
    <mergeCell ref="R108:W109"/>
    <mergeCell ref="X108:Y109"/>
    <mergeCell ref="Z108:Z109"/>
    <mergeCell ref="AH108:AM109"/>
    <mergeCell ref="AN108:AO109"/>
    <mergeCell ref="AP108:AP109"/>
    <mergeCell ref="AX108:BC109"/>
    <mergeCell ref="BD108:BE109"/>
    <mergeCell ref="BF108:BF109"/>
    <mergeCell ref="U111:W112"/>
    <mergeCell ref="AK111:AM112"/>
    <mergeCell ref="BA111:BC112"/>
    <mergeCell ref="Y112:Z112"/>
    <mergeCell ref="AO112:AP112"/>
    <mergeCell ref="BE112:BF112"/>
    <mergeCell ref="S114:U114"/>
    <mergeCell ref="AI114:AK114"/>
    <mergeCell ref="AY114:BA114"/>
    <mergeCell ref="S113:T113"/>
    <mergeCell ref="T116:T117"/>
    <mergeCell ref="BA66:BA67"/>
    <mergeCell ref="BB66:BB67"/>
    <mergeCell ref="BD66:BD67"/>
    <mergeCell ref="BE66:BE67"/>
    <mergeCell ref="BF66:BF67"/>
    <mergeCell ref="EU320:EZ321"/>
    <mergeCell ref="FA320:FB321"/>
    <mergeCell ref="FC320:FC321"/>
    <mergeCell ref="EX323:EZ324"/>
    <mergeCell ref="FB324:FC324"/>
    <mergeCell ref="FC106:FC107"/>
    <mergeCell ref="FB102:FC102"/>
    <mergeCell ref="FC98:FC99"/>
    <mergeCell ref="EX101:EZ102"/>
    <mergeCell ref="AX194:BC195"/>
    <mergeCell ref="BD194:BE195"/>
    <mergeCell ref="BF194:BF195"/>
    <mergeCell ref="BA197:BC198"/>
    <mergeCell ref="BE198:BF198"/>
    <mergeCell ref="AY199:AZ199"/>
    <mergeCell ref="AY200:BA200"/>
    <mergeCell ref="AZ202:AZ203"/>
    <mergeCell ref="BA202:BA203"/>
    <mergeCell ref="BB202:BB203"/>
    <mergeCell ref="FS202:FS203"/>
    <mergeCell ref="EX205:EZ206"/>
    <mergeCell ref="FN205:FP206"/>
    <mergeCell ref="FB206:FC206"/>
    <mergeCell ref="FR206:FS206"/>
    <mergeCell ref="FL208:FN208"/>
    <mergeCell ref="EY210:EY211"/>
    <mergeCell ref="FA210:FA211"/>
    <mergeCell ref="FB210:FB211"/>
    <mergeCell ref="FC210:FC211"/>
    <mergeCell ref="FM210:FM211"/>
    <mergeCell ref="FN210:FN211"/>
    <mergeCell ref="FO210:FO211"/>
    <mergeCell ref="FQ210:FQ211"/>
    <mergeCell ref="FR210:FR211"/>
    <mergeCell ref="FS210:FS211"/>
    <mergeCell ref="BA11:BC12"/>
    <mergeCell ref="Y12:Z12"/>
    <mergeCell ref="AO12:AP12"/>
    <mergeCell ref="S14:U14"/>
    <mergeCell ref="EU202:EZ203"/>
    <mergeCell ref="FA202:FB203"/>
    <mergeCell ref="FC202:FC203"/>
    <mergeCell ref="FK202:FP203"/>
    <mergeCell ref="FQ202:FR203"/>
    <mergeCell ref="R58:W59"/>
    <mergeCell ref="X58:Y59"/>
    <mergeCell ref="Z58:Z59"/>
    <mergeCell ref="AH58:AM59"/>
    <mergeCell ref="AN58:AO59"/>
    <mergeCell ref="AP58:AP59"/>
    <mergeCell ref="AX58:BC59"/>
    <mergeCell ref="BD58:BE59"/>
    <mergeCell ref="BF58:BF59"/>
    <mergeCell ref="U61:W62"/>
    <mergeCell ref="AK61:AM62"/>
    <mergeCell ref="BA61:BC62"/>
    <mergeCell ref="Y62:Z62"/>
    <mergeCell ref="AO62:AP62"/>
    <mergeCell ref="BE62:BF62"/>
    <mergeCell ref="BE16:BE17"/>
    <mergeCell ref="BF16:BF17"/>
    <mergeCell ref="AI14:AK14"/>
    <mergeCell ref="AY14:BA14"/>
    <mergeCell ref="T16:T17"/>
    <mergeCell ref="U16:U17"/>
    <mergeCell ref="V16:V17"/>
    <mergeCell ref="X16:X17"/>
    <mergeCell ref="AO16:AO17"/>
    <mergeCell ref="AP16:AP17"/>
    <mergeCell ref="AZ16:AZ17"/>
    <mergeCell ref="BA16:BA17"/>
    <mergeCell ref="BB16:BB17"/>
    <mergeCell ref="BD16:BD17"/>
    <mergeCell ref="Y16:Y17"/>
    <mergeCell ref="Z16:Z17"/>
    <mergeCell ref="AJ16:AJ17"/>
    <mergeCell ref="AK16:AK17"/>
    <mergeCell ref="AL16:AL17"/>
    <mergeCell ref="AN16:AN17"/>
    <mergeCell ref="C5:J6"/>
    <mergeCell ref="C7:J7"/>
    <mergeCell ref="D8:J8"/>
    <mergeCell ref="C12:C13"/>
    <mergeCell ref="EY106:EY107"/>
    <mergeCell ref="FA106:FA107"/>
    <mergeCell ref="FB106:FB107"/>
    <mergeCell ref="EU98:EZ99"/>
    <mergeCell ref="FA98:FB99"/>
    <mergeCell ref="BE12:BF12"/>
    <mergeCell ref="W5:Z6"/>
    <mergeCell ref="AM5:AP6"/>
    <mergeCell ref="BC5:BF6"/>
    <mergeCell ref="R8:W9"/>
    <mergeCell ref="X8:Y9"/>
    <mergeCell ref="Z8:Z9"/>
    <mergeCell ref="AH8:AM9"/>
    <mergeCell ref="AN8:AO9"/>
    <mergeCell ref="AP8:AP9"/>
    <mergeCell ref="AX8:BC9"/>
    <mergeCell ref="BD8:BE9"/>
    <mergeCell ref="BF8:BF9"/>
    <mergeCell ref="U11:W12"/>
    <mergeCell ref="AK11:AM12"/>
    <mergeCell ref="AP194:AP195"/>
    <mergeCell ref="AK197:AM198"/>
    <mergeCell ref="AO198:AP198"/>
    <mergeCell ref="AI200:AK200"/>
    <mergeCell ref="AJ202:AJ203"/>
    <mergeCell ref="AK202:AK203"/>
    <mergeCell ref="AL202:AL203"/>
    <mergeCell ref="AN202:AN203"/>
    <mergeCell ref="AO202:AO203"/>
    <mergeCell ref="AP202:AP203"/>
    <mergeCell ref="AI199:AJ199"/>
    <mergeCell ref="AH194:AM195"/>
    <mergeCell ref="AN194:AO195"/>
    <mergeCell ref="R225:Z225"/>
    <mergeCell ref="Y226:Z226"/>
    <mergeCell ref="T228:T229"/>
    <mergeCell ref="U228:U229"/>
    <mergeCell ref="V228:V229"/>
    <mergeCell ref="X228:X229"/>
    <mergeCell ref="Y228:Y229"/>
    <mergeCell ref="Z228:Z229"/>
    <mergeCell ref="R194:W195"/>
    <mergeCell ref="X194:Y195"/>
    <mergeCell ref="Z194:Z195"/>
    <mergeCell ref="U197:W198"/>
    <mergeCell ref="Y198:Z198"/>
    <mergeCell ref="S200:U200"/>
    <mergeCell ref="T202:T203"/>
    <mergeCell ref="U202:U203"/>
    <mergeCell ref="V202:V203"/>
    <mergeCell ref="X202:X203"/>
    <mergeCell ref="Y202:Y203"/>
    <mergeCell ref="Z202:Z203"/>
    <mergeCell ref="S199:T199"/>
    <mergeCell ref="Q267:U267"/>
    <mergeCell ref="R286:W287"/>
    <mergeCell ref="X286:Y287"/>
    <mergeCell ref="Z286:Z287"/>
    <mergeCell ref="U289:W290"/>
    <mergeCell ref="Y290:Z290"/>
    <mergeCell ref="S292:U292"/>
    <mergeCell ref="T294:T295"/>
    <mergeCell ref="U294:U295"/>
    <mergeCell ref="V294:V295"/>
    <mergeCell ref="X294:X295"/>
    <mergeCell ref="Y294:Y295"/>
    <mergeCell ref="Z294:Z295"/>
    <mergeCell ref="S291:T291"/>
    <mergeCell ref="S63:T63"/>
    <mergeCell ref="S13:T13"/>
    <mergeCell ref="AI113:AJ113"/>
    <mergeCell ref="AY113:AZ113"/>
    <mergeCell ref="AI63:AJ63"/>
    <mergeCell ref="AY63:AZ63"/>
    <mergeCell ref="AI13:AJ13"/>
    <mergeCell ref="AY13:AZ13"/>
    <mergeCell ref="S64:U64"/>
    <mergeCell ref="AI64:AK64"/>
    <mergeCell ref="AY64:BA64"/>
    <mergeCell ref="T66:T67"/>
    <mergeCell ref="U66:U67"/>
    <mergeCell ref="V66:V67"/>
    <mergeCell ref="X66:X67"/>
    <mergeCell ref="Y66:Y67"/>
    <mergeCell ref="Z66:Z67"/>
    <mergeCell ref="AJ66:AJ67"/>
    <mergeCell ref="AK66:AK67"/>
    <mergeCell ref="AL66:AL67"/>
    <mergeCell ref="AN66:AN67"/>
    <mergeCell ref="AO66:AO67"/>
    <mergeCell ref="AP66:AP67"/>
    <mergeCell ref="AZ66:AZ67"/>
    <mergeCell ref="AH225:AP225"/>
    <mergeCell ref="AO226:AP226"/>
    <mergeCell ref="AJ228:AJ229"/>
    <mergeCell ref="AK228:AK229"/>
    <mergeCell ref="AL228:AL229"/>
    <mergeCell ref="AN228:AN229"/>
    <mergeCell ref="AO228:AO229"/>
    <mergeCell ref="AP228:AP229"/>
    <mergeCell ref="AG267:AK267"/>
    <mergeCell ref="AW267:BA267"/>
    <mergeCell ref="BD202:BD203"/>
    <mergeCell ref="BE202:BE203"/>
    <mergeCell ref="BF202:BF203"/>
    <mergeCell ref="AX225:BF225"/>
    <mergeCell ref="BE226:BF226"/>
    <mergeCell ref="AZ228:AZ229"/>
    <mergeCell ref="BA228:BA229"/>
    <mergeCell ref="BB228:BB229"/>
    <mergeCell ref="BD228:BD229"/>
    <mergeCell ref="BE228:BE229"/>
    <mergeCell ref="BF228:BF229"/>
  </mergeCells>
  <conditionalFormatting sqref="V18:V32">
    <cfRule type="cellIs" dxfId="116" priority="94" operator="notEqual">
      <formula>1</formula>
    </cfRule>
  </conditionalFormatting>
  <conditionalFormatting sqref="V68:V82">
    <cfRule type="cellIs" dxfId="115" priority="75" operator="notEqual">
      <formula>1</formula>
    </cfRule>
  </conditionalFormatting>
  <conditionalFormatting sqref="V118:V147">
    <cfRule type="cellIs" dxfId="114" priority="37" operator="notEqual">
      <formula>1</formula>
    </cfRule>
  </conditionalFormatting>
  <conditionalFormatting sqref="V204:V223">
    <cfRule type="cellIs" dxfId="113" priority="18" operator="notEqual">
      <formula>1</formula>
    </cfRule>
  </conditionalFormatting>
  <conditionalFormatting sqref="V230:V239">
    <cfRule type="cellIs" dxfId="112" priority="17" operator="notEqual">
      <formula>1</formula>
    </cfRule>
  </conditionalFormatting>
  <conditionalFormatting sqref="V296:V305">
    <cfRule type="cellIs" dxfId="111" priority="16" operator="notEqual">
      <formula>1</formula>
    </cfRule>
  </conditionalFormatting>
  <conditionalFormatting sqref="V341:V360">
    <cfRule type="cellIs" dxfId="110" priority="14" operator="notEqual">
      <formula>1</formula>
    </cfRule>
  </conditionalFormatting>
  <conditionalFormatting sqref="AL18:AL32">
    <cfRule type="cellIs" dxfId="109" priority="91" operator="notEqual">
      <formula>1</formula>
    </cfRule>
  </conditionalFormatting>
  <conditionalFormatting sqref="AL68:AL82">
    <cfRule type="cellIs" dxfId="108" priority="73" operator="notEqual">
      <formula>1</formula>
    </cfRule>
  </conditionalFormatting>
  <conditionalFormatting sqref="AL118:AL147">
    <cfRule type="cellIs" dxfId="107" priority="33" operator="notEqual">
      <formula>1</formula>
    </cfRule>
  </conditionalFormatting>
  <conditionalFormatting sqref="AL204:AL223">
    <cfRule type="cellIs" dxfId="106" priority="9" operator="notEqual">
      <formula>1</formula>
    </cfRule>
  </conditionalFormatting>
  <conditionalFormatting sqref="AL230:AL239">
    <cfRule type="cellIs" dxfId="105" priority="8" operator="notEqual">
      <formula>1</formula>
    </cfRule>
  </conditionalFormatting>
  <conditionalFormatting sqref="AL296:AL305">
    <cfRule type="cellIs" dxfId="104" priority="3" operator="notEqual">
      <formula>1</formula>
    </cfRule>
  </conditionalFormatting>
  <conditionalFormatting sqref="AL341:AL360">
    <cfRule type="cellIs" dxfId="103" priority="2" operator="notEqual">
      <formula>1</formula>
    </cfRule>
  </conditionalFormatting>
  <conditionalFormatting sqref="BB18:BB32">
    <cfRule type="cellIs" dxfId="102" priority="90" operator="notEqual">
      <formula>1</formula>
    </cfRule>
  </conditionalFormatting>
  <conditionalFormatting sqref="BB68:BB82">
    <cfRule type="cellIs" dxfId="101" priority="71" operator="notEqual">
      <formula>1</formula>
    </cfRule>
  </conditionalFormatting>
  <conditionalFormatting sqref="BB118:BB147">
    <cfRule type="cellIs" dxfId="100" priority="29" operator="notEqual">
      <formula>1</formula>
    </cfRule>
  </conditionalFormatting>
  <conditionalFormatting sqref="BB204:BB223">
    <cfRule type="cellIs" dxfId="99" priority="7" operator="notEqual">
      <formula>1</formula>
    </cfRule>
  </conditionalFormatting>
  <conditionalFormatting sqref="BB230:BB239">
    <cfRule type="cellIs" dxfId="98" priority="6" operator="notEqual">
      <formula>1</formula>
    </cfRule>
  </conditionalFormatting>
  <conditionalFormatting sqref="BB296:BB305">
    <cfRule type="cellIs" dxfId="97" priority="5" operator="notEqual">
      <formula>1</formula>
    </cfRule>
  </conditionalFormatting>
  <conditionalFormatting sqref="BB341:BB360">
    <cfRule type="cellIs" dxfId="96" priority="1" operator="notEqual">
      <formula>1</formula>
    </cfRule>
  </conditionalFormatting>
  <conditionalFormatting sqref="CI121:CI122">
    <cfRule type="cellIs" dxfId="95" priority="122" operator="notEqual">
      <formula>1</formula>
    </cfRule>
  </conditionalFormatting>
  <conditionalFormatting sqref="EY108:EY137">
    <cfRule type="cellIs" dxfId="94" priority="95" operator="notEqual">
      <formula>1</formula>
    </cfRule>
  </conditionalFormatting>
  <conditionalFormatting sqref="EY212:EY222">
    <cfRule type="cellIs" dxfId="93" priority="81" operator="notEqual">
      <formula>1</formula>
    </cfRule>
  </conditionalFormatting>
  <conditionalFormatting sqref="EY244:EY273">
    <cfRule type="cellIs" dxfId="92" priority="56" operator="notEqual">
      <formula>1</formula>
    </cfRule>
  </conditionalFormatting>
  <conditionalFormatting sqref="EY330:EY359">
    <cfRule type="cellIs" dxfId="91" priority="44" operator="notEqual">
      <formula>1</formula>
    </cfRule>
  </conditionalFormatting>
  <conditionalFormatting sqref="FO212:FO222">
    <cfRule type="cellIs" dxfId="90" priority="79" operator="notEqual">
      <formula>1</formula>
    </cfRule>
  </conditionalFormatting>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45FC90-50A7-4470-9992-DB67683C5213}">
  <dimension ref="A1:DD551"/>
  <sheetViews>
    <sheetView showZeros="0" topLeftCell="AB1" zoomScaleNormal="100" workbookViewId="0">
      <selection activeCell="AO30" sqref="AO30"/>
    </sheetView>
  </sheetViews>
  <sheetFormatPr baseColWidth="10" defaultColWidth="11.42578125" defaultRowHeight="15"/>
  <cols>
    <col min="1" max="1" width="6.85546875" style="227" customWidth="1"/>
    <col min="2" max="2" width="3.7109375" style="227" customWidth="1"/>
    <col min="3" max="3" width="9.7109375" customWidth="1"/>
    <col min="4" max="5" width="12.7109375" style="227" customWidth="1"/>
    <col min="6" max="6" width="4" style="227" customWidth="1"/>
    <col min="7" max="7" width="9.7109375" style="227" customWidth="1"/>
    <col min="8" max="8" width="13" style="227" customWidth="1"/>
    <col min="9" max="9" width="13.5703125" style="227" customWidth="1"/>
    <col min="10" max="10" width="40.7109375" style="227" customWidth="1"/>
    <col min="11" max="11" width="3.140625" style="227" customWidth="1"/>
    <col min="12" max="12" width="3.7109375" style="227" customWidth="1"/>
    <col min="13" max="16" width="5.7109375" style="227" customWidth="1"/>
    <col min="17" max="18" width="12.7109375" style="227" customWidth="1"/>
    <col min="19" max="19" width="4" style="227" customWidth="1"/>
    <col min="20" max="20" width="9.7109375" style="227" customWidth="1"/>
    <col min="21" max="21" width="12.85546875" style="227" customWidth="1"/>
    <col min="22" max="22" width="13.42578125" style="227" customWidth="1"/>
    <col min="23" max="23" width="40.7109375" style="227" customWidth="1"/>
    <col min="24" max="24" width="10.5703125" style="227" customWidth="1"/>
    <col min="25" max="25" width="9.28515625" style="227" customWidth="1"/>
    <col min="26" max="26" width="12.28515625" style="227" customWidth="1"/>
    <col min="27" max="27" width="9.7109375" style="1126" customWidth="1"/>
    <col min="28" max="28" width="12.7109375" style="1126" customWidth="1"/>
    <col min="29" max="29" width="13.7109375" style="1126" customWidth="1"/>
    <col min="30" max="30" width="7.28515625" style="1126" customWidth="1"/>
    <col min="31" max="31" width="10.7109375" style="227" customWidth="1"/>
    <col min="32" max="32" width="21.28515625" style="227" customWidth="1"/>
    <col min="33" max="36" width="5.7109375" style="227" customWidth="1"/>
    <col min="37" max="37" width="11.7109375" style="227" customWidth="1"/>
    <col min="38" max="38" width="7.140625" style="227" customWidth="1"/>
    <col min="39" max="39" width="15.28515625" style="227" customWidth="1"/>
    <col min="40" max="40" width="7.42578125" style="227" customWidth="1"/>
    <col min="41" max="41" width="24.140625" style="1126" customWidth="1"/>
    <col min="42" max="42" width="11.7109375" style="1126" customWidth="1"/>
    <col min="43" max="43" width="24.5703125" style="1126" customWidth="1"/>
    <col min="44" max="44" width="10.140625" style="1126" customWidth="1"/>
    <col min="45" max="45" width="9.7109375" style="1126" customWidth="1"/>
    <col min="46" max="46" width="11.7109375" style="1126" customWidth="1"/>
    <col min="47" max="47" width="12.85546875" style="1126" customWidth="1"/>
    <col min="48" max="48" width="33" style="1126" customWidth="1"/>
    <col min="49" max="49" width="12.7109375" style="1126" customWidth="1"/>
    <col min="50" max="50" width="10.28515625" style="1126" customWidth="1"/>
    <col min="51" max="51" width="9" style="1126" customWidth="1"/>
    <col min="52" max="52" width="11.7109375" customWidth="1"/>
    <col min="53" max="54" width="17.7109375" style="227" customWidth="1"/>
    <col min="55" max="55" width="14.140625" style="227" customWidth="1"/>
    <col min="56" max="56" width="45" style="1126" customWidth="1"/>
    <col min="57" max="57" width="4.5703125" style="1126" customWidth="1"/>
    <col min="58" max="58" width="6.85546875" style="227" customWidth="1"/>
    <col min="59" max="59" width="15.7109375" style="856" customWidth="1"/>
    <col min="60" max="60" width="11.7109375" style="856" customWidth="1"/>
    <col min="61" max="63" width="14.7109375" style="856" customWidth="1"/>
    <col min="64" max="66" width="11.7109375" style="856" customWidth="1"/>
    <col min="67" max="67" width="20.42578125" style="856" customWidth="1"/>
    <col min="68" max="68" width="17.7109375" style="227" customWidth="1"/>
    <col min="69" max="73" width="14.7109375" customWidth="1"/>
    <col min="74" max="74" width="5.5703125" customWidth="1"/>
    <col min="75" max="75" width="11.5703125" customWidth="1"/>
    <col min="76" max="76" width="16.7109375" customWidth="1"/>
    <col min="77" max="77" width="17" bestFit="1" customWidth="1"/>
    <col min="78" max="78" width="11.7109375" customWidth="1"/>
    <col min="79" max="79" width="41" customWidth="1"/>
    <col min="80" max="80" width="11.42578125" style="227"/>
    <col min="81" max="81" width="3.7109375" style="227" customWidth="1"/>
    <col min="82" max="82" width="19.7109375" customWidth="1"/>
    <col min="83" max="83" width="18.7109375" customWidth="1"/>
    <col min="84" max="84" width="10.7109375" customWidth="1"/>
    <col min="85" max="85" width="16.7109375" customWidth="1"/>
    <col min="86" max="86" width="17" bestFit="1" customWidth="1"/>
    <col min="87" max="87" width="11.7109375" customWidth="1"/>
    <col min="88" max="88" width="41" customWidth="1"/>
    <col min="89" max="89" width="4.85546875" style="227" customWidth="1"/>
    <col min="90" max="90" width="19.7109375" customWidth="1"/>
    <col min="91" max="91" width="18.7109375" customWidth="1"/>
    <col min="92" max="92" width="10.7109375" customWidth="1"/>
    <col min="93" max="93" width="16.7109375" customWidth="1"/>
    <col min="94" max="94" width="17" bestFit="1" customWidth="1"/>
    <col min="95" max="95" width="11.7109375" customWidth="1"/>
    <col min="96" max="96" width="41" customWidth="1"/>
    <col min="97" max="97" width="4.85546875" style="227" customWidth="1"/>
    <col min="98" max="98" width="19.7109375" customWidth="1"/>
    <col min="99" max="99" width="18.7109375" customWidth="1"/>
    <col min="100" max="100" width="10.7109375" customWidth="1"/>
    <col min="101" max="101" width="16.7109375" customWidth="1"/>
    <col min="102" max="102" width="17" bestFit="1" customWidth="1"/>
    <col min="103" max="103" width="11.7109375" customWidth="1"/>
    <col min="104" max="104" width="41" customWidth="1"/>
    <col min="105" max="105" width="4.85546875" style="227" customWidth="1"/>
    <col min="106" max="106" width="7.28515625" style="227" customWidth="1"/>
    <col min="107" max="107" width="11.42578125" style="709"/>
    <col min="108" max="108" width="43.5703125" style="709" customWidth="1"/>
    <col min="109" max="16384" width="11.42578125" style="227"/>
  </cols>
  <sheetData>
    <row r="1" spans="1:108" ht="15" customHeight="1" thickTop="1">
      <c r="A1" s="1" t="str">
        <f>ADDRESS(ROW(),COLUMN(),4)</f>
        <v>A1</v>
      </c>
      <c r="B1" s="2" t="str">
        <f t="shared" ref="B1:BD1" si="0">SUBSTITUTE(ADDRESS(1,COLUMN(),4),"1","")</f>
        <v>B</v>
      </c>
      <c r="C1" s="2" t="str">
        <f t="shared" si="0"/>
        <v>C</v>
      </c>
      <c r="D1" s="2" t="str">
        <f t="shared" si="0"/>
        <v>D</v>
      </c>
      <c r="E1" s="2" t="str">
        <f t="shared" si="0"/>
        <v>E</v>
      </c>
      <c r="F1" s="2" t="str">
        <f t="shared" si="0"/>
        <v>F</v>
      </c>
      <c r="G1" s="2" t="str">
        <f t="shared" si="0"/>
        <v>G</v>
      </c>
      <c r="H1" s="2" t="str">
        <f t="shared" si="0"/>
        <v>H</v>
      </c>
      <c r="I1" s="2" t="str">
        <f t="shared" si="0"/>
        <v>I</v>
      </c>
      <c r="J1" s="2" t="str">
        <f t="shared" si="0"/>
        <v>J</v>
      </c>
      <c r="K1" s="2" t="str">
        <f t="shared" si="0"/>
        <v>K</v>
      </c>
      <c r="L1" s="2" t="str">
        <f t="shared" si="0"/>
        <v>L</v>
      </c>
      <c r="M1" s="2" t="str">
        <f t="shared" si="0"/>
        <v>M</v>
      </c>
      <c r="N1" s="2" t="str">
        <f t="shared" si="0"/>
        <v>N</v>
      </c>
      <c r="O1" s="2" t="str">
        <f t="shared" si="0"/>
        <v>O</v>
      </c>
      <c r="P1" s="2" t="str">
        <f t="shared" si="0"/>
        <v>P</v>
      </c>
      <c r="Q1" s="2" t="str">
        <f t="shared" si="0"/>
        <v>Q</v>
      </c>
      <c r="R1" s="2" t="str">
        <f t="shared" si="0"/>
        <v>R</v>
      </c>
      <c r="S1" s="2" t="str">
        <f t="shared" si="0"/>
        <v>S</v>
      </c>
      <c r="T1" s="2" t="str">
        <f t="shared" si="0"/>
        <v>T</v>
      </c>
      <c r="U1" s="2" t="str">
        <f t="shared" si="0"/>
        <v>U</v>
      </c>
      <c r="V1" s="2" t="str">
        <f t="shared" si="0"/>
        <v>V</v>
      </c>
      <c r="W1" s="2" t="str">
        <f t="shared" si="0"/>
        <v>W</v>
      </c>
      <c r="X1" s="2" t="str">
        <f t="shared" si="0"/>
        <v>X</v>
      </c>
      <c r="Y1" s="2" t="str">
        <f t="shared" si="0"/>
        <v>Y</v>
      </c>
      <c r="Z1" s="2" t="str">
        <f t="shared" si="0"/>
        <v>Z</v>
      </c>
      <c r="AA1" s="2" t="str">
        <f t="shared" si="0"/>
        <v>AA</v>
      </c>
      <c r="AB1" s="2" t="str">
        <f t="shared" si="0"/>
        <v>AB</v>
      </c>
      <c r="AC1" s="2" t="str">
        <f t="shared" si="0"/>
        <v>AC</v>
      </c>
      <c r="AD1" s="853"/>
      <c r="AE1" s="2" t="str">
        <f t="shared" si="0"/>
        <v>AE</v>
      </c>
      <c r="AF1" s="2" t="str">
        <f t="shared" si="0"/>
        <v>AF</v>
      </c>
      <c r="AG1" s="2" t="str">
        <f t="shared" si="0"/>
        <v>AG</v>
      </c>
      <c r="AH1" s="2" t="str">
        <f t="shared" si="0"/>
        <v>AH</v>
      </c>
      <c r="AI1" s="2" t="str">
        <f t="shared" si="0"/>
        <v>AI</v>
      </c>
      <c r="AJ1" s="2" t="str">
        <f t="shared" si="0"/>
        <v>AJ</v>
      </c>
      <c r="AK1" s="2" t="str">
        <f t="shared" si="0"/>
        <v>AK</v>
      </c>
      <c r="AL1" s="2" t="str">
        <f t="shared" si="0"/>
        <v>AL</v>
      </c>
      <c r="AM1" s="2" t="str">
        <f t="shared" si="0"/>
        <v>AM</v>
      </c>
      <c r="AN1" s="2" t="str">
        <f t="shared" si="0"/>
        <v>AN</v>
      </c>
      <c r="AO1" s="2" t="str">
        <f t="shared" si="0"/>
        <v>AO</v>
      </c>
      <c r="AP1" s="2" t="str">
        <f t="shared" si="0"/>
        <v>AP</v>
      </c>
      <c r="AQ1" s="2" t="str">
        <f t="shared" si="0"/>
        <v>AQ</v>
      </c>
      <c r="AR1" s="2" t="str">
        <f t="shared" si="0"/>
        <v>AR</v>
      </c>
      <c r="AS1" s="2" t="str">
        <f t="shared" si="0"/>
        <v>AS</v>
      </c>
      <c r="AT1" s="2" t="str">
        <f t="shared" si="0"/>
        <v>AT</v>
      </c>
      <c r="AU1" s="2" t="str">
        <f t="shared" si="0"/>
        <v>AU</v>
      </c>
      <c r="AV1" s="2" t="str">
        <f t="shared" si="0"/>
        <v>AV</v>
      </c>
      <c r="AW1" s="2" t="str">
        <f t="shared" si="0"/>
        <v>AW</v>
      </c>
      <c r="AX1" s="2" t="str">
        <f t="shared" si="0"/>
        <v>AX</v>
      </c>
      <c r="AY1" s="2" t="str">
        <f t="shared" si="0"/>
        <v>AY</v>
      </c>
      <c r="AZ1" s="2" t="str">
        <f t="shared" si="0"/>
        <v>AZ</v>
      </c>
      <c r="BA1" s="2" t="str">
        <f t="shared" si="0"/>
        <v>BA</v>
      </c>
      <c r="BB1" s="2" t="str">
        <f t="shared" si="0"/>
        <v>BB</v>
      </c>
      <c r="BC1" s="2" t="str">
        <f t="shared" si="0"/>
        <v>BC</v>
      </c>
      <c r="BD1" s="2" t="str">
        <f t="shared" si="0"/>
        <v>BD</v>
      </c>
      <c r="BE1" s="853"/>
      <c r="BF1" s="935"/>
      <c r="BG1" s="4" t="str">
        <f t="shared" ref="BG1:BP1" si="1">SUBSTITUTE(ADDRESS(1,COLUMN(),4),"1","")</f>
        <v>BG</v>
      </c>
      <c r="BH1" s="4" t="str">
        <f t="shared" si="1"/>
        <v>BH</v>
      </c>
      <c r="BI1" s="4" t="str">
        <f t="shared" si="1"/>
        <v>BI</v>
      </c>
      <c r="BJ1" s="4"/>
      <c r="BK1" s="4"/>
      <c r="BL1" s="4" t="str">
        <f t="shared" si="1"/>
        <v>BL</v>
      </c>
      <c r="BM1" s="4" t="str">
        <f t="shared" si="1"/>
        <v>BM</v>
      </c>
      <c r="BN1" s="4" t="str">
        <f t="shared" si="1"/>
        <v>BN</v>
      </c>
      <c r="BO1" s="4" t="str">
        <f t="shared" si="1"/>
        <v>BO</v>
      </c>
      <c r="BP1" s="4" t="str">
        <f t="shared" si="1"/>
        <v>BP</v>
      </c>
      <c r="BW1" s="4" t="str">
        <f t="shared" ref="BW1:CB1" si="2">SUBSTITUTE(ADDRESS(1,COLUMN(),4),"1","")</f>
        <v>BW</v>
      </c>
      <c r="BX1" s="4" t="str">
        <f t="shared" si="2"/>
        <v>BX</v>
      </c>
      <c r="BY1" s="4" t="str">
        <f t="shared" si="2"/>
        <v>BY</v>
      </c>
      <c r="BZ1" s="4" t="str">
        <f t="shared" si="2"/>
        <v>BZ</v>
      </c>
      <c r="CA1" s="4" t="str">
        <f t="shared" si="2"/>
        <v>CA</v>
      </c>
      <c r="CB1" s="4" t="str">
        <f t="shared" si="2"/>
        <v>CB</v>
      </c>
      <c r="CD1" s="4" t="str">
        <f t="shared" ref="CD1:CZ1" si="3">SUBSTITUTE(ADDRESS(1,COLUMN(),4),"1","")</f>
        <v>CD</v>
      </c>
      <c r="CE1" s="4" t="str">
        <f t="shared" si="3"/>
        <v>CE</v>
      </c>
      <c r="CF1" s="4" t="str">
        <f t="shared" si="3"/>
        <v>CF</v>
      </c>
      <c r="CG1" s="4" t="str">
        <f t="shared" si="3"/>
        <v>CG</v>
      </c>
      <c r="CH1" s="4" t="str">
        <f t="shared" si="3"/>
        <v>CH</v>
      </c>
      <c r="CI1" s="4" t="str">
        <f t="shared" si="3"/>
        <v>CI</v>
      </c>
      <c r="CJ1" s="4" t="str">
        <f t="shared" si="3"/>
        <v>CJ</v>
      </c>
      <c r="CL1" s="4" t="str">
        <f t="shared" si="3"/>
        <v>CL</v>
      </c>
      <c r="CM1" s="4" t="str">
        <f t="shared" si="3"/>
        <v>CM</v>
      </c>
      <c r="CN1" s="4" t="str">
        <f t="shared" si="3"/>
        <v>CN</v>
      </c>
      <c r="CO1" s="4" t="str">
        <f t="shared" si="3"/>
        <v>CO</v>
      </c>
      <c r="CP1" s="4" t="str">
        <f t="shared" si="3"/>
        <v>CP</v>
      </c>
      <c r="CQ1" s="4" t="str">
        <f t="shared" si="3"/>
        <v>CQ</v>
      </c>
      <c r="CR1" s="4" t="str">
        <f t="shared" si="3"/>
        <v>CR</v>
      </c>
      <c r="CT1" s="4" t="str">
        <f t="shared" si="3"/>
        <v>CT</v>
      </c>
      <c r="CU1" s="4" t="str">
        <f t="shared" si="3"/>
        <v>CU</v>
      </c>
      <c r="CV1" s="4" t="str">
        <f t="shared" si="3"/>
        <v>CV</v>
      </c>
      <c r="CW1" s="4" t="str">
        <f t="shared" si="3"/>
        <v>CW</v>
      </c>
      <c r="CX1" s="4" t="str">
        <f t="shared" si="3"/>
        <v>CX</v>
      </c>
      <c r="CY1" s="4" t="str">
        <f t="shared" si="3"/>
        <v>CY</v>
      </c>
      <c r="CZ1" s="4" t="str">
        <f t="shared" si="3"/>
        <v>CZ</v>
      </c>
      <c r="DB1" s="3">
        <v>1</v>
      </c>
      <c r="DC1" s="4" t="str">
        <f>SUBSTITUTE(ADDRESS(1,COLUMN(),4),"1","")</f>
        <v>DC</v>
      </c>
      <c r="DD1" s="5" t="str">
        <f>SUBSTITUTE(ADDRESS(1,COLUMN(),4),"1","")</f>
        <v>DD</v>
      </c>
    </row>
    <row r="2" spans="1:108" ht="23.25" customHeight="1" thickBot="1">
      <c r="B2" s="6">
        <f t="shared" ref="B2:BD2" ca="1" si="4">CELL("largeur",B2)</f>
        <v>3</v>
      </c>
      <c r="C2" s="6">
        <f t="shared" ca="1" si="4"/>
        <v>9</v>
      </c>
      <c r="D2" s="6">
        <f t="shared" ca="1" si="4"/>
        <v>12</v>
      </c>
      <c r="E2" s="6">
        <f t="shared" ca="1" si="4"/>
        <v>12</v>
      </c>
      <c r="F2" s="6">
        <f t="shared" ca="1" si="4"/>
        <v>3</v>
      </c>
      <c r="G2" s="6">
        <f t="shared" ca="1" si="4"/>
        <v>9</v>
      </c>
      <c r="H2" s="6">
        <f t="shared" ca="1" si="4"/>
        <v>12</v>
      </c>
      <c r="I2" s="6">
        <f t="shared" ca="1" si="4"/>
        <v>13</v>
      </c>
      <c r="J2" s="6">
        <f t="shared" ca="1" si="4"/>
        <v>40</v>
      </c>
      <c r="K2" s="6">
        <f t="shared" ca="1" si="4"/>
        <v>2</v>
      </c>
      <c r="L2" s="6">
        <f t="shared" ca="1" si="4"/>
        <v>3</v>
      </c>
      <c r="M2" s="6">
        <f t="shared" ca="1" si="4"/>
        <v>5</v>
      </c>
      <c r="N2" s="6">
        <f t="shared" ca="1" si="4"/>
        <v>5</v>
      </c>
      <c r="O2" s="6">
        <f t="shared" ca="1" si="4"/>
        <v>5</v>
      </c>
      <c r="P2" s="6">
        <f t="shared" ca="1" si="4"/>
        <v>5</v>
      </c>
      <c r="Q2" s="6">
        <f t="shared" ca="1" si="4"/>
        <v>12</v>
      </c>
      <c r="R2" s="6">
        <f t="shared" ca="1" si="4"/>
        <v>12</v>
      </c>
      <c r="S2" s="6">
        <f t="shared" ca="1" si="4"/>
        <v>3</v>
      </c>
      <c r="T2" s="6">
        <f t="shared" ca="1" si="4"/>
        <v>9</v>
      </c>
      <c r="U2" s="6">
        <f t="shared" ca="1" si="4"/>
        <v>12</v>
      </c>
      <c r="V2" s="6">
        <f t="shared" ca="1" si="4"/>
        <v>13</v>
      </c>
      <c r="W2" s="6">
        <f t="shared" ca="1" si="4"/>
        <v>40</v>
      </c>
      <c r="X2" s="6">
        <f t="shared" ca="1" si="4"/>
        <v>10</v>
      </c>
      <c r="Y2" s="6">
        <f t="shared" ca="1" si="4"/>
        <v>9</v>
      </c>
      <c r="Z2" s="6">
        <f t="shared" ca="1" si="4"/>
        <v>12</v>
      </c>
      <c r="AA2" s="6">
        <v>9</v>
      </c>
      <c r="AB2" s="6">
        <v>12</v>
      </c>
      <c r="AC2" s="6">
        <v>13</v>
      </c>
      <c r="AD2" s="853"/>
      <c r="AE2" s="6">
        <f t="shared" ca="1" si="4"/>
        <v>10</v>
      </c>
      <c r="AF2" s="6">
        <f t="shared" ca="1" si="4"/>
        <v>21</v>
      </c>
      <c r="AG2" s="6">
        <f t="shared" ca="1" si="4"/>
        <v>5</v>
      </c>
      <c r="AH2" s="6">
        <f t="shared" ca="1" si="4"/>
        <v>5</v>
      </c>
      <c r="AI2" s="6">
        <f t="shared" ca="1" si="4"/>
        <v>5</v>
      </c>
      <c r="AJ2" s="6">
        <f t="shared" ca="1" si="4"/>
        <v>5</v>
      </c>
      <c r="AK2" s="6">
        <f t="shared" ca="1" si="4"/>
        <v>11</v>
      </c>
      <c r="AL2" s="6">
        <f t="shared" ca="1" si="4"/>
        <v>6</v>
      </c>
      <c r="AM2" s="6">
        <f t="shared" ca="1" si="4"/>
        <v>15</v>
      </c>
      <c r="AN2" s="6">
        <f t="shared" ca="1" si="4"/>
        <v>7</v>
      </c>
      <c r="AO2" s="6">
        <f t="shared" ca="1" si="4"/>
        <v>23</v>
      </c>
      <c r="AP2" s="6">
        <f t="shared" ca="1" si="4"/>
        <v>11</v>
      </c>
      <c r="AQ2" s="6">
        <f t="shared" ca="1" si="4"/>
        <v>24</v>
      </c>
      <c r="AR2" s="6">
        <f t="shared" ca="1" si="4"/>
        <v>9</v>
      </c>
      <c r="AS2" s="6">
        <f t="shared" ca="1" si="4"/>
        <v>9</v>
      </c>
      <c r="AT2" s="6">
        <f t="shared" ca="1" si="4"/>
        <v>11</v>
      </c>
      <c r="AU2" s="6">
        <f t="shared" ca="1" si="4"/>
        <v>12</v>
      </c>
      <c r="AV2" s="6">
        <f t="shared" ca="1" si="4"/>
        <v>32</v>
      </c>
      <c r="AW2" s="6">
        <f t="shared" ca="1" si="4"/>
        <v>12</v>
      </c>
      <c r="AX2" s="6">
        <f t="shared" ca="1" si="4"/>
        <v>10</v>
      </c>
      <c r="AY2" s="6">
        <f t="shared" ca="1" si="4"/>
        <v>8</v>
      </c>
      <c r="AZ2" s="6">
        <f t="shared" ca="1" si="4"/>
        <v>11</v>
      </c>
      <c r="BA2" s="6">
        <f t="shared" ca="1" si="4"/>
        <v>17</v>
      </c>
      <c r="BB2" s="6">
        <f t="shared" ca="1" si="4"/>
        <v>17</v>
      </c>
      <c r="BC2" s="6">
        <f t="shared" ca="1" si="4"/>
        <v>13</v>
      </c>
      <c r="BD2" s="6">
        <f t="shared" ca="1" si="4"/>
        <v>44</v>
      </c>
      <c r="BE2" s="853"/>
      <c r="BF2" s="935"/>
      <c r="BG2" s="854">
        <f ca="1">CELL("largeur",BG2)</f>
        <v>15</v>
      </c>
      <c r="BH2" s="854">
        <f ca="1">CELL("largeur",BH2)</f>
        <v>11</v>
      </c>
      <c r="BI2" s="854">
        <f ca="1">CELL("largeur",BI2)</f>
        <v>14</v>
      </c>
      <c r="BJ2" s="854"/>
      <c r="BK2" s="854"/>
      <c r="BL2" s="854">
        <f ca="1">CELL("largeur",BL2)</f>
        <v>11</v>
      </c>
      <c r="BM2" s="854">
        <f ca="1">CELL("largeur",BM2)</f>
        <v>11</v>
      </c>
      <c r="BN2" s="854">
        <f ca="1">CELL("largeur",BN2)</f>
        <v>11</v>
      </c>
      <c r="BO2" s="854">
        <f ca="1">CELL("largeur",BO2)</f>
        <v>20</v>
      </c>
      <c r="BP2" s="854">
        <f ca="1">CELL("largeur",BP2)</f>
        <v>17</v>
      </c>
      <c r="BW2" s="854">
        <f t="shared" ref="BW2:CB2" ca="1" si="5">CELL("largeur",BW2)</f>
        <v>11</v>
      </c>
      <c r="BX2" s="854">
        <f t="shared" ca="1" si="5"/>
        <v>16</v>
      </c>
      <c r="BY2" s="854">
        <f t="shared" ca="1" si="5"/>
        <v>16</v>
      </c>
      <c r="BZ2" s="854">
        <f t="shared" ca="1" si="5"/>
        <v>11</v>
      </c>
      <c r="CA2" s="854">
        <f t="shared" ca="1" si="5"/>
        <v>40</v>
      </c>
      <c r="CB2" s="854">
        <f t="shared" ca="1" si="5"/>
        <v>11</v>
      </c>
      <c r="CD2" s="854">
        <f t="shared" ref="CD2:CJ2" ca="1" si="6">CELL("largeur",CD2)</f>
        <v>19</v>
      </c>
      <c r="CE2" s="854">
        <f t="shared" ca="1" si="6"/>
        <v>18</v>
      </c>
      <c r="CF2" s="854">
        <f t="shared" ca="1" si="6"/>
        <v>10</v>
      </c>
      <c r="CG2" s="854">
        <f t="shared" ca="1" si="6"/>
        <v>16</v>
      </c>
      <c r="CH2" s="854">
        <f t="shared" ca="1" si="6"/>
        <v>16</v>
      </c>
      <c r="CI2" s="854">
        <f t="shared" ca="1" si="6"/>
        <v>11</v>
      </c>
      <c r="CJ2" s="854">
        <f t="shared" ca="1" si="6"/>
        <v>40</v>
      </c>
      <c r="CL2" s="854">
        <f t="shared" ref="CL2:CR2" ca="1" si="7">CELL("largeur",CL2)</f>
        <v>19</v>
      </c>
      <c r="CM2" s="854">
        <f t="shared" ca="1" si="7"/>
        <v>18</v>
      </c>
      <c r="CN2" s="854">
        <f t="shared" ca="1" si="7"/>
        <v>10</v>
      </c>
      <c r="CO2" s="854">
        <f t="shared" ca="1" si="7"/>
        <v>16</v>
      </c>
      <c r="CP2" s="854">
        <f t="shared" ca="1" si="7"/>
        <v>16</v>
      </c>
      <c r="CQ2" s="854">
        <f t="shared" ca="1" si="7"/>
        <v>11</v>
      </c>
      <c r="CR2" s="854">
        <f t="shared" ca="1" si="7"/>
        <v>40</v>
      </c>
      <c r="CT2" s="854">
        <f t="shared" ref="CT2:CZ2" ca="1" si="8">CELL("largeur",CT2)</f>
        <v>19</v>
      </c>
      <c r="CU2" s="854">
        <f t="shared" ca="1" si="8"/>
        <v>18</v>
      </c>
      <c r="CV2" s="854">
        <f t="shared" ca="1" si="8"/>
        <v>10</v>
      </c>
      <c r="CW2" s="854">
        <f t="shared" ca="1" si="8"/>
        <v>16</v>
      </c>
      <c r="CX2" s="854">
        <f t="shared" ca="1" si="8"/>
        <v>16</v>
      </c>
      <c r="CY2" s="854">
        <f t="shared" ca="1" si="8"/>
        <v>11</v>
      </c>
      <c r="CZ2" s="854">
        <f t="shared" ca="1" si="8"/>
        <v>40</v>
      </c>
      <c r="DB2" s="3">
        <v>1</v>
      </c>
      <c r="DC2" s="7" t="s">
        <v>3</v>
      </c>
      <c r="DD2" s="8"/>
    </row>
    <row r="3" spans="1:108" s="935" customFormat="1" ht="23.25" customHeight="1">
      <c r="A3" s="936" t="s">
        <v>22</v>
      </c>
      <c r="B3" s="937"/>
      <c r="C3" s="937" t="s">
        <v>1674</v>
      </c>
      <c r="D3" s="937"/>
      <c r="E3" s="937"/>
      <c r="F3" s="937"/>
      <c r="G3" s="937"/>
      <c r="H3" s="937"/>
      <c r="I3" s="937"/>
      <c r="J3" s="937"/>
      <c r="K3" s="937"/>
      <c r="L3" s="938" t="s">
        <v>865</v>
      </c>
      <c r="M3" s="938" t="s">
        <v>13436</v>
      </c>
      <c r="N3" s="938"/>
      <c r="O3" s="855"/>
      <c r="P3" s="855"/>
      <c r="Q3" s="855"/>
      <c r="R3" s="855"/>
      <c r="S3" s="855"/>
      <c r="T3" s="855"/>
      <c r="U3" s="855"/>
      <c r="V3" s="855"/>
      <c r="W3" s="855"/>
      <c r="X3" s="855"/>
      <c r="Y3" s="855"/>
      <c r="Z3" s="855"/>
      <c r="AA3" s="855"/>
      <c r="AB3" s="855"/>
      <c r="AC3" s="938" t="s">
        <v>865</v>
      </c>
      <c r="AD3" s="853"/>
      <c r="AF3" s="5246" t="s">
        <v>13462</v>
      </c>
      <c r="AG3" s="939" t="s">
        <v>13463</v>
      </c>
      <c r="AH3" s="939"/>
      <c r="AI3" s="939"/>
      <c r="AJ3" s="939"/>
      <c r="AK3" s="938"/>
      <c r="AL3" s="938"/>
      <c r="AM3" s="938"/>
      <c r="AN3" s="938"/>
      <c r="AO3" s="938" t="s">
        <v>865</v>
      </c>
      <c r="AP3" s="940" t="s">
        <v>1675</v>
      </c>
      <c r="AQ3" s="853"/>
      <c r="AR3" s="853"/>
      <c r="AS3" s="853"/>
      <c r="AT3" s="853"/>
      <c r="AU3" s="853"/>
      <c r="AV3" s="853"/>
      <c r="AW3" s="853"/>
      <c r="AX3" s="853"/>
      <c r="AY3" s="5600" t="s">
        <v>13445</v>
      </c>
      <c r="AZ3" s="5600"/>
      <c r="BA3" s="5600"/>
      <c r="BB3" s="5600"/>
      <c r="BC3" s="5600"/>
      <c r="BD3" s="5600"/>
      <c r="BE3" s="853"/>
      <c r="BG3"/>
      <c r="BL3" s="856"/>
      <c r="BM3" s="856"/>
      <c r="BN3" s="856"/>
      <c r="BO3" s="856"/>
      <c r="BP3" s="227"/>
      <c r="BQ3"/>
      <c r="BR3"/>
      <c r="BS3"/>
      <c r="BT3"/>
      <c r="BU3"/>
      <c r="BV3"/>
      <c r="BW3" s="227"/>
      <c r="BX3" s="227"/>
      <c r="BY3" s="227"/>
      <c r="BZ3" s="227"/>
      <c r="CA3" s="227"/>
      <c r="CB3" s="227"/>
      <c r="CC3" s="227"/>
      <c r="CD3"/>
      <c r="CE3"/>
      <c r="CF3"/>
      <c r="CG3"/>
      <c r="CH3"/>
      <c r="CI3"/>
      <c r="CJ3"/>
      <c r="CK3"/>
      <c r="CM3"/>
      <c r="CN3"/>
      <c r="CO3"/>
      <c r="CP3"/>
      <c r="CQ3"/>
      <c r="CR3"/>
      <c r="CS3" s="227"/>
      <c r="CT3"/>
      <c r="CU3"/>
      <c r="CV3"/>
      <c r="CW3" s="941" t="s">
        <v>1676</v>
      </c>
      <c r="CX3" s="942" t="str">
        <f>$DB$551</f>
        <v>DB551</v>
      </c>
      <c r="CY3"/>
      <c r="CZ3" s="943" t="str">
        <f ca="1">"Page "&amp;_xlfn.SHEET()&amp;" sur "&amp;_xlfn.SHEETS()</f>
        <v>Page 7 sur 27</v>
      </c>
      <c r="DA3" s="227"/>
      <c r="DB3" s="3">
        <v>1</v>
      </c>
      <c r="DC3" s="11">
        <f ca="1">COUNTA(A1:DB551) + COUNTBLANK(A1:DB551)</f>
        <v>63119</v>
      </c>
      <c r="DD3" s="12" t="str">
        <f>"cellules entre -cells -celdas  "&amp;" " &amp;A1&amp;" et  "&amp;DB551</f>
        <v>cellules entre -cells -celdas   A1 et  DB551</v>
      </c>
    </row>
    <row r="4" spans="1:108" ht="24.75" customHeight="1" thickBot="1">
      <c r="A4" s="936" t="s">
        <v>22</v>
      </c>
      <c r="B4" s="944" t="str">
        <f>SUBSTITUTE(ADDRESS(1,COLUMN(),4),"1","")</f>
        <v>B</v>
      </c>
      <c r="C4" s="945" t="s">
        <v>1677</v>
      </c>
      <c r="D4" s="946"/>
      <c r="E4" s="946"/>
      <c r="F4" s="946"/>
      <c r="G4" s="946"/>
      <c r="H4" s="946"/>
      <c r="I4" s="946"/>
      <c r="J4" s="946"/>
      <c r="K4" s="946"/>
      <c r="L4" s="946"/>
      <c r="M4" s="946"/>
      <c r="N4" s="946"/>
      <c r="O4" s="946"/>
      <c r="P4" s="946"/>
      <c r="Q4" s="946"/>
      <c r="R4" s="946"/>
      <c r="S4" s="946"/>
      <c r="T4" s="945" t="s">
        <v>13437</v>
      </c>
      <c r="U4" s="946"/>
      <c r="V4" s="946"/>
      <c r="W4" s="946"/>
      <c r="X4" s="946"/>
      <c r="Y4" s="946"/>
      <c r="Z4" s="946"/>
      <c r="AA4" s="946"/>
      <c r="AB4" s="946"/>
      <c r="AC4" s="946"/>
      <c r="AD4" s="442"/>
      <c r="AE4" s="947"/>
      <c r="AF4" s="947"/>
      <c r="AG4" s="947"/>
      <c r="AH4" s="947"/>
      <c r="AI4" s="947"/>
      <c r="AJ4" s="947"/>
      <c r="AK4" s="948"/>
      <c r="AL4" s="948"/>
      <c r="AM4" s="948"/>
      <c r="AO4" s="949" t="s">
        <v>13464</v>
      </c>
      <c r="AP4" s="948" t="s">
        <v>1678</v>
      </c>
      <c r="AQ4" s="442"/>
      <c r="AR4" s="442"/>
      <c r="AS4" s="442"/>
      <c r="AT4" s="442"/>
      <c r="AU4" s="442"/>
      <c r="AV4" s="442"/>
      <c r="AW4" s="442"/>
      <c r="AX4" s="442"/>
      <c r="AY4" s="5601"/>
      <c r="AZ4" s="5601"/>
      <c r="BA4" s="5601"/>
      <c r="BB4" s="5601"/>
      <c r="BC4" s="5601"/>
      <c r="BD4" s="5601"/>
      <c r="BE4" s="442"/>
      <c r="BG4"/>
      <c r="BH4" s="227"/>
      <c r="BO4" s="227"/>
      <c r="BW4" s="227"/>
      <c r="BX4" s="227"/>
      <c r="BY4" s="227"/>
      <c r="BZ4" s="950" t="s">
        <v>1679</v>
      </c>
      <c r="CA4" s="227"/>
      <c r="CK4" s="935"/>
      <c r="CS4" s="935"/>
      <c r="CW4" s="951" t="s">
        <v>1680</v>
      </c>
      <c r="DA4" s="935"/>
      <c r="DB4" s="3">
        <v>1</v>
      </c>
      <c r="DC4" s="11">
        <f ca="1">COUNTA(A1:DB551)</f>
        <v>21232</v>
      </c>
      <c r="DD4" s="12" t="s">
        <v>10</v>
      </c>
    </row>
    <row r="5" spans="1:108" ht="21" customHeight="1">
      <c r="A5" s="936" t="s">
        <v>22</v>
      </c>
      <c r="B5" s="952" t="str">
        <f t="shared" ref="B5:B68" si="9">L5</f>
        <v>A</v>
      </c>
      <c r="C5" s="5485" t="s">
        <v>2614</v>
      </c>
      <c r="D5" s="5486"/>
      <c r="E5" s="5486"/>
      <c r="F5" s="5486"/>
      <c r="G5" s="5486"/>
      <c r="H5" s="5486"/>
      <c r="I5" s="5486"/>
      <c r="J5" s="5486"/>
      <c r="K5" s="442" t="s">
        <v>22</v>
      </c>
      <c r="L5" s="16" t="s">
        <v>11</v>
      </c>
      <c r="M5" s="17" t="s">
        <v>12</v>
      </c>
      <c r="N5" s="18"/>
      <c r="O5" s="18"/>
      <c r="P5" s="18"/>
      <c r="Q5" s="19"/>
      <c r="R5" s="19"/>
      <c r="S5" s="19"/>
      <c r="T5" s="19"/>
      <c r="U5" s="19"/>
      <c r="V5" s="19"/>
      <c r="W5" s="19"/>
      <c r="X5" s="19"/>
      <c r="Y5" s="19"/>
      <c r="Z5" s="19"/>
      <c r="AA5" s="19"/>
      <c r="AB5" s="5224"/>
      <c r="AC5" s="5225" t="s">
        <v>13446</v>
      </c>
      <c r="AD5" s="227" t="s">
        <v>22</v>
      </c>
      <c r="AE5" s="953" t="s">
        <v>11</v>
      </c>
      <c r="AF5" s="5266" t="s">
        <v>1681</v>
      </c>
      <c r="AG5" s="5266"/>
      <c r="AH5" s="5266"/>
      <c r="AI5" s="5266"/>
      <c r="AJ5" s="5609" t="s">
        <v>1682</v>
      </c>
      <c r="AK5" s="5609"/>
      <c r="AL5" s="5603" t="s">
        <v>13493</v>
      </c>
      <c r="AM5" s="5603"/>
      <c r="AN5" s="5603"/>
      <c r="AO5" s="5603"/>
      <c r="AP5" s="5603"/>
      <c r="AQ5" s="5603"/>
      <c r="AR5" s="5603"/>
      <c r="AS5" s="5603"/>
      <c r="AT5" s="5603"/>
      <c r="AU5" s="5603"/>
      <c r="AV5" s="5603"/>
      <c r="AW5" s="5603"/>
      <c r="AX5" s="5603"/>
      <c r="AY5" s="5604"/>
      <c r="AZ5" s="5604"/>
      <c r="BA5" s="5497" t="s">
        <v>1388</v>
      </c>
      <c r="BB5" s="5497"/>
      <c r="BC5" s="5605" t="str">
        <f>LEFT(AL5,1)</f>
        <v>L</v>
      </c>
      <c r="BD5" s="5606">
        <v>8</v>
      </c>
      <c r="BE5" s="227"/>
      <c r="BG5"/>
      <c r="BH5" s="227"/>
      <c r="BO5" s="227"/>
      <c r="BW5" s="953" t="str">
        <f t="shared" ref="BW5:BW68" si="10">AE5</f>
        <v>A</v>
      </c>
      <c r="BX5" s="954" t="s">
        <v>1681</v>
      </c>
      <c r="BY5" s="955"/>
      <c r="BZ5" s="955">
        <f>BD6</f>
        <v>0</v>
      </c>
      <c r="CA5" s="956"/>
      <c r="CB5" s="956"/>
      <c r="CC5" s="957"/>
      <c r="CD5" s="5582" t="s">
        <v>1683</v>
      </c>
      <c r="CE5" s="5583"/>
      <c r="CF5" s="5583"/>
      <c r="CG5" s="5583"/>
      <c r="CH5" s="5583"/>
      <c r="CI5" s="5583"/>
      <c r="CJ5" s="5584"/>
      <c r="CL5" s="5582" t="s">
        <v>1684</v>
      </c>
      <c r="CM5" s="5583"/>
      <c r="CN5" s="5583"/>
      <c r="CO5" s="5583"/>
      <c r="CP5" s="5583"/>
      <c r="CQ5" s="5583"/>
      <c r="CR5" s="5584"/>
      <c r="CT5" s="5582" t="s">
        <v>1685</v>
      </c>
      <c r="CU5" s="5583"/>
      <c r="CV5" s="5583"/>
      <c r="CW5" s="5583"/>
      <c r="CX5" s="5583"/>
      <c r="CY5" s="5583"/>
      <c r="CZ5" s="5584"/>
      <c r="DB5" s="3">
        <v>1</v>
      </c>
      <c r="DC5" s="11">
        <f ca="1">COUNTBLANK(A1:DB551)</f>
        <v>41887</v>
      </c>
      <c r="DD5" s="12" t="s">
        <v>13</v>
      </c>
    </row>
    <row r="6" spans="1:108" ht="21" customHeight="1">
      <c r="A6" s="936" t="s">
        <v>22</v>
      </c>
      <c r="B6" s="952" t="str">
        <f t="shared" si="9"/>
        <v>A</v>
      </c>
      <c r="C6" s="5602"/>
      <c r="D6" s="5488"/>
      <c r="E6" s="5488"/>
      <c r="F6" s="5488"/>
      <c r="G6" s="5488"/>
      <c r="H6" s="5488"/>
      <c r="I6" s="5488"/>
      <c r="J6" s="5488"/>
      <c r="K6" s="442" t="s">
        <v>22</v>
      </c>
      <c r="L6" s="16" t="s">
        <v>11</v>
      </c>
      <c r="M6" s="17" t="s">
        <v>14</v>
      </c>
      <c r="N6" s="18"/>
      <c r="O6" s="18"/>
      <c r="P6" s="18"/>
      <c r="Q6" s="15"/>
      <c r="R6" s="15"/>
      <c r="S6" s="15"/>
      <c r="T6" s="15"/>
      <c r="U6" s="15"/>
      <c r="V6" s="15"/>
      <c r="W6" s="15"/>
      <c r="X6" s="15"/>
      <c r="Y6" s="15"/>
      <c r="Z6" s="15"/>
      <c r="AA6" s="15"/>
      <c r="AB6" s="15"/>
      <c r="AC6" s="5226" t="s">
        <v>13447</v>
      </c>
      <c r="AD6" s="227" t="s">
        <v>22</v>
      </c>
      <c r="AE6" s="958" t="s">
        <v>11</v>
      </c>
      <c r="AF6" s="5267" t="s">
        <v>1686</v>
      </c>
      <c r="AG6" s="5267"/>
      <c r="AH6" s="5267"/>
      <c r="AI6" s="5267"/>
      <c r="AJ6" s="5610"/>
      <c r="AK6" s="5610"/>
      <c r="AL6" s="5604"/>
      <c r="AM6" s="5604"/>
      <c r="AN6" s="5604"/>
      <c r="AO6" s="5604"/>
      <c r="AP6" s="5604"/>
      <c r="AQ6" s="5604"/>
      <c r="AR6" s="5604"/>
      <c r="AS6" s="5604"/>
      <c r="AT6" s="5604"/>
      <c r="AU6" s="5604"/>
      <c r="AV6" s="5604"/>
      <c r="AW6" s="5604"/>
      <c r="AX6" s="5604"/>
      <c r="AY6" s="5604"/>
      <c r="AZ6" s="5604"/>
      <c r="BA6" s="5497"/>
      <c r="BB6" s="5497"/>
      <c r="BC6" s="5605"/>
      <c r="BD6" s="5606"/>
      <c r="BE6" s="227"/>
      <c r="BG6"/>
      <c r="BH6" s="227"/>
      <c r="BI6" s="227"/>
      <c r="BJ6" s="227"/>
      <c r="BK6" s="227"/>
      <c r="BL6" s="227"/>
      <c r="BM6" s="227"/>
      <c r="BN6" s="227"/>
      <c r="BO6" s="227"/>
      <c r="BQ6" s="227"/>
      <c r="BR6" s="227"/>
      <c r="BS6" s="227"/>
      <c r="BT6" s="227"/>
      <c r="BU6" s="227"/>
      <c r="BV6" s="227"/>
      <c r="BW6" s="959" t="str">
        <f t="shared" si="10"/>
        <v>A</v>
      </c>
      <c r="BX6" s="5591" t="s">
        <v>1687</v>
      </c>
      <c r="BY6" s="5591"/>
      <c r="BZ6" s="5591"/>
      <c r="CA6" s="5591"/>
      <c r="CB6" s="5591"/>
      <c r="CC6" s="957"/>
      <c r="CD6" s="5585"/>
      <c r="CE6" s="5586"/>
      <c r="CF6" s="5586"/>
      <c r="CG6" s="5586"/>
      <c r="CH6" s="5586"/>
      <c r="CI6" s="5586"/>
      <c r="CJ6" s="5587"/>
      <c r="CL6" s="5585"/>
      <c r="CM6" s="5586"/>
      <c r="CN6" s="5586"/>
      <c r="CO6" s="5586"/>
      <c r="CP6" s="5586"/>
      <c r="CQ6" s="5586"/>
      <c r="CR6" s="5587"/>
      <c r="CT6" s="5585"/>
      <c r="CU6" s="5586"/>
      <c r="CV6" s="5586"/>
      <c r="CW6" s="5586"/>
      <c r="CX6" s="5586"/>
      <c r="CY6" s="5586"/>
      <c r="CZ6" s="5587"/>
      <c r="DB6" s="3">
        <v>1</v>
      </c>
      <c r="DC6" s="11">
        <f>SUM(A551:DB551)+2</f>
        <v>107</v>
      </c>
      <c r="DD6" s="12" t="s">
        <v>15</v>
      </c>
    </row>
    <row r="7" spans="1:108" ht="21" customHeight="1" thickBot="1">
      <c r="A7" s="936" t="s">
        <v>22</v>
      </c>
      <c r="B7" s="952" t="str">
        <f t="shared" si="9"/>
        <v>A</v>
      </c>
      <c r="C7" s="5592" t="s">
        <v>2615</v>
      </c>
      <c r="D7" s="5490"/>
      <c r="E7" s="5490"/>
      <c r="F7" s="5490"/>
      <c r="G7" s="5490"/>
      <c r="H7" s="5490"/>
      <c r="I7" s="5490"/>
      <c r="J7" s="5490"/>
      <c r="K7" s="442" t="s">
        <v>22</v>
      </c>
      <c r="L7" s="16" t="s">
        <v>11</v>
      </c>
      <c r="M7" s="960" t="s">
        <v>1688</v>
      </c>
      <c r="N7" s="961"/>
      <c r="O7" s="961"/>
      <c r="P7" s="961"/>
      <c r="Q7" s="961"/>
      <c r="R7" s="961"/>
      <c r="S7" s="961"/>
      <c r="T7" s="961"/>
      <c r="U7" s="961"/>
      <c r="V7" s="961"/>
      <c r="W7" s="961"/>
      <c r="X7" s="961"/>
      <c r="Y7" s="961"/>
      <c r="Z7" s="961"/>
      <c r="AA7" s="961"/>
      <c r="AB7" s="961"/>
      <c r="AC7" s="5212"/>
      <c r="AD7" s="227" t="s">
        <v>22</v>
      </c>
      <c r="AE7" s="958" t="s">
        <v>11</v>
      </c>
      <c r="AF7" s="5608" t="s">
        <v>1690</v>
      </c>
      <c r="AG7" s="5608"/>
      <c r="AH7" s="5608"/>
      <c r="AI7" s="5608"/>
      <c r="AJ7" s="5608"/>
      <c r="AK7" s="5593" t="s">
        <v>1689</v>
      </c>
      <c r="AL7" s="5594" t="s">
        <v>13497</v>
      </c>
      <c r="AM7" s="5594"/>
      <c r="AN7" s="5594"/>
      <c r="AO7" s="5594"/>
      <c r="AP7" s="5594"/>
      <c r="AQ7" s="5594"/>
      <c r="AR7" s="5594"/>
      <c r="AS7" s="5594"/>
      <c r="AT7" s="5594"/>
      <c r="AU7" s="5594"/>
      <c r="AV7" s="5594"/>
      <c r="AW7" s="5594"/>
      <c r="AX7" s="5594"/>
      <c r="AY7" s="5594"/>
      <c r="AZ7" s="5594"/>
      <c r="BA7" s="5595" t="s">
        <v>1691</v>
      </c>
      <c r="BB7" s="5595"/>
      <c r="BC7" s="5596" t="s">
        <v>1692</v>
      </c>
      <c r="BD7" s="5606"/>
      <c r="BE7" s="227"/>
      <c r="BG7"/>
      <c r="BH7" s="227"/>
      <c r="BI7" s="227"/>
      <c r="BJ7" s="227"/>
      <c r="BK7" s="227"/>
      <c r="BL7" s="227"/>
      <c r="BM7" s="227"/>
      <c r="BN7" s="227"/>
      <c r="BO7" s="227"/>
      <c r="BQ7" s="227"/>
      <c r="BR7" s="227"/>
      <c r="BS7" s="227"/>
      <c r="BT7" s="227"/>
      <c r="BU7" s="227"/>
      <c r="BV7" s="227"/>
      <c r="BW7" s="959" t="str">
        <f t="shared" si="10"/>
        <v>A</v>
      </c>
      <c r="BX7" s="5591"/>
      <c r="BY7" s="5591"/>
      <c r="BZ7" s="5591"/>
      <c r="CA7" s="5591"/>
      <c r="CB7" s="5591"/>
      <c r="CC7" s="957"/>
      <c r="CD7" s="5588"/>
      <c r="CE7" s="5589"/>
      <c r="CF7" s="5589"/>
      <c r="CG7" s="5589"/>
      <c r="CH7" s="5589"/>
      <c r="CI7" s="5589"/>
      <c r="CJ7" s="5590"/>
      <c r="CL7" s="5588"/>
      <c r="CM7" s="5589"/>
      <c r="CN7" s="5589"/>
      <c r="CO7" s="5589"/>
      <c r="CP7" s="5589"/>
      <c r="CQ7" s="5589"/>
      <c r="CR7" s="5590"/>
      <c r="CT7" s="5588"/>
      <c r="CU7" s="5589"/>
      <c r="CV7" s="5589"/>
      <c r="CW7" s="5589"/>
      <c r="CX7" s="5589"/>
      <c r="CY7" s="5589"/>
      <c r="CZ7" s="5590"/>
      <c r="DB7" s="3">
        <v>1</v>
      </c>
      <c r="DC7" s="11">
        <f>SUM(A551:DB551)+1</f>
        <v>106</v>
      </c>
      <c r="DD7" s="12" t="s">
        <v>18</v>
      </c>
    </row>
    <row r="8" spans="1:108" ht="21" customHeight="1" thickTop="1">
      <c r="A8" s="936" t="s">
        <v>22</v>
      </c>
      <c r="B8" s="952" t="str">
        <f t="shared" si="9"/>
        <v>A</v>
      </c>
      <c r="C8" s="5247"/>
      <c r="D8" s="5491" t="s">
        <v>1693</v>
      </c>
      <c r="E8" s="5491"/>
      <c r="F8" s="5491"/>
      <c r="G8" s="5491"/>
      <c r="H8" s="5491"/>
      <c r="I8" s="5491"/>
      <c r="J8" s="5491"/>
      <c r="K8" s="442" t="s">
        <v>22</v>
      </c>
      <c r="L8" s="16" t="s">
        <v>11</v>
      </c>
      <c r="M8" s="960" t="s">
        <v>1694</v>
      </c>
      <c r="N8" s="961"/>
      <c r="O8" s="961"/>
      <c r="P8" s="961"/>
      <c r="Q8" s="961"/>
      <c r="R8" s="961"/>
      <c r="S8" s="961"/>
      <c r="T8" s="961"/>
      <c r="U8" s="961"/>
      <c r="V8" s="961"/>
      <c r="W8" s="961"/>
      <c r="X8" s="961"/>
      <c r="Y8" s="961"/>
      <c r="Z8" s="961"/>
      <c r="AA8" s="961"/>
      <c r="AB8" s="961"/>
      <c r="AC8" s="5212"/>
      <c r="AD8" s="227" t="s">
        <v>22</v>
      </c>
      <c r="AE8" s="958" t="s">
        <v>11</v>
      </c>
      <c r="AF8" s="5608"/>
      <c r="AG8" s="5608"/>
      <c r="AH8" s="5608"/>
      <c r="AI8" s="5608"/>
      <c r="AJ8" s="5608"/>
      <c r="AK8" s="5593"/>
      <c r="AL8" s="5594"/>
      <c r="AM8" s="5594"/>
      <c r="AN8" s="5594"/>
      <c r="AO8" s="5594"/>
      <c r="AP8" s="5594"/>
      <c r="AQ8" s="5594"/>
      <c r="AR8" s="5594"/>
      <c r="AS8" s="5594"/>
      <c r="AT8" s="5594"/>
      <c r="AU8" s="5594"/>
      <c r="AV8" s="5594"/>
      <c r="AW8" s="5594"/>
      <c r="AX8" s="5594"/>
      <c r="AY8" s="5594"/>
      <c r="AZ8" s="5594"/>
      <c r="BA8" s="5595"/>
      <c r="BB8" s="5595"/>
      <c r="BC8" s="5596"/>
      <c r="BD8" s="5607"/>
      <c r="BE8" s="227"/>
      <c r="BG8"/>
      <c r="BH8" s="227"/>
      <c r="BI8" s="227"/>
      <c r="BJ8" s="227"/>
      <c r="BK8" s="227"/>
      <c r="BL8" s="227"/>
      <c r="BM8" s="227"/>
      <c r="BN8" s="227"/>
      <c r="BO8" s="227"/>
      <c r="BQ8" s="227"/>
      <c r="BR8" s="227"/>
      <c r="BS8" s="227"/>
      <c r="BT8" s="227"/>
      <c r="BU8" s="227"/>
      <c r="BV8" s="227"/>
      <c r="BW8" s="959" t="str">
        <f t="shared" si="10"/>
        <v>A</v>
      </c>
      <c r="BX8" s="963" t="s">
        <v>1695</v>
      </c>
      <c r="BY8" s="963"/>
      <c r="BZ8" s="857"/>
      <c r="CA8" s="858"/>
      <c r="CB8" s="858"/>
      <c r="CC8" s="957"/>
      <c r="CD8" s="5597"/>
      <c r="CE8" s="5598"/>
      <c r="CF8" s="5598"/>
      <c r="CG8" s="5598"/>
      <c r="CH8" s="5598"/>
      <c r="CI8" s="5598"/>
      <c r="CJ8" s="5599"/>
      <c r="CL8" s="5597"/>
      <c r="CM8" s="5598"/>
      <c r="CN8" s="5598"/>
      <c r="CO8" s="5598"/>
      <c r="CP8" s="5598"/>
      <c r="CQ8" s="5598"/>
      <c r="CR8" s="5599"/>
      <c r="CT8" s="5597"/>
      <c r="CU8" s="5598"/>
      <c r="CV8" s="5598"/>
      <c r="CW8" s="5598"/>
      <c r="CX8" s="5598"/>
      <c r="CY8" s="5598"/>
      <c r="CZ8" s="5599"/>
      <c r="DB8" s="3">
        <v>1</v>
      </c>
    </row>
    <row r="9" spans="1:108" s="709" customFormat="1" ht="21" customHeight="1">
      <c r="A9" s="936" t="s">
        <v>22</v>
      </c>
      <c r="B9" s="952" t="str">
        <f t="shared" si="9"/>
        <v>►</v>
      </c>
      <c r="C9" s="5309" t="str">
        <f>IF(ISNUMBER(IFERROR(VALUE("0,5"),"")),"On this computer, type a COMMA as the decimal separator",IF(ISNUMBER(IFERROR(VALUE("0.5"),"")),"On this computer, type a POINT as the decimal separator","Unable to determine the decimal separator"))</f>
        <v>On this computer, type a POINT as the decimal separator</v>
      </c>
      <c r="D9" s="15"/>
      <c r="E9" s="15"/>
      <c r="F9" s="15"/>
      <c r="G9" s="15"/>
      <c r="H9" s="15"/>
      <c r="I9" s="15"/>
      <c r="J9" s="5308" t="str">
        <f>IF(ISNUMBER(IFERROR(VALUE("0,5"),""))," En este ordenador, escriba una COMA como separador decimal",IF(ISNUMBER(IFERROR(VALUE("0.5"),"")),"En este ordenador, escriba un PUNTO como separador decimal","No es posible determinar el separador decimal"))</f>
        <v>En este ordenador, escriba un PUNTO como separador decimal</v>
      </c>
      <c r="K9" s="442" t="s">
        <v>22</v>
      </c>
      <c r="L9" s="16" t="s">
        <v>16</v>
      </c>
      <c r="M9" s="21"/>
      <c r="N9" s="964" t="s">
        <v>13448</v>
      </c>
      <c r="O9" s="21"/>
      <c r="P9" s="21"/>
      <c r="Q9" s="964"/>
      <c r="R9" s="965"/>
      <c r="S9" s="965"/>
      <c r="T9" s="965"/>
      <c r="U9" s="965"/>
      <c r="V9" s="965"/>
      <c r="W9" s="965" t="s">
        <v>13449</v>
      </c>
      <c r="X9" s="965"/>
      <c r="Y9" s="965"/>
      <c r="Z9" s="965"/>
      <c r="AA9" s="965"/>
      <c r="AB9" s="965"/>
      <c r="AC9" s="5213"/>
      <c r="AD9" s="227" t="s">
        <v>22</v>
      </c>
      <c r="AE9" s="958" t="s">
        <v>11</v>
      </c>
      <c r="AF9" s="966"/>
      <c r="AG9" s="966"/>
      <c r="AH9" s="966"/>
      <c r="AI9" s="966"/>
      <c r="AJ9" s="966"/>
      <c r="AK9" s="966"/>
      <c r="AL9" s="965"/>
      <c r="AM9" s="965"/>
      <c r="AN9" s="965"/>
      <c r="AO9" s="5570" t="s">
        <v>1696</v>
      </c>
      <c r="AP9" s="5570"/>
      <c r="AQ9" s="5570"/>
      <c r="AR9" s="5571">
        <v>40</v>
      </c>
      <c r="AS9" s="5572" t="s">
        <v>9294</v>
      </c>
      <c r="AT9" s="5572"/>
      <c r="AU9" s="967" t="s">
        <v>139</v>
      </c>
      <c r="AV9" s="21"/>
      <c r="AW9" s="21"/>
      <c r="AX9" s="21"/>
      <c r="AY9" s="968"/>
      <c r="AZ9" s="968"/>
      <c r="BA9" s="968"/>
      <c r="BB9" s="967" t="s">
        <v>1697</v>
      </c>
      <c r="BC9" s="967"/>
      <c r="BD9" s="969"/>
      <c r="BE9" s="227"/>
      <c r="BF9" s="227"/>
      <c r="BG9"/>
      <c r="BH9" s="227"/>
      <c r="BI9" s="227"/>
      <c r="BJ9" s="227"/>
      <c r="BK9" s="227"/>
      <c r="BL9" s="227"/>
      <c r="BM9" s="227"/>
      <c r="BN9" s="227"/>
      <c r="BO9" s="227"/>
      <c r="BP9" s="227"/>
      <c r="BQ9" s="227"/>
      <c r="BR9" s="227"/>
      <c r="BS9" s="227"/>
      <c r="BT9" s="227"/>
      <c r="BU9" s="227"/>
      <c r="BV9" s="227"/>
      <c r="BW9" s="959" t="str">
        <f t="shared" si="10"/>
        <v>A</v>
      </c>
      <c r="BX9" s="963" t="s">
        <v>1698</v>
      </c>
      <c r="BY9" s="857"/>
      <c r="BZ9" s="857"/>
      <c r="CA9" s="858"/>
      <c r="CB9" s="858"/>
      <c r="CC9" s="957"/>
      <c r="CD9" s="5573" t="s">
        <v>1699</v>
      </c>
      <c r="CE9" s="5574"/>
      <c r="CF9" s="5574"/>
      <c r="CG9" s="5574"/>
      <c r="CH9" s="5574"/>
      <c r="CI9" s="5574"/>
      <c r="CJ9" s="5575"/>
      <c r="CK9" s="227"/>
      <c r="CL9" s="5573" t="s">
        <v>1700</v>
      </c>
      <c r="CM9" s="5574"/>
      <c r="CN9" s="5574"/>
      <c r="CO9" s="5574"/>
      <c r="CP9" s="5574"/>
      <c r="CQ9" s="5574"/>
      <c r="CR9" s="5575"/>
      <c r="CS9" s="227"/>
      <c r="CT9" s="5573" t="s">
        <v>1701</v>
      </c>
      <c r="CU9" s="5574"/>
      <c r="CV9" s="5574"/>
      <c r="CW9" s="5574"/>
      <c r="CX9" s="5574"/>
      <c r="CY9" s="5574"/>
      <c r="CZ9" s="5575"/>
      <c r="DA9" s="227"/>
      <c r="DB9" s="3">
        <v>1</v>
      </c>
    </row>
    <row r="10" spans="1:108" s="709" customFormat="1" ht="21" customHeight="1" thickBot="1">
      <c r="A10" s="936" t="s">
        <v>22</v>
      </c>
      <c r="B10" s="952" t="str">
        <f t="shared" si="9"/>
        <v>►</v>
      </c>
      <c r="C10" s="970">
        <f t="shared" ref="C10:J10" ca="1" si="11">CELL("largeur",C10)</f>
        <v>9</v>
      </c>
      <c r="D10" s="6">
        <f t="shared" ca="1" si="11"/>
        <v>12</v>
      </c>
      <c r="E10" s="6">
        <f t="shared" ca="1" si="11"/>
        <v>12</v>
      </c>
      <c r="F10" s="6">
        <f t="shared" ca="1" si="11"/>
        <v>3</v>
      </c>
      <c r="G10" s="6">
        <f t="shared" ca="1" si="11"/>
        <v>9</v>
      </c>
      <c r="H10" s="6">
        <f t="shared" ca="1" si="11"/>
        <v>12</v>
      </c>
      <c r="I10" s="6">
        <f t="shared" ca="1" si="11"/>
        <v>13</v>
      </c>
      <c r="J10" s="6">
        <f t="shared" ca="1" si="11"/>
        <v>40</v>
      </c>
      <c r="K10" s="442" t="s">
        <v>22</v>
      </c>
      <c r="L10" s="16" t="s">
        <v>16</v>
      </c>
      <c r="M10" s="21"/>
      <c r="N10" s="964" t="s">
        <v>1702</v>
      </c>
      <c r="O10" s="21"/>
      <c r="P10" s="21"/>
      <c r="Q10" s="964"/>
      <c r="R10" s="21"/>
      <c r="S10" s="21"/>
      <c r="T10" s="21"/>
      <c r="U10" s="21"/>
      <c r="V10" s="21"/>
      <c r="W10" s="967" t="s">
        <v>13450</v>
      </c>
      <c r="X10" s="967"/>
      <c r="Y10" s="21"/>
      <c r="Z10" s="21"/>
      <c r="AA10" s="21"/>
      <c r="AB10" s="21"/>
      <c r="AC10" s="5214"/>
      <c r="AD10" s="227" t="s">
        <v>22</v>
      </c>
      <c r="AE10" s="958" t="s">
        <v>11</v>
      </c>
      <c r="AF10" s="966"/>
      <c r="AG10" s="966"/>
      <c r="AH10" s="966"/>
      <c r="AI10" s="966"/>
      <c r="AJ10" s="966"/>
      <c r="AK10" s="966"/>
      <c r="AL10" s="21"/>
      <c r="AM10" s="21"/>
      <c r="AN10" s="21"/>
      <c r="AO10" s="5570"/>
      <c r="AP10" s="5570"/>
      <c r="AQ10" s="5570"/>
      <c r="AR10" s="5571"/>
      <c r="AS10" s="5572"/>
      <c r="AT10" s="5572"/>
      <c r="AU10" s="967" t="s">
        <v>142</v>
      </c>
      <c r="AV10" s="21"/>
      <c r="AW10" s="21"/>
      <c r="AX10" s="21"/>
      <c r="AY10" s="21"/>
      <c r="AZ10" s="968"/>
      <c r="BA10" s="968"/>
      <c r="BB10" s="967" t="s">
        <v>1703</v>
      </c>
      <c r="BC10" s="967"/>
      <c r="BD10" s="971"/>
      <c r="BE10" s="227"/>
      <c r="BF10" s="227"/>
      <c r="BG10" s="227"/>
      <c r="BH10" s="227"/>
      <c r="BI10" s="972" t="s">
        <v>574</v>
      </c>
      <c r="BJ10" s="972"/>
      <c r="BK10" s="972"/>
      <c r="BL10" s="972"/>
      <c r="BM10" s="972"/>
      <c r="BN10" s="972"/>
      <c r="BO10" s="972"/>
      <c r="BP10" s="972"/>
      <c r="BQ10" s="227"/>
      <c r="BR10" s="227"/>
      <c r="BS10" s="227"/>
      <c r="BT10" s="227"/>
      <c r="BU10" s="227"/>
      <c r="BV10" s="227"/>
      <c r="BW10" s="959" t="str">
        <f t="shared" si="10"/>
        <v>A</v>
      </c>
      <c r="BX10" s="859"/>
      <c r="BY10" s="857"/>
      <c r="BZ10" s="857"/>
      <c r="CA10" s="858"/>
      <c r="CB10" s="858"/>
      <c r="CC10" s="957"/>
      <c r="CD10" s="5576"/>
      <c r="CE10" s="5577"/>
      <c r="CF10" s="5577"/>
      <c r="CG10" s="5577"/>
      <c r="CH10" s="5577"/>
      <c r="CI10" s="5577"/>
      <c r="CJ10" s="5578"/>
      <c r="CK10" s="227"/>
      <c r="CL10" s="5576"/>
      <c r="CM10" s="5577"/>
      <c r="CN10" s="5577"/>
      <c r="CO10" s="5577"/>
      <c r="CP10" s="5577"/>
      <c r="CQ10" s="5577"/>
      <c r="CR10" s="5578"/>
      <c r="CS10" s="227"/>
      <c r="CT10" s="5576"/>
      <c r="CU10" s="5577"/>
      <c r="CV10" s="5577"/>
      <c r="CW10" s="5577"/>
      <c r="CX10" s="5577"/>
      <c r="CY10" s="5577"/>
      <c r="CZ10" s="5578"/>
      <c r="DA10" s="227"/>
      <c r="DB10" s="3">
        <v>1</v>
      </c>
    </row>
    <row r="11" spans="1:108" s="709" customFormat="1" ht="21" customHeight="1" thickBot="1">
      <c r="A11" s="936" t="s">
        <v>22</v>
      </c>
      <c r="B11" s="952" t="str">
        <f t="shared" si="9"/>
        <v>►</v>
      </c>
      <c r="C11" s="5307" t="str">
        <f>IF(ISNUMBER(IFERROR(VALUE("0,5"),"")),"sur cet ordi.saisissez une VIRGULE comme séparateur décimal",IF(ISNUMBER(IFERROR(VALUE("0.5"),"")),"sur cet ordi.saisissez un POINT comme séparateur décimal","Impossible de déterminer le séparateur décimal"))</f>
        <v>sur cet ordi.saisissez un POINT comme séparateur décimal</v>
      </c>
      <c r="D11" s="973"/>
      <c r="E11" s="973"/>
      <c r="F11" s="973"/>
      <c r="G11" s="973"/>
      <c r="H11" s="973"/>
      <c r="I11" s="973"/>
      <c r="J11" s="973"/>
      <c r="K11" s="442" t="s">
        <v>22</v>
      </c>
      <c r="L11" s="16" t="s">
        <v>16</v>
      </c>
      <c r="M11" s="20" t="s">
        <v>17</v>
      </c>
      <c r="N11" s="967" t="s">
        <v>1704</v>
      </c>
      <c r="O11" s="21"/>
      <c r="P11" s="21"/>
      <c r="Q11" s="964"/>
      <c r="R11" s="21"/>
      <c r="S11" s="21"/>
      <c r="T11" s="21"/>
      <c r="U11" s="21"/>
      <c r="V11" s="21"/>
      <c r="W11" s="21"/>
      <c r="X11" s="21"/>
      <c r="Y11" s="21"/>
      <c r="Z11" s="21"/>
      <c r="AA11" s="21"/>
      <c r="AB11" s="21"/>
      <c r="AC11" s="5214"/>
      <c r="AD11" s="227" t="s">
        <v>22</v>
      </c>
      <c r="AE11" s="958" t="s">
        <v>11</v>
      </c>
      <c r="AF11" s="966"/>
      <c r="AG11" s="966"/>
      <c r="AH11" s="966"/>
      <c r="AI11" s="966"/>
      <c r="AJ11" s="966"/>
      <c r="AK11" s="966"/>
      <c r="AL11" s="21"/>
      <c r="AM11" s="21"/>
      <c r="AN11" s="21"/>
      <c r="AO11" s="21"/>
      <c r="AP11" s="21"/>
      <c r="AQ11" s="974" t="s">
        <v>1705</v>
      </c>
      <c r="AR11" s="21"/>
      <c r="AS11" s="975" t="s">
        <v>1706</v>
      </c>
      <c r="AT11" s="21"/>
      <c r="AU11" s="967"/>
      <c r="AV11" s="21"/>
      <c r="AW11" s="21"/>
      <c r="AX11" s="21"/>
      <c r="AY11" s="21"/>
      <c r="AZ11" s="21"/>
      <c r="BA11" s="21"/>
      <c r="BB11" s="967" t="s">
        <v>1707</v>
      </c>
      <c r="BC11" s="967"/>
      <c r="BD11" s="971"/>
      <c r="BE11" s="227"/>
      <c r="BF11" s="227"/>
      <c r="BG11" s="227"/>
      <c r="BH11" s="227"/>
      <c r="BI11" s="9" t="s">
        <v>1708</v>
      </c>
      <c r="BJ11" s="9" t="s">
        <v>1708</v>
      </c>
      <c r="BK11" s="9" t="s">
        <v>1708</v>
      </c>
      <c r="BL11" s="9" t="s">
        <v>1708</v>
      </c>
      <c r="BM11" s="9" t="s">
        <v>1709</v>
      </c>
      <c r="BN11" s="9"/>
      <c r="BO11" s="9" t="s">
        <v>1710</v>
      </c>
      <c r="BP11" s="9" t="s">
        <v>1711</v>
      </c>
      <c r="BQ11" s="227"/>
      <c r="BR11" s="227"/>
      <c r="BS11" s="227"/>
      <c r="BT11" s="227"/>
      <c r="BU11" s="227"/>
      <c r="BV11" s="227"/>
      <c r="BW11" s="959" t="str">
        <f t="shared" si="10"/>
        <v>A</v>
      </c>
      <c r="BX11" s="860" t="s">
        <v>1712</v>
      </c>
      <c r="BY11" s="857"/>
      <c r="BZ11" s="857"/>
      <c r="CA11" s="858"/>
      <c r="CB11" s="858"/>
      <c r="CC11" s="957"/>
      <c r="CD11" s="5579" t="s">
        <v>1713</v>
      </c>
      <c r="CE11" s="5580"/>
      <c r="CF11" s="5580"/>
      <c r="CG11" s="5580"/>
      <c r="CH11" s="5580"/>
      <c r="CI11" s="5580"/>
      <c r="CJ11" s="5581"/>
      <c r="CK11" s="227"/>
      <c r="CL11" s="5579" t="s">
        <v>1714</v>
      </c>
      <c r="CM11" s="5580"/>
      <c r="CN11" s="5580"/>
      <c r="CO11" s="5580"/>
      <c r="CP11" s="5580"/>
      <c r="CQ11" s="5580"/>
      <c r="CR11" s="5581"/>
      <c r="CS11" s="227"/>
      <c r="CT11" s="5579" t="s">
        <v>1715</v>
      </c>
      <c r="CU11" s="5580"/>
      <c r="CV11" s="5580"/>
      <c r="CW11" s="5580"/>
      <c r="CX11" s="5580"/>
      <c r="CY11" s="5580"/>
      <c r="CZ11" s="5581"/>
      <c r="DA11" s="227"/>
      <c r="DB11" s="3">
        <v>1</v>
      </c>
    </row>
    <row r="12" spans="1:108" s="709" customFormat="1" ht="21" customHeight="1" thickBot="1">
      <c r="A12" s="936" t="s">
        <v>22</v>
      </c>
      <c r="B12" s="952" t="str">
        <f t="shared" si="9"/>
        <v>A</v>
      </c>
      <c r="C12" s="5492" t="s">
        <v>1716</v>
      </c>
      <c r="D12" s="5207" t="s">
        <v>167</v>
      </c>
      <c r="E12" s="976"/>
      <c r="F12" s="162"/>
      <c r="G12" s="162"/>
      <c r="H12" s="162"/>
      <c r="I12" s="162"/>
      <c r="J12" s="163"/>
      <c r="K12" s="442" t="s">
        <v>22</v>
      </c>
      <c r="L12" s="5215" t="s">
        <v>11</v>
      </c>
      <c r="M12" s="5216" t="s">
        <v>11</v>
      </c>
      <c r="N12" s="5216" t="s">
        <v>11</v>
      </c>
      <c r="O12" s="5216" t="s">
        <v>11</v>
      </c>
      <c r="P12" s="5216" t="s">
        <v>11</v>
      </c>
      <c r="Q12" s="5217" t="s">
        <v>2613</v>
      </c>
      <c r="R12" s="5218"/>
      <c r="S12" s="5219"/>
      <c r="T12" s="5220"/>
      <c r="U12" s="5221"/>
      <c r="V12" s="5222"/>
      <c r="W12" s="5220"/>
      <c r="X12" s="5220"/>
      <c r="Y12" s="5218"/>
      <c r="Z12" s="5218"/>
      <c r="AA12" s="5218"/>
      <c r="AB12" s="5218"/>
      <c r="AC12" s="5223" t="s">
        <v>1948</v>
      </c>
      <c r="AD12" s="227" t="s">
        <v>22</v>
      </c>
      <c r="AE12" s="958" t="s">
        <v>11</v>
      </c>
      <c r="AF12" s="977"/>
      <c r="AG12" s="977"/>
      <c r="AH12" s="977"/>
      <c r="AI12" s="977"/>
      <c r="AJ12" s="977"/>
      <c r="AK12" s="978"/>
      <c r="AL12" s="978"/>
      <c r="AM12" s="978"/>
      <c r="AN12" s="978"/>
      <c r="AO12" s="978"/>
      <c r="AP12" s="978"/>
      <c r="AQ12" s="979"/>
      <c r="AR12" s="978"/>
      <c r="AS12" s="978" t="s">
        <v>1717</v>
      </c>
      <c r="AT12" s="978"/>
      <c r="AU12" s="978"/>
      <c r="AV12" s="978"/>
      <c r="AW12" s="978"/>
      <c r="AX12" s="978"/>
      <c r="AY12" s="978"/>
      <c r="AZ12" s="978"/>
      <c r="BA12" s="978"/>
      <c r="BB12" s="978"/>
      <c r="BC12" s="978"/>
      <c r="BD12" s="980" t="str">
        <f ca="1">IF(COUNTIF(L2:BD2,"&lt;0.5")=0,"Aucune colonne masquée",COUNTIF(L2:BD2,"&lt;0.5")&amp;" colonnes masquées : "&amp;(BA13&amp;BB13&amp;BC13))</f>
        <v>Aucune colonne masquée</v>
      </c>
      <c r="BE12" s="227"/>
      <c r="BF12" s="981" t="s">
        <v>1718</v>
      </c>
      <c r="BG12" s="982"/>
      <c r="BH12" s="227"/>
      <c r="BI12" s="231" t="s">
        <v>1719</v>
      </c>
      <c r="BJ12" s="231" t="s">
        <v>1719</v>
      </c>
      <c r="BK12" s="231" t="s">
        <v>1719</v>
      </c>
      <c r="BL12" s="231" t="s">
        <v>1708</v>
      </c>
      <c r="BM12" s="231" t="s">
        <v>1720</v>
      </c>
      <c r="BN12" s="231"/>
      <c r="BO12" s="231" t="s">
        <v>1721</v>
      </c>
      <c r="BP12" s="231" t="s">
        <v>1722</v>
      </c>
      <c r="BQ12" s="227"/>
      <c r="BR12" s="227"/>
      <c r="BS12" s="227"/>
      <c r="BT12" s="227"/>
      <c r="BU12" s="227"/>
      <c r="BV12" s="227"/>
      <c r="BW12" s="959" t="str">
        <f t="shared" si="10"/>
        <v>A</v>
      </c>
      <c r="BX12" s="861"/>
      <c r="BY12" s="857"/>
      <c r="BZ12" s="857"/>
      <c r="CA12" s="858"/>
      <c r="CB12" s="858"/>
      <c r="CC12" s="957"/>
      <c r="CD12" s="983" t="s">
        <v>1723</v>
      </c>
      <c r="CE12" s="984"/>
      <c r="CF12" s="984"/>
      <c r="CG12" s="984"/>
      <c r="CH12" s="984"/>
      <c r="CI12" s="984"/>
      <c r="CJ12" s="985"/>
      <c r="CK12" s="227"/>
      <c r="CL12" s="983" t="s">
        <v>1724</v>
      </c>
      <c r="CM12" s="984"/>
      <c r="CN12" s="984"/>
      <c r="CO12" s="984"/>
      <c r="CP12" s="984"/>
      <c r="CQ12" s="984"/>
      <c r="CR12" s="985"/>
      <c r="CS12" s="227"/>
      <c r="CT12" s="983" t="s">
        <v>1725</v>
      </c>
      <c r="CU12" s="984"/>
      <c r="CV12" s="984"/>
      <c r="CW12" s="984"/>
      <c r="CX12" s="984"/>
      <c r="CY12" s="984"/>
      <c r="CZ12" s="985"/>
      <c r="DA12" s="227"/>
      <c r="DB12" s="3">
        <v>1</v>
      </c>
    </row>
    <row r="13" spans="1:108" s="709" customFormat="1" ht="21" customHeight="1" thickBot="1">
      <c r="A13" s="936" t="s">
        <v>22</v>
      </c>
      <c r="B13" s="952" t="str">
        <f t="shared" si="9"/>
        <v>A</v>
      </c>
      <c r="C13" s="5493"/>
      <c r="D13" s="161" t="s">
        <v>2616</v>
      </c>
      <c r="E13" s="168"/>
      <c r="F13" s="168"/>
      <c r="G13" s="168"/>
      <c r="H13" s="5306" t="str">
        <f>IF(ISNUMBER(IFERROR(VALUE("0,5"),"")),"sur cet ordi.saisissez une VIRGULE comme séparateur décimal",IF(ISNUMBER(IFERROR(VALUE("0.5"),"")),"sur cet ordi.saisissez un POINT comme séparateur décimal","Impossible de déterminer le séparateur décimal"))</f>
        <v>sur cet ordi.saisissez un POINT comme séparateur décimal</v>
      </c>
      <c r="I13" s="168"/>
      <c r="J13" s="169"/>
      <c r="K13" s="442" t="s">
        <v>22</v>
      </c>
      <c r="L13" s="22" t="s">
        <v>11</v>
      </c>
      <c r="M13" s="23" t="str">
        <f>M19</f>
        <v>C Coquetiers de l'Antoine | | Auteur &gt; Guy KRENZE - Eric GODDYN - Arnaud NICOLAS - CEPROC 2002</v>
      </c>
      <c r="N13" s="24">
        <f>N19</f>
        <v>20</v>
      </c>
      <c r="O13" s="24" t="str">
        <f>O19</f>
        <v>coquetiers de 25 g</v>
      </c>
      <c r="P13" s="25" t="str">
        <f>P19</f>
        <v>Recette mère ► le Boudin en 4 déclinaisons</v>
      </c>
      <c r="Q13" s="26" t="s">
        <v>23</v>
      </c>
      <c r="R13" s="5471" t="s">
        <v>12834</v>
      </c>
      <c r="S13" s="5471"/>
      <c r="T13" s="5471"/>
      <c r="U13" s="5471"/>
      <c r="V13" s="5471"/>
      <c r="W13" s="5471"/>
      <c r="X13" s="5473" t="s">
        <v>1031</v>
      </c>
      <c r="Y13" s="5473"/>
      <c r="Z13" s="5475" t="str">
        <f>UPPER(LEFT(R13,1))</f>
        <v>C</v>
      </c>
      <c r="AA13" s="5211"/>
      <c r="AB13" s="1178"/>
      <c r="AC13" s="1179"/>
      <c r="AD13" s="227" t="s">
        <v>22</v>
      </c>
      <c r="AE13" s="958" t="s">
        <v>11</v>
      </c>
      <c r="AF13" s="977"/>
      <c r="AG13" s="977"/>
      <c r="AH13" s="977"/>
      <c r="AI13" s="977"/>
      <c r="AJ13" s="977"/>
      <c r="AK13" s="986"/>
      <c r="AL13" s="978"/>
      <c r="AM13" s="978"/>
      <c r="AN13" s="978"/>
      <c r="AO13" s="978"/>
      <c r="AP13" s="978"/>
      <c r="AQ13" s="978"/>
      <c r="AR13" s="978"/>
      <c r="AS13" s="978"/>
      <c r="AT13" s="978"/>
      <c r="AU13" s="978"/>
      <c r="AV13" s="978"/>
      <c r="AW13" s="978"/>
      <c r="AX13" s="978"/>
      <c r="AY13" s="978"/>
      <c r="AZ13" s="987"/>
      <c r="BA13" s="987" t="str">
        <f ca="1">IF(M2&lt;0.5,M1&amp;".","")&amp;IF(N2&lt;0.5,N1&amp;".","")&amp;IF(O2&lt;0.5,O1&amp;".","")&amp;IF(P2&lt;0.5,P1&amp;".","")&amp;IF(Q2&lt;0.5,Q1&amp;".","")&amp;IF(R2&lt;0.5,R1&amp;".","")&amp;IF(S2&lt;0.5,S1&amp;".","")&amp;IF(T2&lt;0.5,T1&amp;".","")&amp;IF(U2&lt;0.5,U1&amp;".","")&amp;IF(V2&lt;0.5,V1&amp;".","")&amp;IF(W2&lt;0.5,W1&amp;".","")&amp;IF(X2&lt;0.5,X1&amp;".","")&amp;IF(Y2&lt;0.5,Y1&amp;".","")&amp;IF(Z2&lt;0.5,Z1&amp;".","")&amp;IF(AA2&lt;0.5,AA1&amp;".","")&amp;IF(AB2&lt;0.5,AB1&amp;".","")&amp;IF(AC2&lt;0.5,AC1&amp;".","")</f>
        <v/>
      </c>
      <c r="BB13" s="987" t="str">
        <f ca="1">IF(AS2&lt;0.5,AS1&amp;".","")&amp;IF(AT2&lt;0.5,AT1&amp;".","")&amp;IF(AU2&lt;0.5,AU1&amp;".","")&amp;IF(AV2&lt;0.5,AV1&amp;".","")&amp;IF(AE2&lt;0.5,AE1&amp;".","")&amp;IF(AF2&lt;0.5,AF1&amp;".","")&amp;IF(AG2&lt;0.5,AG1&amp;".","")&amp;IF(AH2&lt;0.5,AH1&amp;".","")&amp;IF(AI2&lt;0.5,AI1&amp;".","")&amp;IF(AJ2&lt;0.5,AJ1&amp;".","")&amp;IF(AK2&lt;0.5,AK1&amp;".","")&amp;IF(AL2&lt;0.5,AL1&amp;".","")&amp;IF(AM2&lt;0.5,AM1&amp;".","")&amp;IF(AN2&lt;0.5,AN1&amp;".","")&amp;IF(AO2&lt;0.5,AO1&amp;".","")&amp;IF(AP2&lt;0.5,AP1&amp;".","")&amp;IF(AQ2&lt;0.5,AQ1&amp;".","")</f>
        <v/>
      </c>
      <c r="BC13" s="987" t="str">
        <f ca="1">IF(AR2&lt;0.5,AR1&amp;".","")&amp;IF(AS2&lt;0.5,AS1&amp;".","")&amp;IF(AT2&lt;0.5,AT1&amp;".","")&amp;IF(AU2&lt;0.5,AU1&amp;".","")&amp;IF(AV2&lt;0.5,AV1&amp;".","")&amp;IF(AW2&lt;0.5,AW1&amp;".","")&amp;IF(AX2&lt;0.5,AX1&amp;".","")&amp;IF(AY2&lt;0.5,AY1&amp;".","")&amp;IF(AZ2&lt;0.5,AZ1&amp;".","")&amp;IF(BA2&lt;0.5,BA1&amp;".","")&amp;IF(BB2&lt;0.5,BB1&amp;".","")&amp;IF(BC2&lt;0.5,BC1&amp;".","")&amp;IF(BD2&lt;0.5,BD1&amp;".","")</f>
        <v/>
      </c>
      <c r="BD13" s="980" t="str">
        <f ca="1">ROWS(L5:L550)-SUBTOTAL(103,L5:L550)&amp;" "&amp;"Lignes masquées"</f>
        <v>0 Lignes masquées</v>
      </c>
      <c r="BE13" s="227"/>
      <c r="BF13" s="981" t="s">
        <v>1726</v>
      </c>
      <c r="BG13" s="982"/>
      <c r="BH13" s="227"/>
      <c r="BI13" s="988" t="s">
        <v>1727</v>
      </c>
      <c r="BJ13" s="988" t="s">
        <v>1728</v>
      </c>
      <c r="BK13" s="988" t="s">
        <v>1729</v>
      </c>
      <c r="BL13" s="988" t="s">
        <v>1730</v>
      </c>
      <c r="BM13" s="989" t="s">
        <v>1731</v>
      </c>
      <c r="BN13" s="989"/>
      <c r="BO13" s="988" t="s">
        <v>1732</v>
      </c>
      <c r="BP13" s="988" t="s">
        <v>1733</v>
      </c>
      <c r="BQ13" s="227"/>
      <c r="BR13" s="227"/>
      <c r="BS13" s="227"/>
      <c r="BT13" s="227"/>
      <c r="BU13" s="227"/>
      <c r="BV13" s="227"/>
      <c r="BW13" s="959" t="str">
        <f t="shared" si="10"/>
        <v>A</v>
      </c>
      <c r="BX13" s="860" t="s">
        <v>1734</v>
      </c>
      <c r="BY13" s="857"/>
      <c r="BZ13" s="857"/>
      <c r="CA13" s="858"/>
      <c r="CB13" s="858"/>
      <c r="CC13" s="957"/>
      <c r="CD13" s="990" t="s">
        <v>1735</v>
      </c>
      <c r="CE13" s="991"/>
      <c r="CF13" s="991"/>
      <c r="CG13" s="991"/>
      <c r="CH13" s="991"/>
      <c r="CI13" s="991"/>
      <c r="CJ13" s="992"/>
      <c r="CK13" s="227"/>
      <c r="CL13" s="990" t="s">
        <v>1736</v>
      </c>
      <c r="CM13" s="991"/>
      <c r="CN13" s="991"/>
      <c r="CO13" s="991"/>
      <c r="CP13" s="991"/>
      <c r="CQ13" s="991"/>
      <c r="CR13" s="992"/>
      <c r="CS13" s="227"/>
      <c r="CT13" s="990" t="s">
        <v>1737</v>
      </c>
      <c r="CU13" s="991"/>
      <c r="CV13" s="991"/>
      <c r="CW13" s="991"/>
      <c r="CX13" s="991"/>
      <c r="CY13" s="991"/>
      <c r="CZ13" s="992"/>
      <c r="DA13" s="227"/>
      <c r="DB13" s="3">
        <v>1</v>
      </c>
    </row>
    <row r="14" spans="1:108" s="709" customFormat="1" ht="21" customHeight="1" thickTop="1" thickBot="1">
      <c r="A14" s="936" t="s">
        <v>22</v>
      </c>
      <c r="B14" s="952" t="str">
        <f t="shared" si="9"/>
        <v>A</v>
      </c>
      <c r="C14" s="993" cm="1">
        <f t="array" ref="C14">SUMPRODUCT(LEN(D14:J14))</f>
        <v>0</v>
      </c>
      <c r="D14" s="167"/>
      <c r="E14" s="172"/>
      <c r="F14" s="172"/>
      <c r="G14" s="172"/>
      <c r="H14" s="172"/>
      <c r="I14" s="172"/>
      <c r="J14" s="173"/>
      <c r="K14" s="442" t="s">
        <v>22</v>
      </c>
      <c r="L14" s="27" t="s">
        <v>11</v>
      </c>
      <c r="M14" s="28" t="str">
        <f>M19</f>
        <v>C Coquetiers de l'Antoine | | Auteur &gt; Guy KRENZE - Eric GODDYN - Arnaud NICOLAS - CEPROC 2002</v>
      </c>
      <c r="N14" s="29">
        <f>N19</f>
        <v>20</v>
      </c>
      <c r="O14" s="29" t="str">
        <f>O19</f>
        <v>coquetiers de 25 g</v>
      </c>
      <c r="P14" s="30" t="str">
        <f>P19</f>
        <v>Recette mère ► le Boudin en 4 déclinaisons</v>
      </c>
      <c r="Q14" s="31" t="s">
        <v>29</v>
      </c>
      <c r="R14" s="5472"/>
      <c r="S14" s="5472"/>
      <c r="T14" s="5472"/>
      <c r="U14" s="5472"/>
      <c r="V14" s="5472"/>
      <c r="W14" s="5472"/>
      <c r="X14" s="5474"/>
      <c r="Y14" s="5474"/>
      <c r="Z14" s="5476"/>
      <c r="AA14" s="5211"/>
      <c r="AB14" s="1178"/>
      <c r="AC14" s="1179"/>
      <c r="AD14" s="227" t="s">
        <v>22</v>
      </c>
      <c r="AE14" s="958" t="s">
        <v>11</v>
      </c>
      <c r="AF14" s="5521" t="s">
        <v>867</v>
      </c>
      <c r="AG14" s="5204"/>
      <c r="AH14" s="5204"/>
      <c r="AI14" s="5204"/>
      <c r="AJ14" s="994"/>
      <c r="AK14" s="5527" t="s">
        <v>1738</v>
      </c>
      <c r="AL14" s="5528"/>
      <c r="AM14" s="5528"/>
      <c r="AN14" s="5528"/>
      <c r="AO14" s="5528"/>
      <c r="AP14" s="5534" t="s">
        <v>1739</v>
      </c>
      <c r="AQ14" s="5534"/>
      <c r="AR14" s="5565" t="s">
        <v>13465</v>
      </c>
      <c r="AS14" s="5565"/>
      <c r="AT14" s="5500" t="s">
        <v>1740</v>
      </c>
      <c r="AU14" s="5500"/>
      <c r="AV14" s="5567" t="s">
        <v>1741</v>
      </c>
      <c r="AW14" s="5505" t="s">
        <v>1742</v>
      </c>
      <c r="AX14" s="5507" t="s">
        <v>1743</v>
      </c>
      <c r="AY14" s="5508"/>
      <c r="AZ14" s="5511" t="s">
        <v>244</v>
      </c>
      <c r="BA14" s="5513" t="s">
        <v>1744</v>
      </c>
      <c r="BB14" s="5515" t="s">
        <v>1745</v>
      </c>
      <c r="BC14" s="5517" t="s">
        <v>1746</v>
      </c>
      <c r="BD14" s="5519" t="s">
        <v>867</v>
      </c>
      <c r="BE14" s="227"/>
      <c r="BF14" s="981" t="s">
        <v>1747</v>
      </c>
      <c r="BG14" s="982"/>
      <c r="BH14" s="227"/>
      <c r="BI14" s="5250" t="str">
        <f t="shared" ref="BI14:BP14" si="12">SUBSTITUTE(ADDRESS(1,COLUMN(),4),"1","")</f>
        <v>BI</v>
      </c>
      <c r="BJ14" s="5250" t="str">
        <f t="shared" si="12"/>
        <v>BJ</v>
      </c>
      <c r="BK14" s="5250" t="str">
        <f t="shared" si="12"/>
        <v>BK</v>
      </c>
      <c r="BL14" s="5250" t="str">
        <f t="shared" si="12"/>
        <v>BL</v>
      </c>
      <c r="BM14" s="5250" t="str">
        <f t="shared" si="12"/>
        <v>BM</v>
      </c>
      <c r="BN14" s="5250" t="str">
        <f t="shared" si="12"/>
        <v>BN</v>
      </c>
      <c r="BO14" s="5250" t="str">
        <f t="shared" si="12"/>
        <v>BO</v>
      </c>
      <c r="BP14" s="5250" t="str">
        <f t="shared" si="12"/>
        <v>BP</v>
      </c>
      <c r="BQ14" s="227" t="s">
        <v>13466</v>
      </c>
      <c r="BR14" s="227"/>
      <c r="BS14" s="227"/>
      <c r="BT14" s="227"/>
      <c r="BU14" s="227"/>
      <c r="BV14" s="227"/>
      <c r="BW14" s="959" t="str">
        <f t="shared" si="10"/>
        <v>A</v>
      </c>
      <c r="BX14" s="861"/>
      <c r="BY14" s="861"/>
      <c r="BZ14" s="857"/>
      <c r="CA14" s="858"/>
      <c r="CB14" s="858"/>
      <c r="CC14" s="957"/>
      <c r="CD14" s="862"/>
      <c r="CE14" s="861"/>
      <c r="CF14" s="861"/>
      <c r="CG14" s="861"/>
      <c r="CH14" s="861"/>
      <c r="CI14" s="861"/>
      <c r="CJ14" s="995"/>
      <c r="CK14" s="227"/>
      <c r="CL14" s="862"/>
      <c r="CM14" s="861"/>
      <c r="CN14" s="861"/>
      <c r="CO14" s="861"/>
      <c r="CP14" s="861"/>
      <c r="CQ14" s="861"/>
      <c r="CR14" s="995"/>
      <c r="CS14" s="227"/>
      <c r="CT14" s="862"/>
      <c r="CU14" s="861"/>
      <c r="CV14" s="861"/>
      <c r="CW14" s="861"/>
      <c r="CX14" s="861"/>
      <c r="CY14" s="861"/>
      <c r="CZ14" s="995"/>
      <c r="DA14" s="227"/>
      <c r="DB14" s="3">
        <v>1</v>
      </c>
    </row>
    <row r="15" spans="1:108" s="709" customFormat="1" ht="21" customHeight="1" thickBot="1">
      <c r="A15" s="936" t="s">
        <v>22</v>
      </c>
      <c r="B15" s="952" t="str">
        <f t="shared" si="9"/>
        <v>A</v>
      </c>
      <c r="C15" s="993" cm="1">
        <f t="array" ref="C15">SUMPRODUCT(LEN(D15:J15))</f>
        <v>0</v>
      </c>
      <c r="D15" s="167"/>
      <c r="E15" s="172"/>
      <c r="F15" s="172"/>
      <c r="G15" s="172"/>
      <c r="H15" s="172"/>
      <c r="I15" s="172"/>
      <c r="J15" s="173"/>
      <c r="K15" s="442" t="s">
        <v>22</v>
      </c>
      <c r="L15" s="27" t="s">
        <v>11</v>
      </c>
      <c r="M15" s="5310" t="str">
        <f>M19</f>
        <v>C Coquetiers de l'Antoine | | Auteur &gt; Guy KRENZE - Eric GODDYN - Arnaud NICOLAS - CEPROC 2002</v>
      </c>
      <c r="N15" s="5310">
        <f>N19</f>
        <v>20</v>
      </c>
      <c r="O15" s="5311" t="str">
        <f>O19</f>
        <v>coquetiers de 25 g</v>
      </c>
      <c r="P15" s="5312" t="str">
        <f>P19</f>
        <v>Recette mère ► le Boudin en 4 déclinaisons</v>
      </c>
      <c r="Q15" s="5313"/>
      <c r="R15" s="5314" t="s">
        <v>30</v>
      </c>
      <c r="S15" s="37"/>
      <c r="T15" s="38" t="s">
        <v>31</v>
      </c>
      <c r="U15" s="39" t="s">
        <v>12835</v>
      </c>
      <c r="V15" s="9"/>
      <c r="W15" s="39"/>
      <c r="X15" s="39"/>
      <c r="Y15" s="40"/>
      <c r="Z15" s="41"/>
      <c r="AA15" s="5211"/>
      <c r="AB15" s="1178"/>
      <c r="AC15" s="1179"/>
      <c r="AD15" s="227" t="s">
        <v>22</v>
      </c>
      <c r="AE15" s="958" t="s">
        <v>11</v>
      </c>
      <c r="AF15" s="5564"/>
      <c r="AG15" s="5205"/>
      <c r="AH15" s="5205"/>
      <c r="AI15" s="5205"/>
      <c r="AJ15" s="996"/>
      <c r="AK15" s="5530"/>
      <c r="AL15" s="5531"/>
      <c r="AM15" s="5531"/>
      <c r="AN15" s="5531"/>
      <c r="AO15" s="5531"/>
      <c r="AP15" s="5536"/>
      <c r="AQ15" s="5536"/>
      <c r="AR15" s="5566"/>
      <c r="AS15" s="5566"/>
      <c r="AT15" s="5501"/>
      <c r="AU15" s="5501"/>
      <c r="AV15" s="5568"/>
      <c r="AW15" s="5506"/>
      <c r="AX15" s="5509"/>
      <c r="AY15" s="5510"/>
      <c r="AZ15" s="5512"/>
      <c r="BA15" s="5514"/>
      <c r="BB15" s="5516"/>
      <c r="BC15" s="5518"/>
      <c r="BD15" s="5520"/>
      <c r="BE15" s="227"/>
      <c r="BF15" s="981" t="s">
        <v>1748</v>
      </c>
      <c r="BG15" s="982"/>
      <c r="BI15" s="5230" t="s">
        <v>13451</v>
      </c>
      <c r="BJ15" s="5230" t="s">
        <v>13452</v>
      </c>
      <c r="BK15" s="5230" t="s">
        <v>13453</v>
      </c>
      <c r="BL15" s="997">
        <v>1</v>
      </c>
      <c r="BM15" s="863" t="s">
        <v>1751</v>
      </c>
      <c r="BN15" s="863"/>
      <c r="BO15" s="998">
        <f t="shared" ref="BO15:BO23" si="13">ROUND(1/BL15,0)</f>
        <v>1</v>
      </c>
      <c r="BP15" s="999"/>
      <c r="BQ15" s="5230" t="s">
        <v>868</v>
      </c>
      <c r="BR15" s="5230" t="s">
        <v>1749</v>
      </c>
      <c r="BS15" s="5230" t="s">
        <v>1750</v>
      </c>
      <c r="BT15" s="5231">
        <v>0.5</v>
      </c>
      <c r="BU15" s="227"/>
      <c r="BV15" s="227"/>
      <c r="BW15" s="959" t="str">
        <f t="shared" si="10"/>
        <v>A</v>
      </c>
      <c r="BX15" s="860" t="s">
        <v>1752</v>
      </c>
      <c r="BY15" s="857"/>
      <c r="BZ15" s="857"/>
      <c r="CA15" s="858"/>
      <c r="CB15" s="858"/>
      <c r="CC15" s="957"/>
      <c r="CD15" s="862" t="s">
        <v>1753</v>
      </c>
      <c r="CE15" s="1000"/>
      <c r="CF15" s="1000"/>
      <c r="CG15" s="1000"/>
      <c r="CH15" s="1000"/>
      <c r="CI15" s="1000"/>
      <c r="CJ15" s="1001"/>
      <c r="CK15" s="227"/>
      <c r="CL15" s="862" t="s">
        <v>1754</v>
      </c>
      <c r="CM15" s="1000"/>
      <c r="CN15" s="1000"/>
      <c r="CO15" s="1000"/>
      <c r="CP15" s="1000"/>
      <c r="CQ15" s="1000"/>
      <c r="CR15" s="1001"/>
      <c r="CS15" s="227"/>
      <c r="CT15" s="862" t="s">
        <v>1755</v>
      </c>
      <c r="CU15" s="1000"/>
      <c r="CV15" s="1000"/>
      <c r="CW15" s="1000"/>
      <c r="CX15" s="1000"/>
      <c r="CY15" s="1000"/>
      <c r="CZ15" s="1001"/>
      <c r="DA15" s="227"/>
      <c r="DB15" s="3">
        <v>1</v>
      </c>
    </row>
    <row r="16" spans="1:108" s="709" customFormat="1" ht="21" customHeight="1" thickTop="1">
      <c r="A16" s="936" t="s">
        <v>22</v>
      </c>
      <c r="B16" s="952" t="str">
        <f t="shared" si="9"/>
        <v>A</v>
      </c>
      <c r="C16" s="993" cm="1">
        <f t="array" ref="C16">SUMPRODUCT(LEN(D16:J16))</f>
        <v>0</v>
      </c>
      <c r="D16" s="167"/>
      <c r="E16" s="172"/>
      <c r="F16" s="172"/>
      <c r="G16" s="172"/>
      <c r="H16" s="172"/>
      <c r="I16" s="172"/>
      <c r="J16" s="173"/>
      <c r="K16" s="442" t="s">
        <v>22</v>
      </c>
      <c r="L16" s="27" t="s">
        <v>11</v>
      </c>
      <c r="M16" s="32" t="str">
        <f>M19</f>
        <v>C Coquetiers de l'Antoine | | Auteur &gt; Guy KRENZE - Eric GODDYN - Arnaud NICOLAS - CEPROC 2002</v>
      </c>
      <c r="N16" s="33">
        <f>N19</f>
        <v>20</v>
      </c>
      <c r="O16" s="33" t="str">
        <f>O19</f>
        <v>coquetiers de 25 g</v>
      </c>
      <c r="P16" s="34" t="str">
        <f>P19</f>
        <v>Recette mère ► le Boudin en 4 déclinaisons</v>
      </c>
      <c r="Q16" s="42" t="s">
        <v>32</v>
      </c>
      <c r="R16" s="43"/>
      <c r="S16" s="43"/>
      <c r="T16" s="44" t="s">
        <v>33</v>
      </c>
      <c r="U16" s="5477" t="str">
        <f>V19&amp;" "&amp;W19&amp;" ► Famille = "&amp;X13&amp;" ► "&amp;R13&amp;" "&amp; "pour "&amp;X17&amp;" "&amp;Y17</f>
        <v>Recette mère ► le Boudin en 4 déclinaisons ► Famille =  charcuterie-BOUDIN-NOIR ► Coquetiers de l'Antoine pour 20 coquetiers de 25 g</v>
      </c>
      <c r="V16" s="5477"/>
      <c r="W16" s="5477"/>
      <c r="X16" s="5039" t="s">
        <v>3306</v>
      </c>
      <c r="Y16" s="40"/>
      <c r="Z16" s="1472"/>
      <c r="AA16" s="5211"/>
      <c r="AB16" s="1178"/>
      <c r="AC16" s="1179"/>
      <c r="AD16" s="227" t="s">
        <v>22</v>
      </c>
      <c r="AE16" s="958" t="s">
        <v>11</v>
      </c>
      <c r="AF16" s="5521" t="s">
        <v>869</v>
      </c>
      <c r="AG16" s="5204"/>
      <c r="AH16" s="5204"/>
      <c r="AI16" s="5204"/>
      <c r="AJ16" s="994"/>
      <c r="AK16" s="5527" t="s">
        <v>1756</v>
      </c>
      <c r="AL16" s="5528"/>
      <c r="AM16" s="5528"/>
      <c r="AN16" s="5528"/>
      <c r="AO16" s="5528"/>
      <c r="AP16" s="5534" t="s">
        <v>1757</v>
      </c>
      <c r="AQ16" s="5534"/>
      <c r="AR16" s="5565" t="s">
        <v>13467</v>
      </c>
      <c r="AS16" s="5565"/>
      <c r="AT16" s="5500" t="s">
        <v>1758</v>
      </c>
      <c r="AU16" s="5500"/>
      <c r="AV16" s="5567" t="s">
        <v>1759</v>
      </c>
      <c r="AW16" s="5505" t="s">
        <v>1760</v>
      </c>
      <c r="AX16" s="5507" t="s">
        <v>1761</v>
      </c>
      <c r="AY16" s="5508"/>
      <c r="AZ16" s="5511" t="s">
        <v>249</v>
      </c>
      <c r="BA16" s="5513" t="s">
        <v>1762</v>
      </c>
      <c r="BB16" s="5515" t="s">
        <v>1763</v>
      </c>
      <c r="BC16" s="5517" t="s">
        <v>1764</v>
      </c>
      <c r="BD16" s="5519" t="s">
        <v>869</v>
      </c>
      <c r="BE16" s="227"/>
      <c r="BF16" s="227"/>
      <c r="BG16" s="227"/>
      <c r="BI16" s="5230" t="s">
        <v>870</v>
      </c>
      <c r="BJ16" s="5230" t="s">
        <v>1765</v>
      </c>
      <c r="BK16" s="5230" t="s">
        <v>1766</v>
      </c>
      <c r="BL16" s="1002">
        <v>0.25</v>
      </c>
      <c r="BM16" s="864" t="s">
        <v>1751</v>
      </c>
      <c r="BN16" s="864"/>
      <c r="BO16" s="1003">
        <f t="shared" si="13"/>
        <v>4</v>
      </c>
      <c r="BP16" s="1004"/>
      <c r="BR16" s="852"/>
      <c r="BS16" s="852"/>
      <c r="BT16" s="852"/>
      <c r="BU16" s="852"/>
      <c r="BV16" s="852"/>
      <c r="BW16" s="959" t="str">
        <f t="shared" si="10"/>
        <v>A</v>
      </c>
      <c r="BX16" s="1005"/>
      <c r="BY16" s="1005"/>
      <c r="BZ16" s="1005"/>
      <c r="CA16" s="1005"/>
      <c r="CB16" s="1005"/>
      <c r="CC16" s="957"/>
      <c r="CD16" s="862"/>
      <c r="CE16" s="1000"/>
      <c r="CF16" s="1000"/>
      <c r="CG16" s="1000"/>
      <c r="CH16" s="1000"/>
      <c r="CI16" s="1000"/>
      <c r="CJ16" s="1001"/>
      <c r="CK16" s="227"/>
      <c r="CL16" s="862"/>
      <c r="CM16" s="1000"/>
      <c r="CN16" s="1000"/>
      <c r="CO16" s="1000"/>
      <c r="CP16" s="1000"/>
      <c r="CQ16" s="1000"/>
      <c r="CR16" s="1001"/>
      <c r="CS16" s="227"/>
      <c r="CT16" s="862"/>
      <c r="CU16" s="1000"/>
      <c r="CV16" s="1000"/>
      <c r="CW16" s="1000"/>
      <c r="CX16" s="1000"/>
      <c r="CY16" s="1000"/>
      <c r="CZ16" s="1001"/>
      <c r="DA16" s="227"/>
      <c r="DB16" s="3">
        <v>1</v>
      </c>
    </row>
    <row r="17" spans="1:106" s="709" customFormat="1" ht="21" customHeight="1" thickBot="1">
      <c r="A17" s="936" t="s">
        <v>22</v>
      </c>
      <c r="B17" s="952" t="str">
        <f t="shared" si="9"/>
        <v>A</v>
      </c>
      <c r="C17" s="993" cm="1">
        <f t="array" ref="C17">SUMPRODUCT(LEN(D17:J17))</f>
        <v>0</v>
      </c>
      <c r="D17" s="167"/>
      <c r="E17" s="172"/>
      <c r="F17" s="172"/>
      <c r="G17" s="172"/>
      <c r="H17" s="172"/>
      <c r="I17" s="172"/>
      <c r="J17" s="173"/>
      <c r="K17" s="442" t="s">
        <v>22</v>
      </c>
      <c r="L17" s="27" t="s">
        <v>11</v>
      </c>
      <c r="M17" s="32" t="str">
        <f>M19</f>
        <v>C Coquetiers de l'Antoine | | Auteur &gt; Guy KRENZE - Eric GODDYN - Arnaud NICOLAS - CEPROC 2002</v>
      </c>
      <c r="N17" s="33">
        <f>N19</f>
        <v>20</v>
      </c>
      <c r="O17" s="33" t="str">
        <f>O19</f>
        <v>coquetiers de 25 g</v>
      </c>
      <c r="P17" s="34" t="str">
        <f>P19</f>
        <v>Recette mère ► le Boudin en 4 déclinaisons</v>
      </c>
      <c r="Q17" s="50">
        <v>20</v>
      </c>
      <c r="R17" s="51" t="s">
        <v>12830</v>
      </c>
      <c r="S17" s="42"/>
      <c r="T17" s="42"/>
      <c r="U17" s="5477"/>
      <c r="V17" s="5477"/>
      <c r="W17" s="5477"/>
      <c r="X17" s="46">
        <v>20</v>
      </c>
      <c r="Y17" s="5478" t="str">
        <f>R17</f>
        <v>coquetiers de 25 g</v>
      </c>
      <c r="Z17" s="5479"/>
      <c r="AA17" s="5211"/>
      <c r="AB17" s="1178"/>
      <c r="AC17" s="1179"/>
      <c r="AD17" s="227" t="s">
        <v>22</v>
      </c>
      <c r="AE17" s="958" t="s">
        <v>11</v>
      </c>
      <c r="AF17" s="5569"/>
      <c r="AG17" s="977"/>
      <c r="AH17" s="977"/>
      <c r="AI17" s="977"/>
      <c r="AJ17" s="1006"/>
      <c r="AK17" s="5530"/>
      <c r="AL17" s="5531"/>
      <c r="AM17" s="5531"/>
      <c r="AN17" s="5531"/>
      <c r="AO17" s="5531"/>
      <c r="AP17" s="5536"/>
      <c r="AQ17" s="5536"/>
      <c r="AR17" s="5566"/>
      <c r="AS17" s="5566"/>
      <c r="AT17" s="5501"/>
      <c r="AU17" s="5501"/>
      <c r="AV17" s="5568"/>
      <c r="AW17" s="5506"/>
      <c r="AX17" s="5509"/>
      <c r="AY17" s="5510"/>
      <c r="AZ17" s="5512"/>
      <c r="BA17" s="5514"/>
      <c r="BB17" s="5516"/>
      <c r="BC17" s="5518"/>
      <c r="BD17" s="5520"/>
      <c r="BE17" s="227"/>
      <c r="BF17" s="227"/>
      <c r="BG17" s="227"/>
      <c r="BI17" s="5230" t="s">
        <v>871</v>
      </c>
      <c r="BJ17" s="5230" t="s">
        <v>1767</v>
      </c>
      <c r="BK17" s="5230" t="s">
        <v>1768</v>
      </c>
      <c r="BL17" s="1002">
        <v>0.33</v>
      </c>
      <c r="BM17" s="864" t="s">
        <v>1751</v>
      </c>
      <c r="BN17" s="864"/>
      <c r="BO17" s="1003">
        <f t="shared" si="13"/>
        <v>3</v>
      </c>
      <c r="BP17" s="1004"/>
      <c r="BR17" s="852"/>
      <c r="BS17" s="852"/>
      <c r="BT17" s="852"/>
      <c r="BU17" s="852"/>
      <c r="BV17" s="852"/>
      <c r="BW17" s="959" t="str">
        <f t="shared" si="10"/>
        <v>A</v>
      </c>
      <c r="BX17" s="1007" t="s">
        <v>1769</v>
      </c>
      <c r="BY17" s="861"/>
      <c r="BZ17" s="861"/>
      <c r="CA17" s="861"/>
      <c r="CB17" s="861"/>
      <c r="CC17" s="957"/>
      <c r="CD17" s="1008" t="s">
        <v>1770</v>
      </c>
      <c r="CE17" s="1009"/>
      <c r="CF17" s="1000"/>
      <c r="CG17" s="1000"/>
      <c r="CH17" s="1000"/>
      <c r="CI17" s="1000"/>
      <c r="CJ17" s="1001"/>
      <c r="CK17" s="227"/>
      <c r="CL17" s="1008" t="s">
        <v>1771</v>
      </c>
      <c r="CM17" s="1009"/>
      <c r="CN17" s="1000"/>
      <c r="CO17" s="1000"/>
      <c r="CP17" s="1000"/>
      <c r="CQ17" s="1000"/>
      <c r="CR17" s="1001"/>
      <c r="CS17" s="227"/>
      <c r="CT17" s="1008" t="s">
        <v>1772</v>
      </c>
      <c r="CU17" s="1009"/>
      <c r="CV17" s="1000"/>
      <c r="CW17" s="1000"/>
      <c r="CX17" s="1000"/>
      <c r="CY17" s="1000"/>
      <c r="CZ17" s="1001"/>
      <c r="DA17" s="227"/>
      <c r="DB17" s="3">
        <v>1</v>
      </c>
    </row>
    <row r="18" spans="1:106" s="709" customFormat="1" ht="21" customHeight="1" thickTop="1" thickBot="1">
      <c r="A18" s="936" t="s">
        <v>22</v>
      </c>
      <c r="B18" s="952" t="str">
        <f t="shared" si="9"/>
        <v>►</v>
      </c>
      <c r="C18" s="993" cm="1">
        <f t="array" ref="C18">SUMPRODUCT(LEN(D18:J18))</f>
        <v>0</v>
      </c>
      <c r="D18" s="167"/>
      <c r="E18" s="172"/>
      <c r="F18" s="172"/>
      <c r="G18" s="172"/>
      <c r="H18" s="172"/>
      <c r="I18" s="172"/>
      <c r="J18" s="173"/>
      <c r="K18" s="442" t="s">
        <v>22</v>
      </c>
      <c r="L18" s="27" t="s">
        <v>16</v>
      </c>
      <c r="M18" s="32" t="str">
        <f>M19</f>
        <v>C Coquetiers de l'Antoine | | Auteur &gt; Guy KRENZE - Eric GODDYN - Arnaud NICOLAS - CEPROC 2002</v>
      </c>
      <c r="N18" s="33">
        <f>N19</f>
        <v>20</v>
      </c>
      <c r="O18" s="33" t="str">
        <f>O19</f>
        <v>coquetiers de 25 g</v>
      </c>
      <c r="P18" s="34" t="str">
        <f>P19</f>
        <v>Recette mère ► le Boudin en 4 déclinaisons</v>
      </c>
      <c r="Q18" s="56"/>
      <c r="R18" s="5165" t="s">
        <v>13098</v>
      </c>
      <c r="S18" s="5468">
        <f>Y38/V18</f>
        <v>1.5309999999999999</v>
      </c>
      <c r="T18" s="5468"/>
      <c r="U18" s="5054" t="str" cm="1">
        <f t="array" ref="U18">"1= "&amp;IF(OR(Q17&lt;=0,S18=""),"",_xlfn.LET(_xlpm.kg,IF(ISNUMBER(S18),S18,VALEUR(SUBSTITUTE(SUBSTITUTE(SUBSTITUTE(LOWER(S18),"kg",""),",",".")," ",""))),TEXT(ROUND(_xlpm.kg*1000/Q17,2),"0.##")&amp;" g"))</f>
        <v>1= 76.55 g</v>
      </c>
      <c r="V18" s="1490">
        <f>IFERROR(X17/Q17,0)</f>
        <v>1</v>
      </c>
      <c r="W18" s="45"/>
      <c r="X18" s="5041" t="s">
        <v>50</v>
      </c>
      <c r="Y18" s="5042">
        <f>Y38</f>
        <v>1.5309999999999999</v>
      </c>
      <c r="Z18" s="5043"/>
      <c r="AA18" s="5211"/>
      <c r="AB18" s="1178"/>
      <c r="AC18" s="1179"/>
      <c r="AD18" s="227" t="s">
        <v>22</v>
      </c>
      <c r="AE18" s="958" t="s">
        <v>11</v>
      </c>
      <c r="AF18" s="1010" t="str">
        <f t="shared" ref="AF18:BG18" si="14">SUBSTITUTE(ADDRESS(1,COLUMN(),4),"1","")</f>
        <v>AF</v>
      </c>
      <c r="AG18" s="1010" t="str">
        <f t="shared" si="14"/>
        <v>AG</v>
      </c>
      <c r="AH18" s="1010" t="str">
        <f t="shared" si="14"/>
        <v>AH</v>
      </c>
      <c r="AI18" s="1010" t="str">
        <f t="shared" si="14"/>
        <v>AI</v>
      </c>
      <c r="AJ18" s="1010" t="str">
        <f t="shared" si="14"/>
        <v>AJ</v>
      </c>
      <c r="AK18" s="1010" t="str">
        <f t="shared" si="14"/>
        <v>AK</v>
      </c>
      <c r="AL18" s="1010" t="str">
        <f t="shared" si="14"/>
        <v>AL</v>
      </c>
      <c r="AM18" s="1010" t="str">
        <f t="shared" si="14"/>
        <v>AM</v>
      </c>
      <c r="AN18" s="1011" t="str">
        <f t="shared" si="14"/>
        <v>AN</v>
      </c>
      <c r="AO18" s="1011" t="str">
        <f t="shared" si="14"/>
        <v>AO</v>
      </c>
      <c r="AP18" s="1011" t="str">
        <f t="shared" si="14"/>
        <v>AP</v>
      </c>
      <c r="AQ18" s="1011" t="str">
        <f t="shared" si="14"/>
        <v>AQ</v>
      </c>
      <c r="AR18" s="1011" t="str">
        <f t="shared" si="14"/>
        <v>AR</v>
      </c>
      <c r="AS18" s="1011" t="str">
        <f t="shared" si="14"/>
        <v>AS</v>
      </c>
      <c r="AT18" s="1011" t="str">
        <f t="shared" si="14"/>
        <v>AT</v>
      </c>
      <c r="AU18" s="1011" t="str">
        <f t="shared" si="14"/>
        <v>AU</v>
      </c>
      <c r="AV18" s="1011" t="str">
        <f t="shared" si="14"/>
        <v>AV</v>
      </c>
      <c r="AW18" s="1011" t="str">
        <f t="shared" si="14"/>
        <v>AW</v>
      </c>
      <c r="AX18" s="1011" t="str">
        <f t="shared" si="14"/>
        <v>AX</v>
      </c>
      <c r="AY18" s="1011" t="str">
        <f t="shared" si="14"/>
        <v>AY</v>
      </c>
      <c r="AZ18" s="1011" t="str">
        <f t="shared" si="14"/>
        <v>AZ</v>
      </c>
      <c r="BA18" s="1011" t="str">
        <f t="shared" si="14"/>
        <v>BA</v>
      </c>
      <c r="BB18" s="1011" t="str">
        <f t="shared" si="14"/>
        <v>BB</v>
      </c>
      <c r="BC18" s="1011" t="str">
        <f t="shared" si="14"/>
        <v>BC</v>
      </c>
      <c r="BD18" s="1011" t="str">
        <f t="shared" si="14"/>
        <v>BD</v>
      </c>
      <c r="BE18" s="227"/>
      <c r="BF18" s="1012" t="str">
        <f t="shared" si="14"/>
        <v>BF</v>
      </c>
      <c r="BG18" s="1012" t="str">
        <f t="shared" si="14"/>
        <v>BG</v>
      </c>
      <c r="BI18" s="5251" t="s">
        <v>143</v>
      </c>
      <c r="BJ18" s="5251" t="s">
        <v>143</v>
      </c>
      <c r="BK18" s="5251" t="s">
        <v>143</v>
      </c>
      <c r="BL18" s="1013">
        <f>BP18 / 1000</f>
        <v>1</v>
      </c>
      <c r="BM18" s="865" t="s">
        <v>872</v>
      </c>
      <c r="BN18" s="865" t="s">
        <v>1773</v>
      </c>
      <c r="BO18" s="1003">
        <f t="shared" si="13"/>
        <v>1</v>
      </c>
      <c r="BP18" s="1014">
        <v>1000</v>
      </c>
      <c r="BR18" s="852"/>
      <c r="BS18" s="852"/>
      <c r="BT18" s="852"/>
      <c r="BU18" s="852"/>
      <c r="BV18" s="852"/>
      <c r="BW18" s="959" t="str">
        <f t="shared" si="10"/>
        <v>A</v>
      </c>
      <c r="BX18" s="1007"/>
      <c r="BY18" s="857"/>
      <c r="BZ18" s="861"/>
      <c r="CA18" s="861"/>
      <c r="CB18" s="861"/>
      <c r="CC18" s="957"/>
      <c r="CD18" s="1008"/>
      <c r="CE18" s="1009"/>
      <c r="CF18" s="1000"/>
      <c r="CG18" s="1000"/>
      <c r="CH18" s="1000"/>
      <c r="CI18" s="1000"/>
      <c r="CJ18" s="1001"/>
      <c r="CL18" s="1008"/>
      <c r="CM18" s="1009"/>
      <c r="CN18" s="1000"/>
      <c r="CO18" s="1000"/>
      <c r="CP18" s="1000"/>
      <c r="CQ18" s="1000"/>
      <c r="CR18" s="1001"/>
      <c r="CT18" s="1008"/>
      <c r="CU18" s="1009"/>
      <c r="CV18" s="1000"/>
      <c r="CW18" s="1000"/>
      <c r="CX18" s="1000"/>
      <c r="CY18" s="1000"/>
      <c r="CZ18" s="1001"/>
      <c r="DB18" s="3">
        <v>1</v>
      </c>
    </row>
    <row r="19" spans="1:106" s="709" customFormat="1" ht="21" customHeight="1" thickTop="1" thickBot="1">
      <c r="A19" s="936" t="s">
        <v>22</v>
      </c>
      <c r="B19" s="952" t="str">
        <f t="shared" si="9"/>
        <v>►</v>
      </c>
      <c r="C19" s="993" cm="1">
        <f t="array" ref="C19">SUMPRODUCT(LEN(D19:J19))</f>
        <v>0</v>
      </c>
      <c r="D19" s="167"/>
      <c r="E19" s="172"/>
      <c r="F19" s="172"/>
      <c r="G19" s="172"/>
      <c r="H19" s="172"/>
      <c r="I19" s="172"/>
      <c r="J19" s="173"/>
      <c r="K19" s="442" t="s">
        <v>22</v>
      </c>
      <c r="L19" s="64" t="s">
        <v>16</v>
      </c>
      <c r="M19" s="65" t="str">
        <f>Q19</f>
        <v>C Coquetiers de l'Antoine | | Auteur &gt; Guy KRENZE - Eric GODDYN - Arnaud NICOLAS - CEPROC 2002</v>
      </c>
      <c r="N19" s="66">
        <f>Q17</f>
        <v>20</v>
      </c>
      <c r="O19" s="65" t="str">
        <f>R17</f>
        <v>coquetiers de 25 g</v>
      </c>
      <c r="P19" s="67" t="str">
        <f>V19&amp;" "&amp;W19</f>
        <v>Recette mère ► le Boudin en 4 déclinaisons</v>
      </c>
      <c r="Q19" s="68" t="str">
        <f>UPPER(LEFT(R13,1))&amp;" "&amp;R13&amp;" | "&amp;Y13&amp;"| "&amp;T15&amp;" "&amp;U15</f>
        <v>C Coquetiers de l'Antoine | | Auteur &gt; Guy KRENZE - Eric GODDYN - Arnaud NICOLAS - CEPROC 2002</v>
      </c>
      <c r="R19" s="69" t="s">
        <v>54</v>
      </c>
      <c r="S19" s="5469" t="s">
        <v>55</v>
      </c>
      <c r="T19" s="5469"/>
      <c r="U19" s="5469"/>
      <c r="V19" s="70" t="str">
        <f>IF(ISTEXT(W19),"Recette mère ►",R19)</f>
        <v>Recette mère ►</v>
      </c>
      <c r="W19" s="71" t="s">
        <v>12836</v>
      </c>
      <c r="X19" s="71"/>
      <c r="Y19" s="72"/>
      <c r="Z19" s="1473"/>
      <c r="AA19" s="5211"/>
      <c r="AB19" s="1178"/>
      <c r="AC19" s="1179"/>
      <c r="AD19" s="227" t="s">
        <v>22</v>
      </c>
      <c r="AE19" s="958" t="s">
        <v>11</v>
      </c>
      <c r="AF19" s="1015" t="s">
        <v>1774</v>
      </c>
      <c r="AG19" s="1015" t="s">
        <v>1775</v>
      </c>
      <c r="AH19" s="1015" t="s">
        <v>1776</v>
      </c>
      <c r="AI19" s="1015" t="s">
        <v>1777</v>
      </c>
      <c r="AJ19" s="1015" t="s">
        <v>1778</v>
      </c>
      <c r="AK19" s="1015" t="s">
        <v>1779</v>
      </c>
      <c r="AL19" s="1015" t="s">
        <v>1780</v>
      </c>
      <c r="AM19" s="1015" t="s">
        <v>1781</v>
      </c>
      <c r="AN19" s="1015" t="s">
        <v>1782</v>
      </c>
      <c r="AO19" s="1015" t="s">
        <v>1783</v>
      </c>
      <c r="AP19" s="1016" t="s">
        <v>1784</v>
      </c>
      <c r="AQ19" s="1015" t="s">
        <v>1785</v>
      </c>
      <c r="AR19" s="1016" t="s">
        <v>1786</v>
      </c>
      <c r="AS19" s="1016" t="s">
        <v>1787</v>
      </c>
      <c r="AT19" s="1016" t="s">
        <v>1788</v>
      </c>
      <c r="AU19" s="1016" t="s">
        <v>1789</v>
      </c>
      <c r="AV19" s="1016" t="s">
        <v>1790</v>
      </c>
      <c r="AW19" s="1016" t="s">
        <v>1791</v>
      </c>
      <c r="AX19" s="1017" t="s">
        <v>1792</v>
      </c>
      <c r="AY19" s="1016" t="s">
        <v>1793</v>
      </c>
      <c r="AZ19" s="1016" t="s">
        <v>13438</v>
      </c>
      <c r="BA19" s="1016" t="s">
        <v>13439</v>
      </c>
      <c r="BB19" s="1016" t="s">
        <v>13440</v>
      </c>
      <c r="BC19" s="1016" t="s">
        <v>13441</v>
      </c>
      <c r="BD19" s="1018" t="s">
        <v>13468</v>
      </c>
      <c r="BE19" s="227"/>
      <c r="BF19" s="1019" t="s">
        <v>83</v>
      </c>
      <c r="BG19" s="1020" t="s">
        <v>1794</v>
      </c>
      <c r="BH19" s="852"/>
      <c r="BI19" s="5191" t="s">
        <v>99</v>
      </c>
      <c r="BJ19" s="5191" t="s">
        <v>99</v>
      </c>
      <c r="BK19" s="5191" t="s">
        <v>99</v>
      </c>
      <c r="BL19" s="1013">
        <f>BP19 / 1000</f>
        <v>1E-3</v>
      </c>
      <c r="BM19" s="865" t="s">
        <v>872</v>
      </c>
      <c r="BN19" s="865" t="s">
        <v>1773</v>
      </c>
      <c r="BO19" s="1003">
        <f t="shared" si="13"/>
        <v>1000</v>
      </c>
      <c r="BP19" s="1014">
        <v>1</v>
      </c>
      <c r="BQ19" s="852"/>
      <c r="BR19" s="852"/>
      <c r="BS19" s="852"/>
      <c r="BT19" s="852"/>
      <c r="BU19" s="852"/>
      <c r="BV19" s="852"/>
      <c r="BW19" s="959" t="str">
        <f t="shared" si="10"/>
        <v>A</v>
      </c>
      <c r="BX19" s="1007" t="s">
        <v>1795</v>
      </c>
      <c r="BY19" s="861"/>
      <c r="BZ19" s="861"/>
      <c r="CA19" s="861"/>
      <c r="CB19" s="861"/>
      <c r="CC19" s="957"/>
      <c r="CD19" s="1021" t="s">
        <v>1796</v>
      </c>
      <c r="CE19" s="1009"/>
      <c r="CF19" s="1000"/>
      <c r="CG19" s="1000"/>
      <c r="CH19" s="1000"/>
      <c r="CI19" s="1000"/>
      <c r="CJ19" s="1001"/>
      <c r="CL19" s="1021" t="s">
        <v>1797</v>
      </c>
      <c r="CM19" s="1009"/>
      <c r="CN19" s="1000"/>
      <c r="CO19" s="1000"/>
      <c r="CP19" s="1000"/>
      <c r="CQ19" s="1000"/>
      <c r="CR19" s="1001"/>
      <c r="CT19" s="1021" t="s">
        <v>1798</v>
      </c>
      <c r="CU19" s="1009"/>
      <c r="CV19" s="1000"/>
      <c r="CW19" s="1000"/>
      <c r="CX19" s="1000"/>
      <c r="CY19" s="1000"/>
      <c r="CZ19" s="1001"/>
      <c r="DB19" s="3">
        <v>1</v>
      </c>
    </row>
    <row r="20" spans="1:106" s="709" customFormat="1" ht="21" customHeight="1" thickTop="1">
      <c r="A20" s="936" t="s">
        <v>22</v>
      </c>
      <c r="B20" s="952" t="str">
        <f t="shared" si="9"/>
        <v>►</v>
      </c>
      <c r="C20" s="993" cm="1">
        <f t="array" ref="C20">SUMPRODUCT(LEN(D20:J20))</f>
        <v>34</v>
      </c>
      <c r="D20" s="167"/>
      <c r="E20" s="172" t="s">
        <v>1799</v>
      </c>
      <c r="F20" s="172"/>
      <c r="G20" s="172"/>
      <c r="H20" s="172"/>
      <c r="I20" s="172"/>
      <c r="J20" s="173"/>
      <c r="K20" s="442" t="s">
        <v>22</v>
      </c>
      <c r="L20" s="74" t="s">
        <v>16</v>
      </c>
      <c r="M20" s="75" t="str">
        <f>M19</f>
        <v>C Coquetiers de l'Antoine | | Auteur &gt; Guy KRENZE - Eric GODDYN - Arnaud NICOLAS - CEPROC 2002</v>
      </c>
      <c r="N20" s="75">
        <f>N19</f>
        <v>20</v>
      </c>
      <c r="O20" s="75" t="str">
        <f>O19</f>
        <v>coquetiers de 25 g</v>
      </c>
      <c r="P20" s="76" t="str">
        <f>P19</f>
        <v>Recette mère ► le Boudin en 4 déclinaisons</v>
      </c>
      <c r="Q20" s="13" t="s">
        <v>66</v>
      </c>
      <c r="R20" s="13" t="s">
        <v>67</v>
      </c>
      <c r="S20" s="13" t="s">
        <v>68</v>
      </c>
      <c r="T20" s="13" t="s">
        <v>69</v>
      </c>
      <c r="U20" s="77" t="s">
        <v>70</v>
      </c>
      <c r="V20" s="78" t="s">
        <v>71</v>
      </c>
      <c r="W20" s="79" t="s">
        <v>72</v>
      </c>
      <c r="X20" s="1496" t="s">
        <v>73</v>
      </c>
      <c r="Y20" s="13" t="s">
        <v>74</v>
      </c>
      <c r="Z20" s="518" t="s">
        <v>75</v>
      </c>
      <c r="AA20" s="5211"/>
      <c r="AB20" s="1178"/>
      <c r="AC20" s="1179"/>
      <c r="AD20" s="227" t="s">
        <v>22</v>
      </c>
      <c r="AE20" s="958" t="s">
        <v>11</v>
      </c>
      <c r="AF20" s="5521" t="s">
        <v>1800</v>
      </c>
      <c r="AG20" s="5522"/>
      <c r="AH20" s="5522"/>
      <c r="AI20" s="5522"/>
      <c r="AJ20" s="5523"/>
      <c r="AK20" s="5527" t="s">
        <v>32</v>
      </c>
      <c r="AL20" s="5528"/>
      <c r="AM20" s="5528"/>
      <c r="AN20" s="5528"/>
      <c r="AO20" s="5529"/>
      <c r="AP20" s="5533" t="s">
        <v>1801</v>
      </c>
      <c r="AQ20" s="5534"/>
      <c r="AR20" s="5537" t="s">
        <v>13469</v>
      </c>
      <c r="AS20" s="5537"/>
      <c r="AT20" s="5500" t="s">
        <v>1802</v>
      </c>
      <c r="AU20" s="5500"/>
      <c r="AV20" s="5502" t="s">
        <v>1803</v>
      </c>
      <c r="AW20" s="5505" t="s">
        <v>1804</v>
      </c>
      <c r="AX20" s="5507" t="s">
        <v>1743</v>
      </c>
      <c r="AY20" s="5508"/>
      <c r="AZ20" s="5511" t="s">
        <v>83</v>
      </c>
      <c r="BA20" s="5513" t="s">
        <v>1805</v>
      </c>
      <c r="BB20" s="5515" t="s">
        <v>1806</v>
      </c>
      <c r="BC20" s="5517" t="s">
        <v>1807</v>
      </c>
      <c r="BD20" s="5519" t="s">
        <v>94</v>
      </c>
      <c r="BE20" s="227" t="s">
        <v>22</v>
      </c>
      <c r="BF20" s="1019">
        <f>IFERROR(_xlfn.LET(_xlpm.b,(Q20*#REF!)/AN14,IF(ISNUMBER(AR14),_xlpm.b*AR14,IF(OR(ISBLANK(AR14),AR14=""),_xlpm.b*AP14,IF(AND(BG20=0,ISNUMBER(Q20)),_xlpm.b/AP14,0)))),0)</f>
        <v>0</v>
      </c>
      <c r="BG20" s="1020">
        <f>IF(AK14&lt;=0,0,IF(ISBLANK(AR14),IFERROR(AP14/AN14,0),IFERROR(AR14/AN14,0)))</f>
        <v>0</v>
      </c>
      <c r="BH20" s="852"/>
      <c r="BI20" s="5192" t="s">
        <v>145</v>
      </c>
      <c r="BJ20" s="5192" t="s">
        <v>1357</v>
      </c>
      <c r="BK20" s="5192" t="s">
        <v>1338</v>
      </c>
      <c r="BL20" s="1013">
        <f>BP20 / 1000</f>
        <v>0.25</v>
      </c>
      <c r="BM20" s="865" t="s">
        <v>872</v>
      </c>
      <c r="BN20" s="865" t="s">
        <v>1773</v>
      </c>
      <c r="BO20" s="1003">
        <f t="shared" si="13"/>
        <v>4</v>
      </c>
      <c r="BP20" s="1022">
        <v>250</v>
      </c>
      <c r="BQ20" s="852"/>
      <c r="BR20" s="852"/>
      <c r="BS20" s="852"/>
      <c r="BT20" s="852"/>
      <c r="BU20" s="852"/>
      <c r="BV20" s="852"/>
      <c r="BW20" s="959" t="str">
        <f t="shared" si="10"/>
        <v>A</v>
      </c>
      <c r="BX20" s="1007"/>
      <c r="BY20" s="857"/>
      <c r="BZ20" s="857"/>
      <c r="CA20" s="858"/>
      <c r="CB20" s="858"/>
      <c r="CC20" s="957"/>
      <c r="CD20" s="1021"/>
      <c r="CE20" s="1009"/>
      <c r="CF20" s="1000"/>
      <c r="CG20" s="1000"/>
      <c r="CH20" s="1000"/>
      <c r="CI20" s="1000"/>
      <c r="CJ20" s="1001"/>
      <c r="CL20" s="1021"/>
      <c r="CM20" s="1009"/>
      <c r="CN20" s="1000"/>
      <c r="CO20" s="1000"/>
      <c r="CP20" s="1000"/>
      <c r="CQ20" s="1000"/>
      <c r="CR20" s="1001"/>
      <c r="CT20" s="1021"/>
      <c r="CU20" s="1009"/>
      <c r="CV20" s="1000"/>
      <c r="CW20" s="1000"/>
      <c r="CX20" s="1000"/>
      <c r="CY20" s="1000"/>
      <c r="CZ20" s="1001"/>
      <c r="DB20" s="3">
        <v>1</v>
      </c>
    </row>
    <row r="21" spans="1:106" s="709" customFormat="1" ht="21" customHeight="1" thickBot="1">
      <c r="A21" s="936" t="s">
        <v>22</v>
      </c>
      <c r="B21" s="952" t="str">
        <f t="shared" si="9"/>
        <v>A</v>
      </c>
      <c r="C21" s="993" cm="1">
        <f t="array" ref="C21">SUMPRODUCT(LEN(D21:J21))</f>
        <v>71</v>
      </c>
      <c r="D21" s="167"/>
      <c r="E21" s="172" t="s">
        <v>2617</v>
      </c>
      <c r="F21" s="172"/>
      <c r="G21" s="172"/>
      <c r="H21" s="172"/>
      <c r="I21" s="172"/>
      <c r="J21" s="173"/>
      <c r="K21" s="442" t="s">
        <v>22</v>
      </c>
      <c r="L21" s="27" t="s">
        <v>11</v>
      </c>
      <c r="M21" s="32" t="str">
        <f>M19</f>
        <v>C Coquetiers de l'Antoine | | Auteur &gt; Guy KRENZE - Eric GODDYN - Arnaud NICOLAS - CEPROC 2002</v>
      </c>
      <c r="N21" s="33">
        <f>N19</f>
        <v>20</v>
      </c>
      <c r="O21" s="32" t="str">
        <f>O19</f>
        <v>coquetiers de 25 g</v>
      </c>
      <c r="P21" s="34" t="str">
        <f>P19</f>
        <v>Recette mère ► le Boudin en 4 déclinaisons</v>
      </c>
      <c r="Q21" s="81" t="s">
        <v>77</v>
      </c>
      <c r="R21" s="82" t="s">
        <v>78</v>
      </c>
      <c r="S21" s="83"/>
      <c r="T21" s="5454" t="s">
        <v>79</v>
      </c>
      <c r="U21" s="5464" t="s">
        <v>80</v>
      </c>
      <c r="V21" s="5466" t="s">
        <v>81</v>
      </c>
      <c r="W21" s="84" t="s">
        <v>82</v>
      </c>
      <c r="X21" s="5444" t="s">
        <v>83</v>
      </c>
      <c r="Y21" s="5446" t="s">
        <v>3297</v>
      </c>
      <c r="Z21" s="5448" t="s">
        <v>86</v>
      </c>
      <c r="AA21" s="5211"/>
      <c r="AB21" s="1178"/>
      <c r="AC21" s="1179"/>
      <c r="AD21" s="227" t="s">
        <v>22</v>
      </c>
      <c r="AE21" s="958" t="s">
        <v>11</v>
      </c>
      <c r="AF21" s="5524"/>
      <c r="AG21" s="5525"/>
      <c r="AH21" s="5525"/>
      <c r="AI21" s="5525"/>
      <c r="AJ21" s="5526"/>
      <c r="AK21" s="5530"/>
      <c r="AL21" s="5531"/>
      <c r="AM21" s="5531"/>
      <c r="AN21" s="5531"/>
      <c r="AO21" s="5532"/>
      <c r="AP21" s="5535"/>
      <c r="AQ21" s="5536"/>
      <c r="AR21" s="5252" t="s">
        <v>13470</v>
      </c>
      <c r="AS21" s="5253" t="s">
        <v>13471</v>
      </c>
      <c r="AT21" s="5501"/>
      <c r="AU21" s="5501"/>
      <c r="AV21" s="5503"/>
      <c r="AW21" s="5506"/>
      <c r="AX21" s="5509"/>
      <c r="AY21" s="5510"/>
      <c r="AZ21" s="5512"/>
      <c r="BA21" s="5514"/>
      <c r="BB21" s="5516"/>
      <c r="BC21" s="5518"/>
      <c r="BD21" s="5520"/>
      <c r="BE21" s="227" t="s">
        <v>22</v>
      </c>
      <c r="BF21" s="1019">
        <f>IFERROR(_xlfn.LET(_xlpm.b,(Q21*#REF!)/AN15,IF(ISNUMBER(AR15),_xlpm.b*AR15,IF(OR(ISBLANK(AR15),AR15=""),_xlpm.b*AP15,IF(AND(BG21=0,ISNUMBER(Q21)),_xlpm.b/AP15,0)))),0)</f>
        <v>0</v>
      </c>
      <c r="BG21" s="1020">
        <f>IF(AK15&lt;=0,0,IF(ISBLANK(AR15),IFERROR(AP15/AN15,0),IFERROR(AR15/AN15,0)))</f>
        <v>0</v>
      </c>
      <c r="BH21" s="852"/>
      <c r="BI21" s="5192" t="s">
        <v>107</v>
      </c>
      <c r="BJ21" s="5192" t="s">
        <v>1359</v>
      </c>
      <c r="BK21" s="5192" t="s">
        <v>1340</v>
      </c>
      <c r="BL21" s="1013">
        <f>BP21 / 1000</f>
        <v>0.5</v>
      </c>
      <c r="BM21" s="865" t="s">
        <v>872</v>
      </c>
      <c r="BN21" s="865" t="s">
        <v>1773</v>
      </c>
      <c r="BO21" s="1003">
        <f t="shared" si="13"/>
        <v>2</v>
      </c>
      <c r="BP21" s="1022">
        <v>500</v>
      </c>
      <c r="BQ21" s="852"/>
      <c r="BR21" s="852"/>
      <c r="BS21" s="852"/>
      <c r="BT21" s="852"/>
      <c r="BU21" s="852"/>
      <c r="BV21" s="852"/>
      <c r="BW21" s="959" t="str">
        <f t="shared" si="10"/>
        <v>A</v>
      </c>
      <c r="BX21" s="1007" t="s">
        <v>1808</v>
      </c>
      <c r="BY21" s="857"/>
      <c r="BZ21" s="857"/>
      <c r="CA21" s="858"/>
      <c r="CB21" s="858"/>
      <c r="CC21" s="957"/>
      <c r="CD21" s="1023" t="s">
        <v>1696</v>
      </c>
      <c r="CE21" s="1000"/>
      <c r="CF21" s="1000"/>
      <c r="CG21" s="1024">
        <v>45</v>
      </c>
      <c r="CH21" s="1025" t="s">
        <v>20</v>
      </c>
      <c r="CI21" s="372"/>
      <c r="CJ21" s="1026"/>
      <c r="CL21" s="1023" t="s">
        <v>1809</v>
      </c>
      <c r="CM21" s="1000"/>
      <c r="CN21" s="1000"/>
      <c r="CO21" s="1024">
        <v>45</v>
      </c>
      <c r="CP21" s="1025" t="s">
        <v>139</v>
      </c>
      <c r="CQ21" s="372"/>
      <c r="CR21" s="1026"/>
      <c r="CT21" s="1023" t="s">
        <v>1810</v>
      </c>
      <c r="CU21" s="1000"/>
      <c r="CV21" s="1000"/>
      <c r="CW21" s="1024">
        <v>45</v>
      </c>
      <c r="CX21" s="1025" t="s">
        <v>142</v>
      </c>
      <c r="CY21" s="372"/>
      <c r="CZ21" s="1026"/>
      <c r="DB21" s="3">
        <v>1</v>
      </c>
    </row>
    <row r="22" spans="1:106" s="709" customFormat="1" ht="21" customHeight="1" thickTop="1">
      <c r="A22" s="936" t="s">
        <v>22</v>
      </c>
      <c r="B22" s="952" t="str">
        <f t="shared" si="9"/>
        <v>A</v>
      </c>
      <c r="C22" s="993" cm="1">
        <f t="array" ref="C22">SUMPRODUCT(LEN(D22:J22))</f>
        <v>78</v>
      </c>
      <c r="D22" s="167"/>
      <c r="E22" s="172" t="s">
        <v>2618</v>
      </c>
      <c r="F22" s="172"/>
      <c r="G22" s="172"/>
      <c r="H22" s="172"/>
      <c r="I22" s="172"/>
      <c r="J22" s="173"/>
      <c r="K22" s="442" t="s">
        <v>22</v>
      </c>
      <c r="L22" s="27" t="s">
        <v>11</v>
      </c>
      <c r="M22" s="32" t="str">
        <f>M19</f>
        <v>C Coquetiers de l'Antoine | | Auteur &gt; Guy KRENZE - Eric GODDYN - Arnaud NICOLAS - CEPROC 2002</v>
      </c>
      <c r="N22" s="33">
        <f>N19</f>
        <v>20</v>
      </c>
      <c r="O22" s="32" t="str">
        <f>O19</f>
        <v>coquetiers de 25 g</v>
      </c>
      <c r="P22" s="34" t="str">
        <f>P19</f>
        <v>Recette mère ► le Boudin en 4 déclinaisons</v>
      </c>
      <c r="Q22" s="87" t="s">
        <v>91</v>
      </c>
      <c r="R22" s="88" t="s">
        <v>92</v>
      </c>
      <c r="S22" s="89" t="s">
        <v>93</v>
      </c>
      <c r="T22" s="5455"/>
      <c r="U22" s="5465"/>
      <c r="V22" s="5467"/>
      <c r="W22" s="90" t="s">
        <v>94</v>
      </c>
      <c r="X22" s="5445"/>
      <c r="Y22" s="5447"/>
      <c r="Z22" s="5449"/>
      <c r="AA22" s="5211"/>
      <c r="AB22" s="1178"/>
      <c r="AC22" s="1179"/>
      <c r="AD22" s="227" t="s">
        <v>22</v>
      </c>
      <c r="AE22" s="1027" t="str">
        <f t="shared" ref="AE22:AE85" si="15">IF(OR(AN22&gt;0,TRIM(AF22)="▼ recette suivante"),"A","►")</f>
        <v>►</v>
      </c>
      <c r="AF22" s="1028" t="str">
        <f t="shared" ref="AF22:AF85" si="16">IF(TRIM(Q22)="Adresse PC","▼ recette suivante",IF(AN22&gt;0,M22,""))</f>
        <v/>
      </c>
      <c r="AG22" s="1029" t="str">
        <f t="shared" ref="AG22:AG85" si="17">IF(AE22="A",N22,"")</f>
        <v/>
      </c>
      <c r="AH22" s="1028" t="str">
        <f t="shared" ref="AH22:AH85" si="18">IF(AE22="A",O22,"")</f>
        <v/>
      </c>
      <c r="AI22" s="1029" t="str">
        <f t="shared" ref="AI22:AI85" si="19">IF(AE22="A",U22,"")</f>
        <v/>
      </c>
      <c r="AJ22" s="1029">
        <f t="shared" ref="AJ22:AJ85" si="20">IF(AND(L22="A",COUNTIF($BI$15:$BK$62,TRIM(U22))&gt;0),1,0)</f>
        <v>0</v>
      </c>
      <c r="AK22" s="1043" t="str" cm="1">
        <f t="array" ref="AK22">IF(AE22&lt;&gt;"A","",IFERROR((IFERROR(_xlfn.XLOOKUP(TRIM(SUBSTITUTE(U22,CHAR(160)," ")),$BI$15:$BI$62,$BL$15:$BL$62),IFERROR(_xlfn.XLOOKUP(TRIM(SUBSTITUTE(U22,CHAR(160)," ")),$BJ$15:$BJ$62,$BL$15:$BL$62),_xlfn.XLOOKUP(TRIM(SUBSTITUTE(U22,CHAR(160)," ")),$BK$15:$BK$62,$BL$15:$BL$62))))*T22*IF(ISBLANK(Q22),1,Q22)+IFERROR(_xlfn.XLOOKUP("RECHERCHEX",TRIM(L22:AC22),L22:AC22),0),0))</f>
        <v/>
      </c>
      <c r="AL22" s="1030">
        <f t="shared" ref="AL22:AL85" si="21">IF(AJ22,IF(AK22&gt;0,"Kg",0),0)</f>
        <v>0</v>
      </c>
      <c r="AM22" s="5254" t="str">
        <f t="shared" ref="AM22:AM28" si="22">IF(AE22="A","❾ Author reference &gt;","")</f>
        <v/>
      </c>
      <c r="AN22" s="1031">
        <f t="shared" ref="AN22:AN85" si="23">IF(AJ22,N22,0)</f>
        <v>0</v>
      </c>
      <c r="AO22" s="1031">
        <f t="shared" ref="AO22:AO85" si="24">IF(AJ22,O22,0)</f>
        <v>0</v>
      </c>
      <c r="AP22" s="1032">
        <f t="shared" ref="AP22:AP85" si="25">IF(AN22&gt;0,AR$9,0)</f>
        <v>0</v>
      </c>
      <c r="AQ22" s="5255" t="str">
        <f t="shared" ref="AQ22:AQ85" si="26">IF(TRIM(AF22)="▼ recette suivante", AF22, IF(AP22&gt;0, IF(AS$9&lt;&gt;"", AS$9&amp;"-ou.or.o ❾ + or - &gt;", ""), ""))</f>
        <v/>
      </c>
      <c r="AR22" s="5256"/>
      <c r="AS22" s="5256"/>
      <c r="AT22" s="1034">
        <f t="shared" ref="AT22:AT85" si="27">IF(TRIM(AL22)="Kg",N(AK22)*N(BG22),0)</f>
        <v>0</v>
      </c>
      <c r="AU22" s="1035">
        <f t="shared" ref="AU22:AU85" si="28">IF(AJ22,IF(OR(AT22="",N(AT22)&lt;=0.000000001),"",_xlfn.XLOOKUP(AI22,$BI$15:$BI$62,$BM$15:$BM$62,_xlfn.XLOOKUP(AI22,$BJ$15:$BJ$62,$BM$15:$BM$62,_xlfn.XLOOKUP(AI22,$BK$15:$BK$62,$BM$15:$BM$62,"")))),0)</f>
        <v>0</v>
      </c>
      <c r="AV22" s="1057" cm="1">
        <f t="array" ref="AV22">IF(AJ22&lt;&gt;1,0,IF(OR(AT22="",N(AT22)&lt;=0.000000001),"",IF(OR(AN22="",N(AN22)&lt;=0.000000001),0,IF(ISNUMBER(AT22),IFERROR(_xlfn.LET(_xlpm.ai_test,TRIM(AI22),_xlpm.r,IFERROR(_xlfn.XLOOKUP(_xlpm.ai_test,$BI$15:$BI$62,ROW($BI$15:$BI$62),0,1),IFERROR(_xlfn.XLOOKUP(_xlpm.ai_test,$BJ$15:$BJ$62,ROW($BJ$15:$BJ$62),0,1),_xlfn.XLOOKUP(_xlpm.ai_test,$BK$15:$BK$62,ROW($BK$15:$BK$62),0,1))),_xlpm.p,_xlpm.r-MIN(ROW($BI$15:$BI$62))+1,_xlpm.f,INDEX($BL$15:$BL$62,_xlpm.p),_xlpm.u,INDEX($BM$15:$BM$62,_xlpm.p),_xlpm.s,INDEX($BO$15:$BO$62,_xlpm.p),_xlpm.q,N(AT22)/_xlpm.f,IF(_xlpm.q&gt;=_xlpm.s,ROUND(_xlpm.q,1)&amp;" "&amp;_xlpm.ai_test&amp;" = "&amp;ROUND(_xlpm.q*_xlpm.f,1)&amp;" "&amp;_xlpm.u,ROUND(_xlpm.q,1)&amp;" "&amp;_xlpm.ai_test)),""),""))))</f>
        <v>0</v>
      </c>
      <c r="AW22" s="1047"/>
      <c r="AX22" s="1034">
        <f t="shared" ref="AX22:AX85" si="29">IF(TRIM(AF22)="▼ recette suivante","▼next recipe ",IF(AT22="","",IF(ISBLANK(AW22),AT22,ROUND(AT22*(1-MIN(1,MAX(0,IF(AW22&gt;1,AW22/100,AW22)))),3))))</f>
        <v>0</v>
      </c>
      <c r="AY22" s="1035" t="str">
        <f t="shared" ref="AY22:AY85" si="30">IF(AJ22,AU22,"")</f>
        <v/>
      </c>
      <c r="AZ22" s="1036">
        <f>IF(ISNUMBER(BF22),IF(ABS(BF22)&lt;=0.000000001,0,BF22),0)</f>
        <v>0</v>
      </c>
      <c r="BA22" s="1037" t="str">
        <f t="shared" ref="BA22:BA85" si="31">IF(AJ22,IF(N(AZ22)&gt;0.000000001,R22,""),"")</f>
        <v/>
      </c>
      <c r="BB22" s="1038">
        <v>1</v>
      </c>
      <c r="BC22" s="1039">
        <f t="shared" ref="BC22:BC25" si="32">IF(OR(AN22=0,ISBLANK(BB22),ISTEXT(AZ22)),0,(IF(AT22=0,AZ22,AT22)*BB22))</f>
        <v>0</v>
      </c>
      <c r="BD22" s="1040" t="str">
        <f t="shared" ref="BD22:BD85" si="33">IF(IFERROR(SEARCH("Adresse PC",TRIM(Q22)),0)&gt;0,"▼ receta siguiente",IF(AX22&gt;0,W22,""))</f>
        <v/>
      </c>
      <c r="BE22" s="227" t="s">
        <v>22</v>
      </c>
      <c r="BF22" s="1019">
        <f t="shared" ref="BF22:BF85" si="34">IFERROR(_xlfn.LET(_xlpm.EPS,0.000000001,_xlpm.b,Q22/AN22,IF(ISNUMBER(AR22),_xlpm.b*AR22,IF(OR(ISBLANK(AR22),AR22=""),_xlpm.b*AP22,IF(AND(BG22=0,ISNUMBER(Q22)),_xlpm.b/AP22,0)))),0)</f>
        <v>0</v>
      </c>
      <c r="BG22" s="1020">
        <f t="shared" ref="BG22:BG85" si="35">IF(AK22&gt;0,IFERROR(IF(OR(ISBLANK(AR22),AR22=""),AP22,AR22)/AN22,0),0)</f>
        <v>0</v>
      </c>
      <c r="BH22" s="852"/>
      <c r="BI22" s="5192" t="s">
        <v>146</v>
      </c>
      <c r="BJ22" s="5192" t="s">
        <v>1358</v>
      </c>
      <c r="BK22" s="5192" t="s">
        <v>1339</v>
      </c>
      <c r="BL22" s="1013">
        <f>BP22 / 1000</f>
        <v>0.33300000000000002</v>
      </c>
      <c r="BM22" s="865" t="s">
        <v>872</v>
      </c>
      <c r="BN22" s="865" t="s">
        <v>1773</v>
      </c>
      <c r="BO22" s="1003">
        <f t="shared" si="13"/>
        <v>3</v>
      </c>
      <c r="BP22" s="1022">
        <v>333</v>
      </c>
      <c r="BQ22" s="852"/>
      <c r="BR22" s="852"/>
      <c r="BS22" s="852"/>
      <c r="BT22" s="852"/>
      <c r="BU22" s="852"/>
      <c r="BV22" s="852"/>
      <c r="BW22" s="959" t="str">
        <f t="shared" si="10"/>
        <v>►</v>
      </c>
      <c r="BX22" s="859"/>
      <c r="BY22" s="857"/>
      <c r="BZ22" s="857"/>
      <c r="CA22" s="858"/>
      <c r="CB22" s="858"/>
      <c r="CC22" s="957"/>
      <c r="CD22" s="1041"/>
      <c r="CE22" s="372"/>
      <c r="CF22" s="372"/>
      <c r="CG22" s="372"/>
      <c r="CH22" s="1042" t="s">
        <v>1811</v>
      </c>
      <c r="CI22" s="372"/>
      <c r="CJ22" s="1026"/>
      <c r="CL22" s="1041"/>
      <c r="CM22" s="372"/>
      <c r="CN22" s="372"/>
      <c r="CO22" s="372"/>
      <c r="CP22" s="1042" t="s">
        <v>1812</v>
      </c>
      <c r="CQ22" s="372"/>
      <c r="CR22" s="1026"/>
      <c r="CT22" s="1041"/>
      <c r="CU22" s="372"/>
      <c r="CV22" s="372"/>
      <c r="CW22" s="372"/>
      <c r="CX22" s="1042" t="s">
        <v>1813</v>
      </c>
      <c r="CY22" s="372"/>
      <c r="CZ22" s="1026"/>
      <c r="DB22" s="3">
        <v>1</v>
      </c>
    </row>
    <row r="23" spans="1:106" s="709" customFormat="1" ht="21" customHeight="1">
      <c r="A23" s="936" t="s">
        <v>22</v>
      </c>
      <c r="B23" s="952" t="str">
        <f t="shared" si="9"/>
        <v>A</v>
      </c>
      <c r="C23" s="993" cm="1">
        <f t="array" ref="C23">SUMPRODUCT(LEN(D23:J23))</f>
        <v>0</v>
      </c>
      <c r="D23" s="167"/>
      <c r="E23" s="172"/>
      <c r="F23" s="172"/>
      <c r="G23" s="172"/>
      <c r="H23" s="172"/>
      <c r="I23" s="172"/>
      <c r="J23" s="173"/>
      <c r="K23" s="442" t="s">
        <v>22</v>
      </c>
      <c r="L23" s="27" t="s">
        <v>11</v>
      </c>
      <c r="M23" s="32" t="str">
        <f>M19</f>
        <v>C Coquetiers de l'Antoine | | Auteur &gt; Guy KRENZE - Eric GODDYN - Arnaud NICOLAS - CEPROC 2002</v>
      </c>
      <c r="N23" s="33">
        <f>N19</f>
        <v>20</v>
      </c>
      <c r="O23" s="32" t="str">
        <f>O19</f>
        <v>coquetiers de 25 g</v>
      </c>
      <c r="P23" s="34" t="str">
        <f>P19</f>
        <v>Recette mère ► le Boudin en 4 déclinaisons</v>
      </c>
      <c r="Q23" s="92"/>
      <c r="R23" s="93"/>
      <c r="S23" s="94" t="str">
        <f t="shared" ref="S23:S37" si="36">IF(OR(ISTEXT(Q23), Q23&lt;=0, T23&lt;=0), "", "de")</f>
        <v/>
      </c>
      <c r="T23" s="95">
        <v>300</v>
      </c>
      <c r="U23" s="105" t="s">
        <v>99</v>
      </c>
      <c r="V23" s="127">
        <v>1</v>
      </c>
      <c r="W23" s="919" t="s">
        <v>12821</v>
      </c>
      <c r="X23" s="100">
        <f>IF(OR(ISBLANK(Q17),X17=0),0,Q23*V18)</f>
        <v>0</v>
      </c>
      <c r="Y23" s="101" cm="1">
        <f t="array" ref="Y23">IFERROR(_xlfn.LET(_xlpm.k,UPPER(TRIM(U23)),_xlpm.r,_xlfn.XLOOKUP(_xlpm.k,UPPER(TRIM(Q39:Z39)),Q40:Z40,_xlfn.XLOOKUP(_xlpm.k,UPPER(TRIM(Q41:Z41)),Q42:Z42)),_xlpm.r*T23*V23*V18*IF(ISBLANK(Q23),1,Q23)),0)</f>
        <v>0.3</v>
      </c>
      <c r="Z23" s="1476" t="str">
        <f>_xlfn.LET(_xlpm.unite,SUBSTITUTE(TRIM(U23)," (s)",""),_xlpm.val,Y23,_xlpm.estVol,COUNTIF(T39:Z39,_xlpm.unite)+COUNTIF(T41:Z41,_xlpm.unite)&gt;0,_xlpm.estPoids,COUNTIF(Q39:S39,_xlpm.unite)+COUNTIF(Q41:S41,_xlpm.unite)&gt;0,IF(_xlpm.estVol,IF(ROUND(_xlpm.val,3)&gt;=1,ROUND(_xlpm.val,3)&amp;" L",MAX(1,ROUND(_xlpm.val*100,0))&amp;" cl"),IF(_xlpm.estPoids,IF(ROUND(_xlpm.val,3)&gt;=1,ROUND(_xlpm.val,3)&amp;" Kg",MAX(1,ROUND(_xlpm.val*1000,0))&amp;" g"),"")))</f>
        <v>300 g</v>
      </c>
      <c r="AA23" s="5211"/>
      <c r="AB23" s="1178"/>
      <c r="AC23" s="1179"/>
      <c r="AD23" s="227" t="s">
        <v>22</v>
      </c>
      <c r="AE23" s="1027" t="str">
        <f t="shared" si="15"/>
        <v>A</v>
      </c>
      <c r="AF23" s="1028" t="str">
        <f t="shared" si="16"/>
        <v>C Coquetiers de l'Antoine | | Auteur &gt; Guy KRENZE - Eric GODDYN - Arnaud NICOLAS - CEPROC 2002</v>
      </c>
      <c r="AG23" s="1029">
        <f t="shared" si="17"/>
        <v>20</v>
      </c>
      <c r="AH23" s="1028" t="str">
        <f t="shared" si="18"/>
        <v>coquetiers de 25 g</v>
      </c>
      <c r="AI23" s="1029" t="str">
        <f t="shared" si="19"/>
        <v>g</v>
      </c>
      <c r="AJ23" s="1029">
        <f t="shared" si="20"/>
        <v>1</v>
      </c>
      <c r="AK23" s="1043" cm="1">
        <f t="array" ref="AK23">IF(AE23&lt;&gt;"A","",IFERROR((IFERROR(_xlfn.XLOOKUP(TRIM(SUBSTITUTE(U23,CHAR(160)," ")),$BI$15:$BI$62,$BL$15:$BL$62),IFERROR(_xlfn.XLOOKUP(TRIM(SUBSTITUTE(U23,CHAR(160)," ")),$BJ$15:$BJ$62,$BL$15:$BL$62),_xlfn.XLOOKUP(TRIM(SUBSTITUTE(U23,CHAR(160)," ")),$BK$15:$BK$62,$BL$15:$BL$62))))*T23*IF(ISBLANK(Q23),1,Q23)+IFERROR(_xlfn.XLOOKUP("RECHERCHEX",TRIM(L23:AC23),L23:AC23),0),0))</f>
        <v>0.3</v>
      </c>
      <c r="AL23" s="1030" t="str">
        <f t="shared" si="21"/>
        <v>Kg</v>
      </c>
      <c r="AM23" s="5254" t="str">
        <f t="shared" si="22"/>
        <v>❾ Author reference &gt;</v>
      </c>
      <c r="AN23" s="1031">
        <f t="shared" si="23"/>
        <v>20</v>
      </c>
      <c r="AO23" s="1031" t="str">
        <f t="shared" si="24"/>
        <v>coquetiers de 25 g</v>
      </c>
      <c r="AP23" s="1044">
        <f t="shared" si="25"/>
        <v>40</v>
      </c>
      <c r="AQ23" s="5257" t="str">
        <f t="shared" si="26"/>
        <v>parts-ou.or.o ❾ + or - &gt;</v>
      </c>
      <c r="AR23" s="1033"/>
      <c r="AS23" s="1033"/>
      <c r="AT23" s="1045">
        <f t="shared" si="27"/>
        <v>0.6</v>
      </c>
      <c r="AU23" s="1046" t="str">
        <f t="shared" si="28"/>
        <v>Kg</v>
      </c>
      <c r="AV23" s="1059" t="str" cm="1">
        <f t="array" ref="AV23">IF(AJ23&lt;&gt;1,0,IF(OR(AT23="",N(AT23)&lt;=0.000000001),"",IF(OR(AN23="",N(AN23)&lt;=0.000000001),0,IF(ISNUMBER(AT23),IFERROR(_xlfn.LET(_xlpm.ai_test,TRIM(AI23),_xlpm.r,IFERROR(_xlfn.XLOOKUP(_xlpm.ai_test,$BI$15:$BI$62,ROW($BI$15:$BI$62),0,1),IFERROR(_xlfn.XLOOKUP(_xlpm.ai_test,$BJ$15:$BJ$62,ROW($BJ$15:$BJ$62),0,1),_xlfn.XLOOKUP(_xlpm.ai_test,$BK$15:$BK$62,ROW($BK$15:$BK$62),0,1))),_xlpm.p,_xlpm.r-MIN(ROW($BI$15:$BI$62))+1,_xlpm.f,INDEX($BL$15:$BL$62,_xlpm.p),_xlpm.u,INDEX($BM$15:$BM$62,_xlpm.p),_xlpm.s,INDEX($BO$15:$BO$62,_xlpm.p),_xlpm.q,N(AT23)/_xlpm.f,IF(_xlpm.q&gt;=_xlpm.s,ROUND(_xlpm.q,1)&amp;" "&amp;_xlpm.ai_test&amp;" = "&amp;ROUND(_xlpm.q*_xlpm.f,1)&amp;" "&amp;_xlpm.u,ROUND(_xlpm.q,1)&amp;" "&amp;_xlpm.ai_test)),""),""))))</f>
        <v>600 g</v>
      </c>
      <c r="AW23" s="1047"/>
      <c r="AX23" s="1045">
        <f t="shared" si="29"/>
        <v>0.6</v>
      </c>
      <c r="AY23" s="1046" t="str">
        <f t="shared" si="30"/>
        <v>Kg</v>
      </c>
      <c r="AZ23" s="1048">
        <f t="shared" ref="AZ23:AZ86" si="37">IF(ISNUMBER(BF23),IF(ABS(BF23)&lt;=0.000000001,0,BF23),0)</f>
        <v>0</v>
      </c>
      <c r="BA23" s="1049" t="str">
        <f t="shared" si="31"/>
        <v/>
      </c>
      <c r="BB23" s="1038">
        <v>1</v>
      </c>
      <c r="BC23" s="1050">
        <f t="shared" si="32"/>
        <v>0.6</v>
      </c>
      <c r="BD23" s="1040" t="str">
        <f t="shared" si="33"/>
        <v>graisse d'oie</v>
      </c>
      <c r="BE23" s="227" t="s">
        <v>22</v>
      </c>
      <c r="BF23" s="1019">
        <f t="shared" si="34"/>
        <v>0</v>
      </c>
      <c r="BG23" s="1020">
        <f t="shared" si="35"/>
        <v>2</v>
      </c>
      <c r="BH23" s="852"/>
      <c r="BI23" s="5258" t="s">
        <v>0</v>
      </c>
      <c r="BJ23" s="5258" t="s">
        <v>0</v>
      </c>
      <c r="BK23" s="5258" t="s">
        <v>0</v>
      </c>
      <c r="BL23" s="1013">
        <v>1</v>
      </c>
      <c r="BM23" s="1051" t="s">
        <v>1814</v>
      </c>
      <c r="BN23" s="1051" t="s">
        <v>1815</v>
      </c>
      <c r="BO23" s="1003">
        <f t="shared" si="13"/>
        <v>1</v>
      </c>
      <c r="BP23" s="1052">
        <v>1000</v>
      </c>
      <c r="BQ23" s="852"/>
      <c r="BR23" s="852"/>
      <c r="BS23" s="852"/>
      <c r="BT23" s="852"/>
      <c r="BU23" s="852"/>
      <c r="BV23" s="852"/>
      <c r="BW23" s="959" t="str">
        <f t="shared" si="10"/>
        <v>A</v>
      </c>
      <c r="BX23" s="861"/>
      <c r="BY23" s="861"/>
      <c r="BZ23" s="861"/>
      <c r="CA23" s="861"/>
      <c r="CB23" s="861"/>
      <c r="CC23" s="957"/>
      <c r="CD23" s="1041"/>
      <c r="CE23" s="372"/>
      <c r="CF23" s="372"/>
      <c r="CG23" s="372"/>
      <c r="CH23" s="1053" t="s">
        <v>1816</v>
      </c>
      <c r="CI23" s="372"/>
      <c r="CJ23" s="1026"/>
      <c r="CL23" s="1041"/>
      <c r="CM23" s="372"/>
      <c r="CN23" s="372"/>
      <c r="CO23" s="372"/>
      <c r="CP23" s="1042" t="s">
        <v>1817</v>
      </c>
      <c r="CQ23" s="372"/>
      <c r="CR23" s="1026"/>
      <c r="CT23" s="1041"/>
      <c r="CU23" s="372"/>
      <c r="CV23" s="372"/>
      <c r="CW23" s="372"/>
      <c r="CX23" s="1053" t="s">
        <v>1818</v>
      </c>
      <c r="CY23" s="372"/>
      <c r="CZ23" s="1026"/>
      <c r="DB23" s="3">
        <v>1</v>
      </c>
    </row>
    <row r="24" spans="1:106" s="709" customFormat="1" ht="21" customHeight="1">
      <c r="A24" s="936" t="s">
        <v>22</v>
      </c>
      <c r="B24" s="952" t="str">
        <f t="shared" si="9"/>
        <v>A</v>
      </c>
      <c r="C24" s="993" cm="1">
        <f t="array" ref="C24">SUMPRODUCT(LEN(D24:J24))</f>
        <v>0</v>
      </c>
      <c r="D24" s="167"/>
      <c r="E24" s="172"/>
      <c r="F24" s="172"/>
      <c r="G24" s="172"/>
      <c r="H24" s="172"/>
      <c r="I24" s="172"/>
      <c r="J24" s="173"/>
      <c r="K24" s="442" t="s">
        <v>22</v>
      </c>
      <c r="L24" s="104" t="str">
        <f t="shared" ref="L24:L37" si="38">IF(W24&lt;&gt;"","A","►")</f>
        <v>A</v>
      </c>
      <c r="M24" s="32" t="str">
        <f>M19</f>
        <v>C Coquetiers de l'Antoine | | Auteur &gt; Guy KRENZE - Eric GODDYN - Arnaud NICOLAS - CEPROC 2002</v>
      </c>
      <c r="N24" s="33">
        <f>N19</f>
        <v>20</v>
      </c>
      <c r="O24" s="32" t="str">
        <f>O19</f>
        <v>coquetiers de 25 g</v>
      </c>
      <c r="P24" s="34" t="str">
        <f>P19</f>
        <v>Recette mère ► le Boudin en 4 déclinaisons</v>
      </c>
      <c r="Q24" s="92"/>
      <c r="R24" s="93"/>
      <c r="S24" s="94" t="str">
        <f t="shared" si="36"/>
        <v/>
      </c>
      <c r="T24" s="95">
        <v>300</v>
      </c>
      <c r="U24" s="105" t="s">
        <v>99</v>
      </c>
      <c r="V24" s="127">
        <v>1</v>
      </c>
      <c r="W24" s="920" t="s">
        <v>12829</v>
      </c>
      <c r="X24" s="1494">
        <f>IF(OR(ISBLANK(Q17),X17=0),0,Q24*V18)</f>
        <v>0</v>
      </c>
      <c r="Y24" s="101" cm="1">
        <f t="array" ref="Y24">IFERROR(_xlfn.LET(_xlpm.k,UPPER(TRIM(U24)),_xlpm.r,_xlfn.XLOOKUP(_xlpm.k,UPPER(TRIM(Q39:Z39)),Q40:Z40,_xlfn.XLOOKUP(_xlpm.k,UPPER(TRIM(Q41:Z41)),Q42:Z42)),_xlpm.r*T24*V24*V18*IF(ISBLANK(Q24),1,Q24)),0)</f>
        <v>0.3</v>
      </c>
      <c r="Z24" s="1475" t="str">
        <f>_xlfn.LET(_xlpm.unite,SUBSTITUTE(TRIM(U24)," (s)",""),_xlpm.val,Y24,_xlpm.estVol,COUNTIF(T39:Z39,_xlpm.unite)+COUNTIF(T41:Z41,_xlpm.unite)&gt;0,_xlpm.estPoids,COUNTIF(Q39:S39,_xlpm.unite)+COUNTIF(Q41:S41,_xlpm.unite)&gt;0,IF(_xlpm.estVol,IF(ROUND(_xlpm.val,3)&gt;=1,ROUND(_xlpm.val,3)&amp;" L",MAX(1,ROUND(_xlpm.val*100,0))&amp;" cl"),IF(_xlpm.estPoids,IF(ROUND(_xlpm.val,3)&gt;=1,ROUND(_xlpm.val,3)&amp;" Kg",MAX(1,ROUND(_xlpm.val*1000,0))&amp;" g"),"")))</f>
        <v>300 g</v>
      </c>
      <c r="AA24" s="5211"/>
      <c r="AB24" s="1178"/>
      <c r="AC24" s="1179"/>
      <c r="AD24" s="227" t="s">
        <v>22</v>
      </c>
      <c r="AE24" s="1027" t="str">
        <f t="shared" si="15"/>
        <v>A</v>
      </c>
      <c r="AF24" s="1028" t="str">
        <f t="shared" si="16"/>
        <v>C Coquetiers de l'Antoine | | Auteur &gt; Guy KRENZE - Eric GODDYN - Arnaud NICOLAS - CEPROC 2002</v>
      </c>
      <c r="AG24" s="1029">
        <f t="shared" si="17"/>
        <v>20</v>
      </c>
      <c r="AH24" s="1028" t="str">
        <f t="shared" si="18"/>
        <v>coquetiers de 25 g</v>
      </c>
      <c r="AI24" s="1029" t="str">
        <f t="shared" si="19"/>
        <v>g</v>
      </c>
      <c r="AJ24" s="1029">
        <f t="shared" si="20"/>
        <v>1</v>
      </c>
      <c r="AK24" s="1043" cm="1">
        <f t="array" ref="AK24">IF(AE24&lt;&gt;"A","",IFERROR((IFERROR(_xlfn.XLOOKUP(TRIM(SUBSTITUTE(U24,CHAR(160)," ")),$BI$15:$BI$62,$BL$15:$BL$62),IFERROR(_xlfn.XLOOKUP(TRIM(SUBSTITUTE(U24,CHAR(160)," ")),$BJ$15:$BJ$62,$BL$15:$BL$62),_xlfn.XLOOKUP(TRIM(SUBSTITUTE(U24,CHAR(160)," ")),$BK$15:$BK$62,$BL$15:$BL$62))))*T24*IF(ISBLANK(Q24),1,Q24)+IFERROR(_xlfn.XLOOKUP("RECHERCHEX",TRIM(L24:AC24),L24:AC24),0),0))</f>
        <v>0.3</v>
      </c>
      <c r="AL24" s="1030" t="str">
        <f t="shared" si="21"/>
        <v>Kg</v>
      </c>
      <c r="AM24" s="5254" t="str">
        <f t="shared" si="22"/>
        <v>❾ Author reference &gt;</v>
      </c>
      <c r="AN24" s="1031">
        <f t="shared" si="23"/>
        <v>20</v>
      </c>
      <c r="AO24" s="1031" t="str">
        <f t="shared" si="24"/>
        <v>coquetiers de 25 g</v>
      </c>
      <c r="AP24" s="1032">
        <f t="shared" si="25"/>
        <v>40</v>
      </c>
      <c r="AQ24" s="5255" t="str">
        <f t="shared" si="26"/>
        <v>parts-ou.or.o ❾ + or - &gt;</v>
      </c>
      <c r="AR24" s="1033"/>
      <c r="AS24" s="1033"/>
      <c r="AT24" s="1034">
        <f t="shared" si="27"/>
        <v>0.6</v>
      </c>
      <c r="AU24" s="1035" t="str">
        <f t="shared" si="28"/>
        <v>Kg</v>
      </c>
      <c r="AV24" s="1057" t="str" cm="1">
        <f t="array" ref="AV24">IF(AJ24&lt;&gt;1,0,IF(OR(AT24="",N(AT24)&lt;=0.000000001),"",IF(OR(AN24="",N(AN24)&lt;=0.000000001),0,IF(ISNUMBER(AT24),IFERROR(_xlfn.LET(_xlpm.ai_test,TRIM(AI24),_xlpm.r,IFERROR(_xlfn.XLOOKUP(_xlpm.ai_test,$BI$15:$BI$62,ROW($BI$15:$BI$62),0,1),IFERROR(_xlfn.XLOOKUP(_xlpm.ai_test,$BJ$15:$BJ$62,ROW($BJ$15:$BJ$62),0,1),_xlfn.XLOOKUP(_xlpm.ai_test,$BK$15:$BK$62,ROW($BK$15:$BK$62),0,1))),_xlpm.p,_xlpm.r-MIN(ROW($BI$15:$BI$62))+1,_xlpm.f,INDEX($BL$15:$BL$62,_xlpm.p),_xlpm.u,INDEX($BM$15:$BM$62,_xlpm.p),_xlpm.s,INDEX($BO$15:$BO$62,_xlpm.p),_xlpm.q,N(AT24)/_xlpm.f,IF(_xlpm.q&gt;=_xlpm.s,ROUND(_xlpm.q,1)&amp;" "&amp;_xlpm.ai_test&amp;" = "&amp;ROUND(_xlpm.q*_xlpm.f,1)&amp;" "&amp;_xlpm.u,ROUND(_xlpm.q,1)&amp;" "&amp;_xlpm.ai_test)),""),""))))</f>
        <v>600 g</v>
      </c>
      <c r="AW24" s="1047"/>
      <c r="AX24" s="1034">
        <f t="shared" si="29"/>
        <v>0.6</v>
      </c>
      <c r="AY24" s="1035" t="str">
        <f t="shared" si="30"/>
        <v>Kg</v>
      </c>
      <c r="AZ24" s="1036">
        <f t="shared" si="37"/>
        <v>0</v>
      </c>
      <c r="BA24" s="1037" t="str">
        <f t="shared" si="31"/>
        <v/>
      </c>
      <c r="BB24" s="1038"/>
      <c r="BC24" s="1039">
        <f t="shared" si="32"/>
        <v>0</v>
      </c>
      <c r="BD24" s="1040" t="str">
        <f t="shared" si="33"/>
        <v>oignons cuits/crus= 700g</v>
      </c>
      <c r="BE24" s="227" t="s">
        <v>22</v>
      </c>
      <c r="BF24" s="1019">
        <f t="shared" si="34"/>
        <v>0</v>
      </c>
      <c r="BG24" s="1020">
        <f t="shared" si="35"/>
        <v>2</v>
      </c>
      <c r="BH24" s="852"/>
      <c r="BI24" s="5193" t="s">
        <v>96</v>
      </c>
      <c r="BJ24" s="5193" t="s">
        <v>96</v>
      </c>
      <c r="BK24" s="5193" t="s">
        <v>96</v>
      </c>
      <c r="BL24" s="1013">
        <v>0.1</v>
      </c>
      <c r="BM24" s="1051" t="s">
        <v>1814</v>
      </c>
      <c r="BN24" s="1051" t="s">
        <v>1815</v>
      </c>
      <c r="BO24" s="1003">
        <f>ROUND(1/BL24,0)</f>
        <v>10</v>
      </c>
      <c r="BP24" s="1052">
        <v>100</v>
      </c>
      <c r="BQ24" s="852"/>
      <c r="BR24" s="852"/>
      <c r="BS24" s="852"/>
      <c r="BT24" s="852"/>
      <c r="BU24" s="852"/>
      <c r="BV24" s="852"/>
      <c r="BW24" s="959" t="str">
        <f t="shared" si="10"/>
        <v>A</v>
      </c>
      <c r="BX24" s="861"/>
      <c r="BY24" s="861"/>
      <c r="BZ24" s="861"/>
      <c r="CA24" s="861"/>
      <c r="CB24" s="861"/>
      <c r="CC24" s="957"/>
      <c r="CD24" s="1008"/>
      <c r="CE24" s="1054"/>
      <c r="CF24" s="1000"/>
      <c r="CG24" s="1055" t="s">
        <v>13472</v>
      </c>
      <c r="CH24" s="1000"/>
      <c r="CI24" s="1000"/>
      <c r="CJ24" s="1001"/>
      <c r="CL24" s="1008"/>
      <c r="CM24" s="1054"/>
      <c r="CN24" s="1000"/>
      <c r="CO24" s="1055" t="s">
        <v>13473</v>
      </c>
      <c r="CP24" s="1000"/>
      <c r="CQ24" s="1000"/>
      <c r="CR24" s="1001"/>
      <c r="CT24" s="1008"/>
      <c r="CU24" s="1054"/>
      <c r="CV24" s="1000"/>
      <c r="CW24" s="1055" t="s">
        <v>13474</v>
      </c>
      <c r="CX24" s="1000"/>
      <c r="CY24" s="1000"/>
      <c r="CZ24" s="1001"/>
      <c r="DB24" s="3">
        <v>1</v>
      </c>
    </row>
    <row r="25" spans="1:106" s="709" customFormat="1" ht="21" customHeight="1">
      <c r="A25" s="936" t="s">
        <v>22</v>
      </c>
      <c r="B25" s="952" t="str">
        <f t="shared" si="9"/>
        <v>A</v>
      </c>
      <c r="C25" s="993" cm="1">
        <f t="array" ref="C25">SUMPRODUCT(LEN(D25:J25))</f>
        <v>0</v>
      </c>
      <c r="D25" s="167"/>
      <c r="E25" s="172"/>
      <c r="F25" s="172"/>
      <c r="G25" s="172"/>
      <c r="H25" s="172"/>
      <c r="I25" s="172"/>
      <c r="J25" s="173"/>
      <c r="K25" s="442" t="s">
        <v>22</v>
      </c>
      <c r="L25" s="104" t="str">
        <f t="shared" si="38"/>
        <v>A</v>
      </c>
      <c r="M25" s="32" t="str">
        <f>M19</f>
        <v>C Coquetiers de l'Antoine | | Auteur &gt; Guy KRENZE - Eric GODDYN - Arnaud NICOLAS - CEPROC 2002</v>
      </c>
      <c r="N25" s="33">
        <f>N19</f>
        <v>20</v>
      </c>
      <c r="O25" s="32" t="str">
        <f>O19</f>
        <v>coquetiers de 25 g</v>
      </c>
      <c r="P25" s="34" t="str">
        <f>P19</f>
        <v>Recette mère ► le Boudin en 4 déclinaisons</v>
      </c>
      <c r="Q25" s="92"/>
      <c r="R25" s="108"/>
      <c r="S25" s="94" t="str">
        <f t="shared" si="36"/>
        <v/>
      </c>
      <c r="T25" s="95">
        <v>45</v>
      </c>
      <c r="U25" s="105" t="s">
        <v>99</v>
      </c>
      <c r="V25" s="127">
        <v>1</v>
      </c>
      <c r="W25" s="920" t="s">
        <v>12822</v>
      </c>
      <c r="X25" s="1494">
        <f>IF(OR(ISBLANK(Q17),X17=0),0,Q25*V18)</f>
        <v>0</v>
      </c>
      <c r="Y25" s="101" cm="1">
        <f t="array" ref="Y25">IFERROR(_xlfn.LET(_xlpm.k,UPPER(TRIM(U25)),_xlpm.r,_xlfn.XLOOKUP(_xlpm.k,UPPER(TRIM(Q39:Z39)),Q40:Z40,_xlfn.XLOOKUP(_xlpm.k,UPPER(TRIM(Q41:Z41)),Q42:Z42)),_xlpm.r*T25*V25*V18*IF(ISBLANK(Q25),1,Q25)),0)</f>
        <v>4.4999999999999998E-2</v>
      </c>
      <c r="Z25" s="1476" t="str">
        <f>_xlfn.LET(_xlpm.unite,SUBSTITUTE(TRIM(U25)," (s)",""),_xlpm.val,Y25,_xlpm.estVol,COUNTIF(T39:Z39,_xlpm.unite)+COUNTIF(T41:Z41,_xlpm.unite)&gt;0,_xlpm.estPoids,COUNTIF(Q39:S39,_xlpm.unite)+COUNTIF(Q41:S41,_xlpm.unite)&gt;0,IF(_xlpm.estVol,IF(ROUND(_xlpm.val,3)&gt;=1,ROUND(_xlpm.val,3)&amp;" L",MAX(1,ROUND(_xlpm.val*100,0))&amp;" cl"),IF(_xlpm.estPoids,IF(ROUND(_xlpm.val,3)&gt;=1,ROUND(_xlpm.val,3)&amp;" Kg",MAX(1,ROUND(_xlpm.val*1000,0))&amp;" g"),"")))</f>
        <v>45 g</v>
      </c>
      <c r="AA25" s="5211"/>
      <c r="AB25" s="1178"/>
      <c r="AC25" s="1179"/>
      <c r="AD25" s="227" t="s">
        <v>22</v>
      </c>
      <c r="AE25" s="1027" t="str">
        <f t="shared" si="15"/>
        <v>A</v>
      </c>
      <c r="AF25" s="1028" t="str">
        <f t="shared" si="16"/>
        <v>C Coquetiers de l'Antoine | | Auteur &gt; Guy KRENZE - Eric GODDYN - Arnaud NICOLAS - CEPROC 2002</v>
      </c>
      <c r="AG25" s="1029">
        <f t="shared" si="17"/>
        <v>20</v>
      </c>
      <c r="AH25" s="1028" t="str">
        <f t="shared" si="18"/>
        <v>coquetiers de 25 g</v>
      </c>
      <c r="AI25" s="1029" t="str">
        <f t="shared" si="19"/>
        <v>g</v>
      </c>
      <c r="AJ25" s="1029">
        <f t="shared" si="20"/>
        <v>1</v>
      </c>
      <c r="AK25" s="1043" cm="1">
        <f t="array" ref="AK25">IF(AE25&lt;&gt;"A","",IFERROR((IFERROR(_xlfn.XLOOKUP(TRIM(SUBSTITUTE(U25,CHAR(160)," ")),$BI$15:$BI$62,$BL$15:$BL$62),IFERROR(_xlfn.XLOOKUP(TRIM(SUBSTITUTE(U25,CHAR(160)," ")),$BJ$15:$BJ$62,$BL$15:$BL$62),_xlfn.XLOOKUP(TRIM(SUBSTITUTE(U25,CHAR(160)," ")),$BK$15:$BK$62,$BL$15:$BL$62))))*T25*IF(ISBLANK(Q25),1,Q25)+IFERROR(_xlfn.XLOOKUP("RECHERCHEX",TRIM(L25:AC25),L25:AC25),0),0))</f>
        <v>4.4999999999999998E-2</v>
      </c>
      <c r="AL25" s="1030" t="str">
        <f t="shared" si="21"/>
        <v>Kg</v>
      </c>
      <c r="AM25" s="5254" t="str">
        <f t="shared" si="22"/>
        <v>❾ Author reference &gt;</v>
      </c>
      <c r="AN25" s="1031">
        <f t="shared" si="23"/>
        <v>20</v>
      </c>
      <c r="AO25" s="1031" t="str">
        <f t="shared" si="24"/>
        <v>coquetiers de 25 g</v>
      </c>
      <c r="AP25" s="1044">
        <f t="shared" si="25"/>
        <v>40</v>
      </c>
      <c r="AQ25" s="5257" t="str">
        <f t="shared" si="26"/>
        <v>parts-ou.or.o ❾ + or - &gt;</v>
      </c>
      <c r="AR25" s="1033"/>
      <c r="AS25" s="1033"/>
      <c r="AT25" s="1045">
        <f t="shared" si="27"/>
        <v>0.09</v>
      </c>
      <c r="AU25" s="1046" t="str">
        <f t="shared" si="28"/>
        <v>Kg</v>
      </c>
      <c r="AV25" s="1059" t="str" cm="1">
        <f t="array" ref="AV25">IF(AJ25&lt;&gt;1,0,IF(OR(AT25="",N(AT25)&lt;=0.000000001),"",IF(OR(AN25="",N(AN25)&lt;=0.000000001),0,IF(ISNUMBER(AT25),IFERROR(_xlfn.LET(_xlpm.ai_test,TRIM(AI25),_xlpm.r,IFERROR(_xlfn.XLOOKUP(_xlpm.ai_test,$BI$15:$BI$62,ROW($BI$15:$BI$62),0,1),IFERROR(_xlfn.XLOOKUP(_xlpm.ai_test,$BJ$15:$BJ$62,ROW($BJ$15:$BJ$62),0,1),_xlfn.XLOOKUP(_xlpm.ai_test,$BK$15:$BK$62,ROW($BK$15:$BK$62),0,1))),_xlpm.p,_xlpm.r-MIN(ROW($BI$15:$BI$62))+1,_xlpm.f,INDEX($BL$15:$BL$62,_xlpm.p),_xlpm.u,INDEX($BM$15:$BM$62,_xlpm.p),_xlpm.s,INDEX($BO$15:$BO$62,_xlpm.p),_xlpm.q,N(AT25)/_xlpm.f,IF(_xlpm.q&gt;=_xlpm.s,ROUND(_xlpm.q,1)&amp;" "&amp;_xlpm.ai_test&amp;" = "&amp;ROUND(_xlpm.q*_xlpm.f,1)&amp;" "&amp;_xlpm.u,ROUND(_xlpm.q,1)&amp;" "&amp;_xlpm.ai_test)),""),""))))</f>
        <v>90 g</v>
      </c>
      <c r="AW25" s="1047"/>
      <c r="AX25" s="1045">
        <f t="shared" si="29"/>
        <v>0.09</v>
      </c>
      <c r="AY25" s="1046" t="str">
        <f t="shared" si="30"/>
        <v>Kg</v>
      </c>
      <c r="AZ25" s="1048">
        <f t="shared" si="37"/>
        <v>0</v>
      </c>
      <c r="BA25" s="1049" t="str">
        <f t="shared" si="31"/>
        <v/>
      </c>
      <c r="BB25" s="1038"/>
      <c r="BC25" s="1050">
        <f t="shared" si="32"/>
        <v>0</v>
      </c>
      <c r="BD25" s="1040" t="str">
        <f t="shared" si="33"/>
        <v>compote de pomme</v>
      </c>
      <c r="BE25" s="227" t="s">
        <v>22</v>
      </c>
      <c r="BF25" s="1019">
        <f t="shared" si="34"/>
        <v>0</v>
      </c>
      <c r="BG25" s="1020">
        <f t="shared" si="35"/>
        <v>2</v>
      </c>
      <c r="BH25" s="852"/>
      <c r="BI25" s="5193" t="s">
        <v>147</v>
      </c>
      <c r="BJ25" s="5193" t="s">
        <v>147</v>
      </c>
      <c r="BK25" s="5193" t="s">
        <v>147</v>
      </c>
      <c r="BL25" s="1013">
        <v>0.01</v>
      </c>
      <c r="BM25" s="1051" t="s">
        <v>1814</v>
      </c>
      <c r="BN25" s="1051" t="s">
        <v>1815</v>
      </c>
      <c r="BO25" s="864">
        <v>100</v>
      </c>
      <c r="BP25" s="1052">
        <v>10</v>
      </c>
      <c r="BQ25" s="852"/>
      <c r="BS25" s="852"/>
      <c r="BT25" s="852"/>
      <c r="BU25" s="852"/>
      <c r="BV25" s="852"/>
      <c r="BW25" s="959" t="str">
        <f t="shared" si="10"/>
        <v>A</v>
      </c>
      <c r="BX25" s="861"/>
      <c r="BY25" s="861"/>
      <c r="BZ25" s="861"/>
      <c r="CA25" s="861"/>
      <c r="CB25" s="861"/>
      <c r="CC25" s="957"/>
      <c r="CD25" s="1021"/>
      <c r="CE25" s="1009"/>
      <c r="CF25" s="1000"/>
      <c r="CG25" s="1000"/>
      <c r="CH25" s="1000"/>
      <c r="CI25" s="1000"/>
      <c r="CJ25" s="1001"/>
      <c r="CL25" s="1021"/>
      <c r="CM25" s="1009"/>
      <c r="CN25" s="1000"/>
      <c r="CO25" s="1000"/>
      <c r="CP25" s="1000"/>
      <c r="CQ25" s="1000"/>
      <c r="CR25" s="1001"/>
      <c r="CT25" s="1021"/>
      <c r="CU25" s="1009"/>
      <c r="CV25" s="1000"/>
      <c r="CW25" s="1000"/>
      <c r="CX25" s="1000"/>
      <c r="CY25" s="1000"/>
      <c r="CZ25" s="1001"/>
      <c r="DB25" s="3">
        <v>1</v>
      </c>
    </row>
    <row r="26" spans="1:106" s="709" customFormat="1" ht="21" customHeight="1">
      <c r="A26" s="936" t="s">
        <v>22</v>
      </c>
      <c r="B26" s="952" t="str">
        <f t="shared" si="9"/>
        <v>A</v>
      </c>
      <c r="C26" s="993" cm="1">
        <f t="array" ref="C26">SUMPRODUCT(LEN(D26:J26))</f>
        <v>0</v>
      </c>
      <c r="D26" s="167"/>
      <c r="E26" s="172"/>
      <c r="F26" s="172"/>
      <c r="G26" s="172"/>
      <c r="H26" s="172"/>
      <c r="I26" s="172"/>
      <c r="J26" s="173"/>
      <c r="K26" s="442" t="s">
        <v>22</v>
      </c>
      <c r="L26" s="104" t="str">
        <f t="shared" si="38"/>
        <v>A</v>
      </c>
      <c r="M26" s="32" t="str">
        <f>M19</f>
        <v>C Coquetiers de l'Antoine | | Auteur &gt; Guy KRENZE - Eric GODDYN - Arnaud NICOLAS - CEPROC 2002</v>
      </c>
      <c r="N26" s="33">
        <f>N19</f>
        <v>20</v>
      </c>
      <c r="O26" s="32" t="str">
        <f>O19</f>
        <v>coquetiers de 25 g</v>
      </c>
      <c r="P26" s="34" t="str">
        <f>P19</f>
        <v>Recette mère ► le Boudin en 4 déclinaisons</v>
      </c>
      <c r="Q26" s="92"/>
      <c r="R26" s="108"/>
      <c r="S26" s="94" t="str">
        <f t="shared" si="36"/>
        <v/>
      </c>
      <c r="T26" s="95">
        <v>50</v>
      </c>
      <c r="U26" s="105" t="s">
        <v>99</v>
      </c>
      <c r="V26" s="127">
        <v>1</v>
      </c>
      <c r="W26" s="920" t="s">
        <v>12823</v>
      </c>
      <c r="X26" s="1494">
        <f>IF(OR(ISBLANK(Q17),X17=0),0,Q26*V18)</f>
        <v>0</v>
      </c>
      <c r="Y26" s="101" cm="1">
        <f t="array" ref="Y26">IFERROR(_xlfn.LET(_xlpm.k,UPPER(TRIM(U26)),_xlpm.r,_xlfn.XLOOKUP(_xlpm.k,UPPER(TRIM(Q39:Z39)),Q40:Z40,_xlfn.XLOOKUP(_xlpm.k,UPPER(TRIM(Q41:Z41)),Q42:Z42)),_xlpm.r*T26*V26*V18*IF(ISBLANK(Q26),1,Q26)),0)</f>
        <v>0.05</v>
      </c>
      <c r="Z26" s="1475" t="str">
        <f>_xlfn.LET(_xlpm.unite,SUBSTITUTE(TRIM(U26)," (s)",""),_xlpm.val,Y26,_xlpm.estVol,COUNTIF(T39:Z39,_xlpm.unite)+COUNTIF(T41:Z41,_xlpm.unite)&gt;0,_xlpm.estPoids,COUNTIF(Q39:S39,_xlpm.unite)+COUNTIF(Q41:S41,_xlpm.unite)&gt;0,IF(_xlpm.estVol,IF(ROUND(_xlpm.val,3)&gt;=1,ROUND(_xlpm.val,3)&amp;" L",MAX(1,ROUND(_xlpm.val*100,0))&amp;" cl"),IF(_xlpm.estPoids,IF(ROUND(_xlpm.val,3)&gt;=1,ROUND(_xlpm.val,3)&amp;" Kg",MAX(1,ROUND(_xlpm.val*1000,0))&amp;" g"),"")))</f>
        <v>50 g</v>
      </c>
      <c r="AA26" s="5211"/>
      <c r="AB26" s="1178"/>
      <c r="AC26" s="1179"/>
      <c r="AD26" s="227" t="s">
        <v>22</v>
      </c>
      <c r="AE26" s="1027" t="str">
        <f t="shared" si="15"/>
        <v>A</v>
      </c>
      <c r="AF26" s="1028" t="str">
        <f t="shared" si="16"/>
        <v>C Coquetiers de l'Antoine | | Auteur &gt; Guy KRENZE - Eric GODDYN - Arnaud NICOLAS - CEPROC 2002</v>
      </c>
      <c r="AG26" s="1029">
        <f t="shared" si="17"/>
        <v>20</v>
      </c>
      <c r="AH26" s="1028" t="str">
        <f t="shared" si="18"/>
        <v>coquetiers de 25 g</v>
      </c>
      <c r="AI26" s="1029" t="str">
        <f t="shared" si="19"/>
        <v>g</v>
      </c>
      <c r="AJ26" s="1029">
        <f t="shared" si="20"/>
        <v>1</v>
      </c>
      <c r="AK26" s="1043" cm="1">
        <f t="array" ref="AK26">IF(AE26&lt;&gt;"A","",IFERROR((IFERROR(_xlfn.XLOOKUP(TRIM(SUBSTITUTE(U26,CHAR(160)," ")),$BI$15:$BI$62,$BL$15:$BL$62),IFERROR(_xlfn.XLOOKUP(TRIM(SUBSTITUTE(U26,CHAR(160)," ")),$BJ$15:$BJ$62,$BL$15:$BL$62),_xlfn.XLOOKUP(TRIM(SUBSTITUTE(U26,CHAR(160)," ")),$BK$15:$BK$62,$BL$15:$BL$62))))*T26*IF(ISBLANK(Q26),1,Q26)+IFERROR(_xlfn.XLOOKUP("RECHERCHEX",TRIM(L26:AC26),L26:AC26),0),0))</f>
        <v>0.05</v>
      </c>
      <c r="AL26" s="1030" t="str">
        <f t="shared" si="21"/>
        <v>Kg</v>
      </c>
      <c r="AM26" s="5254" t="str">
        <f t="shared" si="22"/>
        <v>❾ Author reference &gt;</v>
      </c>
      <c r="AN26" s="1031">
        <f t="shared" si="23"/>
        <v>20</v>
      </c>
      <c r="AO26" s="1031" t="str">
        <f t="shared" si="24"/>
        <v>coquetiers de 25 g</v>
      </c>
      <c r="AP26" s="1032">
        <f t="shared" si="25"/>
        <v>40</v>
      </c>
      <c r="AQ26" s="5255" t="str">
        <f t="shared" si="26"/>
        <v>parts-ou.or.o ❾ + or - &gt;</v>
      </c>
      <c r="AR26" s="1033"/>
      <c r="AS26" s="1033"/>
      <c r="AT26" s="1034">
        <f t="shared" si="27"/>
        <v>0.1</v>
      </c>
      <c r="AU26" s="1035" t="str">
        <f t="shared" si="28"/>
        <v>Kg</v>
      </c>
      <c r="AV26" s="1057" t="str" cm="1">
        <f t="array" ref="AV26">IF(AJ26&lt;&gt;1,0,IF(OR(AT26="",N(AT26)&lt;=0.000000001),"",IF(OR(AN26="",N(AN26)&lt;=0.000000001),0,IF(ISNUMBER(AT26),IFERROR(_xlfn.LET(_xlpm.ai_test,TRIM(AI26),_xlpm.r,IFERROR(_xlfn.XLOOKUP(_xlpm.ai_test,$BI$15:$BI$62,ROW($BI$15:$BI$62),0,1),IFERROR(_xlfn.XLOOKUP(_xlpm.ai_test,$BJ$15:$BJ$62,ROW($BJ$15:$BJ$62),0,1),_xlfn.XLOOKUP(_xlpm.ai_test,$BK$15:$BK$62,ROW($BK$15:$BK$62),0,1))),_xlpm.p,_xlpm.r-MIN(ROW($BI$15:$BI$62))+1,_xlpm.f,INDEX($BL$15:$BL$62,_xlpm.p),_xlpm.u,INDEX($BM$15:$BM$62,_xlpm.p),_xlpm.s,INDEX($BO$15:$BO$62,_xlpm.p),_xlpm.q,N(AT26)/_xlpm.f,IF(_xlpm.q&gt;=_xlpm.s,ROUND(_xlpm.q,1)&amp;" "&amp;_xlpm.ai_test&amp;" = "&amp;ROUND(_xlpm.q*_xlpm.f,1)&amp;" "&amp;_xlpm.u,ROUND(_xlpm.q,1)&amp;" "&amp;_xlpm.ai_test)),""),""))))</f>
        <v>100 g</v>
      </c>
      <c r="AW26" s="1047"/>
      <c r="AX26" s="1034">
        <f t="shared" si="29"/>
        <v>0.1</v>
      </c>
      <c r="AY26" s="1035" t="str">
        <f t="shared" si="30"/>
        <v>Kg</v>
      </c>
      <c r="AZ26" s="1036">
        <f t="shared" si="37"/>
        <v>0</v>
      </c>
      <c r="BA26" s="1037" t="str">
        <f t="shared" si="31"/>
        <v/>
      </c>
      <c r="BB26" s="1038"/>
      <c r="BC26" s="1039">
        <f>IF(OR(AN26=0,ISBLANK(BB26),ISTEXT(AZ26)),0,(IF(AT26=0,AZ26,AT26)*BB26))</f>
        <v>0</v>
      </c>
      <c r="BD26" s="1040" t="str">
        <f t="shared" si="33"/>
        <v>crème liquide</v>
      </c>
      <c r="BE26" s="227" t="s">
        <v>22</v>
      </c>
      <c r="BF26" s="1019">
        <f t="shared" si="34"/>
        <v>0</v>
      </c>
      <c r="BG26" s="1020">
        <f t="shared" si="35"/>
        <v>2</v>
      </c>
      <c r="BH26" s="852"/>
      <c r="BI26" s="5258" t="s">
        <v>148</v>
      </c>
      <c r="BJ26" s="5258" t="s">
        <v>148</v>
      </c>
      <c r="BK26" s="5258" t="s">
        <v>148</v>
      </c>
      <c r="BL26" s="1013">
        <v>1E-3</v>
      </c>
      <c r="BM26" s="1051" t="s">
        <v>1814</v>
      </c>
      <c r="BN26" s="1051" t="s">
        <v>1815</v>
      </c>
      <c r="BO26" s="1003">
        <f t="shared" ref="BO26:BO62" si="39">ROUND(1/BL26,0)</f>
        <v>1000</v>
      </c>
      <c r="BP26" s="1052">
        <v>1</v>
      </c>
      <c r="BQ26" s="852"/>
      <c r="BS26" s="852"/>
      <c r="BT26" s="852"/>
      <c r="BU26" s="852"/>
      <c r="BV26" s="852"/>
      <c r="BW26" s="959" t="str">
        <f t="shared" si="10"/>
        <v>A</v>
      </c>
      <c r="BX26" s="861"/>
      <c r="BY26" s="861"/>
      <c r="BZ26" s="861"/>
      <c r="CA26" s="861"/>
      <c r="CB26" s="861"/>
      <c r="CC26" s="957"/>
      <c r="CD26" s="5560" t="s">
        <v>13475</v>
      </c>
      <c r="CE26" s="5561"/>
      <c r="CF26" s="5561"/>
      <c r="CG26" s="5561"/>
      <c r="CH26" s="5561"/>
      <c r="CI26" s="5561"/>
      <c r="CJ26" s="5562"/>
      <c r="CL26" s="5560" t="s">
        <v>13476</v>
      </c>
      <c r="CM26" s="5561"/>
      <c r="CN26" s="5561"/>
      <c r="CO26" s="5561"/>
      <c r="CP26" s="5561"/>
      <c r="CQ26" s="5561"/>
      <c r="CR26" s="5562"/>
      <c r="CT26" s="5560" t="s">
        <v>13477</v>
      </c>
      <c r="CU26" s="5561"/>
      <c r="CV26" s="5561"/>
      <c r="CW26" s="5561"/>
      <c r="CX26" s="5561"/>
      <c r="CY26" s="5561"/>
      <c r="CZ26" s="5562"/>
      <c r="DB26" s="3">
        <v>1</v>
      </c>
    </row>
    <row r="27" spans="1:106" s="709" customFormat="1" ht="21" customHeight="1">
      <c r="A27" s="936" t="s">
        <v>22</v>
      </c>
      <c r="B27" s="952" t="str">
        <f t="shared" si="9"/>
        <v>A</v>
      </c>
      <c r="C27" s="993" cm="1">
        <f t="array" ref="C27">SUMPRODUCT(LEN(D27:J27))</f>
        <v>0</v>
      </c>
      <c r="D27" s="167"/>
      <c r="E27" s="172"/>
      <c r="F27" s="172"/>
      <c r="G27" s="172"/>
      <c r="H27" s="172"/>
      <c r="I27" s="172"/>
      <c r="J27" s="173"/>
      <c r="K27" s="442" t="s">
        <v>22</v>
      </c>
      <c r="L27" s="104" t="str">
        <f t="shared" si="38"/>
        <v>A</v>
      </c>
      <c r="M27" s="32" t="str">
        <f>M19</f>
        <v>C Coquetiers de l'Antoine | | Auteur &gt; Guy KRENZE - Eric GODDYN - Arnaud NICOLAS - CEPROC 2002</v>
      </c>
      <c r="N27" s="33">
        <f>N19</f>
        <v>20</v>
      </c>
      <c r="O27" s="32" t="str">
        <f>O19</f>
        <v>coquetiers de 25 g</v>
      </c>
      <c r="P27" s="34" t="str">
        <f>P19</f>
        <v>Recette mère ► le Boudin en 4 déclinaisons</v>
      </c>
      <c r="Q27" s="92"/>
      <c r="R27" s="108"/>
      <c r="S27" s="94" t="str">
        <f t="shared" si="36"/>
        <v/>
      </c>
      <c r="T27" s="95">
        <v>7</v>
      </c>
      <c r="U27" s="105" t="s">
        <v>99</v>
      </c>
      <c r="V27" s="127">
        <v>1</v>
      </c>
      <c r="W27" s="920" t="s">
        <v>12824</v>
      </c>
      <c r="X27" s="1494">
        <f>IF(OR(ISBLANK(Q17),X17=0),0,Q27*V18)</f>
        <v>0</v>
      </c>
      <c r="Y27" s="101" cm="1">
        <f t="array" ref="Y27">IFERROR(_xlfn.LET(_xlpm.k,UPPER(TRIM(U27)),_xlpm.r,_xlfn.XLOOKUP(_xlpm.k,UPPER(TRIM(Q39:Z39)),Q40:Z40,_xlfn.XLOOKUP(_xlpm.k,UPPER(TRIM(Q41:Z41)),Q42:Z42)),_xlpm.r*T27*V27*V18*IF(ISBLANK(Q27),1,Q27)),0)</f>
        <v>7.0000000000000001E-3</v>
      </c>
      <c r="Z27" s="1476" t="str">
        <f>_xlfn.LET(_xlpm.unite,SUBSTITUTE(TRIM(U27)," (s)",""),_xlpm.val,Y27,_xlpm.estVol,COUNTIF(T39:Z39,_xlpm.unite)+COUNTIF(T41:Z41,_xlpm.unite)&gt;0,_xlpm.estPoids,COUNTIF(Q39:S39,_xlpm.unite)+COUNTIF(Q41:S41,_xlpm.unite)&gt;0,IF(_xlpm.estVol,IF(ROUND(_xlpm.val,3)&gt;=1,ROUND(_xlpm.val,3)&amp;" L",MAX(1,ROUND(_xlpm.val*100,0))&amp;" cl"),IF(_xlpm.estPoids,IF(ROUND(_xlpm.val,3)&gt;=1,ROUND(_xlpm.val,3)&amp;" Kg",MAX(1,ROUND(_xlpm.val*1000,0))&amp;" g"),"")))</f>
        <v>7 g</v>
      </c>
      <c r="AA27" s="5211"/>
      <c r="AB27" s="1178"/>
      <c r="AC27" s="1179"/>
      <c r="AD27" s="227" t="s">
        <v>22</v>
      </c>
      <c r="AE27" s="1027" t="str">
        <f t="shared" si="15"/>
        <v>A</v>
      </c>
      <c r="AF27" s="1028" t="str">
        <f t="shared" si="16"/>
        <v>C Coquetiers de l'Antoine | | Auteur &gt; Guy KRENZE - Eric GODDYN - Arnaud NICOLAS - CEPROC 2002</v>
      </c>
      <c r="AG27" s="1029">
        <f t="shared" si="17"/>
        <v>20</v>
      </c>
      <c r="AH27" s="1028" t="str">
        <f t="shared" si="18"/>
        <v>coquetiers de 25 g</v>
      </c>
      <c r="AI27" s="1029" t="str">
        <f t="shared" si="19"/>
        <v>g</v>
      </c>
      <c r="AJ27" s="1029">
        <f t="shared" si="20"/>
        <v>1</v>
      </c>
      <c r="AK27" s="1043" cm="1">
        <f t="array" ref="AK27">IF(AE27&lt;&gt;"A","",IFERROR((IFERROR(_xlfn.XLOOKUP(TRIM(SUBSTITUTE(U27,CHAR(160)," ")),$BI$15:$BI$62,$BL$15:$BL$62),IFERROR(_xlfn.XLOOKUP(TRIM(SUBSTITUTE(U27,CHAR(160)," ")),$BJ$15:$BJ$62,$BL$15:$BL$62),_xlfn.XLOOKUP(TRIM(SUBSTITUTE(U27,CHAR(160)," ")),$BK$15:$BK$62,$BL$15:$BL$62))))*T27*IF(ISBLANK(Q27),1,Q27)+IFERROR(_xlfn.XLOOKUP("RECHERCHEX",TRIM(L27:AC27),L27:AC27),0),0))</f>
        <v>7.0000000000000001E-3</v>
      </c>
      <c r="AL27" s="1030" t="str">
        <f t="shared" si="21"/>
        <v>Kg</v>
      </c>
      <c r="AM27" s="5254" t="str">
        <f t="shared" si="22"/>
        <v>❾ Author reference &gt;</v>
      </c>
      <c r="AN27" s="1031">
        <f t="shared" si="23"/>
        <v>20</v>
      </c>
      <c r="AO27" s="1031" t="str">
        <f t="shared" si="24"/>
        <v>coquetiers de 25 g</v>
      </c>
      <c r="AP27" s="1044">
        <f t="shared" si="25"/>
        <v>40</v>
      </c>
      <c r="AQ27" s="5257" t="str">
        <f t="shared" si="26"/>
        <v>parts-ou.or.o ❾ + or - &gt;</v>
      </c>
      <c r="AR27" s="1033"/>
      <c r="AS27" s="1033"/>
      <c r="AT27" s="1045">
        <f t="shared" si="27"/>
        <v>1.4E-2</v>
      </c>
      <c r="AU27" s="1046" t="str">
        <f t="shared" si="28"/>
        <v>Kg</v>
      </c>
      <c r="AV27" s="1059" t="str" cm="1">
        <f t="array" ref="AV27">IF(AJ27&lt;&gt;1,0,IF(OR(AT27="",N(AT27)&lt;=0.000000001),"",IF(OR(AN27="",N(AN27)&lt;=0.000000001),0,IF(ISNUMBER(AT27),IFERROR(_xlfn.LET(_xlpm.ai_test,TRIM(AI27),_xlpm.r,IFERROR(_xlfn.XLOOKUP(_xlpm.ai_test,$BI$15:$BI$62,ROW($BI$15:$BI$62),0,1),IFERROR(_xlfn.XLOOKUP(_xlpm.ai_test,$BJ$15:$BJ$62,ROW($BJ$15:$BJ$62),0,1),_xlfn.XLOOKUP(_xlpm.ai_test,$BK$15:$BK$62,ROW($BK$15:$BK$62),0,1))),_xlpm.p,_xlpm.r-MIN(ROW($BI$15:$BI$62))+1,_xlpm.f,INDEX($BL$15:$BL$62,_xlpm.p),_xlpm.u,INDEX($BM$15:$BM$62,_xlpm.p),_xlpm.s,INDEX($BO$15:$BO$62,_xlpm.p),_xlpm.q,N(AT27)/_xlpm.f,IF(_xlpm.q&gt;=_xlpm.s,ROUND(_xlpm.q,1)&amp;" "&amp;_xlpm.ai_test&amp;" = "&amp;ROUND(_xlpm.q*_xlpm.f,1)&amp;" "&amp;_xlpm.u,ROUND(_xlpm.q,1)&amp;" "&amp;_xlpm.ai_test)),""),""))))</f>
        <v>14 g</v>
      </c>
      <c r="AW27" s="1047"/>
      <c r="AX27" s="1045">
        <f t="shared" si="29"/>
        <v>1.4E-2</v>
      </c>
      <c r="AY27" s="1046" t="str">
        <f t="shared" si="30"/>
        <v>Kg</v>
      </c>
      <c r="AZ27" s="1048">
        <f t="shared" si="37"/>
        <v>0</v>
      </c>
      <c r="BA27" s="1049" t="str">
        <f t="shared" si="31"/>
        <v/>
      </c>
      <c r="BB27" s="1038"/>
      <c r="BC27" s="1050">
        <f t="shared" ref="BC27:BC90" si="40">IF(OR(AN27=0,ISBLANK(BB27),ISTEXT(AZ27)),0,(IF(AT27=0,AZ27,AT27)*BB27))</f>
        <v>0</v>
      </c>
      <c r="BD27" s="1040" t="str">
        <f t="shared" si="33"/>
        <v>vinaigre de xéres</v>
      </c>
      <c r="BE27" s="227" t="s">
        <v>22</v>
      </c>
      <c r="BF27" s="1019">
        <f t="shared" si="34"/>
        <v>0</v>
      </c>
      <c r="BG27" s="1020">
        <f t="shared" si="35"/>
        <v>2</v>
      </c>
      <c r="BH27" s="852"/>
      <c r="BI27" s="5194" t="s">
        <v>364</v>
      </c>
      <c r="BJ27" s="5194" t="s">
        <v>1378</v>
      </c>
      <c r="BK27" s="5194" t="s">
        <v>1379</v>
      </c>
      <c r="BL27" s="1013">
        <f t="shared" ref="BL27:BL62" si="41">BP27 / 1000</f>
        <v>0.25</v>
      </c>
      <c r="BM27" s="1051" t="s">
        <v>1814</v>
      </c>
      <c r="BN27" s="1051" t="s">
        <v>1815</v>
      </c>
      <c r="BO27" s="1003">
        <f t="shared" si="39"/>
        <v>4</v>
      </c>
      <c r="BP27" s="1052">
        <v>250</v>
      </c>
      <c r="BQ27" s="852"/>
      <c r="BS27" s="852"/>
      <c r="BT27" s="852"/>
      <c r="BU27" s="852"/>
      <c r="BV27" s="852"/>
      <c r="BW27" s="959" t="str">
        <f t="shared" si="10"/>
        <v>A</v>
      </c>
      <c r="BX27" s="861"/>
      <c r="BY27" s="861"/>
      <c r="BZ27" s="861"/>
      <c r="CA27" s="861"/>
      <c r="CB27" s="861"/>
      <c r="CC27" s="957"/>
      <c r="CD27" s="5560"/>
      <c r="CE27" s="5561"/>
      <c r="CF27" s="5561"/>
      <c r="CG27" s="5561"/>
      <c r="CH27" s="5561"/>
      <c r="CI27" s="5561"/>
      <c r="CJ27" s="5562"/>
      <c r="CL27" s="5560"/>
      <c r="CM27" s="5561"/>
      <c r="CN27" s="5561"/>
      <c r="CO27" s="5561"/>
      <c r="CP27" s="5561"/>
      <c r="CQ27" s="5561"/>
      <c r="CR27" s="5562"/>
      <c r="CT27" s="5560"/>
      <c r="CU27" s="5561"/>
      <c r="CV27" s="5561"/>
      <c r="CW27" s="5561"/>
      <c r="CX27" s="5561"/>
      <c r="CY27" s="5561"/>
      <c r="CZ27" s="5562"/>
      <c r="DB27" s="3">
        <v>1</v>
      </c>
    </row>
    <row r="28" spans="1:106" s="709" customFormat="1" ht="21" customHeight="1">
      <c r="A28" s="936" t="s">
        <v>22</v>
      </c>
      <c r="B28" s="952" t="str">
        <f t="shared" si="9"/>
        <v>A</v>
      </c>
      <c r="C28" s="993" cm="1">
        <f t="array" ref="C28">SUMPRODUCT(LEN(D28:J28))</f>
        <v>0</v>
      </c>
      <c r="D28" s="167"/>
      <c r="E28" s="172"/>
      <c r="F28" s="172"/>
      <c r="G28" s="172"/>
      <c r="H28" s="172"/>
      <c r="I28" s="172"/>
      <c r="J28" s="173"/>
      <c r="K28" s="442" t="s">
        <v>22</v>
      </c>
      <c r="L28" s="104" t="str">
        <f t="shared" si="38"/>
        <v>A</v>
      </c>
      <c r="M28" s="32" t="str">
        <f>M19</f>
        <v>C Coquetiers de l'Antoine | | Auteur &gt; Guy KRENZE - Eric GODDYN - Arnaud NICOLAS - CEPROC 2002</v>
      </c>
      <c r="N28" s="33">
        <f>N19</f>
        <v>20</v>
      </c>
      <c r="O28" s="32" t="str">
        <f>O19</f>
        <v>coquetiers de 25 g</v>
      </c>
      <c r="P28" s="34" t="str">
        <f>P19</f>
        <v>Recette mère ► le Boudin en 4 déclinaisons</v>
      </c>
      <c r="Q28" s="92"/>
      <c r="R28" s="108"/>
      <c r="S28" s="94" t="str">
        <f t="shared" si="36"/>
        <v/>
      </c>
      <c r="T28" s="95">
        <v>20</v>
      </c>
      <c r="U28" s="105" t="s">
        <v>99</v>
      </c>
      <c r="V28" s="127">
        <v>1</v>
      </c>
      <c r="W28" s="920" t="s">
        <v>12825</v>
      </c>
      <c r="X28" s="1494">
        <f>IF(OR(ISBLANK(Q17),X17=0),0,Q28*V18)</f>
        <v>0</v>
      </c>
      <c r="Y28" s="101" cm="1">
        <f t="array" ref="Y28">IFERROR(_xlfn.LET(_xlpm.k,UPPER(TRIM(U28)),_xlpm.r,_xlfn.XLOOKUP(_xlpm.k,UPPER(TRIM(Q39:Z39)),Q40:Z40,_xlfn.XLOOKUP(_xlpm.k,UPPER(TRIM(Q41:Z41)),Q42:Z42)),_xlpm.r*T28*V28*V18*IF(ISBLANK(Q28),1,Q28)),0)</f>
        <v>0.02</v>
      </c>
      <c r="Z28" s="1475" t="str">
        <f>_xlfn.LET(_xlpm.unite,SUBSTITUTE(TRIM(U28)," (s)",""),_xlpm.val,Y28,_xlpm.estVol,COUNTIF(T39:Z39,_xlpm.unite)+COUNTIF(T41:Z41,_xlpm.unite)&gt;0,_xlpm.estPoids,COUNTIF(Q39:S39,_xlpm.unite)+COUNTIF(Q41:S41,_xlpm.unite)&gt;0,IF(_xlpm.estVol,IF(ROUND(_xlpm.val,3)&gt;=1,ROUND(_xlpm.val,3)&amp;" L",MAX(1,ROUND(_xlpm.val*100,0))&amp;" cl"),IF(_xlpm.estPoids,IF(ROUND(_xlpm.val,3)&gt;=1,ROUND(_xlpm.val,3)&amp;" Kg",MAX(1,ROUND(_xlpm.val*1000,0))&amp;" g"),"")))</f>
        <v>20 g</v>
      </c>
      <c r="AA28" s="5211"/>
      <c r="AB28" s="1178"/>
      <c r="AC28" s="1179"/>
      <c r="AD28" s="227" t="s">
        <v>22</v>
      </c>
      <c r="AE28" s="1027" t="str">
        <f t="shared" si="15"/>
        <v>A</v>
      </c>
      <c r="AF28" s="1028" t="str">
        <f t="shared" si="16"/>
        <v>C Coquetiers de l'Antoine | | Auteur &gt; Guy KRENZE - Eric GODDYN - Arnaud NICOLAS - CEPROC 2002</v>
      </c>
      <c r="AG28" s="1029">
        <f t="shared" si="17"/>
        <v>20</v>
      </c>
      <c r="AH28" s="1028" t="str">
        <f t="shared" si="18"/>
        <v>coquetiers de 25 g</v>
      </c>
      <c r="AI28" s="1029" t="str">
        <f t="shared" si="19"/>
        <v>g</v>
      </c>
      <c r="AJ28" s="1029">
        <f t="shared" si="20"/>
        <v>1</v>
      </c>
      <c r="AK28" s="1043" cm="1">
        <f t="array" ref="AK28">IF(AE28&lt;&gt;"A","",IFERROR((IFERROR(_xlfn.XLOOKUP(TRIM(SUBSTITUTE(U28,CHAR(160)," ")),$BI$15:$BI$62,$BL$15:$BL$62),IFERROR(_xlfn.XLOOKUP(TRIM(SUBSTITUTE(U28,CHAR(160)," ")),$BJ$15:$BJ$62,$BL$15:$BL$62),_xlfn.XLOOKUP(TRIM(SUBSTITUTE(U28,CHAR(160)," ")),$BK$15:$BK$62,$BL$15:$BL$62))))*T28*IF(ISBLANK(Q28),1,Q28)+IFERROR(_xlfn.XLOOKUP("RECHERCHEX",TRIM(L28:AC28),L28:AC28),0),0))</f>
        <v>0.02</v>
      </c>
      <c r="AL28" s="1030" t="str">
        <f t="shared" si="21"/>
        <v>Kg</v>
      </c>
      <c r="AM28" s="5254" t="str">
        <f t="shared" si="22"/>
        <v>❾ Author reference &gt;</v>
      </c>
      <c r="AN28" s="1031">
        <f t="shared" si="23"/>
        <v>20</v>
      </c>
      <c r="AO28" s="1031" t="str">
        <f t="shared" si="24"/>
        <v>coquetiers de 25 g</v>
      </c>
      <c r="AP28" s="1032">
        <f t="shared" si="25"/>
        <v>40</v>
      </c>
      <c r="AQ28" s="5255" t="str">
        <f t="shared" si="26"/>
        <v>parts-ou.or.o ❾ + or - &gt;</v>
      </c>
      <c r="AR28" s="1033"/>
      <c r="AS28" s="1033"/>
      <c r="AT28" s="1034">
        <f t="shared" si="27"/>
        <v>0.04</v>
      </c>
      <c r="AU28" s="1035" t="str">
        <f t="shared" si="28"/>
        <v>Kg</v>
      </c>
      <c r="AV28" s="1057" t="str" cm="1">
        <f t="array" ref="AV28">IF(AJ28&lt;&gt;1,0,IF(OR(AT28="",N(AT28)&lt;=0.000000001),"",IF(OR(AN28="",N(AN28)&lt;=0.000000001),0,IF(ISNUMBER(AT28),IFERROR(_xlfn.LET(_xlpm.ai_test,TRIM(AI28),_xlpm.r,IFERROR(_xlfn.XLOOKUP(_xlpm.ai_test,$BI$15:$BI$62,ROW($BI$15:$BI$62),0,1),IFERROR(_xlfn.XLOOKUP(_xlpm.ai_test,$BJ$15:$BJ$62,ROW($BJ$15:$BJ$62),0,1),_xlfn.XLOOKUP(_xlpm.ai_test,$BK$15:$BK$62,ROW($BK$15:$BK$62),0,1))),_xlpm.p,_xlpm.r-MIN(ROW($BI$15:$BI$62))+1,_xlpm.f,INDEX($BL$15:$BL$62,_xlpm.p),_xlpm.u,INDEX($BM$15:$BM$62,_xlpm.p),_xlpm.s,INDEX($BO$15:$BO$62,_xlpm.p),_xlpm.q,N(AT28)/_xlpm.f,IF(_xlpm.q&gt;=_xlpm.s,ROUND(_xlpm.q,1)&amp;" "&amp;_xlpm.ai_test&amp;" = "&amp;ROUND(_xlpm.q*_xlpm.f,1)&amp;" "&amp;_xlpm.u,ROUND(_xlpm.q,1)&amp;" "&amp;_xlpm.ai_test)),""),""))))</f>
        <v>40 g</v>
      </c>
      <c r="AW28" s="1047"/>
      <c r="AX28" s="1034">
        <f t="shared" si="29"/>
        <v>0.04</v>
      </c>
      <c r="AY28" s="1035" t="str">
        <f t="shared" si="30"/>
        <v>Kg</v>
      </c>
      <c r="AZ28" s="1036">
        <f t="shared" si="37"/>
        <v>0</v>
      </c>
      <c r="BA28" s="1037" t="str">
        <f t="shared" si="31"/>
        <v/>
      </c>
      <c r="BB28" s="1038"/>
      <c r="BC28" s="1039">
        <f t="shared" si="40"/>
        <v>0</v>
      </c>
      <c r="BD28" s="1040" t="str">
        <f t="shared" si="33"/>
        <v>blanc d'œuf</v>
      </c>
      <c r="BE28" s="227" t="s">
        <v>22</v>
      </c>
      <c r="BF28" s="1019">
        <f t="shared" si="34"/>
        <v>0</v>
      </c>
      <c r="BG28" s="1020">
        <f t="shared" si="35"/>
        <v>2</v>
      </c>
      <c r="BH28" s="852"/>
      <c r="BI28" s="5194" t="s">
        <v>102</v>
      </c>
      <c r="BJ28" s="5194" t="s">
        <v>1360</v>
      </c>
      <c r="BK28" s="5194" t="s">
        <v>1341</v>
      </c>
      <c r="BL28" s="1013">
        <f t="shared" si="41"/>
        <v>0.5</v>
      </c>
      <c r="BM28" s="1051" t="s">
        <v>1814</v>
      </c>
      <c r="BN28" s="1051" t="s">
        <v>1815</v>
      </c>
      <c r="BO28" s="1003">
        <f t="shared" si="39"/>
        <v>2</v>
      </c>
      <c r="BP28" s="1052">
        <v>500</v>
      </c>
      <c r="BQ28" s="852"/>
      <c r="BR28" s="852"/>
      <c r="BS28" s="852"/>
      <c r="BT28" s="852"/>
      <c r="BU28" s="852"/>
      <c r="BV28" s="852"/>
      <c r="BW28" s="959" t="str">
        <f t="shared" si="10"/>
        <v>A</v>
      </c>
      <c r="BX28" s="1007"/>
      <c r="BY28" s="857"/>
      <c r="BZ28" s="857"/>
      <c r="CA28" s="858"/>
      <c r="CB28" s="858"/>
      <c r="CC28" s="957"/>
      <c r="CD28" s="5560"/>
      <c r="CE28" s="5561"/>
      <c r="CF28" s="5561"/>
      <c r="CG28" s="5561"/>
      <c r="CH28" s="5561"/>
      <c r="CI28" s="5561"/>
      <c r="CJ28" s="5562"/>
      <c r="CL28" s="5560"/>
      <c r="CM28" s="5561"/>
      <c r="CN28" s="5561"/>
      <c r="CO28" s="5561"/>
      <c r="CP28" s="5561"/>
      <c r="CQ28" s="5561"/>
      <c r="CR28" s="5562"/>
      <c r="CT28" s="5560"/>
      <c r="CU28" s="5561"/>
      <c r="CV28" s="5561"/>
      <c r="CW28" s="5561"/>
      <c r="CX28" s="5561"/>
      <c r="CY28" s="5561"/>
      <c r="CZ28" s="5562"/>
      <c r="DB28" s="3">
        <v>1</v>
      </c>
    </row>
    <row r="29" spans="1:106" s="709" customFormat="1" ht="21" customHeight="1">
      <c r="A29" s="936" t="s">
        <v>22</v>
      </c>
      <c r="B29" s="952" t="str">
        <f t="shared" si="9"/>
        <v>A</v>
      </c>
      <c r="C29" s="993" cm="1">
        <f t="array" ref="C29">SUMPRODUCT(LEN(D29:J29))</f>
        <v>0</v>
      </c>
      <c r="D29" s="167"/>
      <c r="E29" s="172"/>
      <c r="F29" s="172"/>
      <c r="G29" s="172"/>
      <c r="H29" s="172"/>
      <c r="I29" s="172"/>
      <c r="J29" s="173"/>
      <c r="K29" s="442" t="s">
        <v>22</v>
      </c>
      <c r="L29" s="104" t="str">
        <f t="shared" si="38"/>
        <v>A</v>
      </c>
      <c r="M29" s="32" t="str">
        <f>M19</f>
        <v>C Coquetiers de l'Antoine | | Auteur &gt; Guy KRENZE - Eric GODDYN - Arnaud NICOLAS - CEPROC 2002</v>
      </c>
      <c r="N29" s="33">
        <f>N19</f>
        <v>20</v>
      </c>
      <c r="O29" s="32" t="str">
        <f>O19</f>
        <v>coquetiers de 25 g</v>
      </c>
      <c r="P29" s="34" t="str">
        <f>P19</f>
        <v>Recette mère ► le Boudin en 4 déclinaisons</v>
      </c>
      <c r="Q29" s="92"/>
      <c r="R29" s="108"/>
      <c r="S29" s="94" t="str">
        <f t="shared" si="36"/>
        <v/>
      </c>
      <c r="T29" s="95">
        <v>300</v>
      </c>
      <c r="U29" s="105" t="s">
        <v>99</v>
      </c>
      <c r="V29" s="127">
        <v>1</v>
      </c>
      <c r="W29" s="920" t="s">
        <v>12826</v>
      </c>
      <c r="X29" s="1494">
        <f>IF(OR(ISBLANK(Q17),X17=0),0,Q29*V18)</f>
        <v>0</v>
      </c>
      <c r="Y29" s="101" cm="1">
        <f t="array" ref="Y29">IFERROR(_xlfn.LET(_xlpm.k,UPPER(TRIM(U29)),_xlpm.r,_xlfn.XLOOKUP(_xlpm.k,UPPER(TRIM(Q39:Z39)),Q40:Z40,_xlfn.XLOOKUP(_xlpm.k,UPPER(TRIM(Q41:Z41)),Q42:Z42)),_xlpm.r*T29*V29*V18*IF(ISBLANK(Q29),1,Q29)),0)</f>
        <v>0.3</v>
      </c>
      <c r="Z29" s="1476" t="str">
        <f>_xlfn.LET(_xlpm.unite,SUBSTITUTE(TRIM(U29)," (s)",""),_xlpm.val,Y29,_xlpm.estVol,COUNTIF(T39:Z39,_xlpm.unite)+COUNTIF(T41:Z41,_xlpm.unite)&gt;0,_xlpm.estPoids,COUNTIF(Q39:S39,_xlpm.unite)+COUNTIF(Q41:S41,_xlpm.unite)&gt;0,IF(_xlpm.estVol,IF(ROUND(_xlpm.val,3)&gt;=1,ROUND(_xlpm.val,3)&amp;" L",MAX(1,ROUND(_xlpm.val*100,0))&amp;" cl"),IF(_xlpm.estPoids,IF(ROUND(_xlpm.val,3)&gt;=1,ROUND(_xlpm.val,3)&amp;" Kg",MAX(1,ROUND(_xlpm.val*1000,0))&amp;" g"),"")))</f>
        <v>300 g</v>
      </c>
      <c r="AA29" s="5211"/>
      <c r="AB29" s="1178"/>
      <c r="AC29" s="1179"/>
      <c r="AD29" s="227" t="s">
        <v>22</v>
      </c>
      <c r="AE29" s="1027" t="str">
        <f t="shared" si="15"/>
        <v>A</v>
      </c>
      <c r="AF29" s="1028" t="str">
        <f t="shared" si="16"/>
        <v>C Coquetiers de l'Antoine | | Auteur &gt; Guy KRENZE - Eric GODDYN - Arnaud NICOLAS - CEPROC 2002</v>
      </c>
      <c r="AG29" s="1029">
        <f t="shared" si="17"/>
        <v>20</v>
      </c>
      <c r="AH29" s="1028" t="str">
        <f t="shared" si="18"/>
        <v>coquetiers de 25 g</v>
      </c>
      <c r="AI29" s="1029" t="str">
        <f t="shared" si="19"/>
        <v>g</v>
      </c>
      <c r="AJ29" s="1029">
        <f t="shared" si="20"/>
        <v>1</v>
      </c>
      <c r="AK29" s="1043" cm="1">
        <f t="array" ref="AK29">IF(AE29&lt;&gt;"A","",IFERROR((IFERROR(_xlfn.XLOOKUP(TRIM(SUBSTITUTE(U29,CHAR(160)," ")),$BI$15:$BI$62,$BL$15:$BL$62),IFERROR(_xlfn.XLOOKUP(TRIM(SUBSTITUTE(U29,CHAR(160)," ")),$BJ$15:$BJ$62,$BL$15:$BL$62),_xlfn.XLOOKUP(TRIM(SUBSTITUTE(U29,CHAR(160)," ")),$BK$15:$BK$62,$BL$15:$BL$62))))*T29*IF(ISBLANK(Q29),1,Q29)+IFERROR(_xlfn.XLOOKUP("RECHERCHEX",TRIM(L29:AC29),L29:AC29),0),0))</f>
        <v>0.3</v>
      </c>
      <c r="AL29" s="1030" t="str">
        <f t="shared" si="21"/>
        <v>Kg</v>
      </c>
      <c r="AM29" s="5254" t="str">
        <f>IF(AE29="A","❾ Author reference &gt;","")</f>
        <v>❾ Author reference &gt;</v>
      </c>
      <c r="AN29" s="1031">
        <f t="shared" si="23"/>
        <v>20</v>
      </c>
      <c r="AO29" s="1031" t="str">
        <f t="shared" si="24"/>
        <v>coquetiers de 25 g</v>
      </c>
      <c r="AP29" s="1044">
        <f t="shared" si="25"/>
        <v>40</v>
      </c>
      <c r="AQ29" s="5257" t="str">
        <f t="shared" si="26"/>
        <v>parts-ou.or.o ❾ + or - &gt;</v>
      </c>
      <c r="AR29" s="1033"/>
      <c r="AS29" s="1033"/>
      <c r="AT29" s="1045">
        <f t="shared" si="27"/>
        <v>0.6</v>
      </c>
      <c r="AU29" s="1046" t="str">
        <f t="shared" si="28"/>
        <v>Kg</v>
      </c>
      <c r="AV29" s="1059" t="str" cm="1">
        <f t="array" ref="AV29">IF(AJ29&lt;&gt;1,0,IF(OR(AT29="",N(AT29)&lt;=0.000000001),"",IF(OR(AN29="",N(AN29)&lt;=0.000000001),0,IF(ISNUMBER(AT29),IFERROR(_xlfn.LET(_xlpm.ai_test,TRIM(AI29),_xlpm.r,IFERROR(_xlfn.XLOOKUP(_xlpm.ai_test,$BI$15:$BI$62,ROW($BI$15:$BI$62),0,1),IFERROR(_xlfn.XLOOKUP(_xlpm.ai_test,$BJ$15:$BJ$62,ROW($BJ$15:$BJ$62),0,1),_xlfn.XLOOKUP(_xlpm.ai_test,$BK$15:$BK$62,ROW($BK$15:$BK$62),0,1))),_xlpm.p,_xlpm.r-MIN(ROW($BI$15:$BI$62))+1,_xlpm.f,INDEX($BL$15:$BL$62,_xlpm.p),_xlpm.u,INDEX($BM$15:$BM$62,_xlpm.p),_xlpm.s,INDEX($BO$15:$BO$62,_xlpm.p),_xlpm.q,N(AT29)/_xlpm.f,IF(_xlpm.q&gt;=_xlpm.s,ROUND(_xlpm.q,1)&amp;" "&amp;_xlpm.ai_test&amp;" = "&amp;ROUND(_xlpm.q*_xlpm.f,1)&amp;" "&amp;_xlpm.u,ROUND(_xlpm.q,1)&amp;" "&amp;_xlpm.ai_test)),""),""))))</f>
        <v>600 g</v>
      </c>
      <c r="AW29" s="1047"/>
      <c r="AX29" s="1045">
        <f t="shared" si="29"/>
        <v>0.6</v>
      </c>
      <c r="AY29" s="1046" t="str">
        <f t="shared" si="30"/>
        <v>Kg</v>
      </c>
      <c r="AZ29" s="1048">
        <f t="shared" si="37"/>
        <v>0</v>
      </c>
      <c r="BA29" s="1049" t="str">
        <f t="shared" si="31"/>
        <v/>
      </c>
      <c r="BB29" s="1038"/>
      <c r="BC29" s="1050">
        <f t="shared" si="40"/>
        <v>0</v>
      </c>
      <c r="BD29" s="1040" t="str">
        <f t="shared" si="33"/>
        <v>sang</v>
      </c>
      <c r="BE29" s="227" t="s">
        <v>22</v>
      </c>
      <c r="BF29" s="1019">
        <f t="shared" si="34"/>
        <v>0</v>
      </c>
      <c r="BG29" s="1020">
        <f t="shared" si="35"/>
        <v>2</v>
      </c>
      <c r="BH29" s="852"/>
      <c r="BI29" s="5194" t="s">
        <v>163</v>
      </c>
      <c r="BJ29" s="5194" t="s">
        <v>1371</v>
      </c>
      <c r="BK29" s="5194" t="s">
        <v>1354</v>
      </c>
      <c r="BL29" s="1013">
        <f t="shared" si="41"/>
        <v>0.1</v>
      </c>
      <c r="BM29" s="1051" t="s">
        <v>1814</v>
      </c>
      <c r="BN29" s="1051" t="s">
        <v>1815</v>
      </c>
      <c r="BO29" s="1003">
        <f t="shared" si="39"/>
        <v>10</v>
      </c>
      <c r="BP29" s="1052">
        <v>100</v>
      </c>
      <c r="BQ29" s="852"/>
      <c r="BR29" s="852"/>
      <c r="BS29" s="852"/>
      <c r="BT29" s="852"/>
      <c r="BU29" s="852"/>
      <c r="BV29" s="852"/>
      <c r="BW29" s="959" t="str">
        <f t="shared" si="10"/>
        <v>A</v>
      </c>
      <c r="BX29" s="1007" t="s">
        <v>1819</v>
      </c>
      <c r="BY29" s="857"/>
      <c r="BZ29" s="857"/>
      <c r="CA29" s="858"/>
      <c r="CB29" s="858"/>
      <c r="CC29" s="957"/>
      <c r="CD29" s="1008"/>
      <c r="CE29" s="1054" t="s">
        <v>13478</v>
      </c>
      <c r="CF29" s="1000"/>
      <c r="CG29" s="1000"/>
      <c r="CH29" s="1000"/>
      <c r="CI29" s="1000"/>
      <c r="CJ29" s="1001"/>
      <c r="CL29" s="1008"/>
      <c r="CM29" s="1054" t="s">
        <v>13479</v>
      </c>
      <c r="CN29" s="1000"/>
      <c r="CO29" s="1000"/>
      <c r="CP29" s="1000"/>
      <c r="CQ29" s="1000"/>
      <c r="CR29" s="1001"/>
      <c r="CT29" s="1008"/>
      <c r="CU29" s="1054" t="s">
        <v>13480</v>
      </c>
      <c r="CV29" s="1000"/>
      <c r="CW29" s="1000"/>
      <c r="CX29" s="1000"/>
      <c r="CY29" s="1000"/>
      <c r="CZ29" s="1001"/>
      <c r="DB29" s="3">
        <v>1</v>
      </c>
    </row>
    <row r="30" spans="1:106" s="709" customFormat="1" ht="21" customHeight="1">
      <c r="A30" s="936" t="s">
        <v>22</v>
      </c>
      <c r="B30" s="952" t="str">
        <f t="shared" si="9"/>
        <v>A</v>
      </c>
      <c r="C30" s="993" cm="1">
        <f t="array" ref="C30">SUMPRODUCT(LEN(D30:J30))</f>
        <v>0</v>
      </c>
      <c r="D30" s="167"/>
      <c r="E30" s="172"/>
      <c r="F30" s="172"/>
      <c r="G30" s="172"/>
      <c r="H30" s="172"/>
      <c r="I30" s="172"/>
      <c r="J30" s="173"/>
      <c r="K30" s="442" t="s">
        <v>22</v>
      </c>
      <c r="L30" s="104" t="str">
        <f t="shared" si="38"/>
        <v>A</v>
      </c>
      <c r="M30" s="32" t="str">
        <f>M19</f>
        <v>C Coquetiers de l'Antoine | | Auteur &gt; Guy KRENZE - Eric GODDYN - Arnaud NICOLAS - CEPROC 2002</v>
      </c>
      <c r="N30" s="33">
        <f>N19</f>
        <v>20</v>
      </c>
      <c r="O30" s="32" t="str">
        <f>O19</f>
        <v>coquetiers de 25 g</v>
      </c>
      <c r="P30" s="34" t="str">
        <f>P19</f>
        <v>Recette mère ► le Boudin en 4 déclinaisons</v>
      </c>
      <c r="Q30" s="92"/>
      <c r="R30" s="108"/>
      <c r="S30" s="94" t="str">
        <f t="shared" si="36"/>
        <v/>
      </c>
      <c r="T30" s="95">
        <v>2</v>
      </c>
      <c r="U30" s="105" t="s">
        <v>99</v>
      </c>
      <c r="V30" s="127">
        <v>1</v>
      </c>
      <c r="W30" s="920" t="s">
        <v>12827</v>
      </c>
      <c r="X30" s="1494">
        <f>IF(OR(ISBLANK(Q17),X17=0),0,Q30*V18)</f>
        <v>0</v>
      </c>
      <c r="Y30" s="101" cm="1">
        <f t="array" ref="Y30">IFERROR(_xlfn.LET(_xlpm.k,UPPER(TRIM(U30)),_xlpm.r,_xlfn.XLOOKUP(_xlpm.k,UPPER(TRIM(Q39:Z39)),Q40:Z40,_xlfn.XLOOKUP(_xlpm.k,UPPER(TRIM(Q41:Z41)),Q42:Z42)),_xlpm.r*T30*V30*V18*IF(ISBLANK(Q30),1,Q30)),0)</f>
        <v>2E-3</v>
      </c>
      <c r="Z30" s="1475" t="str">
        <f>_xlfn.LET(_xlpm.unite,SUBSTITUTE(TRIM(U30)," (s)",""),_xlpm.val,Y30,_xlpm.estVol,COUNTIF(T39:Z39,_xlpm.unite)+COUNTIF(T41:Z41,_xlpm.unite)&gt;0,_xlpm.estPoids,COUNTIF(Q39:S39,_xlpm.unite)+COUNTIF(Q41:S41,_xlpm.unite)&gt;0,IF(_xlpm.estVol,IF(ROUND(_xlpm.val,3)&gt;=1,ROUND(_xlpm.val,3)&amp;" L",MAX(1,ROUND(_xlpm.val*100,0))&amp;" cl"),IF(_xlpm.estPoids,IF(ROUND(_xlpm.val,3)&gt;=1,ROUND(_xlpm.val,3)&amp;" Kg",MAX(1,ROUND(_xlpm.val*1000,0))&amp;" g"),"")))</f>
        <v>2 g</v>
      </c>
      <c r="AA30" s="5211"/>
      <c r="AB30" s="1178"/>
      <c r="AC30" s="1179"/>
      <c r="AD30" s="227" t="s">
        <v>22</v>
      </c>
      <c r="AE30" s="1027" t="str">
        <f t="shared" si="15"/>
        <v>A</v>
      </c>
      <c r="AF30" s="1028" t="str">
        <f t="shared" si="16"/>
        <v>C Coquetiers de l'Antoine | | Auteur &gt; Guy KRENZE - Eric GODDYN - Arnaud NICOLAS - CEPROC 2002</v>
      </c>
      <c r="AG30" s="1029">
        <f t="shared" si="17"/>
        <v>20</v>
      </c>
      <c r="AH30" s="1028" t="str">
        <f t="shared" si="18"/>
        <v>coquetiers de 25 g</v>
      </c>
      <c r="AI30" s="1029" t="str">
        <f t="shared" si="19"/>
        <v>g</v>
      </c>
      <c r="AJ30" s="1029">
        <f t="shared" si="20"/>
        <v>1</v>
      </c>
      <c r="AK30" s="1043" cm="1">
        <f t="array" ref="AK30">IF(AE30&lt;&gt;"A","",IFERROR((IFERROR(_xlfn.XLOOKUP(TRIM(SUBSTITUTE(U30,CHAR(160)," ")),$BI$15:$BI$62,$BL$15:$BL$62),IFERROR(_xlfn.XLOOKUP(TRIM(SUBSTITUTE(U30,CHAR(160)," ")),$BJ$15:$BJ$62,$BL$15:$BL$62),_xlfn.XLOOKUP(TRIM(SUBSTITUTE(U30,CHAR(160)," ")),$BK$15:$BK$62,$BL$15:$BL$62))))*T30*IF(ISBLANK(Q30),1,Q30)+IFERROR(_xlfn.XLOOKUP("RECHERCHEX",TRIM(L30:AC30),L30:AC30),0),0))</f>
        <v>2E-3</v>
      </c>
      <c r="AL30" s="1030" t="str">
        <f t="shared" si="21"/>
        <v>Kg</v>
      </c>
      <c r="AM30" s="5254" t="str">
        <f t="shared" ref="AM30:AM93" si="42">IF(AE30="A","❾ Author reference &gt;","")</f>
        <v>❾ Author reference &gt;</v>
      </c>
      <c r="AN30" s="1031">
        <f t="shared" si="23"/>
        <v>20</v>
      </c>
      <c r="AO30" s="1031" t="str">
        <f t="shared" si="24"/>
        <v>coquetiers de 25 g</v>
      </c>
      <c r="AP30" s="1032">
        <f t="shared" si="25"/>
        <v>40</v>
      </c>
      <c r="AQ30" s="5255" t="str">
        <f t="shared" si="26"/>
        <v>parts-ou.or.o ❾ + or - &gt;</v>
      </c>
      <c r="AR30" s="1056"/>
      <c r="AS30" s="1056"/>
      <c r="AT30" s="1034">
        <f t="shared" si="27"/>
        <v>4.0000000000000001E-3</v>
      </c>
      <c r="AU30" s="1035" t="str">
        <f t="shared" si="28"/>
        <v>Kg</v>
      </c>
      <c r="AV30" s="1057" t="str" cm="1">
        <f t="array" ref="AV30">IF(AJ30&lt;&gt;1,0,IF(OR(AT30="",N(AT30)&lt;=0.000000001),"",IF(OR(AN30="",N(AN30)&lt;=0.000000001),0,IF(ISNUMBER(AT30),IFERROR(_xlfn.LET(_xlpm.ai_test,TRIM(AI30),_xlpm.r,IFERROR(_xlfn.XLOOKUP(_xlpm.ai_test,$BI$15:$BI$62,ROW($BI$15:$BI$62),0,1),IFERROR(_xlfn.XLOOKUP(_xlpm.ai_test,$BJ$15:$BJ$62,ROW($BJ$15:$BJ$62),0,1),_xlfn.XLOOKUP(_xlpm.ai_test,$BK$15:$BK$62,ROW($BK$15:$BK$62),0,1))),_xlpm.p,_xlpm.r-MIN(ROW($BI$15:$BI$62))+1,_xlpm.f,INDEX($BL$15:$BL$62,_xlpm.p),_xlpm.u,INDEX($BM$15:$BM$62,_xlpm.p),_xlpm.s,INDEX($BO$15:$BO$62,_xlpm.p),_xlpm.q,N(AT30)/_xlpm.f,IF(_xlpm.q&gt;=_xlpm.s,ROUND(_xlpm.q,1)&amp;" "&amp;_xlpm.ai_test&amp;" = "&amp;ROUND(_xlpm.q*_xlpm.f,1)&amp;" "&amp;_xlpm.u,ROUND(_xlpm.q,1)&amp;" "&amp;_xlpm.ai_test)),""),""))))</f>
        <v>4 g</v>
      </c>
      <c r="AW30" s="1047"/>
      <c r="AX30" s="1034">
        <f t="shared" si="29"/>
        <v>4.0000000000000001E-3</v>
      </c>
      <c r="AY30" s="1035" t="str">
        <f t="shared" si="30"/>
        <v>Kg</v>
      </c>
      <c r="AZ30" s="1036">
        <f t="shared" si="37"/>
        <v>0</v>
      </c>
      <c r="BA30" s="1037" t="str">
        <f t="shared" si="31"/>
        <v/>
      </c>
      <c r="BB30" s="1038"/>
      <c r="BC30" s="1039">
        <f t="shared" si="40"/>
        <v>0</v>
      </c>
      <c r="BD30" s="1040" t="str">
        <f t="shared" si="33"/>
        <v>poivre et épices en mélange</v>
      </c>
      <c r="BE30" s="227" t="s">
        <v>22</v>
      </c>
      <c r="BF30" s="1019">
        <f t="shared" si="34"/>
        <v>0</v>
      </c>
      <c r="BG30" s="1020">
        <f t="shared" si="35"/>
        <v>2</v>
      </c>
      <c r="BH30" s="852"/>
      <c r="BI30" s="5194" t="s">
        <v>149</v>
      </c>
      <c r="BJ30" s="5194" t="s">
        <v>1361</v>
      </c>
      <c r="BK30" s="5194" t="s">
        <v>1342</v>
      </c>
      <c r="BL30" s="1013">
        <f t="shared" si="41"/>
        <v>0.33300000000000002</v>
      </c>
      <c r="BM30" s="1051" t="s">
        <v>1814</v>
      </c>
      <c r="BN30" s="1051" t="s">
        <v>1815</v>
      </c>
      <c r="BO30" s="1003">
        <f t="shared" si="39"/>
        <v>3</v>
      </c>
      <c r="BP30" s="1058">
        <v>333</v>
      </c>
      <c r="BQ30" s="852"/>
      <c r="BR30" s="852"/>
      <c r="BS30" s="852"/>
      <c r="BT30" s="852"/>
      <c r="BU30" s="852"/>
      <c r="BV30" s="852"/>
      <c r="BW30" s="959" t="str">
        <f t="shared" si="10"/>
        <v>A</v>
      </c>
      <c r="BX30" s="5559" t="s">
        <v>1820</v>
      </c>
      <c r="BY30" s="5559"/>
      <c r="BZ30" s="5559"/>
      <c r="CA30" s="5559"/>
      <c r="CB30" s="5559"/>
      <c r="CC30" s="957"/>
      <c r="CD30" s="1008"/>
      <c r="CE30" s="1054" t="s">
        <v>13481</v>
      </c>
      <c r="CF30" s="1000"/>
      <c r="CG30" s="1000"/>
      <c r="CH30" s="1000"/>
      <c r="CI30" s="1000"/>
      <c r="CJ30" s="1001"/>
      <c r="CL30" s="1008"/>
      <c r="CM30" s="1054" t="s">
        <v>1821</v>
      </c>
      <c r="CN30" s="1000"/>
      <c r="CO30" s="1000"/>
      <c r="CP30" s="1000"/>
      <c r="CQ30" s="1000"/>
      <c r="CR30" s="1001"/>
      <c r="CT30" s="1008"/>
      <c r="CU30" s="1054" t="s">
        <v>13482</v>
      </c>
      <c r="CV30" s="1000"/>
      <c r="CW30" s="1000"/>
      <c r="CX30" s="1000"/>
      <c r="CY30" s="1000"/>
      <c r="CZ30" s="1001"/>
      <c r="DB30" s="3">
        <v>1</v>
      </c>
    </row>
    <row r="31" spans="1:106" s="709" customFormat="1" ht="21" customHeight="1">
      <c r="A31" s="936" t="s">
        <v>22</v>
      </c>
      <c r="B31" s="952" t="str">
        <f t="shared" si="9"/>
        <v>A</v>
      </c>
      <c r="C31" s="993" cm="1">
        <f t="array" ref="C31">SUMPRODUCT(LEN(D31:J31))</f>
        <v>0</v>
      </c>
      <c r="D31" s="167"/>
      <c r="E31" s="172"/>
      <c r="F31" s="172"/>
      <c r="G31" s="172"/>
      <c r="H31" s="172"/>
      <c r="I31" s="172"/>
      <c r="J31" s="173"/>
      <c r="K31" s="442" t="s">
        <v>22</v>
      </c>
      <c r="L31" s="104" t="str">
        <f t="shared" si="38"/>
        <v>A</v>
      </c>
      <c r="M31" s="32" t="str">
        <f>M19</f>
        <v>C Coquetiers de l'Antoine | | Auteur &gt; Guy KRENZE - Eric GODDYN - Arnaud NICOLAS - CEPROC 2002</v>
      </c>
      <c r="N31" s="33">
        <f>N19</f>
        <v>20</v>
      </c>
      <c r="O31" s="32" t="str">
        <f>O19</f>
        <v>coquetiers de 25 g</v>
      </c>
      <c r="P31" s="34" t="str">
        <f>P19</f>
        <v>Recette mère ► le Boudin en 4 déclinaisons</v>
      </c>
      <c r="Q31" s="92"/>
      <c r="R31" s="108"/>
      <c r="S31" s="94" t="str">
        <f t="shared" si="36"/>
        <v/>
      </c>
      <c r="T31" s="95">
        <v>7</v>
      </c>
      <c r="U31" s="105" t="s">
        <v>99</v>
      </c>
      <c r="V31" s="127">
        <v>1</v>
      </c>
      <c r="W31" s="920" t="s">
        <v>8947</v>
      </c>
      <c r="X31" s="1494">
        <f>IF(OR(ISBLANK(Q17),X17=0),0,Q31*V18)</f>
        <v>0</v>
      </c>
      <c r="Y31" s="101" cm="1">
        <f t="array" ref="Y31">IFERROR(_xlfn.LET(_xlpm.k,UPPER(TRIM(U31)),_xlpm.r,_xlfn.XLOOKUP(_xlpm.k,UPPER(TRIM(Q39:Z39)),Q40:Z40,_xlfn.XLOOKUP(_xlpm.k,UPPER(TRIM(Q41:Z41)),Q42:Z42)),_xlpm.r*T31*V31*V18*IF(ISBLANK(Q31),1,Q31)),0)</f>
        <v>7.0000000000000001E-3</v>
      </c>
      <c r="Z31" s="1476" t="str">
        <f>_xlfn.LET(_xlpm.unite,SUBSTITUTE(TRIM(U31)," (s)",""),_xlpm.val,Y31,_xlpm.estVol,COUNTIF(T39:Z39,_xlpm.unite)+COUNTIF(T41:Z41,_xlpm.unite)&gt;0,_xlpm.estPoids,COUNTIF(Q39:S39,_xlpm.unite)+COUNTIF(Q41:S41,_xlpm.unite)&gt;0,IF(_xlpm.estVol,IF(ROUND(_xlpm.val,3)&gt;=1,ROUND(_xlpm.val,3)&amp;" L",MAX(1,ROUND(_xlpm.val*100,0))&amp;" cl"),IF(_xlpm.estPoids,IF(ROUND(_xlpm.val,3)&gt;=1,ROUND(_xlpm.val,3)&amp;" Kg",MAX(1,ROUND(_xlpm.val*1000,0))&amp;" g"),"")))</f>
        <v>7 g</v>
      </c>
      <c r="AA31" s="5211"/>
      <c r="AB31" s="1178"/>
      <c r="AC31" s="1179"/>
      <c r="AD31" s="227" t="s">
        <v>22</v>
      </c>
      <c r="AE31" s="1027" t="str">
        <f t="shared" si="15"/>
        <v>A</v>
      </c>
      <c r="AF31" s="1028" t="str">
        <f t="shared" si="16"/>
        <v>C Coquetiers de l'Antoine | | Auteur &gt; Guy KRENZE - Eric GODDYN - Arnaud NICOLAS - CEPROC 2002</v>
      </c>
      <c r="AG31" s="1029">
        <f t="shared" si="17"/>
        <v>20</v>
      </c>
      <c r="AH31" s="1028" t="str">
        <f t="shared" si="18"/>
        <v>coquetiers de 25 g</v>
      </c>
      <c r="AI31" s="1029" t="str">
        <f t="shared" si="19"/>
        <v>g</v>
      </c>
      <c r="AJ31" s="1029">
        <f t="shared" si="20"/>
        <v>1</v>
      </c>
      <c r="AK31" s="1043" cm="1">
        <f t="array" ref="AK31">IF(AE31&lt;&gt;"A","",IFERROR((IFERROR(_xlfn.XLOOKUP(TRIM(SUBSTITUTE(U31,CHAR(160)," ")),$BI$15:$BI$62,$BL$15:$BL$62),IFERROR(_xlfn.XLOOKUP(TRIM(SUBSTITUTE(U31,CHAR(160)," ")),$BJ$15:$BJ$62,$BL$15:$BL$62),_xlfn.XLOOKUP(TRIM(SUBSTITUTE(U31,CHAR(160)," ")),$BK$15:$BK$62,$BL$15:$BL$62))))*T31*IF(ISBLANK(Q31),1,Q31)+IFERROR(_xlfn.XLOOKUP("RECHERCHEX",TRIM(L31:AC31),L31:AC31),0),0))</f>
        <v>7.0000000000000001E-3</v>
      </c>
      <c r="AL31" s="1030" t="str">
        <f t="shared" si="21"/>
        <v>Kg</v>
      </c>
      <c r="AM31" s="5254" t="str">
        <f t="shared" si="42"/>
        <v>❾ Author reference &gt;</v>
      </c>
      <c r="AN31" s="1031">
        <f t="shared" si="23"/>
        <v>20</v>
      </c>
      <c r="AO31" s="1031" t="str">
        <f t="shared" si="24"/>
        <v>coquetiers de 25 g</v>
      </c>
      <c r="AP31" s="1044">
        <f t="shared" si="25"/>
        <v>40</v>
      </c>
      <c r="AQ31" s="5257" t="str">
        <f t="shared" si="26"/>
        <v>parts-ou.or.o ❾ + or - &gt;</v>
      </c>
      <c r="AR31" s="1056"/>
      <c r="AS31" s="1056"/>
      <c r="AT31" s="1045">
        <f t="shared" si="27"/>
        <v>1.4E-2</v>
      </c>
      <c r="AU31" s="1046" t="str">
        <f t="shared" si="28"/>
        <v>Kg</v>
      </c>
      <c r="AV31" s="1059" t="str" cm="1">
        <f t="array" ref="AV31">IF(AJ31&lt;&gt;1,0,IF(OR(AT31="",N(AT31)&lt;=0.000000001),"",IF(OR(AN31="",N(AN31)&lt;=0.000000001),0,IF(ISNUMBER(AT31),IFERROR(_xlfn.LET(_xlpm.ai_test,TRIM(AI31),_xlpm.r,IFERROR(_xlfn.XLOOKUP(_xlpm.ai_test,$BI$15:$BI$62,ROW($BI$15:$BI$62),0,1),IFERROR(_xlfn.XLOOKUP(_xlpm.ai_test,$BJ$15:$BJ$62,ROW($BJ$15:$BJ$62),0,1),_xlfn.XLOOKUP(_xlpm.ai_test,$BK$15:$BK$62,ROW($BK$15:$BK$62),0,1))),_xlpm.p,_xlpm.r-MIN(ROW($BI$15:$BI$62))+1,_xlpm.f,INDEX($BL$15:$BL$62,_xlpm.p),_xlpm.u,INDEX($BM$15:$BM$62,_xlpm.p),_xlpm.s,INDEX($BO$15:$BO$62,_xlpm.p),_xlpm.q,N(AT31)/_xlpm.f,IF(_xlpm.q&gt;=_xlpm.s,ROUND(_xlpm.q,1)&amp;" "&amp;_xlpm.ai_test&amp;" = "&amp;ROUND(_xlpm.q*_xlpm.f,1)&amp;" "&amp;_xlpm.u,ROUND(_xlpm.q,1)&amp;" "&amp;_xlpm.ai_test)),""),""))))</f>
        <v>14 g</v>
      </c>
      <c r="AW31" s="1047"/>
      <c r="AX31" s="1045">
        <f t="shared" si="29"/>
        <v>1.4E-2</v>
      </c>
      <c r="AY31" s="1046" t="str">
        <f t="shared" si="30"/>
        <v>Kg</v>
      </c>
      <c r="AZ31" s="1048">
        <f t="shared" si="37"/>
        <v>0</v>
      </c>
      <c r="BA31" s="1049" t="str">
        <f t="shared" si="31"/>
        <v/>
      </c>
      <c r="BB31" s="1038"/>
      <c r="BC31" s="1050">
        <f t="shared" si="40"/>
        <v>0</v>
      </c>
      <c r="BD31" s="1040" t="str">
        <f t="shared" si="33"/>
        <v>sel</v>
      </c>
      <c r="BE31" s="227" t="s">
        <v>22</v>
      </c>
      <c r="BF31" s="1019">
        <f t="shared" si="34"/>
        <v>0</v>
      </c>
      <c r="BG31" s="1020">
        <f t="shared" si="35"/>
        <v>2</v>
      </c>
      <c r="BH31" s="852"/>
      <c r="BI31" s="5194" t="s">
        <v>162</v>
      </c>
      <c r="BJ31" s="5194" t="s">
        <v>1370</v>
      </c>
      <c r="BK31" s="5194" t="s">
        <v>1353</v>
      </c>
      <c r="BL31" s="1013">
        <f t="shared" si="41"/>
        <v>1.4999999999999999E-2</v>
      </c>
      <c r="BM31" s="1051" t="s">
        <v>1814</v>
      </c>
      <c r="BN31" s="1051" t="s">
        <v>1815</v>
      </c>
      <c r="BO31" s="1003">
        <f t="shared" si="39"/>
        <v>67</v>
      </c>
      <c r="BP31" s="1052">
        <v>15</v>
      </c>
      <c r="BQ31" s="852"/>
      <c r="BR31" s="852"/>
      <c r="BS31" s="852"/>
      <c r="BT31" s="852"/>
      <c r="BU31" s="852"/>
      <c r="BV31" s="852"/>
      <c r="BW31" s="959" t="str">
        <f t="shared" si="10"/>
        <v>A</v>
      </c>
      <c r="BX31" s="5559"/>
      <c r="BY31" s="5559"/>
      <c r="BZ31" s="5559"/>
      <c r="CA31" s="5559"/>
      <c r="CB31" s="5559"/>
      <c r="CC31" s="957"/>
      <c r="CD31" s="1008"/>
      <c r="CE31" s="1054" t="s">
        <v>13483</v>
      </c>
      <c r="CF31" s="1000"/>
      <c r="CG31" s="1000"/>
      <c r="CH31" s="1000"/>
      <c r="CI31" s="1000"/>
      <c r="CJ31" s="1001"/>
      <c r="CL31" s="1008"/>
      <c r="CM31" s="1054" t="s">
        <v>13484</v>
      </c>
      <c r="CN31" s="1000"/>
      <c r="CO31" s="1000"/>
      <c r="CP31" s="1000"/>
      <c r="CQ31" s="1000"/>
      <c r="CR31" s="1001"/>
      <c r="CT31" s="1008"/>
      <c r="CU31" s="1054" t="s">
        <v>13485</v>
      </c>
      <c r="CV31" s="1000"/>
      <c r="CW31" s="1000"/>
      <c r="CX31" s="1000"/>
      <c r="CY31" s="1000"/>
      <c r="CZ31" s="1001"/>
      <c r="DB31" s="3">
        <v>1</v>
      </c>
    </row>
    <row r="32" spans="1:106" s="709" customFormat="1" ht="21" customHeight="1">
      <c r="A32" s="936" t="s">
        <v>22</v>
      </c>
      <c r="B32" s="952" t="str">
        <f t="shared" si="9"/>
        <v>A</v>
      </c>
      <c r="C32" s="993" cm="1">
        <f t="array" ref="C32">SUMPRODUCT(LEN(D32:J32))</f>
        <v>0</v>
      </c>
      <c r="D32" s="167"/>
      <c r="E32" s="172"/>
      <c r="F32" s="172"/>
      <c r="G32" s="172"/>
      <c r="H32" s="172"/>
      <c r="I32" s="172"/>
      <c r="J32" s="173"/>
      <c r="K32" s="442" t="s">
        <v>22</v>
      </c>
      <c r="L32" s="104" t="str">
        <f t="shared" si="38"/>
        <v>A</v>
      </c>
      <c r="M32" s="32" t="str">
        <f>M19</f>
        <v>C Coquetiers de l'Antoine | | Auteur &gt; Guy KRENZE - Eric GODDYN - Arnaud NICOLAS - CEPROC 2002</v>
      </c>
      <c r="N32" s="33">
        <f>N19</f>
        <v>20</v>
      </c>
      <c r="O32" s="32" t="str">
        <f>O19</f>
        <v>coquetiers de 25 g</v>
      </c>
      <c r="P32" s="34" t="str">
        <f>P19</f>
        <v>Recette mère ► le Boudin en 4 déclinaisons</v>
      </c>
      <c r="Q32" s="92"/>
      <c r="R32" s="108"/>
      <c r="S32" s="94" t="str">
        <f t="shared" si="36"/>
        <v/>
      </c>
      <c r="T32" s="95"/>
      <c r="U32" s="126"/>
      <c r="V32" s="127">
        <v>1</v>
      </c>
      <c r="W32" s="920" t="s">
        <v>12828</v>
      </c>
      <c r="X32" s="1494">
        <f>IF(OR(ISBLANK(Q17),X17=0),0,Q32*V18)</f>
        <v>0</v>
      </c>
      <c r="Y32" s="101" cm="1">
        <f t="array" ref="Y32">IFERROR(_xlfn.LET(_xlpm.k,UPPER(TRIM(U32)),_xlpm.r,_xlfn.XLOOKUP(_xlpm.k,UPPER(TRIM(Q39:Z39)),Q40:Z40,_xlfn.XLOOKUP(_xlpm.k,UPPER(TRIM(Q41:Z41)),Q42:Z42)),_xlpm.r*T32*V32*V18*IF(ISBLANK(Q32),1,Q32)),0)</f>
        <v>0</v>
      </c>
      <c r="Z32" s="1475" t="str">
        <f>_xlfn.LET(_xlpm.unite,SUBSTITUTE(TRIM(U32)," (s)",""),_xlpm.val,Y32,_xlpm.estVol,COUNTIF(T39:Z39,_xlpm.unite)+COUNTIF(T41:Z41,_xlpm.unite)&gt;0,_xlpm.estPoids,COUNTIF(Q39:S39,_xlpm.unite)+COUNTIF(Q41:S41,_xlpm.unite)&gt;0,IF(_xlpm.estVol,IF(ROUND(_xlpm.val,3)&gt;=1,ROUND(_xlpm.val,3)&amp;" L",MAX(1,ROUND(_xlpm.val*100,0))&amp;" cl"),IF(_xlpm.estPoids,IF(ROUND(_xlpm.val,3)&gt;=1,ROUND(_xlpm.val,3)&amp;" Kg",MAX(1,ROUND(_xlpm.val*1000,0))&amp;" g"),"")))</f>
        <v/>
      </c>
      <c r="AA32" s="5211"/>
      <c r="AB32" s="1178"/>
      <c r="AC32" s="1179"/>
      <c r="AD32" s="227" t="s">
        <v>22</v>
      </c>
      <c r="AE32" s="1027" t="str">
        <f t="shared" si="15"/>
        <v>►</v>
      </c>
      <c r="AF32" s="1028" t="str">
        <f t="shared" si="16"/>
        <v/>
      </c>
      <c r="AG32" s="1029" t="str">
        <f t="shared" si="17"/>
        <v/>
      </c>
      <c r="AH32" s="1028" t="str">
        <f t="shared" si="18"/>
        <v/>
      </c>
      <c r="AI32" s="1029" t="str">
        <f t="shared" si="19"/>
        <v/>
      </c>
      <c r="AJ32" s="1029">
        <f t="shared" si="20"/>
        <v>0</v>
      </c>
      <c r="AK32" s="1043" t="str" cm="1">
        <f t="array" ref="AK32">IF(AE32&lt;&gt;"A","",IFERROR((IFERROR(_xlfn.XLOOKUP(TRIM(SUBSTITUTE(U32,CHAR(160)," ")),$BI$15:$BI$62,$BL$15:$BL$62),IFERROR(_xlfn.XLOOKUP(TRIM(SUBSTITUTE(U32,CHAR(160)," ")),$BJ$15:$BJ$62,$BL$15:$BL$62),_xlfn.XLOOKUP(TRIM(SUBSTITUTE(U32,CHAR(160)," ")),$BK$15:$BK$62,$BL$15:$BL$62))))*T32*IF(ISBLANK(Q32),1,Q32)+IFERROR(_xlfn.XLOOKUP("RECHERCHEX",TRIM(L32:AC32),L32:AC32),0),0))</f>
        <v/>
      </c>
      <c r="AL32" s="1030">
        <f t="shared" si="21"/>
        <v>0</v>
      </c>
      <c r="AM32" s="5254" t="str">
        <f t="shared" si="42"/>
        <v/>
      </c>
      <c r="AN32" s="1031">
        <f t="shared" si="23"/>
        <v>0</v>
      </c>
      <c r="AO32" s="1031">
        <f t="shared" si="24"/>
        <v>0</v>
      </c>
      <c r="AP32" s="1032">
        <f t="shared" si="25"/>
        <v>0</v>
      </c>
      <c r="AQ32" s="5255" t="str">
        <f t="shared" si="26"/>
        <v/>
      </c>
      <c r="AR32" s="1056"/>
      <c r="AS32" s="1056"/>
      <c r="AT32" s="1034">
        <f t="shared" si="27"/>
        <v>0</v>
      </c>
      <c r="AU32" s="1035">
        <f t="shared" si="28"/>
        <v>0</v>
      </c>
      <c r="AV32" s="1057" cm="1">
        <f t="array" ref="AV32">IF(AJ32&lt;&gt;1,0,IF(OR(AT32="",N(AT32)&lt;=0.000000001),"",IF(OR(AN32="",N(AN32)&lt;=0.000000001),0,IF(ISNUMBER(AT32),IFERROR(_xlfn.LET(_xlpm.ai_test,TRIM(AI32),_xlpm.r,IFERROR(_xlfn.XLOOKUP(_xlpm.ai_test,$BI$15:$BI$62,ROW($BI$15:$BI$62),0,1),IFERROR(_xlfn.XLOOKUP(_xlpm.ai_test,$BJ$15:$BJ$62,ROW($BJ$15:$BJ$62),0,1),_xlfn.XLOOKUP(_xlpm.ai_test,$BK$15:$BK$62,ROW($BK$15:$BK$62),0,1))),_xlpm.p,_xlpm.r-MIN(ROW($BI$15:$BI$62))+1,_xlpm.f,INDEX($BL$15:$BL$62,_xlpm.p),_xlpm.u,INDEX($BM$15:$BM$62,_xlpm.p),_xlpm.s,INDEX($BO$15:$BO$62,_xlpm.p),_xlpm.q,N(AT32)/_xlpm.f,IF(_xlpm.q&gt;=_xlpm.s,ROUND(_xlpm.q,1)&amp;" "&amp;_xlpm.ai_test&amp;" = "&amp;ROUND(_xlpm.q*_xlpm.f,1)&amp;" "&amp;_xlpm.u,ROUND(_xlpm.q,1)&amp;" "&amp;_xlpm.ai_test)),""),""))))</f>
        <v>0</v>
      </c>
      <c r="AW32" s="1047"/>
      <c r="AX32" s="1034">
        <f t="shared" si="29"/>
        <v>0</v>
      </c>
      <c r="AY32" s="1035" t="str">
        <f t="shared" si="30"/>
        <v/>
      </c>
      <c r="AZ32" s="1036">
        <f t="shared" si="37"/>
        <v>0</v>
      </c>
      <c r="BA32" s="1037" t="str">
        <f t="shared" si="31"/>
        <v/>
      </c>
      <c r="BB32" s="1038"/>
      <c r="BC32" s="1039">
        <f t="shared" si="40"/>
        <v>0</v>
      </c>
      <c r="BD32" s="1040" t="str">
        <f t="shared" si="33"/>
        <v/>
      </c>
      <c r="BE32" s="227" t="s">
        <v>22</v>
      </c>
      <c r="BF32" s="1019">
        <f t="shared" si="34"/>
        <v>0</v>
      </c>
      <c r="BG32" s="1020">
        <f t="shared" si="35"/>
        <v>0</v>
      </c>
      <c r="BH32" s="852"/>
      <c r="BI32" s="5194" t="s">
        <v>150</v>
      </c>
      <c r="BJ32" s="5194" t="s">
        <v>1362</v>
      </c>
      <c r="BK32" s="5198" t="s">
        <v>1343</v>
      </c>
      <c r="BL32" s="1013">
        <f t="shared" si="41"/>
        <v>0.2</v>
      </c>
      <c r="BM32" s="1051" t="s">
        <v>1814</v>
      </c>
      <c r="BN32" s="1051" t="s">
        <v>1815</v>
      </c>
      <c r="BO32" s="1003">
        <f t="shared" si="39"/>
        <v>5</v>
      </c>
      <c r="BP32" s="1052">
        <v>200</v>
      </c>
      <c r="BQ32" s="852"/>
      <c r="BR32" s="852"/>
      <c r="BS32" s="852"/>
      <c r="BT32" s="852"/>
      <c r="BU32" s="852"/>
      <c r="BV32" s="852"/>
      <c r="BW32" s="959" t="str">
        <f t="shared" si="10"/>
        <v>►</v>
      </c>
      <c r="BX32" s="1060"/>
      <c r="BY32" s="1060"/>
      <c r="BZ32" s="1060"/>
      <c r="CA32" s="1060"/>
      <c r="CB32" s="1060"/>
      <c r="CC32" s="957"/>
      <c r="CD32" s="1008"/>
      <c r="CE32" s="1054" t="s">
        <v>13486</v>
      </c>
      <c r="CF32" s="1000"/>
      <c r="CG32" s="1000"/>
      <c r="CH32" s="1000"/>
      <c r="CI32" s="1000"/>
      <c r="CJ32" s="1001"/>
      <c r="CL32" s="1008"/>
      <c r="CM32" s="1054" t="s">
        <v>13487</v>
      </c>
      <c r="CN32" s="1000"/>
      <c r="CO32" s="1000"/>
      <c r="CP32" s="1000"/>
      <c r="CQ32" s="1000"/>
      <c r="CR32" s="1001"/>
      <c r="CT32" s="1008"/>
      <c r="CU32" s="1000" t="s">
        <v>13488</v>
      </c>
      <c r="CV32" s="1000"/>
      <c r="CW32" s="1000"/>
      <c r="CX32" s="1000"/>
      <c r="CY32" s="1000"/>
      <c r="CZ32" s="1001"/>
      <c r="DB32" s="3">
        <v>1</v>
      </c>
    </row>
    <row r="33" spans="1:106" s="709" customFormat="1" ht="21" customHeight="1">
      <c r="A33" s="936" t="s">
        <v>22</v>
      </c>
      <c r="B33" s="952" t="str">
        <f t="shared" si="9"/>
        <v>A</v>
      </c>
      <c r="C33" s="993" cm="1">
        <f t="array" ref="C33">SUMPRODUCT(LEN(D33:J33))</f>
        <v>0</v>
      </c>
      <c r="D33" s="167"/>
      <c r="E33" s="172"/>
      <c r="F33" s="172"/>
      <c r="G33" s="172"/>
      <c r="H33" s="172"/>
      <c r="I33" s="172"/>
      <c r="J33" s="173"/>
      <c r="K33" s="442" t="s">
        <v>22</v>
      </c>
      <c r="L33" s="104" t="str">
        <f t="shared" si="38"/>
        <v>A</v>
      </c>
      <c r="M33" s="32" t="str">
        <f>M19</f>
        <v>C Coquetiers de l'Antoine | | Auteur &gt; Guy KRENZE - Eric GODDYN - Arnaud NICOLAS - CEPROC 2002</v>
      </c>
      <c r="N33" s="33">
        <f>N19</f>
        <v>20</v>
      </c>
      <c r="O33" s="32" t="str">
        <f>O19</f>
        <v>coquetiers de 25 g</v>
      </c>
      <c r="P33" s="34" t="str">
        <f>P19</f>
        <v>Recette mère ► le Boudin en 4 déclinaisons</v>
      </c>
      <c r="Q33" s="92"/>
      <c r="R33" s="108"/>
      <c r="S33" s="94" t="str">
        <f t="shared" si="36"/>
        <v/>
      </c>
      <c r="T33" s="95"/>
      <c r="U33" s="126"/>
      <c r="V33" s="127">
        <v>1</v>
      </c>
      <c r="W33" s="920" t="s">
        <v>12855</v>
      </c>
      <c r="X33" s="1494">
        <f>IF(OR(ISBLANK(Q17),X17=0),0,Q33*V18)</f>
        <v>0</v>
      </c>
      <c r="Y33" s="101" cm="1">
        <f t="array" ref="Y33">IFERROR(_xlfn.LET(_xlpm.k,UPPER(TRIM(U33)),_xlpm.r,_xlfn.XLOOKUP(_xlpm.k,UPPER(TRIM(Q39:Z39)),Q40:Z40,_xlfn.XLOOKUP(_xlpm.k,UPPER(TRIM(Q41:Z41)),Q42:Z42)),_xlpm.r*T33*V33*V18*IF(ISBLANK(Q33),1,Q33)),0)</f>
        <v>0</v>
      </c>
      <c r="Z33" s="1476" t="str">
        <f>_xlfn.LET(_xlpm.unite,SUBSTITUTE(TRIM(U33)," (s)",""),_xlpm.val,Y33,_xlpm.estVol,COUNTIF(T39:Z39,_xlpm.unite)+COUNTIF(T41:Z41,_xlpm.unite)&gt;0,_xlpm.estPoids,COUNTIF(Q39:S39,_xlpm.unite)+COUNTIF(Q41:S41,_xlpm.unite)&gt;0,IF(_xlpm.estVol,IF(ROUND(_xlpm.val,3)&gt;=1,ROUND(_xlpm.val,3)&amp;" L",MAX(1,ROUND(_xlpm.val*100,0))&amp;" cl"),IF(_xlpm.estPoids,IF(ROUND(_xlpm.val,3)&gt;=1,ROUND(_xlpm.val,3)&amp;" Kg",MAX(1,ROUND(_xlpm.val*1000,0))&amp;" g"),"")))</f>
        <v/>
      </c>
      <c r="AA33" s="5211"/>
      <c r="AB33" s="1178"/>
      <c r="AC33" s="1179"/>
      <c r="AD33" s="227" t="s">
        <v>22</v>
      </c>
      <c r="AE33" s="1027" t="str">
        <f t="shared" si="15"/>
        <v>►</v>
      </c>
      <c r="AF33" s="1028" t="str">
        <f t="shared" si="16"/>
        <v/>
      </c>
      <c r="AG33" s="1029" t="str">
        <f t="shared" si="17"/>
        <v/>
      </c>
      <c r="AH33" s="1028" t="str">
        <f t="shared" si="18"/>
        <v/>
      </c>
      <c r="AI33" s="1029" t="str">
        <f t="shared" si="19"/>
        <v/>
      </c>
      <c r="AJ33" s="1029">
        <f t="shared" si="20"/>
        <v>0</v>
      </c>
      <c r="AK33" s="1043" t="str" cm="1">
        <f t="array" ref="AK33">IF(AE33&lt;&gt;"A","",IFERROR((IFERROR(_xlfn.XLOOKUP(TRIM(SUBSTITUTE(U33,CHAR(160)," ")),$BI$15:$BI$62,$BL$15:$BL$62),IFERROR(_xlfn.XLOOKUP(TRIM(SUBSTITUTE(U33,CHAR(160)," ")),$BJ$15:$BJ$62,$BL$15:$BL$62),_xlfn.XLOOKUP(TRIM(SUBSTITUTE(U33,CHAR(160)," ")),$BK$15:$BK$62,$BL$15:$BL$62))))*T33*IF(ISBLANK(Q33),1,Q33)+IFERROR(_xlfn.XLOOKUP("RECHERCHEX",TRIM(L33:AC33),L33:AC33),0),0))</f>
        <v/>
      </c>
      <c r="AL33" s="1030">
        <f t="shared" si="21"/>
        <v>0</v>
      </c>
      <c r="AM33" s="5254" t="str">
        <f t="shared" si="42"/>
        <v/>
      </c>
      <c r="AN33" s="1031">
        <f t="shared" si="23"/>
        <v>0</v>
      </c>
      <c r="AO33" s="1031">
        <f t="shared" si="24"/>
        <v>0</v>
      </c>
      <c r="AP33" s="1044">
        <f t="shared" si="25"/>
        <v>0</v>
      </c>
      <c r="AQ33" s="5257" t="str">
        <f t="shared" si="26"/>
        <v/>
      </c>
      <c r="AR33" s="1056"/>
      <c r="AS33" s="1056"/>
      <c r="AT33" s="1045">
        <f t="shared" si="27"/>
        <v>0</v>
      </c>
      <c r="AU33" s="1046">
        <f t="shared" si="28"/>
        <v>0</v>
      </c>
      <c r="AV33" s="1059" cm="1">
        <f t="array" ref="AV33">IF(AJ33&lt;&gt;1,0,IF(OR(AT33="",N(AT33)&lt;=0.000000001),"",IF(OR(AN33="",N(AN33)&lt;=0.000000001),0,IF(ISNUMBER(AT33),IFERROR(_xlfn.LET(_xlpm.ai_test,TRIM(AI33),_xlpm.r,IFERROR(_xlfn.XLOOKUP(_xlpm.ai_test,$BI$15:$BI$62,ROW($BI$15:$BI$62),0,1),IFERROR(_xlfn.XLOOKUP(_xlpm.ai_test,$BJ$15:$BJ$62,ROW($BJ$15:$BJ$62),0,1),_xlfn.XLOOKUP(_xlpm.ai_test,$BK$15:$BK$62,ROW($BK$15:$BK$62),0,1))),_xlpm.p,_xlpm.r-MIN(ROW($BI$15:$BI$62))+1,_xlpm.f,INDEX($BL$15:$BL$62,_xlpm.p),_xlpm.u,INDEX($BM$15:$BM$62,_xlpm.p),_xlpm.s,INDEX($BO$15:$BO$62,_xlpm.p),_xlpm.q,N(AT33)/_xlpm.f,IF(_xlpm.q&gt;=_xlpm.s,ROUND(_xlpm.q,1)&amp;" "&amp;_xlpm.ai_test&amp;" = "&amp;ROUND(_xlpm.q*_xlpm.f,1)&amp;" "&amp;_xlpm.u,ROUND(_xlpm.q,1)&amp;" "&amp;_xlpm.ai_test)),""),""))))</f>
        <v>0</v>
      </c>
      <c r="AW33" s="1047"/>
      <c r="AX33" s="1045">
        <f t="shared" si="29"/>
        <v>0</v>
      </c>
      <c r="AY33" s="1046" t="str">
        <f t="shared" si="30"/>
        <v/>
      </c>
      <c r="AZ33" s="1048">
        <f t="shared" si="37"/>
        <v>0</v>
      </c>
      <c r="BA33" s="1049" t="str">
        <f t="shared" si="31"/>
        <v/>
      </c>
      <c r="BB33" s="1038"/>
      <c r="BC33" s="1050">
        <f t="shared" si="40"/>
        <v>0</v>
      </c>
      <c r="BD33" s="1040" t="str">
        <f t="shared" si="33"/>
        <v/>
      </c>
      <c r="BE33" s="227" t="s">
        <v>22</v>
      </c>
      <c r="BF33" s="1019">
        <f t="shared" si="34"/>
        <v>0</v>
      </c>
      <c r="BG33" s="1020">
        <f t="shared" si="35"/>
        <v>0</v>
      </c>
      <c r="BH33" s="852"/>
      <c r="BI33" s="5194" t="s">
        <v>103</v>
      </c>
      <c r="BJ33" s="5194" t="s">
        <v>1372</v>
      </c>
      <c r="BK33" s="5194" t="s">
        <v>1355</v>
      </c>
      <c r="BL33" s="1013">
        <f t="shared" si="41"/>
        <v>0.22500000000000001</v>
      </c>
      <c r="BM33" s="1051" t="s">
        <v>1814</v>
      </c>
      <c r="BN33" s="1051" t="s">
        <v>1815</v>
      </c>
      <c r="BO33" s="1003">
        <f t="shared" si="39"/>
        <v>4</v>
      </c>
      <c r="BP33" s="1052">
        <v>225</v>
      </c>
      <c r="BQ33" s="852"/>
      <c r="BR33" s="852"/>
      <c r="BS33" s="852"/>
      <c r="BT33" s="852"/>
      <c r="BU33" s="852"/>
      <c r="BV33" s="852"/>
      <c r="BW33" s="959" t="str">
        <f t="shared" si="10"/>
        <v>►</v>
      </c>
      <c r="BX33" s="5563" t="s">
        <v>1822</v>
      </c>
      <c r="BY33" s="5563"/>
      <c r="BZ33" s="5563"/>
      <c r="CA33" s="5563"/>
      <c r="CB33" s="5563"/>
      <c r="CC33" s="957"/>
      <c r="CD33" s="1008" t="s">
        <v>1804</v>
      </c>
      <c r="CE33" s="1054" t="s">
        <v>1823</v>
      </c>
      <c r="CF33" s="1000"/>
      <c r="CG33" s="1000"/>
      <c r="CH33" s="1000"/>
      <c r="CI33" s="1000"/>
      <c r="CJ33" s="1001"/>
      <c r="CL33" s="1008" t="s">
        <v>1824</v>
      </c>
      <c r="CM33" s="1054" t="s">
        <v>1825</v>
      </c>
      <c r="CN33" s="1000"/>
      <c r="CO33" s="1000"/>
      <c r="CP33" s="1000"/>
      <c r="CQ33" s="1000"/>
      <c r="CR33" s="1001"/>
      <c r="CT33" s="1008" t="s">
        <v>1826</v>
      </c>
      <c r="CU33" s="1054" t="s">
        <v>1827</v>
      </c>
      <c r="CV33" s="1000"/>
      <c r="CW33" s="1000"/>
      <c r="CX33" s="1000"/>
      <c r="CY33" s="1000"/>
      <c r="CZ33" s="1001"/>
      <c r="DB33" s="3">
        <v>1</v>
      </c>
    </row>
    <row r="34" spans="1:106" s="709" customFormat="1" ht="21" customHeight="1">
      <c r="A34" s="936" t="s">
        <v>22</v>
      </c>
      <c r="B34" s="952" t="str">
        <f t="shared" si="9"/>
        <v>A</v>
      </c>
      <c r="C34" s="993" cm="1">
        <f t="array" ref="C34">SUMPRODUCT(LEN(D34:J34))</f>
        <v>0</v>
      </c>
      <c r="D34" s="167"/>
      <c r="E34" s="172"/>
      <c r="F34" s="172"/>
      <c r="G34" s="172"/>
      <c r="H34" s="172"/>
      <c r="I34" s="172"/>
      <c r="J34" s="173"/>
      <c r="K34" s="442" t="s">
        <v>22</v>
      </c>
      <c r="L34" s="104" t="str">
        <f t="shared" si="38"/>
        <v>A</v>
      </c>
      <c r="M34" s="32" t="str">
        <f>M19</f>
        <v>C Coquetiers de l'Antoine | | Auteur &gt; Guy KRENZE - Eric GODDYN - Arnaud NICOLAS - CEPROC 2002</v>
      </c>
      <c r="N34" s="33">
        <f>N19</f>
        <v>20</v>
      </c>
      <c r="O34" s="32" t="str">
        <f>O19</f>
        <v>coquetiers de 25 g</v>
      </c>
      <c r="P34" s="34" t="str">
        <f>P19</f>
        <v>Recette mère ► le Boudin en 4 déclinaisons</v>
      </c>
      <c r="Q34" s="92"/>
      <c r="R34" s="108"/>
      <c r="S34" s="94" t="str">
        <f t="shared" si="36"/>
        <v/>
      </c>
      <c r="T34" s="95">
        <v>250</v>
      </c>
      <c r="U34" s="105" t="s">
        <v>99</v>
      </c>
      <c r="V34" s="127">
        <v>1</v>
      </c>
      <c r="W34" s="920" t="s">
        <v>12831</v>
      </c>
      <c r="X34" s="1494">
        <f>IF(OR(ISBLANK(Q17),X17=0),0,Q34*V18)</f>
        <v>0</v>
      </c>
      <c r="Y34" s="101" cm="1">
        <f t="array" ref="Y34">IFERROR(_xlfn.LET(_xlpm.k,UPPER(TRIM(U34)),_xlpm.r,_xlfn.XLOOKUP(_xlpm.k,UPPER(TRIM(Q39:Z39)),Q40:Z40,_xlfn.XLOOKUP(_xlpm.k,UPPER(TRIM(Q41:Z41)),Q42:Z42)),_xlpm.r*T34*V34*V18*IF(ISBLANK(Q34),1,Q34)),0)</f>
        <v>0.25</v>
      </c>
      <c r="Z34" s="1475" t="str">
        <f>_xlfn.LET(_xlpm.unite,SUBSTITUTE(TRIM(U34)," (s)",""),_xlpm.val,Y34,_xlpm.estVol,COUNTIF(T39:Z39,_xlpm.unite)+COUNTIF(T41:Z41,_xlpm.unite)&gt;0,_xlpm.estPoids,COUNTIF(Q39:S39,_xlpm.unite)+COUNTIF(Q41:S41,_xlpm.unite)&gt;0,IF(_xlpm.estVol,IF(ROUND(_xlpm.val,3)&gt;=1,ROUND(_xlpm.val,3)&amp;" L",MAX(1,ROUND(_xlpm.val*100,0))&amp;" cl"),IF(_xlpm.estPoids,IF(ROUND(_xlpm.val,3)&gt;=1,ROUND(_xlpm.val,3)&amp;" Kg",MAX(1,ROUND(_xlpm.val*1000,0))&amp;" g"),"")))</f>
        <v>250 g</v>
      </c>
      <c r="AA34" s="5211"/>
      <c r="AB34" s="1178"/>
      <c r="AC34" s="1179"/>
      <c r="AD34" s="227" t="s">
        <v>22</v>
      </c>
      <c r="AE34" s="1027" t="str">
        <f t="shared" si="15"/>
        <v>A</v>
      </c>
      <c r="AF34" s="1028" t="str">
        <f t="shared" si="16"/>
        <v>C Coquetiers de l'Antoine | | Auteur &gt; Guy KRENZE - Eric GODDYN - Arnaud NICOLAS - CEPROC 2002</v>
      </c>
      <c r="AG34" s="1029">
        <f t="shared" si="17"/>
        <v>20</v>
      </c>
      <c r="AH34" s="1028" t="str">
        <f t="shared" si="18"/>
        <v>coquetiers de 25 g</v>
      </c>
      <c r="AI34" s="1029" t="str">
        <f t="shared" si="19"/>
        <v>g</v>
      </c>
      <c r="AJ34" s="1029">
        <f t="shared" si="20"/>
        <v>1</v>
      </c>
      <c r="AK34" s="1043" cm="1">
        <f t="array" ref="AK34">IF(AE34&lt;&gt;"A","",IFERROR((IFERROR(_xlfn.XLOOKUP(TRIM(SUBSTITUTE(U34,CHAR(160)," ")),$BI$15:$BI$62,$BL$15:$BL$62),IFERROR(_xlfn.XLOOKUP(TRIM(SUBSTITUTE(U34,CHAR(160)," ")),$BJ$15:$BJ$62,$BL$15:$BL$62),_xlfn.XLOOKUP(TRIM(SUBSTITUTE(U34,CHAR(160)," ")),$BK$15:$BK$62,$BL$15:$BL$62))))*T34*IF(ISBLANK(Q34),1,Q34)+IFERROR(_xlfn.XLOOKUP("RECHERCHEX",TRIM(L34:AC34),L34:AC34),0),0))</f>
        <v>0.25</v>
      </c>
      <c r="AL34" s="1030" t="str">
        <f t="shared" si="21"/>
        <v>Kg</v>
      </c>
      <c r="AM34" s="5254" t="str">
        <f t="shared" si="42"/>
        <v>❾ Author reference &gt;</v>
      </c>
      <c r="AN34" s="1031">
        <f t="shared" si="23"/>
        <v>20</v>
      </c>
      <c r="AO34" s="1031" t="str">
        <f t="shared" si="24"/>
        <v>coquetiers de 25 g</v>
      </c>
      <c r="AP34" s="1032">
        <f t="shared" si="25"/>
        <v>40</v>
      </c>
      <c r="AQ34" s="5255" t="str">
        <f t="shared" si="26"/>
        <v>parts-ou.or.o ❾ + or - &gt;</v>
      </c>
      <c r="AR34" s="1056"/>
      <c r="AS34" s="1056"/>
      <c r="AT34" s="1034">
        <f t="shared" si="27"/>
        <v>0.5</v>
      </c>
      <c r="AU34" s="1035" t="str">
        <f t="shared" si="28"/>
        <v>Kg</v>
      </c>
      <c r="AV34" s="1057" t="str" cm="1">
        <f t="array" ref="AV34">IF(AJ34&lt;&gt;1,0,IF(OR(AT34="",N(AT34)&lt;=0.000000001),"",IF(OR(AN34="",N(AN34)&lt;=0.000000001),0,IF(ISNUMBER(AT34),IFERROR(_xlfn.LET(_xlpm.ai_test,TRIM(AI34),_xlpm.r,IFERROR(_xlfn.XLOOKUP(_xlpm.ai_test,$BI$15:$BI$62,ROW($BI$15:$BI$62),0,1),IFERROR(_xlfn.XLOOKUP(_xlpm.ai_test,$BJ$15:$BJ$62,ROW($BJ$15:$BJ$62),0,1),_xlfn.XLOOKUP(_xlpm.ai_test,$BK$15:$BK$62,ROW($BK$15:$BK$62),0,1))),_xlpm.p,_xlpm.r-MIN(ROW($BI$15:$BI$62))+1,_xlpm.f,INDEX($BL$15:$BL$62,_xlpm.p),_xlpm.u,INDEX($BM$15:$BM$62,_xlpm.p),_xlpm.s,INDEX($BO$15:$BO$62,_xlpm.p),_xlpm.q,N(AT34)/_xlpm.f,IF(_xlpm.q&gt;=_xlpm.s,ROUND(_xlpm.q,1)&amp;" "&amp;_xlpm.ai_test&amp;" = "&amp;ROUND(_xlpm.q*_xlpm.f,1)&amp;" "&amp;_xlpm.u,ROUND(_xlpm.q,1)&amp;" "&amp;_xlpm.ai_test)),""),""))))</f>
        <v>500 g</v>
      </c>
      <c r="AW34" s="1047"/>
      <c r="AX34" s="1034">
        <f t="shared" si="29"/>
        <v>0.5</v>
      </c>
      <c r="AY34" s="1035" t="str">
        <f t="shared" si="30"/>
        <v>Kg</v>
      </c>
      <c r="AZ34" s="1036">
        <f t="shared" si="37"/>
        <v>0</v>
      </c>
      <c r="BA34" s="1037" t="str">
        <f t="shared" si="31"/>
        <v/>
      </c>
      <c r="BB34" s="1038"/>
      <c r="BC34" s="1039">
        <f t="shared" si="40"/>
        <v>0</v>
      </c>
      <c r="BD34" s="1040" t="str">
        <f t="shared" si="33"/>
        <v>porto rouge</v>
      </c>
      <c r="BE34" s="227" t="s">
        <v>22</v>
      </c>
      <c r="BF34" s="1019">
        <f t="shared" si="34"/>
        <v>0</v>
      </c>
      <c r="BG34" s="1020">
        <f t="shared" si="35"/>
        <v>2</v>
      </c>
      <c r="BH34" s="852"/>
      <c r="BI34" s="5259" t="s">
        <v>1828</v>
      </c>
      <c r="BJ34" s="5259" t="s">
        <v>1829</v>
      </c>
      <c r="BK34" s="5259" t="s">
        <v>1830</v>
      </c>
      <c r="BL34" s="1013">
        <f t="shared" si="41"/>
        <v>0.11799999999999999</v>
      </c>
      <c r="BM34" s="1051" t="s">
        <v>1814</v>
      </c>
      <c r="BN34" s="1051" t="s">
        <v>1815</v>
      </c>
      <c r="BO34" s="1003">
        <f t="shared" si="39"/>
        <v>8</v>
      </c>
      <c r="BP34" s="1052">
        <v>118</v>
      </c>
      <c r="BQ34" s="852"/>
      <c r="BR34" s="852"/>
      <c r="BS34" s="852"/>
      <c r="BT34" s="852"/>
      <c r="BU34" s="852"/>
      <c r="BV34" s="852"/>
      <c r="BW34" s="959" t="str">
        <f t="shared" si="10"/>
        <v>A</v>
      </c>
      <c r="BX34" s="5563"/>
      <c r="BY34" s="5563"/>
      <c r="BZ34" s="5563"/>
      <c r="CA34" s="5563"/>
      <c r="CB34" s="5563"/>
      <c r="CC34" s="957"/>
      <c r="CD34" s="1008"/>
      <c r="CE34" s="1054"/>
      <c r="CF34" s="1000"/>
      <c r="CG34" s="1000"/>
      <c r="CH34" s="1000"/>
      <c r="CI34" s="1000"/>
      <c r="CJ34" s="1001"/>
      <c r="CL34" s="1008"/>
      <c r="CM34" s="1054"/>
      <c r="CN34" s="1000"/>
      <c r="CO34" s="1000"/>
      <c r="CP34" s="1000"/>
      <c r="CQ34" s="1000"/>
      <c r="CR34" s="1001"/>
      <c r="CT34" s="1008"/>
      <c r="CU34" s="1054"/>
      <c r="CV34" s="1000"/>
      <c r="CW34" s="1000"/>
      <c r="CX34" s="1000"/>
      <c r="CY34" s="1000"/>
      <c r="CZ34" s="1001"/>
      <c r="DB34" s="3">
        <v>1</v>
      </c>
    </row>
    <row r="35" spans="1:106" s="709" customFormat="1" ht="21" customHeight="1">
      <c r="A35" s="936" t="s">
        <v>22</v>
      </c>
      <c r="B35" s="952" t="str">
        <f t="shared" si="9"/>
        <v>A</v>
      </c>
      <c r="C35" s="993" cm="1">
        <f t="array" ref="C35">SUMPRODUCT(LEN(D35:J35))</f>
        <v>0</v>
      </c>
      <c r="D35" s="167"/>
      <c r="E35" s="172"/>
      <c r="F35" s="172"/>
      <c r="G35" s="172"/>
      <c r="H35" s="172"/>
      <c r="I35" s="172"/>
      <c r="J35" s="173"/>
      <c r="K35" s="442" t="s">
        <v>22</v>
      </c>
      <c r="L35" s="104" t="str">
        <f t="shared" si="38"/>
        <v>A</v>
      </c>
      <c r="M35" s="32" t="str">
        <f>M19</f>
        <v>C Coquetiers de l'Antoine | | Auteur &gt; Guy KRENZE - Eric GODDYN - Arnaud NICOLAS - CEPROC 2002</v>
      </c>
      <c r="N35" s="33">
        <f>N19</f>
        <v>20</v>
      </c>
      <c r="O35" s="32" t="str">
        <f>O19</f>
        <v>coquetiers de 25 g</v>
      </c>
      <c r="P35" s="34" t="str">
        <f>P19</f>
        <v>Recette mère ► le Boudin en 4 déclinaisons</v>
      </c>
      <c r="Q35" s="92"/>
      <c r="R35" s="108"/>
      <c r="S35" s="94" t="str">
        <f t="shared" si="36"/>
        <v/>
      </c>
      <c r="T35" s="95">
        <v>250</v>
      </c>
      <c r="U35" s="105" t="s">
        <v>99</v>
      </c>
      <c r="V35" s="127">
        <v>1</v>
      </c>
      <c r="W35" s="920" t="s">
        <v>12832</v>
      </c>
      <c r="X35" s="1494">
        <f>IF(OR(ISBLANK(Q17),X17=0),0,Q35*V18)</f>
        <v>0</v>
      </c>
      <c r="Y35" s="101" cm="1">
        <f t="array" ref="Y35">IFERROR(_xlfn.LET(_xlpm.k,UPPER(TRIM(U35)),_xlpm.r,_xlfn.XLOOKUP(_xlpm.k,UPPER(TRIM(Q39:Z39)),Q40:Z40,_xlfn.XLOOKUP(_xlpm.k,UPPER(TRIM(Q41:Z41)),Q42:Z42)),_xlpm.r*T35*V35*V18*IF(ISBLANK(Q35),1,Q35)),0)</f>
        <v>0.25</v>
      </c>
      <c r="Z35" s="1476" t="str">
        <f>_xlfn.LET(_xlpm.unite,SUBSTITUTE(TRIM(U35)," (s)",""),_xlpm.val,Y35,_xlpm.estVol,COUNTIF(T39:Z39,_xlpm.unite)+COUNTIF(T41:Z41,_xlpm.unite)&gt;0,_xlpm.estPoids,COUNTIF(Q39:S39,_xlpm.unite)+COUNTIF(Q41:S41,_xlpm.unite)&gt;0,IF(_xlpm.estVol,IF(ROUND(_xlpm.val,3)&gt;=1,ROUND(_xlpm.val,3)&amp;" L",MAX(1,ROUND(_xlpm.val*100,0))&amp;" cl"),IF(_xlpm.estPoids,IF(ROUND(_xlpm.val,3)&gt;=1,ROUND(_xlpm.val,3)&amp;" Kg",MAX(1,ROUND(_xlpm.val*1000,0))&amp;" g"),"")))</f>
        <v>250 g</v>
      </c>
      <c r="AA35" s="5211"/>
      <c r="AB35" s="1178"/>
      <c r="AC35" s="1179"/>
      <c r="AD35" s="227" t="s">
        <v>22</v>
      </c>
      <c r="AE35" s="1027" t="str">
        <f t="shared" si="15"/>
        <v>A</v>
      </c>
      <c r="AF35" s="1028" t="str">
        <f t="shared" si="16"/>
        <v>C Coquetiers de l'Antoine | | Auteur &gt; Guy KRENZE - Eric GODDYN - Arnaud NICOLAS - CEPROC 2002</v>
      </c>
      <c r="AG35" s="1029">
        <f t="shared" si="17"/>
        <v>20</v>
      </c>
      <c r="AH35" s="1028" t="str">
        <f t="shared" si="18"/>
        <v>coquetiers de 25 g</v>
      </c>
      <c r="AI35" s="1029" t="str">
        <f t="shared" si="19"/>
        <v>g</v>
      </c>
      <c r="AJ35" s="1029">
        <f t="shared" si="20"/>
        <v>1</v>
      </c>
      <c r="AK35" s="1043" cm="1">
        <f t="array" ref="AK35">IF(AE35&lt;&gt;"A","",IFERROR((IFERROR(_xlfn.XLOOKUP(TRIM(SUBSTITUTE(U35,CHAR(160)," ")),$BI$15:$BI$62,$BL$15:$BL$62),IFERROR(_xlfn.XLOOKUP(TRIM(SUBSTITUTE(U35,CHAR(160)," ")),$BJ$15:$BJ$62,$BL$15:$BL$62),_xlfn.XLOOKUP(TRIM(SUBSTITUTE(U35,CHAR(160)," ")),$BK$15:$BK$62,$BL$15:$BL$62))))*T35*IF(ISBLANK(Q35),1,Q35)+IFERROR(_xlfn.XLOOKUP("RECHERCHEX",TRIM(L35:AC35),L35:AC35),0),0))</f>
        <v>0.25</v>
      </c>
      <c r="AL35" s="1030" t="str">
        <f t="shared" si="21"/>
        <v>Kg</v>
      </c>
      <c r="AM35" s="5254" t="str">
        <f t="shared" si="42"/>
        <v>❾ Author reference &gt;</v>
      </c>
      <c r="AN35" s="1031">
        <f t="shared" si="23"/>
        <v>20</v>
      </c>
      <c r="AO35" s="1031" t="str">
        <f t="shared" si="24"/>
        <v>coquetiers de 25 g</v>
      </c>
      <c r="AP35" s="1044">
        <f t="shared" si="25"/>
        <v>40</v>
      </c>
      <c r="AQ35" s="5257" t="str">
        <f t="shared" si="26"/>
        <v>parts-ou.or.o ❾ + or - &gt;</v>
      </c>
      <c r="AR35" s="1056"/>
      <c r="AS35" s="1056"/>
      <c r="AT35" s="1045">
        <f t="shared" si="27"/>
        <v>0.5</v>
      </c>
      <c r="AU35" s="1046" t="str">
        <f t="shared" si="28"/>
        <v>Kg</v>
      </c>
      <c r="AV35" s="1059" t="str" cm="1">
        <f t="array" ref="AV35">IF(AJ35&lt;&gt;1,0,IF(OR(AT35="",N(AT35)&lt;=0.000000001),"",IF(OR(AN35="",N(AN35)&lt;=0.000000001),0,IF(ISNUMBER(AT35),IFERROR(_xlfn.LET(_xlpm.ai_test,TRIM(AI35),_xlpm.r,IFERROR(_xlfn.XLOOKUP(_xlpm.ai_test,$BI$15:$BI$62,ROW($BI$15:$BI$62),0,1),IFERROR(_xlfn.XLOOKUP(_xlpm.ai_test,$BJ$15:$BJ$62,ROW($BJ$15:$BJ$62),0,1),_xlfn.XLOOKUP(_xlpm.ai_test,$BK$15:$BK$62,ROW($BK$15:$BK$62),0,1))),_xlpm.p,_xlpm.r-MIN(ROW($BI$15:$BI$62))+1,_xlpm.f,INDEX($BL$15:$BL$62,_xlpm.p),_xlpm.u,INDEX($BM$15:$BM$62,_xlpm.p),_xlpm.s,INDEX($BO$15:$BO$62,_xlpm.p),_xlpm.q,N(AT35)/_xlpm.f,IF(_xlpm.q&gt;=_xlpm.s,ROUND(_xlpm.q,1)&amp;" "&amp;_xlpm.ai_test&amp;" = "&amp;ROUND(_xlpm.q*_xlpm.f,1)&amp;" "&amp;_xlpm.u,ROUND(_xlpm.q,1)&amp;" "&amp;_xlpm.ai_test)),""),""))))</f>
        <v>500 g</v>
      </c>
      <c r="AW35" s="1047"/>
      <c r="AX35" s="1045">
        <f t="shared" si="29"/>
        <v>0.5</v>
      </c>
      <c r="AY35" s="1046" t="str">
        <f t="shared" si="30"/>
        <v>Kg</v>
      </c>
      <c r="AZ35" s="1048">
        <f t="shared" si="37"/>
        <v>0</v>
      </c>
      <c r="BA35" s="1049" t="str">
        <f t="shared" si="31"/>
        <v/>
      </c>
      <c r="BB35" s="1038"/>
      <c r="BC35" s="1050">
        <f t="shared" si="40"/>
        <v>0</v>
      </c>
      <c r="BD35" s="1040" t="str">
        <f t="shared" si="33"/>
        <v xml:space="preserve">jus de veau </v>
      </c>
      <c r="BE35" s="227" t="s">
        <v>22</v>
      </c>
      <c r="BF35" s="1019">
        <f t="shared" si="34"/>
        <v>0</v>
      </c>
      <c r="BG35" s="1020">
        <f t="shared" si="35"/>
        <v>2</v>
      </c>
      <c r="BH35" s="852"/>
      <c r="BI35" s="5259" t="s">
        <v>1831</v>
      </c>
      <c r="BJ35" s="5259" t="s">
        <v>1832</v>
      </c>
      <c r="BK35" s="5259" t="s">
        <v>1833</v>
      </c>
      <c r="BL35" s="1013">
        <f t="shared" si="41"/>
        <v>0.25</v>
      </c>
      <c r="BM35" s="1051" t="s">
        <v>1814</v>
      </c>
      <c r="BN35" s="1051" t="s">
        <v>1815</v>
      </c>
      <c r="BO35" s="1003">
        <f t="shared" si="39"/>
        <v>4</v>
      </c>
      <c r="BP35" s="1052">
        <v>250</v>
      </c>
      <c r="BQ35" s="852"/>
      <c r="BR35" s="852"/>
      <c r="BS35" s="852"/>
      <c r="BT35" s="852"/>
      <c r="BU35" s="852"/>
      <c r="BV35" s="852"/>
      <c r="BW35" s="959" t="str">
        <f t="shared" si="10"/>
        <v>A</v>
      </c>
      <c r="BX35" s="1007"/>
      <c r="BY35" s="857"/>
      <c r="BZ35" s="857"/>
      <c r="CA35" s="858"/>
      <c r="CB35" s="858"/>
      <c r="CC35" s="957"/>
      <c r="CD35" s="1023" t="s">
        <v>1806</v>
      </c>
      <c r="CE35" s="1054" t="s">
        <v>1834</v>
      </c>
      <c r="CF35" s="1000"/>
      <c r="CG35" s="1000"/>
      <c r="CH35" s="1000"/>
      <c r="CI35" s="1000"/>
      <c r="CJ35" s="1001"/>
      <c r="CL35" s="1023" t="s">
        <v>1745</v>
      </c>
      <c r="CM35" s="1054" t="s">
        <v>1835</v>
      </c>
      <c r="CN35" s="1000"/>
      <c r="CO35" s="1000"/>
      <c r="CP35" s="1000"/>
      <c r="CQ35" s="1000"/>
      <c r="CR35" s="1001"/>
      <c r="CT35" s="1023" t="s">
        <v>1763</v>
      </c>
      <c r="CU35" s="1054" t="s">
        <v>1836</v>
      </c>
      <c r="CV35" s="1000"/>
      <c r="CW35" s="1000"/>
      <c r="CX35" s="1000"/>
      <c r="CY35" s="1000"/>
      <c r="CZ35" s="1001"/>
      <c r="DB35" s="3">
        <v>1</v>
      </c>
    </row>
    <row r="36" spans="1:106" s="709" customFormat="1" ht="21" customHeight="1">
      <c r="A36" s="936" t="s">
        <v>22</v>
      </c>
      <c r="B36" s="952" t="str">
        <f t="shared" si="9"/>
        <v>A</v>
      </c>
      <c r="C36" s="993" cm="1">
        <f t="array" ref="C36">SUMPRODUCT(LEN(D36:J36))</f>
        <v>0</v>
      </c>
      <c r="D36" s="167"/>
      <c r="E36" s="172"/>
      <c r="F36" s="172"/>
      <c r="G36" s="172"/>
      <c r="H36" s="172"/>
      <c r="I36" s="172"/>
      <c r="J36" s="173"/>
      <c r="K36" s="442" t="s">
        <v>22</v>
      </c>
      <c r="L36" s="104" t="str">
        <f t="shared" si="38"/>
        <v>A</v>
      </c>
      <c r="M36" s="32" t="str">
        <f>M19</f>
        <v>C Coquetiers de l'Antoine | | Auteur &gt; Guy KRENZE - Eric GODDYN - Arnaud NICOLAS - CEPROC 2002</v>
      </c>
      <c r="N36" s="33">
        <f>N19</f>
        <v>20</v>
      </c>
      <c r="O36" s="32" t="str">
        <f>O19</f>
        <v>coquetiers de 25 g</v>
      </c>
      <c r="P36" s="34" t="str">
        <f>P19</f>
        <v>Recette mère ► le Boudin en 4 déclinaisons</v>
      </c>
      <c r="Q36" s="92"/>
      <c r="R36" s="108"/>
      <c r="S36" s="94" t="str">
        <f t="shared" si="36"/>
        <v/>
      </c>
      <c r="T36" s="95"/>
      <c r="U36" s="126"/>
      <c r="V36" s="127">
        <v>1</v>
      </c>
      <c r="W36" s="920" t="s">
        <v>12833</v>
      </c>
      <c r="X36" s="1494">
        <f>IF(OR(ISBLANK(Q17),X17=0),0,Q36*V18)</f>
        <v>0</v>
      </c>
      <c r="Y36" s="101" cm="1">
        <f t="array" ref="Y36">IFERROR(_xlfn.LET(_xlpm.k,UPPER(TRIM(U36)),_xlpm.r,_xlfn.XLOOKUP(_xlpm.k,UPPER(TRIM(Q39:Z39)),Q40:Z40,_xlfn.XLOOKUP(_xlpm.k,UPPER(TRIM(Q41:Z41)),Q42:Z42)),_xlpm.r*T36*V36*V18*IF(ISBLANK(Q36),1,Q36)),0)</f>
        <v>0</v>
      </c>
      <c r="Z36" s="1475" t="str">
        <f>_xlfn.LET(_xlpm.unite,SUBSTITUTE(TRIM(U36)," (s)",""),_xlpm.val,Y36,_xlpm.estVol,COUNTIF(T39:Z39,_xlpm.unite)+COUNTIF(T41:Z41,_xlpm.unite)&gt;0,_xlpm.estPoids,COUNTIF(Q39:S39,_xlpm.unite)+COUNTIF(Q41:S41,_xlpm.unite)&gt;0,IF(_xlpm.estVol,IF(ROUND(_xlpm.val,3)&gt;=1,ROUND(_xlpm.val,3)&amp;" L",MAX(1,ROUND(_xlpm.val*100,0))&amp;" cl"),IF(_xlpm.estPoids,IF(ROUND(_xlpm.val,3)&gt;=1,ROUND(_xlpm.val,3)&amp;" Kg",MAX(1,ROUND(_xlpm.val*1000,0))&amp;" g"),"")))</f>
        <v/>
      </c>
      <c r="AA36" s="5211"/>
      <c r="AB36" s="1178"/>
      <c r="AC36" s="1179"/>
      <c r="AD36" s="227" t="s">
        <v>22</v>
      </c>
      <c r="AE36" s="1027" t="str">
        <f t="shared" si="15"/>
        <v>►</v>
      </c>
      <c r="AF36" s="1028" t="str">
        <f t="shared" si="16"/>
        <v/>
      </c>
      <c r="AG36" s="1029" t="str">
        <f t="shared" si="17"/>
        <v/>
      </c>
      <c r="AH36" s="1028" t="str">
        <f t="shared" si="18"/>
        <v/>
      </c>
      <c r="AI36" s="1029" t="str">
        <f t="shared" si="19"/>
        <v/>
      </c>
      <c r="AJ36" s="1029">
        <f t="shared" si="20"/>
        <v>0</v>
      </c>
      <c r="AK36" s="1043" t="str" cm="1">
        <f t="array" ref="AK36">IF(AE36&lt;&gt;"A","",IFERROR((IFERROR(_xlfn.XLOOKUP(TRIM(SUBSTITUTE(U36,CHAR(160)," ")),$BI$15:$BI$62,$BL$15:$BL$62),IFERROR(_xlfn.XLOOKUP(TRIM(SUBSTITUTE(U36,CHAR(160)," ")),$BJ$15:$BJ$62,$BL$15:$BL$62),_xlfn.XLOOKUP(TRIM(SUBSTITUTE(U36,CHAR(160)," ")),$BK$15:$BK$62,$BL$15:$BL$62))))*T36*IF(ISBLANK(Q36),1,Q36)+IFERROR(_xlfn.XLOOKUP("RECHERCHEX",TRIM(L36:AC36),L36:AC36),0),0))</f>
        <v/>
      </c>
      <c r="AL36" s="1030">
        <f t="shared" si="21"/>
        <v>0</v>
      </c>
      <c r="AM36" s="5254" t="str">
        <f t="shared" si="42"/>
        <v/>
      </c>
      <c r="AN36" s="1031">
        <f t="shared" si="23"/>
        <v>0</v>
      </c>
      <c r="AO36" s="1031">
        <f t="shared" si="24"/>
        <v>0</v>
      </c>
      <c r="AP36" s="1032">
        <f t="shared" si="25"/>
        <v>0</v>
      </c>
      <c r="AQ36" s="5255" t="str">
        <f t="shared" si="26"/>
        <v/>
      </c>
      <c r="AR36" s="1056"/>
      <c r="AS36" s="1056"/>
      <c r="AT36" s="1034">
        <f t="shared" si="27"/>
        <v>0</v>
      </c>
      <c r="AU36" s="1035">
        <f t="shared" si="28"/>
        <v>0</v>
      </c>
      <c r="AV36" s="1057" cm="1">
        <f t="array" ref="AV36">IF(AJ36&lt;&gt;1,0,IF(OR(AT36="",N(AT36)&lt;=0.000000001),"",IF(OR(AN36="",N(AN36)&lt;=0.000000001),0,IF(ISNUMBER(AT36),IFERROR(_xlfn.LET(_xlpm.ai_test,TRIM(AI36),_xlpm.r,IFERROR(_xlfn.XLOOKUP(_xlpm.ai_test,$BI$15:$BI$62,ROW($BI$15:$BI$62),0,1),IFERROR(_xlfn.XLOOKUP(_xlpm.ai_test,$BJ$15:$BJ$62,ROW($BJ$15:$BJ$62),0,1),_xlfn.XLOOKUP(_xlpm.ai_test,$BK$15:$BK$62,ROW($BK$15:$BK$62),0,1))),_xlpm.p,_xlpm.r-MIN(ROW($BI$15:$BI$62))+1,_xlpm.f,INDEX($BL$15:$BL$62,_xlpm.p),_xlpm.u,INDEX($BM$15:$BM$62,_xlpm.p),_xlpm.s,INDEX($BO$15:$BO$62,_xlpm.p),_xlpm.q,N(AT36)/_xlpm.f,IF(_xlpm.q&gt;=_xlpm.s,ROUND(_xlpm.q,1)&amp;" "&amp;_xlpm.ai_test&amp;" = "&amp;ROUND(_xlpm.q*_xlpm.f,1)&amp;" "&amp;_xlpm.u,ROUND(_xlpm.q,1)&amp;" "&amp;_xlpm.ai_test)),""),""))))</f>
        <v>0</v>
      </c>
      <c r="AW36" s="1047"/>
      <c r="AX36" s="1034">
        <f t="shared" si="29"/>
        <v>0</v>
      </c>
      <c r="AY36" s="1035" t="str">
        <f t="shared" si="30"/>
        <v/>
      </c>
      <c r="AZ36" s="1036">
        <f t="shared" si="37"/>
        <v>0</v>
      </c>
      <c r="BA36" s="1037" t="str">
        <f t="shared" si="31"/>
        <v/>
      </c>
      <c r="BB36" s="1038"/>
      <c r="BC36" s="1039">
        <f t="shared" si="40"/>
        <v>0</v>
      </c>
      <c r="BD36" s="1040" t="str">
        <f t="shared" si="33"/>
        <v/>
      </c>
      <c r="BE36" s="227" t="s">
        <v>22</v>
      </c>
      <c r="BF36" s="1019">
        <f t="shared" si="34"/>
        <v>0</v>
      </c>
      <c r="BG36" s="1020">
        <f t="shared" si="35"/>
        <v>0</v>
      </c>
      <c r="BH36" s="852"/>
      <c r="BI36" s="5259" t="s">
        <v>1837</v>
      </c>
      <c r="BJ36" s="5259" t="s">
        <v>1838</v>
      </c>
      <c r="BK36" s="5259" t="s">
        <v>1839</v>
      </c>
      <c r="BL36" s="1013">
        <f t="shared" si="41"/>
        <v>0.15</v>
      </c>
      <c r="BM36" s="1051" t="s">
        <v>1814</v>
      </c>
      <c r="BN36" s="1051" t="s">
        <v>1815</v>
      </c>
      <c r="BO36" s="1003">
        <f t="shared" si="39"/>
        <v>7</v>
      </c>
      <c r="BP36" s="1052">
        <v>150</v>
      </c>
      <c r="BQ36" s="852"/>
      <c r="BR36" s="852"/>
      <c r="BS36" s="852"/>
      <c r="BT36" s="852"/>
      <c r="BU36" s="852"/>
      <c r="BV36" s="852"/>
      <c r="BW36" s="959" t="str">
        <f t="shared" si="10"/>
        <v>►</v>
      </c>
      <c r="BX36" s="5555" t="s">
        <v>1840</v>
      </c>
      <c r="BY36" s="5555"/>
      <c r="BZ36" s="5555"/>
      <c r="CA36" s="5555"/>
      <c r="CB36" s="5555"/>
      <c r="CC36" s="957"/>
      <c r="CD36" s="1008"/>
      <c r="CE36" s="1054"/>
      <c r="CF36" s="1000"/>
      <c r="CG36" s="1000"/>
      <c r="CH36" s="1000"/>
      <c r="CI36" s="1000"/>
      <c r="CJ36" s="1001"/>
      <c r="CL36" s="1008"/>
      <c r="CM36" s="1054"/>
      <c r="CN36" s="1000"/>
      <c r="CO36" s="1000"/>
      <c r="CP36" s="1000"/>
      <c r="CQ36" s="1000"/>
      <c r="CR36" s="1001"/>
      <c r="CT36" s="1008"/>
      <c r="CU36" s="1054"/>
      <c r="CV36" s="1000"/>
      <c r="CW36" s="1000"/>
      <c r="CX36" s="1000"/>
      <c r="CY36" s="1000"/>
      <c r="CZ36" s="1001"/>
      <c r="DB36" s="3">
        <v>1</v>
      </c>
    </row>
    <row r="37" spans="1:106" s="709" customFormat="1" ht="21" customHeight="1">
      <c r="A37" s="936" t="s">
        <v>22</v>
      </c>
      <c r="B37" s="952" t="str">
        <f t="shared" si="9"/>
        <v>►</v>
      </c>
      <c r="C37" s="993" cm="1">
        <f t="array" ref="C37">SUMPRODUCT(LEN(D37:J37))</f>
        <v>0</v>
      </c>
      <c r="D37" s="167"/>
      <c r="E37" s="172"/>
      <c r="F37" s="172"/>
      <c r="G37" s="172"/>
      <c r="H37" s="172"/>
      <c r="I37" s="172"/>
      <c r="J37" s="173"/>
      <c r="K37" s="442" t="s">
        <v>22</v>
      </c>
      <c r="L37" s="104" t="str">
        <f t="shared" si="38"/>
        <v>►</v>
      </c>
      <c r="M37" s="32" t="str">
        <f>M19</f>
        <v>C Coquetiers de l'Antoine | | Auteur &gt; Guy KRENZE - Eric GODDYN - Arnaud NICOLAS - CEPROC 2002</v>
      </c>
      <c r="N37" s="33">
        <f>N19</f>
        <v>20</v>
      </c>
      <c r="O37" s="32" t="str">
        <f>O19</f>
        <v>coquetiers de 25 g</v>
      </c>
      <c r="P37" s="34" t="str">
        <f>P19</f>
        <v>Recette mère ► le Boudin en 4 déclinaisons</v>
      </c>
      <c r="Q37" s="92"/>
      <c r="R37" s="108"/>
      <c r="S37" s="94" t="str">
        <f t="shared" si="36"/>
        <v/>
      </c>
      <c r="T37" s="95"/>
      <c r="U37" s="126"/>
      <c r="V37" s="127">
        <v>1</v>
      </c>
      <c r="W37" s="920"/>
      <c r="X37" s="1494">
        <f>IF(OR(ISBLANK(Q17),X17=0),0,Q37*V18)</f>
        <v>0</v>
      </c>
      <c r="Y37" s="101" cm="1">
        <f t="array" ref="Y37">IFERROR(_xlfn.LET(_xlpm.k,UPPER(TRIM(U37)),_xlpm.r,_xlfn.XLOOKUP(_xlpm.k,UPPER(TRIM(Q39:Z39)),Q40:Z40,_xlfn.XLOOKUP(_xlpm.k,UPPER(TRIM(Q41:Z41)),Q42:Z42)),_xlpm.r*T37*V37*V18*IF(ISBLANK(Q37),1,Q37)),0)</f>
        <v>0</v>
      </c>
      <c r="Z37" s="1476" t="str">
        <f>_xlfn.LET(_xlpm.unite,SUBSTITUTE(TRIM(U37)," (s)",""),_xlpm.val,Y37,_xlpm.estVol,COUNTIF(T39:Z39,_xlpm.unite)+COUNTIF(T41:Z41,_xlpm.unite)&gt;0,_xlpm.estPoids,COUNTIF(Q39:S39,_xlpm.unite)+COUNTIF(Q41:S41,_xlpm.unite)&gt;0,IF(_xlpm.estVol,IF(ROUND(_xlpm.val,3)&gt;=1,ROUND(_xlpm.val,3)&amp;" L",MAX(1,ROUND(_xlpm.val*100,0))&amp;" cl"),IF(_xlpm.estPoids,IF(ROUND(_xlpm.val,3)&gt;=1,ROUND(_xlpm.val,3)&amp;" Kg",MAX(1,ROUND(_xlpm.val*1000,0))&amp;" g"),"")))</f>
        <v/>
      </c>
      <c r="AA37" s="5211"/>
      <c r="AB37" s="1178"/>
      <c r="AC37" s="1179"/>
      <c r="AD37" s="227" t="s">
        <v>22</v>
      </c>
      <c r="AE37" s="1027" t="str">
        <f t="shared" si="15"/>
        <v>►</v>
      </c>
      <c r="AF37" s="1028" t="str">
        <f t="shared" si="16"/>
        <v/>
      </c>
      <c r="AG37" s="1029" t="str">
        <f t="shared" si="17"/>
        <v/>
      </c>
      <c r="AH37" s="1028" t="str">
        <f t="shared" si="18"/>
        <v/>
      </c>
      <c r="AI37" s="1029" t="str">
        <f t="shared" si="19"/>
        <v/>
      </c>
      <c r="AJ37" s="1029">
        <f t="shared" si="20"/>
        <v>0</v>
      </c>
      <c r="AK37" s="1043" t="str" cm="1">
        <f t="array" ref="AK37">IF(AE37&lt;&gt;"A","",IFERROR((IFERROR(_xlfn.XLOOKUP(TRIM(SUBSTITUTE(U37,CHAR(160)," ")),$BI$15:$BI$62,$BL$15:$BL$62),IFERROR(_xlfn.XLOOKUP(TRIM(SUBSTITUTE(U37,CHAR(160)," ")),$BJ$15:$BJ$62,$BL$15:$BL$62),_xlfn.XLOOKUP(TRIM(SUBSTITUTE(U37,CHAR(160)," ")),$BK$15:$BK$62,$BL$15:$BL$62))))*T37*IF(ISBLANK(Q37),1,Q37)+IFERROR(_xlfn.XLOOKUP("RECHERCHEX",TRIM(L37:AC37),L37:AC37),0),0))</f>
        <v/>
      </c>
      <c r="AL37" s="1030">
        <f t="shared" si="21"/>
        <v>0</v>
      </c>
      <c r="AM37" s="5254" t="str">
        <f t="shared" si="42"/>
        <v/>
      </c>
      <c r="AN37" s="1031">
        <f t="shared" si="23"/>
        <v>0</v>
      </c>
      <c r="AO37" s="1031">
        <f t="shared" si="24"/>
        <v>0</v>
      </c>
      <c r="AP37" s="1044">
        <f t="shared" si="25"/>
        <v>0</v>
      </c>
      <c r="AQ37" s="5257" t="str">
        <f t="shared" si="26"/>
        <v/>
      </c>
      <c r="AR37" s="1056"/>
      <c r="AS37" s="1056"/>
      <c r="AT37" s="1045">
        <f t="shared" si="27"/>
        <v>0</v>
      </c>
      <c r="AU37" s="1046">
        <f t="shared" si="28"/>
        <v>0</v>
      </c>
      <c r="AV37" s="1059" cm="1">
        <f t="array" ref="AV37">IF(AJ37&lt;&gt;1,0,IF(OR(AT37="",N(AT37)&lt;=0.000000001),"",IF(OR(AN37="",N(AN37)&lt;=0.000000001),0,IF(ISNUMBER(AT37),IFERROR(_xlfn.LET(_xlpm.ai_test,TRIM(AI37),_xlpm.r,IFERROR(_xlfn.XLOOKUP(_xlpm.ai_test,$BI$15:$BI$62,ROW($BI$15:$BI$62),0,1),IFERROR(_xlfn.XLOOKUP(_xlpm.ai_test,$BJ$15:$BJ$62,ROW($BJ$15:$BJ$62),0,1),_xlfn.XLOOKUP(_xlpm.ai_test,$BK$15:$BK$62,ROW($BK$15:$BK$62),0,1))),_xlpm.p,_xlpm.r-MIN(ROW($BI$15:$BI$62))+1,_xlpm.f,INDEX($BL$15:$BL$62,_xlpm.p),_xlpm.u,INDEX($BM$15:$BM$62,_xlpm.p),_xlpm.s,INDEX($BO$15:$BO$62,_xlpm.p),_xlpm.q,N(AT37)/_xlpm.f,IF(_xlpm.q&gt;=_xlpm.s,ROUND(_xlpm.q,1)&amp;" "&amp;_xlpm.ai_test&amp;" = "&amp;ROUND(_xlpm.q*_xlpm.f,1)&amp;" "&amp;_xlpm.u,ROUND(_xlpm.q,1)&amp;" "&amp;_xlpm.ai_test)),""),""))))</f>
        <v>0</v>
      </c>
      <c r="AW37" s="1047"/>
      <c r="AX37" s="1045">
        <f t="shared" si="29"/>
        <v>0</v>
      </c>
      <c r="AY37" s="1046" t="str">
        <f t="shared" si="30"/>
        <v/>
      </c>
      <c r="AZ37" s="1048">
        <f t="shared" si="37"/>
        <v>0</v>
      </c>
      <c r="BA37" s="1049" t="str">
        <f t="shared" si="31"/>
        <v/>
      </c>
      <c r="BB37" s="1038"/>
      <c r="BC37" s="1050">
        <f t="shared" si="40"/>
        <v>0</v>
      </c>
      <c r="BD37" s="1040" t="str">
        <f t="shared" si="33"/>
        <v/>
      </c>
      <c r="BE37" s="227" t="s">
        <v>22</v>
      </c>
      <c r="BF37" s="1019">
        <f t="shared" si="34"/>
        <v>0</v>
      </c>
      <c r="BG37" s="1020">
        <f t="shared" si="35"/>
        <v>0</v>
      </c>
      <c r="BH37" s="852"/>
      <c r="BI37" s="5259" t="s">
        <v>117</v>
      </c>
      <c r="BJ37" s="5202" t="s">
        <v>1367</v>
      </c>
      <c r="BK37" s="5201" t="s">
        <v>1350</v>
      </c>
      <c r="BL37" s="1013">
        <f t="shared" si="41"/>
        <v>0.35</v>
      </c>
      <c r="BM37" s="1051" t="s">
        <v>1814</v>
      </c>
      <c r="BN37" s="1051" t="s">
        <v>1815</v>
      </c>
      <c r="BO37" s="1003">
        <f t="shared" si="39"/>
        <v>3</v>
      </c>
      <c r="BP37" s="1052">
        <v>350</v>
      </c>
      <c r="BQ37" s="852"/>
      <c r="BR37" s="852"/>
      <c r="BS37" s="852"/>
      <c r="BT37" s="852"/>
      <c r="BU37" s="852"/>
      <c r="BV37" s="852"/>
      <c r="BW37" s="959" t="str">
        <f t="shared" si="10"/>
        <v>►</v>
      </c>
      <c r="BX37" s="5555"/>
      <c r="BY37" s="5555"/>
      <c r="BZ37" s="5555"/>
      <c r="CA37" s="5555"/>
      <c r="CB37" s="5555"/>
      <c r="CC37" s="957"/>
      <c r="CD37" s="1062" t="s">
        <v>1841</v>
      </c>
      <c r="CE37" s="1063"/>
      <c r="CF37" s="1063"/>
      <c r="CG37" s="116"/>
      <c r="CH37" s="116"/>
      <c r="CI37" s="116"/>
      <c r="CJ37" s="866"/>
      <c r="CL37" s="1062" t="s">
        <v>1842</v>
      </c>
      <c r="CM37" s="1063"/>
      <c r="CN37" s="1063"/>
      <c r="CO37" s="116"/>
      <c r="CP37" s="116"/>
      <c r="CQ37" s="116"/>
      <c r="CR37" s="866"/>
      <c r="CT37" s="1062" t="s">
        <v>1843</v>
      </c>
      <c r="CU37" s="1063"/>
      <c r="CV37" s="1063"/>
      <c r="CW37" s="116"/>
      <c r="CX37" s="116"/>
      <c r="CY37" s="116"/>
      <c r="CZ37" s="866"/>
      <c r="DB37" s="3">
        <v>1</v>
      </c>
    </row>
    <row r="38" spans="1:106" s="709" customFormat="1" ht="21" customHeight="1">
      <c r="A38" s="936" t="s">
        <v>22</v>
      </c>
      <c r="B38" s="952" t="str">
        <f t="shared" si="9"/>
        <v>A</v>
      </c>
      <c r="C38" s="993" cm="1">
        <f t="array" ref="C38">SUMPRODUCT(LEN(D38:J38))</f>
        <v>0</v>
      </c>
      <c r="D38" s="167"/>
      <c r="E38" s="172"/>
      <c r="F38" s="172"/>
      <c r="G38" s="172"/>
      <c r="H38" s="172"/>
      <c r="I38" s="172"/>
      <c r="J38" s="173"/>
      <c r="K38" s="442" t="s">
        <v>22</v>
      </c>
      <c r="L38" s="104" t="s">
        <v>11</v>
      </c>
      <c r="M38" s="32" t="str">
        <f>M19</f>
        <v>C Coquetiers de l'Antoine | | Auteur &gt; Guy KRENZE - Eric GODDYN - Arnaud NICOLAS - CEPROC 2002</v>
      </c>
      <c r="N38" s="33">
        <f>N19</f>
        <v>20</v>
      </c>
      <c r="O38" s="32" t="str">
        <f>O19</f>
        <v>coquetiers de 25 g</v>
      </c>
      <c r="P38" s="34" t="str">
        <f>P19</f>
        <v>Recette mère ► le Boudin en 4 déclinaisons</v>
      </c>
      <c r="Q38" s="907" t="s">
        <v>136</v>
      </c>
      <c r="R38" s="500"/>
      <c r="S38" s="500"/>
      <c r="T38" s="500"/>
      <c r="U38" s="500"/>
      <c r="V38" s="908"/>
      <c r="W38" s="909"/>
      <c r="X38" s="909"/>
      <c r="Y38" s="910">
        <f>SUM(Y23:Y37)</f>
        <v>1.5309999999999999</v>
      </c>
      <c r="Z38" s="1489"/>
      <c r="AA38" s="5211"/>
      <c r="AB38" s="1178"/>
      <c r="AC38" s="1179"/>
      <c r="AD38" s="227" t="s">
        <v>22</v>
      </c>
      <c r="AE38" s="1027" t="str">
        <f t="shared" si="15"/>
        <v>►</v>
      </c>
      <c r="AF38" s="1028" t="str">
        <f t="shared" si="16"/>
        <v/>
      </c>
      <c r="AG38" s="1029" t="str">
        <f t="shared" si="17"/>
        <v/>
      </c>
      <c r="AH38" s="1028" t="str">
        <f t="shared" si="18"/>
        <v/>
      </c>
      <c r="AI38" s="1029" t="str">
        <f t="shared" si="19"/>
        <v/>
      </c>
      <c r="AJ38" s="1029">
        <f t="shared" si="20"/>
        <v>0</v>
      </c>
      <c r="AK38" s="1043" t="str" cm="1">
        <f t="array" ref="AK38">IF(AE38&lt;&gt;"A","",IFERROR((IFERROR(_xlfn.XLOOKUP(TRIM(SUBSTITUTE(U38,CHAR(160)," ")),$BI$15:$BI$62,$BL$15:$BL$62),IFERROR(_xlfn.XLOOKUP(TRIM(SUBSTITUTE(U38,CHAR(160)," ")),$BJ$15:$BJ$62,$BL$15:$BL$62),_xlfn.XLOOKUP(TRIM(SUBSTITUTE(U38,CHAR(160)," ")),$BK$15:$BK$62,$BL$15:$BL$62))))*T38*IF(ISBLANK(Q38),1,Q38)+IFERROR(_xlfn.XLOOKUP("RECHERCHEX",TRIM(L38:AC38),L38:AC38),0),0))</f>
        <v/>
      </c>
      <c r="AL38" s="1030">
        <f t="shared" si="21"/>
        <v>0</v>
      </c>
      <c r="AM38" s="5254" t="str">
        <f t="shared" si="42"/>
        <v/>
      </c>
      <c r="AN38" s="1031">
        <f t="shared" si="23"/>
        <v>0</v>
      </c>
      <c r="AO38" s="1031">
        <f t="shared" si="24"/>
        <v>0</v>
      </c>
      <c r="AP38" s="1032">
        <f t="shared" si="25"/>
        <v>0</v>
      </c>
      <c r="AQ38" s="5255" t="str">
        <f t="shared" si="26"/>
        <v/>
      </c>
      <c r="AR38" s="1056"/>
      <c r="AS38" s="1056"/>
      <c r="AT38" s="1034">
        <f t="shared" si="27"/>
        <v>0</v>
      </c>
      <c r="AU38" s="1035">
        <f t="shared" si="28"/>
        <v>0</v>
      </c>
      <c r="AV38" s="1057" cm="1">
        <f t="array" ref="AV38">IF(AJ38&lt;&gt;1,0,IF(OR(AT38="",N(AT38)&lt;=0.000000001),"",IF(OR(AN38="",N(AN38)&lt;=0.000000001),0,IF(ISNUMBER(AT38),IFERROR(_xlfn.LET(_xlpm.ai_test,TRIM(AI38),_xlpm.r,IFERROR(_xlfn.XLOOKUP(_xlpm.ai_test,$BI$15:$BI$62,ROW($BI$15:$BI$62),0,1),IFERROR(_xlfn.XLOOKUP(_xlpm.ai_test,$BJ$15:$BJ$62,ROW($BJ$15:$BJ$62),0,1),_xlfn.XLOOKUP(_xlpm.ai_test,$BK$15:$BK$62,ROW($BK$15:$BK$62),0,1))),_xlpm.p,_xlpm.r-MIN(ROW($BI$15:$BI$62))+1,_xlpm.f,INDEX($BL$15:$BL$62,_xlpm.p),_xlpm.u,INDEX($BM$15:$BM$62,_xlpm.p),_xlpm.s,INDEX($BO$15:$BO$62,_xlpm.p),_xlpm.q,N(AT38)/_xlpm.f,IF(_xlpm.q&gt;=_xlpm.s,ROUND(_xlpm.q,1)&amp;" "&amp;_xlpm.ai_test&amp;" = "&amp;ROUND(_xlpm.q*_xlpm.f,1)&amp;" "&amp;_xlpm.u,ROUND(_xlpm.q,1)&amp;" "&amp;_xlpm.ai_test)),""),""))))</f>
        <v>0</v>
      </c>
      <c r="AW38" s="1047"/>
      <c r="AX38" s="1034">
        <f t="shared" si="29"/>
        <v>0</v>
      </c>
      <c r="AY38" s="1035" t="str">
        <f t="shared" si="30"/>
        <v/>
      </c>
      <c r="AZ38" s="1036">
        <f t="shared" si="37"/>
        <v>0</v>
      </c>
      <c r="BA38" s="1037" t="str">
        <f t="shared" si="31"/>
        <v/>
      </c>
      <c r="BB38" s="1038"/>
      <c r="BC38" s="1039">
        <f t="shared" si="40"/>
        <v>0</v>
      </c>
      <c r="BD38" s="1040" t="str">
        <f t="shared" si="33"/>
        <v/>
      </c>
      <c r="BE38" s="227" t="s">
        <v>22</v>
      </c>
      <c r="BF38" s="1019">
        <f t="shared" si="34"/>
        <v>0</v>
      </c>
      <c r="BG38" s="1020">
        <f t="shared" si="35"/>
        <v>0</v>
      </c>
      <c r="BH38" s="852"/>
      <c r="BI38" s="5259" t="s">
        <v>160</v>
      </c>
      <c r="BJ38" s="5202" t="s">
        <v>1368</v>
      </c>
      <c r="BK38" s="5202" t="s">
        <v>1351</v>
      </c>
      <c r="BL38" s="1013">
        <f t="shared" si="41"/>
        <v>4.9299999999999995E-3</v>
      </c>
      <c r="BM38" s="1051" t="s">
        <v>1814</v>
      </c>
      <c r="BN38" s="1051" t="s">
        <v>1815</v>
      </c>
      <c r="BO38" s="1003">
        <f t="shared" si="39"/>
        <v>203</v>
      </c>
      <c r="BP38" s="1058">
        <v>4.93</v>
      </c>
      <c r="BQ38" s="852"/>
      <c r="BR38" s="852"/>
      <c r="BS38" s="852"/>
      <c r="BT38" s="852"/>
      <c r="BU38" s="852"/>
      <c r="BV38" s="852"/>
      <c r="BW38" s="959" t="str">
        <f t="shared" si="10"/>
        <v>►</v>
      </c>
      <c r="BX38" s="1064"/>
      <c r="BY38" s="857"/>
      <c r="BZ38" s="857"/>
      <c r="CA38" s="858"/>
      <c r="CB38" s="858"/>
      <c r="CC38" s="957"/>
      <c r="CD38" s="5556" t="s">
        <v>13442</v>
      </c>
      <c r="CE38" s="5557"/>
      <c r="CF38" s="5557"/>
      <c r="CG38" s="5557"/>
      <c r="CH38" s="5557"/>
      <c r="CI38" s="5557"/>
      <c r="CJ38" s="5558"/>
      <c r="CL38" s="5556" t="s">
        <v>13443</v>
      </c>
      <c r="CM38" s="5557"/>
      <c r="CN38" s="5557"/>
      <c r="CO38" s="5557"/>
      <c r="CP38" s="5557"/>
      <c r="CQ38" s="5557"/>
      <c r="CR38" s="5558"/>
      <c r="CT38" s="5556" t="s">
        <v>13444</v>
      </c>
      <c r="CU38" s="5557"/>
      <c r="CV38" s="5557"/>
      <c r="CW38" s="5557"/>
      <c r="CX38" s="5557"/>
      <c r="CY38" s="5557"/>
      <c r="CZ38" s="5558"/>
      <c r="DB38" s="3">
        <v>1</v>
      </c>
    </row>
    <row r="39" spans="1:106" s="709" customFormat="1" ht="21" customHeight="1">
      <c r="A39" s="936" t="s">
        <v>22</v>
      </c>
      <c r="B39" s="952" t="str">
        <f t="shared" si="9"/>
        <v>►</v>
      </c>
      <c r="C39" s="993" cm="1">
        <f t="array" ref="C39">SUMPRODUCT(LEN(D39:J39))</f>
        <v>0</v>
      </c>
      <c r="D39" s="167"/>
      <c r="E39" s="172"/>
      <c r="F39" s="172"/>
      <c r="G39" s="172"/>
      <c r="H39" s="172"/>
      <c r="I39" s="172"/>
      <c r="J39" s="173"/>
      <c r="K39" s="442"/>
      <c r="L39" s="104" t="s">
        <v>16</v>
      </c>
      <c r="M39" s="32" t="str">
        <f>M19</f>
        <v>C Coquetiers de l'Antoine | | Auteur &gt; Guy KRENZE - Eric GODDYN - Arnaud NICOLAS - CEPROC 2002</v>
      </c>
      <c r="N39" s="33">
        <f>N19</f>
        <v>20</v>
      </c>
      <c r="O39" s="32" t="str">
        <f>O19</f>
        <v>coquetiers de 25 g</v>
      </c>
      <c r="P39" s="34" t="str">
        <f>P19</f>
        <v>Recette mère ► le Boudin en 4 déclinaisons</v>
      </c>
      <c r="Q39" s="140" t="s">
        <v>143</v>
      </c>
      <c r="R39" s="105" t="s">
        <v>99</v>
      </c>
      <c r="S39" s="141" t="s">
        <v>144</v>
      </c>
      <c r="T39" s="96" t="s">
        <v>0</v>
      </c>
      <c r="U39" s="96" t="s">
        <v>96</v>
      </c>
      <c r="V39" s="96" t="s">
        <v>147</v>
      </c>
      <c r="W39" s="96" t="s">
        <v>148</v>
      </c>
      <c r="X39" s="109" t="s">
        <v>364</v>
      </c>
      <c r="Y39" s="109" t="s">
        <v>102</v>
      </c>
      <c r="Z39" s="109" t="s">
        <v>149</v>
      </c>
      <c r="AA39" s="5211"/>
      <c r="AB39" s="1178"/>
      <c r="AC39" s="1179"/>
      <c r="AD39" s="227" t="s">
        <v>22</v>
      </c>
      <c r="AE39" s="1027" t="str">
        <f t="shared" si="15"/>
        <v>►</v>
      </c>
      <c r="AF39" s="1028" t="str">
        <f t="shared" si="16"/>
        <v/>
      </c>
      <c r="AG39" s="1029" t="str">
        <f t="shared" si="17"/>
        <v/>
      </c>
      <c r="AH39" s="1028" t="str">
        <f t="shared" si="18"/>
        <v/>
      </c>
      <c r="AI39" s="1029" t="str">
        <f t="shared" si="19"/>
        <v/>
      </c>
      <c r="AJ39" s="1029">
        <f t="shared" si="20"/>
        <v>0</v>
      </c>
      <c r="AK39" s="1043" t="str" cm="1">
        <f t="array" ref="AK39">IF(AE39&lt;&gt;"A","",IFERROR((IFERROR(_xlfn.XLOOKUP(TRIM(SUBSTITUTE(U39,CHAR(160)," ")),$BI$15:$BI$62,$BL$15:$BL$62),IFERROR(_xlfn.XLOOKUP(TRIM(SUBSTITUTE(U39,CHAR(160)," ")),$BJ$15:$BJ$62,$BL$15:$BL$62),_xlfn.XLOOKUP(TRIM(SUBSTITUTE(U39,CHAR(160)," ")),$BK$15:$BK$62,$BL$15:$BL$62))))*T39*IF(ISBLANK(Q39),1,Q39)+IFERROR(_xlfn.XLOOKUP("RECHERCHEX",TRIM(L39:AC39),L39:AC39),0),0))</f>
        <v/>
      </c>
      <c r="AL39" s="1030">
        <f t="shared" si="21"/>
        <v>0</v>
      </c>
      <c r="AM39" s="5254" t="str">
        <f t="shared" si="42"/>
        <v/>
      </c>
      <c r="AN39" s="1031">
        <f t="shared" si="23"/>
        <v>0</v>
      </c>
      <c r="AO39" s="1031">
        <f t="shared" si="24"/>
        <v>0</v>
      </c>
      <c r="AP39" s="1044">
        <f t="shared" si="25"/>
        <v>0</v>
      </c>
      <c r="AQ39" s="5257" t="str">
        <f t="shared" si="26"/>
        <v/>
      </c>
      <c r="AR39" s="1056"/>
      <c r="AS39" s="1056"/>
      <c r="AT39" s="1045">
        <f t="shared" si="27"/>
        <v>0</v>
      </c>
      <c r="AU39" s="1046">
        <f t="shared" si="28"/>
        <v>0</v>
      </c>
      <c r="AV39" s="1059" cm="1">
        <f t="array" ref="AV39">IF(AJ39&lt;&gt;1,0,IF(OR(AT39="",N(AT39)&lt;=0.000000001),"",IF(OR(AN39="",N(AN39)&lt;=0.000000001),0,IF(ISNUMBER(AT39),IFERROR(_xlfn.LET(_xlpm.ai_test,TRIM(AI39),_xlpm.r,IFERROR(_xlfn.XLOOKUP(_xlpm.ai_test,$BI$15:$BI$62,ROW($BI$15:$BI$62),0,1),IFERROR(_xlfn.XLOOKUP(_xlpm.ai_test,$BJ$15:$BJ$62,ROW($BJ$15:$BJ$62),0,1),_xlfn.XLOOKUP(_xlpm.ai_test,$BK$15:$BK$62,ROW($BK$15:$BK$62),0,1))),_xlpm.p,_xlpm.r-MIN(ROW($BI$15:$BI$62))+1,_xlpm.f,INDEX($BL$15:$BL$62,_xlpm.p),_xlpm.u,INDEX($BM$15:$BM$62,_xlpm.p),_xlpm.s,INDEX($BO$15:$BO$62,_xlpm.p),_xlpm.q,N(AT39)/_xlpm.f,IF(_xlpm.q&gt;=_xlpm.s,ROUND(_xlpm.q,1)&amp;" "&amp;_xlpm.ai_test&amp;" = "&amp;ROUND(_xlpm.q*_xlpm.f,1)&amp;" "&amp;_xlpm.u,ROUND(_xlpm.q,1)&amp;" "&amp;_xlpm.ai_test)),""),""))))</f>
        <v>0</v>
      </c>
      <c r="AW39" s="1047"/>
      <c r="AX39" s="1045">
        <f t="shared" si="29"/>
        <v>0</v>
      </c>
      <c r="AY39" s="1046" t="str">
        <f t="shared" si="30"/>
        <v/>
      </c>
      <c r="AZ39" s="1048">
        <f t="shared" si="37"/>
        <v>0</v>
      </c>
      <c r="BA39" s="1049" t="str">
        <f t="shared" si="31"/>
        <v/>
      </c>
      <c r="BB39" s="1038"/>
      <c r="BC39" s="1050">
        <f t="shared" si="40"/>
        <v>0</v>
      </c>
      <c r="BD39" s="1040" t="str">
        <f t="shared" si="33"/>
        <v/>
      </c>
      <c r="BE39" s="227" t="s">
        <v>22</v>
      </c>
      <c r="BF39" s="1019">
        <f t="shared" si="34"/>
        <v>0</v>
      </c>
      <c r="BG39" s="1020">
        <f t="shared" si="35"/>
        <v>0</v>
      </c>
      <c r="BH39" s="852"/>
      <c r="BI39" s="5259" t="s">
        <v>161</v>
      </c>
      <c r="BJ39" s="5202" t="s">
        <v>1369</v>
      </c>
      <c r="BK39" s="5202" t="s">
        <v>1352</v>
      </c>
      <c r="BL39" s="1013">
        <f t="shared" si="41"/>
        <v>5.0000000000000001E-3</v>
      </c>
      <c r="BM39" s="1051" t="s">
        <v>1814</v>
      </c>
      <c r="BN39" s="1051" t="s">
        <v>1815</v>
      </c>
      <c r="BO39" s="1003">
        <f t="shared" si="39"/>
        <v>200</v>
      </c>
      <c r="BP39" s="1052">
        <v>5</v>
      </c>
      <c r="BQ39" s="852"/>
      <c r="BR39" s="852"/>
      <c r="BS39" s="852"/>
      <c r="BT39" s="852"/>
      <c r="BU39" s="852"/>
      <c r="BV39" s="852"/>
      <c r="BW39" s="959" t="str">
        <f t="shared" si="10"/>
        <v>►</v>
      </c>
      <c r="BX39" s="1064"/>
      <c r="BY39" s="857"/>
      <c r="BZ39" s="857"/>
      <c r="CA39" s="858"/>
      <c r="CB39" s="858"/>
      <c r="CC39" s="957"/>
      <c r="CD39" s="5556"/>
      <c r="CE39" s="5557"/>
      <c r="CF39" s="5557"/>
      <c r="CG39" s="5557"/>
      <c r="CH39" s="5557"/>
      <c r="CI39" s="5557"/>
      <c r="CJ39" s="5558"/>
      <c r="CL39" s="5556"/>
      <c r="CM39" s="5557"/>
      <c r="CN39" s="5557"/>
      <c r="CO39" s="5557"/>
      <c r="CP39" s="5557"/>
      <c r="CQ39" s="5557"/>
      <c r="CR39" s="5558"/>
      <c r="CT39" s="5556"/>
      <c r="CU39" s="5557"/>
      <c r="CV39" s="5557"/>
      <c r="CW39" s="5557"/>
      <c r="CX39" s="5557"/>
      <c r="CY39" s="5557"/>
      <c r="CZ39" s="5558"/>
      <c r="DB39" s="3">
        <v>1</v>
      </c>
    </row>
    <row r="40" spans="1:106" s="709" customFormat="1" ht="21" customHeight="1">
      <c r="A40" s="936" t="s">
        <v>22</v>
      </c>
      <c r="B40" s="952" t="str">
        <f t="shared" si="9"/>
        <v>►</v>
      </c>
      <c r="C40" s="993" cm="1">
        <f t="array" ref="C40">SUMPRODUCT(LEN(D40:J40))</f>
        <v>0</v>
      </c>
      <c r="D40" s="167"/>
      <c r="E40" s="172"/>
      <c r="F40" s="172"/>
      <c r="G40" s="172"/>
      <c r="H40" s="172"/>
      <c r="I40" s="172"/>
      <c r="J40" s="173"/>
      <c r="K40" s="442"/>
      <c r="L40" s="104" t="s">
        <v>16</v>
      </c>
      <c r="M40" s="32" t="str">
        <f>M19</f>
        <v>C Coquetiers de l'Antoine | | Auteur &gt; Guy KRENZE - Eric GODDYN - Arnaud NICOLAS - CEPROC 2002</v>
      </c>
      <c r="N40" s="33">
        <f>N19</f>
        <v>20</v>
      </c>
      <c r="O40" s="32" t="str">
        <f>O19</f>
        <v>coquetiers de 25 g</v>
      </c>
      <c r="P40" s="34" t="str">
        <f>P19</f>
        <v>Recette mère ► le Boudin en 4 déclinaisons</v>
      </c>
      <c r="Q40" s="911">
        <v>1</v>
      </c>
      <c r="R40" s="912">
        <v>1E-3</v>
      </c>
      <c r="S40" s="913">
        <v>0</v>
      </c>
      <c r="T40" s="914">
        <v>1</v>
      </c>
      <c r="U40" s="914">
        <v>0.1</v>
      </c>
      <c r="V40" s="914">
        <v>0.01</v>
      </c>
      <c r="W40" s="914">
        <v>1E-3</v>
      </c>
      <c r="X40" s="914">
        <v>0.25</v>
      </c>
      <c r="Y40" s="914">
        <v>0.5</v>
      </c>
      <c r="Z40" s="914">
        <v>0.33300000000000002</v>
      </c>
      <c r="AA40" s="5211"/>
      <c r="AB40" s="1178"/>
      <c r="AC40" s="1179"/>
      <c r="AD40" s="227" t="s">
        <v>22</v>
      </c>
      <c r="AE40" s="1027" t="str">
        <f t="shared" si="15"/>
        <v>►</v>
      </c>
      <c r="AF40" s="1028" t="str">
        <f t="shared" si="16"/>
        <v/>
      </c>
      <c r="AG40" s="1029" t="str">
        <f t="shared" si="17"/>
        <v/>
      </c>
      <c r="AH40" s="1028" t="str">
        <f t="shared" si="18"/>
        <v/>
      </c>
      <c r="AI40" s="1029" t="str">
        <f t="shared" si="19"/>
        <v/>
      </c>
      <c r="AJ40" s="1029">
        <f t="shared" si="20"/>
        <v>0</v>
      </c>
      <c r="AK40" s="1043" t="str" cm="1">
        <f t="array" ref="AK40">IF(AE40&lt;&gt;"A","",IFERROR((IFERROR(_xlfn.XLOOKUP(TRIM(SUBSTITUTE(U40,CHAR(160)," ")),$BI$15:$BI$62,$BL$15:$BL$62),IFERROR(_xlfn.XLOOKUP(TRIM(SUBSTITUTE(U40,CHAR(160)," ")),$BJ$15:$BJ$62,$BL$15:$BL$62),_xlfn.XLOOKUP(TRIM(SUBSTITUTE(U40,CHAR(160)," ")),$BK$15:$BK$62,$BL$15:$BL$62))))*T40*IF(ISBLANK(Q40),1,Q40)+IFERROR(_xlfn.XLOOKUP("RECHERCHEX",TRIM(L40:AC40),L40:AC40),0),0))</f>
        <v/>
      </c>
      <c r="AL40" s="1030">
        <f t="shared" si="21"/>
        <v>0</v>
      </c>
      <c r="AM40" s="5254" t="str">
        <f t="shared" si="42"/>
        <v/>
      </c>
      <c r="AN40" s="1031">
        <f t="shared" si="23"/>
        <v>0</v>
      </c>
      <c r="AO40" s="1031">
        <f t="shared" si="24"/>
        <v>0</v>
      </c>
      <c r="AP40" s="1032">
        <f t="shared" si="25"/>
        <v>0</v>
      </c>
      <c r="AQ40" s="5255" t="str">
        <f t="shared" si="26"/>
        <v/>
      </c>
      <c r="AR40" s="1056"/>
      <c r="AS40" s="1056"/>
      <c r="AT40" s="1034">
        <f t="shared" si="27"/>
        <v>0</v>
      </c>
      <c r="AU40" s="1035">
        <f t="shared" si="28"/>
        <v>0</v>
      </c>
      <c r="AV40" s="1057" cm="1">
        <f t="array" ref="AV40">IF(AJ40&lt;&gt;1,0,IF(OR(AT40="",N(AT40)&lt;=0.000000001),"",IF(OR(AN40="",N(AN40)&lt;=0.000000001),0,IF(ISNUMBER(AT40),IFERROR(_xlfn.LET(_xlpm.ai_test,TRIM(AI40),_xlpm.r,IFERROR(_xlfn.XLOOKUP(_xlpm.ai_test,$BI$15:$BI$62,ROW($BI$15:$BI$62),0,1),IFERROR(_xlfn.XLOOKUP(_xlpm.ai_test,$BJ$15:$BJ$62,ROW($BJ$15:$BJ$62),0,1),_xlfn.XLOOKUP(_xlpm.ai_test,$BK$15:$BK$62,ROW($BK$15:$BK$62),0,1))),_xlpm.p,_xlpm.r-MIN(ROW($BI$15:$BI$62))+1,_xlpm.f,INDEX($BL$15:$BL$62,_xlpm.p),_xlpm.u,INDEX($BM$15:$BM$62,_xlpm.p),_xlpm.s,INDEX($BO$15:$BO$62,_xlpm.p),_xlpm.q,N(AT40)/_xlpm.f,IF(_xlpm.q&gt;=_xlpm.s,ROUND(_xlpm.q,1)&amp;" "&amp;_xlpm.ai_test&amp;" = "&amp;ROUND(_xlpm.q*_xlpm.f,1)&amp;" "&amp;_xlpm.u,ROUND(_xlpm.q,1)&amp;" "&amp;_xlpm.ai_test)),""),""))))</f>
        <v>0</v>
      </c>
      <c r="AW40" s="1047"/>
      <c r="AX40" s="1034">
        <f t="shared" si="29"/>
        <v>0</v>
      </c>
      <c r="AY40" s="1035" t="str">
        <f t="shared" si="30"/>
        <v/>
      </c>
      <c r="AZ40" s="1036">
        <f t="shared" si="37"/>
        <v>0</v>
      </c>
      <c r="BA40" s="1037" t="str">
        <f t="shared" si="31"/>
        <v/>
      </c>
      <c r="BB40" s="1038"/>
      <c r="BC40" s="1039">
        <f t="shared" si="40"/>
        <v>0</v>
      </c>
      <c r="BD40" s="1040" t="str">
        <f t="shared" si="33"/>
        <v/>
      </c>
      <c r="BE40" s="227" t="s">
        <v>22</v>
      </c>
      <c r="BF40" s="1019">
        <f t="shared" si="34"/>
        <v>0</v>
      </c>
      <c r="BG40" s="1020">
        <f t="shared" si="35"/>
        <v>0</v>
      </c>
      <c r="BH40" s="852"/>
      <c r="BI40" s="5200" t="s">
        <v>156</v>
      </c>
      <c r="BJ40" s="5200" t="s">
        <v>156</v>
      </c>
      <c r="BK40" s="5200" t="s">
        <v>1344</v>
      </c>
      <c r="BL40" s="1013">
        <f t="shared" si="41"/>
        <v>2.835E-2</v>
      </c>
      <c r="BM40" s="865" t="s">
        <v>872</v>
      </c>
      <c r="BN40" s="865" t="s">
        <v>1773</v>
      </c>
      <c r="BO40" s="1003">
        <f t="shared" si="39"/>
        <v>35</v>
      </c>
      <c r="BP40" s="1066">
        <v>28.35</v>
      </c>
      <c r="BQ40" s="852"/>
      <c r="BR40" s="852"/>
      <c r="BS40" s="852"/>
      <c r="BT40" s="852"/>
      <c r="BU40" s="852"/>
      <c r="BV40" s="852"/>
      <c r="BW40" s="959" t="str">
        <f t="shared" si="10"/>
        <v>►</v>
      </c>
      <c r="BX40" s="1064"/>
      <c r="BY40" s="857"/>
      <c r="BZ40" s="857"/>
      <c r="CA40" s="858"/>
      <c r="CB40" s="858"/>
      <c r="CC40" s="957"/>
      <c r="CD40" s="495"/>
      <c r="CE40" s="9"/>
      <c r="CF40" s="9"/>
      <c r="CG40" s="9"/>
      <c r="CH40" s="9"/>
      <c r="CI40" s="9"/>
      <c r="CJ40" s="41"/>
      <c r="CL40" s="495"/>
      <c r="CM40" s="9"/>
      <c r="CN40" s="9"/>
      <c r="CO40" s="9"/>
      <c r="CP40" s="9"/>
      <c r="CQ40" s="9"/>
      <c r="CR40" s="41"/>
      <c r="CT40" s="495"/>
      <c r="CU40" s="9"/>
      <c r="CV40" s="9"/>
      <c r="CW40" s="9"/>
      <c r="CX40" s="9"/>
      <c r="CY40" s="9"/>
      <c r="CZ40" s="41"/>
      <c r="DB40" s="3">
        <v>1</v>
      </c>
    </row>
    <row r="41" spans="1:106" s="709" customFormat="1" ht="21" customHeight="1">
      <c r="A41" s="936" t="s">
        <v>22</v>
      </c>
      <c r="B41" s="952" t="str">
        <f t="shared" si="9"/>
        <v>►</v>
      </c>
      <c r="C41" s="993" cm="1">
        <f t="array" ref="C41">SUMPRODUCT(LEN(D41:J41))</f>
        <v>0</v>
      </c>
      <c r="D41" s="167"/>
      <c r="E41" s="172"/>
      <c r="F41" s="172"/>
      <c r="G41" s="172"/>
      <c r="H41" s="172"/>
      <c r="I41" s="172"/>
      <c r="J41" s="173"/>
      <c r="K41" s="442" t="s">
        <v>22</v>
      </c>
      <c r="L41" s="104" t="s">
        <v>16</v>
      </c>
      <c r="M41" s="32" t="str">
        <f>M19</f>
        <v>C Coquetiers de l'Antoine | | Auteur &gt; Guy KRENZE - Eric GODDYN - Arnaud NICOLAS - CEPROC 2002</v>
      </c>
      <c r="N41" s="33">
        <f>N19</f>
        <v>20</v>
      </c>
      <c r="O41" s="32" t="str">
        <f>O19</f>
        <v>coquetiers de 25 g</v>
      </c>
      <c r="P41" s="34" t="str">
        <f>P19</f>
        <v>Recette mère ► le Boudin en 4 déclinaisons</v>
      </c>
      <c r="Q41" s="142" t="s">
        <v>145</v>
      </c>
      <c r="R41" s="117" t="s">
        <v>107</v>
      </c>
      <c r="S41" s="141" t="s">
        <v>144</v>
      </c>
      <c r="T41" s="109" t="s">
        <v>150</v>
      </c>
      <c r="U41" s="109" t="s">
        <v>163</v>
      </c>
      <c r="V41" s="109" t="s">
        <v>103</v>
      </c>
      <c r="W41" s="109" t="s">
        <v>162</v>
      </c>
      <c r="X41" s="149" t="s">
        <v>160</v>
      </c>
      <c r="Y41" s="149" t="s">
        <v>117</v>
      </c>
      <c r="Z41" s="1061" t="s">
        <v>1831</v>
      </c>
      <c r="AA41" s="5211"/>
      <c r="AB41" s="1178"/>
      <c r="AC41" s="1179"/>
      <c r="AD41" s="227" t="s">
        <v>22</v>
      </c>
      <c r="AE41" s="1027" t="str">
        <f t="shared" si="15"/>
        <v>►</v>
      </c>
      <c r="AF41" s="1028" t="str">
        <f t="shared" si="16"/>
        <v/>
      </c>
      <c r="AG41" s="1029" t="str">
        <f t="shared" si="17"/>
        <v/>
      </c>
      <c r="AH41" s="1028" t="str">
        <f t="shared" si="18"/>
        <v/>
      </c>
      <c r="AI41" s="1029" t="str">
        <f t="shared" si="19"/>
        <v/>
      </c>
      <c r="AJ41" s="1029">
        <f t="shared" si="20"/>
        <v>0</v>
      </c>
      <c r="AK41" s="1043" t="str" cm="1">
        <f t="array" ref="AK41">IF(AE41&lt;&gt;"A","",IFERROR((IFERROR(_xlfn.XLOOKUP(TRIM(SUBSTITUTE(U41,CHAR(160)," ")),$BI$15:$BI$62,$BL$15:$BL$62),IFERROR(_xlfn.XLOOKUP(TRIM(SUBSTITUTE(U41,CHAR(160)," ")),$BJ$15:$BJ$62,$BL$15:$BL$62),_xlfn.XLOOKUP(TRIM(SUBSTITUTE(U41,CHAR(160)," ")),$BK$15:$BK$62,$BL$15:$BL$62))))*T41*IF(ISBLANK(Q41),1,Q41)+IFERROR(_xlfn.XLOOKUP("RECHERCHEX",TRIM(L41:AC41),L41:AC41),0),0))</f>
        <v/>
      </c>
      <c r="AL41" s="1030">
        <f t="shared" si="21"/>
        <v>0</v>
      </c>
      <c r="AM41" s="5254" t="str">
        <f t="shared" si="42"/>
        <v/>
      </c>
      <c r="AN41" s="1031">
        <f t="shared" si="23"/>
        <v>0</v>
      </c>
      <c r="AO41" s="1031">
        <f t="shared" si="24"/>
        <v>0</v>
      </c>
      <c r="AP41" s="1044">
        <f t="shared" si="25"/>
        <v>0</v>
      </c>
      <c r="AQ41" s="5257" t="str">
        <f t="shared" si="26"/>
        <v/>
      </c>
      <c r="AR41" s="1056"/>
      <c r="AS41" s="1056"/>
      <c r="AT41" s="1045">
        <f t="shared" si="27"/>
        <v>0</v>
      </c>
      <c r="AU41" s="1046">
        <f t="shared" si="28"/>
        <v>0</v>
      </c>
      <c r="AV41" s="1059" cm="1">
        <f t="array" ref="AV41">IF(AJ41&lt;&gt;1,0,IF(OR(AT41="",N(AT41)&lt;=0.000000001),"",IF(OR(AN41="",N(AN41)&lt;=0.000000001),0,IF(ISNUMBER(AT41),IFERROR(_xlfn.LET(_xlpm.ai_test,TRIM(AI41),_xlpm.r,IFERROR(_xlfn.XLOOKUP(_xlpm.ai_test,$BI$15:$BI$62,ROW($BI$15:$BI$62),0,1),IFERROR(_xlfn.XLOOKUP(_xlpm.ai_test,$BJ$15:$BJ$62,ROW($BJ$15:$BJ$62),0,1),_xlfn.XLOOKUP(_xlpm.ai_test,$BK$15:$BK$62,ROW($BK$15:$BK$62),0,1))),_xlpm.p,_xlpm.r-MIN(ROW($BI$15:$BI$62))+1,_xlpm.f,INDEX($BL$15:$BL$62,_xlpm.p),_xlpm.u,INDEX($BM$15:$BM$62,_xlpm.p),_xlpm.s,INDEX($BO$15:$BO$62,_xlpm.p),_xlpm.q,N(AT41)/_xlpm.f,IF(_xlpm.q&gt;=_xlpm.s,ROUND(_xlpm.q,1)&amp;" "&amp;_xlpm.ai_test&amp;" = "&amp;ROUND(_xlpm.q*_xlpm.f,1)&amp;" "&amp;_xlpm.u,ROUND(_xlpm.q,1)&amp;" "&amp;_xlpm.ai_test)),""),""))))</f>
        <v>0</v>
      </c>
      <c r="AW41" s="1047"/>
      <c r="AX41" s="1045">
        <f t="shared" si="29"/>
        <v>0</v>
      </c>
      <c r="AY41" s="1046" t="str">
        <f t="shared" si="30"/>
        <v/>
      </c>
      <c r="AZ41" s="1048">
        <f t="shared" si="37"/>
        <v>0</v>
      </c>
      <c r="BA41" s="1049" t="str">
        <f t="shared" si="31"/>
        <v/>
      </c>
      <c r="BB41" s="1038"/>
      <c r="BC41" s="1050">
        <f t="shared" si="40"/>
        <v>0</v>
      </c>
      <c r="BD41" s="1040" t="str">
        <f t="shared" si="33"/>
        <v/>
      </c>
      <c r="BE41" s="227" t="s">
        <v>22</v>
      </c>
      <c r="BF41" s="1019">
        <f t="shared" si="34"/>
        <v>0</v>
      </c>
      <c r="BG41" s="1020">
        <f t="shared" si="35"/>
        <v>0</v>
      </c>
      <c r="BH41" s="852"/>
      <c r="BI41" s="5260" t="s">
        <v>1846</v>
      </c>
      <c r="BJ41" s="5260" t="s">
        <v>1847</v>
      </c>
      <c r="BK41" s="5260" t="s">
        <v>1848</v>
      </c>
      <c r="BL41" s="1013">
        <f t="shared" si="41"/>
        <v>1.4E-2</v>
      </c>
      <c r="BM41" s="1051" t="s">
        <v>1814</v>
      </c>
      <c r="BN41" s="1051" t="s">
        <v>1815</v>
      </c>
      <c r="BO41" s="1003">
        <f t="shared" si="39"/>
        <v>71</v>
      </c>
      <c r="BP41" s="1052">
        <v>14</v>
      </c>
      <c r="BQ41" s="852"/>
      <c r="BR41" s="852"/>
      <c r="BS41" s="852"/>
      <c r="BT41" s="852"/>
      <c r="BU41" s="852"/>
      <c r="BV41" s="852"/>
      <c r="BW41" s="959" t="str">
        <f t="shared" si="10"/>
        <v>►</v>
      </c>
      <c r="BX41" s="1064"/>
      <c r="BY41" s="857"/>
      <c r="BZ41" s="857"/>
      <c r="CA41" s="858"/>
      <c r="CB41" s="858"/>
      <c r="CC41" s="957"/>
      <c r="CD41" s="1068" t="s">
        <v>1849</v>
      </c>
      <c r="CE41" s="9"/>
      <c r="CF41" s="9"/>
      <c r="CG41" s="9"/>
      <c r="CH41" s="9"/>
      <c r="CI41" s="9"/>
      <c r="CJ41" s="41"/>
      <c r="CL41" s="1068" t="s">
        <v>1850</v>
      </c>
      <c r="CM41" s="9"/>
      <c r="CN41" s="9"/>
      <c r="CO41" s="9"/>
      <c r="CP41" s="9"/>
      <c r="CQ41" s="9"/>
      <c r="CR41" s="41"/>
      <c r="CT41" s="1068" t="s">
        <v>1851</v>
      </c>
      <c r="CU41" s="9"/>
      <c r="CV41" s="9"/>
      <c r="CW41" s="9"/>
      <c r="CX41" s="9"/>
      <c r="CY41" s="9"/>
      <c r="CZ41" s="41"/>
      <c r="DB41" s="3">
        <v>1</v>
      </c>
    </row>
    <row r="42" spans="1:106" s="709" customFormat="1" ht="21" customHeight="1">
      <c r="A42" s="936" t="s">
        <v>22</v>
      </c>
      <c r="B42" s="952" t="str">
        <f t="shared" si="9"/>
        <v>►</v>
      </c>
      <c r="C42" s="993" cm="1">
        <f t="array" ref="C42">SUMPRODUCT(LEN(D42:J42))</f>
        <v>0</v>
      </c>
      <c r="D42" s="167"/>
      <c r="E42" s="172"/>
      <c r="F42" s="172"/>
      <c r="G42" s="172"/>
      <c r="H42" s="172"/>
      <c r="I42" s="172"/>
      <c r="J42" s="173"/>
      <c r="K42" s="442" t="s">
        <v>22</v>
      </c>
      <c r="L42" s="104" t="s">
        <v>16</v>
      </c>
      <c r="M42" s="32" t="str">
        <f>M19</f>
        <v>C Coquetiers de l'Antoine | | Auteur &gt; Guy KRENZE - Eric GODDYN - Arnaud NICOLAS - CEPROC 2002</v>
      </c>
      <c r="N42" s="33">
        <f>N19</f>
        <v>20</v>
      </c>
      <c r="O42" s="32" t="str">
        <f>O19</f>
        <v>coquetiers de 25 g</v>
      </c>
      <c r="P42" s="34" t="str">
        <f>P19</f>
        <v>Recette mère ► le Boudin en 4 déclinaisons</v>
      </c>
      <c r="Q42" s="912">
        <v>0.25</v>
      </c>
      <c r="R42" s="912">
        <v>0.5</v>
      </c>
      <c r="S42" s="913">
        <v>0</v>
      </c>
      <c r="T42" s="914">
        <v>0.2</v>
      </c>
      <c r="U42" s="914">
        <v>0.1</v>
      </c>
      <c r="V42" s="914">
        <v>0.22500000000000001</v>
      </c>
      <c r="W42" s="914">
        <v>1.4999999999999999E-2</v>
      </c>
      <c r="X42" s="914">
        <v>4.9299999999999995E-3</v>
      </c>
      <c r="Y42" s="914">
        <v>0.35</v>
      </c>
      <c r="Z42" s="915">
        <v>0.25</v>
      </c>
      <c r="AA42" s="5211"/>
      <c r="AB42" s="1178"/>
      <c r="AC42" s="1179"/>
      <c r="AD42" s="227" t="s">
        <v>22</v>
      </c>
      <c r="AE42" s="1027" t="str">
        <f t="shared" si="15"/>
        <v>►</v>
      </c>
      <c r="AF42" s="1028" t="str">
        <f t="shared" si="16"/>
        <v/>
      </c>
      <c r="AG42" s="1029" t="str">
        <f t="shared" si="17"/>
        <v/>
      </c>
      <c r="AH42" s="1028" t="str">
        <f t="shared" si="18"/>
        <v/>
      </c>
      <c r="AI42" s="1029" t="str">
        <f t="shared" si="19"/>
        <v/>
      </c>
      <c r="AJ42" s="1029">
        <f t="shared" si="20"/>
        <v>0</v>
      </c>
      <c r="AK42" s="1043" t="str" cm="1">
        <f t="array" ref="AK42">IF(AE42&lt;&gt;"A","",IFERROR((IFERROR(_xlfn.XLOOKUP(TRIM(SUBSTITUTE(U42,CHAR(160)," ")),$BI$15:$BI$62,$BL$15:$BL$62),IFERROR(_xlfn.XLOOKUP(TRIM(SUBSTITUTE(U42,CHAR(160)," ")),$BJ$15:$BJ$62,$BL$15:$BL$62),_xlfn.XLOOKUP(TRIM(SUBSTITUTE(U42,CHAR(160)," ")),$BK$15:$BK$62,$BL$15:$BL$62))))*T42*IF(ISBLANK(Q42),1,Q42)+IFERROR(_xlfn.XLOOKUP("RECHERCHEX",TRIM(L42:AC42),L42:AC42),0),0))</f>
        <v/>
      </c>
      <c r="AL42" s="1030">
        <f t="shared" si="21"/>
        <v>0</v>
      </c>
      <c r="AM42" s="5254" t="str">
        <f t="shared" si="42"/>
        <v/>
      </c>
      <c r="AN42" s="1031">
        <f t="shared" si="23"/>
        <v>0</v>
      </c>
      <c r="AO42" s="1031">
        <f t="shared" si="24"/>
        <v>0</v>
      </c>
      <c r="AP42" s="1032">
        <f t="shared" si="25"/>
        <v>0</v>
      </c>
      <c r="AQ42" s="5255" t="str">
        <f t="shared" si="26"/>
        <v/>
      </c>
      <c r="AR42" s="1056"/>
      <c r="AS42" s="1056"/>
      <c r="AT42" s="1034">
        <f t="shared" si="27"/>
        <v>0</v>
      </c>
      <c r="AU42" s="1035">
        <f t="shared" si="28"/>
        <v>0</v>
      </c>
      <c r="AV42" s="1057" cm="1">
        <f t="array" ref="AV42">IF(AJ42&lt;&gt;1,0,IF(OR(AT42="",N(AT42)&lt;=0.000000001),"",IF(OR(AN42="",N(AN42)&lt;=0.000000001),0,IF(ISNUMBER(AT42),IFERROR(_xlfn.LET(_xlpm.ai_test,TRIM(AI42),_xlpm.r,IFERROR(_xlfn.XLOOKUP(_xlpm.ai_test,$BI$15:$BI$62,ROW($BI$15:$BI$62),0,1),IFERROR(_xlfn.XLOOKUP(_xlpm.ai_test,$BJ$15:$BJ$62,ROW($BJ$15:$BJ$62),0,1),_xlfn.XLOOKUP(_xlpm.ai_test,$BK$15:$BK$62,ROW($BK$15:$BK$62),0,1))),_xlpm.p,_xlpm.r-MIN(ROW($BI$15:$BI$62))+1,_xlpm.f,INDEX($BL$15:$BL$62,_xlpm.p),_xlpm.u,INDEX($BM$15:$BM$62,_xlpm.p),_xlpm.s,INDEX($BO$15:$BO$62,_xlpm.p),_xlpm.q,N(AT42)/_xlpm.f,IF(_xlpm.q&gt;=_xlpm.s,ROUND(_xlpm.q,1)&amp;" "&amp;_xlpm.ai_test&amp;" = "&amp;ROUND(_xlpm.q*_xlpm.f,1)&amp;" "&amp;_xlpm.u,ROUND(_xlpm.q,1)&amp;" "&amp;_xlpm.ai_test)),""),""))))</f>
        <v>0</v>
      </c>
      <c r="AW42" s="1047"/>
      <c r="AX42" s="1034">
        <f t="shared" si="29"/>
        <v>0</v>
      </c>
      <c r="AY42" s="1035" t="str">
        <f t="shared" si="30"/>
        <v/>
      </c>
      <c r="AZ42" s="1036">
        <f t="shared" si="37"/>
        <v>0</v>
      </c>
      <c r="BA42" s="1037" t="str">
        <f t="shared" si="31"/>
        <v/>
      </c>
      <c r="BB42" s="1038"/>
      <c r="BC42" s="1039">
        <f t="shared" si="40"/>
        <v>0</v>
      </c>
      <c r="BD42" s="1040" t="str">
        <f t="shared" si="33"/>
        <v/>
      </c>
      <c r="BE42" s="227" t="s">
        <v>22</v>
      </c>
      <c r="BF42" s="1019">
        <f t="shared" si="34"/>
        <v>0</v>
      </c>
      <c r="BG42" s="1020">
        <f t="shared" si="35"/>
        <v>0</v>
      </c>
      <c r="BH42" s="852"/>
      <c r="BI42" s="5260" t="s">
        <v>159</v>
      </c>
      <c r="BJ42" s="5200" t="s">
        <v>1380</v>
      </c>
      <c r="BK42" s="5200" t="s">
        <v>1349</v>
      </c>
      <c r="BL42" s="1013">
        <f t="shared" si="41"/>
        <v>0.22500000000000001</v>
      </c>
      <c r="BM42" s="1051" t="s">
        <v>1814</v>
      </c>
      <c r="BN42" s="1051" t="s">
        <v>1815</v>
      </c>
      <c r="BO42" s="1003">
        <f t="shared" si="39"/>
        <v>4</v>
      </c>
      <c r="BP42" s="1052">
        <v>225</v>
      </c>
      <c r="BQ42" s="852"/>
      <c r="BR42" s="852"/>
      <c r="BS42" s="852"/>
      <c r="BT42" s="852"/>
      <c r="BU42" s="852"/>
      <c r="BV42" s="852"/>
      <c r="BW42" s="959" t="str">
        <f t="shared" si="10"/>
        <v>►</v>
      </c>
      <c r="BX42" s="1064"/>
      <c r="BY42" s="857"/>
      <c r="BZ42" s="857"/>
      <c r="CA42" s="858"/>
      <c r="CB42" s="858"/>
      <c r="CC42" s="957"/>
      <c r="CD42" s="1069" t="s">
        <v>1678</v>
      </c>
      <c r="CE42" s="9"/>
      <c r="CF42" s="9"/>
      <c r="CG42" s="9"/>
      <c r="CH42" s="9"/>
      <c r="CI42" s="9"/>
      <c r="CJ42" s="41"/>
      <c r="CL42" s="1069" t="s">
        <v>1852</v>
      </c>
      <c r="CM42" s="9"/>
      <c r="CN42" s="9"/>
      <c r="CO42" s="9"/>
      <c r="CP42" s="9"/>
      <c r="CQ42" s="9"/>
      <c r="CR42" s="41"/>
      <c r="CT42" s="1069" t="s">
        <v>1853</v>
      </c>
      <c r="CU42" s="9"/>
      <c r="CV42" s="9"/>
      <c r="CW42" s="9"/>
      <c r="CX42" s="9"/>
      <c r="CY42" s="9"/>
      <c r="CZ42" s="41"/>
      <c r="DB42" s="3">
        <v>1</v>
      </c>
    </row>
    <row r="43" spans="1:106" s="709" customFormat="1" ht="21" customHeight="1">
      <c r="A43" s="936" t="s">
        <v>22</v>
      </c>
      <c r="B43" s="952" t="str">
        <f t="shared" si="9"/>
        <v>►</v>
      </c>
      <c r="C43" s="993" cm="1">
        <f t="array" ref="C43">SUMPRODUCT(LEN(D43:J43))</f>
        <v>0</v>
      </c>
      <c r="D43" s="167"/>
      <c r="E43" s="172"/>
      <c r="F43" s="172"/>
      <c r="G43" s="172"/>
      <c r="H43" s="172"/>
      <c r="I43" s="172"/>
      <c r="J43" s="173"/>
      <c r="K43" s="442" t="s">
        <v>22</v>
      </c>
      <c r="L43" s="104" t="s">
        <v>16</v>
      </c>
      <c r="M43" s="32" t="str">
        <f>M19</f>
        <v>C Coquetiers de l'Antoine | | Auteur &gt; Guy KRENZE - Eric GODDYN - Arnaud NICOLAS - CEPROC 2002</v>
      </c>
      <c r="N43" s="33">
        <f>N19</f>
        <v>20</v>
      </c>
      <c r="O43" s="32" t="str">
        <f>O19</f>
        <v>coquetiers de 25 g</v>
      </c>
      <c r="P43" s="34" t="str">
        <f>P19</f>
        <v>Recette mère ► le Boudin en 4 déclinaisons</v>
      </c>
      <c r="Q43" s="154" t="str">
        <f t="shared" ref="Q43:R43" si="43">Q20</f>
        <v>Col.6</v>
      </c>
      <c r="R43" s="154" t="str">
        <f t="shared" si="43"/>
        <v>Col.7</v>
      </c>
      <c r="S43" s="155" t="s">
        <v>3295</v>
      </c>
      <c r="T43" s="155"/>
      <c r="U43" s="155"/>
      <c r="V43" s="155"/>
      <c r="W43" s="155"/>
      <c r="X43" s="155"/>
      <c r="Y43" s="155"/>
      <c r="Z43" s="1477"/>
      <c r="AA43" s="5211"/>
      <c r="AB43" s="1178"/>
      <c r="AC43" s="1179"/>
      <c r="AD43" s="227" t="s">
        <v>22</v>
      </c>
      <c r="AE43" s="1027" t="str">
        <f t="shared" si="15"/>
        <v>►</v>
      </c>
      <c r="AF43" s="1028" t="str">
        <f t="shared" si="16"/>
        <v/>
      </c>
      <c r="AG43" s="1029" t="str">
        <f t="shared" si="17"/>
        <v/>
      </c>
      <c r="AH43" s="1028" t="str">
        <f t="shared" si="18"/>
        <v/>
      </c>
      <c r="AI43" s="1029" t="str">
        <f t="shared" si="19"/>
        <v/>
      </c>
      <c r="AJ43" s="1029">
        <f t="shared" si="20"/>
        <v>0</v>
      </c>
      <c r="AK43" s="1043" t="str" cm="1">
        <f t="array" ref="AK43">IF(AE43&lt;&gt;"A","",IFERROR((IFERROR(_xlfn.XLOOKUP(TRIM(SUBSTITUTE(U43,CHAR(160)," ")),$BI$15:$BI$62,$BL$15:$BL$62),IFERROR(_xlfn.XLOOKUP(TRIM(SUBSTITUTE(U43,CHAR(160)," ")),$BJ$15:$BJ$62,$BL$15:$BL$62),_xlfn.XLOOKUP(TRIM(SUBSTITUTE(U43,CHAR(160)," ")),$BK$15:$BK$62,$BL$15:$BL$62))))*T43*IF(ISBLANK(Q43),1,Q43)+IFERROR(_xlfn.XLOOKUP("RECHERCHEX",TRIM(L43:AC43),L43:AC43),0),0))</f>
        <v/>
      </c>
      <c r="AL43" s="1030">
        <f t="shared" si="21"/>
        <v>0</v>
      </c>
      <c r="AM43" s="5254" t="str">
        <f t="shared" si="42"/>
        <v/>
      </c>
      <c r="AN43" s="1031">
        <f t="shared" si="23"/>
        <v>0</v>
      </c>
      <c r="AO43" s="1031">
        <f t="shared" si="24"/>
        <v>0</v>
      </c>
      <c r="AP43" s="1044">
        <f t="shared" si="25"/>
        <v>0</v>
      </c>
      <c r="AQ43" s="5257" t="str">
        <f t="shared" si="26"/>
        <v/>
      </c>
      <c r="AR43" s="1056"/>
      <c r="AS43" s="1056"/>
      <c r="AT43" s="1045">
        <f t="shared" si="27"/>
        <v>0</v>
      </c>
      <c r="AU43" s="1046">
        <f t="shared" si="28"/>
        <v>0</v>
      </c>
      <c r="AV43" s="1059" cm="1">
        <f t="array" ref="AV43">IF(AJ43&lt;&gt;1,0,IF(OR(AT43="",N(AT43)&lt;=0.000000001),"",IF(OR(AN43="",N(AN43)&lt;=0.000000001),0,IF(ISNUMBER(AT43),IFERROR(_xlfn.LET(_xlpm.ai_test,TRIM(AI43),_xlpm.r,IFERROR(_xlfn.XLOOKUP(_xlpm.ai_test,$BI$15:$BI$62,ROW($BI$15:$BI$62),0,1),IFERROR(_xlfn.XLOOKUP(_xlpm.ai_test,$BJ$15:$BJ$62,ROW($BJ$15:$BJ$62),0,1),_xlfn.XLOOKUP(_xlpm.ai_test,$BK$15:$BK$62,ROW($BK$15:$BK$62),0,1))),_xlpm.p,_xlpm.r-MIN(ROW($BI$15:$BI$62))+1,_xlpm.f,INDEX($BL$15:$BL$62,_xlpm.p),_xlpm.u,INDEX($BM$15:$BM$62,_xlpm.p),_xlpm.s,INDEX($BO$15:$BO$62,_xlpm.p),_xlpm.q,N(AT43)/_xlpm.f,IF(_xlpm.q&gt;=_xlpm.s,ROUND(_xlpm.q,1)&amp;" "&amp;_xlpm.ai_test&amp;" = "&amp;ROUND(_xlpm.q*_xlpm.f,1)&amp;" "&amp;_xlpm.u,ROUND(_xlpm.q,1)&amp;" "&amp;_xlpm.ai_test)),""),""))))</f>
        <v>0</v>
      </c>
      <c r="AW43" s="1047"/>
      <c r="AX43" s="1045">
        <f t="shared" si="29"/>
        <v>0</v>
      </c>
      <c r="AY43" s="1046" t="str">
        <f t="shared" si="30"/>
        <v/>
      </c>
      <c r="AZ43" s="1048">
        <f t="shared" si="37"/>
        <v>0</v>
      </c>
      <c r="BA43" s="1049" t="str">
        <f t="shared" si="31"/>
        <v/>
      </c>
      <c r="BB43" s="1038"/>
      <c r="BC43" s="1050">
        <f t="shared" si="40"/>
        <v>0</v>
      </c>
      <c r="BD43" s="1040" t="str">
        <f t="shared" si="33"/>
        <v/>
      </c>
      <c r="BE43" s="227" t="s">
        <v>22</v>
      </c>
      <c r="BF43" s="1019">
        <f t="shared" si="34"/>
        <v>0</v>
      </c>
      <c r="BG43" s="1020">
        <f t="shared" si="35"/>
        <v>0</v>
      </c>
      <c r="BH43" s="852"/>
      <c r="BI43" s="5260" t="s">
        <v>1854</v>
      </c>
      <c r="BJ43" s="5260" t="s">
        <v>1854</v>
      </c>
      <c r="BK43" s="5260" t="s">
        <v>1855</v>
      </c>
      <c r="BL43" s="1013">
        <f t="shared" si="41"/>
        <v>0.11799999999999999</v>
      </c>
      <c r="BM43" s="1051" t="s">
        <v>1814</v>
      </c>
      <c r="BN43" s="1051" t="s">
        <v>1815</v>
      </c>
      <c r="BO43" s="1003">
        <f t="shared" si="39"/>
        <v>8</v>
      </c>
      <c r="BP43" s="1052">
        <v>118</v>
      </c>
      <c r="BQ43" s="852"/>
      <c r="BR43" s="852"/>
      <c r="BS43" s="852"/>
      <c r="BT43" s="852"/>
      <c r="BU43" s="852"/>
      <c r="BV43" s="852"/>
      <c r="BW43" s="959" t="str">
        <f t="shared" si="10"/>
        <v>►</v>
      </c>
      <c r="BX43" s="1064"/>
      <c r="BY43" s="857"/>
      <c r="BZ43" s="857"/>
      <c r="CA43" s="858"/>
      <c r="CB43" s="858"/>
      <c r="CC43" s="957"/>
      <c r="CD43" s="495"/>
      <c r="CE43" s="9"/>
      <c r="CF43" s="9"/>
      <c r="CG43" s="9"/>
      <c r="CH43" s="9"/>
      <c r="CI43" s="9"/>
      <c r="CJ43" s="41"/>
      <c r="CL43" s="495"/>
      <c r="CM43" s="9"/>
      <c r="CN43" s="9"/>
      <c r="CO43" s="9"/>
      <c r="CP43" s="9"/>
      <c r="CQ43" s="9"/>
      <c r="CR43" s="41"/>
      <c r="CT43" s="495"/>
      <c r="CU43" s="9"/>
      <c r="CV43" s="9"/>
      <c r="CW43" s="9"/>
      <c r="CX43" s="9"/>
      <c r="CY43" s="9"/>
      <c r="CZ43" s="41"/>
      <c r="DB43" s="3">
        <v>1</v>
      </c>
    </row>
    <row r="44" spans="1:106" s="709" customFormat="1" ht="21" customHeight="1">
      <c r="A44" s="936" t="s">
        <v>22</v>
      </c>
      <c r="B44" s="952" t="str">
        <f t="shared" si="9"/>
        <v>►</v>
      </c>
      <c r="C44" s="993" cm="1">
        <f t="array" ref="C44">SUMPRODUCT(LEN(D44:J44))</f>
        <v>0</v>
      </c>
      <c r="D44" s="167"/>
      <c r="E44" s="172"/>
      <c r="F44" s="172"/>
      <c r="G44" s="172"/>
      <c r="H44" s="172"/>
      <c r="I44" s="172"/>
      <c r="J44" s="173"/>
      <c r="K44" s="442"/>
      <c r="L44" s="104" t="s">
        <v>16</v>
      </c>
      <c r="M44" s="157" t="str">
        <f>M19</f>
        <v>C Coquetiers de l'Antoine | | Auteur &gt; Guy KRENZE - Eric GODDYN - Arnaud NICOLAS - CEPROC 2002</v>
      </c>
      <c r="N44" s="157">
        <f>N19</f>
        <v>20</v>
      </c>
      <c r="O44" s="158" t="str">
        <f>O19</f>
        <v>coquetiers de 25 g</v>
      </c>
      <c r="P44" s="159" t="str">
        <f>P19</f>
        <v>Recette mère ► le Boudin en 4 déclinaisons</v>
      </c>
      <c r="Q44" s="160" t="s">
        <v>167</v>
      </c>
      <c r="R44" s="1483" t="s">
        <v>3328</v>
      </c>
      <c r="S44" s="162"/>
      <c r="T44" s="162"/>
      <c r="U44" s="172"/>
      <c r="V44" s="172"/>
      <c r="W44" s="172"/>
      <c r="X44" s="172"/>
      <c r="Y44" s="156" t="s">
        <v>165</v>
      </c>
      <c r="Z44" s="1484" t="s">
        <v>3276</v>
      </c>
      <c r="AA44" s="5211"/>
      <c r="AB44" s="1178"/>
      <c r="AC44" s="1179"/>
      <c r="AD44" s="227" t="s">
        <v>22</v>
      </c>
      <c r="AE44" s="1027" t="str">
        <f t="shared" si="15"/>
        <v>►</v>
      </c>
      <c r="AF44" s="1028" t="str">
        <f t="shared" si="16"/>
        <v/>
      </c>
      <c r="AG44" s="1029" t="str">
        <f t="shared" si="17"/>
        <v/>
      </c>
      <c r="AH44" s="1028" t="str">
        <f t="shared" si="18"/>
        <v/>
      </c>
      <c r="AI44" s="1029" t="str">
        <f t="shared" si="19"/>
        <v/>
      </c>
      <c r="AJ44" s="1029">
        <f t="shared" si="20"/>
        <v>0</v>
      </c>
      <c r="AK44" s="1043" t="str" cm="1">
        <f t="array" ref="AK44">IF(AE44&lt;&gt;"A","",IFERROR((IFERROR(_xlfn.XLOOKUP(TRIM(SUBSTITUTE(U44,CHAR(160)," ")),$BI$15:$BI$62,$BL$15:$BL$62),IFERROR(_xlfn.XLOOKUP(TRIM(SUBSTITUTE(U44,CHAR(160)," ")),$BJ$15:$BJ$62,$BL$15:$BL$62),_xlfn.XLOOKUP(TRIM(SUBSTITUTE(U44,CHAR(160)," ")),$BK$15:$BK$62,$BL$15:$BL$62))))*T44*IF(ISBLANK(Q44),1,Q44)+IFERROR(_xlfn.XLOOKUP("RECHERCHEX",TRIM(L44:AC44),L44:AC44),0),0))</f>
        <v/>
      </c>
      <c r="AL44" s="1030">
        <f t="shared" si="21"/>
        <v>0</v>
      </c>
      <c r="AM44" s="5254" t="str">
        <f t="shared" si="42"/>
        <v/>
      </c>
      <c r="AN44" s="1031">
        <f t="shared" si="23"/>
        <v>0</v>
      </c>
      <c r="AO44" s="1031">
        <f t="shared" si="24"/>
        <v>0</v>
      </c>
      <c r="AP44" s="1032">
        <f t="shared" si="25"/>
        <v>0</v>
      </c>
      <c r="AQ44" s="5255" t="str">
        <f t="shared" si="26"/>
        <v/>
      </c>
      <c r="AR44" s="1056"/>
      <c r="AS44" s="1056"/>
      <c r="AT44" s="1034">
        <f t="shared" si="27"/>
        <v>0</v>
      </c>
      <c r="AU44" s="1035">
        <f t="shared" si="28"/>
        <v>0</v>
      </c>
      <c r="AV44" s="1057" cm="1">
        <f t="array" ref="AV44">IF(AJ44&lt;&gt;1,0,IF(OR(AT44="",N(AT44)&lt;=0.000000001),"",IF(OR(AN44="",N(AN44)&lt;=0.000000001),0,IF(ISNUMBER(AT44),IFERROR(_xlfn.LET(_xlpm.ai_test,TRIM(AI44),_xlpm.r,IFERROR(_xlfn.XLOOKUP(_xlpm.ai_test,$BI$15:$BI$62,ROW($BI$15:$BI$62),0,1),IFERROR(_xlfn.XLOOKUP(_xlpm.ai_test,$BJ$15:$BJ$62,ROW($BJ$15:$BJ$62),0,1),_xlfn.XLOOKUP(_xlpm.ai_test,$BK$15:$BK$62,ROW($BK$15:$BK$62),0,1))),_xlpm.p,_xlpm.r-MIN(ROW($BI$15:$BI$62))+1,_xlpm.f,INDEX($BL$15:$BL$62,_xlpm.p),_xlpm.u,INDEX($BM$15:$BM$62,_xlpm.p),_xlpm.s,INDEX($BO$15:$BO$62,_xlpm.p),_xlpm.q,N(AT44)/_xlpm.f,IF(_xlpm.q&gt;=_xlpm.s,ROUND(_xlpm.q,1)&amp;" "&amp;_xlpm.ai_test&amp;" = "&amp;ROUND(_xlpm.q*_xlpm.f,1)&amp;" "&amp;_xlpm.u,ROUND(_xlpm.q,1)&amp;" "&amp;_xlpm.ai_test)),""),""))))</f>
        <v>0</v>
      </c>
      <c r="AW44" s="1047"/>
      <c r="AX44" s="1034">
        <f t="shared" si="29"/>
        <v>0</v>
      </c>
      <c r="AY44" s="1035" t="str">
        <f t="shared" si="30"/>
        <v/>
      </c>
      <c r="AZ44" s="1036">
        <f t="shared" si="37"/>
        <v>0</v>
      </c>
      <c r="BA44" s="1037" t="str">
        <f t="shared" si="31"/>
        <v/>
      </c>
      <c r="BB44" s="1038"/>
      <c r="BC44" s="1039">
        <f t="shared" si="40"/>
        <v>0</v>
      </c>
      <c r="BD44" s="1040" t="str">
        <f t="shared" si="33"/>
        <v/>
      </c>
      <c r="BE44" s="227" t="s">
        <v>22</v>
      </c>
      <c r="BF44" s="1019">
        <f t="shared" si="34"/>
        <v>0</v>
      </c>
      <c r="BG44" s="1020">
        <f t="shared" si="35"/>
        <v>0</v>
      </c>
      <c r="BH44" s="852"/>
      <c r="BI44" s="5260" t="s">
        <v>1856</v>
      </c>
      <c r="BJ44" s="5260" t="s">
        <v>1856</v>
      </c>
      <c r="BK44" s="5260" t="s">
        <v>1857</v>
      </c>
      <c r="BL44" s="1013">
        <f t="shared" si="41"/>
        <v>5.8999999999999997E-2</v>
      </c>
      <c r="BM44" s="1051" t="s">
        <v>1814</v>
      </c>
      <c r="BN44" s="1051" t="s">
        <v>1815</v>
      </c>
      <c r="BO44" s="1003">
        <f t="shared" si="39"/>
        <v>17</v>
      </c>
      <c r="BP44" s="1052">
        <v>59</v>
      </c>
      <c r="BQ44" s="852"/>
      <c r="BR44" s="852"/>
      <c r="BS44" s="852"/>
      <c r="BT44" s="852"/>
      <c r="BU44" s="852"/>
      <c r="BV44" s="852"/>
      <c r="BW44" s="959" t="str">
        <f t="shared" si="10"/>
        <v>►</v>
      </c>
      <c r="BX44" s="1064"/>
      <c r="BY44" s="857"/>
      <c r="BZ44" s="857"/>
      <c r="CA44" s="858"/>
      <c r="CB44" s="858"/>
      <c r="CC44" s="957"/>
      <c r="CD44" s="1070" t="s">
        <v>1858</v>
      </c>
      <c r="CE44" s="9"/>
      <c r="CF44" s="9"/>
      <c r="CG44" s="9"/>
      <c r="CH44" s="9"/>
      <c r="CI44" s="9"/>
      <c r="CJ44" s="41"/>
      <c r="CL44" s="1070" t="s">
        <v>1859</v>
      </c>
      <c r="CM44" s="9"/>
      <c r="CN44" s="9"/>
      <c r="CO44" s="9"/>
      <c r="CP44" s="9"/>
      <c r="CQ44" s="9"/>
      <c r="CR44" s="41"/>
      <c r="CT44" s="1070" t="s">
        <v>1860</v>
      </c>
      <c r="CU44" s="9"/>
      <c r="CV44" s="9"/>
      <c r="CW44" s="9"/>
      <c r="CX44" s="9"/>
      <c r="CY44" s="9"/>
      <c r="CZ44" s="41"/>
      <c r="DB44" s="3">
        <v>1</v>
      </c>
    </row>
    <row r="45" spans="1:106" s="709" customFormat="1" ht="21" customHeight="1">
      <c r="A45" s="936" t="s">
        <v>22</v>
      </c>
      <c r="B45" s="952" t="str">
        <f t="shared" si="9"/>
        <v>►</v>
      </c>
      <c r="C45" s="993" cm="1">
        <f t="array" ref="C45">SUMPRODUCT(LEN(D45:J45))</f>
        <v>0</v>
      </c>
      <c r="D45" s="167"/>
      <c r="E45" s="172"/>
      <c r="F45" s="172"/>
      <c r="G45" s="172"/>
      <c r="H45" s="172"/>
      <c r="I45" s="172"/>
      <c r="J45" s="173"/>
      <c r="K45" s="442"/>
      <c r="L45" s="104" t="s">
        <v>16</v>
      </c>
      <c r="M45" s="157" t="str">
        <f>M19</f>
        <v>C Coquetiers de l'Antoine | | Auteur &gt; Guy KRENZE - Eric GODDYN - Arnaud NICOLAS - CEPROC 2002</v>
      </c>
      <c r="N45" s="157">
        <f>N19</f>
        <v>20</v>
      </c>
      <c r="O45" s="158" t="str">
        <f>O19</f>
        <v>coquetiers de 25 g</v>
      </c>
      <c r="P45" s="159" t="str">
        <f>P19</f>
        <v>Recette mère ► le Boudin en 4 déclinaisons</v>
      </c>
      <c r="Q45" s="172" t="s">
        <v>13007</v>
      </c>
      <c r="R45" s="172"/>
      <c r="S45" s="172"/>
      <c r="T45" s="172"/>
      <c r="U45" s="172"/>
      <c r="V45" s="172" t="s">
        <v>12865</v>
      </c>
      <c r="W45" s="172"/>
      <c r="X45" s="172"/>
      <c r="Y45" s="1474" t="s">
        <v>168</v>
      </c>
      <c r="Z45" s="1482" t="s">
        <v>668</v>
      </c>
      <c r="AA45" s="5211"/>
      <c r="AB45" s="1178"/>
      <c r="AC45" s="1179"/>
      <c r="AD45" s="227" t="s">
        <v>22</v>
      </c>
      <c r="AE45" s="1027" t="str">
        <f t="shared" si="15"/>
        <v>►</v>
      </c>
      <c r="AF45" s="1028" t="str">
        <f t="shared" si="16"/>
        <v/>
      </c>
      <c r="AG45" s="1029" t="str">
        <f t="shared" si="17"/>
        <v/>
      </c>
      <c r="AH45" s="1028" t="str">
        <f t="shared" si="18"/>
        <v/>
      </c>
      <c r="AI45" s="1029" t="str">
        <f t="shared" si="19"/>
        <v/>
      </c>
      <c r="AJ45" s="1029">
        <f t="shared" si="20"/>
        <v>0</v>
      </c>
      <c r="AK45" s="1043" t="str" cm="1">
        <f t="array" ref="AK45">IF(AE45&lt;&gt;"A","",IFERROR((IFERROR(_xlfn.XLOOKUP(TRIM(SUBSTITUTE(U45,CHAR(160)," ")),$BI$15:$BI$62,$BL$15:$BL$62),IFERROR(_xlfn.XLOOKUP(TRIM(SUBSTITUTE(U45,CHAR(160)," ")),$BJ$15:$BJ$62,$BL$15:$BL$62),_xlfn.XLOOKUP(TRIM(SUBSTITUTE(U45,CHAR(160)," ")),$BK$15:$BK$62,$BL$15:$BL$62))))*T45*IF(ISBLANK(Q45),1,Q45)+IFERROR(_xlfn.XLOOKUP("RECHERCHEX",TRIM(L45:AC45),L45:AC45),0),0))</f>
        <v/>
      </c>
      <c r="AL45" s="1030">
        <f t="shared" si="21"/>
        <v>0</v>
      </c>
      <c r="AM45" s="5254" t="str">
        <f t="shared" si="42"/>
        <v/>
      </c>
      <c r="AN45" s="1031">
        <f t="shared" si="23"/>
        <v>0</v>
      </c>
      <c r="AO45" s="1031">
        <f t="shared" si="24"/>
        <v>0</v>
      </c>
      <c r="AP45" s="1044">
        <f t="shared" si="25"/>
        <v>0</v>
      </c>
      <c r="AQ45" s="5257" t="str">
        <f t="shared" si="26"/>
        <v/>
      </c>
      <c r="AR45" s="1056"/>
      <c r="AS45" s="1056"/>
      <c r="AT45" s="1045">
        <f t="shared" si="27"/>
        <v>0</v>
      </c>
      <c r="AU45" s="1046">
        <f t="shared" si="28"/>
        <v>0</v>
      </c>
      <c r="AV45" s="1059" cm="1">
        <f t="array" ref="AV45">IF(AJ45&lt;&gt;1,0,IF(OR(AT45="",N(AT45)&lt;=0.000000001),"",IF(OR(AN45="",N(AN45)&lt;=0.000000001),0,IF(ISNUMBER(AT45),IFERROR(_xlfn.LET(_xlpm.ai_test,TRIM(AI45),_xlpm.r,IFERROR(_xlfn.XLOOKUP(_xlpm.ai_test,$BI$15:$BI$62,ROW($BI$15:$BI$62),0,1),IFERROR(_xlfn.XLOOKUP(_xlpm.ai_test,$BJ$15:$BJ$62,ROW($BJ$15:$BJ$62),0,1),_xlfn.XLOOKUP(_xlpm.ai_test,$BK$15:$BK$62,ROW($BK$15:$BK$62),0,1))),_xlpm.p,_xlpm.r-MIN(ROW($BI$15:$BI$62))+1,_xlpm.f,INDEX($BL$15:$BL$62,_xlpm.p),_xlpm.u,INDEX($BM$15:$BM$62,_xlpm.p),_xlpm.s,INDEX($BO$15:$BO$62,_xlpm.p),_xlpm.q,N(AT45)/_xlpm.f,IF(_xlpm.q&gt;=_xlpm.s,ROUND(_xlpm.q,1)&amp;" "&amp;_xlpm.ai_test&amp;" = "&amp;ROUND(_xlpm.q*_xlpm.f,1)&amp;" "&amp;_xlpm.u,ROUND(_xlpm.q,1)&amp;" "&amp;_xlpm.ai_test)),""),""))))</f>
        <v>0</v>
      </c>
      <c r="AW45" s="1047"/>
      <c r="AX45" s="1045">
        <f t="shared" si="29"/>
        <v>0</v>
      </c>
      <c r="AY45" s="1046" t="str">
        <f t="shared" si="30"/>
        <v/>
      </c>
      <c r="AZ45" s="1048">
        <f t="shared" si="37"/>
        <v>0</v>
      </c>
      <c r="BA45" s="1049" t="str">
        <f t="shared" si="31"/>
        <v/>
      </c>
      <c r="BB45" s="1038"/>
      <c r="BC45" s="1050">
        <f t="shared" si="40"/>
        <v>0</v>
      </c>
      <c r="BD45" s="1040" t="str">
        <f t="shared" si="33"/>
        <v/>
      </c>
      <c r="BE45" s="227" t="s">
        <v>22</v>
      </c>
      <c r="BF45" s="1019">
        <f t="shared" si="34"/>
        <v>0</v>
      </c>
      <c r="BG45" s="1020">
        <f t="shared" si="35"/>
        <v>0</v>
      </c>
      <c r="BH45" s="852"/>
      <c r="BI45" s="5200" t="s">
        <v>158</v>
      </c>
      <c r="BJ45" s="5200" t="s">
        <v>1366</v>
      </c>
      <c r="BK45" s="5200" t="s">
        <v>1348</v>
      </c>
      <c r="BL45" s="1013">
        <f t="shared" si="41"/>
        <v>0.23</v>
      </c>
      <c r="BM45" s="865" t="s">
        <v>872</v>
      </c>
      <c r="BN45" s="865" t="s">
        <v>1773</v>
      </c>
      <c r="BO45" s="1003">
        <f t="shared" si="39"/>
        <v>4</v>
      </c>
      <c r="BP45" s="1022">
        <v>230</v>
      </c>
      <c r="BQ45" s="852"/>
      <c r="BR45" s="852"/>
      <c r="BS45" s="852"/>
      <c r="BT45" s="852"/>
      <c r="BU45" s="852"/>
      <c r="BV45" s="852"/>
      <c r="BW45" s="959" t="str">
        <f t="shared" si="10"/>
        <v>►</v>
      </c>
      <c r="BX45" s="5559" t="s">
        <v>1861</v>
      </c>
      <c r="BY45" s="5559"/>
      <c r="BZ45" s="5559"/>
      <c r="CA45" s="5559"/>
      <c r="CB45" s="5559"/>
      <c r="CC45" s="957"/>
      <c r="CD45" s="1071" t="s">
        <v>1862</v>
      </c>
      <c r="CE45" s="9"/>
      <c r="CF45" s="9"/>
      <c r="CG45" s="9"/>
      <c r="CH45" s="9"/>
      <c r="CI45" s="9"/>
      <c r="CJ45" s="41"/>
      <c r="CL45" s="1071" t="s">
        <v>1863</v>
      </c>
      <c r="CM45" s="9"/>
      <c r="CN45" s="9"/>
      <c r="CO45" s="9"/>
      <c r="CP45" s="9"/>
      <c r="CQ45" s="9"/>
      <c r="CR45" s="41"/>
      <c r="CT45" s="1071" t="s">
        <v>1864</v>
      </c>
      <c r="CU45" s="9"/>
      <c r="CV45" s="9"/>
      <c r="CW45" s="9"/>
      <c r="CX45" s="9"/>
      <c r="CY45" s="9"/>
      <c r="CZ45" s="41"/>
      <c r="DB45" s="3">
        <v>1</v>
      </c>
    </row>
    <row r="46" spans="1:106" s="709" customFormat="1" ht="21" customHeight="1">
      <c r="A46" s="936" t="s">
        <v>22</v>
      </c>
      <c r="B46" s="952" t="str">
        <f t="shared" si="9"/>
        <v>►</v>
      </c>
      <c r="C46" s="993" cm="1">
        <f t="array" ref="C46">SUMPRODUCT(LEN(D46:J46))</f>
        <v>0</v>
      </c>
      <c r="D46" s="167"/>
      <c r="E46" s="172"/>
      <c r="F46" s="172"/>
      <c r="G46" s="172"/>
      <c r="H46" s="172"/>
      <c r="I46" s="172"/>
      <c r="J46" s="173"/>
      <c r="K46" s="442"/>
      <c r="L46" s="104" t="s">
        <v>16</v>
      </c>
      <c r="M46" s="157" t="str">
        <f>M19</f>
        <v>C Coquetiers de l'Antoine | | Auteur &gt; Guy KRENZE - Eric GODDYN - Arnaud NICOLAS - CEPROC 2002</v>
      </c>
      <c r="N46" s="157">
        <f>N19</f>
        <v>20</v>
      </c>
      <c r="O46" s="158" t="str">
        <f>O19</f>
        <v>coquetiers de 25 g</v>
      </c>
      <c r="P46" s="159" t="str">
        <f>P19</f>
        <v>Recette mère ► le Boudin en 4 déclinaisons</v>
      </c>
      <c r="Q46" s="172" t="s">
        <v>12837</v>
      </c>
      <c r="R46" s="172"/>
      <c r="S46" s="172"/>
      <c r="T46" s="172"/>
      <c r="U46" s="172"/>
      <c r="V46" s="5040" t="s">
        <v>12866</v>
      </c>
      <c r="W46" s="172"/>
      <c r="X46" s="172"/>
      <c r="Y46" s="172"/>
      <c r="Z46" s="555"/>
      <c r="AA46" s="5211"/>
      <c r="AB46" s="1178"/>
      <c r="AC46" s="1179"/>
      <c r="AD46" s="227" t="s">
        <v>22</v>
      </c>
      <c r="AE46" s="1027" t="str">
        <f t="shared" si="15"/>
        <v>►</v>
      </c>
      <c r="AF46" s="1028" t="str">
        <f t="shared" si="16"/>
        <v/>
      </c>
      <c r="AG46" s="1029" t="str">
        <f t="shared" si="17"/>
        <v/>
      </c>
      <c r="AH46" s="1028" t="str">
        <f t="shared" si="18"/>
        <v/>
      </c>
      <c r="AI46" s="1029" t="str">
        <f t="shared" si="19"/>
        <v/>
      </c>
      <c r="AJ46" s="1029">
        <f t="shared" si="20"/>
        <v>0</v>
      </c>
      <c r="AK46" s="1043" t="str" cm="1">
        <f t="array" ref="AK46">IF(AE46&lt;&gt;"A","",IFERROR((IFERROR(_xlfn.XLOOKUP(TRIM(SUBSTITUTE(U46,CHAR(160)," ")),$BI$15:$BI$62,$BL$15:$BL$62),IFERROR(_xlfn.XLOOKUP(TRIM(SUBSTITUTE(U46,CHAR(160)," ")),$BJ$15:$BJ$62,$BL$15:$BL$62),_xlfn.XLOOKUP(TRIM(SUBSTITUTE(U46,CHAR(160)," ")),$BK$15:$BK$62,$BL$15:$BL$62))))*T46*IF(ISBLANK(Q46),1,Q46)+IFERROR(_xlfn.XLOOKUP("RECHERCHEX",TRIM(L46:AC46),L46:AC46),0),0))</f>
        <v/>
      </c>
      <c r="AL46" s="1030">
        <f t="shared" si="21"/>
        <v>0</v>
      </c>
      <c r="AM46" s="5254" t="str">
        <f t="shared" si="42"/>
        <v/>
      </c>
      <c r="AN46" s="1031">
        <f t="shared" si="23"/>
        <v>0</v>
      </c>
      <c r="AO46" s="1031">
        <f t="shared" si="24"/>
        <v>0</v>
      </c>
      <c r="AP46" s="1032">
        <f t="shared" si="25"/>
        <v>0</v>
      </c>
      <c r="AQ46" s="5255" t="str">
        <f t="shared" si="26"/>
        <v/>
      </c>
      <c r="AR46" s="1056"/>
      <c r="AS46" s="1056"/>
      <c r="AT46" s="1034">
        <f t="shared" si="27"/>
        <v>0</v>
      </c>
      <c r="AU46" s="1035">
        <f t="shared" si="28"/>
        <v>0</v>
      </c>
      <c r="AV46" s="1057" cm="1">
        <f t="array" ref="AV46">IF(AJ46&lt;&gt;1,0,IF(OR(AT46="",N(AT46)&lt;=0.000000001),"",IF(OR(AN46="",N(AN46)&lt;=0.000000001),0,IF(ISNUMBER(AT46),IFERROR(_xlfn.LET(_xlpm.ai_test,TRIM(AI46),_xlpm.r,IFERROR(_xlfn.XLOOKUP(_xlpm.ai_test,$BI$15:$BI$62,ROW($BI$15:$BI$62),0,1),IFERROR(_xlfn.XLOOKUP(_xlpm.ai_test,$BJ$15:$BJ$62,ROW($BJ$15:$BJ$62),0,1),_xlfn.XLOOKUP(_xlpm.ai_test,$BK$15:$BK$62,ROW($BK$15:$BK$62),0,1))),_xlpm.p,_xlpm.r-MIN(ROW($BI$15:$BI$62))+1,_xlpm.f,INDEX($BL$15:$BL$62,_xlpm.p),_xlpm.u,INDEX($BM$15:$BM$62,_xlpm.p),_xlpm.s,INDEX($BO$15:$BO$62,_xlpm.p),_xlpm.q,N(AT46)/_xlpm.f,IF(_xlpm.q&gt;=_xlpm.s,ROUND(_xlpm.q,1)&amp;" "&amp;_xlpm.ai_test&amp;" = "&amp;ROUND(_xlpm.q*_xlpm.f,1)&amp;" "&amp;_xlpm.u,ROUND(_xlpm.q,1)&amp;" "&amp;_xlpm.ai_test)),""),""))))</f>
        <v>0</v>
      </c>
      <c r="AW46" s="1047"/>
      <c r="AX46" s="1034">
        <f t="shared" si="29"/>
        <v>0</v>
      </c>
      <c r="AY46" s="1035" t="str">
        <f t="shared" si="30"/>
        <v/>
      </c>
      <c r="AZ46" s="1036">
        <f t="shared" si="37"/>
        <v>0</v>
      </c>
      <c r="BA46" s="1037" t="str">
        <f t="shared" si="31"/>
        <v/>
      </c>
      <c r="BB46" s="1038"/>
      <c r="BC46" s="1039">
        <f t="shared" si="40"/>
        <v>0</v>
      </c>
      <c r="BD46" s="1040" t="str">
        <f t="shared" si="33"/>
        <v/>
      </c>
      <c r="BE46" s="227" t="s">
        <v>22</v>
      </c>
      <c r="BF46" s="1019">
        <f t="shared" si="34"/>
        <v>0</v>
      </c>
      <c r="BG46" s="1020">
        <f t="shared" si="35"/>
        <v>0</v>
      </c>
      <c r="BH46" s="852"/>
      <c r="BI46" s="5200" t="s">
        <v>157</v>
      </c>
      <c r="BJ46" s="5200" t="s">
        <v>1363</v>
      </c>
      <c r="BK46" s="5200" t="s">
        <v>1345</v>
      </c>
      <c r="BL46" s="1013">
        <f t="shared" si="41"/>
        <v>0.13</v>
      </c>
      <c r="BM46" s="865" t="s">
        <v>872</v>
      </c>
      <c r="BN46" s="865" t="s">
        <v>1773</v>
      </c>
      <c r="BO46" s="1003">
        <f t="shared" si="39"/>
        <v>8</v>
      </c>
      <c r="BP46" s="1014">
        <v>130</v>
      </c>
      <c r="BQ46" s="852"/>
      <c r="BR46" s="852"/>
      <c r="BS46" s="852"/>
      <c r="BT46" s="852"/>
      <c r="BU46" s="852"/>
      <c r="BV46" s="852"/>
      <c r="BW46" s="959" t="str">
        <f t="shared" si="10"/>
        <v>►</v>
      </c>
      <c r="BX46" s="5559"/>
      <c r="BY46" s="5559"/>
      <c r="BZ46" s="5559"/>
      <c r="CA46" s="5559"/>
      <c r="CB46" s="5559"/>
      <c r="CC46" s="957"/>
      <c r="CD46" s="1071" t="s">
        <v>1865</v>
      </c>
      <c r="CE46" s="9"/>
      <c r="CF46" s="9"/>
      <c r="CG46" s="9"/>
      <c r="CH46" s="9"/>
      <c r="CI46" s="9"/>
      <c r="CJ46" s="41"/>
      <c r="CL46" s="1071" t="s">
        <v>1866</v>
      </c>
      <c r="CM46" s="9"/>
      <c r="CN46" s="9"/>
      <c r="CO46" s="9"/>
      <c r="CP46" s="9"/>
      <c r="CQ46" s="9"/>
      <c r="CR46" s="41"/>
      <c r="CT46" s="1071" t="s">
        <v>1867</v>
      </c>
      <c r="CU46" s="9"/>
      <c r="CV46" s="9"/>
      <c r="CW46" s="9"/>
      <c r="CX46" s="9"/>
      <c r="CY46" s="9"/>
      <c r="CZ46" s="41"/>
      <c r="DB46" s="3">
        <v>1</v>
      </c>
    </row>
    <row r="47" spans="1:106" s="709" customFormat="1" ht="21" customHeight="1">
      <c r="A47" s="936" t="s">
        <v>22</v>
      </c>
      <c r="B47" s="952" t="str">
        <f t="shared" si="9"/>
        <v>►</v>
      </c>
      <c r="C47" s="993" cm="1">
        <f t="array" ref="C47">SUMPRODUCT(LEN(D47:J47))</f>
        <v>0</v>
      </c>
      <c r="D47" s="167"/>
      <c r="E47" s="172"/>
      <c r="F47" s="172"/>
      <c r="G47" s="172"/>
      <c r="H47" s="172"/>
      <c r="I47" s="172"/>
      <c r="J47" s="173"/>
      <c r="K47" s="442"/>
      <c r="L47" s="104" t="s">
        <v>16</v>
      </c>
      <c r="M47" s="157" t="str">
        <f>M19</f>
        <v>C Coquetiers de l'Antoine | | Auteur &gt; Guy KRENZE - Eric GODDYN - Arnaud NICOLAS - CEPROC 2002</v>
      </c>
      <c r="N47" s="157">
        <f>N19</f>
        <v>20</v>
      </c>
      <c r="O47" s="158" t="str">
        <f>O19</f>
        <v>coquetiers de 25 g</v>
      </c>
      <c r="P47" s="159" t="str">
        <f>P19</f>
        <v>Recette mère ► le Boudin en 4 déclinaisons</v>
      </c>
      <c r="Q47" s="172" t="s">
        <v>12838</v>
      </c>
      <c r="R47" s="172"/>
      <c r="S47" s="172"/>
      <c r="T47" s="172"/>
      <c r="U47" s="172"/>
      <c r="V47" s="172" t="str">
        <f>"Poids de leur recette = "&amp;S18&amp;" Kg"</f>
        <v>Poids de leur recette = 1.531 Kg</v>
      </c>
      <c r="W47" s="172"/>
      <c r="X47" s="172"/>
      <c r="Y47" s="170" t="s">
        <v>172</v>
      </c>
      <c r="Z47" s="171">
        <v>2.7777777777777776E-2</v>
      </c>
      <c r="AA47" s="5211"/>
      <c r="AB47" s="1178"/>
      <c r="AC47" s="1179"/>
      <c r="AD47" s="227" t="s">
        <v>22</v>
      </c>
      <c r="AE47" s="1027" t="str">
        <f t="shared" si="15"/>
        <v>►</v>
      </c>
      <c r="AF47" s="1028" t="str">
        <f t="shared" si="16"/>
        <v/>
      </c>
      <c r="AG47" s="1029" t="str">
        <f t="shared" si="17"/>
        <v/>
      </c>
      <c r="AH47" s="1028" t="str">
        <f t="shared" si="18"/>
        <v/>
      </c>
      <c r="AI47" s="1029" t="str">
        <f t="shared" si="19"/>
        <v/>
      </c>
      <c r="AJ47" s="1029">
        <f t="shared" si="20"/>
        <v>0</v>
      </c>
      <c r="AK47" s="1043" t="str" cm="1">
        <f t="array" ref="AK47">IF(AE47&lt;&gt;"A","",IFERROR((IFERROR(_xlfn.XLOOKUP(TRIM(SUBSTITUTE(U47,CHAR(160)," ")),$BI$15:$BI$62,$BL$15:$BL$62),IFERROR(_xlfn.XLOOKUP(TRIM(SUBSTITUTE(U47,CHAR(160)," ")),$BJ$15:$BJ$62,$BL$15:$BL$62),_xlfn.XLOOKUP(TRIM(SUBSTITUTE(U47,CHAR(160)," ")),$BK$15:$BK$62,$BL$15:$BL$62))))*T47*IF(ISBLANK(Q47),1,Q47)+IFERROR(_xlfn.XLOOKUP("RECHERCHEX",TRIM(L47:AC47),L47:AC47),0),0))</f>
        <v/>
      </c>
      <c r="AL47" s="1030">
        <f t="shared" si="21"/>
        <v>0</v>
      </c>
      <c r="AM47" s="5254" t="str">
        <f t="shared" si="42"/>
        <v/>
      </c>
      <c r="AN47" s="1031">
        <f t="shared" si="23"/>
        <v>0</v>
      </c>
      <c r="AO47" s="1031">
        <f t="shared" si="24"/>
        <v>0</v>
      </c>
      <c r="AP47" s="1044">
        <f t="shared" si="25"/>
        <v>0</v>
      </c>
      <c r="AQ47" s="5257" t="str">
        <f t="shared" si="26"/>
        <v/>
      </c>
      <c r="AR47" s="1056"/>
      <c r="AS47" s="1056"/>
      <c r="AT47" s="1045">
        <f t="shared" si="27"/>
        <v>0</v>
      </c>
      <c r="AU47" s="1046">
        <f t="shared" si="28"/>
        <v>0</v>
      </c>
      <c r="AV47" s="1059" cm="1">
        <f t="array" ref="AV47">IF(AJ47&lt;&gt;1,0,IF(OR(AT47="",N(AT47)&lt;=0.000000001),"",IF(OR(AN47="",N(AN47)&lt;=0.000000001),0,IF(ISNUMBER(AT47),IFERROR(_xlfn.LET(_xlpm.ai_test,TRIM(AI47),_xlpm.r,IFERROR(_xlfn.XLOOKUP(_xlpm.ai_test,$BI$15:$BI$62,ROW($BI$15:$BI$62),0,1),IFERROR(_xlfn.XLOOKUP(_xlpm.ai_test,$BJ$15:$BJ$62,ROW($BJ$15:$BJ$62),0,1),_xlfn.XLOOKUP(_xlpm.ai_test,$BK$15:$BK$62,ROW($BK$15:$BK$62),0,1))),_xlpm.p,_xlpm.r-MIN(ROW($BI$15:$BI$62))+1,_xlpm.f,INDEX($BL$15:$BL$62,_xlpm.p),_xlpm.u,INDEX($BM$15:$BM$62,_xlpm.p),_xlpm.s,INDEX($BO$15:$BO$62,_xlpm.p),_xlpm.q,N(AT47)/_xlpm.f,IF(_xlpm.q&gt;=_xlpm.s,ROUND(_xlpm.q,1)&amp;" "&amp;_xlpm.ai_test&amp;" = "&amp;ROUND(_xlpm.q*_xlpm.f,1)&amp;" "&amp;_xlpm.u,ROUND(_xlpm.q,1)&amp;" "&amp;_xlpm.ai_test)),""),""))))</f>
        <v>0</v>
      </c>
      <c r="AW47" s="1047"/>
      <c r="AX47" s="1045">
        <f t="shared" si="29"/>
        <v>0</v>
      </c>
      <c r="AY47" s="1046" t="str">
        <f t="shared" si="30"/>
        <v/>
      </c>
      <c r="AZ47" s="1048">
        <f t="shared" si="37"/>
        <v>0</v>
      </c>
      <c r="BA47" s="1049" t="str">
        <f t="shared" si="31"/>
        <v/>
      </c>
      <c r="BB47" s="1038"/>
      <c r="BC47" s="1050">
        <f t="shared" si="40"/>
        <v>0</v>
      </c>
      <c r="BD47" s="1040" t="str">
        <f t="shared" si="33"/>
        <v/>
      </c>
      <c r="BE47" s="227" t="s">
        <v>22</v>
      </c>
      <c r="BF47" s="1019">
        <f t="shared" si="34"/>
        <v>0</v>
      </c>
      <c r="BG47" s="1020">
        <f t="shared" si="35"/>
        <v>0</v>
      </c>
      <c r="BH47" s="852"/>
      <c r="BI47" s="5200" t="s">
        <v>112</v>
      </c>
      <c r="BJ47" s="5200" t="s">
        <v>1365</v>
      </c>
      <c r="BK47" s="5200" t="s">
        <v>1347</v>
      </c>
      <c r="BL47" s="1013">
        <f t="shared" si="41"/>
        <v>0.2</v>
      </c>
      <c r="BM47" s="865" t="s">
        <v>872</v>
      </c>
      <c r="BN47" s="865" t="s">
        <v>1773</v>
      </c>
      <c r="BO47" s="1003">
        <f t="shared" si="39"/>
        <v>5</v>
      </c>
      <c r="BP47" s="1014">
        <v>200</v>
      </c>
      <c r="BQ47" s="852"/>
      <c r="BR47" s="852"/>
      <c r="BS47" s="852"/>
      <c r="BT47" s="852"/>
      <c r="BU47" s="852"/>
      <c r="BV47" s="852"/>
      <c r="BW47" s="959" t="str">
        <f t="shared" si="10"/>
        <v>►</v>
      </c>
      <c r="BX47" s="1064"/>
      <c r="BY47" s="857"/>
      <c r="BZ47" s="857"/>
      <c r="CA47" s="858"/>
      <c r="CB47" s="858"/>
      <c r="CC47" s="957"/>
      <c r="CD47" s="1073" t="s">
        <v>1868</v>
      </c>
      <c r="CE47" s="9"/>
      <c r="CF47" s="9"/>
      <c r="CG47" s="9"/>
      <c r="CH47" s="9"/>
      <c r="CI47" s="9"/>
      <c r="CJ47" s="41"/>
      <c r="CL47" s="1073" t="s">
        <v>1869</v>
      </c>
      <c r="CM47" s="9"/>
      <c r="CN47" s="9"/>
      <c r="CO47" s="9"/>
      <c r="CP47" s="9"/>
      <c r="CQ47" s="9"/>
      <c r="CR47" s="41"/>
      <c r="CT47" s="1073" t="s">
        <v>1870</v>
      </c>
      <c r="CU47" s="9"/>
      <c r="CV47" s="9"/>
      <c r="CW47" s="9"/>
      <c r="CX47" s="9"/>
      <c r="CY47" s="9"/>
      <c r="CZ47" s="41"/>
      <c r="DB47" s="3">
        <v>1</v>
      </c>
    </row>
    <row r="48" spans="1:106" s="709" customFormat="1" ht="21" customHeight="1">
      <c r="A48" s="936" t="s">
        <v>22</v>
      </c>
      <c r="B48" s="952" t="str">
        <f t="shared" si="9"/>
        <v>►</v>
      </c>
      <c r="C48" s="993" cm="1">
        <f t="array" ref="C48">SUMPRODUCT(LEN(D48:J48))</f>
        <v>0</v>
      </c>
      <c r="D48" s="167"/>
      <c r="E48" s="172"/>
      <c r="F48" s="172"/>
      <c r="G48" s="172"/>
      <c r="H48" s="172"/>
      <c r="I48" s="172"/>
      <c r="J48" s="173"/>
      <c r="K48" s="442"/>
      <c r="L48" s="104" t="s">
        <v>16</v>
      </c>
      <c r="M48" s="157" t="str">
        <f>M19</f>
        <v>C Coquetiers de l'Antoine | | Auteur &gt; Guy KRENZE - Eric GODDYN - Arnaud NICOLAS - CEPROC 2002</v>
      </c>
      <c r="N48" s="157">
        <f>N19</f>
        <v>20</v>
      </c>
      <c r="O48" s="158" t="str">
        <f>O19</f>
        <v>coquetiers de 25 g</v>
      </c>
      <c r="P48" s="159" t="str">
        <f>P19</f>
        <v>Recette mère ► le Boudin en 4 déclinaisons</v>
      </c>
      <c r="Q48" s="172" t="s">
        <v>12839</v>
      </c>
      <c r="R48" s="172"/>
      <c r="S48" s="172"/>
      <c r="T48" s="172"/>
      <c r="U48" s="172"/>
      <c r="V48" s="5040" t="str">
        <f>"divisé par "&amp;Q17 &amp; " = " &amp;(S18/Q17)*1000&amp;" g"</f>
        <v>divisé par 20 = 76.55 g</v>
      </c>
      <c r="W48" s="172"/>
      <c r="X48" s="172"/>
      <c r="Y48" s="170" t="s">
        <v>174</v>
      </c>
      <c r="Z48" s="174">
        <v>6.25E-2</v>
      </c>
      <c r="AA48" s="5211"/>
      <c r="AB48" s="1178"/>
      <c r="AC48" s="1179"/>
      <c r="AD48" s="227" t="s">
        <v>22</v>
      </c>
      <c r="AE48" s="1027" t="str">
        <f t="shared" si="15"/>
        <v>►</v>
      </c>
      <c r="AF48" s="1028" t="str">
        <f t="shared" si="16"/>
        <v/>
      </c>
      <c r="AG48" s="1029" t="str">
        <f t="shared" si="17"/>
        <v/>
      </c>
      <c r="AH48" s="1028" t="str">
        <f t="shared" si="18"/>
        <v/>
      </c>
      <c r="AI48" s="1029" t="str">
        <f t="shared" si="19"/>
        <v/>
      </c>
      <c r="AJ48" s="1029">
        <f t="shared" si="20"/>
        <v>0</v>
      </c>
      <c r="AK48" s="1043" t="str" cm="1">
        <f t="array" ref="AK48">IF(AE48&lt;&gt;"A","",IFERROR((IFERROR(_xlfn.XLOOKUP(TRIM(SUBSTITUTE(U48,CHAR(160)," ")),$BI$15:$BI$62,$BL$15:$BL$62),IFERROR(_xlfn.XLOOKUP(TRIM(SUBSTITUTE(U48,CHAR(160)," ")),$BJ$15:$BJ$62,$BL$15:$BL$62),_xlfn.XLOOKUP(TRIM(SUBSTITUTE(U48,CHAR(160)," ")),$BK$15:$BK$62,$BL$15:$BL$62))))*T48*IF(ISBLANK(Q48),1,Q48)+IFERROR(_xlfn.XLOOKUP("RECHERCHEX",TRIM(L48:AC48),L48:AC48),0),0))</f>
        <v/>
      </c>
      <c r="AL48" s="1030">
        <f t="shared" si="21"/>
        <v>0</v>
      </c>
      <c r="AM48" s="5254" t="str">
        <f t="shared" si="42"/>
        <v/>
      </c>
      <c r="AN48" s="1031">
        <f t="shared" si="23"/>
        <v>0</v>
      </c>
      <c r="AO48" s="1031">
        <f t="shared" si="24"/>
        <v>0</v>
      </c>
      <c r="AP48" s="1032">
        <f t="shared" si="25"/>
        <v>0</v>
      </c>
      <c r="AQ48" s="5255" t="str">
        <f t="shared" si="26"/>
        <v/>
      </c>
      <c r="AR48" s="1056"/>
      <c r="AS48" s="1056"/>
      <c r="AT48" s="1034">
        <f t="shared" si="27"/>
        <v>0</v>
      </c>
      <c r="AU48" s="1035">
        <f t="shared" si="28"/>
        <v>0</v>
      </c>
      <c r="AV48" s="1057" cm="1">
        <f t="array" ref="AV48">IF(AJ48&lt;&gt;1,0,IF(OR(AT48="",N(AT48)&lt;=0.000000001),"",IF(OR(AN48="",N(AN48)&lt;=0.000000001),0,IF(ISNUMBER(AT48),IFERROR(_xlfn.LET(_xlpm.ai_test,TRIM(AI48),_xlpm.r,IFERROR(_xlfn.XLOOKUP(_xlpm.ai_test,$BI$15:$BI$62,ROW($BI$15:$BI$62),0,1),IFERROR(_xlfn.XLOOKUP(_xlpm.ai_test,$BJ$15:$BJ$62,ROW($BJ$15:$BJ$62),0,1),_xlfn.XLOOKUP(_xlpm.ai_test,$BK$15:$BK$62,ROW($BK$15:$BK$62),0,1))),_xlpm.p,_xlpm.r-MIN(ROW($BI$15:$BI$62))+1,_xlpm.f,INDEX($BL$15:$BL$62,_xlpm.p),_xlpm.u,INDEX($BM$15:$BM$62,_xlpm.p),_xlpm.s,INDEX($BO$15:$BO$62,_xlpm.p),_xlpm.q,N(AT48)/_xlpm.f,IF(_xlpm.q&gt;=_xlpm.s,ROUND(_xlpm.q,1)&amp;" "&amp;_xlpm.ai_test&amp;" = "&amp;ROUND(_xlpm.q*_xlpm.f,1)&amp;" "&amp;_xlpm.u,ROUND(_xlpm.q,1)&amp;" "&amp;_xlpm.ai_test)),""),""))))</f>
        <v>0</v>
      </c>
      <c r="AW48" s="1047"/>
      <c r="AX48" s="1034">
        <f t="shared" si="29"/>
        <v>0</v>
      </c>
      <c r="AY48" s="1035" t="str">
        <f t="shared" si="30"/>
        <v/>
      </c>
      <c r="AZ48" s="1036">
        <f t="shared" si="37"/>
        <v>0</v>
      </c>
      <c r="BA48" s="1037" t="str">
        <f t="shared" si="31"/>
        <v/>
      </c>
      <c r="BB48" s="1038"/>
      <c r="BC48" s="1039">
        <f t="shared" si="40"/>
        <v>0</v>
      </c>
      <c r="BD48" s="1040" t="str">
        <f t="shared" si="33"/>
        <v/>
      </c>
      <c r="BE48" s="227" t="s">
        <v>22</v>
      </c>
      <c r="BF48" s="1019">
        <f t="shared" si="34"/>
        <v>0</v>
      </c>
      <c r="BG48" s="1020">
        <f t="shared" si="35"/>
        <v>0</v>
      </c>
      <c r="BH48" s="852"/>
      <c r="BI48" s="5261" t="s">
        <v>164</v>
      </c>
      <c r="BJ48" s="5262" t="s">
        <v>1373</v>
      </c>
      <c r="BK48" s="5262" t="s">
        <v>1356</v>
      </c>
      <c r="BL48" s="1013">
        <f t="shared" si="41"/>
        <v>1E-3</v>
      </c>
      <c r="BM48" s="1051" t="s">
        <v>1814</v>
      </c>
      <c r="BN48" s="1051" t="s">
        <v>1815</v>
      </c>
      <c r="BO48" s="1003">
        <f t="shared" si="39"/>
        <v>1000</v>
      </c>
      <c r="BP48" s="1052">
        <v>1</v>
      </c>
      <c r="BQ48" s="852"/>
      <c r="BR48" s="852"/>
      <c r="BS48" s="852"/>
      <c r="BT48" s="852"/>
      <c r="BU48" s="852"/>
      <c r="BV48" s="852"/>
      <c r="BW48" s="959" t="str">
        <f t="shared" si="10"/>
        <v>►</v>
      </c>
      <c r="BX48" s="5559" t="s">
        <v>1871</v>
      </c>
      <c r="BY48" s="5559"/>
      <c r="BZ48" s="5559"/>
      <c r="CA48" s="5559"/>
      <c r="CB48" s="5559"/>
      <c r="CC48" s="957"/>
      <c r="CD48" s="1073" t="s">
        <v>1872</v>
      </c>
      <c r="CE48" s="9"/>
      <c r="CF48" s="9"/>
      <c r="CG48" s="9"/>
      <c r="CH48" s="9"/>
      <c r="CI48" s="9"/>
      <c r="CJ48" s="41"/>
      <c r="CL48" s="1073" t="s">
        <v>1873</v>
      </c>
      <c r="CM48" s="9"/>
      <c r="CN48" s="9"/>
      <c r="CO48" s="9"/>
      <c r="CP48" s="9"/>
      <c r="CQ48" s="9"/>
      <c r="CR48" s="41"/>
      <c r="CT48" s="1073" t="s">
        <v>1874</v>
      </c>
      <c r="CU48" s="9"/>
      <c r="CV48" s="9"/>
      <c r="CW48" s="9"/>
      <c r="CX48" s="9"/>
      <c r="CY48" s="9"/>
      <c r="CZ48" s="41"/>
      <c r="DB48" s="3">
        <v>1</v>
      </c>
    </row>
    <row r="49" spans="1:106" s="709" customFormat="1" ht="21" customHeight="1">
      <c r="A49" s="936" t="s">
        <v>22</v>
      </c>
      <c r="B49" s="952" t="str">
        <f t="shared" si="9"/>
        <v>►</v>
      </c>
      <c r="C49" s="993" cm="1">
        <f t="array" ref="C49">SUMPRODUCT(LEN(D49:J49))</f>
        <v>0</v>
      </c>
      <c r="D49" s="167"/>
      <c r="E49" s="172"/>
      <c r="F49" s="172"/>
      <c r="G49" s="172"/>
      <c r="H49" s="172"/>
      <c r="I49" s="172"/>
      <c r="J49" s="173"/>
      <c r="K49" s="442"/>
      <c r="L49" s="104" t="s">
        <v>16</v>
      </c>
      <c r="M49" s="157" t="str">
        <f>M19</f>
        <v>C Coquetiers de l'Antoine | | Auteur &gt; Guy KRENZE - Eric GODDYN - Arnaud NICOLAS - CEPROC 2002</v>
      </c>
      <c r="N49" s="157">
        <f>N19</f>
        <v>20</v>
      </c>
      <c r="O49" s="158" t="str">
        <f>O19</f>
        <v>coquetiers de 25 g</v>
      </c>
      <c r="P49" s="159" t="str">
        <f>P19</f>
        <v>Recette mère ► le Boudin en 4 déclinaisons</v>
      </c>
      <c r="Q49" s="172" t="s">
        <v>12840</v>
      </c>
      <c r="R49" s="172"/>
      <c r="S49" s="172"/>
      <c r="T49" s="172"/>
      <c r="U49" s="172"/>
      <c r="V49" s="172"/>
      <c r="W49" s="172"/>
      <c r="X49" s="172"/>
      <c r="Y49" s="170" t="s">
        <v>182</v>
      </c>
      <c r="Z49" s="175">
        <v>2.4305555555555556E-2</v>
      </c>
      <c r="AA49" s="5211"/>
      <c r="AB49" s="1178"/>
      <c r="AC49" s="1179"/>
      <c r="AD49" s="227" t="s">
        <v>22</v>
      </c>
      <c r="AE49" s="1027" t="str">
        <f t="shared" si="15"/>
        <v>►</v>
      </c>
      <c r="AF49" s="1028" t="str">
        <f t="shared" si="16"/>
        <v/>
      </c>
      <c r="AG49" s="1029" t="str">
        <f t="shared" si="17"/>
        <v/>
      </c>
      <c r="AH49" s="1028" t="str">
        <f t="shared" si="18"/>
        <v/>
      </c>
      <c r="AI49" s="1029" t="str">
        <f t="shared" si="19"/>
        <v/>
      </c>
      <c r="AJ49" s="1029">
        <f t="shared" si="20"/>
        <v>0</v>
      </c>
      <c r="AK49" s="1043" t="str" cm="1">
        <f t="array" ref="AK49">IF(AE49&lt;&gt;"A","",IFERROR((IFERROR(_xlfn.XLOOKUP(TRIM(SUBSTITUTE(U49,CHAR(160)," ")),$BI$15:$BI$62,$BL$15:$BL$62),IFERROR(_xlfn.XLOOKUP(TRIM(SUBSTITUTE(U49,CHAR(160)," ")),$BJ$15:$BJ$62,$BL$15:$BL$62),_xlfn.XLOOKUP(TRIM(SUBSTITUTE(U49,CHAR(160)," ")),$BK$15:$BK$62,$BL$15:$BL$62))))*T49*IF(ISBLANK(Q49),1,Q49)+IFERROR(_xlfn.XLOOKUP("RECHERCHEX",TRIM(L49:AC49),L49:AC49),0),0))</f>
        <v/>
      </c>
      <c r="AL49" s="1030">
        <f t="shared" si="21"/>
        <v>0</v>
      </c>
      <c r="AM49" s="5254" t="str">
        <f t="shared" si="42"/>
        <v/>
      </c>
      <c r="AN49" s="1031">
        <f t="shared" si="23"/>
        <v>0</v>
      </c>
      <c r="AO49" s="1031">
        <f t="shared" si="24"/>
        <v>0</v>
      </c>
      <c r="AP49" s="1044">
        <f t="shared" si="25"/>
        <v>0</v>
      </c>
      <c r="AQ49" s="5257" t="str">
        <f t="shared" si="26"/>
        <v/>
      </c>
      <c r="AR49" s="1056"/>
      <c r="AS49" s="1056"/>
      <c r="AT49" s="1045">
        <f t="shared" si="27"/>
        <v>0</v>
      </c>
      <c r="AU49" s="1046">
        <f t="shared" si="28"/>
        <v>0</v>
      </c>
      <c r="AV49" s="1059" cm="1">
        <f t="array" ref="AV49">IF(AJ49&lt;&gt;1,0,IF(OR(AT49="",N(AT49)&lt;=0.000000001),"",IF(OR(AN49="",N(AN49)&lt;=0.000000001),0,IF(ISNUMBER(AT49),IFERROR(_xlfn.LET(_xlpm.ai_test,TRIM(AI49),_xlpm.r,IFERROR(_xlfn.XLOOKUP(_xlpm.ai_test,$BI$15:$BI$62,ROW($BI$15:$BI$62),0,1),IFERROR(_xlfn.XLOOKUP(_xlpm.ai_test,$BJ$15:$BJ$62,ROW($BJ$15:$BJ$62),0,1),_xlfn.XLOOKUP(_xlpm.ai_test,$BK$15:$BK$62,ROW($BK$15:$BK$62),0,1))),_xlpm.p,_xlpm.r-MIN(ROW($BI$15:$BI$62))+1,_xlpm.f,INDEX($BL$15:$BL$62,_xlpm.p),_xlpm.u,INDEX($BM$15:$BM$62,_xlpm.p),_xlpm.s,INDEX($BO$15:$BO$62,_xlpm.p),_xlpm.q,N(AT49)/_xlpm.f,IF(_xlpm.q&gt;=_xlpm.s,ROUND(_xlpm.q,1)&amp;" "&amp;_xlpm.ai_test&amp;" = "&amp;ROUND(_xlpm.q*_xlpm.f,1)&amp;" "&amp;_xlpm.u,ROUND(_xlpm.q,1)&amp;" "&amp;_xlpm.ai_test)),""),""))))</f>
        <v>0</v>
      </c>
      <c r="AW49" s="1047"/>
      <c r="AX49" s="1045">
        <f t="shared" si="29"/>
        <v>0</v>
      </c>
      <c r="AY49" s="1046" t="str">
        <f t="shared" si="30"/>
        <v/>
      </c>
      <c r="AZ49" s="1048">
        <f t="shared" si="37"/>
        <v>0</v>
      </c>
      <c r="BA49" s="1049" t="str">
        <f t="shared" si="31"/>
        <v/>
      </c>
      <c r="BB49" s="1038"/>
      <c r="BC49" s="1050">
        <f t="shared" si="40"/>
        <v>0</v>
      </c>
      <c r="BD49" s="1040" t="str">
        <f t="shared" si="33"/>
        <v/>
      </c>
      <c r="BE49" s="227" t="s">
        <v>22</v>
      </c>
      <c r="BF49" s="1019">
        <f t="shared" si="34"/>
        <v>0</v>
      </c>
      <c r="BG49" s="1020">
        <f t="shared" si="35"/>
        <v>0</v>
      </c>
      <c r="BH49" s="852"/>
      <c r="BI49" s="5261" t="s">
        <v>1875</v>
      </c>
      <c r="BJ49" s="5262" t="s">
        <v>1373</v>
      </c>
      <c r="BK49" s="5262" t="s">
        <v>1356</v>
      </c>
      <c r="BL49" s="1013">
        <f t="shared" si="41"/>
        <v>2.5000000000000001E-3</v>
      </c>
      <c r="BM49" s="1051" t="s">
        <v>1814</v>
      </c>
      <c r="BN49" s="1051" t="s">
        <v>1815</v>
      </c>
      <c r="BO49" s="1003">
        <f t="shared" si="39"/>
        <v>400</v>
      </c>
      <c r="BP49" s="1058">
        <v>2.5</v>
      </c>
      <c r="BQ49" s="852"/>
      <c r="BR49" s="852"/>
      <c r="BS49" s="852"/>
      <c r="BT49" s="852"/>
      <c r="BU49" s="852"/>
      <c r="BV49" s="852"/>
      <c r="BW49" s="959" t="str">
        <f t="shared" si="10"/>
        <v>►</v>
      </c>
      <c r="BX49" s="5559"/>
      <c r="BY49" s="5559"/>
      <c r="BZ49" s="5559"/>
      <c r="CA49" s="5559"/>
      <c r="CB49" s="5559"/>
      <c r="CC49" s="957"/>
      <c r="CD49" s="1074"/>
      <c r="CE49" s="9"/>
      <c r="CF49" s="9"/>
      <c r="CG49" s="9"/>
      <c r="CH49" s="9"/>
      <c r="CI49" s="9"/>
      <c r="CJ49" s="41"/>
      <c r="CL49" s="1074"/>
      <c r="CM49" s="9"/>
      <c r="CN49" s="9"/>
      <c r="CO49" s="9"/>
      <c r="CP49" s="9"/>
      <c r="CQ49" s="9"/>
      <c r="CR49" s="41"/>
      <c r="CT49" s="1074"/>
      <c r="CU49" s="9"/>
      <c r="CV49" s="9"/>
      <c r="CW49" s="9"/>
      <c r="CX49" s="9"/>
      <c r="CY49" s="9"/>
      <c r="CZ49" s="41"/>
      <c r="DB49" s="3">
        <v>1</v>
      </c>
    </row>
    <row r="50" spans="1:106" s="709" customFormat="1" ht="21" customHeight="1">
      <c r="A50" s="936" t="s">
        <v>22</v>
      </c>
      <c r="B50" s="952" t="str">
        <f t="shared" si="9"/>
        <v>►</v>
      </c>
      <c r="C50" s="993" cm="1">
        <f t="array" ref="C50">SUMPRODUCT(LEN(D50:J50))</f>
        <v>0</v>
      </c>
      <c r="D50" s="167"/>
      <c r="E50" s="172"/>
      <c r="F50" s="172"/>
      <c r="G50" s="172"/>
      <c r="H50" s="172"/>
      <c r="I50" s="172"/>
      <c r="J50" s="173"/>
      <c r="K50" s="442"/>
      <c r="L50" s="104" t="s">
        <v>16</v>
      </c>
      <c r="M50" s="157" t="str">
        <f>M19</f>
        <v>C Coquetiers de l'Antoine | | Auteur &gt; Guy KRENZE - Eric GODDYN - Arnaud NICOLAS - CEPROC 2002</v>
      </c>
      <c r="N50" s="157">
        <f>N19</f>
        <v>20</v>
      </c>
      <c r="O50" s="158" t="str">
        <f>O19</f>
        <v>coquetiers de 25 g</v>
      </c>
      <c r="P50" s="159" t="str">
        <f>P19</f>
        <v>Recette mère ► le Boudin en 4 déclinaisons</v>
      </c>
      <c r="Q50" s="172" t="s">
        <v>12841</v>
      </c>
      <c r="R50" s="172"/>
      <c r="S50" s="172"/>
      <c r="T50" s="172"/>
      <c r="U50" s="172"/>
      <c r="V50" s="172"/>
      <c r="W50" s="172"/>
      <c r="X50" s="172"/>
      <c r="Y50" s="176" t="s">
        <v>183</v>
      </c>
      <c r="Z50" s="177">
        <f>Z47+Z48+Z49</f>
        <v>0.11458333333333333</v>
      </c>
      <c r="AA50" s="5211"/>
      <c r="AB50" s="1178"/>
      <c r="AC50" s="1179"/>
      <c r="AD50" s="227" t="s">
        <v>22</v>
      </c>
      <c r="AE50" s="1027" t="str">
        <f t="shared" si="15"/>
        <v>►</v>
      </c>
      <c r="AF50" s="1028" t="str">
        <f t="shared" si="16"/>
        <v/>
      </c>
      <c r="AG50" s="1029" t="str">
        <f t="shared" si="17"/>
        <v/>
      </c>
      <c r="AH50" s="1028" t="str">
        <f t="shared" si="18"/>
        <v/>
      </c>
      <c r="AI50" s="1029" t="str">
        <f t="shared" si="19"/>
        <v/>
      </c>
      <c r="AJ50" s="1029">
        <f t="shared" si="20"/>
        <v>0</v>
      </c>
      <c r="AK50" s="1043" t="str" cm="1">
        <f t="array" ref="AK50">IF(AE50&lt;&gt;"A","",IFERROR((IFERROR(_xlfn.XLOOKUP(TRIM(SUBSTITUTE(U50,CHAR(160)," ")),$BI$15:$BI$62,$BL$15:$BL$62),IFERROR(_xlfn.XLOOKUP(TRIM(SUBSTITUTE(U50,CHAR(160)," ")),$BJ$15:$BJ$62,$BL$15:$BL$62),_xlfn.XLOOKUP(TRIM(SUBSTITUTE(U50,CHAR(160)," ")),$BK$15:$BK$62,$BL$15:$BL$62))))*T50*IF(ISBLANK(Q50),1,Q50)+IFERROR(_xlfn.XLOOKUP("RECHERCHEX",TRIM(L50:AC50),L50:AC50),0),0))</f>
        <v/>
      </c>
      <c r="AL50" s="1030">
        <f t="shared" si="21"/>
        <v>0</v>
      </c>
      <c r="AM50" s="5254" t="str">
        <f t="shared" si="42"/>
        <v/>
      </c>
      <c r="AN50" s="1031">
        <f t="shared" si="23"/>
        <v>0</v>
      </c>
      <c r="AO50" s="1031">
        <f t="shared" si="24"/>
        <v>0</v>
      </c>
      <c r="AP50" s="1032">
        <f t="shared" si="25"/>
        <v>0</v>
      </c>
      <c r="AQ50" s="5255" t="str">
        <f t="shared" si="26"/>
        <v/>
      </c>
      <c r="AR50" s="1056"/>
      <c r="AS50" s="1056"/>
      <c r="AT50" s="1034">
        <f t="shared" si="27"/>
        <v>0</v>
      </c>
      <c r="AU50" s="1035">
        <f t="shared" si="28"/>
        <v>0</v>
      </c>
      <c r="AV50" s="1057" cm="1">
        <f t="array" ref="AV50">IF(AJ50&lt;&gt;1,0,IF(OR(AT50="",N(AT50)&lt;=0.000000001),"",IF(OR(AN50="",N(AN50)&lt;=0.000000001),0,IF(ISNUMBER(AT50),IFERROR(_xlfn.LET(_xlpm.ai_test,TRIM(AI50),_xlpm.r,IFERROR(_xlfn.XLOOKUP(_xlpm.ai_test,$BI$15:$BI$62,ROW($BI$15:$BI$62),0,1),IFERROR(_xlfn.XLOOKUP(_xlpm.ai_test,$BJ$15:$BJ$62,ROW($BJ$15:$BJ$62),0,1),_xlfn.XLOOKUP(_xlpm.ai_test,$BK$15:$BK$62,ROW($BK$15:$BK$62),0,1))),_xlpm.p,_xlpm.r-MIN(ROW($BI$15:$BI$62))+1,_xlpm.f,INDEX($BL$15:$BL$62,_xlpm.p),_xlpm.u,INDEX($BM$15:$BM$62,_xlpm.p),_xlpm.s,INDEX($BO$15:$BO$62,_xlpm.p),_xlpm.q,N(AT50)/_xlpm.f,IF(_xlpm.q&gt;=_xlpm.s,ROUND(_xlpm.q,1)&amp;" "&amp;_xlpm.ai_test&amp;" = "&amp;ROUND(_xlpm.q*_xlpm.f,1)&amp;" "&amp;_xlpm.u,ROUND(_xlpm.q,1)&amp;" "&amp;_xlpm.ai_test)),""),""))))</f>
        <v>0</v>
      </c>
      <c r="AW50" s="1047"/>
      <c r="AX50" s="1034">
        <f t="shared" si="29"/>
        <v>0</v>
      </c>
      <c r="AY50" s="1035" t="str">
        <f t="shared" si="30"/>
        <v/>
      </c>
      <c r="AZ50" s="1036">
        <f t="shared" si="37"/>
        <v>0</v>
      </c>
      <c r="BA50" s="1037" t="str">
        <f t="shared" si="31"/>
        <v/>
      </c>
      <c r="BB50" s="1038"/>
      <c r="BC50" s="1039">
        <f t="shared" si="40"/>
        <v>0</v>
      </c>
      <c r="BD50" s="1040" t="str">
        <f t="shared" si="33"/>
        <v/>
      </c>
      <c r="BE50" s="227" t="s">
        <v>22</v>
      </c>
      <c r="BF50" s="1019">
        <f t="shared" si="34"/>
        <v>0</v>
      </c>
      <c r="BG50" s="1020">
        <f t="shared" si="35"/>
        <v>0</v>
      </c>
      <c r="BH50" s="852"/>
      <c r="BI50" s="5261" t="s">
        <v>1876</v>
      </c>
      <c r="BJ50" s="5261" t="s">
        <v>1877</v>
      </c>
      <c r="BK50" s="5261" t="s">
        <v>1878</v>
      </c>
      <c r="BL50" s="1013">
        <f t="shared" si="41"/>
        <v>4.4999999999999997E-3</v>
      </c>
      <c r="BM50" s="1051" t="s">
        <v>1814</v>
      </c>
      <c r="BN50" s="1051" t="s">
        <v>1815</v>
      </c>
      <c r="BO50" s="1003">
        <f t="shared" si="39"/>
        <v>222</v>
      </c>
      <c r="BP50" s="1075">
        <v>4.5</v>
      </c>
      <c r="BQ50" s="852"/>
      <c r="BR50" s="852"/>
      <c r="BS50" s="852"/>
      <c r="BT50" s="852"/>
      <c r="BU50" s="852"/>
      <c r="BV50" s="852"/>
      <c r="BW50" s="959" t="str">
        <f t="shared" si="10"/>
        <v>►</v>
      </c>
      <c r="BX50" s="1064"/>
      <c r="BY50" s="857"/>
      <c r="BZ50" s="857"/>
      <c r="CA50" s="858"/>
      <c r="CB50" s="858"/>
      <c r="CC50" s="957"/>
      <c r="CD50" s="1070" t="s">
        <v>1879</v>
      </c>
      <c r="CE50" s="9"/>
      <c r="CF50" s="9"/>
      <c r="CG50" s="9"/>
      <c r="CH50" s="9"/>
      <c r="CI50" s="9"/>
      <c r="CJ50" s="41"/>
      <c r="CL50" s="1070" t="s">
        <v>1880</v>
      </c>
      <c r="CM50" s="9"/>
      <c r="CN50" s="9"/>
      <c r="CO50" s="9"/>
      <c r="CP50" s="9"/>
      <c r="CQ50" s="9"/>
      <c r="CR50" s="41"/>
      <c r="CT50" s="1070" t="s">
        <v>1881</v>
      </c>
      <c r="CU50" s="9"/>
      <c r="CV50" s="9"/>
      <c r="CW50" s="9"/>
      <c r="CX50" s="9"/>
      <c r="CY50" s="9"/>
      <c r="CZ50" s="41"/>
      <c r="DB50" s="3">
        <v>1</v>
      </c>
    </row>
    <row r="51" spans="1:106" s="709" customFormat="1" ht="21" customHeight="1">
      <c r="A51" s="936" t="s">
        <v>22</v>
      </c>
      <c r="B51" s="952" t="str">
        <f t="shared" si="9"/>
        <v>A</v>
      </c>
      <c r="C51" s="993" cm="1">
        <f t="array" ref="C51">SUMPRODUCT(LEN(D51:J51))</f>
        <v>0</v>
      </c>
      <c r="D51" s="167"/>
      <c r="E51" s="172"/>
      <c r="F51" s="172"/>
      <c r="G51" s="172"/>
      <c r="H51" s="172"/>
      <c r="I51" s="172"/>
      <c r="J51" s="173"/>
      <c r="K51" s="442"/>
      <c r="L51" s="104" t="str">
        <f t="shared" ref="L51:L55" si="44">IF(OR(Q51&lt;&gt;"",R51&lt;&gt; "",S51&lt;&gt;"",T51&lt;&gt;""),"A", "►")</f>
        <v>A</v>
      </c>
      <c r="M51" s="157" t="str">
        <f>M19</f>
        <v>C Coquetiers de l'Antoine | | Auteur &gt; Guy KRENZE - Eric GODDYN - Arnaud NICOLAS - CEPROC 2002</v>
      </c>
      <c r="N51" s="157">
        <f>N19</f>
        <v>20</v>
      </c>
      <c r="O51" s="158" t="str">
        <f>O19</f>
        <v>coquetiers de 25 g</v>
      </c>
      <c r="P51" s="159" t="str">
        <f>P19</f>
        <v>Recette mère ► le Boudin en 4 déclinaisons</v>
      </c>
      <c r="Q51" s="172" t="s">
        <v>12842</v>
      </c>
      <c r="R51" s="172"/>
      <c r="S51" s="172"/>
      <c r="T51" s="172"/>
      <c r="U51" s="172"/>
      <c r="V51" s="172"/>
      <c r="W51" s="172"/>
      <c r="X51" s="172"/>
      <c r="Y51" s="172"/>
      <c r="Z51" s="555"/>
      <c r="AA51" s="5211"/>
      <c r="AB51" s="1178"/>
      <c r="AC51" s="1179"/>
      <c r="AD51" s="227" t="s">
        <v>22</v>
      </c>
      <c r="AE51" s="1027" t="str">
        <f t="shared" si="15"/>
        <v>►</v>
      </c>
      <c r="AF51" s="1028" t="str">
        <f t="shared" si="16"/>
        <v/>
      </c>
      <c r="AG51" s="1029" t="str">
        <f t="shared" si="17"/>
        <v/>
      </c>
      <c r="AH51" s="1028" t="str">
        <f t="shared" si="18"/>
        <v/>
      </c>
      <c r="AI51" s="1029" t="str">
        <f t="shared" si="19"/>
        <v/>
      </c>
      <c r="AJ51" s="1029">
        <f t="shared" si="20"/>
        <v>0</v>
      </c>
      <c r="AK51" s="1043" t="str" cm="1">
        <f t="array" ref="AK51">IF(AE51&lt;&gt;"A","",IFERROR((IFERROR(_xlfn.XLOOKUP(TRIM(SUBSTITUTE(U51,CHAR(160)," ")),$BI$15:$BI$62,$BL$15:$BL$62),IFERROR(_xlfn.XLOOKUP(TRIM(SUBSTITUTE(U51,CHAR(160)," ")),$BJ$15:$BJ$62,$BL$15:$BL$62),_xlfn.XLOOKUP(TRIM(SUBSTITUTE(U51,CHAR(160)," ")),$BK$15:$BK$62,$BL$15:$BL$62))))*T51*IF(ISBLANK(Q51),1,Q51)+IFERROR(_xlfn.XLOOKUP("RECHERCHEX",TRIM(L51:AC51),L51:AC51),0),0))</f>
        <v/>
      </c>
      <c r="AL51" s="1030">
        <f t="shared" si="21"/>
        <v>0</v>
      </c>
      <c r="AM51" s="5254" t="str">
        <f t="shared" si="42"/>
        <v/>
      </c>
      <c r="AN51" s="1031">
        <f t="shared" si="23"/>
        <v>0</v>
      </c>
      <c r="AO51" s="1031">
        <f t="shared" si="24"/>
        <v>0</v>
      </c>
      <c r="AP51" s="1044">
        <f t="shared" si="25"/>
        <v>0</v>
      </c>
      <c r="AQ51" s="5257" t="str">
        <f t="shared" si="26"/>
        <v/>
      </c>
      <c r="AR51" s="1056"/>
      <c r="AS51" s="1056"/>
      <c r="AT51" s="1045">
        <f t="shared" si="27"/>
        <v>0</v>
      </c>
      <c r="AU51" s="1046">
        <f t="shared" si="28"/>
        <v>0</v>
      </c>
      <c r="AV51" s="1059" cm="1">
        <f t="array" ref="AV51">IF(AJ51&lt;&gt;1,0,IF(OR(AT51="",N(AT51)&lt;=0.000000001),"",IF(OR(AN51="",N(AN51)&lt;=0.000000001),0,IF(ISNUMBER(AT51),IFERROR(_xlfn.LET(_xlpm.ai_test,TRIM(AI51),_xlpm.r,IFERROR(_xlfn.XLOOKUP(_xlpm.ai_test,$BI$15:$BI$62,ROW($BI$15:$BI$62),0,1),IFERROR(_xlfn.XLOOKUP(_xlpm.ai_test,$BJ$15:$BJ$62,ROW($BJ$15:$BJ$62),0,1),_xlfn.XLOOKUP(_xlpm.ai_test,$BK$15:$BK$62,ROW($BK$15:$BK$62),0,1))),_xlpm.p,_xlpm.r-MIN(ROW($BI$15:$BI$62))+1,_xlpm.f,INDEX($BL$15:$BL$62,_xlpm.p),_xlpm.u,INDEX($BM$15:$BM$62,_xlpm.p),_xlpm.s,INDEX($BO$15:$BO$62,_xlpm.p),_xlpm.q,N(AT51)/_xlpm.f,IF(_xlpm.q&gt;=_xlpm.s,ROUND(_xlpm.q,1)&amp;" "&amp;_xlpm.ai_test&amp;" = "&amp;ROUND(_xlpm.q*_xlpm.f,1)&amp;" "&amp;_xlpm.u,ROUND(_xlpm.q,1)&amp;" "&amp;_xlpm.ai_test)),""),""))))</f>
        <v>0</v>
      </c>
      <c r="AW51" s="1047"/>
      <c r="AX51" s="1045">
        <f t="shared" si="29"/>
        <v>0</v>
      </c>
      <c r="AY51" s="1046" t="str">
        <f t="shared" si="30"/>
        <v/>
      </c>
      <c r="AZ51" s="1048">
        <f t="shared" si="37"/>
        <v>0</v>
      </c>
      <c r="BA51" s="1049" t="str">
        <f t="shared" si="31"/>
        <v/>
      </c>
      <c r="BB51" s="1038"/>
      <c r="BC51" s="1050">
        <f t="shared" si="40"/>
        <v>0</v>
      </c>
      <c r="BD51" s="1040" t="str">
        <f t="shared" si="33"/>
        <v/>
      </c>
      <c r="BE51" s="227" t="s">
        <v>22</v>
      </c>
      <c r="BF51" s="1019">
        <f t="shared" si="34"/>
        <v>0</v>
      </c>
      <c r="BG51" s="1020">
        <f t="shared" si="35"/>
        <v>0</v>
      </c>
      <c r="BH51" s="852"/>
      <c r="BI51" s="5261" t="s">
        <v>1882</v>
      </c>
      <c r="BJ51" s="5261" t="s">
        <v>1883</v>
      </c>
      <c r="BK51" s="5261" t="s">
        <v>1884</v>
      </c>
      <c r="BL51" s="1013">
        <f t="shared" si="41"/>
        <v>5.9000000000000007E-3</v>
      </c>
      <c r="BM51" s="1051" t="s">
        <v>1814</v>
      </c>
      <c r="BN51" s="1051" t="s">
        <v>1815</v>
      </c>
      <c r="BO51" s="1003">
        <f t="shared" si="39"/>
        <v>169</v>
      </c>
      <c r="BP51" s="1058">
        <v>5.9</v>
      </c>
      <c r="BQ51" s="852"/>
      <c r="BR51" s="852"/>
      <c r="BS51" s="852"/>
      <c r="BT51" s="852"/>
      <c r="BU51" s="852"/>
      <c r="BV51" s="852"/>
      <c r="BW51" s="959" t="str">
        <f t="shared" si="10"/>
        <v>►</v>
      </c>
      <c r="BX51" s="1007" t="s">
        <v>1885</v>
      </c>
      <c r="BY51" s="857"/>
      <c r="BZ51" s="857"/>
      <c r="CA51" s="858"/>
      <c r="CB51" s="858"/>
      <c r="CC51" s="957"/>
      <c r="CD51" s="1076" t="s">
        <v>1886</v>
      </c>
      <c r="CE51" s="1077" t="s">
        <v>1887</v>
      </c>
      <c r="CF51" s="1078"/>
      <c r="CG51" s="1078"/>
      <c r="CH51" s="1078"/>
      <c r="CI51"/>
      <c r="CJ51" s="670"/>
      <c r="CL51" s="1076" t="s">
        <v>1888</v>
      </c>
      <c r="CM51" s="1077" t="s">
        <v>1887</v>
      </c>
      <c r="CN51" s="1078"/>
      <c r="CO51" s="1078"/>
      <c r="CP51" s="1078"/>
      <c r="CQ51"/>
      <c r="CR51" s="670"/>
      <c r="CT51" s="1076" t="s">
        <v>1889</v>
      </c>
      <c r="CU51" s="1077" t="s">
        <v>1887</v>
      </c>
      <c r="CV51" s="1078"/>
      <c r="CW51" s="1078"/>
      <c r="CX51" s="1078"/>
      <c r="CY51"/>
      <c r="CZ51" s="670"/>
      <c r="DB51" s="3">
        <v>1</v>
      </c>
    </row>
    <row r="52" spans="1:106" s="709" customFormat="1" ht="21" customHeight="1">
      <c r="A52" s="936" t="s">
        <v>22</v>
      </c>
      <c r="B52" s="952" t="str">
        <f t="shared" si="9"/>
        <v>A</v>
      </c>
      <c r="C52" s="993" cm="1">
        <f t="array" ref="C52">SUMPRODUCT(LEN(D52:J52))</f>
        <v>0</v>
      </c>
      <c r="D52" s="167"/>
      <c r="E52" s="172"/>
      <c r="F52" s="172"/>
      <c r="G52" s="172"/>
      <c r="H52" s="172"/>
      <c r="I52" s="172"/>
      <c r="J52" s="173"/>
      <c r="K52" s="442"/>
      <c r="L52" s="104" t="str">
        <f t="shared" si="44"/>
        <v>A</v>
      </c>
      <c r="M52" s="157" t="str">
        <f>M19</f>
        <v>C Coquetiers de l'Antoine | | Auteur &gt; Guy KRENZE - Eric GODDYN - Arnaud NICOLAS - CEPROC 2002</v>
      </c>
      <c r="N52" s="157">
        <f>N19</f>
        <v>20</v>
      </c>
      <c r="O52" s="158" t="str">
        <f>O19</f>
        <v>coquetiers de 25 g</v>
      </c>
      <c r="P52" s="159" t="str">
        <f>P19</f>
        <v>Recette mère ► le Boudin en 4 déclinaisons</v>
      </c>
      <c r="Q52" s="172" t="s">
        <v>12843</v>
      </c>
      <c r="R52" s="172"/>
      <c r="S52" s="172"/>
      <c r="T52" s="172"/>
      <c r="U52" s="172"/>
      <c r="V52" s="172"/>
      <c r="W52" s="172"/>
      <c r="X52" s="172"/>
      <c r="Y52" s="172"/>
      <c r="Z52" s="555"/>
      <c r="AA52" s="5211"/>
      <c r="AB52" s="1178"/>
      <c r="AC52" s="1179"/>
      <c r="AD52" s="227" t="s">
        <v>22</v>
      </c>
      <c r="AE52" s="1027" t="str">
        <f t="shared" si="15"/>
        <v>►</v>
      </c>
      <c r="AF52" s="1028" t="str">
        <f t="shared" si="16"/>
        <v/>
      </c>
      <c r="AG52" s="1029" t="str">
        <f t="shared" si="17"/>
        <v/>
      </c>
      <c r="AH52" s="1028" t="str">
        <f t="shared" si="18"/>
        <v/>
      </c>
      <c r="AI52" s="1029" t="str">
        <f t="shared" si="19"/>
        <v/>
      </c>
      <c r="AJ52" s="1029">
        <f t="shared" si="20"/>
        <v>0</v>
      </c>
      <c r="AK52" s="1043" t="str" cm="1">
        <f t="array" ref="AK52">IF(AE52&lt;&gt;"A","",IFERROR((IFERROR(_xlfn.XLOOKUP(TRIM(SUBSTITUTE(U52,CHAR(160)," ")),$BI$15:$BI$62,$BL$15:$BL$62),IFERROR(_xlfn.XLOOKUP(TRIM(SUBSTITUTE(U52,CHAR(160)," ")),$BJ$15:$BJ$62,$BL$15:$BL$62),_xlfn.XLOOKUP(TRIM(SUBSTITUTE(U52,CHAR(160)," ")),$BK$15:$BK$62,$BL$15:$BL$62))))*T52*IF(ISBLANK(Q52),1,Q52)+IFERROR(_xlfn.XLOOKUP("RECHERCHEX",TRIM(L52:AC52),L52:AC52),0),0))</f>
        <v/>
      </c>
      <c r="AL52" s="1030">
        <f t="shared" si="21"/>
        <v>0</v>
      </c>
      <c r="AM52" s="5254" t="str">
        <f t="shared" si="42"/>
        <v/>
      </c>
      <c r="AN52" s="1031">
        <f t="shared" si="23"/>
        <v>0</v>
      </c>
      <c r="AO52" s="1031">
        <f t="shared" si="24"/>
        <v>0</v>
      </c>
      <c r="AP52" s="1032">
        <f t="shared" si="25"/>
        <v>0</v>
      </c>
      <c r="AQ52" s="5255" t="str">
        <f t="shared" si="26"/>
        <v/>
      </c>
      <c r="AR52" s="1056"/>
      <c r="AS52" s="1056"/>
      <c r="AT52" s="1034">
        <f t="shared" si="27"/>
        <v>0</v>
      </c>
      <c r="AU52" s="1035">
        <f t="shared" si="28"/>
        <v>0</v>
      </c>
      <c r="AV52" s="1057" cm="1">
        <f t="array" ref="AV52">IF(AJ52&lt;&gt;1,0,IF(OR(AT52="",N(AT52)&lt;=0.000000001),"",IF(OR(AN52="",N(AN52)&lt;=0.000000001),0,IF(ISNUMBER(AT52),IFERROR(_xlfn.LET(_xlpm.ai_test,TRIM(AI52),_xlpm.r,IFERROR(_xlfn.XLOOKUP(_xlpm.ai_test,$BI$15:$BI$62,ROW($BI$15:$BI$62),0,1),IFERROR(_xlfn.XLOOKUP(_xlpm.ai_test,$BJ$15:$BJ$62,ROW($BJ$15:$BJ$62),0,1),_xlfn.XLOOKUP(_xlpm.ai_test,$BK$15:$BK$62,ROW($BK$15:$BK$62),0,1))),_xlpm.p,_xlpm.r-MIN(ROW($BI$15:$BI$62))+1,_xlpm.f,INDEX($BL$15:$BL$62,_xlpm.p),_xlpm.u,INDEX($BM$15:$BM$62,_xlpm.p),_xlpm.s,INDEX($BO$15:$BO$62,_xlpm.p),_xlpm.q,N(AT52)/_xlpm.f,IF(_xlpm.q&gt;=_xlpm.s,ROUND(_xlpm.q,1)&amp;" "&amp;_xlpm.ai_test&amp;" = "&amp;ROUND(_xlpm.q*_xlpm.f,1)&amp;" "&amp;_xlpm.u,ROUND(_xlpm.q,1)&amp;" "&amp;_xlpm.ai_test)),""),""))))</f>
        <v>0</v>
      </c>
      <c r="AW52" s="1047"/>
      <c r="AX52" s="1034">
        <f t="shared" si="29"/>
        <v>0</v>
      </c>
      <c r="AY52" s="1035" t="str">
        <f t="shared" si="30"/>
        <v/>
      </c>
      <c r="AZ52" s="1036">
        <f t="shared" si="37"/>
        <v>0</v>
      </c>
      <c r="BA52" s="1037" t="str">
        <f t="shared" si="31"/>
        <v/>
      </c>
      <c r="BB52" s="1038"/>
      <c r="BC52" s="1039">
        <f t="shared" si="40"/>
        <v>0</v>
      </c>
      <c r="BD52" s="1040" t="str">
        <f t="shared" si="33"/>
        <v/>
      </c>
      <c r="BE52" s="227" t="s">
        <v>22</v>
      </c>
      <c r="BF52" s="1019">
        <f t="shared" si="34"/>
        <v>0</v>
      </c>
      <c r="BG52" s="1020">
        <f t="shared" si="35"/>
        <v>0</v>
      </c>
      <c r="BH52" s="852"/>
      <c r="BI52" s="5261" t="s">
        <v>1890</v>
      </c>
      <c r="BJ52" s="5261" t="s">
        <v>1890</v>
      </c>
      <c r="BK52" s="5261" t="s">
        <v>1891</v>
      </c>
      <c r="BL52" s="1013">
        <f t="shared" si="41"/>
        <v>0.04</v>
      </c>
      <c r="BM52" s="1051" t="s">
        <v>1814</v>
      </c>
      <c r="BN52" s="1051" t="s">
        <v>1815</v>
      </c>
      <c r="BO52" s="1003">
        <f t="shared" si="39"/>
        <v>25</v>
      </c>
      <c r="BP52" s="1052">
        <v>40</v>
      </c>
      <c r="BQ52" s="852"/>
      <c r="BR52" s="852"/>
      <c r="BS52" s="852"/>
      <c r="BT52" s="852"/>
      <c r="BU52" s="852"/>
      <c r="BV52" s="852"/>
      <c r="BW52" s="959" t="str">
        <f t="shared" si="10"/>
        <v>►</v>
      </c>
      <c r="BX52" s="1064"/>
      <c r="BY52" s="857"/>
      <c r="BZ52" s="857"/>
      <c r="CA52" s="858"/>
      <c r="CB52" s="858"/>
      <c r="CC52" s="957"/>
      <c r="CD52" s="867"/>
      <c r="CE52" s="116"/>
      <c r="CF52" s="116"/>
      <c r="CG52" s="116"/>
      <c r="CH52" s="116"/>
      <c r="CI52" s="116"/>
      <c r="CJ52" s="866"/>
      <c r="CL52" s="867"/>
      <c r="CM52" s="116"/>
      <c r="CN52" s="116"/>
      <c r="CO52" s="116"/>
      <c r="CP52" s="116"/>
      <c r="CQ52" s="116"/>
      <c r="CR52" s="866"/>
      <c r="CT52" s="867"/>
      <c r="CU52" s="116"/>
      <c r="CV52" s="116"/>
      <c r="CW52" s="116"/>
      <c r="CX52" s="116"/>
      <c r="CY52" s="116"/>
      <c r="CZ52" s="866"/>
      <c r="DB52" s="3">
        <v>1</v>
      </c>
    </row>
    <row r="53" spans="1:106" s="709" customFormat="1" ht="21" customHeight="1">
      <c r="A53" s="936" t="s">
        <v>22</v>
      </c>
      <c r="B53" s="952" t="str">
        <f t="shared" si="9"/>
        <v>A</v>
      </c>
      <c r="C53" s="993" cm="1">
        <f t="array" ref="C53">SUMPRODUCT(LEN(D53:J53))</f>
        <v>0</v>
      </c>
      <c r="D53" s="167"/>
      <c r="E53" s="172"/>
      <c r="F53" s="172"/>
      <c r="G53" s="172"/>
      <c r="H53" s="172"/>
      <c r="I53" s="172"/>
      <c r="J53" s="173"/>
      <c r="K53" s="442"/>
      <c r="L53" s="104" t="str">
        <f t="shared" si="44"/>
        <v>A</v>
      </c>
      <c r="M53" s="157" t="str">
        <f>M19</f>
        <v>C Coquetiers de l'Antoine | | Auteur &gt; Guy KRENZE - Eric GODDYN - Arnaud NICOLAS - CEPROC 2002</v>
      </c>
      <c r="N53" s="157">
        <f>N19</f>
        <v>20</v>
      </c>
      <c r="O53" s="158" t="str">
        <f>O19</f>
        <v>coquetiers de 25 g</v>
      </c>
      <c r="P53" s="159" t="str">
        <f>P19</f>
        <v>Recette mère ► le Boudin en 4 déclinaisons</v>
      </c>
      <c r="Q53" s="172" t="s">
        <v>12844</v>
      </c>
      <c r="R53" s="172"/>
      <c r="S53" s="172"/>
      <c r="T53" s="172"/>
      <c r="U53" s="172"/>
      <c r="V53" s="172"/>
      <c r="W53" s="172"/>
      <c r="X53" s="172"/>
      <c r="Y53" s="172"/>
      <c r="Z53" s="555"/>
      <c r="AA53" s="5211"/>
      <c r="AB53" s="1178"/>
      <c r="AC53" s="1179"/>
      <c r="AD53" s="227" t="s">
        <v>22</v>
      </c>
      <c r="AE53" s="1027" t="str">
        <f t="shared" si="15"/>
        <v>►</v>
      </c>
      <c r="AF53" s="1028" t="str">
        <f t="shared" si="16"/>
        <v/>
      </c>
      <c r="AG53" s="1029" t="str">
        <f t="shared" si="17"/>
        <v/>
      </c>
      <c r="AH53" s="1028" t="str">
        <f t="shared" si="18"/>
        <v/>
      </c>
      <c r="AI53" s="1029" t="str">
        <f t="shared" si="19"/>
        <v/>
      </c>
      <c r="AJ53" s="1029">
        <f t="shared" si="20"/>
        <v>0</v>
      </c>
      <c r="AK53" s="1043" t="str" cm="1">
        <f t="array" ref="AK53">IF(AE53&lt;&gt;"A","",IFERROR((IFERROR(_xlfn.XLOOKUP(TRIM(SUBSTITUTE(U53,CHAR(160)," ")),$BI$15:$BI$62,$BL$15:$BL$62),IFERROR(_xlfn.XLOOKUP(TRIM(SUBSTITUTE(U53,CHAR(160)," ")),$BJ$15:$BJ$62,$BL$15:$BL$62),_xlfn.XLOOKUP(TRIM(SUBSTITUTE(U53,CHAR(160)," ")),$BK$15:$BK$62,$BL$15:$BL$62))))*T53*IF(ISBLANK(Q53),1,Q53)+IFERROR(_xlfn.XLOOKUP("RECHERCHEX",TRIM(L53:AC53),L53:AC53),0),0))</f>
        <v/>
      </c>
      <c r="AL53" s="1030">
        <f t="shared" si="21"/>
        <v>0</v>
      </c>
      <c r="AM53" s="5254" t="str">
        <f t="shared" si="42"/>
        <v/>
      </c>
      <c r="AN53" s="1031">
        <f t="shared" si="23"/>
        <v>0</v>
      </c>
      <c r="AO53" s="1031">
        <f t="shared" si="24"/>
        <v>0</v>
      </c>
      <c r="AP53" s="1044">
        <f t="shared" si="25"/>
        <v>0</v>
      </c>
      <c r="AQ53" s="5257" t="str">
        <f t="shared" si="26"/>
        <v/>
      </c>
      <c r="AR53" s="1056"/>
      <c r="AS53" s="1056"/>
      <c r="AT53" s="1045">
        <f t="shared" si="27"/>
        <v>0</v>
      </c>
      <c r="AU53" s="1046">
        <f t="shared" si="28"/>
        <v>0</v>
      </c>
      <c r="AV53" s="1059" cm="1">
        <f t="array" ref="AV53">IF(AJ53&lt;&gt;1,0,IF(OR(AT53="",N(AT53)&lt;=0.000000001),"",IF(OR(AN53="",N(AN53)&lt;=0.000000001),0,IF(ISNUMBER(AT53),IFERROR(_xlfn.LET(_xlpm.ai_test,TRIM(AI53),_xlpm.r,IFERROR(_xlfn.XLOOKUP(_xlpm.ai_test,$BI$15:$BI$62,ROW($BI$15:$BI$62),0,1),IFERROR(_xlfn.XLOOKUP(_xlpm.ai_test,$BJ$15:$BJ$62,ROW($BJ$15:$BJ$62),0,1),_xlfn.XLOOKUP(_xlpm.ai_test,$BK$15:$BK$62,ROW($BK$15:$BK$62),0,1))),_xlpm.p,_xlpm.r-MIN(ROW($BI$15:$BI$62))+1,_xlpm.f,INDEX($BL$15:$BL$62,_xlpm.p),_xlpm.u,INDEX($BM$15:$BM$62,_xlpm.p),_xlpm.s,INDEX($BO$15:$BO$62,_xlpm.p),_xlpm.q,N(AT53)/_xlpm.f,IF(_xlpm.q&gt;=_xlpm.s,ROUND(_xlpm.q,1)&amp;" "&amp;_xlpm.ai_test&amp;" = "&amp;ROUND(_xlpm.q*_xlpm.f,1)&amp;" "&amp;_xlpm.u,ROUND(_xlpm.q,1)&amp;" "&amp;_xlpm.ai_test)),""),""))))</f>
        <v>0</v>
      </c>
      <c r="AW53" s="1047"/>
      <c r="AX53" s="1045">
        <f t="shared" si="29"/>
        <v>0</v>
      </c>
      <c r="AY53" s="1046" t="str">
        <f t="shared" si="30"/>
        <v/>
      </c>
      <c r="AZ53" s="1048">
        <f t="shared" si="37"/>
        <v>0</v>
      </c>
      <c r="BA53" s="1049" t="str">
        <f t="shared" si="31"/>
        <v/>
      </c>
      <c r="BB53" s="1038"/>
      <c r="BC53" s="1050">
        <f t="shared" si="40"/>
        <v>0</v>
      </c>
      <c r="BD53" s="1040" t="str">
        <f t="shared" si="33"/>
        <v/>
      </c>
      <c r="BE53" s="227" t="s">
        <v>22</v>
      </c>
      <c r="BF53" s="1019">
        <f t="shared" si="34"/>
        <v>0</v>
      </c>
      <c r="BG53" s="1020">
        <f t="shared" si="35"/>
        <v>0</v>
      </c>
      <c r="BH53" s="852"/>
      <c r="BI53" s="5261" t="s">
        <v>1892</v>
      </c>
      <c r="BJ53" s="5261" t="s">
        <v>1892</v>
      </c>
      <c r="BK53" s="5261" t="s">
        <v>1892</v>
      </c>
      <c r="BL53" s="1013">
        <f t="shared" si="41"/>
        <v>4.4999999999999998E-2</v>
      </c>
      <c r="BM53" s="1051" t="s">
        <v>1814</v>
      </c>
      <c r="BN53" s="1051" t="s">
        <v>1815</v>
      </c>
      <c r="BO53" s="1003">
        <f t="shared" si="39"/>
        <v>22</v>
      </c>
      <c r="BP53" s="1052">
        <v>45</v>
      </c>
      <c r="BQ53" s="852"/>
      <c r="BR53" s="852"/>
      <c r="BS53" s="852"/>
      <c r="BT53" s="852"/>
      <c r="BU53" s="852"/>
      <c r="BV53" s="852"/>
      <c r="BW53" s="959" t="str">
        <f t="shared" si="10"/>
        <v>►</v>
      </c>
      <c r="BX53" s="1064"/>
      <c r="BY53" s="857"/>
      <c r="BZ53" s="857"/>
      <c r="CA53" s="858"/>
      <c r="CB53" s="858"/>
      <c r="CC53" s="957"/>
      <c r="CD53" s="1079" t="s">
        <v>1893</v>
      </c>
      <c r="CE53" s="1080"/>
      <c r="CF53" s="1080"/>
      <c r="CG53" s="1080"/>
      <c r="CH53" s="1080"/>
      <c r="CI53" s="1080"/>
      <c r="CJ53" s="1081"/>
      <c r="CL53" s="1079" t="s">
        <v>1894</v>
      </c>
      <c r="CM53" s="1080"/>
      <c r="CN53" s="1080"/>
      <c r="CO53" s="1080"/>
      <c r="CP53" s="1080"/>
      <c r="CQ53" s="1080"/>
      <c r="CR53" s="1081"/>
      <c r="CT53" s="1079" t="s">
        <v>1895</v>
      </c>
      <c r="CU53" s="1080"/>
      <c r="CV53" s="1080"/>
      <c r="CW53" s="1080"/>
      <c r="CX53" s="1080"/>
      <c r="CY53" s="1080"/>
      <c r="CZ53" s="1081"/>
      <c r="DB53" s="3">
        <v>1</v>
      </c>
    </row>
    <row r="54" spans="1:106" s="709" customFormat="1" ht="21" customHeight="1">
      <c r="A54" s="936" t="s">
        <v>22</v>
      </c>
      <c r="B54" s="952" t="str">
        <f t="shared" si="9"/>
        <v>A</v>
      </c>
      <c r="C54" s="993" cm="1">
        <f t="array" ref="C54">SUMPRODUCT(LEN(D54:J54))</f>
        <v>0</v>
      </c>
      <c r="D54" s="167"/>
      <c r="E54" s="172"/>
      <c r="F54" s="172"/>
      <c r="G54" s="172"/>
      <c r="H54" s="172"/>
      <c r="I54" s="172"/>
      <c r="J54" s="173"/>
      <c r="K54" s="442"/>
      <c r="L54" s="104" t="str">
        <f t="shared" si="44"/>
        <v>A</v>
      </c>
      <c r="M54" s="157" t="str">
        <f>M19</f>
        <v>C Coquetiers de l'Antoine | | Auteur &gt; Guy KRENZE - Eric GODDYN - Arnaud NICOLAS - CEPROC 2002</v>
      </c>
      <c r="N54" s="157">
        <f>N19</f>
        <v>20</v>
      </c>
      <c r="O54" s="158" t="str">
        <f>O19</f>
        <v>coquetiers de 25 g</v>
      </c>
      <c r="P54" s="159" t="str">
        <f>P19</f>
        <v>Recette mère ► le Boudin en 4 déclinaisons</v>
      </c>
      <c r="Q54" s="172" t="s">
        <v>12845</v>
      </c>
      <c r="R54" s="172"/>
      <c r="S54" s="172"/>
      <c r="T54" s="172"/>
      <c r="U54" s="172"/>
      <c r="V54" s="172"/>
      <c r="W54" s="172"/>
      <c r="X54" s="172"/>
      <c r="Y54" s="172"/>
      <c r="Z54" s="555"/>
      <c r="AA54" s="5211"/>
      <c r="AB54" s="1178"/>
      <c r="AC54" s="1179"/>
      <c r="AD54" s="227" t="s">
        <v>22</v>
      </c>
      <c r="AE54" s="1027" t="str">
        <f t="shared" si="15"/>
        <v>►</v>
      </c>
      <c r="AF54" s="1028" t="str">
        <f t="shared" si="16"/>
        <v/>
      </c>
      <c r="AG54" s="1029" t="str">
        <f t="shared" si="17"/>
        <v/>
      </c>
      <c r="AH54" s="1028" t="str">
        <f t="shared" si="18"/>
        <v/>
      </c>
      <c r="AI54" s="1029" t="str">
        <f t="shared" si="19"/>
        <v/>
      </c>
      <c r="AJ54" s="1029">
        <f t="shared" si="20"/>
        <v>0</v>
      </c>
      <c r="AK54" s="1043" t="str" cm="1">
        <f t="array" ref="AK54">IF(AE54&lt;&gt;"A","",IFERROR((IFERROR(_xlfn.XLOOKUP(TRIM(SUBSTITUTE(U54,CHAR(160)," ")),$BI$15:$BI$62,$BL$15:$BL$62),IFERROR(_xlfn.XLOOKUP(TRIM(SUBSTITUTE(U54,CHAR(160)," ")),$BJ$15:$BJ$62,$BL$15:$BL$62),_xlfn.XLOOKUP(TRIM(SUBSTITUTE(U54,CHAR(160)," ")),$BK$15:$BK$62,$BL$15:$BL$62))))*T54*IF(ISBLANK(Q54),1,Q54)+IFERROR(_xlfn.XLOOKUP("RECHERCHEX",TRIM(L54:AC54),L54:AC54),0),0))</f>
        <v/>
      </c>
      <c r="AL54" s="1030">
        <f t="shared" si="21"/>
        <v>0</v>
      </c>
      <c r="AM54" s="5254" t="str">
        <f t="shared" si="42"/>
        <v/>
      </c>
      <c r="AN54" s="1031">
        <f t="shared" si="23"/>
        <v>0</v>
      </c>
      <c r="AO54" s="1031">
        <f t="shared" si="24"/>
        <v>0</v>
      </c>
      <c r="AP54" s="1032">
        <f t="shared" si="25"/>
        <v>0</v>
      </c>
      <c r="AQ54" s="5255" t="str">
        <f t="shared" si="26"/>
        <v/>
      </c>
      <c r="AR54" s="1056"/>
      <c r="AS54" s="1056"/>
      <c r="AT54" s="1034">
        <f t="shared" si="27"/>
        <v>0</v>
      </c>
      <c r="AU54" s="1035">
        <f t="shared" si="28"/>
        <v>0</v>
      </c>
      <c r="AV54" s="1057" cm="1">
        <f t="array" ref="AV54">IF(AJ54&lt;&gt;1,0,IF(OR(AT54="",N(AT54)&lt;=0.000000001),"",IF(OR(AN54="",N(AN54)&lt;=0.000000001),0,IF(ISNUMBER(AT54),IFERROR(_xlfn.LET(_xlpm.ai_test,TRIM(AI54),_xlpm.r,IFERROR(_xlfn.XLOOKUP(_xlpm.ai_test,$BI$15:$BI$62,ROW($BI$15:$BI$62),0,1),IFERROR(_xlfn.XLOOKUP(_xlpm.ai_test,$BJ$15:$BJ$62,ROW($BJ$15:$BJ$62),0,1),_xlfn.XLOOKUP(_xlpm.ai_test,$BK$15:$BK$62,ROW($BK$15:$BK$62),0,1))),_xlpm.p,_xlpm.r-MIN(ROW($BI$15:$BI$62))+1,_xlpm.f,INDEX($BL$15:$BL$62,_xlpm.p),_xlpm.u,INDEX($BM$15:$BM$62,_xlpm.p),_xlpm.s,INDEX($BO$15:$BO$62,_xlpm.p),_xlpm.q,N(AT54)/_xlpm.f,IF(_xlpm.q&gt;=_xlpm.s,ROUND(_xlpm.q,1)&amp;" "&amp;_xlpm.ai_test&amp;" = "&amp;ROUND(_xlpm.q*_xlpm.f,1)&amp;" "&amp;_xlpm.u,ROUND(_xlpm.q,1)&amp;" "&amp;_xlpm.ai_test)),""),""))))</f>
        <v>0</v>
      </c>
      <c r="AW54" s="1047"/>
      <c r="AX54" s="1034">
        <f t="shared" si="29"/>
        <v>0</v>
      </c>
      <c r="AY54" s="1035" t="str">
        <f t="shared" si="30"/>
        <v/>
      </c>
      <c r="AZ54" s="1036">
        <f t="shared" si="37"/>
        <v>0</v>
      </c>
      <c r="BA54" s="1037" t="str">
        <f t="shared" si="31"/>
        <v/>
      </c>
      <c r="BB54" s="1038"/>
      <c r="BC54" s="1039">
        <f t="shared" si="40"/>
        <v>0</v>
      </c>
      <c r="BD54" s="1040" t="str">
        <f t="shared" si="33"/>
        <v/>
      </c>
      <c r="BE54" s="227" t="s">
        <v>22</v>
      </c>
      <c r="BF54" s="1019">
        <f t="shared" si="34"/>
        <v>0</v>
      </c>
      <c r="BG54" s="1020">
        <f t="shared" si="35"/>
        <v>0</v>
      </c>
      <c r="BH54" s="852"/>
      <c r="BI54" s="5261" t="s">
        <v>1896</v>
      </c>
      <c r="BJ54" s="5261" t="s">
        <v>1896</v>
      </c>
      <c r="BK54" s="5261" t="s">
        <v>1896</v>
      </c>
      <c r="BL54" s="1013">
        <f t="shared" si="41"/>
        <v>0.15</v>
      </c>
      <c r="BM54" s="1051" t="s">
        <v>1814</v>
      </c>
      <c r="BN54" s="1051" t="s">
        <v>1815</v>
      </c>
      <c r="BO54" s="1003">
        <f t="shared" si="39"/>
        <v>7</v>
      </c>
      <c r="BP54" s="1052">
        <v>150</v>
      </c>
      <c r="BQ54" s="852"/>
      <c r="BR54" s="852"/>
      <c r="BS54" s="852"/>
      <c r="BT54" s="852"/>
      <c r="BU54" s="852"/>
      <c r="BV54" s="852"/>
      <c r="BW54" s="959" t="str">
        <f t="shared" si="10"/>
        <v>►</v>
      </c>
      <c r="BX54" s="1064"/>
      <c r="BY54" s="857"/>
      <c r="BZ54" s="857"/>
      <c r="CA54" s="858"/>
      <c r="CB54" s="858"/>
      <c r="CC54" s="957"/>
      <c r="CD54" s="1082" t="s">
        <v>1897</v>
      </c>
      <c r="CE54" s="1080"/>
      <c r="CF54" s="1080"/>
      <c r="CG54" s="1080"/>
      <c r="CH54" s="1080"/>
      <c r="CI54" s="1080"/>
      <c r="CJ54" s="1083" t="s">
        <v>1898</v>
      </c>
      <c r="CL54" s="1082" t="s">
        <v>1899</v>
      </c>
      <c r="CM54" s="1080"/>
      <c r="CN54" s="1080"/>
      <c r="CO54" s="1080"/>
      <c r="CP54" s="1080"/>
      <c r="CQ54" s="1080"/>
      <c r="CR54" s="1083" t="s">
        <v>1900</v>
      </c>
      <c r="CT54" s="1082" t="s">
        <v>1901</v>
      </c>
      <c r="CU54" s="1080"/>
      <c r="CV54" s="1080"/>
      <c r="CW54" s="1080"/>
      <c r="CX54" s="1080"/>
      <c r="CY54" s="1080"/>
      <c r="CZ54" s="1083" t="s">
        <v>1902</v>
      </c>
      <c r="DB54" s="3">
        <v>1</v>
      </c>
    </row>
    <row r="55" spans="1:106" s="709" customFormat="1" ht="21" customHeight="1">
      <c r="A55" s="936" t="s">
        <v>22</v>
      </c>
      <c r="B55" s="952" t="str">
        <f t="shared" si="9"/>
        <v>A</v>
      </c>
      <c r="C55" s="993" cm="1">
        <f t="array" ref="C55">SUMPRODUCT(LEN(D55:J55))</f>
        <v>0</v>
      </c>
      <c r="D55" s="167"/>
      <c r="E55" s="172"/>
      <c r="F55" s="172"/>
      <c r="G55" s="172"/>
      <c r="H55" s="172"/>
      <c r="I55" s="172"/>
      <c r="J55" s="173"/>
      <c r="K55" s="442"/>
      <c r="L55" s="104" t="str">
        <f t="shared" si="44"/>
        <v>A</v>
      </c>
      <c r="M55" s="157" t="str">
        <f>M19</f>
        <v>C Coquetiers de l'Antoine | | Auteur &gt; Guy KRENZE - Eric GODDYN - Arnaud NICOLAS - CEPROC 2002</v>
      </c>
      <c r="N55" s="157">
        <f>N19</f>
        <v>20</v>
      </c>
      <c r="O55" s="158" t="str">
        <f>O19</f>
        <v>coquetiers de 25 g</v>
      </c>
      <c r="P55" s="159" t="str">
        <f>P19</f>
        <v>Recette mère ► le Boudin en 4 déclinaisons</v>
      </c>
      <c r="Q55" s="172" t="s">
        <v>12846</v>
      </c>
      <c r="R55" s="172"/>
      <c r="S55" s="172"/>
      <c r="T55" s="172"/>
      <c r="U55" s="172"/>
      <c r="V55" s="172"/>
      <c r="W55" s="172"/>
      <c r="X55" s="172"/>
      <c r="Y55" s="172"/>
      <c r="Z55" s="555"/>
      <c r="AA55" s="5211"/>
      <c r="AB55" s="1178"/>
      <c r="AC55" s="1179"/>
      <c r="AD55" s="227" t="s">
        <v>22</v>
      </c>
      <c r="AE55" s="1027" t="str">
        <f t="shared" si="15"/>
        <v>►</v>
      </c>
      <c r="AF55" s="1028" t="str">
        <f t="shared" si="16"/>
        <v/>
      </c>
      <c r="AG55" s="1029" t="str">
        <f t="shared" si="17"/>
        <v/>
      </c>
      <c r="AH55" s="1028" t="str">
        <f t="shared" si="18"/>
        <v/>
      </c>
      <c r="AI55" s="1029" t="str">
        <f t="shared" si="19"/>
        <v/>
      </c>
      <c r="AJ55" s="1029">
        <f t="shared" si="20"/>
        <v>0</v>
      </c>
      <c r="AK55" s="1043" t="str" cm="1">
        <f t="array" ref="AK55">IF(AE55&lt;&gt;"A","",IFERROR((IFERROR(_xlfn.XLOOKUP(TRIM(SUBSTITUTE(U55,CHAR(160)," ")),$BI$15:$BI$62,$BL$15:$BL$62),IFERROR(_xlfn.XLOOKUP(TRIM(SUBSTITUTE(U55,CHAR(160)," ")),$BJ$15:$BJ$62,$BL$15:$BL$62),_xlfn.XLOOKUP(TRIM(SUBSTITUTE(U55,CHAR(160)," ")),$BK$15:$BK$62,$BL$15:$BL$62))))*T55*IF(ISBLANK(Q55),1,Q55)+IFERROR(_xlfn.XLOOKUP("RECHERCHEX",TRIM(L55:AC55),L55:AC55),0),0))</f>
        <v/>
      </c>
      <c r="AL55" s="1030">
        <f t="shared" si="21"/>
        <v>0</v>
      </c>
      <c r="AM55" s="5254" t="str">
        <f t="shared" si="42"/>
        <v/>
      </c>
      <c r="AN55" s="1031">
        <f t="shared" si="23"/>
        <v>0</v>
      </c>
      <c r="AO55" s="1031">
        <f t="shared" si="24"/>
        <v>0</v>
      </c>
      <c r="AP55" s="1044">
        <f t="shared" si="25"/>
        <v>0</v>
      </c>
      <c r="AQ55" s="5257" t="str">
        <f t="shared" si="26"/>
        <v/>
      </c>
      <c r="AR55" s="1056"/>
      <c r="AS55" s="1056"/>
      <c r="AT55" s="1045">
        <f t="shared" si="27"/>
        <v>0</v>
      </c>
      <c r="AU55" s="1046">
        <f t="shared" si="28"/>
        <v>0</v>
      </c>
      <c r="AV55" s="1059" cm="1">
        <f t="array" ref="AV55">IF(AJ55&lt;&gt;1,0,IF(OR(AT55="",N(AT55)&lt;=0.000000001),"",IF(OR(AN55="",N(AN55)&lt;=0.000000001),0,IF(ISNUMBER(AT55),IFERROR(_xlfn.LET(_xlpm.ai_test,TRIM(AI55),_xlpm.r,IFERROR(_xlfn.XLOOKUP(_xlpm.ai_test,$BI$15:$BI$62,ROW($BI$15:$BI$62),0,1),IFERROR(_xlfn.XLOOKUP(_xlpm.ai_test,$BJ$15:$BJ$62,ROW($BJ$15:$BJ$62),0,1),_xlfn.XLOOKUP(_xlpm.ai_test,$BK$15:$BK$62,ROW($BK$15:$BK$62),0,1))),_xlpm.p,_xlpm.r-MIN(ROW($BI$15:$BI$62))+1,_xlpm.f,INDEX($BL$15:$BL$62,_xlpm.p),_xlpm.u,INDEX($BM$15:$BM$62,_xlpm.p),_xlpm.s,INDEX($BO$15:$BO$62,_xlpm.p),_xlpm.q,N(AT55)/_xlpm.f,IF(_xlpm.q&gt;=_xlpm.s,ROUND(_xlpm.q,1)&amp;" "&amp;_xlpm.ai_test&amp;" = "&amp;ROUND(_xlpm.q*_xlpm.f,1)&amp;" "&amp;_xlpm.u,ROUND(_xlpm.q,1)&amp;" "&amp;_xlpm.ai_test)),""),""))))</f>
        <v>0</v>
      </c>
      <c r="AW55" s="1047"/>
      <c r="AX55" s="1045">
        <f t="shared" si="29"/>
        <v>0</v>
      </c>
      <c r="AY55" s="1046" t="str">
        <f t="shared" si="30"/>
        <v/>
      </c>
      <c r="AZ55" s="1048">
        <f t="shared" si="37"/>
        <v>0</v>
      </c>
      <c r="BA55" s="1049" t="str">
        <f t="shared" si="31"/>
        <v/>
      </c>
      <c r="BB55" s="1038"/>
      <c r="BC55" s="1050">
        <f t="shared" si="40"/>
        <v>0</v>
      </c>
      <c r="BD55" s="1040" t="str">
        <f t="shared" si="33"/>
        <v/>
      </c>
      <c r="BE55" s="227" t="s">
        <v>22</v>
      </c>
      <c r="BF55" s="1019">
        <f t="shared" si="34"/>
        <v>0</v>
      </c>
      <c r="BG55" s="1020">
        <f t="shared" si="35"/>
        <v>0</v>
      </c>
      <c r="BH55" s="852"/>
      <c r="BI55" s="5261" t="s">
        <v>1903</v>
      </c>
      <c r="BJ55" s="5261" t="s">
        <v>1903</v>
      </c>
      <c r="BK55" s="5261" t="s">
        <v>1904</v>
      </c>
      <c r="BL55" s="1013">
        <f t="shared" si="41"/>
        <v>0.25</v>
      </c>
      <c r="BM55" s="1051" t="s">
        <v>1814</v>
      </c>
      <c r="BN55" s="1051" t="s">
        <v>1815</v>
      </c>
      <c r="BO55" s="1003">
        <f t="shared" si="39"/>
        <v>4</v>
      </c>
      <c r="BP55" s="1052">
        <v>250</v>
      </c>
      <c r="BQ55" s="852"/>
      <c r="BR55" s="852"/>
      <c r="BS55" s="852"/>
      <c r="BT55" s="852"/>
      <c r="BU55" s="852"/>
      <c r="BV55" s="852"/>
      <c r="BW55" s="959" t="str">
        <f t="shared" si="10"/>
        <v>►</v>
      </c>
      <c r="BX55" s="1064"/>
      <c r="BY55" s="857"/>
      <c r="BZ55" s="857"/>
      <c r="CA55" s="858"/>
      <c r="CB55" s="858"/>
      <c r="CC55" s="957"/>
      <c r="CD55" s="1082" t="s">
        <v>1905</v>
      </c>
      <c r="CE55" s="1080"/>
      <c r="CF55" s="1080"/>
      <c r="CG55" s="1080"/>
      <c r="CH55" s="1080"/>
      <c r="CI55" s="1080"/>
      <c r="CJ55" s="1083" t="s">
        <v>1906</v>
      </c>
      <c r="CL55" s="1082" t="s">
        <v>1907</v>
      </c>
      <c r="CM55" s="1080"/>
      <c r="CN55" s="1080"/>
      <c r="CO55" s="1080"/>
      <c r="CP55" s="1080"/>
      <c r="CQ55" s="1080"/>
      <c r="CR55" s="1083" t="s">
        <v>1908</v>
      </c>
      <c r="CT55" s="1082" t="s">
        <v>1909</v>
      </c>
      <c r="CU55" s="1080"/>
      <c r="CV55" s="1080"/>
      <c r="CW55" s="1080"/>
      <c r="CX55" s="1080"/>
      <c r="CY55" s="1080"/>
      <c r="CZ55" s="1083" t="s">
        <v>1910</v>
      </c>
      <c r="DB55" s="3">
        <v>1</v>
      </c>
    </row>
    <row r="56" spans="1:106" s="709" customFormat="1" ht="21" customHeight="1">
      <c r="A56" s="936" t="s">
        <v>22</v>
      </c>
      <c r="B56" s="952" t="str">
        <f t="shared" si="9"/>
        <v>►</v>
      </c>
      <c r="C56" s="993" cm="1">
        <f t="array" ref="C56">SUMPRODUCT(LEN(D56:J56))</f>
        <v>0</v>
      </c>
      <c r="D56" s="167"/>
      <c r="E56" s="172"/>
      <c r="F56" s="172"/>
      <c r="G56" s="172"/>
      <c r="H56" s="172"/>
      <c r="I56" s="172"/>
      <c r="J56" s="173"/>
      <c r="K56" s="442"/>
      <c r="L56" s="196" t="s">
        <v>16</v>
      </c>
      <c r="M56" s="157" t="str">
        <f>M19</f>
        <v>C Coquetiers de l'Antoine | | Auteur &gt; Guy KRENZE - Eric GODDYN - Arnaud NICOLAS - CEPROC 2002</v>
      </c>
      <c r="N56" s="157">
        <f>N19</f>
        <v>20</v>
      </c>
      <c r="O56" s="158" t="str">
        <f>O19</f>
        <v>coquetiers de 25 g</v>
      </c>
      <c r="P56" s="159" t="str">
        <f>P19</f>
        <v>Recette mère ► le Boudin en 4 déclinaisons</v>
      </c>
      <c r="Q56" s="172" t="s">
        <v>12847</v>
      </c>
      <c r="R56" s="172"/>
      <c r="S56" s="172"/>
      <c r="T56" s="172"/>
      <c r="U56" s="172"/>
      <c r="V56" s="172"/>
      <c r="W56" s="172"/>
      <c r="X56" s="172"/>
      <c r="Y56" s="172"/>
      <c r="Z56" s="555"/>
      <c r="AA56" s="5211"/>
      <c r="AB56" s="1178"/>
      <c r="AC56" s="1179"/>
      <c r="AD56" s="227" t="s">
        <v>22</v>
      </c>
      <c r="AE56" s="1027" t="str">
        <f t="shared" si="15"/>
        <v>►</v>
      </c>
      <c r="AF56" s="1028" t="str">
        <f t="shared" si="16"/>
        <v/>
      </c>
      <c r="AG56" s="1029" t="str">
        <f t="shared" si="17"/>
        <v/>
      </c>
      <c r="AH56" s="1028" t="str">
        <f t="shared" si="18"/>
        <v/>
      </c>
      <c r="AI56" s="1029" t="str">
        <f t="shared" si="19"/>
        <v/>
      </c>
      <c r="AJ56" s="1029">
        <f t="shared" si="20"/>
        <v>0</v>
      </c>
      <c r="AK56" s="1043" t="str" cm="1">
        <f t="array" ref="AK56">IF(AE56&lt;&gt;"A","",IFERROR((IFERROR(_xlfn.XLOOKUP(TRIM(SUBSTITUTE(U56,CHAR(160)," ")),$BI$15:$BI$62,$BL$15:$BL$62),IFERROR(_xlfn.XLOOKUP(TRIM(SUBSTITUTE(U56,CHAR(160)," ")),$BJ$15:$BJ$62,$BL$15:$BL$62),_xlfn.XLOOKUP(TRIM(SUBSTITUTE(U56,CHAR(160)," ")),$BK$15:$BK$62,$BL$15:$BL$62))))*T56*IF(ISBLANK(Q56),1,Q56)+IFERROR(_xlfn.XLOOKUP("RECHERCHEX",TRIM(L56:AC56),L56:AC56),0),0))</f>
        <v/>
      </c>
      <c r="AL56" s="1030">
        <f t="shared" si="21"/>
        <v>0</v>
      </c>
      <c r="AM56" s="5254" t="str">
        <f t="shared" si="42"/>
        <v/>
      </c>
      <c r="AN56" s="1031">
        <f t="shared" si="23"/>
        <v>0</v>
      </c>
      <c r="AO56" s="1031">
        <f t="shared" si="24"/>
        <v>0</v>
      </c>
      <c r="AP56" s="1032">
        <f t="shared" si="25"/>
        <v>0</v>
      </c>
      <c r="AQ56" s="5255" t="str">
        <f t="shared" si="26"/>
        <v/>
      </c>
      <c r="AR56" s="1056"/>
      <c r="AS56" s="1056"/>
      <c r="AT56" s="1034">
        <f t="shared" si="27"/>
        <v>0</v>
      </c>
      <c r="AU56" s="1035">
        <f t="shared" si="28"/>
        <v>0</v>
      </c>
      <c r="AV56" s="1057" cm="1">
        <f t="array" ref="AV56">IF(AJ56&lt;&gt;1,0,IF(OR(AT56="",N(AT56)&lt;=0.000000001),"",IF(OR(AN56="",N(AN56)&lt;=0.000000001),0,IF(ISNUMBER(AT56),IFERROR(_xlfn.LET(_xlpm.ai_test,TRIM(AI56),_xlpm.r,IFERROR(_xlfn.XLOOKUP(_xlpm.ai_test,$BI$15:$BI$62,ROW($BI$15:$BI$62),0,1),IFERROR(_xlfn.XLOOKUP(_xlpm.ai_test,$BJ$15:$BJ$62,ROW($BJ$15:$BJ$62),0,1),_xlfn.XLOOKUP(_xlpm.ai_test,$BK$15:$BK$62,ROW($BK$15:$BK$62),0,1))),_xlpm.p,_xlpm.r-MIN(ROW($BI$15:$BI$62))+1,_xlpm.f,INDEX($BL$15:$BL$62,_xlpm.p),_xlpm.u,INDEX($BM$15:$BM$62,_xlpm.p),_xlpm.s,INDEX($BO$15:$BO$62,_xlpm.p),_xlpm.q,N(AT56)/_xlpm.f,IF(_xlpm.q&gt;=_xlpm.s,ROUND(_xlpm.q,1)&amp;" "&amp;_xlpm.ai_test&amp;" = "&amp;ROUND(_xlpm.q*_xlpm.f,1)&amp;" "&amp;_xlpm.u,ROUND(_xlpm.q,1)&amp;" "&amp;_xlpm.ai_test)),""),""))))</f>
        <v>0</v>
      </c>
      <c r="AW56" s="1047"/>
      <c r="AX56" s="1034">
        <f t="shared" si="29"/>
        <v>0</v>
      </c>
      <c r="AY56" s="1035" t="str">
        <f t="shared" si="30"/>
        <v/>
      </c>
      <c r="AZ56" s="1036">
        <f t="shared" si="37"/>
        <v>0</v>
      </c>
      <c r="BA56" s="1037" t="str">
        <f t="shared" si="31"/>
        <v/>
      </c>
      <c r="BB56" s="1038"/>
      <c r="BC56" s="1039">
        <f t="shared" si="40"/>
        <v>0</v>
      </c>
      <c r="BD56" s="1040" t="str">
        <f t="shared" si="33"/>
        <v/>
      </c>
      <c r="BE56" s="227" t="s">
        <v>22</v>
      </c>
      <c r="BF56" s="1019">
        <f t="shared" si="34"/>
        <v>0</v>
      </c>
      <c r="BG56" s="1020">
        <f t="shared" si="35"/>
        <v>0</v>
      </c>
      <c r="BH56" s="852"/>
      <c r="BI56" s="5261" t="s">
        <v>1911</v>
      </c>
      <c r="BJ56" s="5261" t="s">
        <v>1912</v>
      </c>
      <c r="BK56" s="5261" t="s">
        <v>1913</v>
      </c>
      <c r="BL56" s="1013">
        <f t="shared" si="41"/>
        <v>0.23699999999999999</v>
      </c>
      <c r="BM56" s="1051" t="s">
        <v>1814</v>
      </c>
      <c r="BN56" s="1051" t="s">
        <v>1815</v>
      </c>
      <c r="BO56" s="1003">
        <f t="shared" si="39"/>
        <v>4</v>
      </c>
      <c r="BP56" s="1052">
        <v>237</v>
      </c>
      <c r="BQ56" s="852"/>
      <c r="BR56" s="852"/>
      <c r="BS56" s="852"/>
      <c r="BT56" s="852"/>
      <c r="BU56" s="852"/>
      <c r="BV56" s="852"/>
      <c r="BW56" s="959" t="str">
        <f t="shared" si="10"/>
        <v>►</v>
      </c>
      <c r="BX56" s="1064"/>
      <c r="BY56" s="857"/>
      <c r="BZ56" s="857"/>
      <c r="CA56" s="858"/>
      <c r="CB56" s="858"/>
      <c r="CC56" s="957"/>
      <c r="CD56" s="1082" t="s">
        <v>1914</v>
      </c>
      <c r="CE56" s="1080"/>
      <c r="CF56" s="1080"/>
      <c r="CG56" s="1080"/>
      <c r="CH56" s="1080"/>
      <c r="CI56" s="1080"/>
      <c r="CJ56" s="1081"/>
      <c r="CL56" s="1082" t="s">
        <v>1915</v>
      </c>
      <c r="CM56" s="1080"/>
      <c r="CN56" s="1080"/>
      <c r="CO56" s="1080"/>
      <c r="CP56" s="1080"/>
      <c r="CQ56" s="1080"/>
      <c r="CR56" s="1083" t="s">
        <v>1916</v>
      </c>
      <c r="CT56" s="1082" t="s">
        <v>1917</v>
      </c>
      <c r="CU56" s="1080"/>
      <c r="CV56" s="1080"/>
      <c r="CW56" s="1080"/>
      <c r="CX56" s="1080"/>
      <c r="CY56" s="1080"/>
      <c r="CZ56" s="1083"/>
      <c r="DB56" s="3">
        <v>1</v>
      </c>
    </row>
    <row r="57" spans="1:106" s="709" customFormat="1" ht="21" customHeight="1">
      <c r="A57" s="936" t="s">
        <v>22</v>
      </c>
      <c r="B57" s="952" t="str">
        <f t="shared" si="9"/>
        <v>A</v>
      </c>
      <c r="C57" s="993" cm="1">
        <f t="array" ref="C57">SUMPRODUCT(LEN(D57:J57))</f>
        <v>0</v>
      </c>
      <c r="D57" s="167"/>
      <c r="E57" s="172"/>
      <c r="F57" s="172"/>
      <c r="G57" s="172"/>
      <c r="H57" s="172"/>
      <c r="I57" s="172"/>
      <c r="J57" s="173"/>
      <c r="K57" s="442"/>
      <c r="L57" s="196" t="s">
        <v>11</v>
      </c>
      <c r="M57" s="157" t="str">
        <f>M19</f>
        <v>C Coquetiers de l'Antoine | | Auteur &gt; Guy KRENZE - Eric GODDYN - Arnaud NICOLAS - CEPROC 2002</v>
      </c>
      <c r="N57" s="157">
        <f>N19</f>
        <v>20</v>
      </c>
      <c r="O57" s="158" t="str">
        <f>O19</f>
        <v>coquetiers de 25 g</v>
      </c>
      <c r="P57" s="159" t="str">
        <f>P19</f>
        <v>Recette mère ► le Boudin en 4 déclinaisons</v>
      </c>
      <c r="Q57" s="172"/>
      <c r="R57" s="172"/>
      <c r="S57" s="172"/>
      <c r="T57" s="172"/>
      <c r="U57" s="172"/>
      <c r="V57" s="172"/>
      <c r="W57" s="172"/>
      <c r="X57" s="172"/>
      <c r="Y57" s="172"/>
      <c r="Z57" s="555"/>
      <c r="AA57" s="5211"/>
      <c r="AB57" s="1178"/>
      <c r="AC57" s="1179"/>
      <c r="AD57" s="227" t="s">
        <v>22</v>
      </c>
      <c r="AE57" s="1027" t="str">
        <f t="shared" si="15"/>
        <v>►</v>
      </c>
      <c r="AF57" s="1028" t="str">
        <f t="shared" si="16"/>
        <v/>
      </c>
      <c r="AG57" s="1029" t="str">
        <f t="shared" si="17"/>
        <v/>
      </c>
      <c r="AH57" s="1028" t="str">
        <f t="shared" si="18"/>
        <v/>
      </c>
      <c r="AI57" s="1029" t="str">
        <f t="shared" si="19"/>
        <v/>
      </c>
      <c r="AJ57" s="1029">
        <f t="shared" si="20"/>
        <v>0</v>
      </c>
      <c r="AK57" s="1043" t="str" cm="1">
        <f t="array" ref="AK57">IF(AE57&lt;&gt;"A","",IFERROR((IFERROR(_xlfn.XLOOKUP(TRIM(SUBSTITUTE(U57,CHAR(160)," ")),$BI$15:$BI$62,$BL$15:$BL$62),IFERROR(_xlfn.XLOOKUP(TRIM(SUBSTITUTE(U57,CHAR(160)," ")),$BJ$15:$BJ$62,$BL$15:$BL$62),_xlfn.XLOOKUP(TRIM(SUBSTITUTE(U57,CHAR(160)," ")),$BK$15:$BK$62,$BL$15:$BL$62))))*T57*IF(ISBLANK(Q57),1,Q57)+IFERROR(_xlfn.XLOOKUP("RECHERCHEX",TRIM(L57:AC57),L57:AC57),0),0))</f>
        <v/>
      </c>
      <c r="AL57" s="1030">
        <f t="shared" si="21"/>
        <v>0</v>
      </c>
      <c r="AM57" s="5254" t="str">
        <f t="shared" si="42"/>
        <v/>
      </c>
      <c r="AN57" s="1031">
        <f t="shared" si="23"/>
        <v>0</v>
      </c>
      <c r="AO57" s="1031">
        <f t="shared" si="24"/>
        <v>0</v>
      </c>
      <c r="AP57" s="1044">
        <f t="shared" si="25"/>
        <v>0</v>
      </c>
      <c r="AQ57" s="5257" t="str">
        <f t="shared" si="26"/>
        <v/>
      </c>
      <c r="AR57" s="1056"/>
      <c r="AS57" s="1056"/>
      <c r="AT57" s="1045">
        <f t="shared" si="27"/>
        <v>0</v>
      </c>
      <c r="AU57" s="1046">
        <f t="shared" si="28"/>
        <v>0</v>
      </c>
      <c r="AV57" s="1059" cm="1">
        <f t="array" ref="AV57">IF(AJ57&lt;&gt;1,0,IF(OR(AT57="",N(AT57)&lt;=0.000000001),"",IF(OR(AN57="",N(AN57)&lt;=0.000000001),0,IF(ISNUMBER(AT57),IFERROR(_xlfn.LET(_xlpm.ai_test,TRIM(AI57),_xlpm.r,IFERROR(_xlfn.XLOOKUP(_xlpm.ai_test,$BI$15:$BI$62,ROW($BI$15:$BI$62),0,1),IFERROR(_xlfn.XLOOKUP(_xlpm.ai_test,$BJ$15:$BJ$62,ROW($BJ$15:$BJ$62),0,1),_xlfn.XLOOKUP(_xlpm.ai_test,$BK$15:$BK$62,ROW($BK$15:$BK$62),0,1))),_xlpm.p,_xlpm.r-MIN(ROW($BI$15:$BI$62))+1,_xlpm.f,INDEX($BL$15:$BL$62,_xlpm.p),_xlpm.u,INDEX($BM$15:$BM$62,_xlpm.p),_xlpm.s,INDEX($BO$15:$BO$62,_xlpm.p),_xlpm.q,N(AT57)/_xlpm.f,IF(_xlpm.q&gt;=_xlpm.s,ROUND(_xlpm.q,1)&amp;" "&amp;_xlpm.ai_test&amp;" = "&amp;ROUND(_xlpm.q*_xlpm.f,1)&amp;" "&amp;_xlpm.u,ROUND(_xlpm.q,1)&amp;" "&amp;_xlpm.ai_test)),""),""))))</f>
        <v>0</v>
      </c>
      <c r="AW57" s="1047"/>
      <c r="AX57" s="1045">
        <f t="shared" si="29"/>
        <v>0</v>
      </c>
      <c r="AY57" s="1046" t="str">
        <f t="shared" si="30"/>
        <v/>
      </c>
      <c r="AZ57" s="1048">
        <f t="shared" si="37"/>
        <v>0</v>
      </c>
      <c r="BA57" s="1049" t="str">
        <f t="shared" si="31"/>
        <v/>
      </c>
      <c r="BB57" s="1038"/>
      <c r="BC57" s="1050">
        <f t="shared" si="40"/>
        <v>0</v>
      </c>
      <c r="BD57" s="1040" t="str">
        <f t="shared" si="33"/>
        <v/>
      </c>
      <c r="BE57" s="227" t="s">
        <v>22</v>
      </c>
      <c r="BF57" s="1019">
        <f t="shared" si="34"/>
        <v>0</v>
      </c>
      <c r="BG57" s="1020">
        <f t="shared" si="35"/>
        <v>0</v>
      </c>
      <c r="BH57" s="852"/>
      <c r="BI57" s="5261" t="s">
        <v>1918</v>
      </c>
      <c r="BJ57" s="5261" t="s">
        <v>1918</v>
      </c>
      <c r="BK57" s="5261" t="s">
        <v>1919</v>
      </c>
      <c r="BL57" s="1013">
        <f t="shared" si="41"/>
        <v>0.47299999999999998</v>
      </c>
      <c r="BM57" s="1051" t="s">
        <v>1814</v>
      </c>
      <c r="BN57" s="1051" t="s">
        <v>1815</v>
      </c>
      <c r="BO57" s="1003">
        <f t="shared" si="39"/>
        <v>2</v>
      </c>
      <c r="BP57" s="1052">
        <v>473</v>
      </c>
      <c r="BQ57"/>
      <c r="BR57"/>
      <c r="BS57"/>
      <c r="BT57"/>
      <c r="BU57"/>
      <c r="BV57"/>
      <c r="BW57" s="959" t="str">
        <f t="shared" si="10"/>
        <v>►</v>
      </c>
      <c r="BX57" s="1064"/>
      <c r="BY57" s="857"/>
      <c r="BZ57" s="857"/>
      <c r="CA57" s="858"/>
      <c r="CB57" s="858"/>
      <c r="CC57" s="957"/>
      <c r="CD57" s="867"/>
      <c r="CE57" s="116"/>
      <c r="CF57" s="116"/>
      <c r="CG57" s="116"/>
      <c r="CH57" s="116"/>
      <c r="CI57" s="116"/>
      <c r="CJ57" s="866"/>
      <c r="CL57" s="867"/>
      <c r="CM57" s="116"/>
      <c r="CN57" s="116"/>
      <c r="CO57" s="116"/>
      <c r="CP57" s="116"/>
      <c r="CQ57" s="116"/>
      <c r="CR57" s="866"/>
      <c r="CT57" s="867"/>
      <c r="CU57" s="116"/>
      <c r="CV57" s="116"/>
      <c r="CW57" s="116"/>
      <c r="CX57" s="116"/>
      <c r="CY57" s="116"/>
      <c r="CZ57" s="1084" t="s">
        <v>1920</v>
      </c>
      <c r="DB57" s="3">
        <v>1</v>
      </c>
    </row>
    <row r="58" spans="1:106" s="709" customFormat="1" ht="21" customHeight="1">
      <c r="A58" s="936" t="s">
        <v>22</v>
      </c>
      <c r="B58" s="952" t="str">
        <f t="shared" si="9"/>
        <v>A</v>
      </c>
      <c r="C58" s="993" cm="1">
        <f t="array" ref="C58">SUMPRODUCT(LEN(D58:J58))</f>
        <v>0</v>
      </c>
      <c r="D58" s="167"/>
      <c r="E58" s="172"/>
      <c r="F58" s="172"/>
      <c r="G58" s="172"/>
      <c r="H58" s="172"/>
      <c r="I58" s="172"/>
      <c r="J58" s="173"/>
      <c r="K58" s="442"/>
      <c r="L58" s="196" t="s">
        <v>11</v>
      </c>
      <c r="M58" s="157" t="str">
        <f>M19</f>
        <v>C Coquetiers de l'Antoine | | Auteur &gt; Guy KRENZE - Eric GODDYN - Arnaud NICOLAS - CEPROC 2002</v>
      </c>
      <c r="N58" s="157">
        <f>N19</f>
        <v>20</v>
      </c>
      <c r="O58" s="158" t="str">
        <f>O19</f>
        <v>coquetiers de 25 g</v>
      </c>
      <c r="P58" s="159" t="str">
        <f>P19</f>
        <v>Recette mère ► le Boudin en 4 déclinaisons</v>
      </c>
      <c r="Q58" s="172"/>
      <c r="R58" s="172"/>
      <c r="S58" s="172"/>
      <c r="T58" s="172"/>
      <c r="U58" s="172"/>
      <c r="V58" s="172"/>
      <c r="W58" s="172"/>
      <c r="X58" s="172"/>
      <c r="Y58" s="172"/>
      <c r="Z58" s="1486" t="s">
        <v>197</v>
      </c>
      <c r="AA58" s="5211"/>
      <c r="AB58" s="1178"/>
      <c r="AC58" s="1179"/>
      <c r="AD58" s="227" t="s">
        <v>22</v>
      </c>
      <c r="AE58" s="1027" t="str">
        <f t="shared" si="15"/>
        <v>►</v>
      </c>
      <c r="AF58" s="1028" t="str">
        <f t="shared" si="16"/>
        <v/>
      </c>
      <c r="AG58" s="1029" t="str">
        <f t="shared" si="17"/>
        <v/>
      </c>
      <c r="AH58" s="1028" t="str">
        <f t="shared" si="18"/>
        <v/>
      </c>
      <c r="AI58" s="1029" t="str">
        <f t="shared" si="19"/>
        <v/>
      </c>
      <c r="AJ58" s="1029">
        <f t="shared" si="20"/>
        <v>0</v>
      </c>
      <c r="AK58" s="1043" t="str" cm="1">
        <f t="array" ref="AK58">IF(AE58&lt;&gt;"A","",IFERROR((IFERROR(_xlfn.XLOOKUP(TRIM(SUBSTITUTE(U58,CHAR(160)," ")),$BI$15:$BI$62,$BL$15:$BL$62),IFERROR(_xlfn.XLOOKUP(TRIM(SUBSTITUTE(U58,CHAR(160)," ")),$BJ$15:$BJ$62,$BL$15:$BL$62),_xlfn.XLOOKUP(TRIM(SUBSTITUTE(U58,CHAR(160)," ")),$BK$15:$BK$62,$BL$15:$BL$62))))*T58*IF(ISBLANK(Q58),1,Q58)+IFERROR(_xlfn.XLOOKUP("RECHERCHEX",TRIM(L58:AC58),L58:AC58),0),0))</f>
        <v/>
      </c>
      <c r="AL58" s="1030">
        <f t="shared" si="21"/>
        <v>0</v>
      </c>
      <c r="AM58" s="5254" t="str">
        <f t="shared" si="42"/>
        <v/>
      </c>
      <c r="AN58" s="1031">
        <f t="shared" si="23"/>
        <v>0</v>
      </c>
      <c r="AO58" s="1031">
        <f t="shared" si="24"/>
        <v>0</v>
      </c>
      <c r="AP58" s="1032">
        <f t="shared" si="25"/>
        <v>0</v>
      </c>
      <c r="AQ58" s="5255" t="str">
        <f t="shared" si="26"/>
        <v/>
      </c>
      <c r="AR58" s="1056"/>
      <c r="AS58" s="1056"/>
      <c r="AT58" s="1034">
        <f t="shared" si="27"/>
        <v>0</v>
      </c>
      <c r="AU58" s="1035">
        <f t="shared" si="28"/>
        <v>0</v>
      </c>
      <c r="AV58" s="1057" cm="1">
        <f t="array" ref="AV58">IF(AJ58&lt;&gt;1,0,IF(OR(AT58="",N(AT58)&lt;=0.000000001),"",IF(OR(AN58="",N(AN58)&lt;=0.000000001),0,IF(ISNUMBER(AT58),IFERROR(_xlfn.LET(_xlpm.ai_test,TRIM(AI58),_xlpm.r,IFERROR(_xlfn.XLOOKUP(_xlpm.ai_test,$BI$15:$BI$62,ROW($BI$15:$BI$62),0,1),IFERROR(_xlfn.XLOOKUP(_xlpm.ai_test,$BJ$15:$BJ$62,ROW($BJ$15:$BJ$62),0,1),_xlfn.XLOOKUP(_xlpm.ai_test,$BK$15:$BK$62,ROW($BK$15:$BK$62),0,1))),_xlpm.p,_xlpm.r-MIN(ROW($BI$15:$BI$62))+1,_xlpm.f,INDEX($BL$15:$BL$62,_xlpm.p),_xlpm.u,INDEX($BM$15:$BM$62,_xlpm.p),_xlpm.s,INDEX($BO$15:$BO$62,_xlpm.p),_xlpm.q,N(AT58)/_xlpm.f,IF(_xlpm.q&gt;=_xlpm.s,ROUND(_xlpm.q,1)&amp;" "&amp;_xlpm.ai_test&amp;" = "&amp;ROUND(_xlpm.q*_xlpm.f,1)&amp;" "&amp;_xlpm.u,ROUND(_xlpm.q,1)&amp;" "&amp;_xlpm.ai_test)),""),""))))</f>
        <v>0</v>
      </c>
      <c r="AW58" s="1047"/>
      <c r="AX58" s="1034">
        <f t="shared" si="29"/>
        <v>0</v>
      </c>
      <c r="AY58" s="1035" t="str">
        <f t="shared" si="30"/>
        <v/>
      </c>
      <c r="AZ58" s="1036">
        <f t="shared" si="37"/>
        <v>0</v>
      </c>
      <c r="BA58" s="1037" t="str">
        <f t="shared" si="31"/>
        <v/>
      </c>
      <c r="BB58" s="1038"/>
      <c r="BC58" s="1039">
        <f t="shared" si="40"/>
        <v>0</v>
      </c>
      <c r="BD58" s="1040" t="str">
        <f t="shared" si="33"/>
        <v/>
      </c>
      <c r="BE58" s="227" t="s">
        <v>22</v>
      </c>
      <c r="BF58" s="1019">
        <f t="shared" si="34"/>
        <v>0</v>
      </c>
      <c r="BG58" s="1020">
        <f t="shared" si="35"/>
        <v>0</v>
      </c>
      <c r="BH58" s="852"/>
      <c r="BI58" s="5261" t="s">
        <v>1921</v>
      </c>
      <c r="BJ58" s="5261" t="s">
        <v>1922</v>
      </c>
      <c r="BK58" s="5261" t="s">
        <v>1923</v>
      </c>
      <c r="BL58" s="1013">
        <f t="shared" si="41"/>
        <v>0.47299999999999998</v>
      </c>
      <c r="BM58" s="1051" t="s">
        <v>1814</v>
      </c>
      <c r="BN58" s="1051" t="s">
        <v>1815</v>
      </c>
      <c r="BO58" s="1003">
        <f t="shared" si="39"/>
        <v>2</v>
      </c>
      <c r="BP58" s="1052">
        <v>473</v>
      </c>
      <c r="BQ58"/>
      <c r="BR58"/>
      <c r="BS58"/>
      <c r="BT58"/>
      <c r="BU58"/>
      <c r="BV58"/>
      <c r="BW58" s="959" t="str">
        <f t="shared" si="10"/>
        <v>►</v>
      </c>
      <c r="BX58" s="5545" t="s">
        <v>1924</v>
      </c>
      <c r="BY58" s="5545"/>
      <c r="BZ58" s="5545"/>
      <c r="CA58" s="5545"/>
      <c r="CB58" s="5545"/>
      <c r="CC58" s="957"/>
      <c r="CD58" s="1085" t="s">
        <v>873</v>
      </c>
      <c r="CE58" s="1086"/>
      <c r="CF58" s="1086"/>
      <c r="CG58" s="1086"/>
      <c r="CH58" s="1086"/>
      <c r="CI58" s="1086"/>
      <c r="CJ58" s="1087"/>
      <c r="CL58" s="1085" t="s">
        <v>873</v>
      </c>
      <c r="CM58" s="1086"/>
      <c r="CN58" s="1086"/>
      <c r="CO58" s="1086"/>
      <c r="CP58" s="1086"/>
      <c r="CQ58" s="1086"/>
      <c r="CR58" s="1087"/>
      <c r="CT58" s="1085" t="s">
        <v>873</v>
      </c>
      <c r="CU58" s="1086"/>
      <c r="CV58" s="1086"/>
      <c r="CW58" s="1086"/>
      <c r="CX58" s="1086"/>
      <c r="CY58" s="1086"/>
      <c r="CZ58" s="1087"/>
      <c r="DB58" s="3">
        <v>1</v>
      </c>
    </row>
    <row r="59" spans="1:106" s="709" customFormat="1" ht="21" customHeight="1">
      <c r="A59" s="936" t="s">
        <v>22</v>
      </c>
      <c r="B59" s="952" t="str">
        <f t="shared" si="9"/>
        <v>A</v>
      </c>
      <c r="C59" s="993" cm="1">
        <f t="array" ref="C59">SUMPRODUCT(LEN(D59:J59))</f>
        <v>0</v>
      </c>
      <c r="D59" s="167"/>
      <c r="E59" s="172"/>
      <c r="F59" s="172"/>
      <c r="G59" s="172"/>
      <c r="H59" s="172"/>
      <c r="I59" s="172"/>
      <c r="J59" s="173"/>
      <c r="K59" s="442" t="s">
        <v>22</v>
      </c>
      <c r="L59" s="196" t="s">
        <v>11</v>
      </c>
      <c r="M59" s="157" t="str">
        <f>M19</f>
        <v>C Coquetiers de l'Antoine | | Auteur &gt; Guy KRENZE - Eric GODDYN - Arnaud NICOLAS - CEPROC 2002</v>
      </c>
      <c r="N59" s="157">
        <f>N19</f>
        <v>20</v>
      </c>
      <c r="O59" s="158" t="str">
        <f>O19</f>
        <v>coquetiers de 25 g</v>
      </c>
      <c r="P59" s="159" t="str">
        <f>P19</f>
        <v>Recette mère ► le Boudin en 4 déclinaisons</v>
      </c>
      <c r="Q59" s="204"/>
      <c r="R59" s="204"/>
      <c r="S59" s="204" t="s">
        <v>201</v>
      </c>
      <c r="T59" s="205"/>
      <c r="U59" s="206"/>
      <c r="V59" s="206"/>
      <c r="W59" s="206"/>
      <c r="X59" s="206"/>
      <c r="Y59" s="206"/>
      <c r="Z59" s="567"/>
      <c r="AA59" s="5211"/>
      <c r="AB59" s="1178"/>
      <c r="AC59" s="1179"/>
      <c r="AD59" s="227" t="s">
        <v>22</v>
      </c>
      <c r="AE59" s="1027" t="str">
        <f t="shared" si="15"/>
        <v>►</v>
      </c>
      <c r="AF59" s="1028" t="str">
        <f t="shared" si="16"/>
        <v/>
      </c>
      <c r="AG59" s="1029" t="str">
        <f t="shared" si="17"/>
        <v/>
      </c>
      <c r="AH59" s="1028" t="str">
        <f t="shared" si="18"/>
        <v/>
      </c>
      <c r="AI59" s="1029" t="str">
        <f t="shared" si="19"/>
        <v/>
      </c>
      <c r="AJ59" s="1029">
        <f t="shared" si="20"/>
        <v>0</v>
      </c>
      <c r="AK59" s="1043" t="str" cm="1">
        <f t="array" ref="AK59">IF(AE59&lt;&gt;"A","",IFERROR((IFERROR(_xlfn.XLOOKUP(TRIM(SUBSTITUTE(U59,CHAR(160)," ")),$BI$15:$BI$62,$BL$15:$BL$62),IFERROR(_xlfn.XLOOKUP(TRIM(SUBSTITUTE(U59,CHAR(160)," ")),$BJ$15:$BJ$62,$BL$15:$BL$62),_xlfn.XLOOKUP(TRIM(SUBSTITUTE(U59,CHAR(160)," ")),$BK$15:$BK$62,$BL$15:$BL$62))))*T59*IF(ISBLANK(Q59),1,Q59)+IFERROR(_xlfn.XLOOKUP("RECHERCHEX",TRIM(L59:AC59),L59:AC59),0),0))</f>
        <v/>
      </c>
      <c r="AL59" s="1030">
        <f t="shared" si="21"/>
        <v>0</v>
      </c>
      <c r="AM59" s="5254" t="str">
        <f t="shared" si="42"/>
        <v/>
      </c>
      <c r="AN59" s="1031">
        <f t="shared" si="23"/>
        <v>0</v>
      </c>
      <c r="AO59" s="1031">
        <f t="shared" si="24"/>
        <v>0</v>
      </c>
      <c r="AP59" s="1044">
        <f t="shared" si="25"/>
        <v>0</v>
      </c>
      <c r="AQ59" s="5257" t="str">
        <f t="shared" si="26"/>
        <v/>
      </c>
      <c r="AR59" s="1056"/>
      <c r="AS59" s="1056"/>
      <c r="AT59" s="1045">
        <f t="shared" si="27"/>
        <v>0</v>
      </c>
      <c r="AU59" s="1046">
        <f t="shared" si="28"/>
        <v>0</v>
      </c>
      <c r="AV59" s="1059" cm="1">
        <f t="array" ref="AV59">IF(AJ59&lt;&gt;1,0,IF(OR(AT59="",N(AT59)&lt;=0.000000001),"",IF(OR(AN59="",N(AN59)&lt;=0.000000001),0,IF(ISNUMBER(AT59),IFERROR(_xlfn.LET(_xlpm.ai_test,TRIM(AI59),_xlpm.r,IFERROR(_xlfn.XLOOKUP(_xlpm.ai_test,$BI$15:$BI$62,ROW($BI$15:$BI$62),0,1),IFERROR(_xlfn.XLOOKUP(_xlpm.ai_test,$BJ$15:$BJ$62,ROW($BJ$15:$BJ$62),0,1),_xlfn.XLOOKUP(_xlpm.ai_test,$BK$15:$BK$62,ROW($BK$15:$BK$62),0,1))),_xlpm.p,_xlpm.r-MIN(ROW($BI$15:$BI$62))+1,_xlpm.f,INDEX($BL$15:$BL$62,_xlpm.p),_xlpm.u,INDEX($BM$15:$BM$62,_xlpm.p),_xlpm.s,INDEX($BO$15:$BO$62,_xlpm.p),_xlpm.q,N(AT59)/_xlpm.f,IF(_xlpm.q&gt;=_xlpm.s,ROUND(_xlpm.q,1)&amp;" "&amp;_xlpm.ai_test&amp;" = "&amp;ROUND(_xlpm.q*_xlpm.f,1)&amp;" "&amp;_xlpm.u,ROUND(_xlpm.q,1)&amp;" "&amp;_xlpm.ai_test)),""),""))))</f>
        <v>0</v>
      </c>
      <c r="AW59" s="1047"/>
      <c r="AX59" s="1045">
        <f t="shared" si="29"/>
        <v>0</v>
      </c>
      <c r="AY59" s="1046" t="str">
        <f t="shared" si="30"/>
        <v/>
      </c>
      <c r="AZ59" s="1048">
        <f t="shared" si="37"/>
        <v>0</v>
      </c>
      <c r="BA59" s="1049" t="str">
        <f t="shared" si="31"/>
        <v/>
      </c>
      <c r="BB59" s="1038"/>
      <c r="BC59" s="1050">
        <f t="shared" si="40"/>
        <v>0</v>
      </c>
      <c r="BD59" s="1040" t="str">
        <f t="shared" si="33"/>
        <v/>
      </c>
      <c r="BE59" s="227" t="s">
        <v>22</v>
      </c>
      <c r="BF59" s="1019">
        <f t="shared" si="34"/>
        <v>0</v>
      </c>
      <c r="BG59" s="1020">
        <f t="shared" si="35"/>
        <v>0</v>
      </c>
      <c r="BH59" s="852"/>
      <c r="BI59" s="5261" t="s">
        <v>1925</v>
      </c>
      <c r="BJ59" s="5261" t="s">
        <v>1926</v>
      </c>
      <c r="BK59" s="5261" t="s">
        <v>1927</v>
      </c>
      <c r="BL59" s="1013">
        <f t="shared" si="41"/>
        <v>0.56799999999999995</v>
      </c>
      <c r="BM59" s="1051" t="s">
        <v>1814</v>
      </c>
      <c r="BN59" s="1051" t="s">
        <v>1815</v>
      </c>
      <c r="BO59" s="1003">
        <f t="shared" si="39"/>
        <v>2</v>
      </c>
      <c r="BP59" s="1052">
        <v>568</v>
      </c>
      <c r="BQ59"/>
      <c r="BR59"/>
      <c r="BS59"/>
      <c r="BT59"/>
      <c r="BU59"/>
      <c r="BV59"/>
      <c r="BW59" s="959" t="str">
        <f t="shared" si="10"/>
        <v>►</v>
      </c>
      <c r="BX59" s="5545"/>
      <c r="BY59" s="5545"/>
      <c r="BZ59" s="5545"/>
      <c r="CA59" s="5545"/>
      <c r="CB59" s="5545"/>
      <c r="CC59" s="957"/>
      <c r="CD59" s="5546" t="s">
        <v>1928</v>
      </c>
      <c r="CE59" s="5547"/>
      <c r="CF59" s="5547"/>
      <c r="CG59" s="5547"/>
      <c r="CH59" s="5547"/>
      <c r="CI59" s="5547"/>
      <c r="CJ59" s="5548"/>
      <c r="CL59" s="5546" t="s">
        <v>1929</v>
      </c>
      <c r="CM59" s="5547"/>
      <c r="CN59" s="5547"/>
      <c r="CO59" s="5547"/>
      <c r="CP59" s="5547"/>
      <c r="CQ59" s="5547"/>
      <c r="CR59" s="5548"/>
      <c r="CT59" s="5546" t="s">
        <v>1930</v>
      </c>
      <c r="CU59" s="5547"/>
      <c r="CV59" s="5547"/>
      <c r="CW59" s="5547"/>
      <c r="CX59" s="5547"/>
      <c r="CY59" s="5547"/>
      <c r="CZ59" s="5548"/>
      <c r="DB59" s="3">
        <v>1</v>
      </c>
    </row>
    <row r="60" spans="1:106" s="709" customFormat="1" ht="21" customHeight="1">
      <c r="A60" s="936" t="s">
        <v>22</v>
      </c>
      <c r="B60" s="952" t="str">
        <f t="shared" si="9"/>
        <v>A</v>
      </c>
      <c r="C60" s="993" cm="1">
        <f t="array" ref="C60">SUMPRODUCT(LEN(D60:J60))</f>
        <v>0</v>
      </c>
      <c r="D60" s="167"/>
      <c r="E60" s="172"/>
      <c r="F60" s="172"/>
      <c r="G60" s="172"/>
      <c r="H60" s="172"/>
      <c r="I60" s="172"/>
      <c r="J60" s="173"/>
      <c r="K60" s="442" t="s">
        <v>22</v>
      </c>
      <c r="L60" s="196" t="s">
        <v>11</v>
      </c>
      <c r="M60" s="209" t="str">
        <f>M19</f>
        <v>C Coquetiers de l'Antoine | | Auteur &gt; Guy KRENZE - Eric GODDYN - Arnaud NICOLAS - CEPROC 2002</v>
      </c>
      <c r="N60" s="209">
        <f>N19</f>
        <v>20</v>
      </c>
      <c r="O60" s="210" t="str">
        <f>O19</f>
        <v>coquetiers de 25 g</v>
      </c>
      <c r="P60" s="211" t="str">
        <f>P19</f>
        <v>Recette mère ► le Boudin en 4 déclinaisons</v>
      </c>
      <c r="Q60" s="212"/>
      <c r="R60" s="213"/>
      <c r="S60" s="214"/>
      <c r="T60" s="215"/>
      <c r="U60" s="214"/>
      <c r="V60" s="214"/>
      <c r="W60" s="214"/>
      <c r="X60" s="214"/>
      <c r="Y60" s="214"/>
      <c r="Z60" s="582"/>
      <c r="AA60" s="5211"/>
      <c r="AB60" s="1178"/>
      <c r="AC60" s="1179"/>
      <c r="AD60" s="227" t="s">
        <v>22</v>
      </c>
      <c r="AE60" s="1027" t="str">
        <f t="shared" si="15"/>
        <v>►</v>
      </c>
      <c r="AF60" s="1028" t="str">
        <f t="shared" si="16"/>
        <v/>
      </c>
      <c r="AG60" s="1029" t="str">
        <f t="shared" si="17"/>
        <v/>
      </c>
      <c r="AH60" s="1028" t="str">
        <f t="shared" si="18"/>
        <v/>
      </c>
      <c r="AI60" s="1029" t="str">
        <f t="shared" si="19"/>
        <v/>
      </c>
      <c r="AJ60" s="1029">
        <f t="shared" si="20"/>
        <v>0</v>
      </c>
      <c r="AK60" s="1043" t="str" cm="1">
        <f t="array" ref="AK60">IF(AE60&lt;&gt;"A","",IFERROR((IFERROR(_xlfn.XLOOKUP(TRIM(SUBSTITUTE(U60,CHAR(160)," ")),$BI$15:$BI$62,$BL$15:$BL$62),IFERROR(_xlfn.XLOOKUP(TRIM(SUBSTITUTE(U60,CHAR(160)," ")),$BJ$15:$BJ$62,$BL$15:$BL$62),_xlfn.XLOOKUP(TRIM(SUBSTITUTE(U60,CHAR(160)," ")),$BK$15:$BK$62,$BL$15:$BL$62))))*T60*IF(ISBLANK(Q60),1,Q60)+IFERROR(_xlfn.XLOOKUP("RECHERCHEX",TRIM(L60:AC60),L60:AC60),0),0))</f>
        <v/>
      </c>
      <c r="AL60" s="1030">
        <f t="shared" si="21"/>
        <v>0</v>
      </c>
      <c r="AM60" s="5254" t="str">
        <f t="shared" si="42"/>
        <v/>
      </c>
      <c r="AN60" s="1031">
        <f t="shared" si="23"/>
        <v>0</v>
      </c>
      <c r="AO60" s="1031">
        <f t="shared" si="24"/>
        <v>0</v>
      </c>
      <c r="AP60" s="1032">
        <f t="shared" si="25"/>
        <v>0</v>
      </c>
      <c r="AQ60" s="5255" t="str">
        <f t="shared" si="26"/>
        <v/>
      </c>
      <c r="AR60" s="1056"/>
      <c r="AS60" s="1056"/>
      <c r="AT60" s="1034">
        <f t="shared" si="27"/>
        <v>0</v>
      </c>
      <c r="AU60" s="1035">
        <f t="shared" si="28"/>
        <v>0</v>
      </c>
      <c r="AV60" s="1057" cm="1">
        <f t="array" ref="AV60">IF(AJ60&lt;&gt;1,0,IF(OR(AT60="",N(AT60)&lt;=0.000000001),"",IF(OR(AN60="",N(AN60)&lt;=0.000000001),0,IF(ISNUMBER(AT60),IFERROR(_xlfn.LET(_xlpm.ai_test,TRIM(AI60),_xlpm.r,IFERROR(_xlfn.XLOOKUP(_xlpm.ai_test,$BI$15:$BI$62,ROW($BI$15:$BI$62),0,1),IFERROR(_xlfn.XLOOKUP(_xlpm.ai_test,$BJ$15:$BJ$62,ROW($BJ$15:$BJ$62),0,1),_xlfn.XLOOKUP(_xlpm.ai_test,$BK$15:$BK$62,ROW($BK$15:$BK$62),0,1))),_xlpm.p,_xlpm.r-MIN(ROW($BI$15:$BI$62))+1,_xlpm.f,INDEX($BL$15:$BL$62,_xlpm.p),_xlpm.u,INDEX($BM$15:$BM$62,_xlpm.p),_xlpm.s,INDEX($BO$15:$BO$62,_xlpm.p),_xlpm.q,N(AT60)/_xlpm.f,IF(_xlpm.q&gt;=_xlpm.s,ROUND(_xlpm.q,1)&amp;" "&amp;_xlpm.ai_test&amp;" = "&amp;ROUND(_xlpm.q*_xlpm.f,1)&amp;" "&amp;_xlpm.u,ROUND(_xlpm.q,1)&amp;" "&amp;_xlpm.ai_test)),""),""))))</f>
        <v>0</v>
      </c>
      <c r="AW60" s="1047"/>
      <c r="AX60" s="1034">
        <f t="shared" si="29"/>
        <v>0</v>
      </c>
      <c r="AY60" s="1035" t="str">
        <f t="shared" si="30"/>
        <v/>
      </c>
      <c r="AZ60" s="1036">
        <f t="shared" si="37"/>
        <v>0</v>
      </c>
      <c r="BA60" s="1037" t="str">
        <f t="shared" si="31"/>
        <v/>
      </c>
      <c r="BB60" s="1038"/>
      <c r="BC60" s="1039">
        <f t="shared" si="40"/>
        <v>0</v>
      </c>
      <c r="BD60" s="1040" t="str">
        <f t="shared" si="33"/>
        <v/>
      </c>
      <c r="BE60" s="227" t="s">
        <v>22</v>
      </c>
      <c r="BF60" s="1019">
        <f t="shared" si="34"/>
        <v>0</v>
      </c>
      <c r="BG60" s="1020">
        <f t="shared" si="35"/>
        <v>0</v>
      </c>
      <c r="BH60" s="852"/>
      <c r="BI60" s="5261" t="s">
        <v>1931</v>
      </c>
      <c r="BJ60" s="5261" t="s">
        <v>1931</v>
      </c>
      <c r="BK60" s="5261" t="s">
        <v>1932</v>
      </c>
      <c r="BL60" s="1013">
        <f t="shared" si="41"/>
        <v>0.94599999999999995</v>
      </c>
      <c r="BM60" s="1051" t="s">
        <v>1814</v>
      </c>
      <c r="BN60" s="1051" t="s">
        <v>1815</v>
      </c>
      <c r="BO60" s="1003">
        <f t="shared" si="39"/>
        <v>1</v>
      </c>
      <c r="BP60" s="1052">
        <v>946</v>
      </c>
      <c r="BQ60"/>
      <c r="BR60"/>
      <c r="BS60"/>
      <c r="BT60"/>
      <c r="BU60"/>
      <c r="BV60"/>
      <c r="BW60" s="959" t="str">
        <f t="shared" si="10"/>
        <v>►</v>
      </c>
      <c r="BX60" s="1064"/>
      <c r="BY60" s="857"/>
      <c r="BZ60" s="857"/>
      <c r="CA60" s="858"/>
      <c r="CB60" s="858"/>
      <c r="CC60" s="957"/>
      <c r="CD60" s="5546"/>
      <c r="CE60" s="5547"/>
      <c r="CF60" s="5547"/>
      <c r="CG60" s="5547"/>
      <c r="CH60" s="5547"/>
      <c r="CI60" s="5547"/>
      <c r="CJ60" s="5548"/>
      <c r="CL60" s="5546"/>
      <c r="CM60" s="5547"/>
      <c r="CN60" s="5547"/>
      <c r="CO60" s="5547"/>
      <c r="CP60" s="5547"/>
      <c r="CQ60" s="5547"/>
      <c r="CR60" s="5548"/>
      <c r="CT60" s="5546"/>
      <c r="CU60" s="5547"/>
      <c r="CV60" s="5547"/>
      <c r="CW60" s="5547"/>
      <c r="CX60" s="5547"/>
      <c r="CY60" s="5547"/>
      <c r="CZ60" s="5548"/>
      <c r="DB60" s="3">
        <v>1</v>
      </c>
    </row>
    <row r="61" spans="1:106" s="709" customFormat="1" ht="21" customHeight="1" thickBot="1">
      <c r="A61" s="936" t="s">
        <v>22</v>
      </c>
      <c r="B61" s="952" t="str">
        <f t="shared" si="9"/>
        <v>A</v>
      </c>
      <c r="C61" s="993" cm="1">
        <f t="array" ref="C61">SUMPRODUCT(LEN(D61:J61))</f>
        <v>0</v>
      </c>
      <c r="D61" s="167"/>
      <c r="E61" s="172"/>
      <c r="F61" s="172"/>
      <c r="G61" s="172"/>
      <c r="H61" s="172"/>
      <c r="I61" s="172"/>
      <c r="J61" s="173"/>
      <c r="K61" s="442" t="s">
        <v>22</v>
      </c>
      <c r="L61" s="216" t="s">
        <v>11</v>
      </c>
      <c r="M61" s="217"/>
      <c r="N61" s="217"/>
      <c r="O61" s="217"/>
      <c r="P61" s="218"/>
      <c r="Q61" s="219" t="s">
        <v>208</v>
      </c>
      <c r="R61" s="1481" t="str">
        <f ca="1">CELL("nomfichier")</f>
        <v>D:\Données\1.UPRT\0-UPRT.fait\1-UPRT.FR-SITE-WEB\ff-fiches-fabrications\ff.fiches.fabrication.2023\ffr.restaurant.2023\[ff.FICHE.TRILINGUE.15.COLONNES.29.11.2025.xlsx]Notice.utilisateur</v>
      </c>
      <c r="S61" s="220"/>
      <c r="T61" s="220"/>
      <c r="U61" s="220"/>
      <c r="V61" s="220"/>
      <c r="W61" s="220"/>
      <c r="X61" s="220"/>
      <c r="Y61" s="220"/>
      <c r="Z61" s="221"/>
      <c r="AA61" s="5211"/>
      <c r="AB61" s="1178"/>
      <c r="AC61" s="1179"/>
      <c r="AD61" s="227" t="s">
        <v>22</v>
      </c>
      <c r="AE61" s="1027" t="str">
        <f t="shared" si="15"/>
        <v>A</v>
      </c>
      <c r="AF61" s="1028" t="str">
        <f t="shared" si="16"/>
        <v>▼ recette suivante</v>
      </c>
      <c r="AG61" s="1029">
        <f t="shared" si="17"/>
        <v>0</v>
      </c>
      <c r="AH61" s="1028">
        <f t="shared" si="18"/>
        <v>0</v>
      </c>
      <c r="AI61" s="1029">
        <f t="shared" si="19"/>
        <v>0</v>
      </c>
      <c r="AJ61" s="1029">
        <f t="shared" si="20"/>
        <v>0</v>
      </c>
      <c r="AK61" s="1043" cm="1">
        <f t="array" aca="1" ref="AK61" ca="1">IF(AE61&lt;&gt;"A","",IFERROR((IFERROR(_xlfn.XLOOKUP(TRIM(SUBSTITUTE(U61,CHAR(160)," ")),$BI$15:$BI$62,$BL$15:$BL$62),IFERROR(_xlfn.XLOOKUP(TRIM(SUBSTITUTE(U61,CHAR(160)," ")),$BJ$15:$BJ$62,$BL$15:$BL$62),_xlfn.XLOOKUP(TRIM(SUBSTITUTE(U61,CHAR(160)," ")),$BK$15:$BK$62,$BL$15:$BL$62))))*T61*IF(ISBLANK(Q61),1,Q61)+IFERROR(_xlfn.XLOOKUP("RECHERCHEX",TRIM(L61:AC61),L61:AC61),0),0))</f>
        <v>0</v>
      </c>
      <c r="AL61" s="1030">
        <f t="shared" si="21"/>
        <v>0</v>
      </c>
      <c r="AM61" s="5254" t="str">
        <f t="shared" si="42"/>
        <v>❾ Author reference &gt;</v>
      </c>
      <c r="AN61" s="1031">
        <f t="shared" si="23"/>
        <v>0</v>
      </c>
      <c r="AO61" s="1031">
        <f t="shared" si="24"/>
        <v>0</v>
      </c>
      <c r="AP61" s="1044">
        <f t="shared" si="25"/>
        <v>0</v>
      </c>
      <c r="AQ61" s="5257" t="str">
        <f t="shared" si="26"/>
        <v>▼ recette suivante</v>
      </c>
      <c r="AR61" s="1056"/>
      <c r="AS61" s="1056"/>
      <c r="AT61" s="1045">
        <f t="shared" si="27"/>
        <v>0</v>
      </c>
      <c r="AU61" s="1046">
        <f t="shared" si="28"/>
        <v>0</v>
      </c>
      <c r="AV61" s="1059" cm="1">
        <f t="array" ref="AV61">IF(AJ61&lt;&gt;1,0,IF(OR(AT61="",N(AT61)&lt;=0.000000001),"",IF(OR(AN61="",N(AN61)&lt;=0.000000001),0,IF(ISNUMBER(AT61),IFERROR(_xlfn.LET(_xlpm.ai_test,TRIM(AI61),_xlpm.r,IFERROR(_xlfn.XLOOKUP(_xlpm.ai_test,$BI$15:$BI$62,ROW($BI$15:$BI$62),0,1),IFERROR(_xlfn.XLOOKUP(_xlpm.ai_test,$BJ$15:$BJ$62,ROW($BJ$15:$BJ$62),0,1),_xlfn.XLOOKUP(_xlpm.ai_test,$BK$15:$BK$62,ROW($BK$15:$BK$62),0,1))),_xlpm.p,_xlpm.r-MIN(ROW($BI$15:$BI$62))+1,_xlpm.f,INDEX($BL$15:$BL$62,_xlpm.p),_xlpm.u,INDEX($BM$15:$BM$62,_xlpm.p),_xlpm.s,INDEX($BO$15:$BO$62,_xlpm.p),_xlpm.q,N(AT61)/_xlpm.f,IF(_xlpm.q&gt;=_xlpm.s,ROUND(_xlpm.q,1)&amp;" "&amp;_xlpm.ai_test&amp;" = "&amp;ROUND(_xlpm.q*_xlpm.f,1)&amp;" "&amp;_xlpm.u,ROUND(_xlpm.q,1)&amp;" "&amp;_xlpm.ai_test)),""),""))))</f>
        <v>0</v>
      </c>
      <c r="AW61" s="1047"/>
      <c r="AX61" s="1045" t="str">
        <f t="shared" si="29"/>
        <v xml:space="preserve">▼next recipe </v>
      </c>
      <c r="AY61" s="1046" t="str">
        <f t="shared" si="30"/>
        <v/>
      </c>
      <c r="AZ61" s="1048">
        <f t="shared" si="37"/>
        <v>0</v>
      </c>
      <c r="BA61" s="1049" t="str">
        <f t="shared" si="31"/>
        <v/>
      </c>
      <c r="BB61" s="1038"/>
      <c r="BC61" s="1050">
        <f t="shared" si="40"/>
        <v>0</v>
      </c>
      <c r="BD61" s="1040" t="str">
        <f t="shared" si="33"/>
        <v>▼ receta siguiente</v>
      </c>
      <c r="BE61" s="227" t="s">
        <v>22</v>
      </c>
      <c r="BF61" s="1019">
        <f t="shared" si="34"/>
        <v>0</v>
      </c>
      <c r="BG61" s="1020">
        <f t="shared" ca="1" si="35"/>
        <v>0</v>
      </c>
      <c r="BH61" s="852"/>
      <c r="BI61" s="5261" t="s">
        <v>1933</v>
      </c>
      <c r="BJ61" s="5261" t="s">
        <v>1933</v>
      </c>
      <c r="BK61" s="5261" t="s">
        <v>1934</v>
      </c>
      <c r="BL61" s="1013">
        <f t="shared" si="41"/>
        <v>3.7850000000000001</v>
      </c>
      <c r="BM61" s="1051" t="s">
        <v>1814</v>
      </c>
      <c r="BN61" s="1051" t="s">
        <v>1815</v>
      </c>
      <c r="BO61" s="1003">
        <f t="shared" si="39"/>
        <v>0</v>
      </c>
      <c r="BP61" s="1052">
        <v>3785</v>
      </c>
      <c r="BQ61"/>
      <c r="BR61"/>
      <c r="BS61"/>
      <c r="BT61"/>
      <c r="BU61"/>
      <c r="BV61"/>
      <c r="BW61" s="959" t="str">
        <f t="shared" si="10"/>
        <v>A</v>
      </c>
      <c r="BX61" s="5549" t="s">
        <v>13489</v>
      </c>
      <c r="BY61" s="5549"/>
      <c r="BZ61" s="5549"/>
      <c r="CA61" s="5549"/>
      <c r="CB61" s="5549"/>
      <c r="CC61" s="957"/>
      <c r="CD61" s="1088" t="s">
        <v>874</v>
      </c>
      <c r="CE61" s="1089"/>
      <c r="CF61" s="1089"/>
      <c r="CG61" s="1089"/>
      <c r="CH61" s="1089"/>
      <c r="CI61" s="1089"/>
      <c r="CJ61" s="1090"/>
      <c r="CL61" s="1088" t="s">
        <v>874</v>
      </c>
      <c r="CM61" s="1089"/>
      <c r="CN61" s="1089"/>
      <c r="CO61" s="1089"/>
      <c r="CP61" s="1089"/>
      <c r="CQ61" s="1089"/>
      <c r="CR61" s="1090"/>
      <c r="CT61" s="1088" t="s">
        <v>874</v>
      </c>
      <c r="CU61" s="1089"/>
      <c r="CV61" s="1089"/>
      <c r="CW61" s="1089"/>
      <c r="CX61" s="1089"/>
      <c r="CY61" s="1089"/>
      <c r="CZ61" s="1148" t="s">
        <v>2619</v>
      </c>
      <c r="DB61" s="3">
        <v>1</v>
      </c>
    </row>
    <row r="62" spans="1:106" s="709" customFormat="1" ht="21" customHeight="1" thickBot="1">
      <c r="A62" s="936" t="s">
        <v>22</v>
      </c>
      <c r="B62" s="952" t="str">
        <f t="shared" si="9"/>
        <v>A</v>
      </c>
      <c r="C62" s="993" cm="1">
        <f t="array" ref="C62">SUMPRODUCT(LEN(D62:J62))</f>
        <v>0</v>
      </c>
      <c r="D62" s="167"/>
      <c r="E62" s="172"/>
      <c r="F62" s="172"/>
      <c r="G62" s="172"/>
      <c r="H62" s="172"/>
      <c r="I62" s="172"/>
      <c r="J62" s="173"/>
      <c r="K62" s="442" t="s">
        <v>22</v>
      </c>
      <c r="L62" s="5215" t="s">
        <v>11</v>
      </c>
      <c r="M62" s="5216" t="s">
        <v>11</v>
      </c>
      <c r="N62" s="5216" t="s">
        <v>11</v>
      </c>
      <c r="O62" s="5216" t="s">
        <v>11</v>
      </c>
      <c r="P62" s="5216" t="s">
        <v>11</v>
      </c>
      <c r="Q62" s="5217" t="s">
        <v>2613</v>
      </c>
      <c r="R62" s="5218"/>
      <c r="S62" s="5219"/>
      <c r="T62" s="5220"/>
      <c r="U62" s="5221"/>
      <c r="V62" s="5222"/>
      <c r="W62" s="5220"/>
      <c r="X62" s="5220"/>
      <c r="Y62" s="5220"/>
      <c r="Z62" s="5223" t="s">
        <v>1948</v>
      </c>
      <c r="AA62" s="5211"/>
      <c r="AB62" s="1178"/>
      <c r="AC62" s="1179"/>
      <c r="AD62" s="227" t="s">
        <v>22</v>
      </c>
      <c r="AE62" s="1027" t="str">
        <f t="shared" si="15"/>
        <v>►</v>
      </c>
      <c r="AF62" s="1028" t="str">
        <f t="shared" si="16"/>
        <v/>
      </c>
      <c r="AG62" s="1029" t="str">
        <f t="shared" si="17"/>
        <v/>
      </c>
      <c r="AH62" s="1028" t="str">
        <f t="shared" si="18"/>
        <v/>
      </c>
      <c r="AI62" s="1029" t="str">
        <f t="shared" si="19"/>
        <v/>
      </c>
      <c r="AJ62" s="1029">
        <f t="shared" si="20"/>
        <v>0</v>
      </c>
      <c r="AK62" s="1043" t="str" cm="1">
        <f t="array" ref="AK62">IF(AE62&lt;&gt;"A","",IFERROR((IFERROR(_xlfn.XLOOKUP(TRIM(SUBSTITUTE(U62,CHAR(160)," ")),$BI$15:$BI$62,$BL$15:$BL$62),IFERROR(_xlfn.XLOOKUP(TRIM(SUBSTITUTE(U62,CHAR(160)," ")),$BJ$15:$BJ$62,$BL$15:$BL$62),_xlfn.XLOOKUP(TRIM(SUBSTITUTE(U62,CHAR(160)," ")),$BK$15:$BK$62,$BL$15:$BL$62))))*T62*IF(ISBLANK(Q62),1,Q62)+IFERROR(_xlfn.XLOOKUP("RECHERCHEX",TRIM(L62:AC62),L62:AC62),0),0))</f>
        <v/>
      </c>
      <c r="AL62" s="1030">
        <f t="shared" si="21"/>
        <v>0</v>
      </c>
      <c r="AM62" s="5254" t="str">
        <f t="shared" si="42"/>
        <v/>
      </c>
      <c r="AN62" s="1031">
        <f t="shared" si="23"/>
        <v>0</v>
      </c>
      <c r="AO62" s="1031">
        <f t="shared" si="24"/>
        <v>0</v>
      </c>
      <c r="AP62" s="1032">
        <f t="shared" si="25"/>
        <v>0</v>
      </c>
      <c r="AQ62" s="5255" t="str">
        <f t="shared" si="26"/>
        <v/>
      </c>
      <c r="AR62" s="1056"/>
      <c r="AS62" s="1056"/>
      <c r="AT62" s="1034">
        <f t="shared" si="27"/>
        <v>0</v>
      </c>
      <c r="AU62" s="1035">
        <f t="shared" si="28"/>
        <v>0</v>
      </c>
      <c r="AV62" s="1057" cm="1">
        <f t="array" ref="AV62">IF(AJ62&lt;&gt;1,0,IF(OR(AT62="",N(AT62)&lt;=0.000000001),"",IF(OR(AN62="",N(AN62)&lt;=0.000000001),0,IF(ISNUMBER(AT62),IFERROR(_xlfn.LET(_xlpm.ai_test,TRIM(AI62),_xlpm.r,IFERROR(_xlfn.XLOOKUP(_xlpm.ai_test,$BI$15:$BI$62,ROW($BI$15:$BI$62),0,1),IFERROR(_xlfn.XLOOKUP(_xlpm.ai_test,$BJ$15:$BJ$62,ROW($BJ$15:$BJ$62),0,1),_xlfn.XLOOKUP(_xlpm.ai_test,$BK$15:$BK$62,ROW($BK$15:$BK$62),0,1))),_xlpm.p,_xlpm.r-MIN(ROW($BI$15:$BI$62))+1,_xlpm.f,INDEX($BL$15:$BL$62,_xlpm.p),_xlpm.u,INDEX($BM$15:$BM$62,_xlpm.p),_xlpm.s,INDEX($BO$15:$BO$62,_xlpm.p),_xlpm.q,N(AT62)/_xlpm.f,IF(_xlpm.q&gt;=_xlpm.s,ROUND(_xlpm.q,1)&amp;" "&amp;_xlpm.ai_test&amp;" = "&amp;ROUND(_xlpm.q*_xlpm.f,1)&amp;" "&amp;_xlpm.u,ROUND(_xlpm.q,1)&amp;" "&amp;_xlpm.ai_test)),""),""))))</f>
        <v>0</v>
      </c>
      <c r="AW62" s="1047"/>
      <c r="AX62" s="1034">
        <f t="shared" si="29"/>
        <v>0</v>
      </c>
      <c r="AY62" s="1035" t="str">
        <f t="shared" si="30"/>
        <v/>
      </c>
      <c r="AZ62" s="1036">
        <f t="shared" si="37"/>
        <v>0</v>
      </c>
      <c r="BA62" s="1037" t="str">
        <f t="shared" si="31"/>
        <v/>
      </c>
      <c r="BB62" s="1038"/>
      <c r="BC62" s="1039">
        <f t="shared" si="40"/>
        <v>0</v>
      </c>
      <c r="BD62" s="1040" t="str">
        <f t="shared" si="33"/>
        <v/>
      </c>
      <c r="BE62" s="227" t="s">
        <v>22</v>
      </c>
      <c r="BF62" s="1019">
        <f t="shared" si="34"/>
        <v>0</v>
      </c>
      <c r="BG62" s="1020">
        <f t="shared" si="35"/>
        <v>0</v>
      </c>
      <c r="BH62" s="852"/>
      <c r="BI62" s="5261" t="s">
        <v>1935</v>
      </c>
      <c r="BJ62" s="5261" t="s">
        <v>1935</v>
      </c>
      <c r="BK62" s="5261" t="s">
        <v>1936</v>
      </c>
      <c r="BL62" s="1091">
        <f t="shared" si="41"/>
        <v>2.9569999999999999E-2</v>
      </c>
      <c r="BM62" s="1092" t="s">
        <v>1814</v>
      </c>
      <c r="BN62" s="1092" t="s">
        <v>1815</v>
      </c>
      <c r="BO62" s="1093">
        <f t="shared" si="39"/>
        <v>34</v>
      </c>
      <c r="BP62" s="1094">
        <v>29.57</v>
      </c>
      <c r="BQ62"/>
      <c r="BR62"/>
      <c r="BS62"/>
      <c r="BT62"/>
      <c r="BU62"/>
      <c r="BV62"/>
      <c r="BW62" s="959" t="str">
        <f t="shared" si="10"/>
        <v>►</v>
      </c>
      <c r="BX62" s="5549"/>
      <c r="BY62" s="5549"/>
      <c r="BZ62" s="5549"/>
      <c r="CA62" s="5549"/>
      <c r="CB62" s="5549"/>
      <c r="CC62" s="957"/>
      <c r="CD62" s="1095" t="s">
        <v>1937</v>
      </c>
      <c r="CE62" s="1096" t="s">
        <v>1938</v>
      </c>
      <c r="CF62" s="1097" t="s">
        <v>1939</v>
      </c>
      <c r="CG62" s="1096" t="s">
        <v>1940</v>
      </c>
      <c r="CH62" s="1096" t="s">
        <v>1941</v>
      </c>
      <c r="CI62" s="1096" t="s">
        <v>1942</v>
      </c>
      <c r="CJ62" s="1098" t="s">
        <v>1943</v>
      </c>
      <c r="CL62" s="1095" t="s">
        <v>1937</v>
      </c>
      <c r="CM62" s="1096" t="s">
        <v>1938</v>
      </c>
      <c r="CN62" s="1097" t="s">
        <v>1939</v>
      </c>
      <c r="CO62" s="1096" t="s">
        <v>1940</v>
      </c>
      <c r="CP62" s="1096" t="s">
        <v>1941</v>
      </c>
      <c r="CQ62" s="1096" t="s">
        <v>1942</v>
      </c>
      <c r="CR62" s="1098" t="s">
        <v>1943</v>
      </c>
      <c r="CT62" s="1095" t="s">
        <v>1937</v>
      </c>
      <c r="CU62" s="1096" t="s">
        <v>1938</v>
      </c>
      <c r="CV62" s="1097" t="s">
        <v>1939</v>
      </c>
      <c r="CW62" s="1096" t="s">
        <v>1940</v>
      </c>
      <c r="CX62" s="1096" t="s">
        <v>1941</v>
      </c>
      <c r="CY62" s="1096" t="s">
        <v>1942</v>
      </c>
      <c r="CZ62" s="1098" t="s">
        <v>1943</v>
      </c>
      <c r="DB62" s="3">
        <v>1</v>
      </c>
    </row>
    <row r="63" spans="1:106" s="709" customFormat="1" ht="21" customHeight="1">
      <c r="A63" s="936" t="s">
        <v>22</v>
      </c>
      <c r="B63" s="952" t="str">
        <f t="shared" si="9"/>
        <v>A</v>
      </c>
      <c r="C63" s="993" cm="1">
        <f t="array" ref="C63">SUMPRODUCT(LEN(D63:J63))</f>
        <v>0</v>
      </c>
      <c r="D63" s="167"/>
      <c r="E63" s="172"/>
      <c r="F63" s="172"/>
      <c r="G63" s="172"/>
      <c r="H63" s="172"/>
      <c r="I63" s="172"/>
      <c r="J63" s="173"/>
      <c r="K63" s="442" t="s">
        <v>22</v>
      </c>
      <c r="L63" s="22" t="s">
        <v>11</v>
      </c>
      <c r="M63" s="23" t="str">
        <f>M69</f>
        <v>T TERRINE DE PIEDS DE PORC pour tranches | | Auteur &gt; Guy KRENZE - Eric GODDYN - Arnaud NICOLAS - CEPROC 2002</v>
      </c>
      <c r="N63" s="24">
        <f>N69</f>
        <v>1</v>
      </c>
      <c r="O63" s="24" t="str">
        <f>O69</f>
        <v xml:space="preserve">moule L 30 cm X l 9 cm X H 6 cm </v>
      </c>
      <c r="P63" s="25" t="str">
        <f>P69</f>
        <v>Recette mère ► le Boudin en 4 déclinaisons</v>
      </c>
      <c r="Q63" s="26" t="s">
        <v>23</v>
      </c>
      <c r="R63" s="5471" t="s">
        <v>13044</v>
      </c>
      <c r="S63" s="5471"/>
      <c r="T63" s="5471"/>
      <c r="U63" s="5471"/>
      <c r="V63" s="5471"/>
      <c r="W63" s="5471"/>
      <c r="X63" s="5473" t="s">
        <v>1031</v>
      </c>
      <c r="Y63" s="5473"/>
      <c r="Z63" s="5475" t="str">
        <f>UPPER(LEFT(R63,1))</f>
        <v>T</v>
      </c>
      <c r="AA63" s="5211"/>
      <c r="AB63" s="1178"/>
      <c r="AC63" s="1179"/>
      <c r="AD63" s="227" t="s">
        <v>22</v>
      </c>
      <c r="AE63" s="1027" t="str">
        <f t="shared" si="15"/>
        <v>►</v>
      </c>
      <c r="AF63" s="1028" t="str">
        <f t="shared" si="16"/>
        <v/>
      </c>
      <c r="AG63" s="1029" t="str">
        <f t="shared" si="17"/>
        <v/>
      </c>
      <c r="AH63" s="1028" t="str">
        <f t="shared" si="18"/>
        <v/>
      </c>
      <c r="AI63" s="1029" t="str">
        <f t="shared" si="19"/>
        <v/>
      </c>
      <c r="AJ63" s="1029">
        <f t="shared" si="20"/>
        <v>0</v>
      </c>
      <c r="AK63" s="1043" t="str" cm="1">
        <f t="array" ref="AK63">IF(AE63&lt;&gt;"A","",IFERROR((IFERROR(_xlfn.XLOOKUP(TRIM(SUBSTITUTE(U63,CHAR(160)," ")),$BI$15:$BI$62,$BL$15:$BL$62),IFERROR(_xlfn.XLOOKUP(TRIM(SUBSTITUTE(U63,CHAR(160)," ")),$BJ$15:$BJ$62,$BL$15:$BL$62),_xlfn.XLOOKUP(TRIM(SUBSTITUTE(U63,CHAR(160)," ")),$BK$15:$BK$62,$BL$15:$BL$62))))*T63*IF(ISBLANK(Q63),1,Q63)+IFERROR(_xlfn.XLOOKUP("RECHERCHEX",TRIM(L63:AC63),L63:AC63),0),0))</f>
        <v/>
      </c>
      <c r="AL63" s="1030">
        <f t="shared" si="21"/>
        <v>0</v>
      </c>
      <c r="AM63" s="5254" t="str">
        <f t="shared" si="42"/>
        <v/>
      </c>
      <c r="AN63" s="1031">
        <f t="shared" si="23"/>
        <v>0</v>
      </c>
      <c r="AO63" s="1031">
        <f t="shared" si="24"/>
        <v>0</v>
      </c>
      <c r="AP63" s="1044">
        <f t="shared" si="25"/>
        <v>0</v>
      </c>
      <c r="AQ63" s="5257" t="str">
        <f t="shared" si="26"/>
        <v/>
      </c>
      <c r="AR63" s="1056"/>
      <c r="AS63" s="1056"/>
      <c r="AT63" s="1045">
        <f t="shared" si="27"/>
        <v>0</v>
      </c>
      <c r="AU63" s="1046">
        <f t="shared" si="28"/>
        <v>0</v>
      </c>
      <c r="AV63" s="1059" cm="1">
        <f t="array" ref="AV63">IF(AJ63&lt;&gt;1,0,IF(OR(AT63="",N(AT63)&lt;=0.000000001),"",IF(OR(AN63="",N(AN63)&lt;=0.000000001),0,IF(ISNUMBER(AT63),IFERROR(_xlfn.LET(_xlpm.ai_test,TRIM(AI63),_xlpm.r,IFERROR(_xlfn.XLOOKUP(_xlpm.ai_test,$BI$15:$BI$62,ROW($BI$15:$BI$62),0,1),IFERROR(_xlfn.XLOOKUP(_xlpm.ai_test,$BJ$15:$BJ$62,ROW($BJ$15:$BJ$62),0,1),_xlfn.XLOOKUP(_xlpm.ai_test,$BK$15:$BK$62,ROW($BK$15:$BK$62),0,1))),_xlpm.p,_xlpm.r-MIN(ROW($BI$15:$BI$62))+1,_xlpm.f,INDEX($BL$15:$BL$62,_xlpm.p),_xlpm.u,INDEX($BM$15:$BM$62,_xlpm.p),_xlpm.s,INDEX($BO$15:$BO$62,_xlpm.p),_xlpm.q,N(AT63)/_xlpm.f,IF(_xlpm.q&gt;=_xlpm.s,ROUND(_xlpm.q,1)&amp;" "&amp;_xlpm.ai_test&amp;" = "&amp;ROUND(_xlpm.q*_xlpm.f,1)&amp;" "&amp;_xlpm.u,ROUND(_xlpm.q,1)&amp;" "&amp;_xlpm.ai_test)),""),""))))</f>
        <v>0</v>
      </c>
      <c r="AW63" s="1047"/>
      <c r="AX63" s="1045">
        <f t="shared" si="29"/>
        <v>0</v>
      </c>
      <c r="AY63" s="1046" t="str">
        <f t="shared" si="30"/>
        <v/>
      </c>
      <c r="AZ63" s="1048">
        <f t="shared" si="37"/>
        <v>0</v>
      </c>
      <c r="BA63" s="1049" t="str">
        <f t="shared" si="31"/>
        <v/>
      </c>
      <c r="BB63" s="1038"/>
      <c r="BC63" s="1050">
        <f t="shared" si="40"/>
        <v>0</v>
      </c>
      <c r="BD63" s="1040" t="str">
        <f t="shared" si="33"/>
        <v/>
      </c>
      <c r="BE63" s="227" t="s">
        <v>22</v>
      </c>
      <c r="BF63" s="1019">
        <f t="shared" si="34"/>
        <v>0</v>
      </c>
      <c r="BG63" s="1020">
        <f t="shared" si="35"/>
        <v>0</v>
      </c>
      <c r="BH63" s="852"/>
      <c r="BI63" s="5550" t="s">
        <v>1944</v>
      </c>
      <c r="BJ63" s="5550"/>
      <c r="BK63" s="5550"/>
      <c r="BL63" s="5550"/>
      <c r="BM63" s="5550"/>
      <c r="BN63" s="5550"/>
      <c r="BO63" s="5550"/>
      <c r="BP63" s="5550"/>
      <c r="BQ63"/>
      <c r="BR63"/>
      <c r="BS63"/>
      <c r="BT63"/>
      <c r="BU63"/>
      <c r="BV63"/>
      <c r="BW63" s="959" t="str">
        <f t="shared" si="10"/>
        <v>►</v>
      </c>
      <c r="BX63" s="1064"/>
      <c r="BY63" s="857"/>
      <c r="BZ63" s="857"/>
      <c r="CA63" s="858"/>
      <c r="CB63" s="858"/>
      <c r="CC63" s="957"/>
      <c r="CD63" s="1095" t="s">
        <v>1945</v>
      </c>
      <c r="CE63" s="1096" t="s">
        <v>1946</v>
      </c>
      <c r="CF63" s="1096" t="s">
        <v>1947</v>
      </c>
      <c r="CG63" s="1096" t="s">
        <v>16</v>
      </c>
      <c r="CH63" s="1096" t="s">
        <v>1948</v>
      </c>
      <c r="CI63" s="1096" t="s">
        <v>865</v>
      </c>
      <c r="CJ63" s="1098" t="s">
        <v>1949</v>
      </c>
      <c r="CL63" s="1095" t="s">
        <v>1945</v>
      </c>
      <c r="CM63" s="1096" t="s">
        <v>1946</v>
      </c>
      <c r="CN63" s="1096" t="s">
        <v>1947</v>
      </c>
      <c r="CO63" s="1096" t="s">
        <v>16</v>
      </c>
      <c r="CP63" s="1096" t="s">
        <v>1948</v>
      </c>
      <c r="CQ63" s="1096" t="s">
        <v>865</v>
      </c>
      <c r="CR63" s="1098" t="s">
        <v>1949</v>
      </c>
      <c r="CT63" s="1095" t="s">
        <v>1945</v>
      </c>
      <c r="CU63" s="1096" t="s">
        <v>1946</v>
      </c>
      <c r="CV63" s="1096" t="s">
        <v>1947</v>
      </c>
      <c r="CW63" s="1096" t="s">
        <v>16</v>
      </c>
      <c r="CX63" s="1096" t="s">
        <v>1948</v>
      </c>
      <c r="CY63" s="1096" t="s">
        <v>865</v>
      </c>
      <c r="CZ63" s="1098" t="s">
        <v>1949</v>
      </c>
      <c r="DB63" s="3">
        <v>1</v>
      </c>
    </row>
    <row r="64" spans="1:106" s="709" customFormat="1" ht="21" customHeight="1">
      <c r="A64" s="936" t="s">
        <v>22</v>
      </c>
      <c r="B64" s="952" t="str">
        <f t="shared" si="9"/>
        <v>A</v>
      </c>
      <c r="C64" s="993" cm="1">
        <f t="array" ref="C64">SUMPRODUCT(LEN(D64:J64))</f>
        <v>0</v>
      </c>
      <c r="D64" s="167"/>
      <c r="E64" s="172"/>
      <c r="F64" s="172"/>
      <c r="G64" s="172"/>
      <c r="H64" s="172"/>
      <c r="I64" s="172"/>
      <c r="J64" s="173"/>
      <c r="K64" s="442" t="s">
        <v>22</v>
      </c>
      <c r="L64" s="27" t="s">
        <v>11</v>
      </c>
      <c r="M64" s="28" t="str">
        <f>M69</f>
        <v>T TERRINE DE PIEDS DE PORC pour tranches | | Auteur &gt; Guy KRENZE - Eric GODDYN - Arnaud NICOLAS - CEPROC 2002</v>
      </c>
      <c r="N64" s="29">
        <f>N69</f>
        <v>1</v>
      </c>
      <c r="O64" s="29" t="str">
        <f>O69</f>
        <v xml:space="preserve">moule L 30 cm X l 9 cm X H 6 cm </v>
      </c>
      <c r="P64" s="30" t="str">
        <f>P69</f>
        <v>Recette mère ► le Boudin en 4 déclinaisons</v>
      </c>
      <c r="Q64" s="31" t="s">
        <v>29</v>
      </c>
      <c r="R64" s="5472"/>
      <c r="S64" s="5472"/>
      <c r="T64" s="5472"/>
      <c r="U64" s="5472"/>
      <c r="V64" s="5472"/>
      <c r="W64" s="5472"/>
      <c r="X64" s="5474"/>
      <c r="Y64" s="5474"/>
      <c r="Z64" s="5476"/>
      <c r="AA64" s="5211"/>
      <c r="AB64" s="1178"/>
      <c r="AC64" s="1179"/>
      <c r="AD64" s="227" t="s">
        <v>22</v>
      </c>
      <c r="AE64" s="1027" t="str">
        <f t="shared" si="15"/>
        <v>►</v>
      </c>
      <c r="AF64" s="1028" t="str">
        <f t="shared" si="16"/>
        <v/>
      </c>
      <c r="AG64" s="1029" t="str">
        <f t="shared" si="17"/>
        <v/>
      </c>
      <c r="AH64" s="1028" t="str">
        <f t="shared" si="18"/>
        <v/>
      </c>
      <c r="AI64" s="1029" t="str">
        <f t="shared" si="19"/>
        <v/>
      </c>
      <c r="AJ64" s="1029">
        <f t="shared" si="20"/>
        <v>0</v>
      </c>
      <c r="AK64" s="1043" t="str" cm="1">
        <f t="array" ref="AK64">IF(AE64&lt;&gt;"A","",IFERROR((IFERROR(_xlfn.XLOOKUP(TRIM(SUBSTITUTE(U64,CHAR(160)," ")),$BI$15:$BI$62,$BL$15:$BL$62),IFERROR(_xlfn.XLOOKUP(TRIM(SUBSTITUTE(U64,CHAR(160)," ")),$BJ$15:$BJ$62,$BL$15:$BL$62),_xlfn.XLOOKUP(TRIM(SUBSTITUTE(U64,CHAR(160)," ")),$BK$15:$BK$62,$BL$15:$BL$62))))*T64*IF(ISBLANK(Q64),1,Q64)+IFERROR(_xlfn.XLOOKUP("RECHERCHEX",TRIM(L64:AC64),L64:AC64),0),0))</f>
        <v/>
      </c>
      <c r="AL64" s="1030">
        <f t="shared" si="21"/>
        <v>0</v>
      </c>
      <c r="AM64" s="5254" t="str">
        <f t="shared" si="42"/>
        <v/>
      </c>
      <c r="AN64" s="1031">
        <f t="shared" si="23"/>
        <v>0</v>
      </c>
      <c r="AO64" s="1031">
        <f t="shared" si="24"/>
        <v>0</v>
      </c>
      <c r="AP64" s="1032">
        <f t="shared" si="25"/>
        <v>0</v>
      </c>
      <c r="AQ64" s="5255" t="str">
        <f t="shared" si="26"/>
        <v/>
      </c>
      <c r="AR64" s="1056"/>
      <c r="AS64" s="1056"/>
      <c r="AT64" s="1034">
        <f t="shared" si="27"/>
        <v>0</v>
      </c>
      <c r="AU64" s="1035">
        <f t="shared" si="28"/>
        <v>0</v>
      </c>
      <c r="AV64" s="1057" cm="1">
        <f t="array" ref="AV64">IF(AJ64&lt;&gt;1,0,IF(OR(AT64="",N(AT64)&lt;=0.000000001),"",IF(OR(AN64="",N(AN64)&lt;=0.000000001),0,IF(ISNUMBER(AT64),IFERROR(_xlfn.LET(_xlpm.ai_test,TRIM(AI64),_xlpm.r,IFERROR(_xlfn.XLOOKUP(_xlpm.ai_test,$BI$15:$BI$62,ROW($BI$15:$BI$62),0,1),IFERROR(_xlfn.XLOOKUP(_xlpm.ai_test,$BJ$15:$BJ$62,ROW($BJ$15:$BJ$62),0,1),_xlfn.XLOOKUP(_xlpm.ai_test,$BK$15:$BK$62,ROW($BK$15:$BK$62),0,1))),_xlpm.p,_xlpm.r-MIN(ROW($BI$15:$BI$62))+1,_xlpm.f,INDEX($BL$15:$BL$62,_xlpm.p),_xlpm.u,INDEX($BM$15:$BM$62,_xlpm.p),_xlpm.s,INDEX($BO$15:$BO$62,_xlpm.p),_xlpm.q,N(AT64)/_xlpm.f,IF(_xlpm.q&gt;=_xlpm.s,ROUND(_xlpm.q,1)&amp;" "&amp;_xlpm.ai_test&amp;" = "&amp;ROUND(_xlpm.q*_xlpm.f,1)&amp;" "&amp;_xlpm.u,ROUND(_xlpm.q,1)&amp;" "&amp;_xlpm.ai_test)),""),""))))</f>
        <v>0</v>
      </c>
      <c r="AW64" s="1047"/>
      <c r="AX64" s="1034">
        <f t="shared" si="29"/>
        <v>0</v>
      </c>
      <c r="AY64" s="1035" t="str">
        <f t="shared" si="30"/>
        <v/>
      </c>
      <c r="AZ64" s="1036">
        <f t="shared" si="37"/>
        <v>0</v>
      </c>
      <c r="BA64" s="1037" t="str">
        <f t="shared" si="31"/>
        <v/>
      </c>
      <c r="BB64" s="1038"/>
      <c r="BC64" s="1039">
        <f t="shared" si="40"/>
        <v>0</v>
      </c>
      <c r="BD64" s="1040" t="str">
        <f t="shared" si="33"/>
        <v/>
      </c>
      <c r="BE64" s="227" t="s">
        <v>22</v>
      </c>
      <c r="BF64" s="1019">
        <f t="shared" si="34"/>
        <v>0</v>
      </c>
      <c r="BG64" s="1020">
        <f t="shared" si="35"/>
        <v>0</v>
      </c>
      <c r="BH64" s="852"/>
      <c r="BI64" s="5550"/>
      <c r="BJ64" s="5550"/>
      <c r="BK64" s="5550"/>
      <c r="BL64" s="5550"/>
      <c r="BM64" s="5550"/>
      <c r="BN64" s="5550"/>
      <c r="BO64" s="5550"/>
      <c r="BP64" s="5550"/>
      <c r="BQ64"/>
      <c r="BR64"/>
      <c r="BS64"/>
      <c r="BT64"/>
      <c r="BU64"/>
      <c r="BV64"/>
      <c r="BW64" s="959" t="str">
        <f t="shared" si="10"/>
        <v>►</v>
      </c>
      <c r="BX64" s="5551" t="s">
        <v>13490</v>
      </c>
      <c r="BY64" s="5551"/>
      <c r="BZ64" s="5551"/>
      <c r="CA64" s="5551"/>
      <c r="CB64" s="5551"/>
      <c r="CC64" s="957"/>
      <c r="CD64" s="867"/>
      <c r="CE64" s="116"/>
      <c r="CF64" s="116"/>
      <c r="CG64" s="116"/>
      <c r="CH64" s="116"/>
      <c r="CI64" s="116"/>
      <c r="CJ64" s="1084" t="s">
        <v>2619</v>
      </c>
      <c r="CL64" s="867"/>
      <c r="CM64" s="116"/>
      <c r="CN64" s="116"/>
      <c r="CO64" s="116"/>
      <c r="CP64" s="116"/>
      <c r="CQ64" s="116"/>
      <c r="CR64" s="1084" t="s">
        <v>2619</v>
      </c>
      <c r="CT64" s="5552" t="s">
        <v>1950</v>
      </c>
      <c r="CU64" s="5553"/>
      <c r="CV64" s="5553"/>
      <c r="CW64" s="5553"/>
      <c r="CX64" s="5553"/>
      <c r="CY64" s="5553"/>
      <c r="CZ64" s="5554"/>
      <c r="DB64" s="3">
        <v>1</v>
      </c>
    </row>
    <row r="65" spans="1:106" s="709" customFormat="1" ht="21" customHeight="1">
      <c r="A65" s="936" t="s">
        <v>22</v>
      </c>
      <c r="B65" s="952" t="str">
        <f t="shared" si="9"/>
        <v>A</v>
      </c>
      <c r="C65" s="993" cm="1">
        <f t="array" ref="C65">SUMPRODUCT(LEN(D65:J65))</f>
        <v>0</v>
      </c>
      <c r="D65" s="167"/>
      <c r="E65" s="172"/>
      <c r="F65" s="172"/>
      <c r="G65" s="172"/>
      <c r="H65" s="172"/>
      <c r="I65" s="172"/>
      <c r="J65" s="173"/>
      <c r="K65" s="442" t="s">
        <v>22</v>
      </c>
      <c r="L65" s="27" t="s">
        <v>11</v>
      </c>
      <c r="M65" s="5310" t="str">
        <f>M69</f>
        <v>T TERRINE DE PIEDS DE PORC pour tranches | | Auteur &gt; Guy KRENZE - Eric GODDYN - Arnaud NICOLAS - CEPROC 2002</v>
      </c>
      <c r="N65" s="5310">
        <f>N69</f>
        <v>1</v>
      </c>
      <c r="O65" s="5311" t="str">
        <f>O69</f>
        <v xml:space="preserve">moule L 30 cm X l 9 cm X H 6 cm </v>
      </c>
      <c r="P65" s="5312" t="str">
        <f>P69</f>
        <v>Recette mère ► le Boudin en 4 déclinaisons</v>
      </c>
      <c r="Q65" s="5313"/>
      <c r="R65" s="5314" t="s">
        <v>30</v>
      </c>
      <c r="S65" s="37"/>
      <c r="T65" s="38" t="s">
        <v>31</v>
      </c>
      <c r="U65" s="39" t="s">
        <v>12835</v>
      </c>
      <c r="V65" s="9"/>
      <c r="W65" s="39"/>
      <c r="X65" s="39"/>
      <c r="Y65" s="40"/>
      <c r="Z65" s="41"/>
      <c r="AA65" s="5211"/>
      <c r="AB65" s="1178"/>
      <c r="AC65" s="1179"/>
      <c r="AD65" s="227" t="s">
        <v>22</v>
      </c>
      <c r="AE65" s="1027" t="str">
        <f t="shared" si="15"/>
        <v>►</v>
      </c>
      <c r="AF65" s="1028" t="str">
        <f t="shared" si="16"/>
        <v/>
      </c>
      <c r="AG65" s="1029" t="str">
        <f t="shared" si="17"/>
        <v/>
      </c>
      <c r="AH65" s="1028" t="str">
        <f t="shared" si="18"/>
        <v/>
      </c>
      <c r="AI65" s="1029" t="str">
        <f t="shared" si="19"/>
        <v/>
      </c>
      <c r="AJ65" s="1029">
        <f t="shared" si="20"/>
        <v>0</v>
      </c>
      <c r="AK65" s="1043" t="str" cm="1">
        <f t="array" ref="AK65">IF(AE65&lt;&gt;"A","",IFERROR((IFERROR(_xlfn.XLOOKUP(TRIM(SUBSTITUTE(U65,CHAR(160)," ")),$BI$15:$BI$62,$BL$15:$BL$62),IFERROR(_xlfn.XLOOKUP(TRIM(SUBSTITUTE(U65,CHAR(160)," ")),$BJ$15:$BJ$62,$BL$15:$BL$62),_xlfn.XLOOKUP(TRIM(SUBSTITUTE(U65,CHAR(160)," ")),$BK$15:$BK$62,$BL$15:$BL$62))))*T65*IF(ISBLANK(Q65),1,Q65)+IFERROR(_xlfn.XLOOKUP("RECHERCHEX",TRIM(L65:AC65),L65:AC65),0),0))</f>
        <v/>
      </c>
      <c r="AL65" s="1030">
        <f t="shared" si="21"/>
        <v>0</v>
      </c>
      <c r="AM65" s="5254" t="str">
        <f t="shared" si="42"/>
        <v/>
      </c>
      <c r="AN65" s="1031">
        <f t="shared" si="23"/>
        <v>0</v>
      </c>
      <c r="AO65" s="1031">
        <f t="shared" si="24"/>
        <v>0</v>
      </c>
      <c r="AP65" s="1044">
        <f t="shared" si="25"/>
        <v>0</v>
      </c>
      <c r="AQ65" s="5257" t="str">
        <f t="shared" si="26"/>
        <v/>
      </c>
      <c r="AR65" s="1056"/>
      <c r="AS65" s="1056"/>
      <c r="AT65" s="1045">
        <f t="shared" si="27"/>
        <v>0</v>
      </c>
      <c r="AU65" s="1046">
        <f t="shared" si="28"/>
        <v>0</v>
      </c>
      <c r="AV65" s="1059" cm="1">
        <f t="array" ref="AV65">IF(AJ65&lt;&gt;1,0,IF(OR(AT65="",N(AT65)&lt;=0.000000001),"",IF(OR(AN65="",N(AN65)&lt;=0.000000001),0,IF(ISNUMBER(AT65),IFERROR(_xlfn.LET(_xlpm.ai_test,TRIM(AI65),_xlpm.r,IFERROR(_xlfn.XLOOKUP(_xlpm.ai_test,$BI$15:$BI$62,ROW($BI$15:$BI$62),0,1),IFERROR(_xlfn.XLOOKUP(_xlpm.ai_test,$BJ$15:$BJ$62,ROW($BJ$15:$BJ$62),0,1),_xlfn.XLOOKUP(_xlpm.ai_test,$BK$15:$BK$62,ROW($BK$15:$BK$62),0,1))),_xlpm.p,_xlpm.r-MIN(ROW($BI$15:$BI$62))+1,_xlpm.f,INDEX($BL$15:$BL$62,_xlpm.p),_xlpm.u,INDEX($BM$15:$BM$62,_xlpm.p),_xlpm.s,INDEX($BO$15:$BO$62,_xlpm.p),_xlpm.q,N(AT65)/_xlpm.f,IF(_xlpm.q&gt;=_xlpm.s,ROUND(_xlpm.q,1)&amp;" "&amp;_xlpm.ai_test&amp;" = "&amp;ROUND(_xlpm.q*_xlpm.f,1)&amp;" "&amp;_xlpm.u,ROUND(_xlpm.q,1)&amp;" "&amp;_xlpm.ai_test)),""),""))))</f>
        <v>0</v>
      </c>
      <c r="AW65" s="1047"/>
      <c r="AX65" s="1045">
        <f t="shared" si="29"/>
        <v>0</v>
      </c>
      <c r="AY65" s="1046" t="str">
        <f t="shared" si="30"/>
        <v/>
      </c>
      <c r="AZ65" s="1048">
        <f t="shared" si="37"/>
        <v>0</v>
      </c>
      <c r="BA65" s="1049" t="str">
        <f t="shared" si="31"/>
        <v/>
      </c>
      <c r="BB65" s="1038"/>
      <c r="BC65" s="1050">
        <f t="shared" si="40"/>
        <v>0</v>
      </c>
      <c r="BD65" s="1040" t="str">
        <f t="shared" si="33"/>
        <v/>
      </c>
      <c r="BE65" s="227" t="s">
        <v>22</v>
      </c>
      <c r="BF65" s="1019">
        <f t="shared" si="34"/>
        <v>0</v>
      </c>
      <c r="BG65" s="1020">
        <f t="shared" si="35"/>
        <v>0</v>
      </c>
      <c r="BH65" s="1099"/>
      <c r="BI65" s="1100" t="s">
        <v>1951</v>
      </c>
      <c r="BJ65" s="1100"/>
      <c r="BK65" s="1100"/>
      <c r="BL65" s="1101"/>
      <c r="BM65" s="1102"/>
      <c r="BN65" s="1102"/>
      <c r="BO65" s="1102"/>
      <c r="BQ65"/>
      <c r="BR65"/>
      <c r="BS65"/>
      <c r="BT65"/>
      <c r="BU65"/>
      <c r="BV65"/>
      <c r="BW65" s="959" t="str">
        <f t="shared" si="10"/>
        <v>►</v>
      </c>
      <c r="BX65" s="5551"/>
      <c r="BY65" s="5551"/>
      <c r="BZ65" s="5551"/>
      <c r="CA65" s="5551"/>
      <c r="CB65" s="5551"/>
      <c r="CC65" s="957"/>
      <c r="CD65" s="1103">
        <v>19</v>
      </c>
      <c r="CE65" s="1104">
        <v>18</v>
      </c>
      <c r="CF65" s="1104">
        <v>10</v>
      </c>
      <c r="CG65" s="1104">
        <v>16</v>
      </c>
      <c r="CH65" s="1104">
        <v>16</v>
      </c>
      <c r="CI65" s="1104">
        <v>11</v>
      </c>
      <c r="CJ65" s="1105">
        <v>40</v>
      </c>
      <c r="CL65" s="1103">
        <v>19</v>
      </c>
      <c r="CM65" s="1104">
        <v>18</v>
      </c>
      <c r="CN65" s="1104">
        <v>10</v>
      </c>
      <c r="CO65" s="1104">
        <v>16</v>
      </c>
      <c r="CP65" s="1104">
        <v>16</v>
      </c>
      <c r="CQ65" s="1104">
        <v>11</v>
      </c>
      <c r="CR65" s="1105">
        <v>40</v>
      </c>
      <c r="CT65" s="5552"/>
      <c r="CU65" s="5553"/>
      <c r="CV65" s="5553"/>
      <c r="CW65" s="5553"/>
      <c r="CX65" s="5553"/>
      <c r="CY65" s="5553"/>
      <c r="CZ65" s="5554"/>
      <c r="DB65" s="3">
        <v>1</v>
      </c>
    </row>
    <row r="66" spans="1:106" s="709" customFormat="1" ht="21" customHeight="1" thickBot="1">
      <c r="A66" s="936" t="s">
        <v>22</v>
      </c>
      <c r="B66" s="952" t="str">
        <f t="shared" si="9"/>
        <v>A</v>
      </c>
      <c r="C66" s="993" cm="1">
        <f t="array" ref="C66">SUMPRODUCT(LEN(D66:J66))</f>
        <v>0</v>
      </c>
      <c r="D66" s="167"/>
      <c r="E66" s="172"/>
      <c r="F66" s="172"/>
      <c r="G66" s="172"/>
      <c r="H66" s="172"/>
      <c r="I66" s="172"/>
      <c r="J66" s="173"/>
      <c r="K66" s="442" t="s">
        <v>22</v>
      </c>
      <c r="L66" s="27" t="s">
        <v>11</v>
      </c>
      <c r="M66" s="32" t="str">
        <f>M69</f>
        <v>T TERRINE DE PIEDS DE PORC pour tranches | | Auteur &gt; Guy KRENZE - Eric GODDYN - Arnaud NICOLAS - CEPROC 2002</v>
      </c>
      <c r="N66" s="33">
        <f>N69</f>
        <v>1</v>
      </c>
      <c r="O66" s="33" t="str">
        <f>O69</f>
        <v xml:space="preserve">moule L 30 cm X l 9 cm X H 6 cm </v>
      </c>
      <c r="P66" s="34" t="str">
        <f>P69</f>
        <v>Recette mère ► le Boudin en 4 déclinaisons</v>
      </c>
      <c r="Q66" s="42" t="s">
        <v>32</v>
      </c>
      <c r="R66" s="43"/>
      <c r="S66" s="43"/>
      <c r="T66" s="44" t="s">
        <v>33</v>
      </c>
      <c r="U66" s="5477" t="str">
        <f>V69&amp;" "&amp;W69&amp;" ► Famille = "&amp;X63&amp;" ► "&amp;R63&amp;" "&amp; "pour "&amp;X67&amp;" "&amp;Y67</f>
        <v xml:space="preserve">Recette mère ► le Boudin en 4 déclinaisons ► Famille =  charcuterie-BOUDIN-NOIR ► TERRINE DE PIEDS DE PORC pour tranches pour 2 moule L 30 cm X l 9 cm X H 6 cm </v>
      </c>
      <c r="V66" s="5477"/>
      <c r="W66" s="5477"/>
      <c r="X66" s="5039" t="s">
        <v>3306</v>
      </c>
      <c r="Y66" s="40"/>
      <c r="Z66" s="1472"/>
      <c r="AA66" s="5211"/>
      <c r="AB66" s="1178"/>
      <c r="AC66" s="1179"/>
      <c r="AD66" s="227" t="s">
        <v>22</v>
      </c>
      <c r="AE66" s="1027" t="str">
        <f t="shared" si="15"/>
        <v>►</v>
      </c>
      <c r="AF66" s="1028" t="str">
        <f t="shared" si="16"/>
        <v/>
      </c>
      <c r="AG66" s="1029" t="str">
        <f t="shared" si="17"/>
        <v/>
      </c>
      <c r="AH66" s="1028" t="str">
        <f t="shared" si="18"/>
        <v/>
      </c>
      <c r="AI66" s="1029" t="str">
        <f t="shared" si="19"/>
        <v/>
      </c>
      <c r="AJ66" s="1029">
        <f t="shared" si="20"/>
        <v>0</v>
      </c>
      <c r="AK66" s="1043" t="str" cm="1">
        <f t="array" ref="AK66">IF(AE66&lt;&gt;"A","",IFERROR((IFERROR(_xlfn.XLOOKUP(TRIM(SUBSTITUTE(U66,CHAR(160)," ")),$BI$15:$BI$62,$BL$15:$BL$62),IFERROR(_xlfn.XLOOKUP(TRIM(SUBSTITUTE(U66,CHAR(160)," ")),$BJ$15:$BJ$62,$BL$15:$BL$62),_xlfn.XLOOKUP(TRIM(SUBSTITUTE(U66,CHAR(160)," ")),$BK$15:$BK$62,$BL$15:$BL$62))))*T66*IF(ISBLANK(Q66),1,Q66)+IFERROR(_xlfn.XLOOKUP("RECHERCHEX",TRIM(L66:AC66),L66:AC66),0),0))</f>
        <v/>
      </c>
      <c r="AL66" s="1030">
        <f t="shared" si="21"/>
        <v>0</v>
      </c>
      <c r="AM66" s="5254" t="str">
        <f t="shared" si="42"/>
        <v/>
      </c>
      <c r="AN66" s="1031">
        <f t="shared" si="23"/>
        <v>0</v>
      </c>
      <c r="AO66" s="1031">
        <f t="shared" si="24"/>
        <v>0</v>
      </c>
      <c r="AP66" s="1032">
        <f t="shared" si="25"/>
        <v>0</v>
      </c>
      <c r="AQ66" s="5255" t="str">
        <f t="shared" si="26"/>
        <v/>
      </c>
      <c r="AR66" s="1056"/>
      <c r="AS66" s="1056"/>
      <c r="AT66" s="1034">
        <f t="shared" si="27"/>
        <v>0</v>
      </c>
      <c r="AU66" s="1035">
        <f t="shared" si="28"/>
        <v>0</v>
      </c>
      <c r="AV66" s="1057" cm="1">
        <f t="array" ref="AV66">IF(AJ66&lt;&gt;1,0,IF(OR(AT66="",N(AT66)&lt;=0.000000001),"",IF(OR(AN66="",N(AN66)&lt;=0.000000001),0,IF(ISNUMBER(AT66),IFERROR(_xlfn.LET(_xlpm.ai_test,TRIM(AI66),_xlpm.r,IFERROR(_xlfn.XLOOKUP(_xlpm.ai_test,$BI$15:$BI$62,ROW($BI$15:$BI$62),0,1),IFERROR(_xlfn.XLOOKUP(_xlpm.ai_test,$BJ$15:$BJ$62,ROW($BJ$15:$BJ$62),0,1),_xlfn.XLOOKUP(_xlpm.ai_test,$BK$15:$BK$62,ROW($BK$15:$BK$62),0,1))),_xlpm.p,_xlpm.r-MIN(ROW($BI$15:$BI$62))+1,_xlpm.f,INDEX($BL$15:$BL$62,_xlpm.p),_xlpm.u,INDEX($BM$15:$BM$62,_xlpm.p),_xlpm.s,INDEX($BO$15:$BO$62,_xlpm.p),_xlpm.q,N(AT66)/_xlpm.f,IF(_xlpm.q&gt;=_xlpm.s,ROUND(_xlpm.q,1)&amp;" "&amp;_xlpm.ai_test&amp;" = "&amp;ROUND(_xlpm.q*_xlpm.f,1)&amp;" "&amp;_xlpm.u,ROUND(_xlpm.q,1)&amp;" "&amp;_xlpm.ai_test)),""),""))))</f>
        <v>0</v>
      </c>
      <c r="AW66" s="1047"/>
      <c r="AX66" s="1034">
        <f t="shared" si="29"/>
        <v>0</v>
      </c>
      <c r="AY66" s="1035" t="str">
        <f t="shared" si="30"/>
        <v/>
      </c>
      <c r="AZ66" s="1036">
        <f t="shared" si="37"/>
        <v>0</v>
      </c>
      <c r="BA66" s="1037" t="str">
        <f t="shared" si="31"/>
        <v/>
      </c>
      <c r="BB66" s="1038"/>
      <c r="BC66" s="1039">
        <f t="shared" si="40"/>
        <v>0</v>
      </c>
      <c r="BD66" s="1040" t="str">
        <f t="shared" si="33"/>
        <v/>
      </c>
      <c r="BE66" s="227" t="s">
        <v>22</v>
      </c>
      <c r="BF66" s="1019">
        <f t="shared" si="34"/>
        <v>0</v>
      </c>
      <c r="BG66" s="1020">
        <f t="shared" si="35"/>
        <v>0</v>
      </c>
      <c r="BH66" s="1099"/>
      <c r="BI66" s="231"/>
      <c r="BJ66" s="231"/>
      <c r="BK66" s="231"/>
      <c r="BL66" s="231"/>
      <c r="BM66" s="231"/>
      <c r="BN66" s="231"/>
      <c r="BO66" s="231"/>
      <c r="BP66" s="231"/>
      <c r="BQ66"/>
      <c r="BR66"/>
      <c r="BS66"/>
      <c r="BT66"/>
      <c r="BU66"/>
      <c r="BV66"/>
      <c r="BW66" s="959" t="str">
        <f t="shared" si="10"/>
        <v>►</v>
      </c>
      <c r="BX66" s="1064"/>
      <c r="BY66" s="857"/>
      <c r="BZ66" s="857"/>
      <c r="CA66" s="858"/>
      <c r="CB66" s="858"/>
      <c r="CC66" s="957"/>
      <c r="CD66" s="1106">
        <f t="shared" ref="CD66:CJ66" ca="1" si="45">CELL("largeur",CD66)</f>
        <v>19</v>
      </c>
      <c r="CE66" s="1107">
        <f t="shared" ca="1" si="45"/>
        <v>18</v>
      </c>
      <c r="CF66" s="1107">
        <f t="shared" ca="1" si="45"/>
        <v>10</v>
      </c>
      <c r="CG66" s="1107">
        <f t="shared" ca="1" si="45"/>
        <v>16</v>
      </c>
      <c r="CH66" s="1107">
        <f t="shared" ca="1" si="45"/>
        <v>16</v>
      </c>
      <c r="CI66" s="1107">
        <f t="shared" ca="1" si="45"/>
        <v>11</v>
      </c>
      <c r="CJ66" s="1108">
        <f t="shared" ca="1" si="45"/>
        <v>40</v>
      </c>
      <c r="CL66" s="1106">
        <f t="shared" ref="CL66:CR66" ca="1" si="46">CELL("largeur",CL66)</f>
        <v>19</v>
      </c>
      <c r="CM66" s="1107">
        <f t="shared" ca="1" si="46"/>
        <v>18</v>
      </c>
      <c r="CN66" s="1107">
        <f t="shared" ca="1" si="46"/>
        <v>10</v>
      </c>
      <c r="CO66" s="1107">
        <f t="shared" ca="1" si="46"/>
        <v>16</v>
      </c>
      <c r="CP66" s="1107">
        <f t="shared" ca="1" si="46"/>
        <v>16</v>
      </c>
      <c r="CQ66" s="1107">
        <f t="shared" ca="1" si="46"/>
        <v>11</v>
      </c>
      <c r="CR66" s="1108">
        <f t="shared" ca="1" si="46"/>
        <v>40</v>
      </c>
      <c r="CT66" s="1103">
        <v>19</v>
      </c>
      <c r="CU66" s="1104">
        <v>18</v>
      </c>
      <c r="CV66" s="1104">
        <v>10</v>
      </c>
      <c r="CW66" s="1104">
        <v>16</v>
      </c>
      <c r="CX66" s="1104">
        <v>16</v>
      </c>
      <c r="CY66" s="1104">
        <v>11</v>
      </c>
      <c r="CZ66" s="1105">
        <v>40</v>
      </c>
      <c r="DB66" s="3">
        <v>1</v>
      </c>
    </row>
    <row r="67" spans="1:106" s="709" customFormat="1" ht="21" customHeight="1" thickBot="1">
      <c r="A67" s="936" t="s">
        <v>22</v>
      </c>
      <c r="B67" s="952" t="str">
        <f t="shared" si="9"/>
        <v>A</v>
      </c>
      <c r="C67" s="993" cm="1">
        <f t="array" ref="C67">SUMPRODUCT(LEN(D67:J67))</f>
        <v>0</v>
      </c>
      <c r="D67" s="167"/>
      <c r="E67" s="172"/>
      <c r="F67" s="172"/>
      <c r="G67" s="172"/>
      <c r="H67" s="172"/>
      <c r="I67" s="172"/>
      <c r="J67" s="173"/>
      <c r="K67" s="442" t="s">
        <v>22</v>
      </c>
      <c r="L67" s="27" t="s">
        <v>11</v>
      </c>
      <c r="M67" s="32" t="str">
        <f>M69</f>
        <v>T TERRINE DE PIEDS DE PORC pour tranches | | Auteur &gt; Guy KRENZE - Eric GODDYN - Arnaud NICOLAS - CEPROC 2002</v>
      </c>
      <c r="N67" s="33">
        <f>N69</f>
        <v>1</v>
      </c>
      <c r="O67" s="33" t="str">
        <f>O69</f>
        <v xml:space="preserve">moule L 30 cm X l 9 cm X H 6 cm </v>
      </c>
      <c r="P67" s="34" t="str">
        <f>P69</f>
        <v>Recette mère ► le Boudin en 4 déclinaisons</v>
      </c>
      <c r="Q67" s="50">
        <v>1</v>
      </c>
      <c r="R67" s="5053" t="s">
        <v>12965</v>
      </c>
      <c r="S67" s="42"/>
      <c r="T67" s="42"/>
      <c r="U67" s="5477"/>
      <c r="V67" s="5477"/>
      <c r="W67" s="5477"/>
      <c r="X67" s="46">
        <v>2</v>
      </c>
      <c r="Y67" s="5478" t="str">
        <f>R67</f>
        <v xml:space="preserve">moule L 30 cm X l 9 cm X H 6 cm </v>
      </c>
      <c r="Z67" s="5479"/>
      <c r="AA67" s="5211"/>
      <c r="AB67" s="1178"/>
      <c r="AC67" s="1179"/>
      <c r="AD67" s="227" t="s">
        <v>22</v>
      </c>
      <c r="AE67" s="1027" t="str">
        <f t="shared" si="15"/>
        <v>►</v>
      </c>
      <c r="AF67" s="1028" t="str">
        <f t="shared" si="16"/>
        <v/>
      </c>
      <c r="AG67" s="1029" t="str">
        <f t="shared" si="17"/>
        <v/>
      </c>
      <c r="AH67" s="1028" t="str">
        <f t="shared" si="18"/>
        <v/>
      </c>
      <c r="AI67" s="1029" t="str">
        <f t="shared" si="19"/>
        <v/>
      </c>
      <c r="AJ67" s="1029">
        <f t="shared" si="20"/>
        <v>0</v>
      </c>
      <c r="AK67" s="1043" t="str" cm="1">
        <f t="array" ref="AK67">IF(AE67&lt;&gt;"A","",IFERROR((IFERROR(_xlfn.XLOOKUP(TRIM(SUBSTITUTE(U67,CHAR(160)," ")),$BI$15:$BI$62,$BL$15:$BL$62),IFERROR(_xlfn.XLOOKUP(TRIM(SUBSTITUTE(U67,CHAR(160)," ")),$BJ$15:$BJ$62,$BL$15:$BL$62),_xlfn.XLOOKUP(TRIM(SUBSTITUTE(U67,CHAR(160)," ")),$BK$15:$BK$62,$BL$15:$BL$62))))*T67*IF(ISBLANK(Q67),1,Q67)+IFERROR(_xlfn.XLOOKUP("RECHERCHEX",TRIM(L67:AC67),L67:AC67),0),0))</f>
        <v/>
      </c>
      <c r="AL67" s="1030">
        <f t="shared" si="21"/>
        <v>0</v>
      </c>
      <c r="AM67" s="5254" t="str">
        <f t="shared" si="42"/>
        <v/>
      </c>
      <c r="AN67" s="1031">
        <f t="shared" si="23"/>
        <v>0</v>
      </c>
      <c r="AO67" s="1031">
        <f t="shared" si="24"/>
        <v>0</v>
      </c>
      <c r="AP67" s="1044">
        <f t="shared" si="25"/>
        <v>0</v>
      </c>
      <c r="AQ67" s="5257" t="str">
        <f t="shared" si="26"/>
        <v/>
      </c>
      <c r="AR67" s="1056"/>
      <c r="AS67" s="1056"/>
      <c r="AT67" s="1045">
        <f t="shared" si="27"/>
        <v>0</v>
      </c>
      <c r="AU67" s="1046">
        <f t="shared" si="28"/>
        <v>0</v>
      </c>
      <c r="AV67" s="1059" cm="1">
        <f t="array" ref="AV67">IF(AJ67&lt;&gt;1,0,IF(OR(AT67="",N(AT67)&lt;=0.000000001),"",IF(OR(AN67="",N(AN67)&lt;=0.000000001),0,IF(ISNUMBER(AT67),IFERROR(_xlfn.LET(_xlpm.ai_test,TRIM(AI67),_xlpm.r,IFERROR(_xlfn.XLOOKUP(_xlpm.ai_test,$BI$15:$BI$62,ROW($BI$15:$BI$62),0,1),IFERROR(_xlfn.XLOOKUP(_xlpm.ai_test,$BJ$15:$BJ$62,ROW($BJ$15:$BJ$62),0,1),_xlfn.XLOOKUP(_xlpm.ai_test,$BK$15:$BK$62,ROW($BK$15:$BK$62),0,1))),_xlpm.p,_xlpm.r-MIN(ROW($BI$15:$BI$62))+1,_xlpm.f,INDEX($BL$15:$BL$62,_xlpm.p),_xlpm.u,INDEX($BM$15:$BM$62,_xlpm.p),_xlpm.s,INDEX($BO$15:$BO$62,_xlpm.p),_xlpm.q,N(AT67)/_xlpm.f,IF(_xlpm.q&gt;=_xlpm.s,ROUND(_xlpm.q,1)&amp;" "&amp;_xlpm.ai_test&amp;" = "&amp;ROUND(_xlpm.q*_xlpm.f,1)&amp;" "&amp;_xlpm.u,ROUND(_xlpm.q,1)&amp;" "&amp;_xlpm.ai_test)),""),""))))</f>
        <v>0</v>
      </c>
      <c r="AW67" s="1047"/>
      <c r="AX67" s="1045">
        <f t="shared" si="29"/>
        <v>0</v>
      </c>
      <c r="AY67" s="1046" t="str">
        <f t="shared" si="30"/>
        <v/>
      </c>
      <c r="AZ67" s="1048">
        <f t="shared" si="37"/>
        <v>0</v>
      </c>
      <c r="BA67" s="1049" t="str">
        <f t="shared" si="31"/>
        <v/>
      </c>
      <c r="BB67" s="1038"/>
      <c r="BC67" s="1050">
        <f t="shared" si="40"/>
        <v>0</v>
      </c>
      <c r="BD67" s="1040" t="str">
        <f t="shared" si="33"/>
        <v/>
      </c>
      <c r="BE67" s="227" t="s">
        <v>22</v>
      </c>
      <c r="BF67" s="1019">
        <f t="shared" si="34"/>
        <v>0</v>
      </c>
      <c r="BG67" s="1020">
        <f t="shared" si="35"/>
        <v>0</v>
      </c>
      <c r="BH67"/>
      <c r="BI67" s="5504" t="s">
        <v>1952</v>
      </c>
      <c r="BJ67" s="5504"/>
      <c r="BK67" s="5504"/>
      <c r="BL67" s="5504"/>
      <c r="BM67" s="5504"/>
      <c r="BN67" s="5504"/>
      <c r="BO67" s="5504"/>
      <c r="BP67" s="5504"/>
      <c r="BQ67"/>
      <c r="BR67"/>
      <c r="BS67"/>
      <c r="BT67"/>
      <c r="BU67"/>
      <c r="BV67"/>
      <c r="BW67" s="959" t="str">
        <f t="shared" si="10"/>
        <v>►</v>
      </c>
      <c r="BX67" s="5538" t="s">
        <v>13491</v>
      </c>
      <c r="BY67" s="5538"/>
      <c r="BZ67" s="5538"/>
      <c r="CA67" s="5538"/>
      <c r="CB67" s="5538"/>
      <c r="CC67" s="957"/>
      <c r="CT67" s="1106">
        <f t="shared" ref="CT67:CZ67" ca="1" si="47">CELL("largeur",CT67)</f>
        <v>19</v>
      </c>
      <c r="CU67" s="1107">
        <f t="shared" ca="1" si="47"/>
        <v>18</v>
      </c>
      <c r="CV67" s="1107">
        <f t="shared" ca="1" si="47"/>
        <v>10</v>
      </c>
      <c r="CW67" s="1107">
        <f t="shared" ca="1" si="47"/>
        <v>16</v>
      </c>
      <c r="CX67" s="1107">
        <f t="shared" ca="1" si="47"/>
        <v>16</v>
      </c>
      <c r="CY67" s="1107">
        <f t="shared" ca="1" si="47"/>
        <v>11</v>
      </c>
      <c r="CZ67" s="1108">
        <f t="shared" ca="1" si="47"/>
        <v>40</v>
      </c>
      <c r="DB67" s="3">
        <v>1</v>
      </c>
    </row>
    <row r="68" spans="1:106" s="709" customFormat="1" ht="21" customHeight="1">
      <c r="A68" s="936" t="s">
        <v>22</v>
      </c>
      <c r="B68" s="952" t="str">
        <f t="shared" si="9"/>
        <v>►</v>
      </c>
      <c r="C68" s="993" cm="1">
        <f t="array" ref="C68">SUMPRODUCT(LEN(D68:J68))</f>
        <v>0</v>
      </c>
      <c r="D68" s="167"/>
      <c r="E68" s="172"/>
      <c r="F68" s="172"/>
      <c r="G68" s="172"/>
      <c r="H68" s="172"/>
      <c r="I68" s="172"/>
      <c r="J68" s="173"/>
      <c r="K68" s="442" t="s">
        <v>22</v>
      </c>
      <c r="L68" s="27" t="s">
        <v>16</v>
      </c>
      <c r="M68" s="32" t="str">
        <f>M69</f>
        <v>T TERRINE DE PIEDS DE PORC pour tranches | | Auteur &gt; Guy KRENZE - Eric GODDYN - Arnaud NICOLAS - CEPROC 2002</v>
      </c>
      <c r="N68" s="33">
        <f>N69</f>
        <v>1</v>
      </c>
      <c r="O68" s="33" t="str">
        <f>O69</f>
        <v xml:space="preserve">moule L 30 cm X l 9 cm X H 6 cm </v>
      </c>
      <c r="P68" s="34" t="str">
        <f>P69</f>
        <v>Recette mère ► le Boudin en 4 déclinaisons</v>
      </c>
      <c r="Q68" s="56"/>
      <c r="R68" s="5165" t="s">
        <v>13098</v>
      </c>
      <c r="S68" s="5468">
        <f>Y88/V68</f>
        <v>1.0309999999999999</v>
      </c>
      <c r="T68" s="5468"/>
      <c r="U68" s="5054" t="str" cm="1">
        <f t="array" ref="U68">"1= "&amp;IF(OR(Q67&lt;=0,S68=""),"",_xlfn.LET(_xlpm.kg,IF(ISNUMBER(S68),S68,VALEUR(SUBSTITUTE(SUBSTITUTE(SUBSTITUTE(LOWER(S68),"kg",""),",",".")," ",""))),TEXT(ROUND(_xlpm.kg*1000/Q67,2),"0.##")&amp;" g"))</f>
        <v>1= 1031. g</v>
      </c>
      <c r="V68" s="1490">
        <f>IFERROR(X67/Q67,0)</f>
        <v>2</v>
      </c>
      <c r="W68" s="45"/>
      <c r="X68" s="5041" t="s">
        <v>50</v>
      </c>
      <c r="Y68" s="5042">
        <f>Y88</f>
        <v>2.0619999999999998</v>
      </c>
      <c r="Z68" s="5043"/>
      <c r="AA68" s="5211"/>
      <c r="AB68" s="1178"/>
      <c r="AC68" s="1179"/>
      <c r="AD68" s="227" t="s">
        <v>22</v>
      </c>
      <c r="AE68" s="1027" t="str">
        <f t="shared" si="15"/>
        <v>►</v>
      </c>
      <c r="AF68" s="1028" t="str">
        <f t="shared" si="16"/>
        <v/>
      </c>
      <c r="AG68" s="1029" t="str">
        <f t="shared" si="17"/>
        <v/>
      </c>
      <c r="AH68" s="1028" t="str">
        <f t="shared" si="18"/>
        <v/>
      </c>
      <c r="AI68" s="1029" t="str">
        <f t="shared" si="19"/>
        <v/>
      </c>
      <c r="AJ68" s="1029">
        <f t="shared" si="20"/>
        <v>0</v>
      </c>
      <c r="AK68" s="1043" t="str" cm="1">
        <f t="array" ref="AK68">IF(AE68&lt;&gt;"A","",IFERROR((IFERROR(_xlfn.XLOOKUP(TRIM(SUBSTITUTE(U68,CHAR(160)," ")),$BI$15:$BI$62,$BL$15:$BL$62),IFERROR(_xlfn.XLOOKUP(TRIM(SUBSTITUTE(U68,CHAR(160)," ")),$BJ$15:$BJ$62,$BL$15:$BL$62),_xlfn.XLOOKUP(TRIM(SUBSTITUTE(U68,CHAR(160)," ")),$BK$15:$BK$62,$BL$15:$BL$62))))*T68*IF(ISBLANK(Q68),1,Q68)+IFERROR(_xlfn.XLOOKUP("RECHERCHEX",TRIM(L68:AC68),L68:AC68),0),0))</f>
        <v/>
      </c>
      <c r="AL68" s="1030">
        <f t="shared" si="21"/>
        <v>0</v>
      </c>
      <c r="AM68" s="5254" t="str">
        <f t="shared" si="42"/>
        <v/>
      </c>
      <c r="AN68" s="1031">
        <f t="shared" si="23"/>
        <v>0</v>
      </c>
      <c r="AO68" s="1031">
        <f t="shared" si="24"/>
        <v>0</v>
      </c>
      <c r="AP68" s="1032">
        <f t="shared" si="25"/>
        <v>0</v>
      </c>
      <c r="AQ68" s="5255" t="str">
        <f t="shared" si="26"/>
        <v/>
      </c>
      <c r="AR68" s="1056"/>
      <c r="AS68" s="1056"/>
      <c r="AT68" s="1034">
        <f t="shared" si="27"/>
        <v>0</v>
      </c>
      <c r="AU68" s="1035">
        <f t="shared" si="28"/>
        <v>0</v>
      </c>
      <c r="AV68" s="1057" cm="1">
        <f t="array" ref="AV68">IF(AJ68&lt;&gt;1,0,IF(OR(AT68="",N(AT68)&lt;=0.000000001),"",IF(OR(AN68="",N(AN68)&lt;=0.000000001),0,IF(ISNUMBER(AT68),IFERROR(_xlfn.LET(_xlpm.ai_test,TRIM(AI68),_xlpm.r,IFERROR(_xlfn.XLOOKUP(_xlpm.ai_test,$BI$15:$BI$62,ROW($BI$15:$BI$62),0,1),IFERROR(_xlfn.XLOOKUP(_xlpm.ai_test,$BJ$15:$BJ$62,ROW($BJ$15:$BJ$62),0,1),_xlfn.XLOOKUP(_xlpm.ai_test,$BK$15:$BK$62,ROW($BK$15:$BK$62),0,1))),_xlpm.p,_xlpm.r-MIN(ROW($BI$15:$BI$62))+1,_xlpm.f,INDEX($BL$15:$BL$62,_xlpm.p),_xlpm.u,INDEX($BM$15:$BM$62,_xlpm.p),_xlpm.s,INDEX($BO$15:$BO$62,_xlpm.p),_xlpm.q,N(AT68)/_xlpm.f,IF(_xlpm.q&gt;=_xlpm.s,ROUND(_xlpm.q,1)&amp;" "&amp;_xlpm.ai_test&amp;" = "&amp;ROUND(_xlpm.q*_xlpm.f,1)&amp;" "&amp;_xlpm.u,ROUND(_xlpm.q,1)&amp;" "&amp;_xlpm.ai_test)),""),""))))</f>
        <v>0</v>
      </c>
      <c r="AW68" s="1047"/>
      <c r="AX68" s="1034">
        <f t="shared" si="29"/>
        <v>0</v>
      </c>
      <c r="AY68" s="1035" t="str">
        <f t="shared" si="30"/>
        <v/>
      </c>
      <c r="AZ68" s="1036">
        <f t="shared" si="37"/>
        <v>0</v>
      </c>
      <c r="BA68" s="1037" t="str">
        <f t="shared" si="31"/>
        <v/>
      </c>
      <c r="BB68" s="1038"/>
      <c r="BC68" s="1039">
        <f t="shared" si="40"/>
        <v>0</v>
      </c>
      <c r="BD68" s="1040" t="str">
        <f t="shared" si="33"/>
        <v/>
      </c>
      <c r="BE68" s="227" t="s">
        <v>22</v>
      </c>
      <c r="BF68" s="1019">
        <f t="shared" si="34"/>
        <v>0</v>
      </c>
      <c r="BG68" s="1020">
        <f t="shared" si="35"/>
        <v>0</v>
      </c>
      <c r="BH68"/>
      <c r="BI68" s="5504"/>
      <c r="BJ68" s="5504"/>
      <c r="BK68" s="5504"/>
      <c r="BL68" s="5504"/>
      <c r="BM68" s="5504"/>
      <c r="BN68" s="5504"/>
      <c r="BO68" s="5504"/>
      <c r="BP68" s="5504"/>
      <c r="BQ68"/>
      <c r="BR68"/>
      <c r="BS68"/>
      <c r="BT68"/>
      <c r="BU68"/>
      <c r="BV68"/>
      <c r="BW68" s="959" t="str">
        <f t="shared" si="10"/>
        <v>►</v>
      </c>
      <c r="BX68" s="5538"/>
      <c r="BY68" s="5538"/>
      <c r="BZ68" s="5538"/>
      <c r="CA68" s="5538"/>
      <c r="CB68" s="5538"/>
      <c r="CC68" s="957"/>
      <c r="DB68" s="3">
        <v>1</v>
      </c>
    </row>
    <row r="69" spans="1:106" s="709" customFormat="1" ht="21" customHeight="1">
      <c r="A69" s="936" t="s">
        <v>22</v>
      </c>
      <c r="B69" s="952" t="str">
        <f t="shared" ref="B69:B132" si="48">L69</f>
        <v>►</v>
      </c>
      <c r="C69" s="993" cm="1">
        <f t="array" ref="C69">SUMPRODUCT(LEN(D69:J69))</f>
        <v>0</v>
      </c>
      <c r="D69" s="167"/>
      <c r="E69" s="172"/>
      <c r="F69" s="172"/>
      <c r="G69" s="172"/>
      <c r="H69" s="172"/>
      <c r="I69" s="172"/>
      <c r="J69" s="173"/>
      <c r="K69" s="442" t="s">
        <v>22</v>
      </c>
      <c r="L69" s="64" t="s">
        <v>16</v>
      </c>
      <c r="M69" s="65" t="str">
        <f>Q69</f>
        <v>T TERRINE DE PIEDS DE PORC pour tranches | | Auteur &gt; Guy KRENZE - Eric GODDYN - Arnaud NICOLAS - CEPROC 2002</v>
      </c>
      <c r="N69" s="66">
        <f>Q67</f>
        <v>1</v>
      </c>
      <c r="O69" s="65" t="str">
        <f>R67</f>
        <v xml:space="preserve">moule L 30 cm X l 9 cm X H 6 cm </v>
      </c>
      <c r="P69" s="67" t="str">
        <f>V69&amp;" "&amp;W69</f>
        <v>Recette mère ► le Boudin en 4 déclinaisons</v>
      </c>
      <c r="Q69" s="68" t="str">
        <f>UPPER(LEFT(R63,1))&amp;" "&amp;R63&amp;" | "&amp;Y63&amp;"| "&amp;T65&amp;" "&amp;U65</f>
        <v>T TERRINE DE PIEDS DE PORC pour tranches | | Auteur &gt; Guy KRENZE - Eric GODDYN - Arnaud NICOLAS - CEPROC 2002</v>
      </c>
      <c r="R69" s="69" t="s">
        <v>54</v>
      </c>
      <c r="S69" s="5469" t="s">
        <v>55</v>
      </c>
      <c r="T69" s="5469"/>
      <c r="U69" s="5469"/>
      <c r="V69" s="70" t="str">
        <f>IF(ISTEXT(W69),"Recette mère ►",R69)</f>
        <v>Recette mère ►</v>
      </c>
      <c r="W69" s="71" t="s">
        <v>12836</v>
      </c>
      <c r="X69" s="71"/>
      <c r="Y69" s="72"/>
      <c r="Z69" s="1473"/>
      <c r="AA69" s="5211"/>
      <c r="AB69" s="1178"/>
      <c r="AC69" s="1179"/>
      <c r="AD69" s="227" t="s">
        <v>22</v>
      </c>
      <c r="AE69" s="1027" t="str">
        <f t="shared" si="15"/>
        <v>►</v>
      </c>
      <c r="AF69" s="1028" t="str">
        <f t="shared" si="16"/>
        <v/>
      </c>
      <c r="AG69" s="1029" t="str">
        <f t="shared" si="17"/>
        <v/>
      </c>
      <c r="AH69" s="1028" t="str">
        <f t="shared" si="18"/>
        <v/>
      </c>
      <c r="AI69" s="1029" t="str">
        <f t="shared" si="19"/>
        <v/>
      </c>
      <c r="AJ69" s="1029">
        <f t="shared" si="20"/>
        <v>0</v>
      </c>
      <c r="AK69" s="1043" t="str" cm="1">
        <f t="array" ref="AK69">IF(AE69&lt;&gt;"A","",IFERROR((IFERROR(_xlfn.XLOOKUP(TRIM(SUBSTITUTE(U69,CHAR(160)," ")),$BI$15:$BI$62,$BL$15:$BL$62),IFERROR(_xlfn.XLOOKUP(TRIM(SUBSTITUTE(U69,CHAR(160)," ")),$BJ$15:$BJ$62,$BL$15:$BL$62),_xlfn.XLOOKUP(TRIM(SUBSTITUTE(U69,CHAR(160)," ")),$BK$15:$BK$62,$BL$15:$BL$62))))*T69*IF(ISBLANK(Q69),1,Q69)+IFERROR(_xlfn.XLOOKUP("RECHERCHEX",TRIM(L69:AC69),L69:AC69),0),0))</f>
        <v/>
      </c>
      <c r="AL69" s="1030">
        <f t="shared" si="21"/>
        <v>0</v>
      </c>
      <c r="AM69" s="5254" t="str">
        <f t="shared" si="42"/>
        <v/>
      </c>
      <c r="AN69" s="1031">
        <f t="shared" si="23"/>
        <v>0</v>
      </c>
      <c r="AO69" s="1031">
        <f t="shared" si="24"/>
        <v>0</v>
      </c>
      <c r="AP69" s="1044">
        <f t="shared" si="25"/>
        <v>0</v>
      </c>
      <c r="AQ69" s="5257" t="str">
        <f t="shared" si="26"/>
        <v/>
      </c>
      <c r="AR69" s="1056"/>
      <c r="AS69" s="1056"/>
      <c r="AT69" s="1045">
        <f t="shared" si="27"/>
        <v>0</v>
      </c>
      <c r="AU69" s="1046">
        <f t="shared" si="28"/>
        <v>0</v>
      </c>
      <c r="AV69" s="1059" cm="1">
        <f t="array" ref="AV69">IF(AJ69&lt;&gt;1,0,IF(OR(AT69="",N(AT69)&lt;=0.000000001),"",IF(OR(AN69="",N(AN69)&lt;=0.000000001),0,IF(ISNUMBER(AT69),IFERROR(_xlfn.LET(_xlpm.ai_test,TRIM(AI69),_xlpm.r,IFERROR(_xlfn.XLOOKUP(_xlpm.ai_test,$BI$15:$BI$62,ROW($BI$15:$BI$62),0,1),IFERROR(_xlfn.XLOOKUP(_xlpm.ai_test,$BJ$15:$BJ$62,ROW($BJ$15:$BJ$62),0,1),_xlfn.XLOOKUP(_xlpm.ai_test,$BK$15:$BK$62,ROW($BK$15:$BK$62),0,1))),_xlpm.p,_xlpm.r-MIN(ROW($BI$15:$BI$62))+1,_xlpm.f,INDEX($BL$15:$BL$62,_xlpm.p),_xlpm.u,INDEX($BM$15:$BM$62,_xlpm.p),_xlpm.s,INDEX($BO$15:$BO$62,_xlpm.p),_xlpm.q,N(AT69)/_xlpm.f,IF(_xlpm.q&gt;=_xlpm.s,ROUND(_xlpm.q,1)&amp;" "&amp;_xlpm.ai_test&amp;" = "&amp;ROUND(_xlpm.q*_xlpm.f,1)&amp;" "&amp;_xlpm.u,ROUND(_xlpm.q,1)&amp;" "&amp;_xlpm.ai_test)),""),""))))</f>
        <v>0</v>
      </c>
      <c r="AW69" s="1047"/>
      <c r="AX69" s="1045">
        <f t="shared" si="29"/>
        <v>0</v>
      </c>
      <c r="AY69" s="1046" t="str">
        <f t="shared" si="30"/>
        <v/>
      </c>
      <c r="AZ69" s="1048">
        <f t="shared" si="37"/>
        <v>0</v>
      </c>
      <c r="BA69" s="1049" t="str">
        <f t="shared" si="31"/>
        <v/>
      </c>
      <c r="BB69" s="1038"/>
      <c r="BC69" s="1050">
        <f t="shared" si="40"/>
        <v>0</v>
      </c>
      <c r="BD69" s="1040" t="str">
        <f t="shared" si="33"/>
        <v/>
      </c>
      <c r="BE69" s="227" t="s">
        <v>22</v>
      </c>
      <c r="BF69" s="1019">
        <f t="shared" si="34"/>
        <v>0</v>
      </c>
      <c r="BG69" s="1020">
        <f t="shared" si="35"/>
        <v>0</v>
      </c>
      <c r="BI69" s="5504" t="s">
        <v>1953</v>
      </c>
      <c r="BJ69" s="5504"/>
      <c r="BK69" s="5504"/>
      <c r="BL69" s="5504"/>
      <c r="BM69" s="5504"/>
      <c r="BN69" s="5504"/>
      <c r="BO69" s="5504"/>
      <c r="BP69" s="5504"/>
      <c r="BQ69"/>
      <c r="BR69"/>
      <c r="BS69"/>
      <c r="BT69"/>
      <c r="BU69"/>
      <c r="BV69"/>
      <c r="BW69" s="959" t="str">
        <f t="shared" ref="BW69:BW132" si="49">AE69</f>
        <v>►</v>
      </c>
      <c r="BX69" s="5538"/>
      <c r="BY69" s="5538"/>
      <c r="BZ69" s="5538"/>
      <c r="CA69" s="5538"/>
      <c r="CB69" s="5538"/>
      <c r="CC69" s="957"/>
      <c r="DB69" s="3">
        <v>1</v>
      </c>
    </row>
    <row r="70" spans="1:106" s="709" customFormat="1" ht="21" customHeight="1">
      <c r="A70" s="936" t="s">
        <v>22</v>
      </c>
      <c r="B70" s="952" t="str">
        <f t="shared" si="48"/>
        <v>►</v>
      </c>
      <c r="C70" s="993" cm="1">
        <f t="array" ref="C70">SUMPRODUCT(LEN(D70:J70))</f>
        <v>0</v>
      </c>
      <c r="D70" s="167"/>
      <c r="E70" s="172"/>
      <c r="F70" s="172"/>
      <c r="G70" s="172"/>
      <c r="H70" s="172"/>
      <c r="I70" s="172"/>
      <c r="J70" s="173"/>
      <c r="K70" s="442" t="s">
        <v>22</v>
      </c>
      <c r="L70" s="74" t="s">
        <v>16</v>
      </c>
      <c r="M70" s="75" t="str">
        <f>M69</f>
        <v>T TERRINE DE PIEDS DE PORC pour tranches | | Auteur &gt; Guy KRENZE - Eric GODDYN - Arnaud NICOLAS - CEPROC 2002</v>
      </c>
      <c r="N70" s="75">
        <f>N69</f>
        <v>1</v>
      </c>
      <c r="O70" s="75" t="str">
        <f>O69</f>
        <v xml:space="preserve">moule L 30 cm X l 9 cm X H 6 cm </v>
      </c>
      <c r="P70" s="76" t="str">
        <f>P69</f>
        <v>Recette mère ► le Boudin en 4 déclinaisons</v>
      </c>
      <c r="Q70" s="13" t="s">
        <v>66</v>
      </c>
      <c r="R70" s="13" t="s">
        <v>67</v>
      </c>
      <c r="S70" s="13" t="s">
        <v>68</v>
      </c>
      <c r="T70" s="13" t="s">
        <v>69</v>
      </c>
      <c r="U70" s="77" t="s">
        <v>70</v>
      </c>
      <c r="V70" s="78" t="s">
        <v>71</v>
      </c>
      <c r="W70" s="79" t="s">
        <v>72</v>
      </c>
      <c r="X70" s="1496" t="s">
        <v>73</v>
      </c>
      <c r="Y70" s="13" t="s">
        <v>74</v>
      </c>
      <c r="Z70" s="518" t="s">
        <v>75</v>
      </c>
      <c r="AA70" s="5211"/>
      <c r="AB70" s="1178"/>
      <c r="AC70" s="1179"/>
      <c r="AD70" s="227" t="s">
        <v>22</v>
      </c>
      <c r="AE70" s="1027" t="str">
        <f t="shared" si="15"/>
        <v>►</v>
      </c>
      <c r="AF70" s="1028" t="str">
        <f t="shared" si="16"/>
        <v/>
      </c>
      <c r="AG70" s="1029" t="str">
        <f t="shared" si="17"/>
        <v/>
      </c>
      <c r="AH70" s="1028" t="str">
        <f t="shared" si="18"/>
        <v/>
      </c>
      <c r="AI70" s="1029" t="str">
        <f t="shared" si="19"/>
        <v/>
      </c>
      <c r="AJ70" s="1029">
        <f t="shared" si="20"/>
        <v>0</v>
      </c>
      <c r="AK70" s="1043" t="str" cm="1">
        <f t="array" ref="AK70">IF(AE70&lt;&gt;"A","",IFERROR((IFERROR(_xlfn.XLOOKUP(TRIM(SUBSTITUTE(U70,CHAR(160)," ")),$BI$15:$BI$62,$BL$15:$BL$62),IFERROR(_xlfn.XLOOKUP(TRIM(SUBSTITUTE(U70,CHAR(160)," ")),$BJ$15:$BJ$62,$BL$15:$BL$62),_xlfn.XLOOKUP(TRIM(SUBSTITUTE(U70,CHAR(160)," ")),$BK$15:$BK$62,$BL$15:$BL$62))))*T70*IF(ISBLANK(Q70),1,Q70)+IFERROR(_xlfn.XLOOKUP("RECHERCHEX",TRIM(L70:AC70),L70:AC70),0),0))</f>
        <v/>
      </c>
      <c r="AL70" s="1030">
        <f t="shared" si="21"/>
        <v>0</v>
      </c>
      <c r="AM70" s="5254" t="str">
        <f t="shared" si="42"/>
        <v/>
      </c>
      <c r="AN70" s="1031">
        <f t="shared" si="23"/>
        <v>0</v>
      </c>
      <c r="AO70" s="1031">
        <f t="shared" si="24"/>
        <v>0</v>
      </c>
      <c r="AP70" s="1032">
        <f t="shared" si="25"/>
        <v>0</v>
      </c>
      <c r="AQ70" s="5255" t="str">
        <f t="shared" si="26"/>
        <v/>
      </c>
      <c r="AR70" s="1056"/>
      <c r="AS70" s="1056"/>
      <c r="AT70" s="1034">
        <f t="shared" si="27"/>
        <v>0</v>
      </c>
      <c r="AU70" s="1035">
        <f t="shared" si="28"/>
        <v>0</v>
      </c>
      <c r="AV70" s="1057" cm="1">
        <f t="array" ref="AV70">IF(AJ70&lt;&gt;1,0,IF(OR(AT70="",N(AT70)&lt;=0.000000001),"",IF(OR(AN70="",N(AN70)&lt;=0.000000001),0,IF(ISNUMBER(AT70),IFERROR(_xlfn.LET(_xlpm.ai_test,TRIM(AI70),_xlpm.r,IFERROR(_xlfn.XLOOKUP(_xlpm.ai_test,$BI$15:$BI$62,ROW($BI$15:$BI$62),0,1),IFERROR(_xlfn.XLOOKUP(_xlpm.ai_test,$BJ$15:$BJ$62,ROW($BJ$15:$BJ$62),0,1),_xlfn.XLOOKUP(_xlpm.ai_test,$BK$15:$BK$62,ROW($BK$15:$BK$62),0,1))),_xlpm.p,_xlpm.r-MIN(ROW($BI$15:$BI$62))+1,_xlpm.f,INDEX($BL$15:$BL$62,_xlpm.p),_xlpm.u,INDEX($BM$15:$BM$62,_xlpm.p),_xlpm.s,INDEX($BO$15:$BO$62,_xlpm.p),_xlpm.q,N(AT70)/_xlpm.f,IF(_xlpm.q&gt;=_xlpm.s,ROUND(_xlpm.q,1)&amp;" "&amp;_xlpm.ai_test&amp;" = "&amp;ROUND(_xlpm.q*_xlpm.f,1)&amp;" "&amp;_xlpm.u,ROUND(_xlpm.q,1)&amp;" "&amp;_xlpm.ai_test)),""),""))))</f>
        <v>0</v>
      </c>
      <c r="AW70" s="1047"/>
      <c r="AX70" s="1034">
        <f t="shared" si="29"/>
        <v>0</v>
      </c>
      <c r="AY70" s="1035" t="str">
        <f t="shared" si="30"/>
        <v/>
      </c>
      <c r="AZ70" s="1036">
        <f t="shared" si="37"/>
        <v>0</v>
      </c>
      <c r="BA70" s="1037" t="str">
        <f t="shared" si="31"/>
        <v/>
      </c>
      <c r="BB70" s="1038"/>
      <c r="BC70" s="1039">
        <f t="shared" si="40"/>
        <v>0</v>
      </c>
      <c r="BD70" s="1040" t="str">
        <f t="shared" si="33"/>
        <v/>
      </c>
      <c r="BE70" s="227" t="s">
        <v>22</v>
      </c>
      <c r="BF70" s="1019">
        <f t="shared" si="34"/>
        <v>0</v>
      </c>
      <c r="BG70" s="1020">
        <f t="shared" si="35"/>
        <v>0</v>
      </c>
      <c r="BI70" s="5504"/>
      <c r="BJ70" s="5504"/>
      <c r="BK70" s="5504"/>
      <c r="BL70" s="5504"/>
      <c r="BM70" s="5504"/>
      <c r="BN70" s="5504"/>
      <c r="BO70" s="5504"/>
      <c r="BP70" s="5504"/>
      <c r="BQ70"/>
      <c r="BR70"/>
      <c r="BS70"/>
      <c r="BT70"/>
      <c r="BU70"/>
      <c r="BV70"/>
      <c r="BW70" s="959" t="str">
        <f t="shared" si="49"/>
        <v>►</v>
      </c>
      <c r="BX70" s="1064"/>
      <c r="BY70" s="857"/>
      <c r="BZ70" s="857"/>
      <c r="CA70" s="858"/>
      <c r="CB70" s="858"/>
      <c r="CC70" s="957"/>
      <c r="DB70" s="3">
        <v>1</v>
      </c>
    </row>
    <row r="71" spans="1:106" s="709" customFormat="1" ht="21" customHeight="1">
      <c r="A71" s="936" t="s">
        <v>22</v>
      </c>
      <c r="B71" s="952" t="str">
        <f t="shared" si="48"/>
        <v>A</v>
      </c>
      <c r="C71" s="993" cm="1">
        <f t="array" ref="C71">SUMPRODUCT(LEN(D71:J71))</f>
        <v>0</v>
      </c>
      <c r="D71" s="167"/>
      <c r="E71" s="172"/>
      <c r="F71" s="172"/>
      <c r="G71" s="172"/>
      <c r="H71" s="172"/>
      <c r="I71" s="172"/>
      <c r="J71" s="173"/>
      <c r="K71" s="442" t="s">
        <v>22</v>
      </c>
      <c r="L71" s="27" t="s">
        <v>11</v>
      </c>
      <c r="M71" s="32" t="str">
        <f>M69</f>
        <v>T TERRINE DE PIEDS DE PORC pour tranches | | Auteur &gt; Guy KRENZE - Eric GODDYN - Arnaud NICOLAS - CEPROC 2002</v>
      </c>
      <c r="N71" s="33">
        <f>N69</f>
        <v>1</v>
      </c>
      <c r="O71" s="32" t="str">
        <f>O69</f>
        <v xml:space="preserve">moule L 30 cm X l 9 cm X H 6 cm </v>
      </c>
      <c r="P71" s="34" t="str">
        <f>P69</f>
        <v>Recette mère ► le Boudin en 4 déclinaisons</v>
      </c>
      <c r="Q71" s="81" t="s">
        <v>77</v>
      </c>
      <c r="R71" s="82" t="s">
        <v>78</v>
      </c>
      <c r="S71" s="83"/>
      <c r="T71" s="5454" t="s">
        <v>79</v>
      </c>
      <c r="U71" s="5464" t="s">
        <v>80</v>
      </c>
      <c r="V71" s="5466" t="s">
        <v>81</v>
      </c>
      <c r="W71" s="84" t="s">
        <v>82</v>
      </c>
      <c r="X71" s="5444" t="s">
        <v>83</v>
      </c>
      <c r="Y71" s="5446" t="s">
        <v>3297</v>
      </c>
      <c r="Z71" s="5448" t="s">
        <v>86</v>
      </c>
      <c r="AA71" s="5211"/>
      <c r="AB71" s="1178"/>
      <c r="AC71" s="1179"/>
      <c r="AD71" s="227" t="s">
        <v>22</v>
      </c>
      <c r="AE71" s="1027" t="str">
        <f t="shared" si="15"/>
        <v>►</v>
      </c>
      <c r="AF71" s="1028" t="str">
        <f t="shared" si="16"/>
        <v/>
      </c>
      <c r="AG71" s="1029" t="str">
        <f t="shared" si="17"/>
        <v/>
      </c>
      <c r="AH71" s="1028" t="str">
        <f t="shared" si="18"/>
        <v/>
      </c>
      <c r="AI71" s="1029" t="str">
        <f t="shared" si="19"/>
        <v/>
      </c>
      <c r="AJ71" s="1029">
        <f t="shared" si="20"/>
        <v>0</v>
      </c>
      <c r="AK71" s="5263" t="str" cm="1">
        <f t="array" ref="AK71">IF(AE71&lt;&gt;"A","",IFERROR((IFERROR(_xlfn.XLOOKUP(TRIM(SUBSTITUTE(U71,CHAR(160)," ")),$BI$15:$BI$62,$BL$15:$BL$62),IFERROR(_xlfn.XLOOKUP(TRIM(SUBSTITUTE(U71,CHAR(160)," ")),$BJ$15:$BJ$62,$BL$15:$BL$62),_xlfn.XLOOKUP(TRIM(SUBSTITUTE(U71,CHAR(160)," ")),$BK$15:$BK$62,$BL$15:$BL$62))))*T71*IF(ISBLANK(Q71),1,Q71)+IFERROR(_xlfn.XLOOKUP("RECHERCHEX",TRIM(L71:AC71),L71:AC71),0),0))</f>
        <v/>
      </c>
      <c r="AL71" s="1030">
        <f t="shared" si="21"/>
        <v>0</v>
      </c>
      <c r="AM71" s="5254" t="str">
        <f t="shared" si="42"/>
        <v/>
      </c>
      <c r="AN71" s="1031">
        <f t="shared" si="23"/>
        <v>0</v>
      </c>
      <c r="AO71" s="1031">
        <f t="shared" si="24"/>
        <v>0</v>
      </c>
      <c r="AP71" s="1044">
        <f t="shared" si="25"/>
        <v>0</v>
      </c>
      <c r="AQ71" s="5257" t="str">
        <f t="shared" si="26"/>
        <v/>
      </c>
      <c r="AR71" s="5264"/>
      <c r="AS71" s="1033"/>
      <c r="AT71" s="1045">
        <f t="shared" si="27"/>
        <v>0</v>
      </c>
      <c r="AU71" s="1046">
        <f t="shared" si="28"/>
        <v>0</v>
      </c>
      <c r="AV71" s="1059" cm="1">
        <f t="array" ref="AV71">IF(AJ71&lt;&gt;1,0,IF(OR(AT71="",N(AT71)&lt;=0.000000001),"",IF(OR(AN71="",N(AN71)&lt;=0.000000001),0,IF(ISNUMBER(AT71),IFERROR(_xlfn.LET(_xlpm.ai_test,TRIM(AI71),_xlpm.r,IFERROR(_xlfn.XLOOKUP(_xlpm.ai_test,$BI$15:$BI$62,ROW($BI$15:$BI$62),0,1),IFERROR(_xlfn.XLOOKUP(_xlpm.ai_test,$BJ$15:$BJ$62,ROW($BJ$15:$BJ$62),0,1),_xlfn.XLOOKUP(_xlpm.ai_test,$BK$15:$BK$62,ROW($BK$15:$BK$62),0,1))),_xlpm.p,_xlpm.r-MIN(ROW($BI$15:$BI$62))+1,_xlpm.f,INDEX($BL$15:$BL$62,_xlpm.p),_xlpm.u,INDEX($BM$15:$BM$62,_xlpm.p),_xlpm.s,INDEX($BO$15:$BO$62,_xlpm.p),_xlpm.q,N(AT71)/_xlpm.f,IF(_xlpm.q&gt;=_xlpm.s,ROUND(_xlpm.q,1)&amp;" "&amp;_xlpm.ai_test&amp;" = "&amp;ROUND(_xlpm.q*_xlpm.f,1)&amp;" "&amp;_xlpm.u,ROUND(_xlpm.q,1)&amp;" "&amp;_xlpm.ai_test)),""),""))))</f>
        <v>0</v>
      </c>
      <c r="AW71" s="1047"/>
      <c r="AX71" s="1045">
        <f t="shared" si="29"/>
        <v>0</v>
      </c>
      <c r="AY71" s="1046" t="str">
        <f t="shared" si="30"/>
        <v/>
      </c>
      <c r="AZ71" s="1048">
        <f t="shared" si="37"/>
        <v>0</v>
      </c>
      <c r="BA71" s="1049" t="str">
        <f t="shared" si="31"/>
        <v/>
      </c>
      <c r="BB71" s="1038"/>
      <c r="BC71" s="1050">
        <f t="shared" si="40"/>
        <v>0</v>
      </c>
      <c r="BD71" s="1040" t="str">
        <f t="shared" si="33"/>
        <v/>
      </c>
      <c r="BE71" s="227" t="s">
        <v>22</v>
      </c>
      <c r="BF71" s="1019">
        <f t="shared" si="34"/>
        <v>0</v>
      </c>
      <c r="BG71" s="5265">
        <f t="shared" si="35"/>
        <v>0</v>
      </c>
      <c r="BI71" s="231" t="s">
        <v>1954</v>
      </c>
      <c r="BJ71" s="231"/>
      <c r="BK71" s="231"/>
      <c r="BL71" s="231"/>
      <c r="BM71" s="231"/>
      <c r="BN71" s="231"/>
      <c r="BO71" s="231"/>
      <c r="BP71" s="231"/>
      <c r="BQ71"/>
      <c r="BR71"/>
      <c r="BS71"/>
      <c r="BT71"/>
      <c r="BU71"/>
      <c r="BV71"/>
      <c r="BW71" s="959" t="str">
        <f t="shared" si="49"/>
        <v>►</v>
      </c>
      <c r="BX71" s="868" t="s">
        <v>875</v>
      </c>
      <c r="BY71" s="857"/>
      <c r="BZ71" s="861"/>
      <c r="CA71" s="861"/>
      <c r="CB71" s="861"/>
      <c r="CC71" s="957"/>
      <c r="DB71" s="3">
        <v>1</v>
      </c>
    </row>
    <row r="72" spans="1:106" s="709" customFormat="1" ht="21" customHeight="1">
      <c r="A72" s="936" t="s">
        <v>22</v>
      </c>
      <c r="B72" s="952" t="str">
        <f t="shared" si="48"/>
        <v>A</v>
      </c>
      <c r="C72" s="993" cm="1">
        <f t="array" ref="C72">SUMPRODUCT(LEN(D72:J72))</f>
        <v>0</v>
      </c>
      <c r="D72" s="167"/>
      <c r="E72" s="172"/>
      <c r="F72" s="172"/>
      <c r="G72" s="172"/>
      <c r="H72" s="172"/>
      <c r="I72" s="172"/>
      <c r="J72" s="173"/>
      <c r="K72" s="442" t="s">
        <v>22</v>
      </c>
      <c r="L72" s="27" t="s">
        <v>11</v>
      </c>
      <c r="M72" s="32" t="str">
        <f>M69</f>
        <v>T TERRINE DE PIEDS DE PORC pour tranches | | Auteur &gt; Guy KRENZE - Eric GODDYN - Arnaud NICOLAS - CEPROC 2002</v>
      </c>
      <c r="N72" s="33">
        <f>N69</f>
        <v>1</v>
      </c>
      <c r="O72" s="32" t="str">
        <f>O69</f>
        <v xml:space="preserve">moule L 30 cm X l 9 cm X H 6 cm </v>
      </c>
      <c r="P72" s="34" t="str">
        <f>P69</f>
        <v>Recette mère ► le Boudin en 4 déclinaisons</v>
      </c>
      <c r="Q72" s="87" t="s">
        <v>91</v>
      </c>
      <c r="R72" s="88" t="s">
        <v>92</v>
      </c>
      <c r="S72" s="89" t="s">
        <v>93</v>
      </c>
      <c r="T72" s="5455"/>
      <c r="U72" s="5465"/>
      <c r="V72" s="5467"/>
      <c r="W72" s="90" t="s">
        <v>94</v>
      </c>
      <c r="X72" s="5445"/>
      <c r="Y72" s="5447"/>
      <c r="Z72" s="5449"/>
      <c r="AA72" s="5211"/>
      <c r="AB72" s="1178"/>
      <c r="AC72" s="1179"/>
      <c r="AD72" s="227" t="s">
        <v>22</v>
      </c>
      <c r="AE72" s="1027" t="str">
        <f t="shared" si="15"/>
        <v>►</v>
      </c>
      <c r="AF72" s="1028" t="str">
        <f t="shared" si="16"/>
        <v/>
      </c>
      <c r="AG72" s="1029" t="str">
        <f t="shared" si="17"/>
        <v/>
      </c>
      <c r="AH72" s="1028" t="str">
        <f t="shared" si="18"/>
        <v/>
      </c>
      <c r="AI72" s="1029" t="str">
        <f t="shared" si="19"/>
        <v/>
      </c>
      <c r="AJ72" s="1029">
        <f t="shared" si="20"/>
        <v>0</v>
      </c>
      <c r="AK72" s="5263" t="str" cm="1">
        <f t="array" ref="AK72">IF(AE72&lt;&gt;"A","",IFERROR((IFERROR(_xlfn.XLOOKUP(TRIM(SUBSTITUTE(U72,CHAR(160)," ")),$BI$15:$BI$62,$BL$15:$BL$62),IFERROR(_xlfn.XLOOKUP(TRIM(SUBSTITUTE(U72,CHAR(160)," ")),$BJ$15:$BJ$62,$BL$15:$BL$62),_xlfn.XLOOKUP(TRIM(SUBSTITUTE(U72,CHAR(160)," ")),$BK$15:$BK$62,$BL$15:$BL$62))))*T72*IF(ISBLANK(Q72),1,Q72)+IFERROR(_xlfn.XLOOKUP("RECHERCHEX",TRIM(L72:AC72),L72:AC72),0),0))</f>
        <v/>
      </c>
      <c r="AL72" s="1030">
        <f t="shared" si="21"/>
        <v>0</v>
      </c>
      <c r="AM72" s="5254" t="str">
        <f t="shared" si="42"/>
        <v/>
      </c>
      <c r="AN72" s="1031">
        <f t="shared" si="23"/>
        <v>0</v>
      </c>
      <c r="AO72" s="1031">
        <f t="shared" si="24"/>
        <v>0</v>
      </c>
      <c r="AP72" s="1032">
        <f t="shared" si="25"/>
        <v>0</v>
      </c>
      <c r="AQ72" s="5255" t="str">
        <f t="shared" si="26"/>
        <v/>
      </c>
      <c r="AR72" s="5264"/>
      <c r="AS72" s="1033"/>
      <c r="AT72" s="1034">
        <f t="shared" si="27"/>
        <v>0</v>
      </c>
      <c r="AU72" s="1035">
        <f t="shared" si="28"/>
        <v>0</v>
      </c>
      <c r="AV72" s="1057" cm="1">
        <f t="array" ref="AV72">IF(AJ72&lt;&gt;1,0,IF(OR(AT72="",N(AT72)&lt;=0.000000001),"",IF(OR(AN72="",N(AN72)&lt;=0.000000001),0,IF(ISNUMBER(AT72),IFERROR(_xlfn.LET(_xlpm.ai_test,TRIM(AI72),_xlpm.r,IFERROR(_xlfn.XLOOKUP(_xlpm.ai_test,$BI$15:$BI$62,ROW($BI$15:$BI$62),0,1),IFERROR(_xlfn.XLOOKUP(_xlpm.ai_test,$BJ$15:$BJ$62,ROW($BJ$15:$BJ$62),0,1),_xlfn.XLOOKUP(_xlpm.ai_test,$BK$15:$BK$62,ROW($BK$15:$BK$62),0,1))),_xlpm.p,_xlpm.r-MIN(ROW($BI$15:$BI$62))+1,_xlpm.f,INDEX($BL$15:$BL$62,_xlpm.p),_xlpm.u,INDEX($BM$15:$BM$62,_xlpm.p),_xlpm.s,INDEX($BO$15:$BO$62,_xlpm.p),_xlpm.q,N(AT72)/_xlpm.f,IF(_xlpm.q&gt;=_xlpm.s,ROUND(_xlpm.q,1)&amp;" "&amp;_xlpm.ai_test&amp;" = "&amp;ROUND(_xlpm.q*_xlpm.f,1)&amp;" "&amp;_xlpm.u,ROUND(_xlpm.q,1)&amp;" "&amp;_xlpm.ai_test)),""),""))))</f>
        <v>0</v>
      </c>
      <c r="AW72" s="1047"/>
      <c r="AX72" s="1034">
        <f t="shared" si="29"/>
        <v>0</v>
      </c>
      <c r="AY72" s="1035" t="str">
        <f t="shared" si="30"/>
        <v/>
      </c>
      <c r="AZ72" s="1036">
        <f t="shared" si="37"/>
        <v>0</v>
      </c>
      <c r="BA72" s="1037" t="str">
        <f t="shared" si="31"/>
        <v/>
      </c>
      <c r="BB72" s="1038">
        <v>1.5</v>
      </c>
      <c r="BC72" s="1039">
        <f t="shared" si="40"/>
        <v>0</v>
      </c>
      <c r="BD72" s="1040" t="str">
        <f t="shared" si="33"/>
        <v/>
      </c>
      <c r="BE72" s="227" t="s">
        <v>22</v>
      </c>
      <c r="BF72" s="1019">
        <f t="shared" si="34"/>
        <v>0</v>
      </c>
      <c r="BG72" s="1020">
        <f t="shared" si="35"/>
        <v>0</v>
      </c>
      <c r="BI72" s="231" t="s">
        <v>1955</v>
      </c>
      <c r="BJ72" s="231"/>
      <c r="BK72" s="231"/>
      <c r="BL72" s="231"/>
      <c r="BM72" s="231"/>
      <c r="BN72" s="231"/>
      <c r="BO72" s="231"/>
      <c r="BP72" s="231"/>
      <c r="BQ72"/>
      <c r="BR72"/>
      <c r="BS72"/>
      <c r="BT72"/>
      <c r="BU72"/>
      <c r="BV72"/>
      <c r="BW72" s="959" t="str">
        <f t="shared" si="49"/>
        <v>►</v>
      </c>
      <c r="BX72" s="868"/>
      <c r="BY72" s="857"/>
      <c r="BZ72" s="861"/>
      <c r="CA72" s="861"/>
      <c r="CB72" s="861"/>
      <c r="CC72" s="957"/>
      <c r="DB72" s="3">
        <v>1</v>
      </c>
    </row>
    <row r="73" spans="1:106" s="709" customFormat="1" ht="21" customHeight="1" thickBot="1">
      <c r="A73" s="936" t="s">
        <v>22</v>
      </c>
      <c r="B73" s="952" t="str">
        <f t="shared" si="48"/>
        <v>A</v>
      </c>
      <c r="C73" s="993" cm="1">
        <f t="array" ref="C73">SUMPRODUCT(LEN(D73:J73))</f>
        <v>0</v>
      </c>
      <c r="D73" s="167"/>
      <c r="E73" s="172"/>
      <c r="F73" s="172"/>
      <c r="G73" s="172"/>
      <c r="H73" s="172"/>
      <c r="I73" s="172"/>
      <c r="J73" s="173"/>
      <c r="K73" s="442" t="s">
        <v>22</v>
      </c>
      <c r="L73" s="27" t="s">
        <v>11</v>
      </c>
      <c r="M73" s="32" t="str">
        <f>M69</f>
        <v>T TERRINE DE PIEDS DE PORC pour tranches | | Auteur &gt; Guy KRENZE - Eric GODDYN - Arnaud NICOLAS - CEPROC 2002</v>
      </c>
      <c r="N73" s="33">
        <f>N69</f>
        <v>1</v>
      </c>
      <c r="O73" s="32" t="str">
        <f>O69</f>
        <v xml:space="preserve">moule L 30 cm X l 9 cm X H 6 cm </v>
      </c>
      <c r="P73" s="34" t="str">
        <f>P69</f>
        <v>Recette mère ► le Boudin en 4 déclinaisons</v>
      </c>
      <c r="Q73" s="92"/>
      <c r="R73" s="93"/>
      <c r="S73" s="94" t="str">
        <f t="shared" ref="S73:S87" si="50">IF(OR(ISTEXT(Q73), Q73&lt;=0, T73&lt;=0), "", "de")</f>
        <v/>
      </c>
      <c r="T73" s="95"/>
      <c r="U73" s="126"/>
      <c r="V73" s="127">
        <v>1</v>
      </c>
      <c r="W73" s="919"/>
      <c r="X73" s="100">
        <f>IF(OR(ISBLANK(Q67),X67=0),0,Q73*V68)</f>
        <v>0</v>
      </c>
      <c r="Y73" s="101" cm="1">
        <f t="array" ref="Y73">IFERROR(_xlfn.LET(_xlpm.k,UPPER(TRIM(U73)),_xlpm.r,_xlfn.XLOOKUP(_xlpm.k,UPPER(TRIM(Q89:Z89)),Q90:Z90,_xlfn.XLOOKUP(_xlpm.k,UPPER(TRIM(Q91:Z91)),Q92:Z92)),_xlpm.r*T73*V73*V68*IF(ISBLANK(Q73),1,Q73)),0)</f>
        <v>0</v>
      </c>
      <c r="Z73" s="1476" t="str">
        <f>_xlfn.LET(_xlpm.unite,SUBSTITUTE(TRIM(U73)," (s)",""),_xlpm.val,Y73,_xlpm.estVol,COUNTIF(T89:Z89,_xlpm.unite)+COUNTIF(T91:Z91,_xlpm.unite)&gt;0,_xlpm.estPoids,COUNTIF(Q89:S89,_xlpm.unite)+COUNTIF(Q91:S91,_xlpm.unite)&gt;0,IF(_xlpm.estVol,IF(ROUND(_xlpm.val,3)&gt;=1,ROUND(_xlpm.val,3)&amp;" L",MAX(1,ROUND(_xlpm.val*100,0))&amp;" cl"),IF(_xlpm.estPoids,IF(ROUND(_xlpm.val,3)&gt;=1,ROUND(_xlpm.val,3)&amp;" Kg",MAX(1,ROUND(_xlpm.val*1000,0))&amp;" g"),"")))</f>
        <v/>
      </c>
      <c r="AA73" s="5211"/>
      <c r="AB73" s="1178"/>
      <c r="AC73" s="1179"/>
      <c r="AD73" s="227" t="s">
        <v>22</v>
      </c>
      <c r="AE73" s="1027" t="str">
        <f t="shared" si="15"/>
        <v>►</v>
      </c>
      <c r="AF73" s="1028" t="str">
        <f t="shared" si="16"/>
        <v/>
      </c>
      <c r="AG73" s="1029" t="str">
        <f t="shared" si="17"/>
        <v/>
      </c>
      <c r="AH73" s="1028" t="str">
        <f t="shared" si="18"/>
        <v/>
      </c>
      <c r="AI73" s="1029" t="str">
        <f t="shared" si="19"/>
        <v/>
      </c>
      <c r="AJ73" s="1029">
        <f t="shared" si="20"/>
        <v>0</v>
      </c>
      <c r="AK73" s="5263" t="str" cm="1">
        <f t="array" ref="AK73">IF(AE73&lt;&gt;"A","",IFERROR((IFERROR(_xlfn.XLOOKUP(TRIM(SUBSTITUTE(U73,CHAR(160)," ")),$BI$15:$BI$62,$BL$15:$BL$62),IFERROR(_xlfn.XLOOKUP(TRIM(SUBSTITUTE(U73,CHAR(160)," ")),$BJ$15:$BJ$62,$BL$15:$BL$62),_xlfn.XLOOKUP(TRIM(SUBSTITUTE(U73,CHAR(160)," ")),$BK$15:$BK$62,$BL$15:$BL$62))))*T73*IF(ISBLANK(Q73),1,Q73)+IFERROR(_xlfn.XLOOKUP("RECHERCHEX",TRIM(L73:AC73),L73:AC73),0),0))</f>
        <v/>
      </c>
      <c r="AL73" s="1030">
        <f t="shared" si="21"/>
        <v>0</v>
      </c>
      <c r="AM73" s="5254" t="str">
        <f t="shared" si="42"/>
        <v/>
      </c>
      <c r="AN73" s="1031">
        <f t="shared" si="23"/>
        <v>0</v>
      </c>
      <c r="AO73" s="1031">
        <f t="shared" si="24"/>
        <v>0</v>
      </c>
      <c r="AP73" s="1044">
        <f t="shared" si="25"/>
        <v>0</v>
      </c>
      <c r="AQ73" s="5257" t="str">
        <f t="shared" si="26"/>
        <v/>
      </c>
      <c r="AR73" s="5264"/>
      <c r="AS73" s="1033"/>
      <c r="AT73" s="1045">
        <f t="shared" si="27"/>
        <v>0</v>
      </c>
      <c r="AU73" s="1046">
        <f t="shared" si="28"/>
        <v>0</v>
      </c>
      <c r="AV73" s="1059" cm="1">
        <f t="array" ref="AV73">IF(AJ73&lt;&gt;1,0,IF(OR(AT73="",N(AT73)&lt;=0.000000001),"",IF(OR(AN73="",N(AN73)&lt;=0.000000001),0,IF(ISNUMBER(AT73),IFERROR(_xlfn.LET(_xlpm.ai_test,TRIM(AI73),_xlpm.r,IFERROR(_xlfn.XLOOKUP(_xlpm.ai_test,$BI$15:$BI$62,ROW($BI$15:$BI$62),0,1),IFERROR(_xlfn.XLOOKUP(_xlpm.ai_test,$BJ$15:$BJ$62,ROW($BJ$15:$BJ$62),0,1),_xlfn.XLOOKUP(_xlpm.ai_test,$BK$15:$BK$62,ROW($BK$15:$BK$62),0,1))),_xlpm.p,_xlpm.r-MIN(ROW($BI$15:$BI$62))+1,_xlpm.f,INDEX($BL$15:$BL$62,_xlpm.p),_xlpm.u,INDEX($BM$15:$BM$62,_xlpm.p),_xlpm.s,INDEX($BO$15:$BO$62,_xlpm.p),_xlpm.q,N(AT73)/_xlpm.f,IF(_xlpm.q&gt;=_xlpm.s,ROUND(_xlpm.q,1)&amp;" "&amp;_xlpm.ai_test&amp;" = "&amp;ROUND(_xlpm.q*_xlpm.f,1)&amp;" "&amp;_xlpm.u,ROUND(_xlpm.q,1)&amp;" "&amp;_xlpm.ai_test)),""),""))))</f>
        <v>0</v>
      </c>
      <c r="AW73" s="1047"/>
      <c r="AX73" s="1045">
        <f t="shared" si="29"/>
        <v>0</v>
      </c>
      <c r="AY73" s="1046" t="str">
        <f t="shared" si="30"/>
        <v/>
      </c>
      <c r="AZ73" s="1048">
        <f t="shared" si="37"/>
        <v>0</v>
      </c>
      <c r="BA73" s="1049" t="str">
        <f t="shared" si="31"/>
        <v/>
      </c>
      <c r="BB73" s="1038">
        <v>1.5</v>
      </c>
      <c r="BC73" s="1050">
        <f t="shared" si="40"/>
        <v>0</v>
      </c>
      <c r="BD73" s="1040" t="str">
        <f t="shared" si="33"/>
        <v/>
      </c>
      <c r="BE73" s="227" t="s">
        <v>22</v>
      </c>
      <c r="BF73" s="1019">
        <f t="shared" si="34"/>
        <v>0</v>
      </c>
      <c r="BG73" s="1020">
        <f t="shared" si="35"/>
        <v>0</v>
      </c>
      <c r="BQ73"/>
      <c r="BR73"/>
      <c r="BS73"/>
      <c r="BT73"/>
      <c r="BU73"/>
      <c r="BV73"/>
      <c r="BW73" s="959" t="str">
        <f t="shared" si="49"/>
        <v>►</v>
      </c>
      <c r="BX73" s="1109" t="s">
        <v>876</v>
      </c>
      <c r="BY73" s="861"/>
      <c r="BZ73" s="861"/>
      <c r="CA73" s="861"/>
      <c r="CB73" s="861"/>
      <c r="CC73" s="957"/>
      <c r="DB73" s="3">
        <v>1</v>
      </c>
    </row>
    <row r="74" spans="1:106" s="709" customFormat="1" ht="21" customHeight="1">
      <c r="A74" s="936" t="s">
        <v>22</v>
      </c>
      <c r="B74" s="952" t="str">
        <f t="shared" si="48"/>
        <v>A</v>
      </c>
      <c r="C74" s="993" cm="1">
        <f t="array" ref="C74">SUMPRODUCT(LEN(D74:J74))</f>
        <v>0</v>
      </c>
      <c r="D74" s="167"/>
      <c r="E74" s="172"/>
      <c r="F74" s="172"/>
      <c r="G74" s="172"/>
      <c r="H74" s="172"/>
      <c r="I74" s="172"/>
      <c r="J74" s="173"/>
      <c r="K74" s="442" t="s">
        <v>22</v>
      </c>
      <c r="L74" s="104" t="str">
        <f t="shared" ref="L74:L87" si="51">IF(W74&lt;&gt;"","A","►")</f>
        <v>A</v>
      </c>
      <c r="M74" s="32" t="str">
        <f>M69</f>
        <v>T TERRINE DE PIEDS DE PORC pour tranches | | Auteur &gt; Guy KRENZE - Eric GODDYN - Arnaud NICOLAS - CEPROC 2002</v>
      </c>
      <c r="N74" s="33">
        <f>N69</f>
        <v>1</v>
      </c>
      <c r="O74" s="32" t="str">
        <f>O69</f>
        <v xml:space="preserve">moule L 30 cm X l 9 cm X H 6 cm </v>
      </c>
      <c r="P74" s="34" t="str">
        <f>P69</f>
        <v>Recette mère ► le Boudin en 4 déclinaisons</v>
      </c>
      <c r="Q74" s="92"/>
      <c r="R74" s="93"/>
      <c r="S74" s="94" t="str">
        <f t="shared" si="50"/>
        <v/>
      </c>
      <c r="T74" s="95"/>
      <c r="U74" s="126"/>
      <c r="V74" s="127">
        <v>1</v>
      </c>
      <c r="W74" s="920" t="s">
        <v>12856</v>
      </c>
      <c r="X74" s="1494">
        <f>IF(OR(ISBLANK(Q67),X67=0),0,Q74*V68)</f>
        <v>0</v>
      </c>
      <c r="Y74" s="101" cm="1">
        <f t="array" ref="Y74">IFERROR(_xlfn.LET(_xlpm.k,UPPER(TRIM(U74)),_xlpm.r,_xlfn.XLOOKUP(_xlpm.k,UPPER(TRIM(Q89:Z89)),Q90:Z90,_xlfn.XLOOKUP(_xlpm.k,UPPER(TRIM(Q91:Z91)),Q92:Z92)),_xlpm.r*T74*V74*V68*IF(ISBLANK(Q74),1,Q74)),0)</f>
        <v>0</v>
      </c>
      <c r="Z74" s="1475" t="str">
        <f>_xlfn.LET(_xlpm.unite,SUBSTITUTE(TRIM(U74)," (s)",""),_xlpm.val,Y74,_xlpm.estVol,COUNTIF(T89:Z89,_xlpm.unite)+COUNTIF(T91:Z91,_xlpm.unite)&gt;0,_xlpm.estPoids,COUNTIF(Q89:S89,_xlpm.unite)+COUNTIF(Q91:S91,_xlpm.unite)&gt;0,IF(_xlpm.estVol,IF(ROUND(_xlpm.val,3)&gt;=1,ROUND(_xlpm.val,3)&amp;" L",MAX(1,ROUND(_xlpm.val*100,0))&amp;" cl"),IF(_xlpm.estPoids,IF(ROUND(_xlpm.val,3)&gt;=1,ROUND(_xlpm.val,3)&amp;" Kg",MAX(1,ROUND(_xlpm.val*1000,0))&amp;" g"),"")))</f>
        <v/>
      </c>
      <c r="AA74" s="5211"/>
      <c r="AB74" s="1178"/>
      <c r="AC74" s="1179"/>
      <c r="AD74" s="227" t="s">
        <v>22</v>
      </c>
      <c r="AE74" s="1027" t="str">
        <f t="shared" si="15"/>
        <v>►</v>
      </c>
      <c r="AF74" s="1028" t="str">
        <f t="shared" si="16"/>
        <v/>
      </c>
      <c r="AG74" s="1029" t="str">
        <f t="shared" si="17"/>
        <v/>
      </c>
      <c r="AH74" s="1028" t="str">
        <f t="shared" si="18"/>
        <v/>
      </c>
      <c r="AI74" s="1029" t="str">
        <f t="shared" si="19"/>
        <v/>
      </c>
      <c r="AJ74" s="1029">
        <f t="shared" si="20"/>
        <v>0</v>
      </c>
      <c r="AK74" s="5263" t="str" cm="1">
        <f t="array" ref="AK74">IF(AE74&lt;&gt;"A","",IFERROR((IFERROR(_xlfn.XLOOKUP(TRIM(SUBSTITUTE(U74,CHAR(160)," ")),$BI$15:$BI$62,$BL$15:$BL$62),IFERROR(_xlfn.XLOOKUP(TRIM(SUBSTITUTE(U74,CHAR(160)," ")),$BJ$15:$BJ$62,$BL$15:$BL$62),_xlfn.XLOOKUP(TRIM(SUBSTITUTE(U74,CHAR(160)," ")),$BK$15:$BK$62,$BL$15:$BL$62))))*T74*IF(ISBLANK(Q74),1,Q74)+IFERROR(_xlfn.XLOOKUP("RECHERCHEX",TRIM(L74:AC74),L74:AC74),0),0))</f>
        <v/>
      </c>
      <c r="AL74" s="1030">
        <f t="shared" si="21"/>
        <v>0</v>
      </c>
      <c r="AM74" s="5254" t="str">
        <f t="shared" si="42"/>
        <v/>
      </c>
      <c r="AN74" s="1031">
        <f t="shared" si="23"/>
        <v>0</v>
      </c>
      <c r="AO74" s="1031">
        <f t="shared" si="24"/>
        <v>0</v>
      </c>
      <c r="AP74" s="1032">
        <f t="shared" si="25"/>
        <v>0</v>
      </c>
      <c r="AQ74" s="5255" t="str">
        <f t="shared" si="26"/>
        <v/>
      </c>
      <c r="AR74" s="5264"/>
      <c r="AS74" s="1033"/>
      <c r="AT74" s="1034">
        <f t="shared" si="27"/>
        <v>0</v>
      </c>
      <c r="AU74" s="1035">
        <f t="shared" si="28"/>
        <v>0</v>
      </c>
      <c r="AV74" s="1057" cm="1">
        <f t="array" ref="AV74">IF(AJ74&lt;&gt;1,0,IF(OR(AT74="",N(AT74)&lt;=0.000000001),"",IF(OR(AN74="",N(AN74)&lt;=0.000000001),0,IF(ISNUMBER(AT74),IFERROR(_xlfn.LET(_xlpm.ai_test,TRIM(AI74),_xlpm.r,IFERROR(_xlfn.XLOOKUP(_xlpm.ai_test,$BI$15:$BI$62,ROW($BI$15:$BI$62),0,1),IFERROR(_xlfn.XLOOKUP(_xlpm.ai_test,$BJ$15:$BJ$62,ROW($BJ$15:$BJ$62),0,1),_xlfn.XLOOKUP(_xlpm.ai_test,$BK$15:$BK$62,ROW($BK$15:$BK$62),0,1))),_xlpm.p,_xlpm.r-MIN(ROW($BI$15:$BI$62))+1,_xlpm.f,INDEX($BL$15:$BL$62,_xlpm.p),_xlpm.u,INDEX($BM$15:$BM$62,_xlpm.p),_xlpm.s,INDEX($BO$15:$BO$62,_xlpm.p),_xlpm.q,N(AT74)/_xlpm.f,IF(_xlpm.q&gt;=_xlpm.s,ROUND(_xlpm.q,1)&amp;" "&amp;_xlpm.ai_test&amp;" = "&amp;ROUND(_xlpm.q*_xlpm.f,1)&amp;" "&amp;_xlpm.u,ROUND(_xlpm.q,1)&amp;" "&amp;_xlpm.ai_test)),""),""))))</f>
        <v>0</v>
      </c>
      <c r="AW74" s="1047"/>
      <c r="AX74" s="1034">
        <f t="shared" si="29"/>
        <v>0</v>
      </c>
      <c r="AY74" s="1035" t="str">
        <f t="shared" si="30"/>
        <v/>
      </c>
      <c r="AZ74" s="1036">
        <f t="shared" si="37"/>
        <v>0</v>
      </c>
      <c r="BA74" s="1037" t="str">
        <f t="shared" si="31"/>
        <v/>
      </c>
      <c r="BB74" s="1038">
        <v>1.5</v>
      </c>
      <c r="BC74" s="1039">
        <f t="shared" si="40"/>
        <v>0</v>
      </c>
      <c r="BD74" s="1040" t="str">
        <f t="shared" si="33"/>
        <v/>
      </c>
      <c r="BE74" s="227" t="s">
        <v>22</v>
      </c>
      <c r="BF74" s="1019">
        <f t="shared" si="34"/>
        <v>0</v>
      </c>
      <c r="BG74" s="1020">
        <f t="shared" si="35"/>
        <v>0</v>
      </c>
      <c r="BI74" s="5539" t="s">
        <v>1956</v>
      </c>
      <c r="BJ74" s="5540"/>
      <c r="BK74" s="5540"/>
      <c r="BL74" s="5540"/>
      <c r="BM74" s="5540"/>
      <c r="BN74" s="5540"/>
      <c r="BO74" s="5540"/>
      <c r="BP74" s="5540"/>
      <c r="BQ74" s="5540"/>
      <c r="BR74" s="5540"/>
      <c r="BS74" s="5540"/>
      <c r="BT74" s="5540"/>
      <c r="BU74" s="5541"/>
      <c r="BV74"/>
      <c r="BW74" s="959" t="str">
        <f t="shared" si="49"/>
        <v>►</v>
      </c>
      <c r="BX74" s="1110">
        <v>1</v>
      </c>
      <c r="BY74" s="861"/>
      <c r="BZ74" s="861"/>
      <c r="CA74" s="861"/>
      <c r="CB74" s="861"/>
      <c r="CC74" s="957"/>
      <c r="DB74" s="3">
        <v>1</v>
      </c>
    </row>
    <row r="75" spans="1:106" s="709" customFormat="1" ht="21" customHeight="1">
      <c r="A75" s="936" t="s">
        <v>22</v>
      </c>
      <c r="B75" s="952" t="str">
        <f t="shared" si="48"/>
        <v>A</v>
      </c>
      <c r="C75" s="993" cm="1">
        <f t="array" ref="C75">SUMPRODUCT(LEN(D75:J75))</f>
        <v>0</v>
      </c>
      <c r="D75" s="167"/>
      <c r="E75" s="172"/>
      <c r="F75" s="172"/>
      <c r="G75" s="172"/>
      <c r="H75" s="172"/>
      <c r="I75" s="172"/>
      <c r="J75" s="173"/>
      <c r="K75" s="442" t="s">
        <v>22</v>
      </c>
      <c r="L75" s="104" t="str">
        <f t="shared" si="51"/>
        <v>A</v>
      </c>
      <c r="M75" s="32" t="str">
        <f>M69</f>
        <v>T TERRINE DE PIEDS DE PORC pour tranches | | Auteur &gt; Guy KRENZE - Eric GODDYN - Arnaud NICOLAS - CEPROC 2002</v>
      </c>
      <c r="N75" s="33">
        <f>N69</f>
        <v>1</v>
      </c>
      <c r="O75" s="32" t="str">
        <f>O69</f>
        <v xml:space="preserve">moule L 30 cm X l 9 cm X H 6 cm </v>
      </c>
      <c r="P75" s="34" t="str">
        <f>P69</f>
        <v>Recette mère ► le Boudin en 4 déclinaisons</v>
      </c>
      <c r="Q75" s="92"/>
      <c r="R75" s="108"/>
      <c r="S75" s="94" t="str">
        <f t="shared" si="50"/>
        <v/>
      </c>
      <c r="T75" s="95">
        <v>300</v>
      </c>
      <c r="U75" s="105" t="s">
        <v>99</v>
      </c>
      <c r="V75" s="127">
        <v>1</v>
      </c>
      <c r="W75" s="920" t="s">
        <v>12848</v>
      </c>
      <c r="X75" s="1494">
        <f>IF(OR(ISBLANK(Q67),X67=0),0,Q75*V68)</f>
        <v>0</v>
      </c>
      <c r="Y75" s="101" cm="1">
        <f t="array" ref="Y75">IFERROR(_xlfn.LET(_xlpm.k,UPPER(TRIM(U75)),_xlpm.r,_xlfn.XLOOKUP(_xlpm.k,UPPER(TRIM(Q89:Z89)),Q90:Z90,_xlfn.XLOOKUP(_xlpm.k,UPPER(TRIM(Q91:Z91)),Q92:Z92)),_xlpm.r*T75*V75*V68*IF(ISBLANK(Q75),1,Q75)),0)</f>
        <v>0.6</v>
      </c>
      <c r="Z75" s="1476" t="str">
        <f>_xlfn.LET(_xlpm.unite,SUBSTITUTE(TRIM(U75)," (s)",""),_xlpm.val,Y75,_xlpm.estVol,COUNTIF(T89:Z89,_xlpm.unite)+COUNTIF(T91:Z91,_xlpm.unite)&gt;0,_xlpm.estPoids,COUNTIF(Q89:S89,_xlpm.unite)+COUNTIF(Q91:S91,_xlpm.unite)&gt;0,IF(_xlpm.estVol,IF(ROUND(_xlpm.val,3)&gt;=1,ROUND(_xlpm.val,3)&amp;" L",MAX(1,ROUND(_xlpm.val*100,0))&amp;" cl"),IF(_xlpm.estPoids,IF(ROUND(_xlpm.val,3)&gt;=1,ROUND(_xlpm.val,3)&amp;" Kg",MAX(1,ROUND(_xlpm.val*1000,0))&amp;" g"),"")))</f>
        <v>600 g</v>
      </c>
      <c r="AA75" s="5211"/>
      <c r="AB75" s="1178"/>
      <c r="AC75" s="1179"/>
      <c r="AD75" s="227" t="s">
        <v>22</v>
      </c>
      <c r="AE75" s="1027" t="str">
        <f t="shared" si="15"/>
        <v>A</v>
      </c>
      <c r="AF75" s="1028" t="str">
        <f t="shared" si="16"/>
        <v>T TERRINE DE PIEDS DE PORC pour tranches | | Auteur &gt; Guy KRENZE - Eric GODDYN - Arnaud NICOLAS - CEPROC 2002</v>
      </c>
      <c r="AG75" s="1029">
        <f t="shared" si="17"/>
        <v>1</v>
      </c>
      <c r="AH75" s="1028" t="str">
        <f t="shared" si="18"/>
        <v xml:space="preserve">moule L 30 cm X l 9 cm X H 6 cm </v>
      </c>
      <c r="AI75" s="1029" t="str">
        <f t="shared" si="19"/>
        <v>g</v>
      </c>
      <c r="AJ75" s="1029">
        <f t="shared" si="20"/>
        <v>1</v>
      </c>
      <c r="AK75" s="5263" cm="1">
        <f t="array" ref="AK75">IF(AE75&lt;&gt;"A","",IFERROR((IFERROR(_xlfn.XLOOKUP(TRIM(SUBSTITUTE(U75,CHAR(160)," ")),$BI$15:$BI$62,$BL$15:$BL$62),IFERROR(_xlfn.XLOOKUP(TRIM(SUBSTITUTE(U75,CHAR(160)," ")),$BJ$15:$BJ$62,$BL$15:$BL$62),_xlfn.XLOOKUP(TRIM(SUBSTITUTE(U75,CHAR(160)," ")),$BK$15:$BK$62,$BL$15:$BL$62))))*T75*IF(ISBLANK(Q75),1,Q75)+IFERROR(_xlfn.XLOOKUP("RECHERCHEX",TRIM(L75:AC75),L75:AC75),0),0))</f>
        <v>0.3</v>
      </c>
      <c r="AL75" s="1030" t="str">
        <f t="shared" si="21"/>
        <v>Kg</v>
      </c>
      <c r="AM75" s="5254" t="str">
        <f t="shared" si="42"/>
        <v>❾ Author reference &gt;</v>
      </c>
      <c r="AN75" s="1031">
        <f t="shared" si="23"/>
        <v>1</v>
      </c>
      <c r="AO75" s="1031" t="str">
        <f t="shared" si="24"/>
        <v xml:space="preserve">moule L 30 cm X l 9 cm X H 6 cm </v>
      </c>
      <c r="AP75" s="1044">
        <f t="shared" si="25"/>
        <v>40</v>
      </c>
      <c r="AQ75" s="5257" t="str">
        <f t="shared" si="26"/>
        <v>parts-ou.or.o ❾ + or - &gt;</v>
      </c>
      <c r="AR75" s="5264">
        <v>2</v>
      </c>
      <c r="AS75" s="1033" t="s">
        <v>13492</v>
      </c>
      <c r="AT75" s="1045">
        <f t="shared" si="27"/>
        <v>0.6</v>
      </c>
      <c r="AU75" s="1046" t="str">
        <f t="shared" si="28"/>
        <v>Kg</v>
      </c>
      <c r="AV75" s="1059" t="str" cm="1">
        <f t="array" ref="AV75">IF(AJ75&lt;&gt;1,0,IF(OR(AT75="",N(AT75)&lt;=0.000000001),"",IF(OR(AN75="",N(AN75)&lt;=0.000000001),0,IF(ISNUMBER(AT75),IFERROR(_xlfn.LET(_xlpm.ai_test,TRIM(AI75),_xlpm.r,IFERROR(_xlfn.XLOOKUP(_xlpm.ai_test,$BI$15:$BI$62,ROW($BI$15:$BI$62),0,1),IFERROR(_xlfn.XLOOKUP(_xlpm.ai_test,$BJ$15:$BJ$62,ROW($BJ$15:$BJ$62),0,1),_xlfn.XLOOKUP(_xlpm.ai_test,$BK$15:$BK$62,ROW($BK$15:$BK$62),0,1))),_xlpm.p,_xlpm.r-MIN(ROW($BI$15:$BI$62))+1,_xlpm.f,INDEX($BL$15:$BL$62,_xlpm.p),_xlpm.u,INDEX($BM$15:$BM$62,_xlpm.p),_xlpm.s,INDEX($BO$15:$BO$62,_xlpm.p),_xlpm.q,N(AT75)/_xlpm.f,IF(_xlpm.q&gt;=_xlpm.s,ROUND(_xlpm.q,1)&amp;" "&amp;_xlpm.ai_test&amp;" = "&amp;ROUND(_xlpm.q*_xlpm.f,1)&amp;" "&amp;_xlpm.u,ROUND(_xlpm.q,1)&amp;" "&amp;_xlpm.ai_test)),""),""))))</f>
        <v>600 g</v>
      </c>
      <c r="AW75" s="1047"/>
      <c r="AX75" s="1045">
        <f t="shared" si="29"/>
        <v>0.6</v>
      </c>
      <c r="AY75" s="1046" t="str">
        <f t="shared" si="30"/>
        <v>Kg</v>
      </c>
      <c r="AZ75" s="1048">
        <f t="shared" si="37"/>
        <v>0</v>
      </c>
      <c r="BA75" s="1049" t="str">
        <f t="shared" si="31"/>
        <v/>
      </c>
      <c r="BB75" s="1038">
        <v>1.5</v>
      </c>
      <c r="BC75" s="1050">
        <f t="shared" si="40"/>
        <v>0.89999999999999991</v>
      </c>
      <c r="BD75" s="1040" t="str">
        <f t="shared" si="33"/>
        <v>graisse de foie gras</v>
      </c>
      <c r="BE75" s="227" t="s">
        <v>22</v>
      </c>
      <c r="BF75" s="1019">
        <f t="shared" si="34"/>
        <v>0</v>
      </c>
      <c r="BG75" s="1020">
        <f t="shared" si="35"/>
        <v>2</v>
      </c>
      <c r="BI75" s="5542"/>
      <c r="BJ75" s="5543"/>
      <c r="BK75" s="5543"/>
      <c r="BL75" s="5543"/>
      <c r="BM75" s="5543"/>
      <c r="BN75" s="5543"/>
      <c r="BO75" s="5543"/>
      <c r="BP75" s="5543"/>
      <c r="BQ75" s="5543"/>
      <c r="BR75" s="5543"/>
      <c r="BS75" s="5543"/>
      <c r="BT75" s="5543"/>
      <c r="BU75" s="5544"/>
      <c r="BV75"/>
      <c r="BW75" s="959" t="str">
        <f t="shared" si="49"/>
        <v>A</v>
      </c>
      <c r="BX75" s="868" t="s">
        <v>877</v>
      </c>
      <c r="BY75" s="861"/>
      <c r="BZ75" s="861"/>
      <c r="CA75" s="861"/>
      <c r="CB75" s="861"/>
      <c r="CC75" s="957"/>
      <c r="DB75" s="3">
        <v>1</v>
      </c>
    </row>
    <row r="76" spans="1:106" s="709" customFormat="1" ht="21" customHeight="1">
      <c r="A76" s="936" t="s">
        <v>22</v>
      </c>
      <c r="B76" s="952" t="str">
        <f t="shared" si="48"/>
        <v>A</v>
      </c>
      <c r="C76" s="993" cm="1">
        <f t="array" ref="C76">SUMPRODUCT(LEN(D76:J76))</f>
        <v>0</v>
      </c>
      <c r="D76" s="167"/>
      <c r="E76" s="172"/>
      <c r="F76" s="172"/>
      <c r="G76" s="172"/>
      <c r="H76" s="172"/>
      <c r="I76" s="172"/>
      <c r="J76" s="173"/>
      <c r="K76" s="442" t="s">
        <v>22</v>
      </c>
      <c r="L76" s="104" t="str">
        <f t="shared" si="51"/>
        <v>A</v>
      </c>
      <c r="M76" s="32" t="str">
        <f>M69</f>
        <v>T TERRINE DE PIEDS DE PORC pour tranches | | Auteur &gt; Guy KRENZE - Eric GODDYN - Arnaud NICOLAS - CEPROC 2002</v>
      </c>
      <c r="N76" s="33">
        <f>N69</f>
        <v>1</v>
      </c>
      <c r="O76" s="32" t="str">
        <f>O69</f>
        <v xml:space="preserve">moule L 30 cm X l 9 cm X H 6 cm </v>
      </c>
      <c r="P76" s="34" t="str">
        <f>P69</f>
        <v>Recette mère ► le Boudin en 4 déclinaisons</v>
      </c>
      <c r="Q76" s="92"/>
      <c r="R76" s="108"/>
      <c r="S76" s="94" t="str">
        <f t="shared" si="50"/>
        <v/>
      </c>
      <c r="T76" s="95">
        <v>300</v>
      </c>
      <c r="U76" s="105" t="s">
        <v>99</v>
      </c>
      <c r="V76" s="127">
        <v>1</v>
      </c>
      <c r="W76" s="920" t="s">
        <v>12849</v>
      </c>
      <c r="X76" s="1494">
        <f>IF(OR(ISBLANK(Q67),X67=0),0,Q76*V68)</f>
        <v>0</v>
      </c>
      <c r="Y76" s="101" cm="1">
        <f t="array" ref="Y76">IFERROR(_xlfn.LET(_xlpm.k,UPPER(TRIM(U76)),_xlpm.r,_xlfn.XLOOKUP(_xlpm.k,UPPER(TRIM(Q89:Z89)),Q90:Z90,_xlfn.XLOOKUP(_xlpm.k,UPPER(TRIM(Q91:Z91)),Q92:Z92)),_xlpm.r*T76*V76*V68*IF(ISBLANK(Q76),1,Q76)),0)</f>
        <v>0.6</v>
      </c>
      <c r="Z76" s="1475" t="str">
        <f>_xlfn.LET(_xlpm.unite,SUBSTITUTE(TRIM(U76)," (s)",""),_xlpm.val,Y76,_xlpm.estVol,COUNTIF(T89:Z89,_xlpm.unite)+COUNTIF(T91:Z91,_xlpm.unite)&gt;0,_xlpm.estPoids,COUNTIF(Q89:S89,_xlpm.unite)+COUNTIF(Q91:S91,_xlpm.unite)&gt;0,IF(_xlpm.estVol,IF(ROUND(_xlpm.val,3)&gt;=1,ROUND(_xlpm.val,3)&amp;" L",MAX(1,ROUND(_xlpm.val*100,0))&amp;" cl"),IF(_xlpm.estPoids,IF(ROUND(_xlpm.val,3)&gt;=1,ROUND(_xlpm.val,3)&amp;" Kg",MAX(1,ROUND(_xlpm.val*1000,0))&amp;" g"),"")))</f>
        <v>600 g</v>
      </c>
      <c r="AA76" s="5211"/>
      <c r="AB76" s="1178"/>
      <c r="AC76" s="1179"/>
      <c r="AD76" s="227" t="s">
        <v>22</v>
      </c>
      <c r="AE76" s="1027" t="str">
        <f t="shared" si="15"/>
        <v>A</v>
      </c>
      <c r="AF76" s="1028" t="str">
        <f t="shared" si="16"/>
        <v>T TERRINE DE PIEDS DE PORC pour tranches | | Auteur &gt; Guy KRENZE - Eric GODDYN - Arnaud NICOLAS - CEPROC 2002</v>
      </c>
      <c r="AG76" s="1029">
        <f t="shared" si="17"/>
        <v>1</v>
      </c>
      <c r="AH76" s="1028" t="str">
        <f t="shared" si="18"/>
        <v xml:space="preserve">moule L 30 cm X l 9 cm X H 6 cm </v>
      </c>
      <c r="AI76" s="1029" t="str">
        <f t="shared" si="19"/>
        <v>g</v>
      </c>
      <c r="AJ76" s="1029">
        <f t="shared" si="20"/>
        <v>1</v>
      </c>
      <c r="AK76" s="5263" cm="1">
        <f t="array" ref="AK76">IF(AE76&lt;&gt;"A","",IFERROR((IFERROR(_xlfn.XLOOKUP(TRIM(SUBSTITUTE(U76,CHAR(160)," ")),$BI$15:$BI$62,$BL$15:$BL$62),IFERROR(_xlfn.XLOOKUP(TRIM(SUBSTITUTE(U76,CHAR(160)," ")),$BJ$15:$BJ$62,$BL$15:$BL$62),_xlfn.XLOOKUP(TRIM(SUBSTITUTE(U76,CHAR(160)," ")),$BK$15:$BK$62,$BL$15:$BL$62))))*T76*IF(ISBLANK(Q76),1,Q76)+IFERROR(_xlfn.XLOOKUP("RECHERCHEX",TRIM(L76:AC76),L76:AC76),0),0))</f>
        <v>0.3</v>
      </c>
      <c r="AL76" s="1030" t="str">
        <f t="shared" si="21"/>
        <v>Kg</v>
      </c>
      <c r="AM76" s="5254" t="str">
        <f t="shared" si="42"/>
        <v>❾ Author reference &gt;</v>
      </c>
      <c r="AN76" s="1031">
        <f t="shared" si="23"/>
        <v>1</v>
      </c>
      <c r="AO76" s="1031" t="str">
        <f t="shared" si="24"/>
        <v xml:space="preserve">moule L 30 cm X l 9 cm X H 6 cm </v>
      </c>
      <c r="AP76" s="1032">
        <f t="shared" si="25"/>
        <v>40</v>
      </c>
      <c r="AQ76" s="5255" t="str">
        <f t="shared" si="26"/>
        <v>parts-ou.or.o ❾ + or - &gt;</v>
      </c>
      <c r="AR76" s="5264">
        <v>2</v>
      </c>
      <c r="AS76" s="1033" t="s">
        <v>13492</v>
      </c>
      <c r="AT76" s="1034">
        <f t="shared" si="27"/>
        <v>0.6</v>
      </c>
      <c r="AU76" s="1035" t="str">
        <f t="shared" si="28"/>
        <v>Kg</v>
      </c>
      <c r="AV76" s="1057" t="str" cm="1">
        <f t="array" ref="AV76">IF(AJ76&lt;&gt;1,0,IF(OR(AT76="",N(AT76)&lt;=0.000000001),"",IF(OR(AN76="",N(AN76)&lt;=0.000000001),0,IF(ISNUMBER(AT76),IFERROR(_xlfn.LET(_xlpm.ai_test,TRIM(AI76),_xlpm.r,IFERROR(_xlfn.XLOOKUP(_xlpm.ai_test,$BI$15:$BI$62,ROW($BI$15:$BI$62),0,1),IFERROR(_xlfn.XLOOKUP(_xlpm.ai_test,$BJ$15:$BJ$62,ROW($BJ$15:$BJ$62),0,1),_xlfn.XLOOKUP(_xlpm.ai_test,$BK$15:$BK$62,ROW($BK$15:$BK$62),0,1))),_xlpm.p,_xlpm.r-MIN(ROW($BI$15:$BI$62))+1,_xlpm.f,INDEX($BL$15:$BL$62,_xlpm.p),_xlpm.u,INDEX($BM$15:$BM$62,_xlpm.p),_xlpm.s,INDEX($BO$15:$BO$62,_xlpm.p),_xlpm.q,N(AT76)/_xlpm.f,IF(_xlpm.q&gt;=_xlpm.s,ROUND(_xlpm.q,1)&amp;" "&amp;_xlpm.ai_test&amp;" = "&amp;ROUND(_xlpm.q*_xlpm.f,1)&amp;" "&amp;_xlpm.u,ROUND(_xlpm.q,1)&amp;" "&amp;_xlpm.ai_test)),""),""))))</f>
        <v>600 g</v>
      </c>
      <c r="AW76" s="1047"/>
      <c r="AX76" s="1034">
        <f t="shared" si="29"/>
        <v>0.6</v>
      </c>
      <c r="AY76" s="1035" t="str">
        <f t="shared" si="30"/>
        <v>Kg</v>
      </c>
      <c r="AZ76" s="1036">
        <f t="shared" si="37"/>
        <v>0</v>
      </c>
      <c r="BA76" s="1037" t="str">
        <f t="shared" si="31"/>
        <v/>
      </c>
      <c r="BB76" s="1038">
        <v>1.5</v>
      </c>
      <c r="BC76" s="1039">
        <f t="shared" si="40"/>
        <v>0.89999999999999991</v>
      </c>
      <c r="BD76" s="1040" t="str">
        <f t="shared" si="33"/>
        <v>echalotes ciselées fines</v>
      </c>
      <c r="BE76" s="227" t="s">
        <v>22</v>
      </c>
      <c r="BF76" s="1019">
        <f t="shared" si="34"/>
        <v>0</v>
      </c>
      <c r="BG76" s="1020">
        <f t="shared" si="35"/>
        <v>2</v>
      </c>
      <c r="BI76" s="709" t="s">
        <v>2621</v>
      </c>
      <c r="BV76"/>
      <c r="BW76" s="959" t="str">
        <f t="shared" si="49"/>
        <v>A</v>
      </c>
      <c r="BX76" s="869" t="s">
        <v>878</v>
      </c>
      <c r="BY76" s="861"/>
      <c r="BZ76" s="861"/>
      <c r="CA76" s="861"/>
      <c r="CB76" s="861"/>
      <c r="CC76" s="957"/>
      <c r="DB76" s="3">
        <v>1</v>
      </c>
    </row>
    <row r="77" spans="1:106" s="709" customFormat="1" ht="21" customHeight="1">
      <c r="A77" s="936" t="s">
        <v>22</v>
      </c>
      <c r="B77" s="952" t="str">
        <f t="shared" si="48"/>
        <v>A</v>
      </c>
      <c r="C77" s="993" cm="1">
        <f t="array" ref="C77">SUMPRODUCT(LEN(D77:J77))</f>
        <v>0</v>
      </c>
      <c r="D77" s="167"/>
      <c r="E77" s="172"/>
      <c r="F77" s="172"/>
      <c r="G77" s="172"/>
      <c r="H77" s="172"/>
      <c r="I77" s="172"/>
      <c r="J77" s="173"/>
      <c r="K77" s="442" t="s">
        <v>22</v>
      </c>
      <c r="L77" s="104" t="str">
        <f t="shared" si="51"/>
        <v>A</v>
      </c>
      <c r="M77" s="32" t="str">
        <f>M69</f>
        <v>T TERRINE DE PIEDS DE PORC pour tranches | | Auteur &gt; Guy KRENZE - Eric GODDYN - Arnaud NICOLAS - CEPROC 2002</v>
      </c>
      <c r="N77" s="33">
        <f>N69</f>
        <v>1</v>
      </c>
      <c r="O77" s="32" t="str">
        <f>O69</f>
        <v xml:space="preserve">moule L 30 cm X l 9 cm X H 6 cm </v>
      </c>
      <c r="P77" s="34" t="str">
        <f>P69</f>
        <v>Recette mère ► le Boudin en 4 déclinaisons</v>
      </c>
      <c r="Q77" s="92"/>
      <c r="R77" s="108"/>
      <c r="S77" s="94" t="str">
        <f t="shared" si="50"/>
        <v/>
      </c>
      <c r="T77" s="95">
        <v>45</v>
      </c>
      <c r="U77" s="105" t="s">
        <v>99</v>
      </c>
      <c r="V77" s="127">
        <v>1</v>
      </c>
      <c r="W77" s="920" t="s">
        <v>12850</v>
      </c>
      <c r="X77" s="1494">
        <f>IF(OR(ISBLANK(Q67),X67=0),0,Q77*V68)</f>
        <v>0</v>
      </c>
      <c r="Y77" s="101" cm="1">
        <f t="array" ref="Y77">IFERROR(_xlfn.LET(_xlpm.k,UPPER(TRIM(U77)),_xlpm.r,_xlfn.XLOOKUP(_xlpm.k,UPPER(TRIM(Q89:Z89)),Q90:Z90,_xlfn.XLOOKUP(_xlpm.k,UPPER(TRIM(Q91:Z91)),Q92:Z92)),_xlpm.r*T77*V77*V68*IF(ISBLANK(Q77),1,Q77)),0)</f>
        <v>0.09</v>
      </c>
      <c r="Z77" s="1476" t="str">
        <f>_xlfn.LET(_xlpm.unite,SUBSTITUTE(TRIM(U77)," (s)",""),_xlpm.val,Y77,_xlpm.estVol,COUNTIF(T89:Z89,_xlpm.unite)+COUNTIF(T91:Z91,_xlpm.unite)&gt;0,_xlpm.estPoids,COUNTIF(Q89:S89,_xlpm.unite)+COUNTIF(Q91:S91,_xlpm.unite)&gt;0,IF(_xlpm.estVol,IF(ROUND(_xlpm.val,3)&gt;=1,ROUND(_xlpm.val,3)&amp;" L",MAX(1,ROUND(_xlpm.val*100,0))&amp;" cl"),IF(_xlpm.estPoids,IF(ROUND(_xlpm.val,3)&gt;=1,ROUND(_xlpm.val,3)&amp;" Kg",MAX(1,ROUND(_xlpm.val*1000,0))&amp;" g"),"")))</f>
        <v>90 g</v>
      </c>
      <c r="AA77" s="5211"/>
      <c r="AB77" s="1178"/>
      <c r="AC77" s="1179"/>
      <c r="AD77" s="227" t="s">
        <v>22</v>
      </c>
      <c r="AE77" s="1027" t="str">
        <f t="shared" si="15"/>
        <v>A</v>
      </c>
      <c r="AF77" s="1028" t="str">
        <f t="shared" si="16"/>
        <v>T TERRINE DE PIEDS DE PORC pour tranches | | Auteur &gt; Guy KRENZE - Eric GODDYN - Arnaud NICOLAS - CEPROC 2002</v>
      </c>
      <c r="AG77" s="1029">
        <f t="shared" si="17"/>
        <v>1</v>
      </c>
      <c r="AH77" s="1028" t="str">
        <f t="shared" si="18"/>
        <v xml:space="preserve">moule L 30 cm X l 9 cm X H 6 cm </v>
      </c>
      <c r="AI77" s="1029" t="str">
        <f t="shared" si="19"/>
        <v>g</v>
      </c>
      <c r="AJ77" s="1029">
        <f t="shared" si="20"/>
        <v>1</v>
      </c>
      <c r="AK77" s="5263" cm="1">
        <f t="array" ref="AK77">IF(AE77&lt;&gt;"A","",IFERROR((IFERROR(_xlfn.XLOOKUP(TRIM(SUBSTITUTE(U77,CHAR(160)," ")),$BI$15:$BI$62,$BL$15:$BL$62),IFERROR(_xlfn.XLOOKUP(TRIM(SUBSTITUTE(U77,CHAR(160)," ")),$BJ$15:$BJ$62,$BL$15:$BL$62),_xlfn.XLOOKUP(TRIM(SUBSTITUTE(U77,CHAR(160)," ")),$BK$15:$BK$62,$BL$15:$BL$62))))*T77*IF(ISBLANK(Q77),1,Q77)+IFERROR(_xlfn.XLOOKUP("RECHERCHEX",TRIM(L77:AC77),L77:AC77),0),0))</f>
        <v>4.4999999999999998E-2</v>
      </c>
      <c r="AL77" s="1030" t="str">
        <f t="shared" si="21"/>
        <v>Kg</v>
      </c>
      <c r="AM77" s="5254" t="str">
        <f t="shared" si="42"/>
        <v>❾ Author reference &gt;</v>
      </c>
      <c r="AN77" s="1031">
        <f t="shared" si="23"/>
        <v>1</v>
      </c>
      <c r="AO77" s="1031" t="str">
        <f t="shared" si="24"/>
        <v xml:space="preserve">moule L 30 cm X l 9 cm X H 6 cm </v>
      </c>
      <c r="AP77" s="1044">
        <f t="shared" si="25"/>
        <v>40</v>
      </c>
      <c r="AQ77" s="5257" t="str">
        <f t="shared" si="26"/>
        <v>parts-ou.or.o ❾ + or - &gt;</v>
      </c>
      <c r="AR77" s="5264">
        <v>2</v>
      </c>
      <c r="AS77" s="1033" t="s">
        <v>13492</v>
      </c>
      <c r="AT77" s="1045">
        <f t="shared" si="27"/>
        <v>0.09</v>
      </c>
      <c r="AU77" s="1046" t="str">
        <f t="shared" si="28"/>
        <v>Kg</v>
      </c>
      <c r="AV77" s="1059" t="str" cm="1">
        <f t="array" ref="AV77">IF(AJ77&lt;&gt;1,0,IF(OR(AT77="",N(AT77)&lt;=0.000000001),"",IF(OR(AN77="",N(AN77)&lt;=0.000000001),0,IF(ISNUMBER(AT77),IFERROR(_xlfn.LET(_xlpm.ai_test,TRIM(AI77),_xlpm.r,IFERROR(_xlfn.XLOOKUP(_xlpm.ai_test,$BI$15:$BI$62,ROW($BI$15:$BI$62),0,1),IFERROR(_xlfn.XLOOKUP(_xlpm.ai_test,$BJ$15:$BJ$62,ROW($BJ$15:$BJ$62),0,1),_xlfn.XLOOKUP(_xlpm.ai_test,$BK$15:$BK$62,ROW($BK$15:$BK$62),0,1))),_xlpm.p,_xlpm.r-MIN(ROW($BI$15:$BI$62))+1,_xlpm.f,INDEX($BL$15:$BL$62,_xlpm.p),_xlpm.u,INDEX($BM$15:$BM$62,_xlpm.p),_xlpm.s,INDEX($BO$15:$BO$62,_xlpm.p),_xlpm.q,N(AT77)/_xlpm.f,IF(_xlpm.q&gt;=_xlpm.s,ROUND(_xlpm.q,1)&amp;" "&amp;_xlpm.ai_test&amp;" = "&amp;ROUND(_xlpm.q*_xlpm.f,1)&amp;" "&amp;_xlpm.u,ROUND(_xlpm.q,1)&amp;" "&amp;_xlpm.ai_test)),""),""))))</f>
        <v>90 g</v>
      </c>
      <c r="AW77" s="1047"/>
      <c r="AX77" s="1045">
        <f t="shared" si="29"/>
        <v>0.09</v>
      </c>
      <c r="AY77" s="1046" t="str">
        <f t="shared" si="30"/>
        <v>Kg</v>
      </c>
      <c r="AZ77" s="1048">
        <f t="shared" si="37"/>
        <v>0</v>
      </c>
      <c r="BA77" s="1049" t="str">
        <f t="shared" si="31"/>
        <v/>
      </c>
      <c r="BB77" s="1038">
        <v>1.5</v>
      </c>
      <c r="BC77" s="1050">
        <f t="shared" si="40"/>
        <v>0.13500000000000001</v>
      </c>
      <c r="BD77" s="1040" t="str">
        <f t="shared" si="33"/>
        <v>cèpes frais (cubes)</v>
      </c>
      <c r="BE77" s="227" t="s">
        <v>22</v>
      </c>
      <c r="BF77" s="1019">
        <f t="shared" si="34"/>
        <v>0</v>
      </c>
      <c r="BG77" s="1020">
        <f t="shared" si="35"/>
        <v>2</v>
      </c>
      <c r="BI77" s="5195" t="s">
        <v>143</v>
      </c>
      <c r="BJ77" s="5191" t="s">
        <v>99</v>
      </c>
      <c r="BK77" s="5196" t="s">
        <v>144</v>
      </c>
      <c r="BL77" s="5197" t="s">
        <v>145</v>
      </c>
      <c r="BM77" s="5192" t="s">
        <v>146</v>
      </c>
      <c r="BN77" s="5192" t="s">
        <v>107</v>
      </c>
      <c r="BO77" s="5193" t="s">
        <v>0</v>
      </c>
      <c r="BP77" s="5193" t="s">
        <v>96</v>
      </c>
      <c r="BQ77" s="5193" t="s">
        <v>147</v>
      </c>
      <c r="BR77" s="5193" t="s">
        <v>148</v>
      </c>
      <c r="BS77" s="5194" t="s">
        <v>102</v>
      </c>
      <c r="BT77" s="5194" t="s">
        <v>149</v>
      </c>
      <c r="BU77" s="5198" t="s">
        <v>150</v>
      </c>
      <c r="BV77"/>
      <c r="BW77" s="959" t="str">
        <f t="shared" si="49"/>
        <v>A</v>
      </c>
      <c r="BX77" s="1110">
        <v>1</v>
      </c>
      <c r="BY77" s="861"/>
      <c r="BZ77" s="861"/>
      <c r="CA77" s="861"/>
      <c r="CB77" s="861"/>
      <c r="CC77" s="957"/>
      <c r="DB77" s="3">
        <v>1</v>
      </c>
    </row>
    <row r="78" spans="1:106" s="709" customFormat="1" ht="21" customHeight="1">
      <c r="A78" s="936" t="s">
        <v>22</v>
      </c>
      <c r="B78" s="952" t="str">
        <f t="shared" si="48"/>
        <v>A</v>
      </c>
      <c r="C78" s="993" cm="1">
        <f t="array" ref="C78">SUMPRODUCT(LEN(D78:J78))</f>
        <v>0</v>
      </c>
      <c r="D78" s="167"/>
      <c r="E78" s="172"/>
      <c r="F78" s="172"/>
      <c r="G78" s="172"/>
      <c r="H78" s="172"/>
      <c r="I78" s="172"/>
      <c r="J78" s="173"/>
      <c r="K78" s="442" t="s">
        <v>22</v>
      </c>
      <c r="L78" s="104" t="str">
        <f t="shared" si="51"/>
        <v>A</v>
      </c>
      <c r="M78" s="32" t="str">
        <f>M69</f>
        <v>T TERRINE DE PIEDS DE PORC pour tranches | | Auteur &gt; Guy KRENZE - Eric GODDYN - Arnaud NICOLAS - CEPROC 2002</v>
      </c>
      <c r="N78" s="33">
        <f>N69</f>
        <v>1</v>
      </c>
      <c r="O78" s="32" t="str">
        <f>O69</f>
        <v xml:space="preserve">moule L 30 cm X l 9 cm X H 6 cm </v>
      </c>
      <c r="P78" s="34" t="str">
        <f>P69</f>
        <v>Recette mère ► le Boudin en 4 déclinaisons</v>
      </c>
      <c r="Q78" s="92"/>
      <c r="R78" s="108"/>
      <c r="S78" s="94" t="str">
        <f t="shared" si="50"/>
        <v/>
      </c>
      <c r="T78" s="95">
        <v>50</v>
      </c>
      <c r="U78" s="105" t="s">
        <v>99</v>
      </c>
      <c r="V78" s="127">
        <v>1</v>
      </c>
      <c r="W78" s="920" t="s">
        <v>12831</v>
      </c>
      <c r="X78" s="1494">
        <f>IF(OR(ISBLANK(Q67),X67=0),0,Q78*V68)</f>
        <v>0</v>
      </c>
      <c r="Y78" s="101" cm="1">
        <f t="array" ref="Y78">IFERROR(_xlfn.LET(_xlpm.k,UPPER(TRIM(U78)),_xlpm.r,_xlfn.XLOOKUP(_xlpm.k,UPPER(TRIM(Q89:Z89)),Q90:Z90,_xlfn.XLOOKUP(_xlpm.k,UPPER(TRIM(Q91:Z91)),Q92:Z92)),_xlpm.r*T78*V78*V68*IF(ISBLANK(Q78),1,Q78)),0)</f>
        <v>0.1</v>
      </c>
      <c r="Z78" s="1475" t="str">
        <f>_xlfn.LET(_xlpm.unite,SUBSTITUTE(TRIM(U78)," (s)",""),_xlpm.val,Y78,_xlpm.estVol,COUNTIF(T89:Z89,_xlpm.unite)+COUNTIF(T91:Z91,_xlpm.unite)&gt;0,_xlpm.estPoids,COUNTIF(Q89:S89,_xlpm.unite)+COUNTIF(Q91:S91,_xlpm.unite)&gt;0,IF(_xlpm.estVol,IF(ROUND(_xlpm.val,3)&gt;=1,ROUND(_xlpm.val,3)&amp;" L",MAX(1,ROUND(_xlpm.val*100,0))&amp;" cl"),IF(_xlpm.estPoids,IF(ROUND(_xlpm.val,3)&gt;=1,ROUND(_xlpm.val,3)&amp;" Kg",MAX(1,ROUND(_xlpm.val*1000,0))&amp;" g"),"")))</f>
        <v>100 g</v>
      </c>
      <c r="AA78" s="5211"/>
      <c r="AB78" s="1178"/>
      <c r="AC78" s="1179"/>
      <c r="AD78" s="227" t="s">
        <v>22</v>
      </c>
      <c r="AE78" s="1027" t="str">
        <f t="shared" si="15"/>
        <v>A</v>
      </c>
      <c r="AF78" s="1028" t="str">
        <f t="shared" si="16"/>
        <v>T TERRINE DE PIEDS DE PORC pour tranches | | Auteur &gt; Guy KRENZE - Eric GODDYN - Arnaud NICOLAS - CEPROC 2002</v>
      </c>
      <c r="AG78" s="1029">
        <f t="shared" si="17"/>
        <v>1</v>
      </c>
      <c r="AH78" s="1028" t="str">
        <f t="shared" si="18"/>
        <v xml:space="preserve">moule L 30 cm X l 9 cm X H 6 cm </v>
      </c>
      <c r="AI78" s="1029" t="str">
        <f t="shared" si="19"/>
        <v>g</v>
      </c>
      <c r="AJ78" s="1029">
        <f t="shared" si="20"/>
        <v>1</v>
      </c>
      <c r="AK78" s="5263" cm="1">
        <f t="array" ref="AK78">IF(AE78&lt;&gt;"A","",IFERROR((IFERROR(_xlfn.XLOOKUP(TRIM(SUBSTITUTE(U78,CHAR(160)," ")),$BI$15:$BI$62,$BL$15:$BL$62),IFERROR(_xlfn.XLOOKUP(TRIM(SUBSTITUTE(U78,CHAR(160)," ")),$BJ$15:$BJ$62,$BL$15:$BL$62),_xlfn.XLOOKUP(TRIM(SUBSTITUTE(U78,CHAR(160)," ")),$BK$15:$BK$62,$BL$15:$BL$62))))*T78*IF(ISBLANK(Q78),1,Q78)+IFERROR(_xlfn.XLOOKUP("RECHERCHEX",TRIM(L78:AC78),L78:AC78),0),0))</f>
        <v>0.05</v>
      </c>
      <c r="AL78" s="1030" t="str">
        <f t="shared" si="21"/>
        <v>Kg</v>
      </c>
      <c r="AM78" s="5254" t="str">
        <f t="shared" si="42"/>
        <v>❾ Author reference &gt;</v>
      </c>
      <c r="AN78" s="1031">
        <f t="shared" si="23"/>
        <v>1</v>
      </c>
      <c r="AO78" s="1031" t="str">
        <f t="shared" si="24"/>
        <v xml:space="preserve">moule L 30 cm X l 9 cm X H 6 cm </v>
      </c>
      <c r="AP78" s="1032">
        <f t="shared" si="25"/>
        <v>40</v>
      </c>
      <c r="AQ78" s="5255" t="str">
        <f t="shared" si="26"/>
        <v>parts-ou.or.o ❾ + or - &gt;</v>
      </c>
      <c r="AR78" s="5264">
        <v>2</v>
      </c>
      <c r="AS78" s="1033" t="s">
        <v>13492</v>
      </c>
      <c r="AT78" s="1034">
        <f t="shared" si="27"/>
        <v>0.1</v>
      </c>
      <c r="AU78" s="1035" t="str">
        <f t="shared" si="28"/>
        <v>Kg</v>
      </c>
      <c r="AV78" s="1057" t="str" cm="1">
        <f t="array" ref="AV78">IF(AJ78&lt;&gt;1,0,IF(OR(AT78="",N(AT78)&lt;=0.000000001),"",IF(OR(AN78="",N(AN78)&lt;=0.000000001),0,IF(ISNUMBER(AT78),IFERROR(_xlfn.LET(_xlpm.ai_test,TRIM(AI78),_xlpm.r,IFERROR(_xlfn.XLOOKUP(_xlpm.ai_test,$BI$15:$BI$62,ROW($BI$15:$BI$62),0,1),IFERROR(_xlfn.XLOOKUP(_xlpm.ai_test,$BJ$15:$BJ$62,ROW($BJ$15:$BJ$62),0,1),_xlfn.XLOOKUP(_xlpm.ai_test,$BK$15:$BK$62,ROW($BK$15:$BK$62),0,1))),_xlpm.p,_xlpm.r-MIN(ROW($BI$15:$BI$62))+1,_xlpm.f,INDEX($BL$15:$BL$62,_xlpm.p),_xlpm.u,INDEX($BM$15:$BM$62,_xlpm.p),_xlpm.s,INDEX($BO$15:$BO$62,_xlpm.p),_xlpm.q,N(AT78)/_xlpm.f,IF(_xlpm.q&gt;=_xlpm.s,ROUND(_xlpm.q,1)&amp;" "&amp;_xlpm.ai_test&amp;" = "&amp;ROUND(_xlpm.q*_xlpm.f,1)&amp;" "&amp;_xlpm.u,ROUND(_xlpm.q,1)&amp;" "&amp;_xlpm.ai_test)),""),""))))</f>
        <v>100 g</v>
      </c>
      <c r="AW78" s="1047"/>
      <c r="AX78" s="1034">
        <f t="shared" si="29"/>
        <v>0.1</v>
      </c>
      <c r="AY78" s="1035" t="str">
        <f t="shared" si="30"/>
        <v>Kg</v>
      </c>
      <c r="AZ78" s="1036">
        <f t="shared" si="37"/>
        <v>0</v>
      </c>
      <c r="BA78" s="1037" t="str">
        <f t="shared" si="31"/>
        <v/>
      </c>
      <c r="BB78" s="1038">
        <v>1.5</v>
      </c>
      <c r="BC78" s="1039">
        <f t="shared" si="40"/>
        <v>0.15000000000000002</v>
      </c>
      <c r="BD78" s="1040" t="str">
        <f t="shared" si="33"/>
        <v>porto rouge</v>
      </c>
      <c r="BE78" s="227" t="s">
        <v>22</v>
      </c>
      <c r="BF78" s="1019">
        <f t="shared" si="34"/>
        <v>0</v>
      </c>
      <c r="BG78" s="1020">
        <f t="shared" si="35"/>
        <v>2</v>
      </c>
      <c r="BI78" s="5199">
        <v>1</v>
      </c>
      <c r="BJ78" s="5227">
        <v>1E-3</v>
      </c>
      <c r="BK78" s="5228">
        <v>0</v>
      </c>
      <c r="BL78" s="5227">
        <v>0.25</v>
      </c>
      <c r="BM78" s="5227">
        <v>0.33332999999999996</v>
      </c>
      <c r="BN78" s="5227">
        <v>0.5</v>
      </c>
      <c r="BO78" s="5229">
        <v>1</v>
      </c>
      <c r="BP78" s="5229">
        <v>0.1</v>
      </c>
      <c r="BQ78" s="5229">
        <v>0.01</v>
      </c>
      <c r="BR78" s="5229">
        <v>1E-3</v>
      </c>
      <c r="BS78" s="5229">
        <v>0.5</v>
      </c>
      <c r="BT78" s="5229">
        <v>0.33300000000000002</v>
      </c>
      <c r="BU78" s="5206">
        <v>0.2</v>
      </c>
      <c r="BV78"/>
      <c r="BW78" s="959" t="str">
        <f t="shared" si="49"/>
        <v>A</v>
      </c>
      <c r="BX78" s="868" t="s">
        <v>879</v>
      </c>
      <c r="BY78" s="861"/>
      <c r="BZ78" s="861"/>
      <c r="CA78" s="861"/>
      <c r="CB78" s="861"/>
      <c r="CC78" s="957"/>
      <c r="DB78" s="3">
        <v>1</v>
      </c>
    </row>
    <row r="79" spans="1:106" s="709" customFormat="1" ht="21" customHeight="1">
      <c r="A79" s="936" t="s">
        <v>22</v>
      </c>
      <c r="B79" s="952" t="str">
        <f t="shared" si="48"/>
        <v>A</v>
      </c>
      <c r="C79" s="993" cm="1">
        <f t="array" ref="C79">SUMPRODUCT(LEN(D79:J79))</f>
        <v>0</v>
      </c>
      <c r="D79" s="167"/>
      <c r="E79" s="172"/>
      <c r="F79" s="172"/>
      <c r="G79" s="172"/>
      <c r="H79" s="172"/>
      <c r="I79" s="172"/>
      <c r="J79" s="173"/>
      <c r="K79" s="442" t="s">
        <v>22</v>
      </c>
      <c r="L79" s="104" t="str">
        <f t="shared" si="51"/>
        <v>A</v>
      </c>
      <c r="M79" s="32" t="str">
        <f>M69</f>
        <v>T TERRINE DE PIEDS DE PORC pour tranches | | Auteur &gt; Guy KRENZE - Eric GODDYN - Arnaud NICOLAS - CEPROC 2002</v>
      </c>
      <c r="N79" s="33">
        <f>N69</f>
        <v>1</v>
      </c>
      <c r="O79" s="32" t="str">
        <f>O69</f>
        <v xml:space="preserve">moule L 30 cm X l 9 cm X H 6 cm </v>
      </c>
      <c r="P79" s="34" t="str">
        <f>P69</f>
        <v>Recette mère ► le Boudin en 4 déclinaisons</v>
      </c>
      <c r="Q79" s="92"/>
      <c r="R79" s="108"/>
      <c r="S79" s="94" t="str">
        <f t="shared" si="50"/>
        <v/>
      </c>
      <c r="T79" s="95">
        <v>7</v>
      </c>
      <c r="U79" s="105" t="s">
        <v>99</v>
      </c>
      <c r="V79" s="127">
        <v>1</v>
      </c>
      <c r="W79" s="920" t="s">
        <v>12851</v>
      </c>
      <c r="X79" s="1494">
        <f>IF(OR(ISBLANK(Q67),X67=0),0,Q79*V68)</f>
        <v>0</v>
      </c>
      <c r="Y79" s="101" cm="1">
        <f t="array" ref="Y79">IFERROR(_xlfn.LET(_xlpm.k,UPPER(TRIM(U79)),_xlpm.r,_xlfn.XLOOKUP(_xlpm.k,UPPER(TRIM(Q89:Z89)),Q90:Z90,_xlfn.XLOOKUP(_xlpm.k,UPPER(TRIM(Q91:Z91)),Q92:Z92)),_xlpm.r*T79*V79*V68*IF(ISBLANK(Q79),1,Q79)),0)</f>
        <v>1.4E-2</v>
      </c>
      <c r="Z79" s="1476" t="str">
        <f>_xlfn.LET(_xlpm.unite,SUBSTITUTE(TRIM(U79)," (s)",""),_xlpm.val,Y79,_xlpm.estVol,COUNTIF(T89:Z89,_xlpm.unite)+COUNTIF(T91:Z91,_xlpm.unite)&gt;0,_xlpm.estPoids,COUNTIF(Q89:S89,_xlpm.unite)+COUNTIF(Q91:S91,_xlpm.unite)&gt;0,IF(_xlpm.estVol,IF(ROUND(_xlpm.val,3)&gt;=1,ROUND(_xlpm.val,3)&amp;" L",MAX(1,ROUND(_xlpm.val*100,0))&amp;" cl"),IF(_xlpm.estPoids,IF(ROUND(_xlpm.val,3)&gt;=1,ROUND(_xlpm.val,3)&amp;" Kg",MAX(1,ROUND(_xlpm.val*1000,0))&amp;" g"),"")))</f>
        <v>14 g</v>
      </c>
      <c r="AA79" s="5211"/>
      <c r="AB79" s="1178"/>
      <c r="AC79" s="1179"/>
      <c r="AD79" s="227" t="s">
        <v>22</v>
      </c>
      <c r="AE79" s="1027" t="str">
        <f t="shared" si="15"/>
        <v>A</v>
      </c>
      <c r="AF79" s="1028" t="str">
        <f t="shared" si="16"/>
        <v>T TERRINE DE PIEDS DE PORC pour tranches | | Auteur &gt; Guy KRENZE - Eric GODDYN - Arnaud NICOLAS - CEPROC 2002</v>
      </c>
      <c r="AG79" s="1029">
        <f t="shared" si="17"/>
        <v>1</v>
      </c>
      <c r="AH79" s="1028" t="str">
        <f t="shared" si="18"/>
        <v xml:space="preserve">moule L 30 cm X l 9 cm X H 6 cm </v>
      </c>
      <c r="AI79" s="1029" t="str">
        <f t="shared" si="19"/>
        <v>g</v>
      </c>
      <c r="AJ79" s="1029">
        <f t="shared" si="20"/>
        <v>1</v>
      </c>
      <c r="AK79" s="5263" cm="1">
        <f t="array" ref="AK79">IF(AE79&lt;&gt;"A","",IFERROR((IFERROR(_xlfn.XLOOKUP(TRIM(SUBSTITUTE(U79,CHAR(160)," ")),$BI$15:$BI$62,$BL$15:$BL$62),IFERROR(_xlfn.XLOOKUP(TRIM(SUBSTITUTE(U79,CHAR(160)," ")),$BJ$15:$BJ$62,$BL$15:$BL$62),_xlfn.XLOOKUP(TRIM(SUBSTITUTE(U79,CHAR(160)," ")),$BK$15:$BK$62,$BL$15:$BL$62))))*T79*IF(ISBLANK(Q79),1,Q79)+IFERROR(_xlfn.XLOOKUP("RECHERCHEX",TRIM(L79:AC79),L79:AC79),0),0))</f>
        <v>7.0000000000000001E-3</v>
      </c>
      <c r="AL79" s="1030" t="str">
        <f t="shared" si="21"/>
        <v>Kg</v>
      </c>
      <c r="AM79" s="5254" t="str">
        <f t="shared" si="42"/>
        <v>❾ Author reference &gt;</v>
      </c>
      <c r="AN79" s="1031">
        <f t="shared" si="23"/>
        <v>1</v>
      </c>
      <c r="AO79" s="1031" t="str">
        <f t="shared" si="24"/>
        <v xml:space="preserve">moule L 30 cm X l 9 cm X H 6 cm </v>
      </c>
      <c r="AP79" s="1044">
        <f t="shared" si="25"/>
        <v>40</v>
      </c>
      <c r="AQ79" s="5257" t="str">
        <f t="shared" si="26"/>
        <v>parts-ou.or.o ❾ + or - &gt;</v>
      </c>
      <c r="AR79" s="5264">
        <v>2</v>
      </c>
      <c r="AS79" s="1033" t="s">
        <v>13492</v>
      </c>
      <c r="AT79" s="1045">
        <f t="shared" si="27"/>
        <v>1.4E-2</v>
      </c>
      <c r="AU79" s="1046" t="str">
        <f t="shared" si="28"/>
        <v>Kg</v>
      </c>
      <c r="AV79" s="1059" t="str" cm="1">
        <f t="array" ref="AV79">IF(AJ79&lt;&gt;1,0,IF(OR(AT79="",N(AT79)&lt;=0.000000001),"",IF(OR(AN79="",N(AN79)&lt;=0.000000001),0,IF(ISNUMBER(AT79),IFERROR(_xlfn.LET(_xlpm.ai_test,TRIM(AI79),_xlpm.r,IFERROR(_xlfn.XLOOKUP(_xlpm.ai_test,$BI$15:$BI$62,ROW($BI$15:$BI$62),0,1),IFERROR(_xlfn.XLOOKUP(_xlpm.ai_test,$BJ$15:$BJ$62,ROW($BJ$15:$BJ$62),0,1),_xlfn.XLOOKUP(_xlpm.ai_test,$BK$15:$BK$62,ROW($BK$15:$BK$62),0,1))),_xlpm.p,_xlpm.r-MIN(ROW($BI$15:$BI$62))+1,_xlpm.f,INDEX($BL$15:$BL$62,_xlpm.p),_xlpm.u,INDEX($BM$15:$BM$62,_xlpm.p),_xlpm.s,INDEX($BO$15:$BO$62,_xlpm.p),_xlpm.q,N(AT79)/_xlpm.f,IF(_xlpm.q&gt;=_xlpm.s,ROUND(_xlpm.q,1)&amp;" "&amp;_xlpm.ai_test&amp;" = "&amp;ROUND(_xlpm.q*_xlpm.f,1)&amp;" "&amp;_xlpm.u,ROUND(_xlpm.q,1)&amp;" "&amp;_xlpm.ai_test)),""),""))))</f>
        <v>14 g</v>
      </c>
      <c r="AW79" s="1047"/>
      <c r="AX79" s="1045">
        <f t="shared" si="29"/>
        <v>1.4E-2</v>
      </c>
      <c r="AY79" s="1046" t="str">
        <f t="shared" si="30"/>
        <v>Kg</v>
      </c>
      <c r="AZ79" s="1048">
        <f t="shared" si="37"/>
        <v>0</v>
      </c>
      <c r="BA79" s="1049" t="str">
        <f t="shared" si="31"/>
        <v/>
      </c>
      <c r="BB79" s="1038">
        <v>1.5</v>
      </c>
      <c r="BC79" s="1050">
        <f t="shared" si="40"/>
        <v>2.1000000000000001E-2</v>
      </c>
      <c r="BD79" s="1040" t="str">
        <f t="shared" si="33"/>
        <v>pieds de porc cuits</v>
      </c>
      <c r="BE79" s="227" t="s">
        <v>22</v>
      </c>
      <c r="BF79" s="1019">
        <f t="shared" si="34"/>
        <v>0</v>
      </c>
      <c r="BG79" s="1020">
        <f t="shared" si="35"/>
        <v>2</v>
      </c>
      <c r="BI79" s="5200" t="s">
        <v>156</v>
      </c>
      <c r="BJ79" s="5200" t="s">
        <v>157</v>
      </c>
      <c r="BK79" s="5196" t="s">
        <v>144</v>
      </c>
      <c r="BL79" s="5200" t="s">
        <v>112</v>
      </c>
      <c r="BM79" s="5200" t="s">
        <v>158</v>
      </c>
      <c r="BN79" s="5200" t="s">
        <v>159</v>
      </c>
      <c r="BO79" s="5201" t="s">
        <v>117</v>
      </c>
      <c r="BP79" s="5202" t="s">
        <v>160</v>
      </c>
      <c r="BQ79" s="5202" t="s">
        <v>161</v>
      </c>
      <c r="BR79" s="5194" t="s">
        <v>162</v>
      </c>
      <c r="BS79" s="5194" t="s">
        <v>163</v>
      </c>
      <c r="BT79" s="5194" t="s">
        <v>103</v>
      </c>
      <c r="BU79" s="5203" t="s">
        <v>164</v>
      </c>
      <c r="BV79"/>
      <c r="BW79" s="959" t="str">
        <f t="shared" si="49"/>
        <v>A</v>
      </c>
      <c r="BX79" s="869" t="s">
        <v>880</v>
      </c>
      <c r="BY79" s="861"/>
      <c r="BZ79" s="861"/>
      <c r="CA79" s="861"/>
      <c r="CB79" s="861"/>
      <c r="CC79" s="957"/>
      <c r="CD79"/>
      <c r="CE79"/>
      <c r="CF79"/>
      <c r="CG79"/>
      <c r="CH79"/>
      <c r="CI79"/>
      <c r="CJ79"/>
      <c r="CL79"/>
      <c r="CM79"/>
      <c r="CN79"/>
      <c r="CO79"/>
      <c r="CP79"/>
      <c r="CQ79"/>
      <c r="CR79"/>
      <c r="CT79"/>
      <c r="CU79"/>
      <c r="CV79"/>
      <c r="CW79"/>
      <c r="CX79"/>
      <c r="CY79"/>
      <c r="CZ79"/>
      <c r="DB79" s="3">
        <v>1</v>
      </c>
    </row>
    <row r="80" spans="1:106" s="709" customFormat="1" ht="21" customHeight="1">
      <c r="A80" s="936" t="s">
        <v>22</v>
      </c>
      <c r="B80" s="952" t="str">
        <f t="shared" si="48"/>
        <v>A</v>
      </c>
      <c r="C80" s="993" cm="1">
        <f t="array" ref="C80">SUMPRODUCT(LEN(D80:J80))</f>
        <v>0</v>
      </c>
      <c r="D80" s="167"/>
      <c r="E80" s="172"/>
      <c r="F80" s="172"/>
      <c r="G80" s="172"/>
      <c r="H80" s="172"/>
      <c r="I80" s="172"/>
      <c r="J80" s="173"/>
      <c r="K80" s="442" t="s">
        <v>22</v>
      </c>
      <c r="L80" s="104" t="str">
        <f t="shared" si="51"/>
        <v>A</v>
      </c>
      <c r="M80" s="32" t="str">
        <f>M69</f>
        <v>T TERRINE DE PIEDS DE PORC pour tranches | | Auteur &gt; Guy KRENZE - Eric GODDYN - Arnaud NICOLAS - CEPROC 2002</v>
      </c>
      <c r="N80" s="33">
        <f>N69</f>
        <v>1</v>
      </c>
      <c r="O80" s="32" t="str">
        <f>O69</f>
        <v xml:space="preserve">moule L 30 cm X l 9 cm X H 6 cm </v>
      </c>
      <c r="P80" s="34" t="str">
        <f>P69</f>
        <v>Recette mère ► le Boudin en 4 déclinaisons</v>
      </c>
      <c r="Q80" s="92"/>
      <c r="R80" s="108"/>
      <c r="S80" s="94" t="str">
        <f t="shared" si="50"/>
        <v/>
      </c>
      <c r="T80" s="95">
        <v>20</v>
      </c>
      <c r="U80" s="105" t="s">
        <v>99</v>
      </c>
      <c r="V80" s="127">
        <v>1</v>
      </c>
      <c r="W80" s="920" t="s">
        <v>12852</v>
      </c>
      <c r="X80" s="1494">
        <f>IF(OR(ISBLANK(Q67),X67=0),0,Q80*V68)</f>
        <v>0</v>
      </c>
      <c r="Y80" s="101" cm="1">
        <f t="array" ref="Y80">IFERROR(_xlfn.LET(_xlpm.k,UPPER(TRIM(U80)),_xlpm.r,_xlfn.XLOOKUP(_xlpm.k,UPPER(TRIM(Q89:Z89)),Q90:Z90,_xlfn.XLOOKUP(_xlpm.k,UPPER(TRIM(Q91:Z91)),Q92:Z92)),_xlpm.r*T80*V80*V68*IF(ISBLANK(Q80),1,Q80)),0)</f>
        <v>0.04</v>
      </c>
      <c r="Z80" s="1475" t="str">
        <f>_xlfn.LET(_xlpm.unite,SUBSTITUTE(TRIM(U80)," (s)",""),_xlpm.val,Y80,_xlpm.estVol,COUNTIF(T89:Z89,_xlpm.unite)+COUNTIF(T91:Z91,_xlpm.unite)&gt;0,_xlpm.estPoids,COUNTIF(Q89:S89,_xlpm.unite)+COUNTIF(Q91:S91,_xlpm.unite)&gt;0,IF(_xlpm.estVol,IF(ROUND(_xlpm.val,3)&gt;=1,ROUND(_xlpm.val,3)&amp;" L",MAX(1,ROUND(_xlpm.val*100,0))&amp;" cl"),IF(_xlpm.estPoids,IF(ROUND(_xlpm.val,3)&gt;=1,ROUND(_xlpm.val,3)&amp;" Kg",MAX(1,ROUND(_xlpm.val*1000,0))&amp;" g"),"")))</f>
        <v>40 g</v>
      </c>
      <c r="AA80" s="5211"/>
      <c r="AB80" s="1178"/>
      <c r="AC80" s="1179"/>
      <c r="AD80" s="227" t="s">
        <v>22</v>
      </c>
      <c r="AE80" s="1027" t="str">
        <f t="shared" si="15"/>
        <v>A</v>
      </c>
      <c r="AF80" s="1028" t="str">
        <f t="shared" si="16"/>
        <v>T TERRINE DE PIEDS DE PORC pour tranches | | Auteur &gt; Guy KRENZE - Eric GODDYN - Arnaud NICOLAS - CEPROC 2002</v>
      </c>
      <c r="AG80" s="1029">
        <f t="shared" si="17"/>
        <v>1</v>
      </c>
      <c r="AH80" s="1028" t="str">
        <f t="shared" si="18"/>
        <v xml:space="preserve">moule L 30 cm X l 9 cm X H 6 cm </v>
      </c>
      <c r="AI80" s="1029" t="str">
        <f t="shared" si="19"/>
        <v>g</v>
      </c>
      <c r="AJ80" s="1029">
        <f t="shared" si="20"/>
        <v>1</v>
      </c>
      <c r="AK80" s="5263" cm="1">
        <f t="array" ref="AK80">IF(AE80&lt;&gt;"A","",IFERROR((IFERROR(_xlfn.XLOOKUP(TRIM(SUBSTITUTE(U80,CHAR(160)," ")),$BI$15:$BI$62,$BL$15:$BL$62),IFERROR(_xlfn.XLOOKUP(TRIM(SUBSTITUTE(U80,CHAR(160)," ")),$BJ$15:$BJ$62,$BL$15:$BL$62),_xlfn.XLOOKUP(TRIM(SUBSTITUTE(U80,CHAR(160)," ")),$BK$15:$BK$62,$BL$15:$BL$62))))*T80*IF(ISBLANK(Q80),1,Q80)+IFERROR(_xlfn.XLOOKUP("RECHERCHEX",TRIM(L80:AC80),L80:AC80),0),0))</f>
        <v>0.02</v>
      </c>
      <c r="AL80" s="1030" t="str">
        <f t="shared" si="21"/>
        <v>Kg</v>
      </c>
      <c r="AM80" s="5254" t="str">
        <f t="shared" si="42"/>
        <v>❾ Author reference &gt;</v>
      </c>
      <c r="AN80" s="1031">
        <f t="shared" si="23"/>
        <v>1</v>
      </c>
      <c r="AO80" s="1031" t="str">
        <f t="shared" si="24"/>
        <v xml:space="preserve">moule L 30 cm X l 9 cm X H 6 cm </v>
      </c>
      <c r="AP80" s="1032">
        <f t="shared" si="25"/>
        <v>40</v>
      </c>
      <c r="AQ80" s="5255" t="str">
        <f t="shared" si="26"/>
        <v>parts-ou.or.o ❾ + or - &gt;</v>
      </c>
      <c r="AR80" s="5264">
        <v>2</v>
      </c>
      <c r="AS80" s="1033" t="s">
        <v>13492</v>
      </c>
      <c r="AT80" s="1034">
        <f t="shared" si="27"/>
        <v>0.04</v>
      </c>
      <c r="AU80" s="1035" t="str">
        <f t="shared" si="28"/>
        <v>Kg</v>
      </c>
      <c r="AV80" s="1057" t="str" cm="1">
        <f t="array" ref="AV80">IF(AJ80&lt;&gt;1,0,IF(OR(AT80="",N(AT80)&lt;=0.000000001),"",IF(OR(AN80="",N(AN80)&lt;=0.000000001),0,IF(ISNUMBER(AT80),IFERROR(_xlfn.LET(_xlpm.ai_test,TRIM(AI80),_xlpm.r,IFERROR(_xlfn.XLOOKUP(_xlpm.ai_test,$BI$15:$BI$62,ROW($BI$15:$BI$62),0,1),IFERROR(_xlfn.XLOOKUP(_xlpm.ai_test,$BJ$15:$BJ$62,ROW($BJ$15:$BJ$62),0,1),_xlfn.XLOOKUP(_xlpm.ai_test,$BK$15:$BK$62,ROW($BK$15:$BK$62),0,1))),_xlpm.p,_xlpm.r-MIN(ROW($BI$15:$BI$62))+1,_xlpm.f,INDEX($BL$15:$BL$62,_xlpm.p),_xlpm.u,INDEX($BM$15:$BM$62,_xlpm.p),_xlpm.s,INDEX($BO$15:$BO$62,_xlpm.p),_xlpm.q,N(AT80)/_xlpm.f,IF(_xlpm.q&gt;=_xlpm.s,ROUND(_xlpm.q,1)&amp;" "&amp;_xlpm.ai_test&amp;" = "&amp;ROUND(_xlpm.q*_xlpm.f,1)&amp;" "&amp;_xlpm.u,ROUND(_xlpm.q,1)&amp;" "&amp;_xlpm.ai_test)),""),""))))</f>
        <v>40 g</v>
      </c>
      <c r="AW80" s="1047"/>
      <c r="AX80" s="1034">
        <f t="shared" si="29"/>
        <v>0.04</v>
      </c>
      <c r="AY80" s="1035" t="str">
        <f t="shared" si="30"/>
        <v>Kg</v>
      </c>
      <c r="AZ80" s="1036">
        <f t="shared" si="37"/>
        <v>0</v>
      </c>
      <c r="BA80" s="1037" t="str">
        <f t="shared" si="31"/>
        <v/>
      </c>
      <c r="BB80" s="1038">
        <v>1.5</v>
      </c>
      <c r="BC80" s="1039">
        <f t="shared" si="40"/>
        <v>0.06</v>
      </c>
      <c r="BD80" s="1040" t="str">
        <f t="shared" si="33"/>
        <v>ail en purée</v>
      </c>
      <c r="BE80" s="227" t="s">
        <v>22</v>
      </c>
      <c r="BF80" s="1019">
        <f t="shared" si="34"/>
        <v>0</v>
      </c>
      <c r="BG80" s="1020">
        <f t="shared" si="35"/>
        <v>2</v>
      </c>
      <c r="BI80" s="5199">
        <v>2.835E-2</v>
      </c>
      <c r="BJ80" s="5227">
        <v>0.13</v>
      </c>
      <c r="BK80" s="5228">
        <v>0</v>
      </c>
      <c r="BL80" s="5227">
        <v>0.2</v>
      </c>
      <c r="BM80" s="5227">
        <v>0.23</v>
      </c>
      <c r="BN80" s="5227">
        <v>0.22500000000000001</v>
      </c>
      <c r="BO80" s="5229">
        <v>0.35</v>
      </c>
      <c r="BP80" s="5229">
        <v>5.0000000000000001E-3</v>
      </c>
      <c r="BQ80" s="5229">
        <v>5.0000000000000001E-3</v>
      </c>
      <c r="BR80" s="5229">
        <v>1.4999999999999999E-2</v>
      </c>
      <c r="BS80" s="5229">
        <v>0.1</v>
      </c>
      <c r="BT80" s="5229">
        <v>0.22500000000000001</v>
      </c>
      <c r="BU80" s="5206">
        <v>1E-3</v>
      </c>
      <c r="BV80"/>
      <c r="BW80" s="959" t="str">
        <f t="shared" si="49"/>
        <v>A</v>
      </c>
      <c r="BX80" s="372"/>
      <c r="BY80" s="372"/>
      <c r="BZ80" s="372"/>
      <c r="CA80" s="372"/>
      <c r="CB80" s="372"/>
      <c r="CC80" s="957"/>
      <c r="CD80"/>
      <c r="CE80"/>
      <c r="CF80"/>
      <c r="CG80"/>
      <c r="CH80"/>
      <c r="CI80"/>
      <c r="CJ80"/>
      <c r="CL80"/>
      <c r="CM80"/>
      <c r="CN80"/>
      <c r="CO80"/>
      <c r="CP80"/>
      <c r="CQ80"/>
      <c r="CR80"/>
      <c r="CT80"/>
      <c r="CU80"/>
      <c r="CV80"/>
      <c r="CW80"/>
      <c r="CX80"/>
      <c r="CY80"/>
      <c r="CZ80"/>
      <c r="DB80" s="3">
        <v>1</v>
      </c>
    </row>
    <row r="81" spans="1:106" s="709" customFormat="1" ht="21" customHeight="1" thickBot="1">
      <c r="A81" s="936" t="s">
        <v>22</v>
      </c>
      <c r="B81" s="952" t="str">
        <f t="shared" si="48"/>
        <v>A</v>
      </c>
      <c r="C81" s="993" cm="1">
        <f t="array" ref="C81">SUMPRODUCT(LEN(D81:J81))</f>
        <v>0</v>
      </c>
      <c r="D81" s="167"/>
      <c r="E81" s="172"/>
      <c r="F81" s="172"/>
      <c r="G81" s="172"/>
      <c r="H81" s="172"/>
      <c r="I81" s="172"/>
      <c r="J81" s="173"/>
      <c r="K81" s="442" t="s">
        <v>22</v>
      </c>
      <c r="L81" s="104" t="str">
        <f t="shared" si="51"/>
        <v>A</v>
      </c>
      <c r="M81" s="32" t="str">
        <f>M69</f>
        <v>T TERRINE DE PIEDS DE PORC pour tranches | | Auteur &gt; Guy KRENZE - Eric GODDYN - Arnaud NICOLAS - CEPROC 2002</v>
      </c>
      <c r="N81" s="33">
        <f>N69</f>
        <v>1</v>
      </c>
      <c r="O81" s="32" t="str">
        <f>O69</f>
        <v xml:space="preserve">moule L 30 cm X l 9 cm X H 6 cm </v>
      </c>
      <c r="P81" s="34" t="str">
        <f>P69</f>
        <v>Recette mère ► le Boudin en 4 déclinaisons</v>
      </c>
      <c r="Q81" s="92"/>
      <c r="R81" s="108"/>
      <c r="S81" s="94" t="str">
        <f t="shared" si="50"/>
        <v/>
      </c>
      <c r="T81" s="95">
        <v>300</v>
      </c>
      <c r="U81" s="105" t="s">
        <v>99</v>
      </c>
      <c r="V81" s="127">
        <v>1</v>
      </c>
      <c r="W81" s="920" t="s">
        <v>12853</v>
      </c>
      <c r="X81" s="1494">
        <f>IF(OR(ISBLANK(Q67),X67=0),0,Q81*V68)</f>
        <v>0</v>
      </c>
      <c r="Y81" s="101" cm="1">
        <f t="array" ref="Y81">IFERROR(_xlfn.LET(_xlpm.k,UPPER(TRIM(U81)),_xlpm.r,_xlfn.XLOOKUP(_xlpm.k,UPPER(TRIM(Q89:Z89)),Q90:Z90,_xlfn.XLOOKUP(_xlpm.k,UPPER(TRIM(Q91:Z91)),Q92:Z92)),_xlpm.r*T81*V81*V68*IF(ISBLANK(Q81),1,Q81)),0)</f>
        <v>0.6</v>
      </c>
      <c r="Z81" s="1476" t="str">
        <f>_xlfn.LET(_xlpm.unite,SUBSTITUTE(TRIM(U81)," (s)",""),_xlpm.val,Y81,_xlpm.estVol,COUNTIF(T89:Z89,_xlpm.unite)+COUNTIF(T91:Z91,_xlpm.unite)&gt;0,_xlpm.estPoids,COUNTIF(Q89:S89,_xlpm.unite)+COUNTIF(Q91:S91,_xlpm.unite)&gt;0,IF(_xlpm.estVol,IF(ROUND(_xlpm.val,3)&gt;=1,ROUND(_xlpm.val,3)&amp;" L",MAX(1,ROUND(_xlpm.val*100,0))&amp;" cl"),IF(_xlpm.estPoids,IF(ROUND(_xlpm.val,3)&gt;=1,ROUND(_xlpm.val,3)&amp;" Kg",MAX(1,ROUND(_xlpm.val*1000,0))&amp;" g"),"")))</f>
        <v>600 g</v>
      </c>
      <c r="AA81" s="5211"/>
      <c r="AB81" s="1178"/>
      <c r="AC81" s="1179"/>
      <c r="AD81" s="227" t="s">
        <v>22</v>
      </c>
      <c r="AE81" s="1027" t="str">
        <f t="shared" si="15"/>
        <v>A</v>
      </c>
      <c r="AF81" s="1028" t="str">
        <f t="shared" si="16"/>
        <v>T TERRINE DE PIEDS DE PORC pour tranches | | Auteur &gt; Guy KRENZE - Eric GODDYN - Arnaud NICOLAS - CEPROC 2002</v>
      </c>
      <c r="AG81" s="1029">
        <f t="shared" si="17"/>
        <v>1</v>
      </c>
      <c r="AH81" s="1028" t="str">
        <f t="shared" si="18"/>
        <v xml:space="preserve">moule L 30 cm X l 9 cm X H 6 cm </v>
      </c>
      <c r="AI81" s="1029" t="str">
        <f t="shared" si="19"/>
        <v>g</v>
      </c>
      <c r="AJ81" s="1029">
        <f t="shared" si="20"/>
        <v>1</v>
      </c>
      <c r="AK81" s="5263" cm="1">
        <f t="array" ref="AK81">IF(AE81&lt;&gt;"A","",IFERROR((IFERROR(_xlfn.XLOOKUP(TRIM(SUBSTITUTE(U81,CHAR(160)," ")),$BI$15:$BI$62,$BL$15:$BL$62),IFERROR(_xlfn.XLOOKUP(TRIM(SUBSTITUTE(U81,CHAR(160)," ")),$BJ$15:$BJ$62,$BL$15:$BL$62),_xlfn.XLOOKUP(TRIM(SUBSTITUTE(U81,CHAR(160)," ")),$BK$15:$BK$62,$BL$15:$BL$62))))*T81*IF(ISBLANK(Q81),1,Q81)+IFERROR(_xlfn.XLOOKUP("RECHERCHEX",TRIM(L81:AC81),L81:AC81),0),0))</f>
        <v>0.3</v>
      </c>
      <c r="AL81" s="1030" t="str">
        <f t="shared" si="21"/>
        <v>Kg</v>
      </c>
      <c r="AM81" s="5254" t="str">
        <f t="shared" si="42"/>
        <v>❾ Author reference &gt;</v>
      </c>
      <c r="AN81" s="1031">
        <f t="shared" si="23"/>
        <v>1</v>
      </c>
      <c r="AO81" s="1031" t="str">
        <f t="shared" si="24"/>
        <v xml:space="preserve">moule L 30 cm X l 9 cm X H 6 cm </v>
      </c>
      <c r="AP81" s="1044">
        <f t="shared" si="25"/>
        <v>40</v>
      </c>
      <c r="AQ81" s="5257" t="str">
        <f t="shared" si="26"/>
        <v>parts-ou.or.o ❾ + or - &gt;</v>
      </c>
      <c r="AR81" s="5264">
        <v>2</v>
      </c>
      <c r="AS81" s="1033" t="s">
        <v>13492</v>
      </c>
      <c r="AT81" s="1045">
        <f t="shared" si="27"/>
        <v>0.6</v>
      </c>
      <c r="AU81" s="1046" t="str">
        <f t="shared" si="28"/>
        <v>Kg</v>
      </c>
      <c r="AV81" s="1059" t="str" cm="1">
        <f t="array" ref="AV81">IF(AJ81&lt;&gt;1,0,IF(OR(AT81="",N(AT81)&lt;=0.000000001),"",IF(OR(AN81="",N(AN81)&lt;=0.000000001),0,IF(ISNUMBER(AT81),IFERROR(_xlfn.LET(_xlpm.ai_test,TRIM(AI81),_xlpm.r,IFERROR(_xlfn.XLOOKUP(_xlpm.ai_test,$BI$15:$BI$62,ROW($BI$15:$BI$62),0,1),IFERROR(_xlfn.XLOOKUP(_xlpm.ai_test,$BJ$15:$BJ$62,ROW($BJ$15:$BJ$62),0,1),_xlfn.XLOOKUP(_xlpm.ai_test,$BK$15:$BK$62,ROW($BK$15:$BK$62),0,1))),_xlpm.p,_xlpm.r-MIN(ROW($BI$15:$BI$62))+1,_xlpm.f,INDEX($BL$15:$BL$62,_xlpm.p),_xlpm.u,INDEX($BM$15:$BM$62,_xlpm.p),_xlpm.s,INDEX($BO$15:$BO$62,_xlpm.p),_xlpm.q,N(AT81)/_xlpm.f,IF(_xlpm.q&gt;=_xlpm.s,ROUND(_xlpm.q,1)&amp;" "&amp;_xlpm.ai_test&amp;" = "&amp;ROUND(_xlpm.q*_xlpm.f,1)&amp;" "&amp;_xlpm.u,ROUND(_xlpm.q,1)&amp;" "&amp;_xlpm.ai_test)),""),""))))</f>
        <v>600 g</v>
      </c>
      <c r="AW81" s="1047"/>
      <c r="AX81" s="1045">
        <f t="shared" si="29"/>
        <v>0.6</v>
      </c>
      <c r="AY81" s="1046" t="str">
        <f t="shared" si="30"/>
        <v>Kg</v>
      </c>
      <c r="AZ81" s="1048">
        <f t="shared" si="37"/>
        <v>0</v>
      </c>
      <c r="BA81" s="1049" t="str">
        <f t="shared" si="31"/>
        <v/>
      </c>
      <c r="BB81" s="1038">
        <v>1.5</v>
      </c>
      <c r="BC81" s="1050">
        <f t="shared" si="40"/>
        <v>0.89999999999999991</v>
      </c>
      <c r="BD81" s="1040" t="str">
        <f t="shared" si="33"/>
        <v>noisettes torréfiées</v>
      </c>
      <c r="BE81" s="227" t="s">
        <v>22</v>
      </c>
      <c r="BF81" s="1019">
        <f t="shared" si="34"/>
        <v>0</v>
      </c>
      <c r="BG81" s="1020">
        <f t="shared" si="35"/>
        <v>2</v>
      </c>
      <c r="BI81"/>
      <c r="BJ81"/>
      <c r="BK81"/>
      <c r="BL81"/>
      <c r="BM81"/>
      <c r="BN81"/>
      <c r="BO81"/>
      <c r="BP81"/>
      <c r="BQ81"/>
      <c r="BR81"/>
      <c r="BS81"/>
      <c r="BT81"/>
      <c r="BU81"/>
      <c r="BV81"/>
      <c r="BW81" s="959" t="str">
        <f t="shared" si="49"/>
        <v>A</v>
      </c>
      <c r="BX81" s="372"/>
      <c r="BY81" s="372"/>
      <c r="BZ81" s="372"/>
      <c r="CA81" s="372"/>
      <c r="CB81" s="372"/>
      <c r="CC81" s="957"/>
      <c r="CD81"/>
      <c r="CE81"/>
      <c r="CF81"/>
      <c r="CG81"/>
      <c r="CH81"/>
      <c r="CI81"/>
      <c r="CJ81"/>
      <c r="CL81"/>
      <c r="CM81"/>
      <c r="CN81"/>
      <c r="CO81"/>
      <c r="CP81"/>
      <c r="CQ81"/>
      <c r="CR81"/>
      <c r="CT81"/>
      <c r="CU81"/>
      <c r="CV81"/>
      <c r="CW81"/>
      <c r="CX81"/>
      <c r="CY81"/>
      <c r="CZ81"/>
      <c r="DB81" s="3">
        <v>1</v>
      </c>
    </row>
    <row r="82" spans="1:106" s="709" customFormat="1" ht="21" customHeight="1">
      <c r="A82" s="936" t="s">
        <v>22</v>
      </c>
      <c r="B82" s="952" t="str">
        <f t="shared" si="48"/>
        <v>A</v>
      </c>
      <c r="C82" s="993" cm="1">
        <f t="array" ref="C82">SUMPRODUCT(LEN(D82:J82))</f>
        <v>0</v>
      </c>
      <c r="D82" s="167"/>
      <c r="E82" s="172"/>
      <c r="F82" s="172"/>
      <c r="G82" s="172"/>
      <c r="H82" s="172"/>
      <c r="I82" s="172"/>
      <c r="J82" s="173"/>
      <c r="K82" s="442" t="s">
        <v>22</v>
      </c>
      <c r="L82" s="104" t="str">
        <f t="shared" si="51"/>
        <v>A</v>
      </c>
      <c r="M82" s="32" t="str">
        <f>M69</f>
        <v>T TERRINE DE PIEDS DE PORC pour tranches | | Auteur &gt; Guy KRENZE - Eric GODDYN - Arnaud NICOLAS - CEPROC 2002</v>
      </c>
      <c r="N82" s="33">
        <f>N69</f>
        <v>1</v>
      </c>
      <c r="O82" s="32" t="str">
        <f>O69</f>
        <v xml:space="preserve">moule L 30 cm X l 9 cm X H 6 cm </v>
      </c>
      <c r="P82" s="34" t="str">
        <f>P69</f>
        <v>Recette mère ► le Boudin en 4 déclinaisons</v>
      </c>
      <c r="Q82" s="92"/>
      <c r="R82" s="108"/>
      <c r="S82" s="94" t="str">
        <f t="shared" si="50"/>
        <v/>
      </c>
      <c r="T82" s="95">
        <v>2</v>
      </c>
      <c r="U82" s="105" t="s">
        <v>99</v>
      </c>
      <c r="V82" s="127">
        <v>1</v>
      </c>
      <c r="W82" s="920" t="s">
        <v>12827</v>
      </c>
      <c r="X82" s="1494">
        <f>IF(OR(ISBLANK(Q67),X67=0),0,Q82*V68)</f>
        <v>0</v>
      </c>
      <c r="Y82" s="101" cm="1">
        <f t="array" ref="Y82">IFERROR(_xlfn.LET(_xlpm.k,UPPER(TRIM(U82)),_xlpm.r,_xlfn.XLOOKUP(_xlpm.k,UPPER(TRIM(Q89:Z89)),Q90:Z90,_xlfn.XLOOKUP(_xlpm.k,UPPER(TRIM(Q91:Z91)),Q92:Z92)),_xlpm.r*T82*V82*V68*IF(ISBLANK(Q82),1,Q82)),0)</f>
        <v>4.0000000000000001E-3</v>
      </c>
      <c r="Z82" s="1475" t="str">
        <f>_xlfn.LET(_xlpm.unite,SUBSTITUTE(TRIM(U82)," (s)",""),_xlpm.val,Y82,_xlpm.estVol,COUNTIF(T89:Z89,_xlpm.unite)+COUNTIF(T91:Z91,_xlpm.unite)&gt;0,_xlpm.estPoids,COUNTIF(Q89:S89,_xlpm.unite)+COUNTIF(Q91:S91,_xlpm.unite)&gt;0,IF(_xlpm.estVol,IF(ROUND(_xlpm.val,3)&gt;=1,ROUND(_xlpm.val,3)&amp;" L",MAX(1,ROUND(_xlpm.val*100,0))&amp;" cl"),IF(_xlpm.estPoids,IF(ROUND(_xlpm.val,3)&gt;=1,ROUND(_xlpm.val,3)&amp;" Kg",MAX(1,ROUND(_xlpm.val*1000,0))&amp;" g"),"")))</f>
        <v>4 g</v>
      </c>
      <c r="AA82" s="5211"/>
      <c r="AB82" s="1178"/>
      <c r="AC82" s="1179"/>
      <c r="AD82" s="227" t="s">
        <v>22</v>
      </c>
      <c r="AE82" s="1027" t="str">
        <f t="shared" si="15"/>
        <v>A</v>
      </c>
      <c r="AF82" s="1028" t="str">
        <f t="shared" si="16"/>
        <v>T TERRINE DE PIEDS DE PORC pour tranches | | Auteur &gt; Guy KRENZE - Eric GODDYN - Arnaud NICOLAS - CEPROC 2002</v>
      </c>
      <c r="AG82" s="1029">
        <f t="shared" si="17"/>
        <v>1</v>
      </c>
      <c r="AH82" s="1028" t="str">
        <f t="shared" si="18"/>
        <v xml:space="preserve">moule L 30 cm X l 9 cm X H 6 cm </v>
      </c>
      <c r="AI82" s="1029" t="str">
        <f t="shared" si="19"/>
        <v>g</v>
      </c>
      <c r="AJ82" s="1029">
        <f t="shared" si="20"/>
        <v>1</v>
      </c>
      <c r="AK82" s="5263" cm="1">
        <f t="array" ref="AK82">IF(AE82&lt;&gt;"A","",IFERROR((IFERROR(_xlfn.XLOOKUP(TRIM(SUBSTITUTE(U82,CHAR(160)," ")),$BI$15:$BI$62,$BL$15:$BL$62),IFERROR(_xlfn.XLOOKUP(TRIM(SUBSTITUTE(U82,CHAR(160)," ")),$BJ$15:$BJ$62,$BL$15:$BL$62),_xlfn.XLOOKUP(TRIM(SUBSTITUTE(U82,CHAR(160)," ")),$BK$15:$BK$62,$BL$15:$BL$62))))*T82*IF(ISBLANK(Q82),1,Q82)+IFERROR(_xlfn.XLOOKUP("RECHERCHEX",TRIM(L82:AC82),L82:AC82),0),0))</f>
        <v>2E-3</v>
      </c>
      <c r="AL82" s="1030" t="str">
        <f t="shared" si="21"/>
        <v>Kg</v>
      </c>
      <c r="AM82" s="5254" t="str">
        <f t="shared" si="42"/>
        <v>❾ Author reference &gt;</v>
      </c>
      <c r="AN82" s="1031">
        <f t="shared" si="23"/>
        <v>1</v>
      </c>
      <c r="AO82" s="1031" t="str">
        <f t="shared" si="24"/>
        <v xml:space="preserve">moule L 30 cm X l 9 cm X H 6 cm </v>
      </c>
      <c r="AP82" s="1032">
        <f t="shared" si="25"/>
        <v>40</v>
      </c>
      <c r="AQ82" s="5255" t="str">
        <f t="shared" si="26"/>
        <v>parts-ou.or.o ❾ + or - &gt;</v>
      </c>
      <c r="AR82" s="5264">
        <v>2</v>
      </c>
      <c r="AS82" s="1033" t="s">
        <v>13492</v>
      </c>
      <c r="AT82" s="1034">
        <f t="shared" si="27"/>
        <v>4.0000000000000001E-3</v>
      </c>
      <c r="AU82" s="1035" t="str">
        <f t="shared" si="28"/>
        <v>Kg</v>
      </c>
      <c r="AV82" s="1057" t="str" cm="1">
        <f t="array" ref="AV82">IF(AJ82&lt;&gt;1,0,IF(OR(AT82="",N(AT82)&lt;=0.000000001),"",IF(OR(AN82="",N(AN82)&lt;=0.000000001),0,IF(ISNUMBER(AT82),IFERROR(_xlfn.LET(_xlpm.ai_test,TRIM(AI82),_xlpm.r,IFERROR(_xlfn.XLOOKUP(_xlpm.ai_test,$BI$15:$BI$62,ROW($BI$15:$BI$62),0,1),IFERROR(_xlfn.XLOOKUP(_xlpm.ai_test,$BJ$15:$BJ$62,ROW($BJ$15:$BJ$62),0,1),_xlfn.XLOOKUP(_xlpm.ai_test,$BK$15:$BK$62,ROW($BK$15:$BK$62),0,1))),_xlpm.p,_xlpm.r-MIN(ROW($BI$15:$BI$62))+1,_xlpm.f,INDEX($BL$15:$BL$62,_xlpm.p),_xlpm.u,INDEX($BM$15:$BM$62,_xlpm.p),_xlpm.s,INDEX($BO$15:$BO$62,_xlpm.p),_xlpm.q,N(AT82)/_xlpm.f,IF(_xlpm.q&gt;=_xlpm.s,ROUND(_xlpm.q,1)&amp;" "&amp;_xlpm.ai_test&amp;" = "&amp;ROUND(_xlpm.q*_xlpm.f,1)&amp;" "&amp;_xlpm.u,ROUND(_xlpm.q,1)&amp;" "&amp;_xlpm.ai_test)),""),""))))</f>
        <v>4 g</v>
      </c>
      <c r="AW82" s="1047"/>
      <c r="AX82" s="1034">
        <f t="shared" si="29"/>
        <v>4.0000000000000001E-3</v>
      </c>
      <c r="AY82" s="1035" t="str">
        <f t="shared" si="30"/>
        <v>Kg</v>
      </c>
      <c r="AZ82" s="1036">
        <f t="shared" si="37"/>
        <v>0</v>
      </c>
      <c r="BA82" s="1037" t="str">
        <f t="shared" si="31"/>
        <v/>
      </c>
      <c r="BB82" s="1038">
        <v>1.5</v>
      </c>
      <c r="BC82" s="1039">
        <f t="shared" si="40"/>
        <v>6.0000000000000001E-3</v>
      </c>
      <c r="BD82" s="1040" t="str">
        <f t="shared" si="33"/>
        <v>poivre et épices en mélange</v>
      </c>
      <c r="BE82" s="227" t="s">
        <v>22</v>
      </c>
      <c r="BF82" s="1019">
        <f t="shared" si="34"/>
        <v>0</v>
      </c>
      <c r="BG82" s="1020">
        <f t="shared" si="35"/>
        <v>2</v>
      </c>
      <c r="BI82" s="5539" t="s">
        <v>1959</v>
      </c>
      <c r="BJ82" s="5540"/>
      <c r="BK82" s="5540"/>
      <c r="BL82" s="5540"/>
      <c r="BM82" s="5540"/>
      <c r="BN82" s="5540"/>
      <c r="BO82" s="5540"/>
      <c r="BP82" s="5540"/>
      <c r="BQ82" s="5540"/>
      <c r="BR82" s="5540"/>
      <c r="BS82" s="5540"/>
      <c r="BT82" s="5540"/>
      <c r="BU82" s="5541"/>
      <c r="BV82"/>
      <c r="BW82" s="959" t="str">
        <f t="shared" si="49"/>
        <v>A</v>
      </c>
      <c r="BX82" s="372"/>
      <c r="BY82" s="372"/>
      <c r="BZ82" s="372"/>
      <c r="CA82" s="372"/>
      <c r="CB82" s="372"/>
      <c r="CC82" s="957"/>
      <c r="CD82"/>
      <c r="CE82"/>
      <c r="CF82"/>
      <c r="CG82"/>
      <c r="CH82"/>
      <c r="CI82"/>
      <c r="CJ82"/>
      <c r="CL82"/>
      <c r="CM82"/>
      <c r="CN82"/>
      <c r="CO82"/>
      <c r="CP82"/>
      <c r="CQ82"/>
      <c r="CR82"/>
      <c r="CT82"/>
      <c r="CU82"/>
      <c r="CV82"/>
      <c r="CW82"/>
      <c r="CX82"/>
      <c r="CY82"/>
      <c r="CZ82"/>
      <c r="DB82" s="3">
        <v>1</v>
      </c>
    </row>
    <row r="83" spans="1:106" s="709" customFormat="1" ht="21" customHeight="1">
      <c r="A83" s="936" t="s">
        <v>22</v>
      </c>
      <c r="B83" s="952" t="str">
        <f t="shared" si="48"/>
        <v>A</v>
      </c>
      <c r="C83" s="993" cm="1">
        <f t="array" ref="C83">SUMPRODUCT(LEN(D83:J83))</f>
        <v>0</v>
      </c>
      <c r="D83" s="167"/>
      <c r="E83" s="172"/>
      <c r="F83" s="172"/>
      <c r="G83" s="172"/>
      <c r="H83" s="172"/>
      <c r="I83" s="172"/>
      <c r="J83" s="173"/>
      <c r="K83" s="442" t="s">
        <v>22</v>
      </c>
      <c r="L83" s="104" t="str">
        <f t="shared" si="51"/>
        <v>A</v>
      </c>
      <c r="M83" s="32" t="str">
        <f>M69</f>
        <v>T TERRINE DE PIEDS DE PORC pour tranches | | Auteur &gt; Guy KRENZE - Eric GODDYN - Arnaud NICOLAS - CEPROC 2002</v>
      </c>
      <c r="N83" s="33">
        <f>N69</f>
        <v>1</v>
      </c>
      <c r="O83" s="32" t="str">
        <f>O69</f>
        <v xml:space="preserve">moule L 30 cm X l 9 cm X H 6 cm </v>
      </c>
      <c r="P83" s="34" t="str">
        <f>P69</f>
        <v>Recette mère ► le Boudin en 4 déclinaisons</v>
      </c>
      <c r="Q83" s="92"/>
      <c r="R83" s="108"/>
      <c r="S83" s="94" t="str">
        <f t="shared" si="50"/>
        <v/>
      </c>
      <c r="T83" s="95">
        <v>7</v>
      </c>
      <c r="U83" s="105" t="s">
        <v>99</v>
      </c>
      <c r="V83" s="127">
        <v>1</v>
      </c>
      <c r="W83" s="920" t="s">
        <v>8947</v>
      </c>
      <c r="X83" s="1494">
        <f>IF(OR(ISBLANK(Q67),X67=0),0,Q83*V68)</f>
        <v>0</v>
      </c>
      <c r="Y83" s="101" cm="1">
        <f t="array" ref="Y83">IFERROR(_xlfn.LET(_xlpm.k,UPPER(TRIM(U83)),_xlpm.r,_xlfn.XLOOKUP(_xlpm.k,UPPER(TRIM(Q89:Z89)),Q90:Z90,_xlfn.XLOOKUP(_xlpm.k,UPPER(TRIM(Q91:Z91)),Q92:Z92)),_xlpm.r*T83*V83*V68*IF(ISBLANK(Q83),1,Q83)),0)</f>
        <v>1.4E-2</v>
      </c>
      <c r="Z83" s="1476" t="str">
        <f>_xlfn.LET(_xlpm.unite,SUBSTITUTE(TRIM(U83)," (s)",""),_xlpm.val,Y83,_xlpm.estVol,COUNTIF(T89:Z89,_xlpm.unite)+COUNTIF(T91:Z91,_xlpm.unite)&gt;0,_xlpm.estPoids,COUNTIF(Q89:S89,_xlpm.unite)+COUNTIF(Q91:S91,_xlpm.unite)&gt;0,IF(_xlpm.estVol,IF(ROUND(_xlpm.val,3)&gt;=1,ROUND(_xlpm.val,3)&amp;" L",MAX(1,ROUND(_xlpm.val*100,0))&amp;" cl"),IF(_xlpm.estPoids,IF(ROUND(_xlpm.val,3)&gt;=1,ROUND(_xlpm.val,3)&amp;" Kg",MAX(1,ROUND(_xlpm.val*1000,0))&amp;" g"),"")))</f>
        <v>14 g</v>
      </c>
      <c r="AA83" s="5211"/>
      <c r="AB83" s="1178"/>
      <c r="AC83" s="1179"/>
      <c r="AD83" s="227" t="s">
        <v>22</v>
      </c>
      <c r="AE83" s="1027" t="str">
        <f t="shared" si="15"/>
        <v>A</v>
      </c>
      <c r="AF83" s="1028" t="str">
        <f t="shared" si="16"/>
        <v>T TERRINE DE PIEDS DE PORC pour tranches | | Auteur &gt; Guy KRENZE - Eric GODDYN - Arnaud NICOLAS - CEPROC 2002</v>
      </c>
      <c r="AG83" s="1029">
        <f t="shared" si="17"/>
        <v>1</v>
      </c>
      <c r="AH83" s="1028" t="str">
        <f t="shared" si="18"/>
        <v xml:space="preserve">moule L 30 cm X l 9 cm X H 6 cm </v>
      </c>
      <c r="AI83" s="1029" t="str">
        <f t="shared" si="19"/>
        <v>g</v>
      </c>
      <c r="AJ83" s="1029">
        <f t="shared" si="20"/>
        <v>1</v>
      </c>
      <c r="AK83" s="5263" cm="1">
        <f t="array" ref="AK83">IF(AE83&lt;&gt;"A","",IFERROR((IFERROR(_xlfn.XLOOKUP(TRIM(SUBSTITUTE(U83,CHAR(160)," ")),$BI$15:$BI$62,$BL$15:$BL$62),IFERROR(_xlfn.XLOOKUP(TRIM(SUBSTITUTE(U83,CHAR(160)," ")),$BJ$15:$BJ$62,$BL$15:$BL$62),_xlfn.XLOOKUP(TRIM(SUBSTITUTE(U83,CHAR(160)," ")),$BK$15:$BK$62,$BL$15:$BL$62))))*T83*IF(ISBLANK(Q83),1,Q83)+IFERROR(_xlfn.XLOOKUP("RECHERCHEX",TRIM(L83:AC83),L83:AC83),0),0))</f>
        <v>7.0000000000000001E-3</v>
      </c>
      <c r="AL83" s="1030" t="str">
        <f t="shared" si="21"/>
        <v>Kg</v>
      </c>
      <c r="AM83" s="5254" t="str">
        <f t="shared" si="42"/>
        <v>❾ Author reference &gt;</v>
      </c>
      <c r="AN83" s="1031">
        <f t="shared" si="23"/>
        <v>1</v>
      </c>
      <c r="AO83" s="1031" t="str">
        <f t="shared" si="24"/>
        <v xml:space="preserve">moule L 30 cm X l 9 cm X H 6 cm </v>
      </c>
      <c r="AP83" s="1044">
        <f t="shared" si="25"/>
        <v>40</v>
      </c>
      <c r="AQ83" s="5257" t="str">
        <f t="shared" si="26"/>
        <v>parts-ou.or.o ❾ + or - &gt;</v>
      </c>
      <c r="AR83" s="5264">
        <v>2</v>
      </c>
      <c r="AS83" s="1033" t="s">
        <v>13492</v>
      </c>
      <c r="AT83" s="1045">
        <f t="shared" si="27"/>
        <v>1.4E-2</v>
      </c>
      <c r="AU83" s="1046" t="str">
        <f t="shared" si="28"/>
        <v>Kg</v>
      </c>
      <c r="AV83" s="1059" t="str" cm="1">
        <f t="array" ref="AV83">IF(AJ83&lt;&gt;1,0,IF(OR(AT83="",N(AT83)&lt;=0.000000001),"",IF(OR(AN83="",N(AN83)&lt;=0.000000001),0,IF(ISNUMBER(AT83),IFERROR(_xlfn.LET(_xlpm.ai_test,TRIM(AI83),_xlpm.r,IFERROR(_xlfn.XLOOKUP(_xlpm.ai_test,$BI$15:$BI$62,ROW($BI$15:$BI$62),0,1),IFERROR(_xlfn.XLOOKUP(_xlpm.ai_test,$BJ$15:$BJ$62,ROW($BJ$15:$BJ$62),0,1),_xlfn.XLOOKUP(_xlpm.ai_test,$BK$15:$BK$62,ROW($BK$15:$BK$62),0,1))),_xlpm.p,_xlpm.r-MIN(ROW($BI$15:$BI$62))+1,_xlpm.f,INDEX($BL$15:$BL$62,_xlpm.p),_xlpm.u,INDEX($BM$15:$BM$62,_xlpm.p),_xlpm.s,INDEX($BO$15:$BO$62,_xlpm.p),_xlpm.q,N(AT83)/_xlpm.f,IF(_xlpm.q&gt;=_xlpm.s,ROUND(_xlpm.q,1)&amp;" "&amp;_xlpm.ai_test&amp;" = "&amp;ROUND(_xlpm.q*_xlpm.f,1)&amp;" "&amp;_xlpm.u,ROUND(_xlpm.q,1)&amp;" "&amp;_xlpm.ai_test)),""),""))))</f>
        <v>14 g</v>
      </c>
      <c r="AW83" s="1047"/>
      <c r="AX83" s="1045">
        <f t="shared" si="29"/>
        <v>1.4E-2</v>
      </c>
      <c r="AY83" s="1046" t="str">
        <f t="shared" si="30"/>
        <v>Kg</v>
      </c>
      <c r="AZ83" s="1048">
        <f t="shared" si="37"/>
        <v>0</v>
      </c>
      <c r="BA83" s="1049" t="str">
        <f t="shared" si="31"/>
        <v/>
      </c>
      <c r="BB83" s="1038">
        <v>1.5</v>
      </c>
      <c r="BC83" s="1050">
        <f t="shared" si="40"/>
        <v>2.1000000000000001E-2</v>
      </c>
      <c r="BD83" s="1040" t="str">
        <f t="shared" si="33"/>
        <v>sel</v>
      </c>
      <c r="BE83" s="227" t="s">
        <v>22</v>
      </c>
      <c r="BF83" s="1019">
        <f t="shared" si="34"/>
        <v>0</v>
      </c>
      <c r="BG83" s="1020">
        <f t="shared" si="35"/>
        <v>2</v>
      </c>
      <c r="BI83" s="5542"/>
      <c r="BJ83" s="5543"/>
      <c r="BK83" s="5543"/>
      <c r="BL83" s="5543"/>
      <c r="BM83" s="5543"/>
      <c r="BN83" s="5543"/>
      <c r="BO83" s="5543"/>
      <c r="BP83" s="5543"/>
      <c r="BQ83" s="5543"/>
      <c r="BR83" s="5543"/>
      <c r="BS83" s="5543"/>
      <c r="BT83" s="5543"/>
      <c r="BU83" s="5544"/>
      <c r="BV83"/>
      <c r="BW83" s="959" t="str">
        <f t="shared" si="49"/>
        <v>A</v>
      </c>
      <c r="BX83" s="372"/>
      <c r="BY83" s="372"/>
      <c r="BZ83" s="372"/>
      <c r="CA83" s="372"/>
      <c r="CB83" s="372"/>
      <c r="CC83" s="957"/>
      <c r="CD83"/>
      <c r="CE83"/>
      <c r="CF83"/>
      <c r="CG83"/>
      <c r="CH83"/>
      <c r="CI83"/>
      <c r="CJ83"/>
      <c r="CL83"/>
      <c r="CM83"/>
      <c r="CN83"/>
      <c r="CO83"/>
      <c r="CP83"/>
      <c r="CQ83"/>
      <c r="CR83"/>
      <c r="CT83"/>
      <c r="CU83"/>
      <c r="CV83"/>
      <c r="CW83"/>
      <c r="CX83"/>
      <c r="CY83"/>
      <c r="CZ83"/>
      <c r="DB83" s="3">
        <v>1</v>
      </c>
    </row>
    <row r="84" spans="1:106" s="709" customFormat="1" ht="21" customHeight="1">
      <c r="A84" s="936" t="s">
        <v>22</v>
      </c>
      <c r="B84" s="952" t="str">
        <f t="shared" si="48"/>
        <v>►</v>
      </c>
      <c r="C84" s="993" cm="1">
        <f t="array" ref="C84">SUMPRODUCT(LEN(D84:J84))</f>
        <v>0</v>
      </c>
      <c r="D84" s="167"/>
      <c r="E84" s="172"/>
      <c r="F84" s="172"/>
      <c r="G84" s="172"/>
      <c r="H84" s="172"/>
      <c r="I84" s="172"/>
      <c r="J84" s="173"/>
      <c r="K84" s="442" t="s">
        <v>22</v>
      </c>
      <c r="L84" s="104" t="str">
        <f t="shared" si="51"/>
        <v>►</v>
      </c>
      <c r="M84" s="32" t="str">
        <f>M69</f>
        <v>T TERRINE DE PIEDS DE PORC pour tranches | | Auteur &gt; Guy KRENZE - Eric GODDYN - Arnaud NICOLAS - CEPROC 2002</v>
      </c>
      <c r="N84" s="33">
        <f>N69</f>
        <v>1</v>
      </c>
      <c r="O84" s="32" t="str">
        <f>O69</f>
        <v xml:space="preserve">moule L 30 cm X l 9 cm X H 6 cm </v>
      </c>
      <c r="P84" s="34" t="str">
        <f>P69</f>
        <v>Recette mère ► le Boudin en 4 déclinaisons</v>
      </c>
      <c r="Q84" s="92"/>
      <c r="R84" s="108"/>
      <c r="S84" s="94" t="str">
        <f t="shared" si="50"/>
        <v/>
      </c>
      <c r="T84" s="95"/>
      <c r="U84" s="126"/>
      <c r="V84" s="127">
        <v>1</v>
      </c>
      <c r="W84" s="920"/>
      <c r="X84" s="1494">
        <f>IF(OR(ISBLANK(Q67),X67=0),0,Q84*V68)</f>
        <v>0</v>
      </c>
      <c r="Y84" s="101" cm="1">
        <f t="array" ref="Y84">IFERROR(_xlfn.LET(_xlpm.k,UPPER(TRIM(U84)),_xlpm.r,_xlfn.XLOOKUP(_xlpm.k,UPPER(TRIM(Q89:Z89)),Q90:Z90,_xlfn.XLOOKUP(_xlpm.k,UPPER(TRIM(Q91:Z91)),Q92:Z92)),_xlpm.r*T84*V84*V68*IF(ISBLANK(Q84),1,Q84)),0)</f>
        <v>0</v>
      </c>
      <c r="Z84" s="1475" t="str">
        <f>_xlfn.LET(_xlpm.unite,SUBSTITUTE(TRIM(U84)," (s)",""),_xlpm.val,Y84,_xlpm.estVol,COUNTIF(T89:Z89,_xlpm.unite)+COUNTIF(T91:Z91,_xlpm.unite)&gt;0,_xlpm.estPoids,COUNTIF(Q89:S89,_xlpm.unite)+COUNTIF(Q91:S91,_xlpm.unite)&gt;0,IF(_xlpm.estVol,IF(ROUND(_xlpm.val,3)&gt;=1,ROUND(_xlpm.val,3)&amp;" L",MAX(1,ROUND(_xlpm.val*100,0))&amp;" cl"),IF(_xlpm.estPoids,IF(ROUND(_xlpm.val,3)&gt;=1,ROUND(_xlpm.val,3)&amp;" Kg",MAX(1,ROUND(_xlpm.val*1000,0))&amp;" g"),"")))</f>
        <v/>
      </c>
      <c r="AA84" s="5211"/>
      <c r="AB84" s="1178"/>
      <c r="AC84" s="1179"/>
      <c r="AD84" s="227" t="s">
        <v>22</v>
      </c>
      <c r="AE84" s="1027" t="str">
        <f t="shared" si="15"/>
        <v>►</v>
      </c>
      <c r="AF84" s="1028" t="str">
        <f t="shared" si="16"/>
        <v/>
      </c>
      <c r="AG84" s="1029" t="str">
        <f t="shared" si="17"/>
        <v/>
      </c>
      <c r="AH84" s="1028" t="str">
        <f t="shared" si="18"/>
        <v/>
      </c>
      <c r="AI84" s="1029" t="str">
        <f t="shared" si="19"/>
        <v/>
      </c>
      <c r="AJ84" s="1029">
        <f t="shared" si="20"/>
        <v>0</v>
      </c>
      <c r="AK84" s="5263" t="str" cm="1">
        <f t="array" ref="AK84">IF(AE84&lt;&gt;"A","",IFERROR((IFERROR(_xlfn.XLOOKUP(TRIM(SUBSTITUTE(U84,CHAR(160)," ")),$BI$15:$BI$62,$BL$15:$BL$62),IFERROR(_xlfn.XLOOKUP(TRIM(SUBSTITUTE(U84,CHAR(160)," ")),$BJ$15:$BJ$62,$BL$15:$BL$62),_xlfn.XLOOKUP(TRIM(SUBSTITUTE(U84,CHAR(160)," ")),$BK$15:$BK$62,$BL$15:$BL$62))))*T84*IF(ISBLANK(Q84),1,Q84)+IFERROR(_xlfn.XLOOKUP("RECHERCHEX",TRIM(L84:AC84),L84:AC84),0),0))</f>
        <v/>
      </c>
      <c r="AL84" s="1030">
        <f t="shared" si="21"/>
        <v>0</v>
      </c>
      <c r="AM84" s="5254" t="str">
        <f t="shared" si="42"/>
        <v/>
      </c>
      <c r="AN84" s="1031">
        <f t="shared" si="23"/>
        <v>0</v>
      </c>
      <c r="AO84" s="1031">
        <f t="shared" si="24"/>
        <v>0</v>
      </c>
      <c r="AP84" s="1032">
        <f t="shared" si="25"/>
        <v>0</v>
      </c>
      <c r="AQ84" s="5255" t="str">
        <f t="shared" si="26"/>
        <v/>
      </c>
      <c r="AR84" s="5264"/>
      <c r="AS84" s="1033"/>
      <c r="AT84" s="1034">
        <f t="shared" si="27"/>
        <v>0</v>
      </c>
      <c r="AU84" s="1035">
        <f t="shared" si="28"/>
        <v>0</v>
      </c>
      <c r="AV84" s="1057" cm="1">
        <f t="array" ref="AV84">IF(AJ84&lt;&gt;1,0,IF(OR(AT84="",N(AT84)&lt;=0.000000001),"",IF(OR(AN84="",N(AN84)&lt;=0.000000001),0,IF(ISNUMBER(AT84),IFERROR(_xlfn.LET(_xlpm.ai_test,TRIM(AI84),_xlpm.r,IFERROR(_xlfn.XLOOKUP(_xlpm.ai_test,$BI$15:$BI$62,ROW($BI$15:$BI$62),0,1),IFERROR(_xlfn.XLOOKUP(_xlpm.ai_test,$BJ$15:$BJ$62,ROW($BJ$15:$BJ$62),0,1),_xlfn.XLOOKUP(_xlpm.ai_test,$BK$15:$BK$62,ROW($BK$15:$BK$62),0,1))),_xlpm.p,_xlpm.r-MIN(ROW($BI$15:$BI$62))+1,_xlpm.f,INDEX($BL$15:$BL$62,_xlpm.p),_xlpm.u,INDEX($BM$15:$BM$62,_xlpm.p),_xlpm.s,INDEX($BO$15:$BO$62,_xlpm.p),_xlpm.q,N(AT84)/_xlpm.f,IF(_xlpm.q&gt;=_xlpm.s,ROUND(_xlpm.q,1)&amp;" "&amp;_xlpm.ai_test&amp;" = "&amp;ROUND(_xlpm.q*_xlpm.f,1)&amp;" "&amp;_xlpm.u,ROUND(_xlpm.q,1)&amp;" "&amp;_xlpm.ai_test)),""),""))))</f>
        <v>0</v>
      </c>
      <c r="AW84" s="1047"/>
      <c r="AX84" s="1034">
        <f t="shared" si="29"/>
        <v>0</v>
      </c>
      <c r="AY84" s="1035" t="str">
        <f t="shared" si="30"/>
        <v/>
      </c>
      <c r="AZ84" s="1036">
        <f t="shared" si="37"/>
        <v>0</v>
      </c>
      <c r="BA84" s="1037" t="str">
        <f t="shared" si="31"/>
        <v/>
      </c>
      <c r="BB84" s="1038">
        <v>1.5</v>
      </c>
      <c r="BC84" s="1039">
        <f t="shared" si="40"/>
        <v>0</v>
      </c>
      <c r="BD84" s="1040" t="str">
        <f t="shared" si="33"/>
        <v/>
      </c>
      <c r="BE84" s="227" t="s">
        <v>22</v>
      </c>
      <c r="BF84" s="1019">
        <f t="shared" si="34"/>
        <v>0</v>
      </c>
      <c r="BG84" s="1020">
        <f t="shared" si="35"/>
        <v>0</v>
      </c>
      <c r="BI84" s="709" t="s">
        <v>2620</v>
      </c>
      <c r="BV84"/>
      <c r="BW84" s="959" t="str">
        <f t="shared" si="49"/>
        <v>►</v>
      </c>
      <c r="BX84" s="1111" t="s">
        <v>1960</v>
      </c>
      <c r="BY84" s="276"/>
      <c r="BZ84" s="276"/>
      <c r="CA84" s="276"/>
      <c r="CB84" s="276"/>
      <c r="CC84" s="957"/>
      <c r="CD84"/>
      <c r="CE84"/>
      <c r="CF84"/>
      <c r="CG84"/>
      <c r="CH84"/>
      <c r="CI84"/>
      <c r="CJ84"/>
      <c r="CL84"/>
      <c r="CM84"/>
      <c r="CN84"/>
      <c r="CO84"/>
      <c r="CP84"/>
      <c r="CQ84"/>
      <c r="CR84"/>
      <c r="CT84"/>
      <c r="CU84"/>
      <c r="CV84"/>
      <c r="CW84"/>
      <c r="CX84"/>
      <c r="CY84"/>
      <c r="CZ84"/>
      <c r="DB84" s="3">
        <v>1</v>
      </c>
    </row>
    <row r="85" spans="1:106" s="709" customFormat="1" ht="21" customHeight="1">
      <c r="A85" s="936" t="s">
        <v>22</v>
      </c>
      <c r="B85" s="952" t="str">
        <f t="shared" si="48"/>
        <v>►</v>
      </c>
      <c r="C85" s="993" cm="1">
        <f t="array" ref="C85">SUMPRODUCT(LEN(D85:J85))</f>
        <v>0</v>
      </c>
      <c r="D85" s="167"/>
      <c r="E85" s="172"/>
      <c r="F85" s="172"/>
      <c r="G85" s="172"/>
      <c r="H85" s="172"/>
      <c r="I85" s="172"/>
      <c r="J85" s="173"/>
      <c r="K85" s="442" t="s">
        <v>22</v>
      </c>
      <c r="L85" s="104" t="str">
        <f t="shared" si="51"/>
        <v>►</v>
      </c>
      <c r="M85" s="32" t="str">
        <f>M69</f>
        <v>T TERRINE DE PIEDS DE PORC pour tranches | | Auteur &gt; Guy KRENZE - Eric GODDYN - Arnaud NICOLAS - CEPROC 2002</v>
      </c>
      <c r="N85" s="33">
        <f>N69</f>
        <v>1</v>
      </c>
      <c r="O85" s="32" t="str">
        <f>O69</f>
        <v xml:space="preserve">moule L 30 cm X l 9 cm X H 6 cm </v>
      </c>
      <c r="P85" s="34" t="str">
        <f>P69</f>
        <v>Recette mère ► le Boudin en 4 déclinaisons</v>
      </c>
      <c r="Q85" s="92"/>
      <c r="R85" s="108"/>
      <c r="S85" s="94" t="str">
        <f t="shared" si="50"/>
        <v/>
      </c>
      <c r="T85" s="95"/>
      <c r="U85" s="126"/>
      <c r="V85" s="127">
        <v>1</v>
      </c>
      <c r="W85" s="920"/>
      <c r="X85" s="1494">
        <f>IF(OR(ISBLANK(Q67),X67=0),0,Q85*V68)</f>
        <v>0</v>
      </c>
      <c r="Y85" s="101" cm="1">
        <f t="array" ref="Y85">IFERROR(_xlfn.LET(_xlpm.k,UPPER(TRIM(U85)),_xlpm.r,_xlfn.XLOOKUP(_xlpm.k,UPPER(TRIM(Q89:Z89)),Q90:Z90,_xlfn.XLOOKUP(_xlpm.k,UPPER(TRIM(Q91:Z91)),Q92:Z92)),_xlpm.r*T85*V85*V68*IF(ISBLANK(Q85),1,Q85)),0)</f>
        <v>0</v>
      </c>
      <c r="Z85" s="1475" t="str">
        <f>_xlfn.LET(_xlpm.unite,SUBSTITUTE(TRIM(U85)," (s)",""),_xlpm.val,Y85,_xlpm.estVol,COUNTIF(T89:Z89,_xlpm.unite)+COUNTIF(T91:Z91,_xlpm.unite)&gt;0,_xlpm.estPoids,COUNTIF(Q89:S89,_xlpm.unite)+COUNTIF(Q91:S91,_xlpm.unite)&gt;0,IF(_xlpm.estVol,IF(ROUND(_xlpm.val,3)&gt;=1,ROUND(_xlpm.val,3)&amp;" L",MAX(1,ROUND(_xlpm.val*100,0))&amp;" cl"),IF(_xlpm.estPoids,IF(ROUND(_xlpm.val,3)&gt;=1,ROUND(_xlpm.val,3)&amp;" Kg",MAX(1,ROUND(_xlpm.val*1000,0))&amp;" g"),"")))</f>
        <v/>
      </c>
      <c r="AA85" s="5211"/>
      <c r="AB85" s="1178"/>
      <c r="AC85" s="1179"/>
      <c r="AD85" s="227" t="s">
        <v>22</v>
      </c>
      <c r="AE85" s="1027" t="str">
        <f t="shared" si="15"/>
        <v>►</v>
      </c>
      <c r="AF85" s="1028" t="str">
        <f t="shared" si="16"/>
        <v/>
      </c>
      <c r="AG85" s="1029" t="str">
        <f t="shared" si="17"/>
        <v/>
      </c>
      <c r="AH85" s="1028" t="str">
        <f t="shared" si="18"/>
        <v/>
      </c>
      <c r="AI85" s="1029" t="str">
        <f t="shared" si="19"/>
        <v/>
      </c>
      <c r="AJ85" s="1029">
        <f t="shared" si="20"/>
        <v>0</v>
      </c>
      <c r="AK85" s="1043" t="str" cm="1">
        <f t="array" ref="AK85">IF(AE85&lt;&gt;"A","",IFERROR((IFERROR(_xlfn.XLOOKUP(TRIM(SUBSTITUTE(U85,CHAR(160)," ")),$BI$15:$BI$62,$BL$15:$BL$62),IFERROR(_xlfn.XLOOKUP(TRIM(SUBSTITUTE(U85,CHAR(160)," ")),$BJ$15:$BJ$62,$BL$15:$BL$62),_xlfn.XLOOKUP(TRIM(SUBSTITUTE(U85,CHAR(160)," ")),$BK$15:$BK$62,$BL$15:$BL$62))))*T85*IF(ISBLANK(Q85),1,Q85)+IFERROR(_xlfn.XLOOKUP("RECHERCHEX",TRIM(L85:AC85),L85:AC85),0),0))</f>
        <v/>
      </c>
      <c r="AL85" s="1030">
        <f t="shared" si="21"/>
        <v>0</v>
      </c>
      <c r="AM85" s="5254" t="str">
        <f t="shared" si="42"/>
        <v/>
      </c>
      <c r="AN85" s="1031">
        <f t="shared" si="23"/>
        <v>0</v>
      </c>
      <c r="AO85" s="1031">
        <f t="shared" si="24"/>
        <v>0</v>
      </c>
      <c r="AP85" s="1044">
        <f t="shared" si="25"/>
        <v>0</v>
      </c>
      <c r="AQ85" s="5257" t="str">
        <f t="shared" si="26"/>
        <v/>
      </c>
      <c r="AR85" s="1056"/>
      <c r="AS85" s="1056"/>
      <c r="AT85" s="1045">
        <f t="shared" si="27"/>
        <v>0</v>
      </c>
      <c r="AU85" s="1046">
        <f t="shared" si="28"/>
        <v>0</v>
      </c>
      <c r="AV85" s="1059" cm="1">
        <f t="array" ref="AV85">IF(AJ85&lt;&gt;1,0,IF(OR(AT85="",N(AT85)&lt;=0.000000001),"",IF(OR(AN85="",N(AN85)&lt;=0.000000001),0,IF(ISNUMBER(AT85),IFERROR(_xlfn.LET(_xlpm.ai_test,TRIM(AI85),_xlpm.r,IFERROR(_xlfn.XLOOKUP(_xlpm.ai_test,$BI$15:$BI$62,ROW($BI$15:$BI$62),0,1),IFERROR(_xlfn.XLOOKUP(_xlpm.ai_test,$BJ$15:$BJ$62,ROW($BJ$15:$BJ$62),0,1),_xlfn.XLOOKUP(_xlpm.ai_test,$BK$15:$BK$62,ROW($BK$15:$BK$62),0,1))),_xlpm.p,_xlpm.r-MIN(ROW($BI$15:$BI$62))+1,_xlpm.f,INDEX($BL$15:$BL$62,_xlpm.p),_xlpm.u,INDEX($BM$15:$BM$62,_xlpm.p),_xlpm.s,INDEX($BO$15:$BO$62,_xlpm.p),_xlpm.q,N(AT85)/_xlpm.f,IF(_xlpm.q&gt;=_xlpm.s,ROUND(_xlpm.q,1)&amp;" "&amp;_xlpm.ai_test&amp;" = "&amp;ROUND(_xlpm.q*_xlpm.f,1)&amp;" "&amp;_xlpm.u,ROUND(_xlpm.q,1)&amp;" "&amp;_xlpm.ai_test)),""),""))))</f>
        <v>0</v>
      </c>
      <c r="AW85" s="1047"/>
      <c r="AX85" s="1045">
        <f t="shared" si="29"/>
        <v>0</v>
      </c>
      <c r="AY85" s="1046" t="str">
        <f t="shared" si="30"/>
        <v/>
      </c>
      <c r="AZ85" s="1048">
        <f t="shared" si="37"/>
        <v>0</v>
      </c>
      <c r="BA85" s="1049" t="str">
        <f t="shared" si="31"/>
        <v/>
      </c>
      <c r="BB85" s="1038">
        <v>1.5</v>
      </c>
      <c r="BC85" s="1050">
        <f t="shared" si="40"/>
        <v>0</v>
      </c>
      <c r="BD85" s="1040" t="str">
        <f t="shared" si="33"/>
        <v/>
      </c>
      <c r="BE85" s="227" t="s">
        <v>22</v>
      </c>
      <c r="BF85" s="1019">
        <f t="shared" si="34"/>
        <v>0</v>
      </c>
      <c r="BG85" s="1020">
        <f t="shared" si="35"/>
        <v>0</v>
      </c>
      <c r="BI85" s="5251" t="s">
        <v>143</v>
      </c>
      <c r="BJ85" s="5191" t="s">
        <v>99</v>
      </c>
      <c r="BK85" s="5196" t="s">
        <v>1364</v>
      </c>
      <c r="BL85" s="5192" t="s">
        <v>1357</v>
      </c>
      <c r="BM85" s="5192" t="s">
        <v>1358</v>
      </c>
      <c r="BN85" s="5192" t="s">
        <v>1359</v>
      </c>
      <c r="BO85" s="5258" t="s">
        <v>0</v>
      </c>
      <c r="BP85" s="5193" t="s">
        <v>96</v>
      </c>
      <c r="BQ85" s="5193" t="s">
        <v>147</v>
      </c>
      <c r="BR85" s="5258" t="s">
        <v>148</v>
      </c>
      <c r="BS85" s="5194" t="s">
        <v>1360</v>
      </c>
      <c r="BT85" s="5194" t="s">
        <v>1361</v>
      </c>
      <c r="BU85" s="5194" t="s">
        <v>1362</v>
      </c>
      <c r="BV85"/>
      <c r="BW85" s="959" t="str">
        <f t="shared" si="49"/>
        <v>►</v>
      </c>
      <c r="BX85" s="1112" t="s">
        <v>1961</v>
      </c>
      <c r="BY85" s="276"/>
      <c r="BZ85" s="276"/>
      <c r="CA85" s="276"/>
      <c r="CB85" s="276"/>
      <c r="CC85" s="957"/>
      <c r="CD85"/>
      <c r="CE85"/>
      <c r="CF85"/>
      <c r="CG85"/>
      <c r="CH85"/>
      <c r="CI85"/>
      <c r="CJ85"/>
      <c r="CL85"/>
      <c r="CM85"/>
      <c r="CN85"/>
      <c r="CO85"/>
      <c r="CP85"/>
      <c r="CQ85"/>
      <c r="CR85"/>
      <c r="CT85"/>
      <c r="CU85"/>
      <c r="CV85"/>
      <c r="CW85"/>
      <c r="CX85"/>
      <c r="CY85"/>
      <c r="CZ85"/>
      <c r="DB85" s="3">
        <v>1</v>
      </c>
    </row>
    <row r="86" spans="1:106" s="709" customFormat="1" ht="21" customHeight="1">
      <c r="A86" s="936" t="s">
        <v>22</v>
      </c>
      <c r="B86" s="952" t="str">
        <f t="shared" si="48"/>
        <v>►</v>
      </c>
      <c r="C86" s="993" cm="1">
        <f t="array" ref="C86">SUMPRODUCT(LEN(D86:J86))</f>
        <v>0</v>
      </c>
      <c r="D86" s="167"/>
      <c r="E86" s="172"/>
      <c r="F86" s="172"/>
      <c r="G86" s="172"/>
      <c r="H86" s="172"/>
      <c r="I86" s="172"/>
      <c r="J86" s="173"/>
      <c r="K86" s="442" t="s">
        <v>22</v>
      </c>
      <c r="L86" s="104" t="str">
        <f t="shared" si="51"/>
        <v>►</v>
      </c>
      <c r="M86" s="32" t="str">
        <f>M69</f>
        <v>T TERRINE DE PIEDS DE PORC pour tranches | | Auteur &gt; Guy KRENZE - Eric GODDYN - Arnaud NICOLAS - CEPROC 2002</v>
      </c>
      <c r="N86" s="33">
        <f>N69</f>
        <v>1</v>
      </c>
      <c r="O86" s="32" t="str">
        <f>O69</f>
        <v xml:space="preserve">moule L 30 cm X l 9 cm X H 6 cm </v>
      </c>
      <c r="P86" s="34" t="str">
        <f>P69</f>
        <v>Recette mère ► le Boudin en 4 déclinaisons</v>
      </c>
      <c r="Q86" s="92"/>
      <c r="R86" s="108"/>
      <c r="S86" s="94" t="str">
        <f t="shared" si="50"/>
        <v/>
      </c>
      <c r="T86" s="95"/>
      <c r="U86" s="126"/>
      <c r="V86" s="127">
        <v>1</v>
      </c>
      <c r="W86" s="920"/>
      <c r="X86" s="1494">
        <f>IF(OR(ISBLANK(Q67),X67=0),0,Q86*V68)</f>
        <v>0</v>
      </c>
      <c r="Y86" s="101" cm="1">
        <f t="array" ref="Y86">IFERROR(_xlfn.LET(_xlpm.k,UPPER(TRIM(U86)),_xlpm.r,_xlfn.XLOOKUP(_xlpm.k,UPPER(TRIM(Q89:Z89)),Q90:Z90,_xlfn.XLOOKUP(_xlpm.k,UPPER(TRIM(Q91:Z91)),Q92:Z92)),_xlpm.r*T86*V86*V68*IF(ISBLANK(Q86),1,Q86)),0)</f>
        <v>0</v>
      </c>
      <c r="Z86" s="1476" t="str">
        <f>_xlfn.LET(_xlpm.unite,SUBSTITUTE(TRIM(U86)," (s)",""),_xlpm.val,Y86,_xlpm.estVol,COUNTIF(T89:Z89,_xlpm.unite)+COUNTIF(T91:Z91,_xlpm.unite)&gt;0,_xlpm.estPoids,COUNTIF(Q89:S89,_xlpm.unite)+COUNTIF(Q91:S91,_xlpm.unite)&gt;0,IF(_xlpm.estVol,IF(ROUND(_xlpm.val,3)&gt;=1,ROUND(_xlpm.val,3)&amp;" L",MAX(1,ROUND(_xlpm.val*100,0))&amp;" cl"),IF(_xlpm.estPoids,IF(ROUND(_xlpm.val,3)&gt;=1,ROUND(_xlpm.val,3)&amp;" Kg",MAX(1,ROUND(_xlpm.val*1000,0))&amp;" g"),"")))</f>
        <v/>
      </c>
      <c r="AA86" s="5211"/>
      <c r="AB86" s="1178"/>
      <c r="AC86" s="1179"/>
      <c r="AD86" s="227" t="s">
        <v>22</v>
      </c>
      <c r="AE86" s="1027" t="str">
        <f t="shared" ref="AE86:AE149" si="52">IF(OR(AN86&gt;0,TRIM(AF86)="▼ recette suivante"),"A","►")</f>
        <v>►</v>
      </c>
      <c r="AF86" s="1028" t="str">
        <f t="shared" ref="AF86:AF149" si="53">IF(TRIM(Q86)="Adresse PC","▼ recette suivante",IF(AN86&gt;0,M86,""))</f>
        <v/>
      </c>
      <c r="AG86" s="1029" t="str">
        <f t="shared" ref="AG86:AG149" si="54">IF(AE86="A",N86,"")</f>
        <v/>
      </c>
      <c r="AH86" s="1028" t="str">
        <f t="shared" ref="AH86:AH149" si="55">IF(AE86="A",O86,"")</f>
        <v/>
      </c>
      <c r="AI86" s="1029" t="str">
        <f t="shared" ref="AI86:AI149" si="56">IF(AE86="A",U86,"")</f>
        <v/>
      </c>
      <c r="AJ86" s="1029">
        <f t="shared" ref="AJ86:AJ149" si="57">IF(AND(L86="A",COUNTIF($BI$15:$BK$62,TRIM(U86))&gt;0),1,0)</f>
        <v>0</v>
      </c>
      <c r="AK86" s="1043" t="str" cm="1">
        <f t="array" ref="AK86">IF(AE86&lt;&gt;"A","",IFERROR((IFERROR(_xlfn.XLOOKUP(TRIM(SUBSTITUTE(U86,CHAR(160)," ")),$BI$15:$BI$62,$BL$15:$BL$62),IFERROR(_xlfn.XLOOKUP(TRIM(SUBSTITUTE(U86,CHAR(160)," ")),$BJ$15:$BJ$62,$BL$15:$BL$62),_xlfn.XLOOKUP(TRIM(SUBSTITUTE(U86,CHAR(160)," ")),$BK$15:$BK$62,$BL$15:$BL$62))))*T86*IF(ISBLANK(Q86),1,Q86)+IFERROR(_xlfn.XLOOKUP("RECHERCHEX",TRIM(L86:AC86),L86:AC86),0),0))</f>
        <v/>
      </c>
      <c r="AL86" s="1030">
        <f t="shared" ref="AL86:AL149" si="58">IF(AJ86,IF(AK86&gt;0,"Kg",0),0)</f>
        <v>0</v>
      </c>
      <c r="AM86" s="5254" t="str">
        <f t="shared" si="42"/>
        <v/>
      </c>
      <c r="AN86" s="1031">
        <f t="shared" ref="AN86:AN149" si="59">IF(AJ86,N86,0)</f>
        <v>0</v>
      </c>
      <c r="AO86" s="1031">
        <f t="shared" ref="AO86:AO149" si="60">IF(AJ86,O86,0)</f>
        <v>0</v>
      </c>
      <c r="AP86" s="1032">
        <f t="shared" ref="AP86:AP149" si="61">IF(AN86&gt;0,AR$9,0)</f>
        <v>0</v>
      </c>
      <c r="AQ86" s="5255" t="str">
        <f t="shared" ref="AQ86:AQ149" si="62">IF(TRIM(AF86)="▼ recette suivante", AF86, IF(AP86&gt;0, IF(AS$9&lt;&gt;"", AS$9&amp;"-ou.or.o ❾ + or - &gt;", ""), ""))</f>
        <v/>
      </c>
      <c r="AR86" s="1056"/>
      <c r="AS86" s="1056"/>
      <c r="AT86" s="1034">
        <f t="shared" ref="AT86:AT149" si="63">IF(TRIM(AL86)="Kg",N(AK86)*N(BG86),0)</f>
        <v>0</v>
      </c>
      <c r="AU86" s="1035">
        <f t="shared" ref="AU86:AU149" si="64">IF(AJ86,IF(OR(AT86="",N(AT86)&lt;=0.000000001),"",_xlfn.XLOOKUP(AI86,$BI$15:$BI$62,$BM$15:$BM$62,_xlfn.XLOOKUP(AI86,$BJ$15:$BJ$62,$BM$15:$BM$62,_xlfn.XLOOKUP(AI86,$BK$15:$BK$62,$BM$15:$BM$62,"")))),0)</f>
        <v>0</v>
      </c>
      <c r="AV86" s="1057" cm="1">
        <f t="array" ref="AV86">IF(AJ86&lt;&gt;1,0,IF(OR(AT86="",N(AT86)&lt;=0.000000001),"",IF(OR(AN86="",N(AN86)&lt;=0.000000001),0,IF(ISNUMBER(AT86),IFERROR(_xlfn.LET(_xlpm.ai_test,TRIM(AI86),_xlpm.r,IFERROR(_xlfn.XLOOKUP(_xlpm.ai_test,$BI$15:$BI$62,ROW($BI$15:$BI$62),0,1),IFERROR(_xlfn.XLOOKUP(_xlpm.ai_test,$BJ$15:$BJ$62,ROW($BJ$15:$BJ$62),0,1),_xlfn.XLOOKUP(_xlpm.ai_test,$BK$15:$BK$62,ROW($BK$15:$BK$62),0,1))),_xlpm.p,_xlpm.r-MIN(ROW($BI$15:$BI$62))+1,_xlpm.f,INDEX($BL$15:$BL$62,_xlpm.p),_xlpm.u,INDEX($BM$15:$BM$62,_xlpm.p),_xlpm.s,INDEX($BO$15:$BO$62,_xlpm.p),_xlpm.q,N(AT86)/_xlpm.f,IF(_xlpm.q&gt;=_xlpm.s,ROUND(_xlpm.q,1)&amp;" "&amp;_xlpm.ai_test&amp;" = "&amp;ROUND(_xlpm.q*_xlpm.f,1)&amp;" "&amp;_xlpm.u,ROUND(_xlpm.q,1)&amp;" "&amp;_xlpm.ai_test)),""),""))))</f>
        <v>0</v>
      </c>
      <c r="AW86" s="1047"/>
      <c r="AX86" s="1034">
        <f t="shared" ref="AX86:AX149" si="65">IF(TRIM(AF86)="▼ recette suivante","▼next recipe ",IF(AT86="","",IF(ISBLANK(AW86),AT86,ROUND(AT86*(1-MIN(1,MAX(0,IF(AW86&gt;1,AW86/100,AW86)))),3))))</f>
        <v>0</v>
      </c>
      <c r="AY86" s="1035" t="str">
        <f t="shared" ref="AY86:AY149" si="66">IF(AJ86,AU86,"")</f>
        <v/>
      </c>
      <c r="AZ86" s="1036">
        <f t="shared" si="37"/>
        <v>0</v>
      </c>
      <c r="BA86" s="1037" t="str">
        <f t="shared" ref="BA86:BA149" si="67">IF(AJ86,IF(N(AZ86)&gt;0.000000001,R86,""),"")</f>
        <v/>
      </c>
      <c r="BB86" s="1038"/>
      <c r="BC86" s="1039">
        <f t="shared" si="40"/>
        <v>0</v>
      </c>
      <c r="BD86" s="1040" t="str">
        <f t="shared" ref="BD86:BD149" si="68">IF(IFERROR(SEARCH("Adresse PC",TRIM(Q86)),0)&gt;0,"▼ receta siguiente",IF(AX86&gt;0,W86,""))</f>
        <v/>
      </c>
      <c r="BE86" s="227" t="s">
        <v>22</v>
      </c>
      <c r="BF86" s="1019">
        <f t="shared" ref="BF86:BF149" si="69">IFERROR(_xlfn.LET(_xlpm.EPS,0.000000001,_xlpm.b,Q86/AN86,IF(ISNUMBER(AR86),_xlpm.b*AR86,IF(OR(ISBLANK(AR86),AR86=""),_xlpm.b*AP86,IF(AND(BG86=0,ISNUMBER(Q86)),_xlpm.b/AP86,0)))),0)</f>
        <v>0</v>
      </c>
      <c r="BG86" s="1020">
        <f t="shared" ref="BG86:BG149" si="70">IF(AK86&gt;0,IFERROR(IF(OR(ISBLANK(AR86),AR86=""),AP86,AR86)/AN86,0),0)</f>
        <v>0</v>
      </c>
      <c r="BI86" s="5199">
        <v>1</v>
      </c>
      <c r="BJ86" s="5227">
        <v>1E-3</v>
      </c>
      <c r="BK86" s="5228">
        <v>0</v>
      </c>
      <c r="BL86" s="5227">
        <v>0.25</v>
      </c>
      <c r="BM86" s="5227">
        <v>0.33332999999999996</v>
      </c>
      <c r="BN86" s="5227">
        <v>0.5</v>
      </c>
      <c r="BO86" s="5229">
        <v>1</v>
      </c>
      <c r="BP86" s="5229">
        <v>0.1</v>
      </c>
      <c r="BQ86" s="5229">
        <v>0.01</v>
      </c>
      <c r="BR86" s="5229">
        <v>1E-3</v>
      </c>
      <c r="BS86" s="5229">
        <v>0.5</v>
      </c>
      <c r="BT86" s="5229">
        <v>0.33300000000000002</v>
      </c>
      <c r="BU86" s="5206">
        <v>0.2</v>
      </c>
      <c r="BV86"/>
      <c r="BW86" s="959" t="str">
        <f t="shared" si="49"/>
        <v>►</v>
      </c>
      <c r="BX86" s="1113" t="s">
        <v>1962</v>
      </c>
      <c r="BY86" s="276"/>
      <c r="BZ86" s="276"/>
      <c r="CA86" s="276"/>
      <c r="CB86" s="276"/>
      <c r="CC86" s="957"/>
      <c r="CD86"/>
      <c r="CE86"/>
      <c r="CF86"/>
      <c r="CG86"/>
      <c r="CH86"/>
      <c r="CI86"/>
      <c r="CJ86"/>
      <c r="CL86"/>
      <c r="CM86"/>
      <c r="CN86"/>
      <c r="CO86"/>
      <c r="CP86"/>
      <c r="CQ86"/>
      <c r="CR86"/>
      <c r="CT86"/>
      <c r="CU86"/>
      <c r="CV86"/>
      <c r="CW86"/>
      <c r="CX86"/>
      <c r="CY86"/>
      <c r="CZ86"/>
      <c r="DB86" s="3">
        <v>1</v>
      </c>
    </row>
    <row r="87" spans="1:106" s="709" customFormat="1" ht="21" customHeight="1">
      <c r="A87" s="936" t="s">
        <v>22</v>
      </c>
      <c r="B87" s="952" t="str">
        <f t="shared" si="48"/>
        <v>►</v>
      </c>
      <c r="C87" s="993" cm="1">
        <f t="array" ref="C87">SUMPRODUCT(LEN(D87:J87))</f>
        <v>0</v>
      </c>
      <c r="D87" s="167"/>
      <c r="E87" s="172"/>
      <c r="F87" s="172"/>
      <c r="G87" s="172"/>
      <c r="H87" s="172"/>
      <c r="I87" s="172"/>
      <c r="J87" s="173"/>
      <c r="K87" s="442" t="s">
        <v>22</v>
      </c>
      <c r="L87" s="104" t="str">
        <f t="shared" si="51"/>
        <v>►</v>
      </c>
      <c r="M87" s="32" t="str">
        <f>M69</f>
        <v>T TERRINE DE PIEDS DE PORC pour tranches | | Auteur &gt; Guy KRENZE - Eric GODDYN - Arnaud NICOLAS - CEPROC 2002</v>
      </c>
      <c r="N87" s="33">
        <f>N69</f>
        <v>1</v>
      </c>
      <c r="O87" s="32" t="str">
        <f>O69</f>
        <v xml:space="preserve">moule L 30 cm X l 9 cm X H 6 cm </v>
      </c>
      <c r="P87" s="34" t="str">
        <f>P69</f>
        <v>Recette mère ► le Boudin en 4 déclinaisons</v>
      </c>
      <c r="Q87" s="92"/>
      <c r="R87" s="108"/>
      <c r="S87" s="94" t="str">
        <f t="shared" si="50"/>
        <v/>
      </c>
      <c r="T87" s="95"/>
      <c r="U87" s="126"/>
      <c r="V87" s="127">
        <v>1</v>
      </c>
      <c r="W87" s="920"/>
      <c r="X87" s="1494">
        <f>IF(OR(ISBLANK(Q67),X67=0),0,Q87*V68)</f>
        <v>0</v>
      </c>
      <c r="Y87" s="101" cm="1">
        <f t="array" ref="Y87">IFERROR(_xlfn.LET(_xlpm.k,UPPER(TRIM(U87)),_xlpm.r,_xlfn.XLOOKUP(_xlpm.k,UPPER(TRIM(Q89:Z89)),Q90:Z90,_xlfn.XLOOKUP(_xlpm.k,UPPER(TRIM(Q91:Z91)),Q92:Z92)),_xlpm.r*T87*V87*V68*IF(ISBLANK(Q87),1,Q87)),0)</f>
        <v>0</v>
      </c>
      <c r="Z87" s="1475" t="str">
        <f>_xlfn.LET(_xlpm.unite,SUBSTITUTE(TRIM(U87)," (s)",""),_xlpm.val,Y87,_xlpm.estVol,COUNTIF(T89:Z89,_xlpm.unite)+COUNTIF(T91:Z91,_xlpm.unite)&gt;0,_xlpm.estPoids,COUNTIF(Q89:S89,_xlpm.unite)+COUNTIF(Q91:S91,_xlpm.unite)&gt;0,IF(_xlpm.estVol,IF(ROUND(_xlpm.val,3)&gt;=1,ROUND(_xlpm.val,3)&amp;" L",MAX(1,ROUND(_xlpm.val*100,0))&amp;" cl"),IF(_xlpm.estPoids,IF(ROUND(_xlpm.val,3)&gt;=1,ROUND(_xlpm.val,3)&amp;" Kg",MAX(1,ROUND(_xlpm.val*1000,0))&amp;" g"),"")))</f>
        <v/>
      </c>
      <c r="AA87" s="5211"/>
      <c r="AB87" s="1178"/>
      <c r="AC87" s="1179"/>
      <c r="AD87" s="227" t="s">
        <v>22</v>
      </c>
      <c r="AE87" s="1027" t="str">
        <f t="shared" si="52"/>
        <v>►</v>
      </c>
      <c r="AF87" s="1028" t="str">
        <f t="shared" si="53"/>
        <v/>
      </c>
      <c r="AG87" s="1029" t="str">
        <f t="shared" si="54"/>
        <v/>
      </c>
      <c r="AH87" s="1028" t="str">
        <f t="shared" si="55"/>
        <v/>
      </c>
      <c r="AI87" s="1029" t="str">
        <f t="shared" si="56"/>
        <v/>
      </c>
      <c r="AJ87" s="1029">
        <f t="shared" si="57"/>
        <v>0</v>
      </c>
      <c r="AK87" s="1043" t="str" cm="1">
        <f t="array" ref="AK87">IF(AE87&lt;&gt;"A","",IFERROR((IFERROR(_xlfn.XLOOKUP(TRIM(SUBSTITUTE(U87,CHAR(160)," ")),$BI$15:$BI$62,$BL$15:$BL$62),IFERROR(_xlfn.XLOOKUP(TRIM(SUBSTITUTE(U87,CHAR(160)," ")),$BJ$15:$BJ$62,$BL$15:$BL$62),_xlfn.XLOOKUP(TRIM(SUBSTITUTE(U87,CHAR(160)," ")),$BK$15:$BK$62,$BL$15:$BL$62))))*T87*IF(ISBLANK(Q87),1,Q87)+IFERROR(_xlfn.XLOOKUP("RECHERCHEX",TRIM(L87:AC87),L87:AC87),0),0))</f>
        <v/>
      </c>
      <c r="AL87" s="1030">
        <f t="shared" si="58"/>
        <v>0</v>
      </c>
      <c r="AM87" s="5254" t="str">
        <f t="shared" si="42"/>
        <v/>
      </c>
      <c r="AN87" s="1031">
        <f t="shared" si="59"/>
        <v>0</v>
      </c>
      <c r="AO87" s="1031">
        <f t="shared" si="60"/>
        <v>0</v>
      </c>
      <c r="AP87" s="1044">
        <f t="shared" si="61"/>
        <v>0</v>
      </c>
      <c r="AQ87" s="5257" t="str">
        <f t="shared" si="62"/>
        <v/>
      </c>
      <c r="AR87" s="1056"/>
      <c r="AS87" s="1056"/>
      <c r="AT87" s="1045">
        <f t="shared" si="63"/>
        <v>0</v>
      </c>
      <c r="AU87" s="1046">
        <f t="shared" si="64"/>
        <v>0</v>
      </c>
      <c r="AV87" s="1059" cm="1">
        <f t="array" ref="AV87">IF(AJ87&lt;&gt;1,0,IF(OR(AT87="",N(AT87)&lt;=0.000000001),"",IF(OR(AN87="",N(AN87)&lt;=0.000000001),0,IF(ISNUMBER(AT87),IFERROR(_xlfn.LET(_xlpm.ai_test,TRIM(AI87),_xlpm.r,IFERROR(_xlfn.XLOOKUP(_xlpm.ai_test,$BI$15:$BI$62,ROW($BI$15:$BI$62),0,1),IFERROR(_xlfn.XLOOKUP(_xlpm.ai_test,$BJ$15:$BJ$62,ROW($BJ$15:$BJ$62),0,1),_xlfn.XLOOKUP(_xlpm.ai_test,$BK$15:$BK$62,ROW($BK$15:$BK$62),0,1))),_xlpm.p,_xlpm.r-MIN(ROW($BI$15:$BI$62))+1,_xlpm.f,INDEX($BL$15:$BL$62,_xlpm.p),_xlpm.u,INDEX($BM$15:$BM$62,_xlpm.p),_xlpm.s,INDEX($BO$15:$BO$62,_xlpm.p),_xlpm.q,N(AT87)/_xlpm.f,IF(_xlpm.q&gt;=_xlpm.s,ROUND(_xlpm.q,1)&amp;" "&amp;_xlpm.ai_test&amp;" = "&amp;ROUND(_xlpm.q*_xlpm.f,1)&amp;" "&amp;_xlpm.u,ROUND(_xlpm.q,1)&amp;" "&amp;_xlpm.ai_test)),""),""))))</f>
        <v>0</v>
      </c>
      <c r="AW87" s="1047"/>
      <c r="AX87" s="1045">
        <f t="shared" si="65"/>
        <v>0</v>
      </c>
      <c r="AY87" s="1046" t="str">
        <f t="shared" si="66"/>
        <v/>
      </c>
      <c r="AZ87" s="1048">
        <f t="shared" ref="AZ87:AZ150" si="71">IF(ISNUMBER(BF87),IF(ABS(BF87)&lt;=0.000000001,0,BF87),0)</f>
        <v>0</v>
      </c>
      <c r="BA87" s="1049" t="str">
        <f t="shared" si="67"/>
        <v/>
      </c>
      <c r="BB87" s="1038"/>
      <c r="BC87" s="1050">
        <f t="shared" si="40"/>
        <v>0</v>
      </c>
      <c r="BD87" s="1040" t="str">
        <f t="shared" si="68"/>
        <v/>
      </c>
      <c r="BE87" s="227" t="s">
        <v>22</v>
      </c>
      <c r="BF87" s="1019">
        <f t="shared" si="69"/>
        <v>0</v>
      </c>
      <c r="BG87" s="1020">
        <f t="shared" si="70"/>
        <v>0</v>
      </c>
      <c r="BI87" s="5200" t="s">
        <v>156</v>
      </c>
      <c r="BJ87" s="5200" t="s">
        <v>1363</v>
      </c>
      <c r="BK87" s="5196" t="s">
        <v>1364</v>
      </c>
      <c r="BL87" s="5200" t="s">
        <v>1365</v>
      </c>
      <c r="BM87" s="5200" t="s">
        <v>1366</v>
      </c>
      <c r="BN87" s="5200" t="s">
        <v>1380</v>
      </c>
      <c r="BO87" s="5202" t="s">
        <v>1367</v>
      </c>
      <c r="BP87" s="5202" t="s">
        <v>1368</v>
      </c>
      <c r="BQ87" s="5202" t="s">
        <v>1369</v>
      </c>
      <c r="BR87" s="5194" t="s">
        <v>1370</v>
      </c>
      <c r="BS87" s="5194" t="s">
        <v>1371</v>
      </c>
      <c r="BT87" s="5194" t="s">
        <v>1372</v>
      </c>
      <c r="BU87" s="5262" t="s">
        <v>1373</v>
      </c>
      <c r="BV87"/>
      <c r="BW87" s="959" t="str">
        <f t="shared" si="49"/>
        <v>►</v>
      </c>
      <c r="BX87" s="1112" t="s">
        <v>1963</v>
      </c>
      <c r="BY87" s="276"/>
      <c r="BZ87" s="276"/>
      <c r="CA87" s="276"/>
      <c r="CB87" s="276"/>
      <c r="CC87" s="957"/>
      <c r="CD87"/>
      <c r="CE87"/>
      <c r="CF87"/>
      <c r="CG87"/>
      <c r="CH87"/>
      <c r="CI87"/>
      <c r="CJ87"/>
      <c r="CL87"/>
      <c r="CM87"/>
      <c r="CN87"/>
      <c r="CO87"/>
      <c r="CP87"/>
      <c r="CQ87"/>
      <c r="CR87"/>
      <c r="CT87"/>
      <c r="CU87"/>
      <c r="CV87"/>
      <c r="CW87"/>
      <c r="CX87"/>
      <c r="CY87"/>
      <c r="CZ87"/>
      <c r="DB87" s="3">
        <v>1</v>
      </c>
    </row>
    <row r="88" spans="1:106" s="709" customFormat="1" ht="21" customHeight="1">
      <c r="A88" s="936" t="s">
        <v>22</v>
      </c>
      <c r="B88" s="952" t="str">
        <f t="shared" si="48"/>
        <v>A</v>
      </c>
      <c r="C88" s="993" cm="1">
        <f t="array" ref="C88">SUMPRODUCT(LEN(D88:J88))</f>
        <v>0</v>
      </c>
      <c r="D88" s="167"/>
      <c r="E88" s="172"/>
      <c r="F88" s="172"/>
      <c r="G88" s="172"/>
      <c r="H88" s="172"/>
      <c r="I88" s="172"/>
      <c r="J88" s="173"/>
      <c r="K88" s="442" t="s">
        <v>22</v>
      </c>
      <c r="L88" s="104" t="s">
        <v>11</v>
      </c>
      <c r="M88" s="32" t="str">
        <f>M69</f>
        <v>T TERRINE DE PIEDS DE PORC pour tranches | | Auteur &gt; Guy KRENZE - Eric GODDYN - Arnaud NICOLAS - CEPROC 2002</v>
      </c>
      <c r="N88" s="33">
        <f>N69</f>
        <v>1</v>
      </c>
      <c r="O88" s="32" t="str">
        <f>O69</f>
        <v xml:space="preserve">moule L 30 cm X l 9 cm X H 6 cm </v>
      </c>
      <c r="P88" s="34" t="str">
        <f>P69</f>
        <v>Recette mère ► le Boudin en 4 déclinaisons</v>
      </c>
      <c r="Q88" s="907" t="s">
        <v>136</v>
      </c>
      <c r="R88" s="500"/>
      <c r="S88" s="500"/>
      <c r="T88" s="500"/>
      <c r="U88" s="500"/>
      <c r="V88" s="908"/>
      <c r="W88" s="909"/>
      <c r="X88" s="909"/>
      <c r="Y88" s="910">
        <f>SUM(Y73:Y87)</f>
        <v>2.0619999999999998</v>
      </c>
      <c r="Z88" s="1489"/>
      <c r="AA88" s="5211"/>
      <c r="AB88" s="1178"/>
      <c r="AC88" s="1179"/>
      <c r="AD88" s="227" t="s">
        <v>22</v>
      </c>
      <c r="AE88" s="1027" t="str">
        <f t="shared" si="52"/>
        <v>►</v>
      </c>
      <c r="AF88" s="1028" t="str">
        <f t="shared" si="53"/>
        <v/>
      </c>
      <c r="AG88" s="1029" t="str">
        <f t="shared" si="54"/>
        <v/>
      </c>
      <c r="AH88" s="1028" t="str">
        <f t="shared" si="55"/>
        <v/>
      </c>
      <c r="AI88" s="1029" t="str">
        <f t="shared" si="56"/>
        <v/>
      </c>
      <c r="AJ88" s="1029">
        <f t="shared" si="57"/>
        <v>0</v>
      </c>
      <c r="AK88" s="1043" t="str" cm="1">
        <f t="array" ref="AK88">IF(AE88&lt;&gt;"A","",IFERROR((IFERROR(_xlfn.XLOOKUP(TRIM(SUBSTITUTE(U88,CHAR(160)," ")),$BI$15:$BI$62,$BL$15:$BL$62),IFERROR(_xlfn.XLOOKUP(TRIM(SUBSTITUTE(U88,CHAR(160)," ")),$BJ$15:$BJ$62,$BL$15:$BL$62),_xlfn.XLOOKUP(TRIM(SUBSTITUTE(U88,CHAR(160)," ")),$BK$15:$BK$62,$BL$15:$BL$62))))*T88*IF(ISBLANK(Q88),1,Q88)+IFERROR(_xlfn.XLOOKUP("RECHERCHEX",TRIM(L88:AC88),L88:AC88),0),0))</f>
        <v/>
      </c>
      <c r="AL88" s="1030">
        <f t="shared" si="58"/>
        <v>0</v>
      </c>
      <c r="AM88" s="5254" t="str">
        <f t="shared" si="42"/>
        <v/>
      </c>
      <c r="AN88" s="1031">
        <f t="shared" si="59"/>
        <v>0</v>
      </c>
      <c r="AO88" s="1031">
        <f t="shared" si="60"/>
        <v>0</v>
      </c>
      <c r="AP88" s="1032">
        <f t="shared" si="61"/>
        <v>0</v>
      </c>
      <c r="AQ88" s="5255" t="str">
        <f t="shared" si="62"/>
        <v/>
      </c>
      <c r="AR88" s="1056"/>
      <c r="AS88" s="1056"/>
      <c r="AT88" s="1034">
        <f t="shared" si="63"/>
        <v>0</v>
      </c>
      <c r="AU88" s="1035">
        <f t="shared" si="64"/>
        <v>0</v>
      </c>
      <c r="AV88" s="1057" cm="1">
        <f t="array" ref="AV88">IF(AJ88&lt;&gt;1,0,IF(OR(AT88="",N(AT88)&lt;=0.000000001),"",IF(OR(AN88="",N(AN88)&lt;=0.000000001),0,IF(ISNUMBER(AT88),IFERROR(_xlfn.LET(_xlpm.ai_test,TRIM(AI88),_xlpm.r,IFERROR(_xlfn.XLOOKUP(_xlpm.ai_test,$BI$15:$BI$62,ROW($BI$15:$BI$62),0,1),IFERROR(_xlfn.XLOOKUP(_xlpm.ai_test,$BJ$15:$BJ$62,ROW($BJ$15:$BJ$62),0,1),_xlfn.XLOOKUP(_xlpm.ai_test,$BK$15:$BK$62,ROW($BK$15:$BK$62),0,1))),_xlpm.p,_xlpm.r-MIN(ROW($BI$15:$BI$62))+1,_xlpm.f,INDEX($BL$15:$BL$62,_xlpm.p),_xlpm.u,INDEX($BM$15:$BM$62,_xlpm.p),_xlpm.s,INDEX($BO$15:$BO$62,_xlpm.p),_xlpm.q,N(AT88)/_xlpm.f,IF(_xlpm.q&gt;=_xlpm.s,ROUND(_xlpm.q,1)&amp;" "&amp;_xlpm.ai_test&amp;" = "&amp;ROUND(_xlpm.q*_xlpm.f,1)&amp;" "&amp;_xlpm.u,ROUND(_xlpm.q,1)&amp;" "&amp;_xlpm.ai_test)),""),""))))</f>
        <v>0</v>
      </c>
      <c r="AW88" s="1047"/>
      <c r="AX88" s="1034">
        <f t="shared" si="65"/>
        <v>0</v>
      </c>
      <c r="AY88" s="1035" t="str">
        <f t="shared" si="66"/>
        <v/>
      </c>
      <c r="AZ88" s="1036">
        <f t="shared" si="71"/>
        <v>0</v>
      </c>
      <c r="BA88" s="1037" t="str">
        <f t="shared" si="67"/>
        <v/>
      </c>
      <c r="BB88" s="1038"/>
      <c r="BC88" s="1039">
        <f t="shared" si="40"/>
        <v>0</v>
      </c>
      <c r="BD88" s="1040" t="str">
        <f t="shared" si="68"/>
        <v/>
      </c>
      <c r="BE88" s="227" t="s">
        <v>22</v>
      </c>
      <c r="BF88" s="1019">
        <f t="shared" si="69"/>
        <v>0</v>
      </c>
      <c r="BG88" s="1020">
        <f t="shared" si="70"/>
        <v>0</v>
      </c>
      <c r="BI88" s="916">
        <v>2.835E-2</v>
      </c>
      <c r="BJ88" s="917">
        <v>0.13</v>
      </c>
      <c r="BK88" s="918">
        <v>0</v>
      </c>
      <c r="BL88" s="917">
        <v>0.2</v>
      </c>
      <c r="BM88" s="917">
        <v>0.23</v>
      </c>
      <c r="BN88" s="917">
        <v>0.22500000000000001</v>
      </c>
      <c r="BO88" s="5229">
        <v>0.35</v>
      </c>
      <c r="BP88" s="5229">
        <v>5.0000000000000001E-3</v>
      </c>
      <c r="BQ88" s="5229">
        <v>5.0000000000000001E-3</v>
      </c>
      <c r="BR88" s="5229">
        <v>1.4999999999999999E-2</v>
      </c>
      <c r="BS88" s="5229">
        <v>0.1</v>
      </c>
      <c r="BT88" s="5229">
        <v>0.22500000000000001</v>
      </c>
      <c r="BU88" s="5206">
        <v>1E-3</v>
      </c>
      <c r="BV88"/>
      <c r="BW88" s="959" t="str">
        <f t="shared" si="49"/>
        <v>►</v>
      </c>
      <c r="BX88" s="1114" t="s">
        <v>1964</v>
      </c>
      <c r="BY88" s="276"/>
      <c r="BZ88" s="276"/>
      <c r="CA88" s="276"/>
      <c r="CB88" s="276"/>
      <c r="CC88" s="957"/>
      <c r="CD88"/>
      <c r="CE88"/>
      <c r="CF88"/>
      <c r="CG88"/>
      <c r="CH88"/>
      <c r="CI88"/>
      <c r="CJ88"/>
      <c r="CL88"/>
      <c r="CM88"/>
      <c r="CN88"/>
      <c r="CO88"/>
      <c r="CP88"/>
      <c r="CQ88"/>
      <c r="CR88"/>
      <c r="CT88"/>
      <c r="CU88"/>
      <c r="CV88"/>
      <c r="CW88"/>
      <c r="CX88"/>
      <c r="CY88"/>
      <c r="CZ88"/>
      <c r="DB88" s="3">
        <v>1</v>
      </c>
    </row>
    <row r="89" spans="1:106" s="709" customFormat="1" ht="21" customHeight="1" thickBot="1">
      <c r="A89" s="936" t="s">
        <v>22</v>
      </c>
      <c r="B89" s="952" t="str">
        <f t="shared" si="48"/>
        <v>►</v>
      </c>
      <c r="C89" s="993" cm="1">
        <f t="array" ref="C89">SUMPRODUCT(LEN(D89:J89))</f>
        <v>0</v>
      </c>
      <c r="D89" s="167"/>
      <c r="E89" s="172"/>
      <c r="F89" s="172"/>
      <c r="G89" s="172"/>
      <c r="H89" s="172"/>
      <c r="I89" s="172"/>
      <c r="J89" s="173"/>
      <c r="K89" s="442" t="s">
        <v>22</v>
      </c>
      <c r="L89" s="104" t="s">
        <v>16</v>
      </c>
      <c r="M89" s="32" t="str">
        <f>M69</f>
        <v>T TERRINE DE PIEDS DE PORC pour tranches | | Auteur &gt; Guy KRENZE - Eric GODDYN - Arnaud NICOLAS - CEPROC 2002</v>
      </c>
      <c r="N89" s="33">
        <f>N69</f>
        <v>1</v>
      </c>
      <c r="O89" s="32" t="str">
        <f>O69</f>
        <v xml:space="preserve">moule L 30 cm X l 9 cm X H 6 cm </v>
      </c>
      <c r="P89" s="34" t="str">
        <f>P69</f>
        <v>Recette mère ► le Boudin en 4 déclinaisons</v>
      </c>
      <c r="Q89" s="140" t="s">
        <v>143</v>
      </c>
      <c r="R89" s="105" t="s">
        <v>99</v>
      </c>
      <c r="S89" s="141" t="s">
        <v>144</v>
      </c>
      <c r="T89" s="96" t="s">
        <v>0</v>
      </c>
      <c r="U89" s="96" t="s">
        <v>96</v>
      </c>
      <c r="V89" s="96" t="s">
        <v>147</v>
      </c>
      <c r="W89" s="96" t="s">
        <v>148</v>
      </c>
      <c r="X89" s="109" t="s">
        <v>364</v>
      </c>
      <c r="Y89" s="109" t="s">
        <v>102</v>
      </c>
      <c r="Z89" s="109" t="s">
        <v>149</v>
      </c>
      <c r="AA89" s="5211"/>
      <c r="AB89" s="1178"/>
      <c r="AC89" s="1179"/>
      <c r="AD89" s="227" t="s">
        <v>22</v>
      </c>
      <c r="AE89" s="1027" t="str">
        <f t="shared" si="52"/>
        <v>►</v>
      </c>
      <c r="AF89" s="1028" t="str">
        <f t="shared" si="53"/>
        <v/>
      </c>
      <c r="AG89" s="1029" t="str">
        <f t="shared" si="54"/>
        <v/>
      </c>
      <c r="AH89" s="1028" t="str">
        <f t="shared" si="55"/>
        <v/>
      </c>
      <c r="AI89" s="1029" t="str">
        <f t="shared" si="56"/>
        <v/>
      </c>
      <c r="AJ89" s="1029">
        <f t="shared" si="57"/>
        <v>0</v>
      </c>
      <c r="AK89" s="1043" t="str" cm="1">
        <f t="array" ref="AK89">IF(AE89&lt;&gt;"A","",IFERROR((IFERROR(_xlfn.XLOOKUP(TRIM(SUBSTITUTE(U89,CHAR(160)," ")),$BI$15:$BI$62,$BL$15:$BL$62),IFERROR(_xlfn.XLOOKUP(TRIM(SUBSTITUTE(U89,CHAR(160)," ")),$BJ$15:$BJ$62,$BL$15:$BL$62),_xlfn.XLOOKUP(TRIM(SUBSTITUTE(U89,CHAR(160)," ")),$BK$15:$BK$62,$BL$15:$BL$62))))*T89*IF(ISBLANK(Q89),1,Q89)+IFERROR(_xlfn.XLOOKUP("RECHERCHEX",TRIM(L89:AC89),L89:AC89),0),0))</f>
        <v/>
      </c>
      <c r="AL89" s="1030">
        <f t="shared" si="58"/>
        <v>0</v>
      </c>
      <c r="AM89" s="5254" t="str">
        <f t="shared" si="42"/>
        <v/>
      </c>
      <c r="AN89" s="1031">
        <f t="shared" si="59"/>
        <v>0</v>
      </c>
      <c r="AO89" s="1031">
        <f t="shared" si="60"/>
        <v>0</v>
      </c>
      <c r="AP89" s="1044">
        <f t="shared" si="61"/>
        <v>0</v>
      </c>
      <c r="AQ89" s="5257" t="str">
        <f t="shared" si="62"/>
        <v/>
      </c>
      <c r="AR89" s="1056"/>
      <c r="AS89" s="1056"/>
      <c r="AT89" s="1045">
        <f t="shared" si="63"/>
        <v>0</v>
      </c>
      <c r="AU89" s="1046">
        <f t="shared" si="64"/>
        <v>0</v>
      </c>
      <c r="AV89" s="1059" cm="1">
        <f t="array" ref="AV89">IF(AJ89&lt;&gt;1,0,IF(OR(AT89="",N(AT89)&lt;=0.000000001),"",IF(OR(AN89="",N(AN89)&lt;=0.000000001),0,IF(ISNUMBER(AT89),IFERROR(_xlfn.LET(_xlpm.ai_test,TRIM(AI89),_xlpm.r,IFERROR(_xlfn.XLOOKUP(_xlpm.ai_test,$BI$15:$BI$62,ROW($BI$15:$BI$62),0,1),IFERROR(_xlfn.XLOOKUP(_xlpm.ai_test,$BJ$15:$BJ$62,ROW($BJ$15:$BJ$62),0,1),_xlfn.XLOOKUP(_xlpm.ai_test,$BK$15:$BK$62,ROW($BK$15:$BK$62),0,1))),_xlpm.p,_xlpm.r-MIN(ROW($BI$15:$BI$62))+1,_xlpm.f,INDEX($BL$15:$BL$62,_xlpm.p),_xlpm.u,INDEX($BM$15:$BM$62,_xlpm.p),_xlpm.s,INDEX($BO$15:$BO$62,_xlpm.p),_xlpm.q,N(AT89)/_xlpm.f,IF(_xlpm.q&gt;=_xlpm.s,ROUND(_xlpm.q,1)&amp;" "&amp;_xlpm.ai_test&amp;" = "&amp;ROUND(_xlpm.q*_xlpm.f,1)&amp;" "&amp;_xlpm.u,ROUND(_xlpm.q,1)&amp;" "&amp;_xlpm.ai_test)),""),""))))</f>
        <v>0</v>
      </c>
      <c r="AW89" s="1047"/>
      <c r="AX89" s="1045">
        <f t="shared" si="65"/>
        <v>0</v>
      </c>
      <c r="AY89" s="1046" t="str">
        <f t="shared" si="66"/>
        <v/>
      </c>
      <c r="AZ89" s="1048">
        <f t="shared" si="71"/>
        <v>0</v>
      </c>
      <c r="BA89" s="1049" t="str">
        <f t="shared" si="67"/>
        <v/>
      </c>
      <c r="BB89" s="1038"/>
      <c r="BC89" s="1050">
        <f t="shared" si="40"/>
        <v>0</v>
      </c>
      <c r="BD89" s="1040" t="str">
        <f t="shared" si="68"/>
        <v/>
      </c>
      <c r="BE89" s="227" t="s">
        <v>22</v>
      </c>
      <c r="BF89" s="1019">
        <f t="shared" si="69"/>
        <v>0</v>
      </c>
      <c r="BG89" s="1020">
        <f t="shared" si="70"/>
        <v>0</v>
      </c>
      <c r="BV89"/>
      <c r="BW89" s="959" t="str">
        <f t="shared" si="49"/>
        <v>►</v>
      </c>
      <c r="BX89" s="1115"/>
      <c r="BY89" s="276"/>
      <c r="BZ89" s="276"/>
      <c r="CA89" s="276"/>
      <c r="CB89" s="276"/>
      <c r="CC89" s="957"/>
      <c r="CD89"/>
      <c r="CE89"/>
      <c r="CF89"/>
      <c r="CG89"/>
      <c r="CH89"/>
      <c r="CI89"/>
      <c r="CJ89"/>
      <c r="CL89"/>
      <c r="CM89"/>
      <c r="CN89"/>
      <c r="CO89"/>
      <c r="CP89"/>
      <c r="CQ89"/>
      <c r="CR89"/>
      <c r="CT89"/>
      <c r="CU89"/>
      <c r="CV89"/>
      <c r="CW89"/>
      <c r="CX89"/>
      <c r="CY89"/>
      <c r="CZ89"/>
      <c r="DB89" s="3">
        <v>1</v>
      </c>
    </row>
    <row r="90" spans="1:106" s="709" customFormat="1" ht="21" customHeight="1">
      <c r="A90" s="936" t="s">
        <v>22</v>
      </c>
      <c r="B90" s="952" t="str">
        <f t="shared" si="48"/>
        <v>►</v>
      </c>
      <c r="C90" s="993" cm="1">
        <f t="array" ref="C90">SUMPRODUCT(LEN(D90:J90))</f>
        <v>0</v>
      </c>
      <c r="D90" s="167"/>
      <c r="E90" s="172"/>
      <c r="F90" s="172"/>
      <c r="G90" s="172"/>
      <c r="H90" s="172"/>
      <c r="I90" s="172"/>
      <c r="J90" s="173"/>
      <c r="K90" s="442" t="s">
        <v>22</v>
      </c>
      <c r="L90" s="104" t="s">
        <v>16</v>
      </c>
      <c r="M90" s="32" t="str">
        <f>M69</f>
        <v>T TERRINE DE PIEDS DE PORC pour tranches | | Auteur &gt; Guy KRENZE - Eric GODDYN - Arnaud NICOLAS - CEPROC 2002</v>
      </c>
      <c r="N90" s="33">
        <f>N69</f>
        <v>1</v>
      </c>
      <c r="O90" s="32" t="str">
        <f>O69</f>
        <v xml:space="preserve">moule L 30 cm X l 9 cm X H 6 cm </v>
      </c>
      <c r="P90" s="34" t="str">
        <f>P69</f>
        <v>Recette mère ► le Boudin en 4 déclinaisons</v>
      </c>
      <c r="Q90" s="911">
        <v>1</v>
      </c>
      <c r="R90" s="912">
        <v>1E-3</v>
      </c>
      <c r="S90" s="913">
        <v>0</v>
      </c>
      <c r="T90" s="914">
        <v>1</v>
      </c>
      <c r="U90" s="914">
        <v>0.1</v>
      </c>
      <c r="V90" s="914">
        <v>0.01</v>
      </c>
      <c r="W90" s="914">
        <v>1E-3</v>
      </c>
      <c r="X90" s="914">
        <v>0.25</v>
      </c>
      <c r="Y90" s="914">
        <v>0.5</v>
      </c>
      <c r="Z90" s="914">
        <v>0.33300000000000002</v>
      </c>
      <c r="AA90" s="5211"/>
      <c r="AB90" s="1178"/>
      <c r="AC90" s="1179"/>
      <c r="AD90" s="227" t="s">
        <v>22</v>
      </c>
      <c r="AE90" s="1027" t="str">
        <f t="shared" si="52"/>
        <v>►</v>
      </c>
      <c r="AF90" s="1028" t="str">
        <f t="shared" si="53"/>
        <v/>
      </c>
      <c r="AG90" s="1029" t="str">
        <f t="shared" si="54"/>
        <v/>
      </c>
      <c r="AH90" s="1028" t="str">
        <f t="shared" si="55"/>
        <v/>
      </c>
      <c r="AI90" s="1029" t="str">
        <f t="shared" si="56"/>
        <v/>
      </c>
      <c r="AJ90" s="1029">
        <f t="shared" si="57"/>
        <v>0</v>
      </c>
      <c r="AK90" s="1043" t="str" cm="1">
        <f t="array" ref="AK90">IF(AE90&lt;&gt;"A","",IFERROR((IFERROR(_xlfn.XLOOKUP(TRIM(SUBSTITUTE(U90,CHAR(160)," ")),$BI$15:$BI$62,$BL$15:$BL$62),IFERROR(_xlfn.XLOOKUP(TRIM(SUBSTITUTE(U90,CHAR(160)," ")),$BJ$15:$BJ$62,$BL$15:$BL$62),_xlfn.XLOOKUP(TRIM(SUBSTITUTE(U90,CHAR(160)," ")),$BK$15:$BK$62,$BL$15:$BL$62))))*T90*IF(ISBLANK(Q90),1,Q90)+IFERROR(_xlfn.XLOOKUP("RECHERCHEX",TRIM(L90:AC90),L90:AC90),0),0))</f>
        <v/>
      </c>
      <c r="AL90" s="1030">
        <f t="shared" si="58"/>
        <v>0</v>
      </c>
      <c r="AM90" s="5254" t="str">
        <f t="shared" si="42"/>
        <v/>
      </c>
      <c r="AN90" s="1031">
        <f t="shared" si="59"/>
        <v>0</v>
      </c>
      <c r="AO90" s="1031">
        <f t="shared" si="60"/>
        <v>0</v>
      </c>
      <c r="AP90" s="1032">
        <f t="shared" si="61"/>
        <v>0</v>
      </c>
      <c r="AQ90" s="5255" t="str">
        <f t="shared" si="62"/>
        <v/>
      </c>
      <c r="AR90" s="1056"/>
      <c r="AS90" s="1056"/>
      <c r="AT90" s="1034">
        <f t="shared" si="63"/>
        <v>0</v>
      </c>
      <c r="AU90" s="1035">
        <f t="shared" si="64"/>
        <v>0</v>
      </c>
      <c r="AV90" s="1057" cm="1">
        <f t="array" ref="AV90">IF(AJ90&lt;&gt;1,0,IF(OR(AT90="",N(AT90)&lt;=0.000000001),"",IF(OR(AN90="",N(AN90)&lt;=0.000000001),0,IF(ISNUMBER(AT90),IFERROR(_xlfn.LET(_xlpm.ai_test,TRIM(AI90),_xlpm.r,IFERROR(_xlfn.XLOOKUP(_xlpm.ai_test,$BI$15:$BI$62,ROW($BI$15:$BI$62),0,1),IFERROR(_xlfn.XLOOKUP(_xlpm.ai_test,$BJ$15:$BJ$62,ROW($BJ$15:$BJ$62),0,1),_xlfn.XLOOKUP(_xlpm.ai_test,$BK$15:$BK$62,ROW($BK$15:$BK$62),0,1))),_xlpm.p,_xlpm.r-MIN(ROW($BI$15:$BI$62))+1,_xlpm.f,INDEX($BL$15:$BL$62,_xlpm.p),_xlpm.u,INDEX($BM$15:$BM$62,_xlpm.p),_xlpm.s,INDEX($BO$15:$BO$62,_xlpm.p),_xlpm.q,N(AT90)/_xlpm.f,IF(_xlpm.q&gt;=_xlpm.s,ROUND(_xlpm.q,1)&amp;" "&amp;_xlpm.ai_test&amp;" = "&amp;ROUND(_xlpm.q*_xlpm.f,1)&amp;" "&amp;_xlpm.u,ROUND(_xlpm.q,1)&amp;" "&amp;_xlpm.ai_test)),""),""))))</f>
        <v>0</v>
      </c>
      <c r="AW90" s="1047"/>
      <c r="AX90" s="1034">
        <f t="shared" si="65"/>
        <v>0</v>
      </c>
      <c r="AY90" s="1035" t="str">
        <f t="shared" si="66"/>
        <v/>
      </c>
      <c r="AZ90" s="1036">
        <f t="shared" si="71"/>
        <v>0</v>
      </c>
      <c r="BA90" s="1037" t="str">
        <f t="shared" si="67"/>
        <v/>
      </c>
      <c r="BB90" s="1038"/>
      <c r="BC90" s="1039">
        <f t="shared" si="40"/>
        <v>0</v>
      </c>
      <c r="BD90" s="1040" t="str">
        <f t="shared" si="68"/>
        <v/>
      </c>
      <c r="BE90" s="227" t="s">
        <v>22</v>
      </c>
      <c r="BF90" s="1019">
        <f t="shared" si="69"/>
        <v>0</v>
      </c>
      <c r="BG90" s="1020">
        <f t="shared" si="70"/>
        <v>0</v>
      </c>
      <c r="BI90" s="5539" t="s">
        <v>1965</v>
      </c>
      <c r="BJ90" s="5540"/>
      <c r="BK90" s="5540"/>
      <c r="BL90" s="5540"/>
      <c r="BM90" s="5540"/>
      <c r="BN90" s="5540"/>
      <c r="BO90" s="5540"/>
      <c r="BP90" s="5540"/>
      <c r="BQ90" s="5540"/>
      <c r="BR90" s="5540"/>
      <c r="BS90" s="5540"/>
      <c r="BT90" s="5540"/>
      <c r="BU90" s="5541"/>
      <c r="BV90"/>
      <c r="BW90" s="959" t="str">
        <f t="shared" si="49"/>
        <v>►</v>
      </c>
      <c r="BX90" s="1111" t="s">
        <v>1966</v>
      </c>
      <c r="BY90" s="276"/>
      <c r="BZ90" s="276"/>
      <c r="CA90" s="276"/>
      <c r="CB90" s="276"/>
      <c r="CC90" s="957"/>
      <c r="CD90"/>
      <c r="CE90"/>
      <c r="CF90"/>
      <c r="CG90"/>
      <c r="CH90"/>
      <c r="CI90"/>
      <c r="CJ90"/>
      <c r="CL90"/>
      <c r="CM90"/>
      <c r="CN90"/>
      <c r="CO90"/>
      <c r="CP90"/>
      <c r="CQ90"/>
      <c r="CR90"/>
      <c r="CT90"/>
      <c r="CU90"/>
      <c r="CV90"/>
      <c r="CW90"/>
      <c r="CX90"/>
      <c r="CY90"/>
      <c r="CZ90"/>
      <c r="DB90" s="3">
        <v>1</v>
      </c>
    </row>
    <row r="91" spans="1:106" s="709" customFormat="1" ht="21" customHeight="1">
      <c r="A91" s="936" t="s">
        <v>22</v>
      </c>
      <c r="B91" s="952" t="str">
        <f t="shared" si="48"/>
        <v>►</v>
      </c>
      <c r="C91" s="993" cm="1">
        <f t="array" ref="C91">SUMPRODUCT(LEN(D91:J91))</f>
        <v>0</v>
      </c>
      <c r="D91" s="167"/>
      <c r="E91" s="172"/>
      <c r="F91" s="172"/>
      <c r="G91" s="172"/>
      <c r="H91" s="172"/>
      <c r="I91" s="172"/>
      <c r="J91" s="173"/>
      <c r="K91" s="442" t="s">
        <v>22</v>
      </c>
      <c r="L91" s="104" t="s">
        <v>16</v>
      </c>
      <c r="M91" s="32" t="str">
        <f>M69</f>
        <v>T TERRINE DE PIEDS DE PORC pour tranches | | Auteur &gt; Guy KRENZE - Eric GODDYN - Arnaud NICOLAS - CEPROC 2002</v>
      </c>
      <c r="N91" s="33">
        <f>N69</f>
        <v>1</v>
      </c>
      <c r="O91" s="32" t="str">
        <f>O69</f>
        <v xml:space="preserve">moule L 30 cm X l 9 cm X H 6 cm </v>
      </c>
      <c r="P91" s="34" t="str">
        <f>P69</f>
        <v>Recette mère ► le Boudin en 4 déclinaisons</v>
      </c>
      <c r="Q91" s="142" t="s">
        <v>145</v>
      </c>
      <c r="R91" s="117" t="s">
        <v>107</v>
      </c>
      <c r="S91" s="141" t="s">
        <v>144</v>
      </c>
      <c r="T91" s="109" t="s">
        <v>150</v>
      </c>
      <c r="U91" s="109" t="s">
        <v>163</v>
      </c>
      <c r="V91" s="109" t="s">
        <v>103</v>
      </c>
      <c r="W91" s="109" t="s">
        <v>162</v>
      </c>
      <c r="X91" s="149" t="s">
        <v>160</v>
      </c>
      <c r="Y91" s="149" t="s">
        <v>117</v>
      </c>
      <c r="Z91" s="1061" t="s">
        <v>1831</v>
      </c>
      <c r="AA91" s="5211"/>
      <c r="AB91" s="1178"/>
      <c r="AC91" s="1179"/>
      <c r="AD91" s="227" t="s">
        <v>22</v>
      </c>
      <c r="AE91" s="1027" t="str">
        <f t="shared" si="52"/>
        <v>►</v>
      </c>
      <c r="AF91" s="1028" t="str">
        <f t="shared" si="53"/>
        <v/>
      </c>
      <c r="AG91" s="1029" t="str">
        <f t="shared" si="54"/>
        <v/>
      </c>
      <c r="AH91" s="1028" t="str">
        <f t="shared" si="55"/>
        <v/>
      </c>
      <c r="AI91" s="1029" t="str">
        <f t="shared" si="56"/>
        <v/>
      </c>
      <c r="AJ91" s="1029">
        <f t="shared" si="57"/>
        <v>0</v>
      </c>
      <c r="AK91" s="1043" t="str" cm="1">
        <f t="array" ref="AK91">IF(AE91&lt;&gt;"A","",IFERROR((IFERROR(_xlfn.XLOOKUP(TRIM(SUBSTITUTE(U91,CHAR(160)," ")),$BI$15:$BI$62,$BL$15:$BL$62),IFERROR(_xlfn.XLOOKUP(TRIM(SUBSTITUTE(U91,CHAR(160)," ")),$BJ$15:$BJ$62,$BL$15:$BL$62),_xlfn.XLOOKUP(TRIM(SUBSTITUTE(U91,CHAR(160)," ")),$BK$15:$BK$62,$BL$15:$BL$62))))*T91*IF(ISBLANK(Q91),1,Q91)+IFERROR(_xlfn.XLOOKUP("RECHERCHEX",TRIM(L91:AC91),L91:AC91),0),0))</f>
        <v/>
      </c>
      <c r="AL91" s="1030">
        <f t="shared" si="58"/>
        <v>0</v>
      </c>
      <c r="AM91" s="5254" t="str">
        <f t="shared" si="42"/>
        <v/>
      </c>
      <c r="AN91" s="1031">
        <f t="shared" si="59"/>
        <v>0</v>
      </c>
      <c r="AO91" s="1031">
        <f t="shared" si="60"/>
        <v>0</v>
      </c>
      <c r="AP91" s="1044">
        <f t="shared" si="61"/>
        <v>0</v>
      </c>
      <c r="AQ91" s="5257" t="str">
        <f t="shared" si="62"/>
        <v/>
      </c>
      <c r="AR91" s="1056"/>
      <c r="AS91" s="1056"/>
      <c r="AT91" s="1045">
        <f t="shared" si="63"/>
        <v>0</v>
      </c>
      <c r="AU91" s="1046">
        <f t="shared" si="64"/>
        <v>0</v>
      </c>
      <c r="AV91" s="1059" cm="1">
        <f t="array" ref="AV91">IF(AJ91&lt;&gt;1,0,IF(OR(AT91="",N(AT91)&lt;=0.000000001),"",IF(OR(AN91="",N(AN91)&lt;=0.000000001),0,IF(ISNUMBER(AT91),IFERROR(_xlfn.LET(_xlpm.ai_test,TRIM(AI91),_xlpm.r,IFERROR(_xlfn.XLOOKUP(_xlpm.ai_test,$BI$15:$BI$62,ROW($BI$15:$BI$62),0,1),IFERROR(_xlfn.XLOOKUP(_xlpm.ai_test,$BJ$15:$BJ$62,ROW($BJ$15:$BJ$62),0,1),_xlfn.XLOOKUP(_xlpm.ai_test,$BK$15:$BK$62,ROW($BK$15:$BK$62),0,1))),_xlpm.p,_xlpm.r-MIN(ROW($BI$15:$BI$62))+1,_xlpm.f,INDEX($BL$15:$BL$62,_xlpm.p),_xlpm.u,INDEX($BM$15:$BM$62,_xlpm.p),_xlpm.s,INDEX($BO$15:$BO$62,_xlpm.p),_xlpm.q,N(AT91)/_xlpm.f,IF(_xlpm.q&gt;=_xlpm.s,ROUND(_xlpm.q,1)&amp;" "&amp;_xlpm.ai_test&amp;" = "&amp;ROUND(_xlpm.q*_xlpm.f,1)&amp;" "&amp;_xlpm.u,ROUND(_xlpm.q,1)&amp;" "&amp;_xlpm.ai_test)),""),""))))</f>
        <v>0</v>
      </c>
      <c r="AW91" s="1047"/>
      <c r="AX91" s="1045">
        <f t="shared" si="65"/>
        <v>0</v>
      </c>
      <c r="AY91" s="1046" t="str">
        <f t="shared" si="66"/>
        <v/>
      </c>
      <c r="AZ91" s="1048">
        <f t="shared" si="71"/>
        <v>0</v>
      </c>
      <c r="BA91" s="1049" t="str">
        <f t="shared" si="67"/>
        <v/>
      </c>
      <c r="BB91" s="1038"/>
      <c r="BC91" s="1050">
        <f t="shared" ref="BC91:BC154" si="72">IF(OR(AN91=0,ISBLANK(BB91),ISTEXT(AZ91)),0,(IF(AT91=0,AZ91,AT91)*BB91))</f>
        <v>0</v>
      </c>
      <c r="BD91" s="1040" t="str">
        <f t="shared" si="68"/>
        <v/>
      </c>
      <c r="BE91" s="227" t="s">
        <v>22</v>
      </c>
      <c r="BF91" s="1019">
        <f t="shared" si="69"/>
        <v>0</v>
      </c>
      <c r="BG91" s="1020">
        <f t="shared" si="70"/>
        <v>0</v>
      </c>
      <c r="BI91" s="5542"/>
      <c r="BJ91" s="5543"/>
      <c r="BK91" s="5543"/>
      <c r="BL91" s="5543"/>
      <c r="BM91" s="5543"/>
      <c r="BN91" s="5543"/>
      <c r="BO91" s="5543"/>
      <c r="BP91" s="5543"/>
      <c r="BQ91" s="5543"/>
      <c r="BR91" s="5543"/>
      <c r="BS91" s="5543"/>
      <c r="BT91" s="5543"/>
      <c r="BU91" s="5544"/>
      <c r="BV91"/>
      <c r="BW91" s="959" t="str">
        <f t="shared" si="49"/>
        <v>►</v>
      </c>
      <c r="BX91" s="1112" t="s">
        <v>1967</v>
      </c>
      <c r="BY91" s="276"/>
      <c r="BZ91" s="276"/>
      <c r="CA91" s="276"/>
      <c r="CB91" s="276"/>
      <c r="CC91" s="957"/>
      <c r="CD91"/>
      <c r="CE91"/>
      <c r="CF91"/>
      <c r="CG91"/>
      <c r="CH91"/>
      <c r="CI91"/>
      <c r="CJ91"/>
      <c r="CL91"/>
      <c r="CM91"/>
      <c r="CN91"/>
      <c r="CO91"/>
      <c r="CP91"/>
      <c r="CQ91"/>
      <c r="CR91"/>
      <c r="CT91"/>
      <c r="CU91"/>
      <c r="CV91"/>
      <c r="CW91"/>
      <c r="CX91"/>
      <c r="CY91"/>
      <c r="CZ91"/>
      <c r="DB91" s="3">
        <v>1</v>
      </c>
    </row>
    <row r="92" spans="1:106" s="709" customFormat="1" ht="21" customHeight="1">
      <c r="A92" s="936" t="s">
        <v>22</v>
      </c>
      <c r="B92" s="952" t="str">
        <f t="shared" si="48"/>
        <v>►</v>
      </c>
      <c r="C92" s="993" cm="1">
        <f t="array" ref="C92">SUMPRODUCT(LEN(D92:J92))</f>
        <v>0</v>
      </c>
      <c r="D92" s="167"/>
      <c r="E92" s="172"/>
      <c r="F92" s="172"/>
      <c r="G92" s="172"/>
      <c r="H92" s="172"/>
      <c r="I92" s="172"/>
      <c r="J92" s="173"/>
      <c r="K92" s="442"/>
      <c r="L92" s="104" t="s">
        <v>16</v>
      </c>
      <c r="M92" s="32" t="str">
        <f>M69</f>
        <v>T TERRINE DE PIEDS DE PORC pour tranches | | Auteur &gt; Guy KRENZE - Eric GODDYN - Arnaud NICOLAS - CEPROC 2002</v>
      </c>
      <c r="N92" s="33">
        <f>N69</f>
        <v>1</v>
      </c>
      <c r="O92" s="32" t="str">
        <f>O69</f>
        <v xml:space="preserve">moule L 30 cm X l 9 cm X H 6 cm </v>
      </c>
      <c r="P92" s="34" t="str">
        <f>P69</f>
        <v>Recette mère ► le Boudin en 4 déclinaisons</v>
      </c>
      <c r="Q92" s="912">
        <v>0.25</v>
      </c>
      <c r="R92" s="912">
        <v>0.5</v>
      </c>
      <c r="S92" s="913">
        <v>0</v>
      </c>
      <c r="T92" s="914">
        <v>0.2</v>
      </c>
      <c r="U92" s="914">
        <v>0.1</v>
      </c>
      <c r="V92" s="914">
        <v>0.22500000000000001</v>
      </c>
      <c r="W92" s="914">
        <v>1.4999999999999999E-2</v>
      </c>
      <c r="X92" s="914">
        <v>4.9299999999999995E-3</v>
      </c>
      <c r="Y92" s="914">
        <v>0.35</v>
      </c>
      <c r="Z92" s="915">
        <v>0.25</v>
      </c>
      <c r="AA92" s="5211"/>
      <c r="AB92" s="1178"/>
      <c r="AC92" s="1179"/>
      <c r="AD92" s="227" t="s">
        <v>22</v>
      </c>
      <c r="AE92" s="1027" t="str">
        <f t="shared" si="52"/>
        <v>►</v>
      </c>
      <c r="AF92" s="1028" t="str">
        <f t="shared" si="53"/>
        <v/>
      </c>
      <c r="AG92" s="1029" t="str">
        <f t="shared" si="54"/>
        <v/>
      </c>
      <c r="AH92" s="1028" t="str">
        <f t="shared" si="55"/>
        <v/>
      </c>
      <c r="AI92" s="1029" t="str">
        <f t="shared" si="56"/>
        <v/>
      </c>
      <c r="AJ92" s="1029">
        <f t="shared" si="57"/>
        <v>0</v>
      </c>
      <c r="AK92" s="1043" t="str" cm="1">
        <f t="array" ref="AK92">IF(AE92&lt;&gt;"A","",IFERROR((IFERROR(_xlfn.XLOOKUP(TRIM(SUBSTITUTE(U92,CHAR(160)," ")),$BI$15:$BI$62,$BL$15:$BL$62),IFERROR(_xlfn.XLOOKUP(TRIM(SUBSTITUTE(U92,CHAR(160)," ")),$BJ$15:$BJ$62,$BL$15:$BL$62),_xlfn.XLOOKUP(TRIM(SUBSTITUTE(U92,CHAR(160)," ")),$BK$15:$BK$62,$BL$15:$BL$62))))*T92*IF(ISBLANK(Q92),1,Q92)+IFERROR(_xlfn.XLOOKUP("RECHERCHEX",TRIM(L92:AC92),L92:AC92),0),0))</f>
        <v/>
      </c>
      <c r="AL92" s="1030">
        <f t="shared" si="58"/>
        <v>0</v>
      </c>
      <c r="AM92" s="5254" t="str">
        <f t="shared" si="42"/>
        <v/>
      </c>
      <c r="AN92" s="1031">
        <f t="shared" si="59"/>
        <v>0</v>
      </c>
      <c r="AO92" s="1031">
        <f t="shared" si="60"/>
        <v>0</v>
      </c>
      <c r="AP92" s="1032">
        <f t="shared" si="61"/>
        <v>0</v>
      </c>
      <c r="AQ92" s="5255" t="str">
        <f t="shared" si="62"/>
        <v/>
      </c>
      <c r="AR92" s="1056"/>
      <c r="AS92" s="1056"/>
      <c r="AT92" s="1034">
        <f t="shared" si="63"/>
        <v>0</v>
      </c>
      <c r="AU92" s="1035">
        <f t="shared" si="64"/>
        <v>0</v>
      </c>
      <c r="AV92" s="1057" cm="1">
        <f t="array" ref="AV92">IF(AJ92&lt;&gt;1,0,IF(OR(AT92="",N(AT92)&lt;=0.000000001),"",IF(OR(AN92="",N(AN92)&lt;=0.000000001),0,IF(ISNUMBER(AT92),IFERROR(_xlfn.LET(_xlpm.ai_test,TRIM(AI92),_xlpm.r,IFERROR(_xlfn.XLOOKUP(_xlpm.ai_test,$BI$15:$BI$62,ROW($BI$15:$BI$62),0,1),IFERROR(_xlfn.XLOOKUP(_xlpm.ai_test,$BJ$15:$BJ$62,ROW($BJ$15:$BJ$62),0,1),_xlfn.XLOOKUP(_xlpm.ai_test,$BK$15:$BK$62,ROW($BK$15:$BK$62),0,1))),_xlpm.p,_xlpm.r-MIN(ROW($BI$15:$BI$62))+1,_xlpm.f,INDEX($BL$15:$BL$62,_xlpm.p),_xlpm.u,INDEX($BM$15:$BM$62,_xlpm.p),_xlpm.s,INDEX($BO$15:$BO$62,_xlpm.p),_xlpm.q,N(AT92)/_xlpm.f,IF(_xlpm.q&gt;=_xlpm.s,ROUND(_xlpm.q,1)&amp;" "&amp;_xlpm.ai_test&amp;" = "&amp;ROUND(_xlpm.q*_xlpm.f,1)&amp;" "&amp;_xlpm.u,ROUND(_xlpm.q,1)&amp;" "&amp;_xlpm.ai_test)),""),""))))</f>
        <v>0</v>
      </c>
      <c r="AW92" s="1047"/>
      <c r="AX92" s="1034">
        <f t="shared" si="65"/>
        <v>0</v>
      </c>
      <c r="AY92" s="1035" t="str">
        <f t="shared" si="66"/>
        <v/>
      </c>
      <c r="AZ92" s="1036">
        <f t="shared" si="71"/>
        <v>0</v>
      </c>
      <c r="BA92" s="1037" t="str">
        <f t="shared" si="67"/>
        <v/>
      </c>
      <c r="BB92" s="1038"/>
      <c r="BC92" s="1039">
        <f t="shared" si="72"/>
        <v>0</v>
      </c>
      <c r="BD92" s="1040" t="str">
        <f t="shared" si="68"/>
        <v/>
      </c>
      <c r="BE92" s="227" t="s">
        <v>22</v>
      </c>
      <c r="BF92" s="1019">
        <f t="shared" si="69"/>
        <v>0</v>
      </c>
      <c r="BG92" s="1020">
        <f t="shared" si="70"/>
        <v>0</v>
      </c>
      <c r="BI92" s="709" t="s">
        <v>2622</v>
      </c>
      <c r="BV92"/>
      <c r="BW92" s="959" t="str">
        <f t="shared" si="49"/>
        <v>►</v>
      </c>
      <c r="BX92" s="1113" t="s">
        <v>1968</v>
      </c>
      <c r="BY92" s="276"/>
      <c r="BZ92" s="276"/>
      <c r="CA92" s="276"/>
      <c r="CB92" s="276"/>
      <c r="CC92" s="957"/>
      <c r="CD92"/>
      <c r="CE92"/>
      <c r="CF92"/>
      <c r="CG92"/>
      <c r="CH92"/>
      <c r="CI92"/>
      <c r="CJ92"/>
      <c r="CL92"/>
      <c r="CM92"/>
      <c r="CN92"/>
      <c r="CO92"/>
      <c r="CP92"/>
      <c r="CQ92"/>
      <c r="CR92"/>
      <c r="CT92"/>
      <c r="CU92"/>
      <c r="CV92"/>
      <c r="CW92"/>
      <c r="CX92"/>
      <c r="CY92"/>
      <c r="CZ92"/>
      <c r="DB92" s="3">
        <v>1</v>
      </c>
    </row>
    <row r="93" spans="1:106" s="709" customFormat="1" ht="21" customHeight="1">
      <c r="A93" s="936" t="s">
        <v>22</v>
      </c>
      <c r="B93" s="952" t="str">
        <f t="shared" si="48"/>
        <v>►</v>
      </c>
      <c r="C93" s="993" cm="1">
        <f t="array" ref="C93">SUMPRODUCT(LEN(D93:J93))</f>
        <v>0</v>
      </c>
      <c r="D93" s="167"/>
      <c r="E93" s="172"/>
      <c r="F93" s="172"/>
      <c r="G93" s="172"/>
      <c r="H93" s="172"/>
      <c r="I93" s="172"/>
      <c r="J93" s="173"/>
      <c r="K93" s="442"/>
      <c r="L93" s="104" t="s">
        <v>16</v>
      </c>
      <c r="M93" s="32" t="str">
        <f>M69</f>
        <v>T TERRINE DE PIEDS DE PORC pour tranches | | Auteur &gt; Guy KRENZE - Eric GODDYN - Arnaud NICOLAS - CEPROC 2002</v>
      </c>
      <c r="N93" s="33">
        <f>N69</f>
        <v>1</v>
      </c>
      <c r="O93" s="32" t="str">
        <f>O69</f>
        <v xml:space="preserve">moule L 30 cm X l 9 cm X H 6 cm </v>
      </c>
      <c r="P93" s="34" t="str">
        <f>P69</f>
        <v>Recette mère ► le Boudin en 4 déclinaisons</v>
      </c>
      <c r="Q93" s="154" t="str">
        <f>Q70</f>
        <v>Col.6</v>
      </c>
      <c r="R93" s="154" t="str">
        <f>R70</f>
        <v>Col.7</v>
      </c>
      <c r="S93" s="155" t="s">
        <v>3295</v>
      </c>
      <c r="T93" s="155"/>
      <c r="U93" s="155"/>
      <c r="V93" s="155"/>
      <c r="W93" s="155"/>
      <c r="X93" s="155"/>
      <c r="Y93" s="155"/>
      <c r="Z93" s="1477"/>
      <c r="AA93" s="5211"/>
      <c r="AB93" s="1178"/>
      <c r="AC93" s="1179"/>
      <c r="AD93" s="227" t="s">
        <v>22</v>
      </c>
      <c r="AE93" s="1027" t="str">
        <f t="shared" si="52"/>
        <v>►</v>
      </c>
      <c r="AF93" s="1028" t="str">
        <f t="shared" si="53"/>
        <v/>
      </c>
      <c r="AG93" s="1029" t="str">
        <f t="shared" si="54"/>
        <v/>
      </c>
      <c r="AH93" s="1028" t="str">
        <f t="shared" si="55"/>
        <v/>
      </c>
      <c r="AI93" s="1029" t="str">
        <f t="shared" si="56"/>
        <v/>
      </c>
      <c r="AJ93" s="1029">
        <f t="shared" si="57"/>
        <v>0</v>
      </c>
      <c r="AK93" s="1043" t="str" cm="1">
        <f t="array" ref="AK93">IF(AE93&lt;&gt;"A","",IFERROR((IFERROR(_xlfn.XLOOKUP(TRIM(SUBSTITUTE(U93,CHAR(160)," ")),$BI$15:$BI$62,$BL$15:$BL$62),IFERROR(_xlfn.XLOOKUP(TRIM(SUBSTITUTE(U93,CHAR(160)," ")),$BJ$15:$BJ$62,$BL$15:$BL$62),_xlfn.XLOOKUP(TRIM(SUBSTITUTE(U93,CHAR(160)," ")),$BK$15:$BK$62,$BL$15:$BL$62))))*T93*IF(ISBLANK(Q93),1,Q93)+IFERROR(_xlfn.XLOOKUP("RECHERCHEX",TRIM(L93:AC93),L93:AC93),0),0))</f>
        <v/>
      </c>
      <c r="AL93" s="1030">
        <f t="shared" si="58"/>
        <v>0</v>
      </c>
      <c r="AM93" s="5254" t="str">
        <f t="shared" si="42"/>
        <v/>
      </c>
      <c r="AN93" s="1031">
        <f t="shared" si="59"/>
        <v>0</v>
      </c>
      <c r="AO93" s="1031">
        <f t="shared" si="60"/>
        <v>0</v>
      </c>
      <c r="AP93" s="1044">
        <f t="shared" si="61"/>
        <v>0</v>
      </c>
      <c r="AQ93" s="5257" t="str">
        <f t="shared" si="62"/>
        <v/>
      </c>
      <c r="AR93" s="1056"/>
      <c r="AS93" s="1056"/>
      <c r="AT93" s="1045">
        <f t="shared" si="63"/>
        <v>0</v>
      </c>
      <c r="AU93" s="1046">
        <f t="shared" si="64"/>
        <v>0</v>
      </c>
      <c r="AV93" s="1059" cm="1">
        <f t="array" ref="AV93">IF(AJ93&lt;&gt;1,0,IF(OR(AT93="",N(AT93)&lt;=0.000000001),"",IF(OR(AN93="",N(AN93)&lt;=0.000000001),0,IF(ISNUMBER(AT93),IFERROR(_xlfn.LET(_xlpm.ai_test,TRIM(AI93),_xlpm.r,IFERROR(_xlfn.XLOOKUP(_xlpm.ai_test,$BI$15:$BI$62,ROW($BI$15:$BI$62),0,1),IFERROR(_xlfn.XLOOKUP(_xlpm.ai_test,$BJ$15:$BJ$62,ROW($BJ$15:$BJ$62),0,1),_xlfn.XLOOKUP(_xlpm.ai_test,$BK$15:$BK$62,ROW($BK$15:$BK$62),0,1))),_xlpm.p,_xlpm.r-MIN(ROW($BI$15:$BI$62))+1,_xlpm.f,INDEX($BL$15:$BL$62,_xlpm.p),_xlpm.u,INDEX($BM$15:$BM$62,_xlpm.p),_xlpm.s,INDEX($BO$15:$BO$62,_xlpm.p),_xlpm.q,N(AT93)/_xlpm.f,IF(_xlpm.q&gt;=_xlpm.s,ROUND(_xlpm.q,1)&amp;" "&amp;_xlpm.ai_test&amp;" = "&amp;ROUND(_xlpm.q*_xlpm.f,1)&amp;" "&amp;_xlpm.u,ROUND(_xlpm.q,1)&amp;" "&amp;_xlpm.ai_test)),""),""))))</f>
        <v>0</v>
      </c>
      <c r="AW93" s="1047"/>
      <c r="AX93" s="1045">
        <f t="shared" si="65"/>
        <v>0</v>
      </c>
      <c r="AY93" s="1046" t="str">
        <f t="shared" si="66"/>
        <v/>
      </c>
      <c r="AZ93" s="1048">
        <f t="shared" si="71"/>
        <v>0</v>
      </c>
      <c r="BA93" s="1049" t="str">
        <f t="shared" si="67"/>
        <v/>
      </c>
      <c r="BB93" s="1038"/>
      <c r="BC93" s="1050">
        <f t="shared" si="72"/>
        <v>0</v>
      </c>
      <c r="BD93" s="1040" t="str">
        <f t="shared" si="68"/>
        <v/>
      </c>
      <c r="BE93" s="227" t="s">
        <v>22</v>
      </c>
      <c r="BF93" s="1019">
        <f t="shared" si="69"/>
        <v>0</v>
      </c>
      <c r="BG93" s="1020">
        <f t="shared" si="70"/>
        <v>0</v>
      </c>
      <c r="BI93" s="5251" t="s">
        <v>143</v>
      </c>
      <c r="BJ93" s="5191" t="s">
        <v>99</v>
      </c>
      <c r="BK93" s="5196" t="s">
        <v>1346</v>
      </c>
      <c r="BL93" s="5192" t="s">
        <v>1338</v>
      </c>
      <c r="BM93" s="5192" t="s">
        <v>1339</v>
      </c>
      <c r="BN93" s="5192" t="s">
        <v>1340</v>
      </c>
      <c r="BO93" s="5258" t="s">
        <v>0</v>
      </c>
      <c r="BP93" s="5193" t="s">
        <v>96</v>
      </c>
      <c r="BQ93" s="5193" t="s">
        <v>147</v>
      </c>
      <c r="BR93" s="5258" t="s">
        <v>148</v>
      </c>
      <c r="BS93" s="5194" t="s">
        <v>1341</v>
      </c>
      <c r="BT93" s="5194" t="s">
        <v>1342</v>
      </c>
      <c r="BU93" s="5198" t="s">
        <v>1343</v>
      </c>
      <c r="BV93"/>
      <c r="BW93" s="959" t="str">
        <f t="shared" si="49"/>
        <v>►</v>
      </c>
      <c r="BX93" s="1112" t="s">
        <v>1969</v>
      </c>
      <c r="BY93" s="276"/>
      <c r="BZ93" s="276"/>
      <c r="CA93" s="276"/>
      <c r="CB93" s="276"/>
      <c r="CC93" s="957"/>
      <c r="CD93"/>
      <c r="CE93"/>
      <c r="CF93"/>
      <c r="CG93"/>
      <c r="CH93"/>
      <c r="CI93"/>
      <c r="CJ93"/>
      <c r="CL93"/>
      <c r="CM93"/>
      <c r="CN93"/>
      <c r="CO93"/>
      <c r="CP93"/>
      <c r="CQ93"/>
      <c r="CR93"/>
      <c r="CT93"/>
      <c r="CU93"/>
      <c r="CV93"/>
      <c r="CW93"/>
      <c r="CX93"/>
      <c r="CY93"/>
      <c r="CZ93"/>
      <c r="DB93" s="3">
        <v>1</v>
      </c>
    </row>
    <row r="94" spans="1:106" s="709" customFormat="1" ht="21" customHeight="1">
      <c r="A94" s="936" t="s">
        <v>22</v>
      </c>
      <c r="B94" s="952" t="str">
        <f t="shared" si="48"/>
        <v>►</v>
      </c>
      <c r="C94" s="993" cm="1">
        <f t="array" ref="C94">SUMPRODUCT(LEN(D94:J94))</f>
        <v>0</v>
      </c>
      <c r="D94" s="167"/>
      <c r="E94" s="172"/>
      <c r="F94" s="172"/>
      <c r="G94" s="172"/>
      <c r="H94" s="172"/>
      <c r="I94" s="172"/>
      <c r="J94" s="173"/>
      <c r="K94" s="442"/>
      <c r="L94" s="104" t="s">
        <v>16</v>
      </c>
      <c r="M94" s="157" t="str">
        <f>M69</f>
        <v>T TERRINE DE PIEDS DE PORC pour tranches | | Auteur &gt; Guy KRENZE - Eric GODDYN - Arnaud NICOLAS - CEPROC 2002</v>
      </c>
      <c r="N94" s="157">
        <f>N69</f>
        <v>1</v>
      </c>
      <c r="O94" s="158" t="str">
        <f>O69</f>
        <v xml:space="preserve">moule L 30 cm X l 9 cm X H 6 cm </v>
      </c>
      <c r="P94" s="159" t="str">
        <f>P69</f>
        <v>Recette mère ► le Boudin en 4 déclinaisons</v>
      </c>
      <c r="Q94" s="160" t="s">
        <v>167</v>
      </c>
      <c r="R94" s="1483" t="s">
        <v>3328</v>
      </c>
      <c r="S94" s="162"/>
      <c r="T94" s="162"/>
      <c r="U94" s="172"/>
      <c r="V94" s="172"/>
      <c r="W94" s="172"/>
      <c r="X94" s="172"/>
      <c r="Y94" s="156" t="s">
        <v>165</v>
      </c>
      <c r="Z94" s="1484" t="s">
        <v>166</v>
      </c>
      <c r="AA94" s="5211"/>
      <c r="AB94" s="1178"/>
      <c r="AC94" s="1179"/>
      <c r="AD94" s="227" t="s">
        <v>22</v>
      </c>
      <c r="AE94" s="1027" t="str">
        <f t="shared" si="52"/>
        <v>►</v>
      </c>
      <c r="AF94" s="1028" t="str">
        <f t="shared" si="53"/>
        <v/>
      </c>
      <c r="AG94" s="1029" t="str">
        <f t="shared" si="54"/>
        <v/>
      </c>
      <c r="AH94" s="1028" t="str">
        <f t="shared" si="55"/>
        <v/>
      </c>
      <c r="AI94" s="1029" t="str">
        <f t="shared" si="56"/>
        <v/>
      </c>
      <c r="AJ94" s="1029">
        <f t="shared" si="57"/>
        <v>0</v>
      </c>
      <c r="AK94" s="1043" t="str" cm="1">
        <f t="array" ref="AK94">IF(AE94&lt;&gt;"A","",IFERROR((IFERROR(_xlfn.XLOOKUP(TRIM(SUBSTITUTE(U94,CHAR(160)," ")),$BI$15:$BI$62,$BL$15:$BL$62),IFERROR(_xlfn.XLOOKUP(TRIM(SUBSTITUTE(U94,CHAR(160)," ")),$BJ$15:$BJ$62,$BL$15:$BL$62),_xlfn.XLOOKUP(TRIM(SUBSTITUTE(U94,CHAR(160)," ")),$BK$15:$BK$62,$BL$15:$BL$62))))*T94*IF(ISBLANK(Q94),1,Q94)+IFERROR(_xlfn.XLOOKUP("RECHERCHEX",TRIM(L94:AC94),L94:AC94),0),0))</f>
        <v/>
      </c>
      <c r="AL94" s="1030">
        <f t="shared" si="58"/>
        <v>0</v>
      </c>
      <c r="AM94" s="5254" t="str">
        <f t="shared" ref="AM94:AM157" si="73">IF(AE94="A","❾ Author reference &gt;","")</f>
        <v/>
      </c>
      <c r="AN94" s="1031">
        <f t="shared" si="59"/>
        <v>0</v>
      </c>
      <c r="AO94" s="1031">
        <f t="shared" si="60"/>
        <v>0</v>
      </c>
      <c r="AP94" s="1032">
        <f t="shared" si="61"/>
        <v>0</v>
      </c>
      <c r="AQ94" s="5255" t="str">
        <f t="shared" si="62"/>
        <v/>
      </c>
      <c r="AR94" s="1056"/>
      <c r="AS94" s="1056"/>
      <c r="AT94" s="1034">
        <f t="shared" si="63"/>
        <v>0</v>
      </c>
      <c r="AU94" s="1035">
        <f t="shared" si="64"/>
        <v>0</v>
      </c>
      <c r="AV94" s="1057" cm="1">
        <f t="array" ref="AV94">IF(AJ94&lt;&gt;1,0,IF(OR(AT94="",N(AT94)&lt;=0.000000001),"",IF(OR(AN94="",N(AN94)&lt;=0.000000001),0,IF(ISNUMBER(AT94),IFERROR(_xlfn.LET(_xlpm.ai_test,TRIM(AI94),_xlpm.r,IFERROR(_xlfn.XLOOKUP(_xlpm.ai_test,$BI$15:$BI$62,ROW($BI$15:$BI$62),0,1),IFERROR(_xlfn.XLOOKUP(_xlpm.ai_test,$BJ$15:$BJ$62,ROW($BJ$15:$BJ$62),0,1),_xlfn.XLOOKUP(_xlpm.ai_test,$BK$15:$BK$62,ROW($BK$15:$BK$62),0,1))),_xlpm.p,_xlpm.r-MIN(ROW($BI$15:$BI$62))+1,_xlpm.f,INDEX($BL$15:$BL$62,_xlpm.p),_xlpm.u,INDEX($BM$15:$BM$62,_xlpm.p),_xlpm.s,INDEX($BO$15:$BO$62,_xlpm.p),_xlpm.q,N(AT94)/_xlpm.f,IF(_xlpm.q&gt;=_xlpm.s,ROUND(_xlpm.q,1)&amp;" "&amp;_xlpm.ai_test&amp;" = "&amp;ROUND(_xlpm.q*_xlpm.f,1)&amp;" "&amp;_xlpm.u,ROUND(_xlpm.q,1)&amp;" "&amp;_xlpm.ai_test)),""),""))))</f>
        <v>0</v>
      </c>
      <c r="AW94" s="1047"/>
      <c r="AX94" s="1034">
        <f t="shared" si="65"/>
        <v>0</v>
      </c>
      <c r="AY94" s="1035" t="str">
        <f t="shared" si="66"/>
        <v/>
      </c>
      <c r="AZ94" s="1036">
        <f t="shared" si="71"/>
        <v>0</v>
      </c>
      <c r="BA94" s="1037" t="str">
        <f t="shared" si="67"/>
        <v/>
      </c>
      <c r="BB94" s="1038"/>
      <c r="BC94" s="1039">
        <f t="shared" si="72"/>
        <v>0</v>
      </c>
      <c r="BD94" s="1040" t="str">
        <f t="shared" si="68"/>
        <v/>
      </c>
      <c r="BE94" s="227" t="s">
        <v>22</v>
      </c>
      <c r="BF94" s="1019">
        <f t="shared" si="69"/>
        <v>0</v>
      </c>
      <c r="BG94" s="1020">
        <f t="shared" si="70"/>
        <v>0</v>
      </c>
      <c r="BI94" s="5199">
        <v>1</v>
      </c>
      <c r="BJ94" s="5227">
        <v>1E-3</v>
      </c>
      <c r="BK94" s="5228">
        <v>0</v>
      </c>
      <c r="BL94" s="5227">
        <v>0.25</v>
      </c>
      <c r="BM94" s="5227">
        <v>0.33332999999999996</v>
      </c>
      <c r="BN94" s="5227">
        <v>0.5</v>
      </c>
      <c r="BO94" s="5229">
        <v>1</v>
      </c>
      <c r="BP94" s="5229">
        <v>0.1</v>
      </c>
      <c r="BQ94" s="5229">
        <v>0.01</v>
      </c>
      <c r="BR94" s="5229">
        <v>1E-3</v>
      </c>
      <c r="BS94" s="5229">
        <v>0.5</v>
      </c>
      <c r="BT94" s="5229">
        <v>0.33300000000000002</v>
      </c>
      <c r="BU94" s="5206">
        <v>0.2</v>
      </c>
      <c r="BV94"/>
      <c r="BW94" s="959" t="str">
        <f t="shared" si="49"/>
        <v>►</v>
      </c>
      <c r="BX94" s="1116" t="s">
        <v>1970</v>
      </c>
      <c r="BY94" s="48"/>
      <c r="BZ94" s="48"/>
      <c r="CA94" s="48"/>
      <c r="CB94" s="48"/>
      <c r="CC94" s="957"/>
      <c r="CD94"/>
      <c r="CE94"/>
      <c r="CF94"/>
      <c r="CG94"/>
      <c r="CH94"/>
      <c r="CI94"/>
      <c r="CJ94"/>
      <c r="CK94"/>
      <c r="CL94"/>
      <c r="CM94"/>
      <c r="CN94"/>
      <c r="CO94"/>
      <c r="CP94"/>
      <c r="CQ94"/>
      <c r="CR94"/>
      <c r="CS94"/>
      <c r="CT94"/>
      <c r="CU94"/>
      <c r="CV94"/>
      <c r="CW94"/>
      <c r="CX94"/>
      <c r="CY94"/>
      <c r="CZ94"/>
      <c r="DB94" s="3">
        <v>1</v>
      </c>
    </row>
    <row r="95" spans="1:106" s="709" customFormat="1" ht="21" customHeight="1">
      <c r="A95" s="936" t="s">
        <v>22</v>
      </c>
      <c r="B95" s="952" t="str">
        <f t="shared" si="48"/>
        <v>►</v>
      </c>
      <c r="C95" s="993" cm="1">
        <f t="array" ref="C95">SUMPRODUCT(LEN(D95:J95))</f>
        <v>0</v>
      </c>
      <c r="D95" s="167"/>
      <c r="E95" s="172"/>
      <c r="F95" s="172"/>
      <c r="G95" s="172"/>
      <c r="H95" s="172"/>
      <c r="I95" s="172"/>
      <c r="J95" s="173"/>
      <c r="K95" s="442"/>
      <c r="L95" s="104" t="s">
        <v>16</v>
      </c>
      <c r="M95" s="157" t="str">
        <f>M69</f>
        <v>T TERRINE DE PIEDS DE PORC pour tranches | | Auteur &gt; Guy KRENZE - Eric GODDYN - Arnaud NICOLAS - CEPROC 2002</v>
      </c>
      <c r="N95" s="157">
        <f>N69</f>
        <v>1</v>
      </c>
      <c r="O95" s="158" t="str">
        <f>O69</f>
        <v xml:space="preserve">moule L 30 cm X l 9 cm X H 6 cm </v>
      </c>
      <c r="P95" s="159" t="str">
        <f>P69</f>
        <v>Recette mère ► le Boudin en 4 déclinaisons</v>
      </c>
      <c r="Q95" s="172"/>
      <c r="R95" s="172"/>
      <c r="S95" s="172"/>
      <c r="T95" s="172"/>
      <c r="U95" s="172"/>
      <c r="V95" s="172"/>
      <c r="W95" s="172"/>
      <c r="X95" s="172"/>
      <c r="Y95" s="1474" t="s">
        <v>168</v>
      </c>
      <c r="Z95" s="1482" t="s">
        <v>668</v>
      </c>
      <c r="AA95" s="5211"/>
      <c r="AB95" s="1178"/>
      <c r="AC95" s="1179"/>
      <c r="AD95" s="227" t="s">
        <v>22</v>
      </c>
      <c r="AE95" s="1027" t="str">
        <f t="shared" si="52"/>
        <v>►</v>
      </c>
      <c r="AF95" s="1028" t="str">
        <f t="shared" si="53"/>
        <v/>
      </c>
      <c r="AG95" s="1029" t="str">
        <f t="shared" si="54"/>
        <v/>
      </c>
      <c r="AH95" s="1028" t="str">
        <f t="shared" si="55"/>
        <v/>
      </c>
      <c r="AI95" s="1029" t="str">
        <f t="shared" si="56"/>
        <v/>
      </c>
      <c r="AJ95" s="1029">
        <f t="shared" si="57"/>
        <v>0</v>
      </c>
      <c r="AK95" s="1043" t="str" cm="1">
        <f t="array" ref="AK95">IF(AE95&lt;&gt;"A","",IFERROR((IFERROR(_xlfn.XLOOKUP(TRIM(SUBSTITUTE(U95,CHAR(160)," ")),$BI$15:$BI$62,$BL$15:$BL$62),IFERROR(_xlfn.XLOOKUP(TRIM(SUBSTITUTE(U95,CHAR(160)," ")),$BJ$15:$BJ$62,$BL$15:$BL$62),_xlfn.XLOOKUP(TRIM(SUBSTITUTE(U95,CHAR(160)," ")),$BK$15:$BK$62,$BL$15:$BL$62))))*T95*IF(ISBLANK(Q95),1,Q95)+IFERROR(_xlfn.XLOOKUP("RECHERCHEX",TRIM(L95:AC95),L95:AC95),0),0))</f>
        <v/>
      </c>
      <c r="AL95" s="1030">
        <f t="shared" si="58"/>
        <v>0</v>
      </c>
      <c r="AM95" s="5254" t="str">
        <f t="shared" si="73"/>
        <v/>
      </c>
      <c r="AN95" s="1031">
        <f t="shared" si="59"/>
        <v>0</v>
      </c>
      <c r="AO95" s="1031">
        <f t="shared" si="60"/>
        <v>0</v>
      </c>
      <c r="AP95" s="1044">
        <f t="shared" si="61"/>
        <v>0</v>
      </c>
      <c r="AQ95" s="5257" t="str">
        <f t="shared" si="62"/>
        <v/>
      </c>
      <c r="AR95" s="1056"/>
      <c r="AS95" s="1056"/>
      <c r="AT95" s="1045">
        <f t="shared" si="63"/>
        <v>0</v>
      </c>
      <c r="AU95" s="1046">
        <f t="shared" si="64"/>
        <v>0</v>
      </c>
      <c r="AV95" s="1059" cm="1">
        <f t="array" ref="AV95">IF(AJ95&lt;&gt;1,0,IF(OR(AT95="",N(AT95)&lt;=0.000000001),"",IF(OR(AN95="",N(AN95)&lt;=0.000000001),0,IF(ISNUMBER(AT95),IFERROR(_xlfn.LET(_xlpm.ai_test,TRIM(AI95),_xlpm.r,IFERROR(_xlfn.XLOOKUP(_xlpm.ai_test,$BI$15:$BI$62,ROW($BI$15:$BI$62),0,1),IFERROR(_xlfn.XLOOKUP(_xlpm.ai_test,$BJ$15:$BJ$62,ROW($BJ$15:$BJ$62),0,1),_xlfn.XLOOKUP(_xlpm.ai_test,$BK$15:$BK$62,ROW($BK$15:$BK$62),0,1))),_xlpm.p,_xlpm.r-MIN(ROW($BI$15:$BI$62))+1,_xlpm.f,INDEX($BL$15:$BL$62,_xlpm.p),_xlpm.u,INDEX($BM$15:$BM$62,_xlpm.p),_xlpm.s,INDEX($BO$15:$BO$62,_xlpm.p),_xlpm.q,N(AT95)/_xlpm.f,IF(_xlpm.q&gt;=_xlpm.s,ROUND(_xlpm.q,1)&amp;" "&amp;_xlpm.ai_test&amp;" = "&amp;ROUND(_xlpm.q*_xlpm.f,1)&amp;" "&amp;_xlpm.u,ROUND(_xlpm.q,1)&amp;" "&amp;_xlpm.ai_test)),""),""))))</f>
        <v>0</v>
      </c>
      <c r="AW95" s="1047"/>
      <c r="AX95" s="1045">
        <f t="shared" si="65"/>
        <v>0</v>
      </c>
      <c r="AY95" s="1046" t="str">
        <f t="shared" si="66"/>
        <v/>
      </c>
      <c r="AZ95" s="1048">
        <f t="shared" si="71"/>
        <v>0</v>
      </c>
      <c r="BA95" s="1049" t="str">
        <f t="shared" si="67"/>
        <v/>
      </c>
      <c r="BB95" s="1038"/>
      <c r="BC95" s="1050">
        <f t="shared" si="72"/>
        <v>0</v>
      </c>
      <c r="BD95" s="1040" t="str">
        <f t="shared" si="68"/>
        <v/>
      </c>
      <c r="BE95" s="227" t="s">
        <v>22</v>
      </c>
      <c r="BF95" s="1019">
        <f t="shared" si="69"/>
        <v>0</v>
      </c>
      <c r="BG95" s="1020">
        <f t="shared" si="70"/>
        <v>0</v>
      </c>
      <c r="BI95" s="5200" t="s">
        <v>1344</v>
      </c>
      <c r="BJ95" s="5200" t="s">
        <v>1345</v>
      </c>
      <c r="BK95" s="5196" t="s">
        <v>1346</v>
      </c>
      <c r="BL95" s="5200" t="s">
        <v>1347</v>
      </c>
      <c r="BM95" s="5200" t="s">
        <v>1348</v>
      </c>
      <c r="BN95" s="5200" t="s">
        <v>1349</v>
      </c>
      <c r="BO95" s="5201" t="s">
        <v>1350</v>
      </c>
      <c r="BP95" s="5202" t="s">
        <v>1351</v>
      </c>
      <c r="BQ95" s="5202" t="s">
        <v>1352</v>
      </c>
      <c r="BR95" s="5194" t="s">
        <v>1353</v>
      </c>
      <c r="BS95" s="5194" t="s">
        <v>1354</v>
      </c>
      <c r="BT95" s="5194" t="s">
        <v>1355</v>
      </c>
      <c r="BU95" s="5262" t="s">
        <v>1356</v>
      </c>
      <c r="BV95"/>
      <c r="BW95" s="959" t="str">
        <f t="shared" si="49"/>
        <v>►</v>
      </c>
      <c r="BX95" s="1117" t="s">
        <v>1964</v>
      </c>
      <c r="BY95" s="276"/>
      <c r="BZ95" s="276"/>
      <c r="CA95" s="48"/>
      <c r="CB95" s="48"/>
      <c r="CC95" s="957"/>
      <c r="CD95"/>
      <c r="CE95"/>
      <c r="CF95"/>
      <c r="CG95"/>
      <c r="CH95"/>
      <c r="CI95"/>
      <c r="CJ95"/>
      <c r="CK95"/>
      <c r="CL95"/>
      <c r="CM95"/>
      <c r="CN95"/>
      <c r="CO95"/>
      <c r="CP95"/>
      <c r="CQ95"/>
      <c r="CR95"/>
      <c r="CS95"/>
      <c r="CT95"/>
      <c r="CU95"/>
      <c r="CV95"/>
      <c r="CW95"/>
      <c r="CX95"/>
      <c r="CY95"/>
      <c r="CZ95"/>
      <c r="DB95" s="3">
        <v>1</v>
      </c>
    </row>
    <row r="96" spans="1:106" s="709" customFormat="1" ht="21" customHeight="1">
      <c r="A96" s="936" t="s">
        <v>22</v>
      </c>
      <c r="B96" s="952" t="str">
        <f t="shared" si="48"/>
        <v>►</v>
      </c>
      <c r="C96" s="993" cm="1">
        <f t="array" ref="C96">SUMPRODUCT(LEN(D96:J96))</f>
        <v>0</v>
      </c>
      <c r="D96" s="167"/>
      <c r="E96" s="172"/>
      <c r="F96" s="172"/>
      <c r="G96" s="172"/>
      <c r="H96" s="172"/>
      <c r="I96" s="172"/>
      <c r="J96" s="173"/>
      <c r="K96" s="442"/>
      <c r="L96" s="104" t="s">
        <v>16</v>
      </c>
      <c r="M96" s="157" t="str">
        <f>M69</f>
        <v>T TERRINE DE PIEDS DE PORC pour tranches | | Auteur &gt; Guy KRENZE - Eric GODDYN - Arnaud NICOLAS - CEPROC 2002</v>
      </c>
      <c r="N96" s="157">
        <f>N69</f>
        <v>1</v>
      </c>
      <c r="O96" s="158" t="str">
        <f>O69</f>
        <v xml:space="preserve">moule L 30 cm X l 9 cm X H 6 cm </v>
      </c>
      <c r="P96" s="159" t="str">
        <f>P69</f>
        <v>Recette mère ► le Boudin en 4 déclinaisons</v>
      </c>
      <c r="Q96" s="172" t="s">
        <v>12856</v>
      </c>
      <c r="R96" s="172"/>
      <c r="S96" s="172"/>
      <c r="T96" s="172"/>
      <c r="U96" s="172"/>
      <c r="V96" s="172"/>
      <c r="W96" s="172"/>
      <c r="X96" s="172"/>
      <c r="Y96" s="172"/>
      <c r="Z96" s="555"/>
      <c r="AA96" s="5211"/>
      <c r="AB96" s="1178"/>
      <c r="AC96" s="1179"/>
      <c r="AD96" s="227" t="s">
        <v>22</v>
      </c>
      <c r="AE96" s="1027" t="str">
        <f t="shared" si="52"/>
        <v>►</v>
      </c>
      <c r="AF96" s="1028" t="str">
        <f t="shared" si="53"/>
        <v/>
      </c>
      <c r="AG96" s="1029" t="str">
        <f t="shared" si="54"/>
        <v/>
      </c>
      <c r="AH96" s="1028" t="str">
        <f t="shared" si="55"/>
        <v/>
      </c>
      <c r="AI96" s="1029" t="str">
        <f t="shared" si="56"/>
        <v/>
      </c>
      <c r="AJ96" s="1029">
        <f t="shared" si="57"/>
        <v>0</v>
      </c>
      <c r="AK96" s="1043" t="str" cm="1">
        <f t="array" ref="AK96">IF(AE96&lt;&gt;"A","",IFERROR((IFERROR(_xlfn.XLOOKUP(TRIM(SUBSTITUTE(U96,CHAR(160)," ")),$BI$15:$BI$62,$BL$15:$BL$62),IFERROR(_xlfn.XLOOKUP(TRIM(SUBSTITUTE(U96,CHAR(160)," ")),$BJ$15:$BJ$62,$BL$15:$BL$62),_xlfn.XLOOKUP(TRIM(SUBSTITUTE(U96,CHAR(160)," ")),$BK$15:$BK$62,$BL$15:$BL$62))))*T96*IF(ISBLANK(Q96),1,Q96)+IFERROR(_xlfn.XLOOKUP("RECHERCHEX",TRIM(L96:AC96),L96:AC96),0),0))</f>
        <v/>
      </c>
      <c r="AL96" s="1030">
        <f t="shared" si="58"/>
        <v>0</v>
      </c>
      <c r="AM96" s="5254" t="str">
        <f t="shared" si="73"/>
        <v/>
      </c>
      <c r="AN96" s="1031">
        <f t="shared" si="59"/>
        <v>0</v>
      </c>
      <c r="AO96" s="1031">
        <f t="shared" si="60"/>
        <v>0</v>
      </c>
      <c r="AP96" s="1032">
        <f t="shared" si="61"/>
        <v>0</v>
      </c>
      <c r="AQ96" s="5255" t="str">
        <f t="shared" si="62"/>
        <v/>
      </c>
      <c r="AR96" s="1056"/>
      <c r="AS96" s="1056"/>
      <c r="AT96" s="1034">
        <f t="shared" si="63"/>
        <v>0</v>
      </c>
      <c r="AU96" s="1035">
        <f t="shared" si="64"/>
        <v>0</v>
      </c>
      <c r="AV96" s="1057" cm="1">
        <f t="array" ref="AV96">IF(AJ96&lt;&gt;1,0,IF(OR(AT96="",N(AT96)&lt;=0.000000001),"",IF(OR(AN96="",N(AN96)&lt;=0.000000001),0,IF(ISNUMBER(AT96),IFERROR(_xlfn.LET(_xlpm.ai_test,TRIM(AI96),_xlpm.r,IFERROR(_xlfn.XLOOKUP(_xlpm.ai_test,$BI$15:$BI$62,ROW($BI$15:$BI$62),0,1),IFERROR(_xlfn.XLOOKUP(_xlpm.ai_test,$BJ$15:$BJ$62,ROW($BJ$15:$BJ$62),0,1),_xlfn.XLOOKUP(_xlpm.ai_test,$BK$15:$BK$62,ROW($BK$15:$BK$62),0,1))),_xlpm.p,_xlpm.r-MIN(ROW($BI$15:$BI$62))+1,_xlpm.f,INDEX($BL$15:$BL$62,_xlpm.p),_xlpm.u,INDEX($BM$15:$BM$62,_xlpm.p),_xlpm.s,INDEX($BO$15:$BO$62,_xlpm.p),_xlpm.q,N(AT96)/_xlpm.f,IF(_xlpm.q&gt;=_xlpm.s,ROUND(_xlpm.q,1)&amp;" "&amp;_xlpm.ai_test&amp;" = "&amp;ROUND(_xlpm.q*_xlpm.f,1)&amp;" "&amp;_xlpm.u,ROUND(_xlpm.q,1)&amp;" "&amp;_xlpm.ai_test)),""),""))))</f>
        <v>0</v>
      </c>
      <c r="AW96" s="1047"/>
      <c r="AX96" s="1034">
        <f t="shared" si="65"/>
        <v>0</v>
      </c>
      <c r="AY96" s="1035" t="str">
        <f t="shared" si="66"/>
        <v/>
      </c>
      <c r="AZ96" s="1036">
        <f t="shared" si="71"/>
        <v>0</v>
      </c>
      <c r="BA96" s="1037" t="str">
        <f t="shared" si="67"/>
        <v/>
      </c>
      <c r="BB96" s="1038"/>
      <c r="BC96" s="1039">
        <f t="shared" si="72"/>
        <v>0</v>
      </c>
      <c r="BD96" s="1040" t="str">
        <f t="shared" si="68"/>
        <v/>
      </c>
      <c r="BE96" s="227" t="s">
        <v>22</v>
      </c>
      <c r="BF96" s="1019">
        <f t="shared" si="69"/>
        <v>0</v>
      </c>
      <c r="BG96" s="1020">
        <f t="shared" si="70"/>
        <v>0</v>
      </c>
      <c r="BI96" s="5199">
        <v>2.835E-2</v>
      </c>
      <c r="BJ96" s="5227">
        <v>0.13</v>
      </c>
      <c r="BK96" s="5228">
        <v>0</v>
      </c>
      <c r="BL96" s="5227">
        <v>0.2</v>
      </c>
      <c r="BM96" s="5227">
        <v>0.23</v>
      </c>
      <c r="BN96" s="5227">
        <v>0.22500000000000001</v>
      </c>
      <c r="BO96" s="5229">
        <v>0.35</v>
      </c>
      <c r="BP96" s="5229">
        <v>5.0000000000000001E-3</v>
      </c>
      <c r="BQ96" s="5229">
        <v>5.0000000000000001E-3</v>
      </c>
      <c r="BR96" s="5229">
        <v>1.4999999999999999E-2</v>
      </c>
      <c r="BS96" s="5229">
        <v>0.1</v>
      </c>
      <c r="BT96" s="5229">
        <v>0.22500000000000001</v>
      </c>
      <c r="BU96" s="5206">
        <v>1E-3</v>
      </c>
      <c r="BV96"/>
      <c r="BW96" s="959" t="str">
        <f t="shared" si="49"/>
        <v>►</v>
      </c>
      <c r="BX96" s="48"/>
      <c r="BY96" s="48"/>
      <c r="BZ96" s="48"/>
      <c r="CA96" s="48"/>
      <c r="CB96" s="48"/>
      <c r="CC96" s="957"/>
      <c r="CD96"/>
      <c r="CE96"/>
      <c r="CF96"/>
      <c r="CG96"/>
      <c r="CH96"/>
      <c r="CI96"/>
      <c r="CJ96"/>
      <c r="CK96"/>
      <c r="CL96"/>
      <c r="CM96"/>
      <c r="CN96"/>
      <c r="CO96"/>
      <c r="CP96"/>
      <c r="CQ96"/>
      <c r="CR96"/>
      <c r="CS96"/>
      <c r="CT96"/>
      <c r="CU96"/>
      <c r="CV96"/>
      <c r="CW96"/>
      <c r="CX96"/>
      <c r="CY96"/>
      <c r="CZ96"/>
      <c r="DB96" s="3">
        <v>1</v>
      </c>
    </row>
    <row r="97" spans="1:106" s="709" customFormat="1" ht="21" customHeight="1">
      <c r="A97" s="936" t="s">
        <v>22</v>
      </c>
      <c r="B97" s="952" t="str">
        <f t="shared" si="48"/>
        <v>►</v>
      </c>
      <c r="C97" s="993" cm="1">
        <f t="array" ref="C97">SUMPRODUCT(LEN(D97:J97))</f>
        <v>0</v>
      </c>
      <c r="D97" s="167"/>
      <c r="E97" s="172"/>
      <c r="F97" s="172"/>
      <c r="G97" s="172"/>
      <c r="H97" s="172"/>
      <c r="I97" s="172"/>
      <c r="J97" s="173"/>
      <c r="K97" s="442"/>
      <c r="L97" s="104" t="s">
        <v>16</v>
      </c>
      <c r="M97" s="157" t="str">
        <f>M69</f>
        <v>T TERRINE DE PIEDS DE PORC pour tranches | | Auteur &gt; Guy KRENZE - Eric GODDYN - Arnaud NICOLAS - CEPROC 2002</v>
      </c>
      <c r="N97" s="157">
        <f>N69</f>
        <v>1</v>
      </c>
      <c r="O97" s="158" t="str">
        <f>O69</f>
        <v xml:space="preserve">moule L 30 cm X l 9 cm X H 6 cm </v>
      </c>
      <c r="P97" s="159" t="str">
        <f>P69</f>
        <v>Recette mère ► le Boudin en 4 déclinaisons</v>
      </c>
      <c r="Q97" s="172" t="s">
        <v>12857</v>
      </c>
      <c r="R97" s="172"/>
      <c r="S97" s="172"/>
      <c r="T97" s="172"/>
      <c r="U97" s="172"/>
      <c r="V97" s="172"/>
      <c r="W97" s="172"/>
      <c r="X97" s="172"/>
      <c r="Y97" s="170" t="s">
        <v>172</v>
      </c>
      <c r="Z97" s="171">
        <v>3.472222222222222E-3</v>
      </c>
      <c r="AA97" s="5211"/>
      <c r="AB97" s="1178"/>
      <c r="AC97" s="1179"/>
      <c r="AD97" s="227" t="s">
        <v>22</v>
      </c>
      <c r="AE97" s="1027" t="str">
        <f t="shared" si="52"/>
        <v>►</v>
      </c>
      <c r="AF97" s="1028" t="str">
        <f t="shared" si="53"/>
        <v/>
      </c>
      <c r="AG97" s="1029" t="str">
        <f t="shared" si="54"/>
        <v/>
      </c>
      <c r="AH97" s="1028" t="str">
        <f t="shared" si="55"/>
        <v/>
      </c>
      <c r="AI97" s="1029" t="str">
        <f t="shared" si="56"/>
        <v/>
      </c>
      <c r="AJ97" s="1029">
        <f t="shared" si="57"/>
        <v>0</v>
      </c>
      <c r="AK97" s="1043" t="str" cm="1">
        <f t="array" ref="AK97">IF(AE97&lt;&gt;"A","",IFERROR((IFERROR(_xlfn.XLOOKUP(TRIM(SUBSTITUTE(U97,CHAR(160)," ")),$BI$15:$BI$62,$BL$15:$BL$62),IFERROR(_xlfn.XLOOKUP(TRIM(SUBSTITUTE(U97,CHAR(160)," ")),$BJ$15:$BJ$62,$BL$15:$BL$62),_xlfn.XLOOKUP(TRIM(SUBSTITUTE(U97,CHAR(160)," ")),$BK$15:$BK$62,$BL$15:$BL$62))))*T97*IF(ISBLANK(Q97),1,Q97)+IFERROR(_xlfn.XLOOKUP("RECHERCHEX",TRIM(L97:AC97),L97:AC97),0),0))</f>
        <v/>
      </c>
      <c r="AL97" s="1030">
        <f t="shared" si="58"/>
        <v>0</v>
      </c>
      <c r="AM97" s="5254" t="str">
        <f t="shared" si="73"/>
        <v/>
      </c>
      <c r="AN97" s="1031">
        <f t="shared" si="59"/>
        <v>0</v>
      </c>
      <c r="AO97" s="1031">
        <f t="shared" si="60"/>
        <v>0</v>
      </c>
      <c r="AP97" s="1044">
        <f t="shared" si="61"/>
        <v>0</v>
      </c>
      <c r="AQ97" s="5257" t="str">
        <f t="shared" si="62"/>
        <v/>
      </c>
      <c r="AR97" s="1056"/>
      <c r="AS97" s="1056"/>
      <c r="AT97" s="1045">
        <f t="shared" si="63"/>
        <v>0</v>
      </c>
      <c r="AU97" s="1046">
        <f t="shared" si="64"/>
        <v>0</v>
      </c>
      <c r="AV97" s="1059" cm="1">
        <f t="array" ref="AV97">IF(AJ97&lt;&gt;1,0,IF(OR(AT97="",N(AT97)&lt;=0.000000001),"",IF(OR(AN97="",N(AN97)&lt;=0.000000001),0,IF(ISNUMBER(AT97),IFERROR(_xlfn.LET(_xlpm.ai_test,TRIM(AI97),_xlpm.r,IFERROR(_xlfn.XLOOKUP(_xlpm.ai_test,$BI$15:$BI$62,ROW($BI$15:$BI$62),0,1),IFERROR(_xlfn.XLOOKUP(_xlpm.ai_test,$BJ$15:$BJ$62,ROW($BJ$15:$BJ$62),0,1),_xlfn.XLOOKUP(_xlpm.ai_test,$BK$15:$BK$62,ROW($BK$15:$BK$62),0,1))),_xlpm.p,_xlpm.r-MIN(ROW($BI$15:$BI$62))+1,_xlpm.f,INDEX($BL$15:$BL$62,_xlpm.p),_xlpm.u,INDEX($BM$15:$BM$62,_xlpm.p),_xlpm.s,INDEX($BO$15:$BO$62,_xlpm.p),_xlpm.q,N(AT97)/_xlpm.f,IF(_xlpm.q&gt;=_xlpm.s,ROUND(_xlpm.q,1)&amp;" "&amp;_xlpm.ai_test&amp;" = "&amp;ROUND(_xlpm.q*_xlpm.f,1)&amp;" "&amp;_xlpm.u,ROUND(_xlpm.q,1)&amp;" "&amp;_xlpm.ai_test)),""),""))))</f>
        <v>0</v>
      </c>
      <c r="AW97" s="1047"/>
      <c r="AX97" s="1045">
        <f t="shared" si="65"/>
        <v>0</v>
      </c>
      <c r="AY97" s="1046" t="str">
        <f t="shared" si="66"/>
        <v/>
      </c>
      <c r="AZ97" s="1048">
        <f t="shared" si="71"/>
        <v>0</v>
      </c>
      <c r="BA97" s="1049" t="str">
        <f t="shared" si="67"/>
        <v/>
      </c>
      <c r="BB97" s="1038"/>
      <c r="BC97" s="1050">
        <f t="shared" si="72"/>
        <v>0</v>
      </c>
      <c r="BD97" s="1040" t="str">
        <f t="shared" si="68"/>
        <v/>
      </c>
      <c r="BE97" s="227" t="s">
        <v>22</v>
      </c>
      <c r="BF97" s="1019">
        <f t="shared" si="69"/>
        <v>0</v>
      </c>
      <c r="BG97" s="1020">
        <f t="shared" si="70"/>
        <v>0</v>
      </c>
      <c r="BI97" s="1118" t="s">
        <v>824</v>
      </c>
      <c r="BJ97" s="873"/>
      <c r="BK97" s="873"/>
      <c r="BL97" s="873"/>
      <c r="BM97" s="873"/>
      <c r="BN97" s="873"/>
      <c r="BO97" s="873"/>
      <c r="BP97" s="873"/>
      <c r="BQ97" s="873"/>
      <c r="BR97" s="873"/>
      <c r="BS97" s="873"/>
      <c r="BT97" s="873"/>
      <c r="BU97" s="873"/>
      <c r="BV97"/>
      <c r="BW97" s="959" t="str">
        <f t="shared" si="49"/>
        <v>►</v>
      </c>
      <c r="BX97" s="1119"/>
      <c r="BY97" s="1120"/>
      <c r="BZ97" s="1120"/>
      <c r="CA97" s="1120"/>
      <c r="CB97" s="48"/>
      <c r="CC97" s="957"/>
      <c r="CD97"/>
      <c r="CE97"/>
      <c r="CF97"/>
      <c r="CG97"/>
      <c r="CH97"/>
      <c r="CI97"/>
      <c r="CJ97"/>
      <c r="CK97"/>
      <c r="CL97"/>
      <c r="CM97"/>
      <c r="CN97"/>
      <c r="CO97"/>
      <c r="CP97"/>
      <c r="CQ97"/>
      <c r="CR97"/>
      <c r="CS97"/>
      <c r="CT97"/>
      <c r="CU97"/>
      <c r="CV97"/>
      <c r="CW97"/>
      <c r="CX97"/>
      <c r="CY97"/>
      <c r="CZ97"/>
      <c r="DB97" s="3">
        <v>1</v>
      </c>
    </row>
    <row r="98" spans="1:106" s="709" customFormat="1" ht="21" customHeight="1">
      <c r="A98" s="936" t="s">
        <v>22</v>
      </c>
      <c r="B98" s="952" t="str">
        <f t="shared" si="48"/>
        <v>►</v>
      </c>
      <c r="C98" s="993" cm="1">
        <f t="array" ref="C98">SUMPRODUCT(LEN(D98:J98))</f>
        <v>0</v>
      </c>
      <c r="D98" s="167"/>
      <c r="E98" s="172"/>
      <c r="F98" s="172"/>
      <c r="G98" s="172"/>
      <c r="H98" s="172"/>
      <c r="I98" s="172"/>
      <c r="J98" s="173"/>
      <c r="K98" s="442"/>
      <c r="L98" s="104" t="s">
        <v>16</v>
      </c>
      <c r="M98" s="157" t="str">
        <f>M69</f>
        <v>T TERRINE DE PIEDS DE PORC pour tranches | | Auteur &gt; Guy KRENZE - Eric GODDYN - Arnaud NICOLAS - CEPROC 2002</v>
      </c>
      <c r="N98" s="157">
        <f>N69</f>
        <v>1</v>
      </c>
      <c r="O98" s="158" t="str">
        <f>O69</f>
        <v xml:space="preserve">moule L 30 cm X l 9 cm X H 6 cm </v>
      </c>
      <c r="P98" s="159" t="str">
        <f>P69</f>
        <v>Recette mère ► le Boudin en 4 déclinaisons</v>
      </c>
      <c r="Q98" s="172" t="s">
        <v>12858</v>
      </c>
      <c r="R98" s="172"/>
      <c r="S98" s="172"/>
      <c r="T98" s="172"/>
      <c r="U98" s="172"/>
      <c r="V98" s="172"/>
      <c r="W98" s="172"/>
      <c r="X98" s="172"/>
      <c r="Y98" s="170" t="s">
        <v>174</v>
      </c>
      <c r="Z98" s="174">
        <v>3.472222222222222E-3</v>
      </c>
      <c r="AA98" s="5211"/>
      <c r="AB98" s="1178"/>
      <c r="AC98" s="1179"/>
      <c r="AD98" s="227" t="s">
        <v>22</v>
      </c>
      <c r="AE98" s="1027" t="str">
        <f t="shared" si="52"/>
        <v>►</v>
      </c>
      <c r="AF98" s="1028" t="str">
        <f t="shared" si="53"/>
        <v/>
      </c>
      <c r="AG98" s="1029" t="str">
        <f t="shared" si="54"/>
        <v/>
      </c>
      <c r="AH98" s="1028" t="str">
        <f t="shared" si="55"/>
        <v/>
      </c>
      <c r="AI98" s="1029" t="str">
        <f t="shared" si="56"/>
        <v/>
      </c>
      <c r="AJ98" s="1029">
        <f t="shared" si="57"/>
        <v>0</v>
      </c>
      <c r="AK98" s="1043" t="str" cm="1">
        <f t="array" ref="AK98">IF(AE98&lt;&gt;"A","",IFERROR((IFERROR(_xlfn.XLOOKUP(TRIM(SUBSTITUTE(U98,CHAR(160)," ")),$BI$15:$BI$62,$BL$15:$BL$62),IFERROR(_xlfn.XLOOKUP(TRIM(SUBSTITUTE(U98,CHAR(160)," ")),$BJ$15:$BJ$62,$BL$15:$BL$62),_xlfn.XLOOKUP(TRIM(SUBSTITUTE(U98,CHAR(160)," ")),$BK$15:$BK$62,$BL$15:$BL$62))))*T98*IF(ISBLANK(Q98),1,Q98)+IFERROR(_xlfn.XLOOKUP("RECHERCHEX",TRIM(L98:AC98),L98:AC98),0),0))</f>
        <v/>
      </c>
      <c r="AL98" s="1030">
        <f t="shared" si="58"/>
        <v>0</v>
      </c>
      <c r="AM98" s="5254" t="str">
        <f t="shared" si="73"/>
        <v/>
      </c>
      <c r="AN98" s="1031">
        <f t="shared" si="59"/>
        <v>0</v>
      </c>
      <c r="AO98" s="1031">
        <f t="shared" si="60"/>
        <v>0</v>
      </c>
      <c r="AP98" s="1032">
        <f t="shared" si="61"/>
        <v>0</v>
      </c>
      <c r="AQ98" s="5255" t="str">
        <f t="shared" si="62"/>
        <v/>
      </c>
      <c r="AR98" s="1056"/>
      <c r="AS98" s="1056"/>
      <c r="AT98" s="1034">
        <f t="shared" si="63"/>
        <v>0</v>
      </c>
      <c r="AU98" s="1035">
        <f t="shared" si="64"/>
        <v>0</v>
      </c>
      <c r="AV98" s="1057" cm="1">
        <f t="array" ref="AV98">IF(AJ98&lt;&gt;1,0,IF(OR(AT98="",N(AT98)&lt;=0.000000001),"",IF(OR(AN98="",N(AN98)&lt;=0.000000001),0,IF(ISNUMBER(AT98),IFERROR(_xlfn.LET(_xlpm.ai_test,TRIM(AI98),_xlpm.r,IFERROR(_xlfn.XLOOKUP(_xlpm.ai_test,$BI$15:$BI$62,ROW($BI$15:$BI$62),0,1),IFERROR(_xlfn.XLOOKUP(_xlpm.ai_test,$BJ$15:$BJ$62,ROW($BJ$15:$BJ$62),0,1),_xlfn.XLOOKUP(_xlpm.ai_test,$BK$15:$BK$62,ROW($BK$15:$BK$62),0,1))),_xlpm.p,_xlpm.r-MIN(ROW($BI$15:$BI$62))+1,_xlpm.f,INDEX($BL$15:$BL$62,_xlpm.p),_xlpm.u,INDEX($BM$15:$BM$62,_xlpm.p),_xlpm.s,INDEX($BO$15:$BO$62,_xlpm.p),_xlpm.q,N(AT98)/_xlpm.f,IF(_xlpm.q&gt;=_xlpm.s,ROUND(_xlpm.q,1)&amp;" "&amp;_xlpm.ai_test&amp;" = "&amp;ROUND(_xlpm.q*_xlpm.f,1)&amp;" "&amp;_xlpm.u,ROUND(_xlpm.q,1)&amp;" "&amp;_xlpm.ai_test)),""),""))))</f>
        <v>0</v>
      </c>
      <c r="AW98" s="1047"/>
      <c r="AX98" s="1034">
        <f t="shared" si="65"/>
        <v>0</v>
      </c>
      <c r="AY98" s="1035" t="str">
        <f t="shared" si="66"/>
        <v/>
      </c>
      <c r="AZ98" s="1036">
        <f t="shared" si="71"/>
        <v>0</v>
      </c>
      <c r="BA98" s="1037" t="str">
        <f t="shared" si="67"/>
        <v/>
      </c>
      <c r="BB98" s="1038"/>
      <c r="BC98" s="1039">
        <f t="shared" si="72"/>
        <v>0</v>
      </c>
      <c r="BD98" s="1040" t="str">
        <f t="shared" si="68"/>
        <v/>
      </c>
      <c r="BE98" s="227" t="s">
        <v>22</v>
      </c>
      <c r="BF98" s="1019">
        <f t="shared" si="69"/>
        <v>0</v>
      </c>
      <c r="BG98" s="1020">
        <f t="shared" si="70"/>
        <v>0</v>
      </c>
      <c r="BI98" s="1121" t="s">
        <v>1971</v>
      </c>
      <c r="BJ98" s="1122"/>
      <c r="BK98" s="1122"/>
      <c r="BL98" s="1122"/>
      <c r="BM98" s="1122"/>
      <c r="BN98" s="1122"/>
      <c r="BO98" s="1122"/>
      <c r="BP98" s="1122"/>
      <c r="BQ98" s="1122"/>
      <c r="BR98" s="1122"/>
      <c r="BS98" s="1122"/>
      <c r="BT98" s="1122"/>
      <c r="BU98" s="1122"/>
      <c r="BV98"/>
      <c r="BW98" s="959" t="str">
        <f t="shared" si="49"/>
        <v>►</v>
      </c>
      <c r="BX98" s="1119"/>
      <c r="BY98" s="1120"/>
      <c r="BZ98" s="1120"/>
      <c r="CA98" s="1120"/>
      <c r="CB98" s="48"/>
      <c r="CC98" s="957"/>
      <c r="CD98"/>
      <c r="CE98"/>
      <c r="CF98"/>
      <c r="CG98"/>
      <c r="CH98"/>
      <c r="CI98"/>
      <c r="CJ98"/>
      <c r="CK98"/>
      <c r="CL98"/>
      <c r="CM98"/>
      <c r="CN98"/>
      <c r="CO98"/>
      <c r="CP98"/>
      <c r="CQ98"/>
      <c r="CR98"/>
      <c r="CS98"/>
      <c r="CT98"/>
      <c r="CU98"/>
      <c r="CV98"/>
      <c r="CW98"/>
      <c r="CX98"/>
      <c r="CY98"/>
      <c r="CZ98"/>
      <c r="DB98" s="3">
        <v>1</v>
      </c>
    </row>
    <row r="99" spans="1:106" s="709" customFormat="1" ht="21" customHeight="1">
      <c r="A99" s="936" t="s">
        <v>22</v>
      </c>
      <c r="B99" s="952" t="str">
        <f t="shared" si="48"/>
        <v>►</v>
      </c>
      <c r="C99" s="993" cm="1">
        <f t="array" ref="C99">SUMPRODUCT(LEN(D99:J99))</f>
        <v>0</v>
      </c>
      <c r="D99" s="167"/>
      <c r="E99" s="172"/>
      <c r="F99" s="172"/>
      <c r="G99" s="172"/>
      <c r="H99" s="172"/>
      <c r="I99" s="172"/>
      <c r="J99" s="173"/>
      <c r="K99" s="442"/>
      <c r="L99" s="104" t="s">
        <v>16</v>
      </c>
      <c r="M99" s="157" t="str">
        <f>M69</f>
        <v>T TERRINE DE PIEDS DE PORC pour tranches | | Auteur &gt; Guy KRENZE - Eric GODDYN - Arnaud NICOLAS - CEPROC 2002</v>
      </c>
      <c r="N99" s="157">
        <f>N69</f>
        <v>1</v>
      </c>
      <c r="O99" s="158" t="str">
        <f>O69</f>
        <v xml:space="preserve">moule L 30 cm X l 9 cm X H 6 cm </v>
      </c>
      <c r="P99" s="159" t="str">
        <f>P69</f>
        <v>Recette mère ► le Boudin en 4 déclinaisons</v>
      </c>
      <c r="Q99" s="172" t="s">
        <v>12859</v>
      </c>
      <c r="R99" s="172"/>
      <c r="S99" s="172"/>
      <c r="T99" s="172"/>
      <c r="U99" s="172"/>
      <c r="V99" s="172"/>
      <c r="W99" s="172"/>
      <c r="X99" s="172"/>
      <c r="Y99" s="170" t="s">
        <v>182</v>
      </c>
      <c r="Z99" s="175">
        <v>3.472222222222222E-3</v>
      </c>
      <c r="AA99" s="5211"/>
      <c r="AB99" s="1178"/>
      <c r="AC99" s="1179"/>
      <c r="AD99" s="227" t="s">
        <v>22</v>
      </c>
      <c r="AE99" s="1027" t="str">
        <f t="shared" si="52"/>
        <v>►</v>
      </c>
      <c r="AF99" s="1028" t="str">
        <f t="shared" si="53"/>
        <v/>
      </c>
      <c r="AG99" s="1029" t="str">
        <f t="shared" si="54"/>
        <v/>
      </c>
      <c r="AH99" s="1028" t="str">
        <f t="shared" si="55"/>
        <v/>
      </c>
      <c r="AI99" s="1029" t="str">
        <f t="shared" si="56"/>
        <v/>
      </c>
      <c r="AJ99" s="1029">
        <f t="shared" si="57"/>
        <v>0</v>
      </c>
      <c r="AK99" s="1043" t="str" cm="1">
        <f t="array" ref="AK99">IF(AE99&lt;&gt;"A","",IFERROR((IFERROR(_xlfn.XLOOKUP(TRIM(SUBSTITUTE(U99,CHAR(160)," ")),$BI$15:$BI$62,$BL$15:$BL$62),IFERROR(_xlfn.XLOOKUP(TRIM(SUBSTITUTE(U99,CHAR(160)," ")),$BJ$15:$BJ$62,$BL$15:$BL$62),_xlfn.XLOOKUP(TRIM(SUBSTITUTE(U99,CHAR(160)," ")),$BK$15:$BK$62,$BL$15:$BL$62))))*T99*IF(ISBLANK(Q99),1,Q99)+IFERROR(_xlfn.XLOOKUP("RECHERCHEX",TRIM(L99:AC99),L99:AC99),0),0))</f>
        <v/>
      </c>
      <c r="AL99" s="1030">
        <f t="shared" si="58"/>
        <v>0</v>
      </c>
      <c r="AM99" s="5254" t="str">
        <f t="shared" si="73"/>
        <v/>
      </c>
      <c r="AN99" s="1031">
        <f t="shared" si="59"/>
        <v>0</v>
      </c>
      <c r="AO99" s="1031">
        <f t="shared" si="60"/>
        <v>0</v>
      </c>
      <c r="AP99" s="1044">
        <f t="shared" si="61"/>
        <v>0</v>
      </c>
      <c r="AQ99" s="5257" t="str">
        <f t="shared" si="62"/>
        <v/>
      </c>
      <c r="AR99" s="1056"/>
      <c r="AS99" s="1056"/>
      <c r="AT99" s="1045">
        <f t="shared" si="63"/>
        <v>0</v>
      </c>
      <c r="AU99" s="1046">
        <f t="shared" si="64"/>
        <v>0</v>
      </c>
      <c r="AV99" s="1059" cm="1">
        <f t="array" ref="AV99">IF(AJ99&lt;&gt;1,0,IF(OR(AT99="",N(AT99)&lt;=0.000000001),"",IF(OR(AN99="",N(AN99)&lt;=0.000000001),0,IF(ISNUMBER(AT99),IFERROR(_xlfn.LET(_xlpm.ai_test,TRIM(AI99),_xlpm.r,IFERROR(_xlfn.XLOOKUP(_xlpm.ai_test,$BI$15:$BI$62,ROW($BI$15:$BI$62),0,1),IFERROR(_xlfn.XLOOKUP(_xlpm.ai_test,$BJ$15:$BJ$62,ROW($BJ$15:$BJ$62),0,1),_xlfn.XLOOKUP(_xlpm.ai_test,$BK$15:$BK$62,ROW($BK$15:$BK$62),0,1))),_xlpm.p,_xlpm.r-MIN(ROW($BI$15:$BI$62))+1,_xlpm.f,INDEX($BL$15:$BL$62,_xlpm.p),_xlpm.u,INDEX($BM$15:$BM$62,_xlpm.p),_xlpm.s,INDEX($BO$15:$BO$62,_xlpm.p),_xlpm.q,N(AT99)/_xlpm.f,IF(_xlpm.q&gt;=_xlpm.s,ROUND(_xlpm.q,1)&amp;" "&amp;_xlpm.ai_test&amp;" = "&amp;ROUND(_xlpm.q*_xlpm.f,1)&amp;" "&amp;_xlpm.u,ROUND(_xlpm.q,1)&amp;" "&amp;_xlpm.ai_test)),""),""))))</f>
        <v>0</v>
      </c>
      <c r="AW99" s="1047"/>
      <c r="AX99" s="1045">
        <f t="shared" si="65"/>
        <v>0</v>
      </c>
      <c r="AY99" s="1046" t="str">
        <f t="shared" si="66"/>
        <v/>
      </c>
      <c r="AZ99" s="1048">
        <f t="shared" si="71"/>
        <v>0</v>
      </c>
      <c r="BA99" s="1049" t="str">
        <f t="shared" si="67"/>
        <v/>
      </c>
      <c r="BB99" s="1038"/>
      <c r="BC99" s="1050">
        <f t="shared" si="72"/>
        <v>0</v>
      </c>
      <c r="BD99" s="1040" t="str">
        <f t="shared" si="68"/>
        <v/>
      </c>
      <c r="BE99" s="227" t="s">
        <v>22</v>
      </c>
      <c r="BF99" s="1019">
        <f t="shared" si="69"/>
        <v>0</v>
      </c>
      <c r="BG99" s="1020">
        <f t="shared" si="70"/>
        <v>0</v>
      </c>
      <c r="BI99" s="5499" t="s">
        <v>1972</v>
      </c>
      <c r="BJ99" s="5499"/>
      <c r="BK99" s="5499"/>
      <c r="BL99" s="5499"/>
      <c r="BM99" s="5499"/>
      <c r="BN99" s="5499"/>
      <c r="BO99" s="5499"/>
      <c r="BP99" s="5499"/>
      <c r="BQ99" s="5499"/>
      <c r="BR99" s="5499"/>
      <c r="BS99" s="5499"/>
      <c r="BT99" s="5499"/>
      <c r="BU99" s="5499"/>
      <c r="BV99"/>
      <c r="BW99" s="959" t="str">
        <f t="shared" si="49"/>
        <v>►</v>
      </c>
      <c r="BX99" s="1119" t="s">
        <v>2619</v>
      </c>
      <c r="BY99" s="1120"/>
      <c r="BZ99" s="1120"/>
      <c r="CA99" s="1120"/>
      <c r="CB99" s="48"/>
      <c r="CC99" s="957"/>
      <c r="CD99"/>
      <c r="CE99"/>
      <c r="CF99"/>
      <c r="CG99"/>
      <c r="CH99"/>
      <c r="CI99"/>
      <c r="CJ99"/>
      <c r="CK99"/>
      <c r="CL99"/>
      <c r="CM99"/>
      <c r="CN99"/>
      <c r="CO99"/>
      <c r="CP99"/>
      <c r="CQ99"/>
      <c r="CR99"/>
      <c r="CS99"/>
      <c r="CT99"/>
      <c r="CU99"/>
      <c r="CV99"/>
      <c r="CW99"/>
      <c r="CX99"/>
      <c r="CY99"/>
      <c r="CZ99"/>
      <c r="DB99" s="3">
        <v>1</v>
      </c>
    </row>
    <row r="100" spans="1:106" s="709" customFormat="1" ht="21" customHeight="1">
      <c r="A100" s="936" t="s">
        <v>22</v>
      </c>
      <c r="B100" s="952" t="str">
        <f t="shared" si="48"/>
        <v>►</v>
      </c>
      <c r="C100" s="993" cm="1">
        <f t="array" ref="C100">SUMPRODUCT(LEN(D100:J100))</f>
        <v>0</v>
      </c>
      <c r="D100" s="167"/>
      <c r="E100" s="172"/>
      <c r="F100" s="172"/>
      <c r="G100" s="172"/>
      <c r="H100" s="172"/>
      <c r="I100" s="172"/>
      <c r="J100" s="173"/>
      <c r="K100" s="442"/>
      <c r="L100" s="104" t="s">
        <v>16</v>
      </c>
      <c r="M100" s="157" t="str">
        <f>M69</f>
        <v>T TERRINE DE PIEDS DE PORC pour tranches | | Auteur &gt; Guy KRENZE - Eric GODDYN - Arnaud NICOLAS - CEPROC 2002</v>
      </c>
      <c r="N100" s="157">
        <f>N69</f>
        <v>1</v>
      </c>
      <c r="O100" s="158" t="str">
        <f>O69</f>
        <v xml:space="preserve">moule L 30 cm X l 9 cm X H 6 cm </v>
      </c>
      <c r="P100" s="159" t="str">
        <f>P69</f>
        <v>Recette mère ► le Boudin en 4 déclinaisons</v>
      </c>
      <c r="Q100" s="172" t="s">
        <v>12860</v>
      </c>
      <c r="R100" s="172"/>
      <c r="S100" s="172"/>
      <c r="T100" s="172"/>
      <c r="U100" s="172"/>
      <c r="V100" s="172"/>
      <c r="W100" s="172"/>
      <c r="X100" s="172"/>
      <c r="Y100" s="176" t="s">
        <v>183</v>
      </c>
      <c r="Z100" s="177">
        <f>Z97+Z98+Z99</f>
        <v>1.0416666666666666E-2</v>
      </c>
      <c r="AA100" s="5211"/>
      <c r="AB100" s="1178"/>
      <c r="AC100" s="1179"/>
      <c r="AD100" s="227" t="s">
        <v>22</v>
      </c>
      <c r="AE100" s="1027" t="str">
        <f t="shared" si="52"/>
        <v>►</v>
      </c>
      <c r="AF100" s="1028" t="str">
        <f t="shared" si="53"/>
        <v/>
      </c>
      <c r="AG100" s="1029" t="str">
        <f t="shared" si="54"/>
        <v/>
      </c>
      <c r="AH100" s="1028" t="str">
        <f t="shared" si="55"/>
        <v/>
      </c>
      <c r="AI100" s="1029" t="str">
        <f t="shared" si="56"/>
        <v/>
      </c>
      <c r="AJ100" s="1029">
        <f t="shared" si="57"/>
        <v>0</v>
      </c>
      <c r="AK100" s="1043" t="str" cm="1">
        <f t="array" ref="AK100">IF(AE100&lt;&gt;"A","",IFERROR((IFERROR(_xlfn.XLOOKUP(TRIM(SUBSTITUTE(U100,CHAR(160)," ")),$BI$15:$BI$62,$BL$15:$BL$62),IFERROR(_xlfn.XLOOKUP(TRIM(SUBSTITUTE(U100,CHAR(160)," ")),$BJ$15:$BJ$62,$BL$15:$BL$62),_xlfn.XLOOKUP(TRIM(SUBSTITUTE(U100,CHAR(160)," ")),$BK$15:$BK$62,$BL$15:$BL$62))))*T100*IF(ISBLANK(Q100),1,Q100)+IFERROR(_xlfn.XLOOKUP("RECHERCHEX",TRIM(L100:AC100),L100:AC100),0),0))</f>
        <v/>
      </c>
      <c r="AL100" s="1030">
        <f t="shared" si="58"/>
        <v>0</v>
      </c>
      <c r="AM100" s="5254" t="str">
        <f t="shared" si="73"/>
        <v/>
      </c>
      <c r="AN100" s="1031">
        <f t="shared" si="59"/>
        <v>0</v>
      </c>
      <c r="AO100" s="1031">
        <f t="shared" si="60"/>
        <v>0</v>
      </c>
      <c r="AP100" s="1032">
        <f t="shared" si="61"/>
        <v>0</v>
      </c>
      <c r="AQ100" s="5255" t="str">
        <f t="shared" si="62"/>
        <v/>
      </c>
      <c r="AR100" s="1056"/>
      <c r="AS100" s="1056"/>
      <c r="AT100" s="1034">
        <f t="shared" si="63"/>
        <v>0</v>
      </c>
      <c r="AU100" s="1035">
        <f t="shared" si="64"/>
        <v>0</v>
      </c>
      <c r="AV100" s="1057" cm="1">
        <f t="array" ref="AV100">IF(AJ100&lt;&gt;1,0,IF(OR(AT100="",N(AT100)&lt;=0.000000001),"",IF(OR(AN100="",N(AN100)&lt;=0.000000001),0,IF(ISNUMBER(AT100),IFERROR(_xlfn.LET(_xlpm.ai_test,TRIM(AI100),_xlpm.r,IFERROR(_xlfn.XLOOKUP(_xlpm.ai_test,$BI$15:$BI$62,ROW($BI$15:$BI$62),0,1),IFERROR(_xlfn.XLOOKUP(_xlpm.ai_test,$BJ$15:$BJ$62,ROW($BJ$15:$BJ$62),0,1),_xlfn.XLOOKUP(_xlpm.ai_test,$BK$15:$BK$62,ROW($BK$15:$BK$62),0,1))),_xlpm.p,_xlpm.r-MIN(ROW($BI$15:$BI$62))+1,_xlpm.f,INDEX($BL$15:$BL$62,_xlpm.p),_xlpm.u,INDEX($BM$15:$BM$62,_xlpm.p),_xlpm.s,INDEX($BO$15:$BO$62,_xlpm.p),_xlpm.q,N(AT100)/_xlpm.f,IF(_xlpm.q&gt;=_xlpm.s,ROUND(_xlpm.q,1)&amp;" "&amp;_xlpm.ai_test&amp;" = "&amp;ROUND(_xlpm.q*_xlpm.f,1)&amp;" "&amp;_xlpm.u,ROUND(_xlpm.q,1)&amp;" "&amp;_xlpm.ai_test)),""),""))))</f>
        <v>0</v>
      </c>
      <c r="AW100" s="1047"/>
      <c r="AX100" s="1034">
        <f t="shared" si="65"/>
        <v>0</v>
      </c>
      <c r="AY100" s="1035" t="str">
        <f t="shared" si="66"/>
        <v/>
      </c>
      <c r="AZ100" s="1036">
        <f t="shared" si="71"/>
        <v>0</v>
      </c>
      <c r="BA100" s="1037" t="str">
        <f t="shared" si="67"/>
        <v/>
      </c>
      <c r="BB100" s="1038"/>
      <c r="BC100" s="1039">
        <f t="shared" si="72"/>
        <v>0</v>
      </c>
      <c r="BD100" s="1040" t="str">
        <f t="shared" si="68"/>
        <v/>
      </c>
      <c r="BE100" s="227" t="s">
        <v>22</v>
      </c>
      <c r="BF100" s="1019">
        <f t="shared" si="69"/>
        <v>0</v>
      </c>
      <c r="BG100" s="1020">
        <f t="shared" si="70"/>
        <v>0</v>
      </c>
      <c r="BI100" s="5499"/>
      <c r="BJ100" s="5499"/>
      <c r="BK100" s="5499"/>
      <c r="BL100" s="5499"/>
      <c r="BM100" s="5499"/>
      <c r="BN100" s="5499"/>
      <c r="BO100" s="5499"/>
      <c r="BP100" s="5499"/>
      <c r="BQ100" s="5499"/>
      <c r="BR100" s="5499"/>
      <c r="BS100" s="5499"/>
      <c r="BT100" s="5499"/>
      <c r="BU100" s="5499"/>
      <c r="BV100"/>
      <c r="BW100" s="959" t="str">
        <f t="shared" si="49"/>
        <v>►</v>
      </c>
      <c r="BX100" s="1119"/>
      <c r="BY100" s="1120"/>
      <c r="BZ100" s="1120"/>
      <c r="CA100" s="1120"/>
      <c r="CB100" s="48"/>
      <c r="CC100" s="957"/>
      <c r="CD100"/>
      <c r="CE100"/>
      <c r="CF100"/>
      <c r="CG100"/>
      <c r="CH100"/>
      <c r="CI100"/>
      <c r="CJ100"/>
      <c r="CK100"/>
      <c r="CL100"/>
      <c r="CM100"/>
      <c r="CN100"/>
      <c r="CO100"/>
      <c r="CP100"/>
      <c r="CQ100"/>
      <c r="CR100"/>
      <c r="CS100"/>
      <c r="CT100"/>
      <c r="CU100"/>
      <c r="CV100"/>
      <c r="CW100"/>
      <c r="CX100"/>
      <c r="CY100"/>
      <c r="CZ100"/>
      <c r="DB100" s="3">
        <v>1</v>
      </c>
    </row>
    <row r="101" spans="1:106" s="709" customFormat="1" ht="21" customHeight="1">
      <c r="A101" s="936" t="s">
        <v>22</v>
      </c>
      <c r="B101" s="952" t="str">
        <f t="shared" si="48"/>
        <v>A</v>
      </c>
      <c r="C101" s="993" cm="1">
        <f t="array" ref="C101">SUMPRODUCT(LEN(D101:J101))</f>
        <v>0</v>
      </c>
      <c r="D101" s="167"/>
      <c r="E101" s="172"/>
      <c r="F101" s="172"/>
      <c r="G101" s="172"/>
      <c r="H101" s="172"/>
      <c r="I101" s="172"/>
      <c r="J101" s="173"/>
      <c r="K101" s="442"/>
      <c r="L101" s="104" t="str">
        <f>IF(OR(Q101&lt;&gt;"",R101&lt;&gt; "",S101&lt;&gt;"",T101&lt;&gt;""),"A", "►")</f>
        <v>A</v>
      </c>
      <c r="M101" s="157" t="str">
        <f>M69</f>
        <v>T TERRINE DE PIEDS DE PORC pour tranches | | Auteur &gt; Guy KRENZE - Eric GODDYN - Arnaud NICOLAS - CEPROC 2002</v>
      </c>
      <c r="N101" s="157">
        <f>N69</f>
        <v>1</v>
      </c>
      <c r="O101" s="158" t="str">
        <f>O69</f>
        <v xml:space="preserve">moule L 30 cm X l 9 cm X H 6 cm </v>
      </c>
      <c r="P101" s="159" t="str">
        <f>P69</f>
        <v>Recette mère ► le Boudin en 4 déclinaisons</v>
      </c>
      <c r="Q101" s="172" t="s">
        <v>12978</v>
      </c>
      <c r="R101" s="172"/>
      <c r="S101" s="172"/>
      <c r="T101" s="172"/>
      <c r="U101" s="172"/>
      <c r="V101" s="172"/>
      <c r="W101" s="172"/>
      <c r="X101" s="172"/>
      <c r="Y101" s="172"/>
      <c r="Z101" s="555"/>
      <c r="AA101" s="5211"/>
      <c r="AB101" s="1178"/>
      <c r="AC101" s="1179"/>
      <c r="AD101" s="227" t="s">
        <v>22</v>
      </c>
      <c r="AE101" s="1027" t="str">
        <f t="shared" si="52"/>
        <v>►</v>
      </c>
      <c r="AF101" s="1028" t="str">
        <f t="shared" si="53"/>
        <v/>
      </c>
      <c r="AG101" s="1029" t="str">
        <f t="shared" si="54"/>
        <v/>
      </c>
      <c r="AH101" s="1028" t="str">
        <f t="shared" si="55"/>
        <v/>
      </c>
      <c r="AI101" s="1029" t="str">
        <f t="shared" si="56"/>
        <v/>
      </c>
      <c r="AJ101" s="1029">
        <f t="shared" si="57"/>
        <v>0</v>
      </c>
      <c r="AK101" s="1043" t="str" cm="1">
        <f t="array" ref="AK101">IF(AE101&lt;&gt;"A","",IFERROR((IFERROR(_xlfn.XLOOKUP(TRIM(SUBSTITUTE(U101,CHAR(160)," ")),$BI$15:$BI$62,$BL$15:$BL$62),IFERROR(_xlfn.XLOOKUP(TRIM(SUBSTITUTE(U101,CHAR(160)," ")),$BJ$15:$BJ$62,$BL$15:$BL$62),_xlfn.XLOOKUP(TRIM(SUBSTITUTE(U101,CHAR(160)," ")),$BK$15:$BK$62,$BL$15:$BL$62))))*T101*IF(ISBLANK(Q101),1,Q101)+IFERROR(_xlfn.XLOOKUP("RECHERCHEX",TRIM(L101:AC101),L101:AC101),0),0))</f>
        <v/>
      </c>
      <c r="AL101" s="1030">
        <f t="shared" si="58"/>
        <v>0</v>
      </c>
      <c r="AM101" s="5254" t="str">
        <f t="shared" si="73"/>
        <v/>
      </c>
      <c r="AN101" s="1031">
        <f t="shared" si="59"/>
        <v>0</v>
      </c>
      <c r="AO101" s="1031">
        <f t="shared" si="60"/>
        <v>0</v>
      </c>
      <c r="AP101" s="1044">
        <f t="shared" si="61"/>
        <v>0</v>
      </c>
      <c r="AQ101" s="5257" t="str">
        <f t="shared" si="62"/>
        <v/>
      </c>
      <c r="AR101" s="1056"/>
      <c r="AS101" s="1056"/>
      <c r="AT101" s="1045">
        <f t="shared" si="63"/>
        <v>0</v>
      </c>
      <c r="AU101" s="1046">
        <f t="shared" si="64"/>
        <v>0</v>
      </c>
      <c r="AV101" s="1059" cm="1">
        <f t="array" ref="AV101">IF(AJ101&lt;&gt;1,0,IF(OR(AT101="",N(AT101)&lt;=0.000000001),"",IF(OR(AN101="",N(AN101)&lt;=0.000000001),0,IF(ISNUMBER(AT101),IFERROR(_xlfn.LET(_xlpm.ai_test,TRIM(AI101),_xlpm.r,IFERROR(_xlfn.XLOOKUP(_xlpm.ai_test,$BI$15:$BI$62,ROW($BI$15:$BI$62),0,1),IFERROR(_xlfn.XLOOKUP(_xlpm.ai_test,$BJ$15:$BJ$62,ROW($BJ$15:$BJ$62),0,1),_xlfn.XLOOKUP(_xlpm.ai_test,$BK$15:$BK$62,ROW($BK$15:$BK$62),0,1))),_xlpm.p,_xlpm.r-MIN(ROW($BI$15:$BI$62))+1,_xlpm.f,INDEX($BL$15:$BL$62,_xlpm.p),_xlpm.u,INDEX($BM$15:$BM$62,_xlpm.p),_xlpm.s,INDEX($BO$15:$BO$62,_xlpm.p),_xlpm.q,N(AT101)/_xlpm.f,IF(_xlpm.q&gt;=_xlpm.s,ROUND(_xlpm.q,1)&amp;" "&amp;_xlpm.ai_test&amp;" = "&amp;ROUND(_xlpm.q*_xlpm.f,1)&amp;" "&amp;_xlpm.u,ROUND(_xlpm.q,1)&amp;" "&amp;_xlpm.ai_test)),""),""))))</f>
        <v>0</v>
      </c>
      <c r="AW101" s="1047"/>
      <c r="AX101" s="1045">
        <f t="shared" si="65"/>
        <v>0</v>
      </c>
      <c r="AY101" s="1046" t="str">
        <f t="shared" si="66"/>
        <v/>
      </c>
      <c r="AZ101" s="1048">
        <f t="shared" si="71"/>
        <v>0</v>
      </c>
      <c r="BA101" s="1049" t="str">
        <f t="shared" si="67"/>
        <v/>
      </c>
      <c r="BB101" s="1038"/>
      <c r="BC101" s="1050">
        <f t="shared" si="72"/>
        <v>0</v>
      </c>
      <c r="BD101" s="1040" t="str">
        <f t="shared" si="68"/>
        <v/>
      </c>
      <c r="BE101" s="227" t="s">
        <v>22</v>
      </c>
      <c r="BF101" s="1019">
        <f t="shared" si="69"/>
        <v>0</v>
      </c>
      <c r="BG101" s="1020">
        <f t="shared" si="70"/>
        <v>0</v>
      </c>
      <c r="BI101" s="1118" t="s">
        <v>825</v>
      </c>
      <c r="BJ101" s="873"/>
      <c r="BK101" s="873"/>
      <c r="BL101" s="873"/>
      <c r="BM101" s="873"/>
      <c r="BN101" s="873"/>
      <c r="BO101" s="873"/>
      <c r="BP101" s="873"/>
      <c r="BQ101" s="873"/>
      <c r="BR101" s="873"/>
      <c r="BS101" s="873"/>
      <c r="BT101" s="873"/>
      <c r="BU101" s="873"/>
      <c r="BV101"/>
      <c r="BW101" s="959" t="str">
        <f t="shared" si="49"/>
        <v>►</v>
      </c>
      <c r="BX101"/>
      <c r="BY101"/>
      <c r="BZ101"/>
      <c r="CA101"/>
      <c r="CB101"/>
      <c r="CC101" s="957"/>
      <c r="CD101"/>
      <c r="CE101"/>
      <c r="CF101"/>
      <c r="CG101"/>
      <c r="CH101"/>
      <c r="CI101"/>
      <c r="CJ101"/>
      <c r="CK101"/>
      <c r="CL101"/>
      <c r="CM101"/>
      <c r="CN101"/>
      <c r="CO101"/>
      <c r="CP101"/>
      <c r="CQ101"/>
      <c r="CR101"/>
      <c r="CS101"/>
      <c r="CT101"/>
      <c r="CU101"/>
      <c r="CV101"/>
      <c r="CW101"/>
      <c r="CX101"/>
      <c r="CY101"/>
      <c r="CZ101"/>
      <c r="DB101" s="3">
        <v>1</v>
      </c>
    </row>
    <row r="102" spans="1:106" s="709" customFormat="1" ht="21" customHeight="1">
      <c r="A102" s="936" t="s">
        <v>22</v>
      </c>
      <c r="B102" s="952" t="str">
        <f t="shared" si="48"/>
        <v>A</v>
      </c>
      <c r="C102" s="993" cm="1">
        <f t="array" ref="C102">SUMPRODUCT(LEN(D102:J102))</f>
        <v>0</v>
      </c>
      <c r="D102" s="167"/>
      <c r="E102" s="172"/>
      <c r="F102" s="172"/>
      <c r="G102" s="172"/>
      <c r="H102" s="172"/>
      <c r="I102" s="172"/>
      <c r="J102" s="173"/>
      <c r="K102" s="442"/>
      <c r="L102" s="104" t="str">
        <f>IF(OR(Q102&lt;&gt;"",R102&lt;&gt; "",S102&lt;&gt;"",T102&lt;&gt;""),"A", "►")</f>
        <v>A</v>
      </c>
      <c r="M102" s="157" t="str">
        <f>M69</f>
        <v>T TERRINE DE PIEDS DE PORC pour tranches | | Auteur &gt; Guy KRENZE - Eric GODDYN - Arnaud NICOLAS - CEPROC 2002</v>
      </c>
      <c r="N102" s="157">
        <f>N69</f>
        <v>1</v>
      </c>
      <c r="O102" s="158" t="str">
        <f>O69</f>
        <v xml:space="preserve">moule L 30 cm X l 9 cm X H 6 cm </v>
      </c>
      <c r="P102" s="159" t="str">
        <f>P69</f>
        <v>Recette mère ► le Boudin en 4 déclinaisons</v>
      </c>
      <c r="Q102" s="172" t="s">
        <v>12861</v>
      </c>
      <c r="R102" s="172"/>
      <c r="S102" s="172"/>
      <c r="T102" s="172"/>
      <c r="U102" s="172"/>
      <c r="V102" s="172"/>
      <c r="W102" s="172"/>
      <c r="X102" s="172"/>
      <c r="Y102" s="172"/>
      <c r="Z102" s="555"/>
      <c r="AA102" s="5211"/>
      <c r="AB102" s="1178"/>
      <c r="AC102" s="1179"/>
      <c r="AD102" s="227" t="s">
        <v>22</v>
      </c>
      <c r="AE102" s="1027" t="str">
        <f t="shared" si="52"/>
        <v>►</v>
      </c>
      <c r="AF102" s="1028" t="str">
        <f t="shared" si="53"/>
        <v/>
      </c>
      <c r="AG102" s="1029" t="str">
        <f t="shared" si="54"/>
        <v/>
      </c>
      <c r="AH102" s="1028" t="str">
        <f t="shared" si="55"/>
        <v/>
      </c>
      <c r="AI102" s="1029" t="str">
        <f t="shared" si="56"/>
        <v/>
      </c>
      <c r="AJ102" s="1029">
        <f t="shared" si="57"/>
        <v>0</v>
      </c>
      <c r="AK102" s="1043" t="str" cm="1">
        <f t="array" ref="AK102">IF(AE102&lt;&gt;"A","",IFERROR((IFERROR(_xlfn.XLOOKUP(TRIM(SUBSTITUTE(U102,CHAR(160)," ")),$BI$15:$BI$62,$BL$15:$BL$62),IFERROR(_xlfn.XLOOKUP(TRIM(SUBSTITUTE(U102,CHAR(160)," ")),$BJ$15:$BJ$62,$BL$15:$BL$62),_xlfn.XLOOKUP(TRIM(SUBSTITUTE(U102,CHAR(160)," ")),$BK$15:$BK$62,$BL$15:$BL$62))))*T102*IF(ISBLANK(Q102),1,Q102)+IFERROR(_xlfn.XLOOKUP("RECHERCHEX",TRIM(L102:AC102),L102:AC102),0),0))</f>
        <v/>
      </c>
      <c r="AL102" s="1030">
        <f t="shared" si="58"/>
        <v>0</v>
      </c>
      <c r="AM102" s="5254" t="str">
        <f t="shared" si="73"/>
        <v/>
      </c>
      <c r="AN102" s="1031">
        <f t="shared" si="59"/>
        <v>0</v>
      </c>
      <c r="AO102" s="1031">
        <f t="shared" si="60"/>
        <v>0</v>
      </c>
      <c r="AP102" s="1032">
        <f t="shared" si="61"/>
        <v>0</v>
      </c>
      <c r="AQ102" s="5255" t="str">
        <f t="shared" si="62"/>
        <v/>
      </c>
      <c r="AR102" s="1056"/>
      <c r="AS102" s="1056"/>
      <c r="AT102" s="1034">
        <f t="shared" si="63"/>
        <v>0</v>
      </c>
      <c r="AU102" s="1035">
        <f t="shared" si="64"/>
        <v>0</v>
      </c>
      <c r="AV102" s="1057" cm="1">
        <f t="array" ref="AV102">IF(AJ102&lt;&gt;1,0,IF(OR(AT102="",N(AT102)&lt;=0.000000001),"",IF(OR(AN102="",N(AN102)&lt;=0.000000001),0,IF(ISNUMBER(AT102),IFERROR(_xlfn.LET(_xlpm.ai_test,TRIM(AI102),_xlpm.r,IFERROR(_xlfn.XLOOKUP(_xlpm.ai_test,$BI$15:$BI$62,ROW($BI$15:$BI$62),0,1),IFERROR(_xlfn.XLOOKUP(_xlpm.ai_test,$BJ$15:$BJ$62,ROW($BJ$15:$BJ$62),0,1),_xlfn.XLOOKUP(_xlpm.ai_test,$BK$15:$BK$62,ROW($BK$15:$BK$62),0,1))),_xlpm.p,_xlpm.r-MIN(ROW($BI$15:$BI$62))+1,_xlpm.f,INDEX($BL$15:$BL$62,_xlpm.p),_xlpm.u,INDEX($BM$15:$BM$62,_xlpm.p),_xlpm.s,INDEX($BO$15:$BO$62,_xlpm.p),_xlpm.q,N(AT102)/_xlpm.f,IF(_xlpm.q&gt;=_xlpm.s,ROUND(_xlpm.q,1)&amp;" "&amp;_xlpm.ai_test&amp;" = "&amp;ROUND(_xlpm.q*_xlpm.f,1)&amp;" "&amp;_xlpm.u,ROUND(_xlpm.q,1)&amp;" "&amp;_xlpm.ai_test)),""),""))))</f>
        <v>0</v>
      </c>
      <c r="AW102" s="1047"/>
      <c r="AX102" s="1034">
        <f t="shared" si="65"/>
        <v>0</v>
      </c>
      <c r="AY102" s="1035" t="str">
        <f t="shared" si="66"/>
        <v/>
      </c>
      <c r="AZ102" s="1036">
        <f t="shared" si="71"/>
        <v>0</v>
      </c>
      <c r="BA102" s="1037" t="str">
        <f t="shared" si="67"/>
        <v/>
      </c>
      <c r="BB102" s="1038"/>
      <c r="BC102" s="1039">
        <f t="shared" si="72"/>
        <v>0</v>
      </c>
      <c r="BD102" s="1040" t="str">
        <f t="shared" si="68"/>
        <v/>
      </c>
      <c r="BE102" s="227" t="s">
        <v>22</v>
      </c>
      <c r="BF102" s="1019">
        <f t="shared" si="69"/>
        <v>0</v>
      </c>
      <c r="BG102" s="1020">
        <f t="shared" si="70"/>
        <v>0</v>
      </c>
      <c r="BI102" s="1123" t="s">
        <v>1973</v>
      </c>
      <c r="BJ102" s="873"/>
      <c r="BK102" s="873"/>
      <c r="BL102" s="873"/>
      <c r="BM102" s="873"/>
      <c r="BN102" s="873"/>
      <c r="BO102" s="873"/>
      <c r="BP102" s="873"/>
      <c r="BQ102" s="873"/>
      <c r="BR102" s="873"/>
      <c r="BS102" s="873"/>
      <c r="BT102" s="873"/>
      <c r="BU102" s="873"/>
      <c r="BV102"/>
      <c r="BW102" s="959" t="str">
        <f t="shared" si="49"/>
        <v>►</v>
      </c>
      <c r="BX102"/>
      <c r="BY102"/>
      <c r="BZ102"/>
      <c r="CA102"/>
      <c r="CB102"/>
      <c r="CC102" s="957"/>
      <c r="CD102"/>
      <c r="CE102"/>
      <c r="CF102"/>
      <c r="CG102"/>
      <c r="CH102"/>
      <c r="CI102"/>
      <c r="CJ102"/>
      <c r="CK102"/>
      <c r="CL102"/>
      <c r="CM102"/>
      <c r="CN102"/>
      <c r="CO102"/>
      <c r="CP102"/>
      <c r="CQ102"/>
      <c r="CR102"/>
      <c r="CS102"/>
      <c r="CT102"/>
      <c r="CU102"/>
      <c r="CV102"/>
      <c r="CW102"/>
      <c r="CX102"/>
      <c r="CY102"/>
      <c r="CZ102"/>
      <c r="DB102" s="3">
        <v>1</v>
      </c>
    </row>
    <row r="103" spans="1:106" s="709" customFormat="1" ht="21" customHeight="1">
      <c r="A103" s="936" t="s">
        <v>22</v>
      </c>
      <c r="B103" s="952" t="str">
        <f t="shared" si="48"/>
        <v>A</v>
      </c>
      <c r="C103" s="993" cm="1">
        <f t="array" ref="C103">SUMPRODUCT(LEN(D103:J103))</f>
        <v>0</v>
      </c>
      <c r="D103" s="167"/>
      <c r="E103" s="172"/>
      <c r="F103" s="172"/>
      <c r="G103" s="172"/>
      <c r="H103" s="172"/>
      <c r="I103" s="172"/>
      <c r="J103" s="173"/>
      <c r="K103" s="442"/>
      <c r="L103" s="104" t="str">
        <f>IF(OR(Q103&lt;&gt;"",R103&lt;&gt; "",S103&lt;&gt;"",T103&lt;&gt;""),"A", "►")</f>
        <v>A</v>
      </c>
      <c r="M103" s="157" t="str">
        <f>M69</f>
        <v>T TERRINE DE PIEDS DE PORC pour tranches | | Auteur &gt; Guy KRENZE - Eric GODDYN - Arnaud NICOLAS - CEPROC 2002</v>
      </c>
      <c r="N103" s="157">
        <f>N69</f>
        <v>1</v>
      </c>
      <c r="O103" s="158" t="str">
        <f>O69</f>
        <v xml:space="preserve">moule L 30 cm X l 9 cm X H 6 cm </v>
      </c>
      <c r="P103" s="159" t="str">
        <f>P69</f>
        <v>Recette mère ► le Boudin en 4 déclinaisons</v>
      </c>
      <c r="Q103" s="172" t="s">
        <v>12862</v>
      </c>
      <c r="R103" s="172"/>
      <c r="S103" s="172"/>
      <c r="T103" s="172"/>
      <c r="U103" s="172"/>
      <c r="V103" s="172"/>
      <c r="W103" s="172"/>
      <c r="X103" s="172"/>
      <c r="Y103" s="172"/>
      <c r="Z103" s="555"/>
      <c r="AA103" s="5211"/>
      <c r="AB103" s="1178"/>
      <c r="AC103" s="1179"/>
      <c r="AD103" s="227" t="s">
        <v>22</v>
      </c>
      <c r="AE103" s="1027" t="str">
        <f t="shared" si="52"/>
        <v>►</v>
      </c>
      <c r="AF103" s="1028" t="str">
        <f t="shared" si="53"/>
        <v/>
      </c>
      <c r="AG103" s="1029" t="str">
        <f t="shared" si="54"/>
        <v/>
      </c>
      <c r="AH103" s="1028" t="str">
        <f t="shared" si="55"/>
        <v/>
      </c>
      <c r="AI103" s="1029" t="str">
        <f t="shared" si="56"/>
        <v/>
      </c>
      <c r="AJ103" s="1029">
        <f t="shared" si="57"/>
        <v>0</v>
      </c>
      <c r="AK103" s="1043" t="str" cm="1">
        <f t="array" ref="AK103">IF(AE103&lt;&gt;"A","",IFERROR((IFERROR(_xlfn.XLOOKUP(TRIM(SUBSTITUTE(U103,CHAR(160)," ")),$BI$15:$BI$62,$BL$15:$BL$62),IFERROR(_xlfn.XLOOKUP(TRIM(SUBSTITUTE(U103,CHAR(160)," ")),$BJ$15:$BJ$62,$BL$15:$BL$62),_xlfn.XLOOKUP(TRIM(SUBSTITUTE(U103,CHAR(160)," ")),$BK$15:$BK$62,$BL$15:$BL$62))))*T103*IF(ISBLANK(Q103),1,Q103)+IFERROR(_xlfn.XLOOKUP("RECHERCHEX",TRIM(L103:AC103),L103:AC103),0),0))</f>
        <v/>
      </c>
      <c r="AL103" s="1030">
        <f t="shared" si="58"/>
        <v>0</v>
      </c>
      <c r="AM103" s="5254" t="str">
        <f t="shared" si="73"/>
        <v/>
      </c>
      <c r="AN103" s="1031">
        <f t="shared" si="59"/>
        <v>0</v>
      </c>
      <c r="AO103" s="1031">
        <f t="shared" si="60"/>
        <v>0</v>
      </c>
      <c r="AP103" s="1044">
        <f t="shared" si="61"/>
        <v>0</v>
      </c>
      <c r="AQ103" s="5257" t="str">
        <f t="shared" si="62"/>
        <v/>
      </c>
      <c r="AR103" s="1056"/>
      <c r="AS103" s="1056"/>
      <c r="AT103" s="1045">
        <f t="shared" si="63"/>
        <v>0</v>
      </c>
      <c r="AU103" s="1046">
        <f t="shared" si="64"/>
        <v>0</v>
      </c>
      <c r="AV103" s="1059" cm="1">
        <f t="array" ref="AV103">IF(AJ103&lt;&gt;1,0,IF(OR(AT103="",N(AT103)&lt;=0.000000001),"",IF(OR(AN103="",N(AN103)&lt;=0.000000001),0,IF(ISNUMBER(AT103),IFERROR(_xlfn.LET(_xlpm.ai_test,TRIM(AI103),_xlpm.r,IFERROR(_xlfn.XLOOKUP(_xlpm.ai_test,$BI$15:$BI$62,ROW($BI$15:$BI$62),0,1),IFERROR(_xlfn.XLOOKUP(_xlpm.ai_test,$BJ$15:$BJ$62,ROW($BJ$15:$BJ$62),0,1),_xlfn.XLOOKUP(_xlpm.ai_test,$BK$15:$BK$62,ROW($BK$15:$BK$62),0,1))),_xlpm.p,_xlpm.r-MIN(ROW($BI$15:$BI$62))+1,_xlpm.f,INDEX($BL$15:$BL$62,_xlpm.p),_xlpm.u,INDEX($BM$15:$BM$62,_xlpm.p),_xlpm.s,INDEX($BO$15:$BO$62,_xlpm.p),_xlpm.q,N(AT103)/_xlpm.f,IF(_xlpm.q&gt;=_xlpm.s,ROUND(_xlpm.q,1)&amp;" "&amp;_xlpm.ai_test&amp;" = "&amp;ROUND(_xlpm.q*_xlpm.f,1)&amp;" "&amp;_xlpm.u,ROUND(_xlpm.q,1)&amp;" "&amp;_xlpm.ai_test)),""),""))))</f>
        <v>0</v>
      </c>
      <c r="AW103" s="1047"/>
      <c r="AX103" s="1045">
        <f t="shared" si="65"/>
        <v>0</v>
      </c>
      <c r="AY103" s="1046" t="str">
        <f t="shared" si="66"/>
        <v/>
      </c>
      <c r="AZ103" s="1048">
        <f t="shared" si="71"/>
        <v>0</v>
      </c>
      <c r="BA103" s="1049" t="str">
        <f t="shared" si="67"/>
        <v/>
      </c>
      <c r="BB103" s="1038"/>
      <c r="BC103" s="1050">
        <f t="shared" si="72"/>
        <v>0</v>
      </c>
      <c r="BD103" s="1040" t="str">
        <f t="shared" si="68"/>
        <v/>
      </c>
      <c r="BE103" s="227" t="s">
        <v>22</v>
      </c>
      <c r="BF103" s="1019">
        <f t="shared" si="69"/>
        <v>0</v>
      </c>
      <c r="BG103" s="1020">
        <f t="shared" si="70"/>
        <v>0</v>
      </c>
      <c r="BI103" s="1123" t="s">
        <v>1974</v>
      </c>
      <c r="BJ103" s="873"/>
      <c r="BK103" s="873"/>
      <c r="BL103" s="873"/>
      <c r="BM103" s="873"/>
      <c r="BN103" s="873"/>
      <c r="BO103" s="873"/>
      <c r="BP103" s="873"/>
      <c r="BQ103" s="873"/>
      <c r="BR103" s="873"/>
      <c r="BS103" s="873"/>
      <c r="BT103" s="873"/>
      <c r="BU103" s="873"/>
      <c r="BV103"/>
      <c r="BW103" s="959" t="str">
        <f t="shared" si="49"/>
        <v>►</v>
      </c>
      <c r="BX103"/>
      <c r="BY103"/>
      <c r="BZ103"/>
      <c r="CA103"/>
      <c r="CB103"/>
      <c r="CC103" s="957"/>
      <c r="CD103"/>
      <c r="CE103"/>
      <c r="CF103"/>
      <c r="CG103"/>
      <c r="CH103"/>
      <c r="CI103"/>
      <c r="CJ103"/>
      <c r="CK103"/>
      <c r="CL103"/>
      <c r="CM103"/>
      <c r="CN103"/>
      <c r="CO103"/>
      <c r="CP103"/>
      <c r="CQ103"/>
      <c r="CR103"/>
      <c r="CS103"/>
      <c r="CT103"/>
      <c r="CU103"/>
      <c r="CV103"/>
      <c r="CW103"/>
      <c r="CX103"/>
      <c r="CY103"/>
      <c r="CZ103"/>
      <c r="DB103" s="3">
        <v>1</v>
      </c>
    </row>
    <row r="104" spans="1:106" s="709" customFormat="1" ht="21" customHeight="1">
      <c r="A104" s="936" t="s">
        <v>22</v>
      </c>
      <c r="B104" s="952" t="str">
        <f t="shared" si="48"/>
        <v>A</v>
      </c>
      <c r="C104" s="993" cm="1">
        <f t="array" ref="C104">SUMPRODUCT(LEN(D104:J104))</f>
        <v>0</v>
      </c>
      <c r="D104" s="167"/>
      <c r="E104" s="172"/>
      <c r="F104" s="172"/>
      <c r="G104" s="172"/>
      <c r="H104" s="172"/>
      <c r="I104" s="172"/>
      <c r="J104" s="173"/>
      <c r="K104" s="442"/>
      <c r="L104" s="104" t="str">
        <f>IF(OR(Q104&lt;&gt;"",R104&lt;&gt; "",S104&lt;&gt;"",T104&lt;&gt;""),"A", "►")</f>
        <v>A</v>
      </c>
      <c r="M104" s="157" t="str">
        <f>M69</f>
        <v>T TERRINE DE PIEDS DE PORC pour tranches | | Auteur &gt; Guy KRENZE - Eric GODDYN - Arnaud NICOLAS - CEPROC 2002</v>
      </c>
      <c r="N104" s="157">
        <f>N69</f>
        <v>1</v>
      </c>
      <c r="O104" s="158" t="str">
        <f>O69</f>
        <v xml:space="preserve">moule L 30 cm X l 9 cm X H 6 cm </v>
      </c>
      <c r="P104" s="159" t="str">
        <f>P69</f>
        <v>Recette mère ► le Boudin en 4 déclinaisons</v>
      </c>
      <c r="Q104" s="172" t="s">
        <v>12985</v>
      </c>
      <c r="R104" s="172"/>
      <c r="S104" s="172"/>
      <c r="T104" s="172"/>
      <c r="U104" s="172"/>
      <c r="V104" s="172"/>
      <c r="W104" s="172"/>
      <c r="X104" s="172"/>
      <c r="Y104" s="172"/>
      <c r="Z104" s="555"/>
      <c r="AA104" s="5211"/>
      <c r="AB104" s="1178"/>
      <c r="AC104" s="1179"/>
      <c r="AD104" s="227" t="s">
        <v>22</v>
      </c>
      <c r="AE104" s="1027" t="str">
        <f t="shared" si="52"/>
        <v>►</v>
      </c>
      <c r="AF104" s="1028" t="str">
        <f t="shared" si="53"/>
        <v/>
      </c>
      <c r="AG104" s="1029" t="str">
        <f t="shared" si="54"/>
        <v/>
      </c>
      <c r="AH104" s="1028" t="str">
        <f t="shared" si="55"/>
        <v/>
      </c>
      <c r="AI104" s="1029" t="str">
        <f t="shared" si="56"/>
        <v/>
      </c>
      <c r="AJ104" s="1029">
        <f t="shared" si="57"/>
        <v>0</v>
      </c>
      <c r="AK104" s="1043" t="str" cm="1">
        <f t="array" ref="AK104">IF(AE104&lt;&gt;"A","",IFERROR((IFERROR(_xlfn.XLOOKUP(TRIM(SUBSTITUTE(U104,CHAR(160)," ")),$BI$15:$BI$62,$BL$15:$BL$62),IFERROR(_xlfn.XLOOKUP(TRIM(SUBSTITUTE(U104,CHAR(160)," ")),$BJ$15:$BJ$62,$BL$15:$BL$62),_xlfn.XLOOKUP(TRIM(SUBSTITUTE(U104,CHAR(160)," ")),$BK$15:$BK$62,$BL$15:$BL$62))))*T104*IF(ISBLANK(Q104),1,Q104)+IFERROR(_xlfn.XLOOKUP("RECHERCHEX",TRIM(L104:AC104),L104:AC104),0),0))</f>
        <v/>
      </c>
      <c r="AL104" s="1030">
        <f t="shared" si="58"/>
        <v>0</v>
      </c>
      <c r="AM104" s="5254" t="str">
        <f t="shared" si="73"/>
        <v/>
      </c>
      <c r="AN104" s="1031">
        <f t="shared" si="59"/>
        <v>0</v>
      </c>
      <c r="AO104" s="1031">
        <f t="shared" si="60"/>
        <v>0</v>
      </c>
      <c r="AP104" s="1032">
        <f t="shared" si="61"/>
        <v>0</v>
      </c>
      <c r="AQ104" s="5255" t="str">
        <f t="shared" si="62"/>
        <v/>
      </c>
      <c r="AR104" s="1056"/>
      <c r="AS104" s="1056"/>
      <c r="AT104" s="1034">
        <f t="shared" si="63"/>
        <v>0</v>
      </c>
      <c r="AU104" s="1035">
        <f t="shared" si="64"/>
        <v>0</v>
      </c>
      <c r="AV104" s="1057" cm="1">
        <f t="array" ref="AV104">IF(AJ104&lt;&gt;1,0,IF(OR(AT104="",N(AT104)&lt;=0.000000001),"",IF(OR(AN104="",N(AN104)&lt;=0.000000001),0,IF(ISNUMBER(AT104),IFERROR(_xlfn.LET(_xlpm.ai_test,TRIM(AI104),_xlpm.r,IFERROR(_xlfn.XLOOKUP(_xlpm.ai_test,$BI$15:$BI$62,ROW($BI$15:$BI$62),0,1),IFERROR(_xlfn.XLOOKUP(_xlpm.ai_test,$BJ$15:$BJ$62,ROW($BJ$15:$BJ$62),0,1),_xlfn.XLOOKUP(_xlpm.ai_test,$BK$15:$BK$62,ROW($BK$15:$BK$62),0,1))),_xlpm.p,_xlpm.r-MIN(ROW($BI$15:$BI$62))+1,_xlpm.f,INDEX($BL$15:$BL$62,_xlpm.p),_xlpm.u,INDEX($BM$15:$BM$62,_xlpm.p),_xlpm.s,INDEX($BO$15:$BO$62,_xlpm.p),_xlpm.q,N(AT104)/_xlpm.f,IF(_xlpm.q&gt;=_xlpm.s,ROUND(_xlpm.q,1)&amp;" "&amp;_xlpm.ai_test&amp;" = "&amp;ROUND(_xlpm.q*_xlpm.f,1)&amp;" "&amp;_xlpm.u,ROUND(_xlpm.q,1)&amp;" "&amp;_xlpm.ai_test)),""),""))))</f>
        <v>0</v>
      </c>
      <c r="AW104" s="1047"/>
      <c r="AX104" s="1034">
        <f t="shared" si="65"/>
        <v>0</v>
      </c>
      <c r="AY104" s="1035" t="str">
        <f t="shared" si="66"/>
        <v/>
      </c>
      <c r="AZ104" s="1036">
        <f t="shared" si="71"/>
        <v>0</v>
      </c>
      <c r="BA104" s="1037" t="str">
        <f t="shared" si="67"/>
        <v/>
      </c>
      <c r="BB104" s="1038"/>
      <c r="BC104" s="1039">
        <f t="shared" si="72"/>
        <v>0</v>
      </c>
      <c r="BD104" s="1040" t="str">
        <f t="shared" si="68"/>
        <v/>
      </c>
      <c r="BE104" s="227" t="s">
        <v>22</v>
      </c>
      <c r="BF104" s="1019">
        <f t="shared" si="69"/>
        <v>0</v>
      </c>
      <c r="BG104" s="1020">
        <f t="shared" si="70"/>
        <v>0</v>
      </c>
      <c r="BI104" s="231"/>
      <c r="BJ104" s="231"/>
      <c r="BK104" s="231"/>
      <c r="BL104" s="231"/>
      <c r="BM104" s="231"/>
      <c r="BN104" s="231"/>
      <c r="BO104" s="231"/>
      <c r="BP104" s="231"/>
      <c r="BQ104" s="231"/>
      <c r="BR104" s="231"/>
      <c r="BS104" s="231"/>
      <c r="BT104" s="231"/>
      <c r="BU104" s="231"/>
      <c r="BV104"/>
      <c r="BW104" s="959" t="str">
        <f t="shared" si="49"/>
        <v>►</v>
      </c>
      <c r="BX104"/>
      <c r="BY104"/>
      <c r="BZ104"/>
      <c r="CA104"/>
      <c r="CB104"/>
      <c r="CC104" s="957"/>
      <c r="CD104"/>
      <c r="CE104"/>
      <c r="CF104"/>
      <c r="CG104"/>
      <c r="CH104"/>
      <c r="CI104"/>
      <c r="CJ104"/>
      <c r="CK104"/>
      <c r="CL104"/>
      <c r="CM104"/>
      <c r="CN104"/>
      <c r="CO104"/>
      <c r="CP104"/>
      <c r="CQ104"/>
      <c r="CR104"/>
      <c r="CS104"/>
      <c r="CT104"/>
      <c r="CU104"/>
      <c r="CV104"/>
      <c r="CW104"/>
      <c r="CX104"/>
      <c r="CY104"/>
      <c r="CZ104"/>
      <c r="DB104" s="3">
        <v>1</v>
      </c>
    </row>
    <row r="105" spans="1:106" s="709" customFormat="1" ht="21" customHeight="1">
      <c r="A105" s="936" t="s">
        <v>22</v>
      </c>
      <c r="B105" s="952" t="str">
        <f t="shared" si="48"/>
        <v>►</v>
      </c>
      <c r="C105" s="993" cm="1">
        <f t="array" ref="C105">SUMPRODUCT(LEN(D105:J105))</f>
        <v>0</v>
      </c>
      <c r="D105" s="167"/>
      <c r="E105" s="172"/>
      <c r="F105" s="172"/>
      <c r="G105" s="172"/>
      <c r="H105" s="172"/>
      <c r="I105" s="172"/>
      <c r="J105" s="173"/>
      <c r="K105" s="442"/>
      <c r="L105" s="104" t="str">
        <f>IF(OR(Q105&lt;&gt;"",R105&lt;&gt; "",S105&lt;&gt;"",T105&lt;&gt;""),"A", "►")</f>
        <v>►</v>
      </c>
      <c r="M105" s="157" t="str">
        <f>M69</f>
        <v>T TERRINE DE PIEDS DE PORC pour tranches | | Auteur &gt; Guy KRENZE - Eric GODDYN - Arnaud NICOLAS - CEPROC 2002</v>
      </c>
      <c r="N105" s="157">
        <f>N69</f>
        <v>1</v>
      </c>
      <c r="O105" s="158" t="str">
        <f>O69</f>
        <v xml:space="preserve">moule L 30 cm X l 9 cm X H 6 cm </v>
      </c>
      <c r="P105" s="159" t="str">
        <f>P69</f>
        <v>Recette mère ► le Boudin en 4 déclinaisons</v>
      </c>
      <c r="Q105" s="172"/>
      <c r="R105" s="172"/>
      <c r="S105" s="172"/>
      <c r="T105" s="172"/>
      <c r="U105" s="172"/>
      <c r="V105" s="172"/>
      <c r="W105" s="172"/>
      <c r="X105" s="172"/>
      <c r="Y105" s="172"/>
      <c r="Z105" s="555"/>
      <c r="AA105" s="5211"/>
      <c r="AB105" s="1178"/>
      <c r="AC105" s="1179"/>
      <c r="AD105" s="227" t="s">
        <v>22</v>
      </c>
      <c r="AE105" s="1027" t="str">
        <f t="shared" si="52"/>
        <v>►</v>
      </c>
      <c r="AF105" s="1028" t="str">
        <f t="shared" si="53"/>
        <v/>
      </c>
      <c r="AG105" s="1029" t="str">
        <f t="shared" si="54"/>
        <v/>
      </c>
      <c r="AH105" s="1028" t="str">
        <f t="shared" si="55"/>
        <v/>
      </c>
      <c r="AI105" s="1029" t="str">
        <f t="shared" si="56"/>
        <v/>
      </c>
      <c r="AJ105" s="1029">
        <f t="shared" si="57"/>
        <v>0</v>
      </c>
      <c r="AK105" s="1043" t="str" cm="1">
        <f t="array" ref="AK105">IF(AE105&lt;&gt;"A","",IFERROR((IFERROR(_xlfn.XLOOKUP(TRIM(SUBSTITUTE(U105,CHAR(160)," ")),$BI$15:$BI$62,$BL$15:$BL$62),IFERROR(_xlfn.XLOOKUP(TRIM(SUBSTITUTE(U105,CHAR(160)," ")),$BJ$15:$BJ$62,$BL$15:$BL$62),_xlfn.XLOOKUP(TRIM(SUBSTITUTE(U105,CHAR(160)," ")),$BK$15:$BK$62,$BL$15:$BL$62))))*T105*IF(ISBLANK(Q105),1,Q105)+IFERROR(_xlfn.XLOOKUP("RECHERCHEX",TRIM(L105:AC105),L105:AC105),0),0))</f>
        <v/>
      </c>
      <c r="AL105" s="1030">
        <f t="shared" si="58"/>
        <v>0</v>
      </c>
      <c r="AM105" s="5254" t="str">
        <f t="shared" si="73"/>
        <v/>
      </c>
      <c r="AN105" s="1031">
        <f t="shared" si="59"/>
        <v>0</v>
      </c>
      <c r="AO105" s="1031">
        <f t="shared" si="60"/>
        <v>0</v>
      </c>
      <c r="AP105" s="1044">
        <f t="shared" si="61"/>
        <v>0</v>
      </c>
      <c r="AQ105" s="5257" t="str">
        <f t="shared" si="62"/>
        <v/>
      </c>
      <c r="AR105" s="1056"/>
      <c r="AS105" s="1056"/>
      <c r="AT105" s="1045">
        <f t="shared" si="63"/>
        <v>0</v>
      </c>
      <c r="AU105" s="1046">
        <f t="shared" si="64"/>
        <v>0</v>
      </c>
      <c r="AV105" s="1059" cm="1">
        <f t="array" ref="AV105">IF(AJ105&lt;&gt;1,0,IF(OR(AT105="",N(AT105)&lt;=0.000000001),"",IF(OR(AN105="",N(AN105)&lt;=0.000000001),0,IF(ISNUMBER(AT105),IFERROR(_xlfn.LET(_xlpm.ai_test,TRIM(AI105),_xlpm.r,IFERROR(_xlfn.XLOOKUP(_xlpm.ai_test,$BI$15:$BI$62,ROW($BI$15:$BI$62),0,1),IFERROR(_xlfn.XLOOKUP(_xlpm.ai_test,$BJ$15:$BJ$62,ROW($BJ$15:$BJ$62),0,1),_xlfn.XLOOKUP(_xlpm.ai_test,$BK$15:$BK$62,ROW($BK$15:$BK$62),0,1))),_xlpm.p,_xlpm.r-MIN(ROW($BI$15:$BI$62))+1,_xlpm.f,INDEX($BL$15:$BL$62,_xlpm.p),_xlpm.u,INDEX($BM$15:$BM$62,_xlpm.p),_xlpm.s,INDEX($BO$15:$BO$62,_xlpm.p),_xlpm.q,N(AT105)/_xlpm.f,IF(_xlpm.q&gt;=_xlpm.s,ROUND(_xlpm.q,1)&amp;" "&amp;_xlpm.ai_test&amp;" = "&amp;ROUND(_xlpm.q*_xlpm.f,1)&amp;" "&amp;_xlpm.u,ROUND(_xlpm.q,1)&amp;" "&amp;_xlpm.ai_test)),""),""))))</f>
        <v>0</v>
      </c>
      <c r="AW105" s="1047"/>
      <c r="AX105" s="1045">
        <f t="shared" si="65"/>
        <v>0</v>
      </c>
      <c r="AY105" s="1046" t="str">
        <f t="shared" si="66"/>
        <v/>
      </c>
      <c r="AZ105" s="1048">
        <f t="shared" si="71"/>
        <v>0</v>
      </c>
      <c r="BA105" s="1049" t="str">
        <f t="shared" si="67"/>
        <v/>
      </c>
      <c r="BB105" s="1038"/>
      <c r="BC105" s="1050">
        <f t="shared" si="72"/>
        <v>0</v>
      </c>
      <c r="BD105" s="1040" t="str">
        <f t="shared" si="68"/>
        <v/>
      </c>
      <c r="BE105" s="227" t="s">
        <v>22</v>
      </c>
      <c r="BF105" s="1019">
        <f t="shared" si="69"/>
        <v>0</v>
      </c>
      <c r="BG105" s="1020">
        <f t="shared" si="70"/>
        <v>0</v>
      </c>
      <c r="BI105" s="1118" t="s">
        <v>826</v>
      </c>
      <c r="BJ105" s="231"/>
      <c r="BK105" s="231"/>
      <c r="BL105" s="231"/>
      <c r="BM105" s="231"/>
      <c r="BN105" s="231"/>
      <c r="BO105" s="231"/>
      <c r="BP105" s="231"/>
      <c r="BQ105" s="231"/>
      <c r="BR105" s="231"/>
      <c r="BS105" s="231"/>
      <c r="BT105" s="231"/>
      <c r="BU105" s="231"/>
      <c r="BV105"/>
      <c r="BW105" s="959" t="str">
        <f t="shared" si="49"/>
        <v>►</v>
      </c>
      <c r="BX105"/>
      <c r="BY105"/>
      <c r="BZ105"/>
      <c r="CA105"/>
      <c r="CB105"/>
      <c r="CC105" s="957"/>
      <c r="CD105"/>
      <c r="CE105"/>
      <c r="CF105"/>
      <c r="CG105"/>
      <c r="CH105"/>
      <c r="CI105"/>
      <c r="CJ105"/>
      <c r="CK105"/>
      <c r="CL105"/>
      <c r="CM105"/>
      <c r="CN105"/>
      <c r="CO105"/>
      <c r="CP105"/>
      <c r="CQ105"/>
      <c r="CR105"/>
      <c r="CS105"/>
      <c r="CT105"/>
      <c r="CU105"/>
      <c r="CV105"/>
      <c r="CW105"/>
      <c r="CX105"/>
      <c r="CY105"/>
      <c r="CZ105"/>
      <c r="DB105" s="3">
        <v>1</v>
      </c>
    </row>
    <row r="106" spans="1:106" s="709" customFormat="1" ht="21" customHeight="1">
      <c r="A106" s="936" t="s">
        <v>22</v>
      </c>
      <c r="B106" s="952" t="str">
        <f t="shared" si="48"/>
        <v>►</v>
      </c>
      <c r="C106" s="993" cm="1">
        <f t="array" ref="C106">SUMPRODUCT(LEN(D106:J106))</f>
        <v>0</v>
      </c>
      <c r="D106" s="167"/>
      <c r="E106" s="172"/>
      <c r="F106" s="172"/>
      <c r="G106" s="172"/>
      <c r="H106" s="172"/>
      <c r="I106" s="172"/>
      <c r="J106" s="173"/>
      <c r="K106" s="442"/>
      <c r="L106" s="196" t="s">
        <v>16</v>
      </c>
      <c r="M106" s="157" t="str">
        <f>M69</f>
        <v>T TERRINE DE PIEDS DE PORC pour tranches | | Auteur &gt; Guy KRENZE - Eric GODDYN - Arnaud NICOLAS - CEPROC 2002</v>
      </c>
      <c r="N106" s="157">
        <f>N69</f>
        <v>1</v>
      </c>
      <c r="O106" s="158" t="str">
        <f>O69</f>
        <v xml:space="preserve">moule L 30 cm X l 9 cm X H 6 cm </v>
      </c>
      <c r="P106" s="159" t="str">
        <f>P69</f>
        <v>Recette mère ► le Boudin en 4 déclinaisons</v>
      </c>
      <c r="Q106" s="172"/>
      <c r="R106" s="172"/>
      <c r="S106" s="172"/>
      <c r="T106" s="172"/>
      <c r="U106" s="172"/>
      <c r="V106" s="172"/>
      <c r="W106" s="172"/>
      <c r="X106" s="172"/>
      <c r="Y106" s="172"/>
      <c r="Z106" s="555"/>
      <c r="AA106" s="5211"/>
      <c r="AB106" s="1178"/>
      <c r="AC106" s="1179"/>
      <c r="AD106" s="227" t="s">
        <v>22</v>
      </c>
      <c r="AE106" s="1027" t="str">
        <f t="shared" si="52"/>
        <v>►</v>
      </c>
      <c r="AF106" s="1028" t="str">
        <f t="shared" si="53"/>
        <v/>
      </c>
      <c r="AG106" s="1029" t="str">
        <f t="shared" si="54"/>
        <v/>
      </c>
      <c r="AH106" s="1028" t="str">
        <f t="shared" si="55"/>
        <v/>
      </c>
      <c r="AI106" s="1029" t="str">
        <f t="shared" si="56"/>
        <v/>
      </c>
      <c r="AJ106" s="1029">
        <f t="shared" si="57"/>
        <v>0</v>
      </c>
      <c r="AK106" s="1043" t="str" cm="1">
        <f t="array" ref="AK106">IF(AE106&lt;&gt;"A","",IFERROR((IFERROR(_xlfn.XLOOKUP(TRIM(SUBSTITUTE(U106,CHAR(160)," ")),$BI$15:$BI$62,$BL$15:$BL$62),IFERROR(_xlfn.XLOOKUP(TRIM(SUBSTITUTE(U106,CHAR(160)," ")),$BJ$15:$BJ$62,$BL$15:$BL$62),_xlfn.XLOOKUP(TRIM(SUBSTITUTE(U106,CHAR(160)," ")),$BK$15:$BK$62,$BL$15:$BL$62))))*T106*IF(ISBLANK(Q106),1,Q106)+IFERROR(_xlfn.XLOOKUP("RECHERCHEX",TRIM(L106:AC106),L106:AC106),0),0))</f>
        <v/>
      </c>
      <c r="AL106" s="1030">
        <f t="shared" si="58"/>
        <v>0</v>
      </c>
      <c r="AM106" s="5254" t="str">
        <f t="shared" si="73"/>
        <v/>
      </c>
      <c r="AN106" s="1031">
        <f t="shared" si="59"/>
        <v>0</v>
      </c>
      <c r="AO106" s="1031">
        <f t="shared" si="60"/>
        <v>0</v>
      </c>
      <c r="AP106" s="1032">
        <f t="shared" si="61"/>
        <v>0</v>
      </c>
      <c r="AQ106" s="5255" t="str">
        <f t="shared" si="62"/>
        <v/>
      </c>
      <c r="AR106" s="1056"/>
      <c r="AS106" s="1056"/>
      <c r="AT106" s="1034">
        <f t="shared" si="63"/>
        <v>0</v>
      </c>
      <c r="AU106" s="1035">
        <f t="shared" si="64"/>
        <v>0</v>
      </c>
      <c r="AV106" s="1057" cm="1">
        <f t="array" ref="AV106">IF(AJ106&lt;&gt;1,0,IF(OR(AT106="",N(AT106)&lt;=0.000000001),"",IF(OR(AN106="",N(AN106)&lt;=0.000000001),0,IF(ISNUMBER(AT106),IFERROR(_xlfn.LET(_xlpm.ai_test,TRIM(AI106),_xlpm.r,IFERROR(_xlfn.XLOOKUP(_xlpm.ai_test,$BI$15:$BI$62,ROW($BI$15:$BI$62),0,1),IFERROR(_xlfn.XLOOKUP(_xlpm.ai_test,$BJ$15:$BJ$62,ROW($BJ$15:$BJ$62),0,1),_xlfn.XLOOKUP(_xlpm.ai_test,$BK$15:$BK$62,ROW($BK$15:$BK$62),0,1))),_xlpm.p,_xlpm.r-MIN(ROW($BI$15:$BI$62))+1,_xlpm.f,INDEX($BL$15:$BL$62,_xlpm.p),_xlpm.u,INDEX($BM$15:$BM$62,_xlpm.p),_xlpm.s,INDEX($BO$15:$BO$62,_xlpm.p),_xlpm.q,N(AT106)/_xlpm.f,IF(_xlpm.q&gt;=_xlpm.s,ROUND(_xlpm.q,1)&amp;" "&amp;_xlpm.ai_test&amp;" = "&amp;ROUND(_xlpm.q*_xlpm.f,1)&amp;" "&amp;_xlpm.u,ROUND(_xlpm.q,1)&amp;" "&amp;_xlpm.ai_test)),""),""))))</f>
        <v>0</v>
      </c>
      <c r="AW106" s="1047"/>
      <c r="AX106" s="1034">
        <f t="shared" si="65"/>
        <v>0</v>
      </c>
      <c r="AY106" s="1035" t="str">
        <f t="shared" si="66"/>
        <v/>
      </c>
      <c r="AZ106" s="1036">
        <f t="shared" si="71"/>
        <v>0</v>
      </c>
      <c r="BA106" s="1037" t="str">
        <f t="shared" si="67"/>
        <v/>
      </c>
      <c r="BB106" s="1038"/>
      <c r="BC106" s="1039">
        <f t="shared" si="72"/>
        <v>0</v>
      </c>
      <c r="BD106" s="1040" t="str">
        <f t="shared" si="68"/>
        <v/>
      </c>
      <c r="BE106" s="227" t="s">
        <v>22</v>
      </c>
      <c r="BF106" s="1019">
        <f t="shared" si="69"/>
        <v>0</v>
      </c>
      <c r="BG106" s="1020">
        <f t="shared" si="70"/>
        <v>0</v>
      </c>
      <c r="BI106" s="1123" t="s">
        <v>1975</v>
      </c>
      <c r="BJ106" s="231"/>
      <c r="BK106" s="231"/>
      <c r="BL106" s="231"/>
      <c r="BM106" s="231"/>
      <c r="BN106" s="231"/>
      <c r="BO106" s="231"/>
      <c r="BP106" s="231"/>
      <c r="BQ106" s="231"/>
      <c r="BR106" s="231"/>
      <c r="BS106" s="231"/>
      <c r="BT106" s="231"/>
      <c r="BU106" s="231"/>
      <c r="BV106"/>
      <c r="BW106" s="959" t="str">
        <f t="shared" si="49"/>
        <v>►</v>
      </c>
      <c r="BX106"/>
      <c r="BY106"/>
      <c r="BZ106"/>
      <c r="CA106"/>
      <c r="CB106"/>
      <c r="CC106" s="957"/>
      <c r="CD106"/>
      <c r="CE106"/>
      <c r="CF106"/>
      <c r="CG106"/>
      <c r="CH106"/>
      <c r="CI106"/>
      <c r="CJ106"/>
      <c r="CK106"/>
      <c r="CL106"/>
      <c r="CM106"/>
      <c r="CN106"/>
      <c r="CO106"/>
      <c r="CP106"/>
      <c r="CQ106"/>
      <c r="CR106"/>
      <c r="CS106"/>
      <c r="CT106"/>
      <c r="CU106"/>
      <c r="CV106"/>
      <c r="CW106"/>
      <c r="CX106"/>
      <c r="CY106"/>
      <c r="CZ106"/>
      <c r="DB106" s="3">
        <v>1</v>
      </c>
    </row>
    <row r="107" spans="1:106" s="709" customFormat="1" ht="21" customHeight="1">
      <c r="A107" s="936" t="s">
        <v>22</v>
      </c>
      <c r="B107" s="952" t="str">
        <f t="shared" si="48"/>
        <v>A</v>
      </c>
      <c r="C107" s="993" cm="1">
        <f t="array" ref="C107">SUMPRODUCT(LEN(D107:J107))</f>
        <v>0</v>
      </c>
      <c r="D107" s="167"/>
      <c r="E107" s="172"/>
      <c r="F107" s="172"/>
      <c r="G107" s="172"/>
      <c r="H107" s="172"/>
      <c r="I107" s="172"/>
      <c r="J107" s="173"/>
      <c r="K107" s="442"/>
      <c r="L107" s="196" t="s">
        <v>11</v>
      </c>
      <c r="M107" s="157" t="str">
        <f>M69</f>
        <v>T TERRINE DE PIEDS DE PORC pour tranches | | Auteur &gt; Guy KRENZE - Eric GODDYN - Arnaud NICOLAS - CEPROC 2002</v>
      </c>
      <c r="N107" s="157">
        <f>N69</f>
        <v>1</v>
      </c>
      <c r="O107" s="158" t="str">
        <f>O69</f>
        <v xml:space="preserve">moule L 30 cm X l 9 cm X H 6 cm </v>
      </c>
      <c r="P107" s="159" t="str">
        <f>P69</f>
        <v>Recette mère ► le Boudin en 4 déclinaisons</v>
      </c>
      <c r="Q107" s="172"/>
      <c r="R107" s="172"/>
      <c r="S107" s="172"/>
      <c r="T107" s="172"/>
      <c r="U107" s="172"/>
      <c r="V107" s="172"/>
      <c r="W107" s="172"/>
      <c r="X107" s="172"/>
      <c r="Y107" s="172"/>
      <c r="Z107" s="555"/>
      <c r="AA107" s="5211"/>
      <c r="AB107" s="1178"/>
      <c r="AC107" s="1179"/>
      <c r="AD107" s="227" t="s">
        <v>22</v>
      </c>
      <c r="AE107" s="1027" t="str">
        <f t="shared" si="52"/>
        <v>►</v>
      </c>
      <c r="AF107" s="1028" t="str">
        <f t="shared" si="53"/>
        <v/>
      </c>
      <c r="AG107" s="1029" t="str">
        <f t="shared" si="54"/>
        <v/>
      </c>
      <c r="AH107" s="1028" t="str">
        <f t="shared" si="55"/>
        <v/>
      </c>
      <c r="AI107" s="1029" t="str">
        <f t="shared" si="56"/>
        <v/>
      </c>
      <c r="AJ107" s="1029">
        <f t="shared" si="57"/>
        <v>0</v>
      </c>
      <c r="AK107" s="1043" t="str" cm="1">
        <f t="array" ref="AK107">IF(AE107&lt;&gt;"A","",IFERROR((IFERROR(_xlfn.XLOOKUP(TRIM(SUBSTITUTE(U107,CHAR(160)," ")),$BI$15:$BI$62,$BL$15:$BL$62),IFERROR(_xlfn.XLOOKUP(TRIM(SUBSTITUTE(U107,CHAR(160)," ")),$BJ$15:$BJ$62,$BL$15:$BL$62),_xlfn.XLOOKUP(TRIM(SUBSTITUTE(U107,CHAR(160)," ")),$BK$15:$BK$62,$BL$15:$BL$62))))*T107*IF(ISBLANK(Q107),1,Q107)+IFERROR(_xlfn.XLOOKUP("RECHERCHEX",TRIM(L107:AC107),L107:AC107),0),0))</f>
        <v/>
      </c>
      <c r="AL107" s="1030">
        <f t="shared" si="58"/>
        <v>0</v>
      </c>
      <c r="AM107" s="5254" t="str">
        <f t="shared" si="73"/>
        <v/>
      </c>
      <c r="AN107" s="1031">
        <f t="shared" si="59"/>
        <v>0</v>
      </c>
      <c r="AO107" s="1031">
        <f t="shared" si="60"/>
        <v>0</v>
      </c>
      <c r="AP107" s="1044">
        <f t="shared" si="61"/>
        <v>0</v>
      </c>
      <c r="AQ107" s="5257" t="str">
        <f t="shared" si="62"/>
        <v/>
      </c>
      <c r="AR107" s="1056"/>
      <c r="AS107" s="1056"/>
      <c r="AT107" s="1045">
        <f t="shared" si="63"/>
        <v>0</v>
      </c>
      <c r="AU107" s="1046">
        <f t="shared" si="64"/>
        <v>0</v>
      </c>
      <c r="AV107" s="1059" cm="1">
        <f t="array" ref="AV107">IF(AJ107&lt;&gt;1,0,IF(OR(AT107="",N(AT107)&lt;=0.000000001),"",IF(OR(AN107="",N(AN107)&lt;=0.000000001),0,IF(ISNUMBER(AT107),IFERROR(_xlfn.LET(_xlpm.ai_test,TRIM(AI107),_xlpm.r,IFERROR(_xlfn.XLOOKUP(_xlpm.ai_test,$BI$15:$BI$62,ROW($BI$15:$BI$62),0,1),IFERROR(_xlfn.XLOOKUP(_xlpm.ai_test,$BJ$15:$BJ$62,ROW($BJ$15:$BJ$62),0,1),_xlfn.XLOOKUP(_xlpm.ai_test,$BK$15:$BK$62,ROW($BK$15:$BK$62),0,1))),_xlpm.p,_xlpm.r-MIN(ROW($BI$15:$BI$62))+1,_xlpm.f,INDEX($BL$15:$BL$62,_xlpm.p),_xlpm.u,INDEX($BM$15:$BM$62,_xlpm.p),_xlpm.s,INDEX($BO$15:$BO$62,_xlpm.p),_xlpm.q,N(AT107)/_xlpm.f,IF(_xlpm.q&gt;=_xlpm.s,ROUND(_xlpm.q,1)&amp;" "&amp;_xlpm.ai_test&amp;" = "&amp;ROUND(_xlpm.q*_xlpm.f,1)&amp;" "&amp;_xlpm.u,ROUND(_xlpm.q,1)&amp;" "&amp;_xlpm.ai_test)),""),""))))</f>
        <v>0</v>
      </c>
      <c r="AW107" s="1047"/>
      <c r="AX107" s="1045">
        <f t="shared" si="65"/>
        <v>0</v>
      </c>
      <c r="AY107" s="1046" t="str">
        <f t="shared" si="66"/>
        <v/>
      </c>
      <c r="AZ107" s="1048">
        <f t="shared" si="71"/>
        <v>0</v>
      </c>
      <c r="BA107" s="1049" t="str">
        <f t="shared" si="67"/>
        <v/>
      </c>
      <c r="BB107" s="1038"/>
      <c r="BC107" s="1050">
        <f t="shared" si="72"/>
        <v>0</v>
      </c>
      <c r="BD107" s="1040" t="str">
        <f t="shared" si="68"/>
        <v/>
      </c>
      <c r="BE107" s="227" t="s">
        <v>22</v>
      </c>
      <c r="BF107" s="1019">
        <f t="shared" si="69"/>
        <v>0</v>
      </c>
      <c r="BG107" s="1020">
        <f t="shared" si="70"/>
        <v>0</v>
      </c>
      <c r="BI107" s="5499" t="s">
        <v>1976</v>
      </c>
      <c r="BJ107" s="5499"/>
      <c r="BK107" s="5499"/>
      <c r="BL107" s="5499"/>
      <c r="BM107" s="5499"/>
      <c r="BN107" s="5499"/>
      <c r="BO107" s="5499"/>
      <c r="BP107" s="5499"/>
      <c r="BQ107" s="5499"/>
      <c r="BR107" s="5499"/>
      <c r="BS107" s="5499"/>
      <c r="BT107" s="5499"/>
      <c r="BU107" s="5499"/>
      <c r="BV107"/>
      <c r="BW107" s="959" t="str">
        <f t="shared" si="49"/>
        <v>►</v>
      </c>
      <c r="BX107"/>
      <c r="BY107"/>
      <c r="BZ107"/>
      <c r="CA107"/>
      <c r="CB107"/>
      <c r="CC107" s="957"/>
      <c r="CD107"/>
      <c r="CE107"/>
      <c r="CF107"/>
      <c r="CG107"/>
      <c r="CH107"/>
      <c r="CI107"/>
      <c r="CJ107"/>
      <c r="CK107"/>
      <c r="CL107"/>
      <c r="CM107"/>
      <c r="CN107"/>
      <c r="CO107"/>
      <c r="CP107"/>
      <c r="CQ107"/>
      <c r="CR107"/>
      <c r="CS107"/>
      <c r="CT107"/>
      <c r="CU107"/>
      <c r="CV107"/>
      <c r="CW107"/>
      <c r="CX107"/>
      <c r="CY107"/>
      <c r="CZ107"/>
      <c r="DB107" s="3">
        <v>1</v>
      </c>
    </row>
    <row r="108" spans="1:106" s="709" customFormat="1" ht="21" customHeight="1">
      <c r="A108" s="936" t="s">
        <v>22</v>
      </c>
      <c r="B108" s="952" t="str">
        <f t="shared" si="48"/>
        <v>A</v>
      </c>
      <c r="C108" s="993" cm="1">
        <f t="array" ref="C108">SUMPRODUCT(LEN(D108:J108))</f>
        <v>0</v>
      </c>
      <c r="D108" s="167"/>
      <c r="E108" s="172"/>
      <c r="F108" s="172"/>
      <c r="G108" s="172"/>
      <c r="H108" s="172"/>
      <c r="I108" s="172"/>
      <c r="J108" s="173"/>
      <c r="K108" s="442"/>
      <c r="L108" s="196" t="s">
        <v>11</v>
      </c>
      <c r="M108" s="157" t="str">
        <f>M69</f>
        <v>T TERRINE DE PIEDS DE PORC pour tranches | | Auteur &gt; Guy KRENZE - Eric GODDYN - Arnaud NICOLAS - CEPROC 2002</v>
      </c>
      <c r="N108" s="157">
        <f>N69</f>
        <v>1</v>
      </c>
      <c r="O108" s="158" t="str">
        <f>O69</f>
        <v xml:space="preserve">moule L 30 cm X l 9 cm X H 6 cm </v>
      </c>
      <c r="P108" s="159" t="str">
        <f>P69</f>
        <v>Recette mère ► le Boudin en 4 déclinaisons</v>
      </c>
      <c r="Q108" s="172"/>
      <c r="R108" s="172"/>
      <c r="S108" s="172"/>
      <c r="T108" s="172"/>
      <c r="U108" s="172"/>
      <c r="V108" s="172"/>
      <c r="W108" s="172"/>
      <c r="X108" s="172"/>
      <c r="Y108" s="172"/>
      <c r="Z108" s="1486" t="s">
        <v>197</v>
      </c>
      <c r="AA108" s="5211"/>
      <c r="AB108" s="1178"/>
      <c r="AC108" s="1179"/>
      <c r="AD108" s="227" t="s">
        <v>22</v>
      </c>
      <c r="AE108" s="1027" t="str">
        <f t="shared" si="52"/>
        <v>►</v>
      </c>
      <c r="AF108" s="1028" t="str">
        <f t="shared" si="53"/>
        <v/>
      </c>
      <c r="AG108" s="1029" t="str">
        <f t="shared" si="54"/>
        <v/>
      </c>
      <c r="AH108" s="1028" t="str">
        <f t="shared" si="55"/>
        <v/>
      </c>
      <c r="AI108" s="1029" t="str">
        <f t="shared" si="56"/>
        <v/>
      </c>
      <c r="AJ108" s="1029">
        <f t="shared" si="57"/>
        <v>0</v>
      </c>
      <c r="AK108" s="1043" t="str" cm="1">
        <f t="array" ref="AK108">IF(AE108&lt;&gt;"A","",IFERROR((IFERROR(_xlfn.XLOOKUP(TRIM(SUBSTITUTE(U108,CHAR(160)," ")),$BI$15:$BI$62,$BL$15:$BL$62),IFERROR(_xlfn.XLOOKUP(TRIM(SUBSTITUTE(U108,CHAR(160)," ")),$BJ$15:$BJ$62,$BL$15:$BL$62),_xlfn.XLOOKUP(TRIM(SUBSTITUTE(U108,CHAR(160)," ")),$BK$15:$BK$62,$BL$15:$BL$62))))*T108*IF(ISBLANK(Q108),1,Q108)+IFERROR(_xlfn.XLOOKUP("RECHERCHEX",TRIM(L108:AC108),L108:AC108),0),0))</f>
        <v/>
      </c>
      <c r="AL108" s="1030">
        <f t="shared" si="58"/>
        <v>0</v>
      </c>
      <c r="AM108" s="5254" t="str">
        <f t="shared" si="73"/>
        <v/>
      </c>
      <c r="AN108" s="1031">
        <f t="shared" si="59"/>
        <v>0</v>
      </c>
      <c r="AO108" s="1031">
        <f t="shared" si="60"/>
        <v>0</v>
      </c>
      <c r="AP108" s="1032">
        <f t="shared" si="61"/>
        <v>0</v>
      </c>
      <c r="AQ108" s="5255" t="str">
        <f t="shared" si="62"/>
        <v/>
      </c>
      <c r="AR108" s="1056"/>
      <c r="AS108" s="1056"/>
      <c r="AT108" s="1034">
        <f t="shared" si="63"/>
        <v>0</v>
      </c>
      <c r="AU108" s="1035">
        <f t="shared" si="64"/>
        <v>0</v>
      </c>
      <c r="AV108" s="1057" cm="1">
        <f t="array" ref="AV108">IF(AJ108&lt;&gt;1,0,IF(OR(AT108="",N(AT108)&lt;=0.000000001),"",IF(OR(AN108="",N(AN108)&lt;=0.000000001),0,IF(ISNUMBER(AT108),IFERROR(_xlfn.LET(_xlpm.ai_test,TRIM(AI108),_xlpm.r,IFERROR(_xlfn.XLOOKUP(_xlpm.ai_test,$BI$15:$BI$62,ROW($BI$15:$BI$62),0,1),IFERROR(_xlfn.XLOOKUP(_xlpm.ai_test,$BJ$15:$BJ$62,ROW($BJ$15:$BJ$62),0,1),_xlfn.XLOOKUP(_xlpm.ai_test,$BK$15:$BK$62,ROW($BK$15:$BK$62),0,1))),_xlpm.p,_xlpm.r-MIN(ROW($BI$15:$BI$62))+1,_xlpm.f,INDEX($BL$15:$BL$62,_xlpm.p),_xlpm.u,INDEX($BM$15:$BM$62,_xlpm.p),_xlpm.s,INDEX($BO$15:$BO$62,_xlpm.p),_xlpm.q,N(AT108)/_xlpm.f,IF(_xlpm.q&gt;=_xlpm.s,ROUND(_xlpm.q,1)&amp;" "&amp;_xlpm.ai_test&amp;" = "&amp;ROUND(_xlpm.q*_xlpm.f,1)&amp;" "&amp;_xlpm.u,ROUND(_xlpm.q,1)&amp;" "&amp;_xlpm.ai_test)),""),""))))</f>
        <v>0</v>
      </c>
      <c r="AW108" s="1047"/>
      <c r="AX108" s="1034">
        <f t="shared" si="65"/>
        <v>0</v>
      </c>
      <c r="AY108" s="1035" t="str">
        <f t="shared" si="66"/>
        <v/>
      </c>
      <c r="AZ108" s="1036">
        <f t="shared" si="71"/>
        <v>0</v>
      </c>
      <c r="BA108" s="1037" t="str">
        <f t="shared" si="67"/>
        <v/>
      </c>
      <c r="BB108" s="1038"/>
      <c r="BC108" s="1039">
        <f t="shared" si="72"/>
        <v>0</v>
      </c>
      <c r="BD108" s="1040" t="str">
        <f t="shared" si="68"/>
        <v/>
      </c>
      <c r="BE108" s="227" t="s">
        <v>22</v>
      </c>
      <c r="BF108" s="1019">
        <f t="shared" si="69"/>
        <v>0</v>
      </c>
      <c r="BG108" s="1020">
        <f t="shared" si="70"/>
        <v>0</v>
      </c>
      <c r="BI108" s="5499"/>
      <c r="BJ108" s="5499"/>
      <c r="BK108" s="5499"/>
      <c r="BL108" s="5499"/>
      <c r="BM108" s="5499"/>
      <c r="BN108" s="5499"/>
      <c r="BO108" s="5499"/>
      <c r="BP108" s="5499"/>
      <c r="BQ108" s="5499"/>
      <c r="BR108" s="5499"/>
      <c r="BS108" s="5499"/>
      <c r="BT108" s="5499"/>
      <c r="BU108" s="5499"/>
      <c r="BV108"/>
      <c r="BW108" s="959" t="str">
        <f t="shared" si="49"/>
        <v>►</v>
      </c>
      <c r="BX108"/>
      <c r="BY108"/>
      <c r="BZ108"/>
      <c r="CA108"/>
      <c r="CB108"/>
      <c r="CC108" s="957"/>
      <c r="CD108"/>
      <c r="CE108"/>
      <c r="CF108"/>
      <c r="CG108"/>
      <c r="CH108"/>
      <c r="CI108"/>
      <c r="CJ108"/>
      <c r="CK108"/>
      <c r="CL108"/>
      <c r="CM108"/>
      <c r="CN108"/>
      <c r="CO108"/>
      <c r="CP108"/>
      <c r="CQ108"/>
      <c r="CR108"/>
      <c r="CS108"/>
      <c r="CT108"/>
      <c r="CU108"/>
      <c r="CV108"/>
      <c r="CW108"/>
      <c r="CX108"/>
      <c r="CY108"/>
      <c r="CZ108"/>
      <c r="DB108" s="3">
        <v>1</v>
      </c>
    </row>
    <row r="109" spans="1:106" s="709" customFormat="1" ht="21" customHeight="1">
      <c r="A109" s="936" t="s">
        <v>22</v>
      </c>
      <c r="B109" s="952" t="str">
        <f t="shared" si="48"/>
        <v>A</v>
      </c>
      <c r="C109" s="993" cm="1">
        <f t="array" ref="C109">SUMPRODUCT(LEN(D109:J109))</f>
        <v>0</v>
      </c>
      <c r="D109" s="167"/>
      <c r="E109" s="172"/>
      <c r="F109" s="172"/>
      <c r="G109" s="172"/>
      <c r="H109" s="172"/>
      <c r="I109" s="172"/>
      <c r="J109" s="173"/>
      <c r="K109" s="442" t="s">
        <v>22</v>
      </c>
      <c r="L109" s="196" t="s">
        <v>11</v>
      </c>
      <c r="M109" s="157" t="str">
        <f>M69</f>
        <v>T TERRINE DE PIEDS DE PORC pour tranches | | Auteur &gt; Guy KRENZE - Eric GODDYN - Arnaud NICOLAS - CEPROC 2002</v>
      </c>
      <c r="N109" s="157">
        <f>N69</f>
        <v>1</v>
      </c>
      <c r="O109" s="158" t="str">
        <f>O69</f>
        <v xml:space="preserve">moule L 30 cm X l 9 cm X H 6 cm </v>
      </c>
      <c r="P109" s="159" t="str">
        <f>P69</f>
        <v>Recette mère ► le Boudin en 4 déclinaisons</v>
      </c>
      <c r="Q109" s="204"/>
      <c r="R109" s="204"/>
      <c r="S109" s="204" t="s">
        <v>201</v>
      </c>
      <c r="T109" s="205"/>
      <c r="U109" s="206"/>
      <c r="V109" s="206"/>
      <c r="W109" s="206"/>
      <c r="X109" s="206"/>
      <c r="Y109" s="206"/>
      <c r="Z109" s="567"/>
      <c r="AA109" s="5211"/>
      <c r="AB109" s="1178"/>
      <c r="AC109" s="1179"/>
      <c r="AD109" s="227" t="s">
        <v>22</v>
      </c>
      <c r="AE109" s="1027" t="str">
        <f t="shared" si="52"/>
        <v>►</v>
      </c>
      <c r="AF109" s="1028" t="str">
        <f t="shared" si="53"/>
        <v/>
      </c>
      <c r="AG109" s="1029" t="str">
        <f t="shared" si="54"/>
        <v/>
      </c>
      <c r="AH109" s="1028" t="str">
        <f t="shared" si="55"/>
        <v/>
      </c>
      <c r="AI109" s="1029" t="str">
        <f t="shared" si="56"/>
        <v/>
      </c>
      <c r="AJ109" s="1029">
        <f t="shared" si="57"/>
        <v>0</v>
      </c>
      <c r="AK109" s="1043" t="str" cm="1">
        <f t="array" ref="AK109">IF(AE109&lt;&gt;"A","",IFERROR((IFERROR(_xlfn.XLOOKUP(TRIM(SUBSTITUTE(U109,CHAR(160)," ")),$BI$15:$BI$62,$BL$15:$BL$62),IFERROR(_xlfn.XLOOKUP(TRIM(SUBSTITUTE(U109,CHAR(160)," ")),$BJ$15:$BJ$62,$BL$15:$BL$62),_xlfn.XLOOKUP(TRIM(SUBSTITUTE(U109,CHAR(160)," ")),$BK$15:$BK$62,$BL$15:$BL$62))))*T109*IF(ISBLANK(Q109),1,Q109)+IFERROR(_xlfn.XLOOKUP("RECHERCHEX",TRIM(L109:AC109),L109:AC109),0),0))</f>
        <v/>
      </c>
      <c r="AL109" s="1030">
        <f t="shared" si="58"/>
        <v>0</v>
      </c>
      <c r="AM109" s="5254" t="str">
        <f t="shared" si="73"/>
        <v/>
      </c>
      <c r="AN109" s="1031">
        <f t="shared" si="59"/>
        <v>0</v>
      </c>
      <c r="AO109" s="1031">
        <f t="shared" si="60"/>
        <v>0</v>
      </c>
      <c r="AP109" s="1044">
        <f t="shared" si="61"/>
        <v>0</v>
      </c>
      <c r="AQ109" s="5257" t="str">
        <f t="shared" si="62"/>
        <v/>
      </c>
      <c r="AR109" s="1056"/>
      <c r="AS109" s="1056"/>
      <c r="AT109" s="1045">
        <f t="shared" si="63"/>
        <v>0</v>
      </c>
      <c r="AU109" s="1046">
        <f t="shared" si="64"/>
        <v>0</v>
      </c>
      <c r="AV109" s="1059" cm="1">
        <f t="array" ref="AV109">IF(AJ109&lt;&gt;1,0,IF(OR(AT109="",N(AT109)&lt;=0.000000001),"",IF(OR(AN109="",N(AN109)&lt;=0.000000001),0,IF(ISNUMBER(AT109),IFERROR(_xlfn.LET(_xlpm.ai_test,TRIM(AI109),_xlpm.r,IFERROR(_xlfn.XLOOKUP(_xlpm.ai_test,$BI$15:$BI$62,ROW($BI$15:$BI$62),0,1),IFERROR(_xlfn.XLOOKUP(_xlpm.ai_test,$BJ$15:$BJ$62,ROW($BJ$15:$BJ$62),0,1),_xlfn.XLOOKUP(_xlpm.ai_test,$BK$15:$BK$62,ROW($BK$15:$BK$62),0,1))),_xlpm.p,_xlpm.r-MIN(ROW($BI$15:$BI$62))+1,_xlpm.f,INDEX($BL$15:$BL$62,_xlpm.p),_xlpm.u,INDEX($BM$15:$BM$62,_xlpm.p),_xlpm.s,INDEX($BO$15:$BO$62,_xlpm.p),_xlpm.q,N(AT109)/_xlpm.f,IF(_xlpm.q&gt;=_xlpm.s,ROUND(_xlpm.q,1)&amp;" "&amp;_xlpm.ai_test&amp;" = "&amp;ROUND(_xlpm.q*_xlpm.f,1)&amp;" "&amp;_xlpm.u,ROUND(_xlpm.q,1)&amp;" "&amp;_xlpm.ai_test)),""),""))))</f>
        <v>0</v>
      </c>
      <c r="AW109" s="1047"/>
      <c r="AX109" s="1045">
        <f t="shared" si="65"/>
        <v>0</v>
      </c>
      <c r="AY109" s="1046" t="str">
        <f t="shared" si="66"/>
        <v/>
      </c>
      <c r="AZ109" s="1048">
        <f t="shared" si="71"/>
        <v>0</v>
      </c>
      <c r="BA109" s="1049" t="str">
        <f t="shared" si="67"/>
        <v/>
      </c>
      <c r="BB109" s="1038"/>
      <c r="BC109" s="1050">
        <f t="shared" si="72"/>
        <v>0</v>
      </c>
      <c r="BD109" s="1040" t="str">
        <f t="shared" si="68"/>
        <v/>
      </c>
      <c r="BE109" s="227" t="s">
        <v>22</v>
      </c>
      <c r="BF109" s="1019">
        <f t="shared" si="69"/>
        <v>0</v>
      </c>
      <c r="BG109" s="1020">
        <f t="shared" si="70"/>
        <v>0</v>
      </c>
      <c r="BV109"/>
      <c r="BW109" s="959" t="str">
        <f t="shared" si="49"/>
        <v>►</v>
      </c>
      <c r="BX109"/>
      <c r="BY109"/>
      <c r="BZ109"/>
      <c r="CA109"/>
      <c r="CB109"/>
      <c r="CC109" s="957"/>
      <c r="CD109"/>
      <c r="CE109"/>
      <c r="CF109"/>
      <c r="CG109"/>
      <c r="CH109"/>
      <c r="CI109"/>
      <c r="CJ109"/>
      <c r="CK109"/>
      <c r="CL109"/>
      <c r="CM109"/>
      <c r="CN109"/>
      <c r="CO109"/>
      <c r="CP109"/>
      <c r="CQ109"/>
      <c r="CR109"/>
      <c r="CS109"/>
      <c r="CT109"/>
      <c r="CU109"/>
      <c r="CV109"/>
      <c r="CW109"/>
      <c r="CX109"/>
      <c r="CY109"/>
      <c r="CZ109"/>
      <c r="DB109" s="3">
        <v>1</v>
      </c>
    </row>
    <row r="110" spans="1:106" s="709" customFormat="1" ht="21" customHeight="1">
      <c r="A110" s="936" t="s">
        <v>22</v>
      </c>
      <c r="B110" s="952" t="str">
        <f t="shared" si="48"/>
        <v>A</v>
      </c>
      <c r="C110" s="993" cm="1">
        <f t="array" ref="C110">SUMPRODUCT(LEN(D110:J110))</f>
        <v>0</v>
      </c>
      <c r="D110" s="167"/>
      <c r="E110" s="172"/>
      <c r="F110" s="172"/>
      <c r="G110" s="172"/>
      <c r="H110" s="172"/>
      <c r="I110" s="172"/>
      <c r="J110" s="173"/>
      <c r="K110" s="442" t="s">
        <v>22</v>
      </c>
      <c r="L110" s="196" t="s">
        <v>11</v>
      </c>
      <c r="M110" s="209" t="str">
        <f>M69</f>
        <v>T TERRINE DE PIEDS DE PORC pour tranches | | Auteur &gt; Guy KRENZE - Eric GODDYN - Arnaud NICOLAS - CEPROC 2002</v>
      </c>
      <c r="N110" s="209">
        <f>N69</f>
        <v>1</v>
      </c>
      <c r="O110" s="210" t="str">
        <f>O69</f>
        <v xml:space="preserve">moule L 30 cm X l 9 cm X H 6 cm </v>
      </c>
      <c r="P110" s="211" t="str">
        <f>P69</f>
        <v>Recette mère ► le Boudin en 4 déclinaisons</v>
      </c>
      <c r="Q110" s="212"/>
      <c r="R110" s="213"/>
      <c r="S110" s="214"/>
      <c r="T110" s="215"/>
      <c r="U110" s="214"/>
      <c r="V110" s="214"/>
      <c r="W110" s="214"/>
      <c r="X110" s="214"/>
      <c r="Y110" s="214"/>
      <c r="Z110" s="582"/>
      <c r="AA110" s="5211"/>
      <c r="AB110" s="1178"/>
      <c r="AC110" s="1179"/>
      <c r="AD110" s="227" t="s">
        <v>22</v>
      </c>
      <c r="AE110" s="1027" t="str">
        <f t="shared" si="52"/>
        <v>►</v>
      </c>
      <c r="AF110" s="1028" t="str">
        <f t="shared" si="53"/>
        <v/>
      </c>
      <c r="AG110" s="1029" t="str">
        <f t="shared" si="54"/>
        <v/>
      </c>
      <c r="AH110" s="1028" t="str">
        <f t="shared" si="55"/>
        <v/>
      </c>
      <c r="AI110" s="1029" t="str">
        <f t="shared" si="56"/>
        <v/>
      </c>
      <c r="AJ110" s="1029">
        <f t="shared" si="57"/>
        <v>0</v>
      </c>
      <c r="AK110" s="1043" t="str" cm="1">
        <f t="array" ref="AK110">IF(AE110&lt;&gt;"A","",IFERROR((IFERROR(_xlfn.XLOOKUP(TRIM(SUBSTITUTE(U110,CHAR(160)," ")),$BI$15:$BI$62,$BL$15:$BL$62),IFERROR(_xlfn.XLOOKUP(TRIM(SUBSTITUTE(U110,CHAR(160)," ")),$BJ$15:$BJ$62,$BL$15:$BL$62),_xlfn.XLOOKUP(TRIM(SUBSTITUTE(U110,CHAR(160)," ")),$BK$15:$BK$62,$BL$15:$BL$62))))*T110*IF(ISBLANK(Q110),1,Q110)+IFERROR(_xlfn.XLOOKUP("RECHERCHEX",TRIM(L110:AC110),L110:AC110),0),0))</f>
        <v/>
      </c>
      <c r="AL110" s="1030">
        <f t="shared" si="58"/>
        <v>0</v>
      </c>
      <c r="AM110" s="5254" t="str">
        <f t="shared" si="73"/>
        <v/>
      </c>
      <c r="AN110" s="1031">
        <f t="shared" si="59"/>
        <v>0</v>
      </c>
      <c r="AO110" s="1031">
        <f t="shared" si="60"/>
        <v>0</v>
      </c>
      <c r="AP110" s="1032">
        <f t="shared" si="61"/>
        <v>0</v>
      </c>
      <c r="AQ110" s="5255" t="str">
        <f t="shared" si="62"/>
        <v/>
      </c>
      <c r="AR110" s="1056"/>
      <c r="AS110" s="1056"/>
      <c r="AT110" s="1034">
        <f t="shared" si="63"/>
        <v>0</v>
      </c>
      <c r="AU110" s="1035">
        <f t="shared" si="64"/>
        <v>0</v>
      </c>
      <c r="AV110" s="1057" cm="1">
        <f t="array" ref="AV110">IF(AJ110&lt;&gt;1,0,IF(OR(AT110="",N(AT110)&lt;=0.000000001),"",IF(OR(AN110="",N(AN110)&lt;=0.000000001),0,IF(ISNUMBER(AT110),IFERROR(_xlfn.LET(_xlpm.ai_test,TRIM(AI110),_xlpm.r,IFERROR(_xlfn.XLOOKUP(_xlpm.ai_test,$BI$15:$BI$62,ROW($BI$15:$BI$62),0,1),IFERROR(_xlfn.XLOOKUP(_xlpm.ai_test,$BJ$15:$BJ$62,ROW($BJ$15:$BJ$62),0,1),_xlfn.XLOOKUP(_xlpm.ai_test,$BK$15:$BK$62,ROW($BK$15:$BK$62),0,1))),_xlpm.p,_xlpm.r-MIN(ROW($BI$15:$BI$62))+1,_xlpm.f,INDEX($BL$15:$BL$62,_xlpm.p),_xlpm.u,INDEX($BM$15:$BM$62,_xlpm.p),_xlpm.s,INDEX($BO$15:$BO$62,_xlpm.p),_xlpm.q,N(AT110)/_xlpm.f,IF(_xlpm.q&gt;=_xlpm.s,ROUND(_xlpm.q,1)&amp;" "&amp;_xlpm.ai_test&amp;" = "&amp;ROUND(_xlpm.q*_xlpm.f,1)&amp;" "&amp;_xlpm.u,ROUND(_xlpm.q,1)&amp;" "&amp;_xlpm.ai_test)),""),""))))</f>
        <v>0</v>
      </c>
      <c r="AW110" s="1047"/>
      <c r="AX110" s="1034">
        <f t="shared" si="65"/>
        <v>0</v>
      </c>
      <c r="AY110" s="1035" t="str">
        <f t="shared" si="66"/>
        <v/>
      </c>
      <c r="AZ110" s="1036">
        <f t="shared" si="71"/>
        <v>0</v>
      </c>
      <c r="BA110" s="1037" t="str">
        <f t="shared" si="67"/>
        <v/>
      </c>
      <c r="BB110" s="1038"/>
      <c r="BC110" s="1039">
        <f t="shared" si="72"/>
        <v>0</v>
      </c>
      <c r="BD110" s="1040" t="str">
        <f t="shared" si="68"/>
        <v/>
      </c>
      <c r="BE110" s="227" t="s">
        <v>22</v>
      </c>
      <c r="BF110" s="1019">
        <f t="shared" si="69"/>
        <v>0</v>
      </c>
      <c r="BG110" s="1020">
        <f t="shared" si="70"/>
        <v>0</v>
      </c>
      <c r="BV110"/>
      <c r="BW110" s="959" t="str">
        <f t="shared" si="49"/>
        <v>►</v>
      </c>
      <c r="BX110"/>
      <c r="BY110"/>
      <c r="BZ110"/>
      <c r="CA110"/>
      <c r="CB110"/>
      <c r="CC110" s="957"/>
      <c r="CD110"/>
      <c r="CE110"/>
      <c r="CF110"/>
      <c r="CG110"/>
      <c r="CH110"/>
      <c r="CI110"/>
      <c r="CJ110"/>
      <c r="CK110"/>
      <c r="CL110"/>
      <c r="CM110"/>
      <c r="CN110"/>
      <c r="CO110"/>
      <c r="CP110"/>
      <c r="CQ110"/>
      <c r="CR110"/>
      <c r="CS110"/>
      <c r="CT110"/>
      <c r="CU110"/>
      <c r="CV110"/>
      <c r="CW110"/>
      <c r="CX110"/>
      <c r="CY110"/>
      <c r="CZ110"/>
      <c r="DB110" s="3">
        <v>1</v>
      </c>
    </row>
    <row r="111" spans="1:106" s="709" customFormat="1" ht="21" customHeight="1" thickBot="1">
      <c r="A111" s="936" t="s">
        <v>22</v>
      </c>
      <c r="B111" s="952" t="str">
        <f t="shared" si="48"/>
        <v>A</v>
      </c>
      <c r="C111" s="993" cm="1">
        <f t="array" ref="C111">SUMPRODUCT(LEN(D111:J111))</f>
        <v>0</v>
      </c>
      <c r="D111" s="167"/>
      <c r="E111" s="172"/>
      <c r="F111" s="172"/>
      <c r="G111" s="172"/>
      <c r="H111" s="172"/>
      <c r="I111" s="172"/>
      <c r="J111" s="173"/>
      <c r="K111" s="442" t="s">
        <v>22</v>
      </c>
      <c r="L111" s="216" t="s">
        <v>11</v>
      </c>
      <c r="M111" s="217"/>
      <c r="N111" s="217"/>
      <c r="O111" s="217"/>
      <c r="P111" s="218"/>
      <c r="Q111" s="219" t="s">
        <v>208</v>
      </c>
      <c r="R111" s="1481" t="str">
        <f ca="1">CELL("nomfichier")</f>
        <v>D:\Données\1.UPRT\0-UPRT.fait\1-UPRT.FR-SITE-WEB\ff-fiches-fabrications\ff.fiches.fabrication.2023\ffr.restaurant.2023\[ff.FICHE.TRILINGUE.15.COLONNES.29.11.2025.xlsx]Notice.utilisateur</v>
      </c>
      <c r="S111" s="220"/>
      <c r="T111" s="220"/>
      <c r="U111" s="220"/>
      <c r="V111" s="220"/>
      <c r="W111" s="220"/>
      <c r="X111" s="220"/>
      <c r="Y111" s="220"/>
      <c r="Z111" s="221"/>
      <c r="AA111" s="5211"/>
      <c r="AB111" s="1178"/>
      <c r="AC111" s="1179"/>
      <c r="AD111" s="227" t="s">
        <v>22</v>
      </c>
      <c r="AE111" s="1027" t="str">
        <f t="shared" si="52"/>
        <v>A</v>
      </c>
      <c r="AF111" s="1028" t="str">
        <f t="shared" si="53"/>
        <v>▼ recette suivante</v>
      </c>
      <c r="AG111" s="1029">
        <f t="shared" si="54"/>
        <v>0</v>
      </c>
      <c r="AH111" s="1028">
        <f t="shared" si="55"/>
        <v>0</v>
      </c>
      <c r="AI111" s="1029">
        <f t="shared" si="56"/>
        <v>0</v>
      </c>
      <c r="AJ111" s="1029">
        <f t="shared" si="57"/>
        <v>0</v>
      </c>
      <c r="AK111" s="1043" cm="1">
        <f t="array" aca="1" ref="AK111" ca="1">IF(AE111&lt;&gt;"A","",IFERROR((IFERROR(_xlfn.XLOOKUP(TRIM(SUBSTITUTE(U111,CHAR(160)," ")),$BI$15:$BI$62,$BL$15:$BL$62),IFERROR(_xlfn.XLOOKUP(TRIM(SUBSTITUTE(U111,CHAR(160)," ")),$BJ$15:$BJ$62,$BL$15:$BL$62),_xlfn.XLOOKUP(TRIM(SUBSTITUTE(U111,CHAR(160)," ")),$BK$15:$BK$62,$BL$15:$BL$62))))*T111*IF(ISBLANK(Q111),1,Q111)+IFERROR(_xlfn.XLOOKUP("RECHERCHEX",TRIM(L111:AC111),L111:AC111),0),0))</f>
        <v>0</v>
      </c>
      <c r="AL111" s="1030">
        <f t="shared" si="58"/>
        <v>0</v>
      </c>
      <c r="AM111" s="5254" t="str">
        <f t="shared" si="73"/>
        <v>❾ Author reference &gt;</v>
      </c>
      <c r="AN111" s="1031">
        <f t="shared" si="59"/>
        <v>0</v>
      </c>
      <c r="AO111" s="1031">
        <f t="shared" si="60"/>
        <v>0</v>
      </c>
      <c r="AP111" s="1044">
        <f t="shared" si="61"/>
        <v>0</v>
      </c>
      <c r="AQ111" s="5257" t="str">
        <f t="shared" si="62"/>
        <v>▼ recette suivante</v>
      </c>
      <c r="AR111" s="1056"/>
      <c r="AS111" s="1056"/>
      <c r="AT111" s="1045">
        <f t="shared" si="63"/>
        <v>0</v>
      </c>
      <c r="AU111" s="1046">
        <f t="shared" si="64"/>
        <v>0</v>
      </c>
      <c r="AV111" s="1059" cm="1">
        <f t="array" ref="AV111">IF(AJ111&lt;&gt;1,0,IF(OR(AT111="",N(AT111)&lt;=0.000000001),"",IF(OR(AN111="",N(AN111)&lt;=0.000000001),0,IF(ISNUMBER(AT111),IFERROR(_xlfn.LET(_xlpm.ai_test,TRIM(AI111),_xlpm.r,IFERROR(_xlfn.XLOOKUP(_xlpm.ai_test,$BI$15:$BI$62,ROW($BI$15:$BI$62),0,1),IFERROR(_xlfn.XLOOKUP(_xlpm.ai_test,$BJ$15:$BJ$62,ROW($BJ$15:$BJ$62),0,1),_xlfn.XLOOKUP(_xlpm.ai_test,$BK$15:$BK$62,ROW($BK$15:$BK$62),0,1))),_xlpm.p,_xlpm.r-MIN(ROW($BI$15:$BI$62))+1,_xlpm.f,INDEX($BL$15:$BL$62,_xlpm.p),_xlpm.u,INDEX($BM$15:$BM$62,_xlpm.p),_xlpm.s,INDEX($BO$15:$BO$62,_xlpm.p),_xlpm.q,N(AT111)/_xlpm.f,IF(_xlpm.q&gt;=_xlpm.s,ROUND(_xlpm.q,1)&amp;" "&amp;_xlpm.ai_test&amp;" = "&amp;ROUND(_xlpm.q*_xlpm.f,1)&amp;" "&amp;_xlpm.u,ROUND(_xlpm.q,1)&amp;" "&amp;_xlpm.ai_test)),""),""))))</f>
        <v>0</v>
      </c>
      <c r="AW111" s="1047"/>
      <c r="AX111" s="1045" t="str">
        <f t="shared" si="65"/>
        <v xml:space="preserve">▼next recipe </v>
      </c>
      <c r="AY111" s="1046" t="str">
        <f t="shared" si="66"/>
        <v/>
      </c>
      <c r="AZ111" s="1048">
        <f t="shared" si="71"/>
        <v>0</v>
      </c>
      <c r="BA111" s="1049" t="str">
        <f t="shared" si="67"/>
        <v/>
      </c>
      <c r="BB111" s="1038"/>
      <c r="BC111" s="1050">
        <f t="shared" si="72"/>
        <v>0</v>
      </c>
      <c r="BD111" s="1040" t="str">
        <f t="shared" si="68"/>
        <v>▼ receta siguiente</v>
      </c>
      <c r="BE111" s="227" t="s">
        <v>22</v>
      </c>
      <c r="BF111" s="1019">
        <f t="shared" si="69"/>
        <v>0</v>
      </c>
      <c r="BG111" s="1020">
        <f t="shared" ca="1" si="70"/>
        <v>0</v>
      </c>
      <c r="BV111"/>
      <c r="BW111" s="959" t="str">
        <f t="shared" si="49"/>
        <v>A</v>
      </c>
      <c r="BX111"/>
      <c r="BY111"/>
      <c r="BZ111"/>
      <c r="CA111"/>
      <c r="CB111"/>
      <c r="CC111" s="957"/>
      <c r="CD111"/>
      <c r="CE111"/>
      <c r="CF111"/>
      <c r="CG111"/>
      <c r="CH111"/>
      <c r="CI111"/>
      <c r="CJ111"/>
      <c r="CK111"/>
      <c r="CL111"/>
      <c r="CM111"/>
      <c r="CN111"/>
      <c r="CO111"/>
      <c r="CP111"/>
      <c r="CQ111"/>
      <c r="CR111"/>
      <c r="CS111"/>
      <c r="CT111"/>
      <c r="CU111"/>
      <c r="CV111"/>
      <c r="CW111"/>
      <c r="CX111"/>
      <c r="CY111"/>
      <c r="CZ111"/>
      <c r="DB111" s="3">
        <v>1</v>
      </c>
    </row>
    <row r="112" spans="1:106" s="709" customFormat="1" ht="21" customHeight="1" thickBot="1">
      <c r="A112" s="936" t="s">
        <v>22</v>
      </c>
      <c r="B112" s="952" t="str">
        <f t="shared" si="48"/>
        <v>A</v>
      </c>
      <c r="C112" s="993" cm="1">
        <f t="array" ref="C112">SUMPRODUCT(LEN(D112:J112))</f>
        <v>0</v>
      </c>
      <c r="D112" s="167"/>
      <c r="E112" s="172"/>
      <c r="F112" s="172"/>
      <c r="G112" s="172"/>
      <c r="H112" s="172"/>
      <c r="I112" s="172"/>
      <c r="J112" s="173"/>
      <c r="K112" s="442" t="s">
        <v>22</v>
      </c>
      <c r="L112" s="5215" t="s">
        <v>11</v>
      </c>
      <c r="M112" s="5216" t="s">
        <v>11</v>
      </c>
      <c r="N112" s="5216" t="s">
        <v>11</v>
      </c>
      <c r="O112" s="5216" t="s">
        <v>11</v>
      </c>
      <c r="P112" s="5216" t="s">
        <v>11</v>
      </c>
      <c r="Q112" s="5217" t="s">
        <v>2613</v>
      </c>
      <c r="R112" s="5218"/>
      <c r="S112" s="5219"/>
      <c r="T112" s="5220"/>
      <c r="U112" s="5221"/>
      <c r="V112" s="5222"/>
      <c r="W112" s="5220"/>
      <c r="X112" s="5220"/>
      <c r="Y112" s="5220"/>
      <c r="Z112" s="5223" t="s">
        <v>1948</v>
      </c>
      <c r="AA112" s="5211"/>
      <c r="AB112" s="1178"/>
      <c r="AC112" s="1179"/>
      <c r="AD112" s="227" t="s">
        <v>22</v>
      </c>
      <c r="AE112" s="1027" t="str">
        <f t="shared" si="52"/>
        <v>►</v>
      </c>
      <c r="AF112" s="1028" t="str">
        <f t="shared" si="53"/>
        <v/>
      </c>
      <c r="AG112" s="1029" t="str">
        <f t="shared" si="54"/>
        <v/>
      </c>
      <c r="AH112" s="1028" t="str">
        <f t="shared" si="55"/>
        <v/>
      </c>
      <c r="AI112" s="1029" t="str">
        <f t="shared" si="56"/>
        <v/>
      </c>
      <c r="AJ112" s="1029">
        <f t="shared" si="57"/>
        <v>0</v>
      </c>
      <c r="AK112" s="1043" t="str" cm="1">
        <f t="array" ref="AK112">IF(AE112&lt;&gt;"A","",IFERROR((IFERROR(_xlfn.XLOOKUP(TRIM(SUBSTITUTE(U112,CHAR(160)," ")),$BI$15:$BI$62,$BL$15:$BL$62),IFERROR(_xlfn.XLOOKUP(TRIM(SUBSTITUTE(U112,CHAR(160)," ")),$BJ$15:$BJ$62,$BL$15:$BL$62),_xlfn.XLOOKUP(TRIM(SUBSTITUTE(U112,CHAR(160)," ")),$BK$15:$BK$62,$BL$15:$BL$62))))*T112*IF(ISBLANK(Q112),1,Q112)+IFERROR(_xlfn.XLOOKUP("RECHERCHEX",TRIM(L112:AC112),L112:AC112),0),0))</f>
        <v/>
      </c>
      <c r="AL112" s="1030">
        <f t="shared" si="58"/>
        <v>0</v>
      </c>
      <c r="AM112" s="5254" t="str">
        <f t="shared" si="73"/>
        <v/>
      </c>
      <c r="AN112" s="1031">
        <f t="shared" si="59"/>
        <v>0</v>
      </c>
      <c r="AO112" s="1031">
        <f t="shared" si="60"/>
        <v>0</v>
      </c>
      <c r="AP112" s="1032">
        <f t="shared" si="61"/>
        <v>0</v>
      </c>
      <c r="AQ112" s="5255" t="str">
        <f t="shared" si="62"/>
        <v/>
      </c>
      <c r="AR112" s="1056"/>
      <c r="AS112" s="1056"/>
      <c r="AT112" s="1034">
        <f t="shared" si="63"/>
        <v>0</v>
      </c>
      <c r="AU112" s="1035">
        <f t="shared" si="64"/>
        <v>0</v>
      </c>
      <c r="AV112" s="1057" cm="1">
        <f t="array" ref="AV112">IF(AJ112&lt;&gt;1,0,IF(OR(AT112="",N(AT112)&lt;=0.000000001),"",IF(OR(AN112="",N(AN112)&lt;=0.000000001),0,IF(ISNUMBER(AT112),IFERROR(_xlfn.LET(_xlpm.ai_test,TRIM(AI112),_xlpm.r,IFERROR(_xlfn.XLOOKUP(_xlpm.ai_test,$BI$15:$BI$62,ROW($BI$15:$BI$62),0,1),IFERROR(_xlfn.XLOOKUP(_xlpm.ai_test,$BJ$15:$BJ$62,ROW($BJ$15:$BJ$62),0,1),_xlfn.XLOOKUP(_xlpm.ai_test,$BK$15:$BK$62,ROW($BK$15:$BK$62),0,1))),_xlpm.p,_xlpm.r-MIN(ROW($BI$15:$BI$62))+1,_xlpm.f,INDEX($BL$15:$BL$62,_xlpm.p),_xlpm.u,INDEX($BM$15:$BM$62,_xlpm.p),_xlpm.s,INDEX($BO$15:$BO$62,_xlpm.p),_xlpm.q,N(AT112)/_xlpm.f,IF(_xlpm.q&gt;=_xlpm.s,ROUND(_xlpm.q,1)&amp;" "&amp;_xlpm.ai_test&amp;" = "&amp;ROUND(_xlpm.q*_xlpm.f,1)&amp;" "&amp;_xlpm.u,ROUND(_xlpm.q,1)&amp;" "&amp;_xlpm.ai_test)),""),""))))</f>
        <v>0</v>
      </c>
      <c r="AW112" s="1047"/>
      <c r="AX112" s="1034">
        <f t="shared" si="65"/>
        <v>0</v>
      </c>
      <c r="AY112" s="1035" t="str">
        <f t="shared" si="66"/>
        <v/>
      </c>
      <c r="AZ112" s="1036">
        <f t="shared" si="71"/>
        <v>0</v>
      </c>
      <c r="BA112" s="1037" t="str">
        <f t="shared" si="67"/>
        <v/>
      </c>
      <c r="BB112" s="1038"/>
      <c r="BC112" s="1039">
        <f t="shared" si="72"/>
        <v>0</v>
      </c>
      <c r="BD112" s="1040" t="str">
        <f t="shared" si="68"/>
        <v/>
      </c>
      <c r="BE112" s="227" t="s">
        <v>22</v>
      </c>
      <c r="BF112" s="1019">
        <f t="shared" si="69"/>
        <v>0</v>
      </c>
      <c r="BG112" s="1020">
        <f t="shared" si="70"/>
        <v>0</v>
      </c>
      <c r="BV112"/>
      <c r="BW112" s="959" t="str">
        <f t="shared" si="49"/>
        <v>►</v>
      </c>
      <c r="BX112"/>
      <c r="BY112"/>
      <c r="BZ112"/>
      <c r="CA112"/>
      <c r="CB112"/>
      <c r="CC112" s="957"/>
      <c r="CD112"/>
      <c r="CE112"/>
      <c r="CF112"/>
      <c r="CG112"/>
      <c r="CH112"/>
      <c r="CI112"/>
      <c r="CJ112"/>
      <c r="CK112"/>
      <c r="CL112"/>
      <c r="CM112"/>
      <c r="CN112"/>
      <c r="CO112"/>
      <c r="CP112"/>
      <c r="CQ112"/>
      <c r="CR112"/>
      <c r="CS112"/>
      <c r="CT112"/>
      <c r="CU112"/>
      <c r="CV112"/>
      <c r="CW112"/>
      <c r="CX112"/>
      <c r="CY112"/>
      <c r="CZ112"/>
      <c r="DB112" s="3">
        <v>1</v>
      </c>
    </row>
    <row r="113" spans="1:106" s="709" customFormat="1" ht="21" customHeight="1">
      <c r="A113" s="936" t="s">
        <v>22</v>
      </c>
      <c r="B113" s="952" t="str">
        <f t="shared" si="48"/>
        <v>A</v>
      </c>
      <c r="C113" s="993" cm="1">
        <f t="array" ref="C113">SUMPRODUCT(LEN(D113:J113))</f>
        <v>0</v>
      </c>
      <c r="D113" s="167"/>
      <c r="E113" s="172"/>
      <c r="F113" s="172"/>
      <c r="G113" s="172"/>
      <c r="H113" s="172"/>
      <c r="I113" s="172"/>
      <c r="J113" s="173"/>
      <c r="K113" s="442" t="s">
        <v>22</v>
      </c>
      <c r="L113" s="22" t="s">
        <v>11</v>
      </c>
      <c r="M113" s="23" t="str">
        <f>M119</f>
        <v>P PRESSÉ DE BOUDIN NOIR | | Auteur &gt; Guy KRENZE - Eric GODDYN - Arnaud NICOLAS - CEPROC 2002</v>
      </c>
      <c r="N113" s="24">
        <f>N119</f>
        <v>20</v>
      </c>
      <c r="O113" s="24" t="str">
        <f>O119</f>
        <v>pressés de boudin</v>
      </c>
      <c r="P113" s="25" t="str">
        <f>P119</f>
        <v>Recette mère ► le Boudin en 4 déclinaisons</v>
      </c>
      <c r="Q113" s="26" t="s">
        <v>23</v>
      </c>
      <c r="R113" s="5471" t="s">
        <v>13006</v>
      </c>
      <c r="S113" s="5471"/>
      <c r="T113" s="5471"/>
      <c r="U113" s="5471"/>
      <c r="V113" s="5471"/>
      <c r="W113" s="5471"/>
      <c r="X113" s="5473" t="s">
        <v>1031</v>
      </c>
      <c r="Y113" s="5473"/>
      <c r="Z113" s="5475" t="str">
        <f>UPPER(LEFT(R113,1))</f>
        <v>P</v>
      </c>
      <c r="AA113" s="5211"/>
      <c r="AB113" s="1178"/>
      <c r="AC113" s="1179"/>
      <c r="AD113" s="227" t="s">
        <v>22</v>
      </c>
      <c r="AE113" s="1027" t="str">
        <f t="shared" si="52"/>
        <v>►</v>
      </c>
      <c r="AF113" s="1028" t="str">
        <f t="shared" si="53"/>
        <v/>
      </c>
      <c r="AG113" s="1029" t="str">
        <f t="shared" si="54"/>
        <v/>
      </c>
      <c r="AH113" s="1028" t="str">
        <f t="shared" si="55"/>
        <v/>
      </c>
      <c r="AI113" s="1029" t="str">
        <f t="shared" si="56"/>
        <v/>
      </c>
      <c r="AJ113" s="1029">
        <f t="shared" si="57"/>
        <v>0</v>
      </c>
      <c r="AK113" s="1043" t="str" cm="1">
        <f t="array" ref="AK113">IF(AE113&lt;&gt;"A","",IFERROR((IFERROR(_xlfn.XLOOKUP(TRIM(SUBSTITUTE(U113,CHAR(160)," ")),$BI$15:$BI$62,$BL$15:$BL$62),IFERROR(_xlfn.XLOOKUP(TRIM(SUBSTITUTE(U113,CHAR(160)," ")),$BJ$15:$BJ$62,$BL$15:$BL$62),_xlfn.XLOOKUP(TRIM(SUBSTITUTE(U113,CHAR(160)," ")),$BK$15:$BK$62,$BL$15:$BL$62))))*T113*IF(ISBLANK(Q113),1,Q113)+IFERROR(_xlfn.XLOOKUP("RECHERCHEX",TRIM(L113:AC113),L113:AC113),0),0))</f>
        <v/>
      </c>
      <c r="AL113" s="1030">
        <f t="shared" si="58"/>
        <v>0</v>
      </c>
      <c r="AM113" s="5254" t="str">
        <f t="shared" si="73"/>
        <v/>
      </c>
      <c r="AN113" s="1031">
        <f t="shared" si="59"/>
        <v>0</v>
      </c>
      <c r="AO113" s="1031">
        <f t="shared" si="60"/>
        <v>0</v>
      </c>
      <c r="AP113" s="1044">
        <f t="shared" si="61"/>
        <v>0</v>
      </c>
      <c r="AQ113" s="5257" t="str">
        <f t="shared" si="62"/>
        <v/>
      </c>
      <c r="AR113" s="1056"/>
      <c r="AS113" s="1056"/>
      <c r="AT113" s="1045">
        <f t="shared" si="63"/>
        <v>0</v>
      </c>
      <c r="AU113" s="1046">
        <f t="shared" si="64"/>
        <v>0</v>
      </c>
      <c r="AV113" s="1059" cm="1">
        <f t="array" ref="AV113">IF(AJ113&lt;&gt;1,0,IF(OR(AT113="",N(AT113)&lt;=0.000000001),"",IF(OR(AN113="",N(AN113)&lt;=0.000000001),0,IF(ISNUMBER(AT113),IFERROR(_xlfn.LET(_xlpm.ai_test,TRIM(AI113),_xlpm.r,IFERROR(_xlfn.XLOOKUP(_xlpm.ai_test,$BI$15:$BI$62,ROW($BI$15:$BI$62),0,1),IFERROR(_xlfn.XLOOKUP(_xlpm.ai_test,$BJ$15:$BJ$62,ROW($BJ$15:$BJ$62),0,1),_xlfn.XLOOKUP(_xlpm.ai_test,$BK$15:$BK$62,ROW($BK$15:$BK$62),0,1))),_xlpm.p,_xlpm.r-MIN(ROW($BI$15:$BI$62))+1,_xlpm.f,INDEX($BL$15:$BL$62,_xlpm.p),_xlpm.u,INDEX($BM$15:$BM$62,_xlpm.p),_xlpm.s,INDEX($BO$15:$BO$62,_xlpm.p),_xlpm.q,N(AT113)/_xlpm.f,IF(_xlpm.q&gt;=_xlpm.s,ROUND(_xlpm.q,1)&amp;" "&amp;_xlpm.ai_test&amp;" = "&amp;ROUND(_xlpm.q*_xlpm.f,1)&amp;" "&amp;_xlpm.u,ROUND(_xlpm.q,1)&amp;" "&amp;_xlpm.ai_test)),""),""))))</f>
        <v>0</v>
      </c>
      <c r="AW113" s="1047"/>
      <c r="AX113" s="1045">
        <f t="shared" si="65"/>
        <v>0</v>
      </c>
      <c r="AY113" s="1046" t="str">
        <f t="shared" si="66"/>
        <v/>
      </c>
      <c r="AZ113" s="1048">
        <f t="shared" si="71"/>
        <v>0</v>
      </c>
      <c r="BA113" s="1049" t="str">
        <f t="shared" si="67"/>
        <v/>
      </c>
      <c r="BB113" s="1038"/>
      <c r="BC113" s="1050">
        <f t="shared" si="72"/>
        <v>0</v>
      </c>
      <c r="BD113" s="1040" t="str">
        <f t="shared" si="68"/>
        <v/>
      </c>
      <c r="BE113" s="227" t="s">
        <v>22</v>
      </c>
      <c r="BF113" s="1019">
        <f t="shared" si="69"/>
        <v>0</v>
      </c>
      <c r="BG113" s="1020">
        <f t="shared" si="70"/>
        <v>0</v>
      </c>
      <c r="BV113"/>
      <c r="BW113" s="959" t="str">
        <f t="shared" si="49"/>
        <v>►</v>
      </c>
      <c r="BX113"/>
      <c r="BY113"/>
      <c r="BZ113"/>
      <c r="CA113"/>
      <c r="CB113"/>
      <c r="CC113" s="957"/>
      <c r="CD113"/>
      <c r="CE113"/>
      <c r="CF113"/>
      <c r="CG113"/>
      <c r="CH113"/>
      <c r="CI113"/>
      <c r="CJ113"/>
      <c r="CK113"/>
      <c r="CL113"/>
      <c r="CM113"/>
      <c r="CN113"/>
      <c r="CO113"/>
      <c r="CP113"/>
      <c r="CQ113"/>
      <c r="CR113"/>
      <c r="CS113"/>
      <c r="CT113"/>
      <c r="CU113"/>
      <c r="CV113"/>
      <c r="CW113"/>
      <c r="CX113"/>
      <c r="CY113"/>
      <c r="CZ113"/>
      <c r="DB113" s="3">
        <v>1</v>
      </c>
    </row>
    <row r="114" spans="1:106" s="709" customFormat="1" ht="21" customHeight="1">
      <c r="A114" s="936" t="s">
        <v>22</v>
      </c>
      <c r="B114" s="952" t="str">
        <f t="shared" si="48"/>
        <v>A</v>
      </c>
      <c r="C114" s="993" cm="1">
        <f t="array" ref="C114">SUMPRODUCT(LEN(D114:J114))</f>
        <v>0</v>
      </c>
      <c r="D114" s="167"/>
      <c r="E114" s="172"/>
      <c r="F114" s="172"/>
      <c r="G114" s="172"/>
      <c r="H114" s="172"/>
      <c r="I114" s="172"/>
      <c r="J114" s="173"/>
      <c r="K114" s="442" t="s">
        <v>22</v>
      </c>
      <c r="L114" s="27" t="s">
        <v>11</v>
      </c>
      <c r="M114" s="28" t="str">
        <f>M119</f>
        <v>P PRESSÉ DE BOUDIN NOIR | | Auteur &gt; Guy KRENZE - Eric GODDYN - Arnaud NICOLAS - CEPROC 2002</v>
      </c>
      <c r="N114" s="29">
        <f>N119</f>
        <v>20</v>
      </c>
      <c r="O114" s="29" t="str">
        <f>O119</f>
        <v>pressés de boudin</v>
      </c>
      <c r="P114" s="30" t="str">
        <f>P119</f>
        <v>Recette mère ► le Boudin en 4 déclinaisons</v>
      </c>
      <c r="Q114" s="31" t="s">
        <v>29</v>
      </c>
      <c r="R114" s="5472"/>
      <c r="S114" s="5472"/>
      <c r="T114" s="5472"/>
      <c r="U114" s="5472"/>
      <c r="V114" s="5472"/>
      <c r="W114" s="5472"/>
      <c r="X114" s="5474"/>
      <c r="Y114" s="5474"/>
      <c r="Z114" s="5476"/>
      <c r="AA114" s="5211"/>
      <c r="AB114" s="1178"/>
      <c r="AC114" s="1179"/>
      <c r="AD114" s="227" t="s">
        <v>22</v>
      </c>
      <c r="AE114" s="1027" t="str">
        <f t="shared" si="52"/>
        <v>►</v>
      </c>
      <c r="AF114" s="1028" t="str">
        <f t="shared" si="53"/>
        <v/>
      </c>
      <c r="AG114" s="1029" t="str">
        <f t="shared" si="54"/>
        <v/>
      </c>
      <c r="AH114" s="1028" t="str">
        <f t="shared" si="55"/>
        <v/>
      </c>
      <c r="AI114" s="1029" t="str">
        <f t="shared" si="56"/>
        <v/>
      </c>
      <c r="AJ114" s="1029">
        <f t="shared" si="57"/>
        <v>0</v>
      </c>
      <c r="AK114" s="1043" t="str" cm="1">
        <f t="array" ref="AK114">IF(AE114&lt;&gt;"A","",IFERROR((IFERROR(_xlfn.XLOOKUP(TRIM(SUBSTITUTE(U114,CHAR(160)," ")),$BI$15:$BI$62,$BL$15:$BL$62),IFERROR(_xlfn.XLOOKUP(TRIM(SUBSTITUTE(U114,CHAR(160)," ")),$BJ$15:$BJ$62,$BL$15:$BL$62),_xlfn.XLOOKUP(TRIM(SUBSTITUTE(U114,CHAR(160)," ")),$BK$15:$BK$62,$BL$15:$BL$62))))*T114*IF(ISBLANK(Q114),1,Q114)+IFERROR(_xlfn.XLOOKUP("RECHERCHEX",TRIM(L114:AC114),L114:AC114),0),0))</f>
        <v/>
      </c>
      <c r="AL114" s="1030">
        <f t="shared" si="58"/>
        <v>0</v>
      </c>
      <c r="AM114" s="5254" t="str">
        <f t="shared" si="73"/>
        <v/>
      </c>
      <c r="AN114" s="1031">
        <f t="shared" si="59"/>
        <v>0</v>
      </c>
      <c r="AO114" s="1031">
        <f t="shared" si="60"/>
        <v>0</v>
      </c>
      <c r="AP114" s="1032">
        <f t="shared" si="61"/>
        <v>0</v>
      </c>
      <c r="AQ114" s="5255" t="str">
        <f t="shared" si="62"/>
        <v/>
      </c>
      <c r="AR114" s="1056"/>
      <c r="AS114" s="1056"/>
      <c r="AT114" s="1034">
        <f t="shared" si="63"/>
        <v>0</v>
      </c>
      <c r="AU114" s="1035">
        <f t="shared" si="64"/>
        <v>0</v>
      </c>
      <c r="AV114" s="1057" cm="1">
        <f t="array" ref="AV114">IF(AJ114&lt;&gt;1,0,IF(OR(AT114="",N(AT114)&lt;=0.000000001),"",IF(OR(AN114="",N(AN114)&lt;=0.000000001),0,IF(ISNUMBER(AT114),IFERROR(_xlfn.LET(_xlpm.ai_test,TRIM(AI114),_xlpm.r,IFERROR(_xlfn.XLOOKUP(_xlpm.ai_test,$BI$15:$BI$62,ROW($BI$15:$BI$62),0,1),IFERROR(_xlfn.XLOOKUP(_xlpm.ai_test,$BJ$15:$BJ$62,ROW($BJ$15:$BJ$62),0,1),_xlfn.XLOOKUP(_xlpm.ai_test,$BK$15:$BK$62,ROW($BK$15:$BK$62),0,1))),_xlpm.p,_xlpm.r-MIN(ROW($BI$15:$BI$62))+1,_xlpm.f,INDEX($BL$15:$BL$62,_xlpm.p),_xlpm.u,INDEX($BM$15:$BM$62,_xlpm.p),_xlpm.s,INDEX($BO$15:$BO$62,_xlpm.p),_xlpm.q,N(AT114)/_xlpm.f,IF(_xlpm.q&gt;=_xlpm.s,ROUND(_xlpm.q,1)&amp;" "&amp;_xlpm.ai_test&amp;" = "&amp;ROUND(_xlpm.q*_xlpm.f,1)&amp;" "&amp;_xlpm.u,ROUND(_xlpm.q,1)&amp;" "&amp;_xlpm.ai_test)),""),""))))</f>
        <v>0</v>
      </c>
      <c r="AW114" s="1047"/>
      <c r="AX114" s="1034">
        <f t="shared" si="65"/>
        <v>0</v>
      </c>
      <c r="AY114" s="1035" t="str">
        <f t="shared" si="66"/>
        <v/>
      </c>
      <c r="AZ114" s="1036">
        <f t="shared" si="71"/>
        <v>0</v>
      </c>
      <c r="BA114" s="1037" t="str">
        <f t="shared" si="67"/>
        <v/>
      </c>
      <c r="BB114" s="1038"/>
      <c r="BC114" s="1039">
        <f t="shared" si="72"/>
        <v>0</v>
      </c>
      <c r="BD114" s="1040" t="str">
        <f t="shared" si="68"/>
        <v/>
      </c>
      <c r="BE114" s="227" t="s">
        <v>22</v>
      </c>
      <c r="BF114" s="1019">
        <f t="shared" si="69"/>
        <v>0</v>
      </c>
      <c r="BG114" s="1020">
        <f t="shared" si="70"/>
        <v>0</v>
      </c>
      <c r="BV114"/>
      <c r="BW114" s="959" t="str">
        <f t="shared" si="49"/>
        <v>►</v>
      </c>
      <c r="BX114"/>
      <c r="BY114"/>
      <c r="BZ114"/>
      <c r="CA114"/>
      <c r="CB114"/>
      <c r="CC114" s="957"/>
      <c r="CD114"/>
      <c r="CE114"/>
      <c r="CF114"/>
      <c r="CG114"/>
      <c r="CH114"/>
      <c r="CI114"/>
      <c r="CJ114"/>
      <c r="CK114"/>
      <c r="CL114"/>
      <c r="CM114"/>
      <c r="CN114"/>
      <c r="CO114"/>
      <c r="CP114"/>
      <c r="CQ114"/>
      <c r="CR114"/>
      <c r="CS114"/>
      <c r="CT114"/>
      <c r="CU114"/>
      <c r="CV114"/>
      <c r="CW114"/>
      <c r="CX114"/>
      <c r="CY114"/>
      <c r="CZ114"/>
      <c r="DB114" s="3">
        <v>1</v>
      </c>
    </row>
    <row r="115" spans="1:106" s="709" customFormat="1" ht="21" customHeight="1">
      <c r="A115" s="936" t="s">
        <v>22</v>
      </c>
      <c r="B115" s="952" t="str">
        <f t="shared" si="48"/>
        <v>A</v>
      </c>
      <c r="C115" s="993" cm="1">
        <f t="array" ref="C115">SUMPRODUCT(LEN(D115:J115))</f>
        <v>0</v>
      </c>
      <c r="D115" s="167"/>
      <c r="E115" s="172"/>
      <c r="F115" s="172"/>
      <c r="G115" s="172"/>
      <c r="H115" s="172"/>
      <c r="I115" s="172"/>
      <c r="J115" s="173"/>
      <c r="K115" s="442" t="s">
        <v>22</v>
      </c>
      <c r="L115" s="27" t="s">
        <v>11</v>
      </c>
      <c r="M115" s="5310" t="str">
        <f>M119</f>
        <v>P PRESSÉ DE BOUDIN NOIR | | Auteur &gt; Guy KRENZE - Eric GODDYN - Arnaud NICOLAS - CEPROC 2002</v>
      </c>
      <c r="N115" s="5310">
        <f>N119</f>
        <v>20</v>
      </c>
      <c r="O115" s="5311" t="str">
        <f>O119</f>
        <v>pressés de boudin</v>
      </c>
      <c r="P115" s="5312" t="str">
        <f>P119</f>
        <v>Recette mère ► le Boudin en 4 déclinaisons</v>
      </c>
      <c r="Q115" s="5313"/>
      <c r="R115" s="5314" t="s">
        <v>30</v>
      </c>
      <c r="S115" s="37"/>
      <c r="T115" s="38" t="s">
        <v>31</v>
      </c>
      <c r="U115" s="39" t="s">
        <v>12835</v>
      </c>
      <c r="V115" s="9"/>
      <c r="W115" s="39"/>
      <c r="X115" s="39"/>
      <c r="Y115" s="40"/>
      <c r="Z115" s="41"/>
      <c r="AA115" s="5211"/>
      <c r="AB115" s="1178"/>
      <c r="AC115" s="1179"/>
      <c r="AD115" s="227" t="s">
        <v>22</v>
      </c>
      <c r="AE115" s="1027" t="str">
        <f t="shared" si="52"/>
        <v>►</v>
      </c>
      <c r="AF115" s="1028" t="str">
        <f t="shared" si="53"/>
        <v/>
      </c>
      <c r="AG115" s="1029" t="str">
        <f t="shared" si="54"/>
        <v/>
      </c>
      <c r="AH115" s="1028" t="str">
        <f t="shared" si="55"/>
        <v/>
      </c>
      <c r="AI115" s="1029" t="str">
        <f t="shared" si="56"/>
        <v/>
      </c>
      <c r="AJ115" s="1029">
        <f t="shared" si="57"/>
        <v>0</v>
      </c>
      <c r="AK115" s="1043" t="str" cm="1">
        <f t="array" ref="AK115">IF(AE115&lt;&gt;"A","",IFERROR((IFERROR(_xlfn.XLOOKUP(TRIM(SUBSTITUTE(U115,CHAR(160)," ")),$BI$15:$BI$62,$BL$15:$BL$62),IFERROR(_xlfn.XLOOKUP(TRIM(SUBSTITUTE(U115,CHAR(160)," ")),$BJ$15:$BJ$62,$BL$15:$BL$62),_xlfn.XLOOKUP(TRIM(SUBSTITUTE(U115,CHAR(160)," ")),$BK$15:$BK$62,$BL$15:$BL$62))))*T115*IF(ISBLANK(Q115),1,Q115)+IFERROR(_xlfn.XLOOKUP("RECHERCHEX",TRIM(L115:AC115),L115:AC115),0),0))</f>
        <v/>
      </c>
      <c r="AL115" s="1030">
        <f t="shared" si="58"/>
        <v>0</v>
      </c>
      <c r="AM115" s="5254" t="str">
        <f t="shared" si="73"/>
        <v/>
      </c>
      <c r="AN115" s="1031">
        <f t="shared" si="59"/>
        <v>0</v>
      </c>
      <c r="AO115" s="1031">
        <f t="shared" si="60"/>
        <v>0</v>
      </c>
      <c r="AP115" s="1044">
        <f t="shared" si="61"/>
        <v>0</v>
      </c>
      <c r="AQ115" s="5257" t="str">
        <f t="shared" si="62"/>
        <v/>
      </c>
      <c r="AR115" s="1056"/>
      <c r="AS115" s="1056"/>
      <c r="AT115" s="1045">
        <f t="shared" si="63"/>
        <v>0</v>
      </c>
      <c r="AU115" s="1046">
        <f t="shared" si="64"/>
        <v>0</v>
      </c>
      <c r="AV115" s="1059" cm="1">
        <f t="array" ref="AV115">IF(AJ115&lt;&gt;1,0,IF(OR(AT115="",N(AT115)&lt;=0.000000001),"",IF(OR(AN115="",N(AN115)&lt;=0.000000001),0,IF(ISNUMBER(AT115),IFERROR(_xlfn.LET(_xlpm.ai_test,TRIM(AI115),_xlpm.r,IFERROR(_xlfn.XLOOKUP(_xlpm.ai_test,$BI$15:$BI$62,ROW($BI$15:$BI$62),0,1),IFERROR(_xlfn.XLOOKUP(_xlpm.ai_test,$BJ$15:$BJ$62,ROW($BJ$15:$BJ$62),0,1),_xlfn.XLOOKUP(_xlpm.ai_test,$BK$15:$BK$62,ROW($BK$15:$BK$62),0,1))),_xlpm.p,_xlpm.r-MIN(ROW($BI$15:$BI$62))+1,_xlpm.f,INDEX($BL$15:$BL$62,_xlpm.p),_xlpm.u,INDEX($BM$15:$BM$62,_xlpm.p),_xlpm.s,INDEX($BO$15:$BO$62,_xlpm.p),_xlpm.q,N(AT115)/_xlpm.f,IF(_xlpm.q&gt;=_xlpm.s,ROUND(_xlpm.q,1)&amp;" "&amp;_xlpm.ai_test&amp;" = "&amp;ROUND(_xlpm.q*_xlpm.f,1)&amp;" "&amp;_xlpm.u,ROUND(_xlpm.q,1)&amp;" "&amp;_xlpm.ai_test)),""),""))))</f>
        <v>0</v>
      </c>
      <c r="AW115" s="1047"/>
      <c r="AX115" s="1045">
        <f t="shared" si="65"/>
        <v>0</v>
      </c>
      <c r="AY115" s="1046" t="str">
        <f t="shared" si="66"/>
        <v/>
      </c>
      <c r="AZ115" s="1048">
        <f t="shared" si="71"/>
        <v>0</v>
      </c>
      <c r="BA115" s="1049" t="str">
        <f t="shared" si="67"/>
        <v/>
      </c>
      <c r="BB115" s="1038"/>
      <c r="BC115" s="1050">
        <f t="shared" si="72"/>
        <v>0</v>
      </c>
      <c r="BD115" s="1040" t="str">
        <f t="shared" si="68"/>
        <v/>
      </c>
      <c r="BE115" s="227" t="s">
        <v>22</v>
      </c>
      <c r="BF115" s="1019">
        <f t="shared" si="69"/>
        <v>0</v>
      </c>
      <c r="BG115" s="1020">
        <f t="shared" si="70"/>
        <v>0</v>
      </c>
      <c r="BV115"/>
      <c r="BW115" s="959" t="str">
        <f t="shared" si="49"/>
        <v>►</v>
      </c>
      <c r="BX115"/>
      <c r="BY115"/>
      <c r="BZ115"/>
      <c r="CA115"/>
      <c r="CB115"/>
      <c r="CC115" s="957"/>
      <c r="CD115"/>
      <c r="CE115"/>
      <c r="CF115"/>
      <c r="CG115"/>
      <c r="CH115"/>
      <c r="CI115"/>
      <c r="CJ115"/>
      <c r="CK115"/>
      <c r="CL115"/>
      <c r="CM115"/>
      <c r="CN115"/>
      <c r="CO115"/>
      <c r="CP115"/>
      <c r="CQ115"/>
      <c r="CR115"/>
      <c r="CS115"/>
      <c r="CT115"/>
      <c r="CU115"/>
      <c r="CV115"/>
      <c r="CW115"/>
      <c r="CX115"/>
      <c r="CY115"/>
      <c r="CZ115"/>
      <c r="DB115" s="3">
        <v>1</v>
      </c>
    </row>
    <row r="116" spans="1:106" s="709" customFormat="1" ht="21" customHeight="1">
      <c r="A116" s="936" t="s">
        <v>22</v>
      </c>
      <c r="B116" s="952" t="str">
        <f t="shared" si="48"/>
        <v>A</v>
      </c>
      <c r="C116" s="993" cm="1">
        <f t="array" ref="C116">SUMPRODUCT(LEN(D116:J116))</f>
        <v>0</v>
      </c>
      <c r="D116" s="167"/>
      <c r="E116" s="172"/>
      <c r="F116" s="172"/>
      <c r="G116" s="172"/>
      <c r="H116" s="172"/>
      <c r="I116" s="172"/>
      <c r="J116" s="173"/>
      <c r="K116" s="442" t="s">
        <v>22</v>
      </c>
      <c r="L116" s="27" t="s">
        <v>11</v>
      </c>
      <c r="M116" s="32" t="str">
        <f>M119</f>
        <v>P PRESSÉ DE BOUDIN NOIR | | Auteur &gt; Guy KRENZE - Eric GODDYN - Arnaud NICOLAS - CEPROC 2002</v>
      </c>
      <c r="N116" s="33">
        <f>N119</f>
        <v>20</v>
      </c>
      <c r="O116" s="33" t="str">
        <f>O119</f>
        <v>pressés de boudin</v>
      </c>
      <c r="P116" s="34" t="str">
        <f>P119</f>
        <v>Recette mère ► le Boudin en 4 déclinaisons</v>
      </c>
      <c r="Q116" s="42" t="s">
        <v>32</v>
      </c>
      <c r="R116" s="43"/>
      <c r="S116" s="43"/>
      <c r="T116" s="44" t="s">
        <v>33</v>
      </c>
      <c r="U116" s="5477" t="str">
        <f>V119&amp;" "&amp;W119&amp;" ► Famille = "&amp;X113&amp;" ► "&amp;R113&amp;" "&amp; "pour "&amp;X117&amp;" "&amp;Y117</f>
        <v>Recette mère ► le Boudin en 4 déclinaisons ► Famille =  charcuterie-BOUDIN-NOIR ► PRESSÉ DE BOUDIN NOIR pour 20 pressés de boudin</v>
      </c>
      <c r="V116" s="5477"/>
      <c r="W116" s="5477"/>
      <c r="X116" s="5039" t="s">
        <v>3306</v>
      </c>
      <c r="Y116" s="40"/>
      <c r="Z116" s="1472"/>
      <c r="AA116" s="5211"/>
      <c r="AB116" s="1178"/>
      <c r="AC116" s="1179"/>
      <c r="AD116" s="227" t="s">
        <v>22</v>
      </c>
      <c r="AE116" s="1027" t="str">
        <f t="shared" si="52"/>
        <v>►</v>
      </c>
      <c r="AF116" s="1028" t="str">
        <f t="shared" si="53"/>
        <v/>
      </c>
      <c r="AG116" s="1029" t="str">
        <f t="shared" si="54"/>
        <v/>
      </c>
      <c r="AH116" s="1028" t="str">
        <f t="shared" si="55"/>
        <v/>
      </c>
      <c r="AI116" s="1029" t="str">
        <f t="shared" si="56"/>
        <v/>
      </c>
      <c r="AJ116" s="1029">
        <f t="shared" si="57"/>
        <v>0</v>
      </c>
      <c r="AK116" s="1043" t="str" cm="1">
        <f t="array" ref="AK116">IF(AE116&lt;&gt;"A","",IFERROR((IFERROR(_xlfn.XLOOKUP(TRIM(SUBSTITUTE(U116,CHAR(160)," ")),$BI$15:$BI$62,$BL$15:$BL$62),IFERROR(_xlfn.XLOOKUP(TRIM(SUBSTITUTE(U116,CHAR(160)," ")),$BJ$15:$BJ$62,$BL$15:$BL$62),_xlfn.XLOOKUP(TRIM(SUBSTITUTE(U116,CHAR(160)," ")),$BK$15:$BK$62,$BL$15:$BL$62))))*T116*IF(ISBLANK(Q116),1,Q116)+IFERROR(_xlfn.XLOOKUP("RECHERCHEX",TRIM(L116:AC116),L116:AC116),0),0))</f>
        <v/>
      </c>
      <c r="AL116" s="1030">
        <f t="shared" si="58"/>
        <v>0</v>
      </c>
      <c r="AM116" s="5254" t="str">
        <f t="shared" si="73"/>
        <v/>
      </c>
      <c r="AN116" s="1031">
        <f t="shared" si="59"/>
        <v>0</v>
      </c>
      <c r="AO116" s="1031">
        <f t="shared" si="60"/>
        <v>0</v>
      </c>
      <c r="AP116" s="1032">
        <f t="shared" si="61"/>
        <v>0</v>
      </c>
      <c r="AQ116" s="5255" t="str">
        <f t="shared" si="62"/>
        <v/>
      </c>
      <c r="AR116" s="1056"/>
      <c r="AS116" s="1056"/>
      <c r="AT116" s="1034">
        <f t="shared" si="63"/>
        <v>0</v>
      </c>
      <c r="AU116" s="1035">
        <f t="shared" si="64"/>
        <v>0</v>
      </c>
      <c r="AV116" s="1057" cm="1">
        <f t="array" ref="AV116">IF(AJ116&lt;&gt;1,0,IF(OR(AT116="",N(AT116)&lt;=0.000000001),"",IF(OR(AN116="",N(AN116)&lt;=0.000000001),0,IF(ISNUMBER(AT116),IFERROR(_xlfn.LET(_xlpm.ai_test,TRIM(AI116),_xlpm.r,IFERROR(_xlfn.XLOOKUP(_xlpm.ai_test,$BI$15:$BI$62,ROW($BI$15:$BI$62),0,1),IFERROR(_xlfn.XLOOKUP(_xlpm.ai_test,$BJ$15:$BJ$62,ROW($BJ$15:$BJ$62),0,1),_xlfn.XLOOKUP(_xlpm.ai_test,$BK$15:$BK$62,ROW($BK$15:$BK$62),0,1))),_xlpm.p,_xlpm.r-MIN(ROW($BI$15:$BI$62))+1,_xlpm.f,INDEX($BL$15:$BL$62,_xlpm.p),_xlpm.u,INDEX($BM$15:$BM$62,_xlpm.p),_xlpm.s,INDEX($BO$15:$BO$62,_xlpm.p),_xlpm.q,N(AT116)/_xlpm.f,IF(_xlpm.q&gt;=_xlpm.s,ROUND(_xlpm.q,1)&amp;" "&amp;_xlpm.ai_test&amp;" = "&amp;ROUND(_xlpm.q*_xlpm.f,1)&amp;" "&amp;_xlpm.u,ROUND(_xlpm.q,1)&amp;" "&amp;_xlpm.ai_test)),""),""))))</f>
        <v>0</v>
      </c>
      <c r="AW116" s="1047"/>
      <c r="AX116" s="1034">
        <f t="shared" si="65"/>
        <v>0</v>
      </c>
      <c r="AY116" s="1035" t="str">
        <f t="shared" si="66"/>
        <v/>
      </c>
      <c r="AZ116" s="1036">
        <f t="shared" si="71"/>
        <v>0</v>
      </c>
      <c r="BA116" s="1037" t="str">
        <f t="shared" si="67"/>
        <v/>
      </c>
      <c r="BB116" s="1038"/>
      <c r="BC116" s="1039">
        <f t="shared" si="72"/>
        <v>0</v>
      </c>
      <c r="BD116" s="1040" t="str">
        <f t="shared" si="68"/>
        <v/>
      </c>
      <c r="BE116" s="227" t="s">
        <v>22</v>
      </c>
      <c r="BF116" s="1019">
        <f t="shared" si="69"/>
        <v>0</v>
      </c>
      <c r="BG116" s="1020">
        <f t="shared" si="70"/>
        <v>0</v>
      </c>
      <c r="BV116"/>
      <c r="BW116" s="959" t="str">
        <f t="shared" si="49"/>
        <v>►</v>
      </c>
      <c r="CC116" s="957"/>
      <c r="CD116"/>
      <c r="CE116"/>
      <c r="CF116"/>
      <c r="CG116"/>
      <c r="CH116"/>
      <c r="CI116"/>
      <c r="CJ116"/>
      <c r="CK116"/>
      <c r="CL116"/>
      <c r="CM116"/>
      <c r="CN116"/>
      <c r="CO116"/>
      <c r="CP116"/>
      <c r="CQ116"/>
      <c r="CR116"/>
      <c r="CS116"/>
      <c r="CT116"/>
      <c r="CU116"/>
      <c r="CV116"/>
      <c r="CW116"/>
      <c r="CX116"/>
      <c r="CY116"/>
      <c r="CZ116"/>
      <c r="DB116" s="3">
        <v>1</v>
      </c>
    </row>
    <row r="117" spans="1:106" s="709" customFormat="1" ht="21" customHeight="1">
      <c r="A117" s="936" t="s">
        <v>22</v>
      </c>
      <c r="B117" s="952" t="str">
        <f t="shared" si="48"/>
        <v>A</v>
      </c>
      <c r="C117" s="993" cm="1">
        <f t="array" ref="C117">SUMPRODUCT(LEN(D117:J117))</f>
        <v>0</v>
      </c>
      <c r="D117" s="167"/>
      <c r="E117" s="172"/>
      <c r="F117" s="172"/>
      <c r="G117" s="172"/>
      <c r="H117" s="172"/>
      <c r="I117" s="172"/>
      <c r="J117" s="173"/>
      <c r="K117" s="442" t="s">
        <v>22</v>
      </c>
      <c r="L117" s="27" t="s">
        <v>11</v>
      </c>
      <c r="M117" s="32" t="str">
        <f>M119</f>
        <v>P PRESSÉ DE BOUDIN NOIR | | Auteur &gt; Guy KRENZE - Eric GODDYN - Arnaud NICOLAS - CEPROC 2002</v>
      </c>
      <c r="N117" s="33">
        <f>N119</f>
        <v>20</v>
      </c>
      <c r="O117" s="33" t="str">
        <f>O119</f>
        <v>pressés de boudin</v>
      </c>
      <c r="P117" s="34" t="str">
        <f>P119</f>
        <v>Recette mère ► le Boudin en 4 déclinaisons</v>
      </c>
      <c r="Q117" s="50">
        <v>20</v>
      </c>
      <c r="R117" s="5038" t="s">
        <v>13001</v>
      </c>
      <c r="S117" s="42"/>
      <c r="T117" s="42"/>
      <c r="U117" s="5477"/>
      <c r="V117" s="5477"/>
      <c r="W117" s="5477"/>
      <c r="X117" s="46">
        <v>20</v>
      </c>
      <c r="Y117" s="5478" t="str">
        <f>R117</f>
        <v>pressés de boudin</v>
      </c>
      <c r="Z117" s="5479"/>
      <c r="AA117" s="5211"/>
      <c r="AB117" s="1178"/>
      <c r="AC117" s="1179"/>
      <c r="AD117" s="227" t="s">
        <v>22</v>
      </c>
      <c r="AE117" s="1027" t="str">
        <f t="shared" si="52"/>
        <v>►</v>
      </c>
      <c r="AF117" s="1028" t="str">
        <f t="shared" si="53"/>
        <v/>
      </c>
      <c r="AG117" s="1029" t="str">
        <f t="shared" si="54"/>
        <v/>
      </c>
      <c r="AH117" s="1028" t="str">
        <f t="shared" si="55"/>
        <v/>
      </c>
      <c r="AI117" s="1029" t="str">
        <f t="shared" si="56"/>
        <v/>
      </c>
      <c r="AJ117" s="1029">
        <f t="shared" si="57"/>
        <v>0</v>
      </c>
      <c r="AK117" s="1043" t="str" cm="1">
        <f t="array" ref="AK117">IF(AE117&lt;&gt;"A","",IFERROR((IFERROR(_xlfn.XLOOKUP(TRIM(SUBSTITUTE(U117,CHAR(160)," ")),$BI$15:$BI$62,$BL$15:$BL$62),IFERROR(_xlfn.XLOOKUP(TRIM(SUBSTITUTE(U117,CHAR(160)," ")),$BJ$15:$BJ$62,$BL$15:$BL$62),_xlfn.XLOOKUP(TRIM(SUBSTITUTE(U117,CHAR(160)," ")),$BK$15:$BK$62,$BL$15:$BL$62))))*T117*IF(ISBLANK(Q117),1,Q117)+IFERROR(_xlfn.XLOOKUP("RECHERCHEX",TRIM(L117:AC117),L117:AC117),0),0))</f>
        <v/>
      </c>
      <c r="AL117" s="1030">
        <f t="shared" si="58"/>
        <v>0</v>
      </c>
      <c r="AM117" s="5254" t="str">
        <f t="shared" si="73"/>
        <v/>
      </c>
      <c r="AN117" s="1031">
        <f t="shared" si="59"/>
        <v>0</v>
      </c>
      <c r="AO117" s="1031">
        <f t="shared" si="60"/>
        <v>0</v>
      </c>
      <c r="AP117" s="1044">
        <f t="shared" si="61"/>
        <v>0</v>
      </c>
      <c r="AQ117" s="5257" t="str">
        <f t="shared" si="62"/>
        <v/>
      </c>
      <c r="AR117" s="1056"/>
      <c r="AS117" s="1056"/>
      <c r="AT117" s="1045">
        <f t="shared" si="63"/>
        <v>0</v>
      </c>
      <c r="AU117" s="1046">
        <f t="shared" si="64"/>
        <v>0</v>
      </c>
      <c r="AV117" s="1059" cm="1">
        <f t="array" ref="AV117">IF(AJ117&lt;&gt;1,0,IF(OR(AT117="",N(AT117)&lt;=0.000000001),"",IF(OR(AN117="",N(AN117)&lt;=0.000000001),0,IF(ISNUMBER(AT117),IFERROR(_xlfn.LET(_xlpm.ai_test,TRIM(AI117),_xlpm.r,IFERROR(_xlfn.XLOOKUP(_xlpm.ai_test,$BI$15:$BI$62,ROW($BI$15:$BI$62),0,1),IFERROR(_xlfn.XLOOKUP(_xlpm.ai_test,$BJ$15:$BJ$62,ROW($BJ$15:$BJ$62),0,1),_xlfn.XLOOKUP(_xlpm.ai_test,$BK$15:$BK$62,ROW($BK$15:$BK$62),0,1))),_xlpm.p,_xlpm.r-MIN(ROW($BI$15:$BI$62))+1,_xlpm.f,INDEX($BL$15:$BL$62,_xlpm.p),_xlpm.u,INDEX($BM$15:$BM$62,_xlpm.p),_xlpm.s,INDEX($BO$15:$BO$62,_xlpm.p),_xlpm.q,N(AT117)/_xlpm.f,IF(_xlpm.q&gt;=_xlpm.s,ROUND(_xlpm.q,1)&amp;" "&amp;_xlpm.ai_test&amp;" = "&amp;ROUND(_xlpm.q*_xlpm.f,1)&amp;" "&amp;_xlpm.u,ROUND(_xlpm.q,1)&amp;" "&amp;_xlpm.ai_test)),""),""))))</f>
        <v>0</v>
      </c>
      <c r="AW117" s="1047"/>
      <c r="AX117" s="1045">
        <f t="shared" si="65"/>
        <v>0</v>
      </c>
      <c r="AY117" s="1046" t="str">
        <f t="shared" si="66"/>
        <v/>
      </c>
      <c r="AZ117" s="1048">
        <f t="shared" si="71"/>
        <v>0</v>
      </c>
      <c r="BA117" s="1049" t="str">
        <f t="shared" si="67"/>
        <v/>
      </c>
      <c r="BB117" s="1038"/>
      <c r="BC117" s="1050">
        <f t="shared" si="72"/>
        <v>0</v>
      </c>
      <c r="BD117" s="1040" t="str">
        <f t="shared" si="68"/>
        <v/>
      </c>
      <c r="BE117" s="227" t="s">
        <v>22</v>
      </c>
      <c r="BF117" s="1019">
        <f t="shared" si="69"/>
        <v>0</v>
      </c>
      <c r="BG117" s="1020">
        <f t="shared" si="70"/>
        <v>0</v>
      </c>
      <c r="BV117"/>
      <c r="BW117" s="959" t="str">
        <f t="shared" si="49"/>
        <v>►</v>
      </c>
      <c r="CC117" s="957"/>
      <c r="CD117"/>
      <c r="CE117"/>
      <c r="CF117"/>
      <c r="CG117"/>
      <c r="CH117"/>
      <c r="CI117"/>
      <c r="CJ117"/>
      <c r="CK117"/>
      <c r="CL117"/>
      <c r="CM117"/>
      <c r="CN117"/>
      <c r="CO117"/>
      <c r="CP117"/>
      <c r="CQ117"/>
      <c r="CR117"/>
      <c r="CS117"/>
      <c r="CT117"/>
      <c r="CU117"/>
      <c r="CV117"/>
      <c r="CW117"/>
      <c r="CX117"/>
      <c r="CY117"/>
      <c r="CZ117"/>
      <c r="DB117" s="3">
        <v>1</v>
      </c>
    </row>
    <row r="118" spans="1:106" s="709" customFormat="1" ht="21" customHeight="1">
      <c r="A118" s="936" t="s">
        <v>22</v>
      </c>
      <c r="B118" s="952" t="str">
        <f t="shared" si="48"/>
        <v>►</v>
      </c>
      <c r="C118" s="993" cm="1">
        <f t="array" ref="C118">SUMPRODUCT(LEN(D118:J118))</f>
        <v>0</v>
      </c>
      <c r="D118" s="167"/>
      <c r="E118" s="172"/>
      <c r="F118" s="172"/>
      <c r="G118" s="172"/>
      <c r="H118" s="172"/>
      <c r="I118" s="172"/>
      <c r="J118" s="173"/>
      <c r="K118" s="442" t="s">
        <v>22</v>
      </c>
      <c r="L118" s="27" t="s">
        <v>16</v>
      </c>
      <c r="M118" s="32" t="str">
        <f>M119</f>
        <v>P PRESSÉ DE BOUDIN NOIR | | Auteur &gt; Guy KRENZE - Eric GODDYN - Arnaud NICOLAS - CEPROC 2002</v>
      </c>
      <c r="N118" s="33">
        <f>N119</f>
        <v>20</v>
      </c>
      <c r="O118" s="33" t="str">
        <f>O119</f>
        <v>pressés de boudin</v>
      </c>
      <c r="P118" s="34" t="str">
        <f>P119</f>
        <v>Recette mère ► le Boudin en 4 déclinaisons</v>
      </c>
      <c r="Q118" s="56"/>
      <c r="R118" s="5165" t="s">
        <v>13098</v>
      </c>
      <c r="S118" s="5468">
        <f>Y153/V118</f>
        <v>2.5619999999999998</v>
      </c>
      <c r="T118" s="5468"/>
      <c r="U118" s="5054" t="str" cm="1">
        <f t="array" ref="U118">"1= "&amp;IF(OR(Q117&lt;=0,S118=""),"",_xlfn.LET(_xlpm.kg,IF(ISNUMBER(S118),S118,VALEUR(SUBSTITUTE(SUBSTITUTE(SUBSTITUTE(LOWER(S118),"kg",""),",",".")," ",""))),TEXT(ROUND(_xlpm.kg*1000/Q117,2),"0.##")&amp;" g"))</f>
        <v>1= 128.1 g</v>
      </c>
      <c r="V118" s="1490">
        <f>IFERROR(X117/Q117,0)</f>
        <v>1</v>
      </c>
      <c r="W118" s="45"/>
      <c r="X118" s="5041" t="s">
        <v>50</v>
      </c>
      <c r="Y118" s="5042">
        <f>Y153</f>
        <v>2.5619999999999998</v>
      </c>
      <c r="Z118" s="5043"/>
      <c r="AA118" s="5211"/>
      <c r="AB118" s="1178"/>
      <c r="AC118" s="1179"/>
      <c r="AD118" s="227" t="s">
        <v>22</v>
      </c>
      <c r="AE118" s="1027" t="str">
        <f t="shared" si="52"/>
        <v>►</v>
      </c>
      <c r="AF118" s="1028" t="str">
        <f t="shared" si="53"/>
        <v/>
      </c>
      <c r="AG118" s="1029" t="str">
        <f t="shared" si="54"/>
        <v/>
      </c>
      <c r="AH118" s="1028" t="str">
        <f t="shared" si="55"/>
        <v/>
      </c>
      <c r="AI118" s="1029" t="str">
        <f t="shared" si="56"/>
        <v/>
      </c>
      <c r="AJ118" s="1029">
        <f t="shared" si="57"/>
        <v>0</v>
      </c>
      <c r="AK118" s="1043" t="str" cm="1">
        <f t="array" ref="AK118">IF(AE118&lt;&gt;"A","",IFERROR((IFERROR(_xlfn.XLOOKUP(TRIM(SUBSTITUTE(U118,CHAR(160)," ")),$BI$15:$BI$62,$BL$15:$BL$62),IFERROR(_xlfn.XLOOKUP(TRIM(SUBSTITUTE(U118,CHAR(160)," ")),$BJ$15:$BJ$62,$BL$15:$BL$62),_xlfn.XLOOKUP(TRIM(SUBSTITUTE(U118,CHAR(160)," ")),$BK$15:$BK$62,$BL$15:$BL$62))))*T118*IF(ISBLANK(Q118),1,Q118)+IFERROR(_xlfn.XLOOKUP("RECHERCHEX",TRIM(L118:AC118),L118:AC118),0),0))</f>
        <v/>
      </c>
      <c r="AL118" s="1030">
        <f t="shared" si="58"/>
        <v>0</v>
      </c>
      <c r="AM118" s="5254" t="str">
        <f t="shared" si="73"/>
        <v/>
      </c>
      <c r="AN118" s="1031">
        <f t="shared" si="59"/>
        <v>0</v>
      </c>
      <c r="AO118" s="1031">
        <f t="shared" si="60"/>
        <v>0</v>
      </c>
      <c r="AP118" s="1032">
        <f t="shared" si="61"/>
        <v>0</v>
      </c>
      <c r="AQ118" s="5255" t="str">
        <f t="shared" si="62"/>
        <v/>
      </c>
      <c r="AR118" s="1056"/>
      <c r="AS118" s="1056"/>
      <c r="AT118" s="1034">
        <f t="shared" si="63"/>
        <v>0</v>
      </c>
      <c r="AU118" s="1035">
        <f t="shared" si="64"/>
        <v>0</v>
      </c>
      <c r="AV118" s="1057" cm="1">
        <f t="array" ref="AV118">IF(AJ118&lt;&gt;1,0,IF(OR(AT118="",N(AT118)&lt;=0.000000001),"",IF(OR(AN118="",N(AN118)&lt;=0.000000001),0,IF(ISNUMBER(AT118),IFERROR(_xlfn.LET(_xlpm.ai_test,TRIM(AI118),_xlpm.r,IFERROR(_xlfn.XLOOKUP(_xlpm.ai_test,$BI$15:$BI$62,ROW($BI$15:$BI$62),0,1),IFERROR(_xlfn.XLOOKUP(_xlpm.ai_test,$BJ$15:$BJ$62,ROW($BJ$15:$BJ$62),0,1),_xlfn.XLOOKUP(_xlpm.ai_test,$BK$15:$BK$62,ROW($BK$15:$BK$62),0,1))),_xlpm.p,_xlpm.r-MIN(ROW($BI$15:$BI$62))+1,_xlpm.f,INDEX($BL$15:$BL$62,_xlpm.p),_xlpm.u,INDEX($BM$15:$BM$62,_xlpm.p),_xlpm.s,INDEX($BO$15:$BO$62,_xlpm.p),_xlpm.q,N(AT118)/_xlpm.f,IF(_xlpm.q&gt;=_xlpm.s,ROUND(_xlpm.q,1)&amp;" "&amp;_xlpm.ai_test&amp;" = "&amp;ROUND(_xlpm.q*_xlpm.f,1)&amp;" "&amp;_xlpm.u,ROUND(_xlpm.q,1)&amp;" "&amp;_xlpm.ai_test)),""),""))))</f>
        <v>0</v>
      </c>
      <c r="AW118" s="1047"/>
      <c r="AX118" s="1034">
        <f t="shared" si="65"/>
        <v>0</v>
      </c>
      <c r="AY118" s="1035" t="str">
        <f t="shared" si="66"/>
        <v/>
      </c>
      <c r="AZ118" s="1036">
        <f t="shared" si="71"/>
        <v>0</v>
      </c>
      <c r="BA118" s="1037" t="str">
        <f t="shared" si="67"/>
        <v/>
      </c>
      <c r="BB118" s="1038"/>
      <c r="BC118" s="1039">
        <f t="shared" si="72"/>
        <v>0</v>
      </c>
      <c r="BD118" s="1040" t="str">
        <f t="shared" si="68"/>
        <v/>
      </c>
      <c r="BE118" s="227" t="s">
        <v>22</v>
      </c>
      <c r="BF118" s="1019">
        <f t="shared" si="69"/>
        <v>0</v>
      </c>
      <c r="BG118" s="1020">
        <f t="shared" si="70"/>
        <v>0</v>
      </c>
      <c r="BV118"/>
      <c r="BW118" s="959" t="str">
        <f t="shared" si="49"/>
        <v>►</v>
      </c>
      <c r="CC118" s="957"/>
      <c r="CD118"/>
      <c r="CE118"/>
      <c r="CF118"/>
      <c r="CG118"/>
      <c r="CH118"/>
      <c r="CI118"/>
      <c r="CJ118"/>
      <c r="CK118"/>
      <c r="CL118"/>
      <c r="CM118"/>
      <c r="CN118"/>
      <c r="CO118"/>
      <c r="CP118"/>
      <c r="CQ118"/>
      <c r="CR118"/>
      <c r="CS118"/>
      <c r="CT118"/>
      <c r="CU118"/>
      <c r="CV118"/>
      <c r="CW118"/>
      <c r="CX118"/>
      <c r="CY118"/>
      <c r="CZ118"/>
      <c r="DB118" s="3">
        <v>1</v>
      </c>
    </row>
    <row r="119" spans="1:106" s="709" customFormat="1" ht="21" customHeight="1">
      <c r="A119" s="936" t="s">
        <v>22</v>
      </c>
      <c r="B119" s="952" t="str">
        <f t="shared" si="48"/>
        <v>►</v>
      </c>
      <c r="C119" s="993" cm="1">
        <f t="array" ref="C119">SUMPRODUCT(LEN(D119:J119))</f>
        <v>0</v>
      </c>
      <c r="D119" s="167"/>
      <c r="E119" s="172"/>
      <c r="F119" s="172"/>
      <c r="G119" s="172"/>
      <c r="H119" s="172"/>
      <c r="I119" s="172"/>
      <c r="J119" s="173"/>
      <c r="K119" s="442" t="s">
        <v>22</v>
      </c>
      <c r="L119" s="64" t="s">
        <v>16</v>
      </c>
      <c r="M119" s="65" t="str">
        <f>Q119</f>
        <v>P PRESSÉ DE BOUDIN NOIR | | Auteur &gt; Guy KRENZE - Eric GODDYN - Arnaud NICOLAS - CEPROC 2002</v>
      </c>
      <c r="N119" s="66">
        <f>Q117</f>
        <v>20</v>
      </c>
      <c r="O119" s="65" t="str">
        <f>R117</f>
        <v>pressés de boudin</v>
      </c>
      <c r="P119" s="67" t="str">
        <f>V119&amp;" "&amp;W119</f>
        <v>Recette mère ► le Boudin en 4 déclinaisons</v>
      </c>
      <c r="Q119" s="68" t="str">
        <f>UPPER(LEFT(R113,1))&amp;" "&amp;R113&amp;" | "&amp;Y113&amp;"| "&amp;T115&amp;" "&amp;U115</f>
        <v>P PRESSÉ DE BOUDIN NOIR | | Auteur &gt; Guy KRENZE - Eric GODDYN - Arnaud NICOLAS - CEPROC 2002</v>
      </c>
      <c r="R119" s="69" t="s">
        <v>54</v>
      </c>
      <c r="S119" s="5469" t="s">
        <v>55</v>
      </c>
      <c r="T119" s="5469"/>
      <c r="U119" s="5469"/>
      <c r="V119" s="70" t="str">
        <f>IF(ISTEXT(W119),"Recette mère ►",R119)</f>
        <v>Recette mère ►</v>
      </c>
      <c r="W119" s="71" t="s">
        <v>12836</v>
      </c>
      <c r="X119" s="71"/>
      <c r="Y119" s="72"/>
      <c r="Z119" s="1473"/>
      <c r="AA119" s="5211"/>
      <c r="AB119" s="1178"/>
      <c r="AC119" s="1179"/>
      <c r="AD119" s="227" t="s">
        <v>22</v>
      </c>
      <c r="AE119" s="1027" t="str">
        <f t="shared" si="52"/>
        <v>►</v>
      </c>
      <c r="AF119" s="1028" t="str">
        <f t="shared" si="53"/>
        <v/>
      </c>
      <c r="AG119" s="1029" t="str">
        <f t="shared" si="54"/>
        <v/>
      </c>
      <c r="AH119" s="1028" t="str">
        <f t="shared" si="55"/>
        <v/>
      </c>
      <c r="AI119" s="1029" t="str">
        <f t="shared" si="56"/>
        <v/>
      </c>
      <c r="AJ119" s="1029">
        <f t="shared" si="57"/>
        <v>0</v>
      </c>
      <c r="AK119" s="1043" t="str" cm="1">
        <f t="array" ref="AK119">IF(AE119&lt;&gt;"A","",IFERROR((IFERROR(_xlfn.XLOOKUP(TRIM(SUBSTITUTE(U119,CHAR(160)," ")),$BI$15:$BI$62,$BL$15:$BL$62),IFERROR(_xlfn.XLOOKUP(TRIM(SUBSTITUTE(U119,CHAR(160)," ")),$BJ$15:$BJ$62,$BL$15:$BL$62),_xlfn.XLOOKUP(TRIM(SUBSTITUTE(U119,CHAR(160)," ")),$BK$15:$BK$62,$BL$15:$BL$62))))*T119*IF(ISBLANK(Q119),1,Q119)+IFERROR(_xlfn.XLOOKUP("RECHERCHEX",TRIM(L119:AC119),L119:AC119),0),0))</f>
        <v/>
      </c>
      <c r="AL119" s="1030">
        <f t="shared" si="58"/>
        <v>0</v>
      </c>
      <c r="AM119" s="5254" t="str">
        <f t="shared" si="73"/>
        <v/>
      </c>
      <c r="AN119" s="1031">
        <f t="shared" si="59"/>
        <v>0</v>
      </c>
      <c r="AO119" s="1031">
        <f t="shared" si="60"/>
        <v>0</v>
      </c>
      <c r="AP119" s="1044">
        <f t="shared" si="61"/>
        <v>0</v>
      </c>
      <c r="AQ119" s="5257" t="str">
        <f t="shared" si="62"/>
        <v/>
      </c>
      <c r="AR119" s="1056"/>
      <c r="AS119" s="1056"/>
      <c r="AT119" s="1045">
        <f t="shared" si="63"/>
        <v>0</v>
      </c>
      <c r="AU119" s="1046">
        <f t="shared" si="64"/>
        <v>0</v>
      </c>
      <c r="AV119" s="1059" cm="1">
        <f t="array" ref="AV119">IF(AJ119&lt;&gt;1,0,IF(OR(AT119="",N(AT119)&lt;=0.000000001),"",IF(OR(AN119="",N(AN119)&lt;=0.000000001),0,IF(ISNUMBER(AT119),IFERROR(_xlfn.LET(_xlpm.ai_test,TRIM(AI119),_xlpm.r,IFERROR(_xlfn.XLOOKUP(_xlpm.ai_test,$BI$15:$BI$62,ROW($BI$15:$BI$62),0,1),IFERROR(_xlfn.XLOOKUP(_xlpm.ai_test,$BJ$15:$BJ$62,ROW($BJ$15:$BJ$62),0,1),_xlfn.XLOOKUP(_xlpm.ai_test,$BK$15:$BK$62,ROW($BK$15:$BK$62),0,1))),_xlpm.p,_xlpm.r-MIN(ROW($BI$15:$BI$62))+1,_xlpm.f,INDEX($BL$15:$BL$62,_xlpm.p),_xlpm.u,INDEX($BM$15:$BM$62,_xlpm.p),_xlpm.s,INDEX($BO$15:$BO$62,_xlpm.p),_xlpm.q,N(AT119)/_xlpm.f,IF(_xlpm.q&gt;=_xlpm.s,ROUND(_xlpm.q,1)&amp;" "&amp;_xlpm.ai_test&amp;" = "&amp;ROUND(_xlpm.q*_xlpm.f,1)&amp;" "&amp;_xlpm.u,ROUND(_xlpm.q,1)&amp;" "&amp;_xlpm.ai_test)),""),""))))</f>
        <v>0</v>
      </c>
      <c r="AW119" s="1047"/>
      <c r="AX119" s="1045">
        <f t="shared" si="65"/>
        <v>0</v>
      </c>
      <c r="AY119" s="1046" t="str">
        <f t="shared" si="66"/>
        <v/>
      </c>
      <c r="AZ119" s="1048">
        <f t="shared" si="71"/>
        <v>0</v>
      </c>
      <c r="BA119" s="1049" t="str">
        <f t="shared" si="67"/>
        <v/>
      </c>
      <c r="BB119" s="1038"/>
      <c r="BC119" s="1050">
        <f t="shared" si="72"/>
        <v>0</v>
      </c>
      <c r="BD119" s="1040" t="str">
        <f t="shared" si="68"/>
        <v/>
      </c>
      <c r="BE119" s="227" t="s">
        <v>22</v>
      </c>
      <c r="BF119" s="1019">
        <f t="shared" si="69"/>
        <v>0</v>
      </c>
      <c r="BG119" s="1020">
        <f t="shared" si="70"/>
        <v>0</v>
      </c>
      <c r="BV119"/>
      <c r="BW119" s="959" t="str">
        <f t="shared" si="49"/>
        <v>►</v>
      </c>
      <c r="CC119" s="957"/>
      <c r="CD119"/>
      <c r="CE119"/>
      <c r="CF119"/>
      <c r="CG119"/>
      <c r="CH119"/>
      <c r="CI119"/>
      <c r="CJ119"/>
      <c r="CK119"/>
      <c r="CL119"/>
      <c r="CM119"/>
      <c r="CN119"/>
      <c r="CO119"/>
      <c r="CP119"/>
      <c r="CQ119"/>
      <c r="CR119"/>
      <c r="CS119"/>
      <c r="CT119"/>
      <c r="CU119"/>
      <c r="CV119"/>
      <c r="CW119"/>
      <c r="CX119"/>
      <c r="CY119"/>
      <c r="CZ119"/>
      <c r="DB119" s="3">
        <v>1</v>
      </c>
    </row>
    <row r="120" spans="1:106" s="709" customFormat="1" ht="21" customHeight="1">
      <c r="A120" s="936" t="s">
        <v>22</v>
      </c>
      <c r="B120" s="952" t="str">
        <f t="shared" si="48"/>
        <v>►</v>
      </c>
      <c r="C120" s="993" cm="1">
        <f t="array" ref="C120">SUMPRODUCT(LEN(D120:J120))</f>
        <v>0</v>
      </c>
      <c r="D120" s="167"/>
      <c r="E120" s="172"/>
      <c r="F120" s="172"/>
      <c r="G120" s="172"/>
      <c r="H120" s="172"/>
      <c r="I120" s="172"/>
      <c r="J120" s="173"/>
      <c r="K120" s="442" t="s">
        <v>22</v>
      </c>
      <c r="L120" s="74" t="s">
        <v>16</v>
      </c>
      <c r="M120" s="75" t="str">
        <f>M119</f>
        <v>P PRESSÉ DE BOUDIN NOIR | | Auteur &gt; Guy KRENZE - Eric GODDYN - Arnaud NICOLAS - CEPROC 2002</v>
      </c>
      <c r="N120" s="75">
        <f>N119</f>
        <v>20</v>
      </c>
      <c r="O120" s="75" t="str">
        <f>O119</f>
        <v>pressés de boudin</v>
      </c>
      <c r="P120" s="76" t="str">
        <f>P119</f>
        <v>Recette mère ► le Boudin en 4 déclinaisons</v>
      </c>
      <c r="Q120" s="13" t="s">
        <v>66</v>
      </c>
      <c r="R120" s="13" t="s">
        <v>67</v>
      </c>
      <c r="S120" s="13" t="s">
        <v>68</v>
      </c>
      <c r="T120" s="13" t="s">
        <v>69</v>
      </c>
      <c r="U120" s="77" t="s">
        <v>70</v>
      </c>
      <c r="V120" s="78" t="s">
        <v>71</v>
      </c>
      <c r="W120" s="79" t="s">
        <v>72</v>
      </c>
      <c r="X120" s="1496" t="s">
        <v>73</v>
      </c>
      <c r="Y120" s="13" t="s">
        <v>74</v>
      </c>
      <c r="Z120" s="518" t="s">
        <v>75</v>
      </c>
      <c r="AA120" s="5211"/>
      <c r="AB120" s="1178"/>
      <c r="AC120" s="1179"/>
      <c r="AD120" s="227" t="s">
        <v>22</v>
      </c>
      <c r="AE120" s="1027" t="str">
        <f t="shared" si="52"/>
        <v>►</v>
      </c>
      <c r="AF120" s="1028" t="str">
        <f t="shared" si="53"/>
        <v/>
      </c>
      <c r="AG120" s="1029" t="str">
        <f t="shared" si="54"/>
        <v/>
      </c>
      <c r="AH120" s="1028" t="str">
        <f t="shared" si="55"/>
        <v/>
      </c>
      <c r="AI120" s="1029" t="str">
        <f t="shared" si="56"/>
        <v/>
      </c>
      <c r="AJ120" s="1029">
        <f t="shared" si="57"/>
        <v>0</v>
      </c>
      <c r="AK120" s="1043" t="str" cm="1">
        <f t="array" ref="AK120">IF(AE120&lt;&gt;"A","",IFERROR((IFERROR(_xlfn.XLOOKUP(TRIM(SUBSTITUTE(U120,CHAR(160)," ")),$BI$15:$BI$62,$BL$15:$BL$62),IFERROR(_xlfn.XLOOKUP(TRIM(SUBSTITUTE(U120,CHAR(160)," ")),$BJ$15:$BJ$62,$BL$15:$BL$62),_xlfn.XLOOKUP(TRIM(SUBSTITUTE(U120,CHAR(160)," ")),$BK$15:$BK$62,$BL$15:$BL$62))))*T120*IF(ISBLANK(Q120),1,Q120)+IFERROR(_xlfn.XLOOKUP("RECHERCHEX",TRIM(L120:AC120),L120:AC120),0),0))</f>
        <v/>
      </c>
      <c r="AL120" s="1030">
        <f t="shared" si="58"/>
        <v>0</v>
      </c>
      <c r="AM120" s="5254" t="str">
        <f t="shared" si="73"/>
        <v/>
      </c>
      <c r="AN120" s="1031">
        <f t="shared" si="59"/>
        <v>0</v>
      </c>
      <c r="AO120" s="1031">
        <f t="shared" si="60"/>
        <v>0</v>
      </c>
      <c r="AP120" s="1032">
        <f t="shared" si="61"/>
        <v>0</v>
      </c>
      <c r="AQ120" s="5255" t="str">
        <f t="shared" si="62"/>
        <v/>
      </c>
      <c r="AR120" s="5264"/>
      <c r="AS120" s="1033"/>
      <c r="AT120" s="1034">
        <f t="shared" si="63"/>
        <v>0</v>
      </c>
      <c r="AU120" s="1035">
        <f t="shared" si="64"/>
        <v>0</v>
      </c>
      <c r="AV120" s="1057" cm="1">
        <f t="array" ref="AV120">IF(AJ120&lt;&gt;1,0,IF(OR(AT120="",N(AT120)&lt;=0.000000001),"",IF(OR(AN120="",N(AN120)&lt;=0.000000001),0,IF(ISNUMBER(AT120),IFERROR(_xlfn.LET(_xlpm.ai_test,TRIM(AI120),_xlpm.r,IFERROR(_xlfn.XLOOKUP(_xlpm.ai_test,$BI$15:$BI$62,ROW($BI$15:$BI$62),0,1),IFERROR(_xlfn.XLOOKUP(_xlpm.ai_test,$BJ$15:$BJ$62,ROW($BJ$15:$BJ$62),0,1),_xlfn.XLOOKUP(_xlpm.ai_test,$BK$15:$BK$62,ROW($BK$15:$BK$62),0,1))),_xlpm.p,_xlpm.r-MIN(ROW($BI$15:$BI$62))+1,_xlpm.f,INDEX($BL$15:$BL$62,_xlpm.p),_xlpm.u,INDEX($BM$15:$BM$62,_xlpm.p),_xlpm.s,INDEX($BO$15:$BO$62,_xlpm.p),_xlpm.q,N(AT120)/_xlpm.f,IF(_xlpm.q&gt;=_xlpm.s,ROUND(_xlpm.q,1)&amp;" "&amp;_xlpm.ai_test&amp;" = "&amp;ROUND(_xlpm.q*_xlpm.f,1)&amp;" "&amp;_xlpm.u,ROUND(_xlpm.q,1)&amp;" "&amp;_xlpm.ai_test)),""),""))))</f>
        <v>0</v>
      </c>
      <c r="AW120" s="1047"/>
      <c r="AX120" s="1034">
        <f t="shared" si="65"/>
        <v>0</v>
      </c>
      <c r="AY120" s="1035" t="str">
        <f t="shared" si="66"/>
        <v/>
      </c>
      <c r="AZ120" s="1036">
        <f t="shared" si="71"/>
        <v>0</v>
      </c>
      <c r="BA120" s="1037" t="str">
        <f t="shared" si="67"/>
        <v/>
      </c>
      <c r="BB120" s="1038"/>
      <c r="BC120" s="1039">
        <f t="shared" si="72"/>
        <v>0</v>
      </c>
      <c r="BD120" s="1040" t="str">
        <f t="shared" si="68"/>
        <v/>
      </c>
      <c r="BE120" s="227" t="s">
        <v>22</v>
      </c>
      <c r="BF120" s="1019">
        <f t="shared" si="69"/>
        <v>0</v>
      </c>
      <c r="BG120" s="1020">
        <f t="shared" si="70"/>
        <v>0</v>
      </c>
      <c r="BV120"/>
      <c r="BW120" s="959" t="str">
        <f t="shared" si="49"/>
        <v>►</v>
      </c>
      <c r="CC120" s="957"/>
      <c r="CD120"/>
      <c r="CE120"/>
      <c r="CF120"/>
      <c r="CG120"/>
      <c r="CH120"/>
      <c r="CI120"/>
      <c r="CJ120"/>
      <c r="CK120"/>
      <c r="CL120"/>
      <c r="CM120"/>
      <c r="CN120"/>
      <c r="CO120"/>
      <c r="CP120"/>
      <c r="CQ120"/>
      <c r="CR120"/>
      <c r="CS120"/>
      <c r="CT120"/>
      <c r="CU120"/>
      <c r="CV120"/>
      <c r="CW120"/>
      <c r="CX120"/>
      <c r="CY120"/>
      <c r="CZ120"/>
      <c r="DB120" s="3">
        <v>1</v>
      </c>
    </row>
    <row r="121" spans="1:106" s="709" customFormat="1" ht="21" customHeight="1">
      <c r="A121" s="936" t="s">
        <v>22</v>
      </c>
      <c r="B121" s="952" t="str">
        <f t="shared" si="48"/>
        <v>A</v>
      </c>
      <c r="C121" s="993" cm="1">
        <f t="array" ref="C121">SUMPRODUCT(LEN(D121:J121))</f>
        <v>0</v>
      </c>
      <c r="D121" s="167"/>
      <c r="E121" s="172"/>
      <c r="F121" s="172"/>
      <c r="G121" s="172"/>
      <c r="H121" s="172"/>
      <c r="I121" s="172"/>
      <c r="J121" s="173"/>
      <c r="K121" s="442" t="s">
        <v>22</v>
      </c>
      <c r="L121" s="27" t="s">
        <v>11</v>
      </c>
      <c r="M121" s="32" t="str">
        <f>M119</f>
        <v>P PRESSÉ DE BOUDIN NOIR | | Auteur &gt; Guy KRENZE - Eric GODDYN - Arnaud NICOLAS - CEPROC 2002</v>
      </c>
      <c r="N121" s="33">
        <f>N119</f>
        <v>20</v>
      </c>
      <c r="O121" s="32" t="str">
        <f>O119</f>
        <v>pressés de boudin</v>
      </c>
      <c r="P121" s="34" t="str">
        <f>P119</f>
        <v>Recette mère ► le Boudin en 4 déclinaisons</v>
      </c>
      <c r="Q121" s="81" t="s">
        <v>77</v>
      </c>
      <c r="R121" s="82" t="s">
        <v>78</v>
      </c>
      <c r="S121" s="83"/>
      <c r="T121" s="5454" t="s">
        <v>79</v>
      </c>
      <c r="U121" s="5464" t="s">
        <v>80</v>
      </c>
      <c r="V121" s="5466" t="s">
        <v>81</v>
      </c>
      <c r="W121" s="84" t="s">
        <v>82</v>
      </c>
      <c r="X121" s="5444" t="s">
        <v>83</v>
      </c>
      <c r="Y121" s="5446" t="s">
        <v>3297</v>
      </c>
      <c r="Z121" s="5448" t="s">
        <v>86</v>
      </c>
      <c r="AA121" s="5211"/>
      <c r="AB121" s="1178"/>
      <c r="AC121" s="1179"/>
      <c r="AD121" s="227" t="s">
        <v>22</v>
      </c>
      <c r="AE121" s="1027" t="str">
        <f t="shared" si="52"/>
        <v>►</v>
      </c>
      <c r="AF121" s="1028" t="str">
        <f t="shared" si="53"/>
        <v/>
      </c>
      <c r="AG121" s="1029" t="str">
        <f t="shared" si="54"/>
        <v/>
      </c>
      <c r="AH121" s="1028" t="str">
        <f t="shared" si="55"/>
        <v/>
      </c>
      <c r="AI121" s="1029" t="str">
        <f t="shared" si="56"/>
        <v/>
      </c>
      <c r="AJ121" s="1029">
        <f t="shared" si="57"/>
        <v>0</v>
      </c>
      <c r="AK121" s="1043" t="str" cm="1">
        <f t="array" ref="AK121">IF(AE121&lt;&gt;"A","",IFERROR((IFERROR(_xlfn.XLOOKUP(TRIM(SUBSTITUTE(U121,CHAR(160)," ")),$BI$15:$BI$62,$BL$15:$BL$62),IFERROR(_xlfn.XLOOKUP(TRIM(SUBSTITUTE(U121,CHAR(160)," ")),$BJ$15:$BJ$62,$BL$15:$BL$62),_xlfn.XLOOKUP(TRIM(SUBSTITUTE(U121,CHAR(160)," ")),$BK$15:$BK$62,$BL$15:$BL$62))))*T121*IF(ISBLANK(Q121),1,Q121)+IFERROR(_xlfn.XLOOKUP("RECHERCHEX",TRIM(L121:AC121),L121:AC121),0),0))</f>
        <v/>
      </c>
      <c r="AL121" s="1030">
        <f t="shared" si="58"/>
        <v>0</v>
      </c>
      <c r="AM121" s="5254" t="str">
        <f t="shared" si="73"/>
        <v/>
      </c>
      <c r="AN121" s="1031">
        <f t="shared" si="59"/>
        <v>0</v>
      </c>
      <c r="AO121" s="1031">
        <f t="shared" si="60"/>
        <v>0</v>
      </c>
      <c r="AP121" s="1044">
        <f t="shared" si="61"/>
        <v>0</v>
      </c>
      <c r="AQ121" s="5257" t="str">
        <f t="shared" si="62"/>
        <v/>
      </c>
      <c r="AR121" s="5264"/>
      <c r="AS121" s="1033"/>
      <c r="AT121" s="1045">
        <f t="shared" si="63"/>
        <v>0</v>
      </c>
      <c r="AU121" s="1046">
        <f t="shared" si="64"/>
        <v>0</v>
      </c>
      <c r="AV121" s="1059" cm="1">
        <f t="array" ref="AV121">IF(AJ121&lt;&gt;1,0,IF(OR(AT121="",N(AT121)&lt;=0.000000001),"",IF(OR(AN121="",N(AN121)&lt;=0.000000001),0,IF(ISNUMBER(AT121),IFERROR(_xlfn.LET(_xlpm.ai_test,TRIM(AI121),_xlpm.r,IFERROR(_xlfn.XLOOKUP(_xlpm.ai_test,$BI$15:$BI$62,ROW($BI$15:$BI$62),0,1),IFERROR(_xlfn.XLOOKUP(_xlpm.ai_test,$BJ$15:$BJ$62,ROW($BJ$15:$BJ$62),0,1),_xlfn.XLOOKUP(_xlpm.ai_test,$BK$15:$BK$62,ROW($BK$15:$BK$62),0,1))),_xlpm.p,_xlpm.r-MIN(ROW($BI$15:$BI$62))+1,_xlpm.f,INDEX($BL$15:$BL$62,_xlpm.p),_xlpm.u,INDEX($BM$15:$BM$62,_xlpm.p),_xlpm.s,INDEX($BO$15:$BO$62,_xlpm.p),_xlpm.q,N(AT121)/_xlpm.f,IF(_xlpm.q&gt;=_xlpm.s,ROUND(_xlpm.q,1)&amp;" "&amp;_xlpm.ai_test&amp;" = "&amp;ROUND(_xlpm.q*_xlpm.f,1)&amp;" "&amp;_xlpm.u,ROUND(_xlpm.q,1)&amp;" "&amp;_xlpm.ai_test)),""),""))))</f>
        <v>0</v>
      </c>
      <c r="AW121" s="1047"/>
      <c r="AX121" s="1045">
        <f t="shared" si="65"/>
        <v>0</v>
      </c>
      <c r="AY121" s="1046" t="str">
        <f t="shared" si="66"/>
        <v/>
      </c>
      <c r="AZ121" s="1048">
        <f t="shared" si="71"/>
        <v>0</v>
      </c>
      <c r="BA121" s="1049" t="str">
        <f t="shared" si="67"/>
        <v/>
      </c>
      <c r="BB121" s="1038"/>
      <c r="BC121" s="1050">
        <f t="shared" si="72"/>
        <v>0</v>
      </c>
      <c r="BD121" s="1040" t="str">
        <f t="shared" si="68"/>
        <v/>
      </c>
      <c r="BE121" s="227" t="s">
        <v>22</v>
      </c>
      <c r="BF121" s="1019">
        <f t="shared" si="69"/>
        <v>0</v>
      </c>
      <c r="BG121" s="1020">
        <f t="shared" si="70"/>
        <v>0</v>
      </c>
      <c r="BV121"/>
      <c r="BW121" s="959" t="str">
        <f t="shared" si="49"/>
        <v>►</v>
      </c>
      <c r="CC121" s="957"/>
      <c r="CD121"/>
      <c r="CE121"/>
      <c r="CF121"/>
      <c r="CG121"/>
      <c r="CH121"/>
      <c r="CI121"/>
      <c r="CJ121"/>
      <c r="CK121"/>
      <c r="CL121"/>
      <c r="CM121"/>
      <c r="CN121"/>
      <c r="CO121"/>
      <c r="CP121"/>
      <c r="CQ121"/>
      <c r="CR121"/>
      <c r="CS121"/>
      <c r="CT121"/>
      <c r="CU121"/>
      <c r="CV121"/>
      <c r="CW121"/>
      <c r="CX121"/>
      <c r="CY121"/>
      <c r="CZ121"/>
      <c r="DB121" s="3">
        <v>1</v>
      </c>
    </row>
    <row r="122" spans="1:106" s="709" customFormat="1" ht="21" customHeight="1">
      <c r="A122" s="936" t="s">
        <v>22</v>
      </c>
      <c r="B122" s="952" t="str">
        <f t="shared" si="48"/>
        <v>A</v>
      </c>
      <c r="C122" s="993" cm="1">
        <f t="array" ref="C122">SUMPRODUCT(LEN(D122:J122))</f>
        <v>0</v>
      </c>
      <c r="D122" s="167"/>
      <c r="E122" s="172"/>
      <c r="F122" s="172"/>
      <c r="G122" s="172"/>
      <c r="H122" s="172"/>
      <c r="I122" s="172"/>
      <c r="J122" s="173"/>
      <c r="K122" s="442" t="s">
        <v>22</v>
      </c>
      <c r="L122" s="27" t="s">
        <v>11</v>
      </c>
      <c r="M122" s="32" t="str">
        <f>M119</f>
        <v>P PRESSÉ DE BOUDIN NOIR | | Auteur &gt; Guy KRENZE - Eric GODDYN - Arnaud NICOLAS - CEPROC 2002</v>
      </c>
      <c r="N122" s="33">
        <f>N119</f>
        <v>20</v>
      </c>
      <c r="O122" s="32" t="str">
        <f>O119</f>
        <v>pressés de boudin</v>
      </c>
      <c r="P122" s="34" t="str">
        <f>P119</f>
        <v>Recette mère ► le Boudin en 4 déclinaisons</v>
      </c>
      <c r="Q122" s="87" t="s">
        <v>91</v>
      </c>
      <c r="R122" s="88" t="s">
        <v>92</v>
      </c>
      <c r="S122" s="89" t="s">
        <v>93</v>
      </c>
      <c r="T122" s="5455"/>
      <c r="U122" s="5465"/>
      <c r="V122" s="5467"/>
      <c r="W122" s="90" t="s">
        <v>94</v>
      </c>
      <c r="X122" s="5445"/>
      <c r="Y122" s="5447"/>
      <c r="Z122" s="5449"/>
      <c r="AA122" s="5211"/>
      <c r="AB122" s="1178"/>
      <c r="AC122" s="1179"/>
      <c r="AD122" s="227" t="s">
        <v>22</v>
      </c>
      <c r="AE122" s="1027" t="str">
        <f t="shared" si="52"/>
        <v>►</v>
      </c>
      <c r="AF122" s="1028" t="str">
        <f t="shared" si="53"/>
        <v/>
      </c>
      <c r="AG122" s="1029" t="str">
        <f t="shared" si="54"/>
        <v/>
      </c>
      <c r="AH122" s="1028" t="str">
        <f t="shared" si="55"/>
        <v/>
      </c>
      <c r="AI122" s="1029" t="str">
        <f t="shared" si="56"/>
        <v/>
      </c>
      <c r="AJ122" s="1029">
        <f t="shared" si="57"/>
        <v>0</v>
      </c>
      <c r="AK122" s="1043" t="str" cm="1">
        <f t="array" ref="AK122">IF(AE122&lt;&gt;"A","",IFERROR((IFERROR(_xlfn.XLOOKUP(TRIM(SUBSTITUTE(U122,CHAR(160)," ")),$BI$15:$BI$62,$BL$15:$BL$62),IFERROR(_xlfn.XLOOKUP(TRIM(SUBSTITUTE(U122,CHAR(160)," ")),$BJ$15:$BJ$62,$BL$15:$BL$62),_xlfn.XLOOKUP(TRIM(SUBSTITUTE(U122,CHAR(160)," ")),$BK$15:$BK$62,$BL$15:$BL$62))))*T122*IF(ISBLANK(Q122),1,Q122)+IFERROR(_xlfn.XLOOKUP("RECHERCHEX",TRIM(L122:AC122),L122:AC122),0),0))</f>
        <v/>
      </c>
      <c r="AL122" s="1030">
        <f t="shared" si="58"/>
        <v>0</v>
      </c>
      <c r="AM122" s="5254" t="str">
        <f t="shared" si="73"/>
        <v/>
      </c>
      <c r="AN122" s="1031">
        <f t="shared" si="59"/>
        <v>0</v>
      </c>
      <c r="AO122" s="1031">
        <f t="shared" si="60"/>
        <v>0</v>
      </c>
      <c r="AP122" s="1032">
        <f t="shared" si="61"/>
        <v>0</v>
      </c>
      <c r="AQ122" s="5255" t="str">
        <f t="shared" si="62"/>
        <v/>
      </c>
      <c r="AR122" s="5264"/>
      <c r="AS122" s="1033"/>
      <c r="AT122" s="1034">
        <f t="shared" si="63"/>
        <v>0</v>
      </c>
      <c r="AU122" s="1035">
        <f t="shared" si="64"/>
        <v>0</v>
      </c>
      <c r="AV122" s="1057" cm="1">
        <f t="array" ref="AV122">IF(AJ122&lt;&gt;1,0,IF(OR(AT122="",N(AT122)&lt;=0.000000001),"",IF(OR(AN122="",N(AN122)&lt;=0.000000001),0,IF(ISNUMBER(AT122),IFERROR(_xlfn.LET(_xlpm.ai_test,TRIM(AI122),_xlpm.r,IFERROR(_xlfn.XLOOKUP(_xlpm.ai_test,$BI$15:$BI$62,ROW($BI$15:$BI$62),0,1),IFERROR(_xlfn.XLOOKUP(_xlpm.ai_test,$BJ$15:$BJ$62,ROW($BJ$15:$BJ$62),0,1),_xlfn.XLOOKUP(_xlpm.ai_test,$BK$15:$BK$62,ROW($BK$15:$BK$62),0,1))),_xlpm.p,_xlpm.r-MIN(ROW($BI$15:$BI$62))+1,_xlpm.f,INDEX($BL$15:$BL$62,_xlpm.p),_xlpm.u,INDEX($BM$15:$BM$62,_xlpm.p),_xlpm.s,INDEX($BO$15:$BO$62,_xlpm.p),_xlpm.q,N(AT122)/_xlpm.f,IF(_xlpm.q&gt;=_xlpm.s,ROUND(_xlpm.q,1)&amp;" "&amp;_xlpm.ai_test&amp;" = "&amp;ROUND(_xlpm.q*_xlpm.f,1)&amp;" "&amp;_xlpm.u,ROUND(_xlpm.q,1)&amp;" "&amp;_xlpm.ai_test)),""),""))))</f>
        <v>0</v>
      </c>
      <c r="AW122" s="1047"/>
      <c r="AX122" s="1034">
        <f t="shared" si="65"/>
        <v>0</v>
      </c>
      <c r="AY122" s="1035" t="str">
        <f t="shared" si="66"/>
        <v/>
      </c>
      <c r="AZ122" s="1036">
        <f t="shared" si="71"/>
        <v>0</v>
      </c>
      <c r="BA122" s="1037" t="str">
        <f t="shared" si="67"/>
        <v/>
      </c>
      <c r="BB122" s="1038"/>
      <c r="BC122" s="1039">
        <f t="shared" si="72"/>
        <v>0</v>
      </c>
      <c r="BD122" s="1040" t="str">
        <f t="shared" si="68"/>
        <v/>
      </c>
      <c r="BE122" s="227" t="s">
        <v>22</v>
      </c>
      <c r="BF122" s="1019">
        <f t="shared" si="69"/>
        <v>0</v>
      </c>
      <c r="BG122" s="1020">
        <f t="shared" si="70"/>
        <v>0</v>
      </c>
      <c r="BV122"/>
      <c r="BW122" s="959" t="str">
        <f t="shared" si="49"/>
        <v>►</v>
      </c>
      <c r="CC122" s="957"/>
      <c r="CD122"/>
      <c r="CE122"/>
      <c r="CF122"/>
      <c r="CG122"/>
      <c r="CH122"/>
      <c r="CI122"/>
      <c r="CJ122"/>
      <c r="CK122"/>
      <c r="CL122"/>
      <c r="CM122"/>
      <c r="CN122"/>
      <c r="CO122"/>
      <c r="CP122"/>
      <c r="CQ122"/>
      <c r="CR122"/>
      <c r="CS122"/>
      <c r="CT122"/>
      <c r="CU122"/>
      <c r="CV122"/>
      <c r="CW122"/>
      <c r="CX122"/>
      <c r="CY122"/>
      <c r="CZ122"/>
      <c r="DB122" s="3">
        <v>1</v>
      </c>
    </row>
    <row r="123" spans="1:106" s="709" customFormat="1" ht="21" customHeight="1">
      <c r="A123" s="936" t="s">
        <v>22</v>
      </c>
      <c r="B123" s="952" t="str">
        <f t="shared" si="48"/>
        <v>A</v>
      </c>
      <c r="C123" s="993" cm="1">
        <f t="array" ref="C123">SUMPRODUCT(LEN(D123:J123))</f>
        <v>0</v>
      </c>
      <c r="D123" s="167"/>
      <c r="E123" s="172"/>
      <c r="F123" s="172"/>
      <c r="G123" s="172"/>
      <c r="H123" s="172"/>
      <c r="I123" s="172"/>
      <c r="J123" s="173"/>
      <c r="K123" s="442" t="s">
        <v>22</v>
      </c>
      <c r="L123" s="27" t="s">
        <v>11</v>
      </c>
      <c r="M123" s="32" t="str">
        <f>M119</f>
        <v>P PRESSÉ DE BOUDIN NOIR | | Auteur &gt; Guy KRENZE - Eric GODDYN - Arnaud NICOLAS - CEPROC 2002</v>
      </c>
      <c r="N123" s="33">
        <f>N119</f>
        <v>20</v>
      </c>
      <c r="O123" s="32" t="str">
        <f>O119</f>
        <v>pressés de boudin</v>
      </c>
      <c r="P123" s="34" t="str">
        <f>P119</f>
        <v>Recette mère ► le Boudin en 4 déclinaisons</v>
      </c>
      <c r="Q123" s="92"/>
      <c r="R123" s="93"/>
      <c r="S123" s="94" t="str">
        <f t="shared" ref="S123:S152" si="74">IF(OR(ISTEXT(Q123), Q123&lt;=0, T123&lt;=0), "", "de")</f>
        <v/>
      </c>
      <c r="T123" s="95"/>
      <c r="U123" s="126"/>
      <c r="V123" s="127">
        <v>1</v>
      </c>
      <c r="W123" s="5037" t="s">
        <v>12854</v>
      </c>
      <c r="X123" s="100">
        <f>IF(OR(ISBLANK(Q117),X117=0),0,Q123*V118)</f>
        <v>0</v>
      </c>
      <c r="Y123" s="101" cm="1">
        <f t="array" ref="Y123">IFERROR(_xlfn.LET(_xlpm.k,UPPER(TRIM(U123)),_xlpm.r,_xlfn.XLOOKUP(_xlpm.k,UPPER(TRIM(Q154:Z154)),Q155:Z155,_xlfn.XLOOKUP(_xlpm.k,UPPER(TRIM(Q156:Z156)),Q157:Z157)),_xlpm.r*T123*V123*V118*IF(ISBLANK(Q123),1,Q123)),0)</f>
        <v>0</v>
      </c>
      <c r="Z123" s="1476" t="str">
        <f>_xlfn.LET(_xlpm.unite,SUBSTITUTE(TRIM(U123)," (s)",""),_xlpm.val,Y123,_xlpm.estVol,COUNTIF(T154:Z154,_xlpm.unite)+COUNTIF(T156:Z156,_xlpm.unite)&gt;0,_xlpm.estPoids,COUNTIF(Q154:S154,_xlpm.unite)+COUNTIF(Q156:S156,_xlpm.unite)&gt;0,IF(_xlpm.estVol,IF(ROUND(_xlpm.val,3)&gt;=1,ROUND(_xlpm.val,3)&amp;" L",MAX(1,ROUND(_xlpm.val*100,0))&amp;" cl"),IF(_xlpm.estPoids,IF(ROUND(_xlpm.val,3)&gt;=1,ROUND(_xlpm.val,3)&amp;" Kg",MAX(1,ROUND(_xlpm.val*1000,0))&amp;" g"),"")))</f>
        <v/>
      </c>
      <c r="AA123" s="5211"/>
      <c r="AB123" s="1178"/>
      <c r="AC123" s="1179"/>
      <c r="AD123" s="227" t="s">
        <v>22</v>
      </c>
      <c r="AE123" s="1027" t="str">
        <f t="shared" si="52"/>
        <v>►</v>
      </c>
      <c r="AF123" s="1028" t="str">
        <f t="shared" si="53"/>
        <v/>
      </c>
      <c r="AG123" s="1029" t="str">
        <f t="shared" si="54"/>
        <v/>
      </c>
      <c r="AH123" s="1028" t="str">
        <f t="shared" si="55"/>
        <v/>
      </c>
      <c r="AI123" s="1029" t="str">
        <f t="shared" si="56"/>
        <v/>
      </c>
      <c r="AJ123" s="1029">
        <f t="shared" si="57"/>
        <v>0</v>
      </c>
      <c r="AK123" s="1043" t="str" cm="1">
        <f t="array" ref="AK123">IF(AE123&lt;&gt;"A","",IFERROR((IFERROR(_xlfn.XLOOKUP(TRIM(SUBSTITUTE(U123,CHAR(160)," ")),$BI$15:$BI$62,$BL$15:$BL$62),IFERROR(_xlfn.XLOOKUP(TRIM(SUBSTITUTE(U123,CHAR(160)," ")),$BJ$15:$BJ$62,$BL$15:$BL$62),_xlfn.XLOOKUP(TRIM(SUBSTITUTE(U123,CHAR(160)," ")),$BK$15:$BK$62,$BL$15:$BL$62))))*T123*IF(ISBLANK(Q123),1,Q123)+IFERROR(_xlfn.XLOOKUP("RECHERCHEX",TRIM(L123:AC123),L123:AC123),0),0))</f>
        <v/>
      </c>
      <c r="AL123" s="1030">
        <f t="shared" si="58"/>
        <v>0</v>
      </c>
      <c r="AM123" s="5254" t="str">
        <f t="shared" si="73"/>
        <v/>
      </c>
      <c r="AN123" s="1031">
        <f t="shared" si="59"/>
        <v>0</v>
      </c>
      <c r="AO123" s="1031">
        <f t="shared" si="60"/>
        <v>0</v>
      </c>
      <c r="AP123" s="1044">
        <f t="shared" si="61"/>
        <v>0</v>
      </c>
      <c r="AQ123" s="5257" t="str">
        <f t="shared" si="62"/>
        <v/>
      </c>
      <c r="AR123" s="5264"/>
      <c r="AS123" s="1033"/>
      <c r="AT123" s="1045">
        <f t="shared" si="63"/>
        <v>0</v>
      </c>
      <c r="AU123" s="1046">
        <f t="shared" si="64"/>
        <v>0</v>
      </c>
      <c r="AV123" s="1059" cm="1">
        <f t="array" ref="AV123">IF(AJ123&lt;&gt;1,0,IF(OR(AT123="",N(AT123)&lt;=0.000000001),"",IF(OR(AN123="",N(AN123)&lt;=0.000000001),0,IF(ISNUMBER(AT123),IFERROR(_xlfn.LET(_xlpm.ai_test,TRIM(AI123),_xlpm.r,IFERROR(_xlfn.XLOOKUP(_xlpm.ai_test,$BI$15:$BI$62,ROW($BI$15:$BI$62),0,1),IFERROR(_xlfn.XLOOKUP(_xlpm.ai_test,$BJ$15:$BJ$62,ROW($BJ$15:$BJ$62),0,1),_xlfn.XLOOKUP(_xlpm.ai_test,$BK$15:$BK$62,ROW($BK$15:$BK$62),0,1))),_xlpm.p,_xlpm.r-MIN(ROW($BI$15:$BI$62))+1,_xlpm.f,INDEX($BL$15:$BL$62,_xlpm.p),_xlpm.u,INDEX($BM$15:$BM$62,_xlpm.p),_xlpm.s,INDEX($BO$15:$BO$62,_xlpm.p),_xlpm.q,N(AT123)/_xlpm.f,IF(_xlpm.q&gt;=_xlpm.s,ROUND(_xlpm.q,1)&amp;" "&amp;_xlpm.ai_test&amp;" = "&amp;ROUND(_xlpm.q*_xlpm.f,1)&amp;" "&amp;_xlpm.u,ROUND(_xlpm.q,1)&amp;" "&amp;_xlpm.ai_test)),""),""))))</f>
        <v>0</v>
      </c>
      <c r="AW123" s="1047"/>
      <c r="AX123" s="1045">
        <f t="shared" si="65"/>
        <v>0</v>
      </c>
      <c r="AY123" s="1046" t="str">
        <f t="shared" si="66"/>
        <v/>
      </c>
      <c r="AZ123" s="1048">
        <f t="shared" si="71"/>
        <v>0</v>
      </c>
      <c r="BA123" s="1049" t="str">
        <f t="shared" si="67"/>
        <v/>
      </c>
      <c r="BB123" s="1038"/>
      <c r="BC123" s="1050">
        <f t="shared" si="72"/>
        <v>0</v>
      </c>
      <c r="BD123" s="1040" t="str">
        <f t="shared" si="68"/>
        <v/>
      </c>
      <c r="BE123" s="227" t="s">
        <v>22</v>
      </c>
      <c r="BF123" s="1019">
        <f t="shared" si="69"/>
        <v>0</v>
      </c>
      <c r="BG123" s="1020">
        <f t="shared" si="70"/>
        <v>0</v>
      </c>
      <c r="BV123"/>
      <c r="BW123" s="959" t="str">
        <f t="shared" si="49"/>
        <v>►</v>
      </c>
      <c r="CC123" s="957"/>
      <c r="CD123"/>
      <c r="CE123"/>
      <c r="CF123"/>
      <c r="CG123"/>
      <c r="CH123"/>
      <c r="CI123"/>
      <c r="CJ123"/>
      <c r="CK123"/>
      <c r="CL123"/>
      <c r="CM123"/>
      <c r="CN123"/>
      <c r="CO123"/>
      <c r="CP123"/>
      <c r="CQ123"/>
      <c r="CR123"/>
      <c r="CS123"/>
      <c r="CT123"/>
      <c r="CU123"/>
      <c r="CV123"/>
      <c r="CW123"/>
      <c r="CX123"/>
      <c r="CY123"/>
      <c r="CZ123"/>
      <c r="DB123" s="3">
        <v>1</v>
      </c>
    </row>
    <row r="124" spans="1:106" s="709" customFormat="1" ht="21" customHeight="1">
      <c r="A124" s="936" t="s">
        <v>22</v>
      </c>
      <c r="B124" s="952" t="str">
        <f t="shared" si="48"/>
        <v>A</v>
      </c>
      <c r="C124" s="993" cm="1">
        <f t="array" ref="C124">SUMPRODUCT(LEN(D124:J124))</f>
        <v>0</v>
      </c>
      <c r="D124" s="167"/>
      <c r="E124" s="172"/>
      <c r="F124" s="172"/>
      <c r="G124" s="172"/>
      <c r="H124" s="172"/>
      <c r="I124" s="172"/>
      <c r="J124" s="173"/>
      <c r="K124" s="442" t="s">
        <v>22</v>
      </c>
      <c r="L124" s="104" t="str">
        <f t="shared" ref="L124:L152" si="75">IF(W124&lt;&gt;"","A","►")</f>
        <v>A</v>
      </c>
      <c r="M124" s="32" t="str">
        <f>M119</f>
        <v>P PRESSÉ DE BOUDIN NOIR | | Auteur &gt; Guy KRENZE - Eric GODDYN - Arnaud NICOLAS - CEPROC 2002</v>
      </c>
      <c r="N124" s="33">
        <f>N119</f>
        <v>20</v>
      </c>
      <c r="O124" s="32" t="str">
        <f>O119</f>
        <v>pressés de boudin</v>
      </c>
      <c r="P124" s="34" t="str">
        <f>P119</f>
        <v>Recette mère ► le Boudin en 4 déclinaisons</v>
      </c>
      <c r="Q124" s="92"/>
      <c r="R124" s="93"/>
      <c r="S124" s="94" t="str">
        <f t="shared" si="74"/>
        <v/>
      </c>
      <c r="T124" s="95">
        <v>300</v>
      </c>
      <c r="U124" s="105" t="s">
        <v>99</v>
      </c>
      <c r="V124" s="127">
        <v>1</v>
      </c>
      <c r="W124" s="920" t="s">
        <v>12848</v>
      </c>
      <c r="X124" s="1495">
        <f>IF(OR(ISBLANK(Q117),X117=0),0,Q124*V118)</f>
        <v>0</v>
      </c>
      <c r="Y124" s="101" cm="1">
        <f t="array" ref="Y124">IFERROR(_xlfn.LET(_xlpm.k,UPPER(TRIM(U124)),_xlpm.r,_xlfn.XLOOKUP(_xlpm.k,UPPER(TRIM(Q154:Z154)),Q155:Z155,_xlfn.XLOOKUP(_xlpm.k,UPPER(TRIM(Q156:Z156)),Q157:Z157)),_xlpm.r*T124*V124*V118*IF(ISBLANK(Q124),1,Q124)),0)</f>
        <v>0.3</v>
      </c>
      <c r="Z124" s="1475" t="str">
        <f>_xlfn.LET(_xlpm.unite,SUBSTITUTE(TRIM(U124)," (s)",""),_xlpm.val,Y124,_xlpm.estVol,COUNTIF(T154:Z154,_xlpm.unite)+COUNTIF(T156:Z156,_xlpm.unite)&gt;0,_xlpm.estPoids,COUNTIF(Q154:S154,_xlpm.unite)+COUNTIF(Q156:S156,_xlpm.unite)&gt;0,IF(_xlpm.estVol,IF(ROUND(_xlpm.val,3)&gt;=1,ROUND(_xlpm.val,3)&amp;" L",MAX(1,ROUND(_xlpm.val*100,0))&amp;" cl"),IF(_xlpm.estPoids,IF(ROUND(_xlpm.val,3)&gt;=1,ROUND(_xlpm.val,3)&amp;" Kg",MAX(1,ROUND(_xlpm.val*1000,0))&amp;" g"),"")))</f>
        <v>300 g</v>
      </c>
      <c r="AA124" s="5211"/>
      <c r="AB124" s="1178"/>
      <c r="AC124" s="1179"/>
      <c r="AD124" s="227" t="s">
        <v>22</v>
      </c>
      <c r="AE124" s="1027" t="str">
        <f t="shared" si="52"/>
        <v>A</v>
      </c>
      <c r="AF124" s="1028" t="str">
        <f t="shared" si="53"/>
        <v>P PRESSÉ DE BOUDIN NOIR | | Auteur &gt; Guy KRENZE - Eric GODDYN - Arnaud NICOLAS - CEPROC 2002</v>
      </c>
      <c r="AG124" s="1029">
        <f t="shared" si="54"/>
        <v>20</v>
      </c>
      <c r="AH124" s="1028" t="str">
        <f t="shared" si="55"/>
        <v>pressés de boudin</v>
      </c>
      <c r="AI124" s="1029" t="str">
        <f t="shared" si="56"/>
        <v>g</v>
      </c>
      <c r="AJ124" s="1029">
        <f t="shared" si="57"/>
        <v>1</v>
      </c>
      <c r="AK124" s="1043" cm="1">
        <f t="array" ref="AK124">IF(AE124&lt;&gt;"A","",IFERROR((IFERROR(_xlfn.XLOOKUP(TRIM(SUBSTITUTE(U124,CHAR(160)," ")),$BI$15:$BI$62,$BL$15:$BL$62),IFERROR(_xlfn.XLOOKUP(TRIM(SUBSTITUTE(U124,CHAR(160)," ")),$BJ$15:$BJ$62,$BL$15:$BL$62),_xlfn.XLOOKUP(TRIM(SUBSTITUTE(U124,CHAR(160)," ")),$BK$15:$BK$62,$BL$15:$BL$62))))*T124*IF(ISBLANK(Q124),1,Q124)+IFERROR(_xlfn.XLOOKUP("RECHERCHEX",TRIM(L124:AC124),L124:AC124),0),0))</f>
        <v>0.3</v>
      </c>
      <c r="AL124" s="1030" t="str">
        <f t="shared" si="58"/>
        <v>Kg</v>
      </c>
      <c r="AM124" s="5254" t="str">
        <f t="shared" si="73"/>
        <v>❾ Author reference &gt;</v>
      </c>
      <c r="AN124" s="1031">
        <f t="shared" si="59"/>
        <v>20</v>
      </c>
      <c r="AO124" s="1031" t="str">
        <f t="shared" si="60"/>
        <v>pressés de boudin</v>
      </c>
      <c r="AP124" s="1032">
        <f t="shared" si="61"/>
        <v>40</v>
      </c>
      <c r="AQ124" s="5255" t="str">
        <f t="shared" si="62"/>
        <v>parts-ou.or.o ❾ + or - &gt;</v>
      </c>
      <c r="AR124" s="5264"/>
      <c r="AS124" s="1033"/>
      <c r="AT124" s="1034">
        <f t="shared" si="63"/>
        <v>0.6</v>
      </c>
      <c r="AU124" s="1035" t="str">
        <f t="shared" si="64"/>
        <v>Kg</v>
      </c>
      <c r="AV124" s="1057" t="str" cm="1">
        <f t="array" ref="AV124">IF(AJ124&lt;&gt;1,0,IF(OR(AT124="",N(AT124)&lt;=0.000000001),"",IF(OR(AN124="",N(AN124)&lt;=0.000000001),0,IF(ISNUMBER(AT124),IFERROR(_xlfn.LET(_xlpm.ai_test,TRIM(AI124),_xlpm.r,IFERROR(_xlfn.XLOOKUP(_xlpm.ai_test,$BI$15:$BI$62,ROW($BI$15:$BI$62),0,1),IFERROR(_xlfn.XLOOKUP(_xlpm.ai_test,$BJ$15:$BJ$62,ROW($BJ$15:$BJ$62),0,1),_xlfn.XLOOKUP(_xlpm.ai_test,$BK$15:$BK$62,ROW($BK$15:$BK$62),0,1))),_xlpm.p,_xlpm.r-MIN(ROW($BI$15:$BI$62))+1,_xlpm.f,INDEX($BL$15:$BL$62,_xlpm.p),_xlpm.u,INDEX($BM$15:$BM$62,_xlpm.p),_xlpm.s,INDEX($BO$15:$BO$62,_xlpm.p),_xlpm.q,N(AT124)/_xlpm.f,IF(_xlpm.q&gt;=_xlpm.s,ROUND(_xlpm.q,1)&amp;" "&amp;_xlpm.ai_test&amp;" = "&amp;ROUND(_xlpm.q*_xlpm.f,1)&amp;" "&amp;_xlpm.u,ROUND(_xlpm.q,1)&amp;" "&amp;_xlpm.ai_test)),""),""))))</f>
        <v>600 g</v>
      </c>
      <c r="AW124" s="1047"/>
      <c r="AX124" s="1034">
        <f t="shared" si="65"/>
        <v>0.6</v>
      </c>
      <c r="AY124" s="1035" t="str">
        <f t="shared" si="66"/>
        <v>Kg</v>
      </c>
      <c r="AZ124" s="1036">
        <f t="shared" si="71"/>
        <v>0</v>
      </c>
      <c r="BA124" s="1037" t="str">
        <f t="shared" si="67"/>
        <v/>
      </c>
      <c r="BB124" s="1038"/>
      <c r="BC124" s="1039">
        <f t="shared" si="72"/>
        <v>0</v>
      </c>
      <c r="BD124" s="1040" t="str">
        <f t="shared" si="68"/>
        <v>graisse de foie gras</v>
      </c>
      <c r="BE124" s="227" t="s">
        <v>22</v>
      </c>
      <c r="BF124" s="1019">
        <f t="shared" si="69"/>
        <v>0</v>
      </c>
      <c r="BG124" s="1020">
        <f t="shared" si="70"/>
        <v>2</v>
      </c>
      <c r="BV124"/>
      <c r="BW124" s="959" t="str">
        <f t="shared" si="49"/>
        <v>A</v>
      </c>
      <c r="CC124" s="957"/>
      <c r="CD124"/>
      <c r="CE124"/>
      <c r="CF124"/>
      <c r="CG124"/>
      <c r="CH124"/>
      <c r="CI124"/>
      <c r="CJ124"/>
      <c r="CK124"/>
      <c r="CL124"/>
      <c r="CM124"/>
      <c r="CN124"/>
      <c r="CO124"/>
      <c r="CP124"/>
      <c r="CQ124"/>
      <c r="CR124"/>
      <c r="CS124"/>
      <c r="CT124"/>
      <c r="CU124"/>
      <c r="CV124"/>
      <c r="CW124"/>
      <c r="CX124"/>
      <c r="CY124"/>
      <c r="CZ124"/>
      <c r="DB124" s="3">
        <v>1</v>
      </c>
    </row>
    <row r="125" spans="1:106" s="709" customFormat="1" ht="21" customHeight="1">
      <c r="A125" s="936" t="s">
        <v>22</v>
      </c>
      <c r="B125" s="952" t="str">
        <f t="shared" si="48"/>
        <v>A</v>
      </c>
      <c r="C125" s="993" cm="1">
        <f t="array" ref="C125">SUMPRODUCT(LEN(D125:J125))</f>
        <v>0</v>
      </c>
      <c r="D125" s="167"/>
      <c r="E125" s="172"/>
      <c r="F125" s="172"/>
      <c r="G125" s="172"/>
      <c r="H125" s="172"/>
      <c r="I125" s="172"/>
      <c r="J125" s="173"/>
      <c r="K125" s="442" t="s">
        <v>22</v>
      </c>
      <c r="L125" s="104" t="str">
        <f t="shared" si="75"/>
        <v>A</v>
      </c>
      <c r="M125" s="32" t="str">
        <f>M119</f>
        <v>P PRESSÉ DE BOUDIN NOIR | | Auteur &gt; Guy KRENZE - Eric GODDYN - Arnaud NICOLAS - CEPROC 2002</v>
      </c>
      <c r="N125" s="33">
        <f>N119</f>
        <v>20</v>
      </c>
      <c r="O125" s="32" t="str">
        <f>O119</f>
        <v>pressés de boudin</v>
      </c>
      <c r="P125" s="34" t="str">
        <f>P119</f>
        <v>Recette mère ► le Boudin en 4 déclinaisons</v>
      </c>
      <c r="Q125" s="92"/>
      <c r="R125" s="108"/>
      <c r="S125" s="94" t="str">
        <f t="shared" si="74"/>
        <v/>
      </c>
      <c r="T125" s="95">
        <v>300</v>
      </c>
      <c r="U125" s="105" t="s">
        <v>99</v>
      </c>
      <c r="V125" s="127">
        <v>1</v>
      </c>
      <c r="W125" s="920" t="s">
        <v>12849</v>
      </c>
      <c r="X125" s="1495">
        <f>IF(OR(ISBLANK(Q117),X117=0),0,Q125*V118)</f>
        <v>0</v>
      </c>
      <c r="Y125" s="101" cm="1">
        <f t="array" ref="Y125">IFERROR(_xlfn.LET(_xlpm.k,UPPER(TRIM(U125)),_xlpm.r,_xlfn.XLOOKUP(_xlpm.k,UPPER(TRIM(Q154:Z154)),Q155:Z155,_xlfn.XLOOKUP(_xlpm.k,UPPER(TRIM(Q156:Z156)),Q157:Z157)),_xlpm.r*T125*V125*V118*IF(ISBLANK(Q125),1,Q125)),0)</f>
        <v>0.3</v>
      </c>
      <c r="Z125" s="1476" t="str">
        <f>_xlfn.LET(_xlpm.unite,SUBSTITUTE(TRIM(U125)," (s)",""),_xlpm.val,Y125,_xlpm.estVol,COUNTIF(T154:Z154,_xlpm.unite)+COUNTIF(T156:Z156,_xlpm.unite)&gt;0,_xlpm.estPoids,COUNTIF(Q154:S154,_xlpm.unite)+COUNTIF(Q156:S156,_xlpm.unite)&gt;0,IF(_xlpm.estVol,IF(ROUND(_xlpm.val,3)&gt;=1,ROUND(_xlpm.val,3)&amp;" L",MAX(1,ROUND(_xlpm.val*100,0))&amp;" cl"),IF(_xlpm.estPoids,IF(ROUND(_xlpm.val,3)&gt;=1,ROUND(_xlpm.val,3)&amp;" Kg",MAX(1,ROUND(_xlpm.val*1000,0))&amp;" g"),"")))</f>
        <v>300 g</v>
      </c>
      <c r="AA125" s="5211"/>
      <c r="AB125" s="1178"/>
      <c r="AC125" s="1179"/>
      <c r="AD125" s="227" t="s">
        <v>22</v>
      </c>
      <c r="AE125" s="1027" t="str">
        <f t="shared" si="52"/>
        <v>A</v>
      </c>
      <c r="AF125" s="1028" t="str">
        <f t="shared" si="53"/>
        <v>P PRESSÉ DE BOUDIN NOIR | | Auteur &gt; Guy KRENZE - Eric GODDYN - Arnaud NICOLAS - CEPROC 2002</v>
      </c>
      <c r="AG125" s="1029">
        <f t="shared" si="54"/>
        <v>20</v>
      </c>
      <c r="AH125" s="1028" t="str">
        <f t="shared" si="55"/>
        <v>pressés de boudin</v>
      </c>
      <c r="AI125" s="1029" t="str">
        <f t="shared" si="56"/>
        <v>g</v>
      </c>
      <c r="AJ125" s="1029">
        <f t="shared" si="57"/>
        <v>1</v>
      </c>
      <c r="AK125" s="1043" cm="1">
        <f t="array" ref="AK125">IF(AE125&lt;&gt;"A","",IFERROR((IFERROR(_xlfn.XLOOKUP(TRIM(SUBSTITUTE(U125,CHAR(160)," ")),$BI$15:$BI$62,$BL$15:$BL$62),IFERROR(_xlfn.XLOOKUP(TRIM(SUBSTITUTE(U125,CHAR(160)," ")),$BJ$15:$BJ$62,$BL$15:$BL$62),_xlfn.XLOOKUP(TRIM(SUBSTITUTE(U125,CHAR(160)," ")),$BK$15:$BK$62,$BL$15:$BL$62))))*T125*IF(ISBLANK(Q125),1,Q125)+IFERROR(_xlfn.XLOOKUP("RECHERCHEX",TRIM(L125:AC125),L125:AC125),0),0))</f>
        <v>0.3</v>
      </c>
      <c r="AL125" s="1030" t="str">
        <f t="shared" si="58"/>
        <v>Kg</v>
      </c>
      <c r="AM125" s="5254" t="str">
        <f t="shared" si="73"/>
        <v>❾ Author reference &gt;</v>
      </c>
      <c r="AN125" s="1031">
        <f t="shared" si="59"/>
        <v>20</v>
      </c>
      <c r="AO125" s="1031" t="str">
        <f t="shared" si="60"/>
        <v>pressés de boudin</v>
      </c>
      <c r="AP125" s="1044">
        <f t="shared" si="61"/>
        <v>40</v>
      </c>
      <c r="AQ125" s="5257" t="str">
        <f t="shared" si="62"/>
        <v>parts-ou.or.o ❾ + or - &gt;</v>
      </c>
      <c r="AR125" s="5264"/>
      <c r="AS125" s="1033"/>
      <c r="AT125" s="1045">
        <f t="shared" si="63"/>
        <v>0.6</v>
      </c>
      <c r="AU125" s="1046" t="str">
        <f t="shared" si="64"/>
        <v>Kg</v>
      </c>
      <c r="AV125" s="1059" t="str" cm="1">
        <f t="array" ref="AV125">IF(AJ125&lt;&gt;1,0,IF(OR(AT125="",N(AT125)&lt;=0.000000001),"",IF(OR(AN125="",N(AN125)&lt;=0.000000001),0,IF(ISNUMBER(AT125),IFERROR(_xlfn.LET(_xlpm.ai_test,TRIM(AI125),_xlpm.r,IFERROR(_xlfn.XLOOKUP(_xlpm.ai_test,$BI$15:$BI$62,ROW($BI$15:$BI$62),0,1),IFERROR(_xlfn.XLOOKUP(_xlpm.ai_test,$BJ$15:$BJ$62,ROW($BJ$15:$BJ$62),0,1),_xlfn.XLOOKUP(_xlpm.ai_test,$BK$15:$BK$62,ROW($BK$15:$BK$62),0,1))),_xlpm.p,_xlpm.r-MIN(ROW($BI$15:$BI$62))+1,_xlpm.f,INDEX($BL$15:$BL$62,_xlpm.p),_xlpm.u,INDEX($BM$15:$BM$62,_xlpm.p),_xlpm.s,INDEX($BO$15:$BO$62,_xlpm.p),_xlpm.q,N(AT125)/_xlpm.f,IF(_xlpm.q&gt;=_xlpm.s,ROUND(_xlpm.q,1)&amp;" "&amp;_xlpm.ai_test&amp;" = "&amp;ROUND(_xlpm.q*_xlpm.f,1)&amp;" "&amp;_xlpm.u,ROUND(_xlpm.q,1)&amp;" "&amp;_xlpm.ai_test)),""),""))))</f>
        <v>600 g</v>
      </c>
      <c r="AW125" s="1047"/>
      <c r="AX125" s="1045">
        <f t="shared" si="65"/>
        <v>0.6</v>
      </c>
      <c r="AY125" s="1046" t="str">
        <f t="shared" si="66"/>
        <v>Kg</v>
      </c>
      <c r="AZ125" s="1048">
        <f t="shared" si="71"/>
        <v>0</v>
      </c>
      <c r="BA125" s="1049" t="str">
        <f t="shared" si="67"/>
        <v/>
      </c>
      <c r="BB125" s="1038"/>
      <c r="BC125" s="1050">
        <f t="shared" si="72"/>
        <v>0</v>
      </c>
      <c r="BD125" s="1040" t="str">
        <f t="shared" si="68"/>
        <v>echalotes ciselées fines</v>
      </c>
      <c r="BE125" s="227" t="s">
        <v>22</v>
      </c>
      <c r="BF125" s="1019">
        <f t="shared" si="69"/>
        <v>0</v>
      </c>
      <c r="BG125" s="1020">
        <f t="shared" si="70"/>
        <v>2</v>
      </c>
      <c r="BV125"/>
      <c r="BW125" s="959" t="str">
        <f t="shared" si="49"/>
        <v>A</v>
      </c>
      <c r="CC125" s="957"/>
      <c r="CD125"/>
      <c r="CE125"/>
      <c r="CF125"/>
      <c r="CG125"/>
      <c r="CH125"/>
      <c r="CI125"/>
      <c r="CJ125"/>
      <c r="CK125"/>
      <c r="CL125"/>
      <c r="CM125"/>
      <c r="CN125"/>
      <c r="CO125"/>
      <c r="CP125"/>
      <c r="CQ125"/>
      <c r="CR125"/>
      <c r="CS125"/>
      <c r="CT125"/>
      <c r="CU125"/>
      <c r="CV125"/>
      <c r="CW125"/>
      <c r="CX125"/>
      <c r="CY125"/>
      <c r="CZ125"/>
      <c r="DB125" s="3">
        <v>1</v>
      </c>
    </row>
    <row r="126" spans="1:106" s="709" customFormat="1" ht="21" customHeight="1">
      <c r="A126" s="936" t="s">
        <v>22</v>
      </c>
      <c r="B126" s="952" t="str">
        <f t="shared" si="48"/>
        <v>A</v>
      </c>
      <c r="C126" s="993" cm="1">
        <f t="array" ref="C126">SUMPRODUCT(LEN(D126:J126))</f>
        <v>0</v>
      </c>
      <c r="D126" s="167"/>
      <c r="E126" s="172"/>
      <c r="F126" s="172"/>
      <c r="G126" s="172"/>
      <c r="H126" s="172"/>
      <c r="I126" s="172"/>
      <c r="J126" s="173"/>
      <c r="K126" s="442" t="s">
        <v>22</v>
      </c>
      <c r="L126" s="104" t="str">
        <f t="shared" si="75"/>
        <v>A</v>
      </c>
      <c r="M126" s="32" t="str">
        <f>M119</f>
        <v>P PRESSÉ DE BOUDIN NOIR | | Auteur &gt; Guy KRENZE - Eric GODDYN - Arnaud NICOLAS - CEPROC 2002</v>
      </c>
      <c r="N126" s="33">
        <f>N119</f>
        <v>20</v>
      </c>
      <c r="O126" s="32" t="str">
        <f>O119</f>
        <v>pressés de boudin</v>
      </c>
      <c r="P126" s="34" t="str">
        <f>P119</f>
        <v>Recette mère ► le Boudin en 4 déclinaisons</v>
      </c>
      <c r="Q126" s="92"/>
      <c r="R126" s="108"/>
      <c r="S126" s="94" t="str">
        <f t="shared" si="74"/>
        <v/>
      </c>
      <c r="T126" s="95">
        <v>45</v>
      </c>
      <c r="U126" s="105" t="s">
        <v>99</v>
      </c>
      <c r="V126" s="127">
        <v>1</v>
      </c>
      <c r="W126" s="920" t="s">
        <v>12850</v>
      </c>
      <c r="X126" s="1495">
        <f>IF(OR(ISBLANK(Q117),X117=0),0,Q126*V118)</f>
        <v>0</v>
      </c>
      <c r="Y126" s="101" cm="1">
        <f t="array" ref="Y126">IFERROR(_xlfn.LET(_xlpm.k,UPPER(TRIM(U126)),_xlpm.r,_xlfn.XLOOKUP(_xlpm.k,UPPER(TRIM(Q154:Z154)),Q155:Z155,_xlfn.XLOOKUP(_xlpm.k,UPPER(TRIM(Q156:Z156)),Q157:Z157)),_xlpm.r*T126*V126*V118*IF(ISBLANK(Q126),1,Q126)),0)</f>
        <v>4.4999999999999998E-2</v>
      </c>
      <c r="Z126" s="1475" t="str">
        <f>_xlfn.LET(_xlpm.unite,SUBSTITUTE(TRIM(U126)," (s)",""),_xlpm.val,Y126,_xlpm.estVol,COUNTIF(T154:Z154,_xlpm.unite)+COUNTIF(T156:Z156,_xlpm.unite)&gt;0,_xlpm.estPoids,COUNTIF(Q154:S154,_xlpm.unite)+COUNTIF(Q156:S156,_xlpm.unite)&gt;0,IF(_xlpm.estVol,IF(ROUND(_xlpm.val,3)&gt;=1,ROUND(_xlpm.val,3)&amp;" L",MAX(1,ROUND(_xlpm.val*100,0))&amp;" cl"),IF(_xlpm.estPoids,IF(ROUND(_xlpm.val,3)&gt;=1,ROUND(_xlpm.val,3)&amp;" Kg",MAX(1,ROUND(_xlpm.val*1000,0))&amp;" g"),"")))</f>
        <v>45 g</v>
      </c>
      <c r="AA126" s="5211"/>
      <c r="AB126" s="1178"/>
      <c r="AC126" s="1179"/>
      <c r="AD126" s="227" t="s">
        <v>22</v>
      </c>
      <c r="AE126" s="1027" t="str">
        <f t="shared" si="52"/>
        <v>A</v>
      </c>
      <c r="AF126" s="1028" t="str">
        <f t="shared" si="53"/>
        <v>P PRESSÉ DE BOUDIN NOIR | | Auteur &gt; Guy KRENZE - Eric GODDYN - Arnaud NICOLAS - CEPROC 2002</v>
      </c>
      <c r="AG126" s="1029">
        <f t="shared" si="54"/>
        <v>20</v>
      </c>
      <c r="AH126" s="1028" t="str">
        <f t="shared" si="55"/>
        <v>pressés de boudin</v>
      </c>
      <c r="AI126" s="1029" t="str">
        <f t="shared" si="56"/>
        <v>g</v>
      </c>
      <c r="AJ126" s="1029">
        <f t="shared" si="57"/>
        <v>1</v>
      </c>
      <c r="AK126" s="1043" cm="1">
        <f t="array" ref="AK126">IF(AE126&lt;&gt;"A","",IFERROR((IFERROR(_xlfn.XLOOKUP(TRIM(SUBSTITUTE(U126,CHAR(160)," ")),$BI$15:$BI$62,$BL$15:$BL$62),IFERROR(_xlfn.XLOOKUP(TRIM(SUBSTITUTE(U126,CHAR(160)," ")),$BJ$15:$BJ$62,$BL$15:$BL$62),_xlfn.XLOOKUP(TRIM(SUBSTITUTE(U126,CHAR(160)," ")),$BK$15:$BK$62,$BL$15:$BL$62))))*T126*IF(ISBLANK(Q126),1,Q126)+IFERROR(_xlfn.XLOOKUP("RECHERCHEX",TRIM(L126:AC126),L126:AC126),0),0))</f>
        <v>4.4999999999999998E-2</v>
      </c>
      <c r="AL126" s="1030" t="str">
        <f t="shared" si="58"/>
        <v>Kg</v>
      </c>
      <c r="AM126" s="5254" t="str">
        <f t="shared" si="73"/>
        <v>❾ Author reference &gt;</v>
      </c>
      <c r="AN126" s="1031">
        <f t="shared" si="59"/>
        <v>20</v>
      </c>
      <c r="AO126" s="1031" t="str">
        <f t="shared" si="60"/>
        <v>pressés de boudin</v>
      </c>
      <c r="AP126" s="1032">
        <f t="shared" si="61"/>
        <v>40</v>
      </c>
      <c r="AQ126" s="5255" t="str">
        <f t="shared" si="62"/>
        <v>parts-ou.or.o ❾ + or - &gt;</v>
      </c>
      <c r="AR126" s="5264"/>
      <c r="AS126" s="1033"/>
      <c r="AT126" s="1034">
        <f t="shared" si="63"/>
        <v>0.09</v>
      </c>
      <c r="AU126" s="1035" t="str">
        <f t="shared" si="64"/>
        <v>Kg</v>
      </c>
      <c r="AV126" s="1057" t="str" cm="1">
        <f t="array" ref="AV126">IF(AJ126&lt;&gt;1,0,IF(OR(AT126="",N(AT126)&lt;=0.000000001),"",IF(OR(AN126="",N(AN126)&lt;=0.000000001),0,IF(ISNUMBER(AT126),IFERROR(_xlfn.LET(_xlpm.ai_test,TRIM(AI126),_xlpm.r,IFERROR(_xlfn.XLOOKUP(_xlpm.ai_test,$BI$15:$BI$62,ROW($BI$15:$BI$62),0,1),IFERROR(_xlfn.XLOOKUP(_xlpm.ai_test,$BJ$15:$BJ$62,ROW($BJ$15:$BJ$62),0,1),_xlfn.XLOOKUP(_xlpm.ai_test,$BK$15:$BK$62,ROW($BK$15:$BK$62),0,1))),_xlpm.p,_xlpm.r-MIN(ROW($BI$15:$BI$62))+1,_xlpm.f,INDEX($BL$15:$BL$62,_xlpm.p),_xlpm.u,INDEX($BM$15:$BM$62,_xlpm.p),_xlpm.s,INDEX($BO$15:$BO$62,_xlpm.p),_xlpm.q,N(AT126)/_xlpm.f,IF(_xlpm.q&gt;=_xlpm.s,ROUND(_xlpm.q,1)&amp;" "&amp;_xlpm.ai_test&amp;" = "&amp;ROUND(_xlpm.q*_xlpm.f,1)&amp;" "&amp;_xlpm.u,ROUND(_xlpm.q,1)&amp;" "&amp;_xlpm.ai_test)),""),""))))</f>
        <v>90 g</v>
      </c>
      <c r="AW126" s="1047"/>
      <c r="AX126" s="1034">
        <f t="shared" si="65"/>
        <v>0.09</v>
      </c>
      <c r="AY126" s="1035" t="str">
        <f t="shared" si="66"/>
        <v>Kg</v>
      </c>
      <c r="AZ126" s="1036">
        <f t="shared" si="71"/>
        <v>0</v>
      </c>
      <c r="BA126" s="1037" t="str">
        <f t="shared" si="67"/>
        <v/>
      </c>
      <c r="BB126" s="1038"/>
      <c r="BC126" s="1039">
        <f t="shared" si="72"/>
        <v>0</v>
      </c>
      <c r="BD126" s="1040" t="str">
        <f t="shared" si="68"/>
        <v>cèpes frais (cubes)</v>
      </c>
      <c r="BE126" s="227" t="s">
        <v>22</v>
      </c>
      <c r="BF126" s="1019">
        <f t="shared" si="69"/>
        <v>0</v>
      </c>
      <c r="BG126" s="1020">
        <f t="shared" si="70"/>
        <v>2</v>
      </c>
      <c r="BV126"/>
      <c r="BW126" s="959" t="str">
        <f t="shared" si="49"/>
        <v>A</v>
      </c>
      <c r="CC126" s="957"/>
      <c r="CD126"/>
      <c r="CE126"/>
      <c r="CF126"/>
      <c r="CG126"/>
      <c r="CH126"/>
      <c r="CI126"/>
      <c r="CJ126"/>
      <c r="CK126"/>
      <c r="CL126"/>
      <c r="CM126"/>
      <c r="CN126"/>
      <c r="CO126"/>
      <c r="CP126"/>
      <c r="CQ126"/>
      <c r="CR126"/>
      <c r="CS126"/>
      <c r="CT126"/>
      <c r="CU126"/>
      <c r="CV126"/>
      <c r="CW126"/>
      <c r="CX126"/>
      <c r="CY126"/>
      <c r="CZ126"/>
      <c r="DB126" s="3">
        <v>1</v>
      </c>
    </row>
    <row r="127" spans="1:106" s="709" customFormat="1" ht="21" customHeight="1">
      <c r="A127" s="936" t="s">
        <v>22</v>
      </c>
      <c r="B127" s="952" t="str">
        <f t="shared" si="48"/>
        <v>A</v>
      </c>
      <c r="C127" s="993" cm="1">
        <f t="array" ref="C127">SUMPRODUCT(LEN(D127:J127))</f>
        <v>0</v>
      </c>
      <c r="D127" s="167"/>
      <c r="E127" s="172"/>
      <c r="F127" s="172"/>
      <c r="G127" s="172"/>
      <c r="H127" s="172"/>
      <c r="I127" s="172"/>
      <c r="J127" s="173"/>
      <c r="K127" s="442" t="s">
        <v>22</v>
      </c>
      <c r="L127" s="104" t="str">
        <f t="shared" si="75"/>
        <v>A</v>
      </c>
      <c r="M127" s="32" t="str">
        <f>M119</f>
        <v>P PRESSÉ DE BOUDIN NOIR | | Auteur &gt; Guy KRENZE - Eric GODDYN - Arnaud NICOLAS - CEPROC 2002</v>
      </c>
      <c r="N127" s="33">
        <f>N119</f>
        <v>20</v>
      </c>
      <c r="O127" s="32" t="str">
        <f>O119</f>
        <v>pressés de boudin</v>
      </c>
      <c r="P127" s="34" t="str">
        <f>P119</f>
        <v>Recette mère ► le Boudin en 4 déclinaisons</v>
      </c>
      <c r="Q127" s="92"/>
      <c r="R127" s="108"/>
      <c r="S127" s="94" t="str">
        <f t="shared" si="74"/>
        <v/>
      </c>
      <c r="T127" s="95">
        <v>50</v>
      </c>
      <c r="U127" s="105" t="s">
        <v>99</v>
      </c>
      <c r="V127" s="127">
        <v>1</v>
      </c>
      <c r="W127" s="920" t="s">
        <v>12831</v>
      </c>
      <c r="X127" s="1495">
        <f>IF(OR(ISBLANK(Q117),X117=0),0,Q127*V118)</f>
        <v>0</v>
      </c>
      <c r="Y127" s="101" cm="1">
        <f t="array" ref="Y127">IFERROR(_xlfn.LET(_xlpm.k,UPPER(TRIM(U127)),_xlpm.r,_xlfn.XLOOKUP(_xlpm.k,UPPER(TRIM(Q154:Z154)),Q155:Z155,_xlfn.XLOOKUP(_xlpm.k,UPPER(TRIM(Q156:Z156)),Q157:Z157)),_xlpm.r*T127*V127*V118*IF(ISBLANK(Q127),1,Q127)),0)</f>
        <v>0.05</v>
      </c>
      <c r="Z127" s="1476" t="str">
        <f>_xlfn.LET(_xlpm.unite,SUBSTITUTE(TRIM(U127)," (s)",""),_xlpm.val,Y127,_xlpm.estVol,COUNTIF(T154:Z154,_xlpm.unite)+COUNTIF(T156:Z156,_xlpm.unite)&gt;0,_xlpm.estPoids,COUNTIF(Q154:S154,_xlpm.unite)+COUNTIF(Q156:S156,_xlpm.unite)&gt;0,IF(_xlpm.estVol,IF(ROUND(_xlpm.val,3)&gt;=1,ROUND(_xlpm.val,3)&amp;" L",MAX(1,ROUND(_xlpm.val*100,0))&amp;" cl"),IF(_xlpm.estPoids,IF(ROUND(_xlpm.val,3)&gt;=1,ROUND(_xlpm.val,3)&amp;" Kg",MAX(1,ROUND(_xlpm.val*1000,0))&amp;" g"),"")))</f>
        <v>50 g</v>
      </c>
      <c r="AA127" s="5211"/>
      <c r="AB127" s="1178"/>
      <c r="AC127" s="1179"/>
      <c r="AD127" s="227" t="s">
        <v>22</v>
      </c>
      <c r="AE127" s="1027" t="str">
        <f t="shared" si="52"/>
        <v>A</v>
      </c>
      <c r="AF127" s="1028" t="str">
        <f t="shared" si="53"/>
        <v>P PRESSÉ DE BOUDIN NOIR | | Auteur &gt; Guy KRENZE - Eric GODDYN - Arnaud NICOLAS - CEPROC 2002</v>
      </c>
      <c r="AG127" s="1029">
        <f t="shared" si="54"/>
        <v>20</v>
      </c>
      <c r="AH127" s="1028" t="str">
        <f t="shared" si="55"/>
        <v>pressés de boudin</v>
      </c>
      <c r="AI127" s="1029" t="str">
        <f t="shared" si="56"/>
        <v>g</v>
      </c>
      <c r="AJ127" s="1029">
        <f t="shared" si="57"/>
        <v>1</v>
      </c>
      <c r="AK127" s="1043" cm="1">
        <f t="array" ref="AK127">IF(AE127&lt;&gt;"A","",IFERROR((IFERROR(_xlfn.XLOOKUP(TRIM(SUBSTITUTE(U127,CHAR(160)," ")),$BI$15:$BI$62,$BL$15:$BL$62),IFERROR(_xlfn.XLOOKUP(TRIM(SUBSTITUTE(U127,CHAR(160)," ")),$BJ$15:$BJ$62,$BL$15:$BL$62),_xlfn.XLOOKUP(TRIM(SUBSTITUTE(U127,CHAR(160)," ")),$BK$15:$BK$62,$BL$15:$BL$62))))*T127*IF(ISBLANK(Q127),1,Q127)+IFERROR(_xlfn.XLOOKUP("RECHERCHEX",TRIM(L127:AC127),L127:AC127),0),0))</f>
        <v>0.05</v>
      </c>
      <c r="AL127" s="1030" t="str">
        <f t="shared" si="58"/>
        <v>Kg</v>
      </c>
      <c r="AM127" s="5254" t="str">
        <f t="shared" si="73"/>
        <v>❾ Author reference &gt;</v>
      </c>
      <c r="AN127" s="1031">
        <f t="shared" si="59"/>
        <v>20</v>
      </c>
      <c r="AO127" s="1031" t="str">
        <f t="shared" si="60"/>
        <v>pressés de boudin</v>
      </c>
      <c r="AP127" s="1044">
        <f t="shared" si="61"/>
        <v>40</v>
      </c>
      <c r="AQ127" s="5257" t="str">
        <f t="shared" si="62"/>
        <v>parts-ou.or.o ❾ + or - &gt;</v>
      </c>
      <c r="AR127" s="5264"/>
      <c r="AS127" s="1033"/>
      <c r="AT127" s="1045">
        <f t="shared" si="63"/>
        <v>0.1</v>
      </c>
      <c r="AU127" s="1046" t="str">
        <f t="shared" si="64"/>
        <v>Kg</v>
      </c>
      <c r="AV127" s="1059" t="str" cm="1">
        <f t="array" ref="AV127">IF(AJ127&lt;&gt;1,0,IF(OR(AT127="",N(AT127)&lt;=0.000000001),"",IF(OR(AN127="",N(AN127)&lt;=0.000000001),0,IF(ISNUMBER(AT127),IFERROR(_xlfn.LET(_xlpm.ai_test,TRIM(AI127),_xlpm.r,IFERROR(_xlfn.XLOOKUP(_xlpm.ai_test,$BI$15:$BI$62,ROW($BI$15:$BI$62),0,1),IFERROR(_xlfn.XLOOKUP(_xlpm.ai_test,$BJ$15:$BJ$62,ROW($BJ$15:$BJ$62),0,1),_xlfn.XLOOKUP(_xlpm.ai_test,$BK$15:$BK$62,ROW($BK$15:$BK$62),0,1))),_xlpm.p,_xlpm.r-MIN(ROW($BI$15:$BI$62))+1,_xlpm.f,INDEX($BL$15:$BL$62,_xlpm.p),_xlpm.u,INDEX($BM$15:$BM$62,_xlpm.p),_xlpm.s,INDEX($BO$15:$BO$62,_xlpm.p),_xlpm.q,N(AT127)/_xlpm.f,IF(_xlpm.q&gt;=_xlpm.s,ROUND(_xlpm.q,1)&amp;" "&amp;_xlpm.ai_test&amp;" = "&amp;ROUND(_xlpm.q*_xlpm.f,1)&amp;" "&amp;_xlpm.u,ROUND(_xlpm.q,1)&amp;" "&amp;_xlpm.ai_test)),""),""))))</f>
        <v>100 g</v>
      </c>
      <c r="AW127" s="1047"/>
      <c r="AX127" s="1045">
        <f t="shared" si="65"/>
        <v>0.1</v>
      </c>
      <c r="AY127" s="1046" t="str">
        <f t="shared" si="66"/>
        <v>Kg</v>
      </c>
      <c r="AZ127" s="1048">
        <f t="shared" si="71"/>
        <v>0</v>
      </c>
      <c r="BA127" s="1049" t="str">
        <f t="shared" si="67"/>
        <v/>
      </c>
      <c r="BB127" s="1038"/>
      <c r="BC127" s="1050">
        <f t="shared" si="72"/>
        <v>0</v>
      </c>
      <c r="BD127" s="1040" t="str">
        <f t="shared" si="68"/>
        <v>porto rouge</v>
      </c>
      <c r="BE127" s="227" t="s">
        <v>22</v>
      </c>
      <c r="BF127" s="1019">
        <f t="shared" si="69"/>
        <v>0</v>
      </c>
      <c r="BG127" s="1020">
        <f t="shared" si="70"/>
        <v>2</v>
      </c>
      <c r="BQ127"/>
      <c r="BR127"/>
      <c r="BS127"/>
      <c r="BT127"/>
      <c r="BU127"/>
      <c r="BV127"/>
      <c r="BW127" s="959" t="str">
        <f t="shared" si="49"/>
        <v>A</v>
      </c>
      <c r="CC127" s="957"/>
      <c r="DB127" s="3">
        <v>1</v>
      </c>
    </row>
    <row r="128" spans="1:106" s="709" customFormat="1" ht="21" customHeight="1">
      <c r="A128" s="936" t="s">
        <v>22</v>
      </c>
      <c r="B128" s="952" t="str">
        <f t="shared" si="48"/>
        <v>A</v>
      </c>
      <c r="C128" s="993" cm="1">
        <f t="array" ref="C128">SUMPRODUCT(LEN(D128:J128))</f>
        <v>0</v>
      </c>
      <c r="D128" s="167"/>
      <c r="E128" s="172"/>
      <c r="F128" s="172"/>
      <c r="G128" s="172"/>
      <c r="H128" s="172"/>
      <c r="I128" s="172"/>
      <c r="J128" s="173"/>
      <c r="K128" s="442" t="s">
        <v>22</v>
      </c>
      <c r="L128" s="104" t="str">
        <f t="shared" si="75"/>
        <v>A</v>
      </c>
      <c r="M128" s="32" t="str">
        <f>M119</f>
        <v>P PRESSÉ DE BOUDIN NOIR | | Auteur &gt; Guy KRENZE - Eric GODDYN - Arnaud NICOLAS - CEPROC 2002</v>
      </c>
      <c r="N128" s="33">
        <f>N119</f>
        <v>20</v>
      </c>
      <c r="O128" s="32" t="str">
        <f>O119</f>
        <v>pressés de boudin</v>
      </c>
      <c r="P128" s="34" t="str">
        <f>P119</f>
        <v>Recette mère ► le Boudin en 4 déclinaisons</v>
      </c>
      <c r="Q128" s="92"/>
      <c r="R128" s="108"/>
      <c r="S128" s="94" t="str">
        <f t="shared" si="74"/>
        <v/>
      </c>
      <c r="T128" s="95">
        <v>7</v>
      </c>
      <c r="U128" s="105" t="s">
        <v>99</v>
      </c>
      <c r="V128" s="127">
        <v>1</v>
      </c>
      <c r="W128" s="920" t="s">
        <v>12851</v>
      </c>
      <c r="X128" s="1495">
        <f>IF(OR(ISBLANK(Q117),X117=0),0,Q128*V118)</f>
        <v>0</v>
      </c>
      <c r="Y128" s="101" cm="1">
        <f t="array" ref="Y128">IFERROR(_xlfn.LET(_xlpm.k,UPPER(TRIM(U128)),_xlpm.r,_xlfn.XLOOKUP(_xlpm.k,UPPER(TRIM(Q154:Z154)),Q155:Z155,_xlfn.XLOOKUP(_xlpm.k,UPPER(TRIM(Q156:Z156)),Q157:Z157)),_xlpm.r*T128*V128*V118*IF(ISBLANK(Q128),1,Q128)),0)</f>
        <v>7.0000000000000001E-3</v>
      </c>
      <c r="Z128" s="1475" t="str">
        <f>_xlfn.LET(_xlpm.unite,SUBSTITUTE(TRIM(U128)," (s)",""),_xlpm.val,Y128,_xlpm.estVol,COUNTIF(T154:Z154,_xlpm.unite)+COUNTIF(T156:Z156,_xlpm.unite)&gt;0,_xlpm.estPoids,COUNTIF(Q154:S154,_xlpm.unite)+COUNTIF(Q156:S156,_xlpm.unite)&gt;0,IF(_xlpm.estVol,IF(ROUND(_xlpm.val,3)&gt;=1,ROUND(_xlpm.val,3)&amp;" L",MAX(1,ROUND(_xlpm.val*100,0))&amp;" cl"),IF(_xlpm.estPoids,IF(ROUND(_xlpm.val,3)&gt;=1,ROUND(_xlpm.val,3)&amp;" Kg",MAX(1,ROUND(_xlpm.val*1000,0))&amp;" g"),"")))</f>
        <v>7 g</v>
      </c>
      <c r="AA128" s="5211"/>
      <c r="AB128" s="1178"/>
      <c r="AC128" s="1179"/>
      <c r="AD128" s="227" t="s">
        <v>22</v>
      </c>
      <c r="AE128" s="1027" t="str">
        <f t="shared" si="52"/>
        <v>A</v>
      </c>
      <c r="AF128" s="1028" t="str">
        <f t="shared" si="53"/>
        <v>P PRESSÉ DE BOUDIN NOIR | | Auteur &gt; Guy KRENZE - Eric GODDYN - Arnaud NICOLAS - CEPROC 2002</v>
      </c>
      <c r="AG128" s="1029">
        <f t="shared" si="54"/>
        <v>20</v>
      </c>
      <c r="AH128" s="1028" t="str">
        <f t="shared" si="55"/>
        <v>pressés de boudin</v>
      </c>
      <c r="AI128" s="1029" t="str">
        <f t="shared" si="56"/>
        <v>g</v>
      </c>
      <c r="AJ128" s="1029">
        <f t="shared" si="57"/>
        <v>1</v>
      </c>
      <c r="AK128" s="1043" cm="1">
        <f t="array" ref="AK128">IF(AE128&lt;&gt;"A","",IFERROR((IFERROR(_xlfn.XLOOKUP(TRIM(SUBSTITUTE(U128,CHAR(160)," ")),$BI$15:$BI$62,$BL$15:$BL$62),IFERROR(_xlfn.XLOOKUP(TRIM(SUBSTITUTE(U128,CHAR(160)," ")),$BJ$15:$BJ$62,$BL$15:$BL$62),_xlfn.XLOOKUP(TRIM(SUBSTITUTE(U128,CHAR(160)," ")),$BK$15:$BK$62,$BL$15:$BL$62))))*T128*IF(ISBLANK(Q128),1,Q128)+IFERROR(_xlfn.XLOOKUP("RECHERCHEX",TRIM(L128:AC128),L128:AC128),0),0))</f>
        <v>7.0000000000000001E-3</v>
      </c>
      <c r="AL128" s="1030" t="str">
        <f t="shared" si="58"/>
        <v>Kg</v>
      </c>
      <c r="AM128" s="5254" t="str">
        <f t="shared" si="73"/>
        <v>❾ Author reference &gt;</v>
      </c>
      <c r="AN128" s="1031">
        <f t="shared" si="59"/>
        <v>20</v>
      </c>
      <c r="AO128" s="1031" t="str">
        <f t="shared" si="60"/>
        <v>pressés de boudin</v>
      </c>
      <c r="AP128" s="1032">
        <f t="shared" si="61"/>
        <v>40</v>
      </c>
      <c r="AQ128" s="5255" t="str">
        <f t="shared" si="62"/>
        <v>parts-ou.or.o ❾ + or - &gt;</v>
      </c>
      <c r="AR128" s="5264"/>
      <c r="AS128" s="1033"/>
      <c r="AT128" s="1034">
        <f t="shared" si="63"/>
        <v>1.4E-2</v>
      </c>
      <c r="AU128" s="1035" t="str">
        <f t="shared" si="64"/>
        <v>Kg</v>
      </c>
      <c r="AV128" s="1057" t="str" cm="1">
        <f t="array" ref="AV128">IF(AJ128&lt;&gt;1,0,IF(OR(AT128="",N(AT128)&lt;=0.000000001),"",IF(OR(AN128="",N(AN128)&lt;=0.000000001),0,IF(ISNUMBER(AT128),IFERROR(_xlfn.LET(_xlpm.ai_test,TRIM(AI128),_xlpm.r,IFERROR(_xlfn.XLOOKUP(_xlpm.ai_test,$BI$15:$BI$62,ROW($BI$15:$BI$62),0,1),IFERROR(_xlfn.XLOOKUP(_xlpm.ai_test,$BJ$15:$BJ$62,ROW($BJ$15:$BJ$62),0,1),_xlfn.XLOOKUP(_xlpm.ai_test,$BK$15:$BK$62,ROW($BK$15:$BK$62),0,1))),_xlpm.p,_xlpm.r-MIN(ROW($BI$15:$BI$62))+1,_xlpm.f,INDEX($BL$15:$BL$62,_xlpm.p),_xlpm.u,INDEX($BM$15:$BM$62,_xlpm.p),_xlpm.s,INDEX($BO$15:$BO$62,_xlpm.p),_xlpm.q,N(AT128)/_xlpm.f,IF(_xlpm.q&gt;=_xlpm.s,ROUND(_xlpm.q,1)&amp;" "&amp;_xlpm.ai_test&amp;" = "&amp;ROUND(_xlpm.q*_xlpm.f,1)&amp;" "&amp;_xlpm.u,ROUND(_xlpm.q,1)&amp;" "&amp;_xlpm.ai_test)),""),""))))</f>
        <v>14 g</v>
      </c>
      <c r="AW128" s="1047"/>
      <c r="AX128" s="1034">
        <f t="shared" si="65"/>
        <v>1.4E-2</v>
      </c>
      <c r="AY128" s="1035" t="str">
        <f t="shared" si="66"/>
        <v>Kg</v>
      </c>
      <c r="AZ128" s="1036">
        <f t="shared" si="71"/>
        <v>0</v>
      </c>
      <c r="BA128" s="1037" t="str">
        <f t="shared" si="67"/>
        <v/>
      </c>
      <c r="BB128" s="1038"/>
      <c r="BC128" s="1039">
        <f t="shared" si="72"/>
        <v>0</v>
      </c>
      <c r="BD128" s="1040" t="str">
        <f t="shared" si="68"/>
        <v>pieds de porc cuits</v>
      </c>
      <c r="BE128" s="227" t="s">
        <v>22</v>
      </c>
      <c r="BF128" s="1019">
        <f t="shared" si="69"/>
        <v>0</v>
      </c>
      <c r="BG128" s="1020">
        <f t="shared" si="70"/>
        <v>2</v>
      </c>
      <c r="BH128"/>
      <c r="BQ128"/>
      <c r="BR128"/>
      <c r="BS128"/>
      <c r="BT128"/>
      <c r="BU128"/>
      <c r="BV128"/>
      <c r="BW128" s="959" t="str">
        <f t="shared" si="49"/>
        <v>A</v>
      </c>
      <c r="CC128" s="957"/>
      <c r="DB128" s="3">
        <v>1</v>
      </c>
    </row>
    <row r="129" spans="1:106" s="709" customFormat="1" ht="21" customHeight="1">
      <c r="A129" s="936" t="s">
        <v>22</v>
      </c>
      <c r="B129" s="952" t="str">
        <f t="shared" si="48"/>
        <v>A</v>
      </c>
      <c r="C129" s="993" cm="1">
        <f t="array" ref="C129">SUMPRODUCT(LEN(D129:J129))</f>
        <v>0</v>
      </c>
      <c r="D129" s="167"/>
      <c r="E129" s="172"/>
      <c r="F129" s="172"/>
      <c r="G129" s="172"/>
      <c r="H129" s="172"/>
      <c r="I129" s="172"/>
      <c r="J129" s="173"/>
      <c r="K129" s="442" t="s">
        <v>22</v>
      </c>
      <c r="L129" s="104" t="str">
        <f t="shared" si="75"/>
        <v>A</v>
      </c>
      <c r="M129" s="32" t="str">
        <f>M119</f>
        <v>P PRESSÉ DE BOUDIN NOIR | | Auteur &gt; Guy KRENZE - Eric GODDYN - Arnaud NICOLAS - CEPROC 2002</v>
      </c>
      <c r="N129" s="33">
        <f>N119</f>
        <v>20</v>
      </c>
      <c r="O129" s="32" t="str">
        <f>O119</f>
        <v>pressés de boudin</v>
      </c>
      <c r="P129" s="34" t="str">
        <f>P119</f>
        <v>Recette mère ► le Boudin en 4 déclinaisons</v>
      </c>
      <c r="Q129" s="92"/>
      <c r="R129" s="108"/>
      <c r="S129" s="94" t="str">
        <f t="shared" si="74"/>
        <v/>
      </c>
      <c r="T129" s="95">
        <v>20</v>
      </c>
      <c r="U129" s="105" t="s">
        <v>99</v>
      </c>
      <c r="V129" s="127">
        <v>1</v>
      </c>
      <c r="W129" s="920" t="s">
        <v>12852</v>
      </c>
      <c r="X129" s="1495">
        <f>IF(OR(ISBLANK(Q117),X117=0),0,Q129*V118)</f>
        <v>0</v>
      </c>
      <c r="Y129" s="101" cm="1">
        <f t="array" ref="Y129">IFERROR(_xlfn.LET(_xlpm.k,UPPER(TRIM(U129)),_xlpm.r,_xlfn.XLOOKUP(_xlpm.k,UPPER(TRIM(Q154:Z154)),Q155:Z155,_xlfn.XLOOKUP(_xlpm.k,UPPER(TRIM(Q156:Z156)),Q157:Z157)),_xlpm.r*T129*V129*V118*IF(ISBLANK(Q129),1,Q129)),0)</f>
        <v>0.02</v>
      </c>
      <c r="Z129" s="1476" t="str">
        <f>_xlfn.LET(_xlpm.unite,SUBSTITUTE(TRIM(U129)," (s)",""),_xlpm.val,Y129,_xlpm.estVol,COUNTIF(T154:Z154,_xlpm.unite)+COUNTIF(T156:Z156,_xlpm.unite)&gt;0,_xlpm.estPoids,COUNTIF(Q154:S154,_xlpm.unite)+COUNTIF(Q156:S156,_xlpm.unite)&gt;0,IF(_xlpm.estVol,IF(ROUND(_xlpm.val,3)&gt;=1,ROUND(_xlpm.val,3)&amp;" L",MAX(1,ROUND(_xlpm.val*100,0))&amp;" cl"),IF(_xlpm.estPoids,IF(ROUND(_xlpm.val,3)&gt;=1,ROUND(_xlpm.val,3)&amp;" Kg",MAX(1,ROUND(_xlpm.val*1000,0))&amp;" g"),"")))</f>
        <v>20 g</v>
      </c>
      <c r="AA129" s="5211"/>
      <c r="AB129" s="1178"/>
      <c r="AC129" s="1179"/>
      <c r="AD129" s="227" t="s">
        <v>22</v>
      </c>
      <c r="AE129" s="1027" t="str">
        <f t="shared" si="52"/>
        <v>A</v>
      </c>
      <c r="AF129" s="1028" t="str">
        <f t="shared" si="53"/>
        <v>P PRESSÉ DE BOUDIN NOIR | | Auteur &gt; Guy KRENZE - Eric GODDYN - Arnaud NICOLAS - CEPROC 2002</v>
      </c>
      <c r="AG129" s="1029">
        <f t="shared" si="54"/>
        <v>20</v>
      </c>
      <c r="AH129" s="1028" t="str">
        <f t="shared" si="55"/>
        <v>pressés de boudin</v>
      </c>
      <c r="AI129" s="1029" t="str">
        <f t="shared" si="56"/>
        <v>g</v>
      </c>
      <c r="AJ129" s="1029">
        <f t="shared" si="57"/>
        <v>1</v>
      </c>
      <c r="AK129" s="1043" cm="1">
        <f t="array" ref="AK129">IF(AE129&lt;&gt;"A","",IFERROR((IFERROR(_xlfn.XLOOKUP(TRIM(SUBSTITUTE(U129,CHAR(160)," ")),$BI$15:$BI$62,$BL$15:$BL$62),IFERROR(_xlfn.XLOOKUP(TRIM(SUBSTITUTE(U129,CHAR(160)," ")),$BJ$15:$BJ$62,$BL$15:$BL$62),_xlfn.XLOOKUP(TRIM(SUBSTITUTE(U129,CHAR(160)," ")),$BK$15:$BK$62,$BL$15:$BL$62))))*T129*IF(ISBLANK(Q129),1,Q129)+IFERROR(_xlfn.XLOOKUP("RECHERCHEX",TRIM(L129:AC129),L129:AC129),0),0))</f>
        <v>0.02</v>
      </c>
      <c r="AL129" s="1030" t="str">
        <f t="shared" si="58"/>
        <v>Kg</v>
      </c>
      <c r="AM129" s="5254" t="str">
        <f t="shared" si="73"/>
        <v>❾ Author reference &gt;</v>
      </c>
      <c r="AN129" s="1031">
        <f t="shared" si="59"/>
        <v>20</v>
      </c>
      <c r="AO129" s="1031" t="str">
        <f t="shared" si="60"/>
        <v>pressés de boudin</v>
      </c>
      <c r="AP129" s="1044">
        <f t="shared" si="61"/>
        <v>40</v>
      </c>
      <c r="AQ129" s="5257" t="str">
        <f t="shared" si="62"/>
        <v>parts-ou.or.o ❾ + or - &gt;</v>
      </c>
      <c r="AR129" s="5264"/>
      <c r="AS129" s="1033"/>
      <c r="AT129" s="1045">
        <f t="shared" si="63"/>
        <v>0.04</v>
      </c>
      <c r="AU129" s="1046" t="str">
        <f t="shared" si="64"/>
        <v>Kg</v>
      </c>
      <c r="AV129" s="1059" t="str" cm="1">
        <f t="array" ref="AV129">IF(AJ129&lt;&gt;1,0,IF(OR(AT129="",N(AT129)&lt;=0.000000001),"",IF(OR(AN129="",N(AN129)&lt;=0.000000001),0,IF(ISNUMBER(AT129),IFERROR(_xlfn.LET(_xlpm.ai_test,TRIM(AI129),_xlpm.r,IFERROR(_xlfn.XLOOKUP(_xlpm.ai_test,$BI$15:$BI$62,ROW($BI$15:$BI$62),0,1),IFERROR(_xlfn.XLOOKUP(_xlpm.ai_test,$BJ$15:$BJ$62,ROW($BJ$15:$BJ$62),0,1),_xlfn.XLOOKUP(_xlpm.ai_test,$BK$15:$BK$62,ROW($BK$15:$BK$62),0,1))),_xlpm.p,_xlpm.r-MIN(ROW($BI$15:$BI$62))+1,_xlpm.f,INDEX($BL$15:$BL$62,_xlpm.p),_xlpm.u,INDEX($BM$15:$BM$62,_xlpm.p),_xlpm.s,INDEX($BO$15:$BO$62,_xlpm.p),_xlpm.q,N(AT129)/_xlpm.f,IF(_xlpm.q&gt;=_xlpm.s,ROUND(_xlpm.q,1)&amp;" "&amp;_xlpm.ai_test&amp;" = "&amp;ROUND(_xlpm.q*_xlpm.f,1)&amp;" "&amp;_xlpm.u,ROUND(_xlpm.q,1)&amp;" "&amp;_xlpm.ai_test)),""),""))))</f>
        <v>40 g</v>
      </c>
      <c r="AW129" s="1047"/>
      <c r="AX129" s="1045">
        <f t="shared" si="65"/>
        <v>0.04</v>
      </c>
      <c r="AY129" s="1046" t="str">
        <f t="shared" si="66"/>
        <v>Kg</v>
      </c>
      <c r="AZ129" s="1048">
        <f t="shared" si="71"/>
        <v>0</v>
      </c>
      <c r="BA129" s="1049" t="str">
        <f t="shared" si="67"/>
        <v/>
      </c>
      <c r="BB129" s="1038"/>
      <c r="BC129" s="1050">
        <f t="shared" si="72"/>
        <v>0</v>
      </c>
      <c r="BD129" s="1040" t="str">
        <f t="shared" si="68"/>
        <v>ail en purée</v>
      </c>
      <c r="BE129" s="227" t="s">
        <v>22</v>
      </c>
      <c r="BF129" s="1019">
        <f t="shared" si="69"/>
        <v>0</v>
      </c>
      <c r="BG129" s="1020">
        <f t="shared" si="70"/>
        <v>2</v>
      </c>
      <c r="BH129"/>
      <c r="BQ129"/>
      <c r="BR129"/>
      <c r="BS129"/>
      <c r="BT129"/>
      <c r="BU129"/>
      <c r="BV129"/>
      <c r="BW129" s="959" t="str">
        <f t="shared" si="49"/>
        <v>A</v>
      </c>
      <c r="CC129" s="957"/>
      <c r="DB129" s="3">
        <v>1</v>
      </c>
    </row>
    <row r="130" spans="1:106" s="709" customFormat="1" ht="21" customHeight="1">
      <c r="A130" s="936" t="s">
        <v>22</v>
      </c>
      <c r="B130" s="952" t="str">
        <f t="shared" si="48"/>
        <v>A</v>
      </c>
      <c r="C130" s="993" cm="1">
        <f t="array" ref="C130">SUMPRODUCT(LEN(D130:J130))</f>
        <v>0</v>
      </c>
      <c r="D130" s="167"/>
      <c r="E130" s="172"/>
      <c r="F130" s="172"/>
      <c r="G130" s="172"/>
      <c r="H130" s="172"/>
      <c r="I130" s="172"/>
      <c r="J130" s="173"/>
      <c r="K130" s="442" t="s">
        <v>22</v>
      </c>
      <c r="L130" s="104" t="str">
        <f t="shared" si="75"/>
        <v>A</v>
      </c>
      <c r="M130" s="32" t="str">
        <f>M119</f>
        <v>P PRESSÉ DE BOUDIN NOIR | | Auteur &gt; Guy KRENZE - Eric GODDYN - Arnaud NICOLAS - CEPROC 2002</v>
      </c>
      <c r="N130" s="33">
        <f>N119</f>
        <v>20</v>
      </c>
      <c r="O130" s="32" t="str">
        <f>O119</f>
        <v>pressés de boudin</v>
      </c>
      <c r="P130" s="34" t="str">
        <f>P119</f>
        <v>Recette mère ► le Boudin en 4 déclinaisons</v>
      </c>
      <c r="Q130" s="92"/>
      <c r="R130" s="108"/>
      <c r="S130" s="94" t="str">
        <f t="shared" si="74"/>
        <v/>
      </c>
      <c r="T130" s="95">
        <v>300</v>
      </c>
      <c r="U130" s="105" t="s">
        <v>99</v>
      </c>
      <c r="V130" s="127">
        <v>1</v>
      </c>
      <c r="W130" s="920" t="s">
        <v>12853</v>
      </c>
      <c r="X130" s="1495">
        <f>IF(OR(ISBLANK(Q117),X117=0),0,Q130*V118)</f>
        <v>0</v>
      </c>
      <c r="Y130" s="101" cm="1">
        <f t="array" ref="Y130">IFERROR(_xlfn.LET(_xlpm.k,UPPER(TRIM(U130)),_xlpm.r,_xlfn.XLOOKUP(_xlpm.k,UPPER(TRIM(Q154:Z154)),Q155:Z155,_xlfn.XLOOKUP(_xlpm.k,UPPER(TRIM(Q156:Z156)),Q157:Z157)),_xlpm.r*T130*V130*V118*IF(ISBLANK(Q130),1,Q130)),0)</f>
        <v>0.3</v>
      </c>
      <c r="Z130" s="1475" t="str">
        <f>_xlfn.LET(_xlpm.unite,SUBSTITUTE(TRIM(U130)," (s)",""),_xlpm.val,Y130,_xlpm.estVol,COUNTIF(T154:Z154,_xlpm.unite)+COUNTIF(T156:Z156,_xlpm.unite)&gt;0,_xlpm.estPoids,COUNTIF(Q154:S154,_xlpm.unite)+COUNTIF(Q156:S156,_xlpm.unite)&gt;0,IF(_xlpm.estVol,IF(ROUND(_xlpm.val,3)&gt;=1,ROUND(_xlpm.val,3)&amp;" L",MAX(1,ROUND(_xlpm.val*100,0))&amp;" cl"),IF(_xlpm.estPoids,IF(ROUND(_xlpm.val,3)&gt;=1,ROUND(_xlpm.val,3)&amp;" Kg",MAX(1,ROUND(_xlpm.val*1000,0))&amp;" g"),"")))</f>
        <v>300 g</v>
      </c>
      <c r="AA130" s="5211"/>
      <c r="AB130" s="1178"/>
      <c r="AC130" s="1179"/>
      <c r="AD130" s="227" t="s">
        <v>22</v>
      </c>
      <c r="AE130" s="1027" t="str">
        <f t="shared" si="52"/>
        <v>A</v>
      </c>
      <c r="AF130" s="1028" t="str">
        <f t="shared" si="53"/>
        <v>P PRESSÉ DE BOUDIN NOIR | | Auteur &gt; Guy KRENZE - Eric GODDYN - Arnaud NICOLAS - CEPROC 2002</v>
      </c>
      <c r="AG130" s="1029">
        <f t="shared" si="54"/>
        <v>20</v>
      </c>
      <c r="AH130" s="1028" t="str">
        <f t="shared" si="55"/>
        <v>pressés de boudin</v>
      </c>
      <c r="AI130" s="1029" t="str">
        <f t="shared" si="56"/>
        <v>g</v>
      </c>
      <c r="AJ130" s="1029">
        <f t="shared" si="57"/>
        <v>1</v>
      </c>
      <c r="AK130" s="1043" cm="1">
        <f t="array" ref="AK130">IF(AE130&lt;&gt;"A","",IFERROR((IFERROR(_xlfn.XLOOKUP(TRIM(SUBSTITUTE(U130,CHAR(160)," ")),$BI$15:$BI$62,$BL$15:$BL$62),IFERROR(_xlfn.XLOOKUP(TRIM(SUBSTITUTE(U130,CHAR(160)," ")),$BJ$15:$BJ$62,$BL$15:$BL$62),_xlfn.XLOOKUP(TRIM(SUBSTITUTE(U130,CHAR(160)," ")),$BK$15:$BK$62,$BL$15:$BL$62))))*T130*IF(ISBLANK(Q130),1,Q130)+IFERROR(_xlfn.XLOOKUP("RECHERCHEX",TRIM(L130:AC130),L130:AC130),0),0))</f>
        <v>0.3</v>
      </c>
      <c r="AL130" s="1030" t="str">
        <f t="shared" si="58"/>
        <v>Kg</v>
      </c>
      <c r="AM130" s="5254" t="str">
        <f t="shared" si="73"/>
        <v>❾ Author reference &gt;</v>
      </c>
      <c r="AN130" s="1031">
        <f t="shared" si="59"/>
        <v>20</v>
      </c>
      <c r="AO130" s="1031" t="str">
        <f t="shared" si="60"/>
        <v>pressés de boudin</v>
      </c>
      <c r="AP130" s="1032">
        <f t="shared" si="61"/>
        <v>40</v>
      </c>
      <c r="AQ130" s="5255" t="str">
        <f t="shared" si="62"/>
        <v>parts-ou.or.o ❾ + or - &gt;</v>
      </c>
      <c r="AR130" s="5264"/>
      <c r="AS130" s="1033"/>
      <c r="AT130" s="1034">
        <f t="shared" si="63"/>
        <v>0.6</v>
      </c>
      <c r="AU130" s="1035" t="str">
        <f t="shared" si="64"/>
        <v>Kg</v>
      </c>
      <c r="AV130" s="1057" t="str" cm="1">
        <f t="array" ref="AV130">IF(AJ130&lt;&gt;1,0,IF(OR(AT130="",N(AT130)&lt;=0.000000001),"",IF(OR(AN130="",N(AN130)&lt;=0.000000001),0,IF(ISNUMBER(AT130),IFERROR(_xlfn.LET(_xlpm.ai_test,TRIM(AI130),_xlpm.r,IFERROR(_xlfn.XLOOKUP(_xlpm.ai_test,$BI$15:$BI$62,ROW($BI$15:$BI$62),0,1),IFERROR(_xlfn.XLOOKUP(_xlpm.ai_test,$BJ$15:$BJ$62,ROW($BJ$15:$BJ$62),0,1),_xlfn.XLOOKUP(_xlpm.ai_test,$BK$15:$BK$62,ROW($BK$15:$BK$62),0,1))),_xlpm.p,_xlpm.r-MIN(ROW($BI$15:$BI$62))+1,_xlpm.f,INDEX($BL$15:$BL$62,_xlpm.p),_xlpm.u,INDEX($BM$15:$BM$62,_xlpm.p),_xlpm.s,INDEX($BO$15:$BO$62,_xlpm.p),_xlpm.q,N(AT130)/_xlpm.f,IF(_xlpm.q&gt;=_xlpm.s,ROUND(_xlpm.q,1)&amp;" "&amp;_xlpm.ai_test&amp;" = "&amp;ROUND(_xlpm.q*_xlpm.f,1)&amp;" "&amp;_xlpm.u,ROUND(_xlpm.q,1)&amp;" "&amp;_xlpm.ai_test)),""),""))))</f>
        <v>600 g</v>
      </c>
      <c r="AW130" s="1047"/>
      <c r="AX130" s="1034">
        <f t="shared" si="65"/>
        <v>0.6</v>
      </c>
      <c r="AY130" s="1035" t="str">
        <f t="shared" si="66"/>
        <v>Kg</v>
      </c>
      <c r="AZ130" s="1036">
        <f t="shared" si="71"/>
        <v>0</v>
      </c>
      <c r="BA130" s="1037" t="str">
        <f t="shared" si="67"/>
        <v/>
      </c>
      <c r="BB130" s="1038"/>
      <c r="BC130" s="1039">
        <f t="shared" si="72"/>
        <v>0</v>
      </c>
      <c r="BD130" s="1040" t="str">
        <f t="shared" si="68"/>
        <v>noisettes torréfiées</v>
      </c>
      <c r="BE130" s="227" t="s">
        <v>22</v>
      </c>
      <c r="BF130" s="1019">
        <f t="shared" si="69"/>
        <v>0</v>
      </c>
      <c r="BG130" s="1020">
        <f t="shared" si="70"/>
        <v>2</v>
      </c>
      <c r="BH130"/>
      <c r="BQ130"/>
      <c r="BR130"/>
      <c r="BS130"/>
      <c r="BT130"/>
      <c r="BU130"/>
      <c r="BV130"/>
      <c r="BW130" s="959" t="str">
        <f t="shared" si="49"/>
        <v>A</v>
      </c>
      <c r="CC130" s="957"/>
      <c r="DB130" s="3">
        <v>1</v>
      </c>
    </row>
    <row r="131" spans="1:106" s="709" customFormat="1" ht="21" customHeight="1">
      <c r="A131" s="936" t="s">
        <v>22</v>
      </c>
      <c r="B131" s="952" t="str">
        <f t="shared" si="48"/>
        <v>A</v>
      </c>
      <c r="C131" s="993" cm="1">
        <f t="array" ref="C131">SUMPRODUCT(LEN(D131:J131))</f>
        <v>0</v>
      </c>
      <c r="D131" s="167"/>
      <c r="E131" s="172"/>
      <c r="F131" s="172"/>
      <c r="G131" s="172"/>
      <c r="H131" s="172"/>
      <c r="I131" s="172"/>
      <c r="J131" s="173"/>
      <c r="K131" s="442" t="s">
        <v>22</v>
      </c>
      <c r="L131" s="104" t="str">
        <f t="shared" si="75"/>
        <v>A</v>
      </c>
      <c r="M131" s="32" t="str">
        <f>M119</f>
        <v>P PRESSÉ DE BOUDIN NOIR | | Auteur &gt; Guy KRENZE - Eric GODDYN - Arnaud NICOLAS - CEPROC 2002</v>
      </c>
      <c r="N131" s="33">
        <f>N119</f>
        <v>20</v>
      </c>
      <c r="O131" s="32" t="str">
        <f>O119</f>
        <v>pressés de boudin</v>
      </c>
      <c r="P131" s="34" t="str">
        <f>P119</f>
        <v>Recette mère ► le Boudin en 4 déclinaisons</v>
      </c>
      <c r="Q131" s="92"/>
      <c r="R131" s="108"/>
      <c r="S131" s="94" t="str">
        <f t="shared" si="74"/>
        <v/>
      </c>
      <c r="T131" s="95">
        <v>2</v>
      </c>
      <c r="U131" s="105" t="s">
        <v>99</v>
      </c>
      <c r="V131" s="127">
        <v>1</v>
      </c>
      <c r="W131" s="920" t="s">
        <v>12827</v>
      </c>
      <c r="X131" s="1495">
        <f>IF(OR(ISBLANK(Q117),X117=0),0,Q131*V118)</f>
        <v>0</v>
      </c>
      <c r="Y131" s="101" cm="1">
        <f t="array" ref="Y131">IFERROR(_xlfn.LET(_xlpm.k,UPPER(TRIM(U131)),_xlpm.r,_xlfn.XLOOKUP(_xlpm.k,UPPER(TRIM(Q154:Z154)),Q155:Z155,_xlfn.XLOOKUP(_xlpm.k,UPPER(TRIM(Q156:Z156)),Q157:Z157)),_xlpm.r*T131*V131*V118*IF(ISBLANK(Q131),1,Q131)),0)</f>
        <v>2E-3</v>
      </c>
      <c r="Z131" s="1476" t="str">
        <f>_xlfn.LET(_xlpm.unite,SUBSTITUTE(TRIM(U131)," (s)",""),_xlpm.val,Y131,_xlpm.estVol,COUNTIF(T154:Z154,_xlpm.unite)+COUNTIF(T156:Z156,_xlpm.unite)&gt;0,_xlpm.estPoids,COUNTIF(Q154:S154,_xlpm.unite)+COUNTIF(Q156:S156,_xlpm.unite)&gt;0,IF(_xlpm.estVol,IF(ROUND(_xlpm.val,3)&gt;=1,ROUND(_xlpm.val,3)&amp;" L",MAX(1,ROUND(_xlpm.val*100,0))&amp;" cl"),IF(_xlpm.estPoids,IF(ROUND(_xlpm.val,3)&gt;=1,ROUND(_xlpm.val,3)&amp;" Kg",MAX(1,ROUND(_xlpm.val*1000,0))&amp;" g"),"")))</f>
        <v>2 g</v>
      </c>
      <c r="AA131" s="5211"/>
      <c r="AB131" s="1178"/>
      <c r="AC131" s="1179"/>
      <c r="AD131" s="227" t="s">
        <v>22</v>
      </c>
      <c r="AE131" s="1027" t="str">
        <f t="shared" si="52"/>
        <v>A</v>
      </c>
      <c r="AF131" s="1028" t="str">
        <f t="shared" si="53"/>
        <v>P PRESSÉ DE BOUDIN NOIR | | Auteur &gt; Guy KRENZE - Eric GODDYN - Arnaud NICOLAS - CEPROC 2002</v>
      </c>
      <c r="AG131" s="1029">
        <f t="shared" si="54"/>
        <v>20</v>
      </c>
      <c r="AH131" s="1028" t="str">
        <f t="shared" si="55"/>
        <v>pressés de boudin</v>
      </c>
      <c r="AI131" s="1029" t="str">
        <f t="shared" si="56"/>
        <v>g</v>
      </c>
      <c r="AJ131" s="1029">
        <f t="shared" si="57"/>
        <v>1</v>
      </c>
      <c r="AK131" s="1043" cm="1">
        <f t="array" ref="AK131">IF(AE131&lt;&gt;"A","",IFERROR((IFERROR(_xlfn.XLOOKUP(TRIM(SUBSTITUTE(U131,CHAR(160)," ")),$BI$15:$BI$62,$BL$15:$BL$62),IFERROR(_xlfn.XLOOKUP(TRIM(SUBSTITUTE(U131,CHAR(160)," ")),$BJ$15:$BJ$62,$BL$15:$BL$62),_xlfn.XLOOKUP(TRIM(SUBSTITUTE(U131,CHAR(160)," ")),$BK$15:$BK$62,$BL$15:$BL$62))))*T131*IF(ISBLANK(Q131),1,Q131)+IFERROR(_xlfn.XLOOKUP("RECHERCHEX",TRIM(L131:AC131),L131:AC131),0),0))</f>
        <v>2E-3</v>
      </c>
      <c r="AL131" s="1030" t="str">
        <f t="shared" si="58"/>
        <v>Kg</v>
      </c>
      <c r="AM131" s="5254" t="str">
        <f t="shared" si="73"/>
        <v>❾ Author reference &gt;</v>
      </c>
      <c r="AN131" s="1031">
        <f t="shared" si="59"/>
        <v>20</v>
      </c>
      <c r="AO131" s="1031" t="str">
        <f t="shared" si="60"/>
        <v>pressés de boudin</v>
      </c>
      <c r="AP131" s="1044">
        <f t="shared" si="61"/>
        <v>40</v>
      </c>
      <c r="AQ131" s="5257" t="str">
        <f t="shared" si="62"/>
        <v>parts-ou.or.o ❾ + or - &gt;</v>
      </c>
      <c r="AR131" s="5264"/>
      <c r="AS131" s="1033"/>
      <c r="AT131" s="1045">
        <f t="shared" si="63"/>
        <v>4.0000000000000001E-3</v>
      </c>
      <c r="AU131" s="1046" t="str">
        <f t="shared" si="64"/>
        <v>Kg</v>
      </c>
      <c r="AV131" s="1059" t="str" cm="1">
        <f t="array" ref="AV131">IF(AJ131&lt;&gt;1,0,IF(OR(AT131="",N(AT131)&lt;=0.000000001),"",IF(OR(AN131="",N(AN131)&lt;=0.000000001),0,IF(ISNUMBER(AT131),IFERROR(_xlfn.LET(_xlpm.ai_test,TRIM(AI131),_xlpm.r,IFERROR(_xlfn.XLOOKUP(_xlpm.ai_test,$BI$15:$BI$62,ROW($BI$15:$BI$62),0,1),IFERROR(_xlfn.XLOOKUP(_xlpm.ai_test,$BJ$15:$BJ$62,ROW($BJ$15:$BJ$62),0,1),_xlfn.XLOOKUP(_xlpm.ai_test,$BK$15:$BK$62,ROW($BK$15:$BK$62),0,1))),_xlpm.p,_xlpm.r-MIN(ROW($BI$15:$BI$62))+1,_xlpm.f,INDEX($BL$15:$BL$62,_xlpm.p),_xlpm.u,INDEX($BM$15:$BM$62,_xlpm.p),_xlpm.s,INDEX($BO$15:$BO$62,_xlpm.p),_xlpm.q,N(AT131)/_xlpm.f,IF(_xlpm.q&gt;=_xlpm.s,ROUND(_xlpm.q,1)&amp;" "&amp;_xlpm.ai_test&amp;" = "&amp;ROUND(_xlpm.q*_xlpm.f,1)&amp;" "&amp;_xlpm.u,ROUND(_xlpm.q,1)&amp;" "&amp;_xlpm.ai_test)),""),""))))</f>
        <v>4 g</v>
      </c>
      <c r="AW131" s="1047"/>
      <c r="AX131" s="1045">
        <f t="shared" si="65"/>
        <v>4.0000000000000001E-3</v>
      </c>
      <c r="AY131" s="1046" t="str">
        <f t="shared" si="66"/>
        <v>Kg</v>
      </c>
      <c r="AZ131" s="1048">
        <f t="shared" si="71"/>
        <v>0</v>
      </c>
      <c r="BA131" s="1049" t="str">
        <f t="shared" si="67"/>
        <v/>
      </c>
      <c r="BB131" s="1038"/>
      <c r="BC131" s="1050">
        <f t="shared" si="72"/>
        <v>0</v>
      </c>
      <c r="BD131" s="1040" t="str">
        <f t="shared" si="68"/>
        <v>poivre et épices en mélange</v>
      </c>
      <c r="BE131" s="227" t="s">
        <v>22</v>
      </c>
      <c r="BF131" s="1019">
        <f t="shared" si="69"/>
        <v>0</v>
      </c>
      <c r="BG131" s="1020">
        <f t="shared" si="70"/>
        <v>2</v>
      </c>
      <c r="BH131"/>
      <c r="BQ131"/>
      <c r="BR131"/>
      <c r="BS131"/>
      <c r="BT131"/>
      <c r="BU131"/>
      <c r="BV131"/>
      <c r="BW131" s="959" t="str">
        <f t="shared" si="49"/>
        <v>A</v>
      </c>
      <c r="CC131" s="957"/>
      <c r="DB131" s="3">
        <v>1</v>
      </c>
    </row>
    <row r="132" spans="1:106" s="709" customFormat="1" ht="21" customHeight="1">
      <c r="A132" s="936" t="s">
        <v>22</v>
      </c>
      <c r="B132" s="952" t="str">
        <f t="shared" si="48"/>
        <v>A</v>
      </c>
      <c r="C132" s="993" cm="1">
        <f t="array" ref="C132">SUMPRODUCT(LEN(D132:J132))</f>
        <v>0</v>
      </c>
      <c r="D132" s="167"/>
      <c r="E132" s="172"/>
      <c r="F132" s="172"/>
      <c r="G132" s="172"/>
      <c r="H132" s="172"/>
      <c r="I132" s="172"/>
      <c r="J132" s="173"/>
      <c r="K132" s="442" t="s">
        <v>22</v>
      </c>
      <c r="L132" s="104" t="str">
        <f t="shared" si="75"/>
        <v>A</v>
      </c>
      <c r="M132" s="32" t="str">
        <f>M119</f>
        <v>P PRESSÉ DE BOUDIN NOIR | | Auteur &gt; Guy KRENZE - Eric GODDYN - Arnaud NICOLAS - CEPROC 2002</v>
      </c>
      <c r="N132" s="33">
        <f>N119</f>
        <v>20</v>
      </c>
      <c r="O132" s="32" t="str">
        <f>O119</f>
        <v>pressés de boudin</v>
      </c>
      <c r="P132" s="34" t="str">
        <f>P119</f>
        <v>Recette mère ► le Boudin en 4 déclinaisons</v>
      </c>
      <c r="Q132" s="92"/>
      <c r="R132" s="108"/>
      <c r="S132" s="94" t="str">
        <f t="shared" si="74"/>
        <v/>
      </c>
      <c r="T132" s="95">
        <v>7</v>
      </c>
      <c r="U132" s="105" t="s">
        <v>99</v>
      </c>
      <c r="V132" s="127">
        <v>1</v>
      </c>
      <c r="W132" s="920" t="s">
        <v>8947</v>
      </c>
      <c r="X132" s="1495">
        <f>IF(OR(ISBLANK(Q117),X117=0),0,Q132*V118)</f>
        <v>0</v>
      </c>
      <c r="Y132" s="101" cm="1">
        <f t="array" ref="Y132">IFERROR(_xlfn.LET(_xlpm.k,UPPER(TRIM(U132)),_xlpm.r,_xlfn.XLOOKUP(_xlpm.k,UPPER(TRIM(Q154:Z154)),Q155:Z155,_xlfn.XLOOKUP(_xlpm.k,UPPER(TRIM(Q156:Z156)),Q157:Z157)),_xlpm.r*T132*V132*V118*IF(ISBLANK(Q132),1,Q132)),0)</f>
        <v>7.0000000000000001E-3</v>
      </c>
      <c r="Z132" s="1475" t="str">
        <f>_xlfn.LET(_xlpm.unite,SUBSTITUTE(TRIM(U132)," (s)",""),_xlpm.val,Y132,_xlpm.estVol,COUNTIF(T154:Z154,_xlpm.unite)+COUNTIF(T156:Z156,_xlpm.unite)&gt;0,_xlpm.estPoids,COUNTIF(Q154:S154,_xlpm.unite)+COUNTIF(Q156:S156,_xlpm.unite)&gt;0,IF(_xlpm.estVol,IF(ROUND(_xlpm.val,3)&gt;=1,ROUND(_xlpm.val,3)&amp;" L",MAX(1,ROUND(_xlpm.val*100,0))&amp;" cl"),IF(_xlpm.estPoids,IF(ROUND(_xlpm.val,3)&gt;=1,ROUND(_xlpm.val,3)&amp;" Kg",MAX(1,ROUND(_xlpm.val*1000,0))&amp;" g"),"")))</f>
        <v>7 g</v>
      </c>
      <c r="AA132" s="5211"/>
      <c r="AB132" s="1178"/>
      <c r="AC132" s="1179"/>
      <c r="AD132" s="227" t="s">
        <v>22</v>
      </c>
      <c r="AE132" s="1027" t="str">
        <f t="shared" si="52"/>
        <v>A</v>
      </c>
      <c r="AF132" s="1028" t="str">
        <f t="shared" si="53"/>
        <v>P PRESSÉ DE BOUDIN NOIR | | Auteur &gt; Guy KRENZE - Eric GODDYN - Arnaud NICOLAS - CEPROC 2002</v>
      </c>
      <c r="AG132" s="1029">
        <f t="shared" si="54"/>
        <v>20</v>
      </c>
      <c r="AH132" s="1028" t="str">
        <f t="shared" si="55"/>
        <v>pressés de boudin</v>
      </c>
      <c r="AI132" s="1029" t="str">
        <f t="shared" si="56"/>
        <v>g</v>
      </c>
      <c r="AJ132" s="1029">
        <f t="shared" si="57"/>
        <v>1</v>
      </c>
      <c r="AK132" s="1043" cm="1">
        <f t="array" ref="AK132">IF(AE132&lt;&gt;"A","",IFERROR((IFERROR(_xlfn.XLOOKUP(TRIM(SUBSTITUTE(U132,CHAR(160)," ")),$BI$15:$BI$62,$BL$15:$BL$62),IFERROR(_xlfn.XLOOKUP(TRIM(SUBSTITUTE(U132,CHAR(160)," ")),$BJ$15:$BJ$62,$BL$15:$BL$62),_xlfn.XLOOKUP(TRIM(SUBSTITUTE(U132,CHAR(160)," ")),$BK$15:$BK$62,$BL$15:$BL$62))))*T132*IF(ISBLANK(Q132),1,Q132)+IFERROR(_xlfn.XLOOKUP("RECHERCHEX",TRIM(L132:AC132),L132:AC132),0),0))</f>
        <v>7.0000000000000001E-3</v>
      </c>
      <c r="AL132" s="1030" t="str">
        <f t="shared" si="58"/>
        <v>Kg</v>
      </c>
      <c r="AM132" s="5254" t="str">
        <f t="shared" si="73"/>
        <v>❾ Author reference &gt;</v>
      </c>
      <c r="AN132" s="1031">
        <f t="shared" si="59"/>
        <v>20</v>
      </c>
      <c r="AO132" s="1031" t="str">
        <f t="shared" si="60"/>
        <v>pressés de boudin</v>
      </c>
      <c r="AP132" s="1032">
        <f t="shared" si="61"/>
        <v>40</v>
      </c>
      <c r="AQ132" s="5255" t="str">
        <f t="shared" si="62"/>
        <v>parts-ou.or.o ❾ + or - &gt;</v>
      </c>
      <c r="AR132" s="5264"/>
      <c r="AS132" s="1033"/>
      <c r="AT132" s="1034">
        <f t="shared" si="63"/>
        <v>1.4E-2</v>
      </c>
      <c r="AU132" s="1035" t="str">
        <f t="shared" si="64"/>
        <v>Kg</v>
      </c>
      <c r="AV132" s="1057" t="str" cm="1">
        <f t="array" ref="AV132">IF(AJ132&lt;&gt;1,0,IF(OR(AT132="",N(AT132)&lt;=0.000000001),"",IF(OR(AN132="",N(AN132)&lt;=0.000000001),0,IF(ISNUMBER(AT132),IFERROR(_xlfn.LET(_xlpm.ai_test,TRIM(AI132),_xlpm.r,IFERROR(_xlfn.XLOOKUP(_xlpm.ai_test,$BI$15:$BI$62,ROW($BI$15:$BI$62),0,1),IFERROR(_xlfn.XLOOKUP(_xlpm.ai_test,$BJ$15:$BJ$62,ROW($BJ$15:$BJ$62),0,1),_xlfn.XLOOKUP(_xlpm.ai_test,$BK$15:$BK$62,ROW($BK$15:$BK$62),0,1))),_xlpm.p,_xlpm.r-MIN(ROW($BI$15:$BI$62))+1,_xlpm.f,INDEX($BL$15:$BL$62,_xlpm.p),_xlpm.u,INDEX($BM$15:$BM$62,_xlpm.p),_xlpm.s,INDEX($BO$15:$BO$62,_xlpm.p),_xlpm.q,N(AT132)/_xlpm.f,IF(_xlpm.q&gt;=_xlpm.s,ROUND(_xlpm.q,1)&amp;" "&amp;_xlpm.ai_test&amp;" = "&amp;ROUND(_xlpm.q*_xlpm.f,1)&amp;" "&amp;_xlpm.u,ROUND(_xlpm.q,1)&amp;" "&amp;_xlpm.ai_test)),""),""))))</f>
        <v>14 g</v>
      </c>
      <c r="AW132" s="1047"/>
      <c r="AX132" s="1034">
        <f t="shared" si="65"/>
        <v>1.4E-2</v>
      </c>
      <c r="AY132" s="1035" t="str">
        <f t="shared" si="66"/>
        <v>Kg</v>
      </c>
      <c r="AZ132" s="1036">
        <f t="shared" si="71"/>
        <v>0</v>
      </c>
      <c r="BA132" s="1037" t="str">
        <f t="shared" si="67"/>
        <v/>
      </c>
      <c r="BB132" s="1038"/>
      <c r="BC132" s="1039">
        <f t="shared" si="72"/>
        <v>0</v>
      </c>
      <c r="BD132" s="1040" t="str">
        <f t="shared" si="68"/>
        <v>sel</v>
      </c>
      <c r="BE132" s="227" t="s">
        <v>22</v>
      </c>
      <c r="BF132" s="1019">
        <f t="shared" si="69"/>
        <v>0</v>
      </c>
      <c r="BG132" s="1020">
        <f t="shared" si="70"/>
        <v>2</v>
      </c>
      <c r="BH132"/>
      <c r="BQ132"/>
      <c r="BR132"/>
      <c r="BS132"/>
      <c r="BT132"/>
      <c r="BU132"/>
      <c r="BV132"/>
      <c r="BW132" s="959" t="str">
        <f t="shared" si="49"/>
        <v>A</v>
      </c>
      <c r="CC132" s="957"/>
      <c r="DB132" s="3">
        <v>1</v>
      </c>
    </row>
    <row r="133" spans="1:106" s="709" customFormat="1" ht="21" customHeight="1">
      <c r="A133" s="936" t="s">
        <v>22</v>
      </c>
      <c r="B133" s="952" t="str">
        <f t="shared" ref="B133:B196" si="76">L133</f>
        <v>A</v>
      </c>
      <c r="C133" s="993" cm="1">
        <f t="array" ref="C133">SUMPRODUCT(LEN(D133:J133))</f>
        <v>0</v>
      </c>
      <c r="D133" s="167"/>
      <c r="E133" s="172"/>
      <c r="F133" s="172"/>
      <c r="G133" s="172"/>
      <c r="H133" s="172"/>
      <c r="I133" s="172"/>
      <c r="J133" s="173"/>
      <c r="K133" s="442" t="s">
        <v>22</v>
      </c>
      <c r="L133" s="104" t="str">
        <f t="shared" si="75"/>
        <v>A</v>
      </c>
      <c r="M133" s="32" t="str">
        <f>M119</f>
        <v>P PRESSÉ DE BOUDIN NOIR | | Auteur &gt; Guy KRENZE - Eric GODDYN - Arnaud NICOLAS - CEPROC 2002</v>
      </c>
      <c r="N133" s="33">
        <f>N119</f>
        <v>20</v>
      </c>
      <c r="O133" s="32" t="str">
        <f>O119</f>
        <v>pressés de boudin</v>
      </c>
      <c r="P133" s="34" t="str">
        <f>P119</f>
        <v>Recette mère ► le Boudin en 4 déclinaisons</v>
      </c>
      <c r="Q133" s="92"/>
      <c r="R133" s="108"/>
      <c r="S133" s="94" t="str">
        <f t="shared" si="74"/>
        <v/>
      </c>
      <c r="T133" s="95"/>
      <c r="U133" s="126"/>
      <c r="V133" s="127">
        <v>1</v>
      </c>
      <c r="W133" s="920" t="s">
        <v>12828</v>
      </c>
      <c r="X133" s="1495">
        <f>IF(OR(ISBLANK(Q117),X117=0),0,Q133*V118)</f>
        <v>0</v>
      </c>
      <c r="Y133" s="101" cm="1">
        <f t="array" ref="Y133">IFERROR(_xlfn.LET(_xlpm.k,UPPER(TRIM(U133)),_xlpm.r,_xlfn.XLOOKUP(_xlpm.k,UPPER(TRIM(Q154:Z154)),Q155:Z155,_xlfn.XLOOKUP(_xlpm.k,UPPER(TRIM(Q156:Z156)),Q157:Z157)),_xlpm.r*T133*V133*V118*IF(ISBLANK(Q133),1,Q133)),0)</f>
        <v>0</v>
      </c>
      <c r="Z133" s="1476" t="str">
        <f>_xlfn.LET(_xlpm.unite,SUBSTITUTE(TRIM(U133)," (s)",""),_xlpm.val,Y133,_xlpm.estVol,COUNTIF(T154:Z154,_xlpm.unite)+COUNTIF(T156:Z156,_xlpm.unite)&gt;0,_xlpm.estPoids,COUNTIF(Q154:S154,_xlpm.unite)+COUNTIF(Q156:S156,_xlpm.unite)&gt;0,IF(_xlpm.estVol,IF(ROUND(_xlpm.val,3)&gt;=1,ROUND(_xlpm.val,3)&amp;" L",MAX(1,ROUND(_xlpm.val*100,0))&amp;" cl"),IF(_xlpm.estPoids,IF(ROUND(_xlpm.val,3)&gt;=1,ROUND(_xlpm.val,3)&amp;" Kg",MAX(1,ROUND(_xlpm.val*1000,0))&amp;" g"),"")))</f>
        <v/>
      </c>
      <c r="AA133" s="5211"/>
      <c r="AB133" s="1178"/>
      <c r="AC133" s="1179"/>
      <c r="AD133" s="227" t="s">
        <v>22</v>
      </c>
      <c r="AE133" s="1027" t="str">
        <f t="shared" si="52"/>
        <v>►</v>
      </c>
      <c r="AF133" s="1028" t="str">
        <f t="shared" si="53"/>
        <v/>
      </c>
      <c r="AG133" s="1029" t="str">
        <f t="shared" si="54"/>
        <v/>
      </c>
      <c r="AH133" s="1028" t="str">
        <f t="shared" si="55"/>
        <v/>
      </c>
      <c r="AI133" s="1029" t="str">
        <f t="shared" si="56"/>
        <v/>
      </c>
      <c r="AJ133" s="1029">
        <f t="shared" si="57"/>
        <v>0</v>
      </c>
      <c r="AK133" s="1043" t="str" cm="1">
        <f t="array" ref="AK133">IF(AE133&lt;&gt;"A","",IFERROR((IFERROR(_xlfn.XLOOKUP(TRIM(SUBSTITUTE(U133,CHAR(160)," ")),$BI$15:$BI$62,$BL$15:$BL$62),IFERROR(_xlfn.XLOOKUP(TRIM(SUBSTITUTE(U133,CHAR(160)," ")),$BJ$15:$BJ$62,$BL$15:$BL$62),_xlfn.XLOOKUP(TRIM(SUBSTITUTE(U133,CHAR(160)," ")),$BK$15:$BK$62,$BL$15:$BL$62))))*T133*IF(ISBLANK(Q133),1,Q133)+IFERROR(_xlfn.XLOOKUP("RECHERCHEX",TRIM(L133:AC133),L133:AC133),0),0))</f>
        <v/>
      </c>
      <c r="AL133" s="1030">
        <f t="shared" si="58"/>
        <v>0</v>
      </c>
      <c r="AM133" s="5254" t="str">
        <f t="shared" si="73"/>
        <v/>
      </c>
      <c r="AN133" s="1031">
        <f t="shared" si="59"/>
        <v>0</v>
      </c>
      <c r="AO133" s="1031">
        <f t="shared" si="60"/>
        <v>0</v>
      </c>
      <c r="AP133" s="1044">
        <f t="shared" si="61"/>
        <v>0</v>
      </c>
      <c r="AQ133" s="5257" t="str">
        <f t="shared" si="62"/>
        <v/>
      </c>
      <c r="AR133" s="5264"/>
      <c r="AS133" s="1033"/>
      <c r="AT133" s="1045">
        <f t="shared" si="63"/>
        <v>0</v>
      </c>
      <c r="AU133" s="1046">
        <f t="shared" si="64"/>
        <v>0</v>
      </c>
      <c r="AV133" s="1059" cm="1">
        <f t="array" ref="AV133">IF(AJ133&lt;&gt;1,0,IF(OR(AT133="",N(AT133)&lt;=0.000000001),"",IF(OR(AN133="",N(AN133)&lt;=0.000000001),0,IF(ISNUMBER(AT133),IFERROR(_xlfn.LET(_xlpm.ai_test,TRIM(AI133),_xlpm.r,IFERROR(_xlfn.XLOOKUP(_xlpm.ai_test,$BI$15:$BI$62,ROW($BI$15:$BI$62),0,1),IFERROR(_xlfn.XLOOKUP(_xlpm.ai_test,$BJ$15:$BJ$62,ROW($BJ$15:$BJ$62),0,1),_xlfn.XLOOKUP(_xlpm.ai_test,$BK$15:$BK$62,ROW($BK$15:$BK$62),0,1))),_xlpm.p,_xlpm.r-MIN(ROW($BI$15:$BI$62))+1,_xlpm.f,INDEX($BL$15:$BL$62,_xlpm.p),_xlpm.u,INDEX($BM$15:$BM$62,_xlpm.p),_xlpm.s,INDEX($BO$15:$BO$62,_xlpm.p),_xlpm.q,N(AT133)/_xlpm.f,IF(_xlpm.q&gt;=_xlpm.s,ROUND(_xlpm.q,1)&amp;" "&amp;_xlpm.ai_test&amp;" = "&amp;ROUND(_xlpm.q*_xlpm.f,1)&amp;" "&amp;_xlpm.u,ROUND(_xlpm.q,1)&amp;" "&amp;_xlpm.ai_test)),""),""))))</f>
        <v>0</v>
      </c>
      <c r="AW133" s="1047"/>
      <c r="AX133" s="1045">
        <f t="shared" si="65"/>
        <v>0</v>
      </c>
      <c r="AY133" s="1046" t="str">
        <f t="shared" si="66"/>
        <v/>
      </c>
      <c r="AZ133" s="1048">
        <f t="shared" si="71"/>
        <v>0</v>
      </c>
      <c r="BA133" s="1049" t="str">
        <f t="shared" si="67"/>
        <v/>
      </c>
      <c r="BB133" s="1038"/>
      <c r="BC133" s="1050">
        <f t="shared" si="72"/>
        <v>0</v>
      </c>
      <c r="BD133" s="1040" t="str">
        <f t="shared" si="68"/>
        <v/>
      </c>
      <c r="BE133" s="227" t="s">
        <v>22</v>
      </c>
      <c r="BF133" s="1019">
        <f t="shared" si="69"/>
        <v>0</v>
      </c>
      <c r="BG133" s="1020">
        <f t="shared" si="70"/>
        <v>0</v>
      </c>
      <c r="BH133"/>
      <c r="BQ133"/>
      <c r="BR133"/>
      <c r="BS133"/>
      <c r="BT133"/>
      <c r="BU133"/>
      <c r="BV133"/>
      <c r="BW133" s="959" t="str">
        <f t="shared" ref="BW133:BW196" si="77">AE133</f>
        <v>►</v>
      </c>
      <c r="CC133" s="957"/>
      <c r="DB133" s="3">
        <v>1</v>
      </c>
    </row>
    <row r="134" spans="1:106" s="709" customFormat="1" ht="21" customHeight="1">
      <c r="A134" s="936" t="s">
        <v>22</v>
      </c>
      <c r="B134" s="952" t="str">
        <f t="shared" si="76"/>
        <v>►</v>
      </c>
      <c r="C134" s="993" cm="1">
        <f t="array" ref="C134">SUMPRODUCT(LEN(D134:J134))</f>
        <v>0</v>
      </c>
      <c r="D134" s="167"/>
      <c r="E134" s="172"/>
      <c r="F134" s="172"/>
      <c r="G134" s="172"/>
      <c r="H134" s="172"/>
      <c r="I134" s="172"/>
      <c r="J134" s="173"/>
      <c r="K134" s="442" t="s">
        <v>22</v>
      </c>
      <c r="L134" s="104" t="str">
        <f t="shared" si="75"/>
        <v>►</v>
      </c>
      <c r="M134" s="32" t="str">
        <f>M119</f>
        <v>P PRESSÉ DE BOUDIN NOIR | | Auteur &gt; Guy KRENZE - Eric GODDYN - Arnaud NICOLAS - CEPROC 2002</v>
      </c>
      <c r="N134" s="33">
        <f>N119</f>
        <v>20</v>
      </c>
      <c r="O134" s="32" t="str">
        <f>O119</f>
        <v>pressés de boudin</v>
      </c>
      <c r="P134" s="34" t="str">
        <f>P119</f>
        <v>Recette mère ► le Boudin en 4 déclinaisons</v>
      </c>
      <c r="Q134" s="92"/>
      <c r="R134" s="108"/>
      <c r="S134" s="94" t="str">
        <f t="shared" si="74"/>
        <v/>
      </c>
      <c r="T134" s="95"/>
      <c r="U134" s="126"/>
      <c r="V134" s="127">
        <v>1</v>
      </c>
      <c r="W134" s="920"/>
      <c r="X134" s="1495">
        <f>IF(OR(ISBLANK(Q117),X117=0),0,Q134*V118)</f>
        <v>0</v>
      </c>
      <c r="Y134" s="101" cm="1">
        <f t="array" ref="Y134">IFERROR(_xlfn.LET(_xlpm.k,UPPER(TRIM(U134)),_xlpm.r,_xlfn.XLOOKUP(_xlpm.k,UPPER(TRIM(Q154:Z154)),Q155:Z155,_xlfn.XLOOKUP(_xlpm.k,UPPER(TRIM(Q156:Z156)),Q157:Z157)),_xlpm.r*T134*V134*V118*IF(ISBLANK(Q134),1,Q134)),0)</f>
        <v>0</v>
      </c>
      <c r="Z134" s="1475" t="str">
        <f>_xlfn.LET(_xlpm.unite,SUBSTITUTE(TRIM(U134)," (s)",""),_xlpm.val,Y134,_xlpm.estVol,COUNTIF(T154:Z154,_xlpm.unite)+COUNTIF(T156:Z156,_xlpm.unite)&gt;0,_xlpm.estPoids,COUNTIF(Q154:S154,_xlpm.unite)+COUNTIF(Q156:S156,_xlpm.unite)&gt;0,IF(_xlpm.estVol,IF(ROUND(_xlpm.val,3)&gt;=1,ROUND(_xlpm.val,3)&amp;" L",MAX(1,ROUND(_xlpm.val*100,0))&amp;" cl"),IF(_xlpm.estPoids,IF(ROUND(_xlpm.val,3)&gt;=1,ROUND(_xlpm.val,3)&amp;" Kg",MAX(1,ROUND(_xlpm.val*1000,0))&amp;" g"),"")))</f>
        <v/>
      </c>
      <c r="AA134" s="5211"/>
      <c r="AB134" s="1178"/>
      <c r="AC134" s="1179"/>
      <c r="AD134" s="227" t="s">
        <v>22</v>
      </c>
      <c r="AE134" s="1027" t="str">
        <f t="shared" si="52"/>
        <v>►</v>
      </c>
      <c r="AF134" s="1028" t="str">
        <f t="shared" si="53"/>
        <v/>
      </c>
      <c r="AG134" s="1029" t="str">
        <f t="shared" si="54"/>
        <v/>
      </c>
      <c r="AH134" s="1028" t="str">
        <f t="shared" si="55"/>
        <v/>
      </c>
      <c r="AI134" s="1029" t="str">
        <f t="shared" si="56"/>
        <v/>
      </c>
      <c r="AJ134" s="1029">
        <f t="shared" si="57"/>
        <v>0</v>
      </c>
      <c r="AK134" s="1043" t="str" cm="1">
        <f t="array" ref="AK134">IF(AE134&lt;&gt;"A","",IFERROR((IFERROR(_xlfn.XLOOKUP(TRIM(SUBSTITUTE(U134,CHAR(160)," ")),$BI$15:$BI$62,$BL$15:$BL$62),IFERROR(_xlfn.XLOOKUP(TRIM(SUBSTITUTE(U134,CHAR(160)," ")),$BJ$15:$BJ$62,$BL$15:$BL$62),_xlfn.XLOOKUP(TRIM(SUBSTITUTE(U134,CHAR(160)," ")),$BK$15:$BK$62,$BL$15:$BL$62))))*T134*IF(ISBLANK(Q134),1,Q134)+IFERROR(_xlfn.XLOOKUP("RECHERCHEX",TRIM(L134:AC134),L134:AC134),0),0))</f>
        <v/>
      </c>
      <c r="AL134" s="1030">
        <f t="shared" si="58"/>
        <v>0</v>
      </c>
      <c r="AM134" s="5254" t="str">
        <f t="shared" si="73"/>
        <v/>
      </c>
      <c r="AN134" s="1031">
        <f t="shared" si="59"/>
        <v>0</v>
      </c>
      <c r="AO134" s="1031">
        <f t="shared" si="60"/>
        <v>0</v>
      </c>
      <c r="AP134" s="1032">
        <f t="shared" si="61"/>
        <v>0</v>
      </c>
      <c r="AQ134" s="5255" t="str">
        <f t="shared" si="62"/>
        <v/>
      </c>
      <c r="AR134" s="1056"/>
      <c r="AS134" s="1056"/>
      <c r="AT134" s="1034">
        <f t="shared" si="63"/>
        <v>0</v>
      </c>
      <c r="AU134" s="1035">
        <f t="shared" si="64"/>
        <v>0</v>
      </c>
      <c r="AV134" s="1057" cm="1">
        <f t="array" ref="AV134">IF(AJ134&lt;&gt;1,0,IF(OR(AT134="",N(AT134)&lt;=0.000000001),"",IF(OR(AN134="",N(AN134)&lt;=0.000000001),0,IF(ISNUMBER(AT134),IFERROR(_xlfn.LET(_xlpm.ai_test,TRIM(AI134),_xlpm.r,IFERROR(_xlfn.XLOOKUP(_xlpm.ai_test,$BI$15:$BI$62,ROW($BI$15:$BI$62),0,1),IFERROR(_xlfn.XLOOKUP(_xlpm.ai_test,$BJ$15:$BJ$62,ROW($BJ$15:$BJ$62),0,1),_xlfn.XLOOKUP(_xlpm.ai_test,$BK$15:$BK$62,ROW($BK$15:$BK$62),0,1))),_xlpm.p,_xlpm.r-MIN(ROW($BI$15:$BI$62))+1,_xlpm.f,INDEX($BL$15:$BL$62,_xlpm.p),_xlpm.u,INDEX($BM$15:$BM$62,_xlpm.p),_xlpm.s,INDEX($BO$15:$BO$62,_xlpm.p),_xlpm.q,N(AT134)/_xlpm.f,IF(_xlpm.q&gt;=_xlpm.s,ROUND(_xlpm.q,1)&amp;" "&amp;_xlpm.ai_test&amp;" = "&amp;ROUND(_xlpm.q*_xlpm.f,1)&amp;" "&amp;_xlpm.u,ROUND(_xlpm.q,1)&amp;" "&amp;_xlpm.ai_test)),""),""))))</f>
        <v>0</v>
      </c>
      <c r="AW134" s="1047"/>
      <c r="AX134" s="1034">
        <f t="shared" si="65"/>
        <v>0</v>
      </c>
      <c r="AY134" s="1035" t="str">
        <f t="shared" si="66"/>
        <v/>
      </c>
      <c r="AZ134" s="1036">
        <f t="shared" si="71"/>
        <v>0</v>
      </c>
      <c r="BA134" s="1037" t="str">
        <f t="shared" si="67"/>
        <v/>
      </c>
      <c r="BB134" s="1038"/>
      <c r="BC134" s="1039">
        <f t="shared" si="72"/>
        <v>0</v>
      </c>
      <c r="BD134" s="1040" t="str">
        <f t="shared" si="68"/>
        <v/>
      </c>
      <c r="BE134" s="227" t="s">
        <v>22</v>
      </c>
      <c r="BF134" s="1019">
        <f t="shared" si="69"/>
        <v>0</v>
      </c>
      <c r="BG134" s="1020">
        <f t="shared" si="70"/>
        <v>0</v>
      </c>
      <c r="BH134"/>
      <c r="BQ134"/>
      <c r="BR134"/>
      <c r="BS134"/>
      <c r="BT134"/>
      <c r="BU134"/>
      <c r="BV134"/>
      <c r="BW134" s="959" t="str">
        <f t="shared" si="77"/>
        <v>►</v>
      </c>
      <c r="CC134" s="957"/>
      <c r="DB134" s="3">
        <v>1</v>
      </c>
    </row>
    <row r="135" spans="1:106" s="709" customFormat="1" ht="21" customHeight="1">
      <c r="A135" s="936" t="s">
        <v>22</v>
      </c>
      <c r="B135" s="952" t="str">
        <f t="shared" si="76"/>
        <v>A</v>
      </c>
      <c r="C135" s="993" cm="1">
        <f t="array" ref="C135">SUMPRODUCT(LEN(D135:J135))</f>
        <v>0</v>
      </c>
      <c r="D135" s="167"/>
      <c r="E135" s="172"/>
      <c r="F135" s="172"/>
      <c r="G135" s="172"/>
      <c r="H135" s="172"/>
      <c r="I135" s="172"/>
      <c r="J135" s="173"/>
      <c r="K135" s="442" t="s">
        <v>22</v>
      </c>
      <c r="L135" s="104" t="str">
        <f t="shared" si="75"/>
        <v>A</v>
      </c>
      <c r="M135" s="32" t="str">
        <f>M119</f>
        <v>P PRESSÉ DE BOUDIN NOIR | | Auteur &gt; Guy KRENZE - Eric GODDYN - Arnaud NICOLAS - CEPROC 2002</v>
      </c>
      <c r="N135" s="33">
        <f>N119</f>
        <v>20</v>
      </c>
      <c r="O135" s="32" t="str">
        <f>O119</f>
        <v>pressés de boudin</v>
      </c>
      <c r="P135" s="34" t="str">
        <f>P119</f>
        <v>Recette mère ► le Boudin en 4 déclinaisons</v>
      </c>
      <c r="Q135" s="92"/>
      <c r="R135" s="108"/>
      <c r="S135" s="94" t="str">
        <f t="shared" si="74"/>
        <v/>
      </c>
      <c r="T135" s="95"/>
      <c r="U135" s="126"/>
      <c r="V135" s="127">
        <v>1</v>
      </c>
      <c r="W135" s="920" t="s">
        <v>12856</v>
      </c>
      <c r="X135" s="1495">
        <f>IF(OR(ISBLANK(Q117),X117=0),0,Q135*V118)</f>
        <v>0</v>
      </c>
      <c r="Y135" s="101" cm="1">
        <f t="array" ref="Y135">IFERROR(_xlfn.LET(_xlpm.k,UPPER(TRIM(U135)),_xlpm.r,_xlfn.XLOOKUP(_xlpm.k,UPPER(TRIM(Q154:Z154)),Q155:Z155,_xlfn.XLOOKUP(_xlpm.k,UPPER(TRIM(Q156:Z156)),Q157:Z157)),_xlpm.r*T135*V135*V118*IF(ISBLANK(Q135),1,Q135)),0)</f>
        <v>0</v>
      </c>
      <c r="Z135" s="1476" t="str">
        <f>_xlfn.LET(_xlpm.unite,SUBSTITUTE(TRIM(U135)," (s)",""),_xlpm.val,Y135,_xlpm.estVol,COUNTIF(T154:Z154,_xlpm.unite)+COUNTIF(T156:Z156,_xlpm.unite)&gt;0,_xlpm.estPoids,COUNTIF(Q154:S154,_xlpm.unite)+COUNTIF(Q156:S156,_xlpm.unite)&gt;0,IF(_xlpm.estVol,IF(ROUND(_xlpm.val,3)&gt;=1,ROUND(_xlpm.val,3)&amp;" L",MAX(1,ROUND(_xlpm.val*100,0))&amp;" cl"),IF(_xlpm.estPoids,IF(ROUND(_xlpm.val,3)&gt;=1,ROUND(_xlpm.val,3)&amp;" Kg",MAX(1,ROUND(_xlpm.val*1000,0))&amp;" g"),"")))</f>
        <v/>
      </c>
      <c r="AA135" s="5211"/>
      <c r="AB135" s="1178"/>
      <c r="AC135" s="1179"/>
      <c r="AD135" s="227" t="s">
        <v>22</v>
      </c>
      <c r="AE135" s="1027" t="str">
        <f t="shared" si="52"/>
        <v>►</v>
      </c>
      <c r="AF135" s="1028" t="str">
        <f t="shared" si="53"/>
        <v/>
      </c>
      <c r="AG135" s="1029" t="str">
        <f t="shared" si="54"/>
        <v/>
      </c>
      <c r="AH135" s="1028" t="str">
        <f t="shared" si="55"/>
        <v/>
      </c>
      <c r="AI135" s="1029" t="str">
        <f t="shared" si="56"/>
        <v/>
      </c>
      <c r="AJ135" s="1029">
        <f t="shared" si="57"/>
        <v>0</v>
      </c>
      <c r="AK135" s="1043" t="str" cm="1">
        <f t="array" ref="AK135">IF(AE135&lt;&gt;"A","",IFERROR((IFERROR(_xlfn.XLOOKUP(TRIM(SUBSTITUTE(U135,CHAR(160)," ")),$BI$15:$BI$62,$BL$15:$BL$62),IFERROR(_xlfn.XLOOKUP(TRIM(SUBSTITUTE(U135,CHAR(160)," ")),$BJ$15:$BJ$62,$BL$15:$BL$62),_xlfn.XLOOKUP(TRIM(SUBSTITUTE(U135,CHAR(160)," ")),$BK$15:$BK$62,$BL$15:$BL$62))))*T135*IF(ISBLANK(Q135),1,Q135)+IFERROR(_xlfn.XLOOKUP("RECHERCHEX",TRIM(L135:AC135),L135:AC135),0),0))</f>
        <v/>
      </c>
      <c r="AL135" s="1030">
        <f t="shared" si="58"/>
        <v>0</v>
      </c>
      <c r="AM135" s="5254" t="str">
        <f t="shared" si="73"/>
        <v/>
      </c>
      <c r="AN135" s="1031">
        <f t="shared" si="59"/>
        <v>0</v>
      </c>
      <c r="AO135" s="1031">
        <f t="shared" si="60"/>
        <v>0</v>
      </c>
      <c r="AP135" s="1044">
        <f t="shared" si="61"/>
        <v>0</v>
      </c>
      <c r="AQ135" s="5257" t="str">
        <f t="shared" si="62"/>
        <v/>
      </c>
      <c r="AR135" s="1056"/>
      <c r="AS135" s="1056"/>
      <c r="AT135" s="1045">
        <f t="shared" si="63"/>
        <v>0</v>
      </c>
      <c r="AU135" s="1046">
        <f t="shared" si="64"/>
        <v>0</v>
      </c>
      <c r="AV135" s="1059" cm="1">
        <f t="array" ref="AV135">IF(AJ135&lt;&gt;1,0,IF(OR(AT135="",N(AT135)&lt;=0.000000001),"",IF(OR(AN135="",N(AN135)&lt;=0.000000001),0,IF(ISNUMBER(AT135),IFERROR(_xlfn.LET(_xlpm.ai_test,TRIM(AI135),_xlpm.r,IFERROR(_xlfn.XLOOKUP(_xlpm.ai_test,$BI$15:$BI$62,ROW($BI$15:$BI$62),0,1),IFERROR(_xlfn.XLOOKUP(_xlpm.ai_test,$BJ$15:$BJ$62,ROW($BJ$15:$BJ$62),0,1),_xlfn.XLOOKUP(_xlpm.ai_test,$BK$15:$BK$62,ROW($BK$15:$BK$62),0,1))),_xlpm.p,_xlpm.r-MIN(ROW($BI$15:$BI$62))+1,_xlpm.f,INDEX($BL$15:$BL$62,_xlpm.p),_xlpm.u,INDEX($BM$15:$BM$62,_xlpm.p),_xlpm.s,INDEX($BO$15:$BO$62,_xlpm.p),_xlpm.q,N(AT135)/_xlpm.f,IF(_xlpm.q&gt;=_xlpm.s,ROUND(_xlpm.q,1)&amp;" "&amp;_xlpm.ai_test&amp;" = "&amp;ROUND(_xlpm.q*_xlpm.f,1)&amp;" "&amp;_xlpm.u,ROUND(_xlpm.q,1)&amp;" "&amp;_xlpm.ai_test)),""),""))))</f>
        <v>0</v>
      </c>
      <c r="AW135" s="1047"/>
      <c r="AX135" s="1045">
        <f t="shared" si="65"/>
        <v>0</v>
      </c>
      <c r="AY135" s="1046" t="str">
        <f t="shared" si="66"/>
        <v/>
      </c>
      <c r="AZ135" s="1048">
        <f t="shared" si="71"/>
        <v>0</v>
      </c>
      <c r="BA135" s="1049" t="str">
        <f t="shared" si="67"/>
        <v/>
      </c>
      <c r="BB135" s="1038"/>
      <c r="BC135" s="1050">
        <f t="shared" si="72"/>
        <v>0</v>
      </c>
      <c r="BD135" s="1040" t="str">
        <f t="shared" si="68"/>
        <v/>
      </c>
      <c r="BE135" s="227" t="s">
        <v>22</v>
      </c>
      <c r="BF135" s="1019">
        <f t="shared" si="69"/>
        <v>0</v>
      </c>
      <c r="BG135" s="1020">
        <f t="shared" si="70"/>
        <v>0</v>
      </c>
      <c r="BH135"/>
      <c r="BQ135"/>
      <c r="BR135"/>
      <c r="BS135"/>
      <c r="BT135"/>
      <c r="BU135"/>
      <c r="BV135"/>
      <c r="BW135" s="959" t="str">
        <f t="shared" si="77"/>
        <v>►</v>
      </c>
      <c r="CC135" s="957"/>
      <c r="DB135" s="3">
        <v>1</v>
      </c>
    </row>
    <row r="136" spans="1:106" s="709" customFormat="1" ht="21" customHeight="1">
      <c r="A136" s="936" t="s">
        <v>22</v>
      </c>
      <c r="B136" s="952" t="str">
        <f t="shared" si="76"/>
        <v>A</v>
      </c>
      <c r="C136" s="993" cm="1">
        <f t="array" ref="C136">SUMPRODUCT(LEN(D136:J136))</f>
        <v>0</v>
      </c>
      <c r="D136" s="167"/>
      <c r="E136" s="172"/>
      <c r="F136" s="172"/>
      <c r="G136" s="172"/>
      <c r="H136" s="172"/>
      <c r="I136" s="172"/>
      <c r="J136" s="173"/>
      <c r="K136" s="442" t="s">
        <v>22</v>
      </c>
      <c r="L136" s="104" t="str">
        <f t="shared" si="75"/>
        <v>A</v>
      </c>
      <c r="M136" s="32" t="str">
        <f>M119</f>
        <v>P PRESSÉ DE BOUDIN NOIR | | Auteur &gt; Guy KRENZE - Eric GODDYN - Arnaud NICOLAS - CEPROC 2002</v>
      </c>
      <c r="N136" s="33">
        <f>N119</f>
        <v>20</v>
      </c>
      <c r="O136" s="32" t="str">
        <f>O119</f>
        <v>pressés de boudin</v>
      </c>
      <c r="P136" s="34" t="str">
        <f>P119</f>
        <v>Recette mère ► le Boudin en 4 déclinaisons</v>
      </c>
      <c r="Q136" s="92"/>
      <c r="R136" s="108"/>
      <c r="S136" s="94" t="str">
        <f t="shared" si="74"/>
        <v/>
      </c>
      <c r="T136" s="95">
        <v>300</v>
      </c>
      <c r="U136" s="105" t="s">
        <v>99</v>
      </c>
      <c r="V136" s="127">
        <v>1</v>
      </c>
      <c r="W136" s="920" t="s">
        <v>12848</v>
      </c>
      <c r="X136" s="1495">
        <f>IF(OR(ISBLANK(Q117),X117=0),0,Q136*V118)</f>
        <v>0</v>
      </c>
      <c r="Y136" s="101" cm="1">
        <f t="array" ref="Y136">IFERROR(_xlfn.LET(_xlpm.k,UPPER(TRIM(U136)),_xlpm.r,_xlfn.XLOOKUP(_xlpm.k,UPPER(TRIM(Q154:Z154)),Q155:Z155,_xlfn.XLOOKUP(_xlpm.k,UPPER(TRIM(Q156:Z156)),Q157:Z157)),_xlpm.r*T136*V136*V118*IF(ISBLANK(Q136),1,Q136)),0)</f>
        <v>0.3</v>
      </c>
      <c r="Z136" s="1475" t="str">
        <f>_xlfn.LET(_xlpm.unite,SUBSTITUTE(TRIM(U136)," (s)",""),_xlpm.val,Y136,_xlpm.estVol,COUNTIF(T154:Z154,_xlpm.unite)+COUNTIF(T156:Z156,_xlpm.unite)&gt;0,_xlpm.estPoids,COUNTIF(Q154:S154,_xlpm.unite)+COUNTIF(Q156:S156,_xlpm.unite)&gt;0,IF(_xlpm.estVol,IF(ROUND(_xlpm.val,3)&gt;=1,ROUND(_xlpm.val,3)&amp;" L",MAX(1,ROUND(_xlpm.val*100,0))&amp;" cl"),IF(_xlpm.estPoids,IF(ROUND(_xlpm.val,3)&gt;=1,ROUND(_xlpm.val,3)&amp;" Kg",MAX(1,ROUND(_xlpm.val*1000,0))&amp;" g"),"")))</f>
        <v>300 g</v>
      </c>
      <c r="AA136" s="5211"/>
      <c r="AB136" s="1178"/>
      <c r="AC136" s="1179"/>
      <c r="AD136" s="227" t="s">
        <v>22</v>
      </c>
      <c r="AE136" s="1027" t="str">
        <f t="shared" si="52"/>
        <v>A</v>
      </c>
      <c r="AF136" s="1028" t="str">
        <f t="shared" si="53"/>
        <v>P PRESSÉ DE BOUDIN NOIR | | Auteur &gt; Guy KRENZE - Eric GODDYN - Arnaud NICOLAS - CEPROC 2002</v>
      </c>
      <c r="AG136" s="1029">
        <f t="shared" si="54"/>
        <v>20</v>
      </c>
      <c r="AH136" s="1028" t="str">
        <f t="shared" si="55"/>
        <v>pressés de boudin</v>
      </c>
      <c r="AI136" s="1029" t="str">
        <f t="shared" si="56"/>
        <v>g</v>
      </c>
      <c r="AJ136" s="1029">
        <f t="shared" si="57"/>
        <v>1</v>
      </c>
      <c r="AK136" s="1043" cm="1">
        <f t="array" ref="AK136">IF(AE136&lt;&gt;"A","",IFERROR((IFERROR(_xlfn.XLOOKUP(TRIM(SUBSTITUTE(U136,CHAR(160)," ")),$BI$15:$BI$62,$BL$15:$BL$62),IFERROR(_xlfn.XLOOKUP(TRIM(SUBSTITUTE(U136,CHAR(160)," ")),$BJ$15:$BJ$62,$BL$15:$BL$62),_xlfn.XLOOKUP(TRIM(SUBSTITUTE(U136,CHAR(160)," ")),$BK$15:$BK$62,$BL$15:$BL$62))))*T136*IF(ISBLANK(Q136),1,Q136)+IFERROR(_xlfn.XLOOKUP("RECHERCHEX",TRIM(L136:AC136),L136:AC136),0),0))</f>
        <v>0.3</v>
      </c>
      <c r="AL136" s="1030" t="str">
        <f t="shared" si="58"/>
        <v>Kg</v>
      </c>
      <c r="AM136" s="5254" t="str">
        <f t="shared" si="73"/>
        <v>❾ Author reference &gt;</v>
      </c>
      <c r="AN136" s="1031">
        <f t="shared" si="59"/>
        <v>20</v>
      </c>
      <c r="AO136" s="1031" t="str">
        <f t="shared" si="60"/>
        <v>pressés de boudin</v>
      </c>
      <c r="AP136" s="1032">
        <f t="shared" si="61"/>
        <v>40</v>
      </c>
      <c r="AQ136" s="5255" t="str">
        <f t="shared" si="62"/>
        <v>parts-ou.or.o ❾ + or - &gt;</v>
      </c>
      <c r="AR136" s="1056"/>
      <c r="AS136" s="1056"/>
      <c r="AT136" s="1034">
        <f t="shared" si="63"/>
        <v>0.6</v>
      </c>
      <c r="AU136" s="1035" t="str">
        <f t="shared" si="64"/>
        <v>Kg</v>
      </c>
      <c r="AV136" s="1057" t="str" cm="1">
        <f t="array" ref="AV136">IF(AJ136&lt;&gt;1,0,IF(OR(AT136="",N(AT136)&lt;=0.000000001),"",IF(OR(AN136="",N(AN136)&lt;=0.000000001),0,IF(ISNUMBER(AT136),IFERROR(_xlfn.LET(_xlpm.ai_test,TRIM(AI136),_xlpm.r,IFERROR(_xlfn.XLOOKUP(_xlpm.ai_test,$BI$15:$BI$62,ROW($BI$15:$BI$62),0,1),IFERROR(_xlfn.XLOOKUP(_xlpm.ai_test,$BJ$15:$BJ$62,ROW($BJ$15:$BJ$62),0,1),_xlfn.XLOOKUP(_xlpm.ai_test,$BK$15:$BK$62,ROW($BK$15:$BK$62),0,1))),_xlpm.p,_xlpm.r-MIN(ROW($BI$15:$BI$62))+1,_xlpm.f,INDEX($BL$15:$BL$62,_xlpm.p),_xlpm.u,INDEX($BM$15:$BM$62,_xlpm.p),_xlpm.s,INDEX($BO$15:$BO$62,_xlpm.p),_xlpm.q,N(AT136)/_xlpm.f,IF(_xlpm.q&gt;=_xlpm.s,ROUND(_xlpm.q,1)&amp;" "&amp;_xlpm.ai_test&amp;" = "&amp;ROUND(_xlpm.q*_xlpm.f,1)&amp;" "&amp;_xlpm.u,ROUND(_xlpm.q,1)&amp;" "&amp;_xlpm.ai_test)),""),""))))</f>
        <v>600 g</v>
      </c>
      <c r="AW136" s="1047"/>
      <c r="AX136" s="1034">
        <f t="shared" si="65"/>
        <v>0.6</v>
      </c>
      <c r="AY136" s="1035" t="str">
        <f t="shared" si="66"/>
        <v>Kg</v>
      </c>
      <c r="AZ136" s="1036">
        <f t="shared" si="71"/>
        <v>0</v>
      </c>
      <c r="BA136" s="1037" t="str">
        <f t="shared" si="67"/>
        <v/>
      </c>
      <c r="BB136" s="1038"/>
      <c r="BC136" s="1039">
        <f t="shared" si="72"/>
        <v>0</v>
      </c>
      <c r="BD136" s="1040" t="str">
        <f t="shared" si="68"/>
        <v>graisse de foie gras</v>
      </c>
      <c r="BE136" s="227" t="s">
        <v>22</v>
      </c>
      <c r="BF136" s="1019">
        <f t="shared" si="69"/>
        <v>0</v>
      </c>
      <c r="BG136" s="1020">
        <f t="shared" si="70"/>
        <v>2</v>
      </c>
      <c r="BH136"/>
      <c r="BQ136"/>
      <c r="BR136"/>
      <c r="BS136"/>
      <c r="BT136"/>
      <c r="BU136"/>
      <c r="BV136"/>
      <c r="BW136" s="959" t="str">
        <f t="shared" si="77"/>
        <v>A</v>
      </c>
      <c r="CC136" s="957"/>
      <c r="DB136" s="3">
        <v>1</v>
      </c>
    </row>
    <row r="137" spans="1:106" s="709" customFormat="1" ht="21" customHeight="1">
      <c r="A137" s="936" t="s">
        <v>22</v>
      </c>
      <c r="B137" s="952" t="str">
        <f t="shared" si="76"/>
        <v>A</v>
      </c>
      <c r="C137" s="993" cm="1">
        <f t="array" ref="C137">SUMPRODUCT(LEN(D137:J137))</f>
        <v>0</v>
      </c>
      <c r="D137" s="167"/>
      <c r="E137" s="172"/>
      <c r="F137" s="172"/>
      <c r="G137" s="172"/>
      <c r="H137" s="172"/>
      <c r="I137" s="172"/>
      <c r="J137" s="173"/>
      <c r="K137" s="442" t="s">
        <v>22</v>
      </c>
      <c r="L137" s="104" t="str">
        <f t="shared" si="75"/>
        <v>A</v>
      </c>
      <c r="M137" s="32" t="str">
        <f>M119</f>
        <v>P PRESSÉ DE BOUDIN NOIR | | Auteur &gt; Guy KRENZE - Eric GODDYN - Arnaud NICOLAS - CEPROC 2002</v>
      </c>
      <c r="N137" s="33">
        <f>N119</f>
        <v>20</v>
      </c>
      <c r="O137" s="32" t="str">
        <f>O119</f>
        <v>pressés de boudin</v>
      </c>
      <c r="P137" s="34" t="str">
        <f>P119</f>
        <v>Recette mère ► le Boudin en 4 déclinaisons</v>
      </c>
      <c r="Q137" s="92"/>
      <c r="R137" s="108"/>
      <c r="S137" s="94" t="str">
        <f t="shared" si="74"/>
        <v/>
      </c>
      <c r="T137" s="95">
        <v>300</v>
      </c>
      <c r="U137" s="105" t="s">
        <v>99</v>
      </c>
      <c r="V137" s="127">
        <v>1</v>
      </c>
      <c r="W137" s="920" t="s">
        <v>12849</v>
      </c>
      <c r="X137" s="1495">
        <f>IF(OR(ISBLANK(Q117),X117=0),0,Q137*V118)</f>
        <v>0</v>
      </c>
      <c r="Y137" s="101" cm="1">
        <f t="array" ref="Y137">IFERROR(_xlfn.LET(_xlpm.k,UPPER(TRIM(U137)),_xlpm.r,_xlfn.XLOOKUP(_xlpm.k,UPPER(TRIM(Q154:Z154)),Q155:Z155,_xlfn.XLOOKUP(_xlpm.k,UPPER(TRIM(Q156:Z156)),Q157:Z157)),_xlpm.r*T137*V137*V118*IF(ISBLANK(Q137),1,Q137)),0)</f>
        <v>0.3</v>
      </c>
      <c r="Z137" s="1476" t="str">
        <f>_xlfn.LET(_xlpm.unite,SUBSTITUTE(TRIM(U137)," (s)",""),_xlpm.val,Y137,_xlpm.estVol,COUNTIF(T154:Z154,_xlpm.unite)+COUNTIF(T156:Z156,_xlpm.unite)&gt;0,_xlpm.estPoids,COUNTIF(Q154:S154,_xlpm.unite)+COUNTIF(Q156:S156,_xlpm.unite)&gt;0,IF(_xlpm.estVol,IF(ROUND(_xlpm.val,3)&gt;=1,ROUND(_xlpm.val,3)&amp;" L",MAX(1,ROUND(_xlpm.val*100,0))&amp;" cl"),IF(_xlpm.estPoids,IF(ROUND(_xlpm.val,3)&gt;=1,ROUND(_xlpm.val,3)&amp;" Kg",MAX(1,ROUND(_xlpm.val*1000,0))&amp;" g"),"")))</f>
        <v>300 g</v>
      </c>
      <c r="AA137" s="5211"/>
      <c r="AB137" s="1178"/>
      <c r="AC137" s="1179"/>
      <c r="AD137" s="227" t="s">
        <v>22</v>
      </c>
      <c r="AE137" s="1027" t="str">
        <f t="shared" si="52"/>
        <v>A</v>
      </c>
      <c r="AF137" s="1028" t="str">
        <f t="shared" si="53"/>
        <v>P PRESSÉ DE BOUDIN NOIR | | Auteur &gt; Guy KRENZE - Eric GODDYN - Arnaud NICOLAS - CEPROC 2002</v>
      </c>
      <c r="AG137" s="1029">
        <f t="shared" si="54"/>
        <v>20</v>
      </c>
      <c r="AH137" s="1028" t="str">
        <f t="shared" si="55"/>
        <v>pressés de boudin</v>
      </c>
      <c r="AI137" s="1029" t="str">
        <f t="shared" si="56"/>
        <v>g</v>
      </c>
      <c r="AJ137" s="1029">
        <f t="shared" si="57"/>
        <v>1</v>
      </c>
      <c r="AK137" s="1043" cm="1">
        <f t="array" ref="AK137">IF(AE137&lt;&gt;"A","",IFERROR((IFERROR(_xlfn.XLOOKUP(TRIM(SUBSTITUTE(U137,CHAR(160)," ")),$BI$15:$BI$62,$BL$15:$BL$62),IFERROR(_xlfn.XLOOKUP(TRIM(SUBSTITUTE(U137,CHAR(160)," ")),$BJ$15:$BJ$62,$BL$15:$BL$62),_xlfn.XLOOKUP(TRIM(SUBSTITUTE(U137,CHAR(160)," ")),$BK$15:$BK$62,$BL$15:$BL$62))))*T137*IF(ISBLANK(Q137),1,Q137)+IFERROR(_xlfn.XLOOKUP("RECHERCHEX",TRIM(L137:AC137),L137:AC137),0),0))</f>
        <v>0.3</v>
      </c>
      <c r="AL137" s="1030" t="str">
        <f t="shared" si="58"/>
        <v>Kg</v>
      </c>
      <c r="AM137" s="5254" t="str">
        <f t="shared" si="73"/>
        <v>❾ Author reference &gt;</v>
      </c>
      <c r="AN137" s="1031">
        <f t="shared" si="59"/>
        <v>20</v>
      </c>
      <c r="AO137" s="1031" t="str">
        <f t="shared" si="60"/>
        <v>pressés de boudin</v>
      </c>
      <c r="AP137" s="1044">
        <f t="shared" si="61"/>
        <v>40</v>
      </c>
      <c r="AQ137" s="5257" t="str">
        <f t="shared" si="62"/>
        <v>parts-ou.or.o ❾ + or - &gt;</v>
      </c>
      <c r="AR137" s="1056"/>
      <c r="AS137" s="1056"/>
      <c r="AT137" s="1045">
        <f t="shared" si="63"/>
        <v>0.6</v>
      </c>
      <c r="AU137" s="1046" t="str">
        <f t="shared" si="64"/>
        <v>Kg</v>
      </c>
      <c r="AV137" s="1059" t="str" cm="1">
        <f t="array" ref="AV137">IF(AJ137&lt;&gt;1,0,IF(OR(AT137="",N(AT137)&lt;=0.000000001),"",IF(OR(AN137="",N(AN137)&lt;=0.000000001),0,IF(ISNUMBER(AT137),IFERROR(_xlfn.LET(_xlpm.ai_test,TRIM(AI137),_xlpm.r,IFERROR(_xlfn.XLOOKUP(_xlpm.ai_test,$BI$15:$BI$62,ROW($BI$15:$BI$62),0,1),IFERROR(_xlfn.XLOOKUP(_xlpm.ai_test,$BJ$15:$BJ$62,ROW($BJ$15:$BJ$62),0,1),_xlfn.XLOOKUP(_xlpm.ai_test,$BK$15:$BK$62,ROW($BK$15:$BK$62),0,1))),_xlpm.p,_xlpm.r-MIN(ROW($BI$15:$BI$62))+1,_xlpm.f,INDEX($BL$15:$BL$62,_xlpm.p),_xlpm.u,INDEX($BM$15:$BM$62,_xlpm.p),_xlpm.s,INDEX($BO$15:$BO$62,_xlpm.p),_xlpm.q,N(AT137)/_xlpm.f,IF(_xlpm.q&gt;=_xlpm.s,ROUND(_xlpm.q,1)&amp;" "&amp;_xlpm.ai_test&amp;" = "&amp;ROUND(_xlpm.q*_xlpm.f,1)&amp;" "&amp;_xlpm.u,ROUND(_xlpm.q,1)&amp;" "&amp;_xlpm.ai_test)),""),""))))</f>
        <v>600 g</v>
      </c>
      <c r="AW137" s="1047"/>
      <c r="AX137" s="1045">
        <f t="shared" si="65"/>
        <v>0.6</v>
      </c>
      <c r="AY137" s="1046" t="str">
        <f t="shared" si="66"/>
        <v>Kg</v>
      </c>
      <c r="AZ137" s="1048">
        <f t="shared" si="71"/>
        <v>0</v>
      </c>
      <c r="BA137" s="1049" t="str">
        <f t="shared" si="67"/>
        <v/>
      </c>
      <c r="BB137" s="1038"/>
      <c r="BC137" s="1050">
        <f t="shared" si="72"/>
        <v>0</v>
      </c>
      <c r="BD137" s="1040" t="str">
        <f t="shared" si="68"/>
        <v>echalotes ciselées fines</v>
      </c>
      <c r="BE137" s="227" t="s">
        <v>22</v>
      </c>
      <c r="BF137" s="1019">
        <f t="shared" si="69"/>
        <v>0</v>
      </c>
      <c r="BG137" s="1020">
        <f t="shared" si="70"/>
        <v>2</v>
      </c>
      <c r="BH137"/>
      <c r="BQ137"/>
      <c r="BR137"/>
      <c r="BS137"/>
      <c r="BT137"/>
      <c r="BU137"/>
      <c r="BV137"/>
      <c r="BW137" s="959" t="str">
        <f t="shared" si="77"/>
        <v>A</v>
      </c>
      <c r="CC137" s="957"/>
      <c r="DB137" s="3">
        <v>1</v>
      </c>
    </row>
    <row r="138" spans="1:106" s="709" customFormat="1" ht="21" customHeight="1">
      <c r="A138" s="936" t="s">
        <v>22</v>
      </c>
      <c r="B138" s="952" t="str">
        <f t="shared" si="76"/>
        <v>A</v>
      </c>
      <c r="C138" s="993" cm="1">
        <f t="array" ref="C138">SUMPRODUCT(LEN(D138:J138))</f>
        <v>0</v>
      </c>
      <c r="D138" s="167"/>
      <c r="E138" s="172"/>
      <c r="F138" s="172"/>
      <c r="G138" s="172"/>
      <c r="H138" s="172"/>
      <c r="I138" s="172"/>
      <c r="J138" s="173"/>
      <c r="K138" s="442" t="s">
        <v>22</v>
      </c>
      <c r="L138" s="104" t="str">
        <f t="shared" si="75"/>
        <v>A</v>
      </c>
      <c r="M138" s="32" t="str">
        <f>M119</f>
        <v>P PRESSÉ DE BOUDIN NOIR | | Auteur &gt; Guy KRENZE - Eric GODDYN - Arnaud NICOLAS - CEPROC 2002</v>
      </c>
      <c r="N138" s="33">
        <f>N119</f>
        <v>20</v>
      </c>
      <c r="O138" s="32" t="str">
        <f>O119</f>
        <v>pressés de boudin</v>
      </c>
      <c r="P138" s="34" t="str">
        <f>P119</f>
        <v>Recette mère ► le Boudin en 4 déclinaisons</v>
      </c>
      <c r="Q138" s="92"/>
      <c r="R138" s="108"/>
      <c r="S138" s="94" t="str">
        <f t="shared" si="74"/>
        <v/>
      </c>
      <c r="T138" s="95">
        <v>45</v>
      </c>
      <c r="U138" s="105" t="s">
        <v>99</v>
      </c>
      <c r="V138" s="127">
        <v>1</v>
      </c>
      <c r="W138" s="920" t="s">
        <v>12850</v>
      </c>
      <c r="X138" s="1495">
        <f>IF(OR(ISBLANK(Q117),X117=0),0,Q138*V118)</f>
        <v>0</v>
      </c>
      <c r="Y138" s="101" cm="1">
        <f t="array" ref="Y138">IFERROR(_xlfn.LET(_xlpm.k,UPPER(TRIM(U138)),_xlpm.r,_xlfn.XLOOKUP(_xlpm.k,UPPER(TRIM(Q154:Z154)),Q155:Z155,_xlfn.XLOOKUP(_xlpm.k,UPPER(TRIM(Q156:Z156)),Q157:Z157)),_xlpm.r*T138*V138*V118*IF(ISBLANK(Q138),1,Q138)),0)</f>
        <v>4.4999999999999998E-2</v>
      </c>
      <c r="Z138" s="1475" t="str">
        <f>_xlfn.LET(_xlpm.unite,SUBSTITUTE(TRIM(U138)," (s)",""),_xlpm.val,Y138,_xlpm.estVol,COUNTIF(T154:Z154,_xlpm.unite)+COUNTIF(T156:Z156,_xlpm.unite)&gt;0,_xlpm.estPoids,COUNTIF(Q154:S154,_xlpm.unite)+COUNTIF(Q156:S156,_xlpm.unite)&gt;0,IF(_xlpm.estVol,IF(ROUND(_xlpm.val,3)&gt;=1,ROUND(_xlpm.val,3)&amp;" L",MAX(1,ROUND(_xlpm.val*100,0))&amp;" cl"),IF(_xlpm.estPoids,IF(ROUND(_xlpm.val,3)&gt;=1,ROUND(_xlpm.val,3)&amp;" Kg",MAX(1,ROUND(_xlpm.val*1000,0))&amp;" g"),"")))</f>
        <v>45 g</v>
      </c>
      <c r="AA138" s="5211"/>
      <c r="AB138" s="1178"/>
      <c r="AC138" s="1179"/>
      <c r="AD138" s="227" t="s">
        <v>22</v>
      </c>
      <c r="AE138" s="1027" t="str">
        <f t="shared" si="52"/>
        <v>A</v>
      </c>
      <c r="AF138" s="1028" t="str">
        <f t="shared" si="53"/>
        <v>P PRESSÉ DE BOUDIN NOIR | | Auteur &gt; Guy KRENZE - Eric GODDYN - Arnaud NICOLAS - CEPROC 2002</v>
      </c>
      <c r="AG138" s="1029">
        <f t="shared" si="54"/>
        <v>20</v>
      </c>
      <c r="AH138" s="1028" t="str">
        <f t="shared" si="55"/>
        <v>pressés de boudin</v>
      </c>
      <c r="AI138" s="1029" t="str">
        <f t="shared" si="56"/>
        <v>g</v>
      </c>
      <c r="AJ138" s="1029">
        <f t="shared" si="57"/>
        <v>1</v>
      </c>
      <c r="AK138" s="1043" cm="1">
        <f t="array" ref="AK138">IF(AE138&lt;&gt;"A","",IFERROR((IFERROR(_xlfn.XLOOKUP(TRIM(SUBSTITUTE(U138,CHAR(160)," ")),$BI$15:$BI$62,$BL$15:$BL$62),IFERROR(_xlfn.XLOOKUP(TRIM(SUBSTITUTE(U138,CHAR(160)," ")),$BJ$15:$BJ$62,$BL$15:$BL$62),_xlfn.XLOOKUP(TRIM(SUBSTITUTE(U138,CHAR(160)," ")),$BK$15:$BK$62,$BL$15:$BL$62))))*T138*IF(ISBLANK(Q138),1,Q138)+IFERROR(_xlfn.XLOOKUP("RECHERCHEX",TRIM(L138:AC138),L138:AC138),0),0))</f>
        <v>4.4999999999999998E-2</v>
      </c>
      <c r="AL138" s="1030" t="str">
        <f t="shared" si="58"/>
        <v>Kg</v>
      </c>
      <c r="AM138" s="5254" t="str">
        <f t="shared" si="73"/>
        <v>❾ Author reference &gt;</v>
      </c>
      <c r="AN138" s="1031">
        <f t="shared" si="59"/>
        <v>20</v>
      </c>
      <c r="AO138" s="1031" t="str">
        <f t="shared" si="60"/>
        <v>pressés de boudin</v>
      </c>
      <c r="AP138" s="1032">
        <f t="shared" si="61"/>
        <v>40</v>
      </c>
      <c r="AQ138" s="5255" t="str">
        <f t="shared" si="62"/>
        <v>parts-ou.or.o ❾ + or - &gt;</v>
      </c>
      <c r="AR138" s="1056"/>
      <c r="AS138" s="1056"/>
      <c r="AT138" s="1034">
        <f t="shared" si="63"/>
        <v>0.09</v>
      </c>
      <c r="AU138" s="1035" t="str">
        <f t="shared" si="64"/>
        <v>Kg</v>
      </c>
      <c r="AV138" s="1057" t="str" cm="1">
        <f t="array" ref="AV138">IF(AJ138&lt;&gt;1,0,IF(OR(AT138="",N(AT138)&lt;=0.000000001),"",IF(OR(AN138="",N(AN138)&lt;=0.000000001),0,IF(ISNUMBER(AT138),IFERROR(_xlfn.LET(_xlpm.ai_test,TRIM(AI138),_xlpm.r,IFERROR(_xlfn.XLOOKUP(_xlpm.ai_test,$BI$15:$BI$62,ROW($BI$15:$BI$62),0,1),IFERROR(_xlfn.XLOOKUP(_xlpm.ai_test,$BJ$15:$BJ$62,ROW($BJ$15:$BJ$62),0,1),_xlfn.XLOOKUP(_xlpm.ai_test,$BK$15:$BK$62,ROW($BK$15:$BK$62),0,1))),_xlpm.p,_xlpm.r-MIN(ROW($BI$15:$BI$62))+1,_xlpm.f,INDEX($BL$15:$BL$62,_xlpm.p),_xlpm.u,INDEX($BM$15:$BM$62,_xlpm.p),_xlpm.s,INDEX($BO$15:$BO$62,_xlpm.p),_xlpm.q,N(AT138)/_xlpm.f,IF(_xlpm.q&gt;=_xlpm.s,ROUND(_xlpm.q,1)&amp;" "&amp;_xlpm.ai_test&amp;" = "&amp;ROUND(_xlpm.q*_xlpm.f,1)&amp;" "&amp;_xlpm.u,ROUND(_xlpm.q,1)&amp;" "&amp;_xlpm.ai_test)),""),""))))</f>
        <v>90 g</v>
      </c>
      <c r="AW138" s="1047"/>
      <c r="AX138" s="1034">
        <f t="shared" si="65"/>
        <v>0.09</v>
      </c>
      <c r="AY138" s="1035" t="str">
        <f t="shared" si="66"/>
        <v>Kg</v>
      </c>
      <c r="AZ138" s="1036">
        <f t="shared" si="71"/>
        <v>0</v>
      </c>
      <c r="BA138" s="1037" t="str">
        <f t="shared" si="67"/>
        <v/>
      </c>
      <c r="BB138" s="1038"/>
      <c r="BC138" s="1039">
        <f t="shared" si="72"/>
        <v>0</v>
      </c>
      <c r="BD138" s="1040" t="str">
        <f t="shared" si="68"/>
        <v>cèpes frais (cubes)</v>
      </c>
      <c r="BE138" s="227" t="s">
        <v>22</v>
      </c>
      <c r="BF138" s="1019">
        <f t="shared" si="69"/>
        <v>0</v>
      </c>
      <c r="BG138" s="1020">
        <f t="shared" si="70"/>
        <v>2</v>
      </c>
      <c r="BH138"/>
      <c r="BQ138"/>
      <c r="BR138"/>
      <c r="BS138"/>
      <c r="BT138"/>
      <c r="BU138"/>
      <c r="BV138"/>
      <c r="BW138" s="959" t="str">
        <f t="shared" si="77"/>
        <v>A</v>
      </c>
      <c r="CC138" s="957"/>
      <c r="DB138" s="3">
        <v>1</v>
      </c>
    </row>
    <row r="139" spans="1:106" s="709" customFormat="1" ht="21" customHeight="1">
      <c r="A139" s="936" t="s">
        <v>22</v>
      </c>
      <c r="B139" s="952" t="str">
        <f t="shared" si="76"/>
        <v>A</v>
      </c>
      <c r="C139" s="993" cm="1">
        <f t="array" ref="C139">SUMPRODUCT(LEN(D139:J139))</f>
        <v>0</v>
      </c>
      <c r="D139" s="167"/>
      <c r="E139" s="172"/>
      <c r="F139" s="172"/>
      <c r="G139" s="172"/>
      <c r="H139" s="172"/>
      <c r="I139" s="172"/>
      <c r="J139" s="173"/>
      <c r="K139" s="442" t="s">
        <v>22</v>
      </c>
      <c r="L139" s="104" t="str">
        <f t="shared" si="75"/>
        <v>A</v>
      </c>
      <c r="M139" s="32" t="str">
        <f>M119</f>
        <v>P PRESSÉ DE BOUDIN NOIR | | Auteur &gt; Guy KRENZE - Eric GODDYN - Arnaud NICOLAS - CEPROC 2002</v>
      </c>
      <c r="N139" s="33">
        <f>N119</f>
        <v>20</v>
      </c>
      <c r="O139" s="32" t="str">
        <f>O119</f>
        <v>pressés de boudin</v>
      </c>
      <c r="P139" s="34" t="str">
        <f>P119</f>
        <v>Recette mère ► le Boudin en 4 déclinaisons</v>
      </c>
      <c r="Q139" s="92"/>
      <c r="R139" s="108"/>
      <c r="S139" s="94" t="str">
        <f t="shared" si="74"/>
        <v/>
      </c>
      <c r="T139" s="95">
        <v>50</v>
      </c>
      <c r="U139" s="105" t="s">
        <v>99</v>
      </c>
      <c r="V139" s="127">
        <v>1</v>
      </c>
      <c r="W139" s="920" t="s">
        <v>12831</v>
      </c>
      <c r="X139" s="1495">
        <f>IF(OR(ISBLANK(Q117),X117=0),0,Q139*V118)</f>
        <v>0</v>
      </c>
      <c r="Y139" s="101" cm="1">
        <f t="array" ref="Y139">IFERROR(_xlfn.LET(_xlpm.k,UPPER(TRIM(U139)),_xlpm.r,_xlfn.XLOOKUP(_xlpm.k,UPPER(TRIM(Q154:Z154)),Q155:Z155,_xlfn.XLOOKUP(_xlpm.k,UPPER(TRIM(Q156:Z156)),Q157:Z157)),_xlpm.r*T139*V139*V118*IF(ISBLANK(Q139),1,Q139)),0)</f>
        <v>0.05</v>
      </c>
      <c r="Z139" s="1476" t="str">
        <f>_xlfn.LET(_xlpm.unite,SUBSTITUTE(TRIM(U139)," (s)",""),_xlpm.val,Y139,_xlpm.estVol,COUNTIF(T154:Z154,_xlpm.unite)+COUNTIF(T156:Z156,_xlpm.unite)&gt;0,_xlpm.estPoids,COUNTIF(Q154:S154,_xlpm.unite)+COUNTIF(Q156:S156,_xlpm.unite)&gt;0,IF(_xlpm.estVol,IF(ROUND(_xlpm.val,3)&gt;=1,ROUND(_xlpm.val,3)&amp;" L",MAX(1,ROUND(_xlpm.val*100,0))&amp;" cl"),IF(_xlpm.estPoids,IF(ROUND(_xlpm.val,3)&gt;=1,ROUND(_xlpm.val,3)&amp;" Kg",MAX(1,ROUND(_xlpm.val*1000,0))&amp;" g"),"")))</f>
        <v>50 g</v>
      </c>
      <c r="AA139" s="5211"/>
      <c r="AB139" s="1178"/>
      <c r="AC139" s="1179"/>
      <c r="AD139" s="227" t="s">
        <v>22</v>
      </c>
      <c r="AE139" s="1027" t="str">
        <f t="shared" si="52"/>
        <v>A</v>
      </c>
      <c r="AF139" s="1028" t="str">
        <f t="shared" si="53"/>
        <v>P PRESSÉ DE BOUDIN NOIR | | Auteur &gt; Guy KRENZE - Eric GODDYN - Arnaud NICOLAS - CEPROC 2002</v>
      </c>
      <c r="AG139" s="1029">
        <f t="shared" si="54"/>
        <v>20</v>
      </c>
      <c r="AH139" s="1028" t="str">
        <f t="shared" si="55"/>
        <v>pressés de boudin</v>
      </c>
      <c r="AI139" s="1029" t="str">
        <f t="shared" si="56"/>
        <v>g</v>
      </c>
      <c r="AJ139" s="1029">
        <f t="shared" si="57"/>
        <v>1</v>
      </c>
      <c r="AK139" s="1043" cm="1">
        <f t="array" ref="AK139">IF(AE139&lt;&gt;"A","",IFERROR((IFERROR(_xlfn.XLOOKUP(TRIM(SUBSTITUTE(U139,CHAR(160)," ")),$BI$15:$BI$62,$BL$15:$BL$62),IFERROR(_xlfn.XLOOKUP(TRIM(SUBSTITUTE(U139,CHAR(160)," ")),$BJ$15:$BJ$62,$BL$15:$BL$62),_xlfn.XLOOKUP(TRIM(SUBSTITUTE(U139,CHAR(160)," ")),$BK$15:$BK$62,$BL$15:$BL$62))))*T139*IF(ISBLANK(Q139),1,Q139)+IFERROR(_xlfn.XLOOKUP("RECHERCHEX",TRIM(L139:AC139),L139:AC139),0),0))</f>
        <v>0.05</v>
      </c>
      <c r="AL139" s="1030" t="str">
        <f t="shared" si="58"/>
        <v>Kg</v>
      </c>
      <c r="AM139" s="5254" t="str">
        <f t="shared" si="73"/>
        <v>❾ Author reference &gt;</v>
      </c>
      <c r="AN139" s="1031">
        <f t="shared" si="59"/>
        <v>20</v>
      </c>
      <c r="AO139" s="1031" t="str">
        <f t="shared" si="60"/>
        <v>pressés de boudin</v>
      </c>
      <c r="AP139" s="1044">
        <f t="shared" si="61"/>
        <v>40</v>
      </c>
      <c r="AQ139" s="5257" t="str">
        <f t="shared" si="62"/>
        <v>parts-ou.or.o ❾ + or - &gt;</v>
      </c>
      <c r="AR139" s="1056"/>
      <c r="AS139" s="1056"/>
      <c r="AT139" s="1045">
        <f t="shared" si="63"/>
        <v>0.1</v>
      </c>
      <c r="AU139" s="1046" t="str">
        <f t="shared" si="64"/>
        <v>Kg</v>
      </c>
      <c r="AV139" s="1059" t="str" cm="1">
        <f t="array" ref="AV139">IF(AJ139&lt;&gt;1,0,IF(OR(AT139="",N(AT139)&lt;=0.000000001),"",IF(OR(AN139="",N(AN139)&lt;=0.000000001),0,IF(ISNUMBER(AT139),IFERROR(_xlfn.LET(_xlpm.ai_test,TRIM(AI139),_xlpm.r,IFERROR(_xlfn.XLOOKUP(_xlpm.ai_test,$BI$15:$BI$62,ROW($BI$15:$BI$62),0,1),IFERROR(_xlfn.XLOOKUP(_xlpm.ai_test,$BJ$15:$BJ$62,ROW($BJ$15:$BJ$62),0,1),_xlfn.XLOOKUP(_xlpm.ai_test,$BK$15:$BK$62,ROW($BK$15:$BK$62),0,1))),_xlpm.p,_xlpm.r-MIN(ROW($BI$15:$BI$62))+1,_xlpm.f,INDEX($BL$15:$BL$62,_xlpm.p),_xlpm.u,INDEX($BM$15:$BM$62,_xlpm.p),_xlpm.s,INDEX($BO$15:$BO$62,_xlpm.p),_xlpm.q,N(AT139)/_xlpm.f,IF(_xlpm.q&gt;=_xlpm.s,ROUND(_xlpm.q,1)&amp;" "&amp;_xlpm.ai_test&amp;" = "&amp;ROUND(_xlpm.q*_xlpm.f,1)&amp;" "&amp;_xlpm.u,ROUND(_xlpm.q,1)&amp;" "&amp;_xlpm.ai_test)),""),""))))</f>
        <v>100 g</v>
      </c>
      <c r="AW139" s="1047"/>
      <c r="AX139" s="1045">
        <f t="shared" si="65"/>
        <v>0.1</v>
      </c>
      <c r="AY139" s="1046" t="str">
        <f t="shared" si="66"/>
        <v>Kg</v>
      </c>
      <c r="AZ139" s="1048">
        <f t="shared" si="71"/>
        <v>0</v>
      </c>
      <c r="BA139" s="1049" t="str">
        <f t="shared" si="67"/>
        <v/>
      </c>
      <c r="BB139" s="1038"/>
      <c r="BC139" s="1050">
        <f t="shared" si="72"/>
        <v>0</v>
      </c>
      <c r="BD139" s="1040" t="str">
        <f t="shared" si="68"/>
        <v>porto rouge</v>
      </c>
      <c r="BE139" s="227" t="s">
        <v>22</v>
      </c>
      <c r="BF139" s="1019">
        <f t="shared" si="69"/>
        <v>0</v>
      </c>
      <c r="BG139" s="1020">
        <f t="shared" si="70"/>
        <v>2</v>
      </c>
      <c r="BH139"/>
      <c r="BQ139"/>
      <c r="BR139"/>
      <c r="BS139"/>
      <c r="BT139"/>
      <c r="BU139"/>
      <c r="BV139"/>
      <c r="BW139" s="959" t="str">
        <f t="shared" si="77"/>
        <v>A</v>
      </c>
      <c r="CC139" s="856"/>
      <c r="DB139" s="3">
        <v>1</v>
      </c>
    </row>
    <row r="140" spans="1:106" s="709" customFormat="1" ht="21" customHeight="1">
      <c r="A140" s="936" t="s">
        <v>22</v>
      </c>
      <c r="B140" s="952" t="str">
        <f t="shared" si="76"/>
        <v>A</v>
      </c>
      <c r="C140" s="993" cm="1">
        <f t="array" ref="C140">SUMPRODUCT(LEN(D140:J140))</f>
        <v>0</v>
      </c>
      <c r="D140" s="167"/>
      <c r="E140" s="172"/>
      <c r="F140" s="172"/>
      <c r="G140" s="172"/>
      <c r="H140" s="172"/>
      <c r="I140" s="172"/>
      <c r="J140" s="173"/>
      <c r="K140" s="442" t="s">
        <v>22</v>
      </c>
      <c r="L140" s="104" t="str">
        <f t="shared" si="75"/>
        <v>A</v>
      </c>
      <c r="M140" s="32" t="str">
        <f>M119</f>
        <v>P PRESSÉ DE BOUDIN NOIR | | Auteur &gt; Guy KRENZE - Eric GODDYN - Arnaud NICOLAS - CEPROC 2002</v>
      </c>
      <c r="N140" s="33">
        <f>N119</f>
        <v>20</v>
      </c>
      <c r="O140" s="32" t="str">
        <f>O119</f>
        <v>pressés de boudin</v>
      </c>
      <c r="P140" s="34" t="str">
        <f>P119</f>
        <v>Recette mère ► le Boudin en 4 déclinaisons</v>
      </c>
      <c r="Q140" s="92"/>
      <c r="R140" s="108"/>
      <c r="S140" s="94" t="str">
        <f t="shared" si="74"/>
        <v/>
      </c>
      <c r="T140" s="95">
        <v>7</v>
      </c>
      <c r="U140" s="105" t="s">
        <v>99</v>
      </c>
      <c r="V140" s="127">
        <v>1</v>
      </c>
      <c r="W140" s="920" t="s">
        <v>12851</v>
      </c>
      <c r="X140" s="1495">
        <f>IF(OR(ISBLANK(Q117),X117=0),0,Q140*V118)</f>
        <v>0</v>
      </c>
      <c r="Y140" s="101" cm="1">
        <f t="array" ref="Y140">IFERROR(_xlfn.LET(_xlpm.k,UPPER(TRIM(U140)),_xlpm.r,_xlfn.XLOOKUP(_xlpm.k,UPPER(TRIM(Q154:Z154)),Q155:Z155,_xlfn.XLOOKUP(_xlpm.k,UPPER(TRIM(Q156:Z156)),Q157:Z157)),_xlpm.r*T140*V140*V118*IF(ISBLANK(Q140),1,Q140)),0)</f>
        <v>7.0000000000000001E-3</v>
      </c>
      <c r="Z140" s="1475" t="str">
        <f>_xlfn.LET(_xlpm.unite,SUBSTITUTE(TRIM(U140)," (s)",""),_xlpm.val,Y140,_xlpm.estVol,COUNTIF(T154:Z154,_xlpm.unite)+COUNTIF(T156:Z156,_xlpm.unite)&gt;0,_xlpm.estPoids,COUNTIF(Q154:S154,_xlpm.unite)+COUNTIF(Q156:S156,_xlpm.unite)&gt;0,IF(_xlpm.estVol,IF(ROUND(_xlpm.val,3)&gt;=1,ROUND(_xlpm.val,3)&amp;" L",MAX(1,ROUND(_xlpm.val*100,0))&amp;" cl"),IF(_xlpm.estPoids,IF(ROUND(_xlpm.val,3)&gt;=1,ROUND(_xlpm.val,3)&amp;" Kg",MAX(1,ROUND(_xlpm.val*1000,0))&amp;" g"),"")))</f>
        <v>7 g</v>
      </c>
      <c r="AA140" s="5211"/>
      <c r="AB140" s="1178"/>
      <c r="AC140" s="1179"/>
      <c r="AD140" s="227" t="s">
        <v>22</v>
      </c>
      <c r="AE140" s="1027" t="str">
        <f t="shared" si="52"/>
        <v>A</v>
      </c>
      <c r="AF140" s="1028" t="str">
        <f t="shared" si="53"/>
        <v>P PRESSÉ DE BOUDIN NOIR | | Auteur &gt; Guy KRENZE - Eric GODDYN - Arnaud NICOLAS - CEPROC 2002</v>
      </c>
      <c r="AG140" s="1029">
        <f t="shared" si="54"/>
        <v>20</v>
      </c>
      <c r="AH140" s="1028" t="str">
        <f t="shared" si="55"/>
        <v>pressés de boudin</v>
      </c>
      <c r="AI140" s="1029" t="str">
        <f t="shared" si="56"/>
        <v>g</v>
      </c>
      <c r="AJ140" s="1029">
        <f t="shared" si="57"/>
        <v>1</v>
      </c>
      <c r="AK140" s="1043" cm="1">
        <f t="array" ref="AK140">IF(AE140&lt;&gt;"A","",IFERROR((IFERROR(_xlfn.XLOOKUP(TRIM(SUBSTITUTE(U140,CHAR(160)," ")),$BI$15:$BI$62,$BL$15:$BL$62),IFERROR(_xlfn.XLOOKUP(TRIM(SUBSTITUTE(U140,CHAR(160)," ")),$BJ$15:$BJ$62,$BL$15:$BL$62),_xlfn.XLOOKUP(TRIM(SUBSTITUTE(U140,CHAR(160)," ")),$BK$15:$BK$62,$BL$15:$BL$62))))*T140*IF(ISBLANK(Q140),1,Q140)+IFERROR(_xlfn.XLOOKUP("RECHERCHEX",TRIM(L140:AC140),L140:AC140),0),0))</f>
        <v>7.0000000000000001E-3</v>
      </c>
      <c r="AL140" s="1030" t="str">
        <f t="shared" si="58"/>
        <v>Kg</v>
      </c>
      <c r="AM140" s="5254" t="str">
        <f t="shared" si="73"/>
        <v>❾ Author reference &gt;</v>
      </c>
      <c r="AN140" s="1031">
        <f t="shared" si="59"/>
        <v>20</v>
      </c>
      <c r="AO140" s="1031" t="str">
        <f t="shared" si="60"/>
        <v>pressés de boudin</v>
      </c>
      <c r="AP140" s="1032">
        <f t="shared" si="61"/>
        <v>40</v>
      </c>
      <c r="AQ140" s="5255" t="str">
        <f t="shared" si="62"/>
        <v>parts-ou.or.o ❾ + or - &gt;</v>
      </c>
      <c r="AR140" s="1056"/>
      <c r="AS140" s="1056"/>
      <c r="AT140" s="1034">
        <f t="shared" si="63"/>
        <v>1.4E-2</v>
      </c>
      <c r="AU140" s="1035" t="str">
        <f t="shared" si="64"/>
        <v>Kg</v>
      </c>
      <c r="AV140" s="1057" t="str" cm="1">
        <f t="array" ref="AV140">IF(AJ140&lt;&gt;1,0,IF(OR(AT140="",N(AT140)&lt;=0.000000001),"",IF(OR(AN140="",N(AN140)&lt;=0.000000001),0,IF(ISNUMBER(AT140),IFERROR(_xlfn.LET(_xlpm.ai_test,TRIM(AI140),_xlpm.r,IFERROR(_xlfn.XLOOKUP(_xlpm.ai_test,$BI$15:$BI$62,ROW($BI$15:$BI$62),0,1),IFERROR(_xlfn.XLOOKUP(_xlpm.ai_test,$BJ$15:$BJ$62,ROW($BJ$15:$BJ$62),0,1),_xlfn.XLOOKUP(_xlpm.ai_test,$BK$15:$BK$62,ROW($BK$15:$BK$62),0,1))),_xlpm.p,_xlpm.r-MIN(ROW($BI$15:$BI$62))+1,_xlpm.f,INDEX($BL$15:$BL$62,_xlpm.p),_xlpm.u,INDEX($BM$15:$BM$62,_xlpm.p),_xlpm.s,INDEX($BO$15:$BO$62,_xlpm.p),_xlpm.q,N(AT140)/_xlpm.f,IF(_xlpm.q&gt;=_xlpm.s,ROUND(_xlpm.q,1)&amp;" "&amp;_xlpm.ai_test&amp;" = "&amp;ROUND(_xlpm.q*_xlpm.f,1)&amp;" "&amp;_xlpm.u,ROUND(_xlpm.q,1)&amp;" "&amp;_xlpm.ai_test)),""),""))))</f>
        <v>14 g</v>
      </c>
      <c r="AW140" s="1047"/>
      <c r="AX140" s="1034">
        <f t="shared" si="65"/>
        <v>1.4E-2</v>
      </c>
      <c r="AY140" s="1035" t="str">
        <f t="shared" si="66"/>
        <v>Kg</v>
      </c>
      <c r="AZ140" s="1036">
        <f t="shared" si="71"/>
        <v>0</v>
      </c>
      <c r="BA140" s="1037" t="str">
        <f t="shared" si="67"/>
        <v/>
      </c>
      <c r="BB140" s="1038"/>
      <c r="BC140" s="1039">
        <f t="shared" si="72"/>
        <v>0</v>
      </c>
      <c r="BD140" s="1040" t="str">
        <f t="shared" si="68"/>
        <v>pieds de porc cuits</v>
      </c>
      <c r="BE140" s="227" t="s">
        <v>22</v>
      </c>
      <c r="BF140" s="1019">
        <f t="shared" si="69"/>
        <v>0</v>
      </c>
      <c r="BG140" s="1020">
        <f t="shared" si="70"/>
        <v>2</v>
      </c>
      <c r="BH140"/>
      <c r="BQ140"/>
      <c r="BR140"/>
      <c r="BS140"/>
      <c r="BT140"/>
      <c r="BU140"/>
      <c r="BV140"/>
      <c r="BW140" s="959" t="str">
        <f t="shared" si="77"/>
        <v>A</v>
      </c>
      <c r="CC140" s="856"/>
      <c r="DB140" s="3">
        <v>1</v>
      </c>
    </row>
    <row r="141" spans="1:106" s="709" customFormat="1" ht="21" customHeight="1">
      <c r="A141" s="936" t="s">
        <v>22</v>
      </c>
      <c r="B141" s="952" t="str">
        <f t="shared" si="76"/>
        <v>A</v>
      </c>
      <c r="C141" s="993" cm="1">
        <f t="array" ref="C141">SUMPRODUCT(LEN(D141:J141))</f>
        <v>0</v>
      </c>
      <c r="D141" s="167"/>
      <c r="E141" s="172"/>
      <c r="F141" s="172"/>
      <c r="G141" s="172"/>
      <c r="H141" s="172"/>
      <c r="I141" s="172"/>
      <c r="J141" s="173"/>
      <c r="K141" s="442"/>
      <c r="L141" s="104" t="str">
        <f t="shared" si="75"/>
        <v>A</v>
      </c>
      <c r="M141" s="32" t="str">
        <f>M119</f>
        <v>P PRESSÉ DE BOUDIN NOIR | | Auteur &gt; Guy KRENZE - Eric GODDYN - Arnaud NICOLAS - CEPROC 2002</v>
      </c>
      <c r="N141" s="33">
        <f>N119</f>
        <v>20</v>
      </c>
      <c r="O141" s="32" t="str">
        <f>O119</f>
        <v>pressés de boudin</v>
      </c>
      <c r="P141" s="34" t="str">
        <f>P119</f>
        <v>Recette mère ► le Boudin en 4 déclinaisons</v>
      </c>
      <c r="Q141" s="92"/>
      <c r="R141" s="108"/>
      <c r="S141" s="94" t="str">
        <f t="shared" si="74"/>
        <v/>
      </c>
      <c r="T141" s="95">
        <v>20</v>
      </c>
      <c r="U141" s="105" t="s">
        <v>99</v>
      </c>
      <c r="V141" s="127">
        <v>1</v>
      </c>
      <c r="W141" s="920" t="s">
        <v>12852</v>
      </c>
      <c r="X141" s="1495">
        <f>IF(OR(ISBLANK(Q117),X117=0),0,Q141*V118)</f>
        <v>0</v>
      </c>
      <c r="Y141" s="101" cm="1">
        <f t="array" ref="Y141">IFERROR(_xlfn.LET(_xlpm.k,UPPER(TRIM(U141)),_xlpm.r,_xlfn.XLOOKUP(_xlpm.k,UPPER(TRIM(Q154:Z154)),Q155:Z155,_xlfn.XLOOKUP(_xlpm.k,UPPER(TRIM(Q156:Z156)),Q157:Z157)),_xlpm.r*T141*V141*V118*IF(ISBLANK(Q141),1,Q141)),0)</f>
        <v>0.02</v>
      </c>
      <c r="Z141" s="1476" t="str">
        <f>_xlfn.LET(_xlpm.unite,SUBSTITUTE(TRIM(U141)," (s)",""),_xlpm.val,Y141,_xlpm.estVol,COUNTIF(T154:Z154,_xlpm.unite)+COUNTIF(T156:Z156,_xlpm.unite)&gt;0,_xlpm.estPoids,COUNTIF(Q154:S154,_xlpm.unite)+COUNTIF(Q156:S156,_xlpm.unite)&gt;0,IF(_xlpm.estVol,IF(ROUND(_xlpm.val,3)&gt;=1,ROUND(_xlpm.val,3)&amp;" L",MAX(1,ROUND(_xlpm.val*100,0))&amp;" cl"),IF(_xlpm.estPoids,IF(ROUND(_xlpm.val,3)&gt;=1,ROUND(_xlpm.val,3)&amp;" Kg",MAX(1,ROUND(_xlpm.val*1000,0))&amp;" g"),"")))</f>
        <v>20 g</v>
      </c>
      <c r="AA141" s="5211"/>
      <c r="AB141" s="1178"/>
      <c r="AC141" s="1179"/>
      <c r="AD141" s="227" t="s">
        <v>22</v>
      </c>
      <c r="AE141" s="1027" t="str">
        <f t="shared" si="52"/>
        <v>A</v>
      </c>
      <c r="AF141" s="1028" t="str">
        <f t="shared" si="53"/>
        <v>P PRESSÉ DE BOUDIN NOIR | | Auteur &gt; Guy KRENZE - Eric GODDYN - Arnaud NICOLAS - CEPROC 2002</v>
      </c>
      <c r="AG141" s="1029">
        <f t="shared" si="54"/>
        <v>20</v>
      </c>
      <c r="AH141" s="1028" t="str">
        <f t="shared" si="55"/>
        <v>pressés de boudin</v>
      </c>
      <c r="AI141" s="1029" t="str">
        <f t="shared" si="56"/>
        <v>g</v>
      </c>
      <c r="AJ141" s="1029">
        <f t="shared" si="57"/>
        <v>1</v>
      </c>
      <c r="AK141" s="1043" cm="1">
        <f t="array" ref="AK141">IF(AE141&lt;&gt;"A","",IFERROR((IFERROR(_xlfn.XLOOKUP(TRIM(SUBSTITUTE(U141,CHAR(160)," ")),$BI$15:$BI$62,$BL$15:$BL$62),IFERROR(_xlfn.XLOOKUP(TRIM(SUBSTITUTE(U141,CHAR(160)," ")),$BJ$15:$BJ$62,$BL$15:$BL$62),_xlfn.XLOOKUP(TRIM(SUBSTITUTE(U141,CHAR(160)," ")),$BK$15:$BK$62,$BL$15:$BL$62))))*T141*IF(ISBLANK(Q141),1,Q141)+IFERROR(_xlfn.XLOOKUP("RECHERCHEX",TRIM(L141:AC141),L141:AC141),0),0))</f>
        <v>0.02</v>
      </c>
      <c r="AL141" s="1030" t="str">
        <f t="shared" si="58"/>
        <v>Kg</v>
      </c>
      <c r="AM141" s="5254" t="str">
        <f t="shared" si="73"/>
        <v>❾ Author reference &gt;</v>
      </c>
      <c r="AN141" s="1031">
        <f t="shared" si="59"/>
        <v>20</v>
      </c>
      <c r="AO141" s="1031" t="str">
        <f t="shared" si="60"/>
        <v>pressés de boudin</v>
      </c>
      <c r="AP141" s="1044">
        <f t="shared" si="61"/>
        <v>40</v>
      </c>
      <c r="AQ141" s="5257" t="str">
        <f t="shared" si="62"/>
        <v>parts-ou.or.o ❾ + or - &gt;</v>
      </c>
      <c r="AR141" s="1056"/>
      <c r="AS141" s="1056"/>
      <c r="AT141" s="1045">
        <f t="shared" si="63"/>
        <v>0.04</v>
      </c>
      <c r="AU141" s="1046" t="str">
        <f t="shared" si="64"/>
        <v>Kg</v>
      </c>
      <c r="AV141" s="1059" t="str" cm="1">
        <f t="array" ref="AV141">IF(AJ141&lt;&gt;1,0,IF(OR(AT141="",N(AT141)&lt;=0.000000001),"",IF(OR(AN141="",N(AN141)&lt;=0.000000001),0,IF(ISNUMBER(AT141),IFERROR(_xlfn.LET(_xlpm.ai_test,TRIM(AI141),_xlpm.r,IFERROR(_xlfn.XLOOKUP(_xlpm.ai_test,$BI$15:$BI$62,ROW($BI$15:$BI$62),0,1),IFERROR(_xlfn.XLOOKUP(_xlpm.ai_test,$BJ$15:$BJ$62,ROW($BJ$15:$BJ$62),0,1),_xlfn.XLOOKUP(_xlpm.ai_test,$BK$15:$BK$62,ROW($BK$15:$BK$62),0,1))),_xlpm.p,_xlpm.r-MIN(ROW($BI$15:$BI$62))+1,_xlpm.f,INDEX($BL$15:$BL$62,_xlpm.p),_xlpm.u,INDEX($BM$15:$BM$62,_xlpm.p),_xlpm.s,INDEX($BO$15:$BO$62,_xlpm.p),_xlpm.q,N(AT141)/_xlpm.f,IF(_xlpm.q&gt;=_xlpm.s,ROUND(_xlpm.q,1)&amp;" "&amp;_xlpm.ai_test&amp;" = "&amp;ROUND(_xlpm.q*_xlpm.f,1)&amp;" "&amp;_xlpm.u,ROUND(_xlpm.q,1)&amp;" "&amp;_xlpm.ai_test)),""),""))))</f>
        <v>40 g</v>
      </c>
      <c r="AW141" s="1047"/>
      <c r="AX141" s="1045">
        <f t="shared" si="65"/>
        <v>0.04</v>
      </c>
      <c r="AY141" s="1046" t="str">
        <f t="shared" si="66"/>
        <v>Kg</v>
      </c>
      <c r="AZ141" s="1048">
        <f t="shared" si="71"/>
        <v>0</v>
      </c>
      <c r="BA141" s="1049" t="str">
        <f t="shared" si="67"/>
        <v/>
      </c>
      <c r="BB141" s="1038"/>
      <c r="BC141" s="1050">
        <f t="shared" si="72"/>
        <v>0</v>
      </c>
      <c r="BD141" s="1040" t="str">
        <f t="shared" si="68"/>
        <v>ail en purée</v>
      </c>
      <c r="BE141" s="227" t="s">
        <v>22</v>
      </c>
      <c r="BF141" s="1019">
        <f t="shared" si="69"/>
        <v>0</v>
      </c>
      <c r="BG141" s="1020">
        <f t="shared" si="70"/>
        <v>2</v>
      </c>
      <c r="BH141"/>
      <c r="BQ141"/>
      <c r="BR141"/>
      <c r="BS141"/>
      <c r="BT141"/>
      <c r="BU141"/>
      <c r="BV141"/>
      <c r="BW141" s="959" t="str">
        <f t="shared" si="77"/>
        <v>A</v>
      </c>
      <c r="CC141" s="856"/>
      <c r="DB141" s="3">
        <v>1</v>
      </c>
    </row>
    <row r="142" spans="1:106" s="709" customFormat="1" ht="21" customHeight="1">
      <c r="A142" s="936" t="s">
        <v>22</v>
      </c>
      <c r="B142" s="952" t="str">
        <f t="shared" si="76"/>
        <v>A</v>
      </c>
      <c r="C142" s="993" cm="1">
        <f t="array" ref="C142">SUMPRODUCT(LEN(D142:J142))</f>
        <v>0</v>
      </c>
      <c r="D142" s="167"/>
      <c r="E142" s="172"/>
      <c r="F142" s="172"/>
      <c r="G142" s="172"/>
      <c r="H142" s="172"/>
      <c r="I142" s="172"/>
      <c r="J142" s="173"/>
      <c r="K142" s="442"/>
      <c r="L142" s="104" t="str">
        <f t="shared" si="75"/>
        <v>A</v>
      </c>
      <c r="M142" s="32" t="str">
        <f>M119</f>
        <v>P PRESSÉ DE BOUDIN NOIR | | Auteur &gt; Guy KRENZE - Eric GODDYN - Arnaud NICOLAS - CEPROC 2002</v>
      </c>
      <c r="N142" s="33">
        <f>N119</f>
        <v>20</v>
      </c>
      <c r="O142" s="32" t="str">
        <f>O119</f>
        <v>pressés de boudin</v>
      </c>
      <c r="P142" s="34" t="str">
        <f>P119</f>
        <v>Recette mère ► le Boudin en 4 déclinaisons</v>
      </c>
      <c r="Q142" s="92"/>
      <c r="R142" s="108"/>
      <c r="S142" s="94" t="str">
        <f t="shared" si="74"/>
        <v/>
      </c>
      <c r="T142" s="95">
        <v>300</v>
      </c>
      <c r="U142" s="105" t="s">
        <v>99</v>
      </c>
      <c r="V142" s="127">
        <v>1</v>
      </c>
      <c r="W142" s="920" t="s">
        <v>12853</v>
      </c>
      <c r="X142" s="1495">
        <f>IF(OR(ISBLANK(Q117),X117=0),0,Q142*V118)</f>
        <v>0</v>
      </c>
      <c r="Y142" s="101" cm="1">
        <f t="array" ref="Y142">IFERROR(_xlfn.LET(_xlpm.k,UPPER(TRIM(U142)),_xlpm.r,_xlfn.XLOOKUP(_xlpm.k,UPPER(TRIM(Q154:Z154)),Q155:Z155,_xlfn.XLOOKUP(_xlpm.k,UPPER(TRIM(Q156:Z156)),Q157:Z157)),_xlpm.r*T142*V142*V118*IF(ISBLANK(Q142),1,Q142)),0)</f>
        <v>0.3</v>
      </c>
      <c r="Z142" s="1475" t="str">
        <f>_xlfn.LET(_xlpm.unite,SUBSTITUTE(TRIM(U142)," (s)",""),_xlpm.val,Y142,_xlpm.estVol,COUNTIF(T154:Z154,_xlpm.unite)+COUNTIF(T156:Z156,_xlpm.unite)&gt;0,_xlpm.estPoids,COUNTIF(Q154:S154,_xlpm.unite)+COUNTIF(Q156:S156,_xlpm.unite)&gt;0,IF(_xlpm.estVol,IF(ROUND(_xlpm.val,3)&gt;=1,ROUND(_xlpm.val,3)&amp;" L",MAX(1,ROUND(_xlpm.val*100,0))&amp;" cl"),IF(_xlpm.estPoids,IF(ROUND(_xlpm.val,3)&gt;=1,ROUND(_xlpm.val,3)&amp;" Kg",MAX(1,ROUND(_xlpm.val*1000,0))&amp;" g"),"")))</f>
        <v>300 g</v>
      </c>
      <c r="AA142" s="5211"/>
      <c r="AB142" s="1178"/>
      <c r="AC142" s="1179"/>
      <c r="AD142" s="227" t="s">
        <v>22</v>
      </c>
      <c r="AE142" s="1027" t="str">
        <f t="shared" si="52"/>
        <v>A</v>
      </c>
      <c r="AF142" s="1028" t="str">
        <f t="shared" si="53"/>
        <v>P PRESSÉ DE BOUDIN NOIR | | Auteur &gt; Guy KRENZE - Eric GODDYN - Arnaud NICOLAS - CEPROC 2002</v>
      </c>
      <c r="AG142" s="1029">
        <f t="shared" si="54"/>
        <v>20</v>
      </c>
      <c r="AH142" s="1028" t="str">
        <f t="shared" si="55"/>
        <v>pressés de boudin</v>
      </c>
      <c r="AI142" s="1029" t="str">
        <f t="shared" si="56"/>
        <v>g</v>
      </c>
      <c r="AJ142" s="1029">
        <f t="shared" si="57"/>
        <v>1</v>
      </c>
      <c r="AK142" s="1043" cm="1">
        <f t="array" ref="AK142">IF(AE142&lt;&gt;"A","",IFERROR((IFERROR(_xlfn.XLOOKUP(TRIM(SUBSTITUTE(U142,CHAR(160)," ")),$BI$15:$BI$62,$BL$15:$BL$62),IFERROR(_xlfn.XLOOKUP(TRIM(SUBSTITUTE(U142,CHAR(160)," ")),$BJ$15:$BJ$62,$BL$15:$BL$62),_xlfn.XLOOKUP(TRIM(SUBSTITUTE(U142,CHAR(160)," ")),$BK$15:$BK$62,$BL$15:$BL$62))))*T142*IF(ISBLANK(Q142),1,Q142)+IFERROR(_xlfn.XLOOKUP("RECHERCHEX",TRIM(L142:AC142),L142:AC142),0),0))</f>
        <v>0.3</v>
      </c>
      <c r="AL142" s="1030" t="str">
        <f t="shared" si="58"/>
        <v>Kg</v>
      </c>
      <c r="AM142" s="5254" t="str">
        <f t="shared" si="73"/>
        <v>❾ Author reference &gt;</v>
      </c>
      <c r="AN142" s="1031">
        <f t="shared" si="59"/>
        <v>20</v>
      </c>
      <c r="AO142" s="1031" t="str">
        <f t="shared" si="60"/>
        <v>pressés de boudin</v>
      </c>
      <c r="AP142" s="1032">
        <f t="shared" si="61"/>
        <v>40</v>
      </c>
      <c r="AQ142" s="5255" t="str">
        <f t="shared" si="62"/>
        <v>parts-ou.or.o ❾ + or - &gt;</v>
      </c>
      <c r="AR142" s="1056"/>
      <c r="AS142" s="1056"/>
      <c r="AT142" s="1034">
        <f t="shared" si="63"/>
        <v>0.6</v>
      </c>
      <c r="AU142" s="1035" t="str">
        <f t="shared" si="64"/>
        <v>Kg</v>
      </c>
      <c r="AV142" s="1057" t="str" cm="1">
        <f t="array" ref="AV142">IF(AJ142&lt;&gt;1,0,IF(OR(AT142="",N(AT142)&lt;=0.000000001),"",IF(OR(AN142="",N(AN142)&lt;=0.000000001),0,IF(ISNUMBER(AT142),IFERROR(_xlfn.LET(_xlpm.ai_test,TRIM(AI142),_xlpm.r,IFERROR(_xlfn.XLOOKUP(_xlpm.ai_test,$BI$15:$BI$62,ROW($BI$15:$BI$62),0,1),IFERROR(_xlfn.XLOOKUP(_xlpm.ai_test,$BJ$15:$BJ$62,ROW($BJ$15:$BJ$62),0,1),_xlfn.XLOOKUP(_xlpm.ai_test,$BK$15:$BK$62,ROW($BK$15:$BK$62),0,1))),_xlpm.p,_xlpm.r-MIN(ROW($BI$15:$BI$62))+1,_xlpm.f,INDEX($BL$15:$BL$62,_xlpm.p),_xlpm.u,INDEX($BM$15:$BM$62,_xlpm.p),_xlpm.s,INDEX($BO$15:$BO$62,_xlpm.p),_xlpm.q,N(AT142)/_xlpm.f,IF(_xlpm.q&gt;=_xlpm.s,ROUND(_xlpm.q,1)&amp;" "&amp;_xlpm.ai_test&amp;" = "&amp;ROUND(_xlpm.q*_xlpm.f,1)&amp;" "&amp;_xlpm.u,ROUND(_xlpm.q,1)&amp;" "&amp;_xlpm.ai_test)),""),""))))</f>
        <v>600 g</v>
      </c>
      <c r="AW142" s="1047"/>
      <c r="AX142" s="1034">
        <f t="shared" si="65"/>
        <v>0.6</v>
      </c>
      <c r="AY142" s="1035" t="str">
        <f t="shared" si="66"/>
        <v>Kg</v>
      </c>
      <c r="AZ142" s="1036">
        <f t="shared" si="71"/>
        <v>0</v>
      </c>
      <c r="BA142" s="1037" t="str">
        <f t="shared" si="67"/>
        <v/>
      </c>
      <c r="BB142" s="1038"/>
      <c r="BC142" s="1039">
        <f t="shared" si="72"/>
        <v>0</v>
      </c>
      <c r="BD142" s="1040" t="str">
        <f t="shared" si="68"/>
        <v>noisettes torréfiées</v>
      </c>
      <c r="BE142" s="227" t="s">
        <v>22</v>
      </c>
      <c r="BF142" s="1019">
        <f t="shared" si="69"/>
        <v>0</v>
      </c>
      <c r="BG142" s="1020">
        <f t="shared" si="70"/>
        <v>2</v>
      </c>
      <c r="BH142"/>
      <c r="BQ142"/>
      <c r="BR142"/>
      <c r="BS142"/>
      <c r="BT142"/>
      <c r="BU142"/>
      <c r="BV142"/>
      <c r="BW142" s="959" t="str">
        <f t="shared" si="77"/>
        <v>A</v>
      </c>
      <c r="CC142" s="856"/>
      <c r="DB142" s="3">
        <v>1</v>
      </c>
    </row>
    <row r="143" spans="1:106" s="709" customFormat="1" ht="21" customHeight="1">
      <c r="A143" s="936" t="s">
        <v>22</v>
      </c>
      <c r="B143" s="952" t="str">
        <f t="shared" si="76"/>
        <v>A</v>
      </c>
      <c r="C143" s="993" cm="1">
        <f t="array" ref="C143">SUMPRODUCT(LEN(D143:J143))</f>
        <v>0</v>
      </c>
      <c r="D143" s="167"/>
      <c r="E143" s="172"/>
      <c r="F143" s="172"/>
      <c r="G143" s="172"/>
      <c r="H143" s="172"/>
      <c r="I143" s="172"/>
      <c r="J143" s="173"/>
      <c r="K143" s="442"/>
      <c r="L143" s="104" t="str">
        <f t="shared" si="75"/>
        <v>A</v>
      </c>
      <c r="M143" s="32" t="str">
        <f>M119</f>
        <v>P PRESSÉ DE BOUDIN NOIR | | Auteur &gt; Guy KRENZE - Eric GODDYN - Arnaud NICOLAS - CEPROC 2002</v>
      </c>
      <c r="N143" s="33">
        <f>N119</f>
        <v>20</v>
      </c>
      <c r="O143" s="32" t="str">
        <f>O119</f>
        <v>pressés de boudin</v>
      </c>
      <c r="P143" s="34" t="str">
        <f>P119</f>
        <v>Recette mère ► le Boudin en 4 déclinaisons</v>
      </c>
      <c r="Q143" s="92"/>
      <c r="R143" s="108"/>
      <c r="S143" s="94" t="str">
        <f t="shared" si="74"/>
        <v/>
      </c>
      <c r="T143" s="95">
        <v>2</v>
      </c>
      <c r="U143" s="105" t="s">
        <v>99</v>
      </c>
      <c r="V143" s="127">
        <v>1</v>
      </c>
      <c r="W143" s="920" t="s">
        <v>12827</v>
      </c>
      <c r="X143" s="1495">
        <f>IF(OR(ISBLANK(Q117),X117=0),0,Q143*V118)</f>
        <v>0</v>
      </c>
      <c r="Y143" s="101" cm="1">
        <f t="array" ref="Y143">IFERROR(_xlfn.LET(_xlpm.k,UPPER(TRIM(U143)),_xlpm.r,_xlfn.XLOOKUP(_xlpm.k,UPPER(TRIM(Q154:Z154)),Q155:Z155,_xlfn.XLOOKUP(_xlpm.k,UPPER(TRIM(Q156:Z156)),Q157:Z157)),_xlpm.r*T143*V143*V118*IF(ISBLANK(Q143),1,Q143)),0)</f>
        <v>2E-3</v>
      </c>
      <c r="Z143" s="1476" t="str">
        <f>_xlfn.LET(_xlpm.unite,SUBSTITUTE(TRIM(U143)," (s)",""),_xlpm.val,Y143,_xlpm.estVol,COUNTIF(T154:Z154,_xlpm.unite)+COUNTIF(T156:Z156,_xlpm.unite)&gt;0,_xlpm.estPoids,COUNTIF(Q154:S154,_xlpm.unite)+COUNTIF(Q156:S156,_xlpm.unite)&gt;0,IF(_xlpm.estVol,IF(ROUND(_xlpm.val,3)&gt;=1,ROUND(_xlpm.val,3)&amp;" L",MAX(1,ROUND(_xlpm.val*100,0))&amp;" cl"),IF(_xlpm.estPoids,IF(ROUND(_xlpm.val,3)&gt;=1,ROUND(_xlpm.val,3)&amp;" Kg",MAX(1,ROUND(_xlpm.val*1000,0))&amp;" g"),"")))</f>
        <v>2 g</v>
      </c>
      <c r="AA143" s="5211"/>
      <c r="AB143" s="1178"/>
      <c r="AC143" s="1179"/>
      <c r="AD143" s="227" t="s">
        <v>22</v>
      </c>
      <c r="AE143" s="1027" t="str">
        <f t="shared" si="52"/>
        <v>A</v>
      </c>
      <c r="AF143" s="1028" t="str">
        <f t="shared" si="53"/>
        <v>P PRESSÉ DE BOUDIN NOIR | | Auteur &gt; Guy KRENZE - Eric GODDYN - Arnaud NICOLAS - CEPROC 2002</v>
      </c>
      <c r="AG143" s="1029">
        <f t="shared" si="54"/>
        <v>20</v>
      </c>
      <c r="AH143" s="1028" t="str">
        <f t="shared" si="55"/>
        <v>pressés de boudin</v>
      </c>
      <c r="AI143" s="1029" t="str">
        <f t="shared" si="56"/>
        <v>g</v>
      </c>
      <c r="AJ143" s="1029">
        <f t="shared" si="57"/>
        <v>1</v>
      </c>
      <c r="AK143" s="1043" cm="1">
        <f t="array" ref="AK143">IF(AE143&lt;&gt;"A","",IFERROR((IFERROR(_xlfn.XLOOKUP(TRIM(SUBSTITUTE(U143,CHAR(160)," ")),$BI$15:$BI$62,$BL$15:$BL$62),IFERROR(_xlfn.XLOOKUP(TRIM(SUBSTITUTE(U143,CHAR(160)," ")),$BJ$15:$BJ$62,$BL$15:$BL$62),_xlfn.XLOOKUP(TRIM(SUBSTITUTE(U143,CHAR(160)," ")),$BK$15:$BK$62,$BL$15:$BL$62))))*T143*IF(ISBLANK(Q143),1,Q143)+IFERROR(_xlfn.XLOOKUP("RECHERCHEX",TRIM(L143:AC143),L143:AC143),0),0))</f>
        <v>2E-3</v>
      </c>
      <c r="AL143" s="1030" t="str">
        <f t="shared" si="58"/>
        <v>Kg</v>
      </c>
      <c r="AM143" s="5254" t="str">
        <f t="shared" si="73"/>
        <v>❾ Author reference &gt;</v>
      </c>
      <c r="AN143" s="1031">
        <f t="shared" si="59"/>
        <v>20</v>
      </c>
      <c r="AO143" s="1031" t="str">
        <f t="shared" si="60"/>
        <v>pressés de boudin</v>
      </c>
      <c r="AP143" s="1044">
        <f t="shared" si="61"/>
        <v>40</v>
      </c>
      <c r="AQ143" s="5257" t="str">
        <f t="shared" si="62"/>
        <v>parts-ou.or.o ❾ + or - &gt;</v>
      </c>
      <c r="AR143" s="1056"/>
      <c r="AS143" s="1056"/>
      <c r="AT143" s="1045">
        <f t="shared" si="63"/>
        <v>4.0000000000000001E-3</v>
      </c>
      <c r="AU143" s="1046" t="str">
        <f t="shared" si="64"/>
        <v>Kg</v>
      </c>
      <c r="AV143" s="1059" t="str" cm="1">
        <f t="array" ref="AV143">IF(AJ143&lt;&gt;1,0,IF(OR(AT143="",N(AT143)&lt;=0.000000001),"",IF(OR(AN143="",N(AN143)&lt;=0.000000001),0,IF(ISNUMBER(AT143),IFERROR(_xlfn.LET(_xlpm.ai_test,TRIM(AI143),_xlpm.r,IFERROR(_xlfn.XLOOKUP(_xlpm.ai_test,$BI$15:$BI$62,ROW($BI$15:$BI$62),0,1),IFERROR(_xlfn.XLOOKUP(_xlpm.ai_test,$BJ$15:$BJ$62,ROW($BJ$15:$BJ$62),0,1),_xlfn.XLOOKUP(_xlpm.ai_test,$BK$15:$BK$62,ROW($BK$15:$BK$62),0,1))),_xlpm.p,_xlpm.r-MIN(ROW($BI$15:$BI$62))+1,_xlpm.f,INDEX($BL$15:$BL$62,_xlpm.p),_xlpm.u,INDEX($BM$15:$BM$62,_xlpm.p),_xlpm.s,INDEX($BO$15:$BO$62,_xlpm.p),_xlpm.q,N(AT143)/_xlpm.f,IF(_xlpm.q&gt;=_xlpm.s,ROUND(_xlpm.q,1)&amp;" "&amp;_xlpm.ai_test&amp;" = "&amp;ROUND(_xlpm.q*_xlpm.f,1)&amp;" "&amp;_xlpm.u,ROUND(_xlpm.q,1)&amp;" "&amp;_xlpm.ai_test)),""),""))))</f>
        <v>4 g</v>
      </c>
      <c r="AW143" s="1047"/>
      <c r="AX143" s="1045">
        <f t="shared" si="65"/>
        <v>4.0000000000000001E-3</v>
      </c>
      <c r="AY143" s="1046" t="str">
        <f t="shared" si="66"/>
        <v>Kg</v>
      </c>
      <c r="AZ143" s="1048">
        <f t="shared" si="71"/>
        <v>0</v>
      </c>
      <c r="BA143" s="1049" t="str">
        <f t="shared" si="67"/>
        <v/>
      </c>
      <c r="BB143" s="1038"/>
      <c r="BC143" s="1050">
        <f t="shared" si="72"/>
        <v>0</v>
      </c>
      <c r="BD143" s="1040" t="str">
        <f t="shared" si="68"/>
        <v>poivre et épices en mélange</v>
      </c>
      <c r="BE143" s="227" t="s">
        <v>22</v>
      </c>
      <c r="BF143" s="1019">
        <f t="shared" si="69"/>
        <v>0</v>
      </c>
      <c r="BG143" s="1020">
        <f t="shared" si="70"/>
        <v>2</v>
      </c>
      <c r="BH143"/>
      <c r="BQ143"/>
      <c r="BR143"/>
      <c r="BS143"/>
      <c r="BT143"/>
      <c r="BU143"/>
      <c r="BV143"/>
      <c r="BW143" s="959" t="str">
        <f t="shared" si="77"/>
        <v>A</v>
      </c>
      <c r="CC143" s="856"/>
      <c r="DB143" s="3">
        <v>1</v>
      </c>
    </row>
    <row r="144" spans="1:106" s="709" customFormat="1" ht="21" customHeight="1">
      <c r="A144" s="936" t="s">
        <v>22</v>
      </c>
      <c r="B144" s="952" t="str">
        <f t="shared" si="76"/>
        <v>A</v>
      </c>
      <c r="C144" s="993" cm="1">
        <f t="array" ref="C144">SUMPRODUCT(LEN(D144:J144))</f>
        <v>0</v>
      </c>
      <c r="D144" s="167"/>
      <c r="E144" s="172"/>
      <c r="F144" s="172"/>
      <c r="G144" s="172"/>
      <c r="H144" s="172"/>
      <c r="I144" s="172"/>
      <c r="J144" s="173"/>
      <c r="K144" s="442"/>
      <c r="L144" s="104" t="str">
        <f t="shared" si="75"/>
        <v>A</v>
      </c>
      <c r="M144" s="32" t="str">
        <f>M119</f>
        <v>P PRESSÉ DE BOUDIN NOIR | | Auteur &gt; Guy KRENZE - Eric GODDYN - Arnaud NICOLAS - CEPROC 2002</v>
      </c>
      <c r="N144" s="33">
        <f>N119</f>
        <v>20</v>
      </c>
      <c r="O144" s="32" t="str">
        <f>O119</f>
        <v>pressés de boudin</v>
      </c>
      <c r="P144" s="34" t="str">
        <f>P119</f>
        <v>Recette mère ► le Boudin en 4 déclinaisons</v>
      </c>
      <c r="Q144" s="92"/>
      <c r="R144" s="108"/>
      <c r="S144" s="94" t="str">
        <f t="shared" si="74"/>
        <v/>
      </c>
      <c r="T144" s="95">
        <v>7</v>
      </c>
      <c r="U144" s="105" t="s">
        <v>99</v>
      </c>
      <c r="V144" s="127">
        <v>1</v>
      </c>
      <c r="W144" s="920" t="s">
        <v>8947</v>
      </c>
      <c r="X144" s="1495">
        <f>IF(OR(ISBLANK(Q117),X117=0),0,Q144*V118)</f>
        <v>0</v>
      </c>
      <c r="Y144" s="101" cm="1">
        <f t="array" ref="Y144">IFERROR(_xlfn.LET(_xlpm.k,UPPER(TRIM(U144)),_xlpm.r,_xlfn.XLOOKUP(_xlpm.k,UPPER(TRIM(Q154:Z154)),Q155:Z155,_xlfn.XLOOKUP(_xlpm.k,UPPER(TRIM(Q156:Z156)),Q157:Z157)),_xlpm.r*T144*V144*V118*IF(ISBLANK(Q144),1,Q144)),0)</f>
        <v>7.0000000000000001E-3</v>
      </c>
      <c r="Z144" s="1475" t="str">
        <f>_xlfn.LET(_xlpm.unite,SUBSTITUTE(TRIM(U144)," (s)",""),_xlpm.val,Y144,_xlpm.estVol,COUNTIF(T154:Z154,_xlpm.unite)+COUNTIF(T156:Z156,_xlpm.unite)&gt;0,_xlpm.estPoids,COUNTIF(Q154:S154,_xlpm.unite)+COUNTIF(Q156:S156,_xlpm.unite)&gt;0,IF(_xlpm.estVol,IF(ROUND(_xlpm.val,3)&gt;=1,ROUND(_xlpm.val,3)&amp;" L",MAX(1,ROUND(_xlpm.val*100,0))&amp;" cl"),IF(_xlpm.estPoids,IF(ROUND(_xlpm.val,3)&gt;=1,ROUND(_xlpm.val,3)&amp;" Kg",MAX(1,ROUND(_xlpm.val*1000,0))&amp;" g"),"")))</f>
        <v>7 g</v>
      </c>
      <c r="AA144" s="5211"/>
      <c r="AB144" s="1178"/>
      <c r="AC144" s="1179"/>
      <c r="AD144" s="227" t="s">
        <v>22</v>
      </c>
      <c r="AE144" s="1027" t="str">
        <f t="shared" si="52"/>
        <v>A</v>
      </c>
      <c r="AF144" s="1028" t="str">
        <f t="shared" si="53"/>
        <v>P PRESSÉ DE BOUDIN NOIR | | Auteur &gt; Guy KRENZE - Eric GODDYN - Arnaud NICOLAS - CEPROC 2002</v>
      </c>
      <c r="AG144" s="1029">
        <f t="shared" si="54"/>
        <v>20</v>
      </c>
      <c r="AH144" s="1028" t="str">
        <f t="shared" si="55"/>
        <v>pressés de boudin</v>
      </c>
      <c r="AI144" s="1029" t="str">
        <f t="shared" si="56"/>
        <v>g</v>
      </c>
      <c r="AJ144" s="1029">
        <f t="shared" si="57"/>
        <v>1</v>
      </c>
      <c r="AK144" s="1043" cm="1">
        <f t="array" ref="AK144">IF(AE144&lt;&gt;"A","",IFERROR((IFERROR(_xlfn.XLOOKUP(TRIM(SUBSTITUTE(U144,CHAR(160)," ")),$BI$15:$BI$62,$BL$15:$BL$62),IFERROR(_xlfn.XLOOKUP(TRIM(SUBSTITUTE(U144,CHAR(160)," ")),$BJ$15:$BJ$62,$BL$15:$BL$62),_xlfn.XLOOKUP(TRIM(SUBSTITUTE(U144,CHAR(160)," ")),$BK$15:$BK$62,$BL$15:$BL$62))))*T144*IF(ISBLANK(Q144),1,Q144)+IFERROR(_xlfn.XLOOKUP("RECHERCHEX",TRIM(L144:AC144),L144:AC144),0),0))</f>
        <v>7.0000000000000001E-3</v>
      </c>
      <c r="AL144" s="1030" t="str">
        <f t="shared" si="58"/>
        <v>Kg</v>
      </c>
      <c r="AM144" s="5254" t="str">
        <f t="shared" si="73"/>
        <v>❾ Author reference &gt;</v>
      </c>
      <c r="AN144" s="1031">
        <f t="shared" si="59"/>
        <v>20</v>
      </c>
      <c r="AO144" s="1031" t="str">
        <f t="shared" si="60"/>
        <v>pressés de boudin</v>
      </c>
      <c r="AP144" s="1032">
        <f t="shared" si="61"/>
        <v>40</v>
      </c>
      <c r="AQ144" s="5255" t="str">
        <f t="shared" si="62"/>
        <v>parts-ou.or.o ❾ + or - &gt;</v>
      </c>
      <c r="AR144" s="1056"/>
      <c r="AS144" s="1056"/>
      <c r="AT144" s="1034">
        <f t="shared" si="63"/>
        <v>1.4E-2</v>
      </c>
      <c r="AU144" s="1035" t="str">
        <f t="shared" si="64"/>
        <v>Kg</v>
      </c>
      <c r="AV144" s="1057" t="str" cm="1">
        <f t="array" ref="AV144">IF(AJ144&lt;&gt;1,0,IF(OR(AT144="",N(AT144)&lt;=0.000000001),"",IF(OR(AN144="",N(AN144)&lt;=0.000000001),0,IF(ISNUMBER(AT144),IFERROR(_xlfn.LET(_xlpm.ai_test,TRIM(AI144),_xlpm.r,IFERROR(_xlfn.XLOOKUP(_xlpm.ai_test,$BI$15:$BI$62,ROW($BI$15:$BI$62),0,1),IFERROR(_xlfn.XLOOKUP(_xlpm.ai_test,$BJ$15:$BJ$62,ROW($BJ$15:$BJ$62),0,1),_xlfn.XLOOKUP(_xlpm.ai_test,$BK$15:$BK$62,ROW($BK$15:$BK$62),0,1))),_xlpm.p,_xlpm.r-MIN(ROW($BI$15:$BI$62))+1,_xlpm.f,INDEX($BL$15:$BL$62,_xlpm.p),_xlpm.u,INDEX($BM$15:$BM$62,_xlpm.p),_xlpm.s,INDEX($BO$15:$BO$62,_xlpm.p),_xlpm.q,N(AT144)/_xlpm.f,IF(_xlpm.q&gt;=_xlpm.s,ROUND(_xlpm.q,1)&amp;" "&amp;_xlpm.ai_test&amp;" = "&amp;ROUND(_xlpm.q*_xlpm.f,1)&amp;" "&amp;_xlpm.u,ROUND(_xlpm.q,1)&amp;" "&amp;_xlpm.ai_test)),""),""))))</f>
        <v>14 g</v>
      </c>
      <c r="AW144" s="1047"/>
      <c r="AX144" s="1034">
        <f t="shared" si="65"/>
        <v>1.4E-2</v>
      </c>
      <c r="AY144" s="1035" t="str">
        <f t="shared" si="66"/>
        <v>Kg</v>
      </c>
      <c r="AZ144" s="1036">
        <f t="shared" si="71"/>
        <v>0</v>
      </c>
      <c r="BA144" s="1037" t="str">
        <f t="shared" si="67"/>
        <v/>
      </c>
      <c r="BB144" s="1038"/>
      <c r="BC144" s="1039">
        <f t="shared" si="72"/>
        <v>0</v>
      </c>
      <c r="BD144" s="1040" t="str">
        <f t="shared" si="68"/>
        <v>sel</v>
      </c>
      <c r="BE144" s="227" t="s">
        <v>22</v>
      </c>
      <c r="BF144" s="1019">
        <f t="shared" si="69"/>
        <v>0</v>
      </c>
      <c r="BG144" s="1020">
        <f t="shared" si="70"/>
        <v>2</v>
      </c>
      <c r="BH144"/>
      <c r="BQ144"/>
      <c r="BR144"/>
      <c r="BS144"/>
      <c r="BT144"/>
      <c r="BU144"/>
      <c r="BV144"/>
      <c r="BW144" s="959" t="str">
        <f t="shared" si="77"/>
        <v>A</v>
      </c>
      <c r="CC144" s="856"/>
      <c r="DB144" s="3">
        <v>1</v>
      </c>
    </row>
    <row r="145" spans="1:106" s="709" customFormat="1" ht="21" customHeight="1">
      <c r="A145" s="936" t="s">
        <v>22</v>
      </c>
      <c r="B145" s="952" t="str">
        <f t="shared" si="76"/>
        <v>►</v>
      </c>
      <c r="C145" s="993" cm="1">
        <f t="array" ref="C145">SUMPRODUCT(LEN(D145:J145))</f>
        <v>0</v>
      </c>
      <c r="D145" s="167"/>
      <c r="E145" s="172"/>
      <c r="F145" s="172"/>
      <c r="G145" s="172"/>
      <c r="H145" s="172"/>
      <c r="I145" s="172"/>
      <c r="J145" s="173"/>
      <c r="K145" s="442"/>
      <c r="L145" s="104" t="str">
        <f t="shared" si="75"/>
        <v>►</v>
      </c>
      <c r="M145" s="32" t="str">
        <f>M119</f>
        <v>P PRESSÉ DE BOUDIN NOIR | | Auteur &gt; Guy KRENZE - Eric GODDYN - Arnaud NICOLAS - CEPROC 2002</v>
      </c>
      <c r="N145" s="33">
        <f>N119</f>
        <v>20</v>
      </c>
      <c r="O145" s="32" t="str">
        <f>O119</f>
        <v>pressés de boudin</v>
      </c>
      <c r="P145" s="34" t="str">
        <f>P119</f>
        <v>Recette mère ► le Boudin en 4 déclinaisons</v>
      </c>
      <c r="Q145" s="92"/>
      <c r="R145" s="108"/>
      <c r="S145" s="94" t="str">
        <f t="shared" si="74"/>
        <v/>
      </c>
      <c r="T145" s="95"/>
      <c r="U145" s="126"/>
      <c r="V145" s="127">
        <v>1</v>
      </c>
      <c r="W145" s="920"/>
      <c r="X145" s="1495">
        <f>IF(OR(ISBLANK(Q117),X117=0),0,Q145*V118)</f>
        <v>0</v>
      </c>
      <c r="Y145" s="101" cm="1">
        <f t="array" ref="Y145">IFERROR(_xlfn.LET(_xlpm.k,UPPER(TRIM(U145)),_xlpm.r,_xlfn.XLOOKUP(_xlpm.k,UPPER(TRIM(Q154:Z154)),Q155:Z155,_xlfn.XLOOKUP(_xlpm.k,UPPER(TRIM(Q156:Z156)),Q157:Z157)),_xlpm.r*T145*V145*V118*IF(ISBLANK(Q145),1,Q145)),0)</f>
        <v>0</v>
      </c>
      <c r="Z145" s="1476" t="str">
        <f>_xlfn.LET(_xlpm.unite,SUBSTITUTE(TRIM(U145)," (s)",""),_xlpm.val,Y145,_xlpm.estVol,COUNTIF(T154:Z154,_xlpm.unite)+COUNTIF(T156:Z156,_xlpm.unite)&gt;0,_xlpm.estPoids,COUNTIF(Q154:S154,_xlpm.unite)+COUNTIF(Q156:S156,_xlpm.unite)&gt;0,IF(_xlpm.estVol,IF(ROUND(_xlpm.val,3)&gt;=1,ROUND(_xlpm.val,3)&amp;" L",MAX(1,ROUND(_xlpm.val*100,0))&amp;" cl"),IF(_xlpm.estPoids,IF(ROUND(_xlpm.val,3)&gt;=1,ROUND(_xlpm.val,3)&amp;" Kg",MAX(1,ROUND(_xlpm.val*1000,0))&amp;" g"),"")))</f>
        <v/>
      </c>
      <c r="AA145" s="5211"/>
      <c r="AB145" s="1178"/>
      <c r="AC145" s="1179"/>
      <c r="AD145" s="227" t="s">
        <v>22</v>
      </c>
      <c r="AE145" s="1027" t="str">
        <f t="shared" si="52"/>
        <v>►</v>
      </c>
      <c r="AF145" s="1028" t="str">
        <f t="shared" si="53"/>
        <v/>
      </c>
      <c r="AG145" s="1029" t="str">
        <f t="shared" si="54"/>
        <v/>
      </c>
      <c r="AH145" s="1028" t="str">
        <f t="shared" si="55"/>
        <v/>
      </c>
      <c r="AI145" s="1029" t="str">
        <f t="shared" si="56"/>
        <v/>
      </c>
      <c r="AJ145" s="1029">
        <f t="shared" si="57"/>
        <v>0</v>
      </c>
      <c r="AK145" s="1043" t="str" cm="1">
        <f t="array" ref="AK145">IF(AE145&lt;&gt;"A","",IFERROR((IFERROR(_xlfn.XLOOKUP(TRIM(SUBSTITUTE(U145,CHAR(160)," ")),$BI$15:$BI$62,$BL$15:$BL$62),IFERROR(_xlfn.XLOOKUP(TRIM(SUBSTITUTE(U145,CHAR(160)," ")),$BJ$15:$BJ$62,$BL$15:$BL$62),_xlfn.XLOOKUP(TRIM(SUBSTITUTE(U145,CHAR(160)," ")),$BK$15:$BK$62,$BL$15:$BL$62))))*T145*IF(ISBLANK(Q145),1,Q145)+IFERROR(_xlfn.XLOOKUP("RECHERCHEX",TRIM(L145:AC145),L145:AC145),0),0))</f>
        <v/>
      </c>
      <c r="AL145" s="1030">
        <f t="shared" si="58"/>
        <v>0</v>
      </c>
      <c r="AM145" s="5254" t="str">
        <f t="shared" si="73"/>
        <v/>
      </c>
      <c r="AN145" s="1031">
        <f t="shared" si="59"/>
        <v>0</v>
      </c>
      <c r="AO145" s="1031">
        <f t="shared" si="60"/>
        <v>0</v>
      </c>
      <c r="AP145" s="1044">
        <f t="shared" si="61"/>
        <v>0</v>
      </c>
      <c r="AQ145" s="5257" t="str">
        <f t="shared" si="62"/>
        <v/>
      </c>
      <c r="AR145" s="1056"/>
      <c r="AS145" s="1056"/>
      <c r="AT145" s="1045">
        <f t="shared" si="63"/>
        <v>0</v>
      </c>
      <c r="AU145" s="1046">
        <f t="shared" si="64"/>
        <v>0</v>
      </c>
      <c r="AV145" s="1059" cm="1">
        <f t="array" ref="AV145">IF(AJ145&lt;&gt;1,0,IF(OR(AT145="",N(AT145)&lt;=0.000000001),"",IF(OR(AN145="",N(AN145)&lt;=0.000000001),0,IF(ISNUMBER(AT145),IFERROR(_xlfn.LET(_xlpm.ai_test,TRIM(AI145),_xlpm.r,IFERROR(_xlfn.XLOOKUP(_xlpm.ai_test,$BI$15:$BI$62,ROW($BI$15:$BI$62),0,1),IFERROR(_xlfn.XLOOKUP(_xlpm.ai_test,$BJ$15:$BJ$62,ROW($BJ$15:$BJ$62),0,1),_xlfn.XLOOKUP(_xlpm.ai_test,$BK$15:$BK$62,ROW($BK$15:$BK$62),0,1))),_xlpm.p,_xlpm.r-MIN(ROW($BI$15:$BI$62))+1,_xlpm.f,INDEX($BL$15:$BL$62,_xlpm.p),_xlpm.u,INDEX($BM$15:$BM$62,_xlpm.p),_xlpm.s,INDEX($BO$15:$BO$62,_xlpm.p),_xlpm.q,N(AT145)/_xlpm.f,IF(_xlpm.q&gt;=_xlpm.s,ROUND(_xlpm.q,1)&amp;" "&amp;_xlpm.ai_test&amp;" = "&amp;ROUND(_xlpm.q*_xlpm.f,1)&amp;" "&amp;_xlpm.u,ROUND(_xlpm.q,1)&amp;" "&amp;_xlpm.ai_test)),""),""))))</f>
        <v>0</v>
      </c>
      <c r="AW145" s="1047"/>
      <c r="AX145" s="1045">
        <f t="shared" si="65"/>
        <v>0</v>
      </c>
      <c r="AY145" s="1046" t="str">
        <f t="shared" si="66"/>
        <v/>
      </c>
      <c r="AZ145" s="1048">
        <f t="shared" si="71"/>
        <v>0</v>
      </c>
      <c r="BA145" s="1049" t="str">
        <f t="shared" si="67"/>
        <v/>
      </c>
      <c r="BB145" s="1038"/>
      <c r="BC145" s="1050">
        <f t="shared" si="72"/>
        <v>0</v>
      </c>
      <c r="BD145" s="1040" t="str">
        <f t="shared" si="68"/>
        <v/>
      </c>
      <c r="BE145" s="227" t="s">
        <v>22</v>
      </c>
      <c r="BF145" s="1019">
        <f t="shared" si="69"/>
        <v>0</v>
      </c>
      <c r="BG145" s="1020">
        <f t="shared" si="70"/>
        <v>0</v>
      </c>
      <c r="BH145"/>
      <c r="BQ145"/>
      <c r="BR145"/>
      <c r="BS145"/>
      <c r="BT145"/>
      <c r="BU145"/>
      <c r="BV145"/>
      <c r="BW145" s="959" t="str">
        <f t="shared" si="77"/>
        <v>►</v>
      </c>
      <c r="CC145" s="856"/>
      <c r="DB145" s="3">
        <v>1</v>
      </c>
    </row>
    <row r="146" spans="1:106" s="709" customFormat="1" ht="21" customHeight="1">
      <c r="A146" s="936" t="s">
        <v>22</v>
      </c>
      <c r="B146" s="952" t="str">
        <f t="shared" si="76"/>
        <v>A</v>
      </c>
      <c r="C146" s="993" cm="1">
        <f t="array" ref="C146">SUMPRODUCT(LEN(D146:J146))</f>
        <v>0</v>
      </c>
      <c r="D146" s="167"/>
      <c r="E146" s="172"/>
      <c r="F146" s="172"/>
      <c r="G146" s="172"/>
      <c r="H146" s="172"/>
      <c r="I146" s="172"/>
      <c r="J146" s="173"/>
      <c r="K146" s="442"/>
      <c r="L146" s="104" t="str">
        <f t="shared" si="75"/>
        <v>A</v>
      </c>
      <c r="M146" s="32" t="str">
        <f>M119</f>
        <v>P PRESSÉ DE BOUDIN NOIR | | Auteur &gt; Guy KRENZE - Eric GODDYN - Arnaud NICOLAS - CEPROC 2002</v>
      </c>
      <c r="N146" s="33">
        <f>N119</f>
        <v>20</v>
      </c>
      <c r="O146" s="32" t="str">
        <f>O119</f>
        <v>pressés de boudin</v>
      </c>
      <c r="P146" s="34" t="str">
        <f>P119</f>
        <v>Recette mère ► le Boudin en 4 déclinaisons</v>
      </c>
      <c r="Q146" s="92"/>
      <c r="R146" s="108"/>
      <c r="S146" s="94" t="str">
        <f t="shared" si="74"/>
        <v/>
      </c>
      <c r="T146" s="95"/>
      <c r="U146" s="126"/>
      <c r="V146" s="127">
        <v>1</v>
      </c>
      <c r="W146" s="920" t="s">
        <v>12888</v>
      </c>
      <c r="X146" s="1495">
        <f>IF(OR(ISBLANK(Q117),X117=0),0,Q146*V118)</f>
        <v>0</v>
      </c>
      <c r="Y146" s="101" cm="1">
        <f t="array" ref="Y146">IFERROR(_xlfn.LET(_xlpm.k,UPPER(TRIM(U146)),_xlpm.r,_xlfn.XLOOKUP(_xlpm.k,UPPER(TRIM(Q154:Z154)),Q155:Z155,_xlfn.XLOOKUP(_xlpm.k,UPPER(TRIM(Q156:Z156)),Q157:Z157)),_xlpm.r*T146*V146*V118*IF(ISBLANK(Q146),1,Q146)),0)</f>
        <v>0</v>
      </c>
      <c r="Z146" s="1475" t="str">
        <f>_xlfn.LET(_xlpm.unite,SUBSTITUTE(TRIM(U146)," (s)",""),_xlpm.val,Y146,_xlpm.estVol,COUNTIF(T154:Z154,_xlpm.unite)+COUNTIF(T156:Z156,_xlpm.unite)&gt;0,_xlpm.estPoids,COUNTIF(Q154:S154,_xlpm.unite)+COUNTIF(Q156:S156,_xlpm.unite)&gt;0,IF(_xlpm.estVol,IF(ROUND(_xlpm.val,3)&gt;=1,ROUND(_xlpm.val,3)&amp;" L",MAX(1,ROUND(_xlpm.val*100,0))&amp;" cl"),IF(_xlpm.estPoids,IF(ROUND(_xlpm.val,3)&gt;=1,ROUND(_xlpm.val,3)&amp;" Kg",MAX(1,ROUND(_xlpm.val*1000,0))&amp;" g"),"")))</f>
        <v/>
      </c>
      <c r="AA146" s="5211"/>
      <c r="AB146" s="1178"/>
      <c r="AC146" s="1179"/>
      <c r="AD146" s="227" t="s">
        <v>22</v>
      </c>
      <c r="AE146" s="1027" t="str">
        <f t="shared" si="52"/>
        <v>►</v>
      </c>
      <c r="AF146" s="1028" t="str">
        <f t="shared" si="53"/>
        <v/>
      </c>
      <c r="AG146" s="1029" t="str">
        <f t="shared" si="54"/>
        <v/>
      </c>
      <c r="AH146" s="1028" t="str">
        <f t="shared" si="55"/>
        <v/>
      </c>
      <c r="AI146" s="1029" t="str">
        <f t="shared" si="56"/>
        <v/>
      </c>
      <c r="AJ146" s="1029">
        <f t="shared" si="57"/>
        <v>0</v>
      </c>
      <c r="AK146" s="1043" t="str" cm="1">
        <f t="array" ref="AK146">IF(AE146&lt;&gt;"A","",IFERROR((IFERROR(_xlfn.XLOOKUP(TRIM(SUBSTITUTE(U146,CHAR(160)," ")),$BI$15:$BI$62,$BL$15:$BL$62),IFERROR(_xlfn.XLOOKUP(TRIM(SUBSTITUTE(U146,CHAR(160)," ")),$BJ$15:$BJ$62,$BL$15:$BL$62),_xlfn.XLOOKUP(TRIM(SUBSTITUTE(U146,CHAR(160)," ")),$BK$15:$BK$62,$BL$15:$BL$62))))*T146*IF(ISBLANK(Q146),1,Q146)+IFERROR(_xlfn.XLOOKUP("RECHERCHEX",TRIM(L146:AC146),L146:AC146),0),0))</f>
        <v/>
      </c>
      <c r="AL146" s="1030">
        <f t="shared" si="58"/>
        <v>0</v>
      </c>
      <c r="AM146" s="5254" t="str">
        <f t="shared" si="73"/>
        <v/>
      </c>
      <c r="AN146" s="1031">
        <f t="shared" si="59"/>
        <v>0</v>
      </c>
      <c r="AO146" s="1031">
        <f t="shared" si="60"/>
        <v>0</v>
      </c>
      <c r="AP146" s="1032">
        <f t="shared" si="61"/>
        <v>0</v>
      </c>
      <c r="AQ146" s="5255" t="str">
        <f t="shared" si="62"/>
        <v/>
      </c>
      <c r="AR146" s="1056"/>
      <c r="AS146" s="1056"/>
      <c r="AT146" s="1034">
        <f t="shared" si="63"/>
        <v>0</v>
      </c>
      <c r="AU146" s="1035">
        <f t="shared" si="64"/>
        <v>0</v>
      </c>
      <c r="AV146" s="1057" cm="1">
        <f t="array" ref="AV146">IF(AJ146&lt;&gt;1,0,IF(OR(AT146="",N(AT146)&lt;=0.000000001),"",IF(OR(AN146="",N(AN146)&lt;=0.000000001),0,IF(ISNUMBER(AT146),IFERROR(_xlfn.LET(_xlpm.ai_test,TRIM(AI146),_xlpm.r,IFERROR(_xlfn.XLOOKUP(_xlpm.ai_test,$BI$15:$BI$62,ROW($BI$15:$BI$62),0,1),IFERROR(_xlfn.XLOOKUP(_xlpm.ai_test,$BJ$15:$BJ$62,ROW($BJ$15:$BJ$62),0,1),_xlfn.XLOOKUP(_xlpm.ai_test,$BK$15:$BK$62,ROW($BK$15:$BK$62),0,1))),_xlpm.p,_xlpm.r-MIN(ROW($BI$15:$BI$62))+1,_xlpm.f,INDEX($BL$15:$BL$62,_xlpm.p),_xlpm.u,INDEX($BM$15:$BM$62,_xlpm.p),_xlpm.s,INDEX($BO$15:$BO$62,_xlpm.p),_xlpm.q,N(AT146)/_xlpm.f,IF(_xlpm.q&gt;=_xlpm.s,ROUND(_xlpm.q,1)&amp;" "&amp;_xlpm.ai_test&amp;" = "&amp;ROUND(_xlpm.q*_xlpm.f,1)&amp;" "&amp;_xlpm.u,ROUND(_xlpm.q,1)&amp;" "&amp;_xlpm.ai_test)),""),""))))</f>
        <v>0</v>
      </c>
      <c r="AW146" s="1047"/>
      <c r="AX146" s="1034">
        <f t="shared" si="65"/>
        <v>0</v>
      </c>
      <c r="AY146" s="1035" t="str">
        <f t="shared" si="66"/>
        <v/>
      </c>
      <c r="AZ146" s="1036">
        <f t="shared" si="71"/>
        <v>0</v>
      </c>
      <c r="BA146" s="1037" t="str">
        <f t="shared" si="67"/>
        <v/>
      </c>
      <c r="BB146" s="1038"/>
      <c r="BC146" s="1039">
        <f t="shared" si="72"/>
        <v>0</v>
      </c>
      <c r="BD146" s="1040" t="str">
        <f t="shared" si="68"/>
        <v/>
      </c>
      <c r="BE146" s="227" t="s">
        <v>22</v>
      </c>
      <c r="BF146" s="1019">
        <f t="shared" si="69"/>
        <v>0</v>
      </c>
      <c r="BG146" s="1020">
        <f t="shared" si="70"/>
        <v>0</v>
      </c>
      <c r="BH146"/>
      <c r="BQ146"/>
      <c r="BR146"/>
      <c r="BS146"/>
      <c r="BT146"/>
      <c r="BU146"/>
      <c r="BV146"/>
      <c r="BW146" s="959" t="str">
        <f t="shared" si="77"/>
        <v>►</v>
      </c>
      <c r="BX146"/>
      <c r="BY146"/>
      <c r="BZ146"/>
      <c r="CA146"/>
      <c r="CB146"/>
      <c r="CC146" s="856"/>
      <c r="DB146" s="3">
        <v>1</v>
      </c>
    </row>
    <row r="147" spans="1:106" s="709" customFormat="1" ht="21" customHeight="1">
      <c r="A147" s="936" t="s">
        <v>22</v>
      </c>
      <c r="B147" s="952" t="str">
        <f t="shared" si="76"/>
        <v>A</v>
      </c>
      <c r="C147" s="993" cm="1">
        <f t="array" ref="C147">SUMPRODUCT(LEN(D147:J147))</f>
        <v>0</v>
      </c>
      <c r="D147" s="167"/>
      <c r="E147" s="172"/>
      <c r="F147" s="172"/>
      <c r="G147" s="172"/>
      <c r="H147" s="172"/>
      <c r="I147" s="172"/>
      <c r="J147" s="173"/>
      <c r="K147" s="442"/>
      <c r="L147" s="104" t="str">
        <f t="shared" si="75"/>
        <v>A</v>
      </c>
      <c r="M147" s="32" t="str">
        <f>M119</f>
        <v>P PRESSÉ DE BOUDIN NOIR | | Auteur &gt; Guy KRENZE - Eric GODDYN - Arnaud NICOLAS - CEPROC 2002</v>
      </c>
      <c r="N147" s="33">
        <f>N119</f>
        <v>20</v>
      </c>
      <c r="O147" s="32" t="str">
        <f>O119</f>
        <v>pressés de boudin</v>
      </c>
      <c r="P147" s="34" t="str">
        <f>P119</f>
        <v>Recette mère ► le Boudin en 4 déclinaisons</v>
      </c>
      <c r="Q147" s="92"/>
      <c r="R147" s="108"/>
      <c r="S147" s="94" t="str">
        <f t="shared" si="74"/>
        <v/>
      </c>
      <c r="T147" s="95">
        <v>250</v>
      </c>
      <c r="U147" s="105" t="s">
        <v>99</v>
      </c>
      <c r="V147" s="127">
        <v>1</v>
      </c>
      <c r="W147" s="920" t="s">
        <v>12831</v>
      </c>
      <c r="X147" s="1495">
        <f>IF(OR(ISBLANK(Q117),X117=0),0,Q147*V118)</f>
        <v>0</v>
      </c>
      <c r="Y147" s="101" cm="1">
        <f t="array" ref="Y147">IFERROR(_xlfn.LET(_xlpm.k,UPPER(TRIM(U147)),_xlpm.r,_xlfn.XLOOKUP(_xlpm.k,UPPER(TRIM(Q154:Z154)),Q155:Z155,_xlfn.XLOOKUP(_xlpm.k,UPPER(TRIM(Q156:Z156)),Q157:Z157)),_xlpm.r*T147*V147*V118*IF(ISBLANK(Q147),1,Q147)),0)</f>
        <v>0.25</v>
      </c>
      <c r="Z147" s="1476" t="str">
        <f>_xlfn.LET(_xlpm.unite,SUBSTITUTE(TRIM(U147)," (s)",""),_xlpm.val,Y147,_xlpm.estVol,COUNTIF(T154:Z154,_xlpm.unite)+COUNTIF(T156:Z156,_xlpm.unite)&gt;0,_xlpm.estPoids,COUNTIF(Q154:S154,_xlpm.unite)+COUNTIF(Q156:S156,_xlpm.unite)&gt;0,IF(_xlpm.estVol,IF(ROUND(_xlpm.val,3)&gt;=1,ROUND(_xlpm.val,3)&amp;" L",MAX(1,ROUND(_xlpm.val*100,0))&amp;" cl"),IF(_xlpm.estPoids,IF(ROUND(_xlpm.val,3)&gt;=1,ROUND(_xlpm.val,3)&amp;" Kg",MAX(1,ROUND(_xlpm.val*1000,0))&amp;" g"),"")))</f>
        <v>250 g</v>
      </c>
      <c r="AA147" s="5211"/>
      <c r="AB147" s="1178"/>
      <c r="AC147" s="1179"/>
      <c r="AD147" s="227" t="s">
        <v>22</v>
      </c>
      <c r="AE147" s="1027" t="str">
        <f t="shared" si="52"/>
        <v>A</v>
      </c>
      <c r="AF147" s="1028" t="str">
        <f t="shared" si="53"/>
        <v>P PRESSÉ DE BOUDIN NOIR | | Auteur &gt; Guy KRENZE - Eric GODDYN - Arnaud NICOLAS - CEPROC 2002</v>
      </c>
      <c r="AG147" s="1029">
        <f t="shared" si="54"/>
        <v>20</v>
      </c>
      <c r="AH147" s="1028" t="str">
        <f t="shared" si="55"/>
        <v>pressés de boudin</v>
      </c>
      <c r="AI147" s="1029" t="str">
        <f t="shared" si="56"/>
        <v>g</v>
      </c>
      <c r="AJ147" s="1029">
        <f t="shared" si="57"/>
        <v>1</v>
      </c>
      <c r="AK147" s="1043" cm="1">
        <f t="array" ref="AK147">IF(AE147&lt;&gt;"A","",IFERROR((IFERROR(_xlfn.XLOOKUP(TRIM(SUBSTITUTE(U147,CHAR(160)," ")),$BI$15:$BI$62,$BL$15:$BL$62),IFERROR(_xlfn.XLOOKUP(TRIM(SUBSTITUTE(U147,CHAR(160)," ")),$BJ$15:$BJ$62,$BL$15:$BL$62),_xlfn.XLOOKUP(TRIM(SUBSTITUTE(U147,CHAR(160)," ")),$BK$15:$BK$62,$BL$15:$BL$62))))*T147*IF(ISBLANK(Q147),1,Q147)+IFERROR(_xlfn.XLOOKUP("RECHERCHEX",TRIM(L147:AC147),L147:AC147),0),0))</f>
        <v>0.25</v>
      </c>
      <c r="AL147" s="1030" t="str">
        <f t="shared" si="58"/>
        <v>Kg</v>
      </c>
      <c r="AM147" s="5254" t="str">
        <f t="shared" si="73"/>
        <v>❾ Author reference &gt;</v>
      </c>
      <c r="AN147" s="1031">
        <f t="shared" si="59"/>
        <v>20</v>
      </c>
      <c r="AO147" s="1031" t="str">
        <f t="shared" si="60"/>
        <v>pressés de boudin</v>
      </c>
      <c r="AP147" s="1044">
        <f t="shared" si="61"/>
        <v>40</v>
      </c>
      <c r="AQ147" s="5257" t="str">
        <f t="shared" si="62"/>
        <v>parts-ou.or.o ❾ + or - &gt;</v>
      </c>
      <c r="AR147" s="1056"/>
      <c r="AS147" s="1056"/>
      <c r="AT147" s="1045">
        <f t="shared" si="63"/>
        <v>0.5</v>
      </c>
      <c r="AU147" s="1046" t="str">
        <f t="shared" si="64"/>
        <v>Kg</v>
      </c>
      <c r="AV147" s="1059" t="str" cm="1">
        <f t="array" ref="AV147">IF(AJ147&lt;&gt;1,0,IF(OR(AT147="",N(AT147)&lt;=0.000000001),"",IF(OR(AN147="",N(AN147)&lt;=0.000000001),0,IF(ISNUMBER(AT147),IFERROR(_xlfn.LET(_xlpm.ai_test,TRIM(AI147),_xlpm.r,IFERROR(_xlfn.XLOOKUP(_xlpm.ai_test,$BI$15:$BI$62,ROW($BI$15:$BI$62),0,1),IFERROR(_xlfn.XLOOKUP(_xlpm.ai_test,$BJ$15:$BJ$62,ROW($BJ$15:$BJ$62),0,1),_xlfn.XLOOKUP(_xlpm.ai_test,$BK$15:$BK$62,ROW($BK$15:$BK$62),0,1))),_xlpm.p,_xlpm.r-MIN(ROW($BI$15:$BI$62))+1,_xlpm.f,INDEX($BL$15:$BL$62,_xlpm.p),_xlpm.u,INDEX($BM$15:$BM$62,_xlpm.p),_xlpm.s,INDEX($BO$15:$BO$62,_xlpm.p),_xlpm.q,N(AT147)/_xlpm.f,IF(_xlpm.q&gt;=_xlpm.s,ROUND(_xlpm.q,1)&amp;" "&amp;_xlpm.ai_test&amp;" = "&amp;ROUND(_xlpm.q*_xlpm.f,1)&amp;" "&amp;_xlpm.u,ROUND(_xlpm.q,1)&amp;" "&amp;_xlpm.ai_test)),""),""))))</f>
        <v>500 g</v>
      </c>
      <c r="AW147" s="1047"/>
      <c r="AX147" s="1045">
        <f t="shared" si="65"/>
        <v>0.5</v>
      </c>
      <c r="AY147" s="1046" t="str">
        <f t="shared" si="66"/>
        <v>Kg</v>
      </c>
      <c r="AZ147" s="1048">
        <f t="shared" si="71"/>
        <v>0</v>
      </c>
      <c r="BA147" s="1049" t="str">
        <f t="shared" si="67"/>
        <v/>
      </c>
      <c r="BB147" s="1038"/>
      <c r="BC147" s="1050">
        <f t="shared" si="72"/>
        <v>0</v>
      </c>
      <c r="BD147" s="1040" t="str">
        <f t="shared" si="68"/>
        <v>porto rouge</v>
      </c>
      <c r="BE147" s="227" t="s">
        <v>22</v>
      </c>
      <c r="BF147" s="1019">
        <f t="shared" si="69"/>
        <v>0</v>
      </c>
      <c r="BG147" s="1020">
        <f t="shared" si="70"/>
        <v>2</v>
      </c>
      <c r="BH147"/>
      <c r="BQ147"/>
      <c r="BR147"/>
      <c r="BS147"/>
      <c r="BT147"/>
      <c r="BU147"/>
      <c r="BV147"/>
      <c r="BW147" s="959" t="str">
        <f t="shared" si="77"/>
        <v>A</v>
      </c>
      <c r="BX147"/>
      <c r="BY147"/>
      <c r="BZ147"/>
      <c r="CA147"/>
      <c r="CB147"/>
      <c r="CC147" s="856"/>
      <c r="DB147" s="3">
        <v>1</v>
      </c>
    </row>
    <row r="148" spans="1:106" s="709" customFormat="1" ht="21" customHeight="1">
      <c r="A148" s="936" t="s">
        <v>22</v>
      </c>
      <c r="B148" s="952" t="str">
        <f t="shared" si="76"/>
        <v>A</v>
      </c>
      <c r="C148" s="993" cm="1">
        <f t="array" ref="C148">SUMPRODUCT(LEN(D148:J148))</f>
        <v>0</v>
      </c>
      <c r="D148" s="167"/>
      <c r="E148" s="172"/>
      <c r="F148" s="172"/>
      <c r="G148" s="172"/>
      <c r="H148" s="172"/>
      <c r="I148" s="172"/>
      <c r="J148" s="173"/>
      <c r="K148" s="442"/>
      <c r="L148" s="104" t="str">
        <f t="shared" si="75"/>
        <v>A</v>
      </c>
      <c r="M148" s="32" t="str">
        <f>M119</f>
        <v>P PRESSÉ DE BOUDIN NOIR | | Auteur &gt; Guy KRENZE - Eric GODDYN - Arnaud NICOLAS - CEPROC 2002</v>
      </c>
      <c r="N148" s="33">
        <f>N119</f>
        <v>20</v>
      </c>
      <c r="O148" s="32" t="str">
        <f>O119</f>
        <v>pressés de boudin</v>
      </c>
      <c r="P148" s="34" t="str">
        <f>P119</f>
        <v>Recette mère ► le Boudin en 4 déclinaisons</v>
      </c>
      <c r="Q148" s="92"/>
      <c r="R148" s="108"/>
      <c r="S148" s="94" t="str">
        <f t="shared" si="74"/>
        <v/>
      </c>
      <c r="T148" s="95">
        <v>250</v>
      </c>
      <c r="U148" s="105" t="s">
        <v>99</v>
      </c>
      <c r="V148" s="127">
        <v>1</v>
      </c>
      <c r="W148" s="920" t="s">
        <v>12832</v>
      </c>
      <c r="X148" s="1495">
        <f>IF(OR(ISBLANK(Q117),X117=0),0,Q148*V118)</f>
        <v>0</v>
      </c>
      <c r="Y148" s="101" cm="1">
        <f t="array" ref="Y148">IFERROR(_xlfn.LET(_xlpm.k,UPPER(TRIM(U148)),_xlpm.r,_xlfn.XLOOKUP(_xlpm.k,UPPER(TRIM(Q154:Z154)),Q155:Z155,_xlfn.XLOOKUP(_xlpm.k,UPPER(TRIM(Q156:Z156)),Q157:Z157)),_xlpm.r*T148*V148*V118*IF(ISBLANK(Q148),1,Q148)),0)</f>
        <v>0.25</v>
      </c>
      <c r="Z148" s="1475" t="str">
        <f>_xlfn.LET(_xlpm.unite,SUBSTITUTE(TRIM(U148)," (s)",""),_xlpm.val,Y148,_xlpm.estVol,COUNTIF(T154:Z154,_xlpm.unite)+COUNTIF(T156:Z156,_xlpm.unite)&gt;0,_xlpm.estPoids,COUNTIF(Q154:S154,_xlpm.unite)+COUNTIF(Q156:S156,_xlpm.unite)&gt;0,IF(_xlpm.estVol,IF(ROUND(_xlpm.val,3)&gt;=1,ROUND(_xlpm.val,3)&amp;" L",MAX(1,ROUND(_xlpm.val*100,0))&amp;" cl"),IF(_xlpm.estPoids,IF(ROUND(_xlpm.val,3)&gt;=1,ROUND(_xlpm.val,3)&amp;" Kg",MAX(1,ROUND(_xlpm.val*1000,0))&amp;" g"),"")))</f>
        <v>250 g</v>
      </c>
      <c r="AA148" s="5211"/>
      <c r="AB148" s="1178"/>
      <c r="AC148" s="1179"/>
      <c r="AD148" s="227" t="s">
        <v>22</v>
      </c>
      <c r="AE148" s="1027" t="str">
        <f t="shared" si="52"/>
        <v>A</v>
      </c>
      <c r="AF148" s="1028" t="str">
        <f t="shared" si="53"/>
        <v>P PRESSÉ DE BOUDIN NOIR | | Auteur &gt; Guy KRENZE - Eric GODDYN - Arnaud NICOLAS - CEPROC 2002</v>
      </c>
      <c r="AG148" s="1029">
        <f t="shared" si="54"/>
        <v>20</v>
      </c>
      <c r="AH148" s="1028" t="str">
        <f t="shared" si="55"/>
        <v>pressés de boudin</v>
      </c>
      <c r="AI148" s="1029" t="str">
        <f t="shared" si="56"/>
        <v>g</v>
      </c>
      <c r="AJ148" s="1029">
        <f t="shared" si="57"/>
        <v>1</v>
      </c>
      <c r="AK148" s="1043" cm="1">
        <f t="array" ref="AK148">IF(AE148&lt;&gt;"A","",IFERROR((IFERROR(_xlfn.XLOOKUP(TRIM(SUBSTITUTE(U148,CHAR(160)," ")),$BI$15:$BI$62,$BL$15:$BL$62),IFERROR(_xlfn.XLOOKUP(TRIM(SUBSTITUTE(U148,CHAR(160)," ")),$BJ$15:$BJ$62,$BL$15:$BL$62),_xlfn.XLOOKUP(TRIM(SUBSTITUTE(U148,CHAR(160)," ")),$BK$15:$BK$62,$BL$15:$BL$62))))*T148*IF(ISBLANK(Q148),1,Q148)+IFERROR(_xlfn.XLOOKUP("RECHERCHEX",TRIM(L148:AC148),L148:AC148),0),0))</f>
        <v>0.25</v>
      </c>
      <c r="AL148" s="1030" t="str">
        <f t="shared" si="58"/>
        <v>Kg</v>
      </c>
      <c r="AM148" s="5254" t="str">
        <f t="shared" si="73"/>
        <v>❾ Author reference &gt;</v>
      </c>
      <c r="AN148" s="1031">
        <f t="shared" si="59"/>
        <v>20</v>
      </c>
      <c r="AO148" s="1031" t="str">
        <f t="shared" si="60"/>
        <v>pressés de boudin</v>
      </c>
      <c r="AP148" s="1032">
        <f t="shared" si="61"/>
        <v>40</v>
      </c>
      <c r="AQ148" s="5255" t="str">
        <f t="shared" si="62"/>
        <v>parts-ou.or.o ❾ + or - &gt;</v>
      </c>
      <c r="AR148" s="1056"/>
      <c r="AS148" s="1056"/>
      <c r="AT148" s="1034">
        <f t="shared" si="63"/>
        <v>0.5</v>
      </c>
      <c r="AU148" s="1035" t="str">
        <f t="shared" si="64"/>
        <v>Kg</v>
      </c>
      <c r="AV148" s="1057" t="str" cm="1">
        <f t="array" ref="AV148">IF(AJ148&lt;&gt;1,0,IF(OR(AT148="",N(AT148)&lt;=0.000000001),"",IF(OR(AN148="",N(AN148)&lt;=0.000000001),0,IF(ISNUMBER(AT148),IFERROR(_xlfn.LET(_xlpm.ai_test,TRIM(AI148),_xlpm.r,IFERROR(_xlfn.XLOOKUP(_xlpm.ai_test,$BI$15:$BI$62,ROW($BI$15:$BI$62),0,1),IFERROR(_xlfn.XLOOKUP(_xlpm.ai_test,$BJ$15:$BJ$62,ROW($BJ$15:$BJ$62),0,1),_xlfn.XLOOKUP(_xlpm.ai_test,$BK$15:$BK$62,ROW($BK$15:$BK$62),0,1))),_xlpm.p,_xlpm.r-MIN(ROW($BI$15:$BI$62))+1,_xlpm.f,INDEX($BL$15:$BL$62,_xlpm.p),_xlpm.u,INDEX($BM$15:$BM$62,_xlpm.p),_xlpm.s,INDEX($BO$15:$BO$62,_xlpm.p),_xlpm.q,N(AT148)/_xlpm.f,IF(_xlpm.q&gt;=_xlpm.s,ROUND(_xlpm.q,1)&amp;" "&amp;_xlpm.ai_test&amp;" = "&amp;ROUND(_xlpm.q*_xlpm.f,1)&amp;" "&amp;_xlpm.u,ROUND(_xlpm.q,1)&amp;" "&amp;_xlpm.ai_test)),""),""))))</f>
        <v>500 g</v>
      </c>
      <c r="AW148" s="1047"/>
      <c r="AX148" s="1034">
        <f t="shared" si="65"/>
        <v>0.5</v>
      </c>
      <c r="AY148" s="1035" t="str">
        <f t="shared" si="66"/>
        <v>Kg</v>
      </c>
      <c r="AZ148" s="1036">
        <f t="shared" si="71"/>
        <v>0</v>
      </c>
      <c r="BA148" s="1037" t="str">
        <f t="shared" si="67"/>
        <v/>
      </c>
      <c r="BB148" s="1038"/>
      <c r="BC148" s="1039">
        <f t="shared" si="72"/>
        <v>0</v>
      </c>
      <c r="BD148" s="1040" t="str">
        <f t="shared" si="68"/>
        <v xml:space="preserve">jus de veau </v>
      </c>
      <c r="BE148" s="227" t="s">
        <v>22</v>
      </c>
      <c r="BF148" s="1019">
        <f t="shared" si="69"/>
        <v>0</v>
      </c>
      <c r="BG148" s="1020">
        <f t="shared" si="70"/>
        <v>2</v>
      </c>
      <c r="BH148"/>
      <c r="BQ148"/>
      <c r="BR148"/>
      <c r="BS148"/>
      <c r="BT148"/>
      <c r="BU148"/>
      <c r="BV148"/>
      <c r="BW148" s="959" t="str">
        <f t="shared" si="77"/>
        <v>A</v>
      </c>
      <c r="BX148"/>
      <c r="BY148"/>
      <c r="BZ148"/>
      <c r="CA148"/>
      <c r="CB148"/>
      <c r="CC148" s="856"/>
      <c r="DB148" s="3">
        <v>1</v>
      </c>
    </row>
    <row r="149" spans="1:106" s="709" customFormat="1" ht="21" customHeight="1">
      <c r="A149" s="936" t="s">
        <v>22</v>
      </c>
      <c r="B149" s="952" t="str">
        <f t="shared" si="76"/>
        <v>A</v>
      </c>
      <c r="C149" s="993" cm="1">
        <f t="array" ref="C149">SUMPRODUCT(LEN(D149:J149))</f>
        <v>0</v>
      </c>
      <c r="D149" s="167"/>
      <c r="E149" s="172"/>
      <c r="F149" s="172"/>
      <c r="G149" s="172"/>
      <c r="H149" s="172"/>
      <c r="I149" s="172"/>
      <c r="J149" s="173"/>
      <c r="K149" s="442"/>
      <c r="L149" s="104" t="str">
        <f t="shared" si="75"/>
        <v>A</v>
      </c>
      <c r="M149" s="32" t="str">
        <f>M119</f>
        <v>P PRESSÉ DE BOUDIN NOIR | | Auteur &gt; Guy KRENZE - Eric GODDYN - Arnaud NICOLAS - CEPROC 2002</v>
      </c>
      <c r="N149" s="33">
        <f>N119</f>
        <v>20</v>
      </c>
      <c r="O149" s="32" t="str">
        <f>O119</f>
        <v>pressés de boudin</v>
      </c>
      <c r="P149" s="34" t="str">
        <f>P119</f>
        <v>Recette mère ► le Boudin en 4 déclinaisons</v>
      </c>
      <c r="Q149" s="92"/>
      <c r="R149" s="108"/>
      <c r="S149" s="94" t="str">
        <f t="shared" si="74"/>
        <v/>
      </c>
      <c r="T149" s="95"/>
      <c r="U149" s="126"/>
      <c r="V149" s="127">
        <v>1</v>
      </c>
      <c r="W149" s="920" t="s">
        <v>12833</v>
      </c>
      <c r="X149" s="1495">
        <f>IF(OR(ISBLANK(Q117),X117=0),0,Q149*V118)</f>
        <v>0</v>
      </c>
      <c r="Y149" s="101" cm="1">
        <f t="array" ref="Y149">IFERROR(_xlfn.LET(_xlpm.k,UPPER(TRIM(U149)),_xlpm.r,_xlfn.XLOOKUP(_xlpm.k,UPPER(TRIM(Q154:Z154)),Q155:Z155,_xlfn.XLOOKUP(_xlpm.k,UPPER(TRIM(Q156:Z156)),Q157:Z157)),_xlpm.r*T149*V149*V118*IF(ISBLANK(Q149),1,Q149)),0)</f>
        <v>0</v>
      </c>
      <c r="Z149" s="1476" t="str">
        <f>_xlfn.LET(_xlpm.unite,SUBSTITUTE(TRIM(U149)," (s)",""),_xlpm.val,Y149,_xlpm.estVol,COUNTIF(T154:Z154,_xlpm.unite)+COUNTIF(T156:Z156,_xlpm.unite)&gt;0,_xlpm.estPoids,COUNTIF(Q154:S154,_xlpm.unite)+COUNTIF(Q156:S156,_xlpm.unite)&gt;0,IF(_xlpm.estVol,IF(ROUND(_xlpm.val,3)&gt;=1,ROUND(_xlpm.val,3)&amp;" L",MAX(1,ROUND(_xlpm.val*100,0))&amp;" cl"),IF(_xlpm.estPoids,IF(ROUND(_xlpm.val,3)&gt;=1,ROUND(_xlpm.val,3)&amp;" Kg",MAX(1,ROUND(_xlpm.val*1000,0))&amp;" g"),"")))</f>
        <v/>
      </c>
      <c r="AA149" s="5211"/>
      <c r="AB149" s="1178"/>
      <c r="AC149" s="1179"/>
      <c r="AD149" s="227" t="s">
        <v>22</v>
      </c>
      <c r="AE149" s="1027" t="str">
        <f t="shared" si="52"/>
        <v>►</v>
      </c>
      <c r="AF149" s="1028" t="str">
        <f t="shared" si="53"/>
        <v/>
      </c>
      <c r="AG149" s="1029" t="str">
        <f t="shared" si="54"/>
        <v/>
      </c>
      <c r="AH149" s="1028" t="str">
        <f t="shared" si="55"/>
        <v/>
      </c>
      <c r="AI149" s="1029" t="str">
        <f t="shared" si="56"/>
        <v/>
      </c>
      <c r="AJ149" s="1029">
        <f t="shared" si="57"/>
        <v>0</v>
      </c>
      <c r="AK149" s="1043" t="str" cm="1">
        <f t="array" ref="AK149">IF(AE149&lt;&gt;"A","",IFERROR((IFERROR(_xlfn.XLOOKUP(TRIM(SUBSTITUTE(U149,CHAR(160)," ")),$BI$15:$BI$62,$BL$15:$BL$62),IFERROR(_xlfn.XLOOKUP(TRIM(SUBSTITUTE(U149,CHAR(160)," ")),$BJ$15:$BJ$62,$BL$15:$BL$62),_xlfn.XLOOKUP(TRIM(SUBSTITUTE(U149,CHAR(160)," ")),$BK$15:$BK$62,$BL$15:$BL$62))))*T149*IF(ISBLANK(Q149),1,Q149)+IFERROR(_xlfn.XLOOKUP("RECHERCHEX",TRIM(L149:AC149),L149:AC149),0),0))</f>
        <v/>
      </c>
      <c r="AL149" s="1030">
        <f t="shared" si="58"/>
        <v>0</v>
      </c>
      <c r="AM149" s="5254" t="str">
        <f t="shared" si="73"/>
        <v/>
      </c>
      <c r="AN149" s="1031">
        <f t="shared" si="59"/>
        <v>0</v>
      </c>
      <c r="AO149" s="1031">
        <f t="shared" si="60"/>
        <v>0</v>
      </c>
      <c r="AP149" s="1044">
        <f t="shared" si="61"/>
        <v>0</v>
      </c>
      <c r="AQ149" s="5257" t="str">
        <f t="shared" si="62"/>
        <v/>
      </c>
      <c r="AR149" s="1056"/>
      <c r="AS149" s="1056"/>
      <c r="AT149" s="1045">
        <f t="shared" si="63"/>
        <v>0</v>
      </c>
      <c r="AU149" s="1046">
        <f t="shared" si="64"/>
        <v>0</v>
      </c>
      <c r="AV149" s="1059" cm="1">
        <f t="array" ref="AV149">IF(AJ149&lt;&gt;1,0,IF(OR(AT149="",N(AT149)&lt;=0.000000001),"",IF(OR(AN149="",N(AN149)&lt;=0.000000001),0,IF(ISNUMBER(AT149),IFERROR(_xlfn.LET(_xlpm.ai_test,TRIM(AI149),_xlpm.r,IFERROR(_xlfn.XLOOKUP(_xlpm.ai_test,$BI$15:$BI$62,ROW($BI$15:$BI$62),0,1),IFERROR(_xlfn.XLOOKUP(_xlpm.ai_test,$BJ$15:$BJ$62,ROW($BJ$15:$BJ$62),0,1),_xlfn.XLOOKUP(_xlpm.ai_test,$BK$15:$BK$62,ROW($BK$15:$BK$62),0,1))),_xlpm.p,_xlpm.r-MIN(ROW($BI$15:$BI$62))+1,_xlpm.f,INDEX($BL$15:$BL$62,_xlpm.p),_xlpm.u,INDEX($BM$15:$BM$62,_xlpm.p),_xlpm.s,INDEX($BO$15:$BO$62,_xlpm.p),_xlpm.q,N(AT149)/_xlpm.f,IF(_xlpm.q&gt;=_xlpm.s,ROUND(_xlpm.q,1)&amp;" "&amp;_xlpm.ai_test&amp;" = "&amp;ROUND(_xlpm.q*_xlpm.f,1)&amp;" "&amp;_xlpm.u,ROUND(_xlpm.q,1)&amp;" "&amp;_xlpm.ai_test)),""),""))))</f>
        <v>0</v>
      </c>
      <c r="AW149" s="1047"/>
      <c r="AX149" s="1045">
        <f t="shared" si="65"/>
        <v>0</v>
      </c>
      <c r="AY149" s="1046" t="str">
        <f t="shared" si="66"/>
        <v/>
      </c>
      <c r="AZ149" s="1048">
        <f t="shared" si="71"/>
        <v>0</v>
      </c>
      <c r="BA149" s="1049" t="str">
        <f t="shared" si="67"/>
        <v/>
      </c>
      <c r="BB149" s="1038"/>
      <c r="BC149" s="1050">
        <f t="shared" si="72"/>
        <v>0</v>
      </c>
      <c r="BD149" s="1040" t="str">
        <f t="shared" si="68"/>
        <v/>
      </c>
      <c r="BE149" s="227" t="s">
        <v>22</v>
      </c>
      <c r="BF149" s="1019">
        <f t="shared" si="69"/>
        <v>0</v>
      </c>
      <c r="BG149" s="1020">
        <f t="shared" si="70"/>
        <v>0</v>
      </c>
      <c r="BH149"/>
      <c r="BQ149"/>
      <c r="BR149"/>
      <c r="BS149"/>
      <c r="BT149"/>
      <c r="BU149"/>
      <c r="BV149"/>
      <c r="BW149" s="959" t="str">
        <f t="shared" si="77"/>
        <v>►</v>
      </c>
      <c r="BX149"/>
      <c r="BY149"/>
      <c r="BZ149"/>
      <c r="CA149"/>
      <c r="CB149"/>
      <c r="CC149" s="856"/>
      <c r="DB149" s="3">
        <v>1</v>
      </c>
    </row>
    <row r="150" spans="1:106" s="709" customFormat="1" ht="21" customHeight="1">
      <c r="A150" s="936" t="s">
        <v>22</v>
      </c>
      <c r="B150" s="952" t="str">
        <f t="shared" si="76"/>
        <v>►</v>
      </c>
      <c r="C150" s="993" cm="1">
        <f t="array" ref="C150">SUMPRODUCT(LEN(D150:J150))</f>
        <v>0</v>
      </c>
      <c r="D150" s="167"/>
      <c r="E150" s="172"/>
      <c r="F150" s="172"/>
      <c r="G150" s="172"/>
      <c r="H150" s="172"/>
      <c r="I150" s="172"/>
      <c r="J150" s="173"/>
      <c r="K150" s="442"/>
      <c r="L150" s="104" t="str">
        <f t="shared" si="75"/>
        <v>►</v>
      </c>
      <c r="M150" s="32" t="str">
        <f>M119</f>
        <v>P PRESSÉ DE BOUDIN NOIR | | Auteur &gt; Guy KRENZE - Eric GODDYN - Arnaud NICOLAS - CEPROC 2002</v>
      </c>
      <c r="N150" s="33">
        <f>N119</f>
        <v>20</v>
      </c>
      <c r="O150" s="32" t="str">
        <f>O119</f>
        <v>pressés de boudin</v>
      </c>
      <c r="P150" s="34" t="str">
        <f>P119</f>
        <v>Recette mère ► le Boudin en 4 déclinaisons</v>
      </c>
      <c r="Q150" s="92"/>
      <c r="R150" s="108"/>
      <c r="S150" s="94" t="str">
        <f t="shared" si="74"/>
        <v/>
      </c>
      <c r="T150" s="95"/>
      <c r="U150" s="126"/>
      <c r="V150" s="127">
        <v>1</v>
      </c>
      <c r="W150" s="920"/>
      <c r="X150" s="1495">
        <f>IF(OR(ISBLANK(Q117),X117=0),0,Q150*V118)</f>
        <v>0</v>
      </c>
      <c r="Y150" s="101" cm="1">
        <f t="array" ref="Y150">IFERROR(_xlfn.LET(_xlpm.k,UPPER(TRIM(U150)),_xlpm.r,_xlfn.XLOOKUP(_xlpm.k,UPPER(TRIM(Q154:Z154)),Q155:Z155,_xlfn.XLOOKUP(_xlpm.k,UPPER(TRIM(Q156:Z156)),Q157:Z157)),_xlpm.r*T150*V150*V118*IF(ISBLANK(Q150),1,Q150)),0)</f>
        <v>0</v>
      </c>
      <c r="Z150" s="1475" t="str">
        <f>_xlfn.LET(_xlpm.unite,SUBSTITUTE(TRIM(U150)," (s)",""),_xlpm.val,Y150,_xlpm.estVol,COUNTIF(T154:Z154,_xlpm.unite)+COUNTIF(T156:Z156,_xlpm.unite)&gt;0,_xlpm.estPoids,COUNTIF(Q154:S154,_xlpm.unite)+COUNTIF(Q156:S156,_xlpm.unite)&gt;0,IF(_xlpm.estVol,IF(ROUND(_xlpm.val,3)&gt;=1,ROUND(_xlpm.val,3)&amp;" L",MAX(1,ROUND(_xlpm.val*100,0))&amp;" cl"),IF(_xlpm.estPoids,IF(ROUND(_xlpm.val,3)&gt;=1,ROUND(_xlpm.val,3)&amp;" Kg",MAX(1,ROUND(_xlpm.val*1000,0))&amp;" g"),"")))</f>
        <v/>
      </c>
      <c r="AA150" s="5211"/>
      <c r="AB150" s="1178"/>
      <c r="AC150" s="1179"/>
      <c r="AD150" s="227" t="s">
        <v>22</v>
      </c>
      <c r="AE150" s="1027" t="str">
        <f t="shared" ref="AE150:AE213" si="78">IF(OR(AN150&gt;0,TRIM(AF150)="▼ recette suivante"),"A","►")</f>
        <v>►</v>
      </c>
      <c r="AF150" s="1028" t="str">
        <f t="shared" ref="AF150:AF213" si="79">IF(TRIM(Q150)="Adresse PC","▼ recette suivante",IF(AN150&gt;0,M150,""))</f>
        <v/>
      </c>
      <c r="AG150" s="1029" t="str">
        <f t="shared" ref="AG150:AG213" si="80">IF(AE150="A",N150,"")</f>
        <v/>
      </c>
      <c r="AH150" s="1028" t="str">
        <f t="shared" ref="AH150:AH213" si="81">IF(AE150="A",O150,"")</f>
        <v/>
      </c>
      <c r="AI150" s="1029" t="str">
        <f t="shared" ref="AI150:AI213" si="82">IF(AE150="A",U150,"")</f>
        <v/>
      </c>
      <c r="AJ150" s="1029">
        <f t="shared" ref="AJ150:AJ213" si="83">IF(AND(L150="A",COUNTIF($BI$15:$BK$62,TRIM(U150))&gt;0),1,0)</f>
        <v>0</v>
      </c>
      <c r="AK150" s="1043" t="str" cm="1">
        <f t="array" ref="AK150">IF(AE150&lt;&gt;"A","",IFERROR((IFERROR(_xlfn.XLOOKUP(TRIM(SUBSTITUTE(U150,CHAR(160)," ")),$BI$15:$BI$62,$BL$15:$BL$62),IFERROR(_xlfn.XLOOKUP(TRIM(SUBSTITUTE(U150,CHAR(160)," ")),$BJ$15:$BJ$62,$BL$15:$BL$62),_xlfn.XLOOKUP(TRIM(SUBSTITUTE(U150,CHAR(160)," ")),$BK$15:$BK$62,$BL$15:$BL$62))))*T150*IF(ISBLANK(Q150),1,Q150)+IFERROR(_xlfn.XLOOKUP("RECHERCHEX",TRIM(L150:AC150),L150:AC150),0),0))</f>
        <v/>
      </c>
      <c r="AL150" s="1030">
        <f t="shared" ref="AL150:AL213" si="84">IF(AJ150,IF(AK150&gt;0,"Kg",0),0)</f>
        <v>0</v>
      </c>
      <c r="AM150" s="5254" t="str">
        <f t="shared" si="73"/>
        <v/>
      </c>
      <c r="AN150" s="1031">
        <f t="shared" ref="AN150:AN213" si="85">IF(AJ150,N150,0)</f>
        <v>0</v>
      </c>
      <c r="AO150" s="1031">
        <f t="shared" ref="AO150:AO213" si="86">IF(AJ150,O150,0)</f>
        <v>0</v>
      </c>
      <c r="AP150" s="1032">
        <f t="shared" ref="AP150:AP213" si="87">IF(AN150&gt;0,AR$9,0)</f>
        <v>0</v>
      </c>
      <c r="AQ150" s="5255" t="str">
        <f t="shared" ref="AQ150:AQ213" si="88">IF(TRIM(AF150)="▼ recette suivante", AF150, IF(AP150&gt;0, IF(AS$9&lt;&gt;"", AS$9&amp;"-ou.or.o ❾ + or - &gt;", ""), ""))</f>
        <v/>
      </c>
      <c r="AR150" s="1056"/>
      <c r="AS150" s="1056"/>
      <c r="AT150" s="1034">
        <f t="shared" ref="AT150:AT213" si="89">IF(TRIM(AL150)="Kg",N(AK150)*N(BG150),0)</f>
        <v>0</v>
      </c>
      <c r="AU150" s="1035">
        <f t="shared" ref="AU150:AU213" si="90">IF(AJ150,IF(OR(AT150="",N(AT150)&lt;=0.000000001),"",_xlfn.XLOOKUP(AI150,$BI$15:$BI$62,$BM$15:$BM$62,_xlfn.XLOOKUP(AI150,$BJ$15:$BJ$62,$BM$15:$BM$62,_xlfn.XLOOKUP(AI150,$BK$15:$BK$62,$BM$15:$BM$62,"")))),0)</f>
        <v>0</v>
      </c>
      <c r="AV150" s="1057" cm="1">
        <f t="array" ref="AV150">IF(AJ150&lt;&gt;1,0,IF(OR(AT150="",N(AT150)&lt;=0.000000001),"",IF(OR(AN150="",N(AN150)&lt;=0.000000001),0,IF(ISNUMBER(AT150),IFERROR(_xlfn.LET(_xlpm.ai_test,TRIM(AI150),_xlpm.r,IFERROR(_xlfn.XLOOKUP(_xlpm.ai_test,$BI$15:$BI$62,ROW($BI$15:$BI$62),0,1),IFERROR(_xlfn.XLOOKUP(_xlpm.ai_test,$BJ$15:$BJ$62,ROW($BJ$15:$BJ$62),0,1),_xlfn.XLOOKUP(_xlpm.ai_test,$BK$15:$BK$62,ROW($BK$15:$BK$62),0,1))),_xlpm.p,_xlpm.r-MIN(ROW($BI$15:$BI$62))+1,_xlpm.f,INDEX($BL$15:$BL$62,_xlpm.p),_xlpm.u,INDEX($BM$15:$BM$62,_xlpm.p),_xlpm.s,INDEX($BO$15:$BO$62,_xlpm.p),_xlpm.q,N(AT150)/_xlpm.f,IF(_xlpm.q&gt;=_xlpm.s,ROUND(_xlpm.q,1)&amp;" "&amp;_xlpm.ai_test&amp;" = "&amp;ROUND(_xlpm.q*_xlpm.f,1)&amp;" "&amp;_xlpm.u,ROUND(_xlpm.q,1)&amp;" "&amp;_xlpm.ai_test)),""),""))))</f>
        <v>0</v>
      </c>
      <c r="AW150" s="1047"/>
      <c r="AX150" s="1034">
        <f t="shared" ref="AX150:AX213" si="91">IF(TRIM(AF150)="▼ recette suivante","▼next recipe ",IF(AT150="","",IF(ISBLANK(AW150),AT150,ROUND(AT150*(1-MIN(1,MAX(0,IF(AW150&gt;1,AW150/100,AW150)))),3))))</f>
        <v>0</v>
      </c>
      <c r="AY150" s="1035" t="str">
        <f t="shared" ref="AY150:AY213" si="92">IF(AJ150,AU150,"")</f>
        <v/>
      </c>
      <c r="AZ150" s="1036">
        <f t="shared" si="71"/>
        <v>0</v>
      </c>
      <c r="BA150" s="1037" t="str">
        <f t="shared" ref="BA150:BA213" si="93">IF(AJ150,IF(N(AZ150)&gt;0.000000001,R150,""),"")</f>
        <v/>
      </c>
      <c r="BB150" s="1038"/>
      <c r="BC150" s="1039">
        <f t="shared" si="72"/>
        <v>0</v>
      </c>
      <c r="BD150" s="1040" t="str">
        <f t="shared" ref="BD150:BD213" si="94">IF(IFERROR(SEARCH("Adresse PC",TRIM(Q150)),0)&gt;0,"▼ receta siguiente",IF(AX150&gt;0,W150,""))</f>
        <v/>
      </c>
      <c r="BE150" s="227" t="s">
        <v>22</v>
      </c>
      <c r="BF150" s="1019">
        <f t="shared" ref="BF150:BF213" si="95">IFERROR(_xlfn.LET(_xlpm.EPS,0.000000001,_xlpm.b,Q150/AN150,IF(ISNUMBER(AR150),_xlpm.b*AR150,IF(OR(ISBLANK(AR150),AR150=""),_xlpm.b*AP150,IF(AND(BG150=0,ISNUMBER(Q150)),_xlpm.b/AP150,0)))),0)</f>
        <v>0</v>
      </c>
      <c r="BG150" s="1020">
        <f t="shared" ref="BG150:BG213" si="96">IF(AK150&gt;0,IFERROR(IF(OR(ISBLANK(AR150),AR150=""),AP150,AR150)/AN150,0),0)</f>
        <v>0</v>
      </c>
      <c r="BH150"/>
      <c r="BQ150"/>
      <c r="BR150"/>
      <c r="BS150"/>
      <c r="BT150"/>
      <c r="BU150"/>
      <c r="BV150"/>
      <c r="BW150" s="959" t="str">
        <f t="shared" si="77"/>
        <v>►</v>
      </c>
      <c r="BX150"/>
      <c r="BY150"/>
      <c r="BZ150"/>
      <c r="CA150"/>
      <c r="CB150"/>
      <c r="CC150" s="856"/>
      <c r="DB150" s="3">
        <v>1</v>
      </c>
    </row>
    <row r="151" spans="1:106" s="709" customFormat="1" ht="21" customHeight="1">
      <c r="A151" s="936" t="s">
        <v>22</v>
      </c>
      <c r="B151" s="952" t="str">
        <f t="shared" si="76"/>
        <v>►</v>
      </c>
      <c r="C151" s="993" cm="1">
        <f t="array" ref="C151">SUMPRODUCT(LEN(D151:J151))</f>
        <v>0</v>
      </c>
      <c r="D151" s="167"/>
      <c r="E151" s="172"/>
      <c r="F151" s="172"/>
      <c r="G151" s="172"/>
      <c r="H151" s="172"/>
      <c r="I151" s="172"/>
      <c r="J151" s="173"/>
      <c r="K151" s="442"/>
      <c r="L151" s="104" t="str">
        <f t="shared" si="75"/>
        <v>►</v>
      </c>
      <c r="M151" s="32" t="str">
        <f>M119</f>
        <v>P PRESSÉ DE BOUDIN NOIR | | Auteur &gt; Guy KRENZE - Eric GODDYN - Arnaud NICOLAS - CEPROC 2002</v>
      </c>
      <c r="N151" s="33">
        <f>N119</f>
        <v>20</v>
      </c>
      <c r="O151" s="32" t="str">
        <f>O119</f>
        <v>pressés de boudin</v>
      </c>
      <c r="P151" s="34" t="str">
        <f>P119</f>
        <v>Recette mère ► le Boudin en 4 déclinaisons</v>
      </c>
      <c r="Q151" s="92"/>
      <c r="R151" s="108"/>
      <c r="S151" s="94" t="str">
        <f t="shared" si="74"/>
        <v/>
      </c>
      <c r="T151" s="95"/>
      <c r="U151" s="126"/>
      <c r="V151" s="127">
        <v>1</v>
      </c>
      <c r="W151" s="920"/>
      <c r="X151" s="1495">
        <f>IF(OR(ISBLANK(Q117),X117=0),0,Q151*V118)</f>
        <v>0</v>
      </c>
      <c r="Y151" s="101" cm="1">
        <f t="array" ref="Y151">IFERROR(_xlfn.LET(_xlpm.k,UPPER(TRIM(U151)),_xlpm.r,_xlfn.XLOOKUP(_xlpm.k,UPPER(TRIM(Q154:Z154)),Q155:Z155,_xlfn.XLOOKUP(_xlpm.k,UPPER(TRIM(Q156:Z156)),Q157:Z157)),_xlpm.r*T151*V151*V118*IF(ISBLANK(Q151),1,Q151)),0)</f>
        <v>0</v>
      </c>
      <c r="Z151" s="1476" t="str">
        <f>_xlfn.LET(_xlpm.unite,SUBSTITUTE(TRIM(U151)," (s)",""),_xlpm.val,Y151,_xlpm.estVol,COUNTIF(T154:Z154,_xlpm.unite)+COUNTIF(T156:Z156,_xlpm.unite)&gt;0,_xlpm.estPoids,COUNTIF(Q154:S154,_xlpm.unite)+COUNTIF(Q156:S156,_xlpm.unite)&gt;0,IF(_xlpm.estVol,IF(ROUND(_xlpm.val,3)&gt;=1,ROUND(_xlpm.val,3)&amp;" L",MAX(1,ROUND(_xlpm.val*100,0))&amp;" cl"),IF(_xlpm.estPoids,IF(ROUND(_xlpm.val,3)&gt;=1,ROUND(_xlpm.val,3)&amp;" Kg",MAX(1,ROUND(_xlpm.val*1000,0))&amp;" g"),"")))</f>
        <v/>
      </c>
      <c r="AA151" s="5211"/>
      <c r="AB151" s="1178"/>
      <c r="AC151" s="1179"/>
      <c r="AD151" s="227" t="s">
        <v>22</v>
      </c>
      <c r="AE151" s="1027" t="str">
        <f t="shared" si="78"/>
        <v>►</v>
      </c>
      <c r="AF151" s="1028" t="str">
        <f t="shared" si="79"/>
        <v/>
      </c>
      <c r="AG151" s="1029" t="str">
        <f t="shared" si="80"/>
        <v/>
      </c>
      <c r="AH151" s="1028" t="str">
        <f t="shared" si="81"/>
        <v/>
      </c>
      <c r="AI151" s="1029" t="str">
        <f t="shared" si="82"/>
        <v/>
      </c>
      <c r="AJ151" s="1029">
        <f t="shared" si="83"/>
        <v>0</v>
      </c>
      <c r="AK151" s="1043" t="str" cm="1">
        <f t="array" ref="AK151">IF(AE151&lt;&gt;"A","",IFERROR((IFERROR(_xlfn.XLOOKUP(TRIM(SUBSTITUTE(U151,CHAR(160)," ")),$BI$15:$BI$62,$BL$15:$BL$62),IFERROR(_xlfn.XLOOKUP(TRIM(SUBSTITUTE(U151,CHAR(160)," ")),$BJ$15:$BJ$62,$BL$15:$BL$62),_xlfn.XLOOKUP(TRIM(SUBSTITUTE(U151,CHAR(160)," ")),$BK$15:$BK$62,$BL$15:$BL$62))))*T151*IF(ISBLANK(Q151),1,Q151)+IFERROR(_xlfn.XLOOKUP("RECHERCHEX",TRIM(L151:AC151),L151:AC151),0),0))</f>
        <v/>
      </c>
      <c r="AL151" s="1030">
        <f t="shared" si="84"/>
        <v>0</v>
      </c>
      <c r="AM151" s="5254" t="str">
        <f t="shared" si="73"/>
        <v/>
      </c>
      <c r="AN151" s="1031">
        <f t="shared" si="85"/>
        <v>0</v>
      </c>
      <c r="AO151" s="1031">
        <f t="shared" si="86"/>
        <v>0</v>
      </c>
      <c r="AP151" s="1044">
        <f t="shared" si="87"/>
        <v>0</v>
      </c>
      <c r="AQ151" s="5257" t="str">
        <f t="shared" si="88"/>
        <v/>
      </c>
      <c r="AR151" s="1056"/>
      <c r="AS151" s="1056"/>
      <c r="AT151" s="1045">
        <f t="shared" si="89"/>
        <v>0</v>
      </c>
      <c r="AU151" s="1046">
        <f t="shared" si="90"/>
        <v>0</v>
      </c>
      <c r="AV151" s="1059" cm="1">
        <f t="array" ref="AV151">IF(AJ151&lt;&gt;1,0,IF(OR(AT151="",N(AT151)&lt;=0.000000001),"",IF(OR(AN151="",N(AN151)&lt;=0.000000001),0,IF(ISNUMBER(AT151),IFERROR(_xlfn.LET(_xlpm.ai_test,TRIM(AI151),_xlpm.r,IFERROR(_xlfn.XLOOKUP(_xlpm.ai_test,$BI$15:$BI$62,ROW($BI$15:$BI$62),0,1),IFERROR(_xlfn.XLOOKUP(_xlpm.ai_test,$BJ$15:$BJ$62,ROW($BJ$15:$BJ$62),0,1),_xlfn.XLOOKUP(_xlpm.ai_test,$BK$15:$BK$62,ROW($BK$15:$BK$62),0,1))),_xlpm.p,_xlpm.r-MIN(ROW($BI$15:$BI$62))+1,_xlpm.f,INDEX($BL$15:$BL$62,_xlpm.p),_xlpm.u,INDEX($BM$15:$BM$62,_xlpm.p),_xlpm.s,INDEX($BO$15:$BO$62,_xlpm.p),_xlpm.q,N(AT151)/_xlpm.f,IF(_xlpm.q&gt;=_xlpm.s,ROUND(_xlpm.q,1)&amp;" "&amp;_xlpm.ai_test&amp;" = "&amp;ROUND(_xlpm.q*_xlpm.f,1)&amp;" "&amp;_xlpm.u,ROUND(_xlpm.q,1)&amp;" "&amp;_xlpm.ai_test)),""),""))))</f>
        <v>0</v>
      </c>
      <c r="AW151" s="1047"/>
      <c r="AX151" s="1045">
        <f t="shared" si="91"/>
        <v>0</v>
      </c>
      <c r="AY151" s="1046" t="str">
        <f t="shared" si="92"/>
        <v/>
      </c>
      <c r="AZ151" s="1048">
        <f t="shared" ref="AZ151:AZ214" si="97">IF(ISNUMBER(BF151),IF(ABS(BF151)&lt;=0.000000001,0,BF151),0)</f>
        <v>0</v>
      </c>
      <c r="BA151" s="1049" t="str">
        <f t="shared" si="93"/>
        <v/>
      </c>
      <c r="BB151" s="1038"/>
      <c r="BC151" s="1050">
        <f t="shared" si="72"/>
        <v>0</v>
      </c>
      <c r="BD151" s="1040" t="str">
        <f t="shared" si="94"/>
        <v/>
      </c>
      <c r="BE151" s="227" t="s">
        <v>22</v>
      </c>
      <c r="BF151" s="1019">
        <f t="shared" si="95"/>
        <v>0</v>
      </c>
      <c r="BG151" s="1020">
        <f t="shared" si="96"/>
        <v>0</v>
      </c>
      <c r="BH151"/>
      <c r="BQ151"/>
      <c r="BR151"/>
      <c r="BS151"/>
      <c r="BT151"/>
      <c r="BU151"/>
      <c r="BV151"/>
      <c r="BW151" s="959" t="str">
        <f t="shared" si="77"/>
        <v>►</v>
      </c>
      <c r="BX151"/>
      <c r="BY151"/>
      <c r="BZ151"/>
      <c r="CA151"/>
      <c r="CB151"/>
      <c r="CC151" s="856"/>
      <c r="DB151" s="3">
        <v>1</v>
      </c>
    </row>
    <row r="152" spans="1:106" s="709" customFormat="1" ht="21" customHeight="1">
      <c r="A152" s="936" t="s">
        <v>22</v>
      </c>
      <c r="B152" s="952" t="str">
        <f t="shared" si="76"/>
        <v>►</v>
      </c>
      <c r="C152" s="993" cm="1">
        <f t="array" ref="C152">SUMPRODUCT(LEN(D152:J152))</f>
        <v>0</v>
      </c>
      <c r="D152" s="167"/>
      <c r="E152" s="172"/>
      <c r="F152" s="172"/>
      <c r="G152" s="172"/>
      <c r="H152" s="172"/>
      <c r="I152" s="172"/>
      <c r="J152" s="173"/>
      <c r="K152" s="442"/>
      <c r="L152" s="104" t="str">
        <f t="shared" si="75"/>
        <v>►</v>
      </c>
      <c r="M152" s="32" t="str">
        <f>M119</f>
        <v>P PRESSÉ DE BOUDIN NOIR | | Auteur &gt; Guy KRENZE - Eric GODDYN - Arnaud NICOLAS - CEPROC 2002</v>
      </c>
      <c r="N152" s="33">
        <f>N119</f>
        <v>20</v>
      </c>
      <c r="O152" s="32" t="str">
        <f>O119</f>
        <v>pressés de boudin</v>
      </c>
      <c r="P152" s="34" t="str">
        <f>P119</f>
        <v>Recette mère ► le Boudin en 4 déclinaisons</v>
      </c>
      <c r="Q152" s="92"/>
      <c r="R152" s="108"/>
      <c r="S152" s="94" t="str">
        <f t="shared" si="74"/>
        <v/>
      </c>
      <c r="T152" s="95"/>
      <c r="U152" s="126"/>
      <c r="V152" s="127">
        <v>1</v>
      </c>
      <c r="W152" s="920"/>
      <c r="X152" s="1495">
        <f>IF(OR(ISBLANK(Q117),X117=0),0,Q152*V118)</f>
        <v>0</v>
      </c>
      <c r="Y152" s="101" cm="1">
        <f t="array" ref="Y152">IFERROR(_xlfn.LET(_xlpm.k,UPPER(TRIM(U152)),_xlpm.r,_xlfn.XLOOKUP(_xlpm.k,UPPER(TRIM(Q154:Z154)),Q155:Z155,_xlfn.XLOOKUP(_xlpm.k,UPPER(TRIM(Q156:Z156)),Q157:Z157)),_xlpm.r*T152*V152*V118*IF(ISBLANK(Q152),1,Q152)),0)</f>
        <v>0</v>
      </c>
      <c r="Z152" s="1475" t="str">
        <f>_xlfn.LET(_xlpm.unite,SUBSTITUTE(TRIM(U152)," (s)",""),_xlpm.val,Y152,_xlpm.estVol,COUNTIF(T154:Z154,_xlpm.unite)+COUNTIF(T156:Z156,_xlpm.unite)&gt;0,_xlpm.estPoids,COUNTIF(Q154:S154,_xlpm.unite)+COUNTIF(Q156:S156,_xlpm.unite)&gt;0,IF(_xlpm.estVol,IF(ROUND(_xlpm.val,3)&gt;=1,ROUND(_xlpm.val,3)&amp;" L",MAX(1,ROUND(_xlpm.val*100,0))&amp;" cl"),IF(_xlpm.estPoids,IF(ROUND(_xlpm.val,3)&gt;=1,ROUND(_xlpm.val,3)&amp;" Kg",MAX(1,ROUND(_xlpm.val*1000,0))&amp;" g"),"")))</f>
        <v/>
      </c>
      <c r="AA152" s="5211"/>
      <c r="AB152" s="1178"/>
      <c r="AC152" s="1179"/>
      <c r="AD152" s="227" t="s">
        <v>22</v>
      </c>
      <c r="AE152" s="1027" t="str">
        <f t="shared" si="78"/>
        <v>►</v>
      </c>
      <c r="AF152" s="1028" t="str">
        <f t="shared" si="79"/>
        <v/>
      </c>
      <c r="AG152" s="1029" t="str">
        <f t="shared" si="80"/>
        <v/>
      </c>
      <c r="AH152" s="1028" t="str">
        <f t="shared" si="81"/>
        <v/>
      </c>
      <c r="AI152" s="1029" t="str">
        <f t="shared" si="82"/>
        <v/>
      </c>
      <c r="AJ152" s="1029">
        <f t="shared" si="83"/>
        <v>0</v>
      </c>
      <c r="AK152" s="1043" t="str" cm="1">
        <f t="array" ref="AK152">IF(AE152&lt;&gt;"A","",IFERROR((IFERROR(_xlfn.XLOOKUP(TRIM(SUBSTITUTE(U152,CHAR(160)," ")),$BI$15:$BI$62,$BL$15:$BL$62),IFERROR(_xlfn.XLOOKUP(TRIM(SUBSTITUTE(U152,CHAR(160)," ")),$BJ$15:$BJ$62,$BL$15:$BL$62),_xlfn.XLOOKUP(TRIM(SUBSTITUTE(U152,CHAR(160)," ")),$BK$15:$BK$62,$BL$15:$BL$62))))*T152*IF(ISBLANK(Q152),1,Q152)+IFERROR(_xlfn.XLOOKUP("RECHERCHEX",TRIM(L152:AC152),L152:AC152),0),0))</f>
        <v/>
      </c>
      <c r="AL152" s="1030">
        <f t="shared" si="84"/>
        <v>0</v>
      </c>
      <c r="AM152" s="5254" t="str">
        <f t="shared" si="73"/>
        <v/>
      </c>
      <c r="AN152" s="1031">
        <f t="shared" si="85"/>
        <v>0</v>
      </c>
      <c r="AO152" s="1031">
        <f t="shared" si="86"/>
        <v>0</v>
      </c>
      <c r="AP152" s="1032">
        <f t="shared" si="87"/>
        <v>0</v>
      </c>
      <c r="AQ152" s="5255" t="str">
        <f t="shared" si="88"/>
        <v/>
      </c>
      <c r="AR152" s="1056"/>
      <c r="AS152" s="1056"/>
      <c r="AT152" s="1034">
        <f t="shared" si="89"/>
        <v>0</v>
      </c>
      <c r="AU152" s="1035">
        <f t="shared" si="90"/>
        <v>0</v>
      </c>
      <c r="AV152" s="1057" cm="1">
        <f t="array" ref="AV152">IF(AJ152&lt;&gt;1,0,IF(OR(AT152="",N(AT152)&lt;=0.000000001),"",IF(OR(AN152="",N(AN152)&lt;=0.000000001),0,IF(ISNUMBER(AT152),IFERROR(_xlfn.LET(_xlpm.ai_test,TRIM(AI152),_xlpm.r,IFERROR(_xlfn.XLOOKUP(_xlpm.ai_test,$BI$15:$BI$62,ROW($BI$15:$BI$62),0,1),IFERROR(_xlfn.XLOOKUP(_xlpm.ai_test,$BJ$15:$BJ$62,ROW($BJ$15:$BJ$62),0,1),_xlfn.XLOOKUP(_xlpm.ai_test,$BK$15:$BK$62,ROW($BK$15:$BK$62),0,1))),_xlpm.p,_xlpm.r-MIN(ROW($BI$15:$BI$62))+1,_xlpm.f,INDEX($BL$15:$BL$62,_xlpm.p),_xlpm.u,INDEX($BM$15:$BM$62,_xlpm.p),_xlpm.s,INDEX($BO$15:$BO$62,_xlpm.p),_xlpm.q,N(AT152)/_xlpm.f,IF(_xlpm.q&gt;=_xlpm.s,ROUND(_xlpm.q,1)&amp;" "&amp;_xlpm.ai_test&amp;" = "&amp;ROUND(_xlpm.q*_xlpm.f,1)&amp;" "&amp;_xlpm.u,ROUND(_xlpm.q,1)&amp;" "&amp;_xlpm.ai_test)),""),""))))</f>
        <v>0</v>
      </c>
      <c r="AW152" s="1047"/>
      <c r="AX152" s="1034">
        <f t="shared" si="91"/>
        <v>0</v>
      </c>
      <c r="AY152" s="1035" t="str">
        <f t="shared" si="92"/>
        <v/>
      </c>
      <c r="AZ152" s="1036">
        <f t="shared" si="97"/>
        <v>0</v>
      </c>
      <c r="BA152" s="1037" t="str">
        <f t="shared" si="93"/>
        <v/>
      </c>
      <c r="BB152" s="1038"/>
      <c r="BC152" s="1039">
        <f t="shared" si="72"/>
        <v>0</v>
      </c>
      <c r="BD152" s="1040" t="str">
        <f t="shared" si="94"/>
        <v/>
      </c>
      <c r="BE152" s="227" t="s">
        <v>22</v>
      </c>
      <c r="BF152" s="1019">
        <f t="shared" si="95"/>
        <v>0</v>
      </c>
      <c r="BG152" s="1020">
        <f t="shared" si="96"/>
        <v>0</v>
      </c>
      <c r="BH152"/>
      <c r="BQ152"/>
      <c r="BR152"/>
      <c r="BS152"/>
      <c r="BT152"/>
      <c r="BU152"/>
      <c r="BV152"/>
      <c r="BW152" s="959" t="str">
        <f t="shared" si="77"/>
        <v>►</v>
      </c>
      <c r="BX152"/>
      <c r="BY152"/>
      <c r="BZ152"/>
      <c r="CA152"/>
      <c r="CB152"/>
      <c r="CC152" s="856"/>
      <c r="DB152" s="3">
        <v>1</v>
      </c>
    </row>
    <row r="153" spans="1:106" s="709" customFormat="1" ht="21" customHeight="1">
      <c r="A153" s="936" t="s">
        <v>22</v>
      </c>
      <c r="B153" s="952" t="str">
        <f t="shared" si="76"/>
        <v>A</v>
      </c>
      <c r="C153" s="993" cm="1">
        <f t="array" ref="C153">SUMPRODUCT(LEN(D153:J153))</f>
        <v>0</v>
      </c>
      <c r="D153" s="167"/>
      <c r="E153" s="172"/>
      <c r="F153" s="172"/>
      <c r="G153" s="172"/>
      <c r="H153" s="172"/>
      <c r="I153" s="172"/>
      <c r="J153" s="173"/>
      <c r="K153" s="442"/>
      <c r="L153" s="104" t="s">
        <v>11</v>
      </c>
      <c r="M153" s="32" t="str">
        <f>M119</f>
        <v>P PRESSÉ DE BOUDIN NOIR | | Auteur &gt; Guy KRENZE - Eric GODDYN - Arnaud NICOLAS - CEPROC 2002</v>
      </c>
      <c r="N153" s="33">
        <f>N119</f>
        <v>20</v>
      </c>
      <c r="O153" s="32" t="str">
        <f>O119</f>
        <v>pressés de boudin</v>
      </c>
      <c r="P153" s="34" t="str">
        <f>P119</f>
        <v>Recette mère ► le Boudin en 4 déclinaisons</v>
      </c>
      <c r="Q153" s="907" t="s">
        <v>136</v>
      </c>
      <c r="R153" s="500"/>
      <c r="S153" s="500"/>
      <c r="T153" s="500"/>
      <c r="U153" s="500"/>
      <c r="V153" s="908"/>
      <c r="W153" s="909"/>
      <c r="X153" s="909"/>
      <c r="Y153" s="910">
        <f>SUM(Y123:Y152)</f>
        <v>2.5619999999999998</v>
      </c>
      <c r="Z153" s="1489"/>
      <c r="AA153" s="5211"/>
      <c r="AB153" s="1178"/>
      <c r="AC153" s="1179"/>
      <c r="AD153" s="227" t="s">
        <v>22</v>
      </c>
      <c r="AE153" s="1027" t="str">
        <f t="shared" si="78"/>
        <v>►</v>
      </c>
      <c r="AF153" s="1028" t="str">
        <f t="shared" si="79"/>
        <v/>
      </c>
      <c r="AG153" s="1029" t="str">
        <f t="shared" si="80"/>
        <v/>
      </c>
      <c r="AH153" s="1028" t="str">
        <f t="shared" si="81"/>
        <v/>
      </c>
      <c r="AI153" s="1029" t="str">
        <f t="shared" si="82"/>
        <v/>
      </c>
      <c r="AJ153" s="1029">
        <f t="shared" si="83"/>
        <v>0</v>
      </c>
      <c r="AK153" s="1043" t="str" cm="1">
        <f t="array" ref="AK153">IF(AE153&lt;&gt;"A","",IFERROR((IFERROR(_xlfn.XLOOKUP(TRIM(SUBSTITUTE(U153,CHAR(160)," ")),$BI$15:$BI$62,$BL$15:$BL$62),IFERROR(_xlfn.XLOOKUP(TRIM(SUBSTITUTE(U153,CHAR(160)," ")),$BJ$15:$BJ$62,$BL$15:$BL$62),_xlfn.XLOOKUP(TRIM(SUBSTITUTE(U153,CHAR(160)," ")),$BK$15:$BK$62,$BL$15:$BL$62))))*T153*IF(ISBLANK(Q153),1,Q153)+IFERROR(_xlfn.XLOOKUP("RECHERCHEX",TRIM(L153:AC153),L153:AC153),0),0))</f>
        <v/>
      </c>
      <c r="AL153" s="1030">
        <f t="shared" si="84"/>
        <v>0</v>
      </c>
      <c r="AM153" s="5254" t="str">
        <f t="shared" si="73"/>
        <v/>
      </c>
      <c r="AN153" s="1031">
        <f t="shared" si="85"/>
        <v>0</v>
      </c>
      <c r="AO153" s="1031">
        <f t="shared" si="86"/>
        <v>0</v>
      </c>
      <c r="AP153" s="1044">
        <f t="shared" si="87"/>
        <v>0</v>
      </c>
      <c r="AQ153" s="5257" t="str">
        <f t="shared" si="88"/>
        <v/>
      </c>
      <c r="AR153" s="1056"/>
      <c r="AS153" s="1056"/>
      <c r="AT153" s="1045">
        <f t="shared" si="89"/>
        <v>0</v>
      </c>
      <c r="AU153" s="1046">
        <f t="shared" si="90"/>
        <v>0</v>
      </c>
      <c r="AV153" s="1059" cm="1">
        <f t="array" ref="AV153">IF(AJ153&lt;&gt;1,0,IF(OR(AT153="",N(AT153)&lt;=0.000000001),"",IF(OR(AN153="",N(AN153)&lt;=0.000000001),0,IF(ISNUMBER(AT153),IFERROR(_xlfn.LET(_xlpm.ai_test,TRIM(AI153),_xlpm.r,IFERROR(_xlfn.XLOOKUP(_xlpm.ai_test,$BI$15:$BI$62,ROW($BI$15:$BI$62),0,1),IFERROR(_xlfn.XLOOKUP(_xlpm.ai_test,$BJ$15:$BJ$62,ROW($BJ$15:$BJ$62),0,1),_xlfn.XLOOKUP(_xlpm.ai_test,$BK$15:$BK$62,ROW($BK$15:$BK$62),0,1))),_xlpm.p,_xlpm.r-MIN(ROW($BI$15:$BI$62))+1,_xlpm.f,INDEX($BL$15:$BL$62,_xlpm.p),_xlpm.u,INDEX($BM$15:$BM$62,_xlpm.p),_xlpm.s,INDEX($BO$15:$BO$62,_xlpm.p),_xlpm.q,N(AT153)/_xlpm.f,IF(_xlpm.q&gt;=_xlpm.s,ROUND(_xlpm.q,1)&amp;" "&amp;_xlpm.ai_test&amp;" = "&amp;ROUND(_xlpm.q*_xlpm.f,1)&amp;" "&amp;_xlpm.u,ROUND(_xlpm.q,1)&amp;" "&amp;_xlpm.ai_test)),""),""))))</f>
        <v>0</v>
      </c>
      <c r="AW153" s="1047"/>
      <c r="AX153" s="1045">
        <f t="shared" si="91"/>
        <v>0</v>
      </c>
      <c r="AY153" s="1046" t="str">
        <f t="shared" si="92"/>
        <v/>
      </c>
      <c r="AZ153" s="1048">
        <f t="shared" si="97"/>
        <v>0</v>
      </c>
      <c r="BA153" s="1049" t="str">
        <f t="shared" si="93"/>
        <v/>
      </c>
      <c r="BB153" s="1038"/>
      <c r="BC153" s="1050">
        <f t="shared" si="72"/>
        <v>0</v>
      </c>
      <c r="BD153" s="1040" t="str">
        <f t="shared" si="94"/>
        <v/>
      </c>
      <c r="BE153" s="227" t="s">
        <v>22</v>
      </c>
      <c r="BF153" s="1019">
        <f t="shared" si="95"/>
        <v>0</v>
      </c>
      <c r="BG153" s="1020">
        <f t="shared" si="96"/>
        <v>0</v>
      </c>
      <c r="BH153"/>
      <c r="BQ153"/>
      <c r="BR153"/>
      <c r="BS153"/>
      <c r="BT153"/>
      <c r="BU153"/>
      <c r="BV153"/>
      <c r="BW153" s="959" t="str">
        <f t="shared" si="77"/>
        <v>►</v>
      </c>
      <c r="BX153"/>
      <c r="BY153"/>
      <c r="BZ153"/>
      <c r="CA153"/>
      <c r="CB153"/>
      <c r="CC153" s="856"/>
      <c r="DB153" s="3">
        <v>1</v>
      </c>
    </row>
    <row r="154" spans="1:106" s="709" customFormat="1" ht="21" customHeight="1">
      <c r="A154" s="936" t="s">
        <v>22</v>
      </c>
      <c r="B154" s="952" t="str">
        <f t="shared" si="76"/>
        <v>►</v>
      </c>
      <c r="C154" s="993" cm="1">
        <f t="array" ref="C154">SUMPRODUCT(LEN(D154:J154))</f>
        <v>0</v>
      </c>
      <c r="D154" s="167"/>
      <c r="E154" s="172"/>
      <c r="F154" s="172"/>
      <c r="G154" s="172"/>
      <c r="H154" s="172"/>
      <c r="I154" s="172"/>
      <c r="J154" s="173"/>
      <c r="K154" s="442"/>
      <c r="L154" s="104" t="s">
        <v>16</v>
      </c>
      <c r="M154" s="32" t="str">
        <f>M119</f>
        <v>P PRESSÉ DE BOUDIN NOIR | | Auteur &gt; Guy KRENZE - Eric GODDYN - Arnaud NICOLAS - CEPROC 2002</v>
      </c>
      <c r="N154" s="33">
        <f>N119</f>
        <v>20</v>
      </c>
      <c r="O154" s="32" t="str">
        <f>O119</f>
        <v>pressés de boudin</v>
      </c>
      <c r="P154" s="34" t="str">
        <f>P119</f>
        <v>Recette mère ► le Boudin en 4 déclinaisons</v>
      </c>
      <c r="Q154" s="140" t="s">
        <v>143</v>
      </c>
      <c r="R154" s="105" t="s">
        <v>99</v>
      </c>
      <c r="S154" s="141" t="s">
        <v>144</v>
      </c>
      <c r="T154" s="96" t="s">
        <v>0</v>
      </c>
      <c r="U154" s="96" t="s">
        <v>96</v>
      </c>
      <c r="V154" s="96" t="s">
        <v>147</v>
      </c>
      <c r="W154" s="96" t="s">
        <v>148</v>
      </c>
      <c r="X154" s="109" t="s">
        <v>364</v>
      </c>
      <c r="Y154" s="109" t="s">
        <v>102</v>
      </c>
      <c r="Z154" s="109" t="s">
        <v>149</v>
      </c>
      <c r="AA154" s="5211"/>
      <c r="AB154" s="1178"/>
      <c r="AC154" s="1179"/>
      <c r="AD154" s="227" t="s">
        <v>22</v>
      </c>
      <c r="AE154" s="1027" t="str">
        <f t="shared" si="78"/>
        <v>►</v>
      </c>
      <c r="AF154" s="1028" t="str">
        <f t="shared" si="79"/>
        <v/>
      </c>
      <c r="AG154" s="1029" t="str">
        <f t="shared" si="80"/>
        <v/>
      </c>
      <c r="AH154" s="1028" t="str">
        <f t="shared" si="81"/>
        <v/>
      </c>
      <c r="AI154" s="1029" t="str">
        <f t="shared" si="82"/>
        <v/>
      </c>
      <c r="AJ154" s="1029">
        <f t="shared" si="83"/>
        <v>0</v>
      </c>
      <c r="AK154" s="1043" t="str" cm="1">
        <f t="array" ref="AK154">IF(AE154&lt;&gt;"A","",IFERROR((IFERROR(_xlfn.XLOOKUP(TRIM(SUBSTITUTE(U154,CHAR(160)," ")),$BI$15:$BI$62,$BL$15:$BL$62),IFERROR(_xlfn.XLOOKUP(TRIM(SUBSTITUTE(U154,CHAR(160)," ")),$BJ$15:$BJ$62,$BL$15:$BL$62),_xlfn.XLOOKUP(TRIM(SUBSTITUTE(U154,CHAR(160)," ")),$BK$15:$BK$62,$BL$15:$BL$62))))*T154*IF(ISBLANK(Q154),1,Q154)+IFERROR(_xlfn.XLOOKUP("RECHERCHEX",TRIM(L154:AC154),L154:AC154),0),0))</f>
        <v/>
      </c>
      <c r="AL154" s="1030">
        <f t="shared" si="84"/>
        <v>0</v>
      </c>
      <c r="AM154" s="5254" t="str">
        <f t="shared" si="73"/>
        <v/>
      </c>
      <c r="AN154" s="1031">
        <f t="shared" si="85"/>
        <v>0</v>
      </c>
      <c r="AO154" s="1031">
        <f t="shared" si="86"/>
        <v>0</v>
      </c>
      <c r="AP154" s="1032">
        <f t="shared" si="87"/>
        <v>0</v>
      </c>
      <c r="AQ154" s="5255" t="str">
        <f t="shared" si="88"/>
        <v/>
      </c>
      <c r="AR154" s="1056"/>
      <c r="AS154" s="1056"/>
      <c r="AT154" s="1034">
        <f t="shared" si="89"/>
        <v>0</v>
      </c>
      <c r="AU154" s="1035">
        <f t="shared" si="90"/>
        <v>0</v>
      </c>
      <c r="AV154" s="1057" cm="1">
        <f t="array" ref="AV154">IF(AJ154&lt;&gt;1,0,IF(OR(AT154="",N(AT154)&lt;=0.000000001),"",IF(OR(AN154="",N(AN154)&lt;=0.000000001),0,IF(ISNUMBER(AT154),IFERROR(_xlfn.LET(_xlpm.ai_test,TRIM(AI154),_xlpm.r,IFERROR(_xlfn.XLOOKUP(_xlpm.ai_test,$BI$15:$BI$62,ROW($BI$15:$BI$62),0,1),IFERROR(_xlfn.XLOOKUP(_xlpm.ai_test,$BJ$15:$BJ$62,ROW($BJ$15:$BJ$62),0,1),_xlfn.XLOOKUP(_xlpm.ai_test,$BK$15:$BK$62,ROW($BK$15:$BK$62),0,1))),_xlpm.p,_xlpm.r-MIN(ROW($BI$15:$BI$62))+1,_xlpm.f,INDEX($BL$15:$BL$62,_xlpm.p),_xlpm.u,INDEX($BM$15:$BM$62,_xlpm.p),_xlpm.s,INDEX($BO$15:$BO$62,_xlpm.p),_xlpm.q,N(AT154)/_xlpm.f,IF(_xlpm.q&gt;=_xlpm.s,ROUND(_xlpm.q,1)&amp;" "&amp;_xlpm.ai_test&amp;" = "&amp;ROUND(_xlpm.q*_xlpm.f,1)&amp;" "&amp;_xlpm.u,ROUND(_xlpm.q,1)&amp;" "&amp;_xlpm.ai_test)),""),""))))</f>
        <v>0</v>
      </c>
      <c r="AW154" s="1047"/>
      <c r="AX154" s="1034">
        <f t="shared" si="91"/>
        <v>0</v>
      </c>
      <c r="AY154" s="1035" t="str">
        <f t="shared" si="92"/>
        <v/>
      </c>
      <c r="AZ154" s="1036">
        <f t="shared" si="97"/>
        <v>0</v>
      </c>
      <c r="BA154" s="1037" t="str">
        <f t="shared" si="93"/>
        <v/>
      </c>
      <c r="BB154" s="1038"/>
      <c r="BC154" s="1039">
        <f t="shared" si="72"/>
        <v>0</v>
      </c>
      <c r="BD154" s="1040" t="str">
        <f t="shared" si="94"/>
        <v/>
      </c>
      <c r="BE154" s="227" t="s">
        <v>22</v>
      </c>
      <c r="BF154" s="1019">
        <f t="shared" si="95"/>
        <v>0</v>
      </c>
      <c r="BG154" s="1020">
        <f t="shared" si="96"/>
        <v>0</v>
      </c>
      <c r="BH154"/>
      <c r="BQ154"/>
      <c r="BR154"/>
      <c r="BS154"/>
      <c r="BT154"/>
      <c r="BU154"/>
      <c r="BV154"/>
      <c r="BW154" s="959" t="str">
        <f t="shared" si="77"/>
        <v>►</v>
      </c>
      <c r="BX154"/>
      <c r="BY154"/>
      <c r="BZ154"/>
      <c r="CA154"/>
      <c r="CB154"/>
      <c r="CC154" s="856"/>
      <c r="CD154"/>
      <c r="CE154"/>
      <c r="CF154"/>
      <c r="CG154"/>
      <c r="CH154"/>
      <c r="CI154"/>
      <c r="CJ154"/>
      <c r="CL154"/>
      <c r="CM154"/>
      <c r="CN154"/>
      <c r="CO154"/>
      <c r="CP154"/>
      <c r="CQ154"/>
      <c r="CR154"/>
      <c r="CT154"/>
      <c r="CU154"/>
      <c r="CV154"/>
      <c r="CW154"/>
      <c r="CX154"/>
      <c r="CY154"/>
      <c r="CZ154"/>
      <c r="DB154" s="3">
        <v>1</v>
      </c>
    </row>
    <row r="155" spans="1:106" s="709" customFormat="1" ht="21" customHeight="1">
      <c r="A155" s="936" t="s">
        <v>22</v>
      </c>
      <c r="B155" s="952" t="str">
        <f t="shared" si="76"/>
        <v>►</v>
      </c>
      <c r="C155" s="993" cm="1">
        <f t="array" ref="C155">SUMPRODUCT(LEN(D155:J155))</f>
        <v>0</v>
      </c>
      <c r="D155" s="167"/>
      <c r="E155" s="172"/>
      <c r="F155" s="172"/>
      <c r="G155" s="172"/>
      <c r="H155" s="172"/>
      <c r="I155" s="172"/>
      <c r="J155" s="173"/>
      <c r="K155" s="442"/>
      <c r="L155" s="104" t="s">
        <v>16</v>
      </c>
      <c r="M155" s="32" t="str">
        <f>M119</f>
        <v>P PRESSÉ DE BOUDIN NOIR | | Auteur &gt; Guy KRENZE - Eric GODDYN - Arnaud NICOLAS - CEPROC 2002</v>
      </c>
      <c r="N155" s="33">
        <f>N119</f>
        <v>20</v>
      </c>
      <c r="O155" s="32" t="str">
        <f>O119</f>
        <v>pressés de boudin</v>
      </c>
      <c r="P155" s="34" t="str">
        <f>P119</f>
        <v>Recette mère ► le Boudin en 4 déclinaisons</v>
      </c>
      <c r="Q155" s="911">
        <v>1</v>
      </c>
      <c r="R155" s="912">
        <v>1E-3</v>
      </c>
      <c r="S155" s="913">
        <v>0</v>
      </c>
      <c r="T155" s="914">
        <v>1</v>
      </c>
      <c r="U155" s="914">
        <v>0.1</v>
      </c>
      <c r="V155" s="914">
        <v>0.01</v>
      </c>
      <c r="W155" s="914">
        <v>1E-3</v>
      </c>
      <c r="X155" s="914">
        <v>0.25</v>
      </c>
      <c r="Y155" s="914">
        <v>0.5</v>
      </c>
      <c r="Z155" s="914">
        <v>0.33300000000000002</v>
      </c>
      <c r="AA155" s="5211"/>
      <c r="AB155" s="1178"/>
      <c r="AC155" s="1179"/>
      <c r="AD155" s="227" t="s">
        <v>22</v>
      </c>
      <c r="AE155" s="1027" t="str">
        <f t="shared" si="78"/>
        <v>►</v>
      </c>
      <c r="AF155" s="1028" t="str">
        <f t="shared" si="79"/>
        <v/>
      </c>
      <c r="AG155" s="1029" t="str">
        <f t="shared" si="80"/>
        <v/>
      </c>
      <c r="AH155" s="1028" t="str">
        <f t="shared" si="81"/>
        <v/>
      </c>
      <c r="AI155" s="1029" t="str">
        <f t="shared" si="82"/>
        <v/>
      </c>
      <c r="AJ155" s="1029">
        <f t="shared" si="83"/>
        <v>0</v>
      </c>
      <c r="AK155" s="1043" t="str" cm="1">
        <f t="array" ref="AK155">IF(AE155&lt;&gt;"A","",IFERROR((IFERROR(_xlfn.XLOOKUP(TRIM(SUBSTITUTE(U155,CHAR(160)," ")),$BI$15:$BI$62,$BL$15:$BL$62),IFERROR(_xlfn.XLOOKUP(TRIM(SUBSTITUTE(U155,CHAR(160)," ")),$BJ$15:$BJ$62,$BL$15:$BL$62),_xlfn.XLOOKUP(TRIM(SUBSTITUTE(U155,CHAR(160)," ")),$BK$15:$BK$62,$BL$15:$BL$62))))*T155*IF(ISBLANK(Q155),1,Q155)+IFERROR(_xlfn.XLOOKUP("RECHERCHEX",TRIM(L155:AC155),L155:AC155),0),0))</f>
        <v/>
      </c>
      <c r="AL155" s="1030">
        <f t="shared" si="84"/>
        <v>0</v>
      </c>
      <c r="AM155" s="5254" t="str">
        <f t="shared" si="73"/>
        <v/>
      </c>
      <c r="AN155" s="1031">
        <f t="shared" si="85"/>
        <v>0</v>
      </c>
      <c r="AO155" s="1031">
        <f t="shared" si="86"/>
        <v>0</v>
      </c>
      <c r="AP155" s="1044">
        <f t="shared" si="87"/>
        <v>0</v>
      </c>
      <c r="AQ155" s="5257" t="str">
        <f t="shared" si="88"/>
        <v/>
      </c>
      <c r="AR155" s="1056"/>
      <c r="AS155" s="1056"/>
      <c r="AT155" s="1045">
        <f t="shared" si="89"/>
        <v>0</v>
      </c>
      <c r="AU155" s="1046">
        <f t="shared" si="90"/>
        <v>0</v>
      </c>
      <c r="AV155" s="1059" cm="1">
        <f t="array" ref="AV155">IF(AJ155&lt;&gt;1,0,IF(OR(AT155="",N(AT155)&lt;=0.000000001),"",IF(OR(AN155="",N(AN155)&lt;=0.000000001),0,IF(ISNUMBER(AT155),IFERROR(_xlfn.LET(_xlpm.ai_test,TRIM(AI155),_xlpm.r,IFERROR(_xlfn.XLOOKUP(_xlpm.ai_test,$BI$15:$BI$62,ROW($BI$15:$BI$62),0,1),IFERROR(_xlfn.XLOOKUP(_xlpm.ai_test,$BJ$15:$BJ$62,ROW($BJ$15:$BJ$62),0,1),_xlfn.XLOOKUP(_xlpm.ai_test,$BK$15:$BK$62,ROW($BK$15:$BK$62),0,1))),_xlpm.p,_xlpm.r-MIN(ROW($BI$15:$BI$62))+1,_xlpm.f,INDEX($BL$15:$BL$62,_xlpm.p),_xlpm.u,INDEX($BM$15:$BM$62,_xlpm.p),_xlpm.s,INDEX($BO$15:$BO$62,_xlpm.p),_xlpm.q,N(AT155)/_xlpm.f,IF(_xlpm.q&gt;=_xlpm.s,ROUND(_xlpm.q,1)&amp;" "&amp;_xlpm.ai_test&amp;" = "&amp;ROUND(_xlpm.q*_xlpm.f,1)&amp;" "&amp;_xlpm.u,ROUND(_xlpm.q,1)&amp;" "&amp;_xlpm.ai_test)),""),""))))</f>
        <v>0</v>
      </c>
      <c r="AW155" s="1047"/>
      <c r="AX155" s="1045">
        <f t="shared" si="91"/>
        <v>0</v>
      </c>
      <c r="AY155" s="1046" t="str">
        <f t="shared" si="92"/>
        <v/>
      </c>
      <c r="AZ155" s="1048">
        <f t="shared" si="97"/>
        <v>0</v>
      </c>
      <c r="BA155" s="1049" t="str">
        <f t="shared" si="93"/>
        <v/>
      </c>
      <c r="BB155" s="1038"/>
      <c r="BC155" s="1050">
        <f t="shared" ref="BC155:BC218" si="98">IF(OR(AN155=0,ISBLANK(BB155),ISTEXT(AZ155)),0,(IF(AT155=0,AZ155,AT155)*BB155))</f>
        <v>0</v>
      </c>
      <c r="BD155" s="1040" t="str">
        <f t="shared" si="94"/>
        <v/>
      </c>
      <c r="BE155" s="227" t="s">
        <v>22</v>
      </c>
      <c r="BF155" s="1019">
        <f t="shared" si="95"/>
        <v>0</v>
      </c>
      <c r="BG155" s="1020">
        <f t="shared" si="96"/>
        <v>0</v>
      </c>
      <c r="BH155"/>
      <c r="BQ155"/>
      <c r="BR155"/>
      <c r="BS155"/>
      <c r="BT155"/>
      <c r="BU155"/>
      <c r="BV155"/>
      <c r="BW155" s="959" t="str">
        <f t="shared" si="77"/>
        <v>►</v>
      </c>
      <c r="BX155"/>
      <c r="BY155"/>
      <c r="BZ155"/>
      <c r="CA155"/>
      <c r="CB155"/>
      <c r="CC155" s="856"/>
      <c r="CD155"/>
      <c r="CE155"/>
      <c r="CF155"/>
      <c r="CG155"/>
      <c r="CH155"/>
      <c r="CI155"/>
      <c r="CJ155"/>
      <c r="CL155"/>
      <c r="CM155"/>
      <c r="CN155"/>
      <c r="CO155"/>
      <c r="CP155"/>
      <c r="CQ155"/>
      <c r="CR155"/>
      <c r="CT155"/>
      <c r="CU155"/>
      <c r="CV155"/>
      <c r="CW155"/>
      <c r="CX155"/>
      <c r="CY155"/>
      <c r="CZ155"/>
      <c r="DB155" s="3">
        <v>1</v>
      </c>
    </row>
    <row r="156" spans="1:106" s="709" customFormat="1" ht="21" customHeight="1">
      <c r="A156" s="936" t="s">
        <v>22</v>
      </c>
      <c r="B156" s="952" t="str">
        <f t="shared" si="76"/>
        <v>►</v>
      </c>
      <c r="C156" s="993" cm="1">
        <f t="array" ref="C156">SUMPRODUCT(LEN(D156:J156))</f>
        <v>0</v>
      </c>
      <c r="D156" s="167"/>
      <c r="E156" s="172"/>
      <c r="F156" s="172"/>
      <c r="G156" s="172"/>
      <c r="H156" s="172"/>
      <c r="I156" s="172"/>
      <c r="J156" s="173"/>
      <c r="K156" s="442"/>
      <c r="L156" s="104" t="s">
        <v>16</v>
      </c>
      <c r="M156" s="32" t="str">
        <f>M119</f>
        <v>P PRESSÉ DE BOUDIN NOIR | | Auteur &gt; Guy KRENZE - Eric GODDYN - Arnaud NICOLAS - CEPROC 2002</v>
      </c>
      <c r="N156" s="33">
        <f>N119</f>
        <v>20</v>
      </c>
      <c r="O156" s="32" t="str">
        <f>O119</f>
        <v>pressés de boudin</v>
      </c>
      <c r="P156" s="34" t="str">
        <f>P119</f>
        <v>Recette mère ► le Boudin en 4 déclinaisons</v>
      </c>
      <c r="Q156" s="142" t="s">
        <v>145</v>
      </c>
      <c r="R156" s="117" t="s">
        <v>107</v>
      </c>
      <c r="S156" s="141" t="s">
        <v>144</v>
      </c>
      <c r="T156" s="109" t="s">
        <v>150</v>
      </c>
      <c r="U156" s="109" t="s">
        <v>163</v>
      </c>
      <c r="V156" s="109" t="s">
        <v>103</v>
      </c>
      <c r="W156" s="109" t="s">
        <v>162</v>
      </c>
      <c r="X156" s="149" t="s">
        <v>160</v>
      </c>
      <c r="Y156" s="149" t="s">
        <v>117</v>
      </c>
      <c r="Z156" s="1061" t="s">
        <v>1831</v>
      </c>
      <c r="AA156" s="5211"/>
      <c r="AB156" s="1178"/>
      <c r="AC156" s="1179"/>
      <c r="AD156" s="227" t="s">
        <v>22</v>
      </c>
      <c r="AE156" s="1027" t="str">
        <f t="shared" si="78"/>
        <v>►</v>
      </c>
      <c r="AF156" s="1028" t="str">
        <f t="shared" si="79"/>
        <v/>
      </c>
      <c r="AG156" s="1029" t="str">
        <f t="shared" si="80"/>
        <v/>
      </c>
      <c r="AH156" s="1028" t="str">
        <f t="shared" si="81"/>
        <v/>
      </c>
      <c r="AI156" s="1029" t="str">
        <f t="shared" si="82"/>
        <v/>
      </c>
      <c r="AJ156" s="1029">
        <f t="shared" si="83"/>
        <v>0</v>
      </c>
      <c r="AK156" s="1043" t="str" cm="1">
        <f t="array" ref="AK156">IF(AE156&lt;&gt;"A","",IFERROR((IFERROR(_xlfn.XLOOKUP(TRIM(SUBSTITUTE(U156,CHAR(160)," ")),$BI$15:$BI$62,$BL$15:$BL$62),IFERROR(_xlfn.XLOOKUP(TRIM(SUBSTITUTE(U156,CHAR(160)," ")),$BJ$15:$BJ$62,$BL$15:$BL$62),_xlfn.XLOOKUP(TRIM(SUBSTITUTE(U156,CHAR(160)," ")),$BK$15:$BK$62,$BL$15:$BL$62))))*T156*IF(ISBLANK(Q156),1,Q156)+IFERROR(_xlfn.XLOOKUP("RECHERCHEX",TRIM(L156:AC156),L156:AC156),0),0))</f>
        <v/>
      </c>
      <c r="AL156" s="1030">
        <f t="shared" si="84"/>
        <v>0</v>
      </c>
      <c r="AM156" s="5254" t="str">
        <f t="shared" si="73"/>
        <v/>
      </c>
      <c r="AN156" s="1031">
        <f t="shared" si="85"/>
        <v>0</v>
      </c>
      <c r="AO156" s="1031">
        <f t="shared" si="86"/>
        <v>0</v>
      </c>
      <c r="AP156" s="1032">
        <f t="shared" si="87"/>
        <v>0</v>
      </c>
      <c r="AQ156" s="5255" t="str">
        <f t="shared" si="88"/>
        <v/>
      </c>
      <c r="AR156" s="1056"/>
      <c r="AS156" s="1056"/>
      <c r="AT156" s="1034">
        <f t="shared" si="89"/>
        <v>0</v>
      </c>
      <c r="AU156" s="1035">
        <f t="shared" si="90"/>
        <v>0</v>
      </c>
      <c r="AV156" s="1057" cm="1">
        <f t="array" ref="AV156">IF(AJ156&lt;&gt;1,0,IF(OR(AT156="",N(AT156)&lt;=0.000000001),"",IF(OR(AN156="",N(AN156)&lt;=0.000000001),0,IF(ISNUMBER(AT156),IFERROR(_xlfn.LET(_xlpm.ai_test,TRIM(AI156),_xlpm.r,IFERROR(_xlfn.XLOOKUP(_xlpm.ai_test,$BI$15:$BI$62,ROW($BI$15:$BI$62),0,1),IFERROR(_xlfn.XLOOKUP(_xlpm.ai_test,$BJ$15:$BJ$62,ROW($BJ$15:$BJ$62),0,1),_xlfn.XLOOKUP(_xlpm.ai_test,$BK$15:$BK$62,ROW($BK$15:$BK$62),0,1))),_xlpm.p,_xlpm.r-MIN(ROW($BI$15:$BI$62))+1,_xlpm.f,INDEX($BL$15:$BL$62,_xlpm.p),_xlpm.u,INDEX($BM$15:$BM$62,_xlpm.p),_xlpm.s,INDEX($BO$15:$BO$62,_xlpm.p),_xlpm.q,N(AT156)/_xlpm.f,IF(_xlpm.q&gt;=_xlpm.s,ROUND(_xlpm.q,1)&amp;" "&amp;_xlpm.ai_test&amp;" = "&amp;ROUND(_xlpm.q*_xlpm.f,1)&amp;" "&amp;_xlpm.u,ROUND(_xlpm.q,1)&amp;" "&amp;_xlpm.ai_test)),""),""))))</f>
        <v>0</v>
      </c>
      <c r="AW156" s="1047"/>
      <c r="AX156" s="1034">
        <f t="shared" si="91"/>
        <v>0</v>
      </c>
      <c r="AY156" s="1035" t="str">
        <f t="shared" si="92"/>
        <v/>
      </c>
      <c r="AZ156" s="1036">
        <f t="shared" si="97"/>
        <v>0</v>
      </c>
      <c r="BA156" s="1037" t="str">
        <f t="shared" si="93"/>
        <v/>
      </c>
      <c r="BB156" s="1038"/>
      <c r="BC156" s="1039">
        <f t="shared" si="98"/>
        <v>0</v>
      </c>
      <c r="BD156" s="1040" t="str">
        <f t="shared" si="94"/>
        <v/>
      </c>
      <c r="BE156" s="227" t="s">
        <v>22</v>
      </c>
      <c r="BF156" s="1019">
        <f t="shared" si="95"/>
        <v>0</v>
      </c>
      <c r="BG156" s="1020">
        <f t="shared" si="96"/>
        <v>0</v>
      </c>
      <c r="BH156"/>
      <c r="BQ156"/>
      <c r="BR156"/>
      <c r="BS156"/>
      <c r="BT156"/>
      <c r="BU156"/>
      <c r="BV156"/>
      <c r="BW156" s="959" t="str">
        <f t="shared" si="77"/>
        <v>►</v>
      </c>
      <c r="BX156"/>
      <c r="BY156"/>
      <c r="BZ156"/>
      <c r="CA156"/>
      <c r="CB156"/>
      <c r="CC156" s="856"/>
      <c r="CD156"/>
      <c r="CE156"/>
      <c r="CF156"/>
      <c r="CG156"/>
      <c r="CH156"/>
      <c r="CI156"/>
      <c r="CJ156"/>
      <c r="CL156"/>
      <c r="CM156"/>
      <c r="CN156"/>
      <c r="CO156"/>
      <c r="CP156"/>
      <c r="CQ156"/>
      <c r="CR156"/>
      <c r="CT156"/>
      <c r="CU156"/>
      <c r="CV156"/>
      <c r="CW156"/>
      <c r="CX156"/>
      <c r="CY156"/>
      <c r="CZ156"/>
      <c r="DB156" s="3">
        <v>1</v>
      </c>
    </row>
    <row r="157" spans="1:106" s="709" customFormat="1" ht="21" customHeight="1">
      <c r="A157" s="936" t="s">
        <v>22</v>
      </c>
      <c r="B157" s="952" t="str">
        <f t="shared" si="76"/>
        <v>►</v>
      </c>
      <c r="C157" s="993" cm="1">
        <f t="array" ref="C157">SUMPRODUCT(LEN(D157:J157))</f>
        <v>0</v>
      </c>
      <c r="D157" s="167"/>
      <c r="E157" s="172"/>
      <c r="F157" s="172"/>
      <c r="G157" s="172"/>
      <c r="H157" s="172"/>
      <c r="I157" s="172"/>
      <c r="J157" s="173"/>
      <c r="K157" s="442"/>
      <c r="L157" s="104" t="s">
        <v>16</v>
      </c>
      <c r="M157" s="32" t="str">
        <f>M119</f>
        <v>P PRESSÉ DE BOUDIN NOIR | | Auteur &gt; Guy KRENZE - Eric GODDYN - Arnaud NICOLAS - CEPROC 2002</v>
      </c>
      <c r="N157" s="33">
        <f>N119</f>
        <v>20</v>
      </c>
      <c r="O157" s="32" t="str">
        <f>O119</f>
        <v>pressés de boudin</v>
      </c>
      <c r="P157" s="34" t="str">
        <f>P119</f>
        <v>Recette mère ► le Boudin en 4 déclinaisons</v>
      </c>
      <c r="Q157" s="912">
        <v>0.25</v>
      </c>
      <c r="R157" s="912">
        <v>0.5</v>
      </c>
      <c r="S157" s="913">
        <v>0</v>
      </c>
      <c r="T157" s="914">
        <v>0.2</v>
      </c>
      <c r="U157" s="914">
        <v>0.1</v>
      </c>
      <c r="V157" s="914">
        <v>0.22500000000000001</v>
      </c>
      <c r="W157" s="914">
        <v>1.4999999999999999E-2</v>
      </c>
      <c r="X157" s="914">
        <v>4.9299999999999995E-3</v>
      </c>
      <c r="Y157" s="914">
        <v>0.35</v>
      </c>
      <c r="Z157" s="915">
        <v>0.25</v>
      </c>
      <c r="AA157" s="5211"/>
      <c r="AB157" s="1178"/>
      <c r="AC157" s="1179"/>
      <c r="AD157" s="227" t="s">
        <v>22</v>
      </c>
      <c r="AE157" s="1027" t="str">
        <f t="shared" si="78"/>
        <v>►</v>
      </c>
      <c r="AF157" s="1028" t="str">
        <f t="shared" si="79"/>
        <v/>
      </c>
      <c r="AG157" s="1029" t="str">
        <f t="shared" si="80"/>
        <v/>
      </c>
      <c r="AH157" s="1028" t="str">
        <f t="shared" si="81"/>
        <v/>
      </c>
      <c r="AI157" s="1029" t="str">
        <f t="shared" si="82"/>
        <v/>
      </c>
      <c r="AJ157" s="1029">
        <f t="shared" si="83"/>
        <v>0</v>
      </c>
      <c r="AK157" s="1043" t="str" cm="1">
        <f t="array" ref="AK157">IF(AE157&lt;&gt;"A","",IFERROR((IFERROR(_xlfn.XLOOKUP(TRIM(SUBSTITUTE(U157,CHAR(160)," ")),$BI$15:$BI$62,$BL$15:$BL$62),IFERROR(_xlfn.XLOOKUP(TRIM(SUBSTITUTE(U157,CHAR(160)," ")),$BJ$15:$BJ$62,$BL$15:$BL$62),_xlfn.XLOOKUP(TRIM(SUBSTITUTE(U157,CHAR(160)," ")),$BK$15:$BK$62,$BL$15:$BL$62))))*T157*IF(ISBLANK(Q157),1,Q157)+IFERROR(_xlfn.XLOOKUP("RECHERCHEX",TRIM(L157:AC157),L157:AC157),0),0))</f>
        <v/>
      </c>
      <c r="AL157" s="1030">
        <f t="shared" si="84"/>
        <v>0</v>
      </c>
      <c r="AM157" s="5254" t="str">
        <f t="shared" si="73"/>
        <v/>
      </c>
      <c r="AN157" s="1031">
        <f t="shared" si="85"/>
        <v>0</v>
      </c>
      <c r="AO157" s="1031">
        <f t="shared" si="86"/>
        <v>0</v>
      </c>
      <c r="AP157" s="1044">
        <f t="shared" si="87"/>
        <v>0</v>
      </c>
      <c r="AQ157" s="5257" t="str">
        <f t="shared" si="88"/>
        <v/>
      </c>
      <c r="AR157" s="1056"/>
      <c r="AS157" s="1056"/>
      <c r="AT157" s="1045">
        <f t="shared" si="89"/>
        <v>0</v>
      </c>
      <c r="AU157" s="1046">
        <f t="shared" si="90"/>
        <v>0</v>
      </c>
      <c r="AV157" s="1059" cm="1">
        <f t="array" ref="AV157">IF(AJ157&lt;&gt;1,0,IF(OR(AT157="",N(AT157)&lt;=0.000000001),"",IF(OR(AN157="",N(AN157)&lt;=0.000000001),0,IF(ISNUMBER(AT157),IFERROR(_xlfn.LET(_xlpm.ai_test,TRIM(AI157),_xlpm.r,IFERROR(_xlfn.XLOOKUP(_xlpm.ai_test,$BI$15:$BI$62,ROW($BI$15:$BI$62),0,1),IFERROR(_xlfn.XLOOKUP(_xlpm.ai_test,$BJ$15:$BJ$62,ROW($BJ$15:$BJ$62),0,1),_xlfn.XLOOKUP(_xlpm.ai_test,$BK$15:$BK$62,ROW($BK$15:$BK$62),0,1))),_xlpm.p,_xlpm.r-MIN(ROW($BI$15:$BI$62))+1,_xlpm.f,INDEX($BL$15:$BL$62,_xlpm.p),_xlpm.u,INDEX($BM$15:$BM$62,_xlpm.p),_xlpm.s,INDEX($BO$15:$BO$62,_xlpm.p),_xlpm.q,N(AT157)/_xlpm.f,IF(_xlpm.q&gt;=_xlpm.s,ROUND(_xlpm.q,1)&amp;" "&amp;_xlpm.ai_test&amp;" = "&amp;ROUND(_xlpm.q*_xlpm.f,1)&amp;" "&amp;_xlpm.u,ROUND(_xlpm.q,1)&amp;" "&amp;_xlpm.ai_test)),""),""))))</f>
        <v>0</v>
      </c>
      <c r="AW157" s="1047"/>
      <c r="AX157" s="1045">
        <f t="shared" si="91"/>
        <v>0</v>
      </c>
      <c r="AY157" s="1046" t="str">
        <f t="shared" si="92"/>
        <v/>
      </c>
      <c r="AZ157" s="1048">
        <f t="shared" si="97"/>
        <v>0</v>
      </c>
      <c r="BA157" s="1049" t="str">
        <f t="shared" si="93"/>
        <v/>
      </c>
      <c r="BB157" s="1038"/>
      <c r="BC157" s="1050">
        <f t="shared" si="98"/>
        <v>0</v>
      </c>
      <c r="BD157" s="1040" t="str">
        <f t="shared" si="94"/>
        <v/>
      </c>
      <c r="BE157" s="227" t="s">
        <v>22</v>
      </c>
      <c r="BF157" s="1019">
        <f t="shared" si="95"/>
        <v>0</v>
      </c>
      <c r="BG157" s="1020">
        <f t="shared" si="96"/>
        <v>0</v>
      </c>
      <c r="BH157"/>
      <c r="BQ157"/>
      <c r="BR157"/>
      <c r="BS157"/>
      <c r="BT157"/>
      <c r="BU157"/>
      <c r="BV157"/>
      <c r="BW157" s="959" t="str">
        <f t="shared" si="77"/>
        <v>►</v>
      </c>
      <c r="BX157"/>
      <c r="BY157"/>
      <c r="BZ157"/>
      <c r="CA157"/>
      <c r="CB157"/>
      <c r="CC157" s="856"/>
      <c r="CD157"/>
      <c r="CE157"/>
      <c r="CF157"/>
      <c r="CG157"/>
      <c r="CH157"/>
      <c r="CI157"/>
      <c r="CJ157"/>
      <c r="CL157"/>
      <c r="CM157"/>
      <c r="CN157"/>
      <c r="CO157"/>
      <c r="CP157"/>
      <c r="CQ157"/>
      <c r="CR157"/>
      <c r="CT157"/>
      <c r="CU157"/>
      <c r="CV157"/>
      <c r="CW157"/>
      <c r="CX157"/>
      <c r="CY157"/>
      <c r="CZ157"/>
      <c r="DB157" s="3">
        <v>1</v>
      </c>
    </row>
    <row r="158" spans="1:106" s="709" customFormat="1" ht="21" customHeight="1">
      <c r="A158" s="936" t="s">
        <v>22</v>
      </c>
      <c r="B158" s="952" t="str">
        <f t="shared" si="76"/>
        <v>►</v>
      </c>
      <c r="C158" s="993" cm="1">
        <f t="array" ref="C158">SUMPRODUCT(LEN(D158:J158))</f>
        <v>0</v>
      </c>
      <c r="D158" s="167"/>
      <c r="E158" s="172"/>
      <c r="F158" s="172"/>
      <c r="G158" s="172"/>
      <c r="H158" s="172"/>
      <c r="I158" s="172"/>
      <c r="J158" s="173"/>
      <c r="K158" s="442" t="s">
        <v>22</v>
      </c>
      <c r="L158" s="104" t="s">
        <v>16</v>
      </c>
      <c r="M158" s="32" t="str">
        <f>M119</f>
        <v>P PRESSÉ DE BOUDIN NOIR | | Auteur &gt; Guy KRENZE - Eric GODDYN - Arnaud NICOLAS - CEPROC 2002</v>
      </c>
      <c r="N158" s="33">
        <f>N119</f>
        <v>20</v>
      </c>
      <c r="O158" s="32" t="str">
        <f>O119</f>
        <v>pressés de boudin</v>
      </c>
      <c r="P158" s="34" t="str">
        <f>P119</f>
        <v>Recette mère ► le Boudin en 4 déclinaisons</v>
      </c>
      <c r="Q158" s="154" t="str">
        <f>Q120</f>
        <v>Col.6</v>
      </c>
      <c r="R158" s="154" t="str">
        <f>R120</f>
        <v>Col.7</v>
      </c>
      <c r="S158" s="155" t="s">
        <v>3295</v>
      </c>
      <c r="T158" s="155"/>
      <c r="U158" s="155"/>
      <c r="V158" s="155"/>
      <c r="W158" s="155"/>
      <c r="X158" s="155"/>
      <c r="Y158" s="155"/>
      <c r="Z158" s="1477"/>
      <c r="AA158" s="5211"/>
      <c r="AB158" s="1178"/>
      <c r="AC158" s="1179"/>
      <c r="AD158" s="227" t="s">
        <v>22</v>
      </c>
      <c r="AE158" s="1027" t="str">
        <f t="shared" si="78"/>
        <v>►</v>
      </c>
      <c r="AF158" s="1028" t="str">
        <f t="shared" si="79"/>
        <v/>
      </c>
      <c r="AG158" s="1029" t="str">
        <f t="shared" si="80"/>
        <v/>
      </c>
      <c r="AH158" s="1028" t="str">
        <f t="shared" si="81"/>
        <v/>
      </c>
      <c r="AI158" s="1029" t="str">
        <f t="shared" si="82"/>
        <v/>
      </c>
      <c r="AJ158" s="1029">
        <f t="shared" si="83"/>
        <v>0</v>
      </c>
      <c r="AK158" s="1043" t="str" cm="1">
        <f t="array" ref="AK158">IF(AE158&lt;&gt;"A","",IFERROR((IFERROR(_xlfn.XLOOKUP(TRIM(SUBSTITUTE(U158,CHAR(160)," ")),$BI$15:$BI$62,$BL$15:$BL$62),IFERROR(_xlfn.XLOOKUP(TRIM(SUBSTITUTE(U158,CHAR(160)," ")),$BJ$15:$BJ$62,$BL$15:$BL$62),_xlfn.XLOOKUP(TRIM(SUBSTITUTE(U158,CHAR(160)," ")),$BK$15:$BK$62,$BL$15:$BL$62))))*T158*IF(ISBLANK(Q158),1,Q158)+IFERROR(_xlfn.XLOOKUP("RECHERCHEX",TRIM(L158:AC158),L158:AC158),0),0))</f>
        <v/>
      </c>
      <c r="AL158" s="1030">
        <f t="shared" si="84"/>
        <v>0</v>
      </c>
      <c r="AM158" s="5254" t="str">
        <f t="shared" ref="AM158:AM221" si="99">IF(AE158="A","❾ Author reference &gt;","")</f>
        <v/>
      </c>
      <c r="AN158" s="1031">
        <f t="shared" si="85"/>
        <v>0</v>
      </c>
      <c r="AO158" s="1031">
        <f t="shared" si="86"/>
        <v>0</v>
      </c>
      <c r="AP158" s="1032">
        <f t="shared" si="87"/>
        <v>0</v>
      </c>
      <c r="AQ158" s="5255" t="str">
        <f t="shared" si="88"/>
        <v/>
      </c>
      <c r="AR158" s="1056"/>
      <c r="AS158" s="1056"/>
      <c r="AT158" s="1034">
        <f t="shared" si="89"/>
        <v>0</v>
      </c>
      <c r="AU158" s="1035">
        <f t="shared" si="90"/>
        <v>0</v>
      </c>
      <c r="AV158" s="1057" cm="1">
        <f t="array" ref="AV158">IF(AJ158&lt;&gt;1,0,IF(OR(AT158="",N(AT158)&lt;=0.000000001),"",IF(OR(AN158="",N(AN158)&lt;=0.000000001),0,IF(ISNUMBER(AT158),IFERROR(_xlfn.LET(_xlpm.ai_test,TRIM(AI158),_xlpm.r,IFERROR(_xlfn.XLOOKUP(_xlpm.ai_test,$BI$15:$BI$62,ROW($BI$15:$BI$62),0,1),IFERROR(_xlfn.XLOOKUP(_xlpm.ai_test,$BJ$15:$BJ$62,ROW($BJ$15:$BJ$62),0,1),_xlfn.XLOOKUP(_xlpm.ai_test,$BK$15:$BK$62,ROW($BK$15:$BK$62),0,1))),_xlpm.p,_xlpm.r-MIN(ROW($BI$15:$BI$62))+1,_xlpm.f,INDEX($BL$15:$BL$62,_xlpm.p),_xlpm.u,INDEX($BM$15:$BM$62,_xlpm.p),_xlpm.s,INDEX($BO$15:$BO$62,_xlpm.p),_xlpm.q,N(AT158)/_xlpm.f,IF(_xlpm.q&gt;=_xlpm.s,ROUND(_xlpm.q,1)&amp;" "&amp;_xlpm.ai_test&amp;" = "&amp;ROUND(_xlpm.q*_xlpm.f,1)&amp;" "&amp;_xlpm.u,ROUND(_xlpm.q,1)&amp;" "&amp;_xlpm.ai_test)),""),""))))</f>
        <v>0</v>
      </c>
      <c r="AW158" s="1047"/>
      <c r="AX158" s="1034">
        <f t="shared" si="91"/>
        <v>0</v>
      </c>
      <c r="AY158" s="1035" t="str">
        <f t="shared" si="92"/>
        <v/>
      </c>
      <c r="AZ158" s="1036">
        <f t="shared" si="97"/>
        <v>0</v>
      </c>
      <c r="BA158" s="1037" t="str">
        <f t="shared" si="93"/>
        <v/>
      </c>
      <c r="BB158" s="1038"/>
      <c r="BC158" s="1039">
        <f t="shared" si="98"/>
        <v>0</v>
      </c>
      <c r="BD158" s="1040" t="str">
        <f t="shared" si="94"/>
        <v/>
      </c>
      <c r="BE158" s="227" t="s">
        <v>22</v>
      </c>
      <c r="BF158" s="1019">
        <f t="shared" si="95"/>
        <v>0</v>
      </c>
      <c r="BG158" s="1020">
        <f t="shared" si="96"/>
        <v>0</v>
      </c>
      <c r="BH158"/>
      <c r="BQ158"/>
      <c r="BR158"/>
      <c r="BS158"/>
      <c r="BT158"/>
      <c r="BU158"/>
      <c r="BV158"/>
      <c r="BW158" s="959" t="str">
        <f t="shared" si="77"/>
        <v>►</v>
      </c>
      <c r="BX158"/>
      <c r="BY158"/>
      <c r="BZ158"/>
      <c r="CA158"/>
      <c r="CB158"/>
      <c r="CC158" s="856"/>
      <c r="CD158"/>
      <c r="CE158"/>
      <c r="CF158"/>
      <c r="CG158"/>
      <c r="CH158"/>
      <c r="CI158"/>
      <c r="CJ158"/>
      <c r="CL158"/>
      <c r="CM158"/>
      <c r="CN158"/>
      <c r="CO158"/>
      <c r="CP158"/>
      <c r="CQ158"/>
      <c r="CR158"/>
      <c r="CT158"/>
      <c r="CU158"/>
      <c r="CV158"/>
      <c r="CW158"/>
      <c r="CX158"/>
      <c r="CY158"/>
      <c r="CZ158"/>
      <c r="DB158" s="3">
        <v>1</v>
      </c>
    </row>
    <row r="159" spans="1:106" s="709" customFormat="1" ht="21" customHeight="1">
      <c r="A159" s="936" t="s">
        <v>22</v>
      </c>
      <c r="B159" s="952" t="str">
        <f t="shared" si="76"/>
        <v>►</v>
      </c>
      <c r="C159" s="993" cm="1">
        <f t="array" ref="C159">SUMPRODUCT(LEN(D159:J159))</f>
        <v>0</v>
      </c>
      <c r="D159" s="167"/>
      <c r="E159" s="172"/>
      <c r="F159" s="172"/>
      <c r="G159" s="172"/>
      <c r="H159" s="172"/>
      <c r="I159" s="172"/>
      <c r="J159" s="173"/>
      <c r="K159" s="442" t="s">
        <v>22</v>
      </c>
      <c r="L159" s="104" t="s">
        <v>16</v>
      </c>
      <c r="M159" s="157" t="str">
        <f>M119</f>
        <v>P PRESSÉ DE BOUDIN NOIR | | Auteur &gt; Guy KRENZE - Eric GODDYN - Arnaud NICOLAS - CEPROC 2002</v>
      </c>
      <c r="N159" s="157">
        <f>N119</f>
        <v>20</v>
      </c>
      <c r="O159" s="158" t="str">
        <f>O119</f>
        <v>pressés de boudin</v>
      </c>
      <c r="P159" s="159" t="str">
        <f>P119</f>
        <v>Recette mère ► le Boudin en 4 déclinaisons</v>
      </c>
      <c r="Q159" s="160" t="s">
        <v>167</v>
      </c>
      <c r="R159" s="1483" t="s">
        <v>3328</v>
      </c>
      <c r="S159" s="162"/>
      <c r="T159" s="162"/>
      <c r="U159" s="172"/>
      <c r="V159" s="172"/>
      <c r="W159" s="172"/>
      <c r="X159" s="172"/>
      <c r="Y159" s="156" t="s">
        <v>165</v>
      </c>
      <c r="Z159" s="1484" t="s">
        <v>3276</v>
      </c>
      <c r="AA159" s="5211"/>
      <c r="AB159" s="1178"/>
      <c r="AC159" s="1179"/>
      <c r="AD159" s="227" t="s">
        <v>22</v>
      </c>
      <c r="AE159" s="1027" t="str">
        <f t="shared" si="78"/>
        <v>►</v>
      </c>
      <c r="AF159" s="1028" t="str">
        <f t="shared" si="79"/>
        <v/>
      </c>
      <c r="AG159" s="1029" t="str">
        <f t="shared" si="80"/>
        <v/>
      </c>
      <c r="AH159" s="1028" t="str">
        <f t="shared" si="81"/>
        <v/>
      </c>
      <c r="AI159" s="1029" t="str">
        <f t="shared" si="82"/>
        <v/>
      </c>
      <c r="AJ159" s="1029">
        <f t="shared" si="83"/>
        <v>0</v>
      </c>
      <c r="AK159" s="1043" t="str" cm="1">
        <f t="array" ref="AK159">IF(AE159&lt;&gt;"A","",IFERROR((IFERROR(_xlfn.XLOOKUP(TRIM(SUBSTITUTE(U159,CHAR(160)," ")),$BI$15:$BI$62,$BL$15:$BL$62),IFERROR(_xlfn.XLOOKUP(TRIM(SUBSTITUTE(U159,CHAR(160)," ")),$BJ$15:$BJ$62,$BL$15:$BL$62),_xlfn.XLOOKUP(TRIM(SUBSTITUTE(U159,CHAR(160)," ")),$BK$15:$BK$62,$BL$15:$BL$62))))*T159*IF(ISBLANK(Q159),1,Q159)+IFERROR(_xlfn.XLOOKUP("RECHERCHEX",TRIM(L159:AC159),L159:AC159),0),0))</f>
        <v/>
      </c>
      <c r="AL159" s="1030">
        <f t="shared" si="84"/>
        <v>0</v>
      </c>
      <c r="AM159" s="5254" t="str">
        <f t="shared" si="99"/>
        <v/>
      </c>
      <c r="AN159" s="1031">
        <f t="shared" si="85"/>
        <v>0</v>
      </c>
      <c r="AO159" s="1031">
        <f t="shared" si="86"/>
        <v>0</v>
      </c>
      <c r="AP159" s="1044">
        <f t="shared" si="87"/>
        <v>0</v>
      </c>
      <c r="AQ159" s="5257" t="str">
        <f t="shared" si="88"/>
        <v/>
      </c>
      <c r="AR159" s="1056"/>
      <c r="AS159" s="1056"/>
      <c r="AT159" s="1045">
        <f t="shared" si="89"/>
        <v>0</v>
      </c>
      <c r="AU159" s="1046">
        <f t="shared" si="90"/>
        <v>0</v>
      </c>
      <c r="AV159" s="1059" cm="1">
        <f t="array" ref="AV159">IF(AJ159&lt;&gt;1,0,IF(OR(AT159="",N(AT159)&lt;=0.000000001),"",IF(OR(AN159="",N(AN159)&lt;=0.000000001),0,IF(ISNUMBER(AT159),IFERROR(_xlfn.LET(_xlpm.ai_test,TRIM(AI159),_xlpm.r,IFERROR(_xlfn.XLOOKUP(_xlpm.ai_test,$BI$15:$BI$62,ROW($BI$15:$BI$62),0,1),IFERROR(_xlfn.XLOOKUP(_xlpm.ai_test,$BJ$15:$BJ$62,ROW($BJ$15:$BJ$62),0,1),_xlfn.XLOOKUP(_xlpm.ai_test,$BK$15:$BK$62,ROW($BK$15:$BK$62),0,1))),_xlpm.p,_xlpm.r-MIN(ROW($BI$15:$BI$62))+1,_xlpm.f,INDEX($BL$15:$BL$62,_xlpm.p),_xlpm.u,INDEX($BM$15:$BM$62,_xlpm.p),_xlpm.s,INDEX($BO$15:$BO$62,_xlpm.p),_xlpm.q,N(AT159)/_xlpm.f,IF(_xlpm.q&gt;=_xlpm.s,ROUND(_xlpm.q,1)&amp;" "&amp;_xlpm.ai_test&amp;" = "&amp;ROUND(_xlpm.q*_xlpm.f,1)&amp;" "&amp;_xlpm.u,ROUND(_xlpm.q,1)&amp;" "&amp;_xlpm.ai_test)),""),""))))</f>
        <v>0</v>
      </c>
      <c r="AW159" s="1047"/>
      <c r="AX159" s="1045">
        <f t="shared" si="91"/>
        <v>0</v>
      </c>
      <c r="AY159" s="1046" t="str">
        <f t="shared" si="92"/>
        <v/>
      </c>
      <c r="AZ159" s="1048">
        <f t="shared" si="97"/>
        <v>0</v>
      </c>
      <c r="BA159" s="1049" t="str">
        <f t="shared" si="93"/>
        <v/>
      </c>
      <c r="BB159" s="1038"/>
      <c r="BC159" s="1050">
        <f t="shared" si="98"/>
        <v>0</v>
      </c>
      <c r="BD159" s="1040" t="str">
        <f t="shared" si="94"/>
        <v/>
      </c>
      <c r="BE159" s="227" t="s">
        <v>22</v>
      </c>
      <c r="BF159" s="1019">
        <f t="shared" si="95"/>
        <v>0</v>
      </c>
      <c r="BG159" s="1020">
        <f t="shared" si="96"/>
        <v>0</v>
      </c>
      <c r="BH159"/>
      <c r="BQ159"/>
      <c r="BR159"/>
      <c r="BS159"/>
      <c r="BT159"/>
      <c r="BU159"/>
      <c r="BV159"/>
      <c r="BW159" s="959" t="str">
        <f t="shared" si="77"/>
        <v>►</v>
      </c>
      <c r="BX159"/>
      <c r="BY159"/>
      <c r="BZ159"/>
      <c r="CA159"/>
      <c r="CB159"/>
      <c r="CC159" s="856"/>
      <c r="CD159"/>
      <c r="CE159"/>
      <c r="CF159"/>
      <c r="CG159"/>
      <c r="CH159"/>
      <c r="CI159"/>
      <c r="CJ159"/>
      <c r="CL159"/>
      <c r="CM159"/>
      <c r="CN159"/>
      <c r="CO159"/>
      <c r="CP159"/>
      <c r="CQ159"/>
      <c r="CR159"/>
      <c r="CT159"/>
      <c r="CU159"/>
      <c r="CV159"/>
      <c r="CW159"/>
      <c r="CX159"/>
      <c r="CY159"/>
      <c r="CZ159"/>
      <c r="DB159" s="3">
        <v>1</v>
      </c>
    </row>
    <row r="160" spans="1:106" s="709" customFormat="1" ht="21" customHeight="1">
      <c r="A160" s="936" t="s">
        <v>22</v>
      </c>
      <c r="B160" s="952" t="str">
        <f t="shared" si="76"/>
        <v>►</v>
      </c>
      <c r="C160" s="993" cm="1">
        <f t="array" ref="C160">SUMPRODUCT(LEN(D160:J160))</f>
        <v>0</v>
      </c>
      <c r="D160" s="167"/>
      <c r="E160" s="172"/>
      <c r="F160" s="172"/>
      <c r="G160" s="172"/>
      <c r="H160" s="172"/>
      <c r="I160" s="172"/>
      <c r="J160" s="173"/>
      <c r="K160" s="442" t="s">
        <v>22</v>
      </c>
      <c r="L160" s="104" t="s">
        <v>16</v>
      </c>
      <c r="M160" s="157" t="str">
        <f>M119</f>
        <v>P PRESSÉ DE BOUDIN NOIR | | Auteur &gt; Guy KRENZE - Eric GODDYN - Arnaud NICOLAS - CEPROC 2002</v>
      </c>
      <c r="N160" s="157">
        <f>N119</f>
        <v>20</v>
      </c>
      <c r="O160" s="158" t="str">
        <f>O119</f>
        <v>pressés de boudin</v>
      </c>
      <c r="P160" s="159" t="str">
        <f>P119</f>
        <v>Recette mère ► le Boudin en 4 déclinaisons</v>
      </c>
      <c r="Q160" s="5063" t="s">
        <v>2881</v>
      </c>
      <c r="R160" s="172"/>
      <c r="S160" s="172"/>
      <c r="T160" s="172"/>
      <c r="U160" s="172"/>
      <c r="V160" s="172"/>
      <c r="W160" s="172"/>
      <c r="X160" s="172"/>
      <c r="Y160" s="1474" t="s">
        <v>168</v>
      </c>
      <c r="Z160" s="1482" t="s">
        <v>668</v>
      </c>
      <c r="AA160" s="5211"/>
      <c r="AB160" s="1178"/>
      <c r="AC160" s="1179"/>
      <c r="AD160" s="227" t="s">
        <v>22</v>
      </c>
      <c r="AE160" s="1027" t="str">
        <f t="shared" si="78"/>
        <v>►</v>
      </c>
      <c r="AF160" s="1028" t="str">
        <f t="shared" si="79"/>
        <v/>
      </c>
      <c r="AG160" s="1029" t="str">
        <f t="shared" si="80"/>
        <v/>
      </c>
      <c r="AH160" s="1028" t="str">
        <f t="shared" si="81"/>
        <v/>
      </c>
      <c r="AI160" s="1029" t="str">
        <f t="shared" si="82"/>
        <v/>
      </c>
      <c r="AJ160" s="1029">
        <f t="shared" si="83"/>
        <v>0</v>
      </c>
      <c r="AK160" s="1043" t="str" cm="1">
        <f t="array" ref="AK160">IF(AE160&lt;&gt;"A","",IFERROR((IFERROR(_xlfn.XLOOKUP(TRIM(SUBSTITUTE(U160,CHAR(160)," ")),$BI$15:$BI$62,$BL$15:$BL$62),IFERROR(_xlfn.XLOOKUP(TRIM(SUBSTITUTE(U160,CHAR(160)," ")),$BJ$15:$BJ$62,$BL$15:$BL$62),_xlfn.XLOOKUP(TRIM(SUBSTITUTE(U160,CHAR(160)," ")),$BK$15:$BK$62,$BL$15:$BL$62))))*T160*IF(ISBLANK(Q160),1,Q160)+IFERROR(_xlfn.XLOOKUP("RECHERCHEX",TRIM(L160:AC160),L160:AC160),0),0))</f>
        <v/>
      </c>
      <c r="AL160" s="1030">
        <f t="shared" si="84"/>
        <v>0</v>
      </c>
      <c r="AM160" s="5254" t="str">
        <f t="shared" si="99"/>
        <v/>
      </c>
      <c r="AN160" s="1031">
        <f t="shared" si="85"/>
        <v>0</v>
      </c>
      <c r="AO160" s="1031">
        <f t="shared" si="86"/>
        <v>0</v>
      </c>
      <c r="AP160" s="1032">
        <f t="shared" si="87"/>
        <v>0</v>
      </c>
      <c r="AQ160" s="5255" t="str">
        <f t="shared" si="88"/>
        <v/>
      </c>
      <c r="AR160" s="1056"/>
      <c r="AS160" s="1056"/>
      <c r="AT160" s="1034">
        <f t="shared" si="89"/>
        <v>0</v>
      </c>
      <c r="AU160" s="1035">
        <f t="shared" si="90"/>
        <v>0</v>
      </c>
      <c r="AV160" s="1057" cm="1">
        <f t="array" ref="AV160">IF(AJ160&lt;&gt;1,0,IF(OR(AT160="",N(AT160)&lt;=0.000000001),"",IF(OR(AN160="",N(AN160)&lt;=0.000000001),0,IF(ISNUMBER(AT160),IFERROR(_xlfn.LET(_xlpm.ai_test,TRIM(AI160),_xlpm.r,IFERROR(_xlfn.XLOOKUP(_xlpm.ai_test,$BI$15:$BI$62,ROW($BI$15:$BI$62),0,1),IFERROR(_xlfn.XLOOKUP(_xlpm.ai_test,$BJ$15:$BJ$62,ROW($BJ$15:$BJ$62),0,1),_xlfn.XLOOKUP(_xlpm.ai_test,$BK$15:$BK$62,ROW($BK$15:$BK$62),0,1))),_xlpm.p,_xlpm.r-MIN(ROW($BI$15:$BI$62))+1,_xlpm.f,INDEX($BL$15:$BL$62,_xlpm.p),_xlpm.u,INDEX($BM$15:$BM$62,_xlpm.p),_xlpm.s,INDEX($BO$15:$BO$62,_xlpm.p),_xlpm.q,N(AT160)/_xlpm.f,IF(_xlpm.q&gt;=_xlpm.s,ROUND(_xlpm.q,1)&amp;" "&amp;_xlpm.ai_test&amp;" = "&amp;ROUND(_xlpm.q*_xlpm.f,1)&amp;" "&amp;_xlpm.u,ROUND(_xlpm.q,1)&amp;" "&amp;_xlpm.ai_test)),""),""))))</f>
        <v>0</v>
      </c>
      <c r="AW160" s="1047"/>
      <c r="AX160" s="1034">
        <f t="shared" si="91"/>
        <v>0</v>
      </c>
      <c r="AY160" s="1035" t="str">
        <f t="shared" si="92"/>
        <v/>
      </c>
      <c r="AZ160" s="1036">
        <f t="shared" si="97"/>
        <v>0</v>
      </c>
      <c r="BA160" s="1037" t="str">
        <f t="shared" si="93"/>
        <v/>
      </c>
      <c r="BB160" s="1038"/>
      <c r="BC160" s="1039">
        <f t="shared" si="98"/>
        <v>0</v>
      </c>
      <c r="BD160" s="1040" t="str">
        <f t="shared" si="94"/>
        <v/>
      </c>
      <c r="BE160" s="227" t="s">
        <v>22</v>
      </c>
      <c r="BF160" s="1019">
        <f t="shared" si="95"/>
        <v>0</v>
      </c>
      <c r="BG160" s="1020">
        <f t="shared" si="96"/>
        <v>0</v>
      </c>
      <c r="BH160"/>
      <c r="BQ160"/>
      <c r="BR160"/>
      <c r="BS160"/>
      <c r="BT160"/>
      <c r="BU160"/>
      <c r="BV160"/>
      <c r="BW160" s="959" t="str">
        <f t="shared" si="77"/>
        <v>►</v>
      </c>
      <c r="BX160"/>
      <c r="BY160"/>
      <c r="BZ160"/>
      <c r="CA160"/>
      <c r="CB160"/>
      <c r="CC160" s="856"/>
      <c r="CD160"/>
      <c r="CE160"/>
      <c r="CF160"/>
      <c r="CG160"/>
      <c r="CH160"/>
      <c r="CI160"/>
      <c r="CJ160"/>
      <c r="CL160"/>
      <c r="CM160"/>
      <c r="CN160"/>
      <c r="CO160"/>
      <c r="CP160"/>
      <c r="CQ160"/>
      <c r="CR160"/>
      <c r="CT160"/>
      <c r="CU160"/>
      <c r="CV160"/>
      <c r="CW160"/>
      <c r="CX160"/>
      <c r="CY160"/>
      <c r="CZ160"/>
      <c r="DB160" s="3">
        <v>1</v>
      </c>
    </row>
    <row r="161" spans="1:106" s="709" customFormat="1" ht="21" customHeight="1">
      <c r="A161" s="936" t="s">
        <v>22</v>
      </c>
      <c r="B161" s="952" t="str">
        <f t="shared" si="76"/>
        <v>►</v>
      </c>
      <c r="C161" s="993" cm="1">
        <f t="array" ref="C161">SUMPRODUCT(LEN(D161:J161))</f>
        <v>0</v>
      </c>
      <c r="D161" s="167"/>
      <c r="E161" s="172"/>
      <c r="F161" s="172"/>
      <c r="G161" s="172"/>
      <c r="H161" s="172"/>
      <c r="I161" s="172"/>
      <c r="J161" s="173"/>
      <c r="K161" s="442" t="s">
        <v>22</v>
      </c>
      <c r="L161" s="104" t="s">
        <v>16</v>
      </c>
      <c r="M161" s="157" t="str">
        <f>M119</f>
        <v>P PRESSÉ DE BOUDIN NOIR | | Auteur &gt; Guy KRENZE - Eric GODDYN - Arnaud NICOLAS - CEPROC 2002</v>
      </c>
      <c r="N161" s="157">
        <f>N119</f>
        <v>20</v>
      </c>
      <c r="O161" s="158" t="str">
        <f>O119</f>
        <v>pressés de boudin</v>
      </c>
      <c r="P161" s="159" t="str">
        <f>P119</f>
        <v>Recette mère ► le Boudin en 4 déclinaisons</v>
      </c>
      <c r="Q161" s="172" t="s">
        <v>12856</v>
      </c>
      <c r="R161" s="172"/>
      <c r="S161" s="172"/>
      <c r="T161" s="172"/>
      <c r="U161" s="172"/>
      <c r="V161" s="172"/>
      <c r="W161" s="172"/>
      <c r="X161" s="172"/>
      <c r="Y161" s="172"/>
      <c r="Z161" s="555"/>
      <c r="AA161" s="5211"/>
      <c r="AB161" s="1178"/>
      <c r="AC161" s="1179"/>
      <c r="AD161" s="227" t="s">
        <v>22</v>
      </c>
      <c r="AE161" s="1027" t="str">
        <f t="shared" si="78"/>
        <v>►</v>
      </c>
      <c r="AF161" s="1028" t="str">
        <f t="shared" si="79"/>
        <v/>
      </c>
      <c r="AG161" s="1029" t="str">
        <f t="shared" si="80"/>
        <v/>
      </c>
      <c r="AH161" s="1028" t="str">
        <f t="shared" si="81"/>
        <v/>
      </c>
      <c r="AI161" s="1029" t="str">
        <f t="shared" si="82"/>
        <v/>
      </c>
      <c r="AJ161" s="1029">
        <f t="shared" si="83"/>
        <v>0</v>
      </c>
      <c r="AK161" s="1043" t="str" cm="1">
        <f t="array" ref="AK161">IF(AE161&lt;&gt;"A","",IFERROR((IFERROR(_xlfn.XLOOKUP(TRIM(SUBSTITUTE(U161,CHAR(160)," ")),$BI$15:$BI$62,$BL$15:$BL$62),IFERROR(_xlfn.XLOOKUP(TRIM(SUBSTITUTE(U161,CHAR(160)," ")),$BJ$15:$BJ$62,$BL$15:$BL$62),_xlfn.XLOOKUP(TRIM(SUBSTITUTE(U161,CHAR(160)," ")),$BK$15:$BK$62,$BL$15:$BL$62))))*T161*IF(ISBLANK(Q161),1,Q161)+IFERROR(_xlfn.XLOOKUP("RECHERCHEX",TRIM(L161:AC161),L161:AC161),0),0))</f>
        <v/>
      </c>
      <c r="AL161" s="1030">
        <f t="shared" si="84"/>
        <v>0</v>
      </c>
      <c r="AM161" s="5254" t="str">
        <f t="shared" si="99"/>
        <v/>
      </c>
      <c r="AN161" s="1031">
        <f t="shared" si="85"/>
        <v>0</v>
      </c>
      <c r="AO161" s="1031">
        <f t="shared" si="86"/>
        <v>0</v>
      </c>
      <c r="AP161" s="1044">
        <f t="shared" si="87"/>
        <v>0</v>
      </c>
      <c r="AQ161" s="5257" t="str">
        <f t="shared" si="88"/>
        <v/>
      </c>
      <c r="AR161" s="1056"/>
      <c r="AS161" s="1056"/>
      <c r="AT161" s="1045">
        <f t="shared" si="89"/>
        <v>0</v>
      </c>
      <c r="AU161" s="1046">
        <f t="shared" si="90"/>
        <v>0</v>
      </c>
      <c r="AV161" s="1059" cm="1">
        <f t="array" ref="AV161">IF(AJ161&lt;&gt;1,0,IF(OR(AT161="",N(AT161)&lt;=0.000000001),"",IF(OR(AN161="",N(AN161)&lt;=0.000000001),0,IF(ISNUMBER(AT161),IFERROR(_xlfn.LET(_xlpm.ai_test,TRIM(AI161),_xlpm.r,IFERROR(_xlfn.XLOOKUP(_xlpm.ai_test,$BI$15:$BI$62,ROW($BI$15:$BI$62),0,1),IFERROR(_xlfn.XLOOKUP(_xlpm.ai_test,$BJ$15:$BJ$62,ROW($BJ$15:$BJ$62),0,1),_xlfn.XLOOKUP(_xlpm.ai_test,$BK$15:$BK$62,ROW($BK$15:$BK$62),0,1))),_xlpm.p,_xlpm.r-MIN(ROW($BI$15:$BI$62))+1,_xlpm.f,INDEX($BL$15:$BL$62,_xlpm.p),_xlpm.u,INDEX($BM$15:$BM$62,_xlpm.p),_xlpm.s,INDEX($BO$15:$BO$62,_xlpm.p),_xlpm.q,N(AT161)/_xlpm.f,IF(_xlpm.q&gt;=_xlpm.s,ROUND(_xlpm.q,1)&amp;" "&amp;_xlpm.ai_test&amp;" = "&amp;ROUND(_xlpm.q*_xlpm.f,1)&amp;" "&amp;_xlpm.u,ROUND(_xlpm.q,1)&amp;" "&amp;_xlpm.ai_test)),""),""))))</f>
        <v>0</v>
      </c>
      <c r="AW161" s="1047"/>
      <c r="AX161" s="1045">
        <f t="shared" si="91"/>
        <v>0</v>
      </c>
      <c r="AY161" s="1046" t="str">
        <f t="shared" si="92"/>
        <v/>
      </c>
      <c r="AZ161" s="1048">
        <f t="shared" si="97"/>
        <v>0</v>
      </c>
      <c r="BA161" s="1049" t="str">
        <f t="shared" si="93"/>
        <v/>
      </c>
      <c r="BB161" s="1038"/>
      <c r="BC161" s="1050">
        <f t="shared" si="98"/>
        <v>0</v>
      </c>
      <c r="BD161" s="1040" t="str">
        <f t="shared" si="94"/>
        <v/>
      </c>
      <c r="BE161" s="227" t="s">
        <v>22</v>
      </c>
      <c r="BF161" s="1019">
        <f t="shared" si="95"/>
        <v>0</v>
      </c>
      <c r="BG161" s="1020">
        <f t="shared" si="96"/>
        <v>0</v>
      </c>
      <c r="BH161"/>
      <c r="BQ161"/>
      <c r="BR161"/>
      <c r="BS161"/>
      <c r="BT161"/>
      <c r="BU161"/>
      <c r="BV161"/>
      <c r="BW161" s="959" t="str">
        <f t="shared" si="77"/>
        <v>►</v>
      </c>
      <c r="BX161"/>
      <c r="BY161"/>
      <c r="BZ161"/>
      <c r="CA161"/>
      <c r="CB161"/>
      <c r="CC161" s="856"/>
      <c r="CD161"/>
      <c r="CE161"/>
      <c r="CF161"/>
      <c r="CG161"/>
      <c r="CH161"/>
      <c r="CI161"/>
      <c r="CJ161"/>
      <c r="CL161"/>
      <c r="CM161"/>
      <c r="CN161"/>
      <c r="CO161"/>
      <c r="CP161"/>
      <c r="CQ161"/>
      <c r="CR161"/>
      <c r="CT161"/>
      <c r="CU161"/>
      <c r="CV161"/>
      <c r="CW161"/>
      <c r="CX161"/>
      <c r="CY161"/>
      <c r="CZ161"/>
      <c r="DB161" s="3">
        <v>1</v>
      </c>
    </row>
    <row r="162" spans="1:106" s="709" customFormat="1" ht="21" customHeight="1">
      <c r="A162" s="936" t="s">
        <v>22</v>
      </c>
      <c r="B162" s="952" t="str">
        <f t="shared" si="76"/>
        <v>►</v>
      </c>
      <c r="C162" s="993" cm="1">
        <f t="array" ref="C162">SUMPRODUCT(LEN(D162:J162))</f>
        <v>0</v>
      </c>
      <c r="D162" s="167"/>
      <c r="E162" s="172"/>
      <c r="F162" s="172"/>
      <c r="G162" s="172"/>
      <c r="H162" s="172"/>
      <c r="I162" s="172"/>
      <c r="J162" s="173"/>
      <c r="K162" s="442" t="s">
        <v>22</v>
      </c>
      <c r="L162" s="104" t="s">
        <v>16</v>
      </c>
      <c r="M162" s="157" t="str">
        <f>M119</f>
        <v>P PRESSÉ DE BOUDIN NOIR | | Auteur &gt; Guy KRENZE - Eric GODDYN - Arnaud NICOLAS - CEPROC 2002</v>
      </c>
      <c r="N162" s="157">
        <f>N119</f>
        <v>20</v>
      </c>
      <c r="O162" s="158" t="str">
        <f>O119</f>
        <v>pressés de boudin</v>
      </c>
      <c r="P162" s="159" t="str">
        <f>P119</f>
        <v>Recette mère ► le Boudin en 4 déclinaisons</v>
      </c>
      <c r="Q162" s="172" t="s">
        <v>12857</v>
      </c>
      <c r="R162" s="172"/>
      <c r="S162" s="172"/>
      <c r="T162" s="172"/>
      <c r="U162" s="172"/>
      <c r="V162" s="172"/>
      <c r="W162" s="172"/>
      <c r="X162" s="172"/>
      <c r="Y162" s="170" t="s">
        <v>172</v>
      </c>
      <c r="Z162" s="171">
        <v>3.472222222222222E-3</v>
      </c>
      <c r="AA162" s="5211"/>
      <c r="AB162" s="1178"/>
      <c r="AC162" s="1179"/>
      <c r="AD162" s="227" t="s">
        <v>22</v>
      </c>
      <c r="AE162" s="1027" t="str">
        <f t="shared" si="78"/>
        <v>►</v>
      </c>
      <c r="AF162" s="1028" t="str">
        <f t="shared" si="79"/>
        <v/>
      </c>
      <c r="AG162" s="1029" t="str">
        <f t="shared" si="80"/>
        <v/>
      </c>
      <c r="AH162" s="1028" t="str">
        <f t="shared" si="81"/>
        <v/>
      </c>
      <c r="AI162" s="1029" t="str">
        <f t="shared" si="82"/>
        <v/>
      </c>
      <c r="AJ162" s="1029">
        <f t="shared" si="83"/>
        <v>0</v>
      </c>
      <c r="AK162" s="1043" t="str" cm="1">
        <f t="array" ref="AK162">IF(AE162&lt;&gt;"A","",IFERROR((IFERROR(_xlfn.XLOOKUP(TRIM(SUBSTITUTE(U162,CHAR(160)," ")),$BI$15:$BI$62,$BL$15:$BL$62),IFERROR(_xlfn.XLOOKUP(TRIM(SUBSTITUTE(U162,CHAR(160)," ")),$BJ$15:$BJ$62,$BL$15:$BL$62),_xlfn.XLOOKUP(TRIM(SUBSTITUTE(U162,CHAR(160)," ")),$BK$15:$BK$62,$BL$15:$BL$62))))*T162*IF(ISBLANK(Q162),1,Q162)+IFERROR(_xlfn.XLOOKUP("RECHERCHEX",TRIM(L162:AC162),L162:AC162),0),0))</f>
        <v/>
      </c>
      <c r="AL162" s="1030">
        <f t="shared" si="84"/>
        <v>0</v>
      </c>
      <c r="AM162" s="5254" t="str">
        <f t="shared" si="99"/>
        <v/>
      </c>
      <c r="AN162" s="1031">
        <f t="shared" si="85"/>
        <v>0</v>
      </c>
      <c r="AO162" s="1031">
        <f t="shared" si="86"/>
        <v>0</v>
      </c>
      <c r="AP162" s="1032">
        <f t="shared" si="87"/>
        <v>0</v>
      </c>
      <c r="AQ162" s="5255" t="str">
        <f t="shared" si="88"/>
        <v/>
      </c>
      <c r="AR162" s="1056"/>
      <c r="AS162" s="1056"/>
      <c r="AT162" s="1034">
        <f t="shared" si="89"/>
        <v>0</v>
      </c>
      <c r="AU162" s="1035">
        <f t="shared" si="90"/>
        <v>0</v>
      </c>
      <c r="AV162" s="1057" cm="1">
        <f t="array" ref="AV162">IF(AJ162&lt;&gt;1,0,IF(OR(AT162="",N(AT162)&lt;=0.000000001),"",IF(OR(AN162="",N(AN162)&lt;=0.000000001),0,IF(ISNUMBER(AT162),IFERROR(_xlfn.LET(_xlpm.ai_test,TRIM(AI162),_xlpm.r,IFERROR(_xlfn.XLOOKUP(_xlpm.ai_test,$BI$15:$BI$62,ROW($BI$15:$BI$62),0,1),IFERROR(_xlfn.XLOOKUP(_xlpm.ai_test,$BJ$15:$BJ$62,ROW($BJ$15:$BJ$62),0,1),_xlfn.XLOOKUP(_xlpm.ai_test,$BK$15:$BK$62,ROW($BK$15:$BK$62),0,1))),_xlpm.p,_xlpm.r-MIN(ROW($BI$15:$BI$62))+1,_xlpm.f,INDEX($BL$15:$BL$62,_xlpm.p),_xlpm.u,INDEX($BM$15:$BM$62,_xlpm.p),_xlpm.s,INDEX($BO$15:$BO$62,_xlpm.p),_xlpm.q,N(AT162)/_xlpm.f,IF(_xlpm.q&gt;=_xlpm.s,ROUND(_xlpm.q,1)&amp;" "&amp;_xlpm.ai_test&amp;" = "&amp;ROUND(_xlpm.q*_xlpm.f,1)&amp;" "&amp;_xlpm.u,ROUND(_xlpm.q,1)&amp;" "&amp;_xlpm.ai_test)),""),""))))</f>
        <v>0</v>
      </c>
      <c r="AW162" s="1047"/>
      <c r="AX162" s="1034">
        <f t="shared" si="91"/>
        <v>0</v>
      </c>
      <c r="AY162" s="1035" t="str">
        <f t="shared" si="92"/>
        <v/>
      </c>
      <c r="AZ162" s="1036">
        <f t="shared" si="97"/>
        <v>0</v>
      </c>
      <c r="BA162" s="1037" t="str">
        <f t="shared" si="93"/>
        <v/>
      </c>
      <c r="BB162" s="1038"/>
      <c r="BC162" s="1039">
        <f t="shared" si="98"/>
        <v>0</v>
      </c>
      <c r="BD162" s="1040" t="str">
        <f t="shared" si="94"/>
        <v/>
      </c>
      <c r="BE162" s="227" t="s">
        <v>22</v>
      </c>
      <c r="BF162" s="1019">
        <f t="shared" si="95"/>
        <v>0</v>
      </c>
      <c r="BG162" s="1020">
        <f t="shared" si="96"/>
        <v>0</v>
      </c>
      <c r="BH162"/>
      <c r="BQ162"/>
      <c r="BR162"/>
      <c r="BS162"/>
      <c r="BT162"/>
      <c r="BU162"/>
      <c r="BV162"/>
      <c r="BW162" s="959" t="str">
        <f t="shared" si="77"/>
        <v>►</v>
      </c>
      <c r="BX162"/>
      <c r="BY162"/>
      <c r="BZ162"/>
      <c r="CA162"/>
      <c r="CB162"/>
      <c r="CC162" s="856"/>
      <c r="CD162"/>
      <c r="CE162"/>
      <c r="CF162"/>
      <c r="CG162"/>
      <c r="CH162"/>
      <c r="CI162"/>
      <c r="CJ162"/>
      <c r="CL162"/>
      <c r="CM162"/>
      <c r="CN162"/>
      <c r="CO162"/>
      <c r="CP162"/>
      <c r="CQ162"/>
      <c r="CR162"/>
      <c r="CT162"/>
      <c r="CU162"/>
      <c r="CV162"/>
      <c r="CW162"/>
      <c r="CX162"/>
      <c r="CY162"/>
      <c r="CZ162"/>
      <c r="DB162" s="3">
        <v>1</v>
      </c>
    </row>
    <row r="163" spans="1:106" s="709" customFormat="1" ht="21" customHeight="1">
      <c r="A163" s="936" t="s">
        <v>22</v>
      </c>
      <c r="B163" s="952" t="str">
        <f t="shared" si="76"/>
        <v>►</v>
      </c>
      <c r="C163" s="993" cm="1">
        <f t="array" ref="C163">SUMPRODUCT(LEN(D163:J163))</f>
        <v>0</v>
      </c>
      <c r="D163" s="167"/>
      <c r="E163" s="172"/>
      <c r="F163" s="172"/>
      <c r="G163" s="172"/>
      <c r="H163" s="172"/>
      <c r="I163" s="172"/>
      <c r="J163" s="173"/>
      <c r="K163" s="442" t="s">
        <v>22</v>
      </c>
      <c r="L163" s="104" t="s">
        <v>16</v>
      </c>
      <c r="M163" s="157" t="str">
        <f>M119</f>
        <v>P PRESSÉ DE BOUDIN NOIR | | Auteur &gt; Guy KRENZE - Eric GODDYN - Arnaud NICOLAS - CEPROC 2002</v>
      </c>
      <c r="N163" s="157">
        <f>N119</f>
        <v>20</v>
      </c>
      <c r="O163" s="158" t="str">
        <f>O119</f>
        <v>pressés de boudin</v>
      </c>
      <c r="P163" s="159" t="str">
        <f>P119</f>
        <v>Recette mère ► le Boudin en 4 déclinaisons</v>
      </c>
      <c r="Q163" s="172" t="s">
        <v>12858</v>
      </c>
      <c r="R163" s="172"/>
      <c r="S163" s="172"/>
      <c r="T163" s="172"/>
      <c r="U163" s="172"/>
      <c r="V163" s="172"/>
      <c r="W163" s="172"/>
      <c r="X163" s="172"/>
      <c r="Y163" s="170" t="s">
        <v>174</v>
      </c>
      <c r="Z163" s="174">
        <v>3.472222222222222E-3</v>
      </c>
      <c r="AA163" s="5211"/>
      <c r="AB163" s="1178"/>
      <c r="AC163" s="1179"/>
      <c r="AD163" s="227" t="s">
        <v>22</v>
      </c>
      <c r="AE163" s="1027" t="str">
        <f t="shared" si="78"/>
        <v>►</v>
      </c>
      <c r="AF163" s="1028" t="str">
        <f t="shared" si="79"/>
        <v/>
      </c>
      <c r="AG163" s="1029" t="str">
        <f t="shared" si="80"/>
        <v/>
      </c>
      <c r="AH163" s="1028" t="str">
        <f t="shared" si="81"/>
        <v/>
      </c>
      <c r="AI163" s="1029" t="str">
        <f t="shared" si="82"/>
        <v/>
      </c>
      <c r="AJ163" s="1029">
        <f t="shared" si="83"/>
        <v>0</v>
      </c>
      <c r="AK163" s="1043" t="str" cm="1">
        <f t="array" ref="AK163">IF(AE163&lt;&gt;"A","",IFERROR((IFERROR(_xlfn.XLOOKUP(TRIM(SUBSTITUTE(U163,CHAR(160)," ")),$BI$15:$BI$62,$BL$15:$BL$62),IFERROR(_xlfn.XLOOKUP(TRIM(SUBSTITUTE(U163,CHAR(160)," ")),$BJ$15:$BJ$62,$BL$15:$BL$62),_xlfn.XLOOKUP(TRIM(SUBSTITUTE(U163,CHAR(160)," ")),$BK$15:$BK$62,$BL$15:$BL$62))))*T163*IF(ISBLANK(Q163),1,Q163)+IFERROR(_xlfn.XLOOKUP("RECHERCHEX",TRIM(L163:AC163),L163:AC163),0),0))</f>
        <v/>
      </c>
      <c r="AL163" s="1030">
        <f t="shared" si="84"/>
        <v>0</v>
      </c>
      <c r="AM163" s="5254" t="str">
        <f t="shared" si="99"/>
        <v/>
      </c>
      <c r="AN163" s="1031">
        <f t="shared" si="85"/>
        <v>0</v>
      </c>
      <c r="AO163" s="1031">
        <f t="shared" si="86"/>
        <v>0</v>
      </c>
      <c r="AP163" s="1044">
        <f t="shared" si="87"/>
        <v>0</v>
      </c>
      <c r="AQ163" s="5257" t="str">
        <f t="shared" si="88"/>
        <v/>
      </c>
      <c r="AR163" s="1056"/>
      <c r="AS163" s="1056"/>
      <c r="AT163" s="1045">
        <f t="shared" si="89"/>
        <v>0</v>
      </c>
      <c r="AU163" s="1046">
        <f t="shared" si="90"/>
        <v>0</v>
      </c>
      <c r="AV163" s="1059" cm="1">
        <f t="array" ref="AV163">IF(AJ163&lt;&gt;1,0,IF(OR(AT163="",N(AT163)&lt;=0.000000001),"",IF(OR(AN163="",N(AN163)&lt;=0.000000001),0,IF(ISNUMBER(AT163),IFERROR(_xlfn.LET(_xlpm.ai_test,TRIM(AI163),_xlpm.r,IFERROR(_xlfn.XLOOKUP(_xlpm.ai_test,$BI$15:$BI$62,ROW($BI$15:$BI$62),0,1),IFERROR(_xlfn.XLOOKUP(_xlpm.ai_test,$BJ$15:$BJ$62,ROW($BJ$15:$BJ$62),0,1),_xlfn.XLOOKUP(_xlpm.ai_test,$BK$15:$BK$62,ROW($BK$15:$BK$62),0,1))),_xlpm.p,_xlpm.r-MIN(ROW($BI$15:$BI$62))+1,_xlpm.f,INDEX($BL$15:$BL$62,_xlpm.p),_xlpm.u,INDEX($BM$15:$BM$62,_xlpm.p),_xlpm.s,INDEX($BO$15:$BO$62,_xlpm.p),_xlpm.q,N(AT163)/_xlpm.f,IF(_xlpm.q&gt;=_xlpm.s,ROUND(_xlpm.q,1)&amp;" "&amp;_xlpm.ai_test&amp;" = "&amp;ROUND(_xlpm.q*_xlpm.f,1)&amp;" "&amp;_xlpm.u,ROUND(_xlpm.q,1)&amp;" "&amp;_xlpm.ai_test)),""),""))))</f>
        <v>0</v>
      </c>
      <c r="AW163" s="1047"/>
      <c r="AX163" s="1045">
        <f t="shared" si="91"/>
        <v>0</v>
      </c>
      <c r="AY163" s="1046" t="str">
        <f t="shared" si="92"/>
        <v/>
      </c>
      <c r="AZ163" s="1048">
        <f t="shared" si="97"/>
        <v>0</v>
      </c>
      <c r="BA163" s="1049" t="str">
        <f t="shared" si="93"/>
        <v/>
      </c>
      <c r="BB163" s="1038"/>
      <c r="BC163" s="1050">
        <f t="shared" si="98"/>
        <v>0</v>
      </c>
      <c r="BD163" s="1040" t="str">
        <f t="shared" si="94"/>
        <v/>
      </c>
      <c r="BE163" s="227" t="s">
        <v>22</v>
      </c>
      <c r="BF163" s="1019">
        <f t="shared" si="95"/>
        <v>0</v>
      </c>
      <c r="BG163" s="1020">
        <f t="shared" si="96"/>
        <v>0</v>
      </c>
      <c r="BH163"/>
      <c r="BQ163"/>
      <c r="BR163"/>
      <c r="BS163"/>
      <c r="BT163"/>
      <c r="BU163"/>
      <c r="BV163"/>
      <c r="BW163" s="959" t="str">
        <f t="shared" si="77"/>
        <v>►</v>
      </c>
      <c r="BX163"/>
      <c r="BY163"/>
      <c r="BZ163"/>
      <c r="CA163"/>
      <c r="CB163"/>
      <c r="CC163" s="856"/>
      <c r="CD163"/>
      <c r="CE163"/>
      <c r="CF163"/>
      <c r="CG163"/>
      <c r="CH163"/>
      <c r="CI163"/>
      <c r="CJ163"/>
      <c r="CL163"/>
      <c r="CM163"/>
      <c r="CN163"/>
      <c r="CO163"/>
      <c r="CP163"/>
      <c r="CQ163"/>
      <c r="CR163"/>
      <c r="CT163"/>
      <c r="CU163"/>
      <c r="CV163"/>
      <c r="CW163"/>
      <c r="CX163"/>
      <c r="CY163"/>
      <c r="CZ163"/>
      <c r="DB163" s="3">
        <v>1</v>
      </c>
    </row>
    <row r="164" spans="1:106" s="709" customFormat="1" ht="21" customHeight="1">
      <c r="A164" s="936" t="s">
        <v>22</v>
      </c>
      <c r="B164" s="952" t="str">
        <f t="shared" si="76"/>
        <v>►</v>
      </c>
      <c r="C164" s="993" cm="1">
        <f t="array" ref="C164">SUMPRODUCT(LEN(D164:J164))</f>
        <v>0</v>
      </c>
      <c r="D164" s="167"/>
      <c r="E164" s="172"/>
      <c r="F164" s="172"/>
      <c r="G164" s="172"/>
      <c r="H164" s="172"/>
      <c r="I164" s="172"/>
      <c r="J164" s="173"/>
      <c r="K164" s="442" t="s">
        <v>22</v>
      </c>
      <c r="L164" s="104" t="s">
        <v>16</v>
      </c>
      <c r="M164" s="157" t="str">
        <f>M119</f>
        <v>P PRESSÉ DE BOUDIN NOIR | | Auteur &gt; Guy KRENZE - Eric GODDYN - Arnaud NICOLAS - CEPROC 2002</v>
      </c>
      <c r="N164" s="157">
        <f>N119</f>
        <v>20</v>
      </c>
      <c r="O164" s="158" t="str">
        <f>O119</f>
        <v>pressés de boudin</v>
      </c>
      <c r="P164" s="159" t="str">
        <f>P119</f>
        <v>Recette mère ► le Boudin en 4 déclinaisons</v>
      </c>
      <c r="Q164" s="172" t="s">
        <v>12859</v>
      </c>
      <c r="R164" s="172"/>
      <c r="S164" s="172"/>
      <c r="T164" s="172"/>
      <c r="U164" s="172"/>
      <c r="V164" s="172"/>
      <c r="W164" s="172"/>
      <c r="X164" s="172"/>
      <c r="Y164" s="170" t="s">
        <v>182</v>
      </c>
      <c r="Z164" s="175">
        <v>3.472222222222222E-3</v>
      </c>
      <c r="AA164" s="5211"/>
      <c r="AB164" s="1178"/>
      <c r="AC164" s="1179"/>
      <c r="AD164" s="227" t="s">
        <v>22</v>
      </c>
      <c r="AE164" s="1027" t="str">
        <f t="shared" si="78"/>
        <v>►</v>
      </c>
      <c r="AF164" s="1028" t="str">
        <f t="shared" si="79"/>
        <v/>
      </c>
      <c r="AG164" s="1029" t="str">
        <f t="shared" si="80"/>
        <v/>
      </c>
      <c r="AH164" s="1028" t="str">
        <f t="shared" si="81"/>
        <v/>
      </c>
      <c r="AI164" s="1029" t="str">
        <f t="shared" si="82"/>
        <v/>
      </c>
      <c r="AJ164" s="1029">
        <f t="shared" si="83"/>
        <v>0</v>
      </c>
      <c r="AK164" s="1043" t="str" cm="1">
        <f t="array" ref="AK164">IF(AE164&lt;&gt;"A","",IFERROR((IFERROR(_xlfn.XLOOKUP(TRIM(SUBSTITUTE(U164,CHAR(160)," ")),$BI$15:$BI$62,$BL$15:$BL$62),IFERROR(_xlfn.XLOOKUP(TRIM(SUBSTITUTE(U164,CHAR(160)," ")),$BJ$15:$BJ$62,$BL$15:$BL$62),_xlfn.XLOOKUP(TRIM(SUBSTITUTE(U164,CHAR(160)," ")),$BK$15:$BK$62,$BL$15:$BL$62))))*T164*IF(ISBLANK(Q164),1,Q164)+IFERROR(_xlfn.XLOOKUP("RECHERCHEX",TRIM(L164:AC164),L164:AC164),0),0))</f>
        <v/>
      </c>
      <c r="AL164" s="1030">
        <f t="shared" si="84"/>
        <v>0</v>
      </c>
      <c r="AM164" s="5254" t="str">
        <f t="shared" si="99"/>
        <v/>
      </c>
      <c r="AN164" s="1031">
        <f t="shared" si="85"/>
        <v>0</v>
      </c>
      <c r="AO164" s="1031">
        <f t="shared" si="86"/>
        <v>0</v>
      </c>
      <c r="AP164" s="1032">
        <f t="shared" si="87"/>
        <v>0</v>
      </c>
      <c r="AQ164" s="5255" t="str">
        <f t="shared" si="88"/>
        <v/>
      </c>
      <c r="AR164" s="1056"/>
      <c r="AS164" s="1056"/>
      <c r="AT164" s="1034">
        <f t="shared" si="89"/>
        <v>0</v>
      </c>
      <c r="AU164" s="1035">
        <f t="shared" si="90"/>
        <v>0</v>
      </c>
      <c r="AV164" s="1057" cm="1">
        <f t="array" ref="AV164">IF(AJ164&lt;&gt;1,0,IF(OR(AT164="",N(AT164)&lt;=0.000000001),"",IF(OR(AN164="",N(AN164)&lt;=0.000000001),0,IF(ISNUMBER(AT164),IFERROR(_xlfn.LET(_xlpm.ai_test,TRIM(AI164),_xlpm.r,IFERROR(_xlfn.XLOOKUP(_xlpm.ai_test,$BI$15:$BI$62,ROW($BI$15:$BI$62),0,1),IFERROR(_xlfn.XLOOKUP(_xlpm.ai_test,$BJ$15:$BJ$62,ROW($BJ$15:$BJ$62),0,1),_xlfn.XLOOKUP(_xlpm.ai_test,$BK$15:$BK$62,ROW($BK$15:$BK$62),0,1))),_xlpm.p,_xlpm.r-MIN(ROW($BI$15:$BI$62))+1,_xlpm.f,INDEX($BL$15:$BL$62,_xlpm.p),_xlpm.u,INDEX($BM$15:$BM$62,_xlpm.p),_xlpm.s,INDEX($BO$15:$BO$62,_xlpm.p),_xlpm.q,N(AT164)/_xlpm.f,IF(_xlpm.q&gt;=_xlpm.s,ROUND(_xlpm.q,1)&amp;" "&amp;_xlpm.ai_test&amp;" = "&amp;ROUND(_xlpm.q*_xlpm.f,1)&amp;" "&amp;_xlpm.u,ROUND(_xlpm.q,1)&amp;" "&amp;_xlpm.ai_test)),""),""))))</f>
        <v>0</v>
      </c>
      <c r="AW164" s="1047"/>
      <c r="AX164" s="1034">
        <f t="shared" si="91"/>
        <v>0</v>
      </c>
      <c r="AY164" s="1035" t="str">
        <f t="shared" si="92"/>
        <v/>
      </c>
      <c r="AZ164" s="1036">
        <f t="shared" si="97"/>
        <v>0</v>
      </c>
      <c r="BA164" s="1037" t="str">
        <f t="shared" si="93"/>
        <v/>
      </c>
      <c r="BB164" s="1038"/>
      <c r="BC164" s="1039">
        <f t="shared" si="98"/>
        <v>0</v>
      </c>
      <c r="BD164" s="1040" t="str">
        <f t="shared" si="94"/>
        <v/>
      </c>
      <c r="BE164" s="227" t="s">
        <v>22</v>
      </c>
      <c r="BF164" s="1019">
        <f t="shared" si="95"/>
        <v>0</v>
      </c>
      <c r="BG164" s="1020">
        <f t="shared" si="96"/>
        <v>0</v>
      </c>
      <c r="BH164"/>
      <c r="BQ164"/>
      <c r="BR164"/>
      <c r="BS164"/>
      <c r="BT164"/>
      <c r="BU164"/>
      <c r="BV164"/>
      <c r="BW164" s="959" t="str">
        <f t="shared" si="77"/>
        <v>►</v>
      </c>
      <c r="BX164"/>
      <c r="BY164"/>
      <c r="BZ164"/>
      <c r="CA164"/>
      <c r="CB164"/>
      <c r="CC164" s="856"/>
      <c r="CD164"/>
      <c r="CE164"/>
      <c r="CF164"/>
      <c r="CG164"/>
      <c r="CH164"/>
      <c r="CI164"/>
      <c r="CJ164"/>
      <c r="CL164"/>
      <c r="CM164"/>
      <c r="CN164"/>
      <c r="CO164"/>
      <c r="CP164"/>
      <c r="CQ164"/>
      <c r="CR164"/>
      <c r="CT164"/>
      <c r="CU164"/>
      <c r="CV164"/>
      <c r="CW164"/>
      <c r="CX164"/>
      <c r="CY164"/>
      <c r="CZ164"/>
      <c r="DB164" s="3">
        <v>1</v>
      </c>
    </row>
    <row r="165" spans="1:106" s="709" customFormat="1" ht="21" customHeight="1">
      <c r="A165" s="936" t="s">
        <v>22</v>
      </c>
      <c r="B165" s="952" t="str">
        <f t="shared" si="76"/>
        <v>►</v>
      </c>
      <c r="C165" s="993" cm="1">
        <f t="array" ref="C165">SUMPRODUCT(LEN(D165:J165))</f>
        <v>0</v>
      </c>
      <c r="D165" s="167"/>
      <c r="E165" s="172"/>
      <c r="F165" s="172"/>
      <c r="G165" s="172"/>
      <c r="H165" s="172"/>
      <c r="I165" s="172"/>
      <c r="J165" s="173"/>
      <c r="K165" s="442" t="s">
        <v>22</v>
      </c>
      <c r="L165" s="104" t="s">
        <v>16</v>
      </c>
      <c r="M165" s="157" t="str">
        <f>M119</f>
        <v>P PRESSÉ DE BOUDIN NOIR | | Auteur &gt; Guy KRENZE - Eric GODDYN - Arnaud NICOLAS - CEPROC 2002</v>
      </c>
      <c r="N165" s="157">
        <f>N119</f>
        <v>20</v>
      </c>
      <c r="O165" s="158" t="str">
        <f>O119</f>
        <v>pressés de boudin</v>
      </c>
      <c r="P165" s="159" t="str">
        <f>P119</f>
        <v>Recette mère ► le Boudin en 4 déclinaisons</v>
      </c>
      <c r="Q165" s="172" t="s">
        <v>12860</v>
      </c>
      <c r="R165" s="172"/>
      <c r="S165" s="172"/>
      <c r="T165" s="172"/>
      <c r="U165" s="172"/>
      <c r="V165" s="172"/>
      <c r="W165" s="172"/>
      <c r="X165" s="172"/>
      <c r="Y165" s="176" t="s">
        <v>183</v>
      </c>
      <c r="Z165" s="177">
        <f>Z162+Z163+Z164</f>
        <v>1.0416666666666666E-2</v>
      </c>
      <c r="AA165" s="5211"/>
      <c r="AB165" s="1178"/>
      <c r="AC165" s="1179"/>
      <c r="AD165" s="227" t="s">
        <v>22</v>
      </c>
      <c r="AE165" s="1027" t="str">
        <f t="shared" si="78"/>
        <v>►</v>
      </c>
      <c r="AF165" s="1028" t="str">
        <f t="shared" si="79"/>
        <v/>
      </c>
      <c r="AG165" s="1029" t="str">
        <f t="shared" si="80"/>
        <v/>
      </c>
      <c r="AH165" s="1028" t="str">
        <f t="shared" si="81"/>
        <v/>
      </c>
      <c r="AI165" s="1029" t="str">
        <f t="shared" si="82"/>
        <v/>
      </c>
      <c r="AJ165" s="1029">
        <f t="shared" si="83"/>
        <v>0</v>
      </c>
      <c r="AK165" s="1043" t="str" cm="1">
        <f t="array" ref="AK165">IF(AE165&lt;&gt;"A","",IFERROR((IFERROR(_xlfn.XLOOKUP(TRIM(SUBSTITUTE(U165,CHAR(160)," ")),$BI$15:$BI$62,$BL$15:$BL$62),IFERROR(_xlfn.XLOOKUP(TRIM(SUBSTITUTE(U165,CHAR(160)," ")),$BJ$15:$BJ$62,$BL$15:$BL$62),_xlfn.XLOOKUP(TRIM(SUBSTITUTE(U165,CHAR(160)," ")),$BK$15:$BK$62,$BL$15:$BL$62))))*T165*IF(ISBLANK(Q165),1,Q165)+IFERROR(_xlfn.XLOOKUP("RECHERCHEX",TRIM(L165:AC165),L165:AC165),0),0))</f>
        <v/>
      </c>
      <c r="AL165" s="1030">
        <f t="shared" si="84"/>
        <v>0</v>
      </c>
      <c r="AM165" s="5254" t="str">
        <f t="shared" si="99"/>
        <v/>
      </c>
      <c r="AN165" s="1031">
        <f t="shared" si="85"/>
        <v>0</v>
      </c>
      <c r="AO165" s="1031">
        <f t="shared" si="86"/>
        <v>0</v>
      </c>
      <c r="AP165" s="1044">
        <f t="shared" si="87"/>
        <v>0</v>
      </c>
      <c r="AQ165" s="5257" t="str">
        <f t="shared" si="88"/>
        <v/>
      </c>
      <c r="AR165" s="1056"/>
      <c r="AS165" s="1056"/>
      <c r="AT165" s="1045">
        <f t="shared" si="89"/>
        <v>0</v>
      </c>
      <c r="AU165" s="1046">
        <f t="shared" si="90"/>
        <v>0</v>
      </c>
      <c r="AV165" s="1059" cm="1">
        <f t="array" ref="AV165">IF(AJ165&lt;&gt;1,0,IF(OR(AT165="",N(AT165)&lt;=0.000000001),"",IF(OR(AN165="",N(AN165)&lt;=0.000000001),0,IF(ISNUMBER(AT165),IFERROR(_xlfn.LET(_xlpm.ai_test,TRIM(AI165),_xlpm.r,IFERROR(_xlfn.XLOOKUP(_xlpm.ai_test,$BI$15:$BI$62,ROW($BI$15:$BI$62),0,1),IFERROR(_xlfn.XLOOKUP(_xlpm.ai_test,$BJ$15:$BJ$62,ROW($BJ$15:$BJ$62),0,1),_xlfn.XLOOKUP(_xlpm.ai_test,$BK$15:$BK$62,ROW($BK$15:$BK$62),0,1))),_xlpm.p,_xlpm.r-MIN(ROW($BI$15:$BI$62))+1,_xlpm.f,INDEX($BL$15:$BL$62,_xlpm.p),_xlpm.u,INDEX($BM$15:$BM$62,_xlpm.p),_xlpm.s,INDEX($BO$15:$BO$62,_xlpm.p),_xlpm.q,N(AT165)/_xlpm.f,IF(_xlpm.q&gt;=_xlpm.s,ROUND(_xlpm.q,1)&amp;" "&amp;_xlpm.ai_test&amp;" = "&amp;ROUND(_xlpm.q*_xlpm.f,1)&amp;" "&amp;_xlpm.u,ROUND(_xlpm.q,1)&amp;" "&amp;_xlpm.ai_test)),""),""))))</f>
        <v>0</v>
      </c>
      <c r="AW165" s="1047"/>
      <c r="AX165" s="1045">
        <f t="shared" si="91"/>
        <v>0</v>
      </c>
      <c r="AY165" s="1046" t="str">
        <f t="shared" si="92"/>
        <v/>
      </c>
      <c r="AZ165" s="1048">
        <f t="shared" si="97"/>
        <v>0</v>
      </c>
      <c r="BA165" s="1049" t="str">
        <f t="shared" si="93"/>
        <v/>
      </c>
      <c r="BB165" s="1038"/>
      <c r="BC165" s="1050">
        <f t="shared" si="98"/>
        <v>0</v>
      </c>
      <c r="BD165" s="1040" t="str">
        <f t="shared" si="94"/>
        <v/>
      </c>
      <c r="BE165" s="227" t="s">
        <v>22</v>
      </c>
      <c r="BF165" s="1019">
        <f t="shared" si="95"/>
        <v>0</v>
      </c>
      <c r="BG165" s="1020">
        <f t="shared" si="96"/>
        <v>0</v>
      </c>
      <c r="BH165"/>
      <c r="BQ165"/>
      <c r="BR165"/>
      <c r="BS165"/>
      <c r="BT165"/>
      <c r="BU165"/>
      <c r="BV165"/>
      <c r="BW165" s="959" t="str">
        <f t="shared" si="77"/>
        <v>►</v>
      </c>
      <c r="BX165"/>
      <c r="BY165"/>
      <c r="BZ165"/>
      <c r="CA165"/>
      <c r="CB165"/>
      <c r="CC165" s="856"/>
      <c r="CD165"/>
      <c r="CE165"/>
      <c r="CF165"/>
      <c r="CG165"/>
      <c r="CH165"/>
      <c r="CI165"/>
      <c r="CJ165"/>
      <c r="CL165"/>
      <c r="CM165"/>
      <c r="CN165"/>
      <c r="CO165"/>
      <c r="CP165"/>
      <c r="CQ165"/>
      <c r="CR165"/>
      <c r="CT165"/>
      <c r="CU165"/>
      <c r="CV165"/>
      <c r="CW165"/>
      <c r="CX165"/>
      <c r="CY165"/>
      <c r="CZ165"/>
      <c r="DB165" s="3">
        <v>1</v>
      </c>
    </row>
    <row r="166" spans="1:106" s="709" customFormat="1" ht="21" customHeight="1">
      <c r="A166" s="936" t="s">
        <v>22</v>
      </c>
      <c r="B166" s="952" t="str">
        <f t="shared" si="76"/>
        <v>►</v>
      </c>
      <c r="C166" s="993" cm="1">
        <f t="array" ref="C166">SUMPRODUCT(LEN(D166:J166))</f>
        <v>0</v>
      </c>
      <c r="D166" s="167"/>
      <c r="E166" s="172"/>
      <c r="F166" s="172"/>
      <c r="G166" s="172"/>
      <c r="H166" s="172"/>
      <c r="I166" s="172"/>
      <c r="J166" s="173"/>
      <c r="K166" s="442" t="s">
        <v>22</v>
      </c>
      <c r="L166" s="104" t="s">
        <v>16</v>
      </c>
      <c r="M166" s="157" t="str">
        <f>M119</f>
        <v>P PRESSÉ DE BOUDIN NOIR | | Auteur &gt; Guy KRENZE - Eric GODDYN - Arnaud NICOLAS - CEPROC 2002</v>
      </c>
      <c r="N166" s="157">
        <f>N119</f>
        <v>20</v>
      </c>
      <c r="O166" s="158" t="str">
        <f>O119</f>
        <v>pressés de boudin</v>
      </c>
      <c r="P166" s="159" t="str">
        <f>P119</f>
        <v>Recette mère ► le Boudin en 4 déclinaisons</v>
      </c>
      <c r="Q166" s="172" t="s">
        <v>12978</v>
      </c>
      <c r="R166" s="172"/>
      <c r="S166" s="172"/>
      <c r="T166" s="172"/>
      <c r="U166" s="172"/>
      <c r="V166" s="172"/>
      <c r="W166" s="172"/>
      <c r="X166" s="172"/>
      <c r="Y166" s="172"/>
      <c r="Z166" s="555"/>
      <c r="AA166" s="5211"/>
      <c r="AB166" s="1178"/>
      <c r="AC166" s="1179"/>
      <c r="AD166" s="227" t="s">
        <v>22</v>
      </c>
      <c r="AE166" s="1027" t="str">
        <f t="shared" si="78"/>
        <v>►</v>
      </c>
      <c r="AF166" s="1028" t="str">
        <f t="shared" si="79"/>
        <v/>
      </c>
      <c r="AG166" s="1029" t="str">
        <f t="shared" si="80"/>
        <v/>
      </c>
      <c r="AH166" s="1028" t="str">
        <f t="shared" si="81"/>
        <v/>
      </c>
      <c r="AI166" s="1029" t="str">
        <f t="shared" si="82"/>
        <v/>
      </c>
      <c r="AJ166" s="1029">
        <f t="shared" si="83"/>
        <v>0</v>
      </c>
      <c r="AK166" s="1043" t="str" cm="1">
        <f t="array" ref="AK166">IF(AE166&lt;&gt;"A","",IFERROR((IFERROR(_xlfn.XLOOKUP(TRIM(SUBSTITUTE(U166,CHAR(160)," ")),$BI$15:$BI$62,$BL$15:$BL$62),IFERROR(_xlfn.XLOOKUP(TRIM(SUBSTITUTE(U166,CHAR(160)," ")),$BJ$15:$BJ$62,$BL$15:$BL$62),_xlfn.XLOOKUP(TRIM(SUBSTITUTE(U166,CHAR(160)," ")),$BK$15:$BK$62,$BL$15:$BL$62))))*T166*IF(ISBLANK(Q166),1,Q166)+IFERROR(_xlfn.XLOOKUP("RECHERCHEX",TRIM(L166:AC166),L166:AC166),0),0))</f>
        <v/>
      </c>
      <c r="AL166" s="1030">
        <f t="shared" si="84"/>
        <v>0</v>
      </c>
      <c r="AM166" s="5254" t="str">
        <f t="shared" si="99"/>
        <v/>
      </c>
      <c r="AN166" s="1031">
        <f t="shared" si="85"/>
        <v>0</v>
      </c>
      <c r="AO166" s="1031">
        <f t="shared" si="86"/>
        <v>0</v>
      </c>
      <c r="AP166" s="1032">
        <f t="shared" si="87"/>
        <v>0</v>
      </c>
      <c r="AQ166" s="5255" t="str">
        <f t="shared" si="88"/>
        <v/>
      </c>
      <c r="AR166" s="1056"/>
      <c r="AS166" s="1056"/>
      <c r="AT166" s="1034">
        <f t="shared" si="89"/>
        <v>0</v>
      </c>
      <c r="AU166" s="1035">
        <f t="shared" si="90"/>
        <v>0</v>
      </c>
      <c r="AV166" s="1057" cm="1">
        <f t="array" ref="AV166">IF(AJ166&lt;&gt;1,0,IF(OR(AT166="",N(AT166)&lt;=0.000000001),"",IF(OR(AN166="",N(AN166)&lt;=0.000000001),0,IF(ISNUMBER(AT166),IFERROR(_xlfn.LET(_xlpm.ai_test,TRIM(AI166),_xlpm.r,IFERROR(_xlfn.XLOOKUP(_xlpm.ai_test,$BI$15:$BI$62,ROW($BI$15:$BI$62),0,1),IFERROR(_xlfn.XLOOKUP(_xlpm.ai_test,$BJ$15:$BJ$62,ROW($BJ$15:$BJ$62),0,1),_xlfn.XLOOKUP(_xlpm.ai_test,$BK$15:$BK$62,ROW($BK$15:$BK$62),0,1))),_xlpm.p,_xlpm.r-MIN(ROW($BI$15:$BI$62))+1,_xlpm.f,INDEX($BL$15:$BL$62,_xlpm.p),_xlpm.u,INDEX($BM$15:$BM$62,_xlpm.p),_xlpm.s,INDEX($BO$15:$BO$62,_xlpm.p),_xlpm.q,N(AT166)/_xlpm.f,IF(_xlpm.q&gt;=_xlpm.s,ROUND(_xlpm.q,1)&amp;" "&amp;_xlpm.ai_test&amp;" = "&amp;ROUND(_xlpm.q*_xlpm.f,1)&amp;" "&amp;_xlpm.u,ROUND(_xlpm.q,1)&amp;" "&amp;_xlpm.ai_test)),""),""))))</f>
        <v>0</v>
      </c>
      <c r="AW166" s="1047"/>
      <c r="AX166" s="1034">
        <f t="shared" si="91"/>
        <v>0</v>
      </c>
      <c r="AY166" s="1035" t="str">
        <f t="shared" si="92"/>
        <v/>
      </c>
      <c r="AZ166" s="1036">
        <f t="shared" si="97"/>
        <v>0</v>
      </c>
      <c r="BA166" s="1037" t="str">
        <f t="shared" si="93"/>
        <v/>
      </c>
      <c r="BB166" s="1038"/>
      <c r="BC166" s="1039">
        <f t="shared" si="98"/>
        <v>0</v>
      </c>
      <c r="BD166" s="1040" t="str">
        <f t="shared" si="94"/>
        <v/>
      </c>
      <c r="BE166" s="227" t="s">
        <v>22</v>
      </c>
      <c r="BF166" s="1019">
        <f t="shared" si="95"/>
        <v>0</v>
      </c>
      <c r="BG166" s="1020">
        <f t="shared" si="96"/>
        <v>0</v>
      </c>
      <c r="BH166"/>
      <c r="BQ166"/>
      <c r="BR166"/>
      <c r="BS166"/>
      <c r="BT166"/>
      <c r="BU166"/>
      <c r="BV166"/>
      <c r="BW166" s="959" t="str">
        <f t="shared" si="77"/>
        <v>►</v>
      </c>
      <c r="BX166"/>
      <c r="BY166"/>
      <c r="BZ166"/>
      <c r="CA166"/>
      <c r="CB166"/>
      <c r="CC166" s="856"/>
      <c r="CD166"/>
      <c r="CE166"/>
      <c r="CF166"/>
      <c r="CG166"/>
      <c r="CH166"/>
      <c r="CI166"/>
      <c r="CJ166"/>
      <c r="CL166"/>
      <c r="CM166"/>
      <c r="CN166"/>
      <c r="CO166"/>
      <c r="CP166"/>
      <c r="CQ166"/>
      <c r="CR166"/>
      <c r="CT166"/>
      <c r="CU166"/>
      <c r="CV166"/>
      <c r="CW166"/>
      <c r="CX166"/>
      <c r="CY166"/>
      <c r="CZ166"/>
      <c r="DB166" s="3">
        <v>1</v>
      </c>
    </row>
    <row r="167" spans="1:106" s="709" customFormat="1" ht="21" customHeight="1">
      <c r="A167" s="936" t="s">
        <v>22</v>
      </c>
      <c r="B167" s="952" t="str">
        <f t="shared" si="76"/>
        <v>►</v>
      </c>
      <c r="C167" s="993" cm="1">
        <f t="array" ref="C167">SUMPRODUCT(LEN(D167:J167))</f>
        <v>0</v>
      </c>
      <c r="D167" s="167"/>
      <c r="E167" s="172"/>
      <c r="F167" s="172"/>
      <c r="G167" s="172"/>
      <c r="H167" s="172"/>
      <c r="I167" s="172"/>
      <c r="J167" s="173"/>
      <c r="K167" s="442" t="s">
        <v>22</v>
      </c>
      <c r="L167" s="104" t="s">
        <v>16</v>
      </c>
      <c r="M167" s="157" t="str">
        <f>M119</f>
        <v>P PRESSÉ DE BOUDIN NOIR | | Auteur &gt; Guy KRENZE - Eric GODDYN - Arnaud NICOLAS - CEPROC 2002</v>
      </c>
      <c r="N167" s="157">
        <f>N119</f>
        <v>20</v>
      </c>
      <c r="O167" s="158" t="str">
        <f>O119</f>
        <v>pressés de boudin</v>
      </c>
      <c r="P167" s="159" t="str">
        <f>P119</f>
        <v>Recette mère ► le Boudin en 4 déclinaisons</v>
      </c>
      <c r="Q167" s="172" t="s">
        <v>12861</v>
      </c>
      <c r="R167" s="172"/>
      <c r="S167" s="172"/>
      <c r="T167" s="172"/>
      <c r="U167" s="172"/>
      <c r="V167" s="172"/>
      <c r="W167" s="172"/>
      <c r="X167" s="172"/>
      <c r="Y167" s="172"/>
      <c r="Z167" s="555"/>
      <c r="AA167" s="5211"/>
      <c r="AB167" s="1178"/>
      <c r="AC167" s="1179"/>
      <c r="AD167" s="227" t="s">
        <v>22</v>
      </c>
      <c r="AE167" s="1027" t="str">
        <f t="shared" si="78"/>
        <v>►</v>
      </c>
      <c r="AF167" s="1028" t="str">
        <f t="shared" si="79"/>
        <v/>
      </c>
      <c r="AG167" s="1029" t="str">
        <f t="shared" si="80"/>
        <v/>
      </c>
      <c r="AH167" s="1028" t="str">
        <f t="shared" si="81"/>
        <v/>
      </c>
      <c r="AI167" s="1029" t="str">
        <f t="shared" si="82"/>
        <v/>
      </c>
      <c r="AJ167" s="1029">
        <f t="shared" si="83"/>
        <v>0</v>
      </c>
      <c r="AK167" s="1043" t="str" cm="1">
        <f t="array" ref="AK167">IF(AE167&lt;&gt;"A","",IFERROR((IFERROR(_xlfn.XLOOKUP(TRIM(SUBSTITUTE(U167,CHAR(160)," ")),$BI$15:$BI$62,$BL$15:$BL$62),IFERROR(_xlfn.XLOOKUP(TRIM(SUBSTITUTE(U167,CHAR(160)," ")),$BJ$15:$BJ$62,$BL$15:$BL$62),_xlfn.XLOOKUP(TRIM(SUBSTITUTE(U167,CHAR(160)," ")),$BK$15:$BK$62,$BL$15:$BL$62))))*T167*IF(ISBLANK(Q167),1,Q167)+IFERROR(_xlfn.XLOOKUP("RECHERCHEX",TRIM(L167:AC167),L167:AC167),0),0))</f>
        <v/>
      </c>
      <c r="AL167" s="1030">
        <f t="shared" si="84"/>
        <v>0</v>
      </c>
      <c r="AM167" s="5254" t="str">
        <f t="shared" si="99"/>
        <v/>
      </c>
      <c r="AN167" s="1031">
        <f t="shared" si="85"/>
        <v>0</v>
      </c>
      <c r="AO167" s="1031">
        <f t="shared" si="86"/>
        <v>0</v>
      </c>
      <c r="AP167" s="1044">
        <f t="shared" si="87"/>
        <v>0</v>
      </c>
      <c r="AQ167" s="5257" t="str">
        <f t="shared" si="88"/>
        <v/>
      </c>
      <c r="AR167" s="1056"/>
      <c r="AS167" s="1056"/>
      <c r="AT167" s="1045">
        <f t="shared" si="89"/>
        <v>0</v>
      </c>
      <c r="AU167" s="1046">
        <f t="shared" si="90"/>
        <v>0</v>
      </c>
      <c r="AV167" s="1059" cm="1">
        <f t="array" ref="AV167">IF(AJ167&lt;&gt;1,0,IF(OR(AT167="",N(AT167)&lt;=0.000000001),"",IF(OR(AN167="",N(AN167)&lt;=0.000000001),0,IF(ISNUMBER(AT167),IFERROR(_xlfn.LET(_xlpm.ai_test,TRIM(AI167),_xlpm.r,IFERROR(_xlfn.XLOOKUP(_xlpm.ai_test,$BI$15:$BI$62,ROW($BI$15:$BI$62),0,1),IFERROR(_xlfn.XLOOKUP(_xlpm.ai_test,$BJ$15:$BJ$62,ROW($BJ$15:$BJ$62),0,1),_xlfn.XLOOKUP(_xlpm.ai_test,$BK$15:$BK$62,ROW($BK$15:$BK$62),0,1))),_xlpm.p,_xlpm.r-MIN(ROW($BI$15:$BI$62))+1,_xlpm.f,INDEX($BL$15:$BL$62,_xlpm.p),_xlpm.u,INDEX($BM$15:$BM$62,_xlpm.p),_xlpm.s,INDEX($BO$15:$BO$62,_xlpm.p),_xlpm.q,N(AT167)/_xlpm.f,IF(_xlpm.q&gt;=_xlpm.s,ROUND(_xlpm.q,1)&amp;" "&amp;_xlpm.ai_test&amp;" = "&amp;ROUND(_xlpm.q*_xlpm.f,1)&amp;" "&amp;_xlpm.u,ROUND(_xlpm.q,1)&amp;" "&amp;_xlpm.ai_test)),""),""))))</f>
        <v>0</v>
      </c>
      <c r="AW167" s="1047"/>
      <c r="AX167" s="1045">
        <f t="shared" si="91"/>
        <v>0</v>
      </c>
      <c r="AY167" s="1046" t="str">
        <f t="shared" si="92"/>
        <v/>
      </c>
      <c r="AZ167" s="1048">
        <f t="shared" si="97"/>
        <v>0</v>
      </c>
      <c r="BA167" s="1049" t="str">
        <f t="shared" si="93"/>
        <v/>
      </c>
      <c r="BB167" s="1038"/>
      <c r="BC167" s="1050">
        <f t="shared" si="98"/>
        <v>0</v>
      </c>
      <c r="BD167" s="1040" t="str">
        <f t="shared" si="94"/>
        <v/>
      </c>
      <c r="BE167" s="227" t="s">
        <v>22</v>
      </c>
      <c r="BF167" s="1019">
        <f t="shared" si="95"/>
        <v>0</v>
      </c>
      <c r="BG167" s="1020">
        <f t="shared" si="96"/>
        <v>0</v>
      </c>
      <c r="BH167"/>
      <c r="BQ167"/>
      <c r="BR167"/>
      <c r="BS167"/>
      <c r="BT167"/>
      <c r="BU167"/>
      <c r="BV167"/>
      <c r="BW167" s="959" t="str">
        <f t="shared" si="77"/>
        <v>►</v>
      </c>
      <c r="BX167"/>
      <c r="BY167"/>
      <c r="BZ167"/>
      <c r="CA167"/>
      <c r="CB167"/>
      <c r="CC167" s="856"/>
      <c r="CD167"/>
      <c r="CE167"/>
      <c r="CF167"/>
      <c r="CG167"/>
      <c r="CH167"/>
      <c r="CI167"/>
      <c r="CJ167"/>
      <c r="CL167"/>
      <c r="CM167"/>
      <c r="CN167"/>
      <c r="CO167"/>
      <c r="CP167"/>
      <c r="CQ167"/>
      <c r="CR167"/>
      <c r="CT167"/>
      <c r="CU167"/>
      <c r="CV167"/>
      <c r="CW167"/>
      <c r="CX167"/>
      <c r="CY167"/>
      <c r="CZ167"/>
      <c r="DB167" s="3">
        <v>1</v>
      </c>
    </row>
    <row r="168" spans="1:106" s="709" customFormat="1" ht="21" customHeight="1">
      <c r="A168" s="936" t="s">
        <v>22</v>
      </c>
      <c r="B168" s="952" t="str">
        <f t="shared" si="76"/>
        <v>►</v>
      </c>
      <c r="C168" s="993" cm="1">
        <f t="array" ref="C168">SUMPRODUCT(LEN(D168:J168))</f>
        <v>0</v>
      </c>
      <c r="D168" s="167"/>
      <c r="E168" s="172"/>
      <c r="F168" s="172"/>
      <c r="G168" s="172"/>
      <c r="H168" s="172"/>
      <c r="I168" s="172"/>
      <c r="J168" s="173"/>
      <c r="K168" s="442" t="s">
        <v>22</v>
      </c>
      <c r="L168" s="104" t="s">
        <v>16</v>
      </c>
      <c r="M168" s="157" t="str">
        <f>M119</f>
        <v>P PRESSÉ DE BOUDIN NOIR | | Auteur &gt; Guy KRENZE - Eric GODDYN - Arnaud NICOLAS - CEPROC 2002</v>
      </c>
      <c r="N168" s="157">
        <f>N119</f>
        <v>20</v>
      </c>
      <c r="O168" s="158" t="str">
        <f>O119</f>
        <v>pressés de boudin</v>
      </c>
      <c r="P168" s="159" t="str">
        <f>P119</f>
        <v>Recette mère ► le Boudin en 4 déclinaisons</v>
      </c>
      <c r="Q168" s="172" t="s">
        <v>12862</v>
      </c>
      <c r="R168" s="172"/>
      <c r="S168" s="172"/>
      <c r="T168" s="172"/>
      <c r="U168" s="172"/>
      <c r="V168" s="172"/>
      <c r="W168" s="172"/>
      <c r="X168" s="172"/>
      <c r="Y168" s="172"/>
      <c r="Z168" s="555"/>
      <c r="AA168" s="5211"/>
      <c r="AB168" s="1178"/>
      <c r="AC168" s="1179"/>
      <c r="AD168" s="227" t="s">
        <v>22</v>
      </c>
      <c r="AE168" s="1027" t="str">
        <f t="shared" si="78"/>
        <v>►</v>
      </c>
      <c r="AF168" s="1028" t="str">
        <f t="shared" si="79"/>
        <v/>
      </c>
      <c r="AG168" s="1029" t="str">
        <f t="shared" si="80"/>
        <v/>
      </c>
      <c r="AH168" s="1028" t="str">
        <f t="shared" si="81"/>
        <v/>
      </c>
      <c r="AI168" s="1029" t="str">
        <f t="shared" si="82"/>
        <v/>
      </c>
      <c r="AJ168" s="1029">
        <f t="shared" si="83"/>
        <v>0</v>
      </c>
      <c r="AK168" s="1043" t="str" cm="1">
        <f t="array" ref="AK168">IF(AE168&lt;&gt;"A","",IFERROR((IFERROR(_xlfn.XLOOKUP(TRIM(SUBSTITUTE(U168,CHAR(160)," ")),$BI$15:$BI$62,$BL$15:$BL$62),IFERROR(_xlfn.XLOOKUP(TRIM(SUBSTITUTE(U168,CHAR(160)," ")),$BJ$15:$BJ$62,$BL$15:$BL$62),_xlfn.XLOOKUP(TRIM(SUBSTITUTE(U168,CHAR(160)," ")),$BK$15:$BK$62,$BL$15:$BL$62))))*T168*IF(ISBLANK(Q168),1,Q168)+IFERROR(_xlfn.XLOOKUP("RECHERCHEX",TRIM(L168:AC168),L168:AC168),0),0))</f>
        <v/>
      </c>
      <c r="AL168" s="1030">
        <f t="shared" si="84"/>
        <v>0</v>
      </c>
      <c r="AM168" s="5254" t="str">
        <f t="shared" si="99"/>
        <v/>
      </c>
      <c r="AN168" s="1031">
        <f t="shared" si="85"/>
        <v>0</v>
      </c>
      <c r="AO168" s="1031">
        <f t="shared" si="86"/>
        <v>0</v>
      </c>
      <c r="AP168" s="1032">
        <f t="shared" si="87"/>
        <v>0</v>
      </c>
      <c r="AQ168" s="5255" t="str">
        <f t="shared" si="88"/>
        <v/>
      </c>
      <c r="AR168" s="1056"/>
      <c r="AS168" s="1056"/>
      <c r="AT168" s="1034">
        <f t="shared" si="89"/>
        <v>0</v>
      </c>
      <c r="AU168" s="1035">
        <f t="shared" si="90"/>
        <v>0</v>
      </c>
      <c r="AV168" s="1057" cm="1">
        <f t="array" ref="AV168">IF(AJ168&lt;&gt;1,0,IF(OR(AT168="",N(AT168)&lt;=0.000000001),"",IF(OR(AN168="",N(AN168)&lt;=0.000000001),0,IF(ISNUMBER(AT168),IFERROR(_xlfn.LET(_xlpm.ai_test,TRIM(AI168),_xlpm.r,IFERROR(_xlfn.XLOOKUP(_xlpm.ai_test,$BI$15:$BI$62,ROW($BI$15:$BI$62),0,1),IFERROR(_xlfn.XLOOKUP(_xlpm.ai_test,$BJ$15:$BJ$62,ROW($BJ$15:$BJ$62),0,1),_xlfn.XLOOKUP(_xlpm.ai_test,$BK$15:$BK$62,ROW($BK$15:$BK$62),0,1))),_xlpm.p,_xlpm.r-MIN(ROW($BI$15:$BI$62))+1,_xlpm.f,INDEX($BL$15:$BL$62,_xlpm.p),_xlpm.u,INDEX($BM$15:$BM$62,_xlpm.p),_xlpm.s,INDEX($BO$15:$BO$62,_xlpm.p),_xlpm.q,N(AT168)/_xlpm.f,IF(_xlpm.q&gt;=_xlpm.s,ROUND(_xlpm.q,1)&amp;" "&amp;_xlpm.ai_test&amp;" = "&amp;ROUND(_xlpm.q*_xlpm.f,1)&amp;" "&amp;_xlpm.u,ROUND(_xlpm.q,1)&amp;" "&amp;_xlpm.ai_test)),""),""))))</f>
        <v>0</v>
      </c>
      <c r="AW168" s="1047"/>
      <c r="AX168" s="1034">
        <f t="shared" si="91"/>
        <v>0</v>
      </c>
      <c r="AY168" s="1035" t="str">
        <f t="shared" si="92"/>
        <v/>
      </c>
      <c r="AZ168" s="1036">
        <f t="shared" si="97"/>
        <v>0</v>
      </c>
      <c r="BA168" s="1037" t="str">
        <f t="shared" si="93"/>
        <v/>
      </c>
      <c r="BB168" s="1038"/>
      <c r="BC168" s="1039">
        <f t="shared" si="98"/>
        <v>0</v>
      </c>
      <c r="BD168" s="1040" t="str">
        <f t="shared" si="94"/>
        <v/>
      </c>
      <c r="BE168" s="227" t="s">
        <v>22</v>
      </c>
      <c r="BF168" s="1019">
        <f t="shared" si="95"/>
        <v>0</v>
      </c>
      <c r="BG168" s="1020">
        <f t="shared" si="96"/>
        <v>0</v>
      </c>
      <c r="BH168"/>
      <c r="BQ168"/>
      <c r="BR168"/>
      <c r="BS168"/>
      <c r="BT168"/>
      <c r="BU168"/>
      <c r="BV168"/>
      <c r="BW168" s="959" t="str">
        <f t="shared" si="77"/>
        <v>►</v>
      </c>
      <c r="BX168"/>
      <c r="BY168"/>
      <c r="BZ168"/>
      <c r="CA168"/>
      <c r="CB168"/>
      <c r="CC168" s="856"/>
      <c r="CD168"/>
      <c r="CE168"/>
      <c r="CF168"/>
      <c r="CG168"/>
      <c r="CH168"/>
      <c r="CI168"/>
      <c r="CJ168"/>
      <c r="CL168"/>
      <c r="CM168"/>
      <c r="CN168"/>
      <c r="CO168"/>
      <c r="CP168"/>
      <c r="CQ168"/>
      <c r="CR168"/>
      <c r="CT168"/>
      <c r="CU168"/>
      <c r="CV168"/>
      <c r="CW168"/>
      <c r="CX168"/>
      <c r="CY168"/>
      <c r="CZ168"/>
      <c r="DB168" s="3">
        <v>1</v>
      </c>
    </row>
    <row r="169" spans="1:106" s="709" customFormat="1" ht="21" customHeight="1">
      <c r="A169" s="936" t="s">
        <v>22</v>
      </c>
      <c r="B169" s="952" t="str">
        <f t="shared" si="76"/>
        <v>►</v>
      </c>
      <c r="C169" s="993" cm="1">
        <f t="array" ref="C169">SUMPRODUCT(LEN(D169:J169))</f>
        <v>0</v>
      </c>
      <c r="D169" s="167"/>
      <c r="E169" s="172"/>
      <c r="F169" s="172"/>
      <c r="G169" s="172"/>
      <c r="H169" s="172"/>
      <c r="I169" s="172"/>
      <c r="J169" s="173"/>
      <c r="K169" s="442" t="s">
        <v>22</v>
      </c>
      <c r="L169" s="104" t="s">
        <v>16</v>
      </c>
      <c r="M169" s="157" t="str">
        <f>M119</f>
        <v>P PRESSÉ DE BOUDIN NOIR | | Auteur &gt; Guy KRENZE - Eric GODDYN - Arnaud NICOLAS - CEPROC 2002</v>
      </c>
      <c r="N169" s="157">
        <f>N119</f>
        <v>20</v>
      </c>
      <c r="O169" s="158" t="str">
        <f>O119</f>
        <v>pressés de boudin</v>
      </c>
      <c r="P169" s="159" t="str">
        <f>P119</f>
        <v>Recette mère ► le Boudin en 4 déclinaisons</v>
      </c>
      <c r="Q169" s="172" t="s">
        <v>12985</v>
      </c>
      <c r="R169" s="172"/>
      <c r="S169" s="172"/>
      <c r="T169" s="172"/>
      <c r="U169" s="172"/>
      <c r="V169" s="172"/>
      <c r="W169" s="172"/>
      <c r="X169" s="172"/>
      <c r="Y169" s="172"/>
      <c r="Z169" s="555"/>
      <c r="AA169" s="5211"/>
      <c r="AB169" s="1178"/>
      <c r="AC169" s="1179"/>
      <c r="AD169" s="227" t="s">
        <v>22</v>
      </c>
      <c r="AE169" s="1027" t="str">
        <f t="shared" si="78"/>
        <v>►</v>
      </c>
      <c r="AF169" s="1028" t="str">
        <f t="shared" si="79"/>
        <v/>
      </c>
      <c r="AG169" s="1029" t="str">
        <f t="shared" si="80"/>
        <v/>
      </c>
      <c r="AH169" s="1028" t="str">
        <f t="shared" si="81"/>
        <v/>
      </c>
      <c r="AI169" s="1029" t="str">
        <f t="shared" si="82"/>
        <v/>
      </c>
      <c r="AJ169" s="1029">
        <f t="shared" si="83"/>
        <v>0</v>
      </c>
      <c r="AK169" s="1043" t="str" cm="1">
        <f t="array" ref="AK169">IF(AE169&lt;&gt;"A","",IFERROR((IFERROR(_xlfn.XLOOKUP(TRIM(SUBSTITUTE(U169,CHAR(160)," ")),$BI$15:$BI$62,$BL$15:$BL$62),IFERROR(_xlfn.XLOOKUP(TRIM(SUBSTITUTE(U169,CHAR(160)," ")),$BJ$15:$BJ$62,$BL$15:$BL$62),_xlfn.XLOOKUP(TRIM(SUBSTITUTE(U169,CHAR(160)," ")),$BK$15:$BK$62,$BL$15:$BL$62))))*T169*IF(ISBLANK(Q169),1,Q169)+IFERROR(_xlfn.XLOOKUP("RECHERCHEX",TRIM(L169:AC169),L169:AC169),0),0))</f>
        <v/>
      </c>
      <c r="AL169" s="1030">
        <f t="shared" si="84"/>
        <v>0</v>
      </c>
      <c r="AM169" s="5254" t="str">
        <f t="shared" si="99"/>
        <v/>
      </c>
      <c r="AN169" s="1031">
        <f t="shared" si="85"/>
        <v>0</v>
      </c>
      <c r="AO169" s="1031">
        <f t="shared" si="86"/>
        <v>0</v>
      </c>
      <c r="AP169" s="1044">
        <f t="shared" si="87"/>
        <v>0</v>
      </c>
      <c r="AQ169" s="5257" t="str">
        <f t="shared" si="88"/>
        <v/>
      </c>
      <c r="AR169" s="1056"/>
      <c r="AS169" s="1056"/>
      <c r="AT169" s="1045">
        <f t="shared" si="89"/>
        <v>0</v>
      </c>
      <c r="AU169" s="1046">
        <f t="shared" si="90"/>
        <v>0</v>
      </c>
      <c r="AV169" s="1059" cm="1">
        <f t="array" ref="AV169">IF(AJ169&lt;&gt;1,0,IF(OR(AT169="",N(AT169)&lt;=0.000000001),"",IF(OR(AN169="",N(AN169)&lt;=0.000000001),0,IF(ISNUMBER(AT169),IFERROR(_xlfn.LET(_xlpm.ai_test,TRIM(AI169),_xlpm.r,IFERROR(_xlfn.XLOOKUP(_xlpm.ai_test,$BI$15:$BI$62,ROW($BI$15:$BI$62),0,1),IFERROR(_xlfn.XLOOKUP(_xlpm.ai_test,$BJ$15:$BJ$62,ROW($BJ$15:$BJ$62),0,1),_xlfn.XLOOKUP(_xlpm.ai_test,$BK$15:$BK$62,ROW($BK$15:$BK$62),0,1))),_xlpm.p,_xlpm.r-MIN(ROW($BI$15:$BI$62))+1,_xlpm.f,INDEX($BL$15:$BL$62,_xlpm.p),_xlpm.u,INDEX($BM$15:$BM$62,_xlpm.p),_xlpm.s,INDEX($BO$15:$BO$62,_xlpm.p),_xlpm.q,N(AT169)/_xlpm.f,IF(_xlpm.q&gt;=_xlpm.s,ROUND(_xlpm.q,1)&amp;" "&amp;_xlpm.ai_test&amp;" = "&amp;ROUND(_xlpm.q*_xlpm.f,1)&amp;" "&amp;_xlpm.u,ROUND(_xlpm.q,1)&amp;" "&amp;_xlpm.ai_test)),""),""))))</f>
        <v>0</v>
      </c>
      <c r="AW169" s="1047"/>
      <c r="AX169" s="1045">
        <f t="shared" si="91"/>
        <v>0</v>
      </c>
      <c r="AY169" s="1046" t="str">
        <f t="shared" si="92"/>
        <v/>
      </c>
      <c r="AZ169" s="1048">
        <f t="shared" si="97"/>
        <v>0</v>
      </c>
      <c r="BA169" s="1049" t="str">
        <f t="shared" si="93"/>
        <v/>
      </c>
      <c r="BB169" s="1038"/>
      <c r="BC169" s="1050">
        <f t="shared" si="98"/>
        <v>0</v>
      </c>
      <c r="BD169" s="1040" t="str">
        <f t="shared" si="94"/>
        <v/>
      </c>
      <c r="BE169" s="227" t="s">
        <v>22</v>
      </c>
      <c r="BF169" s="1019">
        <f t="shared" si="95"/>
        <v>0</v>
      </c>
      <c r="BG169" s="1020">
        <f t="shared" si="96"/>
        <v>0</v>
      </c>
      <c r="BH169"/>
      <c r="BQ169"/>
      <c r="BR169"/>
      <c r="BS169"/>
      <c r="BT169"/>
      <c r="BU169"/>
      <c r="BV169"/>
      <c r="BW169" s="959" t="str">
        <f t="shared" si="77"/>
        <v>►</v>
      </c>
      <c r="BX169"/>
      <c r="BY169"/>
      <c r="BZ169"/>
      <c r="CA169"/>
      <c r="CB169"/>
      <c r="CC169" s="856"/>
      <c r="CD169"/>
      <c r="CE169"/>
      <c r="CF169"/>
      <c r="CG169"/>
      <c r="CH169"/>
      <c r="CI169"/>
      <c r="CJ169"/>
      <c r="CL169"/>
      <c r="CM169"/>
      <c r="CN169"/>
      <c r="CO169"/>
      <c r="CP169"/>
      <c r="CQ169"/>
      <c r="CR169"/>
      <c r="CT169"/>
      <c r="CU169"/>
      <c r="CV169"/>
      <c r="CW169"/>
      <c r="CX169"/>
      <c r="CY169"/>
      <c r="CZ169"/>
      <c r="DB169" s="3">
        <v>1</v>
      </c>
    </row>
    <row r="170" spans="1:106" s="709" customFormat="1" ht="21" customHeight="1">
      <c r="A170" s="936" t="s">
        <v>22</v>
      </c>
      <c r="B170" s="952" t="str">
        <f t="shared" si="76"/>
        <v>►</v>
      </c>
      <c r="C170" s="993" cm="1">
        <f t="array" ref="C170">SUMPRODUCT(LEN(D170:J170))</f>
        <v>0</v>
      </c>
      <c r="D170" s="167"/>
      <c r="E170" s="172"/>
      <c r="F170" s="172"/>
      <c r="G170" s="172"/>
      <c r="H170" s="172"/>
      <c r="I170" s="172"/>
      <c r="J170" s="173"/>
      <c r="K170" s="442" t="s">
        <v>22</v>
      </c>
      <c r="L170" s="104" t="s">
        <v>16</v>
      </c>
      <c r="M170" s="157" t="str">
        <f>M119</f>
        <v>P PRESSÉ DE BOUDIN NOIR | | Auteur &gt; Guy KRENZE - Eric GODDYN - Arnaud NICOLAS - CEPROC 2002</v>
      </c>
      <c r="N170" s="157">
        <f>N119</f>
        <v>20</v>
      </c>
      <c r="O170" s="158" t="str">
        <f>O119</f>
        <v>pressés de boudin</v>
      </c>
      <c r="P170" s="159" t="str">
        <f>P119</f>
        <v>Recette mère ► le Boudin en 4 déclinaisons</v>
      </c>
      <c r="Q170" s="172" t="s">
        <v>12863</v>
      </c>
      <c r="R170" s="172"/>
      <c r="S170" s="172"/>
      <c r="T170" s="172"/>
      <c r="U170" s="172"/>
      <c r="V170" s="172"/>
      <c r="W170" s="172"/>
      <c r="X170" s="172"/>
      <c r="Y170" s="172"/>
      <c r="Z170" s="555"/>
      <c r="AA170" s="5211"/>
      <c r="AB170" s="1178"/>
      <c r="AC170" s="1179"/>
      <c r="AD170" s="227" t="s">
        <v>22</v>
      </c>
      <c r="AE170" s="1027" t="str">
        <f t="shared" si="78"/>
        <v>►</v>
      </c>
      <c r="AF170" s="1028" t="str">
        <f t="shared" si="79"/>
        <v/>
      </c>
      <c r="AG170" s="1029" t="str">
        <f t="shared" si="80"/>
        <v/>
      </c>
      <c r="AH170" s="1028" t="str">
        <f t="shared" si="81"/>
        <v/>
      </c>
      <c r="AI170" s="1029" t="str">
        <f t="shared" si="82"/>
        <v/>
      </c>
      <c r="AJ170" s="1029">
        <f t="shared" si="83"/>
        <v>0</v>
      </c>
      <c r="AK170" s="1043" t="str" cm="1">
        <f t="array" ref="AK170">IF(AE170&lt;&gt;"A","",IFERROR((IFERROR(_xlfn.XLOOKUP(TRIM(SUBSTITUTE(U170,CHAR(160)," ")),$BI$15:$BI$62,$BL$15:$BL$62),IFERROR(_xlfn.XLOOKUP(TRIM(SUBSTITUTE(U170,CHAR(160)," ")),$BJ$15:$BJ$62,$BL$15:$BL$62),_xlfn.XLOOKUP(TRIM(SUBSTITUTE(U170,CHAR(160)," ")),$BK$15:$BK$62,$BL$15:$BL$62))))*T170*IF(ISBLANK(Q170),1,Q170)+IFERROR(_xlfn.XLOOKUP("RECHERCHEX",TRIM(L170:AC170),L170:AC170),0),0))</f>
        <v/>
      </c>
      <c r="AL170" s="1030">
        <f t="shared" si="84"/>
        <v>0</v>
      </c>
      <c r="AM170" s="5254" t="str">
        <f t="shared" si="99"/>
        <v/>
      </c>
      <c r="AN170" s="1031">
        <f t="shared" si="85"/>
        <v>0</v>
      </c>
      <c r="AO170" s="1031">
        <f t="shared" si="86"/>
        <v>0</v>
      </c>
      <c r="AP170" s="1032">
        <f t="shared" si="87"/>
        <v>0</v>
      </c>
      <c r="AQ170" s="5255" t="str">
        <f t="shared" si="88"/>
        <v/>
      </c>
      <c r="AR170" s="1056"/>
      <c r="AS170" s="1056"/>
      <c r="AT170" s="1034">
        <f t="shared" si="89"/>
        <v>0</v>
      </c>
      <c r="AU170" s="1035">
        <f t="shared" si="90"/>
        <v>0</v>
      </c>
      <c r="AV170" s="1057" cm="1">
        <f t="array" ref="AV170">IF(AJ170&lt;&gt;1,0,IF(OR(AT170="",N(AT170)&lt;=0.000000001),"",IF(OR(AN170="",N(AN170)&lt;=0.000000001),0,IF(ISNUMBER(AT170),IFERROR(_xlfn.LET(_xlpm.ai_test,TRIM(AI170),_xlpm.r,IFERROR(_xlfn.XLOOKUP(_xlpm.ai_test,$BI$15:$BI$62,ROW($BI$15:$BI$62),0,1),IFERROR(_xlfn.XLOOKUP(_xlpm.ai_test,$BJ$15:$BJ$62,ROW($BJ$15:$BJ$62),0,1),_xlfn.XLOOKUP(_xlpm.ai_test,$BK$15:$BK$62,ROW($BK$15:$BK$62),0,1))),_xlpm.p,_xlpm.r-MIN(ROW($BI$15:$BI$62))+1,_xlpm.f,INDEX($BL$15:$BL$62,_xlpm.p),_xlpm.u,INDEX($BM$15:$BM$62,_xlpm.p),_xlpm.s,INDEX($BO$15:$BO$62,_xlpm.p),_xlpm.q,N(AT170)/_xlpm.f,IF(_xlpm.q&gt;=_xlpm.s,ROUND(_xlpm.q,1)&amp;" "&amp;_xlpm.ai_test&amp;" = "&amp;ROUND(_xlpm.q*_xlpm.f,1)&amp;" "&amp;_xlpm.u,ROUND(_xlpm.q,1)&amp;" "&amp;_xlpm.ai_test)),""),""))))</f>
        <v>0</v>
      </c>
      <c r="AW170" s="1047"/>
      <c r="AX170" s="1034">
        <f t="shared" si="91"/>
        <v>0</v>
      </c>
      <c r="AY170" s="1035" t="str">
        <f t="shared" si="92"/>
        <v/>
      </c>
      <c r="AZ170" s="1036">
        <f t="shared" si="97"/>
        <v>0</v>
      </c>
      <c r="BA170" s="1037" t="str">
        <f t="shared" si="93"/>
        <v/>
      </c>
      <c r="BB170" s="1038"/>
      <c r="BC170" s="1039">
        <f t="shared" si="98"/>
        <v>0</v>
      </c>
      <c r="BD170" s="1040" t="str">
        <f t="shared" si="94"/>
        <v/>
      </c>
      <c r="BE170" s="227" t="s">
        <v>22</v>
      </c>
      <c r="BF170" s="1019">
        <f t="shared" si="95"/>
        <v>0</v>
      </c>
      <c r="BG170" s="1020">
        <f t="shared" si="96"/>
        <v>0</v>
      </c>
      <c r="BH170"/>
      <c r="BQ170"/>
      <c r="BR170"/>
      <c r="BS170"/>
      <c r="BT170"/>
      <c r="BU170"/>
      <c r="BV170"/>
      <c r="BW170" s="959" t="str">
        <f t="shared" si="77"/>
        <v>►</v>
      </c>
      <c r="BX170"/>
      <c r="BY170"/>
      <c r="BZ170"/>
      <c r="CA170"/>
      <c r="CB170"/>
      <c r="CC170" s="856"/>
      <c r="CD170"/>
      <c r="CE170"/>
      <c r="CF170"/>
      <c r="CG170"/>
      <c r="CH170"/>
      <c r="CI170"/>
      <c r="CJ170"/>
      <c r="CL170"/>
      <c r="CM170"/>
      <c r="CN170"/>
      <c r="CO170"/>
      <c r="CP170"/>
      <c r="CQ170"/>
      <c r="CR170"/>
      <c r="CT170"/>
      <c r="CU170"/>
      <c r="CV170"/>
      <c r="CW170"/>
      <c r="CX170"/>
      <c r="CY170"/>
      <c r="CZ170"/>
      <c r="DB170" s="3">
        <v>1</v>
      </c>
    </row>
    <row r="171" spans="1:106" s="709" customFormat="1" ht="21" customHeight="1">
      <c r="A171" s="936" t="s">
        <v>22</v>
      </c>
      <c r="B171" s="952" t="str">
        <f t="shared" si="76"/>
        <v>►</v>
      </c>
      <c r="C171" s="993" cm="1">
        <f t="array" ref="C171">SUMPRODUCT(LEN(D171:J171))</f>
        <v>0</v>
      </c>
      <c r="D171" s="167"/>
      <c r="E171" s="172"/>
      <c r="F171" s="172"/>
      <c r="G171" s="172"/>
      <c r="H171" s="172"/>
      <c r="I171" s="172"/>
      <c r="J171" s="173"/>
      <c r="K171" s="442" t="s">
        <v>22</v>
      </c>
      <c r="L171" s="104" t="s">
        <v>16</v>
      </c>
      <c r="M171" s="157" t="str">
        <f>M119</f>
        <v>P PRESSÉ DE BOUDIN NOIR | | Auteur &gt; Guy KRENZE - Eric GODDYN - Arnaud NICOLAS - CEPROC 2002</v>
      </c>
      <c r="N171" s="157">
        <f>N119</f>
        <v>20</v>
      </c>
      <c r="O171" s="158" t="str">
        <f>O119</f>
        <v>pressés de boudin</v>
      </c>
      <c r="P171" s="159" t="str">
        <f>P119</f>
        <v>Recette mère ► le Boudin en 4 déclinaisons</v>
      </c>
      <c r="Q171" s="5063" t="s">
        <v>2882</v>
      </c>
      <c r="R171" s="172"/>
      <c r="S171" s="172"/>
      <c r="T171" s="172"/>
      <c r="U171" s="172"/>
      <c r="V171" s="172"/>
      <c r="W171" s="172"/>
      <c r="X171" s="172"/>
      <c r="Y171" s="172"/>
      <c r="Z171" s="555"/>
      <c r="AA171" s="5211"/>
      <c r="AB171" s="1178"/>
      <c r="AC171" s="1179"/>
      <c r="AD171" s="227" t="s">
        <v>22</v>
      </c>
      <c r="AE171" s="1027" t="str">
        <f t="shared" si="78"/>
        <v>►</v>
      </c>
      <c r="AF171" s="1028" t="str">
        <f t="shared" si="79"/>
        <v/>
      </c>
      <c r="AG171" s="1029" t="str">
        <f t="shared" si="80"/>
        <v/>
      </c>
      <c r="AH171" s="1028" t="str">
        <f t="shared" si="81"/>
        <v/>
      </c>
      <c r="AI171" s="1029" t="str">
        <f t="shared" si="82"/>
        <v/>
      </c>
      <c r="AJ171" s="1029">
        <f t="shared" si="83"/>
        <v>0</v>
      </c>
      <c r="AK171" s="1043" t="str" cm="1">
        <f t="array" ref="AK171">IF(AE171&lt;&gt;"A","",IFERROR((IFERROR(_xlfn.XLOOKUP(TRIM(SUBSTITUTE(U171,CHAR(160)," ")),$BI$15:$BI$62,$BL$15:$BL$62),IFERROR(_xlfn.XLOOKUP(TRIM(SUBSTITUTE(U171,CHAR(160)," ")),$BJ$15:$BJ$62,$BL$15:$BL$62),_xlfn.XLOOKUP(TRIM(SUBSTITUTE(U171,CHAR(160)," ")),$BK$15:$BK$62,$BL$15:$BL$62))))*T171*IF(ISBLANK(Q171),1,Q171)+IFERROR(_xlfn.XLOOKUP("RECHERCHEX",TRIM(L171:AC171),L171:AC171),0),0))</f>
        <v/>
      </c>
      <c r="AL171" s="1030">
        <f t="shared" si="84"/>
        <v>0</v>
      </c>
      <c r="AM171" s="5254" t="str">
        <f t="shared" si="99"/>
        <v/>
      </c>
      <c r="AN171" s="1031">
        <f t="shared" si="85"/>
        <v>0</v>
      </c>
      <c r="AO171" s="1031">
        <f t="shared" si="86"/>
        <v>0</v>
      </c>
      <c r="AP171" s="1044">
        <f t="shared" si="87"/>
        <v>0</v>
      </c>
      <c r="AQ171" s="5257" t="str">
        <f t="shared" si="88"/>
        <v/>
      </c>
      <c r="AR171" s="1056"/>
      <c r="AS171" s="1056"/>
      <c r="AT171" s="1045">
        <f t="shared" si="89"/>
        <v>0</v>
      </c>
      <c r="AU171" s="1046">
        <f t="shared" si="90"/>
        <v>0</v>
      </c>
      <c r="AV171" s="1059" cm="1">
        <f t="array" ref="AV171">IF(AJ171&lt;&gt;1,0,IF(OR(AT171="",N(AT171)&lt;=0.000000001),"",IF(OR(AN171="",N(AN171)&lt;=0.000000001),0,IF(ISNUMBER(AT171),IFERROR(_xlfn.LET(_xlpm.ai_test,TRIM(AI171),_xlpm.r,IFERROR(_xlfn.XLOOKUP(_xlpm.ai_test,$BI$15:$BI$62,ROW($BI$15:$BI$62),0,1),IFERROR(_xlfn.XLOOKUP(_xlpm.ai_test,$BJ$15:$BJ$62,ROW($BJ$15:$BJ$62),0,1),_xlfn.XLOOKUP(_xlpm.ai_test,$BK$15:$BK$62,ROW($BK$15:$BK$62),0,1))),_xlpm.p,_xlpm.r-MIN(ROW($BI$15:$BI$62))+1,_xlpm.f,INDEX($BL$15:$BL$62,_xlpm.p),_xlpm.u,INDEX($BM$15:$BM$62,_xlpm.p),_xlpm.s,INDEX($BO$15:$BO$62,_xlpm.p),_xlpm.q,N(AT171)/_xlpm.f,IF(_xlpm.q&gt;=_xlpm.s,ROUND(_xlpm.q,1)&amp;" "&amp;_xlpm.ai_test&amp;" = "&amp;ROUND(_xlpm.q*_xlpm.f,1)&amp;" "&amp;_xlpm.u,ROUND(_xlpm.q,1)&amp;" "&amp;_xlpm.ai_test)),""),""))))</f>
        <v>0</v>
      </c>
      <c r="AW171" s="1047"/>
      <c r="AX171" s="1045">
        <f t="shared" si="91"/>
        <v>0</v>
      </c>
      <c r="AY171" s="1046" t="str">
        <f t="shared" si="92"/>
        <v/>
      </c>
      <c r="AZ171" s="1048">
        <f t="shared" si="97"/>
        <v>0</v>
      </c>
      <c r="BA171" s="1049" t="str">
        <f t="shared" si="93"/>
        <v/>
      </c>
      <c r="BB171" s="1038"/>
      <c r="BC171" s="1050">
        <f t="shared" si="98"/>
        <v>0</v>
      </c>
      <c r="BD171" s="1040" t="str">
        <f t="shared" si="94"/>
        <v/>
      </c>
      <c r="BE171" s="227" t="s">
        <v>22</v>
      </c>
      <c r="BF171" s="1019">
        <f t="shared" si="95"/>
        <v>0</v>
      </c>
      <c r="BG171" s="1020">
        <f t="shared" si="96"/>
        <v>0</v>
      </c>
      <c r="BH171"/>
      <c r="BQ171"/>
      <c r="BR171"/>
      <c r="BS171"/>
      <c r="BT171"/>
      <c r="BU171"/>
      <c r="BV171"/>
      <c r="BW171" s="959" t="str">
        <f t="shared" si="77"/>
        <v>►</v>
      </c>
      <c r="BX171"/>
      <c r="BY171"/>
      <c r="BZ171"/>
      <c r="CA171"/>
      <c r="CB171"/>
      <c r="CC171" s="856"/>
      <c r="CD171"/>
      <c r="CE171"/>
      <c r="CF171"/>
      <c r="CG171"/>
      <c r="CH171"/>
      <c r="CI171"/>
      <c r="CJ171"/>
      <c r="CL171"/>
      <c r="CM171"/>
      <c r="CN171"/>
      <c r="CO171"/>
      <c r="CP171"/>
      <c r="CQ171"/>
      <c r="CR171"/>
      <c r="CT171"/>
      <c r="CU171"/>
      <c r="CV171"/>
      <c r="CW171"/>
      <c r="CX171"/>
      <c r="CY171"/>
      <c r="CZ171"/>
      <c r="DB171" s="3">
        <v>1</v>
      </c>
    </row>
    <row r="172" spans="1:106" s="709" customFormat="1" ht="21" customHeight="1">
      <c r="A172" s="936" t="s">
        <v>22</v>
      </c>
      <c r="B172" s="952" t="str">
        <f t="shared" si="76"/>
        <v>►</v>
      </c>
      <c r="C172" s="993" cm="1">
        <f t="array" ref="C172">SUMPRODUCT(LEN(D172:J172))</f>
        <v>0</v>
      </c>
      <c r="D172" s="167"/>
      <c r="E172" s="172"/>
      <c r="F172" s="172"/>
      <c r="G172" s="172"/>
      <c r="H172" s="172"/>
      <c r="I172" s="172"/>
      <c r="J172" s="173"/>
      <c r="K172" s="442" t="s">
        <v>22</v>
      </c>
      <c r="L172" s="104" t="s">
        <v>16</v>
      </c>
      <c r="M172" s="157" t="str">
        <f>M119</f>
        <v>P PRESSÉ DE BOUDIN NOIR | | Auteur &gt; Guy KRENZE - Eric GODDYN - Arnaud NICOLAS - CEPROC 2002</v>
      </c>
      <c r="N172" s="157">
        <f>N119</f>
        <v>20</v>
      </c>
      <c r="O172" s="158" t="str">
        <f>O119</f>
        <v>pressés de boudin</v>
      </c>
      <c r="P172" s="159" t="str">
        <f>P119</f>
        <v>Recette mère ► le Boudin en 4 déclinaisons</v>
      </c>
      <c r="Q172" s="172" t="s">
        <v>13021</v>
      </c>
      <c r="R172" s="172"/>
      <c r="S172" s="172"/>
      <c r="T172" s="172"/>
      <c r="U172" s="172"/>
      <c r="V172" s="172"/>
      <c r="W172" s="172"/>
      <c r="X172" s="172"/>
      <c r="Y172" s="172"/>
      <c r="Z172" s="555"/>
      <c r="AA172" s="5211"/>
      <c r="AB172" s="1178"/>
      <c r="AC172" s="1179"/>
      <c r="AD172" s="227" t="s">
        <v>22</v>
      </c>
      <c r="AE172" s="1027" t="str">
        <f t="shared" si="78"/>
        <v>►</v>
      </c>
      <c r="AF172" s="1028" t="str">
        <f t="shared" si="79"/>
        <v/>
      </c>
      <c r="AG172" s="1029" t="str">
        <f t="shared" si="80"/>
        <v/>
      </c>
      <c r="AH172" s="1028" t="str">
        <f t="shared" si="81"/>
        <v/>
      </c>
      <c r="AI172" s="1029" t="str">
        <f t="shared" si="82"/>
        <v/>
      </c>
      <c r="AJ172" s="1029">
        <f t="shared" si="83"/>
        <v>0</v>
      </c>
      <c r="AK172" s="1043" t="str" cm="1">
        <f t="array" ref="AK172">IF(AE172&lt;&gt;"A","",IFERROR((IFERROR(_xlfn.XLOOKUP(TRIM(SUBSTITUTE(U172,CHAR(160)," ")),$BI$15:$BI$62,$BL$15:$BL$62),IFERROR(_xlfn.XLOOKUP(TRIM(SUBSTITUTE(U172,CHAR(160)," ")),$BJ$15:$BJ$62,$BL$15:$BL$62),_xlfn.XLOOKUP(TRIM(SUBSTITUTE(U172,CHAR(160)," ")),$BK$15:$BK$62,$BL$15:$BL$62))))*T172*IF(ISBLANK(Q172),1,Q172)+IFERROR(_xlfn.XLOOKUP("RECHERCHEX",TRIM(L172:AC172),L172:AC172),0),0))</f>
        <v/>
      </c>
      <c r="AL172" s="1030">
        <f t="shared" si="84"/>
        <v>0</v>
      </c>
      <c r="AM172" s="5254" t="str">
        <f t="shared" si="99"/>
        <v/>
      </c>
      <c r="AN172" s="1031">
        <f t="shared" si="85"/>
        <v>0</v>
      </c>
      <c r="AO172" s="1031">
        <f t="shared" si="86"/>
        <v>0</v>
      </c>
      <c r="AP172" s="1032">
        <f t="shared" si="87"/>
        <v>0</v>
      </c>
      <c r="AQ172" s="5255" t="str">
        <f t="shared" si="88"/>
        <v/>
      </c>
      <c r="AR172" s="1056"/>
      <c r="AS172" s="1056"/>
      <c r="AT172" s="1034">
        <f t="shared" si="89"/>
        <v>0</v>
      </c>
      <c r="AU172" s="1035">
        <f t="shared" si="90"/>
        <v>0</v>
      </c>
      <c r="AV172" s="1057" cm="1">
        <f t="array" ref="AV172">IF(AJ172&lt;&gt;1,0,IF(OR(AT172="",N(AT172)&lt;=0.000000001),"",IF(OR(AN172="",N(AN172)&lt;=0.000000001),0,IF(ISNUMBER(AT172),IFERROR(_xlfn.LET(_xlpm.ai_test,TRIM(AI172),_xlpm.r,IFERROR(_xlfn.XLOOKUP(_xlpm.ai_test,$BI$15:$BI$62,ROW($BI$15:$BI$62),0,1),IFERROR(_xlfn.XLOOKUP(_xlpm.ai_test,$BJ$15:$BJ$62,ROW($BJ$15:$BJ$62),0,1),_xlfn.XLOOKUP(_xlpm.ai_test,$BK$15:$BK$62,ROW($BK$15:$BK$62),0,1))),_xlpm.p,_xlpm.r-MIN(ROW($BI$15:$BI$62))+1,_xlpm.f,INDEX($BL$15:$BL$62,_xlpm.p),_xlpm.u,INDEX($BM$15:$BM$62,_xlpm.p),_xlpm.s,INDEX($BO$15:$BO$62,_xlpm.p),_xlpm.q,N(AT172)/_xlpm.f,IF(_xlpm.q&gt;=_xlpm.s,ROUND(_xlpm.q,1)&amp;" "&amp;_xlpm.ai_test&amp;" = "&amp;ROUND(_xlpm.q*_xlpm.f,1)&amp;" "&amp;_xlpm.u,ROUND(_xlpm.q,1)&amp;" "&amp;_xlpm.ai_test)),""),""))))</f>
        <v>0</v>
      </c>
      <c r="AW172" s="1047"/>
      <c r="AX172" s="1034">
        <f t="shared" si="91"/>
        <v>0</v>
      </c>
      <c r="AY172" s="1035" t="str">
        <f t="shared" si="92"/>
        <v/>
      </c>
      <c r="AZ172" s="1036">
        <f t="shared" si="97"/>
        <v>0</v>
      </c>
      <c r="BA172" s="1037" t="str">
        <f t="shared" si="93"/>
        <v/>
      </c>
      <c r="BB172" s="1038"/>
      <c r="BC172" s="1039">
        <f t="shared" si="98"/>
        <v>0</v>
      </c>
      <c r="BD172" s="1040" t="str">
        <f t="shared" si="94"/>
        <v/>
      </c>
      <c r="BE172" s="227" t="s">
        <v>22</v>
      </c>
      <c r="BF172" s="1019">
        <f t="shared" si="95"/>
        <v>0</v>
      </c>
      <c r="BG172" s="1020">
        <f t="shared" si="96"/>
        <v>0</v>
      </c>
      <c r="BH172"/>
      <c r="BQ172"/>
      <c r="BR172"/>
      <c r="BS172"/>
      <c r="BT172"/>
      <c r="BU172"/>
      <c r="BV172"/>
      <c r="BW172" s="959" t="str">
        <f t="shared" si="77"/>
        <v>►</v>
      </c>
      <c r="BX172"/>
      <c r="BY172"/>
      <c r="BZ172"/>
      <c r="CA172"/>
      <c r="CB172"/>
      <c r="CC172" s="856"/>
      <c r="CD172"/>
      <c r="CE172"/>
      <c r="CF172"/>
      <c r="CG172"/>
      <c r="CH172"/>
      <c r="CI172"/>
      <c r="CJ172"/>
      <c r="CL172"/>
      <c r="CM172"/>
      <c r="CN172"/>
      <c r="CO172"/>
      <c r="CP172"/>
      <c r="CQ172"/>
      <c r="CR172"/>
      <c r="CT172"/>
      <c r="CU172"/>
      <c r="CV172"/>
      <c r="CW172"/>
      <c r="CX172"/>
      <c r="CY172"/>
      <c r="CZ172"/>
      <c r="DB172" s="3">
        <v>1</v>
      </c>
    </row>
    <row r="173" spans="1:106" s="709" customFormat="1" ht="21" customHeight="1">
      <c r="A173" s="936" t="s">
        <v>22</v>
      </c>
      <c r="B173" s="952" t="str">
        <f t="shared" si="76"/>
        <v>►</v>
      </c>
      <c r="C173" s="993" cm="1">
        <f t="array" ref="C173">SUMPRODUCT(LEN(D173:J173))</f>
        <v>0</v>
      </c>
      <c r="D173" s="167"/>
      <c r="E173" s="172"/>
      <c r="F173" s="172"/>
      <c r="G173" s="172"/>
      <c r="H173" s="172"/>
      <c r="I173" s="172"/>
      <c r="J173" s="173"/>
      <c r="K173" s="442" t="s">
        <v>22</v>
      </c>
      <c r="L173" s="104" t="s">
        <v>16</v>
      </c>
      <c r="M173" s="157" t="str">
        <f>M119</f>
        <v>P PRESSÉ DE BOUDIN NOIR | | Auteur &gt; Guy KRENZE - Eric GODDYN - Arnaud NICOLAS - CEPROC 2002</v>
      </c>
      <c r="N173" s="157">
        <f>N119</f>
        <v>20</v>
      </c>
      <c r="O173" s="158" t="str">
        <f>O119</f>
        <v>pressés de boudin</v>
      </c>
      <c r="P173" s="159" t="str">
        <f>P119</f>
        <v>Recette mère ► le Boudin en 4 déclinaisons</v>
      </c>
      <c r="Q173" s="172" t="s">
        <v>13009</v>
      </c>
      <c r="R173" s="172"/>
      <c r="S173" s="172"/>
      <c r="T173" s="172"/>
      <c r="U173" s="172"/>
      <c r="V173" s="172"/>
      <c r="W173" s="172"/>
      <c r="X173" s="172"/>
      <c r="Y173" s="172"/>
      <c r="Z173" s="555"/>
      <c r="AA173" s="5211"/>
      <c r="AB173" s="1178"/>
      <c r="AC173" s="1179"/>
      <c r="AD173" s="227" t="s">
        <v>22</v>
      </c>
      <c r="AE173" s="1027" t="str">
        <f t="shared" si="78"/>
        <v>►</v>
      </c>
      <c r="AF173" s="1028" t="str">
        <f t="shared" si="79"/>
        <v/>
      </c>
      <c r="AG173" s="1029" t="str">
        <f t="shared" si="80"/>
        <v/>
      </c>
      <c r="AH173" s="1028" t="str">
        <f t="shared" si="81"/>
        <v/>
      </c>
      <c r="AI173" s="1029" t="str">
        <f t="shared" si="82"/>
        <v/>
      </c>
      <c r="AJ173" s="1029">
        <f t="shared" si="83"/>
        <v>0</v>
      </c>
      <c r="AK173" s="1043" t="str" cm="1">
        <f t="array" ref="AK173">IF(AE173&lt;&gt;"A","",IFERROR((IFERROR(_xlfn.XLOOKUP(TRIM(SUBSTITUTE(U173,CHAR(160)," ")),$BI$15:$BI$62,$BL$15:$BL$62),IFERROR(_xlfn.XLOOKUP(TRIM(SUBSTITUTE(U173,CHAR(160)," ")),$BJ$15:$BJ$62,$BL$15:$BL$62),_xlfn.XLOOKUP(TRIM(SUBSTITUTE(U173,CHAR(160)," ")),$BK$15:$BK$62,$BL$15:$BL$62))))*T173*IF(ISBLANK(Q173),1,Q173)+IFERROR(_xlfn.XLOOKUP("RECHERCHEX",TRIM(L173:AC173),L173:AC173),0),0))</f>
        <v/>
      </c>
      <c r="AL173" s="1030">
        <f t="shared" si="84"/>
        <v>0</v>
      </c>
      <c r="AM173" s="5254" t="str">
        <f t="shared" si="99"/>
        <v/>
      </c>
      <c r="AN173" s="1031">
        <f t="shared" si="85"/>
        <v>0</v>
      </c>
      <c r="AO173" s="1031">
        <f t="shared" si="86"/>
        <v>0</v>
      </c>
      <c r="AP173" s="1044">
        <f t="shared" si="87"/>
        <v>0</v>
      </c>
      <c r="AQ173" s="5257" t="str">
        <f t="shared" si="88"/>
        <v/>
      </c>
      <c r="AR173" s="1056"/>
      <c r="AS173" s="1056"/>
      <c r="AT173" s="1045">
        <f t="shared" si="89"/>
        <v>0</v>
      </c>
      <c r="AU173" s="1046">
        <f t="shared" si="90"/>
        <v>0</v>
      </c>
      <c r="AV173" s="1059" cm="1">
        <f t="array" ref="AV173">IF(AJ173&lt;&gt;1,0,IF(OR(AT173="",N(AT173)&lt;=0.000000001),"",IF(OR(AN173="",N(AN173)&lt;=0.000000001),0,IF(ISNUMBER(AT173),IFERROR(_xlfn.LET(_xlpm.ai_test,TRIM(AI173),_xlpm.r,IFERROR(_xlfn.XLOOKUP(_xlpm.ai_test,$BI$15:$BI$62,ROW($BI$15:$BI$62),0,1),IFERROR(_xlfn.XLOOKUP(_xlpm.ai_test,$BJ$15:$BJ$62,ROW($BJ$15:$BJ$62),0,1),_xlfn.XLOOKUP(_xlpm.ai_test,$BK$15:$BK$62,ROW($BK$15:$BK$62),0,1))),_xlpm.p,_xlpm.r-MIN(ROW($BI$15:$BI$62))+1,_xlpm.f,INDEX($BL$15:$BL$62,_xlpm.p),_xlpm.u,INDEX($BM$15:$BM$62,_xlpm.p),_xlpm.s,INDEX($BO$15:$BO$62,_xlpm.p),_xlpm.q,N(AT173)/_xlpm.f,IF(_xlpm.q&gt;=_xlpm.s,ROUND(_xlpm.q,1)&amp;" "&amp;_xlpm.ai_test&amp;" = "&amp;ROUND(_xlpm.q*_xlpm.f,1)&amp;" "&amp;_xlpm.u,ROUND(_xlpm.q,1)&amp;" "&amp;_xlpm.ai_test)),""),""))))</f>
        <v>0</v>
      </c>
      <c r="AW173" s="1047"/>
      <c r="AX173" s="1045">
        <f t="shared" si="91"/>
        <v>0</v>
      </c>
      <c r="AY173" s="1046" t="str">
        <f t="shared" si="92"/>
        <v/>
      </c>
      <c r="AZ173" s="1048">
        <f t="shared" si="97"/>
        <v>0</v>
      </c>
      <c r="BA173" s="1049" t="str">
        <f t="shared" si="93"/>
        <v/>
      </c>
      <c r="BB173" s="1038"/>
      <c r="BC173" s="1050">
        <f t="shared" si="98"/>
        <v>0</v>
      </c>
      <c r="BD173" s="1040" t="str">
        <f t="shared" si="94"/>
        <v/>
      </c>
      <c r="BE173" s="227" t="s">
        <v>22</v>
      </c>
      <c r="BF173" s="1019">
        <f t="shared" si="95"/>
        <v>0</v>
      </c>
      <c r="BG173" s="1020">
        <f t="shared" si="96"/>
        <v>0</v>
      </c>
      <c r="BH173"/>
      <c r="BQ173"/>
      <c r="BR173"/>
      <c r="BS173"/>
      <c r="BT173"/>
      <c r="BU173"/>
      <c r="BV173"/>
      <c r="BW173" s="959" t="str">
        <f t="shared" si="77"/>
        <v>►</v>
      </c>
      <c r="BX173"/>
      <c r="BY173"/>
      <c r="BZ173"/>
      <c r="CA173"/>
      <c r="CB173"/>
      <c r="CC173" s="856"/>
      <c r="CD173"/>
      <c r="CE173"/>
      <c r="CF173"/>
      <c r="CG173"/>
      <c r="CH173"/>
      <c r="CI173"/>
      <c r="CJ173"/>
      <c r="CL173"/>
      <c r="CM173"/>
      <c r="CN173"/>
      <c r="CO173"/>
      <c r="CP173"/>
      <c r="CQ173"/>
      <c r="CR173"/>
      <c r="CT173"/>
      <c r="CU173"/>
      <c r="CV173"/>
      <c r="CW173"/>
      <c r="CX173"/>
      <c r="CY173"/>
      <c r="CZ173"/>
      <c r="DB173" s="3">
        <v>1</v>
      </c>
    </row>
    <row r="174" spans="1:106" s="709" customFormat="1" ht="21" customHeight="1">
      <c r="A174" s="936" t="s">
        <v>22</v>
      </c>
      <c r="B174" s="952" t="str">
        <f t="shared" si="76"/>
        <v>►</v>
      </c>
      <c r="C174" s="993" cm="1">
        <f t="array" ref="C174">SUMPRODUCT(LEN(D174:J174))</f>
        <v>0</v>
      </c>
      <c r="D174" s="167"/>
      <c r="E174" s="172"/>
      <c r="F174" s="172"/>
      <c r="G174" s="172"/>
      <c r="H174" s="172"/>
      <c r="I174" s="172"/>
      <c r="J174" s="173"/>
      <c r="K174" s="442" t="s">
        <v>22</v>
      </c>
      <c r="L174" s="104" t="s">
        <v>16</v>
      </c>
      <c r="M174" s="157" t="str">
        <f>M119</f>
        <v>P PRESSÉ DE BOUDIN NOIR | | Auteur &gt; Guy KRENZE - Eric GODDYN - Arnaud NICOLAS - CEPROC 2002</v>
      </c>
      <c r="N174" s="157">
        <f>N119</f>
        <v>20</v>
      </c>
      <c r="O174" s="158" t="str">
        <f>O119</f>
        <v>pressés de boudin</v>
      </c>
      <c r="P174" s="159" t="str">
        <f>P119</f>
        <v>Recette mère ► le Boudin en 4 déclinaisons</v>
      </c>
      <c r="Q174" s="172" t="s">
        <v>13010</v>
      </c>
      <c r="R174" s="172"/>
      <c r="S174" s="172"/>
      <c r="T174" s="172"/>
      <c r="U174" s="172"/>
      <c r="V174" s="172"/>
      <c r="W174" s="172"/>
      <c r="X174" s="172"/>
      <c r="Y174" s="172"/>
      <c r="Z174" s="555"/>
      <c r="AA174" s="5211"/>
      <c r="AB174" s="1178"/>
      <c r="AC174" s="1179"/>
      <c r="AD174" s="227" t="s">
        <v>22</v>
      </c>
      <c r="AE174" s="1027" t="str">
        <f t="shared" si="78"/>
        <v>►</v>
      </c>
      <c r="AF174" s="1028" t="str">
        <f t="shared" si="79"/>
        <v/>
      </c>
      <c r="AG174" s="1029" t="str">
        <f t="shared" si="80"/>
        <v/>
      </c>
      <c r="AH174" s="1028" t="str">
        <f t="shared" si="81"/>
        <v/>
      </c>
      <c r="AI174" s="1029" t="str">
        <f t="shared" si="82"/>
        <v/>
      </c>
      <c r="AJ174" s="1029">
        <f t="shared" si="83"/>
        <v>0</v>
      </c>
      <c r="AK174" s="1043" t="str" cm="1">
        <f t="array" ref="AK174">IF(AE174&lt;&gt;"A","",IFERROR((IFERROR(_xlfn.XLOOKUP(TRIM(SUBSTITUTE(U174,CHAR(160)," ")),$BI$15:$BI$62,$BL$15:$BL$62),IFERROR(_xlfn.XLOOKUP(TRIM(SUBSTITUTE(U174,CHAR(160)," ")),$BJ$15:$BJ$62,$BL$15:$BL$62),_xlfn.XLOOKUP(TRIM(SUBSTITUTE(U174,CHAR(160)," ")),$BK$15:$BK$62,$BL$15:$BL$62))))*T174*IF(ISBLANK(Q174),1,Q174)+IFERROR(_xlfn.XLOOKUP("RECHERCHEX",TRIM(L174:AC174),L174:AC174),0),0))</f>
        <v/>
      </c>
      <c r="AL174" s="1030">
        <f t="shared" si="84"/>
        <v>0</v>
      </c>
      <c r="AM174" s="5254" t="str">
        <f t="shared" si="99"/>
        <v/>
      </c>
      <c r="AN174" s="1031">
        <f t="shared" si="85"/>
        <v>0</v>
      </c>
      <c r="AO174" s="1031">
        <f t="shared" si="86"/>
        <v>0</v>
      </c>
      <c r="AP174" s="1032">
        <f t="shared" si="87"/>
        <v>0</v>
      </c>
      <c r="AQ174" s="5255" t="str">
        <f t="shared" si="88"/>
        <v/>
      </c>
      <c r="AR174" s="1056"/>
      <c r="AS174" s="1056"/>
      <c r="AT174" s="1034">
        <f t="shared" si="89"/>
        <v>0</v>
      </c>
      <c r="AU174" s="1035">
        <f t="shared" si="90"/>
        <v>0</v>
      </c>
      <c r="AV174" s="1057" cm="1">
        <f t="array" ref="AV174">IF(AJ174&lt;&gt;1,0,IF(OR(AT174="",N(AT174)&lt;=0.000000001),"",IF(OR(AN174="",N(AN174)&lt;=0.000000001),0,IF(ISNUMBER(AT174),IFERROR(_xlfn.LET(_xlpm.ai_test,TRIM(AI174),_xlpm.r,IFERROR(_xlfn.XLOOKUP(_xlpm.ai_test,$BI$15:$BI$62,ROW($BI$15:$BI$62),0,1),IFERROR(_xlfn.XLOOKUP(_xlpm.ai_test,$BJ$15:$BJ$62,ROW($BJ$15:$BJ$62),0,1),_xlfn.XLOOKUP(_xlpm.ai_test,$BK$15:$BK$62,ROW($BK$15:$BK$62),0,1))),_xlpm.p,_xlpm.r-MIN(ROW($BI$15:$BI$62))+1,_xlpm.f,INDEX($BL$15:$BL$62,_xlpm.p),_xlpm.u,INDEX($BM$15:$BM$62,_xlpm.p),_xlpm.s,INDEX($BO$15:$BO$62,_xlpm.p),_xlpm.q,N(AT174)/_xlpm.f,IF(_xlpm.q&gt;=_xlpm.s,ROUND(_xlpm.q,1)&amp;" "&amp;_xlpm.ai_test&amp;" = "&amp;ROUND(_xlpm.q*_xlpm.f,1)&amp;" "&amp;_xlpm.u,ROUND(_xlpm.q,1)&amp;" "&amp;_xlpm.ai_test)),""),""))))</f>
        <v>0</v>
      </c>
      <c r="AW174" s="1047"/>
      <c r="AX174" s="1034">
        <f t="shared" si="91"/>
        <v>0</v>
      </c>
      <c r="AY174" s="1035" t="str">
        <f t="shared" si="92"/>
        <v/>
      </c>
      <c r="AZ174" s="1036">
        <f t="shared" si="97"/>
        <v>0</v>
      </c>
      <c r="BA174" s="1037" t="str">
        <f t="shared" si="93"/>
        <v/>
      </c>
      <c r="BB174" s="1038"/>
      <c r="BC174" s="1039">
        <f t="shared" si="98"/>
        <v>0</v>
      </c>
      <c r="BD174" s="1040" t="str">
        <f t="shared" si="94"/>
        <v/>
      </c>
      <c r="BE174" s="227" t="s">
        <v>22</v>
      </c>
      <c r="BF174" s="1019">
        <f t="shared" si="95"/>
        <v>0</v>
      </c>
      <c r="BG174" s="1020">
        <f t="shared" si="96"/>
        <v>0</v>
      </c>
      <c r="BH174"/>
      <c r="BQ174"/>
      <c r="BR174"/>
      <c r="BS174"/>
      <c r="BT174"/>
      <c r="BU174"/>
      <c r="BV174"/>
      <c r="BW174" s="959" t="str">
        <f t="shared" si="77"/>
        <v>►</v>
      </c>
      <c r="BX174"/>
      <c r="BY174"/>
      <c r="BZ174"/>
      <c r="CA174"/>
      <c r="CB174"/>
      <c r="CC174" s="856"/>
      <c r="CD174"/>
      <c r="CE174"/>
      <c r="CF174"/>
      <c r="CG174"/>
      <c r="CH174"/>
      <c r="CI174"/>
      <c r="CJ174"/>
      <c r="CL174"/>
      <c r="CM174"/>
      <c r="CN174"/>
      <c r="CO174"/>
      <c r="CP174"/>
      <c r="CQ174"/>
      <c r="CR174"/>
      <c r="CT174"/>
      <c r="CU174"/>
      <c r="CV174"/>
      <c r="CW174"/>
      <c r="CX174"/>
      <c r="CY174"/>
      <c r="CZ174"/>
      <c r="DB174" s="3">
        <v>1</v>
      </c>
    </row>
    <row r="175" spans="1:106" s="709" customFormat="1" ht="21" customHeight="1">
      <c r="A175" s="936" t="s">
        <v>22</v>
      </c>
      <c r="B175" s="952" t="str">
        <f t="shared" si="76"/>
        <v>►</v>
      </c>
      <c r="C175" s="993" cm="1">
        <f t="array" ref="C175">SUMPRODUCT(LEN(D175:J175))</f>
        <v>0</v>
      </c>
      <c r="D175" s="167"/>
      <c r="E175" s="172"/>
      <c r="F175" s="172"/>
      <c r="G175" s="172"/>
      <c r="H175" s="172"/>
      <c r="I175" s="172"/>
      <c r="J175" s="173"/>
      <c r="K175" s="442" t="s">
        <v>22</v>
      </c>
      <c r="L175" s="104" t="s">
        <v>16</v>
      </c>
      <c r="M175" s="157" t="str">
        <f>M119</f>
        <v>P PRESSÉ DE BOUDIN NOIR | | Auteur &gt; Guy KRENZE - Eric GODDYN - Arnaud NICOLAS - CEPROC 2002</v>
      </c>
      <c r="N175" s="157">
        <f>N119</f>
        <v>20</v>
      </c>
      <c r="O175" s="158" t="str">
        <f>O119</f>
        <v>pressés de boudin</v>
      </c>
      <c r="P175" s="159" t="str">
        <f>P119</f>
        <v>Recette mère ► le Boudin en 4 déclinaisons</v>
      </c>
      <c r="Q175" s="172" t="s">
        <v>12864</v>
      </c>
      <c r="R175" s="172"/>
      <c r="S175" s="172"/>
      <c r="T175" s="172"/>
      <c r="U175" s="172"/>
      <c r="V175" s="172"/>
      <c r="W175" s="172"/>
      <c r="X175" s="172"/>
      <c r="Y175" s="172"/>
      <c r="Z175" s="555"/>
      <c r="AA175" s="5211"/>
      <c r="AB175" s="1178"/>
      <c r="AC175" s="1179"/>
      <c r="AD175" s="227" t="s">
        <v>22</v>
      </c>
      <c r="AE175" s="1027" t="str">
        <f t="shared" si="78"/>
        <v>►</v>
      </c>
      <c r="AF175" s="1028" t="str">
        <f t="shared" si="79"/>
        <v/>
      </c>
      <c r="AG175" s="1029" t="str">
        <f t="shared" si="80"/>
        <v/>
      </c>
      <c r="AH175" s="1028" t="str">
        <f t="shared" si="81"/>
        <v/>
      </c>
      <c r="AI175" s="1029" t="str">
        <f t="shared" si="82"/>
        <v/>
      </c>
      <c r="AJ175" s="1029">
        <f t="shared" si="83"/>
        <v>0</v>
      </c>
      <c r="AK175" s="1043" t="str" cm="1">
        <f t="array" ref="AK175">IF(AE175&lt;&gt;"A","",IFERROR((IFERROR(_xlfn.XLOOKUP(TRIM(SUBSTITUTE(U175,CHAR(160)," ")),$BI$15:$BI$62,$BL$15:$BL$62),IFERROR(_xlfn.XLOOKUP(TRIM(SUBSTITUTE(U175,CHAR(160)," ")),$BJ$15:$BJ$62,$BL$15:$BL$62),_xlfn.XLOOKUP(TRIM(SUBSTITUTE(U175,CHAR(160)," ")),$BK$15:$BK$62,$BL$15:$BL$62))))*T175*IF(ISBLANK(Q175),1,Q175)+IFERROR(_xlfn.XLOOKUP("RECHERCHEX",TRIM(L175:AC175),L175:AC175),0),0))</f>
        <v/>
      </c>
      <c r="AL175" s="1030">
        <f t="shared" si="84"/>
        <v>0</v>
      </c>
      <c r="AM175" s="5254" t="str">
        <f t="shared" si="99"/>
        <v/>
      </c>
      <c r="AN175" s="1031">
        <f t="shared" si="85"/>
        <v>0</v>
      </c>
      <c r="AO175" s="1031">
        <f t="shared" si="86"/>
        <v>0</v>
      </c>
      <c r="AP175" s="1044">
        <f t="shared" si="87"/>
        <v>0</v>
      </c>
      <c r="AQ175" s="5257" t="str">
        <f t="shared" si="88"/>
        <v/>
      </c>
      <c r="AR175" s="1056"/>
      <c r="AS175" s="1056"/>
      <c r="AT175" s="1045">
        <f t="shared" si="89"/>
        <v>0</v>
      </c>
      <c r="AU175" s="1046">
        <f t="shared" si="90"/>
        <v>0</v>
      </c>
      <c r="AV175" s="1059" cm="1">
        <f t="array" ref="AV175">IF(AJ175&lt;&gt;1,0,IF(OR(AT175="",N(AT175)&lt;=0.000000001),"",IF(OR(AN175="",N(AN175)&lt;=0.000000001),0,IF(ISNUMBER(AT175),IFERROR(_xlfn.LET(_xlpm.ai_test,TRIM(AI175),_xlpm.r,IFERROR(_xlfn.XLOOKUP(_xlpm.ai_test,$BI$15:$BI$62,ROW($BI$15:$BI$62),0,1),IFERROR(_xlfn.XLOOKUP(_xlpm.ai_test,$BJ$15:$BJ$62,ROW($BJ$15:$BJ$62),0,1),_xlfn.XLOOKUP(_xlpm.ai_test,$BK$15:$BK$62,ROW($BK$15:$BK$62),0,1))),_xlpm.p,_xlpm.r-MIN(ROW($BI$15:$BI$62))+1,_xlpm.f,INDEX($BL$15:$BL$62,_xlpm.p),_xlpm.u,INDEX($BM$15:$BM$62,_xlpm.p),_xlpm.s,INDEX($BO$15:$BO$62,_xlpm.p),_xlpm.q,N(AT175)/_xlpm.f,IF(_xlpm.q&gt;=_xlpm.s,ROUND(_xlpm.q,1)&amp;" "&amp;_xlpm.ai_test&amp;" = "&amp;ROUND(_xlpm.q*_xlpm.f,1)&amp;" "&amp;_xlpm.u,ROUND(_xlpm.q,1)&amp;" "&amp;_xlpm.ai_test)),""),""))))</f>
        <v>0</v>
      </c>
      <c r="AW175" s="1047"/>
      <c r="AX175" s="1045">
        <f t="shared" si="91"/>
        <v>0</v>
      </c>
      <c r="AY175" s="1046" t="str">
        <f t="shared" si="92"/>
        <v/>
      </c>
      <c r="AZ175" s="1048">
        <f t="shared" si="97"/>
        <v>0</v>
      </c>
      <c r="BA175" s="1049" t="str">
        <f t="shared" si="93"/>
        <v/>
      </c>
      <c r="BB175" s="1038"/>
      <c r="BC175" s="1050">
        <f t="shared" si="98"/>
        <v>0</v>
      </c>
      <c r="BD175" s="1040" t="str">
        <f t="shared" si="94"/>
        <v/>
      </c>
      <c r="BE175" s="227" t="s">
        <v>22</v>
      </c>
      <c r="BF175" s="1019">
        <f t="shared" si="95"/>
        <v>0</v>
      </c>
      <c r="BG175" s="1020">
        <f t="shared" si="96"/>
        <v>0</v>
      </c>
      <c r="BH175"/>
      <c r="BQ175"/>
      <c r="BR175"/>
      <c r="BS175"/>
      <c r="BT175"/>
      <c r="BU175"/>
      <c r="BV175"/>
      <c r="BW175" s="959" t="str">
        <f t="shared" si="77"/>
        <v>►</v>
      </c>
      <c r="BX175"/>
      <c r="BY175"/>
      <c r="BZ175"/>
      <c r="CA175"/>
      <c r="CB175"/>
      <c r="CC175" s="856"/>
      <c r="CD175"/>
      <c r="CE175"/>
      <c r="CF175"/>
      <c r="CG175"/>
      <c r="CH175"/>
      <c r="CI175"/>
      <c r="CJ175"/>
      <c r="CL175"/>
      <c r="CM175"/>
      <c r="CN175"/>
      <c r="CO175"/>
      <c r="CP175"/>
      <c r="CQ175"/>
      <c r="CR175"/>
      <c r="CT175"/>
      <c r="CU175"/>
      <c r="CV175"/>
      <c r="CW175"/>
      <c r="CX175"/>
      <c r="CY175"/>
      <c r="CZ175"/>
      <c r="DB175" s="3">
        <v>1</v>
      </c>
    </row>
    <row r="176" spans="1:106" s="709" customFormat="1" ht="21" customHeight="1">
      <c r="A176" s="936" t="s">
        <v>22</v>
      </c>
      <c r="B176" s="952" t="str">
        <f t="shared" si="76"/>
        <v>►</v>
      </c>
      <c r="C176" s="993" cm="1">
        <f t="array" ref="C176">SUMPRODUCT(LEN(D176:J176))</f>
        <v>0</v>
      </c>
      <c r="D176" s="167"/>
      <c r="E176" s="172"/>
      <c r="F176" s="172"/>
      <c r="G176" s="172"/>
      <c r="H176" s="172"/>
      <c r="I176" s="172"/>
      <c r="J176" s="173"/>
      <c r="K176" s="442" t="s">
        <v>22</v>
      </c>
      <c r="L176" s="104" t="s">
        <v>16</v>
      </c>
      <c r="M176" s="157" t="str">
        <f>M119</f>
        <v>P PRESSÉ DE BOUDIN NOIR | | Auteur &gt; Guy KRENZE - Eric GODDYN - Arnaud NICOLAS - CEPROC 2002</v>
      </c>
      <c r="N176" s="157">
        <f>N119</f>
        <v>20</v>
      </c>
      <c r="O176" s="158" t="str">
        <f>O119</f>
        <v>pressés de boudin</v>
      </c>
      <c r="P176" s="159" t="str">
        <f>P119</f>
        <v>Recette mère ► le Boudin en 4 déclinaisons</v>
      </c>
      <c r="Q176" s="172"/>
      <c r="R176" s="172"/>
      <c r="S176" s="172"/>
      <c r="T176" s="172"/>
      <c r="U176" s="172"/>
      <c r="V176" s="172"/>
      <c r="W176" s="172"/>
      <c r="X176" s="172"/>
      <c r="Y176" s="172"/>
      <c r="Z176" s="555"/>
      <c r="AA176" s="5211"/>
      <c r="AB176" s="1178"/>
      <c r="AC176" s="1179"/>
      <c r="AD176" s="227" t="s">
        <v>22</v>
      </c>
      <c r="AE176" s="1027" t="str">
        <f t="shared" si="78"/>
        <v>►</v>
      </c>
      <c r="AF176" s="1028" t="str">
        <f t="shared" si="79"/>
        <v/>
      </c>
      <c r="AG176" s="1029" t="str">
        <f t="shared" si="80"/>
        <v/>
      </c>
      <c r="AH176" s="1028" t="str">
        <f t="shared" si="81"/>
        <v/>
      </c>
      <c r="AI176" s="1029" t="str">
        <f t="shared" si="82"/>
        <v/>
      </c>
      <c r="AJ176" s="1029">
        <f t="shared" si="83"/>
        <v>0</v>
      </c>
      <c r="AK176" s="1043" t="str" cm="1">
        <f t="array" ref="AK176">IF(AE176&lt;&gt;"A","",IFERROR((IFERROR(_xlfn.XLOOKUP(TRIM(SUBSTITUTE(U176,CHAR(160)," ")),$BI$15:$BI$62,$BL$15:$BL$62),IFERROR(_xlfn.XLOOKUP(TRIM(SUBSTITUTE(U176,CHAR(160)," ")),$BJ$15:$BJ$62,$BL$15:$BL$62),_xlfn.XLOOKUP(TRIM(SUBSTITUTE(U176,CHAR(160)," ")),$BK$15:$BK$62,$BL$15:$BL$62))))*T176*IF(ISBLANK(Q176),1,Q176)+IFERROR(_xlfn.XLOOKUP("RECHERCHEX",TRIM(L176:AC176),L176:AC176),0),0))</f>
        <v/>
      </c>
      <c r="AL176" s="1030">
        <f t="shared" si="84"/>
        <v>0</v>
      </c>
      <c r="AM176" s="5254" t="str">
        <f t="shared" si="99"/>
        <v/>
      </c>
      <c r="AN176" s="1031">
        <f t="shared" si="85"/>
        <v>0</v>
      </c>
      <c r="AO176" s="1031">
        <f t="shared" si="86"/>
        <v>0</v>
      </c>
      <c r="AP176" s="1032">
        <f t="shared" si="87"/>
        <v>0</v>
      </c>
      <c r="AQ176" s="5255" t="str">
        <f t="shared" si="88"/>
        <v/>
      </c>
      <c r="AR176" s="1056"/>
      <c r="AS176" s="1056"/>
      <c r="AT176" s="1034">
        <f t="shared" si="89"/>
        <v>0</v>
      </c>
      <c r="AU176" s="1035">
        <f t="shared" si="90"/>
        <v>0</v>
      </c>
      <c r="AV176" s="1057" cm="1">
        <f t="array" ref="AV176">IF(AJ176&lt;&gt;1,0,IF(OR(AT176="",N(AT176)&lt;=0.000000001),"",IF(OR(AN176="",N(AN176)&lt;=0.000000001),0,IF(ISNUMBER(AT176),IFERROR(_xlfn.LET(_xlpm.ai_test,TRIM(AI176),_xlpm.r,IFERROR(_xlfn.XLOOKUP(_xlpm.ai_test,$BI$15:$BI$62,ROW($BI$15:$BI$62),0,1),IFERROR(_xlfn.XLOOKUP(_xlpm.ai_test,$BJ$15:$BJ$62,ROW($BJ$15:$BJ$62),0,1),_xlfn.XLOOKUP(_xlpm.ai_test,$BK$15:$BK$62,ROW($BK$15:$BK$62),0,1))),_xlpm.p,_xlpm.r-MIN(ROW($BI$15:$BI$62))+1,_xlpm.f,INDEX($BL$15:$BL$62,_xlpm.p),_xlpm.u,INDEX($BM$15:$BM$62,_xlpm.p),_xlpm.s,INDEX($BO$15:$BO$62,_xlpm.p),_xlpm.q,N(AT176)/_xlpm.f,IF(_xlpm.q&gt;=_xlpm.s,ROUND(_xlpm.q,1)&amp;" "&amp;_xlpm.ai_test&amp;" = "&amp;ROUND(_xlpm.q*_xlpm.f,1)&amp;" "&amp;_xlpm.u,ROUND(_xlpm.q,1)&amp;" "&amp;_xlpm.ai_test)),""),""))))</f>
        <v>0</v>
      </c>
      <c r="AW176" s="1047"/>
      <c r="AX176" s="1034">
        <f t="shared" si="91"/>
        <v>0</v>
      </c>
      <c r="AY176" s="1035" t="str">
        <f t="shared" si="92"/>
        <v/>
      </c>
      <c r="AZ176" s="1036">
        <f t="shared" si="97"/>
        <v>0</v>
      </c>
      <c r="BA176" s="1037" t="str">
        <f t="shared" si="93"/>
        <v/>
      </c>
      <c r="BB176" s="1038"/>
      <c r="BC176" s="1039">
        <f t="shared" si="98"/>
        <v>0</v>
      </c>
      <c r="BD176" s="1040" t="str">
        <f t="shared" si="94"/>
        <v/>
      </c>
      <c r="BE176" s="227" t="s">
        <v>22</v>
      </c>
      <c r="BF176" s="1019">
        <f t="shared" si="95"/>
        <v>0</v>
      </c>
      <c r="BG176" s="1020">
        <f t="shared" si="96"/>
        <v>0</v>
      </c>
      <c r="BH176"/>
      <c r="BQ176"/>
      <c r="BR176"/>
      <c r="BS176"/>
      <c r="BT176"/>
      <c r="BU176"/>
      <c r="BV176"/>
      <c r="BW176" s="959" t="str">
        <f t="shared" si="77"/>
        <v>►</v>
      </c>
      <c r="BX176"/>
      <c r="BY176"/>
      <c r="BZ176"/>
      <c r="CA176"/>
      <c r="CB176"/>
      <c r="CC176" s="856"/>
      <c r="CD176"/>
      <c r="CE176"/>
      <c r="CF176"/>
      <c r="CG176"/>
      <c r="CH176"/>
      <c r="CI176"/>
      <c r="CJ176"/>
      <c r="CL176"/>
      <c r="CM176"/>
      <c r="CN176"/>
      <c r="CO176"/>
      <c r="CP176"/>
      <c r="CQ176"/>
      <c r="CR176"/>
      <c r="CT176"/>
      <c r="CU176"/>
      <c r="CV176"/>
      <c r="CW176"/>
      <c r="CX176"/>
      <c r="CY176"/>
      <c r="CZ176"/>
      <c r="DB176" s="3">
        <v>1</v>
      </c>
    </row>
    <row r="177" spans="1:106" s="709" customFormat="1" ht="21" customHeight="1">
      <c r="A177" s="936" t="s">
        <v>22</v>
      </c>
      <c r="B177" s="952" t="str">
        <f t="shared" si="76"/>
        <v>►</v>
      </c>
      <c r="C177" s="993" cm="1">
        <f t="array" ref="C177">SUMPRODUCT(LEN(D177:J177))</f>
        <v>0</v>
      </c>
      <c r="D177" s="167"/>
      <c r="E177" s="172"/>
      <c r="F177" s="172"/>
      <c r="G177" s="172"/>
      <c r="H177" s="172"/>
      <c r="I177" s="172"/>
      <c r="J177" s="173"/>
      <c r="K177" s="442" t="s">
        <v>22</v>
      </c>
      <c r="L177" s="104" t="s">
        <v>16</v>
      </c>
      <c r="M177" s="157" t="str">
        <f>M119</f>
        <v>P PRESSÉ DE BOUDIN NOIR | | Auteur &gt; Guy KRENZE - Eric GODDYN - Arnaud NICOLAS - CEPROC 2002</v>
      </c>
      <c r="N177" s="157">
        <f>N119</f>
        <v>20</v>
      </c>
      <c r="O177" s="158" t="str">
        <f>O119</f>
        <v>pressés de boudin</v>
      </c>
      <c r="P177" s="159" t="str">
        <f>P119</f>
        <v>Recette mère ► le Boudin en 4 déclinaisons</v>
      </c>
      <c r="Q177" s="172"/>
      <c r="R177" s="172"/>
      <c r="S177" s="172"/>
      <c r="T177" s="172"/>
      <c r="U177" s="172"/>
      <c r="V177" s="172"/>
      <c r="W177" s="172"/>
      <c r="X177" s="172"/>
      <c r="Y177" s="172"/>
      <c r="Z177" s="555"/>
      <c r="AA177" s="5211"/>
      <c r="AB177" s="1178"/>
      <c r="AC177" s="1179"/>
      <c r="AD177" s="227" t="s">
        <v>22</v>
      </c>
      <c r="AE177" s="1027" t="str">
        <f t="shared" si="78"/>
        <v>►</v>
      </c>
      <c r="AF177" s="1028" t="str">
        <f t="shared" si="79"/>
        <v/>
      </c>
      <c r="AG177" s="1029" t="str">
        <f t="shared" si="80"/>
        <v/>
      </c>
      <c r="AH177" s="1028" t="str">
        <f t="shared" si="81"/>
        <v/>
      </c>
      <c r="AI177" s="1029" t="str">
        <f t="shared" si="82"/>
        <v/>
      </c>
      <c r="AJ177" s="1029">
        <f t="shared" si="83"/>
        <v>0</v>
      </c>
      <c r="AK177" s="1043" t="str" cm="1">
        <f t="array" ref="AK177">IF(AE177&lt;&gt;"A","",IFERROR((IFERROR(_xlfn.XLOOKUP(TRIM(SUBSTITUTE(U177,CHAR(160)," ")),$BI$15:$BI$62,$BL$15:$BL$62),IFERROR(_xlfn.XLOOKUP(TRIM(SUBSTITUTE(U177,CHAR(160)," ")),$BJ$15:$BJ$62,$BL$15:$BL$62),_xlfn.XLOOKUP(TRIM(SUBSTITUTE(U177,CHAR(160)," ")),$BK$15:$BK$62,$BL$15:$BL$62))))*T177*IF(ISBLANK(Q177),1,Q177)+IFERROR(_xlfn.XLOOKUP("RECHERCHEX",TRIM(L177:AC177),L177:AC177),0),0))</f>
        <v/>
      </c>
      <c r="AL177" s="1030">
        <f t="shared" si="84"/>
        <v>0</v>
      </c>
      <c r="AM177" s="5254" t="str">
        <f t="shared" si="99"/>
        <v/>
      </c>
      <c r="AN177" s="1031">
        <f t="shared" si="85"/>
        <v>0</v>
      </c>
      <c r="AO177" s="1031">
        <f t="shared" si="86"/>
        <v>0</v>
      </c>
      <c r="AP177" s="1044">
        <f t="shared" si="87"/>
        <v>0</v>
      </c>
      <c r="AQ177" s="5257" t="str">
        <f t="shared" si="88"/>
        <v/>
      </c>
      <c r="AR177" s="1056"/>
      <c r="AS177" s="1056"/>
      <c r="AT177" s="1045">
        <f t="shared" si="89"/>
        <v>0</v>
      </c>
      <c r="AU177" s="1046">
        <f t="shared" si="90"/>
        <v>0</v>
      </c>
      <c r="AV177" s="1059" cm="1">
        <f t="array" ref="AV177">IF(AJ177&lt;&gt;1,0,IF(OR(AT177="",N(AT177)&lt;=0.000000001),"",IF(OR(AN177="",N(AN177)&lt;=0.000000001),0,IF(ISNUMBER(AT177),IFERROR(_xlfn.LET(_xlpm.ai_test,TRIM(AI177),_xlpm.r,IFERROR(_xlfn.XLOOKUP(_xlpm.ai_test,$BI$15:$BI$62,ROW($BI$15:$BI$62),0,1),IFERROR(_xlfn.XLOOKUP(_xlpm.ai_test,$BJ$15:$BJ$62,ROW($BJ$15:$BJ$62),0,1),_xlfn.XLOOKUP(_xlpm.ai_test,$BK$15:$BK$62,ROW($BK$15:$BK$62),0,1))),_xlpm.p,_xlpm.r-MIN(ROW($BI$15:$BI$62))+1,_xlpm.f,INDEX($BL$15:$BL$62,_xlpm.p),_xlpm.u,INDEX($BM$15:$BM$62,_xlpm.p),_xlpm.s,INDEX($BO$15:$BO$62,_xlpm.p),_xlpm.q,N(AT177)/_xlpm.f,IF(_xlpm.q&gt;=_xlpm.s,ROUND(_xlpm.q,1)&amp;" "&amp;_xlpm.ai_test&amp;" = "&amp;ROUND(_xlpm.q*_xlpm.f,1)&amp;" "&amp;_xlpm.u,ROUND(_xlpm.q,1)&amp;" "&amp;_xlpm.ai_test)),""),""))))</f>
        <v>0</v>
      </c>
      <c r="AW177" s="1047"/>
      <c r="AX177" s="1045">
        <f t="shared" si="91"/>
        <v>0</v>
      </c>
      <c r="AY177" s="1046" t="str">
        <f t="shared" si="92"/>
        <v/>
      </c>
      <c r="AZ177" s="1048">
        <f t="shared" si="97"/>
        <v>0</v>
      </c>
      <c r="BA177" s="1049" t="str">
        <f t="shared" si="93"/>
        <v/>
      </c>
      <c r="BB177" s="1038"/>
      <c r="BC177" s="1050">
        <f t="shared" si="98"/>
        <v>0</v>
      </c>
      <c r="BD177" s="1040" t="str">
        <f t="shared" si="94"/>
        <v/>
      </c>
      <c r="BE177" s="227" t="s">
        <v>22</v>
      </c>
      <c r="BF177" s="1019">
        <f t="shared" si="95"/>
        <v>0</v>
      </c>
      <c r="BG177" s="1020">
        <f t="shared" si="96"/>
        <v>0</v>
      </c>
      <c r="BH177"/>
      <c r="BQ177"/>
      <c r="BR177"/>
      <c r="BS177"/>
      <c r="BT177"/>
      <c r="BU177"/>
      <c r="BV177"/>
      <c r="BW177" s="959" t="str">
        <f t="shared" si="77"/>
        <v>►</v>
      </c>
      <c r="BX177"/>
      <c r="BY177"/>
      <c r="BZ177"/>
      <c r="CA177"/>
      <c r="CB177"/>
      <c r="CC177" s="856"/>
      <c r="CD177"/>
      <c r="CE177"/>
      <c r="CF177"/>
      <c r="CG177"/>
      <c r="CH177"/>
      <c r="CI177"/>
      <c r="CJ177"/>
      <c r="CL177"/>
      <c r="CM177"/>
      <c r="CN177"/>
      <c r="CO177"/>
      <c r="CP177"/>
      <c r="CQ177"/>
      <c r="CR177"/>
      <c r="CT177"/>
      <c r="CU177"/>
      <c r="CV177"/>
      <c r="CW177"/>
      <c r="CX177"/>
      <c r="CY177"/>
      <c r="CZ177"/>
      <c r="DB177" s="3">
        <v>1</v>
      </c>
    </row>
    <row r="178" spans="1:106" s="709" customFormat="1" ht="21" customHeight="1">
      <c r="A178" s="936" t="s">
        <v>22</v>
      </c>
      <c r="B178" s="952" t="str">
        <f t="shared" si="76"/>
        <v>►</v>
      </c>
      <c r="C178" s="993" cm="1">
        <f t="array" ref="C178">SUMPRODUCT(LEN(D178:J178))</f>
        <v>0</v>
      </c>
      <c r="D178" s="167"/>
      <c r="E178" s="172"/>
      <c r="F178" s="172"/>
      <c r="G178" s="172"/>
      <c r="H178" s="172"/>
      <c r="I178" s="172"/>
      <c r="J178" s="173"/>
      <c r="K178" s="442" t="s">
        <v>22</v>
      </c>
      <c r="L178" s="104" t="s">
        <v>16</v>
      </c>
      <c r="M178" s="157" t="str">
        <f>M119</f>
        <v>P PRESSÉ DE BOUDIN NOIR | | Auteur &gt; Guy KRENZE - Eric GODDYN - Arnaud NICOLAS - CEPROC 2002</v>
      </c>
      <c r="N178" s="157">
        <f>N119</f>
        <v>20</v>
      </c>
      <c r="O178" s="158" t="str">
        <f>O119</f>
        <v>pressés de boudin</v>
      </c>
      <c r="P178" s="159" t="str">
        <f>P119</f>
        <v>Recette mère ► le Boudin en 4 déclinaisons</v>
      </c>
      <c r="Q178" s="5063" t="s">
        <v>82</v>
      </c>
      <c r="R178" s="172"/>
      <c r="S178" s="172"/>
      <c r="T178" s="172"/>
      <c r="U178" s="172"/>
      <c r="V178" s="172"/>
      <c r="W178" s="172"/>
      <c r="X178" s="172"/>
      <c r="Y178" s="172"/>
      <c r="Z178" s="555"/>
      <c r="AA178" s="5211"/>
      <c r="AB178" s="1178"/>
      <c r="AC178" s="1179"/>
      <c r="AD178" s="227" t="s">
        <v>22</v>
      </c>
      <c r="AE178" s="1027" t="str">
        <f t="shared" si="78"/>
        <v>►</v>
      </c>
      <c r="AF178" s="1028" t="str">
        <f t="shared" si="79"/>
        <v/>
      </c>
      <c r="AG178" s="1029" t="str">
        <f t="shared" si="80"/>
        <v/>
      </c>
      <c r="AH178" s="1028" t="str">
        <f t="shared" si="81"/>
        <v/>
      </c>
      <c r="AI178" s="1029" t="str">
        <f t="shared" si="82"/>
        <v/>
      </c>
      <c r="AJ178" s="1029">
        <f t="shared" si="83"/>
        <v>0</v>
      </c>
      <c r="AK178" s="1043" t="str" cm="1">
        <f t="array" ref="AK178">IF(AE178&lt;&gt;"A","",IFERROR((IFERROR(_xlfn.XLOOKUP(TRIM(SUBSTITUTE(U178,CHAR(160)," ")),$BI$15:$BI$62,$BL$15:$BL$62),IFERROR(_xlfn.XLOOKUP(TRIM(SUBSTITUTE(U178,CHAR(160)," ")),$BJ$15:$BJ$62,$BL$15:$BL$62),_xlfn.XLOOKUP(TRIM(SUBSTITUTE(U178,CHAR(160)," ")),$BK$15:$BK$62,$BL$15:$BL$62))))*T178*IF(ISBLANK(Q178),1,Q178)+IFERROR(_xlfn.XLOOKUP("RECHERCHEX",TRIM(L178:AC178),L178:AC178),0),0))</f>
        <v/>
      </c>
      <c r="AL178" s="1030">
        <f t="shared" si="84"/>
        <v>0</v>
      </c>
      <c r="AM178" s="5254" t="str">
        <f t="shared" si="99"/>
        <v/>
      </c>
      <c r="AN178" s="1031">
        <f t="shared" si="85"/>
        <v>0</v>
      </c>
      <c r="AO178" s="1031">
        <f t="shared" si="86"/>
        <v>0</v>
      </c>
      <c r="AP178" s="1032">
        <f t="shared" si="87"/>
        <v>0</v>
      </c>
      <c r="AQ178" s="5255" t="str">
        <f t="shared" si="88"/>
        <v/>
      </c>
      <c r="AR178" s="1056"/>
      <c r="AS178" s="1056"/>
      <c r="AT178" s="1034">
        <f t="shared" si="89"/>
        <v>0</v>
      </c>
      <c r="AU178" s="1035">
        <f t="shared" si="90"/>
        <v>0</v>
      </c>
      <c r="AV178" s="1057" cm="1">
        <f t="array" ref="AV178">IF(AJ178&lt;&gt;1,0,IF(OR(AT178="",N(AT178)&lt;=0.000000001),"",IF(OR(AN178="",N(AN178)&lt;=0.000000001),0,IF(ISNUMBER(AT178),IFERROR(_xlfn.LET(_xlpm.ai_test,TRIM(AI178),_xlpm.r,IFERROR(_xlfn.XLOOKUP(_xlpm.ai_test,$BI$15:$BI$62,ROW($BI$15:$BI$62),0,1),IFERROR(_xlfn.XLOOKUP(_xlpm.ai_test,$BJ$15:$BJ$62,ROW($BJ$15:$BJ$62),0,1),_xlfn.XLOOKUP(_xlpm.ai_test,$BK$15:$BK$62,ROW($BK$15:$BK$62),0,1))),_xlpm.p,_xlpm.r-MIN(ROW($BI$15:$BI$62))+1,_xlpm.f,INDEX($BL$15:$BL$62,_xlpm.p),_xlpm.u,INDEX($BM$15:$BM$62,_xlpm.p),_xlpm.s,INDEX($BO$15:$BO$62,_xlpm.p),_xlpm.q,N(AT178)/_xlpm.f,IF(_xlpm.q&gt;=_xlpm.s,ROUND(_xlpm.q,1)&amp;" "&amp;_xlpm.ai_test&amp;" = "&amp;ROUND(_xlpm.q*_xlpm.f,1)&amp;" "&amp;_xlpm.u,ROUND(_xlpm.q,1)&amp;" "&amp;_xlpm.ai_test)),""),""))))</f>
        <v>0</v>
      </c>
      <c r="AW178" s="1047"/>
      <c r="AX178" s="1034">
        <f t="shared" si="91"/>
        <v>0</v>
      </c>
      <c r="AY178" s="1035" t="str">
        <f t="shared" si="92"/>
        <v/>
      </c>
      <c r="AZ178" s="1036">
        <f t="shared" si="97"/>
        <v>0</v>
      </c>
      <c r="BA178" s="1037" t="str">
        <f t="shared" si="93"/>
        <v/>
      </c>
      <c r="BB178" s="1038"/>
      <c r="BC178" s="1039">
        <f t="shared" si="98"/>
        <v>0</v>
      </c>
      <c r="BD178" s="1040" t="str">
        <f t="shared" si="94"/>
        <v/>
      </c>
      <c r="BE178" s="227" t="s">
        <v>22</v>
      </c>
      <c r="BF178" s="1019">
        <f t="shared" si="95"/>
        <v>0</v>
      </c>
      <c r="BG178" s="1020">
        <f t="shared" si="96"/>
        <v>0</v>
      </c>
      <c r="BH178"/>
      <c r="BQ178"/>
      <c r="BR178"/>
      <c r="BS178"/>
      <c r="BT178"/>
      <c r="BU178"/>
      <c r="BV178"/>
      <c r="BW178" s="959" t="str">
        <f t="shared" si="77"/>
        <v>►</v>
      </c>
      <c r="BX178"/>
      <c r="BY178"/>
      <c r="BZ178"/>
      <c r="CA178"/>
      <c r="CB178"/>
      <c r="CC178" s="856"/>
      <c r="CD178"/>
      <c r="CE178"/>
      <c r="CF178"/>
      <c r="CG178"/>
      <c r="CH178"/>
      <c r="CI178"/>
      <c r="CJ178"/>
      <c r="CL178"/>
      <c r="CM178"/>
      <c r="CN178"/>
      <c r="CO178"/>
      <c r="CP178"/>
      <c r="CQ178"/>
      <c r="CR178"/>
      <c r="CT178"/>
      <c r="CU178"/>
      <c r="CV178"/>
      <c r="CW178"/>
      <c r="CX178"/>
      <c r="CY178"/>
      <c r="CZ178"/>
      <c r="DB178" s="3">
        <v>1</v>
      </c>
    </row>
    <row r="179" spans="1:106" s="709" customFormat="1" ht="21" customHeight="1">
      <c r="A179" s="936" t="s">
        <v>22</v>
      </c>
      <c r="B179" s="952" t="str">
        <f t="shared" si="76"/>
        <v>►</v>
      </c>
      <c r="C179" s="993" cm="1">
        <f t="array" ref="C179">SUMPRODUCT(LEN(D179:J179))</f>
        <v>0</v>
      </c>
      <c r="D179" s="167"/>
      <c r="E179" s="172"/>
      <c r="F179" s="172"/>
      <c r="G179" s="172"/>
      <c r="H179" s="172"/>
      <c r="I179" s="172"/>
      <c r="J179" s="173"/>
      <c r="K179" s="442" t="s">
        <v>22</v>
      </c>
      <c r="L179" s="104" t="s">
        <v>16</v>
      </c>
      <c r="M179" s="157" t="str">
        <f>M119</f>
        <v>P PRESSÉ DE BOUDIN NOIR | | Auteur &gt; Guy KRENZE - Eric GODDYN - Arnaud NICOLAS - CEPROC 2002</v>
      </c>
      <c r="N179" s="157">
        <f>N119</f>
        <v>20</v>
      </c>
      <c r="O179" s="158" t="str">
        <f>O119</f>
        <v>pressés de boudin</v>
      </c>
      <c r="P179" s="159" t="str">
        <f>P119</f>
        <v>Recette mère ► le Boudin en 4 déclinaisons</v>
      </c>
      <c r="Q179" s="172" t="s">
        <v>13008</v>
      </c>
      <c r="R179" s="1536"/>
      <c r="S179" s="1536"/>
      <c r="T179" s="1536"/>
      <c r="U179" s="1536"/>
      <c r="V179" s="1536"/>
      <c r="W179" s="1536"/>
      <c r="X179" s="1536"/>
      <c r="Y179" s="1536"/>
      <c r="Z179" s="1537"/>
      <c r="AA179" s="5211"/>
      <c r="AB179" s="1178"/>
      <c r="AC179" s="1179"/>
      <c r="AD179" s="227" t="s">
        <v>22</v>
      </c>
      <c r="AE179" s="1027" t="str">
        <f t="shared" si="78"/>
        <v>►</v>
      </c>
      <c r="AF179" s="1028" t="str">
        <f t="shared" si="79"/>
        <v/>
      </c>
      <c r="AG179" s="1029" t="str">
        <f t="shared" si="80"/>
        <v/>
      </c>
      <c r="AH179" s="1028" t="str">
        <f t="shared" si="81"/>
        <v/>
      </c>
      <c r="AI179" s="1029" t="str">
        <f t="shared" si="82"/>
        <v/>
      </c>
      <c r="AJ179" s="1029">
        <f t="shared" si="83"/>
        <v>0</v>
      </c>
      <c r="AK179" s="1043" t="str" cm="1">
        <f t="array" ref="AK179">IF(AE179&lt;&gt;"A","",IFERROR((IFERROR(_xlfn.XLOOKUP(TRIM(SUBSTITUTE(U179,CHAR(160)," ")),$BI$15:$BI$62,$BL$15:$BL$62),IFERROR(_xlfn.XLOOKUP(TRIM(SUBSTITUTE(U179,CHAR(160)," ")),$BJ$15:$BJ$62,$BL$15:$BL$62),_xlfn.XLOOKUP(TRIM(SUBSTITUTE(U179,CHAR(160)," ")),$BK$15:$BK$62,$BL$15:$BL$62))))*T179*IF(ISBLANK(Q179),1,Q179)+IFERROR(_xlfn.XLOOKUP("RECHERCHEX",TRIM(L179:AC179),L179:AC179),0),0))</f>
        <v/>
      </c>
      <c r="AL179" s="1030">
        <f t="shared" si="84"/>
        <v>0</v>
      </c>
      <c r="AM179" s="5254" t="str">
        <f t="shared" si="99"/>
        <v/>
      </c>
      <c r="AN179" s="1031">
        <f t="shared" si="85"/>
        <v>0</v>
      </c>
      <c r="AO179" s="1031">
        <f t="shared" si="86"/>
        <v>0</v>
      </c>
      <c r="AP179" s="1044">
        <f t="shared" si="87"/>
        <v>0</v>
      </c>
      <c r="AQ179" s="5257" t="str">
        <f t="shared" si="88"/>
        <v/>
      </c>
      <c r="AR179" s="1056"/>
      <c r="AS179" s="1056"/>
      <c r="AT179" s="1045">
        <f t="shared" si="89"/>
        <v>0</v>
      </c>
      <c r="AU179" s="1046">
        <f t="shared" si="90"/>
        <v>0</v>
      </c>
      <c r="AV179" s="1059" cm="1">
        <f t="array" ref="AV179">IF(AJ179&lt;&gt;1,0,IF(OR(AT179="",N(AT179)&lt;=0.000000001),"",IF(OR(AN179="",N(AN179)&lt;=0.000000001),0,IF(ISNUMBER(AT179),IFERROR(_xlfn.LET(_xlpm.ai_test,TRIM(AI179),_xlpm.r,IFERROR(_xlfn.XLOOKUP(_xlpm.ai_test,$BI$15:$BI$62,ROW($BI$15:$BI$62),0,1),IFERROR(_xlfn.XLOOKUP(_xlpm.ai_test,$BJ$15:$BJ$62,ROW($BJ$15:$BJ$62),0,1),_xlfn.XLOOKUP(_xlpm.ai_test,$BK$15:$BK$62,ROW($BK$15:$BK$62),0,1))),_xlpm.p,_xlpm.r-MIN(ROW($BI$15:$BI$62))+1,_xlpm.f,INDEX($BL$15:$BL$62,_xlpm.p),_xlpm.u,INDEX($BM$15:$BM$62,_xlpm.p),_xlpm.s,INDEX($BO$15:$BO$62,_xlpm.p),_xlpm.q,N(AT179)/_xlpm.f,IF(_xlpm.q&gt;=_xlpm.s,ROUND(_xlpm.q,1)&amp;" "&amp;_xlpm.ai_test&amp;" = "&amp;ROUND(_xlpm.q*_xlpm.f,1)&amp;" "&amp;_xlpm.u,ROUND(_xlpm.q,1)&amp;" "&amp;_xlpm.ai_test)),""),""))))</f>
        <v>0</v>
      </c>
      <c r="AW179" s="1047"/>
      <c r="AX179" s="1045">
        <f t="shared" si="91"/>
        <v>0</v>
      </c>
      <c r="AY179" s="1046" t="str">
        <f t="shared" si="92"/>
        <v/>
      </c>
      <c r="AZ179" s="1048">
        <f t="shared" si="97"/>
        <v>0</v>
      </c>
      <c r="BA179" s="1049" t="str">
        <f t="shared" si="93"/>
        <v/>
      </c>
      <c r="BB179" s="1038"/>
      <c r="BC179" s="1050">
        <f t="shared" si="98"/>
        <v>0</v>
      </c>
      <c r="BD179" s="1040" t="str">
        <f t="shared" si="94"/>
        <v/>
      </c>
      <c r="BE179" s="227" t="s">
        <v>22</v>
      </c>
      <c r="BF179" s="1019">
        <f t="shared" si="95"/>
        <v>0</v>
      </c>
      <c r="BG179" s="1020">
        <f t="shared" si="96"/>
        <v>0</v>
      </c>
      <c r="BH179"/>
      <c r="BQ179"/>
      <c r="BR179"/>
      <c r="BS179"/>
      <c r="BT179"/>
      <c r="BU179"/>
      <c r="BV179"/>
      <c r="BW179" s="959" t="str">
        <f t="shared" si="77"/>
        <v>►</v>
      </c>
      <c r="BX179"/>
      <c r="BY179"/>
      <c r="BZ179"/>
      <c r="CA179"/>
      <c r="CB179"/>
      <c r="CC179" s="856"/>
      <c r="CD179"/>
      <c r="CE179"/>
      <c r="CF179"/>
      <c r="CG179"/>
      <c r="CH179"/>
      <c r="CI179"/>
      <c r="CJ179"/>
      <c r="CL179"/>
      <c r="CM179"/>
      <c r="CN179"/>
      <c r="CO179"/>
      <c r="CP179"/>
      <c r="CQ179"/>
      <c r="CR179"/>
      <c r="CT179"/>
      <c r="CU179"/>
      <c r="CV179"/>
      <c r="CW179"/>
      <c r="CX179"/>
      <c r="CY179"/>
      <c r="CZ179"/>
      <c r="DB179" s="3">
        <v>1</v>
      </c>
    </row>
    <row r="180" spans="1:106" s="709" customFormat="1" ht="21" customHeight="1">
      <c r="A180" s="936" t="s">
        <v>22</v>
      </c>
      <c r="B180" s="952" t="str">
        <f t="shared" si="76"/>
        <v>►</v>
      </c>
      <c r="C180" s="993" cm="1">
        <f t="array" ref="C180">SUMPRODUCT(LEN(D180:J180))</f>
        <v>0</v>
      </c>
      <c r="D180" s="167"/>
      <c r="E180" s="172"/>
      <c r="F180" s="172"/>
      <c r="G180" s="172"/>
      <c r="H180" s="172"/>
      <c r="I180" s="172"/>
      <c r="J180" s="173"/>
      <c r="K180" s="442" t="s">
        <v>22</v>
      </c>
      <c r="L180" s="104" t="s">
        <v>16</v>
      </c>
      <c r="M180" s="157" t="str">
        <f>M119</f>
        <v>P PRESSÉ DE BOUDIN NOIR | | Auteur &gt; Guy KRENZE - Eric GODDYN - Arnaud NICOLAS - CEPROC 2002</v>
      </c>
      <c r="N180" s="157">
        <f>N119</f>
        <v>20</v>
      </c>
      <c r="O180" s="158" t="str">
        <f>O119</f>
        <v>pressés de boudin</v>
      </c>
      <c r="P180" s="159" t="str">
        <f>P119</f>
        <v>Recette mère ► le Boudin en 4 déclinaisons</v>
      </c>
      <c r="Q180" s="172" t="s">
        <v>12837</v>
      </c>
      <c r="R180" s="172"/>
      <c r="S180" s="172"/>
      <c r="T180" s="172"/>
      <c r="U180" s="172"/>
      <c r="V180" s="172"/>
      <c r="W180" s="172"/>
      <c r="X180" s="172"/>
      <c r="Y180" s="172"/>
      <c r="Z180" s="555"/>
      <c r="AA180" s="5211"/>
      <c r="AB180" s="1178"/>
      <c r="AC180" s="1179"/>
      <c r="AD180" s="227" t="s">
        <v>22</v>
      </c>
      <c r="AE180" s="1027" t="str">
        <f t="shared" si="78"/>
        <v>►</v>
      </c>
      <c r="AF180" s="1028" t="str">
        <f t="shared" si="79"/>
        <v/>
      </c>
      <c r="AG180" s="1029" t="str">
        <f t="shared" si="80"/>
        <v/>
      </c>
      <c r="AH180" s="1028" t="str">
        <f t="shared" si="81"/>
        <v/>
      </c>
      <c r="AI180" s="1029" t="str">
        <f t="shared" si="82"/>
        <v/>
      </c>
      <c r="AJ180" s="1029">
        <f t="shared" si="83"/>
        <v>0</v>
      </c>
      <c r="AK180" s="1043" t="str" cm="1">
        <f t="array" ref="AK180">IF(AE180&lt;&gt;"A","",IFERROR((IFERROR(_xlfn.XLOOKUP(TRIM(SUBSTITUTE(U180,CHAR(160)," ")),$BI$15:$BI$62,$BL$15:$BL$62),IFERROR(_xlfn.XLOOKUP(TRIM(SUBSTITUTE(U180,CHAR(160)," ")),$BJ$15:$BJ$62,$BL$15:$BL$62),_xlfn.XLOOKUP(TRIM(SUBSTITUTE(U180,CHAR(160)," ")),$BK$15:$BK$62,$BL$15:$BL$62))))*T180*IF(ISBLANK(Q180),1,Q180)+IFERROR(_xlfn.XLOOKUP("RECHERCHEX",TRIM(L180:AC180),L180:AC180),0),0))</f>
        <v/>
      </c>
      <c r="AL180" s="1030">
        <f t="shared" si="84"/>
        <v>0</v>
      </c>
      <c r="AM180" s="5254" t="str">
        <f t="shared" si="99"/>
        <v/>
      </c>
      <c r="AN180" s="1031">
        <f t="shared" si="85"/>
        <v>0</v>
      </c>
      <c r="AO180" s="1031">
        <f t="shared" si="86"/>
        <v>0</v>
      </c>
      <c r="AP180" s="1032">
        <f t="shared" si="87"/>
        <v>0</v>
      </c>
      <c r="AQ180" s="5255" t="str">
        <f t="shared" si="88"/>
        <v/>
      </c>
      <c r="AR180" s="1056"/>
      <c r="AS180" s="1056"/>
      <c r="AT180" s="1034">
        <f t="shared" si="89"/>
        <v>0</v>
      </c>
      <c r="AU180" s="1035">
        <f t="shared" si="90"/>
        <v>0</v>
      </c>
      <c r="AV180" s="1057" cm="1">
        <f t="array" ref="AV180">IF(AJ180&lt;&gt;1,0,IF(OR(AT180="",N(AT180)&lt;=0.000000001),"",IF(OR(AN180="",N(AN180)&lt;=0.000000001),0,IF(ISNUMBER(AT180),IFERROR(_xlfn.LET(_xlpm.ai_test,TRIM(AI180),_xlpm.r,IFERROR(_xlfn.XLOOKUP(_xlpm.ai_test,$BI$15:$BI$62,ROW($BI$15:$BI$62),0,1),IFERROR(_xlfn.XLOOKUP(_xlpm.ai_test,$BJ$15:$BJ$62,ROW($BJ$15:$BJ$62),0,1),_xlfn.XLOOKUP(_xlpm.ai_test,$BK$15:$BK$62,ROW($BK$15:$BK$62),0,1))),_xlpm.p,_xlpm.r-MIN(ROW($BI$15:$BI$62))+1,_xlpm.f,INDEX($BL$15:$BL$62,_xlpm.p),_xlpm.u,INDEX($BM$15:$BM$62,_xlpm.p),_xlpm.s,INDEX($BO$15:$BO$62,_xlpm.p),_xlpm.q,N(AT180)/_xlpm.f,IF(_xlpm.q&gt;=_xlpm.s,ROUND(_xlpm.q,1)&amp;" "&amp;_xlpm.ai_test&amp;" = "&amp;ROUND(_xlpm.q*_xlpm.f,1)&amp;" "&amp;_xlpm.u,ROUND(_xlpm.q,1)&amp;" "&amp;_xlpm.ai_test)),""),""))))</f>
        <v>0</v>
      </c>
      <c r="AW180" s="1047"/>
      <c r="AX180" s="1034">
        <f t="shared" si="91"/>
        <v>0</v>
      </c>
      <c r="AY180" s="1035" t="str">
        <f t="shared" si="92"/>
        <v/>
      </c>
      <c r="AZ180" s="1036">
        <f t="shared" si="97"/>
        <v>0</v>
      </c>
      <c r="BA180" s="1037" t="str">
        <f t="shared" si="93"/>
        <v/>
      </c>
      <c r="BB180" s="1038"/>
      <c r="BC180" s="1039">
        <f t="shared" si="98"/>
        <v>0</v>
      </c>
      <c r="BD180" s="1040" t="str">
        <f t="shared" si="94"/>
        <v/>
      </c>
      <c r="BE180" s="227" t="s">
        <v>22</v>
      </c>
      <c r="BF180" s="1019">
        <f t="shared" si="95"/>
        <v>0</v>
      </c>
      <c r="BG180" s="1020">
        <f t="shared" si="96"/>
        <v>0</v>
      </c>
      <c r="BH180"/>
      <c r="BQ180"/>
      <c r="BR180"/>
      <c r="BS180"/>
      <c r="BT180"/>
      <c r="BU180"/>
      <c r="BV180"/>
      <c r="BW180" s="959" t="str">
        <f t="shared" si="77"/>
        <v>►</v>
      </c>
      <c r="BX180"/>
      <c r="BY180"/>
      <c r="BZ180"/>
      <c r="CA180"/>
      <c r="CB180"/>
      <c r="CC180" s="856"/>
      <c r="CD180"/>
      <c r="CE180"/>
      <c r="CF180"/>
      <c r="CG180"/>
      <c r="CH180"/>
      <c r="CI180"/>
      <c r="CJ180"/>
      <c r="CL180"/>
      <c r="CM180"/>
      <c r="CN180"/>
      <c r="CO180"/>
      <c r="CP180"/>
      <c r="CQ180"/>
      <c r="CR180"/>
      <c r="CT180"/>
      <c r="CU180"/>
      <c r="CV180"/>
      <c r="CW180"/>
      <c r="CX180"/>
      <c r="CY180"/>
      <c r="CZ180"/>
      <c r="DB180" s="3">
        <v>1</v>
      </c>
    </row>
    <row r="181" spans="1:106" s="709" customFormat="1" ht="21" customHeight="1">
      <c r="A181" s="936" t="s">
        <v>22</v>
      </c>
      <c r="B181" s="952" t="str">
        <f t="shared" si="76"/>
        <v>►</v>
      </c>
      <c r="C181" s="993" cm="1">
        <f t="array" ref="C181">SUMPRODUCT(LEN(D181:J181))</f>
        <v>0</v>
      </c>
      <c r="D181" s="167"/>
      <c r="E181" s="172"/>
      <c r="F181" s="172"/>
      <c r="G181" s="172"/>
      <c r="H181" s="172"/>
      <c r="I181" s="172"/>
      <c r="J181" s="173"/>
      <c r="K181" s="442" t="s">
        <v>22</v>
      </c>
      <c r="L181" s="104" t="s">
        <v>16</v>
      </c>
      <c r="M181" s="157" t="str">
        <f>M119</f>
        <v>P PRESSÉ DE BOUDIN NOIR | | Auteur &gt; Guy KRENZE - Eric GODDYN - Arnaud NICOLAS - CEPROC 2002</v>
      </c>
      <c r="N181" s="157">
        <f>N119</f>
        <v>20</v>
      </c>
      <c r="O181" s="158" t="str">
        <f>O119</f>
        <v>pressés de boudin</v>
      </c>
      <c r="P181" s="159" t="str">
        <f>P119</f>
        <v>Recette mère ► le Boudin en 4 déclinaisons</v>
      </c>
      <c r="Q181" s="172" t="s">
        <v>12838</v>
      </c>
      <c r="R181" s="172"/>
      <c r="S181" s="172"/>
      <c r="T181" s="172"/>
      <c r="U181" s="172"/>
      <c r="V181" s="172"/>
      <c r="W181" s="172"/>
      <c r="X181" s="172"/>
      <c r="Y181" s="172"/>
      <c r="Z181" s="555"/>
      <c r="AA181" s="5211"/>
      <c r="AB181" s="1178"/>
      <c r="AC181" s="1179"/>
      <c r="AD181" s="227" t="s">
        <v>22</v>
      </c>
      <c r="AE181" s="1027" t="str">
        <f t="shared" si="78"/>
        <v>►</v>
      </c>
      <c r="AF181" s="1028" t="str">
        <f t="shared" si="79"/>
        <v/>
      </c>
      <c r="AG181" s="1029" t="str">
        <f t="shared" si="80"/>
        <v/>
      </c>
      <c r="AH181" s="1028" t="str">
        <f t="shared" si="81"/>
        <v/>
      </c>
      <c r="AI181" s="1029" t="str">
        <f t="shared" si="82"/>
        <v/>
      </c>
      <c r="AJ181" s="1029">
        <f t="shared" si="83"/>
        <v>0</v>
      </c>
      <c r="AK181" s="1043" t="str" cm="1">
        <f t="array" ref="AK181">IF(AE181&lt;&gt;"A","",IFERROR((IFERROR(_xlfn.XLOOKUP(TRIM(SUBSTITUTE(U181,CHAR(160)," ")),$BI$15:$BI$62,$BL$15:$BL$62),IFERROR(_xlfn.XLOOKUP(TRIM(SUBSTITUTE(U181,CHAR(160)," ")),$BJ$15:$BJ$62,$BL$15:$BL$62),_xlfn.XLOOKUP(TRIM(SUBSTITUTE(U181,CHAR(160)," ")),$BK$15:$BK$62,$BL$15:$BL$62))))*T181*IF(ISBLANK(Q181),1,Q181)+IFERROR(_xlfn.XLOOKUP("RECHERCHEX",TRIM(L181:AC181),L181:AC181),0),0))</f>
        <v/>
      </c>
      <c r="AL181" s="1030">
        <f t="shared" si="84"/>
        <v>0</v>
      </c>
      <c r="AM181" s="5254" t="str">
        <f t="shared" si="99"/>
        <v/>
      </c>
      <c r="AN181" s="1031">
        <f t="shared" si="85"/>
        <v>0</v>
      </c>
      <c r="AO181" s="1031">
        <f t="shared" si="86"/>
        <v>0</v>
      </c>
      <c r="AP181" s="1044">
        <f t="shared" si="87"/>
        <v>0</v>
      </c>
      <c r="AQ181" s="5257" t="str">
        <f t="shared" si="88"/>
        <v/>
      </c>
      <c r="AR181" s="1056"/>
      <c r="AS181" s="1056"/>
      <c r="AT181" s="1045">
        <f t="shared" si="89"/>
        <v>0</v>
      </c>
      <c r="AU181" s="1046">
        <f t="shared" si="90"/>
        <v>0</v>
      </c>
      <c r="AV181" s="1059" cm="1">
        <f t="array" ref="AV181">IF(AJ181&lt;&gt;1,0,IF(OR(AT181="",N(AT181)&lt;=0.000000001),"",IF(OR(AN181="",N(AN181)&lt;=0.000000001),0,IF(ISNUMBER(AT181),IFERROR(_xlfn.LET(_xlpm.ai_test,TRIM(AI181),_xlpm.r,IFERROR(_xlfn.XLOOKUP(_xlpm.ai_test,$BI$15:$BI$62,ROW($BI$15:$BI$62),0,1),IFERROR(_xlfn.XLOOKUP(_xlpm.ai_test,$BJ$15:$BJ$62,ROW($BJ$15:$BJ$62),0,1),_xlfn.XLOOKUP(_xlpm.ai_test,$BK$15:$BK$62,ROW($BK$15:$BK$62),0,1))),_xlpm.p,_xlpm.r-MIN(ROW($BI$15:$BI$62))+1,_xlpm.f,INDEX($BL$15:$BL$62,_xlpm.p),_xlpm.u,INDEX($BM$15:$BM$62,_xlpm.p),_xlpm.s,INDEX($BO$15:$BO$62,_xlpm.p),_xlpm.q,N(AT181)/_xlpm.f,IF(_xlpm.q&gt;=_xlpm.s,ROUND(_xlpm.q,1)&amp;" "&amp;_xlpm.ai_test&amp;" = "&amp;ROUND(_xlpm.q*_xlpm.f,1)&amp;" "&amp;_xlpm.u,ROUND(_xlpm.q,1)&amp;" "&amp;_xlpm.ai_test)),""),""))))</f>
        <v>0</v>
      </c>
      <c r="AW181" s="1047"/>
      <c r="AX181" s="1045">
        <f t="shared" si="91"/>
        <v>0</v>
      </c>
      <c r="AY181" s="1046" t="str">
        <f t="shared" si="92"/>
        <v/>
      </c>
      <c r="AZ181" s="1048">
        <f t="shared" si="97"/>
        <v>0</v>
      </c>
      <c r="BA181" s="1049" t="str">
        <f t="shared" si="93"/>
        <v/>
      </c>
      <c r="BB181" s="1038"/>
      <c r="BC181" s="1050">
        <f t="shared" si="98"/>
        <v>0</v>
      </c>
      <c r="BD181" s="1040" t="str">
        <f t="shared" si="94"/>
        <v/>
      </c>
      <c r="BE181" s="227" t="s">
        <v>22</v>
      </c>
      <c r="BF181" s="1019">
        <f t="shared" si="95"/>
        <v>0</v>
      </c>
      <c r="BG181" s="1020">
        <f t="shared" si="96"/>
        <v>0</v>
      </c>
      <c r="BH181"/>
      <c r="BQ181"/>
      <c r="BR181"/>
      <c r="BS181"/>
      <c r="BT181"/>
      <c r="BU181"/>
      <c r="BV181"/>
      <c r="BW181" s="959" t="str">
        <f t="shared" si="77"/>
        <v>►</v>
      </c>
      <c r="BX181"/>
      <c r="BY181"/>
      <c r="BZ181"/>
      <c r="CA181"/>
      <c r="CB181"/>
      <c r="CC181" s="856"/>
      <c r="CD181"/>
      <c r="CE181"/>
      <c r="CF181"/>
      <c r="CG181"/>
      <c r="CH181"/>
      <c r="CI181"/>
      <c r="CJ181"/>
      <c r="CL181"/>
      <c r="CM181"/>
      <c r="CN181"/>
      <c r="CO181"/>
      <c r="CP181"/>
      <c r="CQ181"/>
      <c r="CR181"/>
      <c r="CT181"/>
      <c r="CU181"/>
      <c r="CV181"/>
      <c r="CW181"/>
      <c r="CX181"/>
      <c r="CY181"/>
      <c r="CZ181"/>
      <c r="DB181" s="3">
        <v>1</v>
      </c>
    </row>
    <row r="182" spans="1:106" s="709" customFormat="1" ht="21" customHeight="1">
      <c r="A182" s="936" t="s">
        <v>22</v>
      </c>
      <c r="B182" s="952" t="str">
        <f t="shared" si="76"/>
        <v>►</v>
      </c>
      <c r="C182" s="993" cm="1">
        <f t="array" ref="C182">SUMPRODUCT(LEN(D182:J182))</f>
        <v>0</v>
      </c>
      <c r="D182" s="167"/>
      <c r="E182" s="172"/>
      <c r="F182" s="172"/>
      <c r="G182" s="172"/>
      <c r="H182" s="172"/>
      <c r="I182" s="172"/>
      <c r="J182" s="173"/>
      <c r="K182" s="442" t="s">
        <v>22</v>
      </c>
      <c r="L182" s="104" t="s">
        <v>16</v>
      </c>
      <c r="M182" s="157" t="str">
        <f>M119</f>
        <v>P PRESSÉ DE BOUDIN NOIR | | Auteur &gt; Guy KRENZE - Eric GODDYN - Arnaud NICOLAS - CEPROC 2002</v>
      </c>
      <c r="N182" s="157">
        <f>N119</f>
        <v>20</v>
      </c>
      <c r="O182" s="158" t="str">
        <f>O119</f>
        <v>pressés de boudin</v>
      </c>
      <c r="P182" s="159" t="str">
        <f>P119</f>
        <v>Recette mère ► le Boudin en 4 déclinaisons</v>
      </c>
      <c r="Q182" s="172" t="s">
        <v>12839</v>
      </c>
      <c r="R182" s="172"/>
      <c r="S182" s="172"/>
      <c r="T182" s="172"/>
      <c r="U182" s="172"/>
      <c r="V182" s="172"/>
      <c r="W182" s="172"/>
      <c r="X182" s="172"/>
      <c r="Y182" s="172"/>
      <c r="Z182" s="555"/>
      <c r="AA182" s="5211"/>
      <c r="AB182" s="1178"/>
      <c r="AC182" s="1179"/>
      <c r="AD182" s="227" t="s">
        <v>22</v>
      </c>
      <c r="AE182" s="1027" t="str">
        <f t="shared" si="78"/>
        <v>►</v>
      </c>
      <c r="AF182" s="1028" t="str">
        <f t="shared" si="79"/>
        <v/>
      </c>
      <c r="AG182" s="1029" t="str">
        <f t="shared" si="80"/>
        <v/>
      </c>
      <c r="AH182" s="1028" t="str">
        <f t="shared" si="81"/>
        <v/>
      </c>
      <c r="AI182" s="1029" t="str">
        <f t="shared" si="82"/>
        <v/>
      </c>
      <c r="AJ182" s="1029">
        <f t="shared" si="83"/>
        <v>0</v>
      </c>
      <c r="AK182" s="1043" t="str" cm="1">
        <f t="array" ref="AK182">IF(AE182&lt;&gt;"A","",IFERROR((IFERROR(_xlfn.XLOOKUP(TRIM(SUBSTITUTE(U182,CHAR(160)," ")),$BI$15:$BI$62,$BL$15:$BL$62),IFERROR(_xlfn.XLOOKUP(TRIM(SUBSTITUTE(U182,CHAR(160)," ")),$BJ$15:$BJ$62,$BL$15:$BL$62),_xlfn.XLOOKUP(TRIM(SUBSTITUTE(U182,CHAR(160)," ")),$BK$15:$BK$62,$BL$15:$BL$62))))*T182*IF(ISBLANK(Q182),1,Q182)+IFERROR(_xlfn.XLOOKUP("RECHERCHEX",TRIM(L182:AC182),L182:AC182),0),0))</f>
        <v/>
      </c>
      <c r="AL182" s="1030">
        <f t="shared" si="84"/>
        <v>0</v>
      </c>
      <c r="AM182" s="5254" t="str">
        <f t="shared" si="99"/>
        <v/>
      </c>
      <c r="AN182" s="1031">
        <f t="shared" si="85"/>
        <v>0</v>
      </c>
      <c r="AO182" s="1031">
        <f t="shared" si="86"/>
        <v>0</v>
      </c>
      <c r="AP182" s="1032">
        <f t="shared" si="87"/>
        <v>0</v>
      </c>
      <c r="AQ182" s="5255" t="str">
        <f t="shared" si="88"/>
        <v/>
      </c>
      <c r="AR182" s="1056"/>
      <c r="AS182" s="1056"/>
      <c r="AT182" s="1034">
        <f t="shared" si="89"/>
        <v>0</v>
      </c>
      <c r="AU182" s="1035">
        <f t="shared" si="90"/>
        <v>0</v>
      </c>
      <c r="AV182" s="1057" cm="1">
        <f t="array" ref="AV182">IF(AJ182&lt;&gt;1,0,IF(OR(AT182="",N(AT182)&lt;=0.000000001),"",IF(OR(AN182="",N(AN182)&lt;=0.000000001),0,IF(ISNUMBER(AT182),IFERROR(_xlfn.LET(_xlpm.ai_test,TRIM(AI182),_xlpm.r,IFERROR(_xlfn.XLOOKUP(_xlpm.ai_test,$BI$15:$BI$62,ROW($BI$15:$BI$62),0,1),IFERROR(_xlfn.XLOOKUP(_xlpm.ai_test,$BJ$15:$BJ$62,ROW($BJ$15:$BJ$62),0,1),_xlfn.XLOOKUP(_xlpm.ai_test,$BK$15:$BK$62,ROW($BK$15:$BK$62),0,1))),_xlpm.p,_xlpm.r-MIN(ROW($BI$15:$BI$62))+1,_xlpm.f,INDEX($BL$15:$BL$62,_xlpm.p),_xlpm.u,INDEX($BM$15:$BM$62,_xlpm.p),_xlpm.s,INDEX($BO$15:$BO$62,_xlpm.p),_xlpm.q,N(AT182)/_xlpm.f,IF(_xlpm.q&gt;=_xlpm.s,ROUND(_xlpm.q,1)&amp;" "&amp;_xlpm.ai_test&amp;" = "&amp;ROUND(_xlpm.q*_xlpm.f,1)&amp;" "&amp;_xlpm.u,ROUND(_xlpm.q,1)&amp;" "&amp;_xlpm.ai_test)),""),""))))</f>
        <v>0</v>
      </c>
      <c r="AW182" s="1047"/>
      <c r="AX182" s="1034">
        <f t="shared" si="91"/>
        <v>0</v>
      </c>
      <c r="AY182" s="1035" t="str">
        <f t="shared" si="92"/>
        <v/>
      </c>
      <c r="AZ182" s="1036">
        <f t="shared" si="97"/>
        <v>0</v>
      </c>
      <c r="BA182" s="1037" t="str">
        <f t="shared" si="93"/>
        <v/>
      </c>
      <c r="BB182" s="1038"/>
      <c r="BC182" s="1039">
        <f t="shared" si="98"/>
        <v>0</v>
      </c>
      <c r="BD182" s="1040" t="str">
        <f t="shared" si="94"/>
        <v/>
      </c>
      <c r="BE182" s="227" t="s">
        <v>22</v>
      </c>
      <c r="BF182" s="1019">
        <f t="shared" si="95"/>
        <v>0</v>
      </c>
      <c r="BG182" s="1020">
        <f t="shared" si="96"/>
        <v>0</v>
      </c>
      <c r="BH182"/>
      <c r="BQ182"/>
      <c r="BR182"/>
      <c r="BS182"/>
      <c r="BT182"/>
      <c r="BU182"/>
      <c r="BV182"/>
      <c r="BW182" s="959" t="str">
        <f t="shared" si="77"/>
        <v>►</v>
      </c>
      <c r="BX182"/>
      <c r="BY182"/>
      <c r="BZ182"/>
      <c r="CA182"/>
      <c r="CB182"/>
      <c r="CC182" s="856"/>
      <c r="CD182"/>
      <c r="CE182"/>
      <c r="CF182"/>
      <c r="CG182"/>
      <c r="CH182"/>
      <c r="CI182"/>
      <c r="CJ182"/>
      <c r="CL182"/>
      <c r="CM182"/>
      <c r="CN182"/>
      <c r="CO182"/>
      <c r="CP182"/>
      <c r="CQ182"/>
      <c r="CR182"/>
      <c r="CT182"/>
      <c r="CU182"/>
      <c r="CV182"/>
      <c r="CW182"/>
      <c r="CX182"/>
      <c r="CY182"/>
      <c r="CZ182"/>
      <c r="DB182" s="3">
        <v>1</v>
      </c>
    </row>
    <row r="183" spans="1:106" s="709" customFormat="1" ht="21" customHeight="1">
      <c r="A183" s="936" t="s">
        <v>22</v>
      </c>
      <c r="B183" s="952" t="str">
        <f t="shared" si="76"/>
        <v>►</v>
      </c>
      <c r="C183" s="993" cm="1">
        <f t="array" ref="C183">SUMPRODUCT(LEN(D183:J183))</f>
        <v>0</v>
      </c>
      <c r="D183" s="167"/>
      <c r="E183" s="172"/>
      <c r="F183" s="172"/>
      <c r="G183" s="172"/>
      <c r="H183" s="172"/>
      <c r="I183" s="172"/>
      <c r="J183" s="173"/>
      <c r="K183" s="442" t="s">
        <v>22</v>
      </c>
      <c r="L183" s="104" t="s">
        <v>16</v>
      </c>
      <c r="M183" s="157" t="str">
        <f>M119</f>
        <v>P PRESSÉ DE BOUDIN NOIR | | Auteur &gt; Guy KRENZE - Eric GODDYN - Arnaud NICOLAS - CEPROC 2002</v>
      </c>
      <c r="N183" s="157">
        <f>N119</f>
        <v>20</v>
      </c>
      <c r="O183" s="158" t="str">
        <f>O119</f>
        <v>pressés de boudin</v>
      </c>
      <c r="P183" s="159" t="str">
        <f>P119</f>
        <v>Recette mère ► le Boudin en 4 déclinaisons</v>
      </c>
      <c r="Q183" s="172" t="s">
        <v>12903</v>
      </c>
      <c r="R183" s="172"/>
      <c r="S183" s="172"/>
      <c r="T183" s="172"/>
      <c r="U183" s="172"/>
      <c r="V183" s="172"/>
      <c r="W183" s="172"/>
      <c r="X183" s="172"/>
      <c r="Y183" s="172"/>
      <c r="Z183" s="555"/>
      <c r="AA183" s="5211"/>
      <c r="AB183" s="1178"/>
      <c r="AC183" s="1179"/>
      <c r="AD183" s="227" t="s">
        <v>22</v>
      </c>
      <c r="AE183" s="1027" t="str">
        <f t="shared" si="78"/>
        <v>►</v>
      </c>
      <c r="AF183" s="1028" t="str">
        <f t="shared" si="79"/>
        <v/>
      </c>
      <c r="AG183" s="1029" t="str">
        <f t="shared" si="80"/>
        <v/>
      </c>
      <c r="AH183" s="1028" t="str">
        <f t="shared" si="81"/>
        <v/>
      </c>
      <c r="AI183" s="1029" t="str">
        <f t="shared" si="82"/>
        <v/>
      </c>
      <c r="AJ183" s="1029">
        <f t="shared" si="83"/>
        <v>0</v>
      </c>
      <c r="AK183" s="1043" t="str" cm="1">
        <f t="array" ref="AK183">IF(AE183&lt;&gt;"A","",IFERROR((IFERROR(_xlfn.XLOOKUP(TRIM(SUBSTITUTE(U183,CHAR(160)," ")),$BI$15:$BI$62,$BL$15:$BL$62),IFERROR(_xlfn.XLOOKUP(TRIM(SUBSTITUTE(U183,CHAR(160)," ")),$BJ$15:$BJ$62,$BL$15:$BL$62),_xlfn.XLOOKUP(TRIM(SUBSTITUTE(U183,CHAR(160)," ")),$BK$15:$BK$62,$BL$15:$BL$62))))*T183*IF(ISBLANK(Q183),1,Q183)+IFERROR(_xlfn.XLOOKUP("RECHERCHEX",TRIM(L183:AC183),L183:AC183),0),0))</f>
        <v/>
      </c>
      <c r="AL183" s="1030">
        <f t="shared" si="84"/>
        <v>0</v>
      </c>
      <c r="AM183" s="5254" t="str">
        <f t="shared" si="99"/>
        <v/>
      </c>
      <c r="AN183" s="1031">
        <f t="shared" si="85"/>
        <v>0</v>
      </c>
      <c r="AO183" s="1031">
        <f t="shared" si="86"/>
        <v>0</v>
      </c>
      <c r="AP183" s="1044">
        <f t="shared" si="87"/>
        <v>0</v>
      </c>
      <c r="AQ183" s="5257" t="str">
        <f t="shared" si="88"/>
        <v/>
      </c>
      <c r="AR183" s="1056"/>
      <c r="AS183" s="1056"/>
      <c r="AT183" s="1045">
        <f t="shared" si="89"/>
        <v>0</v>
      </c>
      <c r="AU183" s="1046">
        <f t="shared" si="90"/>
        <v>0</v>
      </c>
      <c r="AV183" s="1059" cm="1">
        <f t="array" ref="AV183">IF(AJ183&lt;&gt;1,0,IF(OR(AT183="",N(AT183)&lt;=0.000000001),"",IF(OR(AN183="",N(AN183)&lt;=0.000000001),0,IF(ISNUMBER(AT183),IFERROR(_xlfn.LET(_xlpm.ai_test,TRIM(AI183),_xlpm.r,IFERROR(_xlfn.XLOOKUP(_xlpm.ai_test,$BI$15:$BI$62,ROW($BI$15:$BI$62),0,1),IFERROR(_xlfn.XLOOKUP(_xlpm.ai_test,$BJ$15:$BJ$62,ROW($BJ$15:$BJ$62),0,1),_xlfn.XLOOKUP(_xlpm.ai_test,$BK$15:$BK$62,ROW($BK$15:$BK$62),0,1))),_xlpm.p,_xlpm.r-MIN(ROW($BI$15:$BI$62))+1,_xlpm.f,INDEX($BL$15:$BL$62,_xlpm.p),_xlpm.u,INDEX($BM$15:$BM$62,_xlpm.p),_xlpm.s,INDEX($BO$15:$BO$62,_xlpm.p),_xlpm.q,N(AT183)/_xlpm.f,IF(_xlpm.q&gt;=_xlpm.s,ROUND(_xlpm.q,1)&amp;" "&amp;_xlpm.ai_test&amp;" = "&amp;ROUND(_xlpm.q*_xlpm.f,1)&amp;" "&amp;_xlpm.u,ROUND(_xlpm.q,1)&amp;" "&amp;_xlpm.ai_test)),""),""))))</f>
        <v>0</v>
      </c>
      <c r="AW183" s="1047"/>
      <c r="AX183" s="1045">
        <f t="shared" si="91"/>
        <v>0</v>
      </c>
      <c r="AY183" s="1046" t="str">
        <f t="shared" si="92"/>
        <v/>
      </c>
      <c r="AZ183" s="1048">
        <f t="shared" si="97"/>
        <v>0</v>
      </c>
      <c r="BA183" s="1049" t="str">
        <f t="shared" si="93"/>
        <v/>
      </c>
      <c r="BB183" s="1038"/>
      <c r="BC183" s="1050">
        <f t="shared" si="98"/>
        <v>0</v>
      </c>
      <c r="BD183" s="1040" t="str">
        <f t="shared" si="94"/>
        <v/>
      </c>
      <c r="BE183" s="227" t="s">
        <v>22</v>
      </c>
      <c r="BF183" s="1019">
        <f t="shared" si="95"/>
        <v>0</v>
      </c>
      <c r="BG183" s="1020">
        <f t="shared" si="96"/>
        <v>0</v>
      </c>
      <c r="BH183"/>
      <c r="BQ183"/>
      <c r="BR183"/>
      <c r="BS183"/>
      <c r="BT183"/>
      <c r="BU183"/>
      <c r="BV183"/>
      <c r="BW183" s="959" t="str">
        <f t="shared" si="77"/>
        <v>►</v>
      </c>
      <c r="BX183"/>
      <c r="BY183"/>
      <c r="BZ183"/>
      <c r="CA183"/>
      <c r="CB183"/>
      <c r="CC183" s="856"/>
      <c r="CD183"/>
      <c r="CE183"/>
      <c r="CF183"/>
      <c r="CG183"/>
      <c r="CH183"/>
      <c r="CI183"/>
      <c r="CJ183"/>
      <c r="CL183"/>
      <c r="CM183"/>
      <c r="CN183"/>
      <c r="CO183"/>
      <c r="CP183"/>
      <c r="CQ183"/>
      <c r="CR183"/>
      <c r="CT183"/>
      <c r="CU183"/>
      <c r="CV183"/>
      <c r="CW183"/>
      <c r="CX183"/>
      <c r="CY183"/>
      <c r="CZ183"/>
      <c r="DB183" s="3">
        <v>1</v>
      </c>
    </row>
    <row r="184" spans="1:106" s="709" customFormat="1" ht="21" customHeight="1">
      <c r="A184" s="936" t="s">
        <v>22</v>
      </c>
      <c r="B184" s="952" t="str">
        <f t="shared" si="76"/>
        <v>►</v>
      </c>
      <c r="C184" s="993" cm="1">
        <f t="array" ref="C184">SUMPRODUCT(LEN(D184:J184))</f>
        <v>0</v>
      </c>
      <c r="D184" s="167"/>
      <c r="E184" s="172"/>
      <c r="F184" s="172"/>
      <c r="G184" s="172"/>
      <c r="H184" s="172"/>
      <c r="I184" s="172"/>
      <c r="J184" s="173"/>
      <c r="K184" s="442" t="s">
        <v>22</v>
      </c>
      <c r="L184" s="104" t="s">
        <v>16</v>
      </c>
      <c r="M184" s="157" t="str">
        <f>M119</f>
        <v>P PRESSÉ DE BOUDIN NOIR | | Auteur &gt; Guy KRENZE - Eric GODDYN - Arnaud NICOLAS - CEPROC 2002</v>
      </c>
      <c r="N184" s="157">
        <f>N119</f>
        <v>20</v>
      </c>
      <c r="O184" s="158" t="str">
        <f>O119</f>
        <v>pressés de boudin</v>
      </c>
      <c r="P184" s="159" t="str">
        <f>P119</f>
        <v>Recette mère ► le Boudin en 4 déclinaisons</v>
      </c>
      <c r="Q184" s="172" t="s">
        <v>12906</v>
      </c>
      <c r="R184" s="172"/>
      <c r="S184" s="172"/>
      <c r="T184" s="172"/>
      <c r="U184" s="172"/>
      <c r="V184" s="172"/>
      <c r="W184" s="172"/>
      <c r="X184" s="172"/>
      <c r="Y184" s="172"/>
      <c r="Z184" s="555"/>
      <c r="AA184" s="5211"/>
      <c r="AB184" s="1178"/>
      <c r="AC184" s="1179"/>
      <c r="AD184" s="227" t="s">
        <v>22</v>
      </c>
      <c r="AE184" s="1027" t="str">
        <f t="shared" si="78"/>
        <v>►</v>
      </c>
      <c r="AF184" s="1028" t="str">
        <f t="shared" si="79"/>
        <v/>
      </c>
      <c r="AG184" s="1029" t="str">
        <f t="shared" si="80"/>
        <v/>
      </c>
      <c r="AH184" s="1028" t="str">
        <f t="shared" si="81"/>
        <v/>
      </c>
      <c r="AI184" s="1029" t="str">
        <f t="shared" si="82"/>
        <v/>
      </c>
      <c r="AJ184" s="1029">
        <f t="shared" si="83"/>
        <v>0</v>
      </c>
      <c r="AK184" s="1043" t="str" cm="1">
        <f t="array" ref="AK184">IF(AE184&lt;&gt;"A","",IFERROR((IFERROR(_xlfn.XLOOKUP(TRIM(SUBSTITUTE(U184,CHAR(160)," ")),$BI$15:$BI$62,$BL$15:$BL$62),IFERROR(_xlfn.XLOOKUP(TRIM(SUBSTITUTE(U184,CHAR(160)," ")),$BJ$15:$BJ$62,$BL$15:$BL$62),_xlfn.XLOOKUP(TRIM(SUBSTITUTE(U184,CHAR(160)," ")),$BK$15:$BK$62,$BL$15:$BL$62))))*T184*IF(ISBLANK(Q184),1,Q184)+IFERROR(_xlfn.XLOOKUP("RECHERCHEX",TRIM(L184:AC184),L184:AC184),0),0))</f>
        <v/>
      </c>
      <c r="AL184" s="1030">
        <f t="shared" si="84"/>
        <v>0</v>
      </c>
      <c r="AM184" s="5254" t="str">
        <f t="shared" si="99"/>
        <v/>
      </c>
      <c r="AN184" s="1031">
        <f t="shared" si="85"/>
        <v>0</v>
      </c>
      <c r="AO184" s="1031">
        <f t="shared" si="86"/>
        <v>0</v>
      </c>
      <c r="AP184" s="1032">
        <f t="shared" si="87"/>
        <v>0</v>
      </c>
      <c r="AQ184" s="5255" t="str">
        <f t="shared" si="88"/>
        <v/>
      </c>
      <c r="AR184" s="1056"/>
      <c r="AS184" s="1056"/>
      <c r="AT184" s="1034">
        <f t="shared" si="89"/>
        <v>0</v>
      </c>
      <c r="AU184" s="1035">
        <f t="shared" si="90"/>
        <v>0</v>
      </c>
      <c r="AV184" s="1057" cm="1">
        <f t="array" ref="AV184">IF(AJ184&lt;&gt;1,0,IF(OR(AT184="",N(AT184)&lt;=0.000000001),"",IF(OR(AN184="",N(AN184)&lt;=0.000000001),0,IF(ISNUMBER(AT184),IFERROR(_xlfn.LET(_xlpm.ai_test,TRIM(AI184),_xlpm.r,IFERROR(_xlfn.XLOOKUP(_xlpm.ai_test,$BI$15:$BI$62,ROW($BI$15:$BI$62),0,1),IFERROR(_xlfn.XLOOKUP(_xlpm.ai_test,$BJ$15:$BJ$62,ROW($BJ$15:$BJ$62),0,1),_xlfn.XLOOKUP(_xlpm.ai_test,$BK$15:$BK$62,ROW($BK$15:$BK$62),0,1))),_xlpm.p,_xlpm.r-MIN(ROW($BI$15:$BI$62))+1,_xlpm.f,INDEX($BL$15:$BL$62,_xlpm.p),_xlpm.u,INDEX($BM$15:$BM$62,_xlpm.p),_xlpm.s,INDEX($BO$15:$BO$62,_xlpm.p),_xlpm.q,N(AT184)/_xlpm.f,IF(_xlpm.q&gt;=_xlpm.s,ROUND(_xlpm.q,1)&amp;" "&amp;_xlpm.ai_test&amp;" = "&amp;ROUND(_xlpm.q*_xlpm.f,1)&amp;" "&amp;_xlpm.u,ROUND(_xlpm.q,1)&amp;" "&amp;_xlpm.ai_test)),""),""))))</f>
        <v>0</v>
      </c>
      <c r="AW184" s="1047"/>
      <c r="AX184" s="1034">
        <f t="shared" si="91"/>
        <v>0</v>
      </c>
      <c r="AY184" s="1035" t="str">
        <f t="shared" si="92"/>
        <v/>
      </c>
      <c r="AZ184" s="1036">
        <f t="shared" si="97"/>
        <v>0</v>
      </c>
      <c r="BA184" s="1037" t="str">
        <f t="shared" si="93"/>
        <v/>
      </c>
      <c r="BB184" s="1038"/>
      <c r="BC184" s="1039">
        <f t="shared" si="98"/>
        <v>0</v>
      </c>
      <c r="BD184" s="1040" t="str">
        <f t="shared" si="94"/>
        <v/>
      </c>
      <c r="BE184" s="227" t="s">
        <v>22</v>
      </c>
      <c r="BF184" s="1019">
        <f t="shared" si="95"/>
        <v>0</v>
      </c>
      <c r="BG184" s="1020">
        <f t="shared" si="96"/>
        <v>0</v>
      </c>
      <c r="BH184"/>
      <c r="BQ184"/>
      <c r="BR184"/>
      <c r="BS184"/>
      <c r="BT184"/>
      <c r="BU184"/>
      <c r="BV184"/>
      <c r="BW184" s="959" t="str">
        <f t="shared" si="77"/>
        <v>►</v>
      </c>
      <c r="BX184"/>
      <c r="BY184"/>
      <c r="BZ184"/>
      <c r="CA184"/>
      <c r="CB184"/>
      <c r="CC184" s="856"/>
      <c r="CD184"/>
      <c r="CE184"/>
      <c r="CF184"/>
      <c r="CG184"/>
      <c r="CH184"/>
      <c r="CI184"/>
      <c r="CJ184"/>
      <c r="CL184"/>
      <c r="CM184"/>
      <c r="CN184"/>
      <c r="CO184"/>
      <c r="CP184"/>
      <c r="CQ184"/>
      <c r="CR184"/>
      <c r="CT184"/>
      <c r="CU184"/>
      <c r="CV184"/>
      <c r="CW184"/>
      <c r="CX184"/>
      <c r="CY184"/>
      <c r="CZ184"/>
      <c r="DB184" s="3">
        <v>1</v>
      </c>
    </row>
    <row r="185" spans="1:106" s="709" customFormat="1" ht="21" customHeight="1">
      <c r="A185" s="936" t="s">
        <v>22</v>
      </c>
      <c r="B185" s="952" t="str">
        <f t="shared" si="76"/>
        <v>►</v>
      </c>
      <c r="C185" s="993" cm="1">
        <f t="array" ref="C185">SUMPRODUCT(LEN(D185:J185))</f>
        <v>0</v>
      </c>
      <c r="D185" s="167"/>
      <c r="E185" s="172"/>
      <c r="F185" s="172"/>
      <c r="G185" s="172"/>
      <c r="H185" s="172"/>
      <c r="I185" s="172"/>
      <c r="J185" s="173"/>
      <c r="K185" s="442" t="s">
        <v>22</v>
      </c>
      <c r="L185" s="104" t="s">
        <v>16</v>
      </c>
      <c r="M185" s="157" t="str">
        <f>M119</f>
        <v>P PRESSÉ DE BOUDIN NOIR | | Auteur &gt; Guy KRENZE - Eric GODDYN - Arnaud NICOLAS - CEPROC 2002</v>
      </c>
      <c r="N185" s="157">
        <f>N119</f>
        <v>20</v>
      </c>
      <c r="O185" s="158" t="str">
        <f>O119</f>
        <v>pressés de boudin</v>
      </c>
      <c r="P185" s="159" t="str">
        <f>P119</f>
        <v>Recette mère ► le Boudin en 4 déclinaisons</v>
      </c>
      <c r="Q185" s="172" t="s">
        <v>13011</v>
      </c>
      <c r="R185" s="172"/>
      <c r="S185" s="172"/>
      <c r="T185" s="172"/>
      <c r="U185" s="172"/>
      <c r="V185" s="172"/>
      <c r="W185" s="172"/>
      <c r="X185" s="172"/>
      <c r="Y185" s="172"/>
      <c r="Z185" s="555"/>
      <c r="AA185" s="5211"/>
      <c r="AB185" s="1178"/>
      <c r="AC185" s="1179"/>
      <c r="AD185" s="227" t="s">
        <v>22</v>
      </c>
      <c r="AE185" s="1027" t="str">
        <f t="shared" si="78"/>
        <v>►</v>
      </c>
      <c r="AF185" s="1028" t="str">
        <f t="shared" si="79"/>
        <v/>
      </c>
      <c r="AG185" s="1029" t="str">
        <f t="shared" si="80"/>
        <v/>
      </c>
      <c r="AH185" s="1028" t="str">
        <f t="shared" si="81"/>
        <v/>
      </c>
      <c r="AI185" s="1029" t="str">
        <f t="shared" si="82"/>
        <v/>
      </c>
      <c r="AJ185" s="1029">
        <f t="shared" si="83"/>
        <v>0</v>
      </c>
      <c r="AK185" s="1043" t="str" cm="1">
        <f t="array" ref="AK185">IF(AE185&lt;&gt;"A","",IFERROR((IFERROR(_xlfn.XLOOKUP(TRIM(SUBSTITUTE(U185,CHAR(160)," ")),$BI$15:$BI$62,$BL$15:$BL$62),IFERROR(_xlfn.XLOOKUP(TRIM(SUBSTITUTE(U185,CHAR(160)," ")),$BJ$15:$BJ$62,$BL$15:$BL$62),_xlfn.XLOOKUP(TRIM(SUBSTITUTE(U185,CHAR(160)," ")),$BK$15:$BK$62,$BL$15:$BL$62))))*T185*IF(ISBLANK(Q185),1,Q185)+IFERROR(_xlfn.XLOOKUP("RECHERCHEX",TRIM(L185:AC185),L185:AC185),0),0))</f>
        <v/>
      </c>
      <c r="AL185" s="1030">
        <f t="shared" si="84"/>
        <v>0</v>
      </c>
      <c r="AM185" s="5254" t="str">
        <f t="shared" si="99"/>
        <v/>
      </c>
      <c r="AN185" s="1031">
        <f t="shared" si="85"/>
        <v>0</v>
      </c>
      <c r="AO185" s="1031">
        <f t="shared" si="86"/>
        <v>0</v>
      </c>
      <c r="AP185" s="1044">
        <f t="shared" si="87"/>
        <v>0</v>
      </c>
      <c r="AQ185" s="5257" t="str">
        <f t="shared" si="88"/>
        <v/>
      </c>
      <c r="AR185" s="1056"/>
      <c r="AS185" s="1056"/>
      <c r="AT185" s="1045">
        <f t="shared" si="89"/>
        <v>0</v>
      </c>
      <c r="AU185" s="1046">
        <f t="shared" si="90"/>
        <v>0</v>
      </c>
      <c r="AV185" s="1059" cm="1">
        <f t="array" ref="AV185">IF(AJ185&lt;&gt;1,0,IF(OR(AT185="",N(AT185)&lt;=0.000000001),"",IF(OR(AN185="",N(AN185)&lt;=0.000000001),0,IF(ISNUMBER(AT185),IFERROR(_xlfn.LET(_xlpm.ai_test,TRIM(AI185),_xlpm.r,IFERROR(_xlfn.XLOOKUP(_xlpm.ai_test,$BI$15:$BI$62,ROW($BI$15:$BI$62),0,1),IFERROR(_xlfn.XLOOKUP(_xlpm.ai_test,$BJ$15:$BJ$62,ROW($BJ$15:$BJ$62),0,1),_xlfn.XLOOKUP(_xlpm.ai_test,$BK$15:$BK$62,ROW($BK$15:$BK$62),0,1))),_xlpm.p,_xlpm.r-MIN(ROW($BI$15:$BI$62))+1,_xlpm.f,INDEX($BL$15:$BL$62,_xlpm.p),_xlpm.u,INDEX($BM$15:$BM$62,_xlpm.p),_xlpm.s,INDEX($BO$15:$BO$62,_xlpm.p),_xlpm.q,N(AT185)/_xlpm.f,IF(_xlpm.q&gt;=_xlpm.s,ROUND(_xlpm.q,1)&amp;" "&amp;_xlpm.ai_test&amp;" = "&amp;ROUND(_xlpm.q*_xlpm.f,1)&amp;" "&amp;_xlpm.u,ROUND(_xlpm.q,1)&amp;" "&amp;_xlpm.ai_test)),""),""))))</f>
        <v>0</v>
      </c>
      <c r="AW185" s="1047"/>
      <c r="AX185" s="1045">
        <f t="shared" si="91"/>
        <v>0</v>
      </c>
      <c r="AY185" s="1046" t="str">
        <f t="shared" si="92"/>
        <v/>
      </c>
      <c r="AZ185" s="1048">
        <f t="shared" si="97"/>
        <v>0</v>
      </c>
      <c r="BA185" s="1049" t="str">
        <f t="shared" si="93"/>
        <v/>
      </c>
      <c r="BB185" s="1038"/>
      <c r="BC185" s="1050">
        <f t="shared" si="98"/>
        <v>0</v>
      </c>
      <c r="BD185" s="1040" t="str">
        <f t="shared" si="94"/>
        <v/>
      </c>
      <c r="BE185" s="227" t="s">
        <v>22</v>
      </c>
      <c r="BF185" s="1019">
        <f t="shared" si="95"/>
        <v>0</v>
      </c>
      <c r="BG185" s="1020">
        <f t="shared" si="96"/>
        <v>0</v>
      </c>
      <c r="BH185"/>
      <c r="BQ185"/>
      <c r="BR185"/>
      <c r="BS185"/>
      <c r="BT185"/>
      <c r="BU185"/>
      <c r="BV185"/>
      <c r="BW185" s="959" t="str">
        <f t="shared" si="77"/>
        <v>►</v>
      </c>
      <c r="BX185"/>
      <c r="BY185"/>
      <c r="BZ185"/>
      <c r="CA185"/>
      <c r="CB185"/>
      <c r="CC185" s="856"/>
      <c r="CD185"/>
      <c r="CE185"/>
      <c r="CF185"/>
      <c r="CG185"/>
      <c r="CH185"/>
      <c r="CI185"/>
      <c r="CJ185"/>
      <c r="CL185"/>
      <c r="CM185"/>
      <c r="CN185"/>
      <c r="CO185"/>
      <c r="CP185"/>
      <c r="CQ185"/>
      <c r="CR185"/>
      <c r="CT185"/>
      <c r="CU185"/>
      <c r="CV185"/>
      <c r="CW185"/>
      <c r="CX185"/>
      <c r="CY185"/>
      <c r="CZ185"/>
      <c r="DB185" s="3">
        <v>1</v>
      </c>
    </row>
    <row r="186" spans="1:106" s="709" customFormat="1" ht="21" customHeight="1">
      <c r="A186" s="936" t="s">
        <v>22</v>
      </c>
      <c r="B186" s="952" t="str">
        <f t="shared" si="76"/>
        <v>►</v>
      </c>
      <c r="C186" s="993" cm="1">
        <f t="array" ref="C186">SUMPRODUCT(LEN(D186:J186))</f>
        <v>0</v>
      </c>
      <c r="D186" s="167"/>
      <c r="E186" s="172"/>
      <c r="F186" s="172"/>
      <c r="G186" s="172"/>
      <c r="H186" s="172"/>
      <c r="I186" s="172"/>
      <c r="J186" s="173"/>
      <c r="K186" s="442" t="s">
        <v>22</v>
      </c>
      <c r="L186" s="104" t="s">
        <v>16</v>
      </c>
      <c r="M186" s="157" t="str">
        <f>M119</f>
        <v>P PRESSÉ DE BOUDIN NOIR | | Auteur &gt; Guy KRENZE - Eric GODDYN - Arnaud NICOLAS - CEPROC 2002</v>
      </c>
      <c r="N186" s="157">
        <f>N119</f>
        <v>20</v>
      </c>
      <c r="O186" s="158" t="str">
        <f>O119</f>
        <v>pressés de boudin</v>
      </c>
      <c r="P186" s="159" t="str">
        <f>P119</f>
        <v>Recette mère ► le Boudin en 4 déclinaisons</v>
      </c>
      <c r="Q186" s="172" t="s">
        <v>13034</v>
      </c>
      <c r="R186" s="172"/>
      <c r="S186" s="172"/>
      <c r="T186" s="172"/>
      <c r="U186" s="172"/>
      <c r="V186" s="172"/>
      <c r="W186" s="172"/>
      <c r="X186" s="172"/>
      <c r="Y186" s="172"/>
      <c r="Z186" s="555"/>
      <c r="AA186" s="5211"/>
      <c r="AB186" s="1178"/>
      <c r="AC186" s="1179"/>
      <c r="AD186" s="227" t="s">
        <v>22</v>
      </c>
      <c r="AE186" s="1027" t="str">
        <f t="shared" si="78"/>
        <v>►</v>
      </c>
      <c r="AF186" s="1028" t="str">
        <f t="shared" si="79"/>
        <v/>
      </c>
      <c r="AG186" s="1029" t="str">
        <f t="shared" si="80"/>
        <v/>
      </c>
      <c r="AH186" s="1028" t="str">
        <f t="shared" si="81"/>
        <v/>
      </c>
      <c r="AI186" s="1029" t="str">
        <f t="shared" si="82"/>
        <v/>
      </c>
      <c r="AJ186" s="1029">
        <f t="shared" si="83"/>
        <v>0</v>
      </c>
      <c r="AK186" s="1043" t="str" cm="1">
        <f t="array" ref="AK186">IF(AE186&lt;&gt;"A","",IFERROR((IFERROR(_xlfn.XLOOKUP(TRIM(SUBSTITUTE(U186,CHAR(160)," ")),$BI$15:$BI$62,$BL$15:$BL$62),IFERROR(_xlfn.XLOOKUP(TRIM(SUBSTITUTE(U186,CHAR(160)," ")),$BJ$15:$BJ$62,$BL$15:$BL$62),_xlfn.XLOOKUP(TRIM(SUBSTITUTE(U186,CHAR(160)," ")),$BK$15:$BK$62,$BL$15:$BL$62))))*T186*IF(ISBLANK(Q186),1,Q186)+IFERROR(_xlfn.XLOOKUP("RECHERCHEX",TRIM(L186:AC186),L186:AC186),0),0))</f>
        <v/>
      </c>
      <c r="AL186" s="1030">
        <f t="shared" si="84"/>
        <v>0</v>
      </c>
      <c r="AM186" s="5254" t="str">
        <f t="shared" si="99"/>
        <v/>
      </c>
      <c r="AN186" s="1031">
        <f t="shared" si="85"/>
        <v>0</v>
      </c>
      <c r="AO186" s="1031">
        <f t="shared" si="86"/>
        <v>0</v>
      </c>
      <c r="AP186" s="1032">
        <f t="shared" si="87"/>
        <v>0</v>
      </c>
      <c r="AQ186" s="5255" t="str">
        <f t="shared" si="88"/>
        <v/>
      </c>
      <c r="AR186" s="1056"/>
      <c r="AS186" s="1056"/>
      <c r="AT186" s="1034">
        <f t="shared" si="89"/>
        <v>0</v>
      </c>
      <c r="AU186" s="1035">
        <f t="shared" si="90"/>
        <v>0</v>
      </c>
      <c r="AV186" s="1057" cm="1">
        <f t="array" ref="AV186">IF(AJ186&lt;&gt;1,0,IF(OR(AT186="",N(AT186)&lt;=0.000000001),"",IF(OR(AN186="",N(AN186)&lt;=0.000000001),0,IF(ISNUMBER(AT186),IFERROR(_xlfn.LET(_xlpm.ai_test,TRIM(AI186),_xlpm.r,IFERROR(_xlfn.XLOOKUP(_xlpm.ai_test,$BI$15:$BI$62,ROW($BI$15:$BI$62),0,1),IFERROR(_xlfn.XLOOKUP(_xlpm.ai_test,$BJ$15:$BJ$62,ROW($BJ$15:$BJ$62),0,1),_xlfn.XLOOKUP(_xlpm.ai_test,$BK$15:$BK$62,ROW($BK$15:$BK$62),0,1))),_xlpm.p,_xlpm.r-MIN(ROW($BI$15:$BI$62))+1,_xlpm.f,INDEX($BL$15:$BL$62,_xlpm.p),_xlpm.u,INDEX($BM$15:$BM$62,_xlpm.p),_xlpm.s,INDEX($BO$15:$BO$62,_xlpm.p),_xlpm.q,N(AT186)/_xlpm.f,IF(_xlpm.q&gt;=_xlpm.s,ROUND(_xlpm.q,1)&amp;" "&amp;_xlpm.ai_test&amp;" = "&amp;ROUND(_xlpm.q*_xlpm.f,1)&amp;" "&amp;_xlpm.u,ROUND(_xlpm.q,1)&amp;" "&amp;_xlpm.ai_test)),""),""))))</f>
        <v>0</v>
      </c>
      <c r="AW186" s="1047"/>
      <c r="AX186" s="1034">
        <f t="shared" si="91"/>
        <v>0</v>
      </c>
      <c r="AY186" s="1035" t="str">
        <f t="shared" si="92"/>
        <v/>
      </c>
      <c r="AZ186" s="1036">
        <f t="shared" si="97"/>
        <v>0</v>
      </c>
      <c r="BA186" s="1037" t="str">
        <f t="shared" si="93"/>
        <v/>
      </c>
      <c r="BB186" s="1038"/>
      <c r="BC186" s="1039">
        <f t="shared" si="98"/>
        <v>0</v>
      </c>
      <c r="BD186" s="1040" t="str">
        <f t="shared" si="94"/>
        <v/>
      </c>
      <c r="BE186" s="227" t="s">
        <v>22</v>
      </c>
      <c r="BF186" s="1019">
        <f t="shared" si="95"/>
        <v>0</v>
      </c>
      <c r="BG186" s="1020">
        <f t="shared" si="96"/>
        <v>0</v>
      </c>
      <c r="BH186"/>
      <c r="BQ186"/>
      <c r="BR186"/>
      <c r="BS186"/>
      <c r="BT186"/>
      <c r="BU186"/>
      <c r="BV186"/>
      <c r="BW186" s="959" t="str">
        <f t="shared" si="77"/>
        <v>►</v>
      </c>
      <c r="BX186"/>
      <c r="BY186"/>
      <c r="BZ186"/>
      <c r="CA186"/>
      <c r="CB186"/>
      <c r="CC186" s="856"/>
      <c r="CD186"/>
      <c r="CE186"/>
      <c r="CF186"/>
      <c r="CG186"/>
      <c r="CH186"/>
      <c r="CI186"/>
      <c r="CJ186"/>
      <c r="CL186"/>
      <c r="CM186"/>
      <c r="CN186"/>
      <c r="CO186"/>
      <c r="CP186"/>
      <c r="CQ186"/>
      <c r="CR186"/>
      <c r="CT186"/>
      <c r="CU186"/>
      <c r="CV186"/>
      <c r="CW186"/>
      <c r="CX186"/>
      <c r="CY186"/>
      <c r="CZ186"/>
      <c r="DB186" s="3">
        <v>1</v>
      </c>
    </row>
    <row r="187" spans="1:106" s="709" customFormat="1" ht="21" customHeight="1">
      <c r="A187" s="936" t="s">
        <v>22</v>
      </c>
      <c r="B187" s="952" t="str">
        <f t="shared" si="76"/>
        <v>►</v>
      </c>
      <c r="C187" s="993" cm="1">
        <f t="array" ref="C187">SUMPRODUCT(LEN(D187:J187))</f>
        <v>0</v>
      </c>
      <c r="D187" s="167"/>
      <c r="E187" s="172"/>
      <c r="F187" s="172"/>
      <c r="G187" s="172"/>
      <c r="H187" s="172"/>
      <c r="I187" s="172"/>
      <c r="J187" s="173"/>
      <c r="K187" s="442" t="s">
        <v>22</v>
      </c>
      <c r="L187" s="104" t="s">
        <v>16</v>
      </c>
      <c r="M187" s="157" t="str">
        <f>M119</f>
        <v>P PRESSÉ DE BOUDIN NOIR | | Auteur &gt; Guy KRENZE - Eric GODDYN - Arnaud NICOLAS - CEPROC 2002</v>
      </c>
      <c r="N187" s="157">
        <f>N119</f>
        <v>20</v>
      </c>
      <c r="O187" s="158" t="str">
        <f>O119</f>
        <v>pressés de boudin</v>
      </c>
      <c r="P187" s="159" t="str">
        <f>P119</f>
        <v>Recette mère ► le Boudin en 4 déclinaisons</v>
      </c>
      <c r="Q187" s="172" t="s">
        <v>12911</v>
      </c>
      <c r="R187" s="172"/>
      <c r="S187" s="172"/>
      <c r="T187" s="172"/>
      <c r="U187" s="172"/>
      <c r="V187" s="172"/>
      <c r="W187" s="172"/>
      <c r="X187" s="172"/>
      <c r="Y187" s="172"/>
      <c r="Z187" s="555"/>
      <c r="AA187" s="5211"/>
      <c r="AB187" s="1178"/>
      <c r="AC187" s="1179"/>
      <c r="AD187" s="227" t="s">
        <v>22</v>
      </c>
      <c r="AE187" s="1027" t="str">
        <f t="shared" si="78"/>
        <v>►</v>
      </c>
      <c r="AF187" s="1028" t="str">
        <f t="shared" si="79"/>
        <v/>
      </c>
      <c r="AG187" s="1029" t="str">
        <f t="shared" si="80"/>
        <v/>
      </c>
      <c r="AH187" s="1028" t="str">
        <f t="shared" si="81"/>
        <v/>
      </c>
      <c r="AI187" s="1029" t="str">
        <f t="shared" si="82"/>
        <v/>
      </c>
      <c r="AJ187" s="1029">
        <f t="shared" si="83"/>
        <v>0</v>
      </c>
      <c r="AK187" s="1043" t="str" cm="1">
        <f t="array" ref="AK187">IF(AE187&lt;&gt;"A","",IFERROR((IFERROR(_xlfn.XLOOKUP(TRIM(SUBSTITUTE(U187,CHAR(160)," ")),$BI$15:$BI$62,$BL$15:$BL$62),IFERROR(_xlfn.XLOOKUP(TRIM(SUBSTITUTE(U187,CHAR(160)," ")),$BJ$15:$BJ$62,$BL$15:$BL$62),_xlfn.XLOOKUP(TRIM(SUBSTITUTE(U187,CHAR(160)," ")),$BK$15:$BK$62,$BL$15:$BL$62))))*T187*IF(ISBLANK(Q187),1,Q187)+IFERROR(_xlfn.XLOOKUP("RECHERCHEX",TRIM(L187:AC187),L187:AC187),0),0))</f>
        <v/>
      </c>
      <c r="AL187" s="1030">
        <f t="shared" si="84"/>
        <v>0</v>
      </c>
      <c r="AM187" s="5254" t="str">
        <f t="shared" si="99"/>
        <v/>
      </c>
      <c r="AN187" s="1031">
        <f t="shared" si="85"/>
        <v>0</v>
      </c>
      <c r="AO187" s="1031">
        <f t="shared" si="86"/>
        <v>0</v>
      </c>
      <c r="AP187" s="1044">
        <f t="shared" si="87"/>
        <v>0</v>
      </c>
      <c r="AQ187" s="5257" t="str">
        <f t="shared" si="88"/>
        <v/>
      </c>
      <c r="AR187" s="1056"/>
      <c r="AS187" s="1056"/>
      <c r="AT187" s="1045">
        <f t="shared" si="89"/>
        <v>0</v>
      </c>
      <c r="AU187" s="1046">
        <f t="shared" si="90"/>
        <v>0</v>
      </c>
      <c r="AV187" s="1059" cm="1">
        <f t="array" ref="AV187">IF(AJ187&lt;&gt;1,0,IF(OR(AT187="",N(AT187)&lt;=0.000000001),"",IF(OR(AN187="",N(AN187)&lt;=0.000000001),0,IF(ISNUMBER(AT187),IFERROR(_xlfn.LET(_xlpm.ai_test,TRIM(AI187),_xlpm.r,IFERROR(_xlfn.XLOOKUP(_xlpm.ai_test,$BI$15:$BI$62,ROW($BI$15:$BI$62),0,1),IFERROR(_xlfn.XLOOKUP(_xlpm.ai_test,$BJ$15:$BJ$62,ROW($BJ$15:$BJ$62),0,1),_xlfn.XLOOKUP(_xlpm.ai_test,$BK$15:$BK$62,ROW($BK$15:$BK$62),0,1))),_xlpm.p,_xlpm.r-MIN(ROW($BI$15:$BI$62))+1,_xlpm.f,INDEX($BL$15:$BL$62,_xlpm.p),_xlpm.u,INDEX($BM$15:$BM$62,_xlpm.p),_xlpm.s,INDEX($BO$15:$BO$62,_xlpm.p),_xlpm.q,N(AT187)/_xlpm.f,IF(_xlpm.q&gt;=_xlpm.s,ROUND(_xlpm.q,1)&amp;" "&amp;_xlpm.ai_test&amp;" = "&amp;ROUND(_xlpm.q*_xlpm.f,1)&amp;" "&amp;_xlpm.u,ROUND(_xlpm.q,1)&amp;" "&amp;_xlpm.ai_test)),""),""))))</f>
        <v>0</v>
      </c>
      <c r="AW187" s="1047"/>
      <c r="AX187" s="1045">
        <f t="shared" si="91"/>
        <v>0</v>
      </c>
      <c r="AY187" s="1046" t="str">
        <f t="shared" si="92"/>
        <v/>
      </c>
      <c r="AZ187" s="1048">
        <f t="shared" si="97"/>
        <v>0</v>
      </c>
      <c r="BA187" s="1049" t="str">
        <f t="shared" si="93"/>
        <v/>
      </c>
      <c r="BB187" s="1038"/>
      <c r="BC187" s="1050">
        <f t="shared" si="98"/>
        <v>0</v>
      </c>
      <c r="BD187" s="1040" t="str">
        <f t="shared" si="94"/>
        <v/>
      </c>
      <c r="BE187" s="227" t="s">
        <v>22</v>
      </c>
      <c r="BF187" s="1019">
        <f t="shared" si="95"/>
        <v>0</v>
      </c>
      <c r="BG187" s="1020">
        <f t="shared" si="96"/>
        <v>0</v>
      </c>
      <c r="BH187"/>
      <c r="BQ187"/>
      <c r="BR187"/>
      <c r="BS187"/>
      <c r="BT187"/>
      <c r="BU187"/>
      <c r="BV187"/>
      <c r="BW187" s="959" t="str">
        <f t="shared" si="77"/>
        <v>►</v>
      </c>
      <c r="BX187"/>
      <c r="BY187"/>
      <c r="BZ187"/>
      <c r="CA187"/>
      <c r="CB187"/>
      <c r="CC187" s="856"/>
      <c r="CD187"/>
      <c r="CE187"/>
      <c r="CF187"/>
      <c r="CG187"/>
      <c r="CH187"/>
      <c r="CI187"/>
      <c r="CJ187"/>
      <c r="CL187"/>
      <c r="CM187"/>
      <c r="CN187"/>
      <c r="CO187"/>
      <c r="CP187"/>
      <c r="CQ187"/>
      <c r="CR187"/>
      <c r="CT187"/>
      <c r="CU187"/>
      <c r="CV187"/>
      <c r="CW187"/>
      <c r="CX187"/>
      <c r="CY187"/>
      <c r="CZ187"/>
      <c r="DB187" s="3">
        <v>1</v>
      </c>
    </row>
    <row r="188" spans="1:106" s="709" customFormat="1" ht="21" customHeight="1">
      <c r="A188" s="936" t="s">
        <v>22</v>
      </c>
      <c r="B188" s="952" t="str">
        <f t="shared" si="76"/>
        <v>A</v>
      </c>
      <c r="C188" s="993" cm="1">
        <f t="array" ref="C188">SUMPRODUCT(LEN(D188:J188))</f>
        <v>0</v>
      </c>
      <c r="D188" s="167"/>
      <c r="E188" s="172"/>
      <c r="F188" s="172"/>
      <c r="G188" s="172"/>
      <c r="H188" s="172"/>
      <c r="I188" s="172"/>
      <c r="J188" s="173"/>
      <c r="K188" s="442" t="s">
        <v>22</v>
      </c>
      <c r="L188" s="104" t="str">
        <f>IF(OR(Q188&lt;&gt;"",R188&lt;&gt; "",S188&lt;&gt;"",T188&lt;&gt;""),"A", "►")</f>
        <v>A</v>
      </c>
      <c r="M188" s="157" t="str">
        <f>M119</f>
        <v>P PRESSÉ DE BOUDIN NOIR | | Auteur &gt; Guy KRENZE - Eric GODDYN - Arnaud NICOLAS - CEPROC 2002</v>
      </c>
      <c r="N188" s="157">
        <f>N119</f>
        <v>20</v>
      </c>
      <c r="O188" s="158" t="str">
        <f>O119</f>
        <v>pressés de boudin</v>
      </c>
      <c r="P188" s="159" t="str">
        <f>P119</f>
        <v>Recette mère ► le Boudin en 4 déclinaisons</v>
      </c>
      <c r="Q188" s="172" t="s">
        <v>12914</v>
      </c>
      <c r="R188" s="172"/>
      <c r="S188" s="172"/>
      <c r="T188" s="172"/>
      <c r="U188" s="172"/>
      <c r="V188" s="172"/>
      <c r="W188" s="172"/>
      <c r="X188" s="172"/>
      <c r="Y188" s="172"/>
      <c r="Z188" s="555"/>
      <c r="AA188" s="5211"/>
      <c r="AB188" s="1178"/>
      <c r="AC188" s="1179"/>
      <c r="AD188" s="227" t="s">
        <v>22</v>
      </c>
      <c r="AE188" s="1027" t="str">
        <f t="shared" si="78"/>
        <v>►</v>
      </c>
      <c r="AF188" s="1028" t="str">
        <f t="shared" si="79"/>
        <v/>
      </c>
      <c r="AG188" s="1029" t="str">
        <f t="shared" si="80"/>
        <v/>
      </c>
      <c r="AH188" s="1028" t="str">
        <f t="shared" si="81"/>
        <v/>
      </c>
      <c r="AI188" s="1029" t="str">
        <f t="shared" si="82"/>
        <v/>
      </c>
      <c r="AJ188" s="1029">
        <f t="shared" si="83"/>
        <v>0</v>
      </c>
      <c r="AK188" s="1043" t="str" cm="1">
        <f t="array" ref="AK188">IF(AE188&lt;&gt;"A","",IFERROR((IFERROR(_xlfn.XLOOKUP(TRIM(SUBSTITUTE(U188,CHAR(160)," ")),$BI$15:$BI$62,$BL$15:$BL$62),IFERROR(_xlfn.XLOOKUP(TRIM(SUBSTITUTE(U188,CHAR(160)," ")),$BJ$15:$BJ$62,$BL$15:$BL$62),_xlfn.XLOOKUP(TRIM(SUBSTITUTE(U188,CHAR(160)," ")),$BK$15:$BK$62,$BL$15:$BL$62))))*T188*IF(ISBLANK(Q188),1,Q188)+IFERROR(_xlfn.XLOOKUP("RECHERCHEX",TRIM(L188:AC188),L188:AC188),0),0))</f>
        <v/>
      </c>
      <c r="AL188" s="1030">
        <f t="shared" si="84"/>
        <v>0</v>
      </c>
      <c r="AM188" s="5254" t="str">
        <f t="shared" si="99"/>
        <v/>
      </c>
      <c r="AN188" s="1031">
        <f t="shared" si="85"/>
        <v>0</v>
      </c>
      <c r="AO188" s="1031">
        <f t="shared" si="86"/>
        <v>0</v>
      </c>
      <c r="AP188" s="1032">
        <f t="shared" si="87"/>
        <v>0</v>
      </c>
      <c r="AQ188" s="5255" t="str">
        <f t="shared" si="88"/>
        <v/>
      </c>
      <c r="AR188" s="1056"/>
      <c r="AS188" s="1056"/>
      <c r="AT188" s="1034">
        <f t="shared" si="89"/>
        <v>0</v>
      </c>
      <c r="AU188" s="1035">
        <f t="shared" si="90"/>
        <v>0</v>
      </c>
      <c r="AV188" s="1057" cm="1">
        <f t="array" ref="AV188">IF(AJ188&lt;&gt;1,0,IF(OR(AT188="",N(AT188)&lt;=0.000000001),"",IF(OR(AN188="",N(AN188)&lt;=0.000000001),0,IF(ISNUMBER(AT188),IFERROR(_xlfn.LET(_xlpm.ai_test,TRIM(AI188),_xlpm.r,IFERROR(_xlfn.XLOOKUP(_xlpm.ai_test,$BI$15:$BI$62,ROW($BI$15:$BI$62),0,1),IFERROR(_xlfn.XLOOKUP(_xlpm.ai_test,$BJ$15:$BJ$62,ROW($BJ$15:$BJ$62),0,1),_xlfn.XLOOKUP(_xlpm.ai_test,$BK$15:$BK$62,ROW($BK$15:$BK$62),0,1))),_xlpm.p,_xlpm.r-MIN(ROW($BI$15:$BI$62))+1,_xlpm.f,INDEX($BL$15:$BL$62,_xlpm.p),_xlpm.u,INDEX($BM$15:$BM$62,_xlpm.p),_xlpm.s,INDEX($BO$15:$BO$62,_xlpm.p),_xlpm.q,N(AT188)/_xlpm.f,IF(_xlpm.q&gt;=_xlpm.s,ROUND(_xlpm.q,1)&amp;" "&amp;_xlpm.ai_test&amp;" = "&amp;ROUND(_xlpm.q*_xlpm.f,1)&amp;" "&amp;_xlpm.u,ROUND(_xlpm.q,1)&amp;" "&amp;_xlpm.ai_test)),""),""))))</f>
        <v>0</v>
      </c>
      <c r="AW188" s="1047"/>
      <c r="AX188" s="1034">
        <f t="shared" si="91"/>
        <v>0</v>
      </c>
      <c r="AY188" s="1035" t="str">
        <f t="shared" si="92"/>
        <v/>
      </c>
      <c r="AZ188" s="1036">
        <f t="shared" si="97"/>
        <v>0</v>
      </c>
      <c r="BA188" s="1037" t="str">
        <f t="shared" si="93"/>
        <v/>
      </c>
      <c r="BB188" s="1038"/>
      <c r="BC188" s="1039">
        <f t="shared" si="98"/>
        <v>0</v>
      </c>
      <c r="BD188" s="1040" t="str">
        <f t="shared" si="94"/>
        <v/>
      </c>
      <c r="BE188" s="227" t="s">
        <v>22</v>
      </c>
      <c r="BF188" s="1019">
        <f t="shared" si="95"/>
        <v>0</v>
      </c>
      <c r="BG188" s="1020">
        <f t="shared" si="96"/>
        <v>0</v>
      </c>
      <c r="BH188"/>
      <c r="BQ188"/>
      <c r="BR188"/>
      <c r="BS188"/>
      <c r="BT188"/>
      <c r="BU188"/>
      <c r="BV188"/>
      <c r="BW188" s="959" t="str">
        <f t="shared" si="77"/>
        <v>►</v>
      </c>
      <c r="BX188"/>
      <c r="BY188"/>
      <c r="BZ188"/>
      <c r="CA188"/>
      <c r="CB188"/>
      <c r="CC188" s="856"/>
      <c r="CD188"/>
      <c r="CE188"/>
      <c r="CF188"/>
      <c r="CG188"/>
      <c r="CH188"/>
      <c r="CI188"/>
      <c r="CJ188"/>
      <c r="CL188"/>
      <c r="CM188"/>
      <c r="CN188"/>
      <c r="CO188"/>
      <c r="CP188"/>
      <c r="CQ188"/>
      <c r="CR188"/>
      <c r="CT188"/>
      <c r="CU188"/>
      <c r="CV188"/>
      <c r="CW188"/>
      <c r="CX188"/>
      <c r="CY188"/>
      <c r="CZ188"/>
      <c r="DB188" s="3">
        <v>1</v>
      </c>
    </row>
    <row r="189" spans="1:106" s="709" customFormat="1" ht="21" customHeight="1">
      <c r="A189" s="936" t="s">
        <v>22</v>
      </c>
      <c r="B189" s="952" t="str">
        <f t="shared" si="76"/>
        <v>►</v>
      </c>
      <c r="C189" s="993" cm="1">
        <f t="array" ref="C189">SUMPRODUCT(LEN(D189:J189))</f>
        <v>0</v>
      </c>
      <c r="D189" s="167"/>
      <c r="E189" s="172"/>
      <c r="F189" s="172"/>
      <c r="G189" s="172"/>
      <c r="H189" s="172"/>
      <c r="I189" s="172"/>
      <c r="J189" s="173"/>
      <c r="K189" s="442" t="s">
        <v>22</v>
      </c>
      <c r="L189" s="104" t="str">
        <f>IF(OR(Q189&lt;&gt;"",R189&lt;&gt; "",S189&lt;&gt;"",T189&lt;&gt;""),"A", "►")</f>
        <v>►</v>
      </c>
      <c r="M189" s="157" t="str">
        <f>M119</f>
        <v>P PRESSÉ DE BOUDIN NOIR | | Auteur &gt; Guy KRENZE - Eric GODDYN - Arnaud NICOLAS - CEPROC 2002</v>
      </c>
      <c r="N189" s="157">
        <f>N119</f>
        <v>20</v>
      </c>
      <c r="O189" s="158" t="str">
        <f>O119</f>
        <v>pressés de boudin</v>
      </c>
      <c r="P189" s="159" t="str">
        <f>P119</f>
        <v>Recette mère ► le Boudin en 4 déclinaisons</v>
      </c>
      <c r="Q189" s="172"/>
      <c r="R189" s="172"/>
      <c r="S189" s="172"/>
      <c r="T189" s="172"/>
      <c r="U189" s="172"/>
      <c r="V189" s="172"/>
      <c r="W189" s="172"/>
      <c r="X189" s="172"/>
      <c r="Y189" s="172"/>
      <c r="Z189" s="555"/>
      <c r="AA189" s="5211"/>
      <c r="AB189" s="1178"/>
      <c r="AC189" s="1179"/>
      <c r="AD189" s="227" t="s">
        <v>22</v>
      </c>
      <c r="AE189" s="1027" t="str">
        <f t="shared" si="78"/>
        <v>►</v>
      </c>
      <c r="AF189" s="1028" t="str">
        <f t="shared" si="79"/>
        <v/>
      </c>
      <c r="AG189" s="1029" t="str">
        <f t="shared" si="80"/>
        <v/>
      </c>
      <c r="AH189" s="1028" t="str">
        <f t="shared" si="81"/>
        <v/>
      </c>
      <c r="AI189" s="1029" t="str">
        <f t="shared" si="82"/>
        <v/>
      </c>
      <c r="AJ189" s="1029">
        <f t="shared" si="83"/>
        <v>0</v>
      </c>
      <c r="AK189" s="1043" t="str" cm="1">
        <f t="array" ref="AK189">IF(AE189&lt;&gt;"A","",IFERROR((IFERROR(_xlfn.XLOOKUP(TRIM(SUBSTITUTE(U189,CHAR(160)," ")),$BI$15:$BI$62,$BL$15:$BL$62),IFERROR(_xlfn.XLOOKUP(TRIM(SUBSTITUTE(U189,CHAR(160)," ")),$BJ$15:$BJ$62,$BL$15:$BL$62),_xlfn.XLOOKUP(TRIM(SUBSTITUTE(U189,CHAR(160)," ")),$BK$15:$BK$62,$BL$15:$BL$62))))*T189*IF(ISBLANK(Q189),1,Q189)+IFERROR(_xlfn.XLOOKUP("RECHERCHEX",TRIM(L189:AC189),L189:AC189),0),0))</f>
        <v/>
      </c>
      <c r="AL189" s="1030">
        <f t="shared" si="84"/>
        <v>0</v>
      </c>
      <c r="AM189" s="5254" t="str">
        <f t="shared" si="99"/>
        <v/>
      </c>
      <c r="AN189" s="1031">
        <f t="shared" si="85"/>
        <v>0</v>
      </c>
      <c r="AO189" s="1031">
        <f t="shared" si="86"/>
        <v>0</v>
      </c>
      <c r="AP189" s="1044">
        <f t="shared" si="87"/>
        <v>0</v>
      </c>
      <c r="AQ189" s="5257" t="str">
        <f t="shared" si="88"/>
        <v/>
      </c>
      <c r="AR189" s="1056"/>
      <c r="AS189" s="1056"/>
      <c r="AT189" s="1045">
        <f t="shared" si="89"/>
        <v>0</v>
      </c>
      <c r="AU189" s="1046">
        <f t="shared" si="90"/>
        <v>0</v>
      </c>
      <c r="AV189" s="1059" cm="1">
        <f t="array" ref="AV189">IF(AJ189&lt;&gt;1,0,IF(OR(AT189="",N(AT189)&lt;=0.000000001),"",IF(OR(AN189="",N(AN189)&lt;=0.000000001),0,IF(ISNUMBER(AT189),IFERROR(_xlfn.LET(_xlpm.ai_test,TRIM(AI189),_xlpm.r,IFERROR(_xlfn.XLOOKUP(_xlpm.ai_test,$BI$15:$BI$62,ROW($BI$15:$BI$62),0,1),IFERROR(_xlfn.XLOOKUP(_xlpm.ai_test,$BJ$15:$BJ$62,ROW($BJ$15:$BJ$62),0,1),_xlfn.XLOOKUP(_xlpm.ai_test,$BK$15:$BK$62,ROW($BK$15:$BK$62),0,1))),_xlpm.p,_xlpm.r-MIN(ROW($BI$15:$BI$62))+1,_xlpm.f,INDEX($BL$15:$BL$62,_xlpm.p),_xlpm.u,INDEX($BM$15:$BM$62,_xlpm.p),_xlpm.s,INDEX($BO$15:$BO$62,_xlpm.p),_xlpm.q,N(AT189)/_xlpm.f,IF(_xlpm.q&gt;=_xlpm.s,ROUND(_xlpm.q,1)&amp;" "&amp;_xlpm.ai_test&amp;" = "&amp;ROUND(_xlpm.q*_xlpm.f,1)&amp;" "&amp;_xlpm.u,ROUND(_xlpm.q,1)&amp;" "&amp;_xlpm.ai_test)),""),""))))</f>
        <v>0</v>
      </c>
      <c r="AW189" s="1047"/>
      <c r="AX189" s="1045">
        <f t="shared" si="91"/>
        <v>0</v>
      </c>
      <c r="AY189" s="1046" t="str">
        <f t="shared" si="92"/>
        <v/>
      </c>
      <c r="AZ189" s="1048">
        <f t="shared" si="97"/>
        <v>0</v>
      </c>
      <c r="BA189" s="1049" t="str">
        <f t="shared" si="93"/>
        <v/>
      </c>
      <c r="BB189" s="1038"/>
      <c r="BC189" s="1050">
        <f t="shared" si="98"/>
        <v>0</v>
      </c>
      <c r="BD189" s="1040" t="str">
        <f t="shared" si="94"/>
        <v/>
      </c>
      <c r="BE189" s="227" t="s">
        <v>22</v>
      </c>
      <c r="BF189" s="1019">
        <f t="shared" si="95"/>
        <v>0</v>
      </c>
      <c r="BG189" s="1020">
        <f t="shared" si="96"/>
        <v>0</v>
      </c>
      <c r="BH189"/>
      <c r="BQ189"/>
      <c r="BR189"/>
      <c r="BS189"/>
      <c r="BT189"/>
      <c r="BU189"/>
      <c r="BV189"/>
      <c r="BW189" s="959" t="str">
        <f t="shared" si="77"/>
        <v>►</v>
      </c>
      <c r="BX189"/>
      <c r="BY189"/>
      <c r="BZ189"/>
      <c r="CA189"/>
      <c r="CB189"/>
      <c r="CC189" s="856"/>
      <c r="CD189"/>
      <c r="CE189"/>
      <c r="CF189"/>
      <c r="CG189"/>
      <c r="CH189"/>
      <c r="CI189"/>
      <c r="CJ189"/>
      <c r="CL189"/>
      <c r="CM189"/>
      <c r="CN189"/>
      <c r="CO189"/>
      <c r="CP189"/>
      <c r="CQ189"/>
      <c r="CR189"/>
      <c r="CT189"/>
      <c r="CU189"/>
      <c r="CV189"/>
      <c r="CW189"/>
      <c r="CX189"/>
      <c r="CY189"/>
      <c r="CZ189"/>
      <c r="DB189" s="3">
        <v>1</v>
      </c>
    </row>
    <row r="190" spans="1:106" s="709" customFormat="1" ht="21" customHeight="1">
      <c r="A190" s="936" t="s">
        <v>22</v>
      </c>
      <c r="B190" s="952" t="str">
        <f t="shared" si="76"/>
        <v>►</v>
      </c>
      <c r="C190" s="993" cm="1">
        <f t="array" ref="C190">SUMPRODUCT(LEN(D190:J190))</f>
        <v>0</v>
      </c>
      <c r="D190" s="167"/>
      <c r="E190" s="172"/>
      <c r="F190" s="172"/>
      <c r="G190" s="172"/>
      <c r="H190" s="172"/>
      <c r="I190" s="172"/>
      <c r="J190" s="173"/>
      <c r="K190" s="442" t="s">
        <v>22</v>
      </c>
      <c r="L190" s="104" t="str">
        <f>IF(OR(Q190&lt;&gt;"",R190&lt;&gt; "",S190&lt;&gt;"",T190&lt;&gt;""),"A", "►")</f>
        <v>►</v>
      </c>
      <c r="M190" s="157" t="str">
        <f>M119</f>
        <v>P PRESSÉ DE BOUDIN NOIR | | Auteur &gt; Guy KRENZE - Eric GODDYN - Arnaud NICOLAS - CEPROC 2002</v>
      </c>
      <c r="N190" s="157">
        <f>N119</f>
        <v>20</v>
      </c>
      <c r="O190" s="158" t="str">
        <f>O119</f>
        <v>pressés de boudin</v>
      </c>
      <c r="P190" s="159" t="str">
        <f>P119</f>
        <v>Recette mère ► le Boudin en 4 déclinaisons</v>
      </c>
      <c r="Q190" s="172"/>
      <c r="R190" s="172"/>
      <c r="S190" s="172"/>
      <c r="T190" s="172"/>
      <c r="U190" s="172"/>
      <c r="V190" s="172"/>
      <c r="W190" s="172"/>
      <c r="X190" s="172"/>
      <c r="Y190" s="172"/>
      <c r="Z190" s="555"/>
      <c r="AA190" s="5211"/>
      <c r="AB190" s="1178"/>
      <c r="AC190" s="1179"/>
      <c r="AD190" s="227" t="s">
        <v>22</v>
      </c>
      <c r="AE190" s="1027" t="str">
        <f t="shared" si="78"/>
        <v>►</v>
      </c>
      <c r="AF190" s="1028" t="str">
        <f t="shared" si="79"/>
        <v/>
      </c>
      <c r="AG190" s="1029" t="str">
        <f t="shared" si="80"/>
        <v/>
      </c>
      <c r="AH190" s="1028" t="str">
        <f t="shared" si="81"/>
        <v/>
      </c>
      <c r="AI190" s="1029" t="str">
        <f t="shared" si="82"/>
        <v/>
      </c>
      <c r="AJ190" s="1029">
        <f t="shared" si="83"/>
        <v>0</v>
      </c>
      <c r="AK190" s="1043" t="str" cm="1">
        <f t="array" ref="AK190">IF(AE190&lt;&gt;"A","",IFERROR((IFERROR(_xlfn.XLOOKUP(TRIM(SUBSTITUTE(U190,CHAR(160)," ")),$BI$15:$BI$62,$BL$15:$BL$62),IFERROR(_xlfn.XLOOKUP(TRIM(SUBSTITUTE(U190,CHAR(160)," ")),$BJ$15:$BJ$62,$BL$15:$BL$62),_xlfn.XLOOKUP(TRIM(SUBSTITUTE(U190,CHAR(160)," ")),$BK$15:$BK$62,$BL$15:$BL$62))))*T190*IF(ISBLANK(Q190),1,Q190)+IFERROR(_xlfn.XLOOKUP("RECHERCHEX",TRIM(L190:AC190),L190:AC190),0),0))</f>
        <v/>
      </c>
      <c r="AL190" s="1030">
        <f t="shared" si="84"/>
        <v>0</v>
      </c>
      <c r="AM190" s="5254" t="str">
        <f t="shared" si="99"/>
        <v/>
      </c>
      <c r="AN190" s="1031">
        <f t="shared" si="85"/>
        <v>0</v>
      </c>
      <c r="AO190" s="1031">
        <f t="shared" si="86"/>
        <v>0</v>
      </c>
      <c r="AP190" s="1032">
        <f t="shared" si="87"/>
        <v>0</v>
      </c>
      <c r="AQ190" s="5255" t="str">
        <f t="shared" si="88"/>
        <v/>
      </c>
      <c r="AR190" s="1056"/>
      <c r="AS190" s="1056"/>
      <c r="AT190" s="1034">
        <f t="shared" si="89"/>
        <v>0</v>
      </c>
      <c r="AU190" s="1035">
        <f t="shared" si="90"/>
        <v>0</v>
      </c>
      <c r="AV190" s="1057" cm="1">
        <f t="array" ref="AV190">IF(AJ190&lt;&gt;1,0,IF(OR(AT190="",N(AT190)&lt;=0.000000001),"",IF(OR(AN190="",N(AN190)&lt;=0.000000001),0,IF(ISNUMBER(AT190),IFERROR(_xlfn.LET(_xlpm.ai_test,TRIM(AI190),_xlpm.r,IFERROR(_xlfn.XLOOKUP(_xlpm.ai_test,$BI$15:$BI$62,ROW($BI$15:$BI$62),0,1),IFERROR(_xlfn.XLOOKUP(_xlpm.ai_test,$BJ$15:$BJ$62,ROW($BJ$15:$BJ$62),0,1),_xlfn.XLOOKUP(_xlpm.ai_test,$BK$15:$BK$62,ROW($BK$15:$BK$62),0,1))),_xlpm.p,_xlpm.r-MIN(ROW($BI$15:$BI$62))+1,_xlpm.f,INDEX($BL$15:$BL$62,_xlpm.p),_xlpm.u,INDEX($BM$15:$BM$62,_xlpm.p),_xlpm.s,INDEX($BO$15:$BO$62,_xlpm.p),_xlpm.q,N(AT190)/_xlpm.f,IF(_xlpm.q&gt;=_xlpm.s,ROUND(_xlpm.q,1)&amp;" "&amp;_xlpm.ai_test&amp;" = "&amp;ROUND(_xlpm.q*_xlpm.f,1)&amp;" "&amp;_xlpm.u,ROUND(_xlpm.q,1)&amp;" "&amp;_xlpm.ai_test)),""),""))))</f>
        <v>0</v>
      </c>
      <c r="AW190" s="1047"/>
      <c r="AX190" s="1034">
        <f t="shared" si="91"/>
        <v>0</v>
      </c>
      <c r="AY190" s="1035" t="str">
        <f t="shared" si="92"/>
        <v/>
      </c>
      <c r="AZ190" s="1036">
        <f t="shared" si="97"/>
        <v>0</v>
      </c>
      <c r="BA190" s="1037" t="str">
        <f t="shared" si="93"/>
        <v/>
      </c>
      <c r="BB190" s="1038"/>
      <c r="BC190" s="1039">
        <f t="shared" si="98"/>
        <v>0</v>
      </c>
      <c r="BD190" s="1040" t="str">
        <f t="shared" si="94"/>
        <v/>
      </c>
      <c r="BE190" s="227" t="s">
        <v>22</v>
      </c>
      <c r="BF190" s="1019">
        <f t="shared" si="95"/>
        <v>0</v>
      </c>
      <c r="BG190" s="1020">
        <f t="shared" si="96"/>
        <v>0</v>
      </c>
      <c r="BH190"/>
      <c r="BQ190"/>
      <c r="BR190"/>
      <c r="BS190"/>
      <c r="BT190"/>
      <c r="BU190"/>
      <c r="BV190"/>
      <c r="BW190" s="959" t="str">
        <f t="shared" si="77"/>
        <v>►</v>
      </c>
      <c r="BX190"/>
      <c r="BY190"/>
      <c r="BZ190"/>
      <c r="CA190"/>
      <c r="CB190"/>
      <c r="CC190" s="856"/>
      <c r="CD190"/>
      <c r="CE190"/>
      <c r="CF190"/>
      <c r="CG190"/>
      <c r="CH190"/>
      <c r="CI190"/>
      <c r="CJ190"/>
      <c r="CL190"/>
      <c r="CM190"/>
      <c r="CN190"/>
      <c r="CO190"/>
      <c r="CP190"/>
      <c r="CQ190"/>
      <c r="CR190"/>
      <c r="CT190"/>
      <c r="CU190"/>
      <c r="CV190"/>
      <c r="CW190"/>
      <c r="CX190"/>
      <c r="CY190"/>
      <c r="CZ190"/>
      <c r="DB190" s="3">
        <v>1</v>
      </c>
    </row>
    <row r="191" spans="1:106" s="709" customFormat="1" ht="21" customHeight="1">
      <c r="A191" s="936" t="s">
        <v>22</v>
      </c>
      <c r="B191" s="952" t="str">
        <f t="shared" si="76"/>
        <v>A</v>
      </c>
      <c r="C191" s="993" cm="1">
        <f t="array" ref="C191">SUMPRODUCT(LEN(D191:J191))</f>
        <v>0</v>
      </c>
      <c r="D191" s="167"/>
      <c r="E191" s="172"/>
      <c r="F191" s="172"/>
      <c r="G191" s="172"/>
      <c r="H191" s="172"/>
      <c r="I191" s="172"/>
      <c r="J191" s="173"/>
      <c r="K191" s="442"/>
      <c r="L191" s="104" t="str">
        <f>IF(OR(Q191&lt;&gt;"",R191&lt;&gt; "",S191&lt;&gt;"",T191&lt;&gt;""),"A", "►")</f>
        <v>A</v>
      </c>
      <c r="M191" s="157" t="str">
        <f>M119</f>
        <v>P PRESSÉ DE BOUDIN NOIR | | Auteur &gt; Guy KRENZE - Eric GODDYN - Arnaud NICOLAS - CEPROC 2002</v>
      </c>
      <c r="N191" s="157">
        <f>N119</f>
        <v>20</v>
      </c>
      <c r="O191" s="158" t="str">
        <f>O119</f>
        <v>pressés de boudin</v>
      </c>
      <c r="P191" s="159" t="str">
        <f>P119</f>
        <v>Recette mère ► le Boudin en 4 déclinaisons</v>
      </c>
      <c r="Q191" s="172" t="s">
        <v>13039</v>
      </c>
      <c r="R191" s="172"/>
      <c r="S191" s="172"/>
      <c r="T191" s="172"/>
      <c r="U191" s="172"/>
      <c r="V191" s="172"/>
      <c r="W191" s="172"/>
      <c r="X191" s="172"/>
      <c r="Y191" s="172"/>
      <c r="Z191" s="555"/>
      <c r="AA191" s="5211"/>
      <c r="AB191" s="1178"/>
      <c r="AC191" s="1179"/>
      <c r="AD191" s="227" t="s">
        <v>22</v>
      </c>
      <c r="AE191" s="1027" t="str">
        <f t="shared" si="78"/>
        <v>►</v>
      </c>
      <c r="AF191" s="1028" t="str">
        <f t="shared" si="79"/>
        <v/>
      </c>
      <c r="AG191" s="1029" t="str">
        <f t="shared" si="80"/>
        <v/>
      </c>
      <c r="AH191" s="1028" t="str">
        <f t="shared" si="81"/>
        <v/>
      </c>
      <c r="AI191" s="1029" t="str">
        <f t="shared" si="82"/>
        <v/>
      </c>
      <c r="AJ191" s="1029">
        <f t="shared" si="83"/>
        <v>0</v>
      </c>
      <c r="AK191" s="1043" t="str" cm="1">
        <f t="array" ref="AK191">IF(AE191&lt;&gt;"A","",IFERROR((IFERROR(_xlfn.XLOOKUP(TRIM(SUBSTITUTE(U191,CHAR(160)," ")),$BI$15:$BI$62,$BL$15:$BL$62),IFERROR(_xlfn.XLOOKUP(TRIM(SUBSTITUTE(U191,CHAR(160)," ")),$BJ$15:$BJ$62,$BL$15:$BL$62),_xlfn.XLOOKUP(TRIM(SUBSTITUTE(U191,CHAR(160)," ")),$BK$15:$BK$62,$BL$15:$BL$62))))*T191*IF(ISBLANK(Q191),1,Q191)+IFERROR(_xlfn.XLOOKUP("RECHERCHEX",TRIM(L191:AC191),L191:AC191),0),0))</f>
        <v/>
      </c>
      <c r="AL191" s="1030">
        <f t="shared" si="84"/>
        <v>0</v>
      </c>
      <c r="AM191" s="5254" t="str">
        <f t="shared" si="99"/>
        <v/>
      </c>
      <c r="AN191" s="1031">
        <f t="shared" si="85"/>
        <v>0</v>
      </c>
      <c r="AO191" s="1031">
        <f t="shared" si="86"/>
        <v>0</v>
      </c>
      <c r="AP191" s="1044">
        <f t="shared" si="87"/>
        <v>0</v>
      </c>
      <c r="AQ191" s="5257" t="str">
        <f t="shared" si="88"/>
        <v/>
      </c>
      <c r="AR191" s="1056"/>
      <c r="AS191" s="1056"/>
      <c r="AT191" s="1045">
        <f t="shared" si="89"/>
        <v>0</v>
      </c>
      <c r="AU191" s="1046">
        <f t="shared" si="90"/>
        <v>0</v>
      </c>
      <c r="AV191" s="1059" cm="1">
        <f t="array" ref="AV191">IF(AJ191&lt;&gt;1,0,IF(OR(AT191="",N(AT191)&lt;=0.000000001),"",IF(OR(AN191="",N(AN191)&lt;=0.000000001),0,IF(ISNUMBER(AT191),IFERROR(_xlfn.LET(_xlpm.ai_test,TRIM(AI191),_xlpm.r,IFERROR(_xlfn.XLOOKUP(_xlpm.ai_test,$BI$15:$BI$62,ROW($BI$15:$BI$62),0,1),IFERROR(_xlfn.XLOOKUP(_xlpm.ai_test,$BJ$15:$BJ$62,ROW($BJ$15:$BJ$62),0,1),_xlfn.XLOOKUP(_xlpm.ai_test,$BK$15:$BK$62,ROW($BK$15:$BK$62),0,1))),_xlpm.p,_xlpm.r-MIN(ROW($BI$15:$BI$62))+1,_xlpm.f,INDEX($BL$15:$BL$62,_xlpm.p),_xlpm.u,INDEX($BM$15:$BM$62,_xlpm.p),_xlpm.s,INDEX($BO$15:$BO$62,_xlpm.p),_xlpm.q,N(AT191)/_xlpm.f,IF(_xlpm.q&gt;=_xlpm.s,ROUND(_xlpm.q,1)&amp;" "&amp;_xlpm.ai_test&amp;" = "&amp;ROUND(_xlpm.q*_xlpm.f,1)&amp;" "&amp;_xlpm.u,ROUND(_xlpm.q,1)&amp;" "&amp;_xlpm.ai_test)),""),""))))</f>
        <v>0</v>
      </c>
      <c r="AW191" s="1047"/>
      <c r="AX191" s="1045">
        <f t="shared" si="91"/>
        <v>0</v>
      </c>
      <c r="AY191" s="1046" t="str">
        <f t="shared" si="92"/>
        <v/>
      </c>
      <c r="AZ191" s="1048">
        <f t="shared" si="97"/>
        <v>0</v>
      </c>
      <c r="BA191" s="1049" t="str">
        <f t="shared" si="93"/>
        <v/>
      </c>
      <c r="BB191" s="1038"/>
      <c r="BC191" s="1050">
        <f t="shared" si="98"/>
        <v>0</v>
      </c>
      <c r="BD191" s="1040" t="str">
        <f t="shared" si="94"/>
        <v/>
      </c>
      <c r="BE191" s="227" t="s">
        <v>22</v>
      </c>
      <c r="BF191" s="1019">
        <f t="shared" si="95"/>
        <v>0</v>
      </c>
      <c r="BG191" s="1020">
        <f t="shared" si="96"/>
        <v>0</v>
      </c>
      <c r="BH191"/>
      <c r="BQ191"/>
      <c r="BR191"/>
      <c r="BS191"/>
      <c r="BT191"/>
      <c r="BU191"/>
      <c r="BV191"/>
      <c r="BW191" s="959" t="str">
        <f t="shared" si="77"/>
        <v>►</v>
      </c>
      <c r="BX191"/>
      <c r="BY191"/>
      <c r="BZ191"/>
      <c r="CA191"/>
      <c r="CB191"/>
      <c r="CC191" s="856"/>
      <c r="CD191"/>
      <c r="CE191"/>
      <c r="CF191"/>
      <c r="CG191"/>
      <c r="CH191"/>
      <c r="CI191"/>
      <c r="CJ191"/>
      <c r="CL191"/>
      <c r="CM191"/>
      <c r="CN191"/>
      <c r="CO191"/>
      <c r="CP191"/>
      <c r="CQ191"/>
      <c r="CR191"/>
      <c r="CT191"/>
      <c r="CU191"/>
      <c r="CV191"/>
      <c r="CW191"/>
      <c r="CX191"/>
      <c r="CY191"/>
      <c r="CZ191"/>
      <c r="DB191" s="3">
        <v>1</v>
      </c>
    </row>
    <row r="192" spans="1:106" s="709" customFormat="1" ht="21" customHeight="1">
      <c r="A192" s="936" t="s">
        <v>22</v>
      </c>
      <c r="B192" s="952" t="str">
        <f t="shared" si="76"/>
        <v>►</v>
      </c>
      <c r="C192" s="993" cm="1">
        <f t="array" ref="C192">SUMPRODUCT(LEN(D192:J192))</f>
        <v>0</v>
      </c>
      <c r="D192" s="167"/>
      <c r="E192" s="172"/>
      <c r="F192" s="172"/>
      <c r="G192" s="172"/>
      <c r="H192" s="172"/>
      <c r="I192" s="172"/>
      <c r="J192" s="173"/>
      <c r="K192" s="442"/>
      <c r="L192" s="196" t="s">
        <v>16</v>
      </c>
      <c r="M192" s="157" t="str">
        <f>M119</f>
        <v>P PRESSÉ DE BOUDIN NOIR | | Auteur &gt; Guy KRENZE - Eric GODDYN - Arnaud NICOLAS - CEPROC 2002</v>
      </c>
      <c r="N192" s="157">
        <f>N119</f>
        <v>20</v>
      </c>
      <c r="O192" s="158" t="str">
        <f>O119</f>
        <v>pressés de boudin</v>
      </c>
      <c r="P192" s="159" t="str">
        <f>P119</f>
        <v>Recette mère ► le Boudin en 4 déclinaisons</v>
      </c>
      <c r="Q192" s="172"/>
      <c r="R192" s="172"/>
      <c r="S192" s="172"/>
      <c r="T192" s="172"/>
      <c r="U192" s="172"/>
      <c r="V192" s="172"/>
      <c r="W192" s="172"/>
      <c r="X192" s="172"/>
      <c r="Y192" s="172"/>
      <c r="Z192" s="555"/>
      <c r="AA192" s="5211"/>
      <c r="AB192" s="1178"/>
      <c r="AC192" s="1179"/>
      <c r="AD192" s="227" t="s">
        <v>22</v>
      </c>
      <c r="AE192" s="1027" t="str">
        <f t="shared" si="78"/>
        <v>►</v>
      </c>
      <c r="AF192" s="1028" t="str">
        <f t="shared" si="79"/>
        <v/>
      </c>
      <c r="AG192" s="1029" t="str">
        <f t="shared" si="80"/>
        <v/>
      </c>
      <c r="AH192" s="1028" t="str">
        <f t="shared" si="81"/>
        <v/>
      </c>
      <c r="AI192" s="1029" t="str">
        <f t="shared" si="82"/>
        <v/>
      </c>
      <c r="AJ192" s="1029">
        <f t="shared" si="83"/>
        <v>0</v>
      </c>
      <c r="AK192" s="1043" t="str" cm="1">
        <f t="array" ref="AK192">IF(AE192&lt;&gt;"A","",IFERROR((IFERROR(_xlfn.XLOOKUP(TRIM(SUBSTITUTE(U192,CHAR(160)," ")),$BI$15:$BI$62,$BL$15:$BL$62),IFERROR(_xlfn.XLOOKUP(TRIM(SUBSTITUTE(U192,CHAR(160)," ")),$BJ$15:$BJ$62,$BL$15:$BL$62),_xlfn.XLOOKUP(TRIM(SUBSTITUTE(U192,CHAR(160)," ")),$BK$15:$BK$62,$BL$15:$BL$62))))*T192*IF(ISBLANK(Q192),1,Q192)+IFERROR(_xlfn.XLOOKUP("RECHERCHEX",TRIM(L192:AC192),L192:AC192),0),0))</f>
        <v/>
      </c>
      <c r="AL192" s="1030">
        <f t="shared" si="84"/>
        <v>0</v>
      </c>
      <c r="AM192" s="5254" t="str">
        <f t="shared" si="99"/>
        <v/>
      </c>
      <c r="AN192" s="1031">
        <f t="shared" si="85"/>
        <v>0</v>
      </c>
      <c r="AO192" s="1031">
        <f t="shared" si="86"/>
        <v>0</v>
      </c>
      <c r="AP192" s="1032">
        <f t="shared" si="87"/>
        <v>0</v>
      </c>
      <c r="AQ192" s="5255" t="str">
        <f t="shared" si="88"/>
        <v/>
      </c>
      <c r="AR192" s="1056"/>
      <c r="AS192" s="1056"/>
      <c r="AT192" s="1034">
        <f t="shared" si="89"/>
        <v>0</v>
      </c>
      <c r="AU192" s="1035">
        <f t="shared" si="90"/>
        <v>0</v>
      </c>
      <c r="AV192" s="1057" cm="1">
        <f t="array" ref="AV192">IF(AJ192&lt;&gt;1,0,IF(OR(AT192="",N(AT192)&lt;=0.000000001),"",IF(OR(AN192="",N(AN192)&lt;=0.000000001),0,IF(ISNUMBER(AT192),IFERROR(_xlfn.LET(_xlpm.ai_test,TRIM(AI192),_xlpm.r,IFERROR(_xlfn.XLOOKUP(_xlpm.ai_test,$BI$15:$BI$62,ROW($BI$15:$BI$62),0,1),IFERROR(_xlfn.XLOOKUP(_xlpm.ai_test,$BJ$15:$BJ$62,ROW($BJ$15:$BJ$62),0,1),_xlfn.XLOOKUP(_xlpm.ai_test,$BK$15:$BK$62,ROW($BK$15:$BK$62),0,1))),_xlpm.p,_xlpm.r-MIN(ROW($BI$15:$BI$62))+1,_xlpm.f,INDEX($BL$15:$BL$62,_xlpm.p),_xlpm.u,INDEX($BM$15:$BM$62,_xlpm.p),_xlpm.s,INDEX($BO$15:$BO$62,_xlpm.p),_xlpm.q,N(AT192)/_xlpm.f,IF(_xlpm.q&gt;=_xlpm.s,ROUND(_xlpm.q,1)&amp;" "&amp;_xlpm.ai_test&amp;" = "&amp;ROUND(_xlpm.q*_xlpm.f,1)&amp;" "&amp;_xlpm.u,ROUND(_xlpm.q,1)&amp;" "&amp;_xlpm.ai_test)),""),""))))</f>
        <v>0</v>
      </c>
      <c r="AW192" s="1047"/>
      <c r="AX192" s="1034">
        <f t="shared" si="91"/>
        <v>0</v>
      </c>
      <c r="AY192" s="1035" t="str">
        <f t="shared" si="92"/>
        <v/>
      </c>
      <c r="AZ192" s="1036">
        <f t="shared" si="97"/>
        <v>0</v>
      </c>
      <c r="BA192" s="1037" t="str">
        <f t="shared" si="93"/>
        <v/>
      </c>
      <c r="BB192" s="1038"/>
      <c r="BC192" s="1039">
        <f t="shared" si="98"/>
        <v>0</v>
      </c>
      <c r="BD192" s="1040" t="str">
        <f t="shared" si="94"/>
        <v/>
      </c>
      <c r="BE192" s="227" t="s">
        <v>22</v>
      </c>
      <c r="BF192" s="1019">
        <f t="shared" si="95"/>
        <v>0</v>
      </c>
      <c r="BG192" s="1020">
        <f t="shared" si="96"/>
        <v>0</v>
      </c>
      <c r="BH192"/>
      <c r="BQ192"/>
      <c r="BR192"/>
      <c r="BS192"/>
      <c r="BT192"/>
      <c r="BU192"/>
      <c r="BV192"/>
      <c r="BW192" s="959" t="str">
        <f t="shared" si="77"/>
        <v>►</v>
      </c>
      <c r="BX192"/>
      <c r="BY192"/>
      <c r="BZ192"/>
      <c r="CA192"/>
      <c r="CB192"/>
      <c r="CC192" s="856"/>
      <c r="CD192"/>
      <c r="CE192"/>
      <c r="CF192"/>
      <c r="CG192"/>
      <c r="CH192"/>
      <c r="CI192"/>
      <c r="CJ192"/>
      <c r="CL192"/>
      <c r="CM192"/>
      <c r="CN192"/>
      <c r="CO192"/>
      <c r="CP192"/>
      <c r="CQ192"/>
      <c r="CR192"/>
      <c r="CT192"/>
      <c r="CU192"/>
      <c r="CV192"/>
      <c r="CW192"/>
      <c r="CX192"/>
      <c r="CY192"/>
      <c r="CZ192"/>
      <c r="DB192" s="3">
        <v>1</v>
      </c>
    </row>
    <row r="193" spans="1:106" s="709" customFormat="1" ht="21" customHeight="1">
      <c r="A193" s="936" t="s">
        <v>22</v>
      </c>
      <c r="B193" s="952" t="str">
        <f t="shared" si="76"/>
        <v>A</v>
      </c>
      <c r="C193" s="993" cm="1">
        <f t="array" ref="C193">SUMPRODUCT(LEN(D193:J193))</f>
        <v>0</v>
      </c>
      <c r="D193" s="167"/>
      <c r="E193" s="172"/>
      <c r="F193" s="172"/>
      <c r="G193" s="172"/>
      <c r="H193" s="172"/>
      <c r="I193" s="172"/>
      <c r="J193" s="173"/>
      <c r="K193" s="442"/>
      <c r="L193" s="196" t="s">
        <v>11</v>
      </c>
      <c r="M193" s="157" t="str">
        <f>M119</f>
        <v>P PRESSÉ DE BOUDIN NOIR | | Auteur &gt; Guy KRENZE - Eric GODDYN - Arnaud NICOLAS - CEPROC 2002</v>
      </c>
      <c r="N193" s="157">
        <f>N119</f>
        <v>20</v>
      </c>
      <c r="O193" s="158" t="str">
        <f>O119</f>
        <v>pressés de boudin</v>
      </c>
      <c r="P193" s="159" t="str">
        <f>P119</f>
        <v>Recette mère ► le Boudin en 4 déclinaisons</v>
      </c>
      <c r="Q193" s="172"/>
      <c r="R193" s="172"/>
      <c r="S193" s="172"/>
      <c r="T193" s="172"/>
      <c r="U193" s="172"/>
      <c r="V193" s="172"/>
      <c r="W193" s="172"/>
      <c r="X193" s="172"/>
      <c r="Y193" s="172"/>
      <c r="Z193" s="555"/>
      <c r="AA193" s="5211"/>
      <c r="AB193" s="1178"/>
      <c r="AC193" s="1179"/>
      <c r="AD193" s="227" t="s">
        <v>22</v>
      </c>
      <c r="AE193" s="1027" t="str">
        <f t="shared" si="78"/>
        <v>►</v>
      </c>
      <c r="AF193" s="1028" t="str">
        <f t="shared" si="79"/>
        <v/>
      </c>
      <c r="AG193" s="1029" t="str">
        <f t="shared" si="80"/>
        <v/>
      </c>
      <c r="AH193" s="1028" t="str">
        <f t="shared" si="81"/>
        <v/>
      </c>
      <c r="AI193" s="1029" t="str">
        <f t="shared" si="82"/>
        <v/>
      </c>
      <c r="AJ193" s="1029">
        <f t="shared" si="83"/>
        <v>0</v>
      </c>
      <c r="AK193" s="1043" t="str" cm="1">
        <f t="array" ref="AK193">IF(AE193&lt;&gt;"A","",IFERROR((IFERROR(_xlfn.XLOOKUP(TRIM(SUBSTITUTE(U193,CHAR(160)," ")),$BI$15:$BI$62,$BL$15:$BL$62),IFERROR(_xlfn.XLOOKUP(TRIM(SUBSTITUTE(U193,CHAR(160)," ")),$BJ$15:$BJ$62,$BL$15:$BL$62),_xlfn.XLOOKUP(TRIM(SUBSTITUTE(U193,CHAR(160)," ")),$BK$15:$BK$62,$BL$15:$BL$62))))*T193*IF(ISBLANK(Q193),1,Q193)+IFERROR(_xlfn.XLOOKUP("RECHERCHEX",TRIM(L193:AC193),L193:AC193),0),0))</f>
        <v/>
      </c>
      <c r="AL193" s="1030">
        <f t="shared" si="84"/>
        <v>0</v>
      </c>
      <c r="AM193" s="5254" t="str">
        <f t="shared" si="99"/>
        <v/>
      </c>
      <c r="AN193" s="1031">
        <f t="shared" si="85"/>
        <v>0</v>
      </c>
      <c r="AO193" s="1031">
        <f t="shared" si="86"/>
        <v>0</v>
      </c>
      <c r="AP193" s="1044">
        <f t="shared" si="87"/>
        <v>0</v>
      </c>
      <c r="AQ193" s="5257" t="str">
        <f t="shared" si="88"/>
        <v/>
      </c>
      <c r="AR193" s="1056"/>
      <c r="AS193" s="1056"/>
      <c r="AT193" s="1045">
        <f t="shared" si="89"/>
        <v>0</v>
      </c>
      <c r="AU193" s="1046">
        <f t="shared" si="90"/>
        <v>0</v>
      </c>
      <c r="AV193" s="1059" cm="1">
        <f t="array" ref="AV193">IF(AJ193&lt;&gt;1,0,IF(OR(AT193="",N(AT193)&lt;=0.000000001),"",IF(OR(AN193="",N(AN193)&lt;=0.000000001),0,IF(ISNUMBER(AT193),IFERROR(_xlfn.LET(_xlpm.ai_test,TRIM(AI193),_xlpm.r,IFERROR(_xlfn.XLOOKUP(_xlpm.ai_test,$BI$15:$BI$62,ROW($BI$15:$BI$62),0,1),IFERROR(_xlfn.XLOOKUP(_xlpm.ai_test,$BJ$15:$BJ$62,ROW($BJ$15:$BJ$62),0,1),_xlfn.XLOOKUP(_xlpm.ai_test,$BK$15:$BK$62,ROW($BK$15:$BK$62),0,1))),_xlpm.p,_xlpm.r-MIN(ROW($BI$15:$BI$62))+1,_xlpm.f,INDEX($BL$15:$BL$62,_xlpm.p),_xlpm.u,INDEX($BM$15:$BM$62,_xlpm.p),_xlpm.s,INDEX($BO$15:$BO$62,_xlpm.p),_xlpm.q,N(AT193)/_xlpm.f,IF(_xlpm.q&gt;=_xlpm.s,ROUND(_xlpm.q,1)&amp;" "&amp;_xlpm.ai_test&amp;" = "&amp;ROUND(_xlpm.q*_xlpm.f,1)&amp;" "&amp;_xlpm.u,ROUND(_xlpm.q,1)&amp;" "&amp;_xlpm.ai_test)),""),""))))</f>
        <v>0</v>
      </c>
      <c r="AW193" s="1047"/>
      <c r="AX193" s="1045">
        <f t="shared" si="91"/>
        <v>0</v>
      </c>
      <c r="AY193" s="1046" t="str">
        <f t="shared" si="92"/>
        <v/>
      </c>
      <c r="AZ193" s="1048">
        <f t="shared" si="97"/>
        <v>0</v>
      </c>
      <c r="BA193" s="1049" t="str">
        <f t="shared" si="93"/>
        <v/>
      </c>
      <c r="BB193" s="1038"/>
      <c r="BC193" s="1050">
        <f t="shared" si="98"/>
        <v>0</v>
      </c>
      <c r="BD193" s="1040" t="str">
        <f t="shared" si="94"/>
        <v/>
      </c>
      <c r="BE193" s="227" t="s">
        <v>22</v>
      </c>
      <c r="BF193" s="1019">
        <f t="shared" si="95"/>
        <v>0</v>
      </c>
      <c r="BG193" s="1020">
        <f t="shared" si="96"/>
        <v>0</v>
      </c>
      <c r="BH193"/>
      <c r="BQ193"/>
      <c r="BR193"/>
      <c r="BS193"/>
      <c r="BT193"/>
      <c r="BU193"/>
      <c r="BV193"/>
      <c r="BW193" s="959" t="str">
        <f t="shared" si="77"/>
        <v>►</v>
      </c>
      <c r="BX193"/>
      <c r="BY193"/>
      <c r="BZ193"/>
      <c r="CA193"/>
      <c r="CB193"/>
      <c r="CC193" s="856"/>
      <c r="CD193"/>
      <c r="CE193"/>
      <c r="CF193"/>
      <c r="CG193"/>
      <c r="CH193"/>
      <c r="CI193"/>
      <c r="CJ193"/>
      <c r="CL193"/>
      <c r="CM193"/>
      <c r="CN193"/>
      <c r="CO193"/>
      <c r="CP193"/>
      <c r="CQ193"/>
      <c r="CR193"/>
      <c r="CT193"/>
      <c r="CU193"/>
      <c r="CV193"/>
      <c r="CW193"/>
      <c r="CX193"/>
      <c r="CY193"/>
      <c r="CZ193"/>
      <c r="DB193" s="3">
        <v>1</v>
      </c>
    </row>
    <row r="194" spans="1:106" s="709" customFormat="1" ht="21" customHeight="1">
      <c r="A194" s="936" t="s">
        <v>22</v>
      </c>
      <c r="B194" s="952" t="str">
        <f t="shared" si="76"/>
        <v>A</v>
      </c>
      <c r="C194" s="993" cm="1">
        <f t="array" ref="C194">SUMPRODUCT(LEN(D194:J194))</f>
        <v>0</v>
      </c>
      <c r="D194" s="167"/>
      <c r="E194" s="172"/>
      <c r="F194" s="172"/>
      <c r="G194" s="172"/>
      <c r="H194" s="172"/>
      <c r="I194" s="172"/>
      <c r="J194" s="173"/>
      <c r="K194" s="442"/>
      <c r="L194" s="196" t="s">
        <v>11</v>
      </c>
      <c r="M194" s="157" t="str">
        <f>M119</f>
        <v>P PRESSÉ DE BOUDIN NOIR | | Auteur &gt; Guy KRENZE - Eric GODDYN - Arnaud NICOLAS - CEPROC 2002</v>
      </c>
      <c r="N194" s="157">
        <f>N119</f>
        <v>20</v>
      </c>
      <c r="O194" s="158" t="str">
        <f>O119</f>
        <v>pressés de boudin</v>
      </c>
      <c r="P194" s="159" t="str">
        <f>P119</f>
        <v>Recette mère ► le Boudin en 4 déclinaisons</v>
      </c>
      <c r="Q194" s="167"/>
      <c r="R194" s="172"/>
      <c r="S194" s="172"/>
      <c r="T194" s="172"/>
      <c r="U194" s="172"/>
      <c r="V194" s="172"/>
      <c r="W194" s="172"/>
      <c r="X194" s="172"/>
      <c r="Y194" s="172"/>
      <c r="Z194" s="1485" t="s">
        <v>197</v>
      </c>
      <c r="AA194" s="5211"/>
      <c r="AB194" s="1178"/>
      <c r="AC194" s="1179"/>
      <c r="AD194" s="227" t="s">
        <v>22</v>
      </c>
      <c r="AE194" s="1027" t="str">
        <f t="shared" si="78"/>
        <v>►</v>
      </c>
      <c r="AF194" s="1028" t="str">
        <f t="shared" si="79"/>
        <v/>
      </c>
      <c r="AG194" s="1029" t="str">
        <f t="shared" si="80"/>
        <v/>
      </c>
      <c r="AH194" s="1028" t="str">
        <f t="shared" si="81"/>
        <v/>
      </c>
      <c r="AI194" s="1029" t="str">
        <f t="shared" si="82"/>
        <v/>
      </c>
      <c r="AJ194" s="1029">
        <f t="shared" si="83"/>
        <v>0</v>
      </c>
      <c r="AK194" s="1043" t="str" cm="1">
        <f t="array" ref="AK194">IF(AE194&lt;&gt;"A","",IFERROR((IFERROR(_xlfn.XLOOKUP(TRIM(SUBSTITUTE(U194,CHAR(160)," ")),$BI$15:$BI$62,$BL$15:$BL$62),IFERROR(_xlfn.XLOOKUP(TRIM(SUBSTITUTE(U194,CHAR(160)," ")),$BJ$15:$BJ$62,$BL$15:$BL$62),_xlfn.XLOOKUP(TRIM(SUBSTITUTE(U194,CHAR(160)," ")),$BK$15:$BK$62,$BL$15:$BL$62))))*T194*IF(ISBLANK(Q194),1,Q194)+IFERROR(_xlfn.XLOOKUP("RECHERCHEX",TRIM(L194:AC194),L194:AC194),0),0))</f>
        <v/>
      </c>
      <c r="AL194" s="1030">
        <f t="shared" si="84"/>
        <v>0</v>
      </c>
      <c r="AM194" s="5254" t="str">
        <f t="shared" si="99"/>
        <v/>
      </c>
      <c r="AN194" s="1031">
        <f t="shared" si="85"/>
        <v>0</v>
      </c>
      <c r="AO194" s="1031">
        <f t="shared" si="86"/>
        <v>0</v>
      </c>
      <c r="AP194" s="1032">
        <f t="shared" si="87"/>
        <v>0</v>
      </c>
      <c r="AQ194" s="5255" t="str">
        <f t="shared" si="88"/>
        <v/>
      </c>
      <c r="AR194" s="1056"/>
      <c r="AS194" s="1056"/>
      <c r="AT194" s="1034">
        <f t="shared" si="89"/>
        <v>0</v>
      </c>
      <c r="AU194" s="1035">
        <f t="shared" si="90"/>
        <v>0</v>
      </c>
      <c r="AV194" s="1057" cm="1">
        <f t="array" ref="AV194">IF(AJ194&lt;&gt;1,0,IF(OR(AT194="",N(AT194)&lt;=0.000000001),"",IF(OR(AN194="",N(AN194)&lt;=0.000000001),0,IF(ISNUMBER(AT194),IFERROR(_xlfn.LET(_xlpm.ai_test,TRIM(AI194),_xlpm.r,IFERROR(_xlfn.XLOOKUP(_xlpm.ai_test,$BI$15:$BI$62,ROW($BI$15:$BI$62),0,1),IFERROR(_xlfn.XLOOKUP(_xlpm.ai_test,$BJ$15:$BJ$62,ROW($BJ$15:$BJ$62),0,1),_xlfn.XLOOKUP(_xlpm.ai_test,$BK$15:$BK$62,ROW($BK$15:$BK$62),0,1))),_xlpm.p,_xlpm.r-MIN(ROW($BI$15:$BI$62))+1,_xlpm.f,INDEX($BL$15:$BL$62,_xlpm.p),_xlpm.u,INDEX($BM$15:$BM$62,_xlpm.p),_xlpm.s,INDEX($BO$15:$BO$62,_xlpm.p),_xlpm.q,N(AT194)/_xlpm.f,IF(_xlpm.q&gt;=_xlpm.s,ROUND(_xlpm.q,1)&amp;" "&amp;_xlpm.ai_test&amp;" = "&amp;ROUND(_xlpm.q*_xlpm.f,1)&amp;" "&amp;_xlpm.u,ROUND(_xlpm.q,1)&amp;" "&amp;_xlpm.ai_test)),""),""))))</f>
        <v>0</v>
      </c>
      <c r="AW194" s="1047"/>
      <c r="AX194" s="1034">
        <f t="shared" si="91"/>
        <v>0</v>
      </c>
      <c r="AY194" s="1035" t="str">
        <f t="shared" si="92"/>
        <v/>
      </c>
      <c r="AZ194" s="1036">
        <f t="shared" si="97"/>
        <v>0</v>
      </c>
      <c r="BA194" s="1037" t="str">
        <f t="shared" si="93"/>
        <v/>
      </c>
      <c r="BB194" s="1038"/>
      <c r="BC194" s="1039">
        <f t="shared" si="98"/>
        <v>0</v>
      </c>
      <c r="BD194" s="1040" t="str">
        <f t="shared" si="94"/>
        <v/>
      </c>
      <c r="BE194" s="227" t="s">
        <v>22</v>
      </c>
      <c r="BF194" s="1019">
        <f t="shared" si="95"/>
        <v>0</v>
      </c>
      <c r="BG194" s="1020">
        <f t="shared" si="96"/>
        <v>0</v>
      </c>
      <c r="BH194"/>
      <c r="BQ194"/>
      <c r="BR194"/>
      <c r="BS194"/>
      <c r="BT194"/>
      <c r="BU194"/>
      <c r="BV194"/>
      <c r="BW194" s="959" t="str">
        <f t="shared" si="77"/>
        <v>►</v>
      </c>
      <c r="BX194"/>
      <c r="BY194"/>
      <c r="BZ194"/>
      <c r="CA194"/>
      <c r="CB194"/>
      <c r="CC194" s="856"/>
      <c r="CD194"/>
      <c r="CE194"/>
      <c r="CF194"/>
      <c r="CG194"/>
      <c r="CH194"/>
      <c r="CI194"/>
      <c r="CJ194"/>
      <c r="CL194"/>
      <c r="CM194"/>
      <c r="CN194"/>
      <c r="CO194"/>
      <c r="CP194"/>
      <c r="CQ194"/>
      <c r="CR194"/>
      <c r="CT194"/>
      <c r="CU194"/>
      <c r="CV194"/>
      <c r="CW194"/>
      <c r="CX194"/>
      <c r="CY194"/>
      <c r="CZ194"/>
      <c r="DB194" s="3">
        <v>1</v>
      </c>
    </row>
    <row r="195" spans="1:106" s="709" customFormat="1" ht="21" customHeight="1">
      <c r="A195" s="936" t="s">
        <v>22</v>
      </c>
      <c r="B195" s="952" t="str">
        <f t="shared" si="76"/>
        <v>A</v>
      </c>
      <c r="C195" s="993" cm="1">
        <f t="array" ref="C195">SUMPRODUCT(LEN(D195:J195))</f>
        <v>0</v>
      </c>
      <c r="D195" s="167"/>
      <c r="E195" s="172"/>
      <c r="F195" s="172"/>
      <c r="G195" s="172"/>
      <c r="H195" s="172"/>
      <c r="I195" s="172"/>
      <c r="J195" s="173"/>
      <c r="K195" s="442"/>
      <c r="L195" s="196" t="s">
        <v>11</v>
      </c>
      <c r="M195" s="157" t="str">
        <f>M119</f>
        <v>P PRESSÉ DE BOUDIN NOIR | | Auteur &gt; Guy KRENZE - Eric GODDYN - Arnaud NICOLAS - CEPROC 2002</v>
      </c>
      <c r="N195" s="157">
        <f>N119</f>
        <v>20</v>
      </c>
      <c r="O195" s="158" t="str">
        <f>O119</f>
        <v>pressés de boudin</v>
      </c>
      <c r="P195" s="159" t="str">
        <f>P119</f>
        <v>Recette mère ► le Boudin en 4 déclinaisons</v>
      </c>
      <c r="Q195" s="204"/>
      <c r="R195" s="204"/>
      <c r="S195" s="204" t="s">
        <v>201</v>
      </c>
      <c r="T195" s="205"/>
      <c r="U195" s="206"/>
      <c r="V195" s="206"/>
      <c r="W195" s="206"/>
      <c r="X195" s="206"/>
      <c r="Y195" s="206"/>
      <c r="Z195" s="567"/>
      <c r="AA195" s="5211"/>
      <c r="AB195" s="1178"/>
      <c r="AC195" s="1179"/>
      <c r="AD195" s="227" t="s">
        <v>22</v>
      </c>
      <c r="AE195" s="1027" t="str">
        <f t="shared" si="78"/>
        <v>►</v>
      </c>
      <c r="AF195" s="1028" t="str">
        <f t="shared" si="79"/>
        <v/>
      </c>
      <c r="AG195" s="1029" t="str">
        <f t="shared" si="80"/>
        <v/>
      </c>
      <c r="AH195" s="1028" t="str">
        <f t="shared" si="81"/>
        <v/>
      </c>
      <c r="AI195" s="1029" t="str">
        <f t="shared" si="82"/>
        <v/>
      </c>
      <c r="AJ195" s="1029">
        <f t="shared" si="83"/>
        <v>0</v>
      </c>
      <c r="AK195" s="1043" t="str" cm="1">
        <f t="array" ref="AK195">IF(AE195&lt;&gt;"A","",IFERROR((IFERROR(_xlfn.XLOOKUP(TRIM(SUBSTITUTE(U195,CHAR(160)," ")),$BI$15:$BI$62,$BL$15:$BL$62),IFERROR(_xlfn.XLOOKUP(TRIM(SUBSTITUTE(U195,CHAR(160)," ")),$BJ$15:$BJ$62,$BL$15:$BL$62),_xlfn.XLOOKUP(TRIM(SUBSTITUTE(U195,CHAR(160)," ")),$BK$15:$BK$62,$BL$15:$BL$62))))*T195*IF(ISBLANK(Q195),1,Q195)+IFERROR(_xlfn.XLOOKUP("RECHERCHEX",TRIM(L195:AC195),L195:AC195),0),0))</f>
        <v/>
      </c>
      <c r="AL195" s="1030">
        <f t="shared" si="84"/>
        <v>0</v>
      </c>
      <c r="AM195" s="5254" t="str">
        <f t="shared" si="99"/>
        <v/>
      </c>
      <c r="AN195" s="1031">
        <f t="shared" si="85"/>
        <v>0</v>
      </c>
      <c r="AO195" s="1031">
        <f t="shared" si="86"/>
        <v>0</v>
      </c>
      <c r="AP195" s="1044">
        <f t="shared" si="87"/>
        <v>0</v>
      </c>
      <c r="AQ195" s="5257" t="str">
        <f t="shared" si="88"/>
        <v/>
      </c>
      <c r="AR195" s="1056"/>
      <c r="AS195" s="1056"/>
      <c r="AT195" s="1045">
        <f t="shared" si="89"/>
        <v>0</v>
      </c>
      <c r="AU195" s="1046">
        <f t="shared" si="90"/>
        <v>0</v>
      </c>
      <c r="AV195" s="1059" cm="1">
        <f t="array" ref="AV195">IF(AJ195&lt;&gt;1,0,IF(OR(AT195="",N(AT195)&lt;=0.000000001),"",IF(OR(AN195="",N(AN195)&lt;=0.000000001),0,IF(ISNUMBER(AT195),IFERROR(_xlfn.LET(_xlpm.ai_test,TRIM(AI195),_xlpm.r,IFERROR(_xlfn.XLOOKUP(_xlpm.ai_test,$BI$15:$BI$62,ROW($BI$15:$BI$62),0,1),IFERROR(_xlfn.XLOOKUP(_xlpm.ai_test,$BJ$15:$BJ$62,ROW($BJ$15:$BJ$62),0,1),_xlfn.XLOOKUP(_xlpm.ai_test,$BK$15:$BK$62,ROW($BK$15:$BK$62),0,1))),_xlpm.p,_xlpm.r-MIN(ROW($BI$15:$BI$62))+1,_xlpm.f,INDEX($BL$15:$BL$62,_xlpm.p),_xlpm.u,INDEX($BM$15:$BM$62,_xlpm.p),_xlpm.s,INDEX($BO$15:$BO$62,_xlpm.p),_xlpm.q,N(AT195)/_xlpm.f,IF(_xlpm.q&gt;=_xlpm.s,ROUND(_xlpm.q,1)&amp;" "&amp;_xlpm.ai_test&amp;" = "&amp;ROUND(_xlpm.q*_xlpm.f,1)&amp;" "&amp;_xlpm.u,ROUND(_xlpm.q,1)&amp;" "&amp;_xlpm.ai_test)),""),""))))</f>
        <v>0</v>
      </c>
      <c r="AW195" s="1047"/>
      <c r="AX195" s="1045">
        <f t="shared" si="91"/>
        <v>0</v>
      </c>
      <c r="AY195" s="1046" t="str">
        <f t="shared" si="92"/>
        <v/>
      </c>
      <c r="AZ195" s="1048">
        <f t="shared" si="97"/>
        <v>0</v>
      </c>
      <c r="BA195" s="1049" t="str">
        <f t="shared" si="93"/>
        <v/>
      </c>
      <c r="BB195" s="1038"/>
      <c r="BC195" s="1050">
        <f t="shared" si="98"/>
        <v>0</v>
      </c>
      <c r="BD195" s="1040" t="str">
        <f t="shared" si="94"/>
        <v/>
      </c>
      <c r="BE195" s="227" t="s">
        <v>22</v>
      </c>
      <c r="BF195" s="1019">
        <f t="shared" si="95"/>
        <v>0</v>
      </c>
      <c r="BG195" s="1020">
        <f t="shared" si="96"/>
        <v>0</v>
      </c>
      <c r="BH195"/>
      <c r="BQ195"/>
      <c r="BR195"/>
      <c r="BS195"/>
      <c r="BT195"/>
      <c r="BU195"/>
      <c r="BV195"/>
      <c r="BW195" s="959" t="str">
        <f t="shared" si="77"/>
        <v>►</v>
      </c>
      <c r="BX195"/>
      <c r="BY195"/>
      <c r="BZ195"/>
      <c r="CA195"/>
      <c r="CB195"/>
      <c r="CC195" s="856"/>
      <c r="CD195"/>
      <c r="CE195"/>
      <c r="CF195"/>
      <c r="CG195"/>
      <c r="CH195"/>
      <c r="CI195"/>
      <c r="CJ195"/>
      <c r="CL195"/>
      <c r="CM195"/>
      <c r="CN195"/>
      <c r="CO195"/>
      <c r="CP195"/>
      <c r="CQ195"/>
      <c r="CR195"/>
      <c r="CT195"/>
      <c r="CU195"/>
      <c r="CV195"/>
      <c r="CW195"/>
      <c r="CX195"/>
      <c r="CY195"/>
      <c r="CZ195"/>
      <c r="DB195" s="3">
        <v>1</v>
      </c>
    </row>
    <row r="196" spans="1:106" s="709" customFormat="1" ht="21" customHeight="1">
      <c r="A196" s="936" t="s">
        <v>22</v>
      </c>
      <c r="B196" s="952" t="str">
        <f t="shared" si="76"/>
        <v>A</v>
      </c>
      <c r="C196" s="993" cm="1">
        <f t="array" ref="C196">SUMPRODUCT(LEN(D196:J196))</f>
        <v>0</v>
      </c>
      <c r="D196" s="167"/>
      <c r="E196" s="172"/>
      <c r="F196" s="172"/>
      <c r="G196" s="172"/>
      <c r="H196" s="172"/>
      <c r="I196" s="172"/>
      <c r="J196" s="173"/>
      <c r="K196" s="442"/>
      <c r="L196" s="196" t="s">
        <v>11</v>
      </c>
      <c r="M196" s="209" t="str">
        <f>M119</f>
        <v>P PRESSÉ DE BOUDIN NOIR | | Auteur &gt; Guy KRENZE - Eric GODDYN - Arnaud NICOLAS - CEPROC 2002</v>
      </c>
      <c r="N196" s="209">
        <f>N119</f>
        <v>20</v>
      </c>
      <c r="O196" s="210" t="str">
        <f>O119</f>
        <v>pressés de boudin</v>
      </c>
      <c r="P196" s="211" t="str">
        <f>P119</f>
        <v>Recette mère ► le Boudin en 4 déclinaisons</v>
      </c>
      <c r="Q196" s="212"/>
      <c r="R196" s="213"/>
      <c r="S196" s="214"/>
      <c r="T196" s="215"/>
      <c r="U196" s="214"/>
      <c r="V196" s="214"/>
      <c r="W196" s="214"/>
      <c r="X196" s="214"/>
      <c r="Y196" s="214"/>
      <c r="Z196" s="582"/>
      <c r="AA196" s="5211"/>
      <c r="AB196" s="1178"/>
      <c r="AC196" s="1179"/>
      <c r="AD196" s="227" t="s">
        <v>22</v>
      </c>
      <c r="AE196" s="1027" t="str">
        <f t="shared" si="78"/>
        <v>►</v>
      </c>
      <c r="AF196" s="1028" t="str">
        <f t="shared" si="79"/>
        <v/>
      </c>
      <c r="AG196" s="1029" t="str">
        <f t="shared" si="80"/>
        <v/>
      </c>
      <c r="AH196" s="1028" t="str">
        <f t="shared" si="81"/>
        <v/>
      </c>
      <c r="AI196" s="1029" t="str">
        <f t="shared" si="82"/>
        <v/>
      </c>
      <c r="AJ196" s="1029">
        <f t="shared" si="83"/>
        <v>0</v>
      </c>
      <c r="AK196" s="1043" t="str" cm="1">
        <f t="array" ref="AK196">IF(AE196&lt;&gt;"A","",IFERROR((IFERROR(_xlfn.XLOOKUP(TRIM(SUBSTITUTE(U196,CHAR(160)," ")),$BI$15:$BI$62,$BL$15:$BL$62),IFERROR(_xlfn.XLOOKUP(TRIM(SUBSTITUTE(U196,CHAR(160)," ")),$BJ$15:$BJ$62,$BL$15:$BL$62),_xlfn.XLOOKUP(TRIM(SUBSTITUTE(U196,CHAR(160)," ")),$BK$15:$BK$62,$BL$15:$BL$62))))*T196*IF(ISBLANK(Q196),1,Q196)+IFERROR(_xlfn.XLOOKUP("RECHERCHEX",TRIM(L196:AC196),L196:AC196),0),0))</f>
        <v/>
      </c>
      <c r="AL196" s="1030">
        <f t="shared" si="84"/>
        <v>0</v>
      </c>
      <c r="AM196" s="5254" t="str">
        <f t="shared" si="99"/>
        <v/>
      </c>
      <c r="AN196" s="1031">
        <f t="shared" si="85"/>
        <v>0</v>
      </c>
      <c r="AO196" s="1031">
        <f t="shared" si="86"/>
        <v>0</v>
      </c>
      <c r="AP196" s="1032">
        <f t="shared" si="87"/>
        <v>0</v>
      </c>
      <c r="AQ196" s="5255" t="str">
        <f t="shared" si="88"/>
        <v/>
      </c>
      <c r="AR196" s="1056"/>
      <c r="AS196" s="1056"/>
      <c r="AT196" s="1034">
        <f t="shared" si="89"/>
        <v>0</v>
      </c>
      <c r="AU196" s="1035">
        <f t="shared" si="90"/>
        <v>0</v>
      </c>
      <c r="AV196" s="1057" cm="1">
        <f t="array" ref="AV196">IF(AJ196&lt;&gt;1,0,IF(OR(AT196="",N(AT196)&lt;=0.000000001),"",IF(OR(AN196="",N(AN196)&lt;=0.000000001),0,IF(ISNUMBER(AT196),IFERROR(_xlfn.LET(_xlpm.ai_test,TRIM(AI196),_xlpm.r,IFERROR(_xlfn.XLOOKUP(_xlpm.ai_test,$BI$15:$BI$62,ROW($BI$15:$BI$62),0,1),IFERROR(_xlfn.XLOOKUP(_xlpm.ai_test,$BJ$15:$BJ$62,ROW($BJ$15:$BJ$62),0,1),_xlfn.XLOOKUP(_xlpm.ai_test,$BK$15:$BK$62,ROW($BK$15:$BK$62),0,1))),_xlpm.p,_xlpm.r-MIN(ROW($BI$15:$BI$62))+1,_xlpm.f,INDEX($BL$15:$BL$62,_xlpm.p),_xlpm.u,INDEX($BM$15:$BM$62,_xlpm.p),_xlpm.s,INDEX($BO$15:$BO$62,_xlpm.p),_xlpm.q,N(AT196)/_xlpm.f,IF(_xlpm.q&gt;=_xlpm.s,ROUND(_xlpm.q,1)&amp;" "&amp;_xlpm.ai_test&amp;" = "&amp;ROUND(_xlpm.q*_xlpm.f,1)&amp;" "&amp;_xlpm.u,ROUND(_xlpm.q,1)&amp;" "&amp;_xlpm.ai_test)),""),""))))</f>
        <v>0</v>
      </c>
      <c r="AW196" s="1047"/>
      <c r="AX196" s="1034">
        <f t="shared" si="91"/>
        <v>0</v>
      </c>
      <c r="AY196" s="1035" t="str">
        <f t="shared" si="92"/>
        <v/>
      </c>
      <c r="AZ196" s="1036">
        <f t="shared" si="97"/>
        <v>0</v>
      </c>
      <c r="BA196" s="1037" t="str">
        <f t="shared" si="93"/>
        <v/>
      </c>
      <c r="BB196" s="1038"/>
      <c r="BC196" s="1039">
        <f t="shared" si="98"/>
        <v>0</v>
      </c>
      <c r="BD196" s="1040" t="str">
        <f t="shared" si="94"/>
        <v/>
      </c>
      <c r="BE196" s="227" t="s">
        <v>22</v>
      </c>
      <c r="BF196" s="1019">
        <f t="shared" si="95"/>
        <v>0</v>
      </c>
      <c r="BG196" s="1020">
        <f t="shared" si="96"/>
        <v>0</v>
      </c>
      <c r="BH196"/>
      <c r="BQ196"/>
      <c r="BR196"/>
      <c r="BS196"/>
      <c r="BT196"/>
      <c r="BU196"/>
      <c r="BV196"/>
      <c r="BW196" s="959" t="str">
        <f t="shared" si="77"/>
        <v>►</v>
      </c>
      <c r="BX196"/>
      <c r="BY196"/>
      <c r="BZ196"/>
      <c r="CA196"/>
      <c r="CB196"/>
      <c r="CC196" s="856"/>
      <c r="CD196"/>
      <c r="CE196"/>
      <c r="CF196"/>
      <c r="CG196"/>
      <c r="CH196"/>
      <c r="CI196"/>
      <c r="CJ196"/>
      <c r="CL196"/>
      <c r="CM196"/>
      <c r="CN196"/>
      <c r="CO196"/>
      <c r="CP196"/>
      <c r="CQ196"/>
      <c r="CR196"/>
      <c r="CT196"/>
      <c r="CU196"/>
      <c r="CV196"/>
      <c r="CW196"/>
      <c r="CX196"/>
      <c r="CY196"/>
      <c r="CZ196"/>
      <c r="DB196" s="3">
        <v>1</v>
      </c>
    </row>
    <row r="197" spans="1:106" s="709" customFormat="1" ht="21" customHeight="1" thickBot="1">
      <c r="A197" s="936" t="s">
        <v>22</v>
      </c>
      <c r="B197" s="952" t="str">
        <f t="shared" ref="B197:B260" si="100">L197</f>
        <v>A</v>
      </c>
      <c r="C197" s="993" cm="1">
        <f t="array" ref="C197">SUMPRODUCT(LEN(D197:J197))</f>
        <v>0</v>
      </c>
      <c r="D197" s="167"/>
      <c r="E197" s="172"/>
      <c r="F197" s="172"/>
      <c r="G197" s="172"/>
      <c r="H197" s="172"/>
      <c r="I197" s="172"/>
      <c r="J197" s="173"/>
      <c r="K197" s="442"/>
      <c r="L197" s="216" t="s">
        <v>11</v>
      </c>
      <c r="M197" s="217"/>
      <c r="N197" s="217"/>
      <c r="O197" s="217"/>
      <c r="P197" s="218"/>
      <c r="Q197" s="219" t="s">
        <v>208</v>
      </c>
      <c r="R197" s="1481" t="str">
        <f ca="1">CELL("nomfichier")</f>
        <v>D:\Données\1.UPRT\0-UPRT.fait\1-UPRT.FR-SITE-WEB\ff-fiches-fabrications\ff.fiches.fabrication.2023\ffr.restaurant.2023\[ff.FICHE.TRILINGUE.15.COLONNES.29.11.2025.xlsx]Notice.utilisateur</v>
      </c>
      <c r="S197" s="220"/>
      <c r="T197" s="220"/>
      <c r="U197" s="220"/>
      <c r="V197" s="220"/>
      <c r="W197" s="220"/>
      <c r="X197" s="220"/>
      <c r="Y197" s="220"/>
      <c r="Z197" s="221"/>
      <c r="AA197" s="5211"/>
      <c r="AB197" s="1178"/>
      <c r="AC197" s="1179"/>
      <c r="AD197" s="227" t="s">
        <v>22</v>
      </c>
      <c r="AE197" s="1027" t="str">
        <f t="shared" si="78"/>
        <v>A</v>
      </c>
      <c r="AF197" s="1028" t="str">
        <f t="shared" si="79"/>
        <v>▼ recette suivante</v>
      </c>
      <c r="AG197" s="1029">
        <f t="shared" si="80"/>
        <v>0</v>
      </c>
      <c r="AH197" s="1028">
        <f t="shared" si="81"/>
        <v>0</v>
      </c>
      <c r="AI197" s="1029">
        <f t="shared" si="82"/>
        <v>0</v>
      </c>
      <c r="AJ197" s="1029">
        <f t="shared" si="83"/>
        <v>0</v>
      </c>
      <c r="AK197" s="1043" cm="1">
        <f t="array" aca="1" ref="AK197" ca="1">IF(AE197&lt;&gt;"A","",IFERROR((IFERROR(_xlfn.XLOOKUP(TRIM(SUBSTITUTE(U197,CHAR(160)," ")),$BI$15:$BI$62,$BL$15:$BL$62),IFERROR(_xlfn.XLOOKUP(TRIM(SUBSTITUTE(U197,CHAR(160)," ")),$BJ$15:$BJ$62,$BL$15:$BL$62),_xlfn.XLOOKUP(TRIM(SUBSTITUTE(U197,CHAR(160)," ")),$BK$15:$BK$62,$BL$15:$BL$62))))*T197*IF(ISBLANK(Q197),1,Q197)+IFERROR(_xlfn.XLOOKUP("RECHERCHEX",TRIM(L197:AC197),L197:AC197),0),0))</f>
        <v>0</v>
      </c>
      <c r="AL197" s="1030">
        <f t="shared" si="84"/>
        <v>0</v>
      </c>
      <c r="AM197" s="5254" t="str">
        <f t="shared" si="99"/>
        <v>❾ Author reference &gt;</v>
      </c>
      <c r="AN197" s="1031">
        <f t="shared" si="85"/>
        <v>0</v>
      </c>
      <c r="AO197" s="1031">
        <f t="shared" si="86"/>
        <v>0</v>
      </c>
      <c r="AP197" s="1044">
        <f t="shared" si="87"/>
        <v>0</v>
      </c>
      <c r="AQ197" s="5257" t="str">
        <f t="shared" si="88"/>
        <v>▼ recette suivante</v>
      </c>
      <c r="AR197" s="1056"/>
      <c r="AS197" s="1056"/>
      <c r="AT197" s="1045">
        <f t="shared" si="89"/>
        <v>0</v>
      </c>
      <c r="AU197" s="1046">
        <f t="shared" si="90"/>
        <v>0</v>
      </c>
      <c r="AV197" s="1059" cm="1">
        <f t="array" ref="AV197">IF(AJ197&lt;&gt;1,0,IF(OR(AT197="",N(AT197)&lt;=0.000000001),"",IF(OR(AN197="",N(AN197)&lt;=0.000000001),0,IF(ISNUMBER(AT197),IFERROR(_xlfn.LET(_xlpm.ai_test,TRIM(AI197),_xlpm.r,IFERROR(_xlfn.XLOOKUP(_xlpm.ai_test,$BI$15:$BI$62,ROW($BI$15:$BI$62),0,1),IFERROR(_xlfn.XLOOKUP(_xlpm.ai_test,$BJ$15:$BJ$62,ROW($BJ$15:$BJ$62),0,1),_xlfn.XLOOKUP(_xlpm.ai_test,$BK$15:$BK$62,ROW($BK$15:$BK$62),0,1))),_xlpm.p,_xlpm.r-MIN(ROW($BI$15:$BI$62))+1,_xlpm.f,INDEX($BL$15:$BL$62,_xlpm.p),_xlpm.u,INDEX($BM$15:$BM$62,_xlpm.p),_xlpm.s,INDEX($BO$15:$BO$62,_xlpm.p),_xlpm.q,N(AT197)/_xlpm.f,IF(_xlpm.q&gt;=_xlpm.s,ROUND(_xlpm.q,1)&amp;" "&amp;_xlpm.ai_test&amp;" = "&amp;ROUND(_xlpm.q*_xlpm.f,1)&amp;" "&amp;_xlpm.u,ROUND(_xlpm.q,1)&amp;" "&amp;_xlpm.ai_test)),""),""))))</f>
        <v>0</v>
      </c>
      <c r="AW197" s="1047"/>
      <c r="AX197" s="1045" t="str">
        <f t="shared" si="91"/>
        <v xml:space="preserve">▼next recipe </v>
      </c>
      <c r="AY197" s="1046" t="str">
        <f t="shared" si="92"/>
        <v/>
      </c>
      <c r="AZ197" s="1048">
        <f t="shared" si="97"/>
        <v>0</v>
      </c>
      <c r="BA197" s="1049" t="str">
        <f t="shared" si="93"/>
        <v/>
      </c>
      <c r="BB197" s="1038"/>
      <c r="BC197" s="1050">
        <f t="shared" si="98"/>
        <v>0</v>
      </c>
      <c r="BD197" s="1040" t="str">
        <f t="shared" si="94"/>
        <v>▼ receta siguiente</v>
      </c>
      <c r="BE197" s="227" t="s">
        <v>22</v>
      </c>
      <c r="BF197" s="1019">
        <f t="shared" si="95"/>
        <v>0</v>
      </c>
      <c r="BG197" s="1020">
        <f t="shared" ca="1" si="96"/>
        <v>0</v>
      </c>
      <c r="BH197"/>
      <c r="BQ197"/>
      <c r="BR197"/>
      <c r="BS197"/>
      <c r="BT197"/>
      <c r="BU197"/>
      <c r="BV197"/>
      <c r="BW197" s="959" t="str">
        <f t="shared" ref="BW197:BW260" si="101">AE197</f>
        <v>A</v>
      </c>
      <c r="BX197"/>
      <c r="BY197"/>
      <c r="BZ197"/>
      <c r="CA197"/>
      <c r="CB197"/>
      <c r="CC197" s="856"/>
      <c r="CD197"/>
      <c r="CE197"/>
      <c r="CF197"/>
      <c r="CG197"/>
      <c r="CH197"/>
      <c r="CI197"/>
      <c r="CJ197"/>
      <c r="CL197"/>
      <c r="CM197"/>
      <c r="CN197"/>
      <c r="CO197"/>
      <c r="CP197"/>
      <c r="CQ197"/>
      <c r="CR197"/>
      <c r="CT197"/>
      <c r="CU197"/>
      <c r="CV197"/>
      <c r="CW197"/>
      <c r="CX197"/>
      <c r="CY197"/>
      <c r="CZ197"/>
      <c r="DB197" s="3">
        <v>1</v>
      </c>
    </row>
    <row r="198" spans="1:106" s="709" customFormat="1" ht="21" customHeight="1" thickBot="1">
      <c r="A198" s="936" t="s">
        <v>22</v>
      </c>
      <c r="B198" s="952" t="str">
        <f t="shared" si="100"/>
        <v>A</v>
      </c>
      <c r="C198" s="993" cm="1">
        <f t="array" ref="C198">SUMPRODUCT(LEN(D198:J198))</f>
        <v>0</v>
      </c>
      <c r="D198" s="167"/>
      <c r="E198" s="172"/>
      <c r="F198" s="172"/>
      <c r="G198" s="172"/>
      <c r="H198" s="172"/>
      <c r="I198" s="172"/>
      <c r="J198" s="173"/>
      <c r="K198" s="442"/>
      <c r="L198" s="5215" t="s">
        <v>11</v>
      </c>
      <c r="M198" s="5216" t="s">
        <v>11</v>
      </c>
      <c r="N198" s="5216" t="s">
        <v>11</v>
      </c>
      <c r="O198" s="5216" t="s">
        <v>11</v>
      </c>
      <c r="P198" s="5216" t="s">
        <v>11</v>
      </c>
      <c r="Q198" s="5217" t="s">
        <v>2613</v>
      </c>
      <c r="R198" s="5218"/>
      <c r="S198" s="5219"/>
      <c r="T198" s="5220"/>
      <c r="U198" s="5221"/>
      <c r="V198" s="5222"/>
      <c r="W198" s="5220"/>
      <c r="X198" s="5220"/>
      <c r="Y198" s="5220"/>
      <c r="Z198" s="5223" t="s">
        <v>1948</v>
      </c>
      <c r="AA198" s="5211"/>
      <c r="AB198" s="1178"/>
      <c r="AC198" s="1179"/>
      <c r="AD198" s="227" t="s">
        <v>22</v>
      </c>
      <c r="AE198" s="1027" t="str">
        <f t="shared" si="78"/>
        <v>►</v>
      </c>
      <c r="AF198" s="1028" t="str">
        <f t="shared" si="79"/>
        <v/>
      </c>
      <c r="AG198" s="1029" t="str">
        <f t="shared" si="80"/>
        <v/>
      </c>
      <c r="AH198" s="1028" t="str">
        <f t="shared" si="81"/>
        <v/>
      </c>
      <c r="AI198" s="1029" t="str">
        <f t="shared" si="82"/>
        <v/>
      </c>
      <c r="AJ198" s="1029">
        <f t="shared" si="83"/>
        <v>0</v>
      </c>
      <c r="AK198" s="1043" t="str" cm="1">
        <f t="array" ref="AK198">IF(AE198&lt;&gt;"A","",IFERROR((IFERROR(_xlfn.XLOOKUP(TRIM(SUBSTITUTE(U198,CHAR(160)," ")),$BI$15:$BI$62,$BL$15:$BL$62),IFERROR(_xlfn.XLOOKUP(TRIM(SUBSTITUTE(U198,CHAR(160)," ")),$BJ$15:$BJ$62,$BL$15:$BL$62),_xlfn.XLOOKUP(TRIM(SUBSTITUTE(U198,CHAR(160)," ")),$BK$15:$BK$62,$BL$15:$BL$62))))*T198*IF(ISBLANK(Q198),1,Q198)+IFERROR(_xlfn.XLOOKUP("RECHERCHEX",TRIM(L198:AC198),L198:AC198),0),0))</f>
        <v/>
      </c>
      <c r="AL198" s="1030">
        <f t="shared" si="84"/>
        <v>0</v>
      </c>
      <c r="AM198" s="5254" t="str">
        <f t="shared" si="99"/>
        <v/>
      </c>
      <c r="AN198" s="1031">
        <f t="shared" si="85"/>
        <v>0</v>
      </c>
      <c r="AO198" s="1031">
        <f t="shared" si="86"/>
        <v>0</v>
      </c>
      <c r="AP198" s="1032">
        <f t="shared" si="87"/>
        <v>0</v>
      </c>
      <c r="AQ198" s="5255" t="str">
        <f t="shared" si="88"/>
        <v/>
      </c>
      <c r="AR198" s="1056"/>
      <c r="AS198" s="1056"/>
      <c r="AT198" s="1034">
        <f t="shared" si="89"/>
        <v>0</v>
      </c>
      <c r="AU198" s="1035">
        <f t="shared" si="90"/>
        <v>0</v>
      </c>
      <c r="AV198" s="1057" cm="1">
        <f t="array" ref="AV198">IF(AJ198&lt;&gt;1,0,IF(OR(AT198="",N(AT198)&lt;=0.000000001),"",IF(OR(AN198="",N(AN198)&lt;=0.000000001),0,IF(ISNUMBER(AT198),IFERROR(_xlfn.LET(_xlpm.ai_test,TRIM(AI198),_xlpm.r,IFERROR(_xlfn.XLOOKUP(_xlpm.ai_test,$BI$15:$BI$62,ROW($BI$15:$BI$62),0,1),IFERROR(_xlfn.XLOOKUP(_xlpm.ai_test,$BJ$15:$BJ$62,ROW($BJ$15:$BJ$62),0,1),_xlfn.XLOOKUP(_xlpm.ai_test,$BK$15:$BK$62,ROW($BK$15:$BK$62),0,1))),_xlpm.p,_xlpm.r-MIN(ROW($BI$15:$BI$62))+1,_xlpm.f,INDEX($BL$15:$BL$62,_xlpm.p),_xlpm.u,INDEX($BM$15:$BM$62,_xlpm.p),_xlpm.s,INDEX($BO$15:$BO$62,_xlpm.p),_xlpm.q,N(AT198)/_xlpm.f,IF(_xlpm.q&gt;=_xlpm.s,ROUND(_xlpm.q,1)&amp;" "&amp;_xlpm.ai_test&amp;" = "&amp;ROUND(_xlpm.q*_xlpm.f,1)&amp;" "&amp;_xlpm.u,ROUND(_xlpm.q,1)&amp;" "&amp;_xlpm.ai_test)),""),""))))</f>
        <v>0</v>
      </c>
      <c r="AW198" s="1047"/>
      <c r="AX198" s="1034">
        <f t="shared" si="91"/>
        <v>0</v>
      </c>
      <c r="AY198" s="1035" t="str">
        <f t="shared" si="92"/>
        <v/>
      </c>
      <c r="AZ198" s="1036">
        <f t="shared" si="97"/>
        <v>0</v>
      </c>
      <c r="BA198" s="1037" t="str">
        <f t="shared" si="93"/>
        <v/>
      </c>
      <c r="BB198" s="1038"/>
      <c r="BC198" s="1039">
        <f t="shared" si="98"/>
        <v>0</v>
      </c>
      <c r="BD198" s="1040" t="str">
        <f t="shared" si="94"/>
        <v/>
      </c>
      <c r="BE198" s="227" t="s">
        <v>22</v>
      </c>
      <c r="BF198" s="1019">
        <f t="shared" si="95"/>
        <v>0</v>
      </c>
      <c r="BG198" s="1020">
        <f t="shared" si="96"/>
        <v>0</v>
      </c>
      <c r="BH198"/>
      <c r="BQ198"/>
      <c r="BR198"/>
      <c r="BS198"/>
      <c r="BT198"/>
      <c r="BU198"/>
      <c r="BV198"/>
      <c r="BW198" s="959" t="str">
        <f t="shared" si="101"/>
        <v>►</v>
      </c>
      <c r="BX198"/>
      <c r="BY198"/>
      <c r="BZ198"/>
      <c r="CA198"/>
      <c r="CB198"/>
      <c r="CC198" s="856"/>
      <c r="CD198"/>
      <c r="CE198"/>
      <c r="CF198"/>
      <c r="CG198"/>
      <c r="CH198"/>
      <c r="CI198"/>
      <c r="CJ198"/>
      <c r="CL198"/>
      <c r="CM198"/>
      <c r="CN198"/>
      <c r="CO198"/>
      <c r="CP198"/>
      <c r="CQ198"/>
      <c r="CR198"/>
      <c r="CT198"/>
      <c r="CU198"/>
      <c r="CV198"/>
      <c r="CW198"/>
      <c r="CX198"/>
      <c r="CY198"/>
      <c r="CZ198"/>
      <c r="DB198" s="3">
        <v>1</v>
      </c>
    </row>
    <row r="199" spans="1:106" s="709" customFormat="1" ht="21" customHeight="1">
      <c r="A199" s="936" t="s">
        <v>22</v>
      </c>
      <c r="B199" s="952" t="str">
        <f t="shared" si="100"/>
        <v>A</v>
      </c>
      <c r="C199" s="993" cm="1">
        <f t="array" ref="C199">SUMPRODUCT(LEN(D199:J199))</f>
        <v>0</v>
      </c>
      <c r="D199" s="167"/>
      <c r="E199" s="172"/>
      <c r="F199" s="172"/>
      <c r="G199" s="172"/>
      <c r="H199" s="172"/>
      <c r="I199" s="172"/>
      <c r="J199" s="173"/>
      <c r="K199" s="442"/>
      <c r="L199" s="22" t="s">
        <v>11</v>
      </c>
      <c r="M199" s="23" t="str">
        <f>M205</f>
        <v>N NOTRE BOUDIN NOIR | | Auteur &gt; Guy KRENZE - Eric GODDYN - Arnaud NICOLAS - CEPROC 2002</v>
      </c>
      <c r="N199" s="24">
        <f>N205</f>
        <v>16.34</v>
      </c>
      <c r="O199" s="24" t="str">
        <f>O205</f>
        <v>Kg</v>
      </c>
      <c r="P199" s="25" t="str">
        <f>P205</f>
        <v>Recette mère ► le Boudin en 4 déclinaisons</v>
      </c>
      <c r="Q199" s="26" t="s">
        <v>23</v>
      </c>
      <c r="R199" s="5471" t="s">
        <v>13045</v>
      </c>
      <c r="S199" s="5471"/>
      <c r="T199" s="5471"/>
      <c r="U199" s="5471"/>
      <c r="V199" s="5471"/>
      <c r="W199" s="5471"/>
      <c r="X199" s="5473" t="s">
        <v>1031</v>
      </c>
      <c r="Y199" s="5473"/>
      <c r="Z199" s="5475" t="str">
        <f>UPPER(LEFT(R199,1))</f>
        <v>N</v>
      </c>
      <c r="AA199" s="5211"/>
      <c r="AB199" s="1178"/>
      <c r="AC199" s="1179"/>
      <c r="AD199" s="227" t="s">
        <v>22</v>
      </c>
      <c r="AE199" s="1027" t="str">
        <f t="shared" si="78"/>
        <v>►</v>
      </c>
      <c r="AF199" s="1028" t="str">
        <f t="shared" si="79"/>
        <v/>
      </c>
      <c r="AG199" s="1029" t="str">
        <f t="shared" si="80"/>
        <v/>
      </c>
      <c r="AH199" s="1028" t="str">
        <f t="shared" si="81"/>
        <v/>
      </c>
      <c r="AI199" s="1029" t="str">
        <f t="shared" si="82"/>
        <v/>
      </c>
      <c r="AJ199" s="1029">
        <f t="shared" si="83"/>
        <v>0</v>
      </c>
      <c r="AK199" s="1043" t="str" cm="1">
        <f t="array" ref="AK199">IF(AE199&lt;&gt;"A","",IFERROR((IFERROR(_xlfn.XLOOKUP(TRIM(SUBSTITUTE(U199,CHAR(160)," ")),$BI$15:$BI$62,$BL$15:$BL$62),IFERROR(_xlfn.XLOOKUP(TRIM(SUBSTITUTE(U199,CHAR(160)," ")),$BJ$15:$BJ$62,$BL$15:$BL$62),_xlfn.XLOOKUP(TRIM(SUBSTITUTE(U199,CHAR(160)," ")),$BK$15:$BK$62,$BL$15:$BL$62))))*T199*IF(ISBLANK(Q199),1,Q199)+IFERROR(_xlfn.XLOOKUP("RECHERCHEX",TRIM(L199:AC199),L199:AC199),0),0))</f>
        <v/>
      </c>
      <c r="AL199" s="1030">
        <f t="shared" si="84"/>
        <v>0</v>
      </c>
      <c r="AM199" s="5254" t="str">
        <f t="shared" si="99"/>
        <v/>
      </c>
      <c r="AN199" s="1031">
        <f t="shared" si="85"/>
        <v>0</v>
      </c>
      <c r="AO199" s="1031">
        <f t="shared" si="86"/>
        <v>0</v>
      </c>
      <c r="AP199" s="1044">
        <f t="shared" si="87"/>
        <v>0</v>
      </c>
      <c r="AQ199" s="5257" t="str">
        <f t="shared" si="88"/>
        <v/>
      </c>
      <c r="AR199" s="1056"/>
      <c r="AS199" s="1056"/>
      <c r="AT199" s="1045">
        <f t="shared" si="89"/>
        <v>0</v>
      </c>
      <c r="AU199" s="1046">
        <f t="shared" si="90"/>
        <v>0</v>
      </c>
      <c r="AV199" s="1059" cm="1">
        <f t="array" ref="AV199">IF(AJ199&lt;&gt;1,0,IF(OR(AT199="",N(AT199)&lt;=0.000000001),"",IF(OR(AN199="",N(AN199)&lt;=0.000000001),0,IF(ISNUMBER(AT199),IFERROR(_xlfn.LET(_xlpm.ai_test,TRIM(AI199),_xlpm.r,IFERROR(_xlfn.XLOOKUP(_xlpm.ai_test,$BI$15:$BI$62,ROW($BI$15:$BI$62),0,1),IFERROR(_xlfn.XLOOKUP(_xlpm.ai_test,$BJ$15:$BJ$62,ROW($BJ$15:$BJ$62),0,1),_xlfn.XLOOKUP(_xlpm.ai_test,$BK$15:$BK$62,ROW($BK$15:$BK$62),0,1))),_xlpm.p,_xlpm.r-MIN(ROW($BI$15:$BI$62))+1,_xlpm.f,INDEX($BL$15:$BL$62,_xlpm.p),_xlpm.u,INDEX($BM$15:$BM$62,_xlpm.p),_xlpm.s,INDEX($BO$15:$BO$62,_xlpm.p),_xlpm.q,N(AT199)/_xlpm.f,IF(_xlpm.q&gt;=_xlpm.s,ROUND(_xlpm.q,1)&amp;" "&amp;_xlpm.ai_test&amp;" = "&amp;ROUND(_xlpm.q*_xlpm.f,1)&amp;" "&amp;_xlpm.u,ROUND(_xlpm.q,1)&amp;" "&amp;_xlpm.ai_test)),""),""))))</f>
        <v>0</v>
      </c>
      <c r="AW199" s="1047"/>
      <c r="AX199" s="1045">
        <f t="shared" si="91"/>
        <v>0</v>
      </c>
      <c r="AY199" s="1046" t="str">
        <f t="shared" si="92"/>
        <v/>
      </c>
      <c r="AZ199" s="1048">
        <f t="shared" si="97"/>
        <v>0</v>
      </c>
      <c r="BA199" s="1049" t="str">
        <f t="shared" si="93"/>
        <v/>
      </c>
      <c r="BB199" s="1038"/>
      <c r="BC199" s="1050">
        <f t="shared" si="98"/>
        <v>0</v>
      </c>
      <c r="BD199" s="1040" t="str">
        <f t="shared" si="94"/>
        <v/>
      </c>
      <c r="BE199" s="227" t="s">
        <v>22</v>
      </c>
      <c r="BF199" s="1019">
        <f t="shared" si="95"/>
        <v>0</v>
      </c>
      <c r="BG199" s="1020">
        <f t="shared" si="96"/>
        <v>0</v>
      </c>
      <c r="BH199"/>
      <c r="BQ199"/>
      <c r="BR199"/>
      <c r="BS199"/>
      <c r="BT199"/>
      <c r="BU199"/>
      <c r="BV199"/>
      <c r="BW199" s="959" t="str">
        <f t="shared" si="101"/>
        <v>►</v>
      </c>
      <c r="BX199"/>
      <c r="BY199"/>
      <c r="BZ199"/>
      <c r="CA199"/>
      <c r="CB199"/>
      <c r="CC199" s="856"/>
      <c r="CD199"/>
      <c r="CE199"/>
      <c r="CF199"/>
      <c r="CG199"/>
      <c r="CH199"/>
      <c r="CI199"/>
      <c r="CJ199"/>
      <c r="CL199"/>
      <c r="CM199"/>
      <c r="CN199"/>
      <c r="CO199"/>
      <c r="CP199"/>
      <c r="CQ199"/>
      <c r="CR199"/>
      <c r="CT199"/>
      <c r="CU199"/>
      <c r="CV199"/>
      <c r="CW199"/>
      <c r="CX199"/>
      <c r="CY199"/>
      <c r="CZ199"/>
      <c r="DB199" s="3">
        <v>1</v>
      </c>
    </row>
    <row r="200" spans="1:106" s="709" customFormat="1" ht="21" customHeight="1">
      <c r="A200" s="936" t="s">
        <v>22</v>
      </c>
      <c r="B200" s="952" t="str">
        <f t="shared" si="100"/>
        <v>A</v>
      </c>
      <c r="C200" s="993" cm="1">
        <f t="array" ref="C200">SUMPRODUCT(LEN(D200:J200))</f>
        <v>0</v>
      </c>
      <c r="D200" s="167"/>
      <c r="E200" s="172"/>
      <c r="F200" s="172"/>
      <c r="G200" s="172"/>
      <c r="H200" s="172"/>
      <c r="I200" s="172"/>
      <c r="J200" s="173"/>
      <c r="K200" s="442"/>
      <c r="L200" s="27" t="s">
        <v>11</v>
      </c>
      <c r="M200" s="28" t="str">
        <f>M205</f>
        <v>N NOTRE BOUDIN NOIR | | Auteur &gt; Guy KRENZE - Eric GODDYN - Arnaud NICOLAS - CEPROC 2002</v>
      </c>
      <c r="N200" s="29">
        <f>N205</f>
        <v>16.34</v>
      </c>
      <c r="O200" s="29" t="str">
        <f>O205</f>
        <v>Kg</v>
      </c>
      <c r="P200" s="30" t="str">
        <f>P205</f>
        <v>Recette mère ► le Boudin en 4 déclinaisons</v>
      </c>
      <c r="Q200" s="31" t="s">
        <v>29</v>
      </c>
      <c r="R200" s="5472"/>
      <c r="S200" s="5472"/>
      <c r="T200" s="5472"/>
      <c r="U200" s="5472"/>
      <c r="V200" s="5472"/>
      <c r="W200" s="5472"/>
      <c r="X200" s="5474"/>
      <c r="Y200" s="5474"/>
      <c r="Z200" s="5476"/>
      <c r="AA200" s="5211"/>
      <c r="AB200" s="1178"/>
      <c r="AC200" s="1179"/>
      <c r="AD200" s="227" t="s">
        <v>22</v>
      </c>
      <c r="AE200" s="1027" t="str">
        <f t="shared" si="78"/>
        <v>►</v>
      </c>
      <c r="AF200" s="1028" t="str">
        <f t="shared" si="79"/>
        <v/>
      </c>
      <c r="AG200" s="1029" t="str">
        <f t="shared" si="80"/>
        <v/>
      </c>
      <c r="AH200" s="1028" t="str">
        <f t="shared" si="81"/>
        <v/>
      </c>
      <c r="AI200" s="1029" t="str">
        <f t="shared" si="82"/>
        <v/>
      </c>
      <c r="AJ200" s="1029">
        <f t="shared" si="83"/>
        <v>0</v>
      </c>
      <c r="AK200" s="1043" t="str" cm="1">
        <f t="array" ref="AK200">IF(AE200&lt;&gt;"A","",IFERROR((IFERROR(_xlfn.XLOOKUP(TRIM(SUBSTITUTE(U200,CHAR(160)," ")),$BI$15:$BI$62,$BL$15:$BL$62),IFERROR(_xlfn.XLOOKUP(TRIM(SUBSTITUTE(U200,CHAR(160)," ")),$BJ$15:$BJ$62,$BL$15:$BL$62),_xlfn.XLOOKUP(TRIM(SUBSTITUTE(U200,CHAR(160)," ")),$BK$15:$BK$62,$BL$15:$BL$62))))*T200*IF(ISBLANK(Q200),1,Q200)+IFERROR(_xlfn.XLOOKUP("RECHERCHEX",TRIM(L200:AC200),L200:AC200),0),0))</f>
        <v/>
      </c>
      <c r="AL200" s="1030">
        <f t="shared" si="84"/>
        <v>0</v>
      </c>
      <c r="AM200" s="5254" t="str">
        <f t="shared" si="99"/>
        <v/>
      </c>
      <c r="AN200" s="1031">
        <f t="shared" si="85"/>
        <v>0</v>
      </c>
      <c r="AO200" s="1031">
        <f t="shared" si="86"/>
        <v>0</v>
      </c>
      <c r="AP200" s="1032">
        <f t="shared" si="87"/>
        <v>0</v>
      </c>
      <c r="AQ200" s="5255" t="str">
        <f t="shared" si="88"/>
        <v/>
      </c>
      <c r="AR200" s="1056"/>
      <c r="AS200" s="1056"/>
      <c r="AT200" s="1034">
        <f t="shared" si="89"/>
        <v>0</v>
      </c>
      <c r="AU200" s="1035">
        <f t="shared" si="90"/>
        <v>0</v>
      </c>
      <c r="AV200" s="1057" cm="1">
        <f t="array" ref="AV200">IF(AJ200&lt;&gt;1,0,IF(OR(AT200="",N(AT200)&lt;=0.000000001),"",IF(OR(AN200="",N(AN200)&lt;=0.000000001),0,IF(ISNUMBER(AT200),IFERROR(_xlfn.LET(_xlpm.ai_test,TRIM(AI200),_xlpm.r,IFERROR(_xlfn.XLOOKUP(_xlpm.ai_test,$BI$15:$BI$62,ROW($BI$15:$BI$62),0,1),IFERROR(_xlfn.XLOOKUP(_xlpm.ai_test,$BJ$15:$BJ$62,ROW($BJ$15:$BJ$62),0,1),_xlfn.XLOOKUP(_xlpm.ai_test,$BK$15:$BK$62,ROW($BK$15:$BK$62),0,1))),_xlpm.p,_xlpm.r-MIN(ROW($BI$15:$BI$62))+1,_xlpm.f,INDEX($BL$15:$BL$62,_xlpm.p),_xlpm.u,INDEX($BM$15:$BM$62,_xlpm.p),_xlpm.s,INDEX($BO$15:$BO$62,_xlpm.p),_xlpm.q,N(AT200)/_xlpm.f,IF(_xlpm.q&gt;=_xlpm.s,ROUND(_xlpm.q,1)&amp;" "&amp;_xlpm.ai_test&amp;" = "&amp;ROUND(_xlpm.q*_xlpm.f,1)&amp;" "&amp;_xlpm.u,ROUND(_xlpm.q,1)&amp;" "&amp;_xlpm.ai_test)),""),""))))</f>
        <v>0</v>
      </c>
      <c r="AW200" s="1047"/>
      <c r="AX200" s="1034">
        <f t="shared" si="91"/>
        <v>0</v>
      </c>
      <c r="AY200" s="1035" t="str">
        <f t="shared" si="92"/>
        <v/>
      </c>
      <c r="AZ200" s="1036">
        <f t="shared" si="97"/>
        <v>0</v>
      </c>
      <c r="BA200" s="1037" t="str">
        <f t="shared" si="93"/>
        <v/>
      </c>
      <c r="BB200" s="1038"/>
      <c r="BC200" s="1039">
        <f t="shared" si="98"/>
        <v>0</v>
      </c>
      <c r="BD200" s="1040" t="str">
        <f t="shared" si="94"/>
        <v/>
      </c>
      <c r="BE200" s="227" t="s">
        <v>22</v>
      </c>
      <c r="BF200" s="1019">
        <f t="shared" si="95"/>
        <v>0</v>
      </c>
      <c r="BG200" s="1020">
        <f t="shared" si="96"/>
        <v>0</v>
      </c>
      <c r="BH200"/>
      <c r="BQ200"/>
      <c r="BR200"/>
      <c r="BS200"/>
      <c r="BT200"/>
      <c r="BU200"/>
      <c r="BV200"/>
      <c r="BW200" s="959" t="str">
        <f t="shared" si="101"/>
        <v>►</v>
      </c>
      <c r="BX200"/>
      <c r="BY200"/>
      <c r="BZ200"/>
      <c r="CA200"/>
      <c r="CB200"/>
      <c r="CC200" s="856"/>
      <c r="CD200"/>
      <c r="CE200"/>
      <c r="CF200"/>
      <c r="CG200"/>
      <c r="CH200"/>
      <c r="CI200"/>
      <c r="CJ200"/>
      <c r="CL200"/>
      <c r="CM200"/>
      <c r="CN200"/>
      <c r="CO200"/>
      <c r="CP200"/>
      <c r="CQ200"/>
      <c r="CR200"/>
      <c r="CT200"/>
      <c r="CU200"/>
      <c r="CV200"/>
      <c r="CW200"/>
      <c r="CX200"/>
      <c r="CY200"/>
      <c r="CZ200"/>
      <c r="DB200" s="3">
        <v>1</v>
      </c>
    </row>
    <row r="201" spans="1:106" s="709" customFormat="1" ht="21" customHeight="1">
      <c r="A201" s="936" t="s">
        <v>22</v>
      </c>
      <c r="B201" s="952" t="str">
        <f t="shared" si="100"/>
        <v>A</v>
      </c>
      <c r="C201" s="993" cm="1">
        <f t="array" ref="C201">SUMPRODUCT(LEN(D201:J201))</f>
        <v>0</v>
      </c>
      <c r="D201" s="167"/>
      <c r="E201" s="172"/>
      <c r="F201" s="172"/>
      <c r="G201" s="172"/>
      <c r="H201" s="172"/>
      <c r="I201" s="172"/>
      <c r="J201" s="173"/>
      <c r="K201" s="442"/>
      <c r="L201" s="27" t="s">
        <v>11</v>
      </c>
      <c r="M201" s="5310" t="str">
        <f>M205</f>
        <v>N NOTRE BOUDIN NOIR | | Auteur &gt; Guy KRENZE - Eric GODDYN - Arnaud NICOLAS - CEPROC 2002</v>
      </c>
      <c r="N201" s="5310">
        <f>N205</f>
        <v>16.34</v>
      </c>
      <c r="O201" s="5311" t="str">
        <f>O205</f>
        <v>Kg</v>
      </c>
      <c r="P201" s="5312" t="str">
        <f>P205</f>
        <v>Recette mère ► le Boudin en 4 déclinaisons</v>
      </c>
      <c r="Q201" s="5313"/>
      <c r="R201" s="5314" t="s">
        <v>30</v>
      </c>
      <c r="S201" s="37"/>
      <c r="T201" s="38" t="s">
        <v>31</v>
      </c>
      <c r="U201" s="39" t="s">
        <v>12835</v>
      </c>
      <c r="V201" s="9"/>
      <c r="W201" s="39"/>
      <c r="X201" s="39"/>
      <c r="Y201" s="40"/>
      <c r="Z201" s="41"/>
      <c r="AA201" s="5211"/>
      <c r="AB201" s="1178"/>
      <c r="AC201" s="1179"/>
      <c r="AD201" s="227" t="s">
        <v>22</v>
      </c>
      <c r="AE201" s="1027" t="str">
        <f t="shared" si="78"/>
        <v>►</v>
      </c>
      <c r="AF201" s="1028" t="str">
        <f t="shared" si="79"/>
        <v/>
      </c>
      <c r="AG201" s="1029" t="str">
        <f t="shared" si="80"/>
        <v/>
      </c>
      <c r="AH201" s="1028" t="str">
        <f t="shared" si="81"/>
        <v/>
      </c>
      <c r="AI201" s="1029" t="str">
        <f t="shared" si="82"/>
        <v/>
      </c>
      <c r="AJ201" s="1029">
        <f t="shared" si="83"/>
        <v>0</v>
      </c>
      <c r="AK201" s="1043" t="str" cm="1">
        <f t="array" ref="AK201">IF(AE201&lt;&gt;"A","",IFERROR((IFERROR(_xlfn.XLOOKUP(TRIM(SUBSTITUTE(U201,CHAR(160)," ")),$BI$15:$BI$62,$BL$15:$BL$62),IFERROR(_xlfn.XLOOKUP(TRIM(SUBSTITUTE(U201,CHAR(160)," ")),$BJ$15:$BJ$62,$BL$15:$BL$62),_xlfn.XLOOKUP(TRIM(SUBSTITUTE(U201,CHAR(160)," ")),$BK$15:$BK$62,$BL$15:$BL$62))))*T201*IF(ISBLANK(Q201),1,Q201)+IFERROR(_xlfn.XLOOKUP("RECHERCHEX",TRIM(L201:AC201),L201:AC201),0),0))</f>
        <v/>
      </c>
      <c r="AL201" s="1030">
        <f t="shared" si="84"/>
        <v>0</v>
      </c>
      <c r="AM201" s="5254" t="str">
        <f t="shared" si="99"/>
        <v/>
      </c>
      <c r="AN201" s="1031">
        <f t="shared" si="85"/>
        <v>0</v>
      </c>
      <c r="AO201" s="1031">
        <f t="shared" si="86"/>
        <v>0</v>
      </c>
      <c r="AP201" s="1044">
        <f t="shared" si="87"/>
        <v>0</v>
      </c>
      <c r="AQ201" s="5257" t="str">
        <f t="shared" si="88"/>
        <v/>
      </c>
      <c r="AR201" s="1056"/>
      <c r="AS201" s="1056"/>
      <c r="AT201" s="1045">
        <f t="shared" si="89"/>
        <v>0</v>
      </c>
      <c r="AU201" s="1046">
        <f t="shared" si="90"/>
        <v>0</v>
      </c>
      <c r="AV201" s="1059" cm="1">
        <f t="array" ref="AV201">IF(AJ201&lt;&gt;1,0,IF(OR(AT201="",N(AT201)&lt;=0.000000001),"",IF(OR(AN201="",N(AN201)&lt;=0.000000001),0,IF(ISNUMBER(AT201),IFERROR(_xlfn.LET(_xlpm.ai_test,TRIM(AI201),_xlpm.r,IFERROR(_xlfn.XLOOKUP(_xlpm.ai_test,$BI$15:$BI$62,ROW($BI$15:$BI$62),0,1),IFERROR(_xlfn.XLOOKUP(_xlpm.ai_test,$BJ$15:$BJ$62,ROW($BJ$15:$BJ$62),0,1),_xlfn.XLOOKUP(_xlpm.ai_test,$BK$15:$BK$62,ROW($BK$15:$BK$62),0,1))),_xlpm.p,_xlpm.r-MIN(ROW($BI$15:$BI$62))+1,_xlpm.f,INDEX($BL$15:$BL$62,_xlpm.p),_xlpm.u,INDEX($BM$15:$BM$62,_xlpm.p),_xlpm.s,INDEX($BO$15:$BO$62,_xlpm.p),_xlpm.q,N(AT201)/_xlpm.f,IF(_xlpm.q&gt;=_xlpm.s,ROUND(_xlpm.q,1)&amp;" "&amp;_xlpm.ai_test&amp;" = "&amp;ROUND(_xlpm.q*_xlpm.f,1)&amp;" "&amp;_xlpm.u,ROUND(_xlpm.q,1)&amp;" "&amp;_xlpm.ai_test)),""),""))))</f>
        <v>0</v>
      </c>
      <c r="AW201" s="1047"/>
      <c r="AX201" s="1045">
        <f t="shared" si="91"/>
        <v>0</v>
      </c>
      <c r="AY201" s="1046" t="str">
        <f t="shared" si="92"/>
        <v/>
      </c>
      <c r="AZ201" s="1048">
        <f t="shared" si="97"/>
        <v>0</v>
      </c>
      <c r="BA201" s="1049" t="str">
        <f t="shared" si="93"/>
        <v/>
      </c>
      <c r="BB201" s="1038"/>
      <c r="BC201" s="1050">
        <f t="shared" si="98"/>
        <v>0</v>
      </c>
      <c r="BD201" s="1040" t="str">
        <f t="shared" si="94"/>
        <v/>
      </c>
      <c r="BE201" s="227" t="s">
        <v>22</v>
      </c>
      <c r="BF201" s="1019">
        <f t="shared" si="95"/>
        <v>0</v>
      </c>
      <c r="BG201" s="1020">
        <f t="shared" si="96"/>
        <v>0</v>
      </c>
      <c r="BH201"/>
      <c r="BQ201"/>
      <c r="BR201"/>
      <c r="BS201"/>
      <c r="BT201"/>
      <c r="BU201"/>
      <c r="BV201"/>
      <c r="BW201" s="959" t="str">
        <f t="shared" si="101"/>
        <v>►</v>
      </c>
      <c r="BX201"/>
      <c r="BY201"/>
      <c r="BZ201"/>
      <c r="CA201"/>
      <c r="CB201"/>
      <c r="CC201" s="856"/>
      <c r="CD201"/>
      <c r="CE201"/>
      <c r="CF201"/>
      <c r="CG201"/>
      <c r="CH201"/>
      <c r="CI201"/>
      <c r="CJ201"/>
      <c r="CL201"/>
      <c r="CM201"/>
      <c r="CN201"/>
      <c r="CO201"/>
      <c r="CP201"/>
      <c r="CQ201"/>
      <c r="CR201"/>
      <c r="CT201"/>
      <c r="CU201"/>
      <c r="CV201"/>
      <c r="CW201"/>
      <c r="CX201"/>
      <c r="CY201"/>
      <c r="CZ201"/>
      <c r="DB201" s="3">
        <v>1</v>
      </c>
    </row>
    <row r="202" spans="1:106" s="709" customFormat="1" ht="21" customHeight="1">
      <c r="A202" s="936" t="s">
        <v>22</v>
      </c>
      <c r="B202" s="952" t="str">
        <f t="shared" si="100"/>
        <v>A</v>
      </c>
      <c r="C202" s="993" cm="1">
        <f t="array" ref="C202">SUMPRODUCT(LEN(D202:J202))</f>
        <v>0</v>
      </c>
      <c r="D202" s="167"/>
      <c r="E202" s="172"/>
      <c r="F202" s="172"/>
      <c r="G202" s="172"/>
      <c r="H202" s="172"/>
      <c r="I202" s="172"/>
      <c r="J202" s="173"/>
      <c r="K202" s="442"/>
      <c r="L202" s="27" t="s">
        <v>11</v>
      </c>
      <c r="M202" s="32" t="str">
        <f>M205</f>
        <v>N NOTRE BOUDIN NOIR | | Auteur &gt; Guy KRENZE - Eric GODDYN - Arnaud NICOLAS - CEPROC 2002</v>
      </c>
      <c r="N202" s="33">
        <f>N205</f>
        <v>16.34</v>
      </c>
      <c r="O202" s="33" t="str">
        <f>O205</f>
        <v>Kg</v>
      </c>
      <c r="P202" s="34" t="str">
        <f>P205</f>
        <v>Recette mère ► le Boudin en 4 déclinaisons</v>
      </c>
      <c r="Q202" s="42" t="s">
        <v>32</v>
      </c>
      <c r="R202" s="43"/>
      <c r="S202" s="43"/>
      <c r="T202" s="44" t="s">
        <v>33</v>
      </c>
      <c r="U202" s="5477" t="str">
        <f>V205&amp;" "&amp;W205&amp;" ► Famille = "&amp;X199&amp;" ► "&amp;R199&amp;" "&amp; "pour "&amp;X203&amp;" "&amp;Y203</f>
        <v>Recette mère ► le Boudin en 4 déclinaisons ► Famille =  charcuterie-BOUDIN-NOIR ► NOTRE BOUDIN NOIR pour 5 Kg</v>
      </c>
      <c r="V202" s="5477"/>
      <c r="W202" s="5477"/>
      <c r="X202" s="5039" t="s">
        <v>3306</v>
      </c>
      <c r="Y202" s="40"/>
      <c r="Z202" s="1472"/>
      <c r="AA202" s="5211"/>
      <c r="AB202" s="1178"/>
      <c r="AC202" s="1179"/>
      <c r="AD202" s="227" t="s">
        <v>22</v>
      </c>
      <c r="AE202" s="1027" t="str">
        <f t="shared" si="78"/>
        <v>►</v>
      </c>
      <c r="AF202" s="1028" t="str">
        <f t="shared" si="79"/>
        <v/>
      </c>
      <c r="AG202" s="1029" t="str">
        <f t="shared" si="80"/>
        <v/>
      </c>
      <c r="AH202" s="1028" t="str">
        <f t="shared" si="81"/>
        <v/>
      </c>
      <c r="AI202" s="1029" t="str">
        <f t="shared" si="82"/>
        <v/>
      </c>
      <c r="AJ202" s="1029">
        <f t="shared" si="83"/>
        <v>0</v>
      </c>
      <c r="AK202" s="1043" t="str" cm="1">
        <f t="array" ref="AK202">IF(AE202&lt;&gt;"A","",IFERROR((IFERROR(_xlfn.XLOOKUP(TRIM(SUBSTITUTE(U202,CHAR(160)," ")),$BI$15:$BI$62,$BL$15:$BL$62),IFERROR(_xlfn.XLOOKUP(TRIM(SUBSTITUTE(U202,CHAR(160)," ")),$BJ$15:$BJ$62,$BL$15:$BL$62),_xlfn.XLOOKUP(TRIM(SUBSTITUTE(U202,CHAR(160)," ")),$BK$15:$BK$62,$BL$15:$BL$62))))*T202*IF(ISBLANK(Q202),1,Q202)+IFERROR(_xlfn.XLOOKUP("RECHERCHEX",TRIM(L202:AC202),L202:AC202),0),0))</f>
        <v/>
      </c>
      <c r="AL202" s="1030">
        <f t="shared" si="84"/>
        <v>0</v>
      </c>
      <c r="AM202" s="5254" t="str">
        <f t="shared" si="99"/>
        <v/>
      </c>
      <c r="AN202" s="1031">
        <f t="shared" si="85"/>
        <v>0</v>
      </c>
      <c r="AO202" s="1031">
        <f t="shared" si="86"/>
        <v>0</v>
      </c>
      <c r="AP202" s="1032">
        <f t="shared" si="87"/>
        <v>0</v>
      </c>
      <c r="AQ202" s="5255" t="str">
        <f t="shared" si="88"/>
        <v/>
      </c>
      <c r="AR202" s="1056"/>
      <c r="AS202" s="1056"/>
      <c r="AT202" s="1034">
        <f t="shared" si="89"/>
        <v>0</v>
      </c>
      <c r="AU202" s="1035">
        <f t="shared" si="90"/>
        <v>0</v>
      </c>
      <c r="AV202" s="1057" cm="1">
        <f t="array" ref="AV202">IF(AJ202&lt;&gt;1,0,IF(OR(AT202="",N(AT202)&lt;=0.000000001),"",IF(OR(AN202="",N(AN202)&lt;=0.000000001),0,IF(ISNUMBER(AT202),IFERROR(_xlfn.LET(_xlpm.ai_test,TRIM(AI202),_xlpm.r,IFERROR(_xlfn.XLOOKUP(_xlpm.ai_test,$BI$15:$BI$62,ROW($BI$15:$BI$62),0,1),IFERROR(_xlfn.XLOOKUP(_xlpm.ai_test,$BJ$15:$BJ$62,ROW($BJ$15:$BJ$62),0,1),_xlfn.XLOOKUP(_xlpm.ai_test,$BK$15:$BK$62,ROW($BK$15:$BK$62),0,1))),_xlpm.p,_xlpm.r-MIN(ROW($BI$15:$BI$62))+1,_xlpm.f,INDEX($BL$15:$BL$62,_xlpm.p),_xlpm.u,INDEX($BM$15:$BM$62,_xlpm.p),_xlpm.s,INDEX($BO$15:$BO$62,_xlpm.p),_xlpm.q,N(AT202)/_xlpm.f,IF(_xlpm.q&gt;=_xlpm.s,ROUND(_xlpm.q,1)&amp;" "&amp;_xlpm.ai_test&amp;" = "&amp;ROUND(_xlpm.q*_xlpm.f,1)&amp;" "&amp;_xlpm.u,ROUND(_xlpm.q,1)&amp;" "&amp;_xlpm.ai_test)),""),""))))</f>
        <v>0</v>
      </c>
      <c r="AW202" s="1047"/>
      <c r="AX202" s="1034">
        <f t="shared" si="91"/>
        <v>0</v>
      </c>
      <c r="AY202" s="1035" t="str">
        <f t="shared" si="92"/>
        <v/>
      </c>
      <c r="AZ202" s="1036">
        <f t="shared" si="97"/>
        <v>0</v>
      </c>
      <c r="BA202" s="1037" t="str">
        <f t="shared" si="93"/>
        <v/>
      </c>
      <c r="BB202" s="1038"/>
      <c r="BC202" s="1039">
        <f t="shared" si="98"/>
        <v>0</v>
      </c>
      <c r="BD202" s="1040" t="str">
        <f t="shared" si="94"/>
        <v/>
      </c>
      <c r="BE202" s="227" t="s">
        <v>22</v>
      </c>
      <c r="BF202" s="1019">
        <f t="shared" si="95"/>
        <v>0</v>
      </c>
      <c r="BG202" s="1020">
        <f t="shared" si="96"/>
        <v>0</v>
      </c>
      <c r="BH202"/>
      <c r="BQ202"/>
      <c r="BR202"/>
      <c r="BS202"/>
      <c r="BT202"/>
      <c r="BU202"/>
      <c r="BV202"/>
      <c r="BW202" s="959" t="str">
        <f t="shared" si="101"/>
        <v>►</v>
      </c>
      <c r="BX202"/>
      <c r="BY202"/>
      <c r="BZ202"/>
      <c r="CA202"/>
      <c r="CB202"/>
      <c r="CC202" s="856"/>
      <c r="CD202"/>
      <c r="CE202"/>
      <c r="CF202"/>
      <c r="CG202"/>
      <c r="CH202"/>
      <c r="CI202"/>
      <c r="CJ202"/>
      <c r="CL202"/>
      <c r="CM202"/>
      <c r="CN202"/>
      <c r="CO202"/>
      <c r="CP202"/>
      <c r="CQ202"/>
      <c r="CR202"/>
      <c r="CT202"/>
      <c r="CU202"/>
      <c r="CV202"/>
      <c r="CW202"/>
      <c r="CX202"/>
      <c r="CY202"/>
      <c r="CZ202"/>
      <c r="DB202" s="3">
        <v>1</v>
      </c>
    </row>
    <row r="203" spans="1:106" s="709" customFormat="1" ht="21" customHeight="1">
      <c r="A203" s="936" t="s">
        <v>22</v>
      </c>
      <c r="B203" s="952" t="str">
        <f t="shared" si="100"/>
        <v>A</v>
      </c>
      <c r="C203" s="993" cm="1">
        <f t="array" ref="C203">SUMPRODUCT(LEN(D203:J203))</f>
        <v>0</v>
      </c>
      <c r="D203" s="167"/>
      <c r="E203" s="172"/>
      <c r="F203" s="172"/>
      <c r="G203" s="172"/>
      <c r="H203" s="172"/>
      <c r="I203" s="172"/>
      <c r="J203" s="173"/>
      <c r="K203" s="442"/>
      <c r="L203" s="27" t="s">
        <v>11</v>
      </c>
      <c r="M203" s="32" t="str">
        <f>M205</f>
        <v>N NOTRE BOUDIN NOIR | | Auteur &gt; Guy KRENZE - Eric GODDYN - Arnaud NICOLAS - CEPROC 2002</v>
      </c>
      <c r="N203" s="33">
        <f>N205</f>
        <v>16.34</v>
      </c>
      <c r="O203" s="33" t="str">
        <f>O205</f>
        <v>Kg</v>
      </c>
      <c r="P203" s="34" t="str">
        <f>P205</f>
        <v>Recette mère ► le Boudin en 4 déclinaisons</v>
      </c>
      <c r="Q203" s="50">
        <v>16.34</v>
      </c>
      <c r="R203" s="5053" t="s">
        <v>872</v>
      </c>
      <c r="S203" s="42"/>
      <c r="T203" s="42"/>
      <c r="U203" s="5477"/>
      <c r="V203" s="5477"/>
      <c r="W203" s="5477"/>
      <c r="X203" s="46">
        <v>5</v>
      </c>
      <c r="Y203" s="5478" t="str">
        <f>R203</f>
        <v>Kg</v>
      </c>
      <c r="Z203" s="5479"/>
      <c r="AA203" s="5211"/>
      <c r="AB203" s="1178"/>
      <c r="AC203" s="1179"/>
      <c r="AD203" s="227" t="s">
        <v>22</v>
      </c>
      <c r="AE203" s="1027" t="str">
        <f t="shared" si="78"/>
        <v>►</v>
      </c>
      <c r="AF203" s="1028" t="str">
        <f t="shared" si="79"/>
        <v/>
      </c>
      <c r="AG203" s="1029" t="str">
        <f t="shared" si="80"/>
        <v/>
      </c>
      <c r="AH203" s="1028" t="str">
        <f t="shared" si="81"/>
        <v/>
      </c>
      <c r="AI203" s="1029" t="str">
        <f t="shared" si="82"/>
        <v/>
      </c>
      <c r="AJ203" s="1029">
        <f t="shared" si="83"/>
        <v>0</v>
      </c>
      <c r="AK203" s="1043" t="str" cm="1">
        <f t="array" ref="AK203">IF(AE203&lt;&gt;"A","",IFERROR((IFERROR(_xlfn.XLOOKUP(TRIM(SUBSTITUTE(U203,CHAR(160)," ")),$BI$15:$BI$62,$BL$15:$BL$62),IFERROR(_xlfn.XLOOKUP(TRIM(SUBSTITUTE(U203,CHAR(160)," ")),$BJ$15:$BJ$62,$BL$15:$BL$62),_xlfn.XLOOKUP(TRIM(SUBSTITUTE(U203,CHAR(160)," ")),$BK$15:$BK$62,$BL$15:$BL$62))))*T203*IF(ISBLANK(Q203),1,Q203)+IFERROR(_xlfn.XLOOKUP("RECHERCHEX",TRIM(L203:AC203),L203:AC203),0),0))</f>
        <v/>
      </c>
      <c r="AL203" s="1030">
        <f t="shared" si="84"/>
        <v>0</v>
      </c>
      <c r="AM203" s="5254" t="str">
        <f t="shared" si="99"/>
        <v/>
      </c>
      <c r="AN203" s="1031">
        <f t="shared" si="85"/>
        <v>0</v>
      </c>
      <c r="AO203" s="1031">
        <f t="shared" si="86"/>
        <v>0</v>
      </c>
      <c r="AP203" s="1044">
        <f t="shared" si="87"/>
        <v>0</v>
      </c>
      <c r="AQ203" s="5257" t="str">
        <f t="shared" si="88"/>
        <v/>
      </c>
      <c r="AR203" s="1056"/>
      <c r="AS203" s="1056"/>
      <c r="AT203" s="1045">
        <f t="shared" si="89"/>
        <v>0</v>
      </c>
      <c r="AU203" s="1046">
        <f t="shared" si="90"/>
        <v>0</v>
      </c>
      <c r="AV203" s="1059" cm="1">
        <f t="array" ref="AV203">IF(AJ203&lt;&gt;1,0,IF(OR(AT203="",N(AT203)&lt;=0.000000001),"",IF(OR(AN203="",N(AN203)&lt;=0.000000001),0,IF(ISNUMBER(AT203),IFERROR(_xlfn.LET(_xlpm.ai_test,TRIM(AI203),_xlpm.r,IFERROR(_xlfn.XLOOKUP(_xlpm.ai_test,$BI$15:$BI$62,ROW($BI$15:$BI$62),0,1),IFERROR(_xlfn.XLOOKUP(_xlpm.ai_test,$BJ$15:$BJ$62,ROW($BJ$15:$BJ$62),0,1),_xlfn.XLOOKUP(_xlpm.ai_test,$BK$15:$BK$62,ROW($BK$15:$BK$62),0,1))),_xlpm.p,_xlpm.r-MIN(ROW($BI$15:$BI$62))+1,_xlpm.f,INDEX($BL$15:$BL$62,_xlpm.p),_xlpm.u,INDEX($BM$15:$BM$62,_xlpm.p),_xlpm.s,INDEX($BO$15:$BO$62,_xlpm.p),_xlpm.q,N(AT203)/_xlpm.f,IF(_xlpm.q&gt;=_xlpm.s,ROUND(_xlpm.q,1)&amp;" "&amp;_xlpm.ai_test&amp;" = "&amp;ROUND(_xlpm.q*_xlpm.f,1)&amp;" "&amp;_xlpm.u,ROUND(_xlpm.q,1)&amp;" "&amp;_xlpm.ai_test)),""),""))))</f>
        <v>0</v>
      </c>
      <c r="AW203" s="1047"/>
      <c r="AX203" s="1045">
        <f t="shared" si="91"/>
        <v>0</v>
      </c>
      <c r="AY203" s="1046" t="str">
        <f t="shared" si="92"/>
        <v/>
      </c>
      <c r="AZ203" s="1048">
        <f t="shared" si="97"/>
        <v>0</v>
      </c>
      <c r="BA203" s="1049" t="str">
        <f t="shared" si="93"/>
        <v/>
      </c>
      <c r="BB203" s="1038"/>
      <c r="BC203" s="1050">
        <f t="shared" si="98"/>
        <v>0</v>
      </c>
      <c r="BD203" s="1040" t="str">
        <f t="shared" si="94"/>
        <v/>
      </c>
      <c r="BE203" s="227" t="s">
        <v>22</v>
      </c>
      <c r="BF203" s="1019">
        <f t="shared" si="95"/>
        <v>0</v>
      </c>
      <c r="BG203" s="1020">
        <f t="shared" si="96"/>
        <v>0</v>
      </c>
      <c r="BH203"/>
      <c r="BQ203"/>
      <c r="BR203"/>
      <c r="BS203"/>
      <c r="BT203"/>
      <c r="BU203"/>
      <c r="BV203"/>
      <c r="BW203" s="959" t="str">
        <f t="shared" si="101"/>
        <v>►</v>
      </c>
      <c r="BX203"/>
      <c r="BY203"/>
      <c r="BZ203"/>
      <c r="CA203"/>
      <c r="CB203"/>
      <c r="CC203" s="856"/>
      <c r="CD203"/>
      <c r="CE203"/>
      <c r="CF203"/>
      <c r="CG203"/>
      <c r="CH203"/>
      <c r="CI203"/>
      <c r="CJ203"/>
      <c r="CL203"/>
      <c r="CM203"/>
      <c r="CN203"/>
      <c r="CO203"/>
      <c r="CP203"/>
      <c r="CQ203"/>
      <c r="CR203"/>
      <c r="CT203"/>
      <c r="CU203"/>
      <c r="CV203"/>
      <c r="CW203"/>
      <c r="CX203"/>
      <c r="CY203"/>
      <c r="CZ203"/>
      <c r="DB203" s="3">
        <v>1</v>
      </c>
    </row>
    <row r="204" spans="1:106" s="709" customFormat="1" ht="21" customHeight="1">
      <c r="A204" s="936" t="s">
        <v>22</v>
      </c>
      <c r="B204" s="952" t="str">
        <f t="shared" si="100"/>
        <v>►</v>
      </c>
      <c r="C204" s="993" cm="1">
        <f t="array" ref="C204">SUMPRODUCT(LEN(D204:J204))</f>
        <v>0</v>
      </c>
      <c r="D204" s="167"/>
      <c r="E204" s="172"/>
      <c r="F204" s="172"/>
      <c r="G204" s="172"/>
      <c r="H204" s="172"/>
      <c r="I204" s="172"/>
      <c r="J204" s="173"/>
      <c r="K204" s="442"/>
      <c r="L204" s="27" t="s">
        <v>16</v>
      </c>
      <c r="M204" s="32" t="str">
        <f>M205</f>
        <v>N NOTRE BOUDIN NOIR | | Auteur &gt; Guy KRENZE - Eric GODDYN - Arnaud NICOLAS - CEPROC 2002</v>
      </c>
      <c r="N204" s="33">
        <f>N205</f>
        <v>16.34</v>
      </c>
      <c r="O204" s="33" t="str">
        <f>O205</f>
        <v>Kg</v>
      </c>
      <c r="P204" s="34" t="str">
        <f>P205</f>
        <v>Recette mère ► le Boudin en 4 déclinaisons</v>
      </c>
      <c r="Q204" s="56"/>
      <c r="R204" s="5165" t="s">
        <v>13098</v>
      </c>
      <c r="S204" s="5468">
        <f>Y229/V204</f>
        <v>16.343603999999999</v>
      </c>
      <c r="T204" s="5468"/>
      <c r="U204" s="5054" t="str" cm="1">
        <f t="array" ref="U204">"1= "&amp;IF(OR(Q203&lt;=0,S204=""),"",_xlfn.LET(_xlpm.kg,IF(ISNUMBER(S204),S204,VALEUR(SUBSTITUTE(SUBSTITUTE(SUBSTITUTE(LOWER(S204),"kg",""),",",".")," ",""))),TEXT(ROUND(_xlpm.kg*1000/Q203,2),"0.##")&amp;" g"))</f>
        <v>1= 1000.22 g</v>
      </c>
      <c r="V204" s="1490">
        <f>IFERROR(X203/Q203,0)</f>
        <v>0.30599755201958384</v>
      </c>
      <c r="W204" s="45"/>
      <c r="X204" s="5041" t="s">
        <v>50</v>
      </c>
      <c r="Y204" s="5042">
        <f>Y229</f>
        <v>5.0011028151774788</v>
      </c>
      <c r="Z204" s="5043"/>
      <c r="AA204" s="5211"/>
      <c r="AB204" s="1178"/>
      <c r="AC204" s="1179"/>
      <c r="AD204" s="227" t="s">
        <v>22</v>
      </c>
      <c r="AE204" s="1027" t="str">
        <f t="shared" si="78"/>
        <v>►</v>
      </c>
      <c r="AF204" s="1028" t="str">
        <f t="shared" si="79"/>
        <v/>
      </c>
      <c r="AG204" s="1029" t="str">
        <f t="shared" si="80"/>
        <v/>
      </c>
      <c r="AH204" s="1028" t="str">
        <f t="shared" si="81"/>
        <v/>
      </c>
      <c r="AI204" s="1029" t="str">
        <f t="shared" si="82"/>
        <v/>
      </c>
      <c r="AJ204" s="1029">
        <f t="shared" si="83"/>
        <v>0</v>
      </c>
      <c r="AK204" s="1043" t="str" cm="1">
        <f t="array" ref="AK204">IF(AE204&lt;&gt;"A","",IFERROR((IFERROR(_xlfn.XLOOKUP(TRIM(SUBSTITUTE(U204,CHAR(160)," ")),$BI$15:$BI$62,$BL$15:$BL$62),IFERROR(_xlfn.XLOOKUP(TRIM(SUBSTITUTE(U204,CHAR(160)," ")),$BJ$15:$BJ$62,$BL$15:$BL$62),_xlfn.XLOOKUP(TRIM(SUBSTITUTE(U204,CHAR(160)," ")),$BK$15:$BK$62,$BL$15:$BL$62))))*T204*IF(ISBLANK(Q204),1,Q204)+IFERROR(_xlfn.XLOOKUP("RECHERCHEX",TRIM(L204:AC204),L204:AC204),0),0))</f>
        <v/>
      </c>
      <c r="AL204" s="1030">
        <f t="shared" si="84"/>
        <v>0</v>
      </c>
      <c r="AM204" s="5254" t="str">
        <f t="shared" si="99"/>
        <v/>
      </c>
      <c r="AN204" s="1031">
        <f t="shared" si="85"/>
        <v>0</v>
      </c>
      <c r="AO204" s="1031">
        <f t="shared" si="86"/>
        <v>0</v>
      </c>
      <c r="AP204" s="1032">
        <f t="shared" si="87"/>
        <v>0</v>
      </c>
      <c r="AQ204" s="5255" t="str">
        <f t="shared" si="88"/>
        <v/>
      </c>
      <c r="AR204" s="1056"/>
      <c r="AS204" s="1056"/>
      <c r="AT204" s="1034">
        <f t="shared" si="89"/>
        <v>0</v>
      </c>
      <c r="AU204" s="1035">
        <f t="shared" si="90"/>
        <v>0</v>
      </c>
      <c r="AV204" s="1057" cm="1">
        <f t="array" ref="AV204">IF(AJ204&lt;&gt;1,0,IF(OR(AT204="",N(AT204)&lt;=0.000000001),"",IF(OR(AN204="",N(AN204)&lt;=0.000000001),0,IF(ISNUMBER(AT204),IFERROR(_xlfn.LET(_xlpm.ai_test,TRIM(AI204),_xlpm.r,IFERROR(_xlfn.XLOOKUP(_xlpm.ai_test,$BI$15:$BI$62,ROW($BI$15:$BI$62),0,1),IFERROR(_xlfn.XLOOKUP(_xlpm.ai_test,$BJ$15:$BJ$62,ROW($BJ$15:$BJ$62),0,1),_xlfn.XLOOKUP(_xlpm.ai_test,$BK$15:$BK$62,ROW($BK$15:$BK$62),0,1))),_xlpm.p,_xlpm.r-MIN(ROW($BI$15:$BI$62))+1,_xlpm.f,INDEX($BL$15:$BL$62,_xlpm.p),_xlpm.u,INDEX($BM$15:$BM$62,_xlpm.p),_xlpm.s,INDEX($BO$15:$BO$62,_xlpm.p),_xlpm.q,N(AT204)/_xlpm.f,IF(_xlpm.q&gt;=_xlpm.s,ROUND(_xlpm.q,1)&amp;" "&amp;_xlpm.ai_test&amp;" = "&amp;ROUND(_xlpm.q*_xlpm.f,1)&amp;" "&amp;_xlpm.u,ROUND(_xlpm.q,1)&amp;" "&amp;_xlpm.ai_test)),""),""))))</f>
        <v>0</v>
      </c>
      <c r="AW204" s="1047"/>
      <c r="AX204" s="1034">
        <f t="shared" si="91"/>
        <v>0</v>
      </c>
      <c r="AY204" s="1035" t="str">
        <f t="shared" si="92"/>
        <v/>
      </c>
      <c r="AZ204" s="1036">
        <f t="shared" si="97"/>
        <v>0</v>
      </c>
      <c r="BA204" s="1037" t="str">
        <f t="shared" si="93"/>
        <v/>
      </c>
      <c r="BB204" s="1038"/>
      <c r="BC204" s="1039">
        <f t="shared" si="98"/>
        <v>0</v>
      </c>
      <c r="BD204" s="1040" t="str">
        <f t="shared" si="94"/>
        <v/>
      </c>
      <c r="BE204" s="227" t="s">
        <v>22</v>
      </c>
      <c r="BF204" s="1019">
        <f t="shared" si="95"/>
        <v>0</v>
      </c>
      <c r="BG204" s="1020">
        <f t="shared" si="96"/>
        <v>0</v>
      </c>
      <c r="BH204"/>
      <c r="BQ204"/>
      <c r="BR204"/>
      <c r="BS204"/>
      <c r="BT204"/>
      <c r="BU204"/>
      <c r="BV204"/>
      <c r="BW204" s="959" t="str">
        <f t="shared" si="101"/>
        <v>►</v>
      </c>
      <c r="BX204"/>
      <c r="BY204"/>
      <c r="BZ204"/>
      <c r="CA204"/>
      <c r="CB204"/>
      <c r="CC204" s="856"/>
      <c r="CD204"/>
      <c r="CE204"/>
      <c r="CF204"/>
      <c r="CG204"/>
      <c r="CH204"/>
      <c r="CI204"/>
      <c r="CJ204"/>
      <c r="CL204"/>
      <c r="CM204"/>
      <c r="CN204"/>
      <c r="CO204"/>
      <c r="CP204"/>
      <c r="CQ204"/>
      <c r="CR204"/>
      <c r="CT204"/>
      <c r="CU204"/>
      <c r="CV204"/>
      <c r="CW204"/>
      <c r="CX204"/>
      <c r="CY204"/>
      <c r="CZ204"/>
      <c r="DB204" s="3">
        <v>1</v>
      </c>
    </row>
    <row r="205" spans="1:106" s="709" customFormat="1" ht="21" customHeight="1">
      <c r="A205" s="936" t="s">
        <v>22</v>
      </c>
      <c r="B205" s="952" t="str">
        <f t="shared" si="100"/>
        <v>►</v>
      </c>
      <c r="C205" s="993" cm="1">
        <f t="array" ref="C205">SUMPRODUCT(LEN(D205:J205))</f>
        <v>0</v>
      </c>
      <c r="D205" s="167"/>
      <c r="E205" s="172"/>
      <c r="F205" s="172"/>
      <c r="G205" s="172"/>
      <c r="H205" s="172"/>
      <c r="I205" s="172"/>
      <c r="J205" s="173"/>
      <c r="K205" s="442"/>
      <c r="L205" s="64" t="s">
        <v>16</v>
      </c>
      <c r="M205" s="65" t="str">
        <f>Q205</f>
        <v>N NOTRE BOUDIN NOIR | | Auteur &gt; Guy KRENZE - Eric GODDYN - Arnaud NICOLAS - CEPROC 2002</v>
      </c>
      <c r="N205" s="66">
        <f>Q203</f>
        <v>16.34</v>
      </c>
      <c r="O205" s="65" t="str">
        <f>R203</f>
        <v>Kg</v>
      </c>
      <c r="P205" s="67" t="str">
        <f>V205&amp;" "&amp;W205</f>
        <v>Recette mère ► le Boudin en 4 déclinaisons</v>
      </c>
      <c r="Q205" s="68" t="str">
        <f>UPPER(LEFT(R199,1))&amp;" "&amp;R199&amp;" | "&amp;Y199&amp;"| "&amp;T201&amp;" "&amp;U201</f>
        <v>N NOTRE BOUDIN NOIR | | Auteur &gt; Guy KRENZE - Eric GODDYN - Arnaud NICOLAS - CEPROC 2002</v>
      </c>
      <c r="R205" s="69" t="s">
        <v>54</v>
      </c>
      <c r="S205" s="5469" t="s">
        <v>55</v>
      </c>
      <c r="T205" s="5469"/>
      <c r="U205" s="5469"/>
      <c r="V205" s="70" t="str">
        <f>IF(ISTEXT(W205),"Recette mère ►",R205)</f>
        <v>Recette mère ►</v>
      </c>
      <c r="W205" s="71" t="s">
        <v>12836</v>
      </c>
      <c r="X205" s="71"/>
      <c r="Y205" s="72"/>
      <c r="Z205" s="1473"/>
      <c r="AA205" s="5211"/>
      <c r="AB205" s="1178"/>
      <c r="AC205" s="1179"/>
      <c r="AD205" s="227" t="s">
        <v>22</v>
      </c>
      <c r="AE205" s="1027" t="str">
        <f t="shared" si="78"/>
        <v>►</v>
      </c>
      <c r="AF205" s="1028" t="str">
        <f t="shared" si="79"/>
        <v/>
      </c>
      <c r="AG205" s="1029" t="str">
        <f t="shared" si="80"/>
        <v/>
      </c>
      <c r="AH205" s="1028" t="str">
        <f t="shared" si="81"/>
        <v/>
      </c>
      <c r="AI205" s="1029" t="str">
        <f t="shared" si="82"/>
        <v/>
      </c>
      <c r="AJ205" s="1029">
        <f t="shared" si="83"/>
        <v>0</v>
      </c>
      <c r="AK205" s="1043" t="str" cm="1">
        <f t="array" ref="AK205">IF(AE205&lt;&gt;"A","",IFERROR((IFERROR(_xlfn.XLOOKUP(TRIM(SUBSTITUTE(U205,CHAR(160)," ")),$BI$15:$BI$62,$BL$15:$BL$62),IFERROR(_xlfn.XLOOKUP(TRIM(SUBSTITUTE(U205,CHAR(160)," ")),$BJ$15:$BJ$62,$BL$15:$BL$62),_xlfn.XLOOKUP(TRIM(SUBSTITUTE(U205,CHAR(160)," ")),$BK$15:$BK$62,$BL$15:$BL$62))))*T205*IF(ISBLANK(Q205),1,Q205)+IFERROR(_xlfn.XLOOKUP("RECHERCHEX",TRIM(L205:AC205),L205:AC205),0),0))</f>
        <v/>
      </c>
      <c r="AL205" s="1030">
        <f t="shared" si="84"/>
        <v>0</v>
      </c>
      <c r="AM205" s="5254" t="str">
        <f t="shared" si="99"/>
        <v/>
      </c>
      <c r="AN205" s="1031">
        <f t="shared" si="85"/>
        <v>0</v>
      </c>
      <c r="AO205" s="1031">
        <f t="shared" si="86"/>
        <v>0</v>
      </c>
      <c r="AP205" s="1044">
        <f t="shared" si="87"/>
        <v>0</v>
      </c>
      <c r="AQ205" s="5257" t="str">
        <f t="shared" si="88"/>
        <v/>
      </c>
      <c r="AR205" s="1056"/>
      <c r="AS205" s="1056"/>
      <c r="AT205" s="1045">
        <f t="shared" si="89"/>
        <v>0</v>
      </c>
      <c r="AU205" s="1046">
        <f t="shared" si="90"/>
        <v>0</v>
      </c>
      <c r="AV205" s="1059" cm="1">
        <f t="array" ref="AV205">IF(AJ205&lt;&gt;1,0,IF(OR(AT205="",N(AT205)&lt;=0.000000001),"",IF(OR(AN205="",N(AN205)&lt;=0.000000001),0,IF(ISNUMBER(AT205),IFERROR(_xlfn.LET(_xlpm.ai_test,TRIM(AI205),_xlpm.r,IFERROR(_xlfn.XLOOKUP(_xlpm.ai_test,$BI$15:$BI$62,ROW($BI$15:$BI$62),0,1),IFERROR(_xlfn.XLOOKUP(_xlpm.ai_test,$BJ$15:$BJ$62,ROW($BJ$15:$BJ$62),0,1),_xlfn.XLOOKUP(_xlpm.ai_test,$BK$15:$BK$62,ROW($BK$15:$BK$62),0,1))),_xlpm.p,_xlpm.r-MIN(ROW($BI$15:$BI$62))+1,_xlpm.f,INDEX($BL$15:$BL$62,_xlpm.p),_xlpm.u,INDEX($BM$15:$BM$62,_xlpm.p),_xlpm.s,INDEX($BO$15:$BO$62,_xlpm.p),_xlpm.q,N(AT205)/_xlpm.f,IF(_xlpm.q&gt;=_xlpm.s,ROUND(_xlpm.q,1)&amp;" "&amp;_xlpm.ai_test&amp;" = "&amp;ROUND(_xlpm.q*_xlpm.f,1)&amp;" "&amp;_xlpm.u,ROUND(_xlpm.q,1)&amp;" "&amp;_xlpm.ai_test)),""),""))))</f>
        <v>0</v>
      </c>
      <c r="AW205" s="1047"/>
      <c r="AX205" s="1045">
        <f t="shared" si="91"/>
        <v>0</v>
      </c>
      <c r="AY205" s="1046" t="str">
        <f t="shared" si="92"/>
        <v/>
      </c>
      <c r="AZ205" s="1048">
        <f t="shared" si="97"/>
        <v>0</v>
      </c>
      <c r="BA205" s="1049" t="str">
        <f t="shared" si="93"/>
        <v/>
      </c>
      <c r="BB205" s="1038"/>
      <c r="BC205" s="1050">
        <f t="shared" si="98"/>
        <v>0</v>
      </c>
      <c r="BD205" s="1040" t="str">
        <f t="shared" si="94"/>
        <v/>
      </c>
      <c r="BE205" s="227" t="s">
        <v>22</v>
      </c>
      <c r="BF205" s="1019">
        <f t="shared" si="95"/>
        <v>0</v>
      </c>
      <c r="BG205" s="1020">
        <f t="shared" si="96"/>
        <v>0</v>
      </c>
      <c r="BH205"/>
      <c r="BQ205"/>
      <c r="BR205"/>
      <c r="BS205"/>
      <c r="BT205"/>
      <c r="BU205"/>
      <c r="BV205"/>
      <c r="BW205" s="959" t="str">
        <f t="shared" si="101"/>
        <v>►</v>
      </c>
      <c r="BX205"/>
      <c r="BY205"/>
      <c r="BZ205"/>
      <c r="CA205"/>
      <c r="CB205"/>
      <c r="CC205" s="856"/>
      <c r="CD205"/>
      <c r="CE205"/>
      <c r="CF205"/>
      <c r="CG205"/>
      <c r="CH205"/>
      <c r="CI205"/>
      <c r="CJ205"/>
      <c r="CL205"/>
      <c r="CM205"/>
      <c r="CN205"/>
      <c r="CO205"/>
      <c r="CP205"/>
      <c r="CQ205"/>
      <c r="CR205"/>
      <c r="CT205"/>
      <c r="CU205"/>
      <c r="CV205"/>
      <c r="CW205"/>
      <c r="CX205"/>
      <c r="CY205"/>
      <c r="CZ205"/>
      <c r="DB205" s="3">
        <v>1</v>
      </c>
    </row>
    <row r="206" spans="1:106" s="709" customFormat="1" ht="21" customHeight="1">
      <c r="A206" s="936" t="s">
        <v>22</v>
      </c>
      <c r="B206" s="952" t="str">
        <f t="shared" si="100"/>
        <v>►</v>
      </c>
      <c r="C206" s="993" cm="1">
        <f t="array" ref="C206">SUMPRODUCT(LEN(D206:J206))</f>
        <v>0</v>
      </c>
      <c r="D206" s="167"/>
      <c r="E206" s="172"/>
      <c r="F206" s="172"/>
      <c r="G206" s="172"/>
      <c r="H206" s="172"/>
      <c r="I206" s="172"/>
      <c r="J206" s="173"/>
      <c r="K206" s="442"/>
      <c r="L206" s="74" t="s">
        <v>16</v>
      </c>
      <c r="M206" s="75" t="str">
        <f>M205</f>
        <v>N NOTRE BOUDIN NOIR | | Auteur &gt; Guy KRENZE - Eric GODDYN - Arnaud NICOLAS - CEPROC 2002</v>
      </c>
      <c r="N206" s="75">
        <f>N205</f>
        <v>16.34</v>
      </c>
      <c r="O206" s="75" t="str">
        <f>O205</f>
        <v>Kg</v>
      </c>
      <c r="P206" s="76" t="str">
        <f>P205</f>
        <v>Recette mère ► le Boudin en 4 déclinaisons</v>
      </c>
      <c r="Q206" s="13" t="s">
        <v>66</v>
      </c>
      <c r="R206" s="13" t="s">
        <v>67</v>
      </c>
      <c r="S206" s="13" t="s">
        <v>68</v>
      </c>
      <c r="T206" s="13" t="s">
        <v>69</v>
      </c>
      <c r="U206" s="77" t="s">
        <v>70</v>
      </c>
      <c r="V206" s="78" t="s">
        <v>71</v>
      </c>
      <c r="W206" s="79" t="s">
        <v>72</v>
      </c>
      <c r="X206" s="1496" t="s">
        <v>73</v>
      </c>
      <c r="Y206" s="13" t="s">
        <v>74</v>
      </c>
      <c r="Z206" s="518" t="s">
        <v>75</v>
      </c>
      <c r="AA206" s="5211"/>
      <c r="AB206" s="1178"/>
      <c r="AC206" s="1179"/>
      <c r="AD206" s="227" t="s">
        <v>22</v>
      </c>
      <c r="AE206" s="1027" t="str">
        <f t="shared" si="78"/>
        <v>►</v>
      </c>
      <c r="AF206" s="1028" t="str">
        <f t="shared" si="79"/>
        <v/>
      </c>
      <c r="AG206" s="1029" t="str">
        <f t="shared" si="80"/>
        <v/>
      </c>
      <c r="AH206" s="1028" t="str">
        <f t="shared" si="81"/>
        <v/>
      </c>
      <c r="AI206" s="1029" t="str">
        <f t="shared" si="82"/>
        <v/>
      </c>
      <c r="AJ206" s="1029">
        <f t="shared" si="83"/>
        <v>0</v>
      </c>
      <c r="AK206" s="1043" t="str" cm="1">
        <f t="array" ref="AK206">IF(AE206&lt;&gt;"A","",IFERROR((IFERROR(_xlfn.XLOOKUP(TRIM(SUBSTITUTE(U206,CHAR(160)," ")),$BI$15:$BI$62,$BL$15:$BL$62),IFERROR(_xlfn.XLOOKUP(TRIM(SUBSTITUTE(U206,CHAR(160)," ")),$BJ$15:$BJ$62,$BL$15:$BL$62),_xlfn.XLOOKUP(TRIM(SUBSTITUTE(U206,CHAR(160)," ")),$BK$15:$BK$62,$BL$15:$BL$62))))*T206*IF(ISBLANK(Q206),1,Q206)+IFERROR(_xlfn.XLOOKUP("RECHERCHEX",TRIM(L206:AC206),L206:AC206),0),0))</f>
        <v/>
      </c>
      <c r="AL206" s="1030">
        <f t="shared" si="84"/>
        <v>0</v>
      </c>
      <c r="AM206" s="5254" t="str">
        <f t="shared" si="99"/>
        <v/>
      </c>
      <c r="AN206" s="1031">
        <f t="shared" si="85"/>
        <v>0</v>
      </c>
      <c r="AO206" s="1031">
        <f t="shared" si="86"/>
        <v>0</v>
      </c>
      <c r="AP206" s="1032">
        <f t="shared" si="87"/>
        <v>0</v>
      </c>
      <c r="AQ206" s="5255" t="str">
        <f t="shared" si="88"/>
        <v/>
      </c>
      <c r="AR206" s="1056"/>
      <c r="AS206" s="1056"/>
      <c r="AT206" s="1034">
        <f t="shared" si="89"/>
        <v>0</v>
      </c>
      <c r="AU206" s="1035">
        <f t="shared" si="90"/>
        <v>0</v>
      </c>
      <c r="AV206" s="1057" cm="1">
        <f t="array" ref="AV206">IF(AJ206&lt;&gt;1,0,IF(OR(AT206="",N(AT206)&lt;=0.000000001),"",IF(OR(AN206="",N(AN206)&lt;=0.000000001),0,IF(ISNUMBER(AT206),IFERROR(_xlfn.LET(_xlpm.ai_test,TRIM(AI206),_xlpm.r,IFERROR(_xlfn.XLOOKUP(_xlpm.ai_test,$BI$15:$BI$62,ROW($BI$15:$BI$62),0,1),IFERROR(_xlfn.XLOOKUP(_xlpm.ai_test,$BJ$15:$BJ$62,ROW($BJ$15:$BJ$62),0,1),_xlfn.XLOOKUP(_xlpm.ai_test,$BK$15:$BK$62,ROW($BK$15:$BK$62),0,1))),_xlpm.p,_xlpm.r-MIN(ROW($BI$15:$BI$62))+1,_xlpm.f,INDEX($BL$15:$BL$62,_xlpm.p),_xlpm.u,INDEX($BM$15:$BM$62,_xlpm.p),_xlpm.s,INDEX($BO$15:$BO$62,_xlpm.p),_xlpm.q,N(AT206)/_xlpm.f,IF(_xlpm.q&gt;=_xlpm.s,ROUND(_xlpm.q,1)&amp;" "&amp;_xlpm.ai_test&amp;" = "&amp;ROUND(_xlpm.q*_xlpm.f,1)&amp;" "&amp;_xlpm.u,ROUND(_xlpm.q,1)&amp;" "&amp;_xlpm.ai_test)),""),""))))</f>
        <v>0</v>
      </c>
      <c r="AW206" s="1047"/>
      <c r="AX206" s="1034">
        <f t="shared" si="91"/>
        <v>0</v>
      </c>
      <c r="AY206" s="1035" t="str">
        <f t="shared" si="92"/>
        <v/>
      </c>
      <c r="AZ206" s="1036">
        <f t="shared" si="97"/>
        <v>0</v>
      </c>
      <c r="BA206" s="1037" t="str">
        <f t="shared" si="93"/>
        <v/>
      </c>
      <c r="BB206" s="1038"/>
      <c r="BC206" s="1039">
        <f t="shared" si="98"/>
        <v>0</v>
      </c>
      <c r="BD206" s="1040" t="str">
        <f t="shared" si="94"/>
        <v/>
      </c>
      <c r="BE206" s="227" t="s">
        <v>22</v>
      </c>
      <c r="BF206" s="1019">
        <f t="shared" si="95"/>
        <v>0</v>
      </c>
      <c r="BG206" s="1020">
        <f t="shared" si="96"/>
        <v>0</v>
      </c>
      <c r="BH206"/>
      <c r="BQ206"/>
      <c r="BR206"/>
      <c r="BS206"/>
      <c r="BT206"/>
      <c r="BU206"/>
      <c r="BV206"/>
      <c r="BW206" s="959" t="str">
        <f t="shared" si="101"/>
        <v>►</v>
      </c>
      <c r="BX206"/>
      <c r="BY206"/>
      <c r="BZ206"/>
      <c r="CA206"/>
      <c r="CB206"/>
      <c r="CC206" s="856"/>
      <c r="CD206"/>
      <c r="CE206"/>
      <c r="CF206"/>
      <c r="CG206"/>
      <c r="CH206"/>
      <c r="CI206"/>
      <c r="CJ206"/>
      <c r="CL206"/>
      <c r="CM206"/>
      <c r="CN206"/>
      <c r="CO206"/>
      <c r="CP206"/>
      <c r="CQ206"/>
      <c r="CR206"/>
      <c r="CT206"/>
      <c r="CU206"/>
      <c r="CV206"/>
      <c r="CW206"/>
      <c r="CX206"/>
      <c r="CY206"/>
      <c r="CZ206"/>
      <c r="DB206" s="3">
        <v>1</v>
      </c>
    </row>
    <row r="207" spans="1:106" s="709" customFormat="1" ht="21" customHeight="1">
      <c r="A207" s="936" t="s">
        <v>22</v>
      </c>
      <c r="B207" s="952" t="str">
        <f t="shared" si="100"/>
        <v>A</v>
      </c>
      <c r="C207" s="993" cm="1">
        <f t="array" ref="C207">SUMPRODUCT(LEN(D207:J207))</f>
        <v>0</v>
      </c>
      <c r="D207" s="167"/>
      <c r="E207" s="172"/>
      <c r="F207" s="172"/>
      <c r="G207" s="172"/>
      <c r="H207" s="172"/>
      <c r="I207" s="172"/>
      <c r="J207" s="173"/>
      <c r="K207" s="442"/>
      <c r="L207" s="27" t="s">
        <v>11</v>
      </c>
      <c r="M207" s="32" t="str">
        <f>M205</f>
        <v>N NOTRE BOUDIN NOIR | | Auteur &gt; Guy KRENZE - Eric GODDYN - Arnaud NICOLAS - CEPROC 2002</v>
      </c>
      <c r="N207" s="33">
        <f>N205</f>
        <v>16.34</v>
      </c>
      <c r="O207" s="32" t="str">
        <f>O205</f>
        <v>Kg</v>
      </c>
      <c r="P207" s="34" t="str">
        <f>P205</f>
        <v>Recette mère ► le Boudin en 4 déclinaisons</v>
      </c>
      <c r="Q207" s="81" t="s">
        <v>77</v>
      </c>
      <c r="R207" s="82" t="s">
        <v>78</v>
      </c>
      <c r="S207" s="83"/>
      <c r="T207" s="5454" t="s">
        <v>79</v>
      </c>
      <c r="U207" s="5464" t="s">
        <v>80</v>
      </c>
      <c r="V207" s="5466" t="s">
        <v>81</v>
      </c>
      <c r="W207" s="84" t="s">
        <v>82</v>
      </c>
      <c r="X207" s="5444" t="s">
        <v>83</v>
      </c>
      <c r="Y207" s="5446" t="s">
        <v>3297</v>
      </c>
      <c r="Z207" s="5448" t="s">
        <v>86</v>
      </c>
      <c r="AA207" s="5211"/>
      <c r="AB207" s="1178"/>
      <c r="AC207" s="1179"/>
      <c r="AD207" s="227" t="s">
        <v>22</v>
      </c>
      <c r="AE207" s="1027" t="str">
        <f t="shared" si="78"/>
        <v>►</v>
      </c>
      <c r="AF207" s="1028" t="str">
        <f t="shared" si="79"/>
        <v/>
      </c>
      <c r="AG207" s="1029" t="str">
        <f t="shared" si="80"/>
        <v/>
      </c>
      <c r="AH207" s="1028" t="str">
        <f t="shared" si="81"/>
        <v/>
      </c>
      <c r="AI207" s="1029" t="str">
        <f t="shared" si="82"/>
        <v/>
      </c>
      <c r="AJ207" s="1029">
        <f t="shared" si="83"/>
        <v>0</v>
      </c>
      <c r="AK207" s="1043" t="str" cm="1">
        <f t="array" ref="AK207">IF(AE207&lt;&gt;"A","",IFERROR((IFERROR(_xlfn.XLOOKUP(TRIM(SUBSTITUTE(U207,CHAR(160)," ")),$BI$15:$BI$62,$BL$15:$BL$62),IFERROR(_xlfn.XLOOKUP(TRIM(SUBSTITUTE(U207,CHAR(160)," ")),$BJ$15:$BJ$62,$BL$15:$BL$62),_xlfn.XLOOKUP(TRIM(SUBSTITUTE(U207,CHAR(160)," ")),$BK$15:$BK$62,$BL$15:$BL$62))))*T207*IF(ISBLANK(Q207),1,Q207)+IFERROR(_xlfn.XLOOKUP("RECHERCHEX",TRIM(L207:AC207),L207:AC207),0),0))</f>
        <v/>
      </c>
      <c r="AL207" s="1030">
        <f t="shared" si="84"/>
        <v>0</v>
      </c>
      <c r="AM207" s="5254" t="str">
        <f t="shared" si="99"/>
        <v/>
      </c>
      <c r="AN207" s="1031">
        <f t="shared" si="85"/>
        <v>0</v>
      </c>
      <c r="AO207" s="1031">
        <f t="shared" si="86"/>
        <v>0</v>
      </c>
      <c r="AP207" s="1044">
        <f t="shared" si="87"/>
        <v>0</v>
      </c>
      <c r="AQ207" s="5257" t="str">
        <f t="shared" si="88"/>
        <v/>
      </c>
      <c r="AR207" s="1056"/>
      <c r="AS207" s="1056"/>
      <c r="AT207" s="1045">
        <f t="shared" si="89"/>
        <v>0</v>
      </c>
      <c r="AU207" s="1046">
        <f t="shared" si="90"/>
        <v>0</v>
      </c>
      <c r="AV207" s="1059" cm="1">
        <f t="array" ref="AV207">IF(AJ207&lt;&gt;1,0,IF(OR(AT207="",N(AT207)&lt;=0.000000001),"",IF(OR(AN207="",N(AN207)&lt;=0.000000001),0,IF(ISNUMBER(AT207),IFERROR(_xlfn.LET(_xlpm.ai_test,TRIM(AI207),_xlpm.r,IFERROR(_xlfn.XLOOKUP(_xlpm.ai_test,$BI$15:$BI$62,ROW($BI$15:$BI$62),0,1),IFERROR(_xlfn.XLOOKUP(_xlpm.ai_test,$BJ$15:$BJ$62,ROW($BJ$15:$BJ$62),0,1),_xlfn.XLOOKUP(_xlpm.ai_test,$BK$15:$BK$62,ROW($BK$15:$BK$62),0,1))),_xlpm.p,_xlpm.r-MIN(ROW($BI$15:$BI$62))+1,_xlpm.f,INDEX($BL$15:$BL$62,_xlpm.p),_xlpm.u,INDEX($BM$15:$BM$62,_xlpm.p),_xlpm.s,INDEX($BO$15:$BO$62,_xlpm.p),_xlpm.q,N(AT207)/_xlpm.f,IF(_xlpm.q&gt;=_xlpm.s,ROUND(_xlpm.q,1)&amp;" "&amp;_xlpm.ai_test&amp;" = "&amp;ROUND(_xlpm.q*_xlpm.f,1)&amp;" "&amp;_xlpm.u,ROUND(_xlpm.q,1)&amp;" "&amp;_xlpm.ai_test)),""),""))))</f>
        <v>0</v>
      </c>
      <c r="AW207" s="1047"/>
      <c r="AX207" s="1045">
        <f t="shared" si="91"/>
        <v>0</v>
      </c>
      <c r="AY207" s="1046" t="str">
        <f t="shared" si="92"/>
        <v/>
      </c>
      <c r="AZ207" s="1048">
        <f t="shared" si="97"/>
        <v>0</v>
      </c>
      <c r="BA207" s="1049" t="str">
        <f t="shared" si="93"/>
        <v/>
      </c>
      <c r="BB207" s="1038"/>
      <c r="BC207" s="1050">
        <f t="shared" si="98"/>
        <v>0</v>
      </c>
      <c r="BD207" s="1040" t="str">
        <f t="shared" si="94"/>
        <v/>
      </c>
      <c r="BE207" s="227" t="s">
        <v>22</v>
      </c>
      <c r="BF207" s="1019">
        <f t="shared" si="95"/>
        <v>0</v>
      </c>
      <c r="BG207" s="1020">
        <f t="shared" si="96"/>
        <v>0</v>
      </c>
      <c r="BH207"/>
      <c r="BQ207"/>
      <c r="BR207"/>
      <c r="BS207"/>
      <c r="BT207"/>
      <c r="BU207"/>
      <c r="BV207"/>
      <c r="BW207" s="959" t="str">
        <f t="shared" si="101"/>
        <v>►</v>
      </c>
      <c r="BX207"/>
      <c r="BY207"/>
      <c r="BZ207"/>
      <c r="CA207"/>
      <c r="CB207"/>
      <c r="CC207" s="856"/>
      <c r="CD207"/>
      <c r="CE207"/>
      <c r="CF207"/>
      <c r="CG207"/>
      <c r="CH207"/>
      <c r="CI207"/>
      <c r="CJ207"/>
      <c r="CL207"/>
      <c r="CM207"/>
      <c r="CN207"/>
      <c r="CO207"/>
      <c r="CP207"/>
      <c r="CQ207"/>
      <c r="CR207"/>
      <c r="CT207"/>
      <c r="CU207"/>
      <c r="CV207"/>
      <c r="CW207"/>
      <c r="CX207"/>
      <c r="CY207"/>
      <c r="CZ207"/>
      <c r="DB207" s="3">
        <v>1</v>
      </c>
    </row>
    <row r="208" spans="1:106" s="709" customFormat="1" ht="21" customHeight="1">
      <c r="A208" s="936" t="s">
        <v>22</v>
      </c>
      <c r="B208" s="952" t="str">
        <f t="shared" si="100"/>
        <v>A</v>
      </c>
      <c r="C208" s="993" cm="1">
        <f t="array" ref="C208">SUMPRODUCT(LEN(D208:J208))</f>
        <v>0</v>
      </c>
      <c r="D208" s="167"/>
      <c r="E208" s="172"/>
      <c r="F208" s="172"/>
      <c r="G208" s="172"/>
      <c r="H208" s="172"/>
      <c r="I208" s="172"/>
      <c r="J208" s="173"/>
      <c r="K208" s="442" t="s">
        <v>22</v>
      </c>
      <c r="L208" s="27" t="s">
        <v>11</v>
      </c>
      <c r="M208" s="32" t="str">
        <f>M205</f>
        <v>N NOTRE BOUDIN NOIR | | Auteur &gt; Guy KRENZE - Eric GODDYN - Arnaud NICOLAS - CEPROC 2002</v>
      </c>
      <c r="N208" s="33">
        <f>N205</f>
        <v>16.34</v>
      </c>
      <c r="O208" s="32" t="str">
        <f>O205</f>
        <v>Kg</v>
      </c>
      <c r="P208" s="34" t="str">
        <f>P205</f>
        <v>Recette mère ► le Boudin en 4 déclinaisons</v>
      </c>
      <c r="Q208" s="87" t="s">
        <v>91</v>
      </c>
      <c r="R208" s="88" t="s">
        <v>92</v>
      </c>
      <c r="S208" s="89" t="s">
        <v>93</v>
      </c>
      <c r="T208" s="5455"/>
      <c r="U208" s="5465"/>
      <c r="V208" s="5467"/>
      <c r="W208" s="90" t="s">
        <v>94</v>
      </c>
      <c r="X208" s="5445"/>
      <c r="Y208" s="5447"/>
      <c r="Z208" s="5449"/>
      <c r="AA208" s="5211"/>
      <c r="AB208" s="1178"/>
      <c r="AC208" s="1179"/>
      <c r="AD208" s="227" t="s">
        <v>22</v>
      </c>
      <c r="AE208" s="1027" t="str">
        <f t="shared" si="78"/>
        <v>►</v>
      </c>
      <c r="AF208" s="1028" t="str">
        <f t="shared" si="79"/>
        <v/>
      </c>
      <c r="AG208" s="1029" t="str">
        <f t="shared" si="80"/>
        <v/>
      </c>
      <c r="AH208" s="1028" t="str">
        <f t="shared" si="81"/>
        <v/>
      </c>
      <c r="AI208" s="1029" t="str">
        <f t="shared" si="82"/>
        <v/>
      </c>
      <c r="AJ208" s="1029">
        <f t="shared" si="83"/>
        <v>0</v>
      </c>
      <c r="AK208" s="1043" t="str" cm="1">
        <f t="array" ref="AK208">IF(AE208&lt;&gt;"A","",IFERROR((IFERROR(_xlfn.XLOOKUP(TRIM(SUBSTITUTE(U208,CHAR(160)," ")),$BI$15:$BI$62,$BL$15:$BL$62),IFERROR(_xlfn.XLOOKUP(TRIM(SUBSTITUTE(U208,CHAR(160)," ")),$BJ$15:$BJ$62,$BL$15:$BL$62),_xlfn.XLOOKUP(TRIM(SUBSTITUTE(U208,CHAR(160)," ")),$BK$15:$BK$62,$BL$15:$BL$62))))*T208*IF(ISBLANK(Q208),1,Q208)+IFERROR(_xlfn.XLOOKUP("RECHERCHEX",TRIM(L208:AC208),L208:AC208),0),0))</f>
        <v/>
      </c>
      <c r="AL208" s="1030">
        <f t="shared" si="84"/>
        <v>0</v>
      </c>
      <c r="AM208" s="5254" t="str">
        <f t="shared" si="99"/>
        <v/>
      </c>
      <c r="AN208" s="1031">
        <f t="shared" si="85"/>
        <v>0</v>
      </c>
      <c r="AO208" s="1031">
        <f t="shared" si="86"/>
        <v>0</v>
      </c>
      <c r="AP208" s="1032">
        <f t="shared" si="87"/>
        <v>0</v>
      </c>
      <c r="AQ208" s="5255" t="str">
        <f t="shared" si="88"/>
        <v/>
      </c>
      <c r="AR208" s="1056"/>
      <c r="AS208" s="1056"/>
      <c r="AT208" s="1034">
        <f t="shared" si="89"/>
        <v>0</v>
      </c>
      <c r="AU208" s="1035">
        <f t="shared" si="90"/>
        <v>0</v>
      </c>
      <c r="AV208" s="1057" cm="1">
        <f t="array" ref="AV208">IF(AJ208&lt;&gt;1,0,IF(OR(AT208="",N(AT208)&lt;=0.000000001),"",IF(OR(AN208="",N(AN208)&lt;=0.000000001),0,IF(ISNUMBER(AT208),IFERROR(_xlfn.LET(_xlpm.ai_test,TRIM(AI208),_xlpm.r,IFERROR(_xlfn.XLOOKUP(_xlpm.ai_test,$BI$15:$BI$62,ROW($BI$15:$BI$62),0,1),IFERROR(_xlfn.XLOOKUP(_xlpm.ai_test,$BJ$15:$BJ$62,ROW($BJ$15:$BJ$62),0,1),_xlfn.XLOOKUP(_xlpm.ai_test,$BK$15:$BK$62,ROW($BK$15:$BK$62),0,1))),_xlpm.p,_xlpm.r-MIN(ROW($BI$15:$BI$62))+1,_xlpm.f,INDEX($BL$15:$BL$62,_xlpm.p),_xlpm.u,INDEX($BM$15:$BM$62,_xlpm.p),_xlpm.s,INDEX($BO$15:$BO$62,_xlpm.p),_xlpm.q,N(AT208)/_xlpm.f,IF(_xlpm.q&gt;=_xlpm.s,ROUND(_xlpm.q,1)&amp;" "&amp;_xlpm.ai_test&amp;" = "&amp;ROUND(_xlpm.q*_xlpm.f,1)&amp;" "&amp;_xlpm.u,ROUND(_xlpm.q,1)&amp;" "&amp;_xlpm.ai_test)),""),""))))</f>
        <v>0</v>
      </c>
      <c r="AW208" s="1047"/>
      <c r="AX208" s="1034">
        <f t="shared" si="91"/>
        <v>0</v>
      </c>
      <c r="AY208" s="1035" t="str">
        <f t="shared" si="92"/>
        <v/>
      </c>
      <c r="AZ208" s="1036">
        <f t="shared" si="97"/>
        <v>0</v>
      </c>
      <c r="BA208" s="1037" t="str">
        <f t="shared" si="93"/>
        <v/>
      </c>
      <c r="BB208" s="1038"/>
      <c r="BC208" s="1039">
        <f t="shared" si="98"/>
        <v>0</v>
      </c>
      <c r="BD208" s="1040" t="str">
        <f t="shared" si="94"/>
        <v/>
      </c>
      <c r="BE208" s="227" t="s">
        <v>22</v>
      </c>
      <c r="BF208" s="1019">
        <f t="shared" si="95"/>
        <v>0</v>
      </c>
      <c r="BG208" s="1020">
        <f t="shared" si="96"/>
        <v>0</v>
      </c>
      <c r="BH208"/>
      <c r="BQ208"/>
      <c r="BR208"/>
      <c r="BS208"/>
      <c r="BT208"/>
      <c r="BU208"/>
      <c r="BV208"/>
      <c r="BW208" s="959" t="str">
        <f t="shared" si="101"/>
        <v>►</v>
      </c>
      <c r="BX208"/>
      <c r="BY208"/>
      <c r="BZ208"/>
      <c r="CA208"/>
      <c r="CB208"/>
      <c r="CC208" s="856"/>
      <c r="CD208"/>
      <c r="CE208"/>
      <c r="CF208"/>
      <c r="CG208"/>
      <c r="CH208"/>
      <c r="CI208"/>
      <c r="CJ208"/>
      <c r="CL208"/>
      <c r="CM208"/>
      <c r="CN208"/>
      <c r="CO208"/>
      <c r="CP208"/>
      <c r="CQ208"/>
      <c r="CR208"/>
      <c r="CT208"/>
      <c r="CU208"/>
      <c r="CV208"/>
      <c r="CW208"/>
      <c r="CX208"/>
      <c r="CY208"/>
      <c r="CZ208"/>
      <c r="DB208" s="3">
        <v>1</v>
      </c>
    </row>
    <row r="209" spans="1:106" s="709" customFormat="1" ht="21" customHeight="1">
      <c r="A209" s="936" t="s">
        <v>22</v>
      </c>
      <c r="B209" s="952" t="str">
        <f t="shared" si="100"/>
        <v>A</v>
      </c>
      <c r="C209" s="993" cm="1">
        <f t="array" ref="C209">SUMPRODUCT(LEN(D209:J209))</f>
        <v>0</v>
      </c>
      <c r="D209" s="167"/>
      <c r="E209" s="172"/>
      <c r="F209" s="172"/>
      <c r="G209" s="172"/>
      <c r="H209" s="172"/>
      <c r="I209" s="172"/>
      <c r="J209" s="173"/>
      <c r="K209" s="442" t="s">
        <v>22</v>
      </c>
      <c r="L209" s="27" t="s">
        <v>11</v>
      </c>
      <c r="M209" s="32" t="str">
        <f>M205</f>
        <v>N NOTRE BOUDIN NOIR | | Auteur &gt; Guy KRENZE - Eric GODDYN - Arnaud NICOLAS - CEPROC 2002</v>
      </c>
      <c r="N209" s="33">
        <f>N205</f>
        <v>16.34</v>
      </c>
      <c r="O209" s="32" t="str">
        <f>O205</f>
        <v>Kg</v>
      </c>
      <c r="P209" s="34" t="str">
        <f>P205</f>
        <v>Recette mère ► le Boudin en 4 déclinaisons</v>
      </c>
      <c r="Q209" s="92"/>
      <c r="R209" s="93"/>
      <c r="S209" s="94" t="str">
        <f t="shared" ref="S209:S228" si="102">IF(OR(ISTEXT(Q209), Q209&lt;=0, T209&lt;=0), "", "de")</f>
        <v/>
      </c>
      <c r="T209" s="95">
        <v>3</v>
      </c>
      <c r="U209" s="96" t="s">
        <v>0</v>
      </c>
      <c r="V209" s="127">
        <v>1</v>
      </c>
      <c r="W209" s="919" t="s">
        <v>13046</v>
      </c>
      <c r="X209" s="100">
        <f>IF(OR(ISBLANK(Q203),X203=0),0,Q209*V204)</f>
        <v>0</v>
      </c>
      <c r="Y209" s="101">
        <f>IFERROR(_xlfn.LET(_xlpm.v,IFERROR(_xlfn.XLOOKUP(U209,Q246:Z246,Q247:Z247),_xlfn.XLOOKUP(U209,Q248:Z248,Q249:Z249)),_xlpm.v*T209*V209*V204*IF(ISBLANK(Q209),1,Q209)),0)</f>
        <v>0.91799265605875147</v>
      </c>
      <c r="Z209" s="1476" t="str">
        <f>_xlfn.LET(_xlpm.unite,SUBSTITUTE(TRIM(U209)," (s)",""),_xlpm.val,Y209,_xlpm.estVol,COUNTIF(T246:Z246,_xlpm.unite)+COUNTIF(T248:Z248,_xlpm.unite)&gt;0,_xlpm.estPoids,COUNTIF(Q246:S246,_xlpm.unite)+COUNTIF(Q248:S248,_xlpm.unite)&gt;0,IF(_xlpm.estVol,IF(ROUND(_xlpm.val,3)&gt;=1,ROUND(_xlpm.val,3)&amp;" L",MAX(1,ROUND(_xlpm.val*100,0))&amp;" cl"),IF(_xlpm.estPoids,IF(ROUND(_xlpm.val,3)&gt;=1,ROUND(_xlpm.val,3)&amp;" Kg",MAX(1,ROUND(_xlpm.val*1000,0))&amp;" g"),"")))</f>
        <v>92 cl</v>
      </c>
      <c r="AA209" s="5211"/>
      <c r="AB209" s="1178"/>
      <c r="AC209" s="1179"/>
      <c r="AD209" s="227" t="s">
        <v>22</v>
      </c>
      <c r="AE209" s="1027" t="str">
        <f t="shared" si="78"/>
        <v>A</v>
      </c>
      <c r="AF209" s="1028" t="str">
        <f t="shared" si="79"/>
        <v>N NOTRE BOUDIN NOIR | | Auteur &gt; Guy KRENZE - Eric GODDYN - Arnaud NICOLAS - CEPROC 2002</v>
      </c>
      <c r="AG209" s="1029">
        <f t="shared" si="80"/>
        <v>16.34</v>
      </c>
      <c r="AH209" s="1028" t="str">
        <f t="shared" si="81"/>
        <v>Kg</v>
      </c>
      <c r="AI209" s="1029" t="str">
        <f t="shared" si="82"/>
        <v>L</v>
      </c>
      <c r="AJ209" s="1029">
        <f t="shared" si="83"/>
        <v>1</v>
      </c>
      <c r="AK209" s="1043" cm="1">
        <f t="array" ref="AK209">IF(AE209&lt;&gt;"A","",IFERROR((IFERROR(_xlfn.XLOOKUP(TRIM(SUBSTITUTE(U209,CHAR(160)," ")),$BI$15:$BI$62,$BL$15:$BL$62),IFERROR(_xlfn.XLOOKUP(TRIM(SUBSTITUTE(U209,CHAR(160)," ")),$BJ$15:$BJ$62,$BL$15:$BL$62),_xlfn.XLOOKUP(TRIM(SUBSTITUTE(U209,CHAR(160)," ")),$BK$15:$BK$62,$BL$15:$BL$62))))*T209*IF(ISBLANK(Q209),1,Q209)+IFERROR(_xlfn.XLOOKUP("RECHERCHEX",TRIM(L209:AC209),L209:AC209),0),0))</f>
        <v>3</v>
      </c>
      <c r="AL209" s="1030" t="str">
        <f t="shared" si="84"/>
        <v>Kg</v>
      </c>
      <c r="AM209" s="5254" t="str">
        <f t="shared" si="99"/>
        <v>❾ Author reference &gt;</v>
      </c>
      <c r="AN209" s="1031">
        <f t="shared" si="85"/>
        <v>16.34</v>
      </c>
      <c r="AO209" s="1031" t="str">
        <f t="shared" si="86"/>
        <v>Kg</v>
      </c>
      <c r="AP209" s="1044">
        <f t="shared" si="87"/>
        <v>40</v>
      </c>
      <c r="AQ209" s="5257" t="str">
        <f t="shared" si="88"/>
        <v>parts-ou.or.o ❾ + or - &gt;</v>
      </c>
      <c r="AR209" s="1056">
        <v>20</v>
      </c>
      <c r="AS209" s="1056" t="s">
        <v>143</v>
      </c>
      <c r="AT209" s="1045">
        <f t="shared" si="89"/>
        <v>3.6719706242350059</v>
      </c>
      <c r="AU209" s="1046" t="str">
        <f t="shared" si="90"/>
        <v>L ou kg</v>
      </c>
      <c r="AV209" s="1059" t="str" cm="1">
        <f t="array" ref="AV209">IF(AJ209&lt;&gt;1,0,IF(OR(AT209="",N(AT209)&lt;=0.000000001),"",IF(OR(AN209="",N(AN209)&lt;=0.000000001),0,IF(ISNUMBER(AT209),IFERROR(_xlfn.LET(_xlpm.ai_test,TRIM(AI209),_xlpm.r,IFERROR(_xlfn.XLOOKUP(_xlpm.ai_test,$BI$15:$BI$62,ROW($BI$15:$BI$62),0,1),IFERROR(_xlfn.XLOOKUP(_xlpm.ai_test,$BJ$15:$BJ$62,ROW($BJ$15:$BJ$62),0,1),_xlfn.XLOOKUP(_xlpm.ai_test,$BK$15:$BK$62,ROW($BK$15:$BK$62),0,1))),_xlpm.p,_xlpm.r-MIN(ROW($BI$15:$BI$62))+1,_xlpm.f,INDEX($BL$15:$BL$62,_xlpm.p),_xlpm.u,INDEX($BM$15:$BM$62,_xlpm.p),_xlpm.s,INDEX($BO$15:$BO$62,_xlpm.p),_xlpm.q,N(AT209)/_xlpm.f,IF(_xlpm.q&gt;=_xlpm.s,ROUND(_xlpm.q,1)&amp;" "&amp;_xlpm.ai_test&amp;" = "&amp;ROUND(_xlpm.q*_xlpm.f,1)&amp;" "&amp;_xlpm.u,ROUND(_xlpm.q,1)&amp;" "&amp;_xlpm.ai_test)),""),""))))</f>
        <v>3.7 L = 3.7 L ou kg</v>
      </c>
      <c r="AW209" s="1047"/>
      <c r="AX209" s="1045">
        <f t="shared" si="91"/>
        <v>3.6719706242350059</v>
      </c>
      <c r="AY209" s="1046" t="str">
        <f t="shared" si="92"/>
        <v>L ou kg</v>
      </c>
      <c r="AZ209" s="1048">
        <f t="shared" si="97"/>
        <v>0</v>
      </c>
      <c r="BA209" s="1049" t="str">
        <f t="shared" si="93"/>
        <v/>
      </c>
      <c r="BB209" s="1038"/>
      <c r="BC209" s="1050">
        <f t="shared" si="98"/>
        <v>0</v>
      </c>
      <c r="BD209" s="1040" t="str">
        <f t="shared" si="94"/>
        <v>sang non salé</v>
      </c>
      <c r="BE209" s="227" t="s">
        <v>22</v>
      </c>
      <c r="BF209" s="1019">
        <f t="shared" si="95"/>
        <v>0</v>
      </c>
      <c r="BG209" s="1020">
        <f t="shared" si="96"/>
        <v>1.2239902080783354</v>
      </c>
      <c r="BH209"/>
      <c r="BQ209"/>
      <c r="BR209"/>
      <c r="BS209"/>
      <c r="BT209"/>
      <c r="BU209"/>
      <c r="BV209"/>
      <c r="BW209" s="959" t="str">
        <f t="shared" si="101"/>
        <v>A</v>
      </c>
      <c r="BX209"/>
      <c r="BY209"/>
      <c r="BZ209"/>
      <c r="CA209"/>
      <c r="CB209"/>
      <c r="CC209" s="856"/>
      <c r="CD209"/>
      <c r="CE209"/>
      <c r="CF209"/>
      <c r="CG209"/>
      <c r="CH209"/>
      <c r="CI209"/>
      <c r="CJ209"/>
      <c r="CL209"/>
      <c r="CM209"/>
      <c r="CN209"/>
      <c r="CO209"/>
      <c r="CP209"/>
      <c r="CQ209"/>
      <c r="CR209"/>
      <c r="CT209"/>
      <c r="CU209"/>
      <c r="CV209"/>
      <c r="CW209"/>
      <c r="CX209"/>
      <c r="CY209"/>
      <c r="CZ209"/>
      <c r="DB209" s="3">
        <v>1</v>
      </c>
    </row>
    <row r="210" spans="1:106" s="709" customFormat="1" ht="21" customHeight="1">
      <c r="A210" s="936" t="s">
        <v>22</v>
      </c>
      <c r="B210" s="952" t="str">
        <f t="shared" si="100"/>
        <v>A</v>
      </c>
      <c r="C210" s="993" cm="1">
        <f t="array" ref="C210">SUMPRODUCT(LEN(D210:J210))</f>
        <v>0</v>
      </c>
      <c r="D210" s="167"/>
      <c r="E210" s="172"/>
      <c r="F210" s="172"/>
      <c r="G210" s="172"/>
      <c r="H210" s="172"/>
      <c r="I210" s="172"/>
      <c r="J210" s="173"/>
      <c r="K210" s="442" t="s">
        <v>22</v>
      </c>
      <c r="L210" s="104" t="str">
        <f t="shared" ref="L210:L228" si="103">IF(W210&lt;&gt;"","A","►")</f>
        <v>A</v>
      </c>
      <c r="M210" s="32" t="str">
        <f>M205</f>
        <v>N NOTRE BOUDIN NOIR | | Auteur &gt; Guy KRENZE - Eric GODDYN - Arnaud NICOLAS - CEPROC 2002</v>
      </c>
      <c r="N210" s="33">
        <f>N205</f>
        <v>16.34</v>
      </c>
      <c r="O210" s="32" t="str">
        <f>O205</f>
        <v>Kg</v>
      </c>
      <c r="P210" s="34" t="str">
        <f>P205</f>
        <v>Recette mère ► le Boudin en 4 déclinaisons</v>
      </c>
      <c r="Q210" s="92"/>
      <c r="R210" s="93"/>
      <c r="S210" s="94" t="str">
        <f t="shared" si="102"/>
        <v/>
      </c>
      <c r="T210" s="95">
        <v>9</v>
      </c>
      <c r="U210" s="140" t="s">
        <v>143</v>
      </c>
      <c r="V210" s="127">
        <v>1</v>
      </c>
      <c r="W210" s="920" t="s">
        <v>13080</v>
      </c>
      <c r="X210" s="1495">
        <f>IF(OR(ISBLANK(Q203),X203=0),0,Q210*V204)</f>
        <v>0</v>
      </c>
      <c r="Y210" s="101">
        <f>IFERROR(_xlfn.LET(_xlpm.v,IFERROR(_xlfn.XLOOKUP(U210,Q246:Z246,Q247:Z247),_xlfn.XLOOKUP(U210,Q248:Z248,Q249:Z249)),_xlpm.v*T210*V210*V204*IF(ISBLANK(Q210),1,Q210)),0)</f>
        <v>2.7539779681762546</v>
      </c>
      <c r="Z210" s="1475" t="str">
        <f>_xlfn.LET(_xlpm.unite,SUBSTITUTE(TRIM(U210)," (s)",""),_xlpm.val,Y210,_xlpm.estVol,COUNTIF(T246:Z246,_xlpm.unite)+COUNTIF(T248:Z248,_xlpm.unite)&gt;0,_xlpm.estPoids,COUNTIF(Q246:S246,_xlpm.unite)+COUNTIF(Q248:S248,_xlpm.unite)&gt;0,IF(_xlpm.estVol,IF(ROUND(_xlpm.val,3)&gt;=1,ROUND(_xlpm.val,3)&amp;" L",MAX(1,ROUND(_xlpm.val*100,0))&amp;" cl"),IF(_xlpm.estPoids,IF(ROUND(_xlpm.val,3)&gt;=1,ROUND(_xlpm.val,3)&amp;" Kg",MAX(1,ROUND(_xlpm.val*1000,0))&amp;" g"),"")))</f>
        <v>2.754 Kg</v>
      </c>
      <c r="AA210" s="5211"/>
      <c r="AB210" s="1178"/>
      <c r="AC210" s="1179"/>
      <c r="AD210" s="227" t="s">
        <v>22</v>
      </c>
      <c r="AE210" s="1027" t="str">
        <f t="shared" si="78"/>
        <v>A</v>
      </c>
      <c r="AF210" s="1028" t="str">
        <f t="shared" si="79"/>
        <v>N NOTRE BOUDIN NOIR | | Auteur &gt; Guy KRENZE - Eric GODDYN - Arnaud NICOLAS - CEPROC 2002</v>
      </c>
      <c r="AG210" s="1029">
        <f t="shared" si="80"/>
        <v>16.34</v>
      </c>
      <c r="AH210" s="1028" t="str">
        <f t="shared" si="81"/>
        <v>Kg</v>
      </c>
      <c r="AI210" s="1029" t="str">
        <f t="shared" si="82"/>
        <v>kg</v>
      </c>
      <c r="AJ210" s="1029">
        <f t="shared" si="83"/>
        <v>1</v>
      </c>
      <c r="AK210" s="1043" cm="1">
        <f t="array" ref="AK210">IF(AE210&lt;&gt;"A","",IFERROR((IFERROR(_xlfn.XLOOKUP(TRIM(SUBSTITUTE(U210,CHAR(160)," ")),$BI$15:$BI$62,$BL$15:$BL$62),IFERROR(_xlfn.XLOOKUP(TRIM(SUBSTITUTE(U210,CHAR(160)," ")),$BJ$15:$BJ$62,$BL$15:$BL$62),_xlfn.XLOOKUP(TRIM(SUBSTITUTE(U210,CHAR(160)," ")),$BK$15:$BK$62,$BL$15:$BL$62))))*T210*IF(ISBLANK(Q210),1,Q210)+IFERROR(_xlfn.XLOOKUP("RECHERCHEX",TRIM(L210:AC210),L210:AC210),0),0))</f>
        <v>9</v>
      </c>
      <c r="AL210" s="1030" t="str">
        <f t="shared" si="84"/>
        <v>Kg</v>
      </c>
      <c r="AM210" s="5254" t="str">
        <f t="shared" si="99"/>
        <v>❾ Author reference &gt;</v>
      </c>
      <c r="AN210" s="1031">
        <f t="shared" si="85"/>
        <v>16.34</v>
      </c>
      <c r="AO210" s="1031" t="str">
        <f t="shared" si="86"/>
        <v>Kg</v>
      </c>
      <c r="AP210" s="1032">
        <f t="shared" si="87"/>
        <v>40</v>
      </c>
      <c r="AQ210" s="5255" t="str">
        <f t="shared" si="88"/>
        <v>parts-ou.or.o ❾ + or - &gt;</v>
      </c>
      <c r="AR210" s="1056">
        <v>20</v>
      </c>
      <c r="AS210" s="1056" t="s">
        <v>143</v>
      </c>
      <c r="AT210" s="1034">
        <f t="shared" si="89"/>
        <v>11.015911872705018</v>
      </c>
      <c r="AU210" s="1035" t="str">
        <f t="shared" si="90"/>
        <v>Kg</v>
      </c>
      <c r="AV210" s="1057" t="str" cm="1">
        <f t="array" ref="AV210">IF(AJ210&lt;&gt;1,0,IF(OR(AT210="",N(AT210)&lt;=0.000000001),"",IF(OR(AN210="",N(AN210)&lt;=0.000000001),0,IF(ISNUMBER(AT210),IFERROR(_xlfn.LET(_xlpm.ai_test,TRIM(AI210),_xlpm.r,IFERROR(_xlfn.XLOOKUP(_xlpm.ai_test,$BI$15:$BI$62,ROW($BI$15:$BI$62),0,1),IFERROR(_xlfn.XLOOKUP(_xlpm.ai_test,$BJ$15:$BJ$62,ROW($BJ$15:$BJ$62),0,1),_xlfn.XLOOKUP(_xlpm.ai_test,$BK$15:$BK$62,ROW($BK$15:$BK$62),0,1))),_xlpm.p,_xlpm.r-MIN(ROW($BI$15:$BI$62))+1,_xlpm.f,INDEX($BL$15:$BL$62,_xlpm.p),_xlpm.u,INDEX($BM$15:$BM$62,_xlpm.p),_xlpm.s,INDEX($BO$15:$BO$62,_xlpm.p),_xlpm.q,N(AT210)/_xlpm.f,IF(_xlpm.q&gt;=_xlpm.s,ROUND(_xlpm.q,1)&amp;" "&amp;_xlpm.ai_test&amp;" = "&amp;ROUND(_xlpm.q*_xlpm.f,1)&amp;" "&amp;_xlpm.u,ROUND(_xlpm.q,1)&amp;" "&amp;_xlpm.ai_test)),""),""))))</f>
        <v>11 kg = 11 Kg</v>
      </c>
      <c r="AW210" s="1047"/>
      <c r="AX210" s="1034">
        <f t="shared" si="91"/>
        <v>11.015911872705018</v>
      </c>
      <c r="AY210" s="1035" t="str">
        <f t="shared" si="92"/>
        <v>Kg</v>
      </c>
      <c r="AZ210" s="1036">
        <f t="shared" si="97"/>
        <v>0</v>
      </c>
      <c r="BA210" s="1037" t="str">
        <f t="shared" si="93"/>
        <v/>
      </c>
      <c r="BB210" s="1038"/>
      <c r="BC210" s="1039">
        <f t="shared" si="98"/>
        <v>0</v>
      </c>
      <c r="BD210" s="1040" t="str">
        <f t="shared" si="94"/>
        <v xml:space="preserve">oignons crus </v>
      </c>
      <c r="BE210" s="227" t="s">
        <v>22</v>
      </c>
      <c r="BF210" s="1019">
        <f t="shared" si="95"/>
        <v>0</v>
      </c>
      <c r="BG210" s="1020">
        <f t="shared" si="96"/>
        <v>1.2239902080783354</v>
      </c>
      <c r="BH210"/>
      <c r="BQ210"/>
      <c r="BR210"/>
      <c r="BS210"/>
      <c r="BT210"/>
      <c r="BU210"/>
      <c r="BV210"/>
      <c r="BW210" s="959" t="str">
        <f t="shared" si="101"/>
        <v>A</v>
      </c>
      <c r="BX210"/>
      <c r="BY210"/>
      <c r="BZ210"/>
      <c r="CA210"/>
      <c r="CB210"/>
      <c r="CC210" s="856"/>
      <c r="CD210"/>
      <c r="CE210"/>
      <c r="CF210"/>
      <c r="CG210"/>
      <c r="CH210"/>
      <c r="CI210"/>
      <c r="CJ210"/>
      <c r="CL210"/>
      <c r="CM210"/>
      <c r="CN210"/>
      <c r="CO210"/>
      <c r="CP210"/>
      <c r="CQ210"/>
      <c r="CR210"/>
      <c r="CT210"/>
      <c r="CU210"/>
      <c r="CV210"/>
      <c r="CW210"/>
      <c r="CX210"/>
      <c r="CY210"/>
      <c r="CZ210"/>
      <c r="DB210" s="3">
        <v>1</v>
      </c>
    </row>
    <row r="211" spans="1:106" s="709" customFormat="1" ht="21" customHeight="1">
      <c r="A211" s="936" t="s">
        <v>22</v>
      </c>
      <c r="B211" s="952" t="str">
        <f t="shared" si="100"/>
        <v>A</v>
      </c>
      <c r="C211" s="993" cm="1">
        <f t="array" ref="C211">SUMPRODUCT(LEN(D211:J211))</f>
        <v>0</v>
      </c>
      <c r="D211" s="167"/>
      <c r="E211" s="172"/>
      <c r="F211" s="172"/>
      <c r="G211" s="172"/>
      <c r="H211" s="172"/>
      <c r="I211" s="172"/>
      <c r="J211" s="173"/>
      <c r="K211" s="442" t="s">
        <v>22</v>
      </c>
      <c r="L211" s="104" t="str">
        <f t="shared" si="103"/>
        <v>A</v>
      </c>
      <c r="M211" s="32" t="str">
        <f>M205</f>
        <v>N NOTRE BOUDIN NOIR | | Auteur &gt; Guy KRENZE - Eric GODDYN - Arnaud NICOLAS - CEPROC 2002</v>
      </c>
      <c r="N211" s="33">
        <f>N205</f>
        <v>16.34</v>
      </c>
      <c r="O211" s="32" t="str">
        <f>O205</f>
        <v>Kg</v>
      </c>
      <c r="P211" s="34" t="str">
        <f>P205</f>
        <v>Recette mère ► le Boudin en 4 déclinaisons</v>
      </c>
      <c r="Q211" s="92"/>
      <c r="R211" s="108"/>
      <c r="S211" s="94" t="str">
        <f t="shared" si="102"/>
        <v/>
      </c>
      <c r="T211" s="95"/>
      <c r="U211" s="126"/>
      <c r="V211" s="127">
        <v>1</v>
      </c>
      <c r="W211" s="5152" t="str">
        <f>"x par 1.33 = oignons frais &gt; "&amp;ROUND(Y210*1.33,2)&amp;" Kg"</f>
        <v>x par 1.33 = oignons frais &gt; 3.66 Kg</v>
      </c>
      <c r="X211" s="5159">
        <f>IF(OR(ISBLANK(Q203),X203=0),0,Q211*V204)</f>
        <v>0</v>
      </c>
      <c r="Y211" s="5160">
        <f>IFERROR(_xlfn.LET(_xlpm.v,IFERROR(_xlfn.XLOOKUP(U211,Q246:Z246,Q247:Z247),_xlfn.XLOOKUP(U211,Q248:Z248,Q249:Z249)),_xlpm.v*T211*V211*V204*IF(ISBLANK(Q211),1,Q211)),0)</f>
        <v>0</v>
      </c>
      <c r="Z211" s="5161" t="str">
        <f>_xlfn.LET(_xlpm.unite,SUBSTITUTE(TRIM(U211)," (s)",""),_xlpm.val,Y211,_xlpm.estVol,COUNTIF(T246:Z246,_xlpm.unite)+COUNTIF(T248:Z248,_xlpm.unite)&gt;0,_xlpm.estPoids,COUNTIF(Q246:S246,_xlpm.unite)+COUNTIF(Q248:S248,_xlpm.unite)&gt;0,IF(_xlpm.estVol,IF(ROUND(_xlpm.val,3)&gt;=1,ROUND(_xlpm.val,3)&amp;" L",MAX(1,ROUND(_xlpm.val*100,0))&amp;" cl"),IF(_xlpm.estPoids,IF(ROUND(_xlpm.val,3)&gt;=1,ROUND(_xlpm.val,3)&amp;" Kg",MAX(1,ROUND(_xlpm.val*1000,0))&amp;" g"),"")))</f>
        <v/>
      </c>
      <c r="AA211" s="5211"/>
      <c r="AB211" s="1178"/>
      <c r="AC211" s="1179"/>
      <c r="AD211" s="227" t="s">
        <v>22</v>
      </c>
      <c r="AE211" s="1027" t="str">
        <f t="shared" si="78"/>
        <v>►</v>
      </c>
      <c r="AF211" s="1028" t="str">
        <f t="shared" si="79"/>
        <v/>
      </c>
      <c r="AG211" s="1029" t="str">
        <f t="shared" si="80"/>
        <v/>
      </c>
      <c r="AH211" s="1028" t="str">
        <f t="shared" si="81"/>
        <v/>
      </c>
      <c r="AI211" s="1029" t="str">
        <f t="shared" si="82"/>
        <v/>
      </c>
      <c r="AJ211" s="1029">
        <f t="shared" si="83"/>
        <v>0</v>
      </c>
      <c r="AK211" s="1043" t="str" cm="1">
        <f t="array" ref="AK211">IF(AE211&lt;&gt;"A","",IFERROR((IFERROR(_xlfn.XLOOKUP(TRIM(SUBSTITUTE(U211,CHAR(160)," ")),$BI$15:$BI$62,$BL$15:$BL$62),IFERROR(_xlfn.XLOOKUP(TRIM(SUBSTITUTE(U211,CHAR(160)," ")),$BJ$15:$BJ$62,$BL$15:$BL$62),_xlfn.XLOOKUP(TRIM(SUBSTITUTE(U211,CHAR(160)," ")),$BK$15:$BK$62,$BL$15:$BL$62))))*T211*IF(ISBLANK(Q211),1,Q211)+IFERROR(_xlfn.XLOOKUP("RECHERCHEX",TRIM(L211:AC211),L211:AC211),0),0))</f>
        <v/>
      </c>
      <c r="AL211" s="1030">
        <f t="shared" si="84"/>
        <v>0</v>
      </c>
      <c r="AM211" s="5254" t="str">
        <f t="shared" si="99"/>
        <v/>
      </c>
      <c r="AN211" s="1031">
        <f t="shared" si="85"/>
        <v>0</v>
      </c>
      <c r="AO211" s="1031">
        <f t="shared" si="86"/>
        <v>0</v>
      </c>
      <c r="AP211" s="1044">
        <f t="shared" si="87"/>
        <v>0</v>
      </c>
      <c r="AQ211" s="5257" t="str">
        <f t="shared" si="88"/>
        <v/>
      </c>
      <c r="AR211" s="1056"/>
      <c r="AS211" s="1056"/>
      <c r="AT211" s="1045">
        <f t="shared" si="89"/>
        <v>0</v>
      </c>
      <c r="AU211" s="1046">
        <f t="shared" si="90"/>
        <v>0</v>
      </c>
      <c r="AV211" s="1059" cm="1">
        <f t="array" ref="AV211">IF(AJ211&lt;&gt;1,0,IF(OR(AT211="",N(AT211)&lt;=0.000000001),"",IF(OR(AN211="",N(AN211)&lt;=0.000000001),0,IF(ISNUMBER(AT211),IFERROR(_xlfn.LET(_xlpm.ai_test,TRIM(AI211),_xlpm.r,IFERROR(_xlfn.XLOOKUP(_xlpm.ai_test,$BI$15:$BI$62,ROW($BI$15:$BI$62),0,1),IFERROR(_xlfn.XLOOKUP(_xlpm.ai_test,$BJ$15:$BJ$62,ROW($BJ$15:$BJ$62),0,1),_xlfn.XLOOKUP(_xlpm.ai_test,$BK$15:$BK$62,ROW($BK$15:$BK$62),0,1))),_xlpm.p,_xlpm.r-MIN(ROW($BI$15:$BI$62))+1,_xlpm.f,INDEX($BL$15:$BL$62,_xlpm.p),_xlpm.u,INDEX($BM$15:$BM$62,_xlpm.p),_xlpm.s,INDEX($BO$15:$BO$62,_xlpm.p),_xlpm.q,N(AT211)/_xlpm.f,IF(_xlpm.q&gt;=_xlpm.s,ROUND(_xlpm.q,1)&amp;" "&amp;_xlpm.ai_test&amp;" = "&amp;ROUND(_xlpm.q*_xlpm.f,1)&amp;" "&amp;_xlpm.u,ROUND(_xlpm.q,1)&amp;" "&amp;_xlpm.ai_test)),""),""))))</f>
        <v>0</v>
      </c>
      <c r="AW211" s="1047"/>
      <c r="AX211" s="1045">
        <f t="shared" si="91"/>
        <v>0</v>
      </c>
      <c r="AY211" s="1046" t="str">
        <f t="shared" si="92"/>
        <v/>
      </c>
      <c r="AZ211" s="1048">
        <f t="shared" si="97"/>
        <v>0</v>
      </c>
      <c r="BA211" s="1049" t="str">
        <f t="shared" si="93"/>
        <v/>
      </c>
      <c r="BB211" s="1038"/>
      <c r="BC211" s="1050">
        <f t="shared" si="98"/>
        <v>0</v>
      </c>
      <c r="BD211" s="1040" t="str">
        <f t="shared" si="94"/>
        <v/>
      </c>
      <c r="BE211" s="227" t="s">
        <v>22</v>
      </c>
      <c r="BF211" s="1019">
        <f t="shared" si="95"/>
        <v>0</v>
      </c>
      <c r="BG211" s="1020">
        <f t="shared" si="96"/>
        <v>0</v>
      </c>
      <c r="BH211"/>
      <c r="BQ211"/>
      <c r="BR211"/>
      <c r="BS211"/>
      <c r="BT211"/>
      <c r="BU211"/>
      <c r="BV211"/>
      <c r="BW211" s="959" t="str">
        <f t="shared" si="101"/>
        <v>►</v>
      </c>
      <c r="BX211"/>
      <c r="BY211"/>
      <c r="BZ211"/>
      <c r="CA211"/>
      <c r="CB211"/>
      <c r="CC211" s="856"/>
      <c r="CD211"/>
      <c r="CE211"/>
      <c r="CF211"/>
      <c r="CG211"/>
      <c r="CH211"/>
      <c r="CI211"/>
      <c r="CJ211"/>
      <c r="CL211"/>
      <c r="CM211"/>
      <c r="CN211"/>
      <c r="CO211"/>
      <c r="CP211"/>
      <c r="CQ211"/>
      <c r="CR211"/>
      <c r="CT211"/>
      <c r="CU211"/>
      <c r="CV211"/>
      <c r="CW211"/>
      <c r="CX211"/>
      <c r="CY211"/>
      <c r="CZ211"/>
      <c r="DB211" s="3">
        <v>1</v>
      </c>
    </row>
    <row r="212" spans="1:106" s="709" customFormat="1" ht="21" customHeight="1">
      <c r="A212" s="936" t="s">
        <v>22</v>
      </c>
      <c r="B212" s="952" t="str">
        <f t="shared" si="100"/>
        <v>A</v>
      </c>
      <c r="C212" s="993" cm="1">
        <f t="array" ref="C212">SUMPRODUCT(LEN(D212:J212))</f>
        <v>0</v>
      </c>
      <c r="D212" s="167"/>
      <c r="E212" s="172"/>
      <c r="F212" s="172"/>
      <c r="G212" s="172"/>
      <c r="H212" s="172"/>
      <c r="I212" s="172"/>
      <c r="J212" s="173"/>
      <c r="K212" s="442" t="s">
        <v>22</v>
      </c>
      <c r="L212" s="104" t="str">
        <f t="shared" si="103"/>
        <v>A</v>
      </c>
      <c r="M212" s="32" t="str">
        <f>M205</f>
        <v>N NOTRE BOUDIN NOIR | | Auteur &gt; Guy KRENZE - Eric GODDYN - Arnaud NICOLAS - CEPROC 2002</v>
      </c>
      <c r="N212" s="33">
        <f>N205</f>
        <v>16.34</v>
      </c>
      <c r="O212" s="32" t="str">
        <f>O205</f>
        <v>Kg</v>
      </c>
      <c r="P212" s="34" t="str">
        <f>P205</f>
        <v>Recette mère ► le Boudin en 4 déclinaisons</v>
      </c>
      <c r="Q212" s="92"/>
      <c r="R212" s="108"/>
      <c r="S212" s="94" t="str">
        <f t="shared" si="102"/>
        <v/>
      </c>
      <c r="T212" s="5110">
        <v>1.5</v>
      </c>
      <c r="U212" s="140" t="s">
        <v>143</v>
      </c>
      <c r="V212" s="127">
        <v>1</v>
      </c>
      <c r="W212" s="920" t="s">
        <v>13047</v>
      </c>
      <c r="X212" s="1495">
        <f>IF(OR(ISBLANK(Q203),X203=0),0,Q212*V204)</f>
        <v>0</v>
      </c>
      <c r="Y212" s="101">
        <f>IFERROR(_xlfn.LET(_xlpm.v,IFERROR(_xlfn.XLOOKUP(U212,Q246:Z246,Q247:Z247),_xlfn.XLOOKUP(U212,Q248:Z248,Q249:Z249)),_xlpm.v*T212*V212*V204*IF(ISBLANK(Q212),1,Q212)),0)</f>
        <v>0.45899632802937573</v>
      </c>
      <c r="Z212" s="1475" t="str">
        <f>_xlfn.LET(_xlpm.unite,SUBSTITUTE(TRIM(U212)," (s)",""),_xlpm.val,Y212,_xlpm.estVol,COUNTIF(T246:Z246,_xlpm.unite)+COUNTIF(T248:Z248,_xlpm.unite)&gt;0,_xlpm.estPoids,COUNTIF(Q246:S246,_xlpm.unite)+COUNTIF(Q248:S248,_xlpm.unite)&gt;0,IF(_xlpm.estVol,IF(ROUND(_xlpm.val,3)&gt;=1,ROUND(_xlpm.val,3)&amp;" L",MAX(1,ROUND(_xlpm.val*100,0))&amp;" cl"),IF(_xlpm.estPoids,IF(ROUND(_xlpm.val,3)&gt;=1,ROUND(_xlpm.val,3)&amp;" Kg",MAX(1,ROUND(_xlpm.val*1000,0))&amp;" g"),"")))</f>
        <v>459 g</v>
      </c>
      <c r="AA212" s="5211"/>
      <c r="AB212" s="1178"/>
      <c r="AC212" s="1179"/>
      <c r="AD212" s="227" t="s">
        <v>22</v>
      </c>
      <c r="AE212" s="1027" t="str">
        <f t="shared" si="78"/>
        <v>A</v>
      </c>
      <c r="AF212" s="1028" t="str">
        <f t="shared" si="79"/>
        <v>N NOTRE BOUDIN NOIR | | Auteur &gt; Guy KRENZE - Eric GODDYN - Arnaud NICOLAS - CEPROC 2002</v>
      </c>
      <c r="AG212" s="1029">
        <f t="shared" si="80"/>
        <v>16.34</v>
      </c>
      <c r="AH212" s="1028" t="str">
        <f t="shared" si="81"/>
        <v>Kg</v>
      </c>
      <c r="AI212" s="1029" t="str">
        <f t="shared" si="82"/>
        <v>kg</v>
      </c>
      <c r="AJ212" s="1029">
        <f t="shared" si="83"/>
        <v>1</v>
      </c>
      <c r="AK212" s="1043" cm="1">
        <f t="array" ref="AK212">IF(AE212&lt;&gt;"A","",IFERROR((IFERROR(_xlfn.XLOOKUP(TRIM(SUBSTITUTE(U212,CHAR(160)," ")),$BI$15:$BI$62,$BL$15:$BL$62),IFERROR(_xlfn.XLOOKUP(TRIM(SUBSTITUTE(U212,CHAR(160)," ")),$BJ$15:$BJ$62,$BL$15:$BL$62),_xlfn.XLOOKUP(TRIM(SUBSTITUTE(U212,CHAR(160)," ")),$BK$15:$BK$62,$BL$15:$BL$62))))*T212*IF(ISBLANK(Q212),1,Q212)+IFERROR(_xlfn.XLOOKUP("RECHERCHEX",TRIM(L212:AC212),L212:AC212),0),0))</f>
        <v>1.5</v>
      </c>
      <c r="AL212" s="1030" t="str">
        <f t="shared" si="84"/>
        <v>Kg</v>
      </c>
      <c r="AM212" s="5254" t="str">
        <f t="shared" si="99"/>
        <v>❾ Author reference &gt;</v>
      </c>
      <c r="AN212" s="1031">
        <f t="shared" si="85"/>
        <v>16.34</v>
      </c>
      <c r="AO212" s="1031" t="str">
        <f t="shared" si="86"/>
        <v>Kg</v>
      </c>
      <c r="AP212" s="1032">
        <f t="shared" si="87"/>
        <v>40</v>
      </c>
      <c r="AQ212" s="5255" t="str">
        <f t="shared" si="88"/>
        <v>parts-ou.or.o ❾ + or - &gt;</v>
      </c>
      <c r="AR212" s="1056">
        <v>20</v>
      </c>
      <c r="AS212" s="1056" t="s">
        <v>143</v>
      </c>
      <c r="AT212" s="1034">
        <f t="shared" si="89"/>
        <v>1.8359853121175029</v>
      </c>
      <c r="AU212" s="1035" t="str">
        <f t="shared" si="90"/>
        <v>Kg</v>
      </c>
      <c r="AV212" s="1057" t="str" cm="1">
        <f t="array" ref="AV212">IF(AJ212&lt;&gt;1,0,IF(OR(AT212="",N(AT212)&lt;=0.000000001),"",IF(OR(AN212="",N(AN212)&lt;=0.000000001),0,IF(ISNUMBER(AT212),IFERROR(_xlfn.LET(_xlpm.ai_test,TRIM(AI212),_xlpm.r,IFERROR(_xlfn.XLOOKUP(_xlpm.ai_test,$BI$15:$BI$62,ROW($BI$15:$BI$62),0,1),IFERROR(_xlfn.XLOOKUP(_xlpm.ai_test,$BJ$15:$BJ$62,ROW($BJ$15:$BJ$62),0,1),_xlfn.XLOOKUP(_xlpm.ai_test,$BK$15:$BK$62,ROW($BK$15:$BK$62),0,1))),_xlpm.p,_xlpm.r-MIN(ROW($BI$15:$BI$62))+1,_xlpm.f,INDEX($BL$15:$BL$62,_xlpm.p),_xlpm.u,INDEX($BM$15:$BM$62,_xlpm.p),_xlpm.s,INDEX($BO$15:$BO$62,_xlpm.p),_xlpm.q,N(AT212)/_xlpm.f,IF(_xlpm.q&gt;=_xlpm.s,ROUND(_xlpm.q,1)&amp;" "&amp;_xlpm.ai_test&amp;" = "&amp;ROUND(_xlpm.q*_xlpm.f,1)&amp;" "&amp;_xlpm.u,ROUND(_xlpm.q,1)&amp;" "&amp;_xlpm.ai_test)),""),""))))</f>
        <v>1.8 kg = 1.8 Kg</v>
      </c>
      <c r="AW212" s="1047"/>
      <c r="AX212" s="1034">
        <f t="shared" si="91"/>
        <v>1.8359853121175029</v>
      </c>
      <c r="AY212" s="1035" t="str">
        <f t="shared" si="92"/>
        <v>Kg</v>
      </c>
      <c r="AZ212" s="1036">
        <f t="shared" si="97"/>
        <v>0</v>
      </c>
      <c r="BA212" s="1037" t="str">
        <f t="shared" si="93"/>
        <v/>
      </c>
      <c r="BB212" s="1038"/>
      <c r="BC212" s="1039">
        <f t="shared" si="98"/>
        <v>0</v>
      </c>
      <c r="BD212" s="1040" t="str">
        <f t="shared" si="94"/>
        <v>gras dur cuit</v>
      </c>
      <c r="BE212" s="227" t="s">
        <v>22</v>
      </c>
      <c r="BF212" s="1019">
        <f t="shared" si="95"/>
        <v>0</v>
      </c>
      <c r="BG212" s="1020">
        <f t="shared" si="96"/>
        <v>1.2239902080783354</v>
      </c>
      <c r="BH212"/>
      <c r="BQ212"/>
      <c r="BR212"/>
      <c r="BS212"/>
      <c r="BT212"/>
      <c r="BU212"/>
      <c r="BV212"/>
      <c r="BW212" s="959" t="str">
        <f t="shared" si="101"/>
        <v>A</v>
      </c>
      <c r="BX212"/>
      <c r="BY212"/>
      <c r="BZ212"/>
      <c r="CA212"/>
      <c r="CB212"/>
      <c r="CC212" s="856"/>
      <c r="CD212"/>
      <c r="CE212"/>
      <c r="CF212"/>
      <c r="CG212"/>
      <c r="CH212"/>
      <c r="CI212"/>
      <c r="CJ212"/>
      <c r="CL212"/>
      <c r="CM212"/>
      <c r="CN212"/>
      <c r="CO212"/>
      <c r="CP212"/>
      <c r="CQ212"/>
      <c r="CR212"/>
      <c r="CT212"/>
      <c r="CU212"/>
      <c r="CV212"/>
      <c r="CW212"/>
      <c r="CX212"/>
      <c r="CY212"/>
      <c r="CZ212"/>
      <c r="DB212" s="3">
        <v>1</v>
      </c>
    </row>
    <row r="213" spans="1:106" s="709" customFormat="1" ht="21" customHeight="1">
      <c r="A213" s="936" t="s">
        <v>22</v>
      </c>
      <c r="B213" s="952" t="str">
        <f t="shared" si="100"/>
        <v>A</v>
      </c>
      <c r="C213" s="993" cm="1">
        <f t="array" ref="C213">SUMPRODUCT(LEN(D213:J213))</f>
        <v>0</v>
      </c>
      <c r="D213" s="167"/>
      <c r="E213" s="172"/>
      <c r="F213" s="172"/>
      <c r="G213" s="172"/>
      <c r="H213" s="172"/>
      <c r="I213" s="172"/>
      <c r="J213" s="173"/>
      <c r="K213" s="442" t="s">
        <v>22</v>
      </c>
      <c r="L213" s="104" t="str">
        <f t="shared" si="103"/>
        <v>A</v>
      </c>
      <c r="M213" s="32" t="str">
        <f>M205</f>
        <v>N NOTRE BOUDIN NOIR | | Auteur &gt; Guy KRENZE - Eric GODDYN - Arnaud NICOLAS - CEPROC 2002</v>
      </c>
      <c r="N213" s="33">
        <f>N205</f>
        <v>16.34</v>
      </c>
      <c r="O213" s="32" t="str">
        <f>O205</f>
        <v>Kg</v>
      </c>
      <c r="P213" s="34" t="str">
        <f>P205</f>
        <v>Recette mère ► le Boudin en 4 déclinaisons</v>
      </c>
      <c r="Q213" s="92"/>
      <c r="R213" s="108"/>
      <c r="S213" s="94" t="str">
        <f t="shared" si="102"/>
        <v/>
      </c>
      <c r="T213" s="5110">
        <v>1.5</v>
      </c>
      <c r="U213" s="140" t="s">
        <v>143</v>
      </c>
      <c r="V213" s="127">
        <v>1</v>
      </c>
      <c r="W213" s="920" t="s">
        <v>13048</v>
      </c>
      <c r="X213" s="1495">
        <f>IF(OR(ISBLANK(Q203),X203=0),0,Q213*V204)</f>
        <v>0</v>
      </c>
      <c r="Y213" s="101">
        <f>IFERROR(_xlfn.LET(_xlpm.v,IFERROR(_xlfn.XLOOKUP(U213,Q246:Z246,Q247:Z247),_xlfn.XLOOKUP(U213,Q248:Z248,Q249:Z249)),_xlpm.v*T213*V213*V204*IF(ISBLANK(Q213),1,Q213)),0)</f>
        <v>0.45899632802937573</v>
      </c>
      <c r="Z213" s="1476" t="str">
        <f>_xlfn.LET(_xlpm.unite,SUBSTITUTE(TRIM(U213)," (s)",""),_xlpm.val,Y213,_xlpm.estVol,COUNTIF(T246:Z246,_xlpm.unite)+COUNTIF(T248:Z248,_xlpm.unite)&gt;0,_xlpm.estPoids,COUNTIF(Q246:S246,_xlpm.unite)+COUNTIF(Q248:S248,_xlpm.unite)&gt;0,IF(_xlpm.estVol,IF(ROUND(_xlpm.val,3)&gt;=1,ROUND(_xlpm.val,3)&amp;" L",MAX(1,ROUND(_xlpm.val*100,0))&amp;" cl"),IF(_xlpm.estPoids,IF(ROUND(_xlpm.val,3)&gt;=1,ROUND(_xlpm.val,3)&amp;" Kg",MAX(1,ROUND(_xlpm.val*1000,0))&amp;" g"),"")))</f>
        <v>459 g</v>
      </c>
      <c r="AA213" s="5211"/>
      <c r="AB213" s="1178"/>
      <c r="AC213" s="1179"/>
      <c r="AD213" s="227" t="s">
        <v>22</v>
      </c>
      <c r="AE213" s="1027" t="str">
        <f t="shared" si="78"/>
        <v>A</v>
      </c>
      <c r="AF213" s="1028" t="str">
        <f t="shared" si="79"/>
        <v>N NOTRE BOUDIN NOIR | | Auteur &gt; Guy KRENZE - Eric GODDYN - Arnaud NICOLAS - CEPROC 2002</v>
      </c>
      <c r="AG213" s="1029">
        <f t="shared" si="80"/>
        <v>16.34</v>
      </c>
      <c r="AH213" s="1028" t="str">
        <f t="shared" si="81"/>
        <v>Kg</v>
      </c>
      <c r="AI213" s="1029" t="str">
        <f t="shared" si="82"/>
        <v>kg</v>
      </c>
      <c r="AJ213" s="1029">
        <f t="shared" si="83"/>
        <v>1</v>
      </c>
      <c r="AK213" s="1043" cm="1">
        <f t="array" ref="AK213">IF(AE213&lt;&gt;"A","",IFERROR((IFERROR(_xlfn.XLOOKUP(TRIM(SUBSTITUTE(U213,CHAR(160)," ")),$BI$15:$BI$62,$BL$15:$BL$62),IFERROR(_xlfn.XLOOKUP(TRIM(SUBSTITUTE(U213,CHAR(160)," ")),$BJ$15:$BJ$62,$BL$15:$BL$62),_xlfn.XLOOKUP(TRIM(SUBSTITUTE(U213,CHAR(160)," ")),$BK$15:$BK$62,$BL$15:$BL$62))))*T213*IF(ISBLANK(Q213),1,Q213)+IFERROR(_xlfn.XLOOKUP("RECHERCHEX",TRIM(L213:AC213),L213:AC213),0),0))</f>
        <v>1.5</v>
      </c>
      <c r="AL213" s="1030" t="str">
        <f t="shared" si="84"/>
        <v>Kg</v>
      </c>
      <c r="AM213" s="5254" t="str">
        <f t="shared" si="99"/>
        <v>❾ Author reference &gt;</v>
      </c>
      <c r="AN213" s="1031">
        <f t="shared" si="85"/>
        <v>16.34</v>
      </c>
      <c r="AO213" s="1031" t="str">
        <f t="shared" si="86"/>
        <v>Kg</v>
      </c>
      <c r="AP213" s="1044">
        <f t="shared" si="87"/>
        <v>40</v>
      </c>
      <c r="AQ213" s="5257" t="str">
        <f t="shared" si="88"/>
        <v>parts-ou.or.o ❾ + or - &gt;</v>
      </c>
      <c r="AR213" s="1056">
        <v>20</v>
      </c>
      <c r="AS213" s="1056" t="s">
        <v>143</v>
      </c>
      <c r="AT213" s="1045">
        <f t="shared" si="89"/>
        <v>1.8359853121175029</v>
      </c>
      <c r="AU213" s="1046" t="str">
        <f t="shared" si="90"/>
        <v>Kg</v>
      </c>
      <c r="AV213" s="1059" t="str" cm="1">
        <f t="array" ref="AV213">IF(AJ213&lt;&gt;1,0,IF(OR(AT213="",N(AT213)&lt;=0.000000001),"",IF(OR(AN213="",N(AN213)&lt;=0.000000001),0,IF(ISNUMBER(AT213),IFERROR(_xlfn.LET(_xlpm.ai_test,TRIM(AI213),_xlpm.r,IFERROR(_xlfn.XLOOKUP(_xlpm.ai_test,$BI$15:$BI$62,ROW($BI$15:$BI$62),0,1),IFERROR(_xlfn.XLOOKUP(_xlpm.ai_test,$BJ$15:$BJ$62,ROW($BJ$15:$BJ$62),0,1),_xlfn.XLOOKUP(_xlpm.ai_test,$BK$15:$BK$62,ROW($BK$15:$BK$62),0,1))),_xlpm.p,_xlpm.r-MIN(ROW($BI$15:$BI$62))+1,_xlpm.f,INDEX($BL$15:$BL$62,_xlpm.p),_xlpm.u,INDEX($BM$15:$BM$62,_xlpm.p),_xlpm.s,INDEX($BO$15:$BO$62,_xlpm.p),_xlpm.q,N(AT213)/_xlpm.f,IF(_xlpm.q&gt;=_xlpm.s,ROUND(_xlpm.q,1)&amp;" "&amp;_xlpm.ai_test&amp;" = "&amp;ROUND(_xlpm.q*_xlpm.f,1)&amp;" "&amp;_xlpm.u,ROUND(_xlpm.q,1)&amp;" "&amp;_xlpm.ai_test)),""),""))))</f>
        <v>1.8 kg = 1.8 Kg</v>
      </c>
      <c r="AW213" s="1047"/>
      <c r="AX213" s="1045">
        <f t="shared" si="91"/>
        <v>1.8359853121175029</v>
      </c>
      <c r="AY213" s="1046" t="str">
        <f t="shared" si="92"/>
        <v>Kg</v>
      </c>
      <c r="AZ213" s="1048">
        <f t="shared" si="97"/>
        <v>0</v>
      </c>
      <c r="BA213" s="1049" t="str">
        <f t="shared" si="93"/>
        <v/>
      </c>
      <c r="BB213" s="1038"/>
      <c r="BC213" s="1050">
        <f t="shared" si="98"/>
        <v>0</v>
      </c>
      <c r="BD213" s="1040" t="str">
        <f t="shared" si="94"/>
        <v>gorge cuite</v>
      </c>
      <c r="BE213" s="227" t="s">
        <v>22</v>
      </c>
      <c r="BF213" s="1019">
        <f t="shared" si="95"/>
        <v>0</v>
      </c>
      <c r="BG213" s="1020">
        <f t="shared" si="96"/>
        <v>1.2239902080783354</v>
      </c>
      <c r="BH213"/>
      <c r="BQ213"/>
      <c r="BR213"/>
      <c r="BS213"/>
      <c r="BT213"/>
      <c r="BU213"/>
      <c r="BV213"/>
      <c r="BW213" s="959" t="str">
        <f t="shared" si="101"/>
        <v>A</v>
      </c>
      <c r="BX213"/>
      <c r="BY213"/>
      <c r="BZ213"/>
      <c r="CA213"/>
      <c r="CB213"/>
      <c r="CC213" s="856"/>
      <c r="CD213"/>
      <c r="CE213"/>
      <c r="CF213"/>
      <c r="CG213"/>
      <c r="CH213"/>
      <c r="CI213"/>
      <c r="CJ213"/>
      <c r="CL213"/>
      <c r="CM213"/>
      <c r="CN213"/>
      <c r="CO213"/>
      <c r="CP213"/>
      <c r="CQ213"/>
      <c r="CR213"/>
      <c r="CT213"/>
      <c r="CU213"/>
      <c r="CV213"/>
      <c r="CW213"/>
      <c r="CX213"/>
      <c r="CY213"/>
      <c r="CZ213"/>
      <c r="DB213" s="3">
        <v>1</v>
      </c>
    </row>
    <row r="214" spans="1:106" s="709" customFormat="1" ht="21" customHeight="1">
      <c r="A214" s="936" t="s">
        <v>22</v>
      </c>
      <c r="B214" s="952" t="str">
        <f t="shared" si="100"/>
        <v>A</v>
      </c>
      <c r="C214" s="993" cm="1">
        <f t="array" ref="C214">SUMPRODUCT(LEN(D214:J214))</f>
        <v>0</v>
      </c>
      <c r="D214" s="167"/>
      <c r="E214" s="172"/>
      <c r="F214" s="172"/>
      <c r="G214" s="172"/>
      <c r="H214" s="172"/>
      <c r="I214" s="172"/>
      <c r="J214" s="173" t="str">
        <f>""&amp;T208</f>
        <v/>
      </c>
      <c r="K214" s="442" t="s">
        <v>22</v>
      </c>
      <c r="L214" s="104" t="str">
        <f t="shared" si="103"/>
        <v>A</v>
      </c>
      <c r="M214" s="32" t="str">
        <f>M205</f>
        <v>N NOTRE BOUDIN NOIR | | Auteur &gt; Guy KRENZE - Eric GODDYN - Arnaud NICOLAS - CEPROC 2002</v>
      </c>
      <c r="N214" s="33">
        <f>N205</f>
        <v>16.34</v>
      </c>
      <c r="O214" s="32" t="str">
        <f>O205</f>
        <v>Kg</v>
      </c>
      <c r="P214" s="34" t="str">
        <f>P205</f>
        <v>Recette mère ► le Boudin en 4 déclinaisons</v>
      </c>
      <c r="Q214" s="92"/>
      <c r="R214" s="108"/>
      <c r="S214" s="94" t="str">
        <f t="shared" si="102"/>
        <v/>
      </c>
      <c r="T214" s="95">
        <v>500</v>
      </c>
      <c r="U214" s="105" t="s">
        <v>99</v>
      </c>
      <c r="V214" s="127">
        <v>1</v>
      </c>
      <c r="W214" s="920" t="s">
        <v>13049</v>
      </c>
      <c r="X214" s="1495">
        <f>IF(OR(ISBLANK(Q203),X203=0),0,Q214*V204)</f>
        <v>0</v>
      </c>
      <c r="Y214" s="101">
        <f>IFERROR(_xlfn.LET(_xlpm.v,IFERROR(_xlfn.XLOOKUP(U214,Q246:Z246,Q247:Z247),_xlfn.XLOOKUP(U214,Q248:Z248,Q249:Z249)),_xlpm.v*T214*V214*V204*IF(ISBLANK(Q214),1,Q214)),0)</f>
        <v>0.15299877600979192</v>
      </c>
      <c r="Z214" s="1475" t="str">
        <f>_xlfn.LET(_xlpm.unite,SUBSTITUTE(TRIM(U214)," (s)",""),_xlpm.val,Y214,_xlpm.estVol,COUNTIF(T246:Z246,_xlpm.unite)+COUNTIF(T248:Z248,_xlpm.unite)&gt;0,_xlpm.estPoids,COUNTIF(Q246:S246,_xlpm.unite)+COUNTIF(Q248:S248,_xlpm.unite)&gt;0,IF(_xlpm.estVol,IF(ROUND(_xlpm.val,3)&gt;=1,ROUND(_xlpm.val,3)&amp;" L",MAX(1,ROUND(_xlpm.val*100,0))&amp;" cl"),IF(_xlpm.estPoids,IF(ROUND(_xlpm.val,3)&gt;=1,ROUND(_xlpm.val,3)&amp;" Kg",MAX(1,ROUND(_xlpm.val*1000,0))&amp;" g"),"")))</f>
        <v>153 g</v>
      </c>
      <c r="AA214" s="5211"/>
      <c r="AB214" s="1178"/>
      <c r="AC214" s="1179"/>
      <c r="AD214" s="227" t="s">
        <v>22</v>
      </c>
      <c r="AE214" s="1027" t="str">
        <f t="shared" ref="AE214:AE277" si="104">IF(OR(AN214&gt;0,TRIM(AF214)="▼ recette suivante"),"A","►")</f>
        <v>A</v>
      </c>
      <c r="AF214" s="1028" t="str">
        <f t="shared" ref="AF214:AF277" si="105">IF(TRIM(Q214)="Adresse PC","▼ recette suivante",IF(AN214&gt;0,M214,""))</f>
        <v>N NOTRE BOUDIN NOIR | | Auteur &gt; Guy KRENZE - Eric GODDYN - Arnaud NICOLAS - CEPROC 2002</v>
      </c>
      <c r="AG214" s="1029">
        <f t="shared" ref="AG214:AG277" si="106">IF(AE214="A",N214,"")</f>
        <v>16.34</v>
      </c>
      <c r="AH214" s="1028" t="str">
        <f t="shared" ref="AH214:AH277" si="107">IF(AE214="A",O214,"")</f>
        <v>Kg</v>
      </c>
      <c r="AI214" s="1029" t="str">
        <f t="shared" ref="AI214:AI277" si="108">IF(AE214="A",U214,"")</f>
        <v>g</v>
      </c>
      <c r="AJ214" s="1029">
        <f t="shared" ref="AJ214:AJ277" si="109">IF(AND(L214="A",COUNTIF($BI$15:$BK$62,TRIM(U214))&gt;0),1,0)</f>
        <v>1</v>
      </c>
      <c r="AK214" s="1043" cm="1">
        <f t="array" ref="AK214">IF(AE214&lt;&gt;"A","",IFERROR((IFERROR(_xlfn.XLOOKUP(TRIM(SUBSTITUTE(U214,CHAR(160)," ")),$BI$15:$BI$62,$BL$15:$BL$62),IFERROR(_xlfn.XLOOKUP(TRIM(SUBSTITUTE(U214,CHAR(160)," ")),$BJ$15:$BJ$62,$BL$15:$BL$62),_xlfn.XLOOKUP(TRIM(SUBSTITUTE(U214,CHAR(160)," ")),$BK$15:$BK$62,$BL$15:$BL$62))))*T214*IF(ISBLANK(Q214),1,Q214)+IFERROR(_xlfn.XLOOKUP("RECHERCHEX",TRIM(L214:AC214),L214:AC214),0),0))</f>
        <v>0.5</v>
      </c>
      <c r="AL214" s="1030" t="str">
        <f t="shared" ref="AL214:AL277" si="110">IF(AJ214,IF(AK214&gt;0,"Kg",0),0)</f>
        <v>Kg</v>
      </c>
      <c r="AM214" s="5254" t="str">
        <f t="shared" si="99"/>
        <v>❾ Author reference &gt;</v>
      </c>
      <c r="AN214" s="1031">
        <f t="shared" ref="AN214:AN277" si="111">IF(AJ214,N214,0)</f>
        <v>16.34</v>
      </c>
      <c r="AO214" s="1031" t="str">
        <f t="shared" ref="AO214:AO277" si="112">IF(AJ214,O214,0)</f>
        <v>Kg</v>
      </c>
      <c r="AP214" s="1032">
        <f t="shared" ref="AP214:AP277" si="113">IF(AN214&gt;0,AR$9,0)</f>
        <v>40</v>
      </c>
      <c r="AQ214" s="5255" t="str">
        <f t="shared" ref="AQ214:AQ277" si="114">IF(TRIM(AF214)="▼ recette suivante", AF214, IF(AP214&gt;0, IF(AS$9&lt;&gt;"", AS$9&amp;"-ou.or.o ❾ + or - &gt;", ""), ""))</f>
        <v>parts-ou.or.o ❾ + or - &gt;</v>
      </c>
      <c r="AR214" s="1056">
        <v>20</v>
      </c>
      <c r="AS214" s="1056" t="s">
        <v>143</v>
      </c>
      <c r="AT214" s="1034">
        <f t="shared" ref="AT214:AT277" si="115">IF(TRIM(AL214)="Kg",N(AK214)*N(BG214),0)</f>
        <v>0.61199510403916768</v>
      </c>
      <c r="AU214" s="1035" t="str">
        <f t="shared" ref="AU214:AU277" si="116">IF(AJ214,IF(OR(AT214="",N(AT214)&lt;=0.000000001),"",_xlfn.XLOOKUP(AI214,$BI$15:$BI$62,$BM$15:$BM$62,_xlfn.XLOOKUP(AI214,$BJ$15:$BJ$62,$BM$15:$BM$62,_xlfn.XLOOKUP(AI214,$BK$15:$BK$62,$BM$15:$BM$62,"")))),0)</f>
        <v>Kg</v>
      </c>
      <c r="AV214" s="1057" t="str" cm="1">
        <f t="array" ref="AV214">IF(AJ214&lt;&gt;1,0,IF(OR(AT214="",N(AT214)&lt;=0.000000001),"",IF(OR(AN214="",N(AN214)&lt;=0.000000001),0,IF(ISNUMBER(AT214),IFERROR(_xlfn.LET(_xlpm.ai_test,TRIM(AI214),_xlpm.r,IFERROR(_xlfn.XLOOKUP(_xlpm.ai_test,$BI$15:$BI$62,ROW($BI$15:$BI$62),0,1),IFERROR(_xlfn.XLOOKUP(_xlpm.ai_test,$BJ$15:$BJ$62,ROW($BJ$15:$BJ$62),0,1),_xlfn.XLOOKUP(_xlpm.ai_test,$BK$15:$BK$62,ROW($BK$15:$BK$62),0,1))),_xlpm.p,_xlpm.r-MIN(ROW($BI$15:$BI$62))+1,_xlpm.f,INDEX($BL$15:$BL$62,_xlpm.p),_xlpm.u,INDEX($BM$15:$BM$62,_xlpm.p),_xlpm.s,INDEX($BO$15:$BO$62,_xlpm.p),_xlpm.q,N(AT214)/_xlpm.f,IF(_xlpm.q&gt;=_xlpm.s,ROUND(_xlpm.q,1)&amp;" "&amp;_xlpm.ai_test&amp;" = "&amp;ROUND(_xlpm.q*_xlpm.f,1)&amp;" "&amp;_xlpm.u,ROUND(_xlpm.q,1)&amp;" "&amp;_xlpm.ai_test)),""),""))))</f>
        <v>612 g</v>
      </c>
      <c r="AW214" s="1047"/>
      <c r="AX214" s="1034">
        <f t="shared" ref="AX214:AX277" si="117">IF(TRIM(AF214)="▼ recette suivante","▼next recipe ",IF(AT214="","",IF(ISBLANK(AW214),AT214,ROUND(AT214*(1-MIN(1,MAX(0,IF(AW214&gt;1,AW214/100,AW214)))),3))))</f>
        <v>0.61199510403916768</v>
      </c>
      <c r="AY214" s="1035" t="str">
        <f t="shared" ref="AY214:AY277" si="118">IF(AJ214,AU214,"")</f>
        <v>Kg</v>
      </c>
      <c r="AZ214" s="1036">
        <f t="shared" si="97"/>
        <v>0</v>
      </c>
      <c r="BA214" s="1037" t="str">
        <f t="shared" ref="BA214:BA277" si="119">IF(AJ214,IF(N(AZ214)&gt;0.000000001,R214,""),"")</f>
        <v/>
      </c>
      <c r="BB214" s="1038"/>
      <c r="BC214" s="1039">
        <f t="shared" si="98"/>
        <v>0</v>
      </c>
      <c r="BD214" s="1040" t="str">
        <f t="shared" ref="BD214:BD277" si="120">IF(IFERROR(SEARCH("Adresse PC",TRIM(Q214)),0)&gt;0,"▼ receta siguiente",IF(AX214&gt;0,W214,""))</f>
        <v>creme épaisse</v>
      </c>
      <c r="BE214" s="227" t="s">
        <v>22</v>
      </c>
      <c r="BF214" s="1019">
        <f t="shared" ref="BF214:BF277" si="121">IFERROR(_xlfn.LET(_xlpm.EPS,0.000000001,_xlpm.b,Q214/AN214,IF(ISNUMBER(AR214),_xlpm.b*AR214,IF(OR(ISBLANK(AR214),AR214=""),_xlpm.b*AP214,IF(AND(BG214=0,ISNUMBER(Q214)),_xlpm.b/AP214,0)))),0)</f>
        <v>0</v>
      </c>
      <c r="BG214" s="1020">
        <f t="shared" ref="BG214:BG277" si="122">IF(AK214&gt;0,IFERROR(IF(OR(ISBLANK(AR214),AR214=""),AP214,AR214)/AN214,0),0)</f>
        <v>1.2239902080783354</v>
      </c>
      <c r="BH214"/>
      <c r="BQ214"/>
      <c r="BR214"/>
      <c r="BS214"/>
      <c r="BT214"/>
      <c r="BU214"/>
      <c r="BV214"/>
      <c r="BW214" s="959" t="str">
        <f t="shared" si="101"/>
        <v>A</v>
      </c>
      <c r="BX214"/>
      <c r="BY214"/>
      <c r="BZ214"/>
      <c r="CA214"/>
      <c r="CB214"/>
      <c r="CC214" s="856"/>
      <c r="CD214"/>
      <c r="CE214"/>
      <c r="CF214"/>
      <c r="CG214"/>
      <c r="CH214"/>
      <c r="CI214"/>
      <c r="CJ214"/>
      <c r="CL214"/>
      <c r="CM214"/>
      <c r="CN214"/>
      <c r="CO214"/>
      <c r="CP214"/>
      <c r="CQ214"/>
      <c r="CR214"/>
      <c r="CT214"/>
      <c r="CU214"/>
      <c r="CV214"/>
      <c r="CW214"/>
      <c r="CX214"/>
      <c r="CY214"/>
      <c r="CZ214"/>
      <c r="DB214" s="3">
        <v>1</v>
      </c>
    </row>
    <row r="215" spans="1:106" s="709" customFormat="1" ht="21" customHeight="1">
      <c r="A215" s="936" t="s">
        <v>22</v>
      </c>
      <c r="B215" s="952" t="str">
        <f t="shared" si="100"/>
        <v>A</v>
      </c>
      <c r="C215" s="993" cm="1">
        <f t="array" ref="C215">SUMPRODUCT(LEN(D215:J215))</f>
        <v>0</v>
      </c>
      <c r="D215" s="167"/>
      <c r="E215" s="172"/>
      <c r="F215" s="172"/>
      <c r="G215" s="172"/>
      <c r="H215" s="172"/>
      <c r="I215" s="172"/>
      <c r="J215" s="173"/>
      <c r="K215" s="442" t="s">
        <v>22</v>
      </c>
      <c r="L215" s="104" t="str">
        <f t="shared" si="103"/>
        <v>A</v>
      </c>
      <c r="M215" s="32" t="str">
        <f>M205</f>
        <v>N NOTRE BOUDIN NOIR | | Auteur &gt; Guy KRENZE - Eric GODDYN - Arnaud NICOLAS - CEPROC 2002</v>
      </c>
      <c r="N215" s="33">
        <f>N205</f>
        <v>16.34</v>
      </c>
      <c r="O215" s="32" t="str">
        <f>O205</f>
        <v>Kg</v>
      </c>
      <c r="P215" s="34" t="str">
        <f>P205</f>
        <v>Recette mère ► le Boudin en 4 déclinaisons</v>
      </c>
      <c r="Q215" s="92"/>
      <c r="R215" s="108"/>
      <c r="S215" s="94" t="str">
        <f t="shared" si="102"/>
        <v/>
      </c>
      <c r="T215" s="95">
        <v>80</v>
      </c>
      <c r="U215" s="105" t="s">
        <v>99</v>
      </c>
      <c r="V215" s="127">
        <v>1</v>
      </c>
      <c r="W215" s="920" t="s">
        <v>13050</v>
      </c>
      <c r="X215" s="1495">
        <f>IF(OR(ISBLANK(Q203),X203=0),0,Q215*V204)</f>
        <v>0</v>
      </c>
      <c r="Y215" s="101">
        <f>IFERROR(_xlfn.LET(_xlpm.v,IFERROR(_xlfn.XLOOKUP(U215,Q246:Z246,Q247:Z247),_xlfn.XLOOKUP(U215,Q248:Z248,Q249:Z249)),_xlpm.v*T215*V215*V204*IF(ISBLANK(Q215),1,Q215)),0)</f>
        <v>2.4479804161566709E-2</v>
      </c>
      <c r="Z215" s="1476" t="str">
        <f>_xlfn.LET(_xlpm.unite,SUBSTITUTE(TRIM(U215)," (s)",""),_xlpm.val,Y215,_xlpm.estVol,COUNTIF(T246:Z246,_xlpm.unite)+COUNTIF(T248:Z248,_xlpm.unite)&gt;0,_xlpm.estPoids,COUNTIF(Q246:S246,_xlpm.unite)+COUNTIF(Q248:S248,_xlpm.unite)&gt;0,IF(_xlpm.estVol,IF(ROUND(_xlpm.val,3)&gt;=1,ROUND(_xlpm.val,3)&amp;" L",MAX(1,ROUND(_xlpm.val*100,0))&amp;" cl"),IF(_xlpm.estPoids,IF(ROUND(_xlpm.val,3)&gt;=1,ROUND(_xlpm.val,3)&amp;" Kg",MAX(1,ROUND(_xlpm.val*1000,0))&amp;" g"),"")))</f>
        <v>24 g</v>
      </c>
      <c r="AA215" s="5211"/>
      <c r="AB215" s="1178"/>
      <c r="AC215" s="1179"/>
      <c r="AD215" s="227" t="s">
        <v>22</v>
      </c>
      <c r="AE215" s="1027" t="str">
        <f t="shared" si="104"/>
        <v>A</v>
      </c>
      <c r="AF215" s="1028" t="str">
        <f t="shared" si="105"/>
        <v>N NOTRE BOUDIN NOIR | | Auteur &gt; Guy KRENZE - Eric GODDYN - Arnaud NICOLAS - CEPROC 2002</v>
      </c>
      <c r="AG215" s="1029">
        <f t="shared" si="106"/>
        <v>16.34</v>
      </c>
      <c r="AH215" s="1028" t="str">
        <f t="shared" si="107"/>
        <v>Kg</v>
      </c>
      <c r="AI215" s="1029" t="str">
        <f t="shared" si="108"/>
        <v>g</v>
      </c>
      <c r="AJ215" s="1029">
        <f t="shared" si="109"/>
        <v>1</v>
      </c>
      <c r="AK215" s="1043" cm="1">
        <f t="array" ref="AK215">IF(AE215&lt;&gt;"A","",IFERROR((IFERROR(_xlfn.XLOOKUP(TRIM(SUBSTITUTE(U215,CHAR(160)," ")),$BI$15:$BI$62,$BL$15:$BL$62),IFERROR(_xlfn.XLOOKUP(TRIM(SUBSTITUTE(U215,CHAR(160)," ")),$BJ$15:$BJ$62,$BL$15:$BL$62),_xlfn.XLOOKUP(TRIM(SUBSTITUTE(U215,CHAR(160)," ")),$BK$15:$BK$62,$BL$15:$BL$62))))*T215*IF(ISBLANK(Q215),1,Q215)+IFERROR(_xlfn.XLOOKUP("RECHERCHEX",TRIM(L215:AC215),L215:AC215),0),0))</f>
        <v>0.08</v>
      </c>
      <c r="AL215" s="1030" t="str">
        <f t="shared" si="110"/>
        <v>Kg</v>
      </c>
      <c r="AM215" s="5254" t="str">
        <f t="shared" si="99"/>
        <v>❾ Author reference &gt;</v>
      </c>
      <c r="AN215" s="1031">
        <f t="shared" si="111"/>
        <v>16.34</v>
      </c>
      <c r="AO215" s="1031" t="str">
        <f t="shared" si="112"/>
        <v>Kg</v>
      </c>
      <c r="AP215" s="1044">
        <f t="shared" si="113"/>
        <v>40</v>
      </c>
      <c r="AQ215" s="5257" t="str">
        <f t="shared" si="114"/>
        <v>parts-ou.or.o ❾ + or - &gt;</v>
      </c>
      <c r="AR215" s="1056">
        <v>20</v>
      </c>
      <c r="AS215" s="1056" t="s">
        <v>143</v>
      </c>
      <c r="AT215" s="1045">
        <f t="shared" si="115"/>
        <v>9.7919216646266835E-2</v>
      </c>
      <c r="AU215" s="1046" t="str">
        <f t="shared" si="116"/>
        <v>Kg</v>
      </c>
      <c r="AV215" s="1059" t="str" cm="1">
        <f t="array" ref="AV215">IF(AJ215&lt;&gt;1,0,IF(OR(AT215="",N(AT215)&lt;=0.000000001),"",IF(OR(AN215="",N(AN215)&lt;=0.000000001),0,IF(ISNUMBER(AT215),IFERROR(_xlfn.LET(_xlpm.ai_test,TRIM(AI215),_xlpm.r,IFERROR(_xlfn.XLOOKUP(_xlpm.ai_test,$BI$15:$BI$62,ROW($BI$15:$BI$62),0,1),IFERROR(_xlfn.XLOOKUP(_xlpm.ai_test,$BJ$15:$BJ$62,ROW($BJ$15:$BJ$62),0,1),_xlfn.XLOOKUP(_xlpm.ai_test,$BK$15:$BK$62,ROW($BK$15:$BK$62),0,1))),_xlpm.p,_xlpm.r-MIN(ROW($BI$15:$BI$62))+1,_xlpm.f,INDEX($BL$15:$BL$62,_xlpm.p),_xlpm.u,INDEX($BM$15:$BM$62,_xlpm.p),_xlpm.s,INDEX($BO$15:$BO$62,_xlpm.p),_xlpm.q,N(AT215)/_xlpm.f,IF(_xlpm.q&gt;=_xlpm.s,ROUND(_xlpm.q,1)&amp;" "&amp;_xlpm.ai_test&amp;" = "&amp;ROUND(_xlpm.q*_xlpm.f,1)&amp;" "&amp;_xlpm.u,ROUND(_xlpm.q,1)&amp;" "&amp;_xlpm.ai_test)),""),""))))</f>
        <v>97.9 g</v>
      </c>
      <c r="AW215" s="1047"/>
      <c r="AX215" s="1045">
        <f t="shared" si="117"/>
        <v>9.7919216646266835E-2</v>
      </c>
      <c r="AY215" s="1046" t="str">
        <f t="shared" si="118"/>
        <v>Kg</v>
      </c>
      <c r="AZ215" s="1048">
        <f t="shared" ref="AZ215:AZ278" si="123">IF(ISNUMBER(BF215),IF(ABS(BF215)&lt;=0.000000001,0,BF215),0)</f>
        <v>0</v>
      </c>
      <c r="BA215" s="1049" t="str">
        <f t="shared" si="119"/>
        <v/>
      </c>
      <c r="BB215" s="1038"/>
      <c r="BC215" s="1050">
        <f t="shared" si="98"/>
        <v>0</v>
      </c>
      <c r="BD215" s="1040" t="str">
        <f t="shared" si="120"/>
        <v>persil plat ciselé</v>
      </c>
      <c r="BE215" s="227" t="s">
        <v>22</v>
      </c>
      <c r="BF215" s="1019">
        <f t="shared" si="121"/>
        <v>0</v>
      </c>
      <c r="BG215" s="1020">
        <f t="shared" si="122"/>
        <v>1.2239902080783354</v>
      </c>
      <c r="BH215"/>
      <c r="BQ215"/>
      <c r="BR215"/>
      <c r="BS215"/>
      <c r="BT215"/>
      <c r="BU215"/>
      <c r="BV215"/>
      <c r="BW215" s="959" t="str">
        <f t="shared" si="101"/>
        <v>A</v>
      </c>
      <c r="BX215"/>
      <c r="BY215"/>
      <c r="BZ215"/>
      <c r="CA215"/>
      <c r="CB215"/>
      <c r="CC215" s="856"/>
      <c r="CD215"/>
      <c r="CE215"/>
      <c r="CF215"/>
      <c r="CG215"/>
      <c r="CH215"/>
      <c r="CI215"/>
      <c r="CJ215"/>
      <c r="CL215"/>
      <c r="CM215"/>
      <c r="CN215"/>
      <c r="CO215"/>
      <c r="CP215"/>
      <c r="CQ215"/>
      <c r="CR215"/>
      <c r="CT215"/>
      <c r="CU215"/>
      <c r="CV215"/>
      <c r="CW215"/>
      <c r="CX215"/>
      <c r="CY215"/>
      <c r="CZ215"/>
      <c r="DB215" s="3">
        <v>1</v>
      </c>
    </row>
    <row r="216" spans="1:106" s="709" customFormat="1" ht="21" customHeight="1">
      <c r="A216" s="936" t="s">
        <v>22</v>
      </c>
      <c r="B216" s="952" t="str">
        <f t="shared" si="100"/>
        <v>A</v>
      </c>
      <c r="C216" s="993" cm="1">
        <f t="array" ref="C216">SUMPRODUCT(LEN(D216:J216))</f>
        <v>0</v>
      </c>
      <c r="D216" s="167"/>
      <c r="E216" s="172"/>
      <c r="F216" s="172"/>
      <c r="G216" s="172"/>
      <c r="H216" s="172"/>
      <c r="I216" s="172"/>
      <c r="J216" s="173"/>
      <c r="K216" s="442" t="s">
        <v>22</v>
      </c>
      <c r="L216" s="104" t="str">
        <f t="shared" si="103"/>
        <v>A</v>
      </c>
      <c r="M216" s="32" t="str">
        <f>M205</f>
        <v>N NOTRE BOUDIN NOIR | | Auteur &gt; Guy KRENZE - Eric GODDYN - Arnaud NICOLAS - CEPROC 2002</v>
      </c>
      <c r="N216" s="33">
        <f>N205</f>
        <v>16.34</v>
      </c>
      <c r="O216" s="32" t="str">
        <f>O205</f>
        <v>Kg</v>
      </c>
      <c r="P216" s="34" t="str">
        <f>P205</f>
        <v>Recette mère ► le Boudin en 4 déclinaisons</v>
      </c>
      <c r="Q216" s="92"/>
      <c r="R216" s="108"/>
      <c r="S216" s="94" t="str">
        <f t="shared" si="102"/>
        <v/>
      </c>
      <c r="T216" s="95">
        <v>50</v>
      </c>
      <c r="U216" s="105" t="s">
        <v>99</v>
      </c>
      <c r="V216" s="127">
        <v>1</v>
      </c>
      <c r="W216" s="920" t="s">
        <v>13051</v>
      </c>
      <c r="X216" s="1495">
        <f>IF(OR(ISBLANK(Q203),X203=0),0,Q216*V204)</f>
        <v>0</v>
      </c>
      <c r="Y216" s="101">
        <f>IFERROR(_xlfn.LET(_xlpm.v,IFERROR(_xlfn.XLOOKUP(U216,Q246:Z246,Q247:Z247),_xlfn.XLOOKUP(U216,Q248:Z248,Q249:Z249)),_xlpm.v*T216*V216*V204*IF(ISBLANK(Q216),1,Q216)),0)</f>
        <v>1.5299877600979193E-2</v>
      </c>
      <c r="Z216" s="1475" t="str">
        <f>_xlfn.LET(_xlpm.unite,SUBSTITUTE(TRIM(U216)," (s)",""),_xlpm.val,Y216,_xlpm.estVol,COUNTIF(T246:Z246,_xlpm.unite)+COUNTIF(T248:Z248,_xlpm.unite)&gt;0,_xlpm.estPoids,COUNTIF(Q246:S246,_xlpm.unite)+COUNTIF(Q248:S248,_xlpm.unite)&gt;0,IF(_xlpm.estVol,IF(ROUND(_xlpm.val,3)&gt;=1,ROUND(_xlpm.val,3)&amp;" L",MAX(1,ROUND(_xlpm.val*100,0))&amp;" cl"),IF(_xlpm.estPoids,IF(ROUND(_xlpm.val,3)&gt;=1,ROUND(_xlpm.val,3)&amp;" Kg",MAX(1,ROUND(_xlpm.val*1000,0))&amp;" g"),"")))</f>
        <v>15 g</v>
      </c>
      <c r="AA216" s="5211"/>
      <c r="AB216" s="1178"/>
      <c r="AC216" s="1179"/>
      <c r="AD216" s="227" t="s">
        <v>22</v>
      </c>
      <c r="AE216" s="1027" t="str">
        <f t="shared" si="104"/>
        <v>A</v>
      </c>
      <c r="AF216" s="1028" t="str">
        <f t="shared" si="105"/>
        <v>N NOTRE BOUDIN NOIR | | Auteur &gt; Guy KRENZE - Eric GODDYN - Arnaud NICOLAS - CEPROC 2002</v>
      </c>
      <c r="AG216" s="1029">
        <f t="shared" si="106"/>
        <v>16.34</v>
      </c>
      <c r="AH216" s="1028" t="str">
        <f t="shared" si="107"/>
        <v>Kg</v>
      </c>
      <c r="AI216" s="1029" t="str">
        <f t="shared" si="108"/>
        <v>g</v>
      </c>
      <c r="AJ216" s="1029">
        <f t="shared" si="109"/>
        <v>1</v>
      </c>
      <c r="AK216" s="1043" cm="1">
        <f t="array" ref="AK216">IF(AE216&lt;&gt;"A","",IFERROR((IFERROR(_xlfn.XLOOKUP(TRIM(SUBSTITUTE(U216,CHAR(160)," ")),$BI$15:$BI$62,$BL$15:$BL$62),IFERROR(_xlfn.XLOOKUP(TRIM(SUBSTITUTE(U216,CHAR(160)," ")),$BJ$15:$BJ$62,$BL$15:$BL$62),_xlfn.XLOOKUP(TRIM(SUBSTITUTE(U216,CHAR(160)," ")),$BK$15:$BK$62,$BL$15:$BL$62))))*T216*IF(ISBLANK(Q216),1,Q216)+IFERROR(_xlfn.XLOOKUP("RECHERCHEX",TRIM(L216:AC216),L216:AC216),0),0))</f>
        <v>0.05</v>
      </c>
      <c r="AL216" s="1030" t="str">
        <f t="shared" si="110"/>
        <v>Kg</v>
      </c>
      <c r="AM216" s="5254" t="str">
        <f t="shared" si="99"/>
        <v>❾ Author reference &gt;</v>
      </c>
      <c r="AN216" s="1031">
        <f t="shared" si="111"/>
        <v>16.34</v>
      </c>
      <c r="AO216" s="1031" t="str">
        <f t="shared" si="112"/>
        <v>Kg</v>
      </c>
      <c r="AP216" s="1032">
        <f t="shared" si="113"/>
        <v>40</v>
      </c>
      <c r="AQ216" s="5255" t="str">
        <f t="shared" si="114"/>
        <v>parts-ou.or.o ❾ + or - &gt;</v>
      </c>
      <c r="AR216" s="1056">
        <v>20</v>
      </c>
      <c r="AS216" s="1056" t="s">
        <v>143</v>
      </c>
      <c r="AT216" s="1034">
        <f t="shared" si="115"/>
        <v>6.1199510403916774E-2</v>
      </c>
      <c r="AU216" s="1035" t="str">
        <f t="shared" si="116"/>
        <v>Kg</v>
      </c>
      <c r="AV216" s="1057" t="str" cm="1">
        <f t="array" ref="AV216">IF(AJ216&lt;&gt;1,0,IF(OR(AT216="",N(AT216)&lt;=0.000000001),"",IF(OR(AN216="",N(AN216)&lt;=0.000000001),0,IF(ISNUMBER(AT216),IFERROR(_xlfn.LET(_xlpm.ai_test,TRIM(AI216),_xlpm.r,IFERROR(_xlfn.XLOOKUP(_xlpm.ai_test,$BI$15:$BI$62,ROW($BI$15:$BI$62),0,1),IFERROR(_xlfn.XLOOKUP(_xlpm.ai_test,$BJ$15:$BJ$62,ROW($BJ$15:$BJ$62),0,1),_xlfn.XLOOKUP(_xlpm.ai_test,$BK$15:$BK$62,ROW($BK$15:$BK$62),0,1))),_xlpm.p,_xlpm.r-MIN(ROW($BI$15:$BI$62))+1,_xlpm.f,INDEX($BL$15:$BL$62,_xlpm.p),_xlpm.u,INDEX($BM$15:$BM$62,_xlpm.p),_xlpm.s,INDEX($BO$15:$BO$62,_xlpm.p),_xlpm.q,N(AT216)/_xlpm.f,IF(_xlpm.q&gt;=_xlpm.s,ROUND(_xlpm.q,1)&amp;" "&amp;_xlpm.ai_test&amp;" = "&amp;ROUND(_xlpm.q*_xlpm.f,1)&amp;" "&amp;_xlpm.u,ROUND(_xlpm.q,1)&amp;" "&amp;_xlpm.ai_test)),""),""))))</f>
        <v>61.2 g</v>
      </c>
      <c r="AW216" s="1047"/>
      <c r="AX216" s="1034">
        <f t="shared" si="117"/>
        <v>6.1199510403916774E-2</v>
      </c>
      <c r="AY216" s="1035" t="str">
        <f t="shared" si="118"/>
        <v>Kg</v>
      </c>
      <c r="AZ216" s="1036">
        <f t="shared" si="123"/>
        <v>0</v>
      </c>
      <c r="BA216" s="1037" t="str">
        <f t="shared" si="119"/>
        <v/>
      </c>
      <c r="BB216" s="1038"/>
      <c r="BC216" s="1039">
        <f t="shared" si="98"/>
        <v>0</v>
      </c>
      <c r="BD216" s="1040" t="str">
        <f t="shared" si="120"/>
        <v>cerfeuil ciselé</v>
      </c>
      <c r="BE216" s="227" t="s">
        <v>22</v>
      </c>
      <c r="BF216" s="1019">
        <f t="shared" si="121"/>
        <v>0</v>
      </c>
      <c r="BG216" s="1020">
        <f t="shared" si="122"/>
        <v>1.2239902080783354</v>
      </c>
      <c r="BH216"/>
      <c r="BQ216"/>
      <c r="BR216"/>
      <c r="BS216"/>
      <c r="BT216"/>
      <c r="BU216"/>
      <c r="BV216"/>
      <c r="BW216" s="959" t="str">
        <f t="shared" si="101"/>
        <v>A</v>
      </c>
      <c r="BX216"/>
      <c r="BY216"/>
      <c r="BZ216"/>
      <c r="CA216"/>
      <c r="CB216"/>
      <c r="CC216" s="856"/>
      <c r="CD216"/>
      <c r="CE216"/>
      <c r="CF216"/>
      <c r="CG216"/>
      <c r="CH216"/>
      <c r="CI216"/>
      <c r="CJ216"/>
      <c r="CL216"/>
      <c r="CM216"/>
      <c r="CN216"/>
      <c r="CO216"/>
      <c r="CP216"/>
      <c r="CQ216"/>
      <c r="CR216"/>
      <c r="CT216"/>
      <c r="CU216"/>
      <c r="CV216"/>
      <c r="CW216"/>
      <c r="CX216"/>
      <c r="CY216"/>
      <c r="CZ216"/>
      <c r="DB216" s="3">
        <v>1</v>
      </c>
    </row>
    <row r="217" spans="1:106" s="709" customFormat="1" ht="21" customHeight="1">
      <c r="A217" s="936" t="s">
        <v>22</v>
      </c>
      <c r="B217" s="952" t="str">
        <f t="shared" si="100"/>
        <v>A</v>
      </c>
      <c r="C217" s="993" cm="1">
        <f t="array" ref="C217">SUMPRODUCT(LEN(D217:J217))</f>
        <v>0</v>
      </c>
      <c r="D217" s="167"/>
      <c r="E217" s="172"/>
      <c r="F217" s="172"/>
      <c r="G217" s="172"/>
      <c r="H217" s="172"/>
      <c r="I217" s="172"/>
      <c r="J217" s="173"/>
      <c r="K217" s="442" t="s">
        <v>22</v>
      </c>
      <c r="L217" s="104" t="str">
        <f t="shared" si="103"/>
        <v>A</v>
      </c>
      <c r="M217" s="32" t="str">
        <f>M205</f>
        <v>N NOTRE BOUDIN NOIR | | Auteur &gt; Guy KRENZE - Eric GODDYN - Arnaud NICOLAS - CEPROC 2002</v>
      </c>
      <c r="N217" s="33">
        <f>N205</f>
        <v>16.34</v>
      </c>
      <c r="O217" s="32" t="str">
        <f>O205</f>
        <v>Kg</v>
      </c>
      <c r="P217" s="34" t="str">
        <f>P205</f>
        <v>Recette mère ► le Boudin en 4 déclinaisons</v>
      </c>
      <c r="Q217" s="92"/>
      <c r="R217" s="108"/>
      <c r="S217" s="94" t="str">
        <f t="shared" si="102"/>
        <v/>
      </c>
      <c r="T217" s="95">
        <v>7</v>
      </c>
      <c r="U217" s="105" t="s">
        <v>99</v>
      </c>
      <c r="V217" s="127">
        <v>1</v>
      </c>
      <c r="W217" s="920" t="s">
        <v>13052</v>
      </c>
      <c r="X217" s="1495">
        <f>IF(OR(ISBLANK(Q203),X203=0),0,Q217*V204)</f>
        <v>0</v>
      </c>
      <c r="Y217" s="101">
        <f>IFERROR(_xlfn.LET(_xlpm.v,IFERROR(_xlfn.XLOOKUP(U217,Q246:Z246,Q247:Z247),_xlfn.XLOOKUP(U217,Q248:Z248,Q249:Z249)),_xlpm.v*T217*V217*V204*IF(ISBLANK(Q217),1,Q217)),0)</f>
        <v>2.1419828641370867E-3</v>
      </c>
      <c r="Z217" s="1476" t="str">
        <f>_xlfn.LET(_xlpm.unite,SUBSTITUTE(TRIM(U217)," (s)",""),_xlpm.val,Y217,_xlpm.estVol,COUNTIF(T246:Z246,_xlpm.unite)+COUNTIF(T248:Z248,_xlpm.unite)&gt;0,_xlpm.estPoids,COUNTIF(Q246:S246,_xlpm.unite)+COUNTIF(Q248:S248,_xlpm.unite)&gt;0,IF(_xlpm.estVol,IF(ROUND(_xlpm.val,3)&gt;=1,ROUND(_xlpm.val,3)&amp;" L",MAX(1,ROUND(_xlpm.val*100,0))&amp;" cl"),IF(_xlpm.estPoids,IF(ROUND(_xlpm.val,3)&gt;=1,ROUND(_xlpm.val,3)&amp;" Kg",MAX(1,ROUND(_xlpm.val*1000,0))&amp;" g"),"")))</f>
        <v>2 g</v>
      </c>
      <c r="AA217" s="5211"/>
      <c r="AB217" s="1178"/>
      <c r="AC217" s="1179"/>
      <c r="AD217" s="227" t="s">
        <v>22</v>
      </c>
      <c r="AE217" s="1027" t="str">
        <f t="shared" si="104"/>
        <v>A</v>
      </c>
      <c r="AF217" s="1028" t="str">
        <f t="shared" si="105"/>
        <v>N NOTRE BOUDIN NOIR | | Auteur &gt; Guy KRENZE - Eric GODDYN - Arnaud NICOLAS - CEPROC 2002</v>
      </c>
      <c r="AG217" s="1029">
        <f t="shared" si="106"/>
        <v>16.34</v>
      </c>
      <c r="AH217" s="1028" t="str">
        <f t="shared" si="107"/>
        <v>Kg</v>
      </c>
      <c r="AI217" s="1029" t="str">
        <f t="shared" si="108"/>
        <v>g</v>
      </c>
      <c r="AJ217" s="1029">
        <f t="shared" si="109"/>
        <v>1</v>
      </c>
      <c r="AK217" s="1043" cm="1">
        <f t="array" ref="AK217">IF(AE217&lt;&gt;"A","",IFERROR((IFERROR(_xlfn.XLOOKUP(TRIM(SUBSTITUTE(U217,CHAR(160)," ")),$BI$15:$BI$62,$BL$15:$BL$62),IFERROR(_xlfn.XLOOKUP(TRIM(SUBSTITUTE(U217,CHAR(160)," ")),$BJ$15:$BJ$62,$BL$15:$BL$62),_xlfn.XLOOKUP(TRIM(SUBSTITUTE(U217,CHAR(160)," ")),$BK$15:$BK$62,$BL$15:$BL$62))))*T217*IF(ISBLANK(Q217),1,Q217)+IFERROR(_xlfn.XLOOKUP("RECHERCHEX",TRIM(L217:AC217),L217:AC217),0),0))</f>
        <v>7.0000000000000001E-3</v>
      </c>
      <c r="AL217" s="1030" t="str">
        <f t="shared" si="110"/>
        <v>Kg</v>
      </c>
      <c r="AM217" s="5254" t="str">
        <f t="shared" si="99"/>
        <v>❾ Author reference &gt;</v>
      </c>
      <c r="AN217" s="1031">
        <f t="shared" si="111"/>
        <v>16.34</v>
      </c>
      <c r="AO217" s="1031" t="str">
        <f t="shared" si="112"/>
        <v>Kg</v>
      </c>
      <c r="AP217" s="1044">
        <f t="shared" si="113"/>
        <v>40</v>
      </c>
      <c r="AQ217" s="5257" t="str">
        <f t="shared" si="114"/>
        <v>parts-ou.or.o ❾ + or - &gt;</v>
      </c>
      <c r="AR217" s="1056">
        <v>20</v>
      </c>
      <c r="AS217" s="1056" t="s">
        <v>143</v>
      </c>
      <c r="AT217" s="1045">
        <f t="shared" si="115"/>
        <v>8.5679314565483469E-3</v>
      </c>
      <c r="AU217" s="1046" t="str">
        <f t="shared" si="116"/>
        <v>Kg</v>
      </c>
      <c r="AV217" s="1059" t="str" cm="1">
        <f t="array" ref="AV217">IF(AJ217&lt;&gt;1,0,IF(OR(AT217="",N(AT217)&lt;=0.000000001),"",IF(OR(AN217="",N(AN217)&lt;=0.000000001),0,IF(ISNUMBER(AT217),IFERROR(_xlfn.LET(_xlpm.ai_test,TRIM(AI217),_xlpm.r,IFERROR(_xlfn.XLOOKUP(_xlpm.ai_test,$BI$15:$BI$62,ROW($BI$15:$BI$62),0,1),IFERROR(_xlfn.XLOOKUP(_xlpm.ai_test,$BJ$15:$BJ$62,ROW($BJ$15:$BJ$62),0,1),_xlfn.XLOOKUP(_xlpm.ai_test,$BK$15:$BK$62,ROW($BK$15:$BK$62),0,1))),_xlpm.p,_xlpm.r-MIN(ROW($BI$15:$BI$62))+1,_xlpm.f,INDEX($BL$15:$BL$62,_xlpm.p),_xlpm.u,INDEX($BM$15:$BM$62,_xlpm.p),_xlpm.s,INDEX($BO$15:$BO$62,_xlpm.p),_xlpm.q,N(AT217)/_xlpm.f,IF(_xlpm.q&gt;=_xlpm.s,ROUND(_xlpm.q,1)&amp;" "&amp;_xlpm.ai_test&amp;" = "&amp;ROUND(_xlpm.q*_xlpm.f,1)&amp;" "&amp;_xlpm.u,ROUND(_xlpm.q,1)&amp;" "&amp;_xlpm.ai_test)),""),""))))</f>
        <v>8.6 g</v>
      </c>
      <c r="AW217" s="1047"/>
      <c r="AX217" s="1045">
        <f t="shared" si="117"/>
        <v>8.5679314565483469E-3</v>
      </c>
      <c r="AY217" s="1046" t="str">
        <f t="shared" si="118"/>
        <v>Kg</v>
      </c>
      <c r="AZ217" s="1048">
        <f t="shared" si="123"/>
        <v>0</v>
      </c>
      <c r="BA217" s="1049" t="str">
        <f t="shared" si="119"/>
        <v/>
      </c>
      <c r="BB217" s="1038"/>
      <c r="BC217" s="1050">
        <f t="shared" si="98"/>
        <v>0</v>
      </c>
      <c r="BD217" s="1040" t="str">
        <f t="shared" si="120"/>
        <v>ail rode de Lautrec</v>
      </c>
      <c r="BE217" s="227" t="s">
        <v>22</v>
      </c>
      <c r="BF217" s="1019">
        <f t="shared" si="121"/>
        <v>0</v>
      </c>
      <c r="BG217" s="1020">
        <f t="shared" si="122"/>
        <v>1.2239902080783354</v>
      </c>
      <c r="BH217"/>
      <c r="BQ217"/>
      <c r="BR217"/>
      <c r="BS217"/>
      <c r="BT217"/>
      <c r="BU217"/>
      <c r="BV217"/>
      <c r="BW217" s="959" t="str">
        <f t="shared" si="101"/>
        <v>A</v>
      </c>
      <c r="BX217"/>
      <c r="BY217"/>
      <c r="BZ217"/>
      <c r="CA217"/>
      <c r="CB217"/>
      <c r="CC217" s="856"/>
      <c r="CD217"/>
      <c r="CE217"/>
      <c r="CF217"/>
      <c r="CG217"/>
      <c r="CH217"/>
      <c r="CI217"/>
      <c r="CJ217"/>
      <c r="CL217"/>
      <c r="CM217"/>
      <c r="CN217"/>
      <c r="CO217"/>
      <c r="CP217"/>
      <c r="CQ217"/>
      <c r="CR217"/>
      <c r="CT217"/>
      <c r="CU217"/>
      <c r="CV217"/>
      <c r="CW217"/>
      <c r="CX217"/>
      <c r="CY217"/>
      <c r="CZ217"/>
      <c r="DB217" s="3">
        <v>1</v>
      </c>
    </row>
    <row r="218" spans="1:106" s="709" customFormat="1" ht="21" customHeight="1">
      <c r="A218" s="936" t="s">
        <v>22</v>
      </c>
      <c r="B218" s="952" t="str">
        <f t="shared" si="100"/>
        <v>A</v>
      </c>
      <c r="C218" s="993" cm="1">
        <f t="array" ref="C218">SUMPRODUCT(LEN(D218:J218))</f>
        <v>0</v>
      </c>
      <c r="D218" s="167"/>
      <c r="E218" s="172"/>
      <c r="F218" s="172"/>
      <c r="G218" s="172"/>
      <c r="H218" s="172"/>
      <c r="I218" s="172"/>
      <c r="J218" s="173"/>
      <c r="K218" s="442" t="s">
        <v>22</v>
      </c>
      <c r="L218" s="104" t="str">
        <f t="shared" si="103"/>
        <v>A</v>
      </c>
      <c r="M218" s="32" t="str">
        <f>M205</f>
        <v>N NOTRE BOUDIN NOIR | | Auteur &gt; Guy KRENZE - Eric GODDYN - Arnaud NICOLAS - CEPROC 2002</v>
      </c>
      <c r="N218" s="33">
        <f>N205</f>
        <v>16.34</v>
      </c>
      <c r="O218" s="32" t="str">
        <f>O205</f>
        <v>Kg</v>
      </c>
      <c r="P218" s="34" t="str">
        <f>P205</f>
        <v>Recette mère ► le Boudin en 4 déclinaisons</v>
      </c>
      <c r="Q218" s="92"/>
      <c r="R218" s="108"/>
      <c r="S218" s="94" t="str">
        <f t="shared" si="102"/>
        <v/>
      </c>
      <c r="T218" s="95">
        <v>150</v>
      </c>
      <c r="U218" s="105" t="s">
        <v>99</v>
      </c>
      <c r="V218" s="127">
        <v>1</v>
      </c>
      <c r="W218" s="920" t="s">
        <v>13053</v>
      </c>
      <c r="X218" s="1495">
        <f>IF(OR(ISBLANK(Q203),X203=0),0,Q218*V204)</f>
        <v>0</v>
      </c>
      <c r="Y218" s="101">
        <f>IFERROR(_xlfn.LET(_xlpm.v,IFERROR(_xlfn.XLOOKUP(U218,Q246:Z246,Q247:Z247),_xlfn.XLOOKUP(U218,Q248:Z248,Q249:Z249)),_xlpm.v*T218*V218*V204*IF(ISBLANK(Q218),1,Q218)),0)</f>
        <v>4.5899632802937573E-2</v>
      </c>
      <c r="Z218" s="1475" t="str">
        <f>_xlfn.LET(_xlpm.unite,SUBSTITUTE(TRIM(U218)," (s)",""),_xlpm.val,Y218,_xlpm.estVol,COUNTIF(T246:Z246,_xlpm.unite)+COUNTIF(T248:Z248,_xlpm.unite)&gt;0,_xlpm.estPoids,COUNTIF(Q246:S246,_xlpm.unite)+COUNTIF(Q248:S248,_xlpm.unite)&gt;0,IF(_xlpm.estVol,IF(ROUND(_xlpm.val,3)&gt;=1,ROUND(_xlpm.val,3)&amp;" L",MAX(1,ROUND(_xlpm.val*100,0))&amp;" cl"),IF(_xlpm.estPoids,IF(ROUND(_xlpm.val,3)&gt;=1,ROUND(_xlpm.val,3)&amp;" Kg",MAX(1,ROUND(_xlpm.val*1000,0))&amp;" g"),"")))</f>
        <v>46 g</v>
      </c>
      <c r="AA218" s="5211"/>
      <c r="AB218" s="1178"/>
      <c r="AC218" s="1179"/>
      <c r="AD218" s="227" t="s">
        <v>22</v>
      </c>
      <c r="AE218" s="1027" t="str">
        <f t="shared" si="104"/>
        <v>A</v>
      </c>
      <c r="AF218" s="1028" t="str">
        <f t="shared" si="105"/>
        <v>N NOTRE BOUDIN NOIR | | Auteur &gt; Guy KRENZE - Eric GODDYN - Arnaud NICOLAS - CEPROC 2002</v>
      </c>
      <c r="AG218" s="1029">
        <f t="shared" si="106"/>
        <v>16.34</v>
      </c>
      <c r="AH218" s="1028" t="str">
        <f t="shared" si="107"/>
        <v>Kg</v>
      </c>
      <c r="AI218" s="1029" t="str">
        <f t="shared" si="108"/>
        <v>g</v>
      </c>
      <c r="AJ218" s="1029">
        <f t="shared" si="109"/>
        <v>1</v>
      </c>
      <c r="AK218" s="1043" cm="1">
        <f t="array" ref="AK218">IF(AE218&lt;&gt;"A","",IFERROR((IFERROR(_xlfn.XLOOKUP(TRIM(SUBSTITUTE(U218,CHAR(160)," ")),$BI$15:$BI$62,$BL$15:$BL$62),IFERROR(_xlfn.XLOOKUP(TRIM(SUBSTITUTE(U218,CHAR(160)," ")),$BJ$15:$BJ$62,$BL$15:$BL$62),_xlfn.XLOOKUP(TRIM(SUBSTITUTE(U218,CHAR(160)," ")),$BK$15:$BK$62,$BL$15:$BL$62))))*T218*IF(ISBLANK(Q218),1,Q218)+IFERROR(_xlfn.XLOOKUP("RECHERCHEX",TRIM(L218:AC218),L218:AC218),0),0))</f>
        <v>0.15</v>
      </c>
      <c r="AL218" s="1030" t="str">
        <f t="shared" si="110"/>
        <v>Kg</v>
      </c>
      <c r="AM218" s="5254" t="str">
        <f t="shared" si="99"/>
        <v>❾ Author reference &gt;</v>
      </c>
      <c r="AN218" s="1031">
        <f t="shared" si="111"/>
        <v>16.34</v>
      </c>
      <c r="AO218" s="1031" t="str">
        <f t="shared" si="112"/>
        <v>Kg</v>
      </c>
      <c r="AP218" s="1032">
        <f t="shared" si="113"/>
        <v>40</v>
      </c>
      <c r="AQ218" s="5255" t="str">
        <f t="shared" si="114"/>
        <v>parts-ou.or.o ❾ + or - &gt;</v>
      </c>
      <c r="AR218" s="1056">
        <v>20</v>
      </c>
      <c r="AS218" s="1056" t="s">
        <v>143</v>
      </c>
      <c r="AT218" s="1034">
        <f t="shared" si="115"/>
        <v>0.18359853121175029</v>
      </c>
      <c r="AU218" s="1035" t="str">
        <f t="shared" si="116"/>
        <v>Kg</v>
      </c>
      <c r="AV218" s="1057" t="str" cm="1">
        <f t="array" ref="AV218">IF(AJ218&lt;&gt;1,0,IF(OR(AT218="",N(AT218)&lt;=0.000000001),"",IF(OR(AN218="",N(AN218)&lt;=0.000000001),0,IF(ISNUMBER(AT218),IFERROR(_xlfn.LET(_xlpm.ai_test,TRIM(AI218),_xlpm.r,IFERROR(_xlfn.XLOOKUP(_xlpm.ai_test,$BI$15:$BI$62,ROW($BI$15:$BI$62),0,1),IFERROR(_xlfn.XLOOKUP(_xlpm.ai_test,$BJ$15:$BJ$62,ROW($BJ$15:$BJ$62),0,1),_xlfn.XLOOKUP(_xlpm.ai_test,$BK$15:$BK$62,ROW($BK$15:$BK$62),0,1))),_xlpm.p,_xlpm.r-MIN(ROW($BI$15:$BI$62))+1,_xlpm.f,INDEX($BL$15:$BL$62,_xlpm.p),_xlpm.u,INDEX($BM$15:$BM$62,_xlpm.p),_xlpm.s,INDEX($BO$15:$BO$62,_xlpm.p),_xlpm.q,N(AT218)/_xlpm.f,IF(_xlpm.q&gt;=_xlpm.s,ROUND(_xlpm.q,1)&amp;" "&amp;_xlpm.ai_test&amp;" = "&amp;ROUND(_xlpm.q*_xlpm.f,1)&amp;" "&amp;_xlpm.u,ROUND(_xlpm.q,1)&amp;" "&amp;_xlpm.ai_test)),""),""))))</f>
        <v>183.6 g</v>
      </c>
      <c r="AW218" s="1047"/>
      <c r="AX218" s="1034">
        <f t="shared" si="117"/>
        <v>0.18359853121175029</v>
      </c>
      <c r="AY218" s="1035" t="str">
        <f t="shared" si="118"/>
        <v>Kg</v>
      </c>
      <c r="AZ218" s="1036">
        <f t="shared" si="123"/>
        <v>0</v>
      </c>
      <c r="BA218" s="1037" t="str">
        <f t="shared" si="119"/>
        <v/>
      </c>
      <c r="BB218" s="1038"/>
      <c r="BC218" s="1039">
        <f t="shared" si="98"/>
        <v>0</v>
      </c>
      <c r="BD218" s="1040" t="str">
        <f t="shared" si="120"/>
        <v>graisse d'oie ou canard</v>
      </c>
      <c r="BE218" s="227" t="s">
        <v>22</v>
      </c>
      <c r="BF218" s="1019">
        <f t="shared" si="121"/>
        <v>0</v>
      </c>
      <c r="BG218" s="1020">
        <f t="shared" si="122"/>
        <v>1.2239902080783354</v>
      </c>
      <c r="BH218"/>
      <c r="BQ218"/>
      <c r="BR218"/>
      <c r="BS218"/>
      <c r="BT218"/>
      <c r="BU218"/>
      <c r="BV218"/>
      <c r="BW218" s="959" t="str">
        <f t="shared" si="101"/>
        <v>A</v>
      </c>
      <c r="BX218"/>
      <c r="BY218"/>
      <c r="BZ218"/>
      <c r="CA218"/>
      <c r="CB218"/>
      <c r="CC218" s="856"/>
      <c r="CD218"/>
      <c r="CE218"/>
      <c r="CF218"/>
      <c r="CG218"/>
      <c r="CH218"/>
      <c r="CI218"/>
      <c r="CJ218"/>
      <c r="CL218"/>
      <c r="CM218"/>
      <c r="CN218"/>
      <c r="CO218"/>
      <c r="CP218"/>
      <c r="CQ218"/>
      <c r="CR218"/>
      <c r="CT218"/>
      <c r="CU218"/>
      <c r="CV218"/>
      <c r="CW218"/>
      <c r="CX218"/>
      <c r="CY218"/>
      <c r="CZ218"/>
      <c r="DB218" s="3">
        <v>1</v>
      </c>
    </row>
    <row r="219" spans="1:106" s="709" customFormat="1" ht="21" customHeight="1">
      <c r="A219" s="936" t="s">
        <v>22</v>
      </c>
      <c r="B219" s="952" t="str">
        <f t="shared" si="100"/>
        <v>A</v>
      </c>
      <c r="C219" s="993" cm="1">
        <f t="array" ref="C219">SUMPRODUCT(LEN(D219:J219))</f>
        <v>0</v>
      </c>
      <c r="D219" s="167"/>
      <c r="E219" s="172"/>
      <c r="F219" s="172"/>
      <c r="G219" s="172"/>
      <c r="H219" s="172"/>
      <c r="I219" s="172"/>
      <c r="J219" s="173"/>
      <c r="K219" s="442" t="s">
        <v>22</v>
      </c>
      <c r="L219" s="104" t="str">
        <f t="shared" si="103"/>
        <v>A</v>
      </c>
      <c r="M219" s="32" t="str">
        <f>M205</f>
        <v>N NOTRE BOUDIN NOIR | | Auteur &gt; Guy KRENZE - Eric GODDYN - Arnaud NICOLAS - CEPROC 2002</v>
      </c>
      <c r="N219" s="33">
        <f>N205</f>
        <v>16.34</v>
      </c>
      <c r="O219" s="32" t="str">
        <f>O205</f>
        <v>Kg</v>
      </c>
      <c r="P219" s="34" t="str">
        <f>P205</f>
        <v>Recette mère ► le Boudin en 4 déclinaisons</v>
      </c>
      <c r="Q219" s="92"/>
      <c r="R219" s="108"/>
      <c r="S219" s="94" t="str">
        <f t="shared" si="102"/>
        <v/>
      </c>
      <c r="T219" s="95">
        <v>220</v>
      </c>
      <c r="U219" s="105" t="s">
        <v>99</v>
      </c>
      <c r="V219" s="127">
        <v>1</v>
      </c>
      <c r="W219" s="920" t="s">
        <v>13054</v>
      </c>
      <c r="X219" s="1495">
        <f>IF(OR(ISBLANK(Q203),X203=0),0,Q219*V204)</f>
        <v>0</v>
      </c>
      <c r="Y219" s="101">
        <f>IFERROR(_xlfn.LET(_xlpm.v,IFERROR(_xlfn.XLOOKUP(U219,Q246:Z246,Q247:Z247),_xlfn.XLOOKUP(U219,Q248:Z248,Q249:Z249)),_xlpm.v*T219*V219*V204*IF(ISBLANK(Q219),1,Q219)),0)</f>
        <v>6.7319461444308448E-2</v>
      </c>
      <c r="Z219" s="1476" t="str">
        <f>_xlfn.LET(_xlpm.unite,SUBSTITUTE(TRIM(U219)," (s)",""),_xlpm.val,Y219,_xlpm.estVol,COUNTIF(T246:Z246,_xlpm.unite)+COUNTIF(T248:Z248,_xlpm.unite)&gt;0,_xlpm.estPoids,COUNTIF(Q246:S246,_xlpm.unite)+COUNTIF(Q248:S248,_xlpm.unite)&gt;0,IF(_xlpm.estVol,IF(ROUND(_xlpm.val,3)&gt;=1,ROUND(_xlpm.val,3)&amp;" L",MAX(1,ROUND(_xlpm.val*100,0))&amp;" cl"),IF(_xlpm.estPoids,IF(ROUND(_xlpm.val,3)&gt;=1,ROUND(_xlpm.val,3)&amp;" Kg",MAX(1,ROUND(_xlpm.val*1000,0))&amp;" g"),"")))</f>
        <v>67 g</v>
      </c>
      <c r="AA219" s="5211"/>
      <c r="AB219" s="1178"/>
      <c r="AC219" s="1179"/>
      <c r="AD219" s="227" t="s">
        <v>22</v>
      </c>
      <c r="AE219" s="1027" t="str">
        <f t="shared" si="104"/>
        <v>A</v>
      </c>
      <c r="AF219" s="1028" t="str">
        <f t="shared" si="105"/>
        <v>N NOTRE BOUDIN NOIR | | Auteur &gt; Guy KRENZE - Eric GODDYN - Arnaud NICOLAS - CEPROC 2002</v>
      </c>
      <c r="AG219" s="1029">
        <f t="shared" si="106"/>
        <v>16.34</v>
      </c>
      <c r="AH219" s="1028" t="str">
        <f t="shared" si="107"/>
        <v>Kg</v>
      </c>
      <c r="AI219" s="1029" t="str">
        <f t="shared" si="108"/>
        <v>g</v>
      </c>
      <c r="AJ219" s="1029">
        <f t="shared" si="109"/>
        <v>1</v>
      </c>
      <c r="AK219" s="1043" cm="1">
        <f t="array" ref="AK219">IF(AE219&lt;&gt;"A","",IFERROR((IFERROR(_xlfn.XLOOKUP(TRIM(SUBSTITUTE(U219,CHAR(160)," ")),$BI$15:$BI$62,$BL$15:$BL$62),IFERROR(_xlfn.XLOOKUP(TRIM(SUBSTITUTE(U219,CHAR(160)," ")),$BJ$15:$BJ$62,$BL$15:$BL$62),_xlfn.XLOOKUP(TRIM(SUBSTITUTE(U219,CHAR(160)," ")),$BK$15:$BK$62,$BL$15:$BL$62))))*T219*IF(ISBLANK(Q219),1,Q219)+IFERROR(_xlfn.XLOOKUP("RECHERCHEX",TRIM(L219:AC219),L219:AC219),0),0))</f>
        <v>0.22</v>
      </c>
      <c r="AL219" s="1030" t="str">
        <f t="shared" si="110"/>
        <v>Kg</v>
      </c>
      <c r="AM219" s="5254" t="str">
        <f t="shared" si="99"/>
        <v>❾ Author reference &gt;</v>
      </c>
      <c r="AN219" s="1031">
        <f t="shared" si="111"/>
        <v>16.34</v>
      </c>
      <c r="AO219" s="1031" t="str">
        <f t="shared" si="112"/>
        <v>Kg</v>
      </c>
      <c r="AP219" s="1044">
        <f t="shared" si="113"/>
        <v>40</v>
      </c>
      <c r="AQ219" s="5257" t="str">
        <f t="shared" si="114"/>
        <v>parts-ou.or.o ❾ + or - &gt;</v>
      </c>
      <c r="AR219" s="1056">
        <v>20</v>
      </c>
      <c r="AS219" s="1056" t="s">
        <v>143</v>
      </c>
      <c r="AT219" s="1045">
        <f t="shared" si="115"/>
        <v>0.26927784577723379</v>
      </c>
      <c r="AU219" s="1046" t="str">
        <f t="shared" si="116"/>
        <v>Kg</v>
      </c>
      <c r="AV219" s="1059" t="str" cm="1">
        <f t="array" ref="AV219">IF(AJ219&lt;&gt;1,0,IF(OR(AT219="",N(AT219)&lt;=0.000000001),"",IF(OR(AN219="",N(AN219)&lt;=0.000000001),0,IF(ISNUMBER(AT219),IFERROR(_xlfn.LET(_xlpm.ai_test,TRIM(AI219),_xlpm.r,IFERROR(_xlfn.XLOOKUP(_xlpm.ai_test,$BI$15:$BI$62,ROW($BI$15:$BI$62),0,1),IFERROR(_xlfn.XLOOKUP(_xlpm.ai_test,$BJ$15:$BJ$62,ROW($BJ$15:$BJ$62),0,1),_xlfn.XLOOKUP(_xlpm.ai_test,$BK$15:$BK$62,ROW($BK$15:$BK$62),0,1))),_xlpm.p,_xlpm.r-MIN(ROW($BI$15:$BI$62))+1,_xlpm.f,INDEX($BL$15:$BL$62,_xlpm.p),_xlpm.u,INDEX($BM$15:$BM$62,_xlpm.p),_xlpm.s,INDEX($BO$15:$BO$62,_xlpm.p),_xlpm.q,N(AT219)/_xlpm.f,IF(_xlpm.q&gt;=_xlpm.s,ROUND(_xlpm.q,1)&amp;" "&amp;_xlpm.ai_test&amp;" = "&amp;ROUND(_xlpm.q*_xlpm.f,1)&amp;" "&amp;_xlpm.u,ROUND(_xlpm.q,1)&amp;" "&amp;_xlpm.ai_test)),""),""))))</f>
        <v>269.3 g</v>
      </c>
      <c r="AW219" s="1047"/>
      <c r="AX219" s="1045">
        <f t="shared" si="117"/>
        <v>0.26927784577723379</v>
      </c>
      <c r="AY219" s="1046" t="str">
        <f t="shared" si="118"/>
        <v>Kg</v>
      </c>
      <c r="AZ219" s="1048">
        <f t="shared" si="123"/>
        <v>0</v>
      </c>
      <c r="BA219" s="1049" t="str">
        <f t="shared" si="119"/>
        <v/>
      </c>
      <c r="BB219" s="1038"/>
      <c r="BC219" s="1050">
        <f t="shared" ref="BC219:BC282" si="124">IF(OR(AN219=0,ISBLANK(BB219),ISTEXT(AZ219)),0,(IF(AT219=0,AZ219,AT219)*BB219))</f>
        <v>0</v>
      </c>
      <c r="BD219" s="1040" t="str">
        <f t="shared" si="120"/>
        <v>œufs frais (facultatif)</v>
      </c>
      <c r="BE219" s="227" t="s">
        <v>22</v>
      </c>
      <c r="BF219" s="1019">
        <f t="shared" si="121"/>
        <v>0</v>
      </c>
      <c r="BG219" s="1020">
        <f t="shared" si="122"/>
        <v>1.2239902080783354</v>
      </c>
      <c r="BH219"/>
      <c r="BQ219"/>
      <c r="BR219"/>
      <c r="BS219"/>
      <c r="BT219"/>
      <c r="BU219"/>
      <c r="BV219"/>
      <c r="BW219" s="959" t="str">
        <f t="shared" si="101"/>
        <v>A</v>
      </c>
      <c r="BX219"/>
      <c r="BY219"/>
      <c r="BZ219"/>
      <c r="CA219"/>
      <c r="CB219"/>
      <c r="CC219" s="856"/>
      <c r="CD219"/>
      <c r="CE219"/>
      <c r="CF219"/>
      <c r="CG219"/>
      <c r="CH219"/>
      <c r="CI219"/>
      <c r="CJ219"/>
      <c r="CL219"/>
      <c r="CM219"/>
      <c r="CN219"/>
      <c r="CO219"/>
      <c r="CP219"/>
      <c r="CQ219"/>
      <c r="CR219"/>
      <c r="CT219"/>
      <c r="CU219"/>
      <c r="CV219"/>
      <c r="CW219"/>
      <c r="CX219"/>
      <c r="CY219"/>
      <c r="CZ219"/>
      <c r="DB219" s="3">
        <v>1</v>
      </c>
    </row>
    <row r="220" spans="1:106" s="709" customFormat="1" ht="21" customHeight="1">
      <c r="A220" s="936" t="s">
        <v>22</v>
      </c>
      <c r="B220" s="952" t="str">
        <f t="shared" si="100"/>
        <v>A</v>
      </c>
      <c r="C220" s="993" cm="1">
        <f t="array" ref="C220">SUMPRODUCT(LEN(D220:J220))</f>
        <v>0</v>
      </c>
      <c r="D220" s="167"/>
      <c r="E220" s="172"/>
      <c r="F220" s="172"/>
      <c r="G220" s="172"/>
      <c r="H220" s="172"/>
      <c r="I220" s="172"/>
      <c r="J220" s="173"/>
      <c r="K220" s="442" t="s">
        <v>22</v>
      </c>
      <c r="L220" s="104" t="str">
        <f t="shared" si="103"/>
        <v>A</v>
      </c>
      <c r="M220" s="32" t="str">
        <f>M205</f>
        <v>N NOTRE BOUDIN NOIR | | Auteur &gt; Guy KRENZE - Eric GODDYN - Arnaud NICOLAS - CEPROC 2002</v>
      </c>
      <c r="N220" s="33">
        <f>N205</f>
        <v>16.34</v>
      </c>
      <c r="O220" s="32" t="str">
        <f>O205</f>
        <v>Kg</v>
      </c>
      <c r="P220" s="34" t="str">
        <f>P205</f>
        <v>Recette mère ► le Boudin en 4 déclinaisons</v>
      </c>
      <c r="Q220" s="92"/>
      <c r="R220" s="108"/>
      <c r="S220" s="94" t="str">
        <f t="shared" si="102"/>
        <v/>
      </c>
      <c r="T220" s="95"/>
      <c r="U220" s="5111"/>
      <c r="V220" s="127">
        <v>1</v>
      </c>
      <c r="W220" s="5152" t="s">
        <v>13084</v>
      </c>
      <c r="X220" s="5153"/>
      <c r="Y220" s="5127">
        <f>ROUND(SUM(Y209:Y219)*18/1000,3)</f>
        <v>8.7999999999999995E-2</v>
      </c>
      <c r="Z220" s="5154">
        <f>Y220*1000</f>
        <v>88</v>
      </c>
      <c r="AA220" s="5211"/>
      <c r="AB220" s="1178"/>
      <c r="AC220" s="1179"/>
      <c r="AD220" s="227" t="s">
        <v>22</v>
      </c>
      <c r="AE220" s="1027" t="str">
        <f t="shared" si="104"/>
        <v>►</v>
      </c>
      <c r="AF220" s="1028" t="str">
        <f t="shared" si="105"/>
        <v/>
      </c>
      <c r="AG220" s="1029" t="str">
        <f t="shared" si="106"/>
        <v/>
      </c>
      <c r="AH220" s="1028" t="str">
        <f t="shared" si="107"/>
        <v/>
      </c>
      <c r="AI220" s="1029" t="str">
        <f t="shared" si="108"/>
        <v/>
      </c>
      <c r="AJ220" s="1029">
        <f t="shared" si="109"/>
        <v>0</v>
      </c>
      <c r="AK220" s="1043" t="str" cm="1">
        <f t="array" ref="AK220">IF(AE220&lt;&gt;"A","",IFERROR((IFERROR(_xlfn.XLOOKUP(TRIM(SUBSTITUTE(U220,CHAR(160)," ")),$BI$15:$BI$62,$BL$15:$BL$62),IFERROR(_xlfn.XLOOKUP(TRIM(SUBSTITUTE(U220,CHAR(160)," ")),$BJ$15:$BJ$62,$BL$15:$BL$62),_xlfn.XLOOKUP(TRIM(SUBSTITUTE(U220,CHAR(160)," ")),$BK$15:$BK$62,$BL$15:$BL$62))))*T220*IF(ISBLANK(Q220),1,Q220)+IFERROR(_xlfn.XLOOKUP("RECHERCHEX",TRIM(L220:AC220),L220:AC220),0),0))</f>
        <v/>
      </c>
      <c r="AL220" s="1030">
        <f t="shared" si="110"/>
        <v>0</v>
      </c>
      <c r="AM220" s="5254" t="str">
        <f t="shared" si="99"/>
        <v/>
      </c>
      <c r="AN220" s="1031">
        <f t="shared" si="111"/>
        <v>0</v>
      </c>
      <c r="AO220" s="1031">
        <f t="shared" si="112"/>
        <v>0</v>
      </c>
      <c r="AP220" s="1032">
        <f t="shared" si="113"/>
        <v>0</v>
      </c>
      <c r="AQ220" s="5255" t="str">
        <f t="shared" si="114"/>
        <v/>
      </c>
      <c r="AR220" s="1056"/>
      <c r="AS220" s="1056"/>
      <c r="AT220" s="1034">
        <f t="shared" si="115"/>
        <v>0</v>
      </c>
      <c r="AU220" s="1035">
        <f t="shared" si="116"/>
        <v>0</v>
      </c>
      <c r="AV220" s="1057" cm="1">
        <f t="array" ref="AV220">IF(AJ220&lt;&gt;1,0,IF(OR(AT220="",N(AT220)&lt;=0.000000001),"",IF(OR(AN220="",N(AN220)&lt;=0.000000001),0,IF(ISNUMBER(AT220),IFERROR(_xlfn.LET(_xlpm.ai_test,TRIM(AI220),_xlpm.r,IFERROR(_xlfn.XLOOKUP(_xlpm.ai_test,$BI$15:$BI$62,ROW($BI$15:$BI$62),0,1),IFERROR(_xlfn.XLOOKUP(_xlpm.ai_test,$BJ$15:$BJ$62,ROW($BJ$15:$BJ$62),0,1),_xlfn.XLOOKUP(_xlpm.ai_test,$BK$15:$BK$62,ROW($BK$15:$BK$62),0,1))),_xlpm.p,_xlpm.r-MIN(ROW($BI$15:$BI$62))+1,_xlpm.f,INDEX($BL$15:$BL$62,_xlpm.p),_xlpm.u,INDEX($BM$15:$BM$62,_xlpm.p),_xlpm.s,INDEX($BO$15:$BO$62,_xlpm.p),_xlpm.q,N(AT220)/_xlpm.f,IF(_xlpm.q&gt;=_xlpm.s,ROUND(_xlpm.q,1)&amp;" "&amp;_xlpm.ai_test&amp;" = "&amp;ROUND(_xlpm.q*_xlpm.f,1)&amp;" "&amp;_xlpm.u,ROUND(_xlpm.q,1)&amp;" "&amp;_xlpm.ai_test)),""),""))))</f>
        <v>0</v>
      </c>
      <c r="AW220" s="1047"/>
      <c r="AX220" s="1034">
        <f t="shared" si="117"/>
        <v>0</v>
      </c>
      <c r="AY220" s="1035" t="str">
        <f t="shared" si="118"/>
        <v/>
      </c>
      <c r="AZ220" s="1036">
        <f t="shared" si="123"/>
        <v>0</v>
      </c>
      <c r="BA220" s="1037" t="str">
        <f t="shared" si="119"/>
        <v/>
      </c>
      <c r="BB220" s="1038"/>
      <c r="BC220" s="1039">
        <f t="shared" si="124"/>
        <v>0</v>
      </c>
      <c r="BD220" s="1040" t="str">
        <f t="shared" si="120"/>
        <v/>
      </c>
      <c r="BE220" s="227" t="s">
        <v>22</v>
      </c>
      <c r="BF220" s="1019">
        <f t="shared" si="121"/>
        <v>0</v>
      </c>
      <c r="BG220" s="1020">
        <f t="shared" si="122"/>
        <v>0</v>
      </c>
      <c r="BH220"/>
      <c r="BQ220"/>
      <c r="BR220"/>
      <c r="BS220"/>
      <c r="BT220"/>
      <c r="BU220"/>
      <c r="BV220"/>
      <c r="BW220" s="959" t="str">
        <f t="shared" si="101"/>
        <v>►</v>
      </c>
      <c r="BX220"/>
      <c r="BY220"/>
      <c r="BZ220"/>
      <c r="CA220"/>
      <c r="CB220"/>
      <c r="CC220" s="856"/>
      <c r="CD220"/>
      <c r="CE220"/>
      <c r="CF220"/>
      <c r="CG220"/>
      <c r="CH220"/>
      <c r="CI220"/>
      <c r="CJ220"/>
      <c r="CL220"/>
      <c r="CM220"/>
      <c r="CN220"/>
      <c r="CO220"/>
      <c r="CP220"/>
      <c r="CQ220"/>
      <c r="CR220"/>
      <c r="CT220"/>
      <c r="CU220"/>
      <c r="CV220"/>
      <c r="CW220"/>
      <c r="CX220"/>
      <c r="CY220"/>
      <c r="CZ220"/>
      <c r="DB220" s="3">
        <v>1</v>
      </c>
    </row>
    <row r="221" spans="1:106" s="709" customFormat="1" ht="21" customHeight="1">
      <c r="A221" s="936" t="s">
        <v>22</v>
      </c>
      <c r="B221" s="952" t="str">
        <f t="shared" si="100"/>
        <v>A</v>
      </c>
      <c r="C221" s="993" cm="1">
        <f t="array" ref="C221">SUMPRODUCT(LEN(D221:J221))</f>
        <v>0</v>
      </c>
      <c r="D221" s="167"/>
      <c r="E221" s="172"/>
      <c r="F221" s="172"/>
      <c r="G221" s="172"/>
      <c r="H221" s="172"/>
      <c r="I221" s="172"/>
      <c r="J221" s="173"/>
      <c r="K221" s="442" t="s">
        <v>22</v>
      </c>
      <c r="L221" s="104" t="str">
        <f t="shared" si="103"/>
        <v>A</v>
      </c>
      <c r="M221" s="32" t="str">
        <f>M205</f>
        <v>N NOTRE BOUDIN NOIR | | Auteur &gt; Guy KRENZE - Eric GODDYN - Arnaud NICOLAS - CEPROC 2002</v>
      </c>
      <c r="N221" s="33">
        <f>N205</f>
        <v>16.34</v>
      </c>
      <c r="O221" s="32" t="str">
        <f>O205</f>
        <v>Kg</v>
      </c>
      <c r="P221" s="34" t="str">
        <f>P205</f>
        <v>Recette mère ► le Boudin en 4 déclinaisons</v>
      </c>
      <c r="Q221" s="92"/>
      <c r="R221" s="108"/>
      <c r="S221" s="94" t="str">
        <f t="shared" si="102"/>
        <v/>
      </c>
      <c r="T221" s="95"/>
      <c r="U221" s="126"/>
      <c r="V221" s="127">
        <v>1</v>
      </c>
      <c r="W221" s="5155" t="str">
        <f>"Total "&amp;TEXT(SUM(Y209:Y219),"#,##0.00")&amp;" kg × 18 g/kg = "&amp;TEXT(ROUND(SUM(Y209:Y219)*18,0),"0")&amp;" g"&amp;" de sel"</f>
        <v>Total ,4.90 kg × 18 g/kg = 88 g de sel</v>
      </c>
      <c r="X221" s="5153"/>
      <c r="Y221" s="5156"/>
      <c r="Z221" s="5157"/>
      <c r="AA221" s="5211"/>
      <c r="AB221" s="1178"/>
      <c r="AC221" s="1179"/>
      <c r="AD221" s="227" t="s">
        <v>22</v>
      </c>
      <c r="AE221" s="1027" t="str">
        <f t="shared" si="104"/>
        <v>►</v>
      </c>
      <c r="AF221" s="1028" t="str">
        <f t="shared" si="105"/>
        <v/>
      </c>
      <c r="AG221" s="1029" t="str">
        <f t="shared" si="106"/>
        <v/>
      </c>
      <c r="AH221" s="1028" t="str">
        <f t="shared" si="107"/>
        <v/>
      </c>
      <c r="AI221" s="1029" t="str">
        <f t="shared" si="108"/>
        <v/>
      </c>
      <c r="AJ221" s="1029">
        <f t="shared" si="109"/>
        <v>0</v>
      </c>
      <c r="AK221" s="1043" t="str" cm="1">
        <f t="array" ref="AK221">IF(AE221&lt;&gt;"A","",IFERROR((IFERROR(_xlfn.XLOOKUP(TRIM(SUBSTITUTE(U221,CHAR(160)," ")),$BI$15:$BI$62,$BL$15:$BL$62),IFERROR(_xlfn.XLOOKUP(TRIM(SUBSTITUTE(U221,CHAR(160)," ")),$BJ$15:$BJ$62,$BL$15:$BL$62),_xlfn.XLOOKUP(TRIM(SUBSTITUTE(U221,CHAR(160)," ")),$BK$15:$BK$62,$BL$15:$BL$62))))*T221*IF(ISBLANK(Q221),1,Q221)+IFERROR(_xlfn.XLOOKUP("RECHERCHEX",TRIM(L221:AC221),L221:AC221),0),0))</f>
        <v/>
      </c>
      <c r="AL221" s="1030">
        <f t="shared" si="110"/>
        <v>0</v>
      </c>
      <c r="AM221" s="5254" t="str">
        <f t="shared" si="99"/>
        <v/>
      </c>
      <c r="AN221" s="1031">
        <f t="shared" si="111"/>
        <v>0</v>
      </c>
      <c r="AO221" s="1031">
        <f t="shared" si="112"/>
        <v>0</v>
      </c>
      <c r="AP221" s="1044">
        <f t="shared" si="113"/>
        <v>0</v>
      </c>
      <c r="AQ221" s="5257" t="str">
        <f t="shared" si="114"/>
        <v/>
      </c>
      <c r="AR221" s="1056"/>
      <c r="AS221" s="1056"/>
      <c r="AT221" s="1045">
        <f t="shared" si="115"/>
        <v>0</v>
      </c>
      <c r="AU221" s="1046">
        <f t="shared" si="116"/>
        <v>0</v>
      </c>
      <c r="AV221" s="1059" cm="1">
        <f t="array" ref="AV221">IF(AJ221&lt;&gt;1,0,IF(OR(AT221="",N(AT221)&lt;=0.000000001),"",IF(OR(AN221="",N(AN221)&lt;=0.000000001),0,IF(ISNUMBER(AT221),IFERROR(_xlfn.LET(_xlpm.ai_test,TRIM(AI221),_xlpm.r,IFERROR(_xlfn.XLOOKUP(_xlpm.ai_test,$BI$15:$BI$62,ROW($BI$15:$BI$62),0,1),IFERROR(_xlfn.XLOOKUP(_xlpm.ai_test,$BJ$15:$BJ$62,ROW($BJ$15:$BJ$62),0,1),_xlfn.XLOOKUP(_xlpm.ai_test,$BK$15:$BK$62,ROW($BK$15:$BK$62),0,1))),_xlpm.p,_xlpm.r-MIN(ROW($BI$15:$BI$62))+1,_xlpm.f,INDEX($BL$15:$BL$62,_xlpm.p),_xlpm.u,INDEX($BM$15:$BM$62,_xlpm.p),_xlpm.s,INDEX($BO$15:$BO$62,_xlpm.p),_xlpm.q,N(AT221)/_xlpm.f,IF(_xlpm.q&gt;=_xlpm.s,ROUND(_xlpm.q,1)&amp;" "&amp;_xlpm.ai_test&amp;" = "&amp;ROUND(_xlpm.q*_xlpm.f,1)&amp;" "&amp;_xlpm.u,ROUND(_xlpm.q,1)&amp;" "&amp;_xlpm.ai_test)),""),""))))</f>
        <v>0</v>
      </c>
      <c r="AW221" s="1047"/>
      <c r="AX221" s="1045">
        <f t="shared" si="117"/>
        <v>0</v>
      </c>
      <c r="AY221" s="1046" t="str">
        <f t="shared" si="118"/>
        <v/>
      </c>
      <c r="AZ221" s="1048">
        <f t="shared" si="123"/>
        <v>0</v>
      </c>
      <c r="BA221" s="1049" t="str">
        <f t="shared" si="119"/>
        <v/>
      </c>
      <c r="BB221" s="1038"/>
      <c r="BC221" s="1050">
        <f t="shared" si="124"/>
        <v>0</v>
      </c>
      <c r="BD221" s="1040" t="str">
        <f t="shared" si="120"/>
        <v/>
      </c>
      <c r="BE221" s="227" t="s">
        <v>22</v>
      </c>
      <c r="BF221" s="1019">
        <f t="shared" si="121"/>
        <v>0</v>
      </c>
      <c r="BG221" s="1020">
        <f t="shared" si="122"/>
        <v>0</v>
      </c>
      <c r="BH221"/>
      <c r="BQ221"/>
      <c r="BR221"/>
      <c r="BS221"/>
      <c r="BT221"/>
      <c r="BU221"/>
      <c r="BV221"/>
      <c r="BW221" s="959" t="str">
        <f t="shared" si="101"/>
        <v>►</v>
      </c>
      <c r="BX221"/>
      <c r="BY221"/>
      <c r="BZ221"/>
      <c r="CA221"/>
      <c r="CB221"/>
      <c r="CC221" s="856"/>
      <c r="CD221"/>
      <c r="CE221"/>
      <c r="CF221"/>
      <c r="CG221"/>
      <c r="CH221"/>
      <c r="CI221"/>
      <c r="CJ221"/>
      <c r="CL221"/>
      <c r="CM221"/>
      <c r="CN221"/>
      <c r="CO221"/>
      <c r="CP221"/>
      <c r="CQ221"/>
      <c r="CR221"/>
      <c r="CT221"/>
      <c r="CU221"/>
      <c r="CV221"/>
      <c r="CW221"/>
      <c r="CX221"/>
      <c r="CY221"/>
      <c r="CZ221"/>
      <c r="DB221" s="3">
        <v>1</v>
      </c>
    </row>
    <row r="222" spans="1:106" s="709" customFormat="1" ht="21" customHeight="1">
      <c r="A222" s="936" t="s">
        <v>22</v>
      </c>
      <c r="B222" s="952" t="str">
        <f t="shared" si="100"/>
        <v>►</v>
      </c>
      <c r="C222" s="993" cm="1">
        <f t="array" ref="C222">SUMPRODUCT(LEN(D222:J222))</f>
        <v>0</v>
      </c>
      <c r="D222" s="167"/>
      <c r="E222" s="172"/>
      <c r="F222" s="172"/>
      <c r="G222" s="172"/>
      <c r="H222" s="172"/>
      <c r="I222" s="172"/>
      <c r="J222" s="173"/>
      <c r="K222" s="442" t="s">
        <v>22</v>
      </c>
      <c r="L222" s="104" t="str">
        <f t="shared" si="103"/>
        <v>►</v>
      </c>
      <c r="M222" s="32" t="str">
        <f>M205</f>
        <v>N NOTRE BOUDIN NOIR | | Auteur &gt; Guy KRENZE - Eric GODDYN - Arnaud NICOLAS - CEPROC 2002</v>
      </c>
      <c r="N222" s="33">
        <f>N205</f>
        <v>16.34</v>
      </c>
      <c r="O222" s="32" t="str">
        <f>O205</f>
        <v>Kg</v>
      </c>
      <c r="P222" s="34" t="str">
        <f>P205</f>
        <v>Recette mère ► le Boudin en 4 déclinaisons</v>
      </c>
      <c r="Q222" s="92"/>
      <c r="R222" s="108"/>
      <c r="S222" s="94" t="str">
        <f t="shared" si="102"/>
        <v/>
      </c>
      <c r="T222" s="95"/>
      <c r="U222" s="126"/>
      <c r="V222" s="127">
        <v>1</v>
      </c>
      <c r="W222" s="5158"/>
      <c r="X222" s="5153"/>
      <c r="Y222" s="5156"/>
      <c r="Z222" s="5157"/>
      <c r="AA222" s="5211"/>
      <c r="AB222" s="1178"/>
      <c r="AC222" s="1179"/>
      <c r="AD222" s="227" t="s">
        <v>22</v>
      </c>
      <c r="AE222" s="1027" t="str">
        <f t="shared" si="104"/>
        <v>►</v>
      </c>
      <c r="AF222" s="1028" t="str">
        <f t="shared" si="105"/>
        <v/>
      </c>
      <c r="AG222" s="1029" t="str">
        <f t="shared" si="106"/>
        <v/>
      </c>
      <c r="AH222" s="1028" t="str">
        <f t="shared" si="107"/>
        <v/>
      </c>
      <c r="AI222" s="1029" t="str">
        <f t="shared" si="108"/>
        <v/>
      </c>
      <c r="AJ222" s="1029">
        <f t="shared" si="109"/>
        <v>0</v>
      </c>
      <c r="AK222" s="1043" t="str" cm="1">
        <f t="array" ref="AK222">IF(AE222&lt;&gt;"A","",IFERROR((IFERROR(_xlfn.XLOOKUP(TRIM(SUBSTITUTE(U222,CHAR(160)," ")),$BI$15:$BI$62,$BL$15:$BL$62),IFERROR(_xlfn.XLOOKUP(TRIM(SUBSTITUTE(U222,CHAR(160)," ")),$BJ$15:$BJ$62,$BL$15:$BL$62),_xlfn.XLOOKUP(TRIM(SUBSTITUTE(U222,CHAR(160)," ")),$BK$15:$BK$62,$BL$15:$BL$62))))*T222*IF(ISBLANK(Q222),1,Q222)+IFERROR(_xlfn.XLOOKUP("RECHERCHEX",TRIM(L222:AC222),L222:AC222),0),0))</f>
        <v/>
      </c>
      <c r="AL222" s="1030">
        <f t="shared" si="110"/>
        <v>0</v>
      </c>
      <c r="AM222" s="5254" t="str">
        <f t="shared" ref="AM222:AM285" si="125">IF(AE222="A","❾ Author reference &gt;","")</f>
        <v/>
      </c>
      <c r="AN222" s="1031">
        <f t="shared" si="111"/>
        <v>0</v>
      </c>
      <c r="AO222" s="1031">
        <f t="shared" si="112"/>
        <v>0</v>
      </c>
      <c r="AP222" s="1032">
        <f t="shared" si="113"/>
        <v>0</v>
      </c>
      <c r="AQ222" s="5255" t="str">
        <f t="shared" si="114"/>
        <v/>
      </c>
      <c r="AR222" s="1056"/>
      <c r="AS222" s="1056"/>
      <c r="AT222" s="1034">
        <f t="shared" si="115"/>
        <v>0</v>
      </c>
      <c r="AU222" s="1035">
        <f t="shared" si="116"/>
        <v>0</v>
      </c>
      <c r="AV222" s="1057" cm="1">
        <f t="array" ref="AV222">IF(AJ222&lt;&gt;1,0,IF(OR(AT222="",N(AT222)&lt;=0.000000001),"",IF(OR(AN222="",N(AN222)&lt;=0.000000001),0,IF(ISNUMBER(AT222),IFERROR(_xlfn.LET(_xlpm.ai_test,TRIM(AI222),_xlpm.r,IFERROR(_xlfn.XLOOKUP(_xlpm.ai_test,$BI$15:$BI$62,ROW($BI$15:$BI$62),0,1),IFERROR(_xlfn.XLOOKUP(_xlpm.ai_test,$BJ$15:$BJ$62,ROW($BJ$15:$BJ$62),0,1),_xlfn.XLOOKUP(_xlpm.ai_test,$BK$15:$BK$62,ROW($BK$15:$BK$62),0,1))),_xlpm.p,_xlpm.r-MIN(ROW($BI$15:$BI$62))+1,_xlpm.f,INDEX($BL$15:$BL$62,_xlpm.p),_xlpm.u,INDEX($BM$15:$BM$62,_xlpm.p),_xlpm.s,INDEX($BO$15:$BO$62,_xlpm.p),_xlpm.q,N(AT222)/_xlpm.f,IF(_xlpm.q&gt;=_xlpm.s,ROUND(_xlpm.q,1)&amp;" "&amp;_xlpm.ai_test&amp;" = "&amp;ROUND(_xlpm.q*_xlpm.f,1)&amp;" "&amp;_xlpm.u,ROUND(_xlpm.q,1)&amp;" "&amp;_xlpm.ai_test)),""),""))))</f>
        <v>0</v>
      </c>
      <c r="AW222" s="1047"/>
      <c r="AX222" s="1034">
        <f t="shared" si="117"/>
        <v>0</v>
      </c>
      <c r="AY222" s="1035" t="str">
        <f t="shared" si="118"/>
        <v/>
      </c>
      <c r="AZ222" s="1036">
        <f t="shared" si="123"/>
        <v>0</v>
      </c>
      <c r="BA222" s="1037" t="str">
        <f t="shared" si="119"/>
        <v/>
      </c>
      <c r="BB222" s="1038"/>
      <c r="BC222" s="1039">
        <f t="shared" si="124"/>
        <v>0</v>
      </c>
      <c r="BD222" s="1040" t="str">
        <f t="shared" si="120"/>
        <v/>
      </c>
      <c r="BE222" s="227" t="s">
        <v>22</v>
      </c>
      <c r="BF222" s="1019">
        <f t="shared" si="121"/>
        <v>0</v>
      </c>
      <c r="BG222" s="1020">
        <f t="shared" si="122"/>
        <v>0</v>
      </c>
      <c r="BH222"/>
      <c r="BQ222"/>
      <c r="BR222"/>
      <c r="BS222"/>
      <c r="BT222"/>
      <c r="BU222"/>
      <c r="BV222"/>
      <c r="BW222" s="959" t="str">
        <f t="shared" si="101"/>
        <v>►</v>
      </c>
      <c r="BX222"/>
      <c r="BY222"/>
      <c r="BZ222"/>
      <c r="CA222"/>
      <c r="CB222"/>
      <c r="CC222" s="856"/>
      <c r="CD222"/>
      <c r="CE222"/>
      <c r="CF222"/>
      <c r="CG222"/>
      <c r="CH222"/>
      <c r="CI222"/>
      <c r="CJ222"/>
      <c r="CL222"/>
      <c r="CM222"/>
      <c r="CN222"/>
      <c r="CO222"/>
      <c r="CP222"/>
      <c r="CQ222"/>
      <c r="CR222"/>
      <c r="CT222"/>
      <c r="CU222"/>
      <c r="CV222"/>
      <c r="CW222"/>
      <c r="CX222"/>
      <c r="CY222"/>
      <c r="CZ222"/>
      <c r="DB222" s="3">
        <v>1</v>
      </c>
    </row>
    <row r="223" spans="1:106" s="709" customFormat="1" ht="21" customHeight="1">
      <c r="A223" s="936" t="s">
        <v>22</v>
      </c>
      <c r="B223" s="952" t="str">
        <f t="shared" si="100"/>
        <v>A</v>
      </c>
      <c r="C223" s="993" cm="1">
        <f t="array" ref="C223">SUMPRODUCT(LEN(D223:J223))</f>
        <v>0</v>
      </c>
      <c r="D223" s="167"/>
      <c r="E223" s="172"/>
      <c r="F223" s="172"/>
      <c r="G223" s="172"/>
      <c r="H223" s="172"/>
      <c r="I223" s="172"/>
      <c r="J223" s="173"/>
      <c r="K223" s="442" t="s">
        <v>22</v>
      </c>
      <c r="L223" s="104" t="str">
        <f t="shared" si="103"/>
        <v>A</v>
      </c>
      <c r="M223" s="32" t="str">
        <f>M205</f>
        <v>N NOTRE BOUDIN NOIR | | Auteur &gt; Guy KRENZE - Eric GODDYN - Arnaud NICOLAS - CEPROC 2002</v>
      </c>
      <c r="N223" s="33">
        <f>N205</f>
        <v>16.34</v>
      </c>
      <c r="O223" s="32" t="str">
        <f>O205</f>
        <v>Kg</v>
      </c>
      <c r="P223" s="34" t="str">
        <f>P205</f>
        <v>Recette mère ► le Boudin en 4 déclinaisons</v>
      </c>
      <c r="Q223" s="92"/>
      <c r="R223" s="108"/>
      <c r="S223" s="94" t="str">
        <f t="shared" si="102"/>
        <v/>
      </c>
      <c r="T223" s="95"/>
      <c r="U223" s="126"/>
      <c r="V223" s="127">
        <v>1</v>
      </c>
      <c r="W223" s="5152" t="s">
        <v>13065</v>
      </c>
      <c r="X223" s="5153"/>
      <c r="Y223" s="5127">
        <f>ROUND(SUM(Y209:Y219)*3/1000,3)</f>
        <v>1.4999999999999999E-2</v>
      </c>
      <c r="Z223" s="5154">
        <f>Y223*1000</f>
        <v>15</v>
      </c>
      <c r="AA223" s="5211"/>
      <c r="AB223" s="1178"/>
      <c r="AC223" s="1179"/>
      <c r="AD223" s="227" t="s">
        <v>22</v>
      </c>
      <c r="AE223" s="1027" t="str">
        <f t="shared" si="104"/>
        <v>►</v>
      </c>
      <c r="AF223" s="1028" t="str">
        <f t="shared" si="105"/>
        <v/>
      </c>
      <c r="AG223" s="1029" t="str">
        <f t="shared" si="106"/>
        <v/>
      </c>
      <c r="AH223" s="1028" t="str">
        <f t="shared" si="107"/>
        <v/>
      </c>
      <c r="AI223" s="1029" t="str">
        <f t="shared" si="108"/>
        <v/>
      </c>
      <c r="AJ223" s="1029">
        <f t="shared" si="109"/>
        <v>0</v>
      </c>
      <c r="AK223" s="1043" t="str" cm="1">
        <f t="array" ref="AK223">IF(AE223&lt;&gt;"A","",IFERROR((IFERROR(_xlfn.XLOOKUP(TRIM(SUBSTITUTE(U223,CHAR(160)," ")),$BI$15:$BI$62,$BL$15:$BL$62),IFERROR(_xlfn.XLOOKUP(TRIM(SUBSTITUTE(U223,CHAR(160)," ")),$BJ$15:$BJ$62,$BL$15:$BL$62),_xlfn.XLOOKUP(TRIM(SUBSTITUTE(U223,CHAR(160)," ")),$BK$15:$BK$62,$BL$15:$BL$62))))*T223*IF(ISBLANK(Q223),1,Q223)+IFERROR(_xlfn.XLOOKUP("RECHERCHEX",TRIM(L223:AC223),L223:AC223),0),0))</f>
        <v/>
      </c>
      <c r="AL223" s="1030">
        <f t="shared" si="110"/>
        <v>0</v>
      </c>
      <c r="AM223" s="5254" t="str">
        <f t="shared" si="125"/>
        <v/>
      </c>
      <c r="AN223" s="1031">
        <f t="shared" si="111"/>
        <v>0</v>
      </c>
      <c r="AO223" s="1031">
        <f t="shared" si="112"/>
        <v>0</v>
      </c>
      <c r="AP223" s="1044">
        <f t="shared" si="113"/>
        <v>0</v>
      </c>
      <c r="AQ223" s="5257" t="str">
        <f t="shared" si="114"/>
        <v/>
      </c>
      <c r="AR223" s="1056"/>
      <c r="AS223" s="1056"/>
      <c r="AT223" s="1045">
        <f t="shared" si="115"/>
        <v>0</v>
      </c>
      <c r="AU223" s="1046">
        <f t="shared" si="116"/>
        <v>0</v>
      </c>
      <c r="AV223" s="1059" cm="1">
        <f t="array" ref="AV223">IF(AJ223&lt;&gt;1,0,IF(OR(AT223="",N(AT223)&lt;=0.000000001),"",IF(OR(AN223="",N(AN223)&lt;=0.000000001),0,IF(ISNUMBER(AT223),IFERROR(_xlfn.LET(_xlpm.ai_test,TRIM(AI223),_xlpm.r,IFERROR(_xlfn.XLOOKUP(_xlpm.ai_test,$BI$15:$BI$62,ROW($BI$15:$BI$62),0,1),IFERROR(_xlfn.XLOOKUP(_xlpm.ai_test,$BJ$15:$BJ$62,ROW($BJ$15:$BJ$62),0,1),_xlfn.XLOOKUP(_xlpm.ai_test,$BK$15:$BK$62,ROW($BK$15:$BK$62),0,1))),_xlpm.p,_xlpm.r-MIN(ROW($BI$15:$BI$62))+1,_xlpm.f,INDEX($BL$15:$BL$62,_xlpm.p),_xlpm.u,INDEX($BM$15:$BM$62,_xlpm.p),_xlpm.s,INDEX($BO$15:$BO$62,_xlpm.p),_xlpm.q,N(AT223)/_xlpm.f,IF(_xlpm.q&gt;=_xlpm.s,ROUND(_xlpm.q,1)&amp;" "&amp;_xlpm.ai_test&amp;" = "&amp;ROUND(_xlpm.q*_xlpm.f,1)&amp;" "&amp;_xlpm.u,ROUND(_xlpm.q,1)&amp;" "&amp;_xlpm.ai_test)),""),""))))</f>
        <v>0</v>
      </c>
      <c r="AW223" s="1047"/>
      <c r="AX223" s="1045">
        <f t="shared" si="117"/>
        <v>0</v>
      </c>
      <c r="AY223" s="1046" t="str">
        <f t="shared" si="118"/>
        <v/>
      </c>
      <c r="AZ223" s="1048">
        <f t="shared" si="123"/>
        <v>0</v>
      </c>
      <c r="BA223" s="1049" t="str">
        <f t="shared" si="119"/>
        <v/>
      </c>
      <c r="BB223" s="1038"/>
      <c r="BC223" s="1050">
        <f t="shared" si="124"/>
        <v>0</v>
      </c>
      <c r="BD223" s="1040" t="str">
        <f t="shared" si="120"/>
        <v/>
      </c>
      <c r="BE223" s="227" t="s">
        <v>22</v>
      </c>
      <c r="BF223" s="1019">
        <f t="shared" si="121"/>
        <v>0</v>
      </c>
      <c r="BG223" s="1020">
        <f t="shared" si="122"/>
        <v>0</v>
      </c>
      <c r="BH223"/>
      <c r="BQ223"/>
      <c r="BR223"/>
      <c r="BS223"/>
      <c r="BT223"/>
      <c r="BU223"/>
      <c r="BV223"/>
      <c r="BW223" s="959" t="str">
        <f t="shared" si="101"/>
        <v>►</v>
      </c>
      <c r="BX223"/>
      <c r="BY223"/>
      <c r="BZ223"/>
      <c r="CA223"/>
      <c r="CB223"/>
      <c r="CC223" s="856"/>
      <c r="CD223"/>
      <c r="CE223"/>
      <c r="CF223"/>
      <c r="CG223"/>
      <c r="CH223"/>
      <c r="CI223"/>
      <c r="CJ223"/>
      <c r="CL223"/>
      <c r="CM223"/>
      <c r="CN223"/>
      <c r="CO223"/>
      <c r="CP223"/>
      <c r="CQ223"/>
      <c r="CR223"/>
      <c r="CT223"/>
      <c r="CU223"/>
      <c r="CV223"/>
      <c r="CW223"/>
      <c r="CX223"/>
      <c r="CY223"/>
      <c r="CZ223"/>
      <c r="DB223" s="3">
        <v>1</v>
      </c>
    </row>
    <row r="224" spans="1:106" s="709" customFormat="1" ht="21" customHeight="1">
      <c r="A224" s="936" t="s">
        <v>22</v>
      </c>
      <c r="B224" s="952" t="str">
        <f t="shared" si="100"/>
        <v>A</v>
      </c>
      <c r="C224" s="993" cm="1">
        <f t="array" ref="C224">SUMPRODUCT(LEN(D224:J224))</f>
        <v>0</v>
      </c>
      <c r="D224" s="167"/>
      <c r="E224" s="172"/>
      <c r="F224" s="172"/>
      <c r="G224" s="172"/>
      <c r="H224" s="172"/>
      <c r="I224" s="172"/>
      <c r="J224" s="173"/>
      <c r="K224" s="442" t="s">
        <v>22</v>
      </c>
      <c r="L224" s="104" t="str">
        <f t="shared" si="103"/>
        <v>A</v>
      </c>
      <c r="M224" s="32" t="str">
        <f>M205</f>
        <v>N NOTRE BOUDIN NOIR | | Auteur &gt; Guy KRENZE - Eric GODDYN - Arnaud NICOLAS - CEPROC 2002</v>
      </c>
      <c r="N224" s="33">
        <f>N205</f>
        <v>16.34</v>
      </c>
      <c r="O224" s="32" t="str">
        <f>O205</f>
        <v>Kg</v>
      </c>
      <c r="P224" s="34" t="str">
        <f>P205</f>
        <v>Recette mère ► le Boudin en 4 déclinaisons</v>
      </c>
      <c r="Q224" s="92"/>
      <c r="R224" s="108"/>
      <c r="S224" s="94" t="str">
        <f t="shared" si="102"/>
        <v/>
      </c>
      <c r="T224" s="95"/>
      <c r="U224" s="126"/>
      <c r="V224" s="127">
        <v>1</v>
      </c>
      <c r="W224" s="5155" t="str">
        <f>"Total "&amp;TEXT(SUM(Y209:Y219),"#,##0.00")&amp;" kg × 3 g/kg = "&amp;TEXT(ROUND(SUM(Y209:Y219)*3,0),"0")&amp;" g"&amp;" d'épices"</f>
        <v>Total ,4.90 kg × 3 g/kg = 15 g d'épices</v>
      </c>
      <c r="X224" s="5153"/>
      <c r="Y224" s="5156"/>
      <c r="Z224" s="5157"/>
      <c r="AA224" s="5211"/>
      <c r="AB224" s="1178"/>
      <c r="AC224" s="1179"/>
      <c r="AD224" s="227" t="s">
        <v>22</v>
      </c>
      <c r="AE224" s="1027" t="str">
        <f t="shared" si="104"/>
        <v>►</v>
      </c>
      <c r="AF224" s="1028" t="str">
        <f t="shared" si="105"/>
        <v/>
      </c>
      <c r="AG224" s="1029" t="str">
        <f t="shared" si="106"/>
        <v/>
      </c>
      <c r="AH224" s="1028" t="str">
        <f t="shared" si="107"/>
        <v/>
      </c>
      <c r="AI224" s="1029" t="str">
        <f t="shared" si="108"/>
        <v/>
      </c>
      <c r="AJ224" s="1029">
        <f t="shared" si="109"/>
        <v>0</v>
      </c>
      <c r="AK224" s="1043" t="str" cm="1">
        <f t="array" ref="AK224">IF(AE224&lt;&gt;"A","",IFERROR((IFERROR(_xlfn.XLOOKUP(TRIM(SUBSTITUTE(U224,CHAR(160)," ")),$BI$15:$BI$62,$BL$15:$BL$62),IFERROR(_xlfn.XLOOKUP(TRIM(SUBSTITUTE(U224,CHAR(160)," ")),$BJ$15:$BJ$62,$BL$15:$BL$62),_xlfn.XLOOKUP(TRIM(SUBSTITUTE(U224,CHAR(160)," ")),$BK$15:$BK$62,$BL$15:$BL$62))))*T224*IF(ISBLANK(Q224),1,Q224)+IFERROR(_xlfn.XLOOKUP("RECHERCHEX",TRIM(L224:AC224),L224:AC224),0),0))</f>
        <v/>
      </c>
      <c r="AL224" s="1030">
        <f t="shared" si="110"/>
        <v>0</v>
      </c>
      <c r="AM224" s="5254" t="str">
        <f t="shared" si="125"/>
        <v/>
      </c>
      <c r="AN224" s="1031">
        <f t="shared" si="111"/>
        <v>0</v>
      </c>
      <c r="AO224" s="1031">
        <f t="shared" si="112"/>
        <v>0</v>
      </c>
      <c r="AP224" s="1032">
        <f t="shared" si="113"/>
        <v>0</v>
      </c>
      <c r="AQ224" s="5255" t="str">
        <f t="shared" si="114"/>
        <v/>
      </c>
      <c r="AR224" s="1056"/>
      <c r="AS224" s="1056"/>
      <c r="AT224" s="1034">
        <f t="shared" si="115"/>
        <v>0</v>
      </c>
      <c r="AU224" s="1035">
        <f t="shared" si="116"/>
        <v>0</v>
      </c>
      <c r="AV224" s="1057" cm="1">
        <f t="array" ref="AV224">IF(AJ224&lt;&gt;1,0,IF(OR(AT224="",N(AT224)&lt;=0.000000001),"",IF(OR(AN224="",N(AN224)&lt;=0.000000001),0,IF(ISNUMBER(AT224),IFERROR(_xlfn.LET(_xlpm.ai_test,TRIM(AI224),_xlpm.r,IFERROR(_xlfn.XLOOKUP(_xlpm.ai_test,$BI$15:$BI$62,ROW($BI$15:$BI$62),0,1),IFERROR(_xlfn.XLOOKUP(_xlpm.ai_test,$BJ$15:$BJ$62,ROW($BJ$15:$BJ$62),0,1),_xlfn.XLOOKUP(_xlpm.ai_test,$BK$15:$BK$62,ROW($BK$15:$BK$62),0,1))),_xlpm.p,_xlpm.r-MIN(ROW($BI$15:$BI$62))+1,_xlpm.f,INDEX($BL$15:$BL$62,_xlpm.p),_xlpm.u,INDEX($BM$15:$BM$62,_xlpm.p),_xlpm.s,INDEX($BO$15:$BO$62,_xlpm.p),_xlpm.q,N(AT224)/_xlpm.f,IF(_xlpm.q&gt;=_xlpm.s,ROUND(_xlpm.q,1)&amp;" "&amp;_xlpm.ai_test&amp;" = "&amp;ROUND(_xlpm.q*_xlpm.f,1)&amp;" "&amp;_xlpm.u,ROUND(_xlpm.q,1)&amp;" "&amp;_xlpm.ai_test)),""),""))))</f>
        <v>0</v>
      </c>
      <c r="AW224" s="1047"/>
      <c r="AX224" s="1034">
        <f t="shared" si="117"/>
        <v>0</v>
      </c>
      <c r="AY224" s="1035" t="str">
        <f t="shared" si="118"/>
        <v/>
      </c>
      <c r="AZ224" s="1036">
        <f t="shared" si="123"/>
        <v>0</v>
      </c>
      <c r="BA224" s="1037" t="str">
        <f t="shared" si="119"/>
        <v/>
      </c>
      <c r="BB224" s="1038"/>
      <c r="BC224" s="1039">
        <f t="shared" si="124"/>
        <v>0</v>
      </c>
      <c r="BD224" s="1040" t="str">
        <f t="shared" si="120"/>
        <v/>
      </c>
      <c r="BE224" s="227" t="s">
        <v>22</v>
      </c>
      <c r="BF224" s="1019">
        <f t="shared" si="121"/>
        <v>0</v>
      </c>
      <c r="BG224" s="1020">
        <f t="shared" si="122"/>
        <v>0</v>
      </c>
      <c r="BH224"/>
      <c r="BQ224"/>
      <c r="BR224"/>
      <c r="BS224"/>
      <c r="BT224"/>
      <c r="BU224"/>
      <c r="BV224"/>
      <c r="BW224" s="959" t="str">
        <f t="shared" si="101"/>
        <v>►</v>
      </c>
      <c r="BX224"/>
      <c r="BY224"/>
      <c r="BZ224"/>
      <c r="CA224"/>
      <c r="CB224"/>
      <c r="CC224" s="856"/>
      <c r="CD224"/>
      <c r="CE224"/>
      <c r="CF224"/>
      <c r="CG224"/>
      <c r="CH224"/>
      <c r="CI224"/>
      <c r="CJ224"/>
      <c r="CL224"/>
      <c r="CM224"/>
      <c r="CN224"/>
      <c r="CO224"/>
      <c r="CP224"/>
      <c r="CQ224"/>
      <c r="CR224"/>
      <c r="CT224"/>
      <c r="CU224"/>
      <c r="CV224"/>
      <c r="CW224"/>
      <c r="CX224"/>
      <c r="CY224"/>
      <c r="CZ224"/>
      <c r="DB224" s="3">
        <v>1</v>
      </c>
    </row>
    <row r="225" spans="1:106" s="709" customFormat="1" ht="21" customHeight="1">
      <c r="A225" s="936" t="s">
        <v>22</v>
      </c>
      <c r="B225" s="952" t="str">
        <f t="shared" si="100"/>
        <v>►</v>
      </c>
      <c r="C225" s="993" cm="1">
        <f t="array" ref="C225">SUMPRODUCT(LEN(D225:J225))</f>
        <v>0</v>
      </c>
      <c r="D225" s="167"/>
      <c r="E225" s="172"/>
      <c r="F225" s="172"/>
      <c r="G225" s="172"/>
      <c r="H225" s="172"/>
      <c r="I225" s="172"/>
      <c r="J225" s="173"/>
      <c r="K225" s="442" t="s">
        <v>22</v>
      </c>
      <c r="L225" s="104" t="str">
        <f t="shared" si="103"/>
        <v>►</v>
      </c>
      <c r="M225" s="32" t="str">
        <f>M205</f>
        <v>N NOTRE BOUDIN NOIR | | Auteur &gt; Guy KRENZE - Eric GODDYN - Arnaud NICOLAS - CEPROC 2002</v>
      </c>
      <c r="N225" s="33">
        <f>N205</f>
        <v>16.34</v>
      </c>
      <c r="O225" s="32" t="str">
        <f>O205</f>
        <v>Kg</v>
      </c>
      <c r="P225" s="34" t="str">
        <f>P205</f>
        <v>Recette mère ► le Boudin en 4 déclinaisons</v>
      </c>
      <c r="Q225" s="92"/>
      <c r="R225" s="108"/>
      <c r="S225" s="94" t="str">
        <f t="shared" si="102"/>
        <v/>
      </c>
      <c r="T225" s="95"/>
      <c r="U225" s="126"/>
      <c r="V225" s="127">
        <v>1</v>
      </c>
      <c r="W225" s="920"/>
      <c r="X225" s="1495">
        <f>IF(OR(ISBLANK(Q203),X203=0),0,Q225*V204)</f>
        <v>0</v>
      </c>
      <c r="Y225" s="101">
        <f>IFERROR(_xlfn.LET(_xlpm.v,IFERROR(_xlfn.XLOOKUP(U225,Q246:Z246,Q247:Z247),_xlfn.XLOOKUP(U225,Q248:Z248,Q249:Z249)),_xlpm.v*T225*V225*V204*IF(ISBLANK(Q225),1,Q225)),0)</f>
        <v>0</v>
      </c>
      <c r="Z225" s="1476" t="str">
        <f>_xlfn.LET(_xlpm.unite,SUBSTITUTE(TRIM(U225)," (s)",""),_xlpm.val,Y225,_xlpm.estVol,COUNTIF(T246:Z246,_xlpm.unite)+COUNTIF(T248:Z248,_xlpm.unite)&gt;0,_xlpm.estPoids,COUNTIF(Q246:S246,_xlpm.unite)+COUNTIF(Q248:S248,_xlpm.unite)&gt;0,IF(_xlpm.estVol,IF(ROUND(_xlpm.val,3)&gt;=1,ROUND(_xlpm.val,3)&amp;" L",MAX(1,ROUND(_xlpm.val*100,0))&amp;" cl"),IF(_xlpm.estPoids,IF(ROUND(_xlpm.val,3)&gt;=1,ROUND(_xlpm.val,3)&amp;" Kg",MAX(1,ROUND(_xlpm.val*1000,0))&amp;" g"),"")))</f>
        <v/>
      </c>
      <c r="AA225" s="5211"/>
      <c r="AB225" s="1178"/>
      <c r="AC225" s="1179"/>
      <c r="AD225" s="227" t="s">
        <v>22</v>
      </c>
      <c r="AE225" s="1027" t="str">
        <f t="shared" si="104"/>
        <v>►</v>
      </c>
      <c r="AF225" s="1028" t="str">
        <f t="shared" si="105"/>
        <v/>
      </c>
      <c r="AG225" s="1029" t="str">
        <f t="shared" si="106"/>
        <v/>
      </c>
      <c r="AH225" s="1028" t="str">
        <f t="shared" si="107"/>
        <v/>
      </c>
      <c r="AI225" s="1029" t="str">
        <f t="shared" si="108"/>
        <v/>
      </c>
      <c r="AJ225" s="1029">
        <f t="shared" si="109"/>
        <v>0</v>
      </c>
      <c r="AK225" s="1043" t="str" cm="1">
        <f t="array" ref="AK225">IF(AE225&lt;&gt;"A","",IFERROR((IFERROR(_xlfn.XLOOKUP(TRIM(SUBSTITUTE(U225,CHAR(160)," ")),$BI$15:$BI$62,$BL$15:$BL$62),IFERROR(_xlfn.XLOOKUP(TRIM(SUBSTITUTE(U225,CHAR(160)," ")),$BJ$15:$BJ$62,$BL$15:$BL$62),_xlfn.XLOOKUP(TRIM(SUBSTITUTE(U225,CHAR(160)," ")),$BK$15:$BK$62,$BL$15:$BL$62))))*T225*IF(ISBLANK(Q225),1,Q225)+IFERROR(_xlfn.XLOOKUP("RECHERCHEX",TRIM(L225:AC225),L225:AC225),0),0))</f>
        <v/>
      </c>
      <c r="AL225" s="1030">
        <f t="shared" si="110"/>
        <v>0</v>
      </c>
      <c r="AM225" s="5254" t="str">
        <f t="shared" si="125"/>
        <v/>
      </c>
      <c r="AN225" s="1031">
        <f t="shared" si="111"/>
        <v>0</v>
      </c>
      <c r="AO225" s="1031">
        <f t="shared" si="112"/>
        <v>0</v>
      </c>
      <c r="AP225" s="1044">
        <f t="shared" si="113"/>
        <v>0</v>
      </c>
      <c r="AQ225" s="5257" t="str">
        <f t="shared" si="114"/>
        <v/>
      </c>
      <c r="AR225" s="1056"/>
      <c r="AS225" s="1056"/>
      <c r="AT225" s="1045">
        <f t="shared" si="115"/>
        <v>0</v>
      </c>
      <c r="AU225" s="1046">
        <f t="shared" si="116"/>
        <v>0</v>
      </c>
      <c r="AV225" s="1059" cm="1">
        <f t="array" ref="AV225">IF(AJ225&lt;&gt;1,0,IF(OR(AT225="",N(AT225)&lt;=0.000000001),"",IF(OR(AN225="",N(AN225)&lt;=0.000000001),0,IF(ISNUMBER(AT225),IFERROR(_xlfn.LET(_xlpm.ai_test,TRIM(AI225),_xlpm.r,IFERROR(_xlfn.XLOOKUP(_xlpm.ai_test,$BI$15:$BI$62,ROW($BI$15:$BI$62),0,1),IFERROR(_xlfn.XLOOKUP(_xlpm.ai_test,$BJ$15:$BJ$62,ROW($BJ$15:$BJ$62),0,1),_xlfn.XLOOKUP(_xlpm.ai_test,$BK$15:$BK$62,ROW($BK$15:$BK$62),0,1))),_xlpm.p,_xlpm.r-MIN(ROW($BI$15:$BI$62))+1,_xlpm.f,INDEX($BL$15:$BL$62,_xlpm.p),_xlpm.u,INDEX($BM$15:$BM$62,_xlpm.p),_xlpm.s,INDEX($BO$15:$BO$62,_xlpm.p),_xlpm.q,N(AT225)/_xlpm.f,IF(_xlpm.q&gt;=_xlpm.s,ROUND(_xlpm.q,1)&amp;" "&amp;_xlpm.ai_test&amp;" = "&amp;ROUND(_xlpm.q*_xlpm.f,1)&amp;" "&amp;_xlpm.u,ROUND(_xlpm.q,1)&amp;" "&amp;_xlpm.ai_test)),""),""))))</f>
        <v>0</v>
      </c>
      <c r="AW225" s="1047"/>
      <c r="AX225" s="1045">
        <f t="shared" si="117"/>
        <v>0</v>
      </c>
      <c r="AY225" s="1046" t="str">
        <f t="shared" si="118"/>
        <v/>
      </c>
      <c r="AZ225" s="1048">
        <f t="shared" si="123"/>
        <v>0</v>
      </c>
      <c r="BA225" s="1049" t="str">
        <f t="shared" si="119"/>
        <v/>
      </c>
      <c r="BB225" s="1038"/>
      <c r="BC225" s="1050">
        <f t="shared" si="124"/>
        <v>0</v>
      </c>
      <c r="BD225" s="1040" t="str">
        <f t="shared" si="120"/>
        <v/>
      </c>
      <c r="BE225" s="227" t="s">
        <v>22</v>
      </c>
      <c r="BF225" s="1019">
        <f t="shared" si="121"/>
        <v>0</v>
      </c>
      <c r="BG225" s="1020">
        <f t="shared" si="122"/>
        <v>0</v>
      </c>
      <c r="BH225"/>
      <c r="BQ225"/>
      <c r="BR225"/>
      <c r="BS225"/>
      <c r="BT225"/>
      <c r="BU225"/>
      <c r="BV225"/>
      <c r="BW225" s="959" t="str">
        <f t="shared" si="101"/>
        <v>►</v>
      </c>
      <c r="BX225"/>
      <c r="BY225"/>
      <c r="BZ225"/>
      <c r="CA225"/>
      <c r="CB225"/>
      <c r="CC225" s="856"/>
      <c r="CD225"/>
      <c r="CE225"/>
      <c r="CF225"/>
      <c r="CG225"/>
      <c r="CH225"/>
      <c r="CI225"/>
      <c r="CJ225"/>
      <c r="CL225"/>
      <c r="CM225"/>
      <c r="CN225"/>
      <c r="CO225"/>
      <c r="CP225"/>
      <c r="CQ225"/>
      <c r="CR225"/>
      <c r="CT225"/>
      <c r="CU225"/>
      <c r="CV225"/>
      <c r="CW225"/>
      <c r="CX225"/>
      <c r="CY225"/>
      <c r="CZ225"/>
      <c r="DB225" s="3">
        <v>1</v>
      </c>
    </row>
    <row r="226" spans="1:106" s="709" customFormat="1" ht="21" customHeight="1">
      <c r="A226" s="936" t="s">
        <v>22</v>
      </c>
      <c r="B226" s="952" t="str">
        <f t="shared" si="100"/>
        <v>A</v>
      </c>
      <c r="C226" s="993" cm="1">
        <f t="array" ref="C226">SUMPRODUCT(LEN(D226:J226))</f>
        <v>0</v>
      </c>
      <c r="D226" s="167"/>
      <c r="E226" s="172"/>
      <c r="F226" s="172"/>
      <c r="G226" s="172"/>
      <c r="H226" s="172"/>
      <c r="I226" s="172"/>
      <c r="J226" s="173"/>
      <c r="K226" s="442" t="s">
        <v>22</v>
      </c>
      <c r="L226" s="104" t="str">
        <f t="shared" si="103"/>
        <v>A</v>
      </c>
      <c r="M226" s="32" t="str">
        <f>M205</f>
        <v>N NOTRE BOUDIN NOIR | | Auteur &gt; Guy KRENZE - Eric GODDYN - Arnaud NICOLAS - CEPROC 2002</v>
      </c>
      <c r="N226" s="33">
        <f>N205</f>
        <v>16.34</v>
      </c>
      <c r="O226" s="32" t="str">
        <f>O205</f>
        <v>Kg</v>
      </c>
      <c r="P226" s="34" t="str">
        <f>P205</f>
        <v>Recette mère ► le Boudin en 4 déclinaisons</v>
      </c>
      <c r="Q226" s="92"/>
      <c r="R226" s="108"/>
      <c r="S226" s="94" t="str">
        <f t="shared" si="102"/>
        <v/>
      </c>
      <c r="T226" s="95"/>
      <c r="U226" s="126"/>
      <c r="V226" s="127">
        <v>1</v>
      </c>
      <c r="W226" s="920" t="s">
        <v>13055</v>
      </c>
      <c r="X226" s="1495">
        <f>IF(OR(ISBLANK(Q203),X203=0),0,Q226*V204)</f>
        <v>0</v>
      </c>
      <c r="Y226" s="101">
        <f>IFERROR(_xlfn.LET(_xlpm.v,IFERROR(_xlfn.XLOOKUP(U226,Q246:Z246,Q247:Z247),_xlfn.XLOOKUP(U226,Q248:Z248,Q249:Z249)),_xlpm.v*T226*V226*V204*IF(ISBLANK(Q226),1,Q226)),0)</f>
        <v>0</v>
      </c>
      <c r="Z226" s="1475" t="str">
        <f>_xlfn.LET(_xlpm.unite,SUBSTITUTE(TRIM(U226)," (s)",""),_xlpm.val,Y226,_xlpm.estVol,COUNTIF(T246:Z246,_xlpm.unite)+COUNTIF(T248:Z248,_xlpm.unite)&gt;0,_xlpm.estPoids,COUNTIF(Q246:S246,_xlpm.unite)+COUNTIF(Q248:S248,_xlpm.unite)&gt;0,IF(_xlpm.estVol,IF(ROUND(_xlpm.val,3)&gt;=1,ROUND(_xlpm.val,3)&amp;" L",MAX(1,ROUND(_xlpm.val*100,0))&amp;" cl"),IF(_xlpm.estPoids,IF(ROUND(_xlpm.val,3)&gt;=1,ROUND(_xlpm.val,3)&amp;" Kg",MAX(1,ROUND(_xlpm.val*1000,0))&amp;" g"),"")))</f>
        <v/>
      </c>
      <c r="AA226" s="5211"/>
      <c r="AB226" s="1178"/>
      <c r="AC226" s="1179"/>
      <c r="AD226" s="227" t="s">
        <v>22</v>
      </c>
      <c r="AE226" s="1027" t="str">
        <f t="shared" si="104"/>
        <v>►</v>
      </c>
      <c r="AF226" s="1028" t="str">
        <f t="shared" si="105"/>
        <v/>
      </c>
      <c r="AG226" s="1029" t="str">
        <f t="shared" si="106"/>
        <v/>
      </c>
      <c r="AH226" s="1028" t="str">
        <f t="shared" si="107"/>
        <v/>
      </c>
      <c r="AI226" s="1029" t="str">
        <f t="shared" si="108"/>
        <v/>
      </c>
      <c r="AJ226" s="1029">
        <f t="shared" si="109"/>
        <v>0</v>
      </c>
      <c r="AK226" s="1043" t="str" cm="1">
        <f t="array" ref="AK226">IF(AE226&lt;&gt;"A","",IFERROR((IFERROR(_xlfn.XLOOKUP(TRIM(SUBSTITUTE(U226,CHAR(160)," ")),$BI$15:$BI$62,$BL$15:$BL$62),IFERROR(_xlfn.XLOOKUP(TRIM(SUBSTITUTE(U226,CHAR(160)," ")),$BJ$15:$BJ$62,$BL$15:$BL$62),_xlfn.XLOOKUP(TRIM(SUBSTITUTE(U226,CHAR(160)," ")),$BK$15:$BK$62,$BL$15:$BL$62))))*T226*IF(ISBLANK(Q226),1,Q226)+IFERROR(_xlfn.XLOOKUP("RECHERCHEX",TRIM(L226:AC226),L226:AC226),0),0))</f>
        <v/>
      </c>
      <c r="AL226" s="1030">
        <f t="shared" si="110"/>
        <v>0</v>
      </c>
      <c r="AM226" s="5254" t="str">
        <f t="shared" si="125"/>
        <v/>
      </c>
      <c r="AN226" s="1031">
        <f t="shared" si="111"/>
        <v>0</v>
      </c>
      <c r="AO226" s="1031">
        <f t="shared" si="112"/>
        <v>0</v>
      </c>
      <c r="AP226" s="1032">
        <f t="shared" si="113"/>
        <v>0</v>
      </c>
      <c r="AQ226" s="5255" t="str">
        <f t="shared" si="114"/>
        <v/>
      </c>
      <c r="AR226" s="1056"/>
      <c r="AS226" s="1056"/>
      <c r="AT226" s="1034">
        <f t="shared" si="115"/>
        <v>0</v>
      </c>
      <c r="AU226" s="1035">
        <f t="shared" si="116"/>
        <v>0</v>
      </c>
      <c r="AV226" s="1057" cm="1">
        <f t="array" ref="AV226">IF(AJ226&lt;&gt;1,0,IF(OR(AT226="",N(AT226)&lt;=0.000000001),"",IF(OR(AN226="",N(AN226)&lt;=0.000000001),0,IF(ISNUMBER(AT226),IFERROR(_xlfn.LET(_xlpm.ai_test,TRIM(AI226),_xlpm.r,IFERROR(_xlfn.XLOOKUP(_xlpm.ai_test,$BI$15:$BI$62,ROW($BI$15:$BI$62),0,1),IFERROR(_xlfn.XLOOKUP(_xlpm.ai_test,$BJ$15:$BJ$62,ROW($BJ$15:$BJ$62),0,1),_xlfn.XLOOKUP(_xlpm.ai_test,$BK$15:$BK$62,ROW($BK$15:$BK$62),0,1))),_xlpm.p,_xlpm.r-MIN(ROW($BI$15:$BI$62))+1,_xlpm.f,INDEX($BL$15:$BL$62,_xlpm.p),_xlpm.u,INDEX($BM$15:$BM$62,_xlpm.p),_xlpm.s,INDEX($BO$15:$BO$62,_xlpm.p),_xlpm.q,N(AT226)/_xlpm.f,IF(_xlpm.q&gt;=_xlpm.s,ROUND(_xlpm.q,1)&amp;" "&amp;_xlpm.ai_test&amp;" = "&amp;ROUND(_xlpm.q*_xlpm.f,1)&amp;" "&amp;_xlpm.u,ROUND(_xlpm.q,1)&amp;" "&amp;_xlpm.ai_test)),""),""))))</f>
        <v>0</v>
      </c>
      <c r="AW226" s="1047"/>
      <c r="AX226" s="1034">
        <f t="shared" si="117"/>
        <v>0</v>
      </c>
      <c r="AY226" s="1035" t="str">
        <f t="shared" si="118"/>
        <v/>
      </c>
      <c r="AZ226" s="1036">
        <f t="shared" si="123"/>
        <v>0</v>
      </c>
      <c r="BA226" s="1037" t="str">
        <f t="shared" si="119"/>
        <v/>
      </c>
      <c r="BB226" s="1038"/>
      <c r="BC226" s="1039">
        <f t="shared" si="124"/>
        <v>0</v>
      </c>
      <c r="BD226" s="1040" t="str">
        <f t="shared" si="120"/>
        <v/>
      </c>
      <c r="BE226" s="227" t="s">
        <v>22</v>
      </c>
      <c r="BF226" s="1019">
        <f t="shared" si="121"/>
        <v>0</v>
      </c>
      <c r="BG226" s="1020">
        <f t="shared" si="122"/>
        <v>0</v>
      </c>
      <c r="BH226"/>
      <c r="BQ226"/>
      <c r="BR226"/>
      <c r="BS226"/>
      <c r="BT226"/>
      <c r="BU226"/>
      <c r="BV226"/>
      <c r="BW226" s="959" t="str">
        <f t="shared" si="101"/>
        <v>►</v>
      </c>
      <c r="BX226"/>
      <c r="BY226"/>
      <c r="BZ226"/>
      <c r="CA226"/>
      <c r="CB226"/>
      <c r="CC226" s="856"/>
      <c r="CD226"/>
      <c r="CE226"/>
      <c r="CF226"/>
      <c r="CG226"/>
      <c r="CH226"/>
      <c r="CI226"/>
      <c r="CJ226"/>
      <c r="CL226"/>
      <c r="CM226"/>
      <c r="CN226"/>
      <c r="CO226"/>
      <c r="CP226"/>
      <c r="CQ226"/>
      <c r="CR226"/>
      <c r="CT226"/>
      <c r="CU226"/>
      <c r="CV226"/>
      <c r="CW226"/>
      <c r="CX226"/>
      <c r="CY226"/>
      <c r="CZ226"/>
      <c r="DB226" s="3">
        <v>1</v>
      </c>
    </row>
    <row r="227" spans="1:106" s="709" customFormat="1" ht="21" customHeight="1">
      <c r="A227" s="936" t="s">
        <v>22</v>
      </c>
      <c r="B227" s="952" t="str">
        <f t="shared" si="100"/>
        <v>►</v>
      </c>
      <c r="C227" s="993" cm="1">
        <f t="array" ref="C227">SUMPRODUCT(LEN(D227:J227))</f>
        <v>0</v>
      </c>
      <c r="D227" s="167"/>
      <c r="E227" s="172"/>
      <c r="F227" s="172"/>
      <c r="G227" s="172"/>
      <c r="H227" s="172"/>
      <c r="I227" s="172"/>
      <c r="J227" s="173"/>
      <c r="K227" s="442" t="s">
        <v>22</v>
      </c>
      <c r="L227" s="104" t="str">
        <f t="shared" si="103"/>
        <v>►</v>
      </c>
      <c r="M227" s="32" t="str">
        <f>M205</f>
        <v>N NOTRE BOUDIN NOIR | | Auteur &gt; Guy KRENZE - Eric GODDYN - Arnaud NICOLAS - CEPROC 2002</v>
      </c>
      <c r="N227" s="33">
        <f>N205</f>
        <v>16.34</v>
      </c>
      <c r="O227" s="32" t="str">
        <f>O205</f>
        <v>Kg</v>
      </c>
      <c r="P227" s="34" t="str">
        <f>P205</f>
        <v>Recette mère ► le Boudin en 4 déclinaisons</v>
      </c>
      <c r="Q227" s="92"/>
      <c r="R227" s="108"/>
      <c r="S227" s="94" t="str">
        <f t="shared" si="102"/>
        <v/>
      </c>
      <c r="T227" s="95"/>
      <c r="U227" s="126"/>
      <c r="V227" s="127">
        <v>1</v>
      </c>
      <c r="W227" s="920"/>
      <c r="X227" s="1495">
        <f>IF(OR(ISBLANK(Q203),X203=0),0,Q227*V204)</f>
        <v>0</v>
      </c>
      <c r="Y227" s="101">
        <f>IFERROR(_xlfn.LET(_xlpm.v,IFERROR(_xlfn.XLOOKUP(U227,Q246:Z246,Q247:Z247),_xlfn.XLOOKUP(U227,Q248:Z248,Q249:Z249)),_xlpm.v*T227*V227*V204*IF(ISBLANK(Q227),1,Q227)),0)</f>
        <v>0</v>
      </c>
      <c r="Z227" s="1476" t="str">
        <f>_xlfn.LET(_xlpm.unite,SUBSTITUTE(TRIM(U227)," (s)",""),_xlpm.val,Y227,_xlpm.estVol,COUNTIF(T246:Z246,_xlpm.unite)+COUNTIF(T248:Z248,_xlpm.unite)&gt;0,_xlpm.estPoids,COUNTIF(Q246:S246,_xlpm.unite)+COUNTIF(Q248:S248,_xlpm.unite)&gt;0,IF(_xlpm.estVol,IF(ROUND(_xlpm.val,3)&gt;=1,ROUND(_xlpm.val,3)&amp;" L",MAX(1,ROUND(_xlpm.val*100,0))&amp;" cl"),IF(_xlpm.estPoids,IF(ROUND(_xlpm.val,3)&gt;=1,ROUND(_xlpm.val,3)&amp;" Kg",MAX(1,ROUND(_xlpm.val*1000,0))&amp;" g"),"")))</f>
        <v/>
      </c>
      <c r="AA227" s="5211"/>
      <c r="AB227" s="1178"/>
      <c r="AC227" s="1179"/>
      <c r="AD227" s="227" t="s">
        <v>22</v>
      </c>
      <c r="AE227" s="1027" t="str">
        <f t="shared" si="104"/>
        <v>►</v>
      </c>
      <c r="AF227" s="1028" t="str">
        <f t="shared" si="105"/>
        <v/>
      </c>
      <c r="AG227" s="1029" t="str">
        <f t="shared" si="106"/>
        <v/>
      </c>
      <c r="AH227" s="1028" t="str">
        <f t="shared" si="107"/>
        <v/>
      </c>
      <c r="AI227" s="1029" t="str">
        <f t="shared" si="108"/>
        <v/>
      </c>
      <c r="AJ227" s="1029">
        <f t="shared" si="109"/>
        <v>0</v>
      </c>
      <c r="AK227" s="1043" t="str" cm="1">
        <f t="array" ref="AK227">IF(AE227&lt;&gt;"A","",IFERROR((IFERROR(_xlfn.XLOOKUP(TRIM(SUBSTITUTE(U227,CHAR(160)," ")),$BI$15:$BI$62,$BL$15:$BL$62),IFERROR(_xlfn.XLOOKUP(TRIM(SUBSTITUTE(U227,CHAR(160)," ")),$BJ$15:$BJ$62,$BL$15:$BL$62),_xlfn.XLOOKUP(TRIM(SUBSTITUTE(U227,CHAR(160)," ")),$BK$15:$BK$62,$BL$15:$BL$62))))*T227*IF(ISBLANK(Q227),1,Q227)+IFERROR(_xlfn.XLOOKUP("RECHERCHEX",TRIM(L227:AC227),L227:AC227),0),0))</f>
        <v/>
      </c>
      <c r="AL227" s="1030">
        <f t="shared" si="110"/>
        <v>0</v>
      </c>
      <c r="AM227" s="5254" t="str">
        <f t="shared" si="125"/>
        <v/>
      </c>
      <c r="AN227" s="1031">
        <f t="shared" si="111"/>
        <v>0</v>
      </c>
      <c r="AO227" s="1031">
        <f t="shared" si="112"/>
        <v>0</v>
      </c>
      <c r="AP227" s="1044">
        <f t="shared" si="113"/>
        <v>0</v>
      </c>
      <c r="AQ227" s="5257" t="str">
        <f t="shared" si="114"/>
        <v/>
      </c>
      <c r="AR227" s="1056"/>
      <c r="AS227" s="1056"/>
      <c r="AT227" s="1045">
        <f t="shared" si="115"/>
        <v>0</v>
      </c>
      <c r="AU227" s="1046">
        <f t="shared" si="116"/>
        <v>0</v>
      </c>
      <c r="AV227" s="1059" cm="1">
        <f t="array" ref="AV227">IF(AJ227&lt;&gt;1,0,IF(OR(AT227="",N(AT227)&lt;=0.000000001),"",IF(OR(AN227="",N(AN227)&lt;=0.000000001),0,IF(ISNUMBER(AT227),IFERROR(_xlfn.LET(_xlpm.ai_test,TRIM(AI227),_xlpm.r,IFERROR(_xlfn.XLOOKUP(_xlpm.ai_test,$BI$15:$BI$62,ROW($BI$15:$BI$62),0,1),IFERROR(_xlfn.XLOOKUP(_xlpm.ai_test,$BJ$15:$BJ$62,ROW($BJ$15:$BJ$62),0,1),_xlfn.XLOOKUP(_xlpm.ai_test,$BK$15:$BK$62,ROW($BK$15:$BK$62),0,1))),_xlpm.p,_xlpm.r-MIN(ROW($BI$15:$BI$62))+1,_xlpm.f,INDEX($BL$15:$BL$62,_xlpm.p),_xlpm.u,INDEX($BM$15:$BM$62,_xlpm.p),_xlpm.s,INDEX($BO$15:$BO$62,_xlpm.p),_xlpm.q,N(AT227)/_xlpm.f,IF(_xlpm.q&gt;=_xlpm.s,ROUND(_xlpm.q,1)&amp;" "&amp;_xlpm.ai_test&amp;" = "&amp;ROUND(_xlpm.q*_xlpm.f,1)&amp;" "&amp;_xlpm.u,ROUND(_xlpm.q,1)&amp;" "&amp;_xlpm.ai_test)),""),""))))</f>
        <v>0</v>
      </c>
      <c r="AW227" s="1047"/>
      <c r="AX227" s="1045">
        <f t="shared" si="117"/>
        <v>0</v>
      </c>
      <c r="AY227" s="1046" t="str">
        <f t="shared" si="118"/>
        <v/>
      </c>
      <c r="AZ227" s="1048">
        <f t="shared" si="123"/>
        <v>0</v>
      </c>
      <c r="BA227" s="1049" t="str">
        <f t="shared" si="119"/>
        <v/>
      </c>
      <c r="BB227" s="1038"/>
      <c r="BC227" s="1050">
        <f t="shared" si="124"/>
        <v>0</v>
      </c>
      <c r="BD227" s="1040" t="str">
        <f t="shared" si="120"/>
        <v/>
      </c>
      <c r="BE227" s="227" t="s">
        <v>22</v>
      </c>
      <c r="BF227" s="1019">
        <f t="shared" si="121"/>
        <v>0</v>
      </c>
      <c r="BG227" s="1020">
        <f t="shared" si="122"/>
        <v>0</v>
      </c>
      <c r="BH227"/>
      <c r="BQ227"/>
      <c r="BR227"/>
      <c r="BS227"/>
      <c r="BT227"/>
      <c r="BU227"/>
      <c r="BV227"/>
      <c r="BW227" s="959" t="str">
        <f t="shared" si="101"/>
        <v>►</v>
      </c>
      <c r="BX227"/>
      <c r="BY227"/>
      <c r="BZ227"/>
      <c r="CA227"/>
      <c r="CB227"/>
      <c r="CC227" s="856"/>
      <c r="CD227"/>
      <c r="CE227"/>
      <c r="CF227"/>
      <c r="CG227"/>
      <c r="CH227"/>
      <c r="CI227"/>
      <c r="CJ227"/>
      <c r="CL227"/>
      <c r="CM227"/>
      <c r="CN227"/>
      <c r="CO227"/>
      <c r="CP227"/>
      <c r="CQ227"/>
      <c r="CR227"/>
      <c r="CT227"/>
      <c r="CU227"/>
      <c r="CV227"/>
      <c r="CW227"/>
      <c r="CX227"/>
      <c r="CY227"/>
      <c r="CZ227"/>
      <c r="DB227" s="3">
        <v>1</v>
      </c>
    </row>
    <row r="228" spans="1:106" s="709" customFormat="1" ht="21" customHeight="1">
      <c r="A228" s="936" t="s">
        <v>22</v>
      </c>
      <c r="B228" s="952" t="str">
        <f t="shared" si="100"/>
        <v>►</v>
      </c>
      <c r="C228" s="993" cm="1">
        <f t="array" ref="C228">SUMPRODUCT(LEN(D228:J228))</f>
        <v>0</v>
      </c>
      <c r="D228" s="167"/>
      <c r="E228" s="172"/>
      <c r="F228" s="172"/>
      <c r="G228" s="172"/>
      <c r="H228" s="172"/>
      <c r="I228" s="172"/>
      <c r="J228" s="173"/>
      <c r="K228" s="442" t="s">
        <v>22</v>
      </c>
      <c r="L228" s="104" t="str">
        <f t="shared" si="103"/>
        <v>►</v>
      </c>
      <c r="M228" s="32" t="str">
        <f>M205</f>
        <v>N NOTRE BOUDIN NOIR | | Auteur &gt; Guy KRENZE - Eric GODDYN - Arnaud NICOLAS - CEPROC 2002</v>
      </c>
      <c r="N228" s="33">
        <f>N205</f>
        <v>16.34</v>
      </c>
      <c r="O228" s="32" t="str">
        <f>O205</f>
        <v>Kg</v>
      </c>
      <c r="P228" s="34" t="str">
        <f>P205</f>
        <v>Recette mère ► le Boudin en 4 déclinaisons</v>
      </c>
      <c r="Q228" s="92"/>
      <c r="R228" s="108"/>
      <c r="S228" s="94" t="str">
        <f t="shared" si="102"/>
        <v/>
      </c>
      <c r="T228" s="95"/>
      <c r="U228" s="126"/>
      <c r="V228" s="127">
        <v>1</v>
      </c>
      <c r="W228" s="920"/>
      <c r="X228" s="1495">
        <f>IF(OR(ISBLANK(Q203),X203=0),0,Q228*V204)</f>
        <v>0</v>
      </c>
      <c r="Y228" s="101">
        <f>IFERROR(_xlfn.LET(_xlpm.v,IFERROR(_xlfn.XLOOKUP(U228,Q246:Z246,Q247:Z247),_xlfn.XLOOKUP(U228,Q248:Z248,Q249:Z249)),_xlpm.v*T228*V228*V204*IF(ISBLANK(Q228),1,Q228)),0)</f>
        <v>0</v>
      </c>
      <c r="Z228" s="1475" t="str">
        <f>_xlfn.LET(_xlpm.unite,SUBSTITUTE(TRIM(U228)," (s)",""),_xlpm.val,Y228,_xlpm.estVol,COUNTIF(T246:Z246,_xlpm.unite)+COUNTIF(T248:Z248,_xlpm.unite)&gt;0,_xlpm.estPoids,COUNTIF(Q246:S246,_xlpm.unite)+COUNTIF(Q248:S248,_xlpm.unite)&gt;0,IF(_xlpm.estVol,IF(ROUND(_xlpm.val,3)&gt;=1,ROUND(_xlpm.val,3)&amp;" L",MAX(1,ROUND(_xlpm.val*100,0))&amp;" cl"),IF(_xlpm.estPoids,IF(ROUND(_xlpm.val,3)&gt;=1,ROUND(_xlpm.val,3)&amp;" Kg",MAX(1,ROUND(_xlpm.val*1000,0))&amp;" g"),"")))</f>
        <v/>
      </c>
      <c r="AA228" s="5211"/>
      <c r="AB228" s="1178"/>
      <c r="AC228" s="1179"/>
      <c r="AD228" s="227" t="s">
        <v>22</v>
      </c>
      <c r="AE228" s="1027" t="str">
        <f t="shared" si="104"/>
        <v>►</v>
      </c>
      <c r="AF228" s="1028" t="str">
        <f t="shared" si="105"/>
        <v/>
      </c>
      <c r="AG228" s="1029" t="str">
        <f t="shared" si="106"/>
        <v/>
      </c>
      <c r="AH228" s="1028" t="str">
        <f t="shared" si="107"/>
        <v/>
      </c>
      <c r="AI228" s="1029" t="str">
        <f t="shared" si="108"/>
        <v/>
      </c>
      <c r="AJ228" s="1029">
        <f t="shared" si="109"/>
        <v>0</v>
      </c>
      <c r="AK228" s="1043" t="str" cm="1">
        <f t="array" ref="AK228">IF(AE228&lt;&gt;"A","",IFERROR((IFERROR(_xlfn.XLOOKUP(TRIM(SUBSTITUTE(U228,CHAR(160)," ")),$BI$15:$BI$62,$BL$15:$BL$62),IFERROR(_xlfn.XLOOKUP(TRIM(SUBSTITUTE(U228,CHAR(160)," ")),$BJ$15:$BJ$62,$BL$15:$BL$62),_xlfn.XLOOKUP(TRIM(SUBSTITUTE(U228,CHAR(160)," ")),$BK$15:$BK$62,$BL$15:$BL$62))))*T228*IF(ISBLANK(Q228),1,Q228)+IFERROR(_xlfn.XLOOKUP("RECHERCHEX",TRIM(L228:AC228),L228:AC228),0),0))</f>
        <v/>
      </c>
      <c r="AL228" s="1030">
        <f t="shared" si="110"/>
        <v>0</v>
      </c>
      <c r="AM228" s="5254" t="str">
        <f t="shared" si="125"/>
        <v/>
      </c>
      <c r="AN228" s="1031">
        <f t="shared" si="111"/>
        <v>0</v>
      </c>
      <c r="AO228" s="1031">
        <f t="shared" si="112"/>
        <v>0</v>
      </c>
      <c r="AP228" s="1032">
        <f t="shared" si="113"/>
        <v>0</v>
      </c>
      <c r="AQ228" s="5255" t="str">
        <f t="shared" si="114"/>
        <v/>
      </c>
      <c r="AR228" s="1056"/>
      <c r="AS228" s="1056"/>
      <c r="AT228" s="1034">
        <f t="shared" si="115"/>
        <v>0</v>
      </c>
      <c r="AU228" s="1035">
        <f t="shared" si="116"/>
        <v>0</v>
      </c>
      <c r="AV228" s="1057" cm="1">
        <f t="array" ref="AV228">IF(AJ228&lt;&gt;1,0,IF(OR(AT228="",N(AT228)&lt;=0.000000001),"",IF(OR(AN228="",N(AN228)&lt;=0.000000001),0,IF(ISNUMBER(AT228),IFERROR(_xlfn.LET(_xlpm.ai_test,TRIM(AI228),_xlpm.r,IFERROR(_xlfn.XLOOKUP(_xlpm.ai_test,$BI$15:$BI$62,ROW($BI$15:$BI$62),0,1),IFERROR(_xlfn.XLOOKUP(_xlpm.ai_test,$BJ$15:$BJ$62,ROW($BJ$15:$BJ$62),0,1),_xlfn.XLOOKUP(_xlpm.ai_test,$BK$15:$BK$62,ROW($BK$15:$BK$62),0,1))),_xlpm.p,_xlpm.r-MIN(ROW($BI$15:$BI$62))+1,_xlpm.f,INDEX($BL$15:$BL$62,_xlpm.p),_xlpm.u,INDEX($BM$15:$BM$62,_xlpm.p),_xlpm.s,INDEX($BO$15:$BO$62,_xlpm.p),_xlpm.q,N(AT228)/_xlpm.f,IF(_xlpm.q&gt;=_xlpm.s,ROUND(_xlpm.q,1)&amp;" "&amp;_xlpm.ai_test&amp;" = "&amp;ROUND(_xlpm.q*_xlpm.f,1)&amp;" "&amp;_xlpm.u,ROUND(_xlpm.q,1)&amp;" "&amp;_xlpm.ai_test)),""),""))))</f>
        <v>0</v>
      </c>
      <c r="AW228" s="1047"/>
      <c r="AX228" s="1034">
        <f t="shared" si="117"/>
        <v>0</v>
      </c>
      <c r="AY228" s="1035" t="str">
        <f t="shared" si="118"/>
        <v/>
      </c>
      <c r="AZ228" s="1036">
        <f t="shared" si="123"/>
        <v>0</v>
      </c>
      <c r="BA228" s="1037" t="str">
        <f t="shared" si="119"/>
        <v/>
      </c>
      <c r="BB228" s="1038"/>
      <c r="BC228" s="1039">
        <f t="shared" si="124"/>
        <v>0</v>
      </c>
      <c r="BD228" s="1040" t="str">
        <f t="shared" si="120"/>
        <v/>
      </c>
      <c r="BE228" s="227" t="s">
        <v>22</v>
      </c>
      <c r="BF228" s="1019">
        <f t="shared" si="121"/>
        <v>0</v>
      </c>
      <c r="BG228" s="1020">
        <f t="shared" si="122"/>
        <v>0</v>
      </c>
      <c r="BH228"/>
      <c r="BQ228"/>
      <c r="BR228"/>
      <c r="BS228"/>
      <c r="BT228"/>
      <c r="BU228"/>
      <c r="BV228"/>
      <c r="BW228" s="959" t="str">
        <f t="shared" si="101"/>
        <v>►</v>
      </c>
      <c r="BX228"/>
      <c r="BY228"/>
      <c r="BZ228"/>
      <c r="CA228"/>
      <c r="CB228"/>
      <c r="CC228" s="856"/>
      <c r="CD228"/>
      <c r="CE228"/>
      <c r="CF228"/>
      <c r="CG228"/>
      <c r="CH228"/>
      <c r="CI228"/>
      <c r="CJ228"/>
      <c r="CL228"/>
      <c r="CM228"/>
      <c r="CN228"/>
      <c r="CO228"/>
      <c r="CP228"/>
      <c r="CQ228"/>
      <c r="CR228"/>
      <c r="CT228"/>
      <c r="CU228"/>
      <c r="CV228"/>
      <c r="CW228"/>
      <c r="CX228"/>
      <c r="CY228"/>
      <c r="CZ228"/>
      <c r="DB228" s="3">
        <v>1</v>
      </c>
    </row>
    <row r="229" spans="1:106" s="709" customFormat="1" ht="21" customHeight="1">
      <c r="A229" s="936" t="s">
        <v>22</v>
      </c>
      <c r="B229" s="952" t="str">
        <f t="shared" si="100"/>
        <v>A</v>
      </c>
      <c r="C229" s="993" cm="1">
        <f t="array" ref="C229">SUMPRODUCT(LEN(D229:J229))</f>
        <v>0</v>
      </c>
      <c r="D229" s="167"/>
      <c r="E229" s="172"/>
      <c r="F229" s="172"/>
      <c r="G229" s="172"/>
      <c r="H229" s="172"/>
      <c r="I229" s="172"/>
      <c r="J229" s="173"/>
      <c r="K229" s="442" t="s">
        <v>22</v>
      </c>
      <c r="L229" s="27" t="s">
        <v>11</v>
      </c>
      <c r="M229" s="32" t="str">
        <f>M205</f>
        <v>N NOTRE BOUDIN NOIR | | Auteur &gt; Guy KRENZE - Eric GODDYN - Arnaud NICOLAS - CEPROC 2002</v>
      </c>
      <c r="N229" s="33">
        <f>N205</f>
        <v>16.34</v>
      </c>
      <c r="O229" s="32" t="str">
        <f>O205</f>
        <v>Kg</v>
      </c>
      <c r="P229" s="34" t="str">
        <f>P205</f>
        <v>Recette mère ► le Boudin en 4 déclinaisons</v>
      </c>
      <c r="Q229" s="907" t="s">
        <v>136</v>
      </c>
      <c r="R229" s="500"/>
      <c r="S229" s="500"/>
      <c r="T229" s="500"/>
      <c r="U229" s="500"/>
      <c r="V229" s="908"/>
      <c r="W229" s="909"/>
      <c r="X229" s="909"/>
      <c r="Y229" s="5164">
        <f>SUM(Y209:Y228)</f>
        <v>5.0011028151774788</v>
      </c>
      <c r="Z229" s="1489"/>
      <c r="AA229" s="5211"/>
      <c r="AB229" s="1178"/>
      <c r="AC229" s="1179"/>
      <c r="AD229" s="227" t="s">
        <v>22</v>
      </c>
      <c r="AE229" s="1027" t="str">
        <f t="shared" si="104"/>
        <v>►</v>
      </c>
      <c r="AF229" s="1028" t="str">
        <f t="shared" si="105"/>
        <v/>
      </c>
      <c r="AG229" s="1029" t="str">
        <f t="shared" si="106"/>
        <v/>
      </c>
      <c r="AH229" s="1028" t="str">
        <f t="shared" si="107"/>
        <v/>
      </c>
      <c r="AI229" s="1029" t="str">
        <f t="shared" si="108"/>
        <v/>
      </c>
      <c r="AJ229" s="1029">
        <f t="shared" si="109"/>
        <v>0</v>
      </c>
      <c r="AK229" s="1043" t="str" cm="1">
        <f t="array" ref="AK229">IF(AE229&lt;&gt;"A","",IFERROR((IFERROR(_xlfn.XLOOKUP(TRIM(SUBSTITUTE(U229,CHAR(160)," ")),$BI$15:$BI$62,$BL$15:$BL$62),IFERROR(_xlfn.XLOOKUP(TRIM(SUBSTITUTE(U229,CHAR(160)," ")),$BJ$15:$BJ$62,$BL$15:$BL$62),_xlfn.XLOOKUP(TRIM(SUBSTITUTE(U229,CHAR(160)," ")),$BK$15:$BK$62,$BL$15:$BL$62))))*T229*IF(ISBLANK(Q229),1,Q229)+IFERROR(_xlfn.XLOOKUP("RECHERCHEX",TRIM(L229:AC229),L229:AC229),0),0))</f>
        <v/>
      </c>
      <c r="AL229" s="1030">
        <f t="shared" si="110"/>
        <v>0</v>
      </c>
      <c r="AM229" s="5254" t="str">
        <f t="shared" si="125"/>
        <v/>
      </c>
      <c r="AN229" s="1031">
        <f t="shared" si="111"/>
        <v>0</v>
      </c>
      <c r="AO229" s="1031">
        <f t="shared" si="112"/>
        <v>0</v>
      </c>
      <c r="AP229" s="1044">
        <f t="shared" si="113"/>
        <v>0</v>
      </c>
      <c r="AQ229" s="5257" t="str">
        <f t="shared" si="114"/>
        <v/>
      </c>
      <c r="AR229" s="1056"/>
      <c r="AS229" s="1056"/>
      <c r="AT229" s="1045">
        <f t="shared" si="115"/>
        <v>0</v>
      </c>
      <c r="AU229" s="1046">
        <f t="shared" si="116"/>
        <v>0</v>
      </c>
      <c r="AV229" s="1059" cm="1">
        <f t="array" ref="AV229">IF(AJ229&lt;&gt;1,0,IF(OR(AT229="",N(AT229)&lt;=0.000000001),"",IF(OR(AN229="",N(AN229)&lt;=0.000000001),0,IF(ISNUMBER(AT229),IFERROR(_xlfn.LET(_xlpm.ai_test,TRIM(AI229),_xlpm.r,IFERROR(_xlfn.XLOOKUP(_xlpm.ai_test,$BI$15:$BI$62,ROW($BI$15:$BI$62),0,1),IFERROR(_xlfn.XLOOKUP(_xlpm.ai_test,$BJ$15:$BJ$62,ROW($BJ$15:$BJ$62),0,1),_xlfn.XLOOKUP(_xlpm.ai_test,$BK$15:$BK$62,ROW($BK$15:$BK$62),0,1))),_xlpm.p,_xlpm.r-MIN(ROW($BI$15:$BI$62))+1,_xlpm.f,INDEX($BL$15:$BL$62,_xlpm.p),_xlpm.u,INDEX($BM$15:$BM$62,_xlpm.p),_xlpm.s,INDEX($BO$15:$BO$62,_xlpm.p),_xlpm.q,N(AT229)/_xlpm.f,IF(_xlpm.q&gt;=_xlpm.s,ROUND(_xlpm.q,1)&amp;" "&amp;_xlpm.ai_test&amp;" = "&amp;ROUND(_xlpm.q*_xlpm.f,1)&amp;" "&amp;_xlpm.u,ROUND(_xlpm.q,1)&amp;" "&amp;_xlpm.ai_test)),""),""))))</f>
        <v>0</v>
      </c>
      <c r="AW229" s="1047"/>
      <c r="AX229" s="1045">
        <f t="shared" si="117"/>
        <v>0</v>
      </c>
      <c r="AY229" s="1046" t="str">
        <f t="shared" si="118"/>
        <v/>
      </c>
      <c r="AZ229" s="1048">
        <f t="shared" si="123"/>
        <v>0</v>
      </c>
      <c r="BA229" s="1049" t="str">
        <f t="shared" si="119"/>
        <v/>
      </c>
      <c r="BB229" s="1038"/>
      <c r="BC229" s="1050">
        <f t="shared" si="124"/>
        <v>0</v>
      </c>
      <c r="BD229" s="1040" t="str">
        <f t="shared" si="120"/>
        <v/>
      </c>
      <c r="BE229" s="227" t="s">
        <v>22</v>
      </c>
      <c r="BF229" s="1019">
        <f t="shared" si="121"/>
        <v>0</v>
      </c>
      <c r="BG229" s="1020">
        <f t="shared" si="122"/>
        <v>0</v>
      </c>
      <c r="BH229"/>
      <c r="BQ229"/>
      <c r="BR229"/>
      <c r="BS229"/>
      <c r="BT229"/>
      <c r="BU229"/>
      <c r="BV229"/>
      <c r="BW229" s="959" t="str">
        <f t="shared" si="101"/>
        <v>►</v>
      </c>
      <c r="BX229"/>
      <c r="BY229"/>
      <c r="BZ229"/>
      <c r="CA229"/>
      <c r="CB229"/>
      <c r="CC229" s="856"/>
      <c r="CD229"/>
      <c r="CE229"/>
      <c r="CF229"/>
      <c r="CG229"/>
      <c r="CH229"/>
      <c r="CI229"/>
      <c r="CJ229"/>
      <c r="CL229"/>
      <c r="CM229"/>
      <c r="CN229"/>
      <c r="CO229"/>
      <c r="CP229"/>
      <c r="CQ229"/>
      <c r="CR229"/>
      <c r="CT229"/>
      <c r="CU229"/>
      <c r="CV229"/>
      <c r="CW229"/>
      <c r="CX229"/>
      <c r="CY229"/>
      <c r="CZ229"/>
      <c r="DB229" s="3">
        <v>1</v>
      </c>
    </row>
    <row r="230" spans="1:106" s="709" customFormat="1" ht="21" customHeight="1">
      <c r="A230" s="936" t="s">
        <v>22</v>
      </c>
      <c r="B230" s="952" t="str">
        <f t="shared" si="100"/>
        <v>A</v>
      </c>
      <c r="C230" s="993" cm="1">
        <f t="array" ref="C230">SUMPRODUCT(LEN(D230:J230))</f>
        <v>0</v>
      </c>
      <c r="D230" s="167"/>
      <c r="E230" s="172"/>
      <c r="F230" s="172"/>
      <c r="G230" s="172"/>
      <c r="H230" s="172"/>
      <c r="I230" s="172"/>
      <c r="J230" s="173"/>
      <c r="K230" s="442" t="s">
        <v>22</v>
      </c>
      <c r="L230" s="27" t="s">
        <v>11</v>
      </c>
      <c r="M230" s="32" t="str">
        <f>M205</f>
        <v>N NOTRE BOUDIN NOIR | | Auteur &gt; Guy KRENZE - Eric GODDYN - Arnaud NICOLAS - CEPROC 2002</v>
      </c>
      <c r="N230" s="33">
        <f>N205</f>
        <v>16.34</v>
      </c>
      <c r="O230" s="32" t="str">
        <f>O205</f>
        <v>Kg</v>
      </c>
      <c r="P230" s="34" t="str">
        <f>P205</f>
        <v>Recette mère ► le Boudin en 4 déclinaisons</v>
      </c>
      <c r="Q230" s="5142"/>
      <c r="R230" s="5450" t="s">
        <v>13070</v>
      </c>
      <c r="S230" s="5450"/>
      <c r="T230" s="5450"/>
      <c r="U230" s="5450"/>
      <c r="V230" s="5450"/>
      <c r="W230" s="5450"/>
      <c r="X230" s="5450"/>
      <c r="Y230" s="5450"/>
      <c r="Z230" s="5451"/>
      <c r="AA230" s="5211"/>
      <c r="AB230" s="1178"/>
      <c r="AC230" s="1179"/>
      <c r="AD230" s="227" t="s">
        <v>22</v>
      </c>
      <c r="AE230" s="1027" t="str">
        <f t="shared" si="104"/>
        <v>►</v>
      </c>
      <c r="AF230" s="1028" t="str">
        <f t="shared" si="105"/>
        <v/>
      </c>
      <c r="AG230" s="1029" t="str">
        <f t="shared" si="106"/>
        <v/>
      </c>
      <c r="AH230" s="1028" t="str">
        <f t="shared" si="107"/>
        <v/>
      </c>
      <c r="AI230" s="1029" t="str">
        <f t="shared" si="108"/>
        <v/>
      </c>
      <c r="AJ230" s="1029">
        <f t="shared" si="109"/>
        <v>0</v>
      </c>
      <c r="AK230" s="1043" t="str" cm="1">
        <f t="array" ref="AK230">IF(AE230&lt;&gt;"A","",IFERROR((IFERROR(_xlfn.XLOOKUP(TRIM(SUBSTITUTE(U230,CHAR(160)," ")),$BI$15:$BI$62,$BL$15:$BL$62),IFERROR(_xlfn.XLOOKUP(TRIM(SUBSTITUTE(U230,CHAR(160)," ")),$BJ$15:$BJ$62,$BL$15:$BL$62),_xlfn.XLOOKUP(TRIM(SUBSTITUTE(U230,CHAR(160)," ")),$BK$15:$BK$62,$BL$15:$BL$62))))*T230*IF(ISBLANK(Q230),1,Q230)+IFERROR(_xlfn.XLOOKUP("RECHERCHEX",TRIM(L230:AC230),L230:AC230),0),0))</f>
        <v/>
      </c>
      <c r="AL230" s="1030">
        <f t="shared" si="110"/>
        <v>0</v>
      </c>
      <c r="AM230" s="5254" t="str">
        <f t="shared" si="125"/>
        <v/>
      </c>
      <c r="AN230" s="1031">
        <f t="shared" si="111"/>
        <v>0</v>
      </c>
      <c r="AO230" s="1031">
        <f t="shared" si="112"/>
        <v>0</v>
      </c>
      <c r="AP230" s="1032">
        <f t="shared" si="113"/>
        <v>0</v>
      </c>
      <c r="AQ230" s="5255" t="str">
        <f t="shared" si="114"/>
        <v/>
      </c>
      <c r="AR230" s="1056"/>
      <c r="AS230" s="1056"/>
      <c r="AT230" s="1034">
        <f t="shared" si="115"/>
        <v>0</v>
      </c>
      <c r="AU230" s="1035">
        <f t="shared" si="116"/>
        <v>0</v>
      </c>
      <c r="AV230" s="1057" cm="1">
        <f t="array" ref="AV230">IF(AJ230&lt;&gt;1,0,IF(OR(AT230="",N(AT230)&lt;=0.000000001),"",IF(OR(AN230="",N(AN230)&lt;=0.000000001),0,IF(ISNUMBER(AT230),IFERROR(_xlfn.LET(_xlpm.ai_test,TRIM(AI230),_xlpm.r,IFERROR(_xlfn.XLOOKUP(_xlpm.ai_test,$BI$15:$BI$62,ROW($BI$15:$BI$62),0,1),IFERROR(_xlfn.XLOOKUP(_xlpm.ai_test,$BJ$15:$BJ$62,ROW($BJ$15:$BJ$62),0,1),_xlfn.XLOOKUP(_xlpm.ai_test,$BK$15:$BK$62,ROW($BK$15:$BK$62),0,1))),_xlpm.p,_xlpm.r-MIN(ROW($BI$15:$BI$62))+1,_xlpm.f,INDEX($BL$15:$BL$62,_xlpm.p),_xlpm.u,INDEX($BM$15:$BM$62,_xlpm.p),_xlpm.s,INDEX($BO$15:$BO$62,_xlpm.p),_xlpm.q,N(AT230)/_xlpm.f,IF(_xlpm.q&gt;=_xlpm.s,ROUND(_xlpm.q,1)&amp;" "&amp;_xlpm.ai_test&amp;" = "&amp;ROUND(_xlpm.q*_xlpm.f,1)&amp;" "&amp;_xlpm.u,ROUND(_xlpm.q,1)&amp;" "&amp;_xlpm.ai_test)),""),""))))</f>
        <v>0</v>
      </c>
      <c r="AW230" s="1047"/>
      <c r="AX230" s="1034">
        <f t="shared" si="117"/>
        <v>0</v>
      </c>
      <c r="AY230" s="1035" t="str">
        <f t="shared" si="118"/>
        <v/>
      </c>
      <c r="AZ230" s="1036">
        <f t="shared" si="123"/>
        <v>0</v>
      </c>
      <c r="BA230" s="1037" t="str">
        <f t="shared" si="119"/>
        <v/>
      </c>
      <c r="BB230" s="1038"/>
      <c r="BC230" s="1039">
        <f t="shared" si="124"/>
        <v>0</v>
      </c>
      <c r="BD230" s="1040" t="str">
        <f t="shared" si="120"/>
        <v/>
      </c>
      <c r="BE230" s="227" t="s">
        <v>22</v>
      </c>
      <c r="BF230" s="1019">
        <f t="shared" si="121"/>
        <v>0</v>
      </c>
      <c r="BG230" s="1020">
        <f t="shared" si="122"/>
        <v>0</v>
      </c>
      <c r="BH230"/>
      <c r="BQ230"/>
      <c r="BR230"/>
      <c r="BS230"/>
      <c r="BT230"/>
      <c r="BU230"/>
      <c r="BV230"/>
      <c r="BW230" s="959" t="str">
        <f t="shared" si="101"/>
        <v>►</v>
      </c>
      <c r="BX230"/>
      <c r="BY230"/>
      <c r="BZ230"/>
      <c r="CA230"/>
      <c r="CB230"/>
      <c r="CC230" s="856"/>
      <c r="CD230"/>
      <c r="CE230"/>
      <c r="CF230"/>
      <c r="CG230"/>
      <c r="CH230"/>
      <c r="CI230"/>
      <c r="CJ230"/>
      <c r="CL230"/>
      <c r="CM230"/>
      <c r="CN230"/>
      <c r="CO230"/>
      <c r="CP230"/>
      <c r="CQ230"/>
      <c r="CR230"/>
      <c r="CT230"/>
      <c r="CU230"/>
      <c r="CV230"/>
      <c r="CW230"/>
      <c r="CX230"/>
      <c r="CY230"/>
      <c r="CZ230"/>
      <c r="DB230" s="3">
        <v>1</v>
      </c>
    </row>
    <row r="231" spans="1:106" s="709" customFormat="1" ht="21" customHeight="1">
      <c r="A231" s="936" t="s">
        <v>22</v>
      </c>
      <c r="B231" s="952" t="str">
        <f t="shared" si="100"/>
        <v>A</v>
      </c>
      <c r="C231" s="993" cm="1">
        <f t="array" ref="C231">SUMPRODUCT(LEN(D231:J231))</f>
        <v>0</v>
      </c>
      <c r="D231" s="167"/>
      <c r="E231" s="172"/>
      <c r="F231" s="172"/>
      <c r="G231" s="172"/>
      <c r="H231" s="172"/>
      <c r="I231" s="172"/>
      <c r="J231" s="173"/>
      <c r="K231" s="442" t="s">
        <v>22</v>
      </c>
      <c r="L231" s="27" t="s">
        <v>11</v>
      </c>
      <c r="M231" s="32" t="str">
        <f>M205</f>
        <v>N NOTRE BOUDIN NOIR | | Auteur &gt; Guy KRENZE - Eric GODDYN - Arnaud NICOLAS - CEPROC 2002</v>
      </c>
      <c r="N231" s="33">
        <f>N205</f>
        <v>16.34</v>
      </c>
      <c r="O231" s="32" t="str">
        <f>O205</f>
        <v>Kg</v>
      </c>
      <c r="P231" s="34" t="str">
        <f>P205</f>
        <v>Recette mère ► le Boudin en 4 déclinaisons</v>
      </c>
      <c r="Q231" s="5130">
        <v>0.40799999999999997</v>
      </c>
      <c r="R231" s="5053" t="s">
        <v>872</v>
      </c>
      <c r="S231" s="5131" t="s">
        <v>13096</v>
      </c>
      <c r="T231" s="42"/>
      <c r="U231" s="5129"/>
      <c r="V231" s="5129"/>
      <c r="W231" s="5162" t="str">
        <f>W223</f>
        <v>poivre et épices en mélange 3g/kg</v>
      </c>
      <c r="X231" s="5163">
        <f>Y223</f>
        <v>1.4999999999999999E-2</v>
      </c>
      <c r="Y231" s="5452" t="str">
        <f>R231</f>
        <v>Kg</v>
      </c>
      <c r="Z231" s="5453"/>
      <c r="AA231" s="5211"/>
      <c r="AB231" s="1178"/>
      <c r="AC231" s="1179"/>
      <c r="AD231" s="227" t="s">
        <v>22</v>
      </c>
      <c r="AE231" s="1027" t="str">
        <f t="shared" si="104"/>
        <v>►</v>
      </c>
      <c r="AF231" s="1028" t="str">
        <f t="shared" si="105"/>
        <v/>
      </c>
      <c r="AG231" s="1029" t="str">
        <f t="shared" si="106"/>
        <v/>
      </c>
      <c r="AH231" s="1028" t="str">
        <f t="shared" si="107"/>
        <v/>
      </c>
      <c r="AI231" s="1029" t="str">
        <f t="shared" si="108"/>
        <v/>
      </c>
      <c r="AJ231" s="1029">
        <f t="shared" si="109"/>
        <v>0</v>
      </c>
      <c r="AK231" s="1043" t="str" cm="1">
        <f t="array" ref="AK231">IF(AE231&lt;&gt;"A","",IFERROR((IFERROR(_xlfn.XLOOKUP(TRIM(SUBSTITUTE(U231,CHAR(160)," ")),$BI$15:$BI$62,$BL$15:$BL$62),IFERROR(_xlfn.XLOOKUP(TRIM(SUBSTITUTE(U231,CHAR(160)," ")),$BJ$15:$BJ$62,$BL$15:$BL$62),_xlfn.XLOOKUP(TRIM(SUBSTITUTE(U231,CHAR(160)," ")),$BK$15:$BK$62,$BL$15:$BL$62))))*T231*IF(ISBLANK(Q231),1,Q231)+IFERROR(_xlfn.XLOOKUP("RECHERCHEX",TRIM(L231:AC231),L231:AC231),0),0))</f>
        <v/>
      </c>
      <c r="AL231" s="1030">
        <f t="shared" si="110"/>
        <v>0</v>
      </c>
      <c r="AM231" s="5254" t="str">
        <f t="shared" si="125"/>
        <v/>
      </c>
      <c r="AN231" s="1031">
        <f t="shared" si="111"/>
        <v>0</v>
      </c>
      <c r="AO231" s="1031">
        <f t="shared" si="112"/>
        <v>0</v>
      </c>
      <c r="AP231" s="1044">
        <f t="shared" si="113"/>
        <v>0</v>
      </c>
      <c r="AQ231" s="5257" t="str">
        <f t="shared" si="114"/>
        <v/>
      </c>
      <c r="AR231" s="1056"/>
      <c r="AS231" s="1056"/>
      <c r="AT231" s="1045">
        <f t="shared" si="115"/>
        <v>0</v>
      </c>
      <c r="AU231" s="1046">
        <f t="shared" si="116"/>
        <v>0</v>
      </c>
      <c r="AV231" s="1059" cm="1">
        <f t="array" ref="AV231">IF(AJ231&lt;&gt;1,0,IF(OR(AT231="",N(AT231)&lt;=0.000000001),"",IF(OR(AN231="",N(AN231)&lt;=0.000000001),0,IF(ISNUMBER(AT231),IFERROR(_xlfn.LET(_xlpm.ai_test,TRIM(AI231),_xlpm.r,IFERROR(_xlfn.XLOOKUP(_xlpm.ai_test,$BI$15:$BI$62,ROW($BI$15:$BI$62),0,1),IFERROR(_xlfn.XLOOKUP(_xlpm.ai_test,$BJ$15:$BJ$62,ROW($BJ$15:$BJ$62),0,1),_xlfn.XLOOKUP(_xlpm.ai_test,$BK$15:$BK$62,ROW($BK$15:$BK$62),0,1))),_xlpm.p,_xlpm.r-MIN(ROW($BI$15:$BI$62))+1,_xlpm.f,INDEX($BL$15:$BL$62,_xlpm.p),_xlpm.u,INDEX($BM$15:$BM$62,_xlpm.p),_xlpm.s,INDEX($BO$15:$BO$62,_xlpm.p),_xlpm.q,N(AT231)/_xlpm.f,IF(_xlpm.q&gt;=_xlpm.s,ROUND(_xlpm.q,1)&amp;" "&amp;_xlpm.ai_test&amp;" = "&amp;ROUND(_xlpm.q*_xlpm.f,1)&amp;" "&amp;_xlpm.u,ROUND(_xlpm.q,1)&amp;" "&amp;_xlpm.ai_test)),""),""))))</f>
        <v>0</v>
      </c>
      <c r="AW231" s="1047"/>
      <c r="AX231" s="1045">
        <f t="shared" si="117"/>
        <v>0</v>
      </c>
      <c r="AY231" s="1046" t="str">
        <f t="shared" si="118"/>
        <v/>
      </c>
      <c r="AZ231" s="1048">
        <f t="shared" si="123"/>
        <v>0</v>
      </c>
      <c r="BA231" s="1049" t="str">
        <f t="shared" si="119"/>
        <v/>
      </c>
      <c r="BB231" s="1038"/>
      <c r="BC231" s="1050">
        <f t="shared" si="124"/>
        <v>0</v>
      </c>
      <c r="BD231" s="1040" t="str">
        <f t="shared" si="120"/>
        <v/>
      </c>
      <c r="BE231" s="227" t="s">
        <v>22</v>
      </c>
      <c r="BF231" s="1019">
        <f t="shared" si="121"/>
        <v>0</v>
      </c>
      <c r="BG231" s="1020">
        <f t="shared" si="122"/>
        <v>0</v>
      </c>
      <c r="BH231"/>
      <c r="BQ231"/>
      <c r="BR231"/>
      <c r="BS231"/>
      <c r="BT231"/>
      <c r="BU231"/>
      <c r="BV231"/>
      <c r="BW231" s="959" t="str">
        <f t="shared" si="101"/>
        <v>►</v>
      </c>
      <c r="BX231"/>
      <c r="BY231"/>
      <c r="BZ231"/>
      <c r="CA231"/>
      <c r="CB231"/>
      <c r="CC231" s="856"/>
      <c r="CD231"/>
      <c r="CE231"/>
      <c r="CF231"/>
      <c r="CG231"/>
      <c r="CH231"/>
      <c r="CI231"/>
      <c r="CJ231"/>
      <c r="CL231"/>
      <c r="CM231"/>
      <c r="CN231"/>
      <c r="CO231"/>
      <c r="CP231"/>
      <c r="CQ231"/>
      <c r="CR231"/>
      <c r="CT231"/>
      <c r="CU231"/>
      <c r="CV231"/>
      <c r="CW231"/>
      <c r="CX231"/>
      <c r="CY231"/>
      <c r="CZ231"/>
      <c r="DB231" s="3">
        <v>1</v>
      </c>
    </row>
    <row r="232" spans="1:106" s="709" customFormat="1" ht="21" customHeight="1">
      <c r="A232" s="936" t="s">
        <v>22</v>
      </c>
      <c r="B232" s="952" t="str">
        <f t="shared" si="100"/>
        <v>A</v>
      </c>
      <c r="C232" s="993" cm="1">
        <f t="array" ref="C232">SUMPRODUCT(LEN(D232:J232))</f>
        <v>0</v>
      </c>
      <c r="D232" s="167"/>
      <c r="E232" s="172"/>
      <c r="F232" s="172"/>
      <c r="G232" s="172"/>
      <c r="H232" s="172"/>
      <c r="I232" s="172"/>
      <c r="J232" s="173"/>
      <c r="K232" s="442" t="s">
        <v>22</v>
      </c>
      <c r="L232" s="27" t="s">
        <v>11</v>
      </c>
      <c r="M232" s="32" t="str">
        <f>M205</f>
        <v>N NOTRE BOUDIN NOIR | | Auteur &gt; Guy KRENZE - Eric GODDYN - Arnaud NICOLAS - CEPROC 2002</v>
      </c>
      <c r="N232" s="33">
        <f>N205</f>
        <v>16.34</v>
      </c>
      <c r="O232" s="32" t="str">
        <f>O205</f>
        <v>Kg</v>
      </c>
      <c r="P232" s="34" t="str">
        <f>P205</f>
        <v>Recette mère ► le Boudin en 4 déclinaisons</v>
      </c>
      <c r="Q232" s="5145" t="s">
        <v>50</v>
      </c>
      <c r="R232" s="5143">
        <f>Y245/V232</f>
        <v>0.40750000000000003</v>
      </c>
      <c r="S232" s="5144" t="s">
        <v>13099</v>
      </c>
      <c r="T232" s="5044"/>
      <c r="U232" s="59"/>
      <c r="V232" s="1490">
        <f>IFERROR(X231/Q231,0)</f>
        <v>3.6764705882352942E-2</v>
      </c>
      <c r="W232" s="5132"/>
      <c r="X232" s="5133"/>
      <c r="Y232" s="5134"/>
      <c r="Z232" s="5141"/>
      <c r="AA232" s="5211"/>
      <c r="AB232" s="1178"/>
      <c r="AC232" s="1179"/>
      <c r="AD232" s="227" t="s">
        <v>22</v>
      </c>
      <c r="AE232" s="1027" t="str">
        <f t="shared" si="104"/>
        <v>►</v>
      </c>
      <c r="AF232" s="1028" t="str">
        <f t="shared" si="105"/>
        <v/>
      </c>
      <c r="AG232" s="1029" t="str">
        <f t="shared" si="106"/>
        <v/>
      </c>
      <c r="AH232" s="1028" t="str">
        <f t="shared" si="107"/>
        <v/>
      </c>
      <c r="AI232" s="1029" t="str">
        <f t="shared" si="108"/>
        <v/>
      </c>
      <c r="AJ232" s="1029">
        <f t="shared" si="109"/>
        <v>0</v>
      </c>
      <c r="AK232" s="1043" t="str" cm="1">
        <f t="array" ref="AK232">IF(AE232&lt;&gt;"A","",IFERROR((IFERROR(_xlfn.XLOOKUP(TRIM(SUBSTITUTE(U232,CHAR(160)," ")),$BI$15:$BI$62,$BL$15:$BL$62),IFERROR(_xlfn.XLOOKUP(TRIM(SUBSTITUTE(U232,CHAR(160)," ")),$BJ$15:$BJ$62,$BL$15:$BL$62),_xlfn.XLOOKUP(TRIM(SUBSTITUTE(U232,CHAR(160)," ")),$BK$15:$BK$62,$BL$15:$BL$62))))*T232*IF(ISBLANK(Q232),1,Q232)+IFERROR(_xlfn.XLOOKUP("RECHERCHEX",TRIM(L232:AC232),L232:AC232),0),0))</f>
        <v/>
      </c>
      <c r="AL232" s="1030">
        <f t="shared" si="110"/>
        <v>0</v>
      </c>
      <c r="AM232" s="5254" t="str">
        <f t="shared" si="125"/>
        <v/>
      </c>
      <c r="AN232" s="1031">
        <f t="shared" si="111"/>
        <v>0</v>
      </c>
      <c r="AO232" s="1031">
        <f t="shared" si="112"/>
        <v>0</v>
      </c>
      <c r="AP232" s="1032">
        <f t="shared" si="113"/>
        <v>0</v>
      </c>
      <c r="AQ232" s="5255" t="str">
        <f t="shared" si="114"/>
        <v/>
      </c>
      <c r="AR232" s="1056"/>
      <c r="AS232" s="1056"/>
      <c r="AT232" s="1034">
        <f t="shared" si="115"/>
        <v>0</v>
      </c>
      <c r="AU232" s="1035">
        <f t="shared" si="116"/>
        <v>0</v>
      </c>
      <c r="AV232" s="1057" cm="1">
        <f t="array" ref="AV232">IF(AJ232&lt;&gt;1,0,IF(OR(AT232="",N(AT232)&lt;=0.000000001),"",IF(OR(AN232="",N(AN232)&lt;=0.000000001),0,IF(ISNUMBER(AT232),IFERROR(_xlfn.LET(_xlpm.ai_test,TRIM(AI232),_xlpm.r,IFERROR(_xlfn.XLOOKUP(_xlpm.ai_test,$BI$15:$BI$62,ROW($BI$15:$BI$62),0,1),IFERROR(_xlfn.XLOOKUP(_xlpm.ai_test,$BJ$15:$BJ$62,ROW($BJ$15:$BJ$62),0,1),_xlfn.XLOOKUP(_xlpm.ai_test,$BK$15:$BK$62,ROW($BK$15:$BK$62),0,1))),_xlpm.p,_xlpm.r-MIN(ROW($BI$15:$BI$62))+1,_xlpm.f,INDEX($BL$15:$BL$62,_xlpm.p),_xlpm.u,INDEX($BM$15:$BM$62,_xlpm.p),_xlpm.s,INDEX($BO$15:$BO$62,_xlpm.p),_xlpm.q,N(AT232)/_xlpm.f,IF(_xlpm.q&gt;=_xlpm.s,ROUND(_xlpm.q,1)&amp;" "&amp;_xlpm.ai_test&amp;" = "&amp;ROUND(_xlpm.q*_xlpm.f,1)&amp;" "&amp;_xlpm.u,ROUND(_xlpm.q,1)&amp;" "&amp;_xlpm.ai_test)),""),""))))</f>
        <v>0</v>
      </c>
      <c r="AW232" s="1047"/>
      <c r="AX232" s="1034">
        <f t="shared" si="117"/>
        <v>0</v>
      </c>
      <c r="AY232" s="1035" t="str">
        <f t="shared" si="118"/>
        <v/>
      </c>
      <c r="AZ232" s="1036">
        <f t="shared" si="123"/>
        <v>0</v>
      </c>
      <c r="BA232" s="1037" t="str">
        <f t="shared" si="119"/>
        <v/>
      </c>
      <c r="BB232" s="1038"/>
      <c r="BC232" s="1039">
        <f t="shared" si="124"/>
        <v>0</v>
      </c>
      <c r="BD232" s="1040" t="str">
        <f t="shared" si="120"/>
        <v/>
      </c>
      <c r="BE232" s="227" t="s">
        <v>22</v>
      </c>
      <c r="BF232" s="1019">
        <f t="shared" si="121"/>
        <v>0</v>
      </c>
      <c r="BG232" s="1020">
        <f t="shared" si="122"/>
        <v>0</v>
      </c>
      <c r="BH232"/>
      <c r="BQ232"/>
      <c r="BR232"/>
      <c r="BS232"/>
      <c r="BT232"/>
      <c r="BU232"/>
      <c r="BV232"/>
      <c r="BW232" s="959" t="str">
        <f t="shared" si="101"/>
        <v>►</v>
      </c>
      <c r="BX232"/>
      <c r="BY232"/>
      <c r="BZ232"/>
      <c r="CA232"/>
      <c r="CB232"/>
      <c r="CC232" s="856"/>
      <c r="CD232"/>
      <c r="CE232"/>
      <c r="CF232"/>
      <c r="CG232"/>
      <c r="CH232"/>
      <c r="CI232"/>
      <c r="CJ232"/>
      <c r="CL232"/>
      <c r="CM232"/>
      <c r="CN232"/>
      <c r="CO232"/>
      <c r="CP232"/>
      <c r="CQ232"/>
      <c r="CR232"/>
      <c r="CT232"/>
      <c r="CU232"/>
      <c r="CV232"/>
      <c r="CW232"/>
      <c r="CX232"/>
      <c r="CY232"/>
      <c r="CZ232"/>
      <c r="DB232" s="3">
        <v>1</v>
      </c>
    </row>
    <row r="233" spans="1:106" s="709" customFormat="1" ht="21" customHeight="1">
      <c r="A233" s="936" t="s">
        <v>22</v>
      </c>
      <c r="B233" s="952" t="str">
        <f t="shared" si="100"/>
        <v>A</v>
      </c>
      <c r="C233" s="993" cm="1">
        <f t="array" ref="C233">SUMPRODUCT(LEN(D233:J233))</f>
        <v>0</v>
      </c>
      <c r="D233" s="167"/>
      <c r="E233" s="172"/>
      <c r="F233" s="172"/>
      <c r="G233" s="172"/>
      <c r="H233" s="172"/>
      <c r="I233" s="172"/>
      <c r="J233" s="173"/>
      <c r="K233" s="442" t="s">
        <v>22</v>
      </c>
      <c r="L233" s="27" t="s">
        <v>11</v>
      </c>
      <c r="M233" s="32" t="str">
        <f>M205</f>
        <v>N NOTRE BOUDIN NOIR | | Auteur &gt; Guy KRENZE - Eric GODDYN - Arnaud NICOLAS - CEPROC 2002</v>
      </c>
      <c r="N233" s="33">
        <f>N205</f>
        <v>16.34</v>
      </c>
      <c r="O233" s="32" t="str">
        <f>O205</f>
        <v>Kg</v>
      </c>
      <c r="P233" s="34" t="str">
        <f>P205</f>
        <v>Recette mère ► le Boudin en 4 déclinaisons</v>
      </c>
      <c r="Q233" s="81" t="s">
        <v>77</v>
      </c>
      <c r="R233" s="82" t="s">
        <v>78</v>
      </c>
      <c r="S233" s="83"/>
      <c r="T233" s="5470" t="s">
        <v>79</v>
      </c>
      <c r="U233" s="5480" t="s">
        <v>80</v>
      </c>
      <c r="V233" s="5481" t="s">
        <v>81</v>
      </c>
      <c r="W233" s="5138" t="s">
        <v>82</v>
      </c>
      <c r="X233" s="5482" t="s">
        <v>83</v>
      </c>
      <c r="Y233" s="5483" t="s">
        <v>3297</v>
      </c>
      <c r="Z233" s="5484" t="s">
        <v>86</v>
      </c>
      <c r="AA233" s="5211"/>
      <c r="AB233" s="1178"/>
      <c r="AC233" s="1179"/>
      <c r="AD233" s="227" t="s">
        <v>22</v>
      </c>
      <c r="AE233" s="1027" t="str">
        <f t="shared" si="104"/>
        <v>►</v>
      </c>
      <c r="AF233" s="1028" t="str">
        <f t="shared" si="105"/>
        <v/>
      </c>
      <c r="AG233" s="1029" t="str">
        <f t="shared" si="106"/>
        <v/>
      </c>
      <c r="AH233" s="1028" t="str">
        <f t="shared" si="107"/>
        <v/>
      </c>
      <c r="AI233" s="1029" t="str">
        <f t="shared" si="108"/>
        <v/>
      </c>
      <c r="AJ233" s="1029">
        <f t="shared" si="109"/>
        <v>0</v>
      </c>
      <c r="AK233" s="1043" t="str" cm="1">
        <f t="array" ref="AK233">IF(AE233&lt;&gt;"A","",IFERROR((IFERROR(_xlfn.XLOOKUP(TRIM(SUBSTITUTE(U233,CHAR(160)," ")),$BI$15:$BI$62,$BL$15:$BL$62),IFERROR(_xlfn.XLOOKUP(TRIM(SUBSTITUTE(U233,CHAR(160)," ")),$BJ$15:$BJ$62,$BL$15:$BL$62),_xlfn.XLOOKUP(TRIM(SUBSTITUTE(U233,CHAR(160)," ")),$BK$15:$BK$62,$BL$15:$BL$62))))*T233*IF(ISBLANK(Q233),1,Q233)+IFERROR(_xlfn.XLOOKUP("RECHERCHEX",TRIM(L233:AC233),L233:AC233),0),0))</f>
        <v/>
      </c>
      <c r="AL233" s="1030">
        <f t="shared" si="110"/>
        <v>0</v>
      </c>
      <c r="AM233" s="5254" t="str">
        <f t="shared" si="125"/>
        <v/>
      </c>
      <c r="AN233" s="1031">
        <f t="shared" si="111"/>
        <v>0</v>
      </c>
      <c r="AO233" s="1031">
        <f t="shared" si="112"/>
        <v>0</v>
      </c>
      <c r="AP233" s="1044">
        <f t="shared" si="113"/>
        <v>0</v>
      </c>
      <c r="AQ233" s="5257" t="str">
        <f t="shared" si="114"/>
        <v/>
      </c>
      <c r="AR233" s="1056"/>
      <c r="AS233" s="1056"/>
      <c r="AT233" s="1045">
        <f t="shared" si="115"/>
        <v>0</v>
      </c>
      <c r="AU233" s="1046">
        <f t="shared" si="116"/>
        <v>0</v>
      </c>
      <c r="AV233" s="1059" cm="1">
        <f t="array" ref="AV233">IF(AJ233&lt;&gt;1,0,IF(OR(AT233="",N(AT233)&lt;=0.000000001),"",IF(OR(AN233="",N(AN233)&lt;=0.000000001),0,IF(ISNUMBER(AT233),IFERROR(_xlfn.LET(_xlpm.ai_test,TRIM(AI233),_xlpm.r,IFERROR(_xlfn.XLOOKUP(_xlpm.ai_test,$BI$15:$BI$62,ROW($BI$15:$BI$62),0,1),IFERROR(_xlfn.XLOOKUP(_xlpm.ai_test,$BJ$15:$BJ$62,ROW($BJ$15:$BJ$62),0,1),_xlfn.XLOOKUP(_xlpm.ai_test,$BK$15:$BK$62,ROW($BK$15:$BK$62),0,1))),_xlpm.p,_xlpm.r-MIN(ROW($BI$15:$BI$62))+1,_xlpm.f,INDEX($BL$15:$BL$62,_xlpm.p),_xlpm.u,INDEX($BM$15:$BM$62,_xlpm.p),_xlpm.s,INDEX($BO$15:$BO$62,_xlpm.p),_xlpm.q,N(AT233)/_xlpm.f,IF(_xlpm.q&gt;=_xlpm.s,ROUND(_xlpm.q,1)&amp;" "&amp;_xlpm.ai_test&amp;" = "&amp;ROUND(_xlpm.q*_xlpm.f,1)&amp;" "&amp;_xlpm.u,ROUND(_xlpm.q,1)&amp;" "&amp;_xlpm.ai_test)),""),""))))</f>
        <v>0</v>
      </c>
      <c r="AW233" s="1047"/>
      <c r="AX233" s="1045">
        <f t="shared" si="117"/>
        <v>0</v>
      </c>
      <c r="AY233" s="1046" t="str">
        <f t="shared" si="118"/>
        <v/>
      </c>
      <c r="AZ233" s="1048">
        <f t="shared" si="123"/>
        <v>0</v>
      </c>
      <c r="BA233" s="1049" t="str">
        <f t="shared" si="119"/>
        <v/>
      </c>
      <c r="BB233" s="1038"/>
      <c r="BC233" s="1050">
        <f t="shared" si="124"/>
        <v>0</v>
      </c>
      <c r="BD233" s="1040" t="str">
        <f t="shared" si="120"/>
        <v/>
      </c>
      <c r="BE233" s="227" t="s">
        <v>22</v>
      </c>
      <c r="BF233" s="1019">
        <f t="shared" si="121"/>
        <v>0</v>
      </c>
      <c r="BG233" s="1020">
        <f t="shared" si="122"/>
        <v>0</v>
      </c>
      <c r="BH233"/>
      <c r="BQ233"/>
      <c r="BR233"/>
      <c r="BS233"/>
      <c r="BT233"/>
      <c r="BU233"/>
      <c r="BV233"/>
      <c r="BW233" s="959" t="str">
        <f t="shared" si="101"/>
        <v>►</v>
      </c>
      <c r="BX233"/>
      <c r="BY233"/>
      <c r="BZ233"/>
      <c r="CA233"/>
      <c r="CB233"/>
      <c r="CC233" s="856"/>
      <c r="CD233"/>
      <c r="CE233"/>
      <c r="CF233"/>
      <c r="CG233"/>
      <c r="CH233"/>
      <c r="CI233"/>
      <c r="CJ233"/>
      <c r="CL233"/>
      <c r="CM233"/>
      <c r="CN233"/>
      <c r="CO233"/>
      <c r="CP233"/>
      <c r="CQ233"/>
      <c r="CR233"/>
      <c r="CT233"/>
      <c r="CU233"/>
      <c r="CV233"/>
      <c r="CW233"/>
      <c r="CX233"/>
      <c r="CY233"/>
      <c r="CZ233"/>
      <c r="DB233" s="3">
        <v>1</v>
      </c>
    </row>
    <row r="234" spans="1:106" s="709" customFormat="1" ht="21" customHeight="1">
      <c r="A234" s="936" t="s">
        <v>22</v>
      </c>
      <c r="B234" s="952" t="str">
        <f t="shared" si="100"/>
        <v>A</v>
      </c>
      <c r="C234" s="993" cm="1">
        <f t="array" ref="C234">SUMPRODUCT(LEN(D234:J234))</f>
        <v>0</v>
      </c>
      <c r="D234" s="167"/>
      <c r="E234" s="172"/>
      <c r="F234" s="172"/>
      <c r="G234" s="172"/>
      <c r="H234" s="172"/>
      <c r="I234" s="172"/>
      <c r="J234" s="173"/>
      <c r="K234" s="442" t="s">
        <v>22</v>
      </c>
      <c r="L234" s="27" t="s">
        <v>11</v>
      </c>
      <c r="M234" s="32" t="str">
        <f>M205</f>
        <v>N NOTRE BOUDIN NOIR | | Auteur &gt; Guy KRENZE - Eric GODDYN - Arnaud NICOLAS - CEPROC 2002</v>
      </c>
      <c r="N234" s="33">
        <f>N205</f>
        <v>16.34</v>
      </c>
      <c r="O234" s="32" t="str">
        <f>O205</f>
        <v>Kg</v>
      </c>
      <c r="P234" s="34" t="str">
        <f>P205</f>
        <v>Recette mère ► le Boudin en 4 déclinaisons</v>
      </c>
      <c r="Q234" s="5139" t="s">
        <v>91</v>
      </c>
      <c r="R234" s="88" t="s">
        <v>92</v>
      </c>
      <c r="S234" s="89" t="s">
        <v>93</v>
      </c>
      <c r="T234" s="5455"/>
      <c r="U234" s="5457"/>
      <c r="V234" s="5459"/>
      <c r="W234" s="5140" t="s">
        <v>94</v>
      </c>
      <c r="X234" s="5461"/>
      <c r="Y234" s="5447"/>
      <c r="Z234" s="5463"/>
      <c r="AA234" s="5211"/>
      <c r="AB234" s="1178"/>
      <c r="AC234" s="1179"/>
      <c r="AD234" s="227" t="s">
        <v>22</v>
      </c>
      <c r="AE234" s="1027" t="str">
        <f t="shared" si="104"/>
        <v>►</v>
      </c>
      <c r="AF234" s="1028" t="str">
        <f t="shared" si="105"/>
        <v/>
      </c>
      <c r="AG234" s="1029" t="str">
        <f t="shared" si="106"/>
        <v/>
      </c>
      <c r="AH234" s="1028" t="str">
        <f t="shared" si="107"/>
        <v/>
      </c>
      <c r="AI234" s="1029" t="str">
        <f t="shared" si="108"/>
        <v/>
      </c>
      <c r="AJ234" s="1029">
        <f t="shared" si="109"/>
        <v>0</v>
      </c>
      <c r="AK234" s="1043" t="str" cm="1">
        <f t="array" ref="AK234">IF(AE234&lt;&gt;"A","",IFERROR((IFERROR(_xlfn.XLOOKUP(TRIM(SUBSTITUTE(U234,CHAR(160)," ")),$BI$15:$BI$62,$BL$15:$BL$62),IFERROR(_xlfn.XLOOKUP(TRIM(SUBSTITUTE(U234,CHAR(160)," ")),$BJ$15:$BJ$62,$BL$15:$BL$62),_xlfn.XLOOKUP(TRIM(SUBSTITUTE(U234,CHAR(160)," ")),$BK$15:$BK$62,$BL$15:$BL$62))))*T234*IF(ISBLANK(Q234),1,Q234)+IFERROR(_xlfn.XLOOKUP("RECHERCHEX",TRIM(L234:AC234),L234:AC234),0),0))</f>
        <v/>
      </c>
      <c r="AL234" s="1030">
        <f t="shared" si="110"/>
        <v>0</v>
      </c>
      <c r="AM234" s="5254" t="str">
        <f t="shared" si="125"/>
        <v/>
      </c>
      <c r="AN234" s="1031">
        <f t="shared" si="111"/>
        <v>0</v>
      </c>
      <c r="AO234" s="1031">
        <f t="shared" si="112"/>
        <v>0</v>
      </c>
      <c r="AP234" s="1032">
        <f t="shared" si="113"/>
        <v>0</v>
      </c>
      <c r="AQ234" s="5255" t="str">
        <f t="shared" si="114"/>
        <v/>
      </c>
      <c r="AR234" s="1056"/>
      <c r="AS234" s="1056"/>
      <c r="AT234" s="1034">
        <f t="shared" si="115"/>
        <v>0</v>
      </c>
      <c r="AU234" s="1035">
        <f t="shared" si="116"/>
        <v>0</v>
      </c>
      <c r="AV234" s="1057" cm="1">
        <f t="array" ref="AV234">IF(AJ234&lt;&gt;1,0,IF(OR(AT234="",N(AT234)&lt;=0.000000001),"",IF(OR(AN234="",N(AN234)&lt;=0.000000001),0,IF(ISNUMBER(AT234),IFERROR(_xlfn.LET(_xlpm.ai_test,TRIM(AI234),_xlpm.r,IFERROR(_xlfn.XLOOKUP(_xlpm.ai_test,$BI$15:$BI$62,ROW($BI$15:$BI$62),0,1),IFERROR(_xlfn.XLOOKUP(_xlpm.ai_test,$BJ$15:$BJ$62,ROW($BJ$15:$BJ$62),0,1),_xlfn.XLOOKUP(_xlpm.ai_test,$BK$15:$BK$62,ROW($BK$15:$BK$62),0,1))),_xlpm.p,_xlpm.r-MIN(ROW($BI$15:$BI$62))+1,_xlpm.f,INDEX($BL$15:$BL$62,_xlpm.p),_xlpm.u,INDEX($BM$15:$BM$62,_xlpm.p),_xlpm.s,INDEX($BO$15:$BO$62,_xlpm.p),_xlpm.q,N(AT234)/_xlpm.f,IF(_xlpm.q&gt;=_xlpm.s,ROUND(_xlpm.q,1)&amp;" "&amp;_xlpm.ai_test&amp;" = "&amp;ROUND(_xlpm.q*_xlpm.f,1)&amp;" "&amp;_xlpm.u,ROUND(_xlpm.q,1)&amp;" "&amp;_xlpm.ai_test)),""),""))))</f>
        <v>0</v>
      </c>
      <c r="AW234" s="1047"/>
      <c r="AX234" s="1034">
        <f t="shared" si="117"/>
        <v>0</v>
      </c>
      <c r="AY234" s="1035" t="str">
        <f t="shared" si="118"/>
        <v/>
      </c>
      <c r="AZ234" s="1036">
        <f t="shared" si="123"/>
        <v>0</v>
      </c>
      <c r="BA234" s="1037" t="str">
        <f t="shared" si="119"/>
        <v/>
      </c>
      <c r="BB234" s="1038"/>
      <c r="BC234" s="1039">
        <f t="shared" si="124"/>
        <v>0</v>
      </c>
      <c r="BD234" s="1040" t="str">
        <f t="shared" si="120"/>
        <v/>
      </c>
      <c r="BE234" s="227" t="s">
        <v>22</v>
      </c>
      <c r="BF234" s="1019">
        <f t="shared" si="121"/>
        <v>0</v>
      </c>
      <c r="BG234" s="1020">
        <f t="shared" si="122"/>
        <v>0</v>
      </c>
      <c r="BH234"/>
      <c r="BQ234"/>
      <c r="BR234"/>
      <c r="BS234"/>
      <c r="BT234"/>
      <c r="BU234"/>
      <c r="BV234"/>
      <c r="BW234" s="959" t="str">
        <f t="shared" si="101"/>
        <v>►</v>
      </c>
      <c r="BX234"/>
      <c r="BY234"/>
      <c r="BZ234"/>
      <c r="CA234"/>
      <c r="CB234"/>
      <c r="CC234" s="856"/>
      <c r="CD234"/>
      <c r="CE234"/>
      <c r="CF234"/>
      <c r="CG234"/>
      <c r="CH234"/>
      <c r="CI234"/>
      <c r="CJ234"/>
      <c r="CL234"/>
      <c r="CM234"/>
      <c r="CN234"/>
      <c r="CO234"/>
      <c r="CP234"/>
      <c r="CQ234"/>
      <c r="CR234"/>
      <c r="CT234"/>
      <c r="CU234"/>
      <c r="CV234"/>
      <c r="CW234"/>
      <c r="CX234"/>
      <c r="CY234"/>
      <c r="CZ234"/>
      <c r="DB234" s="3">
        <v>1</v>
      </c>
    </row>
    <row r="235" spans="1:106" s="709" customFormat="1" ht="21" customHeight="1">
      <c r="A235" s="936" t="s">
        <v>22</v>
      </c>
      <c r="B235" s="952" t="str">
        <f t="shared" si="100"/>
        <v>A</v>
      </c>
      <c r="C235" s="993" cm="1">
        <f t="array" ref="C235">SUMPRODUCT(LEN(D235:J235))</f>
        <v>0</v>
      </c>
      <c r="D235" s="167"/>
      <c r="E235" s="172"/>
      <c r="F235" s="172"/>
      <c r="G235" s="172"/>
      <c r="H235" s="172"/>
      <c r="I235" s="172"/>
      <c r="J235" s="173"/>
      <c r="K235" s="442" t="s">
        <v>22</v>
      </c>
      <c r="L235" s="104" t="str">
        <f t="shared" ref="L235:L244" si="126">IF(W235&lt;&gt;"","A","►")</f>
        <v>A</v>
      </c>
      <c r="M235" s="32" t="str">
        <f>M205</f>
        <v>N NOTRE BOUDIN NOIR | | Auteur &gt; Guy KRENZE - Eric GODDYN - Arnaud NICOLAS - CEPROC 2002</v>
      </c>
      <c r="N235" s="33">
        <f>N205</f>
        <v>16.34</v>
      </c>
      <c r="O235" s="32" t="str">
        <f>O205</f>
        <v>Kg</v>
      </c>
      <c r="P235" s="34" t="str">
        <f>P205</f>
        <v>Recette mère ► le Boudin en 4 déclinaisons</v>
      </c>
      <c r="Q235" s="92"/>
      <c r="R235" s="108"/>
      <c r="S235" s="94" t="str">
        <f t="shared" ref="S235:S244" si="127">IF(OR(ISTEXT(Q235), Q235&lt;=0, T235&lt;=0), "", "de")</f>
        <v/>
      </c>
      <c r="T235" s="95"/>
      <c r="U235" s="126"/>
      <c r="V235" s="127">
        <v>1</v>
      </c>
      <c r="W235" s="920" t="s">
        <v>13056</v>
      </c>
      <c r="X235" s="100">
        <f>IF(OR(ISBLANK(Q231),X231=0),0,Q235*V232)</f>
        <v>0</v>
      </c>
      <c r="Y235" s="101">
        <f>IFERROR(_xlfn.LET(_xlpm.v,IFERROR(_xlfn.XLOOKUP(U235,Q246:Z246,Q247:Z247),_xlfn.XLOOKUP(U235,Q248:Z248,Q249:Z249)),_xlpm.v*T235*V235*V232*IF(ISBLANK(Q235),1,Q235)),0)</f>
        <v>0</v>
      </c>
      <c r="Z235" s="1476" t="str">
        <f>_xlfn.LET(_xlpm.unite,SUBSTITUTE(TRIM(U235)," (s)",""),_xlpm.val,Y235,_xlpm.estVol,COUNTIF(T246:Z246,_xlpm.unite)+COUNTIF(T248:Z248,_xlpm.unite)&gt;0,_xlpm.estPoids,COUNTIF(Q246:S246,_xlpm.unite)+COUNTIF(Q248:S248,_xlpm.unite)&gt;0,IF(_xlpm.estVol,IF(ROUND(_xlpm.val,3)&gt;=1,ROUND(_xlpm.val,3)&amp;" L",MAX(1,ROUND(_xlpm.val*100,0))&amp;" cl"),IF(_xlpm.estPoids,IF(ROUND(_xlpm.val,3)&gt;=1,ROUND(_xlpm.val,3)&amp;" Kg",MAX(1,ROUND(_xlpm.val*1000,0))&amp;" g"),"")))</f>
        <v/>
      </c>
      <c r="AA235" s="5211"/>
      <c r="AB235" s="1178"/>
      <c r="AC235" s="1179"/>
      <c r="AD235" s="227" t="s">
        <v>22</v>
      </c>
      <c r="AE235" s="1027" t="str">
        <f t="shared" si="104"/>
        <v>►</v>
      </c>
      <c r="AF235" s="1028" t="str">
        <f t="shared" si="105"/>
        <v/>
      </c>
      <c r="AG235" s="1029" t="str">
        <f t="shared" si="106"/>
        <v/>
      </c>
      <c r="AH235" s="1028" t="str">
        <f t="shared" si="107"/>
        <v/>
      </c>
      <c r="AI235" s="1029" t="str">
        <f t="shared" si="108"/>
        <v/>
      </c>
      <c r="AJ235" s="1029">
        <f t="shared" si="109"/>
        <v>0</v>
      </c>
      <c r="AK235" s="1043" t="str" cm="1">
        <f t="array" ref="AK235">IF(AE235&lt;&gt;"A","",IFERROR((IFERROR(_xlfn.XLOOKUP(TRIM(SUBSTITUTE(U235,CHAR(160)," ")),$BI$15:$BI$62,$BL$15:$BL$62),IFERROR(_xlfn.XLOOKUP(TRIM(SUBSTITUTE(U235,CHAR(160)," ")),$BJ$15:$BJ$62,$BL$15:$BL$62),_xlfn.XLOOKUP(TRIM(SUBSTITUTE(U235,CHAR(160)," ")),$BK$15:$BK$62,$BL$15:$BL$62))))*T235*IF(ISBLANK(Q235),1,Q235)+IFERROR(_xlfn.XLOOKUP("RECHERCHEX",TRIM(L235:AC235),L235:AC235),0),0))</f>
        <v/>
      </c>
      <c r="AL235" s="1030">
        <f t="shared" si="110"/>
        <v>0</v>
      </c>
      <c r="AM235" s="5254" t="str">
        <f t="shared" si="125"/>
        <v/>
      </c>
      <c r="AN235" s="1031">
        <f t="shared" si="111"/>
        <v>0</v>
      </c>
      <c r="AO235" s="1031">
        <f t="shared" si="112"/>
        <v>0</v>
      </c>
      <c r="AP235" s="1044">
        <f t="shared" si="113"/>
        <v>0</v>
      </c>
      <c r="AQ235" s="5257" t="str">
        <f t="shared" si="114"/>
        <v/>
      </c>
      <c r="AR235" s="1056"/>
      <c r="AS235" s="1056"/>
      <c r="AT235" s="1045">
        <f t="shared" si="115"/>
        <v>0</v>
      </c>
      <c r="AU235" s="1046">
        <f t="shared" si="116"/>
        <v>0</v>
      </c>
      <c r="AV235" s="1059" cm="1">
        <f t="array" ref="AV235">IF(AJ235&lt;&gt;1,0,IF(OR(AT235="",N(AT235)&lt;=0.000000001),"",IF(OR(AN235="",N(AN235)&lt;=0.000000001),0,IF(ISNUMBER(AT235),IFERROR(_xlfn.LET(_xlpm.ai_test,TRIM(AI235),_xlpm.r,IFERROR(_xlfn.XLOOKUP(_xlpm.ai_test,$BI$15:$BI$62,ROW($BI$15:$BI$62),0,1),IFERROR(_xlfn.XLOOKUP(_xlpm.ai_test,$BJ$15:$BJ$62,ROW($BJ$15:$BJ$62),0,1),_xlfn.XLOOKUP(_xlpm.ai_test,$BK$15:$BK$62,ROW($BK$15:$BK$62),0,1))),_xlpm.p,_xlpm.r-MIN(ROW($BI$15:$BI$62))+1,_xlpm.f,INDEX($BL$15:$BL$62,_xlpm.p),_xlpm.u,INDEX($BM$15:$BM$62,_xlpm.p),_xlpm.s,INDEX($BO$15:$BO$62,_xlpm.p),_xlpm.q,N(AT235)/_xlpm.f,IF(_xlpm.q&gt;=_xlpm.s,ROUND(_xlpm.q,1)&amp;" "&amp;_xlpm.ai_test&amp;" = "&amp;ROUND(_xlpm.q*_xlpm.f,1)&amp;" "&amp;_xlpm.u,ROUND(_xlpm.q,1)&amp;" "&amp;_xlpm.ai_test)),""),""))))</f>
        <v>0</v>
      </c>
      <c r="AW235" s="1047"/>
      <c r="AX235" s="1045">
        <f t="shared" si="117"/>
        <v>0</v>
      </c>
      <c r="AY235" s="1046" t="str">
        <f t="shared" si="118"/>
        <v/>
      </c>
      <c r="AZ235" s="1048">
        <f t="shared" si="123"/>
        <v>0</v>
      </c>
      <c r="BA235" s="1049" t="str">
        <f t="shared" si="119"/>
        <v/>
      </c>
      <c r="BB235" s="1038"/>
      <c r="BC235" s="1050">
        <f t="shared" si="124"/>
        <v>0</v>
      </c>
      <c r="BD235" s="1040" t="str">
        <f t="shared" si="120"/>
        <v/>
      </c>
      <c r="BE235" s="227" t="s">
        <v>22</v>
      </c>
      <c r="BF235" s="1019">
        <f t="shared" si="121"/>
        <v>0</v>
      </c>
      <c r="BG235" s="1020">
        <f t="shared" si="122"/>
        <v>0</v>
      </c>
      <c r="BH235"/>
      <c r="BQ235"/>
      <c r="BR235"/>
      <c r="BS235"/>
      <c r="BT235"/>
      <c r="BU235"/>
      <c r="BV235"/>
      <c r="BW235" s="959" t="str">
        <f t="shared" si="101"/>
        <v>►</v>
      </c>
      <c r="BX235"/>
      <c r="BY235"/>
      <c r="BZ235"/>
      <c r="CA235"/>
      <c r="CB235"/>
      <c r="CC235" s="856"/>
      <c r="CD235"/>
      <c r="CE235"/>
      <c r="CF235"/>
      <c r="CG235"/>
      <c r="CH235"/>
      <c r="CI235"/>
      <c r="CJ235"/>
      <c r="CL235"/>
      <c r="CM235"/>
      <c r="CN235"/>
      <c r="CO235"/>
      <c r="CP235"/>
      <c r="CQ235"/>
      <c r="CR235"/>
      <c r="CT235"/>
      <c r="CU235"/>
      <c r="CV235"/>
      <c r="CW235"/>
      <c r="CX235"/>
      <c r="CY235"/>
      <c r="CZ235"/>
      <c r="DB235" s="3">
        <v>1</v>
      </c>
    </row>
    <row r="236" spans="1:106" ht="21" customHeight="1">
      <c r="A236" s="936" t="s">
        <v>22</v>
      </c>
      <c r="B236" s="952" t="str">
        <f t="shared" si="100"/>
        <v>A</v>
      </c>
      <c r="C236" s="993" cm="1">
        <f t="array" ref="C236">SUMPRODUCT(LEN(D236:J236))</f>
        <v>0</v>
      </c>
      <c r="D236" s="167"/>
      <c r="E236" s="172"/>
      <c r="F236" s="172"/>
      <c r="G236" s="172"/>
      <c r="H236" s="172"/>
      <c r="I236" s="172"/>
      <c r="J236" s="173"/>
      <c r="K236" s="442" t="s">
        <v>22</v>
      </c>
      <c r="L236" s="104" t="str">
        <f t="shared" si="126"/>
        <v>A</v>
      </c>
      <c r="M236" s="32" t="str">
        <f>M205</f>
        <v>N NOTRE BOUDIN NOIR | | Auteur &gt; Guy KRENZE - Eric GODDYN - Arnaud NICOLAS - CEPROC 2002</v>
      </c>
      <c r="N236" s="33">
        <f>N205</f>
        <v>16.34</v>
      </c>
      <c r="O236" s="32" t="str">
        <f>O205</f>
        <v>Kg</v>
      </c>
      <c r="P236" s="34" t="str">
        <f>P205</f>
        <v>Recette mère ► le Boudin en 4 déclinaisons</v>
      </c>
      <c r="Q236" s="92"/>
      <c r="R236" s="108"/>
      <c r="S236" s="94" t="str">
        <f t="shared" si="127"/>
        <v/>
      </c>
      <c r="T236" s="95">
        <v>200</v>
      </c>
      <c r="U236" s="105" t="s">
        <v>99</v>
      </c>
      <c r="V236" s="127">
        <v>1</v>
      </c>
      <c r="W236" s="920" t="s">
        <v>13057</v>
      </c>
      <c r="X236" s="1494">
        <f>IF(OR(ISBLANK(Q231),X231=0),0,Q236*V232)</f>
        <v>0</v>
      </c>
      <c r="Y236" s="101">
        <f>IFERROR(_xlfn.LET(_xlpm.v,IFERROR(_xlfn.XLOOKUP(U236,Q246:Z246,Q247:Z247),_xlfn.XLOOKUP(U236,Q248:Z248,Q249:Z249)),_xlpm.v*T236*V236*V232*IF(ISBLANK(Q236),1,Q236)),0)</f>
        <v>7.352941176470589E-3</v>
      </c>
      <c r="Z236" s="1475" t="str">
        <f>_xlfn.LET(_xlpm.unite,SUBSTITUTE(TRIM(U236)," (s)",""),_xlpm.val,Y236,_xlpm.estVol,COUNTIF(T246:Z246,_xlpm.unite)+COUNTIF(T248:Z248,_xlpm.unite)&gt;0,_xlpm.estPoids,COUNTIF(Q246:S246,_xlpm.unite)+COUNTIF(Q248:S248,_xlpm.unite)&gt;0,IF(_xlpm.estVol,IF(ROUND(_xlpm.val,3)&gt;=1,ROUND(_xlpm.val,3)&amp;" L",MAX(1,ROUND(_xlpm.val*100,0))&amp;" cl"),IF(_xlpm.estPoids,IF(ROUND(_xlpm.val,3)&gt;=1,ROUND(_xlpm.val,3)&amp;" Kg",MAX(1,ROUND(_xlpm.val*1000,0))&amp;" g"),"")))</f>
        <v>7 g</v>
      </c>
      <c r="AA236" s="5211"/>
      <c r="AB236" s="1178"/>
      <c r="AC236" s="1179"/>
      <c r="AD236" s="227" t="s">
        <v>22</v>
      </c>
      <c r="AE236" s="1027" t="str">
        <f t="shared" si="104"/>
        <v>A</v>
      </c>
      <c r="AF236" s="1028" t="str">
        <f t="shared" si="105"/>
        <v>N NOTRE BOUDIN NOIR | | Auteur &gt; Guy KRENZE - Eric GODDYN - Arnaud NICOLAS - CEPROC 2002</v>
      </c>
      <c r="AG236" s="1029">
        <f t="shared" si="106"/>
        <v>16.34</v>
      </c>
      <c r="AH236" s="1028" t="str">
        <f t="shared" si="107"/>
        <v>Kg</v>
      </c>
      <c r="AI236" s="1029" t="str">
        <f t="shared" si="108"/>
        <v>g</v>
      </c>
      <c r="AJ236" s="1029">
        <f t="shared" si="109"/>
        <v>1</v>
      </c>
      <c r="AK236" s="1043" cm="1">
        <f t="array" ref="AK236">IF(AE236&lt;&gt;"A","",IFERROR((IFERROR(_xlfn.XLOOKUP(TRIM(SUBSTITUTE(U236,CHAR(160)," ")),$BI$15:$BI$62,$BL$15:$BL$62),IFERROR(_xlfn.XLOOKUP(TRIM(SUBSTITUTE(U236,CHAR(160)," ")),$BJ$15:$BJ$62,$BL$15:$BL$62),_xlfn.XLOOKUP(TRIM(SUBSTITUTE(U236,CHAR(160)," ")),$BK$15:$BK$62,$BL$15:$BL$62))))*T236*IF(ISBLANK(Q236),1,Q236)+IFERROR(_xlfn.XLOOKUP("RECHERCHEX",TRIM(L236:AC236),L236:AC236),0),0))</f>
        <v>0.2</v>
      </c>
      <c r="AL236" s="1030" t="str">
        <f t="shared" si="110"/>
        <v>Kg</v>
      </c>
      <c r="AM236" s="5254" t="str">
        <f t="shared" si="125"/>
        <v>❾ Author reference &gt;</v>
      </c>
      <c r="AN236" s="1031">
        <f t="shared" si="111"/>
        <v>16.34</v>
      </c>
      <c r="AO236" s="1031" t="str">
        <f t="shared" si="112"/>
        <v>Kg</v>
      </c>
      <c r="AP236" s="1032">
        <f t="shared" si="113"/>
        <v>40</v>
      </c>
      <c r="AQ236" s="5255" t="str">
        <f t="shared" si="114"/>
        <v>parts-ou.or.o ❾ + or - &gt;</v>
      </c>
      <c r="AR236" s="1056">
        <v>20</v>
      </c>
      <c r="AS236" s="1056" t="s">
        <v>143</v>
      </c>
      <c r="AT236" s="1034">
        <f t="shared" si="115"/>
        <v>0.24479804161566709</v>
      </c>
      <c r="AU236" s="1035" t="str">
        <f t="shared" si="116"/>
        <v>Kg</v>
      </c>
      <c r="AV236" s="1057" t="str" cm="1">
        <f t="array" ref="AV236">IF(AJ236&lt;&gt;1,0,IF(OR(AT236="",N(AT236)&lt;=0.000000001),"",IF(OR(AN236="",N(AN236)&lt;=0.000000001),0,IF(ISNUMBER(AT236),IFERROR(_xlfn.LET(_xlpm.ai_test,TRIM(AI236),_xlpm.r,IFERROR(_xlfn.XLOOKUP(_xlpm.ai_test,$BI$15:$BI$62,ROW($BI$15:$BI$62),0,1),IFERROR(_xlfn.XLOOKUP(_xlpm.ai_test,$BJ$15:$BJ$62,ROW($BJ$15:$BJ$62),0,1),_xlfn.XLOOKUP(_xlpm.ai_test,$BK$15:$BK$62,ROW($BK$15:$BK$62),0,1))),_xlpm.p,_xlpm.r-MIN(ROW($BI$15:$BI$62))+1,_xlpm.f,INDEX($BL$15:$BL$62,_xlpm.p),_xlpm.u,INDEX($BM$15:$BM$62,_xlpm.p),_xlpm.s,INDEX($BO$15:$BO$62,_xlpm.p),_xlpm.q,N(AT236)/_xlpm.f,IF(_xlpm.q&gt;=_xlpm.s,ROUND(_xlpm.q,1)&amp;" "&amp;_xlpm.ai_test&amp;" = "&amp;ROUND(_xlpm.q*_xlpm.f,1)&amp;" "&amp;_xlpm.u,ROUND(_xlpm.q,1)&amp;" "&amp;_xlpm.ai_test)),""),""))))</f>
        <v>244.8 g</v>
      </c>
      <c r="AW236" s="1047"/>
      <c r="AX236" s="1034">
        <f t="shared" si="117"/>
        <v>0.24479804161566709</v>
      </c>
      <c r="AY236" s="1035" t="str">
        <f t="shared" si="118"/>
        <v>Kg</v>
      </c>
      <c r="AZ236" s="1036">
        <f t="shared" si="123"/>
        <v>0</v>
      </c>
      <c r="BA236" s="1037" t="str">
        <f t="shared" si="119"/>
        <v/>
      </c>
      <c r="BB236" s="1038"/>
      <c r="BC236" s="1039">
        <f t="shared" si="124"/>
        <v>0</v>
      </c>
      <c r="BD236" s="1040" t="str">
        <f t="shared" si="120"/>
        <v>poivre noir</v>
      </c>
      <c r="BE236" s="227" t="s">
        <v>22</v>
      </c>
      <c r="BF236" s="1019">
        <f t="shared" si="121"/>
        <v>0</v>
      </c>
      <c r="BG236" s="1020">
        <f t="shared" si="122"/>
        <v>1.2239902080783354</v>
      </c>
      <c r="BH236"/>
      <c r="BI236" s="709"/>
      <c r="BJ236" s="709"/>
      <c r="BK236" s="709"/>
      <c r="BL236" s="709"/>
      <c r="BM236" s="709"/>
      <c r="BN236" s="709"/>
      <c r="BO236" s="709"/>
      <c r="BP236" s="709"/>
      <c r="BW236" s="959" t="str">
        <f t="shared" si="101"/>
        <v>A</v>
      </c>
      <c r="CB236"/>
      <c r="CC236" s="856"/>
      <c r="CK236" s="709"/>
      <c r="CS236" s="709"/>
      <c r="DA236" s="709"/>
      <c r="DB236" s="3">
        <v>1</v>
      </c>
    </row>
    <row r="237" spans="1:106" ht="21" customHeight="1">
      <c r="A237" s="936" t="s">
        <v>22</v>
      </c>
      <c r="B237" s="952" t="str">
        <f t="shared" si="100"/>
        <v>A</v>
      </c>
      <c r="C237" s="993" cm="1">
        <f t="array" ref="C237">SUMPRODUCT(LEN(D237:J237))</f>
        <v>0</v>
      </c>
      <c r="D237" s="167"/>
      <c r="E237" s="172"/>
      <c r="F237" s="172"/>
      <c r="G237" s="172"/>
      <c r="H237" s="172"/>
      <c r="I237" s="172"/>
      <c r="J237" s="173"/>
      <c r="K237" s="442" t="s">
        <v>22</v>
      </c>
      <c r="L237" s="104" t="str">
        <f t="shared" si="126"/>
        <v>A</v>
      </c>
      <c r="M237" s="32" t="str">
        <f>M205</f>
        <v>N NOTRE BOUDIN NOIR | | Auteur &gt; Guy KRENZE - Eric GODDYN - Arnaud NICOLAS - CEPROC 2002</v>
      </c>
      <c r="N237" s="33">
        <f>N205</f>
        <v>16.34</v>
      </c>
      <c r="O237" s="32" t="str">
        <f>O205</f>
        <v>Kg</v>
      </c>
      <c r="P237" s="34" t="str">
        <f>P205</f>
        <v>Recette mère ► le Boudin en 4 déclinaisons</v>
      </c>
      <c r="Q237" s="92"/>
      <c r="R237" s="108"/>
      <c r="S237" s="94" t="str">
        <f t="shared" si="127"/>
        <v/>
      </c>
      <c r="T237" s="95">
        <v>50</v>
      </c>
      <c r="U237" s="105" t="s">
        <v>99</v>
      </c>
      <c r="V237" s="127">
        <v>1</v>
      </c>
      <c r="W237" s="920" t="s">
        <v>13058</v>
      </c>
      <c r="X237" s="1494">
        <f>IF(OR(ISBLANK(Q231),X231=0),0,Q237*V232)</f>
        <v>0</v>
      </c>
      <c r="Y237" s="101">
        <f>IFERROR(_xlfn.LET(_xlpm.v,IFERROR(_xlfn.XLOOKUP(U237,Q246:Z246,Q247:Z247),_xlfn.XLOOKUP(U237,Q248:Z248,Q249:Z249)),_xlpm.v*T237*V237*V232*IF(ISBLANK(Q237),1,Q237)),0)</f>
        <v>1.8382352941176473E-3</v>
      </c>
      <c r="Z237" s="1476" t="str">
        <f>_xlfn.LET(_xlpm.unite,SUBSTITUTE(TRIM(U237)," (s)",""),_xlpm.val,Y237,_xlpm.estVol,COUNTIF(T246:Z246,_xlpm.unite)+COUNTIF(T248:Z248,_xlpm.unite)&gt;0,_xlpm.estPoids,COUNTIF(Q246:S246,_xlpm.unite)+COUNTIF(Q248:S248,_xlpm.unite)&gt;0,IF(_xlpm.estVol,IF(ROUND(_xlpm.val,3)&gt;=1,ROUND(_xlpm.val,3)&amp;" L",MAX(1,ROUND(_xlpm.val*100,0))&amp;" cl"),IF(_xlpm.estPoids,IF(ROUND(_xlpm.val,3)&gt;=1,ROUND(_xlpm.val,3)&amp;" Kg",MAX(1,ROUND(_xlpm.val*1000,0))&amp;" g"),"")))</f>
        <v>2 g</v>
      </c>
      <c r="AA237" s="5211"/>
      <c r="AB237" s="1178"/>
      <c r="AC237" s="1179"/>
      <c r="AD237" s="227" t="s">
        <v>22</v>
      </c>
      <c r="AE237" s="1027" t="str">
        <f t="shared" si="104"/>
        <v>A</v>
      </c>
      <c r="AF237" s="1028" t="str">
        <f t="shared" si="105"/>
        <v>N NOTRE BOUDIN NOIR | | Auteur &gt; Guy KRENZE - Eric GODDYN - Arnaud NICOLAS - CEPROC 2002</v>
      </c>
      <c r="AG237" s="1029">
        <f t="shared" si="106"/>
        <v>16.34</v>
      </c>
      <c r="AH237" s="1028" t="str">
        <f t="shared" si="107"/>
        <v>Kg</v>
      </c>
      <c r="AI237" s="1029" t="str">
        <f t="shared" si="108"/>
        <v>g</v>
      </c>
      <c r="AJ237" s="1029">
        <f t="shared" si="109"/>
        <v>1</v>
      </c>
      <c r="AK237" s="1043" cm="1">
        <f t="array" ref="AK237">IF(AE237&lt;&gt;"A","",IFERROR((IFERROR(_xlfn.XLOOKUP(TRIM(SUBSTITUTE(U237,CHAR(160)," ")),$BI$15:$BI$62,$BL$15:$BL$62),IFERROR(_xlfn.XLOOKUP(TRIM(SUBSTITUTE(U237,CHAR(160)," ")),$BJ$15:$BJ$62,$BL$15:$BL$62),_xlfn.XLOOKUP(TRIM(SUBSTITUTE(U237,CHAR(160)," ")),$BK$15:$BK$62,$BL$15:$BL$62))))*T237*IF(ISBLANK(Q237),1,Q237)+IFERROR(_xlfn.XLOOKUP("RECHERCHEX",TRIM(L237:AC237),L237:AC237),0),0))</f>
        <v>0.05</v>
      </c>
      <c r="AL237" s="1030" t="str">
        <f t="shared" si="110"/>
        <v>Kg</v>
      </c>
      <c r="AM237" s="5254" t="str">
        <f t="shared" si="125"/>
        <v>❾ Author reference &gt;</v>
      </c>
      <c r="AN237" s="1031">
        <f t="shared" si="111"/>
        <v>16.34</v>
      </c>
      <c r="AO237" s="1031" t="str">
        <f t="shared" si="112"/>
        <v>Kg</v>
      </c>
      <c r="AP237" s="1044">
        <f t="shared" si="113"/>
        <v>40</v>
      </c>
      <c r="AQ237" s="5257" t="str">
        <f t="shared" si="114"/>
        <v>parts-ou.or.o ❾ + or - &gt;</v>
      </c>
      <c r="AR237" s="1056">
        <v>20</v>
      </c>
      <c r="AS237" s="1056" t="s">
        <v>143</v>
      </c>
      <c r="AT237" s="1045">
        <f t="shared" si="115"/>
        <v>6.1199510403916774E-2</v>
      </c>
      <c r="AU237" s="1046" t="str">
        <f t="shared" si="116"/>
        <v>Kg</v>
      </c>
      <c r="AV237" s="1059" t="str" cm="1">
        <f t="array" ref="AV237">IF(AJ237&lt;&gt;1,0,IF(OR(AT237="",N(AT237)&lt;=0.000000001),"",IF(OR(AN237="",N(AN237)&lt;=0.000000001),0,IF(ISNUMBER(AT237),IFERROR(_xlfn.LET(_xlpm.ai_test,TRIM(AI237),_xlpm.r,IFERROR(_xlfn.XLOOKUP(_xlpm.ai_test,$BI$15:$BI$62,ROW($BI$15:$BI$62),0,1),IFERROR(_xlfn.XLOOKUP(_xlpm.ai_test,$BJ$15:$BJ$62,ROW($BJ$15:$BJ$62),0,1),_xlfn.XLOOKUP(_xlpm.ai_test,$BK$15:$BK$62,ROW($BK$15:$BK$62),0,1))),_xlpm.p,_xlpm.r-MIN(ROW($BI$15:$BI$62))+1,_xlpm.f,INDEX($BL$15:$BL$62,_xlpm.p),_xlpm.u,INDEX($BM$15:$BM$62,_xlpm.p),_xlpm.s,INDEX($BO$15:$BO$62,_xlpm.p),_xlpm.q,N(AT237)/_xlpm.f,IF(_xlpm.q&gt;=_xlpm.s,ROUND(_xlpm.q,1)&amp;" "&amp;_xlpm.ai_test&amp;" = "&amp;ROUND(_xlpm.q*_xlpm.f,1)&amp;" "&amp;_xlpm.u,ROUND(_xlpm.q,1)&amp;" "&amp;_xlpm.ai_test)),""),""))))</f>
        <v>61.2 g</v>
      </c>
      <c r="AW237" s="1047"/>
      <c r="AX237" s="1045">
        <f t="shared" si="117"/>
        <v>6.1199510403916774E-2</v>
      </c>
      <c r="AY237" s="1046" t="str">
        <f t="shared" si="118"/>
        <v>Kg</v>
      </c>
      <c r="AZ237" s="1048">
        <f t="shared" si="123"/>
        <v>0</v>
      </c>
      <c r="BA237" s="1049" t="str">
        <f t="shared" si="119"/>
        <v/>
      </c>
      <c r="BB237" s="1038"/>
      <c r="BC237" s="1050">
        <f t="shared" si="124"/>
        <v>0</v>
      </c>
      <c r="BD237" s="1040" t="str">
        <f t="shared" si="120"/>
        <v>poivre de séchouan</v>
      </c>
      <c r="BE237" s="227" t="s">
        <v>22</v>
      </c>
      <c r="BF237" s="1019">
        <f t="shared" si="121"/>
        <v>0</v>
      </c>
      <c r="BG237" s="1020">
        <f t="shared" si="122"/>
        <v>1.2239902080783354</v>
      </c>
      <c r="BH237"/>
      <c r="BI237" s="709"/>
      <c r="BJ237" s="709"/>
      <c r="BK237" s="709"/>
      <c r="BL237" s="709"/>
      <c r="BM237" s="709"/>
      <c r="BN237" s="709"/>
      <c r="BO237" s="709"/>
      <c r="BP237" s="709"/>
      <c r="BW237" s="959" t="str">
        <f t="shared" si="101"/>
        <v>A</v>
      </c>
      <c r="CB237"/>
      <c r="CC237" s="856"/>
      <c r="CK237" s="709"/>
      <c r="CS237" s="709"/>
      <c r="DA237" s="709"/>
      <c r="DB237" s="3">
        <v>1</v>
      </c>
    </row>
    <row r="238" spans="1:106" ht="21" customHeight="1">
      <c r="A238" s="936" t="s">
        <v>22</v>
      </c>
      <c r="B238" s="952" t="str">
        <f t="shared" si="100"/>
        <v>A</v>
      </c>
      <c r="C238" s="993" cm="1">
        <f t="array" ref="C238">SUMPRODUCT(LEN(D238:J238))</f>
        <v>0</v>
      </c>
      <c r="D238" s="167"/>
      <c r="E238" s="172"/>
      <c r="F238" s="172"/>
      <c r="G238" s="172"/>
      <c r="H238" s="172"/>
      <c r="I238" s="172"/>
      <c r="J238" s="173"/>
      <c r="K238" s="442" t="s">
        <v>22</v>
      </c>
      <c r="L238" s="104" t="str">
        <f>IF(W238&lt;&gt;"","A","►")</f>
        <v>A</v>
      </c>
      <c r="M238" s="32" t="str">
        <f>M205</f>
        <v>N NOTRE BOUDIN NOIR | | Auteur &gt; Guy KRENZE - Eric GODDYN - Arnaud NICOLAS - CEPROC 2002</v>
      </c>
      <c r="N238" s="33">
        <f>N205</f>
        <v>16.34</v>
      </c>
      <c r="O238" s="32" t="str">
        <f>O205</f>
        <v>Kg</v>
      </c>
      <c r="P238" s="34" t="str">
        <f>P205</f>
        <v>Recette mère ► le Boudin en 4 déclinaisons</v>
      </c>
      <c r="Q238" s="92"/>
      <c r="R238" s="108"/>
      <c r="S238" s="94" t="str">
        <f t="shared" si="127"/>
        <v/>
      </c>
      <c r="T238" s="95">
        <v>60</v>
      </c>
      <c r="U238" s="105" t="s">
        <v>99</v>
      </c>
      <c r="V238" s="127">
        <v>1</v>
      </c>
      <c r="W238" s="920" t="s">
        <v>13059</v>
      </c>
      <c r="X238" s="1494">
        <f>IF(OR(ISBLANK(Q231),X231=0),0,Q238*V232)</f>
        <v>0</v>
      </c>
      <c r="Y238" s="101">
        <f>IFERROR(_xlfn.LET(_xlpm.v,IFERROR(_xlfn.XLOOKUP(U238,Q246:Z246,Q247:Z247),_xlfn.XLOOKUP(U238,Q248:Z248,Q249:Z249)),_xlpm.v*T238*V238*V232*IF(ISBLANK(Q238),1,Q238)),0)</f>
        <v>2.2058823529411764E-3</v>
      </c>
      <c r="Z238" s="1475" t="str">
        <f>_xlfn.LET(_xlpm.unite,SUBSTITUTE(TRIM(U238)," (s)",""),_xlpm.val,Y238,_xlpm.estVol,COUNTIF(T246:Z246,_xlpm.unite)+COUNTIF(T248:Z248,_xlpm.unite)&gt;0,_xlpm.estPoids,COUNTIF(Q246:S246,_xlpm.unite)+COUNTIF(Q248:S248,_xlpm.unite)&gt;0,IF(_xlpm.estVol,IF(ROUND(_xlpm.val,3)&gt;=1,ROUND(_xlpm.val,3)&amp;" L",MAX(1,ROUND(_xlpm.val*100,0))&amp;" cl"),IF(_xlpm.estPoids,IF(ROUND(_xlpm.val,3)&gt;=1,ROUND(_xlpm.val,3)&amp;" Kg",MAX(1,ROUND(_xlpm.val*1000,0))&amp;" g"),"")))</f>
        <v>2 g</v>
      </c>
      <c r="AA238" s="5211"/>
      <c r="AB238" s="1178"/>
      <c r="AC238" s="1179"/>
      <c r="AD238" s="227" t="s">
        <v>22</v>
      </c>
      <c r="AE238" s="1027" t="str">
        <f t="shared" si="104"/>
        <v>A</v>
      </c>
      <c r="AF238" s="1028" t="str">
        <f t="shared" si="105"/>
        <v>N NOTRE BOUDIN NOIR | | Auteur &gt; Guy KRENZE - Eric GODDYN - Arnaud NICOLAS - CEPROC 2002</v>
      </c>
      <c r="AG238" s="1029">
        <f t="shared" si="106"/>
        <v>16.34</v>
      </c>
      <c r="AH238" s="1028" t="str">
        <f t="shared" si="107"/>
        <v>Kg</v>
      </c>
      <c r="AI238" s="1029" t="str">
        <f t="shared" si="108"/>
        <v>g</v>
      </c>
      <c r="AJ238" s="1029">
        <f t="shared" si="109"/>
        <v>1</v>
      </c>
      <c r="AK238" s="1043" cm="1">
        <f t="array" ref="AK238">IF(AE238&lt;&gt;"A","",IFERROR((IFERROR(_xlfn.XLOOKUP(TRIM(SUBSTITUTE(U238,CHAR(160)," ")),$BI$15:$BI$62,$BL$15:$BL$62),IFERROR(_xlfn.XLOOKUP(TRIM(SUBSTITUTE(U238,CHAR(160)," ")),$BJ$15:$BJ$62,$BL$15:$BL$62),_xlfn.XLOOKUP(TRIM(SUBSTITUTE(U238,CHAR(160)," ")),$BK$15:$BK$62,$BL$15:$BL$62))))*T238*IF(ISBLANK(Q238),1,Q238)+IFERROR(_xlfn.XLOOKUP("RECHERCHEX",TRIM(L238:AC238),L238:AC238),0),0))</f>
        <v>0.06</v>
      </c>
      <c r="AL238" s="1030" t="str">
        <f t="shared" si="110"/>
        <v>Kg</v>
      </c>
      <c r="AM238" s="5254" t="str">
        <f t="shared" si="125"/>
        <v>❾ Author reference &gt;</v>
      </c>
      <c r="AN238" s="1031">
        <f t="shared" si="111"/>
        <v>16.34</v>
      </c>
      <c r="AO238" s="1031" t="str">
        <f t="shared" si="112"/>
        <v>Kg</v>
      </c>
      <c r="AP238" s="1032">
        <f t="shared" si="113"/>
        <v>40</v>
      </c>
      <c r="AQ238" s="5255" t="str">
        <f t="shared" si="114"/>
        <v>parts-ou.or.o ❾ + or - &gt;</v>
      </c>
      <c r="AR238" s="1056">
        <v>20</v>
      </c>
      <c r="AS238" s="1056" t="s">
        <v>143</v>
      </c>
      <c r="AT238" s="1034">
        <f t="shared" si="115"/>
        <v>7.3439412484700123E-2</v>
      </c>
      <c r="AU238" s="1035" t="str">
        <f t="shared" si="116"/>
        <v>Kg</v>
      </c>
      <c r="AV238" s="1057" t="str" cm="1">
        <f t="array" ref="AV238">IF(AJ238&lt;&gt;1,0,IF(OR(AT238="",N(AT238)&lt;=0.000000001),"",IF(OR(AN238="",N(AN238)&lt;=0.000000001),0,IF(ISNUMBER(AT238),IFERROR(_xlfn.LET(_xlpm.ai_test,TRIM(AI238),_xlpm.r,IFERROR(_xlfn.XLOOKUP(_xlpm.ai_test,$BI$15:$BI$62,ROW($BI$15:$BI$62),0,1),IFERROR(_xlfn.XLOOKUP(_xlpm.ai_test,$BJ$15:$BJ$62,ROW($BJ$15:$BJ$62),0,1),_xlfn.XLOOKUP(_xlpm.ai_test,$BK$15:$BK$62,ROW($BK$15:$BK$62),0,1))),_xlpm.p,_xlpm.r-MIN(ROW($BI$15:$BI$62))+1,_xlpm.f,INDEX($BL$15:$BL$62,_xlpm.p),_xlpm.u,INDEX($BM$15:$BM$62,_xlpm.p),_xlpm.s,INDEX($BO$15:$BO$62,_xlpm.p),_xlpm.q,N(AT238)/_xlpm.f,IF(_xlpm.q&gt;=_xlpm.s,ROUND(_xlpm.q,1)&amp;" "&amp;_xlpm.ai_test&amp;" = "&amp;ROUND(_xlpm.q*_xlpm.f,1)&amp;" "&amp;_xlpm.u,ROUND(_xlpm.q,1)&amp;" "&amp;_xlpm.ai_test)),""),""))))</f>
        <v>73.4 g</v>
      </c>
      <c r="AW238" s="1047"/>
      <c r="AX238" s="1034">
        <f t="shared" si="117"/>
        <v>7.3439412484700123E-2</v>
      </c>
      <c r="AY238" s="1035" t="str">
        <f t="shared" si="118"/>
        <v>Kg</v>
      </c>
      <c r="AZ238" s="1036">
        <f t="shared" si="123"/>
        <v>0</v>
      </c>
      <c r="BA238" s="1037" t="str">
        <f t="shared" si="119"/>
        <v/>
      </c>
      <c r="BB238" s="1038"/>
      <c r="BC238" s="1039">
        <f t="shared" si="124"/>
        <v>0</v>
      </c>
      <c r="BD238" s="1040" t="str">
        <f t="shared" si="120"/>
        <v>poivre long</v>
      </c>
      <c r="BE238" s="227" t="s">
        <v>22</v>
      </c>
      <c r="BF238" s="1019">
        <f t="shared" si="121"/>
        <v>0</v>
      </c>
      <c r="BG238" s="1020">
        <f t="shared" si="122"/>
        <v>1.2239902080783354</v>
      </c>
      <c r="BH238"/>
      <c r="BI238" s="709"/>
      <c r="BJ238" s="709"/>
      <c r="BK238" s="709"/>
      <c r="BL238" s="709"/>
      <c r="BM238" s="709"/>
      <c r="BN238" s="709"/>
      <c r="BO238" s="709"/>
      <c r="BP238" s="709"/>
      <c r="BW238" s="959" t="str">
        <f t="shared" si="101"/>
        <v>A</v>
      </c>
      <c r="CB238"/>
      <c r="CC238" s="856"/>
      <c r="CK238" s="709"/>
      <c r="CS238" s="709"/>
      <c r="DA238" s="709"/>
      <c r="DB238" s="3">
        <v>1</v>
      </c>
    </row>
    <row r="239" spans="1:106" ht="21" customHeight="1">
      <c r="A239" s="936" t="s">
        <v>22</v>
      </c>
      <c r="B239" s="952" t="str">
        <f t="shared" si="100"/>
        <v>A</v>
      </c>
      <c r="C239" s="993" cm="1">
        <f t="array" ref="C239">SUMPRODUCT(LEN(D239:J239))</f>
        <v>0</v>
      </c>
      <c r="D239" s="167"/>
      <c r="E239" s="172"/>
      <c r="F239" s="172"/>
      <c r="G239" s="172"/>
      <c r="H239" s="172"/>
      <c r="I239" s="172"/>
      <c r="J239" s="173"/>
      <c r="K239" s="442" t="s">
        <v>22</v>
      </c>
      <c r="L239" s="104" t="str">
        <f t="shared" si="126"/>
        <v>A</v>
      </c>
      <c r="M239" s="32" t="str">
        <f>M205</f>
        <v>N NOTRE BOUDIN NOIR | | Auteur &gt; Guy KRENZE - Eric GODDYN - Arnaud NICOLAS - CEPROC 2002</v>
      </c>
      <c r="N239" s="33">
        <f>N205</f>
        <v>16.34</v>
      </c>
      <c r="O239" s="32" t="str">
        <f>O205</f>
        <v>Kg</v>
      </c>
      <c r="P239" s="34" t="str">
        <f>P205</f>
        <v>Recette mère ► le Boudin en 4 déclinaisons</v>
      </c>
      <c r="Q239" s="92"/>
      <c r="R239" s="108"/>
      <c r="S239" s="94" t="str">
        <f t="shared" si="127"/>
        <v/>
      </c>
      <c r="T239" s="95">
        <v>50</v>
      </c>
      <c r="U239" s="105" t="s">
        <v>99</v>
      </c>
      <c r="V239" s="127">
        <v>1</v>
      </c>
      <c r="W239" s="920" t="s">
        <v>13060</v>
      </c>
      <c r="X239" s="1494">
        <f>IF(OR(ISBLANK(Q231),X231=0),0,Q239*V232)</f>
        <v>0</v>
      </c>
      <c r="Y239" s="101">
        <f>IFERROR(_xlfn.LET(_xlpm.v,IFERROR(_xlfn.XLOOKUP(U239,Q246:Z246,Q247:Z247),_xlfn.XLOOKUP(U239,Q248:Z248,Q249:Z249)),_xlpm.v*T239*V239*V232*IF(ISBLANK(Q239),1,Q239)),0)</f>
        <v>1.8382352941176473E-3</v>
      </c>
      <c r="Z239" s="1476" t="str">
        <f>_xlfn.LET(_xlpm.unite,SUBSTITUTE(TRIM(U239)," (s)",""),_xlpm.val,Y239,_xlpm.estVol,COUNTIF(T246:Z246,_xlpm.unite)+COUNTIF(T248:Z248,_xlpm.unite)&gt;0,_xlpm.estPoids,COUNTIF(Q246:S246,_xlpm.unite)+COUNTIF(Q248:S248,_xlpm.unite)&gt;0,IF(_xlpm.estVol,IF(ROUND(_xlpm.val,3)&gt;=1,ROUND(_xlpm.val,3)&amp;" L",MAX(1,ROUND(_xlpm.val*100,0))&amp;" cl"),IF(_xlpm.estPoids,IF(ROUND(_xlpm.val,3)&gt;=1,ROUND(_xlpm.val,3)&amp;" Kg",MAX(1,ROUND(_xlpm.val*1000,0))&amp;" g"),"")))</f>
        <v>2 g</v>
      </c>
      <c r="AA239" s="5211"/>
      <c r="AB239" s="1178"/>
      <c r="AC239" s="1179"/>
      <c r="AD239" s="227" t="s">
        <v>22</v>
      </c>
      <c r="AE239" s="1027" t="str">
        <f t="shared" si="104"/>
        <v>A</v>
      </c>
      <c r="AF239" s="1028" t="str">
        <f t="shared" si="105"/>
        <v>N NOTRE BOUDIN NOIR | | Auteur &gt; Guy KRENZE - Eric GODDYN - Arnaud NICOLAS - CEPROC 2002</v>
      </c>
      <c r="AG239" s="1029">
        <f t="shared" si="106"/>
        <v>16.34</v>
      </c>
      <c r="AH239" s="1028" t="str">
        <f t="shared" si="107"/>
        <v>Kg</v>
      </c>
      <c r="AI239" s="1029" t="str">
        <f t="shared" si="108"/>
        <v>g</v>
      </c>
      <c r="AJ239" s="1029">
        <f t="shared" si="109"/>
        <v>1</v>
      </c>
      <c r="AK239" s="1043" cm="1">
        <f t="array" ref="AK239">IF(AE239&lt;&gt;"A","",IFERROR((IFERROR(_xlfn.XLOOKUP(TRIM(SUBSTITUTE(U239,CHAR(160)," ")),$BI$15:$BI$62,$BL$15:$BL$62),IFERROR(_xlfn.XLOOKUP(TRIM(SUBSTITUTE(U239,CHAR(160)," ")),$BJ$15:$BJ$62,$BL$15:$BL$62),_xlfn.XLOOKUP(TRIM(SUBSTITUTE(U239,CHAR(160)," ")),$BK$15:$BK$62,$BL$15:$BL$62))))*T239*IF(ISBLANK(Q239),1,Q239)+IFERROR(_xlfn.XLOOKUP("RECHERCHEX",TRIM(L239:AC239),L239:AC239),0),0))</f>
        <v>0.05</v>
      </c>
      <c r="AL239" s="1030" t="str">
        <f t="shared" si="110"/>
        <v>Kg</v>
      </c>
      <c r="AM239" s="5254" t="str">
        <f t="shared" si="125"/>
        <v>❾ Author reference &gt;</v>
      </c>
      <c r="AN239" s="1031">
        <f t="shared" si="111"/>
        <v>16.34</v>
      </c>
      <c r="AO239" s="1031" t="str">
        <f t="shared" si="112"/>
        <v>Kg</v>
      </c>
      <c r="AP239" s="1044">
        <f t="shared" si="113"/>
        <v>40</v>
      </c>
      <c r="AQ239" s="5257" t="str">
        <f t="shared" si="114"/>
        <v>parts-ou.or.o ❾ + or - &gt;</v>
      </c>
      <c r="AR239" s="1056">
        <v>20</v>
      </c>
      <c r="AS239" s="1056" t="s">
        <v>143</v>
      </c>
      <c r="AT239" s="1045">
        <f t="shared" si="115"/>
        <v>6.1199510403916774E-2</v>
      </c>
      <c r="AU239" s="1046" t="str">
        <f t="shared" si="116"/>
        <v>Kg</v>
      </c>
      <c r="AV239" s="1059" t="str" cm="1">
        <f t="array" ref="AV239">IF(AJ239&lt;&gt;1,0,IF(OR(AT239="",N(AT239)&lt;=0.000000001),"",IF(OR(AN239="",N(AN239)&lt;=0.000000001),0,IF(ISNUMBER(AT239),IFERROR(_xlfn.LET(_xlpm.ai_test,TRIM(AI239),_xlpm.r,IFERROR(_xlfn.XLOOKUP(_xlpm.ai_test,$BI$15:$BI$62,ROW($BI$15:$BI$62),0,1),IFERROR(_xlfn.XLOOKUP(_xlpm.ai_test,$BJ$15:$BJ$62,ROW($BJ$15:$BJ$62),0,1),_xlfn.XLOOKUP(_xlpm.ai_test,$BK$15:$BK$62,ROW($BK$15:$BK$62),0,1))),_xlpm.p,_xlpm.r-MIN(ROW($BI$15:$BI$62))+1,_xlpm.f,INDEX($BL$15:$BL$62,_xlpm.p),_xlpm.u,INDEX($BM$15:$BM$62,_xlpm.p),_xlpm.s,INDEX($BO$15:$BO$62,_xlpm.p),_xlpm.q,N(AT239)/_xlpm.f,IF(_xlpm.q&gt;=_xlpm.s,ROUND(_xlpm.q,1)&amp;" "&amp;_xlpm.ai_test&amp;" = "&amp;ROUND(_xlpm.q*_xlpm.f,1)&amp;" "&amp;_xlpm.u,ROUND(_xlpm.q,1)&amp;" "&amp;_xlpm.ai_test)),""),""))))</f>
        <v>61.2 g</v>
      </c>
      <c r="AW239" s="1047"/>
      <c r="AX239" s="1045">
        <f t="shared" si="117"/>
        <v>6.1199510403916774E-2</v>
      </c>
      <c r="AY239" s="1046" t="str">
        <f t="shared" si="118"/>
        <v>Kg</v>
      </c>
      <c r="AZ239" s="1048">
        <f t="shared" si="123"/>
        <v>0</v>
      </c>
      <c r="BA239" s="1049" t="str">
        <f t="shared" si="119"/>
        <v/>
      </c>
      <c r="BB239" s="1038"/>
      <c r="BC239" s="1050">
        <f t="shared" si="124"/>
        <v>0</v>
      </c>
      <c r="BD239" s="1040" t="str">
        <f t="shared" si="120"/>
        <v>cardamones</v>
      </c>
      <c r="BE239" s="227" t="s">
        <v>22</v>
      </c>
      <c r="BF239" s="1019">
        <f t="shared" si="121"/>
        <v>0</v>
      </c>
      <c r="BG239" s="1020">
        <f t="shared" si="122"/>
        <v>1.2239902080783354</v>
      </c>
      <c r="BH239"/>
      <c r="BI239" s="709"/>
      <c r="BJ239" s="709"/>
      <c r="BK239" s="709"/>
      <c r="BL239" s="709"/>
      <c r="BM239" s="709"/>
      <c r="BN239" s="709"/>
      <c r="BO239" s="709"/>
      <c r="BP239" s="709"/>
      <c r="BW239" s="959" t="str">
        <f t="shared" si="101"/>
        <v>A</v>
      </c>
      <c r="CB239"/>
      <c r="CC239" s="856"/>
      <c r="CK239" s="709"/>
      <c r="CS239" s="709"/>
      <c r="DA239" s="709"/>
      <c r="DB239" s="3">
        <v>1</v>
      </c>
    </row>
    <row r="240" spans="1:106" ht="21" customHeight="1">
      <c r="A240" s="936" t="s">
        <v>22</v>
      </c>
      <c r="B240" s="952" t="str">
        <f t="shared" si="100"/>
        <v>A</v>
      </c>
      <c r="C240" s="993" cm="1">
        <f t="array" ref="C240">SUMPRODUCT(LEN(D240:J240))</f>
        <v>0</v>
      </c>
      <c r="D240" s="167"/>
      <c r="E240" s="172"/>
      <c r="F240" s="172"/>
      <c r="G240" s="172"/>
      <c r="H240" s="172"/>
      <c r="I240" s="172"/>
      <c r="J240" s="173"/>
      <c r="K240" s="442"/>
      <c r="L240" s="104" t="str">
        <f t="shared" si="126"/>
        <v>A</v>
      </c>
      <c r="M240" s="32" t="str">
        <f>M205</f>
        <v>N NOTRE BOUDIN NOIR | | Auteur &gt; Guy KRENZE - Eric GODDYN - Arnaud NICOLAS - CEPROC 2002</v>
      </c>
      <c r="N240" s="33">
        <f>N205</f>
        <v>16.34</v>
      </c>
      <c r="O240" s="32" t="str">
        <f>O205</f>
        <v>Kg</v>
      </c>
      <c r="P240" s="34" t="str">
        <f>P205</f>
        <v>Recette mère ► le Boudin en 4 déclinaisons</v>
      </c>
      <c r="Q240" s="92">
        <v>5</v>
      </c>
      <c r="R240" s="108" t="s">
        <v>13066</v>
      </c>
      <c r="S240" s="94" t="str">
        <f t="shared" si="127"/>
        <v>de</v>
      </c>
      <c r="T240" s="5110">
        <v>0.5</v>
      </c>
      <c r="U240" s="105" t="s">
        <v>99</v>
      </c>
      <c r="V240" s="127">
        <v>1</v>
      </c>
      <c r="W240" s="920" t="s">
        <v>13061</v>
      </c>
      <c r="X240" s="1494">
        <f>IF(OR(ISBLANK(Q231),X231=0),0,Q240*V232)</f>
        <v>0.18382352941176472</v>
      </c>
      <c r="Y240" s="101">
        <f>IFERROR(_xlfn.LET(_xlpm.v,IFERROR(_xlfn.XLOOKUP(U240,Q246:Z246,Q247:Z247),_xlfn.XLOOKUP(U240,Q248:Z248,Q249:Z249)),_xlpm.v*T240*V240*V232*IF(ISBLANK(Q240),1,Q240)),0)</f>
        <v>9.1911764705882365E-5</v>
      </c>
      <c r="Z240" s="1475" t="str">
        <f>_xlfn.LET(_xlpm.unite,SUBSTITUTE(TRIM(U240)," (s)",""),_xlpm.val,Y240,_xlpm.estVol,COUNTIF(T246:Z246,_xlpm.unite)+COUNTIF(T248:Z248,_xlpm.unite)&gt;0,_xlpm.estPoids,COUNTIF(Q246:S246,_xlpm.unite)+COUNTIF(Q248:S248,_xlpm.unite)&gt;0,IF(_xlpm.estVol,IF(ROUND(_xlpm.val,3)&gt;=1,ROUND(_xlpm.val,3)&amp;" L",MAX(1,ROUND(_xlpm.val*100,0))&amp;" cl"),IF(_xlpm.estPoids,IF(ROUND(_xlpm.val,3)&gt;=1,ROUND(_xlpm.val,3)&amp;" Kg",MAX(1,ROUND(_xlpm.val*1000,0))&amp;" g"),"")))</f>
        <v>1 g</v>
      </c>
      <c r="AA240" s="5211"/>
      <c r="AB240" s="1178"/>
      <c r="AC240" s="1179"/>
      <c r="AD240" s="227" t="s">
        <v>22</v>
      </c>
      <c r="AE240" s="1027" t="str">
        <f t="shared" si="104"/>
        <v>A</v>
      </c>
      <c r="AF240" s="1028" t="str">
        <f t="shared" si="105"/>
        <v>N NOTRE BOUDIN NOIR | | Auteur &gt; Guy KRENZE - Eric GODDYN - Arnaud NICOLAS - CEPROC 2002</v>
      </c>
      <c r="AG240" s="1029">
        <f t="shared" si="106"/>
        <v>16.34</v>
      </c>
      <c r="AH240" s="1028" t="str">
        <f t="shared" si="107"/>
        <v>Kg</v>
      </c>
      <c r="AI240" s="1029" t="str">
        <f t="shared" si="108"/>
        <v>g</v>
      </c>
      <c r="AJ240" s="1029">
        <f t="shared" si="109"/>
        <v>1</v>
      </c>
      <c r="AK240" s="1043" cm="1">
        <f t="array" ref="AK240">IF(AE240&lt;&gt;"A","",IFERROR((IFERROR(_xlfn.XLOOKUP(TRIM(SUBSTITUTE(U240,CHAR(160)," ")),$BI$15:$BI$62,$BL$15:$BL$62),IFERROR(_xlfn.XLOOKUP(TRIM(SUBSTITUTE(U240,CHAR(160)," ")),$BJ$15:$BJ$62,$BL$15:$BL$62),_xlfn.XLOOKUP(TRIM(SUBSTITUTE(U240,CHAR(160)," ")),$BK$15:$BK$62,$BL$15:$BL$62))))*T240*IF(ISBLANK(Q240),1,Q240)+IFERROR(_xlfn.XLOOKUP("RECHERCHEX",TRIM(L240:AC240),L240:AC240),0),0))</f>
        <v>2.5000000000000001E-3</v>
      </c>
      <c r="AL240" s="1030" t="str">
        <f t="shared" si="110"/>
        <v>Kg</v>
      </c>
      <c r="AM240" s="5254" t="str">
        <f t="shared" si="125"/>
        <v>❾ Author reference &gt;</v>
      </c>
      <c r="AN240" s="1031">
        <f t="shared" si="111"/>
        <v>16.34</v>
      </c>
      <c r="AO240" s="1031" t="str">
        <f t="shared" si="112"/>
        <v>Kg</v>
      </c>
      <c r="AP240" s="1032">
        <f t="shared" si="113"/>
        <v>40</v>
      </c>
      <c r="AQ240" s="5255" t="str">
        <f t="shared" si="114"/>
        <v>parts-ou.or.o ❾ + or - &gt;</v>
      </c>
      <c r="AR240" s="1056">
        <v>20</v>
      </c>
      <c r="AS240" s="1056" t="s">
        <v>143</v>
      </c>
      <c r="AT240" s="1034">
        <f t="shared" si="115"/>
        <v>3.0599755201958386E-3</v>
      </c>
      <c r="AU240" s="1035" t="str">
        <f t="shared" si="116"/>
        <v>Kg</v>
      </c>
      <c r="AV240" s="1057" t="str" cm="1">
        <f t="array" ref="AV240">IF(AJ240&lt;&gt;1,0,IF(OR(AT240="",N(AT240)&lt;=0.000000001),"",IF(OR(AN240="",N(AN240)&lt;=0.000000001),0,IF(ISNUMBER(AT240),IFERROR(_xlfn.LET(_xlpm.ai_test,TRIM(AI240),_xlpm.r,IFERROR(_xlfn.XLOOKUP(_xlpm.ai_test,$BI$15:$BI$62,ROW($BI$15:$BI$62),0,1),IFERROR(_xlfn.XLOOKUP(_xlpm.ai_test,$BJ$15:$BJ$62,ROW($BJ$15:$BJ$62),0,1),_xlfn.XLOOKUP(_xlpm.ai_test,$BK$15:$BK$62,ROW($BK$15:$BK$62),0,1))),_xlpm.p,_xlpm.r-MIN(ROW($BI$15:$BI$62))+1,_xlpm.f,INDEX($BL$15:$BL$62,_xlpm.p),_xlpm.u,INDEX($BM$15:$BM$62,_xlpm.p),_xlpm.s,INDEX($BO$15:$BO$62,_xlpm.p),_xlpm.q,N(AT240)/_xlpm.f,IF(_xlpm.q&gt;=_xlpm.s,ROUND(_xlpm.q,1)&amp;" "&amp;_xlpm.ai_test&amp;" = "&amp;ROUND(_xlpm.q*_xlpm.f,1)&amp;" "&amp;_xlpm.u,ROUND(_xlpm.q,1)&amp;" "&amp;_xlpm.ai_test)),""),""))))</f>
        <v>3.1 g</v>
      </c>
      <c r="AW240" s="1047"/>
      <c r="AX240" s="1034">
        <f t="shared" si="117"/>
        <v>3.0599755201958386E-3</v>
      </c>
      <c r="AY240" s="1035" t="str">
        <f t="shared" si="118"/>
        <v>Kg</v>
      </c>
      <c r="AZ240" s="1036">
        <f t="shared" si="123"/>
        <v>6.119951040391677</v>
      </c>
      <c r="BA240" s="1037" t="str">
        <f t="shared" si="119"/>
        <v>pièces</v>
      </c>
      <c r="BB240" s="1038"/>
      <c r="BC240" s="1039">
        <f t="shared" si="124"/>
        <v>0</v>
      </c>
      <c r="BD240" s="1040" t="str">
        <f t="shared" si="120"/>
        <v>anis étoilé</v>
      </c>
      <c r="BE240" s="227" t="s">
        <v>22</v>
      </c>
      <c r="BF240" s="1019">
        <f t="shared" si="121"/>
        <v>6.119951040391677</v>
      </c>
      <c r="BG240" s="1020">
        <f t="shared" si="122"/>
        <v>1.2239902080783354</v>
      </c>
      <c r="BH240"/>
      <c r="BI240" s="709"/>
      <c r="BJ240" s="709"/>
      <c r="BK240" s="709"/>
      <c r="BL240" s="709"/>
      <c r="BM240" s="709"/>
      <c r="BN240" s="709"/>
      <c r="BO240" s="709"/>
      <c r="BP240" s="709"/>
      <c r="BW240" s="959" t="str">
        <f t="shared" si="101"/>
        <v>A</v>
      </c>
      <c r="CB240"/>
      <c r="CC240" s="856"/>
      <c r="CK240" s="709"/>
      <c r="CS240" s="709"/>
      <c r="DA240" s="709"/>
      <c r="DB240" s="3">
        <v>1</v>
      </c>
    </row>
    <row r="241" spans="1:106" ht="21" customHeight="1">
      <c r="A241" s="936" t="s">
        <v>22</v>
      </c>
      <c r="B241" s="952" t="str">
        <f t="shared" si="100"/>
        <v>A</v>
      </c>
      <c r="C241" s="993" cm="1">
        <f t="array" ref="C241">SUMPRODUCT(LEN(D241:J241))</f>
        <v>0</v>
      </c>
      <c r="D241" s="167"/>
      <c r="E241" s="172"/>
      <c r="F241" s="172"/>
      <c r="G241" s="172"/>
      <c r="H241" s="172"/>
      <c r="I241" s="172"/>
      <c r="J241" s="173"/>
      <c r="K241" s="442"/>
      <c r="L241" s="104" t="str">
        <f t="shared" si="126"/>
        <v>A</v>
      </c>
      <c r="M241" s="32" t="str">
        <f>M205</f>
        <v>N NOTRE BOUDIN NOIR | | Auteur &gt; Guy KRENZE - Eric GODDYN - Arnaud NICOLAS - CEPROC 2002</v>
      </c>
      <c r="N241" s="33">
        <f>N205</f>
        <v>16.34</v>
      </c>
      <c r="O241" s="32" t="str">
        <f>O205</f>
        <v>Kg</v>
      </c>
      <c r="P241" s="34" t="str">
        <f>P205</f>
        <v>Recette mère ► le Boudin en 4 déclinaisons</v>
      </c>
      <c r="Q241" s="92"/>
      <c r="R241" s="108"/>
      <c r="S241" s="94" t="str">
        <f t="shared" si="127"/>
        <v/>
      </c>
      <c r="T241" s="95">
        <v>20</v>
      </c>
      <c r="U241" s="105" t="s">
        <v>99</v>
      </c>
      <c r="V241" s="127">
        <v>1</v>
      </c>
      <c r="W241" s="920" t="s">
        <v>13062</v>
      </c>
      <c r="X241" s="1494">
        <f>IF(OR(ISBLANK(Q231),X231=0),0,Q241*V232)</f>
        <v>0</v>
      </c>
      <c r="Y241" s="101">
        <f>IFERROR(_xlfn.LET(_xlpm.v,IFERROR(_xlfn.XLOOKUP(U241,Q246:Z246,Q247:Z247),_xlfn.XLOOKUP(U241,Q248:Z248,Q249:Z249)),_xlpm.v*T241*V241*V232*IF(ISBLANK(Q241),1,Q241)),0)</f>
        <v>7.3529411764705881E-4</v>
      </c>
      <c r="Z241" s="1476" t="str">
        <f>_xlfn.LET(_xlpm.unite,SUBSTITUTE(TRIM(U241)," (s)",""),_xlpm.val,Y241,_xlpm.estVol,COUNTIF(T246:Z246,_xlpm.unite)+COUNTIF(T248:Z248,_xlpm.unite)&gt;0,_xlpm.estPoids,COUNTIF(Q246:S246,_xlpm.unite)+COUNTIF(Q248:S248,_xlpm.unite)&gt;0,IF(_xlpm.estVol,IF(ROUND(_xlpm.val,3)&gt;=1,ROUND(_xlpm.val,3)&amp;" L",MAX(1,ROUND(_xlpm.val*100,0))&amp;" cl"),IF(_xlpm.estPoids,IF(ROUND(_xlpm.val,3)&gt;=1,ROUND(_xlpm.val,3)&amp;" Kg",MAX(1,ROUND(_xlpm.val*1000,0))&amp;" g"),"")))</f>
        <v>1 g</v>
      </c>
      <c r="AA241" s="5211"/>
      <c r="AB241" s="1178"/>
      <c r="AC241" s="1179"/>
      <c r="AD241" s="227" t="s">
        <v>22</v>
      </c>
      <c r="AE241" s="1027" t="str">
        <f t="shared" si="104"/>
        <v>A</v>
      </c>
      <c r="AF241" s="1028" t="str">
        <f t="shared" si="105"/>
        <v>N NOTRE BOUDIN NOIR | | Auteur &gt; Guy KRENZE - Eric GODDYN - Arnaud NICOLAS - CEPROC 2002</v>
      </c>
      <c r="AG241" s="1029">
        <f t="shared" si="106"/>
        <v>16.34</v>
      </c>
      <c r="AH241" s="1028" t="str">
        <f t="shared" si="107"/>
        <v>Kg</v>
      </c>
      <c r="AI241" s="1029" t="str">
        <f t="shared" si="108"/>
        <v>g</v>
      </c>
      <c r="AJ241" s="1029">
        <f t="shared" si="109"/>
        <v>1</v>
      </c>
      <c r="AK241" s="1043" cm="1">
        <f t="array" ref="AK241">IF(AE241&lt;&gt;"A","",IFERROR((IFERROR(_xlfn.XLOOKUP(TRIM(SUBSTITUTE(U241,CHAR(160)," ")),$BI$15:$BI$62,$BL$15:$BL$62),IFERROR(_xlfn.XLOOKUP(TRIM(SUBSTITUTE(U241,CHAR(160)," ")),$BJ$15:$BJ$62,$BL$15:$BL$62),_xlfn.XLOOKUP(TRIM(SUBSTITUTE(U241,CHAR(160)," ")),$BK$15:$BK$62,$BL$15:$BL$62))))*T241*IF(ISBLANK(Q241),1,Q241)+IFERROR(_xlfn.XLOOKUP("RECHERCHEX",TRIM(L241:AC241),L241:AC241),0),0))</f>
        <v>0.02</v>
      </c>
      <c r="AL241" s="1030" t="str">
        <f t="shared" si="110"/>
        <v>Kg</v>
      </c>
      <c r="AM241" s="5254" t="str">
        <f t="shared" si="125"/>
        <v>❾ Author reference &gt;</v>
      </c>
      <c r="AN241" s="1031">
        <f t="shared" si="111"/>
        <v>16.34</v>
      </c>
      <c r="AO241" s="1031" t="str">
        <f t="shared" si="112"/>
        <v>Kg</v>
      </c>
      <c r="AP241" s="1044">
        <f t="shared" si="113"/>
        <v>40</v>
      </c>
      <c r="AQ241" s="5257" t="str">
        <f t="shared" si="114"/>
        <v>parts-ou.or.o ❾ + or - &gt;</v>
      </c>
      <c r="AR241" s="1056">
        <v>20</v>
      </c>
      <c r="AS241" s="1056" t="s">
        <v>143</v>
      </c>
      <c r="AT241" s="1045">
        <f t="shared" si="115"/>
        <v>2.4479804161566709E-2</v>
      </c>
      <c r="AU241" s="1046" t="str">
        <f t="shared" si="116"/>
        <v>Kg</v>
      </c>
      <c r="AV241" s="1059" t="str" cm="1">
        <f t="array" ref="AV241">IF(AJ241&lt;&gt;1,0,IF(OR(AT241="",N(AT241)&lt;=0.000000001),"",IF(OR(AN241="",N(AN241)&lt;=0.000000001),0,IF(ISNUMBER(AT241),IFERROR(_xlfn.LET(_xlpm.ai_test,TRIM(AI241),_xlpm.r,IFERROR(_xlfn.XLOOKUP(_xlpm.ai_test,$BI$15:$BI$62,ROW($BI$15:$BI$62),0,1),IFERROR(_xlfn.XLOOKUP(_xlpm.ai_test,$BJ$15:$BJ$62,ROW($BJ$15:$BJ$62),0,1),_xlfn.XLOOKUP(_xlpm.ai_test,$BK$15:$BK$62,ROW($BK$15:$BK$62),0,1))),_xlpm.p,_xlpm.r-MIN(ROW($BI$15:$BI$62))+1,_xlpm.f,INDEX($BL$15:$BL$62,_xlpm.p),_xlpm.u,INDEX($BM$15:$BM$62,_xlpm.p),_xlpm.s,INDEX($BO$15:$BO$62,_xlpm.p),_xlpm.q,N(AT241)/_xlpm.f,IF(_xlpm.q&gt;=_xlpm.s,ROUND(_xlpm.q,1)&amp;" "&amp;_xlpm.ai_test&amp;" = "&amp;ROUND(_xlpm.q*_xlpm.f,1)&amp;" "&amp;_xlpm.u,ROUND(_xlpm.q,1)&amp;" "&amp;_xlpm.ai_test)),""),""))))</f>
        <v>24.5 g</v>
      </c>
      <c r="AW241" s="1047"/>
      <c r="AX241" s="1045">
        <f t="shared" si="117"/>
        <v>2.4479804161566709E-2</v>
      </c>
      <c r="AY241" s="1046" t="str">
        <f t="shared" si="118"/>
        <v>Kg</v>
      </c>
      <c r="AZ241" s="1048">
        <f t="shared" si="123"/>
        <v>0</v>
      </c>
      <c r="BA241" s="1049" t="str">
        <f t="shared" si="119"/>
        <v/>
      </c>
      <c r="BB241" s="1038"/>
      <c r="BC241" s="1050">
        <f t="shared" si="124"/>
        <v>0</v>
      </c>
      <c r="BD241" s="1040" t="str">
        <f t="shared" si="120"/>
        <v>5 épices</v>
      </c>
      <c r="BE241" s="227" t="s">
        <v>22</v>
      </c>
      <c r="BF241" s="1019">
        <f t="shared" si="121"/>
        <v>0</v>
      </c>
      <c r="BG241" s="1020">
        <f t="shared" si="122"/>
        <v>1.2239902080783354</v>
      </c>
      <c r="BH241"/>
      <c r="BI241" s="709"/>
      <c r="BJ241" s="709"/>
      <c r="BK241" s="709"/>
      <c r="BL241" s="709"/>
      <c r="BM241" s="709"/>
      <c r="BN241" s="709"/>
      <c r="BO241" s="709"/>
      <c r="BP241" s="709"/>
      <c r="BW241" s="959" t="str">
        <f t="shared" si="101"/>
        <v>A</v>
      </c>
      <c r="CB241"/>
      <c r="CC241" s="856"/>
      <c r="CK241" s="709"/>
      <c r="CS241" s="709"/>
      <c r="DA241" s="709"/>
      <c r="DB241" s="3">
        <v>1</v>
      </c>
    </row>
    <row r="242" spans="1:106" ht="21" customHeight="1">
      <c r="A242" s="936" t="s">
        <v>22</v>
      </c>
      <c r="B242" s="952" t="str">
        <f t="shared" si="100"/>
        <v>A</v>
      </c>
      <c r="C242" s="993" cm="1">
        <f t="array" ref="C242">SUMPRODUCT(LEN(D242:J242))</f>
        <v>0</v>
      </c>
      <c r="D242" s="167"/>
      <c r="E242" s="172"/>
      <c r="F242" s="172"/>
      <c r="G242" s="172"/>
      <c r="H242" s="172"/>
      <c r="I242" s="172"/>
      <c r="J242" s="173"/>
      <c r="K242" s="442"/>
      <c r="L242" s="104" t="str">
        <f t="shared" si="126"/>
        <v>A</v>
      </c>
      <c r="M242" s="32" t="str">
        <f>M205</f>
        <v>N NOTRE BOUDIN NOIR | | Auteur &gt; Guy KRENZE - Eric GODDYN - Arnaud NICOLAS - CEPROC 2002</v>
      </c>
      <c r="N242" s="33">
        <f>N205</f>
        <v>16.34</v>
      </c>
      <c r="O242" s="32" t="str">
        <f>O205</f>
        <v>Kg</v>
      </c>
      <c r="P242" s="34" t="str">
        <f>P205</f>
        <v>Recette mère ► le Boudin en 4 déclinaisons</v>
      </c>
      <c r="Q242" s="92"/>
      <c r="R242" s="108"/>
      <c r="S242" s="94" t="str">
        <f t="shared" si="127"/>
        <v/>
      </c>
      <c r="T242" s="95">
        <v>10</v>
      </c>
      <c r="U242" s="105" t="s">
        <v>99</v>
      </c>
      <c r="V242" s="127">
        <v>1</v>
      </c>
      <c r="W242" s="920" t="s">
        <v>13063</v>
      </c>
      <c r="X242" s="1494">
        <f>IF(OR(ISBLANK(Q231),X231=0),0,Q242*V232)</f>
        <v>0</v>
      </c>
      <c r="Y242" s="101">
        <f>IFERROR(_xlfn.LET(_xlpm.v,IFERROR(_xlfn.XLOOKUP(U242,Q246:Z246,Q247:Z247),_xlfn.XLOOKUP(U242,Q248:Z248,Q249:Z249)),_xlpm.v*T242*V242*V232*IF(ISBLANK(Q242),1,Q242)),0)</f>
        <v>3.6764705882352941E-4</v>
      </c>
      <c r="Z242" s="1475" t="str">
        <f>_xlfn.LET(_xlpm.unite,SUBSTITUTE(TRIM(U242)," (s)",""),_xlpm.val,Y242,_xlpm.estVol,COUNTIF(T246:Z246,_xlpm.unite)+COUNTIF(T248:Z248,_xlpm.unite)&gt;0,_xlpm.estPoids,COUNTIF(Q246:S246,_xlpm.unite)+COUNTIF(Q248:S248,_xlpm.unite)&gt;0,IF(_xlpm.estVol,IF(ROUND(_xlpm.val,3)&gt;=1,ROUND(_xlpm.val,3)&amp;" L",MAX(1,ROUND(_xlpm.val*100,0))&amp;" cl"),IF(_xlpm.estPoids,IF(ROUND(_xlpm.val,3)&gt;=1,ROUND(_xlpm.val,3)&amp;" Kg",MAX(1,ROUND(_xlpm.val*1000,0))&amp;" g"),"")))</f>
        <v>1 g</v>
      </c>
      <c r="AA242" s="5211"/>
      <c r="AB242" s="1178"/>
      <c r="AC242" s="1179"/>
      <c r="AD242" s="227" t="s">
        <v>22</v>
      </c>
      <c r="AE242" s="1027" t="str">
        <f t="shared" si="104"/>
        <v>A</v>
      </c>
      <c r="AF242" s="1028" t="str">
        <f t="shared" si="105"/>
        <v>N NOTRE BOUDIN NOIR | | Auteur &gt; Guy KRENZE - Eric GODDYN - Arnaud NICOLAS - CEPROC 2002</v>
      </c>
      <c r="AG242" s="1029">
        <f t="shared" si="106"/>
        <v>16.34</v>
      </c>
      <c r="AH242" s="1028" t="str">
        <f t="shared" si="107"/>
        <v>Kg</v>
      </c>
      <c r="AI242" s="1029" t="str">
        <f t="shared" si="108"/>
        <v>g</v>
      </c>
      <c r="AJ242" s="1029">
        <f t="shared" si="109"/>
        <v>1</v>
      </c>
      <c r="AK242" s="1043" cm="1">
        <f t="array" ref="AK242">IF(AE242&lt;&gt;"A","",IFERROR((IFERROR(_xlfn.XLOOKUP(TRIM(SUBSTITUTE(U242,CHAR(160)," ")),$BI$15:$BI$62,$BL$15:$BL$62),IFERROR(_xlfn.XLOOKUP(TRIM(SUBSTITUTE(U242,CHAR(160)," ")),$BJ$15:$BJ$62,$BL$15:$BL$62),_xlfn.XLOOKUP(TRIM(SUBSTITUTE(U242,CHAR(160)," ")),$BK$15:$BK$62,$BL$15:$BL$62))))*T242*IF(ISBLANK(Q242),1,Q242)+IFERROR(_xlfn.XLOOKUP("RECHERCHEX",TRIM(L242:AC242),L242:AC242),0),0))</f>
        <v>0.01</v>
      </c>
      <c r="AL242" s="1030" t="str">
        <f t="shared" si="110"/>
        <v>Kg</v>
      </c>
      <c r="AM242" s="5254" t="str">
        <f t="shared" si="125"/>
        <v>❾ Author reference &gt;</v>
      </c>
      <c r="AN242" s="1031">
        <f t="shared" si="111"/>
        <v>16.34</v>
      </c>
      <c r="AO242" s="1031" t="str">
        <f t="shared" si="112"/>
        <v>Kg</v>
      </c>
      <c r="AP242" s="1032">
        <f t="shared" si="113"/>
        <v>40</v>
      </c>
      <c r="AQ242" s="5255" t="str">
        <f t="shared" si="114"/>
        <v>parts-ou.or.o ❾ + or - &gt;</v>
      </c>
      <c r="AR242" s="1056">
        <v>20</v>
      </c>
      <c r="AS242" s="1056" t="s">
        <v>143</v>
      </c>
      <c r="AT242" s="1034">
        <f t="shared" si="115"/>
        <v>1.2239902080783354E-2</v>
      </c>
      <c r="AU242" s="1035" t="str">
        <f t="shared" si="116"/>
        <v>Kg</v>
      </c>
      <c r="AV242" s="1057" t="str" cm="1">
        <f t="array" ref="AV242">IF(AJ242&lt;&gt;1,0,IF(OR(AT242="",N(AT242)&lt;=0.000000001),"",IF(OR(AN242="",N(AN242)&lt;=0.000000001),0,IF(ISNUMBER(AT242),IFERROR(_xlfn.LET(_xlpm.ai_test,TRIM(AI242),_xlpm.r,IFERROR(_xlfn.XLOOKUP(_xlpm.ai_test,$BI$15:$BI$62,ROW($BI$15:$BI$62),0,1),IFERROR(_xlfn.XLOOKUP(_xlpm.ai_test,$BJ$15:$BJ$62,ROW($BJ$15:$BJ$62),0,1),_xlfn.XLOOKUP(_xlpm.ai_test,$BK$15:$BK$62,ROW($BK$15:$BK$62),0,1))),_xlpm.p,_xlpm.r-MIN(ROW($BI$15:$BI$62))+1,_xlpm.f,INDEX($BL$15:$BL$62,_xlpm.p),_xlpm.u,INDEX($BM$15:$BM$62,_xlpm.p),_xlpm.s,INDEX($BO$15:$BO$62,_xlpm.p),_xlpm.q,N(AT242)/_xlpm.f,IF(_xlpm.q&gt;=_xlpm.s,ROUND(_xlpm.q,1)&amp;" "&amp;_xlpm.ai_test&amp;" = "&amp;ROUND(_xlpm.q*_xlpm.f,1)&amp;" "&amp;_xlpm.u,ROUND(_xlpm.q,1)&amp;" "&amp;_xlpm.ai_test)),""),""))))</f>
        <v>12.2 g</v>
      </c>
      <c r="AW242" s="1047"/>
      <c r="AX242" s="1034">
        <f t="shared" si="117"/>
        <v>1.2239902080783354E-2</v>
      </c>
      <c r="AY242" s="1035" t="str">
        <f t="shared" si="118"/>
        <v>Kg</v>
      </c>
      <c r="AZ242" s="1036">
        <f t="shared" si="123"/>
        <v>0</v>
      </c>
      <c r="BA242" s="1037" t="str">
        <f t="shared" si="119"/>
        <v/>
      </c>
      <c r="BB242" s="1038"/>
      <c r="BC242" s="1039">
        <f t="shared" si="124"/>
        <v>0</v>
      </c>
      <c r="BD242" s="1040" t="str">
        <f t="shared" si="120"/>
        <v>macis</v>
      </c>
      <c r="BE242" s="227" t="s">
        <v>22</v>
      </c>
      <c r="BF242" s="1019">
        <f t="shared" si="121"/>
        <v>0</v>
      </c>
      <c r="BG242" s="1020">
        <f t="shared" si="122"/>
        <v>1.2239902080783354</v>
      </c>
      <c r="BH242"/>
      <c r="BI242" s="709"/>
      <c r="BJ242" s="709"/>
      <c r="BK242" s="709"/>
      <c r="BL242" s="709"/>
      <c r="BM242" s="709"/>
      <c r="BN242" s="709"/>
      <c r="BO242" s="709"/>
      <c r="BP242" s="709"/>
      <c r="BW242" s="959" t="str">
        <f t="shared" si="101"/>
        <v>A</v>
      </c>
      <c r="CB242"/>
      <c r="CC242" s="856"/>
      <c r="CK242" s="709"/>
      <c r="CS242" s="709"/>
      <c r="DA242" s="709"/>
      <c r="DB242" s="3">
        <v>1</v>
      </c>
    </row>
    <row r="243" spans="1:106" ht="21" customHeight="1">
      <c r="A243" s="936" t="s">
        <v>22</v>
      </c>
      <c r="B243" s="952" t="str">
        <f t="shared" si="100"/>
        <v>A</v>
      </c>
      <c r="C243" s="993" cm="1">
        <f t="array" ref="C243">SUMPRODUCT(LEN(D243:J243))</f>
        <v>0</v>
      </c>
      <c r="D243" s="167"/>
      <c r="E243" s="172"/>
      <c r="F243" s="172"/>
      <c r="G243" s="172"/>
      <c r="H243" s="172"/>
      <c r="I243" s="172"/>
      <c r="J243" s="173"/>
      <c r="K243" s="442"/>
      <c r="L243" s="104" t="str">
        <f t="shared" si="126"/>
        <v>A</v>
      </c>
      <c r="M243" s="32" t="str">
        <f>M205</f>
        <v>N NOTRE BOUDIN NOIR | | Auteur &gt; Guy KRENZE - Eric GODDYN - Arnaud NICOLAS - CEPROC 2002</v>
      </c>
      <c r="N243" s="33">
        <f>N205</f>
        <v>16.34</v>
      </c>
      <c r="O243" s="32" t="str">
        <f>O205</f>
        <v>Kg</v>
      </c>
      <c r="P243" s="34" t="str">
        <f>P205</f>
        <v>Recette mère ► le Boudin en 4 déclinaisons</v>
      </c>
      <c r="Q243" s="92"/>
      <c r="R243" s="108"/>
      <c r="S243" s="94" t="str">
        <f t="shared" si="127"/>
        <v/>
      </c>
      <c r="T243" s="95">
        <v>15</v>
      </c>
      <c r="U243" s="105" t="s">
        <v>99</v>
      </c>
      <c r="V243" s="127">
        <v>1</v>
      </c>
      <c r="W243" s="920" t="s">
        <v>13064</v>
      </c>
      <c r="X243" s="1494">
        <f>IF(OR(ISBLANK(Q231),X231=0),0,Q243*V232)</f>
        <v>0</v>
      </c>
      <c r="Y243" s="101">
        <f>IFERROR(_xlfn.LET(_xlpm.v,IFERROR(_xlfn.XLOOKUP(U243,Q246:Z246,Q247:Z247),_xlfn.XLOOKUP(U243,Q248:Z248,Q249:Z249)),_xlpm.v*T243*V243*V232*IF(ISBLANK(Q243),1,Q243)),0)</f>
        <v>5.5147058823529411E-4</v>
      </c>
      <c r="Z243" s="1476" t="str">
        <f>_xlfn.LET(_xlpm.unite,SUBSTITUTE(TRIM(U243)," (s)",""),_xlpm.val,Y243,_xlpm.estVol,COUNTIF(T246:Z246,_xlpm.unite)+COUNTIF(T248:Z248,_xlpm.unite)&gt;0,_xlpm.estPoids,COUNTIF(Q246:S246,_xlpm.unite)+COUNTIF(Q248:S248,_xlpm.unite)&gt;0,IF(_xlpm.estVol,IF(ROUND(_xlpm.val,3)&gt;=1,ROUND(_xlpm.val,3)&amp;" L",MAX(1,ROUND(_xlpm.val*100,0))&amp;" cl"),IF(_xlpm.estPoids,IF(ROUND(_xlpm.val,3)&gt;=1,ROUND(_xlpm.val,3)&amp;" Kg",MAX(1,ROUND(_xlpm.val*1000,0))&amp;" g"),"")))</f>
        <v>1 g</v>
      </c>
      <c r="AA243" s="5211"/>
      <c r="AB243" s="1178"/>
      <c r="AC243" s="1179"/>
      <c r="AD243" s="227" t="s">
        <v>22</v>
      </c>
      <c r="AE243" s="1027" t="str">
        <f t="shared" si="104"/>
        <v>A</v>
      </c>
      <c r="AF243" s="1028" t="str">
        <f t="shared" si="105"/>
        <v>N NOTRE BOUDIN NOIR | | Auteur &gt; Guy KRENZE - Eric GODDYN - Arnaud NICOLAS - CEPROC 2002</v>
      </c>
      <c r="AG243" s="1029">
        <f t="shared" si="106"/>
        <v>16.34</v>
      </c>
      <c r="AH243" s="1028" t="str">
        <f t="shared" si="107"/>
        <v>Kg</v>
      </c>
      <c r="AI243" s="1029" t="str">
        <f t="shared" si="108"/>
        <v>g</v>
      </c>
      <c r="AJ243" s="1029">
        <f t="shared" si="109"/>
        <v>1</v>
      </c>
      <c r="AK243" s="1043" cm="1">
        <f t="array" ref="AK243">IF(AE243&lt;&gt;"A","",IFERROR((IFERROR(_xlfn.XLOOKUP(TRIM(SUBSTITUTE(U243,CHAR(160)," ")),$BI$15:$BI$62,$BL$15:$BL$62),IFERROR(_xlfn.XLOOKUP(TRIM(SUBSTITUTE(U243,CHAR(160)," ")),$BJ$15:$BJ$62,$BL$15:$BL$62),_xlfn.XLOOKUP(TRIM(SUBSTITUTE(U243,CHAR(160)," ")),$BK$15:$BK$62,$BL$15:$BL$62))))*T243*IF(ISBLANK(Q243),1,Q243)+IFERROR(_xlfn.XLOOKUP("RECHERCHEX",TRIM(L243:AC243),L243:AC243),0),0))</f>
        <v>1.4999999999999999E-2</v>
      </c>
      <c r="AL243" s="1030" t="str">
        <f t="shared" si="110"/>
        <v>Kg</v>
      </c>
      <c r="AM243" s="5254" t="str">
        <f t="shared" si="125"/>
        <v>❾ Author reference &gt;</v>
      </c>
      <c r="AN243" s="1031">
        <f t="shared" si="111"/>
        <v>16.34</v>
      </c>
      <c r="AO243" s="1031" t="str">
        <f t="shared" si="112"/>
        <v>Kg</v>
      </c>
      <c r="AP243" s="1044">
        <f t="shared" si="113"/>
        <v>40</v>
      </c>
      <c r="AQ243" s="5257" t="str">
        <f t="shared" si="114"/>
        <v>parts-ou.or.o ❾ + or - &gt;</v>
      </c>
      <c r="AR243" s="1056">
        <v>20</v>
      </c>
      <c r="AS243" s="1056" t="s">
        <v>143</v>
      </c>
      <c r="AT243" s="1045">
        <f t="shared" si="115"/>
        <v>1.8359853121175031E-2</v>
      </c>
      <c r="AU243" s="1046" t="str">
        <f t="shared" si="116"/>
        <v>Kg</v>
      </c>
      <c r="AV243" s="1059" t="str" cm="1">
        <f t="array" ref="AV243">IF(AJ243&lt;&gt;1,0,IF(OR(AT243="",N(AT243)&lt;=0.000000001),"",IF(OR(AN243="",N(AN243)&lt;=0.000000001),0,IF(ISNUMBER(AT243),IFERROR(_xlfn.LET(_xlpm.ai_test,TRIM(AI243),_xlpm.r,IFERROR(_xlfn.XLOOKUP(_xlpm.ai_test,$BI$15:$BI$62,ROW($BI$15:$BI$62),0,1),IFERROR(_xlfn.XLOOKUP(_xlpm.ai_test,$BJ$15:$BJ$62,ROW($BJ$15:$BJ$62),0,1),_xlfn.XLOOKUP(_xlpm.ai_test,$BK$15:$BK$62,ROW($BK$15:$BK$62),0,1))),_xlpm.p,_xlpm.r-MIN(ROW($BI$15:$BI$62))+1,_xlpm.f,INDEX($BL$15:$BL$62,_xlpm.p),_xlpm.u,INDEX($BM$15:$BM$62,_xlpm.p),_xlpm.s,INDEX($BO$15:$BO$62,_xlpm.p),_xlpm.q,N(AT243)/_xlpm.f,IF(_xlpm.q&gt;=_xlpm.s,ROUND(_xlpm.q,1)&amp;" "&amp;_xlpm.ai_test&amp;" = "&amp;ROUND(_xlpm.q*_xlpm.f,1)&amp;" "&amp;_xlpm.u,ROUND(_xlpm.q,1)&amp;" "&amp;_xlpm.ai_test)),""),""))))</f>
        <v>18.4 g</v>
      </c>
      <c r="AW243" s="1047"/>
      <c r="AX243" s="1045">
        <f t="shared" si="117"/>
        <v>1.8359853121175031E-2</v>
      </c>
      <c r="AY243" s="1046" t="str">
        <f t="shared" si="118"/>
        <v>Kg</v>
      </c>
      <c r="AZ243" s="1048">
        <f t="shared" si="123"/>
        <v>0</v>
      </c>
      <c r="BA243" s="1049" t="str">
        <f t="shared" si="119"/>
        <v/>
      </c>
      <c r="BB243" s="1038"/>
      <c r="BC243" s="1050">
        <f t="shared" si="124"/>
        <v>0</v>
      </c>
      <c r="BD243" s="1040" t="str">
        <f t="shared" si="120"/>
        <v>coriandre en poudre</v>
      </c>
      <c r="BE243" s="227" t="s">
        <v>22</v>
      </c>
      <c r="BF243" s="1019">
        <f t="shared" si="121"/>
        <v>0</v>
      </c>
      <c r="BG243" s="1020">
        <f t="shared" si="122"/>
        <v>1.2239902080783354</v>
      </c>
      <c r="BH243"/>
      <c r="BI243" s="709"/>
      <c r="BJ243" s="709"/>
      <c r="BK243" s="709"/>
      <c r="BL243" s="709"/>
      <c r="BM243" s="709"/>
      <c r="BN243" s="709"/>
      <c r="BO243" s="709"/>
      <c r="BP243" s="709"/>
      <c r="BW243" s="959" t="str">
        <f t="shared" si="101"/>
        <v>A</v>
      </c>
      <c r="CB243"/>
      <c r="CC243" s="856"/>
      <c r="CK243" s="709"/>
      <c r="CS243" s="709"/>
      <c r="DA243" s="709"/>
      <c r="DB243" s="3">
        <v>1</v>
      </c>
    </row>
    <row r="244" spans="1:106" ht="21" customHeight="1">
      <c r="A244" s="936" t="s">
        <v>22</v>
      </c>
      <c r="B244" s="952" t="str">
        <f t="shared" si="100"/>
        <v>►</v>
      </c>
      <c r="C244" s="993" cm="1">
        <f t="array" ref="C244">SUMPRODUCT(LEN(D244:J244))</f>
        <v>0</v>
      </c>
      <c r="D244" s="167"/>
      <c r="E244" s="172"/>
      <c r="F244" s="172"/>
      <c r="G244" s="172"/>
      <c r="H244" s="172"/>
      <c r="I244" s="172"/>
      <c r="J244" s="173"/>
      <c r="K244" s="442"/>
      <c r="L244" s="104" t="str">
        <f t="shared" si="126"/>
        <v>►</v>
      </c>
      <c r="M244" s="32" t="str">
        <f>M205</f>
        <v>N NOTRE BOUDIN NOIR | | Auteur &gt; Guy KRENZE - Eric GODDYN - Arnaud NICOLAS - CEPROC 2002</v>
      </c>
      <c r="N244" s="33">
        <f>N205</f>
        <v>16.34</v>
      </c>
      <c r="O244" s="32" t="str">
        <f>O205</f>
        <v>Kg</v>
      </c>
      <c r="P244" s="34" t="str">
        <f>P205</f>
        <v>Recette mère ► le Boudin en 4 déclinaisons</v>
      </c>
      <c r="Q244" s="92"/>
      <c r="R244" s="108"/>
      <c r="S244" s="94" t="str">
        <f t="shared" si="127"/>
        <v/>
      </c>
      <c r="T244" s="95"/>
      <c r="U244" s="126"/>
      <c r="V244" s="127">
        <v>1</v>
      </c>
      <c r="W244" s="920"/>
      <c r="X244" s="1494">
        <f>IF(OR(ISBLANK(Q231),X231=0),0,Q244*V232)</f>
        <v>0</v>
      </c>
      <c r="Y244" s="101">
        <f>IFERROR(_xlfn.LET(_xlpm.v,IFERROR(_xlfn.XLOOKUP(U244,Q246:Z246,Q247:Z247),_xlfn.XLOOKUP(U244,Q248:Z248,Q249:Z249)),_xlpm.v*T244*V244*V232*IF(ISBLANK(Q244),1,Q244)),0)</f>
        <v>0</v>
      </c>
      <c r="Z244" s="1475" t="str">
        <f>_xlfn.LET(_xlpm.unite,SUBSTITUTE(TRIM(U244)," (s)",""),_xlpm.val,Y244,_xlpm.estVol,COUNTIF(T246:Z246,_xlpm.unite)+COUNTIF(T248:Z248,_xlpm.unite)&gt;0,_xlpm.estPoids,COUNTIF(Q246:S246,_xlpm.unite)+COUNTIF(Q248:S248,_xlpm.unite)&gt;0,IF(_xlpm.estVol,IF(ROUND(_xlpm.val,3)&gt;=1,ROUND(_xlpm.val,3)&amp;" L",MAX(1,ROUND(_xlpm.val*100,0))&amp;" cl"),IF(_xlpm.estPoids,IF(ROUND(_xlpm.val,3)&gt;=1,ROUND(_xlpm.val,3)&amp;" Kg",MAX(1,ROUND(_xlpm.val*1000,0))&amp;" g"),"")))</f>
        <v/>
      </c>
      <c r="AA244" s="5211"/>
      <c r="AB244" s="1178"/>
      <c r="AC244" s="1179"/>
      <c r="AD244" s="227" t="s">
        <v>22</v>
      </c>
      <c r="AE244" s="1027" t="str">
        <f t="shared" si="104"/>
        <v>►</v>
      </c>
      <c r="AF244" s="1028" t="str">
        <f t="shared" si="105"/>
        <v/>
      </c>
      <c r="AG244" s="1029" t="str">
        <f t="shared" si="106"/>
        <v/>
      </c>
      <c r="AH244" s="1028" t="str">
        <f t="shared" si="107"/>
        <v/>
      </c>
      <c r="AI244" s="1029" t="str">
        <f t="shared" si="108"/>
        <v/>
      </c>
      <c r="AJ244" s="1029">
        <f t="shared" si="109"/>
        <v>0</v>
      </c>
      <c r="AK244" s="1043" t="str" cm="1">
        <f t="array" ref="AK244">IF(AE244&lt;&gt;"A","",IFERROR((IFERROR(_xlfn.XLOOKUP(TRIM(SUBSTITUTE(U244,CHAR(160)," ")),$BI$15:$BI$62,$BL$15:$BL$62),IFERROR(_xlfn.XLOOKUP(TRIM(SUBSTITUTE(U244,CHAR(160)," ")),$BJ$15:$BJ$62,$BL$15:$BL$62),_xlfn.XLOOKUP(TRIM(SUBSTITUTE(U244,CHAR(160)," ")),$BK$15:$BK$62,$BL$15:$BL$62))))*T244*IF(ISBLANK(Q244),1,Q244)+IFERROR(_xlfn.XLOOKUP("RECHERCHEX",TRIM(L244:AC244),L244:AC244),0),0))</f>
        <v/>
      </c>
      <c r="AL244" s="1030">
        <f t="shared" si="110"/>
        <v>0</v>
      </c>
      <c r="AM244" s="5254" t="str">
        <f t="shared" si="125"/>
        <v/>
      </c>
      <c r="AN244" s="1031">
        <f t="shared" si="111"/>
        <v>0</v>
      </c>
      <c r="AO244" s="1031">
        <f t="shared" si="112"/>
        <v>0</v>
      </c>
      <c r="AP244" s="1032">
        <f t="shared" si="113"/>
        <v>0</v>
      </c>
      <c r="AQ244" s="5255" t="str">
        <f t="shared" si="114"/>
        <v/>
      </c>
      <c r="AR244" s="1056"/>
      <c r="AS244" s="1056"/>
      <c r="AT244" s="1034">
        <f t="shared" si="115"/>
        <v>0</v>
      </c>
      <c r="AU244" s="1035">
        <f t="shared" si="116"/>
        <v>0</v>
      </c>
      <c r="AV244" s="1057" cm="1">
        <f t="array" ref="AV244">IF(AJ244&lt;&gt;1,0,IF(OR(AT244="",N(AT244)&lt;=0.000000001),"",IF(OR(AN244="",N(AN244)&lt;=0.000000001),0,IF(ISNUMBER(AT244),IFERROR(_xlfn.LET(_xlpm.ai_test,TRIM(AI244),_xlpm.r,IFERROR(_xlfn.XLOOKUP(_xlpm.ai_test,$BI$15:$BI$62,ROW($BI$15:$BI$62),0,1),IFERROR(_xlfn.XLOOKUP(_xlpm.ai_test,$BJ$15:$BJ$62,ROW($BJ$15:$BJ$62),0,1),_xlfn.XLOOKUP(_xlpm.ai_test,$BK$15:$BK$62,ROW($BK$15:$BK$62),0,1))),_xlpm.p,_xlpm.r-MIN(ROW($BI$15:$BI$62))+1,_xlpm.f,INDEX($BL$15:$BL$62,_xlpm.p),_xlpm.u,INDEX($BM$15:$BM$62,_xlpm.p),_xlpm.s,INDEX($BO$15:$BO$62,_xlpm.p),_xlpm.q,N(AT244)/_xlpm.f,IF(_xlpm.q&gt;=_xlpm.s,ROUND(_xlpm.q,1)&amp;" "&amp;_xlpm.ai_test&amp;" = "&amp;ROUND(_xlpm.q*_xlpm.f,1)&amp;" "&amp;_xlpm.u,ROUND(_xlpm.q,1)&amp;" "&amp;_xlpm.ai_test)),""),""))))</f>
        <v>0</v>
      </c>
      <c r="AW244" s="1047"/>
      <c r="AX244" s="1034">
        <f t="shared" si="117"/>
        <v>0</v>
      </c>
      <c r="AY244" s="1035" t="str">
        <f t="shared" si="118"/>
        <v/>
      </c>
      <c r="AZ244" s="1036">
        <f t="shared" si="123"/>
        <v>0</v>
      </c>
      <c r="BA244" s="1037" t="str">
        <f t="shared" si="119"/>
        <v/>
      </c>
      <c r="BB244" s="1038"/>
      <c r="BC244" s="1039">
        <f t="shared" si="124"/>
        <v>0</v>
      </c>
      <c r="BD244" s="1040" t="str">
        <f t="shared" si="120"/>
        <v/>
      </c>
      <c r="BE244" s="227" t="s">
        <v>22</v>
      </c>
      <c r="BF244" s="1019">
        <f t="shared" si="121"/>
        <v>0</v>
      </c>
      <c r="BG244" s="1020">
        <f t="shared" si="122"/>
        <v>0</v>
      </c>
      <c r="BH244"/>
      <c r="BI244" s="709"/>
      <c r="BJ244" s="709"/>
      <c r="BK244" s="709"/>
      <c r="BL244" s="709"/>
      <c r="BM244" s="709"/>
      <c r="BN244" s="709"/>
      <c r="BO244" s="709"/>
      <c r="BP244" s="709"/>
      <c r="BW244" s="959" t="str">
        <f t="shared" si="101"/>
        <v>►</v>
      </c>
      <c r="CB244"/>
      <c r="CC244" s="856"/>
      <c r="CK244" s="709"/>
      <c r="CS244" s="709"/>
      <c r="DA244" s="709"/>
      <c r="DB244" s="3">
        <v>1</v>
      </c>
    </row>
    <row r="245" spans="1:106" ht="21" customHeight="1">
      <c r="A245" s="936" t="s">
        <v>22</v>
      </c>
      <c r="B245" s="952" t="str">
        <f t="shared" si="100"/>
        <v>A</v>
      </c>
      <c r="C245" s="993" cm="1">
        <f t="array" ref="C245">SUMPRODUCT(LEN(D245:J245))</f>
        <v>0</v>
      </c>
      <c r="D245" s="167"/>
      <c r="E245" s="172"/>
      <c r="F245" s="172"/>
      <c r="G245" s="172"/>
      <c r="H245" s="172"/>
      <c r="I245" s="172"/>
      <c r="J245" s="173"/>
      <c r="K245" s="442"/>
      <c r="L245" s="104" t="s">
        <v>11</v>
      </c>
      <c r="M245" s="32" t="str">
        <f>M205</f>
        <v>N NOTRE BOUDIN NOIR | | Auteur &gt; Guy KRENZE - Eric GODDYN - Arnaud NICOLAS - CEPROC 2002</v>
      </c>
      <c r="N245" s="33">
        <f>N205</f>
        <v>16.34</v>
      </c>
      <c r="O245" s="32" t="str">
        <f>O205</f>
        <v>Kg</v>
      </c>
      <c r="P245" s="34" t="str">
        <f>P205</f>
        <v>Recette mère ► le Boudin en 4 déclinaisons</v>
      </c>
      <c r="Q245" s="907" t="s">
        <v>136</v>
      </c>
      <c r="R245" s="500"/>
      <c r="S245" s="500"/>
      <c r="T245" s="500"/>
      <c r="U245" s="500"/>
      <c r="V245" s="908"/>
      <c r="W245" s="909"/>
      <c r="X245" s="909"/>
      <c r="Y245" s="5164">
        <f>SUM(Y235:Y244)</f>
        <v>1.4981617647058826E-2</v>
      </c>
      <c r="Z245" s="1489"/>
      <c r="AA245" s="5211"/>
      <c r="AB245" s="1178"/>
      <c r="AC245" s="1179"/>
      <c r="AD245" s="227" t="s">
        <v>22</v>
      </c>
      <c r="AE245" s="1027" t="str">
        <f t="shared" si="104"/>
        <v>►</v>
      </c>
      <c r="AF245" s="1028" t="str">
        <f t="shared" si="105"/>
        <v/>
      </c>
      <c r="AG245" s="1029" t="str">
        <f t="shared" si="106"/>
        <v/>
      </c>
      <c r="AH245" s="1028" t="str">
        <f t="shared" si="107"/>
        <v/>
      </c>
      <c r="AI245" s="1029" t="str">
        <f t="shared" si="108"/>
        <v/>
      </c>
      <c r="AJ245" s="1029">
        <f t="shared" si="109"/>
        <v>0</v>
      </c>
      <c r="AK245" s="1043" t="str" cm="1">
        <f t="array" ref="AK245">IF(AE245&lt;&gt;"A","",IFERROR((IFERROR(_xlfn.XLOOKUP(TRIM(SUBSTITUTE(U245,CHAR(160)," ")),$BI$15:$BI$62,$BL$15:$BL$62),IFERROR(_xlfn.XLOOKUP(TRIM(SUBSTITUTE(U245,CHAR(160)," ")),$BJ$15:$BJ$62,$BL$15:$BL$62),_xlfn.XLOOKUP(TRIM(SUBSTITUTE(U245,CHAR(160)," ")),$BK$15:$BK$62,$BL$15:$BL$62))))*T245*IF(ISBLANK(Q245),1,Q245)+IFERROR(_xlfn.XLOOKUP("RECHERCHEX",TRIM(L245:AC245),L245:AC245),0),0))</f>
        <v/>
      </c>
      <c r="AL245" s="1030">
        <f t="shared" si="110"/>
        <v>0</v>
      </c>
      <c r="AM245" s="5254" t="str">
        <f t="shared" si="125"/>
        <v/>
      </c>
      <c r="AN245" s="1031">
        <f t="shared" si="111"/>
        <v>0</v>
      </c>
      <c r="AO245" s="1031">
        <f t="shared" si="112"/>
        <v>0</v>
      </c>
      <c r="AP245" s="1044">
        <f t="shared" si="113"/>
        <v>0</v>
      </c>
      <c r="AQ245" s="5257" t="str">
        <f t="shared" si="114"/>
        <v/>
      </c>
      <c r="AR245" s="1056"/>
      <c r="AS245" s="1056"/>
      <c r="AT245" s="1045">
        <f t="shared" si="115"/>
        <v>0</v>
      </c>
      <c r="AU245" s="1046">
        <f t="shared" si="116"/>
        <v>0</v>
      </c>
      <c r="AV245" s="1059" cm="1">
        <f t="array" ref="AV245">IF(AJ245&lt;&gt;1,0,IF(OR(AT245="",N(AT245)&lt;=0.000000001),"",IF(OR(AN245="",N(AN245)&lt;=0.000000001),0,IF(ISNUMBER(AT245),IFERROR(_xlfn.LET(_xlpm.ai_test,TRIM(AI245),_xlpm.r,IFERROR(_xlfn.XLOOKUP(_xlpm.ai_test,$BI$15:$BI$62,ROW($BI$15:$BI$62),0,1),IFERROR(_xlfn.XLOOKUP(_xlpm.ai_test,$BJ$15:$BJ$62,ROW($BJ$15:$BJ$62),0,1),_xlfn.XLOOKUP(_xlpm.ai_test,$BK$15:$BK$62,ROW($BK$15:$BK$62),0,1))),_xlpm.p,_xlpm.r-MIN(ROW($BI$15:$BI$62))+1,_xlpm.f,INDEX($BL$15:$BL$62,_xlpm.p),_xlpm.u,INDEX($BM$15:$BM$62,_xlpm.p),_xlpm.s,INDEX($BO$15:$BO$62,_xlpm.p),_xlpm.q,N(AT245)/_xlpm.f,IF(_xlpm.q&gt;=_xlpm.s,ROUND(_xlpm.q,1)&amp;" "&amp;_xlpm.ai_test&amp;" = "&amp;ROUND(_xlpm.q*_xlpm.f,1)&amp;" "&amp;_xlpm.u,ROUND(_xlpm.q,1)&amp;" "&amp;_xlpm.ai_test)),""),""))))</f>
        <v>0</v>
      </c>
      <c r="AW245" s="1047"/>
      <c r="AX245" s="1045">
        <f t="shared" si="117"/>
        <v>0</v>
      </c>
      <c r="AY245" s="1046" t="str">
        <f t="shared" si="118"/>
        <v/>
      </c>
      <c r="AZ245" s="1048">
        <f t="shared" si="123"/>
        <v>0</v>
      </c>
      <c r="BA245" s="1049" t="str">
        <f t="shared" si="119"/>
        <v/>
      </c>
      <c r="BB245" s="1038"/>
      <c r="BC245" s="1050">
        <f t="shared" si="124"/>
        <v>0</v>
      </c>
      <c r="BD245" s="1040" t="str">
        <f t="shared" si="120"/>
        <v/>
      </c>
      <c r="BE245" s="227" t="s">
        <v>22</v>
      </c>
      <c r="BF245" s="1019">
        <f t="shared" si="121"/>
        <v>0</v>
      </c>
      <c r="BG245" s="1020">
        <f t="shared" si="122"/>
        <v>0</v>
      </c>
      <c r="BH245"/>
      <c r="BI245" s="709"/>
      <c r="BJ245" s="709"/>
      <c r="BK245" s="709"/>
      <c r="BL245" s="709"/>
      <c r="BM245" s="709"/>
      <c r="BN245" s="709"/>
      <c r="BO245" s="709"/>
      <c r="BP245" s="709"/>
      <c r="BW245" s="959" t="str">
        <f t="shared" si="101"/>
        <v>►</v>
      </c>
      <c r="CB245"/>
      <c r="CC245" s="856"/>
      <c r="CK245" s="709"/>
      <c r="CS245" s="709"/>
      <c r="DA245" s="709"/>
      <c r="DB245" s="3">
        <v>1</v>
      </c>
    </row>
    <row r="246" spans="1:106" ht="21" customHeight="1">
      <c r="A246" s="936" t="s">
        <v>22</v>
      </c>
      <c r="B246" s="952" t="str">
        <f t="shared" si="100"/>
        <v>►</v>
      </c>
      <c r="C246" s="993" cm="1">
        <f t="array" ref="C246">SUMPRODUCT(LEN(D246:J246))</f>
        <v>0</v>
      </c>
      <c r="D246" s="167"/>
      <c r="E246" s="172"/>
      <c r="F246" s="172"/>
      <c r="G246" s="172"/>
      <c r="H246" s="172"/>
      <c r="I246" s="172"/>
      <c r="J246" s="173"/>
      <c r="K246" s="442"/>
      <c r="L246" s="104" t="s">
        <v>16</v>
      </c>
      <c r="M246" s="32" t="str">
        <f>M205</f>
        <v>N NOTRE BOUDIN NOIR | | Auteur &gt; Guy KRENZE - Eric GODDYN - Arnaud NICOLAS - CEPROC 2002</v>
      </c>
      <c r="N246" s="33">
        <f>N205</f>
        <v>16.34</v>
      </c>
      <c r="O246" s="32" t="str">
        <f>O205</f>
        <v>Kg</v>
      </c>
      <c r="P246" s="34" t="str">
        <f>P205</f>
        <v>Recette mère ► le Boudin en 4 déclinaisons</v>
      </c>
      <c r="Q246" s="140" t="s">
        <v>143</v>
      </c>
      <c r="R246" s="105" t="s">
        <v>99</v>
      </c>
      <c r="S246" s="141" t="s">
        <v>144</v>
      </c>
      <c r="T246" s="96" t="s">
        <v>0</v>
      </c>
      <c r="U246" s="96" t="s">
        <v>96</v>
      </c>
      <c r="V246" s="96" t="s">
        <v>147</v>
      </c>
      <c r="W246" s="96" t="s">
        <v>148</v>
      </c>
      <c r="X246" s="109" t="s">
        <v>364</v>
      </c>
      <c r="Y246" s="109" t="s">
        <v>102</v>
      </c>
      <c r="Z246" s="109" t="s">
        <v>149</v>
      </c>
      <c r="AA246" s="5211"/>
      <c r="AB246" s="1178"/>
      <c r="AC246" s="1179"/>
      <c r="AD246" s="227" t="s">
        <v>22</v>
      </c>
      <c r="AE246" s="1027" t="str">
        <f t="shared" si="104"/>
        <v>►</v>
      </c>
      <c r="AF246" s="1028" t="str">
        <f t="shared" si="105"/>
        <v/>
      </c>
      <c r="AG246" s="1029" t="str">
        <f t="shared" si="106"/>
        <v/>
      </c>
      <c r="AH246" s="1028" t="str">
        <f t="shared" si="107"/>
        <v/>
      </c>
      <c r="AI246" s="1029" t="str">
        <f t="shared" si="108"/>
        <v/>
      </c>
      <c r="AJ246" s="1029">
        <f t="shared" si="109"/>
        <v>0</v>
      </c>
      <c r="AK246" s="1043" t="str" cm="1">
        <f t="array" ref="AK246">IF(AE246&lt;&gt;"A","",IFERROR((IFERROR(_xlfn.XLOOKUP(TRIM(SUBSTITUTE(U246,CHAR(160)," ")),$BI$15:$BI$62,$BL$15:$BL$62),IFERROR(_xlfn.XLOOKUP(TRIM(SUBSTITUTE(U246,CHAR(160)," ")),$BJ$15:$BJ$62,$BL$15:$BL$62),_xlfn.XLOOKUP(TRIM(SUBSTITUTE(U246,CHAR(160)," ")),$BK$15:$BK$62,$BL$15:$BL$62))))*T246*IF(ISBLANK(Q246),1,Q246)+IFERROR(_xlfn.XLOOKUP("RECHERCHEX",TRIM(L246:AC246),L246:AC246),0),0))</f>
        <v/>
      </c>
      <c r="AL246" s="1030">
        <f t="shared" si="110"/>
        <v>0</v>
      </c>
      <c r="AM246" s="5254" t="str">
        <f t="shared" si="125"/>
        <v/>
      </c>
      <c r="AN246" s="1031">
        <f t="shared" si="111"/>
        <v>0</v>
      </c>
      <c r="AO246" s="1031">
        <f t="shared" si="112"/>
        <v>0</v>
      </c>
      <c r="AP246" s="1032">
        <f t="shared" si="113"/>
        <v>0</v>
      </c>
      <c r="AQ246" s="5255" t="str">
        <f t="shared" si="114"/>
        <v/>
      </c>
      <c r="AR246" s="1056"/>
      <c r="AS246" s="1056"/>
      <c r="AT246" s="1034">
        <f t="shared" si="115"/>
        <v>0</v>
      </c>
      <c r="AU246" s="1035">
        <f t="shared" si="116"/>
        <v>0</v>
      </c>
      <c r="AV246" s="1057" cm="1">
        <f t="array" ref="AV246">IF(AJ246&lt;&gt;1,0,IF(OR(AT246="",N(AT246)&lt;=0.000000001),"",IF(OR(AN246="",N(AN246)&lt;=0.000000001),0,IF(ISNUMBER(AT246),IFERROR(_xlfn.LET(_xlpm.ai_test,TRIM(AI246),_xlpm.r,IFERROR(_xlfn.XLOOKUP(_xlpm.ai_test,$BI$15:$BI$62,ROW($BI$15:$BI$62),0,1),IFERROR(_xlfn.XLOOKUP(_xlpm.ai_test,$BJ$15:$BJ$62,ROW($BJ$15:$BJ$62),0,1),_xlfn.XLOOKUP(_xlpm.ai_test,$BK$15:$BK$62,ROW($BK$15:$BK$62),0,1))),_xlpm.p,_xlpm.r-MIN(ROW($BI$15:$BI$62))+1,_xlpm.f,INDEX($BL$15:$BL$62,_xlpm.p),_xlpm.u,INDEX($BM$15:$BM$62,_xlpm.p),_xlpm.s,INDEX($BO$15:$BO$62,_xlpm.p),_xlpm.q,N(AT246)/_xlpm.f,IF(_xlpm.q&gt;=_xlpm.s,ROUND(_xlpm.q,1)&amp;" "&amp;_xlpm.ai_test&amp;" = "&amp;ROUND(_xlpm.q*_xlpm.f,1)&amp;" "&amp;_xlpm.u,ROUND(_xlpm.q,1)&amp;" "&amp;_xlpm.ai_test)),""),""))))</f>
        <v>0</v>
      </c>
      <c r="AW246" s="1047"/>
      <c r="AX246" s="1034">
        <f t="shared" si="117"/>
        <v>0</v>
      </c>
      <c r="AY246" s="1035" t="str">
        <f t="shared" si="118"/>
        <v/>
      </c>
      <c r="AZ246" s="1036">
        <f t="shared" si="123"/>
        <v>0</v>
      </c>
      <c r="BA246" s="1037" t="str">
        <f t="shared" si="119"/>
        <v/>
      </c>
      <c r="BB246" s="1038"/>
      <c r="BC246" s="1039">
        <f t="shared" si="124"/>
        <v>0</v>
      </c>
      <c r="BD246" s="1040" t="str">
        <f t="shared" si="120"/>
        <v/>
      </c>
      <c r="BE246" s="227" t="s">
        <v>22</v>
      </c>
      <c r="BF246" s="1019">
        <f t="shared" si="121"/>
        <v>0</v>
      </c>
      <c r="BG246" s="1020">
        <f t="shared" si="122"/>
        <v>0</v>
      </c>
      <c r="BH246"/>
      <c r="BI246" s="709"/>
      <c r="BJ246" s="709"/>
      <c r="BK246" s="709"/>
      <c r="BL246" s="709"/>
      <c r="BM246" s="709"/>
      <c r="BN246" s="709"/>
      <c r="BO246" s="709"/>
      <c r="BP246" s="709"/>
      <c r="BW246" s="959" t="str">
        <f t="shared" si="101"/>
        <v>►</v>
      </c>
      <c r="CB246"/>
      <c r="CC246" s="856"/>
      <c r="CK246" s="709"/>
      <c r="CS246" s="709"/>
      <c r="DA246" s="709"/>
      <c r="DB246" s="3">
        <v>1</v>
      </c>
    </row>
    <row r="247" spans="1:106" ht="21" customHeight="1">
      <c r="A247" s="936" t="s">
        <v>22</v>
      </c>
      <c r="B247" s="952" t="str">
        <f t="shared" si="100"/>
        <v>►</v>
      </c>
      <c r="C247" s="993" cm="1">
        <f t="array" ref="C247">SUMPRODUCT(LEN(D247:J247))</f>
        <v>0</v>
      </c>
      <c r="D247" s="167"/>
      <c r="E247" s="172"/>
      <c r="F247" s="172"/>
      <c r="G247" s="172"/>
      <c r="H247" s="172"/>
      <c r="I247" s="172"/>
      <c r="J247" s="173"/>
      <c r="K247" s="442"/>
      <c r="L247" s="104" t="s">
        <v>16</v>
      </c>
      <c r="M247" s="32" t="str">
        <f>M205</f>
        <v>N NOTRE BOUDIN NOIR | | Auteur &gt; Guy KRENZE - Eric GODDYN - Arnaud NICOLAS - CEPROC 2002</v>
      </c>
      <c r="N247" s="33">
        <f>N205</f>
        <v>16.34</v>
      </c>
      <c r="O247" s="32" t="str">
        <f>O205</f>
        <v>Kg</v>
      </c>
      <c r="P247" s="34" t="str">
        <f>P205</f>
        <v>Recette mère ► le Boudin en 4 déclinaisons</v>
      </c>
      <c r="Q247" s="911">
        <v>1</v>
      </c>
      <c r="R247" s="912">
        <v>1E-3</v>
      </c>
      <c r="S247" s="913">
        <v>0</v>
      </c>
      <c r="T247" s="914">
        <v>1</v>
      </c>
      <c r="U247" s="914">
        <v>0.1</v>
      </c>
      <c r="V247" s="914">
        <v>0.01</v>
      </c>
      <c r="W247" s="914">
        <v>1E-3</v>
      </c>
      <c r="X247" s="914">
        <v>0.25</v>
      </c>
      <c r="Y247" s="914">
        <v>0.5</v>
      </c>
      <c r="Z247" s="914">
        <v>0.33300000000000002</v>
      </c>
      <c r="AA247" s="5211"/>
      <c r="AB247" s="1178"/>
      <c r="AC247" s="1179"/>
      <c r="AD247" s="227" t="s">
        <v>22</v>
      </c>
      <c r="AE247" s="1027" t="str">
        <f t="shared" si="104"/>
        <v>►</v>
      </c>
      <c r="AF247" s="1028" t="str">
        <f t="shared" si="105"/>
        <v/>
      </c>
      <c r="AG247" s="1029" t="str">
        <f t="shared" si="106"/>
        <v/>
      </c>
      <c r="AH247" s="1028" t="str">
        <f t="shared" si="107"/>
        <v/>
      </c>
      <c r="AI247" s="1029" t="str">
        <f t="shared" si="108"/>
        <v/>
      </c>
      <c r="AJ247" s="1029">
        <f t="shared" si="109"/>
        <v>0</v>
      </c>
      <c r="AK247" s="1043" t="str" cm="1">
        <f t="array" ref="AK247">IF(AE247&lt;&gt;"A","",IFERROR((IFERROR(_xlfn.XLOOKUP(TRIM(SUBSTITUTE(U247,CHAR(160)," ")),$BI$15:$BI$62,$BL$15:$BL$62),IFERROR(_xlfn.XLOOKUP(TRIM(SUBSTITUTE(U247,CHAR(160)," ")),$BJ$15:$BJ$62,$BL$15:$BL$62),_xlfn.XLOOKUP(TRIM(SUBSTITUTE(U247,CHAR(160)," ")),$BK$15:$BK$62,$BL$15:$BL$62))))*T247*IF(ISBLANK(Q247),1,Q247)+IFERROR(_xlfn.XLOOKUP("RECHERCHEX",TRIM(L247:AC247),L247:AC247),0),0))</f>
        <v/>
      </c>
      <c r="AL247" s="1030">
        <f t="shared" si="110"/>
        <v>0</v>
      </c>
      <c r="AM247" s="5254" t="str">
        <f t="shared" si="125"/>
        <v/>
      </c>
      <c r="AN247" s="1031">
        <f t="shared" si="111"/>
        <v>0</v>
      </c>
      <c r="AO247" s="1031">
        <f t="shared" si="112"/>
        <v>0</v>
      </c>
      <c r="AP247" s="1044">
        <f t="shared" si="113"/>
        <v>0</v>
      </c>
      <c r="AQ247" s="5257" t="str">
        <f t="shared" si="114"/>
        <v/>
      </c>
      <c r="AR247" s="1056"/>
      <c r="AS247" s="1056"/>
      <c r="AT247" s="1045">
        <f t="shared" si="115"/>
        <v>0</v>
      </c>
      <c r="AU247" s="1046">
        <f t="shared" si="116"/>
        <v>0</v>
      </c>
      <c r="AV247" s="1059" cm="1">
        <f t="array" ref="AV247">IF(AJ247&lt;&gt;1,0,IF(OR(AT247="",N(AT247)&lt;=0.000000001),"",IF(OR(AN247="",N(AN247)&lt;=0.000000001),0,IF(ISNUMBER(AT247),IFERROR(_xlfn.LET(_xlpm.ai_test,TRIM(AI247),_xlpm.r,IFERROR(_xlfn.XLOOKUP(_xlpm.ai_test,$BI$15:$BI$62,ROW($BI$15:$BI$62),0,1),IFERROR(_xlfn.XLOOKUP(_xlpm.ai_test,$BJ$15:$BJ$62,ROW($BJ$15:$BJ$62),0,1),_xlfn.XLOOKUP(_xlpm.ai_test,$BK$15:$BK$62,ROW($BK$15:$BK$62),0,1))),_xlpm.p,_xlpm.r-MIN(ROW($BI$15:$BI$62))+1,_xlpm.f,INDEX($BL$15:$BL$62,_xlpm.p),_xlpm.u,INDEX($BM$15:$BM$62,_xlpm.p),_xlpm.s,INDEX($BO$15:$BO$62,_xlpm.p),_xlpm.q,N(AT247)/_xlpm.f,IF(_xlpm.q&gt;=_xlpm.s,ROUND(_xlpm.q,1)&amp;" "&amp;_xlpm.ai_test&amp;" = "&amp;ROUND(_xlpm.q*_xlpm.f,1)&amp;" "&amp;_xlpm.u,ROUND(_xlpm.q,1)&amp;" "&amp;_xlpm.ai_test)),""),""))))</f>
        <v>0</v>
      </c>
      <c r="AW247" s="1047"/>
      <c r="AX247" s="1045">
        <f t="shared" si="117"/>
        <v>0</v>
      </c>
      <c r="AY247" s="1046" t="str">
        <f t="shared" si="118"/>
        <v/>
      </c>
      <c r="AZ247" s="1048">
        <f t="shared" si="123"/>
        <v>0</v>
      </c>
      <c r="BA247" s="1049" t="str">
        <f t="shared" si="119"/>
        <v/>
      </c>
      <c r="BB247" s="1038"/>
      <c r="BC247" s="1050">
        <f t="shared" si="124"/>
        <v>0</v>
      </c>
      <c r="BD247" s="1040" t="str">
        <f t="shared" si="120"/>
        <v/>
      </c>
      <c r="BE247" s="227" t="s">
        <v>22</v>
      </c>
      <c r="BF247" s="1019">
        <f t="shared" si="121"/>
        <v>0</v>
      </c>
      <c r="BG247" s="1020">
        <f t="shared" si="122"/>
        <v>0</v>
      </c>
      <c r="BH247"/>
      <c r="BI247" s="709"/>
      <c r="BJ247" s="709"/>
      <c r="BK247" s="709"/>
      <c r="BL247" s="709"/>
      <c r="BM247" s="709"/>
      <c r="BN247" s="709"/>
      <c r="BO247" s="709"/>
      <c r="BP247" s="709"/>
      <c r="BW247" s="959" t="str">
        <f t="shared" si="101"/>
        <v>►</v>
      </c>
      <c r="CB247"/>
      <c r="CC247" s="856"/>
      <c r="CK247" s="709"/>
      <c r="CS247" s="709"/>
      <c r="DA247" s="709"/>
      <c r="DB247" s="3">
        <v>1</v>
      </c>
    </row>
    <row r="248" spans="1:106" ht="21" customHeight="1">
      <c r="A248" s="936" t="s">
        <v>22</v>
      </c>
      <c r="B248" s="952" t="str">
        <f t="shared" si="100"/>
        <v>►</v>
      </c>
      <c r="C248" s="993" cm="1">
        <f t="array" ref="C248">SUMPRODUCT(LEN(D248:J248))</f>
        <v>0</v>
      </c>
      <c r="D248" s="167"/>
      <c r="E248" s="172"/>
      <c r="F248" s="172"/>
      <c r="G248" s="172"/>
      <c r="H248" s="172"/>
      <c r="I248" s="172"/>
      <c r="J248" s="173"/>
      <c r="K248" s="442"/>
      <c r="L248" s="104" t="s">
        <v>16</v>
      </c>
      <c r="M248" s="32" t="str">
        <f>M205</f>
        <v>N NOTRE BOUDIN NOIR | | Auteur &gt; Guy KRENZE - Eric GODDYN - Arnaud NICOLAS - CEPROC 2002</v>
      </c>
      <c r="N248" s="33">
        <f>N205</f>
        <v>16.34</v>
      </c>
      <c r="O248" s="32" t="str">
        <f>O205</f>
        <v>Kg</v>
      </c>
      <c r="P248" s="34" t="str">
        <f>P205</f>
        <v>Recette mère ► le Boudin en 4 déclinaisons</v>
      </c>
      <c r="Q248" s="142" t="s">
        <v>145</v>
      </c>
      <c r="R248" s="117" t="s">
        <v>107</v>
      </c>
      <c r="S248" s="141" t="s">
        <v>144</v>
      </c>
      <c r="T248" s="109" t="s">
        <v>150</v>
      </c>
      <c r="U248" s="109" t="s">
        <v>163</v>
      </c>
      <c r="V248" s="109" t="s">
        <v>103</v>
      </c>
      <c r="W248" s="109" t="s">
        <v>162</v>
      </c>
      <c r="X248" s="149" t="s">
        <v>160</v>
      </c>
      <c r="Y248" s="149" t="s">
        <v>117</v>
      </c>
      <c r="Z248" s="1061" t="s">
        <v>1831</v>
      </c>
      <c r="AA248" s="5211"/>
      <c r="AB248" s="1178"/>
      <c r="AC248" s="1179"/>
      <c r="AD248" s="227" t="s">
        <v>22</v>
      </c>
      <c r="AE248" s="1027" t="str">
        <f t="shared" si="104"/>
        <v>►</v>
      </c>
      <c r="AF248" s="1028" t="str">
        <f t="shared" si="105"/>
        <v/>
      </c>
      <c r="AG248" s="1029" t="str">
        <f t="shared" si="106"/>
        <v/>
      </c>
      <c r="AH248" s="1028" t="str">
        <f t="shared" si="107"/>
        <v/>
      </c>
      <c r="AI248" s="1029" t="str">
        <f t="shared" si="108"/>
        <v/>
      </c>
      <c r="AJ248" s="1029">
        <f t="shared" si="109"/>
        <v>0</v>
      </c>
      <c r="AK248" s="1043" t="str" cm="1">
        <f t="array" ref="AK248">IF(AE248&lt;&gt;"A","",IFERROR((IFERROR(_xlfn.XLOOKUP(TRIM(SUBSTITUTE(U248,CHAR(160)," ")),$BI$15:$BI$62,$BL$15:$BL$62),IFERROR(_xlfn.XLOOKUP(TRIM(SUBSTITUTE(U248,CHAR(160)," ")),$BJ$15:$BJ$62,$BL$15:$BL$62),_xlfn.XLOOKUP(TRIM(SUBSTITUTE(U248,CHAR(160)," ")),$BK$15:$BK$62,$BL$15:$BL$62))))*T248*IF(ISBLANK(Q248),1,Q248)+IFERROR(_xlfn.XLOOKUP("RECHERCHEX",TRIM(L248:AC248),L248:AC248),0),0))</f>
        <v/>
      </c>
      <c r="AL248" s="1030">
        <f t="shared" si="110"/>
        <v>0</v>
      </c>
      <c r="AM248" s="5254" t="str">
        <f t="shared" si="125"/>
        <v/>
      </c>
      <c r="AN248" s="1031">
        <f t="shared" si="111"/>
        <v>0</v>
      </c>
      <c r="AO248" s="1031">
        <f t="shared" si="112"/>
        <v>0</v>
      </c>
      <c r="AP248" s="1032">
        <f t="shared" si="113"/>
        <v>0</v>
      </c>
      <c r="AQ248" s="5255" t="str">
        <f t="shared" si="114"/>
        <v/>
      </c>
      <c r="AR248" s="1056"/>
      <c r="AS248" s="1056"/>
      <c r="AT248" s="1034">
        <f t="shared" si="115"/>
        <v>0</v>
      </c>
      <c r="AU248" s="1035">
        <f t="shared" si="116"/>
        <v>0</v>
      </c>
      <c r="AV248" s="1057" cm="1">
        <f t="array" ref="AV248">IF(AJ248&lt;&gt;1,0,IF(OR(AT248="",N(AT248)&lt;=0.000000001),"",IF(OR(AN248="",N(AN248)&lt;=0.000000001),0,IF(ISNUMBER(AT248),IFERROR(_xlfn.LET(_xlpm.ai_test,TRIM(AI248),_xlpm.r,IFERROR(_xlfn.XLOOKUP(_xlpm.ai_test,$BI$15:$BI$62,ROW($BI$15:$BI$62),0,1),IFERROR(_xlfn.XLOOKUP(_xlpm.ai_test,$BJ$15:$BJ$62,ROW($BJ$15:$BJ$62),0,1),_xlfn.XLOOKUP(_xlpm.ai_test,$BK$15:$BK$62,ROW($BK$15:$BK$62),0,1))),_xlpm.p,_xlpm.r-MIN(ROW($BI$15:$BI$62))+1,_xlpm.f,INDEX($BL$15:$BL$62,_xlpm.p),_xlpm.u,INDEX($BM$15:$BM$62,_xlpm.p),_xlpm.s,INDEX($BO$15:$BO$62,_xlpm.p),_xlpm.q,N(AT248)/_xlpm.f,IF(_xlpm.q&gt;=_xlpm.s,ROUND(_xlpm.q,1)&amp;" "&amp;_xlpm.ai_test&amp;" = "&amp;ROUND(_xlpm.q*_xlpm.f,1)&amp;" "&amp;_xlpm.u,ROUND(_xlpm.q,1)&amp;" "&amp;_xlpm.ai_test)),""),""))))</f>
        <v>0</v>
      </c>
      <c r="AW248" s="1047"/>
      <c r="AX248" s="1034">
        <f t="shared" si="117"/>
        <v>0</v>
      </c>
      <c r="AY248" s="1035" t="str">
        <f t="shared" si="118"/>
        <v/>
      </c>
      <c r="AZ248" s="1036">
        <f t="shared" si="123"/>
        <v>0</v>
      </c>
      <c r="BA248" s="1037" t="str">
        <f t="shared" si="119"/>
        <v/>
      </c>
      <c r="BB248" s="1038"/>
      <c r="BC248" s="1039">
        <f t="shared" si="124"/>
        <v>0</v>
      </c>
      <c r="BD248" s="1040" t="str">
        <f t="shared" si="120"/>
        <v/>
      </c>
      <c r="BE248" s="227" t="s">
        <v>22</v>
      </c>
      <c r="BF248" s="1019">
        <f t="shared" si="121"/>
        <v>0</v>
      </c>
      <c r="BG248" s="1020">
        <f t="shared" si="122"/>
        <v>0</v>
      </c>
      <c r="BH248"/>
      <c r="BI248" s="709"/>
      <c r="BJ248" s="709"/>
      <c r="BK248" s="709"/>
      <c r="BL248" s="709"/>
      <c r="BM248" s="709"/>
      <c r="BN248" s="709"/>
      <c r="BO248" s="709"/>
      <c r="BP248" s="709"/>
      <c r="BW248" s="959" t="str">
        <f t="shared" si="101"/>
        <v>►</v>
      </c>
      <c r="CB248"/>
      <c r="CC248" s="856"/>
      <c r="CK248" s="709"/>
      <c r="CS248" s="709"/>
      <c r="DA248" s="709"/>
      <c r="DB248" s="3">
        <v>1</v>
      </c>
    </row>
    <row r="249" spans="1:106" ht="21" customHeight="1">
      <c r="A249" s="936" t="s">
        <v>22</v>
      </c>
      <c r="B249" s="952" t="str">
        <f t="shared" si="100"/>
        <v>►</v>
      </c>
      <c r="C249" s="993" cm="1">
        <f t="array" ref="C249">SUMPRODUCT(LEN(D249:J249))</f>
        <v>0</v>
      </c>
      <c r="D249" s="167"/>
      <c r="E249" s="172"/>
      <c r="F249" s="172"/>
      <c r="G249" s="172"/>
      <c r="H249" s="172"/>
      <c r="I249" s="172"/>
      <c r="J249" s="173"/>
      <c r="K249" s="442"/>
      <c r="L249" s="104" t="s">
        <v>16</v>
      </c>
      <c r="M249" s="32" t="str">
        <f>M205</f>
        <v>N NOTRE BOUDIN NOIR | | Auteur &gt; Guy KRENZE - Eric GODDYN - Arnaud NICOLAS - CEPROC 2002</v>
      </c>
      <c r="N249" s="33">
        <f>N205</f>
        <v>16.34</v>
      </c>
      <c r="O249" s="32" t="str">
        <f>O205</f>
        <v>Kg</v>
      </c>
      <c r="P249" s="34" t="str">
        <f>P205</f>
        <v>Recette mère ► le Boudin en 4 déclinaisons</v>
      </c>
      <c r="Q249" s="912">
        <v>0.25</v>
      </c>
      <c r="R249" s="912">
        <v>0.5</v>
      </c>
      <c r="S249" s="913">
        <v>0</v>
      </c>
      <c r="T249" s="914">
        <v>0.2</v>
      </c>
      <c r="U249" s="914">
        <v>0.1</v>
      </c>
      <c r="V249" s="914">
        <v>0.22500000000000001</v>
      </c>
      <c r="W249" s="914">
        <v>1.4999999999999999E-2</v>
      </c>
      <c r="X249" s="914">
        <v>4.9299999999999995E-3</v>
      </c>
      <c r="Y249" s="914">
        <v>0.35</v>
      </c>
      <c r="Z249" s="915">
        <v>0.25</v>
      </c>
      <c r="AA249" s="5211"/>
      <c r="AB249" s="1178"/>
      <c r="AC249" s="1179"/>
      <c r="AD249" s="227" t="s">
        <v>22</v>
      </c>
      <c r="AE249" s="1027" t="str">
        <f t="shared" si="104"/>
        <v>►</v>
      </c>
      <c r="AF249" s="1028" t="str">
        <f t="shared" si="105"/>
        <v/>
      </c>
      <c r="AG249" s="1029" t="str">
        <f t="shared" si="106"/>
        <v/>
      </c>
      <c r="AH249" s="1028" t="str">
        <f t="shared" si="107"/>
        <v/>
      </c>
      <c r="AI249" s="1029" t="str">
        <f t="shared" si="108"/>
        <v/>
      </c>
      <c r="AJ249" s="1029">
        <f t="shared" si="109"/>
        <v>0</v>
      </c>
      <c r="AK249" s="1043" t="str" cm="1">
        <f t="array" ref="AK249">IF(AE249&lt;&gt;"A","",IFERROR((IFERROR(_xlfn.XLOOKUP(TRIM(SUBSTITUTE(U249,CHAR(160)," ")),$BI$15:$BI$62,$BL$15:$BL$62),IFERROR(_xlfn.XLOOKUP(TRIM(SUBSTITUTE(U249,CHAR(160)," ")),$BJ$15:$BJ$62,$BL$15:$BL$62),_xlfn.XLOOKUP(TRIM(SUBSTITUTE(U249,CHAR(160)," ")),$BK$15:$BK$62,$BL$15:$BL$62))))*T249*IF(ISBLANK(Q249),1,Q249)+IFERROR(_xlfn.XLOOKUP("RECHERCHEX",TRIM(L249:AC249),L249:AC249),0),0))</f>
        <v/>
      </c>
      <c r="AL249" s="1030">
        <f t="shared" si="110"/>
        <v>0</v>
      </c>
      <c r="AM249" s="5254" t="str">
        <f t="shared" si="125"/>
        <v/>
      </c>
      <c r="AN249" s="1031">
        <f t="shared" si="111"/>
        <v>0</v>
      </c>
      <c r="AO249" s="1031">
        <f t="shared" si="112"/>
        <v>0</v>
      </c>
      <c r="AP249" s="1044">
        <f t="shared" si="113"/>
        <v>0</v>
      </c>
      <c r="AQ249" s="5257" t="str">
        <f t="shared" si="114"/>
        <v/>
      </c>
      <c r="AR249" s="1056"/>
      <c r="AS249" s="1056"/>
      <c r="AT249" s="1045">
        <f t="shared" si="115"/>
        <v>0</v>
      </c>
      <c r="AU249" s="1046">
        <f t="shared" si="116"/>
        <v>0</v>
      </c>
      <c r="AV249" s="1059" cm="1">
        <f t="array" ref="AV249">IF(AJ249&lt;&gt;1,0,IF(OR(AT249="",N(AT249)&lt;=0.000000001),"",IF(OR(AN249="",N(AN249)&lt;=0.000000001),0,IF(ISNUMBER(AT249),IFERROR(_xlfn.LET(_xlpm.ai_test,TRIM(AI249),_xlpm.r,IFERROR(_xlfn.XLOOKUP(_xlpm.ai_test,$BI$15:$BI$62,ROW($BI$15:$BI$62),0,1),IFERROR(_xlfn.XLOOKUP(_xlpm.ai_test,$BJ$15:$BJ$62,ROW($BJ$15:$BJ$62),0,1),_xlfn.XLOOKUP(_xlpm.ai_test,$BK$15:$BK$62,ROW($BK$15:$BK$62),0,1))),_xlpm.p,_xlpm.r-MIN(ROW($BI$15:$BI$62))+1,_xlpm.f,INDEX($BL$15:$BL$62,_xlpm.p),_xlpm.u,INDEX($BM$15:$BM$62,_xlpm.p),_xlpm.s,INDEX($BO$15:$BO$62,_xlpm.p),_xlpm.q,N(AT249)/_xlpm.f,IF(_xlpm.q&gt;=_xlpm.s,ROUND(_xlpm.q,1)&amp;" "&amp;_xlpm.ai_test&amp;" = "&amp;ROUND(_xlpm.q*_xlpm.f,1)&amp;" "&amp;_xlpm.u,ROUND(_xlpm.q,1)&amp;" "&amp;_xlpm.ai_test)),""),""))))</f>
        <v>0</v>
      </c>
      <c r="AW249" s="1047"/>
      <c r="AX249" s="1045">
        <f t="shared" si="117"/>
        <v>0</v>
      </c>
      <c r="AY249" s="1046" t="str">
        <f t="shared" si="118"/>
        <v/>
      </c>
      <c r="AZ249" s="1048">
        <f t="shared" si="123"/>
        <v>0</v>
      </c>
      <c r="BA249" s="1049" t="str">
        <f t="shared" si="119"/>
        <v/>
      </c>
      <c r="BB249" s="1038"/>
      <c r="BC249" s="1050">
        <f t="shared" si="124"/>
        <v>0</v>
      </c>
      <c r="BD249" s="1040" t="str">
        <f t="shared" si="120"/>
        <v/>
      </c>
      <c r="BE249" s="227" t="s">
        <v>22</v>
      </c>
      <c r="BF249" s="1019">
        <f t="shared" si="121"/>
        <v>0</v>
      </c>
      <c r="BG249" s="1020">
        <f t="shared" si="122"/>
        <v>0</v>
      </c>
      <c r="BH249"/>
      <c r="BI249" s="709"/>
      <c r="BJ249" s="709"/>
      <c r="BK249" s="709"/>
      <c r="BL249" s="709"/>
      <c r="BM249" s="709"/>
      <c r="BN249" s="709"/>
      <c r="BO249" s="709"/>
      <c r="BP249" s="709"/>
      <c r="BW249" s="959" t="str">
        <f t="shared" si="101"/>
        <v>►</v>
      </c>
      <c r="CB249"/>
      <c r="CC249" s="856"/>
      <c r="CK249" s="709"/>
      <c r="CS249" s="709"/>
      <c r="DA249" s="709"/>
      <c r="DB249" s="3">
        <v>1</v>
      </c>
    </row>
    <row r="250" spans="1:106" ht="21" customHeight="1">
      <c r="A250" s="936" t="s">
        <v>22</v>
      </c>
      <c r="B250" s="952" t="str">
        <f t="shared" si="100"/>
        <v>►</v>
      </c>
      <c r="C250" s="993" cm="1">
        <f t="array" ref="C250">SUMPRODUCT(LEN(D250:J250))</f>
        <v>0</v>
      </c>
      <c r="D250" s="167"/>
      <c r="E250" s="172"/>
      <c r="F250" s="172"/>
      <c r="G250" s="172"/>
      <c r="H250" s="172"/>
      <c r="I250" s="172"/>
      <c r="J250" s="173"/>
      <c r="K250" s="442"/>
      <c r="L250" s="104" t="s">
        <v>16</v>
      </c>
      <c r="M250" s="32" t="str">
        <f>M205</f>
        <v>N NOTRE BOUDIN NOIR | | Auteur &gt; Guy KRENZE - Eric GODDYN - Arnaud NICOLAS - CEPROC 2002</v>
      </c>
      <c r="N250" s="33">
        <f>N205</f>
        <v>16.34</v>
      </c>
      <c r="O250" s="32" t="str">
        <f>O205</f>
        <v>Kg</v>
      </c>
      <c r="P250" s="34" t="str">
        <f>P205</f>
        <v>Recette mère ► le Boudin en 4 déclinaisons</v>
      </c>
      <c r="Q250" s="5135" t="str">
        <f>Q206</f>
        <v>Col.6</v>
      </c>
      <c r="R250" s="5135" t="str">
        <f>R206</f>
        <v>Col.7</v>
      </c>
      <c r="S250" s="5136" t="s">
        <v>3295</v>
      </c>
      <c r="T250" s="5136"/>
      <c r="U250" s="5136"/>
      <c r="V250" s="5136"/>
      <c r="W250" s="5136"/>
      <c r="X250" s="5136"/>
      <c r="Y250" s="5136"/>
      <c r="Z250" s="5137"/>
      <c r="AA250" s="5211"/>
      <c r="AB250" s="1178"/>
      <c r="AC250" s="1179"/>
      <c r="AD250" s="227" t="s">
        <v>22</v>
      </c>
      <c r="AE250" s="1027" t="str">
        <f t="shared" si="104"/>
        <v>►</v>
      </c>
      <c r="AF250" s="1028" t="str">
        <f t="shared" si="105"/>
        <v/>
      </c>
      <c r="AG250" s="1029" t="str">
        <f t="shared" si="106"/>
        <v/>
      </c>
      <c r="AH250" s="1028" t="str">
        <f t="shared" si="107"/>
        <v/>
      </c>
      <c r="AI250" s="1029" t="str">
        <f t="shared" si="108"/>
        <v/>
      </c>
      <c r="AJ250" s="1029">
        <f t="shared" si="109"/>
        <v>0</v>
      </c>
      <c r="AK250" s="1043" t="str" cm="1">
        <f t="array" ref="AK250">IF(AE250&lt;&gt;"A","",IFERROR((IFERROR(_xlfn.XLOOKUP(TRIM(SUBSTITUTE(U250,CHAR(160)," ")),$BI$15:$BI$62,$BL$15:$BL$62),IFERROR(_xlfn.XLOOKUP(TRIM(SUBSTITUTE(U250,CHAR(160)," ")),$BJ$15:$BJ$62,$BL$15:$BL$62),_xlfn.XLOOKUP(TRIM(SUBSTITUTE(U250,CHAR(160)," ")),$BK$15:$BK$62,$BL$15:$BL$62))))*T250*IF(ISBLANK(Q250),1,Q250)+IFERROR(_xlfn.XLOOKUP("RECHERCHEX",TRIM(L250:AC250),L250:AC250),0),0))</f>
        <v/>
      </c>
      <c r="AL250" s="1030">
        <f t="shared" si="110"/>
        <v>0</v>
      </c>
      <c r="AM250" s="5254" t="str">
        <f t="shared" si="125"/>
        <v/>
      </c>
      <c r="AN250" s="1031">
        <f t="shared" si="111"/>
        <v>0</v>
      </c>
      <c r="AO250" s="1031">
        <f t="shared" si="112"/>
        <v>0</v>
      </c>
      <c r="AP250" s="1032">
        <f t="shared" si="113"/>
        <v>0</v>
      </c>
      <c r="AQ250" s="5255" t="str">
        <f t="shared" si="114"/>
        <v/>
      </c>
      <c r="AR250" s="1056"/>
      <c r="AS250" s="1056"/>
      <c r="AT250" s="1034">
        <f t="shared" si="115"/>
        <v>0</v>
      </c>
      <c r="AU250" s="1035">
        <f t="shared" si="116"/>
        <v>0</v>
      </c>
      <c r="AV250" s="1057" cm="1">
        <f t="array" ref="AV250">IF(AJ250&lt;&gt;1,0,IF(OR(AT250="",N(AT250)&lt;=0.000000001),"",IF(OR(AN250="",N(AN250)&lt;=0.000000001),0,IF(ISNUMBER(AT250),IFERROR(_xlfn.LET(_xlpm.ai_test,TRIM(AI250),_xlpm.r,IFERROR(_xlfn.XLOOKUP(_xlpm.ai_test,$BI$15:$BI$62,ROW($BI$15:$BI$62),0,1),IFERROR(_xlfn.XLOOKUP(_xlpm.ai_test,$BJ$15:$BJ$62,ROW($BJ$15:$BJ$62),0,1),_xlfn.XLOOKUP(_xlpm.ai_test,$BK$15:$BK$62,ROW($BK$15:$BK$62),0,1))),_xlpm.p,_xlpm.r-MIN(ROW($BI$15:$BI$62))+1,_xlpm.f,INDEX($BL$15:$BL$62,_xlpm.p),_xlpm.u,INDEX($BM$15:$BM$62,_xlpm.p),_xlpm.s,INDEX($BO$15:$BO$62,_xlpm.p),_xlpm.q,N(AT250)/_xlpm.f,IF(_xlpm.q&gt;=_xlpm.s,ROUND(_xlpm.q,1)&amp;" "&amp;_xlpm.ai_test&amp;" = "&amp;ROUND(_xlpm.q*_xlpm.f,1)&amp;" "&amp;_xlpm.u,ROUND(_xlpm.q,1)&amp;" "&amp;_xlpm.ai_test)),""),""))))</f>
        <v>0</v>
      </c>
      <c r="AW250" s="1047"/>
      <c r="AX250" s="1034">
        <f t="shared" si="117"/>
        <v>0</v>
      </c>
      <c r="AY250" s="1035" t="str">
        <f t="shared" si="118"/>
        <v/>
      </c>
      <c r="AZ250" s="1036">
        <f t="shared" si="123"/>
        <v>0</v>
      </c>
      <c r="BA250" s="1037" t="str">
        <f t="shared" si="119"/>
        <v/>
      </c>
      <c r="BB250" s="1038"/>
      <c r="BC250" s="1039">
        <f t="shared" si="124"/>
        <v>0</v>
      </c>
      <c r="BD250" s="1040" t="str">
        <f t="shared" si="120"/>
        <v/>
      </c>
      <c r="BE250" s="227" t="s">
        <v>22</v>
      </c>
      <c r="BF250" s="1019">
        <f t="shared" si="121"/>
        <v>0</v>
      </c>
      <c r="BG250" s="1020">
        <f t="shared" si="122"/>
        <v>0</v>
      </c>
      <c r="BH250"/>
      <c r="BI250" s="709"/>
      <c r="BJ250" s="709"/>
      <c r="BK250" s="709"/>
      <c r="BL250" s="709"/>
      <c r="BM250" s="709"/>
      <c r="BN250" s="709"/>
      <c r="BO250" s="709"/>
      <c r="BP250" s="709"/>
      <c r="BW250" s="959" t="str">
        <f t="shared" si="101"/>
        <v>►</v>
      </c>
      <c r="CB250"/>
      <c r="CC250" s="856"/>
      <c r="CK250" s="709"/>
      <c r="CS250" s="709"/>
      <c r="DA250" s="709"/>
      <c r="DB250" s="3">
        <v>1</v>
      </c>
    </row>
    <row r="251" spans="1:106" ht="21" customHeight="1">
      <c r="A251" s="936" t="s">
        <v>22</v>
      </c>
      <c r="B251" s="952" t="str">
        <f t="shared" si="100"/>
        <v>A</v>
      </c>
      <c r="C251" s="993" cm="1">
        <f t="array" ref="C251">SUMPRODUCT(LEN(D251:J251))</f>
        <v>0</v>
      </c>
      <c r="D251" s="167"/>
      <c r="E251" s="172"/>
      <c r="F251" s="172"/>
      <c r="G251" s="172"/>
      <c r="H251" s="172"/>
      <c r="I251" s="172"/>
      <c r="J251" s="173"/>
      <c r="K251" s="442"/>
      <c r="L251" s="104" t="s">
        <v>11</v>
      </c>
      <c r="M251" s="5146" t="str">
        <f>M205</f>
        <v>N NOTRE BOUDIN NOIR | | Auteur &gt; Guy KRENZE - Eric GODDYN - Arnaud NICOLAS - CEPROC 2002</v>
      </c>
      <c r="N251" s="5146">
        <f>N205</f>
        <v>16.34</v>
      </c>
      <c r="O251" s="5147" t="str">
        <f>O205</f>
        <v>Kg</v>
      </c>
      <c r="P251" s="5148" t="str">
        <f>P205</f>
        <v>Recette mère ► le Boudin en 4 déclinaisons</v>
      </c>
      <c r="Q251" s="5149">
        <v>0</v>
      </c>
      <c r="R251" s="976" t="s">
        <v>3328</v>
      </c>
      <c r="S251" s="162"/>
      <c r="T251" s="162"/>
      <c r="U251" s="5150"/>
      <c r="V251" s="5150"/>
      <c r="W251" s="5150"/>
      <c r="X251" s="5150"/>
      <c r="Y251" s="5151" t="s">
        <v>165</v>
      </c>
      <c r="Z251" s="1484" t="s">
        <v>3276</v>
      </c>
      <c r="AA251" s="5211"/>
      <c r="AB251" s="1178"/>
      <c r="AC251" s="1179"/>
      <c r="AD251" s="227" t="s">
        <v>22</v>
      </c>
      <c r="AE251" s="1027" t="str">
        <f t="shared" si="104"/>
        <v>►</v>
      </c>
      <c r="AF251" s="1028" t="str">
        <f t="shared" si="105"/>
        <v/>
      </c>
      <c r="AG251" s="1029" t="str">
        <f t="shared" si="106"/>
        <v/>
      </c>
      <c r="AH251" s="1028" t="str">
        <f t="shared" si="107"/>
        <v/>
      </c>
      <c r="AI251" s="1029" t="str">
        <f t="shared" si="108"/>
        <v/>
      </c>
      <c r="AJ251" s="1029">
        <f t="shared" si="109"/>
        <v>0</v>
      </c>
      <c r="AK251" s="1043" t="str" cm="1">
        <f t="array" ref="AK251">IF(AE251&lt;&gt;"A","",IFERROR((IFERROR(_xlfn.XLOOKUP(TRIM(SUBSTITUTE(U251,CHAR(160)," ")),$BI$15:$BI$62,$BL$15:$BL$62),IFERROR(_xlfn.XLOOKUP(TRIM(SUBSTITUTE(U251,CHAR(160)," ")),$BJ$15:$BJ$62,$BL$15:$BL$62),_xlfn.XLOOKUP(TRIM(SUBSTITUTE(U251,CHAR(160)," ")),$BK$15:$BK$62,$BL$15:$BL$62))))*T251*IF(ISBLANK(Q251),1,Q251)+IFERROR(_xlfn.XLOOKUP("RECHERCHEX",TRIM(L251:AC251),L251:AC251),0),0))</f>
        <v/>
      </c>
      <c r="AL251" s="1030">
        <f t="shared" si="110"/>
        <v>0</v>
      </c>
      <c r="AM251" s="5254" t="str">
        <f t="shared" si="125"/>
        <v/>
      </c>
      <c r="AN251" s="1031">
        <f t="shared" si="111"/>
        <v>0</v>
      </c>
      <c r="AO251" s="1031">
        <f t="shared" si="112"/>
        <v>0</v>
      </c>
      <c r="AP251" s="1044">
        <f t="shared" si="113"/>
        <v>0</v>
      </c>
      <c r="AQ251" s="5257" t="str">
        <f t="shared" si="114"/>
        <v/>
      </c>
      <c r="AR251" s="1056"/>
      <c r="AS251" s="1056"/>
      <c r="AT251" s="1045">
        <f t="shared" si="115"/>
        <v>0</v>
      </c>
      <c r="AU251" s="1046">
        <f t="shared" si="116"/>
        <v>0</v>
      </c>
      <c r="AV251" s="1059" cm="1">
        <f t="array" ref="AV251">IF(AJ251&lt;&gt;1,0,IF(OR(AT251="",N(AT251)&lt;=0.000000001),"",IF(OR(AN251="",N(AN251)&lt;=0.000000001),0,IF(ISNUMBER(AT251),IFERROR(_xlfn.LET(_xlpm.ai_test,TRIM(AI251),_xlpm.r,IFERROR(_xlfn.XLOOKUP(_xlpm.ai_test,$BI$15:$BI$62,ROW($BI$15:$BI$62),0,1),IFERROR(_xlfn.XLOOKUP(_xlpm.ai_test,$BJ$15:$BJ$62,ROW($BJ$15:$BJ$62),0,1),_xlfn.XLOOKUP(_xlpm.ai_test,$BK$15:$BK$62,ROW($BK$15:$BK$62),0,1))),_xlpm.p,_xlpm.r-MIN(ROW($BI$15:$BI$62))+1,_xlpm.f,INDEX($BL$15:$BL$62,_xlpm.p),_xlpm.u,INDEX($BM$15:$BM$62,_xlpm.p),_xlpm.s,INDEX($BO$15:$BO$62,_xlpm.p),_xlpm.q,N(AT251)/_xlpm.f,IF(_xlpm.q&gt;=_xlpm.s,ROUND(_xlpm.q,1)&amp;" "&amp;_xlpm.ai_test&amp;" = "&amp;ROUND(_xlpm.q*_xlpm.f,1)&amp;" "&amp;_xlpm.u,ROUND(_xlpm.q,1)&amp;" "&amp;_xlpm.ai_test)),""),""))))</f>
        <v>0</v>
      </c>
      <c r="AW251" s="1047"/>
      <c r="AX251" s="1045">
        <f t="shared" si="117"/>
        <v>0</v>
      </c>
      <c r="AY251" s="1046" t="str">
        <f t="shared" si="118"/>
        <v/>
      </c>
      <c r="AZ251" s="1048">
        <f t="shared" si="123"/>
        <v>0</v>
      </c>
      <c r="BA251" s="1049" t="str">
        <f t="shared" si="119"/>
        <v/>
      </c>
      <c r="BB251" s="1038"/>
      <c r="BC251" s="1050">
        <f t="shared" si="124"/>
        <v>0</v>
      </c>
      <c r="BD251" s="1040" t="str">
        <f t="shared" si="120"/>
        <v/>
      </c>
      <c r="BE251" s="227" t="s">
        <v>22</v>
      </c>
      <c r="BF251" s="1019">
        <f t="shared" si="121"/>
        <v>0</v>
      </c>
      <c r="BG251" s="1020">
        <f t="shared" si="122"/>
        <v>0</v>
      </c>
      <c r="BH251"/>
      <c r="BI251" s="709"/>
      <c r="BJ251" s="709"/>
      <c r="BK251" s="709"/>
      <c r="BL251" s="709"/>
      <c r="BM251" s="709"/>
      <c r="BN251" s="709"/>
      <c r="BO251" s="709"/>
      <c r="BP251" s="709"/>
      <c r="BW251" s="959" t="str">
        <f t="shared" si="101"/>
        <v>►</v>
      </c>
      <c r="CB251"/>
      <c r="CC251" s="856"/>
      <c r="CK251" s="709"/>
      <c r="CS251" s="709"/>
      <c r="DA251" s="709"/>
      <c r="DB251" s="3">
        <v>1</v>
      </c>
    </row>
    <row r="252" spans="1:106" ht="21" customHeight="1">
      <c r="A252" s="936" t="s">
        <v>22</v>
      </c>
      <c r="B252" s="952" t="str">
        <f t="shared" si="100"/>
        <v>A</v>
      </c>
      <c r="C252" s="993" cm="1">
        <f t="array" ref="C252">SUMPRODUCT(LEN(D252:J252))</f>
        <v>0</v>
      </c>
      <c r="D252" s="167"/>
      <c r="E252" s="172"/>
      <c r="F252" s="172"/>
      <c r="G252" s="172"/>
      <c r="H252" s="172"/>
      <c r="I252" s="172"/>
      <c r="J252" s="173"/>
      <c r="K252" s="442"/>
      <c r="L252" s="104" t="str">
        <f>IF(COUNTIF(R252:V252,"&lt;&gt;")&gt;0,"A","►")</f>
        <v>A</v>
      </c>
      <c r="M252" s="5146" t="str">
        <f>M205</f>
        <v>N NOTRE BOUDIN NOIR | | Auteur &gt; Guy KRENZE - Eric GODDYN - Arnaud NICOLAS - CEPROC 2002</v>
      </c>
      <c r="N252" s="5146">
        <f>N205</f>
        <v>16.34</v>
      </c>
      <c r="O252" s="5147" t="str">
        <f>O205</f>
        <v>Kg</v>
      </c>
      <c r="P252" s="5148" t="str">
        <f>P205</f>
        <v>Recette mère ► le Boudin en 4 déclinaisons</v>
      </c>
      <c r="Q252" s="5128">
        <f>IF(ISBLANK(R252),"",LARGE(Q251:Q251,1)+1)</f>
        <v>1</v>
      </c>
      <c r="R252" s="5040" t="s">
        <v>13085</v>
      </c>
      <c r="S252" s="172"/>
      <c r="T252" s="172"/>
      <c r="U252" s="172"/>
      <c r="V252" s="172"/>
      <c r="W252" s="172"/>
      <c r="X252" s="172"/>
      <c r="Y252" s="1474" t="s">
        <v>168</v>
      </c>
      <c r="Z252" s="1482" t="s">
        <v>668</v>
      </c>
      <c r="AA252" s="5211"/>
      <c r="AB252" s="1178"/>
      <c r="AC252" s="1179"/>
      <c r="AD252" s="227" t="s">
        <v>22</v>
      </c>
      <c r="AE252" s="1027" t="str">
        <f t="shared" si="104"/>
        <v>►</v>
      </c>
      <c r="AF252" s="1028" t="str">
        <f t="shared" si="105"/>
        <v/>
      </c>
      <c r="AG252" s="1029" t="str">
        <f t="shared" si="106"/>
        <v/>
      </c>
      <c r="AH252" s="1028" t="str">
        <f t="shared" si="107"/>
        <v/>
      </c>
      <c r="AI252" s="1029" t="str">
        <f t="shared" si="108"/>
        <v/>
      </c>
      <c r="AJ252" s="1029">
        <f t="shared" si="109"/>
        <v>0</v>
      </c>
      <c r="AK252" s="1043" t="str" cm="1">
        <f t="array" ref="AK252">IF(AE252&lt;&gt;"A","",IFERROR((IFERROR(_xlfn.XLOOKUP(TRIM(SUBSTITUTE(U252,CHAR(160)," ")),$BI$15:$BI$62,$BL$15:$BL$62),IFERROR(_xlfn.XLOOKUP(TRIM(SUBSTITUTE(U252,CHAR(160)," ")),$BJ$15:$BJ$62,$BL$15:$BL$62),_xlfn.XLOOKUP(TRIM(SUBSTITUTE(U252,CHAR(160)," ")),$BK$15:$BK$62,$BL$15:$BL$62))))*T252*IF(ISBLANK(Q252),1,Q252)+IFERROR(_xlfn.XLOOKUP("RECHERCHEX",TRIM(L252:AC252),L252:AC252),0),0))</f>
        <v/>
      </c>
      <c r="AL252" s="1030">
        <f t="shared" si="110"/>
        <v>0</v>
      </c>
      <c r="AM252" s="5254" t="str">
        <f t="shared" si="125"/>
        <v/>
      </c>
      <c r="AN252" s="1031">
        <f t="shared" si="111"/>
        <v>0</v>
      </c>
      <c r="AO252" s="1031">
        <f t="shared" si="112"/>
        <v>0</v>
      </c>
      <c r="AP252" s="1032">
        <f t="shared" si="113"/>
        <v>0</v>
      </c>
      <c r="AQ252" s="5255" t="str">
        <f t="shared" si="114"/>
        <v/>
      </c>
      <c r="AR252" s="1056"/>
      <c r="AS252" s="1056"/>
      <c r="AT252" s="1034">
        <f t="shared" si="115"/>
        <v>0</v>
      </c>
      <c r="AU252" s="1035">
        <f t="shared" si="116"/>
        <v>0</v>
      </c>
      <c r="AV252" s="1057" cm="1">
        <f t="array" ref="AV252">IF(AJ252&lt;&gt;1,0,IF(OR(AT252="",N(AT252)&lt;=0.000000001),"",IF(OR(AN252="",N(AN252)&lt;=0.000000001),0,IF(ISNUMBER(AT252),IFERROR(_xlfn.LET(_xlpm.ai_test,TRIM(AI252),_xlpm.r,IFERROR(_xlfn.XLOOKUP(_xlpm.ai_test,$BI$15:$BI$62,ROW($BI$15:$BI$62),0,1),IFERROR(_xlfn.XLOOKUP(_xlpm.ai_test,$BJ$15:$BJ$62,ROW($BJ$15:$BJ$62),0,1),_xlfn.XLOOKUP(_xlpm.ai_test,$BK$15:$BK$62,ROW($BK$15:$BK$62),0,1))),_xlpm.p,_xlpm.r-MIN(ROW($BI$15:$BI$62))+1,_xlpm.f,INDEX($BL$15:$BL$62,_xlpm.p),_xlpm.u,INDEX($BM$15:$BM$62,_xlpm.p),_xlpm.s,INDEX($BO$15:$BO$62,_xlpm.p),_xlpm.q,N(AT252)/_xlpm.f,IF(_xlpm.q&gt;=_xlpm.s,ROUND(_xlpm.q,1)&amp;" "&amp;_xlpm.ai_test&amp;" = "&amp;ROUND(_xlpm.q*_xlpm.f,1)&amp;" "&amp;_xlpm.u,ROUND(_xlpm.q,1)&amp;" "&amp;_xlpm.ai_test)),""),""))))</f>
        <v>0</v>
      </c>
      <c r="AW252" s="1047"/>
      <c r="AX252" s="1034">
        <f t="shared" si="117"/>
        <v>0</v>
      </c>
      <c r="AY252" s="1035" t="str">
        <f t="shared" si="118"/>
        <v/>
      </c>
      <c r="AZ252" s="1036">
        <f t="shared" si="123"/>
        <v>0</v>
      </c>
      <c r="BA252" s="1037" t="str">
        <f t="shared" si="119"/>
        <v/>
      </c>
      <c r="BB252" s="1038"/>
      <c r="BC252" s="1039">
        <f t="shared" si="124"/>
        <v>0</v>
      </c>
      <c r="BD252" s="1040" t="str">
        <f t="shared" si="120"/>
        <v/>
      </c>
      <c r="BE252" s="227" t="s">
        <v>22</v>
      </c>
      <c r="BF252" s="1019">
        <f t="shared" si="121"/>
        <v>0</v>
      </c>
      <c r="BG252" s="1020">
        <f t="shared" si="122"/>
        <v>0</v>
      </c>
      <c r="BH252"/>
      <c r="BI252" s="709"/>
      <c r="BJ252" s="709"/>
      <c r="BK252" s="709"/>
      <c r="BL252" s="709"/>
      <c r="BM252" s="709"/>
      <c r="BN252" s="709"/>
      <c r="BO252" s="709"/>
      <c r="BP252" s="709"/>
      <c r="BW252" s="959" t="str">
        <f t="shared" si="101"/>
        <v>►</v>
      </c>
      <c r="CB252"/>
      <c r="CC252" s="856"/>
      <c r="CK252" s="709"/>
      <c r="CS252" s="709"/>
      <c r="DA252" s="709"/>
      <c r="DB252" s="3">
        <v>1</v>
      </c>
    </row>
    <row r="253" spans="1:106" ht="21" customHeight="1">
      <c r="A253" s="936" t="s">
        <v>22</v>
      </c>
      <c r="B253" s="952" t="str">
        <f t="shared" si="100"/>
        <v>A</v>
      </c>
      <c r="C253" s="993" cm="1">
        <f t="array" ref="C253">SUMPRODUCT(LEN(D253:J253))</f>
        <v>0</v>
      </c>
      <c r="D253" s="167"/>
      <c r="E253" s="172"/>
      <c r="F253" s="172"/>
      <c r="G253" s="172"/>
      <c r="H253" s="172"/>
      <c r="I253" s="172"/>
      <c r="J253" s="173"/>
      <c r="K253" s="442"/>
      <c r="L253" s="104" t="str">
        <f t="shared" ref="L253:L285" si="128">IF(COUNTIF(R253:V253,"&lt;&gt;")&gt;0,"A","►")</f>
        <v>A</v>
      </c>
      <c r="M253" s="157" t="str">
        <f>M205</f>
        <v>N NOTRE BOUDIN NOIR | | Auteur &gt; Guy KRENZE - Eric GODDYN - Arnaud NICOLAS - CEPROC 2002</v>
      </c>
      <c r="N253" s="157">
        <f>N205</f>
        <v>16.34</v>
      </c>
      <c r="O253" s="158" t="str">
        <f>O205</f>
        <v>Kg</v>
      </c>
      <c r="P253" s="159" t="str">
        <f>P205</f>
        <v>Recette mère ► le Boudin en 4 déclinaisons</v>
      </c>
      <c r="Q253" s="5128">
        <f>IF(ISBLANK(R253),"",LARGE(Q251:Q252,1)+1)</f>
        <v>2</v>
      </c>
      <c r="R253" s="5040" t="s">
        <v>13086</v>
      </c>
      <c r="S253" s="172"/>
      <c r="T253" s="172"/>
      <c r="U253" s="172"/>
      <c r="V253" s="172"/>
      <c r="W253" s="172"/>
      <c r="X253" s="172"/>
      <c r="Y253" s="172"/>
      <c r="Z253" s="555"/>
      <c r="AA253" s="5211"/>
      <c r="AB253" s="1178"/>
      <c r="AC253" s="1179"/>
      <c r="AD253" s="227" t="s">
        <v>22</v>
      </c>
      <c r="AE253" s="1027" t="str">
        <f t="shared" si="104"/>
        <v>►</v>
      </c>
      <c r="AF253" s="1028" t="str">
        <f t="shared" si="105"/>
        <v/>
      </c>
      <c r="AG253" s="1029" t="str">
        <f t="shared" si="106"/>
        <v/>
      </c>
      <c r="AH253" s="1028" t="str">
        <f t="shared" si="107"/>
        <v/>
      </c>
      <c r="AI253" s="1029" t="str">
        <f t="shared" si="108"/>
        <v/>
      </c>
      <c r="AJ253" s="1029">
        <f t="shared" si="109"/>
        <v>0</v>
      </c>
      <c r="AK253" s="1043" t="str" cm="1">
        <f t="array" ref="AK253">IF(AE253&lt;&gt;"A","",IFERROR((IFERROR(_xlfn.XLOOKUP(TRIM(SUBSTITUTE(U253,CHAR(160)," ")),$BI$15:$BI$62,$BL$15:$BL$62),IFERROR(_xlfn.XLOOKUP(TRIM(SUBSTITUTE(U253,CHAR(160)," ")),$BJ$15:$BJ$62,$BL$15:$BL$62),_xlfn.XLOOKUP(TRIM(SUBSTITUTE(U253,CHAR(160)," ")),$BK$15:$BK$62,$BL$15:$BL$62))))*T253*IF(ISBLANK(Q253),1,Q253)+IFERROR(_xlfn.XLOOKUP("RECHERCHEX",TRIM(L253:AC253),L253:AC253),0),0))</f>
        <v/>
      </c>
      <c r="AL253" s="1030">
        <f t="shared" si="110"/>
        <v>0</v>
      </c>
      <c r="AM253" s="5254" t="str">
        <f t="shared" si="125"/>
        <v/>
      </c>
      <c r="AN253" s="1031">
        <f t="shared" si="111"/>
        <v>0</v>
      </c>
      <c r="AO253" s="1031">
        <f t="shared" si="112"/>
        <v>0</v>
      </c>
      <c r="AP253" s="1044">
        <f t="shared" si="113"/>
        <v>0</v>
      </c>
      <c r="AQ253" s="5257" t="str">
        <f t="shared" si="114"/>
        <v/>
      </c>
      <c r="AR253" s="1056"/>
      <c r="AS253" s="1056"/>
      <c r="AT253" s="1045">
        <f t="shared" si="115"/>
        <v>0</v>
      </c>
      <c r="AU253" s="1046">
        <f t="shared" si="116"/>
        <v>0</v>
      </c>
      <c r="AV253" s="1059" cm="1">
        <f t="array" ref="AV253">IF(AJ253&lt;&gt;1,0,IF(OR(AT253="",N(AT253)&lt;=0.000000001),"",IF(OR(AN253="",N(AN253)&lt;=0.000000001),0,IF(ISNUMBER(AT253),IFERROR(_xlfn.LET(_xlpm.ai_test,TRIM(AI253),_xlpm.r,IFERROR(_xlfn.XLOOKUP(_xlpm.ai_test,$BI$15:$BI$62,ROW($BI$15:$BI$62),0,1),IFERROR(_xlfn.XLOOKUP(_xlpm.ai_test,$BJ$15:$BJ$62,ROW($BJ$15:$BJ$62),0,1),_xlfn.XLOOKUP(_xlpm.ai_test,$BK$15:$BK$62,ROW($BK$15:$BK$62),0,1))),_xlpm.p,_xlpm.r-MIN(ROW($BI$15:$BI$62))+1,_xlpm.f,INDEX($BL$15:$BL$62,_xlpm.p),_xlpm.u,INDEX($BM$15:$BM$62,_xlpm.p),_xlpm.s,INDEX($BO$15:$BO$62,_xlpm.p),_xlpm.q,N(AT253)/_xlpm.f,IF(_xlpm.q&gt;=_xlpm.s,ROUND(_xlpm.q,1)&amp;" "&amp;_xlpm.ai_test&amp;" = "&amp;ROUND(_xlpm.q*_xlpm.f,1)&amp;" "&amp;_xlpm.u,ROUND(_xlpm.q,1)&amp;" "&amp;_xlpm.ai_test)),""),""))))</f>
        <v>0</v>
      </c>
      <c r="AW253" s="1047"/>
      <c r="AX253" s="1045">
        <f t="shared" si="117"/>
        <v>0</v>
      </c>
      <c r="AY253" s="1046" t="str">
        <f t="shared" si="118"/>
        <v/>
      </c>
      <c r="AZ253" s="1048">
        <f t="shared" si="123"/>
        <v>0</v>
      </c>
      <c r="BA253" s="1049" t="str">
        <f t="shared" si="119"/>
        <v/>
      </c>
      <c r="BB253" s="1038"/>
      <c r="BC253" s="1050">
        <f t="shared" si="124"/>
        <v>0</v>
      </c>
      <c r="BD253" s="1040" t="str">
        <f t="shared" si="120"/>
        <v/>
      </c>
      <c r="BE253" s="227" t="s">
        <v>22</v>
      </c>
      <c r="BF253" s="1019">
        <f t="shared" si="121"/>
        <v>0</v>
      </c>
      <c r="BG253" s="1020">
        <f t="shared" si="122"/>
        <v>0</v>
      </c>
      <c r="BH253"/>
      <c r="BI253" s="709"/>
      <c r="BJ253" s="709"/>
      <c r="BK253" s="709"/>
      <c r="BL253" s="709"/>
      <c r="BM253" s="709"/>
      <c r="BN253" s="709"/>
      <c r="BO253" s="709"/>
      <c r="BP253" s="709"/>
      <c r="BW253" s="959" t="str">
        <f t="shared" si="101"/>
        <v>►</v>
      </c>
      <c r="CB253"/>
      <c r="CC253" s="856"/>
      <c r="CK253" s="709"/>
      <c r="CS253" s="709"/>
      <c r="DA253" s="709"/>
      <c r="DB253" s="3">
        <v>1</v>
      </c>
    </row>
    <row r="254" spans="1:106" ht="21" customHeight="1">
      <c r="A254" s="936" t="s">
        <v>22</v>
      </c>
      <c r="B254" s="952" t="str">
        <f t="shared" si="100"/>
        <v>A</v>
      </c>
      <c r="C254" s="993" cm="1">
        <f t="array" ref="C254">SUMPRODUCT(LEN(D254:J254))</f>
        <v>0</v>
      </c>
      <c r="D254" s="167"/>
      <c r="E254" s="172"/>
      <c r="F254" s="172"/>
      <c r="G254" s="172"/>
      <c r="H254" s="172"/>
      <c r="I254" s="172"/>
      <c r="J254" s="173"/>
      <c r="K254" s="442"/>
      <c r="L254" s="104" t="str">
        <f t="shared" si="128"/>
        <v>A</v>
      </c>
      <c r="M254" s="157" t="str">
        <f>M205</f>
        <v>N NOTRE BOUDIN NOIR | | Auteur &gt; Guy KRENZE - Eric GODDYN - Arnaud NICOLAS - CEPROC 2002</v>
      </c>
      <c r="N254" s="157">
        <f>N205</f>
        <v>16.34</v>
      </c>
      <c r="O254" s="158" t="str">
        <f>O205</f>
        <v>Kg</v>
      </c>
      <c r="P254" s="159" t="str">
        <f>P205</f>
        <v>Recette mère ► le Boudin en 4 déclinaisons</v>
      </c>
      <c r="Q254" s="5128">
        <f>IF(ISBLANK(R254),"",LARGE(Q251:Q253,1)+1)</f>
        <v>3</v>
      </c>
      <c r="R254" s="5040" t="s">
        <v>13087</v>
      </c>
      <c r="S254" s="172"/>
      <c r="T254" s="172"/>
      <c r="U254" s="172"/>
      <c r="V254" s="172"/>
      <c r="W254" s="172"/>
      <c r="X254" s="172"/>
      <c r="Y254" s="170" t="s">
        <v>172</v>
      </c>
      <c r="Z254" s="171">
        <v>3.472222222222222E-3</v>
      </c>
      <c r="AA254" s="5211"/>
      <c r="AB254" s="1178"/>
      <c r="AC254" s="1179"/>
      <c r="AD254" s="227" t="s">
        <v>22</v>
      </c>
      <c r="AE254" s="1027" t="str">
        <f t="shared" si="104"/>
        <v>►</v>
      </c>
      <c r="AF254" s="1028" t="str">
        <f t="shared" si="105"/>
        <v/>
      </c>
      <c r="AG254" s="1029" t="str">
        <f t="shared" si="106"/>
        <v/>
      </c>
      <c r="AH254" s="1028" t="str">
        <f t="shared" si="107"/>
        <v/>
      </c>
      <c r="AI254" s="1029" t="str">
        <f t="shared" si="108"/>
        <v/>
      </c>
      <c r="AJ254" s="1029">
        <f t="shared" si="109"/>
        <v>0</v>
      </c>
      <c r="AK254" s="1043" t="str" cm="1">
        <f t="array" ref="AK254">IF(AE254&lt;&gt;"A","",IFERROR((IFERROR(_xlfn.XLOOKUP(TRIM(SUBSTITUTE(U254,CHAR(160)," ")),$BI$15:$BI$62,$BL$15:$BL$62),IFERROR(_xlfn.XLOOKUP(TRIM(SUBSTITUTE(U254,CHAR(160)," ")),$BJ$15:$BJ$62,$BL$15:$BL$62),_xlfn.XLOOKUP(TRIM(SUBSTITUTE(U254,CHAR(160)," ")),$BK$15:$BK$62,$BL$15:$BL$62))))*T254*IF(ISBLANK(Q254),1,Q254)+IFERROR(_xlfn.XLOOKUP("RECHERCHEX",TRIM(L254:AC254),L254:AC254),0),0))</f>
        <v/>
      </c>
      <c r="AL254" s="1030">
        <f t="shared" si="110"/>
        <v>0</v>
      </c>
      <c r="AM254" s="5254" t="str">
        <f t="shared" si="125"/>
        <v/>
      </c>
      <c r="AN254" s="1031">
        <f t="shared" si="111"/>
        <v>0</v>
      </c>
      <c r="AO254" s="1031">
        <f t="shared" si="112"/>
        <v>0</v>
      </c>
      <c r="AP254" s="1032">
        <f t="shared" si="113"/>
        <v>0</v>
      </c>
      <c r="AQ254" s="5255" t="str">
        <f t="shared" si="114"/>
        <v/>
      </c>
      <c r="AR254" s="1056"/>
      <c r="AS254" s="1056"/>
      <c r="AT254" s="1034">
        <f t="shared" si="115"/>
        <v>0</v>
      </c>
      <c r="AU254" s="1035">
        <f t="shared" si="116"/>
        <v>0</v>
      </c>
      <c r="AV254" s="1057" cm="1">
        <f t="array" ref="AV254">IF(AJ254&lt;&gt;1,0,IF(OR(AT254="",N(AT254)&lt;=0.000000001),"",IF(OR(AN254="",N(AN254)&lt;=0.000000001),0,IF(ISNUMBER(AT254),IFERROR(_xlfn.LET(_xlpm.ai_test,TRIM(AI254),_xlpm.r,IFERROR(_xlfn.XLOOKUP(_xlpm.ai_test,$BI$15:$BI$62,ROW($BI$15:$BI$62),0,1),IFERROR(_xlfn.XLOOKUP(_xlpm.ai_test,$BJ$15:$BJ$62,ROW($BJ$15:$BJ$62),0,1),_xlfn.XLOOKUP(_xlpm.ai_test,$BK$15:$BK$62,ROW($BK$15:$BK$62),0,1))),_xlpm.p,_xlpm.r-MIN(ROW($BI$15:$BI$62))+1,_xlpm.f,INDEX($BL$15:$BL$62,_xlpm.p),_xlpm.u,INDEX($BM$15:$BM$62,_xlpm.p),_xlpm.s,INDEX($BO$15:$BO$62,_xlpm.p),_xlpm.q,N(AT254)/_xlpm.f,IF(_xlpm.q&gt;=_xlpm.s,ROUND(_xlpm.q,1)&amp;" "&amp;_xlpm.ai_test&amp;" = "&amp;ROUND(_xlpm.q*_xlpm.f,1)&amp;" "&amp;_xlpm.u,ROUND(_xlpm.q,1)&amp;" "&amp;_xlpm.ai_test)),""),""))))</f>
        <v>0</v>
      </c>
      <c r="AW254" s="1047"/>
      <c r="AX254" s="1034">
        <f t="shared" si="117"/>
        <v>0</v>
      </c>
      <c r="AY254" s="1035" t="str">
        <f t="shared" si="118"/>
        <v/>
      </c>
      <c r="AZ254" s="1036">
        <f t="shared" si="123"/>
        <v>0</v>
      </c>
      <c r="BA254" s="1037" t="str">
        <f t="shared" si="119"/>
        <v/>
      </c>
      <c r="BB254" s="1038"/>
      <c r="BC254" s="1039">
        <f t="shared" si="124"/>
        <v>0</v>
      </c>
      <c r="BD254" s="1040" t="str">
        <f t="shared" si="120"/>
        <v/>
      </c>
      <c r="BE254" s="227" t="s">
        <v>22</v>
      </c>
      <c r="BF254" s="1019">
        <f t="shared" si="121"/>
        <v>0</v>
      </c>
      <c r="BG254" s="1020">
        <f t="shared" si="122"/>
        <v>0</v>
      </c>
      <c r="BH254"/>
      <c r="BI254" s="709"/>
      <c r="BJ254" s="709"/>
      <c r="BK254" s="709"/>
      <c r="BL254" s="709"/>
      <c r="BM254" s="709"/>
      <c r="BN254" s="709"/>
      <c r="BO254" s="709"/>
      <c r="BP254" s="709"/>
      <c r="BW254" s="959" t="str">
        <f t="shared" si="101"/>
        <v>►</v>
      </c>
      <c r="CB254"/>
      <c r="CC254" s="856"/>
      <c r="CK254" s="709"/>
      <c r="CS254" s="709"/>
      <c r="DA254" s="709"/>
      <c r="DB254" s="3">
        <v>1</v>
      </c>
    </row>
    <row r="255" spans="1:106" ht="21" customHeight="1">
      <c r="A255" s="936" t="s">
        <v>22</v>
      </c>
      <c r="B255" s="952" t="str">
        <f t="shared" si="100"/>
        <v>A</v>
      </c>
      <c r="C255" s="993" cm="1">
        <f t="array" ref="C255">SUMPRODUCT(LEN(D255:J255))</f>
        <v>0</v>
      </c>
      <c r="D255" s="167"/>
      <c r="E255" s="172"/>
      <c r="F255" s="172"/>
      <c r="G255" s="172"/>
      <c r="H255" s="172"/>
      <c r="I255" s="172"/>
      <c r="J255" s="173"/>
      <c r="K255" s="442"/>
      <c r="L255" s="104" t="str">
        <f t="shared" si="128"/>
        <v>A</v>
      </c>
      <c r="M255" s="157" t="str">
        <f>M205</f>
        <v>N NOTRE BOUDIN NOIR | | Auteur &gt; Guy KRENZE - Eric GODDYN - Arnaud NICOLAS - CEPROC 2002</v>
      </c>
      <c r="N255" s="157">
        <f>N205</f>
        <v>16.34</v>
      </c>
      <c r="O255" s="158" t="str">
        <f>O205</f>
        <v>Kg</v>
      </c>
      <c r="P255" s="159" t="str">
        <f>P205</f>
        <v>Recette mère ► le Boudin en 4 déclinaisons</v>
      </c>
      <c r="Q255" s="5128">
        <f>IF(ISBLANK(R255),"",LARGE(Q251:Q254,1)+1)</f>
        <v>4</v>
      </c>
      <c r="R255" s="5040" t="s">
        <v>13088</v>
      </c>
      <c r="S255" s="172"/>
      <c r="T255" s="172"/>
      <c r="U255" s="172"/>
      <c r="V255" s="172"/>
      <c r="W255" s="172"/>
      <c r="X255" s="172"/>
      <c r="Y255" s="170" t="s">
        <v>174</v>
      </c>
      <c r="Z255" s="174">
        <v>3.472222222222222E-3</v>
      </c>
      <c r="AA255" s="5211"/>
      <c r="AB255" s="1178"/>
      <c r="AC255" s="1179"/>
      <c r="AD255" s="227" t="s">
        <v>22</v>
      </c>
      <c r="AE255" s="1027" t="str">
        <f t="shared" si="104"/>
        <v>►</v>
      </c>
      <c r="AF255" s="1028" t="str">
        <f t="shared" si="105"/>
        <v/>
      </c>
      <c r="AG255" s="1029" t="str">
        <f t="shared" si="106"/>
        <v/>
      </c>
      <c r="AH255" s="1028" t="str">
        <f t="shared" si="107"/>
        <v/>
      </c>
      <c r="AI255" s="1029" t="str">
        <f t="shared" si="108"/>
        <v/>
      </c>
      <c r="AJ255" s="1029">
        <f t="shared" si="109"/>
        <v>0</v>
      </c>
      <c r="AK255" s="1043" t="str" cm="1">
        <f t="array" ref="AK255">IF(AE255&lt;&gt;"A","",IFERROR((IFERROR(_xlfn.XLOOKUP(TRIM(SUBSTITUTE(U255,CHAR(160)," ")),$BI$15:$BI$62,$BL$15:$BL$62),IFERROR(_xlfn.XLOOKUP(TRIM(SUBSTITUTE(U255,CHAR(160)," ")),$BJ$15:$BJ$62,$BL$15:$BL$62),_xlfn.XLOOKUP(TRIM(SUBSTITUTE(U255,CHAR(160)," ")),$BK$15:$BK$62,$BL$15:$BL$62))))*T255*IF(ISBLANK(Q255),1,Q255)+IFERROR(_xlfn.XLOOKUP("RECHERCHEX",TRIM(L255:AC255),L255:AC255),0),0))</f>
        <v/>
      </c>
      <c r="AL255" s="1030">
        <f t="shared" si="110"/>
        <v>0</v>
      </c>
      <c r="AM255" s="5254" t="str">
        <f t="shared" si="125"/>
        <v/>
      </c>
      <c r="AN255" s="1031">
        <f t="shared" si="111"/>
        <v>0</v>
      </c>
      <c r="AO255" s="1031">
        <f t="shared" si="112"/>
        <v>0</v>
      </c>
      <c r="AP255" s="1044">
        <f t="shared" si="113"/>
        <v>0</v>
      </c>
      <c r="AQ255" s="5257" t="str">
        <f t="shared" si="114"/>
        <v/>
      </c>
      <c r="AR255" s="1056"/>
      <c r="AS255" s="1056"/>
      <c r="AT255" s="1045">
        <f t="shared" si="115"/>
        <v>0</v>
      </c>
      <c r="AU255" s="1046">
        <f t="shared" si="116"/>
        <v>0</v>
      </c>
      <c r="AV255" s="1059" cm="1">
        <f t="array" ref="AV255">IF(AJ255&lt;&gt;1,0,IF(OR(AT255="",N(AT255)&lt;=0.000000001),"",IF(OR(AN255="",N(AN255)&lt;=0.000000001),0,IF(ISNUMBER(AT255),IFERROR(_xlfn.LET(_xlpm.ai_test,TRIM(AI255),_xlpm.r,IFERROR(_xlfn.XLOOKUP(_xlpm.ai_test,$BI$15:$BI$62,ROW($BI$15:$BI$62),0,1),IFERROR(_xlfn.XLOOKUP(_xlpm.ai_test,$BJ$15:$BJ$62,ROW($BJ$15:$BJ$62),0,1),_xlfn.XLOOKUP(_xlpm.ai_test,$BK$15:$BK$62,ROW($BK$15:$BK$62),0,1))),_xlpm.p,_xlpm.r-MIN(ROW($BI$15:$BI$62))+1,_xlpm.f,INDEX($BL$15:$BL$62,_xlpm.p),_xlpm.u,INDEX($BM$15:$BM$62,_xlpm.p),_xlpm.s,INDEX($BO$15:$BO$62,_xlpm.p),_xlpm.q,N(AT255)/_xlpm.f,IF(_xlpm.q&gt;=_xlpm.s,ROUND(_xlpm.q,1)&amp;" "&amp;_xlpm.ai_test&amp;" = "&amp;ROUND(_xlpm.q*_xlpm.f,1)&amp;" "&amp;_xlpm.u,ROUND(_xlpm.q,1)&amp;" "&amp;_xlpm.ai_test)),""),""))))</f>
        <v>0</v>
      </c>
      <c r="AW255" s="1047"/>
      <c r="AX255" s="1045">
        <f t="shared" si="117"/>
        <v>0</v>
      </c>
      <c r="AY255" s="1046" t="str">
        <f t="shared" si="118"/>
        <v/>
      </c>
      <c r="AZ255" s="1048">
        <f t="shared" si="123"/>
        <v>0</v>
      </c>
      <c r="BA255" s="1049" t="str">
        <f t="shared" si="119"/>
        <v/>
      </c>
      <c r="BB255" s="1038"/>
      <c r="BC255" s="1050">
        <f t="shared" si="124"/>
        <v>0</v>
      </c>
      <c r="BD255" s="1040" t="str">
        <f t="shared" si="120"/>
        <v/>
      </c>
      <c r="BE255" s="227" t="s">
        <v>22</v>
      </c>
      <c r="BF255" s="1019">
        <f t="shared" si="121"/>
        <v>0</v>
      </c>
      <c r="BG255" s="1020">
        <f t="shared" si="122"/>
        <v>0</v>
      </c>
      <c r="BH255"/>
      <c r="BI255" s="709"/>
      <c r="BJ255" s="709"/>
      <c r="BK255" s="709"/>
      <c r="BL255" s="709"/>
      <c r="BM255" s="709"/>
      <c r="BN255" s="709"/>
      <c r="BO255" s="709"/>
      <c r="BP255" s="709"/>
      <c r="BW255" s="959" t="str">
        <f t="shared" si="101"/>
        <v>►</v>
      </c>
      <c r="CB255"/>
      <c r="CC255" s="856"/>
      <c r="CK255" s="709"/>
      <c r="CS255" s="709"/>
      <c r="DA255" s="709"/>
      <c r="DB255" s="3">
        <v>1</v>
      </c>
    </row>
    <row r="256" spans="1:106" ht="21" customHeight="1">
      <c r="A256" s="936" t="s">
        <v>22</v>
      </c>
      <c r="B256" s="952" t="str">
        <f t="shared" si="100"/>
        <v>A</v>
      </c>
      <c r="C256" s="993" cm="1">
        <f t="array" ref="C256">SUMPRODUCT(LEN(D256:J256))</f>
        <v>0</v>
      </c>
      <c r="D256" s="167"/>
      <c r="E256" s="172"/>
      <c r="F256" s="172"/>
      <c r="G256" s="172"/>
      <c r="H256" s="172"/>
      <c r="I256" s="172"/>
      <c r="J256" s="173"/>
      <c r="K256" s="442"/>
      <c r="L256" s="104" t="str">
        <f t="shared" si="128"/>
        <v>A</v>
      </c>
      <c r="M256" s="157" t="str">
        <f>M205</f>
        <v>N NOTRE BOUDIN NOIR | | Auteur &gt; Guy KRENZE - Eric GODDYN - Arnaud NICOLAS - CEPROC 2002</v>
      </c>
      <c r="N256" s="157">
        <f>N205</f>
        <v>16.34</v>
      </c>
      <c r="O256" s="158" t="str">
        <f>O205</f>
        <v>Kg</v>
      </c>
      <c r="P256" s="159" t="str">
        <f>P205</f>
        <v>Recette mère ► le Boudin en 4 déclinaisons</v>
      </c>
      <c r="Q256" s="5128">
        <f>IF(ISBLANK(R256),"",LARGE(Q251:Q255,1)+1)</f>
        <v>5</v>
      </c>
      <c r="R256" s="5040" t="s">
        <v>13095</v>
      </c>
      <c r="S256" s="172"/>
      <c r="T256" s="172"/>
      <c r="U256" s="172"/>
      <c r="V256" s="172"/>
      <c r="W256" s="172"/>
      <c r="X256" s="172"/>
      <c r="Y256" s="170" t="s">
        <v>182</v>
      </c>
      <c r="Z256" s="175">
        <v>3.472222222222222E-3</v>
      </c>
      <c r="AA256" s="5211"/>
      <c r="AB256" s="1178"/>
      <c r="AC256" s="1179"/>
      <c r="AD256" s="227" t="s">
        <v>22</v>
      </c>
      <c r="AE256" s="1027" t="str">
        <f t="shared" si="104"/>
        <v>►</v>
      </c>
      <c r="AF256" s="1028" t="str">
        <f t="shared" si="105"/>
        <v/>
      </c>
      <c r="AG256" s="1029" t="str">
        <f t="shared" si="106"/>
        <v/>
      </c>
      <c r="AH256" s="1028" t="str">
        <f t="shared" si="107"/>
        <v/>
      </c>
      <c r="AI256" s="1029" t="str">
        <f t="shared" si="108"/>
        <v/>
      </c>
      <c r="AJ256" s="1029">
        <f t="shared" si="109"/>
        <v>0</v>
      </c>
      <c r="AK256" s="1043" t="str" cm="1">
        <f t="array" ref="AK256">IF(AE256&lt;&gt;"A","",IFERROR((IFERROR(_xlfn.XLOOKUP(TRIM(SUBSTITUTE(U256,CHAR(160)," ")),$BI$15:$BI$62,$BL$15:$BL$62),IFERROR(_xlfn.XLOOKUP(TRIM(SUBSTITUTE(U256,CHAR(160)," ")),$BJ$15:$BJ$62,$BL$15:$BL$62),_xlfn.XLOOKUP(TRIM(SUBSTITUTE(U256,CHAR(160)," ")),$BK$15:$BK$62,$BL$15:$BL$62))))*T256*IF(ISBLANK(Q256),1,Q256)+IFERROR(_xlfn.XLOOKUP("RECHERCHEX",TRIM(L256:AC256),L256:AC256),0),0))</f>
        <v/>
      </c>
      <c r="AL256" s="1030">
        <f t="shared" si="110"/>
        <v>0</v>
      </c>
      <c r="AM256" s="5254" t="str">
        <f t="shared" si="125"/>
        <v/>
      </c>
      <c r="AN256" s="1031">
        <f t="shared" si="111"/>
        <v>0</v>
      </c>
      <c r="AO256" s="1031">
        <f t="shared" si="112"/>
        <v>0</v>
      </c>
      <c r="AP256" s="1032">
        <f t="shared" si="113"/>
        <v>0</v>
      </c>
      <c r="AQ256" s="5255" t="str">
        <f t="shared" si="114"/>
        <v/>
      </c>
      <c r="AR256" s="1056"/>
      <c r="AS256" s="1056"/>
      <c r="AT256" s="1034">
        <f t="shared" si="115"/>
        <v>0</v>
      </c>
      <c r="AU256" s="1035">
        <f t="shared" si="116"/>
        <v>0</v>
      </c>
      <c r="AV256" s="1057" cm="1">
        <f t="array" ref="AV256">IF(AJ256&lt;&gt;1,0,IF(OR(AT256="",N(AT256)&lt;=0.000000001),"",IF(OR(AN256="",N(AN256)&lt;=0.000000001),0,IF(ISNUMBER(AT256),IFERROR(_xlfn.LET(_xlpm.ai_test,TRIM(AI256),_xlpm.r,IFERROR(_xlfn.XLOOKUP(_xlpm.ai_test,$BI$15:$BI$62,ROW($BI$15:$BI$62),0,1),IFERROR(_xlfn.XLOOKUP(_xlpm.ai_test,$BJ$15:$BJ$62,ROW($BJ$15:$BJ$62),0,1),_xlfn.XLOOKUP(_xlpm.ai_test,$BK$15:$BK$62,ROW($BK$15:$BK$62),0,1))),_xlpm.p,_xlpm.r-MIN(ROW($BI$15:$BI$62))+1,_xlpm.f,INDEX($BL$15:$BL$62,_xlpm.p),_xlpm.u,INDEX($BM$15:$BM$62,_xlpm.p),_xlpm.s,INDEX($BO$15:$BO$62,_xlpm.p),_xlpm.q,N(AT256)/_xlpm.f,IF(_xlpm.q&gt;=_xlpm.s,ROUND(_xlpm.q,1)&amp;" "&amp;_xlpm.ai_test&amp;" = "&amp;ROUND(_xlpm.q*_xlpm.f,1)&amp;" "&amp;_xlpm.u,ROUND(_xlpm.q,1)&amp;" "&amp;_xlpm.ai_test)),""),""))))</f>
        <v>0</v>
      </c>
      <c r="AW256" s="1047"/>
      <c r="AX256" s="1034">
        <f t="shared" si="117"/>
        <v>0</v>
      </c>
      <c r="AY256" s="1035" t="str">
        <f t="shared" si="118"/>
        <v/>
      </c>
      <c r="AZ256" s="1036">
        <f t="shared" si="123"/>
        <v>0</v>
      </c>
      <c r="BA256" s="1037" t="str">
        <f t="shared" si="119"/>
        <v/>
      </c>
      <c r="BB256" s="1038"/>
      <c r="BC256" s="1039">
        <f t="shared" si="124"/>
        <v>0</v>
      </c>
      <c r="BD256" s="1040" t="str">
        <f t="shared" si="120"/>
        <v/>
      </c>
      <c r="BE256" s="227" t="s">
        <v>22</v>
      </c>
      <c r="BF256" s="1019">
        <f t="shared" si="121"/>
        <v>0</v>
      </c>
      <c r="BG256" s="1020">
        <f t="shared" si="122"/>
        <v>0</v>
      </c>
      <c r="BH256"/>
      <c r="BI256" s="709"/>
      <c r="BJ256" s="709"/>
      <c r="BK256" s="709"/>
      <c r="BL256" s="709"/>
      <c r="BM256" s="709"/>
      <c r="BN256" s="709"/>
      <c r="BO256" s="709"/>
      <c r="BP256" s="709"/>
      <c r="BW256" s="959" t="str">
        <f t="shared" si="101"/>
        <v>►</v>
      </c>
      <c r="CB256"/>
      <c r="CC256" s="856"/>
      <c r="CK256" s="709"/>
      <c r="CS256" s="709"/>
      <c r="DA256" s="709"/>
      <c r="DB256" s="3">
        <v>1</v>
      </c>
    </row>
    <row r="257" spans="1:108" ht="21" customHeight="1">
      <c r="A257" s="936" t="s">
        <v>22</v>
      </c>
      <c r="B257" s="952" t="str">
        <f t="shared" si="100"/>
        <v>A</v>
      </c>
      <c r="C257" s="993" cm="1">
        <f t="array" ref="C257">SUMPRODUCT(LEN(D257:J257))</f>
        <v>0</v>
      </c>
      <c r="D257" s="167"/>
      <c r="E257" s="172"/>
      <c r="F257" s="172"/>
      <c r="G257" s="172"/>
      <c r="H257" s="172"/>
      <c r="I257" s="172"/>
      <c r="J257" s="173"/>
      <c r="K257" s="442" t="s">
        <v>22</v>
      </c>
      <c r="L257" s="104" t="str">
        <f t="shared" si="128"/>
        <v>A</v>
      </c>
      <c r="M257" s="157" t="str">
        <f>M205</f>
        <v>N NOTRE BOUDIN NOIR | | Auteur &gt; Guy KRENZE - Eric GODDYN - Arnaud NICOLAS - CEPROC 2002</v>
      </c>
      <c r="N257" s="157">
        <f>N205</f>
        <v>16.34</v>
      </c>
      <c r="O257" s="158" t="str">
        <f>O205</f>
        <v>Kg</v>
      </c>
      <c r="P257" s="159" t="str">
        <f>P205</f>
        <v>Recette mère ► le Boudin en 4 déclinaisons</v>
      </c>
      <c r="Q257" s="5128">
        <f>IF(ISBLANK(R257),"",LARGE(Q251:Q256,1)+1)</f>
        <v>6</v>
      </c>
      <c r="R257" s="5040" t="s">
        <v>13089</v>
      </c>
      <c r="S257" s="172"/>
      <c r="T257" s="172"/>
      <c r="U257" s="172"/>
      <c r="V257" s="172"/>
      <c r="W257" s="172"/>
      <c r="X257" s="172"/>
      <c r="Y257" s="176" t="s">
        <v>183</v>
      </c>
      <c r="Z257" s="177">
        <f>Z254+Z255+Z256</f>
        <v>1.0416666666666666E-2</v>
      </c>
      <c r="AA257" s="5211"/>
      <c r="AB257" s="1178"/>
      <c r="AC257" s="1179"/>
      <c r="AD257" s="227" t="s">
        <v>22</v>
      </c>
      <c r="AE257" s="1027" t="str">
        <f t="shared" si="104"/>
        <v>►</v>
      </c>
      <c r="AF257" s="1028" t="str">
        <f t="shared" si="105"/>
        <v/>
      </c>
      <c r="AG257" s="1029" t="str">
        <f t="shared" si="106"/>
        <v/>
      </c>
      <c r="AH257" s="1028" t="str">
        <f t="shared" si="107"/>
        <v/>
      </c>
      <c r="AI257" s="1029" t="str">
        <f t="shared" si="108"/>
        <v/>
      </c>
      <c r="AJ257" s="1029">
        <f t="shared" si="109"/>
        <v>0</v>
      </c>
      <c r="AK257" s="1043" t="str" cm="1">
        <f t="array" ref="AK257">IF(AE257&lt;&gt;"A","",IFERROR((IFERROR(_xlfn.XLOOKUP(TRIM(SUBSTITUTE(U257,CHAR(160)," ")),$BI$15:$BI$62,$BL$15:$BL$62),IFERROR(_xlfn.XLOOKUP(TRIM(SUBSTITUTE(U257,CHAR(160)," ")),$BJ$15:$BJ$62,$BL$15:$BL$62),_xlfn.XLOOKUP(TRIM(SUBSTITUTE(U257,CHAR(160)," ")),$BK$15:$BK$62,$BL$15:$BL$62))))*T257*IF(ISBLANK(Q257),1,Q257)+IFERROR(_xlfn.XLOOKUP("RECHERCHEX",TRIM(L257:AC257),L257:AC257),0),0))</f>
        <v/>
      </c>
      <c r="AL257" s="1030">
        <f t="shared" si="110"/>
        <v>0</v>
      </c>
      <c r="AM257" s="5254" t="str">
        <f t="shared" si="125"/>
        <v/>
      </c>
      <c r="AN257" s="1031">
        <f t="shared" si="111"/>
        <v>0</v>
      </c>
      <c r="AO257" s="1031">
        <f t="shared" si="112"/>
        <v>0</v>
      </c>
      <c r="AP257" s="1044">
        <f t="shared" si="113"/>
        <v>0</v>
      </c>
      <c r="AQ257" s="5257" t="str">
        <f t="shared" si="114"/>
        <v/>
      </c>
      <c r="AR257" s="1056"/>
      <c r="AS257" s="1056"/>
      <c r="AT257" s="1045">
        <f t="shared" si="115"/>
        <v>0</v>
      </c>
      <c r="AU257" s="1046">
        <f t="shared" si="116"/>
        <v>0</v>
      </c>
      <c r="AV257" s="1059" cm="1">
        <f t="array" ref="AV257">IF(AJ257&lt;&gt;1,0,IF(OR(AT257="",N(AT257)&lt;=0.000000001),"",IF(OR(AN257="",N(AN257)&lt;=0.000000001),0,IF(ISNUMBER(AT257),IFERROR(_xlfn.LET(_xlpm.ai_test,TRIM(AI257),_xlpm.r,IFERROR(_xlfn.XLOOKUP(_xlpm.ai_test,$BI$15:$BI$62,ROW($BI$15:$BI$62),0,1),IFERROR(_xlfn.XLOOKUP(_xlpm.ai_test,$BJ$15:$BJ$62,ROW($BJ$15:$BJ$62),0,1),_xlfn.XLOOKUP(_xlpm.ai_test,$BK$15:$BK$62,ROW($BK$15:$BK$62),0,1))),_xlpm.p,_xlpm.r-MIN(ROW($BI$15:$BI$62))+1,_xlpm.f,INDEX($BL$15:$BL$62,_xlpm.p),_xlpm.u,INDEX($BM$15:$BM$62,_xlpm.p),_xlpm.s,INDEX($BO$15:$BO$62,_xlpm.p),_xlpm.q,N(AT257)/_xlpm.f,IF(_xlpm.q&gt;=_xlpm.s,ROUND(_xlpm.q,1)&amp;" "&amp;_xlpm.ai_test&amp;" = "&amp;ROUND(_xlpm.q*_xlpm.f,1)&amp;" "&amp;_xlpm.u,ROUND(_xlpm.q,1)&amp;" "&amp;_xlpm.ai_test)),""),""))))</f>
        <v>0</v>
      </c>
      <c r="AW257" s="1047"/>
      <c r="AX257" s="1045">
        <f t="shared" si="117"/>
        <v>0</v>
      </c>
      <c r="AY257" s="1046" t="str">
        <f t="shared" si="118"/>
        <v/>
      </c>
      <c r="AZ257" s="1048">
        <f t="shared" si="123"/>
        <v>0</v>
      </c>
      <c r="BA257" s="1049" t="str">
        <f t="shared" si="119"/>
        <v/>
      </c>
      <c r="BB257" s="1038"/>
      <c r="BC257" s="1050">
        <f t="shared" si="124"/>
        <v>0</v>
      </c>
      <c r="BD257" s="1040" t="str">
        <f t="shared" si="120"/>
        <v/>
      </c>
      <c r="BE257" s="227" t="s">
        <v>22</v>
      </c>
      <c r="BF257" s="1019">
        <f t="shared" si="121"/>
        <v>0</v>
      </c>
      <c r="BG257" s="1020">
        <f t="shared" si="122"/>
        <v>0</v>
      </c>
      <c r="BH257"/>
      <c r="BI257" s="709"/>
      <c r="BJ257" s="709"/>
      <c r="BK257" s="709"/>
      <c r="BL257" s="709"/>
      <c r="BM257" s="709"/>
      <c r="BN257" s="709"/>
      <c r="BO257" s="709"/>
      <c r="BP257" s="709"/>
      <c r="BW257" s="959" t="str">
        <f t="shared" si="101"/>
        <v>►</v>
      </c>
      <c r="CB257"/>
      <c r="CC257" s="856"/>
      <c r="CK257" s="709"/>
      <c r="CS257" s="709"/>
      <c r="DA257" s="709"/>
      <c r="DB257" s="3">
        <v>1</v>
      </c>
    </row>
    <row r="258" spans="1:108" ht="21" customHeight="1">
      <c r="A258" s="936" t="s">
        <v>22</v>
      </c>
      <c r="B258" s="952" t="str">
        <f t="shared" si="100"/>
        <v>A</v>
      </c>
      <c r="C258" s="993" cm="1">
        <f t="array" ref="C258">SUMPRODUCT(LEN(D258:J258))</f>
        <v>0</v>
      </c>
      <c r="D258" s="167"/>
      <c r="E258" s="172"/>
      <c r="F258" s="172"/>
      <c r="G258" s="172"/>
      <c r="H258" s="172"/>
      <c r="I258" s="172"/>
      <c r="J258" s="173"/>
      <c r="K258" s="442" t="s">
        <v>22</v>
      </c>
      <c r="L258" s="104" t="str">
        <f t="shared" si="128"/>
        <v>A</v>
      </c>
      <c r="M258" s="157" t="str">
        <f>M205</f>
        <v>N NOTRE BOUDIN NOIR | | Auteur &gt; Guy KRENZE - Eric GODDYN - Arnaud NICOLAS - CEPROC 2002</v>
      </c>
      <c r="N258" s="157">
        <f>N205</f>
        <v>16.34</v>
      </c>
      <c r="O258" s="158" t="str">
        <f>O205</f>
        <v>Kg</v>
      </c>
      <c r="P258" s="159" t="str">
        <f>P205</f>
        <v>Recette mère ► le Boudin en 4 déclinaisons</v>
      </c>
      <c r="Q258" s="5128">
        <f>IF(ISBLANK(R258),"",LARGE(Q251:Q257,1)+1)</f>
        <v>7</v>
      </c>
      <c r="R258" s="5040" t="s">
        <v>13090</v>
      </c>
      <c r="S258" s="172"/>
      <c r="T258" s="172"/>
      <c r="U258" s="172"/>
      <c r="V258" s="172"/>
      <c r="W258" s="172"/>
      <c r="X258" s="172"/>
      <c r="Y258" s="172"/>
      <c r="Z258" s="555"/>
      <c r="AA258" s="5211"/>
      <c r="AB258" s="1178"/>
      <c r="AC258" s="1179"/>
      <c r="AD258" s="227" t="s">
        <v>22</v>
      </c>
      <c r="AE258" s="1027" t="str">
        <f t="shared" si="104"/>
        <v>►</v>
      </c>
      <c r="AF258" s="1028" t="str">
        <f t="shared" si="105"/>
        <v/>
      </c>
      <c r="AG258" s="1029" t="str">
        <f t="shared" si="106"/>
        <v/>
      </c>
      <c r="AH258" s="1028" t="str">
        <f t="shared" si="107"/>
        <v/>
      </c>
      <c r="AI258" s="1029" t="str">
        <f t="shared" si="108"/>
        <v/>
      </c>
      <c r="AJ258" s="1029">
        <f t="shared" si="109"/>
        <v>0</v>
      </c>
      <c r="AK258" s="1043" t="str" cm="1">
        <f t="array" ref="AK258">IF(AE258&lt;&gt;"A","",IFERROR((IFERROR(_xlfn.XLOOKUP(TRIM(SUBSTITUTE(U258,CHAR(160)," ")),$BI$15:$BI$62,$BL$15:$BL$62),IFERROR(_xlfn.XLOOKUP(TRIM(SUBSTITUTE(U258,CHAR(160)," ")),$BJ$15:$BJ$62,$BL$15:$BL$62),_xlfn.XLOOKUP(TRIM(SUBSTITUTE(U258,CHAR(160)," ")),$BK$15:$BK$62,$BL$15:$BL$62))))*T258*IF(ISBLANK(Q258),1,Q258)+IFERROR(_xlfn.XLOOKUP("RECHERCHEX",TRIM(L258:AC258),L258:AC258),0),0))</f>
        <v/>
      </c>
      <c r="AL258" s="1030">
        <f t="shared" si="110"/>
        <v>0</v>
      </c>
      <c r="AM258" s="5254" t="str">
        <f t="shared" si="125"/>
        <v/>
      </c>
      <c r="AN258" s="1031">
        <f t="shared" si="111"/>
        <v>0</v>
      </c>
      <c r="AO258" s="1031">
        <f t="shared" si="112"/>
        <v>0</v>
      </c>
      <c r="AP258" s="1032">
        <f t="shared" si="113"/>
        <v>0</v>
      </c>
      <c r="AQ258" s="5255" t="str">
        <f t="shared" si="114"/>
        <v/>
      </c>
      <c r="AR258" s="1056"/>
      <c r="AS258" s="1056"/>
      <c r="AT258" s="1034">
        <f t="shared" si="115"/>
        <v>0</v>
      </c>
      <c r="AU258" s="1035">
        <f t="shared" si="116"/>
        <v>0</v>
      </c>
      <c r="AV258" s="1057" cm="1">
        <f t="array" ref="AV258">IF(AJ258&lt;&gt;1,0,IF(OR(AT258="",N(AT258)&lt;=0.000000001),"",IF(OR(AN258="",N(AN258)&lt;=0.000000001),0,IF(ISNUMBER(AT258),IFERROR(_xlfn.LET(_xlpm.ai_test,TRIM(AI258),_xlpm.r,IFERROR(_xlfn.XLOOKUP(_xlpm.ai_test,$BI$15:$BI$62,ROW($BI$15:$BI$62),0,1),IFERROR(_xlfn.XLOOKUP(_xlpm.ai_test,$BJ$15:$BJ$62,ROW($BJ$15:$BJ$62),0,1),_xlfn.XLOOKUP(_xlpm.ai_test,$BK$15:$BK$62,ROW($BK$15:$BK$62),0,1))),_xlpm.p,_xlpm.r-MIN(ROW($BI$15:$BI$62))+1,_xlpm.f,INDEX($BL$15:$BL$62,_xlpm.p),_xlpm.u,INDEX($BM$15:$BM$62,_xlpm.p),_xlpm.s,INDEX($BO$15:$BO$62,_xlpm.p),_xlpm.q,N(AT258)/_xlpm.f,IF(_xlpm.q&gt;=_xlpm.s,ROUND(_xlpm.q,1)&amp;" "&amp;_xlpm.ai_test&amp;" = "&amp;ROUND(_xlpm.q*_xlpm.f,1)&amp;" "&amp;_xlpm.u,ROUND(_xlpm.q,1)&amp;" "&amp;_xlpm.ai_test)),""),""))))</f>
        <v>0</v>
      </c>
      <c r="AW258" s="1047"/>
      <c r="AX258" s="1034">
        <f t="shared" si="117"/>
        <v>0</v>
      </c>
      <c r="AY258" s="1035" t="str">
        <f t="shared" si="118"/>
        <v/>
      </c>
      <c r="AZ258" s="1036">
        <f t="shared" si="123"/>
        <v>0</v>
      </c>
      <c r="BA258" s="1037" t="str">
        <f t="shared" si="119"/>
        <v/>
      </c>
      <c r="BB258" s="1038"/>
      <c r="BC258" s="1039">
        <f t="shared" si="124"/>
        <v>0</v>
      </c>
      <c r="BD258" s="1040" t="str">
        <f t="shared" si="120"/>
        <v/>
      </c>
      <c r="BE258" s="227" t="s">
        <v>22</v>
      </c>
      <c r="BF258" s="1019">
        <f t="shared" si="121"/>
        <v>0</v>
      </c>
      <c r="BG258" s="1020">
        <f t="shared" si="122"/>
        <v>0</v>
      </c>
      <c r="BH258"/>
      <c r="BI258" s="709"/>
      <c r="BJ258" s="709"/>
      <c r="BK258" s="709"/>
      <c r="BL258" s="709"/>
      <c r="BM258" s="709"/>
      <c r="BN258" s="709"/>
      <c r="BO258" s="709"/>
      <c r="BP258" s="709"/>
      <c r="BW258" s="959" t="str">
        <f t="shared" si="101"/>
        <v>►</v>
      </c>
      <c r="CB258"/>
      <c r="CC258" s="856"/>
      <c r="CK258" s="709"/>
      <c r="CS258" s="709"/>
      <c r="DA258" s="709"/>
      <c r="DB258" s="3">
        <v>1</v>
      </c>
    </row>
    <row r="259" spans="1:108" ht="21" customHeight="1">
      <c r="A259" s="936" t="s">
        <v>22</v>
      </c>
      <c r="B259" s="952" t="str">
        <f t="shared" si="100"/>
        <v>A</v>
      </c>
      <c r="C259" s="993" cm="1">
        <f t="array" ref="C259">SUMPRODUCT(LEN(D259:J259))</f>
        <v>0</v>
      </c>
      <c r="D259" s="167"/>
      <c r="E259" s="172"/>
      <c r="F259" s="172"/>
      <c r="G259" s="172"/>
      <c r="H259" s="172"/>
      <c r="I259" s="172"/>
      <c r="J259" s="173"/>
      <c r="K259" s="442" t="s">
        <v>22</v>
      </c>
      <c r="L259" s="104" t="str">
        <f t="shared" si="128"/>
        <v>A</v>
      </c>
      <c r="M259" s="157" t="str">
        <f>M205</f>
        <v>N NOTRE BOUDIN NOIR | | Auteur &gt; Guy KRENZE - Eric GODDYN - Arnaud NICOLAS - CEPROC 2002</v>
      </c>
      <c r="N259" s="157">
        <f>N205</f>
        <v>16.34</v>
      </c>
      <c r="O259" s="158" t="str">
        <f>O205</f>
        <v>Kg</v>
      </c>
      <c r="P259" s="159" t="str">
        <f>P205</f>
        <v>Recette mère ► le Boudin en 4 déclinaisons</v>
      </c>
      <c r="Q259" s="5128">
        <f>IF(ISBLANK(R259),"",LARGE(Q251:Q258,1)+1)</f>
        <v>8</v>
      </c>
      <c r="R259" s="5040" t="s">
        <v>13091</v>
      </c>
      <c r="S259" s="172"/>
      <c r="T259" s="172"/>
      <c r="U259" s="172"/>
      <c r="V259" s="172"/>
      <c r="W259" s="172"/>
      <c r="X259" s="172"/>
      <c r="Y259" s="172"/>
      <c r="Z259" s="555"/>
      <c r="AA259" s="5211"/>
      <c r="AB259" s="1178"/>
      <c r="AC259" s="1179"/>
      <c r="AD259" s="227" t="s">
        <v>22</v>
      </c>
      <c r="AE259" s="1027" t="str">
        <f t="shared" si="104"/>
        <v>►</v>
      </c>
      <c r="AF259" s="1028" t="str">
        <f t="shared" si="105"/>
        <v/>
      </c>
      <c r="AG259" s="1029" t="str">
        <f t="shared" si="106"/>
        <v/>
      </c>
      <c r="AH259" s="1028" t="str">
        <f t="shared" si="107"/>
        <v/>
      </c>
      <c r="AI259" s="1029" t="str">
        <f t="shared" si="108"/>
        <v/>
      </c>
      <c r="AJ259" s="1029">
        <f t="shared" si="109"/>
        <v>0</v>
      </c>
      <c r="AK259" s="1043" t="str" cm="1">
        <f t="array" ref="AK259">IF(AE259&lt;&gt;"A","",IFERROR((IFERROR(_xlfn.XLOOKUP(TRIM(SUBSTITUTE(U259,CHAR(160)," ")),$BI$15:$BI$62,$BL$15:$BL$62),IFERROR(_xlfn.XLOOKUP(TRIM(SUBSTITUTE(U259,CHAR(160)," ")),$BJ$15:$BJ$62,$BL$15:$BL$62),_xlfn.XLOOKUP(TRIM(SUBSTITUTE(U259,CHAR(160)," ")),$BK$15:$BK$62,$BL$15:$BL$62))))*T259*IF(ISBLANK(Q259),1,Q259)+IFERROR(_xlfn.XLOOKUP("RECHERCHEX",TRIM(L259:AC259),L259:AC259),0),0))</f>
        <v/>
      </c>
      <c r="AL259" s="1030">
        <f t="shared" si="110"/>
        <v>0</v>
      </c>
      <c r="AM259" s="5254" t="str">
        <f t="shared" si="125"/>
        <v/>
      </c>
      <c r="AN259" s="1031">
        <f t="shared" si="111"/>
        <v>0</v>
      </c>
      <c r="AO259" s="1031">
        <f t="shared" si="112"/>
        <v>0</v>
      </c>
      <c r="AP259" s="1044">
        <f t="shared" si="113"/>
        <v>0</v>
      </c>
      <c r="AQ259" s="5257" t="str">
        <f t="shared" si="114"/>
        <v/>
      </c>
      <c r="AR259" s="1056"/>
      <c r="AS259" s="1056"/>
      <c r="AT259" s="1045">
        <f t="shared" si="115"/>
        <v>0</v>
      </c>
      <c r="AU259" s="1046">
        <f t="shared" si="116"/>
        <v>0</v>
      </c>
      <c r="AV259" s="1059" cm="1">
        <f t="array" ref="AV259">IF(AJ259&lt;&gt;1,0,IF(OR(AT259="",N(AT259)&lt;=0.000000001),"",IF(OR(AN259="",N(AN259)&lt;=0.000000001),0,IF(ISNUMBER(AT259),IFERROR(_xlfn.LET(_xlpm.ai_test,TRIM(AI259),_xlpm.r,IFERROR(_xlfn.XLOOKUP(_xlpm.ai_test,$BI$15:$BI$62,ROW($BI$15:$BI$62),0,1),IFERROR(_xlfn.XLOOKUP(_xlpm.ai_test,$BJ$15:$BJ$62,ROW($BJ$15:$BJ$62),0,1),_xlfn.XLOOKUP(_xlpm.ai_test,$BK$15:$BK$62,ROW($BK$15:$BK$62),0,1))),_xlpm.p,_xlpm.r-MIN(ROW($BI$15:$BI$62))+1,_xlpm.f,INDEX($BL$15:$BL$62,_xlpm.p),_xlpm.u,INDEX($BM$15:$BM$62,_xlpm.p),_xlpm.s,INDEX($BO$15:$BO$62,_xlpm.p),_xlpm.q,N(AT259)/_xlpm.f,IF(_xlpm.q&gt;=_xlpm.s,ROUND(_xlpm.q,1)&amp;" "&amp;_xlpm.ai_test&amp;" = "&amp;ROUND(_xlpm.q*_xlpm.f,1)&amp;" "&amp;_xlpm.u,ROUND(_xlpm.q,1)&amp;" "&amp;_xlpm.ai_test)),""),""))))</f>
        <v>0</v>
      </c>
      <c r="AW259" s="1047"/>
      <c r="AX259" s="1045">
        <f t="shared" si="117"/>
        <v>0</v>
      </c>
      <c r="AY259" s="1046" t="str">
        <f t="shared" si="118"/>
        <v/>
      </c>
      <c r="AZ259" s="1048">
        <f t="shared" si="123"/>
        <v>0</v>
      </c>
      <c r="BA259" s="1049" t="str">
        <f t="shared" si="119"/>
        <v/>
      </c>
      <c r="BB259" s="1038"/>
      <c r="BC259" s="1050">
        <f t="shared" si="124"/>
        <v>0</v>
      </c>
      <c r="BD259" s="1040" t="str">
        <f t="shared" si="120"/>
        <v/>
      </c>
      <c r="BE259" s="227" t="s">
        <v>22</v>
      </c>
      <c r="BF259" s="1019">
        <f t="shared" si="121"/>
        <v>0</v>
      </c>
      <c r="BG259" s="1020">
        <f t="shared" si="122"/>
        <v>0</v>
      </c>
      <c r="BH259"/>
      <c r="BI259" s="709"/>
      <c r="BJ259" s="709"/>
      <c r="BK259" s="709"/>
      <c r="BL259" s="709"/>
      <c r="BM259" s="709"/>
      <c r="BN259" s="709"/>
      <c r="BO259" s="709"/>
      <c r="BP259" s="709"/>
      <c r="BW259" s="959" t="str">
        <f t="shared" si="101"/>
        <v>►</v>
      </c>
      <c r="CB259"/>
      <c r="CC259" s="856"/>
      <c r="DB259" s="3">
        <v>1</v>
      </c>
    </row>
    <row r="260" spans="1:108" ht="21" customHeight="1">
      <c r="A260" s="936" t="s">
        <v>22</v>
      </c>
      <c r="B260" s="952" t="str">
        <f t="shared" si="100"/>
        <v>A</v>
      </c>
      <c r="C260" s="993" cm="1">
        <f t="array" ref="C260">SUMPRODUCT(LEN(D260:J260))</f>
        <v>0</v>
      </c>
      <c r="D260" s="167"/>
      <c r="E260" s="172"/>
      <c r="F260" s="172"/>
      <c r="G260" s="172"/>
      <c r="H260" s="172"/>
      <c r="I260" s="172"/>
      <c r="J260" s="173"/>
      <c r="K260" s="442" t="s">
        <v>22</v>
      </c>
      <c r="L260" s="104" t="str">
        <f t="shared" si="128"/>
        <v>A</v>
      </c>
      <c r="M260" s="157" t="str">
        <f>M205</f>
        <v>N NOTRE BOUDIN NOIR | | Auteur &gt; Guy KRENZE - Eric GODDYN - Arnaud NICOLAS - CEPROC 2002</v>
      </c>
      <c r="N260" s="157">
        <f>N205</f>
        <v>16.34</v>
      </c>
      <c r="O260" s="158" t="str">
        <f>O205</f>
        <v>Kg</v>
      </c>
      <c r="P260" s="159" t="str">
        <f>P205</f>
        <v>Recette mère ► le Boudin en 4 déclinaisons</v>
      </c>
      <c r="Q260" s="5128">
        <f>IF(ISBLANK(R260),"",LARGE(Q251:Q259,1)+1)</f>
        <v>9</v>
      </c>
      <c r="R260" s="5040" t="s">
        <v>13092</v>
      </c>
      <c r="S260" s="172"/>
      <c r="T260" s="172"/>
      <c r="U260" s="172"/>
      <c r="V260" s="172"/>
      <c r="W260" s="172"/>
      <c r="X260" s="172"/>
      <c r="Y260" s="172"/>
      <c r="Z260" s="555"/>
      <c r="AA260" s="5211"/>
      <c r="AB260" s="1178"/>
      <c r="AC260" s="1179"/>
      <c r="AD260" s="227" t="s">
        <v>22</v>
      </c>
      <c r="AE260" s="1027" t="str">
        <f t="shared" si="104"/>
        <v>►</v>
      </c>
      <c r="AF260" s="1028" t="str">
        <f t="shared" si="105"/>
        <v/>
      </c>
      <c r="AG260" s="1029" t="str">
        <f t="shared" si="106"/>
        <v/>
      </c>
      <c r="AH260" s="1028" t="str">
        <f t="shared" si="107"/>
        <v/>
      </c>
      <c r="AI260" s="1029" t="str">
        <f t="shared" si="108"/>
        <v/>
      </c>
      <c r="AJ260" s="1029">
        <f t="shared" si="109"/>
        <v>0</v>
      </c>
      <c r="AK260" s="1043" t="str" cm="1">
        <f t="array" ref="AK260">IF(AE260&lt;&gt;"A","",IFERROR((IFERROR(_xlfn.XLOOKUP(TRIM(SUBSTITUTE(U260,CHAR(160)," ")),$BI$15:$BI$62,$BL$15:$BL$62),IFERROR(_xlfn.XLOOKUP(TRIM(SUBSTITUTE(U260,CHAR(160)," ")),$BJ$15:$BJ$62,$BL$15:$BL$62),_xlfn.XLOOKUP(TRIM(SUBSTITUTE(U260,CHAR(160)," ")),$BK$15:$BK$62,$BL$15:$BL$62))))*T260*IF(ISBLANK(Q260),1,Q260)+IFERROR(_xlfn.XLOOKUP("RECHERCHEX",TRIM(L260:AC260),L260:AC260),0),0))</f>
        <v/>
      </c>
      <c r="AL260" s="1030">
        <f t="shared" si="110"/>
        <v>0</v>
      </c>
      <c r="AM260" s="5254" t="str">
        <f t="shared" si="125"/>
        <v/>
      </c>
      <c r="AN260" s="1031">
        <f t="shared" si="111"/>
        <v>0</v>
      </c>
      <c r="AO260" s="1031">
        <f t="shared" si="112"/>
        <v>0</v>
      </c>
      <c r="AP260" s="1032">
        <f t="shared" si="113"/>
        <v>0</v>
      </c>
      <c r="AQ260" s="5255" t="str">
        <f t="shared" si="114"/>
        <v/>
      </c>
      <c r="AR260" s="1056"/>
      <c r="AS260" s="1056"/>
      <c r="AT260" s="1034">
        <f t="shared" si="115"/>
        <v>0</v>
      </c>
      <c r="AU260" s="1035">
        <f t="shared" si="116"/>
        <v>0</v>
      </c>
      <c r="AV260" s="1057" cm="1">
        <f t="array" ref="AV260">IF(AJ260&lt;&gt;1,0,IF(OR(AT260="",N(AT260)&lt;=0.000000001),"",IF(OR(AN260="",N(AN260)&lt;=0.000000001),0,IF(ISNUMBER(AT260),IFERROR(_xlfn.LET(_xlpm.ai_test,TRIM(AI260),_xlpm.r,IFERROR(_xlfn.XLOOKUP(_xlpm.ai_test,$BI$15:$BI$62,ROW($BI$15:$BI$62),0,1),IFERROR(_xlfn.XLOOKUP(_xlpm.ai_test,$BJ$15:$BJ$62,ROW($BJ$15:$BJ$62),0,1),_xlfn.XLOOKUP(_xlpm.ai_test,$BK$15:$BK$62,ROW($BK$15:$BK$62),0,1))),_xlpm.p,_xlpm.r-MIN(ROW($BI$15:$BI$62))+1,_xlpm.f,INDEX($BL$15:$BL$62,_xlpm.p),_xlpm.u,INDEX($BM$15:$BM$62,_xlpm.p),_xlpm.s,INDEX($BO$15:$BO$62,_xlpm.p),_xlpm.q,N(AT260)/_xlpm.f,IF(_xlpm.q&gt;=_xlpm.s,ROUND(_xlpm.q,1)&amp;" "&amp;_xlpm.ai_test&amp;" = "&amp;ROUND(_xlpm.q*_xlpm.f,1)&amp;" "&amp;_xlpm.u,ROUND(_xlpm.q,1)&amp;" "&amp;_xlpm.ai_test)),""),""))))</f>
        <v>0</v>
      </c>
      <c r="AW260" s="1047"/>
      <c r="AX260" s="1034">
        <f t="shared" si="117"/>
        <v>0</v>
      </c>
      <c r="AY260" s="1035" t="str">
        <f t="shared" si="118"/>
        <v/>
      </c>
      <c r="AZ260" s="1036">
        <f t="shared" si="123"/>
        <v>0</v>
      </c>
      <c r="BA260" s="1037" t="str">
        <f t="shared" si="119"/>
        <v/>
      </c>
      <c r="BB260" s="1038"/>
      <c r="BC260" s="1039">
        <f t="shared" si="124"/>
        <v>0</v>
      </c>
      <c r="BD260" s="1040" t="str">
        <f t="shared" si="120"/>
        <v/>
      </c>
      <c r="BE260" s="227" t="s">
        <v>22</v>
      </c>
      <c r="BF260" s="1019">
        <f t="shared" si="121"/>
        <v>0</v>
      </c>
      <c r="BG260" s="1020">
        <f t="shared" si="122"/>
        <v>0</v>
      </c>
      <c r="BH260"/>
      <c r="BI260" s="709"/>
      <c r="BJ260" s="709"/>
      <c r="BK260" s="709"/>
      <c r="BL260" s="709"/>
      <c r="BM260" s="709"/>
      <c r="BN260" s="709"/>
      <c r="BO260" s="709"/>
      <c r="BP260" s="709"/>
      <c r="BW260" s="959" t="str">
        <f t="shared" si="101"/>
        <v>►</v>
      </c>
      <c r="CB260"/>
      <c r="CC260" s="856"/>
      <c r="DB260" s="3">
        <v>1</v>
      </c>
    </row>
    <row r="261" spans="1:108" ht="21" customHeight="1">
      <c r="A261" s="936" t="s">
        <v>22</v>
      </c>
      <c r="B261" s="952" t="str">
        <f t="shared" ref="B261:B304" si="129">L261</f>
        <v>A</v>
      </c>
      <c r="C261" s="993" cm="1">
        <f t="array" ref="C261">SUMPRODUCT(LEN(D261:J261))</f>
        <v>0</v>
      </c>
      <c r="D261" s="167"/>
      <c r="E261" s="172"/>
      <c r="F261" s="172"/>
      <c r="G261" s="172"/>
      <c r="H261" s="172"/>
      <c r="I261" s="172"/>
      <c r="J261" s="173"/>
      <c r="K261" s="442" t="s">
        <v>22</v>
      </c>
      <c r="L261" s="104" t="str">
        <f t="shared" si="128"/>
        <v>A</v>
      </c>
      <c r="M261" s="157" t="str">
        <f>M205</f>
        <v>N NOTRE BOUDIN NOIR | | Auteur &gt; Guy KRENZE - Eric GODDYN - Arnaud NICOLAS - CEPROC 2002</v>
      </c>
      <c r="N261" s="157">
        <f>N205</f>
        <v>16.34</v>
      </c>
      <c r="O261" s="158" t="str">
        <f>O205</f>
        <v>Kg</v>
      </c>
      <c r="P261" s="159" t="str">
        <f>P205</f>
        <v>Recette mère ► le Boudin en 4 déclinaisons</v>
      </c>
      <c r="Q261" s="5128">
        <f>IF(ISBLANK(R261),"",LARGE(Q251:Q260,1)+1)</f>
        <v>10</v>
      </c>
      <c r="R261" s="5040" t="s">
        <v>13093</v>
      </c>
      <c r="S261" s="172"/>
      <c r="T261" s="172"/>
      <c r="U261" s="172"/>
      <c r="V261" s="172"/>
      <c r="W261" s="172"/>
      <c r="X261" s="172"/>
      <c r="Y261" s="172"/>
      <c r="Z261" s="555"/>
      <c r="AA261" s="5211"/>
      <c r="AB261" s="1178"/>
      <c r="AC261" s="1179"/>
      <c r="AD261" s="227" t="s">
        <v>22</v>
      </c>
      <c r="AE261" s="1027" t="str">
        <f t="shared" si="104"/>
        <v>►</v>
      </c>
      <c r="AF261" s="1028" t="str">
        <f t="shared" si="105"/>
        <v/>
      </c>
      <c r="AG261" s="1029" t="str">
        <f t="shared" si="106"/>
        <v/>
      </c>
      <c r="AH261" s="1028" t="str">
        <f t="shared" si="107"/>
        <v/>
      </c>
      <c r="AI261" s="1029" t="str">
        <f t="shared" si="108"/>
        <v/>
      </c>
      <c r="AJ261" s="1029">
        <f t="shared" si="109"/>
        <v>0</v>
      </c>
      <c r="AK261" s="1043" t="str" cm="1">
        <f t="array" ref="AK261">IF(AE261&lt;&gt;"A","",IFERROR((IFERROR(_xlfn.XLOOKUP(TRIM(SUBSTITUTE(U261,CHAR(160)," ")),$BI$15:$BI$62,$BL$15:$BL$62),IFERROR(_xlfn.XLOOKUP(TRIM(SUBSTITUTE(U261,CHAR(160)," ")),$BJ$15:$BJ$62,$BL$15:$BL$62),_xlfn.XLOOKUP(TRIM(SUBSTITUTE(U261,CHAR(160)," ")),$BK$15:$BK$62,$BL$15:$BL$62))))*T261*IF(ISBLANK(Q261),1,Q261)+IFERROR(_xlfn.XLOOKUP("RECHERCHEX",TRIM(L261:AC261),L261:AC261),0),0))</f>
        <v/>
      </c>
      <c r="AL261" s="1030">
        <f t="shared" si="110"/>
        <v>0</v>
      </c>
      <c r="AM261" s="5254" t="str">
        <f t="shared" si="125"/>
        <v/>
      </c>
      <c r="AN261" s="1031">
        <f t="shared" si="111"/>
        <v>0</v>
      </c>
      <c r="AO261" s="1031">
        <f t="shared" si="112"/>
        <v>0</v>
      </c>
      <c r="AP261" s="1044">
        <f t="shared" si="113"/>
        <v>0</v>
      </c>
      <c r="AQ261" s="5257" t="str">
        <f t="shared" si="114"/>
        <v/>
      </c>
      <c r="AR261" s="1056"/>
      <c r="AS261" s="1056"/>
      <c r="AT261" s="1045">
        <f t="shared" si="115"/>
        <v>0</v>
      </c>
      <c r="AU261" s="1046">
        <f t="shared" si="116"/>
        <v>0</v>
      </c>
      <c r="AV261" s="1059" cm="1">
        <f t="array" ref="AV261">IF(AJ261&lt;&gt;1,0,IF(OR(AT261="",N(AT261)&lt;=0.000000001),"",IF(OR(AN261="",N(AN261)&lt;=0.000000001),0,IF(ISNUMBER(AT261),IFERROR(_xlfn.LET(_xlpm.ai_test,TRIM(AI261),_xlpm.r,IFERROR(_xlfn.XLOOKUP(_xlpm.ai_test,$BI$15:$BI$62,ROW($BI$15:$BI$62),0,1),IFERROR(_xlfn.XLOOKUP(_xlpm.ai_test,$BJ$15:$BJ$62,ROW($BJ$15:$BJ$62),0,1),_xlfn.XLOOKUP(_xlpm.ai_test,$BK$15:$BK$62,ROW($BK$15:$BK$62),0,1))),_xlpm.p,_xlpm.r-MIN(ROW($BI$15:$BI$62))+1,_xlpm.f,INDEX($BL$15:$BL$62,_xlpm.p),_xlpm.u,INDEX($BM$15:$BM$62,_xlpm.p),_xlpm.s,INDEX($BO$15:$BO$62,_xlpm.p),_xlpm.q,N(AT261)/_xlpm.f,IF(_xlpm.q&gt;=_xlpm.s,ROUND(_xlpm.q,1)&amp;" "&amp;_xlpm.ai_test&amp;" = "&amp;ROUND(_xlpm.q*_xlpm.f,1)&amp;" "&amp;_xlpm.u,ROUND(_xlpm.q,1)&amp;" "&amp;_xlpm.ai_test)),""),""))))</f>
        <v>0</v>
      </c>
      <c r="AW261" s="1047"/>
      <c r="AX261" s="1045">
        <f t="shared" si="117"/>
        <v>0</v>
      </c>
      <c r="AY261" s="1046" t="str">
        <f t="shared" si="118"/>
        <v/>
      </c>
      <c r="AZ261" s="1048">
        <f t="shared" si="123"/>
        <v>0</v>
      </c>
      <c r="BA261" s="1049" t="str">
        <f t="shared" si="119"/>
        <v/>
      </c>
      <c r="BB261" s="1038"/>
      <c r="BC261" s="1050">
        <f t="shared" si="124"/>
        <v>0</v>
      </c>
      <c r="BD261" s="1040" t="str">
        <f t="shared" si="120"/>
        <v/>
      </c>
      <c r="BE261" s="227" t="s">
        <v>22</v>
      </c>
      <c r="BF261" s="1019">
        <f t="shared" si="121"/>
        <v>0</v>
      </c>
      <c r="BG261" s="1020">
        <f t="shared" si="122"/>
        <v>0</v>
      </c>
      <c r="BH261"/>
      <c r="BI261" s="709"/>
      <c r="BJ261" s="709"/>
      <c r="BK261" s="709"/>
      <c r="BL261" s="709"/>
      <c r="BM261" s="709"/>
      <c r="BN261" s="709"/>
      <c r="BO261" s="709"/>
      <c r="BP261" s="709"/>
      <c r="BW261" s="959" t="str">
        <f t="shared" ref="BW261:BW324" si="130">AE261</f>
        <v>►</v>
      </c>
      <c r="CB261"/>
      <c r="CC261" s="856"/>
      <c r="DB261" s="3">
        <v>1</v>
      </c>
    </row>
    <row r="262" spans="1:108" ht="21" customHeight="1">
      <c r="A262" s="936" t="s">
        <v>22</v>
      </c>
      <c r="B262" s="952" t="str">
        <f t="shared" si="129"/>
        <v>A</v>
      </c>
      <c r="C262" s="993" cm="1">
        <f t="array" ref="C262">SUMPRODUCT(LEN(D262:J262))</f>
        <v>0</v>
      </c>
      <c r="D262" s="167"/>
      <c r="E262" s="172"/>
      <c r="F262" s="172"/>
      <c r="G262" s="172"/>
      <c r="H262" s="172"/>
      <c r="I262" s="172"/>
      <c r="J262" s="173"/>
      <c r="K262" s="442" t="s">
        <v>22</v>
      </c>
      <c r="L262" s="104" t="str">
        <f t="shared" si="128"/>
        <v>A</v>
      </c>
      <c r="M262" s="157" t="str">
        <f>M205</f>
        <v>N NOTRE BOUDIN NOIR | | Auteur &gt; Guy KRENZE - Eric GODDYN - Arnaud NICOLAS - CEPROC 2002</v>
      </c>
      <c r="N262" s="157">
        <f>N205</f>
        <v>16.34</v>
      </c>
      <c r="O262" s="158" t="str">
        <f>O205</f>
        <v>Kg</v>
      </c>
      <c r="P262" s="159" t="str">
        <f>P205</f>
        <v>Recette mère ► le Boudin en 4 déclinaisons</v>
      </c>
      <c r="Q262" s="5128">
        <f>IF(ISBLANK(R262),"",LARGE(Q251:Q261,1)+1)</f>
        <v>11</v>
      </c>
      <c r="R262" s="5040" t="s">
        <v>13094</v>
      </c>
      <c r="S262" s="172"/>
      <c r="T262" s="172"/>
      <c r="U262" s="172"/>
      <c r="V262" s="172"/>
      <c r="W262" s="172"/>
      <c r="X262" s="172"/>
      <c r="Y262" s="172"/>
      <c r="Z262" s="555"/>
      <c r="AA262" s="5211"/>
      <c r="AB262" s="1178"/>
      <c r="AC262" s="1179"/>
      <c r="AD262" s="227" t="s">
        <v>22</v>
      </c>
      <c r="AE262" s="1027" t="str">
        <f t="shared" si="104"/>
        <v>►</v>
      </c>
      <c r="AF262" s="1028" t="str">
        <f t="shared" si="105"/>
        <v/>
      </c>
      <c r="AG262" s="1029" t="str">
        <f t="shared" si="106"/>
        <v/>
      </c>
      <c r="AH262" s="1028" t="str">
        <f t="shared" si="107"/>
        <v/>
      </c>
      <c r="AI262" s="1029" t="str">
        <f t="shared" si="108"/>
        <v/>
      </c>
      <c r="AJ262" s="1029">
        <f t="shared" si="109"/>
        <v>0</v>
      </c>
      <c r="AK262" s="1043" t="str" cm="1">
        <f t="array" ref="AK262">IF(AE262&lt;&gt;"A","",IFERROR((IFERROR(_xlfn.XLOOKUP(TRIM(SUBSTITUTE(U262,CHAR(160)," ")),$BI$15:$BI$62,$BL$15:$BL$62),IFERROR(_xlfn.XLOOKUP(TRIM(SUBSTITUTE(U262,CHAR(160)," ")),$BJ$15:$BJ$62,$BL$15:$BL$62),_xlfn.XLOOKUP(TRIM(SUBSTITUTE(U262,CHAR(160)," ")),$BK$15:$BK$62,$BL$15:$BL$62))))*T262*IF(ISBLANK(Q262),1,Q262)+IFERROR(_xlfn.XLOOKUP("RECHERCHEX",TRIM(L262:AC262),L262:AC262),0),0))</f>
        <v/>
      </c>
      <c r="AL262" s="1030">
        <f t="shared" si="110"/>
        <v>0</v>
      </c>
      <c r="AM262" s="5254" t="str">
        <f t="shared" si="125"/>
        <v/>
      </c>
      <c r="AN262" s="1031">
        <f t="shared" si="111"/>
        <v>0</v>
      </c>
      <c r="AO262" s="1031">
        <f t="shared" si="112"/>
        <v>0</v>
      </c>
      <c r="AP262" s="1032">
        <f t="shared" si="113"/>
        <v>0</v>
      </c>
      <c r="AQ262" s="5255" t="str">
        <f t="shared" si="114"/>
        <v/>
      </c>
      <c r="AR262" s="1056"/>
      <c r="AS262" s="1056"/>
      <c r="AT262" s="1034">
        <f t="shared" si="115"/>
        <v>0</v>
      </c>
      <c r="AU262" s="1035">
        <f t="shared" si="116"/>
        <v>0</v>
      </c>
      <c r="AV262" s="1057" cm="1">
        <f t="array" ref="AV262">IF(AJ262&lt;&gt;1,0,IF(OR(AT262="",N(AT262)&lt;=0.000000001),"",IF(OR(AN262="",N(AN262)&lt;=0.000000001),0,IF(ISNUMBER(AT262),IFERROR(_xlfn.LET(_xlpm.ai_test,TRIM(AI262),_xlpm.r,IFERROR(_xlfn.XLOOKUP(_xlpm.ai_test,$BI$15:$BI$62,ROW($BI$15:$BI$62),0,1),IFERROR(_xlfn.XLOOKUP(_xlpm.ai_test,$BJ$15:$BJ$62,ROW($BJ$15:$BJ$62),0,1),_xlfn.XLOOKUP(_xlpm.ai_test,$BK$15:$BK$62,ROW($BK$15:$BK$62),0,1))),_xlpm.p,_xlpm.r-MIN(ROW($BI$15:$BI$62))+1,_xlpm.f,INDEX($BL$15:$BL$62,_xlpm.p),_xlpm.u,INDEX($BM$15:$BM$62,_xlpm.p),_xlpm.s,INDEX($BO$15:$BO$62,_xlpm.p),_xlpm.q,N(AT262)/_xlpm.f,IF(_xlpm.q&gt;=_xlpm.s,ROUND(_xlpm.q,1)&amp;" "&amp;_xlpm.ai_test&amp;" = "&amp;ROUND(_xlpm.q*_xlpm.f,1)&amp;" "&amp;_xlpm.u,ROUND(_xlpm.q,1)&amp;" "&amp;_xlpm.ai_test)),""),""))))</f>
        <v>0</v>
      </c>
      <c r="AW262" s="1047"/>
      <c r="AX262" s="1034">
        <f t="shared" si="117"/>
        <v>0</v>
      </c>
      <c r="AY262" s="1035" t="str">
        <f t="shared" si="118"/>
        <v/>
      </c>
      <c r="AZ262" s="1036">
        <f t="shared" si="123"/>
        <v>0</v>
      </c>
      <c r="BA262" s="1037" t="str">
        <f t="shared" si="119"/>
        <v/>
      </c>
      <c r="BB262" s="1038"/>
      <c r="BC262" s="1039">
        <f t="shared" si="124"/>
        <v>0</v>
      </c>
      <c r="BD262" s="1040" t="str">
        <f t="shared" si="120"/>
        <v/>
      </c>
      <c r="BE262" s="227" t="s">
        <v>22</v>
      </c>
      <c r="BF262" s="1019">
        <f t="shared" si="121"/>
        <v>0</v>
      </c>
      <c r="BG262" s="1020">
        <f t="shared" si="122"/>
        <v>0</v>
      </c>
      <c r="BH262"/>
      <c r="BI262" s="709"/>
      <c r="BJ262" s="709"/>
      <c r="BK262" s="709"/>
      <c r="BL262" s="709"/>
      <c r="BM262" s="709"/>
      <c r="BN262" s="709"/>
      <c r="BO262" s="709"/>
      <c r="BP262" s="709"/>
      <c r="BW262" s="959" t="str">
        <f t="shared" si="130"/>
        <v>►</v>
      </c>
      <c r="CB262"/>
      <c r="CC262" s="856"/>
      <c r="DB262" s="3">
        <v>1</v>
      </c>
    </row>
    <row r="263" spans="1:108" ht="21" customHeight="1">
      <c r="A263" s="936" t="s">
        <v>22</v>
      </c>
      <c r="B263" s="952" t="str">
        <f t="shared" si="129"/>
        <v>►</v>
      </c>
      <c r="C263" s="993" cm="1">
        <f t="array" ref="C263">SUMPRODUCT(LEN(D263:J263))</f>
        <v>0</v>
      </c>
      <c r="D263" s="167"/>
      <c r="E263" s="172"/>
      <c r="F263" s="172"/>
      <c r="G263" s="172"/>
      <c r="H263" s="172"/>
      <c r="I263" s="172"/>
      <c r="J263" s="173" t="str">
        <f>""&amp;T257</f>
        <v/>
      </c>
      <c r="K263" s="442" t="s">
        <v>22</v>
      </c>
      <c r="L263" s="104" t="str">
        <f t="shared" si="128"/>
        <v>►</v>
      </c>
      <c r="M263" s="157" t="str">
        <f>M205</f>
        <v>N NOTRE BOUDIN NOIR | | Auteur &gt; Guy KRENZE - Eric GODDYN - Arnaud NICOLAS - CEPROC 2002</v>
      </c>
      <c r="N263" s="157">
        <f>N205</f>
        <v>16.34</v>
      </c>
      <c r="O263" s="158" t="str">
        <f>O205</f>
        <v>Kg</v>
      </c>
      <c r="P263" s="159" t="str">
        <f>P205</f>
        <v>Recette mère ► le Boudin en 4 déclinaisons</v>
      </c>
      <c r="Q263" s="5128" t="str">
        <f>IF(ISBLANK(R263),"",LARGE(Q251:Q262,1)+1)</f>
        <v/>
      </c>
      <c r="R263" s="5040"/>
      <c r="S263" s="172"/>
      <c r="T263" s="172"/>
      <c r="U263" s="172"/>
      <c r="V263" s="172"/>
      <c r="W263" s="5179"/>
      <c r="X263" s="172"/>
      <c r="Y263" s="172"/>
      <c r="Z263" s="555"/>
      <c r="AA263" s="5211"/>
      <c r="AB263" s="1178"/>
      <c r="AC263" s="1179"/>
      <c r="AD263" s="227" t="s">
        <v>22</v>
      </c>
      <c r="AE263" s="1027" t="str">
        <f t="shared" si="104"/>
        <v>►</v>
      </c>
      <c r="AF263" s="1028" t="str">
        <f t="shared" si="105"/>
        <v/>
      </c>
      <c r="AG263" s="1029" t="str">
        <f t="shared" si="106"/>
        <v/>
      </c>
      <c r="AH263" s="1028" t="str">
        <f t="shared" si="107"/>
        <v/>
      </c>
      <c r="AI263" s="1029" t="str">
        <f t="shared" si="108"/>
        <v/>
      </c>
      <c r="AJ263" s="1029">
        <f t="shared" si="109"/>
        <v>0</v>
      </c>
      <c r="AK263" s="1043" t="str" cm="1">
        <f t="array" ref="AK263">IF(AE263&lt;&gt;"A","",IFERROR((IFERROR(_xlfn.XLOOKUP(TRIM(SUBSTITUTE(U263,CHAR(160)," ")),$BI$15:$BI$62,$BL$15:$BL$62),IFERROR(_xlfn.XLOOKUP(TRIM(SUBSTITUTE(U263,CHAR(160)," ")),$BJ$15:$BJ$62,$BL$15:$BL$62),_xlfn.XLOOKUP(TRIM(SUBSTITUTE(U263,CHAR(160)," ")),$BK$15:$BK$62,$BL$15:$BL$62))))*T263*IF(ISBLANK(Q263),1,Q263)+IFERROR(_xlfn.XLOOKUP("RECHERCHEX",TRIM(L263:AC263),L263:AC263),0),0))</f>
        <v/>
      </c>
      <c r="AL263" s="1030">
        <f t="shared" si="110"/>
        <v>0</v>
      </c>
      <c r="AM263" s="5254" t="str">
        <f t="shared" si="125"/>
        <v/>
      </c>
      <c r="AN263" s="1031">
        <f t="shared" si="111"/>
        <v>0</v>
      </c>
      <c r="AO263" s="1031">
        <f t="shared" si="112"/>
        <v>0</v>
      </c>
      <c r="AP263" s="1044">
        <f t="shared" si="113"/>
        <v>0</v>
      </c>
      <c r="AQ263" s="5257" t="str">
        <f t="shared" si="114"/>
        <v/>
      </c>
      <c r="AR263" s="1056"/>
      <c r="AS263" s="1056"/>
      <c r="AT263" s="1045">
        <f t="shared" si="115"/>
        <v>0</v>
      </c>
      <c r="AU263" s="1046">
        <f t="shared" si="116"/>
        <v>0</v>
      </c>
      <c r="AV263" s="1059" cm="1">
        <f t="array" ref="AV263">IF(AJ263&lt;&gt;1,0,IF(OR(AT263="",N(AT263)&lt;=0.000000001),"",IF(OR(AN263="",N(AN263)&lt;=0.000000001),0,IF(ISNUMBER(AT263),IFERROR(_xlfn.LET(_xlpm.ai_test,TRIM(AI263),_xlpm.r,IFERROR(_xlfn.XLOOKUP(_xlpm.ai_test,$BI$15:$BI$62,ROW($BI$15:$BI$62),0,1),IFERROR(_xlfn.XLOOKUP(_xlpm.ai_test,$BJ$15:$BJ$62,ROW($BJ$15:$BJ$62),0,1),_xlfn.XLOOKUP(_xlpm.ai_test,$BK$15:$BK$62,ROW($BK$15:$BK$62),0,1))),_xlpm.p,_xlpm.r-MIN(ROW($BI$15:$BI$62))+1,_xlpm.f,INDEX($BL$15:$BL$62,_xlpm.p),_xlpm.u,INDEX($BM$15:$BM$62,_xlpm.p),_xlpm.s,INDEX($BO$15:$BO$62,_xlpm.p),_xlpm.q,N(AT263)/_xlpm.f,IF(_xlpm.q&gt;=_xlpm.s,ROUND(_xlpm.q,1)&amp;" "&amp;_xlpm.ai_test&amp;" = "&amp;ROUND(_xlpm.q*_xlpm.f,1)&amp;" "&amp;_xlpm.u,ROUND(_xlpm.q,1)&amp;" "&amp;_xlpm.ai_test)),""),""))))</f>
        <v>0</v>
      </c>
      <c r="AW263" s="1047"/>
      <c r="AX263" s="1045">
        <f t="shared" si="117"/>
        <v>0</v>
      </c>
      <c r="AY263" s="1046" t="str">
        <f t="shared" si="118"/>
        <v/>
      </c>
      <c r="AZ263" s="1048">
        <f t="shared" si="123"/>
        <v>0</v>
      </c>
      <c r="BA263" s="1049" t="str">
        <f t="shared" si="119"/>
        <v/>
      </c>
      <c r="BB263" s="1038"/>
      <c r="BC263" s="1050">
        <f t="shared" si="124"/>
        <v>0</v>
      </c>
      <c r="BD263" s="1040" t="str">
        <f t="shared" si="120"/>
        <v/>
      </c>
      <c r="BE263" s="227" t="s">
        <v>22</v>
      </c>
      <c r="BF263" s="1019">
        <f t="shared" si="121"/>
        <v>0</v>
      </c>
      <c r="BG263" s="1020">
        <f t="shared" si="122"/>
        <v>0</v>
      </c>
      <c r="BH263"/>
      <c r="BI263" s="709"/>
      <c r="BJ263" s="709"/>
      <c r="BK263" s="709"/>
      <c r="BL263" s="709"/>
      <c r="BM263" s="709"/>
      <c r="BN263" s="709"/>
      <c r="BO263" s="709"/>
      <c r="BP263" s="709"/>
      <c r="BW263" s="959" t="str">
        <f t="shared" si="130"/>
        <v>►</v>
      </c>
      <c r="CB263"/>
      <c r="CC263" s="856"/>
      <c r="DB263" s="3">
        <v>1</v>
      </c>
    </row>
    <row r="264" spans="1:108" ht="21" customHeight="1">
      <c r="A264" s="936" t="s">
        <v>22</v>
      </c>
      <c r="B264" s="952" t="str">
        <f t="shared" si="129"/>
        <v>►</v>
      </c>
      <c r="C264" s="993" cm="1">
        <f t="array" ref="C264">SUMPRODUCT(LEN(D264:J264))</f>
        <v>0</v>
      </c>
      <c r="D264" s="167"/>
      <c r="E264" s="172"/>
      <c r="F264" s="172"/>
      <c r="G264" s="172"/>
      <c r="H264" s="172"/>
      <c r="I264" s="172"/>
      <c r="J264" s="173"/>
      <c r="K264" s="442" t="s">
        <v>22</v>
      </c>
      <c r="L264" s="104" t="str">
        <f t="shared" si="128"/>
        <v>►</v>
      </c>
      <c r="M264" s="157" t="str">
        <f>M205</f>
        <v>N NOTRE BOUDIN NOIR | | Auteur &gt; Guy KRENZE - Eric GODDYN - Arnaud NICOLAS - CEPROC 2002</v>
      </c>
      <c r="N264" s="157">
        <f>N205</f>
        <v>16.34</v>
      </c>
      <c r="O264" s="158" t="str">
        <f>O205</f>
        <v>Kg</v>
      </c>
      <c r="P264" s="159" t="str">
        <f>P205</f>
        <v>Recette mère ► le Boudin en 4 déclinaisons</v>
      </c>
      <c r="Q264" s="5128" t="str">
        <f>IF(ISBLANK(R264),"",LARGE(Q251:Q263,1)+1)</f>
        <v/>
      </c>
      <c r="R264" s="5040"/>
      <c r="S264" s="172"/>
      <c r="T264" s="172"/>
      <c r="U264" s="172"/>
      <c r="V264" s="172"/>
      <c r="W264" s="172"/>
      <c r="X264" s="172"/>
      <c r="Y264" s="172"/>
      <c r="Z264" s="555"/>
      <c r="AA264" s="5211"/>
      <c r="AB264" s="1178"/>
      <c r="AC264" s="1179"/>
      <c r="AD264" s="227" t="s">
        <v>22</v>
      </c>
      <c r="AE264" s="1027" t="str">
        <f t="shared" si="104"/>
        <v>►</v>
      </c>
      <c r="AF264" s="1028" t="str">
        <f t="shared" si="105"/>
        <v/>
      </c>
      <c r="AG264" s="1029" t="str">
        <f t="shared" si="106"/>
        <v/>
      </c>
      <c r="AH264" s="1028" t="str">
        <f t="shared" si="107"/>
        <v/>
      </c>
      <c r="AI264" s="1029" t="str">
        <f t="shared" si="108"/>
        <v/>
      </c>
      <c r="AJ264" s="1029">
        <f t="shared" si="109"/>
        <v>0</v>
      </c>
      <c r="AK264" s="1043" t="str" cm="1">
        <f t="array" ref="AK264">IF(AE264&lt;&gt;"A","",IFERROR((IFERROR(_xlfn.XLOOKUP(TRIM(SUBSTITUTE(U264,CHAR(160)," ")),$BI$15:$BI$62,$BL$15:$BL$62),IFERROR(_xlfn.XLOOKUP(TRIM(SUBSTITUTE(U264,CHAR(160)," ")),$BJ$15:$BJ$62,$BL$15:$BL$62),_xlfn.XLOOKUP(TRIM(SUBSTITUTE(U264,CHAR(160)," ")),$BK$15:$BK$62,$BL$15:$BL$62))))*T264*IF(ISBLANK(Q264),1,Q264)+IFERROR(_xlfn.XLOOKUP("RECHERCHEX",TRIM(L264:AC264),L264:AC264),0),0))</f>
        <v/>
      </c>
      <c r="AL264" s="1030">
        <f t="shared" si="110"/>
        <v>0</v>
      </c>
      <c r="AM264" s="5254" t="str">
        <f t="shared" si="125"/>
        <v/>
      </c>
      <c r="AN264" s="1031">
        <f t="shared" si="111"/>
        <v>0</v>
      </c>
      <c r="AO264" s="1031">
        <f t="shared" si="112"/>
        <v>0</v>
      </c>
      <c r="AP264" s="1032">
        <f t="shared" si="113"/>
        <v>0</v>
      </c>
      <c r="AQ264" s="5255" t="str">
        <f t="shared" si="114"/>
        <v/>
      </c>
      <c r="AR264" s="1056"/>
      <c r="AS264" s="1056"/>
      <c r="AT264" s="1034">
        <f t="shared" si="115"/>
        <v>0</v>
      </c>
      <c r="AU264" s="1035">
        <f t="shared" si="116"/>
        <v>0</v>
      </c>
      <c r="AV264" s="1057" cm="1">
        <f t="array" ref="AV264">IF(AJ264&lt;&gt;1,0,IF(OR(AT264="",N(AT264)&lt;=0.000000001),"",IF(OR(AN264="",N(AN264)&lt;=0.000000001),0,IF(ISNUMBER(AT264),IFERROR(_xlfn.LET(_xlpm.ai_test,TRIM(AI264),_xlpm.r,IFERROR(_xlfn.XLOOKUP(_xlpm.ai_test,$BI$15:$BI$62,ROW($BI$15:$BI$62),0,1),IFERROR(_xlfn.XLOOKUP(_xlpm.ai_test,$BJ$15:$BJ$62,ROW($BJ$15:$BJ$62),0,1),_xlfn.XLOOKUP(_xlpm.ai_test,$BK$15:$BK$62,ROW($BK$15:$BK$62),0,1))),_xlpm.p,_xlpm.r-MIN(ROW($BI$15:$BI$62))+1,_xlpm.f,INDEX($BL$15:$BL$62,_xlpm.p),_xlpm.u,INDEX($BM$15:$BM$62,_xlpm.p),_xlpm.s,INDEX($BO$15:$BO$62,_xlpm.p),_xlpm.q,N(AT264)/_xlpm.f,IF(_xlpm.q&gt;=_xlpm.s,ROUND(_xlpm.q,1)&amp;" "&amp;_xlpm.ai_test&amp;" = "&amp;ROUND(_xlpm.q*_xlpm.f,1)&amp;" "&amp;_xlpm.u,ROUND(_xlpm.q,1)&amp;" "&amp;_xlpm.ai_test)),""),""))))</f>
        <v>0</v>
      </c>
      <c r="AW264" s="1047"/>
      <c r="AX264" s="1034">
        <f t="shared" si="117"/>
        <v>0</v>
      </c>
      <c r="AY264" s="1035" t="str">
        <f t="shared" si="118"/>
        <v/>
      </c>
      <c r="AZ264" s="1036">
        <f t="shared" si="123"/>
        <v>0</v>
      </c>
      <c r="BA264" s="1037" t="str">
        <f t="shared" si="119"/>
        <v/>
      </c>
      <c r="BB264" s="1038"/>
      <c r="BC264" s="1039">
        <f t="shared" si="124"/>
        <v>0</v>
      </c>
      <c r="BD264" s="1040" t="str">
        <f t="shared" si="120"/>
        <v/>
      </c>
      <c r="BE264" s="227" t="s">
        <v>22</v>
      </c>
      <c r="BF264" s="1019">
        <f t="shared" si="121"/>
        <v>0</v>
      </c>
      <c r="BG264" s="1020">
        <f t="shared" si="122"/>
        <v>0</v>
      </c>
      <c r="BH264"/>
      <c r="BI264" s="709"/>
      <c r="BJ264" s="709"/>
      <c r="BK264" s="709"/>
      <c r="BL264" s="709"/>
      <c r="BM264" s="709"/>
      <c r="BN264" s="709"/>
      <c r="BO264" s="709"/>
      <c r="BP264" s="709"/>
      <c r="BW264" s="959" t="str">
        <f t="shared" si="130"/>
        <v>►</v>
      </c>
      <c r="CB264"/>
      <c r="CC264" s="856"/>
      <c r="DB264" s="3">
        <v>1</v>
      </c>
    </row>
    <row r="265" spans="1:108" ht="21" customHeight="1">
      <c r="A265" s="936" t="s">
        <v>22</v>
      </c>
      <c r="B265" s="952" t="str">
        <f t="shared" si="129"/>
        <v>►</v>
      </c>
      <c r="C265" s="993" cm="1">
        <f t="array" ref="C265">SUMPRODUCT(LEN(D265:J265))</f>
        <v>0</v>
      </c>
      <c r="D265" s="167"/>
      <c r="E265" s="172"/>
      <c r="F265" s="172"/>
      <c r="G265" s="172"/>
      <c r="H265" s="172"/>
      <c r="I265" s="172"/>
      <c r="J265" s="173"/>
      <c r="K265" s="442" t="s">
        <v>22</v>
      </c>
      <c r="L265" s="104" t="str">
        <f t="shared" si="128"/>
        <v>►</v>
      </c>
      <c r="M265" s="157" t="str">
        <f>M205</f>
        <v>N NOTRE BOUDIN NOIR | | Auteur &gt; Guy KRENZE - Eric GODDYN - Arnaud NICOLAS - CEPROC 2002</v>
      </c>
      <c r="N265" s="157">
        <f>N205</f>
        <v>16.34</v>
      </c>
      <c r="O265" s="158" t="str">
        <f>O205</f>
        <v>Kg</v>
      </c>
      <c r="P265" s="159" t="str">
        <f>P205</f>
        <v>Recette mère ► le Boudin en 4 déclinaisons</v>
      </c>
      <c r="Q265" s="5128" t="str">
        <f>IF(ISBLANK(R265),"",LARGE(Q251:Q264,1)+1)</f>
        <v/>
      </c>
      <c r="R265" s="5040"/>
      <c r="S265" s="172"/>
      <c r="T265" s="172"/>
      <c r="U265" s="172"/>
      <c r="V265" s="172"/>
      <c r="W265" s="172"/>
      <c r="X265" s="172"/>
      <c r="Y265" s="172"/>
      <c r="Z265" s="555"/>
      <c r="AA265" s="5211"/>
      <c r="AB265" s="1178"/>
      <c r="AC265" s="1179"/>
      <c r="AD265" s="227" t="s">
        <v>22</v>
      </c>
      <c r="AE265" s="1027" t="str">
        <f t="shared" si="104"/>
        <v>►</v>
      </c>
      <c r="AF265" s="1028" t="str">
        <f t="shared" si="105"/>
        <v/>
      </c>
      <c r="AG265" s="1029" t="str">
        <f t="shared" si="106"/>
        <v/>
      </c>
      <c r="AH265" s="1028" t="str">
        <f t="shared" si="107"/>
        <v/>
      </c>
      <c r="AI265" s="1029" t="str">
        <f t="shared" si="108"/>
        <v/>
      </c>
      <c r="AJ265" s="1029">
        <f t="shared" si="109"/>
        <v>0</v>
      </c>
      <c r="AK265" s="1043" t="str" cm="1">
        <f t="array" ref="AK265">IF(AE265&lt;&gt;"A","",IFERROR((IFERROR(_xlfn.XLOOKUP(TRIM(SUBSTITUTE(U265,CHAR(160)," ")),$BI$15:$BI$62,$BL$15:$BL$62),IFERROR(_xlfn.XLOOKUP(TRIM(SUBSTITUTE(U265,CHAR(160)," ")),$BJ$15:$BJ$62,$BL$15:$BL$62),_xlfn.XLOOKUP(TRIM(SUBSTITUTE(U265,CHAR(160)," ")),$BK$15:$BK$62,$BL$15:$BL$62))))*T265*IF(ISBLANK(Q265),1,Q265)+IFERROR(_xlfn.XLOOKUP("RECHERCHEX",TRIM(L265:AC265),L265:AC265),0),0))</f>
        <v/>
      </c>
      <c r="AL265" s="1030">
        <f t="shared" si="110"/>
        <v>0</v>
      </c>
      <c r="AM265" s="5254" t="str">
        <f t="shared" si="125"/>
        <v/>
      </c>
      <c r="AN265" s="1031">
        <f t="shared" si="111"/>
        <v>0</v>
      </c>
      <c r="AO265" s="1031">
        <f t="shared" si="112"/>
        <v>0</v>
      </c>
      <c r="AP265" s="1044">
        <f t="shared" si="113"/>
        <v>0</v>
      </c>
      <c r="AQ265" s="5257" t="str">
        <f t="shared" si="114"/>
        <v/>
      </c>
      <c r="AR265" s="1056"/>
      <c r="AS265" s="1056"/>
      <c r="AT265" s="1045">
        <f t="shared" si="115"/>
        <v>0</v>
      </c>
      <c r="AU265" s="1046">
        <f t="shared" si="116"/>
        <v>0</v>
      </c>
      <c r="AV265" s="1059" cm="1">
        <f t="array" ref="AV265">IF(AJ265&lt;&gt;1,0,IF(OR(AT265="",N(AT265)&lt;=0.000000001),"",IF(OR(AN265="",N(AN265)&lt;=0.000000001),0,IF(ISNUMBER(AT265),IFERROR(_xlfn.LET(_xlpm.ai_test,TRIM(AI265),_xlpm.r,IFERROR(_xlfn.XLOOKUP(_xlpm.ai_test,$BI$15:$BI$62,ROW($BI$15:$BI$62),0,1),IFERROR(_xlfn.XLOOKUP(_xlpm.ai_test,$BJ$15:$BJ$62,ROW($BJ$15:$BJ$62),0,1),_xlfn.XLOOKUP(_xlpm.ai_test,$BK$15:$BK$62,ROW($BK$15:$BK$62),0,1))),_xlpm.p,_xlpm.r-MIN(ROW($BI$15:$BI$62))+1,_xlpm.f,INDEX($BL$15:$BL$62,_xlpm.p),_xlpm.u,INDEX($BM$15:$BM$62,_xlpm.p),_xlpm.s,INDEX($BO$15:$BO$62,_xlpm.p),_xlpm.q,N(AT265)/_xlpm.f,IF(_xlpm.q&gt;=_xlpm.s,ROUND(_xlpm.q,1)&amp;" "&amp;_xlpm.ai_test&amp;" = "&amp;ROUND(_xlpm.q*_xlpm.f,1)&amp;" "&amp;_xlpm.u,ROUND(_xlpm.q,1)&amp;" "&amp;_xlpm.ai_test)),""),""))))</f>
        <v>0</v>
      </c>
      <c r="AW265" s="1047"/>
      <c r="AX265" s="1045">
        <f t="shared" si="117"/>
        <v>0</v>
      </c>
      <c r="AY265" s="1046" t="str">
        <f t="shared" si="118"/>
        <v/>
      </c>
      <c r="AZ265" s="1048">
        <f t="shared" si="123"/>
        <v>0</v>
      </c>
      <c r="BA265" s="1049" t="str">
        <f t="shared" si="119"/>
        <v/>
      </c>
      <c r="BB265" s="1038"/>
      <c r="BC265" s="1050">
        <f t="shared" si="124"/>
        <v>0</v>
      </c>
      <c r="BD265" s="1040" t="str">
        <f t="shared" si="120"/>
        <v/>
      </c>
      <c r="BE265" s="227" t="s">
        <v>22</v>
      </c>
      <c r="BF265" s="1019">
        <f t="shared" si="121"/>
        <v>0</v>
      </c>
      <c r="BG265" s="1020">
        <f t="shared" si="122"/>
        <v>0</v>
      </c>
      <c r="BH265"/>
      <c r="BI265" s="709"/>
      <c r="BJ265" s="709"/>
      <c r="BK265" s="709"/>
      <c r="BL265" s="709"/>
      <c r="BM265" s="709"/>
      <c r="BN265" s="709"/>
      <c r="BO265" s="709"/>
      <c r="BP265" s="709"/>
      <c r="BW265" s="959" t="str">
        <f t="shared" si="130"/>
        <v>►</v>
      </c>
      <c r="CB265"/>
      <c r="CC265" s="856"/>
      <c r="DB265" s="3">
        <v>1</v>
      </c>
    </row>
    <row r="266" spans="1:108" s="856" customFormat="1" ht="21" customHeight="1">
      <c r="A266" s="936" t="s">
        <v>22</v>
      </c>
      <c r="B266" s="952" t="str">
        <f t="shared" si="129"/>
        <v>►</v>
      </c>
      <c r="C266" s="993" cm="1">
        <f t="array" ref="C266">SUMPRODUCT(LEN(D266:J266))</f>
        <v>0</v>
      </c>
      <c r="D266" s="167"/>
      <c r="E266" s="172"/>
      <c r="F266" s="172"/>
      <c r="G266" s="172"/>
      <c r="H266" s="172"/>
      <c r="I266" s="172"/>
      <c r="J266" s="173"/>
      <c r="K266" s="442" t="s">
        <v>22</v>
      </c>
      <c r="L266" s="104" t="str">
        <f t="shared" si="128"/>
        <v>►</v>
      </c>
      <c r="M266" s="157" t="str">
        <f>M205</f>
        <v>N NOTRE BOUDIN NOIR | | Auteur &gt; Guy KRENZE - Eric GODDYN - Arnaud NICOLAS - CEPROC 2002</v>
      </c>
      <c r="N266" s="157">
        <f>N205</f>
        <v>16.34</v>
      </c>
      <c r="O266" s="158" t="str">
        <f>O205</f>
        <v>Kg</v>
      </c>
      <c r="P266" s="159" t="str">
        <f>P205</f>
        <v>Recette mère ► le Boudin en 4 déclinaisons</v>
      </c>
      <c r="Q266" s="5128" t="str">
        <f>IF(ISBLANK(R266),"",LARGE(Q251:Q265,1)+1)</f>
        <v/>
      </c>
      <c r="R266" s="5040"/>
      <c r="S266" s="172"/>
      <c r="T266" s="172"/>
      <c r="U266" s="172"/>
      <c r="V266" s="172"/>
      <c r="W266" s="172"/>
      <c r="X266" s="172"/>
      <c r="Y266" s="172"/>
      <c r="Z266" s="555"/>
      <c r="AA266" s="5211"/>
      <c r="AB266" s="1178"/>
      <c r="AC266" s="1179"/>
      <c r="AD266" s="227" t="s">
        <v>22</v>
      </c>
      <c r="AE266" s="1027" t="str">
        <f t="shared" si="104"/>
        <v>►</v>
      </c>
      <c r="AF266" s="1028" t="str">
        <f t="shared" si="105"/>
        <v/>
      </c>
      <c r="AG266" s="1029" t="str">
        <f t="shared" si="106"/>
        <v/>
      </c>
      <c r="AH266" s="1028" t="str">
        <f t="shared" si="107"/>
        <v/>
      </c>
      <c r="AI266" s="1029" t="str">
        <f t="shared" si="108"/>
        <v/>
      </c>
      <c r="AJ266" s="1029">
        <f t="shared" si="109"/>
        <v>0</v>
      </c>
      <c r="AK266" s="1043" t="str" cm="1">
        <f t="array" ref="AK266">IF(AE266&lt;&gt;"A","",IFERROR((IFERROR(_xlfn.XLOOKUP(TRIM(SUBSTITUTE(U266,CHAR(160)," ")),$BI$15:$BI$62,$BL$15:$BL$62),IFERROR(_xlfn.XLOOKUP(TRIM(SUBSTITUTE(U266,CHAR(160)," ")),$BJ$15:$BJ$62,$BL$15:$BL$62),_xlfn.XLOOKUP(TRIM(SUBSTITUTE(U266,CHAR(160)," ")),$BK$15:$BK$62,$BL$15:$BL$62))))*T266*IF(ISBLANK(Q266),1,Q266)+IFERROR(_xlfn.XLOOKUP("RECHERCHEX",TRIM(L266:AC266),L266:AC266),0),0))</f>
        <v/>
      </c>
      <c r="AL266" s="1030">
        <f t="shared" si="110"/>
        <v>0</v>
      </c>
      <c r="AM266" s="5254" t="str">
        <f t="shared" si="125"/>
        <v/>
      </c>
      <c r="AN266" s="1031">
        <f t="shared" si="111"/>
        <v>0</v>
      </c>
      <c r="AO266" s="1031">
        <f t="shared" si="112"/>
        <v>0</v>
      </c>
      <c r="AP266" s="1032">
        <f t="shared" si="113"/>
        <v>0</v>
      </c>
      <c r="AQ266" s="5255" t="str">
        <f t="shared" si="114"/>
        <v/>
      </c>
      <c r="AR266" s="1056"/>
      <c r="AS266" s="1056"/>
      <c r="AT266" s="1034">
        <f t="shared" si="115"/>
        <v>0</v>
      </c>
      <c r="AU266" s="1035">
        <f t="shared" si="116"/>
        <v>0</v>
      </c>
      <c r="AV266" s="1057" cm="1">
        <f t="array" ref="AV266">IF(AJ266&lt;&gt;1,0,IF(OR(AT266="",N(AT266)&lt;=0.000000001),"",IF(OR(AN266="",N(AN266)&lt;=0.000000001),0,IF(ISNUMBER(AT266),IFERROR(_xlfn.LET(_xlpm.ai_test,TRIM(AI266),_xlpm.r,IFERROR(_xlfn.XLOOKUP(_xlpm.ai_test,$BI$15:$BI$62,ROW($BI$15:$BI$62),0,1),IFERROR(_xlfn.XLOOKUP(_xlpm.ai_test,$BJ$15:$BJ$62,ROW($BJ$15:$BJ$62),0,1),_xlfn.XLOOKUP(_xlpm.ai_test,$BK$15:$BK$62,ROW($BK$15:$BK$62),0,1))),_xlpm.p,_xlpm.r-MIN(ROW($BI$15:$BI$62))+1,_xlpm.f,INDEX($BL$15:$BL$62,_xlpm.p),_xlpm.u,INDEX($BM$15:$BM$62,_xlpm.p),_xlpm.s,INDEX($BO$15:$BO$62,_xlpm.p),_xlpm.q,N(AT266)/_xlpm.f,IF(_xlpm.q&gt;=_xlpm.s,ROUND(_xlpm.q,1)&amp;" "&amp;_xlpm.ai_test&amp;" = "&amp;ROUND(_xlpm.q*_xlpm.f,1)&amp;" "&amp;_xlpm.u,ROUND(_xlpm.q,1)&amp;" "&amp;_xlpm.ai_test)),""),""))))</f>
        <v>0</v>
      </c>
      <c r="AW266" s="1047"/>
      <c r="AX266" s="1034">
        <f t="shared" si="117"/>
        <v>0</v>
      </c>
      <c r="AY266" s="1035" t="str">
        <f t="shared" si="118"/>
        <v/>
      </c>
      <c r="AZ266" s="1036">
        <f t="shared" si="123"/>
        <v>0</v>
      </c>
      <c r="BA266" s="1037" t="str">
        <f t="shared" si="119"/>
        <v/>
      </c>
      <c r="BB266" s="1038"/>
      <c r="BC266" s="1039">
        <f t="shared" si="124"/>
        <v>0</v>
      </c>
      <c r="BD266" s="1040" t="str">
        <f t="shared" si="120"/>
        <v/>
      </c>
      <c r="BE266" s="227" t="s">
        <v>22</v>
      </c>
      <c r="BF266" s="1019">
        <f t="shared" si="121"/>
        <v>0</v>
      </c>
      <c r="BG266" s="1020">
        <f t="shared" si="122"/>
        <v>0</v>
      </c>
      <c r="BH266"/>
      <c r="BI266" s="709"/>
      <c r="BJ266" s="709"/>
      <c r="BK266" s="709"/>
      <c r="BL266" s="709"/>
      <c r="BM266" s="709"/>
      <c r="BN266" s="709"/>
      <c r="BO266" s="709"/>
      <c r="BP266" s="709"/>
      <c r="BQ266"/>
      <c r="BR266"/>
      <c r="BS266"/>
      <c r="BT266"/>
      <c r="BU266"/>
      <c r="BV266"/>
      <c r="BW266" s="959" t="str">
        <f t="shared" si="130"/>
        <v>►</v>
      </c>
      <c r="BX266"/>
      <c r="BY266"/>
      <c r="BZ266"/>
      <c r="CA266"/>
      <c r="CB266"/>
      <c r="CD266"/>
      <c r="CE266"/>
      <c r="CF266"/>
      <c r="CG266"/>
      <c r="CH266"/>
      <c r="CI266"/>
      <c r="CJ266"/>
      <c r="CK266" s="227"/>
      <c r="CL266"/>
      <c r="CM266"/>
      <c r="CN266"/>
      <c r="CO266"/>
      <c r="CP266"/>
      <c r="CQ266"/>
      <c r="CR266"/>
      <c r="CS266" s="227"/>
      <c r="CT266"/>
      <c r="CU266"/>
      <c r="CV266"/>
      <c r="CW266"/>
      <c r="CX266"/>
      <c r="CY266"/>
      <c r="CZ266"/>
      <c r="DA266" s="227"/>
      <c r="DB266" s="3">
        <v>1</v>
      </c>
      <c r="DC266" s="709"/>
      <c r="DD266" s="709"/>
    </row>
    <row r="267" spans="1:108" s="856" customFormat="1" ht="21" customHeight="1">
      <c r="A267" s="936" t="s">
        <v>22</v>
      </c>
      <c r="B267" s="952" t="str">
        <f t="shared" si="129"/>
        <v>►</v>
      </c>
      <c r="C267" s="993" cm="1">
        <f t="array" ref="C267">SUMPRODUCT(LEN(D267:J267))</f>
        <v>0</v>
      </c>
      <c r="D267" s="167"/>
      <c r="E267" s="172"/>
      <c r="F267" s="172"/>
      <c r="G267" s="172"/>
      <c r="H267" s="172"/>
      <c r="I267" s="172"/>
      <c r="J267" s="173"/>
      <c r="K267" s="442" t="s">
        <v>22</v>
      </c>
      <c r="L267" s="104" t="str">
        <f t="shared" si="128"/>
        <v>►</v>
      </c>
      <c r="M267" s="157" t="str">
        <f>M205</f>
        <v>N NOTRE BOUDIN NOIR | | Auteur &gt; Guy KRENZE - Eric GODDYN - Arnaud NICOLAS - CEPROC 2002</v>
      </c>
      <c r="N267" s="157">
        <f>N205</f>
        <v>16.34</v>
      </c>
      <c r="O267" s="158" t="str">
        <f>O205</f>
        <v>Kg</v>
      </c>
      <c r="P267" s="159" t="str">
        <f>P205</f>
        <v>Recette mère ► le Boudin en 4 déclinaisons</v>
      </c>
      <c r="Q267" s="5128" t="str">
        <f>IF(ISBLANK(R267),"",LARGE(Q251:Q266,1)+1)</f>
        <v/>
      </c>
      <c r="R267" s="5040"/>
      <c r="S267" s="172"/>
      <c r="T267" s="172"/>
      <c r="U267" s="172"/>
      <c r="V267" s="172"/>
      <c r="W267" s="172"/>
      <c r="X267" s="172"/>
      <c r="Y267" s="172"/>
      <c r="Z267" s="555"/>
      <c r="AA267" s="5211"/>
      <c r="AB267" s="1178"/>
      <c r="AC267" s="1179"/>
      <c r="AD267" s="227" t="s">
        <v>22</v>
      </c>
      <c r="AE267" s="1027" t="str">
        <f t="shared" si="104"/>
        <v>►</v>
      </c>
      <c r="AF267" s="1028" t="str">
        <f t="shared" si="105"/>
        <v/>
      </c>
      <c r="AG267" s="1029" t="str">
        <f t="shared" si="106"/>
        <v/>
      </c>
      <c r="AH267" s="1028" t="str">
        <f t="shared" si="107"/>
        <v/>
      </c>
      <c r="AI267" s="1029" t="str">
        <f t="shared" si="108"/>
        <v/>
      </c>
      <c r="AJ267" s="1029">
        <f t="shared" si="109"/>
        <v>0</v>
      </c>
      <c r="AK267" s="1043" t="str" cm="1">
        <f t="array" ref="AK267">IF(AE267&lt;&gt;"A","",IFERROR((IFERROR(_xlfn.XLOOKUP(TRIM(SUBSTITUTE(U267,CHAR(160)," ")),$BI$15:$BI$62,$BL$15:$BL$62),IFERROR(_xlfn.XLOOKUP(TRIM(SUBSTITUTE(U267,CHAR(160)," ")),$BJ$15:$BJ$62,$BL$15:$BL$62),_xlfn.XLOOKUP(TRIM(SUBSTITUTE(U267,CHAR(160)," ")),$BK$15:$BK$62,$BL$15:$BL$62))))*T267*IF(ISBLANK(Q267),1,Q267)+IFERROR(_xlfn.XLOOKUP("RECHERCHEX",TRIM(L267:AC267),L267:AC267),0),0))</f>
        <v/>
      </c>
      <c r="AL267" s="1030">
        <f t="shared" si="110"/>
        <v>0</v>
      </c>
      <c r="AM267" s="5254" t="str">
        <f t="shared" si="125"/>
        <v/>
      </c>
      <c r="AN267" s="1031">
        <f t="shared" si="111"/>
        <v>0</v>
      </c>
      <c r="AO267" s="1031">
        <f t="shared" si="112"/>
        <v>0</v>
      </c>
      <c r="AP267" s="1044">
        <f t="shared" si="113"/>
        <v>0</v>
      </c>
      <c r="AQ267" s="5257" t="str">
        <f t="shared" si="114"/>
        <v/>
      </c>
      <c r="AR267" s="1056"/>
      <c r="AS267" s="1056"/>
      <c r="AT267" s="1045">
        <f t="shared" si="115"/>
        <v>0</v>
      </c>
      <c r="AU267" s="1046">
        <f t="shared" si="116"/>
        <v>0</v>
      </c>
      <c r="AV267" s="1059" cm="1">
        <f t="array" ref="AV267">IF(AJ267&lt;&gt;1,0,IF(OR(AT267="",N(AT267)&lt;=0.000000001),"",IF(OR(AN267="",N(AN267)&lt;=0.000000001),0,IF(ISNUMBER(AT267),IFERROR(_xlfn.LET(_xlpm.ai_test,TRIM(AI267),_xlpm.r,IFERROR(_xlfn.XLOOKUP(_xlpm.ai_test,$BI$15:$BI$62,ROW($BI$15:$BI$62),0,1),IFERROR(_xlfn.XLOOKUP(_xlpm.ai_test,$BJ$15:$BJ$62,ROW($BJ$15:$BJ$62),0,1),_xlfn.XLOOKUP(_xlpm.ai_test,$BK$15:$BK$62,ROW($BK$15:$BK$62),0,1))),_xlpm.p,_xlpm.r-MIN(ROW($BI$15:$BI$62))+1,_xlpm.f,INDEX($BL$15:$BL$62,_xlpm.p),_xlpm.u,INDEX($BM$15:$BM$62,_xlpm.p),_xlpm.s,INDEX($BO$15:$BO$62,_xlpm.p),_xlpm.q,N(AT267)/_xlpm.f,IF(_xlpm.q&gt;=_xlpm.s,ROUND(_xlpm.q,1)&amp;" "&amp;_xlpm.ai_test&amp;" = "&amp;ROUND(_xlpm.q*_xlpm.f,1)&amp;" "&amp;_xlpm.u,ROUND(_xlpm.q,1)&amp;" "&amp;_xlpm.ai_test)),""),""))))</f>
        <v>0</v>
      </c>
      <c r="AW267" s="1047"/>
      <c r="AX267" s="1045">
        <f t="shared" si="117"/>
        <v>0</v>
      </c>
      <c r="AY267" s="1046" t="str">
        <f t="shared" si="118"/>
        <v/>
      </c>
      <c r="AZ267" s="1048">
        <f t="shared" si="123"/>
        <v>0</v>
      </c>
      <c r="BA267" s="1049" t="str">
        <f t="shared" si="119"/>
        <v/>
      </c>
      <c r="BB267" s="1038"/>
      <c r="BC267" s="1050">
        <f t="shared" si="124"/>
        <v>0</v>
      </c>
      <c r="BD267" s="1040" t="str">
        <f t="shared" si="120"/>
        <v/>
      </c>
      <c r="BE267" s="227" t="s">
        <v>22</v>
      </c>
      <c r="BF267" s="1019">
        <f t="shared" si="121"/>
        <v>0</v>
      </c>
      <c r="BG267" s="1020">
        <f t="shared" si="122"/>
        <v>0</v>
      </c>
      <c r="BH267"/>
      <c r="BI267" s="709"/>
      <c r="BJ267" s="709"/>
      <c r="BK267" s="709"/>
      <c r="BL267" s="709"/>
      <c r="BM267" s="709"/>
      <c r="BN267" s="709"/>
      <c r="BO267" s="709"/>
      <c r="BP267" s="709"/>
      <c r="BQ267"/>
      <c r="BR267"/>
      <c r="BS267"/>
      <c r="BT267"/>
      <c r="BU267"/>
      <c r="BV267"/>
      <c r="BW267" s="959" t="str">
        <f t="shared" si="130"/>
        <v>►</v>
      </c>
      <c r="BX267"/>
      <c r="BY267"/>
      <c r="BZ267"/>
      <c r="CA267"/>
      <c r="CB267"/>
      <c r="CD267"/>
      <c r="CE267"/>
      <c r="CF267"/>
      <c r="CG267"/>
      <c r="CH267"/>
      <c r="CI267"/>
      <c r="CJ267"/>
      <c r="CK267" s="227"/>
      <c r="CL267"/>
      <c r="CM267"/>
      <c r="CN267"/>
      <c r="CO267"/>
      <c r="CP267"/>
      <c r="CQ267"/>
      <c r="CR267"/>
      <c r="CS267" s="227"/>
      <c r="CT267"/>
      <c r="CU267"/>
      <c r="CV267"/>
      <c r="CW267"/>
      <c r="CX267"/>
      <c r="CY267"/>
      <c r="CZ267"/>
      <c r="DA267" s="227"/>
      <c r="DB267" s="3">
        <v>1</v>
      </c>
      <c r="DC267" s="709"/>
      <c r="DD267" s="709"/>
    </row>
    <row r="268" spans="1:108" s="856" customFormat="1" ht="21" customHeight="1">
      <c r="A268" s="936" t="s">
        <v>22</v>
      </c>
      <c r="B268" s="952" t="str">
        <f t="shared" si="129"/>
        <v>A</v>
      </c>
      <c r="C268" s="993" cm="1">
        <f t="array" ref="C268">SUMPRODUCT(LEN(D268:J268))</f>
        <v>0</v>
      </c>
      <c r="D268" s="167"/>
      <c r="E268" s="172"/>
      <c r="F268" s="172"/>
      <c r="G268" s="172"/>
      <c r="H268" s="172"/>
      <c r="I268" s="172"/>
      <c r="J268" s="173"/>
      <c r="K268" s="442" t="s">
        <v>22</v>
      </c>
      <c r="L268" s="104" t="str">
        <f t="shared" si="128"/>
        <v>A</v>
      </c>
      <c r="M268" s="157" t="str">
        <f>M205</f>
        <v>N NOTRE BOUDIN NOIR | | Auteur &gt; Guy KRENZE - Eric GODDYN - Arnaud NICOLAS - CEPROC 2002</v>
      </c>
      <c r="N268" s="157">
        <f>N205</f>
        <v>16.34</v>
      </c>
      <c r="O268" s="158" t="str">
        <f>O205</f>
        <v>Kg</v>
      </c>
      <c r="P268" s="159" t="str">
        <f>P205</f>
        <v>Recette mère ► le Boudin en 4 déclinaisons</v>
      </c>
      <c r="Q268" s="5128">
        <f>IF(ISBLANK(R268),"",LARGE(Q251:Q267,1)+1)</f>
        <v>12</v>
      </c>
      <c r="R268" s="5040" t="s">
        <v>13132</v>
      </c>
      <c r="S268" s="172"/>
      <c r="T268" s="172"/>
      <c r="U268" s="172"/>
      <c r="V268" s="172"/>
      <c r="W268" s="172"/>
      <c r="X268" s="172"/>
      <c r="Y268" s="172"/>
      <c r="Z268" s="555"/>
      <c r="AA268" s="5211"/>
      <c r="AB268" s="1178"/>
      <c r="AC268" s="1179"/>
      <c r="AD268" s="227" t="s">
        <v>22</v>
      </c>
      <c r="AE268" s="1027" t="str">
        <f t="shared" si="104"/>
        <v>►</v>
      </c>
      <c r="AF268" s="1028" t="str">
        <f t="shared" si="105"/>
        <v/>
      </c>
      <c r="AG268" s="1029" t="str">
        <f t="shared" si="106"/>
        <v/>
      </c>
      <c r="AH268" s="1028" t="str">
        <f t="shared" si="107"/>
        <v/>
      </c>
      <c r="AI268" s="1029" t="str">
        <f t="shared" si="108"/>
        <v/>
      </c>
      <c r="AJ268" s="1029">
        <f t="shared" si="109"/>
        <v>0</v>
      </c>
      <c r="AK268" s="1043" t="str" cm="1">
        <f t="array" ref="AK268">IF(AE268&lt;&gt;"A","",IFERROR((IFERROR(_xlfn.XLOOKUP(TRIM(SUBSTITUTE(U268,CHAR(160)," ")),$BI$15:$BI$62,$BL$15:$BL$62),IFERROR(_xlfn.XLOOKUP(TRIM(SUBSTITUTE(U268,CHAR(160)," ")),$BJ$15:$BJ$62,$BL$15:$BL$62),_xlfn.XLOOKUP(TRIM(SUBSTITUTE(U268,CHAR(160)," ")),$BK$15:$BK$62,$BL$15:$BL$62))))*T268*IF(ISBLANK(Q268),1,Q268)+IFERROR(_xlfn.XLOOKUP("RECHERCHEX",TRIM(L268:AC268),L268:AC268),0),0))</f>
        <v/>
      </c>
      <c r="AL268" s="1030">
        <f t="shared" si="110"/>
        <v>0</v>
      </c>
      <c r="AM268" s="5254" t="str">
        <f t="shared" si="125"/>
        <v/>
      </c>
      <c r="AN268" s="1031">
        <f t="shared" si="111"/>
        <v>0</v>
      </c>
      <c r="AO268" s="1031">
        <f t="shared" si="112"/>
        <v>0</v>
      </c>
      <c r="AP268" s="1032">
        <f t="shared" si="113"/>
        <v>0</v>
      </c>
      <c r="AQ268" s="5255" t="str">
        <f t="shared" si="114"/>
        <v/>
      </c>
      <c r="AR268" s="1056"/>
      <c r="AS268" s="1056"/>
      <c r="AT268" s="1034">
        <f t="shared" si="115"/>
        <v>0</v>
      </c>
      <c r="AU268" s="1035">
        <f t="shared" si="116"/>
        <v>0</v>
      </c>
      <c r="AV268" s="1057" cm="1">
        <f t="array" ref="AV268">IF(AJ268&lt;&gt;1,0,IF(OR(AT268="",N(AT268)&lt;=0.000000001),"",IF(OR(AN268="",N(AN268)&lt;=0.000000001),0,IF(ISNUMBER(AT268),IFERROR(_xlfn.LET(_xlpm.ai_test,TRIM(AI268),_xlpm.r,IFERROR(_xlfn.XLOOKUP(_xlpm.ai_test,$BI$15:$BI$62,ROW($BI$15:$BI$62),0,1),IFERROR(_xlfn.XLOOKUP(_xlpm.ai_test,$BJ$15:$BJ$62,ROW($BJ$15:$BJ$62),0,1),_xlfn.XLOOKUP(_xlpm.ai_test,$BK$15:$BK$62,ROW($BK$15:$BK$62),0,1))),_xlpm.p,_xlpm.r-MIN(ROW($BI$15:$BI$62))+1,_xlpm.f,INDEX($BL$15:$BL$62,_xlpm.p),_xlpm.u,INDEX($BM$15:$BM$62,_xlpm.p),_xlpm.s,INDEX($BO$15:$BO$62,_xlpm.p),_xlpm.q,N(AT268)/_xlpm.f,IF(_xlpm.q&gt;=_xlpm.s,ROUND(_xlpm.q,1)&amp;" "&amp;_xlpm.ai_test&amp;" = "&amp;ROUND(_xlpm.q*_xlpm.f,1)&amp;" "&amp;_xlpm.u,ROUND(_xlpm.q,1)&amp;" "&amp;_xlpm.ai_test)),""),""))))</f>
        <v>0</v>
      </c>
      <c r="AW268" s="1047"/>
      <c r="AX268" s="1034">
        <f t="shared" si="117"/>
        <v>0</v>
      </c>
      <c r="AY268" s="1035" t="str">
        <f t="shared" si="118"/>
        <v/>
      </c>
      <c r="AZ268" s="1036">
        <f t="shared" si="123"/>
        <v>0</v>
      </c>
      <c r="BA268" s="1037" t="str">
        <f t="shared" si="119"/>
        <v/>
      </c>
      <c r="BB268" s="1038"/>
      <c r="BC268" s="1039">
        <f t="shared" si="124"/>
        <v>0</v>
      </c>
      <c r="BD268" s="1040" t="str">
        <f t="shared" si="120"/>
        <v/>
      </c>
      <c r="BE268" s="227" t="s">
        <v>22</v>
      </c>
      <c r="BF268" s="1019">
        <f t="shared" si="121"/>
        <v>0</v>
      </c>
      <c r="BG268" s="1020">
        <f t="shared" si="122"/>
        <v>0</v>
      </c>
      <c r="BH268"/>
      <c r="BI268" s="709"/>
      <c r="BJ268" s="709"/>
      <c r="BK268" s="709"/>
      <c r="BL268" s="709"/>
      <c r="BM268" s="709"/>
      <c r="BN268" s="709"/>
      <c r="BO268" s="709"/>
      <c r="BP268" s="709"/>
      <c r="BQ268"/>
      <c r="BR268"/>
      <c r="BS268"/>
      <c r="BT268"/>
      <c r="BU268"/>
      <c r="BV268"/>
      <c r="BW268" s="959" t="str">
        <f t="shared" si="130"/>
        <v>►</v>
      </c>
      <c r="BX268"/>
      <c r="BY268"/>
      <c r="BZ268"/>
      <c r="CA268"/>
      <c r="CB268"/>
      <c r="CD268"/>
      <c r="CE268"/>
      <c r="CF268"/>
      <c r="CG268"/>
      <c r="CH268"/>
      <c r="CI268"/>
      <c r="CJ268"/>
      <c r="CK268" s="227"/>
      <c r="CL268"/>
      <c r="CM268"/>
      <c r="CN268"/>
      <c r="CO268"/>
      <c r="CP268"/>
      <c r="CQ268"/>
      <c r="CR268"/>
      <c r="CS268" s="227"/>
      <c r="CT268"/>
      <c r="CU268"/>
      <c r="CV268"/>
      <c r="CW268"/>
      <c r="CX268"/>
      <c r="CY268"/>
      <c r="CZ268"/>
      <c r="DA268" s="227"/>
      <c r="DB268" s="3">
        <v>1</v>
      </c>
      <c r="DC268" s="709"/>
      <c r="DD268" s="709"/>
    </row>
    <row r="269" spans="1:108" s="856" customFormat="1" ht="21" customHeight="1">
      <c r="A269" s="936" t="s">
        <v>22</v>
      </c>
      <c r="B269" s="952" t="str">
        <f t="shared" si="129"/>
        <v>A</v>
      </c>
      <c r="C269" s="993" cm="1">
        <f t="array" ref="C269">SUMPRODUCT(LEN(D269:J269))</f>
        <v>0</v>
      </c>
      <c r="D269" s="167"/>
      <c r="E269" s="172"/>
      <c r="F269" s="172"/>
      <c r="G269" s="172"/>
      <c r="H269" s="172"/>
      <c r="I269" s="172"/>
      <c r="J269" s="173"/>
      <c r="K269" s="442" t="s">
        <v>22</v>
      </c>
      <c r="L269" s="104" t="str">
        <f>IF(COUNTIF(R269:V269,"&lt;&gt;")&gt;0,"A","►")</f>
        <v>A</v>
      </c>
      <c r="M269" s="157" t="str">
        <f>M205</f>
        <v>N NOTRE BOUDIN NOIR | | Auteur &gt; Guy KRENZE - Eric GODDYN - Arnaud NICOLAS - CEPROC 2002</v>
      </c>
      <c r="N269" s="157">
        <f>N205</f>
        <v>16.34</v>
      </c>
      <c r="O269" s="158" t="str">
        <f>O205</f>
        <v>Kg</v>
      </c>
      <c r="P269" s="159" t="str">
        <f>P205</f>
        <v>Recette mère ► le Boudin en 4 déclinaisons</v>
      </c>
      <c r="Q269" s="5128">
        <f>IF(ISBLANK(R269),"",LARGE(Q251:Q268,1)+1)</f>
        <v>13</v>
      </c>
      <c r="R269" s="5040" t="s">
        <v>13130</v>
      </c>
      <c r="S269" s="172"/>
      <c r="T269" s="172"/>
      <c r="U269" s="172"/>
      <c r="V269" s="172"/>
      <c r="W269" s="172"/>
      <c r="X269" s="172"/>
      <c r="Y269" s="172"/>
      <c r="Z269" s="555"/>
      <c r="AA269" s="5211"/>
      <c r="AB269" s="1178"/>
      <c r="AC269" s="1179"/>
      <c r="AD269" s="227" t="s">
        <v>22</v>
      </c>
      <c r="AE269" s="1027" t="str">
        <f t="shared" si="104"/>
        <v>►</v>
      </c>
      <c r="AF269" s="1028" t="str">
        <f t="shared" si="105"/>
        <v/>
      </c>
      <c r="AG269" s="1029" t="str">
        <f t="shared" si="106"/>
        <v/>
      </c>
      <c r="AH269" s="1028" t="str">
        <f t="shared" si="107"/>
        <v/>
      </c>
      <c r="AI269" s="1029" t="str">
        <f t="shared" si="108"/>
        <v/>
      </c>
      <c r="AJ269" s="1029">
        <f t="shared" si="109"/>
        <v>0</v>
      </c>
      <c r="AK269" s="1043" t="str" cm="1">
        <f t="array" ref="AK269">IF(AE269&lt;&gt;"A","",IFERROR((IFERROR(_xlfn.XLOOKUP(TRIM(SUBSTITUTE(U269,CHAR(160)," ")),$BI$15:$BI$62,$BL$15:$BL$62),IFERROR(_xlfn.XLOOKUP(TRIM(SUBSTITUTE(U269,CHAR(160)," ")),$BJ$15:$BJ$62,$BL$15:$BL$62),_xlfn.XLOOKUP(TRIM(SUBSTITUTE(U269,CHAR(160)," ")),$BK$15:$BK$62,$BL$15:$BL$62))))*T269*IF(ISBLANK(Q269),1,Q269)+IFERROR(_xlfn.XLOOKUP("RECHERCHEX",TRIM(L269:AC269),L269:AC269),0),0))</f>
        <v/>
      </c>
      <c r="AL269" s="1030">
        <f t="shared" si="110"/>
        <v>0</v>
      </c>
      <c r="AM269" s="5254" t="str">
        <f t="shared" si="125"/>
        <v/>
      </c>
      <c r="AN269" s="1031">
        <f t="shared" si="111"/>
        <v>0</v>
      </c>
      <c r="AO269" s="1031">
        <f t="shared" si="112"/>
        <v>0</v>
      </c>
      <c r="AP269" s="1044">
        <f t="shared" si="113"/>
        <v>0</v>
      </c>
      <c r="AQ269" s="5257" t="str">
        <f t="shared" si="114"/>
        <v/>
      </c>
      <c r="AR269" s="1056"/>
      <c r="AS269" s="1056"/>
      <c r="AT269" s="1045">
        <f t="shared" si="115"/>
        <v>0</v>
      </c>
      <c r="AU269" s="1046">
        <f t="shared" si="116"/>
        <v>0</v>
      </c>
      <c r="AV269" s="1059" cm="1">
        <f t="array" ref="AV269">IF(AJ269&lt;&gt;1,0,IF(OR(AT269="",N(AT269)&lt;=0.000000001),"",IF(OR(AN269="",N(AN269)&lt;=0.000000001),0,IF(ISNUMBER(AT269),IFERROR(_xlfn.LET(_xlpm.ai_test,TRIM(AI269),_xlpm.r,IFERROR(_xlfn.XLOOKUP(_xlpm.ai_test,$BI$15:$BI$62,ROW($BI$15:$BI$62),0,1),IFERROR(_xlfn.XLOOKUP(_xlpm.ai_test,$BJ$15:$BJ$62,ROW($BJ$15:$BJ$62),0,1),_xlfn.XLOOKUP(_xlpm.ai_test,$BK$15:$BK$62,ROW($BK$15:$BK$62),0,1))),_xlpm.p,_xlpm.r-MIN(ROW($BI$15:$BI$62))+1,_xlpm.f,INDEX($BL$15:$BL$62,_xlpm.p),_xlpm.u,INDEX($BM$15:$BM$62,_xlpm.p),_xlpm.s,INDEX($BO$15:$BO$62,_xlpm.p),_xlpm.q,N(AT269)/_xlpm.f,IF(_xlpm.q&gt;=_xlpm.s,ROUND(_xlpm.q,1)&amp;" "&amp;_xlpm.ai_test&amp;" = "&amp;ROUND(_xlpm.q*_xlpm.f,1)&amp;" "&amp;_xlpm.u,ROUND(_xlpm.q,1)&amp;" "&amp;_xlpm.ai_test)),""),""))))</f>
        <v>0</v>
      </c>
      <c r="AW269" s="1047"/>
      <c r="AX269" s="1045">
        <f t="shared" si="117"/>
        <v>0</v>
      </c>
      <c r="AY269" s="1046" t="str">
        <f t="shared" si="118"/>
        <v/>
      </c>
      <c r="AZ269" s="1048">
        <f t="shared" si="123"/>
        <v>0</v>
      </c>
      <c r="BA269" s="1049" t="str">
        <f t="shared" si="119"/>
        <v/>
      </c>
      <c r="BB269" s="1038"/>
      <c r="BC269" s="1050">
        <f t="shared" si="124"/>
        <v>0</v>
      </c>
      <c r="BD269" s="1040" t="str">
        <f t="shared" si="120"/>
        <v/>
      </c>
      <c r="BE269" s="227" t="s">
        <v>22</v>
      </c>
      <c r="BF269" s="1019">
        <f t="shared" si="121"/>
        <v>0</v>
      </c>
      <c r="BG269" s="1020">
        <f t="shared" si="122"/>
        <v>0</v>
      </c>
      <c r="BH269"/>
      <c r="BI269" s="709"/>
      <c r="BJ269" s="709"/>
      <c r="BK269" s="709"/>
      <c r="BL269" s="709"/>
      <c r="BM269" s="709"/>
      <c r="BN269" s="709"/>
      <c r="BO269" s="709"/>
      <c r="BP269" s="709"/>
      <c r="BQ269"/>
      <c r="BR269"/>
      <c r="BS269"/>
      <c r="BT269"/>
      <c r="BU269"/>
      <c r="BV269"/>
      <c r="BW269" s="959" t="str">
        <f t="shared" si="130"/>
        <v>►</v>
      </c>
      <c r="BX269"/>
      <c r="BY269"/>
      <c r="BZ269"/>
      <c r="CA269"/>
      <c r="CB269"/>
      <c r="CD269"/>
      <c r="CE269"/>
      <c r="CF269"/>
      <c r="CG269"/>
      <c r="CH269"/>
      <c r="CI269"/>
      <c r="CJ269"/>
      <c r="CK269" s="227"/>
      <c r="CL269"/>
      <c r="CM269"/>
      <c r="CN269"/>
      <c r="CO269"/>
      <c r="CP269"/>
      <c r="CQ269"/>
      <c r="CR269"/>
      <c r="CS269" s="227"/>
      <c r="CT269"/>
      <c r="CU269"/>
      <c r="CV269"/>
      <c r="CW269"/>
      <c r="CX269"/>
      <c r="CY269"/>
      <c r="CZ269"/>
      <c r="DA269" s="227"/>
      <c r="DB269" s="3">
        <v>1</v>
      </c>
      <c r="DC269" s="709"/>
      <c r="DD269" s="709"/>
    </row>
    <row r="270" spans="1:108" s="856" customFormat="1" ht="21" customHeight="1">
      <c r="A270" s="936" t="s">
        <v>22</v>
      </c>
      <c r="B270" s="952" t="str">
        <f t="shared" si="129"/>
        <v>A</v>
      </c>
      <c r="C270" s="993" cm="1">
        <f t="array" ref="C270">SUMPRODUCT(LEN(D270:J270))</f>
        <v>0</v>
      </c>
      <c r="D270" s="167"/>
      <c r="E270" s="172"/>
      <c r="F270" s="172"/>
      <c r="G270" s="172"/>
      <c r="H270" s="172"/>
      <c r="I270" s="172"/>
      <c r="J270" s="173"/>
      <c r="K270" s="442" t="s">
        <v>22</v>
      </c>
      <c r="L270" s="104" t="str">
        <f t="shared" si="128"/>
        <v>A</v>
      </c>
      <c r="M270" s="157" t="str">
        <f>M205</f>
        <v>N NOTRE BOUDIN NOIR | | Auteur &gt; Guy KRENZE - Eric GODDYN - Arnaud NICOLAS - CEPROC 2002</v>
      </c>
      <c r="N270" s="157">
        <f>N205</f>
        <v>16.34</v>
      </c>
      <c r="O270" s="158" t="str">
        <f>O205</f>
        <v>Kg</v>
      </c>
      <c r="P270" s="159" t="str">
        <f>P205</f>
        <v>Recette mère ► le Boudin en 4 déclinaisons</v>
      </c>
      <c r="Q270" s="5128">
        <f>IF(ISBLANK(R270),"",LARGE(Q251:Q269,1)+1)</f>
        <v>14</v>
      </c>
      <c r="R270" s="5040" t="s">
        <v>13131</v>
      </c>
      <c r="S270" s="172"/>
      <c r="T270" s="172"/>
      <c r="U270" s="172"/>
      <c r="V270" s="172"/>
      <c r="W270" s="172"/>
      <c r="X270" s="172"/>
      <c r="Y270" s="172"/>
      <c r="Z270" s="555"/>
      <c r="AA270" s="5211"/>
      <c r="AB270" s="1178"/>
      <c r="AC270" s="1179"/>
      <c r="AD270" s="227" t="s">
        <v>22</v>
      </c>
      <c r="AE270" s="1027" t="str">
        <f t="shared" si="104"/>
        <v>►</v>
      </c>
      <c r="AF270" s="1028" t="str">
        <f t="shared" si="105"/>
        <v/>
      </c>
      <c r="AG270" s="1029" t="str">
        <f t="shared" si="106"/>
        <v/>
      </c>
      <c r="AH270" s="1028" t="str">
        <f t="shared" si="107"/>
        <v/>
      </c>
      <c r="AI270" s="1029" t="str">
        <f t="shared" si="108"/>
        <v/>
      </c>
      <c r="AJ270" s="1029">
        <f t="shared" si="109"/>
        <v>0</v>
      </c>
      <c r="AK270" s="1043" t="str" cm="1">
        <f t="array" ref="AK270">IF(AE270&lt;&gt;"A","",IFERROR((IFERROR(_xlfn.XLOOKUP(TRIM(SUBSTITUTE(U270,CHAR(160)," ")),$BI$15:$BI$62,$BL$15:$BL$62),IFERROR(_xlfn.XLOOKUP(TRIM(SUBSTITUTE(U270,CHAR(160)," ")),$BJ$15:$BJ$62,$BL$15:$BL$62),_xlfn.XLOOKUP(TRIM(SUBSTITUTE(U270,CHAR(160)," ")),$BK$15:$BK$62,$BL$15:$BL$62))))*T270*IF(ISBLANK(Q270),1,Q270)+IFERROR(_xlfn.XLOOKUP("RECHERCHEX",TRIM(L270:AC270),L270:AC270),0),0))</f>
        <v/>
      </c>
      <c r="AL270" s="1030">
        <f t="shared" si="110"/>
        <v>0</v>
      </c>
      <c r="AM270" s="5254" t="str">
        <f t="shared" si="125"/>
        <v/>
      </c>
      <c r="AN270" s="1031">
        <f t="shared" si="111"/>
        <v>0</v>
      </c>
      <c r="AO270" s="1031">
        <f t="shared" si="112"/>
        <v>0</v>
      </c>
      <c r="AP270" s="1032">
        <f t="shared" si="113"/>
        <v>0</v>
      </c>
      <c r="AQ270" s="5255" t="str">
        <f t="shared" si="114"/>
        <v/>
      </c>
      <c r="AR270" s="1056"/>
      <c r="AS270" s="1056"/>
      <c r="AT270" s="1034">
        <f t="shared" si="115"/>
        <v>0</v>
      </c>
      <c r="AU270" s="1035">
        <f t="shared" si="116"/>
        <v>0</v>
      </c>
      <c r="AV270" s="1057" cm="1">
        <f t="array" ref="AV270">IF(AJ270&lt;&gt;1,0,IF(OR(AT270="",N(AT270)&lt;=0.000000001),"",IF(OR(AN270="",N(AN270)&lt;=0.000000001),0,IF(ISNUMBER(AT270),IFERROR(_xlfn.LET(_xlpm.ai_test,TRIM(AI270),_xlpm.r,IFERROR(_xlfn.XLOOKUP(_xlpm.ai_test,$BI$15:$BI$62,ROW($BI$15:$BI$62),0,1),IFERROR(_xlfn.XLOOKUP(_xlpm.ai_test,$BJ$15:$BJ$62,ROW($BJ$15:$BJ$62),0,1),_xlfn.XLOOKUP(_xlpm.ai_test,$BK$15:$BK$62,ROW($BK$15:$BK$62),0,1))),_xlpm.p,_xlpm.r-MIN(ROW($BI$15:$BI$62))+1,_xlpm.f,INDEX($BL$15:$BL$62,_xlpm.p),_xlpm.u,INDEX($BM$15:$BM$62,_xlpm.p),_xlpm.s,INDEX($BO$15:$BO$62,_xlpm.p),_xlpm.q,N(AT270)/_xlpm.f,IF(_xlpm.q&gt;=_xlpm.s,ROUND(_xlpm.q,1)&amp;" "&amp;_xlpm.ai_test&amp;" = "&amp;ROUND(_xlpm.q*_xlpm.f,1)&amp;" "&amp;_xlpm.u,ROUND(_xlpm.q,1)&amp;" "&amp;_xlpm.ai_test)),""),""))))</f>
        <v>0</v>
      </c>
      <c r="AW270" s="1047"/>
      <c r="AX270" s="1034">
        <f t="shared" si="117"/>
        <v>0</v>
      </c>
      <c r="AY270" s="1035" t="str">
        <f t="shared" si="118"/>
        <v/>
      </c>
      <c r="AZ270" s="1036">
        <f t="shared" si="123"/>
        <v>0</v>
      </c>
      <c r="BA270" s="1037" t="str">
        <f t="shared" si="119"/>
        <v/>
      </c>
      <c r="BB270" s="1038"/>
      <c r="BC270" s="1039">
        <f t="shared" si="124"/>
        <v>0</v>
      </c>
      <c r="BD270" s="1040" t="str">
        <f t="shared" si="120"/>
        <v/>
      </c>
      <c r="BE270" s="227" t="s">
        <v>22</v>
      </c>
      <c r="BF270" s="1019">
        <f t="shared" si="121"/>
        <v>0</v>
      </c>
      <c r="BG270" s="1020">
        <f t="shared" si="122"/>
        <v>0</v>
      </c>
      <c r="BH270"/>
      <c r="BI270" s="709"/>
      <c r="BJ270" s="709"/>
      <c r="BK270" s="709"/>
      <c r="BL270" s="709"/>
      <c r="BM270" s="709"/>
      <c r="BN270" s="709"/>
      <c r="BO270" s="709"/>
      <c r="BP270" s="709"/>
      <c r="BQ270"/>
      <c r="BR270"/>
      <c r="BS270"/>
      <c r="BT270"/>
      <c r="BU270"/>
      <c r="BV270"/>
      <c r="BW270" s="959" t="str">
        <f t="shared" si="130"/>
        <v>►</v>
      </c>
      <c r="BX270"/>
      <c r="BY270"/>
      <c r="BZ270"/>
      <c r="CA270"/>
      <c r="CB270"/>
      <c r="CD270"/>
      <c r="CE270"/>
      <c r="CF270"/>
      <c r="CG270"/>
      <c r="CH270"/>
      <c r="CI270"/>
      <c r="CJ270"/>
      <c r="CK270" s="227"/>
      <c r="CL270"/>
      <c r="CM270"/>
      <c r="CN270"/>
      <c r="CO270"/>
      <c r="CP270"/>
      <c r="CQ270"/>
      <c r="CR270"/>
      <c r="CS270" s="227"/>
      <c r="CT270"/>
      <c r="CU270"/>
      <c r="CV270"/>
      <c r="CW270"/>
      <c r="CX270"/>
      <c r="CY270"/>
      <c r="CZ270"/>
      <c r="DA270" s="227"/>
      <c r="DB270" s="3">
        <v>1</v>
      </c>
      <c r="DC270" s="709"/>
      <c r="DD270" s="709"/>
    </row>
    <row r="271" spans="1:108" s="856" customFormat="1" ht="21" customHeight="1">
      <c r="A271" s="936" t="s">
        <v>22</v>
      </c>
      <c r="B271" s="952" t="str">
        <f t="shared" si="129"/>
        <v>►</v>
      </c>
      <c r="C271" s="993" cm="1">
        <f t="array" ref="C271">SUMPRODUCT(LEN(D271:J271))</f>
        <v>0</v>
      </c>
      <c r="D271" s="167"/>
      <c r="E271" s="172"/>
      <c r="F271" s="172"/>
      <c r="G271" s="172"/>
      <c r="H271" s="172"/>
      <c r="I271" s="172"/>
      <c r="J271" s="173"/>
      <c r="K271" s="442" t="s">
        <v>22</v>
      </c>
      <c r="L271" s="104" t="str">
        <f>IF(COUNTIF(R271:V271,"&lt;&gt;")&gt;0,"A","►")</f>
        <v>►</v>
      </c>
      <c r="M271" s="157" t="str">
        <f>M205</f>
        <v>N NOTRE BOUDIN NOIR | | Auteur &gt; Guy KRENZE - Eric GODDYN - Arnaud NICOLAS - CEPROC 2002</v>
      </c>
      <c r="N271" s="157">
        <f>N205</f>
        <v>16.34</v>
      </c>
      <c r="O271" s="158" t="str">
        <f>O205</f>
        <v>Kg</v>
      </c>
      <c r="P271" s="159" t="str">
        <f>P205</f>
        <v>Recette mère ► le Boudin en 4 déclinaisons</v>
      </c>
      <c r="Q271" s="160" t="s">
        <v>167</v>
      </c>
      <c r="R271" s="1536"/>
      <c r="S271" s="1536"/>
      <c r="T271" s="1536"/>
      <c r="U271" s="1536"/>
      <c r="V271" s="1536"/>
      <c r="W271" s="1536"/>
      <c r="X271" s="1536"/>
      <c r="Y271" s="1536"/>
      <c r="Z271" s="1537"/>
      <c r="AA271" s="5211"/>
      <c r="AB271" s="1178"/>
      <c r="AC271" s="1179"/>
      <c r="AD271" s="227" t="s">
        <v>22</v>
      </c>
      <c r="AE271" s="1027" t="str">
        <f t="shared" si="104"/>
        <v>►</v>
      </c>
      <c r="AF271" s="1028" t="str">
        <f t="shared" si="105"/>
        <v/>
      </c>
      <c r="AG271" s="1029" t="str">
        <f t="shared" si="106"/>
        <v/>
      </c>
      <c r="AH271" s="1028" t="str">
        <f t="shared" si="107"/>
        <v/>
      </c>
      <c r="AI271" s="1029" t="str">
        <f t="shared" si="108"/>
        <v/>
      </c>
      <c r="AJ271" s="1029">
        <f t="shared" si="109"/>
        <v>0</v>
      </c>
      <c r="AK271" s="1043" t="str" cm="1">
        <f t="array" ref="AK271">IF(AE271&lt;&gt;"A","",IFERROR((IFERROR(_xlfn.XLOOKUP(TRIM(SUBSTITUTE(U271,CHAR(160)," ")),$BI$15:$BI$62,$BL$15:$BL$62),IFERROR(_xlfn.XLOOKUP(TRIM(SUBSTITUTE(U271,CHAR(160)," ")),$BJ$15:$BJ$62,$BL$15:$BL$62),_xlfn.XLOOKUP(TRIM(SUBSTITUTE(U271,CHAR(160)," ")),$BK$15:$BK$62,$BL$15:$BL$62))))*T271*IF(ISBLANK(Q271),1,Q271)+IFERROR(_xlfn.XLOOKUP("RECHERCHEX",TRIM(L271:AC271),L271:AC271),0),0))</f>
        <v/>
      </c>
      <c r="AL271" s="1030">
        <f t="shared" si="110"/>
        <v>0</v>
      </c>
      <c r="AM271" s="5254" t="str">
        <f t="shared" si="125"/>
        <v/>
      </c>
      <c r="AN271" s="1031">
        <f t="shared" si="111"/>
        <v>0</v>
      </c>
      <c r="AO271" s="1031">
        <f t="shared" si="112"/>
        <v>0</v>
      </c>
      <c r="AP271" s="1044">
        <f t="shared" si="113"/>
        <v>0</v>
      </c>
      <c r="AQ271" s="5257" t="str">
        <f t="shared" si="114"/>
        <v/>
      </c>
      <c r="AR271" s="1056"/>
      <c r="AS271" s="1056"/>
      <c r="AT271" s="1045">
        <f t="shared" si="115"/>
        <v>0</v>
      </c>
      <c r="AU271" s="1046">
        <f t="shared" si="116"/>
        <v>0</v>
      </c>
      <c r="AV271" s="1059" cm="1">
        <f t="array" ref="AV271">IF(AJ271&lt;&gt;1,0,IF(OR(AT271="",N(AT271)&lt;=0.000000001),"",IF(OR(AN271="",N(AN271)&lt;=0.000000001),0,IF(ISNUMBER(AT271),IFERROR(_xlfn.LET(_xlpm.ai_test,TRIM(AI271),_xlpm.r,IFERROR(_xlfn.XLOOKUP(_xlpm.ai_test,$BI$15:$BI$62,ROW($BI$15:$BI$62),0,1),IFERROR(_xlfn.XLOOKUP(_xlpm.ai_test,$BJ$15:$BJ$62,ROW($BJ$15:$BJ$62),0,1),_xlfn.XLOOKUP(_xlpm.ai_test,$BK$15:$BK$62,ROW($BK$15:$BK$62),0,1))),_xlpm.p,_xlpm.r-MIN(ROW($BI$15:$BI$62))+1,_xlpm.f,INDEX($BL$15:$BL$62,_xlpm.p),_xlpm.u,INDEX($BM$15:$BM$62,_xlpm.p),_xlpm.s,INDEX($BO$15:$BO$62,_xlpm.p),_xlpm.q,N(AT271)/_xlpm.f,IF(_xlpm.q&gt;=_xlpm.s,ROUND(_xlpm.q,1)&amp;" "&amp;_xlpm.ai_test&amp;" = "&amp;ROUND(_xlpm.q*_xlpm.f,1)&amp;" "&amp;_xlpm.u,ROUND(_xlpm.q,1)&amp;" "&amp;_xlpm.ai_test)),""),""))))</f>
        <v>0</v>
      </c>
      <c r="AW271" s="1047"/>
      <c r="AX271" s="1045">
        <f t="shared" si="117"/>
        <v>0</v>
      </c>
      <c r="AY271" s="1046" t="str">
        <f t="shared" si="118"/>
        <v/>
      </c>
      <c r="AZ271" s="1048">
        <f t="shared" si="123"/>
        <v>0</v>
      </c>
      <c r="BA271" s="1049" t="str">
        <f t="shared" si="119"/>
        <v/>
      </c>
      <c r="BB271" s="1038"/>
      <c r="BC271" s="1050">
        <f t="shared" si="124"/>
        <v>0</v>
      </c>
      <c r="BD271" s="1040" t="str">
        <f t="shared" si="120"/>
        <v/>
      </c>
      <c r="BE271" s="227" t="s">
        <v>22</v>
      </c>
      <c r="BF271" s="1019">
        <f t="shared" si="121"/>
        <v>0</v>
      </c>
      <c r="BG271" s="1020">
        <f t="shared" si="122"/>
        <v>0</v>
      </c>
      <c r="BH271"/>
      <c r="BI271" s="709"/>
      <c r="BJ271" s="709"/>
      <c r="BK271" s="709"/>
      <c r="BL271" s="709"/>
      <c r="BM271" s="709"/>
      <c r="BN271" s="709"/>
      <c r="BO271" s="709"/>
      <c r="BP271" s="709"/>
      <c r="BQ271"/>
      <c r="BR271"/>
      <c r="BS271"/>
      <c r="BT271"/>
      <c r="BU271"/>
      <c r="BV271"/>
      <c r="BW271" s="959" t="str">
        <f t="shared" si="130"/>
        <v>►</v>
      </c>
      <c r="BX271"/>
      <c r="BY271"/>
      <c r="BZ271"/>
      <c r="CA271"/>
      <c r="CB271"/>
      <c r="CD271"/>
      <c r="CE271"/>
      <c r="CF271"/>
      <c r="CG271"/>
      <c r="CH271"/>
      <c r="CI271"/>
      <c r="CJ271"/>
      <c r="CK271" s="227"/>
      <c r="CL271"/>
      <c r="CM271"/>
      <c r="CN271"/>
      <c r="CO271"/>
      <c r="CP271"/>
      <c r="CQ271"/>
      <c r="CR271"/>
      <c r="CS271" s="227"/>
      <c r="CT271"/>
      <c r="CU271"/>
      <c r="CV271"/>
      <c r="CW271"/>
      <c r="CX271"/>
      <c r="CY271"/>
      <c r="CZ271"/>
      <c r="DA271" s="227"/>
      <c r="DB271" s="3">
        <v>1</v>
      </c>
      <c r="DC271" s="709"/>
      <c r="DD271" s="709"/>
    </row>
    <row r="272" spans="1:108" s="856" customFormat="1" ht="21" customHeight="1">
      <c r="A272" s="936" t="s">
        <v>22</v>
      </c>
      <c r="B272" s="952" t="str">
        <f t="shared" si="129"/>
        <v>A</v>
      </c>
      <c r="C272" s="993" cm="1">
        <f t="array" ref="C272">SUMPRODUCT(LEN(D272:J272))</f>
        <v>0</v>
      </c>
      <c r="D272" s="167"/>
      <c r="E272" s="172"/>
      <c r="F272" s="172"/>
      <c r="G272" s="172"/>
      <c r="H272" s="172"/>
      <c r="I272" s="172"/>
      <c r="J272" s="173"/>
      <c r="K272" s="442" t="s">
        <v>22</v>
      </c>
      <c r="L272" s="104" t="str">
        <f t="shared" si="128"/>
        <v>A</v>
      </c>
      <c r="M272" s="157" t="str">
        <f>M205</f>
        <v>N NOTRE BOUDIN NOIR | | Auteur &gt; Guy KRENZE - Eric GODDYN - Arnaud NICOLAS - CEPROC 2002</v>
      </c>
      <c r="N272" s="157">
        <f>N205</f>
        <v>16.34</v>
      </c>
      <c r="O272" s="158" t="str">
        <f>O205</f>
        <v>Kg</v>
      </c>
      <c r="P272" s="159" t="str">
        <f>P205</f>
        <v>Recette mère ► le Boudin en 4 déclinaisons</v>
      </c>
      <c r="Q272" s="5441" t="s">
        <v>13079</v>
      </c>
      <c r="R272" s="5442"/>
      <c r="S272" s="5442"/>
      <c r="T272" s="5442"/>
      <c r="U272" s="5443"/>
      <c r="V272" s="172" t="s">
        <v>13133</v>
      </c>
      <c r="W272" s="172"/>
      <c r="X272" s="172"/>
      <c r="Y272" s="172"/>
      <c r="Z272" s="555"/>
      <c r="AA272" s="5211"/>
      <c r="AB272" s="1178"/>
      <c r="AC272" s="1179"/>
      <c r="AD272" s="227" t="s">
        <v>22</v>
      </c>
      <c r="AE272" s="1027" t="str">
        <f t="shared" si="104"/>
        <v>►</v>
      </c>
      <c r="AF272" s="1028" t="str">
        <f t="shared" si="105"/>
        <v/>
      </c>
      <c r="AG272" s="1029" t="str">
        <f t="shared" si="106"/>
        <v/>
      </c>
      <c r="AH272" s="1028" t="str">
        <f t="shared" si="107"/>
        <v/>
      </c>
      <c r="AI272" s="1029" t="str">
        <f t="shared" si="108"/>
        <v/>
      </c>
      <c r="AJ272" s="1029">
        <f t="shared" si="109"/>
        <v>0</v>
      </c>
      <c r="AK272" s="1043" t="str" cm="1">
        <f t="array" ref="AK272">IF(AE272&lt;&gt;"A","",IFERROR((IFERROR(_xlfn.XLOOKUP(TRIM(SUBSTITUTE(U272,CHAR(160)," ")),$BI$15:$BI$62,$BL$15:$BL$62),IFERROR(_xlfn.XLOOKUP(TRIM(SUBSTITUTE(U272,CHAR(160)," ")),$BJ$15:$BJ$62,$BL$15:$BL$62),_xlfn.XLOOKUP(TRIM(SUBSTITUTE(U272,CHAR(160)," ")),$BK$15:$BK$62,$BL$15:$BL$62))))*T272*IF(ISBLANK(Q272),1,Q272)+IFERROR(_xlfn.XLOOKUP("RECHERCHEX",TRIM(L272:AC272),L272:AC272),0),0))</f>
        <v/>
      </c>
      <c r="AL272" s="1030">
        <f t="shared" si="110"/>
        <v>0</v>
      </c>
      <c r="AM272" s="5254" t="str">
        <f t="shared" si="125"/>
        <v/>
      </c>
      <c r="AN272" s="1031">
        <f t="shared" si="111"/>
        <v>0</v>
      </c>
      <c r="AO272" s="1031">
        <f t="shared" si="112"/>
        <v>0</v>
      </c>
      <c r="AP272" s="1032">
        <f t="shared" si="113"/>
        <v>0</v>
      </c>
      <c r="AQ272" s="5255" t="str">
        <f t="shared" si="114"/>
        <v/>
      </c>
      <c r="AR272" s="1056"/>
      <c r="AS272" s="1056"/>
      <c r="AT272" s="1034">
        <f t="shared" si="115"/>
        <v>0</v>
      </c>
      <c r="AU272" s="1035">
        <f t="shared" si="116"/>
        <v>0</v>
      </c>
      <c r="AV272" s="1057" cm="1">
        <f t="array" ref="AV272">IF(AJ272&lt;&gt;1,0,IF(OR(AT272="",N(AT272)&lt;=0.000000001),"",IF(OR(AN272="",N(AN272)&lt;=0.000000001),0,IF(ISNUMBER(AT272),IFERROR(_xlfn.LET(_xlpm.ai_test,TRIM(AI272),_xlpm.r,IFERROR(_xlfn.XLOOKUP(_xlpm.ai_test,$BI$15:$BI$62,ROW($BI$15:$BI$62),0,1),IFERROR(_xlfn.XLOOKUP(_xlpm.ai_test,$BJ$15:$BJ$62,ROW($BJ$15:$BJ$62),0,1),_xlfn.XLOOKUP(_xlpm.ai_test,$BK$15:$BK$62,ROW($BK$15:$BK$62),0,1))),_xlpm.p,_xlpm.r-MIN(ROW($BI$15:$BI$62))+1,_xlpm.f,INDEX($BL$15:$BL$62,_xlpm.p),_xlpm.u,INDEX($BM$15:$BM$62,_xlpm.p),_xlpm.s,INDEX($BO$15:$BO$62,_xlpm.p),_xlpm.q,N(AT272)/_xlpm.f,IF(_xlpm.q&gt;=_xlpm.s,ROUND(_xlpm.q,1)&amp;" "&amp;_xlpm.ai_test&amp;" = "&amp;ROUND(_xlpm.q*_xlpm.f,1)&amp;" "&amp;_xlpm.u,ROUND(_xlpm.q,1)&amp;" "&amp;_xlpm.ai_test)),""),""))))</f>
        <v>0</v>
      </c>
      <c r="AW272" s="1047"/>
      <c r="AX272" s="1034">
        <f t="shared" si="117"/>
        <v>0</v>
      </c>
      <c r="AY272" s="1035" t="str">
        <f t="shared" si="118"/>
        <v/>
      </c>
      <c r="AZ272" s="1036">
        <f t="shared" si="123"/>
        <v>0</v>
      </c>
      <c r="BA272" s="1037" t="str">
        <f t="shared" si="119"/>
        <v/>
      </c>
      <c r="BB272" s="1038"/>
      <c r="BC272" s="1039">
        <f t="shared" si="124"/>
        <v>0</v>
      </c>
      <c r="BD272" s="1040" t="str">
        <f t="shared" si="120"/>
        <v/>
      </c>
      <c r="BE272" s="227" t="s">
        <v>22</v>
      </c>
      <c r="BF272" s="1019">
        <f t="shared" si="121"/>
        <v>0</v>
      </c>
      <c r="BG272" s="1020">
        <f t="shared" si="122"/>
        <v>0</v>
      </c>
      <c r="BH272"/>
      <c r="BI272" s="709"/>
      <c r="BJ272" s="709"/>
      <c r="BK272" s="709"/>
      <c r="BL272" s="709"/>
      <c r="BM272" s="709"/>
      <c r="BN272" s="709"/>
      <c r="BO272" s="709"/>
      <c r="BP272" s="709"/>
      <c r="BQ272"/>
      <c r="BR272"/>
      <c r="BS272"/>
      <c r="BT272"/>
      <c r="BU272"/>
      <c r="BV272"/>
      <c r="BW272" s="959" t="str">
        <f t="shared" si="130"/>
        <v>►</v>
      </c>
      <c r="BX272"/>
      <c r="BY272"/>
      <c r="BZ272"/>
      <c r="CA272"/>
      <c r="CB272"/>
      <c r="CD272"/>
      <c r="CE272"/>
      <c r="CF272"/>
      <c r="CG272"/>
      <c r="CH272"/>
      <c r="CI272"/>
      <c r="CJ272"/>
      <c r="CK272" s="227"/>
      <c r="CL272"/>
      <c r="CM272"/>
      <c r="CN272"/>
      <c r="CO272"/>
      <c r="CP272"/>
      <c r="CQ272"/>
      <c r="CR272"/>
      <c r="CS272" s="227"/>
      <c r="CT272"/>
      <c r="CU272"/>
      <c r="CV272"/>
      <c r="CW272"/>
      <c r="CX272"/>
      <c r="CY272"/>
      <c r="CZ272"/>
      <c r="DA272" s="227"/>
      <c r="DB272" s="3">
        <v>1</v>
      </c>
      <c r="DC272" s="709"/>
      <c r="DD272" s="709"/>
    </row>
    <row r="273" spans="1:108" s="856" customFormat="1" ht="21" customHeight="1">
      <c r="A273" s="936" t="s">
        <v>22</v>
      </c>
      <c r="B273" s="952" t="str">
        <f t="shared" ca="1" si="129"/>
        <v>A</v>
      </c>
      <c r="C273" s="993" cm="1">
        <f t="array" ref="C273">SUMPRODUCT(LEN(D273:J273))</f>
        <v>0</v>
      </c>
      <c r="D273" s="167"/>
      <c r="E273" s="172"/>
      <c r="F273" s="172"/>
      <c r="G273" s="172"/>
      <c r="H273" s="172"/>
      <c r="I273" s="172"/>
      <c r="J273" s="173"/>
      <c r="K273" s="442" t="s">
        <v>22</v>
      </c>
      <c r="L273" s="104" t="str">
        <f t="shared" ca="1" si="128"/>
        <v>A</v>
      </c>
      <c r="M273" s="157" t="str">
        <f>M205</f>
        <v>N NOTRE BOUDIN NOIR | | Auteur &gt; Guy KRENZE - Eric GODDYN - Arnaud NICOLAS - CEPROC 2002</v>
      </c>
      <c r="N273" s="157">
        <f>N205</f>
        <v>16.34</v>
      </c>
      <c r="O273" s="158" t="str">
        <f>O205</f>
        <v>Kg</v>
      </c>
      <c r="P273" s="159" t="str">
        <f>P205</f>
        <v>Recette mère ► le Boudin en 4 déclinaisons</v>
      </c>
      <c r="Q273" s="5114" t="s">
        <v>748</v>
      </c>
      <c r="R273" s="5122">
        <v>12</v>
      </c>
      <c r="S273" s="197"/>
      <c r="T273" s="5116" t="s">
        <v>748</v>
      </c>
      <c r="U273" s="5115">
        <f>IF(AND(ISNUMBER(R273),R273&gt;0),R273,IF(OR(ISBLANK(R274),ISBLANK(R275),IF(R275&gt;1,R275/100,R275)&gt;=1),"",R274/(1-IF(R275&gt;1,R275/100,R275))))</f>
        <v>12</v>
      </c>
      <c r="V273" s="5178" t="str">
        <f ca="1">_xlfn.FORMULATEXT(U273)</f>
        <v>=SI(ET(ESTNUM(R273);R273&gt;0);R273;SI(OU(ESTVIDE(R274);ESTVIDE(R275);SI(R275&gt;1;R275/100;R275)&gt;=1);"";R274/(1-SI(R275&gt;1;R275/100;R275))))</v>
      </c>
      <c r="W273" s="172"/>
      <c r="X273" s="172"/>
      <c r="Y273" s="172"/>
      <c r="Z273" s="555"/>
      <c r="AA273" s="5211"/>
      <c r="AB273" s="1178"/>
      <c r="AC273" s="1179"/>
      <c r="AD273" s="227" t="s">
        <v>22</v>
      </c>
      <c r="AE273" s="1027" t="str">
        <f t="shared" ca="1" si="104"/>
        <v>►</v>
      </c>
      <c r="AF273" s="1028" t="str">
        <f t="shared" ca="1" si="105"/>
        <v/>
      </c>
      <c r="AG273" s="1029" t="str">
        <f t="shared" ca="1" si="106"/>
        <v/>
      </c>
      <c r="AH273" s="1028" t="str">
        <f t="shared" ca="1" si="107"/>
        <v/>
      </c>
      <c r="AI273" s="1029" t="str">
        <f t="shared" ca="1" si="108"/>
        <v/>
      </c>
      <c r="AJ273" s="1029">
        <f t="shared" ca="1" si="109"/>
        <v>0</v>
      </c>
      <c r="AK273" s="1043" t="str" cm="1">
        <f t="array" aca="1" ref="AK273" ca="1">IF(AE273&lt;&gt;"A","",IFERROR((IFERROR(_xlfn.XLOOKUP(TRIM(SUBSTITUTE(U273,CHAR(160)," ")),$BI$15:$BI$62,$BL$15:$BL$62),IFERROR(_xlfn.XLOOKUP(TRIM(SUBSTITUTE(U273,CHAR(160)," ")),$BJ$15:$BJ$62,$BL$15:$BL$62),_xlfn.XLOOKUP(TRIM(SUBSTITUTE(U273,CHAR(160)," ")),$BK$15:$BK$62,$BL$15:$BL$62))))*T273*IF(ISBLANK(Q273),1,Q273)+IFERROR(_xlfn.XLOOKUP("RECHERCHEX",TRIM(L273:AC273),L273:AC273),0),0))</f>
        <v/>
      </c>
      <c r="AL273" s="1030">
        <f t="shared" ca="1" si="110"/>
        <v>0</v>
      </c>
      <c r="AM273" s="5254" t="str">
        <f t="shared" ca="1" si="125"/>
        <v/>
      </c>
      <c r="AN273" s="1031">
        <f t="shared" ca="1" si="111"/>
        <v>0</v>
      </c>
      <c r="AO273" s="1031">
        <f t="shared" ca="1" si="112"/>
        <v>0</v>
      </c>
      <c r="AP273" s="1044">
        <f t="shared" ca="1" si="113"/>
        <v>0</v>
      </c>
      <c r="AQ273" s="5257" t="str">
        <f t="shared" ca="1" si="114"/>
        <v/>
      </c>
      <c r="AR273" s="1056"/>
      <c r="AS273" s="1056"/>
      <c r="AT273" s="1045">
        <f t="shared" ca="1" si="115"/>
        <v>0</v>
      </c>
      <c r="AU273" s="1046">
        <f t="shared" ca="1" si="116"/>
        <v>0</v>
      </c>
      <c r="AV273" s="1059" cm="1">
        <f t="array" aca="1" ref="AV273" ca="1">IF(AJ273&lt;&gt;1,0,IF(OR(AT273="",N(AT273)&lt;=0.000000001),"",IF(OR(AN273="",N(AN273)&lt;=0.000000001),0,IF(ISNUMBER(AT273),IFERROR(_xlfn.LET(_xlpm.ai_test,TRIM(AI273),_xlpm.r,IFERROR(_xlfn.XLOOKUP(_xlpm.ai_test,$BI$15:$BI$62,ROW($BI$15:$BI$62),0,1),IFERROR(_xlfn.XLOOKUP(_xlpm.ai_test,$BJ$15:$BJ$62,ROW($BJ$15:$BJ$62),0,1),_xlfn.XLOOKUP(_xlpm.ai_test,$BK$15:$BK$62,ROW($BK$15:$BK$62),0,1))),_xlpm.p,_xlpm.r-MIN(ROW($BI$15:$BI$62))+1,_xlpm.f,INDEX($BL$15:$BL$62,_xlpm.p),_xlpm.u,INDEX($BM$15:$BM$62,_xlpm.p),_xlpm.s,INDEX($BO$15:$BO$62,_xlpm.p),_xlpm.q,N(AT273)/_xlpm.f,IF(_xlpm.q&gt;=_xlpm.s,ROUND(_xlpm.q,1)&amp;" "&amp;_xlpm.ai_test&amp;" = "&amp;ROUND(_xlpm.q*_xlpm.f,1)&amp;" "&amp;_xlpm.u,ROUND(_xlpm.q,1)&amp;" "&amp;_xlpm.ai_test)),""),""))))</f>
        <v>0</v>
      </c>
      <c r="AW273" s="1047"/>
      <c r="AX273" s="1045">
        <f t="shared" ca="1" si="117"/>
        <v>0</v>
      </c>
      <c r="AY273" s="1046" t="str">
        <f t="shared" ca="1" si="118"/>
        <v/>
      </c>
      <c r="AZ273" s="1048">
        <f t="shared" ca="1" si="123"/>
        <v>0</v>
      </c>
      <c r="BA273" s="1049" t="str">
        <f t="shared" ca="1" si="119"/>
        <v/>
      </c>
      <c r="BB273" s="1038"/>
      <c r="BC273" s="1050">
        <f t="shared" ca="1" si="124"/>
        <v>0</v>
      </c>
      <c r="BD273" s="1040" t="str">
        <f t="shared" ca="1" si="120"/>
        <v/>
      </c>
      <c r="BE273" s="227" t="s">
        <v>22</v>
      </c>
      <c r="BF273" s="1019">
        <f t="shared" ca="1" si="121"/>
        <v>0</v>
      </c>
      <c r="BG273" s="1020">
        <f t="shared" ca="1" si="122"/>
        <v>0</v>
      </c>
      <c r="BH273"/>
      <c r="BI273" s="709"/>
      <c r="BJ273" s="709"/>
      <c r="BK273" s="709"/>
      <c r="BL273" s="709"/>
      <c r="BM273" s="709"/>
      <c r="BN273" s="709"/>
      <c r="BO273" s="709"/>
      <c r="BP273" s="709"/>
      <c r="BQ273"/>
      <c r="BR273"/>
      <c r="BS273"/>
      <c r="BT273"/>
      <c r="BU273"/>
      <c r="BV273"/>
      <c r="BW273" s="959" t="str">
        <f t="shared" ca="1" si="130"/>
        <v>►</v>
      </c>
      <c r="BX273"/>
      <c r="BY273"/>
      <c r="BZ273"/>
      <c r="CA273"/>
      <c r="CB273"/>
      <c r="CD273"/>
      <c r="CE273"/>
      <c r="CF273"/>
      <c r="CG273"/>
      <c r="CH273"/>
      <c r="CI273"/>
      <c r="CJ273"/>
      <c r="CK273" s="227"/>
      <c r="CL273"/>
      <c r="CM273"/>
      <c r="CN273"/>
      <c r="CO273"/>
      <c r="CP273"/>
      <c r="CQ273"/>
      <c r="CR273"/>
      <c r="CS273" s="227"/>
      <c r="CT273"/>
      <c r="CU273"/>
      <c r="CV273"/>
      <c r="CW273"/>
      <c r="CX273"/>
      <c r="CY273"/>
      <c r="CZ273"/>
      <c r="DA273" s="227"/>
      <c r="DB273" s="3">
        <v>1</v>
      </c>
      <c r="DC273" s="709"/>
      <c r="DD273" s="709"/>
    </row>
    <row r="274" spans="1:108" s="856" customFormat="1" ht="21" customHeight="1">
      <c r="A274" s="936" t="s">
        <v>22</v>
      </c>
      <c r="B274" s="952" t="str">
        <f t="shared" ca="1" si="129"/>
        <v>A</v>
      </c>
      <c r="C274" s="993" cm="1">
        <f t="array" ref="C274">SUMPRODUCT(LEN(D274:J274))</f>
        <v>0</v>
      </c>
      <c r="D274" s="167"/>
      <c r="E274" s="172"/>
      <c r="F274" s="172"/>
      <c r="G274" s="172"/>
      <c r="H274" s="172"/>
      <c r="I274" s="172"/>
      <c r="J274" s="173"/>
      <c r="K274" s="442" t="s">
        <v>22</v>
      </c>
      <c r="L274" s="104" t="str">
        <f t="shared" ca="1" si="128"/>
        <v>A</v>
      </c>
      <c r="M274" s="157" t="str">
        <f>M205</f>
        <v>N NOTRE BOUDIN NOIR | | Auteur &gt; Guy KRENZE - Eric GODDYN - Arnaud NICOLAS - CEPROC 2002</v>
      </c>
      <c r="N274" s="157">
        <f>N205</f>
        <v>16.34</v>
      </c>
      <c r="O274" s="158" t="str">
        <f>O205</f>
        <v>Kg</v>
      </c>
      <c r="P274" s="159" t="str">
        <f>P205</f>
        <v>Recette mère ► le Boudin en 4 déclinaisons</v>
      </c>
      <c r="Q274" s="5112" t="s">
        <v>750</v>
      </c>
      <c r="R274" s="5117">
        <v>9</v>
      </c>
      <c r="S274" s="197"/>
      <c r="T274" s="5116" t="s">
        <v>750</v>
      </c>
      <c r="U274" s="5115">
        <f>IF(AND(ISNUMBER(R274),R275&lt;=1,R274&gt;0),R274,IF(OR(ISBLANK(R273),ISBLANK(R275),NOT(ISNUMBER(R273)),NOT(ISNUMBER(R275))),"",MAX(0,R273*(1-IF(R275&gt;1,R275/100,R275)))))</f>
        <v>9</v>
      </c>
      <c r="V274" s="5178" t="str">
        <f ca="1">_xlfn.FORMULATEXT(U274)</f>
        <v>=SI(ET(ESTNUM(R274);R275&lt;=1;R274&gt;0);R274;SI(OU(ESTVIDE(R273);ESTVIDE(R275);NON(ESTNUM(R273));NON(ESTNUM(R275)));"";MAX(0;R273*(1-SI(R275&gt;1;R275/100;R275)))))</v>
      </c>
      <c r="W274" s="172"/>
      <c r="X274" s="172"/>
      <c r="Y274" s="172"/>
      <c r="Z274" s="555"/>
      <c r="AA274" s="5211"/>
      <c r="AB274" s="1178"/>
      <c r="AC274" s="1179"/>
      <c r="AD274" s="227" t="s">
        <v>22</v>
      </c>
      <c r="AE274" s="1027" t="str">
        <f t="shared" ca="1" si="104"/>
        <v>►</v>
      </c>
      <c r="AF274" s="1028" t="str">
        <f t="shared" ca="1" si="105"/>
        <v/>
      </c>
      <c r="AG274" s="1029" t="str">
        <f t="shared" ca="1" si="106"/>
        <v/>
      </c>
      <c r="AH274" s="1028" t="str">
        <f t="shared" ca="1" si="107"/>
        <v/>
      </c>
      <c r="AI274" s="1029" t="str">
        <f t="shared" ca="1" si="108"/>
        <v/>
      </c>
      <c r="AJ274" s="1029">
        <f t="shared" ca="1" si="109"/>
        <v>0</v>
      </c>
      <c r="AK274" s="1043" t="str" cm="1">
        <f t="array" aca="1" ref="AK274" ca="1">IF(AE274&lt;&gt;"A","",IFERROR((IFERROR(_xlfn.XLOOKUP(TRIM(SUBSTITUTE(U274,CHAR(160)," ")),$BI$15:$BI$62,$BL$15:$BL$62),IFERROR(_xlfn.XLOOKUP(TRIM(SUBSTITUTE(U274,CHAR(160)," ")),$BJ$15:$BJ$62,$BL$15:$BL$62),_xlfn.XLOOKUP(TRIM(SUBSTITUTE(U274,CHAR(160)," ")),$BK$15:$BK$62,$BL$15:$BL$62))))*T274*IF(ISBLANK(Q274),1,Q274)+IFERROR(_xlfn.XLOOKUP("RECHERCHEX",TRIM(L274:AC274),L274:AC274),0),0))</f>
        <v/>
      </c>
      <c r="AL274" s="1030">
        <f t="shared" ca="1" si="110"/>
        <v>0</v>
      </c>
      <c r="AM274" s="5254" t="str">
        <f t="shared" ca="1" si="125"/>
        <v/>
      </c>
      <c r="AN274" s="1031">
        <f t="shared" ca="1" si="111"/>
        <v>0</v>
      </c>
      <c r="AO274" s="1031">
        <f t="shared" ca="1" si="112"/>
        <v>0</v>
      </c>
      <c r="AP274" s="1032">
        <f t="shared" ca="1" si="113"/>
        <v>0</v>
      </c>
      <c r="AQ274" s="5255" t="str">
        <f t="shared" ca="1" si="114"/>
        <v/>
      </c>
      <c r="AR274" s="1056"/>
      <c r="AS274" s="1056"/>
      <c r="AT274" s="1034">
        <f t="shared" ca="1" si="115"/>
        <v>0</v>
      </c>
      <c r="AU274" s="1035">
        <f t="shared" ca="1" si="116"/>
        <v>0</v>
      </c>
      <c r="AV274" s="1057" cm="1">
        <f t="array" aca="1" ref="AV274" ca="1">IF(AJ274&lt;&gt;1,0,IF(OR(AT274="",N(AT274)&lt;=0.000000001),"",IF(OR(AN274="",N(AN274)&lt;=0.000000001),0,IF(ISNUMBER(AT274),IFERROR(_xlfn.LET(_xlpm.ai_test,TRIM(AI274),_xlpm.r,IFERROR(_xlfn.XLOOKUP(_xlpm.ai_test,$BI$15:$BI$62,ROW($BI$15:$BI$62),0,1),IFERROR(_xlfn.XLOOKUP(_xlpm.ai_test,$BJ$15:$BJ$62,ROW($BJ$15:$BJ$62),0,1),_xlfn.XLOOKUP(_xlpm.ai_test,$BK$15:$BK$62,ROW($BK$15:$BK$62),0,1))),_xlpm.p,_xlpm.r-MIN(ROW($BI$15:$BI$62))+1,_xlpm.f,INDEX($BL$15:$BL$62,_xlpm.p),_xlpm.u,INDEX($BM$15:$BM$62,_xlpm.p),_xlpm.s,INDEX($BO$15:$BO$62,_xlpm.p),_xlpm.q,N(AT274)/_xlpm.f,IF(_xlpm.q&gt;=_xlpm.s,ROUND(_xlpm.q,1)&amp;" "&amp;_xlpm.ai_test&amp;" = "&amp;ROUND(_xlpm.q*_xlpm.f,1)&amp;" "&amp;_xlpm.u,ROUND(_xlpm.q,1)&amp;" "&amp;_xlpm.ai_test)),""),""))))</f>
        <v>0</v>
      </c>
      <c r="AW274" s="1047"/>
      <c r="AX274" s="1034">
        <f t="shared" ca="1" si="117"/>
        <v>0</v>
      </c>
      <c r="AY274" s="1035" t="str">
        <f t="shared" ca="1" si="118"/>
        <v/>
      </c>
      <c r="AZ274" s="1036">
        <f t="shared" ca="1" si="123"/>
        <v>0</v>
      </c>
      <c r="BA274" s="1037" t="str">
        <f t="shared" ca="1" si="119"/>
        <v/>
      </c>
      <c r="BB274" s="1038"/>
      <c r="BC274" s="1039">
        <f t="shared" ca="1" si="124"/>
        <v>0</v>
      </c>
      <c r="BD274" s="1040" t="str">
        <f t="shared" ca="1" si="120"/>
        <v/>
      </c>
      <c r="BE274" s="227" t="s">
        <v>22</v>
      </c>
      <c r="BF274" s="1019">
        <f t="shared" ca="1" si="121"/>
        <v>0</v>
      </c>
      <c r="BG274" s="1020">
        <f t="shared" ca="1" si="122"/>
        <v>0</v>
      </c>
      <c r="BH274"/>
      <c r="BI274" s="709"/>
      <c r="BJ274" s="709"/>
      <c r="BK274" s="709"/>
      <c r="BL274" s="709"/>
      <c r="BM274" s="709"/>
      <c r="BN274" s="709"/>
      <c r="BO274" s="709"/>
      <c r="BP274" s="709"/>
      <c r="BQ274"/>
      <c r="BR274"/>
      <c r="BS274"/>
      <c r="BT274"/>
      <c r="BU274"/>
      <c r="BV274"/>
      <c r="BW274" s="959" t="str">
        <f t="shared" ca="1" si="130"/>
        <v>►</v>
      </c>
      <c r="BX274"/>
      <c r="BY274"/>
      <c r="BZ274"/>
      <c r="CA274"/>
      <c r="CB274"/>
      <c r="CD274"/>
      <c r="CE274"/>
      <c r="CF274"/>
      <c r="CG274"/>
      <c r="CH274"/>
      <c r="CI274"/>
      <c r="CJ274"/>
      <c r="CK274" s="227"/>
      <c r="CL274"/>
      <c r="CM274"/>
      <c r="CN274"/>
      <c r="CO274"/>
      <c r="CP274"/>
      <c r="CQ274"/>
      <c r="CR274"/>
      <c r="CS274" s="227"/>
      <c r="CT274"/>
      <c r="CU274"/>
      <c r="CV274"/>
      <c r="CW274"/>
      <c r="CX274"/>
      <c r="CY274"/>
      <c r="CZ274"/>
      <c r="DA274" s="227"/>
      <c r="DB274" s="3">
        <v>1</v>
      </c>
      <c r="DC274" s="709"/>
      <c r="DD274" s="709"/>
    </row>
    <row r="275" spans="1:108" s="856" customFormat="1" ht="21" customHeight="1">
      <c r="A275" s="936" t="s">
        <v>22</v>
      </c>
      <c r="B275" s="952" t="str">
        <f t="shared" ca="1" si="129"/>
        <v>A</v>
      </c>
      <c r="C275" s="993" cm="1">
        <f t="array" ref="C275">SUMPRODUCT(LEN(D275:J275))</f>
        <v>0</v>
      </c>
      <c r="D275" s="167"/>
      <c r="E275" s="172"/>
      <c r="F275" s="172"/>
      <c r="G275" s="172"/>
      <c r="H275" s="172"/>
      <c r="I275" s="172"/>
      <c r="J275" s="173"/>
      <c r="K275" s="442" t="s">
        <v>22</v>
      </c>
      <c r="L275" s="104" t="str">
        <f t="shared" ca="1" si="128"/>
        <v>A</v>
      </c>
      <c r="M275" s="157" t="str">
        <f>M205</f>
        <v>N NOTRE BOUDIN NOIR | | Auteur &gt; Guy KRENZE - Eric GODDYN - Arnaud NICOLAS - CEPROC 2002</v>
      </c>
      <c r="N275" s="157">
        <f>N205</f>
        <v>16.34</v>
      </c>
      <c r="O275" s="158" t="str">
        <f>O205</f>
        <v>Kg</v>
      </c>
      <c r="P275" s="159" t="str">
        <f>P205</f>
        <v>Recette mère ► le Boudin en 4 déclinaisons</v>
      </c>
      <c r="Q275" s="5113" t="s">
        <v>764</v>
      </c>
      <c r="R275" s="5118"/>
      <c r="S275" s="197"/>
      <c r="T275" s="5116" t="s">
        <v>764</v>
      </c>
      <c r="U275" s="5177">
        <f>IF( R275 &gt; 0, R275, IF( OR(ISBLANK(R273), ISBLANK(R274), NOT(ISNUMBER(R273)), NOT(ISNUMBER(R274)), R273 = 0), "", (R273 - R274) / R273 * IF(R275 &gt; 1, R275 / 100, 1) ) )</f>
        <v>0.25</v>
      </c>
      <c r="V275" s="5178" t="str">
        <f t="shared" ref="V275:V278" ca="1" si="131">_xlfn.FORMULATEXT(U275)</f>
        <v>=SI( R275 &gt; 0; R275; SI( OU(ESTVIDE(R273); ESTVIDE(R274); NON(ESTNUM(R273)); NON(ESTNUM(R274)); R273 = 0); ""; (R273 - R274) / R273 * SI(R275 &gt; 1; R275 / 100; 1) ) )</v>
      </c>
      <c r="W275" s="172"/>
      <c r="X275" s="172"/>
      <c r="Y275" s="172"/>
      <c r="Z275" s="555"/>
      <c r="AA275" s="5211"/>
      <c r="AB275" s="1178"/>
      <c r="AC275" s="1179"/>
      <c r="AD275" s="227" t="s">
        <v>22</v>
      </c>
      <c r="AE275" s="1027" t="str">
        <f t="shared" ca="1" si="104"/>
        <v>►</v>
      </c>
      <c r="AF275" s="1028" t="str">
        <f t="shared" ca="1" si="105"/>
        <v/>
      </c>
      <c r="AG275" s="1029" t="str">
        <f t="shared" ca="1" si="106"/>
        <v/>
      </c>
      <c r="AH275" s="1028" t="str">
        <f t="shared" ca="1" si="107"/>
        <v/>
      </c>
      <c r="AI275" s="1029" t="str">
        <f t="shared" ca="1" si="108"/>
        <v/>
      </c>
      <c r="AJ275" s="1029">
        <f t="shared" ca="1" si="109"/>
        <v>0</v>
      </c>
      <c r="AK275" s="1043" t="str" cm="1">
        <f t="array" aca="1" ref="AK275" ca="1">IF(AE275&lt;&gt;"A","",IFERROR((IFERROR(_xlfn.XLOOKUP(TRIM(SUBSTITUTE(U275,CHAR(160)," ")),$BI$15:$BI$62,$BL$15:$BL$62),IFERROR(_xlfn.XLOOKUP(TRIM(SUBSTITUTE(U275,CHAR(160)," ")),$BJ$15:$BJ$62,$BL$15:$BL$62),_xlfn.XLOOKUP(TRIM(SUBSTITUTE(U275,CHAR(160)," ")),$BK$15:$BK$62,$BL$15:$BL$62))))*T275*IF(ISBLANK(Q275),1,Q275)+IFERROR(_xlfn.XLOOKUP("RECHERCHEX",TRIM(L275:AC275),L275:AC275),0),0))</f>
        <v/>
      </c>
      <c r="AL275" s="1030">
        <f t="shared" ca="1" si="110"/>
        <v>0</v>
      </c>
      <c r="AM275" s="5254" t="str">
        <f t="shared" ca="1" si="125"/>
        <v/>
      </c>
      <c r="AN275" s="1031">
        <f t="shared" ca="1" si="111"/>
        <v>0</v>
      </c>
      <c r="AO275" s="1031">
        <f t="shared" ca="1" si="112"/>
        <v>0</v>
      </c>
      <c r="AP275" s="1044">
        <f t="shared" ca="1" si="113"/>
        <v>0</v>
      </c>
      <c r="AQ275" s="5257" t="str">
        <f t="shared" ca="1" si="114"/>
        <v/>
      </c>
      <c r="AR275" s="1056"/>
      <c r="AS275" s="1056"/>
      <c r="AT275" s="1045">
        <f t="shared" ca="1" si="115"/>
        <v>0</v>
      </c>
      <c r="AU275" s="1046">
        <f t="shared" ca="1" si="116"/>
        <v>0</v>
      </c>
      <c r="AV275" s="1059" cm="1">
        <f t="array" aca="1" ref="AV275" ca="1">IF(AJ275&lt;&gt;1,0,IF(OR(AT275="",N(AT275)&lt;=0.000000001),"",IF(OR(AN275="",N(AN275)&lt;=0.000000001),0,IF(ISNUMBER(AT275),IFERROR(_xlfn.LET(_xlpm.ai_test,TRIM(AI275),_xlpm.r,IFERROR(_xlfn.XLOOKUP(_xlpm.ai_test,$BI$15:$BI$62,ROW($BI$15:$BI$62),0,1),IFERROR(_xlfn.XLOOKUP(_xlpm.ai_test,$BJ$15:$BJ$62,ROW($BJ$15:$BJ$62),0,1),_xlfn.XLOOKUP(_xlpm.ai_test,$BK$15:$BK$62,ROW($BK$15:$BK$62),0,1))),_xlpm.p,_xlpm.r-MIN(ROW($BI$15:$BI$62))+1,_xlpm.f,INDEX($BL$15:$BL$62,_xlpm.p),_xlpm.u,INDEX($BM$15:$BM$62,_xlpm.p),_xlpm.s,INDEX($BO$15:$BO$62,_xlpm.p),_xlpm.q,N(AT275)/_xlpm.f,IF(_xlpm.q&gt;=_xlpm.s,ROUND(_xlpm.q,1)&amp;" "&amp;_xlpm.ai_test&amp;" = "&amp;ROUND(_xlpm.q*_xlpm.f,1)&amp;" "&amp;_xlpm.u,ROUND(_xlpm.q,1)&amp;" "&amp;_xlpm.ai_test)),""),""))))</f>
        <v>0</v>
      </c>
      <c r="AW275" s="1047"/>
      <c r="AX275" s="1045">
        <f t="shared" ca="1" si="117"/>
        <v>0</v>
      </c>
      <c r="AY275" s="1046" t="str">
        <f t="shared" ca="1" si="118"/>
        <v/>
      </c>
      <c r="AZ275" s="1048">
        <f t="shared" ca="1" si="123"/>
        <v>0</v>
      </c>
      <c r="BA275" s="1049" t="str">
        <f t="shared" ca="1" si="119"/>
        <v/>
      </c>
      <c r="BB275" s="1038"/>
      <c r="BC275" s="1050">
        <f t="shared" ca="1" si="124"/>
        <v>0</v>
      </c>
      <c r="BD275" s="1040" t="str">
        <f t="shared" ca="1" si="120"/>
        <v/>
      </c>
      <c r="BE275" s="227" t="s">
        <v>22</v>
      </c>
      <c r="BF275" s="1019">
        <f t="shared" ca="1" si="121"/>
        <v>0</v>
      </c>
      <c r="BG275" s="1020">
        <f t="shared" ca="1" si="122"/>
        <v>0</v>
      </c>
      <c r="BH275"/>
      <c r="BI275" s="709"/>
      <c r="BJ275" s="709"/>
      <c r="BK275" s="709"/>
      <c r="BL275" s="709"/>
      <c r="BM275" s="709"/>
      <c r="BN275" s="709"/>
      <c r="BO275" s="709"/>
      <c r="BP275" s="709"/>
      <c r="BQ275"/>
      <c r="BR275"/>
      <c r="BS275"/>
      <c r="BT275"/>
      <c r="BU275"/>
      <c r="BV275"/>
      <c r="BW275" s="959" t="str">
        <f t="shared" ca="1" si="130"/>
        <v>►</v>
      </c>
      <c r="BX275"/>
      <c r="BY275"/>
      <c r="BZ275"/>
      <c r="CA275"/>
      <c r="CB275"/>
      <c r="CD275"/>
      <c r="CE275"/>
      <c r="CF275"/>
      <c r="CG275"/>
      <c r="CH275"/>
      <c r="CI275"/>
      <c r="CJ275"/>
      <c r="CK275" s="227"/>
      <c r="CL275"/>
      <c r="CM275"/>
      <c r="CN275"/>
      <c r="CO275"/>
      <c r="CP275"/>
      <c r="CQ275"/>
      <c r="CR275"/>
      <c r="CS275" s="227"/>
      <c r="CT275"/>
      <c r="CU275"/>
      <c r="CV275"/>
      <c r="CW275"/>
      <c r="CX275"/>
      <c r="CY275"/>
      <c r="CZ275"/>
      <c r="DA275" s="227"/>
      <c r="DB275" s="3">
        <v>1</v>
      </c>
      <c r="DC275" s="709"/>
      <c r="DD275" s="709"/>
    </row>
    <row r="276" spans="1:108" s="856" customFormat="1" ht="21" customHeight="1">
      <c r="A276" s="936" t="s">
        <v>22</v>
      </c>
      <c r="B276" s="952" t="str">
        <f t="shared" ca="1" si="129"/>
        <v>A</v>
      </c>
      <c r="C276" s="993" cm="1">
        <f t="array" ref="C276">SUMPRODUCT(LEN(D276:J276))</f>
        <v>0</v>
      </c>
      <c r="D276" s="167"/>
      <c r="E276" s="172"/>
      <c r="F276" s="172"/>
      <c r="G276" s="172"/>
      <c r="H276" s="172"/>
      <c r="I276" s="172"/>
      <c r="J276" s="173"/>
      <c r="K276" s="442" t="s">
        <v>22</v>
      </c>
      <c r="L276" s="104" t="str">
        <f t="shared" ca="1" si="128"/>
        <v>A</v>
      </c>
      <c r="M276" s="157" t="str">
        <f>M205</f>
        <v>N NOTRE BOUDIN NOIR | | Auteur &gt; Guy KRENZE - Eric GODDYN - Arnaud NICOLAS - CEPROC 2002</v>
      </c>
      <c r="N276" s="157">
        <f>N205</f>
        <v>16.34</v>
      </c>
      <c r="O276" s="158" t="str">
        <f>O205</f>
        <v>Kg</v>
      </c>
      <c r="P276" s="159" t="str">
        <f>P205</f>
        <v>Recette mère ► le Boudin en 4 déclinaisons</v>
      </c>
      <c r="Q276" s="5176"/>
      <c r="R276" s="172"/>
      <c r="S276" s="197"/>
      <c r="T276" s="5116" t="s">
        <v>13081</v>
      </c>
      <c r="U276" s="5115">
        <f>IF(AND(NOT(ISBLANK(R273)),NOT(ISBLANK(R274))),R273-R274,IF(NOT(ISBLANK(R275)),IF(NOT(ISBLANK(R273)),R273*IF(R275&gt;1,R275/100,R275),IF(NOT(ISBLANK(R274)),R274*IF(R275&gt;1,R275/100,R275)/(1-IF(R275&gt;1,R275/100,R275)),"")),""))</f>
        <v>3</v>
      </c>
      <c r="V276" s="5178" t="str">
        <f t="shared" ca="1" si="131"/>
        <v>=SI(ET(NON(ESTVIDE(R273));NON(ESTVIDE(R274)));R273-R274;SI(NON(ESTVIDE(R275));SI(NON(ESTVIDE(R273));R273*SI(R275&gt;1;R275/100;R275);SI(NON(ESTVIDE(R274));R274*SI(R275&gt;1;R275/100;R275)/(1-SI(R275&gt;1;R275/100;R275));""));""))</v>
      </c>
      <c r="W276" s="172"/>
      <c r="X276" s="172"/>
      <c r="Y276" s="172"/>
      <c r="Z276" s="555"/>
      <c r="AA276" s="5211"/>
      <c r="AB276" s="1178"/>
      <c r="AC276" s="1179"/>
      <c r="AD276" s="227" t="s">
        <v>22</v>
      </c>
      <c r="AE276" s="1027" t="str">
        <f t="shared" ca="1" si="104"/>
        <v>►</v>
      </c>
      <c r="AF276" s="1028" t="str">
        <f t="shared" ca="1" si="105"/>
        <v/>
      </c>
      <c r="AG276" s="1029" t="str">
        <f t="shared" ca="1" si="106"/>
        <v/>
      </c>
      <c r="AH276" s="1028" t="str">
        <f t="shared" ca="1" si="107"/>
        <v/>
      </c>
      <c r="AI276" s="1029" t="str">
        <f t="shared" ca="1" si="108"/>
        <v/>
      </c>
      <c r="AJ276" s="1029">
        <f t="shared" ca="1" si="109"/>
        <v>0</v>
      </c>
      <c r="AK276" s="1043" t="str" cm="1">
        <f t="array" aca="1" ref="AK276" ca="1">IF(AE276&lt;&gt;"A","",IFERROR((IFERROR(_xlfn.XLOOKUP(TRIM(SUBSTITUTE(U276,CHAR(160)," ")),$BI$15:$BI$62,$BL$15:$BL$62),IFERROR(_xlfn.XLOOKUP(TRIM(SUBSTITUTE(U276,CHAR(160)," ")),$BJ$15:$BJ$62,$BL$15:$BL$62),_xlfn.XLOOKUP(TRIM(SUBSTITUTE(U276,CHAR(160)," ")),$BK$15:$BK$62,$BL$15:$BL$62))))*T276*IF(ISBLANK(Q276),1,Q276)+IFERROR(_xlfn.XLOOKUP("RECHERCHEX",TRIM(L276:AC276),L276:AC276),0),0))</f>
        <v/>
      </c>
      <c r="AL276" s="1030">
        <f t="shared" ca="1" si="110"/>
        <v>0</v>
      </c>
      <c r="AM276" s="5254" t="str">
        <f t="shared" ca="1" si="125"/>
        <v/>
      </c>
      <c r="AN276" s="1031">
        <f t="shared" ca="1" si="111"/>
        <v>0</v>
      </c>
      <c r="AO276" s="1031">
        <f t="shared" ca="1" si="112"/>
        <v>0</v>
      </c>
      <c r="AP276" s="1032">
        <f t="shared" ca="1" si="113"/>
        <v>0</v>
      </c>
      <c r="AQ276" s="5255" t="str">
        <f t="shared" ca="1" si="114"/>
        <v/>
      </c>
      <c r="AR276" s="1056"/>
      <c r="AS276" s="1056"/>
      <c r="AT276" s="1034">
        <f t="shared" ca="1" si="115"/>
        <v>0</v>
      </c>
      <c r="AU276" s="1035">
        <f t="shared" ca="1" si="116"/>
        <v>0</v>
      </c>
      <c r="AV276" s="1057" cm="1">
        <f t="array" aca="1" ref="AV276" ca="1">IF(AJ276&lt;&gt;1,0,IF(OR(AT276="",N(AT276)&lt;=0.000000001),"",IF(OR(AN276="",N(AN276)&lt;=0.000000001),0,IF(ISNUMBER(AT276),IFERROR(_xlfn.LET(_xlpm.ai_test,TRIM(AI276),_xlpm.r,IFERROR(_xlfn.XLOOKUP(_xlpm.ai_test,$BI$15:$BI$62,ROW($BI$15:$BI$62),0,1),IFERROR(_xlfn.XLOOKUP(_xlpm.ai_test,$BJ$15:$BJ$62,ROW($BJ$15:$BJ$62),0,1),_xlfn.XLOOKUP(_xlpm.ai_test,$BK$15:$BK$62,ROW($BK$15:$BK$62),0,1))),_xlpm.p,_xlpm.r-MIN(ROW($BI$15:$BI$62))+1,_xlpm.f,INDEX($BL$15:$BL$62,_xlpm.p),_xlpm.u,INDEX($BM$15:$BM$62,_xlpm.p),_xlpm.s,INDEX($BO$15:$BO$62,_xlpm.p),_xlpm.q,N(AT276)/_xlpm.f,IF(_xlpm.q&gt;=_xlpm.s,ROUND(_xlpm.q,1)&amp;" "&amp;_xlpm.ai_test&amp;" = "&amp;ROUND(_xlpm.q*_xlpm.f,1)&amp;" "&amp;_xlpm.u,ROUND(_xlpm.q,1)&amp;" "&amp;_xlpm.ai_test)),""),""))))</f>
        <v>0</v>
      </c>
      <c r="AW276" s="1047"/>
      <c r="AX276" s="1034">
        <f t="shared" ca="1" si="117"/>
        <v>0</v>
      </c>
      <c r="AY276" s="1035" t="str">
        <f t="shared" ca="1" si="118"/>
        <v/>
      </c>
      <c r="AZ276" s="1036">
        <f t="shared" ca="1" si="123"/>
        <v>0</v>
      </c>
      <c r="BA276" s="1037" t="str">
        <f t="shared" ca="1" si="119"/>
        <v/>
      </c>
      <c r="BB276" s="1038"/>
      <c r="BC276" s="1039">
        <f t="shared" ca="1" si="124"/>
        <v>0</v>
      </c>
      <c r="BD276" s="1040" t="str">
        <f t="shared" ca="1" si="120"/>
        <v/>
      </c>
      <c r="BE276" s="227" t="s">
        <v>22</v>
      </c>
      <c r="BF276" s="1019">
        <f t="shared" ca="1" si="121"/>
        <v>0</v>
      </c>
      <c r="BG276" s="1020">
        <f t="shared" ca="1" si="122"/>
        <v>0</v>
      </c>
      <c r="BH276"/>
      <c r="BI276" s="709"/>
      <c r="BJ276" s="709"/>
      <c r="BK276" s="709"/>
      <c r="BL276" s="709"/>
      <c r="BM276" s="709"/>
      <c r="BN276" s="709"/>
      <c r="BO276" s="709"/>
      <c r="BP276" s="709"/>
      <c r="BQ276"/>
      <c r="BR276"/>
      <c r="BS276"/>
      <c r="BT276"/>
      <c r="BU276"/>
      <c r="BV276"/>
      <c r="BW276" s="959" t="str">
        <f t="shared" ca="1" si="130"/>
        <v>►</v>
      </c>
      <c r="BX276"/>
      <c r="BY276"/>
      <c r="BZ276"/>
      <c r="CA276"/>
      <c r="CB276"/>
      <c r="CD276"/>
      <c r="CE276"/>
      <c r="CF276"/>
      <c r="CG276"/>
      <c r="CH276"/>
      <c r="CI276"/>
      <c r="CJ276"/>
      <c r="CK276" s="227"/>
      <c r="CL276"/>
      <c r="CM276"/>
      <c r="CN276"/>
      <c r="CO276"/>
      <c r="CP276"/>
      <c r="CQ276"/>
      <c r="CR276"/>
      <c r="CS276" s="227"/>
      <c r="CT276"/>
      <c r="CU276"/>
      <c r="CV276"/>
      <c r="CW276"/>
      <c r="CX276"/>
      <c r="CY276"/>
      <c r="CZ276"/>
      <c r="DA276" s="227"/>
      <c r="DB276" s="3">
        <v>1</v>
      </c>
      <c r="DC276" s="709"/>
      <c r="DD276" s="709"/>
    </row>
    <row r="277" spans="1:108" s="856" customFormat="1" ht="21" customHeight="1">
      <c r="A277" s="936" t="s">
        <v>22</v>
      </c>
      <c r="B277" s="952" t="str">
        <f t="shared" ca="1" si="129"/>
        <v>A</v>
      </c>
      <c r="C277" s="993" cm="1">
        <f t="array" ref="C277">SUMPRODUCT(LEN(D277:J277))</f>
        <v>0</v>
      </c>
      <c r="D277" s="167"/>
      <c r="E277" s="172"/>
      <c r="F277" s="172"/>
      <c r="G277" s="172"/>
      <c r="H277" s="172"/>
      <c r="I277" s="172"/>
      <c r="J277" s="173"/>
      <c r="K277" s="442" t="s">
        <v>22</v>
      </c>
      <c r="L277" s="104" t="str">
        <f t="shared" ca="1" si="128"/>
        <v>A</v>
      </c>
      <c r="M277" s="157" t="str">
        <f>M205</f>
        <v>N NOTRE BOUDIN NOIR | | Auteur &gt; Guy KRENZE - Eric GODDYN - Arnaud NICOLAS - CEPROC 2002</v>
      </c>
      <c r="N277" s="157">
        <f>N205</f>
        <v>16.34</v>
      </c>
      <c r="O277" s="158" t="str">
        <f>O205</f>
        <v>Kg</v>
      </c>
      <c r="P277" s="159" t="str">
        <f>P205</f>
        <v>Recette mère ► le Boudin en 4 déclinaisons</v>
      </c>
      <c r="Q277" s="5175"/>
      <c r="R277" s="172"/>
      <c r="S277" s="172"/>
      <c r="T277" s="5120" t="s">
        <v>13082</v>
      </c>
      <c r="U277" s="5121">
        <f>IF(OR(ISBLANK(R273),ISBLANK(R274)),"",R273/R274)</f>
        <v>1.3333333333333333</v>
      </c>
      <c r="V277" s="5178" t="str">
        <f t="shared" ca="1" si="131"/>
        <v>=SI(OU(ESTVIDE(R273);ESTVIDE(R274));"";R273/R274)</v>
      </c>
      <c r="W277" s="172"/>
      <c r="X277" s="172"/>
      <c r="Y277" s="172"/>
      <c r="Z277" s="555"/>
      <c r="AA277" s="5211"/>
      <c r="AB277" s="1178"/>
      <c r="AC277" s="1179"/>
      <c r="AD277" s="227" t="s">
        <v>22</v>
      </c>
      <c r="AE277" s="1027" t="str">
        <f t="shared" ca="1" si="104"/>
        <v>►</v>
      </c>
      <c r="AF277" s="1028" t="str">
        <f t="shared" ca="1" si="105"/>
        <v/>
      </c>
      <c r="AG277" s="1029" t="str">
        <f t="shared" ca="1" si="106"/>
        <v/>
      </c>
      <c r="AH277" s="1028" t="str">
        <f t="shared" ca="1" si="107"/>
        <v/>
      </c>
      <c r="AI277" s="1029" t="str">
        <f t="shared" ca="1" si="108"/>
        <v/>
      </c>
      <c r="AJ277" s="1029">
        <f t="shared" ca="1" si="109"/>
        <v>0</v>
      </c>
      <c r="AK277" s="1043" t="str" cm="1">
        <f t="array" aca="1" ref="AK277" ca="1">IF(AE277&lt;&gt;"A","",IFERROR((IFERROR(_xlfn.XLOOKUP(TRIM(SUBSTITUTE(U277,CHAR(160)," ")),$BI$15:$BI$62,$BL$15:$BL$62),IFERROR(_xlfn.XLOOKUP(TRIM(SUBSTITUTE(U277,CHAR(160)," ")),$BJ$15:$BJ$62,$BL$15:$BL$62),_xlfn.XLOOKUP(TRIM(SUBSTITUTE(U277,CHAR(160)," ")),$BK$15:$BK$62,$BL$15:$BL$62))))*T277*IF(ISBLANK(Q277),1,Q277)+IFERROR(_xlfn.XLOOKUP("RECHERCHEX",TRIM(L277:AC277),L277:AC277),0),0))</f>
        <v/>
      </c>
      <c r="AL277" s="1030">
        <f t="shared" ca="1" si="110"/>
        <v>0</v>
      </c>
      <c r="AM277" s="5254" t="str">
        <f t="shared" ca="1" si="125"/>
        <v/>
      </c>
      <c r="AN277" s="1031">
        <f t="shared" ca="1" si="111"/>
        <v>0</v>
      </c>
      <c r="AO277" s="1031">
        <f t="shared" ca="1" si="112"/>
        <v>0</v>
      </c>
      <c r="AP277" s="1044">
        <f t="shared" ca="1" si="113"/>
        <v>0</v>
      </c>
      <c r="AQ277" s="5257" t="str">
        <f t="shared" ca="1" si="114"/>
        <v/>
      </c>
      <c r="AR277" s="1056"/>
      <c r="AS277" s="1056"/>
      <c r="AT277" s="1045">
        <f t="shared" ca="1" si="115"/>
        <v>0</v>
      </c>
      <c r="AU277" s="1046">
        <f t="shared" ca="1" si="116"/>
        <v>0</v>
      </c>
      <c r="AV277" s="1059" cm="1">
        <f t="array" aca="1" ref="AV277" ca="1">IF(AJ277&lt;&gt;1,0,IF(OR(AT277="",N(AT277)&lt;=0.000000001),"",IF(OR(AN277="",N(AN277)&lt;=0.000000001),0,IF(ISNUMBER(AT277),IFERROR(_xlfn.LET(_xlpm.ai_test,TRIM(AI277),_xlpm.r,IFERROR(_xlfn.XLOOKUP(_xlpm.ai_test,$BI$15:$BI$62,ROW($BI$15:$BI$62),0,1),IFERROR(_xlfn.XLOOKUP(_xlpm.ai_test,$BJ$15:$BJ$62,ROW($BJ$15:$BJ$62),0,1),_xlfn.XLOOKUP(_xlpm.ai_test,$BK$15:$BK$62,ROW($BK$15:$BK$62),0,1))),_xlpm.p,_xlpm.r-MIN(ROW($BI$15:$BI$62))+1,_xlpm.f,INDEX($BL$15:$BL$62,_xlpm.p),_xlpm.u,INDEX($BM$15:$BM$62,_xlpm.p),_xlpm.s,INDEX($BO$15:$BO$62,_xlpm.p),_xlpm.q,N(AT277)/_xlpm.f,IF(_xlpm.q&gt;=_xlpm.s,ROUND(_xlpm.q,1)&amp;" "&amp;_xlpm.ai_test&amp;" = "&amp;ROUND(_xlpm.q*_xlpm.f,1)&amp;" "&amp;_xlpm.u,ROUND(_xlpm.q,1)&amp;" "&amp;_xlpm.ai_test)),""),""))))</f>
        <v>0</v>
      </c>
      <c r="AW277" s="1047"/>
      <c r="AX277" s="1045">
        <f t="shared" ca="1" si="117"/>
        <v>0</v>
      </c>
      <c r="AY277" s="1046" t="str">
        <f t="shared" ca="1" si="118"/>
        <v/>
      </c>
      <c r="AZ277" s="1048">
        <f t="shared" ca="1" si="123"/>
        <v>0</v>
      </c>
      <c r="BA277" s="1049" t="str">
        <f t="shared" ca="1" si="119"/>
        <v/>
      </c>
      <c r="BB277" s="1038"/>
      <c r="BC277" s="1050">
        <f t="shared" ca="1" si="124"/>
        <v>0</v>
      </c>
      <c r="BD277" s="1040" t="str">
        <f t="shared" ca="1" si="120"/>
        <v/>
      </c>
      <c r="BE277" s="227" t="s">
        <v>22</v>
      </c>
      <c r="BF277" s="1019">
        <f t="shared" ca="1" si="121"/>
        <v>0</v>
      </c>
      <c r="BG277" s="1020">
        <f t="shared" ca="1" si="122"/>
        <v>0</v>
      </c>
      <c r="BH277"/>
      <c r="BI277" s="709"/>
      <c r="BJ277" s="709"/>
      <c r="BK277" s="709"/>
      <c r="BL277" s="709"/>
      <c r="BM277" s="709"/>
      <c r="BN277" s="709"/>
      <c r="BO277" s="709"/>
      <c r="BP277" s="709"/>
      <c r="BQ277"/>
      <c r="BR277"/>
      <c r="BS277"/>
      <c r="BT277"/>
      <c r="BU277"/>
      <c r="BV277"/>
      <c r="BW277" s="959" t="str">
        <f t="shared" ca="1" si="130"/>
        <v>►</v>
      </c>
      <c r="BX277"/>
      <c r="BY277"/>
      <c r="BZ277"/>
      <c r="CA277"/>
      <c r="CB277"/>
      <c r="CD277"/>
      <c r="CE277"/>
      <c r="CF277"/>
      <c r="CG277"/>
      <c r="CH277"/>
      <c r="CI277"/>
      <c r="CJ277"/>
      <c r="CK277" s="227"/>
      <c r="CL277"/>
      <c r="CM277"/>
      <c r="CN277"/>
      <c r="CO277"/>
      <c r="CP277"/>
      <c r="CQ277"/>
      <c r="CR277"/>
      <c r="CS277" s="227"/>
      <c r="CT277"/>
      <c r="CU277"/>
      <c r="CV277"/>
      <c r="CW277"/>
      <c r="CX277"/>
      <c r="CY277"/>
      <c r="CZ277"/>
      <c r="DA277" s="227"/>
      <c r="DB277" s="3">
        <v>1</v>
      </c>
      <c r="DC277" s="709"/>
      <c r="DD277" s="709"/>
    </row>
    <row r="278" spans="1:108" s="856" customFormat="1" ht="21" customHeight="1">
      <c r="A278" s="936" t="s">
        <v>22</v>
      </c>
      <c r="B278" s="952" t="str">
        <f t="shared" ca="1" si="129"/>
        <v>A</v>
      </c>
      <c r="C278" s="993" cm="1">
        <f t="array" ref="C278">SUMPRODUCT(LEN(D278:J278))</f>
        <v>0</v>
      </c>
      <c r="D278" s="167"/>
      <c r="E278" s="172"/>
      <c r="F278" s="172"/>
      <c r="G278" s="172"/>
      <c r="H278" s="172"/>
      <c r="I278" s="172"/>
      <c r="J278" s="173"/>
      <c r="K278" s="442" t="s">
        <v>22</v>
      </c>
      <c r="L278" s="104" t="str">
        <f t="shared" ca="1" si="128"/>
        <v>A</v>
      </c>
      <c r="M278" s="157" t="str">
        <f>M205</f>
        <v>N NOTRE BOUDIN NOIR | | Auteur &gt; Guy KRENZE - Eric GODDYN - Arnaud NICOLAS - CEPROC 2002</v>
      </c>
      <c r="N278" s="157">
        <f>N205</f>
        <v>16.34</v>
      </c>
      <c r="O278" s="158" t="str">
        <f>O205</f>
        <v>Kg</v>
      </c>
      <c r="P278" s="159" t="str">
        <f>P205</f>
        <v>Recette mère ► le Boudin en 4 déclinaisons</v>
      </c>
      <c r="Q278" s="5119"/>
      <c r="R278" s="172"/>
      <c r="S278" s="172"/>
      <c r="T278" s="5120" t="s">
        <v>13083</v>
      </c>
      <c r="U278" s="5123">
        <f>IF(OR(ISBLANK(R273),ISBLANK(R274)),"",R274/R273)</f>
        <v>0.75</v>
      </c>
      <c r="V278" s="5178" t="str">
        <f t="shared" ca="1" si="131"/>
        <v>=SI(OU(ESTVIDE(R273);ESTVIDE(R274));"";R274/R273)</v>
      </c>
      <c r="W278" s="172"/>
      <c r="X278" s="172"/>
      <c r="Y278" s="172"/>
      <c r="Z278" s="555"/>
      <c r="AA278" s="5211"/>
      <c r="AB278" s="1178"/>
      <c r="AC278" s="1179"/>
      <c r="AD278" s="227" t="s">
        <v>22</v>
      </c>
      <c r="AE278" s="1027" t="str">
        <f t="shared" ref="AE278:AE341" ca="1" si="132">IF(OR(AN278&gt;0,TRIM(AF278)="▼ recette suivante"),"A","►")</f>
        <v>►</v>
      </c>
      <c r="AF278" s="1028" t="str">
        <f t="shared" ref="AF278:AF341" ca="1" si="133">IF(TRIM(Q278)="Adresse PC","▼ recette suivante",IF(AN278&gt;0,M278,""))</f>
        <v/>
      </c>
      <c r="AG278" s="1029" t="str">
        <f t="shared" ref="AG278:AG341" ca="1" si="134">IF(AE278="A",N278,"")</f>
        <v/>
      </c>
      <c r="AH278" s="1028" t="str">
        <f t="shared" ref="AH278:AH341" ca="1" si="135">IF(AE278="A",O278,"")</f>
        <v/>
      </c>
      <c r="AI278" s="1029" t="str">
        <f t="shared" ref="AI278:AI341" ca="1" si="136">IF(AE278="A",U278,"")</f>
        <v/>
      </c>
      <c r="AJ278" s="1029">
        <f t="shared" ref="AJ278:AJ341" ca="1" si="137">IF(AND(L278="A",COUNTIF($BI$15:$BK$62,TRIM(U278))&gt;0),1,0)</f>
        <v>0</v>
      </c>
      <c r="AK278" s="1043" t="str" cm="1">
        <f t="array" aca="1" ref="AK278" ca="1">IF(AE278&lt;&gt;"A","",IFERROR((IFERROR(_xlfn.XLOOKUP(TRIM(SUBSTITUTE(U278,CHAR(160)," ")),$BI$15:$BI$62,$BL$15:$BL$62),IFERROR(_xlfn.XLOOKUP(TRIM(SUBSTITUTE(U278,CHAR(160)," ")),$BJ$15:$BJ$62,$BL$15:$BL$62),_xlfn.XLOOKUP(TRIM(SUBSTITUTE(U278,CHAR(160)," ")),$BK$15:$BK$62,$BL$15:$BL$62))))*T278*IF(ISBLANK(Q278),1,Q278)+IFERROR(_xlfn.XLOOKUP("RECHERCHEX",TRIM(L278:AC278),L278:AC278),0),0))</f>
        <v/>
      </c>
      <c r="AL278" s="1030">
        <f t="shared" ref="AL278:AL341" ca="1" si="138">IF(AJ278,IF(AK278&gt;0,"Kg",0),0)</f>
        <v>0</v>
      </c>
      <c r="AM278" s="5254" t="str">
        <f t="shared" ca="1" si="125"/>
        <v/>
      </c>
      <c r="AN278" s="1031">
        <f t="shared" ref="AN278:AN341" ca="1" si="139">IF(AJ278,N278,0)</f>
        <v>0</v>
      </c>
      <c r="AO278" s="1031">
        <f t="shared" ref="AO278:AO341" ca="1" si="140">IF(AJ278,O278,0)</f>
        <v>0</v>
      </c>
      <c r="AP278" s="1032">
        <f t="shared" ref="AP278:AP341" ca="1" si="141">IF(AN278&gt;0,AR$9,0)</f>
        <v>0</v>
      </c>
      <c r="AQ278" s="5255" t="str">
        <f t="shared" ref="AQ278:AQ341" ca="1" si="142">IF(TRIM(AF278)="▼ recette suivante", AF278, IF(AP278&gt;0, IF(AS$9&lt;&gt;"", AS$9&amp;"-ou.or.o ❾ + or - &gt;", ""), ""))</f>
        <v/>
      </c>
      <c r="AR278" s="1056"/>
      <c r="AS278" s="1056"/>
      <c r="AT278" s="1034">
        <f t="shared" ref="AT278:AT341" ca="1" si="143">IF(TRIM(AL278)="Kg",N(AK278)*N(BG278),0)</f>
        <v>0</v>
      </c>
      <c r="AU278" s="1035">
        <f t="shared" ref="AU278:AU341" ca="1" si="144">IF(AJ278,IF(OR(AT278="",N(AT278)&lt;=0.000000001),"",_xlfn.XLOOKUP(AI278,$BI$15:$BI$62,$BM$15:$BM$62,_xlfn.XLOOKUP(AI278,$BJ$15:$BJ$62,$BM$15:$BM$62,_xlfn.XLOOKUP(AI278,$BK$15:$BK$62,$BM$15:$BM$62,"")))),0)</f>
        <v>0</v>
      </c>
      <c r="AV278" s="1057" cm="1">
        <f t="array" aca="1" ref="AV278" ca="1">IF(AJ278&lt;&gt;1,0,IF(OR(AT278="",N(AT278)&lt;=0.000000001),"",IF(OR(AN278="",N(AN278)&lt;=0.000000001),0,IF(ISNUMBER(AT278),IFERROR(_xlfn.LET(_xlpm.ai_test,TRIM(AI278),_xlpm.r,IFERROR(_xlfn.XLOOKUP(_xlpm.ai_test,$BI$15:$BI$62,ROW($BI$15:$BI$62),0,1),IFERROR(_xlfn.XLOOKUP(_xlpm.ai_test,$BJ$15:$BJ$62,ROW($BJ$15:$BJ$62),0,1),_xlfn.XLOOKUP(_xlpm.ai_test,$BK$15:$BK$62,ROW($BK$15:$BK$62),0,1))),_xlpm.p,_xlpm.r-MIN(ROW($BI$15:$BI$62))+1,_xlpm.f,INDEX($BL$15:$BL$62,_xlpm.p),_xlpm.u,INDEX($BM$15:$BM$62,_xlpm.p),_xlpm.s,INDEX($BO$15:$BO$62,_xlpm.p),_xlpm.q,N(AT278)/_xlpm.f,IF(_xlpm.q&gt;=_xlpm.s,ROUND(_xlpm.q,1)&amp;" "&amp;_xlpm.ai_test&amp;" = "&amp;ROUND(_xlpm.q*_xlpm.f,1)&amp;" "&amp;_xlpm.u,ROUND(_xlpm.q,1)&amp;" "&amp;_xlpm.ai_test)),""),""))))</f>
        <v>0</v>
      </c>
      <c r="AW278" s="1047"/>
      <c r="AX278" s="1034">
        <f t="shared" ref="AX278:AX341" ca="1" si="145">IF(TRIM(AF278)="▼ recette suivante","▼next recipe ",IF(AT278="","",IF(ISBLANK(AW278),AT278,ROUND(AT278*(1-MIN(1,MAX(0,IF(AW278&gt;1,AW278/100,AW278)))),3))))</f>
        <v>0</v>
      </c>
      <c r="AY278" s="1035" t="str">
        <f t="shared" ref="AY278:AY341" ca="1" si="146">IF(AJ278,AU278,"")</f>
        <v/>
      </c>
      <c r="AZ278" s="1036">
        <f t="shared" ca="1" si="123"/>
        <v>0</v>
      </c>
      <c r="BA278" s="1037" t="str">
        <f t="shared" ref="BA278:BA341" ca="1" si="147">IF(AJ278,IF(N(AZ278)&gt;0.000000001,R278,""),"")</f>
        <v/>
      </c>
      <c r="BB278" s="1038"/>
      <c r="BC278" s="1039">
        <f t="shared" ca="1" si="124"/>
        <v>0</v>
      </c>
      <c r="BD278" s="1040" t="str">
        <f t="shared" ref="BD278:BD341" ca="1" si="148">IF(IFERROR(SEARCH("Adresse PC",TRIM(Q278)),0)&gt;0,"▼ receta siguiente",IF(AX278&gt;0,W278,""))</f>
        <v/>
      </c>
      <c r="BE278" s="227" t="s">
        <v>22</v>
      </c>
      <c r="BF278" s="1019">
        <f t="shared" ref="BF278:BF341" ca="1" si="149">IFERROR(_xlfn.LET(_xlpm.EPS,0.000000001,_xlpm.b,Q278/AN278,IF(ISNUMBER(AR278),_xlpm.b*AR278,IF(OR(ISBLANK(AR278),AR278=""),_xlpm.b*AP278,IF(AND(BG278=0,ISNUMBER(Q278)),_xlpm.b/AP278,0)))),0)</f>
        <v>0</v>
      </c>
      <c r="BG278" s="1020">
        <f t="shared" ref="BG278:BG341" ca="1" si="150">IF(AK278&gt;0,IFERROR(IF(OR(ISBLANK(AR278),AR278=""),AP278,AR278)/AN278,0),0)</f>
        <v>0</v>
      </c>
      <c r="BH278"/>
      <c r="BI278" s="709"/>
      <c r="BJ278" s="709"/>
      <c r="BK278" s="709"/>
      <c r="BL278" s="709"/>
      <c r="BM278" s="709"/>
      <c r="BN278" s="709"/>
      <c r="BO278" s="709"/>
      <c r="BP278" s="709"/>
      <c r="BQ278"/>
      <c r="BR278"/>
      <c r="BS278"/>
      <c r="BT278"/>
      <c r="BU278"/>
      <c r="BV278"/>
      <c r="BW278" s="959" t="str">
        <f t="shared" ca="1" si="130"/>
        <v>►</v>
      </c>
      <c r="BX278"/>
      <c r="BY278"/>
      <c r="BZ278"/>
      <c r="CA278"/>
      <c r="CB278"/>
      <c r="CD278"/>
      <c r="CE278"/>
      <c r="CF278"/>
      <c r="CG278"/>
      <c r="CH278"/>
      <c r="CI278"/>
      <c r="CJ278"/>
      <c r="CK278" s="227"/>
      <c r="CL278"/>
      <c r="CM278"/>
      <c r="CN278"/>
      <c r="CO278"/>
      <c r="CP278"/>
      <c r="CQ278"/>
      <c r="CR278"/>
      <c r="CS278" s="227"/>
      <c r="CT278"/>
      <c r="CU278"/>
      <c r="CV278"/>
      <c r="CW278"/>
      <c r="CX278"/>
      <c r="CY278"/>
      <c r="CZ278"/>
      <c r="DA278" s="227"/>
      <c r="DB278" s="3">
        <v>1</v>
      </c>
      <c r="DC278" s="709"/>
      <c r="DD278" s="709"/>
    </row>
    <row r="279" spans="1:108" s="856" customFormat="1" ht="21" customHeight="1">
      <c r="A279" s="936" t="s">
        <v>22</v>
      </c>
      <c r="B279" s="952" t="str">
        <f t="shared" si="129"/>
        <v>►</v>
      </c>
      <c r="C279" s="993" cm="1">
        <f t="array" ref="C279">SUMPRODUCT(LEN(D279:J279))</f>
        <v>0</v>
      </c>
      <c r="D279" s="167"/>
      <c r="E279" s="172"/>
      <c r="F279" s="172"/>
      <c r="G279" s="172"/>
      <c r="H279" s="172"/>
      <c r="I279" s="172"/>
      <c r="J279" s="173"/>
      <c r="K279" s="442" t="s">
        <v>22</v>
      </c>
      <c r="L279" s="104" t="str">
        <f t="shared" si="128"/>
        <v>►</v>
      </c>
      <c r="M279" s="157" t="str">
        <f>M205</f>
        <v>N NOTRE BOUDIN NOIR | | Auteur &gt; Guy KRENZE - Eric GODDYN - Arnaud NICOLAS - CEPROC 2002</v>
      </c>
      <c r="N279" s="157">
        <f>N205</f>
        <v>16.34</v>
      </c>
      <c r="O279" s="158" t="str">
        <f>O205</f>
        <v>Kg</v>
      </c>
      <c r="P279" s="159" t="str">
        <f>P205</f>
        <v>Recette mère ► le Boudin en 4 déclinaisons</v>
      </c>
      <c r="Q279" s="5124" t="s">
        <v>9233</v>
      </c>
      <c r="R279" s="5125"/>
      <c r="S279" s="5125"/>
      <c r="T279" s="5125"/>
      <c r="U279" s="5126"/>
      <c r="V279" s="172"/>
      <c r="W279" s="172"/>
      <c r="X279" s="172"/>
      <c r="Y279" s="172"/>
      <c r="Z279" s="555"/>
      <c r="AA279" s="5211"/>
      <c r="AB279" s="1178"/>
      <c r="AC279" s="1179"/>
      <c r="AD279" s="227" t="s">
        <v>22</v>
      </c>
      <c r="AE279" s="1027" t="str">
        <f t="shared" si="132"/>
        <v>►</v>
      </c>
      <c r="AF279" s="1028" t="str">
        <f t="shared" si="133"/>
        <v/>
      </c>
      <c r="AG279" s="1029" t="str">
        <f t="shared" si="134"/>
        <v/>
      </c>
      <c r="AH279" s="1028" t="str">
        <f t="shared" si="135"/>
        <v/>
      </c>
      <c r="AI279" s="1029" t="str">
        <f t="shared" si="136"/>
        <v/>
      </c>
      <c r="AJ279" s="1029">
        <f t="shared" si="137"/>
        <v>0</v>
      </c>
      <c r="AK279" s="1043" t="str" cm="1">
        <f t="array" ref="AK279">IF(AE279&lt;&gt;"A","",IFERROR((IFERROR(_xlfn.XLOOKUP(TRIM(SUBSTITUTE(U279,CHAR(160)," ")),$BI$15:$BI$62,$BL$15:$BL$62),IFERROR(_xlfn.XLOOKUP(TRIM(SUBSTITUTE(U279,CHAR(160)," ")),$BJ$15:$BJ$62,$BL$15:$BL$62),_xlfn.XLOOKUP(TRIM(SUBSTITUTE(U279,CHAR(160)," ")),$BK$15:$BK$62,$BL$15:$BL$62))))*T279*IF(ISBLANK(Q279),1,Q279)+IFERROR(_xlfn.XLOOKUP("RECHERCHEX",TRIM(L279:AC279),L279:AC279),0),0))</f>
        <v/>
      </c>
      <c r="AL279" s="1030">
        <f t="shared" si="138"/>
        <v>0</v>
      </c>
      <c r="AM279" s="5254" t="str">
        <f t="shared" si="125"/>
        <v/>
      </c>
      <c r="AN279" s="1031">
        <f t="shared" si="139"/>
        <v>0</v>
      </c>
      <c r="AO279" s="1031">
        <f t="shared" si="140"/>
        <v>0</v>
      </c>
      <c r="AP279" s="1044">
        <f t="shared" si="141"/>
        <v>0</v>
      </c>
      <c r="AQ279" s="5257" t="str">
        <f t="shared" si="142"/>
        <v/>
      </c>
      <c r="AR279" s="1056"/>
      <c r="AS279" s="1056"/>
      <c r="AT279" s="1045">
        <f t="shared" si="143"/>
        <v>0</v>
      </c>
      <c r="AU279" s="1046">
        <f t="shared" si="144"/>
        <v>0</v>
      </c>
      <c r="AV279" s="1059" cm="1">
        <f t="array" ref="AV279">IF(AJ279&lt;&gt;1,0,IF(OR(AT279="",N(AT279)&lt;=0.000000001),"",IF(OR(AN279="",N(AN279)&lt;=0.000000001),0,IF(ISNUMBER(AT279),IFERROR(_xlfn.LET(_xlpm.ai_test,TRIM(AI279),_xlpm.r,IFERROR(_xlfn.XLOOKUP(_xlpm.ai_test,$BI$15:$BI$62,ROW($BI$15:$BI$62),0,1),IFERROR(_xlfn.XLOOKUP(_xlpm.ai_test,$BJ$15:$BJ$62,ROW($BJ$15:$BJ$62),0,1),_xlfn.XLOOKUP(_xlpm.ai_test,$BK$15:$BK$62,ROW($BK$15:$BK$62),0,1))),_xlpm.p,_xlpm.r-MIN(ROW($BI$15:$BI$62))+1,_xlpm.f,INDEX($BL$15:$BL$62,_xlpm.p),_xlpm.u,INDEX($BM$15:$BM$62,_xlpm.p),_xlpm.s,INDEX($BO$15:$BO$62,_xlpm.p),_xlpm.q,N(AT279)/_xlpm.f,IF(_xlpm.q&gt;=_xlpm.s,ROUND(_xlpm.q,1)&amp;" "&amp;_xlpm.ai_test&amp;" = "&amp;ROUND(_xlpm.q*_xlpm.f,1)&amp;" "&amp;_xlpm.u,ROUND(_xlpm.q,1)&amp;" "&amp;_xlpm.ai_test)),""),""))))</f>
        <v>0</v>
      </c>
      <c r="AW279" s="1047"/>
      <c r="AX279" s="1045">
        <f t="shared" si="145"/>
        <v>0</v>
      </c>
      <c r="AY279" s="1046" t="str">
        <f t="shared" si="146"/>
        <v/>
      </c>
      <c r="AZ279" s="1048">
        <f t="shared" ref="AZ279:AZ342" si="151">IF(ISNUMBER(BF279),IF(ABS(BF279)&lt;=0.000000001,0,BF279),0)</f>
        <v>0</v>
      </c>
      <c r="BA279" s="1049" t="str">
        <f t="shared" si="147"/>
        <v/>
      </c>
      <c r="BB279" s="1038"/>
      <c r="BC279" s="1050">
        <f t="shared" si="124"/>
        <v>0</v>
      </c>
      <c r="BD279" s="1040" t="str">
        <f t="shared" si="148"/>
        <v/>
      </c>
      <c r="BE279" s="227" t="s">
        <v>22</v>
      </c>
      <c r="BF279" s="1019">
        <f t="shared" si="149"/>
        <v>0</v>
      </c>
      <c r="BG279" s="1020">
        <f t="shared" si="150"/>
        <v>0</v>
      </c>
      <c r="BH279"/>
      <c r="BI279" s="709"/>
      <c r="BJ279" s="709"/>
      <c r="BK279" s="709"/>
      <c r="BL279" s="709"/>
      <c r="BM279" s="709"/>
      <c r="BN279" s="709"/>
      <c r="BO279" s="709"/>
      <c r="BP279" s="709"/>
      <c r="BQ279"/>
      <c r="BR279"/>
      <c r="BS279"/>
      <c r="BT279"/>
      <c r="BU279"/>
      <c r="BV279"/>
      <c r="BW279" s="959" t="str">
        <f t="shared" si="130"/>
        <v>►</v>
      </c>
      <c r="BX279"/>
      <c r="BY279"/>
      <c r="BZ279"/>
      <c r="CA279"/>
      <c r="CB279"/>
      <c r="CD279"/>
      <c r="CE279"/>
      <c r="CF279"/>
      <c r="CG279"/>
      <c r="CH279"/>
      <c r="CI279"/>
      <c r="CJ279"/>
      <c r="CK279" s="227"/>
      <c r="CL279"/>
      <c r="CM279"/>
      <c r="CN279"/>
      <c r="CO279"/>
      <c r="CP279"/>
      <c r="CQ279"/>
      <c r="CR279"/>
      <c r="CS279" s="227"/>
      <c r="CT279"/>
      <c r="CU279"/>
      <c r="CV279"/>
      <c r="CW279"/>
      <c r="CX279"/>
      <c r="CY279"/>
      <c r="CZ279"/>
      <c r="DA279" s="227"/>
      <c r="DB279" s="3">
        <v>1</v>
      </c>
      <c r="DC279" s="709"/>
      <c r="DD279" s="709"/>
    </row>
    <row r="280" spans="1:108" s="856" customFormat="1" ht="21" customHeight="1">
      <c r="A280" s="936" t="s">
        <v>22</v>
      </c>
      <c r="B280" s="952" t="str">
        <f t="shared" si="129"/>
        <v>►</v>
      </c>
      <c r="C280" s="993" cm="1">
        <f t="array" ref="C280">SUMPRODUCT(LEN(D280:J280))</f>
        <v>0</v>
      </c>
      <c r="D280" s="167"/>
      <c r="E280" s="172"/>
      <c r="F280" s="172"/>
      <c r="G280" s="172"/>
      <c r="H280" s="172"/>
      <c r="I280" s="172"/>
      <c r="J280" s="173"/>
      <c r="K280" s="442" t="s">
        <v>22</v>
      </c>
      <c r="L280" s="104" t="str">
        <f t="shared" si="128"/>
        <v>►</v>
      </c>
      <c r="M280" s="157" t="str">
        <f>M205</f>
        <v>N NOTRE BOUDIN NOIR | | Auteur &gt; Guy KRENZE - Eric GODDYN - Arnaud NICOLAS - CEPROC 2002</v>
      </c>
      <c r="N280" s="157">
        <f>N205</f>
        <v>16.34</v>
      </c>
      <c r="O280" s="158" t="str">
        <f>O205</f>
        <v>Kg</v>
      </c>
      <c r="P280" s="159" t="str">
        <f>P205</f>
        <v>Recette mère ► le Boudin en 4 déclinaisons</v>
      </c>
      <c r="Q280" s="172" t="s">
        <v>13243</v>
      </c>
      <c r="R280" s="172"/>
      <c r="S280" s="172"/>
      <c r="T280" s="172"/>
      <c r="U280" s="172"/>
      <c r="V280" s="172"/>
      <c r="W280" s="172"/>
      <c r="X280" s="172"/>
      <c r="Y280" s="172"/>
      <c r="Z280" s="555"/>
      <c r="AA280" s="5211"/>
      <c r="AB280" s="1178"/>
      <c r="AC280" s="1179"/>
      <c r="AD280" s="227" t="s">
        <v>22</v>
      </c>
      <c r="AE280" s="1027" t="str">
        <f t="shared" si="132"/>
        <v>►</v>
      </c>
      <c r="AF280" s="1028" t="str">
        <f t="shared" si="133"/>
        <v/>
      </c>
      <c r="AG280" s="1029" t="str">
        <f t="shared" si="134"/>
        <v/>
      </c>
      <c r="AH280" s="1028" t="str">
        <f t="shared" si="135"/>
        <v/>
      </c>
      <c r="AI280" s="1029" t="str">
        <f t="shared" si="136"/>
        <v/>
      </c>
      <c r="AJ280" s="1029">
        <f t="shared" si="137"/>
        <v>0</v>
      </c>
      <c r="AK280" s="1043" t="str" cm="1">
        <f t="array" ref="AK280">IF(AE280&lt;&gt;"A","",IFERROR((IFERROR(_xlfn.XLOOKUP(TRIM(SUBSTITUTE(U280,CHAR(160)," ")),$BI$15:$BI$62,$BL$15:$BL$62),IFERROR(_xlfn.XLOOKUP(TRIM(SUBSTITUTE(U280,CHAR(160)," ")),$BJ$15:$BJ$62,$BL$15:$BL$62),_xlfn.XLOOKUP(TRIM(SUBSTITUTE(U280,CHAR(160)," ")),$BK$15:$BK$62,$BL$15:$BL$62))))*T280*IF(ISBLANK(Q280),1,Q280)+IFERROR(_xlfn.XLOOKUP("RECHERCHEX",TRIM(L280:AC280),L280:AC280),0),0))</f>
        <v/>
      </c>
      <c r="AL280" s="1030">
        <f t="shared" si="138"/>
        <v>0</v>
      </c>
      <c r="AM280" s="5254" t="str">
        <f t="shared" si="125"/>
        <v/>
      </c>
      <c r="AN280" s="1031">
        <f t="shared" si="139"/>
        <v>0</v>
      </c>
      <c r="AO280" s="1031">
        <f t="shared" si="140"/>
        <v>0</v>
      </c>
      <c r="AP280" s="1032">
        <f t="shared" si="141"/>
        <v>0</v>
      </c>
      <c r="AQ280" s="5255" t="str">
        <f t="shared" si="142"/>
        <v/>
      </c>
      <c r="AR280" s="1056"/>
      <c r="AS280" s="1056"/>
      <c r="AT280" s="1034">
        <f t="shared" si="143"/>
        <v>0</v>
      </c>
      <c r="AU280" s="1035">
        <f t="shared" si="144"/>
        <v>0</v>
      </c>
      <c r="AV280" s="1057" cm="1">
        <f t="array" ref="AV280">IF(AJ280&lt;&gt;1,0,IF(OR(AT280="",N(AT280)&lt;=0.000000001),"",IF(OR(AN280="",N(AN280)&lt;=0.000000001),0,IF(ISNUMBER(AT280),IFERROR(_xlfn.LET(_xlpm.ai_test,TRIM(AI280),_xlpm.r,IFERROR(_xlfn.XLOOKUP(_xlpm.ai_test,$BI$15:$BI$62,ROW($BI$15:$BI$62),0,1),IFERROR(_xlfn.XLOOKUP(_xlpm.ai_test,$BJ$15:$BJ$62,ROW($BJ$15:$BJ$62),0,1),_xlfn.XLOOKUP(_xlpm.ai_test,$BK$15:$BK$62,ROW($BK$15:$BK$62),0,1))),_xlpm.p,_xlpm.r-MIN(ROW($BI$15:$BI$62))+1,_xlpm.f,INDEX($BL$15:$BL$62,_xlpm.p),_xlpm.u,INDEX($BM$15:$BM$62,_xlpm.p),_xlpm.s,INDEX($BO$15:$BO$62,_xlpm.p),_xlpm.q,N(AT280)/_xlpm.f,IF(_xlpm.q&gt;=_xlpm.s,ROUND(_xlpm.q,1)&amp;" "&amp;_xlpm.ai_test&amp;" = "&amp;ROUND(_xlpm.q*_xlpm.f,1)&amp;" "&amp;_xlpm.u,ROUND(_xlpm.q,1)&amp;" "&amp;_xlpm.ai_test)),""),""))))</f>
        <v>0</v>
      </c>
      <c r="AW280" s="1047"/>
      <c r="AX280" s="1034">
        <f t="shared" si="145"/>
        <v>0</v>
      </c>
      <c r="AY280" s="1035" t="str">
        <f t="shared" si="146"/>
        <v/>
      </c>
      <c r="AZ280" s="1036">
        <f t="shared" si="151"/>
        <v>0</v>
      </c>
      <c r="BA280" s="1037" t="str">
        <f t="shared" si="147"/>
        <v/>
      </c>
      <c r="BB280" s="1038"/>
      <c r="BC280" s="1039">
        <f t="shared" si="124"/>
        <v>0</v>
      </c>
      <c r="BD280" s="1040" t="str">
        <f t="shared" si="148"/>
        <v/>
      </c>
      <c r="BE280" s="227" t="s">
        <v>22</v>
      </c>
      <c r="BF280" s="1019">
        <f t="shared" si="149"/>
        <v>0</v>
      </c>
      <c r="BG280" s="1020">
        <f t="shared" si="150"/>
        <v>0</v>
      </c>
      <c r="BH280"/>
      <c r="BI280" s="709"/>
      <c r="BJ280" s="709"/>
      <c r="BK280" s="709"/>
      <c r="BL280" s="709"/>
      <c r="BM280" s="709"/>
      <c r="BN280" s="709"/>
      <c r="BO280" s="709"/>
      <c r="BP280" s="709"/>
      <c r="BQ280"/>
      <c r="BR280"/>
      <c r="BS280"/>
      <c r="BT280"/>
      <c r="BU280"/>
      <c r="BV280"/>
      <c r="BW280" s="959" t="str">
        <f t="shared" si="130"/>
        <v>►</v>
      </c>
      <c r="BX280"/>
      <c r="BY280"/>
      <c r="BZ280"/>
      <c r="CA280"/>
      <c r="CB280"/>
      <c r="CD280"/>
      <c r="CE280"/>
      <c r="CF280"/>
      <c r="CG280"/>
      <c r="CH280"/>
      <c r="CI280"/>
      <c r="CJ280"/>
      <c r="CK280" s="227"/>
      <c r="CL280"/>
      <c r="CM280"/>
      <c r="CN280"/>
      <c r="CO280"/>
      <c r="CP280"/>
      <c r="CQ280"/>
      <c r="CR280"/>
      <c r="CS280" s="227"/>
      <c r="CT280"/>
      <c r="CU280"/>
      <c r="CV280"/>
      <c r="CW280"/>
      <c r="CX280"/>
      <c r="CY280"/>
      <c r="CZ280"/>
      <c r="DA280" s="227"/>
      <c r="DB280" s="3">
        <v>1</v>
      </c>
      <c r="DC280" s="709"/>
      <c r="DD280" s="709"/>
    </row>
    <row r="281" spans="1:108" s="856" customFormat="1" ht="21" customHeight="1">
      <c r="A281" s="936" t="s">
        <v>22</v>
      </c>
      <c r="B281" s="952" t="str">
        <f t="shared" si="129"/>
        <v>►</v>
      </c>
      <c r="C281" s="993" cm="1">
        <f t="array" ref="C281">SUMPRODUCT(LEN(D281:J281))</f>
        <v>0</v>
      </c>
      <c r="D281" s="167"/>
      <c r="E281" s="172"/>
      <c r="F281" s="172"/>
      <c r="G281" s="172"/>
      <c r="H281" s="172"/>
      <c r="I281" s="172"/>
      <c r="J281" s="173"/>
      <c r="K281" s="442" t="s">
        <v>22</v>
      </c>
      <c r="L281" s="104" t="str">
        <f t="shared" si="128"/>
        <v>►</v>
      </c>
      <c r="M281" s="157" t="str">
        <f>M205</f>
        <v>N NOTRE BOUDIN NOIR | | Auteur &gt; Guy KRENZE - Eric GODDYN - Arnaud NICOLAS - CEPROC 2002</v>
      </c>
      <c r="N281" s="157">
        <f>N205</f>
        <v>16.34</v>
      </c>
      <c r="O281" s="158" t="str">
        <f>O205</f>
        <v>Kg</v>
      </c>
      <c r="P281" s="159" t="str">
        <f>P205</f>
        <v>Recette mère ► le Boudin en 4 déclinaisons</v>
      </c>
      <c r="Q281" s="172"/>
      <c r="R281" s="172"/>
      <c r="S281" s="172"/>
      <c r="T281" s="172"/>
      <c r="U281" s="172"/>
      <c r="V281" s="172"/>
      <c r="W281" s="172"/>
      <c r="X281" s="172"/>
      <c r="Y281" s="172"/>
      <c r="Z281" s="555"/>
      <c r="AA281" s="5211"/>
      <c r="AB281" s="1178"/>
      <c r="AC281" s="1179"/>
      <c r="AD281" s="227" t="s">
        <v>22</v>
      </c>
      <c r="AE281" s="1027" t="str">
        <f t="shared" si="132"/>
        <v>►</v>
      </c>
      <c r="AF281" s="1028" t="str">
        <f t="shared" si="133"/>
        <v/>
      </c>
      <c r="AG281" s="1029" t="str">
        <f t="shared" si="134"/>
        <v/>
      </c>
      <c r="AH281" s="1028" t="str">
        <f t="shared" si="135"/>
        <v/>
      </c>
      <c r="AI281" s="1029" t="str">
        <f t="shared" si="136"/>
        <v/>
      </c>
      <c r="AJ281" s="1029">
        <f t="shared" si="137"/>
        <v>0</v>
      </c>
      <c r="AK281" s="1043" t="str" cm="1">
        <f t="array" ref="AK281">IF(AE281&lt;&gt;"A","",IFERROR((IFERROR(_xlfn.XLOOKUP(TRIM(SUBSTITUTE(U281,CHAR(160)," ")),$BI$15:$BI$62,$BL$15:$BL$62),IFERROR(_xlfn.XLOOKUP(TRIM(SUBSTITUTE(U281,CHAR(160)," ")),$BJ$15:$BJ$62,$BL$15:$BL$62),_xlfn.XLOOKUP(TRIM(SUBSTITUTE(U281,CHAR(160)," ")),$BK$15:$BK$62,$BL$15:$BL$62))))*T281*IF(ISBLANK(Q281),1,Q281)+IFERROR(_xlfn.XLOOKUP("RECHERCHEX",TRIM(L281:AC281),L281:AC281),0),0))</f>
        <v/>
      </c>
      <c r="AL281" s="1030">
        <f t="shared" si="138"/>
        <v>0</v>
      </c>
      <c r="AM281" s="5254" t="str">
        <f t="shared" si="125"/>
        <v/>
      </c>
      <c r="AN281" s="1031">
        <f t="shared" si="139"/>
        <v>0</v>
      </c>
      <c r="AO281" s="1031">
        <f t="shared" si="140"/>
        <v>0</v>
      </c>
      <c r="AP281" s="1044">
        <f t="shared" si="141"/>
        <v>0</v>
      </c>
      <c r="AQ281" s="5257" t="str">
        <f t="shared" si="142"/>
        <v/>
      </c>
      <c r="AR281" s="1056"/>
      <c r="AS281" s="1056"/>
      <c r="AT281" s="1045">
        <f t="shared" si="143"/>
        <v>0</v>
      </c>
      <c r="AU281" s="1046">
        <f t="shared" si="144"/>
        <v>0</v>
      </c>
      <c r="AV281" s="1059" cm="1">
        <f t="array" ref="AV281">IF(AJ281&lt;&gt;1,0,IF(OR(AT281="",N(AT281)&lt;=0.000000001),"",IF(OR(AN281="",N(AN281)&lt;=0.000000001),0,IF(ISNUMBER(AT281),IFERROR(_xlfn.LET(_xlpm.ai_test,TRIM(AI281),_xlpm.r,IFERROR(_xlfn.XLOOKUP(_xlpm.ai_test,$BI$15:$BI$62,ROW($BI$15:$BI$62),0,1),IFERROR(_xlfn.XLOOKUP(_xlpm.ai_test,$BJ$15:$BJ$62,ROW($BJ$15:$BJ$62),0,1),_xlfn.XLOOKUP(_xlpm.ai_test,$BK$15:$BK$62,ROW($BK$15:$BK$62),0,1))),_xlpm.p,_xlpm.r-MIN(ROW($BI$15:$BI$62))+1,_xlpm.f,INDEX($BL$15:$BL$62,_xlpm.p),_xlpm.u,INDEX($BM$15:$BM$62,_xlpm.p),_xlpm.s,INDEX($BO$15:$BO$62,_xlpm.p),_xlpm.q,N(AT281)/_xlpm.f,IF(_xlpm.q&gt;=_xlpm.s,ROUND(_xlpm.q,1)&amp;" "&amp;_xlpm.ai_test&amp;" = "&amp;ROUND(_xlpm.q*_xlpm.f,1)&amp;" "&amp;_xlpm.u,ROUND(_xlpm.q,1)&amp;" "&amp;_xlpm.ai_test)),""),""))))</f>
        <v>0</v>
      </c>
      <c r="AW281" s="1047"/>
      <c r="AX281" s="1045">
        <f t="shared" si="145"/>
        <v>0</v>
      </c>
      <c r="AY281" s="1046" t="str">
        <f t="shared" si="146"/>
        <v/>
      </c>
      <c r="AZ281" s="1048">
        <f t="shared" si="151"/>
        <v>0</v>
      </c>
      <c r="BA281" s="1049" t="str">
        <f t="shared" si="147"/>
        <v/>
      </c>
      <c r="BB281" s="1038"/>
      <c r="BC281" s="1050">
        <f t="shared" si="124"/>
        <v>0</v>
      </c>
      <c r="BD281" s="1040" t="str">
        <f t="shared" si="148"/>
        <v/>
      </c>
      <c r="BE281" s="227" t="s">
        <v>22</v>
      </c>
      <c r="BF281" s="1019">
        <f t="shared" si="149"/>
        <v>0</v>
      </c>
      <c r="BG281" s="1020">
        <f t="shared" si="150"/>
        <v>0</v>
      </c>
      <c r="BH281"/>
      <c r="BI281" s="709"/>
      <c r="BJ281" s="709"/>
      <c r="BK281" s="709"/>
      <c r="BL281" s="709"/>
      <c r="BM281" s="709"/>
      <c r="BN281" s="709"/>
      <c r="BO281" s="709"/>
      <c r="BP281" s="709"/>
      <c r="BQ281"/>
      <c r="BR281"/>
      <c r="BS281"/>
      <c r="BT281"/>
      <c r="BU281"/>
      <c r="BV281"/>
      <c r="BW281" s="959" t="str">
        <f t="shared" si="130"/>
        <v>►</v>
      </c>
      <c r="BX281"/>
      <c r="BY281"/>
      <c r="BZ281"/>
      <c r="CA281"/>
      <c r="CB281"/>
      <c r="CD281"/>
      <c r="CE281"/>
      <c r="CF281"/>
      <c r="CG281"/>
      <c r="CH281"/>
      <c r="CI281"/>
      <c r="CJ281"/>
      <c r="CK281" s="227"/>
      <c r="CL281"/>
      <c r="CM281"/>
      <c r="CN281"/>
      <c r="CO281"/>
      <c r="CP281"/>
      <c r="CQ281"/>
      <c r="CR281"/>
      <c r="CS281" s="227"/>
      <c r="CT281"/>
      <c r="CU281"/>
      <c r="CV281"/>
      <c r="CW281"/>
      <c r="CX281"/>
      <c r="CY281"/>
      <c r="CZ281"/>
      <c r="DA281" s="227"/>
      <c r="DB281" s="3">
        <v>1</v>
      </c>
      <c r="DC281" s="709"/>
      <c r="DD281" s="709"/>
    </row>
    <row r="282" spans="1:108" s="856" customFormat="1" ht="21" customHeight="1">
      <c r="A282" s="936" t="s">
        <v>22</v>
      </c>
      <c r="B282" s="952" t="str">
        <f t="shared" si="129"/>
        <v>►</v>
      </c>
      <c r="C282" s="993" cm="1">
        <f t="array" ref="C282">SUMPRODUCT(LEN(D282:J282))</f>
        <v>0</v>
      </c>
      <c r="D282" s="167"/>
      <c r="E282" s="172"/>
      <c r="F282" s="172"/>
      <c r="G282" s="172"/>
      <c r="H282" s="172"/>
      <c r="I282" s="172"/>
      <c r="J282" s="173"/>
      <c r="K282" s="442" t="s">
        <v>22</v>
      </c>
      <c r="L282" s="104" t="str">
        <f t="shared" si="128"/>
        <v>►</v>
      </c>
      <c r="M282" s="157" t="str">
        <f>M205</f>
        <v>N NOTRE BOUDIN NOIR | | Auteur &gt; Guy KRENZE - Eric GODDYN - Arnaud NICOLAS - CEPROC 2002</v>
      </c>
      <c r="N282" s="157">
        <f>N205</f>
        <v>16.34</v>
      </c>
      <c r="O282" s="158" t="str">
        <f>O205</f>
        <v>Kg</v>
      </c>
      <c r="P282" s="159" t="str">
        <f>P205</f>
        <v>Recette mère ► le Boudin en 4 déclinaisons</v>
      </c>
      <c r="Q282" s="172"/>
      <c r="R282" s="172"/>
      <c r="S282" s="172"/>
      <c r="T282" s="172"/>
      <c r="U282" s="172"/>
      <c r="V282" s="172"/>
      <c r="W282" s="172"/>
      <c r="X282" s="172"/>
      <c r="Y282" s="172"/>
      <c r="Z282" s="555"/>
      <c r="AA282" s="5211"/>
      <c r="AB282" s="1178"/>
      <c r="AC282" s="1179"/>
      <c r="AD282" s="227" t="s">
        <v>22</v>
      </c>
      <c r="AE282" s="1027" t="str">
        <f t="shared" si="132"/>
        <v>►</v>
      </c>
      <c r="AF282" s="1028" t="str">
        <f t="shared" si="133"/>
        <v/>
      </c>
      <c r="AG282" s="1029" t="str">
        <f t="shared" si="134"/>
        <v/>
      </c>
      <c r="AH282" s="1028" t="str">
        <f t="shared" si="135"/>
        <v/>
      </c>
      <c r="AI282" s="1029" t="str">
        <f t="shared" si="136"/>
        <v/>
      </c>
      <c r="AJ282" s="1029">
        <f t="shared" si="137"/>
        <v>0</v>
      </c>
      <c r="AK282" s="1043" t="str" cm="1">
        <f t="array" ref="AK282">IF(AE282&lt;&gt;"A","",IFERROR((IFERROR(_xlfn.XLOOKUP(TRIM(SUBSTITUTE(U282,CHAR(160)," ")),$BI$15:$BI$62,$BL$15:$BL$62),IFERROR(_xlfn.XLOOKUP(TRIM(SUBSTITUTE(U282,CHAR(160)," ")),$BJ$15:$BJ$62,$BL$15:$BL$62),_xlfn.XLOOKUP(TRIM(SUBSTITUTE(U282,CHAR(160)," ")),$BK$15:$BK$62,$BL$15:$BL$62))))*T282*IF(ISBLANK(Q282),1,Q282)+IFERROR(_xlfn.XLOOKUP("RECHERCHEX",TRIM(L282:AC282),L282:AC282),0),0))</f>
        <v/>
      </c>
      <c r="AL282" s="1030">
        <f t="shared" si="138"/>
        <v>0</v>
      </c>
      <c r="AM282" s="5254" t="str">
        <f t="shared" si="125"/>
        <v/>
      </c>
      <c r="AN282" s="1031">
        <f t="shared" si="139"/>
        <v>0</v>
      </c>
      <c r="AO282" s="1031">
        <f t="shared" si="140"/>
        <v>0</v>
      </c>
      <c r="AP282" s="1032">
        <f t="shared" si="141"/>
        <v>0</v>
      </c>
      <c r="AQ282" s="5255" t="str">
        <f t="shared" si="142"/>
        <v/>
      </c>
      <c r="AR282" s="1056"/>
      <c r="AS282" s="1056"/>
      <c r="AT282" s="1034">
        <f t="shared" si="143"/>
        <v>0</v>
      </c>
      <c r="AU282" s="1035">
        <f t="shared" si="144"/>
        <v>0</v>
      </c>
      <c r="AV282" s="1057" cm="1">
        <f t="array" ref="AV282">IF(AJ282&lt;&gt;1,0,IF(OR(AT282="",N(AT282)&lt;=0.000000001),"",IF(OR(AN282="",N(AN282)&lt;=0.000000001),0,IF(ISNUMBER(AT282),IFERROR(_xlfn.LET(_xlpm.ai_test,TRIM(AI282),_xlpm.r,IFERROR(_xlfn.XLOOKUP(_xlpm.ai_test,$BI$15:$BI$62,ROW($BI$15:$BI$62),0,1),IFERROR(_xlfn.XLOOKUP(_xlpm.ai_test,$BJ$15:$BJ$62,ROW($BJ$15:$BJ$62),0,1),_xlfn.XLOOKUP(_xlpm.ai_test,$BK$15:$BK$62,ROW($BK$15:$BK$62),0,1))),_xlpm.p,_xlpm.r-MIN(ROW($BI$15:$BI$62))+1,_xlpm.f,INDEX($BL$15:$BL$62,_xlpm.p),_xlpm.u,INDEX($BM$15:$BM$62,_xlpm.p),_xlpm.s,INDEX($BO$15:$BO$62,_xlpm.p),_xlpm.q,N(AT282)/_xlpm.f,IF(_xlpm.q&gt;=_xlpm.s,ROUND(_xlpm.q,1)&amp;" "&amp;_xlpm.ai_test&amp;" = "&amp;ROUND(_xlpm.q*_xlpm.f,1)&amp;" "&amp;_xlpm.u,ROUND(_xlpm.q,1)&amp;" "&amp;_xlpm.ai_test)),""),""))))</f>
        <v>0</v>
      </c>
      <c r="AW282" s="1047"/>
      <c r="AX282" s="1034">
        <f t="shared" si="145"/>
        <v>0</v>
      </c>
      <c r="AY282" s="1035" t="str">
        <f t="shared" si="146"/>
        <v/>
      </c>
      <c r="AZ282" s="1036">
        <f t="shared" si="151"/>
        <v>0</v>
      </c>
      <c r="BA282" s="1037" t="str">
        <f t="shared" si="147"/>
        <v/>
      </c>
      <c r="BB282" s="1038"/>
      <c r="BC282" s="1039">
        <f t="shared" si="124"/>
        <v>0</v>
      </c>
      <c r="BD282" s="1040" t="str">
        <f t="shared" si="148"/>
        <v/>
      </c>
      <c r="BE282" s="227" t="s">
        <v>22</v>
      </c>
      <c r="BF282" s="1019">
        <f t="shared" si="149"/>
        <v>0</v>
      </c>
      <c r="BG282" s="1020">
        <f t="shared" si="150"/>
        <v>0</v>
      </c>
      <c r="BH282"/>
      <c r="BI282" s="709"/>
      <c r="BJ282" s="709"/>
      <c r="BK282" s="709"/>
      <c r="BL282" s="709"/>
      <c r="BM282" s="709"/>
      <c r="BN282" s="709"/>
      <c r="BO282" s="709"/>
      <c r="BP282" s="709"/>
      <c r="BQ282"/>
      <c r="BR282"/>
      <c r="BS282"/>
      <c r="BT282"/>
      <c r="BU282"/>
      <c r="BV282"/>
      <c r="BW282" s="959" t="str">
        <f t="shared" si="130"/>
        <v>►</v>
      </c>
      <c r="BX282"/>
      <c r="BY282"/>
      <c r="BZ282"/>
      <c r="CA282"/>
      <c r="CB282"/>
      <c r="CD282"/>
      <c r="CE282"/>
      <c r="CF282"/>
      <c r="CG282"/>
      <c r="CH282"/>
      <c r="CI282"/>
      <c r="CJ282"/>
      <c r="CK282" s="227"/>
      <c r="CL282"/>
      <c r="CM282"/>
      <c r="CN282"/>
      <c r="CO282"/>
      <c r="CP282"/>
      <c r="CQ282"/>
      <c r="CR282"/>
      <c r="CS282" s="227"/>
      <c r="CT282"/>
      <c r="CU282"/>
      <c r="CV282"/>
      <c r="CW282"/>
      <c r="CX282"/>
      <c r="CY282"/>
      <c r="CZ282"/>
      <c r="DA282" s="227"/>
      <c r="DB282" s="3">
        <v>1</v>
      </c>
      <c r="DC282" s="709"/>
      <c r="DD282" s="709"/>
    </row>
    <row r="283" spans="1:108" s="856" customFormat="1" ht="21" customHeight="1">
      <c r="A283" s="936" t="s">
        <v>22</v>
      </c>
      <c r="B283" s="952" t="str">
        <f t="shared" si="129"/>
        <v>►</v>
      </c>
      <c r="C283" s="993" cm="1">
        <f t="array" ref="C283">SUMPRODUCT(LEN(D283:J283))</f>
        <v>0</v>
      </c>
      <c r="D283" s="167"/>
      <c r="E283" s="172"/>
      <c r="F283" s="172"/>
      <c r="G283" s="172"/>
      <c r="H283" s="172"/>
      <c r="I283" s="172"/>
      <c r="J283" s="173"/>
      <c r="K283" s="442" t="s">
        <v>22</v>
      </c>
      <c r="L283" s="104" t="str">
        <f t="shared" si="128"/>
        <v>►</v>
      </c>
      <c r="M283" s="157" t="str">
        <f>M205</f>
        <v>N NOTRE BOUDIN NOIR | | Auteur &gt; Guy KRENZE - Eric GODDYN - Arnaud NICOLAS - CEPROC 2002</v>
      </c>
      <c r="N283" s="157">
        <f>N205</f>
        <v>16.34</v>
      </c>
      <c r="O283" s="158" t="str">
        <f>O205</f>
        <v>Kg</v>
      </c>
      <c r="P283" s="159" t="str">
        <f>P205</f>
        <v>Recette mère ► le Boudin en 4 déclinaisons</v>
      </c>
      <c r="Q283" s="172"/>
      <c r="R283" s="172"/>
      <c r="S283" s="172"/>
      <c r="T283" s="172"/>
      <c r="U283" s="172"/>
      <c r="V283" s="172"/>
      <c r="W283" s="172"/>
      <c r="X283" s="172"/>
      <c r="Y283" s="172"/>
      <c r="Z283" s="555"/>
      <c r="AA283" s="5211"/>
      <c r="AB283" s="1178"/>
      <c r="AC283" s="1179"/>
      <c r="AD283" s="227" t="s">
        <v>22</v>
      </c>
      <c r="AE283" s="1027" t="str">
        <f t="shared" si="132"/>
        <v>►</v>
      </c>
      <c r="AF283" s="1028" t="str">
        <f t="shared" si="133"/>
        <v/>
      </c>
      <c r="AG283" s="1029" t="str">
        <f t="shared" si="134"/>
        <v/>
      </c>
      <c r="AH283" s="1028" t="str">
        <f t="shared" si="135"/>
        <v/>
      </c>
      <c r="AI283" s="1029" t="str">
        <f t="shared" si="136"/>
        <v/>
      </c>
      <c r="AJ283" s="1029">
        <f t="shared" si="137"/>
        <v>0</v>
      </c>
      <c r="AK283" s="1043" t="str" cm="1">
        <f t="array" ref="AK283">IF(AE283&lt;&gt;"A","",IFERROR((IFERROR(_xlfn.XLOOKUP(TRIM(SUBSTITUTE(U283,CHAR(160)," ")),$BI$15:$BI$62,$BL$15:$BL$62),IFERROR(_xlfn.XLOOKUP(TRIM(SUBSTITUTE(U283,CHAR(160)," ")),$BJ$15:$BJ$62,$BL$15:$BL$62),_xlfn.XLOOKUP(TRIM(SUBSTITUTE(U283,CHAR(160)," ")),$BK$15:$BK$62,$BL$15:$BL$62))))*T283*IF(ISBLANK(Q283),1,Q283)+IFERROR(_xlfn.XLOOKUP("RECHERCHEX",TRIM(L283:AC283),L283:AC283),0),0))</f>
        <v/>
      </c>
      <c r="AL283" s="1030">
        <f t="shared" si="138"/>
        <v>0</v>
      </c>
      <c r="AM283" s="5254" t="str">
        <f t="shared" si="125"/>
        <v/>
      </c>
      <c r="AN283" s="1031">
        <f t="shared" si="139"/>
        <v>0</v>
      </c>
      <c r="AO283" s="1031">
        <f t="shared" si="140"/>
        <v>0</v>
      </c>
      <c r="AP283" s="1044">
        <f t="shared" si="141"/>
        <v>0</v>
      </c>
      <c r="AQ283" s="5257" t="str">
        <f t="shared" si="142"/>
        <v/>
      </c>
      <c r="AR283" s="1056"/>
      <c r="AS283" s="1056"/>
      <c r="AT283" s="1045">
        <f t="shared" si="143"/>
        <v>0</v>
      </c>
      <c r="AU283" s="1046">
        <f t="shared" si="144"/>
        <v>0</v>
      </c>
      <c r="AV283" s="1059" cm="1">
        <f t="array" ref="AV283">IF(AJ283&lt;&gt;1,0,IF(OR(AT283="",N(AT283)&lt;=0.000000001),"",IF(OR(AN283="",N(AN283)&lt;=0.000000001),0,IF(ISNUMBER(AT283),IFERROR(_xlfn.LET(_xlpm.ai_test,TRIM(AI283),_xlpm.r,IFERROR(_xlfn.XLOOKUP(_xlpm.ai_test,$BI$15:$BI$62,ROW($BI$15:$BI$62),0,1),IFERROR(_xlfn.XLOOKUP(_xlpm.ai_test,$BJ$15:$BJ$62,ROW($BJ$15:$BJ$62),0,1),_xlfn.XLOOKUP(_xlpm.ai_test,$BK$15:$BK$62,ROW($BK$15:$BK$62),0,1))),_xlpm.p,_xlpm.r-MIN(ROW($BI$15:$BI$62))+1,_xlpm.f,INDEX($BL$15:$BL$62,_xlpm.p),_xlpm.u,INDEX($BM$15:$BM$62,_xlpm.p),_xlpm.s,INDEX($BO$15:$BO$62,_xlpm.p),_xlpm.q,N(AT283)/_xlpm.f,IF(_xlpm.q&gt;=_xlpm.s,ROUND(_xlpm.q,1)&amp;" "&amp;_xlpm.ai_test&amp;" = "&amp;ROUND(_xlpm.q*_xlpm.f,1)&amp;" "&amp;_xlpm.u,ROUND(_xlpm.q,1)&amp;" "&amp;_xlpm.ai_test)),""),""))))</f>
        <v>0</v>
      </c>
      <c r="AW283" s="1047"/>
      <c r="AX283" s="1045">
        <f t="shared" si="145"/>
        <v>0</v>
      </c>
      <c r="AY283" s="1046" t="str">
        <f t="shared" si="146"/>
        <v/>
      </c>
      <c r="AZ283" s="1048">
        <f t="shared" si="151"/>
        <v>0</v>
      </c>
      <c r="BA283" s="1049" t="str">
        <f t="shared" si="147"/>
        <v/>
      </c>
      <c r="BB283" s="1038"/>
      <c r="BC283" s="1050">
        <f t="shared" ref="BC283:BC346" si="152">IF(OR(AN283=0,ISBLANK(BB283),ISTEXT(AZ283)),0,(IF(AT283=0,AZ283,AT283)*BB283))</f>
        <v>0</v>
      </c>
      <c r="BD283" s="1040" t="str">
        <f t="shared" si="148"/>
        <v/>
      </c>
      <c r="BE283" s="227" t="s">
        <v>22</v>
      </c>
      <c r="BF283" s="1019">
        <f t="shared" si="149"/>
        <v>0</v>
      </c>
      <c r="BG283" s="1020">
        <f t="shared" si="150"/>
        <v>0</v>
      </c>
      <c r="BH283"/>
      <c r="BI283" s="709"/>
      <c r="BJ283" s="709"/>
      <c r="BK283" s="709"/>
      <c r="BL283" s="709"/>
      <c r="BM283" s="709"/>
      <c r="BN283" s="709"/>
      <c r="BO283" s="709"/>
      <c r="BP283" s="709"/>
      <c r="BQ283"/>
      <c r="BR283"/>
      <c r="BS283"/>
      <c r="BT283"/>
      <c r="BU283"/>
      <c r="BV283"/>
      <c r="BW283" s="959" t="str">
        <f t="shared" si="130"/>
        <v>►</v>
      </c>
      <c r="BX283"/>
      <c r="BY283"/>
      <c r="BZ283"/>
      <c r="CA283"/>
      <c r="CB283"/>
      <c r="CD283"/>
      <c r="CE283"/>
      <c r="CF283"/>
      <c r="CG283"/>
      <c r="CH283"/>
      <c r="CI283"/>
      <c r="CJ283"/>
      <c r="CK283" s="227"/>
      <c r="CL283"/>
      <c r="CM283"/>
      <c r="CN283"/>
      <c r="CO283"/>
      <c r="CP283"/>
      <c r="CQ283"/>
      <c r="CR283"/>
      <c r="CS283" s="227"/>
      <c r="CT283"/>
      <c r="CU283"/>
      <c r="CV283"/>
      <c r="CW283"/>
      <c r="CX283"/>
      <c r="CY283"/>
      <c r="CZ283"/>
      <c r="DA283" s="227"/>
      <c r="DB283" s="3">
        <v>1</v>
      </c>
      <c r="DC283" s="709"/>
      <c r="DD283" s="709"/>
    </row>
    <row r="284" spans="1:108" s="856" customFormat="1" ht="21" customHeight="1">
      <c r="A284" s="936" t="s">
        <v>22</v>
      </c>
      <c r="B284" s="952" t="str">
        <f t="shared" si="129"/>
        <v>►</v>
      </c>
      <c r="C284" s="993" cm="1">
        <f t="array" ref="C284">SUMPRODUCT(LEN(D284:J284))</f>
        <v>0</v>
      </c>
      <c r="D284" s="167"/>
      <c r="E284" s="172"/>
      <c r="F284" s="172"/>
      <c r="G284" s="172"/>
      <c r="H284" s="172"/>
      <c r="I284" s="172"/>
      <c r="J284" s="173"/>
      <c r="K284" s="442" t="s">
        <v>22</v>
      </c>
      <c r="L284" s="104" t="str">
        <f>IF(COUNTIF(R284:V284,"&lt;&gt;")&gt;0,"A","►")</f>
        <v>►</v>
      </c>
      <c r="M284" s="157" t="str">
        <f>M205</f>
        <v>N NOTRE BOUDIN NOIR | | Auteur &gt; Guy KRENZE - Eric GODDYN - Arnaud NICOLAS - CEPROC 2002</v>
      </c>
      <c r="N284" s="157">
        <f>N205</f>
        <v>16.34</v>
      </c>
      <c r="O284" s="158" t="str">
        <f>O205</f>
        <v>Kg</v>
      </c>
      <c r="P284" s="159" t="str">
        <f>P205</f>
        <v>Recette mère ► le Boudin en 4 déclinaisons</v>
      </c>
      <c r="Q284" s="172"/>
      <c r="R284" s="172"/>
      <c r="S284" s="172"/>
      <c r="T284" s="172"/>
      <c r="U284" s="172"/>
      <c r="V284" s="172"/>
      <c r="W284" s="172"/>
      <c r="X284" s="172"/>
      <c r="Y284" s="172"/>
      <c r="Z284" s="555"/>
      <c r="AA284" s="5211"/>
      <c r="AB284" s="1178"/>
      <c r="AC284" s="1179"/>
      <c r="AD284" s="227" t="s">
        <v>22</v>
      </c>
      <c r="AE284" s="1027" t="str">
        <f t="shared" si="132"/>
        <v>►</v>
      </c>
      <c r="AF284" s="1028" t="str">
        <f t="shared" si="133"/>
        <v/>
      </c>
      <c r="AG284" s="1029" t="str">
        <f t="shared" si="134"/>
        <v/>
      </c>
      <c r="AH284" s="1028" t="str">
        <f t="shared" si="135"/>
        <v/>
      </c>
      <c r="AI284" s="1029" t="str">
        <f t="shared" si="136"/>
        <v/>
      </c>
      <c r="AJ284" s="1029">
        <f t="shared" si="137"/>
        <v>0</v>
      </c>
      <c r="AK284" s="1043" t="str" cm="1">
        <f t="array" ref="AK284">IF(AE284&lt;&gt;"A","",IFERROR((IFERROR(_xlfn.XLOOKUP(TRIM(SUBSTITUTE(U284,CHAR(160)," ")),$BI$15:$BI$62,$BL$15:$BL$62),IFERROR(_xlfn.XLOOKUP(TRIM(SUBSTITUTE(U284,CHAR(160)," ")),$BJ$15:$BJ$62,$BL$15:$BL$62),_xlfn.XLOOKUP(TRIM(SUBSTITUTE(U284,CHAR(160)," ")),$BK$15:$BK$62,$BL$15:$BL$62))))*T284*IF(ISBLANK(Q284),1,Q284)+IFERROR(_xlfn.XLOOKUP("RECHERCHEX",TRIM(L284:AC284),L284:AC284),0),0))</f>
        <v/>
      </c>
      <c r="AL284" s="1030">
        <f t="shared" si="138"/>
        <v>0</v>
      </c>
      <c r="AM284" s="5254" t="str">
        <f t="shared" si="125"/>
        <v/>
      </c>
      <c r="AN284" s="1031">
        <f t="shared" si="139"/>
        <v>0</v>
      </c>
      <c r="AO284" s="1031">
        <f t="shared" si="140"/>
        <v>0</v>
      </c>
      <c r="AP284" s="1032">
        <f t="shared" si="141"/>
        <v>0</v>
      </c>
      <c r="AQ284" s="5255" t="str">
        <f t="shared" si="142"/>
        <v/>
      </c>
      <c r="AR284" s="1056"/>
      <c r="AS284" s="1056"/>
      <c r="AT284" s="1034">
        <f t="shared" si="143"/>
        <v>0</v>
      </c>
      <c r="AU284" s="1035">
        <f t="shared" si="144"/>
        <v>0</v>
      </c>
      <c r="AV284" s="1057" cm="1">
        <f t="array" ref="AV284">IF(AJ284&lt;&gt;1,0,IF(OR(AT284="",N(AT284)&lt;=0.000000001),"",IF(OR(AN284="",N(AN284)&lt;=0.000000001),0,IF(ISNUMBER(AT284),IFERROR(_xlfn.LET(_xlpm.ai_test,TRIM(AI284),_xlpm.r,IFERROR(_xlfn.XLOOKUP(_xlpm.ai_test,$BI$15:$BI$62,ROW($BI$15:$BI$62),0,1),IFERROR(_xlfn.XLOOKUP(_xlpm.ai_test,$BJ$15:$BJ$62,ROW($BJ$15:$BJ$62),0,1),_xlfn.XLOOKUP(_xlpm.ai_test,$BK$15:$BK$62,ROW($BK$15:$BK$62),0,1))),_xlpm.p,_xlpm.r-MIN(ROW($BI$15:$BI$62))+1,_xlpm.f,INDEX($BL$15:$BL$62,_xlpm.p),_xlpm.u,INDEX($BM$15:$BM$62,_xlpm.p),_xlpm.s,INDEX($BO$15:$BO$62,_xlpm.p),_xlpm.q,N(AT284)/_xlpm.f,IF(_xlpm.q&gt;=_xlpm.s,ROUND(_xlpm.q,1)&amp;" "&amp;_xlpm.ai_test&amp;" = "&amp;ROUND(_xlpm.q*_xlpm.f,1)&amp;" "&amp;_xlpm.u,ROUND(_xlpm.q,1)&amp;" "&amp;_xlpm.ai_test)),""),""))))</f>
        <v>0</v>
      </c>
      <c r="AW284" s="1047"/>
      <c r="AX284" s="1034">
        <f t="shared" si="145"/>
        <v>0</v>
      </c>
      <c r="AY284" s="1035" t="str">
        <f t="shared" si="146"/>
        <v/>
      </c>
      <c r="AZ284" s="1036">
        <f t="shared" si="151"/>
        <v>0</v>
      </c>
      <c r="BA284" s="1037" t="str">
        <f t="shared" si="147"/>
        <v/>
      </c>
      <c r="BB284" s="1038"/>
      <c r="BC284" s="1039">
        <f t="shared" si="152"/>
        <v>0</v>
      </c>
      <c r="BD284" s="1040" t="str">
        <f t="shared" si="148"/>
        <v/>
      </c>
      <c r="BE284" s="227" t="s">
        <v>22</v>
      </c>
      <c r="BF284" s="1019">
        <f t="shared" si="149"/>
        <v>0</v>
      </c>
      <c r="BG284" s="1020">
        <f t="shared" si="150"/>
        <v>0</v>
      </c>
      <c r="BH284"/>
      <c r="BI284" s="709"/>
      <c r="BJ284" s="709"/>
      <c r="BK284" s="709"/>
      <c r="BL284" s="709"/>
      <c r="BM284" s="709"/>
      <c r="BN284" s="709"/>
      <c r="BO284" s="709"/>
      <c r="BP284" s="709"/>
      <c r="BQ284"/>
      <c r="BR284"/>
      <c r="BS284"/>
      <c r="BT284"/>
      <c r="BU284"/>
      <c r="BV284"/>
      <c r="BW284" s="959" t="str">
        <f t="shared" si="130"/>
        <v>►</v>
      </c>
      <c r="BX284"/>
      <c r="BY284"/>
      <c r="BZ284"/>
      <c r="CA284"/>
      <c r="CB284"/>
      <c r="CD284"/>
      <c r="CE284"/>
      <c r="CF284"/>
      <c r="CG284"/>
      <c r="CH284"/>
      <c r="CI284"/>
      <c r="CJ284"/>
      <c r="CK284" s="227"/>
      <c r="CL284"/>
      <c r="CM284"/>
      <c r="CN284"/>
      <c r="CO284"/>
      <c r="CP284"/>
      <c r="CQ284"/>
      <c r="CR284"/>
      <c r="CS284" s="227"/>
      <c r="CT284"/>
      <c r="CU284"/>
      <c r="CV284"/>
      <c r="CW284"/>
      <c r="CX284"/>
      <c r="CY284"/>
      <c r="CZ284"/>
      <c r="DA284" s="227"/>
      <c r="DB284" s="3">
        <v>1</v>
      </c>
      <c r="DC284" s="709"/>
      <c r="DD284" s="709"/>
    </row>
    <row r="285" spans="1:108" s="856" customFormat="1" ht="21" customHeight="1">
      <c r="A285" s="936" t="s">
        <v>22</v>
      </c>
      <c r="B285" s="952" t="str">
        <f t="shared" si="129"/>
        <v>►</v>
      </c>
      <c r="C285" s="993" cm="1">
        <f t="array" ref="C285">SUMPRODUCT(LEN(D285:J285))</f>
        <v>0</v>
      </c>
      <c r="D285" s="167"/>
      <c r="E285" s="172"/>
      <c r="F285" s="172"/>
      <c r="G285" s="172"/>
      <c r="H285" s="172"/>
      <c r="I285" s="172"/>
      <c r="J285" s="173"/>
      <c r="K285" s="442" t="s">
        <v>22</v>
      </c>
      <c r="L285" s="104" t="str">
        <f t="shared" si="128"/>
        <v>►</v>
      </c>
      <c r="M285" s="157" t="str">
        <f>M205</f>
        <v>N NOTRE BOUDIN NOIR | | Auteur &gt; Guy KRENZE - Eric GODDYN - Arnaud NICOLAS - CEPROC 2002</v>
      </c>
      <c r="N285" s="157">
        <f>N205</f>
        <v>16.34</v>
      </c>
      <c r="O285" s="158" t="str">
        <f>O205</f>
        <v>Kg</v>
      </c>
      <c r="P285" s="159" t="str">
        <f>P205</f>
        <v>Recette mère ► le Boudin en 4 déclinaisons</v>
      </c>
      <c r="Q285" s="172"/>
      <c r="R285" s="172"/>
      <c r="S285" s="172"/>
      <c r="T285" s="172"/>
      <c r="U285" s="172"/>
      <c r="V285" s="172"/>
      <c r="W285" s="172"/>
      <c r="X285" s="172"/>
      <c r="Y285" s="172"/>
      <c r="Z285" s="555"/>
      <c r="AA285" s="5211"/>
      <c r="AB285" s="1178"/>
      <c r="AC285" s="1179"/>
      <c r="AD285" s="227" t="s">
        <v>22</v>
      </c>
      <c r="AE285" s="1027" t="str">
        <f t="shared" si="132"/>
        <v>►</v>
      </c>
      <c r="AF285" s="1028" t="str">
        <f t="shared" si="133"/>
        <v/>
      </c>
      <c r="AG285" s="1029" t="str">
        <f t="shared" si="134"/>
        <v/>
      </c>
      <c r="AH285" s="1028" t="str">
        <f t="shared" si="135"/>
        <v/>
      </c>
      <c r="AI285" s="1029" t="str">
        <f t="shared" si="136"/>
        <v/>
      </c>
      <c r="AJ285" s="1029">
        <f t="shared" si="137"/>
        <v>0</v>
      </c>
      <c r="AK285" s="1043" t="str" cm="1">
        <f t="array" ref="AK285">IF(AE285&lt;&gt;"A","",IFERROR((IFERROR(_xlfn.XLOOKUP(TRIM(SUBSTITUTE(U285,CHAR(160)," ")),$BI$15:$BI$62,$BL$15:$BL$62),IFERROR(_xlfn.XLOOKUP(TRIM(SUBSTITUTE(U285,CHAR(160)," ")),$BJ$15:$BJ$62,$BL$15:$BL$62),_xlfn.XLOOKUP(TRIM(SUBSTITUTE(U285,CHAR(160)," ")),$BK$15:$BK$62,$BL$15:$BL$62))))*T285*IF(ISBLANK(Q285),1,Q285)+IFERROR(_xlfn.XLOOKUP("RECHERCHEX",TRIM(L285:AC285),L285:AC285),0),0))</f>
        <v/>
      </c>
      <c r="AL285" s="1030">
        <f t="shared" si="138"/>
        <v>0</v>
      </c>
      <c r="AM285" s="5254" t="str">
        <f t="shared" si="125"/>
        <v/>
      </c>
      <c r="AN285" s="1031">
        <f t="shared" si="139"/>
        <v>0</v>
      </c>
      <c r="AO285" s="1031">
        <f t="shared" si="140"/>
        <v>0</v>
      </c>
      <c r="AP285" s="1044">
        <f t="shared" si="141"/>
        <v>0</v>
      </c>
      <c r="AQ285" s="5257" t="str">
        <f t="shared" si="142"/>
        <v/>
      </c>
      <c r="AR285" s="1056"/>
      <c r="AS285" s="1056"/>
      <c r="AT285" s="1045">
        <f t="shared" si="143"/>
        <v>0</v>
      </c>
      <c r="AU285" s="1046">
        <f t="shared" si="144"/>
        <v>0</v>
      </c>
      <c r="AV285" s="1059" cm="1">
        <f t="array" ref="AV285">IF(AJ285&lt;&gt;1,0,IF(OR(AT285="",N(AT285)&lt;=0.000000001),"",IF(OR(AN285="",N(AN285)&lt;=0.000000001),0,IF(ISNUMBER(AT285),IFERROR(_xlfn.LET(_xlpm.ai_test,TRIM(AI285),_xlpm.r,IFERROR(_xlfn.XLOOKUP(_xlpm.ai_test,$BI$15:$BI$62,ROW($BI$15:$BI$62),0,1),IFERROR(_xlfn.XLOOKUP(_xlpm.ai_test,$BJ$15:$BJ$62,ROW($BJ$15:$BJ$62),0,1),_xlfn.XLOOKUP(_xlpm.ai_test,$BK$15:$BK$62,ROW($BK$15:$BK$62),0,1))),_xlpm.p,_xlpm.r-MIN(ROW($BI$15:$BI$62))+1,_xlpm.f,INDEX($BL$15:$BL$62,_xlpm.p),_xlpm.u,INDEX($BM$15:$BM$62,_xlpm.p),_xlpm.s,INDEX($BO$15:$BO$62,_xlpm.p),_xlpm.q,N(AT285)/_xlpm.f,IF(_xlpm.q&gt;=_xlpm.s,ROUND(_xlpm.q,1)&amp;" "&amp;_xlpm.ai_test&amp;" = "&amp;ROUND(_xlpm.q*_xlpm.f,1)&amp;" "&amp;_xlpm.u,ROUND(_xlpm.q,1)&amp;" "&amp;_xlpm.ai_test)),""),""))))</f>
        <v>0</v>
      </c>
      <c r="AW285" s="1047"/>
      <c r="AX285" s="1045">
        <f t="shared" si="145"/>
        <v>0</v>
      </c>
      <c r="AY285" s="1046" t="str">
        <f t="shared" si="146"/>
        <v/>
      </c>
      <c r="AZ285" s="1048">
        <f t="shared" si="151"/>
        <v>0</v>
      </c>
      <c r="BA285" s="1049" t="str">
        <f t="shared" si="147"/>
        <v/>
      </c>
      <c r="BB285" s="1038"/>
      <c r="BC285" s="1050">
        <f t="shared" si="152"/>
        <v>0</v>
      </c>
      <c r="BD285" s="1040" t="str">
        <f t="shared" si="148"/>
        <v/>
      </c>
      <c r="BE285" s="227" t="s">
        <v>22</v>
      </c>
      <c r="BF285" s="1019">
        <f t="shared" si="149"/>
        <v>0</v>
      </c>
      <c r="BG285" s="1020">
        <f t="shared" si="150"/>
        <v>0</v>
      </c>
      <c r="BH285"/>
      <c r="BI285" s="709"/>
      <c r="BJ285" s="709"/>
      <c r="BK285" s="709"/>
      <c r="BL285" s="709"/>
      <c r="BM285" s="709"/>
      <c r="BN285" s="709"/>
      <c r="BO285" s="709"/>
      <c r="BP285" s="709"/>
      <c r="BQ285"/>
      <c r="BR285"/>
      <c r="BS285"/>
      <c r="BT285"/>
      <c r="BU285"/>
      <c r="BV285"/>
      <c r="BW285" s="959" t="str">
        <f t="shared" si="130"/>
        <v>►</v>
      </c>
      <c r="BX285"/>
      <c r="BY285"/>
      <c r="BZ285"/>
      <c r="CA285"/>
      <c r="CB285"/>
      <c r="CD285"/>
      <c r="CE285"/>
      <c r="CF285"/>
      <c r="CG285"/>
      <c r="CH285"/>
      <c r="CI285"/>
      <c r="CJ285"/>
      <c r="CK285" s="227"/>
      <c r="CL285"/>
      <c r="CM285"/>
      <c r="CN285"/>
      <c r="CO285"/>
      <c r="CP285"/>
      <c r="CQ285"/>
      <c r="CR285"/>
      <c r="CS285" s="227"/>
      <c r="CT285"/>
      <c r="CU285"/>
      <c r="CV285"/>
      <c r="CW285"/>
      <c r="CX285"/>
      <c r="CY285"/>
      <c r="CZ285"/>
      <c r="DA285" s="227"/>
      <c r="DB285" s="3">
        <v>1</v>
      </c>
      <c r="DC285" s="709"/>
      <c r="DD285" s="709"/>
    </row>
    <row r="286" spans="1:108" s="856" customFormat="1" ht="21" customHeight="1">
      <c r="A286" s="936" t="s">
        <v>22</v>
      </c>
      <c r="B286" s="952" t="str">
        <f t="shared" si="129"/>
        <v>A</v>
      </c>
      <c r="C286" s="993" cm="1">
        <f t="array" ref="C286">SUMPRODUCT(LEN(D286:J286))</f>
        <v>0</v>
      </c>
      <c r="D286" s="167"/>
      <c r="E286" s="172"/>
      <c r="F286" s="172"/>
      <c r="G286" s="172"/>
      <c r="H286" s="172"/>
      <c r="I286" s="172"/>
      <c r="J286" s="173"/>
      <c r="K286" s="442" t="s">
        <v>22</v>
      </c>
      <c r="L286" s="196" t="s">
        <v>11</v>
      </c>
      <c r="M286" s="157" t="str">
        <f>M205</f>
        <v>N NOTRE BOUDIN NOIR | | Auteur &gt; Guy KRENZE - Eric GODDYN - Arnaud NICOLAS - CEPROC 2002</v>
      </c>
      <c r="N286" s="157">
        <f>N205</f>
        <v>16.34</v>
      </c>
      <c r="O286" s="158" t="str">
        <f>O205</f>
        <v>Kg</v>
      </c>
      <c r="P286" s="159" t="str">
        <f>P205</f>
        <v>Recette mère ► le Boudin en 4 déclinaisons</v>
      </c>
      <c r="Q286" s="167"/>
      <c r="R286" s="172"/>
      <c r="S286" s="172"/>
      <c r="T286" s="172"/>
      <c r="U286" s="172"/>
      <c r="V286" s="172"/>
      <c r="W286" s="172"/>
      <c r="X286" s="172"/>
      <c r="Y286" s="172"/>
      <c r="Z286" s="1485" t="s">
        <v>197</v>
      </c>
      <c r="AA286" s="5211"/>
      <c r="AB286" s="1178"/>
      <c r="AC286" s="1179"/>
      <c r="AD286" s="227" t="s">
        <v>22</v>
      </c>
      <c r="AE286" s="1027" t="str">
        <f t="shared" si="132"/>
        <v>►</v>
      </c>
      <c r="AF286" s="1028" t="str">
        <f t="shared" si="133"/>
        <v/>
      </c>
      <c r="AG286" s="1029" t="str">
        <f t="shared" si="134"/>
        <v/>
      </c>
      <c r="AH286" s="1028" t="str">
        <f t="shared" si="135"/>
        <v/>
      </c>
      <c r="AI286" s="1029" t="str">
        <f t="shared" si="136"/>
        <v/>
      </c>
      <c r="AJ286" s="1029">
        <f t="shared" si="137"/>
        <v>0</v>
      </c>
      <c r="AK286" s="1043" t="str" cm="1">
        <f t="array" ref="AK286">IF(AE286&lt;&gt;"A","",IFERROR((IFERROR(_xlfn.XLOOKUP(TRIM(SUBSTITUTE(U286,CHAR(160)," ")),$BI$15:$BI$62,$BL$15:$BL$62),IFERROR(_xlfn.XLOOKUP(TRIM(SUBSTITUTE(U286,CHAR(160)," ")),$BJ$15:$BJ$62,$BL$15:$BL$62),_xlfn.XLOOKUP(TRIM(SUBSTITUTE(U286,CHAR(160)," ")),$BK$15:$BK$62,$BL$15:$BL$62))))*T286*IF(ISBLANK(Q286),1,Q286)+IFERROR(_xlfn.XLOOKUP("RECHERCHEX",TRIM(L286:AC286),L286:AC286),0),0))</f>
        <v/>
      </c>
      <c r="AL286" s="1030">
        <f t="shared" si="138"/>
        <v>0</v>
      </c>
      <c r="AM286" s="5254" t="str">
        <f t="shared" ref="AM286:AM349" si="153">IF(AE286="A","❾ Author reference &gt;","")</f>
        <v/>
      </c>
      <c r="AN286" s="1031">
        <f t="shared" si="139"/>
        <v>0</v>
      </c>
      <c r="AO286" s="1031">
        <f t="shared" si="140"/>
        <v>0</v>
      </c>
      <c r="AP286" s="1032">
        <f t="shared" si="141"/>
        <v>0</v>
      </c>
      <c r="AQ286" s="5255" t="str">
        <f t="shared" si="142"/>
        <v/>
      </c>
      <c r="AR286" s="1056"/>
      <c r="AS286" s="1056"/>
      <c r="AT286" s="1034">
        <f t="shared" si="143"/>
        <v>0</v>
      </c>
      <c r="AU286" s="1035">
        <f t="shared" si="144"/>
        <v>0</v>
      </c>
      <c r="AV286" s="1057" cm="1">
        <f t="array" ref="AV286">IF(AJ286&lt;&gt;1,0,IF(OR(AT286="",N(AT286)&lt;=0.000000001),"",IF(OR(AN286="",N(AN286)&lt;=0.000000001),0,IF(ISNUMBER(AT286),IFERROR(_xlfn.LET(_xlpm.ai_test,TRIM(AI286),_xlpm.r,IFERROR(_xlfn.XLOOKUP(_xlpm.ai_test,$BI$15:$BI$62,ROW($BI$15:$BI$62),0,1),IFERROR(_xlfn.XLOOKUP(_xlpm.ai_test,$BJ$15:$BJ$62,ROW($BJ$15:$BJ$62),0,1),_xlfn.XLOOKUP(_xlpm.ai_test,$BK$15:$BK$62,ROW($BK$15:$BK$62),0,1))),_xlpm.p,_xlpm.r-MIN(ROW($BI$15:$BI$62))+1,_xlpm.f,INDEX($BL$15:$BL$62,_xlpm.p),_xlpm.u,INDEX($BM$15:$BM$62,_xlpm.p),_xlpm.s,INDEX($BO$15:$BO$62,_xlpm.p),_xlpm.q,N(AT286)/_xlpm.f,IF(_xlpm.q&gt;=_xlpm.s,ROUND(_xlpm.q,1)&amp;" "&amp;_xlpm.ai_test&amp;" = "&amp;ROUND(_xlpm.q*_xlpm.f,1)&amp;" "&amp;_xlpm.u,ROUND(_xlpm.q,1)&amp;" "&amp;_xlpm.ai_test)),""),""))))</f>
        <v>0</v>
      </c>
      <c r="AW286" s="1047"/>
      <c r="AX286" s="1034">
        <f t="shared" si="145"/>
        <v>0</v>
      </c>
      <c r="AY286" s="1035" t="str">
        <f t="shared" si="146"/>
        <v/>
      </c>
      <c r="AZ286" s="1036">
        <f t="shared" si="151"/>
        <v>0</v>
      </c>
      <c r="BA286" s="1037" t="str">
        <f t="shared" si="147"/>
        <v/>
      </c>
      <c r="BB286" s="1038"/>
      <c r="BC286" s="1039">
        <f t="shared" si="152"/>
        <v>0</v>
      </c>
      <c r="BD286" s="1040" t="str">
        <f t="shared" si="148"/>
        <v/>
      </c>
      <c r="BE286" s="227" t="s">
        <v>22</v>
      </c>
      <c r="BF286" s="1019">
        <f t="shared" si="149"/>
        <v>0</v>
      </c>
      <c r="BG286" s="1020">
        <f t="shared" si="150"/>
        <v>0</v>
      </c>
      <c r="BH286"/>
      <c r="BI286" s="709"/>
      <c r="BJ286" s="709"/>
      <c r="BK286" s="709"/>
      <c r="BL286" s="709"/>
      <c r="BM286" s="709"/>
      <c r="BN286" s="709"/>
      <c r="BO286" s="709"/>
      <c r="BP286" s="709"/>
      <c r="BQ286"/>
      <c r="BR286"/>
      <c r="BS286"/>
      <c r="BT286"/>
      <c r="BU286"/>
      <c r="BV286"/>
      <c r="BW286" s="959" t="str">
        <f t="shared" si="130"/>
        <v>►</v>
      </c>
      <c r="BX286"/>
      <c r="BY286"/>
      <c r="BZ286"/>
      <c r="CA286"/>
      <c r="CB286"/>
      <c r="CD286"/>
      <c r="CE286"/>
      <c r="CF286"/>
      <c r="CG286"/>
      <c r="CH286"/>
      <c r="CI286"/>
      <c r="CJ286"/>
      <c r="CK286" s="227"/>
      <c r="CL286"/>
      <c r="CM286"/>
      <c r="CN286"/>
      <c r="CO286"/>
      <c r="CP286"/>
      <c r="CQ286"/>
      <c r="CR286"/>
      <c r="CS286" s="227"/>
      <c r="CT286"/>
      <c r="CU286"/>
      <c r="CV286"/>
      <c r="CW286"/>
      <c r="CX286"/>
      <c r="CY286"/>
      <c r="CZ286"/>
      <c r="DA286" s="227"/>
      <c r="DB286" s="3">
        <v>1</v>
      </c>
      <c r="DC286" s="709"/>
      <c r="DD286" s="709"/>
    </row>
    <row r="287" spans="1:108" s="856" customFormat="1" ht="21" customHeight="1">
      <c r="A287" s="936" t="s">
        <v>22</v>
      </c>
      <c r="B287" s="952" t="str">
        <f t="shared" si="129"/>
        <v>A</v>
      </c>
      <c r="C287" s="993" cm="1">
        <f t="array" ref="C287">SUMPRODUCT(LEN(D287:J287))</f>
        <v>0</v>
      </c>
      <c r="D287" s="167"/>
      <c r="E287" s="172"/>
      <c r="F287" s="172"/>
      <c r="G287" s="172"/>
      <c r="H287" s="172"/>
      <c r="I287" s="172"/>
      <c r="J287" s="173"/>
      <c r="K287" s="442" t="s">
        <v>22</v>
      </c>
      <c r="L287" s="196" t="s">
        <v>11</v>
      </c>
      <c r="M287" s="157" t="str">
        <f>M205</f>
        <v>N NOTRE BOUDIN NOIR | | Auteur &gt; Guy KRENZE - Eric GODDYN - Arnaud NICOLAS - CEPROC 2002</v>
      </c>
      <c r="N287" s="157">
        <f>N205</f>
        <v>16.34</v>
      </c>
      <c r="O287" s="158" t="str">
        <f>O205</f>
        <v>Kg</v>
      </c>
      <c r="P287" s="159" t="str">
        <f>P205</f>
        <v>Recette mère ► le Boudin en 4 déclinaisons</v>
      </c>
      <c r="Q287" s="204"/>
      <c r="R287" s="204"/>
      <c r="S287" s="204" t="s">
        <v>201</v>
      </c>
      <c r="T287" s="205"/>
      <c r="U287" s="206"/>
      <c r="V287" s="206"/>
      <c r="W287" s="206"/>
      <c r="X287" s="206"/>
      <c r="Y287" s="206"/>
      <c r="Z287" s="567"/>
      <c r="AA287" s="5211"/>
      <c r="AB287" s="1178"/>
      <c r="AC287" s="1179"/>
      <c r="AD287" s="227" t="s">
        <v>22</v>
      </c>
      <c r="AE287" s="1027" t="str">
        <f t="shared" si="132"/>
        <v>►</v>
      </c>
      <c r="AF287" s="1028" t="str">
        <f t="shared" si="133"/>
        <v/>
      </c>
      <c r="AG287" s="1029" t="str">
        <f t="shared" si="134"/>
        <v/>
      </c>
      <c r="AH287" s="1028" t="str">
        <f t="shared" si="135"/>
        <v/>
      </c>
      <c r="AI287" s="1029" t="str">
        <f t="shared" si="136"/>
        <v/>
      </c>
      <c r="AJ287" s="1029">
        <f t="shared" si="137"/>
        <v>0</v>
      </c>
      <c r="AK287" s="1043" t="str" cm="1">
        <f t="array" ref="AK287">IF(AE287&lt;&gt;"A","",IFERROR((IFERROR(_xlfn.XLOOKUP(TRIM(SUBSTITUTE(U287,CHAR(160)," ")),$BI$15:$BI$62,$BL$15:$BL$62),IFERROR(_xlfn.XLOOKUP(TRIM(SUBSTITUTE(U287,CHAR(160)," ")),$BJ$15:$BJ$62,$BL$15:$BL$62),_xlfn.XLOOKUP(TRIM(SUBSTITUTE(U287,CHAR(160)," ")),$BK$15:$BK$62,$BL$15:$BL$62))))*T287*IF(ISBLANK(Q287),1,Q287)+IFERROR(_xlfn.XLOOKUP("RECHERCHEX",TRIM(L287:AC287),L287:AC287),0),0))</f>
        <v/>
      </c>
      <c r="AL287" s="1030">
        <f t="shared" si="138"/>
        <v>0</v>
      </c>
      <c r="AM287" s="5254" t="str">
        <f t="shared" si="153"/>
        <v/>
      </c>
      <c r="AN287" s="1031">
        <f t="shared" si="139"/>
        <v>0</v>
      </c>
      <c r="AO287" s="1031">
        <f t="shared" si="140"/>
        <v>0</v>
      </c>
      <c r="AP287" s="1044">
        <f t="shared" si="141"/>
        <v>0</v>
      </c>
      <c r="AQ287" s="5257" t="str">
        <f t="shared" si="142"/>
        <v/>
      </c>
      <c r="AR287" s="1056"/>
      <c r="AS287" s="1056"/>
      <c r="AT287" s="1045">
        <f t="shared" si="143"/>
        <v>0</v>
      </c>
      <c r="AU287" s="1046">
        <f t="shared" si="144"/>
        <v>0</v>
      </c>
      <c r="AV287" s="1059" cm="1">
        <f t="array" ref="AV287">IF(AJ287&lt;&gt;1,0,IF(OR(AT287="",N(AT287)&lt;=0.000000001),"",IF(OR(AN287="",N(AN287)&lt;=0.000000001),0,IF(ISNUMBER(AT287),IFERROR(_xlfn.LET(_xlpm.ai_test,TRIM(AI287),_xlpm.r,IFERROR(_xlfn.XLOOKUP(_xlpm.ai_test,$BI$15:$BI$62,ROW($BI$15:$BI$62),0,1),IFERROR(_xlfn.XLOOKUP(_xlpm.ai_test,$BJ$15:$BJ$62,ROW($BJ$15:$BJ$62),0,1),_xlfn.XLOOKUP(_xlpm.ai_test,$BK$15:$BK$62,ROW($BK$15:$BK$62),0,1))),_xlpm.p,_xlpm.r-MIN(ROW($BI$15:$BI$62))+1,_xlpm.f,INDEX($BL$15:$BL$62,_xlpm.p),_xlpm.u,INDEX($BM$15:$BM$62,_xlpm.p),_xlpm.s,INDEX($BO$15:$BO$62,_xlpm.p),_xlpm.q,N(AT287)/_xlpm.f,IF(_xlpm.q&gt;=_xlpm.s,ROUND(_xlpm.q,1)&amp;" "&amp;_xlpm.ai_test&amp;" = "&amp;ROUND(_xlpm.q*_xlpm.f,1)&amp;" "&amp;_xlpm.u,ROUND(_xlpm.q,1)&amp;" "&amp;_xlpm.ai_test)),""),""))))</f>
        <v>0</v>
      </c>
      <c r="AW287" s="1047"/>
      <c r="AX287" s="1045">
        <f t="shared" si="145"/>
        <v>0</v>
      </c>
      <c r="AY287" s="1046" t="str">
        <f t="shared" si="146"/>
        <v/>
      </c>
      <c r="AZ287" s="1048">
        <f t="shared" si="151"/>
        <v>0</v>
      </c>
      <c r="BA287" s="1049" t="str">
        <f t="shared" si="147"/>
        <v/>
      </c>
      <c r="BB287" s="1038"/>
      <c r="BC287" s="1050">
        <f t="shared" si="152"/>
        <v>0</v>
      </c>
      <c r="BD287" s="1040" t="str">
        <f t="shared" si="148"/>
        <v/>
      </c>
      <c r="BE287" s="227" t="s">
        <v>22</v>
      </c>
      <c r="BF287" s="1019">
        <f t="shared" si="149"/>
        <v>0</v>
      </c>
      <c r="BG287" s="1020">
        <f t="shared" si="150"/>
        <v>0</v>
      </c>
      <c r="BH287"/>
      <c r="BI287" s="709"/>
      <c r="BJ287" s="709"/>
      <c r="BK287" s="709"/>
      <c r="BL287" s="709"/>
      <c r="BM287" s="709"/>
      <c r="BN287" s="709"/>
      <c r="BO287" s="709"/>
      <c r="BP287" s="709"/>
      <c r="BQ287"/>
      <c r="BR287"/>
      <c r="BS287"/>
      <c r="BT287"/>
      <c r="BU287"/>
      <c r="BV287"/>
      <c r="BW287" s="959" t="str">
        <f t="shared" si="130"/>
        <v>►</v>
      </c>
      <c r="BX287"/>
      <c r="BY287"/>
      <c r="BZ287"/>
      <c r="CA287"/>
      <c r="CB287"/>
      <c r="CD287"/>
      <c r="CE287"/>
      <c r="CF287"/>
      <c r="CG287"/>
      <c r="CH287"/>
      <c r="CI287"/>
      <c r="CJ287"/>
      <c r="CK287" s="227"/>
      <c r="CL287"/>
      <c r="CM287"/>
      <c r="CN287"/>
      <c r="CO287"/>
      <c r="CP287"/>
      <c r="CQ287"/>
      <c r="CR287"/>
      <c r="CS287" s="227"/>
      <c r="CT287"/>
      <c r="CU287"/>
      <c r="CV287"/>
      <c r="CW287"/>
      <c r="CX287"/>
      <c r="CY287"/>
      <c r="CZ287"/>
      <c r="DA287" s="227"/>
      <c r="DB287" s="3">
        <v>1</v>
      </c>
      <c r="DC287" s="709"/>
      <c r="DD287" s="709"/>
    </row>
    <row r="288" spans="1:108" s="856" customFormat="1" ht="21" customHeight="1">
      <c r="A288" s="936" t="s">
        <v>22</v>
      </c>
      <c r="B288" s="952" t="str">
        <f t="shared" si="129"/>
        <v>A</v>
      </c>
      <c r="C288" s="993" cm="1">
        <f t="array" ref="C288">SUMPRODUCT(LEN(D288:J288))</f>
        <v>0</v>
      </c>
      <c r="D288" s="167"/>
      <c r="E288" s="172"/>
      <c r="F288" s="172"/>
      <c r="G288" s="172"/>
      <c r="H288" s="172"/>
      <c r="I288" s="172"/>
      <c r="J288" s="173"/>
      <c r="K288" s="442" t="s">
        <v>22</v>
      </c>
      <c r="L288" s="196" t="s">
        <v>11</v>
      </c>
      <c r="M288" s="209" t="str">
        <f>M205</f>
        <v>N NOTRE BOUDIN NOIR | | Auteur &gt; Guy KRENZE - Eric GODDYN - Arnaud NICOLAS - CEPROC 2002</v>
      </c>
      <c r="N288" s="209">
        <f>N205</f>
        <v>16.34</v>
      </c>
      <c r="O288" s="210" t="str">
        <f>O205</f>
        <v>Kg</v>
      </c>
      <c r="P288" s="211" t="str">
        <f>P205</f>
        <v>Recette mère ► le Boudin en 4 déclinaisons</v>
      </c>
      <c r="Q288" s="212"/>
      <c r="R288" s="213"/>
      <c r="S288" s="214"/>
      <c r="T288" s="215"/>
      <c r="U288" s="214"/>
      <c r="V288" s="214"/>
      <c r="W288" s="214"/>
      <c r="X288" s="214"/>
      <c r="Y288" s="214"/>
      <c r="Z288" s="582"/>
      <c r="AA288" s="5211"/>
      <c r="AB288" s="1178"/>
      <c r="AC288" s="1179"/>
      <c r="AD288" s="227" t="s">
        <v>22</v>
      </c>
      <c r="AE288" s="1027" t="str">
        <f t="shared" si="132"/>
        <v>►</v>
      </c>
      <c r="AF288" s="1028" t="str">
        <f t="shared" si="133"/>
        <v/>
      </c>
      <c r="AG288" s="1029" t="str">
        <f t="shared" si="134"/>
        <v/>
      </c>
      <c r="AH288" s="1028" t="str">
        <f t="shared" si="135"/>
        <v/>
      </c>
      <c r="AI288" s="1029" t="str">
        <f t="shared" si="136"/>
        <v/>
      </c>
      <c r="AJ288" s="1029">
        <f t="shared" si="137"/>
        <v>0</v>
      </c>
      <c r="AK288" s="1043" t="str" cm="1">
        <f t="array" ref="AK288">IF(AE288&lt;&gt;"A","",IFERROR((IFERROR(_xlfn.XLOOKUP(TRIM(SUBSTITUTE(U288,CHAR(160)," ")),$BI$15:$BI$62,$BL$15:$BL$62),IFERROR(_xlfn.XLOOKUP(TRIM(SUBSTITUTE(U288,CHAR(160)," ")),$BJ$15:$BJ$62,$BL$15:$BL$62),_xlfn.XLOOKUP(TRIM(SUBSTITUTE(U288,CHAR(160)," ")),$BK$15:$BK$62,$BL$15:$BL$62))))*T288*IF(ISBLANK(Q288),1,Q288)+IFERROR(_xlfn.XLOOKUP("RECHERCHEX",TRIM(L288:AC288),L288:AC288),0),0))</f>
        <v/>
      </c>
      <c r="AL288" s="1030">
        <f t="shared" si="138"/>
        <v>0</v>
      </c>
      <c r="AM288" s="5254" t="str">
        <f t="shared" si="153"/>
        <v/>
      </c>
      <c r="AN288" s="1031">
        <f t="shared" si="139"/>
        <v>0</v>
      </c>
      <c r="AO288" s="1031">
        <f t="shared" si="140"/>
        <v>0</v>
      </c>
      <c r="AP288" s="1032">
        <f t="shared" si="141"/>
        <v>0</v>
      </c>
      <c r="AQ288" s="5255" t="str">
        <f t="shared" si="142"/>
        <v/>
      </c>
      <c r="AR288" s="1056"/>
      <c r="AS288" s="1056"/>
      <c r="AT288" s="1034">
        <f t="shared" si="143"/>
        <v>0</v>
      </c>
      <c r="AU288" s="1035">
        <f t="shared" si="144"/>
        <v>0</v>
      </c>
      <c r="AV288" s="1057" cm="1">
        <f t="array" ref="AV288">IF(AJ288&lt;&gt;1,0,IF(OR(AT288="",N(AT288)&lt;=0.000000001),"",IF(OR(AN288="",N(AN288)&lt;=0.000000001),0,IF(ISNUMBER(AT288),IFERROR(_xlfn.LET(_xlpm.ai_test,TRIM(AI288),_xlpm.r,IFERROR(_xlfn.XLOOKUP(_xlpm.ai_test,$BI$15:$BI$62,ROW($BI$15:$BI$62),0,1),IFERROR(_xlfn.XLOOKUP(_xlpm.ai_test,$BJ$15:$BJ$62,ROW($BJ$15:$BJ$62),0,1),_xlfn.XLOOKUP(_xlpm.ai_test,$BK$15:$BK$62,ROW($BK$15:$BK$62),0,1))),_xlpm.p,_xlpm.r-MIN(ROW($BI$15:$BI$62))+1,_xlpm.f,INDEX($BL$15:$BL$62,_xlpm.p),_xlpm.u,INDEX($BM$15:$BM$62,_xlpm.p),_xlpm.s,INDEX($BO$15:$BO$62,_xlpm.p),_xlpm.q,N(AT288)/_xlpm.f,IF(_xlpm.q&gt;=_xlpm.s,ROUND(_xlpm.q,1)&amp;" "&amp;_xlpm.ai_test&amp;" = "&amp;ROUND(_xlpm.q*_xlpm.f,1)&amp;" "&amp;_xlpm.u,ROUND(_xlpm.q,1)&amp;" "&amp;_xlpm.ai_test)),""),""))))</f>
        <v>0</v>
      </c>
      <c r="AW288" s="1047"/>
      <c r="AX288" s="1034">
        <f t="shared" si="145"/>
        <v>0</v>
      </c>
      <c r="AY288" s="1035" t="str">
        <f t="shared" si="146"/>
        <v/>
      </c>
      <c r="AZ288" s="1036">
        <f t="shared" si="151"/>
        <v>0</v>
      </c>
      <c r="BA288" s="1037" t="str">
        <f t="shared" si="147"/>
        <v/>
      </c>
      <c r="BB288" s="1038"/>
      <c r="BC288" s="1039">
        <f t="shared" si="152"/>
        <v>0</v>
      </c>
      <c r="BD288" s="1040" t="str">
        <f t="shared" si="148"/>
        <v/>
      </c>
      <c r="BE288" s="227" t="s">
        <v>22</v>
      </c>
      <c r="BF288" s="1019">
        <f t="shared" si="149"/>
        <v>0</v>
      </c>
      <c r="BG288" s="1020">
        <f t="shared" si="150"/>
        <v>0</v>
      </c>
      <c r="BH288"/>
      <c r="BI288" s="709"/>
      <c r="BJ288" s="709"/>
      <c r="BK288" s="709"/>
      <c r="BL288" s="709"/>
      <c r="BM288" s="709"/>
      <c r="BN288" s="709"/>
      <c r="BO288" s="709"/>
      <c r="BP288" s="709"/>
      <c r="BQ288"/>
      <c r="BR288"/>
      <c r="BS288"/>
      <c r="BT288"/>
      <c r="BU288"/>
      <c r="BV288"/>
      <c r="BW288" s="959" t="str">
        <f t="shared" si="130"/>
        <v>►</v>
      </c>
      <c r="BX288"/>
      <c r="BY288"/>
      <c r="BZ288"/>
      <c r="CA288"/>
      <c r="CB288"/>
      <c r="CD288"/>
      <c r="CE288"/>
      <c r="CF288"/>
      <c r="CG288"/>
      <c r="CH288"/>
      <c r="CI288"/>
      <c r="CJ288"/>
      <c r="CK288" s="227"/>
      <c r="CL288"/>
      <c r="CM288"/>
      <c r="CN288"/>
      <c r="CO288"/>
      <c r="CP288"/>
      <c r="CQ288"/>
      <c r="CR288"/>
      <c r="CS288" s="227"/>
      <c r="CT288"/>
      <c r="CU288"/>
      <c r="CV288"/>
      <c r="CW288"/>
      <c r="CX288"/>
      <c r="CY288"/>
      <c r="CZ288"/>
      <c r="DA288" s="227"/>
      <c r="DB288" s="3">
        <v>1</v>
      </c>
      <c r="DC288" s="709"/>
      <c r="DD288" s="709"/>
    </row>
    <row r="289" spans="1:108" s="856" customFormat="1" ht="21" customHeight="1" thickBot="1">
      <c r="A289" s="936" t="s">
        <v>22</v>
      </c>
      <c r="B289" s="952" t="str">
        <f t="shared" si="129"/>
        <v>A</v>
      </c>
      <c r="C289" s="993" cm="1">
        <f t="array" ref="C289">SUMPRODUCT(LEN(D289:J289))</f>
        <v>0</v>
      </c>
      <c r="D289" s="167"/>
      <c r="E289" s="172"/>
      <c r="F289" s="172"/>
      <c r="G289" s="172"/>
      <c r="H289" s="172"/>
      <c r="I289" s="172"/>
      <c r="J289" s="173"/>
      <c r="K289" s="442"/>
      <c r="L289" s="216" t="s">
        <v>11</v>
      </c>
      <c r="M289" s="217"/>
      <c r="N289" s="217"/>
      <c r="O289" s="217"/>
      <c r="P289" s="218"/>
      <c r="Q289" s="219" t="s">
        <v>208</v>
      </c>
      <c r="R289" s="1481" t="str">
        <f ca="1">CELL("nomfichier")</f>
        <v>D:\Données\1.UPRT\0-UPRT.fait\1-UPRT.FR-SITE-WEB\ff-fiches-fabrications\ff.fiches.fabrication.2023\ffr.restaurant.2023\[ff.FICHE.TRILINGUE.15.COLONNES.29.11.2025.xlsx]Notice.utilisateur</v>
      </c>
      <c r="S289" s="220"/>
      <c r="T289" s="220"/>
      <c r="U289" s="220"/>
      <c r="V289" s="220"/>
      <c r="W289" s="220"/>
      <c r="X289" s="220"/>
      <c r="Y289" s="220"/>
      <c r="Z289" s="221"/>
      <c r="AA289" s="5211"/>
      <c r="AB289" s="1178"/>
      <c r="AC289" s="1179"/>
      <c r="AD289" s="227" t="s">
        <v>22</v>
      </c>
      <c r="AE289" s="1027" t="str">
        <f t="shared" si="132"/>
        <v>A</v>
      </c>
      <c r="AF289" s="1028" t="str">
        <f t="shared" si="133"/>
        <v>▼ recette suivante</v>
      </c>
      <c r="AG289" s="1029">
        <f t="shared" si="134"/>
        <v>0</v>
      </c>
      <c r="AH289" s="1028">
        <f t="shared" si="135"/>
        <v>0</v>
      </c>
      <c r="AI289" s="1029">
        <f t="shared" si="136"/>
        <v>0</v>
      </c>
      <c r="AJ289" s="1029">
        <f t="shared" si="137"/>
        <v>0</v>
      </c>
      <c r="AK289" s="1043" cm="1">
        <f t="array" aca="1" ref="AK289" ca="1">IF(AE289&lt;&gt;"A","",IFERROR((IFERROR(_xlfn.XLOOKUP(TRIM(SUBSTITUTE(U289,CHAR(160)," ")),$BI$15:$BI$62,$BL$15:$BL$62),IFERROR(_xlfn.XLOOKUP(TRIM(SUBSTITUTE(U289,CHAR(160)," ")),$BJ$15:$BJ$62,$BL$15:$BL$62),_xlfn.XLOOKUP(TRIM(SUBSTITUTE(U289,CHAR(160)," ")),$BK$15:$BK$62,$BL$15:$BL$62))))*T289*IF(ISBLANK(Q289),1,Q289)+IFERROR(_xlfn.XLOOKUP("RECHERCHEX",TRIM(L289:AC289),L289:AC289),0),0))</f>
        <v>0</v>
      </c>
      <c r="AL289" s="1030">
        <f t="shared" si="138"/>
        <v>0</v>
      </c>
      <c r="AM289" s="5254" t="str">
        <f t="shared" si="153"/>
        <v>❾ Author reference &gt;</v>
      </c>
      <c r="AN289" s="1031">
        <f t="shared" si="139"/>
        <v>0</v>
      </c>
      <c r="AO289" s="1031">
        <f t="shared" si="140"/>
        <v>0</v>
      </c>
      <c r="AP289" s="1044">
        <f t="shared" si="141"/>
        <v>0</v>
      </c>
      <c r="AQ289" s="5257" t="str">
        <f t="shared" si="142"/>
        <v>▼ recette suivante</v>
      </c>
      <c r="AR289" s="1056"/>
      <c r="AS289" s="1056"/>
      <c r="AT289" s="1045">
        <f t="shared" si="143"/>
        <v>0</v>
      </c>
      <c r="AU289" s="1046">
        <f t="shared" si="144"/>
        <v>0</v>
      </c>
      <c r="AV289" s="1059" cm="1">
        <f t="array" ref="AV289">IF(AJ289&lt;&gt;1,0,IF(OR(AT289="",N(AT289)&lt;=0.000000001),"",IF(OR(AN289="",N(AN289)&lt;=0.000000001),0,IF(ISNUMBER(AT289),IFERROR(_xlfn.LET(_xlpm.ai_test,TRIM(AI289),_xlpm.r,IFERROR(_xlfn.XLOOKUP(_xlpm.ai_test,$BI$15:$BI$62,ROW($BI$15:$BI$62),0,1),IFERROR(_xlfn.XLOOKUP(_xlpm.ai_test,$BJ$15:$BJ$62,ROW($BJ$15:$BJ$62),0,1),_xlfn.XLOOKUP(_xlpm.ai_test,$BK$15:$BK$62,ROW($BK$15:$BK$62),0,1))),_xlpm.p,_xlpm.r-MIN(ROW($BI$15:$BI$62))+1,_xlpm.f,INDEX($BL$15:$BL$62,_xlpm.p),_xlpm.u,INDEX($BM$15:$BM$62,_xlpm.p),_xlpm.s,INDEX($BO$15:$BO$62,_xlpm.p),_xlpm.q,N(AT289)/_xlpm.f,IF(_xlpm.q&gt;=_xlpm.s,ROUND(_xlpm.q,1)&amp;" "&amp;_xlpm.ai_test&amp;" = "&amp;ROUND(_xlpm.q*_xlpm.f,1)&amp;" "&amp;_xlpm.u,ROUND(_xlpm.q,1)&amp;" "&amp;_xlpm.ai_test)),""),""))))</f>
        <v>0</v>
      </c>
      <c r="AW289" s="1047"/>
      <c r="AX289" s="1045" t="str">
        <f t="shared" si="145"/>
        <v xml:space="preserve">▼next recipe </v>
      </c>
      <c r="AY289" s="1046" t="str">
        <f t="shared" si="146"/>
        <v/>
      </c>
      <c r="AZ289" s="1048">
        <f t="shared" si="151"/>
        <v>0</v>
      </c>
      <c r="BA289" s="1049" t="str">
        <f t="shared" si="147"/>
        <v/>
      </c>
      <c r="BB289" s="1038"/>
      <c r="BC289" s="1050">
        <f t="shared" si="152"/>
        <v>0</v>
      </c>
      <c r="BD289" s="1040" t="str">
        <f t="shared" si="148"/>
        <v>▼ receta siguiente</v>
      </c>
      <c r="BE289" s="227" t="s">
        <v>22</v>
      </c>
      <c r="BF289" s="1019">
        <f t="shared" si="149"/>
        <v>0</v>
      </c>
      <c r="BG289" s="1020">
        <f t="shared" ca="1" si="150"/>
        <v>0</v>
      </c>
      <c r="BH289"/>
      <c r="BI289" s="709"/>
      <c r="BJ289" s="709"/>
      <c r="BK289" s="709"/>
      <c r="BL289" s="709"/>
      <c r="BM289" s="709"/>
      <c r="BN289" s="709"/>
      <c r="BO289" s="709"/>
      <c r="BP289" s="709"/>
      <c r="BQ289"/>
      <c r="BR289"/>
      <c r="BS289"/>
      <c r="BT289"/>
      <c r="BU289"/>
      <c r="BV289"/>
      <c r="BW289" s="959" t="str">
        <f t="shared" si="130"/>
        <v>A</v>
      </c>
      <c r="BX289"/>
      <c r="BY289"/>
      <c r="BZ289"/>
      <c r="CA289"/>
      <c r="CB289"/>
      <c r="CD289"/>
      <c r="CE289"/>
      <c r="CF289"/>
      <c r="CG289"/>
      <c r="CH289"/>
      <c r="CI289"/>
      <c r="CJ289"/>
      <c r="CK289" s="227"/>
      <c r="CL289"/>
      <c r="CM289"/>
      <c r="CN289"/>
      <c r="CO289"/>
      <c r="CP289"/>
      <c r="CQ289"/>
      <c r="CR289"/>
      <c r="CS289" s="227"/>
      <c r="CT289"/>
      <c r="CU289"/>
      <c r="CV289"/>
      <c r="CW289"/>
      <c r="CX289"/>
      <c r="CY289"/>
      <c r="CZ289"/>
      <c r="DA289" s="227"/>
      <c r="DB289" s="3">
        <v>1</v>
      </c>
      <c r="DC289" s="709"/>
      <c r="DD289" s="709"/>
    </row>
    <row r="290" spans="1:108" s="856" customFormat="1" ht="21" customHeight="1" thickBot="1">
      <c r="A290" s="936" t="s">
        <v>22</v>
      </c>
      <c r="B290" s="952" t="str">
        <f t="shared" si="129"/>
        <v>A</v>
      </c>
      <c r="C290" s="993" cm="1">
        <f t="array" ref="C290">SUMPRODUCT(LEN(D290:J290))</f>
        <v>0</v>
      </c>
      <c r="D290" s="167"/>
      <c r="E290" s="172"/>
      <c r="F290" s="172"/>
      <c r="G290" s="172"/>
      <c r="H290" s="172"/>
      <c r="I290" s="172"/>
      <c r="J290" s="173"/>
      <c r="K290" s="442"/>
      <c r="L290" s="5215" t="s">
        <v>11</v>
      </c>
      <c r="M290" s="5216" t="s">
        <v>11</v>
      </c>
      <c r="N290" s="5216" t="s">
        <v>11</v>
      </c>
      <c r="O290" s="5216" t="s">
        <v>11</v>
      </c>
      <c r="P290" s="5216" t="s">
        <v>11</v>
      </c>
      <c r="Q290" s="5217" t="s">
        <v>2613</v>
      </c>
      <c r="R290" s="5218"/>
      <c r="S290" s="5219"/>
      <c r="T290" s="5220"/>
      <c r="U290" s="5221"/>
      <c r="V290" s="5222"/>
      <c r="W290" s="5220"/>
      <c r="X290" s="5220"/>
      <c r="Y290" s="5220"/>
      <c r="Z290" s="5223" t="s">
        <v>1948</v>
      </c>
      <c r="AA290" s="5211"/>
      <c r="AB290" s="1178"/>
      <c r="AC290" s="1179"/>
      <c r="AD290" s="227" t="s">
        <v>22</v>
      </c>
      <c r="AE290" s="1027" t="str">
        <f t="shared" si="132"/>
        <v>►</v>
      </c>
      <c r="AF290" s="1028" t="str">
        <f t="shared" si="133"/>
        <v/>
      </c>
      <c r="AG290" s="1029" t="str">
        <f t="shared" si="134"/>
        <v/>
      </c>
      <c r="AH290" s="1028" t="str">
        <f t="shared" si="135"/>
        <v/>
      </c>
      <c r="AI290" s="1029" t="str">
        <f t="shared" si="136"/>
        <v/>
      </c>
      <c r="AJ290" s="1029">
        <f t="shared" si="137"/>
        <v>0</v>
      </c>
      <c r="AK290" s="1043" t="str" cm="1">
        <f t="array" ref="AK290">IF(AE290&lt;&gt;"A","",IFERROR((IFERROR(_xlfn.XLOOKUP(TRIM(SUBSTITUTE(U290,CHAR(160)," ")),$BI$15:$BI$62,$BL$15:$BL$62),IFERROR(_xlfn.XLOOKUP(TRIM(SUBSTITUTE(U290,CHAR(160)," ")),$BJ$15:$BJ$62,$BL$15:$BL$62),_xlfn.XLOOKUP(TRIM(SUBSTITUTE(U290,CHAR(160)," ")),$BK$15:$BK$62,$BL$15:$BL$62))))*T290*IF(ISBLANK(Q290),1,Q290)+IFERROR(_xlfn.XLOOKUP("RECHERCHEX",TRIM(L290:AC290),L290:AC290),0),0))</f>
        <v/>
      </c>
      <c r="AL290" s="1030">
        <f t="shared" si="138"/>
        <v>0</v>
      </c>
      <c r="AM290" s="5254" t="str">
        <f t="shared" si="153"/>
        <v/>
      </c>
      <c r="AN290" s="1031">
        <f t="shared" si="139"/>
        <v>0</v>
      </c>
      <c r="AO290" s="1031">
        <f t="shared" si="140"/>
        <v>0</v>
      </c>
      <c r="AP290" s="1032">
        <f t="shared" si="141"/>
        <v>0</v>
      </c>
      <c r="AQ290" s="5255" t="str">
        <f t="shared" si="142"/>
        <v/>
      </c>
      <c r="AR290" s="1056"/>
      <c r="AS290" s="1056"/>
      <c r="AT290" s="1034">
        <f t="shared" si="143"/>
        <v>0</v>
      </c>
      <c r="AU290" s="1035">
        <f t="shared" si="144"/>
        <v>0</v>
      </c>
      <c r="AV290" s="1057" cm="1">
        <f t="array" ref="AV290">IF(AJ290&lt;&gt;1,0,IF(OR(AT290="",N(AT290)&lt;=0.000000001),"",IF(OR(AN290="",N(AN290)&lt;=0.000000001),0,IF(ISNUMBER(AT290),IFERROR(_xlfn.LET(_xlpm.ai_test,TRIM(AI290),_xlpm.r,IFERROR(_xlfn.XLOOKUP(_xlpm.ai_test,$BI$15:$BI$62,ROW($BI$15:$BI$62),0,1),IFERROR(_xlfn.XLOOKUP(_xlpm.ai_test,$BJ$15:$BJ$62,ROW($BJ$15:$BJ$62),0,1),_xlfn.XLOOKUP(_xlpm.ai_test,$BK$15:$BK$62,ROW($BK$15:$BK$62),0,1))),_xlpm.p,_xlpm.r-MIN(ROW($BI$15:$BI$62))+1,_xlpm.f,INDEX($BL$15:$BL$62,_xlpm.p),_xlpm.u,INDEX($BM$15:$BM$62,_xlpm.p),_xlpm.s,INDEX($BO$15:$BO$62,_xlpm.p),_xlpm.q,N(AT290)/_xlpm.f,IF(_xlpm.q&gt;=_xlpm.s,ROUND(_xlpm.q,1)&amp;" "&amp;_xlpm.ai_test&amp;" = "&amp;ROUND(_xlpm.q*_xlpm.f,1)&amp;" "&amp;_xlpm.u,ROUND(_xlpm.q,1)&amp;" "&amp;_xlpm.ai_test)),""),""))))</f>
        <v>0</v>
      </c>
      <c r="AW290" s="1047"/>
      <c r="AX290" s="1034">
        <f t="shared" si="145"/>
        <v>0</v>
      </c>
      <c r="AY290" s="1035" t="str">
        <f t="shared" si="146"/>
        <v/>
      </c>
      <c r="AZ290" s="1036">
        <f t="shared" si="151"/>
        <v>0</v>
      </c>
      <c r="BA290" s="1037" t="str">
        <f t="shared" si="147"/>
        <v/>
      </c>
      <c r="BB290" s="1038"/>
      <c r="BC290" s="1039">
        <f t="shared" si="152"/>
        <v>0</v>
      </c>
      <c r="BD290" s="1040" t="str">
        <f t="shared" si="148"/>
        <v/>
      </c>
      <c r="BE290" s="227" t="s">
        <v>22</v>
      </c>
      <c r="BF290" s="1019">
        <f t="shared" si="149"/>
        <v>0</v>
      </c>
      <c r="BG290" s="1020">
        <f t="shared" si="150"/>
        <v>0</v>
      </c>
      <c r="BH290"/>
      <c r="BI290" s="709"/>
      <c r="BJ290" s="709"/>
      <c r="BK290" s="709"/>
      <c r="BL290" s="709"/>
      <c r="BM290" s="709"/>
      <c r="BN290" s="709"/>
      <c r="BO290" s="709"/>
      <c r="BP290" s="709"/>
      <c r="BQ290"/>
      <c r="BR290"/>
      <c r="BS290"/>
      <c r="BT290"/>
      <c r="BU290"/>
      <c r="BV290"/>
      <c r="BW290" s="959" t="str">
        <f t="shared" si="130"/>
        <v>►</v>
      </c>
      <c r="BX290"/>
      <c r="BY290"/>
      <c r="BZ290"/>
      <c r="CA290"/>
      <c r="CB290"/>
      <c r="CD290"/>
      <c r="CE290"/>
      <c r="CF290"/>
      <c r="CG290"/>
      <c r="CH290"/>
      <c r="CI290"/>
      <c r="CJ290"/>
      <c r="CK290" s="227"/>
      <c r="CL290"/>
      <c r="CM290"/>
      <c r="CN290"/>
      <c r="CO290"/>
      <c r="CP290"/>
      <c r="CQ290"/>
      <c r="CR290"/>
      <c r="CS290" s="227"/>
      <c r="CT290"/>
      <c r="CU290"/>
      <c r="CV290"/>
      <c r="CW290"/>
      <c r="CX290"/>
      <c r="CY290"/>
      <c r="CZ290"/>
      <c r="DA290" s="227"/>
      <c r="DB290" s="3">
        <v>1</v>
      </c>
      <c r="DC290" s="709"/>
      <c r="DD290" s="709"/>
    </row>
    <row r="291" spans="1:108" s="856" customFormat="1" ht="21" customHeight="1">
      <c r="A291" s="936" t="s">
        <v>22</v>
      </c>
      <c r="B291" s="952" t="str">
        <f t="shared" si="129"/>
        <v>A</v>
      </c>
      <c r="C291" s="993" cm="1">
        <f t="array" ref="C291">SUMPRODUCT(LEN(D291:J291))</f>
        <v>0</v>
      </c>
      <c r="D291" s="167"/>
      <c r="E291" s="172"/>
      <c r="F291" s="172"/>
      <c r="G291" s="172"/>
      <c r="H291" s="172"/>
      <c r="I291" s="172"/>
      <c r="J291" s="173"/>
      <c r="K291" s="442"/>
      <c r="L291" s="22" t="s">
        <v>11</v>
      </c>
      <c r="M291" s="23" t="str">
        <f>M297</f>
        <v>É ÉPICES POUR BOUDIN | |  Author &gt; Guy KRENZE - Eric GODDYN - Arnaud NICOLAS - CEPROC 2002</v>
      </c>
      <c r="N291" s="24">
        <f>N297</f>
        <v>408</v>
      </c>
      <c r="O291" s="24" t="str">
        <f>O297</f>
        <v>g</v>
      </c>
      <c r="P291" s="25" t="str">
        <f>P297</f>
        <v>Master recipe ► le Boudin en 4 déclinaisons</v>
      </c>
      <c r="Q291" s="26" t="s">
        <v>23</v>
      </c>
      <c r="R291" s="5471" t="s">
        <v>13070</v>
      </c>
      <c r="S291" s="5471"/>
      <c r="T291" s="5471"/>
      <c r="U291" s="5471"/>
      <c r="V291" s="5471"/>
      <c r="W291" s="5471"/>
      <c r="X291" s="5473" t="s">
        <v>1031</v>
      </c>
      <c r="Y291" s="5473"/>
      <c r="Z291" s="5475" t="str">
        <f>UPPER(LEFT(R291,1))</f>
        <v>É</v>
      </c>
      <c r="AA291" s="5211"/>
      <c r="AB291" s="1178"/>
      <c r="AC291" s="1179"/>
      <c r="AD291" s="227" t="s">
        <v>22</v>
      </c>
      <c r="AE291" s="1027" t="str">
        <f t="shared" si="132"/>
        <v>►</v>
      </c>
      <c r="AF291" s="1028" t="str">
        <f t="shared" si="133"/>
        <v/>
      </c>
      <c r="AG291" s="1029" t="str">
        <f t="shared" si="134"/>
        <v/>
      </c>
      <c r="AH291" s="1028" t="str">
        <f t="shared" si="135"/>
        <v/>
      </c>
      <c r="AI291" s="1029" t="str">
        <f t="shared" si="136"/>
        <v/>
      </c>
      <c r="AJ291" s="1029">
        <f t="shared" si="137"/>
        <v>0</v>
      </c>
      <c r="AK291" s="1043" t="str" cm="1">
        <f t="array" ref="AK291">IF(AE291&lt;&gt;"A","",IFERROR((IFERROR(_xlfn.XLOOKUP(TRIM(SUBSTITUTE(U291,CHAR(160)," ")),$BI$15:$BI$62,$BL$15:$BL$62),IFERROR(_xlfn.XLOOKUP(TRIM(SUBSTITUTE(U291,CHAR(160)," ")),$BJ$15:$BJ$62,$BL$15:$BL$62),_xlfn.XLOOKUP(TRIM(SUBSTITUTE(U291,CHAR(160)," ")),$BK$15:$BK$62,$BL$15:$BL$62))))*T291*IF(ISBLANK(Q291),1,Q291)+IFERROR(_xlfn.XLOOKUP("RECHERCHEX",TRIM(L291:AC291),L291:AC291),0),0))</f>
        <v/>
      </c>
      <c r="AL291" s="1030">
        <f t="shared" si="138"/>
        <v>0</v>
      </c>
      <c r="AM291" s="5254" t="str">
        <f t="shared" si="153"/>
        <v/>
      </c>
      <c r="AN291" s="1031">
        <f t="shared" si="139"/>
        <v>0</v>
      </c>
      <c r="AO291" s="1031">
        <f t="shared" si="140"/>
        <v>0</v>
      </c>
      <c r="AP291" s="1044">
        <f t="shared" si="141"/>
        <v>0</v>
      </c>
      <c r="AQ291" s="5257" t="str">
        <f t="shared" si="142"/>
        <v/>
      </c>
      <c r="AR291" s="1056"/>
      <c r="AS291" s="1056"/>
      <c r="AT291" s="1045">
        <f t="shared" si="143"/>
        <v>0</v>
      </c>
      <c r="AU291" s="1046">
        <f t="shared" si="144"/>
        <v>0</v>
      </c>
      <c r="AV291" s="1059" cm="1">
        <f t="array" ref="AV291">IF(AJ291&lt;&gt;1,0,IF(OR(AT291="",N(AT291)&lt;=0.000000001),"",IF(OR(AN291="",N(AN291)&lt;=0.000000001),0,IF(ISNUMBER(AT291),IFERROR(_xlfn.LET(_xlpm.ai_test,TRIM(AI291),_xlpm.r,IFERROR(_xlfn.XLOOKUP(_xlpm.ai_test,$BI$15:$BI$62,ROW($BI$15:$BI$62),0,1),IFERROR(_xlfn.XLOOKUP(_xlpm.ai_test,$BJ$15:$BJ$62,ROW($BJ$15:$BJ$62),0,1),_xlfn.XLOOKUP(_xlpm.ai_test,$BK$15:$BK$62,ROW($BK$15:$BK$62),0,1))),_xlpm.p,_xlpm.r-MIN(ROW($BI$15:$BI$62))+1,_xlpm.f,INDEX($BL$15:$BL$62,_xlpm.p),_xlpm.u,INDEX($BM$15:$BM$62,_xlpm.p),_xlpm.s,INDEX($BO$15:$BO$62,_xlpm.p),_xlpm.q,N(AT291)/_xlpm.f,IF(_xlpm.q&gt;=_xlpm.s,ROUND(_xlpm.q,1)&amp;" "&amp;_xlpm.ai_test&amp;" = "&amp;ROUND(_xlpm.q*_xlpm.f,1)&amp;" "&amp;_xlpm.u,ROUND(_xlpm.q,1)&amp;" "&amp;_xlpm.ai_test)),""),""))))</f>
        <v>0</v>
      </c>
      <c r="AW291" s="1047"/>
      <c r="AX291" s="1045">
        <f t="shared" si="145"/>
        <v>0</v>
      </c>
      <c r="AY291" s="1046" t="str">
        <f t="shared" si="146"/>
        <v/>
      </c>
      <c r="AZ291" s="1048">
        <f t="shared" si="151"/>
        <v>0</v>
      </c>
      <c r="BA291" s="1049" t="str">
        <f t="shared" si="147"/>
        <v/>
      </c>
      <c r="BB291" s="1038"/>
      <c r="BC291" s="1050">
        <f t="shared" si="152"/>
        <v>0</v>
      </c>
      <c r="BD291" s="1040" t="str">
        <f t="shared" si="148"/>
        <v/>
      </c>
      <c r="BE291" s="227" t="s">
        <v>22</v>
      </c>
      <c r="BF291" s="1019">
        <f t="shared" si="149"/>
        <v>0</v>
      </c>
      <c r="BG291" s="1020">
        <f t="shared" si="150"/>
        <v>0</v>
      </c>
      <c r="BH291"/>
      <c r="BI291" s="709"/>
      <c r="BJ291" s="709"/>
      <c r="BK291" s="709"/>
      <c r="BL291" s="709"/>
      <c r="BM291" s="709"/>
      <c r="BN291" s="709"/>
      <c r="BO291" s="709"/>
      <c r="BP291" s="709"/>
      <c r="BQ291"/>
      <c r="BR291"/>
      <c r="BS291"/>
      <c r="BT291"/>
      <c r="BU291"/>
      <c r="BV291"/>
      <c r="BW291" s="959" t="str">
        <f t="shared" si="130"/>
        <v>►</v>
      </c>
      <c r="BX291"/>
      <c r="BY291"/>
      <c r="BZ291"/>
      <c r="CA291"/>
      <c r="CB291"/>
      <c r="CD291"/>
      <c r="CE291"/>
      <c r="CF291"/>
      <c r="CG291"/>
      <c r="CH291"/>
      <c r="CI291"/>
      <c r="CJ291"/>
      <c r="CL291"/>
      <c r="CM291"/>
      <c r="CN291"/>
      <c r="CO291"/>
      <c r="CP291"/>
      <c r="CQ291"/>
      <c r="CR291"/>
      <c r="CT291"/>
      <c r="CU291"/>
      <c r="CV291"/>
      <c r="CW291"/>
      <c r="CX291"/>
      <c r="CY291"/>
      <c r="CZ291"/>
      <c r="DB291" s="3">
        <v>1</v>
      </c>
      <c r="DC291" s="709"/>
      <c r="DD291" s="709"/>
    </row>
    <row r="292" spans="1:108" s="856" customFormat="1" ht="21" customHeight="1">
      <c r="A292" s="936" t="s">
        <v>22</v>
      </c>
      <c r="B292" s="952" t="str">
        <f t="shared" si="129"/>
        <v>A</v>
      </c>
      <c r="C292" s="993" cm="1">
        <f t="array" ref="C292">SUMPRODUCT(LEN(D292:J292))</f>
        <v>0</v>
      </c>
      <c r="D292" s="167"/>
      <c r="E292" s="172"/>
      <c r="F292" s="172"/>
      <c r="G292" s="172"/>
      <c r="H292" s="172"/>
      <c r="I292" s="172"/>
      <c r="J292" s="173"/>
      <c r="K292" s="442"/>
      <c r="L292" s="27" t="s">
        <v>11</v>
      </c>
      <c r="M292" s="28" t="str">
        <f>M297</f>
        <v>É ÉPICES POUR BOUDIN | |  Author &gt; Guy KRENZE - Eric GODDYN - Arnaud NICOLAS - CEPROC 2002</v>
      </c>
      <c r="N292" s="29">
        <f>N297</f>
        <v>408</v>
      </c>
      <c r="O292" s="29" t="str">
        <f>O297</f>
        <v>g</v>
      </c>
      <c r="P292" s="30" t="str">
        <f>P297</f>
        <v>Master recipe ► le Boudin en 4 déclinaisons</v>
      </c>
      <c r="Q292" s="31" t="s">
        <v>29</v>
      </c>
      <c r="R292" s="5472"/>
      <c r="S292" s="5472"/>
      <c r="T292" s="5472"/>
      <c r="U292" s="5472"/>
      <c r="V292" s="5472"/>
      <c r="W292" s="5472"/>
      <c r="X292" s="5474"/>
      <c r="Y292" s="5474"/>
      <c r="Z292" s="5476"/>
      <c r="AA292" s="5211"/>
      <c r="AB292" s="1178"/>
      <c r="AC292" s="1179"/>
      <c r="AD292" s="227" t="s">
        <v>22</v>
      </c>
      <c r="AE292" s="1027" t="str">
        <f t="shared" si="132"/>
        <v>►</v>
      </c>
      <c r="AF292" s="1028" t="str">
        <f t="shared" si="133"/>
        <v/>
      </c>
      <c r="AG292" s="1029" t="str">
        <f t="shared" si="134"/>
        <v/>
      </c>
      <c r="AH292" s="1028" t="str">
        <f t="shared" si="135"/>
        <v/>
      </c>
      <c r="AI292" s="1029" t="str">
        <f t="shared" si="136"/>
        <v/>
      </c>
      <c r="AJ292" s="1029">
        <f t="shared" si="137"/>
        <v>0</v>
      </c>
      <c r="AK292" s="1043" t="str" cm="1">
        <f t="array" ref="AK292">IF(AE292&lt;&gt;"A","",IFERROR((IFERROR(_xlfn.XLOOKUP(TRIM(SUBSTITUTE(U292,CHAR(160)," ")),$BI$15:$BI$62,$BL$15:$BL$62),IFERROR(_xlfn.XLOOKUP(TRIM(SUBSTITUTE(U292,CHAR(160)," ")),$BJ$15:$BJ$62,$BL$15:$BL$62),_xlfn.XLOOKUP(TRIM(SUBSTITUTE(U292,CHAR(160)," ")),$BK$15:$BK$62,$BL$15:$BL$62))))*T292*IF(ISBLANK(Q292),1,Q292)+IFERROR(_xlfn.XLOOKUP("RECHERCHEX",TRIM(L292:AC292),L292:AC292),0),0))</f>
        <v/>
      </c>
      <c r="AL292" s="1030">
        <f t="shared" si="138"/>
        <v>0</v>
      </c>
      <c r="AM292" s="5254" t="str">
        <f t="shared" si="153"/>
        <v/>
      </c>
      <c r="AN292" s="1031">
        <f t="shared" si="139"/>
        <v>0</v>
      </c>
      <c r="AO292" s="1031">
        <f t="shared" si="140"/>
        <v>0</v>
      </c>
      <c r="AP292" s="1032">
        <f t="shared" si="141"/>
        <v>0</v>
      </c>
      <c r="AQ292" s="5255" t="str">
        <f t="shared" si="142"/>
        <v/>
      </c>
      <c r="AR292" s="1056"/>
      <c r="AS292" s="1056"/>
      <c r="AT292" s="1034">
        <f t="shared" si="143"/>
        <v>0</v>
      </c>
      <c r="AU292" s="1035">
        <f t="shared" si="144"/>
        <v>0</v>
      </c>
      <c r="AV292" s="1057" cm="1">
        <f t="array" ref="AV292">IF(AJ292&lt;&gt;1,0,IF(OR(AT292="",N(AT292)&lt;=0.000000001),"",IF(OR(AN292="",N(AN292)&lt;=0.000000001),0,IF(ISNUMBER(AT292),IFERROR(_xlfn.LET(_xlpm.ai_test,TRIM(AI292),_xlpm.r,IFERROR(_xlfn.XLOOKUP(_xlpm.ai_test,$BI$15:$BI$62,ROW($BI$15:$BI$62),0,1),IFERROR(_xlfn.XLOOKUP(_xlpm.ai_test,$BJ$15:$BJ$62,ROW($BJ$15:$BJ$62),0,1),_xlfn.XLOOKUP(_xlpm.ai_test,$BK$15:$BK$62,ROW($BK$15:$BK$62),0,1))),_xlpm.p,_xlpm.r-MIN(ROW($BI$15:$BI$62))+1,_xlpm.f,INDEX($BL$15:$BL$62,_xlpm.p),_xlpm.u,INDEX($BM$15:$BM$62,_xlpm.p),_xlpm.s,INDEX($BO$15:$BO$62,_xlpm.p),_xlpm.q,N(AT292)/_xlpm.f,IF(_xlpm.q&gt;=_xlpm.s,ROUND(_xlpm.q,1)&amp;" "&amp;_xlpm.ai_test&amp;" = "&amp;ROUND(_xlpm.q*_xlpm.f,1)&amp;" "&amp;_xlpm.u,ROUND(_xlpm.q,1)&amp;" "&amp;_xlpm.ai_test)),""),""))))</f>
        <v>0</v>
      </c>
      <c r="AW292" s="1047"/>
      <c r="AX292" s="1034">
        <f t="shared" si="145"/>
        <v>0</v>
      </c>
      <c r="AY292" s="1035" t="str">
        <f t="shared" si="146"/>
        <v/>
      </c>
      <c r="AZ292" s="1036">
        <f t="shared" si="151"/>
        <v>0</v>
      </c>
      <c r="BA292" s="1037" t="str">
        <f t="shared" si="147"/>
        <v/>
      </c>
      <c r="BB292" s="1038"/>
      <c r="BC292" s="1039">
        <f t="shared" si="152"/>
        <v>0</v>
      </c>
      <c r="BD292" s="1040" t="str">
        <f t="shared" si="148"/>
        <v/>
      </c>
      <c r="BE292" s="227" t="s">
        <v>22</v>
      </c>
      <c r="BF292" s="1019">
        <f t="shared" si="149"/>
        <v>0</v>
      </c>
      <c r="BG292" s="1020">
        <f t="shared" si="150"/>
        <v>0</v>
      </c>
      <c r="BH292"/>
      <c r="BI292" s="709"/>
      <c r="BJ292" s="709"/>
      <c r="BK292" s="709"/>
      <c r="BL292" s="709"/>
      <c r="BM292" s="709"/>
      <c r="BN292" s="709"/>
      <c r="BO292" s="709"/>
      <c r="BP292" s="709"/>
      <c r="BQ292"/>
      <c r="BR292"/>
      <c r="BS292"/>
      <c r="BT292"/>
      <c r="BU292"/>
      <c r="BV292"/>
      <c r="BW292" s="959" t="str">
        <f t="shared" si="130"/>
        <v>►</v>
      </c>
      <c r="BX292"/>
      <c r="BY292"/>
      <c r="BZ292"/>
      <c r="CA292"/>
      <c r="CB292"/>
      <c r="CD292"/>
      <c r="CE292"/>
      <c r="CF292"/>
      <c r="CG292"/>
      <c r="CH292"/>
      <c r="CI292"/>
      <c r="CJ292"/>
      <c r="CL292"/>
      <c r="CM292"/>
      <c r="CN292"/>
      <c r="CO292"/>
      <c r="CP292"/>
      <c r="CQ292"/>
      <c r="CR292"/>
      <c r="CT292"/>
      <c r="CU292"/>
      <c r="CV292"/>
      <c r="CW292"/>
      <c r="CX292"/>
      <c r="CY292"/>
      <c r="CZ292"/>
      <c r="DB292" s="3">
        <v>1</v>
      </c>
      <c r="DC292" s="709"/>
      <c r="DD292" s="709"/>
    </row>
    <row r="293" spans="1:108" s="856" customFormat="1" ht="21" customHeight="1">
      <c r="A293" s="936" t="s">
        <v>22</v>
      </c>
      <c r="B293" s="952" t="str">
        <f t="shared" si="129"/>
        <v>A</v>
      </c>
      <c r="C293" s="993" cm="1">
        <f t="array" ref="C293">SUMPRODUCT(LEN(D293:J293))</f>
        <v>0</v>
      </c>
      <c r="D293" s="167"/>
      <c r="E293" s="172"/>
      <c r="F293" s="172"/>
      <c r="G293" s="172"/>
      <c r="H293" s="172"/>
      <c r="I293" s="172"/>
      <c r="J293" s="173"/>
      <c r="K293" s="442"/>
      <c r="L293" s="27" t="s">
        <v>11</v>
      </c>
      <c r="M293" s="5310" t="str">
        <f>M297</f>
        <v>É ÉPICES POUR BOUDIN | |  Author &gt; Guy KRENZE - Eric GODDYN - Arnaud NICOLAS - CEPROC 2002</v>
      </c>
      <c r="N293" s="5310">
        <f>N297</f>
        <v>408</v>
      </c>
      <c r="O293" s="5311" t="str">
        <f>O297</f>
        <v>g</v>
      </c>
      <c r="P293" s="5312" t="str">
        <f>P297</f>
        <v>Master recipe ► le Boudin en 4 déclinaisons</v>
      </c>
      <c r="Q293" s="5313"/>
      <c r="R293" s="5314" t="s">
        <v>30</v>
      </c>
      <c r="S293" s="37"/>
      <c r="T293" s="38" t="s">
        <v>889</v>
      </c>
      <c r="U293" s="39" t="s">
        <v>12835</v>
      </c>
      <c r="V293" s="9"/>
      <c r="W293" s="39"/>
      <c r="X293" s="39"/>
      <c r="Y293" s="40"/>
      <c r="Z293" s="41"/>
      <c r="AA293" s="5211"/>
      <c r="AB293" s="1178"/>
      <c r="AC293" s="1179"/>
      <c r="AD293" s="227" t="s">
        <v>22</v>
      </c>
      <c r="AE293" s="1027" t="str">
        <f t="shared" si="132"/>
        <v>►</v>
      </c>
      <c r="AF293" s="1028" t="str">
        <f t="shared" si="133"/>
        <v/>
      </c>
      <c r="AG293" s="1029" t="str">
        <f t="shared" si="134"/>
        <v/>
      </c>
      <c r="AH293" s="1028" t="str">
        <f t="shared" si="135"/>
        <v/>
      </c>
      <c r="AI293" s="1029" t="str">
        <f t="shared" si="136"/>
        <v/>
      </c>
      <c r="AJ293" s="1029">
        <f t="shared" si="137"/>
        <v>0</v>
      </c>
      <c r="AK293" s="1043" t="str" cm="1">
        <f t="array" ref="AK293">IF(AE293&lt;&gt;"A","",IFERROR((IFERROR(_xlfn.XLOOKUP(TRIM(SUBSTITUTE(U293,CHAR(160)," ")),$BI$15:$BI$62,$BL$15:$BL$62),IFERROR(_xlfn.XLOOKUP(TRIM(SUBSTITUTE(U293,CHAR(160)," ")),$BJ$15:$BJ$62,$BL$15:$BL$62),_xlfn.XLOOKUP(TRIM(SUBSTITUTE(U293,CHAR(160)," ")),$BK$15:$BK$62,$BL$15:$BL$62))))*T293*IF(ISBLANK(Q293),1,Q293)+IFERROR(_xlfn.XLOOKUP("RECHERCHEX",TRIM(L293:AC293),L293:AC293),0),0))</f>
        <v/>
      </c>
      <c r="AL293" s="1030">
        <f t="shared" si="138"/>
        <v>0</v>
      </c>
      <c r="AM293" s="5254" t="str">
        <f t="shared" si="153"/>
        <v/>
      </c>
      <c r="AN293" s="1031">
        <f t="shared" si="139"/>
        <v>0</v>
      </c>
      <c r="AO293" s="1031">
        <f t="shared" si="140"/>
        <v>0</v>
      </c>
      <c r="AP293" s="1044">
        <f t="shared" si="141"/>
        <v>0</v>
      </c>
      <c r="AQ293" s="5257" t="str">
        <f t="shared" si="142"/>
        <v/>
      </c>
      <c r="AR293" s="1056"/>
      <c r="AS293" s="1056"/>
      <c r="AT293" s="1045">
        <f t="shared" si="143"/>
        <v>0</v>
      </c>
      <c r="AU293" s="1046">
        <f t="shared" si="144"/>
        <v>0</v>
      </c>
      <c r="AV293" s="1059" cm="1">
        <f t="array" ref="AV293">IF(AJ293&lt;&gt;1,0,IF(OR(AT293="",N(AT293)&lt;=0.000000001),"",IF(OR(AN293="",N(AN293)&lt;=0.000000001),0,IF(ISNUMBER(AT293),IFERROR(_xlfn.LET(_xlpm.ai_test,TRIM(AI293),_xlpm.r,IFERROR(_xlfn.XLOOKUP(_xlpm.ai_test,$BI$15:$BI$62,ROW($BI$15:$BI$62),0,1),IFERROR(_xlfn.XLOOKUP(_xlpm.ai_test,$BJ$15:$BJ$62,ROW($BJ$15:$BJ$62),0,1),_xlfn.XLOOKUP(_xlpm.ai_test,$BK$15:$BK$62,ROW($BK$15:$BK$62),0,1))),_xlpm.p,_xlpm.r-MIN(ROW($BI$15:$BI$62))+1,_xlpm.f,INDEX($BL$15:$BL$62,_xlpm.p),_xlpm.u,INDEX($BM$15:$BM$62,_xlpm.p),_xlpm.s,INDEX($BO$15:$BO$62,_xlpm.p),_xlpm.q,N(AT293)/_xlpm.f,IF(_xlpm.q&gt;=_xlpm.s,ROUND(_xlpm.q,1)&amp;" "&amp;_xlpm.ai_test&amp;" = "&amp;ROUND(_xlpm.q*_xlpm.f,1)&amp;" "&amp;_xlpm.u,ROUND(_xlpm.q,1)&amp;" "&amp;_xlpm.ai_test)),""),""))))</f>
        <v>0</v>
      </c>
      <c r="AW293" s="1047"/>
      <c r="AX293" s="1045">
        <f t="shared" si="145"/>
        <v>0</v>
      </c>
      <c r="AY293" s="1046" t="str">
        <f t="shared" si="146"/>
        <v/>
      </c>
      <c r="AZ293" s="1048">
        <f t="shared" si="151"/>
        <v>0</v>
      </c>
      <c r="BA293" s="1049" t="str">
        <f t="shared" si="147"/>
        <v/>
      </c>
      <c r="BB293" s="1038"/>
      <c r="BC293" s="1050">
        <f t="shared" si="152"/>
        <v>0</v>
      </c>
      <c r="BD293" s="1040" t="str">
        <f t="shared" si="148"/>
        <v/>
      </c>
      <c r="BE293" s="227" t="s">
        <v>22</v>
      </c>
      <c r="BF293" s="1019">
        <f t="shared" si="149"/>
        <v>0</v>
      </c>
      <c r="BG293" s="1020">
        <f t="shared" si="150"/>
        <v>0</v>
      </c>
      <c r="BH293"/>
      <c r="BI293" s="709"/>
      <c r="BJ293" s="709"/>
      <c r="BK293" s="709"/>
      <c r="BL293" s="709"/>
      <c r="BM293" s="709"/>
      <c r="BN293" s="709"/>
      <c r="BO293" s="709"/>
      <c r="BP293" s="709"/>
      <c r="BQ293"/>
      <c r="BR293"/>
      <c r="BS293"/>
      <c r="BT293"/>
      <c r="BU293"/>
      <c r="BV293"/>
      <c r="BW293" s="959" t="str">
        <f t="shared" si="130"/>
        <v>►</v>
      </c>
      <c r="BX293"/>
      <c r="BY293"/>
      <c r="BZ293"/>
      <c r="CA293"/>
      <c r="CB293"/>
      <c r="CD293"/>
      <c r="CE293"/>
      <c r="CF293"/>
      <c r="CG293"/>
      <c r="CH293"/>
      <c r="CI293"/>
      <c r="CJ293"/>
      <c r="CL293"/>
      <c r="CM293"/>
      <c r="CN293"/>
      <c r="CO293"/>
      <c r="CP293"/>
      <c r="CQ293"/>
      <c r="CR293"/>
      <c r="CT293"/>
      <c r="CU293"/>
      <c r="CV293"/>
      <c r="CW293"/>
      <c r="CX293"/>
      <c r="CY293"/>
      <c r="CZ293"/>
      <c r="DB293" s="3">
        <v>1</v>
      </c>
      <c r="DC293" s="709"/>
      <c r="DD293" s="709"/>
    </row>
    <row r="294" spans="1:108" s="856" customFormat="1" ht="21" customHeight="1">
      <c r="A294" s="936" t="s">
        <v>22</v>
      </c>
      <c r="B294" s="952" t="str">
        <f t="shared" si="129"/>
        <v>A</v>
      </c>
      <c r="C294" s="993" cm="1">
        <f t="array" ref="C294">SUMPRODUCT(LEN(D294:J294))</f>
        <v>0</v>
      </c>
      <c r="D294" s="167"/>
      <c r="E294" s="172"/>
      <c r="F294" s="172"/>
      <c r="G294" s="172"/>
      <c r="H294" s="172"/>
      <c r="I294" s="172"/>
      <c r="J294" s="173"/>
      <c r="K294" s="442"/>
      <c r="L294" s="27" t="s">
        <v>11</v>
      </c>
      <c r="M294" s="32" t="str">
        <f>M297</f>
        <v>É ÉPICES POUR BOUDIN | |  Author &gt; Guy KRENZE - Eric GODDYN - Arnaud NICOLAS - CEPROC 2002</v>
      </c>
      <c r="N294" s="33">
        <f>N297</f>
        <v>408</v>
      </c>
      <c r="O294" s="33" t="str">
        <f>O297</f>
        <v>g</v>
      </c>
      <c r="P294" s="34" t="str">
        <f>P297</f>
        <v>Master recipe ► le Boudin en 4 déclinaisons</v>
      </c>
      <c r="Q294" s="42" t="s">
        <v>137</v>
      </c>
      <c r="R294" s="43"/>
      <c r="S294" s="43"/>
      <c r="T294" s="44" t="s">
        <v>33</v>
      </c>
      <c r="U294" s="5477" t="str">
        <f>V297&amp;" "&amp;W297&amp;" ► Famille = "&amp;X291&amp;" ► "&amp;R291&amp;" "&amp; "pour "&amp;X295&amp;" "&amp;Y295</f>
        <v>Master recipe ► le Boudin en 4 déclinaisons ► Famille =  charcuterie-BOUDIN-NOIR ► ÉPICES POUR BOUDIN pour 100 g</v>
      </c>
      <c r="V294" s="5477"/>
      <c r="W294" s="5477"/>
      <c r="X294" s="5039" t="s">
        <v>3324</v>
      </c>
      <c r="Y294" s="40"/>
      <c r="Z294" s="1472"/>
      <c r="AA294" s="5211"/>
      <c r="AB294" s="1178"/>
      <c r="AC294" s="1179"/>
      <c r="AD294" s="227" t="s">
        <v>22</v>
      </c>
      <c r="AE294" s="1027" t="str">
        <f t="shared" si="132"/>
        <v>►</v>
      </c>
      <c r="AF294" s="1028" t="str">
        <f t="shared" si="133"/>
        <v/>
      </c>
      <c r="AG294" s="1029" t="str">
        <f t="shared" si="134"/>
        <v/>
      </c>
      <c r="AH294" s="1028" t="str">
        <f t="shared" si="135"/>
        <v/>
      </c>
      <c r="AI294" s="1029" t="str">
        <f t="shared" si="136"/>
        <v/>
      </c>
      <c r="AJ294" s="1029">
        <f t="shared" si="137"/>
        <v>0</v>
      </c>
      <c r="AK294" s="1043" t="str" cm="1">
        <f t="array" ref="AK294">IF(AE294&lt;&gt;"A","",IFERROR((IFERROR(_xlfn.XLOOKUP(TRIM(SUBSTITUTE(U294,CHAR(160)," ")),$BI$15:$BI$62,$BL$15:$BL$62),IFERROR(_xlfn.XLOOKUP(TRIM(SUBSTITUTE(U294,CHAR(160)," ")),$BJ$15:$BJ$62,$BL$15:$BL$62),_xlfn.XLOOKUP(TRIM(SUBSTITUTE(U294,CHAR(160)," ")),$BK$15:$BK$62,$BL$15:$BL$62))))*T294*IF(ISBLANK(Q294),1,Q294)+IFERROR(_xlfn.XLOOKUP("RECHERCHEX",TRIM(L294:AC294),L294:AC294),0),0))</f>
        <v/>
      </c>
      <c r="AL294" s="1030">
        <f t="shared" si="138"/>
        <v>0</v>
      </c>
      <c r="AM294" s="5254" t="str">
        <f t="shared" si="153"/>
        <v/>
      </c>
      <c r="AN294" s="1031">
        <f t="shared" si="139"/>
        <v>0</v>
      </c>
      <c r="AO294" s="1031">
        <f t="shared" si="140"/>
        <v>0</v>
      </c>
      <c r="AP294" s="1032">
        <f t="shared" si="141"/>
        <v>0</v>
      </c>
      <c r="AQ294" s="5255" t="str">
        <f t="shared" si="142"/>
        <v/>
      </c>
      <c r="AR294" s="1056"/>
      <c r="AS294" s="1056"/>
      <c r="AT294" s="1034">
        <f t="shared" si="143"/>
        <v>0</v>
      </c>
      <c r="AU294" s="1035">
        <f t="shared" si="144"/>
        <v>0</v>
      </c>
      <c r="AV294" s="1057" cm="1">
        <f t="array" ref="AV294">IF(AJ294&lt;&gt;1,0,IF(OR(AT294="",N(AT294)&lt;=0.000000001),"",IF(OR(AN294="",N(AN294)&lt;=0.000000001),0,IF(ISNUMBER(AT294),IFERROR(_xlfn.LET(_xlpm.ai_test,TRIM(AI294),_xlpm.r,IFERROR(_xlfn.XLOOKUP(_xlpm.ai_test,$BI$15:$BI$62,ROW($BI$15:$BI$62),0,1),IFERROR(_xlfn.XLOOKUP(_xlpm.ai_test,$BJ$15:$BJ$62,ROW($BJ$15:$BJ$62),0,1),_xlfn.XLOOKUP(_xlpm.ai_test,$BK$15:$BK$62,ROW($BK$15:$BK$62),0,1))),_xlpm.p,_xlpm.r-MIN(ROW($BI$15:$BI$62))+1,_xlpm.f,INDEX($BL$15:$BL$62,_xlpm.p),_xlpm.u,INDEX($BM$15:$BM$62,_xlpm.p),_xlpm.s,INDEX($BO$15:$BO$62,_xlpm.p),_xlpm.q,N(AT294)/_xlpm.f,IF(_xlpm.q&gt;=_xlpm.s,ROUND(_xlpm.q,1)&amp;" "&amp;_xlpm.ai_test&amp;" = "&amp;ROUND(_xlpm.q*_xlpm.f,1)&amp;" "&amp;_xlpm.u,ROUND(_xlpm.q,1)&amp;" "&amp;_xlpm.ai_test)),""),""))))</f>
        <v>0</v>
      </c>
      <c r="AW294" s="1047"/>
      <c r="AX294" s="1034">
        <f t="shared" si="145"/>
        <v>0</v>
      </c>
      <c r="AY294" s="1035" t="str">
        <f t="shared" si="146"/>
        <v/>
      </c>
      <c r="AZ294" s="1036">
        <f t="shared" si="151"/>
        <v>0</v>
      </c>
      <c r="BA294" s="1037" t="str">
        <f t="shared" si="147"/>
        <v/>
      </c>
      <c r="BB294" s="1038"/>
      <c r="BC294" s="1039">
        <f t="shared" si="152"/>
        <v>0</v>
      </c>
      <c r="BD294" s="1040" t="str">
        <f t="shared" si="148"/>
        <v/>
      </c>
      <c r="BE294" s="227" t="s">
        <v>22</v>
      </c>
      <c r="BF294" s="1019">
        <f t="shared" si="149"/>
        <v>0</v>
      </c>
      <c r="BG294" s="1020">
        <f t="shared" si="150"/>
        <v>0</v>
      </c>
      <c r="BH294"/>
      <c r="BI294" s="709"/>
      <c r="BJ294" s="709"/>
      <c r="BK294" s="709"/>
      <c r="BL294" s="709"/>
      <c r="BM294" s="709"/>
      <c r="BN294" s="709"/>
      <c r="BO294" s="709"/>
      <c r="BP294" s="709"/>
      <c r="BQ294"/>
      <c r="BR294"/>
      <c r="BS294"/>
      <c r="BT294"/>
      <c r="BU294"/>
      <c r="BV294"/>
      <c r="BW294" s="959" t="str">
        <f t="shared" si="130"/>
        <v>►</v>
      </c>
      <c r="BX294"/>
      <c r="BY294"/>
      <c r="BZ294"/>
      <c r="CA294"/>
      <c r="CB294"/>
      <c r="CD294"/>
      <c r="CE294"/>
      <c r="CF294"/>
      <c r="CG294"/>
      <c r="CH294"/>
      <c r="CI294"/>
      <c r="CJ294"/>
      <c r="CL294"/>
      <c r="CM294"/>
      <c r="CN294"/>
      <c r="CO294"/>
      <c r="CP294"/>
      <c r="CQ294"/>
      <c r="CR294"/>
      <c r="CT294"/>
      <c r="CU294"/>
      <c r="CV294"/>
      <c r="CW294"/>
      <c r="CX294"/>
      <c r="CY294"/>
      <c r="CZ294"/>
      <c r="DB294" s="3">
        <v>1</v>
      </c>
      <c r="DC294" s="709"/>
      <c r="DD294" s="709"/>
    </row>
    <row r="295" spans="1:108" s="856" customFormat="1" ht="21" customHeight="1">
      <c r="A295" s="936" t="s">
        <v>22</v>
      </c>
      <c r="B295" s="952" t="str">
        <f t="shared" si="129"/>
        <v>A</v>
      </c>
      <c r="C295" s="993" cm="1">
        <f t="array" ref="C295">SUMPRODUCT(LEN(D295:J295))</f>
        <v>0</v>
      </c>
      <c r="D295" s="167"/>
      <c r="E295" s="172"/>
      <c r="F295" s="172"/>
      <c r="G295" s="172"/>
      <c r="H295" s="172"/>
      <c r="I295" s="172"/>
      <c r="J295" s="173"/>
      <c r="K295" s="442"/>
      <c r="L295" s="27" t="s">
        <v>11</v>
      </c>
      <c r="M295" s="32" t="str">
        <f>M297</f>
        <v>É ÉPICES POUR BOUDIN | |  Author &gt; Guy KRENZE - Eric GODDYN - Arnaud NICOLAS - CEPROC 2002</v>
      </c>
      <c r="N295" s="33">
        <f>N297</f>
        <v>408</v>
      </c>
      <c r="O295" s="33" t="str">
        <f>O297</f>
        <v>g</v>
      </c>
      <c r="P295" s="34" t="str">
        <f>P297</f>
        <v>Master recipe ► le Boudin en 4 déclinaisons</v>
      </c>
      <c r="Q295" s="50">
        <v>408</v>
      </c>
      <c r="R295" s="51" t="s">
        <v>99</v>
      </c>
      <c r="S295" s="42"/>
      <c r="T295" s="42"/>
      <c r="U295" s="5477"/>
      <c r="V295" s="5477"/>
      <c r="W295" s="5477"/>
      <c r="X295" s="46">
        <v>100</v>
      </c>
      <c r="Y295" s="5478" t="str">
        <f>R295</f>
        <v>g</v>
      </c>
      <c r="Z295" s="5479"/>
      <c r="AA295" s="5211"/>
      <c r="AB295" s="1178"/>
      <c r="AC295" s="1179"/>
      <c r="AD295" s="227" t="s">
        <v>22</v>
      </c>
      <c r="AE295" s="1027" t="str">
        <f t="shared" si="132"/>
        <v>►</v>
      </c>
      <c r="AF295" s="1028" t="str">
        <f t="shared" si="133"/>
        <v/>
      </c>
      <c r="AG295" s="1029" t="str">
        <f t="shared" si="134"/>
        <v/>
      </c>
      <c r="AH295" s="1028" t="str">
        <f t="shared" si="135"/>
        <v/>
      </c>
      <c r="AI295" s="1029" t="str">
        <f t="shared" si="136"/>
        <v/>
      </c>
      <c r="AJ295" s="1029">
        <f t="shared" si="137"/>
        <v>0</v>
      </c>
      <c r="AK295" s="1043" t="str" cm="1">
        <f t="array" ref="AK295">IF(AE295&lt;&gt;"A","",IFERROR((IFERROR(_xlfn.XLOOKUP(TRIM(SUBSTITUTE(U295,CHAR(160)," ")),$BI$15:$BI$62,$BL$15:$BL$62),IFERROR(_xlfn.XLOOKUP(TRIM(SUBSTITUTE(U295,CHAR(160)," ")),$BJ$15:$BJ$62,$BL$15:$BL$62),_xlfn.XLOOKUP(TRIM(SUBSTITUTE(U295,CHAR(160)," ")),$BK$15:$BK$62,$BL$15:$BL$62))))*T295*IF(ISBLANK(Q295),1,Q295)+IFERROR(_xlfn.XLOOKUP("RECHERCHEX",TRIM(L295:AC295),L295:AC295),0),0))</f>
        <v/>
      </c>
      <c r="AL295" s="1030">
        <f t="shared" si="138"/>
        <v>0</v>
      </c>
      <c r="AM295" s="5254" t="str">
        <f t="shared" si="153"/>
        <v/>
      </c>
      <c r="AN295" s="1031">
        <f t="shared" si="139"/>
        <v>0</v>
      </c>
      <c r="AO295" s="1031">
        <f t="shared" si="140"/>
        <v>0</v>
      </c>
      <c r="AP295" s="1044">
        <f t="shared" si="141"/>
        <v>0</v>
      </c>
      <c r="AQ295" s="5257" t="str">
        <f t="shared" si="142"/>
        <v/>
      </c>
      <c r="AR295" s="1056"/>
      <c r="AS295" s="1056"/>
      <c r="AT295" s="1045">
        <f t="shared" si="143"/>
        <v>0</v>
      </c>
      <c r="AU295" s="1046">
        <f t="shared" si="144"/>
        <v>0</v>
      </c>
      <c r="AV295" s="1059" cm="1">
        <f t="array" ref="AV295">IF(AJ295&lt;&gt;1,0,IF(OR(AT295="",N(AT295)&lt;=0.000000001),"",IF(OR(AN295="",N(AN295)&lt;=0.000000001),0,IF(ISNUMBER(AT295),IFERROR(_xlfn.LET(_xlpm.ai_test,TRIM(AI295),_xlpm.r,IFERROR(_xlfn.XLOOKUP(_xlpm.ai_test,$BI$15:$BI$62,ROW($BI$15:$BI$62),0,1),IFERROR(_xlfn.XLOOKUP(_xlpm.ai_test,$BJ$15:$BJ$62,ROW($BJ$15:$BJ$62),0,1),_xlfn.XLOOKUP(_xlpm.ai_test,$BK$15:$BK$62,ROW($BK$15:$BK$62),0,1))),_xlpm.p,_xlpm.r-MIN(ROW($BI$15:$BI$62))+1,_xlpm.f,INDEX($BL$15:$BL$62,_xlpm.p),_xlpm.u,INDEX($BM$15:$BM$62,_xlpm.p),_xlpm.s,INDEX($BO$15:$BO$62,_xlpm.p),_xlpm.q,N(AT295)/_xlpm.f,IF(_xlpm.q&gt;=_xlpm.s,ROUND(_xlpm.q,1)&amp;" "&amp;_xlpm.ai_test&amp;" = "&amp;ROUND(_xlpm.q*_xlpm.f,1)&amp;" "&amp;_xlpm.u,ROUND(_xlpm.q,1)&amp;" "&amp;_xlpm.ai_test)),""),""))))</f>
        <v>0</v>
      </c>
      <c r="AW295" s="1047"/>
      <c r="AX295" s="1045">
        <f t="shared" si="145"/>
        <v>0</v>
      </c>
      <c r="AY295" s="1046" t="str">
        <f t="shared" si="146"/>
        <v/>
      </c>
      <c r="AZ295" s="1048">
        <f t="shared" si="151"/>
        <v>0</v>
      </c>
      <c r="BA295" s="1049" t="str">
        <f t="shared" si="147"/>
        <v/>
      </c>
      <c r="BB295" s="1038"/>
      <c r="BC295" s="1050">
        <f t="shared" si="152"/>
        <v>0</v>
      </c>
      <c r="BD295" s="1040" t="str">
        <f t="shared" si="148"/>
        <v/>
      </c>
      <c r="BE295" s="227" t="s">
        <v>22</v>
      </c>
      <c r="BF295" s="1019">
        <f t="shared" si="149"/>
        <v>0</v>
      </c>
      <c r="BG295" s="1020">
        <f t="shared" si="150"/>
        <v>0</v>
      </c>
      <c r="BH295"/>
      <c r="BI295" s="709"/>
      <c r="BJ295" s="709"/>
      <c r="BK295" s="709"/>
      <c r="BL295" s="709"/>
      <c r="BM295" s="709"/>
      <c r="BN295" s="709"/>
      <c r="BO295" s="709"/>
      <c r="BP295" s="709"/>
      <c r="BQ295"/>
      <c r="BR295"/>
      <c r="BS295"/>
      <c r="BT295"/>
      <c r="BU295"/>
      <c r="BV295"/>
      <c r="BW295" s="959" t="str">
        <f t="shared" si="130"/>
        <v>►</v>
      </c>
      <c r="BX295"/>
      <c r="BY295"/>
      <c r="BZ295"/>
      <c r="CA295"/>
      <c r="CB295"/>
      <c r="CD295"/>
      <c r="CE295"/>
      <c r="CF295"/>
      <c r="CG295"/>
      <c r="CH295"/>
      <c r="CI295"/>
      <c r="CJ295"/>
      <c r="CL295"/>
      <c r="CM295"/>
      <c r="CN295"/>
      <c r="CO295"/>
      <c r="CP295"/>
      <c r="CQ295"/>
      <c r="CR295"/>
      <c r="CT295"/>
      <c r="CU295"/>
      <c r="CV295"/>
      <c r="CW295"/>
      <c r="CX295"/>
      <c r="CY295"/>
      <c r="CZ295"/>
      <c r="DB295" s="3">
        <v>1</v>
      </c>
      <c r="DC295" s="709"/>
      <c r="DD295" s="709"/>
    </row>
    <row r="296" spans="1:108" s="856" customFormat="1" ht="21" customHeight="1">
      <c r="A296" s="936" t="s">
        <v>22</v>
      </c>
      <c r="B296" s="952" t="str">
        <f t="shared" si="129"/>
        <v>►</v>
      </c>
      <c r="C296" s="993" cm="1">
        <f t="array" ref="C296">SUMPRODUCT(LEN(D296:J296))</f>
        <v>0</v>
      </c>
      <c r="D296" s="167"/>
      <c r="E296" s="172"/>
      <c r="F296" s="172"/>
      <c r="G296" s="172"/>
      <c r="H296" s="172"/>
      <c r="I296" s="172"/>
      <c r="J296" s="173"/>
      <c r="K296" s="442"/>
      <c r="L296" s="27" t="s">
        <v>16</v>
      </c>
      <c r="M296" s="32" t="str">
        <f>M297</f>
        <v>É ÉPICES POUR BOUDIN | |  Author &gt; Guy KRENZE - Eric GODDYN - Arnaud NICOLAS - CEPROC 2002</v>
      </c>
      <c r="N296" s="33">
        <f>N297</f>
        <v>408</v>
      </c>
      <c r="O296" s="33" t="str">
        <f>O297</f>
        <v>g</v>
      </c>
      <c r="P296" s="34" t="str">
        <f>P297</f>
        <v>Master recipe ► le Boudin en 4 déclinaisons</v>
      </c>
      <c r="Q296" s="56"/>
      <c r="R296" s="5165" t="s">
        <v>13100</v>
      </c>
      <c r="S296" s="5468">
        <f>Y311/V296</f>
        <v>0.40749999999999997</v>
      </c>
      <c r="T296" s="5468"/>
      <c r="U296" s="5054" t="str" cm="1">
        <f t="array" ref="U296">"1= "&amp;IF(OR(Q295&lt;=0,S296=""),"",_xlfn.LET(_xlpm.kg,IF(ISNUMBER(S296),S296,VALEUR(SUBSTITUTE(SUBSTITUTE(SUBSTITUTE(LOWER(S296),"kg",""),",",".")," ",""))),TEXT(ROUND(_xlpm.kg*1000/Q295,2),"0.##")&amp;" g"))</f>
        <v>1= 1. g</v>
      </c>
      <c r="V296" s="1490">
        <f>IFERROR(X295/Q295,0)</f>
        <v>0.24509803921568626</v>
      </c>
      <c r="W296" s="45"/>
      <c r="X296" s="5041" t="s">
        <v>153</v>
      </c>
      <c r="Y296" s="5042">
        <f>Y311</f>
        <v>9.9877450980392149E-2</v>
      </c>
      <c r="Z296" s="5043"/>
      <c r="AA296" s="5211"/>
      <c r="AB296" s="1178"/>
      <c r="AC296" s="1179"/>
      <c r="AD296" s="227" t="s">
        <v>22</v>
      </c>
      <c r="AE296" s="1027" t="str">
        <f t="shared" si="132"/>
        <v>►</v>
      </c>
      <c r="AF296" s="1028" t="str">
        <f t="shared" si="133"/>
        <v/>
      </c>
      <c r="AG296" s="1029" t="str">
        <f t="shared" si="134"/>
        <v/>
      </c>
      <c r="AH296" s="1028" t="str">
        <f t="shared" si="135"/>
        <v/>
      </c>
      <c r="AI296" s="1029" t="str">
        <f t="shared" si="136"/>
        <v/>
      </c>
      <c r="AJ296" s="1029">
        <f t="shared" si="137"/>
        <v>0</v>
      </c>
      <c r="AK296" s="1043" t="str" cm="1">
        <f t="array" ref="AK296">IF(AE296&lt;&gt;"A","",IFERROR((IFERROR(_xlfn.XLOOKUP(TRIM(SUBSTITUTE(U296,CHAR(160)," ")),$BI$15:$BI$62,$BL$15:$BL$62),IFERROR(_xlfn.XLOOKUP(TRIM(SUBSTITUTE(U296,CHAR(160)," ")),$BJ$15:$BJ$62,$BL$15:$BL$62),_xlfn.XLOOKUP(TRIM(SUBSTITUTE(U296,CHAR(160)," ")),$BK$15:$BK$62,$BL$15:$BL$62))))*T296*IF(ISBLANK(Q296),1,Q296)+IFERROR(_xlfn.XLOOKUP("RECHERCHEX",TRIM(L296:AC296),L296:AC296),0),0))</f>
        <v/>
      </c>
      <c r="AL296" s="1030">
        <f t="shared" si="138"/>
        <v>0</v>
      </c>
      <c r="AM296" s="5254" t="str">
        <f t="shared" si="153"/>
        <v/>
      </c>
      <c r="AN296" s="1031">
        <f t="shared" si="139"/>
        <v>0</v>
      </c>
      <c r="AO296" s="1031">
        <f t="shared" si="140"/>
        <v>0</v>
      </c>
      <c r="AP296" s="1032">
        <f t="shared" si="141"/>
        <v>0</v>
      </c>
      <c r="AQ296" s="5255" t="str">
        <f t="shared" si="142"/>
        <v/>
      </c>
      <c r="AR296" s="1056"/>
      <c r="AS296" s="1056"/>
      <c r="AT296" s="1034">
        <f t="shared" si="143"/>
        <v>0</v>
      </c>
      <c r="AU296" s="1035">
        <f t="shared" si="144"/>
        <v>0</v>
      </c>
      <c r="AV296" s="1057" cm="1">
        <f t="array" ref="AV296">IF(AJ296&lt;&gt;1,0,IF(OR(AT296="",N(AT296)&lt;=0.000000001),"",IF(OR(AN296="",N(AN296)&lt;=0.000000001),0,IF(ISNUMBER(AT296),IFERROR(_xlfn.LET(_xlpm.ai_test,TRIM(AI296),_xlpm.r,IFERROR(_xlfn.XLOOKUP(_xlpm.ai_test,$BI$15:$BI$62,ROW($BI$15:$BI$62),0,1),IFERROR(_xlfn.XLOOKUP(_xlpm.ai_test,$BJ$15:$BJ$62,ROW($BJ$15:$BJ$62),0,1),_xlfn.XLOOKUP(_xlpm.ai_test,$BK$15:$BK$62,ROW($BK$15:$BK$62),0,1))),_xlpm.p,_xlpm.r-MIN(ROW($BI$15:$BI$62))+1,_xlpm.f,INDEX($BL$15:$BL$62,_xlpm.p),_xlpm.u,INDEX($BM$15:$BM$62,_xlpm.p),_xlpm.s,INDEX($BO$15:$BO$62,_xlpm.p),_xlpm.q,N(AT296)/_xlpm.f,IF(_xlpm.q&gt;=_xlpm.s,ROUND(_xlpm.q,1)&amp;" "&amp;_xlpm.ai_test&amp;" = "&amp;ROUND(_xlpm.q*_xlpm.f,1)&amp;" "&amp;_xlpm.u,ROUND(_xlpm.q,1)&amp;" "&amp;_xlpm.ai_test)),""),""))))</f>
        <v>0</v>
      </c>
      <c r="AW296" s="1047"/>
      <c r="AX296" s="1034">
        <f t="shared" si="145"/>
        <v>0</v>
      </c>
      <c r="AY296" s="1035" t="str">
        <f t="shared" si="146"/>
        <v/>
      </c>
      <c r="AZ296" s="1036">
        <f t="shared" si="151"/>
        <v>0</v>
      </c>
      <c r="BA296" s="1037" t="str">
        <f t="shared" si="147"/>
        <v/>
      </c>
      <c r="BB296" s="1038"/>
      <c r="BC296" s="1039">
        <f t="shared" si="152"/>
        <v>0</v>
      </c>
      <c r="BD296" s="1040" t="str">
        <f t="shared" si="148"/>
        <v/>
      </c>
      <c r="BE296" s="227" t="s">
        <v>22</v>
      </c>
      <c r="BF296" s="1019">
        <f t="shared" si="149"/>
        <v>0</v>
      </c>
      <c r="BG296" s="1020">
        <f t="shared" si="150"/>
        <v>0</v>
      </c>
      <c r="BH296"/>
      <c r="BI296" s="709"/>
      <c r="BJ296" s="709"/>
      <c r="BK296" s="709"/>
      <c r="BL296" s="709"/>
      <c r="BM296" s="709"/>
      <c r="BN296" s="709"/>
      <c r="BO296" s="709"/>
      <c r="BP296" s="709"/>
      <c r="BQ296"/>
      <c r="BR296"/>
      <c r="BS296"/>
      <c r="BT296"/>
      <c r="BU296"/>
      <c r="BV296"/>
      <c r="BW296" s="959" t="str">
        <f t="shared" si="130"/>
        <v>►</v>
      </c>
      <c r="BX296"/>
      <c r="BY296"/>
      <c r="BZ296"/>
      <c r="CA296"/>
      <c r="CB296"/>
      <c r="CD296"/>
      <c r="CE296"/>
      <c r="CF296"/>
      <c r="CG296"/>
      <c r="CH296"/>
      <c r="CI296"/>
      <c r="CJ296"/>
      <c r="CL296"/>
      <c r="CM296"/>
      <c r="CN296"/>
      <c r="CO296"/>
      <c r="CP296"/>
      <c r="CQ296"/>
      <c r="CR296"/>
      <c r="CT296"/>
      <c r="CU296"/>
      <c r="CV296"/>
      <c r="CW296"/>
      <c r="CX296"/>
      <c r="CY296"/>
      <c r="CZ296"/>
      <c r="DB296" s="3">
        <v>1</v>
      </c>
      <c r="DC296" s="709"/>
      <c r="DD296" s="709"/>
    </row>
    <row r="297" spans="1:108" s="856" customFormat="1" ht="21" customHeight="1">
      <c r="A297" s="936" t="s">
        <v>22</v>
      </c>
      <c r="B297" s="952" t="str">
        <f t="shared" si="129"/>
        <v>►</v>
      </c>
      <c r="C297" s="993" cm="1">
        <f t="array" ref="C297">SUMPRODUCT(LEN(D297:J297))</f>
        <v>0</v>
      </c>
      <c r="D297" s="167"/>
      <c r="E297" s="172"/>
      <c r="F297" s="172"/>
      <c r="G297" s="172"/>
      <c r="H297" s="172"/>
      <c r="I297" s="172"/>
      <c r="J297" s="173"/>
      <c r="K297" s="442"/>
      <c r="L297" s="64" t="s">
        <v>16</v>
      </c>
      <c r="M297" s="65" t="str">
        <f>Q297</f>
        <v>É ÉPICES POUR BOUDIN | |  Author &gt; Guy KRENZE - Eric GODDYN - Arnaud NICOLAS - CEPROC 2002</v>
      </c>
      <c r="N297" s="66">
        <f>Q295</f>
        <v>408</v>
      </c>
      <c r="O297" s="65" t="str">
        <f>R295</f>
        <v>g</v>
      </c>
      <c r="P297" s="67" t="str">
        <f>V297&amp;" "&amp;W297</f>
        <v>Master recipe ► le Boudin en 4 déclinaisons</v>
      </c>
      <c r="Q297" s="68" t="str">
        <f>UPPER(LEFT(R291,1))&amp;" "&amp;R291&amp;" | "&amp;Y291&amp;"| "&amp;T293&amp;" "&amp;U293</f>
        <v>É ÉPICES POUR BOUDIN | |  Author &gt; Guy KRENZE - Eric GODDYN - Arnaud NICOLAS - CEPROC 2002</v>
      </c>
      <c r="R297" s="69" t="s">
        <v>3315</v>
      </c>
      <c r="S297" s="5469" t="s">
        <v>3316</v>
      </c>
      <c r="T297" s="5469"/>
      <c r="U297" s="5469"/>
      <c r="V297" s="70" t="str">
        <f>IF(ISTEXT(W297),"Master recipe ►",R297)</f>
        <v>Master recipe ►</v>
      </c>
      <c r="W297" s="71" t="s">
        <v>12836</v>
      </c>
      <c r="X297" s="71"/>
      <c r="Y297" s="72"/>
      <c r="Z297" s="1473"/>
      <c r="AA297" s="5211"/>
      <c r="AB297" s="1178"/>
      <c r="AC297" s="1179"/>
      <c r="AD297" s="227" t="s">
        <v>22</v>
      </c>
      <c r="AE297" s="1027" t="str">
        <f t="shared" si="132"/>
        <v>►</v>
      </c>
      <c r="AF297" s="1028" t="str">
        <f t="shared" si="133"/>
        <v/>
      </c>
      <c r="AG297" s="1029" t="str">
        <f t="shared" si="134"/>
        <v/>
      </c>
      <c r="AH297" s="1028" t="str">
        <f t="shared" si="135"/>
        <v/>
      </c>
      <c r="AI297" s="1029" t="str">
        <f t="shared" si="136"/>
        <v/>
      </c>
      <c r="AJ297" s="1029">
        <f t="shared" si="137"/>
        <v>0</v>
      </c>
      <c r="AK297" s="1043" t="str" cm="1">
        <f t="array" ref="AK297">IF(AE297&lt;&gt;"A","",IFERROR((IFERROR(_xlfn.XLOOKUP(TRIM(SUBSTITUTE(U297,CHAR(160)," ")),$BI$15:$BI$62,$BL$15:$BL$62),IFERROR(_xlfn.XLOOKUP(TRIM(SUBSTITUTE(U297,CHAR(160)," ")),$BJ$15:$BJ$62,$BL$15:$BL$62),_xlfn.XLOOKUP(TRIM(SUBSTITUTE(U297,CHAR(160)," ")),$BK$15:$BK$62,$BL$15:$BL$62))))*T297*IF(ISBLANK(Q297),1,Q297)+IFERROR(_xlfn.XLOOKUP("RECHERCHEX",TRIM(L297:AC297),L297:AC297),0),0))</f>
        <v/>
      </c>
      <c r="AL297" s="1030">
        <f t="shared" si="138"/>
        <v>0</v>
      </c>
      <c r="AM297" s="5254" t="str">
        <f t="shared" si="153"/>
        <v/>
      </c>
      <c r="AN297" s="1031">
        <f t="shared" si="139"/>
        <v>0</v>
      </c>
      <c r="AO297" s="1031">
        <f t="shared" si="140"/>
        <v>0</v>
      </c>
      <c r="AP297" s="1044">
        <f t="shared" si="141"/>
        <v>0</v>
      </c>
      <c r="AQ297" s="5257" t="str">
        <f t="shared" si="142"/>
        <v/>
      </c>
      <c r="AR297" s="1056"/>
      <c r="AS297" s="1056"/>
      <c r="AT297" s="1045">
        <f t="shared" si="143"/>
        <v>0</v>
      </c>
      <c r="AU297" s="1046">
        <f t="shared" si="144"/>
        <v>0</v>
      </c>
      <c r="AV297" s="1059" cm="1">
        <f t="array" ref="AV297">IF(AJ297&lt;&gt;1,0,IF(OR(AT297="",N(AT297)&lt;=0.000000001),"",IF(OR(AN297="",N(AN297)&lt;=0.000000001),0,IF(ISNUMBER(AT297),IFERROR(_xlfn.LET(_xlpm.ai_test,TRIM(AI297),_xlpm.r,IFERROR(_xlfn.XLOOKUP(_xlpm.ai_test,$BI$15:$BI$62,ROW($BI$15:$BI$62),0,1),IFERROR(_xlfn.XLOOKUP(_xlpm.ai_test,$BJ$15:$BJ$62,ROW($BJ$15:$BJ$62),0,1),_xlfn.XLOOKUP(_xlpm.ai_test,$BK$15:$BK$62,ROW($BK$15:$BK$62),0,1))),_xlpm.p,_xlpm.r-MIN(ROW($BI$15:$BI$62))+1,_xlpm.f,INDEX($BL$15:$BL$62,_xlpm.p),_xlpm.u,INDEX($BM$15:$BM$62,_xlpm.p),_xlpm.s,INDEX($BO$15:$BO$62,_xlpm.p),_xlpm.q,N(AT297)/_xlpm.f,IF(_xlpm.q&gt;=_xlpm.s,ROUND(_xlpm.q,1)&amp;" "&amp;_xlpm.ai_test&amp;" = "&amp;ROUND(_xlpm.q*_xlpm.f,1)&amp;" "&amp;_xlpm.u,ROUND(_xlpm.q,1)&amp;" "&amp;_xlpm.ai_test)),""),""))))</f>
        <v>0</v>
      </c>
      <c r="AW297" s="1047"/>
      <c r="AX297" s="1045">
        <f t="shared" si="145"/>
        <v>0</v>
      </c>
      <c r="AY297" s="1046" t="str">
        <f t="shared" si="146"/>
        <v/>
      </c>
      <c r="AZ297" s="1048">
        <f t="shared" si="151"/>
        <v>0</v>
      </c>
      <c r="BA297" s="1049" t="str">
        <f t="shared" si="147"/>
        <v/>
      </c>
      <c r="BB297" s="1038"/>
      <c r="BC297" s="1050">
        <f t="shared" si="152"/>
        <v>0</v>
      </c>
      <c r="BD297" s="1040" t="str">
        <f t="shared" si="148"/>
        <v/>
      </c>
      <c r="BE297" s="227" t="s">
        <v>22</v>
      </c>
      <c r="BF297" s="1019">
        <f t="shared" si="149"/>
        <v>0</v>
      </c>
      <c r="BG297" s="1020">
        <f t="shared" si="150"/>
        <v>0</v>
      </c>
      <c r="BH297"/>
      <c r="BI297" s="709"/>
      <c r="BJ297" s="709"/>
      <c r="BK297" s="709"/>
      <c r="BL297" s="709"/>
      <c r="BM297" s="709"/>
      <c r="BN297" s="709"/>
      <c r="BO297" s="709"/>
      <c r="BP297" s="709"/>
      <c r="BQ297"/>
      <c r="BR297"/>
      <c r="BS297"/>
      <c r="BT297"/>
      <c r="BU297"/>
      <c r="BV297"/>
      <c r="BW297" s="959" t="str">
        <f t="shared" si="130"/>
        <v>►</v>
      </c>
      <c r="BX297"/>
      <c r="BY297"/>
      <c r="BZ297"/>
      <c r="CA297"/>
      <c r="CB297"/>
      <c r="CD297"/>
      <c r="CE297"/>
      <c r="CF297"/>
      <c r="CG297"/>
      <c r="CH297"/>
      <c r="CI297"/>
      <c r="CJ297"/>
      <c r="CL297"/>
      <c r="CM297"/>
      <c r="CN297"/>
      <c r="CO297"/>
      <c r="CP297"/>
      <c r="CQ297"/>
      <c r="CR297"/>
      <c r="CT297"/>
      <c r="CU297"/>
      <c r="CV297"/>
      <c r="CW297"/>
      <c r="CX297"/>
      <c r="CY297"/>
      <c r="CZ297"/>
      <c r="DB297" s="3">
        <v>1</v>
      </c>
      <c r="DC297" s="709"/>
      <c r="DD297" s="709"/>
    </row>
    <row r="298" spans="1:108" s="856" customFormat="1" ht="21" customHeight="1">
      <c r="A298" s="936" t="s">
        <v>22</v>
      </c>
      <c r="B298" s="952" t="str">
        <f t="shared" si="129"/>
        <v>►</v>
      </c>
      <c r="C298" s="993" cm="1">
        <f t="array" ref="C298">SUMPRODUCT(LEN(D298:J298))</f>
        <v>0</v>
      </c>
      <c r="D298" s="167"/>
      <c r="E298" s="172"/>
      <c r="F298" s="172"/>
      <c r="G298" s="172"/>
      <c r="H298" s="172"/>
      <c r="I298" s="172"/>
      <c r="J298" s="173"/>
      <c r="K298" s="442"/>
      <c r="L298" s="74" t="s">
        <v>16</v>
      </c>
      <c r="M298" s="75" t="str">
        <f>M297</f>
        <v>É ÉPICES POUR BOUDIN | |  Author &gt; Guy KRENZE - Eric GODDYN - Arnaud NICOLAS - CEPROC 2002</v>
      </c>
      <c r="N298" s="75">
        <f>N297</f>
        <v>408</v>
      </c>
      <c r="O298" s="75" t="str">
        <f>O297</f>
        <v>g</v>
      </c>
      <c r="P298" s="76" t="str">
        <f>P297</f>
        <v>Master recipe ► le Boudin en 4 déclinaisons</v>
      </c>
      <c r="Q298" s="13" t="s">
        <v>66</v>
      </c>
      <c r="R298" s="13" t="s">
        <v>67</v>
      </c>
      <c r="S298" s="13" t="s">
        <v>68</v>
      </c>
      <c r="T298" s="13" t="s">
        <v>69</v>
      </c>
      <c r="U298" s="77" t="s">
        <v>70</v>
      </c>
      <c r="V298" s="78" t="s">
        <v>71</v>
      </c>
      <c r="W298" s="79" t="s">
        <v>72</v>
      </c>
      <c r="X298" s="1496" t="s">
        <v>73</v>
      </c>
      <c r="Y298" s="13" t="s">
        <v>74</v>
      </c>
      <c r="Z298" s="518" t="s">
        <v>75</v>
      </c>
      <c r="AA298" s="5211"/>
      <c r="AB298" s="1178"/>
      <c r="AC298" s="1179"/>
      <c r="AD298" s="227" t="s">
        <v>22</v>
      </c>
      <c r="AE298" s="1027" t="str">
        <f t="shared" si="132"/>
        <v>►</v>
      </c>
      <c r="AF298" s="1028" t="str">
        <f t="shared" si="133"/>
        <v/>
      </c>
      <c r="AG298" s="1029" t="str">
        <f t="shared" si="134"/>
        <v/>
      </c>
      <c r="AH298" s="1028" t="str">
        <f t="shared" si="135"/>
        <v/>
      </c>
      <c r="AI298" s="1029" t="str">
        <f t="shared" si="136"/>
        <v/>
      </c>
      <c r="AJ298" s="1029">
        <f t="shared" si="137"/>
        <v>0</v>
      </c>
      <c r="AK298" s="1043" t="str" cm="1">
        <f t="array" ref="AK298">IF(AE298&lt;&gt;"A","",IFERROR((IFERROR(_xlfn.XLOOKUP(TRIM(SUBSTITUTE(U298,CHAR(160)," ")),$BI$15:$BI$62,$BL$15:$BL$62),IFERROR(_xlfn.XLOOKUP(TRIM(SUBSTITUTE(U298,CHAR(160)," ")),$BJ$15:$BJ$62,$BL$15:$BL$62),_xlfn.XLOOKUP(TRIM(SUBSTITUTE(U298,CHAR(160)," ")),$BK$15:$BK$62,$BL$15:$BL$62))))*T298*IF(ISBLANK(Q298),1,Q298)+IFERROR(_xlfn.XLOOKUP("RECHERCHEX",TRIM(L298:AC298),L298:AC298),0),0))</f>
        <v/>
      </c>
      <c r="AL298" s="1030">
        <f t="shared" si="138"/>
        <v>0</v>
      </c>
      <c r="AM298" s="5254" t="str">
        <f t="shared" si="153"/>
        <v/>
      </c>
      <c r="AN298" s="1031">
        <f t="shared" si="139"/>
        <v>0</v>
      </c>
      <c r="AO298" s="1031">
        <f t="shared" si="140"/>
        <v>0</v>
      </c>
      <c r="AP298" s="1032">
        <f t="shared" si="141"/>
        <v>0</v>
      </c>
      <c r="AQ298" s="5255" t="str">
        <f t="shared" si="142"/>
        <v/>
      </c>
      <c r="AR298" s="1056"/>
      <c r="AS298" s="1056"/>
      <c r="AT298" s="1034">
        <f t="shared" si="143"/>
        <v>0</v>
      </c>
      <c r="AU298" s="1035">
        <f t="shared" si="144"/>
        <v>0</v>
      </c>
      <c r="AV298" s="1057" cm="1">
        <f t="array" ref="AV298">IF(AJ298&lt;&gt;1,0,IF(OR(AT298="",N(AT298)&lt;=0.000000001),"",IF(OR(AN298="",N(AN298)&lt;=0.000000001),0,IF(ISNUMBER(AT298),IFERROR(_xlfn.LET(_xlpm.ai_test,TRIM(AI298),_xlpm.r,IFERROR(_xlfn.XLOOKUP(_xlpm.ai_test,$BI$15:$BI$62,ROW($BI$15:$BI$62),0,1),IFERROR(_xlfn.XLOOKUP(_xlpm.ai_test,$BJ$15:$BJ$62,ROW($BJ$15:$BJ$62),0,1),_xlfn.XLOOKUP(_xlpm.ai_test,$BK$15:$BK$62,ROW($BK$15:$BK$62),0,1))),_xlpm.p,_xlpm.r-MIN(ROW($BI$15:$BI$62))+1,_xlpm.f,INDEX($BL$15:$BL$62,_xlpm.p),_xlpm.u,INDEX($BM$15:$BM$62,_xlpm.p),_xlpm.s,INDEX($BO$15:$BO$62,_xlpm.p),_xlpm.q,N(AT298)/_xlpm.f,IF(_xlpm.q&gt;=_xlpm.s,ROUND(_xlpm.q,1)&amp;" "&amp;_xlpm.ai_test&amp;" = "&amp;ROUND(_xlpm.q*_xlpm.f,1)&amp;" "&amp;_xlpm.u,ROUND(_xlpm.q,1)&amp;" "&amp;_xlpm.ai_test)),""),""))))</f>
        <v>0</v>
      </c>
      <c r="AW298" s="1047"/>
      <c r="AX298" s="1034">
        <f t="shared" si="145"/>
        <v>0</v>
      </c>
      <c r="AY298" s="1035" t="str">
        <f t="shared" si="146"/>
        <v/>
      </c>
      <c r="AZ298" s="1036">
        <f t="shared" si="151"/>
        <v>0</v>
      </c>
      <c r="BA298" s="1037" t="str">
        <f t="shared" si="147"/>
        <v/>
      </c>
      <c r="BB298" s="1038"/>
      <c r="BC298" s="1039">
        <f t="shared" si="152"/>
        <v>0</v>
      </c>
      <c r="BD298" s="1040" t="str">
        <f t="shared" si="148"/>
        <v/>
      </c>
      <c r="BE298" s="227" t="s">
        <v>22</v>
      </c>
      <c r="BF298" s="1019">
        <f t="shared" si="149"/>
        <v>0</v>
      </c>
      <c r="BG298" s="1020">
        <f t="shared" si="150"/>
        <v>0</v>
      </c>
      <c r="BH298"/>
      <c r="BI298" s="709"/>
      <c r="BJ298" s="709"/>
      <c r="BK298" s="709"/>
      <c r="BL298" s="709"/>
      <c r="BM298" s="709"/>
      <c r="BN298" s="709"/>
      <c r="BO298" s="709"/>
      <c r="BP298" s="709"/>
      <c r="BQ298"/>
      <c r="BR298"/>
      <c r="BS298"/>
      <c r="BT298"/>
      <c r="BU298"/>
      <c r="BV298"/>
      <c r="BW298" s="959" t="str">
        <f t="shared" si="130"/>
        <v>►</v>
      </c>
      <c r="BX298"/>
      <c r="BY298"/>
      <c r="BZ298"/>
      <c r="CA298"/>
      <c r="CB298"/>
      <c r="CD298"/>
      <c r="CE298"/>
      <c r="CF298"/>
      <c r="CG298"/>
      <c r="CH298"/>
      <c r="CI298"/>
      <c r="CJ298"/>
      <c r="CL298"/>
      <c r="CM298"/>
      <c r="CN298"/>
      <c r="CO298"/>
      <c r="CP298"/>
      <c r="CQ298"/>
      <c r="CR298"/>
      <c r="CT298"/>
      <c r="CU298"/>
      <c r="CV298"/>
      <c r="CW298"/>
      <c r="CX298"/>
      <c r="CY298"/>
      <c r="CZ298"/>
      <c r="DB298" s="3">
        <v>1</v>
      </c>
      <c r="DC298" s="709"/>
      <c r="DD298" s="709"/>
    </row>
    <row r="299" spans="1:108" s="856" customFormat="1" ht="21" customHeight="1">
      <c r="A299" s="936" t="s">
        <v>22</v>
      </c>
      <c r="B299" s="952" t="str">
        <f t="shared" si="129"/>
        <v>A</v>
      </c>
      <c r="C299" s="993" cm="1">
        <f t="array" ref="C299">SUMPRODUCT(LEN(D299:J299))</f>
        <v>0</v>
      </c>
      <c r="D299" s="167"/>
      <c r="E299" s="172"/>
      <c r="F299" s="172"/>
      <c r="G299" s="172"/>
      <c r="H299" s="172"/>
      <c r="I299" s="172"/>
      <c r="J299" s="173"/>
      <c r="K299" s="442"/>
      <c r="L299" s="27" t="s">
        <v>11</v>
      </c>
      <c r="M299" s="32" t="str">
        <f>M297</f>
        <v>É ÉPICES POUR BOUDIN | |  Author &gt; Guy KRENZE - Eric GODDYN - Arnaud NICOLAS - CEPROC 2002</v>
      </c>
      <c r="N299" s="33">
        <f>N297</f>
        <v>408</v>
      </c>
      <c r="O299" s="32" t="str">
        <f>O297</f>
        <v>g</v>
      </c>
      <c r="P299" s="34" t="str">
        <f>P297</f>
        <v>Master recipe ► le Boudin en 4 déclinaisons</v>
      </c>
      <c r="Q299" s="81" t="s">
        <v>77</v>
      </c>
      <c r="R299" s="82" t="s">
        <v>78</v>
      </c>
      <c r="S299" s="83"/>
      <c r="T299" s="5454" t="s">
        <v>228</v>
      </c>
      <c r="U299" s="5464" t="s">
        <v>80</v>
      </c>
      <c r="V299" s="5466" t="s">
        <v>81</v>
      </c>
      <c r="W299" s="84" t="s">
        <v>82</v>
      </c>
      <c r="X299" s="5444" t="s">
        <v>244</v>
      </c>
      <c r="Y299" s="5446" t="s">
        <v>890</v>
      </c>
      <c r="Z299" s="5448" t="s">
        <v>247</v>
      </c>
      <c r="AA299" s="5211"/>
      <c r="AB299" s="1178"/>
      <c r="AC299" s="1179"/>
      <c r="AD299" s="227" t="s">
        <v>22</v>
      </c>
      <c r="AE299" s="1027" t="str">
        <f t="shared" si="132"/>
        <v>►</v>
      </c>
      <c r="AF299" s="1028" t="str">
        <f t="shared" si="133"/>
        <v/>
      </c>
      <c r="AG299" s="1029" t="str">
        <f t="shared" si="134"/>
        <v/>
      </c>
      <c r="AH299" s="1028" t="str">
        <f t="shared" si="135"/>
        <v/>
      </c>
      <c r="AI299" s="1029" t="str">
        <f t="shared" si="136"/>
        <v/>
      </c>
      <c r="AJ299" s="1029">
        <f t="shared" si="137"/>
        <v>0</v>
      </c>
      <c r="AK299" s="1043" t="str" cm="1">
        <f t="array" ref="AK299">IF(AE299&lt;&gt;"A","",IFERROR((IFERROR(_xlfn.XLOOKUP(TRIM(SUBSTITUTE(U299,CHAR(160)," ")),$BI$15:$BI$62,$BL$15:$BL$62),IFERROR(_xlfn.XLOOKUP(TRIM(SUBSTITUTE(U299,CHAR(160)," ")),$BJ$15:$BJ$62,$BL$15:$BL$62),_xlfn.XLOOKUP(TRIM(SUBSTITUTE(U299,CHAR(160)," ")),$BK$15:$BK$62,$BL$15:$BL$62))))*T299*IF(ISBLANK(Q299),1,Q299)+IFERROR(_xlfn.XLOOKUP("RECHERCHEX",TRIM(L299:AC299),L299:AC299),0),0))</f>
        <v/>
      </c>
      <c r="AL299" s="1030">
        <f t="shared" si="138"/>
        <v>0</v>
      </c>
      <c r="AM299" s="5254" t="str">
        <f t="shared" si="153"/>
        <v/>
      </c>
      <c r="AN299" s="1031">
        <f t="shared" si="139"/>
        <v>0</v>
      </c>
      <c r="AO299" s="1031">
        <f t="shared" si="140"/>
        <v>0</v>
      </c>
      <c r="AP299" s="1044">
        <f t="shared" si="141"/>
        <v>0</v>
      </c>
      <c r="AQ299" s="5257" t="str">
        <f t="shared" si="142"/>
        <v/>
      </c>
      <c r="AR299" s="1056"/>
      <c r="AS299" s="1056"/>
      <c r="AT299" s="1045">
        <f t="shared" si="143"/>
        <v>0</v>
      </c>
      <c r="AU299" s="1046">
        <f t="shared" si="144"/>
        <v>0</v>
      </c>
      <c r="AV299" s="1059" cm="1">
        <f t="array" ref="AV299">IF(AJ299&lt;&gt;1,0,IF(OR(AT299="",N(AT299)&lt;=0.000000001),"",IF(OR(AN299="",N(AN299)&lt;=0.000000001),0,IF(ISNUMBER(AT299),IFERROR(_xlfn.LET(_xlpm.ai_test,TRIM(AI299),_xlpm.r,IFERROR(_xlfn.XLOOKUP(_xlpm.ai_test,$BI$15:$BI$62,ROW($BI$15:$BI$62),0,1),IFERROR(_xlfn.XLOOKUP(_xlpm.ai_test,$BJ$15:$BJ$62,ROW($BJ$15:$BJ$62),0,1),_xlfn.XLOOKUP(_xlpm.ai_test,$BK$15:$BK$62,ROW($BK$15:$BK$62),0,1))),_xlpm.p,_xlpm.r-MIN(ROW($BI$15:$BI$62))+1,_xlpm.f,INDEX($BL$15:$BL$62,_xlpm.p),_xlpm.u,INDEX($BM$15:$BM$62,_xlpm.p),_xlpm.s,INDEX($BO$15:$BO$62,_xlpm.p),_xlpm.q,N(AT299)/_xlpm.f,IF(_xlpm.q&gt;=_xlpm.s,ROUND(_xlpm.q,1)&amp;" "&amp;_xlpm.ai_test&amp;" = "&amp;ROUND(_xlpm.q*_xlpm.f,1)&amp;" "&amp;_xlpm.u,ROUND(_xlpm.q,1)&amp;" "&amp;_xlpm.ai_test)),""),""))))</f>
        <v>0</v>
      </c>
      <c r="AW299" s="1047"/>
      <c r="AX299" s="1045">
        <f t="shared" si="145"/>
        <v>0</v>
      </c>
      <c r="AY299" s="1046" t="str">
        <f t="shared" si="146"/>
        <v/>
      </c>
      <c r="AZ299" s="1048">
        <f t="shared" si="151"/>
        <v>0</v>
      </c>
      <c r="BA299" s="1049" t="str">
        <f t="shared" si="147"/>
        <v/>
      </c>
      <c r="BB299" s="1038"/>
      <c r="BC299" s="1050">
        <f t="shared" si="152"/>
        <v>0</v>
      </c>
      <c r="BD299" s="1040" t="str">
        <f t="shared" si="148"/>
        <v/>
      </c>
      <c r="BE299" s="227" t="s">
        <v>22</v>
      </c>
      <c r="BF299" s="1019">
        <f t="shared" si="149"/>
        <v>0</v>
      </c>
      <c r="BG299" s="1020">
        <f t="shared" si="150"/>
        <v>0</v>
      </c>
      <c r="BH299"/>
      <c r="BI299" s="709"/>
      <c r="BJ299" s="709"/>
      <c r="BK299" s="709"/>
      <c r="BL299" s="709"/>
      <c r="BM299" s="709"/>
      <c r="BN299" s="709"/>
      <c r="BO299" s="709"/>
      <c r="BP299" s="709"/>
      <c r="BQ299"/>
      <c r="BR299"/>
      <c r="BS299"/>
      <c r="BT299"/>
      <c r="BU299"/>
      <c r="BV299"/>
      <c r="BW299" s="959" t="str">
        <f t="shared" si="130"/>
        <v>►</v>
      </c>
      <c r="BX299"/>
      <c r="BY299"/>
      <c r="BZ299"/>
      <c r="CA299"/>
      <c r="CB299"/>
      <c r="CD299"/>
      <c r="CE299"/>
      <c r="CF299"/>
      <c r="CG299"/>
      <c r="CH299"/>
      <c r="CI299"/>
      <c r="CJ299"/>
      <c r="CL299"/>
      <c r="CM299"/>
      <c r="CN299"/>
      <c r="CO299"/>
      <c r="CP299"/>
      <c r="CQ299"/>
      <c r="CR299"/>
      <c r="CT299"/>
      <c r="CU299"/>
      <c r="CV299"/>
      <c r="CW299"/>
      <c r="CX299"/>
      <c r="CY299"/>
      <c r="CZ299"/>
      <c r="DB299" s="3">
        <v>1</v>
      </c>
      <c r="DC299" s="709"/>
      <c r="DD299" s="709"/>
    </row>
    <row r="300" spans="1:108" s="856" customFormat="1" ht="21" customHeight="1">
      <c r="A300" s="936" t="s">
        <v>22</v>
      </c>
      <c r="B300" s="952" t="str">
        <f t="shared" si="129"/>
        <v>A</v>
      </c>
      <c r="C300" s="993" cm="1">
        <f t="array" ref="C300">SUMPRODUCT(LEN(D300:J300))</f>
        <v>0</v>
      </c>
      <c r="D300" s="167"/>
      <c r="E300" s="172"/>
      <c r="F300" s="172"/>
      <c r="G300" s="172"/>
      <c r="H300" s="172"/>
      <c r="I300" s="172"/>
      <c r="J300" s="173"/>
      <c r="K300" s="442"/>
      <c r="L300" s="27" t="s">
        <v>11</v>
      </c>
      <c r="M300" s="32" t="str">
        <f>M297</f>
        <v>É ÉPICES POUR BOUDIN | |  Author &gt; Guy KRENZE - Eric GODDYN - Arnaud NICOLAS - CEPROC 2002</v>
      </c>
      <c r="N300" s="33">
        <f>N297</f>
        <v>408</v>
      </c>
      <c r="O300" s="32" t="str">
        <f>O297</f>
        <v>g</v>
      </c>
      <c r="P300" s="34" t="str">
        <f>P297</f>
        <v>Master recipe ► le Boudin en 4 déclinaisons</v>
      </c>
      <c r="Q300" s="87" t="s">
        <v>231</v>
      </c>
      <c r="R300" s="88" t="s">
        <v>232</v>
      </c>
      <c r="S300" s="89" t="s">
        <v>891</v>
      </c>
      <c r="T300" s="5455"/>
      <c r="U300" s="5465"/>
      <c r="V300" s="5467"/>
      <c r="W300" s="90" t="s">
        <v>867</v>
      </c>
      <c r="X300" s="5445"/>
      <c r="Y300" s="5447"/>
      <c r="Z300" s="5449"/>
      <c r="AA300" s="5211"/>
      <c r="AB300" s="1178"/>
      <c r="AC300" s="1179"/>
      <c r="AD300" s="227" t="s">
        <v>22</v>
      </c>
      <c r="AE300" s="1027" t="str">
        <f t="shared" si="132"/>
        <v>►</v>
      </c>
      <c r="AF300" s="1028" t="str">
        <f t="shared" si="133"/>
        <v/>
      </c>
      <c r="AG300" s="1029" t="str">
        <f t="shared" si="134"/>
        <v/>
      </c>
      <c r="AH300" s="1028" t="str">
        <f t="shared" si="135"/>
        <v/>
      </c>
      <c r="AI300" s="1029" t="str">
        <f t="shared" si="136"/>
        <v/>
      </c>
      <c r="AJ300" s="1029">
        <f t="shared" si="137"/>
        <v>0</v>
      </c>
      <c r="AK300" s="1043" t="str" cm="1">
        <f t="array" ref="AK300">IF(AE300&lt;&gt;"A","",IFERROR((IFERROR(_xlfn.XLOOKUP(TRIM(SUBSTITUTE(U300,CHAR(160)," ")),$BI$15:$BI$62,$BL$15:$BL$62),IFERROR(_xlfn.XLOOKUP(TRIM(SUBSTITUTE(U300,CHAR(160)," ")),$BJ$15:$BJ$62,$BL$15:$BL$62),_xlfn.XLOOKUP(TRIM(SUBSTITUTE(U300,CHAR(160)," ")),$BK$15:$BK$62,$BL$15:$BL$62))))*T300*IF(ISBLANK(Q300),1,Q300)+IFERROR(_xlfn.XLOOKUP("RECHERCHEX",TRIM(L300:AC300),L300:AC300),0),0))</f>
        <v/>
      </c>
      <c r="AL300" s="1030">
        <f t="shared" si="138"/>
        <v>0</v>
      </c>
      <c r="AM300" s="5254" t="str">
        <f t="shared" si="153"/>
        <v/>
      </c>
      <c r="AN300" s="1031">
        <f t="shared" si="139"/>
        <v>0</v>
      </c>
      <c r="AO300" s="1031">
        <f t="shared" si="140"/>
        <v>0</v>
      </c>
      <c r="AP300" s="1032">
        <f t="shared" si="141"/>
        <v>0</v>
      </c>
      <c r="AQ300" s="5255" t="str">
        <f t="shared" si="142"/>
        <v/>
      </c>
      <c r="AR300" s="1056"/>
      <c r="AS300" s="1056"/>
      <c r="AT300" s="1034">
        <f t="shared" si="143"/>
        <v>0</v>
      </c>
      <c r="AU300" s="1035">
        <f t="shared" si="144"/>
        <v>0</v>
      </c>
      <c r="AV300" s="1057" cm="1">
        <f t="array" ref="AV300">IF(AJ300&lt;&gt;1,0,IF(OR(AT300="",N(AT300)&lt;=0.000000001),"",IF(OR(AN300="",N(AN300)&lt;=0.000000001),0,IF(ISNUMBER(AT300),IFERROR(_xlfn.LET(_xlpm.ai_test,TRIM(AI300),_xlpm.r,IFERROR(_xlfn.XLOOKUP(_xlpm.ai_test,$BI$15:$BI$62,ROW($BI$15:$BI$62),0,1),IFERROR(_xlfn.XLOOKUP(_xlpm.ai_test,$BJ$15:$BJ$62,ROW($BJ$15:$BJ$62),0,1),_xlfn.XLOOKUP(_xlpm.ai_test,$BK$15:$BK$62,ROW($BK$15:$BK$62),0,1))),_xlpm.p,_xlpm.r-MIN(ROW($BI$15:$BI$62))+1,_xlpm.f,INDEX($BL$15:$BL$62,_xlpm.p),_xlpm.u,INDEX($BM$15:$BM$62,_xlpm.p),_xlpm.s,INDEX($BO$15:$BO$62,_xlpm.p),_xlpm.q,N(AT300)/_xlpm.f,IF(_xlpm.q&gt;=_xlpm.s,ROUND(_xlpm.q,1)&amp;" "&amp;_xlpm.ai_test&amp;" = "&amp;ROUND(_xlpm.q*_xlpm.f,1)&amp;" "&amp;_xlpm.u,ROUND(_xlpm.q,1)&amp;" "&amp;_xlpm.ai_test)),""),""))))</f>
        <v>0</v>
      </c>
      <c r="AW300" s="1047"/>
      <c r="AX300" s="1034">
        <f t="shared" si="145"/>
        <v>0</v>
      </c>
      <c r="AY300" s="1035" t="str">
        <f t="shared" si="146"/>
        <v/>
      </c>
      <c r="AZ300" s="1036">
        <f t="shared" si="151"/>
        <v>0</v>
      </c>
      <c r="BA300" s="1037" t="str">
        <f t="shared" si="147"/>
        <v/>
      </c>
      <c r="BB300" s="1038"/>
      <c r="BC300" s="1039">
        <f t="shared" si="152"/>
        <v>0</v>
      </c>
      <c r="BD300" s="1040" t="str">
        <f t="shared" si="148"/>
        <v/>
      </c>
      <c r="BE300" s="227" t="s">
        <v>22</v>
      </c>
      <c r="BF300" s="1019">
        <f t="shared" si="149"/>
        <v>0</v>
      </c>
      <c r="BG300" s="1020">
        <f t="shared" si="150"/>
        <v>0</v>
      </c>
      <c r="BH300"/>
      <c r="BI300" s="709"/>
      <c r="BJ300" s="709"/>
      <c r="BK300" s="709"/>
      <c r="BL300" s="709"/>
      <c r="BM300" s="709"/>
      <c r="BN300" s="709"/>
      <c r="BO300" s="709"/>
      <c r="BP300" s="709"/>
      <c r="BQ300"/>
      <c r="BR300"/>
      <c r="BS300"/>
      <c r="BT300"/>
      <c r="BU300"/>
      <c r="BV300"/>
      <c r="BW300" s="959" t="str">
        <f t="shared" si="130"/>
        <v>►</v>
      </c>
      <c r="BX300"/>
      <c r="BY300"/>
      <c r="BZ300"/>
      <c r="CA300"/>
      <c r="CB300"/>
      <c r="CD300"/>
      <c r="CE300"/>
      <c r="CF300"/>
      <c r="CG300"/>
      <c r="CH300"/>
      <c r="CI300"/>
      <c r="CJ300"/>
      <c r="CL300"/>
      <c r="CM300"/>
      <c r="CN300"/>
      <c r="CO300"/>
      <c r="CP300"/>
      <c r="CQ300"/>
      <c r="CR300"/>
      <c r="CT300"/>
      <c r="CU300"/>
      <c r="CV300"/>
      <c r="CW300"/>
      <c r="CX300"/>
      <c r="CY300"/>
      <c r="CZ300"/>
      <c r="DB300" s="3">
        <v>1</v>
      </c>
      <c r="DC300" s="709"/>
      <c r="DD300" s="709"/>
    </row>
    <row r="301" spans="1:108" s="856" customFormat="1" ht="21" customHeight="1">
      <c r="A301" s="936" t="s">
        <v>22</v>
      </c>
      <c r="B301" s="952" t="str">
        <f t="shared" si="129"/>
        <v>A</v>
      </c>
      <c r="C301" s="993" cm="1">
        <f t="array" ref="C301">SUMPRODUCT(LEN(D301:J301))</f>
        <v>0</v>
      </c>
      <c r="D301" s="167"/>
      <c r="E301" s="172"/>
      <c r="F301" s="172"/>
      <c r="G301" s="172"/>
      <c r="H301" s="172"/>
      <c r="I301" s="172"/>
      <c r="J301" s="173"/>
      <c r="K301" s="442"/>
      <c r="L301" s="27" t="s">
        <v>11</v>
      </c>
      <c r="M301" s="32" t="str">
        <f>M297</f>
        <v>É ÉPICES POUR BOUDIN | |  Author &gt; Guy KRENZE - Eric GODDYN - Arnaud NICOLAS - CEPROC 2002</v>
      </c>
      <c r="N301" s="33">
        <f>N297</f>
        <v>408</v>
      </c>
      <c r="O301" s="32" t="str">
        <f>O297</f>
        <v>g</v>
      </c>
      <c r="P301" s="34" t="str">
        <f>P297</f>
        <v>Master recipe ► le Boudin en 4 déclinaisons</v>
      </c>
      <c r="Q301" s="92"/>
      <c r="R301" s="108"/>
      <c r="S301" s="94" t="str">
        <f t="shared" ref="S301:S310" si="154">IF(OR(ISTEXT(Q301), Q301&lt;=0, T301&lt;=0), "", "de")</f>
        <v/>
      </c>
      <c r="T301" s="95"/>
      <c r="U301" s="126"/>
      <c r="V301" s="127">
        <v>1</v>
      </c>
      <c r="W301" s="920" t="s">
        <v>13056</v>
      </c>
      <c r="X301" s="100">
        <f>IF(OR(ISBLANK(Q295),X295=0),0,Q301*V296)</f>
        <v>0</v>
      </c>
      <c r="Y301" s="101" cm="1">
        <f t="array" ref="Y301">IFERROR(_xlfn.LET(_xlpm.k,UPPER(TRIM(U301)),_xlpm.r,_xlfn.XLOOKUP(_xlpm.k,UPPER(TRIM(Q312:Z312)),Q313:Z313,_xlfn.XLOOKUP(_xlpm.k,UPPER(TRIM(Q314:Z314)),Q315:Z315)),_xlpm.r*T301*V301*V296*IF(ISBLANK(Q301),1,Q301)),0)</f>
        <v>0</v>
      </c>
      <c r="Z301" s="1476" t="str">
        <f>_xlfn.LET(_xlpm.unite,SUBSTITUTE(TRIM(U301)," (s)",""),_xlpm.val,Y301,_xlpm.estVol,COUNTIF(T312:Z312,_xlpm.unite)+COUNTIF(T314:Z314,_xlpm.unite)&gt;0,_xlpm.estPoids,COUNTIF(Q312:S312,_xlpm.unite)+COUNTIF(Q314:S314,_xlpm.unite)&gt;0,IF(_xlpm.estVol,IF(ROUND(_xlpm.val,3)&gt;=1,ROUND(_xlpm.val,3)&amp;" L",MAX(1,ROUND(_xlpm.val*100,0))&amp;" cl"),IF(_xlpm.estPoids,IF(ROUND(_xlpm.val,3)&gt;=1,ROUND(_xlpm.val,3)&amp;" Kg",MAX(1,ROUND(_xlpm.val*1000,0))&amp;" g"),"")))</f>
        <v/>
      </c>
      <c r="AA301" s="5211"/>
      <c r="AB301" s="1178"/>
      <c r="AC301" s="1179"/>
      <c r="AD301" s="227" t="s">
        <v>22</v>
      </c>
      <c r="AE301" s="1027" t="str">
        <f t="shared" si="132"/>
        <v>►</v>
      </c>
      <c r="AF301" s="1028" t="str">
        <f t="shared" si="133"/>
        <v/>
      </c>
      <c r="AG301" s="1029" t="str">
        <f t="shared" si="134"/>
        <v/>
      </c>
      <c r="AH301" s="1028" t="str">
        <f t="shared" si="135"/>
        <v/>
      </c>
      <c r="AI301" s="1029" t="str">
        <f t="shared" si="136"/>
        <v/>
      </c>
      <c r="AJ301" s="1029">
        <f t="shared" si="137"/>
        <v>0</v>
      </c>
      <c r="AK301" s="1043" t="str" cm="1">
        <f t="array" ref="AK301">IF(AE301&lt;&gt;"A","",IFERROR((IFERROR(_xlfn.XLOOKUP(TRIM(SUBSTITUTE(U301,CHAR(160)," ")),$BI$15:$BI$62,$BL$15:$BL$62),IFERROR(_xlfn.XLOOKUP(TRIM(SUBSTITUTE(U301,CHAR(160)," ")),$BJ$15:$BJ$62,$BL$15:$BL$62),_xlfn.XLOOKUP(TRIM(SUBSTITUTE(U301,CHAR(160)," ")),$BK$15:$BK$62,$BL$15:$BL$62))))*T301*IF(ISBLANK(Q301),1,Q301)+IFERROR(_xlfn.XLOOKUP("RECHERCHEX",TRIM(L301:AC301),L301:AC301),0),0))</f>
        <v/>
      </c>
      <c r="AL301" s="1030">
        <f t="shared" si="138"/>
        <v>0</v>
      </c>
      <c r="AM301" s="5254" t="str">
        <f t="shared" si="153"/>
        <v/>
      </c>
      <c r="AN301" s="1031">
        <f t="shared" si="139"/>
        <v>0</v>
      </c>
      <c r="AO301" s="1031">
        <f t="shared" si="140"/>
        <v>0</v>
      </c>
      <c r="AP301" s="1044">
        <f t="shared" si="141"/>
        <v>0</v>
      </c>
      <c r="AQ301" s="5257" t="str">
        <f t="shared" si="142"/>
        <v/>
      </c>
      <c r="AR301" s="1056"/>
      <c r="AS301" s="1056"/>
      <c r="AT301" s="1045">
        <f t="shared" si="143"/>
        <v>0</v>
      </c>
      <c r="AU301" s="1046">
        <f t="shared" si="144"/>
        <v>0</v>
      </c>
      <c r="AV301" s="1059" cm="1">
        <f t="array" ref="AV301">IF(AJ301&lt;&gt;1,0,IF(OR(AT301="",N(AT301)&lt;=0.000000001),"",IF(OR(AN301="",N(AN301)&lt;=0.000000001),0,IF(ISNUMBER(AT301),IFERROR(_xlfn.LET(_xlpm.ai_test,TRIM(AI301),_xlpm.r,IFERROR(_xlfn.XLOOKUP(_xlpm.ai_test,$BI$15:$BI$62,ROW($BI$15:$BI$62),0,1),IFERROR(_xlfn.XLOOKUP(_xlpm.ai_test,$BJ$15:$BJ$62,ROW($BJ$15:$BJ$62),0,1),_xlfn.XLOOKUP(_xlpm.ai_test,$BK$15:$BK$62,ROW($BK$15:$BK$62),0,1))),_xlpm.p,_xlpm.r-MIN(ROW($BI$15:$BI$62))+1,_xlpm.f,INDEX($BL$15:$BL$62,_xlpm.p),_xlpm.u,INDEX($BM$15:$BM$62,_xlpm.p),_xlpm.s,INDEX($BO$15:$BO$62,_xlpm.p),_xlpm.q,N(AT301)/_xlpm.f,IF(_xlpm.q&gt;=_xlpm.s,ROUND(_xlpm.q,1)&amp;" "&amp;_xlpm.ai_test&amp;" = "&amp;ROUND(_xlpm.q*_xlpm.f,1)&amp;" "&amp;_xlpm.u,ROUND(_xlpm.q,1)&amp;" "&amp;_xlpm.ai_test)),""),""))))</f>
        <v>0</v>
      </c>
      <c r="AW301" s="1047"/>
      <c r="AX301" s="1045">
        <f t="shared" si="145"/>
        <v>0</v>
      </c>
      <c r="AY301" s="1046" t="str">
        <f t="shared" si="146"/>
        <v/>
      </c>
      <c r="AZ301" s="1048">
        <f t="shared" si="151"/>
        <v>0</v>
      </c>
      <c r="BA301" s="1049" t="str">
        <f t="shared" si="147"/>
        <v/>
      </c>
      <c r="BB301" s="1038"/>
      <c r="BC301" s="1050">
        <f t="shared" si="152"/>
        <v>0</v>
      </c>
      <c r="BD301" s="1040" t="str">
        <f t="shared" si="148"/>
        <v/>
      </c>
      <c r="BE301" s="227" t="s">
        <v>22</v>
      </c>
      <c r="BF301" s="1019">
        <f t="shared" si="149"/>
        <v>0</v>
      </c>
      <c r="BG301" s="1020">
        <f t="shared" si="150"/>
        <v>0</v>
      </c>
      <c r="BH301"/>
      <c r="BI301" s="709"/>
      <c r="BJ301" s="709"/>
      <c r="BK301" s="709"/>
      <c r="BL301" s="709"/>
      <c r="BM301" s="709"/>
      <c r="BN301" s="709"/>
      <c r="BO301" s="709"/>
      <c r="BP301" s="709"/>
      <c r="BQ301"/>
      <c r="BR301"/>
      <c r="BS301"/>
      <c r="BT301"/>
      <c r="BU301"/>
      <c r="BV301"/>
      <c r="BW301" s="959" t="str">
        <f t="shared" si="130"/>
        <v>►</v>
      </c>
      <c r="BX301"/>
      <c r="BY301"/>
      <c r="BZ301"/>
      <c r="CA301"/>
      <c r="CB301"/>
      <c r="CD301"/>
      <c r="CE301"/>
      <c r="CF301"/>
      <c r="CG301"/>
      <c r="CH301"/>
      <c r="CI301"/>
      <c r="CJ301"/>
      <c r="CL301"/>
      <c r="CM301"/>
      <c r="CN301"/>
      <c r="CO301"/>
      <c r="CP301"/>
      <c r="CQ301"/>
      <c r="CR301"/>
      <c r="CT301"/>
      <c r="CU301"/>
      <c r="CV301"/>
      <c r="CW301"/>
      <c r="CX301"/>
      <c r="CY301"/>
      <c r="CZ301"/>
      <c r="DB301" s="3">
        <v>1</v>
      </c>
      <c r="DC301" s="709"/>
      <c r="DD301" s="709"/>
    </row>
    <row r="302" spans="1:108" s="856" customFormat="1" ht="21" customHeight="1">
      <c r="A302" s="936" t="s">
        <v>22</v>
      </c>
      <c r="B302" s="952" t="str">
        <f t="shared" si="129"/>
        <v>A</v>
      </c>
      <c r="C302" s="993" cm="1">
        <f t="array" ref="C302">SUMPRODUCT(LEN(D302:J302))</f>
        <v>0</v>
      </c>
      <c r="D302" s="167"/>
      <c r="E302" s="172"/>
      <c r="F302" s="172"/>
      <c r="G302" s="172"/>
      <c r="H302" s="172"/>
      <c r="I302" s="172"/>
      <c r="J302" s="173"/>
      <c r="K302" s="442"/>
      <c r="L302" s="104" t="str">
        <f t="shared" ref="L302:L310" si="155">IF(W302&lt;&gt;"","A","►")</f>
        <v>A</v>
      </c>
      <c r="M302" s="32" t="str">
        <f>M297</f>
        <v>É ÉPICES POUR BOUDIN | |  Author &gt; Guy KRENZE - Eric GODDYN - Arnaud NICOLAS - CEPROC 2002</v>
      </c>
      <c r="N302" s="33">
        <f>N297</f>
        <v>408</v>
      </c>
      <c r="O302" s="32" t="str">
        <f>O297</f>
        <v>g</v>
      </c>
      <c r="P302" s="34" t="str">
        <f>P297</f>
        <v>Master recipe ► le Boudin en 4 déclinaisons</v>
      </c>
      <c r="Q302" s="92"/>
      <c r="R302" s="108"/>
      <c r="S302" s="94" t="str">
        <f t="shared" si="154"/>
        <v/>
      </c>
      <c r="T302" s="95">
        <v>200</v>
      </c>
      <c r="U302" s="105" t="s">
        <v>99</v>
      </c>
      <c r="V302" s="127">
        <v>1</v>
      </c>
      <c r="W302" s="920" t="s">
        <v>13057</v>
      </c>
      <c r="X302" s="1494">
        <f>IF(OR(ISBLANK(Q295),X295=0),0,Q302*V296)</f>
        <v>0</v>
      </c>
      <c r="Y302" s="101" cm="1">
        <f t="array" ref="Y302">IFERROR(_xlfn.LET(_xlpm.k,UPPER(TRIM(U302)),_xlpm.r,_xlfn.XLOOKUP(_xlpm.k,UPPER(TRIM(Q312:Z312)),Q313:Z313,_xlfn.XLOOKUP(_xlpm.k,UPPER(TRIM(Q314:Z314)),Q315:Z315)),_xlpm.r*T302*V302*V296*IF(ISBLANK(Q302),1,Q302)),0)</f>
        <v>4.9019607843137254E-2</v>
      </c>
      <c r="Z302" s="1475" t="str">
        <f>_xlfn.LET(_xlpm.unite,SUBSTITUTE(TRIM(U302)," (s)",""),_xlpm.val,Y302,_xlpm.estVol,COUNTIF(T312:Z312,_xlpm.unite)+COUNTIF(T314:Z314,_xlpm.unite)&gt;0,_xlpm.estPoids,COUNTIF(Q312:S312,_xlpm.unite)+COUNTIF(Q314:S314,_xlpm.unite)&gt;0,IF(_xlpm.estVol,IF(ROUND(_xlpm.val,3)&gt;=1,ROUND(_xlpm.val,3)&amp;" L",MAX(1,ROUND(_xlpm.val*100,0))&amp;" cl"),IF(_xlpm.estPoids,IF(ROUND(_xlpm.val,3)&gt;=1,ROUND(_xlpm.val,3)&amp;" Kg",MAX(1,ROUND(_xlpm.val*1000,0))&amp;" g"),"")))</f>
        <v>49 g</v>
      </c>
      <c r="AA302" s="5211"/>
      <c r="AB302" s="1178"/>
      <c r="AC302" s="1179"/>
      <c r="AD302" s="227" t="s">
        <v>22</v>
      </c>
      <c r="AE302" s="1027" t="str">
        <f t="shared" si="132"/>
        <v>A</v>
      </c>
      <c r="AF302" s="1028" t="str">
        <f t="shared" si="133"/>
        <v>É ÉPICES POUR BOUDIN | |  Author &gt; Guy KRENZE - Eric GODDYN - Arnaud NICOLAS - CEPROC 2002</v>
      </c>
      <c r="AG302" s="1029">
        <f t="shared" si="134"/>
        <v>408</v>
      </c>
      <c r="AH302" s="1028" t="str">
        <f t="shared" si="135"/>
        <v>g</v>
      </c>
      <c r="AI302" s="1029" t="str">
        <f t="shared" si="136"/>
        <v>g</v>
      </c>
      <c r="AJ302" s="1029">
        <f t="shared" si="137"/>
        <v>1</v>
      </c>
      <c r="AK302" s="1043" cm="1">
        <f t="array" ref="AK302">IF(AE302&lt;&gt;"A","",IFERROR((IFERROR(_xlfn.XLOOKUP(TRIM(SUBSTITUTE(U302,CHAR(160)," ")),$BI$15:$BI$62,$BL$15:$BL$62),IFERROR(_xlfn.XLOOKUP(TRIM(SUBSTITUTE(U302,CHAR(160)," ")),$BJ$15:$BJ$62,$BL$15:$BL$62),_xlfn.XLOOKUP(TRIM(SUBSTITUTE(U302,CHAR(160)," ")),$BK$15:$BK$62,$BL$15:$BL$62))))*T302*IF(ISBLANK(Q302),1,Q302)+IFERROR(_xlfn.XLOOKUP("RECHERCHEX",TRIM(L302:AC302),L302:AC302),0),0))</f>
        <v>0.2</v>
      </c>
      <c r="AL302" s="1030" t="str">
        <f t="shared" si="138"/>
        <v>Kg</v>
      </c>
      <c r="AM302" s="5254" t="str">
        <f t="shared" si="153"/>
        <v>❾ Author reference &gt;</v>
      </c>
      <c r="AN302" s="1031">
        <f t="shared" si="139"/>
        <v>408</v>
      </c>
      <c r="AO302" s="1031" t="str">
        <f t="shared" si="140"/>
        <v>g</v>
      </c>
      <c r="AP302" s="1032">
        <f t="shared" si="141"/>
        <v>40</v>
      </c>
      <c r="AQ302" s="5255" t="str">
        <f t="shared" si="142"/>
        <v>parts-ou.or.o ❾ + or - &gt;</v>
      </c>
      <c r="AR302" s="1056">
        <v>650</v>
      </c>
      <c r="AS302" s="1056" t="s">
        <v>99</v>
      </c>
      <c r="AT302" s="1034">
        <f t="shared" si="143"/>
        <v>0.31862745098039214</v>
      </c>
      <c r="AU302" s="1035" t="str">
        <f t="shared" si="144"/>
        <v>Kg</v>
      </c>
      <c r="AV302" s="1057" t="str" cm="1">
        <f t="array" ref="AV302">IF(AJ302&lt;&gt;1,0,IF(OR(AT302="",N(AT302)&lt;=0.000000001),"",IF(OR(AN302="",N(AN302)&lt;=0.000000001),0,IF(ISNUMBER(AT302),IFERROR(_xlfn.LET(_xlpm.ai_test,TRIM(AI302),_xlpm.r,IFERROR(_xlfn.XLOOKUP(_xlpm.ai_test,$BI$15:$BI$62,ROW($BI$15:$BI$62),0,1),IFERROR(_xlfn.XLOOKUP(_xlpm.ai_test,$BJ$15:$BJ$62,ROW($BJ$15:$BJ$62),0,1),_xlfn.XLOOKUP(_xlpm.ai_test,$BK$15:$BK$62,ROW($BK$15:$BK$62),0,1))),_xlpm.p,_xlpm.r-MIN(ROW($BI$15:$BI$62))+1,_xlpm.f,INDEX($BL$15:$BL$62,_xlpm.p),_xlpm.u,INDEX($BM$15:$BM$62,_xlpm.p),_xlpm.s,INDEX($BO$15:$BO$62,_xlpm.p),_xlpm.q,N(AT302)/_xlpm.f,IF(_xlpm.q&gt;=_xlpm.s,ROUND(_xlpm.q,1)&amp;" "&amp;_xlpm.ai_test&amp;" = "&amp;ROUND(_xlpm.q*_xlpm.f,1)&amp;" "&amp;_xlpm.u,ROUND(_xlpm.q,1)&amp;" "&amp;_xlpm.ai_test)),""),""))))</f>
        <v>318.6 g</v>
      </c>
      <c r="AW302" s="1047"/>
      <c r="AX302" s="1034">
        <f t="shared" si="145"/>
        <v>0.31862745098039214</v>
      </c>
      <c r="AY302" s="1035" t="str">
        <f t="shared" si="146"/>
        <v>Kg</v>
      </c>
      <c r="AZ302" s="1036">
        <f t="shared" si="151"/>
        <v>0</v>
      </c>
      <c r="BA302" s="1037" t="str">
        <f t="shared" si="147"/>
        <v/>
      </c>
      <c r="BB302" s="1038"/>
      <c r="BC302" s="1039">
        <f t="shared" si="152"/>
        <v>0</v>
      </c>
      <c r="BD302" s="1040" t="str">
        <f t="shared" si="148"/>
        <v>poivre noir</v>
      </c>
      <c r="BE302" s="227" t="s">
        <v>22</v>
      </c>
      <c r="BF302" s="1019">
        <f t="shared" si="149"/>
        <v>0</v>
      </c>
      <c r="BG302" s="1020">
        <f t="shared" si="150"/>
        <v>1.5931372549019607</v>
      </c>
      <c r="BH302"/>
      <c r="BI302" s="709"/>
      <c r="BJ302" s="709"/>
      <c r="BK302" s="709"/>
      <c r="BL302" s="709"/>
      <c r="BM302" s="709"/>
      <c r="BN302" s="709"/>
      <c r="BO302" s="709"/>
      <c r="BP302" s="709"/>
      <c r="BQ302"/>
      <c r="BR302"/>
      <c r="BS302"/>
      <c r="BT302"/>
      <c r="BU302"/>
      <c r="BV302"/>
      <c r="BW302" s="959" t="str">
        <f t="shared" si="130"/>
        <v>A</v>
      </c>
      <c r="BX302"/>
      <c r="BY302"/>
      <c r="BZ302"/>
      <c r="CA302"/>
      <c r="CB302"/>
      <c r="CD302"/>
      <c r="CE302"/>
      <c r="CF302"/>
      <c r="CG302"/>
      <c r="CH302"/>
      <c r="CI302"/>
      <c r="CJ302"/>
      <c r="CL302"/>
      <c r="CM302"/>
      <c r="CN302"/>
      <c r="CO302"/>
      <c r="CP302"/>
      <c r="CQ302"/>
      <c r="CR302"/>
      <c r="CT302"/>
      <c r="CU302"/>
      <c r="CV302"/>
      <c r="CW302"/>
      <c r="CX302"/>
      <c r="CY302"/>
      <c r="CZ302"/>
      <c r="DB302" s="3">
        <v>1</v>
      </c>
      <c r="DC302" s="709"/>
      <c r="DD302" s="709"/>
    </row>
    <row r="303" spans="1:108" s="856" customFormat="1" ht="21" customHeight="1">
      <c r="A303" s="936" t="s">
        <v>22</v>
      </c>
      <c r="B303" s="952" t="str">
        <f t="shared" si="129"/>
        <v>A</v>
      </c>
      <c r="C303" s="993" cm="1">
        <f t="array" ref="C303">SUMPRODUCT(LEN(D303:J303))</f>
        <v>0</v>
      </c>
      <c r="D303" s="167"/>
      <c r="E303" s="172"/>
      <c r="F303" s="172"/>
      <c r="G303" s="172"/>
      <c r="H303" s="172"/>
      <c r="I303" s="172"/>
      <c r="J303" s="173"/>
      <c r="K303" s="442"/>
      <c r="L303" s="104" t="str">
        <f t="shared" si="155"/>
        <v>A</v>
      </c>
      <c r="M303" s="32" t="str">
        <f>M297</f>
        <v>É ÉPICES POUR BOUDIN | |  Author &gt; Guy KRENZE - Eric GODDYN - Arnaud NICOLAS - CEPROC 2002</v>
      </c>
      <c r="N303" s="33">
        <f>N297</f>
        <v>408</v>
      </c>
      <c r="O303" s="32" t="str">
        <f>O297</f>
        <v>g</v>
      </c>
      <c r="P303" s="34" t="str">
        <f>P297</f>
        <v>Master recipe ► le Boudin en 4 déclinaisons</v>
      </c>
      <c r="Q303" s="92"/>
      <c r="R303" s="108"/>
      <c r="S303" s="94" t="str">
        <f t="shared" si="154"/>
        <v/>
      </c>
      <c r="T303" s="95">
        <v>50</v>
      </c>
      <c r="U303" s="105" t="s">
        <v>99</v>
      </c>
      <c r="V303" s="127">
        <v>1</v>
      </c>
      <c r="W303" s="920" t="s">
        <v>13058</v>
      </c>
      <c r="X303" s="1494">
        <f>IF(OR(ISBLANK(Q295),X295=0),0,Q303*V296)</f>
        <v>0</v>
      </c>
      <c r="Y303" s="101" cm="1">
        <f t="array" ref="Y303">IFERROR(_xlfn.LET(_xlpm.k,UPPER(TRIM(U303)),_xlpm.r,_xlfn.XLOOKUP(_xlpm.k,UPPER(TRIM(Q312:Z312)),Q313:Z313,_xlfn.XLOOKUP(_xlpm.k,UPPER(TRIM(Q314:Z314)),Q315:Z315)),_xlpm.r*T303*V303*V296*IF(ISBLANK(Q303),1,Q303)),0)</f>
        <v>1.2254901960784314E-2</v>
      </c>
      <c r="Z303" s="1476" t="str">
        <f>_xlfn.LET(_xlpm.unite,SUBSTITUTE(TRIM(U303)," (s)",""),_xlpm.val,Y303,_xlpm.estVol,COUNTIF(T312:Z312,_xlpm.unite)+COUNTIF(T314:Z314,_xlpm.unite)&gt;0,_xlpm.estPoids,COUNTIF(Q312:S312,_xlpm.unite)+COUNTIF(Q314:S314,_xlpm.unite)&gt;0,IF(_xlpm.estVol,IF(ROUND(_xlpm.val,3)&gt;=1,ROUND(_xlpm.val,3)&amp;" L",MAX(1,ROUND(_xlpm.val*100,0))&amp;" cl"),IF(_xlpm.estPoids,IF(ROUND(_xlpm.val,3)&gt;=1,ROUND(_xlpm.val,3)&amp;" Kg",MAX(1,ROUND(_xlpm.val*1000,0))&amp;" g"),"")))</f>
        <v>12 g</v>
      </c>
      <c r="AA303" s="5211"/>
      <c r="AB303" s="1178"/>
      <c r="AC303" s="1179"/>
      <c r="AD303" s="227" t="s">
        <v>22</v>
      </c>
      <c r="AE303" s="1027" t="str">
        <f t="shared" si="132"/>
        <v>A</v>
      </c>
      <c r="AF303" s="1028" t="str">
        <f t="shared" si="133"/>
        <v>É ÉPICES POUR BOUDIN | |  Author &gt; Guy KRENZE - Eric GODDYN - Arnaud NICOLAS - CEPROC 2002</v>
      </c>
      <c r="AG303" s="1029">
        <f t="shared" si="134"/>
        <v>408</v>
      </c>
      <c r="AH303" s="1028" t="str">
        <f t="shared" si="135"/>
        <v>g</v>
      </c>
      <c r="AI303" s="1029" t="str">
        <f t="shared" si="136"/>
        <v>g</v>
      </c>
      <c r="AJ303" s="1029">
        <f t="shared" si="137"/>
        <v>1</v>
      </c>
      <c r="AK303" s="1043" cm="1">
        <f t="array" ref="AK303">IF(AE303&lt;&gt;"A","",IFERROR((IFERROR(_xlfn.XLOOKUP(TRIM(SUBSTITUTE(U303,CHAR(160)," ")),$BI$15:$BI$62,$BL$15:$BL$62),IFERROR(_xlfn.XLOOKUP(TRIM(SUBSTITUTE(U303,CHAR(160)," ")),$BJ$15:$BJ$62,$BL$15:$BL$62),_xlfn.XLOOKUP(TRIM(SUBSTITUTE(U303,CHAR(160)," ")),$BK$15:$BK$62,$BL$15:$BL$62))))*T303*IF(ISBLANK(Q303),1,Q303)+IFERROR(_xlfn.XLOOKUP("RECHERCHEX",TRIM(L303:AC303),L303:AC303),0),0))</f>
        <v>0.05</v>
      </c>
      <c r="AL303" s="1030" t="str">
        <f t="shared" si="138"/>
        <v>Kg</v>
      </c>
      <c r="AM303" s="5254" t="str">
        <f t="shared" si="153"/>
        <v>❾ Author reference &gt;</v>
      </c>
      <c r="AN303" s="1031">
        <f t="shared" si="139"/>
        <v>408</v>
      </c>
      <c r="AO303" s="1031" t="str">
        <f t="shared" si="140"/>
        <v>g</v>
      </c>
      <c r="AP303" s="1044">
        <f t="shared" si="141"/>
        <v>40</v>
      </c>
      <c r="AQ303" s="5257" t="str">
        <f t="shared" si="142"/>
        <v>parts-ou.or.o ❾ + or - &gt;</v>
      </c>
      <c r="AR303" s="1056">
        <v>650</v>
      </c>
      <c r="AS303" s="1056" t="s">
        <v>99</v>
      </c>
      <c r="AT303" s="1045">
        <f t="shared" si="143"/>
        <v>7.9656862745098034E-2</v>
      </c>
      <c r="AU303" s="1046" t="str">
        <f t="shared" si="144"/>
        <v>Kg</v>
      </c>
      <c r="AV303" s="1059" t="str" cm="1">
        <f t="array" ref="AV303">IF(AJ303&lt;&gt;1,0,IF(OR(AT303="",N(AT303)&lt;=0.000000001),"",IF(OR(AN303="",N(AN303)&lt;=0.000000001),0,IF(ISNUMBER(AT303),IFERROR(_xlfn.LET(_xlpm.ai_test,TRIM(AI303),_xlpm.r,IFERROR(_xlfn.XLOOKUP(_xlpm.ai_test,$BI$15:$BI$62,ROW($BI$15:$BI$62),0,1),IFERROR(_xlfn.XLOOKUP(_xlpm.ai_test,$BJ$15:$BJ$62,ROW($BJ$15:$BJ$62),0,1),_xlfn.XLOOKUP(_xlpm.ai_test,$BK$15:$BK$62,ROW($BK$15:$BK$62),0,1))),_xlpm.p,_xlpm.r-MIN(ROW($BI$15:$BI$62))+1,_xlpm.f,INDEX($BL$15:$BL$62,_xlpm.p),_xlpm.u,INDEX($BM$15:$BM$62,_xlpm.p),_xlpm.s,INDEX($BO$15:$BO$62,_xlpm.p),_xlpm.q,N(AT303)/_xlpm.f,IF(_xlpm.q&gt;=_xlpm.s,ROUND(_xlpm.q,1)&amp;" "&amp;_xlpm.ai_test&amp;" = "&amp;ROUND(_xlpm.q*_xlpm.f,1)&amp;" "&amp;_xlpm.u,ROUND(_xlpm.q,1)&amp;" "&amp;_xlpm.ai_test)),""),""))))</f>
        <v>79.7 g</v>
      </c>
      <c r="AW303" s="1047"/>
      <c r="AX303" s="1045">
        <f t="shared" si="145"/>
        <v>7.9656862745098034E-2</v>
      </c>
      <c r="AY303" s="1046" t="str">
        <f t="shared" si="146"/>
        <v>Kg</v>
      </c>
      <c r="AZ303" s="1048">
        <f t="shared" si="151"/>
        <v>0</v>
      </c>
      <c r="BA303" s="1049" t="str">
        <f t="shared" si="147"/>
        <v/>
      </c>
      <c r="BB303" s="1038"/>
      <c r="BC303" s="1050">
        <f t="shared" si="152"/>
        <v>0</v>
      </c>
      <c r="BD303" s="1040" t="str">
        <f t="shared" si="148"/>
        <v>poivre de séchouan</v>
      </c>
      <c r="BE303" s="227" t="s">
        <v>22</v>
      </c>
      <c r="BF303" s="1019">
        <f t="shared" si="149"/>
        <v>0</v>
      </c>
      <c r="BG303" s="1020">
        <f t="shared" si="150"/>
        <v>1.5931372549019607</v>
      </c>
      <c r="BH303"/>
      <c r="BI303" s="709"/>
      <c r="BJ303" s="709"/>
      <c r="BK303" s="709"/>
      <c r="BL303" s="709"/>
      <c r="BM303" s="709"/>
      <c r="BN303" s="709"/>
      <c r="BO303" s="709"/>
      <c r="BP303" s="709"/>
      <c r="BQ303"/>
      <c r="BR303"/>
      <c r="BS303"/>
      <c r="BT303"/>
      <c r="BU303"/>
      <c r="BV303"/>
      <c r="BW303" s="959" t="str">
        <f t="shared" si="130"/>
        <v>A</v>
      </c>
      <c r="BX303"/>
      <c r="BY303"/>
      <c r="BZ303"/>
      <c r="CA303"/>
      <c r="CB303"/>
      <c r="CD303"/>
      <c r="CE303"/>
      <c r="CF303"/>
      <c r="CG303"/>
      <c r="CH303"/>
      <c r="CI303"/>
      <c r="CJ303"/>
      <c r="CL303"/>
      <c r="CM303"/>
      <c r="CN303"/>
      <c r="CO303"/>
      <c r="CP303"/>
      <c r="CQ303"/>
      <c r="CR303"/>
      <c r="CT303"/>
      <c r="CU303"/>
      <c r="CV303"/>
      <c r="CW303"/>
      <c r="CX303"/>
      <c r="CY303"/>
      <c r="CZ303"/>
      <c r="DB303" s="3">
        <v>1</v>
      </c>
      <c r="DC303" s="709"/>
      <c r="DD303" s="709"/>
    </row>
    <row r="304" spans="1:108" s="856" customFormat="1" ht="21" customHeight="1">
      <c r="A304" s="936" t="s">
        <v>22</v>
      </c>
      <c r="B304" s="952" t="str">
        <f t="shared" si="129"/>
        <v>A</v>
      </c>
      <c r="C304" s="993" cm="1">
        <f t="array" ref="C304">SUMPRODUCT(LEN(D304:J304))</f>
        <v>0</v>
      </c>
      <c r="D304" s="167"/>
      <c r="E304" s="172"/>
      <c r="F304" s="172"/>
      <c r="G304" s="172"/>
      <c r="H304" s="172"/>
      <c r="I304" s="172"/>
      <c r="J304" s="173"/>
      <c r="K304" s="442"/>
      <c r="L304" s="104" t="str">
        <f t="shared" si="155"/>
        <v>A</v>
      </c>
      <c r="M304" s="32" t="str">
        <f>M297</f>
        <v>É ÉPICES POUR BOUDIN | |  Author &gt; Guy KRENZE - Eric GODDYN - Arnaud NICOLAS - CEPROC 2002</v>
      </c>
      <c r="N304" s="33">
        <f>N297</f>
        <v>408</v>
      </c>
      <c r="O304" s="32" t="str">
        <f>O297</f>
        <v>g</v>
      </c>
      <c r="P304" s="34" t="str">
        <f>P297</f>
        <v>Master recipe ► le Boudin en 4 déclinaisons</v>
      </c>
      <c r="Q304" s="92"/>
      <c r="R304" s="108"/>
      <c r="S304" s="94" t="str">
        <f t="shared" si="154"/>
        <v/>
      </c>
      <c r="T304" s="95">
        <v>60</v>
      </c>
      <c r="U304" s="105" t="s">
        <v>99</v>
      </c>
      <c r="V304" s="127">
        <v>1</v>
      </c>
      <c r="W304" s="920" t="s">
        <v>13059</v>
      </c>
      <c r="X304" s="1494">
        <f>IF(OR(ISBLANK(Q295),X295=0),0,Q304*V296)</f>
        <v>0</v>
      </c>
      <c r="Y304" s="101" cm="1">
        <f t="array" ref="Y304">IFERROR(_xlfn.LET(_xlpm.k,UPPER(TRIM(U304)),_xlpm.r,_xlfn.XLOOKUP(_xlpm.k,UPPER(TRIM(Q312:Z312)),Q313:Z313,_xlfn.XLOOKUP(_xlpm.k,UPPER(TRIM(Q314:Z314)),Q315:Z315)),_xlpm.r*T304*V304*V296*IF(ISBLANK(Q304),1,Q304)),0)</f>
        <v>1.4705882352941175E-2</v>
      </c>
      <c r="Z304" s="1475" t="str">
        <f>_xlfn.LET(_xlpm.unite,SUBSTITUTE(TRIM(U304)," (s)",""),_xlpm.val,Y304,_xlpm.estVol,COUNTIF(T312:Z312,_xlpm.unite)+COUNTIF(T314:Z314,_xlpm.unite)&gt;0,_xlpm.estPoids,COUNTIF(Q312:S312,_xlpm.unite)+COUNTIF(Q314:S314,_xlpm.unite)&gt;0,IF(_xlpm.estVol,IF(ROUND(_xlpm.val,3)&gt;=1,ROUND(_xlpm.val,3)&amp;" L",MAX(1,ROUND(_xlpm.val*100,0))&amp;" cl"),IF(_xlpm.estPoids,IF(ROUND(_xlpm.val,3)&gt;=1,ROUND(_xlpm.val,3)&amp;" Kg",MAX(1,ROUND(_xlpm.val*1000,0))&amp;" g"),"")))</f>
        <v>15 g</v>
      </c>
      <c r="AA304" s="5211"/>
      <c r="AB304" s="1178"/>
      <c r="AC304" s="1179"/>
      <c r="AD304" s="227" t="s">
        <v>22</v>
      </c>
      <c r="AE304" s="1027" t="str">
        <f t="shared" si="132"/>
        <v>A</v>
      </c>
      <c r="AF304" s="1028" t="str">
        <f t="shared" si="133"/>
        <v>É ÉPICES POUR BOUDIN | |  Author &gt; Guy KRENZE - Eric GODDYN - Arnaud NICOLAS - CEPROC 2002</v>
      </c>
      <c r="AG304" s="1029">
        <f t="shared" si="134"/>
        <v>408</v>
      </c>
      <c r="AH304" s="1028" t="str">
        <f t="shared" si="135"/>
        <v>g</v>
      </c>
      <c r="AI304" s="1029" t="str">
        <f t="shared" si="136"/>
        <v>g</v>
      </c>
      <c r="AJ304" s="1029">
        <f t="shared" si="137"/>
        <v>1</v>
      </c>
      <c r="AK304" s="1043" cm="1">
        <f t="array" ref="AK304">IF(AE304&lt;&gt;"A","",IFERROR((IFERROR(_xlfn.XLOOKUP(TRIM(SUBSTITUTE(U304,CHAR(160)," ")),$BI$15:$BI$62,$BL$15:$BL$62),IFERROR(_xlfn.XLOOKUP(TRIM(SUBSTITUTE(U304,CHAR(160)," ")),$BJ$15:$BJ$62,$BL$15:$BL$62),_xlfn.XLOOKUP(TRIM(SUBSTITUTE(U304,CHAR(160)," ")),$BK$15:$BK$62,$BL$15:$BL$62))))*T304*IF(ISBLANK(Q304),1,Q304)+IFERROR(_xlfn.XLOOKUP("RECHERCHEX",TRIM(L304:AC304),L304:AC304),0),0))</f>
        <v>0.06</v>
      </c>
      <c r="AL304" s="1030" t="str">
        <f t="shared" si="138"/>
        <v>Kg</v>
      </c>
      <c r="AM304" s="5254" t="str">
        <f t="shared" si="153"/>
        <v>❾ Author reference &gt;</v>
      </c>
      <c r="AN304" s="1031">
        <f t="shared" si="139"/>
        <v>408</v>
      </c>
      <c r="AO304" s="1031" t="str">
        <f t="shared" si="140"/>
        <v>g</v>
      </c>
      <c r="AP304" s="1032">
        <f t="shared" si="141"/>
        <v>40</v>
      </c>
      <c r="AQ304" s="5255" t="str">
        <f t="shared" si="142"/>
        <v>parts-ou.or.o ❾ + or - &gt;</v>
      </c>
      <c r="AR304" s="1056">
        <v>650</v>
      </c>
      <c r="AS304" s="1056" t="s">
        <v>99</v>
      </c>
      <c r="AT304" s="1034">
        <f t="shared" si="143"/>
        <v>9.5588235294117641E-2</v>
      </c>
      <c r="AU304" s="1035" t="str">
        <f t="shared" si="144"/>
        <v>Kg</v>
      </c>
      <c r="AV304" s="1057" t="str" cm="1">
        <f t="array" ref="AV304">IF(AJ304&lt;&gt;1,0,IF(OR(AT304="",N(AT304)&lt;=0.000000001),"",IF(OR(AN304="",N(AN304)&lt;=0.000000001),0,IF(ISNUMBER(AT304),IFERROR(_xlfn.LET(_xlpm.ai_test,TRIM(AI304),_xlpm.r,IFERROR(_xlfn.XLOOKUP(_xlpm.ai_test,$BI$15:$BI$62,ROW($BI$15:$BI$62),0,1),IFERROR(_xlfn.XLOOKUP(_xlpm.ai_test,$BJ$15:$BJ$62,ROW($BJ$15:$BJ$62),0,1),_xlfn.XLOOKUP(_xlpm.ai_test,$BK$15:$BK$62,ROW($BK$15:$BK$62),0,1))),_xlpm.p,_xlpm.r-MIN(ROW($BI$15:$BI$62))+1,_xlpm.f,INDEX($BL$15:$BL$62,_xlpm.p),_xlpm.u,INDEX($BM$15:$BM$62,_xlpm.p),_xlpm.s,INDEX($BO$15:$BO$62,_xlpm.p),_xlpm.q,N(AT304)/_xlpm.f,IF(_xlpm.q&gt;=_xlpm.s,ROUND(_xlpm.q,1)&amp;" "&amp;_xlpm.ai_test&amp;" = "&amp;ROUND(_xlpm.q*_xlpm.f,1)&amp;" "&amp;_xlpm.u,ROUND(_xlpm.q,1)&amp;" "&amp;_xlpm.ai_test)),""),""))))</f>
        <v>95.6 g</v>
      </c>
      <c r="AW304" s="1047"/>
      <c r="AX304" s="1034">
        <f t="shared" si="145"/>
        <v>9.5588235294117641E-2</v>
      </c>
      <c r="AY304" s="1035" t="str">
        <f t="shared" si="146"/>
        <v>Kg</v>
      </c>
      <c r="AZ304" s="1036">
        <f t="shared" si="151"/>
        <v>0</v>
      </c>
      <c r="BA304" s="1037" t="str">
        <f t="shared" si="147"/>
        <v/>
      </c>
      <c r="BB304" s="1038"/>
      <c r="BC304" s="1039">
        <f t="shared" si="152"/>
        <v>0</v>
      </c>
      <c r="BD304" s="1040" t="str">
        <f t="shared" si="148"/>
        <v>poivre long</v>
      </c>
      <c r="BE304" s="227" t="s">
        <v>22</v>
      </c>
      <c r="BF304" s="1019">
        <f t="shared" si="149"/>
        <v>0</v>
      </c>
      <c r="BG304" s="1020">
        <f t="shared" si="150"/>
        <v>1.5931372549019607</v>
      </c>
      <c r="BH304"/>
      <c r="BI304" s="709"/>
      <c r="BJ304" s="709"/>
      <c r="BK304" s="709"/>
      <c r="BL304" s="709"/>
      <c r="BM304" s="709"/>
      <c r="BN304" s="709"/>
      <c r="BO304" s="709"/>
      <c r="BP304" s="709"/>
      <c r="BQ304"/>
      <c r="BR304"/>
      <c r="BS304"/>
      <c r="BT304"/>
      <c r="BU304"/>
      <c r="BV304"/>
      <c r="BW304" s="959" t="str">
        <f t="shared" si="130"/>
        <v>A</v>
      </c>
      <c r="BX304"/>
      <c r="BY304"/>
      <c r="BZ304"/>
      <c r="CA304"/>
      <c r="CB304"/>
      <c r="CD304"/>
      <c r="CE304"/>
      <c r="CF304"/>
      <c r="CG304"/>
      <c r="CH304"/>
      <c r="CI304"/>
      <c r="CJ304"/>
      <c r="CL304"/>
      <c r="CM304"/>
      <c r="CN304"/>
      <c r="CO304"/>
      <c r="CP304"/>
      <c r="CQ304"/>
      <c r="CR304"/>
      <c r="CT304"/>
      <c r="CU304"/>
      <c r="CV304"/>
      <c r="CW304"/>
      <c r="CX304"/>
      <c r="CY304"/>
      <c r="CZ304"/>
      <c r="DB304" s="3">
        <v>1</v>
      </c>
      <c r="DC304" s="709"/>
      <c r="DD304" s="709"/>
    </row>
    <row r="305" spans="1:108" s="856" customFormat="1" ht="21" customHeight="1">
      <c r="A305" s="936" t="s">
        <v>22</v>
      </c>
      <c r="B305" s="1124">
        <v>3</v>
      </c>
      <c r="C305" s="1124">
        <v>9</v>
      </c>
      <c r="D305" s="1124">
        <v>12</v>
      </c>
      <c r="E305" s="1124">
        <v>12</v>
      </c>
      <c r="F305" s="1124">
        <v>3</v>
      </c>
      <c r="G305" s="1124">
        <v>9</v>
      </c>
      <c r="H305" s="1124">
        <v>12</v>
      </c>
      <c r="I305" s="1124">
        <v>13</v>
      </c>
      <c r="J305" s="1124">
        <v>40</v>
      </c>
      <c r="K305" s="442" t="s">
        <v>22</v>
      </c>
      <c r="L305" s="104" t="str">
        <f t="shared" si="155"/>
        <v>A</v>
      </c>
      <c r="M305" s="32" t="str">
        <f>M297</f>
        <v>É ÉPICES POUR BOUDIN | |  Author &gt; Guy KRENZE - Eric GODDYN - Arnaud NICOLAS - CEPROC 2002</v>
      </c>
      <c r="N305" s="33">
        <f>N297</f>
        <v>408</v>
      </c>
      <c r="O305" s="32" t="str">
        <f>O297</f>
        <v>g</v>
      </c>
      <c r="P305" s="34" t="str">
        <f>P297</f>
        <v>Master recipe ► le Boudin en 4 déclinaisons</v>
      </c>
      <c r="Q305" s="92"/>
      <c r="R305" s="108"/>
      <c r="S305" s="94" t="str">
        <f t="shared" si="154"/>
        <v/>
      </c>
      <c r="T305" s="95">
        <v>50</v>
      </c>
      <c r="U305" s="105" t="s">
        <v>99</v>
      </c>
      <c r="V305" s="127">
        <v>1</v>
      </c>
      <c r="W305" s="920" t="s">
        <v>13060</v>
      </c>
      <c r="X305" s="1494">
        <f>IF(OR(ISBLANK(Q295),X295=0),0,Q305*V296)</f>
        <v>0</v>
      </c>
      <c r="Y305" s="101" cm="1">
        <f t="array" ref="Y305">IFERROR(_xlfn.LET(_xlpm.k,UPPER(TRIM(U305)),_xlpm.r,_xlfn.XLOOKUP(_xlpm.k,UPPER(TRIM(Q312:Z312)),Q313:Z313,_xlfn.XLOOKUP(_xlpm.k,UPPER(TRIM(Q314:Z314)),Q315:Z315)),_xlpm.r*T305*V305*V296*IF(ISBLANK(Q305),1,Q305)),0)</f>
        <v>1.2254901960784314E-2</v>
      </c>
      <c r="Z305" s="1476" t="str">
        <f>_xlfn.LET(_xlpm.unite,SUBSTITUTE(TRIM(U305)," (s)",""),_xlpm.val,Y305,_xlpm.estVol,COUNTIF(T312:Z312,_xlpm.unite)+COUNTIF(T314:Z314,_xlpm.unite)&gt;0,_xlpm.estPoids,COUNTIF(Q312:S312,_xlpm.unite)+COUNTIF(Q314:S314,_xlpm.unite)&gt;0,IF(_xlpm.estVol,IF(ROUND(_xlpm.val,3)&gt;=1,ROUND(_xlpm.val,3)&amp;" L",MAX(1,ROUND(_xlpm.val*100,0))&amp;" cl"),IF(_xlpm.estPoids,IF(ROUND(_xlpm.val,3)&gt;=1,ROUND(_xlpm.val,3)&amp;" Kg",MAX(1,ROUND(_xlpm.val*1000,0))&amp;" g"),"")))</f>
        <v>12 g</v>
      </c>
      <c r="AA305" s="5211"/>
      <c r="AB305" s="1178"/>
      <c r="AC305" s="1179"/>
      <c r="AD305" s="227" t="s">
        <v>22</v>
      </c>
      <c r="AE305" s="1027" t="str">
        <f t="shared" si="132"/>
        <v>A</v>
      </c>
      <c r="AF305" s="1028" t="str">
        <f t="shared" si="133"/>
        <v>É ÉPICES POUR BOUDIN | |  Author &gt; Guy KRENZE - Eric GODDYN - Arnaud NICOLAS - CEPROC 2002</v>
      </c>
      <c r="AG305" s="1029">
        <f t="shared" si="134"/>
        <v>408</v>
      </c>
      <c r="AH305" s="1028" t="str">
        <f t="shared" si="135"/>
        <v>g</v>
      </c>
      <c r="AI305" s="1029" t="str">
        <f t="shared" si="136"/>
        <v>g</v>
      </c>
      <c r="AJ305" s="1029">
        <f t="shared" si="137"/>
        <v>1</v>
      </c>
      <c r="AK305" s="1043" cm="1">
        <f t="array" ref="AK305">IF(AE305&lt;&gt;"A","",IFERROR((IFERROR(_xlfn.XLOOKUP(TRIM(SUBSTITUTE(U305,CHAR(160)," ")),$BI$15:$BI$62,$BL$15:$BL$62),IFERROR(_xlfn.XLOOKUP(TRIM(SUBSTITUTE(U305,CHAR(160)," ")),$BJ$15:$BJ$62,$BL$15:$BL$62),_xlfn.XLOOKUP(TRIM(SUBSTITUTE(U305,CHAR(160)," ")),$BK$15:$BK$62,$BL$15:$BL$62))))*T305*IF(ISBLANK(Q305),1,Q305)+IFERROR(_xlfn.XLOOKUP("RECHERCHEX",TRIM(L305:AC305),L305:AC305),0),0))</f>
        <v>0.05</v>
      </c>
      <c r="AL305" s="1030" t="str">
        <f t="shared" si="138"/>
        <v>Kg</v>
      </c>
      <c r="AM305" s="5254" t="str">
        <f t="shared" si="153"/>
        <v>❾ Author reference &gt;</v>
      </c>
      <c r="AN305" s="1031">
        <f t="shared" si="139"/>
        <v>408</v>
      </c>
      <c r="AO305" s="1031" t="str">
        <f t="shared" si="140"/>
        <v>g</v>
      </c>
      <c r="AP305" s="1044">
        <f t="shared" si="141"/>
        <v>40</v>
      </c>
      <c r="AQ305" s="5257" t="str">
        <f t="shared" si="142"/>
        <v>parts-ou.or.o ❾ + or - &gt;</v>
      </c>
      <c r="AR305" s="1056">
        <v>650</v>
      </c>
      <c r="AS305" s="1056" t="s">
        <v>99</v>
      </c>
      <c r="AT305" s="1045">
        <f t="shared" si="143"/>
        <v>7.9656862745098034E-2</v>
      </c>
      <c r="AU305" s="1046" t="str">
        <f t="shared" si="144"/>
        <v>Kg</v>
      </c>
      <c r="AV305" s="1059" t="str" cm="1">
        <f t="array" ref="AV305">IF(AJ305&lt;&gt;1,0,IF(OR(AT305="",N(AT305)&lt;=0.000000001),"",IF(OR(AN305="",N(AN305)&lt;=0.000000001),0,IF(ISNUMBER(AT305),IFERROR(_xlfn.LET(_xlpm.ai_test,TRIM(AI305),_xlpm.r,IFERROR(_xlfn.XLOOKUP(_xlpm.ai_test,$BI$15:$BI$62,ROW($BI$15:$BI$62),0,1),IFERROR(_xlfn.XLOOKUP(_xlpm.ai_test,$BJ$15:$BJ$62,ROW($BJ$15:$BJ$62),0,1),_xlfn.XLOOKUP(_xlpm.ai_test,$BK$15:$BK$62,ROW($BK$15:$BK$62),0,1))),_xlpm.p,_xlpm.r-MIN(ROW($BI$15:$BI$62))+1,_xlpm.f,INDEX($BL$15:$BL$62,_xlpm.p),_xlpm.u,INDEX($BM$15:$BM$62,_xlpm.p),_xlpm.s,INDEX($BO$15:$BO$62,_xlpm.p),_xlpm.q,N(AT305)/_xlpm.f,IF(_xlpm.q&gt;=_xlpm.s,ROUND(_xlpm.q,1)&amp;" "&amp;_xlpm.ai_test&amp;" = "&amp;ROUND(_xlpm.q*_xlpm.f,1)&amp;" "&amp;_xlpm.u,ROUND(_xlpm.q,1)&amp;" "&amp;_xlpm.ai_test)),""),""))))</f>
        <v>79.7 g</v>
      </c>
      <c r="AW305" s="1047"/>
      <c r="AX305" s="1045">
        <f t="shared" si="145"/>
        <v>7.9656862745098034E-2</v>
      </c>
      <c r="AY305" s="1046" t="str">
        <f t="shared" si="146"/>
        <v>Kg</v>
      </c>
      <c r="AZ305" s="1048">
        <f t="shared" si="151"/>
        <v>0</v>
      </c>
      <c r="BA305" s="1049" t="str">
        <f t="shared" si="147"/>
        <v/>
      </c>
      <c r="BB305" s="1038"/>
      <c r="BC305" s="1050">
        <f t="shared" si="152"/>
        <v>0</v>
      </c>
      <c r="BD305" s="1040" t="str">
        <f t="shared" si="148"/>
        <v>cardamones</v>
      </c>
      <c r="BE305" s="227" t="s">
        <v>22</v>
      </c>
      <c r="BF305" s="1019">
        <f t="shared" si="149"/>
        <v>0</v>
      </c>
      <c r="BG305" s="1020">
        <f t="shared" si="150"/>
        <v>1.5931372549019607</v>
      </c>
      <c r="BH305"/>
      <c r="BI305" s="709"/>
      <c r="BJ305" s="709"/>
      <c r="BK305" s="709"/>
      <c r="BL305" s="709"/>
      <c r="BM305" s="709"/>
      <c r="BN305" s="709"/>
      <c r="BO305" s="709"/>
      <c r="BP305" s="709"/>
      <c r="BQ305"/>
      <c r="BR305"/>
      <c r="BS305"/>
      <c r="BT305"/>
      <c r="BU305"/>
      <c r="BV305"/>
      <c r="BW305" s="959" t="str">
        <f t="shared" si="130"/>
        <v>A</v>
      </c>
      <c r="BX305"/>
      <c r="BY305"/>
      <c r="BZ305"/>
      <c r="CA305"/>
      <c r="CB305"/>
      <c r="CD305"/>
      <c r="CE305"/>
      <c r="CF305"/>
      <c r="CG305"/>
      <c r="CH305"/>
      <c r="CI305"/>
      <c r="CJ305"/>
      <c r="CL305"/>
      <c r="CM305"/>
      <c r="CN305"/>
      <c r="CO305"/>
      <c r="CP305"/>
      <c r="CQ305"/>
      <c r="CR305"/>
      <c r="CT305"/>
      <c r="CU305"/>
      <c r="CV305"/>
      <c r="CW305"/>
      <c r="CX305"/>
      <c r="CY305"/>
      <c r="CZ305"/>
      <c r="DB305" s="3">
        <v>1</v>
      </c>
      <c r="DC305" s="709"/>
      <c r="DD305" s="709"/>
    </row>
    <row r="306" spans="1:108" s="856" customFormat="1" ht="21" customHeight="1" thickBot="1">
      <c r="A306" s="936" t="s">
        <v>22</v>
      </c>
      <c r="B306" s="706" t="str">
        <f>L306</f>
        <v>A</v>
      </c>
      <c r="C306" s="706">
        <f t="shared" ref="C306:J306" ca="1" si="156">CELL("largeur",C306)</f>
        <v>9</v>
      </c>
      <c r="D306" s="706">
        <f t="shared" ca="1" si="156"/>
        <v>12</v>
      </c>
      <c r="E306" s="706">
        <f t="shared" ca="1" si="156"/>
        <v>12</v>
      </c>
      <c r="F306" s="706">
        <f t="shared" ca="1" si="156"/>
        <v>3</v>
      </c>
      <c r="G306" s="706">
        <f t="shared" ca="1" si="156"/>
        <v>9</v>
      </c>
      <c r="H306" s="706">
        <f t="shared" ca="1" si="156"/>
        <v>12</v>
      </c>
      <c r="I306" s="706">
        <f t="shared" ca="1" si="156"/>
        <v>13</v>
      </c>
      <c r="J306" s="706">
        <f t="shared" ca="1" si="156"/>
        <v>40</v>
      </c>
      <c r="K306" s="442" t="s">
        <v>22</v>
      </c>
      <c r="L306" s="104" t="str">
        <f t="shared" si="155"/>
        <v>A</v>
      </c>
      <c r="M306" s="32" t="str">
        <f>M297</f>
        <v>É ÉPICES POUR BOUDIN | |  Author &gt; Guy KRENZE - Eric GODDYN - Arnaud NICOLAS - CEPROC 2002</v>
      </c>
      <c r="N306" s="33">
        <f>N297</f>
        <v>408</v>
      </c>
      <c r="O306" s="32" t="str">
        <f>O297</f>
        <v>g</v>
      </c>
      <c r="P306" s="34" t="str">
        <f>P297</f>
        <v>Master recipe ► le Boudin en 4 déclinaisons</v>
      </c>
      <c r="Q306" s="92">
        <v>5</v>
      </c>
      <c r="R306" s="108" t="s">
        <v>13066</v>
      </c>
      <c r="S306" s="94" t="str">
        <f t="shared" si="154"/>
        <v>de</v>
      </c>
      <c r="T306" s="5110">
        <v>0.5</v>
      </c>
      <c r="U306" s="105" t="s">
        <v>99</v>
      </c>
      <c r="V306" s="127">
        <v>1</v>
      </c>
      <c r="W306" s="920" t="s">
        <v>13061</v>
      </c>
      <c r="X306" s="1494">
        <f>IF(OR(ISBLANK(Q295),X295=0),0,Q306*V296)</f>
        <v>1.2254901960784312</v>
      </c>
      <c r="Y306" s="101" cm="1">
        <f t="array" ref="Y306">IFERROR(_xlfn.LET(_xlpm.k,UPPER(TRIM(U306)),_xlpm.r,_xlfn.XLOOKUP(_xlpm.k,UPPER(TRIM(Q312:Z312)),Q313:Z313,_xlfn.XLOOKUP(_xlpm.k,UPPER(TRIM(Q314:Z314)),Q315:Z315)),_xlpm.r*T306*V306*V296*IF(ISBLANK(Q306),1,Q306)),0)</f>
        <v>6.1274509803921568E-4</v>
      </c>
      <c r="Z306" s="1475" t="str">
        <f>_xlfn.LET(_xlpm.unite,SUBSTITUTE(TRIM(U306)," (s)",""),_xlpm.val,Y306,_xlpm.estVol,COUNTIF(T312:Z312,_xlpm.unite)+COUNTIF(T314:Z314,_xlpm.unite)&gt;0,_xlpm.estPoids,COUNTIF(Q312:S312,_xlpm.unite)+COUNTIF(Q314:S314,_xlpm.unite)&gt;0,IF(_xlpm.estVol,IF(ROUND(_xlpm.val,3)&gt;=1,ROUND(_xlpm.val,3)&amp;" L",MAX(1,ROUND(_xlpm.val*100,0))&amp;" cl"),IF(_xlpm.estPoids,IF(ROUND(_xlpm.val,3)&gt;=1,ROUND(_xlpm.val,3)&amp;" Kg",MAX(1,ROUND(_xlpm.val*1000,0))&amp;" g"),"")))</f>
        <v>1 g</v>
      </c>
      <c r="AA306" s="5211"/>
      <c r="AB306" s="1178"/>
      <c r="AC306" s="1179"/>
      <c r="AD306" s="227" t="s">
        <v>22</v>
      </c>
      <c r="AE306" s="1027" t="str">
        <f t="shared" si="132"/>
        <v>A</v>
      </c>
      <c r="AF306" s="1028" t="str">
        <f t="shared" si="133"/>
        <v>É ÉPICES POUR BOUDIN | |  Author &gt; Guy KRENZE - Eric GODDYN - Arnaud NICOLAS - CEPROC 2002</v>
      </c>
      <c r="AG306" s="1029">
        <f t="shared" si="134"/>
        <v>408</v>
      </c>
      <c r="AH306" s="1028" t="str">
        <f t="shared" si="135"/>
        <v>g</v>
      </c>
      <c r="AI306" s="1029" t="str">
        <f t="shared" si="136"/>
        <v>g</v>
      </c>
      <c r="AJ306" s="1029">
        <f t="shared" si="137"/>
        <v>1</v>
      </c>
      <c r="AK306" s="1043" cm="1">
        <f t="array" ref="AK306">IF(AE306&lt;&gt;"A","",IFERROR((IFERROR(_xlfn.XLOOKUP(TRIM(SUBSTITUTE(U306,CHAR(160)," ")),$BI$15:$BI$62,$BL$15:$BL$62),IFERROR(_xlfn.XLOOKUP(TRIM(SUBSTITUTE(U306,CHAR(160)," ")),$BJ$15:$BJ$62,$BL$15:$BL$62),_xlfn.XLOOKUP(TRIM(SUBSTITUTE(U306,CHAR(160)," ")),$BK$15:$BK$62,$BL$15:$BL$62))))*T306*IF(ISBLANK(Q306),1,Q306)+IFERROR(_xlfn.XLOOKUP("RECHERCHEX",TRIM(L306:AC306),L306:AC306),0),0))</f>
        <v>2.5000000000000001E-3</v>
      </c>
      <c r="AL306" s="1030" t="str">
        <f t="shared" si="138"/>
        <v>Kg</v>
      </c>
      <c r="AM306" s="5254" t="str">
        <f t="shared" si="153"/>
        <v>❾ Author reference &gt;</v>
      </c>
      <c r="AN306" s="1031">
        <f t="shared" si="139"/>
        <v>408</v>
      </c>
      <c r="AO306" s="1031" t="str">
        <f t="shared" si="140"/>
        <v>g</v>
      </c>
      <c r="AP306" s="1032">
        <f t="shared" si="141"/>
        <v>40</v>
      </c>
      <c r="AQ306" s="5255" t="str">
        <f t="shared" si="142"/>
        <v>parts-ou.or.o ❾ + or - &gt;</v>
      </c>
      <c r="AR306" s="1056">
        <v>650</v>
      </c>
      <c r="AS306" s="1056" t="s">
        <v>99</v>
      </c>
      <c r="AT306" s="1034">
        <f t="shared" si="143"/>
        <v>3.9828431372549017E-3</v>
      </c>
      <c r="AU306" s="1035" t="str">
        <f t="shared" si="144"/>
        <v>Kg</v>
      </c>
      <c r="AV306" s="1057" t="str" cm="1">
        <f t="array" ref="AV306">IF(AJ306&lt;&gt;1,0,IF(OR(AT306="",N(AT306)&lt;=0.000000001),"",IF(OR(AN306="",N(AN306)&lt;=0.000000001),0,IF(ISNUMBER(AT306),IFERROR(_xlfn.LET(_xlpm.ai_test,TRIM(AI306),_xlpm.r,IFERROR(_xlfn.XLOOKUP(_xlpm.ai_test,$BI$15:$BI$62,ROW($BI$15:$BI$62),0,1),IFERROR(_xlfn.XLOOKUP(_xlpm.ai_test,$BJ$15:$BJ$62,ROW($BJ$15:$BJ$62),0,1),_xlfn.XLOOKUP(_xlpm.ai_test,$BK$15:$BK$62,ROW($BK$15:$BK$62),0,1))),_xlpm.p,_xlpm.r-MIN(ROW($BI$15:$BI$62))+1,_xlpm.f,INDEX($BL$15:$BL$62,_xlpm.p),_xlpm.u,INDEX($BM$15:$BM$62,_xlpm.p),_xlpm.s,INDEX($BO$15:$BO$62,_xlpm.p),_xlpm.q,N(AT306)/_xlpm.f,IF(_xlpm.q&gt;=_xlpm.s,ROUND(_xlpm.q,1)&amp;" "&amp;_xlpm.ai_test&amp;" = "&amp;ROUND(_xlpm.q*_xlpm.f,1)&amp;" "&amp;_xlpm.u,ROUND(_xlpm.q,1)&amp;" "&amp;_xlpm.ai_test)),""),""))))</f>
        <v>4 g</v>
      </c>
      <c r="AW306" s="1047"/>
      <c r="AX306" s="1034">
        <f t="shared" si="145"/>
        <v>3.9828431372549017E-3</v>
      </c>
      <c r="AY306" s="1035" t="str">
        <f t="shared" si="146"/>
        <v>Kg</v>
      </c>
      <c r="AZ306" s="1036">
        <f t="shared" si="151"/>
        <v>7.965686274509804</v>
      </c>
      <c r="BA306" s="1037" t="str">
        <f t="shared" si="147"/>
        <v>pièces</v>
      </c>
      <c r="BB306" s="1038"/>
      <c r="BC306" s="1039">
        <f t="shared" si="152"/>
        <v>0</v>
      </c>
      <c r="BD306" s="1040" t="str">
        <f t="shared" si="148"/>
        <v>anis étoilé</v>
      </c>
      <c r="BE306" s="227" t="s">
        <v>22</v>
      </c>
      <c r="BF306" s="1019">
        <f t="shared" si="149"/>
        <v>7.965686274509804</v>
      </c>
      <c r="BG306" s="1020">
        <f t="shared" si="150"/>
        <v>1.5931372549019607</v>
      </c>
      <c r="BH306"/>
      <c r="BI306" s="709"/>
      <c r="BJ306" s="709"/>
      <c r="BK306" s="709"/>
      <c r="BL306" s="709"/>
      <c r="BM306" s="709"/>
      <c r="BN306" s="709"/>
      <c r="BO306" s="709"/>
      <c r="BP306" s="709"/>
      <c r="BQ306"/>
      <c r="BR306"/>
      <c r="BS306"/>
      <c r="BT306"/>
      <c r="BU306"/>
      <c r="BV306"/>
      <c r="BW306" s="959" t="str">
        <f t="shared" si="130"/>
        <v>A</v>
      </c>
      <c r="BX306"/>
      <c r="BY306"/>
      <c r="BZ306"/>
      <c r="CA306"/>
      <c r="CB306"/>
      <c r="CD306"/>
      <c r="CE306"/>
      <c r="CF306"/>
      <c r="CG306"/>
      <c r="CH306"/>
      <c r="CI306"/>
      <c r="CJ306"/>
      <c r="CL306"/>
      <c r="CM306"/>
      <c r="CN306"/>
      <c r="CO306"/>
      <c r="CP306"/>
      <c r="CQ306"/>
      <c r="CR306"/>
      <c r="CT306"/>
      <c r="CU306"/>
      <c r="CV306"/>
      <c r="CW306"/>
      <c r="CX306"/>
      <c r="CY306"/>
      <c r="CZ306"/>
      <c r="DB306" s="3">
        <v>1</v>
      </c>
    </row>
    <row r="307" spans="1:108" s="709" customFormat="1" ht="21" customHeight="1">
      <c r="A307" s="936" t="s">
        <v>22</v>
      </c>
      <c r="B307" s="227" t="str">
        <f>L307</f>
        <v>A</v>
      </c>
      <c r="C307" s="227"/>
      <c r="D307" s="870"/>
      <c r="E307" s="870"/>
      <c r="F307" s="870"/>
      <c r="G307" s="870"/>
      <c r="H307" s="870"/>
      <c r="I307" s="870"/>
      <c r="J307" s="870"/>
      <c r="K307" s="442" t="s">
        <v>22</v>
      </c>
      <c r="L307" s="104" t="str">
        <f t="shared" si="155"/>
        <v>A</v>
      </c>
      <c r="M307" s="32" t="str">
        <f>M297</f>
        <v>É ÉPICES POUR BOUDIN | |  Author &gt; Guy KRENZE - Eric GODDYN - Arnaud NICOLAS - CEPROC 2002</v>
      </c>
      <c r="N307" s="33">
        <f>N297</f>
        <v>408</v>
      </c>
      <c r="O307" s="32" t="str">
        <f>O297</f>
        <v>g</v>
      </c>
      <c r="P307" s="34" t="str">
        <f>P297</f>
        <v>Master recipe ► le Boudin en 4 déclinaisons</v>
      </c>
      <c r="Q307" s="92"/>
      <c r="R307" s="108"/>
      <c r="S307" s="94" t="str">
        <f t="shared" si="154"/>
        <v/>
      </c>
      <c r="T307" s="95">
        <v>20</v>
      </c>
      <c r="U307" s="105" t="s">
        <v>99</v>
      </c>
      <c r="V307" s="127">
        <v>1</v>
      </c>
      <c r="W307" s="920" t="s">
        <v>13062</v>
      </c>
      <c r="X307" s="1494">
        <f>IF(OR(ISBLANK(Q295),X295=0),0,Q307*V296)</f>
        <v>0</v>
      </c>
      <c r="Y307" s="101" cm="1">
        <f t="array" ref="Y307">IFERROR(_xlfn.LET(_xlpm.k,UPPER(TRIM(U307)),_xlpm.r,_xlfn.XLOOKUP(_xlpm.k,UPPER(TRIM(Q312:Z312)),Q313:Z313,_xlfn.XLOOKUP(_xlpm.k,UPPER(TRIM(Q314:Z314)),Q315:Z315)),_xlpm.r*T307*V307*V296*IF(ISBLANK(Q307),1,Q307)),0)</f>
        <v>4.9019607843137254E-3</v>
      </c>
      <c r="Z307" s="1476" t="str">
        <f>_xlfn.LET(_xlpm.unite,SUBSTITUTE(TRIM(U307)," (s)",""),_xlpm.val,Y307,_xlpm.estVol,COUNTIF(T312:Z312,_xlpm.unite)+COUNTIF(T314:Z314,_xlpm.unite)&gt;0,_xlpm.estPoids,COUNTIF(Q312:S312,_xlpm.unite)+COUNTIF(Q314:S314,_xlpm.unite)&gt;0,IF(_xlpm.estVol,IF(ROUND(_xlpm.val,3)&gt;=1,ROUND(_xlpm.val,3)&amp;" L",MAX(1,ROUND(_xlpm.val*100,0))&amp;" cl"),IF(_xlpm.estPoids,IF(ROUND(_xlpm.val,3)&gt;=1,ROUND(_xlpm.val,3)&amp;" Kg",MAX(1,ROUND(_xlpm.val*1000,0))&amp;" g"),"")))</f>
        <v>5 g</v>
      </c>
      <c r="AA307" s="5211"/>
      <c r="AB307" s="1178"/>
      <c r="AC307" s="1179"/>
      <c r="AD307" s="227" t="s">
        <v>22</v>
      </c>
      <c r="AE307" s="1027" t="str">
        <f t="shared" si="132"/>
        <v>A</v>
      </c>
      <c r="AF307" s="1028" t="str">
        <f t="shared" si="133"/>
        <v>É ÉPICES POUR BOUDIN | |  Author &gt; Guy KRENZE - Eric GODDYN - Arnaud NICOLAS - CEPROC 2002</v>
      </c>
      <c r="AG307" s="1029">
        <f t="shared" si="134"/>
        <v>408</v>
      </c>
      <c r="AH307" s="1028" t="str">
        <f t="shared" si="135"/>
        <v>g</v>
      </c>
      <c r="AI307" s="1029" t="str">
        <f t="shared" si="136"/>
        <v>g</v>
      </c>
      <c r="AJ307" s="1029">
        <f t="shared" si="137"/>
        <v>1</v>
      </c>
      <c r="AK307" s="1043" cm="1">
        <f t="array" ref="AK307">IF(AE307&lt;&gt;"A","",IFERROR((IFERROR(_xlfn.XLOOKUP(TRIM(SUBSTITUTE(U307,CHAR(160)," ")),$BI$15:$BI$62,$BL$15:$BL$62),IFERROR(_xlfn.XLOOKUP(TRIM(SUBSTITUTE(U307,CHAR(160)," ")),$BJ$15:$BJ$62,$BL$15:$BL$62),_xlfn.XLOOKUP(TRIM(SUBSTITUTE(U307,CHAR(160)," ")),$BK$15:$BK$62,$BL$15:$BL$62))))*T307*IF(ISBLANK(Q307),1,Q307)+IFERROR(_xlfn.XLOOKUP("RECHERCHEX",TRIM(L307:AC307),L307:AC307),0),0))</f>
        <v>0.02</v>
      </c>
      <c r="AL307" s="1030" t="str">
        <f t="shared" si="138"/>
        <v>Kg</v>
      </c>
      <c r="AM307" s="5254" t="str">
        <f t="shared" si="153"/>
        <v>❾ Author reference &gt;</v>
      </c>
      <c r="AN307" s="1031">
        <f t="shared" si="139"/>
        <v>408</v>
      </c>
      <c r="AO307" s="1031" t="str">
        <f t="shared" si="140"/>
        <v>g</v>
      </c>
      <c r="AP307" s="1044">
        <f t="shared" si="141"/>
        <v>40</v>
      </c>
      <c r="AQ307" s="5257" t="str">
        <f t="shared" si="142"/>
        <v>parts-ou.or.o ❾ + or - &gt;</v>
      </c>
      <c r="AR307" s="1056">
        <v>650</v>
      </c>
      <c r="AS307" s="1056" t="s">
        <v>99</v>
      </c>
      <c r="AT307" s="1045">
        <f t="shared" si="143"/>
        <v>3.1862745098039214E-2</v>
      </c>
      <c r="AU307" s="1046" t="str">
        <f t="shared" si="144"/>
        <v>Kg</v>
      </c>
      <c r="AV307" s="1059" t="str" cm="1">
        <f t="array" ref="AV307">IF(AJ307&lt;&gt;1,0,IF(OR(AT307="",N(AT307)&lt;=0.000000001),"",IF(OR(AN307="",N(AN307)&lt;=0.000000001),0,IF(ISNUMBER(AT307),IFERROR(_xlfn.LET(_xlpm.ai_test,TRIM(AI307),_xlpm.r,IFERROR(_xlfn.XLOOKUP(_xlpm.ai_test,$BI$15:$BI$62,ROW($BI$15:$BI$62),0,1),IFERROR(_xlfn.XLOOKUP(_xlpm.ai_test,$BJ$15:$BJ$62,ROW($BJ$15:$BJ$62),0,1),_xlfn.XLOOKUP(_xlpm.ai_test,$BK$15:$BK$62,ROW($BK$15:$BK$62),0,1))),_xlpm.p,_xlpm.r-MIN(ROW($BI$15:$BI$62))+1,_xlpm.f,INDEX($BL$15:$BL$62,_xlpm.p),_xlpm.u,INDEX($BM$15:$BM$62,_xlpm.p),_xlpm.s,INDEX($BO$15:$BO$62,_xlpm.p),_xlpm.q,N(AT307)/_xlpm.f,IF(_xlpm.q&gt;=_xlpm.s,ROUND(_xlpm.q,1)&amp;" "&amp;_xlpm.ai_test&amp;" = "&amp;ROUND(_xlpm.q*_xlpm.f,1)&amp;" "&amp;_xlpm.u,ROUND(_xlpm.q,1)&amp;" "&amp;_xlpm.ai_test)),""),""))))</f>
        <v>31.9 g</v>
      </c>
      <c r="AW307" s="1047"/>
      <c r="AX307" s="1045">
        <f t="shared" si="145"/>
        <v>3.1862745098039214E-2</v>
      </c>
      <c r="AY307" s="1046" t="str">
        <f t="shared" si="146"/>
        <v>Kg</v>
      </c>
      <c r="AZ307" s="1048">
        <f t="shared" si="151"/>
        <v>0</v>
      </c>
      <c r="BA307" s="1049" t="str">
        <f t="shared" si="147"/>
        <v/>
      </c>
      <c r="BB307" s="1038"/>
      <c r="BC307" s="1050">
        <f t="shared" si="152"/>
        <v>0</v>
      </c>
      <c r="BD307" s="1040" t="str">
        <f t="shared" si="148"/>
        <v>5 épices</v>
      </c>
      <c r="BE307" s="227" t="s">
        <v>22</v>
      </c>
      <c r="BF307" s="1019">
        <f t="shared" si="149"/>
        <v>0</v>
      </c>
      <c r="BG307" s="1020">
        <f t="shared" si="150"/>
        <v>1.5931372549019607</v>
      </c>
      <c r="BH307"/>
      <c r="BQ307"/>
      <c r="BR307"/>
      <c r="BS307"/>
      <c r="BT307"/>
      <c r="BU307"/>
      <c r="BV307"/>
      <c r="BW307" s="959" t="str">
        <f t="shared" si="130"/>
        <v>A</v>
      </c>
      <c r="BX307"/>
      <c r="BY307"/>
      <c r="BZ307"/>
      <c r="CA307"/>
      <c r="CB307"/>
      <c r="CC307" s="856"/>
      <c r="CD307"/>
      <c r="CE307"/>
      <c r="CF307"/>
      <c r="CG307"/>
      <c r="CH307"/>
      <c r="CI307"/>
      <c r="CJ307"/>
      <c r="CK307" s="856"/>
      <c r="CL307"/>
      <c r="CM307"/>
      <c r="CN307"/>
      <c r="CO307"/>
      <c r="CP307"/>
      <c r="CQ307"/>
      <c r="CR307"/>
      <c r="CS307" s="856"/>
      <c r="CT307"/>
      <c r="CU307"/>
      <c r="CV307"/>
      <c r="CW307"/>
      <c r="CX307"/>
      <c r="CY307"/>
      <c r="CZ307"/>
      <c r="DA307" s="856"/>
      <c r="DB307" s="3">
        <v>1</v>
      </c>
    </row>
    <row r="308" spans="1:108" ht="21" customHeight="1">
      <c r="L308" s="104" t="str">
        <f t="shared" si="155"/>
        <v>A</v>
      </c>
      <c r="M308" s="32" t="str">
        <f>M297</f>
        <v>É ÉPICES POUR BOUDIN | |  Author &gt; Guy KRENZE - Eric GODDYN - Arnaud NICOLAS - CEPROC 2002</v>
      </c>
      <c r="N308" s="33">
        <f>N297</f>
        <v>408</v>
      </c>
      <c r="O308" s="32" t="str">
        <f>O297</f>
        <v>g</v>
      </c>
      <c r="P308" s="34" t="str">
        <f>P297</f>
        <v>Master recipe ► le Boudin en 4 déclinaisons</v>
      </c>
      <c r="Q308" s="92"/>
      <c r="R308" s="108"/>
      <c r="S308" s="94" t="str">
        <f t="shared" si="154"/>
        <v/>
      </c>
      <c r="T308" s="95">
        <v>10</v>
      </c>
      <c r="U308" s="105" t="s">
        <v>99</v>
      </c>
      <c r="V308" s="127">
        <v>1</v>
      </c>
      <c r="W308" s="920" t="s">
        <v>13063</v>
      </c>
      <c r="X308" s="1494">
        <f>IF(OR(ISBLANK(Q295),X295=0),0,Q308*V296)</f>
        <v>0</v>
      </c>
      <c r="Y308" s="101" cm="1">
        <f t="array" ref="Y308">IFERROR(_xlfn.LET(_xlpm.k,UPPER(TRIM(U308)),_xlpm.r,_xlfn.XLOOKUP(_xlpm.k,UPPER(TRIM(Q312:Z312)),Q313:Z313,_xlfn.XLOOKUP(_xlpm.k,UPPER(TRIM(Q314:Z314)),Q315:Z315)),_xlpm.r*T308*V308*V296*IF(ISBLANK(Q308),1,Q308)),0)</f>
        <v>2.4509803921568627E-3</v>
      </c>
      <c r="Z308" s="1475" t="str">
        <f>_xlfn.LET(_xlpm.unite,SUBSTITUTE(TRIM(U308)," (s)",""),_xlpm.val,Y308,_xlpm.estVol,COUNTIF(T312:Z312,_xlpm.unite)+COUNTIF(T314:Z314,_xlpm.unite)&gt;0,_xlpm.estPoids,COUNTIF(Q312:S312,_xlpm.unite)+COUNTIF(Q314:S314,_xlpm.unite)&gt;0,IF(_xlpm.estVol,IF(ROUND(_xlpm.val,3)&gt;=1,ROUND(_xlpm.val,3)&amp;" L",MAX(1,ROUND(_xlpm.val*100,0))&amp;" cl"),IF(_xlpm.estPoids,IF(ROUND(_xlpm.val,3)&gt;=1,ROUND(_xlpm.val,3)&amp;" Kg",MAX(1,ROUND(_xlpm.val*1000,0))&amp;" g"),"")))</f>
        <v>2 g</v>
      </c>
      <c r="AA308" s="5211"/>
      <c r="AB308" s="1178"/>
      <c r="AC308" s="1179"/>
      <c r="AD308" s="227" t="s">
        <v>22</v>
      </c>
      <c r="AE308" s="1027" t="str">
        <f t="shared" si="132"/>
        <v>A</v>
      </c>
      <c r="AF308" s="1028" t="str">
        <f t="shared" si="133"/>
        <v>É ÉPICES POUR BOUDIN | |  Author &gt; Guy KRENZE - Eric GODDYN - Arnaud NICOLAS - CEPROC 2002</v>
      </c>
      <c r="AG308" s="1029">
        <f t="shared" si="134"/>
        <v>408</v>
      </c>
      <c r="AH308" s="1028" t="str">
        <f t="shared" si="135"/>
        <v>g</v>
      </c>
      <c r="AI308" s="1029" t="str">
        <f t="shared" si="136"/>
        <v>g</v>
      </c>
      <c r="AJ308" s="1029">
        <f t="shared" si="137"/>
        <v>1</v>
      </c>
      <c r="AK308" s="1043" cm="1">
        <f t="array" ref="AK308">IF(AE308&lt;&gt;"A","",IFERROR((IFERROR(_xlfn.XLOOKUP(TRIM(SUBSTITUTE(U308,CHAR(160)," ")),$BI$15:$BI$62,$BL$15:$BL$62),IFERROR(_xlfn.XLOOKUP(TRIM(SUBSTITUTE(U308,CHAR(160)," ")),$BJ$15:$BJ$62,$BL$15:$BL$62),_xlfn.XLOOKUP(TRIM(SUBSTITUTE(U308,CHAR(160)," ")),$BK$15:$BK$62,$BL$15:$BL$62))))*T308*IF(ISBLANK(Q308),1,Q308)+IFERROR(_xlfn.XLOOKUP("RECHERCHEX",TRIM(L308:AC308),L308:AC308),0),0))</f>
        <v>0.01</v>
      </c>
      <c r="AL308" s="1030" t="str">
        <f t="shared" si="138"/>
        <v>Kg</v>
      </c>
      <c r="AM308" s="5254" t="str">
        <f t="shared" si="153"/>
        <v>❾ Author reference &gt;</v>
      </c>
      <c r="AN308" s="1031">
        <f t="shared" si="139"/>
        <v>408</v>
      </c>
      <c r="AO308" s="1031" t="str">
        <f t="shared" si="140"/>
        <v>g</v>
      </c>
      <c r="AP308" s="1032">
        <f t="shared" si="141"/>
        <v>40</v>
      </c>
      <c r="AQ308" s="5255" t="str">
        <f t="shared" si="142"/>
        <v>parts-ou.or.o ❾ + or - &gt;</v>
      </c>
      <c r="AR308" s="1056">
        <v>650</v>
      </c>
      <c r="AS308" s="1056" t="s">
        <v>99</v>
      </c>
      <c r="AT308" s="1034">
        <f t="shared" si="143"/>
        <v>1.5931372549019607E-2</v>
      </c>
      <c r="AU308" s="1035" t="str">
        <f t="shared" si="144"/>
        <v>Kg</v>
      </c>
      <c r="AV308" s="1057" t="str" cm="1">
        <f t="array" ref="AV308">IF(AJ308&lt;&gt;1,0,IF(OR(AT308="",N(AT308)&lt;=0.000000001),"",IF(OR(AN308="",N(AN308)&lt;=0.000000001),0,IF(ISNUMBER(AT308),IFERROR(_xlfn.LET(_xlpm.ai_test,TRIM(AI308),_xlpm.r,IFERROR(_xlfn.XLOOKUP(_xlpm.ai_test,$BI$15:$BI$62,ROW($BI$15:$BI$62),0,1),IFERROR(_xlfn.XLOOKUP(_xlpm.ai_test,$BJ$15:$BJ$62,ROW($BJ$15:$BJ$62),0,1),_xlfn.XLOOKUP(_xlpm.ai_test,$BK$15:$BK$62,ROW($BK$15:$BK$62),0,1))),_xlpm.p,_xlpm.r-MIN(ROW($BI$15:$BI$62))+1,_xlpm.f,INDEX($BL$15:$BL$62,_xlpm.p),_xlpm.u,INDEX($BM$15:$BM$62,_xlpm.p),_xlpm.s,INDEX($BO$15:$BO$62,_xlpm.p),_xlpm.q,N(AT308)/_xlpm.f,IF(_xlpm.q&gt;=_xlpm.s,ROUND(_xlpm.q,1)&amp;" "&amp;_xlpm.ai_test&amp;" = "&amp;ROUND(_xlpm.q*_xlpm.f,1)&amp;" "&amp;_xlpm.u,ROUND(_xlpm.q,1)&amp;" "&amp;_xlpm.ai_test)),""),""))))</f>
        <v>15.9 g</v>
      </c>
      <c r="AW308" s="1047"/>
      <c r="AX308" s="1034">
        <f t="shared" si="145"/>
        <v>1.5931372549019607E-2</v>
      </c>
      <c r="AY308" s="1035" t="str">
        <f t="shared" si="146"/>
        <v>Kg</v>
      </c>
      <c r="AZ308" s="1036">
        <f t="shared" si="151"/>
        <v>0</v>
      </c>
      <c r="BA308" s="1037" t="str">
        <f t="shared" si="147"/>
        <v/>
      </c>
      <c r="BB308" s="1038"/>
      <c r="BC308" s="1039">
        <f t="shared" si="152"/>
        <v>0</v>
      </c>
      <c r="BD308" s="1040" t="str">
        <f t="shared" si="148"/>
        <v>macis</v>
      </c>
      <c r="BE308" s="227" t="s">
        <v>22</v>
      </c>
      <c r="BF308" s="1019">
        <f t="shared" si="149"/>
        <v>0</v>
      </c>
      <c r="BG308" s="1020">
        <f t="shared" si="150"/>
        <v>1.5931372549019607</v>
      </c>
      <c r="BH308"/>
      <c r="BI308" s="709"/>
      <c r="BJ308" s="709"/>
      <c r="BK308" s="709"/>
      <c r="BL308" s="709"/>
      <c r="BM308" s="709"/>
      <c r="BN308" s="709"/>
      <c r="BO308" s="709"/>
      <c r="BP308" s="709"/>
      <c r="BW308" s="959" t="str">
        <f t="shared" si="130"/>
        <v>A</v>
      </c>
      <c r="CB308"/>
      <c r="CC308" s="856"/>
      <c r="CK308" s="856"/>
      <c r="CS308" s="856"/>
      <c r="DA308" s="856"/>
      <c r="DB308" s="3">
        <v>1</v>
      </c>
    </row>
    <row r="309" spans="1:108" ht="21" customHeight="1">
      <c r="L309" s="104" t="str">
        <f t="shared" si="155"/>
        <v>A</v>
      </c>
      <c r="M309" s="32" t="str">
        <f>M297</f>
        <v>É ÉPICES POUR BOUDIN | |  Author &gt; Guy KRENZE - Eric GODDYN - Arnaud NICOLAS - CEPROC 2002</v>
      </c>
      <c r="N309" s="33">
        <f>N297</f>
        <v>408</v>
      </c>
      <c r="O309" s="32" t="str">
        <f>O297</f>
        <v>g</v>
      </c>
      <c r="P309" s="34" t="str">
        <f>P297</f>
        <v>Master recipe ► le Boudin en 4 déclinaisons</v>
      </c>
      <c r="Q309" s="92"/>
      <c r="R309" s="108"/>
      <c r="S309" s="94" t="str">
        <f t="shared" si="154"/>
        <v/>
      </c>
      <c r="T309" s="95">
        <v>15</v>
      </c>
      <c r="U309" s="105" t="s">
        <v>99</v>
      </c>
      <c r="V309" s="127">
        <v>1</v>
      </c>
      <c r="W309" s="920" t="s">
        <v>13064</v>
      </c>
      <c r="X309" s="1494">
        <f>IF(OR(ISBLANK(Q295),X295=0),0,Q309*V296)</f>
        <v>0</v>
      </c>
      <c r="Y309" s="101" cm="1">
        <f t="array" ref="Y309">IFERROR(_xlfn.LET(_xlpm.k,UPPER(TRIM(U309)),_xlpm.r,_xlfn.XLOOKUP(_xlpm.k,UPPER(TRIM(Q312:Z312)),Q313:Z313,_xlfn.XLOOKUP(_xlpm.k,UPPER(TRIM(Q314:Z314)),Q315:Z315)),_xlpm.r*T309*V309*V296*IF(ISBLANK(Q309),1,Q309)),0)</f>
        <v>3.6764705882352936E-3</v>
      </c>
      <c r="Z309" s="1476" t="str">
        <f>_xlfn.LET(_xlpm.unite,SUBSTITUTE(TRIM(U309)," (s)",""),_xlpm.val,Y309,_xlpm.estVol,COUNTIF(T312:Z312,_xlpm.unite)+COUNTIF(T314:Z314,_xlpm.unite)&gt;0,_xlpm.estPoids,COUNTIF(Q312:S312,_xlpm.unite)+COUNTIF(Q314:S314,_xlpm.unite)&gt;0,IF(_xlpm.estVol,IF(ROUND(_xlpm.val,3)&gt;=1,ROUND(_xlpm.val,3)&amp;" L",MAX(1,ROUND(_xlpm.val*100,0))&amp;" cl"),IF(_xlpm.estPoids,IF(ROUND(_xlpm.val,3)&gt;=1,ROUND(_xlpm.val,3)&amp;" Kg",MAX(1,ROUND(_xlpm.val*1000,0))&amp;" g"),"")))</f>
        <v>4 g</v>
      </c>
      <c r="AA309" s="5211"/>
      <c r="AB309" s="1178"/>
      <c r="AC309" s="1179"/>
      <c r="AD309" s="227" t="s">
        <v>22</v>
      </c>
      <c r="AE309" s="1027" t="str">
        <f t="shared" si="132"/>
        <v>A</v>
      </c>
      <c r="AF309" s="1028" t="str">
        <f t="shared" si="133"/>
        <v>É ÉPICES POUR BOUDIN | |  Author &gt; Guy KRENZE - Eric GODDYN - Arnaud NICOLAS - CEPROC 2002</v>
      </c>
      <c r="AG309" s="1029">
        <f t="shared" si="134"/>
        <v>408</v>
      </c>
      <c r="AH309" s="1028" t="str">
        <f t="shared" si="135"/>
        <v>g</v>
      </c>
      <c r="AI309" s="1029" t="str">
        <f t="shared" si="136"/>
        <v>g</v>
      </c>
      <c r="AJ309" s="1029">
        <f t="shared" si="137"/>
        <v>1</v>
      </c>
      <c r="AK309" s="1043" cm="1">
        <f t="array" ref="AK309">IF(AE309&lt;&gt;"A","",IFERROR((IFERROR(_xlfn.XLOOKUP(TRIM(SUBSTITUTE(U309,CHAR(160)," ")),$BI$15:$BI$62,$BL$15:$BL$62),IFERROR(_xlfn.XLOOKUP(TRIM(SUBSTITUTE(U309,CHAR(160)," ")),$BJ$15:$BJ$62,$BL$15:$BL$62),_xlfn.XLOOKUP(TRIM(SUBSTITUTE(U309,CHAR(160)," ")),$BK$15:$BK$62,$BL$15:$BL$62))))*T309*IF(ISBLANK(Q309),1,Q309)+IFERROR(_xlfn.XLOOKUP("RECHERCHEX",TRIM(L309:AC309),L309:AC309),0),0))</f>
        <v>1.4999999999999999E-2</v>
      </c>
      <c r="AL309" s="1030" t="str">
        <f t="shared" si="138"/>
        <v>Kg</v>
      </c>
      <c r="AM309" s="5254" t="str">
        <f t="shared" si="153"/>
        <v>❾ Author reference &gt;</v>
      </c>
      <c r="AN309" s="1031">
        <f t="shared" si="139"/>
        <v>408</v>
      </c>
      <c r="AO309" s="1031" t="str">
        <f t="shared" si="140"/>
        <v>g</v>
      </c>
      <c r="AP309" s="1044">
        <f t="shared" si="141"/>
        <v>40</v>
      </c>
      <c r="AQ309" s="5257" t="str">
        <f t="shared" si="142"/>
        <v>parts-ou.or.o ❾ + or - &gt;</v>
      </c>
      <c r="AR309" s="1056">
        <v>650</v>
      </c>
      <c r="AS309" s="1056" t="s">
        <v>99</v>
      </c>
      <c r="AT309" s="1045">
        <f t="shared" si="143"/>
        <v>2.389705882352941E-2</v>
      </c>
      <c r="AU309" s="1046" t="str">
        <f t="shared" si="144"/>
        <v>Kg</v>
      </c>
      <c r="AV309" s="1059" t="str" cm="1">
        <f t="array" ref="AV309">IF(AJ309&lt;&gt;1,0,IF(OR(AT309="",N(AT309)&lt;=0.000000001),"",IF(OR(AN309="",N(AN309)&lt;=0.000000001),0,IF(ISNUMBER(AT309),IFERROR(_xlfn.LET(_xlpm.ai_test,TRIM(AI309),_xlpm.r,IFERROR(_xlfn.XLOOKUP(_xlpm.ai_test,$BI$15:$BI$62,ROW($BI$15:$BI$62),0,1),IFERROR(_xlfn.XLOOKUP(_xlpm.ai_test,$BJ$15:$BJ$62,ROW($BJ$15:$BJ$62),0,1),_xlfn.XLOOKUP(_xlpm.ai_test,$BK$15:$BK$62,ROW($BK$15:$BK$62),0,1))),_xlpm.p,_xlpm.r-MIN(ROW($BI$15:$BI$62))+1,_xlpm.f,INDEX($BL$15:$BL$62,_xlpm.p),_xlpm.u,INDEX($BM$15:$BM$62,_xlpm.p),_xlpm.s,INDEX($BO$15:$BO$62,_xlpm.p),_xlpm.q,N(AT309)/_xlpm.f,IF(_xlpm.q&gt;=_xlpm.s,ROUND(_xlpm.q,1)&amp;" "&amp;_xlpm.ai_test&amp;" = "&amp;ROUND(_xlpm.q*_xlpm.f,1)&amp;" "&amp;_xlpm.u,ROUND(_xlpm.q,1)&amp;" "&amp;_xlpm.ai_test)),""),""))))</f>
        <v>23.9 g</v>
      </c>
      <c r="AW309" s="1047"/>
      <c r="AX309" s="1045">
        <f t="shared" si="145"/>
        <v>2.389705882352941E-2</v>
      </c>
      <c r="AY309" s="1046" t="str">
        <f t="shared" si="146"/>
        <v>Kg</v>
      </c>
      <c r="AZ309" s="1048">
        <f t="shared" si="151"/>
        <v>0</v>
      </c>
      <c r="BA309" s="1049" t="str">
        <f t="shared" si="147"/>
        <v/>
      </c>
      <c r="BB309" s="1038"/>
      <c r="BC309" s="1050">
        <f t="shared" si="152"/>
        <v>0</v>
      </c>
      <c r="BD309" s="1040" t="str">
        <f t="shared" si="148"/>
        <v>coriandre en poudre</v>
      </c>
      <c r="BE309" s="227" t="s">
        <v>22</v>
      </c>
      <c r="BF309" s="1019">
        <f t="shared" si="149"/>
        <v>0</v>
      </c>
      <c r="BG309" s="1020">
        <f t="shared" si="150"/>
        <v>1.5931372549019607</v>
      </c>
      <c r="BH309"/>
      <c r="BI309" s="709"/>
      <c r="BJ309" s="709"/>
      <c r="BK309" s="709"/>
      <c r="BL309" s="709"/>
      <c r="BM309" s="709"/>
      <c r="BN309" s="709"/>
      <c r="BO309" s="709"/>
      <c r="BP309" s="709"/>
      <c r="BW309" s="959" t="str">
        <f t="shared" si="130"/>
        <v>A</v>
      </c>
      <c r="CB309"/>
      <c r="CC309" s="856"/>
      <c r="CK309" s="856"/>
      <c r="CS309" s="856"/>
      <c r="DA309" s="856"/>
      <c r="DB309" s="3">
        <v>1</v>
      </c>
    </row>
    <row r="310" spans="1:108" ht="21" customHeight="1">
      <c r="L310" s="104" t="str">
        <f t="shared" si="155"/>
        <v>►</v>
      </c>
      <c r="M310" s="32" t="str">
        <f>M297</f>
        <v>É ÉPICES POUR BOUDIN | |  Author &gt; Guy KRENZE - Eric GODDYN - Arnaud NICOLAS - CEPROC 2002</v>
      </c>
      <c r="N310" s="33">
        <f>N297</f>
        <v>408</v>
      </c>
      <c r="O310" s="32" t="str">
        <f>O297</f>
        <v>g</v>
      </c>
      <c r="P310" s="34" t="str">
        <f>P297</f>
        <v>Master recipe ► le Boudin en 4 déclinaisons</v>
      </c>
      <c r="Q310" s="92"/>
      <c r="R310" s="108"/>
      <c r="S310" s="94" t="str">
        <f t="shared" si="154"/>
        <v/>
      </c>
      <c r="T310" s="95"/>
      <c r="U310" s="126"/>
      <c r="V310" s="127">
        <v>1</v>
      </c>
      <c r="W310" s="920"/>
      <c r="X310" s="1494">
        <f>IF(OR(ISBLANK(Q295),X295=0),0,Q310*V296)</f>
        <v>0</v>
      </c>
      <c r="Y310" s="101" cm="1">
        <f t="array" ref="Y310">IFERROR(_xlfn.LET(_xlpm.k,UPPER(TRIM(U310)),_xlpm.r,_xlfn.XLOOKUP(_xlpm.k,UPPER(TRIM(Q312:Z312)),Q313:Z313,_xlfn.XLOOKUP(_xlpm.k,UPPER(TRIM(Q314:Z314)),Q315:Z315)),_xlpm.r*T310*V310*V296*IF(ISBLANK(Q310),1,Q310)),0)</f>
        <v>0</v>
      </c>
      <c r="Z310" s="1475" t="str">
        <f>_xlfn.LET(_xlpm.unite,SUBSTITUTE(TRIM(U310)," (s)",""),_xlpm.val,Y310,_xlpm.estVol,COUNTIF(T312:Z312,_xlpm.unite)+COUNTIF(T314:Z314,_xlpm.unite)&gt;0,_xlpm.estPoids,COUNTIF(Q312:S312,_xlpm.unite)+COUNTIF(Q314:S314,_xlpm.unite)&gt;0,IF(_xlpm.estVol,IF(ROUND(_xlpm.val,3)&gt;=1,ROUND(_xlpm.val,3)&amp;" L",MAX(1,ROUND(_xlpm.val*100,0))&amp;" cl"),IF(_xlpm.estPoids,IF(ROUND(_xlpm.val,3)&gt;=1,ROUND(_xlpm.val,3)&amp;" Kg",MAX(1,ROUND(_xlpm.val*1000,0))&amp;" g"),"")))</f>
        <v/>
      </c>
      <c r="AA310" s="5211"/>
      <c r="AB310" s="1178"/>
      <c r="AC310" s="1179"/>
      <c r="AD310" s="227" t="s">
        <v>22</v>
      </c>
      <c r="AE310" s="1027" t="str">
        <f t="shared" si="132"/>
        <v>►</v>
      </c>
      <c r="AF310" s="1028" t="str">
        <f t="shared" si="133"/>
        <v/>
      </c>
      <c r="AG310" s="1029" t="str">
        <f t="shared" si="134"/>
        <v/>
      </c>
      <c r="AH310" s="1028" t="str">
        <f t="shared" si="135"/>
        <v/>
      </c>
      <c r="AI310" s="1029" t="str">
        <f t="shared" si="136"/>
        <v/>
      </c>
      <c r="AJ310" s="1029">
        <f t="shared" si="137"/>
        <v>0</v>
      </c>
      <c r="AK310" s="1043" t="str" cm="1">
        <f t="array" ref="AK310">IF(AE310&lt;&gt;"A","",IFERROR((IFERROR(_xlfn.XLOOKUP(TRIM(SUBSTITUTE(U310,CHAR(160)," ")),$BI$15:$BI$62,$BL$15:$BL$62),IFERROR(_xlfn.XLOOKUP(TRIM(SUBSTITUTE(U310,CHAR(160)," ")),$BJ$15:$BJ$62,$BL$15:$BL$62),_xlfn.XLOOKUP(TRIM(SUBSTITUTE(U310,CHAR(160)," ")),$BK$15:$BK$62,$BL$15:$BL$62))))*T310*IF(ISBLANK(Q310),1,Q310)+IFERROR(_xlfn.XLOOKUP("RECHERCHEX",TRIM(L310:AC310),L310:AC310),0),0))</f>
        <v/>
      </c>
      <c r="AL310" s="1030">
        <f t="shared" si="138"/>
        <v>0</v>
      </c>
      <c r="AM310" s="5254" t="str">
        <f t="shared" si="153"/>
        <v/>
      </c>
      <c r="AN310" s="1031">
        <f t="shared" si="139"/>
        <v>0</v>
      </c>
      <c r="AO310" s="1031">
        <f t="shared" si="140"/>
        <v>0</v>
      </c>
      <c r="AP310" s="1032">
        <f t="shared" si="141"/>
        <v>0</v>
      </c>
      <c r="AQ310" s="5255" t="str">
        <f t="shared" si="142"/>
        <v/>
      </c>
      <c r="AR310" s="1056"/>
      <c r="AS310" s="1056"/>
      <c r="AT310" s="1034">
        <f t="shared" si="143"/>
        <v>0</v>
      </c>
      <c r="AU310" s="1035">
        <f t="shared" si="144"/>
        <v>0</v>
      </c>
      <c r="AV310" s="1057" cm="1">
        <f t="array" ref="AV310">IF(AJ310&lt;&gt;1,0,IF(OR(AT310="",N(AT310)&lt;=0.000000001),"",IF(OR(AN310="",N(AN310)&lt;=0.000000001),0,IF(ISNUMBER(AT310),IFERROR(_xlfn.LET(_xlpm.ai_test,TRIM(AI310),_xlpm.r,IFERROR(_xlfn.XLOOKUP(_xlpm.ai_test,$BI$15:$BI$62,ROW($BI$15:$BI$62),0,1),IFERROR(_xlfn.XLOOKUP(_xlpm.ai_test,$BJ$15:$BJ$62,ROW($BJ$15:$BJ$62),0,1),_xlfn.XLOOKUP(_xlpm.ai_test,$BK$15:$BK$62,ROW($BK$15:$BK$62),0,1))),_xlpm.p,_xlpm.r-MIN(ROW($BI$15:$BI$62))+1,_xlpm.f,INDEX($BL$15:$BL$62,_xlpm.p),_xlpm.u,INDEX($BM$15:$BM$62,_xlpm.p),_xlpm.s,INDEX($BO$15:$BO$62,_xlpm.p),_xlpm.q,N(AT310)/_xlpm.f,IF(_xlpm.q&gt;=_xlpm.s,ROUND(_xlpm.q,1)&amp;" "&amp;_xlpm.ai_test&amp;" = "&amp;ROUND(_xlpm.q*_xlpm.f,1)&amp;" "&amp;_xlpm.u,ROUND(_xlpm.q,1)&amp;" "&amp;_xlpm.ai_test)),""),""))))</f>
        <v>0</v>
      </c>
      <c r="AW310" s="1047"/>
      <c r="AX310" s="1034">
        <f t="shared" si="145"/>
        <v>0</v>
      </c>
      <c r="AY310" s="1035" t="str">
        <f t="shared" si="146"/>
        <v/>
      </c>
      <c r="AZ310" s="1036">
        <f t="shared" si="151"/>
        <v>0</v>
      </c>
      <c r="BA310" s="1037" t="str">
        <f t="shared" si="147"/>
        <v/>
      </c>
      <c r="BB310" s="1038"/>
      <c r="BC310" s="1039">
        <f t="shared" si="152"/>
        <v>0</v>
      </c>
      <c r="BD310" s="1040" t="str">
        <f t="shared" si="148"/>
        <v/>
      </c>
      <c r="BE310" s="227" t="s">
        <v>22</v>
      </c>
      <c r="BF310" s="1019">
        <f t="shared" si="149"/>
        <v>0</v>
      </c>
      <c r="BG310" s="1020">
        <f t="shared" si="150"/>
        <v>0</v>
      </c>
      <c r="BH310"/>
      <c r="BI310" s="709"/>
      <c r="BJ310" s="709"/>
      <c r="BK310" s="709"/>
      <c r="BL310" s="709"/>
      <c r="BM310" s="709"/>
      <c r="BN310" s="709"/>
      <c r="BO310" s="709"/>
      <c r="BP310" s="709"/>
      <c r="BW310" s="959" t="str">
        <f t="shared" si="130"/>
        <v>►</v>
      </c>
      <c r="CB310"/>
      <c r="CC310" s="856"/>
      <c r="CK310" s="856"/>
      <c r="CS310" s="856"/>
      <c r="DA310" s="856"/>
      <c r="DB310" s="3">
        <v>1</v>
      </c>
    </row>
    <row r="311" spans="1:108" ht="21" customHeight="1">
      <c r="L311" s="104" t="s">
        <v>11</v>
      </c>
      <c r="M311" s="32" t="str">
        <f>M297</f>
        <v>É ÉPICES POUR BOUDIN | |  Author &gt; Guy KRENZE - Eric GODDYN - Arnaud NICOLAS - CEPROC 2002</v>
      </c>
      <c r="N311" s="33">
        <f>N297</f>
        <v>408</v>
      </c>
      <c r="O311" s="32" t="str">
        <f>O297</f>
        <v>g</v>
      </c>
      <c r="P311" s="34" t="str">
        <f>P297</f>
        <v>Master recipe ► le Boudin en 4 déclinaisons</v>
      </c>
      <c r="Q311" s="907" t="s">
        <v>136</v>
      </c>
      <c r="R311" s="500"/>
      <c r="S311" s="500"/>
      <c r="T311" s="500"/>
      <c r="U311" s="500"/>
      <c r="V311" s="908"/>
      <c r="W311" s="909"/>
      <c r="X311" s="909"/>
      <c r="Y311" s="5164">
        <f>SUM(Y301:Y310)</f>
        <v>9.9877450980392149E-2</v>
      </c>
      <c r="Z311" s="1489"/>
      <c r="AA311" s="5211"/>
      <c r="AB311" s="1178"/>
      <c r="AC311" s="1179"/>
      <c r="AD311" s="227" t="s">
        <v>22</v>
      </c>
      <c r="AE311" s="1027" t="str">
        <f t="shared" si="132"/>
        <v>►</v>
      </c>
      <c r="AF311" s="1028" t="str">
        <f t="shared" si="133"/>
        <v/>
      </c>
      <c r="AG311" s="1029" t="str">
        <f t="shared" si="134"/>
        <v/>
      </c>
      <c r="AH311" s="1028" t="str">
        <f t="shared" si="135"/>
        <v/>
      </c>
      <c r="AI311" s="1029" t="str">
        <f t="shared" si="136"/>
        <v/>
      </c>
      <c r="AJ311" s="1029">
        <f t="shared" si="137"/>
        <v>0</v>
      </c>
      <c r="AK311" s="1043" t="str" cm="1">
        <f t="array" ref="AK311">IF(AE311&lt;&gt;"A","",IFERROR((IFERROR(_xlfn.XLOOKUP(TRIM(SUBSTITUTE(U311,CHAR(160)," ")),$BI$15:$BI$62,$BL$15:$BL$62),IFERROR(_xlfn.XLOOKUP(TRIM(SUBSTITUTE(U311,CHAR(160)," ")),$BJ$15:$BJ$62,$BL$15:$BL$62),_xlfn.XLOOKUP(TRIM(SUBSTITUTE(U311,CHAR(160)," ")),$BK$15:$BK$62,$BL$15:$BL$62))))*T311*IF(ISBLANK(Q311),1,Q311)+IFERROR(_xlfn.XLOOKUP("RECHERCHEX",TRIM(L311:AC311),L311:AC311),0),0))</f>
        <v/>
      </c>
      <c r="AL311" s="1030">
        <f t="shared" si="138"/>
        <v>0</v>
      </c>
      <c r="AM311" s="5254" t="str">
        <f t="shared" si="153"/>
        <v/>
      </c>
      <c r="AN311" s="1031">
        <f t="shared" si="139"/>
        <v>0</v>
      </c>
      <c r="AO311" s="1031">
        <f t="shared" si="140"/>
        <v>0</v>
      </c>
      <c r="AP311" s="1044">
        <f t="shared" si="141"/>
        <v>0</v>
      </c>
      <c r="AQ311" s="5257" t="str">
        <f t="shared" si="142"/>
        <v/>
      </c>
      <c r="AR311" s="1056"/>
      <c r="AS311" s="1056"/>
      <c r="AT311" s="1045">
        <f t="shared" si="143"/>
        <v>0</v>
      </c>
      <c r="AU311" s="1046">
        <f t="shared" si="144"/>
        <v>0</v>
      </c>
      <c r="AV311" s="1059" cm="1">
        <f t="array" ref="AV311">IF(AJ311&lt;&gt;1,0,IF(OR(AT311="",N(AT311)&lt;=0.000000001),"",IF(OR(AN311="",N(AN311)&lt;=0.000000001),0,IF(ISNUMBER(AT311),IFERROR(_xlfn.LET(_xlpm.ai_test,TRIM(AI311),_xlpm.r,IFERROR(_xlfn.XLOOKUP(_xlpm.ai_test,$BI$15:$BI$62,ROW($BI$15:$BI$62),0,1),IFERROR(_xlfn.XLOOKUP(_xlpm.ai_test,$BJ$15:$BJ$62,ROW($BJ$15:$BJ$62),0,1),_xlfn.XLOOKUP(_xlpm.ai_test,$BK$15:$BK$62,ROW($BK$15:$BK$62),0,1))),_xlpm.p,_xlpm.r-MIN(ROW($BI$15:$BI$62))+1,_xlpm.f,INDEX($BL$15:$BL$62,_xlpm.p),_xlpm.u,INDEX($BM$15:$BM$62,_xlpm.p),_xlpm.s,INDEX($BO$15:$BO$62,_xlpm.p),_xlpm.q,N(AT311)/_xlpm.f,IF(_xlpm.q&gt;=_xlpm.s,ROUND(_xlpm.q,1)&amp;" "&amp;_xlpm.ai_test&amp;" = "&amp;ROUND(_xlpm.q*_xlpm.f,1)&amp;" "&amp;_xlpm.u,ROUND(_xlpm.q,1)&amp;" "&amp;_xlpm.ai_test)),""),""))))</f>
        <v>0</v>
      </c>
      <c r="AW311" s="1047"/>
      <c r="AX311" s="1045">
        <f t="shared" si="145"/>
        <v>0</v>
      </c>
      <c r="AY311" s="1046" t="str">
        <f t="shared" si="146"/>
        <v/>
      </c>
      <c r="AZ311" s="1048">
        <f t="shared" si="151"/>
        <v>0</v>
      </c>
      <c r="BA311" s="1049" t="str">
        <f t="shared" si="147"/>
        <v/>
      </c>
      <c r="BB311" s="1038"/>
      <c r="BC311" s="1050">
        <f t="shared" si="152"/>
        <v>0</v>
      </c>
      <c r="BD311" s="1040" t="str">
        <f t="shared" si="148"/>
        <v/>
      </c>
      <c r="BE311" s="227" t="s">
        <v>22</v>
      </c>
      <c r="BF311" s="1019">
        <f t="shared" si="149"/>
        <v>0</v>
      </c>
      <c r="BG311" s="1020">
        <f t="shared" si="150"/>
        <v>0</v>
      </c>
      <c r="BH311"/>
      <c r="BI311" s="709"/>
      <c r="BJ311" s="709"/>
      <c r="BK311" s="709"/>
      <c r="BL311" s="709"/>
      <c r="BM311" s="709"/>
      <c r="BN311" s="709"/>
      <c r="BO311" s="709"/>
      <c r="BP311" s="709"/>
      <c r="BW311" s="959" t="str">
        <f t="shared" si="130"/>
        <v>►</v>
      </c>
      <c r="CB311"/>
      <c r="CC311" s="856"/>
      <c r="CK311" s="856"/>
      <c r="CS311" s="856"/>
      <c r="DA311" s="856"/>
      <c r="DB311" s="3">
        <v>1</v>
      </c>
    </row>
    <row r="312" spans="1:108" ht="21" customHeight="1">
      <c r="L312" s="104" t="s">
        <v>16</v>
      </c>
      <c r="M312" s="32" t="str">
        <f>M297</f>
        <v>É ÉPICES POUR BOUDIN | |  Author &gt; Guy KRENZE - Eric GODDYN - Arnaud NICOLAS - CEPROC 2002</v>
      </c>
      <c r="N312" s="33">
        <f>N297</f>
        <v>408</v>
      </c>
      <c r="O312" s="32" t="str">
        <f>O297</f>
        <v>g</v>
      </c>
      <c r="P312" s="34" t="str">
        <f>P297</f>
        <v>Master recipe ► le Boudin en 4 déclinaisons</v>
      </c>
      <c r="Q312" s="140" t="s">
        <v>143</v>
      </c>
      <c r="R312" s="105" t="s">
        <v>99</v>
      </c>
      <c r="S312" s="141" t="s">
        <v>144</v>
      </c>
      <c r="T312" s="96" t="s">
        <v>0</v>
      </c>
      <c r="U312" s="96" t="s">
        <v>96</v>
      </c>
      <c r="V312" s="96" t="s">
        <v>147</v>
      </c>
      <c r="W312" s="96" t="s">
        <v>148</v>
      </c>
      <c r="X312" s="109" t="s">
        <v>364</v>
      </c>
      <c r="Y312" s="109" t="s">
        <v>102</v>
      </c>
      <c r="Z312" s="109" t="s">
        <v>149</v>
      </c>
      <c r="AA312" s="5211"/>
      <c r="AB312" s="1178"/>
      <c r="AC312" s="1179"/>
      <c r="AD312" s="227" t="s">
        <v>22</v>
      </c>
      <c r="AE312" s="1027" t="str">
        <f t="shared" si="132"/>
        <v>►</v>
      </c>
      <c r="AF312" s="1028" t="str">
        <f t="shared" si="133"/>
        <v/>
      </c>
      <c r="AG312" s="1029" t="str">
        <f t="shared" si="134"/>
        <v/>
      </c>
      <c r="AH312" s="1028" t="str">
        <f t="shared" si="135"/>
        <v/>
      </c>
      <c r="AI312" s="1029" t="str">
        <f t="shared" si="136"/>
        <v/>
      </c>
      <c r="AJ312" s="1029">
        <f t="shared" si="137"/>
        <v>0</v>
      </c>
      <c r="AK312" s="1043" t="str" cm="1">
        <f t="array" ref="AK312">IF(AE312&lt;&gt;"A","",IFERROR((IFERROR(_xlfn.XLOOKUP(TRIM(SUBSTITUTE(U312,CHAR(160)," ")),$BI$15:$BI$62,$BL$15:$BL$62),IFERROR(_xlfn.XLOOKUP(TRIM(SUBSTITUTE(U312,CHAR(160)," ")),$BJ$15:$BJ$62,$BL$15:$BL$62),_xlfn.XLOOKUP(TRIM(SUBSTITUTE(U312,CHAR(160)," ")),$BK$15:$BK$62,$BL$15:$BL$62))))*T312*IF(ISBLANK(Q312),1,Q312)+IFERROR(_xlfn.XLOOKUP("RECHERCHEX",TRIM(L312:AC312),L312:AC312),0),0))</f>
        <v/>
      </c>
      <c r="AL312" s="1030">
        <f t="shared" si="138"/>
        <v>0</v>
      </c>
      <c r="AM312" s="5254" t="str">
        <f t="shared" si="153"/>
        <v/>
      </c>
      <c r="AN312" s="1031">
        <f t="shared" si="139"/>
        <v>0</v>
      </c>
      <c r="AO312" s="1031">
        <f t="shared" si="140"/>
        <v>0</v>
      </c>
      <c r="AP312" s="1032">
        <f t="shared" si="141"/>
        <v>0</v>
      </c>
      <c r="AQ312" s="5255" t="str">
        <f t="shared" si="142"/>
        <v/>
      </c>
      <c r="AR312" s="1056"/>
      <c r="AS312" s="1056"/>
      <c r="AT312" s="1034">
        <f t="shared" si="143"/>
        <v>0</v>
      </c>
      <c r="AU312" s="1035">
        <f t="shared" si="144"/>
        <v>0</v>
      </c>
      <c r="AV312" s="1057" cm="1">
        <f t="array" ref="AV312">IF(AJ312&lt;&gt;1,0,IF(OR(AT312="",N(AT312)&lt;=0.000000001),"",IF(OR(AN312="",N(AN312)&lt;=0.000000001),0,IF(ISNUMBER(AT312),IFERROR(_xlfn.LET(_xlpm.ai_test,TRIM(AI312),_xlpm.r,IFERROR(_xlfn.XLOOKUP(_xlpm.ai_test,$BI$15:$BI$62,ROW($BI$15:$BI$62),0,1),IFERROR(_xlfn.XLOOKUP(_xlpm.ai_test,$BJ$15:$BJ$62,ROW($BJ$15:$BJ$62),0,1),_xlfn.XLOOKUP(_xlpm.ai_test,$BK$15:$BK$62,ROW($BK$15:$BK$62),0,1))),_xlpm.p,_xlpm.r-MIN(ROW($BI$15:$BI$62))+1,_xlpm.f,INDEX($BL$15:$BL$62,_xlpm.p),_xlpm.u,INDEX($BM$15:$BM$62,_xlpm.p),_xlpm.s,INDEX($BO$15:$BO$62,_xlpm.p),_xlpm.q,N(AT312)/_xlpm.f,IF(_xlpm.q&gt;=_xlpm.s,ROUND(_xlpm.q,1)&amp;" "&amp;_xlpm.ai_test&amp;" = "&amp;ROUND(_xlpm.q*_xlpm.f,1)&amp;" "&amp;_xlpm.u,ROUND(_xlpm.q,1)&amp;" "&amp;_xlpm.ai_test)),""),""))))</f>
        <v>0</v>
      </c>
      <c r="AW312" s="1047"/>
      <c r="AX312" s="1034">
        <f t="shared" si="145"/>
        <v>0</v>
      </c>
      <c r="AY312" s="1035" t="str">
        <f t="shared" si="146"/>
        <v/>
      </c>
      <c r="AZ312" s="1036">
        <f t="shared" si="151"/>
        <v>0</v>
      </c>
      <c r="BA312" s="1037" t="str">
        <f t="shared" si="147"/>
        <v/>
      </c>
      <c r="BB312" s="1038"/>
      <c r="BC312" s="1039">
        <f t="shared" si="152"/>
        <v>0</v>
      </c>
      <c r="BD312" s="1040" t="str">
        <f t="shared" si="148"/>
        <v/>
      </c>
      <c r="BE312" s="227" t="s">
        <v>22</v>
      </c>
      <c r="BF312" s="1019">
        <f t="shared" si="149"/>
        <v>0</v>
      </c>
      <c r="BG312" s="1020">
        <f t="shared" si="150"/>
        <v>0</v>
      </c>
      <c r="BH312"/>
      <c r="BI312" s="709"/>
      <c r="BJ312" s="709"/>
      <c r="BK312" s="709"/>
      <c r="BL312" s="709"/>
      <c r="BM312" s="709"/>
      <c r="BN312" s="709"/>
      <c r="BO312" s="709"/>
      <c r="BP312" s="709"/>
      <c r="BW312" s="959" t="str">
        <f t="shared" si="130"/>
        <v>►</v>
      </c>
      <c r="CB312"/>
      <c r="CC312" s="856"/>
      <c r="CK312" s="856"/>
      <c r="CS312" s="856"/>
      <c r="DA312" s="856"/>
      <c r="DB312" s="3">
        <v>1</v>
      </c>
    </row>
    <row r="313" spans="1:108" ht="21" customHeight="1">
      <c r="L313" s="104" t="s">
        <v>16</v>
      </c>
      <c r="M313" s="32" t="str">
        <f>M297</f>
        <v>É ÉPICES POUR BOUDIN | |  Author &gt; Guy KRENZE - Eric GODDYN - Arnaud NICOLAS - CEPROC 2002</v>
      </c>
      <c r="N313" s="33">
        <f>N297</f>
        <v>408</v>
      </c>
      <c r="O313" s="32" t="str">
        <f>O297</f>
        <v>g</v>
      </c>
      <c r="P313" s="34" t="str">
        <f>P297</f>
        <v>Master recipe ► le Boudin en 4 déclinaisons</v>
      </c>
      <c r="Q313" s="911">
        <v>1</v>
      </c>
      <c r="R313" s="912">
        <v>1E-3</v>
      </c>
      <c r="S313" s="913">
        <v>0</v>
      </c>
      <c r="T313" s="914">
        <v>1</v>
      </c>
      <c r="U313" s="914">
        <v>0.1</v>
      </c>
      <c r="V313" s="914">
        <v>0.01</v>
      </c>
      <c r="W313" s="914">
        <v>1E-3</v>
      </c>
      <c r="X313" s="914">
        <v>0.25</v>
      </c>
      <c r="Y313" s="914">
        <v>0.5</v>
      </c>
      <c r="Z313" s="914">
        <v>0.33300000000000002</v>
      </c>
      <c r="AA313" s="5211"/>
      <c r="AB313" s="1178"/>
      <c r="AC313" s="1179"/>
      <c r="AD313" s="227" t="s">
        <v>22</v>
      </c>
      <c r="AE313" s="1027" t="str">
        <f t="shared" si="132"/>
        <v>►</v>
      </c>
      <c r="AF313" s="1028" t="str">
        <f t="shared" si="133"/>
        <v/>
      </c>
      <c r="AG313" s="1029" t="str">
        <f t="shared" si="134"/>
        <v/>
      </c>
      <c r="AH313" s="1028" t="str">
        <f t="shared" si="135"/>
        <v/>
      </c>
      <c r="AI313" s="1029" t="str">
        <f t="shared" si="136"/>
        <v/>
      </c>
      <c r="AJ313" s="1029">
        <f t="shared" si="137"/>
        <v>0</v>
      </c>
      <c r="AK313" s="1043" t="str" cm="1">
        <f t="array" ref="AK313">IF(AE313&lt;&gt;"A","",IFERROR((IFERROR(_xlfn.XLOOKUP(TRIM(SUBSTITUTE(U313,CHAR(160)," ")),$BI$15:$BI$62,$BL$15:$BL$62),IFERROR(_xlfn.XLOOKUP(TRIM(SUBSTITUTE(U313,CHAR(160)," ")),$BJ$15:$BJ$62,$BL$15:$BL$62),_xlfn.XLOOKUP(TRIM(SUBSTITUTE(U313,CHAR(160)," ")),$BK$15:$BK$62,$BL$15:$BL$62))))*T313*IF(ISBLANK(Q313),1,Q313)+IFERROR(_xlfn.XLOOKUP("RECHERCHEX",TRIM(L313:AC313),L313:AC313),0),0))</f>
        <v/>
      </c>
      <c r="AL313" s="1030">
        <f t="shared" si="138"/>
        <v>0</v>
      </c>
      <c r="AM313" s="5254" t="str">
        <f t="shared" si="153"/>
        <v/>
      </c>
      <c r="AN313" s="1031">
        <f t="shared" si="139"/>
        <v>0</v>
      </c>
      <c r="AO313" s="1031">
        <f t="shared" si="140"/>
        <v>0</v>
      </c>
      <c r="AP313" s="1044">
        <f t="shared" si="141"/>
        <v>0</v>
      </c>
      <c r="AQ313" s="5257" t="str">
        <f t="shared" si="142"/>
        <v/>
      </c>
      <c r="AR313" s="1056"/>
      <c r="AS313" s="1056"/>
      <c r="AT313" s="1045">
        <f t="shared" si="143"/>
        <v>0</v>
      </c>
      <c r="AU313" s="1046">
        <f t="shared" si="144"/>
        <v>0</v>
      </c>
      <c r="AV313" s="1059" cm="1">
        <f t="array" ref="AV313">IF(AJ313&lt;&gt;1,0,IF(OR(AT313="",N(AT313)&lt;=0.000000001),"",IF(OR(AN313="",N(AN313)&lt;=0.000000001),0,IF(ISNUMBER(AT313),IFERROR(_xlfn.LET(_xlpm.ai_test,TRIM(AI313),_xlpm.r,IFERROR(_xlfn.XLOOKUP(_xlpm.ai_test,$BI$15:$BI$62,ROW($BI$15:$BI$62),0,1),IFERROR(_xlfn.XLOOKUP(_xlpm.ai_test,$BJ$15:$BJ$62,ROW($BJ$15:$BJ$62),0,1),_xlfn.XLOOKUP(_xlpm.ai_test,$BK$15:$BK$62,ROW($BK$15:$BK$62),0,1))),_xlpm.p,_xlpm.r-MIN(ROW($BI$15:$BI$62))+1,_xlpm.f,INDEX($BL$15:$BL$62,_xlpm.p),_xlpm.u,INDEX($BM$15:$BM$62,_xlpm.p),_xlpm.s,INDEX($BO$15:$BO$62,_xlpm.p),_xlpm.q,N(AT313)/_xlpm.f,IF(_xlpm.q&gt;=_xlpm.s,ROUND(_xlpm.q,1)&amp;" "&amp;_xlpm.ai_test&amp;" = "&amp;ROUND(_xlpm.q*_xlpm.f,1)&amp;" "&amp;_xlpm.u,ROUND(_xlpm.q,1)&amp;" "&amp;_xlpm.ai_test)),""),""))))</f>
        <v>0</v>
      </c>
      <c r="AW313" s="1047"/>
      <c r="AX313" s="1045">
        <f t="shared" si="145"/>
        <v>0</v>
      </c>
      <c r="AY313" s="1046" t="str">
        <f t="shared" si="146"/>
        <v/>
      </c>
      <c r="AZ313" s="1048">
        <f t="shared" si="151"/>
        <v>0</v>
      </c>
      <c r="BA313" s="1049" t="str">
        <f t="shared" si="147"/>
        <v/>
      </c>
      <c r="BB313" s="1038"/>
      <c r="BC313" s="1050">
        <f t="shared" si="152"/>
        <v>0</v>
      </c>
      <c r="BD313" s="1040" t="str">
        <f t="shared" si="148"/>
        <v/>
      </c>
      <c r="BE313" s="227" t="s">
        <v>22</v>
      </c>
      <c r="BF313" s="1019">
        <f t="shared" si="149"/>
        <v>0</v>
      </c>
      <c r="BG313" s="1020">
        <f t="shared" si="150"/>
        <v>0</v>
      </c>
      <c r="BH313"/>
      <c r="BI313" s="709"/>
      <c r="BJ313" s="709"/>
      <c r="BK313" s="709"/>
      <c r="BL313" s="709"/>
      <c r="BM313" s="709"/>
      <c r="BN313" s="709"/>
      <c r="BO313" s="709"/>
      <c r="BP313" s="709"/>
      <c r="BW313" s="959" t="str">
        <f t="shared" si="130"/>
        <v>►</v>
      </c>
      <c r="CB313"/>
      <c r="CC313" s="856"/>
      <c r="CK313" s="856"/>
      <c r="CS313" s="856"/>
      <c r="DA313" s="856"/>
      <c r="DB313" s="3">
        <v>1</v>
      </c>
    </row>
    <row r="314" spans="1:108" ht="21" customHeight="1">
      <c r="L314" s="104" t="s">
        <v>16</v>
      </c>
      <c r="M314" s="32" t="str">
        <f>M297</f>
        <v>É ÉPICES POUR BOUDIN | |  Author &gt; Guy KRENZE - Eric GODDYN - Arnaud NICOLAS - CEPROC 2002</v>
      </c>
      <c r="N314" s="33">
        <f>N297</f>
        <v>408</v>
      </c>
      <c r="O314" s="32" t="str">
        <f>O297</f>
        <v>g</v>
      </c>
      <c r="P314" s="34" t="str">
        <f>P297</f>
        <v>Master recipe ► le Boudin en 4 déclinaisons</v>
      </c>
      <c r="Q314" s="142" t="s">
        <v>145</v>
      </c>
      <c r="R314" s="117" t="s">
        <v>107</v>
      </c>
      <c r="S314" s="141" t="s">
        <v>144</v>
      </c>
      <c r="T314" s="109" t="s">
        <v>150</v>
      </c>
      <c r="U314" s="109" t="s">
        <v>163</v>
      </c>
      <c r="V314" s="109" t="s">
        <v>103</v>
      </c>
      <c r="W314" s="109" t="s">
        <v>162</v>
      </c>
      <c r="X314" s="149" t="s">
        <v>160</v>
      </c>
      <c r="Y314" s="149" t="s">
        <v>117</v>
      </c>
      <c r="Z314" s="1061" t="s">
        <v>1831</v>
      </c>
      <c r="AA314" s="5211"/>
      <c r="AB314" s="1178"/>
      <c r="AC314" s="1179"/>
      <c r="AD314" s="227" t="s">
        <v>22</v>
      </c>
      <c r="AE314" s="1027" t="str">
        <f t="shared" si="132"/>
        <v>►</v>
      </c>
      <c r="AF314" s="1028" t="str">
        <f t="shared" si="133"/>
        <v/>
      </c>
      <c r="AG314" s="1029" t="str">
        <f t="shared" si="134"/>
        <v/>
      </c>
      <c r="AH314" s="1028" t="str">
        <f t="shared" si="135"/>
        <v/>
      </c>
      <c r="AI314" s="1029" t="str">
        <f t="shared" si="136"/>
        <v/>
      </c>
      <c r="AJ314" s="1029">
        <f t="shared" si="137"/>
        <v>0</v>
      </c>
      <c r="AK314" s="1043" t="str" cm="1">
        <f t="array" ref="AK314">IF(AE314&lt;&gt;"A","",IFERROR((IFERROR(_xlfn.XLOOKUP(TRIM(SUBSTITUTE(U314,CHAR(160)," ")),$BI$15:$BI$62,$BL$15:$BL$62),IFERROR(_xlfn.XLOOKUP(TRIM(SUBSTITUTE(U314,CHAR(160)," ")),$BJ$15:$BJ$62,$BL$15:$BL$62),_xlfn.XLOOKUP(TRIM(SUBSTITUTE(U314,CHAR(160)," ")),$BK$15:$BK$62,$BL$15:$BL$62))))*T314*IF(ISBLANK(Q314),1,Q314)+IFERROR(_xlfn.XLOOKUP("RECHERCHEX",TRIM(L314:AC314),L314:AC314),0),0))</f>
        <v/>
      </c>
      <c r="AL314" s="1030">
        <f t="shared" si="138"/>
        <v>0</v>
      </c>
      <c r="AM314" s="5254" t="str">
        <f t="shared" si="153"/>
        <v/>
      </c>
      <c r="AN314" s="1031">
        <f t="shared" si="139"/>
        <v>0</v>
      </c>
      <c r="AO314" s="1031">
        <f t="shared" si="140"/>
        <v>0</v>
      </c>
      <c r="AP314" s="1032">
        <f t="shared" si="141"/>
        <v>0</v>
      </c>
      <c r="AQ314" s="5255" t="str">
        <f t="shared" si="142"/>
        <v/>
      </c>
      <c r="AR314" s="1056"/>
      <c r="AS314" s="1056"/>
      <c r="AT314" s="1034">
        <f t="shared" si="143"/>
        <v>0</v>
      </c>
      <c r="AU314" s="1035">
        <f t="shared" si="144"/>
        <v>0</v>
      </c>
      <c r="AV314" s="1057" cm="1">
        <f t="array" ref="AV314">IF(AJ314&lt;&gt;1,0,IF(OR(AT314="",N(AT314)&lt;=0.000000001),"",IF(OR(AN314="",N(AN314)&lt;=0.000000001),0,IF(ISNUMBER(AT314),IFERROR(_xlfn.LET(_xlpm.ai_test,TRIM(AI314),_xlpm.r,IFERROR(_xlfn.XLOOKUP(_xlpm.ai_test,$BI$15:$BI$62,ROW($BI$15:$BI$62),0,1),IFERROR(_xlfn.XLOOKUP(_xlpm.ai_test,$BJ$15:$BJ$62,ROW($BJ$15:$BJ$62),0,1),_xlfn.XLOOKUP(_xlpm.ai_test,$BK$15:$BK$62,ROW($BK$15:$BK$62),0,1))),_xlpm.p,_xlpm.r-MIN(ROW($BI$15:$BI$62))+1,_xlpm.f,INDEX($BL$15:$BL$62,_xlpm.p),_xlpm.u,INDEX($BM$15:$BM$62,_xlpm.p),_xlpm.s,INDEX($BO$15:$BO$62,_xlpm.p),_xlpm.q,N(AT314)/_xlpm.f,IF(_xlpm.q&gt;=_xlpm.s,ROUND(_xlpm.q,1)&amp;" "&amp;_xlpm.ai_test&amp;" = "&amp;ROUND(_xlpm.q*_xlpm.f,1)&amp;" "&amp;_xlpm.u,ROUND(_xlpm.q,1)&amp;" "&amp;_xlpm.ai_test)),""),""))))</f>
        <v>0</v>
      </c>
      <c r="AW314" s="1047"/>
      <c r="AX314" s="1034">
        <f t="shared" si="145"/>
        <v>0</v>
      </c>
      <c r="AY314" s="1035" t="str">
        <f t="shared" si="146"/>
        <v/>
      </c>
      <c r="AZ314" s="1036">
        <f t="shared" si="151"/>
        <v>0</v>
      </c>
      <c r="BA314" s="1037" t="str">
        <f t="shared" si="147"/>
        <v/>
      </c>
      <c r="BB314" s="1038"/>
      <c r="BC314" s="1039">
        <f t="shared" si="152"/>
        <v>0</v>
      </c>
      <c r="BD314" s="1040" t="str">
        <f t="shared" si="148"/>
        <v/>
      </c>
      <c r="BE314" s="227" t="s">
        <v>22</v>
      </c>
      <c r="BF314" s="1019">
        <f t="shared" si="149"/>
        <v>0</v>
      </c>
      <c r="BG314" s="1020">
        <f t="shared" si="150"/>
        <v>0</v>
      </c>
      <c r="BH314"/>
      <c r="BI314" s="709"/>
      <c r="BJ314" s="709"/>
      <c r="BK314" s="709"/>
      <c r="BL314" s="709"/>
      <c r="BM314" s="709"/>
      <c r="BN314" s="709"/>
      <c r="BO314" s="709"/>
      <c r="BP314" s="709"/>
      <c r="BW314" s="959" t="str">
        <f t="shared" si="130"/>
        <v>►</v>
      </c>
      <c r="CB314"/>
      <c r="CC314" s="856"/>
      <c r="CK314" s="856"/>
      <c r="CS314" s="856"/>
      <c r="DA314" s="856"/>
      <c r="DB314" s="3">
        <v>1</v>
      </c>
    </row>
    <row r="315" spans="1:108" ht="21" customHeight="1">
      <c r="L315" s="104" t="s">
        <v>16</v>
      </c>
      <c r="M315" s="32" t="str">
        <f>M297</f>
        <v>É ÉPICES POUR BOUDIN | |  Author &gt; Guy KRENZE - Eric GODDYN - Arnaud NICOLAS - CEPROC 2002</v>
      </c>
      <c r="N315" s="33">
        <f>N297</f>
        <v>408</v>
      </c>
      <c r="O315" s="32" t="str">
        <f>O297</f>
        <v>g</v>
      </c>
      <c r="P315" s="34" t="str">
        <f>P297</f>
        <v>Master recipe ► le Boudin en 4 déclinaisons</v>
      </c>
      <c r="Q315" s="912">
        <v>0.25</v>
      </c>
      <c r="R315" s="912">
        <v>0.5</v>
      </c>
      <c r="S315" s="913">
        <v>0</v>
      </c>
      <c r="T315" s="914">
        <v>0.2</v>
      </c>
      <c r="U315" s="914">
        <v>0.1</v>
      </c>
      <c r="V315" s="914">
        <v>0.22500000000000001</v>
      </c>
      <c r="W315" s="914">
        <v>1.4999999999999999E-2</v>
      </c>
      <c r="X315" s="914">
        <v>4.9299999999999995E-3</v>
      </c>
      <c r="Y315" s="914">
        <v>0.35</v>
      </c>
      <c r="Z315" s="915">
        <v>0.25</v>
      </c>
      <c r="AA315" s="5211"/>
      <c r="AB315" s="1178"/>
      <c r="AC315" s="1179"/>
      <c r="AD315" s="227" t="s">
        <v>22</v>
      </c>
      <c r="AE315" s="1027" t="str">
        <f t="shared" si="132"/>
        <v>►</v>
      </c>
      <c r="AF315" s="1028" t="str">
        <f t="shared" si="133"/>
        <v/>
      </c>
      <c r="AG315" s="1029" t="str">
        <f t="shared" si="134"/>
        <v/>
      </c>
      <c r="AH315" s="1028" t="str">
        <f t="shared" si="135"/>
        <v/>
      </c>
      <c r="AI315" s="1029" t="str">
        <f t="shared" si="136"/>
        <v/>
      </c>
      <c r="AJ315" s="1029">
        <f t="shared" si="137"/>
        <v>0</v>
      </c>
      <c r="AK315" s="1043" t="str" cm="1">
        <f t="array" ref="AK315">IF(AE315&lt;&gt;"A","",IFERROR((IFERROR(_xlfn.XLOOKUP(TRIM(SUBSTITUTE(U315,CHAR(160)," ")),$BI$15:$BI$62,$BL$15:$BL$62),IFERROR(_xlfn.XLOOKUP(TRIM(SUBSTITUTE(U315,CHAR(160)," ")),$BJ$15:$BJ$62,$BL$15:$BL$62),_xlfn.XLOOKUP(TRIM(SUBSTITUTE(U315,CHAR(160)," ")),$BK$15:$BK$62,$BL$15:$BL$62))))*T315*IF(ISBLANK(Q315),1,Q315)+IFERROR(_xlfn.XLOOKUP("RECHERCHEX",TRIM(L315:AC315),L315:AC315),0),0))</f>
        <v/>
      </c>
      <c r="AL315" s="1030">
        <f t="shared" si="138"/>
        <v>0</v>
      </c>
      <c r="AM315" s="5254" t="str">
        <f t="shared" si="153"/>
        <v/>
      </c>
      <c r="AN315" s="1031">
        <f t="shared" si="139"/>
        <v>0</v>
      </c>
      <c r="AO315" s="1031">
        <f t="shared" si="140"/>
        <v>0</v>
      </c>
      <c r="AP315" s="1044">
        <f t="shared" si="141"/>
        <v>0</v>
      </c>
      <c r="AQ315" s="5257" t="str">
        <f t="shared" si="142"/>
        <v/>
      </c>
      <c r="AR315" s="1056"/>
      <c r="AS315" s="1056"/>
      <c r="AT315" s="1045">
        <f t="shared" si="143"/>
        <v>0</v>
      </c>
      <c r="AU315" s="1046">
        <f t="shared" si="144"/>
        <v>0</v>
      </c>
      <c r="AV315" s="1059" cm="1">
        <f t="array" ref="AV315">IF(AJ315&lt;&gt;1,0,IF(OR(AT315="",N(AT315)&lt;=0.000000001),"",IF(OR(AN315="",N(AN315)&lt;=0.000000001),0,IF(ISNUMBER(AT315),IFERROR(_xlfn.LET(_xlpm.ai_test,TRIM(AI315),_xlpm.r,IFERROR(_xlfn.XLOOKUP(_xlpm.ai_test,$BI$15:$BI$62,ROW($BI$15:$BI$62),0,1),IFERROR(_xlfn.XLOOKUP(_xlpm.ai_test,$BJ$15:$BJ$62,ROW($BJ$15:$BJ$62),0,1),_xlfn.XLOOKUP(_xlpm.ai_test,$BK$15:$BK$62,ROW($BK$15:$BK$62),0,1))),_xlpm.p,_xlpm.r-MIN(ROW($BI$15:$BI$62))+1,_xlpm.f,INDEX($BL$15:$BL$62,_xlpm.p),_xlpm.u,INDEX($BM$15:$BM$62,_xlpm.p),_xlpm.s,INDEX($BO$15:$BO$62,_xlpm.p),_xlpm.q,N(AT315)/_xlpm.f,IF(_xlpm.q&gt;=_xlpm.s,ROUND(_xlpm.q,1)&amp;" "&amp;_xlpm.ai_test&amp;" = "&amp;ROUND(_xlpm.q*_xlpm.f,1)&amp;" "&amp;_xlpm.u,ROUND(_xlpm.q,1)&amp;" "&amp;_xlpm.ai_test)),""),""))))</f>
        <v>0</v>
      </c>
      <c r="AW315" s="1047"/>
      <c r="AX315" s="1045">
        <f t="shared" si="145"/>
        <v>0</v>
      </c>
      <c r="AY315" s="1046" t="str">
        <f t="shared" si="146"/>
        <v/>
      </c>
      <c r="AZ315" s="1048">
        <f t="shared" si="151"/>
        <v>0</v>
      </c>
      <c r="BA315" s="1049" t="str">
        <f t="shared" si="147"/>
        <v/>
      </c>
      <c r="BB315" s="1038"/>
      <c r="BC315" s="1050">
        <f t="shared" si="152"/>
        <v>0</v>
      </c>
      <c r="BD315" s="1040" t="str">
        <f t="shared" si="148"/>
        <v/>
      </c>
      <c r="BE315" s="227" t="s">
        <v>22</v>
      </c>
      <c r="BF315" s="1019">
        <f t="shared" si="149"/>
        <v>0</v>
      </c>
      <c r="BG315" s="1020">
        <f t="shared" si="150"/>
        <v>0</v>
      </c>
      <c r="BH315"/>
      <c r="BI315" s="709"/>
      <c r="BJ315" s="709"/>
      <c r="BK315" s="709"/>
      <c r="BL315" s="709"/>
      <c r="BM315" s="709"/>
      <c r="BN315" s="709"/>
      <c r="BO315" s="709"/>
      <c r="BP315" s="709"/>
      <c r="BW315" s="959" t="str">
        <f t="shared" si="130"/>
        <v>►</v>
      </c>
      <c r="CB315"/>
      <c r="CC315" s="856"/>
      <c r="CK315" s="856"/>
      <c r="CS315" s="856"/>
      <c r="DA315" s="856"/>
      <c r="DB315" s="3">
        <v>1</v>
      </c>
    </row>
    <row r="316" spans="1:108" ht="21" customHeight="1">
      <c r="L316" s="104" t="s">
        <v>16</v>
      </c>
      <c r="M316" s="32" t="str">
        <f>M297</f>
        <v>É ÉPICES POUR BOUDIN | |  Author &gt; Guy KRENZE - Eric GODDYN - Arnaud NICOLAS - CEPROC 2002</v>
      </c>
      <c r="N316" s="33">
        <f>N297</f>
        <v>408</v>
      </c>
      <c r="O316" s="32" t="str">
        <f>O297</f>
        <v>g</v>
      </c>
      <c r="P316" s="34" t="str">
        <f>P297</f>
        <v>Master recipe ► le Boudin en 4 déclinaisons</v>
      </c>
      <c r="Q316" s="154" t="str">
        <f>Q298</f>
        <v>Col.6</v>
      </c>
      <c r="R316" s="154" t="str">
        <f>R298</f>
        <v>Col.7</v>
      </c>
      <c r="S316" s="155" t="s">
        <v>3295</v>
      </c>
      <c r="T316" s="155"/>
      <c r="U316" s="155"/>
      <c r="V316" s="155"/>
      <c r="W316" s="155"/>
      <c r="X316" s="155"/>
      <c r="Y316" s="155"/>
      <c r="Z316" s="1477"/>
      <c r="AA316" s="5211"/>
      <c r="AB316" s="1178"/>
      <c r="AC316" s="1179"/>
      <c r="AD316" s="227" t="s">
        <v>22</v>
      </c>
      <c r="AE316" s="1027" t="str">
        <f t="shared" si="132"/>
        <v>►</v>
      </c>
      <c r="AF316" s="1028" t="str">
        <f t="shared" si="133"/>
        <v/>
      </c>
      <c r="AG316" s="1029" t="str">
        <f t="shared" si="134"/>
        <v/>
      </c>
      <c r="AH316" s="1028" t="str">
        <f t="shared" si="135"/>
        <v/>
      </c>
      <c r="AI316" s="1029" t="str">
        <f t="shared" si="136"/>
        <v/>
      </c>
      <c r="AJ316" s="1029">
        <f t="shared" si="137"/>
        <v>0</v>
      </c>
      <c r="AK316" s="1043" t="str" cm="1">
        <f t="array" ref="AK316">IF(AE316&lt;&gt;"A","",IFERROR((IFERROR(_xlfn.XLOOKUP(TRIM(SUBSTITUTE(U316,CHAR(160)," ")),$BI$15:$BI$62,$BL$15:$BL$62),IFERROR(_xlfn.XLOOKUP(TRIM(SUBSTITUTE(U316,CHAR(160)," ")),$BJ$15:$BJ$62,$BL$15:$BL$62),_xlfn.XLOOKUP(TRIM(SUBSTITUTE(U316,CHAR(160)," ")),$BK$15:$BK$62,$BL$15:$BL$62))))*T316*IF(ISBLANK(Q316),1,Q316)+IFERROR(_xlfn.XLOOKUP("RECHERCHEX",TRIM(L316:AC316),L316:AC316),0),0))</f>
        <v/>
      </c>
      <c r="AL316" s="1030">
        <f t="shared" si="138"/>
        <v>0</v>
      </c>
      <c r="AM316" s="5254" t="str">
        <f t="shared" si="153"/>
        <v/>
      </c>
      <c r="AN316" s="1031">
        <f t="shared" si="139"/>
        <v>0</v>
      </c>
      <c r="AO316" s="1031">
        <f t="shared" si="140"/>
        <v>0</v>
      </c>
      <c r="AP316" s="1032">
        <f t="shared" si="141"/>
        <v>0</v>
      </c>
      <c r="AQ316" s="5255" t="str">
        <f t="shared" si="142"/>
        <v/>
      </c>
      <c r="AR316" s="1056"/>
      <c r="AS316" s="1056"/>
      <c r="AT316" s="1034">
        <f t="shared" si="143"/>
        <v>0</v>
      </c>
      <c r="AU316" s="1035">
        <f t="shared" si="144"/>
        <v>0</v>
      </c>
      <c r="AV316" s="1057" cm="1">
        <f t="array" ref="AV316">IF(AJ316&lt;&gt;1,0,IF(OR(AT316="",N(AT316)&lt;=0.000000001),"",IF(OR(AN316="",N(AN316)&lt;=0.000000001),0,IF(ISNUMBER(AT316),IFERROR(_xlfn.LET(_xlpm.ai_test,TRIM(AI316),_xlpm.r,IFERROR(_xlfn.XLOOKUP(_xlpm.ai_test,$BI$15:$BI$62,ROW($BI$15:$BI$62),0,1),IFERROR(_xlfn.XLOOKUP(_xlpm.ai_test,$BJ$15:$BJ$62,ROW($BJ$15:$BJ$62),0,1),_xlfn.XLOOKUP(_xlpm.ai_test,$BK$15:$BK$62,ROW($BK$15:$BK$62),0,1))),_xlpm.p,_xlpm.r-MIN(ROW($BI$15:$BI$62))+1,_xlpm.f,INDEX($BL$15:$BL$62,_xlpm.p),_xlpm.u,INDEX($BM$15:$BM$62,_xlpm.p),_xlpm.s,INDEX($BO$15:$BO$62,_xlpm.p),_xlpm.q,N(AT316)/_xlpm.f,IF(_xlpm.q&gt;=_xlpm.s,ROUND(_xlpm.q,1)&amp;" "&amp;_xlpm.ai_test&amp;" = "&amp;ROUND(_xlpm.q*_xlpm.f,1)&amp;" "&amp;_xlpm.u,ROUND(_xlpm.q,1)&amp;" "&amp;_xlpm.ai_test)),""),""))))</f>
        <v>0</v>
      </c>
      <c r="AW316" s="1047"/>
      <c r="AX316" s="1034">
        <f t="shared" si="145"/>
        <v>0</v>
      </c>
      <c r="AY316" s="1035" t="str">
        <f t="shared" si="146"/>
        <v/>
      </c>
      <c r="AZ316" s="1036">
        <f t="shared" si="151"/>
        <v>0</v>
      </c>
      <c r="BA316" s="1037" t="str">
        <f t="shared" si="147"/>
        <v/>
      </c>
      <c r="BB316" s="1038"/>
      <c r="BC316" s="1039">
        <f t="shared" si="152"/>
        <v>0</v>
      </c>
      <c r="BD316" s="1040" t="str">
        <f t="shared" si="148"/>
        <v/>
      </c>
      <c r="BE316" s="227" t="s">
        <v>22</v>
      </c>
      <c r="BF316" s="1019">
        <f t="shared" si="149"/>
        <v>0</v>
      </c>
      <c r="BG316" s="1020">
        <f t="shared" si="150"/>
        <v>0</v>
      </c>
      <c r="BH316"/>
      <c r="BI316" s="709"/>
      <c r="BJ316" s="709"/>
      <c r="BK316" s="709"/>
      <c r="BL316" s="709"/>
      <c r="BM316" s="709"/>
      <c r="BN316" s="709"/>
      <c r="BO316" s="709"/>
      <c r="BP316" s="709"/>
      <c r="BW316" s="959" t="str">
        <f t="shared" si="130"/>
        <v>►</v>
      </c>
      <c r="CB316"/>
      <c r="CC316" s="856"/>
      <c r="CK316" s="856"/>
      <c r="CS316" s="856"/>
      <c r="DA316" s="856"/>
      <c r="DB316" s="3">
        <v>1</v>
      </c>
    </row>
    <row r="317" spans="1:108" ht="21" customHeight="1">
      <c r="L317" s="104" t="s">
        <v>16</v>
      </c>
      <c r="M317" s="157" t="str">
        <f>M297</f>
        <v>É ÉPICES POUR BOUDIN | |  Author &gt; Guy KRENZE - Eric GODDYN - Arnaud NICOLAS - CEPROC 2002</v>
      </c>
      <c r="N317" s="157">
        <f>N297</f>
        <v>408</v>
      </c>
      <c r="O317" s="158" t="str">
        <f>O297</f>
        <v>g</v>
      </c>
      <c r="P317" s="159" t="str">
        <f>P297</f>
        <v>Master recipe ► le Boudin en 4 déclinaisons</v>
      </c>
      <c r="Q317" s="160" t="s">
        <v>167</v>
      </c>
      <c r="R317" s="1483" t="s">
        <v>3328</v>
      </c>
      <c r="S317" s="162"/>
      <c r="T317" s="162"/>
      <c r="U317" s="172"/>
      <c r="V317" s="172"/>
      <c r="W317" s="172"/>
      <c r="X317" s="172"/>
      <c r="Y317" s="156" t="s">
        <v>165</v>
      </c>
      <c r="Z317" s="1484" t="s">
        <v>3276</v>
      </c>
      <c r="AA317" s="5211"/>
      <c r="AB317" s="1178"/>
      <c r="AC317" s="1179"/>
      <c r="AD317" s="227" t="s">
        <v>22</v>
      </c>
      <c r="AE317" s="1027" t="str">
        <f t="shared" si="132"/>
        <v>►</v>
      </c>
      <c r="AF317" s="1028" t="str">
        <f t="shared" si="133"/>
        <v/>
      </c>
      <c r="AG317" s="1029" t="str">
        <f t="shared" si="134"/>
        <v/>
      </c>
      <c r="AH317" s="1028" t="str">
        <f t="shared" si="135"/>
        <v/>
      </c>
      <c r="AI317" s="1029" t="str">
        <f t="shared" si="136"/>
        <v/>
      </c>
      <c r="AJ317" s="1029">
        <f t="shared" si="137"/>
        <v>0</v>
      </c>
      <c r="AK317" s="1043" t="str" cm="1">
        <f t="array" ref="AK317">IF(AE317&lt;&gt;"A","",IFERROR((IFERROR(_xlfn.XLOOKUP(TRIM(SUBSTITUTE(U317,CHAR(160)," ")),$BI$15:$BI$62,$BL$15:$BL$62),IFERROR(_xlfn.XLOOKUP(TRIM(SUBSTITUTE(U317,CHAR(160)," ")),$BJ$15:$BJ$62,$BL$15:$BL$62),_xlfn.XLOOKUP(TRIM(SUBSTITUTE(U317,CHAR(160)," ")),$BK$15:$BK$62,$BL$15:$BL$62))))*T317*IF(ISBLANK(Q317),1,Q317)+IFERROR(_xlfn.XLOOKUP("RECHERCHEX",TRIM(L317:AC317),L317:AC317),0),0))</f>
        <v/>
      </c>
      <c r="AL317" s="1030">
        <f t="shared" si="138"/>
        <v>0</v>
      </c>
      <c r="AM317" s="5254" t="str">
        <f t="shared" si="153"/>
        <v/>
      </c>
      <c r="AN317" s="1031">
        <f t="shared" si="139"/>
        <v>0</v>
      </c>
      <c r="AO317" s="1031">
        <f t="shared" si="140"/>
        <v>0</v>
      </c>
      <c r="AP317" s="1044">
        <f t="shared" si="141"/>
        <v>0</v>
      </c>
      <c r="AQ317" s="5257" t="str">
        <f t="shared" si="142"/>
        <v/>
      </c>
      <c r="AR317" s="1056"/>
      <c r="AS317" s="1056"/>
      <c r="AT317" s="1045">
        <f t="shared" si="143"/>
        <v>0</v>
      </c>
      <c r="AU317" s="1046">
        <f t="shared" si="144"/>
        <v>0</v>
      </c>
      <c r="AV317" s="1059" cm="1">
        <f t="array" ref="AV317">IF(AJ317&lt;&gt;1,0,IF(OR(AT317="",N(AT317)&lt;=0.000000001),"",IF(OR(AN317="",N(AN317)&lt;=0.000000001),0,IF(ISNUMBER(AT317),IFERROR(_xlfn.LET(_xlpm.ai_test,TRIM(AI317),_xlpm.r,IFERROR(_xlfn.XLOOKUP(_xlpm.ai_test,$BI$15:$BI$62,ROW($BI$15:$BI$62),0,1),IFERROR(_xlfn.XLOOKUP(_xlpm.ai_test,$BJ$15:$BJ$62,ROW($BJ$15:$BJ$62),0,1),_xlfn.XLOOKUP(_xlpm.ai_test,$BK$15:$BK$62,ROW($BK$15:$BK$62),0,1))),_xlpm.p,_xlpm.r-MIN(ROW($BI$15:$BI$62))+1,_xlpm.f,INDEX($BL$15:$BL$62,_xlpm.p),_xlpm.u,INDEX($BM$15:$BM$62,_xlpm.p),_xlpm.s,INDEX($BO$15:$BO$62,_xlpm.p),_xlpm.q,N(AT317)/_xlpm.f,IF(_xlpm.q&gt;=_xlpm.s,ROUND(_xlpm.q,1)&amp;" "&amp;_xlpm.ai_test&amp;" = "&amp;ROUND(_xlpm.q*_xlpm.f,1)&amp;" "&amp;_xlpm.u,ROUND(_xlpm.q,1)&amp;" "&amp;_xlpm.ai_test)),""),""))))</f>
        <v>0</v>
      </c>
      <c r="AW317" s="1047"/>
      <c r="AX317" s="1045">
        <f t="shared" si="145"/>
        <v>0</v>
      </c>
      <c r="AY317" s="1046" t="str">
        <f t="shared" si="146"/>
        <v/>
      </c>
      <c r="AZ317" s="1048">
        <f t="shared" si="151"/>
        <v>0</v>
      </c>
      <c r="BA317" s="1049" t="str">
        <f t="shared" si="147"/>
        <v/>
      </c>
      <c r="BB317" s="1038"/>
      <c r="BC317" s="1050">
        <f t="shared" si="152"/>
        <v>0</v>
      </c>
      <c r="BD317" s="1040" t="str">
        <f t="shared" si="148"/>
        <v/>
      </c>
      <c r="BE317" s="227" t="s">
        <v>22</v>
      </c>
      <c r="BF317" s="1019">
        <f t="shared" si="149"/>
        <v>0</v>
      </c>
      <c r="BG317" s="1020">
        <f t="shared" si="150"/>
        <v>0</v>
      </c>
      <c r="BH317"/>
      <c r="BI317" s="709"/>
      <c r="BJ317" s="709"/>
      <c r="BK317" s="709"/>
      <c r="BL317" s="709"/>
      <c r="BM317" s="709"/>
      <c r="BN317" s="709"/>
      <c r="BO317" s="709"/>
      <c r="BP317" s="709"/>
      <c r="BW317" s="959" t="str">
        <f t="shared" si="130"/>
        <v>►</v>
      </c>
      <c r="CB317"/>
      <c r="CC317" s="856"/>
      <c r="CK317" s="856"/>
      <c r="CS317" s="856"/>
      <c r="DA317" s="856"/>
      <c r="DB317" s="3">
        <v>1</v>
      </c>
    </row>
    <row r="318" spans="1:108" ht="21" customHeight="1">
      <c r="L318" s="104" t="s">
        <v>16</v>
      </c>
      <c r="M318" s="157" t="str">
        <f>M297</f>
        <v>É ÉPICES POUR BOUDIN | |  Author &gt; Guy KRENZE - Eric GODDYN - Arnaud NICOLAS - CEPROC 2002</v>
      </c>
      <c r="N318" s="157">
        <f>N297</f>
        <v>408</v>
      </c>
      <c r="O318" s="158" t="str">
        <f>O297</f>
        <v>g</v>
      </c>
      <c r="P318" s="159" t="str">
        <f>P297</f>
        <v>Master recipe ► le Boudin en 4 déclinaisons</v>
      </c>
      <c r="Q318" s="172"/>
      <c r="R318" s="172"/>
      <c r="S318" s="172"/>
      <c r="T318" s="172"/>
      <c r="U318" s="172"/>
      <c r="V318" s="172"/>
      <c r="W318" s="172"/>
      <c r="X318" s="172"/>
      <c r="Y318" s="1474" t="s">
        <v>168</v>
      </c>
      <c r="Z318" s="1482" t="s">
        <v>668</v>
      </c>
      <c r="AA318" s="5211"/>
      <c r="AB318" s="1178"/>
      <c r="AC318" s="1179"/>
      <c r="AD318" s="227" t="s">
        <v>22</v>
      </c>
      <c r="AE318" s="1027" t="str">
        <f t="shared" si="132"/>
        <v>►</v>
      </c>
      <c r="AF318" s="1028" t="str">
        <f t="shared" si="133"/>
        <v/>
      </c>
      <c r="AG318" s="1029" t="str">
        <f t="shared" si="134"/>
        <v/>
      </c>
      <c r="AH318" s="1028" t="str">
        <f t="shared" si="135"/>
        <v/>
      </c>
      <c r="AI318" s="1029" t="str">
        <f t="shared" si="136"/>
        <v/>
      </c>
      <c r="AJ318" s="1029">
        <f t="shared" si="137"/>
        <v>0</v>
      </c>
      <c r="AK318" s="1043" t="str" cm="1">
        <f t="array" ref="AK318">IF(AE318&lt;&gt;"A","",IFERROR((IFERROR(_xlfn.XLOOKUP(TRIM(SUBSTITUTE(U318,CHAR(160)," ")),$BI$15:$BI$62,$BL$15:$BL$62),IFERROR(_xlfn.XLOOKUP(TRIM(SUBSTITUTE(U318,CHAR(160)," ")),$BJ$15:$BJ$62,$BL$15:$BL$62),_xlfn.XLOOKUP(TRIM(SUBSTITUTE(U318,CHAR(160)," ")),$BK$15:$BK$62,$BL$15:$BL$62))))*T318*IF(ISBLANK(Q318),1,Q318)+IFERROR(_xlfn.XLOOKUP("RECHERCHEX",TRIM(L318:AC318),L318:AC318),0),0))</f>
        <v/>
      </c>
      <c r="AL318" s="1030">
        <f t="shared" si="138"/>
        <v>0</v>
      </c>
      <c r="AM318" s="5254" t="str">
        <f t="shared" si="153"/>
        <v/>
      </c>
      <c r="AN318" s="1031">
        <f t="shared" si="139"/>
        <v>0</v>
      </c>
      <c r="AO318" s="1031">
        <f t="shared" si="140"/>
        <v>0</v>
      </c>
      <c r="AP318" s="1032">
        <f t="shared" si="141"/>
        <v>0</v>
      </c>
      <c r="AQ318" s="5255" t="str">
        <f t="shared" si="142"/>
        <v/>
      </c>
      <c r="AR318" s="1056"/>
      <c r="AS318" s="1056"/>
      <c r="AT318" s="1034">
        <f t="shared" si="143"/>
        <v>0</v>
      </c>
      <c r="AU318" s="1035">
        <f t="shared" si="144"/>
        <v>0</v>
      </c>
      <c r="AV318" s="1057" cm="1">
        <f t="array" ref="AV318">IF(AJ318&lt;&gt;1,0,IF(OR(AT318="",N(AT318)&lt;=0.000000001),"",IF(OR(AN318="",N(AN318)&lt;=0.000000001),0,IF(ISNUMBER(AT318),IFERROR(_xlfn.LET(_xlpm.ai_test,TRIM(AI318),_xlpm.r,IFERROR(_xlfn.XLOOKUP(_xlpm.ai_test,$BI$15:$BI$62,ROW($BI$15:$BI$62),0,1),IFERROR(_xlfn.XLOOKUP(_xlpm.ai_test,$BJ$15:$BJ$62,ROW($BJ$15:$BJ$62),0,1),_xlfn.XLOOKUP(_xlpm.ai_test,$BK$15:$BK$62,ROW($BK$15:$BK$62),0,1))),_xlpm.p,_xlpm.r-MIN(ROW($BI$15:$BI$62))+1,_xlpm.f,INDEX($BL$15:$BL$62,_xlpm.p),_xlpm.u,INDEX($BM$15:$BM$62,_xlpm.p),_xlpm.s,INDEX($BO$15:$BO$62,_xlpm.p),_xlpm.q,N(AT318)/_xlpm.f,IF(_xlpm.q&gt;=_xlpm.s,ROUND(_xlpm.q,1)&amp;" "&amp;_xlpm.ai_test&amp;" = "&amp;ROUND(_xlpm.q*_xlpm.f,1)&amp;" "&amp;_xlpm.u,ROUND(_xlpm.q,1)&amp;" "&amp;_xlpm.ai_test)),""),""))))</f>
        <v>0</v>
      </c>
      <c r="AW318" s="1047"/>
      <c r="AX318" s="1034">
        <f t="shared" si="145"/>
        <v>0</v>
      </c>
      <c r="AY318" s="1035" t="str">
        <f t="shared" si="146"/>
        <v/>
      </c>
      <c r="AZ318" s="1036">
        <f t="shared" si="151"/>
        <v>0</v>
      </c>
      <c r="BA318" s="1037" t="str">
        <f t="shared" si="147"/>
        <v/>
      </c>
      <c r="BB318" s="1038"/>
      <c r="BC318" s="1039">
        <f t="shared" si="152"/>
        <v>0</v>
      </c>
      <c r="BD318" s="1040" t="str">
        <f t="shared" si="148"/>
        <v/>
      </c>
      <c r="BE318" s="227" t="s">
        <v>22</v>
      </c>
      <c r="BF318" s="1019">
        <f t="shared" si="149"/>
        <v>0</v>
      </c>
      <c r="BG318" s="1020">
        <f t="shared" si="150"/>
        <v>0</v>
      </c>
      <c r="BH318"/>
      <c r="BI318" s="709"/>
      <c r="BJ318" s="709"/>
      <c r="BK318" s="709"/>
      <c r="BL318" s="709"/>
      <c r="BM318" s="709"/>
      <c r="BN318" s="709"/>
      <c r="BO318" s="709"/>
      <c r="BP318" s="709"/>
      <c r="BW318" s="959" t="str">
        <f t="shared" si="130"/>
        <v>►</v>
      </c>
      <c r="CB318"/>
      <c r="CC318" s="856"/>
      <c r="CK318" s="856"/>
      <c r="CS318" s="856"/>
      <c r="DA318" s="856"/>
      <c r="DB318" s="3">
        <v>1</v>
      </c>
    </row>
    <row r="319" spans="1:108" ht="21" customHeight="1">
      <c r="L319" s="104" t="s">
        <v>16</v>
      </c>
      <c r="M319" s="157" t="str">
        <f>M297</f>
        <v>É ÉPICES POUR BOUDIN | |  Author &gt; Guy KRENZE - Eric GODDYN - Arnaud NICOLAS - CEPROC 2002</v>
      </c>
      <c r="N319" s="157">
        <f>N297</f>
        <v>408</v>
      </c>
      <c r="O319" s="158" t="str">
        <f>O297</f>
        <v>g</v>
      </c>
      <c r="P319" s="159" t="str">
        <f>P297</f>
        <v>Master recipe ► le Boudin en 4 déclinaisons</v>
      </c>
      <c r="Q319" s="172" t="s">
        <v>13071</v>
      </c>
      <c r="R319" s="172"/>
      <c r="S319" s="172"/>
      <c r="T319" s="172"/>
      <c r="U319" s="172"/>
      <c r="V319" s="172"/>
      <c r="W319" s="172"/>
      <c r="X319" s="172"/>
      <c r="Y319" s="172"/>
      <c r="Z319" s="555"/>
      <c r="AA319" s="5211"/>
      <c r="AB319" s="1178"/>
      <c r="AC319" s="1179"/>
      <c r="AD319" s="227" t="s">
        <v>22</v>
      </c>
      <c r="AE319" s="1027" t="str">
        <f t="shared" si="132"/>
        <v>►</v>
      </c>
      <c r="AF319" s="1028" t="str">
        <f t="shared" si="133"/>
        <v/>
      </c>
      <c r="AG319" s="1029" t="str">
        <f t="shared" si="134"/>
        <v/>
      </c>
      <c r="AH319" s="1028" t="str">
        <f t="shared" si="135"/>
        <v/>
      </c>
      <c r="AI319" s="1029" t="str">
        <f t="shared" si="136"/>
        <v/>
      </c>
      <c r="AJ319" s="1029">
        <f t="shared" si="137"/>
        <v>0</v>
      </c>
      <c r="AK319" s="1043" t="str" cm="1">
        <f t="array" ref="AK319">IF(AE319&lt;&gt;"A","",IFERROR((IFERROR(_xlfn.XLOOKUP(TRIM(SUBSTITUTE(U319,CHAR(160)," ")),$BI$15:$BI$62,$BL$15:$BL$62),IFERROR(_xlfn.XLOOKUP(TRIM(SUBSTITUTE(U319,CHAR(160)," ")),$BJ$15:$BJ$62,$BL$15:$BL$62),_xlfn.XLOOKUP(TRIM(SUBSTITUTE(U319,CHAR(160)," ")),$BK$15:$BK$62,$BL$15:$BL$62))))*T319*IF(ISBLANK(Q319),1,Q319)+IFERROR(_xlfn.XLOOKUP("RECHERCHEX",TRIM(L319:AC319),L319:AC319),0),0))</f>
        <v/>
      </c>
      <c r="AL319" s="1030">
        <f t="shared" si="138"/>
        <v>0</v>
      </c>
      <c r="AM319" s="5254" t="str">
        <f t="shared" si="153"/>
        <v/>
      </c>
      <c r="AN319" s="1031">
        <f t="shared" si="139"/>
        <v>0</v>
      </c>
      <c r="AO319" s="1031">
        <f t="shared" si="140"/>
        <v>0</v>
      </c>
      <c r="AP319" s="1044">
        <f t="shared" si="141"/>
        <v>0</v>
      </c>
      <c r="AQ319" s="5257" t="str">
        <f t="shared" si="142"/>
        <v/>
      </c>
      <c r="AR319" s="1056"/>
      <c r="AS319" s="1056"/>
      <c r="AT319" s="1045">
        <f t="shared" si="143"/>
        <v>0</v>
      </c>
      <c r="AU319" s="1046">
        <f t="shared" si="144"/>
        <v>0</v>
      </c>
      <c r="AV319" s="1059" cm="1">
        <f t="array" ref="AV319">IF(AJ319&lt;&gt;1,0,IF(OR(AT319="",N(AT319)&lt;=0.000000001),"",IF(OR(AN319="",N(AN319)&lt;=0.000000001),0,IF(ISNUMBER(AT319),IFERROR(_xlfn.LET(_xlpm.ai_test,TRIM(AI319),_xlpm.r,IFERROR(_xlfn.XLOOKUP(_xlpm.ai_test,$BI$15:$BI$62,ROW($BI$15:$BI$62),0,1),IFERROR(_xlfn.XLOOKUP(_xlpm.ai_test,$BJ$15:$BJ$62,ROW($BJ$15:$BJ$62),0,1),_xlfn.XLOOKUP(_xlpm.ai_test,$BK$15:$BK$62,ROW($BK$15:$BK$62),0,1))),_xlpm.p,_xlpm.r-MIN(ROW($BI$15:$BI$62))+1,_xlpm.f,INDEX($BL$15:$BL$62,_xlpm.p),_xlpm.u,INDEX($BM$15:$BM$62,_xlpm.p),_xlpm.s,INDEX($BO$15:$BO$62,_xlpm.p),_xlpm.q,N(AT319)/_xlpm.f,IF(_xlpm.q&gt;=_xlpm.s,ROUND(_xlpm.q,1)&amp;" "&amp;_xlpm.ai_test&amp;" = "&amp;ROUND(_xlpm.q*_xlpm.f,1)&amp;" "&amp;_xlpm.u,ROUND(_xlpm.q,1)&amp;" "&amp;_xlpm.ai_test)),""),""))))</f>
        <v>0</v>
      </c>
      <c r="AW319" s="1047"/>
      <c r="AX319" s="1045">
        <f t="shared" si="145"/>
        <v>0</v>
      </c>
      <c r="AY319" s="1046" t="str">
        <f t="shared" si="146"/>
        <v/>
      </c>
      <c r="AZ319" s="1048">
        <f t="shared" si="151"/>
        <v>0</v>
      </c>
      <c r="BA319" s="1049" t="str">
        <f t="shared" si="147"/>
        <v/>
      </c>
      <c r="BB319" s="1038"/>
      <c r="BC319" s="1050">
        <f t="shared" si="152"/>
        <v>0</v>
      </c>
      <c r="BD319" s="1040" t="str">
        <f t="shared" si="148"/>
        <v/>
      </c>
      <c r="BE319" s="227" t="s">
        <v>22</v>
      </c>
      <c r="BF319" s="1019">
        <f t="shared" si="149"/>
        <v>0</v>
      </c>
      <c r="BG319" s="1020">
        <f t="shared" si="150"/>
        <v>0</v>
      </c>
      <c r="BH319"/>
      <c r="BI319" s="709"/>
      <c r="BJ319" s="709"/>
      <c r="BK319" s="709"/>
      <c r="BL319" s="709"/>
      <c r="BM319" s="709"/>
      <c r="BN319" s="709"/>
      <c r="BO319" s="709"/>
      <c r="BP319" s="709"/>
      <c r="BW319" s="959" t="str">
        <f t="shared" si="130"/>
        <v>►</v>
      </c>
      <c r="CB319"/>
      <c r="CC319" s="856"/>
      <c r="CK319" s="856"/>
      <c r="CS319" s="856"/>
      <c r="DA319" s="856"/>
      <c r="DB319" s="3">
        <v>1</v>
      </c>
    </row>
    <row r="320" spans="1:108" ht="21" customHeight="1">
      <c r="L320" s="104" t="s">
        <v>16</v>
      </c>
      <c r="M320" s="157" t="str">
        <f>M297</f>
        <v>É ÉPICES POUR BOUDIN | |  Author &gt; Guy KRENZE - Eric GODDYN - Arnaud NICOLAS - CEPROC 2002</v>
      </c>
      <c r="N320" s="157">
        <f>N297</f>
        <v>408</v>
      </c>
      <c r="O320" s="158" t="str">
        <f>O297</f>
        <v>g</v>
      </c>
      <c r="P320" s="159" t="str">
        <f>P297</f>
        <v>Master recipe ► le Boudin en 4 déclinaisons</v>
      </c>
      <c r="Q320" s="172" t="s">
        <v>13072</v>
      </c>
      <c r="R320" s="172"/>
      <c r="S320" s="172"/>
      <c r="T320" s="172"/>
      <c r="U320" s="172"/>
      <c r="V320" s="172"/>
      <c r="W320" s="172"/>
      <c r="X320" s="172"/>
      <c r="Y320" s="170" t="s">
        <v>172</v>
      </c>
      <c r="Z320" s="171">
        <v>3.472222222222222E-3</v>
      </c>
      <c r="AA320" s="5211"/>
      <c r="AB320" s="1178"/>
      <c r="AC320" s="1179"/>
      <c r="AD320" s="227" t="s">
        <v>22</v>
      </c>
      <c r="AE320" s="1027" t="str">
        <f t="shared" si="132"/>
        <v>►</v>
      </c>
      <c r="AF320" s="1028" t="str">
        <f t="shared" si="133"/>
        <v/>
      </c>
      <c r="AG320" s="1029" t="str">
        <f t="shared" si="134"/>
        <v/>
      </c>
      <c r="AH320" s="1028" t="str">
        <f t="shared" si="135"/>
        <v/>
      </c>
      <c r="AI320" s="1029" t="str">
        <f t="shared" si="136"/>
        <v/>
      </c>
      <c r="AJ320" s="1029">
        <f t="shared" si="137"/>
        <v>0</v>
      </c>
      <c r="AK320" s="1043" t="str" cm="1">
        <f t="array" ref="AK320">IF(AE320&lt;&gt;"A","",IFERROR((IFERROR(_xlfn.XLOOKUP(TRIM(SUBSTITUTE(U320,CHAR(160)," ")),$BI$15:$BI$62,$BL$15:$BL$62),IFERROR(_xlfn.XLOOKUP(TRIM(SUBSTITUTE(U320,CHAR(160)," ")),$BJ$15:$BJ$62,$BL$15:$BL$62),_xlfn.XLOOKUP(TRIM(SUBSTITUTE(U320,CHAR(160)," ")),$BK$15:$BK$62,$BL$15:$BL$62))))*T320*IF(ISBLANK(Q320),1,Q320)+IFERROR(_xlfn.XLOOKUP("RECHERCHEX",TRIM(L320:AC320),L320:AC320),0),0))</f>
        <v/>
      </c>
      <c r="AL320" s="1030">
        <f t="shared" si="138"/>
        <v>0</v>
      </c>
      <c r="AM320" s="5254" t="str">
        <f t="shared" si="153"/>
        <v/>
      </c>
      <c r="AN320" s="1031">
        <f t="shared" si="139"/>
        <v>0</v>
      </c>
      <c r="AO320" s="1031">
        <f t="shared" si="140"/>
        <v>0</v>
      </c>
      <c r="AP320" s="1032">
        <f t="shared" si="141"/>
        <v>0</v>
      </c>
      <c r="AQ320" s="5255" t="str">
        <f t="shared" si="142"/>
        <v/>
      </c>
      <c r="AR320" s="1056"/>
      <c r="AS320" s="1056"/>
      <c r="AT320" s="1034">
        <f t="shared" si="143"/>
        <v>0</v>
      </c>
      <c r="AU320" s="1035">
        <f t="shared" si="144"/>
        <v>0</v>
      </c>
      <c r="AV320" s="1057" cm="1">
        <f t="array" ref="AV320">IF(AJ320&lt;&gt;1,0,IF(OR(AT320="",N(AT320)&lt;=0.000000001),"",IF(OR(AN320="",N(AN320)&lt;=0.000000001),0,IF(ISNUMBER(AT320),IFERROR(_xlfn.LET(_xlpm.ai_test,TRIM(AI320),_xlpm.r,IFERROR(_xlfn.XLOOKUP(_xlpm.ai_test,$BI$15:$BI$62,ROW($BI$15:$BI$62),0,1),IFERROR(_xlfn.XLOOKUP(_xlpm.ai_test,$BJ$15:$BJ$62,ROW($BJ$15:$BJ$62),0,1),_xlfn.XLOOKUP(_xlpm.ai_test,$BK$15:$BK$62,ROW($BK$15:$BK$62),0,1))),_xlpm.p,_xlpm.r-MIN(ROW($BI$15:$BI$62))+1,_xlpm.f,INDEX($BL$15:$BL$62,_xlpm.p),_xlpm.u,INDEX($BM$15:$BM$62,_xlpm.p),_xlpm.s,INDEX($BO$15:$BO$62,_xlpm.p),_xlpm.q,N(AT320)/_xlpm.f,IF(_xlpm.q&gt;=_xlpm.s,ROUND(_xlpm.q,1)&amp;" "&amp;_xlpm.ai_test&amp;" = "&amp;ROUND(_xlpm.q*_xlpm.f,1)&amp;" "&amp;_xlpm.u,ROUND(_xlpm.q,1)&amp;" "&amp;_xlpm.ai_test)),""),""))))</f>
        <v>0</v>
      </c>
      <c r="AW320" s="1047"/>
      <c r="AX320" s="1034">
        <f t="shared" si="145"/>
        <v>0</v>
      </c>
      <c r="AY320" s="1035" t="str">
        <f t="shared" si="146"/>
        <v/>
      </c>
      <c r="AZ320" s="1036">
        <f t="shared" si="151"/>
        <v>0</v>
      </c>
      <c r="BA320" s="1037" t="str">
        <f t="shared" si="147"/>
        <v/>
      </c>
      <c r="BB320" s="1038"/>
      <c r="BC320" s="1039">
        <f t="shared" si="152"/>
        <v>0</v>
      </c>
      <c r="BD320" s="1040" t="str">
        <f t="shared" si="148"/>
        <v/>
      </c>
      <c r="BE320" s="227" t="s">
        <v>22</v>
      </c>
      <c r="BF320" s="1019">
        <f t="shared" si="149"/>
        <v>0</v>
      </c>
      <c r="BG320" s="1020">
        <f t="shared" si="150"/>
        <v>0</v>
      </c>
      <c r="BH320"/>
      <c r="BI320" s="709"/>
      <c r="BJ320" s="709"/>
      <c r="BK320" s="709"/>
      <c r="BL320" s="709"/>
      <c r="BM320" s="709"/>
      <c r="BN320" s="709"/>
      <c r="BO320" s="709"/>
      <c r="BP320" s="709"/>
      <c r="BW320" s="959" t="str">
        <f t="shared" si="130"/>
        <v>►</v>
      </c>
      <c r="BX320" s="856"/>
      <c r="BY320" s="856"/>
      <c r="BZ320" s="856"/>
      <c r="CA320" s="856"/>
      <c r="CB320" s="856"/>
      <c r="CC320" s="856"/>
      <c r="CK320" s="856"/>
      <c r="CS320" s="856"/>
      <c r="DA320" s="856"/>
      <c r="DB320" s="3">
        <v>1</v>
      </c>
    </row>
    <row r="321" spans="12:106" ht="21" customHeight="1">
      <c r="L321" s="104" t="s">
        <v>16</v>
      </c>
      <c r="M321" s="157" t="str">
        <f>M297</f>
        <v>É ÉPICES POUR BOUDIN | |  Author &gt; Guy KRENZE - Eric GODDYN - Arnaud NICOLAS - CEPROC 2002</v>
      </c>
      <c r="N321" s="157">
        <f>N297</f>
        <v>408</v>
      </c>
      <c r="O321" s="158" t="str">
        <f>O297</f>
        <v>g</v>
      </c>
      <c r="P321" s="159" t="str">
        <f>P297</f>
        <v>Master recipe ► le Boudin en 4 déclinaisons</v>
      </c>
      <c r="Q321" s="172" t="s">
        <v>13073</v>
      </c>
      <c r="R321" s="172"/>
      <c r="S321" s="172"/>
      <c r="T321" s="172"/>
      <c r="U321" s="172"/>
      <c r="V321" s="172"/>
      <c r="W321" s="172"/>
      <c r="X321" s="172"/>
      <c r="Y321" s="170" t="s">
        <v>174</v>
      </c>
      <c r="Z321" s="174">
        <v>3.472222222222222E-3</v>
      </c>
      <c r="AA321" s="5211"/>
      <c r="AB321" s="1178"/>
      <c r="AC321" s="1179"/>
      <c r="AD321" s="227" t="s">
        <v>22</v>
      </c>
      <c r="AE321" s="1027" t="str">
        <f t="shared" si="132"/>
        <v>►</v>
      </c>
      <c r="AF321" s="1028" t="str">
        <f t="shared" si="133"/>
        <v/>
      </c>
      <c r="AG321" s="1029" t="str">
        <f t="shared" si="134"/>
        <v/>
      </c>
      <c r="AH321" s="1028" t="str">
        <f t="shared" si="135"/>
        <v/>
      </c>
      <c r="AI321" s="1029" t="str">
        <f t="shared" si="136"/>
        <v/>
      </c>
      <c r="AJ321" s="1029">
        <f t="shared" si="137"/>
        <v>0</v>
      </c>
      <c r="AK321" s="1043" t="str" cm="1">
        <f t="array" ref="AK321">IF(AE321&lt;&gt;"A","",IFERROR((IFERROR(_xlfn.XLOOKUP(TRIM(SUBSTITUTE(U321,CHAR(160)," ")),$BI$15:$BI$62,$BL$15:$BL$62),IFERROR(_xlfn.XLOOKUP(TRIM(SUBSTITUTE(U321,CHAR(160)," ")),$BJ$15:$BJ$62,$BL$15:$BL$62),_xlfn.XLOOKUP(TRIM(SUBSTITUTE(U321,CHAR(160)," ")),$BK$15:$BK$62,$BL$15:$BL$62))))*T321*IF(ISBLANK(Q321),1,Q321)+IFERROR(_xlfn.XLOOKUP("RECHERCHEX",TRIM(L321:AC321),L321:AC321),0),0))</f>
        <v/>
      </c>
      <c r="AL321" s="1030">
        <f t="shared" si="138"/>
        <v>0</v>
      </c>
      <c r="AM321" s="5254" t="str">
        <f t="shared" si="153"/>
        <v/>
      </c>
      <c r="AN321" s="1031">
        <f t="shared" si="139"/>
        <v>0</v>
      </c>
      <c r="AO321" s="1031">
        <f t="shared" si="140"/>
        <v>0</v>
      </c>
      <c r="AP321" s="1044">
        <f t="shared" si="141"/>
        <v>0</v>
      </c>
      <c r="AQ321" s="5257" t="str">
        <f t="shared" si="142"/>
        <v/>
      </c>
      <c r="AR321" s="1056"/>
      <c r="AS321" s="1056"/>
      <c r="AT321" s="1045">
        <f t="shared" si="143"/>
        <v>0</v>
      </c>
      <c r="AU321" s="1046">
        <f t="shared" si="144"/>
        <v>0</v>
      </c>
      <c r="AV321" s="1059" cm="1">
        <f t="array" ref="AV321">IF(AJ321&lt;&gt;1,0,IF(OR(AT321="",N(AT321)&lt;=0.000000001),"",IF(OR(AN321="",N(AN321)&lt;=0.000000001),0,IF(ISNUMBER(AT321),IFERROR(_xlfn.LET(_xlpm.ai_test,TRIM(AI321),_xlpm.r,IFERROR(_xlfn.XLOOKUP(_xlpm.ai_test,$BI$15:$BI$62,ROW($BI$15:$BI$62),0,1),IFERROR(_xlfn.XLOOKUP(_xlpm.ai_test,$BJ$15:$BJ$62,ROW($BJ$15:$BJ$62),0,1),_xlfn.XLOOKUP(_xlpm.ai_test,$BK$15:$BK$62,ROW($BK$15:$BK$62),0,1))),_xlpm.p,_xlpm.r-MIN(ROW($BI$15:$BI$62))+1,_xlpm.f,INDEX($BL$15:$BL$62,_xlpm.p),_xlpm.u,INDEX($BM$15:$BM$62,_xlpm.p),_xlpm.s,INDEX($BO$15:$BO$62,_xlpm.p),_xlpm.q,N(AT321)/_xlpm.f,IF(_xlpm.q&gt;=_xlpm.s,ROUND(_xlpm.q,1)&amp;" "&amp;_xlpm.ai_test&amp;" = "&amp;ROUND(_xlpm.q*_xlpm.f,1)&amp;" "&amp;_xlpm.u,ROUND(_xlpm.q,1)&amp;" "&amp;_xlpm.ai_test)),""),""))))</f>
        <v>0</v>
      </c>
      <c r="AW321" s="1047"/>
      <c r="AX321" s="1045">
        <f t="shared" si="145"/>
        <v>0</v>
      </c>
      <c r="AY321" s="1046" t="str">
        <f t="shared" si="146"/>
        <v/>
      </c>
      <c r="AZ321" s="1048">
        <f t="shared" si="151"/>
        <v>0</v>
      </c>
      <c r="BA321" s="1049" t="str">
        <f t="shared" si="147"/>
        <v/>
      </c>
      <c r="BB321" s="1038"/>
      <c r="BC321" s="1050">
        <f t="shared" si="152"/>
        <v>0</v>
      </c>
      <c r="BD321" s="1040" t="str">
        <f t="shared" si="148"/>
        <v/>
      </c>
      <c r="BE321" s="227" t="s">
        <v>22</v>
      </c>
      <c r="BF321" s="1019">
        <f t="shared" si="149"/>
        <v>0</v>
      </c>
      <c r="BG321" s="1020">
        <f t="shared" si="150"/>
        <v>0</v>
      </c>
      <c r="BH321"/>
      <c r="BI321" s="709"/>
      <c r="BJ321" s="709"/>
      <c r="BK321" s="709"/>
      <c r="BL321" s="709"/>
      <c r="BM321" s="709"/>
      <c r="BN321" s="709"/>
      <c r="BO321" s="709"/>
      <c r="BP321" s="709"/>
      <c r="BW321" s="959" t="str">
        <f t="shared" si="130"/>
        <v>►</v>
      </c>
      <c r="BX321" s="856"/>
      <c r="BY321" s="856"/>
      <c r="BZ321" s="856"/>
      <c r="CA321" s="856"/>
      <c r="CB321" s="856"/>
      <c r="CC321" s="856"/>
      <c r="CK321" s="856"/>
      <c r="CS321" s="856"/>
      <c r="DA321" s="856"/>
      <c r="DB321" s="3">
        <v>1</v>
      </c>
    </row>
    <row r="322" spans="12:106" ht="21" customHeight="1">
      <c r="L322" s="104" t="s">
        <v>16</v>
      </c>
      <c r="M322" s="157" t="str">
        <f>M297</f>
        <v>É ÉPICES POUR BOUDIN | |  Author &gt; Guy KRENZE - Eric GODDYN - Arnaud NICOLAS - CEPROC 2002</v>
      </c>
      <c r="N322" s="157">
        <f>N297</f>
        <v>408</v>
      </c>
      <c r="O322" s="158" t="str">
        <f>O297</f>
        <v>g</v>
      </c>
      <c r="P322" s="159" t="str">
        <f>P297</f>
        <v>Master recipe ► le Boudin en 4 déclinaisons</v>
      </c>
      <c r="Q322" s="172" t="s">
        <v>13076</v>
      </c>
      <c r="R322" s="172"/>
      <c r="S322" s="172"/>
      <c r="T322" s="172"/>
      <c r="U322" s="172"/>
      <c r="V322" s="172"/>
      <c r="W322" s="172"/>
      <c r="X322" s="172"/>
      <c r="Y322" s="170" t="s">
        <v>182</v>
      </c>
      <c r="Z322" s="175">
        <v>3.472222222222222E-3</v>
      </c>
      <c r="AA322" s="5211"/>
      <c r="AB322" s="1178"/>
      <c r="AC322" s="1179"/>
      <c r="AD322" s="227" t="s">
        <v>22</v>
      </c>
      <c r="AE322" s="1027" t="str">
        <f t="shared" si="132"/>
        <v>►</v>
      </c>
      <c r="AF322" s="1028" t="str">
        <f t="shared" si="133"/>
        <v/>
      </c>
      <c r="AG322" s="1029" t="str">
        <f t="shared" si="134"/>
        <v/>
      </c>
      <c r="AH322" s="1028" t="str">
        <f t="shared" si="135"/>
        <v/>
      </c>
      <c r="AI322" s="1029" t="str">
        <f t="shared" si="136"/>
        <v/>
      </c>
      <c r="AJ322" s="1029">
        <f t="shared" si="137"/>
        <v>0</v>
      </c>
      <c r="AK322" s="1043" t="str" cm="1">
        <f t="array" ref="AK322">IF(AE322&lt;&gt;"A","",IFERROR((IFERROR(_xlfn.XLOOKUP(TRIM(SUBSTITUTE(U322,CHAR(160)," ")),$BI$15:$BI$62,$BL$15:$BL$62),IFERROR(_xlfn.XLOOKUP(TRIM(SUBSTITUTE(U322,CHAR(160)," ")),$BJ$15:$BJ$62,$BL$15:$BL$62),_xlfn.XLOOKUP(TRIM(SUBSTITUTE(U322,CHAR(160)," ")),$BK$15:$BK$62,$BL$15:$BL$62))))*T322*IF(ISBLANK(Q322),1,Q322)+IFERROR(_xlfn.XLOOKUP("RECHERCHEX",TRIM(L322:AC322),L322:AC322),0),0))</f>
        <v/>
      </c>
      <c r="AL322" s="1030">
        <f t="shared" si="138"/>
        <v>0</v>
      </c>
      <c r="AM322" s="5254" t="str">
        <f t="shared" si="153"/>
        <v/>
      </c>
      <c r="AN322" s="1031">
        <f t="shared" si="139"/>
        <v>0</v>
      </c>
      <c r="AO322" s="1031">
        <f t="shared" si="140"/>
        <v>0</v>
      </c>
      <c r="AP322" s="1032">
        <f t="shared" si="141"/>
        <v>0</v>
      </c>
      <c r="AQ322" s="5255" t="str">
        <f t="shared" si="142"/>
        <v/>
      </c>
      <c r="AR322" s="1056"/>
      <c r="AS322" s="1056"/>
      <c r="AT322" s="1034">
        <f t="shared" si="143"/>
        <v>0</v>
      </c>
      <c r="AU322" s="1035">
        <f t="shared" si="144"/>
        <v>0</v>
      </c>
      <c r="AV322" s="1057" cm="1">
        <f t="array" ref="AV322">IF(AJ322&lt;&gt;1,0,IF(OR(AT322="",N(AT322)&lt;=0.000000001),"",IF(OR(AN322="",N(AN322)&lt;=0.000000001),0,IF(ISNUMBER(AT322),IFERROR(_xlfn.LET(_xlpm.ai_test,TRIM(AI322),_xlpm.r,IFERROR(_xlfn.XLOOKUP(_xlpm.ai_test,$BI$15:$BI$62,ROW($BI$15:$BI$62),0,1),IFERROR(_xlfn.XLOOKUP(_xlpm.ai_test,$BJ$15:$BJ$62,ROW($BJ$15:$BJ$62),0,1),_xlfn.XLOOKUP(_xlpm.ai_test,$BK$15:$BK$62,ROW($BK$15:$BK$62),0,1))),_xlpm.p,_xlpm.r-MIN(ROW($BI$15:$BI$62))+1,_xlpm.f,INDEX($BL$15:$BL$62,_xlpm.p),_xlpm.u,INDEX($BM$15:$BM$62,_xlpm.p),_xlpm.s,INDEX($BO$15:$BO$62,_xlpm.p),_xlpm.q,N(AT322)/_xlpm.f,IF(_xlpm.q&gt;=_xlpm.s,ROUND(_xlpm.q,1)&amp;" "&amp;_xlpm.ai_test&amp;" = "&amp;ROUND(_xlpm.q*_xlpm.f,1)&amp;" "&amp;_xlpm.u,ROUND(_xlpm.q,1)&amp;" "&amp;_xlpm.ai_test)),""),""))))</f>
        <v>0</v>
      </c>
      <c r="AW322" s="1047"/>
      <c r="AX322" s="1034">
        <f t="shared" si="145"/>
        <v>0</v>
      </c>
      <c r="AY322" s="1035" t="str">
        <f t="shared" si="146"/>
        <v/>
      </c>
      <c r="AZ322" s="1036">
        <f t="shared" si="151"/>
        <v>0</v>
      </c>
      <c r="BA322" s="1037" t="str">
        <f t="shared" si="147"/>
        <v/>
      </c>
      <c r="BB322" s="1038"/>
      <c r="BC322" s="1039">
        <f t="shared" si="152"/>
        <v>0</v>
      </c>
      <c r="BD322" s="1040" t="str">
        <f t="shared" si="148"/>
        <v/>
      </c>
      <c r="BE322" s="227" t="s">
        <v>22</v>
      </c>
      <c r="BF322" s="1019">
        <f t="shared" si="149"/>
        <v>0</v>
      </c>
      <c r="BG322" s="1020">
        <f t="shared" si="150"/>
        <v>0</v>
      </c>
      <c r="BH322"/>
      <c r="BI322" s="709"/>
      <c r="BJ322" s="709"/>
      <c r="BK322" s="709"/>
      <c r="BL322" s="709"/>
      <c r="BM322" s="709"/>
      <c r="BN322" s="709"/>
      <c r="BO322" s="709"/>
      <c r="BP322" s="709"/>
      <c r="BW322" s="959" t="str">
        <f t="shared" si="130"/>
        <v>►</v>
      </c>
      <c r="CB322"/>
      <c r="CC322" s="856"/>
      <c r="CK322" s="856"/>
      <c r="CS322" s="856"/>
      <c r="DA322" s="856"/>
      <c r="DB322" s="3">
        <v>1</v>
      </c>
    </row>
    <row r="323" spans="12:106" ht="21" customHeight="1">
      <c r="L323" s="104" t="s">
        <v>16</v>
      </c>
      <c r="M323" s="157" t="str">
        <f>M297</f>
        <v>É ÉPICES POUR BOUDIN | |  Author &gt; Guy KRENZE - Eric GODDYN - Arnaud NICOLAS - CEPROC 2002</v>
      </c>
      <c r="N323" s="157">
        <f>N297</f>
        <v>408</v>
      </c>
      <c r="O323" s="158" t="str">
        <f>O297</f>
        <v>g</v>
      </c>
      <c r="P323" s="159" t="str">
        <f>P297</f>
        <v>Master recipe ► le Boudin en 4 déclinaisons</v>
      </c>
      <c r="Q323" s="172" t="s">
        <v>13074</v>
      </c>
      <c r="R323" s="172"/>
      <c r="S323" s="172"/>
      <c r="T323" s="172"/>
      <c r="U323" s="172"/>
      <c r="V323" s="172"/>
      <c r="W323" s="172"/>
      <c r="X323" s="172"/>
      <c r="Y323" s="176" t="s">
        <v>183</v>
      </c>
      <c r="Z323" s="177">
        <f>Z320+Z321+Z322</f>
        <v>1.0416666666666666E-2</v>
      </c>
      <c r="AA323" s="5211"/>
      <c r="AB323" s="1178"/>
      <c r="AC323" s="1179"/>
      <c r="AD323" s="227" t="s">
        <v>22</v>
      </c>
      <c r="AE323" s="1027" t="str">
        <f t="shared" si="132"/>
        <v>►</v>
      </c>
      <c r="AF323" s="1028" t="str">
        <f t="shared" si="133"/>
        <v/>
      </c>
      <c r="AG323" s="1029" t="str">
        <f t="shared" si="134"/>
        <v/>
      </c>
      <c r="AH323" s="1028" t="str">
        <f t="shared" si="135"/>
        <v/>
      </c>
      <c r="AI323" s="1029" t="str">
        <f t="shared" si="136"/>
        <v/>
      </c>
      <c r="AJ323" s="1029">
        <f t="shared" si="137"/>
        <v>0</v>
      </c>
      <c r="AK323" s="1043" t="str" cm="1">
        <f t="array" ref="AK323">IF(AE323&lt;&gt;"A","",IFERROR((IFERROR(_xlfn.XLOOKUP(TRIM(SUBSTITUTE(U323,CHAR(160)," ")),$BI$15:$BI$62,$BL$15:$BL$62),IFERROR(_xlfn.XLOOKUP(TRIM(SUBSTITUTE(U323,CHAR(160)," ")),$BJ$15:$BJ$62,$BL$15:$BL$62),_xlfn.XLOOKUP(TRIM(SUBSTITUTE(U323,CHAR(160)," ")),$BK$15:$BK$62,$BL$15:$BL$62))))*T323*IF(ISBLANK(Q323),1,Q323)+IFERROR(_xlfn.XLOOKUP("RECHERCHEX",TRIM(L323:AC323),L323:AC323),0),0))</f>
        <v/>
      </c>
      <c r="AL323" s="1030">
        <f t="shared" si="138"/>
        <v>0</v>
      </c>
      <c r="AM323" s="5254" t="str">
        <f t="shared" si="153"/>
        <v/>
      </c>
      <c r="AN323" s="1031">
        <f t="shared" si="139"/>
        <v>0</v>
      </c>
      <c r="AO323" s="1031">
        <f t="shared" si="140"/>
        <v>0</v>
      </c>
      <c r="AP323" s="1044">
        <f t="shared" si="141"/>
        <v>0</v>
      </c>
      <c r="AQ323" s="5257" t="str">
        <f t="shared" si="142"/>
        <v/>
      </c>
      <c r="AR323" s="1056"/>
      <c r="AS323" s="1056"/>
      <c r="AT323" s="1045">
        <f t="shared" si="143"/>
        <v>0</v>
      </c>
      <c r="AU323" s="1046">
        <f t="shared" si="144"/>
        <v>0</v>
      </c>
      <c r="AV323" s="1059" cm="1">
        <f t="array" ref="AV323">IF(AJ323&lt;&gt;1,0,IF(OR(AT323="",N(AT323)&lt;=0.000000001),"",IF(OR(AN323="",N(AN323)&lt;=0.000000001),0,IF(ISNUMBER(AT323),IFERROR(_xlfn.LET(_xlpm.ai_test,TRIM(AI323),_xlpm.r,IFERROR(_xlfn.XLOOKUP(_xlpm.ai_test,$BI$15:$BI$62,ROW($BI$15:$BI$62),0,1),IFERROR(_xlfn.XLOOKUP(_xlpm.ai_test,$BJ$15:$BJ$62,ROW($BJ$15:$BJ$62),0,1),_xlfn.XLOOKUP(_xlpm.ai_test,$BK$15:$BK$62,ROW($BK$15:$BK$62),0,1))),_xlpm.p,_xlpm.r-MIN(ROW($BI$15:$BI$62))+1,_xlpm.f,INDEX($BL$15:$BL$62,_xlpm.p),_xlpm.u,INDEX($BM$15:$BM$62,_xlpm.p),_xlpm.s,INDEX($BO$15:$BO$62,_xlpm.p),_xlpm.q,N(AT323)/_xlpm.f,IF(_xlpm.q&gt;=_xlpm.s,ROUND(_xlpm.q,1)&amp;" "&amp;_xlpm.ai_test&amp;" = "&amp;ROUND(_xlpm.q*_xlpm.f,1)&amp;" "&amp;_xlpm.u,ROUND(_xlpm.q,1)&amp;" "&amp;_xlpm.ai_test)),""),""))))</f>
        <v>0</v>
      </c>
      <c r="AW323" s="1047"/>
      <c r="AX323" s="1045">
        <f t="shared" si="145"/>
        <v>0</v>
      </c>
      <c r="AY323" s="1046" t="str">
        <f t="shared" si="146"/>
        <v/>
      </c>
      <c r="AZ323" s="1048">
        <f t="shared" si="151"/>
        <v>0</v>
      </c>
      <c r="BA323" s="1049" t="str">
        <f t="shared" si="147"/>
        <v/>
      </c>
      <c r="BB323" s="1038"/>
      <c r="BC323" s="1050">
        <f t="shared" si="152"/>
        <v>0</v>
      </c>
      <c r="BD323" s="1040" t="str">
        <f t="shared" si="148"/>
        <v/>
      </c>
      <c r="BE323" s="227" t="s">
        <v>22</v>
      </c>
      <c r="BF323" s="1019">
        <f t="shared" si="149"/>
        <v>0</v>
      </c>
      <c r="BG323" s="1020">
        <f t="shared" si="150"/>
        <v>0</v>
      </c>
      <c r="BH323"/>
      <c r="BI323" s="709"/>
      <c r="BJ323" s="709"/>
      <c r="BK323" s="709"/>
      <c r="BL323" s="709"/>
      <c r="BM323" s="709"/>
      <c r="BN323" s="709"/>
      <c r="BO323" s="709"/>
      <c r="BP323" s="709"/>
      <c r="BW323" s="959" t="str">
        <f t="shared" si="130"/>
        <v>►</v>
      </c>
      <c r="BX323" s="856"/>
      <c r="BY323" s="856"/>
      <c r="BZ323" s="856"/>
      <c r="CA323" s="856"/>
      <c r="CB323" s="856"/>
      <c r="CC323" s="856"/>
      <c r="CK323" s="856"/>
      <c r="CS323" s="856"/>
      <c r="DA323" s="856"/>
      <c r="DB323" s="3">
        <v>1</v>
      </c>
    </row>
    <row r="324" spans="12:106" ht="21" customHeight="1">
      <c r="L324" s="104" t="str">
        <f>IF(OR(Q324&lt;&gt;"",R324&lt;&gt; "",S324&lt;&gt;"",T324&lt;&gt;""),"A", "►")</f>
        <v>A</v>
      </c>
      <c r="M324" s="157" t="str">
        <f>M297</f>
        <v>É ÉPICES POUR BOUDIN | |  Author &gt; Guy KRENZE - Eric GODDYN - Arnaud NICOLAS - CEPROC 2002</v>
      </c>
      <c r="N324" s="157">
        <f>N297</f>
        <v>408</v>
      </c>
      <c r="O324" s="158" t="str">
        <f>O297</f>
        <v>g</v>
      </c>
      <c r="P324" s="159" t="str">
        <f>P297</f>
        <v>Master recipe ► le Boudin en 4 déclinaisons</v>
      </c>
      <c r="Q324" s="172" t="s">
        <v>13075</v>
      </c>
      <c r="R324" s="172"/>
      <c r="S324" s="172"/>
      <c r="T324" s="172"/>
      <c r="U324" s="172"/>
      <c r="V324" s="172"/>
      <c r="W324" s="172"/>
      <c r="X324" s="172"/>
      <c r="Y324" s="172"/>
      <c r="Z324" s="555"/>
      <c r="AA324" s="5211"/>
      <c r="AB324" s="1178"/>
      <c r="AC324" s="1179"/>
      <c r="AD324" s="227" t="s">
        <v>22</v>
      </c>
      <c r="AE324" s="1027" t="str">
        <f t="shared" si="132"/>
        <v>►</v>
      </c>
      <c r="AF324" s="1028" t="str">
        <f t="shared" si="133"/>
        <v/>
      </c>
      <c r="AG324" s="1029" t="str">
        <f t="shared" si="134"/>
        <v/>
      </c>
      <c r="AH324" s="1028" t="str">
        <f t="shared" si="135"/>
        <v/>
      </c>
      <c r="AI324" s="1029" t="str">
        <f t="shared" si="136"/>
        <v/>
      </c>
      <c r="AJ324" s="1029">
        <f t="shared" si="137"/>
        <v>0</v>
      </c>
      <c r="AK324" s="1043" t="str" cm="1">
        <f t="array" ref="AK324">IF(AE324&lt;&gt;"A","",IFERROR((IFERROR(_xlfn.XLOOKUP(TRIM(SUBSTITUTE(U324,CHAR(160)," ")),$BI$15:$BI$62,$BL$15:$BL$62),IFERROR(_xlfn.XLOOKUP(TRIM(SUBSTITUTE(U324,CHAR(160)," ")),$BJ$15:$BJ$62,$BL$15:$BL$62),_xlfn.XLOOKUP(TRIM(SUBSTITUTE(U324,CHAR(160)," ")),$BK$15:$BK$62,$BL$15:$BL$62))))*T324*IF(ISBLANK(Q324),1,Q324)+IFERROR(_xlfn.XLOOKUP("RECHERCHEX",TRIM(L324:AC324),L324:AC324),0),0))</f>
        <v/>
      </c>
      <c r="AL324" s="1030">
        <f t="shared" si="138"/>
        <v>0</v>
      </c>
      <c r="AM324" s="5254" t="str">
        <f t="shared" si="153"/>
        <v/>
      </c>
      <c r="AN324" s="1031">
        <f t="shared" si="139"/>
        <v>0</v>
      </c>
      <c r="AO324" s="1031">
        <f t="shared" si="140"/>
        <v>0</v>
      </c>
      <c r="AP324" s="1032">
        <f t="shared" si="141"/>
        <v>0</v>
      </c>
      <c r="AQ324" s="5255" t="str">
        <f t="shared" si="142"/>
        <v/>
      </c>
      <c r="AR324" s="1056"/>
      <c r="AS324" s="1056"/>
      <c r="AT324" s="1034">
        <f t="shared" si="143"/>
        <v>0</v>
      </c>
      <c r="AU324" s="1035">
        <f t="shared" si="144"/>
        <v>0</v>
      </c>
      <c r="AV324" s="1057" cm="1">
        <f t="array" ref="AV324">IF(AJ324&lt;&gt;1,0,IF(OR(AT324="",N(AT324)&lt;=0.000000001),"",IF(OR(AN324="",N(AN324)&lt;=0.000000001),0,IF(ISNUMBER(AT324),IFERROR(_xlfn.LET(_xlpm.ai_test,TRIM(AI324),_xlpm.r,IFERROR(_xlfn.XLOOKUP(_xlpm.ai_test,$BI$15:$BI$62,ROW($BI$15:$BI$62),0,1),IFERROR(_xlfn.XLOOKUP(_xlpm.ai_test,$BJ$15:$BJ$62,ROW($BJ$15:$BJ$62),0,1),_xlfn.XLOOKUP(_xlpm.ai_test,$BK$15:$BK$62,ROW($BK$15:$BK$62),0,1))),_xlpm.p,_xlpm.r-MIN(ROW($BI$15:$BI$62))+1,_xlpm.f,INDEX($BL$15:$BL$62,_xlpm.p),_xlpm.u,INDEX($BM$15:$BM$62,_xlpm.p),_xlpm.s,INDEX($BO$15:$BO$62,_xlpm.p),_xlpm.q,N(AT324)/_xlpm.f,IF(_xlpm.q&gt;=_xlpm.s,ROUND(_xlpm.q,1)&amp;" "&amp;_xlpm.ai_test&amp;" = "&amp;ROUND(_xlpm.q*_xlpm.f,1)&amp;" "&amp;_xlpm.u,ROUND(_xlpm.q,1)&amp;" "&amp;_xlpm.ai_test)),""),""))))</f>
        <v>0</v>
      </c>
      <c r="AW324" s="1047"/>
      <c r="AX324" s="1034">
        <f t="shared" si="145"/>
        <v>0</v>
      </c>
      <c r="AY324" s="1035" t="str">
        <f t="shared" si="146"/>
        <v/>
      </c>
      <c r="AZ324" s="1036">
        <f t="shared" si="151"/>
        <v>0</v>
      </c>
      <c r="BA324" s="1037" t="str">
        <f t="shared" si="147"/>
        <v/>
      </c>
      <c r="BB324" s="1038"/>
      <c r="BC324" s="1039">
        <f t="shared" si="152"/>
        <v>0</v>
      </c>
      <c r="BD324" s="1040" t="str">
        <f t="shared" si="148"/>
        <v/>
      </c>
      <c r="BE324" s="227" t="s">
        <v>22</v>
      </c>
      <c r="BF324" s="1019">
        <f t="shared" si="149"/>
        <v>0</v>
      </c>
      <c r="BG324" s="1020">
        <f t="shared" si="150"/>
        <v>0</v>
      </c>
      <c r="BH324"/>
      <c r="BI324" s="709"/>
      <c r="BJ324" s="709"/>
      <c r="BK324" s="709"/>
      <c r="BL324" s="709"/>
      <c r="BM324" s="709"/>
      <c r="BN324" s="709"/>
      <c r="BO324" s="709"/>
      <c r="BP324" s="709"/>
      <c r="BW324" s="959" t="str">
        <f t="shared" si="130"/>
        <v>►</v>
      </c>
      <c r="BX324" s="856"/>
      <c r="BY324" s="856"/>
      <c r="BZ324" s="856"/>
      <c r="CA324" s="856"/>
      <c r="CB324" s="856"/>
      <c r="CC324" s="856"/>
      <c r="CK324" s="856"/>
      <c r="CS324" s="856"/>
      <c r="DA324" s="856"/>
      <c r="DB324" s="3">
        <v>1</v>
      </c>
    </row>
    <row r="325" spans="12:106" ht="21" customHeight="1">
      <c r="L325" s="104" t="str">
        <f>IF(OR(Q325&lt;&gt;"",R325&lt;&gt; "",S325&lt;&gt;"",T325&lt;&gt;""),"A", "►")</f>
        <v>A</v>
      </c>
      <c r="M325" s="157" t="str">
        <f>M297</f>
        <v>É ÉPICES POUR BOUDIN | |  Author &gt; Guy KRENZE - Eric GODDYN - Arnaud NICOLAS - CEPROC 2002</v>
      </c>
      <c r="N325" s="157">
        <f>N297</f>
        <v>408</v>
      </c>
      <c r="O325" s="158" t="str">
        <f>O297</f>
        <v>g</v>
      </c>
      <c r="P325" s="159" t="str">
        <f>P297</f>
        <v>Master recipe ► le Boudin en 4 déclinaisons</v>
      </c>
      <c r="Q325" s="172" t="s">
        <v>13077</v>
      </c>
      <c r="R325" s="172"/>
      <c r="S325" s="172"/>
      <c r="T325" s="172"/>
      <c r="U325" s="172"/>
      <c r="V325" s="172"/>
      <c r="W325" s="172"/>
      <c r="X325" s="172"/>
      <c r="Y325" s="172"/>
      <c r="Z325" s="555"/>
      <c r="AA325" s="5211"/>
      <c r="AB325" s="1178"/>
      <c r="AC325" s="1179"/>
      <c r="AD325" s="227" t="s">
        <v>22</v>
      </c>
      <c r="AE325" s="1027" t="str">
        <f t="shared" si="132"/>
        <v>►</v>
      </c>
      <c r="AF325" s="1028" t="str">
        <f t="shared" si="133"/>
        <v/>
      </c>
      <c r="AG325" s="1029" t="str">
        <f t="shared" si="134"/>
        <v/>
      </c>
      <c r="AH325" s="1028" t="str">
        <f t="shared" si="135"/>
        <v/>
      </c>
      <c r="AI325" s="1029" t="str">
        <f t="shared" si="136"/>
        <v/>
      </c>
      <c r="AJ325" s="1029">
        <f t="shared" si="137"/>
        <v>0</v>
      </c>
      <c r="AK325" s="1043" t="str" cm="1">
        <f t="array" ref="AK325">IF(AE325&lt;&gt;"A","",IFERROR((IFERROR(_xlfn.XLOOKUP(TRIM(SUBSTITUTE(U325,CHAR(160)," ")),$BI$15:$BI$62,$BL$15:$BL$62),IFERROR(_xlfn.XLOOKUP(TRIM(SUBSTITUTE(U325,CHAR(160)," ")),$BJ$15:$BJ$62,$BL$15:$BL$62),_xlfn.XLOOKUP(TRIM(SUBSTITUTE(U325,CHAR(160)," ")),$BK$15:$BK$62,$BL$15:$BL$62))))*T325*IF(ISBLANK(Q325),1,Q325)+IFERROR(_xlfn.XLOOKUP("RECHERCHEX",TRIM(L325:AC325),L325:AC325),0),0))</f>
        <v/>
      </c>
      <c r="AL325" s="1030">
        <f t="shared" si="138"/>
        <v>0</v>
      </c>
      <c r="AM325" s="5254" t="str">
        <f t="shared" si="153"/>
        <v/>
      </c>
      <c r="AN325" s="1031">
        <f t="shared" si="139"/>
        <v>0</v>
      </c>
      <c r="AO325" s="1031">
        <f t="shared" si="140"/>
        <v>0</v>
      </c>
      <c r="AP325" s="1044">
        <f t="shared" si="141"/>
        <v>0</v>
      </c>
      <c r="AQ325" s="5257" t="str">
        <f t="shared" si="142"/>
        <v/>
      </c>
      <c r="AR325" s="1056"/>
      <c r="AS325" s="1056"/>
      <c r="AT325" s="1045">
        <f t="shared" si="143"/>
        <v>0</v>
      </c>
      <c r="AU325" s="1046">
        <f t="shared" si="144"/>
        <v>0</v>
      </c>
      <c r="AV325" s="1059" cm="1">
        <f t="array" ref="AV325">IF(AJ325&lt;&gt;1,0,IF(OR(AT325="",N(AT325)&lt;=0.000000001),"",IF(OR(AN325="",N(AN325)&lt;=0.000000001),0,IF(ISNUMBER(AT325),IFERROR(_xlfn.LET(_xlpm.ai_test,TRIM(AI325),_xlpm.r,IFERROR(_xlfn.XLOOKUP(_xlpm.ai_test,$BI$15:$BI$62,ROW($BI$15:$BI$62),0,1),IFERROR(_xlfn.XLOOKUP(_xlpm.ai_test,$BJ$15:$BJ$62,ROW($BJ$15:$BJ$62),0,1),_xlfn.XLOOKUP(_xlpm.ai_test,$BK$15:$BK$62,ROW($BK$15:$BK$62),0,1))),_xlpm.p,_xlpm.r-MIN(ROW($BI$15:$BI$62))+1,_xlpm.f,INDEX($BL$15:$BL$62,_xlpm.p),_xlpm.u,INDEX($BM$15:$BM$62,_xlpm.p),_xlpm.s,INDEX($BO$15:$BO$62,_xlpm.p),_xlpm.q,N(AT325)/_xlpm.f,IF(_xlpm.q&gt;=_xlpm.s,ROUND(_xlpm.q,1)&amp;" "&amp;_xlpm.ai_test&amp;" = "&amp;ROUND(_xlpm.q*_xlpm.f,1)&amp;" "&amp;_xlpm.u,ROUND(_xlpm.q,1)&amp;" "&amp;_xlpm.ai_test)),""),""))))</f>
        <v>0</v>
      </c>
      <c r="AW325" s="1047"/>
      <c r="AX325" s="1045">
        <f t="shared" si="145"/>
        <v>0</v>
      </c>
      <c r="AY325" s="1046" t="str">
        <f t="shared" si="146"/>
        <v/>
      </c>
      <c r="AZ325" s="1048">
        <f t="shared" si="151"/>
        <v>0</v>
      </c>
      <c r="BA325" s="1049" t="str">
        <f t="shared" si="147"/>
        <v/>
      </c>
      <c r="BB325" s="1038"/>
      <c r="BC325" s="1050">
        <f t="shared" si="152"/>
        <v>0</v>
      </c>
      <c r="BD325" s="1040" t="str">
        <f t="shared" si="148"/>
        <v/>
      </c>
      <c r="BE325" s="227" t="s">
        <v>22</v>
      </c>
      <c r="BF325" s="1019">
        <f t="shared" si="149"/>
        <v>0</v>
      </c>
      <c r="BG325" s="1020">
        <f t="shared" si="150"/>
        <v>0</v>
      </c>
      <c r="BH325"/>
      <c r="BI325" s="709"/>
      <c r="BJ325" s="709"/>
      <c r="BK325" s="709"/>
      <c r="BL325" s="709"/>
      <c r="BM325" s="709"/>
      <c r="BN325" s="709"/>
      <c r="BO325" s="709"/>
      <c r="BP325" s="709"/>
      <c r="BW325" s="959" t="str">
        <f t="shared" ref="BW325:BW388" si="157">AE325</f>
        <v>►</v>
      </c>
      <c r="BX325" s="856"/>
      <c r="BY325" s="856"/>
      <c r="BZ325" s="856"/>
      <c r="CA325" s="856"/>
      <c r="CB325" s="856"/>
      <c r="CC325" s="856"/>
      <c r="CK325" s="856"/>
      <c r="CS325" s="856"/>
      <c r="DA325" s="856"/>
      <c r="DB325" s="3">
        <v>1</v>
      </c>
    </row>
    <row r="326" spans="12:106" ht="21" customHeight="1">
      <c r="L326" s="104" t="str">
        <f>IF(OR(Q326&lt;&gt;"",R326&lt;&gt; "",S326&lt;&gt;"",T326&lt;&gt;""),"A", "►")</f>
        <v>A</v>
      </c>
      <c r="M326" s="157" t="str">
        <f>M297</f>
        <v>É ÉPICES POUR BOUDIN | |  Author &gt; Guy KRENZE - Eric GODDYN - Arnaud NICOLAS - CEPROC 2002</v>
      </c>
      <c r="N326" s="157">
        <f>N297</f>
        <v>408</v>
      </c>
      <c r="O326" s="158" t="str">
        <f>O297</f>
        <v>g</v>
      </c>
      <c r="P326" s="159" t="str">
        <f>P297</f>
        <v>Master recipe ► le Boudin en 4 déclinaisons</v>
      </c>
      <c r="Q326" s="172" t="s">
        <v>13078</v>
      </c>
      <c r="R326" s="172"/>
      <c r="S326" s="172"/>
      <c r="T326" s="172"/>
      <c r="U326" s="172"/>
      <c r="V326" s="172"/>
      <c r="W326" s="172"/>
      <c r="X326" s="172"/>
      <c r="Y326" s="172"/>
      <c r="Z326" s="555"/>
      <c r="AA326" s="5211"/>
      <c r="AB326" s="1178"/>
      <c r="AC326" s="1179"/>
      <c r="AD326" s="227" t="s">
        <v>22</v>
      </c>
      <c r="AE326" s="1027" t="str">
        <f t="shared" si="132"/>
        <v>►</v>
      </c>
      <c r="AF326" s="1028" t="str">
        <f t="shared" si="133"/>
        <v/>
      </c>
      <c r="AG326" s="1029" t="str">
        <f t="shared" si="134"/>
        <v/>
      </c>
      <c r="AH326" s="1028" t="str">
        <f t="shared" si="135"/>
        <v/>
      </c>
      <c r="AI326" s="1029" t="str">
        <f t="shared" si="136"/>
        <v/>
      </c>
      <c r="AJ326" s="1029">
        <f t="shared" si="137"/>
        <v>0</v>
      </c>
      <c r="AK326" s="1043" t="str" cm="1">
        <f t="array" ref="AK326">IF(AE326&lt;&gt;"A","",IFERROR((IFERROR(_xlfn.XLOOKUP(TRIM(SUBSTITUTE(U326,CHAR(160)," ")),$BI$15:$BI$62,$BL$15:$BL$62),IFERROR(_xlfn.XLOOKUP(TRIM(SUBSTITUTE(U326,CHAR(160)," ")),$BJ$15:$BJ$62,$BL$15:$BL$62),_xlfn.XLOOKUP(TRIM(SUBSTITUTE(U326,CHAR(160)," ")),$BK$15:$BK$62,$BL$15:$BL$62))))*T326*IF(ISBLANK(Q326),1,Q326)+IFERROR(_xlfn.XLOOKUP("RECHERCHEX",TRIM(L326:AC326),L326:AC326),0),0))</f>
        <v/>
      </c>
      <c r="AL326" s="1030">
        <f t="shared" si="138"/>
        <v>0</v>
      </c>
      <c r="AM326" s="5254" t="str">
        <f t="shared" si="153"/>
        <v/>
      </c>
      <c r="AN326" s="1031">
        <f t="shared" si="139"/>
        <v>0</v>
      </c>
      <c r="AO326" s="1031">
        <f t="shared" si="140"/>
        <v>0</v>
      </c>
      <c r="AP326" s="1032">
        <f t="shared" si="141"/>
        <v>0</v>
      </c>
      <c r="AQ326" s="5255" t="str">
        <f t="shared" si="142"/>
        <v/>
      </c>
      <c r="AR326" s="1056"/>
      <c r="AS326" s="1056"/>
      <c r="AT326" s="1034">
        <f t="shared" si="143"/>
        <v>0</v>
      </c>
      <c r="AU326" s="1035">
        <f t="shared" si="144"/>
        <v>0</v>
      </c>
      <c r="AV326" s="1057" cm="1">
        <f t="array" ref="AV326">IF(AJ326&lt;&gt;1,0,IF(OR(AT326="",N(AT326)&lt;=0.000000001),"",IF(OR(AN326="",N(AN326)&lt;=0.000000001),0,IF(ISNUMBER(AT326),IFERROR(_xlfn.LET(_xlpm.ai_test,TRIM(AI326),_xlpm.r,IFERROR(_xlfn.XLOOKUP(_xlpm.ai_test,$BI$15:$BI$62,ROW($BI$15:$BI$62),0,1),IFERROR(_xlfn.XLOOKUP(_xlpm.ai_test,$BJ$15:$BJ$62,ROW($BJ$15:$BJ$62),0,1),_xlfn.XLOOKUP(_xlpm.ai_test,$BK$15:$BK$62,ROW($BK$15:$BK$62),0,1))),_xlpm.p,_xlpm.r-MIN(ROW($BI$15:$BI$62))+1,_xlpm.f,INDEX($BL$15:$BL$62,_xlpm.p),_xlpm.u,INDEX($BM$15:$BM$62,_xlpm.p),_xlpm.s,INDEX($BO$15:$BO$62,_xlpm.p),_xlpm.q,N(AT326)/_xlpm.f,IF(_xlpm.q&gt;=_xlpm.s,ROUND(_xlpm.q,1)&amp;" "&amp;_xlpm.ai_test&amp;" = "&amp;ROUND(_xlpm.q*_xlpm.f,1)&amp;" "&amp;_xlpm.u,ROUND(_xlpm.q,1)&amp;" "&amp;_xlpm.ai_test)),""),""))))</f>
        <v>0</v>
      </c>
      <c r="AW326" s="1047"/>
      <c r="AX326" s="1034">
        <f t="shared" si="145"/>
        <v>0</v>
      </c>
      <c r="AY326" s="1035" t="str">
        <f t="shared" si="146"/>
        <v/>
      </c>
      <c r="AZ326" s="1036">
        <f t="shared" si="151"/>
        <v>0</v>
      </c>
      <c r="BA326" s="1037" t="str">
        <f t="shared" si="147"/>
        <v/>
      </c>
      <c r="BB326" s="1038"/>
      <c r="BC326" s="1039">
        <f t="shared" si="152"/>
        <v>0</v>
      </c>
      <c r="BD326" s="1040" t="str">
        <f t="shared" si="148"/>
        <v/>
      </c>
      <c r="BE326" s="227" t="s">
        <v>22</v>
      </c>
      <c r="BF326" s="1019">
        <f t="shared" si="149"/>
        <v>0</v>
      </c>
      <c r="BG326" s="1020">
        <f t="shared" si="150"/>
        <v>0</v>
      </c>
      <c r="BH326"/>
      <c r="BI326" s="709"/>
      <c r="BJ326" s="709"/>
      <c r="BK326" s="709"/>
      <c r="BL326" s="709"/>
      <c r="BM326" s="709"/>
      <c r="BN326" s="709"/>
      <c r="BO326" s="709"/>
      <c r="BP326" s="709"/>
      <c r="BW326" s="959" t="str">
        <f t="shared" si="157"/>
        <v>►</v>
      </c>
      <c r="BX326" s="856"/>
      <c r="BY326" s="856"/>
      <c r="BZ326" s="856"/>
      <c r="CA326" s="856"/>
      <c r="CB326" s="856"/>
      <c r="CC326" s="856"/>
      <c r="CK326" s="856"/>
      <c r="CS326" s="856"/>
      <c r="DA326" s="856"/>
      <c r="DB326" s="3">
        <v>1</v>
      </c>
    </row>
    <row r="327" spans="12:106" ht="21" customHeight="1">
      <c r="L327" s="104" t="str">
        <f>IF(OR(Q327&lt;&gt;"",R327&lt;&gt; "",S327&lt;&gt;"",T327&lt;&gt;""),"A", "►")</f>
        <v>►</v>
      </c>
      <c r="M327" s="157" t="str">
        <f>M297</f>
        <v>É ÉPICES POUR BOUDIN | |  Author &gt; Guy KRENZE - Eric GODDYN - Arnaud NICOLAS - CEPROC 2002</v>
      </c>
      <c r="N327" s="157">
        <f>N297</f>
        <v>408</v>
      </c>
      <c r="O327" s="158" t="str">
        <f>O297</f>
        <v>g</v>
      </c>
      <c r="P327" s="159" t="str">
        <f>P297</f>
        <v>Master recipe ► le Boudin en 4 déclinaisons</v>
      </c>
      <c r="Q327" s="172"/>
      <c r="R327" s="172"/>
      <c r="S327" s="172"/>
      <c r="T327" s="172"/>
      <c r="U327" s="172"/>
      <c r="V327" s="172"/>
      <c r="W327" s="172"/>
      <c r="X327" s="172"/>
      <c r="Y327" s="172"/>
      <c r="Z327" s="555"/>
      <c r="AA327" s="5211"/>
      <c r="AB327" s="1178"/>
      <c r="AC327" s="1179"/>
      <c r="AD327" s="227" t="s">
        <v>22</v>
      </c>
      <c r="AE327" s="1027" t="str">
        <f t="shared" si="132"/>
        <v>►</v>
      </c>
      <c r="AF327" s="1028" t="str">
        <f t="shared" si="133"/>
        <v/>
      </c>
      <c r="AG327" s="1029" t="str">
        <f t="shared" si="134"/>
        <v/>
      </c>
      <c r="AH327" s="1028" t="str">
        <f t="shared" si="135"/>
        <v/>
      </c>
      <c r="AI327" s="1029" t="str">
        <f t="shared" si="136"/>
        <v/>
      </c>
      <c r="AJ327" s="1029">
        <f t="shared" si="137"/>
        <v>0</v>
      </c>
      <c r="AK327" s="1043" t="str" cm="1">
        <f t="array" ref="AK327">IF(AE327&lt;&gt;"A","",IFERROR((IFERROR(_xlfn.XLOOKUP(TRIM(SUBSTITUTE(U327,CHAR(160)," ")),$BI$15:$BI$62,$BL$15:$BL$62),IFERROR(_xlfn.XLOOKUP(TRIM(SUBSTITUTE(U327,CHAR(160)," ")),$BJ$15:$BJ$62,$BL$15:$BL$62),_xlfn.XLOOKUP(TRIM(SUBSTITUTE(U327,CHAR(160)," ")),$BK$15:$BK$62,$BL$15:$BL$62))))*T327*IF(ISBLANK(Q327),1,Q327)+IFERROR(_xlfn.XLOOKUP("RECHERCHEX",TRIM(L327:AC327),L327:AC327),0),0))</f>
        <v/>
      </c>
      <c r="AL327" s="1030">
        <f t="shared" si="138"/>
        <v>0</v>
      </c>
      <c r="AM327" s="5254" t="str">
        <f t="shared" si="153"/>
        <v/>
      </c>
      <c r="AN327" s="1031">
        <f t="shared" si="139"/>
        <v>0</v>
      </c>
      <c r="AO327" s="1031">
        <f t="shared" si="140"/>
        <v>0</v>
      </c>
      <c r="AP327" s="1044">
        <f t="shared" si="141"/>
        <v>0</v>
      </c>
      <c r="AQ327" s="5257" t="str">
        <f t="shared" si="142"/>
        <v/>
      </c>
      <c r="AR327" s="1056"/>
      <c r="AS327" s="1056"/>
      <c r="AT327" s="1045">
        <f t="shared" si="143"/>
        <v>0</v>
      </c>
      <c r="AU327" s="1046">
        <f t="shared" si="144"/>
        <v>0</v>
      </c>
      <c r="AV327" s="1059" cm="1">
        <f t="array" ref="AV327">IF(AJ327&lt;&gt;1,0,IF(OR(AT327="",N(AT327)&lt;=0.000000001),"",IF(OR(AN327="",N(AN327)&lt;=0.000000001),0,IF(ISNUMBER(AT327),IFERROR(_xlfn.LET(_xlpm.ai_test,TRIM(AI327),_xlpm.r,IFERROR(_xlfn.XLOOKUP(_xlpm.ai_test,$BI$15:$BI$62,ROW($BI$15:$BI$62),0,1),IFERROR(_xlfn.XLOOKUP(_xlpm.ai_test,$BJ$15:$BJ$62,ROW($BJ$15:$BJ$62),0,1),_xlfn.XLOOKUP(_xlpm.ai_test,$BK$15:$BK$62,ROW($BK$15:$BK$62),0,1))),_xlpm.p,_xlpm.r-MIN(ROW($BI$15:$BI$62))+1,_xlpm.f,INDEX($BL$15:$BL$62,_xlpm.p),_xlpm.u,INDEX($BM$15:$BM$62,_xlpm.p),_xlpm.s,INDEX($BO$15:$BO$62,_xlpm.p),_xlpm.q,N(AT327)/_xlpm.f,IF(_xlpm.q&gt;=_xlpm.s,ROUND(_xlpm.q,1)&amp;" "&amp;_xlpm.ai_test&amp;" = "&amp;ROUND(_xlpm.q*_xlpm.f,1)&amp;" "&amp;_xlpm.u,ROUND(_xlpm.q,1)&amp;" "&amp;_xlpm.ai_test)),""),""))))</f>
        <v>0</v>
      </c>
      <c r="AW327" s="1047"/>
      <c r="AX327" s="1045">
        <f t="shared" si="145"/>
        <v>0</v>
      </c>
      <c r="AY327" s="1046" t="str">
        <f t="shared" si="146"/>
        <v/>
      </c>
      <c r="AZ327" s="1048">
        <f t="shared" si="151"/>
        <v>0</v>
      </c>
      <c r="BA327" s="1049" t="str">
        <f t="shared" si="147"/>
        <v/>
      </c>
      <c r="BB327" s="1038"/>
      <c r="BC327" s="1050">
        <f t="shared" si="152"/>
        <v>0</v>
      </c>
      <c r="BD327" s="1040" t="str">
        <f t="shared" si="148"/>
        <v/>
      </c>
      <c r="BE327" s="227" t="s">
        <v>22</v>
      </c>
      <c r="BF327" s="1019">
        <f t="shared" si="149"/>
        <v>0</v>
      </c>
      <c r="BG327" s="1020">
        <f t="shared" si="150"/>
        <v>0</v>
      </c>
      <c r="BH327"/>
      <c r="BI327" s="709"/>
      <c r="BJ327" s="709"/>
      <c r="BK327" s="709"/>
      <c r="BL327" s="709"/>
      <c r="BM327" s="709"/>
      <c r="BN327" s="709"/>
      <c r="BO327" s="709"/>
      <c r="BP327" s="709"/>
      <c r="BW327" s="959" t="str">
        <f t="shared" si="157"/>
        <v>►</v>
      </c>
      <c r="BX327" s="856"/>
      <c r="BY327" s="856"/>
      <c r="BZ327" s="856"/>
      <c r="CA327" s="856"/>
      <c r="CB327" s="856"/>
      <c r="CC327" s="856"/>
      <c r="CK327" s="856"/>
      <c r="CS327" s="856"/>
      <c r="DA327" s="856"/>
      <c r="DB327" s="3">
        <v>1</v>
      </c>
    </row>
    <row r="328" spans="12:106" ht="21" customHeight="1">
      <c r="L328" s="104" t="str">
        <f>IF(OR(Q328&lt;&gt;"",R328&lt;&gt; "",S328&lt;&gt;"",T328&lt;&gt;""),"A", "►")</f>
        <v>►</v>
      </c>
      <c r="M328" s="157" t="str">
        <f>M297</f>
        <v>É ÉPICES POUR BOUDIN | |  Author &gt; Guy KRENZE - Eric GODDYN - Arnaud NICOLAS - CEPROC 2002</v>
      </c>
      <c r="N328" s="157">
        <f>N297</f>
        <v>408</v>
      </c>
      <c r="O328" s="158" t="str">
        <f>O297</f>
        <v>g</v>
      </c>
      <c r="P328" s="159" t="str">
        <f>P297</f>
        <v>Master recipe ► le Boudin en 4 déclinaisons</v>
      </c>
      <c r="Q328" s="172"/>
      <c r="R328" s="172"/>
      <c r="S328" s="172"/>
      <c r="T328" s="172"/>
      <c r="U328" s="172"/>
      <c r="V328" s="172"/>
      <c r="W328" s="172"/>
      <c r="X328" s="172"/>
      <c r="Y328" s="172"/>
      <c r="Z328" s="555"/>
      <c r="AA328" s="5211"/>
      <c r="AB328" s="1178"/>
      <c r="AC328" s="1179"/>
      <c r="AD328" s="227" t="s">
        <v>22</v>
      </c>
      <c r="AE328" s="1027" t="str">
        <f t="shared" si="132"/>
        <v>►</v>
      </c>
      <c r="AF328" s="1028" t="str">
        <f t="shared" si="133"/>
        <v/>
      </c>
      <c r="AG328" s="1029" t="str">
        <f t="shared" si="134"/>
        <v/>
      </c>
      <c r="AH328" s="1028" t="str">
        <f t="shared" si="135"/>
        <v/>
      </c>
      <c r="AI328" s="1029" t="str">
        <f t="shared" si="136"/>
        <v/>
      </c>
      <c r="AJ328" s="1029">
        <f t="shared" si="137"/>
        <v>0</v>
      </c>
      <c r="AK328" s="1043" t="str" cm="1">
        <f t="array" ref="AK328">IF(AE328&lt;&gt;"A","",IFERROR((IFERROR(_xlfn.XLOOKUP(TRIM(SUBSTITUTE(U328,CHAR(160)," ")),$BI$15:$BI$62,$BL$15:$BL$62),IFERROR(_xlfn.XLOOKUP(TRIM(SUBSTITUTE(U328,CHAR(160)," ")),$BJ$15:$BJ$62,$BL$15:$BL$62),_xlfn.XLOOKUP(TRIM(SUBSTITUTE(U328,CHAR(160)," ")),$BK$15:$BK$62,$BL$15:$BL$62))))*T328*IF(ISBLANK(Q328),1,Q328)+IFERROR(_xlfn.XLOOKUP("RECHERCHEX",TRIM(L328:AC328),L328:AC328),0),0))</f>
        <v/>
      </c>
      <c r="AL328" s="1030">
        <f t="shared" si="138"/>
        <v>0</v>
      </c>
      <c r="AM328" s="5254" t="str">
        <f t="shared" si="153"/>
        <v/>
      </c>
      <c r="AN328" s="1031">
        <f t="shared" si="139"/>
        <v>0</v>
      </c>
      <c r="AO328" s="1031">
        <f t="shared" si="140"/>
        <v>0</v>
      </c>
      <c r="AP328" s="1032">
        <f t="shared" si="141"/>
        <v>0</v>
      </c>
      <c r="AQ328" s="5255" t="str">
        <f t="shared" si="142"/>
        <v/>
      </c>
      <c r="AR328" s="1056"/>
      <c r="AS328" s="1056"/>
      <c r="AT328" s="1034">
        <f t="shared" si="143"/>
        <v>0</v>
      </c>
      <c r="AU328" s="1035">
        <f t="shared" si="144"/>
        <v>0</v>
      </c>
      <c r="AV328" s="1057" cm="1">
        <f t="array" ref="AV328">IF(AJ328&lt;&gt;1,0,IF(OR(AT328="",N(AT328)&lt;=0.000000001),"",IF(OR(AN328="",N(AN328)&lt;=0.000000001),0,IF(ISNUMBER(AT328),IFERROR(_xlfn.LET(_xlpm.ai_test,TRIM(AI328),_xlpm.r,IFERROR(_xlfn.XLOOKUP(_xlpm.ai_test,$BI$15:$BI$62,ROW($BI$15:$BI$62),0,1),IFERROR(_xlfn.XLOOKUP(_xlpm.ai_test,$BJ$15:$BJ$62,ROW($BJ$15:$BJ$62),0,1),_xlfn.XLOOKUP(_xlpm.ai_test,$BK$15:$BK$62,ROW($BK$15:$BK$62),0,1))),_xlpm.p,_xlpm.r-MIN(ROW($BI$15:$BI$62))+1,_xlpm.f,INDEX($BL$15:$BL$62,_xlpm.p),_xlpm.u,INDEX($BM$15:$BM$62,_xlpm.p),_xlpm.s,INDEX($BO$15:$BO$62,_xlpm.p),_xlpm.q,N(AT328)/_xlpm.f,IF(_xlpm.q&gt;=_xlpm.s,ROUND(_xlpm.q,1)&amp;" "&amp;_xlpm.ai_test&amp;" = "&amp;ROUND(_xlpm.q*_xlpm.f,1)&amp;" "&amp;_xlpm.u,ROUND(_xlpm.q,1)&amp;" "&amp;_xlpm.ai_test)),""),""))))</f>
        <v>0</v>
      </c>
      <c r="AW328" s="1047"/>
      <c r="AX328" s="1034">
        <f t="shared" si="145"/>
        <v>0</v>
      </c>
      <c r="AY328" s="1035" t="str">
        <f t="shared" si="146"/>
        <v/>
      </c>
      <c r="AZ328" s="1036">
        <f t="shared" si="151"/>
        <v>0</v>
      </c>
      <c r="BA328" s="1037" t="str">
        <f t="shared" si="147"/>
        <v/>
      </c>
      <c r="BB328" s="1038"/>
      <c r="BC328" s="1039">
        <f t="shared" si="152"/>
        <v>0</v>
      </c>
      <c r="BD328" s="1040" t="str">
        <f t="shared" si="148"/>
        <v/>
      </c>
      <c r="BE328" s="227" t="s">
        <v>22</v>
      </c>
      <c r="BF328" s="1019">
        <f t="shared" si="149"/>
        <v>0</v>
      </c>
      <c r="BG328" s="1020">
        <f t="shared" si="150"/>
        <v>0</v>
      </c>
      <c r="BH328"/>
      <c r="BI328" s="709"/>
      <c r="BJ328" s="709"/>
      <c r="BK328" s="709"/>
      <c r="BL328" s="709"/>
      <c r="BM328" s="709"/>
      <c r="BN328" s="709"/>
      <c r="BO328" s="709"/>
      <c r="BP328" s="709"/>
      <c r="BW328" s="959" t="str">
        <f t="shared" si="157"/>
        <v>►</v>
      </c>
      <c r="BX328" s="856"/>
      <c r="BY328" s="856"/>
      <c r="BZ328" s="856"/>
      <c r="CA328" s="856"/>
      <c r="CB328" s="856"/>
      <c r="CC328" s="856"/>
      <c r="CK328" s="856"/>
      <c r="CS328" s="856"/>
      <c r="DA328" s="856"/>
      <c r="DB328" s="3">
        <v>1</v>
      </c>
    </row>
    <row r="329" spans="12:106" ht="21" customHeight="1">
      <c r="L329" s="196" t="s">
        <v>16</v>
      </c>
      <c r="M329" s="157" t="str">
        <f>M297</f>
        <v>É ÉPICES POUR BOUDIN | |  Author &gt; Guy KRENZE - Eric GODDYN - Arnaud NICOLAS - CEPROC 2002</v>
      </c>
      <c r="N329" s="157">
        <f>N297</f>
        <v>408</v>
      </c>
      <c r="O329" s="158" t="str">
        <f>O297</f>
        <v>g</v>
      </c>
      <c r="P329" s="159" t="str">
        <f>P297</f>
        <v>Master recipe ► le Boudin en 4 déclinaisons</v>
      </c>
      <c r="Q329" s="172"/>
      <c r="R329" s="172"/>
      <c r="S329" s="172"/>
      <c r="T329" s="172"/>
      <c r="U329" s="172"/>
      <c r="V329" s="172"/>
      <c r="W329" s="172"/>
      <c r="X329" s="172"/>
      <c r="Y329" s="172"/>
      <c r="Z329" s="555"/>
      <c r="AA329" s="5211"/>
      <c r="AB329" s="1178"/>
      <c r="AC329" s="1179"/>
      <c r="AD329" s="227" t="s">
        <v>22</v>
      </c>
      <c r="AE329" s="1027" t="str">
        <f t="shared" si="132"/>
        <v>►</v>
      </c>
      <c r="AF329" s="1028" t="str">
        <f t="shared" si="133"/>
        <v/>
      </c>
      <c r="AG329" s="1029" t="str">
        <f t="shared" si="134"/>
        <v/>
      </c>
      <c r="AH329" s="1028" t="str">
        <f t="shared" si="135"/>
        <v/>
      </c>
      <c r="AI329" s="1029" t="str">
        <f t="shared" si="136"/>
        <v/>
      </c>
      <c r="AJ329" s="1029">
        <f t="shared" si="137"/>
        <v>0</v>
      </c>
      <c r="AK329" s="1043" t="str" cm="1">
        <f t="array" ref="AK329">IF(AE329&lt;&gt;"A","",IFERROR((IFERROR(_xlfn.XLOOKUP(TRIM(SUBSTITUTE(U329,CHAR(160)," ")),$BI$15:$BI$62,$BL$15:$BL$62),IFERROR(_xlfn.XLOOKUP(TRIM(SUBSTITUTE(U329,CHAR(160)," ")),$BJ$15:$BJ$62,$BL$15:$BL$62),_xlfn.XLOOKUP(TRIM(SUBSTITUTE(U329,CHAR(160)," ")),$BK$15:$BK$62,$BL$15:$BL$62))))*T329*IF(ISBLANK(Q329),1,Q329)+IFERROR(_xlfn.XLOOKUP("RECHERCHEX",TRIM(L329:AC329),L329:AC329),0),0))</f>
        <v/>
      </c>
      <c r="AL329" s="1030">
        <f t="shared" si="138"/>
        <v>0</v>
      </c>
      <c r="AM329" s="5254" t="str">
        <f t="shared" si="153"/>
        <v/>
      </c>
      <c r="AN329" s="1031">
        <f t="shared" si="139"/>
        <v>0</v>
      </c>
      <c r="AO329" s="1031">
        <f t="shared" si="140"/>
        <v>0</v>
      </c>
      <c r="AP329" s="1044">
        <f t="shared" si="141"/>
        <v>0</v>
      </c>
      <c r="AQ329" s="5257" t="str">
        <f t="shared" si="142"/>
        <v/>
      </c>
      <c r="AR329" s="1056"/>
      <c r="AS329" s="1056"/>
      <c r="AT329" s="1045">
        <f t="shared" si="143"/>
        <v>0</v>
      </c>
      <c r="AU329" s="1046">
        <f t="shared" si="144"/>
        <v>0</v>
      </c>
      <c r="AV329" s="1059" cm="1">
        <f t="array" ref="AV329">IF(AJ329&lt;&gt;1,0,IF(OR(AT329="",N(AT329)&lt;=0.000000001),"",IF(OR(AN329="",N(AN329)&lt;=0.000000001),0,IF(ISNUMBER(AT329),IFERROR(_xlfn.LET(_xlpm.ai_test,TRIM(AI329),_xlpm.r,IFERROR(_xlfn.XLOOKUP(_xlpm.ai_test,$BI$15:$BI$62,ROW($BI$15:$BI$62),0,1),IFERROR(_xlfn.XLOOKUP(_xlpm.ai_test,$BJ$15:$BJ$62,ROW($BJ$15:$BJ$62),0,1),_xlfn.XLOOKUP(_xlpm.ai_test,$BK$15:$BK$62,ROW($BK$15:$BK$62),0,1))),_xlpm.p,_xlpm.r-MIN(ROW($BI$15:$BI$62))+1,_xlpm.f,INDEX($BL$15:$BL$62,_xlpm.p),_xlpm.u,INDEX($BM$15:$BM$62,_xlpm.p),_xlpm.s,INDEX($BO$15:$BO$62,_xlpm.p),_xlpm.q,N(AT329)/_xlpm.f,IF(_xlpm.q&gt;=_xlpm.s,ROUND(_xlpm.q,1)&amp;" "&amp;_xlpm.ai_test&amp;" = "&amp;ROUND(_xlpm.q*_xlpm.f,1)&amp;" "&amp;_xlpm.u,ROUND(_xlpm.q,1)&amp;" "&amp;_xlpm.ai_test)),""),""))))</f>
        <v>0</v>
      </c>
      <c r="AW329" s="1047"/>
      <c r="AX329" s="1045">
        <f t="shared" si="145"/>
        <v>0</v>
      </c>
      <c r="AY329" s="1046" t="str">
        <f t="shared" si="146"/>
        <v/>
      </c>
      <c r="AZ329" s="1048">
        <f t="shared" si="151"/>
        <v>0</v>
      </c>
      <c r="BA329" s="1049" t="str">
        <f t="shared" si="147"/>
        <v/>
      </c>
      <c r="BB329" s="1038"/>
      <c r="BC329" s="1050">
        <f t="shared" si="152"/>
        <v>0</v>
      </c>
      <c r="BD329" s="1040" t="str">
        <f t="shared" si="148"/>
        <v/>
      </c>
      <c r="BE329" s="227" t="s">
        <v>22</v>
      </c>
      <c r="BF329" s="1019">
        <f t="shared" si="149"/>
        <v>0</v>
      </c>
      <c r="BG329" s="1020">
        <f t="shared" si="150"/>
        <v>0</v>
      </c>
      <c r="BH329"/>
      <c r="BI329" s="709"/>
      <c r="BJ329" s="709"/>
      <c r="BK329" s="709"/>
      <c r="BL329" s="709"/>
      <c r="BM329" s="709"/>
      <c r="BN329" s="709"/>
      <c r="BO329" s="709"/>
      <c r="BP329" s="709"/>
      <c r="BW329" s="959" t="str">
        <f t="shared" si="157"/>
        <v>►</v>
      </c>
      <c r="BX329" s="856"/>
      <c r="BY329" s="856"/>
      <c r="BZ329" s="856"/>
      <c r="CA329" s="856"/>
      <c r="CB329" s="856"/>
      <c r="CC329" s="856"/>
      <c r="CK329" s="856"/>
      <c r="CS329" s="856"/>
      <c r="DA329" s="856"/>
      <c r="DB329" s="3">
        <v>1</v>
      </c>
    </row>
    <row r="330" spans="12:106" ht="21" customHeight="1">
      <c r="L330" s="196" t="s">
        <v>11</v>
      </c>
      <c r="M330" s="157" t="str">
        <f>M297</f>
        <v>É ÉPICES POUR BOUDIN | |  Author &gt; Guy KRENZE - Eric GODDYN - Arnaud NICOLAS - CEPROC 2002</v>
      </c>
      <c r="N330" s="157">
        <f>N297</f>
        <v>408</v>
      </c>
      <c r="O330" s="158" t="str">
        <f>O297</f>
        <v>g</v>
      </c>
      <c r="P330" s="159" t="str">
        <f>P297</f>
        <v>Master recipe ► le Boudin en 4 déclinaisons</v>
      </c>
      <c r="Q330" s="172"/>
      <c r="R330" s="172"/>
      <c r="S330" s="172"/>
      <c r="T330" s="172"/>
      <c r="U330" s="172"/>
      <c r="V330" s="172"/>
      <c r="W330" s="172"/>
      <c r="X330" s="172"/>
      <c r="Y330" s="172"/>
      <c r="Z330" s="555"/>
      <c r="AA330" s="5211"/>
      <c r="AB330" s="1178"/>
      <c r="AC330" s="1179"/>
      <c r="AD330" s="227" t="s">
        <v>22</v>
      </c>
      <c r="AE330" s="1027" t="str">
        <f t="shared" si="132"/>
        <v>►</v>
      </c>
      <c r="AF330" s="1028" t="str">
        <f t="shared" si="133"/>
        <v/>
      </c>
      <c r="AG330" s="1029" t="str">
        <f t="shared" si="134"/>
        <v/>
      </c>
      <c r="AH330" s="1028" t="str">
        <f t="shared" si="135"/>
        <v/>
      </c>
      <c r="AI330" s="1029" t="str">
        <f t="shared" si="136"/>
        <v/>
      </c>
      <c r="AJ330" s="1029">
        <f t="shared" si="137"/>
        <v>0</v>
      </c>
      <c r="AK330" s="1043" t="str" cm="1">
        <f t="array" ref="AK330">IF(AE330&lt;&gt;"A","",IFERROR((IFERROR(_xlfn.XLOOKUP(TRIM(SUBSTITUTE(U330,CHAR(160)," ")),$BI$15:$BI$62,$BL$15:$BL$62),IFERROR(_xlfn.XLOOKUP(TRIM(SUBSTITUTE(U330,CHAR(160)," ")),$BJ$15:$BJ$62,$BL$15:$BL$62),_xlfn.XLOOKUP(TRIM(SUBSTITUTE(U330,CHAR(160)," ")),$BK$15:$BK$62,$BL$15:$BL$62))))*T330*IF(ISBLANK(Q330),1,Q330)+IFERROR(_xlfn.XLOOKUP("RECHERCHEX",TRIM(L330:AC330),L330:AC330),0),0))</f>
        <v/>
      </c>
      <c r="AL330" s="1030">
        <f t="shared" si="138"/>
        <v>0</v>
      </c>
      <c r="AM330" s="5254" t="str">
        <f t="shared" si="153"/>
        <v/>
      </c>
      <c r="AN330" s="1031">
        <f t="shared" si="139"/>
        <v>0</v>
      </c>
      <c r="AO330" s="1031">
        <f t="shared" si="140"/>
        <v>0</v>
      </c>
      <c r="AP330" s="1032">
        <f t="shared" si="141"/>
        <v>0</v>
      </c>
      <c r="AQ330" s="5255" t="str">
        <f t="shared" si="142"/>
        <v/>
      </c>
      <c r="AR330" s="1056"/>
      <c r="AS330" s="1056"/>
      <c r="AT330" s="1034">
        <f t="shared" si="143"/>
        <v>0</v>
      </c>
      <c r="AU330" s="1035">
        <f t="shared" si="144"/>
        <v>0</v>
      </c>
      <c r="AV330" s="1057" cm="1">
        <f t="array" ref="AV330">IF(AJ330&lt;&gt;1,0,IF(OR(AT330="",N(AT330)&lt;=0.000000001),"",IF(OR(AN330="",N(AN330)&lt;=0.000000001),0,IF(ISNUMBER(AT330),IFERROR(_xlfn.LET(_xlpm.ai_test,TRIM(AI330),_xlpm.r,IFERROR(_xlfn.XLOOKUP(_xlpm.ai_test,$BI$15:$BI$62,ROW($BI$15:$BI$62),0,1),IFERROR(_xlfn.XLOOKUP(_xlpm.ai_test,$BJ$15:$BJ$62,ROW($BJ$15:$BJ$62),0,1),_xlfn.XLOOKUP(_xlpm.ai_test,$BK$15:$BK$62,ROW($BK$15:$BK$62),0,1))),_xlpm.p,_xlpm.r-MIN(ROW($BI$15:$BI$62))+1,_xlpm.f,INDEX($BL$15:$BL$62,_xlpm.p),_xlpm.u,INDEX($BM$15:$BM$62,_xlpm.p),_xlpm.s,INDEX($BO$15:$BO$62,_xlpm.p),_xlpm.q,N(AT330)/_xlpm.f,IF(_xlpm.q&gt;=_xlpm.s,ROUND(_xlpm.q,1)&amp;" "&amp;_xlpm.ai_test&amp;" = "&amp;ROUND(_xlpm.q*_xlpm.f,1)&amp;" "&amp;_xlpm.u,ROUND(_xlpm.q,1)&amp;" "&amp;_xlpm.ai_test)),""),""))))</f>
        <v>0</v>
      </c>
      <c r="AW330" s="1047"/>
      <c r="AX330" s="1034">
        <f t="shared" si="145"/>
        <v>0</v>
      </c>
      <c r="AY330" s="1035" t="str">
        <f t="shared" si="146"/>
        <v/>
      </c>
      <c r="AZ330" s="1036">
        <f t="shared" si="151"/>
        <v>0</v>
      </c>
      <c r="BA330" s="1037" t="str">
        <f t="shared" si="147"/>
        <v/>
      </c>
      <c r="BB330" s="1038"/>
      <c r="BC330" s="1039">
        <f t="shared" si="152"/>
        <v>0</v>
      </c>
      <c r="BD330" s="1040" t="str">
        <f t="shared" si="148"/>
        <v/>
      </c>
      <c r="BE330" s="227" t="s">
        <v>22</v>
      </c>
      <c r="BF330" s="1019">
        <f t="shared" si="149"/>
        <v>0</v>
      </c>
      <c r="BG330" s="1020">
        <f t="shared" si="150"/>
        <v>0</v>
      </c>
      <c r="BH330"/>
      <c r="BI330" s="709"/>
      <c r="BJ330" s="709"/>
      <c r="BK330" s="709"/>
      <c r="BL330" s="709"/>
      <c r="BM330" s="709"/>
      <c r="BN330" s="709"/>
      <c r="BO330" s="709"/>
      <c r="BP330" s="709"/>
      <c r="BW330" s="959" t="str">
        <f t="shared" si="157"/>
        <v>►</v>
      </c>
      <c r="BX330" s="856"/>
      <c r="BY330" s="856"/>
      <c r="BZ330" s="856"/>
      <c r="CA330" s="856"/>
      <c r="CB330" s="856"/>
      <c r="CC330" s="856"/>
      <c r="CK330" s="856"/>
      <c r="CS330" s="856"/>
      <c r="DA330" s="856"/>
      <c r="DB330" s="3">
        <v>1</v>
      </c>
    </row>
    <row r="331" spans="12:106" ht="21" customHeight="1">
      <c r="L331" s="196" t="s">
        <v>11</v>
      </c>
      <c r="M331" s="157" t="str">
        <f>M297</f>
        <v>É ÉPICES POUR BOUDIN | |  Author &gt; Guy KRENZE - Eric GODDYN - Arnaud NICOLAS - CEPROC 2002</v>
      </c>
      <c r="N331" s="157">
        <f>N297</f>
        <v>408</v>
      </c>
      <c r="O331" s="158" t="str">
        <f>O297</f>
        <v>g</v>
      </c>
      <c r="P331" s="159" t="str">
        <f>P297</f>
        <v>Master recipe ► le Boudin en 4 déclinaisons</v>
      </c>
      <c r="Q331" s="172"/>
      <c r="R331" s="172"/>
      <c r="S331" s="172"/>
      <c r="T331" s="172"/>
      <c r="U331" s="172"/>
      <c r="V331" s="172"/>
      <c r="W331" s="172"/>
      <c r="X331" s="172"/>
      <c r="Y331" s="172"/>
      <c r="Z331" s="1486" t="s">
        <v>197</v>
      </c>
      <c r="AA331" s="5211"/>
      <c r="AB331" s="1178"/>
      <c r="AC331" s="1179"/>
      <c r="AD331" s="227" t="s">
        <v>22</v>
      </c>
      <c r="AE331" s="1027" t="str">
        <f t="shared" si="132"/>
        <v>►</v>
      </c>
      <c r="AF331" s="1028" t="str">
        <f t="shared" si="133"/>
        <v/>
      </c>
      <c r="AG331" s="1029" t="str">
        <f t="shared" si="134"/>
        <v/>
      </c>
      <c r="AH331" s="1028" t="str">
        <f t="shared" si="135"/>
        <v/>
      </c>
      <c r="AI331" s="1029" t="str">
        <f t="shared" si="136"/>
        <v/>
      </c>
      <c r="AJ331" s="1029">
        <f t="shared" si="137"/>
        <v>0</v>
      </c>
      <c r="AK331" s="1043" t="str" cm="1">
        <f t="array" ref="AK331">IF(AE331&lt;&gt;"A","",IFERROR((IFERROR(_xlfn.XLOOKUP(TRIM(SUBSTITUTE(U331,CHAR(160)," ")),$BI$15:$BI$62,$BL$15:$BL$62),IFERROR(_xlfn.XLOOKUP(TRIM(SUBSTITUTE(U331,CHAR(160)," ")),$BJ$15:$BJ$62,$BL$15:$BL$62),_xlfn.XLOOKUP(TRIM(SUBSTITUTE(U331,CHAR(160)," ")),$BK$15:$BK$62,$BL$15:$BL$62))))*T331*IF(ISBLANK(Q331),1,Q331)+IFERROR(_xlfn.XLOOKUP("RECHERCHEX",TRIM(L331:AC331),L331:AC331),0),0))</f>
        <v/>
      </c>
      <c r="AL331" s="1030">
        <f t="shared" si="138"/>
        <v>0</v>
      </c>
      <c r="AM331" s="5254" t="str">
        <f t="shared" si="153"/>
        <v/>
      </c>
      <c r="AN331" s="1031">
        <f t="shared" si="139"/>
        <v>0</v>
      </c>
      <c r="AO331" s="1031">
        <f t="shared" si="140"/>
        <v>0</v>
      </c>
      <c r="AP331" s="1044">
        <f t="shared" si="141"/>
        <v>0</v>
      </c>
      <c r="AQ331" s="5257" t="str">
        <f t="shared" si="142"/>
        <v/>
      </c>
      <c r="AR331" s="1056"/>
      <c r="AS331" s="1056"/>
      <c r="AT331" s="1045">
        <f t="shared" si="143"/>
        <v>0</v>
      </c>
      <c r="AU331" s="1046">
        <f t="shared" si="144"/>
        <v>0</v>
      </c>
      <c r="AV331" s="1059" cm="1">
        <f t="array" ref="AV331">IF(AJ331&lt;&gt;1,0,IF(OR(AT331="",N(AT331)&lt;=0.000000001),"",IF(OR(AN331="",N(AN331)&lt;=0.000000001),0,IF(ISNUMBER(AT331),IFERROR(_xlfn.LET(_xlpm.ai_test,TRIM(AI331),_xlpm.r,IFERROR(_xlfn.XLOOKUP(_xlpm.ai_test,$BI$15:$BI$62,ROW($BI$15:$BI$62),0,1),IFERROR(_xlfn.XLOOKUP(_xlpm.ai_test,$BJ$15:$BJ$62,ROW($BJ$15:$BJ$62),0,1),_xlfn.XLOOKUP(_xlpm.ai_test,$BK$15:$BK$62,ROW($BK$15:$BK$62),0,1))),_xlpm.p,_xlpm.r-MIN(ROW($BI$15:$BI$62))+1,_xlpm.f,INDEX($BL$15:$BL$62,_xlpm.p),_xlpm.u,INDEX($BM$15:$BM$62,_xlpm.p),_xlpm.s,INDEX($BO$15:$BO$62,_xlpm.p),_xlpm.q,N(AT331)/_xlpm.f,IF(_xlpm.q&gt;=_xlpm.s,ROUND(_xlpm.q,1)&amp;" "&amp;_xlpm.ai_test&amp;" = "&amp;ROUND(_xlpm.q*_xlpm.f,1)&amp;" "&amp;_xlpm.u,ROUND(_xlpm.q,1)&amp;" "&amp;_xlpm.ai_test)),""),""))))</f>
        <v>0</v>
      </c>
      <c r="AW331" s="1047"/>
      <c r="AX331" s="1045">
        <f t="shared" si="145"/>
        <v>0</v>
      </c>
      <c r="AY331" s="1046" t="str">
        <f t="shared" si="146"/>
        <v/>
      </c>
      <c r="AZ331" s="1048">
        <f t="shared" si="151"/>
        <v>0</v>
      </c>
      <c r="BA331" s="1049" t="str">
        <f t="shared" si="147"/>
        <v/>
      </c>
      <c r="BB331" s="1038"/>
      <c r="BC331" s="1050">
        <f t="shared" si="152"/>
        <v>0</v>
      </c>
      <c r="BD331" s="1040" t="str">
        <f t="shared" si="148"/>
        <v/>
      </c>
      <c r="BE331" s="227" t="s">
        <v>22</v>
      </c>
      <c r="BF331" s="1019">
        <f t="shared" si="149"/>
        <v>0</v>
      </c>
      <c r="BG331" s="1020">
        <f t="shared" si="150"/>
        <v>0</v>
      </c>
      <c r="BH331"/>
      <c r="BI331" s="709"/>
      <c r="BJ331" s="709"/>
      <c r="BK331" s="709"/>
      <c r="BL331" s="709"/>
      <c r="BM331" s="709"/>
      <c r="BN331" s="709"/>
      <c r="BO331" s="709"/>
      <c r="BP331" s="709"/>
      <c r="BW331" s="959" t="str">
        <f t="shared" si="157"/>
        <v>►</v>
      </c>
      <c r="BX331" s="856"/>
      <c r="BY331" s="856"/>
      <c r="BZ331" s="856"/>
      <c r="CA331" s="856"/>
      <c r="CB331" s="856"/>
      <c r="CC331" s="856"/>
      <c r="CK331" s="856"/>
      <c r="CS331" s="856"/>
      <c r="DA331" s="856"/>
      <c r="DB331" s="3">
        <v>1</v>
      </c>
    </row>
    <row r="332" spans="12:106" ht="21" customHeight="1">
      <c r="L332" s="196" t="s">
        <v>11</v>
      </c>
      <c r="M332" s="157" t="str">
        <f>M297</f>
        <v>É ÉPICES POUR BOUDIN | |  Author &gt; Guy KRENZE - Eric GODDYN - Arnaud NICOLAS - CEPROC 2002</v>
      </c>
      <c r="N332" s="157">
        <f>N297</f>
        <v>408</v>
      </c>
      <c r="O332" s="158" t="str">
        <f>O297</f>
        <v>g</v>
      </c>
      <c r="P332" s="159" t="str">
        <f>P297</f>
        <v>Master recipe ► le Boudin en 4 déclinaisons</v>
      </c>
      <c r="Q332" s="204"/>
      <c r="R332" s="204"/>
      <c r="S332" s="204" t="s">
        <v>201</v>
      </c>
      <c r="T332" s="205"/>
      <c r="U332" s="206"/>
      <c r="V332" s="206"/>
      <c r="W332" s="206"/>
      <c r="X332" s="206"/>
      <c r="Y332" s="206"/>
      <c r="Z332" s="567"/>
      <c r="AA332" s="5211"/>
      <c r="AB332" s="1178"/>
      <c r="AC332" s="1179"/>
      <c r="AD332" s="227" t="s">
        <v>22</v>
      </c>
      <c r="AE332" s="1027" t="str">
        <f t="shared" si="132"/>
        <v>►</v>
      </c>
      <c r="AF332" s="1028" t="str">
        <f t="shared" si="133"/>
        <v/>
      </c>
      <c r="AG332" s="1029" t="str">
        <f t="shared" si="134"/>
        <v/>
      </c>
      <c r="AH332" s="1028" t="str">
        <f t="shared" si="135"/>
        <v/>
      </c>
      <c r="AI332" s="1029" t="str">
        <f t="shared" si="136"/>
        <v/>
      </c>
      <c r="AJ332" s="1029">
        <f t="shared" si="137"/>
        <v>0</v>
      </c>
      <c r="AK332" s="1043" t="str" cm="1">
        <f t="array" ref="AK332">IF(AE332&lt;&gt;"A","",IFERROR((IFERROR(_xlfn.XLOOKUP(TRIM(SUBSTITUTE(U332,CHAR(160)," ")),$BI$15:$BI$62,$BL$15:$BL$62),IFERROR(_xlfn.XLOOKUP(TRIM(SUBSTITUTE(U332,CHAR(160)," ")),$BJ$15:$BJ$62,$BL$15:$BL$62),_xlfn.XLOOKUP(TRIM(SUBSTITUTE(U332,CHAR(160)," ")),$BK$15:$BK$62,$BL$15:$BL$62))))*T332*IF(ISBLANK(Q332),1,Q332)+IFERROR(_xlfn.XLOOKUP("RECHERCHEX",TRIM(L332:AC332),L332:AC332),0),0))</f>
        <v/>
      </c>
      <c r="AL332" s="1030">
        <f t="shared" si="138"/>
        <v>0</v>
      </c>
      <c r="AM332" s="5254" t="str">
        <f t="shared" si="153"/>
        <v/>
      </c>
      <c r="AN332" s="1031">
        <f t="shared" si="139"/>
        <v>0</v>
      </c>
      <c r="AO332" s="1031">
        <f t="shared" si="140"/>
        <v>0</v>
      </c>
      <c r="AP332" s="1032">
        <f t="shared" si="141"/>
        <v>0</v>
      </c>
      <c r="AQ332" s="5255" t="str">
        <f t="shared" si="142"/>
        <v/>
      </c>
      <c r="AR332" s="1056"/>
      <c r="AS332" s="1056"/>
      <c r="AT332" s="1034">
        <f t="shared" si="143"/>
        <v>0</v>
      </c>
      <c r="AU332" s="1035">
        <f t="shared" si="144"/>
        <v>0</v>
      </c>
      <c r="AV332" s="1057" cm="1">
        <f t="array" ref="AV332">IF(AJ332&lt;&gt;1,0,IF(OR(AT332="",N(AT332)&lt;=0.000000001),"",IF(OR(AN332="",N(AN332)&lt;=0.000000001),0,IF(ISNUMBER(AT332),IFERROR(_xlfn.LET(_xlpm.ai_test,TRIM(AI332),_xlpm.r,IFERROR(_xlfn.XLOOKUP(_xlpm.ai_test,$BI$15:$BI$62,ROW($BI$15:$BI$62),0,1),IFERROR(_xlfn.XLOOKUP(_xlpm.ai_test,$BJ$15:$BJ$62,ROW($BJ$15:$BJ$62),0,1),_xlfn.XLOOKUP(_xlpm.ai_test,$BK$15:$BK$62,ROW($BK$15:$BK$62),0,1))),_xlpm.p,_xlpm.r-MIN(ROW($BI$15:$BI$62))+1,_xlpm.f,INDEX($BL$15:$BL$62,_xlpm.p),_xlpm.u,INDEX($BM$15:$BM$62,_xlpm.p),_xlpm.s,INDEX($BO$15:$BO$62,_xlpm.p),_xlpm.q,N(AT332)/_xlpm.f,IF(_xlpm.q&gt;=_xlpm.s,ROUND(_xlpm.q,1)&amp;" "&amp;_xlpm.ai_test&amp;" = "&amp;ROUND(_xlpm.q*_xlpm.f,1)&amp;" "&amp;_xlpm.u,ROUND(_xlpm.q,1)&amp;" "&amp;_xlpm.ai_test)),""),""))))</f>
        <v>0</v>
      </c>
      <c r="AW332" s="1047"/>
      <c r="AX332" s="1034">
        <f t="shared" si="145"/>
        <v>0</v>
      </c>
      <c r="AY332" s="1035" t="str">
        <f t="shared" si="146"/>
        <v/>
      </c>
      <c r="AZ332" s="1036">
        <f t="shared" si="151"/>
        <v>0</v>
      </c>
      <c r="BA332" s="1037" t="str">
        <f t="shared" si="147"/>
        <v/>
      </c>
      <c r="BB332" s="1038"/>
      <c r="BC332" s="1039">
        <f t="shared" si="152"/>
        <v>0</v>
      </c>
      <c r="BD332" s="1040" t="str">
        <f t="shared" si="148"/>
        <v/>
      </c>
      <c r="BE332" s="227" t="s">
        <v>22</v>
      </c>
      <c r="BF332" s="1019">
        <f t="shared" si="149"/>
        <v>0</v>
      </c>
      <c r="BG332" s="1020">
        <f t="shared" si="150"/>
        <v>0</v>
      </c>
      <c r="BH332"/>
      <c r="BI332" s="709"/>
      <c r="BJ332" s="709"/>
      <c r="BK332" s="709"/>
      <c r="BL332" s="709"/>
      <c r="BM332" s="709"/>
      <c r="BN332" s="709"/>
      <c r="BO332" s="709"/>
      <c r="BP332" s="709"/>
      <c r="BW332" s="959" t="str">
        <f t="shared" si="157"/>
        <v>►</v>
      </c>
      <c r="BX332" s="856"/>
      <c r="BY332" s="856"/>
      <c r="BZ332" s="856"/>
      <c r="CA332" s="856"/>
      <c r="CB332" s="856"/>
      <c r="CC332" s="856"/>
      <c r="DB332" s="3">
        <v>1</v>
      </c>
    </row>
    <row r="333" spans="12:106" ht="21" customHeight="1">
      <c r="L333" s="196" t="s">
        <v>11</v>
      </c>
      <c r="M333" s="209" t="str">
        <f>M297</f>
        <v>É ÉPICES POUR BOUDIN | |  Author &gt; Guy KRENZE - Eric GODDYN - Arnaud NICOLAS - CEPROC 2002</v>
      </c>
      <c r="N333" s="209">
        <f>N297</f>
        <v>408</v>
      </c>
      <c r="O333" s="210" t="str">
        <f>O297</f>
        <v>g</v>
      </c>
      <c r="P333" s="211" t="str">
        <f>P297</f>
        <v>Master recipe ► le Boudin en 4 déclinaisons</v>
      </c>
      <c r="Q333" s="212"/>
      <c r="R333" s="213"/>
      <c r="S333" s="214"/>
      <c r="T333" s="215"/>
      <c r="U333" s="214"/>
      <c r="V333" s="214"/>
      <c r="W333" s="214"/>
      <c r="X333" s="214"/>
      <c r="Y333" s="214"/>
      <c r="Z333" s="582"/>
      <c r="AA333" s="5211"/>
      <c r="AB333" s="1178"/>
      <c r="AC333" s="1179"/>
      <c r="AD333" s="227" t="s">
        <v>22</v>
      </c>
      <c r="AE333" s="1027" t="str">
        <f t="shared" si="132"/>
        <v>►</v>
      </c>
      <c r="AF333" s="1028" t="str">
        <f t="shared" si="133"/>
        <v/>
      </c>
      <c r="AG333" s="1029" t="str">
        <f t="shared" si="134"/>
        <v/>
      </c>
      <c r="AH333" s="1028" t="str">
        <f t="shared" si="135"/>
        <v/>
      </c>
      <c r="AI333" s="1029" t="str">
        <f t="shared" si="136"/>
        <v/>
      </c>
      <c r="AJ333" s="1029">
        <f t="shared" si="137"/>
        <v>0</v>
      </c>
      <c r="AK333" s="1043" t="str" cm="1">
        <f t="array" ref="AK333">IF(AE333&lt;&gt;"A","",IFERROR((IFERROR(_xlfn.XLOOKUP(TRIM(SUBSTITUTE(U333,CHAR(160)," ")),$BI$15:$BI$62,$BL$15:$BL$62),IFERROR(_xlfn.XLOOKUP(TRIM(SUBSTITUTE(U333,CHAR(160)," ")),$BJ$15:$BJ$62,$BL$15:$BL$62),_xlfn.XLOOKUP(TRIM(SUBSTITUTE(U333,CHAR(160)," ")),$BK$15:$BK$62,$BL$15:$BL$62))))*T333*IF(ISBLANK(Q333),1,Q333)+IFERROR(_xlfn.XLOOKUP("RECHERCHEX",TRIM(L333:AC333),L333:AC333),0),0))</f>
        <v/>
      </c>
      <c r="AL333" s="1030">
        <f t="shared" si="138"/>
        <v>0</v>
      </c>
      <c r="AM333" s="5254" t="str">
        <f t="shared" si="153"/>
        <v/>
      </c>
      <c r="AN333" s="1031">
        <f t="shared" si="139"/>
        <v>0</v>
      </c>
      <c r="AO333" s="1031">
        <f t="shared" si="140"/>
        <v>0</v>
      </c>
      <c r="AP333" s="1044">
        <f t="shared" si="141"/>
        <v>0</v>
      </c>
      <c r="AQ333" s="5257" t="str">
        <f t="shared" si="142"/>
        <v/>
      </c>
      <c r="AR333" s="1056"/>
      <c r="AS333" s="1056"/>
      <c r="AT333" s="1045">
        <f t="shared" si="143"/>
        <v>0</v>
      </c>
      <c r="AU333" s="1046">
        <f t="shared" si="144"/>
        <v>0</v>
      </c>
      <c r="AV333" s="1059" cm="1">
        <f t="array" ref="AV333">IF(AJ333&lt;&gt;1,0,IF(OR(AT333="",N(AT333)&lt;=0.000000001),"",IF(OR(AN333="",N(AN333)&lt;=0.000000001),0,IF(ISNUMBER(AT333),IFERROR(_xlfn.LET(_xlpm.ai_test,TRIM(AI333),_xlpm.r,IFERROR(_xlfn.XLOOKUP(_xlpm.ai_test,$BI$15:$BI$62,ROW($BI$15:$BI$62),0,1),IFERROR(_xlfn.XLOOKUP(_xlpm.ai_test,$BJ$15:$BJ$62,ROW($BJ$15:$BJ$62),0,1),_xlfn.XLOOKUP(_xlpm.ai_test,$BK$15:$BK$62,ROW($BK$15:$BK$62),0,1))),_xlpm.p,_xlpm.r-MIN(ROW($BI$15:$BI$62))+1,_xlpm.f,INDEX($BL$15:$BL$62,_xlpm.p),_xlpm.u,INDEX($BM$15:$BM$62,_xlpm.p),_xlpm.s,INDEX($BO$15:$BO$62,_xlpm.p),_xlpm.q,N(AT333)/_xlpm.f,IF(_xlpm.q&gt;=_xlpm.s,ROUND(_xlpm.q,1)&amp;" "&amp;_xlpm.ai_test&amp;" = "&amp;ROUND(_xlpm.q*_xlpm.f,1)&amp;" "&amp;_xlpm.u,ROUND(_xlpm.q,1)&amp;" "&amp;_xlpm.ai_test)),""),""))))</f>
        <v>0</v>
      </c>
      <c r="AW333" s="1047"/>
      <c r="AX333" s="1045">
        <f t="shared" si="145"/>
        <v>0</v>
      </c>
      <c r="AY333" s="1046" t="str">
        <f t="shared" si="146"/>
        <v/>
      </c>
      <c r="AZ333" s="1048">
        <f t="shared" si="151"/>
        <v>0</v>
      </c>
      <c r="BA333" s="1049" t="str">
        <f t="shared" si="147"/>
        <v/>
      </c>
      <c r="BB333" s="1038"/>
      <c r="BC333" s="1050">
        <f t="shared" si="152"/>
        <v>0</v>
      </c>
      <c r="BD333" s="1040" t="str">
        <f t="shared" si="148"/>
        <v/>
      </c>
      <c r="BE333" s="227" t="s">
        <v>22</v>
      </c>
      <c r="BF333" s="1019">
        <f t="shared" si="149"/>
        <v>0</v>
      </c>
      <c r="BG333" s="1020">
        <f t="shared" si="150"/>
        <v>0</v>
      </c>
      <c r="BH333"/>
      <c r="BI333" s="709"/>
      <c r="BJ333" s="709"/>
      <c r="BK333" s="709"/>
      <c r="BL333" s="709"/>
      <c r="BM333" s="709"/>
      <c r="BN333" s="709"/>
      <c r="BO333" s="709"/>
      <c r="BP333" s="709"/>
      <c r="BW333" s="959" t="str">
        <f t="shared" si="157"/>
        <v>►</v>
      </c>
      <c r="BX333" s="856"/>
      <c r="BY333" s="856"/>
      <c r="BZ333" s="856"/>
      <c r="CA333" s="856"/>
      <c r="CB333" s="856"/>
      <c r="DB333" s="3">
        <v>1</v>
      </c>
    </row>
    <row r="334" spans="12:106" ht="21" customHeight="1" thickBot="1">
      <c r="L334" s="216" t="s">
        <v>11</v>
      </c>
      <c r="M334" s="217"/>
      <c r="N334" s="217"/>
      <c r="O334" s="217"/>
      <c r="P334" s="218"/>
      <c r="Q334" s="219" t="s">
        <v>208</v>
      </c>
      <c r="R334" s="1481" t="str">
        <f ca="1">CELL("nomfichier")</f>
        <v>D:\Données\1.UPRT\0-UPRT.fait\1-UPRT.FR-SITE-WEB\ff-fiches-fabrications\ff.fiches.fabrication.2023\ffr.restaurant.2023\[ff.FICHE.TRILINGUE.15.COLONNES.29.11.2025.xlsx]Notice.utilisateur</v>
      </c>
      <c r="S334" s="220"/>
      <c r="T334" s="220"/>
      <c r="U334" s="220"/>
      <c r="V334" s="220"/>
      <c r="W334" s="220"/>
      <c r="X334" s="220"/>
      <c r="Y334" s="220"/>
      <c r="Z334" s="221"/>
      <c r="AA334" s="5211"/>
      <c r="AB334" s="1178"/>
      <c r="AC334" s="1179"/>
      <c r="AD334" s="227" t="s">
        <v>22</v>
      </c>
      <c r="AE334" s="1027" t="str">
        <f t="shared" si="132"/>
        <v>A</v>
      </c>
      <c r="AF334" s="1028" t="str">
        <f t="shared" si="133"/>
        <v>▼ recette suivante</v>
      </c>
      <c r="AG334" s="1029">
        <f t="shared" si="134"/>
        <v>0</v>
      </c>
      <c r="AH334" s="1028">
        <f t="shared" si="135"/>
        <v>0</v>
      </c>
      <c r="AI334" s="1029">
        <f t="shared" si="136"/>
        <v>0</v>
      </c>
      <c r="AJ334" s="1029">
        <f t="shared" si="137"/>
        <v>0</v>
      </c>
      <c r="AK334" s="1043" cm="1">
        <f t="array" aca="1" ref="AK334" ca="1">IF(AE334&lt;&gt;"A","",IFERROR((IFERROR(_xlfn.XLOOKUP(TRIM(SUBSTITUTE(U334,CHAR(160)," ")),$BI$15:$BI$62,$BL$15:$BL$62),IFERROR(_xlfn.XLOOKUP(TRIM(SUBSTITUTE(U334,CHAR(160)," ")),$BJ$15:$BJ$62,$BL$15:$BL$62),_xlfn.XLOOKUP(TRIM(SUBSTITUTE(U334,CHAR(160)," ")),$BK$15:$BK$62,$BL$15:$BL$62))))*T334*IF(ISBLANK(Q334),1,Q334)+IFERROR(_xlfn.XLOOKUP("RECHERCHEX",TRIM(L334:AC334),L334:AC334),0),0))</f>
        <v>0</v>
      </c>
      <c r="AL334" s="1030">
        <f t="shared" si="138"/>
        <v>0</v>
      </c>
      <c r="AM334" s="5254" t="str">
        <f t="shared" si="153"/>
        <v>❾ Author reference &gt;</v>
      </c>
      <c r="AN334" s="1031">
        <f t="shared" si="139"/>
        <v>0</v>
      </c>
      <c r="AO334" s="1031">
        <f t="shared" si="140"/>
        <v>0</v>
      </c>
      <c r="AP334" s="1032">
        <f t="shared" si="141"/>
        <v>0</v>
      </c>
      <c r="AQ334" s="5255" t="str">
        <f t="shared" si="142"/>
        <v>▼ recette suivante</v>
      </c>
      <c r="AR334" s="1056"/>
      <c r="AS334" s="1056"/>
      <c r="AT334" s="1034">
        <f t="shared" si="143"/>
        <v>0</v>
      </c>
      <c r="AU334" s="1035">
        <f t="shared" si="144"/>
        <v>0</v>
      </c>
      <c r="AV334" s="1057" cm="1">
        <f t="array" ref="AV334">IF(AJ334&lt;&gt;1,0,IF(OR(AT334="",N(AT334)&lt;=0.000000001),"",IF(OR(AN334="",N(AN334)&lt;=0.000000001),0,IF(ISNUMBER(AT334),IFERROR(_xlfn.LET(_xlpm.ai_test,TRIM(AI334),_xlpm.r,IFERROR(_xlfn.XLOOKUP(_xlpm.ai_test,$BI$15:$BI$62,ROW($BI$15:$BI$62),0,1),IFERROR(_xlfn.XLOOKUP(_xlpm.ai_test,$BJ$15:$BJ$62,ROW($BJ$15:$BJ$62),0,1),_xlfn.XLOOKUP(_xlpm.ai_test,$BK$15:$BK$62,ROW($BK$15:$BK$62),0,1))),_xlpm.p,_xlpm.r-MIN(ROW($BI$15:$BI$62))+1,_xlpm.f,INDEX($BL$15:$BL$62,_xlpm.p),_xlpm.u,INDEX($BM$15:$BM$62,_xlpm.p),_xlpm.s,INDEX($BO$15:$BO$62,_xlpm.p),_xlpm.q,N(AT334)/_xlpm.f,IF(_xlpm.q&gt;=_xlpm.s,ROUND(_xlpm.q,1)&amp;" "&amp;_xlpm.ai_test&amp;" = "&amp;ROUND(_xlpm.q*_xlpm.f,1)&amp;" "&amp;_xlpm.u,ROUND(_xlpm.q,1)&amp;" "&amp;_xlpm.ai_test)),""),""))))</f>
        <v>0</v>
      </c>
      <c r="AW334" s="1047"/>
      <c r="AX334" s="1034" t="str">
        <f t="shared" si="145"/>
        <v xml:space="preserve">▼next recipe </v>
      </c>
      <c r="AY334" s="1035" t="str">
        <f t="shared" si="146"/>
        <v/>
      </c>
      <c r="AZ334" s="1036">
        <f t="shared" si="151"/>
        <v>0</v>
      </c>
      <c r="BA334" s="1037" t="str">
        <f t="shared" si="147"/>
        <v/>
      </c>
      <c r="BB334" s="1038"/>
      <c r="BC334" s="1039">
        <f t="shared" si="152"/>
        <v>0</v>
      </c>
      <c r="BD334" s="1040" t="str">
        <f t="shared" si="148"/>
        <v>▼ receta siguiente</v>
      </c>
      <c r="BE334" s="227" t="s">
        <v>22</v>
      </c>
      <c r="BF334" s="1019">
        <f t="shared" si="149"/>
        <v>0</v>
      </c>
      <c r="BG334" s="1020">
        <f t="shared" ca="1" si="150"/>
        <v>0</v>
      </c>
      <c r="BH334"/>
      <c r="BI334" s="709"/>
      <c r="BJ334" s="709"/>
      <c r="BK334" s="709"/>
      <c r="BL334" s="709"/>
      <c r="BM334" s="709"/>
      <c r="BN334" s="709"/>
      <c r="BO334" s="709"/>
      <c r="BP334" s="709"/>
      <c r="BW334" s="959" t="str">
        <f t="shared" si="157"/>
        <v>A</v>
      </c>
      <c r="BX334" s="856"/>
      <c r="BY334" s="856"/>
      <c r="BZ334" s="856"/>
      <c r="CA334" s="856"/>
      <c r="CB334" s="856"/>
      <c r="DB334" s="3">
        <v>1</v>
      </c>
    </row>
    <row r="335" spans="12:106" ht="21" customHeight="1" thickBot="1">
      <c r="L335" s="5215" t="s">
        <v>11</v>
      </c>
      <c r="M335" s="5216" t="s">
        <v>11</v>
      </c>
      <c r="N335" s="5216" t="s">
        <v>11</v>
      </c>
      <c r="O335" s="5216" t="s">
        <v>11</v>
      </c>
      <c r="P335" s="5216" t="s">
        <v>11</v>
      </c>
      <c r="Q335" s="5217" t="s">
        <v>2613</v>
      </c>
      <c r="R335" s="5218"/>
      <c r="S335" s="5219"/>
      <c r="T335" s="5220"/>
      <c r="U335" s="5221"/>
      <c r="V335" s="5222"/>
      <c r="W335" s="5220"/>
      <c r="X335" s="5220"/>
      <c r="Y335" s="5220"/>
      <c r="Z335" s="5223" t="s">
        <v>1948</v>
      </c>
      <c r="AA335" s="5211"/>
      <c r="AB335" s="1178"/>
      <c r="AC335" s="1179"/>
      <c r="AD335" s="227" t="s">
        <v>22</v>
      </c>
      <c r="AE335" s="1027" t="str">
        <f t="shared" si="132"/>
        <v>►</v>
      </c>
      <c r="AF335" s="1028" t="str">
        <f t="shared" si="133"/>
        <v/>
      </c>
      <c r="AG335" s="1029" t="str">
        <f t="shared" si="134"/>
        <v/>
      </c>
      <c r="AH335" s="1028" t="str">
        <f t="shared" si="135"/>
        <v/>
      </c>
      <c r="AI335" s="1029" t="str">
        <f t="shared" si="136"/>
        <v/>
      </c>
      <c r="AJ335" s="1029">
        <f t="shared" si="137"/>
        <v>0</v>
      </c>
      <c r="AK335" s="1043" t="str" cm="1">
        <f t="array" ref="AK335">IF(AE335&lt;&gt;"A","",IFERROR((IFERROR(_xlfn.XLOOKUP(TRIM(SUBSTITUTE(U335,CHAR(160)," ")),$BI$15:$BI$62,$BL$15:$BL$62),IFERROR(_xlfn.XLOOKUP(TRIM(SUBSTITUTE(U335,CHAR(160)," ")),$BJ$15:$BJ$62,$BL$15:$BL$62),_xlfn.XLOOKUP(TRIM(SUBSTITUTE(U335,CHAR(160)," ")),$BK$15:$BK$62,$BL$15:$BL$62))))*T335*IF(ISBLANK(Q335),1,Q335)+IFERROR(_xlfn.XLOOKUP("RECHERCHEX",TRIM(L335:AC335),L335:AC335),0),0))</f>
        <v/>
      </c>
      <c r="AL335" s="1030">
        <f t="shared" si="138"/>
        <v>0</v>
      </c>
      <c r="AM335" s="5254" t="str">
        <f t="shared" si="153"/>
        <v/>
      </c>
      <c r="AN335" s="1031">
        <f t="shared" si="139"/>
        <v>0</v>
      </c>
      <c r="AO335" s="1031">
        <f t="shared" si="140"/>
        <v>0</v>
      </c>
      <c r="AP335" s="1044">
        <f t="shared" si="141"/>
        <v>0</v>
      </c>
      <c r="AQ335" s="5257" t="str">
        <f t="shared" si="142"/>
        <v/>
      </c>
      <c r="AR335" s="1056"/>
      <c r="AS335" s="1056"/>
      <c r="AT335" s="1045">
        <f t="shared" si="143"/>
        <v>0</v>
      </c>
      <c r="AU335" s="1046">
        <f t="shared" si="144"/>
        <v>0</v>
      </c>
      <c r="AV335" s="1059" cm="1">
        <f t="array" ref="AV335">IF(AJ335&lt;&gt;1,0,IF(OR(AT335="",N(AT335)&lt;=0.000000001),"",IF(OR(AN335="",N(AN335)&lt;=0.000000001),0,IF(ISNUMBER(AT335),IFERROR(_xlfn.LET(_xlpm.ai_test,TRIM(AI335),_xlpm.r,IFERROR(_xlfn.XLOOKUP(_xlpm.ai_test,$BI$15:$BI$62,ROW($BI$15:$BI$62),0,1),IFERROR(_xlfn.XLOOKUP(_xlpm.ai_test,$BJ$15:$BJ$62,ROW($BJ$15:$BJ$62),0,1),_xlfn.XLOOKUP(_xlpm.ai_test,$BK$15:$BK$62,ROW($BK$15:$BK$62),0,1))),_xlpm.p,_xlpm.r-MIN(ROW($BI$15:$BI$62))+1,_xlpm.f,INDEX($BL$15:$BL$62,_xlpm.p),_xlpm.u,INDEX($BM$15:$BM$62,_xlpm.p),_xlpm.s,INDEX($BO$15:$BO$62,_xlpm.p),_xlpm.q,N(AT335)/_xlpm.f,IF(_xlpm.q&gt;=_xlpm.s,ROUND(_xlpm.q,1)&amp;" "&amp;_xlpm.ai_test&amp;" = "&amp;ROUND(_xlpm.q*_xlpm.f,1)&amp;" "&amp;_xlpm.u,ROUND(_xlpm.q,1)&amp;" "&amp;_xlpm.ai_test)),""),""))))</f>
        <v>0</v>
      </c>
      <c r="AW335" s="1047"/>
      <c r="AX335" s="1045">
        <f t="shared" si="145"/>
        <v>0</v>
      </c>
      <c r="AY335" s="1046" t="str">
        <f t="shared" si="146"/>
        <v/>
      </c>
      <c r="AZ335" s="1048">
        <f t="shared" si="151"/>
        <v>0</v>
      </c>
      <c r="BA335" s="1049" t="str">
        <f t="shared" si="147"/>
        <v/>
      </c>
      <c r="BB335" s="1038"/>
      <c r="BC335" s="1050">
        <f t="shared" si="152"/>
        <v>0</v>
      </c>
      <c r="BD335" s="1040" t="str">
        <f t="shared" si="148"/>
        <v/>
      </c>
      <c r="BE335" s="227" t="s">
        <v>22</v>
      </c>
      <c r="BF335" s="1019">
        <f t="shared" si="149"/>
        <v>0</v>
      </c>
      <c r="BG335" s="1020">
        <f t="shared" si="150"/>
        <v>0</v>
      </c>
      <c r="BH335"/>
      <c r="BI335" s="709"/>
      <c r="BJ335" s="709"/>
      <c r="BK335" s="709"/>
      <c r="BL335" s="709"/>
      <c r="BM335" s="709"/>
      <c r="BN335" s="709"/>
      <c r="BO335" s="709"/>
      <c r="BP335" s="709"/>
      <c r="BW335" s="959" t="str">
        <f t="shared" si="157"/>
        <v>►</v>
      </c>
      <c r="BX335" s="856"/>
      <c r="BY335" s="856"/>
      <c r="BZ335" s="856"/>
      <c r="CA335" s="856"/>
      <c r="CB335" s="856"/>
      <c r="DB335" s="3">
        <v>1</v>
      </c>
    </row>
    <row r="336" spans="12:106" ht="21" customHeight="1">
      <c r="L336" s="22" t="s">
        <v>11</v>
      </c>
      <c r="M336" s="23" t="str">
        <f>M342</f>
        <v>B BAUDRUCHE DE COPAIN | | Auteur &gt; Guy KRENZE - Eric GODDYN - Arnaud NICOLAS - CEPROC 2002</v>
      </c>
      <c r="N336" s="24">
        <f>N342</f>
        <v>9.0500000000000007</v>
      </c>
      <c r="O336" s="24" t="str">
        <f>O342</f>
        <v>Kg</v>
      </c>
      <c r="P336" s="25" t="str">
        <f>P342</f>
        <v>Recette mère ► le Boudin en 4 déclinaisons</v>
      </c>
      <c r="Q336" s="26" t="s">
        <v>23</v>
      </c>
      <c r="R336" s="5471" t="s">
        <v>13117</v>
      </c>
      <c r="S336" s="5471"/>
      <c r="T336" s="5471"/>
      <c r="U336" s="5471"/>
      <c r="V336" s="5471"/>
      <c r="W336" s="5471"/>
      <c r="X336" s="5496" t="s">
        <v>3309</v>
      </c>
      <c r="Y336" s="5496"/>
      <c r="Z336" s="5475" t="str">
        <f>UPPER(LEFT(R336,1))</f>
        <v>B</v>
      </c>
      <c r="AA336" s="5211"/>
      <c r="AB336" s="1178"/>
      <c r="AC336" s="1179"/>
      <c r="AD336" s="227" t="s">
        <v>22</v>
      </c>
      <c r="AE336" s="1027" t="str">
        <f t="shared" si="132"/>
        <v>►</v>
      </c>
      <c r="AF336" s="1028" t="str">
        <f t="shared" si="133"/>
        <v/>
      </c>
      <c r="AG336" s="1029" t="str">
        <f t="shared" si="134"/>
        <v/>
      </c>
      <c r="AH336" s="1028" t="str">
        <f t="shared" si="135"/>
        <v/>
      </c>
      <c r="AI336" s="1029" t="str">
        <f t="shared" si="136"/>
        <v/>
      </c>
      <c r="AJ336" s="1029">
        <f t="shared" si="137"/>
        <v>0</v>
      </c>
      <c r="AK336" s="1043" t="str" cm="1">
        <f t="array" ref="AK336">IF(AE336&lt;&gt;"A","",IFERROR((IFERROR(_xlfn.XLOOKUP(TRIM(SUBSTITUTE(U336,CHAR(160)," ")),$BI$15:$BI$62,$BL$15:$BL$62),IFERROR(_xlfn.XLOOKUP(TRIM(SUBSTITUTE(U336,CHAR(160)," ")),$BJ$15:$BJ$62,$BL$15:$BL$62),_xlfn.XLOOKUP(TRIM(SUBSTITUTE(U336,CHAR(160)," ")),$BK$15:$BK$62,$BL$15:$BL$62))))*T336*IF(ISBLANK(Q336),1,Q336)+IFERROR(_xlfn.XLOOKUP("RECHERCHEX",TRIM(L336:AC336),L336:AC336),0),0))</f>
        <v/>
      </c>
      <c r="AL336" s="1030">
        <f t="shared" si="138"/>
        <v>0</v>
      </c>
      <c r="AM336" s="5254" t="str">
        <f t="shared" si="153"/>
        <v/>
      </c>
      <c r="AN336" s="1031">
        <f t="shared" si="139"/>
        <v>0</v>
      </c>
      <c r="AO336" s="1031">
        <f t="shared" si="140"/>
        <v>0</v>
      </c>
      <c r="AP336" s="1032">
        <f t="shared" si="141"/>
        <v>0</v>
      </c>
      <c r="AQ336" s="5255" t="str">
        <f t="shared" si="142"/>
        <v/>
      </c>
      <c r="AR336" s="1056"/>
      <c r="AS336" s="1056"/>
      <c r="AT336" s="1034">
        <f t="shared" si="143"/>
        <v>0</v>
      </c>
      <c r="AU336" s="1035">
        <f t="shared" si="144"/>
        <v>0</v>
      </c>
      <c r="AV336" s="1057" cm="1">
        <f t="array" ref="AV336">IF(AJ336&lt;&gt;1,0,IF(OR(AT336="",N(AT336)&lt;=0.000000001),"",IF(OR(AN336="",N(AN336)&lt;=0.000000001),0,IF(ISNUMBER(AT336),IFERROR(_xlfn.LET(_xlpm.ai_test,TRIM(AI336),_xlpm.r,IFERROR(_xlfn.XLOOKUP(_xlpm.ai_test,$BI$15:$BI$62,ROW($BI$15:$BI$62),0,1),IFERROR(_xlfn.XLOOKUP(_xlpm.ai_test,$BJ$15:$BJ$62,ROW($BJ$15:$BJ$62),0,1),_xlfn.XLOOKUP(_xlpm.ai_test,$BK$15:$BK$62,ROW($BK$15:$BK$62),0,1))),_xlpm.p,_xlpm.r-MIN(ROW($BI$15:$BI$62))+1,_xlpm.f,INDEX($BL$15:$BL$62,_xlpm.p),_xlpm.u,INDEX($BM$15:$BM$62,_xlpm.p),_xlpm.s,INDEX($BO$15:$BO$62,_xlpm.p),_xlpm.q,N(AT336)/_xlpm.f,IF(_xlpm.q&gt;=_xlpm.s,ROUND(_xlpm.q,1)&amp;" "&amp;_xlpm.ai_test&amp;" = "&amp;ROUND(_xlpm.q*_xlpm.f,1)&amp;" "&amp;_xlpm.u,ROUND(_xlpm.q,1)&amp;" "&amp;_xlpm.ai_test)),""),""))))</f>
        <v>0</v>
      </c>
      <c r="AW336" s="1047"/>
      <c r="AX336" s="1034">
        <f t="shared" si="145"/>
        <v>0</v>
      </c>
      <c r="AY336" s="1035" t="str">
        <f t="shared" si="146"/>
        <v/>
      </c>
      <c r="AZ336" s="1036">
        <f t="shared" si="151"/>
        <v>0</v>
      </c>
      <c r="BA336" s="1037" t="str">
        <f t="shared" si="147"/>
        <v/>
      </c>
      <c r="BB336" s="1038"/>
      <c r="BC336" s="1039">
        <f t="shared" si="152"/>
        <v>0</v>
      </c>
      <c r="BD336" s="1040" t="str">
        <f t="shared" si="148"/>
        <v/>
      </c>
      <c r="BE336" s="227" t="s">
        <v>22</v>
      </c>
      <c r="BF336" s="1019">
        <f t="shared" si="149"/>
        <v>0</v>
      </c>
      <c r="BG336" s="1020">
        <f t="shared" si="150"/>
        <v>0</v>
      </c>
      <c r="BH336"/>
      <c r="BI336" s="709"/>
      <c r="BJ336" s="709"/>
      <c r="BK336" s="709"/>
      <c r="BL336" s="709"/>
      <c r="BM336" s="709"/>
      <c r="BN336" s="709"/>
      <c r="BO336" s="709"/>
      <c r="BP336" s="709"/>
      <c r="BW336" s="959" t="str">
        <f t="shared" si="157"/>
        <v>►</v>
      </c>
      <c r="BX336" s="856"/>
      <c r="BY336" s="856"/>
      <c r="BZ336" s="856"/>
      <c r="CA336" s="856"/>
      <c r="CB336" s="856"/>
      <c r="DB336" s="3">
        <v>1</v>
      </c>
    </row>
    <row r="337" spans="12:106" ht="21" customHeight="1">
      <c r="L337" s="27" t="s">
        <v>11</v>
      </c>
      <c r="M337" s="28" t="str">
        <f>M342</f>
        <v>B BAUDRUCHE DE COPAIN | | Auteur &gt; Guy KRENZE - Eric GODDYN - Arnaud NICOLAS - CEPROC 2002</v>
      </c>
      <c r="N337" s="29">
        <f>N342</f>
        <v>9.0500000000000007</v>
      </c>
      <c r="O337" s="29" t="str">
        <f>O342</f>
        <v>Kg</v>
      </c>
      <c r="P337" s="30" t="str">
        <f>P342</f>
        <v>Recette mère ► le Boudin en 4 déclinaisons</v>
      </c>
      <c r="Q337" s="31" t="s">
        <v>29</v>
      </c>
      <c r="R337" s="5472"/>
      <c r="S337" s="5472"/>
      <c r="T337" s="5472"/>
      <c r="U337" s="5472"/>
      <c r="V337" s="5472"/>
      <c r="W337" s="5472"/>
      <c r="X337" s="5497"/>
      <c r="Y337" s="5497"/>
      <c r="Z337" s="5476"/>
      <c r="AA337" s="5211"/>
      <c r="AB337" s="1178"/>
      <c r="AC337" s="1179"/>
      <c r="AD337" s="227" t="s">
        <v>22</v>
      </c>
      <c r="AE337" s="1027" t="str">
        <f t="shared" si="132"/>
        <v>►</v>
      </c>
      <c r="AF337" s="1028" t="str">
        <f t="shared" si="133"/>
        <v/>
      </c>
      <c r="AG337" s="1029" t="str">
        <f t="shared" si="134"/>
        <v/>
      </c>
      <c r="AH337" s="1028" t="str">
        <f t="shared" si="135"/>
        <v/>
      </c>
      <c r="AI337" s="1029" t="str">
        <f t="shared" si="136"/>
        <v/>
      </c>
      <c r="AJ337" s="1029">
        <f t="shared" si="137"/>
        <v>0</v>
      </c>
      <c r="AK337" s="1043" t="str" cm="1">
        <f t="array" ref="AK337">IF(AE337&lt;&gt;"A","",IFERROR((IFERROR(_xlfn.XLOOKUP(TRIM(SUBSTITUTE(U337,CHAR(160)," ")),$BI$15:$BI$62,$BL$15:$BL$62),IFERROR(_xlfn.XLOOKUP(TRIM(SUBSTITUTE(U337,CHAR(160)," ")),$BJ$15:$BJ$62,$BL$15:$BL$62),_xlfn.XLOOKUP(TRIM(SUBSTITUTE(U337,CHAR(160)," ")),$BK$15:$BK$62,$BL$15:$BL$62))))*T337*IF(ISBLANK(Q337),1,Q337)+IFERROR(_xlfn.XLOOKUP("RECHERCHEX",TRIM(L337:AC337),L337:AC337),0),0))</f>
        <v/>
      </c>
      <c r="AL337" s="1030">
        <f t="shared" si="138"/>
        <v>0</v>
      </c>
      <c r="AM337" s="5254" t="str">
        <f t="shared" si="153"/>
        <v/>
      </c>
      <c r="AN337" s="1031">
        <f t="shared" si="139"/>
        <v>0</v>
      </c>
      <c r="AO337" s="1031">
        <f t="shared" si="140"/>
        <v>0</v>
      </c>
      <c r="AP337" s="1044">
        <f t="shared" si="141"/>
        <v>0</v>
      </c>
      <c r="AQ337" s="5257" t="str">
        <f t="shared" si="142"/>
        <v/>
      </c>
      <c r="AR337" s="1056"/>
      <c r="AS337" s="1056"/>
      <c r="AT337" s="1045">
        <f t="shared" si="143"/>
        <v>0</v>
      </c>
      <c r="AU337" s="1046">
        <f t="shared" si="144"/>
        <v>0</v>
      </c>
      <c r="AV337" s="1059" cm="1">
        <f t="array" ref="AV337">IF(AJ337&lt;&gt;1,0,IF(OR(AT337="",N(AT337)&lt;=0.000000001),"",IF(OR(AN337="",N(AN337)&lt;=0.000000001),0,IF(ISNUMBER(AT337),IFERROR(_xlfn.LET(_xlpm.ai_test,TRIM(AI337),_xlpm.r,IFERROR(_xlfn.XLOOKUP(_xlpm.ai_test,$BI$15:$BI$62,ROW($BI$15:$BI$62),0,1),IFERROR(_xlfn.XLOOKUP(_xlpm.ai_test,$BJ$15:$BJ$62,ROW($BJ$15:$BJ$62),0,1),_xlfn.XLOOKUP(_xlpm.ai_test,$BK$15:$BK$62,ROW($BK$15:$BK$62),0,1))),_xlpm.p,_xlpm.r-MIN(ROW($BI$15:$BI$62))+1,_xlpm.f,INDEX($BL$15:$BL$62,_xlpm.p),_xlpm.u,INDEX($BM$15:$BM$62,_xlpm.p),_xlpm.s,INDEX($BO$15:$BO$62,_xlpm.p),_xlpm.q,N(AT337)/_xlpm.f,IF(_xlpm.q&gt;=_xlpm.s,ROUND(_xlpm.q,1)&amp;" "&amp;_xlpm.ai_test&amp;" = "&amp;ROUND(_xlpm.q*_xlpm.f,1)&amp;" "&amp;_xlpm.u,ROUND(_xlpm.q,1)&amp;" "&amp;_xlpm.ai_test)),""),""))))</f>
        <v>0</v>
      </c>
      <c r="AW337" s="1047"/>
      <c r="AX337" s="1045">
        <f t="shared" si="145"/>
        <v>0</v>
      </c>
      <c r="AY337" s="1046" t="str">
        <f t="shared" si="146"/>
        <v/>
      </c>
      <c r="AZ337" s="1048">
        <f t="shared" si="151"/>
        <v>0</v>
      </c>
      <c r="BA337" s="1049" t="str">
        <f t="shared" si="147"/>
        <v/>
      </c>
      <c r="BB337" s="1038"/>
      <c r="BC337" s="1050">
        <f t="shared" si="152"/>
        <v>0</v>
      </c>
      <c r="BD337" s="1040" t="str">
        <f t="shared" si="148"/>
        <v/>
      </c>
      <c r="BE337" s="227" t="s">
        <v>22</v>
      </c>
      <c r="BF337" s="1019">
        <f t="shared" si="149"/>
        <v>0</v>
      </c>
      <c r="BG337" s="1020">
        <f t="shared" si="150"/>
        <v>0</v>
      </c>
      <c r="BH337"/>
      <c r="BI337" s="709"/>
      <c r="BJ337" s="709"/>
      <c r="BK337" s="709"/>
      <c r="BL337" s="709"/>
      <c r="BM337" s="709"/>
      <c r="BN337" s="709"/>
      <c r="BO337" s="709"/>
      <c r="BP337" s="709"/>
      <c r="BW337" s="959" t="str">
        <f t="shared" si="157"/>
        <v>►</v>
      </c>
      <c r="BX337" s="856"/>
      <c r="BY337" s="856"/>
      <c r="BZ337" s="856"/>
      <c r="CA337" s="856"/>
      <c r="CB337" s="856"/>
      <c r="DB337" s="3">
        <v>1</v>
      </c>
    </row>
    <row r="338" spans="12:106" ht="21" customHeight="1">
      <c r="L338" s="27" t="s">
        <v>11</v>
      </c>
      <c r="M338" s="5310" t="str">
        <f>M342</f>
        <v>B BAUDRUCHE DE COPAIN | | Auteur &gt; Guy KRENZE - Eric GODDYN - Arnaud NICOLAS - CEPROC 2002</v>
      </c>
      <c r="N338" s="5310">
        <f>N342</f>
        <v>9.0500000000000007</v>
      </c>
      <c r="O338" s="5311" t="str">
        <f>O342</f>
        <v>Kg</v>
      </c>
      <c r="P338" s="5312" t="str">
        <f>P342</f>
        <v>Recette mère ► le Boudin en 4 déclinaisons</v>
      </c>
      <c r="Q338" s="5313"/>
      <c r="R338" s="5314" t="s">
        <v>30</v>
      </c>
      <c r="S338" s="37"/>
      <c r="T338" s="38" t="s">
        <v>31</v>
      </c>
      <c r="U338" s="39" t="s">
        <v>12835</v>
      </c>
      <c r="V338" s="9"/>
      <c r="W338" s="39"/>
      <c r="X338" s="39"/>
      <c r="Y338" s="40"/>
      <c r="Z338" s="41"/>
      <c r="AA338" s="5211"/>
      <c r="AB338" s="1178"/>
      <c r="AC338" s="1179"/>
      <c r="AD338" s="227" t="s">
        <v>22</v>
      </c>
      <c r="AE338" s="1027" t="str">
        <f t="shared" si="132"/>
        <v>►</v>
      </c>
      <c r="AF338" s="1028" t="str">
        <f t="shared" si="133"/>
        <v/>
      </c>
      <c r="AG338" s="1029" t="str">
        <f t="shared" si="134"/>
        <v/>
      </c>
      <c r="AH338" s="1028" t="str">
        <f t="shared" si="135"/>
        <v/>
      </c>
      <c r="AI338" s="1029" t="str">
        <f t="shared" si="136"/>
        <v/>
      </c>
      <c r="AJ338" s="1029">
        <f t="shared" si="137"/>
        <v>0</v>
      </c>
      <c r="AK338" s="1043" t="str" cm="1">
        <f t="array" ref="AK338">IF(AE338&lt;&gt;"A","",IFERROR((IFERROR(_xlfn.XLOOKUP(TRIM(SUBSTITUTE(U338,CHAR(160)," ")),$BI$15:$BI$62,$BL$15:$BL$62),IFERROR(_xlfn.XLOOKUP(TRIM(SUBSTITUTE(U338,CHAR(160)," ")),$BJ$15:$BJ$62,$BL$15:$BL$62),_xlfn.XLOOKUP(TRIM(SUBSTITUTE(U338,CHAR(160)," ")),$BK$15:$BK$62,$BL$15:$BL$62))))*T338*IF(ISBLANK(Q338),1,Q338)+IFERROR(_xlfn.XLOOKUP("RECHERCHEX",TRIM(L338:AC338),L338:AC338),0),0))</f>
        <v/>
      </c>
      <c r="AL338" s="1030">
        <f t="shared" si="138"/>
        <v>0</v>
      </c>
      <c r="AM338" s="5254" t="str">
        <f t="shared" si="153"/>
        <v/>
      </c>
      <c r="AN338" s="1031">
        <f t="shared" si="139"/>
        <v>0</v>
      </c>
      <c r="AO338" s="1031">
        <f t="shared" si="140"/>
        <v>0</v>
      </c>
      <c r="AP338" s="1032">
        <f t="shared" si="141"/>
        <v>0</v>
      </c>
      <c r="AQ338" s="5255" t="str">
        <f t="shared" si="142"/>
        <v/>
      </c>
      <c r="AR338" s="1056"/>
      <c r="AS338" s="1056"/>
      <c r="AT338" s="1034">
        <f t="shared" si="143"/>
        <v>0</v>
      </c>
      <c r="AU338" s="1035">
        <f t="shared" si="144"/>
        <v>0</v>
      </c>
      <c r="AV338" s="1057" cm="1">
        <f t="array" ref="AV338">IF(AJ338&lt;&gt;1,0,IF(OR(AT338="",N(AT338)&lt;=0.000000001),"",IF(OR(AN338="",N(AN338)&lt;=0.000000001),0,IF(ISNUMBER(AT338),IFERROR(_xlfn.LET(_xlpm.ai_test,TRIM(AI338),_xlpm.r,IFERROR(_xlfn.XLOOKUP(_xlpm.ai_test,$BI$15:$BI$62,ROW($BI$15:$BI$62),0,1),IFERROR(_xlfn.XLOOKUP(_xlpm.ai_test,$BJ$15:$BJ$62,ROW($BJ$15:$BJ$62),0,1),_xlfn.XLOOKUP(_xlpm.ai_test,$BK$15:$BK$62,ROW($BK$15:$BK$62),0,1))),_xlpm.p,_xlpm.r-MIN(ROW($BI$15:$BI$62))+1,_xlpm.f,INDEX($BL$15:$BL$62,_xlpm.p),_xlpm.u,INDEX($BM$15:$BM$62,_xlpm.p),_xlpm.s,INDEX($BO$15:$BO$62,_xlpm.p),_xlpm.q,N(AT338)/_xlpm.f,IF(_xlpm.q&gt;=_xlpm.s,ROUND(_xlpm.q,1)&amp;" "&amp;_xlpm.ai_test&amp;" = "&amp;ROUND(_xlpm.q*_xlpm.f,1)&amp;" "&amp;_xlpm.u,ROUND(_xlpm.q,1)&amp;" "&amp;_xlpm.ai_test)),""),""))))</f>
        <v>0</v>
      </c>
      <c r="AW338" s="1047"/>
      <c r="AX338" s="1034">
        <f t="shared" si="145"/>
        <v>0</v>
      </c>
      <c r="AY338" s="1035" t="str">
        <f t="shared" si="146"/>
        <v/>
      </c>
      <c r="AZ338" s="1036">
        <f t="shared" si="151"/>
        <v>0</v>
      </c>
      <c r="BA338" s="1037" t="str">
        <f t="shared" si="147"/>
        <v/>
      </c>
      <c r="BB338" s="1038"/>
      <c r="BC338" s="1039">
        <f t="shared" si="152"/>
        <v>0</v>
      </c>
      <c r="BD338" s="1040" t="str">
        <f t="shared" si="148"/>
        <v/>
      </c>
      <c r="BE338" s="227" t="s">
        <v>22</v>
      </c>
      <c r="BF338" s="1019">
        <f t="shared" si="149"/>
        <v>0</v>
      </c>
      <c r="BG338" s="1020">
        <f t="shared" si="150"/>
        <v>0</v>
      </c>
      <c r="BH338"/>
      <c r="BI338" s="709"/>
      <c r="BJ338" s="709"/>
      <c r="BK338" s="709"/>
      <c r="BL338" s="709"/>
      <c r="BM338" s="709"/>
      <c r="BN338" s="709"/>
      <c r="BO338" s="709"/>
      <c r="BP338" s="709"/>
      <c r="BW338" s="959" t="str">
        <f t="shared" si="157"/>
        <v>►</v>
      </c>
      <c r="BX338" s="856"/>
      <c r="BY338" s="856"/>
      <c r="BZ338" s="856"/>
      <c r="CA338" s="856"/>
      <c r="CB338" s="856"/>
      <c r="DB338" s="3">
        <v>1</v>
      </c>
    </row>
    <row r="339" spans="12:106" ht="21" customHeight="1">
      <c r="L339" s="27" t="s">
        <v>11</v>
      </c>
      <c r="M339" s="32" t="str">
        <f>M342</f>
        <v>B BAUDRUCHE DE COPAIN | | Auteur &gt; Guy KRENZE - Eric GODDYN - Arnaud NICOLAS - CEPROC 2002</v>
      </c>
      <c r="N339" s="33">
        <f>N342</f>
        <v>9.0500000000000007</v>
      </c>
      <c r="O339" s="33" t="str">
        <f>O342</f>
        <v>Kg</v>
      </c>
      <c r="P339" s="34" t="str">
        <f>P342</f>
        <v>Recette mère ► le Boudin en 4 déclinaisons</v>
      </c>
      <c r="Q339" s="42" t="s">
        <v>32</v>
      </c>
      <c r="R339" s="43"/>
      <c r="S339" s="43"/>
      <c r="T339" s="44" t="s">
        <v>33</v>
      </c>
      <c r="U339" s="5477" t="str">
        <f>V342&amp;" "&amp;W342&amp;" ► Famille = "&amp;X336&amp;" ► "&amp;R336&amp;" "&amp; "pour "&amp;X340&amp;" "&amp;Y340</f>
        <v>Recette mère ► le Boudin en 4 déclinaisons ► Famille = famille--COLLEZ ► BAUDRUCHE DE COPAIN pour 10 Kg</v>
      </c>
      <c r="V339" s="5477"/>
      <c r="W339" s="5477"/>
      <c r="X339" s="5039" t="s">
        <v>3306</v>
      </c>
      <c r="Y339" s="40"/>
      <c r="Z339" s="1472"/>
      <c r="AA339" s="5211"/>
      <c r="AB339" s="1178"/>
      <c r="AC339" s="1179"/>
      <c r="AD339" s="227" t="s">
        <v>22</v>
      </c>
      <c r="AE339" s="1027" t="str">
        <f t="shared" si="132"/>
        <v>►</v>
      </c>
      <c r="AF339" s="1028" t="str">
        <f t="shared" si="133"/>
        <v/>
      </c>
      <c r="AG339" s="1029" t="str">
        <f t="shared" si="134"/>
        <v/>
      </c>
      <c r="AH339" s="1028" t="str">
        <f t="shared" si="135"/>
        <v/>
      </c>
      <c r="AI339" s="1029" t="str">
        <f t="shared" si="136"/>
        <v/>
      </c>
      <c r="AJ339" s="1029">
        <f t="shared" si="137"/>
        <v>0</v>
      </c>
      <c r="AK339" s="1043" t="str" cm="1">
        <f t="array" ref="AK339">IF(AE339&lt;&gt;"A","",IFERROR((IFERROR(_xlfn.XLOOKUP(TRIM(SUBSTITUTE(U339,CHAR(160)," ")),$BI$15:$BI$62,$BL$15:$BL$62),IFERROR(_xlfn.XLOOKUP(TRIM(SUBSTITUTE(U339,CHAR(160)," ")),$BJ$15:$BJ$62,$BL$15:$BL$62),_xlfn.XLOOKUP(TRIM(SUBSTITUTE(U339,CHAR(160)," ")),$BK$15:$BK$62,$BL$15:$BL$62))))*T339*IF(ISBLANK(Q339),1,Q339)+IFERROR(_xlfn.XLOOKUP("RECHERCHEX",TRIM(L339:AC339),L339:AC339),0),0))</f>
        <v/>
      </c>
      <c r="AL339" s="1030">
        <f t="shared" si="138"/>
        <v>0</v>
      </c>
      <c r="AM339" s="5254" t="str">
        <f t="shared" si="153"/>
        <v/>
      </c>
      <c r="AN339" s="1031">
        <f t="shared" si="139"/>
        <v>0</v>
      </c>
      <c r="AO339" s="1031">
        <f t="shared" si="140"/>
        <v>0</v>
      </c>
      <c r="AP339" s="1044">
        <f t="shared" si="141"/>
        <v>0</v>
      </c>
      <c r="AQ339" s="5257" t="str">
        <f t="shared" si="142"/>
        <v/>
      </c>
      <c r="AR339" s="1056"/>
      <c r="AS339" s="1056"/>
      <c r="AT339" s="1045">
        <f t="shared" si="143"/>
        <v>0</v>
      </c>
      <c r="AU339" s="1046">
        <f t="shared" si="144"/>
        <v>0</v>
      </c>
      <c r="AV339" s="1059" cm="1">
        <f t="array" ref="AV339">IF(AJ339&lt;&gt;1,0,IF(OR(AT339="",N(AT339)&lt;=0.000000001),"",IF(OR(AN339="",N(AN339)&lt;=0.000000001),0,IF(ISNUMBER(AT339),IFERROR(_xlfn.LET(_xlpm.ai_test,TRIM(AI339),_xlpm.r,IFERROR(_xlfn.XLOOKUP(_xlpm.ai_test,$BI$15:$BI$62,ROW($BI$15:$BI$62),0,1),IFERROR(_xlfn.XLOOKUP(_xlpm.ai_test,$BJ$15:$BJ$62,ROW($BJ$15:$BJ$62),0,1),_xlfn.XLOOKUP(_xlpm.ai_test,$BK$15:$BK$62,ROW($BK$15:$BK$62),0,1))),_xlpm.p,_xlpm.r-MIN(ROW($BI$15:$BI$62))+1,_xlpm.f,INDEX($BL$15:$BL$62,_xlpm.p),_xlpm.u,INDEX($BM$15:$BM$62,_xlpm.p),_xlpm.s,INDEX($BO$15:$BO$62,_xlpm.p),_xlpm.q,N(AT339)/_xlpm.f,IF(_xlpm.q&gt;=_xlpm.s,ROUND(_xlpm.q,1)&amp;" "&amp;_xlpm.ai_test&amp;" = "&amp;ROUND(_xlpm.q*_xlpm.f,1)&amp;" "&amp;_xlpm.u,ROUND(_xlpm.q,1)&amp;" "&amp;_xlpm.ai_test)),""),""))))</f>
        <v>0</v>
      </c>
      <c r="AW339" s="1047"/>
      <c r="AX339" s="1045">
        <f t="shared" si="145"/>
        <v>0</v>
      </c>
      <c r="AY339" s="1046" t="str">
        <f t="shared" si="146"/>
        <v/>
      </c>
      <c r="AZ339" s="1048">
        <f t="shared" si="151"/>
        <v>0</v>
      </c>
      <c r="BA339" s="1049" t="str">
        <f t="shared" si="147"/>
        <v/>
      </c>
      <c r="BB339" s="1038"/>
      <c r="BC339" s="1050">
        <f t="shared" si="152"/>
        <v>0</v>
      </c>
      <c r="BD339" s="1040" t="str">
        <f t="shared" si="148"/>
        <v/>
      </c>
      <c r="BE339" s="227" t="s">
        <v>22</v>
      </c>
      <c r="BF339" s="1019">
        <f t="shared" si="149"/>
        <v>0</v>
      </c>
      <c r="BG339" s="1020">
        <f t="shared" si="150"/>
        <v>0</v>
      </c>
      <c r="BH339"/>
      <c r="BI339" s="709"/>
      <c r="BJ339" s="709"/>
      <c r="BK339" s="709"/>
      <c r="BL339" s="709"/>
      <c r="BM339" s="709"/>
      <c r="BN339" s="709"/>
      <c r="BO339" s="709"/>
      <c r="BP339" s="709"/>
      <c r="BW339" s="959" t="str">
        <f t="shared" si="157"/>
        <v>►</v>
      </c>
      <c r="BX339" s="856"/>
      <c r="BY339" s="856"/>
      <c r="BZ339" s="856"/>
      <c r="CA339" s="856"/>
      <c r="CB339" s="856"/>
      <c r="DB339" s="3">
        <v>1</v>
      </c>
    </row>
    <row r="340" spans="12:106" ht="21" customHeight="1">
      <c r="L340" s="27" t="s">
        <v>11</v>
      </c>
      <c r="M340" s="32" t="str">
        <f>M342</f>
        <v>B BAUDRUCHE DE COPAIN | | Auteur &gt; Guy KRENZE - Eric GODDYN - Arnaud NICOLAS - CEPROC 2002</v>
      </c>
      <c r="N340" s="33">
        <f>N342</f>
        <v>9.0500000000000007</v>
      </c>
      <c r="O340" s="33" t="str">
        <f>O342</f>
        <v>Kg</v>
      </c>
      <c r="P340" s="34" t="str">
        <f>P342</f>
        <v>Recette mère ► le Boudin en 4 déclinaisons</v>
      </c>
      <c r="Q340" s="50">
        <v>9.0500000000000007</v>
      </c>
      <c r="R340" s="51" t="s">
        <v>872</v>
      </c>
      <c r="S340" s="42"/>
      <c r="T340" s="42"/>
      <c r="U340" s="5477"/>
      <c r="V340" s="5477"/>
      <c r="W340" s="5477"/>
      <c r="X340" s="46">
        <v>10</v>
      </c>
      <c r="Y340" s="5478" t="str">
        <f>R340</f>
        <v>Kg</v>
      </c>
      <c r="Z340" s="5479"/>
      <c r="AA340" s="5211"/>
      <c r="AB340" s="1178"/>
      <c r="AC340" s="1179"/>
      <c r="AD340" s="227" t="s">
        <v>22</v>
      </c>
      <c r="AE340" s="1027" t="str">
        <f t="shared" si="132"/>
        <v>►</v>
      </c>
      <c r="AF340" s="1028" t="str">
        <f t="shared" si="133"/>
        <v/>
      </c>
      <c r="AG340" s="1029" t="str">
        <f t="shared" si="134"/>
        <v/>
      </c>
      <c r="AH340" s="1028" t="str">
        <f t="shared" si="135"/>
        <v/>
      </c>
      <c r="AI340" s="1029" t="str">
        <f t="shared" si="136"/>
        <v/>
      </c>
      <c r="AJ340" s="1029">
        <f t="shared" si="137"/>
        <v>0</v>
      </c>
      <c r="AK340" s="1043" t="str" cm="1">
        <f t="array" ref="AK340">IF(AE340&lt;&gt;"A","",IFERROR((IFERROR(_xlfn.XLOOKUP(TRIM(SUBSTITUTE(U340,CHAR(160)," ")),$BI$15:$BI$62,$BL$15:$BL$62),IFERROR(_xlfn.XLOOKUP(TRIM(SUBSTITUTE(U340,CHAR(160)," ")),$BJ$15:$BJ$62,$BL$15:$BL$62),_xlfn.XLOOKUP(TRIM(SUBSTITUTE(U340,CHAR(160)," ")),$BK$15:$BK$62,$BL$15:$BL$62))))*T340*IF(ISBLANK(Q340),1,Q340)+IFERROR(_xlfn.XLOOKUP("RECHERCHEX",TRIM(L340:AC340),L340:AC340),0),0))</f>
        <v/>
      </c>
      <c r="AL340" s="1030">
        <f t="shared" si="138"/>
        <v>0</v>
      </c>
      <c r="AM340" s="5254" t="str">
        <f t="shared" si="153"/>
        <v/>
      </c>
      <c r="AN340" s="1031">
        <f t="shared" si="139"/>
        <v>0</v>
      </c>
      <c r="AO340" s="1031">
        <f t="shared" si="140"/>
        <v>0</v>
      </c>
      <c r="AP340" s="1032">
        <f t="shared" si="141"/>
        <v>0</v>
      </c>
      <c r="AQ340" s="5255" t="str">
        <f t="shared" si="142"/>
        <v/>
      </c>
      <c r="AR340" s="1056"/>
      <c r="AS340" s="1056"/>
      <c r="AT340" s="1034">
        <f t="shared" si="143"/>
        <v>0</v>
      </c>
      <c r="AU340" s="1035">
        <f t="shared" si="144"/>
        <v>0</v>
      </c>
      <c r="AV340" s="1057" cm="1">
        <f t="array" ref="AV340">IF(AJ340&lt;&gt;1,0,IF(OR(AT340="",N(AT340)&lt;=0.000000001),"",IF(OR(AN340="",N(AN340)&lt;=0.000000001),0,IF(ISNUMBER(AT340),IFERROR(_xlfn.LET(_xlpm.ai_test,TRIM(AI340),_xlpm.r,IFERROR(_xlfn.XLOOKUP(_xlpm.ai_test,$BI$15:$BI$62,ROW($BI$15:$BI$62),0,1),IFERROR(_xlfn.XLOOKUP(_xlpm.ai_test,$BJ$15:$BJ$62,ROW($BJ$15:$BJ$62),0,1),_xlfn.XLOOKUP(_xlpm.ai_test,$BK$15:$BK$62,ROW($BK$15:$BK$62),0,1))),_xlpm.p,_xlpm.r-MIN(ROW($BI$15:$BI$62))+1,_xlpm.f,INDEX($BL$15:$BL$62,_xlpm.p),_xlpm.u,INDEX($BM$15:$BM$62,_xlpm.p),_xlpm.s,INDEX($BO$15:$BO$62,_xlpm.p),_xlpm.q,N(AT340)/_xlpm.f,IF(_xlpm.q&gt;=_xlpm.s,ROUND(_xlpm.q,1)&amp;" "&amp;_xlpm.ai_test&amp;" = "&amp;ROUND(_xlpm.q*_xlpm.f,1)&amp;" "&amp;_xlpm.u,ROUND(_xlpm.q,1)&amp;" "&amp;_xlpm.ai_test)),""),""))))</f>
        <v>0</v>
      </c>
      <c r="AW340" s="1047"/>
      <c r="AX340" s="1034">
        <f t="shared" si="145"/>
        <v>0</v>
      </c>
      <c r="AY340" s="1035" t="str">
        <f t="shared" si="146"/>
        <v/>
      </c>
      <c r="AZ340" s="1036">
        <f t="shared" si="151"/>
        <v>0</v>
      </c>
      <c r="BA340" s="1037" t="str">
        <f t="shared" si="147"/>
        <v/>
      </c>
      <c r="BB340" s="1038"/>
      <c r="BC340" s="1039">
        <f t="shared" si="152"/>
        <v>0</v>
      </c>
      <c r="BD340" s="1040" t="str">
        <f t="shared" si="148"/>
        <v/>
      </c>
      <c r="BE340" s="227" t="s">
        <v>22</v>
      </c>
      <c r="BF340" s="1019">
        <f t="shared" si="149"/>
        <v>0</v>
      </c>
      <c r="BG340" s="1020">
        <f t="shared" si="150"/>
        <v>0</v>
      </c>
      <c r="BH340"/>
      <c r="BI340" s="709"/>
      <c r="BJ340" s="709"/>
      <c r="BK340" s="709"/>
      <c r="BL340" s="709"/>
      <c r="BM340" s="709"/>
      <c r="BN340" s="709"/>
      <c r="BO340" s="709"/>
      <c r="BP340" s="709"/>
      <c r="BW340" s="959" t="str">
        <f t="shared" si="157"/>
        <v>►</v>
      </c>
      <c r="BX340" s="856"/>
      <c r="BY340" s="856"/>
      <c r="BZ340" s="856"/>
      <c r="CA340" s="856"/>
      <c r="CB340" s="856"/>
      <c r="DB340" s="3">
        <v>1</v>
      </c>
    </row>
    <row r="341" spans="12:106" ht="21" customHeight="1">
      <c r="L341" s="27" t="s">
        <v>16</v>
      </c>
      <c r="M341" s="32" t="str">
        <f>M342</f>
        <v>B BAUDRUCHE DE COPAIN | | Auteur &gt; Guy KRENZE - Eric GODDYN - Arnaud NICOLAS - CEPROC 2002</v>
      </c>
      <c r="N341" s="33">
        <f>N342</f>
        <v>9.0500000000000007</v>
      </c>
      <c r="O341" s="33" t="str">
        <f>O342</f>
        <v>Kg</v>
      </c>
      <c r="P341" s="34" t="str">
        <f>P342</f>
        <v>Recette mère ► le Boudin en 4 déclinaisons</v>
      </c>
      <c r="Q341" s="56"/>
      <c r="R341" s="5165" t="s">
        <v>13098</v>
      </c>
      <c r="S341" s="5468">
        <f>Y366/V341</f>
        <v>9.0499999999999989</v>
      </c>
      <c r="T341" s="5468"/>
      <c r="U341" s="5054" t="str" cm="1">
        <f t="array" ref="U341">"1= "&amp;IF(OR(Q340&lt;=0,S341=""),"",_xlfn.LET(_xlpm.kg,IF(ISNUMBER(S341),S341,VALEUR(SUBSTITUTE(SUBSTITUTE(SUBSTITUTE(LOWER(S341),"kg",""),",",".")," ",""))),TEXT(ROUND(_xlpm.kg*1000/Q340,2),"0.##")&amp;" g"))</f>
        <v>1= 1000. g</v>
      </c>
      <c r="V341" s="1490">
        <f>IFERROR(X340/Q340,0)</f>
        <v>1.1049723756906076</v>
      </c>
      <c r="W341" s="45"/>
      <c r="X341" s="5041" t="s">
        <v>50</v>
      </c>
      <c r="Y341" s="5042">
        <f>Y366</f>
        <v>9.9999999999999982</v>
      </c>
      <c r="Z341" s="5043"/>
      <c r="AA341" s="5211"/>
      <c r="AB341" s="1178"/>
      <c r="AC341" s="1179"/>
      <c r="AD341" s="227" t="s">
        <v>22</v>
      </c>
      <c r="AE341" s="1027" t="str">
        <f t="shared" si="132"/>
        <v>►</v>
      </c>
      <c r="AF341" s="1028" t="str">
        <f t="shared" si="133"/>
        <v/>
      </c>
      <c r="AG341" s="1029" t="str">
        <f t="shared" si="134"/>
        <v/>
      </c>
      <c r="AH341" s="1028" t="str">
        <f t="shared" si="135"/>
        <v/>
      </c>
      <c r="AI341" s="1029" t="str">
        <f t="shared" si="136"/>
        <v/>
      </c>
      <c r="AJ341" s="1029">
        <f t="shared" si="137"/>
        <v>0</v>
      </c>
      <c r="AK341" s="1043" t="str" cm="1">
        <f t="array" ref="AK341">IF(AE341&lt;&gt;"A","",IFERROR((IFERROR(_xlfn.XLOOKUP(TRIM(SUBSTITUTE(U341,CHAR(160)," ")),$BI$15:$BI$62,$BL$15:$BL$62),IFERROR(_xlfn.XLOOKUP(TRIM(SUBSTITUTE(U341,CHAR(160)," ")),$BJ$15:$BJ$62,$BL$15:$BL$62),_xlfn.XLOOKUP(TRIM(SUBSTITUTE(U341,CHAR(160)," ")),$BK$15:$BK$62,$BL$15:$BL$62))))*T341*IF(ISBLANK(Q341),1,Q341)+IFERROR(_xlfn.XLOOKUP("RECHERCHEX",TRIM(L341:AC341),L341:AC341),0),0))</f>
        <v/>
      </c>
      <c r="AL341" s="1030">
        <f t="shared" si="138"/>
        <v>0</v>
      </c>
      <c r="AM341" s="5254" t="str">
        <f t="shared" si="153"/>
        <v/>
      </c>
      <c r="AN341" s="1031">
        <f t="shared" si="139"/>
        <v>0</v>
      </c>
      <c r="AO341" s="1031">
        <f t="shared" si="140"/>
        <v>0</v>
      </c>
      <c r="AP341" s="1044">
        <f t="shared" si="141"/>
        <v>0</v>
      </c>
      <c r="AQ341" s="5257" t="str">
        <f t="shared" si="142"/>
        <v/>
      </c>
      <c r="AR341" s="1056"/>
      <c r="AS341" s="1056"/>
      <c r="AT341" s="1045">
        <f t="shared" si="143"/>
        <v>0</v>
      </c>
      <c r="AU341" s="1046">
        <f t="shared" si="144"/>
        <v>0</v>
      </c>
      <c r="AV341" s="1059" cm="1">
        <f t="array" ref="AV341">IF(AJ341&lt;&gt;1,0,IF(OR(AT341="",N(AT341)&lt;=0.000000001),"",IF(OR(AN341="",N(AN341)&lt;=0.000000001),0,IF(ISNUMBER(AT341),IFERROR(_xlfn.LET(_xlpm.ai_test,TRIM(AI341),_xlpm.r,IFERROR(_xlfn.XLOOKUP(_xlpm.ai_test,$BI$15:$BI$62,ROW($BI$15:$BI$62),0,1),IFERROR(_xlfn.XLOOKUP(_xlpm.ai_test,$BJ$15:$BJ$62,ROW($BJ$15:$BJ$62),0,1),_xlfn.XLOOKUP(_xlpm.ai_test,$BK$15:$BK$62,ROW($BK$15:$BK$62),0,1))),_xlpm.p,_xlpm.r-MIN(ROW($BI$15:$BI$62))+1,_xlpm.f,INDEX($BL$15:$BL$62,_xlpm.p),_xlpm.u,INDEX($BM$15:$BM$62,_xlpm.p),_xlpm.s,INDEX($BO$15:$BO$62,_xlpm.p),_xlpm.q,N(AT341)/_xlpm.f,IF(_xlpm.q&gt;=_xlpm.s,ROUND(_xlpm.q,1)&amp;" "&amp;_xlpm.ai_test&amp;" = "&amp;ROUND(_xlpm.q*_xlpm.f,1)&amp;" "&amp;_xlpm.u,ROUND(_xlpm.q,1)&amp;" "&amp;_xlpm.ai_test)),""),""))))</f>
        <v>0</v>
      </c>
      <c r="AW341" s="1047"/>
      <c r="AX341" s="1045">
        <f t="shared" si="145"/>
        <v>0</v>
      </c>
      <c r="AY341" s="1046" t="str">
        <f t="shared" si="146"/>
        <v/>
      </c>
      <c r="AZ341" s="1048">
        <f t="shared" si="151"/>
        <v>0</v>
      </c>
      <c r="BA341" s="1049" t="str">
        <f t="shared" si="147"/>
        <v/>
      </c>
      <c r="BB341" s="1038"/>
      <c r="BC341" s="1050">
        <f t="shared" si="152"/>
        <v>0</v>
      </c>
      <c r="BD341" s="1040" t="str">
        <f t="shared" si="148"/>
        <v/>
      </c>
      <c r="BE341" s="227" t="s">
        <v>22</v>
      </c>
      <c r="BF341" s="1019">
        <f t="shared" si="149"/>
        <v>0</v>
      </c>
      <c r="BG341" s="1020">
        <f t="shared" si="150"/>
        <v>0</v>
      </c>
      <c r="BH341"/>
      <c r="BI341" s="709"/>
      <c r="BJ341" s="709"/>
      <c r="BK341" s="709"/>
      <c r="BL341" s="709"/>
      <c r="BM341" s="709"/>
      <c r="BN341" s="709"/>
      <c r="BO341" s="709"/>
      <c r="BP341" s="709"/>
      <c r="BW341" s="959" t="str">
        <f t="shared" si="157"/>
        <v>►</v>
      </c>
      <c r="BX341" s="856"/>
      <c r="BY341" s="856"/>
      <c r="BZ341" s="856"/>
      <c r="CA341" s="856"/>
      <c r="CB341" s="856"/>
      <c r="DB341" s="3">
        <v>1</v>
      </c>
    </row>
    <row r="342" spans="12:106" ht="21" customHeight="1">
      <c r="L342" s="64" t="s">
        <v>16</v>
      </c>
      <c r="M342" s="65" t="str">
        <f>Q342</f>
        <v>B BAUDRUCHE DE COPAIN | | Auteur &gt; Guy KRENZE - Eric GODDYN - Arnaud NICOLAS - CEPROC 2002</v>
      </c>
      <c r="N342" s="66">
        <f>Q340</f>
        <v>9.0500000000000007</v>
      </c>
      <c r="O342" s="65" t="str">
        <f>R340</f>
        <v>Kg</v>
      </c>
      <c r="P342" s="67" t="str">
        <f>V342&amp;" "&amp;W342</f>
        <v>Recette mère ► le Boudin en 4 déclinaisons</v>
      </c>
      <c r="Q342" s="68" t="str">
        <f>UPPER(LEFT(R336,1))&amp;" "&amp;R336&amp;" | "&amp;Y336&amp;"| "&amp;T338&amp;" "&amp;U338</f>
        <v>B BAUDRUCHE DE COPAIN | | Auteur &gt; Guy KRENZE - Eric GODDYN - Arnaud NICOLAS - CEPROC 2002</v>
      </c>
      <c r="R342" s="69" t="s">
        <v>54</v>
      </c>
      <c r="S342" s="5469" t="s">
        <v>55</v>
      </c>
      <c r="T342" s="5469"/>
      <c r="U342" s="5469"/>
      <c r="V342" s="70" t="str">
        <f>IF(ISTEXT(W342),"Recette mère ►",R342)</f>
        <v>Recette mère ►</v>
      </c>
      <c r="W342" s="71" t="s">
        <v>12836</v>
      </c>
      <c r="X342" s="71"/>
      <c r="Y342" s="72"/>
      <c r="Z342" s="1473"/>
      <c r="AA342" s="5211"/>
      <c r="AB342" s="1178"/>
      <c r="AC342" s="1179"/>
      <c r="AD342" s="227" t="s">
        <v>22</v>
      </c>
      <c r="AE342" s="1027" t="str">
        <f t="shared" ref="AE342:AE405" si="158">IF(OR(AN342&gt;0,TRIM(AF342)="▼ recette suivante"),"A","►")</f>
        <v>►</v>
      </c>
      <c r="AF342" s="1028" t="str">
        <f t="shared" ref="AF342:AF405" si="159">IF(TRIM(Q342)="Adresse PC","▼ recette suivante",IF(AN342&gt;0,M342,""))</f>
        <v/>
      </c>
      <c r="AG342" s="1029" t="str">
        <f t="shared" ref="AG342:AG405" si="160">IF(AE342="A",N342,"")</f>
        <v/>
      </c>
      <c r="AH342" s="1028" t="str">
        <f t="shared" ref="AH342:AH405" si="161">IF(AE342="A",O342,"")</f>
        <v/>
      </c>
      <c r="AI342" s="1029" t="str">
        <f t="shared" ref="AI342:AI405" si="162">IF(AE342="A",U342,"")</f>
        <v/>
      </c>
      <c r="AJ342" s="1029">
        <f t="shared" ref="AJ342:AJ405" si="163">IF(AND(L342="A",COUNTIF($BI$15:$BK$62,TRIM(U342))&gt;0),1,0)</f>
        <v>0</v>
      </c>
      <c r="AK342" s="1043" t="str" cm="1">
        <f t="array" ref="AK342">IF(AE342&lt;&gt;"A","",IFERROR((IFERROR(_xlfn.XLOOKUP(TRIM(SUBSTITUTE(U342,CHAR(160)," ")),$BI$15:$BI$62,$BL$15:$BL$62),IFERROR(_xlfn.XLOOKUP(TRIM(SUBSTITUTE(U342,CHAR(160)," ")),$BJ$15:$BJ$62,$BL$15:$BL$62),_xlfn.XLOOKUP(TRIM(SUBSTITUTE(U342,CHAR(160)," ")),$BK$15:$BK$62,$BL$15:$BL$62))))*T342*IF(ISBLANK(Q342),1,Q342)+IFERROR(_xlfn.XLOOKUP("RECHERCHEX",TRIM(L342:AC342),L342:AC342),0),0))</f>
        <v/>
      </c>
      <c r="AL342" s="1030">
        <f t="shared" ref="AL342:AL405" si="164">IF(AJ342,IF(AK342&gt;0,"Kg",0),0)</f>
        <v>0</v>
      </c>
      <c r="AM342" s="5254" t="str">
        <f t="shared" si="153"/>
        <v/>
      </c>
      <c r="AN342" s="1031">
        <f t="shared" ref="AN342:AN405" si="165">IF(AJ342,N342,0)</f>
        <v>0</v>
      </c>
      <c r="AO342" s="1031">
        <f t="shared" ref="AO342:AO405" si="166">IF(AJ342,O342,0)</f>
        <v>0</v>
      </c>
      <c r="AP342" s="1032">
        <f t="shared" ref="AP342:AP405" si="167">IF(AN342&gt;0,AR$9,0)</f>
        <v>0</v>
      </c>
      <c r="AQ342" s="5255" t="str">
        <f t="shared" ref="AQ342:AQ405" si="168">IF(TRIM(AF342)="▼ recette suivante", AF342, IF(AP342&gt;0, IF(AS$9&lt;&gt;"", AS$9&amp;"-ou.or.o ❾ + or - &gt;", ""), ""))</f>
        <v/>
      </c>
      <c r="AR342" s="1056"/>
      <c r="AS342" s="1056"/>
      <c r="AT342" s="1034">
        <f t="shared" ref="AT342:AT405" si="169">IF(TRIM(AL342)="Kg",N(AK342)*N(BG342),0)</f>
        <v>0</v>
      </c>
      <c r="AU342" s="1035">
        <f t="shared" ref="AU342:AU405" si="170">IF(AJ342,IF(OR(AT342="",N(AT342)&lt;=0.000000001),"",_xlfn.XLOOKUP(AI342,$BI$15:$BI$62,$BM$15:$BM$62,_xlfn.XLOOKUP(AI342,$BJ$15:$BJ$62,$BM$15:$BM$62,_xlfn.XLOOKUP(AI342,$BK$15:$BK$62,$BM$15:$BM$62,"")))),0)</f>
        <v>0</v>
      </c>
      <c r="AV342" s="1057" cm="1">
        <f t="array" ref="AV342">IF(AJ342&lt;&gt;1,0,IF(OR(AT342="",N(AT342)&lt;=0.000000001),"",IF(OR(AN342="",N(AN342)&lt;=0.000000001),0,IF(ISNUMBER(AT342),IFERROR(_xlfn.LET(_xlpm.ai_test,TRIM(AI342),_xlpm.r,IFERROR(_xlfn.XLOOKUP(_xlpm.ai_test,$BI$15:$BI$62,ROW($BI$15:$BI$62),0,1),IFERROR(_xlfn.XLOOKUP(_xlpm.ai_test,$BJ$15:$BJ$62,ROW($BJ$15:$BJ$62),0,1),_xlfn.XLOOKUP(_xlpm.ai_test,$BK$15:$BK$62,ROW($BK$15:$BK$62),0,1))),_xlpm.p,_xlpm.r-MIN(ROW($BI$15:$BI$62))+1,_xlpm.f,INDEX($BL$15:$BL$62,_xlpm.p),_xlpm.u,INDEX($BM$15:$BM$62,_xlpm.p),_xlpm.s,INDEX($BO$15:$BO$62,_xlpm.p),_xlpm.q,N(AT342)/_xlpm.f,IF(_xlpm.q&gt;=_xlpm.s,ROUND(_xlpm.q,1)&amp;" "&amp;_xlpm.ai_test&amp;" = "&amp;ROUND(_xlpm.q*_xlpm.f,1)&amp;" "&amp;_xlpm.u,ROUND(_xlpm.q,1)&amp;" "&amp;_xlpm.ai_test)),""),""))))</f>
        <v>0</v>
      </c>
      <c r="AW342" s="1047"/>
      <c r="AX342" s="1034">
        <f t="shared" ref="AX342:AX405" si="171">IF(TRIM(AF342)="▼ recette suivante","▼next recipe ",IF(AT342="","",IF(ISBLANK(AW342),AT342,ROUND(AT342*(1-MIN(1,MAX(0,IF(AW342&gt;1,AW342/100,AW342)))),3))))</f>
        <v>0</v>
      </c>
      <c r="AY342" s="1035" t="str">
        <f t="shared" ref="AY342:AY405" si="172">IF(AJ342,AU342,"")</f>
        <v/>
      </c>
      <c r="AZ342" s="1036">
        <f t="shared" si="151"/>
        <v>0</v>
      </c>
      <c r="BA342" s="1037" t="str">
        <f t="shared" ref="BA342:BA405" si="173">IF(AJ342,IF(N(AZ342)&gt;0.000000001,R342,""),"")</f>
        <v/>
      </c>
      <c r="BB342" s="1038"/>
      <c r="BC342" s="1039">
        <f t="shared" si="152"/>
        <v>0</v>
      </c>
      <c r="BD342" s="1040" t="str">
        <f t="shared" ref="BD342:BD405" si="174">IF(IFERROR(SEARCH("Adresse PC",TRIM(Q342)),0)&gt;0,"▼ receta siguiente",IF(AX342&gt;0,W342,""))</f>
        <v/>
      </c>
      <c r="BE342" s="227" t="s">
        <v>22</v>
      </c>
      <c r="BF342" s="1019">
        <f t="shared" ref="BF342:BF405" si="175">IFERROR(_xlfn.LET(_xlpm.EPS,0.000000001,_xlpm.b,Q342/AN342,IF(ISNUMBER(AR342),_xlpm.b*AR342,IF(OR(ISBLANK(AR342),AR342=""),_xlpm.b*AP342,IF(AND(BG342=0,ISNUMBER(Q342)),_xlpm.b/AP342,0)))),0)</f>
        <v>0</v>
      </c>
      <c r="BG342" s="1020">
        <f t="shared" ref="BG342:BG405" si="176">IF(AK342&gt;0,IFERROR(IF(OR(ISBLANK(AR342),AR342=""),AP342,AR342)/AN342,0),0)</f>
        <v>0</v>
      </c>
      <c r="BH342"/>
      <c r="BI342" s="709"/>
      <c r="BJ342" s="709"/>
      <c r="BK342" s="709"/>
      <c r="BL342" s="709"/>
      <c r="BM342" s="709"/>
      <c r="BN342" s="709"/>
      <c r="BO342" s="709"/>
      <c r="BP342" s="709"/>
      <c r="BW342" s="959" t="str">
        <f t="shared" si="157"/>
        <v>►</v>
      </c>
      <c r="BX342" s="856"/>
      <c r="BY342" s="856"/>
      <c r="BZ342" s="856"/>
      <c r="CA342" s="856"/>
      <c r="CB342" s="856"/>
      <c r="DB342" s="3">
        <v>1</v>
      </c>
    </row>
    <row r="343" spans="12:106" ht="21" customHeight="1">
      <c r="L343" s="74" t="s">
        <v>16</v>
      </c>
      <c r="M343" s="75" t="str">
        <f>M342</f>
        <v>B BAUDRUCHE DE COPAIN | | Auteur &gt; Guy KRENZE - Eric GODDYN - Arnaud NICOLAS - CEPROC 2002</v>
      </c>
      <c r="N343" s="75">
        <f>N342</f>
        <v>9.0500000000000007</v>
      </c>
      <c r="O343" s="75" t="str">
        <f>O342</f>
        <v>Kg</v>
      </c>
      <c r="P343" s="76" t="str">
        <f>P342</f>
        <v>Recette mère ► le Boudin en 4 déclinaisons</v>
      </c>
      <c r="Q343" s="13" t="s">
        <v>66</v>
      </c>
      <c r="R343" s="13" t="s">
        <v>67</v>
      </c>
      <c r="S343" s="13" t="s">
        <v>68</v>
      </c>
      <c r="T343" s="13" t="s">
        <v>69</v>
      </c>
      <c r="U343" s="77" t="s">
        <v>70</v>
      </c>
      <c r="V343" s="78" t="s">
        <v>71</v>
      </c>
      <c r="W343" s="79" t="s">
        <v>72</v>
      </c>
      <c r="X343" s="1496" t="s">
        <v>73</v>
      </c>
      <c r="Y343" s="13" t="s">
        <v>74</v>
      </c>
      <c r="Z343" s="518" t="s">
        <v>75</v>
      </c>
      <c r="AA343" s="5211"/>
      <c r="AB343" s="1178"/>
      <c r="AC343" s="1179"/>
      <c r="AD343" s="227" t="s">
        <v>22</v>
      </c>
      <c r="AE343" s="1027" t="str">
        <f t="shared" si="158"/>
        <v>►</v>
      </c>
      <c r="AF343" s="1028" t="str">
        <f t="shared" si="159"/>
        <v/>
      </c>
      <c r="AG343" s="1029" t="str">
        <f t="shared" si="160"/>
        <v/>
      </c>
      <c r="AH343" s="1028" t="str">
        <f t="shared" si="161"/>
        <v/>
      </c>
      <c r="AI343" s="1029" t="str">
        <f t="shared" si="162"/>
        <v/>
      </c>
      <c r="AJ343" s="1029">
        <f t="shared" si="163"/>
        <v>0</v>
      </c>
      <c r="AK343" s="1043" t="str" cm="1">
        <f t="array" ref="AK343">IF(AE343&lt;&gt;"A","",IFERROR((IFERROR(_xlfn.XLOOKUP(TRIM(SUBSTITUTE(U343,CHAR(160)," ")),$BI$15:$BI$62,$BL$15:$BL$62),IFERROR(_xlfn.XLOOKUP(TRIM(SUBSTITUTE(U343,CHAR(160)," ")),$BJ$15:$BJ$62,$BL$15:$BL$62),_xlfn.XLOOKUP(TRIM(SUBSTITUTE(U343,CHAR(160)," ")),$BK$15:$BK$62,$BL$15:$BL$62))))*T343*IF(ISBLANK(Q343),1,Q343)+IFERROR(_xlfn.XLOOKUP("RECHERCHEX",TRIM(L343:AC343),L343:AC343),0),0))</f>
        <v/>
      </c>
      <c r="AL343" s="1030">
        <f t="shared" si="164"/>
        <v>0</v>
      </c>
      <c r="AM343" s="5254" t="str">
        <f t="shared" si="153"/>
        <v/>
      </c>
      <c r="AN343" s="1031">
        <f t="shared" si="165"/>
        <v>0</v>
      </c>
      <c r="AO343" s="1031">
        <f t="shared" si="166"/>
        <v>0</v>
      </c>
      <c r="AP343" s="1044">
        <f t="shared" si="167"/>
        <v>0</v>
      </c>
      <c r="AQ343" s="5257" t="str">
        <f t="shared" si="168"/>
        <v/>
      </c>
      <c r="AR343" s="1056"/>
      <c r="AS343" s="1056"/>
      <c r="AT343" s="1045">
        <f t="shared" si="169"/>
        <v>0</v>
      </c>
      <c r="AU343" s="1046">
        <f t="shared" si="170"/>
        <v>0</v>
      </c>
      <c r="AV343" s="1059" cm="1">
        <f t="array" ref="AV343">IF(AJ343&lt;&gt;1,0,IF(OR(AT343="",N(AT343)&lt;=0.000000001),"",IF(OR(AN343="",N(AN343)&lt;=0.000000001),0,IF(ISNUMBER(AT343),IFERROR(_xlfn.LET(_xlpm.ai_test,TRIM(AI343),_xlpm.r,IFERROR(_xlfn.XLOOKUP(_xlpm.ai_test,$BI$15:$BI$62,ROW($BI$15:$BI$62),0,1),IFERROR(_xlfn.XLOOKUP(_xlpm.ai_test,$BJ$15:$BJ$62,ROW($BJ$15:$BJ$62),0,1),_xlfn.XLOOKUP(_xlpm.ai_test,$BK$15:$BK$62,ROW($BK$15:$BK$62),0,1))),_xlpm.p,_xlpm.r-MIN(ROW($BI$15:$BI$62))+1,_xlpm.f,INDEX($BL$15:$BL$62,_xlpm.p),_xlpm.u,INDEX($BM$15:$BM$62,_xlpm.p),_xlpm.s,INDEX($BO$15:$BO$62,_xlpm.p),_xlpm.q,N(AT343)/_xlpm.f,IF(_xlpm.q&gt;=_xlpm.s,ROUND(_xlpm.q,1)&amp;" "&amp;_xlpm.ai_test&amp;" = "&amp;ROUND(_xlpm.q*_xlpm.f,1)&amp;" "&amp;_xlpm.u,ROUND(_xlpm.q,1)&amp;" "&amp;_xlpm.ai_test)),""),""))))</f>
        <v>0</v>
      </c>
      <c r="AW343" s="1047"/>
      <c r="AX343" s="1045">
        <f t="shared" si="171"/>
        <v>0</v>
      </c>
      <c r="AY343" s="1046" t="str">
        <f t="shared" si="172"/>
        <v/>
      </c>
      <c r="AZ343" s="1048">
        <f t="shared" ref="AZ343:AZ406" si="177">IF(ISNUMBER(BF343),IF(ABS(BF343)&lt;=0.000000001,0,BF343),0)</f>
        <v>0</v>
      </c>
      <c r="BA343" s="1049" t="str">
        <f t="shared" si="173"/>
        <v/>
      </c>
      <c r="BB343" s="1038"/>
      <c r="BC343" s="1050">
        <f t="shared" si="152"/>
        <v>0</v>
      </c>
      <c r="BD343" s="1040" t="str">
        <f t="shared" si="174"/>
        <v/>
      </c>
      <c r="BE343" s="227" t="s">
        <v>22</v>
      </c>
      <c r="BF343" s="1019">
        <f t="shared" si="175"/>
        <v>0</v>
      </c>
      <c r="BG343" s="1020">
        <f t="shared" si="176"/>
        <v>0</v>
      </c>
      <c r="BH343"/>
      <c r="BI343" s="709"/>
      <c r="BJ343" s="709"/>
      <c r="BK343" s="709"/>
      <c r="BL343" s="709"/>
      <c r="BM343" s="709"/>
      <c r="BN343" s="709"/>
      <c r="BO343" s="709"/>
      <c r="BP343" s="709"/>
      <c r="BW343" s="959" t="str">
        <f t="shared" si="157"/>
        <v>►</v>
      </c>
      <c r="BX343" s="856"/>
      <c r="BY343" s="856"/>
      <c r="BZ343" s="856"/>
      <c r="CA343" s="856"/>
      <c r="CB343" s="856"/>
      <c r="DB343" s="3">
        <v>1</v>
      </c>
    </row>
    <row r="344" spans="12:106" ht="21" customHeight="1">
      <c r="L344" s="27" t="s">
        <v>11</v>
      </c>
      <c r="M344" s="32" t="str">
        <f>M342</f>
        <v>B BAUDRUCHE DE COPAIN | | Auteur &gt; Guy KRENZE - Eric GODDYN - Arnaud NICOLAS - CEPROC 2002</v>
      </c>
      <c r="N344" s="33">
        <f>N342</f>
        <v>9.0500000000000007</v>
      </c>
      <c r="O344" s="32" t="str">
        <f>O342</f>
        <v>Kg</v>
      </c>
      <c r="P344" s="34" t="str">
        <f>P342</f>
        <v>Recette mère ► le Boudin en 4 déclinaisons</v>
      </c>
      <c r="Q344" s="81" t="s">
        <v>77</v>
      </c>
      <c r="R344" s="82" t="s">
        <v>78</v>
      </c>
      <c r="S344" s="83"/>
      <c r="T344" s="5454" t="s">
        <v>79</v>
      </c>
      <c r="U344" s="5464" t="s">
        <v>80</v>
      </c>
      <c r="V344" s="5466" t="s">
        <v>81</v>
      </c>
      <c r="W344" s="84" t="s">
        <v>82</v>
      </c>
      <c r="X344" s="5444" t="s">
        <v>83</v>
      </c>
      <c r="Y344" s="5446" t="s">
        <v>3297</v>
      </c>
      <c r="Z344" s="5448" t="s">
        <v>86</v>
      </c>
      <c r="AA344" s="5211"/>
      <c r="AB344" s="1178"/>
      <c r="AC344" s="1179"/>
      <c r="AD344" s="227" t="s">
        <v>22</v>
      </c>
      <c r="AE344" s="1027" t="str">
        <f t="shared" si="158"/>
        <v>►</v>
      </c>
      <c r="AF344" s="1028" t="str">
        <f t="shared" si="159"/>
        <v/>
      </c>
      <c r="AG344" s="1029" t="str">
        <f t="shared" si="160"/>
        <v/>
      </c>
      <c r="AH344" s="1028" t="str">
        <f t="shared" si="161"/>
        <v/>
      </c>
      <c r="AI344" s="1029" t="str">
        <f t="shared" si="162"/>
        <v/>
      </c>
      <c r="AJ344" s="1029">
        <f t="shared" si="163"/>
        <v>0</v>
      </c>
      <c r="AK344" s="1043" t="str" cm="1">
        <f t="array" ref="AK344">IF(AE344&lt;&gt;"A","",IFERROR((IFERROR(_xlfn.XLOOKUP(TRIM(SUBSTITUTE(U344,CHAR(160)," ")),$BI$15:$BI$62,$BL$15:$BL$62),IFERROR(_xlfn.XLOOKUP(TRIM(SUBSTITUTE(U344,CHAR(160)," ")),$BJ$15:$BJ$62,$BL$15:$BL$62),_xlfn.XLOOKUP(TRIM(SUBSTITUTE(U344,CHAR(160)," ")),$BK$15:$BK$62,$BL$15:$BL$62))))*T344*IF(ISBLANK(Q344),1,Q344)+IFERROR(_xlfn.XLOOKUP("RECHERCHEX",TRIM(L344:AC344),L344:AC344),0),0))</f>
        <v/>
      </c>
      <c r="AL344" s="1030">
        <f t="shared" si="164"/>
        <v>0</v>
      </c>
      <c r="AM344" s="5254" t="str">
        <f t="shared" si="153"/>
        <v/>
      </c>
      <c r="AN344" s="1031">
        <f t="shared" si="165"/>
        <v>0</v>
      </c>
      <c r="AO344" s="1031">
        <f t="shared" si="166"/>
        <v>0</v>
      </c>
      <c r="AP344" s="1032">
        <f t="shared" si="167"/>
        <v>0</v>
      </c>
      <c r="AQ344" s="5255" t="str">
        <f t="shared" si="168"/>
        <v/>
      </c>
      <c r="AR344" s="1056"/>
      <c r="AS344" s="1056"/>
      <c r="AT344" s="1034">
        <f t="shared" si="169"/>
        <v>0</v>
      </c>
      <c r="AU344" s="1035">
        <f t="shared" si="170"/>
        <v>0</v>
      </c>
      <c r="AV344" s="1057" cm="1">
        <f t="array" ref="AV344">IF(AJ344&lt;&gt;1,0,IF(OR(AT344="",N(AT344)&lt;=0.000000001),"",IF(OR(AN344="",N(AN344)&lt;=0.000000001),0,IF(ISNUMBER(AT344),IFERROR(_xlfn.LET(_xlpm.ai_test,TRIM(AI344),_xlpm.r,IFERROR(_xlfn.XLOOKUP(_xlpm.ai_test,$BI$15:$BI$62,ROW($BI$15:$BI$62),0,1),IFERROR(_xlfn.XLOOKUP(_xlpm.ai_test,$BJ$15:$BJ$62,ROW($BJ$15:$BJ$62),0,1),_xlfn.XLOOKUP(_xlpm.ai_test,$BK$15:$BK$62,ROW($BK$15:$BK$62),0,1))),_xlpm.p,_xlpm.r-MIN(ROW($BI$15:$BI$62))+1,_xlpm.f,INDEX($BL$15:$BL$62,_xlpm.p),_xlpm.u,INDEX($BM$15:$BM$62,_xlpm.p),_xlpm.s,INDEX($BO$15:$BO$62,_xlpm.p),_xlpm.q,N(AT344)/_xlpm.f,IF(_xlpm.q&gt;=_xlpm.s,ROUND(_xlpm.q,1)&amp;" "&amp;_xlpm.ai_test&amp;" = "&amp;ROUND(_xlpm.q*_xlpm.f,1)&amp;" "&amp;_xlpm.u,ROUND(_xlpm.q,1)&amp;" "&amp;_xlpm.ai_test)),""),""))))</f>
        <v>0</v>
      </c>
      <c r="AW344" s="1047"/>
      <c r="AX344" s="1034">
        <f t="shared" si="171"/>
        <v>0</v>
      </c>
      <c r="AY344" s="1035" t="str">
        <f t="shared" si="172"/>
        <v/>
      </c>
      <c r="AZ344" s="1036">
        <f t="shared" si="177"/>
        <v>0</v>
      </c>
      <c r="BA344" s="1037" t="str">
        <f t="shared" si="173"/>
        <v/>
      </c>
      <c r="BB344" s="1038"/>
      <c r="BC344" s="1039">
        <f t="shared" si="152"/>
        <v>0</v>
      </c>
      <c r="BD344" s="1040" t="str">
        <f t="shared" si="174"/>
        <v/>
      </c>
      <c r="BE344" s="227" t="s">
        <v>22</v>
      </c>
      <c r="BF344" s="1019">
        <f t="shared" si="175"/>
        <v>0</v>
      </c>
      <c r="BG344" s="1020">
        <f t="shared" si="176"/>
        <v>0</v>
      </c>
      <c r="BH344"/>
      <c r="BI344" s="709"/>
      <c r="BJ344" s="709"/>
      <c r="BK344" s="709"/>
      <c r="BL344" s="709"/>
      <c r="BM344" s="709"/>
      <c r="BN344" s="709"/>
      <c r="BO344" s="709"/>
      <c r="BP344" s="709"/>
      <c r="BW344" s="959" t="str">
        <f t="shared" si="157"/>
        <v>►</v>
      </c>
      <c r="BX344" s="856"/>
      <c r="BY344" s="856"/>
      <c r="BZ344" s="856"/>
      <c r="CA344" s="856"/>
      <c r="CB344" s="856"/>
      <c r="DB344" s="3">
        <v>1</v>
      </c>
    </row>
    <row r="345" spans="12:106" ht="21" customHeight="1">
      <c r="L345" s="27" t="s">
        <v>11</v>
      </c>
      <c r="M345" s="32" t="str">
        <f>M342</f>
        <v>B BAUDRUCHE DE COPAIN | | Auteur &gt; Guy KRENZE - Eric GODDYN - Arnaud NICOLAS - CEPROC 2002</v>
      </c>
      <c r="N345" s="33">
        <f>N342</f>
        <v>9.0500000000000007</v>
      </c>
      <c r="O345" s="32" t="str">
        <f>O342</f>
        <v>Kg</v>
      </c>
      <c r="P345" s="34" t="str">
        <f>P342</f>
        <v>Recette mère ► le Boudin en 4 déclinaisons</v>
      </c>
      <c r="Q345" s="87" t="s">
        <v>91</v>
      </c>
      <c r="R345" s="88" t="s">
        <v>92</v>
      </c>
      <c r="S345" s="89" t="s">
        <v>93</v>
      </c>
      <c r="T345" s="5455"/>
      <c r="U345" s="5465"/>
      <c r="V345" s="5467"/>
      <c r="W345" s="90" t="s">
        <v>94</v>
      </c>
      <c r="X345" s="5445"/>
      <c r="Y345" s="5447"/>
      <c r="Z345" s="5449"/>
      <c r="AA345" s="5211"/>
      <c r="AB345" s="1178"/>
      <c r="AC345" s="1179"/>
      <c r="AD345" s="227" t="s">
        <v>22</v>
      </c>
      <c r="AE345" s="1027" t="str">
        <f t="shared" si="158"/>
        <v>►</v>
      </c>
      <c r="AF345" s="1028" t="str">
        <f t="shared" si="159"/>
        <v/>
      </c>
      <c r="AG345" s="1029" t="str">
        <f t="shared" si="160"/>
        <v/>
      </c>
      <c r="AH345" s="1028" t="str">
        <f t="shared" si="161"/>
        <v/>
      </c>
      <c r="AI345" s="1029" t="str">
        <f t="shared" si="162"/>
        <v/>
      </c>
      <c r="AJ345" s="1029">
        <f t="shared" si="163"/>
        <v>0</v>
      </c>
      <c r="AK345" s="1043" t="str" cm="1">
        <f t="array" ref="AK345">IF(AE345&lt;&gt;"A","",IFERROR((IFERROR(_xlfn.XLOOKUP(TRIM(SUBSTITUTE(U345,CHAR(160)," ")),$BI$15:$BI$62,$BL$15:$BL$62),IFERROR(_xlfn.XLOOKUP(TRIM(SUBSTITUTE(U345,CHAR(160)," ")),$BJ$15:$BJ$62,$BL$15:$BL$62),_xlfn.XLOOKUP(TRIM(SUBSTITUTE(U345,CHAR(160)," ")),$BK$15:$BK$62,$BL$15:$BL$62))))*T345*IF(ISBLANK(Q345),1,Q345)+IFERROR(_xlfn.XLOOKUP("RECHERCHEX",TRIM(L345:AC345),L345:AC345),0),0))</f>
        <v/>
      </c>
      <c r="AL345" s="1030">
        <f t="shared" si="164"/>
        <v>0</v>
      </c>
      <c r="AM345" s="5254" t="str">
        <f t="shared" si="153"/>
        <v/>
      </c>
      <c r="AN345" s="1031">
        <f t="shared" si="165"/>
        <v>0</v>
      </c>
      <c r="AO345" s="1031">
        <f t="shared" si="166"/>
        <v>0</v>
      </c>
      <c r="AP345" s="1044">
        <f t="shared" si="167"/>
        <v>0</v>
      </c>
      <c r="AQ345" s="5257" t="str">
        <f t="shared" si="168"/>
        <v/>
      </c>
      <c r="AR345" s="1056"/>
      <c r="AS345" s="1056"/>
      <c r="AT345" s="1045">
        <f t="shared" si="169"/>
        <v>0</v>
      </c>
      <c r="AU345" s="1046">
        <f t="shared" si="170"/>
        <v>0</v>
      </c>
      <c r="AV345" s="1059" cm="1">
        <f t="array" ref="AV345">IF(AJ345&lt;&gt;1,0,IF(OR(AT345="",N(AT345)&lt;=0.000000001),"",IF(OR(AN345="",N(AN345)&lt;=0.000000001),0,IF(ISNUMBER(AT345),IFERROR(_xlfn.LET(_xlpm.ai_test,TRIM(AI345),_xlpm.r,IFERROR(_xlfn.XLOOKUP(_xlpm.ai_test,$BI$15:$BI$62,ROW($BI$15:$BI$62),0,1),IFERROR(_xlfn.XLOOKUP(_xlpm.ai_test,$BJ$15:$BJ$62,ROW($BJ$15:$BJ$62),0,1),_xlfn.XLOOKUP(_xlpm.ai_test,$BK$15:$BK$62,ROW($BK$15:$BK$62),0,1))),_xlpm.p,_xlpm.r-MIN(ROW($BI$15:$BI$62))+1,_xlpm.f,INDEX($BL$15:$BL$62,_xlpm.p),_xlpm.u,INDEX($BM$15:$BM$62,_xlpm.p),_xlpm.s,INDEX($BO$15:$BO$62,_xlpm.p),_xlpm.q,N(AT345)/_xlpm.f,IF(_xlpm.q&gt;=_xlpm.s,ROUND(_xlpm.q,1)&amp;" "&amp;_xlpm.ai_test&amp;" = "&amp;ROUND(_xlpm.q*_xlpm.f,1)&amp;" "&amp;_xlpm.u,ROUND(_xlpm.q,1)&amp;" "&amp;_xlpm.ai_test)),""),""))))</f>
        <v>0</v>
      </c>
      <c r="AW345" s="1047"/>
      <c r="AX345" s="1045">
        <f t="shared" si="171"/>
        <v>0</v>
      </c>
      <c r="AY345" s="1046" t="str">
        <f t="shared" si="172"/>
        <v/>
      </c>
      <c r="AZ345" s="1048">
        <f t="shared" si="177"/>
        <v>0</v>
      </c>
      <c r="BA345" s="1049" t="str">
        <f t="shared" si="173"/>
        <v/>
      </c>
      <c r="BB345" s="1038"/>
      <c r="BC345" s="1050">
        <f t="shared" si="152"/>
        <v>0</v>
      </c>
      <c r="BD345" s="1040" t="str">
        <f t="shared" si="174"/>
        <v/>
      </c>
      <c r="BE345" s="227" t="s">
        <v>22</v>
      </c>
      <c r="BF345" s="1019">
        <f t="shared" si="175"/>
        <v>0</v>
      </c>
      <c r="BG345" s="1020">
        <f t="shared" si="176"/>
        <v>0</v>
      </c>
      <c r="BH345"/>
      <c r="BI345" s="709"/>
      <c r="BJ345" s="709"/>
      <c r="BK345" s="709"/>
      <c r="BL345" s="709"/>
      <c r="BM345" s="709"/>
      <c r="BN345" s="709"/>
      <c r="BO345" s="709"/>
      <c r="BP345" s="709"/>
      <c r="BW345" s="959" t="str">
        <f t="shared" si="157"/>
        <v>►</v>
      </c>
      <c r="BX345" s="856"/>
      <c r="BY345" s="856"/>
      <c r="BZ345" s="856"/>
      <c r="CA345" s="856"/>
      <c r="CB345" s="856"/>
      <c r="DB345" s="3">
        <v>1</v>
      </c>
    </row>
    <row r="346" spans="12:106" ht="21" customHeight="1">
      <c r="L346" s="27" t="s">
        <v>11</v>
      </c>
      <c r="M346" s="32" t="str">
        <f>M342</f>
        <v>B BAUDRUCHE DE COPAIN | | Auteur &gt; Guy KRENZE - Eric GODDYN - Arnaud NICOLAS - CEPROC 2002</v>
      </c>
      <c r="N346" s="33">
        <f>N342</f>
        <v>9.0500000000000007</v>
      </c>
      <c r="O346" s="32" t="str">
        <f>O342</f>
        <v>Kg</v>
      </c>
      <c r="P346" s="34" t="str">
        <f>P342</f>
        <v>Recette mère ► le Boudin en 4 déclinaisons</v>
      </c>
      <c r="Q346" s="92"/>
      <c r="R346" s="93"/>
      <c r="S346" s="94" t="str">
        <f t="shared" ref="S346:S365" si="178">IF(OR(ISTEXT(Q346), Q346&lt;=0, T346&lt;=0), "", "de")</f>
        <v/>
      </c>
      <c r="T346" s="95">
        <v>250</v>
      </c>
      <c r="U346" s="105" t="s">
        <v>99</v>
      </c>
      <c r="V346" s="127">
        <v>1</v>
      </c>
      <c r="W346" s="919" t="s">
        <v>13102</v>
      </c>
      <c r="X346" s="100">
        <f>IF(OR(ISBLANK(Q340),X340=0),0,Q346*V341)</f>
        <v>0</v>
      </c>
      <c r="Y346" s="101" cm="1">
        <f t="array" ref="Y346">IFERROR(_xlfn.LET(_xlpm.k,UPPER(TRIM(U346)),_xlpm.r,_xlfn.XLOOKUP(_xlpm.k,UPPER(TRIM(Q367:Z367)),Q368:Z368,_xlfn.XLOOKUP(_xlpm.k,UPPER(TRIM(Q369:Z369)),Q370:Z370)),_xlpm.r*T346*V346*V341*IF(ISBLANK(Q346),1,Q346)),0)</f>
        <v>0.27624309392265189</v>
      </c>
      <c r="Z346" s="1476" t="str">
        <f>_xlfn.LET(_xlpm.unite,SUBSTITUTE(TRIM(U346)," (s)",""),_xlpm.val,Y346,_xlpm.estVol,COUNTIF(T367:Z367,_xlpm.unite)+COUNTIF(T369:Z369,_xlpm.unite)&gt;0,_xlpm.estPoids,COUNTIF(Q367:S367,_xlpm.unite)+COUNTIF(Q369:S369,_xlpm.unite)&gt;0,IF(_xlpm.estVol,IF(ROUND(_xlpm.val,3)&gt;=1,ROUND(_xlpm.val,3)&amp;" L",MAX(1,ROUND(_xlpm.val*100,0))&amp;" cl"),IF(_xlpm.estPoids,IF(ROUND(_xlpm.val,3)&gt;=1,ROUND(_xlpm.val,3)&amp;" Kg",MAX(1,ROUND(_xlpm.val*1000,0))&amp;" g"),"")))</f>
        <v>276 g</v>
      </c>
      <c r="AA346" s="5211"/>
      <c r="AB346" s="1178"/>
      <c r="AC346" s="1179"/>
      <c r="AD346" s="227" t="s">
        <v>22</v>
      </c>
      <c r="AE346" s="1027" t="str">
        <f t="shared" si="158"/>
        <v>A</v>
      </c>
      <c r="AF346" s="1028" t="str">
        <f t="shared" si="159"/>
        <v>B BAUDRUCHE DE COPAIN | | Auteur &gt; Guy KRENZE - Eric GODDYN - Arnaud NICOLAS - CEPROC 2002</v>
      </c>
      <c r="AG346" s="1029">
        <f t="shared" si="160"/>
        <v>9.0500000000000007</v>
      </c>
      <c r="AH346" s="1028" t="str">
        <f t="shared" si="161"/>
        <v>Kg</v>
      </c>
      <c r="AI346" s="1029" t="str">
        <f t="shared" si="162"/>
        <v>g</v>
      </c>
      <c r="AJ346" s="1029">
        <f t="shared" si="163"/>
        <v>1</v>
      </c>
      <c r="AK346" s="1043" cm="1">
        <f t="array" ref="AK346">IF(AE346&lt;&gt;"A","",IFERROR((IFERROR(_xlfn.XLOOKUP(TRIM(SUBSTITUTE(U346,CHAR(160)," ")),$BI$15:$BI$62,$BL$15:$BL$62),IFERROR(_xlfn.XLOOKUP(TRIM(SUBSTITUTE(U346,CHAR(160)," ")),$BJ$15:$BJ$62,$BL$15:$BL$62),_xlfn.XLOOKUP(TRIM(SUBSTITUTE(U346,CHAR(160)," ")),$BK$15:$BK$62,$BL$15:$BL$62))))*T346*IF(ISBLANK(Q346),1,Q346)+IFERROR(_xlfn.XLOOKUP("RECHERCHEX",TRIM(L346:AC346),L346:AC346),0),0))</f>
        <v>0.25</v>
      </c>
      <c r="AL346" s="1030" t="str">
        <f t="shared" si="164"/>
        <v>Kg</v>
      </c>
      <c r="AM346" s="5254" t="str">
        <f t="shared" si="153"/>
        <v>❾ Author reference &gt;</v>
      </c>
      <c r="AN346" s="1031">
        <f t="shared" si="165"/>
        <v>9.0500000000000007</v>
      </c>
      <c r="AO346" s="1031" t="str">
        <f t="shared" si="166"/>
        <v>Kg</v>
      </c>
      <c r="AP346" s="1032">
        <f t="shared" si="167"/>
        <v>40</v>
      </c>
      <c r="AQ346" s="5255" t="str">
        <f t="shared" si="168"/>
        <v>parts-ou.or.o ❾ + or - &gt;</v>
      </c>
      <c r="AR346" s="1056">
        <v>20</v>
      </c>
      <c r="AS346" s="1056" t="s">
        <v>143</v>
      </c>
      <c r="AT346" s="1034">
        <f t="shared" si="169"/>
        <v>0.55248618784530379</v>
      </c>
      <c r="AU346" s="1035" t="str">
        <f t="shared" si="170"/>
        <v>Kg</v>
      </c>
      <c r="AV346" s="1057" t="str" cm="1">
        <f t="array" ref="AV346">IF(AJ346&lt;&gt;1,0,IF(OR(AT346="",N(AT346)&lt;=0.000000001),"",IF(OR(AN346="",N(AN346)&lt;=0.000000001),0,IF(ISNUMBER(AT346),IFERROR(_xlfn.LET(_xlpm.ai_test,TRIM(AI346),_xlpm.r,IFERROR(_xlfn.XLOOKUP(_xlpm.ai_test,$BI$15:$BI$62,ROW($BI$15:$BI$62),0,1),IFERROR(_xlfn.XLOOKUP(_xlpm.ai_test,$BJ$15:$BJ$62,ROW($BJ$15:$BJ$62),0,1),_xlfn.XLOOKUP(_xlpm.ai_test,$BK$15:$BK$62,ROW($BK$15:$BK$62),0,1))),_xlpm.p,_xlpm.r-MIN(ROW($BI$15:$BI$62))+1,_xlpm.f,INDEX($BL$15:$BL$62,_xlpm.p),_xlpm.u,INDEX($BM$15:$BM$62,_xlpm.p),_xlpm.s,INDEX($BO$15:$BO$62,_xlpm.p),_xlpm.q,N(AT346)/_xlpm.f,IF(_xlpm.q&gt;=_xlpm.s,ROUND(_xlpm.q,1)&amp;" "&amp;_xlpm.ai_test&amp;" = "&amp;ROUND(_xlpm.q*_xlpm.f,1)&amp;" "&amp;_xlpm.u,ROUND(_xlpm.q,1)&amp;" "&amp;_xlpm.ai_test)),""),""))))</f>
        <v>552.5 g</v>
      </c>
      <c r="AW346" s="1047"/>
      <c r="AX346" s="1034">
        <f t="shared" si="171"/>
        <v>0.55248618784530379</v>
      </c>
      <c r="AY346" s="1035" t="str">
        <f t="shared" si="172"/>
        <v>Kg</v>
      </c>
      <c r="AZ346" s="1036">
        <f t="shared" si="177"/>
        <v>0</v>
      </c>
      <c r="BA346" s="1037" t="str">
        <f t="shared" si="173"/>
        <v/>
      </c>
      <c r="BB346" s="1038"/>
      <c r="BC346" s="1039">
        <f t="shared" si="152"/>
        <v>0</v>
      </c>
      <c r="BD346" s="1040" t="str">
        <f t="shared" si="174"/>
        <v>langue écarlate</v>
      </c>
      <c r="BE346" s="227" t="s">
        <v>22</v>
      </c>
      <c r="BF346" s="1019">
        <f t="shared" si="175"/>
        <v>0</v>
      </c>
      <c r="BG346" s="1020">
        <f t="shared" si="176"/>
        <v>2.2099447513812152</v>
      </c>
      <c r="BH346"/>
      <c r="BI346" s="709"/>
      <c r="BJ346" s="709"/>
      <c r="BK346" s="709"/>
      <c r="BL346" s="709"/>
      <c r="BM346" s="709"/>
      <c r="BN346" s="709"/>
      <c r="BO346" s="709"/>
      <c r="BP346" s="709"/>
      <c r="BW346" s="959" t="str">
        <f t="shared" si="157"/>
        <v>A</v>
      </c>
      <c r="BX346" s="856"/>
      <c r="BY346" s="856"/>
      <c r="BZ346" s="856"/>
      <c r="CA346" s="856"/>
      <c r="CB346" s="856"/>
      <c r="DB346" s="3">
        <v>1</v>
      </c>
    </row>
    <row r="347" spans="12:106" ht="21" customHeight="1">
      <c r="L347" s="104" t="str">
        <f t="shared" ref="L347:L365" si="179">IF(W347&lt;&gt;"","A","►")</f>
        <v>A</v>
      </c>
      <c r="M347" s="32" t="str">
        <f>M342</f>
        <v>B BAUDRUCHE DE COPAIN | | Auteur &gt; Guy KRENZE - Eric GODDYN - Arnaud NICOLAS - CEPROC 2002</v>
      </c>
      <c r="N347" s="33">
        <f>N342</f>
        <v>9.0500000000000007</v>
      </c>
      <c r="O347" s="32" t="str">
        <f>O342</f>
        <v>Kg</v>
      </c>
      <c r="P347" s="34" t="str">
        <f>P342</f>
        <v>Recette mère ► le Boudin en 4 déclinaisons</v>
      </c>
      <c r="Q347" s="92"/>
      <c r="R347" s="93"/>
      <c r="S347" s="94" t="str">
        <f t="shared" si="178"/>
        <v/>
      </c>
      <c r="T347" s="95">
        <v>250</v>
      </c>
      <c r="U347" s="105" t="s">
        <v>99</v>
      </c>
      <c r="V347" s="127">
        <v>1</v>
      </c>
      <c r="W347" s="920" t="s">
        <v>13103</v>
      </c>
      <c r="X347" s="1495">
        <f>IF(OR(ISBLANK(Q340),X340=0),0,Q347*V341)</f>
        <v>0</v>
      </c>
      <c r="Y347" s="101" cm="1">
        <f t="array" ref="Y347">IFERROR(_xlfn.LET(_xlpm.k,UPPER(TRIM(U347)),_xlpm.r,_xlfn.XLOOKUP(_xlpm.k,UPPER(TRIM(Q367:Z367)),Q368:Z368,_xlfn.XLOOKUP(_xlpm.k,UPPER(TRIM(Q369:Z369)),Q370:Z370)),_xlpm.r*T347*V347*V341*IF(ISBLANK(Q347),1,Q347)),0)</f>
        <v>0.27624309392265189</v>
      </c>
      <c r="Z347" s="1475" t="str">
        <f>_xlfn.LET(_xlpm.unite,SUBSTITUTE(TRIM(U347)," (s)",""),_xlpm.val,Y347,_xlpm.estVol,COUNTIF(T367:Z367,_xlpm.unite)+COUNTIF(T369:Z369,_xlpm.unite)&gt;0,_xlpm.estPoids,COUNTIF(Q367:S367,_xlpm.unite)+COUNTIF(Q369:S369,_xlpm.unite)&gt;0,IF(_xlpm.estVol,IF(ROUND(_xlpm.val,3)&gt;=1,ROUND(_xlpm.val,3)&amp;" L",MAX(1,ROUND(_xlpm.val*100,0))&amp;" cl"),IF(_xlpm.estPoids,IF(ROUND(_xlpm.val,3)&gt;=1,ROUND(_xlpm.val,3)&amp;" Kg",MAX(1,ROUND(_xlpm.val*1000,0))&amp;" g"),"")))</f>
        <v>276 g</v>
      </c>
      <c r="AA347" s="5211"/>
      <c r="AB347" s="1178"/>
      <c r="AC347" s="1179"/>
      <c r="AD347" s="227" t="s">
        <v>22</v>
      </c>
      <c r="AE347" s="1027" t="str">
        <f t="shared" si="158"/>
        <v>A</v>
      </c>
      <c r="AF347" s="1028" t="str">
        <f t="shared" si="159"/>
        <v>B BAUDRUCHE DE COPAIN | | Auteur &gt; Guy KRENZE - Eric GODDYN - Arnaud NICOLAS - CEPROC 2002</v>
      </c>
      <c r="AG347" s="1029">
        <f t="shared" si="160"/>
        <v>9.0500000000000007</v>
      </c>
      <c r="AH347" s="1028" t="str">
        <f t="shared" si="161"/>
        <v>Kg</v>
      </c>
      <c r="AI347" s="1029" t="str">
        <f t="shared" si="162"/>
        <v>g</v>
      </c>
      <c r="AJ347" s="1029">
        <f t="shared" si="163"/>
        <v>1</v>
      </c>
      <c r="AK347" s="1043" cm="1">
        <f t="array" ref="AK347">IF(AE347&lt;&gt;"A","",IFERROR((IFERROR(_xlfn.XLOOKUP(TRIM(SUBSTITUTE(U347,CHAR(160)," ")),$BI$15:$BI$62,$BL$15:$BL$62),IFERROR(_xlfn.XLOOKUP(TRIM(SUBSTITUTE(U347,CHAR(160)," ")),$BJ$15:$BJ$62,$BL$15:$BL$62),_xlfn.XLOOKUP(TRIM(SUBSTITUTE(U347,CHAR(160)," ")),$BK$15:$BK$62,$BL$15:$BL$62))))*T347*IF(ISBLANK(Q347),1,Q347)+IFERROR(_xlfn.XLOOKUP("RECHERCHEX",TRIM(L347:AC347),L347:AC347),0),0))</f>
        <v>0.25</v>
      </c>
      <c r="AL347" s="1030" t="str">
        <f t="shared" si="164"/>
        <v>Kg</v>
      </c>
      <c r="AM347" s="5254" t="str">
        <f t="shared" si="153"/>
        <v>❾ Author reference &gt;</v>
      </c>
      <c r="AN347" s="1031">
        <f t="shared" si="165"/>
        <v>9.0500000000000007</v>
      </c>
      <c r="AO347" s="1031" t="str">
        <f t="shared" si="166"/>
        <v>Kg</v>
      </c>
      <c r="AP347" s="1044">
        <f t="shared" si="167"/>
        <v>40</v>
      </c>
      <c r="AQ347" s="5257" t="str">
        <f t="shared" si="168"/>
        <v>parts-ou.or.o ❾ + or - &gt;</v>
      </c>
      <c r="AR347" s="1056">
        <v>20</v>
      </c>
      <c r="AS347" s="1056" t="s">
        <v>143</v>
      </c>
      <c r="AT347" s="1045">
        <f t="shared" si="169"/>
        <v>0.55248618784530379</v>
      </c>
      <c r="AU347" s="1046" t="str">
        <f t="shared" si="170"/>
        <v>Kg</v>
      </c>
      <c r="AV347" s="1059" t="str" cm="1">
        <f t="array" ref="AV347">IF(AJ347&lt;&gt;1,0,IF(OR(AT347="",N(AT347)&lt;=0.000000001),"",IF(OR(AN347="",N(AN347)&lt;=0.000000001),0,IF(ISNUMBER(AT347),IFERROR(_xlfn.LET(_xlpm.ai_test,TRIM(AI347),_xlpm.r,IFERROR(_xlfn.XLOOKUP(_xlpm.ai_test,$BI$15:$BI$62,ROW($BI$15:$BI$62),0,1),IFERROR(_xlfn.XLOOKUP(_xlpm.ai_test,$BJ$15:$BJ$62,ROW($BJ$15:$BJ$62),0,1),_xlfn.XLOOKUP(_xlpm.ai_test,$BK$15:$BK$62,ROW($BK$15:$BK$62),0,1))),_xlpm.p,_xlpm.r-MIN(ROW($BI$15:$BI$62))+1,_xlpm.f,INDEX($BL$15:$BL$62,_xlpm.p),_xlpm.u,INDEX($BM$15:$BM$62,_xlpm.p),_xlpm.s,INDEX($BO$15:$BO$62,_xlpm.p),_xlpm.q,N(AT347)/_xlpm.f,IF(_xlpm.q&gt;=_xlpm.s,ROUND(_xlpm.q,1)&amp;" "&amp;_xlpm.ai_test&amp;" = "&amp;ROUND(_xlpm.q*_xlpm.f,1)&amp;" "&amp;_xlpm.u,ROUND(_xlpm.q,1)&amp;" "&amp;_xlpm.ai_test)),""),""))))</f>
        <v>552.5 g</v>
      </c>
      <c r="AW347" s="1047"/>
      <c r="AX347" s="1045">
        <f t="shared" si="171"/>
        <v>0.55248618784530379</v>
      </c>
      <c r="AY347" s="1046" t="str">
        <f t="shared" si="172"/>
        <v>Kg</v>
      </c>
      <c r="AZ347" s="1048">
        <f t="shared" si="177"/>
        <v>0</v>
      </c>
      <c r="BA347" s="1049" t="str">
        <f t="shared" si="173"/>
        <v/>
      </c>
      <c r="BB347" s="1038"/>
      <c r="BC347" s="1050">
        <f t="shared" ref="BC347:BC410" si="180">IF(OR(AN347=0,ISBLANK(BB347),ISTEXT(AZ347)),0,(IF(AT347=0,AZ347,AT347)*BB347))</f>
        <v>0</v>
      </c>
      <c r="BD347" s="1040" t="str">
        <f t="shared" si="174"/>
        <v>langue de porc</v>
      </c>
      <c r="BE347" s="227" t="s">
        <v>22</v>
      </c>
      <c r="BF347" s="1019">
        <f t="shared" si="175"/>
        <v>0</v>
      </c>
      <c r="BG347" s="1020">
        <f t="shared" si="176"/>
        <v>2.2099447513812152</v>
      </c>
      <c r="BH347"/>
      <c r="BI347" s="709"/>
      <c r="BJ347" s="709"/>
      <c r="BK347" s="709"/>
      <c r="BL347" s="709"/>
      <c r="BM347" s="709"/>
      <c r="BN347" s="709"/>
      <c r="BO347" s="709"/>
      <c r="BP347" s="709"/>
      <c r="BW347" s="959" t="str">
        <f t="shared" si="157"/>
        <v>A</v>
      </c>
      <c r="BX347" s="856"/>
      <c r="BY347" s="856"/>
      <c r="BZ347" s="856"/>
      <c r="CA347" s="856"/>
      <c r="CB347" s="856"/>
      <c r="DB347" s="3">
        <v>1</v>
      </c>
    </row>
    <row r="348" spans="12:106" ht="21" customHeight="1">
      <c r="L348" s="104" t="str">
        <f t="shared" si="179"/>
        <v>A</v>
      </c>
      <c r="M348" s="32" t="str">
        <f>M342</f>
        <v>B BAUDRUCHE DE COPAIN | | Auteur &gt; Guy KRENZE - Eric GODDYN - Arnaud NICOLAS - CEPROC 2002</v>
      </c>
      <c r="N348" s="33">
        <f>N342</f>
        <v>9.0500000000000007</v>
      </c>
      <c r="O348" s="32" t="str">
        <f>O342</f>
        <v>Kg</v>
      </c>
      <c r="P348" s="34" t="str">
        <f>P342</f>
        <v>Recette mère ► le Boudin en 4 déclinaisons</v>
      </c>
      <c r="Q348" s="92"/>
      <c r="R348" s="108"/>
      <c r="S348" s="94" t="str">
        <f t="shared" si="178"/>
        <v/>
      </c>
      <c r="T348" s="95">
        <v>1</v>
      </c>
      <c r="U348" s="140" t="s">
        <v>143</v>
      </c>
      <c r="V348" s="127">
        <v>1</v>
      </c>
      <c r="W348" s="920" t="s">
        <v>13104</v>
      </c>
      <c r="X348" s="1495">
        <f>IF(OR(ISBLANK(Q340),X340=0),0,Q348*V341)</f>
        <v>0</v>
      </c>
      <c r="Y348" s="101" cm="1">
        <f t="array" ref="Y348">IFERROR(_xlfn.LET(_xlpm.k,UPPER(TRIM(U348)),_xlpm.r,_xlfn.XLOOKUP(_xlpm.k,UPPER(TRIM(Q367:Z367)),Q368:Z368,_xlfn.XLOOKUP(_xlpm.k,UPPER(TRIM(Q369:Z369)),Q370:Z370)),_xlpm.r*T348*V348*V341*IF(ISBLANK(Q348),1,Q348)),0)</f>
        <v>1.1049723756906076</v>
      </c>
      <c r="Z348" s="1476" t="str">
        <f>_xlfn.LET(_xlpm.unite,SUBSTITUTE(TRIM(U348)," (s)",""),_xlpm.val,Y348,_xlpm.estVol,COUNTIF(T367:Z367,_xlpm.unite)+COUNTIF(T369:Z369,_xlpm.unite)&gt;0,_xlpm.estPoids,COUNTIF(Q367:S367,_xlpm.unite)+COUNTIF(Q369:S369,_xlpm.unite)&gt;0,IF(_xlpm.estVol,IF(ROUND(_xlpm.val,3)&gt;=1,ROUND(_xlpm.val,3)&amp;" L",MAX(1,ROUND(_xlpm.val*100,0))&amp;" cl"),IF(_xlpm.estPoids,IF(ROUND(_xlpm.val,3)&gt;=1,ROUND(_xlpm.val,3)&amp;" Kg",MAX(1,ROUND(_xlpm.val*1000,0))&amp;" g"),"")))</f>
        <v>1.105 Kg</v>
      </c>
      <c r="AA348" s="5211"/>
      <c r="AB348" s="1178"/>
      <c r="AC348" s="1179"/>
      <c r="AD348" s="227" t="s">
        <v>22</v>
      </c>
      <c r="AE348" s="1027" t="str">
        <f t="shared" si="158"/>
        <v>A</v>
      </c>
      <c r="AF348" s="1028" t="str">
        <f t="shared" si="159"/>
        <v>B BAUDRUCHE DE COPAIN | | Auteur &gt; Guy KRENZE - Eric GODDYN - Arnaud NICOLAS - CEPROC 2002</v>
      </c>
      <c r="AG348" s="1029">
        <f t="shared" si="160"/>
        <v>9.0500000000000007</v>
      </c>
      <c r="AH348" s="1028" t="str">
        <f t="shared" si="161"/>
        <v>Kg</v>
      </c>
      <c r="AI348" s="1029" t="str">
        <f t="shared" si="162"/>
        <v>kg</v>
      </c>
      <c r="AJ348" s="1029">
        <f t="shared" si="163"/>
        <v>1</v>
      </c>
      <c r="AK348" s="1043" cm="1">
        <f t="array" ref="AK348">IF(AE348&lt;&gt;"A","",IFERROR((IFERROR(_xlfn.XLOOKUP(TRIM(SUBSTITUTE(U348,CHAR(160)," ")),$BI$15:$BI$62,$BL$15:$BL$62),IFERROR(_xlfn.XLOOKUP(TRIM(SUBSTITUTE(U348,CHAR(160)," ")),$BJ$15:$BJ$62,$BL$15:$BL$62),_xlfn.XLOOKUP(TRIM(SUBSTITUTE(U348,CHAR(160)," ")),$BK$15:$BK$62,$BL$15:$BL$62))))*T348*IF(ISBLANK(Q348),1,Q348)+IFERROR(_xlfn.XLOOKUP("RECHERCHEX",TRIM(L348:AC348),L348:AC348),0),0))</f>
        <v>1</v>
      </c>
      <c r="AL348" s="1030" t="str">
        <f t="shared" si="164"/>
        <v>Kg</v>
      </c>
      <c r="AM348" s="5254" t="str">
        <f t="shared" si="153"/>
        <v>❾ Author reference &gt;</v>
      </c>
      <c r="AN348" s="1031">
        <f t="shared" si="165"/>
        <v>9.0500000000000007</v>
      </c>
      <c r="AO348" s="1031" t="str">
        <f t="shared" si="166"/>
        <v>Kg</v>
      </c>
      <c r="AP348" s="1032">
        <f t="shared" si="167"/>
        <v>40</v>
      </c>
      <c r="AQ348" s="5255" t="str">
        <f t="shared" si="168"/>
        <v>parts-ou.or.o ❾ + or - &gt;</v>
      </c>
      <c r="AR348" s="1056">
        <v>20</v>
      </c>
      <c r="AS348" s="1056" t="s">
        <v>143</v>
      </c>
      <c r="AT348" s="1034">
        <f t="shared" si="169"/>
        <v>2.2099447513812152</v>
      </c>
      <c r="AU348" s="1035" t="str">
        <f t="shared" si="170"/>
        <v>Kg</v>
      </c>
      <c r="AV348" s="1057" t="str" cm="1">
        <f t="array" ref="AV348">IF(AJ348&lt;&gt;1,0,IF(OR(AT348="",N(AT348)&lt;=0.000000001),"",IF(OR(AN348="",N(AN348)&lt;=0.000000001),0,IF(ISNUMBER(AT348),IFERROR(_xlfn.LET(_xlpm.ai_test,TRIM(AI348),_xlpm.r,IFERROR(_xlfn.XLOOKUP(_xlpm.ai_test,$BI$15:$BI$62,ROW($BI$15:$BI$62),0,1),IFERROR(_xlfn.XLOOKUP(_xlpm.ai_test,$BJ$15:$BJ$62,ROW($BJ$15:$BJ$62),0,1),_xlfn.XLOOKUP(_xlpm.ai_test,$BK$15:$BK$62,ROW($BK$15:$BK$62),0,1))),_xlpm.p,_xlpm.r-MIN(ROW($BI$15:$BI$62))+1,_xlpm.f,INDEX($BL$15:$BL$62,_xlpm.p),_xlpm.u,INDEX($BM$15:$BM$62,_xlpm.p),_xlpm.s,INDEX($BO$15:$BO$62,_xlpm.p),_xlpm.q,N(AT348)/_xlpm.f,IF(_xlpm.q&gt;=_xlpm.s,ROUND(_xlpm.q,1)&amp;" "&amp;_xlpm.ai_test&amp;" = "&amp;ROUND(_xlpm.q*_xlpm.f,1)&amp;" "&amp;_xlpm.u,ROUND(_xlpm.q,1)&amp;" "&amp;_xlpm.ai_test)),""),""))))</f>
        <v>2.2 kg = 2.2 Kg</v>
      </c>
      <c r="AW348" s="1047"/>
      <c r="AX348" s="1034">
        <f t="shared" si="171"/>
        <v>2.2099447513812152</v>
      </c>
      <c r="AY348" s="1035" t="str">
        <f t="shared" si="172"/>
        <v>Kg</v>
      </c>
      <c r="AZ348" s="1036">
        <f t="shared" si="177"/>
        <v>0</v>
      </c>
      <c r="BA348" s="1037" t="str">
        <f t="shared" si="173"/>
        <v/>
      </c>
      <c r="BB348" s="1038"/>
      <c r="BC348" s="1039">
        <f t="shared" si="180"/>
        <v>0</v>
      </c>
      <c r="BD348" s="1040" t="str">
        <f t="shared" si="174"/>
        <v>gras de jambon cuit</v>
      </c>
      <c r="BE348" s="227" t="s">
        <v>22</v>
      </c>
      <c r="BF348" s="1019">
        <f t="shared" si="175"/>
        <v>0</v>
      </c>
      <c r="BG348" s="1020">
        <f t="shared" si="176"/>
        <v>2.2099447513812152</v>
      </c>
      <c r="BH348"/>
      <c r="BI348" s="709"/>
      <c r="BJ348" s="709"/>
      <c r="BK348" s="709"/>
      <c r="BL348" s="709"/>
      <c r="BM348" s="709"/>
      <c r="BN348" s="709"/>
      <c r="BO348" s="709"/>
      <c r="BP348" s="709"/>
      <c r="BW348" s="959" t="str">
        <f t="shared" si="157"/>
        <v>A</v>
      </c>
      <c r="BX348" s="856"/>
      <c r="BY348" s="856"/>
      <c r="BZ348" s="856"/>
      <c r="CA348" s="856"/>
      <c r="CB348" s="856"/>
      <c r="DB348" s="3">
        <v>1</v>
      </c>
    </row>
    <row r="349" spans="12:106" ht="21" customHeight="1">
      <c r="L349" s="104" t="str">
        <f t="shared" si="179"/>
        <v>A</v>
      </c>
      <c r="M349" s="32" t="str">
        <f>M342</f>
        <v>B BAUDRUCHE DE COPAIN | | Auteur &gt; Guy KRENZE - Eric GODDYN - Arnaud NICOLAS - CEPROC 2002</v>
      </c>
      <c r="N349" s="33">
        <f>N342</f>
        <v>9.0500000000000007</v>
      </c>
      <c r="O349" s="32" t="str">
        <f>O342</f>
        <v>Kg</v>
      </c>
      <c r="P349" s="34" t="str">
        <f>P342</f>
        <v>Recette mère ► le Boudin en 4 déclinaisons</v>
      </c>
      <c r="Q349" s="92"/>
      <c r="R349" s="108"/>
      <c r="S349" s="94" t="str">
        <f t="shared" si="178"/>
        <v/>
      </c>
      <c r="T349" s="95">
        <v>2</v>
      </c>
      <c r="U349" s="140" t="s">
        <v>143</v>
      </c>
      <c r="V349" s="127">
        <v>1</v>
      </c>
      <c r="W349" s="920" t="s">
        <v>13080</v>
      </c>
      <c r="X349" s="1495">
        <f>IF(OR(ISBLANK(Q340),X340=0),0,Q349*V341)</f>
        <v>0</v>
      </c>
      <c r="Y349" s="101" cm="1">
        <f t="array" ref="Y349">IFERROR(_xlfn.LET(_xlpm.k,UPPER(TRIM(U349)),_xlpm.r,_xlfn.XLOOKUP(_xlpm.k,UPPER(TRIM(Q367:Z367)),Q368:Z368,_xlfn.XLOOKUP(_xlpm.k,UPPER(TRIM(Q369:Z369)),Q370:Z370)),_xlpm.r*T349*V349*V341*IF(ISBLANK(Q349),1,Q349)),0)</f>
        <v>2.2099447513812152</v>
      </c>
      <c r="Z349" s="1475" t="str">
        <f>_xlfn.LET(_xlpm.unite,SUBSTITUTE(TRIM(U349)," (s)",""),_xlpm.val,Y349,_xlpm.estVol,COUNTIF(T367:Z367,_xlpm.unite)+COUNTIF(T369:Z369,_xlpm.unite)&gt;0,_xlpm.estPoids,COUNTIF(Q367:S367,_xlpm.unite)+COUNTIF(Q369:S369,_xlpm.unite)&gt;0,IF(_xlpm.estVol,IF(ROUND(_xlpm.val,3)&gt;=1,ROUND(_xlpm.val,3)&amp;" L",MAX(1,ROUND(_xlpm.val*100,0))&amp;" cl"),IF(_xlpm.estPoids,IF(ROUND(_xlpm.val,3)&gt;=1,ROUND(_xlpm.val,3)&amp;" Kg",MAX(1,ROUND(_xlpm.val*1000,0))&amp;" g"),"")))</f>
        <v>2.21 Kg</v>
      </c>
      <c r="AA349" s="5211"/>
      <c r="AB349" s="1178"/>
      <c r="AC349" s="1179"/>
      <c r="AD349" s="227" t="s">
        <v>22</v>
      </c>
      <c r="AE349" s="1027" t="str">
        <f t="shared" si="158"/>
        <v>A</v>
      </c>
      <c r="AF349" s="1028" t="str">
        <f t="shared" si="159"/>
        <v>B BAUDRUCHE DE COPAIN | | Auteur &gt; Guy KRENZE - Eric GODDYN - Arnaud NICOLAS - CEPROC 2002</v>
      </c>
      <c r="AG349" s="1029">
        <f t="shared" si="160"/>
        <v>9.0500000000000007</v>
      </c>
      <c r="AH349" s="1028" t="str">
        <f t="shared" si="161"/>
        <v>Kg</v>
      </c>
      <c r="AI349" s="1029" t="str">
        <f t="shared" si="162"/>
        <v>kg</v>
      </c>
      <c r="AJ349" s="1029">
        <f t="shared" si="163"/>
        <v>1</v>
      </c>
      <c r="AK349" s="1043" cm="1">
        <f t="array" ref="AK349">IF(AE349&lt;&gt;"A","",IFERROR((IFERROR(_xlfn.XLOOKUP(TRIM(SUBSTITUTE(U349,CHAR(160)," ")),$BI$15:$BI$62,$BL$15:$BL$62),IFERROR(_xlfn.XLOOKUP(TRIM(SUBSTITUTE(U349,CHAR(160)," ")),$BJ$15:$BJ$62,$BL$15:$BL$62),_xlfn.XLOOKUP(TRIM(SUBSTITUTE(U349,CHAR(160)," ")),$BK$15:$BK$62,$BL$15:$BL$62))))*T349*IF(ISBLANK(Q349),1,Q349)+IFERROR(_xlfn.XLOOKUP("RECHERCHEX",TRIM(L349:AC349),L349:AC349),0),0))</f>
        <v>2</v>
      </c>
      <c r="AL349" s="1030" t="str">
        <f t="shared" si="164"/>
        <v>Kg</v>
      </c>
      <c r="AM349" s="5254" t="str">
        <f t="shared" si="153"/>
        <v>❾ Author reference &gt;</v>
      </c>
      <c r="AN349" s="1031">
        <f t="shared" si="165"/>
        <v>9.0500000000000007</v>
      </c>
      <c r="AO349" s="1031" t="str">
        <f t="shared" si="166"/>
        <v>Kg</v>
      </c>
      <c r="AP349" s="1044">
        <f t="shared" si="167"/>
        <v>40</v>
      </c>
      <c r="AQ349" s="5257" t="str">
        <f t="shared" si="168"/>
        <v>parts-ou.or.o ❾ + or - &gt;</v>
      </c>
      <c r="AR349" s="1056">
        <v>20</v>
      </c>
      <c r="AS349" s="1056" t="s">
        <v>143</v>
      </c>
      <c r="AT349" s="1045">
        <f t="shared" si="169"/>
        <v>4.4198895027624303</v>
      </c>
      <c r="AU349" s="1046" t="str">
        <f t="shared" si="170"/>
        <v>Kg</v>
      </c>
      <c r="AV349" s="1059" t="str" cm="1">
        <f t="array" ref="AV349">IF(AJ349&lt;&gt;1,0,IF(OR(AT349="",N(AT349)&lt;=0.000000001),"",IF(OR(AN349="",N(AN349)&lt;=0.000000001),0,IF(ISNUMBER(AT349),IFERROR(_xlfn.LET(_xlpm.ai_test,TRIM(AI349),_xlpm.r,IFERROR(_xlfn.XLOOKUP(_xlpm.ai_test,$BI$15:$BI$62,ROW($BI$15:$BI$62),0,1),IFERROR(_xlfn.XLOOKUP(_xlpm.ai_test,$BJ$15:$BJ$62,ROW($BJ$15:$BJ$62),0,1),_xlfn.XLOOKUP(_xlpm.ai_test,$BK$15:$BK$62,ROW($BK$15:$BK$62),0,1))),_xlpm.p,_xlpm.r-MIN(ROW($BI$15:$BI$62))+1,_xlpm.f,INDEX($BL$15:$BL$62,_xlpm.p),_xlpm.u,INDEX($BM$15:$BM$62,_xlpm.p),_xlpm.s,INDEX($BO$15:$BO$62,_xlpm.p),_xlpm.q,N(AT349)/_xlpm.f,IF(_xlpm.q&gt;=_xlpm.s,ROUND(_xlpm.q,1)&amp;" "&amp;_xlpm.ai_test&amp;" = "&amp;ROUND(_xlpm.q*_xlpm.f,1)&amp;" "&amp;_xlpm.u,ROUND(_xlpm.q,1)&amp;" "&amp;_xlpm.ai_test)),""),""))))</f>
        <v>4.4 kg = 4.4 Kg</v>
      </c>
      <c r="AW349" s="1047"/>
      <c r="AX349" s="1045">
        <f t="shared" si="171"/>
        <v>4.4198895027624303</v>
      </c>
      <c r="AY349" s="1046" t="str">
        <f t="shared" si="172"/>
        <v>Kg</v>
      </c>
      <c r="AZ349" s="1048">
        <f t="shared" si="177"/>
        <v>0</v>
      </c>
      <c r="BA349" s="1049" t="str">
        <f t="shared" si="173"/>
        <v/>
      </c>
      <c r="BB349" s="1038"/>
      <c r="BC349" s="1050">
        <f t="shared" si="180"/>
        <v>0</v>
      </c>
      <c r="BD349" s="1040" t="str">
        <f t="shared" si="174"/>
        <v xml:space="preserve">oignons crus </v>
      </c>
      <c r="BE349" s="227" t="s">
        <v>22</v>
      </c>
      <c r="BF349" s="1019">
        <f t="shared" si="175"/>
        <v>0</v>
      </c>
      <c r="BG349" s="1020">
        <f t="shared" si="176"/>
        <v>2.2099447513812152</v>
      </c>
      <c r="BH349"/>
      <c r="BI349" s="709"/>
      <c r="BJ349" s="709"/>
      <c r="BK349" s="709"/>
      <c r="BL349" s="709"/>
      <c r="BM349" s="709"/>
      <c r="BN349" s="709"/>
      <c r="BO349" s="709"/>
      <c r="BP349" s="709"/>
      <c r="BW349" s="959" t="str">
        <f t="shared" si="157"/>
        <v>A</v>
      </c>
      <c r="BX349" s="856"/>
      <c r="BY349" s="856"/>
      <c r="BZ349" s="856"/>
      <c r="CA349" s="856"/>
      <c r="CB349" s="856"/>
      <c r="DB349" s="3">
        <v>1</v>
      </c>
    </row>
    <row r="350" spans="12:106" ht="21" customHeight="1">
      <c r="L350" s="104" t="str">
        <f t="shared" si="179"/>
        <v>A</v>
      </c>
      <c r="M350" s="32" t="str">
        <f>M342</f>
        <v>B BAUDRUCHE DE COPAIN | | Auteur &gt; Guy KRENZE - Eric GODDYN - Arnaud NICOLAS - CEPROC 2002</v>
      </c>
      <c r="N350" s="33">
        <f>N342</f>
        <v>9.0500000000000007</v>
      </c>
      <c r="O350" s="32" t="str">
        <f>O342</f>
        <v>Kg</v>
      </c>
      <c r="P350" s="34" t="str">
        <f>P342</f>
        <v>Recette mère ► le Boudin en 4 déclinaisons</v>
      </c>
      <c r="Q350" s="92"/>
      <c r="R350" s="108"/>
      <c r="S350" s="94" t="str">
        <f t="shared" si="178"/>
        <v/>
      </c>
      <c r="T350" s="5110">
        <v>1.5</v>
      </c>
      <c r="U350" s="96" t="s">
        <v>0</v>
      </c>
      <c r="V350" s="127">
        <v>1</v>
      </c>
      <c r="W350" s="920" t="s">
        <v>12826</v>
      </c>
      <c r="X350" s="1495">
        <f>IF(OR(ISBLANK(Q340),X340=0),0,Q350*V341)</f>
        <v>0</v>
      </c>
      <c r="Y350" s="101" cm="1">
        <f t="array" ref="Y350">IFERROR(_xlfn.LET(_xlpm.k,UPPER(TRIM(U350)),_xlpm.r,_xlfn.XLOOKUP(_xlpm.k,UPPER(TRIM(Q367:Z367)),Q368:Z368,_xlfn.XLOOKUP(_xlpm.k,UPPER(TRIM(Q369:Z369)),Q370:Z370)),_xlpm.r*T350*V350*V341*IF(ISBLANK(Q350),1,Q350)),0)</f>
        <v>1.6574585635359114</v>
      </c>
      <c r="Z350" s="1476" t="str">
        <f>_xlfn.LET(_xlpm.unite,SUBSTITUTE(TRIM(U350)," (s)",""),_xlpm.val,Y350,_xlpm.estVol,COUNTIF(T367:Z367,_xlpm.unite)+COUNTIF(T369:Z369,_xlpm.unite)&gt;0,_xlpm.estPoids,COUNTIF(Q367:S367,_xlpm.unite)+COUNTIF(Q369:S369,_xlpm.unite)&gt;0,IF(_xlpm.estVol,IF(ROUND(_xlpm.val,3)&gt;=1,ROUND(_xlpm.val,3)&amp;" L",MAX(1,ROUND(_xlpm.val*100,0))&amp;" cl"),IF(_xlpm.estPoids,IF(ROUND(_xlpm.val,3)&gt;=1,ROUND(_xlpm.val,3)&amp;" Kg",MAX(1,ROUND(_xlpm.val*1000,0))&amp;" g"),"")))</f>
        <v>1.657 L</v>
      </c>
      <c r="AA350" s="5211"/>
      <c r="AB350" s="1178"/>
      <c r="AC350" s="1179"/>
      <c r="AD350" s="227" t="s">
        <v>22</v>
      </c>
      <c r="AE350" s="1027" t="str">
        <f t="shared" si="158"/>
        <v>A</v>
      </c>
      <c r="AF350" s="1028" t="str">
        <f t="shared" si="159"/>
        <v>B BAUDRUCHE DE COPAIN | | Auteur &gt; Guy KRENZE - Eric GODDYN - Arnaud NICOLAS - CEPROC 2002</v>
      </c>
      <c r="AG350" s="1029">
        <f t="shared" si="160"/>
        <v>9.0500000000000007</v>
      </c>
      <c r="AH350" s="1028" t="str">
        <f t="shared" si="161"/>
        <v>Kg</v>
      </c>
      <c r="AI350" s="1029" t="str">
        <f t="shared" si="162"/>
        <v>L</v>
      </c>
      <c r="AJ350" s="1029">
        <f t="shared" si="163"/>
        <v>1</v>
      </c>
      <c r="AK350" s="1043" cm="1">
        <f t="array" ref="AK350">IF(AE350&lt;&gt;"A","",IFERROR((IFERROR(_xlfn.XLOOKUP(TRIM(SUBSTITUTE(U350,CHAR(160)," ")),$BI$15:$BI$62,$BL$15:$BL$62),IFERROR(_xlfn.XLOOKUP(TRIM(SUBSTITUTE(U350,CHAR(160)," ")),$BJ$15:$BJ$62,$BL$15:$BL$62),_xlfn.XLOOKUP(TRIM(SUBSTITUTE(U350,CHAR(160)," ")),$BK$15:$BK$62,$BL$15:$BL$62))))*T350*IF(ISBLANK(Q350),1,Q350)+IFERROR(_xlfn.XLOOKUP("RECHERCHEX",TRIM(L350:AC350),L350:AC350),0),0))</f>
        <v>1.5</v>
      </c>
      <c r="AL350" s="1030" t="str">
        <f t="shared" si="164"/>
        <v>Kg</v>
      </c>
      <c r="AM350" s="5254" t="str">
        <f t="shared" ref="AM350:AM413" si="181">IF(AE350="A","❾ Author reference &gt;","")</f>
        <v>❾ Author reference &gt;</v>
      </c>
      <c r="AN350" s="1031">
        <f t="shared" si="165"/>
        <v>9.0500000000000007</v>
      </c>
      <c r="AO350" s="1031" t="str">
        <f t="shared" si="166"/>
        <v>Kg</v>
      </c>
      <c r="AP350" s="1032">
        <f t="shared" si="167"/>
        <v>40</v>
      </c>
      <c r="AQ350" s="5255" t="str">
        <f t="shared" si="168"/>
        <v>parts-ou.or.o ❾ + or - &gt;</v>
      </c>
      <c r="AR350" s="1056">
        <v>20</v>
      </c>
      <c r="AS350" s="1056" t="s">
        <v>143</v>
      </c>
      <c r="AT350" s="1034">
        <f t="shared" si="169"/>
        <v>3.3149171270718227</v>
      </c>
      <c r="AU350" s="1035" t="str">
        <f t="shared" si="170"/>
        <v>L ou kg</v>
      </c>
      <c r="AV350" s="1057" t="str" cm="1">
        <f t="array" ref="AV350">IF(AJ350&lt;&gt;1,0,IF(OR(AT350="",N(AT350)&lt;=0.000000001),"",IF(OR(AN350="",N(AN350)&lt;=0.000000001),0,IF(ISNUMBER(AT350),IFERROR(_xlfn.LET(_xlpm.ai_test,TRIM(AI350),_xlpm.r,IFERROR(_xlfn.XLOOKUP(_xlpm.ai_test,$BI$15:$BI$62,ROW($BI$15:$BI$62),0,1),IFERROR(_xlfn.XLOOKUP(_xlpm.ai_test,$BJ$15:$BJ$62,ROW($BJ$15:$BJ$62),0,1),_xlfn.XLOOKUP(_xlpm.ai_test,$BK$15:$BK$62,ROW($BK$15:$BK$62),0,1))),_xlpm.p,_xlpm.r-MIN(ROW($BI$15:$BI$62))+1,_xlpm.f,INDEX($BL$15:$BL$62,_xlpm.p),_xlpm.u,INDEX($BM$15:$BM$62,_xlpm.p),_xlpm.s,INDEX($BO$15:$BO$62,_xlpm.p),_xlpm.q,N(AT350)/_xlpm.f,IF(_xlpm.q&gt;=_xlpm.s,ROUND(_xlpm.q,1)&amp;" "&amp;_xlpm.ai_test&amp;" = "&amp;ROUND(_xlpm.q*_xlpm.f,1)&amp;" "&amp;_xlpm.u,ROUND(_xlpm.q,1)&amp;" "&amp;_xlpm.ai_test)),""),""))))</f>
        <v>3.3 L = 3.3 L ou kg</v>
      </c>
      <c r="AW350" s="1047"/>
      <c r="AX350" s="1034">
        <f t="shared" si="171"/>
        <v>3.3149171270718227</v>
      </c>
      <c r="AY350" s="1035" t="str">
        <f t="shared" si="172"/>
        <v>L ou kg</v>
      </c>
      <c r="AZ350" s="1036">
        <f t="shared" si="177"/>
        <v>0</v>
      </c>
      <c r="BA350" s="1037" t="str">
        <f t="shared" si="173"/>
        <v/>
      </c>
      <c r="BB350" s="1038"/>
      <c r="BC350" s="1039">
        <f t="shared" si="180"/>
        <v>0</v>
      </c>
      <c r="BD350" s="1040" t="str">
        <f t="shared" si="174"/>
        <v>sang</v>
      </c>
      <c r="BE350" s="227" t="s">
        <v>22</v>
      </c>
      <c r="BF350" s="1019">
        <f t="shared" si="175"/>
        <v>0</v>
      </c>
      <c r="BG350" s="1020">
        <f t="shared" si="176"/>
        <v>2.2099447513812152</v>
      </c>
      <c r="BH350"/>
      <c r="BI350" s="709"/>
      <c r="BJ350" s="709"/>
      <c r="BK350" s="709"/>
      <c r="BL350" s="709"/>
      <c r="BM350" s="709"/>
      <c r="BN350" s="709"/>
      <c r="BO350" s="709"/>
      <c r="BP350" s="709"/>
      <c r="BW350" s="959" t="str">
        <f t="shared" si="157"/>
        <v>A</v>
      </c>
      <c r="BX350" s="856"/>
      <c r="BY350" s="856"/>
      <c r="BZ350" s="856"/>
      <c r="CA350" s="856"/>
      <c r="CB350" s="856"/>
      <c r="DB350" s="3">
        <v>1</v>
      </c>
    </row>
    <row r="351" spans="12:106" ht="21" customHeight="1">
      <c r="L351" s="104" t="str">
        <f t="shared" si="179"/>
        <v>A</v>
      </c>
      <c r="M351" s="32" t="str">
        <f>M342</f>
        <v>B BAUDRUCHE DE COPAIN | | Auteur &gt; Guy KRENZE - Eric GODDYN - Arnaud NICOLAS - CEPROC 2002</v>
      </c>
      <c r="N351" s="33">
        <f>N342</f>
        <v>9.0500000000000007</v>
      </c>
      <c r="O351" s="32" t="str">
        <f>O342</f>
        <v>Kg</v>
      </c>
      <c r="P351" s="34" t="str">
        <f>P342</f>
        <v>Recette mère ► le Boudin en 4 déclinaisons</v>
      </c>
      <c r="Q351" s="92"/>
      <c r="R351" s="108"/>
      <c r="S351" s="94" t="str">
        <f t="shared" si="178"/>
        <v/>
      </c>
      <c r="T351" s="95">
        <v>650</v>
      </c>
      <c r="U351" s="105" t="s">
        <v>99</v>
      </c>
      <c r="V351" s="127">
        <v>1</v>
      </c>
      <c r="W351" s="920" t="s">
        <v>13105</v>
      </c>
      <c r="X351" s="1495">
        <f>IF(OR(ISBLANK(Q340),X340=0),0,Q351*V341)</f>
        <v>0</v>
      </c>
      <c r="Y351" s="101" cm="1">
        <f t="array" ref="Y351">IFERROR(_xlfn.LET(_xlpm.k,UPPER(TRIM(U351)),_xlpm.r,_xlfn.XLOOKUP(_xlpm.k,UPPER(TRIM(Q367:Z367)),Q368:Z368,_xlfn.XLOOKUP(_xlpm.k,UPPER(TRIM(Q369:Z369)),Q370:Z370)),_xlpm.r*T351*V351*V341*IF(ISBLANK(Q351),1,Q351)),0)</f>
        <v>0.71823204419889497</v>
      </c>
      <c r="Z351" s="1475" t="str">
        <f>_xlfn.LET(_xlpm.unite,SUBSTITUTE(TRIM(U351)," (s)",""),_xlpm.val,Y351,_xlpm.estVol,COUNTIF(T367:Z367,_xlpm.unite)+COUNTIF(T369:Z369,_xlpm.unite)&gt;0,_xlpm.estPoids,COUNTIF(Q367:S367,_xlpm.unite)+COUNTIF(Q369:S369,_xlpm.unite)&gt;0,IF(_xlpm.estVol,IF(ROUND(_xlpm.val,3)&gt;=1,ROUND(_xlpm.val,3)&amp;" L",MAX(1,ROUND(_xlpm.val*100,0))&amp;" cl"),IF(_xlpm.estPoids,IF(ROUND(_xlpm.val,3)&gt;=1,ROUND(_xlpm.val,3)&amp;" Kg",MAX(1,ROUND(_xlpm.val*1000,0))&amp;" g"),"")))</f>
        <v>718 g</v>
      </c>
      <c r="AA351" s="5211"/>
      <c r="AB351" s="1178"/>
      <c r="AC351" s="1179"/>
      <c r="AD351" s="227" t="s">
        <v>22</v>
      </c>
      <c r="AE351" s="1027" t="str">
        <f t="shared" si="158"/>
        <v>A</v>
      </c>
      <c r="AF351" s="1028" t="str">
        <f t="shared" si="159"/>
        <v>B BAUDRUCHE DE COPAIN | | Auteur &gt; Guy KRENZE - Eric GODDYN - Arnaud NICOLAS - CEPROC 2002</v>
      </c>
      <c r="AG351" s="1029">
        <f t="shared" si="160"/>
        <v>9.0500000000000007</v>
      </c>
      <c r="AH351" s="1028" t="str">
        <f t="shared" si="161"/>
        <v>Kg</v>
      </c>
      <c r="AI351" s="1029" t="str">
        <f t="shared" si="162"/>
        <v>g</v>
      </c>
      <c r="AJ351" s="1029">
        <f t="shared" si="163"/>
        <v>1</v>
      </c>
      <c r="AK351" s="1043" cm="1">
        <f t="array" ref="AK351">IF(AE351&lt;&gt;"A","",IFERROR((IFERROR(_xlfn.XLOOKUP(TRIM(SUBSTITUTE(U351,CHAR(160)," ")),$BI$15:$BI$62,$BL$15:$BL$62),IFERROR(_xlfn.XLOOKUP(TRIM(SUBSTITUTE(U351,CHAR(160)," ")),$BJ$15:$BJ$62,$BL$15:$BL$62),_xlfn.XLOOKUP(TRIM(SUBSTITUTE(U351,CHAR(160)," ")),$BK$15:$BK$62,$BL$15:$BL$62))))*T351*IF(ISBLANK(Q351),1,Q351)+IFERROR(_xlfn.XLOOKUP("RECHERCHEX",TRIM(L351:AC351),L351:AC351),0),0))</f>
        <v>0.65</v>
      </c>
      <c r="AL351" s="1030" t="str">
        <f t="shared" si="164"/>
        <v>Kg</v>
      </c>
      <c r="AM351" s="5254" t="str">
        <f t="shared" si="181"/>
        <v>❾ Author reference &gt;</v>
      </c>
      <c r="AN351" s="1031">
        <f t="shared" si="165"/>
        <v>9.0500000000000007</v>
      </c>
      <c r="AO351" s="1031" t="str">
        <f t="shared" si="166"/>
        <v>Kg</v>
      </c>
      <c r="AP351" s="1044">
        <f t="shared" si="167"/>
        <v>40</v>
      </c>
      <c r="AQ351" s="5257" t="str">
        <f t="shared" si="168"/>
        <v>parts-ou.or.o ❾ + or - &gt;</v>
      </c>
      <c r="AR351" s="1056">
        <v>20</v>
      </c>
      <c r="AS351" s="1056" t="s">
        <v>143</v>
      </c>
      <c r="AT351" s="1045">
        <f t="shared" si="169"/>
        <v>1.4364640883977899</v>
      </c>
      <c r="AU351" s="1046" t="str">
        <f t="shared" si="170"/>
        <v>Kg</v>
      </c>
      <c r="AV351" s="1059" t="str" cm="1">
        <f t="array" ref="AV351">IF(AJ351&lt;&gt;1,0,IF(OR(AT351="",N(AT351)&lt;=0.000000001),"",IF(OR(AN351="",N(AN351)&lt;=0.000000001),0,IF(ISNUMBER(AT351),IFERROR(_xlfn.LET(_xlpm.ai_test,TRIM(AI351),_xlpm.r,IFERROR(_xlfn.XLOOKUP(_xlpm.ai_test,$BI$15:$BI$62,ROW($BI$15:$BI$62),0,1),IFERROR(_xlfn.XLOOKUP(_xlpm.ai_test,$BJ$15:$BJ$62,ROW($BJ$15:$BJ$62),0,1),_xlfn.XLOOKUP(_xlpm.ai_test,$BK$15:$BK$62,ROW($BK$15:$BK$62),0,1))),_xlpm.p,_xlpm.r-MIN(ROW($BI$15:$BI$62))+1,_xlpm.f,INDEX($BL$15:$BL$62,_xlpm.p),_xlpm.u,INDEX($BM$15:$BM$62,_xlpm.p),_xlpm.s,INDEX($BO$15:$BO$62,_xlpm.p),_xlpm.q,N(AT351)/_xlpm.f,IF(_xlpm.q&gt;=_xlpm.s,ROUND(_xlpm.q,1)&amp;" "&amp;_xlpm.ai_test&amp;" = "&amp;ROUND(_xlpm.q*_xlpm.f,1)&amp;" "&amp;_xlpm.u,ROUND(_xlpm.q,1)&amp;" "&amp;_xlpm.ai_test)),""),""))))</f>
        <v>1436.5 g = 1.4 Kg</v>
      </c>
      <c r="AW351" s="1047"/>
      <c r="AX351" s="1045">
        <f t="shared" si="171"/>
        <v>1.4364640883977899</v>
      </c>
      <c r="AY351" s="1046" t="str">
        <f t="shared" si="172"/>
        <v>Kg</v>
      </c>
      <c r="AZ351" s="1048">
        <f t="shared" si="177"/>
        <v>0</v>
      </c>
      <c r="BA351" s="1049" t="str">
        <f t="shared" si="173"/>
        <v/>
      </c>
      <c r="BB351" s="1038"/>
      <c r="BC351" s="1050">
        <f t="shared" si="180"/>
        <v>0</v>
      </c>
      <c r="BD351" s="1040" t="str">
        <f t="shared" si="174"/>
        <v>gras dur</v>
      </c>
      <c r="BE351" s="227" t="s">
        <v>22</v>
      </c>
      <c r="BF351" s="1019">
        <f t="shared" si="175"/>
        <v>0</v>
      </c>
      <c r="BG351" s="1020">
        <f t="shared" si="176"/>
        <v>2.2099447513812152</v>
      </c>
      <c r="BH351"/>
      <c r="BI351" s="709"/>
      <c r="BJ351" s="709"/>
      <c r="BK351" s="709"/>
      <c r="BL351" s="709"/>
      <c r="BM351" s="709"/>
      <c r="BN351" s="709"/>
      <c r="BO351" s="709"/>
      <c r="BP351" s="709"/>
      <c r="BW351" s="959" t="str">
        <f t="shared" si="157"/>
        <v>A</v>
      </c>
      <c r="BX351" s="856"/>
      <c r="BY351" s="856"/>
      <c r="BZ351" s="856"/>
      <c r="CA351" s="856"/>
      <c r="CB351" s="856"/>
      <c r="DB351" s="3">
        <v>1</v>
      </c>
    </row>
    <row r="352" spans="12:106" ht="21" customHeight="1">
      <c r="L352" s="104" t="str">
        <f t="shared" si="179"/>
        <v>A</v>
      </c>
      <c r="M352" s="32" t="str">
        <f>M342</f>
        <v>B BAUDRUCHE DE COPAIN | | Auteur &gt; Guy KRENZE - Eric GODDYN - Arnaud NICOLAS - CEPROC 2002</v>
      </c>
      <c r="N352" s="33">
        <f>N342</f>
        <v>9.0500000000000007</v>
      </c>
      <c r="O352" s="32" t="str">
        <f>O342</f>
        <v>Kg</v>
      </c>
      <c r="P352" s="34" t="str">
        <f>P342</f>
        <v>Recette mère ► le Boudin en 4 déclinaisons</v>
      </c>
      <c r="Q352" s="92"/>
      <c r="R352" s="108"/>
      <c r="S352" s="94" t="str">
        <f t="shared" si="178"/>
        <v/>
      </c>
      <c r="T352" s="95">
        <v>3</v>
      </c>
      <c r="U352" s="140" t="s">
        <v>143</v>
      </c>
      <c r="V352" s="127">
        <v>1</v>
      </c>
      <c r="W352" s="920" t="s">
        <v>13106</v>
      </c>
      <c r="X352" s="1495">
        <f>IF(OR(ISBLANK(Q340),X340=0),0,Q352*V341)</f>
        <v>0</v>
      </c>
      <c r="Y352" s="101" cm="1">
        <f t="array" ref="Y352">IFERROR(_xlfn.LET(_xlpm.k,UPPER(TRIM(U352)),_xlpm.r,_xlfn.XLOOKUP(_xlpm.k,UPPER(TRIM(Q367:Z367)),Q368:Z368,_xlfn.XLOOKUP(_xlpm.k,UPPER(TRIM(Q369:Z369)),Q370:Z370)),_xlpm.r*T352*V352*V341*IF(ISBLANK(Q352),1,Q352)),0)</f>
        <v>3.3149171270718227</v>
      </c>
      <c r="Z352" s="1476" t="str">
        <f>_xlfn.LET(_xlpm.unite,SUBSTITUTE(TRIM(U352)," (s)",""),_xlpm.val,Y352,_xlpm.estVol,COUNTIF(T367:Z367,_xlpm.unite)+COUNTIF(T369:Z369,_xlpm.unite)&gt;0,_xlpm.estPoids,COUNTIF(Q367:S367,_xlpm.unite)+COUNTIF(Q369:S369,_xlpm.unite)&gt;0,IF(_xlpm.estVol,IF(ROUND(_xlpm.val,3)&gt;=1,ROUND(_xlpm.val,3)&amp;" L",MAX(1,ROUND(_xlpm.val*100,0))&amp;" cl"),IF(_xlpm.estPoids,IF(ROUND(_xlpm.val,3)&gt;=1,ROUND(_xlpm.val,3)&amp;" Kg",MAX(1,ROUND(_xlpm.val*1000,0))&amp;" g"),"")))</f>
        <v>3.315 Kg</v>
      </c>
      <c r="AA352" s="5211"/>
      <c r="AB352" s="1178"/>
      <c r="AC352" s="1179"/>
      <c r="AD352" s="227" t="s">
        <v>22</v>
      </c>
      <c r="AE352" s="1027" t="str">
        <f t="shared" si="158"/>
        <v>A</v>
      </c>
      <c r="AF352" s="1028" t="str">
        <f t="shared" si="159"/>
        <v>B BAUDRUCHE DE COPAIN | | Auteur &gt; Guy KRENZE - Eric GODDYN - Arnaud NICOLAS - CEPROC 2002</v>
      </c>
      <c r="AG352" s="1029">
        <f t="shared" si="160"/>
        <v>9.0500000000000007</v>
      </c>
      <c r="AH352" s="1028" t="str">
        <f t="shared" si="161"/>
        <v>Kg</v>
      </c>
      <c r="AI352" s="1029" t="str">
        <f t="shared" si="162"/>
        <v>kg</v>
      </c>
      <c r="AJ352" s="1029">
        <f t="shared" si="163"/>
        <v>1</v>
      </c>
      <c r="AK352" s="1043" cm="1">
        <f t="array" ref="AK352">IF(AE352&lt;&gt;"A","",IFERROR((IFERROR(_xlfn.XLOOKUP(TRIM(SUBSTITUTE(U352,CHAR(160)," ")),$BI$15:$BI$62,$BL$15:$BL$62),IFERROR(_xlfn.XLOOKUP(TRIM(SUBSTITUTE(U352,CHAR(160)," ")),$BJ$15:$BJ$62,$BL$15:$BL$62),_xlfn.XLOOKUP(TRIM(SUBSTITUTE(U352,CHAR(160)," ")),$BK$15:$BK$62,$BL$15:$BL$62))))*T352*IF(ISBLANK(Q352),1,Q352)+IFERROR(_xlfn.XLOOKUP("RECHERCHEX",TRIM(L352:AC352),L352:AC352),0),0))</f>
        <v>3</v>
      </c>
      <c r="AL352" s="1030" t="str">
        <f t="shared" si="164"/>
        <v>Kg</v>
      </c>
      <c r="AM352" s="5254" t="str">
        <f t="shared" si="181"/>
        <v>❾ Author reference &gt;</v>
      </c>
      <c r="AN352" s="1031">
        <f t="shared" si="165"/>
        <v>9.0500000000000007</v>
      </c>
      <c r="AO352" s="1031" t="str">
        <f t="shared" si="166"/>
        <v>Kg</v>
      </c>
      <c r="AP352" s="1032">
        <f t="shared" si="167"/>
        <v>40</v>
      </c>
      <c r="AQ352" s="5255" t="str">
        <f t="shared" si="168"/>
        <v>parts-ou.or.o ❾ + or - &gt;</v>
      </c>
      <c r="AR352" s="1056">
        <v>20</v>
      </c>
      <c r="AS352" s="1056" t="s">
        <v>143</v>
      </c>
      <c r="AT352" s="1034">
        <f t="shared" si="169"/>
        <v>6.6298342541436455</v>
      </c>
      <c r="AU352" s="1035" t="str">
        <f t="shared" si="170"/>
        <v>Kg</v>
      </c>
      <c r="AV352" s="1057" t="str" cm="1">
        <f t="array" ref="AV352">IF(AJ352&lt;&gt;1,0,IF(OR(AT352="",N(AT352)&lt;=0.000000001),"",IF(OR(AN352="",N(AN352)&lt;=0.000000001),0,IF(ISNUMBER(AT352),IFERROR(_xlfn.LET(_xlpm.ai_test,TRIM(AI352),_xlpm.r,IFERROR(_xlfn.XLOOKUP(_xlpm.ai_test,$BI$15:$BI$62,ROW($BI$15:$BI$62),0,1),IFERROR(_xlfn.XLOOKUP(_xlpm.ai_test,$BJ$15:$BJ$62,ROW($BJ$15:$BJ$62),0,1),_xlfn.XLOOKUP(_xlpm.ai_test,$BK$15:$BK$62,ROW($BK$15:$BK$62),0,1))),_xlpm.p,_xlpm.r-MIN(ROW($BI$15:$BI$62))+1,_xlpm.f,INDEX($BL$15:$BL$62,_xlpm.p),_xlpm.u,INDEX($BM$15:$BM$62,_xlpm.p),_xlpm.s,INDEX($BO$15:$BO$62,_xlpm.p),_xlpm.q,N(AT352)/_xlpm.f,IF(_xlpm.q&gt;=_xlpm.s,ROUND(_xlpm.q,1)&amp;" "&amp;_xlpm.ai_test&amp;" = "&amp;ROUND(_xlpm.q*_xlpm.f,1)&amp;" "&amp;_xlpm.u,ROUND(_xlpm.q,1)&amp;" "&amp;_xlpm.ai_test)),""),""))))</f>
        <v>6.6 kg = 6.6 Kg</v>
      </c>
      <c r="AW352" s="1047"/>
      <c r="AX352" s="1034">
        <f t="shared" si="171"/>
        <v>6.6298342541436455</v>
      </c>
      <c r="AY352" s="1035" t="str">
        <f t="shared" si="172"/>
        <v>Kg</v>
      </c>
      <c r="AZ352" s="1036">
        <f t="shared" si="177"/>
        <v>0</v>
      </c>
      <c r="BA352" s="1037" t="str">
        <f t="shared" si="173"/>
        <v/>
      </c>
      <c r="BB352" s="1038"/>
      <c r="BC352" s="1039">
        <f t="shared" si="180"/>
        <v>0</v>
      </c>
      <c r="BD352" s="1040" t="str">
        <f t="shared" si="174"/>
        <v>tête cuite désossée</v>
      </c>
      <c r="BE352" s="227" t="s">
        <v>22</v>
      </c>
      <c r="BF352" s="1019">
        <f t="shared" si="175"/>
        <v>0</v>
      </c>
      <c r="BG352" s="1020">
        <f t="shared" si="176"/>
        <v>2.2099447513812152</v>
      </c>
      <c r="BH352"/>
      <c r="BI352" s="709"/>
      <c r="BJ352" s="709"/>
      <c r="BK352" s="709"/>
      <c r="BL352" s="709"/>
      <c r="BM352" s="709"/>
      <c r="BN352" s="709"/>
      <c r="BO352" s="709"/>
      <c r="BP352" s="709"/>
      <c r="BW352" s="959" t="str">
        <f t="shared" si="157"/>
        <v>A</v>
      </c>
      <c r="BX352" s="856"/>
      <c r="BY352" s="856"/>
      <c r="BZ352" s="856"/>
      <c r="CA352" s="856"/>
      <c r="CB352" s="856"/>
      <c r="DB352" s="3">
        <v>1</v>
      </c>
    </row>
    <row r="353" spans="12:106" ht="21" customHeight="1">
      <c r="L353" s="104" t="str">
        <f t="shared" si="179"/>
        <v>A</v>
      </c>
      <c r="M353" s="32" t="str">
        <f>M342</f>
        <v>B BAUDRUCHE DE COPAIN | | Auteur &gt; Guy KRENZE - Eric GODDYN - Arnaud NICOLAS - CEPROC 2002</v>
      </c>
      <c r="N353" s="33">
        <f>N342</f>
        <v>9.0500000000000007</v>
      </c>
      <c r="O353" s="32" t="str">
        <f>O342</f>
        <v>Kg</v>
      </c>
      <c r="P353" s="34" t="str">
        <f>P342</f>
        <v>Recette mère ► le Boudin en 4 déclinaisons</v>
      </c>
      <c r="Q353" s="92"/>
      <c r="R353" s="108" t="s">
        <v>13114</v>
      </c>
      <c r="S353" s="94" t="str">
        <f t="shared" si="178"/>
        <v/>
      </c>
      <c r="T353" s="95"/>
      <c r="U353" s="126"/>
      <c r="V353" s="127">
        <v>1</v>
      </c>
      <c r="W353" s="920" t="s">
        <v>13107</v>
      </c>
      <c r="X353" s="1495">
        <f>IF(OR(ISBLANK(Q340),X340=0),0,Q353*V341)</f>
        <v>0</v>
      </c>
      <c r="Y353" s="101" cm="1">
        <f t="array" ref="Y353">IFERROR(_xlfn.LET(_xlpm.k,UPPER(TRIM(U353)),_xlpm.r,_xlfn.XLOOKUP(_xlpm.k,UPPER(TRIM(Q367:Z367)),Q368:Z368,_xlfn.XLOOKUP(_xlpm.k,UPPER(TRIM(Q369:Z369)),Q370:Z370)),_xlpm.r*T353*V353*V341*IF(ISBLANK(Q353),1,Q353)),0)</f>
        <v>0</v>
      </c>
      <c r="Z353" s="1475" t="str">
        <f>_xlfn.LET(_xlpm.unite,SUBSTITUTE(TRIM(U353)," (s)",""),_xlpm.val,Y353,_xlpm.estVol,COUNTIF(T367:Z367,_xlpm.unite)+COUNTIF(T369:Z369,_xlpm.unite)&gt;0,_xlpm.estPoids,COUNTIF(Q367:S367,_xlpm.unite)+COUNTIF(Q369:S369,_xlpm.unite)&gt;0,IF(_xlpm.estVol,IF(ROUND(_xlpm.val,3)&gt;=1,ROUND(_xlpm.val,3)&amp;" L",MAX(1,ROUND(_xlpm.val*100,0))&amp;" cl"),IF(_xlpm.estPoids,IF(ROUND(_xlpm.val,3)&gt;=1,ROUND(_xlpm.val,3)&amp;" Kg",MAX(1,ROUND(_xlpm.val*1000,0))&amp;" g"),"")))</f>
        <v/>
      </c>
      <c r="AA353" s="5211"/>
      <c r="AB353" s="1178"/>
      <c r="AC353" s="1179"/>
      <c r="AD353" s="227" t="s">
        <v>22</v>
      </c>
      <c r="AE353" s="1027" t="str">
        <f t="shared" si="158"/>
        <v>►</v>
      </c>
      <c r="AF353" s="1028" t="str">
        <f t="shared" si="159"/>
        <v/>
      </c>
      <c r="AG353" s="1029" t="str">
        <f t="shared" si="160"/>
        <v/>
      </c>
      <c r="AH353" s="1028" t="str">
        <f t="shared" si="161"/>
        <v/>
      </c>
      <c r="AI353" s="1029" t="str">
        <f t="shared" si="162"/>
        <v/>
      </c>
      <c r="AJ353" s="1029">
        <f t="shared" si="163"/>
        <v>0</v>
      </c>
      <c r="AK353" s="1043" t="str" cm="1">
        <f t="array" ref="AK353">IF(AE353&lt;&gt;"A","",IFERROR((IFERROR(_xlfn.XLOOKUP(TRIM(SUBSTITUTE(U353,CHAR(160)," ")),$BI$15:$BI$62,$BL$15:$BL$62),IFERROR(_xlfn.XLOOKUP(TRIM(SUBSTITUTE(U353,CHAR(160)," ")),$BJ$15:$BJ$62,$BL$15:$BL$62),_xlfn.XLOOKUP(TRIM(SUBSTITUTE(U353,CHAR(160)," ")),$BK$15:$BK$62,$BL$15:$BL$62))))*T353*IF(ISBLANK(Q353),1,Q353)+IFERROR(_xlfn.XLOOKUP("RECHERCHEX",TRIM(L353:AC353),L353:AC353),0),0))</f>
        <v/>
      </c>
      <c r="AL353" s="1030">
        <f t="shared" si="164"/>
        <v>0</v>
      </c>
      <c r="AM353" s="5254" t="str">
        <f t="shared" si="181"/>
        <v/>
      </c>
      <c r="AN353" s="1031">
        <f t="shared" si="165"/>
        <v>0</v>
      </c>
      <c r="AO353" s="1031">
        <f t="shared" si="166"/>
        <v>0</v>
      </c>
      <c r="AP353" s="1044">
        <f t="shared" si="167"/>
        <v>0</v>
      </c>
      <c r="AQ353" s="5257" t="str">
        <f t="shared" si="168"/>
        <v/>
      </c>
      <c r="AR353" s="1056"/>
      <c r="AS353" s="1056"/>
      <c r="AT353" s="1045">
        <f t="shared" si="169"/>
        <v>0</v>
      </c>
      <c r="AU353" s="1046">
        <f t="shared" si="170"/>
        <v>0</v>
      </c>
      <c r="AV353" s="1059" cm="1">
        <f t="array" ref="AV353">IF(AJ353&lt;&gt;1,0,IF(OR(AT353="",N(AT353)&lt;=0.000000001),"",IF(OR(AN353="",N(AN353)&lt;=0.000000001),0,IF(ISNUMBER(AT353),IFERROR(_xlfn.LET(_xlpm.ai_test,TRIM(AI353),_xlpm.r,IFERROR(_xlfn.XLOOKUP(_xlpm.ai_test,$BI$15:$BI$62,ROW($BI$15:$BI$62),0,1),IFERROR(_xlfn.XLOOKUP(_xlpm.ai_test,$BJ$15:$BJ$62,ROW($BJ$15:$BJ$62),0,1),_xlfn.XLOOKUP(_xlpm.ai_test,$BK$15:$BK$62,ROW($BK$15:$BK$62),0,1))),_xlpm.p,_xlpm.r-MIN(ROW($BI$15:$BI$62))+1,_xlpm.f,INDEX($BL$15:$BL$62,_xlpm.p),_xlpm.u,INDEX($BM$15:$BM$62,_xlpm.p),_xlpm.s,INDEX($BO$15:$BO$62,_xlpm.p),_xlpm.q,N(AT353)/_xlpm.f,IF(_xlpm.q&gt;=_xlpm.s,ROUND(_xlpm.q,1)&amp;" "&amp;_xlpm.ai_test&amp;" = "&amp;ROUND(_xlpm.q*_xlpm.f,1)&amp;" "&amp;_xlpm.u,ROUND(_xlpm.q,1)&amp;" "&amp;_xlpm.ai_test)),""),""))))</f>
        <v>0</v>
      </c>
      <c r="AW353" s="1047"/>
      <c r="AX353" s="1045">
        <f t="shared" si="171"/>
        <v>0</v>
      </c>
      <c r="AY353" s="1046" t="str">
        <f t="shared" si="172"/>
        <v/>
      </c>
      <c r="AZ353" s="1048">
        <f t="shared" si="177"/>
        <v>0</v>
      </c>
      <c r="BA353" s="1049" t="str">
        <f t="shared" si="173"/>
        <v/>
      </c>
      <c r="BB353" s="1038"/>
      <c r="BC353" s="1050">
        <f t="shared" si="180"/>
        <v>0</v>
      </c>
      <c r="BD353" s="1040" t="str">
        <f t="shared" si="174"/>
        <v/>
      </c>
      <c r="BE353" s="227" t="s">
        <v>22</v>
      </c>
      <c r="BF353" s="1019">
        <f t="shared" si="175"/>
        <v>0</v>
      </c>
      <c r="BG353" s="1020">
        <f t="shared" si="176"/>
        <v>0</v>
      </c>
      <c r="BH353"/>
      <c r="BI353" s="709"/>
      <c r="BJ353" s="709"/>
      <c r="BK353" s="709"/>
      <c r="BL353" s="709"/>
      <c r="BM353" s="709"/>
      <c r="BN353" s="709"/>
      <c r="BO353" s="709"/>
      <c r="BP353" s="709"/>
      <c r="BW353" s="959" t="str">
        <f t="shared" si="157"/>
        <v>►</v>
      </c>
      <c r="BX353" s="856"/>
      <c r="BY353" s="856"/>
      <c r="BZ353" s="856"/>
      <c r="CA353" s="856"/>
      <c r="CB353" s="856"/>
      <c r="DB353" s="3">
        <v>1</v>
      </c>
    </row>
    <row r="354" spans="12:106" ht="21" customHeight="1">
      <c r="L354" s="104" t="str">
        <f t="shared" si="179"/>
        <v>A</v>
      </c>
      <c r="M354" s="32" t="str">
        <f>M342</f>
        <v>B BAUDRUCHE DE COPAIN | | Auteur &gt; Guy KRENZE - Eric GODDYN - Arnaud NICOLAS - CEPROC 2002</v>
      </c>
      <c r="N354" s="33">
        <f>N342</f>
        <v>9.0500000000000007</v>
      </c>
      <c r="O354" s="32" t="str">
        <f>O342</f>
        <v>Kg</v>
      </c>
      <c r="P354" s="34" t="str">
        <f>P342</f>
        <v>Recette mère ► le Boudin en 4 déclinaisons</v>
      </c>
      <c r="Q354" s="92"/>
      <c r="R354" s="108" t="s">
        <v>13114</v>
      </c>
      <c r="S354" s="94" t="str">
        <f t="shared" si="178"/>
        <v/>
      </c>
      <c r="T354" s="95"/>
      <c r="U354" s="126"/>
      <c r="V354" s="127">
        <v>1</v>
      </c>
      <c r="W354" s="920" t="s">
        <v>13108</v>
      </c>
      <c r="X354" s="1495">
        <f>IF(OR(ISBLANK(Q340),X340=0),0,Q354*V341)</f>
        <v>0</v>
      </c>
      <c r="Y354" s="101" cm="1">
        <f t="array" ref="Y354">IFERROR(_xlfn.LET(_xlpm.k,UPPER(TRIM(U354)),_xlpm.r,_xlfn.XLOOKUP(_xlpm.k,UPPER(TRIM(Q367:Z367)),Q368:Z368,_xlfn.XLOOKUP(_xlpm.k,UPPER(TRIM(Q369:Z369)),Q370:Z370)),_xlpm.r*T354*V354*V341*IF(ISBLANK(Q354),1,Q354)),0)</f>
        <v>0</v>
      </c>
      <c r="Z354" s="1476" t="str">
        <f>_xlfn.LET(_xlpm.unite,SUBSTITUTE(TRIM(U354)," (s)",""),_xlpm.val,Y354,_xlpm.estVol,COUNTIF(T367:Z367,_xlpm.unite)+COUNTIF(T369:Z369,_xlpm.unite)&gt;0,_xlpm.estPoids,COUNTIF(Q367:S367,_xlpm.unite)+COUNTIF(Q369:S369,_xlpm.unite)&gt;0,IF(_xlpm.estVol,IF(ROUND(_xlpm.val,3)&gt;=1,ROUND(_xlpm.val,3)&amp;" L",MAX(1,ROUND(_xlpm.val*100,0))&amp;" cl"),IF(_xlpm.estPoids,IF(ROUND(_xlpm.val,3)&gt;=1,ROUND(_xlpm.val,3)&amp;" Kg",MAX(1,ROUND(_xlpm.val*1000,0))&amp;" g"),"")))</f>
        <v/>
      </c>
      <c r="AA354" s="5211"/>
      <c r="AB354" s="1178"/>
      <c r="AC354" s="1179"/>
      <c r="AD354" s="227" t="s">
        <v>22</v>
      </c>
      <c r="AE354" s="1027" t="str">
        <f t="shared" si="158"/>
        <v>►</v>
      </c>
      <c r="AF354" s="1028" t="str">
        <f t="shared" si="159"/>
        <v/>
      </c>
      <c r="AG354" s="1029" t="str">
        <f t="shared" si="160"/>
        <v/>
      </c>
      <c r="AH354" s="1028" t="str">
        <f t="shared" si="161"/>
        <v/>
      </c>
      <c r="AI354" s="1029" t="str">
        <f t="shared" si="162"/>
        <v/>
      </c>
      <c r="AJ354" s="1029">
        <f t="shared" si="163"/>
        <v>0</v>
      </c>
      <c r="AK354" s="1043" t="str" cm="1">
        <f t="array" ref="AK354">IF(AE354&lt;&gt;"A","",IFERROR((IFERROR(_xlfn.XLOOKUP(TRIM(SUBSTITUTE(U354,CHAR(160)," ")),$BI$15:$BI$62,$BL$15:$BL$62),IFERROR(_xlfn.XLOOKUP(TRIM(SUBSTITUTE(U354,CHAR(160)," ")),$BJ$15:$BJ$62,$BL$15:$BL$62),_xlfn.XLOOKUP(TRIM(SUBSTITUTE(U354,CHAR(160)," ")),$BK$15:$BK$62,$BL$15:$BL$62))))*T354*IF(ISBLANK(Q354),1,Q354)+IFERROR(_xlfn.XLOOKUP("RECHERCHEX",TRIM(L354:AC354),L354:AC354),0),0))</f>
        <v/>
      </c>
      <c r="AL354" s="1030">
        <f t="shared" si="164"/>
        <v>0</v>
      </c>
      <c r="AM354" s="5254" t="str">
        <f t="shared" si="181"/>
        <v/>
      </c>
      <c r="AN354" s="1031">
        <f t="shared" si="165"/>
        <v>0</v>
      </c>
      <c r="AO354" s="1031">
        <f t="shared" si="166"/>
        <v>0</v>
      </c>
      <c r="AP354" s="1032">
        <f t="shared" si="167"/>
        <v>0</v>
      </c>
      <c r="AQ354" s="5255" t="str">
        <f t="shared" si="168"/>
        <v/>
      </c>
      <c r="AR354" s="1056"/>
      <c r="AS354" s="1056"/>
      <c r="AT354" s="1034">
        <f t="shared" si="169"/>
        <v>0</v>
      </c>
      <c r="AU354" s="1035">
        <f t="shared" si="170"/>
        <v>0</v>
      </c>
      <c r="AV354" s="1057" cm="1">
        <f t="array" ref="AV354">IF(AJ354&lt;&gt;1,0,IF(OR(AT354="",N(AT354)&lt;=0.000000001),"",IF(OR(AN354="",N(AN354)&lt;=0.000000001),0,IF(ISNUMBER(AT354),IFERROR(_xlfn.LET(_xlpm.ai_test,TRIM(AI354),_xlpm.r,IFERROR(_xlfn.XLOOKUP(_xlpm.ai_test,$BI$15:$BI$62,ROW($BI$15:$BI$62),0,1),IFERROR(_xlfn.XLOOKUP(_xlpm.ai_test,$BJ$15:$BJ$62,ROW($BJ$15:$BJ$62),0,1),_xlfn.XLOOKUP(_xlpm.ai_test,$BK$15:$BK$62,ROW($BK$15:$BK$62),0,1))),_xlpm.p,_xlpm.r-MIN(ROW($BI$15:$BI$62))+1,_xlpm.f,INDEX($BL$15:$BL$62,_xlpm.p),_xlpm.u,INDEX($BM$15:$BM$62,_xlpm.p),_xlpm.s,INDEX($BO$15:$BO$62,_xlpm.p),_xlpm.q,N(AT354)/_xlpm.f,IF(_xlpm.q&gt;=_xlpm.s,ROUND(_xlpm.q,1)&amp;" "&amp;_xlpm.ai_test&amp;" = "&amp;ROUND(_xlpm.q*_xlpm.f,1)&amp;" "&amp;_xlpm.u,ROUND(_xlpm.q,1)&amp;" "&amp;_xlpm.ai_test)),""),""))))</f>
        <v>0</v>
      </c>
      <c r="AW354" s="1047"/>
      <c r="AX354" s="1034">
        <f t="shared" si="171"/>
        <v>0</v>
      </c>
      <c r="AY354" s="1035" t="str">
        <f t="shared" si="172"/>
        <v/>
      </c>
      <c r="AZ354" s="1036">
        <f t="shared" si="177"/>
        <v>0</v>
      </c>
      <c r="BA354" s="1037" t="str">
        <f t="shared" si="173"/>
        <v/>
      </c>
      <c r="BB354" s="1038"/>
      <c r="BC354" s="1039">
        <f t="shared" si="180"/>
        <v>0</v>
      </c>
      <c r="BD354" s="1040" t="str">
        <f t="shared" si="174"/>
        <v/>
      </c>
      <c r="BE354" s="227" t="s">
        <v>22</v>
      </c>
      <c r="BF354" s="1019">
        <f t="shared" si="175"/>
        <v>0</v>
      </c>
      <c r="BG354" s="1020">
        <f t="shared" si="176"/>
        <v>0</v>
      </c>
      <c r="BH354"/>
      <c r="BI354" s="709"/>
      <c r="BJ354" s="709"/>
      <c r="BK354" s="709"/>
      <c r="BL354" s="709"/>
      <c r="BM354" s="709"/>
      <c r="BN354" s="709"/>
      <c r="BO354" s="709"/>
      <c r="BP354" s="709"/>
      <c r="BW354" s="959" t="str">
        <f t="shared" si="157"/>
        <v>►</v>
      </c>
      <c r="BX354" s="856"/>
      <c r="BY354" s="856"/>
      <c r="BZ354" s="856"/>
      <c r="CA354" s="856"/>
      <c r="CB354" s="856"/>
      <c r="DB354" s="3">
        <v>1</v>
      </c>
    </row>
    <row r="355" spans="12:106" ht="21" customHeight="1">
      <c r="L355" s="104" t="str">
        <f t="shared" si="179"/>
        <v>A</v>
      </c>
      <c r="M355" s="32" t="str">
        <f>M342</f>
        <v>B BAUDRUCHE DE COPAIN | | Auteur &gt; Guy KRENZE - Eric GODDYN - Arnaud NICOLAS - CEPROC 2002</v>
      </c>
      <c r="N355" s="33">
        <f>N342</f>
        <v>9.0500000000000007</v>
      </c>
      <c r="O355" s="32" t="str">
        <f>O342</f>
        <v>Kg</v>
      </c>
      <c r="P355" s="34" t="str">
        <f>P342</f>
        <v>Recette mère ► le Boudin en 4 déclinaisons</v>
      </c>
      <c r="Q355" s="92"/>
      <c r="R355" s="108" t="s">
        <v>13114</v>
      </c>
      <c r="S355" s="94" t="str">
        <f t="shared" si="178"/>
        <v/>
      </c>
      <c r="T355" s="95"/>
      <c r="U355" s="126"/>
      <c r="V355" s="127">
        <v>1</v>
      </c>
      <c r="W355" s="920" t="s">
        <v>13109</v>
      </c>
      <c r="X355" s="1495">
        <f>IF(OR(ISBLANK(Q340),X340=0),0,Q355*V341)</f>
        <v>0</v>
      </c>
      <c r="Y355" s="101" cm="1">
        <f t="array" ref="Y355">IFERROR(_xlfn.LET(_xlpm.k,UPPER(TRIM(U355)),_xlpm.r,_xlfn.XLOOKUP(_xlpm.k,UPPER(TRIM(Q367:Z367)),Q368:Z368,_xlfn.XLOOKUP(_xlpm.k,UPPER(TRIM(Q369:Z369)),Q370:Z370)),_xlpm.r*T355*V355*V341*IF(ISBLANK(Q355),1,Q355)),0)</f>
        <v>0</v>
      </c>
      <c r="Z355" s="1475" t="str">
        <f>_xlfn.LET(_xlpm.unite,SUBSTITUTE(TRIM(U355)," (s)",""),_xlpm.val,Y355,_xlpm.estVol,COUNTIF(T367:Z367,_xlpm.unite)+COUNTIF(T369:Z369,_xlpm.unite)&gt;0,_xlpm.estPoids,COUNTIF(Q367:S367,_xlpm.unite)+COUNTIF(Q369:S369,_xlpm.unite)&gt;0,IF(_xlpm.estVol,IF(ROUND(_xlpm.val,3)&gt;=1,ROUND(_xlpm.val,3)&amp;" L",MAX(1,ROUND(_xlpm.val*100,0))&amp;" cl"),IF(_xlpm.estPoids,IF(ROUND(_xlpm.val,3)&gt;=1,ROUND(_xlpm.val,3)&amp;" Kg",MAX(1,ROUND(_xlpm.val*1000,0))&amp;" g"),"")))</f>
        <v/>
      </c>
      <c r="AA355" s="5211"/>
      <c r="AB355" s="1178"/>
      <c r="AC355" s="1179"/>
      <c r="AD355" s="227" t="s">
        <v>22</v>
      </c>
      <c r="AE355" s="1027" t="str">
        <f t="shared" si="158"/>
        <v>►</v>
      </c>
      <c r="AF355" s="1028" t="str">
        <f t="shared" si="159"/>
        <v/>
      </c>
      <c r="AG355" s="1029" t="str">
        <f t="shared" si="160"/>
        <v/>
      </c>
      <c r="AH355" s="1028" t="str">
        <f t="shared" si="161"/>
        <v/>
      </c>
      <c r="AI355" s="1029" t="str">
        <f t="shared" si="162"/>
        <v/>
      </c>
      <c r="AJ355" s="1029">
        <f t="shared" si="163"/>
        <v>0</v>
      </c>
      <c r="AK355" s="1043" t="str" cm="1">
        <f t="array" ref="AK355">IF(AE355&lt;&gt;"A","",IFERROR((IFERROR(_xlfn.XLOOKUP(TRIM(SUBSTITUTE(U355,CHAR(160)," ")),$BI$15:$BI$62,$BL$15:$BL$62),IFERROR(_xlfn.XLOOKUP(TRIM(SUBSTITUTE(U355,CHAR(160)," ")),$BJ$15:$BJ$62,$BL$15:$BL$62),_xlfn.XLOOKUP(TRIM(SUBSTITUTE(U355,CHAR(160)," ")),$BK$15:$BK$62,$BL$15:$BL$62))))*T355*IF(ISBLANK(Q355),1,Q355)+IFERROR(_xlfn.XLOOKUP("RECHERCHEX",TRIM(L355:AC355),L355:AC355),0),0))</f>
        <v/>
      </c>
      <c r="AL355" s="1030">
        <f t="shared" si="164"/>
        <v>0</v>
      </c>
      <c r="AM355" s="5254" t="str">
        <f t="shared" si="181"/>
        <v/>
      </c>
      <c r="AN355" s="1031">
        <f t="shared" si="165"/>
        <v>0</v>
      </c>
      <c r="AO355" s="1031">
        <f t="shared" si="166"/>
        <v>0</v>
      </c>
      <c r="AP355" s="1044">
        <f t="shared" si="167"/>
        <v>0</v>
      </c>
      <c r="AQ355" s="5257" t="str">
        <f t="shared" si="168"/>
        <v/>
      </c>
      <c r="AR355" s="1056"/>
      <c r="AS355" s="1056"/>
      <c r="AT355" s="1045">
        <f t="shared" si="169"/>
        <v>0</v>
      </c>
      <c r="AU355" s="1046">
        <f t="shared" si="170"/>
        <v>0</v>
      </c>
      <c r="AV355" s="1059" cm="1">
        <f t="array" ref="AV355">IF(AJ355&lt;&gt;1,0,IF(OR(AT355="",N(AT355)&lt;=0.000000001),"",IF(OR(AN355="",N(AN355)&lt;=0.000000001),0,IF(ISNUMBER(AT355),IFERROR(_xlfn.LET(_xlpm.ai_test,TRIM(AI355),_xlpm.r,IFERROR(_xlfn.XLOOKUP(_xlpm.ai_test,$BI$15:$BI$62,ROW($BI$15:$BI$62),0,1),IFERROR(_xlfn.XLOOKUP(_xlpm.ai_test,$BJ$15:$BJ$62,ROW($BJ$15:$BJ$62),0,1),_xlfn.XLOOKUP(_xlpm.ai_test,$BK$15:$BK$62,ROW($BK$15:$BK$62),0,1))),_xlpm.p,_xlpm.r-MIN(ROW($BI$15:$BI$62))+1,_xlpm.f,INDEX($BL$15:$BL$62,_xlpm.p),_xlpm.u,INDEX($BM$15:$BM$62,_xlpm.p),_xlpm.s,INDEX($BO$15:$BO$62,_xlpm.p),_xlpm.q,N(AT355)/_xlpm.f,IF(_xlpm.q&gt;=_xlpm.s,ROUND(_xlpm.q,1)&amp;" "&amp;_xlpm.ai_test&amp;" = "&amp;ROUND(_xlpm.q*_xlpm.f,1)&amp;" "&amp;_xlpm.u,ROUND(_xlpm.q,1)&amp;" "&amp;_xlpm.ai_test)),""),""))))</f>
        <v>0</v>
      </c>
      <c r="AW355" s="1047"/>
      <c r="AX355" s="1045">
        <f t="shared" si="171"/>
        <v>0</v>
      </c>
      <c r="AY355" s="1046" t="str">
        <f t="shared" si="172"/>
        <v/>
      </c>
      <c r="AZ355" s="1048">
        <f t="shared" si="177"/>
        <v>0</v>
      </c>
      <c r="BA355" s="1049" t="str">
        <f t="shared" si="173"/>
        <v/>
      </c>
      <c r="BB355" s="1038"/>
      <c r="BC355" s="1050">
        <f t="shared" si="180"/>
        <v>0</v>
      </c>
      <c r="BD355" s="1040" t="str">
        <f t="shared" si="174"/>
        <v/>
      </c>
      <c r="BE355" s="227" t="s">
        <v>22</v>
      </c>
      <c r="BF355" s="1019">
        <f t="shared" si="175"/>
        <v>0</v>
      </c>
      <c r="BG355" s="1020">
        <f t="shared" si="176"/>
        <v>0</v>
      </c>
      <c r="BH355"/>
      <c r="BI355" s="709"/>
      <c r="BJ355" s="709"/>
      <c r="BK355" s="709"/>
      <c r="BL355" s="709"/>
      <c r="BM355" s="709"/>
      <c r="BN355" s="709"/>
      <c r="BO355" s="709"/>
      <c r="BP355" s="709"/>
      <c r="BW355" s="959" t="str">
        <f t="shared" si="157"/>
        <v>►</v>
      </c>
      <c r="BX355" s="856"/>
      <c r="BY355" s="856"/>
      <c r="BZ355" s="856"/>
      <c r="CA355" s="856"/>
      <c r="CB355" s="856"/>
      <c r="DB355" s="3">
        <v>1</v>
      </c>
    </row>
    <row r="356" spans="12:106" ht="21" customHeight="1">
      <c r="L356" s="104" t="str">
        <f t="shared" si="179"/>
        <v>A</v>
      </c>
      <c r="M356" s="32" t="str">
        <f>M342</f>
        <v>B BAUDRUCHE DE COPAIN | | Auteur &gt; Guy KRENZE - Eric GODDYN - Arnaud NICOLAS - CEPROC 2002</v>
      </c>
      <c r="N356" s="33">
        <f>N342</f>
        <v>9.0500000000000007</v>
      </c>
      <c r="O356" s="32" t="str">
        <f>O342</f>
        <v>Kg</v>
      </c>
      <c r="P356" s="34" t="str">
        <f>P342</f>
        <v>Recette mère ► le Boudin en 4 déclinaisons</v>
      </c>
      <c r="Q356" s="92"/>
      <c r="R356" s="108"/>
      <c r="S356" s="94" t="str">
        <f t="shared" si="178"/>
        <v/>
      </c>
      <c r="T356" s="95">
        <v>250</v>
      </c>
      <c r="U356" s="105" t="s">
        <v>99</v>
      </c>
      <c r="V356" s="127">
        <v>1</v>
      </c>
      <c r="W356" s="920" t="s">
        <v>13110</v>
      </c>
      <c r="X356" s="1495">
        <f>IF(OR(ISBLANK(Q340),X340=0),0,Q356*V341)</f>
        <v>0</v>
      </c>
      <c r="Y356" s="101" cm="1">
        <f t="array" ref="Y356">IFERROR(_xlfn.LET(_xlpm.k,UPPER(TRIM(U356)),_xlpm.r,_xlfn.XLOOKUP(_xlpm.k,UPPER(TRIM(Q367:Z367)),Q368:Z368,_xlfn.XLOOKUP(_xlpm.k,UPPER(TRIM(Q369:Z369)),Q370:Z370)),_xlpm.r*T356*V356*V341*IF(ISBLANK(Q356),1,Q356)),0)</f>
        <v>0.27624309392265189</v>
      </c>
      <c r="Z356" s="1476" t="str">
        <f>_xlfn.LET(_xlpm.unite,SUBSTITUTE(TRIM(U356)," (s)",""),_xlpm.val,Y356,_xlpm.estVol,COUNTIF(T367:Z367,_xlpm.unite)+COUNTIF(T369:Z369,_xlpm.unite)&gt;0,_xlpm.estPoids,COUNTIF(Q367:S367,_xlpm.unite)+COUNTIF(Q369:S369,_xlpm.unite)&gt;0,IF(_xlpm.estVol,IF(ROUND(_xlpm.val,3)&gt;=1,ROUND(_xlpm.val,3)&amp;" L",MAX(1,ROUND(_xlpm.val*100,0))&amp;" cl"),IF(_xlpm.estPoids,IF(ROUND(_xlpm.val,3)&gt;=1,ROUND(_xlpm.val,3)&amp;" Kg",MAX(1,ROUND(_xlpm.val*1000,0))&amp;" g"),"")))</f>
        <v>276 g</v>
      </c>
      <c r="AA356" s="5211"/>
      <c r="AB356" s="1178"/>
      <c r="AC356" s="1179"/>
      <c r="AD356" s="227" t="s">
        <v>22</v>
      </c>
      <c r="AE356" s="1027" t="str">
        <f t="shared" si="158"/>
        <v>A</v>
      </c>
      <c r="AF356" s="1028" t="str">
        <f t="shared" si="159"/>
        <v>B BAUDRUCHE DE COPAIN | | Auteur &gt; Guy KRENZE - Eric GODDYN - Arnaud NICOLAS - CEPROC 2002</v>
      </c>
      <c r="AG356" s="1029">
        <f t="shared" si="160"/>
        <v>9.0500000000000007</v>
      </c>
      <c r="AH356" s="1028" t="str">
        <f t="shared" si="161"/>
        <v>Kg</v>
      </c>
      <c r="AI356" s="1029" t="str">
        <f t="shared" si="162"/>
        <v>g</v>
      </c>
      <c r="AJ356" s="1029">
        <f t="shared" si="163"/>
        <v>1</v>
      </c>
      <c r="AK356" s="1043" cm="1">
        <f t="array" ref="AK356">IF(AE356&lt;&gt;"A","",IFERROR((IFERROR(_xlfn.XLOOKUP(TRIM(SUBSTITUTE(U356,CHAR(160)," ")),$BI$15:$BI$62,$BL$15:$BL$62),IFERROR(_xlfn.XLOOKUP(TRIM(SUBSTITUTE(U356,CHAR(160)," ")),$BJ$15:$BJ$62,$BL$15:$BL$62),_xlfn.XLOOKUP(TRIM(SUBSTITUTE(U356,CHAR(160)," ")),$BK$15:$BK$62,$BL$15:$BL$62))))*T356*IF(ISBLANK(Q356),1,Q356)+IFERROR(_xlfn.XLOOKUP("RECHERCHEX",TRIM(L356:AC356),L356:AC356),0),0))</f>
        <v>0.25</v>
      </c>
      <c r="AL356" s="1030" t="str">
        <f t="shared" si="164"/>
        <v>Kg</v>
      </c>
      <c r="AM356" s="5254" t="str">
        <f t="shared" si="181"/>
        <v>❾ Author reference &gt;</v>
      </c>
      <c r="AN356" s="1031">
        <f t="shared" si="165"/>
        <v>9.0500000000000007</v>
      </c>
      <c r="AO356" s="1031" t="str">
        <f t="shared" si="166"/>
        <v>Kg</v>
      </c>
      <c r="AP356" s="1032">
        <f t="shared" si="167"/>
        <v>40</v>
      </c>
      <c r="AQ356" s="5255" t="str">
        <f t="shared" si="168"/>
        <v>parts-ou.or.o ❾ + or - &gt;</v>
      </c>
      <c r="AR356" s="1056">
        <v>20</v>
      </c>
      <c r="AS356" s="1056" t="s">
        <v>143</v>
      </c>
      <c r="AT356" s="1034">
        <f t="shared" si="169"/>
        <v>0.55248618784530379</v>
      </c>
      <c r="AU356" s="1035" t="str">
        <f t="shared" si="170"/>
        <v>Kg</v>
      </c>
      <c r="AV356" s="1057" t="str" cm="1">
        <f t="array" ref="AV356">IF(AJ356&lt;&gt;1,0,IF(OR(AT356="",N(AT356)&lt;=0.000000001),"",IF(OR(AN356="",N(AN356)&lt;=0.000000001),0,IF(ISNUMBER(AT356),IFERROR(_xlfn.LET(_xlpm.ai_test,TRIM(AI356),_xlpm.r,IFERROR(_xlfn.XLOOKUP(_xlpm.ai_test,$BI$15:$BI$62,ROW($BI$15:$BI$62),0,1),IFERROR(_xlfn.XLOOKUP(_xlpm.ai_test,$BJ$15:$BJ$62,ROW($BJ$15:$BJ$62),0,1),_xlfn.XLOOKUP(_xlpm.ai_test,$BK$15:$BK$62,ROW($BK$15:$BK$62),0,1))),_xlpm.p,_xlpm.r-MIN(ROW($BI$15:$BI$62))+1,_xlpm.f,INDEX($BL$15:$BL$62,_xlpm.p),_xlpm.u,INDEX($BM$15:$BM$62,_xlpm.p),_xlpm.s,INDEX($BO$15:$BO$62,_xlpm.p),_xlpm.q,N(AT356)/_xlpm.f,IF(_xlpm.q&gt;=_xlpm.s,ROUND(_xlpm.q,1)&amp;" "&amp;_xlpm.ai_test&amp;" = "&amp;ROUND(_xlpm.q*_xlpm.f,1)&amp;" "&amp;_xlpm.u,ROUND(_xlpm.q,1)&amp;" "&amp;_xlpm.ai_test)),""),""))))</f>
        <v>552.5 g</v>
      </c>
      <c r="AW356" s="1047"/>
      <c r="AX356" s="1034">
        <f t="shared" si="171"/>
        <v>0.55248618784530379</v>
      </c>
      <c r="AY356" s="1035" t="str">
        <f t="shared" si="172"/>
        <v>Kg</v>
      </c>
      <c r="AZ356" s="1036">
        <f t="shared" si="177"/>
        <v>0</v>
      </c>
      <c r="BA356" s="1037" t="str">
        <f t="shared" si="173"/>
        <v/>
      </c>
      <c r="BB356" s="1038"/>
      <c r="BC356" s="1039">
        <f t="shared" si="180"/>
        <v>0</v>
      </c>
      <c r="BD356" s="1040" t="str">
        <f t="shared" si="174"/>
        <v>noix fraiches</v>
      </c>
      <c r="BE356" s="227" t="s">
        <v>22</v>
      </c>
      <c r="BF356" s="1019">
        <f t="shared" si="175"/>
        <v>0</v>
      </c>
      <c r="BG356" s="1020">
        <f t="shared" si="176"/>
        <v>2.2099447513812152</v>
      </c>
      <c r="BH356"/>
      <c r="BI356" s="709"/>
      <c r="BJ356" s="709"/>
      <c r="BK356" s="709"/>
      <c r="BL356" s="709"/>
      <c r="BM356" s="709"/>
      <c r="BN356" s="709"/>
      <c r="BO356" s="709"/>
      <c r="BP356" s="709"/>
      <c r="BW356" s="959" t="str">
        <f t="shared" si="157"/>
        <v>A</v>
      </c>
      <c r="BX356" s="856"/>
      <c r="BY356" s="856"/>
      <c r="BZ356" s="856"/>
      <c r="CA356" s="856"/>
      <c r="CB356" s="856"/>
      <c r="DB356" s="3">
        <v>1</v>
      </c>
    </row>
    <row r="357" spans="12:106" ht="21" customHeight="1">
      <c r="L357" s="104" t="str">
        <f t="shared" si="179"/>
        <v>A</v>
      </c>
      <c r="M357" s="32" t="str">
        <f>M342</f>
        <v>B BAUDRUCHE DE COPAIN | | Auteur &gt; Guy KRENZE - Eric GODDYN - Arnaud NICOLAS - CEPROC 2002</v>
      </c>
      <c r="N357" s="33">
        <f>N342</f>
        <v>9.0500000000000007</v>
      </c>
      <c r="O357" s="32" t="str">
        <f>O342</f>
        <v>Kg</v>
      </c>
      <c r="P357" s="34" t="str">
        <f>P342</f>
        <v>Recette mère ► le Boudin en 4 déclinaisons</v>
      </c>
      <c r="Q357" s="92"/>
      <c r="R357" s="108"/>
      <c r="S357" s="94" t="str">
        <f t="shared" si="178"/>
        <v/>
      </c>
      <c r="T357" s="95">
        <v>50</v>
      </c>
      <c r="U357" s="105" t="s">
        <v>99</v>
      </c>
      <c r="V357" s="127">
        <v>1</v>
      </c>
      <c r="W357" s="920" t="s">
        <v>13111</v>
      </c>
      <c r="X357" s="1495">
        <f>IF(OR(ISBLANK(Q340),X340=0),0,Q357*V341)</f>
        <v>0</v>
      </c>
      <c r="Y357" s="101" cm="1">
        <f t="array" ref="Y357">IFERROR(_xlfn.LET(_xlpm.k,UPPER(TRIM(U357)),_xlpm.r,_xlfn.XLOOKUP(_xlpm.k,UPPER(TRIM(Q367:Z367)),Q368:Z368,_xlfn.XLOOKUP(_xlpm.k,UPPER(TRIM(Q369:Z369)),Q370:Z370)),_xlpm.r*T357*V357*V341*IF(ISBLANK(Q357),1,Q357)),0)</f>
        <v>5.5248618784530384E-2</v>
      </c>
      <c r="Z357" s="1475" t="str">
        <f>_xlfn.LET(_xlpm.unite,SUBSTITUTE(TRIM(U357)," (s)",""),_xlpm.val,Y357,_xlpm.estVol,COUNTIF(T367:Z367,_xlpm.unite)+COUNTIF(T369:Z369,_xlpm.unite)&gt;0,_xlpm.estPoids,COUNTIF(Q367:S367,_xlpm.unite)+COUNTIF(Q369:S369,_xlpm.unite)&gt;0,IF(_xlpm.estVol,IF(ROUND(_xlpm.val,3)&gt;=1,ROUND(_xlpm.val,3)&amp;" L",MAX(1,ROUND(_xlpm.val*100,0))&amp;" cl"),IF(_xlpm.estPoids,IF(ROUND(_xlpm.val,3)&gt;=1,ROUND(_xlpm.val,3)&amp;" Kg",MAX(1,ROUND(_xlpm.val*1000,0))&amp;" g"),"")))</f>
        <v>55 g</v>
      </c>
      <c r="AA357" s="5211"/>
      <c r="AB357" s="1178"/>
      <c r="AC357" s="1179"/>
      <c r="AD357" s="227" t="s">
        <v>22</v>
      </c>
      <c r="AE357" s="1027" t="str">
        <f t="shared" si="158"/>
        <v>A</v>
      </c>
      <c r="AF357" s="1028" t="str">
        <f t="shared" si="159"/>
        <v>B BAUDRUCHE DE COPAIN | | Auteur &gt; Guy KRENZE - Eric GODDYN - Arnaud NICOLAS - CEPROC 2002</v>
      </c>
      <c r="AG357" s="1029">
        <f t="shared" si="160"/>
        <v>9.0500000000000007</v>
      </c>
      <c r="AH357" s="1028" t="str">
        <f t="shared" si="161"/>
        <v>Kg</v>
      </c>
      <c r="AI357" s="1029" t="str">
        <f t="shared" si="162"/>
        <v>g</v>
      </c>
      <c r="AJ357" s="1029">
        <f t="shared" si="163"/>
        <v>1</v>
      </c>
      <c r="AK357" s="1043" cm="1">
        <f t="array" ref="AK357">IF(AE357&lt;&gt;"A","",IFERROR((IFERROR(_xlfn.XLOOKUP(TRIM(SUBSTITUTE(U357,CHAR(160)," ")),$BI$15:$BI$62,$BL$15:$BL$62),IFERROR(_xlfn.XLOOKUP(TRIM(SUBSTITUTE(U357,CHAR(160)," ")),$BJ$15:$BJ$62,$BL$15:$BL$62),_xlfn.XLOOKUP(TRIM(SUBSTITUTE(U357,CHAR(160)," ")),$BK$15:$BK$62,$BL$15:$BL$62))))*T357*IF(ISBLANK(Q357),1,Q357)+IFERROR(_xlfn.XLOOKUP("RECHERCHEX",TRIM(L357:AC357),L357:AC357),0),0))</f>
        <v>0.05</v>
      </c>
      <c r="AL357" s="1030" t="str">
        <f t="shared" si="164"/>
        <v>Kg</v>
      </c>
      <c r="AM357" s="5254" t="str">
        <f t="shared" si="181"/>
        <v>❾ Author reference &gt;</v>
      </c>
      <c r="AN357" s="1031">
        <f t="shared" si="165"/>
        <v>9.0500000000000007</v>
      </c>
      <c r="AO357" s="1031" t="str">
        <f t="shared" si="166"/>
        <v>Kg</v>
      </c>
      <c r="AP357" s="1044">
        <f t="shared" si="167"/>
        <v>40</v>
      </c>
      <c r="AQ357" s="5257" t="str">
        <f t="shared" si="168"/>
        <v>parts-ou.or.o ❾ + or - &gt;</v>
      </c>
      <c r="AR357" s="1056">
        <v>20</v>
      </c>
      <c r="AS357" s="1056" t="s">
        <v>143</v>
      </c>
      <c r="AT357" s="1045">
        <f t="shared" si="169"/>
        <v>0.11049723756906077</v>
      </c>
      <c r="AU357" s="1046" t="str">
        <f t="shared" si="170"/>
        <v>Kg</v>
      </c>
      <c r="AV357" s="1059" t="str" cm="1">
        <f t="array" ref="AV357">IF(AJ357&lt;&gt;1,0,IF(OR(AT357="",N(AT357)&lt;=0.000000001),"",IF(OR(AN357="",N(AN357)&lt;=0.000000001),0,IF(ISNUMBER(AT357),IFERROR(_xlfn.LET(_xlpm.ai_test,TRIM(AI357),_xlpm.r,IFERROR(_xlfn.XLOOKUP(_xlpm.ai_test,$BI$15:$BI$62,ROW($BI$15:$BI$62),0,1),IFERROR(_xlfn.XLOOKUP(_xlpm.ai_test,$BJ$15:$BJ$62,ROW($BJ$15:$BJ$62),0,1),_xlfn.XLOOKUP(_xlpm.ai_test,$BK$15:$BK$62,ROW($BK$15:$BK$62),0,1))),_xlpm.p,_xlpm.r-MIN(ROW($BI$15:$BI$62))+1,_xlpm.f,INDEX($BL$15:$BL$62,_xlpm.p),_xlpm.u,INDEX($BM$15:$BM$62,_xlpm.p),_xlpm.s,INDEX($BO$15:$BO$62,_xlpm.p),_xlpm.q,N(AT357)/_xlpm.f,IF(_xlpm.q&gt;=_xlpm.s,ROUND(_xlpm.q,1)&amp;" "&amp;_xlpm.ai_test&amp;" = "&amp;ROUND(_xlpm.q*_xlpm.f,1)&amp;" "&amp;_xlpm.u,ROUND(_xlpm.q,1)&amp;" "&amp;_xlpm.ai_test)),""),""))))</f>
        <v>110.5 g</v>
      </c>
      <c r="AW357" s="1047"/>
      <c r="AX357" s="1045">
        <f t="shared" si="171"/>
        <v>0.11049723756906077</v>
      </c>
      <c r="AY357" s="1046" t="str">
        <f t="shared" si="172"/>
        <v>Kg</v>
      </c>
      <c r="AZ357" s="1048">
        <f t="shared" si="177"/>
        <v>0</v>
      </c>
      <c r="BA357" s="1049" t="str">
        <f t="shared" si="173"/>
        <v/>
      </c>
      <c r="BB357" s="1038"/>
      <c r="BC357" s="1050">
        <f t="shared" si="180"/>
        <v>0</v>
      </c>
      <c r="BD357" s="1040" t="str">
        <f t="shared" si="174"/>
        <v>huile de noix</v>
      </c>
      <c r="BE357" s="227" t="s">
        <v>22</v>
      </c>
      <c r="BF357" s="1019">
        <f t="shared" si="175"/>
        <v>0</v>
      </c>
      <c r="BG357" s="1020">
        <f t="shared" si="176"/>
        <v>2.2099447513812152</v>
      </c>
      <c r="BH357"/>
      <c r="BI357" s="709"/>
      <c r="BJ357" s="709"/>
      <c r="BK357" s="709"/>
      <c r="BL357" s="709"/>
      <c r="BM357" s="709"/>
      <c r="BN357" s="709"/>
      <c r="BO357" s="709"/>
      <c r="BP357" s="709"/>
      <c r="BW357" s="959" t="str">
        <f t="shared" si="157"/>
        <v>A</v>
      </c>
      <c r="BX357" s="856"/>
      <c r="BY357" s="856"/>
      <c r="BZ357" s="856"/>
      <c r="CA357" s="856"/>
      <c r="CB357" s="856"/>
      <c r="DB357" s="3">
        <v>1</v>
      </c>
    </row>
    <row r="358" spans="12:106" ht="21" customHeight="1">
      <c r="L358" s="104" t="str">
        <f t="shared" si="179"/>
        <v>A</v>
      </c>
      <c r="M358" s="32" t="str">
        <f>M342</f>
        <v>B BAUDRUCHE DE COPAIN | | Auteur &gt; Guy KRENZE - Eric GODDYN - Arnaud NICOLAS - CEPROC 2002</v>
      </c>
      <c r="N358" s="33">
        <f>N342</f>
        <v>9.0500000000000007</v>
      </c>
      <c r="O358" s="32" t="str">
        <f>O342</f>
        <v>Kg</v>
      </c>
      <c r="P358" s="34" t="str">
        <f>P342</f>
        <v>Recette mère ► le Boudin en 4 déclinaisons</v>
      </c>
      <c r="Q358" s="92"/>
      <c r="R358" s="108"/>
      <c r="S358" s="94" t="str">
        <f t="shared" si="178"/>
        <v/>
      </c>
      <c r="T358" s="95">
        <v>100</v>
      </c>
      <c r="U358" s="105" t="s">
        <v>99</v>
      </c>
      <c r="V358" s="127">
        <v>1</v>
      </c>
      <c r="W358" s="920" t="s">
        <v>13112</v>
      </c>
      <c r="X358" s="1495">
        <f>IF(OR(ISBLANK(Q340),X340=0),0,Q358*V341)</f>
        <v>0</v>
      </c>
      <c r="Y358" s="101" cm="1">
        <f t="array" ref="Y358">IFERROR(_xlfn.LET(_xlpm.k,UPPER(TRIM(U358)),_xlpm.r,_xlfn.XLOOKUP(_xlpm.k,UPPER(TRIM(Q367:Z367)),Q368:Z368,_xlfn.XLOOKUP(_xlpm.k,UPPER(TRIM(Q369:Z369)),Q370:Z370)),_xlpm.r*T358*V358*V341*IF(ISBLANK(Q358),1,Q358)),0)</f>
        <v>0.11049723756906077</v>
      </c>
      <c r="Z358" s="1476" t="str">
        <f>_xlfn.LET(_xlpm.unite,SUBSTITUTE(TRIM(U358)," (s)",""),_xlpm.val,Y358,_xlpm.estVol,COUNTIF(T367:Z367,_xlpm.unite)+COUNTIF(T369:Z369,_xlpm.unite)&gt;0,_xlpm.estPoids,COUNTIF(Q367:S367,_xlpm.unite)+COUNTIF(Q369:S369,_xlpm.unite)&gt;0,IF(_xlpm.estVol,IF(ROUND(_xlpm.val,3)&gt;=1,ROUND(_xlpm.val,3)&amp;" L",MAX(1,ROUND(_xlpm.val*100,0))&amp;" cl"),IF(_xlpm.estPoids,IF(ROUND(_xlpm.val,3)&gt;=1,ROUND(_xlpm.val,3)&amp;" Kg",MAX(1,ROUND(_xlpm.val*1000,0))&amp;" g"),"")))</f>
        <v>110 g</v>
      </c>
      <c r="AA358" s="5211"/>
      <c r="AB358" s="1178"/>
      <c r="AC358" s="1179"/>
      <c r="AD358" s="227" t="s">
        <v>22</v>
      </c>
      <c r="AE358" s="1027" t="str">
        <f t="shared" si="158"/>
        <v>A</v>
      </c>
      <c r="AF358" s="1028" t="str">
        <f t="shared" si="159"/>
        <v>B BAUDRUCHE DE COPAIN | | Auteur &gt; Guy KRENZE - Eric GODDYN - Arnaud NICOLAS - CEPROC 2002</v>
      </c>
      <c r="AG358" s="1029">
        <f t="shared" si="160"/>
        <v>9.0500000000000007</v>
      </c>
      <c r="AH358" s="1028" t="str">
        <f t="shared" si="161"/>
        <v>Kg</v>
      </c>
      <c r="AI358" s="1029" t="str">
        <f t="shared" si="162"/>
        <v>g</v>
      </c>
      <c r="AJ358" s="1029">
        <f t="shared" si="163"/>
        <v>1</v>
      </c>
      <c r="AK358" s="1043" cm="1">
        <f t="array" ref="AK358">IF(AE358&lt;&gt;"A","",IFERROR((IFERROR(_xlfn.XLOOKUP(TRIM(SUBSTITUTE(U358,CHAR(160)," ")),$BI$15:$BI$62,$BL$15:$BL$62),IFERROR(_xlfn.XLOOKUP(TRIM(SUBSTITUTE(U358,CHAR(160)," ")),$BJ$15:$BJ$62,$BL$15:$BL$62),_xlfn.XLOOKUP(TRIM(SUBSTITUTE(U358,CHAR(160)," ")),$BK$15:$BK$62,$BL$15:$BL$62))))*T358*IF(ISBLANK(Q358),1,Q358)+IFERROR(_xlfn.XLOOKUP("RECHERCHEX",TRIM(L358:AC358),L358:AC358),0),0))</f>
        <v>0.1</v>
      </c>
      <c r="AL358" s="1030" t="str">
        <f t="shared" si="164"/>
        <v>Kg</v>
      </c>
      <c r="AM358" s="5254" t="str">
        <f t="shared" si="181"/>
        <v>❾ Author reference &gt;</v>
      </c>
      <c r="AN358" s="1031">
        <f t="shared" si="165"/>
        <v>9.0500000000000007</v>
      </c>
      <c r="AO358" s="1031" t="str">
        <f t="shared" si="166"/>
        <v>Kg</v>
      </c>
      <c r="AP358" s="1032">
        <f t="shared" si="167"/>
        <v>40</v>
      </c>
      <c r="AQ358" s="5255" t="str">
        <f t="shared" si="168"/>
        <v>parts-ou.or.o ❾ + or - &gt;</v>
      </c>
      <c r="AR358" s="1056">
        <v>20</v>
      </c>
      <c r="AS358" s="1056" t="s">
        <v>143</v>
      </c>
      <c r="AT358" s="1034">
        <f t="shared" si="169"/>
        <v>0.22099447513812154</v>
      </c>
      <c r="AU358" s="1035" t="str">
        <f t="shared" si="170"/>
        <v>Kg</v>
      </c>
      <c r="AV358" s="1057" t="str" cm="1">
        <f t="array" ref="AV358">IF(AJ358&lt;&gt;1,0,IF(OR(AT358="",N(AT358)&lt;=0.000000001),"",IF(OR(AN358="",N(AN358)&lt;=0.000000001),0,IF(ISNUMBER(AT358),IFERROR(_xlfn.LET(_xlpm.ai_test,TRIM(AI358),_xlpm.r,IFERROR(_xlfn.XLOOKUP(_xlpm.ai_test,$BI$15:$BI$62,ROW($BI$15:$BI$62),0,1),IFERROR(_xlfn.XLOOKUP(_xlpm.ai_test,$BJ$15:$BJ$62,ROW($BJ$15:$BJ$62),0,1),_xlfn.XLOOKUP(_xlpm.ai_test,$BK$15:$BK$62,ROW($BK$15:$BK$62),0,1))),_xlpm.p,_xlpm.r-MIN(ROW($BI$15:$BI$62))+1,_xlpm.f,INDEX($BL$15:$BL$62,_xlpm.p),_xlpm.u,INDEX($BM$15:$BM$62,_xlpm.p),_xlpm.s,INDEX($BO$15:$BO$62,_xlpm.p),_xlpm.q,N(AT358)/_xlpm.f,IF(_xlpm.q&gt;=_xlpm.s,ROUND(_xlpm.q,1)&amp;" "&amp;_xlpm.ai_test&amp;" = "&amp;ROUND(_xlpm.q*_xlpm.f,1)&amp;" "&amp;_xlpm.u,ROUND(_xlpm.q,1)&amp;" "&amp;_xlpm.ai_test)),""),""))))</f>
        <v>221 g</v>
      </c>
      <c r="AW358" s="1047"/>
      <c r="AX358" s="1034">
        <f t="shared" si="171"/>
        <v>0.22099447513812154</v>
      </c>
      <c r="AY358" s="1035" t="str">
        <f t="shared" si="172"/>
        <v>Kg</v>
      </c>
      <c r="AZ358" s="1036">
        <f t="shared" si="177"/>
        <v>0</v>
      </c>
      <c r="BA358" s="1037" t="str">
        <f t="shared" si="173"/>
        <v/>
      </c>
      <c r="BB358" s="1038"/>
      <c r="BC358" s="1039">
        <f t="shared" si="180"/>
        <v>0</v>
      </c>
      <c r="BD358" s="1040" t="str">
        <f t="shared" si="174"/>
        <v>saindoux ou graisse de canard</v>
      </c>
      <c r="BE358" s="227" t="s">
        <v>22</v>
      </c>
      <c r="BF358" s="1019">
        <f t="shared" si="175"/>
        <v>0</v>
      </c>
      <c r="BG358" s="1020">
        <f t="shared" si="176"/>
        <v>2.2099447513812152</v>
      </c>
      <c r="BH358"/>
      <c r="BI358" s="709"/>
      <c r="BJ358" s="709"/>
      <c r="BK358" s="709"/>
      <c r="BL358" s="709"/>
      <c r="BM358" s="709"/>
      <c r="BN358" s="709"/>
      <c r="BO358" s="709"/>
      <c r="BP358" s="709"/>
      <c r="BW358" s="959" t="str">
        <f t="shared" si="157"/>
        <v>A</v>
      </c>
      <c r="BX358" s="856"/>
      <c r="BY358" s="856"/>
      <c r="BZ358" s="856"/>
      <c r="CA358" s="856"/>
      <c r="CB358" s="856"/>
      <c r="DB358" s="3">
        <v>1</v>
      </c>
    </row>
    <row r="359" spans="12:106" ht="21" customHeight="1">
      <c r="L359" s="104" t="str">
        <f t="shared" si="179"/>
        <v>A</v>
      </c>
      <c r="M359" s="32" t="str">
        <f>M342</f>
        <v>B BAUDRUCHE DE COPAIN | | Auteur &gt; Guy KRENZE - Eric GODDYN - Arnaud NICOLAS - CEPROC 2002</v>
      </c>
      <c r="N359" s="33">
        <f>N342</f>
        <v>9.0500000000000007</v>
      </c>
      <c r="O359" s="32" t="str">
        <f>O342</f>
        <v>Kg</v>
      </c>
      <c r="P359" s="34" t="str">
        <f>P342</f>
        <v>Recette mère ► le Boudin en 4 déclinaisons</v>
      </c>
      <c r="Q359" s="92"/>
      <c r="R359" s="108"/>
      <c r="S359" s="94" t="str">
        <f t="shared" si="178"/>
        <v/>
      </c>
      <c r="T359" s="95"/>
      <c r="U359" s="126"/>
      <c r="V359" s="127">
        <v>1</v>
      </c>
      <c r="W359" s="5168" t="str">
        <f>"Poids sans les têtes "&amp;TEXT(ROUND(SUM(Y346:Y351,Y353:Y358),2),IF(TEXT(1,"0,00")="1,00", "# ##0,00", "#,##0.00")) &amp; "Kg"</f>
        <v>Poids sans les têtes ,6.69Kg</v>
      </c>
      <c r="X359" s="1495">
        <f>IF(OR(ISBLANK(Q340),X340=0),0,Q359*V341)</f>
        <v>0</v>
      </c>
      <c r="Y359" s="101" cm="1">
        <f t="array" ref="Y359">IFERROR(_xlfn.LET(_xlpm.k,UPPER(TRIM(U359)),_xlpm.r,_xlfn.XLOOKUP(_xlpm.k,UPPER(TRIM(Q367:Z367)),Q368:Z368,_xlfn.XLOOKUP(_xlpm.k,UPPER(TRIM(Q369:Z369)),Q370:Z370)),_xlpm.r*T359*V359*V341*IF(ISBLANK(Q359),1,Q359)),0)</f>
        <v>0</v>
      </c>
      <c r="Z359" s="1475" t="str">
        <f>_xlfn.LET(_xlpm.unite,SUBSTITUTE(TRIM(U359)," (s)",""),_xlpm.val,Y359,_xlpm.estVol,COUNTIF(T367:Z367,_xlpm.unite)+COUNTIF(T369:Z369,_xlpm.unite)&gt;0,_xlpm.estPoids,COUNTIF(Q367:S367,_xlpm.unite)+COUNTIF(Q369:S369,_xlpm.unite)&gt;0,IF(_xlpm.estVol,IF(ROUND(_xlpm.val,3)&gt;=1,ROUND(_xlpm.val,3)&amp;" L",MAX(1,ROUND(_xlpm.val*100,0))&amp;" cl"),IF(_xlpm.estPoids,IF(ROUND(_xlpm.val,3)&gt;=1,ROUND(_xlpm.val,3)&amp;" Kg",MAX(1,ROUND(_xlpm.val*1000,0))&amp;" g"),"")))</f>
        <v/>
      </c>
      <c r="AA359" s="5211"/>
      <c r="AB359" s="1178"/>
      <c r="AC359" s="1179"/>
      <c r="AD359" s="227" t="s">
        <v>22</v>
      </c>
      <c r="AE359" s="1027" t="str">
        <f t="shared" si="158"/>
        <v>►</v>
      </c>
      <c r="AF359" s="1028" t="str">
        <f t="shared" si="159"/>
        <v/>
      </c>
      <c r="AG359" s="1029" t="str">
        <f t="shared" si="160"/>
        <v/>
      </c>
      <c r="AH359" s="1028" t="str">
        <f t="shared" si="161"/>
        <v/>
      </c>
      <c r="AI359" s="1029" t="str">
        <f t="shared" si="162"/>
        <v/>
      </c>
      <c r="AJ359" s="1029">
        <f t="shared" si="163"/>
        <v>0</v>
      </c>
      <c r="AK359" s="1043" t="str" cm="1">
        <f t="array" ref="AK359">IF(AE359&lt;&gt;"A","",IFERROR((IFERROR(_xlfn.XLOOKUP(TRIM(SUBSTITUTE(U359,CHAR(160)," ")),$BI$15:$BI$62,$BL$15:$BL$62),IFERROR(_xlfn.XLOOKUP(TRIM(SUBSTITUTE(U359,CHAR(160)," ")),$BJ$15:$BJ$62,$BL$15:$BL$62),_xlfn.XLOOKUP(TRIM(SUBSTITUTE(U359,CHAR(160)," ")),$BK$15:$BK$62,$BL$15:$BL$62))))*T359*IF(ISBLANK(Q359),1,Q359)+IFERROR(_xlfn.XLOOKUP("RECHERCHEX",TRIM(L359:AC359),L359:AC359),0),0))</f>
        <v/>
      </c>
      <c r="AL359" s="1030">
        <f t="shared" si="164"/>
        <v>0</v>
      </c>
      <c r="AM359" s="5254" t="str">
        <f t="shared" si="181"/>
        <v/>
      </c>
      <c r="AN359" s="1031">
        <f t="shared" si="165"/>
        <v>0</v>
      </c>
      <c r="AO359" s="1031">
        <f t="shared" si="166"/>
        <v>0</v>
      </c>
      <c r="AP359" s="1044">
        <f t="shared" si="167"/>
        <v>0</v>
      </c>
      <c r="AQ359" s="5257" t="str">
        <f t="shared" si="168"/>
        <v/>
      </c>
      <c r="AR359" s="1056"/>
      <c r="AS359" s="1056"/>
      <c r="AT359" s="1045">
        <f t="shared" si="169"/>
        <v>0</v>
      </c>
      <c r="AU359" s="1046">
        <f t="shared" si="170"/>
        <v>0</v>
      </c>
      <c r="AV359" s="1059" cm="1">
        <f t="array" ref="AV359">IF(AJ359&lt;&gt;1,0,IF(OR(AT359="",N(AT359)&lt;=0.000000001),"",IF(OR(AN359="",N(AN359)&lt;=0.000000001),0,IF(ISNUMBER(AT359),IFERROR(_xlfn.LET(_xlpm.ai_test,TRIM(AI359),_xlpm.r,IFERROR(_xlfn.XLOOKUP(_xlpm.ai_test,$BI$15:$BI$62,ROW($BI$15:$BI$62),0,1),IFERROR(_xlfn.XLOOKUP(_xlpm.ai_test,$BJ$15:$BJ$62,ROW($BJ$15:$BJ$62),0,1),_xlfn.XLOOKUP(_xlpm.ai_test,$BK$15:$BK$62,ROW($BK$15:$BK$62),0,1))),_xlpm.p,_xlpm.r-MIN(ROW($BI$15:$BI$62))+1,_xlpm.f,INDEX($BL$15:$BL$62,_xlpm.p),_xlpm.u,INDEX($BM$15:$BM$62,_xlpm.p),_xlpm.s,INDEX($BO$15:$BO$62,_xlpm.p),_xlpm.q,N(AT359)/_xlpm.f,IF(_xlpm.q&gt;=_xlpm.s,ROUND(_xlpm.q,1)&amp;" "&amp;_xlpm.ai_test&amp;" = "&amp;ROUND(_xlpm.q*_xlpm.f,1)&amp;" "&amp;_xlpm.u,ROUND(_xlpm.q,1)&amp;" "&amp;_xlpm.ai_test)),""),""))))</f>
        <v>0</v>
      </c>
      <c r="AW359" s="1047"/>
      <c r="AX359" s="1045">
        <f t="shared" si="171"/>
        <v>0</v>
      </c>
      <c r="AY359" s="1046" t="str">
        <f t="shared" si="172"/>
        <v/>
      </c>
      <c r="AZ359" s="1048">
        <f t="shared" si="177"/>
        <v>0</v>
      </c>
      <c r="BA359" s="1049" t="str">
        <f t="shared" si="173"/>
        <v/>
      </c>
      <c r="BB359" s="1038"/>
      <c r="BC359" s="1050">
        <f t="shared" si="180"/>
        <v>0</v>
      </c>
      <c r="BD359" s="1040" t="str">
        <f t="shared" si="174"/>
        <v/>
      </c>
      <c r="BE359" s="227" t="s">
        <v>22</v>
      </c>
      <c r="BF359" s="1019">
        <f t="shared" si="175"/>
        <v>0</v>
      </c>
      <c r="BG359" s="1020">
        <f t="shared" si="176"/>
        <v>0</v>
      </c>
      <c r="BH359"/>
      <c r="BI359" s="709"/>
      <c r="BJ359" s="709"/>
      <c r="BK359" s="709"/>
      <c r="BL359" s="709"/>
      <c r="BM359" s="709"/>
      <c r="BN359" s="709"/>
      <c r="BO359" s="709"/>
      <c r="BP359" s="709"/>
      <c r="BW359" s="959" t="str">
        <f t="shared" si="157"/>
        <v>►</v>
      </c>
      <c r="BX359" s="856"/>
      <c r="BY359" s="856"/>
      <c r="BZ359" s="856"/>
      <c r="CA359" s="856"/>
      <c r="CB359" s="856"/>
      <c r="DB359" s="3">
        <v>1</v>
      </c>
    </row>
    <row r="360" spans="12:106" ht="21" customHeight="1">
      <c r="L360" s="104" t="str">
        <f t="shared" si="179"/>
        <v>A</v>
      </c>
      <c r="M360" s="32" t="str">
        <f>M342</f>
        <v>B BAUDRUCHE DE COPAIN | | Auteur &gt; Guy KRENZE - Eric GODDYN - Arnaud NICOLAS - CEPROC 2002</v>
      </c>
      <c r="N360" s="33">
        <f>N342</f>
        <v>9.0500000000000007</v>
      </c>
      <c r="O360" s="32" t="str">
        <f>O342</f>
        <v>Kg</v>
      </c>
      <c r="P360" s="34" t="str">
        <f>P342</f>
        <v>Recette mère ► le Boudin en 4 déclinaisons</v>
      </c>
      <c r="Q360" s="92"/>
      <c r="R360" s="108"/>
      <c r="S360" s="94" t="str">
        <f t="shared" si="178"/>
        <v/>
      </c>
      <c r="T360" s="95"/>
      <c r="U360" s="126"/>
      <c r="V360" s="127">
        <v>1</v>
      </c>
      <c r="W360" s="5169" t="s">
        <v>13116</v>
      </c>
      <c r="X360" s="5167">
        <f>IF(OR(ISBLANK(Q340),X340=0),0,Q360*V341)</f>
        <v>0</v>
      </c>
      <c r="Y360" s="101" cm="1">
        <f t="array" ref="Y360">IFERROR(_xlfn.LET(_xlpm.k,UPPER(TRIM(U360)),_xlpm.r,_xlfn.XLOOKUP(_xlpm.k,UPPER(TRIM(Q367:Z367)),Q368:Z368,_xlfn.XLOOKUP(_xlpm.k,UPPER(TRIM(Q369:Z369)),Q370:Z370)),_xlpm.r*T360*V360*V341*IF(ISBLANK(Q360),1,Q360)),0)</f>
        <v>0</v>
      </c>
      <c r="Z360" s="1476" t="str">
        <f>_xlfn.LET(_xlpm.unite,SUBSTITUTE(TRIM(U360)," (s)",""),_xlpm.val,Y360,_xlpm.estVol,COUNTIF(T367:Z367,_xlpm.unite)+COUNTIF(T369:Z369,_xlpm.unite)&gt;0,_xlpm.estPoids,COUNTIF(Q367:S367,_xlpm.unite)+COUNTIF(Q369:S369,_xlpm.unite)&gt;0,IF(_xlpm.estVol,IF(ROUND(_xlpm.val,3)&gt;=1,ROUND(_xlpm.val,3)&amp;" L",MAX(1,ROUND(_xlpm.val*100,0))&amp;" cl"),IF(_xlpm.estPoids,IF(ROUND(_xlpm.val,3)&gt;=1,ROUND(_xlpm.val,3)&amp;" Kg",MAX(1,ROUND(_xlpm.val*1000,0))&amp;" g"),"")))</f>
        <v/>
      </c>
      <c r="AA360" s="5211"/>
      <c r="AB360" s="1178"/>
      <c r="AC360" s="1179"/>
      <c r="AD360" s="227" t="s">
        <v>22</v>
      </c>
      <c r="AE360" s="1027" t="str">
        <f t="shared" si="158"/>
        <v>►</v>
      </c>
      <c r="AF360" s="1028" t="str">
        <f t="shared" si="159"/>
        <v/>
      </c>
      <c r="AG360" s="1029" t="str">
        <f t="shared" si="160"/>
        <v/>
      </c>
      <c r="AH360" s="1028" t="str">
        <f t="shared" si="161"/>
        <v/>
      </c>
      <c r="AI360" s="1029" t="str">
        <f t="shared" si="162"/>
        <v/>
      </c>
      <c r="AJ360" s="1029">
        <f t="shared" si="163"/>
        <v>0</v>
      </c>
      <c r="AK360" s="1043" t="str" cm="1">
        <f t="array" ref="AK360">IF(AE360&lt;&gt;"A","",IFERROR((IFERROR(_xlfn.XLOOKUP(TRIM(SUBSTITUTE(U360,CHAR(160)," ")),$BI$15:$BI$62,$BL$15:$BL$62),IFERROR(_xlfn.XLOOKUP(TRIM(SUBSTITUTE(U360,CHAR(160)," ")),$BJ$15:$BJ$62,$BL$15:$BL$62),_xlfn.XLOOKUP(TRIM(SUBSTITUTE(U360,CHAR(160)," ")),$BK$15:$BK$62,$BL$15:$BL$62))))*T360*IF(ISBLANK(Q360),1,Q360)+IFERROR(_xlfn.XLOOKUP("RECHERCHEX",TRIM(L360:AC360),L360:AC360),0),0))</f>
        <v/>
      </c>
      <c r="AL360" s="1030">
        <f t="shared" si="164"/>
        <v>0</v>
      </c>
      <c r="AM360" s="5254" t="str">
        <f t="shared" si="181"/>
        <v/>
      </c>
      <c r="AN360" s="1031">
        <f t="shared" si="165"/>
        <v>0</v>
      </c>
      <c r="AO360" s="1031">
        <f t="shared" si="166"/>
        <v>0</v>
      </c>
      <c r="AP360" s="1032">
        <f t="shared" si="167"/>
        <v>0</v>
      </c>
      <c r="AQ360" s="5255" t="str">
        <f t="shared" si="168"/>
        <v/>
      </c>
      <c r="AR360" s="1056"/>
      <c r="AS360" s="1056"/>
      <c r="AT360" s="1034">
        <f t="shared" si="169"/>
        <v>0</v>
      </c>
      <c r="AU360" s="1035">
        <f t="shared" si="170"/>
        <v>0</v>
      </c>
      <c r="AV360" s="1057" cm="1">
        <f t="array" ref="AV360">IF(AJ360&lt;&gt;1,0,IF(OR(AT360="",N(AT360)&lt;=0.000000001),"",IF(OR(AN360="",N(AN360)&lt;=0.000000001),0,IF(ISNUMBER(AT360),IFERROR(_xlfn.LET(_xlpm.ai_test,TRIM(AI360),_xlpm.r,IFERROR(_xlfn.XLOOKUP(_xlpm.ai_test,$BI$15:$BI$62,ROW($BI$15:$BI$62),0,1),IFERROR(_xlfn.XLOOKUP(_xlpm.ai_test,$BJ$15:$BJ$62,ROW($BJ$15:$BJ$62),0,1),_xlfn.XLOOKUP(_xlpm.ai_test,$BK$15:$BK$62,ROW($BK$15:$BK$62),0,1))),_xlpm.p,_xlpm.r-MIN(ROW($BI$15:$BI$62))+1,_xlpm.f,INDEX($BL$15:$BL$62,_xlpm.p),_xlpm.u,INDEX($BM$15:$BM$62,_xlpm.p),_xlpm.s,INDEX($BO$15:$BO$62,_xlpm.p),_xlpm.q,N(AT360)/_xlpm.f,IF(_xlpm.q&gt;=_xlpm.s,ROUND(_xlpm.q,1)&amp;" "&amp;_xlpm.ai_test&amp;" = "&amp;ROUND(_xlpm.q*_xlpm.f,1)&amp;" "&amp;_xlpm.u,ROUND(_xlpm.q,1)&amp;" "&amp;_xlpm.ai_test)),""),""))))</f>
        <v>0</v>
      </c>
      <c r="AW360" s="1047"/>
      <c r="AX360" s="1034">
        <f t="shared" si="171"/>
        <v>0</v>
      </c>
      <c r="AY360" s="1035" t="str">
        <f t="shared" si="172"/>
        <v/>
      </c>
      <c r="AZ360" s="1036">
        <f t="shared" si="177"/>
        <v>0</v>
      </c>
      <c r="BA360" s="1037" t="str">
        <f t="shared" si="173"/>
        <v/>
      </c>
      <c r="BB360" s="1038"/>
      <c r="BC360" s="1039">
        <f t="shared" si="180"/>
        <v>0</v>
      </c>
      <c r="BD360" s="1040" t="str">
        <f t="shared" si="174"/>
        <v/>
      </c>
      <c r="BE360" s="227" t="s">
        <v>22</v>
      </c>
      <c r="BF360" s="1019">
        <f t="shared" si="175"/>
        <v>0</v>
      </c>
      <c r="BG360" s="1020">
        <f t="shared" si="176"/>
        <v>0</v>
      </c>
      <c r="BH360"/>
      <c r="BI360" s="709"/>
      <c r="BJ360" s="709"/>
      <c r="BK360" s="709"/>
      <c r="BL360" s="709"/>
      <c r="BM360" s="709"/>
      <c r="BN360" s="709"/>
      <c r="BO360" s="709"/>
      <c r="BP360" s="709"/>
      <c r="BW360" s="959" t="str">
        <f t="shared" si="157"/>
        <v>►</v>
      </c>
      <c r="BX360" s="856"/>
      <c r="BY360" s="856"/>
      <c r="BZ360" s="856"/>
      <c r="CA360" s="856"/>
      <c r="CB360" s="856"/>
      <c r="DB360" s="3">
        <v>1</v>
      </c>
    </row>
    <row r="361" spans="12:106" ht="21" customHeight="1">
      <c r="L361" s="104" t="str">
        <f t="shared" si="179"/>
        <v>A</v>
      </c>
      <c r="M361" s="32" t="str">
        <f>M342</f>
        <v>B BAUDRUCHE DE COPAIN | | Auteur &gt; Guy KRENZE - Eric GODDYN - Arnaud NICOLAS - CEPROC 2002</v>
      </c>
      <c r="N361" s="33">
        <f>N342</f>
        <v>9.0500000000000007</v>
      </c>
      <c r="O361" s="32" t="str">
        <f>O342</f>
        <v>Kg</v>
      </c>
      <c r="P361" s="34" t="str">
        <f>P342</f>
        <v>Recette mère ► le Boudin en 4 déclinaisons</v>
      </c>
      <c r="Q361" s="92"/>
      <c r="R361" s="108"/>
      <c r="S361" s="94" t="str">
        <f t="shared" si="178"/>
        <v/>
      </c>
      <c r="T361" s="95"/>
      <c r="U361" s="126"/>
      <c r="V361" s="127">
        <v>1</v>
      </c>
      <c r="W361" s="5170" t="str">
        <f>"sel fin 30 g/kg = "&amp;TEXT(ROUND(SUM(Y346:Y351,Y353:Y358)*30/1000,3),IF(TEXT(1,"0,00")="1,00","0,000","0.000"))&amp;" Kg = "&amp;TEXT(ROUND(SUM(Y346:Y351,Y353:Y358)*30,0),IF(TEXT(1,"0,00")="1,00","# ##0","#,##0"))&amp;" g"</f>
        <v>sel fin 30 g/kg = 0.201 Kg = ,201 g</v>
      </c>
      <c r="X361" s="5172">
        <f>IF(OR(ISBLANK(Q340),X340=0),0,Q361*V341)</f>
        <v>0</v>
      </c>
      <c r="Y361" s="101" cm="1">
        <f t="array" ref="Y361">IFERROR(_xlfn.LET(_xlpm.k,UPPER(TRIM(U361)),_xlpm.r,_xlfn.XLOOKUP(_xlpm.k,UPPER(TRIM(Q367:Z367)),Q368:Z368,_xlfn.XLOOKUP(_xlpm.k,UPPER(TRIM(Q369:Z369)),Q370:Z370)),_xlpm.r*T361*V361*V341*IF(ISBLANK(Q361),1,Q361)),0)</f>
        <v>0</v>
      </c>
      <c r="Z361" s="1475" t="str">
        <f>_xlfn.LET(_xlpm.unite,SUBSTITUTE(TRIM(U361)," (s)",""),_xlpm.val,Y361,_xlpm.estVol,COUNTIF(T367:Z367,_xlpm.unite)+COUNTIF(T369:Z369,_xlpm.unite)&gt;0,_xlpm.estPoids,COUNTIF(Q367:S367,_xlpm.unite)+COUNTIF(Q369:S369,_xlpm.unite)&gt;0,IF(_xlpm.estVol,IF(ROUND(_xlpm.val,3)&gt;=1,ROUND(_xlpm.val,3)&amp;" L",MAX(1,ROUND(_xlpm.val*100,0))&amp;" cl"),IF(_xlpm.estPoids,IF(ROUND(_xlpm.val,3)&gt;=1,ROUND(_xlpm.val,3)&amp;" Kg",MAX(1,ROUND(_xlpm.val*1000,0))&amp;" g"),"")))</f>
        <v/>
      </c>
      <c r="AA361" s="5211"/>
      <c r="AB361" s="1178"/>
      <c r="AC361" s="1179"/>
      <c r="AD361" s="227" t="s">
        <v>22</v>
      </c>
      <c r="AE361" s="1027" t="str">
        <f t="shared" si="158"/>
        <v>►</v>
      </c>
      <c r="AF361" s="1028" t="str">
        <f t="shared" si="159"/>
        <v/>
      </c>
      <c r="AG361" s="1029" t="str">
        <f t="shared" si="160"/>
        <v/>
      </c>
      <c r="AH361" s="1028" t="str">
        <f t="shared" si="161"/>
        <v/>
      </c>
      <c r="AI361" s="1029" t="str">
        <f t="shared" si="162"/>
        <v/>
      </c>
      <c r="AJ361" s="1029">
        <f t="shared" si="163"/>
        <v>0</v>
      </c>
      <c r="AK361" s="1043" t="str" cm="1">
        <f t="array" ref="AK361">IF(AE361&lt;&gt;"A","",IFERROR((IFERROR(_xlfn.XLOOKUP(TRIM(SUBSTITUTE(U361,CHAR(160)," ")),$BI$15:$BI$62,$BL$15:$BL$62),IFERROR(_xlfn.XLOOKUP(TRIM(SUBSTITUTE(U361,CHAR(160)," ")),$BJ$15:$BJ$62,$BL$15:$BL$62),_xlfn.XLOOKUP(TRIM(SUBSTITUTE(U361,CHAR(160)," ")),$BK$15:$BK$62,$BL$15:$BL$62))))*T361*IF(ISBLANK(Q361),1,Q361)+IFERROR(_xlfn.XLOOKUP("RECHERCHEX",TRIM(L361:AC361),L361:AC361),0),0))</f>
        <v/>
      </c>
      <c r="AL361" s="1030">
        <f t="shared" si="164"/>
        <v>0</v>
      </c>
      <c r="AM361" s="5254" t="str">
        <f t="shared" si="181"/>
        <v/>
      </c>
      <c r="AN361" s="1031">
        <f t="shared" si="165"/>
        <v>0</v>
      </c>
      <c r="AO361" s="1031">
        <f t="shared" si="166"/>
        <v>0</v>
      </c>
      <c r="AP361" s="1044">
        <f t="shared" si="167"/>
        <v>0</v>
      </c>
      <c r="AQ361" s="5257" t="str">
        <f t="shared" si="168"/>
        <v/>
      </c>
      <c r="AR361" s="1056"/>
      <c r="AS361" s="1056"/>
      <c r="AT361" s="1045">
        <f t="shared" si="169"/>
        <v>0</v>
      </c>
      <c r="AU361" s="1046">
        <f t="shared" si="170"/>
        <v>0</v>
      </c>
      <c r="AV361" s="1059" cm="1">
        <f t="array" ref="AV361">IF(AJ361&lt;&gt;1,0,IF(OR(AT361="",N(AT361)&lt;=0.000000001),"",IF(OR(AN361="",N(AN361)&lt;=0.000000001),0,IF(ISNUMBER(AT361),IFERROR(_xlfn.LET(_xlpm.ai_test,TRIM(AI361),_xlpm.r,IFERROR(_xlfn.XLOOKUP(_xlpm.ai_test,$BI$15:$BI$62,ROW($BI$15:$BI$62),0,1),IFERROR(_xlfn.XLOOKUP(_xlpm.ai_test,$BJ$15:$BJ$62,ROW($BJ$15:$BJ$62),0,1),_xlfn.XLOOKUP(_xlpm.ai_test,$BK$15:$BK$62,ROW($BK$15:$BK$62),0,1))),_xlpm.p,_xlpm.r-MIN(ROW($BI$15:$BI$62))+1,_xlpm.f,INDEX($BL$15:$BL$62,_xlpm.p),_xlpm.u,INDEX($BM$15:$BM$62,_xlpm.p),_xlpm.s,INDEX($BO$15:$BO$62,_xlpm.p),_xlpm.q,N(AT361)/_xlpm.f,IF(_xlpm.q&gt;=_xlpm.s,ROUND(_xlpm.q,1)&amp;" "&amp;_xlpm.ai_test&amp;" = "&amp;ROUND(_xlpm.q*_xlpm.f,1)&amp;" "&amp;_xlpm.u,ROUND(_xlpm.q,1)&amp;" "&amp;_xlpm.ai_test)),""),""))))</f>
        <v>0</v>
      </c>
      <c r="AW361" s="1047"/>
      <c r="AX361" s="1045">
        <f t="shared" si="171"/>
        <v>0</v>
      </c>
      <c r="AY361" s="1046" t="str">
        <f t="shared" si="172"/>
        <v/>
      </c>
      <c r="AZ361" s="1048">
        <f t="shared" si="177"/>
        <v>0</v>
      </c>
      <c r="BA361" s="1049" t="str">
        <f t="shared" si="173"/>
        <v/>
      </c>
      <c r="BB361" s="1038"/>
      <c r="BC361" s="1050">
        <f t="shared" si="180"/>
        <v>0</v>
      </c>
      <c r="BD361" s="1040" t="str">
        <f t="shared" si="174"/>
        <v/>
      </c>
      <c r="BE361" s="227" t="s">
        <v>22</v>
      </c>
      <c r="BF361" s="1019">
        <f t="shared" si="175"/>
        <v>0</v>
      </c>
      <c r="BG361" s="1020">
        <f t="shared" si="176"/>
        <v>0</v>
      </c>
      <c r="BH361"/>
      <c r="BI361" s="709"/>
      <c r="BJ361" s="709"/>
      <c r="BK361" s="709"/>
      <c r="BL361" s="709"/>
      <c r="BM361" s="709"/>
      <c r="BN361" s="709"/>
      <c r="BO361" s="709"/>
      <c r="BP361" s="709"/>
      <c r="BW361" s="959" t="str">
        <f t="shared" si="157"/>
        <v>►</v>
      </c>
      <c r="BX361" s="856"/>
      <c r="BY361" s="856"/>
      <c r="BZ361" s="856"/>
      <c r="CA361" s="856"/>
      <c r="CB361" s="856"/>
      <c r="DB361" s="3">
        <v>1</v>
      </c>
    </row>
    <row r="362" spans="12:106" ht="21" customHeight="1">
      <c r="L362" s="104" t="str">
        <f>IF(W361&lt;&gt;"","A","►")</f>
        <v>A</v>
      </c>
      <c r="M362" s="32" t="str">
        <f>M342</f>
        <v>B BAUDRUCHE DE COPAIN | | Auteur &gt; Guy KRENZE - Eric GODDYN - Arnaud NICOLAS - CEPROC 2002</v>
      </c>
      <c r="N362" s="33">
        <f>N342</f>
        <v>9.0500000000000007</v>
      </c>
      <c r="O362" s="32" t="str">
        <f>O342</f>
        <v>Kg</v>
      </c>
      <c r="P362" s="34" t="str">
        <f>P342</f>
        <v>Recette mère ► le Boudin en 4 déclinaisons</v>
      </c>
      <c r="Q362" s="92"/>
      <c r="R362" s="108"/>
      <c r="S362" s="94" t="str">
        <f t="shared" si="178"/>
        <v/>
      </c>
      <c r="T362" s="95"/>
      <c r="U362" s="126"/>
      <c r="V362" s="127">
        <v>1</v>
      </c>
      <c r="X362" s="5172">
        <f>IF(OR(ISBLANK(Q340),X340=0),0,Q362*V341)</f>
        <v>0</v>
      </c>
      <c r="Y362" s="101" cm="1">
        <f t="array" ref="Y362">IFERROR(_xlfn.LET(_xlpm.k,UPPER(TRIM(U362)),_xlpm.r,_xlfn.XLOOKUP(_xlpm.k,UPPER(TRIM(Q367:Z367)),Q368:Z368,_xlfn.XLOOKUP(_xlpm.k,UPPER(TRIM(Q369:Z369)),Q370:Z370)),_xlpm.r*T362*V362*V341*IF(ISBLANK(Q362),1,Q362)),0)</f>
        <v>0</v>
      </c>
      <c r="Z362" s="1476" t="str">
        <f>_xlfn.LET(_xlpm.unite,SUBSTITUTE(TRIM(U362)," (s)",""),_xlpm.val,Y362,_xlpm.estVol,COUNTIF(T367:Z367,_xlpm.unite)+COUNTIF(T369:Z369,_xlpm.unite)&gt;0,_xlpm.estPoids,COUNTIF(Q367:S367,_xlpm.unite)+COUNTIF(Q369:S369,_xlpm.unite)&gt;0,IF(_xlpm.estVol,IF(ROUND(_xlpm.val,3)&gt;=1,ROUND(_xlpm.val,3)&amp;" L",MAX(1,ROUND(_xlpm.val*100,0))&amp;" cl"),IF(_xlpm.estPoids,IF(ROUND(_xlpm.val,3)&gt;=1,ROUND(_xlpm.val,3)&amp;" Kg",MAX(1,ROUND(_xlpm.val*1000,0))&amp;" g"),"")))</f>
        <v/>
      </c>
      <c r="AA362" s="5211"/>
      <c r="AB362" s="1178"/>
      <c r="AC362" s="1179"/>
      <c r="AD362" s="227" t="s">
        <v>22</v>
      </c>
      <c r="AE362" s="1027" t="str">
        <f t="shared" si="158"/>
        <v>►</v>
      </c>
      <c r="AF362" s="1028" t="str">
        <f t="shared" si="159"/>
        <v/>
      </c>
      <c r="AG362" s="1029" t="str">
        <f t="shared" si="160"/>
        <v/>
      </c>
      <c r="AH362" s="1028" t="str">
        <f t="shared" si="161"/>
        <v/>
      </c>
      <c r="AI362" s="1029" t="str">
        <f t="shared" si="162"/>
        <v/>
      </c>
      <c r="AJ362" s="1029">
        <f t="shared" si="163"/>
        <v>0</v>
      </c>
      <c r="AK362" s="1043" t="str" cm="1">
        <f t="array" ref="AK362">IF(AE362&lt;&gt;"A","",IFERROR((IFERROR(_xlfn.XLOOKUP(TRIM(SUBSTITUTE(U362,CHAR(160)," ")),$BI$15:$BI$62,$BL$15:$BL$62),IFERROR(_xlfn.XLOOKUP(TRIM(SUBSTITUTE(U362,CHAR(160)," ")),$BJ$15:$BJ$62,$BL$15:$BL$62),_xlfn.XLOOKUP(TRIM(SUBSTITUTE(U362,CHAR(160)," ")),$BK$15:$BK$62,$BL$15:$BL$62))))*T362*IF(ISBLANK(Q362),1,Q362)+IFERROR(_xlfn.XLOOKUP("RECHERCHEX",TRIM(L362:AC362),L362:AC362),0),0))</f>
        <v/>
      </c>
      <c r="AL362" s="1030">
        <f t="shared" si="164"/>
        <v>0</v>
      </c>
      <c r="AM362" s="5254" t="str">
        <f t="shared" si="181"/>
        <v/>
      </c>
      <c r="AN362" s="1031">
        <f t="shared" si="165"/>
        <v>0</v>
      </c>
      <c r="AO362" s="1031">
        <f t="shared" si="166"/>
        <v>0</v>
      </c>
      <c r="AP362" s="1032">
        <f t="shared" si="167"/>
        <v>0</v>
      </c>
      <c r="AQ362" s="5255" t="str">
        <f t="shared" si="168"/>
        <v/>
      </c>
      <c r="AR362" s="1056"/>
      <c r="AS362" s="1056"/>
      <c r="AT362" s="1034">
        <f t="shared" si="169"/>
        <v>0</v>
      </c>
      <c r="AU362" s="1035">
        <f t="shared" si="170"/>
        <v>0</v>
      </c>
      <c r="AV362" s="1057" cm="1">
        <f t="array" ref="AV362">IF(AJ362&lt;&gt;1,0,IF(OR(AT362="",N(AT362)&lt;=0.000000001),"",IF(OR(AN362="",N(AN362)&lt;=0.000000001),0,IF(ISNUMBER(AT362),IFERROR(_xlfn.LET(_xlpm.ai_test,TRIM(AI362),_xlpm.r,IFERROR(_xlfn.XLOOKUP(_xlpm.ai_test,$BI$15:$BI$62,ROW($BI$15:$BI$62),0,1),IFERROR(_xlfn.XLOOKUP(_xlpm.ai_test,$BJ$15:$BJ$62,ROW($BJ$15:$BJ$62),0,1),_xlfn.XLOOKUP(_xlpm.ai_test,$BK$15:$BK$62,ROW($BK$15:$BK$62),0,1))),_xlpm.p,_xlpm.r-MIN(ROW($BI$15:$BI$62))+1,_xlpm.f,INDEX($BL$15:$BL$62,_xlpm.p),_xlpm.u,INDEX($BM$15:$BM$62,_xlpm.p),_xlpm.s,INDEX($BO$15:$BO$62,_xlpm.p),_xlpm.q,N(AT362)/_xlpm.f,IF(_xlpm.q&gt;=_xlpm.s,ROUND(_xlpm.q,1)&amp;" "&amp;_xlpm.ai_test&amp;" = "&amp;ROUND(_xlpm.q*_xlpm.f,1)&amp;" "&amp;_xlpm.u,ROUND(_xlpm.q,1)&amp;" "&amp;_xlpm.ai_test)),""),""))))</f>
        <v>0</v>
      </c>
      <c r="AW362" s="1047"/>
      <c r="AX362" s="1034">
        <f t="shared" si="171"/>
        <v>0</v>
      </c>
      <c r="AY362" s="1035" t="str">
        <f t="shared" si="172"/>
        <v/>
      </c>
      <c r="AZ362" s="1036">
        <f t="shared" si="177"/>
        <v>0</v>
      </c>
      <c r="BA362" s="1037" t="str">
        <f t="shared" si="173"/>
        <v/>
      </c>
      <c r="BB362" s="1038"/>
      <c r="BC362" s="1039">
        <f t="shared" si="180"/>
        <v>0</v>
      </c>
      <c r="BD362" s="1040" t="str">
        <f t="shared" si="174"/>
        <v/>
      </c>
      <c r="BE362" s="227" t="s">
        <v>22</v>
      </c>
      <c r="BF362" s="1019">
        <f t="shared" si="175"/>
        <v>0</v>
      </c>
      <c r="BG362" s="1020">
        <f t="shared" si="176"/>
        <v>0</v>
      </c>
      <c r="BH362"/>
      <c r="BI362" s="709"/>
      <c r="BJ362" s="709"/>
      <c r="BK362" s="709"/>
      <c r="BL362" s="709"/>
      <c r="BM362" s="709"/>
      <c r="BN362" s="709"/>
      <c r="BO362" s="709"/>
      <c r="BP362" s="709"/>
      <c r="BW362" s="959" t="str">
        <f t="shared" si="157"/>
        <v>►</v>
      </c>
      <c r="BX362" s="856"/>
      <c r="BY362" s="856"/>
      <c r="BZ362" s="856"/>
      <c r="CA362" s="856"/>
      <c r="CB362" s="856"/>
      <c r="DB362" s="3">
        <v>1</v>
      </c>
    </row>
    <row r="363" spans="12:106" ht="21" customHeight="1">
      <c r="L363" s="104" t="str">
        <f t="shared" si="179"/>
        <v>A</v>
      </c>
      <c r="M363" s="32" t="str">
        <f>M342</f>
        <v>B BAUDRUCHE DE COPAIN | | Auteur &gt; Guy KRENZE - Eric GODDYN - Arnaud NICOLAS - CEPROC 2002</v>
      </c>
      <c r="N363" s="33">
        <f>N342</f>
        <v>9.0500000000000007</v>
      </c>
      <c r="O363" s="32" t="str">
        <f>O342</f>
        <v>Kg</v>
      </c>
      <c r="P363" s="34" t="str">
        <f>P342</f>
        <v>Recette mère ► le Boudin en 4 déclinaisons</v>
      </c>
      <c r="Q363" s="92"/>
      <c r="R363" s="108"/>
      <c r="S363" s="94" t="str">
        <f t="shared" si="178"/>
        <v/>
      </c>
      <c r="T363" s="95"/>
      <c r="U363" s="126"/>
      <c r="V363" s="127">
        <v>1</v>
      </c>
      <c r="W363" s="5171" t="s">
        <v>13115</v>
      </c>
      <c r="X363" s="5172">
        <f>IF(OR(ISBLANK(Q340),X340=0),0,Q363*V341)</f>
        <v>0</v>
      </c>
      <c r="Y363" s="101" cm="1">
        <f t="array" ref="Y363">IFERROR(_xlfn.LET(_xlpm.k,UPPER(TRIM(U363)),_xlpm.r,_xlfn.XLOOKUP(_xlpm.k,UPPER(TRIM(Q367:Z367)),Q368:Z368,_xlfn.XLOOKUP(_xlpm.k,UPPER(TRIM(Q369:Z369)),Q370:Z370)),_xlpm.r*T363*V363*V341*IF(ISBLANK(Q363),1,Q363)),0)</f>
        <v>0</v>
      </c>
      <c r="Z363" s="1476" t="str">
        <f>_xlfn.LET(_xlpm.unite,SUBSTITUTE(TRIM(U363)," (s)",""),_xlpm.val,Y363,_xlpm.estVol,COUNTIF(T367:Z367,_xlpm.unite)+COUNTIF(T369:Z369,_xlpm.unite)&gt;0,_xlpm.estPoids,COUNTIF(Q367:S367,_xlpm.unite)+COUNTIF(Q369:S369,_xlpm.unite)&gt;0,IF(_xlpm.estVol,IF(ROUND(_xlpm.val,3)&gt;=1,ROUND(_xlpm.val,3)&amp;" L",MAX(1,ROUND(_xlpm.val*100,0))&amp;" cl"),IF(_xlpm.estPoids,IF(ROUND(_xlpm.val,3)&gt;=1,ROUND(_xlpm.val,3)&amp;" Kg",MAX(1,ROUND(_xlpm.val*1000,0))&amp;" g"),"")))</f>
        <v/>
      </c>
      <c r="AA363" s="5211"/>
      <c r="AB363" s="1178"/>
      <c r="AC363" s="1179"/>
      <c r="AD363" s="227" t="s">
        <v>22</v>
      </c>
      <c r="AE363" s="1027" t="str">
        <f t="shared" si="158"/>
        <v>►</v>
      </c>
      <c r="AF363" s="1028" t="str">
        <f t="shared" si="159"/>
        <v/>
      </c>
      <c r="AG363" s="1029" t="str">
        <f t="shared" si="160"/>
        <v/>
      </c>
      <c r="AH363" s="1028" t="str">
        <f t="shared" si="161"/>
        <v/>
      </c>
      <c r="AI363" s="1029" t="str">
        <f t="shared" si="162"/>
        <v/>
      </c>
      <c r="AJ363" s="1029">
        <f t="shared" si="163"/>
        <v>0</v>
      </c>
      <c r="AK363" s="1043" t="str" cm="1">
        <f t="array" ref="AK363">IF(AE363&lt;&gt;"A","",IFERROR((IFERROR(_xlfn.XLOOKUP(TRIM(SUBSTITUTE(U363,CHAR(160)," ")),$BI$15:$BI$62,$BL$15:$BL$62),IFERROR(_xlfn.XLOOKUP(TRIM(SUBSTITUTE(U363,CHAR(160)," ")),$BJ$15:$BJ$62,$BL$15:$BL$62),_xlfn.XLOOKUP(TRIM(SUBSTITUTE(U363,CHAR(160)," ")),$BK$15:$BK$62,$BL$15:$BL$62))))*T363*IF(ISBLANK(Q363),1,Q363)+IFERROR(_xlfn.XLOOKUP("RECHERCHEX",TRIM(L363:AC363),L363:AC363),0),0))</f>
        <v/>
      </c>
      <c r="AL363" s="1030">
        <f t="shared" si="164"/>
        <v>0</v>
      </c>
      <c r="AM363" s="5254" t="str">
        <f t="shared" si="181"/>
        <v/>
      </c>
      <c r="AN363" s="1031">
        <f t="shared" si="165"/>
        <v>0</v>
      </c>
      <c r="AO363" s="1031">
        <f t="shared" si="166"/>
        <v>0</v>
      </c>
      <c r="AP363" s="1044">
        <f t="shared" si="167"/>
        <v>0</v>
      </c>
      <c r="AQ363" s="5257" t="str">
        <f t="shared" si="168"/>
        <v/>
      </c>
      <c r="AR363" s="1056"/>
      <c r="AS363" s="1056"/>
      <c r="AT363" s="1045">
        <f t="shared" si="169"/>
        <v>0</v>
      </c>
      <c r="AU363" s="1046">
        <f t="shared" si="170"/>
        <v>0</v>
      </c>
      <c r="AV363" s="1059" cm="1">
        <f t="array" ref="AV363">IF(AJ363&lt;&gt;1,0,IF(OR(AT363="",N(AT363)&lt;=0.000000001),"",IF(OR(AN363="",N(AN363)&lt;=0.000000001),0,IF(ISNUMBER(AT363),IFERROR(_xlfn.LET(_xlpm.ai_test,TRIM(AI363),_xlpm.r,IFERROR(_xlfn.XLOOKUP(_xlpm.ai_test,$BI$15:$BI$62,ROW($BI$15:$BI$62),0,1),IFERROR(_xlfn.XLOOKUP(_xlpm.ai_test,$BJ$15:$BJ$62,ROW($BJ$15:$BJ$62),0,1),_xlfn.XLOOKUP(_xlpm.ai_test,$BK$15:$BK$62,ROW($BK$15:$BK$62),0,1))),_xlpm.p,_xlpm.r-MIN(ROW($BI$15:$BI$62))+1,_xlpm.f,INDEX($BL$15:$BL$62,_xlpm.p),_xlpm.u,INDEX($BM$15:$BM$62,_xlpm.p),_xlpm.s,INDEX($BO$15:$BO$62,_xlpm.p),_xlpm.q,N(AT363)/_xlpm.f,IF(_xlpm.q&gt;=_xlpm.s,ROUND(_xlpm.q,1)&amp;" "&amp;_xlpm.ai_test&amp;" = "&amp;ROUND(_xlpm.q*_xlpm.f,1)&amp;" "&amp;_xlpm.u,ROUND(_xlpm.q,1)&amp;" "&amp;_xlpm.ai_test)),""),""))))</f>
        <v>0</v>
      </c>
      <c r="AW363" s="1047"/>
      <c r="AX363" s="1045">
        <f t="shared" si="171"/>
        <v>0</v>
      </c>
      <c r="AY363" s="1046" t="str">
        <f t="shared" si="172"/>
        <v/>
      </c>
      <c r="AZ363" s="1048">
        <f t="shared" si="177"/>
        <v>0</v>
      </c>
      <c r="BA363" s="1049" t="str">
        <f t="shared" si="173"/>
        <v/>
      </c>
      <c r="BB363" s="1038"/>
      <c r="BC363" s="1050">
        <f t="shared" si="180"/>
        <v>0</v>
      </c>
      <c r="BD363" s="1040" t="str">
        <f t="shared" si="174"/>
        <v/>
      </c>
      <c r="BE363" s="227" t="s">
        <v>22</v>
      </c>
      <c r="BF363" s="1019">
        <f t="shared" si="175"/>
        <v>0</v>
      </c>
      <c r="BG363" s="1020">
        <f t="shared" si="176"/>
        <v>0</v>
      </c>
      <c r="BH363"/>
      <c r="BI363" s="709"/>
      <c r="BJ363" s="709"/>
      <c r="BK363" s="709"/>
      <c r="BL363" s="709"/>
      <c r="BM363" s="709"/>
      <c r="BN363" s="709"/>
      <c r="BO363" s="709"/>
      <c r="BP363" s="709"/>
      <c r="BW363" s="959" t="str">
        <f t="shared" si="157"/>
        <v>►</v>
      </c>
      <c r="BX363" s="856"/>
      <c r="BY363" s="856"/>
      <c r="BZ363" s="856"/>
      <c r="CA363" s="856"/>
      <c r="CB363" s="856"/>
      <c r="DB363" s="3">
        <v>1</v>
      </c>
    </row>
    <row r="364" spans="12:106" ht="21" customHeight="1">
      <c r="L364" s="104" t="str">
        <f t="shared" si="179"/>
        <v>A</v>
      </c>
      <c r="M364" s="32" t="str">
        <f>M342</f>
        <v>B BAUDRUCHE DE COPAIN | | Auteur &gt; Guy KRENZE - Eric GODDYN - Arnaud NICOLAS - CEPROC 2002</v>
      </c>
      <c r="N364" s="33">
        <f>N342</f>
        <v>9.0500000000000007</v>
      </c>
      <c r="O364" s="32" t="str">
        <f>O342</f>
        <v>Kg</v>
      </c>
      <c r="P364" s="34" t="str">
        <f>P342</f>
        <v>Recette mère ► le Boudin en 4 déclinaisons</v>
      </c>
      <c r="Q364" s="92"/>
      <c r="R364" s="108"/>
      <c r="S364" s="94" t="str">
        <f t="shared" si="178"/>
        <v/>
      </c>
      <c r="T364" s="95"/>
      <c r="U364" s="126"/>
      <c r="V364" s="127">
        <v>1</v>
      </c>
      <c r="W364" s="5166" t="str">
        <f>"épices 1 g/kg = "&amp;TEXT(ROUND(SUM(Y346:Y351,Y353:Y358)*10/1000,3),IF(TEXT(1,"0,00")="1,00","0,000","0.000"))&amp;" Kg = "&amp;TEXT(ROUND(SUM(Y346:Y351,Y353:Y358)*10,0),IF(TEXT(1,"0,00")="1,00","# ##0","#,##0"))&amp;" g"</f>
        <v>épices 1 g/kg = 0.067 Kg = ,67 g</v>
      </c>
      <c r="X364" s="5167">
        <f>IF(OR(ISBLANK(Q340),X340=0),0,Q364*V341)</f>
        <v>0</v>
      </c>
      <c r="Y364" s="101" cm="1">
        <f t="array" ref="Y364">IFERROR(_xlfn.LET(_xlpm.k,UPPER(TRIM(U364)),_xlpm.r,_xlfn.XLOOKUP(_xlpm.k,UPPER(TRIM(Q367:Z367)),Q368:Z368,_xlfn.XLOOKUP(_xlpm.k,UPPER(TRIM(Q369:Z369)),Q370:Z370)),_xlpm.r*T364*V364*V341*IF(ISBLANK(Q364),1,Q364)),0)</f>
        <v>0</v>
      </c>
      <c r="Z364" s="1475" t="str">
        <f>_xlfn.LET(_xlpm.unite,SUBSTITUTE(TRIM(U364)," (s)",""),_xlpm.val,Y364,_xlpm.estVol,COUNTIF(T367:Z367,_xlpm.unite)+COUNTIF(T369:Z369,_xlpm.unite)&gt;0,_xlpm.estPoids,COUNTIF(Q367:S367,_xlpm.unite)+COUNTIF(Q369:S369,_xlpm.unite)&gt;0,IF(_xlpm.estVol,IF(ROUND(_xlpm.val,3)&gt;=1,ROUND(_xlpm.val,3)&amp;" L",MAX(1,ROUND(_xlpm.val*100,0))&amp;" cl"),IF(_xlpm.estPoids,IF(ROUND(_xlpm.val,3)&gt;=1,ROUND(_xlpm.val,3)&amp;" Kg",MAX(1,ROUND(_xlpm.val*1000,0))&amp;" g"),"")))</f>
        <v/>
      </c>
      <c r="AA364" s="5211"/>
      <c r="AB364" s="1178"/>
      <c r="AC364" s="1179"/>
      <c r="AD364" s="227" t="s">
        <v>22</v>
      </c>
      <c r="AE364" s="1027" t="str">
        <f t="shared" si="158"/>
        <v>►</v>
      </c>
      <c r="AF364" s="1028" t="str">
        <f t="shared" si="159"/>
        <v/>
      </c>
      <c r="AG364" s="1029" t="str">
        <f t="shared" si="160"/>
        <v/>
      </c>
      <c r="AH364" s="1028" t="str">
        <f t="shared" si="161"/>
        <v/>
      </c>
      <c r="AI364" s="1029" t="str">
        <f t="shared" si="162"/>
        <v/>
      </c>
      <c r="AJ364" s="1029">
        <f t="shared" si="163"/>
        <v>0</v>
      </c>
      <c r="AK364" s="1043" t="str" cm="1">
        <f t="array" ref="AK364">IF(AE364&lt;&gt;"A","",IFERROR((IFERROR(_xlfn.XLOOKUP(TRIM(SUBSTITUTE(U364,CHAR(160)," ")),$BI$15:$BI$62,$BL$15:$BL$62),IFERROR(_xlfn.XLOOKUP(TRIM(SUBSTITUTE(U364,CHAR(160)," ")),$BJ$15:$BJ$62,$BL$15:$BL$62),_xlfn.XLOOKUP(TRIM(SUBSTITUTE(U364,CHAR(160)," ")),$BK$15:$BK$62,$BL$15:$BL$62))))*T364*IF(ISBLANK(Q364),1,Q364)+IFERROR(_xlfn.XLOOKUP("RECHERCHEX",TRIM(L364:AC364),L364:AC364),0),0))</f>
        <v/>
      </c>
      <c r="AL364" s="1030">
        <f t="shared" si="164"/>
        <v>0</v>
      </c>
      <c r="AM364" s="5254" t="str">
        <f t="shared" si="181"/>
        <v/>
      </c>
      <c r="AN364" s="1031">
        <f t="shared" si="165"/>
        <v>0</v>
      </c>
      <c r="AO364" s="1031">
        <f t="shared" si="166"/>
        <v>0</v>
      </c>
      <c r="AP364" s="1032">
        <f t="shared" si="167"/>
        <v>0</v>
      </c>
      <c r="AQ364" s="5255" t="str">
        <f t="shared" si="168"/>
        <v/>
      </c>
      <c r="AR364" s="1056"/>
      <c r="AS364" s="1056"/>
      <c r="AT364" s="1034">
        <f t="shared" si="169"/>
        <v>0</v>
      </c>
      <c r="AU364" s="1035">
        <f t="shared" si="170"/>
        <v>0</v>
      </c>
      <c r="AV364" s="1057" cm="1">
        <f t="array" ref="AV364">IF(AJ364&lt;&gt;1,0,IF(OR(AT364="",N(AT364)&lt;=0.000000001),"",IF(OR(AN364="",N(AN364)&lt;=0.000000001),0,IF(ISNUMBER(AT364),IFERROR(_xlfn.LET(_xlpm.ai_test,TRIM(AI364),_xlpm.r,IFERROR(_xlfn.XLOOKUP(_xlpm.ai_test,$BI$15:$BI$62,ROW($BI$15:$BI$62),0,1),IFERROR(_xlfn.XLOOKUP(_xlpm.ai_test,$BJ$15:$BJ$62,ROW($BJ$15:$BJ$62),0,1),_xlfn.XLOOKUP(_xlpm.ai_test,$BK$15:$BK$62,ROW($BK$15:$BK$62),0,1))),_xlpm.p,_xlpm.r-MIN(ROW($BI$15:$BI$62))+1,_xlpm.f,INDEX($BL$15:$BL$62,_xlpm.p),_xlpm.u,INDEX($BM$15:$BM$62,_xlpm.p),_xlpm.s,INDEX($BO$15:$BO$62,_xlpm.p),_xlpm.q,N(AT364)/_xlpm.f,IF(_xlpm.q&gt;=_xlpm.s,ROUND(_xlpm.q,1)&amp;" "&amp;_xlpm.ai_test&amp;" = "&amp;ROUND(_xlpm.q*_xlpm.f,1)&amp;" "&amp;_xlpm.u,ROUND(_xlpm.q,1)&amp;" "&amp;_xlpm.ai_test)),""),""))))</f>
        <v>0</v>
      </c>
      <c r="AW364" s="1047"/>
      <c r="AX364" s="1034">
        <f t="shared" si="171"/>
        <v>0</v>
      </c>
      <c r="AY364" s="1035" t="str">
        <f t="shared" si="172"/>
        <v/>
      </c>
      <c r="AZ364" s="1036">
        <f t="shared" si="177"/>
        <v>0</v>
      </c>
      <c r="BA364" s="1037" t="str">
        <f t="shared" si="173"/>
        <v/>
      </c>
      <c r="BB364" s="1038"/>
      <c r="BC364" s="1039">
        <f t="shared" si="180"/>
        <v>0</v>
      </c>
      <c r="BD364" s="1040" t="str">
        <f t="shared" si="174"/>
        <v/>
      </c>
      <c r="BE364" s="227" t="s">
        <v>22</v>
      </c>
      <c r="BF364" s="1019">
        <f t="shared" si="175"/>
        <v>0</v>
      </c>
      <c r="BG364" s="1020">
        <f t="shared" si="176"/>
        <v>0</v>
      </c>
      <c r="BH364"/>
      <c r="BI364" s="709"/>
      <c r="BJ364" s="709"/>
      <c r="BK364" s="709"/>
      <c r="BL364" s="709"/>
      <c r="BM364" s="709"/>
      <c r="BN364" s="709"/>
      <c r="BO364" s="709"/>
      <c r="BP364" s="709"/>
      <c r="BW364" s="959" t="str">
        <f t="shared" si="157"/>
        <v>►</v>
      </c>
      <c r="BX364" s="856"/>
      <c r="BY364" s="856"/>
      <c r="BZ364" s="856"/>
      <c r="CA364" s="856"/>
      <c r="CB364" s="856"/>
      <c r="DB364" s="3">
        <v>1</v>
      </c>
    </row>
    <row r="365" spans="12:106" ht="21" customHeight="1">
      <c r="L365" s="104" t="str">
        <f t="shared" si="179"/>
        <v>A</v>
      </c>
      <c r="M365" s="32" t="str">
        <f>M342</f>
        <v>B BAUDRUCHE DE COPAIN | | Auteur &gt; Guy KRENZE - Eric GODDYN - Arnaud NICOLAS - CEPROC 2002</v>
      </c>
      <c r="N365" s="33">
        <f>N342</f>
        <v>9.0500000000000007</v>
      </c>
      <c r="O365" s="32" t="str">
        <f>O342</f>
        <v>Kg</v>
      </c>
      <c r="P365" s="34" t="str">
        <f>P342</f>
        <v>Recette mère ► le Boudin en 4 déclinaisons</v>
      </c>
      <c r="Q365" s="92"/>
      <c r="R365" s="108"/>
      <c r="S365" s="94" t="str">
        <f t="shared" si="178"/>
        <v/>
      </c>
      <c r="T365" s="95"/>
      <c r="U365" s="126"/>
      <c r="V365" s="127">
        <v>1</v>
      </c>
      <c r="W365" s="920" t="s">
        <v>13113</v>
      </c>
      <c r="X365" s="1495">
        <f>IF(OR(ISBLANK(Q340),X340=0),0,Q365*V341)</f>
        <v>0</v>
      </c>
      <c r="Y365" s="101" cm="1">
        <f t="array" ref="Y365">IFERROR(_xlfn.LET(_xlpm.k,UPPER(TRIM(U365)),_xlpm.r,_xlfn.XLOOKUP(_xlpm.k,UPPER(TRIM(Q367:Z367)),Q368:Z368,_xlfn.XLOOKUP(_xlpm.k,UPPER(TRIM(Q369:Z369)),Q370:Z370)),_xlpm.r*T365*V365*V341*IF(ISBLANK(Q365),1,Q365)),0)</f>
        <v>0</v>
      </c>
      <c r="Z365" s="1475" t="str">
        <f>_xlfn.LET(_xlpm.unite,SUBSTITUTE(TRIM(U365)," (s)",""),_xlpm.val,Y365,_xlpm.estVol,COUNTIF(T367:Z367,_xlpm.unite)+COUNTIF(T369:Z369,_xlpm.unite)&gt;0,_xlpm.estPoids,COUNTIF(Q367:S367,_xlpm.unite)+COUNTIF(Q369:S369,_xlpm.unite)&gt;0,IF(_xlpm.estVol,IF(ROUND(_xlpm.val,3)&gt;=1,ROUND(_xlpm.val,3)&amp;" L",MAX(1,ROUND(_xlpm.val*100,0))&amp;" cl"),IF(_xlpm.estPoids,IF(ROUND(_xlpm.val,3)&gt;=1,ROUND(_xlpm.val,3)&amp;" Kg",MAX(1,ROUND(_xlpm.val*1000,0))&amp;" g"),"")))</f>
        <v/>
      </c>
      <c r="AA365" s="5211"/>
      <c r="AB365" s="1178"/>
      <c r="AC365" s="1179"/>
      <c r="AD365" s="227" t="s">
        <v>22</v>
      </c>
      <c r="AE365" s="1027" t="str">
        <f t="shared" si="158"/>
        <v>►</v>
      </c>
      <c r="AF365" s="1028" t="str">
        <f t="shared" si="159"/>
        <v/>
      </c>
      <c r="AG365" s="1029" t="str">
        <f t="shared" si="160"/>
        <v/>
      </c>
      <c r="AH365" s="1028" t="str">
        <f t="shared" si="161"/>
        <v/>
      </c>
      <c r="AI365" s="1029" t="str">
        <f t="shared" si="162"/>
        <v/>
      </c>
      <c r="AJ365" s="1029">
        <f t="shared" si="163"/>
        <v>0</v>
      </c>
      <c r="AK365" s="1043" t="str" cm="1">
        <f t="array" ref="AK365">IF(AE365&lt;&gt;"A","",IFERROR((IFERROR(_xlfn.XLOOKUP(TRIM(SUBSTITUTE(U365,CHAR(160)," ")),$BI$15:$BI$62,$BL$15:$BL$62),IFERROR(_xlfn.XLOOKUP(TRIM(SUBSTITUTE(U365,CHAR(160)," ")),$BJ$15:$BJ$62,$BL$15:$BL$62),_xlfn.XLOOKUP(TRIM(SUBSTITUTE(U365,CHAR(160)," ")),$BK$15:$BK$62,$BL$15:$BL$62))))*T365*IF(ISBLANK(Q365),1,Q365)+IFERROR(_xlfn.XLOOKUP("RECHERCHEX",TRIM(L365:AC365),L365:AC365),0),0))</f>
        <v/>
      </c>
      <c r="AL365" s="1030">
        <f t="shared" si="164"/>
        <v>0</v>
      </c>
      <c r="AM365" s="5254" t="str">
        <f t="shared" si="181"/>
        <v/>
      </c>
      <c r="AN365" s="1031">
        <f t="shared" si="165"/>
        <v>0</v>
      </c>
      <c r="AO365" s="1031">
        <f t="shared" si="166"/>
        <v>0</v>
      </c>
      <c r="AP365" s="1044">
        <f t="shared" si="167"/>
        <v>0</v>
      </c>
      <c r="AQ365" s="5257" t="str">
        <f t="shared" si="168"/>
        <v/>
      </c>
      <c r="AR365" s="1056"/>
      <c r="AS365" s="1056"/>
      <c r="AT365" s="1045">
        <f t="shared" si="169"/>
        <v>0</v>
      </c>
      <c r="AU365" s="1046">
        <f t="shared" si="170"/>
        <v>0</v>
      </c>
      <c r="AV365" s="1059" cm="1">
        <f t="array" ref="AV365">IF(AJ365&lt;&gt;1,0,IF(OR(AT365="",N(AT365)&lt;=0.000000001),"",IF(OR(AN365="",N(AN365)&lt;=0.000000001),0,IF(ISNUMBER(AT365),IFERROR(_xlfn.LET(_xlpm.ai_test,TRIM(AI365),_xlpm.r,IFERROR(_xlfn.XLOOKUP(_xlpm.ai_test,$BI$15:$BI$62,ROW($BI$15:$BI$62),0,1),IFERROR(_xlfn.XLOOKUP(_xlpm.ai_test,$BJ$15:$BJ$62,ROW($BJ$15:$BJ$62),0,1),_xlfn.XLOOKUP(_xlpm.ai_test,$BK$15:$BK$62,ROW($BK$15:$BK$62),0,1))),_xlpm.p,_xlpm.r-MIN(ROW($BI$15:$BI$62))+1,_xlpm.f,INDEX($BL$15:$BL$62,_xlpm.p),_xlpm.u,INDEX($BM$15:$BM$62,_xlpm.p),_xlpm.s,INDEX($BO$15:$BO$62,_xlpm.p),_xlpm.q,N(AT365)/_xlpm.f,IF(_xlpm.q&gt;=_xlpm.s,ROUND(_xlpm.q,1)&amp;" "&amp;_xlpm.ai_test&amp;" = "&amp;ROUND(_xlpm.q*_xlpm.f,1)&amp;" "&amp;_xlpm.u,ROUND(_xlpm.q,1)&amp;" "&amp;_xlpm.ai_test)),""),""))))</f>
        <v>0</v>
      </c>
      <c r="AW365" s="1047"/>
      <c r="AX365" s="1045">
        <f t="shared" si="171"/>
        <v>0</v>
      </c>
      <c r="AY365" s="1046" t="str">
        <f t="shared" si="172"/>
        <v/>
      </c>
      <c r="AZ365" s="1048">
        <f t="shared" si="177"/>
        <v>0</v>
      </c>
      <c r="BA365" s="1049" t="str">
        <f t="shared" si="173"/>
        <v/>
      </c>
      <c r="BB365" s="1038"/>
      <c r="BC365" s="1050">
        <f t="shared" si="180"/>
        <v>0</v>
      </c>
      <c r="BD365" s="1040" t="str">
        <f t="shared" si="174"/>
        <v/>
      </c>
      <c r="BE365" s="227" t="s">
        <v>22</v>
      </c>
      <c r="BF365" s="1019">
        <f t="shared" si="175"/>
        <v>0</v>
      </c>
      <c r="BG365" s="1020">
        <f t="shared" si="176"/>
        <v>0</v>
      </c>
      <c r="BH365"/>
      <c r="BI365" s="709"/>
      <c r="BJ365" s="709"/>
      <c r="BK365" s="709"/>
      <c r="BL365" s="709"/>
      <c r="BM365" s="709"/>
      <c r="BN365" s="709"/>
      <c r="BO365" s="709"/>
      <c r="BP365" s="709"/>
      <c r="BW365" s="959" t="str">
        <f t="shared" si="157"/>
        <v>►</v>
      </c>
      <c r="BX365" s="856"/>
      <c r="BY365" s="856"/>
      <c r="BZ365" s="856"/>
      <c r="CA365" s="856"/>
      <c r="CB365" s="856"/>
      <c r="DB365" s="3">
        <v>1</v>
      </c>
    </row>
    <row r="366" spans="12:106" ht="21" customHeight="1">
      <c r="L366" s="104" t="s">
        <v>11</v>
      </c>
      <c r="M366" s="32" t="str">
        <f>M342</f>
        <v>B BAUDRUCHE DE COPAIN | | Auteur &gt; Guy KRENZE - Eric GODDYN - Arnaud NICOLAS - CEPROC 2002</v>
      </c>
      <c r="N366" s="33">
        <f>N342</f>
        <v>9.0500000000000007</v>
      </c>
      <c r="O366" s="32" t="str">
        <f>O342</f>
        <v>Kg</v>
      </c>
      <c r="P366" s="34" t="str">
        <f>P342</f>
        <v>Recette mère ► le Boudin en 4 déclinaisons</v>
      </c>
      <c r="Q366" s="907" t="s">
        <v>136</v>
      </c>
      <c r="R366" s="500"/>
      <c r="S366" s="500"/>
      <c r="T366" s="500"/>
      <c r="U366" s="500"/>
      <c r="V366" s="908"/>
      <c r="W366" s="909"/>
      <c r="X366" s="909"/>
      <c r="Y366" s="910">
        <f>SUM(Y346:Y365)</f>
        <v>9.9999999999999982</v>
      </c>
      <c r="Z366" s="1489"/>
      <c r="AA366" s="5211"/>
      <c r="AB366" s="1178"/>
      <c r="AC366" s="1179"/>
      <c r="AD366" s="227" t="s">
        <v>22</v>
      </c>
      <c r="AE366" s="1027" t="str">
        <f t="shared" si="158"/>
        <v>►</v>
      </c>
      <c r="AF366" s="1028" t="str">
        <f t="shared" si="159"/>
        <v/>
      </c>
      <c r="AG366" s="1029" t="str">
        <f t="shared" si="160"/>
        <v/>
      </c>
      <c r="AH366" s="1028" t="str">
        <f t="shared" si="161"/>
        <v/>
      </c>
      <c r="AI366" s="1029" t="str">
        <f t="shared" si="162"/>
        <v/>
      </c>
      <c r="AJ366" s="1029">
        <f t="shared" si="163"/>
        <v>0</v>
      </c>
      <c r="AK366" s="1043" t="str" cm="1">
        <f t="array" ref="AK366">IF(AE366&lt;&gt;"A","",IFERROR((IFERROR(_xlfn.XLOOKUP(TRIM(SUBSTITUTE(U366,CHAR(160)," ")),$BI$15:$BI$62,$BL$15:$BL$62),IFERROR(_xlfn.XLOOKUP(TRIM(SUBSTITUTE(U366,CHAR(160)," ")),$BJ$15:$BJ$62,$BL$15:$BL$62),_xlfn.XLOOKUP(TRIM(SUBSTITUTE(U366,CHAR(160)," ")),$BK$15:$BK$62,$BL$15:$BL$62))))*T366*IF(ISBLANK(Q366),1,Q366)+IFERROR(_xlfn.XLOOKUP("RECHERCHEX",TRIM(L366:AC366),L366:AC366),0),0))</f>
        <v/>
      </c>
      <c r="AL366" s="1030">
        <f t="shared" si="164"/>
        <v>0</v>
      </c>
      <c r="AM366" s="5254" t="str">
        <f t="shared" si="181"/>
        <v/>
      </c>
      <c r="AN366" s="1031">
        <f t="shared" si="165"/>
        <v>0</v>
      </c>
      <c r="AO366" s="1031">
        <f t="shared" si="166"/>
        <v>0</v>
      </c>
      <c r="AP366" s="1032">
        <f t="shared" si="167"/>
        <v>0</v>
      </c>
      <c r="AQ366" s="5255" t="str">
        <f t="shared" si="168"/>
        <v/>
      </c>
      <c r="AR366" s="1056"/>
      <c r="AS366" s="1056"/>
      <c r="AT366" s="1034">
        <f t="shared" si="169"/>
        <v>0</v>
      </c>
      <c r="AU366" s="1035">
        <f t="shared" si="170"/>
        <v>0</v>
      </c>
      <c r="AV366" s="1057" cm="1">
        <f t="array" ref="AV366">IF(AJ366&lt;&gt;1,0,IF(OR(AT366="",N(AT366)&lt;=0.000000001),"",IF(OR(AN366="",N(AN366)&lt;=0.000000001),0,IF(ISNUMBER(AT366),IFERROR(_xlfn.LET(_xlpm.ai_test,TRIM(AI366),_xlpm.r,IFERROR(_xlfn.XLOOKUP(_xlpm.ai_test,$BI$15:$BI$62,ROW($BI$15:$BI$62),0,1),IFERROR(_xlfn.XLOOKUP(_xlpm.ai_test,$BJ$15:$BJ$62,ROW($BJ$15:$BJ$62),0,1),_xlfn.XLOOKUP(_xlpm.ai_test,$BK$15:$BK$62,ROW($BK$15:$BK$62),0,1))),_xlpm.p,_xlpm.r-MIN(ROW($BI$15:$BI$62))+1,_xlpm.f,INDEX($BL$15:$BL$62,_xlpm.p),_xlpm.u,INDEX($BM$15:$BM$62,_xlpm.p),_xlpm.s,INDEX($BO$15:$BO$62,_xlpm.p),_xlpm.q,N(AT366)/_xlpm.f,IF(_xlpm.q&gt;=_xlpm.s,ROUND(_xlpm.q,1)&amp;" "&amp;_xlpm.ai_test&amp;" = "&amp;ROUND(_xlpm.q*_xlpm.f,1)&amp;" "&amp;_xlpm.u,ROUND(_xlpm.q,1)&amp;" "&amp;_xlpm.ai_test)),""),""))))</f>
        <v>0</v>
      </c>
      <c r="AW366" s="1047"/>
      <c r="AX366" s="1034">
        <f t="shared" si="171"/>
        <v>0</v>
      </c>
      <c r="AY366" s="1035" t="str">
        <f t="shared" si="172"/>
        <v/>
      </c>
      <c r="AZ366" s="1036">
        <f t="shared" si="177"/>
        <v>0</v>
      </c>
      <c r="BA366" s="1037" t="str">
        <f t="shared" si="173"/>
        <v/>
      </c>
      <c r="BB366" s="1038"/>
      <c r="BC366" s="1039">
        <f t="shared" si="180"/>
        <v>0</v>
      </c>
      <c r="BD366" s="1040" t="str">
        <f t="shared" si="174"/>
        <v/>
      </c>
      <c r="BE366" s="227" t="s">
        <v>22</v>
      </c>
      <c r="BF366" s="1019">
        <f t="shared" si="175"/>
        <v>0</v>
      </c>
      <c r="BG366" s="1020">
        <f t="shared" si="176"/>
        <v>0</v>
      </c>
      <c r="BH366"/>
      <c r="BI366" s="709"/>
      <c r="BJ366" s="709"/>
      <c r="BK366" s="709"/>
      <c r="BL366" s="709"/>
      <c r="BM366" s="709"/>
      <c r="BN366" s="709"/>
      <c r="BO366" s="709"/>
      <c r="BP366" s="709"/>
      <c r="BW366" s="959" t="str">
        <f t="shared" si="157"/>
        <v>►</v>
      </c>
      <c r="BX366" s="856"/>
      <c r="BY366" s="856"/>
      <c r="BZ366" s="856"/>
      <c r="CA366" s="856"/>
      <c r="CB366" s="856"/>
      <c r="DB366" s="3">
        <v>1</v>
      </c>
    </row>
    <row r="367" spans="12:106" ht="21" customHeight="1">
      <c r="L367" s="104" t="s">
        <v>16</v>
      </c>
      <c r="M367" s="32" t="str">
        <f>M342</f>
        <v>B BAUDRUCHE DE COPAIN | | Auteur &gt; Guy KRENZE - Eric GODDYN - Arnaud NICOLAS - CEPROC 2002</v>
      </c>
      <c r="N367" s="33">
        <f>N342</f>
        <v>9.0500000000000007</v>
      </c>
      <c r="O367" s="32" t="str">
        <f>O342</f>
        <v>Kg</v>
      </c>
      <c r="P367" s="34" t="str">
        <f>P342</f>
        <v>Recette mère ► le Boudin en 4 déclinaisons</v>
      </c>
      <c r="Q367" s="140" t="s">
        <v>143</v>
      </c>
      <c r="R367" s="105" t="s">
        <v>99</v>
      </c>
      <c r="S367" s="141" t="s">
        <v>144</v>
      </c>
      <c r="T367" s="96" t="s">
        <v>0</v>
      </c>
      <c r="U367" s="96" t="s">
        <v>96</v>
      </c>
      <c r="V367" s="96" t="s">
        <v>147</v>
      </c>
      <c r="W367" s="96" t="s">
        <v>148</v>
      </c>
      <c r="X367" s="109" t="s">
        <v>364</v>
      </c>
      <c r="Y367" s="109" t="s">
        <v>102</v>
      </c>
      <c r="Z367" s="109" t="s">
        <v>149</v>
      </c>
      <c r="AA367" s="5211"/>
      <c r="AB367" s="1178"/>
      <c r="AC367" s="1179"/>
      <c r="AD367" s="227" t="s">
        <v>22</v>
      </c>
      <c r="AE367" s="1027" t="str">
        <f t="shared" si="158"/>
        <v>►</v>
      </c>
      <c r="AF367" s="1028" t="str">
        <f t="shared" si="159"/>
        <v/>
      </c>
      <c r="AG367" s="1029" t="str">
        <f t="shared" si="160"/>
        <v/>
      </c>
      <c r="AH367" s="1028" t="str">
        <f t="shared" si="161"/>
        <v/>
      </c>
      <c r="AI367" s="1029" t="str">
        <f t="shared" si="162"/>
        <v/>
      </c>
      <c r="AJ367" s="1029">
        <f t="shared" si="163"/>
        <v>0</v>
      </c>
      <c r="AK367" s="1043" t="str" cm="1">
        <f t="array" ref="AK367">IF(AE367&lt;&gt;"A","",IFERROR((IFERROR(_xlfn.XLOOKUP(TRIM(SUBSTITUTE(U367,CHAR(160)," ")),$BI$15:$BI$62,$BL$15:$BL$62),IFERROR(_xlfn.XLOOKUP(TRIM(SUBSTITUTE(U367,CHAR(160)," ")),$BJ$15:$BJ$62,$BL$15:$BL$62),_xlfn.XLOOKUP(TRIM(SUBSTITUTE(U367,CHAR(160)," ")),$BK$15:$BK$62,$BL$15:$BL$62))))*T367*IF(ISBLANK(Q367),1,Q367)+IFERROR(_xlfn.XLOOKUP("RECHERCHEX",TRIM(L367:AC367),L367:AC367),0),0))</f>
        <v/>
      </c>
      <c r="AL367" s="1030">
        <f t="shared" si="164"/>
        <v>0</v>
      </c>
      <c r="AM367" s="5254" t="str">
        <f t="shared" si="181"/>
        <v/>
      </c>
      <c r="AN367" s="1031">
        <f t="shared" si="165"/>
        <v>0</v>
      </c>
      <c r="AO367" s="1031">
        <f t="shared" si="166"/>
        <v>0</v>
      </c>
      <c r="AP367" s="1044">
        <f t="shared" si="167"/>
        <v>0</v>
      </c>
      <c r="AQ367" s="5257" t="str">
        <f t="shared" si="168"/>
        <v/>
      </c>
      <c r="AR367" s="1056"/>
      <c r="AS367" s="1056"/>
      <c r="AT367" s="1045">
        <f t="shared" si="169"/>
        <v>0</v>
      </c>
      <c r="AU367" s="1046">
        <f t="shared" si="170"/>
        <v>0</v>
      </c>
      <c r="AV367" s="1059" cm="1">
        <f t="array" ref="AV367">IF(AJ367&lt;&gt;1,0,IF(OR(AT367="",N(AT367)&lt;=0.000000001),"",IF(OR(AN367="",N(AN367)&lt;=0.000000001),0,IF(ISNUMBER(AT367),IFERROR(_xlfn.LET(_xlpm.ai_test,TRIM(AI367),_xlpm.r,IFERROR(_xlfn.XLOOKUP(_xlpm.ai_test,$BI$15:$BI$62,ROW($BI$15:$BI$62),0,1),IFERROR(_xlfn.XLOOKUP(_xlpm.ai_test,$BJ$15:$BJ$62,ROW($BJ$15:$BJ$62),0,1),_xlfn.XLOOKUP(_xlpm.ai_test,$BK$15:$BK$62,ROW($BK$15:$BK$62),0,1))),_xlpm.p,_xlpm.r-MIN(ROW($BI$15:$BI$62))+1,_xlpm.f,INDEX($BL$15:$BL$62,_xlpm.p),_xlpm.u,INDEX($BM$15:$BM$62,_xlpm.p),_xlpm.s,INDEX($BO$15:$BO$62,_xlpm.p),_xlpm.q,N(AT367)/_xlpm.f,IF(_xlpm.q&gt;=_xlpm.s,ROUND(_xlpm.q,1)&amp;" "&amp;_xlpm.ai_test&amp;" = "&amp;ROUND(_xlpm.q*_xlpm.f,1)&amp;" "&amp;_xlpm.u,ROUND(_xlpm.q,1)&amp;" "&amp;_xlpm.ai_test)),""),""))))</f>
        <v>0</v>
      </c>
      <c r="AW367" s="1047"/>
      <c r="AX367" s="1045">
        <f t="shared" si="171"/>
        <v>0</v>
      </c>
      <c r="AY367" s="1046" t="str">
        <f t="shared" si="172"/>
        <v/>
      </c>
      <c r="AZ367" s="1048">
        <f t="shared" si="177"/>
        <v>0</v>
      </c>
      <c r="BA367" s="1049" t="str">
        <f t="shared" si="173"/>
        <v/>
      </c>
      <c r="BB367" s="1038"/>
      <c r="BC367" s="1050">
        <f t="shared" si="180"/>
        <v>0</v>
      </c>
      <c r="BD367" s="1040" t="str">
        <f t="shared" si="174"/>
        <v/>
      </c>
      <c r="BE367" s="227" t="s">
        <v>22</v>
      </c>
      <c r="BF367" s="1019">
        <f t="shared" si="175"/>
        <v>0</v>
      </c>
      <c r="BG367" s="1020">
        <f t="shared" si="176"/>
        <v>0</v>
      </c>
      <c r="BH367"/>
      <c r="BI367" s="709"/>
      <c r="BJ367" s="709"/>
      <c r="BK367" s="709"/>
      <c r="BL367" s="709"/>
      <c r="BM367" s="709"/>
      <c r="BN367" s="709"/>
      <c r="BO367" s="709"/>
      <c r="BP367" s="709"/>
      <c r="BW367" s="959" t="str">
        <f t="shared" si="157"/>
        <v>►</v>
      </c>
      <c r="BX367" s="856"/>
      <c r="BY367" s="856"/>
      <c r="BZ367" s="856"/>
      <c r="CA367" s="856"/>
      <c r="CB367" s="856"/>
      <c r="DB367" s="3">
        <v>1</v>
      </c>
    </row>
    <row r="368" spans="12:106" ht="21" customHeight="1">
      <c r="L368" s="104" t="s">
        <v>16</v>
      </c>
      <c r="M368" s="32" t="str">
        <f>M342</f>
        <v>B BAUDRUCHE DE COPAIN | | Auteur &gt; Guy KRENZE - Eric GODDYN - Arnaud NICOLAS - CEPROC 2002</v>
      </c>
      <c r="N368" s="33">
        <f>N342</f>
        <v>9.0500000000000007</v>
      </c>
      <c r="O368" s="32" t="str">
        <f>O342</f>
        <v>Kg</v>
      </c>
      <c r="P368" s="34" t="str">
        <f>P342</f>
        <v>Recette mère ► le Boudin en 4 déclinaisons</v>
      </c>
      <c r="Q368" s="911">
        <v>1</v>
      </c>
      <c r="R368" s="912">
        <v>1E-3</v>
      </c>
      <c r="S368" s="913">
        <v>0</v>
      </c>
      <c r="T368" s="914">
        <v>1</v>
      </c>
      <c r="U368" s="914">
        <v>0.1</v>
      </c>
      <c r="V368" s="914">
        <v>0.01</v>
      </c>
      <c r="W368" s="914">
        <v>1E-3</v>
      </c>
      <c r="X368" s="914">
        <v>0.25</v>
      </c>
      <c r="Y368" s="914">
        <v>0.5</v>
      </c>
      <c r="Z368" s="914">
        <v>0.33300000000000002</v>
      </c>
      <c r="AA368" s="5211"/>
      <c r="AB368" s="1178"/>
      <c r="AC368" s="1179"/>
      <c r="AD368" s="227" t="s">
        <v>22</v>
      </c>
      <c r="AE368" s="1027" t="str">
        <f t="shared" si="158"/>
        <v>►</v>
      </c>
      <c r="AF368" s="1028" t="str">
        <f t="shared" si="159"/>
        <v/>
      </c>
      <c r="AG368" s="1029" t="str">
        <f t="shared" si="160"/>
        <v/>
      </c>
      <c r="AH368" s="1028" t="str">
        <f t="shared" si="161"/>
        <v/>
      </c>
      <c r="AI368" s="1029" t="str">
        <f t="shared" si="162"/>
        <v/>
      </c>
      <c r="AJ368" s="1029">
        <f t="shared" si="163"/>
        <v>0</v>
      </c>
      <c r="AK368" s="1043" t="str" cm="1">
        <f t="array" ref="AK368">IF(AE368&lt;&gt;"A","",IFERROR((IFERROR(_xlfn.XLOOKUP(TRIM(SUBSTITUTE(U368,CHAR(160)," ")),$BI$15:$BI$62,$BL$15:$BL$62),IFERROR(_xlfn.XLOOKUP(TRIM(SUBSTITUTE(U368,CHAR(160)," ")),$BJ$15:$BJ$62,$BL$15:$BL$62),_xlfn.XLOOKUP(TRIM(SUBSTITUTE(U368,CHAR(160)," ")),$BK$15:$BK$62,$BL$15:$BL$62))))*T368*IF(ISBLANK(Q368),1,Q368)+IFERROR(_xlfn.XLOOKUP("RECHERCHEX",TRIM(L368:AC368),L368:AC368),0),0))</f>
        <v/>
      </c>
      <c r="AL368" s="1030">
        <f t="shared" si="164"/>
        <v>0</v>
      </c>
      <c r="AM368" s="5254" t="str">
        <f t="shared" si="181"/>
        <v/>
      </c>
      <c r="AN368" s="1031">
        <f t="shared" si="165"/>
        <v>0</v>
      </c>
      <c r="AO368" s="1031">
        <f t="shared" si="166"/>
        <v>0</v>
      </c>
      <c r="AP368" s="1032">
        <f t="shared" si="167"/>
        <v>0</v>
      </c>
      <c r="AQ368" s="5255" t="str">
        <f t="shared" si="168"/>
        <v/>
      </c>
      <c r="AR368" s="1056"/>
      <c r="AS368" s="1056"/>
      <c r="AT368" s="1034">
        <f t="shared" si="169"/>
        <v>0</v>
      </c>
      <c r="AU368" s="1035">
        <f t="shared" si="170"/>
        <v>0</v>
      </c>
      <c r="AV368" s="1057" cm="1">
        <f t="array" ref="AV368">IF(AJ368&lt;&gt;1,0,IF(OR(AT368="",N(AT368)&lt;=0.000000001),"",IF(OR(AN368="",N(AN368)&lt;=0.000000001),0,IF(ISNUMBER(AT368),IFERROR(_xlfn.LET(_xlpm.ai_test,TRIM(AI368),_xlpm.r,IFERROR(_xlfn.XLOOKUP(_xlpm.ai_test,$BI$15:$BI$62,ROW($BI$15:$BI$62),0,1),IFERROR(_xlfn.XLOOKUP(_xlpm.ai_test,$BJ$15:$BJ$62,ROW($BJ$15:$BJ$62),0,1),_xlfn.XLOOKUP(_xlpm.ai_test,$BK$15:$BK$62,ROW($BK$15:$BK$62),0,1))),_xlpm.p,_xlpm.r-MIN(ROW($BI$15:$BI$62))+1,_xlpm.f,INDEX($BL$15:$BL$62,_xlpm.p),_xlpm.u,INDEX($BM$15:$BM$62,_xlpm.p),_xlpm.s,INDEX($BO$15:$BO$62,_xlpm.p),_xlpm.q,N(AT368)/_xlpm.f,IF(_xlpm.q&gt;=_xlpm.s,ROUND(_xlpm.q,1)&amp;" "&amp;_xlpm.ai_test&amp;" = "&amp;ROUND(_xlpm.q*_xlpm.f,1)&amp;" "&amp;_xlpm.u,ROUND(_xlpm.q,1)&amp;" "&amp;_xlpm.ai_test)),""),""))))</f>
        <v>0</v>
      </c>
      <c r="AW368" s="1047"/>
      <c r="AX368" s="1034">
        <f t="shared" si="171"/>
        <v>0</v>
      </c>
      <c r="AY368" s="1035" t="str">
        <f t="shared" si="172"/>
        <v/>
      </c>
      <c r="AZ368" s="1036">
        <f t="shared" si="177"/>
        <v>0</v>
      </c>
      <c r="BA368" s="1037" t="str">
        <f t="shared" si="173"/>
        <v/>
      </c>
      <c r="BB368" s="1038"/>
      <c r="BC368" s="1039">
        <f t="shared" si="180"/>
        <v>0</v>
      </c>
      <c r="BD368" s="1040" t="str">
        <f t="shared" si="174"/>
        <v/>
      </c>
      <c r="BE368" s="227" t="s">
        <v>22</v>
      </c>
      <c r="BF368" s="1019">
        <f t="shared" si="175"/>
        <v>0</v>
      </c>
      <c r="BG368" s="1020">
        <f t="shared" si="176"/>
        <v>0</v>
      </c>
      <c r="BH368"/>
      <c r="BI368" s="709"/>
      <c r="BJ368" s="709"/>
      <c r="BK368" s="709"/>
      <c r="BL368" s="709"/>
      <c r="BM368" s="709"/>
      <c r="BN368" s="709"/>
      <c r="BO368" s="709"/>
      <c r="BP368" s="709"/>
      <c r="BW368" s="959" t="str">
        <f t="shared" si="157"/>
        <v>►</v>
      </c>
      <c r="BX368" s="856"/>
      <c r="BY368" s="856"/>
      <c r="BZ368" s="856"/>
      <c r="CA368" s="856"/>
      <c r="CB368" s="856"/>
      <c r="DB368" s="3">
        <v>1</v>
      </c>
    </row>
    <row r="369" spans="12:106" ht="21" customHeight="1">
      <c r="L369" s="104" t="s">
        <v>16</v>
      </c>
      <c r="M369" s="32" t="str">
        <f>M342</f>
        <v>B BAUDRUCHE DE COPAIN | | Auteur &gt; Guy KRENZE - Eric GODDYN - Arnaud NICOLAS - CEPROC 2002</v>
      </c>
      <c r="N369" s="33">
        <f>N342</f>
        <v>9.0500000000000007</v>
      </c>
      <c r="O369" s="32" t="str">
        <f>O342</f>
        <v>Kg</v>
      </c>
      <c r="P369" s="34" t="str">
        <f>P342</f>
        <v>Recette mère ► le Boudin en 4 déclinaisons</v>
      </c>
      <c r="Q369" s="142" t="s">
        <v>145</v>
      </c>
      <c r="R369" s="117" t="s">
        <v>107</v>
      </c>
      <c r="S369" s="141" t="s">
        <v>144</v>
      </c>
      <c r="T369" s="109" t="s">
        <v>150</v>
      </c>
      <c r="U369" s="109" t="s">
        <v>163</v>
      </c>
      <c r="V369" s="109" t="s">
        <v>103</v>
      </c>
      <c r="W369" s="109" t="s">
        <v>162</v>
      </c>
      <c r="X369" s="149" t="s">
        <v>160</v>
      </c>
      <c r="Y369" s="149" t="s">
        <v>117</v>
      </c>
      <c r="Z369" s="1061" t="s">
        <v>1831</v>
      </c>
      <c r="AA369" s="5211"/>
      <c r="AB369" s="1178"/>
      <c r="AC369" s="1179"/>
      <c r="AD369" s="227" t="s">
        <v>22</v>
      </c>
      <c r="AE369" s="1027" t="str">
        <f t="shared" si="158"/>
        <v>►</v>
      </c>
      <c r="AF369" s="1028" t="str">
        <f t="shared" si="159"/>
        <v/>
      </c>
      <c r="AG369" s="1029" t="str">
        <f t="shared" si="160"/>
        <v/>
      </c>
      <c r="AH369" s="1028" t="str">
        <f t="shared" si="161"/>
        <v/>
      </c>
      <c r="AI369" s="1029" t="str">
        <f t="shared" si="162"/>
        <v/>
      </c>
      <c r="AJ369" s="1029">
        <f t="shared" si="163"/>
        <v>0</v>
      </c>
      <c r="AK369" s="1043" t="str" cm="1">
        <f t="array" ref="AK369">IF(AE369&lt;&gt;"A","",IFERROR((IFERROR(_xlfn.XLOOKUP(TRIM(SUBSTITUTE(U369,CHAR(160)," ")),$BI$15:$BI$62,$BL$15:$BL$62),IFERROR(_xlfn.XLOOKUP(TRIM(SUBSTITUTE(U369,CHAR(160)," ")),$BJ$15:$BJ$62,$BL$15:$BL$62),_xlfn.XLOOKUP(TRIM(SUBSTITUTE(U369,CHAR(160)," ")),$BK$15:$BK$62,$BL$15:$BL$62))))*T369*IF(ISBLANK(Q369),1,Q369)+IFERROR(_xlfn.XLOOKUP("RECHERCHEX",TRIM(L369:AC369),L369:AC369),0),0))</f>
        <v/>
      </c>
      <c r="AL369" s="1030">
        <f t="shared" si="164"/>
        <v>0</v>
      </c>
      <c r="AM369" s="5254" t="str">
        <f t="shared" si="181"/>
        <v/>
      </c>
      <c r="AN369" s="1031">
        <f t="shared" si="165"/>
        <v>0</v>
      </c>
      <c r="AO369" s="1031">
        <f t="shared" si="166"/>
        <v>0</v>
      </c>
      <c r="AP369" s="1044">
        <f t="shared" si="167"/>
        <v>0</v>
      </c>
      <c r="AQ369" s="5257" t="str">
        <f t="shared" si="168"/>
        <v/>
      </c>
      <c r="AR369" s="1056"/>
      <c r="AS369" s="1056"/>
      <c r="AT369" s="1045">
        <f t="shared" si="169"/>
        <v>0</v>
      </c>
      <c r="AU369" s="1046">
        <f t="shared" si="170"/>
        <v>0</v>
      </c>
      <c r="AV369" s="1059" cm="1">
        <f t="array" ref="AV369">IF(AJ369&lt;&gt;1,0,IF(OR(AT369="",N(AT369)&lt;=0.000000001),"",IF(OR(AN369="",N(AN369)&lt;=0.000000001),0,IF(ISNUMBER(AT369),IFERROR(_xlfn.LET(_xlpm.ai_test,TRIM(AI369),_xlpm.r,IFERROR(_xlfn.XLOOKUP(_xlpm.ai_test,$BI$15:$BI$62,ROW($BI$15:$BI$62),0,1),IFERROR(_xlfn.XLOOKUP(_xlpm.ai_test,$BJ$15:$BJ$62,ROW($BJ$15:$BJ$62),0,1),_xlfn.XLOOKUP(_xlpm.ai_test,$BK$15:$BK$62,ROW($BK$15:$BK$62),0,1))),_xlpm.p,_xlpm.r-MIN(ROW($BI$15:$BI$62))+1,_xlpm.f,INDEX($BL$15:$BL$62,_xlpm.p),_xlpm.u,INDEX($BM$15:$BM$62,_xlpm.p),_xlpm.s,INDEX($BO$15:$BO$62,_xlpm.p),_xlpm.q,N(AT369)/_xlpm.f,IF(_xlpm.q&gt;=_xlpm.s,ROUND(_xlpm.q,1)&amp;" "&amp;_xlpm.ai_test&amp;" = "&amp;ROUND(_xlpm.q*_xlpm.f,1)&amp;" "&amp;_xlpm.u,ROUND(_xlpm.q,1)&amp;" "&amp;_xlpm.ai_test)),""),""))))</f>
        <v>0</v>
      </c>
      <c r="AW369" s="1047"/>
      <c r="AX369" s="1045">
        <f t="shared" si="171"/>
        <v>0</v>
      </c>
      <c r="AY369" s="1046" t="str">
        <f t="shared" si="172"/>
        <v/>
      </c>
      <c r="AZ369" s="1048">
        <f t="shared" si="177"/>
        <v>0</v>
      </c>
      <c r="BA369" s="1049" t="str">
        <f t="shared" si="173"/>
        <v/>
      </c>
      <c r="BB369" s="1038"/>
      <c r="BC369" s="1050">
        <f t="shared" si="180"/>
        <v>0</v>
      </c>
      <c r="BD369" s="1040" t="str">
        <f t="shared" si="174"/>
        <v/>
      </c>
      <c r="BE369" s="227" t="s">
        <v>22</v>
      </c>
      <c r="BF369" s="1019">
        <f t="shared" si="175"/>
        <v>0</v>
      </c>
      <c r="BG369" s="1020">
        <f t="shared" si="176"/>
        <v>0</v>
      </c>
      <c r="BH369"/>
      <c r="BI369" s="709"/>
      <c r="BJ369" s="709"/>
      <c r="BK369" s="709"/>
      <c r="BL369" s="709"/>
      <c r="BM369" s="709"/>
      <c r="BN369" s="709"/>
      <c r="BO369" s="709"/>
      <c r="BP369" s="709"/>
      <c r="BW369" s="959" t="str">
        <f t="shared" si="157"/>
        <v>►</v>
      </c>
      <c r="BX369" s="856"/>
      <c r="BY369" s="856"/>
      <c r="BZ369" s="856"/>
      <c r="CA369" s="856"/>
      <c r="CB369" s="856"/>
      <c r="DB369" s="3">
        <v>1</v>
      </c>
    </row>
    <row r="370" spans="12:106" ht="21" customHeight="1">
      <c r="L370" s="104" t="s">
        <v>16</v>
      </c>
      <c r="M370" s="32" t="str">
        <f>M342</f>
        <v>B BAUDRUCHE DE COPAIN | | Auteur &gt; Guy KRENZE - Eric GODDYN - Arnaud NICOLAS - CEPROC 2002</v>
      </c>
      <c r="N370" s="33">
        <f>N342</f>
        <v>9.0500000000000007</v>
      </c>
      <c r="O370" s="32" t="str">
        <f>O342</f>
        <v>Kg</v>
      </c>
      <c r="P370" s="34" t="str">
        <f>P342</f>
        <v>Recette mère ► le Boudin en 4 déclinaisons</v>
      </c>
      <c r="Q370" s="912">
        <v>0.25</v>
      </c>
      <c r="R370" s="912">
        <v>0.5</v>
      </c>
      <c r="S370" s="913">
        <v>0</v>
      </c>
      <c r="T370" s="914">
        <v>0.2</v>
      </c>
      <c r="U370" s="914">
        <v>0.1</v>
      </c>
      <c r="V370" s="914">
        <v>0.22500000000000001</v>
      </c>
      <c r="W370" s="914">
        <v>1.4999999999999999E-2</v>
      </c>
      <c r="X370" s="914">
        <v>4.9299999999999995E-3</v>
      </c>
      <c r="Y370" s="914">
        <v>0.35</v>
      </c>
      <c r="Z370" s="915">
        <v>0.25</v>
      </c>
      <c r="AA370" s="5211"/>
      <c r="AB370" s="1178"/>
      <c r="AC370" s="1179"/>
      <c r="AD370" s="227" t="s">
        <v>22</v>
      </c>
      <c r="AE370" s="1027" t="str">
        <f t="shared" si="158"/>
        <v>►</v>
      </c>
      <c r="AF370" s="1028" t="str">
        <f t="shared" si="159"/>
        <v/>
      </c>
      <c r="AG370" s="1029" t="str">
        <f t="shared" si="160"/>
        <v/>
      </c>
      <c r="AH370" s="1028" t="str">
        <f t="shared" si="161"/>
        <v/>
      </c>
      <c r="AI370" s="1029" t="str">
        <f t="shared" si="162"/>
        <v/>
      </c>
      <c r="AJ370" s="1029">
        <f t="shared" si="163"/>
        <v>0</v>
      </c>
      <c r="AK370" s="1043" t="str" cm="1">
        <f t="array" ref="AK370">IF(AE370&lt;&gt;"A","",IFERROR((IFERROR(_xlfn.XLOOKUP(TRIM(SUBSTITUTE(U370,CHAR(160)," ")),$BI$15:$BI$62,$BL$15:$BL$62),IFERROR(_xlfn.XLOOKUP(TRIM(SUBSTITUTE(U370,CHAR(160)," ")),$BJ$15:$BJ$62,$BL$15:$BL$62),_xlfn.XLOOKUP(TRIM(SUBSTITUTE(U370,CHAR(160)," ")),$BK$15:$BK$62,$BL$15:$BL$62))))*T370*IF(ISBLANK(Q370),1,Q370)+IFERROR(_xlfn.XLOOKUP("RECHERCHEX",TRIM(L370:AC370),L370:AC370),0),0))</f>
        <v/>
      </c>
      <c r="AL370" s="1030">
        <f t="shared" si="164"/>
        <v>0</v>
      </c>
      <c r="AM370" s="5254" t="str">
        <f t="shared" si="181"/>
        <v/>
      </c>
      <c r="AN370" s="1031">
        <f t="shared" si="165"/>
        <v>0</v>
      </c>
      <c r="AO370" s="1031">
        <f t="shared" si="166"/>
        <v>0</v>
      </c>
      <c r="AP370" s="1032">
        <f t="shared" si="167"/>
        <v>0</v>
      </c>
      <c r="AQ370" s="5255" t="str">
        <f t="shared" si="168"/>
        <v/>
      </c>
      <c r="AR370" s="1056"/>
      <c r="AS370" s="1056"/>
      <c r="AT370" s="1034">
        <f t="shared" si="169"/>
        <v>0</v>
      </c>
      <c r="AU370" s="1035">
        <f t="shared" si="170"/>
        <v>0</v>
      </c>
      <c r="AV370" s="1057" cm="1">
        <f t="array" ref="AV370">IF(AJ370&lt;&gt;1,0,IF(OR(AT370="",N(AT370)&lt;=0.000000001),"",IF(OR(AN370="",N(AN370)&lt;=0.000000001),0,IF(ISNUMBER(AT370),IFERROR(_xlfn.LET(_xlpm.ai_test,TRIM(AI370),_xlpm.r,IFERROR(_xlfn.XLOOKUP(_xlpm.ai_test,$BI$15:$BI$62,ROW($BI$15:$BI$62),0,1),IFERROR(_xlfn.XLOOKUP(_xlpm.ai_test,$BJ$15:$BJ$62,ROW($BJ$15:$BJ$62),0,1),_xlfn.XLOOKUP(_xlpm.ai_test,$BK$15:$BK$62,ROW($BK$15:$BK$62),0,1))),_xlpm.p,_xlpm.r-MIN(ROW($BI$15:$BI$62))+1,_xlpm.f,INDEX($BL$15:$BL$62,_xlpm.p),_xlpm.u,INDEX($BM$15:$BM$62,_xlpm.p),_xlpm.s,INDEX($BO$15:$BO$62,_xlpm.p),_xlpm.q,N(AT370)/_xlpm.f,IF(_xlpm.q&gt;=_xlpm.s,ROUND(_xlpm.q,1)&amp;" "&amp;_xlpm.ai_test&amp;" = "&amp;ROUND(_xlpm.q*_xlpm.f,1)&amp;" "&amp;_xlpm.u,ROUND(_xlpm.q,1)&amp;" "&amp;_xlpm.ai_test)),""),""))))</f>
        <v>0</v>
      </c>
      <c r="AW370" s="1047"/>
      <c r="AX370" s="1034">
        <f t="shared" si="171"/>
        <v>0</v>
      </c>
      <c r="AY370" s="1035" t="str">
        <f t="shared" si="172"/>
        <v/>
      </c>
      <c r="AZ370" s="1036">
        <f t="shared" si="177"/>
        <v>0</v>
      </c>
      <c r="BA370" s="1037" t="str">
        <f t="shared" si="173"/>
        <v/>
      </c>
      <c r="BB370" s="1038"/>
      <c r="BC370" s="1039">
        <f t="shared" si="180"/>
        <v>0</v>
      </c>
      <c r="BD370" s="1040" t="str">
        <f t="shared" si="174"/>
        <v/>
      </c>
      <c r="BE370" s="227" t="s">
        <v>22</v>
      </c>
      <c r="BF370" s="1019">
        <f t="shared" si="175"/>
        <v>0</v>
      </c>
      <c r="BG370" s="1020">
        <f t="shared" si="176"/>
        <v>0</v>
      </c>
      <c r="BH370"/>
      <c r="BI370" s="709"/>
      <c r="BJ370" s="709"/>
      <c r="BK370" s="709"/>
      <c r="BL370" s="709"/>
      <c r="BM370" s="709"/>
      <c r="BN370" s="709"/>
      <c r="BO370" s="709"/>
      <c r="BP370" s="709"/>
      <c r="BW370" s="959" t="str">
        <f t="shared" si="157"/>
        <v>►</v>
      </c>
      <c r="BX370" s="856"/>
      <c r="BY370" s="856"/>
      <c r="BZ370" s="856"/>
      <c r="CA370" s="856"/>
      <c r="CB370" s="856"/>
      <c r="DB370" s="3">
        <v>1</v>
      </c>
    </row>
    <row r="371" spans="12:106" ht="21" customHeight="1">
      <c r="L371" s="104" t="s">
        <v>16</v>
      </c>
      <c r="M371" s="32" t="str">
        <f>M342</f>
        <v>B BAUDRUCHE DE COPAIN | | Auteur &gt; Guy KRENZE - Eric GODDYN - Arnaud NICOLAS - CEPROC 2002</v>
      </c>
      <c r="N371" s="33">
        <f>N342</f>
        <v>9.0500000000000007</v>
      </c>
      <c r="O371" s="32" t="str">
        <f>O342</f>
        <v>Kg</v>
      </c>
      <c r="P371" s="34" t="str">
        <f>P342</f>
        <v>Recette mère ► le Boudin en 4 déclinaisons</v>
      </c>
      <c r="Q371" s="154" t="str">
        <f>Q343</f>
        <v>Col.6</v>
      </c>
      <c r="R371" s="154" t="str">
        <f>R343</f>
        <v>Col.7</v>
      </c>
      <c r="S371" s="155" t="s">
        <v>3295</v>
      </c>
      <c r="T371" s="155"/>
      <c r="U371" s="155"/>
      <c r="V371" s="155"/>
      <c r="W371" s="155"/>
      <c r="X371" s="155"/>
      <c r="Y371" s="155"/>
      <c r="Z371" s="1477"/>
      <c r="AA371" s="5211"/>
      <c r="AB371" s="1178"/>
      <c r="AC371" s="1179"/>
      <c r="AD371" s="227" t="s">
        <v>22</v>
      </c>
      <c r="AE371" s="1027" t="str">
        <f t="shared" si="158"/>
        <v>►</v>
      </c>
      <c r="AF371" s="1028" t="str">
        <f t="shared" si="159"/>
        <v/>
      </c>
      <c r="AG371" s="1029" t="str">
        <f t="shared" si="160"/>
        <v/>
      </c>
      <c r="AH371" s="1028" t="str">
        <f t="shared" si="161"/>
        <v/>
      </c>
      <c r="AI371" s="1029" t="str">
        <f t="shared" si="162"/>
        <v/>
      </c>
      <c r="AJ371" s="1029">
        <f t="shared" si="163"/>
        <v>0</v>
      </c>
      <c r="AK371" s="1043" t="str" cm="1">
        <f t="array" ref="AK371">IF(AE371&lt;&gt;"A","",IFERROR((IFERROR(_xlfn.XLOOKUP(TRIM(SUBSTITUTE(U371,CHAR(160)," ")),$BI$15:$BI$62,$BL$15:$BL$62),IFERROR(_xlfn.XLOOKUP(TRIM(SUBSTITUTE(U371,CHAR(160)," ")),$BJ$15:$BJ$62,$BL$15:$BL$62),_xlfn.XLOOKUP(TRIM(SUBSTITUTE(U371,CHAR(160)," ")),$BK$15:$BK$62,$BL$15:$BL$62))))*T371*IF(ISBLANK(Q371),1,Q371)+IFERROR(_xlfn.XLOOKUP("RECHERCHEX",TRIM(L371:AC371),L371:AC371),0),0))</f>
        <v/>
      </c>
      <c r="AL371" s="1030">
        <f t="shared" si="164"/>
        <v>0</v>
      </c>
      <c r="AM371" s="5254" t="str">
        <f t="shared" si="181"/>
        <v/>
      </c>
      <c r="AN371" s="1031">
        <f t="shared" si="165"/>
        <v>0</v>
      </c>
      <c r="AO371" s="1031">
        <f t="shared" si="166"/>
        <v>0</v>
      </c>
      <c r="AP371" s="1044">
        <f t="shared" si="167"/>
        <v>0</v>
      </c>
      <c r="AQ371" s="5257" t="str">
        <f t="shared" si="168"/>
        <v/>
      </c>
      <c r="AR371" s="1056"/>
      <c r="AS371" s="1056"/>
      <c r="AT371" s="1045">
        <f t="shared" si="169"/>
        <v>0</v>
      </c>
      <c r="AU371" s="1046">
        <f t="shared" si="170"/>
        <v>0</v>
      </c>
      <c r="AV371" s="1059" cm="1">
        <f t="array" ref="AV371">IF(AJ371&lt;&gt;1,0,IF(OR(AT371="",N(AT371)&lt;=0.000000001),"",IF(OR(AN371="",N(AN371)&lt;=0.000000001),0,IF(ISNUMBER(AT371),IFERROR(_xlfn.LET(_xlpm.ai_test,TRIM(AI371),_xlpm.r,IFERROR(_xlfn.XLOOKUP(_xlpm.ai_test,$BI$15:$BI$62,ROW($BI$15:$BI$62),0,1),IFERROR(_xlfn.XLOOKUP(_xlpm.ai_test,$BJ$15:$BJ$62,ROW($BJ$15:$BJ$62),0,1),_xlfn.XLOOKUP(_xlpm.ai_test,$BK$15:$BK$62,ROW($BK$15:$BK$62),0,1))),_xlpm.p,_xlpm.r-MIN(ROW($BI$15:$BI$62))+1,_xlpm.f,INDEX($BL$15:$BL$62,_xlpm.p),_xlpm.u,INDEX($BM$15:$BM$62,_xlpm.p),_xlpm.s,INDEX($BO$15:$BO$62,_xlpm.p),_xlpm.q,N(AT371)/_xlpm.f,IF(_xlpm.q&gt;=_xlpm.s,ROUND(_xlpm.q,1)&amp;" "&amp;_xlpm.ai_test&amp;" = "&amp;ROUND(_xlpm.q*_xlpm.f,1)&amp;" "&amp;_xlpm.u,ROUND(_xlpm.q,1)&amp;" "&amp;_xlpm.ai_test)),""),""))))</f>
        <v>0</v>
      </c>
      <c r="AW371" s="1047"/>
      <c r="AX371" s="1045">
        <f t="shared" si="171"/>
        <v>0</v>
      </c>
      <c r="AY371" s="1046" t="str">
        <f t="shared" si="172"/>
        <v/>
      </c>
      <c r="AZ371" s="1048">
        <f t="shared" si="177"/>
        <v>0</v>
      </c>
      <c r="BA371" s="1049" t="str">
        <f t="shared" si="173"/>
        <v/>
      </c>
      <c r="BB371" s="1038"/>
      <c r="BC371" s="1050">
        <f t="shared" si="180"/>
        <v>0</v>
      </c>
      <c r="BD371" s="1040" t="str">
        <f t="shared" si="174"/>
        <v/>
      </c>
      <c r="BE371" s="227" t="s">
        <v>22</v>
      </c>
      <c r="BF371" s="1019">
        <f t="shared" si="175"/>
        <v>0</v>
      </c>
      <c r="BG371" s="1020">
        <f t="shared" si="176"/>
        <v>0</v>
      </c>
      <c r="BH371"/>
      <c r="BI371" s="709"/>
      <c r="BJ371" s="709"/>
      <c r="BK371" s="709"/>
      <c r="BL371" s="709"/>
      <c r="BM371" s="709"/>
      <c r="BN371" s="709"/>
      <c r="BO371" s="709"/>
      <c r="BP371" s="709"/>
      <c r="BW371" s="959" t="str">
        <f t="shared" si="157"/>
        <v>►</v>
      </c>
      <c r="BX371" s="856"/>
      <c r="BY371" s="856"/>
      <c r="BZ371" s="856"/>
      <c r="CA371" s="856"/>
      <c r="CB371" s="856"/>
      <c r="DB371" s="3">
        <v>1</v>
      </c>
    </row>
    <row r="372" spans="12:106" ht="21" customHeight="1">
      <c r="L372" s="104" t="s">
        <v>16</v>
      </c>
      <c r="M372" s="157" t="str">
        <f>M342</f>
        <v>B BAUDRUCHE DE COPAIN | | Auteur &gt; Guy KRENZE - Eric GODDYN - Arnaud NICOLAS - CEPROC 2002</v>
      </c>
      <c r="N372" s="157">
        <f>N342</f>
        <v>9.0500000000000007</v>
      </c>
      <c r="O372" s="158" t="str">
        <f>O342</f>
        <v>Kg</v>
      </c>
      <c r="P372" s="159" t="str">
        <f>P342</f>
        <v>Recette mère ► le Boudin en 4 déclinaisons</v>
      </c>
      <c r="Q372" s="160" t="s">
        <v>167</v>
      </c>
      <c r="R372" s="1483" t="s">
        <v>3328</v>
      </c>
      <c r="S372" s="162"/>
      <c r="T372" s="162"/>
      <c r="U372" s="172"/>
      <c r="V372" s="172"/>
      <c r="W372" s="172"/>
      <c r="X372" s="172"/>
      <c r="Y372" s="156" t="s">
        <v>165</v>
      </c>
      <c r="Z372" s="1484" t="s">
        <v>3276</v>
      </c>
      <c r="AA372" s="5211"/>
      <c r="AB372" s="1178"/>
      <c r="AC372" s="1179"/>
      <c r="AD372" s="227" t="s">
        <v>22</v>
      </c>
      <c r="AE372" s="1027" t="str">
        <f t="shared" si="158"/>
        <v>►</v>
      </c>
      <c r="AF372" s="1028" t="str">
        <f t="shared" si="159"/>
        <v/>
      </c>
      <c r="AG372" s="1029" t="str">
        <f t="shared" si="160"/>
        <v/>
      </c>
      <c r="AH372" s="1028" t="str">
        <f t="shared" si="161"/>
        <v/>
      </c>
      <c r="AI372" s="1029" t="str">
        <f t="shared" si="162"/>
        <v/>
      </c>
      <c r="AJ372" s="1029">
        <f t="shared" si="163"/>
        <v>0</v>
      </c>
      <c r="AK372" s="1043" t="str" cm="1">
        <f t="array" ref="AK372">IF(AE372&lt;&gt;"A","",IFERROR((IFERROR(_xlfn.XLOOKUP(TRIM(SUBSTITUTE(U372,CHAR(160)," ")),$BI$15:$BI$62,$BL$15:$BL$62),IFERROR(_xlfn.XLOOKUP(TRIM(SUBSTITUTE(U372,CHAR(160)," ")),$BJ$15:$BJ$62,$BL$15:$BL$62),_xlfn.XLOOKUP(TRIM(SUBSTITUTE(U372,CHAR(160)," ")),$BK$15:$BK$62,$BL$15:$BL$62))))*T372*IF(ISBLANK(Q372),1,Q372)+IFERROR(_xlfn.XLOOKUP("RECHERCHEX",TRIM(L372:AC372),L372:AC372),0),0))</f>
        <v/>
      </c>
      <c r="AL372" s="1030">
        <f t="shared" si="164"/>
        <v>0</v>
      </c>
      <c r="AM372" s="5254" t="str">
        <f t="shared" si="181"/>
        <v/>
      </c>
      <c r="AN372" s="1031">
        <f t="shared" si="165"/>
        <v>0</v>
      </c>
      <c r="AO372" s="1031">
        <f t="shared" si="166"/>
        <v>0</v>
      </c>
      <c r="AP372" s="1032">
        <f t="shared" si="167"/>
        <v>0</v>
      </c>
      <c r="AQ372" s="5255" t="str">
        <f t="shared" si="168"/>
        <v/>
      </c>
      <c r="AR372" s="1056"/>
      <c r="AS372" s="1056"/>
      <c r="AT372" s="1034">
        <f t="shared" si="169"/>
        <v>0</v>
      </c>
      <c r="AU372" s="1035">
        <f t="shared" si="170"/>
        <v>0</v>
      </c>
      <c r="AV372" s="1057" cm="1">
        <f t="array" ref="AV372">IF(AJ372&lt;&gt;1,0,IF(OR(AT372="",N(AT372)&lt;=0.000000001),"",IF(OR(AN372="",N(AN372)&lt;=0.000000001),0,IF(ISNUMBER(AT372),IFERROR(_xlfn.LET(_xlpm.ai_test,TRIM(AI372),_xlpm.r,IFERROR(_xlfn.XLOOKUP(_xlpm.ai_test,$BI$15:$BI$62,ROW($BI$15:$BI$62),0,1),IFERROR(_xlfn.XLOOKUP(_xlpm.ai_test,$BJ$15:$BJ$62,ROW($BJ$15:$BJ$62),0,1),_xlfn.XLOOKUP(_xlpm.ai_test,$BK$15:$BK$62,ROW($BK$15:$BK$62),0,1))),_xlpm.p,_xlpm.r-MIN(ROW($BI$15:$BI$62))+1,_xlpm.f,INDEX($BL$15:$BL$62,_xlpm.p),_xlpm.u,INDEX($BM$15:$BM$62,_xlpm.p),_xlpm.s,INDEX($BO$15:$BO$62,_xlpm.p),_xlpm.q,N(AT372)/_xlpm.f,IF(_xlpm.q&gt;=_xlpm.s,ROUND(_xlpm.q,1)&amp;" "&amp;_xlpm.ai_test&amp;" = "&amp;ROUND(_xlpm.q*_xlpm.f,1)&amp;" "&amp;_xlpm.u,ROUND(_xlpm.q,1)&amp;" "&amp;_xlpm.ai_test)),""),""))))</f>
        <v>0</v>
      </c>
      <c r="AW372" s="1047"/>
      <c r="AX372" s="1034">
        <f t="shared" si="171"/>
        <v>0</v>
      </c>
      <c r="AY372" s="1035" t="str">
        <f t="shared" si="172"/>
        <v/>
      </c>
      <c r="AZ372" s="1036">
        <f t="shared" si="177"/>
        <v>0</v>
      </c>
      <c r="BA372" s="1037" t="str">
        <f t="shared" si="173"/>
        <v/>
      </c>
      <c r="BB372" s="1038"/>
      <c r="BC372" s="1039">
        <f t="shared" si="180"/>
        <v>0</v>
      </c>
      <c r="BD372" s="1040" t="str">
        <f t="shared" si="174"/>
        <v/>
      </c>
      <c r="BE372" s="227" t="s">
        <v>22</v>
      </c>
      <c r="BF372" s="1019">
        <f t="shared" si="175"/>
        <v>0</v>
      </c>
      <c r="BG372" s="1020">
        <f t="shared" si="176"/>
        <v>0</v>
      </c>
      <c r="BH372"/>
      <c r="BI372" s="709"/>
      <c r="BJ372" s="709"/>
      <c r="BK372" s="709"/>
      <c r="BL372" s="709"/>
      <c r="BM372" s="709"/>
      <c r="BN372" s="709"/>
      <c r="BO372" s="709"/>
      <c r="BP372" s="709"/>
      <c r="BW372" s="959" t="str">
        <f t="shared" si="157"/>
        <v>►</v>
      </c>
      <c r="BX372" s="856"/>
      <c r="BY372" s="856"/>
      <c r="BZ372" s="856"/>
      <c r="CA372" s="856"/>
      <c r="CB372" s="856"/>
      <c r="DB372" s="3">
        <v>1</v>
      </c>
    </row>
    <row r="373" spans="12:106" ht="21" customHeight="1">
      <c r="L373" s="104" t="s">
        <v>16</v>
      </c>
      <c r="M373" s="157" t="str">
        <f>M342</f>
        <v>B BAUDRUCHE DE COPAIN | | Auteur &gt; Guy KRENZE - Eric GODDYN - Arnaud NICOLAS - CEPROC 2002</v>
      </c>
      <c r="N373" s="157">
        <f>N342</f>
        <v>9.0500000000000007</v>
      </c>
      <c r="O373" s="158" t="str">
        <f>O342</f>
        <v>Kg</v>
      </c>
      <c r="P373" s="159" t="str">
        <f>P342</f>
        <v>Recette mère ► le Boudin en 4 déclinaisons</v>
      </c>
      <c r="Q373" s="5173" t="str">
        <f>"Poids sans les têtes " &amp;ROUND(SUM(Y346:Y351,Y353:Y358),2)&amp;" Kg"</f>
        <v>Poids sans les têtes 6.69 Kg</v>
      </c>
      <c r="R373" s="172"/>
      <c r="S373" s="172"/>
      <c r="T373" s="172"/>
      <c r="U373" s="172"/>
      <c r="V373" s="172"/>
      <c r="W373" s="172"/>
      <c r="X373" s="172"/>
      <c r="Y373" s="1474" t="s">
        <v>168</v>
      </c>
      <c r="Z373" s="1482" t="s">
        <v>668</v>
      </c>
      <c r="AA373" s="5211"/>
      <c r="AB373" s="1178"/>
      <c r="AC373" s="1179"/>
      <c r="AD373" s="227" t="s">
        <v>22</v>
      </c>
      <c r="AE373" s="1027" t="str">
        <f t="shared" si="158"/>
        <v>►</v>
      </c>
      <c r="AF373" s="1028" t="str">
        <f t="shared" si="159"/>
        <v/>
      </c>
      <c r="AG373" s="1029" t="str">
        <f t="shared" si="160"/>
        <v/>
      </c>
      <c r="AH373" s="1028" t="str">
        <f t="shared" si="161"/>
        <v/>
      </c>
      <c r="AI373" s="1029" t="str">
        <f t="shared" si="162"/>
        <v/>
      </c>
      <c r="AJ373" s="1029">
        <f t="shared" si="163"/>
        <v>0</v>
      </c>
      <c r="AK373" s="1043" t="str" cm="1">
        <f t="array" ref="AK373">IF(AE373&lt;&gt;"A","",IFERROR((IFERROR(_xlfn.XLOOKUP(TRIM(SUBSTITUTE(U373,CHAR(160)," ")),$BI$15:$BI$62,$BL$15:$BL$62),IFERROR(_xlfn.XLOOKUP(TRIM(SUBSTITUTE(U373,CHAR(160)," ")),$BJ$15:$BJ$62,$BL$15:$BL$62),_xlfn.XLOOKUP(TRIM(SUBSTITUTE(U373,CHAR(160)," ")),$BK$15:$BK$62,$BL$15:$BL$62))))*T373*IF(ISBLANK(Q373),1,Q373)+IFERROR(_xlfn.XLOOKUP("RECHERCHEX",TRIM(L373:AC373),L373:AC373),0),0))</f>
        <v/>
      </c>
      <c r="AL373" s="1030">
        <f t="shared" si="164"/>
        <v>0</v>
      </c>
      <c r="AM373" s="5254" t="str">
        <f t="shared" si="181"/>
        <v/>
      </c>
      <c r="AN373" s="1031">
        <f t="shared" si="165"/>
        <v>0</v>
      </c>
      <c r="AO373" s="1031">
        <f t="shared" si="166"/>
        <v>0</v>
      </c>
      <c r="AP373" s="1044">
        <f t="shared" si="167"/>
        <v>0</v>
      </c>
      <c r="AQ373" s="5257" t="str">
        <f t="shared" si="168"/>
        <v/>
      </c>
      <c r="AR373" s="1056"/>
      <c r="AS373" s="1056"/>
      <c r="AT373" s="1045">
        <f t="shared" si="169"/>
        <v>0</v>
      </c>
      <c r="AU373" s="1046">
        <f t="shared" si="170"/>
        <v>0</v>
      </c>
      <c r="AV373" s="1059" cm="1">
        <f t="array" ref="AV373">IF(AJ373&lt;&gt;1,0,IF(OR(AT373="",N(AT373)&lt;=0.000000001),"",IF(OR(AN373="",N(AN373)&lt;=0.000000001),0,IF(ISNUMBER(AT373),IFERROR(_xlfn.LET(_xlpm.ai_test,TRIM(AI373),_xlpm.r,IFERROR(_xlfn.XLOOKUP(_xlpm.ai_test,$BI$15:$BI$62,ROW($BI$15:$BI$62),0,1),IFERROR(_xlfn.XLOOKUP(_xlpm.ai_test,$BJ$15:$BJ$62,ROW($BJ$15:$BJ$62),0,1),_xlfn.XLOOKUP(_xlpm.ai_test,$BK$15:$BK$62,ROW($BK$15:$BK$62),0,1))),_xlpm.p,_xlpm.r-MIN(ROW($BI$15:$BI$62))+1,_xlpm.f,INDEX($BL$15:$BL$62,_xlpm.p),_xlpm.u,INDEX($BM$15:$BM$62,_xlpm.p),_xlpm.s,INDEX($BO$15:$BO$62,_xlpm.p),_xlpm.q,N(AT373)/_xlpm.f,IF(_xlpm.q&gt;=_xlpm.s,ROUND(_xlpm.q,1)&amp;" "&amp;_xlpm.ai_test&amp;" = "&amp;ROUND(_xlpm.q*_xlpm.f,1)&amp;" "&amp;_xlpm.u,ROUND(_xlpm.q,1)&amp;" "&amp;_xlpm.ai_test)),""),""))))</f>
        <v>0</v>
      </c>
      <c r="AW373" s="1047"/>
      <c r="AX373" s="1045">
        <f t="shared" si="171"/>
        <v>0</v>
      </c>
      <c r="AY373" s="1046" t="str">
        <f t="shared" si="172"/>
        <v/>
      </c>
      <c r="AZ373" s="1048">
        <f t="shared" si="177"/>
        <v>0</v>
      </c>
      <c r="BA373" s="1049" t="str">
        <f t="shared" si="173"/>
        <v/>
      </c>
      <c r="BB373" s="1038"/>
      <c r="BC373" s="1050">
        <f t="shared" si="180"/>
        <v>0</v>
      </c>
      <c r="BD373" s="1040" t="str">
        <f t="shared" si="174"/>
        <v/>
      </c>
      <c r="BE373" s="227" t="s">
        <v>22</v>
      </c>
      <c r="BF373" s="1019">
        <f t="shared" si="175"/>
        <v>0</v>
      </c>
      <c r="BG373" s="1020">
        <f t="shared" si="176"/>
        <v>0</v>
      </c>
      <c r="BH373"/>
      <c r="BI373" s="709"/>
      <c r="BJ373" s="709"/>
      <c r="BK373" s="709"/>
      <c r="BL373" s="709"/>
      <c r="BM373" s="709"/>
      <c r="BN373" s="709"/>
      <c r="BO373" s="709"/>
      <c r="BP373" s="709"/>
      <c r="BW373" s="959" t="str">
        <f t="shared" si="157"/>
        <v>►</v>
      </c>
      <c r="BX373" s="856"/>
      <c r="BY373" s="856"/>
      <c r="BZ373" s="856"/>
      <c r="CA373" s="856"/>
      <c r="CB373" s="856"/>
      <c r="DB373" s="3">
        <v>1</v>
      </c>
    </row>
    <row r="374" spans="12:106" ht="21" customHeight="1">
      <c r="L374" s="104" t="s">
        <v>16</v>
      </c>
      <c r="M374" s="157" t="str">
        <f>M342</f>
        <v>B BAUDRUCHE DE COPAIN | | Auteur &gt; Guy KRENZE - Eric GODDYN - Arnaud NICOLAS - CEPROC 2002</v>
      </c>
      <c r="N374" s="157">
        <f>N342</f>
        <v>9.0500000000000007</v>
      </c>
      <c r="O374" s="158" t="str">
        <f>O342</f>
        <v>Kg</v>
      </c>
      <c r="P374" s="159" t="str">
        <f>P342</f>
        <v>Recette mère ► le Boudin en 4 déclinaisons</v>
      </c>
      <c r="R374" s="172"/>
      <c r="S374" s="172"/>
      <c r="T374" s="172"/>
      <c r="U374" s="172"/>
      <c r="V374" s="172"/>
      <c r="W374" s="172"/>
      <c r="X374" s="172"/>
      <c r="Y374" s="172"/>
      <c r="Z374" s="555"/>
      <c r="AA374" s="5211"/>
      <c r="AB374" s="1178"/>
      <c r="AC374" s="1179"/>
      <c r="AD374" s="227" t="s">
        <v>22</v>
      </c>
      <c r="AE374" s="1027" t="str">
        <f t="shared" si="158"/>
        <v>►</v>
      </c>
      <c r="AF374" s="1028" t="str">
        <f t="shared" si="159"/>
        <v/>
      </c>
      <c r="AG374" s="1029" t="str">
        <f t="shared" si="160"/>
        <v/>
      </c>
      <c r="AH374" s="1028" t="str">
        <f t="shared" si="161"/>
        <v/>
      </c>
      <c r="AI374" s="1029" t="str">
        <f t="shared" si="162"/>
        <v/>
      </c>
      <c r="AJ374" s="1029">
        <f t="shared" si="163"/>
        <v>0</v>
      </c>
      <c r="AK374" s="1043" t="str" cm="1">
        <f t="array" ref="AK374">IF(AE374&lt;&gt;"A","",IFERROR((IFERROR(_xlfn.XLOOKUP(TRIM(SUBSTITUTE(U374,CHAR(160)," ")),$BI$15:$BI$62,$BL$15:$BL$62),IFERROR(_xlfn.XLOOKUP(TRIM(SUBSTITUTE(U374,CHAR(160)," ")),$BJ$15:$BJ$62,$BL$15:$BL$62),_xlfn.XLOOKUP(TRIM(SUBSTITUTE(U374,CHAR(160)," ")),$BK$15:$BK$62,$BL$15:$BL$62))))*T374*IF(ISBLANK(Q374),1,Q374)+IFERROR(_xlfn.XLOOKUP("RECHERCHEX",TRIM(L374:AC374),L374:AC374),0),0))</f>
        <v/>
      </c>
      <c r="AL374" s="1030">
        <f t="shared" si="164"/>
        <v>0</v>
      </c>
      <c r="AM374" s="5254" t="str">
        <f t="shared" si="181"/>
        <v/>
      </c>
      <c r="AN374" s="1031">
        <f t="shared" si="165"/>
        <v>0</v>
      </c>
      <c r="AO374" s="1031">
        <f t="shared" si="166"/>
        <v>0</v>
      </c>
      <c r="AP374" s="1032">
        <f t="shared" si="167"/>
        <v>0</v>
      </c>
      <c r="AQ374" s="5255" t="str">
        <f t="shared" si="168"/>
        <v/>
      </c>
      <c r="AR374" s="1056"/>
      <c r="AS374" s="1056"/>
      <c r="AT374" s="1034">
        <f t="shared" si="169"/>
        <v>0</v>
      </c>
      <c r="AU374" s="1035">
        <f t="shared" si="170"/>
        <v>0</v>
      </c>
      <c r="AV374" s="1057" cm="1">
        <f t="array" ref="AV374">IF(AJ374&lt;&gt;1,0,IF(OR(AT374="",N(AT374)&lt;=0.000000001),"",IF(OR(AN374="",N(AN374)&lt;=0.000000001),0,IF(ISNUMBER(AT374),IFERROR(_xlfn.LET(_xlpm.ai_test,TRIM(AI374),_xlpm.r,IFERROR(_xlfn.XLOOKUP(_xlpm.ai_test,$BI$15:$BI$62,ROW($BI$15:$BI$62),0,1),IFERROR(_xlfn.XLOOKUP(_xlpm.ai_test,$BJ$15:$BJ$62,ROW($BJ$15:$BJ$62),0,1),_xlfn.XLOOKUP(_xlpm.ai_test,$BK$15:$BK$62,ROW($BK$15:$BK$62),0,1))),_xlpm.p,_xlpm.r-MIN(ROW($BI$15:$BI$62))+1,_xlpm.f,INDEX($BL$15:$BL$62,_xlpm.p),_xlpm.u,INDEX($BM$15:$BM$62,_xlpm.p),_xlpm.s,INDEX($BO$15:$BO$62,_xlpm.p),_xlpm.q,N(AT374)/_xlpm.f,IF(_xlpm.q&gt;=_xlpm.s,ROUND(_xlpm.q,1)&amp;" "&amp;_xlpm.ai_test&amp;" = "&amp;ROUND(_xlpm.q*_xlpm.f,1)&amp;" "&amp;_xlpm.u,ROUND(_xlpm.q,1)&amp;" "&amp;_xlpm.ai_test)),""),""))))</f>
        <v>0</v>
      </c>
      <c r="AW374" s="1047"/>
      <c r="AX374" s="1034">
        <f t="shared" si="171"/>
        <v>0</v>
      </c>
      <c r="AY374" s="1035" t="str">
        <f t="shared" si="172"/>
        <v/>
      </c>
      <c r="AZ374" s="1036">
        <f t="shared" si="177"/>
        <v>0</v>
      </c>
      <c r="BA374" s="1037" t="str">
        <f t="shared" si="173"/>
        <v/>
      </c>
      <c r="BB374" s="1038"/>
      <c r="BC374" s="1039">
        <f t="shared" si="180"/>
        <v>0</v>
      </c>
      <c r="BD374" s="1040" t="str">
        <f t="shared" si="174"/>
        <v/>
      </c>
      <c r="BE374" s="227" t="s">
        <v>22</v>
      </c>
      <c r="BF374" s="1019">
        <f t="shared" si="175"/>
        <v>0</v>
      </c>
      <c r="BG374" s="1020">
        <f t="shared" si="176"/>
        <v>0</v>
      </c>
      <c r="BH374"/>
      <c r="BI374" s="709"/>
      <c r="BJ374" s="709"/>
      <c r="BK374" s="709"/>
      <c r="BL374" s="709"/>
      <c r="BM374" s="709"/>
      <c r="BN374" s="709"/>
      <c r="BO374" s="709"/>
      <c r="BP374" s="709"/>
      <c r="BW374" s="959" t="str">
        <f t="shared" si="157"/>
        <v>►</v>
      </c>
      <c r="BX374" s="856"/>
      <c r="BY374" s="856"/>
      <c r="BZ374" s="856"/>
      <c r="CA374" s="856"/>
      <c r="CB374" s="856"/>
      <c r="DB374" s="3">
        <v>1</v>
      </c>
    </row>
    <row r="375" spans="12:106" ht="21" customHeight="1">
      <c r="L375" s="104" t="s">
        <v>16</v>
      </c>
      <c r="M375" s="157" t="str">
        <f>M342</f>
        <v>B BAUDRUCHE DE COPAIN | | Auteur &gt; Guy KRENZE - Eric GODDYN - Arnaud NICOLAS - CEPROC 2002</v>
      </c>
      <c r="N375" s="157">
        <f>N342</f>
        <v>9.0500000000000007</v>
      </c>
      <c r="O375" s="158" t="str">
        <f>O342</f>
        <v>Kg</v>
      </c>
      <c r="P375" s="159" t="str">
        <f>P342</f>
        <v>Recette mère ► le Boudin en 4 déclinaisons</v>
      </c>
      <c r="Q375" s="172" t="s">
        <v>13118</v>
      </c>
      <c r="R375" s="172"/>
      <c r="S375" s="172"/>
      <c r="T375" s="172"/>
      <c r="U375" s="172"/>
      <c r="V375" s="172"/>
      <c r="W375" s="172"/>
      <c r="X375" s="172"/>
      <c r="Y375" s="170" t="s">
        <v>172</v>
      </c>
      <c r="Z375" s="171">
        <v>3.472222222222222E-3</v>
      </c>
      <c r="AA375" s="5211"/>
      <c r="AB375" s="1178"/>
      <c r="AC375" s="1179"/>
      <c r="AD375" s="227" t="s">
        <v>22</v>
      </c>
      <c r="AE375" s="1027" t="str">
        <f t="shared" si="158"/>
        <v>►</v>
      </c>
      <c r="AF375" s="1028" t="str">
        <f t="shared" si="159"/>
        <v/>
      </c>
      <c r="AG375" s="1029" t="str">
        <f t="shared" si="160"/>
        <v/>
      </c>
      <c r="AH375" s="1028" t="str">
        <f t="shared" si="161"/>
        <v/>
      </c>
      <c r="AI375" s="1029" t="str">
        <f t="shared" si="162"/>
        <v/>
      </c>
      <c r="AJ375" s="1029">
        <f t="shared" si="163"/>
        <v>0</v>
      </c>
      <c r="AK375" s="1043" t="str" cm="1">
        <f t="array" ref="AK375">IF(AE375&lt;&gt;"A","",IFERROR((IFERROR(_xlfn.XLOOKUP(TRIM(SUBSTITUTE(U375,CHAR(160)," ")),$BI$15:$BI$62,$BL$15:$BL$62),IFERROR(_xlfn.XLOOKUP(TRIM(SUBSTITUTE(U375,CHAR(160)," ")),$BJ$15:$BJ$62,$BL$15:$BL$62),_xlfn.XLOOKUP(TRIM(SUBSTITUTE(U375,CHAR(160)," ")),$BK$15:$BK$62,$BL$15:$BL$62))))*T375*IF(ISBLANK(Q375),1,Q375)+IFERROR(_xlfn.XLOOKUP("RECHERCHEX",TRIM(L375:AC375),L375:AC375),0),0))</f>
        <v/>
      </c>
      <c r="AL375" s="1030">
        <f t="shared" si="164"/>
        <v>0</v>
      </c>
      <c r="AM375" s="5254" t="str">
        <f t="shared" si="181"/>
        <v/>
      </c>
      <c r="AN375" s="1031">
        <f t="shared" si="165"/>
        <v>0</v>
      </c>
      <c r="AO375" s="1031">
        <f t="shared" si="166"/>
        <v>0</v>
      </c>
      <c r="AP375" s="1044">
        <f t="shared" si="167"/>
        <v>0</v>
      </c>
      <c r="AQ375" s="5257" t="str">
        <f t="shared" si="168"/>
        <v/>
      </c>
      <c r="AR375" s="1056"/>
      <c r="AS375" s="1056"/>
      <c r="AT375" s="1045">
        <f t="shared" si="169"/>
        <v>0</v>
      </c>
      <c r="AU375" s="1046">
        <f t="shared" si="170"/>
        <v>0</v>
      </c>
      <c r="AV375" s="1059" cm="1">
        <f t="array" ref="AV375">IF(AJ375&lt;&gt;1,0,IF(OR(AT375="",N(AT375)&lt;=0.000000001),"",IF(OR(AN375="",N(AN375)&lt;=0.000000001),0,IF(ISNUMBER(AT375),IFERROR(_xlfn.LET(_xlpm.ai_test,TRIM(AI375),_xlpm.r,IFERROR(_xlfn.XLOOKUP(_xlpm.ai_test,$BI$15:$BI$62,ROW($BI$15:$BI$62),0,1),IFERROR(_xlfn.XLOOKUP(_xlpm.ai_test,$BJ$15:$BJ$62,ROW($BJ$15:$BJ$62),0,1),_xlfn.XLOOKUP(_xlpm.ai_test,$BK$15:$BK$62,ROW($BK$15:$BK$62),0,1))),_xlpm.p,_xlpm.r-MIN(ROW($BI$15:$BI$62))+1,_xlpm.f,INDEX($BL$15:$BL$62,_xlpm.p),_xlpm.u,INDEX($BM$15:$BM$62,_xlpm.p),_xlpm.s,INDEX($BO$15:$BO$62,_xlpm.p),_xlpm.q,N(AT375)/_xlpm.f,IF(_xlpm.q&gt;=_xlpm.s,ROUND(_xlpm.q,1)&amp;" "&amp;_xlpm.ai_test&amp;" = "&amp;ROUND(_xlpm.q*_xlpm.f,1)&amp;" "&amp;_xlpm.u,ROUND(_xlpm.q,1)&amp;" "&amp;_xlpm.ai_test)),""),""))))</f>
        <v>0</v>
      </c>
      <c r="AW375" s="1047"/>
      <c r="AX375" s="1045">
        <f t="shared" si="171"/>
        <v>0</v>
      </c>
      <c r="AY375" s="1046" t="str">
        <f t="shared" si="172"/>
        <v/>
      </c>
      <c r="AZ375" s="1048">
        <f t="shared" si="177"/>
        <v>0</v>
      </c>
      <c r="BA375" s="1049" t="str">
        <f t="shared" si="173"/>
        <v/>
      </c>
      <c r="BB375" s="1038"/>
      <c r="BC375" s="1050">
        <f t="shared" si="180"/>
        <v>0</v>
      </c>
      <c r="BD375" s="1040" t="str">
        <f t="shared" si="174"/>
        <v/>
      </c>
      <c r="BE375" s="227" t="s">
        <v>22</v>
      </c>
      <c r="BF375" s="1019">
        <f t="shared" si="175"/>
        <v>0</v>
      </c>
      <c r="BG375" s="1020">
        <f t="shared" si="176"/>
        <v>0</v>
      </c>
      <c r="BH375"/>
      <c r="BI375" s="709"/>
      <c r="BJ375" s="709"/>
      <c r="BK375" s="709"/>
      <c r="BL375" s="709"/>
      <c r="BM375" s="709"/>
      <c r="BN375" s="709"/>
      <c r="BO375" s="709"/>
      <c r="BP375" s="709"/>
      <c r="BW375" s="959" t="str">
        <f t="shared" si="157"/>
        <v>►</v>
      </c>
      <c r="BX375" s="856"/>
      <c r="BY375" s="856"/>
      <c r="BZ375" s="856"/>
      <c r="CA375" s="856"/>
      <c r="CB375" s="856"/>
      <c r="DB375" s="3">
        <v>1</v>
      </c>
    </row>
    <row r="376" spans="12:106" ht="21" customHeight="1">
      <c r="L376" s="104" t="s">
        <v>16</v>
      </c>
      <c r="M376" s="157" t="str">
        <f>M342</f>
        <v>B BAUDRUCHE DE COPAIN | | Auteur &gt; Guy KRENZE - Eric GODDYN - Arnaud NICOLAS - CEPROC 2002</v>
      </c>
      <c r="N376" s="157">
        <f>N342</f>
        <v>9.0500000000000007</v>
      </c>
      <c r="O376" s="158" t="str">
        <f>O342</f>
        <v>Kg</v>
      </c>
      <c r="P376" s="159" t="str">
        <f>P342</f>
        <v>Recette mère ► le Boudin en 4 déclinaisons</v>
      </c>
      <c r="Q376" s="172" t="s">
        <v>13119</v>
      </c>
      <c r="R376" s="172"/>
      <c r="S376" s="172"/>
      <c r="T376" s="172"/>
      <c r="U376" s="172"/>
      <c r="V376" s="172"/>
      <c r="W376" s="172"/>
      <c r="X376" s="172"/>
      <c r="Y376" s="170" t="s">
        <v>174</v>
      </c>
      <c r="Z376" s="174">
        <v>3.472222222222222E-3</v>
      </c>
      <c r="AA376" s="5211"/>
      <c r="AB376" s="1178"/>
      <c r="AC376" s="1179"/>
      <c r="AD376" s="227" t="s">
        <v>22</v>
      </c>
      <c r="AE376" s="1027" t="str">
        <f t="shared" si="158"/>
        <v>►</v>
      </c>
      <c r="AF376" s="1028" t="str">
        <f t="shared" si="159"/>
        <v/>
      </c>
      <c r="AG376" s="1029" t="str">
        <f t="shared" si="160"/>
        <v/>
      </c>
      <c r="AH376" s="1028" t="str">
        <f t="shared" si="161"/>
        <v/>
      </c>
      <c r="AI376" s="1029" t="str">
        <f t="shared" si="162"/>
        <v/>
      </c>
      <c r="AJ376" s="1029">
        <f t="shared" si="163"/>
        <v>0</v>
      </c>
      <c r="AK376" s="1043" t="str" cm="1">
        <f t="array" ref="AK376">IF(AE376&lt;&gt;"A","",IFERROR((IFERROR(_xlfn.XLOOKUP(TRIM(SUBSTITUTE(U376,CHAR(160)," ")),$BI$15:$BI$62,$BL$15:$BL$62),IFERROR(_xlfn.XLOOKUP(TRIM(SUBSTITUTE(U376,CHAR(160)," ")),$BJ$15:$BJ$62,$BL$15:$BL$62),_xlfn.XLOOKUP(TRIM(SUBSTITUTE(U376,CHAR(160)," ")),$BK$15:$BK$62,$BL$15:$BL$62))))*T376*IF(ISBLANK(Q376),1,Q376)+IFERROR(_xlfn.XLOOKUP("RECHERCHEX",TRIM(L376:AC376),L376:AC376),0),0))</f>
        <v/>
      </c>
      <c r="AL376" s="1030">
        <f t="shared" si="164"/>
        <v>0</v>
      </c>
      <c r="AM376" s="5254" t="str">
        <f t="shared" si="181"/>
        <v/>
      </c>
      <c r="AN376" s="1031">
        <f t="shared" si="165"/>
        <v>0</v>
      </c>
      <c r="AO376" s="1031">
        <f t="shared" si="166"/>
        <v>0</v>
      </c>
      <c r="AP376" s="1032">
        <f t="shared" si="167"/>
        <v>0</v>
      </c>
      <c r="AQ376" s="5255" t="str">
        <f t="shared" si="168"/>
        <v/>
      </c>
      <c r="AR376" s="1056"/>
      <c r="AS376" s="1056"/>
      <c r="AT376" s="1034">
        <f t="shared" si="169"/>
        <v>0</v>
      </c>
      <c r="AU376" s="1035">
        <f t="shared" si="170"/>
        <v>0</v>
      </c>
      <c r="AV376" s="1057" cm="1">
        <f t="array" ref="AV376">IF(AJ376&lt;&gt;1,0,IF(OR(AT376="",N(AT376)&lt;=0.000000001),"",IF(OR(AN376="",N(AN376)&lt;=0.000000001),0,IF(ISNUMBER(AT376),IFERROR(_xlfn.LET(_xlpm.ai_test,TRIM(AI376),_xlpm.r,IFERROR(_xlfn.XLOOKUP(_xlpm.ai_test,$BI$15:$BI$62,ROW($BI$15:$BI$62),0,1),IFERROR(_xlfn.XLOOKUP(_xlpm.ai_test,$BJ$15:$BJ$62,ROW($BJ$15:$BJ$62),0,1),_xlfn.XLOOKUP(_xlpm.ai_test,$BK$15:$BK$62,ROW($BK$15:$BK$62),0,1))),_xlpm.p,_xlpm.r-MIN(ROW($BI$15:$BI$62))+1,_xlpm.f,INDEX($BL$15:$BL$62,_xlpm.p),_xlpm.u,INDEX($BM$15:$BM$62,_xlpm.p),_xlpm.s,INDEX($BO$15:$BO$62,_xlpm.p),_xlpm.q,N(AT376)/_xlpm.f,IF(_xlpm.q&gt;=_xlpm.s,ROUND(_xlpm.q,1)&amp;" "&amp;_xlpm.ai_test&amp;" = "&amp;ROUND(_xlpm.q*_xlpm.f,1)&amp;" "&amp;_xlpm.u,ROUND(_xlpm.q,1)&amp;" "&amp;_xlpm.ai_test)),""),""))))</f>
        <v>0</v>
      </c>
      <c r="AW376" s="1047"/>
      <c r="AX376" s="1034">
        <f t="shared" si="171"/>
        <v>0</v>
      </c>
      <c r="AY376" s="1035" t="str">
        <f t="shared" si="172"/>
        <v/>
      </c>
      <c r="AZ376" s="1036">
        <f t="shared" si="177"/>
        <v>0</v>
      </c>
      <c r="BA376" s="1037" t="str">
        <f t="shared" si="173"/>
        <v/>
      </c>
      <c r="BB376" s="1038"/>
      <c r="BC376" s="1039">
        <f t="shared" si="180"/>
        <v>0</v>
      </c>
      <c r="BD376" s="1040" t="str">
        <f t="shared" si="174"/>
        <v/>
      </c>
      <c r="BE376" s="227" t="s">
        <v>22</v>
      </c>
      <c r="BF376" s="1019">
        <f t="shared" si="175"/>
        <v>0</v>
      </c>
      <c r="BG376" s="1020">
        <f t="shared" si="176"/>
        <v>0</v>
      </c>
      <c r="BH376"/>
      <c r="BI376" s="709"/>
      <c r="BJ376" s="709"/>
      <c r="BK376" s="709"/>
      <c r="BL376" s="709"/>
      <c r="BM376" s="709"/>
      <c r="BN376" s="709"/>
      <c r="BO376" s="709"/>
      <c r="BP376" s="709"/>
      <c r="BW376" s="959" t="str">
        <f t="shared" si="157"/>
        <v>►</v>
      </c>
      <c r="BX376" s="856"/>
      <c r="BY376" s="856"/>
      <c r="BZ376" s="856"/>
      <c r="CA376" s="856"/>
      <c r="CB376" s="856"/>
      <c r="DB376" s="3">
        <v>1</v>
      </c>
    </row>
    <row r="377" spans="12:106" ht="21" customHeight="1">
      <c r="L377" s="104" t="s">
        <v>16</v>
      </c>
      <c r="M377" s="157" t="str">
        <f>M342</f>
        <v>B BAUDRUCHE DE COPAIN | | Auteur &gt; Guy KRENZE - Eric GODDYN - Arnaud NICOLAS - CEPROC 2002</v>
      </c>
      <c r="N377" s="157">
        <f>N342</f>
        <v>9.0500000000000007</v>
      </c>
      <c r="O377" s="158" t="str">
        <f>O342</f>
        <v>Kg</v>
      </c>
      <c r="P377" s="159" t="str">
        <f>P342</f>
        <v>Recette mère ► le Boudin en 4 déclinaisons</v>
      </c>
      <c r="Q377" s="172" t="s">
        <v>13120</v>
      </c>
      <c r="R377" s="172"/>
      <c r="S377" s="172"/>
      <c r="T377" s="172"/>
      <c r="U377" s="172"/>
      <c r="V377" s="172"/>
      <c r="W377" s="172"/>
      <c r="X377" s="172"/>
      <c r="Y377" s="170" t="s">
        <v>182</v>
      </c>
      <c r="Z377" s="175">
        <v>3.472222222222222E-3</v>
      </c>
      <c r="AA377" s="5211"/>
      <c r="AB377" s="1178"/>
      <c r="AC377" s="1179"/>
      <c r="AD377" s="227" t="s">
        <v>22</v>
      </c>
      <c r="AE377" s="1027" t="str">
        <f t="shared" si="158"/>
        <v>►</v>
      </c>
      <c r="AF377" s="1028" t="str">
        <f t="shared" si="159"/>
        <v/>
      </c>
      <c r="AG377" s="1029" t="str">
        <f t="shared" si="160"/>
        <v/>
      </c>
      <c r="AH377" s="1028" t="str">
        <f t="shared" si="161"/>
        <v/>
      </c>
      <c r="AI377" s="1029" t="str">
        <f t="shared" si="162"/>
        <v/>
      </c>
      <c r="AJ377" s="1029">
        <f t="shared" si="163"/>
        <v>0</v>
      </c>
      <c r="AK377" s="1043" t="str" cm="1">
        <f t="array" ref="AK377">IF(AE377&lt;&gt;"A","",IFERROR((IFERROR(_xlfn.XLOOKUP(TRIM(SUBSTITUTE(U377,CHAR(160)," ")),$BI$15:$BI$62,$BL$15:$BL$62),IFERROR(_xlfn.XLOOKUP(TRIM(SUBSTITUTE(U377,CHAR(160)," ")),$BJ$15:$BJ$62,$BL$15:$BL$62),_xlfn.XLOOKUP(TRIM(SUBSTITUTE(U377,CHAR(160)," ")),$BK$15:$BK$62,$BL$15:$BL$62))))*T377*IF(ISBLANK(Q377),1,Q377)+IFERROR(_xlfn.XLOOKUP("RECHERCHEX",TRIM(L377:AC377),L377:AC377),0),0))</f>
        <v/>
      </c>
      <c r="AL377" s="1030">
        <f t="shared" si="164"/>
        <v>0</v>
      </c>
      <c r="AM377" s="5254" t="str">
        <f t="shared" si="181"/>
        <v/>
      </c>
      <c r="AN377" s="1031">
        <f t="shared" si="165"/>
        <v>0</v>
      </c>
      <c r="AO377" s="1031">
        <f t="shared" si="166"/>
        <v>0</v>
      </c>
      <c r="AP377" s="1044">
        <f t="shared" si="167"/>
        <v>0</v>
      </c>
      <c r="AQ377" s="5257" t="str">
        <f t="shared" si="168"/>
        <v/>
      </c>
      <c r="AR377" s="1056"/>
      <c r="AS377" s="1056"/>
      <c r="AT377" s="1045">
        <f t="shared" si="169"/>
        <v>0</v>
      </c>
      <c r="AU377" s="1046">
        <f t="shared" si="170"/>
        <v>0</v>
      </c>
      <c r="AV377" s="1059" cm="1">
        <f t="array" ref="AV377">IF(AJ377&lt;&gt;1,0,IF(OR(AT377="",N(AT377)&lt;=0.000000001),"",IF(OR(AN377="",N(AN377)&lt;=0.000000001),0,IF(ISNUMBER(AT377),IFERROR(_xlfn.LET(_xlpm.ai_test,TRIM(AI377),_xlpm.r,IFERROR(_xlfn.XLOOKUP(_xlpm.ai_test,$BI$15:$BI$62,ROW($BI$15:$BI$62),0,1),IFERROR(_xlfn.XLOOKUP(_xlpm.ai_test,$BJ$15:$BJ$62,ROW($BJ$15:$BJ$62),0,1),_xlfn.XLOOKUP(_xlpm.ai_test,$BK$15:$BK$62,ROW($BK$15:$BK$62),0,1))),_xlpm.p,_xlpm.r-MIN(ROW($BI$15:$BI$62))+1,_xlpm.f,INDEX($BL$15:$BL$62,_xlpm.p),_xlpm.u,INDEX($BM$15:$BM$62,_xlpm.p),_xlpm.s,INDEX($BO$15:$BO$62,_xlpm.p),_xlpm.q,N(AT377)/_xlpm.f,IF(_xlpm.q&gt;=_xlpm.s,ROUND(_xlpm.q,1)&amp;" "&amp;_xlpm.ai_test&amp;" = "&amp;ROUND(_xlpm.q*_xlpm.f,1)&amp;" "&amp;_xlpm.u,ROUND(_xlpm.q,1)&amp;" "&amp;_xlpm.ai_test)),""),""))))</f>
        <v>0</v>
      </c>
      <c r="AW377" s="1047"/>
      <c r="AX377" s="1045">
        <f t="shared" si="171"/>
        <v>0</v>
      </c>
      <c r="AY377" s="1046" t="str">
        <f t="shared" si="172"/>
        <v/>
      </c>
      <c r="AZ377" s="1048">
        <f t="shared" si="177"/>
        <v>0</v>
      </c>
      <c r="BA377" s="1049" t="str">
        <f t="shared" si="173"/>
        <v/>
      </c>
      <c r="BB377" s="1038"/>
      <c r="BC377" s="1050">
        <f t="shared" si="180"/>
        <v>0</v>
      </c>
      <c r="BD377" s="1040" t="str">
        <f t="shared" si="174"/>
        <v/>
      </c>
      <c r="BE377" s="227" t="s">
        <v>22</v>
      </c>
      <c r="BF377" s="1019">
        <f t="shared" si="175"/>
        <v>0</v>
      </c>
      <c r="BG377" s="1020">
        <f t="shared" si="176"/>
        <v>0</v>
      </c>
      <c r="BH377"/>
      <c r="BI377" s="709"/>
      <c r="BJ377" s="709"/>
      <c r="BK377" s="709"/>
      <c r="BL377" s="709"/>
      <c r="BM377" s="709"/>
      <c r="BN377" s="709"/>
      <c r="BO377" s="709"/>
      <c r="BP377" s="709"/>
      <c r="BW377" s="959" t="str">
        <f t="shared" si="157"/>
        <v>►</v>
      </c>
      <c r="BX377" s="856"/>
      <c r="BY377" s="856"/>
      <c r="BZ377" s="856"/>
      <c r="CA377" s="856"/>
      <c r="CB377" s="856"/>
      <c r="DB377" s="3">
        <v>1</v>
      </c>
    </row>
    <row r="378" spans="12:106" ht="21" customHeight="1">
      <c r="L378" s="104" t="s">
        <v>16</v>
      </c>
      <c r="M378" s="157" t="str">
        <f>M342</f>
        <v>B BAUDRUCHE DE COPAIN | | Auteur &gt; Guy KRENZE - Eric GODDYN - Arnaud NICOLAS - CEPROC 2002</v>
      </c>
      <c r="N378" s="157">
        <f>N342</f>
        <v>9.0500000000000007</v>
      </c>
      <c r="O378" s="158" t="str">
        <f>O342</f>
        <v>Kg</v>
      </c>
      <c r="P378" s="159" t="str">
        <f>P342</f>
        <v>Recette mère ► le Boudin en 4 déclinaisons</v>
      </c>
      <c r="Q378" s="172" t="s">
        <v>13121</v>
      </c>
      <c r="R378" s="172"/>
      <c r="S378" s="172"/>
      <c r="T378" s="172"/>
      <c r="U378" s="172"/>
      <c r="V378" s="172"/>
      <c r="W378" s="172"/>
      <c r="X378" s="172"/>
      <c r="Y378" s="176" t="s">
        <v>183</v>
      </c>
      <c r="Z378" s="177">
        <f>Z375+Z376+Z377</f>
        <v>1.0416666666666666E-2</v>
      </c>
      <c r="AA378" s="5211"/>
      <c r="AB378" s="1178"/>
      <c r="AC378" s="1179"/>
      <c r="AD378" s="227" t="s">
        <v>22</v>
      </c>
      <c r="AE378" s="1027" t="str">
        <f t="shared" si="158"/>
        <v>►</v>
      </c>
      <c r="AF378" s="1028" t="str">
        <f t="shared" si="159"/>
        <v/>
      </c>
      <c r="AG378" s="1029" t="str">
        <f t="shared" si="160"/>
        <v/>
      </c>
      <c r="AH378" s="1028" t="str">
        <f t="shared" si="161"/>
        <v/>
      </c>
      <c r="AI378" s="1029" t="str">
        <f t="shared" si="162"/>
        <v/>
      </c>
      <c r="AJ378" s="1029">
        <f t="shared" si="163"/>
        <v>0</v>
      </c>
      <c r="AK378" s="1043" t="str" cm="1">
        <f t="array" ref="AK378">IF(AE378&lt;&gt;"A","",IFERROR((IFERROR(_xlfn.XLOOKUP(TRIM(SUBSTITUTE(U378,CHAR(160)," ")),$BI$15:$BI$62,$BL$15:$BL$62),IFERROR(_xlfn.XLOOKUP(TRIM(SUBSTITUTE(U378,CHAR(160)," ")),$BJ$15:$BJ$62,$BL$15:$BL$62),_xlfn.XLOOKUP(TRIM(SUBSTITUTE(U378,CHAR(160)," ")),$BK$15:$BK$62,$BL$15:$BL$62))))*T378*IF(ISBLANK(Q378),1,Q378)+IFERROR(_xlfn.XLOOKUP("RECHERCHEX",TRIM(L378:AC378),L378:AC378),0),0))</f>
        <v/>
      </c>
      <c r="AL378" s="1030">
        <f t="shared" si="164"/>
        <v>0</v>
      </c>
      <c r="AM378" s="5254" t="str">
        <f t="shared" si="181"/>
        <v/>
      </c>
      <c r="AN378" s="1031">
        <f t="shared" si="165"/>
        <v>0</v>
      </c>
      <c r="AO378" s="1031">
        <f t="shared" si="166"/>
        <v>0</v>
      </c>
      <c r="AP378" s="1032">
        <f t="shared" si="167"/>
        <v>0</v>
      </c>
      <c r="AQ378" s="5255" t="str">
        <f t="shared" si="168"/>
        <v/>
      </c>
      <c r="AR378" s="1056"/>
      <c r="AS378" s="1056"/>
      <c r="AT378" s="1034">
        <f t="shared" si="169"/>
        <v>0</v>
      </c>
      <c r="AU378" s="1035">
        <f t="shared" si="170"/>
        <v>0</v>
      </c>
      <c r="AV378" s="1057" cm="1">
        <f t="array" ref="AV378">IF(AJ378&lt;&gt;1,0,IF(OR(AT378="",N(AT378)&lt;=0.000000001),"",IF(OR(AN378="",N(AN378)&lt;=0.000000001),0,IF(ISNUMBER(AT378),IFERROR(_xlfn.LET(_xlpm.ai_test,TRIM(AI378),_xlpm.r,IFERROR(_xlfn.XLOOKUP(_xlpm.ai_test,$BI$15:$BI$62,ROW($BI$15:$BI$62),0,1),IFERROR(_xlfn.XLOOKUP(_xlpm.ai_test,$BJ$15:$BJ$62,ROW($BJ$15:$BJ$62),0,1),_xlfn.XLOOKUP(_xlpm.ai_test,$BK$15:$BK$62,ROW($BK$15:$BK$62),0,1))),_xlpm.p,_xlpm.r-MIN(ROW($BI$15:$BI$62))+1,_xlpm.f,INDEX($BL$15:$BL$62,_xlpm.p),_xlpm.u,INDEX($BM$15:$BM$62,_xlpm.p),_xlpm.s,INDEX($BO$15:$BO$62,_xlpm.p),_xlpm.q,N(AT378)/_xlpm.f,IF(_xlpm.q&gt;=_xlpm.s,ROUND(_xlpm.q,1)&amp;" "&amp;_xlpm.ai_test&amp;" = "&amp;ROUND(_xlpm.q*_xlpm.f,1)&amp;" "&amp;_xlpm.u,ROUND(_xlpm.q,1)&amp;" "&amp;_xlpm.ai_test)),""),""))))</f>
        <v>0</v>
      </c>
      <c r="AW378" s="1047"/>
      <c r="AX378" s="1034">
        <f t="shared" si="171"/>
        <v>0</v>
      </c>
      <c r="AY378" s="1035" t="str">
        <f t="shared" si="172"/>
        <v/>
      </c>
      <c r="AZ378" s="1036">
        <f t="shared" si="177"/>
        <v>0</v>
      </c>
      <c r="BA378" s="1037" t="str">
        <f t="shared" si="173"/>
        <v/>
      </c>
      <c r="BB378" s="1038"/>
      <c r="BC378" s="1039">
        <f t="shared" si="180"/>
        <v>0</v>
      </c>
      <c r="BD378" s="1040" t="str">
        <f t="shared" si="174"/>
        <v/>
      </c>
      <c r="BE378" s="227" t="s">
        <v>22</v>
      </c>
      <c r="BF378" s="1019">
        <f t="shared" si="175"/>
        <v>0</v>
      </c>
      <c r="BG378" s="1020">
        <f t="shared" si="176"/>
        <v>0</v>
      </c>
      <c r="BH378"/>
      <c r="BI378" s="709"/>
      <c r="BJ378" s="709"/>
      <c r="BK378" s="709"/>
      <c r="BL378" s="709"/>
      <c r="BM378" s="709"/>
      <c r="BN378" s="709"/>
      <c r="BO378" s="709"/>
      <c r="BP378" s="709"/>
      <c r="BW378" s="959" t="str">
        <f t="shared" si="157"/>
        <v>►</v>
      </c>
      <c r="BX378" s="856"/>
      <c r="BY378" s="856"/>
      <c r="BZ378" s="856"/>
      <c r="CA378" s="856"/>
      <c r="CB378" s="856"/>
      <c r="DB378" s="3">
        <v>1</v>
      </c>
    </row>
    <row r="379" spans="12:106" ht="21" customHeight="1">
      <c r="L379" s="104" t="s">
        <v>16</v>
      </c>
      <c r="M379" s="157" t="str">
        <f>M342</f>
        <v>B BAUDRUCHE DE COPAIN | | Auteur &gt; Guy KRENZE - Eric GODDYN - Arnaud NICOLAS - CEPROC 2002</v>
      </c>
      <c r="N379" s="157">
        <f>N342</f>
        <v>9.0500000000000007</v>
      </c>
      <c r="O379" s="158" t="str">
        <f>O342</f>
        <v>Kg</v>
      </c>
      <c r="P379" s="159" t="str">
        <f>P342</f>
        <v>Recette mère ► le Boudin en 4 déclinaisons</v>
      </c>
      <c r="Q379" s="172" t="s">
        <v>13122</v>
      </c>
      <c r="R379" s="172"/>
      <c r="S379" s="172"/>
      <c r="T379" s="172"/>
      <c r="U379" s="172"/>
      <c r="V379" s="172"/>
      <c r="W379" s="172"/>
      <c r="X379" s="172"/>
      <c r="Y379" s="172"/>
      <c r="Z379" s="555"/>
      <c r="AA379" s="5211"/>
      <c r="AB379" s="1178"/>
      <c r="AC379" s="1179"/>
      <c r="AD379" s="227" t="s">
        <v>22</v>
      </c>
      <c r="AE379" s="1027" t="str">
        <f t="shared" si="158"/>
        <v>►</v>
      </c>
      <c r="AF379" s="1028" t="str">
        <f t="shared" si="159"/>
        <v/>
      </c>
      <c r="AG379" s="1029" t="str">
        <f t="shared" si="160"/>
        <v/>
      </c>
      <c r="AH379" s="1028" t="str">
        <f t="shared" si="161"/>
        <v/>
      </c>
      <c r="AI379" s="1029" t="str">
        <f t="shared" si="162"/>
        <v/>
      </c>
      <c r="AJ379" s="1029">
        <f t="shared" si="163"/>
        <v>0</v>
      </c>
      <c r="AK379" s="1043" t="str" cm="1">
        <f t="array" ref="AK379">IF(AE379&lt;&gt;"A","",IFERROR((IFERROR(_xlfn.XLOOKUP(TRIM(SUBSTITUTE(U379,CHAR(160)," ")),$BI$15:$BI$62,$BL$15:$BL$62),IFERROR(_xlfn.XLOOKUP(TRIM(SUBSTITUTE(U379,CHAR(160)," ")),$BJ$15:$BJ$62,$BL$15:$BL$62),_xlfn.XLOOKUP(TRIM(SUBSTITUTE(U379,CHAR(160)," ")),$BK$15:$BK$62,$BL$15:$BL$62))))*T379*IF(ISBLANK(Q379),1,Q379)+IFERROR(_xlfn.XLOOKUP("RECHERCHEX",TRIM(L379:AC379),L379:AC379),0),0))</f>
        <v/>
      </c>
      <c r="AL379" s="1030">
        <f t="shared" si="164"/>
        <v>0</v>
      </c>
      <c r="AM379" s="5254" t="str">
        <f t="shared" si="181"/>
        <v/>
      </c>
      <c r="AN379" s="1031">
        <f t="shared" si="165"/>
        <v>0</v>
      </c>
      <c r="AO379" s="1031">
        <f t="shared" si="166"/>
        <v>0</v>
      </c>
      <c r="AP379" s="1044">
        <f t="shared" si="167"/>
        <v>0</v>
      </c>
      <c r="AQ379" s="5257" t="str">
        <f t="shared" si="168"/>
        <v/>
      </c>
      <c r="AR379" s="1056"/>
      <c r="AS379" s="1056"/>
      <c r="AT379" s="1045">
        <f t="shared" si="169"/>
        <v>0</v>
      </c>
      <c r="AU379" s="1046">
        <f t="shared" si="170"/>
        <v>0</v>
      </c>
      <c r="AV379" s="1059" cm="1">
        <f t="array" ref="AV379">IF(AJ379&lt;&gt;1,0,IF(OR(AT379="",N(AT379)&lt;=0.000000001),"",IF(OR(AN379="",N(AN379)&lt;=0.000000001),0,IF(ISNUMBER(AT379),IFERROR(_xlfn.LET(_xlpm.ai_test,TRIM(AI379),_xlpm.r,IFERROR(_xlfn.XLOOKUP(_xlpm.ai_test,$BI$15:$BI$62,ROW($BI$15:$BI$62),0,1),IFERROR(_xlfn.XLOOKUP(_xlpm.ai_test,$BJ$15:$BJ$62,ROW($BJ$15:$BJ$62),0,1),_xlfn.XLOOKUP(_xlpm.ai_test,$BK$15:$BK$62,ROW($BK$15:$BK$62),0,1))),_xlpm.p,_xlpm.r-MIN(ROW($BI$15:$BI$62))+1,_xlpm.f,INDEX($BL$15:$BL$62,_xlpm.p),_xlpm.u,INDEX($BM$15:$BM$62,_xlpm.p),_xlpm.s,INDEX($BO$15:$BO$62,_xlpm.p),_xlpm.q,N(AT379)/_xlpm.f,IF(_xlpm.q&gt;=_xlpm.s,ROUND(_xlpm.q,1)&amp;" "&amp;_xlpm.ai_test&amp;" = "&amp;ROUND(_xlpm.q*_xlpm.f,1)&amp;" "&amp;_xlpm.u,ROUND(_xlpm.q,1)&amp;" "&amp;_xlpm.ai_test)),""),""))))</f>
        <v>0</v>
      </c>
      <c r="AW379" s="1047"/>
      <c r="AX379" s="1045">
        <f t="shared" si="171"/>
        <v>0</v>
      </c>
      <c r="AY379" s="1046" t="str">
        <f t="shared" si="172"/>
        <v/>
      </c>
      <c r="AZ379" s="1048">
        <f t="shared" si="177"/>
        <v>0</v>
      </c>
      <c r="BA379" s="1049" t="str">
        <f t="shared" si="173"/>
        <v/>
      </c>
      <c r="BB379" s="1038"/>
      <c r="BC379" s="1050">
        <f t="shared" si="180"/>
        <v>0</v>
      </c>
      <c r="BD379" s="1040" t="str">
        <f t="shared" si="174"/>
        <v/>
      </c>
      <c r="BE379" s="227" t="s">
        <v>22</v>
      </c>
      <c r="BF379" s="1019">
        <f t="shared" si="175"/>
        <v>0</v>
      </c>
      <c r="BG379" s="1020">
        <f t="shared" si="176"/>
        <v>0</v>
      </c>
      <c r="BH379"/>
      <c r="BI379" s="709"/>
      <c r="BJ379" s="709"/>
      <c r="BK379" s="709"/>
      <c r="BL379" s="709"/>
      <c r="BM379" s="709"/>
      <c r="BN379" s="709"/>
      <c r="BO379" s="709"/>
      <c r="BP379" s="709"/>
      <c r="BW379" s="959" t="str">
        <f t="shared" si="157"/>
        <v>►</v>
      </c>
      <c r="BX379" s="856"/>
      <c r="BY379" s="856"/>
      <c r="BZ379" s="856"/>
      <c r="CA379" s="856"/>
      <c r="CB379" s="856"/>
      <c r="DB379" s="3">
        <v>1</v>
      </c>
    </row>
    <row r="380" spans="12:106" ht="21" customHeight="1">
      <c r="L380" s="104" t="s">
        <v>16</v>
      </c>
      <c r="M380" s="157" t="str">
        <f>M342</f>
        <v>B BAUDRUCHE DE COPAIN | | Auteur &gt; Guy KRENZE - Eric GODDYN - Arnaud NICOLAS - CEPROC 2002</v>
      </c>
      <c r="N380" s="157">
        <f>N342</f>
        <v>9.0500000000000007</v>
      </c>
      <c r="O380" s="158" t="str">
        <f>O342</f>
        <v>Kg</v>
      </c>
      <c r="P380" s="159" t="str">
        <f>P342</f>
        <v>Recette mère ► le Boudin en 4 déclinaisons</v>
      </c>
      <c r="Q380" s="172" t="s">
        <v>13123</v>
      </c>
      <c r="R380" s="172"/>
      <c r="S380" s="172"/>
      <c r="T380" s="172"/>
      <c r="U380" s="172"/>
      <c r="V380" s="172"/>
      <c r="W380" s="172"/>
      <c r="X380" s="172"/>
      <c r="Y380" s="172"/>
      <c r="Z380" s="555"/>
      <c r="AA380" s="5211"/>
      <c r="AB380" s="1178"/>
      <c r="AC380" s="1179"/>
      <c r="AD380" s="227" t="s">
        <v>22</v>
      </c>
      <c r="AE380" s="1027" t="str">
        <f t="shared" si="158"/>
        <v>►</v>
      </c>
      <c r="AF380" s="1028" t="str">
        <f t="shared" si="159"/>
        <v/>
      </c>
      <c r="AG380" s="1029" t="str">
        <f t="shared" si="160"/>
        <v/>
      </c>
      <c r="AH380" s="1028" t="str">
        <f t="shared" si="161"/>
        <v/>
      </c>
      <c r="AI380" s="1029" t="str">
        <f t="shared" si="162"/>
        <v/>
      </c>
      <c r="AJ380" s="1029">
        <f t="shared" si="163"/>
        <v>0</v>
      </c>
      <c r="AK380" s="1043" t="str" cm="1">
        <f t="array" ref="AK380">IF(AE380&lt;&gt;"A","",IFERROR((IFERROR(_xlfn.XLOOKUP(TRIM(SUBSTITUTE(U380,CHAR(160)," ")),$BI$15:$BI$62,$BL$15:$BL$62),IFERROR(_xlfn.XLOOKUP(TRIM(SUBSTITUTE(U380,CHAR(160)," ")),$BJ$15:$BJ$62,$BL$15:$BL$62),_xlfn.XLOOKUP(TRIM(SUBSTITUTE(U380,CHAR(160)," ")),$BK$15:$BK$62,$BL$15:$BL$62))))*T380*IF(ISBLANK(Q380),1,Q380)+IFERROR(_xlfn.XLOOKUP("RECHERCHEX",TRIM(L380:AC380),L380:AC380),0),0))</f>
        <v/>
      </c>
      <c r="AL380" s="1030">
        <f t="shared" si="164"/>
        <v>0</v>
      </c>
      <c r="AM380" s="5254" t="str">
        <f t="shared" si="181"/>
        <v/>
      </c>
      <c r="AN380" s="1031">
        <f t="shared" si="165"/>
        <v>0</v>
      </c>
      <c r="AO380" s="1031">
        <f t="shared" si="166"/>
        <v>0</v>
      </c>
      <c r="AP380" s="1032">
        <f t="shared" si="167"/>
        <v>0</v>
      </c>
      <c r="AQ380" s="5255" t="str">
        <f t="shared" si="168"/>
        <v/>
      </c>
      <c r="AR380" s="1056"/>
      <c r="AS380" s="1056"/>
      <c r="AT380" s="1034">
        <f t="shared" si="169"/>
        <v>0</v>
      </c>
      <c r="AU380" s="1035">
        <f t="shared" si="170"/>
        <v>0</v>
      </c>
      <c r="AV380" s="1057" cm="1">
        <f t="array" ref="AV380">IF(AJ380&lt;&gt;1,0,IF(OR(AT380="",N(AT380)&lt;=0.000000001),"",IF(OR(AN380="",N(AN380)&lt;=0.000000001),0,IF(ISNUMBER(AT380),IFERROR(_xlfn.LET(_xlpm.ai_test,TRIM(AI380),_xlpm.r,IFERROR(_xlfn.XLOOKUP(_xlpm.ai_test,$BI$15:$BI$62,ROW($BI$15:$BI$62),0,1),IFERROR(_xlfn.XLOOKUP(_xlpm.ai_test,$BJ$15:$BJ$62,ROW($BJ$15:$BJ$62),0,1),_xlfn.XLOOKUP(_xlpm.ai_test,$BK$15:$BK$62,ROW($BK$15:$BK$62),0,1))),_xlpm.p,_xlpm.r-MIN(ROW($BI$15:$BI$62))+1,_xlpm.f,INDEX($BL$15:$BL$62,_xlpm.p),_xlpm.u,INDEX($BM$15:$BM$62,_xlpm.p),_xlpm.s,INDEX($BO$15:$BO$62,_xlpm.p),_xlpm.q,N(AT380)/_xlpm.f,IF(_xlpm.q&gt;=_xlpm.s,ROUND(_xlpm.q,1)&amp;" "&amp;_xlpm.ai_test&amp;" = "&amp;ROUND(_xlpm.q*_xlpm.f,1)&amp;" "&amp;_xlpm.u,ROUND(_xlpm.q,1)&amp;" "&amp;_xlpm.ai_test)),""),""))))</f>
        <v>0</v>
      </c>
      <c r="AW380" s="1047"/>
      <c r="AX380" s="1034">
        <f t="shared" si="171"/>
        <v>0</v>
      </c>
      <c r="AY380" s="1035" t="str">
        <f t="shared" si="172"/>
        <v/>
      </c>
      <c r="AZ380" s="1036">
        <f t="shared" si="177"/>
        <v>0</v>
      </c>
      <c r="BA380" s="1037" t="str">
        <f t="shared" si="173"/>
        <v/>
      </c>
      <c r="BB380" s="1038"/>
      <c r="BC380" s="1039">
        <f t="shared" si="180"/>
        <v>0</v>
      </c>
      <c r="BD380" s="1040" t="str">
        <f t="shared" si="174"/>
        <v/>
      </c>
      <c r="BE380" s="227" t="s">
        <v>22</v>
      </c>
      <c r="BF380" s="1019">
        <f t="shared" si="175"/>
        <v>0</v>
      </c>
      <c r="BG380" s="1020">
        <f t="shared" si="176"/>
        <v>0</v>
      </c>
      <c r="BH380"/>
      <c r="BI380" s="709"/>
      <c r="BJ380" s="709"/>
      <c r="BK380" s="709"/>
      <c r="BL380" s="709"/>
      <c r="BM380" s="709"/>
      <c r="BN380" s="709"/>
      <c r="BO380" s="709"/>
      <c r="BP380" s="709"/>
      <c r="BW380" s="959" t="str">
        <f t="shared" si="157"/>
        <v>►</v>
      </c>
      <c r="BX380" s="856"/>
      <c r="BY380" s="856"/>
      <c r="BZ380" s="856"/>
      <c r="CA380" s="856"/>
      <c r="CB380" s="856"/>
      <c r="DB380" s="3">
        <v>1</v>
      </c>
    </row>
    <row r="381" spans="12:106" ht="21" customHeight="1">
      <c r="L381" s="104" t="s">
        <v>16</v>
      </c>
      <c r="M381" s="157" t="str">
        <f>M342</f>
        <v>B BAUDRUCHE DE COPAIN | | Auteur &gt; Guy KRENZE - Eric GODDYN - Arnaud NICOLAS - CEPROC 2002</v>
      </c>
      <c r="N381" s="157">
        <f>N342</f>
        <v>9.0500000000000007</v>
      </c>
      <c r="O381" s="158" t="str">
        <f>O342</f>
        <v>Kg</v>
      </c>
      <c r="P381" s="159" t="str">
        <f>P342</f>
        <v>Recette mère ► le Boudin en 4 déclinaisons</v>
      </c>
      <c r="Q381" s="172" t="s">
        <v>13124</v>
      </c>
      <c r="R381" s="172"/>
      <c r="S381" s="172"/>
      <c r="T381" s="172"/>
      <c r="U381" s="172"/>
      <c r="V381" s="172"/>
      <c r="W381" s="172"/>
      <c r="X381" s="172"/>
      <c r="Y381" s="172"/>
      <c r="Z381" s="555"/>
      <c r="AA381" s="5211"/>
      <c r="AB381" s="1178"/>
      <c r="AC381" s="1179"/>
      <c r="AD381" s="227" t="s">
        <v>22</v>
      </c>
      <c r="AE381" s="1027" t="str">
        <f t="shared" si="158"/>
        <v>►</v>
      </c>
      <c r="AF381" s="1028" t="str">
        <f t="shared" si="159"/>
        <v/>
      </c>
      <c r="AG381" s="1029" t="str">
        <f t="shared" si="160"/>
        <v/>
      </c>
      <c r="AH381" s="1028" t="str">
        <f t="shared" si="161"/>
        <v/>
      </c>
      <c r="AI381" s="1029" t="str">
        <f t="shared" si="162"/>
        <v/>
      </c>
      <c r="AJ381" s="1029">
        <f t="shared" si="163"/>
        <v>0</v>
      </c>
      <c r="AK381" s="1043" t="str" cm="1">
        <f t="array" ref="AK381">IF(AE381&lt;&gt;"A","",IFERROR((IFERROR(_xlfn.XLOOKUP(TRIM(SUBSTITUTE(U381,CHAR(160)," ")),$BI$15:$BI$62,$BL$15:$BL$62),IFERROR(_xlfn.XLOOKUP(TRIM(SUBSTITUTE(U381,CHAR(160)," ")),$BJ$15:$BJ$62,$BL$15:$BL$62),_xlfn.XLOOKUP(TRIM(SUBSTITUTE(U381,CHAR(160)," ")),$BK$15:$BK$62,$BL$15:$BL$62))))*T381*IF(ISBLANK(Q381),1,Q381)+IFERROR(_xlfn.XLOOKUP("RECHERCHEX",TRIM(L381:AC381),L381:AC381),0),0))</f>
        <v/>
      </c>
      <c r="AL381" s="1030">
        <f t="shared" si="164"/>
        <v>0</v>
      </c>
      <c r="AM381" s="5254" t="str">
        <f t="shared" si="181"/>
        <v/>
      </c>
      <c r="AN381" s="1031">
        <f t="shared" si="165"/>
        <v>0</v>
      </c>
      <c r="AO381" s="1031">
        <f t="shared" si="166"/>
        <v>0</v>
      </c>
      <c r="AP381" s="1044">
        <f t="shared" si="167"/>
        <v>0</v>
      </c>
      <c r="AQ381" s="5257" t="str">
        <f t="shared" si="168"/>
        <v/>
      </c>
      <c r="AR381" s="1056"/>
      <c r="AS381" s="1056"/>
      <c r="AT381" s="1045">
        <f t="shared" si="169"/>
        <v>0</v>
      </c>
      <c r="AU381" s="1046">
        <f t="shared" si="170"/>
        <v>0</v>
      </c>
      <c r="AV381" s="1059" cm="1">
        <f t="array" ref="AV381">IF(AJ381&lt;&gt;1,0,IF(OR(AT381="",N(AT381)&lt;=0.000000001),"",IF(OR(AN381="",N(AN381)&lt;=0.000000001),0,IF(ISNUMBER(AT381),IFERROR(_xlfn.LET(_xlpm.ai_test,TRIM(AI381),_xlpm.r,IFERROR(_xlfn.XLOOKUP(_xlpm.ai_test,$BI$15:$BI$62,ROW($BI$15:$BI$62),0,1),IFERROR(_xlfn.XLOOKUP(_xlpm.ai_test,$BJ$15:$BJ$62,ROW($BJ$15:$BJ$62),0,1),_xlfn.XLOOKUP(_xlpm.ai_test,$BK$15:$BK$62,ROW($BK$15:$BK$62),0,1))),_xlpm.p,_xlpm.r-MIN(ROW($BI$15:$BI$62))+1,_xlpm.f,INDEX($BL$15:$BL$62,_xlpm.p),_xlpm.u,INDEX($BM$15:$BM$62,_xlpm.p),_xlpm.s,INDEX($BO$15:$BO$62,_xlpm.p),_xlpm.q,N(AT381)/_xlpm.f,IF(_xlpm.q&gt;=_xlpm.s,ROUND(_xlpm.q,1)&amp;" "&amp;_xlpm.ai_test&amp;" = "&amp;ROUND(_xlpm.q*_xlpm.f,1)&amp;" "&amp;_xlpm.u,ROUND(_xlpm.q,1)&amp;" "&amp;_xlpm.ai_test)),""),""))))</f>
        <v>0</v>
      </c>
      <c r="AW381" s="1047"/>
      <c r="AX381" s="1045">
        <f t="shared" si="171"/>
        <v>0</v>
      </c>
      <c r="AY381" s="1046" t="str">
        <f t="shared" si="172"/>
        <v/>
      </c>
      <c r="AZ381" s="1048">
        <f t="shared" si="177"/>
        <v>0</v>
      </c>
      <c r="BA381" s="1049" t="str">
        <f t="shared" si="173"/>
        <v/>
      </c>
      <c r="BB381" s="1038"/>
      <c r="BC381" s="1050">
        <f t="shared" si="180"/>
        <v>0</v>
      </c>
      <c r="BD381" s="1040" t="str">
        <f t="shared" si="174"/>
        <v/>
      </c>
      <c r="BE381" s="227" t="s">
        <v>22</v>
      </c>
      <c r="BF381" s="1019">
        <f t="shared" si="175"/>
        <v>0</v>
      </c>
      <c r="BG381" s="1020">
        <f t="shared" si="176"/>
        <v>0</v>
      </c>
      <c r="BH381"/>
      <c r="BI381" s="709"/>
      <c r="BJ381" s="709"/>
      <c r="BK381" s="709"/>
      <c r="BL381" s="709"/>
      <c r="BM381" s="709"/>
      <c r="BN381" s="709"/>
      <c r="BO381" s="709"/>
      <c r="BP381" s="709"/>
      <c r="BW381" s="959" t="str">
        <f t="shared" si="157"/>
        <v>►</v>
      </c>
      <c r="BX381" s="856"/>
      <c r="BY381" s="856"/>
      <c r="BZ381" s="856"/>
      <c r="CA381" s="856"/>
      <c r="CB381" s="856"/>
      <c r="DB381" s="3">
        <v>1</v>
      </c>
    </row>
    <row r="382" spans="12:106" ht="21" customHeight="1">
      <c r="L382" s="104" t="s">
        <v>16</v>
      </c>
      <c r="M382" s="157" t="str">
        <f>M342</f>
        <v>B BAUDRUCHE DE COPAIN | | Auteur &gt; Guy KRENZE - Eric GODDYN - Arnaud NICOLAS - CEPROC 2002</v>
      </c>
      <c r="N382" s="157">
        <f>N342</f>
        <v>9.0500000000000007</v>
      </c>
      <c r="O382" s="158" t="str">
        <f>O342</f>
        <v>Kg</v>
      </c>
      <c r="P382" s="159" t="str">
        <f>P342</f>
        <v>Recette mère ► le Boudin en 4 déclinaisons</v>
      </c>
      <c r="Q382" s="172" t="s">
        <v>13125</v>
      </c>
      <c r="R382" s="172"/>
      <c r="S382" s="172"/>
      <c r="T382" s="172"/>
      <c r="U382" s="172"/>
      <c r="V382" s="172"/>
      <c r="W382" s="172"/>
      <c r="X382" s="172"/>
      <c r="Y382" s="172"/>
      <c r="Z382" s="555"/>
      <c r="AA382" s="5211"/>
      <c r="AB382" s="1178"/>
      <c r="AC382" s="1179"/>
      <c r="AD382" s="227" t="s">
        <v>22</v>
      </c>
      <c r="AE382" s="1027" t="str">
        <f t="shared" si="158"/>
        <v>►</v>
      </c>
      <c r="AF382" s="1028" t="str">
        <f t="shared" si="159"/>
        <v/>
      </c>
      <c r="AG382" s="1029" t="str">
        <f t="shared" si="160"/>
        <v/>
      </c>
      <c r="AH382" s="1028" t="str">
        <f t="shared" si="161"/>
        <v/>
      </c>
      <c r="AI382" s="1029" t="str">
        <f t="shared" si="162"/>
        <v/>
      </c>
      <c r="AJ382" s="1029">
        <f t="shared" si="163"/>
        <v>0</v>
      </c>
      <c r="AK382" s="1043" t="str" cm="1">
        <f t="array" ref="AK382">IF(AE382&lt;&gt;"A","",IFERROR((IFERROR(_xlfn.XLOOKUP(TRIM(SUBSTITUTE(U382,CHAR(160)," ")),$BI$15:$BI$62,$BL$15:$BL$62),IFERROR(_xlfn.XLOOKUP(TRIM(SUBSTITUTE(U382,CHAR(160)," ")),$BJ$15:$BJ$62,$BL$15:$BL$62),_xlfn.XLOOKUP(TRIM(SUBSTITUTE(U382,CHAR(160)," ")),$BK$15:$BK$62,$BL$15:$BL$62))))*T382*IF(ISBLANK(Q382),1,Q382)+IFERROR(_xlfn.XLOOKUP("RECHERCHEX",TRIM(L382:AC382),L382:AC382),0),0))</f>
        <v/>
      </c>
      <c r="AL382" s="1030">
        <f t="shared" si="164"/>
        <v>0</v>
      </c>
      <c r="AM382" s="5254" t="str">
        <f t="shared" si="181"/>
        <v/>
      </c>
      <c r="AN382" s="1031">
        <f t="shared" si="165"/>
        <v>0</v>
      </c>
      <c r="AO382" s="1031">
        <f t="shared" si="166"/>
        <v>0</v>
      </c>
      <c r="AP382" s="1032">
        <f t="shared" si="167"/>
        <v>0</v>
      </c>
      <c r="AQ382" s="5255" t="str">
        <f t="shared" si="168"/>
        <v/>
      </c>
      <c r="AR382" s="1056"/>
      <c r="AS382" s="1056"/>
      <c r="AT382" s="1034">
        <f t="shared" si="169"/>
        <v>0</v>
      </c>
      <c r="AU382" s="1035">
        <f t="shared" si="170"/>
        <v>0</v>
      </c>
      <c r="AV382" s="1057" cm="1">
        <f t="array" ref="AV382">IF(AJ382&lt;&gt;1,0,IF(OR(AT382="",N(AT382)&lt;=0.000000001),"",IF(OR(AN382="",N(AN382)&lt;=0.000000001),0,IF(ISNUMBER(AT382),IFERROR(_xlfn.LET(_xlpm.ai_test,TRIM(AI382),_xlpm.r,IFERROR(_xlfn.XLOOKUP(_xlpm.ai_test,$BI$15:$BI$62,ROW($BI$15:$BI$62),0,1),IFERROR(_xlfn.XLOOKUP(_xlpm.ai_test,$BJ$15:$BJ$62,ROW($BJ$15:$BJ$62),0,1),_xlfn.XLOOKUP(_xlpm.ai_test,$BK$15:$BK$62,ROW($BK$15:$BK$62),0,1))),_xlpm.p,_xlpm.r-MIN(ROW($BI$15:$BI$62))+1,_xlpm.f,INDEX($BL$15:$BL$62,_xlpm.p),_xlpm.u,INDEX($BM$15:$BM$62,_xlpm.p),_xlpm.s,INDEX($BO$15:$BO$62,_xlpm.p),_xlpm.q,N(AT382)/_xlpm.f,IF(_xlpm.q&gt;=_xlpm.s,ROUND(_xlpm.q,1)&amp;" "&amp;_xlpm.ai_test&amp;" = "&amp;ROUND(_xlpm.q*_xlpm.f,1)&amp;" "&amp;_xlpm.u,ROUND(_xlpm.q,1)&amp;" "&amp;_xlpm.ai_test)),""),""))))</f>
        <v>0</v>
      </c>
      <c r="AW382" s="1047"/>
      <c r="AX382" s="1034">
        <f t="shared" si="171"/>
        <v>0</v>
      </c>
      <c r="AY382" s="1035" t="str">
        <f t="shared" si="172"/>
        <v/>
      </c>
      <c r="AZ382" s="1036">
        <f t="shared" si="177"/>
        <v>0</v>
      </c>
      <c r="BA382" s="1037" t="str">
        <f t="shared" si="173"/>
        <v/>
      </c>
      <c r="BB382" s="1038"/>
      <c r="BC382" s="1039">
        <f t="shared" si="180"/>
        <v>0</v>
      </c>
      <c r="BD382" s="1040" t="str">
        <f t="shared" si="174"/>
        <v/>
      </c>
      <c r="BE382" s="227" t="s">
        <v>22</v>
      </c>
      <c r="BF382" s="1019">
        <f t="shared" si="175"/>
        <v>0</v>
      </c>
      <c r="BG382" s="1020">
        <f t="shared" si="176"/>
        <v>0</v>
      </c>
      <c r="BH382"/>
      <c r="BI382" s="709"/>
      <c r="BJ382" s="709"/>
      <c r="BK382" s="709"/>
      <c r="BL382" s="709"/>
      <c r="BM382" s="709"/>
      <c r="BN382" s="709"/>
      <c r="BO382" s="709"/>
      <c r="BP382" s="709"/>
      <c r="BW382" s="959" t="str">
        <f t="shared" si="157"/>
        <v>►</v>
      </c>
      <c r="BX382" s="856"/>
      <c r="BY382" s="856"/>
      <c r="BZ382" s="856"/>
      <c r="CA382" s="856"/>
      <c r="CB382" s="856"/>
      <c r="DB382" s="3">
        <v>1</v>
      </c>
    </row>
    <row r="383" spans="12:106" ht="21" customHeight="1">
      <c r="L383" s="104" t="s">
        <v>16</v>
      </c>
      <c r="M383" s="157" t="str">
        <f>M342</f>
        <v>B BAUDRUCHE DE COPAIN | | Auteur &gt; Guy KRENZE - Eric GODDYN - Arnaud NICOLAS - CEPROC 2002</v>
      </c>
      <c r="N383" s="157">
        <f>N342</f>
        <v>9.0500000000000007</v>
      </c>
      <c r="O383" s="158" t="str">
        <f>O342</f>
        <v>Kg</v>
      </c>
      <c r="P383" s="159" t="str">
        <f>P342</f>
        <v>Recette mère ► le Boudin en 4 déclinaisons</v>
      </c>
      <c r="Q383" s="172" t="s">
        <v>13126</v>
      </c>
      <c r="R383" s="172"/>
      <c r="S383" s="172"/>
      <c r="T383" s="172"/>
      <c r="U383" s="172"/>
      <c r="V383" s="172"/>
      <c r="W383" s="172"/>
      <c r="X383" s="172"/>
      <c r="Y383" s="172"/>
      <c r="Z383" s="555"/>
      <c r="AA383" s="5211"/>
      <c r="AB383" s="1178"/>
      <c r="AC383" s="1179"/>
      <c r="AD383" s="227" t="s">
        <v>22</v>
      </c>
      <c r="AE383" s="1027" t="str">
        <f t="shared" si="158"/>
        <v>►</v>
      </c>
      <c r="AF383" s="1028" t="str">
        <f t="shared" si="159"/>
        <v/>
      </c>
      <c r="AG383" s="1029" t="str">
        <f t="shared" si="160"/>
        <v/>
      </c>
      <c r="AH383" s="1028" t="str">
        <f t="shared" si="161"/>
        <v/>
      </c>
      <c r="AI383" s="1029" t="str">
        <f t="shared" si="162"/>
        <v/>
      </c>
      <c r="AJ383" s="1029">
        <f t="shared" si="163"/>
        <v>0</v>
      </c>
      <c r="AK383" s="1043" t="str" cm="1">
        <f t="array" ref="AK383">IF(AE383&lt;&gt;"A","",IFERROR((IFERROR(_xlfn.XLOOKUP(TRIM(SUBSTITUTE(U383,CHAR(160)," ")),$BI$15:$BI$62,$BL$15:$BL$62),IFERROR(_xlfn.XLOOKUP(TRIM(SUBSTITUTE(U383,CHAR(160)," ")),$BJ$15:$BJ$62,$BL$15:$BL$62),_xlfn.XLOOKUP(TRIM(SUBSTITUTE(U383,CHAR(160)," ")),$BK$15:$BK$62,$BL$15:$BL$62))))*T383*IF(ISBLANK(Q383),1,Q383)+IFERROR(_xlfn.XLOOKUP("RECHERCHEX",TRIM(L383:AC383),L383:AC383),0),0))</f>
        <v/>
      </c>
      <c r="AL383" s="1030">
        <f t="shared" si="164"/>
        <v>0</v>
      </c>
      <c r="AM383" s="5254" t="str">
        <f t="shared" si="181"/>
        <v/>
      </c>
      <c r="AN383" s="1031">
        <f t="shared" si="165"/>
        <v>0</v>
      </c>
      <c r="AO383" s="1031">
        <f t="shared" si="166"/>
        <v>0</v>
      </c>
      <c r="AP383" s="1044">
        <f t="shared" si="167"/>
        <v>0</v>
      </c>
      <c r="AQ383" s="5257" t="str">
        <f t="shared" si="168"/>
        <v/>
      </c>
      <c r="AR383" s="1056"/>
      <c r="AS383" s="1056"/>
      <c r="AT383" s="1045">
        <f t="shared" si="169"/>
        <v>0</v>
      </c>
      <c r="AU383" s="1046">
        <f t="shared" si="170"/>
        <v>0</v>
      </c>
      <c r="AV383" s="1059" cm="1">
        <f t="array" ref="AV383">IF(AJ383&lt;&gt;1,0,IF(OR(AT383="",N(AT383)&lt;=0.000000001),"",IF(OR(AN383="",N(AN383)&lt;=0.000000001),0,IF(ISNUMBER(AT383),IFERROR(_xlfn.LET(_xlpm.ai_test,TRIM(AI383),_xlpm.r,IFERROR(_xlfn.XLOOKUP(_xlpm.ai_test,$BI$15:$BI$62,ROW($BI$15:$BI$62),0,1),IFERROR(_xlfn.XLOOKUP(_xlpm.ai_test,$BJ$15:$BJ$62,ROW($BJ$15:$BJ$62),0,1),_xlfn.XLOOKUP(_xlpm.ai_test,$BK$15:$BK$62,ROW($BK$15:$BK$62),0,1))),_xlpm.p,_xlpm.r-MIN(ROW($BI$15:$BI$62))+1,_xlpm.f,INDEX($BL$15:$BL$62,_xlpm.p),_xlpm.u,INDEX($BM$15:$BM$62,_xlpm.p),_xlpm.s,INDEX($BO$15:$BO$62,_xlpm.p),_xlpm.q,N(AT383)/_xlpm.f,IF(_xlpm.q&gt;=_xlpm.s,ROUND(_xlpm.q,1)&amp;" "&amp;_xlpm.ai_test&amp;" = "&amp;ROUND(_xlpm.q*_xlpm.f,1)&amp;" "&amp;_xlpm.u,ROUND(_xlpm.q,1)&amp;" "&amp;_xlpm.ai_test)),""),""))))</f>
        <v>0</v>
      </c>
      <c r="AW383" s="1047"/>
      <c r="AX383" s="1045">
        <f t="shared" si="171"/>
        <v>0</v>
      </c>
      <c r="AY383" s="1046" t="str">
        <f t="shared" si="172"/>
        <v/>
      </c>
      <c r="AZ383" s="1048">
        <f t="shared" si="177"/>
        <v>0</v>
      </c>
      <c r="BA383" s="1049" t="str">
        <f t="shared" si="173"/>
        <v/>
      </c>
      <c r="BB383" s="1038"/>
      <c r="BC383" s="1050">
        <f t="shared" si="180"/>
        <v>0</v>
      </c>
      <c r="BD383" s="1040" t="str">
        <f t="shared" si="174"/>
        <v/>
      </c>
      <c r="BE383" s="227" t="s">
        <v>22</v>
      </c>
      <c r="BF383" s="1019">
        <f t="shared" si="175"/>
        <v>0</v>
      </c>
      <c r="BG383" s="1020">
        <f t="shared" si="176"/>
        <v>0</v>
      </c>
      <c r="BH383"/>
      <c r="BI383" s="709"/>
      <c r="BJ383" s="709"/>
      <c r="BK383" s="709"/>
      <c r="BL383" s="709"/>
      <c r="BM383" s="709"/>
      <c r="BN383" s="709"/>
      <c r="BO383" s="709"/>
      <c r="BP383" s="709"/>
      <c r="BW383" s="959" t="str">
        <f t="shared" si="157"/>
        <v>►</v>
      </c>
      <c r="BX383" s="856"/>
      <c r="BY383" s="856"/>
      <c r="BZ383" s="856"/>
      <c r="CA383" s="856"/>
      <c r="CB383" s="856"/>
      <c r="DB383" s="3">
        <v>1</v>
      </c>
    </row>
    <row r="384" spans="12:106" ht="21" customHeight="1">
      <c r="L384" s="104" t="s">
        <v>16</v>
      </c>
      <c r="M384" s="157" t="str">
        <f>M342</f>
        <v>B BAUDRUCHE DE COPAIN | | Auteur &gt; Guy KRENZE - Eric GODDYN - Arnaud NICOLAS - CEPROC 2002</v>
      </c>
      <c r="N384" s="157">
        <f>N342</f>
        <v>9.0500000000000007</v>
      </c>
      <c r="O384" s="158" t="str">
        <f>O342</f>
        <v>Kg</v>
      </c>
      <c r="P384" s="159" t="str">
        <f>P342</f>
        <v>Recette mère ► le Boudin en 4 déclinaisons</v>
      </c>
      <c r="Q384" s="172" t="s">
        <v>13127</v>
      </c>
      <c r="R384" s="172"/>
      <c r="S384" s="172"/>
      <c r="T384" s="172"/>
      <c r="U384" s="172"/>
      <c r="V384" s="172"/>
      <c r="W384" s="172"/>
      <c r="X384" s="172"/>
      <c r="Y384" s="172"/>
      <c r="Z384" s="555"/>
      <c r="AA384" s="5211"/>
      <c r="AB384" s="1178"/>
      <c r="AC384" s="1179"/>
      <c r="AD384" s="227" t="s">
        <v>22</v>
      </c>
      <c r="AE384" s="1027" t="str">
        <f t="shared" si="158"/>
        <v>►</v>
      </c>
      <c r="AF384" s="1028" t="str">
        <f t="shared" si="159"/>
        <v/>
      </c>
      <c r="AG384" s="1029" t="str">
        <f t="shared" si="160"/>
        <v/>
      </c>
      <c r="AH384" s="1028" t="str">
        <f t="shared" si="161"/>
        <v/>
      </c>
      <c r="AI384" s="1029" t="str">
        <f t="shared" si="162"/>
        <v/>
      </c>
      <c r="AJ384" s="1029">
        <f t="shared" si="163"/>
        <v>0</v>
      </c>
      <c r="AK384" s="1043" t="str" cm="1">
        <f t="array" ref="AK384">IF(AE384&lt;&gt;"A","",IFERROR((IFERROR(_xlfn.XLOOKUP(TRIM(SUBSTITUTE(U384,CHAR(160)," ")),$BI$15:$BI$62,$BL$15:$BL$62),IFERROR(_xlfn.XLOOKUP(TRIM(SUBSTITUTE(U384,CHAR(160)," ")),$BJ$15:$BJ$62,$BL$15:$BL$62),_xlfn.XLOOKUP(TRIM(SUBSTITUTE(U384,CHAR(160)," ")),$BK$15:$BK$62,$BL$15:$BL$62))))*T384*IF(ISBLANK(Q384),1,Q384)+IFERROR(_xlfn.XLOOKUP("RECHERCHEX",TRIM(L384:AC384),L384:AC384),0),0))</f>
        <v/>
      </c>
      <c r="AL384" s="1030">
        <f t="shared" si="164"/>
        <v>0</v>
      </c>
      <c r="AM384" s="5254" t="str">
        <f t="shared" si="181"/>
        <v/>
      </c>
      <c r="AN384" s="1031">
        <f t="shared" si="165"/>
        <v>0</v>
      </c>
      <c r="AO384" s="1031">
        <f t="shared" si="166"/>
        <v>0</v>
      </c>
      <c r="AP384" s="1032">
        <f t="shared" si="167"/>
        <v>0</v>
      </c>
      <c r="AQ384" s="5255" t="str">
        <f t="shared" si="168"/>
        <v/>
      </c>
      <c r="AR384" s="1056"/>
      <c r="AS384" s="1056"/>
      <c r="AT384" s="1034">
        <f t="shared" si="169"/>
        <v>0</v>
      </c>
      <c r="AU384" s="1035">
        <f t="shared" si="170"/>
        <v>0</v>
      </c>
      <c r="AV384" s="1057" cm="1">
        <f t="array" ref="AV384">IF(AJ384&lt;&gt;1,0,IF(OR(AT384="",N(AT384)&lt;=0.000000001),"",IF(OR(AN384="",N(AN384)&lt;=0.000000001),0,IF(ISNUMBER(AT384),IFERROR(_xlfn.LET(_xlpm.ai_test,TRIM(AI384),_xlpm.r,IFERROR(_xlfn.XLOOKUP(_xlpm.ai_test,$BI$15:$BI$62,ROW($BI$15:$BI$62),0,1),IFERROR(_xlfn.XLOOKUP(_xlpm.ai_test,$BJ$15:$BJ$62,ROW($BJ$15:$BJ$62),0,1),_xlfn.XLOOKUP(_xlpm.ai_test,$BK$15:$BK$62,ROW($BK$15:$BK$62),0,1))),_xlpm.p,_xlpm.r-MIN(ROW($BI$15:$BI$62))+1,_xlpm.f,INDEX($BL$15:$BL$62,_xlpm.p),_xlpm.u,INDEX($BM$15:$BM$62,_xlpm.p),_xlpm.s,INDEX($BO$15:$BO$62,_xlpm.p),_xlpm.q,N(AT384)/_xlpm.f,IF(_xlpm.q&gt;=_xlpm.s,ROUND(_xlpm.q,1)&amp;" "&amp;_xlpm.ai_test&amp;" = "&amp;ROUND(_xlpm.q*_xlpm.f,1)&amp;" "&amp;_xlpm.u,ROUND(_xlpm.q,1)&amp;" "&amp;_xlpm.ai_test)),""),""))))</f>
        <v>0</v>
      </c>
      <c r="AW384" s="1047"/>
      <c r="AX384" s="1034">
        <f t="shared" si="171"/>
        <v>0</v>
      </c>
      <c r="AY384" s="1035" t="str">
        <f t="shared" si="172"/>
        <v/>
      </c>
      <c r="AZ384" s="1036">
        <f t="shared" si="177"/>
        <v>0</v>
      </c>
      <c r="BA384" s="1037" t="str">
        <f t="shared" si="173"/>
        <v/>
      </c>
      <c r="BB384" s="1038"/>
      <c r="BC384" s="1039">
        <f t="shared" si="180"/>
        <v>0</v>
      </c>
      <c r="BD384" s="1040" t="str">
        <f t="shared" si="174"/>
        <v/>
      </c>
      <c r="BE384" s="227" t="s">
        <v>22</v>
      </c>
      <c r="BF384" s="1019">
        <f t="shared" si="175"/>
        <v>0</v>
      </c>
      <c r="BG384" s="1020">
        <f t="shared" si="176"/>
        <v>0</v>
      </c>
      <c r="BH384"/>
      <c r="BI384" s="709"/>
      <c r="BJ384" s="709"/>
      <c r="BK384" s="709"/>
      <c r="BL384" s="709"/>
      <c r="BM384" s="709"/>
      <c r="BN384" s="709"/>
      <c r="BO384" s="709"/>
      <c r="BP384" s="709"/>
      <c r="BW384" s="959" t="str">
        <f t="shared" si="157"/>
        <v>►</v>
      </c>
      <c r="BX384" s="856"/>
      <c r="BY384" s="856"/>
      <c r="BZ384" s="856"/>
      <c r="CA384" s="856"/>
      <c r="CB384" s="856"/>
      <c r="DB384" s="3">
        <v>1</v>
      </c>
    </row>
    <row r="385" spans="12:106" ht="21" customHeight="1">
      <c r="L385" s="104" t="s">
        <v>16</v>
      </c>
      <c r="M385" s="157" t="str">
        <f>M342</f>
        <v>B BAUDRUCHE DE COPAIN | | Auteur &gt; Guy KRENZE - Eric GODDYN - Arnaud NICOLAS - CEPROC 2002</v>
      </c>
      <c r="N385" s="157">
        <f>N342</f>
        <v>9.0500000000000007</v>
      </c>
      <c r="O385" s="158" t="str">
        <f>O342</f>
        <v>Kg</v>
      </c>
      <c r="P385" s="159" t="str">
        <f>P342</f>
        <v>Recette mère ► le Boudin en 4 déclinaisons</v>
      </c>
      <c r="Q385" s="172" t="s">
        <v>13128</v>
      </c>
      <c r="R385" s="172"/>
      <c r="S385" s="172"/>
      <c r="T385" s="172"/>
      <c r="U385" s="172"/>
      <c r="V385" s="172"/>
      <c r="W385" s="172"/>
      <c r="X385" s="172"/>
      <c r="Y385" s="172"/>
      <c r="Z385" s="555"/>
      <c r="AA385" s="5211"/>
      <c r="AB385" s="1178"/>
      <c r="AC385" s="1179"/>
      <c r="AD385" s="227" t="s">
        <v>22</v>
      </c>
      <c r="AE385" s="1027" t="str">
        <f t="shared" si="158"/>
        <v>►</v>
      </c>
      <c r="AF385" s="1028" t="str">
        <f t="shared" si="159"/>
        <v/>
      </c>
      <c r="AG385" s="1029" t="str">
        <f t="shared" si="160"/>
        <v/>
      </c>
      <c r="AH385" s="1028" t="str">
        <f t="shared" si="161"/>
        <v/>
      </c>
      <c r="AI385" s="1029" t="str">
        <f t="shared" si="162"/>
        <v/>
      </c>
      <c r="AJ385" s="1029">
        <f t="shared" si="163"/>
        <v>0</v>
      </c>
      <c r="AK385" s="1043" t="str" cm="1">
        <f t="array" ref="AK385">IF(AE385&lt;&gt;"A","",IFERROR((IFERROR(_xlfn.XLOOKUP(TRIM(SUBSTITUTE(U385,CHAR(160)," ")),$BI$15:$BI$62,$BL$15:$BL$62),IFERROR(_xlfn.XLOOKUP(TRIM(SUBSTITUTE(U385,CHAR(160)," ")),$BJ$15:$BJ$62,$BL$15:$BL$62),_xlfn.XLOOKUP(TRIM(SUBSTITUTE(U385,CHAR(160)," ")),$BK$15:$BK$62,$BL$15:$BL$62))))*T385*IF(ISBLANK(Q385),1,Q385)+IFERROR(_xlfn.XLOOKUP("RECHERCHEX",TRIM(L385:AC385),L385:AC385),0),0))</f>
        <v/>
      </c>
      <c r="AL385" s="1030">
        <f t="shared" si="164"/>
        <v>0</v>
      </c>
      <c r="AM385" s="5254" t="str">
        <f t="shared" si="181"/>
        <v/>
      </c>
      <c r="AN385" s="1031">
        <f t="shared" si="165"/>
        <v>0</v>
      </c>
      <c r="AO385" s="1031">
        <f t="shared" si="166"/>
        <v>0</v>
      </c>
      <c r="AP385" s="1044">
        <f t="shared" si="167"/>
        <v>0</v>
      </c>
      <c r="AQ385" s="5257" t="str">
        <f t="shared" si="168"/>
        <v/>
      </c>
      <c r="AR385" s="1056"/>
      <c r="AS385" s="1056"/>
      <c r="AT385" s="1045">
        <f t="shared" si="169"/>
        <v>0</v>
      </c>
      <c r="AU385" s="1046">
        <f t="shared" si="170"/>
        <v>0</v>
      </c>
      <c r="AV385" s="1059" cm="1">
        <f t="array" ref="AV385">IF(AJ385&lt;&gt;1,0,IF(OR(AT385="",N(AT385)&lt;=0.000000001),"",IF(OR(AN385="",N(AN385)&lt;=0.000000001),0,IF(ISNUMBER(AT385),IFERROR(_xlfn.LET(_xlpm.ai_test,TRIM(AI385),_xlpm.r,IFERROR(_xlfn.XLOOKUP(_xlpm.ai_test,$BI$15:$BI$62,ROW($BI$15:$BI$62),0,1),IFERROR(_xlfn.XLOOKUP(_xlpm.ai_test,$BJ$15:$BJ$62,ROW($BJ$15:$BJ$62),0,1),_xlfn.XLOOKUP(_xlpm.ai_test,$BK$15:$BK$62,ROW($BK$15:$BK$62),0,1))),_xlpm.p,_xlpm.r-MIN(ROW($BI$15:$BI$62))+1,_xlpm.f,INDEX($BL$15:$BL$62,_xlpm.p),_xlpm.u,INDEX($BM$15:$BM$62,_xlpm.p),_xlpm.s,INDEX($BO$15:$BO$62,_xlpm.p),_xlpm.q,N(AT385)/_xlpm.f,IF(_xlpm.q&gt;=_xlpm.s,ROUND(_xlpm.q,1)&amp;" "&amp;_xlpm.ai_test&amp;" = "&amp;ROUND(_xlpm.q*_xlpm.f,1)&amp;" "&amp;_xlpm.u,ROUND(_xlpm.q,1)&amp;" "&amp;_xlpm.ai_test)),""),""))))</f>
        <v>0</v>
      </c>
      <c r="AW385" s="1047"/>
      <c r="AX385" s="1045">
        <f t="shared" si="171"/>
        <v>0</v>
      </c>
      <c r="AY385" s="1046" t="str">
        <f t="shared" si="172"/>
        <v/>
      </c>
      <c r="AZ385" s="1048">
        <f t="shared" si="177"/>
        <v>0</v>
      </c>
      <c r="BA385" s="1049" t="str">
        <f t="shared" si="173"/>
        <v/>
      </c>
      <c r="BB385" s="1038"/>
      <c r="BC385" s="1050">
        <f t="shared" si="180"/>
        <v>0</v>
      </c>
      <c r="BD385" s="1040" t="str">
        <f t="shared" si="174"/>
        <v/>
      </c>
      <c r="BE385" s="227" t="s">
        <v>22</v>
      </c>
      <c r="BF385" s="1019">
        <f t="shared" si="175"/>
        <v>0</v>
      </c>
      <c r="BG385" s="1020">
        <f t="shared" si="176"/>
        <v>0</v>
      </c>
      <c r="BH385"/>
      <c r="BI385" s="709"/>
      <c r="BJ385" s="709"/>
      <c r="BK385" s="709"/>
      <c r="BL385" s="709"/>
      <c r="BM385" s="709"/>
      <c r="BN385" s="709"/>
      <c r="BO385" s="709"/>
      <c r="BP385" s="709"/>
      <c r="BW385" s="959" t="str">
        <f t="shared" si="157"/>
        <v>►</v>
      </c>
      <c r="BX385" s="856"/>
      <c r="BY385" s="856"/>
      <c r="BZ385" s="856"/>
      <c r="CA385" s="856"/>
      <c r="CB385" s="856"/>
      <c r="DB385" s="3">
        <v>1</v>
      </c>
    </row>
    <row r="386" spans="12:106" ht="21" customHeight="1">
      <c r="L386" s="104" t="s">
        <v>16</v>
      </c>
      <c r="M386" s="157" t="str">
        <f>M342</f>
        <v>B BAUDRUCHE DE COPAIN | | Auteur &gt; Guy KRENZE - Eric GODDYN - Arnaud NICOLAS - CEPROC 2002</v>
      </c>
      <c r="N386" s="157">
        <f>N342</f>
        <v>9.0500000000000007</v>
      </c>
      <c r="O386" s="158" t="str">
        <f>O342</f>
        <v>Kg</v>
      </c>
      <c r="P386" s="159" t="str">
        <f>P342</f>
        <v>Recette mère ► le Boudin en 4 déclinaisons</v>
      </c>
      <c r="Q386" s="172"/>
      <c r="R386" s="172"/>
      <c r="S386" s="172"/>
      <c r="T386" s="172"/>
      <c r="U386" s="172"/>
      <c r="V386" s="172"/>
      <c r="W386" s="172"/>
      <c r="X386" s="172"/>
      <c r="Y386" s="172"/>
      <c r="Z386" s="555"/>
      <c r="AA386" s="5211"/>
      <c r="AB386" s="1178"/>
      <c r="AC386" s="1179"/>
      <c r="AD386" s="227" t="s">
        <v>22</v>
      </c>
      <c r="AE386" s="1027" t="str">
        <f t="shared" si="158"/>
        <v>►</v>
      </c>
      <c r="AF386" s="1028" t="str">
        <f t="shared" si="159"/>
        <v/>
      </c>
      <c r="AG386" s="1029" t="str">
        <f t="shared" si="160"/>
        <v/>
      </c>
      <c r="AH386" s="1028" t="str">
        <f t="shared" si="161"/>
        <v/>
      </c>
      <c r="AI386" s="1029" t="str">
        <f t="shared" si="162"/>
        <v/>
      </c>
      <c r="AJ386" s="1029">
        <f t="shared" si="163"/>
        <v>0</v>
      </c>
      <c r="AK386" s="1043" t="str" cm="1">
        <f t="array" ref="AK386">IF(AE386&lt;&gt;"A","",IFERROR((IFERROR(_xlfn.XLOOKUP(TRIM(SUBSTITUTE(U386,CHAR(160)," ")),$BI$15:$BI$62,$BL$15:$BL$62),IFERROR(_xlfn.XLOOKUP(TRIM(SUBSTITUTE(U386,CHAR(160)," ")),$BJ$15:$BJ$62,$BL$15:$BL$62),_xlfn.XLOOKUP(TRIM(SUBSTITUTE(U386,CHAR(160)," ")),$BK$15:$BK$62,$BL$15:$BL$62))))*T386*IF(ISBLANK(Q386),1,Q386)+IFERROR(_xlfn.XLOOKUP("RECHERCHEX",TRIM(L386:AC386),L386:AC386),0),0))</f>
        <v/>
      </c>
      <c r="AL386" s="1030">
        <f t="shared" si="164"/>
        <v>0</v>
      </c>
      <c r="AM386" s="5254" t="str">
        <f t="shared" si="181"/>
        <v/>
      </c>
      <c r="AN386" s="1031">
        <f t="shared" si="165"/>
        <v>0</v>
      </c>
      <c r="AO386" s="1031">
        <f t="shared" si="166"/>
        <v>0</v>
      </c>
      <c r="AP386" s="1032">
        <f t="shared" si="167"/>
        <v>0</v>
      </c>
      <c r="AQ386" s="5255" t="str">
        <f t="shared" si="168"/>
        <v/>
      </c>
      <c r="AR386" s="1056"/>
      <c r="AS386" s="1056"/>
      <c r="AT386" s="1034">
        <f t="shared" si="169"/>
        <v>0</v>
      </c>
      <c r="AU386" s="1035">
        <f t="shared" si="170"/>
        <v>0</v>
      </c>
      <c r="AV386" s="1057" cm="1">
        <f t="array" ref="AV386">IF(AJ386&lt;&gt;1,0,IF(OR(AT386="",N(AT386)&lt;=0.000000001),"",IF(OR(AN386="",N(AN386)&lt;=0.000000001),0,IF(ISNUMBER(AT386),IFERROR(_xlfn.LET(_xlpm.ai_test,TRIM(AI386),_xlpm.r,IFERROR(_xlfn.XLOOKUP(_xlpm.ai_test,$BI$15:$BI$62,ROW($BI$15:$BI$62),0,1),IFERROR(_xlfn.XLOOKUP(_xlpm.ai_test,$BJ$15:$BJ$62,ROW($BJ$15:$BJ$62),0,1),_xlfn.XLOOKUP(_xlpm.ai_test,$BK$15:$BK$62,ROW($BK$15:$BK$62),0,1))),_xlpm.p,_xlpm.r-MIN(ROW($BI$15:$BI$62))+1,_xlpm.f,INDEX($BL$15:$BL$62,_xlpm.p),_xlpm.u,INDEX($BM$15:$BM$62,_xlpm.p),_xlpm.s,INDEX($BO$15:$BO$62,_xlpm.p),_xlpm.q,N(AT386)/_xlpm.f,IF(_xlpm.q&gt;=_xlpm.s,ROUND(_xlpm.q,1)&amp;" "&amp;_xlpm.ai_test&amp;" = "&amp;ROUND(_xlpm.q*_xlpm.f,1)&amp;" "&amp;_xlpm.u,ROUND(_xlpm.q,1)&amp;" "&amp;_xlpm.ai_test)),""),""))))</f>
        <v>0</v>
      </c>
      <c r="AW386" s="1047"/>
      <c r="AX386" s="1034">
        <f t="shared" si="171"/>
        <v>0</v>
      </c>
      <c r="AY386" s="1035" t="str">
        <f t="shared" si="172"/>
        <v/>
      </c>
      <c r="AZ386" s="1036">
        <f t="shared" si="177"/>
        <v>0</v>
      </c>
      <c r="BA386" s="1037" t="str">
        <f t="shared" si="173"/>
        <v/>
      </c>
      <c r="BB386" s="1038"/>
      <c r="BC386" s="1039">
        <f t="shared" si="180"/>
        <v>0</v>
      </c>
      <c r="BD386" s="1040" t="str">
        <f t="shared" si="174"/>
        <v/>
      </c>
      <c r="BE386" s="227" t="s">
        <v>22</v>
      </c>
      <c r="BF386" s="1019">
        <f t="shared" si="175"/>
        <v>0</v>
      </c>
      <c r="BG386" s="1020">
        <f t="shared" si="176"/>
        <v>0</v>
      </c>
      <c r="BH386"/>
      <c r="BI386" s="709"/>
      <c r="BJ386" s="709"/>
      <c r="BK386" s="709"/>
      <c r="BL386" s="709"/>
      <c r="BM386" s="709"/>
      <c r="BN386" s="709"/>
      <c r="BO386" s="709"/>
      <c r="BP386" s="709"/>
      <c r="BW386" s="959" t="str">
        <f t="shared" si="157"/>
        <v>►</v>
      </c>
      <c r="BX386" s="856"/>
      <c r="BY386" s="856"/>
      <c r="BZ386" s="856"/>
      <c r="CA386" s="856"/>
      <c r="CB386" s="856"/>
      <c r="DB386" s="3">
        <v>1</v>
      </c>
    </row>
    <row r="387" spans="12:106" ht="21" customHeight="1">
      <c r="L387" s="104" t="s">
        <v>16</v>
      </c>
      <c r="M387" s="157" t="str">
        <f>M342</f>
        <v>B BAUDRUCHE DE COPAIN | | Auteur &gt; Guy KRENZE - Eric GODDYN - Arnaud NICOLAS - CEPROC 2002</v>
      </c>
      <c r="N387" s="157">
        <f>N342</f>
        <v>9.0500000000000007</v>
      </c>
      <c r="O387" s="158" t="str">
        <f>O342</f>
        <v>Kg</v>
      </c>
      <c r="P387" s="159" t="str">
        <f>P342</f>
        <v>Recette mère ► le Boudin en 4 déclinaisons</v>
      </c>
      <c r="Q387" s="172"/>
      <c r="R387" s="172"/>
      <c r="S387" s="172"/>
      <c r="T387" s="172"/>
      <c r="U387" s="172"/>
      <c r="V387" s="172"/>
      <c r="W387" s="172"/>
      <c r="X387" s="172"/>
      <c r="Y387" s="172"/>
      <c r="Z387" s="555"/>
      <c r="AA387" s="5211"/>
      <c r="AB387" s="1178"/>
      <c r="AC387" s="1179"/>
      <c r="AD387" s="227" t="s">
        <v>22</v>
      </c>
      <c r="AE387" s="1027" t="str">
        <f t="shared" si="158"/>
        <v>►</v>
      </c>
      <c r="AF387" s="1028" t="str">
        <f t="shared" si="159"/>
        <v/>
      </c>
      <c r="AG387" s="1029" t="str">
        <f t="shared" si="160"/>
        <v/>
      </c>
      <c r="AH387" s="1028" t="str">
        <f t="shared" si="161"/>
        <v/>
      </c>
      <c r="AI387" s="1029" t="str">
        <f t="shared" si="162"/>
        <v/>
      </c>
      <c r="AJ387" s="1029">
        <f t="shared" si="163"/>
        <v>0</v>
      </c>
      <c r="AK387" s="1043" t="str" cm="1">
        <f t="array" ref="AK387">IF(AE387&lt;&gt;"A","",IFERROR((IFERROR(_xlfn.XLOOKUP(TRIM(SUBSTITUTE(U387,CHAR(160)," ")),$BI$15:$BI$62,$BL$15:$BL$62),IFERROR(_xlfn.XLOOKUP(TRIM(SUBSTITUTE(U387,CHAR(160)," ")),$BJ$15:$BJ$62,$BL$15:$BL$62),_xlfn.XLOOKUP(TRIM(SUBSTITUTE(U387,CHAR(160)," ")),$BK$15:$BK$62,$BL$15:$BL$62))))*T387*IF(ISBLANK(Q387),1,Q387)+IFERROR(_xlfn.XLOOKUP("RECHERCHEX",TRIM(L387:AC387),L387:AC387),0),0))</f>
        <v/>
      </c>
      <c r="AL387" s="1030">
        <f t="shared" si="164"/>
        <v>0</v>
      </c>
      <c r="AM387" s="5254" t="str">
        <f t="shared" si="181"/>
        <v/>
      </c>
      <c r="AN387" s="1031">
        <f t="shared" si="165"/>
        <v>0</v>
      </c>
      <c r="AO387" s="1031">
        <f t="shared" si="166"/>
        <v>0</v>
      </c>
      <c r="AP387" s="1044">
        <f t="shared" si="167"/>
        <v>0</v>
      </c>
      <c r="AQ387" s="5257" t="str">
        <f t="shared" si="168"/>
        <v/>
      </c>
      <c r="AR387" s="1056"/>
      <c r="AS387" s="1056"/>
      <c r="AT387" s="1045">
        <f t="shared" si="169"/>
        <v>0</v>
      </c>
      <c r="AU387" s="1046">
        <f t="shared" si="170"/>
        <v>0</v>
      </c>
      <c r="AV387" s="1059" cm="1">
        <f t="array" ref="AV387">IF(AJ387&lt;&gt;1,0,IF(OR(AT387="",N(AT387)&lt;=0.000000001),"",IF(OR(AN387="",N(AN387)&lt;=0.000000001),0,IF(ISNUMBER(AT387),IFERROR(_xlfn.LET(_xlpm.ai_test,TRIM(AI387),_xlpm.r,IFERROR(_xlfn.XLOOKUP(_xlpm.ai_test,$BI$15:$BI$62,ROW($BI$15:$BI$62),0,1),IFERROR(_xlfn.XLOOKUP(_xlpm.ai_test,$BJ$15:$BJ$62,ROW($BJ$15:$BJ$62),0,1),_xlfn.XLOOKUP(_xlpm.ai_test,$BK$15:$BK$62,ROW($BK$15:$BK$62),0,1))),_xlpm.p,_xlpm.r-MIN(ROW($BI$15:$BI$62))+1,_xlpm.f,INDEX($BL$15:$BL$62,_xlpm.p),_xlpm.u,INDEX($BM$15:$BM$62,_xlpm.p),_xlpm.s,INDEX($BO$15:$BO$62,_xlpm.p),_xlpm.q,N(AT387)/_xlpm.f,IF(_xlpm.q&gt;=_xlpm.s,ROUND(_xlpm.q,1)&amp;" "&amp;_xlpm.ai_test&amp;" = "&amp;ROUND(_xlpm.q*_xlpm.f,1)&amp;" "&amp;_xlpm.u,ROUND(_xlpm.q,1)&amp;" "&amp;_xlpm.ai_test)),""),""))))</f>
        <v>0</v>
      </c>
      <c r="AW387" s="1047"/>
      <c r="AX387" s="1045">
        <f t="shared" si="171"/>
        <v>0</v>
      </c>
      <c r="AY387" s="1046" t="str">
        <f t="shared" si="172"/>
        <v/>
      </c>
      <c r="AZ387" s="1048">
        <f t="shared" si="177"/>
        <v>0</v>
      </c>
      <c r="BA387" s="1049" t="str">
        <f t="shared" si="173"/>
        <v/>
      </c>
      <c r="BB387" s="1038"/>
      <c r="BC387" s="1050">
        <f t="shared" si="180"/>
        <v>0</v>
      </c>
      <c r="BD387" s="1040" t="str">
        <f t="shared" si="174"/>
        <v/>
      </c>
      <c r="BE387" s="227" t="s">
        <v>22</v>
      </c>
      <c r="BF387" s="1019">
        <f t="shared" si="175"/>
        <v>0</v>
      </c>
      <c r="BG387" s="1020">
        <f t="shared" si="176"/>
        <v>0</v>
      </c>
      <c r="BH387"/>
      <c r="BI387" s="709"/>
      <c r="BJ387" s="709"/>
      <c r="BK387" s="709"/>
      <c r="BL387" s="709"/>
      <c r="BM387" s="709"/>
      <c r="BN387" s="709"/>
      <c r="BO387" s="709"/>
      <c r="BP387" s="709"/>
      <c r="BW387" s="959" t="str">
        <f t="shared" si="157"/>
        <v>►</v>
      </c>
      <c r="BX387" s="856"/>
      <c r="BY387" s="856"/>
      <c r="BZ387" s="856"/>
      <c r="CA387" s="856"/>
      <c r="CB387" s="856"/>
      <c r="DB387" s="3">
        <v>1</v>
      </c>
    </row>
    <row r="388" spans="12:106" ht="21" customHeight="1">
      <c r="L388" s="104" t="s">
        <v>16</v>
      </c>
      <c r="M388" s="157" t="str">
        <f>M342</f>
        <v>B BAUDRUCHE DE COPAIN | | Auteur &gt; Guy KRENZE - Eric GODDYN - Arnaud NICOLAS - CEPROC 2002</v>
      </c>
      <c r="N388" s="157">
        <f>N342</f>
        <v>9.0500000000000007</v>
      </c>
      <c r="O388" s="158" t="str">
        <f>O342</f>
        <v>Kg</v>
      </c>
      <c r="P388" s="159" t="str">
        <f>P342</f>
        <v>Recette mère ► le Boudin en 4 déclinaisons</v>
      </c>
      <c r="Q388" s="172"/>
      <c r="R388" s="172"/>
      <c r="S388" s="172"/>
      <c r="T388" s="172"/>
      <c r="U388" s="172"/>
      <c r="V388" s="172"/>
      <c r="W388" s="172"/>
      <c r="X388" s="172"/>
      <c r="Y388" s="172"/>
      <c r="Z388" s="555"/>
      <c r="AA388" s="5211"/>
      <c r="AB388" s="1178"/>
      <c r="AC388" s="1179"/>
      <c r="AD388" s="227" t="s">
        <v>22</v>
      </c>
      <c r="AE388" s="1027" t="str">
        <f t="shared" si="158"/>
        <v>►</v>
      </c>
      <c r="AF388" s="1028" t="str">
        <f t="shared" si="159"/>
        <v/>
      </c>
      <c r="AG388" s="1029" t="str">
        <f t="shared" si="160"/>
        <v/>
      </c>
      <c r="AH388" s="1028" t="str">
        <f t="shared" si="161"/>
        <v/>
      </c>
      <c r="AI388" s="1029" t="str">
        <f t="shared" si="162"/>
        <v/>
      </c>
      <c r="AJ388" s="1029">
        <f t="shared" si="163"/>
        <v>0</v>
      </c>
      <c r="AK388" s="1043" t="str" cm="1">
        <f t="array" ref="AK388">IF(AE388&lt;&gt;"A","",IFERROR((IFERROR(_xlfn.XLOOKUP(TRIM(SUBSTITUTE(U388,CHAR(160)," ")),$BI$15:$BI$62,$BL$15:$BL$62),IFERROR(_xlfn.XLOOKUP(TRIM(SUBSTITUTE(U388,CHAR(160)," ")),$BJ$15:$BJ$62,$BL$15:$BL$62),_xlfn.XLOOKUP(TRIM(SUBSTITUTE(U388,CHAR(160)," ")),$BK$15:$BK$62,$BL$15:$BL$62))))*T388*IF(ISBLANK(Q388),1,Q388)+IFERROR(_xlfn.XLOOKUP("RECHERCHEX",TRIM(L388:AC388),L388:AC388),0),0))</f>
        <v/>
      </c>
      <c r="AL388" s="1030">
        <f t="shared" si="164"/>
        <v>0</v>
      </c>
      <c r="AM388" s="5254" t="str">
        <f t="shared" si="181"/>
        <v/>
      </c>
      <c r="AN388" s="1031">
        <f t="shared" si="165"/>
        <v>0</v>
      </c>
      <c r="AO388" s="1031">
        <f t="shared" si="166"/>
        <v>0</v>
      </c>
      <c r="AP388" s="1032">
        <f t="shared" si="167"/>
        <v>0</v>
      </c>
      <c r="AQ388" s="5255" t="str">
        <f t="shared" si="168"/>
        <v/>
      </c>
      <c r="AR388" s="1056"/>
      <c r="AS388" s="1056"/>
      <c r="AT388" s="1034">
        <f t="shared" si="169"/>
        <v>0</v>
      </c>
      <c r="AU388" s="1035">
        <f t="shared" si="170"/>
        <v>0</v>
      </c>
      <c r="AV388" s="1057" cm="1">
        <f t="array" ref="AV388">IF(AJ388&lt;&gt;1,0,IF(OR(AT388="",N(AT388)&lt;=0.000000001),"",IF(OR(AN388="",N(AN388)&lt;=0.000000001),0,IF(ISNUMBER(AT388),IFERROR(_xlfn.LET(_xlpm.ai_test,TRIM(AI388),_xlpm.r,IFERROR(_xlfn.XLOOKUP(_xlpm.ai_test,$BI$15:$BI$62,ROW($BI$15:$BI$62),0,1),IFERROR(_xlfn.XLOOKUP(_xlpm.ai_test,$BJ$15:$BJ$62,ROW($BJ$15:$BJ$62),0,1),_xlfn.XLOOKUP(_xlpm.ai_test,$BK$15:$BK$62,ROW($BK$15:$BK$62),0,1))),_xlpm.p,_xlpm.r-MIN(ROW($BI$15:$BI$62))+1,_xlpm.f,INDEX($BL$15:$BL$62,_xlpm.p),_xlpm.u,INDEX($BM$15:$BM$62,_xlpm.p),_xlpm.s,INDEX($BO$15:$BO$62,_xlpm.p),_xlpm.q,N(AT388)/_xlpm.f,IF(_xlpm.q&gt;=_xlpm.s,ROUND(_xlpm.q,1)&amp;" "&amp;_xlpm.ai_test&amp;" = "&amp;ROUND(_xlpm.q*_xlpm.f,1)&amp;" "&amp;_xlpm.u,ROUND(_xlpm.q,1)&amp;" "&amp;_xlpm.ai_test)),""),""))))</f>
        <v>0</v>
      </c>
      <c r="AW388" s="1047"/>
      <c r="AX388" s="1034">
        <f t="shared" si="171"/>
        <v>0</v>
      </c>
      <c r="AY388" s="1035" t="str">
        <f t="shared" si="172"/>
        <v/>
      </c>
      <c r="AZ388" s="1036">
        <f t="shared" si="177"/>
        <v>0</v>
      </c>
      <c r="BA388" s="1037" t="str">
        <f t="shared" si="173"/>
        <v/>
      </c>
      <c r="BB388" s="1038"/>
      <c r="BC388" s="1039">
        <f t="shared" si="180"/>
        <v>0</v>
      </c>
      <c r="BD388" s="1040" t="str">
        <f t="shared" si="174"/>
        <v/>
      </c>
      <c r="BE388" s="227" t="s">
        <v>22</v>
      </c>
      <c r="BF388" s="1019">
        <f t="shared" si="175"/>
        <v>0</v>
      </c>
      <c r="BG388" s="1020">
        <f t="shared" si="176"/>
        <v>0</v>
      </c>
      <c r="BH388"/>
      <c r="BI388" s="709"/>
      <c r="BJ388" s="709"/>
      <c r="BK388" s="709"/>
      <c r="BL388" s="709"/>
      <c r="BM388" s="709"/>
      <c r="BN388" s="709"/>
      <c r="BO388" s="709"/>
      <c r="BP388" s="709"/>
      <c r="BW388" s="959" t="str">
        <f t="shared" si="157"/>
        <v>►</v>
      </c>
      <c r="BX388" s="856"/>
      <c r="BY388" s="856"/>
      <c r="BZ388" s="856"/>
      <c r="CA388" s="856"/>
      <c r="CB388" s="856"/>
      <c r="DB388" s="3">
        <v>1</v>
      </c>
    </row>
    <row r="389" spans="12:106" ht="21" customHeight="1">
      <c r="L389" s="104" t="s">
        <v>16</v>
      </c>
      <c r="M389" s="157" t="str">
        <f>M342</f>
        <v>B BAUDRUCHE DE COPAIN | | Auteur &gt; Guy KRENZE - Eric GODDYN - Arnaud NICOLAS - CEPROC 2002</v>
      </c>
      <c r="N389" s="157">
        <f>N342</f>
        <v>9.0500000000000007</v>
      </c>
      <c r="O389" s="158" t="str">
        <f>O342</f>
        <v>Kg</v>
      </c>
      <c r="P389" s="159" t="str">
        <f>P342</f>
        <v>Recette mère ► le Boudin en 4 déclinaisons</v>
      </c>
      <c r="Q389" s="5174" t="s">
        <v>13129</v>
      </c>
      <c r="R389" s="172"/>
      <c r="S389" s="172"/>
      <c r="T389" s="172"/>
      <c r="U389" s="172"/>
      <c r="V389" s="172"/>
      <c r="W389" s="172"/>
      <c r="X389" s="172"/>
      <c r="Y389" s="172"/>
      <c r="Z389" s="555"/>
      <c r="AA389" s="5211"/>
      <c r="AB389" s="1178"/>
      <c r="AC389" s="1179"/>
      <c r="AD389" s="227" t="s">
        <v>22</v>
      </c>
      <c r="AE389" s="1027" t="str">
        <f t="shared" si="158"/>
        <v>►</v>
      </c>
      <c r="AF389" s="1028" t="str">
        <f t="shared" si="159"/>
        <v/>
      </c>
      <c r="AG389" s="1029" t="str">
        <f t="shared" si="160"/>
        <v/>
      </c>
      <c r="AH389" s="1028" t="str">
        <f t="shared" si="161"/>
        <v/>
      </c>
      <c r="AI389" s="1029" t="str">
        <f t="shared" si="162"/>
        <v/>
      </c>
      <c r="AJ389" s="1029">
        <f t="shared" si="163"/>
        <v>0</v>
      </c>
      <c r="AK389" s="1043" t="str" cm="1">
        <f t="array" ref="AK389">IF(AE389&lt;&gt;"A","",IFERROR((IFERROR(_xlfn.XLOOKUP(TRIM(SUBSTITUTE(U389,CHAR(160)," ")),$BI$15:$BI$62,$BL$15:$BL$62),IFERROR(_xlfn.XLOOKUP(TRIM(SUBSTITUTE(U389,CHAR(160)," ")),$BJ$15:$BJ$62,$BL$15:$BL$62),_xlfn.XLOOKUP(TRIM(SUBSTITUTE(U389,CHAR(160)," ")),$BK$15:$BK$62,$BL$15:$BL$62))))*T389*IF(ISBLANK(Q389),1,Q389)+IFERROR(_xlfn.XLOOKUP("RECHERCHEX",TRIM(L389:AC389),L389:AC389),0),0))</f>
        <v/>
      </c>
      <c r="AL389" s="1030">
        <f t="shared" si="164"/>
        <v>0</v>
      </c>
      <c r="AM389" s="5254" t="str">
        <f t="shared" si="181"/>
        <v/>
      </c>
      <c r="AN389" s="1031">
        <f t="shared" si="165"/>
        <v>0</v>
      </c>
      <c r="AO389" s="1031">
        <f t="shared" si="166"/>
        <v>0</v>
      </c>
      <c r="AP389" s="1044">
        <f t="shared" si="167"/>
        <v>0</v>
      </c>
      <c r="AQ389" s="5257" t="str">
        <f t="shared" si="168"/>
        <v/>
      </c>
      <c r="AR389" s="1056"/>
      <c r="AS389" s="1056"/>
      <c r="AT389" s="1045">
        <f t="shared" si="169"/>
        <v>0</v>
      </c>
      <c r="AU389" s="1046">
        <f t="shared" si="170"/>
        <v>0</v>
      </c>
      <c r="AV389" s="1059" cm="1">
        <f t="array" ref="AV389">IF(AJ389&lt;&gt;1,0,IF(OR(AT389="",N(AT389)&lt;=0.000000001),"",IF(OR(AN389="",N(AN389)&lt;=0.000000001),0,IF(ISNUMBER(AT389),IFERROR(_xlfn.LET(_xlpm.ai_test,TRIM(AI389),_xlpm.r,IFERROR(_xlfn.XLOOKUP(_xlpm.ai_test,$BI$15:$BI$62,ROW($BI$15:$BI$62),0,1),IFERROR(_xlfn.XLOOKUP(_xlpm.ai_test,$BJ$15:$BJ$62,ROW($BJ$15:$BJ$62),0,1),_xlfn.XLOOKUP(_xlpm.ai_test,$BK$15:$BK$62,ROW($BK$15:$BK$62),0,1))),_xlpm.p,_xlpm.r-MIN(ROW($BI$15:$BI$62))+1,_xlpm.f,INDEX($BL$15:$BL$62,_xlpm.p),_xlpm.u,INDEX($BM$15:$BM$62,_xlpm.p),_xlpm.s,INDEX($BO$15:$BO$62,_xlpm.p),_xlpm.q,N(AT389)/_xlpm.f,IF(_xlpm.q&gt;=_xlpm.s,ROUND(_xlpm.q,1)&amp;" "&amp;_xlpm.ai_test&amp;" = "&amp;ROUND(_xlpm.q*_xlpm.f,1)&amp;" "&amp;_xlpm.u,ROUND(_xlpm.q,1)&amp;" "&amp;_xlpm.ai_test)),""),""))))</f>
        <v>0</v>
      </c>
      <c r="AW389" s="1047"/>
      <c r="AX389" s="1045">
        <f t="shared" si="171"/>
        <v>0</v>
      </c>
      <c r="AY389" s="1046" t="str">
        <f t="shared" si="172"/>
        <v/>
      </c>
      <c r="AZ389" s="1048">
        <f t="shared" si="177"/>
        <v>0</v>
      </c>
      <c r="BA389" s="1049" t="str">
        <f t="shared" si="173"/>
        <v/>
      </c>
      <c r="BB389" s="1038"/>
      <c r="BC389" s="1050">
        <f t="shared" si="180"/>
        <v>0</v>
      </c>
      <c r="BD389" s="1040" t="str">
        <f t="shared" si="174"/>
        <v/>
      </c>
      <c r="BE389" s="227" t="s">
        <v>22</v>
      </c>
      <c r="BF389" s="1019">
        <f t="shared" si="175"/>
        <v>0</v>
      </c>
      <c r="BG389" s="1020">
        <f t="shared" si="176"/>
        <v>0</v>
      </c>
      <c r="BH389"/>
      <c r="BI389" s="709"/>
      <c r="BJ389" s="709"/>
      <c r="BK389" s="709"/>
      <c r="BL389" s="709"/>
      <c r="BM389" s="709"/>
      <c r="BN389" s="709"/>
      <c r="BO389" s="709"/>
      <c r="BP389" s="709"/>
      <c r="BW389" s="959" t="str">
        <f t="shared" ref="BW389:BW452" si="182">AE389</f>
        <v>►</v>
      </c>
      <c r="BX389" s="856"/>
      <c r="BY389" s="856"/>
      <c r="BZ389" s="856"/>
      <c r="CA389" s="856"/>
      <c r="CB389" s="856"/>
      <c r="DB389" s="3">
        <v>1</v>
      </c>
    </row>
    <row r="390" spans="12:106" ht="21" customHeight="1">
      <c r="L390" s="104" t="s">
        <v>16</v>
      </c>
      <c r="M390" s="157" t="str">
        <f>M342</f>
        <v>B BAUDRUCHE DE COPAIN | | Auteur &gt; Guy KRENZE - Eric GODDYN - Arnaud NICOLAS - CEPROC 2002</v>
      </c>
      <c r="N390" s="157">
        <f>N342</f>
        <v>9.0500000000000007</v>
      </c>
      <c r="O390" s="158" t="str">
        <f>O342</f>
        <v>Kg</v>
      </c>
      <c r="P390" s="159" t="str">
        <f>P342</f>
        <v>Recette mère ► le Boudin en 4 déclinaisons</v>
      </c>
      <c r="Q390" s="172"/>
      <c r="R390" s="172"/>
      <c r="S390" s="172"/>
      <c r="T390" s="172"/>
      <c r="U390" s="172"/>
      <c r="V390" s="172"/>
      <c r="W390" s="172"/>
      <c r="X390" s="172"/>
      <c r="Y390" s="172"/>
      <c r="Z390" s="555"/>
      <c r="AA390" s="5211"/>
      <c r="AB390" s="1178"/>
      <c r="AC390" s="1179"/>
      <c r="AD390" s="227" t="s">
        <v>22</v>
      </c>
      <c r="AE390" s="1027" t="str">
        <f t="shared" si="158"/>
        <v>►</v>
      </c>
      <c r="AF390" s="1028" t="str">
        <f t="shared" si="159"/>
        <v/>
      </c>
      <c r="AG390" s="1029" t="str">
        <f t="shared" si="160"/>
        <v/>
      </c>
      <c r="AH390" s="1028" t="str">
        <f t="shared" si="161"/>
        <v/>
      </c>
      <c r="AI390" s="1029" t="str">
        <f t="shared" si="162"/>
        <v/>
      </c>
      <c r="AJ390" s="1029">
        <f t="shared" si="163"/>
        <v>0</v>
      </c>
      <c r="AK390" s="1043" t="str" cm="1">
        <f t="array" ref="AK390">IF(AE390&lt;&gt;"A","",IFERROR((IFERROR(_xlfn.XLOOKUP(TRIM(SUBSTITUTE(U390,CHAR(160)," ")),$BI$15:$BI$62,$BL$15:$BL$62),IFERROR(_xlfn.XLOOKUP(TRIM(SUBSTITUTE(U390,CHAR(160)," ")),$BJ$15:$BJ$62,$BL$15:$BL$62),_xlfn.XLOOKUP(TRIM(SUBSTITUTE(U390,CHAR(160)," ")),$BK$15:$BK$62,$BL$15:$BL$62))))*T390*IF(ISBLANK(Q390),1,Q390)+IFERROR(_xlfn.XLOOKUP("RECHERCHEX",TRIM(L390:AC390),L390:AC390),0),0))</f>
        <v/>
      </c>
      <c r="AL390" s="1030">
        <f t="shared" si="164"/>
        <v>0</v>
      </c>
      <c r="AM390" s="5254" t="str">
        <f t="shared" si="181"/>
        <v/>
      </c>
      <c r="AN390" s="1031">
        <f t="shared" si="165"/>
        <v>0</v>
      </c>
      <c r="AO390" s="1031">
        <f t="shared" si="166"/>
        <v>0</v>
      </c>
      <c r="AP390" s="1032">
        <f t="shared" si="167"/>
        <v>0</v>
      </c>
      <c r="AQ390" s="5255" t="str">
        <f t="shared" si="168"/>
        <v/>
      </c>
      <c r="AR390" s="1056"/>
      <c r="AS390" s="1056"/>
      <c r="AT390" s="1034">
        <f t="shared" si="169"/>
        <v>0</v>
      </c>
      <c r="AU390" s="1035">
        <f t="shared" si="170"/>
        <v>0</v>
      </c>
      <c r="AV390" s="1057" cm="1">
        <f t="array" ref="AV390">IF(AJ390&lt;&gt;1,0,IF(OR(AT390="",N(AT390)&lt;=0.000000001),"",IF(OR(AN390="",N(AN390)&lt;=0.000000001),0,IF(ISNUMBER(AT390),IFERROR(_xlfn.LET(_xlpm.ai_test,TRIM(AI390),_xlpm.r,IFERROR(_xlfn.XLOOKUP(_xlpm.ai_test,$BI$15:$BI$62,ROW($BI$15:$BI$62),0,1),IFERROR(_xlfn.XLOOKUP(_xlpm.ai_test,$BJ$15:$BJ$62,ROW($BJ$15:$BJ$62),0,1),_xlfn.XLOOKUP(_xlpm.ai_test,$BK$15:$BK$62,ROW($BK$15:$BK$62),0,1))),_xlpm.p,_xlpm.r-MIN(ROW($BI$15:$BI$62))+1,_xlpm.f,INDEX($BL$15:$BL$62,_xlpm.p),_xlpm.u,INDEX($BM$15:$BM$62,_xlpm.p),_xlpm.s,INDEX($BO$15:$BO$62,_xlpm.p),_xlpm.q,N(AT390)/_xlpm.f,IF(_xlpm.q&gt;=_xlpm.s,ROUND(_xlpm.q,1)&amp;" "&amp;_xlpm.ai_test&amp;" = "&amp;ROUND(_xlpm.q*_xlpm.f,1)&amp;" "&amp;_xlpm.u,ROUND(_xlpm.q,1)&amp;" "&amp;_xlpm.ai_test)),""),""))))</f>
        <v>0</v>
      </c>
      <c r="AW390" s="1047"/>
      <c r="AX390" s="1034">
        <f t="shared" si="171"/>
        <v>0</v>
      </c>
      <c r="AY390" s="1035" t="str">
        <f t="shared" si="172"/>
        <v/>
      </c>
      <c r="AZ390" s="1036">
        <f t="shared" si="177"/>
        <v>0</v>
      </c>
      <c r="BA390" s="1037" t="str">
        <f t="shared" si="173"/>
        <v/>
      </c>
      <c r="BB390" s="1038"/>
      <c r="BC390" s="1039">
        <f t="shared" si="180"/>
        <v>0</v>
      </c>
      <c r="BD390" s="1040" t="str">
        <f t="shared" si="174"/>
        <v/>
      </c>
      <c r="BE390" s="227" t="s">
        <v>22</v>
      </c>
      <c r="BF390" s="1019">
        <f t="shared" si="175"/>
        <v>0</v>
      </c>
      <c r="BG390" s="1020">
        <f t="shared" si="176"/>
        <v>0</v>
      </c>
      <c r="BH390"/>
      <c r="BI390" s="709"/>
      <c r="BJ390" s="709"/>
      <c r="BK390" s="709"/>
      <c r="BL390" s="709"/>
      <c r="BM390" s="709"/>
      <c r="BN390" s="709"/>
      <c r="BO390" s="709"/>
      <c r="BP390" s="709"/>
      <c r="BW390" s="959" t="str">
        <f t="shared" si="182"/>
        <v>►</v>
      </c>
      <c r="BX390" s="856"/>
      <c r="BY390" s="856"/>
      <c r="BZ390" s="856"/>
      <c r="CA390" s="856"/>
      <c r="CB390" s="856"/>
      <c r="DB390" s="3">
        <v>1</v>
      </c>
    </row>
    <row r="391" spans="12:106" ht="21" customHeight="1">
      <c r="L391" s="104" t="s">
        <v>16</v>
      </c>
      <c r="M391" s="157" t="str">
        <f>M342</f>
        <v>B BAUDRUCHE DE COPAIN | | Auteur &gt; Guy KRENZE - Eric GODDYN - Arnaud NICOLAS - CEPROC 2002</v>
      </c>
      <c r="N391" s="157">
        <f>N342</f>
        <v>9.0500000000000007</v>
      </c>
      <c r="O391" s="158" t="str">
        <f>O342</f>
        <v>Kg</v>
      </c>
      <c r="P391" s="159" t="str">
        <f>P342</f>
        <v>Recette mère ► le Boudin en 4 déclinaisons</v>
      </c>
      <c r="Q391" s="172"/>
      <c r="R391" s="172"/>
      <c r="S391" s="172"/>
      <c r="T391" s="172"/>
      <c r="U391" s="172"/>
      <c r="V391" s="172"/>
      <c r="W391" s="172"/>
      <c r="X391" s="172"/>
      <c r="Y391" s="172"/>
      <c r="Z391" s="555"/>
      <c r="AA391" s="5211"/>
      <c r="AB391" s="1178"/>
      <c r="AC391" s="1179"/>
      <c r="AD391" s="227" t="s">
        <v>22</v>
      </c>
      <c r="AE391" s="1027" t="str">
        <f t="shared" si="158"/>
        <v>►</v>
      </c>
      <c r="AF391" s="1028" t="str">
        <f t="shared" si="159"/>
        <v/>
      </c>
      <c r="AG391" s="1029" t="str">
        <f t="shared" si="160"/>
        <v/>
      </c>
      <c r="AH391" s="1028" t="str">
        <f t="shared" si="161"/>
        <v/>
      </c>
      <c r="AI391" s="1029" t="str">
        <f t="shared" si="162"/>
        <v/>
      </c>
      <c r="AJ391" s="1029">
        <f t="shared" si="163"/>
        <v>0</v>
      </c>
      <c r="AK391" s="1043" t="str" cm="1">
        <f t="array" ref="AK391">IF(AE391&lt;&gt;"A","",IFERROR((IFERROR(_xlfn.XLOOKUP(TRIM(SUBSTITUTE(U391,CHAR(160)," ")),$BI$15:$BI$62,$BL$15:$BL$62),IFERROR(_xlfn.XLOOKUP(TRIM(SUBSTITUTE(U391,CHAR(160)," ")),$BJ$15:$BJ$62,$BL$15:$BL$62),_xlfn.XLOOKUP(TRIM(SUBSTITUTE(U391,CHAR(160)," ")),$BK$15:$BK$62,$BL$15:$BL$62))))*T391*IF(ISBLANK(Q391),1,Q391)+IFERROR(_xlfn.XLOOKUP("RECHERCHEX",TRIM(L391:AC391),L391:AC391),0),0))</f>
        <v/>
      </c>
      <c r="AL391" s="1030">
        <f t="shared" si="164"/>
        <v>0</v>
      </c>
      <c r="AM391" s="5254" t="str">
        <f t="shared" si="181"/>
        <v/>
      </c>
      <c r="AN391" s="1031">
        <f t="shared" si="165"/>
        <v>0</v>
      </c>
      <c r="AO391" s="1031">
        <f t="shared" si="166"/>
        <v>0</v>
      </c>
      <c r="AP391" s="1044">
        <f t="shared" si="167"/>
        <v>0</v>
      </c>
      <c r="AQ391" s="5257" t="str">
        <f t="shared" si="168"/>
        <v/>
      </c>
      <c r="AR391" s="1056"/>
      <c r="AS391" s="1056"/>
      <c r="AT391" s="1045">
        <f t="shared" si="169"/>
        <v>0</v>
      </c>
      <c r="AU391" s="1046">
        <f t="shared" si="170"/>
        <v>0</v>
      </c>
      <c r="AV391" s="1059" cm="1">
        <f t="array" ref="AV391">IF(AJ391&lt;&gt;1,0,IF(OR(AT391="",N(AT391)&lt;=0.000000001),"",IF(OR(AN391="",N(AN391)&lt;=0.000000001),0,IF(ISNUMBER(AT391),IFERROR(_xlfn.LET(_xlpm.ai_test,TRIM(AI391),_xlpm.r,IFERROR(_xlfn.XLOOKUP(_xlpm.ai_test,$BI$15:$BI$62,ROW($BI$15:$BI$62),0,1),IFERROR(_xlfn.XLOOKUP(_xlpm.ai_test,$BJ$15:$BJ$62,ROW($BJ$15:$BJ$62),0,1),_xlfn.XLOOKUP(_xlpm.ai_test,$BK$15:$BK$62,ROW($BK$15:$BK$62),0,1))),_xlpm.p,_xlpm.r-MIN(ROW($BI$15:$BI$62))+1,_xlpm.f,INDEX($BL$15:$BL$62,_xlpm.p),_xlpm.u,INDEX($BM$15:$BM$62,_xlpm.p),_xlpm.s,INDEX($BO$15:$BO$62,_xlpm.p),_xlpm.q,N(AT391)/_xlpm.f,IF(_xlpm.q&gt;=_xlpm.s,ROUND(_xlpm.q,1)&amp;" "&amp;_xlpm.ai_test&amp;" = "&amp;ROUND(_xlpm.q*_xlpm.f,1)&amp;" "&amp;_xlpm.u,ROUND(_xlpm.q,1)&amp;" "&amp;_xlpm.ai_test)),""),""))))</f>
        <v>0</v>
      </c>
      <c r="AW391" s="1047"/>
      <c r="AX391" s="1045">
        <f t="shared" si="171"/>
        <v>0</v>
      </c>
      <c r="AY391" s="1046" t="str">
        <f t="shared" si="172"/>
        <v/>
      </c>
      <c r="AZ391" s="1048">
        <f t="shared" si="177"/>
        <v>0</v>
      </c>
      <c r="BA391" s="1049" t="str">
        <f t="shared" si="173"/>
        <v/>
      </c>
      <c r="BB391" s="1038"/>
      <c r="BC391" s="1050">
        <f t="shared" si="180"/>
        <v>0</v>
      </c>
      <c r="BD391" s="1040" t="str">
        <f t="shared" si="174"/>
        <v/>
      </c>
      <c r="BE391" s="227" t="s">
        <v>22</v>
      </c>
      <c r="BF391" s="1019">
        <f t="shared" si="175"/>
        <v>0</v>
      </c>
      <c r="BG391" s="1020">
        <f t="shared" si="176"/>
        <v>0</v>
      </c>
      <c r="BH391"/>
      <c r="BI391" s="709"/>
      <c r="BJ391" s="709"/>
      <c r="BK391" s="709"/>
      <c r="BL391" s="709"/>
      <c r="BM391" s="709"/>
      <c r="BN391" s="709"/>
      <c r="BO391" s="709"/>
      <c r="BP391" s="709"/>
      <c r="BW391" s="959" t="str">
        <f t="shared" si="182"/>
        <v>►</v>
      </c>
      <c r="BX391" s="856"/>
      <c r="BY391" s="856"/>
      <c r="BZ391" s="856"/>
      <c r="CA391" s="856"/>
      <c r="CB391" s="856"/>
      <c r="DB391" s="3">
        <v>1</v>
      </c>
    </row>
    <row r="392" spans="12:106" ht="21" customHeight="1">
      <c r="L392" s="104" t="s">
        <v>16</v>
      </c>
      <c r="M392" s="157" t="str">
        <f>M342</f>
        <v>B BAUDRUCHE DE COPAIN | | Auteur &gt; Guy KRENZE - Eric GODDYN - Arnaud NICOLAS - CEPROC 2002</v>
      </c>
      <c r="N392" s="157">
        <f>N342</f>
        <v>9.0500000000000007</v>
      </c>
      <c r="O392" s="158" t="str">
        <f>O342</f>
        <v>Kg</v>
      </c>
      <c r="P392" s="159" t="str">
        <f>P342</f>
        <v>Recette mère ► le Boudin en 4 déclinaisons</v>
      </c>
      <c r="Q392" s="160" t="s">
        <v>167</v>
      </c>
      <c r="R392" s="1536"/>
      <c r="S392" s="1536"/>
      <c r="T392" s="1536"/>
      <c r="U392" s="1536"/>
      <c r="V392" s="1536"/>
      <c r="W392" s="1536"/>
      <c r="X392" s="1536"/>
      <c r="Y392" s="1536"/>
      <c r="Z392" s="1537"/>
      <c r="AA392" s="5211"/>
      <c r="AB392" s="1178"/>
      <c r="AC392" s="1179"/>
      <c r="AD392" s="227" t="s">
        <v>22</v>
      </c>
      <c r="AE392" s="1027" t="str">
        <f t="shared" si="158"/>
        <v>►</v>
      </c>
      <c r="AF392" s="1028" t="str">
        <f t="shared" si="159"/>
        <v/>
      </c>
      <c r="AG392" s="1029" t="str">
        <f t="shared" si="160"/>
        <v/>
      </c>
      <c r="AH392" s="1028" t="str">
        <f t="shared" si="161"/>
        <v/>
      </c>
      <c r="AI392" s="1029" t="str">
        <f t="shared" si="162"/>
        <v/>
      </c>
      <c r="AJ392" s="1029">
        <f t="shared" si="163"/>
        <v>0</v>
      </c>
      <c r="AK392" s="1043" t="str" cm="1">
        <f t="array" ref="AK392">IF(AE392&lt;&gt;"A","",IFERROR((IFERROR(_xlfn.XLOOKUP(TRIM(SUBSTITUTE(U392,CHAR(160)," ")),$BI$15:$BI$62,$BL$15:$BL$62),IFERROR(_xlfn.XLOOKUP(TRIM(SUBSTITUTE(U392,CHAR(160)," ")),$BJ$15:$BJ$62,$BL$15:$BL$62),_xlfn.XLOOKUP(TRIM(SUBSTITUTE(U392,CHAR(160)," ")),$BK$15:$BK$62,$BL$15:$BL$62))))*T392*IF(ISBLANK(Q392),1,Q392)+IFERROR(_xlfn.XLOOKUP("RECHERCHEX",TRIM(L392:AC392),L392:AC392),0),0))</f>
        <v/>
      </c>
      <c r="AL392" s="1030">
        <f t="shared" si="164"/>
        <v>0</v>
      </c>
      <c r="AM392" s="5254" t="str">
        <f t="shared" si="181"/>
        <v/>
      </c>
      <c r="AN392" s="1031">
        <f t="shared" si="165"/>
        <v>0</v>
      </c>
      <c r="AO392" s="1031">
        <f t="shared" si="166"/>
        <v>0</v>
      </c>
      <c r="AP392" s="1032">
        <f t="shared" si="167"/>
        <v>0</v>
      </c>
      <c r="AQ392" s="5255" t="str">
        <f t="shared" si="168"/>
        <v/>
      </c>
      <c r="AR392" s="1056"/>
      <c r="AS392" s="1056"/>
      <c r="AT392" s="1034">
        <f t="shared" si="169"/>
        <v>0</v>
      </c>
      <c r="AU392" s="1035">
        <f t="shared" si="170"/>
        <v>0</v>
      </c>
      <c r="AV392" s="1057" cm="1">
        <f t="array" ref="AV392">IF(AJ392&lt;&gt;1,0,IF(OR(AT392="",N(AT392)&lt;=0.000000001),"",IF(OR(AN392="",N(AN392)&lt;=0.000000001),0,IF(ISNUMBER(AT392),IFERROR(_xlfn.LET(_xlpm.ai_test,TRIM(AI392),_xlpm.r,IFERROR(_xlfn.XLOOKUP(_xlpm.ai_test,$BI$15:$BI$62,ROW($BI$15:$BI$62),0,1),IFERROR(_xlfn.XLOOKUP(_xlpm.ai_test,$BJ$15:$BJ$62,ROW($BJ$15:$BJ$62),0,1),_xlfn.XLOOKUP(_xlpm.ai_test,$BK$15:$BK$62,ROW($BK$15:$BK$62),0,1))),_xlpm.p,_xlpm.r-MIN(ROW($BI$15:$BI$62))+1,_xlpm.f,INDEX($BL$15:$BL$62,_xlpm.p),_xlpm.u,INDEX($BM$15:$BM$62,_xlpm.p),_xlpm.s,INDEX($BO$15:$BO$62,_xlpm.p),_xlpm.q,N(AT392)/_xlpm.f,IF(_xlpm.q&gt;=_xlpm.s,ROUND(_xlpm.q,1)&amp;" "&amp;_xlpm.ai_test&amp;" = "&amp;ROUND(_xlpm.q*_xlpm.f,1)&amp;" "&amp;_xlpm.u,ROUND(_xlpm.q,1)&amp;" "&amp;_xlpm.ai_test)),""),""))))</f>
        <v>0</v>
      </c>
      <c r="AW392" s="1047"/>
      <c r="AX392" s="1034">
        <f t="shared" si="171"/>
        <v>0</v>
      </c>
      <c r="AY392" s="1035" t="str">
        <f t="shared" si="172"/>
        <v/>
      </c>
      <c r="AZ392" s="1036">
        <f t="shared" si="177"/>
        <v>0</v>
      </c>
      <c r="BA392" s="1037" t="str">
        <f t="shared" si="173"/>
        <v/>
      </c>
      <c r="BB392" s="1038"/>
      <c r="BC392" s="1039">
        <f t="shared" si="180"/>
        <v>0</v>
      </c>
      <c r="BD392" s="1040" t="str">
        <f t="shared" si="174"/>
        <v/>
      </c>
      <c r="BE392" s="227" t="s">
        <v>22</v>
      </c>
      <c r="BF392" s="1019">
        <f t="shared" si="175"/>
        <v>0</v>
      </c>
      <c r="BG392" s="1020">
        <f t="shared" si="176"/>
        <v>0</v>
      </c>
      <c r="BH392"/>
      <c r="BI392" s="709"/>
      <c r="BJ392" s="709"/>
      <c r="BK392" s="709"/>
      <c r="BL392" s="709"/>
      <c r="BM392" s="709"/>
      <c r="BN392" s="709"/>
      <c r="BO392" s="709"/>
      <c r="BP392" s="709"/>
      <c r="BW392" s="959" t="str">
        <f t="shared" si="182"/>
        <v>►</v>
      </c>
      <c r="BX392" s="856"/>
      <c r="BY392" s="856"/>
      <c r="BZ392" s="856"/>
      <c r="CA392" s="856"/>
      <c r="CB392" s="856"/>
      <c r="DB392" s="3">
        <v>1</v>
      </c>
    </row>
    <row r="393" spans="12:106" ht="21" customHeight="1">
      <c r="L393" s="104" t="s">
        <v>16</v>
      </c>
      <c r="M393" s="157" t="str">
        <f>M342</f>
        <v>B BAUDRUCHE DE COPAIN | | Auteur &gt; Guy KRENZE - Eric GODDYN - Arnaud NICOLAS - CEPROC 2002</v>
      </c>
      <c r="N393" s="157">
        <f>N342</f>
        <v>9.0500000000000007</v>
      </c>
      <c r="O393" s="158" t="str">
        <f>O342</f>
        <v>Kg</v>
      </c>
      <c r="P393" s="159" t="str">
        <f>P342</f>
        <v>Recette mère ► le Boudin en 4 déclinaisons</v>
      </c>
      <c r="Q393" s="172"/>
      <c r="R393" s="172"/>
      <c r="S393" s="172"/>
      <c r="T393" s="172"/>
      <c r="U393" s="172"/>
      <c r="V393" s="172"/>
      <c r="W393" s="172"/>
      <c r="X393" s="172"/>
      <c r="Y393" s="172"/>
      <c r="Z393" s="555"/>
      <c r="AA393" s="5211"/>
      <c r="AB393" s="1178"/>
      <c r="AC393" s="1179"/>
      <c r="AD393" s="227" t="s">
        <v>22</v>
      </c>
      <c r="AE393" s="1027" t="str">
        <f t="shared" si="158"/>
        <v>►</v>
      </c>
      <c r="AF393" s="1028" t="str">
        <f t="shared" si="159"/>
        <v/>
      </c>
      <c r="AG393" s="1029" t="str">
        <f t="shared" si="160"/>
        <v/>
      </c>
      <c r="AH393" s="1028" t="str">
        <f t="shared" si="161"/>
        <v/>
      </c>
      <c r="AI393" s="1029" t="str">
        <f t="shared" si="162"/>
        <v/>
      </c>
      <c r="AJ393" s="1029">
        <f t="shared" si="163"/>
        <v>0</v>
      </c>
      <c r="AK393" s="1043" t="str" cm="1">
        <f t="array" ref="AK393">IF(AE393&lt;&gt;"A","",IFERROR((IFERROR(_xlfn.XLOOKUP(TRIM(SUBSTITUTE(U393,CHAR(160)," ")),$BI$15:$BI$62,$BL$15:$BL$62),IFERROR(_xlfn.XLOOKUP(TRIM(SUBSTITUTE(U393,CHAR(160)," ")),$BJ$15:$BJ$62,$BL$15:$BL$62),_xlfn.XLOOKUP(TRIM(SUBSTITUTE(U393,CHAR(160)," ")),$BK$15:$BK$62,$BL$15:$BL$62))))*T393*IF(ISBLANK(Q393),1,Q393)+IFERROR(_xlfn.XLOOKUP("RECHERCHEX",TRIM(L393:AC393),L393:AC393),0),0))</f>
        <v/>
      </c>
      <c r="AL393" s="1030">
        <f t="shared" si="164"/>
        <v>0</v>
      </c>
      <c r="AM393" s="5254" t="str">
        <f t="shared" si="181"/>
        <v/>
      </c>
      <c r="AN393" s="1031">
        <f t="shared" si="165"/>
        <v>0</v>
      </c>
      <c r="AO393" s="1031">
        <f t="shared" si="166"/>
        <v>0</v>
      </c>
      <c r="AP393" s="1044">
        <f t="shared" si="167"/>
        <v>0</v>
      </c>
      <c r="AQ393" s="5257" t="str">
        <f t="shared" si="168"/>
        <v/>
      </c>
      <c r="AR393" s="1056"/>
      <c r="AS393" s="1056"/>
      <c r="AT393" s="1045">
        <f t="shared" si="169"/>
        <v>0</v>
      </c>
      <c r="AU393" s="1046">
        <f t="shared" si="170"/>
        <v>0</v>
      </c>
      <c r="AV393" s="1059" cm="1">
        <f t="array" ref="AV393">IF(AJ393&lt;&gt;1,0,IF(OR(AT393="",N(AT393)&lt;=0.000000001),"",IF(OR(AN393="",N(AN393)&lt;=0.000000001),0,IF(ISNUMBER(AT393),IFERROR(_xlfn.LET(_xlpm.ai_test,TRIM(AI393),_xlpm.r,IFERROR(_xlfn.XLOOKUP(_xlpm.ai_test,$BI$15:$BI$62,ROW($BI$15:$BI$62),0,1),IFERROR(_xlfn.XLOOKUP(_xlpm.ai_test,$BJ$15:$BJ$62,ROW($BJ$15:$BJ$62),0,1),_xlfn.XLOOKUP(_xlpm.ai_test,$BK$15:$BK$62,ROW($BK$15:$BK$62),0,1))),_xlpm.p,_xlpm.r-MIN(ROW($BI$15:$BI$62))+1,_xlpm.f,INDEX($BL$15:$BL$62,_xlpm.p),_xlpm.u,INDEX($BM$15:$BM$62,_xlpm.p),_xlpm.s,INDEX($BO$15:$BO$62,_xlpm.p),_xlpm.q,N(AT393)/_xlpm.f,IF(_xlpm.q&gt;=_xlpm.s,ROUND(_xlpm.q,1)&amp;" "&amp;_xlpm.ai_test&amp;" = "&amp;ROUND(_xlpm.q*_xlpm.f,1)&amp;" "&amp;_xlpm.u,ROUND(_xlpm.q,1)&amp;" "&amp;_xlpm.ai_test)),""),""))))</f>
        <v>0</v>
      </c>
      <c r="AW393" s="1047"/>
      <c r="AX393" s="1045">
        <f t="shared" si="171"/>
        <v>0</v>
      </c>
      <c r="AY393" s="1046" t="str">
        <f t="shared" si="172"/>
        <v/>
      </c>
      <c r="AZ393" s="1048">
        <f t="shared" si="177"/>
        <v>0</v>
      </c>
      <c r="BA393" s="1049" t="str">
        <f t="shared" si="173"/>
        <v/>
      </c>
      <c r="BB393" s="1038"/>
      <c r="BC393" s="1050">
        <f t="shared" si="180"/>
        <v>0</v>
      </c>
      <c r="BD393" s="1040" t="str">
        <f t="shared" si="174"/>
        <v/>
      </c>
      <c r="BE393" s="227" t="s">
        <v>22</v>
      </c>
      <c r="BF393" s="1019">
        <f t="shared" si="175"/>
        <v>0</v>
      </c>
      <c r="BG393" s="1020">
        <f t="shared" si="176"/>
        <v>0</v>
      </c>
      <c r="BH393"/>
      <c r="BI393" s="709"/>
      <c r="BJ393" s="709"/>
      <c r="BK393" s="709"/>
      <c r="BL393" s="709"/>
      <c r="BM393" s="709"/>
      <c r="BN393" s="709"/>
      <c r="BO393" s="709"/>
      <c r="BP393" s="709"/>
      <c r="BW393" s="959" t="str">
        <f t="shared" si="182"/>
        <v>►</v>
      </c>
      <c r="BX393" s="856"/>
      <c r="BY393" s="856"/>
      <c r="BZ393" s="856"/>
      <c r="CA393" s="856"/>
      <c r="CB393" s="856"/>
      <c r="DB393" s="3">
        <v>1</v>
      </c>
    </row>
    <row r="394" spans="12:106" ht="21" customHeight="1">
      <c r="L394" s="104" t="s">
        <v>16</v>
      </c>
      <c r="M394" s="157" t="str">
        <f>M342</f>
        <v>B BAUDRUCHE DE COPAIN | | Auteur &gt; Guy KRENZE - Eric GODDYN - Arnaud NICOLAS - CEPROC 2002</v>
      </c>
      <c r="N394" s="157">
        <f>N342</f>
        <v>9.0500000000000007</v>
      </c>
      <c r="O394" s="158" t="str">
        <f>O342</f>
        <v>Kg</v>
      </c>
      <c r="P394" s="159" t="str">
        <f>P342</f>
        <v>Recette mère ► le Boudin en 4 déclinaisons</v>
      </c>
      <c r="Q394" s="172"/>
      <c r="R394" s="172"/>
      <c r="S394" s="172"/>
      <c r="T394" s="172"/>
      <c r="U394" s="172"/>
      <c r="V394" s="172"/>
      <c r="W394" s="172"/>
      <c r="X394" s="172"/>
      <c r="Y394" s="172"/>
      <c r="Z394" s="555"/>
      <c r="AA394" s="5211"/>
      <c r="AB394" s="1178"/>
      <c r="AC394" s="1179"/>
      <c r="AD394" s="227" t="s">
        <v>22</v>
      </c>
      <c r="AE394" s="1027" t="str">
        <f t="shared" si="158"/>
        <v>►</v>
      </c>
      <c r="AF394" s="1028" t="str">
        <f t="shared" si="159"/>
        <v/>
      </c>
      <c r="AG394" s="1029" t="str">
        <f t="shared" si="160"/>
        <v/>
      </c>
      <c r="AH394" s="1028" t="str">
        <f t="shared" si="161"/>
        <v/>
      </c>
      <c r="AI394" s="1029" t="str">
        <f t="shared" si="162"/>
        <v/>
      </c>
      <c r="AJ394" s="1029">
        <f t="shared" si="163"/>
        <v>0</v>
      </c>
      <c r="AK394" s="1043" t="str" cm="1">
        <f t="array" ref="AK394">IF(AE394&lt;&gt;"A","",IFERROR((IFERROR(_xlfn.XLOOKUP(TRIM(SUBSTITUTE(U394,CHAR(160)," ")),$BI$15:$BI$62,$BL$15:$BL$62),IFERROR(_xlfn.XLOOKUP(TRIM(SUBSTITUTE(U394,CHAR(160)," ")),$BJ$15:$BJ$62,$BL$15:$BL$62),_xlfn.XLOOKUP(TRIM(SUBSTITUTE(U394,CHAR(160)," ")),$BK$15:$BK$62,$BL$15:$BL$62))))*T394*IF(ISBLANK(Q394),1,Q394)+IFERROR(_xlfn.XLOOKUP("RECHERCHEX",TRIM(L394:AC394),L394:AC394),0),0))</f>
        <v/>
      </c>
      <c r="AL394" s="1030">
        <f t="shared" si="164"/>
        <v>0</v>
      </c>
      <c r="AM394" s="5254" t="str">
        <f t="shared" si="181"/>
        <v/>
      </c>
      <c r="AN394" s="1031">
        <f t="shared" si="165"/>
        <v>0</v>
      </c>
      <c r="AO394" s="1031">
        <f t="shared" si="166"/>
        <v>0</v>
      </c>
      <c r="AP394" s="1032">
        <f t="shared" si="167"/>
        <v>0</v>
      </c>
      <c r="AQ394" s="5255" t="str">
        <f t="shared" si="168"/>
        <v/>
      </c>
      <c r="AR394" s="1056"/>
      <c r="AS394" s="1056"/>
      <c r="AT394" s="1034">
        <f t="shared" si="169"/>
        <v>0</v>
      </c>
      <c r="AU394" s="1035">
        <f t="shared" si="170"/>
        <v>0</v>
      </c>
      <c r="AV394" s="1057" cm="1">
        <f t="array" ref="AV394">IF(AJ394&lt;&gt;1,0,IF(OR(AT394="",N(AT394)&lt;=0.000000001),"",IF(OR(AN394="",N(AN394)&lt;=0.000000001),0,IF(ISNUMBER(AT394),IFERROR(_xlfn.LET(_xlpm.ai_test,TRIM(AI394),_xlpm.r,IFERROR(_xlfn.XLOOKUP(_xlpm.ai_test,$BI$15:$BI$62,ROW($BI$15:$BI$62),0,1),IFERROR(_xlfn.XLOOKUP(_xlpm.ai_test,$BJ$15:$BJ$62,ROW($BJ$15:$BJ$62),0,1),_xlfn.XLOOKUP(_xlpm.ai_test,$BK$15:$BK$62,ROW($BK$15:$BK$62),0,1))),_xlpm.p,_xlpm.r-MIN(ROW($BI$15:$BI$62))+1,_xlpm.f,INDEX($BL$15:$BL$62,_xlpm.p),_xlpm.u,INDEX($BM$15:$BM$62,_xlpm.p),_xlpm.s,INDEX($BO$15:$BO$62,_xlpm.p),_xlpm.q,N(AT394)/_xlpm.f,IF(_xlpm.q&gt;=_xlpm.s,ROUND(_xlpm.q,1)&amp;" "&amp;_xlpm.ai_test&amp;" = "&amp;ROUND(_xlpm.q*_xlpm.f,1)&amp;" "&amp;_xlpm.u,ROUND(_xlpm.q,1)&amp;" "&amp;_xlpm.ai_test)),""),""))))</f>
        <v>0</v>
      </c>
      <c r="AW394" s="1047"/>
      <c r="AX394" s="1034">
        <f t="shared" si="171"/>
        <v>0</v>
      </c>
      <c r="AY394" s="1035" t="str">
        <f t="shared" si="172"/>
        <v/>
      </c>
      <c r="AZ394" s="1036">
        <f t="shared" si="177"/>
        <v>0</v>
      </c>
      <c r="BA394" s="1037" t="str">
        <f t="shared" si="173"/>
        <v/>
      </c>
      <c r="BB394" s="1038"/>
      <c r="BC394" s="1039">
        <f t="shared" si="180"/>
        <v>0</v>
      </c>
      <c r="BD394" s="1040" t="str">
        <f t="shared" si="174"/>
        <v/>
      </c>
      <c r="BE394" s="227" t="s">
        <v>22</v>
      </c>
      <c r="BF394" s="1019">
        <f t="shared" si="175"/>
        <v>0</v>
      </c>
      <c r="BG394" s="1020">
        <f t="shared" si="176"/>
        <v>0</v>
      </c>
      <c r="BH394"/>
      <c r="BI394" s="709"/>
      <c r="BJ394" s="709"/>
      <c r="BK394" s="709"/>
      <c r="BL394" s="709"/>
      <c r="BM394" s="709"/>
      <c r="BN394" s="709"/>
      <c r="BO394" s="709"/>
      <c r="BP394" s="709"/>
      <c r="BW394" s="959" t="str">
        <f t="shared" si="182"/>
        <v>►</v>
      </c>
      <c r="BX394" s="856"/>
      <c r="BY394" s="856"/>
      <c r="BZ394" s="856"/>
      <c r="CA394" s="856"/>
      <c r="CB394" s="856"/>
      <c r="DB394" s="3">
        <v>1</v>
      </c>
    </row>
    <row r="395" spans="12:106" ht="21" customHeight="1">
      <c r="L395" s="104" t="s">
        <v>16</v>
      </c>
      <c r="M395" s="157" t="str">
        <f>M342</f>
        <v>B BAUDRUCHE DE COPAIN | | Auteur &gt; Guy KRENZE - Eric GODDYN - Arnaud NICOLAS - CEPROC 2002</v>
      </c>
      <c r="N395" s="157">
        <f>N342</f>
        <v>9.0500000000000007</v>
      </c>
      <c r="O395" s="158" t="str">
        <f>O342</f>
        <v>Kg</v>
      </c>
      <c r="P395" s="159" t="str">
        <f>P342</f>
        <v>Recette mère ► le Boudin en 4 déclinaisons</v>
      </c>
      <c r="Q395" s="172"/>
      <c r="R395" s="172"/>
      <c r="S395" s="172"/>
      <c r="T395" s="172"/>
      <c r="U395" s="172"/>
      <c r="V395" s="172"/>
      <c r="W395" s="172"/>
      <c r="X395" s="172"/>
      <c r="Y395" s="172"/>
      <c r="Z395" s="555"/>
      <c r="AA395" s="5211"/>
      <c r="AB395" s="1178"/>
      <c r="AC395" s="1179"/>
      <c r="AD395" s="227" t="s">
        <v>22</v>
      </c>
      <c r="AE395" s="1027" t="str">
        <f t="shared" si="158"/>
        <v>►</v>
      </c>
      <c r="AF395" s="1028" t="str">
        <f t="shared" si="159"/>
        <v/>
      </c>
      <c r="AG395" s="1029" t="str">
        <f t="shared" si="160"/>
        <v/>
      </c>
      <c r="AH395" s="1028" t="str">
        <f t="shared" si="161"/>
        <v/>
      </c>
      <c r="AI395" s="1029" t="str">
        <f t="shared" si="162"/>
        <v/>
      </c>
      <c r="AJ395" s="1029">
        <f t="shared" si="163"/>
        <v>0</v>
      </c>
      <c r="AK395" s="1043" t="str" cm="1">
        <f t="array" ref="AK395">IF(AE395&lt;&gt;"A","",IFERROR((IFERROR(_xlfn.XLOOKUP(TRIM(SUBSTITUTE(U395,CHAR(160)," ")),$BI$15:$BI$62,$BL$15:$BL$62),IFERROR(_xlfn.XLOOKUP(TRIM(SUBSTITUTE(U395,CHAR(160)," ")),$BJ$15:$BJ$62,$BL$15:$BL$62),_xlfn.XLOOKUP(TRIM(SUBSTITUTE(U395,CHAR(160)," ")),$BK$15:$BK$62,$BL$15:$BL$62))))*T395*IF(ISBLANK(Q395),1,Q395)+IFERROR(_xlfn.XLOOKUP("RECHERCHEX",TRIM(L395:AC395),L395:AC395),0),0))</f>
        <v/>
      </c>
      <c r="AL395" s="1030">
        <f t="shared" si="164"/>
        <v>0</v>
      </c>
      <c r="AM395" s="5254" t="str">
        <f t="shared" si="181"/>
        <v/>
      </c>
      <c r="AN395" s="1031">
        <f t="shared" si="165"/>
        <v>0</v>
      </c>
      <c r="AO395" s="1031">
        <f t="shared" si="166"/>
        <v>0</v>
      </c>
      <c r="AP395" s="1044">
        <f t="shared" si="167"/>
        <v>0</v>
      </c>
      <c r="AQ395" s="5257" t="str">
        <f t="shared" si="168"/>
        <v/>
      </c>
      <c r="AR395" s="1056"/>
      <c r="AS395" s="1056"/>
      <c r="AT395" s="1045">
        <f t="shared" si="169"/>
        <v>0</v>
      </c>
      <c r="AU395" s="1046">
        <f t="shared" si="170"/>
        <v>0</v>
      </c>
      <c r="AV395" s="1059" cm="1">
        <f t="array" ref="AV395">IF(AJ395&lt;&gt;1,0,IF(OR(AT395="",N(AT395)&lt;=0.000000001),"",IF(OR(AN395="",N(AN395)&lt;=0.000000001),0,IF(ISNUMBER(AT395),IFERROR(_xlfn.LET(_xlpm.ai_test,TRIM(AI395),_xlpm.r,IFERROR(_xlfn.XLOOKUP(_xlpm.ai_test,$BI$15:$BI$62,ROW($BI$15:$BI$62),0,1),IFERROR(_xlfn.XLOOKUP(_xlpm.ai_test,$BJ$15:$BJ$62,ROW($BJ$15:$BJ$62),0,1),_xlfn.XLOOKUP(_xlpm.ai_test,$BK$15:$BK$62,ROW($BK$15:$BK$62),0,1))),_xlpm.p,_xlpm.r-MIN(ROW($BI$15:$BI$62))+1,_xlpm.f,INDEX($BL$15:$BL$62,_xlpm.p),_xlpm.u,INDEX($BM$15:$BM$62,_xlpm.p),_xlpm.s,INDEX($BO$15:$BO$62,_xlpm.p),_xlpm.q,N(AT395)/_xlpm.f,IF(_xlpm.q&gt;=_xlpm.s,ROUND(_xlpm.q,1)&amp;" "&amp;_xlpm.ai_test&amp;" = "&amp;ROUND(_xlpm.q*_xlpm.f,1)&amp;" "&amp;_xlpm.u,ROUND(_xlpm.q,1)&amp;" "&amp;_xlpm.ai_test)),""),""))))</f>
        <v>0</v>
      </c>
      <c r="AW395" s="1047"/>
      <c r="AX395" s="1045">
        <f t="shared" si="171"/>
        <v>0</v>
      </c>
      <c r="AY395" s="1046" t="str">
        <f t="shared" si="172"/>
        <v/>
      </c>
      <c r="AZ395" s="1048">
        <f t="shared" si="177"/>
        <v>0</v>
      </c>
      <c r="BA395" s="1049" t="str">
        <f t="shared" si="173"/>
        <v/>
      </c>
      <c r="BB395" s="1038"/>
      <c r="BC395" s="1050">
        <f t="shared" si="180"/>
        <v>0</v>
      </c>
      <c r="BD395" s="1040" t="str">
        <f t="shared" si="174"/>
        <v/>
      </c>
      <c r="BE395" s="227" t="s">
        <v>22</v>
      </c>
      <c r="BF395" s="1019">
        <f t="shared" si="175"/>
        <v>0</v>
      </c>
      <c r="BG395" s="1020">
        <f t="shared" si="176"/>
        <v>0</v>
      </c>
      <c r="BH395"/>
      <c r="BI395" s="709"/>
      <c r="BJ395" s="709"/>
      <c r="BK395" s="709"/>
      <c r="BL395" s="709"/>
      <c r="BM395" s="709"/>
      <c r="BN395" s="709"/>
      <c r="BO395" s="709"/>
      <c r="BP395" s="709"/>
      <c r="BW395" s="959" t="str">
        <f t="shared" si="182"/>
        <v>►</v>
      </c>
      <c r="BX395" s="856"/>
      <c r="BY395" s="856"/>
      <c r="BZ395" s="856"/>
      <c r="CA395" s="856"/>
      <c r="CB395" s="856"/>
      <c r="DB395" s="3">
        <v>1</v>
      </c>
    </row>
    <row r="396" spans="12:106" ht="21" customHeight="1">
      <c r="L396" s="104" t="s">
        <v>16</v>
      </c>
      <c r="M396" s="157" t="str">
        <f>M342</f>
        <v>B BAUDRUCHE DE COPAIN | | Auteur &gt; Guy KRENZE - Eric GODDYN - Arnaud NICOLAS - CEPROC 2002</v>
      </c>
      <c r="N396" s="157">
        <f>N342</f>
        <v>9.0500000000000007</v>
      </c>
      <c r="O396" s="158" t="str">
        <f>O342</f>
        <v>Kg</v>
      </c>
      <c r="P396" s="159" t="str">
        <f>P342</f>
        <v>Recette mère ► le Boudin en 4 déclinaisons</v>
      </c>
      <c r="Q396" s="172"/>
      <c r="R396" s="172"/>
      <c r="S396" s="172"/>
      <c r="T396" s="172"/>
      <c r="U396" s="172"/>
      <c r="V396" s="172"/>
      <c r="W396" s="172"/>
      <c r="X396" s="172"/>
      <c r="Y396" s="172"/>
      <c r="Z396" s="555"/>
      <c r="AA396" s="5211"/>
      <c r="AB396" s="1178"/>
      <c r="AC396" s="1179"/>
      <c r="AD396" s="227" t="s">
        <v>22</v>
      </c>
      <c r="AE396" s="1027" t="str">
        <f t="shared" si="158"/>
        <v>►</v>
      </c>
      <c r="AF396" s="1028" t="str">
        <f t="shared" si="159"/>
        <v/>
      </c>
      <c r="AG396" s="1029" t="str">
        <f t="shared" si="160"/>
        <v/>
      </c>
      <c r="AH396" s="1028" t="str">
        <f t="shared" si="161"/>
        <v/>
      </c>
      <c r="AI396" s="1029" t="str">
        <f t="shared" si="162"/>
        <v/>
      </c>
      <c r="AJ396" s="1029">
        <f t="shared" si="163"/>
        <v>0</v>
      </c>
      <c r="AK396" s="1043" t="str" cm="1">
        <f t="array" ref="AK396">IF(AE396&lt;&gt;"A","",IFERROR((IFERROR(_xlfn.XLOOKUP(TRIM(SUBSTITUTE(U396,CHAR(160)," ")),$BI$15:$BI$62,$BL$15:$BL$62),IFERROR(_xlfn.XLOOKUP(TRIM(SUBSTITUTE(U396,CHAR(160)," ")),$BJ$15:$BJ$62,$BL$15:$BL$62),_xlfn.XLOOKUP(TRIM(SUBSTITUTE(U396,CHAR(160)," ")),$BK$15:$BK$62,$BL$15:$BL$62))))*T396*IF(ISBLANK(Q396),1,Q396)+IFERROR(_xlfn.XLOOKUP("RECHERCHEX",TRIM(L396:AC396),L396:AC396),0),0))</f>
        <v/>
      </c>
      <c r="AL396" s="1030">
        <f t="shared" si="164"/>
        <v>0</v>
      </c>
      <c r="AM396" s="5254" t="str">
        <f t="shared" si="181"/>
        <v/>
      </c>
      <c r="AN396" s="1031">
        <f t="shared" si="165"/>
        <v>0</v>
      </c>
      <c r="AO396" s="1031">
        <f t="shared" si="166"/>
        <v>0</v>
      </c>
      <c r="AP396" s="1032">
        <f t="shared" si="167"/>
        <v>0</v>
      </c>
      <c r="AQ396" s="5255" t="str">
        <f t="shared" si="168"/>
        <v/>
      </c>
      <c r="AR396" s="1056"/>
      <c r="AS396" s="1056"/>
      <c r="AT396" s="1034">
        <f t="shared" si="169"/>
        <v>0</v>
      </c>
      <c r="AU396" s="1035">
        <f t="shared" si="170"/>
        <v>0</v>
      </c>
      <c r="AV396" s="1057" cm="1">
        <f t="array" ref="AV396">IF(AJ396&lt;&gt;1,0,IF(OR(AT396="",N(AT396)&lt;=0.000000001),"",IF(OR(AN396="",N(AN396)&lt;=0.000000001),0,IF(ISNUMBER(AT396),IFERROR(_xlfn.LET(_xlpm.ai_test,TRIM(AI396),_xlpm.r,IFERROR(_xlfn.XLOOKUP(_xlpm.ai_test,$BI$15:$BI$62,ROW($BI$15:$BI$62),0,1),IFERROR(_xlfn.XLOOKUP(_xlpm.ai_test,$BJ$15:$BJ$62,ROW($BJ$15:$BJ$62),0,1),_xlfn.XLOOKUP(_xlpm.ai_test,$BK$15:$BK$62,ROW($BK$15:$BK$62),0,1))),_xlpm.p,_xlpm.r-MIN(ROW($BI$15:$BI$62))+1,_xlpm.f,INDEX($BL$15:$BL$62,_xlpm.p),_xlpm.u,INDEX($BM$15:$BM$62,_xlpm.p),_xlpm.s,INDEX($BO$15:$BO$62,_xlpm.p),_xlpm.q,N(AT396)/_xlpm.f,IF(_xlpm.q&gt;=_xlpm.s,ROUND(_xlpm.q,1)&amp;" "&amp;_xlpm.ai_test&amp;" = "&amp;ROUND(_xlpm.q*_xlpm.f,1)&amp;" "&amp;_xlpm.u,ROUND(_xlpm.q,1)&amp;" "&amp;_xlpm.ai_test)),""),""))))</f>
        <v>0</v>
      </c>
      <c r="AW396" s="1047"/>
      <c r="AX396" s="1034">
        <f t="shared" si="171"/>
        <v>0</v>
      </c>
      <c r="AY396" s="1035" t="str">
        <f t="shared" si="172"/>
        <v/>
      </c>
      <c r="AZ396" s="1036">
        <f t="shared" si="177"/>
        <v>0</v>
      </c>
      <c r="BA396" s="1037" t="str">
        <f t="shared" si="173"/>
        <v/>
      </c>
      <c r="BB396" s="1038"/>
      <c r="BC396" s="1039">
        <f t="shared" si="180"/>
        <v>0</v>
      </c>
      <c r="BD396" s="1040" t="str">
        <f t="shared" si="174"/>
        <v/>
      </c>
      <c r="BE396" s="227" t="s">
        <v>22</v>
      </c>
      <c r="BF396" s="1019">
        <f t="shared" si="175"/>
        <v>0</v>
      </c>
      <c r="BG396" s="1020">
        <f t="shared" si="176"/>
        <v>0</v>
      </c>
      <c r="BH396"/>
      <c r="BI396" s="709"/>
      <c r="BJ396" s="709"/>
      <c r="BK396" s="709"/>
      <c r="BL396" s="709"/>
      <c r="BM396" s="709"/>
      <c r="BN396" s="709"/>
      <c r="BO396" s="709"/>
      <c r="BP396" s="709"/>
      <c r="BW396" s="959" t="str">
        <f t="shared" si="182"/>
        <v>►</v>
      </c>
      <c r="BX396" s="856"/>
      <c r="BY396" s="856"/>
      <c r="BZ396" s="856"/>
      <c r="CA396" s="856"/>
      <c r="CB396" s="856"/>
      <c r="DB396" s="3">
        <v>1</v>
      </c>
    </row>
    <row r="397" spans="12:106" ht="21" customHeight="1">
      <c r="L397" s="104" t="s">
        <v>16</v>
      </c>
      <c r="M397" s="157" t="str">
        <f>M342</f>
        <v>B BAUDRUCHE DE COPAIN | | Auteur &gt; Guy KRENZE - Eric GODDYN - Arnaud NICOLAS - CEPROC 2002</v>
      </c>
      <c r="N397" s="157">
        <f>N342</f>
        <v>9.0500000000000007</v>
      </c>
      <c r="O397" s="158" t="str">
        <f>O342</f>
        <v>Kg</v>
      </c>
      <c r="P397" s="159" t="str">
        <f>P342</f>
        <v>Recette mère ► le Boudin en 4 déclinaisons</v>
      </c>
      <c r="Q397" s="172"/>
      <c r="R397" s="172"/>
      <c r="S397" s="172"/>
      <c r="T397" s="172"/>
      <c r="U397" s="172"/>
      <c r="V397" s="172"/>
      <c r="W397" s="172"/>
      <c r="X397" s="172"/>
      <c r="Y397" s="172"/>
      <c r="Z397" s="555"/>
      <c r="AA397" s="5211"/>
      <c r="AB397" s="1178"/>
      <c r="AC397" s="1179"/>
      <c r="AD397" s="227" t="s">
        <v>22</v>
      </c>
      <c r="AE397" s="1027" t="str">
        <f t="shared" si="158"/>
        <v>►</v>
      </c>
      <c r="AF397" s="1028" t="str">
        <f t="shared" si="159"/>
        <v/>
      </c>
      <c r="AG397" s="1029" t="str">
        <f t="shared" si="160"/>
        <v/>
      </c>
      <c r="AH397" s="1028" t="str">
        <f t="shared" si="161"/>
        <v/>
      </c>
      <c r="AI397" s="1029" t="str">
        <f t="shared" si="162"/>
        <v/>
      </c>
      <c r="AJ397" s="1029">
        <f t="shared" si="163"/>
        <v>0</v>
      </c>
      <c r="AK397" s="1043" t="str" cm="1">
        <f t="array" ref="AK397">IF(AE397&lt;&gt;"A","",IFERROR((IFERROR(_xlfn.XLOOKUP(TRIM(SUBSTITUTE(U397,CHAR(160)," ")),$BI$15:$BI$62,$BL$15:$BL$62),IFERROR(_xlfn.XLOOKUP(TRIM(SUBSTITUTE(U397,CHAR(160)," ")),$BJ$15:$BJ$62,$BL$15:$BL$62),_xlfn.XLOOKUP(TRIM(SUBSTITUTE(U397,CHAR(160)," ")),$BK$15:$BK$62,$BL$15:$BL$62))))*T397*IF(ISBLANK(Q397),1,Q397)+IFERROR(_xlfn.XLOOKUP("RECHERCHEX",TRIM(L397:AC397),L397:AC397),0),0))</f>
        <v/>
      </c>
      <c r="AL397" s="1030">
        <f t="shared" si="164"/>
        <v>0</v>
      </c>
      <c r="AM397" s="5254" t="str">
        <f t="shared" si="181"/>
        <v/>
      </c>
      <c r="AN397" s="1031">
        <f t="shared" si="165"/>
        <v>0</v>
      </c>
      <c r="AO397" s="1031">
        <f t="shared" si="166"/>
        <v>0</v>
      </c>
      <c r="AP397" s="1044">
        <f t="shared" si="167"/>
        <v>0</v>
      </c>
      <c r="AQ397" s="5257" t="str">
        <f t="shared" si="168"/>
        <v/>
      </c>
      <c r="AR397" s="1056"/>
      <c r="AS397" s="1056"/>
      <c r="AT397" s="1045">
        <f t="shared" si="169"/>
        <v>0</v>
      </c>
      <c r="AU397" s="1046">
        <f t="shared" si="170"/>
        <v>0</v>
      </c>
      <c r="AV397" s="1059" cm="1">
        <f t="array" ref="AV397">IF(AJ397&lt;&gt;1,0,IF(OR(AT397="",N(AT397)&lt;=0.000000001),"",IF(OR(AN397="",N(AN397)&lt;=0.000000001),0,IF(ISNUMBER(AT397),IFERROR(_xlfn.LET(_xlpm.ai_test,TRIM(AI397),_xlpm.r,IFERROR(_xlfn.XLOOKUP(_xlpm.ai_test,$BI$15:$BI$62,ROW($BI$15:$BI$62),0,1),IFERROR(_xlfn.XLOOKUP(_xlpm.ai_test,$BJ$15:$BJ$62,ROW($BJ$15:$BJ$62),0,1),_xlfn.XLOOKUP(_xlpm.ai_test,$BK$15:$BK$62,ROW($BK$15:$BK$62),0,1))),_xlpm.p,_xlpm.r-MIN(ROW($BI$15:$BI$62))+1,_xlpm.f,INDEX($BL$15:$BL$62,_xlpm.p),_xlpm.u,INDEX($BM$15:$BM$62,_xlpm.p),_xlpm.s,INDEX($BO$15:$BO$62,_xlpm.p),_xlpm.q,N(AT397)/_xlpm.f,IF(_xlpm.q&gt;=_xlpm.s,ROUND(_xlpm.q,1)&amp;" "&amp;_xlpm.ai_test&amp;" = "&amp;ROUND(_xlpm.q*_xlpm.f,1)&amp;" "&amp;_xlpm.u,ROUND(_xlpm.q,1)&amp;" "&amp;_xlpm.ai_test)),""),""))))</f>
        <v>0</v>
      </c>
      <c r="AW397" s="1047"/>
      <c r="AX397" s="1045">
        <f t="shared" si="171"/>
        <v>0</v>
      </c>
      <c r="AY397" s="1046" t="str">
        <f t="shared" si="172"/>
        <v/>
      </c>
      <c r="AZ397" s="1048">
        <f t="shared" si="177"/>
        <v>0</v>
      </c>
      <c r="BA397" s="1049" t="str">
        <f t="shared" si="173"/>
        <v/>
      </c>
      <c r="BB397" s="1038"/>
      <c r="BC397" s="1050">
        <f t="shared" si="180"/>
        <v>0</v>
      </c>
      <c r="BD397" s="1040" t="str">
        <f t="shared" si="174"/>
        <v/>
      </c>
      <c r="BE397" s="227" t="s">
        <v>22</v>
      </c>
      <c r="BF397" s="1019">
        <f t="shared" si="175"/>
        <v>0</v>
      </c>
      <c r="BG397" s="1020">
        <f t="shared" si="176"/>
        <v>0</v>
      </c>
      <c r="BH397"/>
      <c r="BI397" s="709"/>
      <c r="BJ397" s="709"/>
      <c r="BK397" s="709"/>
      <c r="BL397" s="709"/>
      <c r="BM397" s="709"/>
      <c r="BN397" s="709"/>
      <c r="BO397" s="709"/>
      <c r="BP397" s="709"/>
      <c r="BW397" s="959" t="str">
        <f t="shared" si="182"/>
        <v>►</v>
      </c>
      <c r="BX397" s="856"/>
      <c r="BY397" s="856"/>
      <c r="BZ397" s="856"/>
      <c r="CA397" s="856"/>
      <c r="CB397" s="856"/>
      <c r="DB397" s="3">
        <v>1</v>
      </c>
    </row>
    <row r="398" spans="12:106" ht="21" customHeight="1">
      <c r="L398" s="104" t="s">
        <v>16</v>
      </c>
      <c r="M398" s="157" t="str">
        <f>M342</f>
        <v>B BAUDRUCHE DE COPAIN | | Auteur &gt; Guy KRENZE - Eric GODDYN - Arnaud NICOLAS - CEPROC 2002</v>
      </c>
      <c r="N398" s="157">
        <f>N342</f>
        <v>9.0500000000000007</v>
      </c>
      <c r="O398" s="158" t="str">
        <f>O342</f>
        <v>Kg</v>
      </c>
      <c r="P398" s="159" t="str">
        <f>P342</f>
        <v>Recette mère ► le Boudin en 4 déclinaisons</v>
      </c>
      <c r="Q398" s="172"/>
      <c r="R398" s="172"/>
      <c r="S398" s="172"/>
      <c r="T398" s="172"/>
      <c r="U398" s="172"/>
      <c r="V398" s="172"/>
      <c r="W398" s="172"/>
      <c r="X398" s="172"/>
      <c r="Y398" s="172"/>
      <c r="Z398" s="555"/>
      <c r="AA398" s="5211"/>
      <c r="AB398" s="1178"/>
      <c r="AC398" s="1179"/>
      <c r="AD398" s="227" t="s">
        <v>22</v>
      </c>
      <c r="AE398" s="1027" t="str">
        <f t="shared" si="158"/>
        <v>►</v>
      </c>
      <c r="AF398" s="1028" t="str">
        <f t="shared" si="159"/>
        <v/>
      </c>
      <c r="AG398" s="1029" t="str">
        <f t="shared" si="160"/>
        <v/>
      </c>
      <c r="AH398" s="1028" t="str">
        <f t="shared" si="161"/>
        <v/>
      </c>
      <c r="AI398" s="1029" t="str">
        <f t="shared" si="162"/>
        <v/>
      </c>
      <c r="AJ398" s="1029">
        <f t="shared" si="163"/>
        <v>0</v>
      </c>
      <c r="AK398" s="1043" t="str" cm="1">
        <f t="array" ref="AK398">IF(AE398&lt;&gt;"A","",IFERROR((IFERROR(_xlfn.XLOOKUP(TRIM(SUBSTITUTE(U398,CHAR(160)," ")),$BI$15:$BI$62,$BL$15:$BL$62),IFERROR(_xlfn.XLOOKUP(TRIM(SUBSTITUTE(U398,CHAR(160)," ")),$BJ$15:$BJ$62,$BL$15:$BL$62),_xlfn.XLOOKUP(TRIM(SUBSTITUTE(U398,CHAR(160)," ")),$BK$15:$BK$62,$BL$15:$BL$62))))*T398*IF(ISBLANK(Q398),1,Q398)+IFERROR(_xlfn.XLOOKUP("RECHERCHEX",TRIM(L398:AC398),L398:AC398),0),0))</f>
        <v/>
      </c>
      <c r="AL398" s="1030">
        <f t="shared" si="164"/>
        <v>0</v>
      </c>
      <c r="AM398" s="5254" t="str">
        <f t="shared" si="181"/>
        <v/>
      </c>
      <c r="AN398" s="1031">
        <f t="shared" si="165"/>
        <v>0</v>
      </c>
      <c r="AO398" s="1031">
        <f t="shared" si="166"/>
        <v>0</v>
      </c>
      <c r="AP398" s="1032">
        <f t="shared" si="167"/>
        <v>0</v>
      </c>
      <c r="AQ398" s="5255" t="str">
        <f t="shared" si="168"/>
        <v/>
      </c>
      <c r="AR398" s="1056"/>
      <c r="AS398" s="1056"/>
      <c r="AT398" s="1034">
        <f t="shared" si="169"/>
        <v>0</v>
      </c>
      <c r="AU398" s="1035">
        <f t="shared" si="170"/>
        <v>0</v>
      </c>
      <c r="AV398" s="1057" cm="1">
        <f t="array" ref="AV398">IF(AJ398&lt;&gt;1,0,IF(OR(AT398="",N(AT398)&lt;=0.000000001),"",IF(OR(AN398="",N(AN398)&lt;=0.000000001),0,IF(ISNUMBER(AT398),IFERROR(_xlfn.LET(_xlpm.ai_test,TRIM(AI398),_xlpm.r,IFERROR(_xlfn.XLOOKUP(_xlpm.ai_test,$BI$15:$BI$62,ROW($BI$15:$BI$62),0,1),IFERROR(_xlfn.XLOOKUP(_xlpm.ai_test,$BJ$15:$BJ$62,ROW($BJ$15:$BJ$62),0,1),_xlfn.XLOOKUP(_xlpm.ai_test,$BK$15:$BK$62,ROW($BK$15:$BK$62),0,1))),_xlpm.p,_xlpm.r-MIN(ROW($BI$15:$BI$62))+1,_xlpm.f,INDEX($BL$15:$BL$62,_xlpm.p),_xlpm.u,INDEX($BM$15:$BM$62,_xlpm.p),_xlpm.s,INDEX($BO$15:$BO$62,_xlpm.p),_xlpm.q,N(AT398)/_xlpm.f,IF(_xlpm.q&gt;=_xlpm.s,ROUND(_xlpm.q,1)&amp;" "&amp;_xlpm.ai_test&amp;" = "&amp;ROUND(_xlpm.q*_xlpm.f,1)&amp;" "&amp;_xlpm.u,ROUND(_xlpm.q,1)&amp;" "&amp;_xlpm.ai_test)),""),""))))</f>
        <v>0</v>
      </c>
      <c r="AW398" s="1047"/>
      <c r="AX398" s="1034">
        <f t="shared" si="171"/>
        <v>0</v>
      </c>
      <c r="AY398" s="1035" t="str">
        <f t="shared" si="172"/>
        <v/>
      </c>
      <c r="AZ398" s="1036">
        <f t="shared" si="177"/>
        <v>0</v>
      </c>
      <c r="BA398" s="1037" t="str">
        <f t="shared" si="173"/>
        <v/>
      </c>
      <c r="BB398" s="1038"/>
      <c r="BC398" s="1039">
        <f t="shared" si="180"/>
        <v>0</v>
      </c>
      <c r="BD398" s="1040" t="str">
        <f t="shared" si="174"/>
        <v/>
      </c>
      <c r="BE398" s="227" t="s">
        <v>22</v>
      </c>
      <c r="BF398" s="1019">
        <f t="shared" si="175"/>
        <v>0</v>
      </c>
      <c r="BG398" s="1020">
        <f t="shared" si="176"/>
        <v>0</v>
      </c>
      <c r="BH398"/>
      <c r="BI398" s="709"/>
      <c r="BJ398" s="709"/>
      <c r="BK398" s="709"/>
      <c r="BL398" s="709"/>
      <c r="BM398" s="709"/>
      <c r="BN398" s="709"/>
      <c r="BO398" s="709"/>
      <c r="BP398" s="709"/>
      <c r="BW398" s="959" t="str">
        <f t="shared" si="182"/>
        <v>►</v>
      </c>
      <c r="BX398" s="856"/>
      <c r="BY398" s="856"/>
      <c r="BZ398" s="856"/>
      <c r="CA398" s="856"/>
      <c r="CB398" s="856"/>
      <c r="DB398" s="3">
        <v>1</v>
      </c>
    </row>
    <row r="399" spans="12:106" ht="21" customHeight="1">
      <c r="L399" s="104" t="s">
        <v>16</v>
      </c>
      <c r="M399" s="157" t="str">
        <f>M342</f>
        <v>B BAUDRUCHE DE COPAIN | | Auteur &gt; Guy KRENZE - Eric GODDYN - Arnaud NICOLAS - CEPROC 2002</v>
      </c>
      <c r="N399" s="157">
        <f>N342</f>
        <v>9.0500000000000007</v>
      </c>
      <c r="O399" s="158" t="str">
        <f>O342</f>
        <v>Kg</v>
      </c>
      <c r="P399" s="159" t="str">
        <f>P342</f>
        <v>Recette mère ► le Boudin en 4 déclinaisons</v>
      </c>
      <c r="Q399" s="172"/>
      <c r="R399" s="172"/>
      <c r="S399" s="172"/>
      <c r="T399" s="172"/>
      <c r="U399" s="172"/>
      <c r="V399" s="172"/>
      <c r="W399" s="172"/>
      <c r="X399" s="172"/>
      <c r="Y399" s="172"/>
      <c r="Z399" s="555"/>
      <c r="AA399" s="5211"/>
      <c r="AB399" s="1178"/>
      <c r="AC399" s="1179"/>
      <c r="AD399" s="227" t="s">
        <v>22</v>
      </c>
      <c r="AE399" s="1027" t="str">
        <f t="shared" si="158"/>
        <v>►</v>
      </c>
      <c r="AF399" s="1028" t="str">
        <f t="shared" si="159"/>
        <v/>
      </c>
      <c r="AG399" s="1029" t="str">
        <f t="shared" si="160"/>
        <v/>
      </c>
      <c r="AH399" s="1028" t="str">
        <f t="shared" si="161"/>
        <v/>
      </c>
      <c r="AI399" s="1029" t="str">
        <f t="shared" si="162"/>
        <v/>
      </c>
      <c r="AJ399" s="1029">
        <f t="shared" si="163"/>
        <v>0</v>
      </c>
      <c r="AK399" s="1043" t="str" cm="1">
        <f t="array" ref="AK399">IF(AE399&lt;&gt;"A","",IFERROR((IFERROR(_xlfn.XLOOKUP(TRIM(SUBSTITUTE(U399,CHAR(160)," ")),$BI$15:$BI$62,$BL$15:$BL$62),IFERROR(_xlfn.XLOOKUP(TRIM(SUBSTITUTE(U399,CHAR(160)," ")),$BJ$15:$BJ$62,$BL$15:$BL$62),_xlfn.XLOOKUP(TRIM(SUBSTITUTE(U399,CHAR(160)," ")),$BK$15:$BK$62,$BL$15:$BL$62))))*T399*IF(ISBLANK(Q399),1,Q399)+IFERROR(_xlfn.XLOOKUP("RECHERCHEX",TRIM(L399:AC399),L399:AC399),0),0))</f>
        <v/>
      </c>
      <c r="AL399" s="1030">
        <f t="shared" si="164"/>
        <v>0</v>
      </c>
      <c r="AM399" s="5254" t="str">
        <f t="shared" si="181"/>
        <v/>
      </c>
      <c r="AN399" s="1031">
        <f t="shared" si="165"/>
        <v>0</v>
      </c>
      <c r="AO399" s="1031">
        <f t="shared" si="166"/>
        <v>0</v>
      </c>
      <c r="AP399" s="1044">
        <f t="shared" si="167"/>
        <v>0</v>
      </c>
      <c r="AQ399" s="5257" t="str">
        <f t="shared" si="168"/>
        <v/>
      </c>
      <c r="AR399" s="1056"/>
      <c r="AS399" s="1056"/>
      <c r="AT399" s="1045">
        <f t="shared" si="169"/>
        <v>0</v>
      </c>
      <c r="AU399" s="1046">
        <f t="shared" si="170"/>
        <v>0</v>
      </c>
      <c r="AV399" s="1059" cm="1">
        <f t="array" ref="AV399">IF(AJ399&lt;&gt;1,0,IF(OR(AT399="",N(AT399)&lt;=0.000000001),"",IF(OR(AN399="",N(AN399)&lt;=0.000000001),0,IF(ISNUMBER(AT399),IFERROR(_xlfn.LET(_xlpm.ai_test,TRIM(AI399),_xlpm.r,IFERROR(_xlfn.XLOOKUP(_xlpm.ai_test,$BI$15:$BI$62,ROW($BI$15:$BI$62),0,1),IFERROR(_xlfn.XLOOKUP(_xlpm.ai_test,$BJ$15:$BJ$62,ROW($BJ$15:$BJ$62),0,1),_xlfn.XLOOKUP(_xlpm.ai_test,$BK$15:$BK$62,ROW($BK$15:$BK$62),0,1))),_xlpm.p,_xlpm.r-MIN(ROW($BI$15:$BI$62))+1,_xlpm.f,INDEX($BL$15:$BL$62,_xlpm.p),_xlpm.u,INDEX($BM$15:$BM$62,_xlpm.p),_xlpm.s,INDEX($BO$15:$BO$62,_xlpm.p),_xlpm.q,N(AT399)/_xlpm.f,IF(_xlpm.q&gt;=_xlpm.s,ROUND(_xlpm.q,1)&amp;" "&amp;_xlpm.ai_test&amp;" = "&amp;ROUND(_xlpm.q*_xlpm.f,1)&amp;" "&amp;_xlpm.u,ROUND(_xlpm.q,1)&amp;" "&amp;_xlpm.ai_test)),""),""))))</f>
        <v>0</v>
      </c>
      <c r="AW399" s="1047"/>
      <c r="AX399" s="1045">
        <f t="shared" si="171"/>
        <v>0</v>
      </c>
      <c r="AY399" s="1046" t="str">
        <f t="shared" si="172"/>
        <v/>
      </c>
      <c r="AZ399" s="1048">
        <f t="shared" si="177"/>
        <v>0</v>
      </c>
      <c r="BA399" s="1049" t="str">
        <f t="shared" si="173"/>
        <v/>
      </c>
      <c r="BB399" s="1038"/>
      <c r="BC399" s="1050">
        <f t="shared" si="180"/>
        <v>0</v>
      </c>
      <c r="BD399" s="1040" t="str">
        <f t="shared" si="174"/>
        <v/>
      </c>
      <c r="BE399" s="227" t="s">
        <v>22</v>
      </c>
      <c r="BF399" s="1019">
        <f t="shared" si="175"/>
        <v>0</v>
      </c>
      <c r="BG399" s="1020">
        <f t="shared" si="176"/>
        <v>0</v>
      </c>
      <c r="BH399"/>
      <c r="BI399" s="709"/>
      <c r="BJ399" s="709"/>
      <c r="BK399" s="709"/>
      <c r="BL399" s="709"/>
      <c r="BM399" s="709"/>
      <c r="BN399" s="709"/>
      <c r="BO399" s="709"/>
      <c r="BP399" s="709"/>
      <c r="BW399" s="959" t="str">
        <f t="shared" si="182"/>
        <v>►</v>
      </c>
      <c r="BX399" s="856"/>
      <c r="BY399" s="856"/>
      <c r="BZ399" s="856"/>
      <c r="CA399" s="856"/>
      <c r="CB399" s="856"/>
      <c r="DB399" s="3">
        <v>1</v>
      </c>
    </row>
    <row r="400" spans="12:106" ht="21" customHeight="1">
      <c r="L400" s="104" t="s">
        <v>16</v>
      </c>
      <c r="M400" s="157" t="str">
        <f>M342</f>
        <v>B BAUDRUCHE DE COPAIN | | Auteur &gt; Guy KRENZE - Eric GODDYN - Arnaud NICOLAS - CEPROC 2002</v>
      </c>
      <c r="N400" s="157">
        <f>N342</f>
        <v>9.0500000000000007</v>
      </c>
      <c r="O400" s="158" t="str">
        <f>O342</f>
        <v>Kg</v>
      </c>
      <c r="P400" s="159" t="str">
        <f>P342</f>
        <v>Recette mère ► le Boudin en 4 déclinaisons</v>
      </c>
      <c r="Q400" s="172"/>
      <c r="R400" s="172"/>
      <c r="S400" s="172"/>
      <c r="T400" s="172"/>
      <c r="U400" s="172"/>
      <c r="V400" s="172"/>
      <c r="W400" s="172"/>
      <c r="X400" s="172"/>
      <c r="Y400" s="172"/>
      <c r="Z400" s="555"/>
      <c r="AA400" s="5211"/>
      <c r="AB400" s="1178"/>
      <c r="AC400" s="1179"/>
      <c r="AD400" s="227" t="s">
        <v>22</v>
      </c>
      <c r="AE400" s="1027" t="str">
        <f t="shared" si="158"/>
        <v>►</v>
      </c>
      <c r="AF400" s="1028" t="str">
        <f t="shared" si="159"/>
        <v/>
      </c>
      <c r="AG400" s="1029" t="str">
        <f t="shared" si="160"/>
        <v/>
      </c>
      <c r="AH400" s="1028" t="str">
        <f t="shared" si="161"/>
        <v/>
      </c>
      <c r="AI400" s="1029" t="str">
        <f t="shared" si="162"/>
        <v/>
      </c>
      <c r="AJ400" s="1029">
        <f t="shared" si="163"/>
        <v>0</v>
      </c>
      <c r="AK400" s="1043" t="str" cm="1">
        <f t="array" ref="AK400">IF(AE400&lt;&gt;"A","",IFERROR((IFERROR(_xlfn.XLOOKUP(TRIM(SUBSTITUTE(U400,CHAR(160)," ")),$BI$15:$BI$62,$BL$15:$BL$62),IFERROR(_xlfn.XLOOKUP(TRIM(SUBSTITUTE(U400,CHAR(160)," ")),$BJ$15:$BJ$62,$BL$15:$BL$62),_xlfn.XLOOKUP(TRIM(SUBSTITUTE(U400,CHAR(160)," ")),$BK$15:$BK$62,$BL$15:$BL$62))))*T400*IF(ISBLANK(Q400),1,Q400)+IFERROR(_xlfn.XLOOKUP("RECHERCHEX",TRIM(L400:AC400),L400:AC400),0),0))</f>
        <v/>
      </c>
      <c r="AL400" s="1030">
        <f t="shared" si="164"/>
        <v>0</v>
      </c>
      <c r="AM400" s="5254" t="str">
        <f t="shared" si="181"/>
        <v/>
      </c>
      <c r="AN400" s="1031">
        <f t="shared" si="165"/>
        <v>0</v>
      </c>
      <c r="AO400" s="1031">
        <f t="shared" si="166"/>
        <v>0</v>
      </c>
      <c r="AP400" s="1032">
        <f t="shared" si="167"/>
        <v>0</v>
      </c>
      <c r="AQ400" s="5255" t="str">
        <f t="shared" si="168"/>
        <v/>
      </c>
      <c r="AR400" s="1056"/>
      <c r="AS400" s="1056"/>
      <c r="AT400" s="1034">
        <f t="shared" si="169"/>
        <v>0</v>
      </c>
      <c r="AU400" s="1035">
        <f t="shared" si="170"/>
        <v>0</v>
      </c>
      <c r="AV400" s="1057" cm="1">
        <f t="array" ref="AV400">IF(AJ400&lt;&gt;1,0,IF(OR(AT400="",N(AT400)&lt;=0.000000001),"",IF(OR(AN400="",N(AN400)&lt;=0.000000001),0,IF(ISNUMBER(AT400),IFERROR(_xlfn.LET(_xlpm.ai_test,TRIM(AI400),_xlpm.r,IFERROR(_xlfn.XLOOKUP(_xlpm.ai_test,$BI$15:$BI$62,ROW($BI$15:$BI$62),0,1),IFERROR(_xlfn.XLOOKUP(_xlpm.ai_test,$BJ$15:$BJ$62,ROW($BJ$15:$BJ$62),0,1),_xlfn.XLOOKUP(_xlpm.ai_test,$BK$15:$BK$62,ROW($BK$15:$BK$62),0,1))),_xlpm.p,_xlpm.r-MIN(ROW($BI$15:$BI$62))+1,_xlpm.f,INDEX($BL$15:$BL$62,_xlpm.p),_xlpm.u,INDEX($BM$15:$BM$62,_xlpm.p),_xlpm.s,INDEX($BO$15:$BO$62,_xlpm.p),_xlpm.q,N(AT400)/_xlpm.f,IF(_xlpm.q&gt;=_xlpm.s,ROUND(_xlpm.q,1)&amp;" "&amp;_xlpm.ai_test&amp;" = "&amp;ROUND(_xlpm.q*_xlpm.f,1)&amp;" "&amp;_xlpm.u,ROUND(_xlpm.q,1)&amp;" "&amp;_xlpm.ai_test)),""),""))))</f>
        <v>0</v>
      </c>
      <c r="AW400" s="1047"/>
      <c r="AX400" s="1034">
        <f t="shared" si="171"/>
        <v>0</v>
      </c>
      <c r="AY400" s="1035" t="str">
        <f t="shared" si="172"/>
        <v/>
      </c>
      <c r="AZ400" s="1036">
        <f t="shared" si="177"/>
        <v>0</v>
      </c>
      <c r="BA400" s="1037" t="str">
        <f t="shared" si="173"/>
        <v/>
      </c>
      <c r="BB400" s="1038"/>
      <c r="BC400" s="1039">
        <f t="shared" si="180"/>
        <v>0</v>
      </c>
      <c r="BD400" s="1040" t="str">
        <f t="shared" si="174"/>
        <v/>
      </c>
      <c r="BE400" s="227" t="s">
        <v>22</v>
      </c>
      <c r="BF400" s="1019">
        <f t="shared" si="175"/>
        <v>0</v>
      </c>
      <c r="BG400" s="1020">
        <f t="shared" si="176"/>
        <v>0</v>
      </c>
      <c r="BH400"/>
      <c r="BI400" s="709"/>
      <c r="BJ400" s="709"/>
      <c r="BK400" s="709"/>
      <c r="BL400" s="709"/>
      <c r="BM400" s="709"/>
      <c r="BN400" s="709"/>
      <c r="BO400" s="709"/>
      <c r="BP400" s="709"/>
      <c r="BW400" s="959" t="str">
        <f t="shared" si="182"/>
        <v>►</v>
      </c>
      <c r="BX400" s="856"/>
      <c r="BY400" s="856"/>
      <c r="BZ400" s="856"/>
      <c r="CA400" s="856"/>
      <c r="CB400" s="856"/>
      <c r="DB400" s="3">
        <v>1</v>
      </c>
    </row>
    <row r="401" spans="12:106" ht="21" customHeight="1">
      <c r="L401" s="104" t="str">
        <f>IF(OR(Q401&lt;&gt;"",R401&lt;&gt; "",S401&lt;&gt;"",T401&lt;&gt;""),"A", "►")</f>
        <v>►</v>
      </c>
      <c r="M401" s="157" t="str">
        <f>M342</f>
        <v>B BAUDRUCHE DE COPAIN | | Auteur &gt; Guy KRENZE - Eric GODDYN - Arnaud NICOLAS - CEPROC 2002</v>
      </c>
      <c r="N401" s="157">
        <f>N342</f>
        <v>9.0500000000000007</v>
      </c>
      <c r="O401" s="158" t="str">
        <f>O342</f>
        <v>Kg</v>
      </c>
      <c r="P401" s="159" t="str">
        <f>P342</f>
        <v>Recette mère ► le Boudin en 4 déclinaisons</v>
      </c>
      <c r="Q401" s="172"/>
      <c r="R401" s="172"/>
      <c r="S401" s="172"/>
      <c r="T401" s="172"/>
      <c r="U401" s="172"/>
      <c r="V401" s="172"/>
      <c r="W401" s="172"/>
      <c r="X401" s="172"/>
      <c r="Y401" s="172"/>
      <c r="Z401" s="555"/>
      <c r="AA401" s="5211"/>
      <c r="AB401" s="1178"/>
      <c r="AC401" s="1179"/>
      <c r="AD401" s="227" t="s">
        <v>22</v>
      </c>
      <c r="AE401" s="1027" t="str">
        <f t="shared" si="158"/>
        <v>►</v>
      </c>
      <c r="AF401" s="1028" t="str">
        <f t="shared" si="159"/>
        <v/>
      </c>
      <c r="AG401" s="1029" t="str">
        <f t="shared" si="160"/>
        <v/>
      </c>
      <c r="AH401" s="1028" t="str">
        <f t="shared" si="161"/>
        <v/>
      </c>
      <c r="AI401" s="1029" t="str">
        <f t="shared" si="162"/>
        <v/>
      </c>
      <c r="AJ401" s="1029">
        <f t="shared" si="163"/>
        <v>0</v>
      </c>
      <c r="AK401" s="1043" t="str" cm="1">
        <f t="array" ref="AK401">IF(AE401&lt;&gt;"A","",IFERROR((IFERROR(_xlfn.XLOOKUP(TRIM(SUBSTITUTE(U401,CHAR(160)," ")),$BI$15:$BI$62,$BL$15:$BL$62),IFERROR(_xlfn.XLOOKUP(TRIM(SUBSTITUTE(U401,CHAR(160)," ")),$BJ$15:$BJ$62,$BL$15:$BL$62),_xlfn.XLOOKUP(TRIM(SUBSTITUTE(U401,CHAR(160)," ")),$BK$15:$BK$62,$BL$15:$BL$62))))*T401*IF(ISBLANK(Q401),1,Q401)+IFERROR(_xlfn.XLOOKUP("RECHERCHEX",TRIM(L401:AC401),L401:AC401),0),0))</f>
        <v/>
      </c>
      <c r="AL401" s="1030">
        <f t="shared" si="164"/>
        <v>0</v>
      </c>
      <c r="AM401" s="5254" t="str">
        <f t="shared" si="181"/>
        <v/>
      </c>
      <c r="AN401" s="1031">
        <f t="shared" si="165"/>
        <v>0</v>
      </c>
      <c r="AO401" s="1031">
        <f t="shared" si="166"/>
        <v>0</v>
      </c>
      <c r="AP401" s="1044">
        <f t="shared" si="167"/>
        <v>0</v>
      </c>
      <c r="AQ401" s="5257" t="str">
        <f t="shared" si="168"/>
        <v/>
      </c>
      <c r="AR401" s="1056"/>
      <c r="AS401" s="1056"/>
      <c r="AT401" s="1045">
        <f t="shared" si="169"/>
        <v>0</v>
      </c>
      <c r="AU401" s="1046">
        <f t="shared" si="170"/>
        <v>0</v>
      </c>
      <c r="AV401" s="1059" cm="1">
        <f t="array" ref="AV401">IF(AJ401&lt;&gt;1,0,IF(OR(AT401="",N(AT401)&lt;=0.000000001),"",IF(OR(AN401="",N(AN401)&lt;=0.000000001),0,IF(ISNUMBER(AT401),IFERROR(_xlfn.LET(_xlpm.ai_test,TRIM(AI401),_xlpm.r,IFERROR(_xlfn.XLOOKUP(_xlpm.ai_test,$BI$15:$BI$62,ROW($BI$15:$BI$62),0,1),IFERROR(_xlfn.XLOOKUP(_xlpm.ai_test,$BJ$15:$BJ$62,ROW($BJ$15:$BJ$62),0,1),_xlfn.XLOOKUP(_xlpm.ai_test,$BK$15:$BK$62,ROW($BK$15:$BK$62),0,1))),_xlpm.p,_xlpm.r-MIN(ROW($BI$15:$BI$62))+1,_xlpm.f,INDEX($BL$15:$BL$62,_xlpm.p),_xlpm.u,INDEX($BM$15:$BM$62,_xlpm.p),_xlpm.s,INDEX($BO$15:$BO$62,_xlpm.p),_xlpm.q,N(AT401)/_xlpm.f,IF(_xlpm.q&gt;=_xlpm.s,ROUND(_xlpm.q,1)&amp;" "&amp;_xlpm.ai_test&amp;" = "&amp;ROUND(_xlpm.q*_xlpm.f,1)&amp;" "&amp;_xlpm.u,ROUND(_xlpm.q,1)&amp;" "&amp;_xlpm.ai_test)),""),""))))</f>
        <v>0</v>
      </c>
      <c r="AW401" s="1047"/>
      <c r="AX401" s="1045">
        <f t="shared" si="171"/>
        <v>0</v>
      </c>
      <c r="AY401" s="1046" t="str">
        <f t="shared" si="172"/>
        <v/>
      </c>
      <c r="AZ401" s="1048">
        <f t="shared" si="177"/>
        <v>0</v>
      </c>
      <c r="BA401" s="1049" t="str">
        <f t="shared" si="173"/>
        <v/>
      </c>
      <c r="BB401" s="1038"/>
      <c r="BC401" s="1050">
        <f t="shared" si="180"/>
        <v>0</v>
      </c>
      <c r="BD401" s="1040" t="str">
        <f t="shared" si="174"/>
        <v/>
      </c>
      <c r="BE401" s="227" t="s">
        <v>22</v>
      </c>
      <c r="BF401" s="1019">
        <f t="shared" si="175"/>
        <v>0</v>
      </c>
      <c r="BG401" s="1020">
        <f t="shared" si="176"/>
        <v>0</v>
      </c>
      <c r="BH401"/>
      <c r="BI401" s="709"/>
      <c r="BJ401" s="709"/>
      <c r="BK401" s="709"/>
      <c r="BL401" s="709"/>
      <c r="BM401" s="709"/>
      <c r="BN401" s="709"/>
      <c r="BO401" s="709"/>
      <c r="BP401" s="709"/>
      <c r="BW401" s="959" t="str">
        <f t="shared" si="182"/>
        <v>►</v>
      </c>
      <c r="BX401" s="856"/>
      <c r="BY401" s="856"/>
      <c r="BZ401" s="856"/>
      <c r="CA401" s="856"/>
      <c r="CB401" s="856"/>
      <c r="DB401" s="3">
        <v>1</v>
      </c>
    </row>
    <row r="402" spans="12:106" ht="21" customHeight="1">
      <c r="L402" s="104" t="str">
        <f>IF(OR(Q402&lt;&gt;"",R402&lt;&gt; "",S402&lt;&gt;"",T402&lt;&gt;""),"A", "►")</f>
        <v>►</v>
      </c>
      <c r="M402" s="157" t="str">
        <f>M342</f>
        <v>B BAUDRUCHE DE COPAIN | | Auteur &gt; Guy KRENZE - Eric GODDYN - Arnaud NICOLAS - CEPROC 2002</v>
      </c>
      <c r="N402" s="157">
        <f>N342</f>
        <v>9.0500000000000007</v>
      </c>
      <c r="O402" s="158" t="str">
        <f>O342</f>
        <v>Kg</v>
      </c>
      <c r="P402" s="159" t="str">
        <f>P342</f>
        <v>Recette mère ► le Boudin en 4 déclinaisons</v>
      </c>
      <c r="Q402" s="172"/>
      <c r="R402" s="172"/>
      <c r="S402" s="172"/>
      <c r="T402" s="172"/>
      <c r="U402" s="172"/>
      <c r="V402" s="172"/>
      <c r="W402" s="172"/>
      <c r="X402" s="172"/>
      <c r="Y402" s="172"/>
      <c r="Z402" s="555"/>
      <c r="AA402" s="5211"/>
      <c r="AB402" s="1178"/>
      <c r="AC402" s="1179"/>
      <c r="AD402" s="227" t="s">
        <v>22</v>
      </c>
      <c r="AE402" s="1027" t="str">
        <f t="shared" si="158"/>
        <v>►</v>
      </c>
      <c r="AF402" s="1028" t="str">
        <f t="shared" si="159"/>
        <v/>
      </c>
      <c r="AG402" s="1029" t="str">
        <f t="shared" si="160"/>
        <v/>
      </c>
      <c r="AH402" s="1028" t="str">
        <f t="shared" si="161"/>
        <v/>
      </c>
      <c r="AI402" s="1029" t="str">
        <f t="shared" si="162"/>
        <v/>
      </c>
      <c r="AJ402" s="1029">
        <f t="shared" si="163"/>
        <v>0</v>
      </c>
      <c r="AK402" s="1043" t="str" cm="1">
        <f t="array" ref="AK402">IF(AE402&lt;&gt;"A","",IFERROR((IFERROR(_xlfn.XLOOKUP(TRIM(SUBSTITUTE(U402,CHAR(160)," ")),$BI$15:$BI$62,$BL$15:$BL$62),IFERROR(_xlfn.XLOOKUP(TRIM(SUBSTITUTE(U402,CHAR(160)," ")),$BJ$15:$BJ$62,$BL$15:$BL$62),_xlfn.XLOOKUP(TRIM(SUBSTITUTE(U402,CHAR(160)," ")),$BK$15:$BK$62,$BL$15:$BL$62))))*T402*IF(ISBLANK(Q402),1,Q402)+IFERROR(_xlfn.XLOOKUP("RECHERCHEX",TRIM(L402:AC402),L402:AC402),0),0))</f>
        <v/>
      </c>
      <c r="AL402" s="1030">
        <f t="shared" si="164"/>
        <v>0</v>
      </c>
      <c r="AM402" s="5254" t="str">
        <f t="shared" si="181"/>
        <v/>
      </c>
      <c r="AN402" s="1031">
        <f t="shared" si="165"/>
        <v>0</v>
      </c>
      <c r="AO402" s="1031">
        <f t="shared" si="166"/>
        <v>0</v>
      </c>
      <c r="AP402" s="1032">
        <f t="shared" si="167"/>
        <v>0</v>
      </c>
      <c r="AQ402" s="5255" t="str">
        <f t="shared" si="168"/>
        <v/>
      </c>
      <c r="AR402" s="1056"/>
      <c r="AS402" s="1056"/>
      <c r="AT402" s="1034">
        <f t="shared" si="169"/>
        <v>0</v>
      </c>
      <c r="AU402" s="1035">
        <f t="shared" si="170"/>
        <v>0</v>
      </c>
      <c r="AV402" s="1057" cm="1">
        <f t="array" ref="AV402">IF(AJ402&lt;&gt;1,0,IF(OR(AT402="",N(AT402)&lt;=0.000000001),"",IF(OR(AN402="",N(AN402)&lt;=0.000000001),0,IF(ISNUMBER(AT402),IFERROR(_xlfn.LET(_xlpm.ai_test,TRIM(AI402),_xlpm.r,IFERROR(_xlfn.XLOOKUP(_xlpm.ai_test,$BI$15:$BI$62,ROW($BI$15:$BI$62),0,1),IFERROR(_xlfn.XLOOKUP(_xlpm.ai_test,$BJ$15:$BJ$62,ROW($BJ$15:$BJ$62),0,1),_xlfn.XLOOKUP(_xlpm.ai_test,$BK$15:$BK$62,ROW($BK$15:$BK$62),0,1))),_xlpm.p,_xlpm.r-MIN(ROW($BI$15:$BI$62))+1,_xlpm.f,INDEX($BL$15:$BL$62,_xlpm.p),_xlpm.u,INDEX($BM$15:$BM$62,_xlpm.p),_xlpm.s,INDEX($BO$15:$BO$62,_xlpm.p),_xlpm.q,N(AT402)/_xlpm.f,IF(_xlpm.q&gt;=_xlpm.s,ROUND(_xlpm.q,1)&amp;" "&amp;_xlpm.ai_test&amp;" = "&amp;ROUND(_xlpm.q*_xlpm.f,1)&amp;" "&amp;_xlpm.u,ROUND(_xlpm.q,1)&amp;" "&amp;_xlpm.ai_test)),""),""))))</f>
        <v>0</v>
      </c>
      <c r="AW402" s="1047"/>
      <c r="AX402" s="1034">
        <f t="shared" si="171"/>
        <v>0</v>
      </c>
      <c r="AY402" s="1035" t="str">
        <f t="shared" si="172"/>
        <v/>
      </c>
      <c r="AZ402" s="1036">
        <f t="shared" si="177"/>
        <v>0</v>
      </c>
      <c r="BA402" s="1037" t="str">
        <f t="shared" si="173"/>
        <v/>
      </c>
      <c r="BB402" s="1038"/>
      <c r="BC402" s="1039">
        <f t="shared" si="180"/>
        <v>0</v>
      </c>
      <c r="BD402" s="1040" t="str">
        <f t="shared" si="174"/>
        <v/>
      </c>
      <c r="BE402" s="227" t="s">
        <v>22</v>
      </c>
      <c r="BF402" s="1019">
        <f t="shared" si="175"/>
        <v>0</v>
      </c>
      <c r="BG402" s="1020">
        <f t="shared" si="176"/>
        <v>0</v>
      </c>
      <c r="BH402"/>
      <c r="BI402" s="709"/>
      <c r="BJ402" s="709"/>
      <c r="BK402" s="709"/>
      <c r="BL402" s="709"/>
      <c r="BM402" s="709"/>
      <c r="BN402" s="709"/>
      <c r="BO402" s="709"/>
      <c r="BP402" s="709"/>
      <c r="BW402" s="959" t="str">
        <f t="shared" si="182"/>
        <v>►</v>
      </c>
      <c r="BX402" s="856"/>
      <c r="BY402" s="856"/>
      <c r="BZ402" s="856"/>
      <c r="CA402" s="856"/>
      <c r="CB402" s="856"/>
      <c r="DB402" s="3">
        <v>1</v>
      </c>
    </row>
    <row r="403" spans="12:106" ht="21" customHeight="1">
      <c r="L403" s="104" t="str">
        <f>IF(OR(Q403&lt;&gt;"",R403&lt;&gt; "",S403&lt;&gt;"",T403&lt;&gt;""),"A", "►")</f>
        <v>►</v>
      </c>
      <c r="M403" s="157" t="str">
        <f>M342</f>
        <v>B BAUDRUCHE DE COPAIN | | Auteur &gt; Guy KRENZE - Eric GODDYN - Arnaud NICOLAS - CEPROC 2002</v>
      </c>
      <c r="N403" s="157">
        <f>N342</f>
        <v>9.0500000000000007</v>
      </c>
      <c r="O403" s="158" t="str">
        <f>O342</f>
        <v>Kg</v>
      </c>
      <c r="P403" s="159" t="str">
        <f>P342</f>
        <v>Recette mère ► le Boudin en 4 déclinaisons</v>
      </c>
      <c r="Q403" s="172"/>
      <c r="R403" s="172"/>
      <c r="S403" s="172"/>
      <c r="T403" s="172"/>
      <c r="U403" s="172"/>
      <c r="V403" s="172"/>
      <c r="W403" s="172"/>
      <c r="X403" s="172"/>
      <c r="Y403" s="172"/>
      <c r="Z403" s="555"/>
      <c r="AA403" s="5211"/>
      <c r="AB403" s="1178"/>
      <c r="AC403" s="1179"/>
      <c r="AD403" s="227" t="s">
        <v>22</v>
      </c>
      <c r="AE403" s="1027" t="str">
        <f t="shared" si="158"/>
        <v>►</v>
      </c>
      <c r="AF403" s="1028" t="str">
        <f t="shared" si="159"/>
        <v/>
      </c>
      <c r="AG403" s="1029" t="str">
        <f t="shared" si="160"/>
        <v/>
      </c>
      <c r="AH403" s="1028" t="str">
        <f t="shared" si="161"/>
        <v/>
      </c>
      <c r="AI403" s="1029" t="str">
        <f t="shared" si="162"/>
        <v/>
      </c>
      <c r="AJ403" s="1029">
        <f t="shared" si="163"/>
        <v>0</v>
      </c>
      <c r="AK403" s="1043" t="str" cm="1">
        <f t="array" ref="AK403">IF(AE403&lt;&gt;"A","",IFERROR((IFERROR(_xlfn.XLOOKUP(TRIM(SUBSTITUTE(U403,CHAR(160)," ")),$BI$15:$BI$62,$BL$15:$BL$62),IFERROR(_xlfn.XLOOKUP(TRIM(SUBSTITUTE(U403,CHAR(160)," ")),$BJ$15:$BJ$62,$BL$15:$BL$62),_xlfn.XLOOKUP(TRIM(SUBSTITUTE(U403,CHAR(160)," ")),$BK$15:$BK$62,$BL$15:$BL$62))))*T403*IF(ISBLANK(Q403),1,Q403)+IFERROR(_xlfn.XLOOKUP("RECHERCHEX",TRIM(L403:AC403),L403:AC403),0),0))</f>
        <v/>
      </c>
      <c r="AL403" s="1030">
        <f t="shared" si="164"/>
        <v>0</v>
      </c>
      <c r="AM403" s="5254" t="str">
        <f t="shared" si="181"/>
        <v/>
      </c>
      <c r="AN403" s="1031">
        <f t="shared" si="165"/>
        <v>0</v>
      </c>
      <c r="AO403" s="1031">
        <f t="shared" si="166"/>
        <v>0</v>
      </c>
      <c r="AP403" s="1044">
        <f t="shared" si="167"/>
        <v>0</v>
      </c>
      <c r="AQ403" s="5257" t="str">
        <f t="shared" si="168"/>
        <v/>
      </c>
      <c r="AR403" s="1056"/>
      <c r="AS403" s="1056"/>
      <c r="AT403" s="1045">
        <f t="shared" si="169"/>
        <v>0</v>
      </c>
      <c r="AU403" s="1046">
        <f t="shared" si="170"/>
        <v>0</v>
      </c>
      <c r="AV403" s="1059" cm="1">
        <f t="array" ref="AV403">IF(AJ403&lt;&gt;1,0,IF(OR(AT403="",N(AT403)&lt;=0.000000001),"",IF(OR(AN403="",N(AN403)&lt;=0.000000001),0,IF(ISNUMBER(AT403),IFERROR(_xlfn.LET(_xlpm.ai_test,TRIM(AI403),_xlpm.r,IFERROR(_xlfn.XLOOKUP(_xlpm.ai_test,$BI$15:$BI$62,ROW($BI$15:$BI$62),0,1),IFERROR(_xlfn.XLOOKUP(_xlpm.ai_test,$BJ$15:$BJ$62,ROW($BJ$15:$BJ$62),0,1),_xlfn.XLOOKUP(_xlpm.ai_test,$BK$15:$BK$62,ROW($BK$15:$BK$62),0,1))),_xlpm.p,_xlpm.r-MIN(ROW($BI$15:$BI$62))+1,_xlpm.f,INDEX($BL$15:$BL$62,_xlpm.p),_xlpm.u,INDEX($BM$15:$BM$62,_xlpm.p),_xlpm.s,INDEX($BO$15:$BO$62,_xlpm.p),_xlpm.q,N(AT403)/_xlpm.f,IF(_xlpm.q&gt;=_xlpm.s,ROUND(_xlpm.q,1)&amp;" "&amp;_xlpm.ai_test&amp;" = "&amp;ROUND(_xlpm.q*_xlpm.f,1)&amp;" "&amp;_xlpm.u,ROUND(_xlpm.q,1)&amp;" "&amp;_xlpm.ai_test)),""),""))))</f>
        <v>0</v>
      </c>
      <c r="AW403" s="1047"/>
      <c r="AX403" s="1045">
        <f t="shared" si="171"/>
        <v>0</v>
      </c>
      <c r="AY403" s="1046" t="str">
        <f t="shared" si="172"/>
        <v/>
      </c>
      <c r="AZ403" s="1048">
        <f t="shared" si="177"/>
        <v>0</v>
      </c>
      <c r="BA403" s="1049" t="str">
        <f t="shared" si="173"/>
        <v/>
      </c>
      <c r="BB403" s="1038"/>
      <c r="BC403" s="1050">
        <f t="shared" si="180"/>
        <v>0</v>
      </c>
      <c r="BD403" s="1040" t="str">
        <f t="shared" si="174"/>
        <v/>
      </c>
      <c r="BE403" s="227" t="s">
        <v>22</v>
      </c>
      <c r="BF403" s="1019">
        <f t="shared" si="175"/>
        <v>0</v>
      </c>
      <c r="BG403" s="1020">
        <f t="shared" si="176"/>
        <v>0</v>
      </c>
      <c r="BH403"/>
      <c r="BI403" s="709"/>
      <c r="BJ403" s="709"/>
      <c r="BK403" s="709"/>
      <c r="BL403" s="709"/>
      <c r="BM403" s="709"/>
      <c r="BN403" s="709"/>
      <c r="BO403" s="709"/>
      <c r="BP403" s="709"/>
      <c r="BW403" s="959" t="str">
        <f t="shared" si="182"/>
        <v>►</v>
      </c>
      <c r="BX403" s="856"/>
      <c r="BY403" s="856"/>
      <c r="BZ403" s="856"/>
      <c r="CA403" s="856"/>
      <c r="CB403" s="856"/>
      <c r="DB403" s="3">
        <v>1</v>
      </c>
    </row>
    <row r="404" spans="12:106" ht="21" customHeight="1">
      <c r="L404" s="104" t="str">
        <f>IF(OR(Q404&lt;&gt;"",R404&lt;&gt; "",S404&lt;&gt;"",T404&lt;&gt;""),"A", "►")</f>
        <v>►</v>
      </c>
      <c r="M404" s="157" t="str">
        <f>M342</f>
        <v>B BAUDRUCHE DE COPAIN | | Auteur &gt; Guy KRENZE - Eric GODDYN - Arnaud NICOLAS - CEPROC 2002</v>
      </c>
      <c r="N404" s="157">
        <f>N342</f>
        <v>9.0500000000000007</v>
      </c>
      <c r="O404" s="158" t="str">
        <f>O342</f>
        <v>Kg</v>
      </c>
      <c r="P404" s="159" t="str">
        <f>P342</f>
        <v>Recette mère ► le Boudin en 4 déclinaisons</v>
      </c>
      <c r="Q404" s="172"/>
      <c r="R404" s="172"/>
      <c r="S404" s="172"/>
      <c r="T404" s="172"/>
      <c r="U404" s="172"/>
      <c r="V404" s="172"/>
      <c r="W404" s="172"/>
      <c r="X404" s="172"/>
      <c r="Y404" s="172"/>
      <c r="Z404" s="555"/>
      <c r="AA404" s="5211"/>
      <c r="AB404" s="1178"/>
      <c r="AC404" s="1179"/>
      <c r="AD404" s="227" t="s">
        <v>22</v>
      </c>
      <c r="AE404" s="1027" t="str">
        <f t="shared" si="158"/>
        <v>►</v>
      </c>
      <c r="AF404" s="1028" t="str">
        <f t="shared" si="159"/>
        <v/>
      </c>
      <c r="AG404" s="1029" t="str">
        <f t="shared" si="160"/>
        <v/>
      </c>
      <c r="AH404" s="1028" t="str">
        <f t="shared" si="161"/>
        <v/>
      </c>
      <c r="AI404" s="1029" t="str">
        <f t="shared" si="162"/>
        <v/>
      </c>
      <c r="AJ404" s="1029">
        <f t="shared" si="163"/>
        <v>0</v>
      </c>
      <c r="AK404" s="1043" t="str" cm="1">
        <f t="array" ref="AK404">IF(AE404&lt;&gt;"A","",IFERROR((IFERROR(_xlfn.XLOOKUP(TRIM(SUBSTITUTE(U404,CHAR(160)," ")),$BI$15:$BI$62,$BL$15:$BL$62),IFERROR(_xlfn.XLOOKUP(TRIM(SUBSTITUTE(U404,CHAR(160)," ")),$BJ$15:$BJ$62,$BL$15:$BL$62),_xlfn.XLOOKUP(TRIM(SUBSTITUTE(U404,CHAR(160)," ")),$BK$15:$BK$62,$BL$15:$BL$62))))*T404*IF(ISBLANK(Q404),1,Q404)+IFERROR(_xlfn.XLOOKUP("RECHERCHEX",TRIM(L404:AC404),L404:AC404),0),0))</f>
        <v/>
      </c>
      <c r="AL404" s="1030">
        <f t="shared" si="164"/>
        <v>0</v>
      </c>
      <c r="AM404" s="5254" t="str">
        <f t="shared" si="181"/>
        <v/>
      </c>
      <c r="AN404" s="1031">
        <f t="shared" si="165"/>
        <v>0</v>
      </c>
      <c r="AO404" s="1031">
        <f t="shared" si="166"/>
        <v>0</v>
      </c>
      <c r="AP404" s="1032">
        <f t="shared" si="167"/>
        <v>0</v>
      </c>
      <c r="AQ404" s="5255" t="str">
        <f t="shared" si="168"/>
        <v/>
      </c>
      <c r="AR404" s="1056"/>
      <c r="AS404" s="1056"/>
      <c r="AT404" s="1034">
        <f t="shared" si="169"/>
        <v>0</v>
      </c>
      <c r="AU404" s="1035">
        <f t="shared" si="170"/>
        <v>0</v>
      </c>
      <c r="AV404" s="1057" cm="1">
        <f t="array" ref="AV404">IF(AJ404&lt;&gt;1,0,IF(OR(AT404="",N(AT404)&lt;=0.000000001),"",IF(OR(AN404="",N(AN404)&lt;=0.000000001),0,IF(ISNUMBER(AT404),IFERROR(_xlfn.LET(_xlpm.ai_test,TRIM(AI404),_xlpm.r,IFERROR(_xlfn.XLOOKUP(_xlpm.ai_test,$BI$15:$BI$62,ROW($BI$15:$BI$62),0,1),IFERROR(_xlfn.XLOOKUP(_xlpm.ai_test,$BJ$15:$BJ$62,ROW($BJ$15:$BJ$62),0,1),_xlfn.XLOOKUP(_xlpm.ai_test,$BK$15:$BK$62,ROW($BK$15:$BK$62),0,1))),_xlpm.p,_xlpm.r-MIN(ROW($BI$15:$BI$62))+1,_xlpm.f,INDEX($BL$15:$BL$62,_xlpm.p),_xlpm.u,INDEX($BM$15:$BM$62,_xlpm.p),_xlpm.s,INDEX($BO$15:$BO$62,_xlpm.p),_xlpm.q,N(AT404)/_xlpm.f,IF(_xlpm.q&gt;=_xlpm.s,ROUND(_xlpm.q,1)&amp;" "&amp;_xlpm.ai_test&amp;" = "&amp;ROUND(_xlpm.q*_xlpm.f,1)&amp;" "&amp;_xlpm.u,ROUND(_xlpm.q,1)&amp;" "&amp;_xlpm.ai_test)),""),""))))</f>
        <v>0</v>
      </c>
      <c r="AW404" s="1047"/>
      <c r="AX404" s="1034">
        <f t="shared" si="171"/>
        <v>0</v>
      </c>
      <c r="AY404" s="1035" t="str">
        <f t="shared" si="172"/>
        <v/>
      </c>
      <c r="AZ404" s="1036">
        <f t="shared" si="177"/>
        <v>0</v>
      </c>
      <c r="BA404" s="1037" t="str">
        <f t="shared" si="173"/>
        <v/>
      </c>
      <c r="BB404" s="1038"/>
      <c r="BC404" s="1039">
        <f t="shared" si="180"/>
        <v>0</v>
      </c>
      <c r="BD404" s="1040" t="str">
        <f t="shared" si="174"/>
        <v/>
      </c>
      <c r="BE404" s="227" t="s">
        <v>22</v>
      </c>
      <c r="BF404" s="1019">
        <f t="shared" si="175"/>
        <v>0</v>
      </c>
      <c r="BG404" s="1020">
        <f t="shared" si="176"/>
        <v>0</v>
      </c>
      <c r="BH404"/>
      <c r="BI404" s="709"/>
      <c r="BJ404" s="709"/>
      <c r="BK404" s="709"/>
      <c r="BL404" s="709"/>
      <c r="BM404" s="709"/>
      <c r="BN404" s="709"/>
      <c r="BO404" s="709"/>
      <c r="BP404" s="709"/>
      <c r="BW404" s="959" t="str">
        <f t="shared" si="182"/>
        <v>►</v>
      </c>
      <c r="BX404" s="856"/>
      <c r="BY404" s="856"/>
      <c r="BZ404" s="856"/>
      <c r="CA404" s="856"/>
      <c r="CB404" s="856"/>
      <c r="DB404" s="3">
        <v>1</v>
      </c>
    </row>
    <row r="405" spans="12:106" ht="21" customHeight="1">
      <c r="L405" s="196" t="s">
        <v>16</v>
      </c>
      <c r="M405" s="157" t="str">
        <f>M342</f>
        <v>B BAUDRUCHE DE COPAIN | | Auteur &gt; Guy KRENZE - Eric GODDYN - Arnaud NICOLAS - CEPROC 2002</v>
      </c>
      <c r="N405" s="157">
        <f>N342</f>
        <v>9.0500000000000007</v>
      </c>
      <c r="O405" s="158" t="str">
        <f>O342</f>
        <v>Kg</v>
      </c>
      <c r="P405" s="159" t="str">
        <f>P342</f>
        <v>Recette mère ► le Boudin en 4 déclinaisons</v>
      </c>
      <c r="Q405" s="172"/>
      <c r="R405" s="172"/>
      <c r="S405" s="172"/>
      <c r="T405" s="172"/>
      <c r="U405" s="172"/>
      <c r="V405" s="172"/>
      <c r="W405" s="172"/>
      <c r="X405" s="172"/>
      <c r="Y405" s="172"/>
      <c r="Z405" s="555"/>
      <c r="AA405" s="5211"/>
      <c r="AB405" s="1178"/>
      <c r="AC405" s="1179"/>
      <c r="AD405" s="227" t="s">
        <v>22</v>
      </c>
      <c r="AE405" s="1027" t="str">
        <f t="shared" si="158"/>
        <v>►</v>
      </c>
      <c r="AF405" s="1028" t="str">
        <f t="shared" si="159"/>
        <v/>
      </c>
      <c r="AG405" s="1029" t="str">
        <f t="shared" si="160"/>
        <v/>
      </c>
      <c r="AH405" s="1028" t="str">
        <f t="shared" si="161"/>
        <v/>
      </c>
      <c r="AI405" s="1029" t="str">
        <f t="shared" si="162"/>
        <v/>
      </c>
      <c r="AJ405" s="1029">
        <f t="shared" si="163"/>
        <v>0</v>
      </c>
      <c r="AK405" s="1043" t="str" cm="1">
        <f t="array" ref="AK405">IF(AE405&lt;&gt;"A","",IFERROR((IFERROR(_xlfn.XLOOKUP(TRIM(SUBSTITUTE(U405,CHAR(160)," ")),$BI$15:$BI$62,$BL$15:$BL$62),IFERROR(_xlfn.XLOOKUP(TRIM(SUBSTITUTE(U405,CHAR(160)," ")),$BJ$15:$BJ$62,$BL$15:$BL$62),_xlfn.XLOOKUP(TRIM(SUBSTITUTE(U405,CHAR(160)," ")),$BK$15:$BK$62,$BL$15:$BL$62))))*T405*IF(ISBLANK(Q405),1,Q405)+IFERROR(_xlfn.XLOOKUP("RECHERCHEX",TRIM(L405:AC405),L405:AC405),0),0))</f>
        <v/>
      </c>
      <c r="AL405" s="1030">
        <f t="shared" si="164"/>
        <v>0</v>
      </c>
      <c r="AM405" s="5254" t="str">
        <f t="shared" si="181"/>
        <v/>
      </c>
      <c r="AN405" s="1031">
        <f t="shared" si="165"/>
        <v>0</v>
      </c>
      <c r="AO405" s="1031">
        <f t="shared" si="166"/>
        <v>0</v>
      </c>
      <c r="AP405" s="1044">
        <f t="shared" si="167"/>
        <v>0</v>
      </c>
      <c r="AQ405" s="5257" t="str">
        <f t="shared" si="168"/>
        <v/>
      </c>
      <c r="AR405" s="1056"/>
      <c r="AS405" s="1056"/>
      <c r="AT405" s="1045">
        <f t="shared" si="169"/>
        <v>0</v>
      </c>
      <c r="AU405" s="1046">
        <f t="shared" si="170"/>
        <v>0</v>
      </c>
      <c r="AV405" s="1059" cm="1">
        <f t="array" ref="AV405">IF(AJ405&lt;&gt;1,0,IF(OR(AT405="",N(AT405)&lt;=0.000000001),"",IF(OR(AN405="",N(AN405)&lt;=0.000000001),0,IF(ISNUMBER(AT405),IFERROR(_xlfn.LET(_xlpm.ai_test,TRIM(AI405),_xlpm.r,IFERROR(_xlfn.XLOOKUP(_xlpm.ai_test,$BI$15:$BI$62,ROW($BI$15:$BI$62),0,1),IFERROR(_xlfn.XLOOKUP(_xlpm.ai_test,$BJ$15:$BJ$62,ROW($BJ$15:$BJ$62),0,1),_xlfn.XLOOKUP(_xlpm.ai_test,$BK$15:$BK$62,ROW($BK$15:$BK$62),0,1))),_xlpm.p,_xlpm.r-MIN(ROW($BI$15:$BI$62))+1,_xlpm.f,INDEX($BL$15:$BL$62,_xlpm.p),_xlpm.u,INDEX($BM$15:$BM$62,_xlpm.p),_xlpm.s,INDEX($BO$15:$BO$62,_xlpm.p),_xlpm.q,N(AT405)/_xlpm.f,IF(_xlpm.q&gt;=_xlpm.s,ROUND(_xlpm.q,1)&amp;" "&amp;_xlpm.ai_test&amp;" = "&amp;ROUND(_xlpm.q*_xlpm.f,1)&amp;" "&amp;_xlpm.u,ROUND(_xlpm.q,1)&amp;" "&amp;_xlpm.ai_test)),""),""))))</f>
        <v>0</v>
      </c>
      <c r="AW405" s="1047"/>
      <c r="AX405" s="1045">
        <f t="shared" si="171"/>
        <v>0</v>
      </c>
      <c r="AY405" s="1046" t="str">
        <f t="shared" si="172"/>
        <v/>
      </c>
      <c r="AZ405" s="1048">
        <f t="shared" si="177"/>
        <v>0</v>
      </c>
      <c r="BA405" s="1049" t="str">
        <f t="shared" si="173"/>
        <v/>
      </c>
      <c r="BB405" s="1038"/>
      <c r="BC405" s="1050">
        <f t="shared" si="180"/>
        <v>0</v>
      </c>
      <c r="BD405" s="1040" t="str">
        <f t="shared" si="174"/>
        <v/>
      </c>
      <c r="BE405" s="227" t="s">
        <v>22</v>
      </c>
      <c r="BF405" s="1019">
        <f t="shared" si="175"/>
        <v>0</v>
      </c>
      <c r="BG405" s="1020">
        <f t="shared" si="176"/>
        <v>0</v>
      </c>
      <c r="BH405"/>
      <c r="BI405" s="709"/>
      <c r="BJ405" s="709"/>
      <c r="BK405" s="709"/>
      <c r="BL405" s="709"/>
      <c r="BM405" s="709"/>
      <c r="BN405" s="709"/>
      <c r="BO405" s="709"/>
      <c r="BP405" s="709"/>
      <c r="BW405" s="959" t="str">
        <f t="shared" si="182"/>
        <v>►</v>
      </c>
      <c r="BX405" s="856"/>
      <c r="BY405" s="856"/>
      <c r="BZ405" s="856"/>
      <c r="CA405" s="856"/>
      <c r="CB405" s="856"/>
      <c r="DB405" s="3">
        <v>1</v>
      </c>
    </row>
    <row r="406" spans="12:106" ht="21" customHeight="1">
      <c r="L406" s="196" t="s">
        <v>11</v>
      </c>
      <c r="M406" s="157" t="str">
        <f>M342</f>
        <v>B BAUDRUCHE DE COPAIN | | Auteur &gt; Guy KRENZE - Eric GODDYN - Arnaud NICOLAS - CEPROC 2002</v>
      </c>
      <c r="N406" s="157">
        <f>N342</f>
        <v>9.0500000000000007</v>
      </c>
      <c r="O406" s="158" t="str">
        <f>O342</f>
        <v>Kg</v>
      </c>
      <c r="P406" s="159" t="str">
        <f>P342</f>
        <v>Recette mère ► le Boudin en 4 déclinaisons</v>
      </c>
      <c r="Q406" s="172"/>
      <c r="R406" s="172"/>
      <c r="S406" s="172"/>
      <c r="T406" s="172"/>
      <c r="U406" s="172"/>
      <c r="V406" s="172"/>
      <c r="W406" s="172"/>
      <c r="X406" s="172"/>
      <c r="Y406" s="172"/>
      <c r="Z406" s="555"/>
      <c r="AA406" s="5211"/>
      <c r="AB406" s="1178"/>
      <c r="AC406" s="1179"/>
      <c r="AD406" s="227" t="s">
        <v>22</v>
      </c>
      <c r="AE406" s="1027" t="str">
        <f t="shared" ref="AE406:AE469" si="183">IF(OR(AN406&gt;0,TRIM(AF406)="▼ recette suivante"),"A","►")</f>
        <v>►</v>
      </c>
      <c r="AF406" s="1028" t="str">
        <f t="shared" ref="AF406:AF469" si="184">IF(TRIM(Q406)="Adresse PC","▼ recette suivante",IF(AN406&gt;0,M406,""))</f>
        <v/>
      </c>
      <c r="AG406" s="1029" t="str">
        <f t="shared" ref="AG406:AG469" si="185">IF(AE406="A",N406,"")</f>
        <v/>
      </c>
      <c r="AH406" s="1028" t="str">
        <f t="shared" ref="AH406:AH469" si="186">IF(AE406="A",O406,"")</f>
        <v/>
      </c>
      <c r="AI406" s="1029" t="str">
        <f t="shared" ref="AI406:AI469" si="187">IF(AE406="A",U406,"")</f>
        <v/>
      </c>
      <c r="AJ406" s="1029">
        <f t="shared" ref="AJ406:AJ469" si="188">IF(AND(L406="A",COUNTIF($BI$15:$BK$62,TRIM(U406))&gt;0),1,0)</f>
        <v>0</v>
      </c>
      <c r="AK406" s="1043" t="str" cm="1">
        <f t="array" ref="AK406">IF(AE406&lt;&gt;"A","",IFERROR((IFERROR(_xlfn.XLOOKUP(TRIM(SUBSTITUTE(U406,CHAR(160)," ")),$BI$15:$BI$62,$BL$15:$BL$62),IFERROR(_xlfn.XLOOKUP(TRIM(SUBSTITUTE(U406,CHAR(160)," ")),$BJ$15:$BJ$62,$BL$15:$BL$62),_xlfn.XLOOKUP(TRIM(SUBSTITUTE(U406,CHAR(160)," ")),$BK$15:$BK$62,$BL$15:$BL$62))))*T406*IF(ISBLANK(Q406),1,Q406)+IFERROR(_xlfn.XLOOKUP("RECHERCHEX",TRIM(L406:AC406),L406:AC406),0),0))</f>
        <v/>
      </c>
      <c r="AL406" s="1030">
        <f t="shared" ref="AL406:AL469" si="189">IF(AJ406,IF(AK406&gt;0,"Kg",0),0)</f>
        <v>0</v>
      </c>
      <c r="AM406" s="5254" t="str">
        <f t="shared" si="181"/>
        <v/>
      </c>
      <c r="AN406" s="1031">
        <f t="shared" ref="AN406:AN469" si="190">IF(AJ406,N406,0)</f>
        <v>0</v>
      </c>
      <c r="AO406" s="1031">
        <f t="shared" ref="AO406:AO469" si="191">IF(AJ406,O406,0)</f>
        <v>0</v>
      </c>
      <c r="AP406" s="1032">
        <f t="shared" ref="AP406:AP469" si="192">IF(AN406&gt;0,AR$9,0)</f>
        <v>0</v>
      </c>
      <c r="AQ406" s="5255" t="str">
        <f t="shared" ref="AQ406:AQ469" si="193">IF(TRIM(AF406)="▼ recette suivante", AF406, IF(AP406&gt;0, IF(AS$9&lt;&gt;"", AS$9&amp;"-ou.or.o ❾ + or - &gt;", ""), ""))</f>
        <v/>
      </c>
      <c r="AR406" s="1056"/>
      <c r="AS406" s="1056"/>
      <c r="AT406" s="1034">
        <f t="shared" ref="AT406:AT469" si="194">IF(TRIM(AL406)="Kg",N(AK406)*N(BG406),0)</f>
        <v>0</v>
      </c>
      <c r="AU406" s="1035">
        <f t="shared" ref="AU406:AU469" si="195">IF(AJ406,IF(OR(AT406="",N(AT406)&lt;=0.000000001),"",_xlfn.XLOOKUP(AI406,$BI$15:$BI$62,$BM$15:$BM$62,_xlfn.XLOOKUP(AI406,$BJ$15:$BJ$62,$BM$15:$BM$62,_xlfn.XLOOKUP(AI406,$BK$15:$BK$62,$BM$15:$BM$62,"")))),0)</f>
        <v>0</v>
      </c>
      <c r="AV406" s="1057" cm="1">
        <f t="array" ref="AV406">IF(AJ406&lt;&gt;1,0,IF(OR(AT406="",N(AT406)&lt;=0.000000001),"",IF(OR(AN406="",N(AN406)&lt;=0.000000001),0,IF(ISNUMBER(AT406),IFERROR(_xlfn.LET(_xlpm.ai_test,TRIM(AI406),_xlpm.r,IFERROR(_xlfn.XLOOKUP(_xlpm.ai_test,$BI$15:$BI$62,ROW($BI$15:$BI$62),0,1),IFERROR(_xlfn.XLOOKUP(_xlpm.ai_test,$BJ$15:$BJ$62,ROW($BJ$15:$BJ$62),0,1),_xlfn.XLOOKUP(_xlpm.ai_test,$BK$15:$BK$62,ROW($BK$15:$BK$62),0,1))),_xlpm.p,_xlpm.r-MIN(ROW($BI$15:$BI$62))+1,_xlpm.f,INDEX($BL$15:$BL$62,_xlpm.p),_xlpm.u,INDEX($BM$15:$BM$62,_xlpm.p),_xlpm.s,INDEX($BO$15:$BO$62,_xlpm.p),_xlpm.q,N(AT406)/_xlpm.f,IF(_xlpm.q&gt;=_xlpm.s,ROUND(_xlpm.q,1)&amp;" "&amp;_xlpm.ai_test&amp;" = "&amp;ROUND(_xlpm.q*_xlpm.f,1)&amp;" "&amp;_xlpm.u,ROUND(_xlpm.q,1)&amp;" "&amp;_xlpm.ai_test)),""),""))))</f>
        <v>0</v>
      </c>
      <c r="AW406" s="1047"/>
      <c r="AX406" s="1034">
        <f t="shared" ref="AX406:AX469" si="196">IF(TRIM(AF406)="▼ recette suivante","▼next recipe ",IF(AT406="","",IF(ISBLANK(AW406),AT406,ROUND(AT406*(1-MIN(1,MAX(0,IF(AW406&gt;1,AW406/100,AW406)))),3))))</f>
        <v>0</v>
      </c>
      <c r="AY406" s="1035" t="str">
        <f t="shared" ref="AY406:AY469" si="197">IF(AJ406,AU406,"")</f>
        <v/>
      </c>
      <c r="AZ406" s="1036">
        <f t="shared" si="177"/>
        <v>0</v>
      </c>
      <c r="BA406" s="1037" t="str">
        <f t="shared" ref="BA406:BA469" si="198">IF(AJ406,IF(N(AZ406)&gt;0.000000001,R406,""),"")</f>
        <v/>
      </c>
      <c r="BB406" s="1038"/>
      <c r="BC406" s="1039">
        <f t="shared" si="180"/>
        <v>0</v>
      </c>
      <c r="BD406" s="1040" t="str">
        <f t="shared" ref="BD406:BD469" si="199">IF(IFERROR(SEARCH("Adresse PC",TRIM(Q406)),0)&gt;0,"▼ receta siguiente",IF(AX406&gt;0,W406,""))</f>
        <v/>
      </c>
      <c r="BE406" s="227" t="s">
        <v>22</v>
      </c>
      <c r="BF406" s="1019">
        <f t="shared" ref="BF406:BF469" si="200">IFERROR(_xlfn.LET(_xlpm.EPS,0.000000001,_xlpm.b,Q406/AN406,IF(ISNUMBER(AR406),_xlpm.b*AR406,IF(OR(ISBLANK(AR406),AR406=""),_xlpm.b*AP406,IF(AND(BG406=0,ISNUMBER(Q406)),_xlpm.b/AP406,0)))),0)</f>
        <v>0</v>
      </c>
      <c r="BG406" s="1020">
        <f t="shared" ref="BG406:BG469" si="201">IF(AK406&gt;0,IFERROR(IF(OR(ISBLANK(AR406),AR406=""),AP406,AR406)/AN406,0),0)</f>
        <v>0</v>
      </c>
      <c r="BH406"/>
      <c r="BI406" s="709"/>
      <c r="BJ406" s="709"/>
      <c r="BK406" s="709"/>
      <c r="BL406" s="709"/>
      <c r="BM406" s="709"/>
      <c r="BN406" s="709"/>
      <c r="BO406" s="709"/>
      <c r="BP406" s="709"/>
      <c r="BW406" s="959" t="str">
        <f t="shared" si="182"/>
        <v>►</v>
      </c>
      <c r="BX406" s="856"/>
      <c r="BY406" s="856"/>
      <c r="BZ406" s="856"/>
      <c r="CA406" s="856"/>
      <c r="CB406" s="856"/>
      <c r="DB406" s="3">
        <v>1</v>
      </c>
    </row>
    <row r="407" spans="12:106" ht="21" customHeight="1">
      <c r="L407" s="196" t="s">
        <v>11</v>
      </c>
      <c r="M407" s="157" t="str">
        <f>M342</f>
        <v>B BAUDRUCHE DE COPAIN | | Auteur &gt; Guy KRENZE - Eric GODDYN - Arnaud NICOLAS - CEPROC 2002</v>
      </c>
      <c r="N407" s="157">
        <f>N342</f>
        <v>9.0500000000000007</v>
      </c>
      <c r="O407" s="158" t="str">
        <f>O342</f>
        <v>Kg</v>
      </c>
      <c r="P407" s="159" t="str">
        <f>P342</f>
        <v>Recette mère ► le Boudin en 4 déclinaisons</v>
      </c>
      <c r="Q407" s="167"/>
      <c r="R407" s="172"/>
      <c r="S407" s="172"/>
      <c r="T407" s="172"/>
      <c r="U407" s="172"/>
      <c r="V407" s="172"/>
      <c r="W407" s="172"/>
      <c r="X407" s="172"/>
      <c r="Y407" s="172"/>
      <c r="Z407" s="1485" t="s">
        <v>197</v>
      </c>
      <c r="AA407" s="5211"/>
      <c r="AB407" s="1178"/>
      <c r="AC407" s="1179"/>
      <c r="AD407" s="227" t="s">
        <v>22</v>
      </c>
      <c r="AE407" s="1027" t="str">
        <f t="shared" si="183"/>
        <v>►</v>
      </c>
      <c r="AF407" s="1028" t="str">
        <f t="shared" si="184"/>
        <v/>
      </c>
      <c r="AG407" s="1029" t="str">
        <f t="shared" si="185"/>
        <v/>
      </c>
      <c r="AH407" s="1028" t="str">
        <f t="shared" si="186"/>
        <v/>
      </c>
      <c r="AI407" s="1029" t="str">
        <f t="shared" si="187"/>
        <v/>
      </c>
      <c r="AJ407" s="1029">
        <f t="shared" si="188"/>
        <v>0</v>
      </c>
      <c r="AK407" s="1043" t="str" cm="1">
        <f t="array" ref="AK407">IF(AE407&lt;&gt;"A","",IFERROR((IFERROR(_xlfn.XLOOKUP(TRIM(SUBSTITUTE(U407,CHAR(160)," ")),$BI$15:$BI$62,$BL$15:$BL$62),IFERROR(_xlfn.XLOOKUP(TRIM(SUBSTITUTE(U407,CHAR(160)," ")),$BJ$15:$BJ$62,$BL$15:$BL$62),_xlfn.XLOOKUP(TRIM(SUBSTITUTE(U407,CHAR(160)," ")),$BK$15:$BK$62,$BL$15:$BL$62))))*T407*IF(ISBLANK(Q407),1,Q407)+IFERROR(_xlfn.XLOOKUP("RECHERCHEX",TRIM(L407:AC407),L407:AC407),0),0))</f>
        <v/>
      </c>
      <c r="AL407" s="1030">
        <f t="shared" si="189"/>
        <v>0</v>
      </c>
      <c r="AM407" s="5254" t="str">
        <f t="shared" si="181"/>
        <v/>
      </c>
      <c r="AN407" s="1031">
        <f t="shared" si="190"/>
        <v>0</v>
      </c>
      <c r="AO407" s="1031">
        <f t="shared" si="191"/>
        <v>0</v>
      </c>
      <c r="AP407" s="1044">
        <f t="shared" si="192"/>
        <v>0</v>
      </c>
      <c r="AQ407" s="5257" t="str">
        <f t="shared" si="193"/>
        <v/>
      </c>
      <c r="AR407" s="1056"/>
      <c r="AS407" s="1056"/>
      <c r="AT407" s="1045">
        <f t="shared" si="194"/>
        <v>0</v>
      </c>
      <c r="AU407" s="1046">
        <f t="shared" si="195"/>
        <v>0</v>
      </c>
      <c r="AV407" s="1059" cm="1">
        <f t="array" ref="AV407">IF(AJ407&lt;&gt;1,0,IF(OR(AT407="",N(AT407)&lt;=0.000000001),"",IF(OR(AN407="",N(AN407)&lt;=0.000000001),0,IF(ISNUMBER(AT407),IFERROR(_xlfn.LET(_xlpm.ai_test,TRIM(AI407),_xlpm.r,IFERROR(_xlfn.XLOOKUP(_xlpm.ai_test,$BI$15:$BI$62,ROW($BI$15:$BI$62),0,1),IFERROR(_xlfn.XLOOKUP(_xlpm.ai_test,$BJ$15:$BJ$62,ROW($BJ$15:$BJ$62),0,1),_xlfn.XLOOKUP(_xlpm.ai_test,$BK$15:$BK$62,ROW($BK$15:$BK$62),0,1))),_xlpm.p,_xlpm.r-MIN(ROW($BI$15:$BI$62))+1,_xlpm.f,INDEX($BL$15:$BL$62,_xlpm.p),_xlpm.u,INDEX($BM$15:$BM$62,_xlpm.p),_xlpm.s,INDEX($BO$15:$BO$62,_xlpm.p),_xlpm.q,N(AT407)/_xlpm.f,IF(_xlpm.q&gt;=_xlpm.s,ROUND(_xlpm.q,1)&amp;" "&amp;_xlpm.ai_test&amp;" = "&amp;ROUND(_xlpm.q*_xlpm.f,1)&amp;" "&amp;_xlpm.u,ROUND(_xlpm.q,1)&amp;" "&amp;_xlpm.ai_test)),""),""))))</f>
        <v>0</v>
      </c>
      <c r="AW407" s="1047"/>
      <c r="AX407" s="1045">
        <f t="shared" si="196"/>
        <v>0</v>
      </c>
      <c r="AY407" s="1046" t="str">
        <f t="shared" si="197"/>
        <v/>
      </c>
      <c r="AZ407" s="1048">
        <f t="shared" ref="AZ407:AZ470" si="202">IF(ISNUMBER(BF407),IF(ABS(BF407)&lt;=0.000000001,0,BF407),0)</f>
        <v>0</v>
      </c>
      <c r="BA407" s="1049" t="str">
        <f t="shared" si="198"/>
        <v/>
      </c>
      <c r="BB407" s="1038"/>
      <c r="BC407" s="1050">
        <f t="shared" si="180"/>
        <v>0</v>
      </c>
      <c r="BD407" s="1040" t="str">
        <f t="shared" si="199"/>
        <v/>
      </c>
      <c r="BE407" s="227" t="s">
        <v>22</v>
      </c>
      <c r="BF407" s="1019">
        <f t="shared" si="200"/>
        <v>0</v>
      </c>
      <c r="BG407" s="1020">
        <f t="shared" si="201"/>
        <v>0</v>
      </c>
      <c r="BH407"/>
      <c r="BI407" s="709"/>
      <c r="BJ407" s="709"/>
      <c r="BK407" s="709"/>
      <c r="BL407" s="709"/>
      <c r="BM407" s="709"/>
      <c r="BN407" s="709"/>
      <c r="BO407" s="709"/>
      <c r="BP407" s="709"/>
      <c r="BW407" s="959" t="str">
        <f t="shared" si="182"/>
        <v>►</v>
      </c>
      <c r="BX407" s="856"/>
      <c r="BY407" s="856"/>
      <c r="BZ407" s="856"/>
      <c r="CA407" s="856"/>
      <c r="CB407" s="856"/>
      <c r="DB407" s="3">
        <v>1</v>
      </c>
    </row>
    <row r="408" spans="12:106" ht="21" customHeight="1">
      <c r="L408" s="196" t="s">
        <v>11</v>
      </c>
      <c r="M408" s="157" t="str">
        <f>M342</f>
        <v>B BAUDRUCHE DE COPAIN | | Auteur &gt; Guy KRENZE - Eric GODDYN - Arnaud NICOLAS - CEPROC 2002</v>
      </c>
      <c r="N408" s="157">
        <f>N342</f>
        <v>9.0500000000000007</v>
      </c>
      <c r="O408" s="158" t="str">
        <f>O342</f>
        <v>Kg</v>
      </c>
      <c r="P408" s="159" t="str">
        <f>P342</f>
        <v>Recette mère ► le Boudin en 4 déclinaisons</v>
      </c>
      <c r="Q408" s="204"/>
      <c r="R408" s="204"/>
      <c r="S408" s="204" t="s">
        <v>201</v>
      </c>
      <c r="T408" s="205"/>
      <c r="U408" s="206"/>
      <c r="V408" s="206"/>
      <c r="W408" s="206"/>
      <c r="X408" s="206"/>
      <c r="Y408" s="206"/>
      <c r="Z408" s="567"/>
      <c r="AA408" s="5211"/>
      <c r="AB408" s="1178"/>
      <c r="AC408" s="1179"/>
      <c r="AD408" s="227" t="s">
        <v>22</v>
      </c>
      <c r="AE408" s="1027" t="str">
        <f t="shared" si="183"/>
        <v>►</v>
      </c>
      <c r="AF408" s="1028" t="str">
        <f t="shared" si="184"/>
        <v/>
      </c>
      <c r="AG408" s="1029" t="str">
        <f t="shared" si="185"/>
        <v/>
      </c>
      <c r="AH408" s="1028" t="str">
        <f t="shared" si="186"/>
        <v/>
      </c>
      <c r="AI408" s="1029" t="str">
        <f t="shared" si="187"/>
        <v/>
      </c>
      <c r="AJ408" s="1029">
        <f t="shared" si="188"/>
        <v>0</v>
      </c>
      <c r="AK408" s="1043" t="str" cm="1">
        <f t="array" ref="AK408">IF(AE408&lt;&gt;"A","",IFERROR((IFERROR(_xlfn.XLOOKUP(TRIM(SUBSTITUTE(U408,CHAR(160)," ")),$BI$15:$BI$62,$BL$15:$BL$62),IFERROR(_xlfn.XLOOKUP(TRIM(SUBSTITUTE(U408,CHAR(160)," ")),$BJ$15:$BJ$62,$BL$15:$BL$62),_xlfn.XLOOKUP(TRIM(SUBSTITUTE(U408,CHAR(160)," ")),$BK$15:$BK$62,$BL$15:$BL$62))))*T408*IF(ISBLANK(Q408),1,Q408)+IFERROR(_xlfn.XLOOKUP("RECHERCHEX",TRIM(L408:AC408),L408:AC408),0),0))</f>
        <v/>
      </c>
      <c r="AL408" s="1030">
        <f t="shared" si="189"/>
        <v>0</v>
      </c>
      <c r="AM408" s="5254" t="str">
        <f t="shared" si="181"/>
        <v/>
      </c>
      <c r="AN408" s="1031">
        <f t="shared" si="190"/>
        <v>0</v>
      </c>
      <c r="AO408" s="1031">
        <f t="shared" si="191"/>
        <v>0</v>
      </c>
      <c r="AP408" s="1032">
        <f t="shared" si="192"/>
        <v>0</v>
      </c>
      <c r="AQ408" s="5255" t="str">
        <f t="shared" si="193"/>
        <v/>
      </c>
      <c r="AR408" s="1056"/>
      <c r="AS408" s="1056"/>
      <c r="AT408" s="1034">
        <f t="shared" si="194"/>
        <v>0</v>
      </c>
      <c r="AU408" s="1035">
        <f t="shared" si="195"/>
        <v>0</v>
      </c>
      <c r="AV408" s="1057" cm="1">
        <f t="array" ref="AV408">IF(AJ408&lt;&gt;1,0,IF(OR(AT408="",N(AT408)&lt;=0.000000001),"",IF(OR(AN408="",N(AN408)&lt;=0.000000001),0,IF(ISNUMBER(AT408),IFERROR(_xlfn.LET(_xlpm.ai_test,TRIM(AI408),_xlpm.r,IFERROR(_xlfn.XLOOKUP(_xlpm.ai_test,$BI$15:$BI$62,ROW($BI$15:$BI$62),0,1),IFERROR(_xlfn.XLOOKUP(_xlpm.ai_test,$BJ$15:$BJ$62,ROW($BJ$15:$BJ$62),0,1),_xlfn.XLOOKUP(_xlpm.ai_test,$BK$15:$BK$62,ROW($BK$15:$BK$62),0,1))),_xlpm.p,_xlpm.r-MIN(ROW($BI$15:$BI$62))+1,_xlpm.f,INDEX($BL$15:$BL$62,_xlpm.p),_xlpm.u,INDEX($BM$15:$BM$62,_xlpm.p),_xlpm.s,INDEX($BO$15:$BO$62,_xlpm.p),_xlpm.q,N(AT408)/_xlpm.f,IF(_xlpm.q&gt;=_xlpm.s,ROUND(_xlpm.q,1)&amp;" "&amp;_xlpm.ai_test&amp;" = "&amp;ROUND(_xlpm.q*_xlpm.f,1)&amp;" "&amp;_xlpm.u,ROUND(_xlpm.q,1)&amp;" "&amp;_xlpm.ai_test)),""),""))))</f>
        <v>0</v>
      </c>
      <c r="AW408" s="1047"/>
      <c r="AX408" s="1034">
        <f t="shared" si="196"/>
        <v>0</v>
      </c>
      <c r="AY408" s="1035" t="str">
        <f t="shared" si="197"/>
        <v/>
      </c>
      <c r="AZ408" s="1036">
        <f t="shared" si="202"/>
        <v>0</v>
      </c>
      <c r="BA408" s="1037" t="str">
        <f t="shared" si="198"/>
        <v/>
      </c>
      <c r="BB408" s="1038"/>
      <c r="BC408" s="1039">
        <f t="shared" si="180"/>
        <v>0</v>
      </c>
      <c r="BD408" s="1040" t="str">
        <f t="shared" si="199"/>
        <v/>
      </c>
      <c r="BE408" s="227" t="s">
        <v>22</v>
      </c>
      <c r="BF408" s="1019">
        <f t="shared" si="200"/>
        <v>0</v>
      </c>
      <c r="BG408" s="1020">
        <f t="shared" si="201"/>
        <v>0</v>
      </c>
      <c r="BH408"/>
      <c r="BI408" s="709"/>
      <c r="BJ408" s="709"/>
      <c r="BK408" s="709"/>
      <c r="BL408" s="709"/>
      <c r="BM408" s="709"/>
      <c r="BN408" s="709"/>
      <c r="BO408" s="709"/>
      <c r="BP408" s="709"/>
      <c r="BW408" s="959" t="str">
        <f t="shared" si="182"/>
        <v>►</v>
      </c>
      <c r="BX408" s="856"/>
      <c r="BY408" s="856"/>
      <c r="BZ408" s="856"/>
      <c r="CA408" s="856"/>
      <c r="CB408" s="856"/>
      <c r="DB408" s="3">
        <v>1</v>
      </c>
    </row>
    <row r="409" spans="12:106" ht="21" customHeight="1">
      <c r="L409" s="196" t="s">
        <v>11</v>
      </c>
      <c r="M409" s="209" t="str">
        <f>M342</f>
        <v>B BAUDRUCHE DE COPAIN | | Auteur &gt; Guy KRENZE - Eric GODDYN - Arnaud NICOLAS - CEPROC 2002</v>
      </c>
      <c r="N409" s="209">
        <f>N342</f>
        <v>9.0500000000000007</v>
      </c>
      <c r="O409" s="210" t="str">
        <f>O342</f>
        <v>Kg</v>
      </c>
      <c r="P409" s="211" t="str">
        <f>P342</f>
        <v>Recette mère ► le Boudin en 4 déclinaisons</v>
      </c>
      <c r="Q409" s="212"/>
      <c r="R409" s="213"/>
      <c r="S409" s="214"/>
      <c r="T409" s="215"/>
      <c r="U409" s="214"/>
      <c r="V409" s="214"/>
      <c r="W409" s="214"/>
      <c r="X409" s="214"/>
      <c r="Y409" s="214"/>
      <c r="Z409" s="582"/>
      <c r="AA409" s="5211"/>
      <c r="AB409" s="1178"/>
      <c r="AC409" s="1179"/>
      <c r="AD409" s="227" t="s">
        <v>22</v>
      </c>
      <c r="AE409" s="1027" t="str">
        <f t="shared" si="183"/>
        <v>►</v>
      </c>
      <c r="AF409" s="1028" t="str">
        <f t="shared" si="184"/>
        <v/>
      </c>
      <c r="AG409" s="1029" t="str">
        <f t="shared" si="185"/>
        <v/>
      </c>
      <c r="AH409" s="1028" t="str">
        <f t="shared" si="186"/>
        <v/>
      </c>
      <c r="AI409" s="1029" t="str">
        <f t="shared" si="187"/>
        <v/>
      </c>
      <c r="AJ409" s="1029">
        <f t="shared" si="188"/>
        <v>0</v>
      </c>
      <c r="AK409" s="1043" t="str" cm="1">
        <f t="array" ref="AK409">IF(AE409&lt;&gt;"A","",IFERROR((IFERROR(_xlfn.XLOOKUP(TRIM(SUBSTITUTE(U409,CHAR(160)," ")),$BI$15:$BI$62,$BL$15:$BL$62),IFERROR(_xlfn.XLOOKUP(TRIM(SUBSTITUTE(U409,CHAR(160)," ")),$BJ$15:$BJ$62,$BL$15:$BL$62),_xlfn.XLOOKUP(TRIM(SUBSTITUTE(U409,CHAR(160)," ")),$BK$15:$BK$62,$BL$15:$BL$62))))*T409*IF(ISBLANK(Q409),1,Q409)+IFERROR(_xlfn.XLOOKUP("RECHERCHEX",TRIM(L409:AC409),L409:AC409),0),0))</f>
        <v/>
      </c>
      <c r="AL409" s="1030">
        <f t="shared" si="189"/>
        <v>0</v>
      </c>
      <c r="AM409" s="5254" t="str">
        <f t="shared" si="181"/>
        <v/>
      </c>
      <c r="AN409" s="1031">
        <f t="shared" si="190"/>
        <v>0</v>
      </c>
      <c r="AO409" s="1031">
        <f t="shared" si="191"/>
        <v>0</v>
      </c>
      <c r="AP409" s="1044">
        <f t="shared" si="192"/>
        <v>0</v>
      </c>
      <c r="AQ409" s="5257" t="str">
        <f t="shared" si="193"/>
        <v/>
      </c>
      <c r="AR409" s="1056"/>
      <c r="AS409" s="1056"/>
      <c r="AT409" s="1045">
        <f t="shared" si="194"/>
        <v>0</v>
      </c>
      <c r="AU409" s="1046">
        <f t="shared" si="195"/>
        <v>0</v>
      </c>
      <c r="AV409" s="1059" cm="1">
        <f t="array" ref="AV409">IF(AJ409&lt;&gt;1,0,IF(OR(AT409="",N(AT409)&lt;=0.000000001),"",IF(OR(AN409="",N(AN409)&lt;=0.000000001),0,IF(ISNUMBER(AT409),IFERROR(_xlfn.LET(_xlpm.ai_test,TRIM(AI409),_xlpm.r,IFERROR(_xlfn.XLOOKUP(_xlpm.ai_test,$BI$15:$BI$62,ROW($BI$15:$BI$62),0,1),IFERROR(_xlfn.XLOOKUP(_xlpm.ai_test,$BJ$15:$BJ$62,ROW($BJ$15:$BJ$62),0,1),_xlfn.XLOOKUP(_xlpm.ai_test,$BK$15:$BK$62,ROW($BK$15:$BK$62),0,1))),_xlpm.p,_xlpm.r-MIN(ROW($BI$15:$BI$62))+1,_xlpm.f,INDEX($BL$15:$BL$62,_xlpm.p),_xlpm.u,INDEX($BM$15:$BM$62,_xlpm.p),_xlpm.s,INDEX($BO$15:$BO$62,_xlpm.p),_xlpm.q,N(AT409)/_xlpm.f,IF(_xlpm.q&gt;=_xlpm.s,ROUND(_xlpm.q,1)&amp;" "&amp;_xlpm.ai_test&amp;" = "&amp;ROUND(_xlpm.q*_xlpm.f,1)&amp;" "&amp;_xlpm.u,ROUND(_xlpm.q,1)&amp;" "&amp;_xlpm.ai_test)),""),""))))</f>
        <v>0</v>
      </c>
      <c r="AW409" s="1047"/>
      <c r="AX409" s="1045">
        <f t="shared" si="196"/>
        <v>0</v>
      </c>
      <c r="AY409" s="1046" t="str">
        <f t="shared" si="197"/>
        <v/>
      </c>
      <c r="AZ409" s="1048">
        <f t="shared" si="202"/>
        <v>0</v>
      </c>
      <c r="BA409" s="1049" t="str">
        <f t="shared" si="198"/>
        <v/>
      </c>
      <c r="BB409" s="1038"/>
      <c r="BC409" s="1050">
        <f t="shared" si="180"/>
        <v>0</v>
      </c>
      <c r="BD409" s="1040" t="str">
        <f t="shared" si="199"/>
        <v/>
      </c>
      <c r="BE409" s="227" t="s">
        <v>22</v>
      </c>
      <c r="BF409" s="1019">
        <f t="shared" si="200"/>
        <v>0</v>
      </c>
      <c r="BG409" s="1020">
        <f t="shared" si="201"/>
        <v>0</v>
      </c>
      <c r="BH409"/>
      <c r="BI409" s="709"/>
      <c r="BJ409" s="709"/>
      <c r="BK409" s="709"/>
      <c r="BL409" s="709"/>
      <c r="BM409" s="709"/>
      <c r="BN409" s="709"/>
      <c r="BO409" s="709"/>
      <c r="BP409" s="709"/>
      <c r="BW409" s="959" t="str">
        <f t="shared" si="182"/>
        <v>►</v>
      </c>
      <c r="BX409" s="856"/>
      <c r="BY409" s="856"/>
      <c r="BZ409" s="856"/>
      <c r="CA409" s="856"/>
      <c r="CB409" s="856"/>
      <c r="DB409" s="3">
        <v>1</v>
      </c>
    </row>
    <row r="410" spans="12:106" ht="21" customHeight="1" thickBot="1">
      <c r="L410" s="216" t="s">
        <v>11</v>
      </c>
      <c r="M410" s="217"/>
      <c r="N410" s="217"/>
      <c r="O410" s="217"/>
      <c r="P410" s="218"/>
      <c r="Q410" s="219" t="s">
        <v>208</v>
      </c>
      <c r="R410" s="1481" t="str">
        <f ca="1">CELL("nomfichier")</f>
        <v>D:\Données\1.UPRT\0-UPRT.fait\1-UPRT.FR-SITE-WEB\ff-fiches-fabrications\ff.fiches.fabrication.2023\ffr.restaurant.2023\[ff.FICHE.TRILINGUE.15.COLONNES.29.11.2025.xlsx]Notice.utilisateur</v>
      </c>
      <c r="S410" s="220"/>
      <c r="T410" s="220"/>
      <c r="U410" s="220"/>
      <c r="V410" s="220"/>
      <c r="W410" s="220"/>
      <c r="X410" s="220"/>
      <c r="Y410" s="220"/>
      <c r="Z410" s="221"/>
      <c r="AA410" s="5211"/>
      <c r="AB410" s="1178"/>
      <c r="AC410" s="1179"/>
      <c r="AD410" s="227" t="s">
        <v>22</v>
      </c>
      <c r="AE410" s="1027" t="str">
        <f t="shared" si="183"/>
        <v>A</v>
      </c>
      <c r="AF410" s="1028" t="str">
        <f t="shared" si="184"/>
        <v>▼ recette suivante</v>
      </c>
      <c r="AG410" s="1029">
        <f t="shared" si="185"/>
        <v>0</v>
      </c>
      <c r="AH410" s="1028">
        <f t="shared" si="186"/>
        <v>0</v>
      </c>
      <c r="AI410" s="1029">
        <f t="shared" si="187"/>
        <v>0</v>
      </c>
      <c r="AJ410" s="1029">
        <f t="shared" si="188"/>
        <v>0</v>
      </c>
      <c r="AK410" s="1043" cm="1">
        <f t="array" aca="1" ref="AK410" ca="1">IF(AE410&lt;&gt;"A","",IFERROR((IFERROR(_xlfn.XLOOKUP(TRIM(SUBSTITUTE(U410,CHAR(160)," ")),$BI$15:$BI$62,$BL$15:$BL$62),IFERROR(_xlfn.XLOOKUP(TRIM(SUBSTITUTE(U410,CHAR(160)," ")),$BJ$15:$BJ$62,$BL$15:$BL$62),_xlfn.XLOOKUP(TRIM(SUBSTITUTE(U410,CHAR(160)," ")),$BK$15:$BK$62,$BL$15:$BL$62))))*T410*IF(ISBLANK(Q410),1,Q410)+IFERROR(_xlfn.XLOOKUP("RECHERCHEX",TRIM(L410:AC410),L410:AC410),0),0))</f>
        <v>0</v>
      </c>
      <c r="AL410" s="1030">
        <f t="shared" si="189"/>
        <v>0</v>
      </c>
      <c r="AM410" s="5254" t="str">
        <f t="shared" si="181"/>
        <v>❾ Author reference &gt;</v>
      </c>
      <c r="AN410" s="1031">
        <f t="shared" si="190"/>
        <v>0</v>
      </c>
      <c r="AO410" s="1031">
        <f t="shared" si="191"/>
        <v>0</v>
      </c>
      <c r="AP410" s="1032">
        <f t="shared" si="192"/>
        <v>0</v>
      </c>
      <c r="AQ410" s="5255" t="str">
        <f t="shared" si="193"/>
        <v>▼ recette suivante</v>
      </c>
      <c r="AR410" s="1056"/>
      <c r="AS410" s="1056"/>
      <c r="AT410" s="1034">
        <f t="shared" si="194"/>
        <v>0</v>
      </c>
      <c r="AU410" s="1035">
        <f t="shared" si="195"/>
        <v>0</v>
      </c>
      <c r="AV410" s="1057" cm="1">
        <f t="array" ref="AV410">IF(AJ410&lt;&gt;1,0,IF(OR(AT410="",N(AT410)&lt;=0.000000001),"",IF(OR(AN410="",N(AN410)&lt;=0.000000001),0,IF(ISNUMBER(AT410),IFERROR(_xlfn.LET(_xlpm.ai_test,TRIM(AI410),_xlpm.r,IFERROR(_xlfn.XLOOKUP(_xlpm.ai_test,$BI$15:$BI$62,ROW($BI$15:$BI$62),0,1),IFERROR(_xlfn.XLOOKUP(_xlpm.ai_test,$BJ$15:$BJ$62,ROW($BJ$15:$BJ$62),0,1),_xlfn.XLOOKUP(_xlpm.ai_test,$BK$15:$BK$62,ROW($BK$15:$BK$62),0,1))),_xlpm.p,_xlpm.r-MIN(ROW($BI$15:$BI$62))+1,_xlpm.f,INDEX($BL$15:$BL$62,_xlpm.p),_xlpm.u,INDEX($BM$15:$BM$62,_xlpm.p),_xlpm.s,INDEX($BO$15:$BO$62,_xlpm.p),_xlpm.q,N(AT410)/_xlpm.f,IF(_xlpm.q&gt;=_xlpm.s,ROUND(_xlpm.q,1)&amp;" "&amp;_xlpm.ai_test&amp;" = "&amp;ROUND(_xlpm.q*_xlpm.f,1)&amp;" "&amp;_xlpm.u,ROUND(_xlpm.q,1)&amp;" "&amp;_xlpm.ai_test)),""),""))))</f>
        <v>0</v>
      </c>
      <c r="AW410" s="1047"/>
      <c r="AX410" s="1034" t="str">
        <f t="shared" si="196"/>
        <v xml:space="preserve">▼next recipe </v>
      </c>
      <c r="AY410" s="1035" t="str">
        <f t="shared" si="197"/>
        <v/>
      </c>
      <c r="AZ410" s="1036">
        <f t="shared" si="202"/>
        <v>0</v>
      </c>
      <c r="BA410" s="1037" t="str">
        <f t="shared" si="198"/>
        <v/>
      </c>
      <c r="BB410" s="1038"/>
      <c r="BC410" s="1039">
        <f t="shared" si="180"/>
        <v>0</v>
      </c>
      <c r="BD410" s="1040" t="str">
        <f t="shared" si="199"/>
        <v>▼ receta siguiente</v>
      </c>
      <c r="BE410" s="227" t="s">
        <v>22</v>
      </c>
      <c r="BF410" s="1019">
        <f t="shared" si="200"/>
        <v>0</v>
      </c>
      <c r="BG410" s="1020">
        <f t="shared" ca="1" si="201"/>
        <v>0</v>
      </c>
      <c r="BH410"/>
      <c r="BI410" s="709"/>
      <c r="BJ410" s="709"/>
      <c r="BK410" s="709"/>
      <c r="BL410" s="709"/>
      <c r="BM410" s="709"/>
      <c r="BN410" s="709"/>
      <c r="BO410" s="709"/>
      <c r="BP410" s="709"/>
      <c r="BW410" s="959" t="str">
        <f t="shared" si="182"/>
        <v>A</v>
      </c>
      <c r="BX410" s="856"/>
      <c r="BY410" s="856"/>
      <c r="BZ410" s="856"/>
      <c r="CA410" s="856"/>
      <c r="CB410" s="856"/>
      <c r="DB410" s="3">
        <v>1</v>
      </c>
    </row>
    <row r="411" spans="12:106" ht="21" customHeight="1" thickBot="1">
      <c r="L411" s="5215" t="s">
        <v>11</v>
      </c>
      <c r="M411" s="5216" t="s">
        <v>11</v>
      </c>
      <c r="N411" s="5216" t="s">
        <v>11</v>
      </c>
      <c r="O411" s="5216" t="s">
        <v>11</v>
      </c>
      <c r="P411" s="5216" t="s">
        <v>11</v>
      </c>
      <c r="Q411" s="5217" t="s">
        <v>2613</v>
      </c>
      <c r="R411" s="5218"/>
      <c r="S411" s="5219"/>
      <c r="T411" s="5220"/>
      <c r="U411" s="5221"/>
      <c r="V411" s="5222"/>
      <c r="W411" s="5220"/>
      <c r="X411" s="5220"/>
      <c r="Y411" s="5220"/>
      <c r="Z411" s="5223" t="s">
        <v>1948</v>
      </c>
      <c r="AA411" s="5211"/>
      <c r="AB411" s="1178"/>
      <c r="AC411" s="1179"/>
      <c r="AD411" s="227" t="s">
        <v>22</v>
      </c>
      <c r="AE411" s="1027" t="str">
        <f t="shared" si="183"/>
        <v>►</v>
      </c>
      <c r="AF411" s="1028" t="str">
        <f t="shared" si="184"/>
        <v/>
      </c>
      <c r="AG411" s="1029" t="str">
        <f t="shared" si="185"/>
        <v/>
      </c>
      <c r="AH411" s="1028" t="str">
        <f t="shared" si="186"/>
        <v/>
      </c>
      <c r="AI411" s="1029" t="str">
        <f t="shared" si="187"/>
        <v/>
      </c>
      <c r="AJ411" s="1029">
        <f t="shared" si="188"/>
        <v>0</v>
      </c>
      <c r="AK411" s="1043" t="str" cm="1">
        <f t="array" ref="AK411">IF(AE411&lt;&gt;"A","",IFERROR((IFERROR(_xlfn.XLOOKUP(TRIM(SUBSTITUTE(U411,CHAR(160)," ")),$BI$15:$BI$62,$BL$15:$BL$62),IFERROR(_xlfn.XLOOKUP(TRIM(SUBSTITUTE(U411,CHAR(160)," ")),$BJ$15:$BJ$62,$BL$15:$BL$62),_xlfn.XLOOKUP(TRIM(SUBSTITUTE(U411,CHAR(160)," ")),$BK$15:$BK$62,$BL$15:$BL$62))))*T411*IF(ISBLANK(Q411),1,Q411)+IFERROR(_xlfn.XLOOKUP("RECHERCHEX",TRIM(L411:AC411),L411:AC411),0),0))</f>
        <v/>
      </c>
      <c r="AL411" s="1030">
        <f t="shared" si="189"/>
        <v>0</v>
      </c>
      <c r="AM411" s="5254" t="str">
        <f t="shared" si="181"/>
        <v/>
      </c>
      <c r="AN411" s="1031">
        <f t="shared" si="190"/>
        <v>0</v>
      </c>
      <c r="AO411" s="1031">
        <f t="shared" si="191"/>
        <v>0</v>
      </c>
      <c r="AP411" s="1044">
        <f t="shared" si="192"/>
        <v>0</v>
      </c>
      <c r="AQ411" s="5257" t="str">
        <f t="shared" si="193"/>
        <v/>
      </c>
      <c r="AR411" s="1056"/>
      <c r="AS411" s="1056"/>
      <c r="AT411" s="1045">
        <f t="shared" si="194"/>
        <v>0</v>
      </c>
      <c r="AU411" s="1046">
        <f t="shared" si="195"/>
        <v>0</v>
      </c>
      <c r="AV411" s="1059" cm="1">
        <f t="array" ref="AV411">IF(AJ411&lt;&gt;1,0,IF(OR(AT411="",N(AT411)&lt;=0.000000001),"",IF(OR(AN411="",N(AN411)&lt;=0.000000001),0,IF(ISNUMBER(AT411),IFERROR(_xlfn.LET(_xlpm.ai_test,TRIM(AI411),_xlpm.r,IFERROR(_xlfn.XLOOKUP(_xlpm.ai_test,$BI$15:$BI$62,ROW($BI$15:$BI$62),0,1),IFERROR(_xlfn.XLOOKUP(_xlpm.ai_test,$BJ$15:$BJ$62,ROW($BJ$15:$BJ$62),0,1),_xlfn.XLOOKUP(_xlpm.ai_test,$BK$15:$BK$62,ROW($BK$15:$BK$62),0,1))),_xlpm.p,_xlpm.r-MIN(ROW($BI$15:$BI$62))+1,_xlpm.f,INDEX($BL$15:$BL$62,_xlpm.p),_xlpm.u,INDEX($BM$15:$BM$62,_xlpm.p),_xlpm.s,INDEX($BO$15:$BO$62,_xlpm.p),_xlpm.q,N(AT411)/_xlpm.f,IF(_xlpm.q&gt;=_xlpm.s,ROUND(_xlpm.q,1)&amp;" "&amp;_xlpm.ai_test&amp;" = "&amp;ROUND(_xlpm.q*_xlpm.f,1)&amp;" "&amp;_xlpm.u,ROUND(_xlpm.q,1)&amp;" "&amp;_xlpm.ai_test)),""),""))))</f>
        <v>0</v>
      </c>
      <c r="AW411" s="1047"/>
      <c r="AX411" s="1045">
        <f t="shared" si="196"/>
        <v>0</v>
      </c>
      <c r="AY411" s="1046" t="str">
        <f t="shared" si="197"/>
        <v/>
      </c>
      <c r="AZ411" s="1048">
        <f t="shared" si="202"/>
        <v>0</v>
      </c>
      <c r="BA411" s="1049" t="str">
        <f t="shared" si="198"/>
        <v/>
      </c>
      <c r="BB411" s="1038"/>
      <c r="BC411" s="1050">
        <f t="shared" ref="BC411:BC474" si="203">IF(OR(AN411=0,ISBLANK(BB411),ISTEXT(AZ411)),0,(IF(AT411=0,AZ411,AT411)*BB411))</f>
        <v>0</v>
      </c>
      <c r="BD411" s="1040" t="str">
        <f t="shared" si="199"/>
        <v/>
      </c>
      <c r="BE411" s="227" t="s">
        <v>22</v>
      </c>
      <c r="BF411" s="1019">
        <f t="shared" si="200"/>
        <v>0</v>
      </c>
      <c r="BG411" s="1020">
        <f t="shared" si="201"/>
        <v>0</v>
      </c>
      <c r="BH411"/>
      <c r="BI411" s="709"/>
      <c r="BJ411" s="709"/>
      <c r="BK411" s="709"/>
      <c r="BL411" s="709"/>
      <c r="BM411" s="709"/>
      <c r="BN411" s="709"/>
      <c r="BO411" s="709"/>
      <c r="BP411" s="709"/>
      <c r="BW411" s="959" t="str">
        <f t="shared" si="182"/>
        <v>►</v>
      </c>
      <c r="BX411" s="856"/>
      <c r="BY411" s="856"/>
      <c r="BZ411" s="856"/>
      <c r="CA411" s="856"/>
      <c r="CB411" s="856"/>
      <c r="DB411" s="3">
        <v>1</v>
      </c>
    </row>
    <row r="412" spans="12:106" ht="21" customHeight="1">
      <c r="L412" s="104" t="s">
        <v>16</v>
      </c>
      <c r="M412" s="1172"/>
      <c r="N412" s="1172"/>
      <c r="O412" s="1172"/>
      <c r="P412" s="1173"/>
      <c r="Q412" s="1174"/>
      <c r="R412" s="1175"/>
      <c r="S412" s="1176"/>
      <c r="T412" s="1177"/>
      <c r="U412" s="5248"/>
      <c r="V412" s="1177"/>
      <c r="W412" s="5249"/>
      <c r="X412" s="5208"/>
      <c r="Y412" s="5209"/>
      <c r="Z412" s="5210"/>
      <c r="AA412" s="5211"/>
      <c r="AB412" s="1178"/>
      <c r="AC412" s="1179"/>
      <c r="AD412" s="227" t="s">
        <v>22</v>
      </c>
      <c r="AE412" s="1027" t="str">
        <f t="shared" si="183"/>
        <v>►</v>
      </c>
      <c r="AF412" s="1028" t="str">
        <f t="shared" si="184"/>
        <v/>
      </c>
      <c r="AG412" s="1029" t="str">
        <f t="shared" si="185"/>
        <v/>
      </c>
      <c r="AH412" s="1028" t="str">
        <f t="shared" si="186"/>
        <v/>
      </c>
      <c r="AI412" s="1029" t="str">
        <f t="shared" si="187"/>
        <v/>
      </c>
      <c r="AJ412" s="1029">
        <f t="shared" si="188"/>
        <v>0</v>
      </c>
      <c r="AK412" s="1043" t="str" cm="1">
        <f t="array" ref="AK412">IF(AE412&lt;&gt;"A","",IFERROR((IFERROR(_xlfn.XLOOKUP(TRIM(SUBSTITUTE(U412,CHAR(160)," ")),$BI$15:$BI$62,$BL$15:$BL$62),IFERROR(_xlfn.XLOOKUP(TRIM(SUBSTITUTE(U412,CHAR(160)," ")),$BJ$15:$BJ$62,$BL$15:$BL$62),_xlfn.XLOOKUP(TRIM(SUBSTITUTE(U412,CHAR(160)," ")),$BK$15:$BK$62,$BL$15:$BL$62))))*T412*IF(ISBLANK(Q412),1,Q412)+IFERROR(_xlfn.XLOOKUP("RECHERCHEX",TRIM(L412:AC412),L412:AC412),0),0))</f>
        <v/>
      </c>
      <c r="AL412" s="1030">
        <f t="shared" si="189"/>
        <v>0</v>
      </c>
      <c r="AM412" s="5254" t="str">
        <f t="shared" si="181"/>
        <v/>
      </c>
      <c r="AN412" s="1031">
        <f t="shared" si="190"/>
        <v>0</v>
      </c>
      <c r="AO412" s="1031">
        <f t="shared" si="191"/>
        <v>0</v>
      </c>
      <c r="AP412" s="1032">
        <f t="shared" si="192"/>
        <v>0</v>
      </c>
      <c r="AQ412" s="5255" t="str">
        <f t="shared" si="193"/>
        <v/>
      </c>
      <c r="AR412" s="1056"/>
      <c r="AS412" s="1056"/>
      <c r="AT412" s="1034">
        <f t="shared" si="194"/>
        <v>0</v>
      </c>
      <c r="AU412" s="1035">
        <f t="shared" si="195"/>
        <v>0</v>
      </c>
      <c r="AV412" s="1057" cm="1">
        <f t="array" ref="AV412">IF(AJ412&lt;&gt;1,0,IF(OR(AT412="",N(AT412)&lt;=0.000000001),"",IF(OR(AN412="",N(AN412)&lt;=0.000000001),0,IF(ISNUMBER(AT412),IFERROR(_xlfn.LET(_xlpm.ai_test,TRIM(AI412),_xlpm.r,IFERROR(_xlfn.XLOOKUP(_xlpm.ai_test,$BI$15:$BI$62,ROW($BI$15:$BI$62),0,1),IFERROR(_xlfn.XLOOKUP(_xlpm.ai_test,$BJ$15:$BJ$62,ROW($BJ$15:$BJ$62),0,1),_xlfn.XLOOKUP(_xlpm.ai_test,$BK$15:$BK$62,ROW($BK$15:$BK$62),0,1))),_xlpm.p,_xlpm.r-MIN(ROW($BI$15:$BI$62))+1,_xlpm.f,INDEX($BL$15:$BL$62,_xlpm.p),_xlpm.u,INDEX($BM$15:$BM$62,_xlpm.p),_xlpm.s,INDEX($BO$15:$BO$62,_xlpm.p),_xlpm.q,N(AT412)/_xlpm.f,IF(_xlpm.q&gt;=_xlpm.s,ROUND(_xlpm.q,1)&amp;" "&amp;_xlpm.ai_test&amp;" = "&amp;ROUND(_xlpm.q*_xlpm.f,1)&amp;" "&amp;_xlpm.u,ROUND(_xlpm.q,1)&amp;" "&amp;_xlpm.ai_test)),""),""))))</f>
        <v>0</v>
      </c>
      <c r="AW412" s="1047"/>
      <c r="AX412" s="1034">
        <f t="shared" si="196"/>
        <v>0</v>
      </c>
      <c r="AY412" s="1035" t="str">
        <f t="shared" si="197"/>
        <v/>
      </c>
      <c r="AZ412" s="1036">
        <f t="shared" si="202"/>
        <v>0</v>
      </c>
      <c r="BA412" s="1037" t="str">
        <f t="shared" si="198"/>
        <v/>
      </c>
      <c r="BB412" s="1038"/>
      <c r="BC412" s="1039">
        <f t="shared" si="203"/>
        <v>0</v>
      </c>
      <c r="BD412" s="1040" t="str">
        <f t="shared" si="199"/>
        <v/>
      </c>
      <c r="BE412" s="227" t="s">
        <v>22</v>
      </c>
      <c r="BF412" s="1019">
        <f t="shared" si="200"/>
        <v>0</v>
      </c>
      <c r="BG412" s="1020">
        <f t="shared" si="201"/>
        <v>0</v>
      </c>
      <c r="BH412"/>
      <c r="BI412" s="709"/>
      <c r="BJ412" s="709"/>
      <c r="BK412" s="709"/>
      <c r="BL412" s="709"/>
      <c r="BM412" s="709"/>
      <c r="BN412" s="709"/>
      <c r="BO412" s="709"/>
      <c r="BP412" s="709"/>
      <c r="BW412" s="959" t="str">
        <f t="shared" si="182"/>
        <v>►</v>
      </c>
      <c r="BX412" s="856"/>
      <c r="BY412" s="856"/>
      <c r="BZ412" s="856"/>
      <c r="CA412" s="856"/>
      <c r="CB412" s="856"/>
      <c r="DB412" s="3">
        <v>1</v>
      </c>
    </row>
    <row r="413" spans="12:106" ht="21" customHeight="1">
      <c r="L413" s="104" t="s">
        <v>16</v>
      </c>
      <c r="M413" s="1172"/>
      <c r="N413" s="1172"/>
      <c r="O413" s="1172"/>
      <c r="P413" s="1173"/>
      <c r="Q413" s="1174"/>
      <c r="R413" s="1175"/>
      <c r="S413" s="1176"/>
      <c r="T413" s="1177"/>
      <c r="U413" s="5248"/>
      <c r="V413" s="1177"/>
      <c r="W413" s="5249"/>
      <c r="X413" s="5208"/>
      <c r="Y413" s="5209"/>
      <c r="Z413" s="5210"/>
      <c r="AA413" s="5211"/>
      <c r="AB413" s="1178"/>
      <c r="AC413" s="1179"/>
      <c r="AD413" s="227" t="s">
        <v>22</v>
      </c>
      <c r="AE413" s="1027" t="str">
        <f t="shared" si="183"/>
        <v>►</v>
      </c>
      <c r="AF413" s="1028" t="str">
        <f t="shared" si="184"/>
        <v/>
      </c>
      <c r="AG413" s="1029" t="str">
        <f t="shared" si="185"/>
        <v/>
      </c>
      <c r="AH413" s="1028" t="str">
        <f t="shared" si="186"/>
        <v/>
      </c>
      <c r="AI413" s="1029" t="str">
        <f t="shared" si="187"/>
        <v/>
      </c>
      <c r="AJ413" s="1029">
        <f t="shared" si="188"/>
        <v>0</v>
      </c>
      <c r="AK413" s="1043" t="str" cm="1">
        <f t="array" ref="AK413">IF(AE413&lt;&gt;"A","",IFERROR((IFERROR(_xlfn.XLOOKUP(TRIM(SUBSTITUTE(U413,CHAR(160)," ")),$BI$15:$BI$62,$BL$15:$BL$62),IFERROR(_xlfn.XLOOKUP(TRIM(SUBSTITUTE(U413,CHAR(160)," ")),$BJ$15:$BJ$62,$BL$15:$BL$62),_xlfn.XLOOKUP(TRIM(SUBSTITUTE(U413,CHAR(160)," ")),$BK$15:$BK$62,$BL$15:$BL$62))))*T413*IF(ISBLANK(Q413),1,Q413)+IFERROR(_xlfn.XLOOKUP("RECHERCHEX",TRIM(L413:AC413),L413:AC413),0),0))</f>
        <v/>
      </c>
      <c r="AL413" s="1030">
        <f t="shared" si="189"/>
        <v>0</v>
      </c>
      <c r="AM413" s="5254" t="str">
        <f t="shared" si="181"/>
        <v/>
      </c>
      <c r="AN413" s="1031">
        <f t="shared" si="190"/>
        <v>0</v>
      </c>
      <c r="AO413" s="1031">
        <f t="shared" si="191"/>
        <v>0</v>
      </c>
      <c r="AP413" s="1044">
        <f t="shared" si="192"/>
        <v>0</v>
      </c>
      <c r="AQ413" s="5257" t="str">
        <f t="shared" si="193"/>
        <v/>
      </c>
      <c r="AR413" s="1056"/>
      <c r="AS413" s="1056"/>
      <c r="AT413" s="1045">
        <f t="shared" si="194"/>
        <v>0</v>
      </c>
      <c r="AU413" s="1046">
        <f t="shared" si="195"/>
        <v>0</v>
      </c>
      <c r="AV413" s="1059" cm="1">
        <f t="array" ref="AV413">IF(AJ413&lt;&gt;1,0,IF(OR(AT413="",N(AT413)&lt;=0.000000001),"",IF(OR(AN413="",N(AN413)&lt;=0.000000001),0,IF(ISNUMBER(AT413),IFERROR(_xlfn.LET(_xlpm.ai_test,TRIM(AI413),_xlpm.r,IFERROR(_xlfn.XLOOKUP(_xlpm.ai_test,$BI$15:$BI$62,ROW($BI$15:$BI$62),0,1),IFERROR(_xlfn.XLOOKUP(_xlpm.ai_test,$BJ$15:$BJ$62,ROW($BJ$15:$BJ$62),0,1),_xlfn.XLOOKUP(_xlpm.ai_test,$BK$15:$BK$62,ROW($BK$15:$BK$62),0,1))),_xlpm.p,_xlpm.r-MIN(ROW($BI$15:$BI$62))+1,_xlpm.f,INDEX($BL$15:$BL$62,_xlpm.p),_xlpm.u,INDEX($BM$15:$BM$62,_xlpm.p),_xlpm.s,INDEX($BO$15:$BO$62,_xlpm.p),_xlpm.q,N(AT413)/_xlpm.f,IF(_xlpm.q&gt;=_xlpm.s,ROUND(_xlpm.q,1)&amp;" "&amp;_xlpm.ai_test&amp;" = "&amp;ROUND(_xlpm.q*_xlpm.f,1)&amp;" "&amp;_xlpm.u,ROUND(_xlpm.q,1)&amp;" "&amp;_xlpm.ai_test)),""),""))))</f>
        <v>0</v>
      </c>
      <c r="AW413" s="1047"/>
      <c r="AX413" s="1045">
        <f t="shared" si="196"/>
        <v>0</v>
      </c>
      <c r="AY413" s="1046" t="str">
        <f t="shared" si="197"/>
        <v/>
      </c>
      <c r="AZ413" s="1048">
        <f t="shared" si="202"/>
        <v>0</v>
      </c>
      <c r="BA413" s="1049" t="str">
        <f t="shared" si="198"/>
        <v/>
      </c>
      <c r="BB413" s="1038"/>
      <c r="BC413" s="1050">
        <f t="shared" si="203"/>
        <v>0</v>
      </c>
      <c r="BD413" s="1040" t="str">
        <f t="shared" si="199"/>
        <v/>
      </c>
      <c r="BE413" s="227" t="s">
        <v>22</v>
      </c>
      <c r="BF413" s="1019">
        <f t="shared" si="200"/>
        <v>0</v>
      </c>
      <c r="BG413" s="1020">
        <f t="shared" si="201"/>
        <v>0</v>
      </c>
      <c r="BH413"/>
      <c r="BI413" s="709"/>
      <c r="BJ413" s="709"/>
      <c r="BK413" s="709"/>
      <c r="BL413" s="709"/>
      <c r="BM413" s="709"/>
      <c r="BN413" s="709"/>
      <c r="BO413" s="709"/>
      <c r="BP413" s="709"/>
      <c r="BW413" s="959" t="str">
        <f t="shared" si="182"/>
        <v>►</v>
      </c>
      <c r="BX413" s="856"/>
      <c r="BY413" s="856"/>
      <c r="BZ413" s="856"/>
      <c r="CA413" s="856"/>
      <c r="CB413" s="856"/>
      <c r="DB413" s="3">
        <v>1</v>
      </c>
    </row>
    <row r="414" spans="12:106" ht="21" customHeight="1">
      <c r="L414" s="104" t="s">
        <v>16</v>
      </c>
      <c r="M414" s="1172"/>
      <c r="N414" s="1172"/>
      <c r="O414" s="1172"/>
      <c r="P414" s="1173"/>
      <c r="Q414" s="1174"/>
      <c r="R414" s="1175"/>
      <c r="S414" s="1176"/>
      <c r="T414" s="1177"/>
      <c r="U414" s="5248"/>
      <c r="V414" s="1177"/>
      <c r="W414" s="5249"/>
      <c r="X414" s="5208"/>
      <c r="Y414" s="5209"/>
      <c r="Z414" s="5210"/>
      <c r="AA414" s="5211"/>
      <c r="AB414" s="1178"/>
      <c r="AC414" s="1179"/>
      <c r="AD414" s="227" t="s">
        <v>22</v>
      </c>
      <c r="AE414" s="1027" t="str">
        <f t="shared" si="183"/>
        <v>►</v>
      </c>
      <c r="AF414" s="1028" t="str">
        <f t="shared" si="184"/>
        <v/>
      </c>
      <c r="AG414" s="1029" t="str">
        <f t="shared" si="185"/>
        <v/>
      </c>
      <c r="AH414" s="1028" t="str">
        <f t="shared" si="186"/>
        <v/>
      </c>
      <c r="AI414" s="1029" t="str">
        <f t="shared" si="187"/>
        <v/>
      </c>
      <c r="AJ414" s="1029">
        <f t="shared" si="188"/>
        <v>0</v>
      </c>
      <c r="AK414" s="1043" t="str" cm="1">
        <f t="array" ref="AK414">IF(AE414&lt;&gt;"A","",IFERROR((IFERROR(_xlfn.XLOOKUP(TRIM(SUBSTITUTE(U414,CHAR(160)," ")),$BI$15:$BI$62,$BL$15:$BL$62),IFERROR(_xlfn.XLOOKUP(TRIM(SUBSTITUTE(U414,CHAR(160)," ")),$BJ$15:$BJ$62,$BL$15:$BL$62),_xlfn.XLOOKUP(TRIM(SUBSTITUTE(U414,CHAR(160)," ")),$BK$15:$BK$62,$BL$15:$BL$62))))*T414*IF(ISBLANK(Q414),1,Q414)+IFERROR(_xlfn.XLOOKUP("RECHERCHEX",TRIM(L414:AC414),L414:AC414),0),0))</f>
        <v/>
      </c>
      <c r="AL414" s="1030">
        <f t="shared" si="189"/>
        <v>0</v>
      </c>
      <c r="AM414" s="5254" t="str">
        <f t="shared" ref="AM414:AM477" si="204">IF(AE414="A","❾ Author reference &gt;","")</f>
        <v/>
      </c>
      <c r="AN414" s="1031">
        <f t="shared" si="190"/>
        <v>0</v>
      </c>
      <c r="AO414" s="1031">
        <f t="shared" si="191"/>
        <v>0</v>
      </c>
      <c r="AP414" s="1032">
        <f t="shared" si="192"/>
        <v>0</v>
      </c>
      <c r="AQ414" s="5255" t="str">
        <f t="shared" si="193"/>
        <v/>
      </c>
      <c r="AR414" s="1056"/>
      <c r="AS414" s="1056"/>
      <c r="AT414" s="1034">
        <f t="shared" si="194"/>
        <v>0</v>
      </c>
      <c r="AU414" s="1035">
        <f t="shared" si="195"/>
        <v>0</v>
      </c>
      <c r="AV414" s="1057" cm="1">
        <f t="array" ref="AV414">IF(AJ414&lt;&gt;1,0,IF(OR(AT414="",N(AT414)&lt;=0.000000001),"",IF(OR(AN414="",N(AN414)&lt;=0.000000001),0,IF(ISNUMBER(AT414),IFERROR(_xlfn.LET(_xlpm.ai_test,TRIM(AI414),_xlpm.r,IFERROR(_xlfn.XLOOKUP(_xlpm.ai_test,$BI$15:$BI$62,ROW($BI$15:$BI$62),0,1),IFERROR(_xlfn.XLOOKUP(_xlpm.ai_test,$BJ$15:$BJ$62,ROW($BJ$15:$BJ$62),0,1),_xlfn.XLOOKUP(_xlpm.ai_test,$BK$15:$BK$62,ROW($BK$15:$BK$62),0,1))),_xlpm.p,_xlpm.r-MIN(ROW($BI$15:$BI$62))+1,_xlpm.f,INDEX($BL$15:$BL$62,_xlpm.p),_xlpm.u,INDEX($BM$15:$BM$62,_xlpm.p),_xlpm.s,INDEX($BO$15:$BO$62,_xlpm.p),_xlpm.q,N(AT414)/_xlpm.f,IF(_xlpm.q&gt;=_xlpm.s,ROUND(_xlpm.q,1)&amp;" "&amp;_xlpm.ai_test&amp;" = "&amp;ROUND(_xlpm.q*_xlpm.f,1)&amp;" "&amp;_xlpm.u,ROUND(_xlpm.q,1)&amp;" "&amp;_xlpm.ai_test)),""),""))))</f>
        <v>0</v>
      </c>
      <c r="AW414" s="1047"/>
      <c r="AX414" s="1034">
        <f t="shared" si="196"/>
        <v>0</v>
      </c>
      <c r="AY414" s="1035" t="str">
        <f t="shared" si="197"/>
        <v/>
      </c>
      <c r="AZ414" s="1036">
        <f t="shared" si="202"/>
        <v>0</v>
      </c>
      <c r="BA414" s="1037" t="str">
        <f t="shared" si="198"/>
        <v/>
      </c>
      <c r="BB414" s="1038"/>
      <c r="BC414" s="1039">
        <f t="shared" si="203"/>
        <v>0</v>
      </c>
      <c r="BD414" s="1040" t="str">
        <f t="shared" si="199"/>
        <v/>
      </c>
      <c r="BE414" s="227" t="s">
        <v>22</v>
      </c>
      <c r="BF414" s="1019">
        <f t="shared" si="200"/>
        <v>0</v>
      </c>
      <c r="BG414" s="1020">
        <f t="shared" si="201"/>
        <v>0</v>
      </c>
      <c r="BH414"/>
      <c r="BI414" s="709"/>
      <c r="BJ414" s="709"/>
      <c r="BK414" s="709"/>
      <c r="BL414" s="709"/>
      <c r="BM414" s="709"/>
      <c r="BN414" s="709"/>
      <c r="BO414" s="709"/>
      <c r="BP414" s="709"/>
      <c r="BW414" s="959" t="str">
        <f t="shared" si="182"/>
        <v>►</v>
      </c>
      <c r="BX414" s="856"/>
      <c r="BY414" s="856"/>
      <c r="BZ414" s="856"/>
      <c r="CA414" s="856"/>
      <c r="CB414" s="856"/>
      <c r="DB414" s="3">
        <v>1</v>
      </c>
    </row>
    <row r="415" spans="12:106" ht="21" customHeight="1">
      <c r="L415" s="104" t="s">
        <v>16</v>
      </c>
      <c r="M415" s="1172"/>
      <c r="N415" s="1172"/>
      <c r="O415" s="1172"/>
      <c r="P415" s="1173"/>
      <c r="Q415" s="1174"/>
      <c r="R415" s="1175"/>
      <c r="S415" s="1176"/>
      <c r="T415" s="1177"/>
      <c r="U415" s="5248"/>
      <c r="V415" s="1177"/>
      <c r="W415" s="5249"/>
      <c r="X415" s="5208"/>
      <c r="Y415" s="5209"/>
      <c r="Z415" s="5210"/>
      <c r="AA415" s="5211"/>
      <c r="AB415" s="1178"/>
      <c r="AC415" s="1179"/>
      <c r="AD415" s="227" t="s">
        <v>22</v>
      </c>
      <c r="AE415" s="1027" t="str">
        <f t="shared" si="183"/>
        <v>►</v>
      </c>
      <c r="AF415" s="1028" t="str">
        <f t="shared" si="184"/>
        <v/>
      </c>
      <c r="AG415" s="1029" t="str">
        <f t="shared" si="185"/>
        <v/>
      </c>
      <c r="AH415" s="1028" t="str">
        <f t="shared" si="186"/>
        <v/>
      </c>
      <c r="AI415" s="1029" t="str">
        <f t="shared" si="187"/>
        <v/>
      </c>
      <c r="AJ415" s="1029">
        <f t="shared" si="188"/>
        <v>0</v>
      </c>
      <c r="AK415" s="1043" t="str" cm="1">
        <f t="array" ref="AK415">IF(AE415&lt;&gt;"A","",IFERROR((IFERROR(_xlfn.XLOOKUP(TRIM(SUBSTITUTE(U415,CHAR(160)," ")),$BI$15:$BI$62,$BL$15:$BL$62),IFERROR(_xlfn.XLOOKUP(TRIM(SUBSTITUTE(U415,CHAR(160)," ")),$BJ$15:$BJ$62,$BL$15:$BL$62),_xlfn.XLOOKUP(TRIM(SUBSTITUTE(U415,CHAR(160)," ")),$BK$15:$BK$62,$BL$15:$BL$62))))*T415*IF(ISBLANK(Q415),1,Q415)+IFERROR(_xlfn.XLOOKUP("RECHERCHEX",TRIM(L415:AC415),L415:AC415),0),0))</f>
        <v/>
      </c>
      <c r="AL415" s="1030">
        <f t="shared" si="189"/>
        <v>0</v>
      </c>
      <c r="AM415" s="5254" t="str">
        <f t="shared" si="204"/>
        <v/>
      </c>
      <c r="AN415" s="1031">
        <f t="shared" si="190"/>
        <v>0</v>
      </c>
      <c r="AO415" s="1031">
        <f t="shared" si="191"/>
        <v>0</v>
      </c>
      <c r="AP415" s="1044">
        <f t="shared" si="192"/>
        <v>0</v>
      </c>
      <c r="AQ415" s="5257" t="str">
        <f t="shared" si="193"/>
        <v/>
      </c>
      <c r="AR415" s="1056"/>
      <c r="AS415" s="1056"/>
      <c r="AT415" s="1045">
        <f t="shared" si="194"/>
        <v>0</v>
      </c>
      <c r="AU415" s="1046">
        <f t="shared" si="195"/>
        <v>0</v>
      </c>
      <c r="AV415" s="1059" cm="1">
        <f t="array" ref="AV415">IF(AJ415&lt;&gt;1,0,IF(OR(AT415="",N(AT415)&lt;=0.000000001),"",IF(OR(AN415="",N(AN415)&lt;=0.000000001),0,IF(ISNUMBER(AT415),IFERROR(_xlfn.LET(_xlpm.ai_test,TRIM(AI415),_xlpm.r,IFERROR(_xlfn.XLOOKUP(_xlpm.ai_test,$BI$15:$BI$62,ROW($BI$15:$BI$62),0,1),IFERROR(_xlfn.XLOOKUP(_xlpm.ai_test,$BJ$15:$BJ$62,ROW($BJ$15:$BJ$62),0,1),_xlfn.XLOOKUP(_xlpm.ai_test,$BK$15:$BK$62,ROW($BK$15:$BK$62),0,1))),_xlpm.p,_xlpm.r-MIN(ROW($BI$15:$BI$62))+1,_xlpm.f,INDEX($BL$15:$BL$62,_xlpm.p),_xlpm.u,INDEX($BM$15:$BM$62,_xlpm.p),_xlpm.s,INDEX($BO$15:$BO$62,_xlpm.p),_xlpm.q,N(AT415)/_xlpm.f,IF(_xlpm.q&gt;=_xlpm.s,ROUND(_xlpm.q,1)&amp;" "&amp;_xlpm.ai_test&amp;" = "&amp;ROUND(_xlpm.q*_xlpm.f,1)&amp;" "&amp;_xlpm.u,ROUND(_xlpm.q,1)&amp;" "&amp;_xlpm.ai_test)),""),""))))</f>
        <v>0</v>
      </c>
      <c r="AW415" s="1047"/>
      <c r="AX415" s="1045">
        <f t="shared" si="196"/>
        <v>0</v>
      </c>
      <c r="AY415" s="1046" t="str">
        <f t="shared" si="197"/>
        <v/>
      </c>
      <c r="AZ415" s="1048">
        <f t="shared" si="202"/>
        <v>0</v>
      </c>
      <c r="BA415" s="1049" t="str">
        <f t="shared" si="198"/>
        <v/>
      </c>
      <c r="BB415" s="1038"/>
      <c r="BC415" s="1050">
        <f t="shared" si="203"/>
        <v>0</v>
      </c>
      <c r="BD415" s="1040" t="str">
        <f t="shared" si="199"/>
        <v/>
      </c>
      <c r="BE415" s="227" t="s">
        <v>22</v>
      </c>
      <c r="BF415" s="1019">
        <f t="shared" si="200"/>
        <v>0</v>
      </c>
      <c r="BG415" s="1020">
        <f t="shared" si="201"/>
        <v>0</v>
      </c>
      <c r="BH415"/>
      <c r="BI415" s="709"/>
      <c r="BJ415" s="709"/>
      <c r="BK415" s="709"/>
      <c r="BL415" s="709"/>
      <c r="BM415" s="709"/>
      <c r="BN415" s="709"/>
      <c r="BO415" s="709"/>
      <c r="BP415" s="709"/>
      <c r="BW415" s="959" t="str">
        <f t="shared" si="182"/>
        <v>►</v>
      </c>
      <c r="BX415" s="856"/>
      <c r="BY415" s="856"/>
      <c r="BZ415" s="856"/>
      <c r="CA415" s="856"/>
      <c r="CB415" s="856"/>
      <c r="DB415" s="3">
        <v>1</v>
      </c>
    </row>
    <row r="416" spans="12:106" ht="21" customHeight="1">
      <c r="L416" s="104" t="s">
        <v>16</v>
      </c>
      <c r="M416" s="1172"/>
      <c r="N416" s="1172"/>
      <c r="O416" s="1172"/>
      <c r="P416" s="1173"/>
      <c r="Q416" s="1174"/>
      <c r="R416" s="1175"/>
      <c r="S416" s="1176"/>
      <c r="T416" s="1177"/>
      <c r="U416" s="5248"/>
      <c r="V416" s="1177"/>
      <c r="W416" s="5249"/>
      <c r="X416" s="5208"/>
      <c r="Y416" s="5209"/>
      <c r="Z416" s="5210"/>
      <c r="AA416" s="5211"/>
      <c r="AB416" s="1178"/>
      <c r="AC416" s="1179"/>
      <c r="AD416" s="227" t="s">
        <v>22</v>
      </c>
      <c r="AE416" s="1027" t="str">
        <f t="shared" si="183"/>
        <v>►</v>
      </c>
      <c r="AF416" s="1028" t="str">
        <f t="shared" si="184"/>
        <v/>
      </c>
      <c r="AG416" s="1029" t="str">
        <f t="shared" si="185"/>
        <v/>
      </c>
      <c r="AH416" s="1028" t="str">
        <f t="shared" si="186"/>
        <v/>
      </c>
      <c r="AI416" s="1029" t="str">
        <f t="shared" si="187"/>
        <v/>
      </c>
      <c r="AJ416" s="1029">
        <f t="shared" si="188"/>
        <v>0</v>
      </c>
      <c r="AK416" s="1043" t="str" cm="1">
        <f t="array" ref="AK416">IF(AE416&lt;&gt;"A","",IFERROR((IFERROR(_xlfn.XLOOKUP(TRIM(SUBSTITUTE(U416,CHAR(160)," ")),$BI$15:$BI$62,$BL$15:$BL$62),IFERROR(_xlfn.XLOOKUP(TRIM(SUBSTITUTE(U416,CHAR(160)," ")),$BJ$15:$BJ$62,$BL$15:$BL$62),_xlfn.XLOOKUP(TRIM(SUBSTITUTE(U416,CHAR(160)," ")),$BK$15:$BK$62,$BL$15:$BL$62))))*T416*IF(ISBLANK(Q416),1,Q416)+IFERROR(_xlfn.XLOOKUP("RECHERCHEX",TRIM(L416:AC416),L416:AC416),0),0))</f>
        <v/>
      </c>
      <c r="AL416" s="1030">
        <f t="shared" si="189"/>
        <v>0</v>
      </c>
      <c r="AM416" s="5254" t="str">
        <f t="shared" si="204"/>
        <v/>
      </c>
      <c r="AN416" s="1031">
        <f t="shared" si="190"/>
        <v>0</v>
      </c>
      <c r="AO416" s="1031">
        <f t="shared" si="191"/>
        <v>0</v>
      </c>
      <c r="AP416" s="1032">
        <f t="shared" si="192"/>
        <v>0</v>
      </c>
      <c r="AQ416" s="5255" t="str">
        <f t="shared" si="193"/>
        <v/>
      </c>
      <c r="AR416" s="1056"/>
      <c r="AS416" s="1056"/>
      <c r="AT416" s="1034">
        <f t="shared" si="194"/>
        <v>0</v>
      </c>
      <c r="AU416" s="1035">
        <f t="shared" si="195"/>
        <v>0</v>
      </c>
      <c r="AV416" s="1057" cm="1">
        <f t="array" ref="AV416">IF(AJ416&lt;&gt;1,0,IF(OR(AT416="",N(AT416)&lt;=0.000000001),"",IF(OR(AN416="",N(AN416)&lt;=0.000000001),0,IF(ISNUMBER(AT416),IFERROR(_xlfn.LET(_xlpm.ai_test,TRIM(AI416),_xlpm.r,IFERROR(_xlfn.XLOOKUP(_xlpm.ai_test,$BI$15:$BI$62,ROW($BI$15:$BI$62),0,1),IFERROR(_xlfn.XLOOKUP(_xlpm.ai_test,$BJ$15:$BJ$62,ROW($BJ$15:$BJ$62),0,1),_xlfn.XLOOKUP(_xlpm.ai_test,$BK$15:$BK$62,ROW($BK$15:$BK$62),0,1))),_xlpm.p,_xlpm.r-MIN(ROW($BI$15:$BI$62))+1,_xlpm.f,INDEX($BL$15:$BL$62,_xlpm.p),_xlpm.u,INDEX($BM$15:$BM$62,_xlpm.p),_xlpm.s,INDEX($BO$15:$BO$62,_xlpm.p),_xlpm.q,N(AT416)/_xlpm.f,IF(_xlpm.q&gt;=_xlpm.s,ROUND(_xlpm.q,1)&amp;" "&amp;_xlpm.ai_test&amp;" = "&amp;ROUND(_xlpm.q*_xlpm.f,1)&amp;" "&amp;_xlpm.u,ROUND(_xlpm.q,1)&amp;" "&amp;_xlpm.ai_test)),""),""))))</f>
        <v>0</v>
      </c>
      <c r="AW416" s="1047"/>
      <c r="AX416" s="1034">
        <f t="shared" si="196"/>
        <v>0</v>
      </c>
      <c r="AY416" s="1035" t="str">
        <f t="shared" si="197"/>
        <v/>
      </c>
      <c r="AZ416" s="1036">
        <f t="shared" si="202"/>
        <v>0</v>
      </c>
      <c r="BA416" s="1037" t="str">
        <f t="shared" si="198"/>
        <v/>
      </c>
      <c r="BB416" s="1038"/>
      <c r="BC416" s="1039">
        <f t="shared" si="203"/>
        <v>0</v>
      </c>
      <c r="BD416" s="1040" t="str">
        <f t="shared" si="199"/>
        <v/>
      </c>
      <c r="BE416" s="227" t="s">
        <v>22</v>
      </c>
      <c r="BF416" s="1019">
        <f t="shared" si="200"/>
        <v>0</v>
      </c>
      <c r="BG416" s="1020">
        <f t="shared" si="201"/>
        <v>0</v>
      </c>
      <c r="BH416"/>
      <c r="BI416" s="709"/>
      <c r="BJ416" s="709"/>
      <c r="BK416" s="709"/>
      <c r="BL416" s="709"/>
      <c r="BM416" s="709"/>
      <c r="BN416" s="709"/>
      <c r="BO416" s="709"/>
      <c r="BP416" s="709"/>
      <c r="BW416" s="959" t="str">
        <f t="shared" si="182"/>
        <v>►</v>
      </c>
      <c r="BX416" s="856"/>
      <c r="BY416" s="856"/>
      <c r="BZ416" s="856"/>
      <c r="CA416" s="856"/>
      <c r="CB416" s="856"/>
      <c r="DB416" s="3">
        <v>1</v>
      </c>
    </row>
    <row r="417" spans="12:106" ht="21" customHeight="1">
      <c r="L417" s="104" t="s">
        <v>16</v>
      </c>
      <c r="M417" s="1172"/>
      <c r="N417" s="1172"/>
      <c r="O417" s="1172"/>
      <c r="P417" s="1173"/>
      <c r="Q417" s="1174"/>
      <c r="R417" s="1175"/>
      <c r="S417" s="1176"/>
      <c r="T417" s="1177"/>
      <c r="U417" s="5248"/>
      <c r="V417" s="1177"/>
      <c r="W417" s="5249"/>
      <c r="X417" s="5208"/>
      <c r="Y417" s="5209"/>
      <c r="Z417" s="5210"/>
      <c r="AA417" s="5211"/>
      <c r="AB417" s="1178"/>
      <c r="AC417" s="1179"/>
      <c r="AD417" s="227" t="s">
        <v>22</v>
      </c>
      <c r="AE417" s="1027" t="str">
        <f t="shared" si="183"/>
        <v>►</v>
      </c>
      <c r="AF417" s="1028" t="str">
        <f t="shared" si="184"/>
        <v/>
      </c>
      <c r="AG417" s="1029" t="str">
        <f t="shared" si="185"/>
        <v/>
      </c>
      <c r="AH417" s="1028" t="str">
        <f t="shared" si="186"/>
        <v/>
      </c>
      <c r="AI417" s="1029" t="str">
        <f t="shared" si="187"/>
        <v/>
      </c>
      <c r="AJ417" s="1029">
        <f t="shared" si="188"/>
        <v>0</v>
      </c>
      <c r="AK417" s="1043" t="str" cm="1">
        <f t="array" ref="AK417">IF(AE417&lt;&gt;"A","",IFERROR((IFERROR(_xlfn.XLOOKUP(TRIM(SUBSTITUTE(U417,CHAR(160)," ")),$BI$15:$BI$62,$BL$15:$BL$62),IFERROR(_xlfn.XLOOKUP(TRIM(SUBSTITUTE(U417,CHAR(160)," ")),$BJ$15:$BJ$62,$BL$15:$BL$62),_xlfn.XLOOKUP(TRIM(SUBSTITUTE(U417,CHAR(160)," ")),$BK$15:$BK$62,$BL$15:$BL$62))))*T417*IF(ISBLANK(Q417),1,Q417)+IFERROR(_xlfn.XLOOKUP("RECHERCHEX",TRIM(L417:AC417),L417:AC417),0),0))</f>
        <v/>
      </c>
      <c r="AL417" s="1030">
        <f t="shared" si="189"/>
        <v>0</v>
      </c>
      <c r="AM417" s="5254" t="str">
        <f t="shared" si="204"/>
        <v/>
      </c>
      <c r="AN417" s="1031">
        <f t="shared" si="190"/>
        <v>0</v>
      </c>
      <c r="AO417" s="1031">
        <f t="shared" si="191"/>
        <v>0</v>
      </c>
      <c r="AP417" s="1044">
        <f t="shared" si="192"/>
        <v>0</v>
      </c>
      <c r="AQ417" s="5257" t="str">
        <f t="shared" si="193"/>
        <v/>
      </c>
      <c r="AR417" s="1056"/>
      <c r="AS417" s="1056"/>
      <c r="AT417" s="1045">
        <f t="shared" si="194"/>
        <v>0</v>
      </c>
      <c r="AU417" s="1046">
        <f t="shared" si="195"/>
        <v>0</v>
      </c>
      <c r="AV417" s="1059" cm="1">
        <f t="array" ref="AV417">IF(AJ417&lt;&gt;1,0,IF(OR(AT417="",N(AT417)&lt;=0.000000001),"",IF(OR(AN417="",N(AN417)&lt;=0.000000001),0,IF(ISNUMBER(AT417),IFERROR(_xlfn.LET(_xlpm.ai_test,TRIM(AI417),_xlpm.r,IFERROR(_xlfn.XLOOKUP(_xlpm.ai_test,$BI$15:$BI$62,ROW($BI$15:$BI$62),0,1),IFERROR(_xlfn.XLOOKUP(_xlpm.ai_test,$BJ$15:$BJ$62,ROW($BJ$15:$BJ$62),0,1),_xlfn.XLOOKUP(_xlpm.ai_test,$BK$15:$BK$62,ROW($BK$15:$BK$62),0,1))),_xlpm.p,_xlpm.r-MIN(ROW($BI$15:$BI$62))+1,_xlpm.f,INDEX($BL$15:$BL$62,_xlpm.p),_xlpm.u,INDEX($BM$15:$BM$62,_xlpm.p),_xlpm.s,INDEX($BO$15:$BO$62,_xlpm.p),_xlpm.q,N(AT417)/_xlpm.f,IF(_xlpm.q&gt;=_xlpm.s,ROUND(_xlpm.q,1)&amp;" "&amp;_xlpm.ai_test&amp;" = "&amp;ROUND(_xlpm.q*_xlpm.f,1)&amp;" "&amp;_xlpm.u,ROUND(_xlpm.q,1)&amp;" "&amp;_xlpm.ai_test)),""),""))))</f>
        <v>0</v>
      </c>
      <c r="AW417" s="1047"/>
      <c r="AX417" s="1045">
        <f t="shared" si="196"/>
        <v>0</v>
      </c>
      <c r="AY417" s="1046" t="str">
        <f t="shared" si="197"/>
        <v/>
      </c>
      <c r="AZ417" s="1048">
        <f t="shared" si="202"/>
        <v>0</v>
      </c>
      <c r="BA417" s="1049" t="str">
        <f t="shared" si="198"/>
        <v/>
      </c>
      <c r="BB417" s="1038"/>
      <c r="BC417" s="1050">
        <f t="shared" si="203"/>
        <v>0</v>
      </c>
      <c r="BD417" s="1040" t="str">
        <f t="shared" si="199"/>
        <v/>
      </c>
      <c r="BE417" s="227" t="s">
        <v>22</v>
      </c>
      <c r="BF417" s="1019">
        <f t="shared" si="200"/>
        <v>0</v>
      </c>
      <c r="BG417" s="1020">
        <f t="shared" si="201"/>
        <v>0</v>
      </c>
      <c r="BH417"/>
      <c r="BI417" s="709"/>
      <c r="BJ417" s="709"/>
      <c r="BK417" s="709"/>
      <c r="BL417" s="709"/>
      <c r="BM417" s="709"/>
      <c r="BN417" s="709"/>
      <c r="BO417" s="709"/>
      <c r="BP417" s="709"/>
      <c r="BW417" s="959" t="str">
        <f t="shared" si="182"/>
        <v>►</v>
      </c>
      <c r="BX417" s="856"/>
      <c r="BY417" s="856"/>
      <c r="BZ417" s="856"/>
      <c r="CA417" s="856"/>
      <c r="CB417" s="856"/>
      <c r="DB417" s="3">
        <v>1</v>
      </c>
    </row>
    <row r="418" spans="12:106" ht="21" customHeight="1">
      <c r="L418" s="104" t="s">
        <v>16</v>
      </c>
      <c r="M418" s="1172"/>
      <c r="N418" s="1172"/>
      <c r="O418" s="1172"/>
      <c r="P418" s="1173"/>
      <c r="Q418" s="1174"/>
      <c r="R418" s="1175"/>
      <c r="S418" s="1176"/>
      <c r="T418" s="1177"/>
      <c r="U418" s="5248"/>
      <c r="V418" s="1177"/>
      <c r="W418" s="5249"/>
      <c r="X418" s="5208"/>
      <c r="Y418" s="5209"/>
      <c r="Z418" s="5210"/>
      <c r="AA418" s="5211"/>
      <c r="AB418" s="1178"/>
      <c r="AC418" s="1179"/>
      <c r="AD418" s="227" t="s">
        <v>22</v>
      </c>
      <c r="AE418" s="1027" t="str">
        <f t="shared" si="183"/>
        <v>►</v>
      </c>
      <c r="AF418" s="1028" t="str">
        <f t="shared" si="184"/>
        <v/>
      </c>
      <c r="AG418" s="1029" t="str">
        <f t="shared" si="185"/>
        <v/>
      </c>
      <c r="AH418" s="1028" t="str">
        <f t="shared" si="186"/>
        <v/>
      </c>
      <c r="AI418" s="1029" t="str">
        <f t="shared" si="187"/>
        <v/>
      </c>
      <c r="AJ418" s="1029">
        <f t="shared" si="188"/>
        <v>0</v>
      </c>
      <c r="AK418" s="1043" t="str" cm="1">
        <f t="array" ref="AK418">IF(AE418&lt;&gt;"A","",IFERROR((IFERROR(_xlfn.XLOOKUP(TRIM(SUBSTITUTE(U418,CHAR(160)," ")),$BI$15:$BI$62,$BL$15:$BL$62),IFERROR(_xlfn.XLOOKUP(TRIM(SUBSTITUTE(U418,CHAR(160)," ")),$BJ$15:$BJ$62,$BL$15:$BL$62),_xlfn.XLOOKUP(TRIM(SUBSTITUTE(U418,CHAR(160)," ")),$BK$15:$BK$62,$BL$15:$BL$62))))*T418*IF(ISBLANK(Q418),1,Q418)+IFERROR(_xlfn.XLOOKUP("RECHERCHEX",TRIM(L418:AC418),L418:AC418),0),0))</f>
        <v/>
      </c>
      <c r="AL418" s="1030">
        <f t="shared" si="189"/>
        <v>0</v>
      </c>
      <c r="AM418" s="5254" t="str">
        <f t="shared" si="204"/>
        <v/>
      </c>
      <c r="AN418" s="1031">
        <f t="shared" si="190"/>
        <v>0</v>
      </c>
      <c r="AO418" s="1031">
        <f t="shared" si="191"/>
        <v>0</v>
      </c>
      <c r="AP418" s="1032">
        <f t="shared" si="192"/>
        <v>0</v>
      </c>
      <c r="AQ418" s="5255" t="str">
        <f t="shared" si="193"/>
        <v/>
      </c>
      <c r="AR418" s="1056"/>
      <c r="AS418" s="1056"/>
      <c r="AT418" s="1034">
        <f t="shared" si="194"/>
        <v>0</v>
      </c>
      <c r="AU418" s="1035">
        <f t="shared" si="195"/>
        <v>0</v>
      </c>
      <c r="AV418" s="1057" cm="1">
        <f t="array" ref="AV418">IF(AJ418&lt;&gt;1,0,IF(OR(AT418="",N(AT418)&lt;=0.000000001),"",IF(OR(AN418="",N(AN418)&lt;=0.000000001),0,IF(ISNUMBER(AT418),IFERROR(_xlfn.LET(_xlpm.ai_test,TRIM(AI418),_xlpm.r,IFERROR(_xlfn.XLOOKUP(_xlpm.ai_test,$BI$15:$BI$62,ROW($BI$15:$BI$62),0,1),IFERROR(_xlfn.XLOOKUP(_xlpm.ai_test,$BJ$15:$BJ$62,ROW($BJ$15:$BJ$62),0,1),_xlfn.XLOOKUP(_xlpm.ai_test,$BK$15:$BK$62,ROW($BK$15:$BK$62),0,1))),_xlpm.p,_xlpm.r-MIN(ROW($BI$15:$BI$62))+1,_xlpm.f,INDEX($BL$15:$BL$62,_xlpm.p),_xlpm.u,INDEX($BM$15:$BM$62,_xlpm.p),_xlpm.s,INDEX($BO$15:$BO$62,_xlpm.p),_xlpm.q,N(AT418)/_xlpm.f,IF(_xlpm.q&gt;=_xlpm.s,ROUND(_xlpm.q,1)&amp;" "&amp;_xlpm.ai_test&amp;" = "&amp;ROUND(_xlpm.q*_xlpm.f,1)&amp;" "&amp;_xlpm.u,ROUND(_xlpm.q,1)&amp;" "&amp;_xlpm.ai_test)),""),""))))</f>
        <v>0</v>
      </c>
      <c r="AW418" s="1047"/>
      <c r="AX418" s="1034">
        <f t="shared" si="196"/>
        <v>0</v>
      </c>
      <c r="AY418" s="1035" t="str">
        <f t="shared" si="197"/>
        <v/>
      </c>
      <c r="AZ418" s="1036">
        <f t="shared" si="202"/>
        <v>0</v>
      </c>
      <c r="BA418" s="1037" t="str">
        <f t="shared" si="198"/>
        <v/>
      </c>
      <c r="BB418" s="1038"/>
      <c r="BC418" s="1039">
        <f t="shared" si="203"/>
        <v>0</v>
      </c>
      <c r="BD418" s="1040" t="str">
        <f t="shared" si="199"/>
        <v/>
      </c>
      <c r="BE418" s="227" t="s">
        <v>22</v>
      </c>
      <c r="BF418" s="1019">
        <f t="shared" si="200"/>
        <v>0</v>
      </c>
      <c r="BG418" s="1020">
        <f t="shared" si="201"/>
        <v>0</v>
      </c>
      <c r="BH418"/>
      <c r="BI418" s="709"/>
      <c r="BJ418" s="709"/>
      <c r="BK418" s="709"/>
      <c r="BL418" s="709"/>
      <c r="BM418" s="709"/>
      <c r="BN418" s="709"/>
      <c r="BO418" s="709"/>
      <c r="BP418" s="709"/>
      <c r="BW418" s="959" t="str">
        <f t="shared" si="182"/>
        <v>►</v>
      </c>
      <c r="BX418" s="856"/>
      <c r="BY418" s="856"/>
      <c r="BZ418" s="856"/>
      <c r="CA418" s="856"/>
      <c r="CB418" s="856"/>
      <c r="DB418" s="3">
        <v>1</v>
      </c>
    </row>
    <row r="419" spans="12:106" ht="21" customHeight="1">
      <c r="L419" s="104" t="s">
        <v>16</v>
      </c>
      <c r="M419" s="1172"/>
      <c r="N419" s="1172"/>
      <c r="O419" s="1172"/>
      <c r="P419" s="1173"/>
      <c r="Q419" s="1174"/>
      <c r="R419" s="1175"/>
      <c r="S419" s="1176"/>
      <c r="T419" s="1177"/>
      <c r="U419" s="5248"/>
      <c r="V419" s="1177"/>
      <c r="W419" s="5249"/>
      <c r="X419" s="5208"/>
      <c r="Y419" s="5209"/>
      <c r="Z419" s="5210"/>
      <c r="AA419" s="5211"/>
      <c r="AB419" s="1178"/>
      <c r="AC419" s="1179"/>
      <c r="AD419" s="227" t="s">
        <v>22</v>
      </c>
      <c r="AE419" s="1027" t="str">
        <f t="shared" si="183"/>
        <v>►</v>
      </c>
      <c r="AF419" s="1028" t="str">
        <f t="shared" si="184"/>
        <v/>
      </c>
      <c r="AG419" s="1029" t="str">
        <f t="shared" si="185"/>
        <v/>
      </c>
      <c r="AH419" s="1028" t="str">
        <f t="shared" si="186"/>
        <v/>
      </c>
      <c r="AI419" s="1029" t="str">
        <f t="shared" si="187"/>
        <v/>
      </c>
      <c r="AJ419" s="1029">
        <f t="shared" si="188"/>
        <v>0</v>
      </c>
      <c r="AK419" s="1043" t="str" cm="1">
        <f t="array" ref="AK419">IF(AE419&lt;&gt;"A","",IFERROR((IFERROR(_xlfn.XLOOKUP(TRIM(SUBSTITUTE(U419,CHAR(160)," ")),$BI$15:$BI$62,$BL$15:$BL$62),IFERROR(_xlfn.XLOOKUP(TRIM(SUBSTITUTE(U419,CHAR(160)," ")),$BJ$15:$BJ$62,$BL$15:$BL$62),_xlfn.XLOOKUP(TRIM(SUBSTITUTE(U419,CHAR(160)," ")),$BK$15:$BK$62,$BL$15:$BL$62))))*T419*IF(ISBLANK(Q419),1,Q419)+IFERROR(_xlfn.XLOOKUP("RECHERCHEX",TRIM(L419:AC419),L419:AC419),0),0))</f>
        <v/>
      </c>
      <c r="AL419" s="1030">
        <f t="shared" si="189"/>
        <v>0</v>
      </c>
      <c r="AM419" s="5254" t="str">
        <f t="shared" si="204"/>
        <v/>
      </c>
      <c r="AN419" s="1031">
        <f t="shared" si="190"/>
        <v>0</v>
      </c>
      <c r="AO419" s="1031">
        <f t="shared" si="191"/>
        <v>0</v>
      </c>
      <c r="AP419" s="1044">
        <f t="shared" si="192"/>
        <v>0</v>
      </c>
      <c r="AQ419" s="5257" t="str">
        <f t="shared" si="193"/>
        <v/>
      </c>
      <c r="AR419" s="1056"/>
      <c r="AS419" s="1056"/>
      <c r="AT419" s="1045">
        <f t="shared" si="194"/>
        <v>0</v>
      </c>
      <c r="AU419" s="1046">
        <f t="shared" si="195"/>
        <v>0</v>
      </c>
      <c r="AV419" s="1059" cm="1">
        <f t="array" ref="AV419">IF(AJ419&lt;&gt;1,0,IF(OR(AT419="",N(AT419)&lt;=0.000000001),"",IF(OR(AN419="",N(AN419)&lt;=0.000000001),0,IF(ISNUMBER(AT419),IFERROR(_xlfn.LET(_xlpm.ai_test,TRIM(AI419),_xlpm.r,IFERROR(_xlfn.XLOOKUP(_xlpm.ai_test,$BI$15:$BI$62,ROW($BI$15:$BI$62),0,1),IFERROR(_xlfn.XLOOKUP(_xlpm.ai_test,$BJ$15:$BJ$62,ROW($BJ$15:$BJ$62),0,1),_xlfn.XLOOKUP(_xlpm.ai_test,$BK$15:$BK$62,ROW($BK$15:$BK$62),0,1))),_xlpm.p,_xlpm.r-MIN(ROW($BI$15:$BI$62))+1,_xlpm.f,INDEX($BL$15:$BL$62,_xlpm.p),_xlpm.u,INDEX($BM$15:$BM$62,_xlpm.p),_xlpm.s,INDEX($BO$15:$BO$62,_xlpm.p),_xlpm.q,N(AT419)/_xlpm.f,IF(_xlpm.q&gt;=_xlpm.s,ROUND(_xlpm.q,1)&amp;" "&amp;_xlpm.ai_test&amp;" = "&amp;ROUND(_xlpm.q*_xlpm.f,1)&amp;" "&amp;_xlpm.u,ROUND(_xlpm.q,1)&amp;" "&amp;_xlpm.ai_test)),""),""))))</f>
        <v>0</v>
      </c>
      <c r="AW419" s="1047"/>
      <c r="AX419" s="1045">
        <f t="shared" si="196"/>
        <v>0</v>
      </c>
      <c r="AY419" s="1046" t="str">
        <f t="shared" si="197"/>
        <v/>
      </c>
      <c r="AZ419" s="1048">
        <f t="shared" si="202"/>
        <v>0</v>
      </c>
      <c r="BA419" s="1049" t="str">
        <f t="shared" si="198"/>
        <v/>
      </c>
      <c r="BB419" s="1038"/>
      <c r="BC419" s="1050">
        <f t="shared" si="203"/>
        <v>0</v>
      </c>
      <c r="BD419" s="1040" t="str">
        <f t="shared" si="199"/>
        <v/>
      </c>
      <c r="BE419" s="227" t="s">
        <v>22</v>
      </c>
      <c r="BF419" s="1019">
        <f t="shared" si="200"/>
        <v>0</v>
      </c>
      <c r="BG419" s="1020">
        <f t="shared" si="201"/>
        <v>0</v>
      </c>
      <c r="BH419"/>
      <c r="BI419" s="709"/>
      <c r="BJ419" s="709"/>
      <c r="BK419" s="709"/>
      <c r="BL419" s="709"/>
      <c r="BM419" s="709"/>
      <c r="BN419" s="709"/>
      <c r="BO419" s="709"/>
      <c r="BP419" s="709"/>
      <c r="BW419" s="959" t="str">
        <f t="shared" si="182"/>
        <v>►</v>
      </c>
      <c r="BX419" s="856"/>
      <c r="BY419" s="856"/>
      <c r="BZ419" s="856"/>
      <c r="CA419" s="856"/>
      <c r="CB419" s="856"/>
      <c r="DB419" s="3">
        <v>1</v>
      </c>
    </row>
    <row r="420" spans="12:106" ht="21" customHeight="1">
      <c r="L420" s="104" t="s">
        <v>16</v>
      </c>
      <c r="M420" s="1172"/>
      <c r="N420" s="1172"/>
      <c r="O420" s="1172"/>
      <c r="P420" s="1173"/>
      <c r="Q420" s="1174"/>
      <c r="R420" s="1175"/>
      <c r="S420" s="1176"/>
      <c r="T420" s="1177"/>
      <c r="U420" s="5248"/>
      <c r="V420" s="1177"/>
      <c r="W420" s="5249"/>
      <c r="X420" s="5208"/>
      <c r="Y420" s="5209"/>
      <c r="Z420" s="5210"/>
      <c r="AA420" s="5211"/>
      <c r="AB420" s="1178"/>
      <c r="AC420" s="1179"/>
      <c r="AD420" s="227" t="s">
        <v>22</v>
      </c>
      <c r="AE420" s="1027" t="str">
        <f t="shared" si="183"/>
        <v>►</v>
      </c>
      <c r="AF420" s="1028" t="str">
        <f t="shared" si="184"/>
        <v/>
      </c>
      <c r="AG420" s="1029" t="str">
        <f t="shared" si="185"/>
        <v/>
      </c>
      <c r="AH420" s="1028" t="str">
        <f t="shared" si="186"/>
        <v/>
      </c>
      <c r="AI420" s="1029" t="str">
        <f t="shared" si="187"/>
        <v/>
      </c>
      <c r="AJ420" s="1029">
        <f t="shared" si="188"/>
        <v>0</v>
      </c>
      <c r="AK420" s="1043" t="str" cm="1">
        <f t="array" ref="AK420">IF(AE420&lt;&gt;"A","",IFERROR((IFERROR(_xlfn.XLOOKUP(TRIM(SUBSTITUTE(U420,CHAR(160)," ")),$BI$15:$BI$62,$BL$15:$BL$62),IFERROR(_xlfn.XLOOKUP(TRIM(SUBSTITUTE(U420,CHAR(160)," ")),$BJ$15:$BJ$62,$BL$15:$BL$62),_xlfn.XLOOKUP(TRIM(SUBSTITUTE(U420,CHAR(160)," ")),$BK$15:$BK$62,$BL$15:$BL$62))))*T420*IF(ISBLANK(Q420),1,Q420)+IFERROR(_xlfn.XLOOKUP("RECHERCHEX",TRIM(L420:AC420),L420:AC420),0),0))</f>
        <v/>
      </c>
      <c r="AL420" s="1030">
        <f t="shared" si="189"/>
        <v>0</v>
      </c>
      <c r="AM420" s="5254" t="str">
        <f t="shared" si="204"/>
        <v/>
      </c>
      <c r="AN420" s="1031">
        <f t="shared" si="190"/>
        <v>0</v>
      </c>
      <c r="AO420" s="1031">
        <f t="shared" si="191"/>
        <v>0</v>
      </c>
      <c r="AP420" s="1032">
        <f t="shared" si="192"/>
        <v>0</v>
      </c>
      <c r="AQ420" s="5255" t="str">
        <f t="shared" si="193"/>
        <v/>
      </c>
      <c r="AR420" s="1056"/>
      <c r="AS420" s="1056"/>
      <c r="AT420" s="1034">
        <f t="shared" si="194"/>
        <v>0</v>
      </c>
      <c r="AU420" s="1035">
        <f t="shared" si="195"/>
        <v>0</v>
      </c>
      <c r="AV420" s="1057" cm="1">
        <f t="array" ref="AV420">IF(AJ420&lt;&gt;1,0,IF(OR(AT420="",N(AT420)&lt;=0.000000001),"",IF(OR(AN420="",N(AN420)&lt;=0.000000001),0,IF(ISNUMBER(AT420),IFERROR(_xlfn.LET(_xlpm.ai_test,TRIM(AI420),_xlpm.r,IFERROR(_xlfn.XLOOKUP(_xlpm.ai_test,$BI$15:$BI$62,ROW($BI$15:$BI$62),0,1),IFERROR(_xlfn.XLOOKUP(_xlpm.ai_test,$BJ$15:$BJ$62,ROW($BJ$15:$BJ$62),0,1),_xlfn.XLOOKUP(_xlpm.ai_test,$BK$15:$BK$62,ROW($BK$15:$BK$62),0,1))),_xlpm.p,_xlpm.r-MIN(ROW($BI$15:$BI$62))+1,_xlpm.f,INDEX($BL$15:$BL$62,_xlpm.p),_xlpm.u,INDEX($BM$15:$BM$62,_xlpm.p),_xlpm.s,INDEX($BO$15:$BO$62,_xlpm.p),_xlpm.q,N(AT420)/_xlpm.f,IF(_xlpm.q&gt;=_xlpm.s,ROUND(_xlpm.q,1)&amp;" "&amp;_xlpm.ai_test&amp;" = "&amp;ROUND(_xlpm.q*_xlpm.f,1)&amp;" "&amp;_xlpm.u,ROUND(_xlpm.q,1)&amp;" "&amp;_xlpm.ai_test)),""),""))))</f>
        <v>0</v>
      </c>
      <c r="AW420" s="1047"/>
      <c r="AX420" s="1034">
        <f t="shared" si="196"/>
        <v>0</v>
      </c>
      <c r="AY420" s="1035" t="str">
        <f t="shared" si="197"/>
        <v/>
      </c>
      <c r="AZ420" s="1036">
        <f t="shared" si="202"/>
        <v>0</v>
      </c>
      <c r="BA420" s="1037" t="str">
        <f t="shared" si="198"/>
        <v/>
      </c>
      <c r="BB420" s="1038"/>
      <c r="BC420" s="1039">
        <f t="shared" si="203"/>
        <v>0</v>
      </c>
      <c r="BD420" s="1040" t="str">
        <f t="shared" si="199"/>
        <v/>
      </c>
      <c r="BE420" s="227" t="s">
        <v>22</v>
      </c>
      <c r="BF420" s="1019">
        <f t="shared" si="200"/>
        <v>0</v>
      </c>
      <c r="BG420" s="1020">
        <f t="shared" si="201"/>
        <v>0</v>
      </c>
      <c r="BH420"/>
      <c r="BI420" s="709"/>
      <c r="BJ420" s="709"/>
      <c r="BK420" s="709"/>
      <c r="BL420" s="709"/>
      <c r="BM420" s="709"/>
      <c r="BN420" s="709"/>
      <c r="BO420" s="709"/>
      <c r="BP420" s="709"/>
      <c r="BW420" s="959" t="str">
        <f t="shared" si="182"/>
        <v>►</v>
      </c>
      <c r="BX420" s="856"/>
      <c r="BY420" s="856"/>
      <c r="BZ420" s="856"/>
      <c r="CA420" s="856"/>
      <c r="CB420" s="856"/>
      <c r="DB420" s="3">
        <v>1</v>
      </c>
    </row>
    <row r="421" spans="12:106" ht="21" customHeight="1">
      <c r="L421" s="104" t="s">
        <v>16</v>
      </c>
      <c r="M421" s="1172"/>
      <c r="N421" s="1172"/>
      <c r="O421" s="1172"/>
      <c r="P421" s="1173"/>
      <c r="Q421" s="1174"/>
      <c r="R421" s="1175"/>
      <c r="S421" s="1176"/>
      <c r="T421" s="1177"/>
      <c r="U421" s="5248"/>
      <c r="V421" s="1177"/>
      <c r="W421" s="5249"/>
      <c r="X421" s="5208"/>
      <c r="Y421" s="5209"/>
      <c r="Z421" s="5210"/>
      <c r="AA421" s="5211"/>
      <c r="AB421" s="1178"/>
      <c r="AC421" s="1179"/>
      <c r="AD421" s="227" t="s">
        <v>22</v>
      </c>
      <c r="AE421" s="1027" t="str">
        <f t="shared" si="183"/>
        <v>►</v>
      </c>
      <c r="AF421" s="1028" t="str">
        <f t="shared" si="184"/>
        <v/>
      </c>
      <c r="AG421" s="1029" t="str">
        <f t="shared" si="185"/>
        <v/>
      </c>
      <c r="AH421" s="1028" t="str">
        <f t="shared" si="186"/>
        <v/>
      </c>
      <c r="AI421" s="1029" t="str">
        <f t="shared" si="187"/>
        <v/>
      </c>
      <c r="AJ421" s="1029">
        <f t="shared" si="188"/>
        <v>0</v>
      </c>
      <c r="AK421" s="1043" t="str" cm="1">
        <f t="array" ref="AK421">IF(AE421&lt;&gt;"A","",IFERROR((IFERROR(_xlfn.XLOOKUP(TRIM(SUBSTITUTE(U421,CHAR(160)," ")),$BI$15:$BI$62,$BL$15:$BL$62),IFERROR(_xlfn.XLOOKUP(TRIM(SUBSTITUTE(U421,CHAR(160)," ")),$BJ$15:$BJ$62,$BL$15:$BL$62),_xlfn.XLOOKUP(TRIM(SUBSTITUTE(U421,CHAR(160)," ")),$BK$15:$BK$62,$BL$15:$BL$62))))*T421*IF(ISBLANK(Q421),1,Q421)+IFERROR(_xlfn.XLOOKUP("RECHERCHEX",TRIM(L421:AC421),L421:AC421),0),0))</f>
        <v/>
      </c>
      <c r="AL421" s="1030">
        <f t="shared" si="189"/>
        <v>0</v>
      </c>
      <c r="AM421" s="5254" t="str">
        <f t="shared" si="204"/>
        <v/>
      </c>
      <c r="AN421" s="1031">
        <f t="shared" si="190"/>
        <v>0</v>
      </c>
      <c r="AO421" s="1031">
        <f t="shared" si="191"/>
        <v>0</v>
      </c>
      <c r="AP421" s="1044">
        <f t="shared" si="192"/>
        <v>0</v>
      </c>
      <c r="AQ421" s="5257" t="str">
        <f t="shared" si="193"/>
        <v/>
      </c>
      <c r="AR421" s="1056"/>
      <c r="AS421" s="1056"/>
      <c r="AT421" s="1045">
        <f t="shared" si="194"/>
        <v>0</v>
      </c>
      <c r="AU421" s="1046">
        <f t="shared" si="195"/>
        <v>0</v>
      </c>
      <c r="AV421" s="1059" cm="1">
        <f t="array" ref="AV421">IF(AJ421&lt;&gt;1,0,IF(OR(AT421="",N(AT421)&lt;=0.000000001),"",IF(OR(AN421="",N(AN421)&lt;=0.000000001),0,IF(ISNUMBER(AT421),IFERROR(_xlfn.LET(_xlpm.ai_test,TRIM(AI421),_xlpm.r,IFERROR(_xlfn.XLOOKUP(_xlpm.ai_test,$BI$15:$BI$62,ROW($BI$15:$BI$62),0,1),IFERROR(_xlfn.XLOOKUP(_xlpm.ai_test,$BJ$15:$BJ$62,ROW($BJ$15:$BJ$62),0,1),_xlfn.XLOOKUP(_xlpm.ai_test,$BK$15:$BK$62,ROW($BK$15:$BK$62),0,1))),_xlpm.p,_xlpm.r-MIN(ROW($BI$15:$BI$62))+1,_xlpm.f,INDEX($BL$15:$BL$62,_xlpm.p),_xlpm.u,INDEX($BM$15:$BM$62,_xlpm.p),_xlpm.s,INDEX($BO$15:$BO$62,_xlpm.p),_xlpm.q,N(AT421)/_xlpm.f,IF(_xlpm.q&gt;=_xlpm.s,ROUND(_xlpm.q,1)&amp;" "&amp;_xlpm.ai_test&amp;" = "&amp;ROUND(_xlpm.q*_xlpm.f,1)&amp;" "&amp;_xlpm.u,ROUND(_xlpm.q,1)&amp;" "&amp;_xlpm.ai_test)),""),""))))</f>
        <v>0</v>
      </c>
      <c r="AW421" s="1047"/>
      <c r="AX421" s="1045">
        <f t="shared" si="196"/>
        <v>0</v>
      </c>
      <c r="AY421" s="1046" t="str">
        <f t="shared" si="197"/>
        <v/>
      </c>
      <c r="AZ421" s="1048">
        <f t="shared" si="202"/>
        <v>0</v>
      </c>
      <c r="BA421" s="1049" t="str">
        <f t="shared" si="198"/>
        <v/>
      </c>
      <c r="BB421" s="1038"/>
      <c r="BC421" s="1050">
        <f t="shared" si="203"/>
        <v>0</v>
      </c>
      <c r="BD421" s="1040" t="str">
        <f t="shared" si="199"/>
        <v/>
      </c>
      <c r="BE421" s="227" t="s">
        <v>22</v>
      </c>
      <c r="BF421" s="1019">
        <f t="shared" si="200"/>
        <v>0</v>
      </c>
      <c r="BG421" s="1020">
        <f t="shared" si="201"/>
        <v>0</v>
      </c>
      <c r="BH421"/>
      <c r="BI421" s="709"/>
      <c r="BJ421" s="709"/>
      <c r="BK421" s="709"/>
      <c r="BL421" s="709"/>
      <c r="BM421" s="709"/>
      <c r="BN421" s="709"/>
      <c r="BO421" s="709"/>
      <c r="BP421" s="709"/>
      <c r="BW421" s="959" t="str">
        <f t="shared" si="182"/>
        <v>►</v>
      </c>
      <c r="BX421" s="856"/>
      <c r="BY421" s="856"/>
      <c r="BZ421" s="856"/>
      <c r="CA421" s="856"/>
      <c r="CB421" s="856"/>
      <c r="DB421" s="3">
        <v>1</v>
      </c>
    </row>
    <row r="422" spans="12:106" ht="21" customHeight="1">
      <c r="L422" s="104" t="s">
        <v>16</v>
      </c>
      <c r="M422" s="1172"/>
      <c r="N422" s="1172"/>
      <c r="O422" s="1172"/>
      <c r="P422" s="1173"/>
      <c r="Q422" s="1174"/>
      <c r="R422" s="1175"/>
      <c r="S422" s="1176"/>
      <c r="T422" s="1177"/>
      <c r="U422" s="5248"/>
      <c r="V422" s="1177"/>
      <c r="W422" s="5249"/>
      <c r="X422" s="5208"/>
      <c r="Y422" s="5209"/>
      <c r="Z422" s="5210"/>
      <c r="AA422" s="5211"/>
      <c r="AB422" s="1178"/>
      <c r="AC422" s="1179"/>
      <c r="AD422" s="227" t="s">
        <v>22</v>
      </c>
      <c r="AE422" s="1027" t="str">
        <f t="shared" si="183"/>
        <v>►</v>
      </c>
      <c r="AF422" s="1028" t="str">
        <f t="shared" si="184"/>
        <v/>
      </c>
      <c r="AG422" s="1029" t="str">
        <f t="shared" si="185"/>
        <v/>
      </c>
      <c r="AH422" s="1028" t="str">
        <f t="shared" si="186"/>
        <v/>
      </c>
      <c r="AI422" s="1029" t="str">
        <f t="shared" si="187"/>
        <v/>
      </c>
      <c r="AJ422" s="1029">
        <f t="shared" si="188"/>
        <v>0</v>
      </c>
      <c r="AK422" s="1043" t="str" cm="1">
        <f t="array" ref="AK422">IF(AE422&lt;&gt;"A","",IFERROR((IFERROR(_xlfn.XLOOKUP(TRIM(SUBSTITUTE(U422,CHAR(160)," ")),$BI$15:$BI$62,$BL$15:$BL$62),IFERROR(_xlfn.XLOOKUP(TRIM(SUBSTITUTE(U422,CHAR(160)," ")),$BJ$15:$BJ$62,$BL$15:$BL$62),_xlfn.XLOOKUP(TRIM(SUBSTITUTE(U422,CHAR(160)," ")),$BK$15:$BK$62,$BL$15:$BL$62))))*T422*IF(ISBLANK(Q422),1,Q422)+IFERROR(_xlfn.XLOOKUP("RECHERCHEX",TRIM(L422:AC422),L422:AC422),0),0))</f>
        <v/>
      </c>
      <c r="AL422" s="1030">
        <f t="shared" si="189"/>
        <v>0</v>
      </c>
      <c r="AM422" s="5254" t="str">
        <f t="shared" si="204"/>
        <v/>
      </c>
      <c r="AN422" s="1031">
        <f t="shared" si="190"/>
        <v>0</v>
      </c>
      <c r="AO422" s="1031">
        <f t="shared" si="191"/>
        <v>0</v>
      </c>
      <c r="AP422" s="1032">
        <f t="shared" si="192"/>
        <v>0</v>
      </c>
      <c r="AQ422" s="5255" t="str">
        <f t="shared" si="193"/>
        <v/>
      </c>
      <c r="AR422" s="1056"/>
      <c r="AS422" s="1056"/>
      <c r="AT422" s="1034">
        <f t="shared" si="194"/>
        <v>0</v>
      </c>
      <c r="AU422" s="1035">
        <f t="shared" si="195"/>
        <v>0</v>
      </c>
      <c r="AV422" s="1057" cm="1">
        <f t="array" ref="AV422">IF(AJ422&lt;&gt;1,0,IF(OR(AT422="",N(AT422)&lt;=0.000000001),"",IF(OR(AN422="",N(AN422)&lt;=0.000000001),0,IF(ISNUMBER(AT422),IFERROR(_xlfn.LET(_xlpm.ai_test,TRIM(AI422),_xlpm.r,IFERROR(_xlfn.XLOOKUP(_xlpm.ai_test,$BI$15:$BI$62,ROW($BI$15:$BI$62),0,1),IFERROR(_xlfn.XLOOKUP(_xlpm.ai_test,$BJ$15:$BJ$62,ROW($BJ$15:$BJ$62),0,1),_xlfn.XLOOKUP(_xlpm.ai_test,$BK$15:$BK$62,ROW($BK$15:$BK$62),0,1))),_xlpm.p,_xlpm.r-MIN(ROW($BI$15:$BI$62))+1,_xlpm.f,INDEX($BL$15:$BL$62,_xlpm.p),_xlpm.u,INDEX($BM$15:$BM$62,_xlpm.p),_xlpm.s,INDEX($BO$15:$BO$62,_xlpm.p),_xlpm.q,N(AT422)/_xlpm.f,IF(_xlpm.q&gt;=_xlpm.s,ROUND(_xlpm.q,1)&amp;" "&amp;_xlpm.ai_test&amp;" = "&amp;ROUND(_xlpm.q*_xlpm.f,1)&amp;" "&amp;_xlpm.u,ROUND(_xlpm.q,1)&amp;" "&amp;_xlpm.ai_test)),""),""))))</f>
        <v>0</v>
      </c>
      <c r="AW422" s="1047"/>
      <c r="AX422" s="1034">
        <f t="shared" si="196"/>
        <v>0</v>
      </c>
      <c r="AY422" s="1035" t="str">
        <f t="shared" si="197"/>
        <v/>
      </c>
      <c r="AZ422" s="1036">
        <f t="shared" si="202"/>
        <v>0</v>
      </c>
      <c r="BA422" s="1037" t="str">
        <f t="shared" si="198"/>
        <v/>
      </c>
      <c r="BB422" s="1038"/>
      <c r="BC422" s="1039">
        <f t="shared" si="203"/>
        <v>0</v>
      </c>
      <c r="BD422" s="1040" t="str">
        <f t="shared" si="199"/>
        <v/>
      </c>
      <c r="BE422" s="227" t="s">
        <v>22</v>
      </c>
      <c r="BF422" s="1019">
        <f t="shared" si="200"/>
        <v>0</v>
      </c>
      <c r="BG422" s="1020">
        <f t="shared" si="201"/>
        <v>0</v>
      </c>
      <c r="BH422"/>
      <c r="BI422" s="709"/>
      <c r="BJ422" s="709"/>
      <c r="BK422" s="709"/>
      <c r="BL422" s="709"/>
      <c r="BM422" s="709"/>
      <c r="BN422" s="709"/>
      <c r="BO422" s="709"/>
      <c r="BP422" s="709"/>
      <c r="BW422" s="959" t="str">
        <f t="shared" si="182"/>
        <v>►</v>
      </c>
      <c r="BX422" s="856"/>
      <c r="BY422" s="856"/>
      <c r="BZ422" s="856"/>
      <c r="CA422" s="856"/>
      <c r="CB422" s="856"/>
      <c r="DB422" s="3">
        <v>1</v>
      </c>
    </row>
    <row r="423" spans="12:106" ht="21" customHeight="1">
      <c r="L423" s="104" t="s">
        <v>16</v>
      </c>
      <c r="M423" s="1172"/>
      <c r="N423" s="1172"/>
      <c r="O423" s="1172"/>
      <c r="P423" s="1173"/>
      <c r="Q423" s="1174"/>
      <c r="R423" s="1175"/>
      <c r="S423" s="1176"/>
      <c r="T423" s="1177"/>
      <c r="U423" s="5248"/>
      <c r="V423" s="1177"/>
      <c r="W423" s="5249"/>
      <c r="X423" s="5208"/>
      <c r="Y423" s="5209"/>
      <c r="Z423" s="5210"/>
      <c r="AA423" s="5211"/>
      <c r="AB423" s="1178"/>
      <c r="AC423" s="1179"/>
      <c r="AD423" s="227" t="s">
        <v>22</v>
      </c>
      <c r="AE423" s="1027" t="str">
        <f t="shared" si="183"/>
        <v>►</v>
      </c>
      <c r="AF423" s="1028" t="str">
        <f t="shared" si="184"/>
        <v/>
      </c>
      <c r="AG423" s="1029" t="str">
        <f t="shared" si="185"/>
        <v/>
      </c>
      <c r="AH423" s="1028" t="str">
        <f t="shared" si="186"/>
        <v/>
      </c>
      <c r="AI423" s="1029" t="str">
        <f t="shared" si="187"/>
        <v/>
      </c>
      <c r="AJ423" s="1029">
        <f t="shared" si="188"/>
        <v>0</v>
      </c>
      <c r="AK423" s="1043" t="str" cm="1">
        <f t="array" ref="AK423">IF(AE423&lt;&gt;"A","",IFERROR((IFERROR(_xlfn.XLOOKUP(TRIM(SUBSTITUTE(U423,CHAR(160)," ")),$BI$15:$BI$62,$BL$15:$BL$62),IFERROR(_xlfn.XLOOKUP(TRIM(SUBSTITUTE(U423,CHAR(160)," ")),$BJ$15:$BJ$62,$BL$15:$BL$62),_xlfn.XLOOKUP(TRIM(SUBSTITUTE(U423,CHAR(160)," ")),$BK$15:$BK$62,$BL$15:$BL$62))))*T423*IF(ISBLANK(Q423),1,Q423)+IFERROR(_xlfn.XLOOKUP("RECHERCHEX",TRIM(L423:AC423),L423:AC423),0),0))</f>
        <v/>
      </c>
      <c r="AL423" s="1030">
        <f t="shared" si="189"/>
        <v>0</v>
      </c>
      <c r="AM423" s="5254" t="str">
        <f t="shared" si="204"/>
        <v/>
      </c>
      <c r="AN423" s="1031">
        <f t="shared" si="190"/>
        <v>0</v>
      </c>
      <c r="AO423" s="1031">
        <f t="shared" si="191"/>
        <v>0</v>
      </c>
      <c r="AP423" s="1044">
        <f t="shared" si="192"/>
        <v>0</v>
      </c>
      <c r="AQ423" s="5257" t="str">
        <f t="shared" si="193"/>
        <v/>
      </c>
      <c r="AR423" s="1056"/>
      <c r="AS423" s="1056"/>
      <c r="AT423" s="1045">
        <f t="shared" si="194"/>
        <v>0</v>
      </c>
      <c r="AU423" s="1046">
        <f t="shared" si="195"/>
        <v>0</v>
      </c>
      <c r="AV423" s="1059" cm="1">
        <f t="array" ref="AV423">IF(AJ423&lt;&gt;1,0,IF(OR(AT423="",N(AT423)&lt;=0.000000001),"",IF(OR(AN423="",N(AN423)&lt;=0.000000001),0,IF(ISNUMBER(AT423),IFERROR(_xlfn.LET(_xlpm.ai_test,TRIM(AI423),_xlpm.r,IFERROR(_xlfn.XLOOKUP(_xlpm.ai_test,$BI$15:$BI$62,ROW($BI$15:$BI$62),0,1),IFERROR(_xlfn.XLOOKUP(_xlpm.ai_test,$BJ$15:$BJ$62,ROW($BJ$15:$BJ$62),0,1),_xlfn.XLOOKUP(_xlpm.ai_test,$BK$15:$BK$62,ROW($BK$15:$BK$62),0,1))),_xlpm.p,_xlpm.r-MIN(ROW($BI$15:$BI$62))+1,_xlpm.f,INDEX($BL$15:$BL$62,_xlpm.p),_xlpm.u,INDEX($BM$15:$BM$62,_xlpm.p),_xlpm.s,INDEX($BO$15:$BO$62,_xlpm.p),_xlpm.q,N(AT423)/_xlpm.f,IF(_xlpm.q&gt;=_xlpm.s,ROUND(_xlpm.q,1)&amp;" "&amp;_xlpm.ai_test&amp;" = "&amp;ROUND(_xlpm.q*_xlpm.f,1)&amp;" "&amp;_xlpm.u,ROUND(_xlpm.q,1)&amp;" "&amp;_xlpm.ai_test)),""),""))))</f>
        <v>0</v>
      </c>
      <c r="AW423" s="1047"/>
      <c r="AX423" s="1045">
        <f t="shared" si="196"/>
        <v>0</v>
      </c>
      <c r="AY423" s="1046" t="str">
        <f t="shared" si="197"/>
        <v/>
      </c>
      <c r="AZ423" s="1048">
        <f t="shared" si="202"/>
        <v>0</v>
      </c>
      <c r="BA423" s="1049" t="str">
        <f t="shared" si="198"/>
        <v/>
      </c>
      <c r="BB423" s="1038"/>
      <c r="BC423" s="1050">
        <f t="shared" si="203"/>
        <v>0</v>
      </c>
      <c r="BD423" s="1040" t="str">
        <f t="shared" si="199"/>
        <v/>
      </c>
      <c r="BE423" s="227" t="s">
        <v>22</v>
      </c>
      <c r="BF423" s="1019">
        <f t="shared" si="200"/>
        <v>0</v>
      </c>
      <c r="BG423" s="1020">
        <f t="shared" si="201"/>
        <v>0</v>
      </c>
      <c r="BH423"/>
      <c r="BI423" s="709"/>
      <c r="BJ423" s="709"/>
      <c r="BK423" s="709"/>
      <c r="BL423" s="709"/>
      <c r="BM423" s="709"/>
      <c r="BN423" s="709"/>
      <c r="BO423" s="709"/>
      <c r="BP423" s="709"/>
      <c r="BW423" s="959" t="str">
        <f t="shared" si="182"/>
        <v>►</v>
      </c>
      <c r="BX423" s="856"/>
      <c r="BY423" s="856"/>
      <c r="BZ423" s="856"/>
      <c r="CA423" s="856"/>
      <c r="CB423" s="856"/>
      <c r="DB423" s="3">
        <v>1</v>
      </c>
    </row>
    <row r="424" spans="12:106" ht="21" customHeight="1">
      <c r="L424" s="104" t="s">
        <v>16</v>
      </c>
      <c r="M424" s="1172"/>
      <c r="N424" s="1172"/>
      <c r="O424" s="1172"/>
      <c r="P424" s="1173"/>
      <c r="Q424" s="1174"/>
      <c r="R424" s="1175"/>
      <c r="S424" s="1176"/>
      <c r="T424" s="1177"/>
      <c r="U424" s="5248"/>
      <c r="V424" s="1177"/>
      <c r="W424" s="5249"/>
      <c r="X424" s="5208"/>
      <c r="Y424" s="5209"/>
      <c r="Z424" s="5210"/>
      <c r="AA424" s="5211"/>
      <c r="AB424" s="1178"/>
      <c r="AC424" s="1179"/>
      <c r="AD424" s="227" t="s">
        <v>22</v>
      </c>
      <c r="AE424" s="1027" t="str">
        <f t="shared" si="183"/>
        <v>►</v>
      </c>
      <c r="AF424" s="1028" t="str">
        <f t="shared" si="184"/>
        <v/>
      </c>
      <c r="AG424" s="1029" t="str">
        <f t="shared" si="185"/>
        <v/>
      </c>
      <c r="AH424" s="1028" t="str">
        <f t="shared" si="186"/>
        <v/>
      </c>
      <c r="AI424" s="1029" t="str">
        <f t="shared" si="187"/>
        <v/>
      </c>
      <c r="AJ424" s="1029">
        <f t="shared" si="188"/>
        <v>0</v>
      </c>
      <c r="AK424" s="1043" t="str" cm="1">
        <f t="array" ref="AK424">IF(AE424&lt;&gt;"A","",IFERROR((IFERROR(_xlfn.XLOOKUP(TRIM(SUBSTITUTE(U424,CHAR(160)," ")),$BI$15:$BI$62,$BL$15:$BL$62),IFERROR(_xlfn.XLOOKUP(TRIM(SUBSTITUTE(U424,CHAR(160)," ")),$BJ$15:$BJ$62,$BL$15:$BL$62),_xlfn.XLOOKUP(TRIM(SUBSTITUTE(U424,CHAR(160)," ")),$BK$15:$BK$62,$BL$15:$BL$62))))*T424*IF(ISBLANK(Q424),1,Q424)+IFERROR(_xlfn.XLOOKUP("RECHERCHEX",TRIM(L424:AC424),L424:AC424),0),0))</f>
        <v/>
      </c>
      <c r="AL424" s="1030">
        <f t="shared" si="189"/>
        <v>0</v>
      </c>
      <c r="AM424" s="5254" t="str">
        <f t="shared" si="204"/>
        <v/>
      </c>
      <c r="AN424" s="1031">
        <f t="shared" si="190"/>
        <v>0</v>
      </c>
      <c r="AO424" s="1031">
        <f t="shared" si="191"/>
        <v>0</v>
      </c>
      <c r="AP424" s="1032">
        <f t="shared" si="192"/>
        <v>0</v>
      </c>
      <c r="AQ424" s="5255" t="str">
        <f t="shared" si="193"/>
        <v/>
      </c>
      <c r="AR424" s="1056"/>
      <c r="AS424" s="1056"/>
      <c r="AT424" s="1034">
        <f t="shared" si="194"/>
        <v>0</v>
      </c>
      <c r="AU424" s="1035">
        <f t="shared" si="195"/>
        <v>0</v>
      </c>
      <c r="AV424" s="1057" cm="1">
        <f t="array" ref="AV424">IF(AJ424&lt;&gt;1,0,IF(OR(AT424="",N(AT424)&lt;=0.000000001),"",IF(OR(AN424="",N(AN424)&lt;=0.000000001),0,IF(ISNUMBER(AT424),IFERROR(_xlfn.LET(_xlpm.ai_test,TRIM(AI424),_xlpm.r,IFERROR(_xlfn.XLOOKUP(_xlpm.ai_test,$BI$15:$BI$62,ROW($BI$15:$BI$62),0,1),IFERROR(_xlfn.XLOOKUP(_xlpm.ai_test,$BJ$15:$BJ$62,ROW($BJ$15:$BJ$62),0,1),_xlfn.XLOOKUP(_xlpm.ai_test,$BK$15:$BK$62,ROW($BK$15:$BK$62),0,1))),_xlpm.p,_xlpm.r-MIN(ROW($BI$15:$BI$62))+1,_xlpm.f,INDEX($BL$15:$BL$62,_xlpm.p),_xlpm.u,INDEX($BM$15:$BM$62,_xlpm.p),_xlpm.s,INDEX($BO$15:$BO$62,_xlpm.p),_xlpm.q,N(AT424)/_xlpm.f,IF(_xlpm.q&gt;=_xlpm.s,ROUND(_xlpm.q,1)&amp;" "&amp;_xlpm.ai_test&amp;" = "&amp;ROUND(_xlpm.q*_xlpm.f,1)&amp;" "&amp;_xlpm.u,ROUND(_xlpm.q,1)&amp;" "&amp;_xlpm.ai_test)),""),""))))</f>
        <v>0</v>
      </c>
      <c r="AW424" s="1047"/>
      <c r="AX424" s="1034">
        <f t="shared" si="196"/>
        <v>0</v>
      </c>
      <c r="AY424" s="1035" t="str">
        <f t="shared" si="197"/>
        <v/>
      </c>
      <c r="AZ424" s="1036">
        <f t="shared" si="202"/>
        <v>0</v>
      </c>
      <c r="BA424" s="1037" t="str">
        <f t="shared" si="198"/>
        <v/>
      </c>
      <c r="BB424" s="1038"/>
      <c r="BC424" s="1039">
        <f t="shared" si="203"/>
        <v>0</v>
      </c>
      <c r="BD424" s="1040" t="str">
        <f t="shared" si="199"/>
        <v/>
      </c>
      <c r="BE424" s="227" t="s">
        <v>22</v>
      </c>
      <c r="BF424" s="1019">
        <f t="shared" si="200"/>
        <v>0</v>
      </c>
      <c r="BG424" s="1020">
        <f t="shared" si="201"/>
        <v>0</v>
      </c>
      <c r="BH424"/>
      <c r="BI424" s="709"/>
      <c r="BJ424" s="709"/>
      <c r="BK424" s="709"/>
      <c r="BL424" s="709"/>
      <c r="BM424" s="709"/>
      <c r="BN424" s="709"/>
      <c r="BO424" s="709"/>
      <c r="BP424" s="709"/>
      <c r="BW424" s="959" t="str">
        <f t="shared" si="182"/>
        <v>►</v>
      </c>
      <c r="BX424" s="856"/>
      <c r="BY424" s="856"/>
      <c r="BZ424" s="856"/>
      <c r="CA424" s="856"/>
      <c r="CB424" s="856"/>
      <c r="DB424" s="3">
        <v>1</v>
      </c>
    </row>
    <row r="425" spans="12:106" ht="21" customHeight="1">
      <c r="L425" s="104" t="s">
        <v>16</v>
      </c>
      <c r="M425" s="1172"/>
      <c r="N425" s="1172"/>
      <c r="O425" s="1172"/>
      <c r="P425" s="1173"/>
      <c r="Q425" s="1174"/>
      <c r="R425" s="1175"/>
      <c r="S425" s="1176"/>
      <c r="T425" s="1177"/>
      <c r="U425" s="5248"/>
      <c r="V425" s="1177"/>
      <c r="W425" s="5249"/>
      <c r="X425" s="5208"/>
      <c r="Y425" s="5209"/>
      <c r="Z425" s="5210"/>
      <c r="AA425" s="5211"/>
      <c r="AB425" s="1178"/>
      <c r="AC425" s="1179"/>
      <c r="AD425" s="227" t="s">
        <v>22</v>
      </c>
      <c r="AE425" s="1027" t="str">
        <f t="shared" si="183"/>
        <v>►</v>
      </c>
      <c r="AF425" s="1028" t="str">
        <f t="shared" si="184"/>
        <v/>
      </c>
      <c r="AG425" s="1029" t="str">
        <f t="shared" si="185"/>
        <v/>
      </c>
      <c r="AH425" s="1028" t="str">
        <f t="shared" si="186"/>
        <v/>
      </c>
      <c r="AI425" s="1029" t="str">
        <f t="shared" si="187"/>
        <v/>
      </c>
      <c r="AJ425" s="1029">
        <f t="shared" si="188"/>
        <v>0</v>
      </c>
      <c r="AK425" s="1043" t="str" cm="1">
        <f t="array" ref="AK425">IF(AE425&lt;&gt;"A","",IFERROR((IFERROR(_xlfn.XLOOKUP(TRIM(SUBSTITUTE(U425,CHAR(160)," ")),$BI$15:$BI$62,$BL$15:$BL$62),IFERROR(_xlfn.XLOOKUP(TRIM(SUBSTITUTE(U425,CHAR(160)," ")),$BJ$15:$BJ$62,$BL$15:$BL$62),_xlfn.XLOOKUP(TRIM(SUBSTITUTE(U425,CHAR(160)," ")),$BK$15:$BK$62,$BL$15:$BL$62))))*T425*IF(ISBLANK(Q425),1,Q425)+IFERROR(_xlfn.XLOOKUP("RECHERCHEX",TRIM(L425:AC425),L425:AC425),0),0))</f>
        <v/>
      </c>
      <c r="AL425" s="1030">
        <f t="shared" si="189"/>
        <v>0</v>
      </c>
      <c r="AM425" s="5254" t="str">
        <f t="shared" si="204"/>
        <v/>
      </c>
      <c r="AN425" s="1031">
        <f t="shared" si="190"/>
        <v>0</v>
      </c>
      <c r="AO425" s="1031">
        <f t="shared" si="191"/>
        <v>0</v>
      </c>
      <c r="AP425" s="1044">
        <f t="shared" si="192"/>
        <v>0</v>
      </c>
      <c r="AQ425" s="5257" t="str">
        <f t="shared" si="193"/>
        <v/>
      </c>
      <c r="AR425" s="1056"/>
      <c r="AS425" s="1056"/>
      <c r="AT425" s="1045">
        <f t="shared" si="194"/>
        <v>0</v>
      </c>
      <c r="AU425" s="1046">
        <f t="shared" si="195"/>
        <v>0</v>
      </c>
      <c r="AV425" s="1059" cm="1">
        <f t="array" ref="AV425">IF(AJ425&lt;&gt;1,0,IF(OR(AT425="",N(AT425)&lt;=0.000000001),"",IF(OR(AN425="",N(AN425)&lt;=0.000000001),0,IF(ISNUMBER(AT425),IFERROR(_xlfn.LET(_xlpm.ai_test,TRIM(AI425),_xlpm.r,IFERROR(_xlfn.XLOOKUP(_xlpm.ai_test,$BI$15:$BI$62,ROW($BI$15:$BI$62),0,1),IFERROR(_xlfn.XLOOKUP(_xlpm.ai_test,$BJ$15:$BJ$62,ROW($BJ$15:$BJ$62),0,1),_xlfn.XLOOKUP(_xlpm.ai_test,$BK$15:$BK$62,ROW($BK$15:$BK$62),0,1))),_xlpm.p,_xlpm.r-MIN(ROW($BI$15:$BI$62))+1,_xlpm.f,INDEX($BL$15:$BL$62,_xlpm.p),_xlpm.u,INDEX($BM$15:$BM$62,_xlpm.p),_xlpm.s,INDEX($BO$15:$BO$62,_xlpm.p),_xlpm.q,N(AT425)/_xlpm.f,IF(_xlpm.q&gt;=_xlpm.s,ROUND(_xlpm.q,1)&amp;" "&amp;_xlpm.ai_test&amp;" = "&amp;ROUND(_xlpm.q*_xlpm.f,1)&amp;" "&amp;_xlpm.u,ROUND(_xlpm.q,1)&amp;" "&amp;_xlpm.ai_test)),""),""))))</f>
        <v>0</v>
      </c>
      <c r="AW425" s="1047"/>
      <c r="AX425" s="1045">
        <f t="shared" si="196"/>
        <v>0</v>
      </c>
      <c r="AY425" s="1046" t="str">
        <f t="shared" si="197"/>
        <v/>
      </c>
      <c r="AZ425" s="1048">
        <f t="shared" si="202"/>
        <v>0</v>
      </c>
      <c r="BA425" s="1049" t="str">
        <f t="shared" si="198"/>
        <v/>
      </c>
      <c r="BB425" s="1038"/>
      <c r="BC425" s="1050">
        <f t="shared" si="203"/>
        <v>0</v>
      </c>
      <c r="BD425" s="1040" t="str">
        <f t="shared" si="199"/>
        <v/>
      </c>
      <c r="BE425" s="227" t="s">
        <v>22</v>
      </c>
      <c r="BF425" s="1019">
        <f t="shared" si="200"/>
        <v>0</v>
      </c>
      <c r="BG425" s="1020">
        <f t="shared" si="201"/>
        <v>0</v>
      </c>
      <c r="BH425"/>
      <c r="BI425" s="709"/>
      <c r="BJ425" s="709"/>
      <c r="BK425" s="709"/>
      <c r="BL425" s="709"/>
      <c r="BM425" s="709"/>
      <c r="BN425" s="709"/>
      <c r="BO425" s="709"/>
      <c r="BP425" s="709"/>
      <c r="BW425" s="959" t="str">
        <f t="shared" si="182"/>
        <v>►</v>
      </c>
      <c r="BX425" s="856"/>
      <c r="BY425" s="856"/>
      <c r="BZ425" s="856"/>
      <c r="CA425" s="856"/>
      <c r="CB425" s="856"/>
      <c r="DB425" s="3">
        <v>1</v>
      </c>
    </row>
    <row r="426" spans="12:106" ht="21" customHeight="1">
      <c r="L426" s="104" t="s">
        <v>16</v>
      </c>
      <c r="M426" s="1172"/>
      <c r="N426" s="1172"/>
      <c r="O426" s="1172"/>
      <c r="P426" s="1173"/>
      <c r="Q426" s="1174"/>
      <c r="R426" s="1175"/>
      <c r="S426" s="1176"/>
      <c r="T426" s="1177"/>
      <c r="U426" s="5248"/>
      <c r="V426" s="1177"/>
      <c r="W426" s="5249"/>
      <c r="X426" s="5208"/>
      <c r="Y426" s="5209"/>
      <c r="Z426" s="5210"/>
      <c r="AA426" s="5211"/>
      <c r="AB426" s="1178"/>
      <c r="AC426" s="1179"/>
      <c r="AD426" s="227" t="s">
        <v>22</v>
      </c>
      <c r="AE426" s="1027" t="str">
        <f t="shared" si="183"/>
        <v>►</v>
      </c>
      <c r="AF426" s="1028" t="str">
        <f t="shared" si="184"/>
        <v/>
      </c>
      <c r="AG426" s="1029" t="str">
        <f t="shared" si="185"/>
        <v/>
      </c>
      <c r="AH426" s="1028" t="str">
        <f t="shared" si="186"/>
        <v/>
      </c>
      <c r="AI426" s="1029" t="str">
        <f t="shared" si="187"/>
        <v/>
      </c>
      <c r="AJ426" s="1029">
        <f t="shared" si="188"/>
        <v>0</v>
      </c>
      <c r="AK426" s="1043" t="str" cm="1">
        <f t="array" ref="AK426">IF(AE426&lt;&gt;"A","",IFERROR((IFERROR(_xlfn.XLOOKUP(TRIM(SUBSTITUTE(U426,CHAR(160)," ")),$BI$15:$BI$62,$BL$15:$BL$62),IFERROR(_xlfn.XLOOKUP(TRIM(SUBSTITUTE(U426,CHAR(160)," ")),$BJ$15:$BJ$62,$BL$15:$BL$62),_xlfn.XLOOKUP(TRIM(SUBSTITUTE(U426,CHAR(160)," ")),$BK$15:$BK$62,$BL$15:$BL$62))))*T426*IF(ISBLANK(Q426),1,Q426)+IFERROR(_xlfn.XLOOKUP("RECHERCHEX",TRIM(L426:AC426),L426:AC426),0),0))</f>
        <v/>
      </c>
      <c r="AL426" s="1030">
        <f t="shared" si="189"/>
        <v>0</v>
      </c>
      <c r="AM426" s="5254" t="str">
        <f t="shared" si="204"/>
        <v/>
      </c>
      <c r="AN426" s="1031">
        <f t="shared" si="190"/>
        <v>0</v>
      </c>
      <c r="AO426" s="1031">
        <f t="shared" si="191"/>
        <v>0</v>
      </c>
      <c r="AP426" s="1032">
        <f t="shared" si="192"/>
        <v>0</v>
      </c>
      <c r="AQ426" s="5255" t="str">
        <f t="shared" si="193"/>
        <v/>
      </c>
      <c r="AR426" s="1056"/>
      <c r="AS426" s="1056"/>
      <c r="AT426" s="1034">
        <f t="shared" si="194"/>
        <v>0</v>
      </c>
      <c r="AU426" s="1035">
        <f t="shared" si="195"/>
        <v>0</v>
      </c>
      <c r="AV426" s="1057" cm="1">
        <f t="array" ref="AV426">IF(AJ426&lt;&gt;1,0,IF(OR(AT426="",N(AT426)&lt;=0.000000001),"",IF(OR(AN426="",N(AN426)&lt;=0.000000001),0,IF(ISNUMBER(AT426),IFERROR(_xlfn.LET(_xlpm.ai_test,TRIM(AI426),_xlpm.r,IFERROR(_xlfn.XLOOKUP(_xlpm.ai_test,$BI$15:$BI$62,ROW($BI$15:$BI$62),0,1),IFERROR(_xlfn.XLOOKUP(_xlpm.ai_test,$BJ$15:$BJ$62,ROW($BJ$15:$BJ$62),0,1),_xlfn.XLOOKUP(_xlpm.ai_test,$BK$15:$BK$62,ROW($BK$15:$BK$62),0,1))),_xlpm.p,_xlpm.r-MIN(ROW($BI$15:$BI$62))+1,_xlpm.f,INDEX($BL$15:$BL$62,_xlpm.p),_xlpm.u,INDEX($BM$15:$BM$62,_xlpm.p),_xlpm.s,INDEX($BO$15:$BO$62,_xlpm.p),_xlpm.q,N(AT426)/_xlpm.f,IF(_xlpm.q&gt;=_xlpm.s,ROUND(_xlpm.q,1)&amp;" "&amp;_xlpm.ai_test&amp;" = "&amp;ROUND(_xlpm.q*_xlpm.f,1)&amp;" "&amp;_xlpm.u,ROUND(_xlpm.q,1)&amp;" "&amp;_xlpm.ai_test)),""),""))))</f>
        <v>0</v>
      </c>
      <c r="AW426" s="1047"/>
      <c r="AX426" s="1034">
        <f t="shared" si="196"/>
        <v>0</v>
      </c>
      <c r="AY426" s="1035" t="str">
        <f t="shared" si="197"/>
        <v/>
      </c>
      <c r="AZ426" s="1036">
        <f t="shared" si="202"/>
        <v>0</v>
      </c>
      <c r="BA426" s="1037" t="str">
        <f t="shared" si="198"/>
        <v/>
      </c>
      <c r="BB426" s="1038"/>
      <c r="BC426" s="1039">
        <f t="shared" si="203"/>
        <v>0</v>
      </c>
      <c r="BD426" s="1040" t="str">
        <f t="shared" si="199"/>
        <v/>
      </c>
      <c r="BE426" s="227" t="s">
        <v>22</v>
      </c>
      <c r="BF426" s="1019">
        <f t="shared" si="200"/>
        <v>0</v>
      </c>
      <c r="BG426" s="1020">
        <f t="shared" si="201"/>
        <v>0</v>
      </c>
      <c r="BH426"/>
      <c r="BI426" s="709"/>
      <c r="BJ426" s="709"/>
      <c r="BK426" s="709"/>
      <c r="BL426" s="709"/>
      <c r="BM426" s="709"/>
      <c r="BN426" s="709"/>
      <c r="BO426" s="709"/>
      <c r="BP426" s="709"/>
      <c r="BW426" s="959" t="str">
        <f t="shared" si="182"/>
        <v>►</v>
      </c>
      <c r="BX426" s="856"/>
      <c r="BY426" s="856"/>
      <c r="BZ426" s="856"/>
      <c r="CA426" s="856"/>
      <c r="CB426" s="856"/>
      <c r="DB426" s="3">
        <v>1</v>
      </c>
    </row>
    <row r="427" spans="12:106" ht="21" customHeight="1">
      <c r="L427" s="104" t="s">
        <v>16</v>
      </c>
      <c r="M427" s="1172"/>
      <c r="N427" s="1172"/>
      <c r="O427" s="1172"/>
      <c r="P427" s="1173"/>
      <c r="Q427" s="1174"/>
      <c r="R427" s="1175"/>
      <c r="S427" s="1176"/>
      <c r="T427" s="1177"/>
      <c r="U427" s="5248"/>
      <c r="V427" s="1177"/>
      <c r="W427" s="5249"/>
      <c r="X427" s="5208"/>
      <c r="Y427" s="5209"/>
      <c r="Z427" s="5210"/>
      <c r="AA427" s="5211"/>
      <c r="AB427" s="1178"/>
      <c r="AC427" s="1179"/>
      <c r="AD427" s="227" t="s">
        <v>22</v>
      </c>
      <c r="AE427" s="1027" t="str">
        <f t="shared" si="183"/>
        <v>►</v>
      </c>
      <c r="AF427" s="1028" t="str">
        <f t="shared" si="184"/>
        <v/>
      </c>
      <c r="AG427" s="1029" t="str">
        <f t="shared" si="185"/>
        <v/>
      </c>
      <c r="AH427" s="1028" t="str">
        <f t="shared" si="186"/>
        <v/>
      </c>
      <c r="AI427" s="1029" t="str">
        <f t="shared" si="187"/>
        <v/>
      </c>
      <c r="AJ427" s="1029">
        <f t="shared" si="188"/>
        <v>0</v>
      </c>
      <c r="AK427" s="1043" t="str" cm="1">
        <f t="array" ref="AK427">IF(AE427&lt;&gt;"A","",IFERROR((IFERROR(_xlfn.XLOOKUP(TRIM(SUBSTITUTE(U427,CHAR(160)," ")),$BI$15:$BI$62,$BL$15:$BL$62),IFERROR(_xlfn.XLOOKUP(TRIM(SUBSTITUTE(U427,CHAR(160)," ")),$BJ$15:$BJ$62,$BL$15:$BL$62),_xlfn.XLOOKUP(TRIM(SUBSTITUTE(U427,CHAR(160)," ")),$BK$15:$BK$62,$BL$15:$BL$62))))*T427*IF(ISBLANK(Q427),1,Q427)+IFERROR(_xlfn.XLOOKUP("RECHERCHEX",TRIM(L427:AC427),L427:AC427),0),0))</f>
        <v/>
      </c>
      <c r="AL427" s="1030">
        <f t="shared" si="189"/>
        <v>0</v>
      </c>
      <c r="AM427" s="5254" t="str">
        <f t="shared" si="204"/>
        <v/>
      </c>
      <c r="AN427" s="1031">
        <f t="shared" si="190"/>
        <v>0</v>
      </c>
      <c r="AO427" s="1031">
        <f t="shared" si="191"/>
        <v>0</v>
      </c>
      <c r="AP427" s="1044">
        <f t="shared" si="192"/>
        <v>0</v>
      </c>
      <c r="AQ427" s="5257" t="str">
        <f t="shared" si="193"/>
        <v/>
      </c>
      <c r="AR427" s="1056"/>
      <c r="AS427" s="1056"/>
      <c r="AT427" s="1045">
        <f t="shared" si="194"/>
        <v>0</v>
      </c>
      <c r="AU427" s="1046">
        <f t="shared" si="195"/>
        <v>0</v>
      </c>
      <c r="AV427" s="1059" cm="1">
        <f t="array" ref="AV427">IF(AJ427&lt;&gt;1,0,IF(OR(AT427="",N(AT427)&lt;=0.000000001),"",IF(OR(AN427="",N(AN427)&lt;=0.000000001),0,IF(ISNUMBER(AT427),IFERROR(_xlfn.LET(_xlpm.ai_test,TRIM(AI427),_xlpm.r,IFERROR(_xlfn.XLOOKUP(_xlpm.ai_test,$BI$15:$BI$62,ROW($BI$15:$BI$62),0,1),IFERROR(_xlfn.XLOOKUP(_xlpm.ai_test,$BJ$15:$BJ$62,ROW($BJ$15:$BJ$62),0,1),_xlfn.XLOOKUP(_xlpm.ai_test,$BK$15:$BK$62,ROW($BK$15:$BK$62),0,1))),_xlpm.p,_xlpm.r-MIN(ROW($BI$15:$BI$62))+1,_xlpm.f,INDEX($BL$15:$BL$62,_xlpm.p),_xlpm.u,INDEX($BM$15:$BM$62,_xlpm.p),_xlpm.s,INDEX($BO$15:$BO$62,_xlpm.p),_xlpm.q,N(AT427)/_xlpm.f,IF(_xlpm.q&gt;=_xlpm.s,ROUND(_xlpm.q,1)&amp;" "&amp;_xlpm.ai_test&amp;" = "&amp;ROUND(_xlpm.q*_xlpm.f,1)&amp;" "&amp;_xlpm.u,ROUND(_xlpm.q,1)&amp;" "&amp;_xlpm.ai_test)),""),""))))</f>
        <v>0</v>
      </c>
      <c r="AW427" s="1047"/>
      <c r="AX427" s="1045">
        <f t="shared" si="196"/>
        <v>0</v>
      </c>
      <c r="AY427" s="1046" t="str">
        <f t="shared" si="197"/>
        <v/>
      </c>
      <c r="AZ427" s="1048">
        <f t="shared" si="202"/>
        <v>0</v>
      </c>
      <c r="BA427" s="1049" t="str">
        <f t="shared" si="198"/>
        <v/>
      </c>
      <c r="BB427" s="1038"/>
      <c r="BC427" s="1050">
        <f t="shared" si="203"/>
        <v>0</v>
      </c>
      <c r="BD427" s="1040" t="str">
        <f t="shared" si="199"/>
        <v/>
      </c>
      <c r="BE427" s="227" t="s">
        <v>22</v>
      </c>
      <c r="BF427" s="1019">
        <f t="shared" si="200"/>
        <v>0</v>
      </c>
      <c r="BG427" s="1020">
        <f t="shared" si="201"/>
        <v>0</v>
      </c>
      <c r="BH427"/>
      <c r="BI427" s="709"/>
      <c r="BJ427" s="709"/>
      <c r="BK427" s="709"/>
      <c r="BL427" s="709"/>
      <c r="BM427" s="709"/>
      <c r="BN427" s="709"/>
      <c r="BO427" s="709"/>
      <c r="BP427" s="709"/>
      <c r="BW427" s="959" t="str">
        <f t="shared" si="182"/>
        <v>►</v>
      </c>
      <c r="BX427" s="856"/>
      <c r="BY427" s="856"/>
      <c r="BZ427" s="856"/>
      <c r="CA427" s="856"/>
      <c r="CB427" s="856"/>
      <c r="DB427" s="3">
        <v>1</v>
      </c>
    </row>
    <row r="428" spans="12:106" ht="21" customHeight="1">
      <c r="L428" s="104" t="s">
        <v>16</v>
      </c>
      <c r="M428" s="1172"/>
      <c r="N428" s="1172"/>
      <c r="O428" s="1172"/>
      <c r="P428" s="1173"/>
      <c r="Q428" s="1174"/>
      <c r="R428" s="1175"/>
      <c r="S428" s="1176"/>
      <c r="T428" s="1177"/>
      <c r="U428" s="5248"/>
      <c r="V428" s="1177"/>
      <c r="W428" s="5249"/>
      <c r="X428" s="5208"/>
      <c r="Y428" s="5209"/>
      <c r="Z428" s="5210"/>
      <c r="AA428" s="5211"/>
      <c r="AB428" s="1178"/>
      <c r="AC428" s="1179"/>
      <c r="AD428" s="227" t="s">
        <v>22</v>
      </c>
      <c r="AE428" s="1027" t="str">
        <f t="shared" si="183"/>
        <v>►</v>
      </c>
      <c r="AF428" s="1028" t="str">
        <f t="shared" si="184"/>
        <v/>
      </c>
      <c r="AG428" s="1029" t="str">
        <f t="shared" si="185"/>
        <v/>
      </c>
      <c r="AH428" s="1028" t="str">
        <f t="shared" si="186"/>
        <v/>
      </c>
      <c r="AI428" s="1029" t="str">
        <f t="shared" si="187"/>
        <v/>
      </c>
      <c r="AJ428" s="1029">
        <f t="shared" si="188"/>
        <v>0</v>
      </c>
      <c r="AK428" s="1043" t="str" cm="1">
        <f t="array" ref="AK428">IF(AE428&lt;&gt;"A","",IFERROR((IFERROR(_xlfn.XLOOKUP(TRIM(SUBSTITUTE(U428,CHAR(160)," ")),$BI$15:$BI$62,$BL$15:$BL$62),IFERROR(_xlfn.XLOOKUP(TRIM(SUBSTITUTE(U428,CHAR(160)," ")),$BJ$15:$BJ$62,$BL$15:$BL$62),_xlfn.XLOOKUP(TRIM(SUBSTITUTE(U428,CHAR(160)," ")),$BK$15:$BK$62,$BL$15:$BL$62))))*T428*IF(ISBLANK(Q428),1,Q428)+IFERROR(_xlfn.XLOOKUP("RECHERCHEX",TRIM(L428:AC428),L428:AC428),0),0))</f>
        <v/>
      </c>
      <c r="AL428" s="1030">
        <f t="shared" si="189"/>
        <v>0</v>
      </c>
      <c r="AM428" s="5254" t="str">
        <f t="shared" si="204"/>
        <v/>
      </c>
      <c r="AN428" s="1031">
        <f t="shared" si="190"/>
        <v>0</v>
      </c>
      <c r="AO428" s="1031">
        <f t="shared" si="191"/>
        <v>0</v>
      </c>
      <c r="AP428" s="1032">
        <f t="shared" si="192"/>
        <v>0</v>
      </c>
      <c r="AQ428" s="5255" t="str">
        <f t="shared" si="193"/>
        <v/>
      </c>
      <c r="AR428" s="1056"/>
      <c r="AS428" s="1056"/>
      <c r="AT428" s="1034">
        <f t="shared" si="194"/>
        <v>0</v>
      </c>
      <c r="AU428" s="1035">
        <f t="shared" si="195"/>
        <v>0</v>
      </c>
      <c r="AV428" s="1057" cm="1">
        <f t="array" ref="AV428">IF(AJ428&lt;&gt;1,0,IF(OR(AT428="",N(AT428)&lt;=0.000000001),"",IF(OR(AN428="",N(AN428)&lt;=0.000000001),0,IF(ISNUMBER(AT428),IFERROR(_xlfn.LET(_xlpm.ai_test,TRIM(AI428),_xlpm.r,IFERROR(_xlfn.XLOOKUP(_xlpm.ai_test,$BI$15:$BI$62,ROW($BI$15:$BI$62),0,1),IFERROR(_xlfn.XLOOKUP(_xlpm.ai_test,$BJ$15:$BJ$62,ROW($BJ$15:$BJ$62),0,1),_xlfn.XLOOKUP(_xlpm.ai_test,$BK$15:$BK$62,ROW($BK$15:$BK$62),0,1))),_xlpm.p,_xlpm.r-MIN(ROW($BI$15:$BI$62))+1,_xlpm.f,INDEX($BL$15:$BL$62,_xlpm.p),_xlpm.u,INDEX($BM$15:$BM$62,_xlpm.p),_xlpm.s,INDEX($BO$15:$BO$62,_xlpm.p),_xlpm.q,N(AT428)/_xlpm.f,IF(_xlpm.q&gt;=_xlpm.s,ROUND(_xlpm.q,1)&amp;" "&amp;_xlpm.ai_test&amp;" = "&amp;ROUND(_xlpm.q*_xlpm.f,1)&amp;" "&amp;_xlpm.u,ROUND(_xlpm.q,1)&amp;" "&amp;_xlpm.ai_test)),""),""))))</f>
        <v>0</v>
      </c>
      <c r="AW428" s="1047"/>
      <c r="AX428" s="1034">
        <f t="shared" si="196"/>
        <v>0</v>
      </c>
      <c r="AY428" s="1035" t="str">
        <f t="shared" si="197"/>
        <v/>
      </c>
      <c r="AZ428" s="1036">
        <f t="shared" si="202"/>
        <v>0</v>
      </c>
      <c r="BA428" s="1037" t="str">
        <f t="shared" si="198"/>
        <v/>
      </c>
      <c r="BB428" s="1038"/>
      <c r="BC428" s="1039">
        <f t="shared" si="203"/>
        <v>0</v>
      </c>
      <c r="BD428" s="1040" t="str">
        <f t="shared" si="199"/>
        <v/>
      </c>
      <c r="BE428" s="227" t="s">
        <v>22</v>
      </c>
      <c r="BF428" s="1019">
        <f t="shared" si="200"/>
        <v>0</v>
      </c>
      <c r="BG428" s="1020">
        <f t="shared" si="201"/>
        <v>0</v>
      </c>
      <c r="BH428"/>
      <c r="BI428" s="709"/>
      <c r="BJ428" s="709"/>
      <c r="BK428" s="709"/>
      <c r="BL428" s="709"/>
      <c r="BM428" s="709"/>
      <c r="BN428" s="709"/>
      <c r="BO428" s="709"/>
      <c r="BP428" s="709"/>
      <c r="BW428" s="959" t="str">
        <f t="shared" si="182"/>
        <v>►</v>
      </c>
      <c r="BX428" s="856"/>
      <c r="BY428" s="856"/>
      <c r="BZ428" s="856"/>
      <c r="CA428" s="856"/>
      <c r="CB428" s="856"/>
      <c r="DB428" s="3">
        <v>1</v>
      </c>
    </row>
    <row r="429" spans="12:106" ht="21" customHeight="1">
      <c r="L429" s="104" t="s">
        <v>16</v>
      </c>
      <c r="M429" s="1172"/>
      <c r="N429" s="1172"/>
      <c r="O429" s="1172"/>
      <c r="P429" s="1173"/>
      <c r="Q429" s="1174"/>
      <c r="R429" s="1175"/>
      <c r="S429" s="1176"/>
      <c r="T429" s="1177"/>
      <c r="U429" s="5248"/>
      <c r="V429" s="1177"/>
      <c r="W429" s="5249"/>
      <c r="X429" s="5208"/>
      <c r="Y429" s="5209"/>
      <c r="Z429" s="5210"/>
      <c r="AA429" s="5211"/>
      <c r="AB429" s="1178"/>
      <c r="AC429" s="1179"/>
      <c r="AD429" s="227" t="s">
        <v>22</v>
      </c>
      <c r="AE429" s="1027" t="str">
        <f t="shared" si="183"/>
        <v>►</v>
      </c>
      <c r="AF429" s="1028" t="str">
        <f t="shared" si="184"/>
        <v/>
      </c>
      <c r="AG429" s="1029" t="str">
        <f t="shared" si="185"/>
        <v/>
      </c>
      <c r="AH429" s="1028" t="str">
        <f t="shared" si="186"/>
        <v/>
      </c>
      <c r="AI429" s="1029" t="str">
        <f t="shared" si="187"/>
        <v/>
      </c>
      <c r="AJ429" s="1029">
        <f t="shared" si="188"/>
        <v>0</v>
      </c>
      <c r="AK429" s="1043" t="str" cm="1">
        <f t="array" ref="AK429">IF(AE429&lt;&gt;"A","",IFERROR((IFERROR(_xlfn.XLOOKUP(TRIM(SUBSTITUTE(U429,CHAR(160)," ")),$BI$15:$BI$62,$BL$15:$BL$62),IFERROR(_xlfn.XLOOKUP(TRIM(SUBSTITUTE(U429,CHAR(160)," ")),$BJ$15:$BJ$62,$BL$15:$BL$62),_xlfn.XLOOKUP(TRIM(SUBSTITUTE(U429,CHAR(160)," ")),$BK$15:$BK$62,$BL$15:$BL$62))))*T429*IF(ISBLANK(Q429),1,Q429)+IFERROR(_xlfn.XLOOKUP("RECHERCHEX",TRIM(L429:AC429),L429:AC429),0),0))</f>
        <v/>
      </c>
      <c r="AL429" s="1030">
        <f t="shared" si="189"/>
        <v>0</v>
      </c>
      <c r="AM429" s="5254" t="str">
        <f t="shared" si="204"/>
        <v/>
      </c>
      <c r="AN429" s="1031">
        <f t="shared" si="190"/>
        <v>0</v>
      </c>
      <c r="AO429" s="1031">
        <f t="shared" si="191"/>
        <v>0</v>
      </c>
      <c r="AP429" s="1044">
        <f t="shared" si="192"/>
        <v>0</v>
      </c>
      <c r="AQ429" s="5257" t="str">
        <f t="shared" si="193"/>
        <v/>
      </c>
      <c r="AR429" s="1056"/>
      <c r="AS429" s="1056"/>
      <c r="AT429" s="1045">
        <f t="shared" si="194"/>
        <v>0</v>
      </c>
      <c r="AU429" s="1046">
        <f t="shared" si="195"/>
        <v>0</v>
      </c>
      <c r="AV429" s="1059" cm="1">
        <f t="array" ref="AV429">IF(AJ429&lt;&gt;1,0,IF(OR(AT429="",N(AT429)&lt;=0.000000001),"",IF(OR(AN429="",N(AN429)&lt;=0.000000001),0,IF(ISNUMBER(AT429),IFERROR(_xlfn.LET(_xlpm.ai_test,TRIM(AI429),_xlpm.r,IFERROR(_xlfn.XLOOKUP(_xlpm.ai_test,$BI$15:$BI$62,ROW($BI$15:$BI$62),0,1),IFERROR(_xlfn.XLOOKUP(_xlpm.ai_test,$BJ$15:$BJ$62,ROW($BJ$15:$BJ$62),0,1),_xlfn.XLOOKUP(_xlpm.ai_test,$BK$15:$BK$62,ROW($BK$15:$BK$62),0,1))),_xlpm.p,_xlpm.r-MIN(ROW($BI$15:$BI$62))+1,_xlpm.f,INDEX($BL$15:$BL$62,_xlpm.p),_xlpm.u,INDEX($BM$15:$BM$62,_xlpm.p),_xlpm.s,INDEX($BO$15:$BO$62,_xlpm.p),_xlpm.q,N(AT429)/_xlpm.f,IF(_xlpm.q&gt;=_xlpm.s,ROUND(_xlpm.q,1)&amp;" "&amp;_xlpm.ai_test&amp;" = "&amp;ROUND(_xlpm.q*_xlpm.f,1)&amp;" "&amp;_xlpm.u,ROUND(_xlpm.q,1)&amp;" "&amp;_xlpm.ai_test)),""),""))))</f>
        <v>0</v>
      </c>
      <c r="AW429" s="1047"/>
      <c r="AX429" s="1045">
        <f t="shared" si="196"/>
        <v>0</v>
      </c>
      <c r="AY429" s="1046" t="str">
        <f t="shared" si="197"/>
        <v/>
      </c>
      <c r="AZ429" s="1048">
        <f t="shared" si="202"/>
        <v>0</v>
      </c>
      <c r="BA429" s="1049" t="str">
        <f t="shared" si="198"/>
        <v/>
      </c>
      <c r="BB429" s="1038"/>
      <c r="BC429" s="1050">
        <f t="shared" si="203"/>
        <v>0</v>
      </c>
      <c r="BD429" s="1040" t="str">
        <f t="shared" si="199"/>
        <v/>
      </c>
      <c r="BE429" s="227" t="s">
        <v>22</v>
      </c>
      <c r="BF429" s="1019">
        <f t="shared" si="200"/>
        <v>0</v>
      </c>
      <c r="BG429" s="1020">
        <f t="shared" si="201"/>
        <v>0</v>
      </c>
      <c r="BH429"/>
      <c r="BI429" s="709"/>
      <c r="BJ429" s="709"/>
      <c r="BK429" s="709"/>
      <c r="BL429" s="709"/>
      <c r="BM429" s="709"/>
      <c r="BN429" s="709"/>
      <c r="BO429" s="709"/>
      <c r="BP429" s="709"/>
      <c r="BW429" s="959" t="str">
        <f t="shared" si="182"/>
        <v>►</v>
      </c>
      <c r="BX429" s="856"/>
      <c r="BY429" s="856"/>
      <c r="BZ429" s="856"/>
      <c r="CA429" s="856"/>
      <c r="CB429" s="856"/>
      <c r="DB429" s="3">
        <v>1</v>
      </c>
    </row>
    <row r="430" spans="12:106" ht="21" customHeight="1">
      <c r="L430" s="104" t="s">
        <v>16</v>
      </c>
      <c r="M430" s="1172"/>
      <c r="N430" s="1172"/>
      <c r="O430" s="1172"/>
      <c r="P430" s="1173"/>
      <c r="Q430" s="1174"/>
      <c r="R430" s="1175"/>
      <c r="S430" s="1176"/>
      <c r="T430" s="1177"/>
      <c r="U430" s="5248"/>
      <c r="V430" s="1177"/>
      <c r="W430" s="5249"/>
      <c r="X430" s="5208"/>
      <c r="Y430" s="5209"/>
      <c r="Z430" s="5210"/>
      <c r="AA430" s="5211"/>
      <c r="AB430" s="1178"/>
      <c r="AC430" s="1179"/>
      <c r="AD430" s="227" t="s">
        <v>22</v>
      </c>
      <c r="AE430" s="1027" t="str">
        <f t="shared" si="183"/>
        <v>►</v>
      </c>
      <c r="AF430" s="1028" t="str">
        <f t="shared" si="184"/>
        <v/>
      </c>
      <c r="AG430" s="1029" t="str">
        <f t="shared" si="185"/>
        <v/>
      </c>
      <c r="AH430" s="1028" t="str">
        <f t="shared" si="186"/>
        <v/>
      </c>
      <c r="AI430" s="1029" t="str">
        <f t="shared" si="187"/>
        <v/>
      </c>
      <c r="AJ430" s="1029">
        <f t="shared" si="188"/>
        <v>0</v>
      </c>
      <c r="AK430" s="1043" t="str" cm="1">
        <f t="array" ref="AK430">IF(AE430&lt;&gt;"A","",IFERROR((IFERROR(_xlfn.XLOOKUP(TRIM(SUBSTITUTE(U430,CHAR(160)," ")),$BI$15:$BI$62,$BL$15:$BL$62),IFERROR(_xlfn.XLOOKUP(TRIM(SUBSTITUTE(U430,CHAR(160)," ")),$BJ$15:$BJ$62,$BL$15:$BL$62),_xlfn.XLOOKUP(TRIM(SUBSTITUTE(U430,CHAR(160)," ")),$BK$15:$BK$62,$BL$15:$BL$62))))*T430*IF(ISBLANK(Q430),1,Q430)+IFERROR(_xlfn.XLOOKUP("RECHERCHEX",TRIM(L430:AC430),L430:AC430),0),0))</f>
        <v/>
      </c>
      <c r="AL430" s="1030">
        <f t="shared" si="189"/>
        <v>0</v>
      </c>
      <c r="AM430" s="5254" t="str">
        <f t="shared" si="204"/>
        <v/>
      </c>
      <c r="AN430" s="1031">
        <f t="shared" si="190"/>
        <v>0</v>
      </c>
      <c r="AO430" s="1031">
        <f t="shared" si="191"/>
        <v>0</v>
      </c>
      <c r="AP430" s="1032">
        <f t="shared" si="192"/>
        <v>0</v>
      </c>
      <c r="AQ430" s="5255" t="str">
        <f t="shared" si="193"/>
        <v/>
      </c>
      <c r="AR430" s="1056"/>
      <c r="AS430" s="1056"/>
      <c r="AT430" s="1034">
        <f t="shared" si="194"/>
        <v>0</v>
      </c>
      <c r="AU430" s="1035">
        <f t="shared" si="195"/>
        <v>0</v>
      </c>
      <c r="AV430" s="1057" cm="1">
        <f t="array" ref="AV430">IF(AJ430&lt;&gt;1,0,IF(OR(AT430="",N(AT430)&lt;=0.000000001),"",IF(OR(AN430="",N(AN430)&lt;=0.000000001),0,IF(ISNUMBER(AT430),IFERROR(_xlfn.LET(_xlpm.ai_test,TRIM(AI430),_xlpm.r,IFERROR(_xlfn.XLOOKUP(_xlpm.ai_test,$BI$15:$BI$62,ROW($BI$15:$BI$62),0,1),IFERROR(_xlfn.XLOOKUP(_xlpm.ai_test,$BJ$15:$BJ$62,ROW($BJ$15:$BJ$62),0,1),_xlfn.XLOOKUP(_xlpm.ai_test,$BK$15:$BK$62,ROW($BK$15:$BK$62),0,1))),_xlpm.p,_xlpm.r-MIN(ROW($BI$15:$BI$62))+1,_xlpm.f,INDEX($BL$15:$BL$62,_xlpm.p),_xlpm.u,INDEX($BM$15:$BM$62,_xlpm.p),_xlpm.s,INDEX($BO$15:$BO$62,_xlpm.p),_xlpm.q,N(AT430)/_xlpm.f,IF(_xlpm.q&gt;=_xlpm.s,ROUND(_xlpm.q,1)&amp;" "&amp;_xlpm.ai_test&amp;" = "&amp;ROUND(_xlpm.q*_xlpm.f,1)&amp;" "&amp;_xlpm.u,ROUND(_xlpm.q,1)&amp;" "&amp;_xlpm.ai_test)),""),""))))</f>
        <v>0</v>
      </c>
      <c r="AW430" s="1047"/>
      <c r="AX430" s="1034">
        <f t="shared" si="196"/>
        <v>0</v>
      </c>
      <c r="AY430" s="1035" t="str">
        <f t="shared" si="197"/>
        <v/>
      </c>
      <c r="AZ430" s="1036">
        <f t="shared" si="202"/>
        <v>0</v>
      </c>
      <c r="BA430" s="1037" t="str">
        <f t="shared" si="198"/>
        <v/>
      </c>
      <c r="BB430" s="1038"/>
      <c r="BC430" s="1039">
        <f t="shared" si="203"/>
        <v>0</v>
      </c>
      <c r="BD430" s="1040" t="str">
        <f t="shared" si="199"/>
        <v/>
      </c>
      <c r="BE430" s="227" t="s">
        <v>22</v>
      </c>
      <c r="BF430" s="1019">
        <f t="shared" si="200"/>
        <v>0</v>
      </c>
      <c r="BG430" s="1020">
        <f t="shared" si="201"/>
        <v>0</v>
      </c>
      <c r="BH430"/>
      <c r="BI430" s="709"/>
      <c r="BJ430" s="709"/>
      <c r="BK430" s="709"/>
      <c r="BL430" s="709"/>
      <c r="BM430" s="709"/>
      <c r="BN430" s="709"/>
      <c r="BO430" s="709"/>
      <c r="BP430" s="709"/>
      <c r="BW430" s="959" t="str">
        <f t="shared" si="182"/>
        <v>►</v>
      </c>
      <c r="BX430" s="856"/>
      <c r="BY430" s="856"/>
      <c r="BZ430" s="856"/>
      <c r="CA430" s="856"/>
      <c r="CB430" s="856"/>
      <c r="DB430" s="3">
        <v>1</v>
      </c>
    </row>
    <row r="431" spans="12:106" ht="21" customHeight="1">
      <c r="L431" s="104" t="s">
        <v>16</v>
      </c>
      <c r="M431" s="1172"/>
      <c r="N431" s="1172"/>
      <c r="O431" s="1172"/>
      <c r="P431" s="1173"/>
      <c r="Q431" s="1174"/>
      <c r="R431" s="1175"/>
      <c r="S431" s="1176"/>
      <c r="T431" s="1177"/>
      <c r="U431" s="5248"/>
      <c r="V431" s="1177"/>
      <c r="W431" s="5249"/>
      <c r="X431" s="5208"/>
      <c r="Y431" s="5209"/>
      <c r="Z431" s="5210"/>
      <c r="AA431" s="5211"/>
      <c r="AB431" s="1178"/>
      <c r="AC431" s="1179"/>
      <c r="AD431" s="227" t="s">
        <v>22</v>
      </c>
      <c r="AE431" s="1027" t="str">
        <f t="shared" si="183"/>
        <v>►</v>
      </c>
      <c r="AF431" s="1028" t="str">
        <f t="shared" si="184"/>
        <v/>
      </c>
      <c r="AG431" s="1029" t="str">
        <f t="shared" si="185"/>
        <v/>
      </c>
      <c r="AH431" s="1028" t="str">
        <f t="shared" si="186"/>
        <v/>
      </c>
      <c r="AI431" s="1029" t="str">
        <f t="shared" si="187"/>
        <v/>
      </c>
      <c r="AJ431" s="1029">
        <f t="shared" si="188"/>
        <v>0</v>
      </c>
      <c r="AK431" s="1043" t="str" cm="1">
        <f t="array" ref="AK431">IF(AE431&lt;&gt;"A","",IFERROR((IFERROR(_xlfn.XLOOKUP(TRIM(SUBSTITUTE(U431,CHAR(160)," ")),$BI$15:$BI$62,$BL$15:$BL$62),IFERROR(_xlfn.XLOOKUP(TRIM(SUBSTITUTE(U431,CHAR(160)," ")),$BJ$15:$BJ$62,$BL$15:$BL$62),_xlfn.XLOOKUP(TRIM(SUBSTITUTE(U431,CHAR(160)," ")),$BK$15:$BK$62,$BL$15:$BL$62))))*T431*IF(ISBLANK(Q431),1,Q431)+IFERROR(_xlfn.XLOOKUP("RECHERCHEX",TRIM(L431:AC431),L431:AC431),0),0))</f>
        <v/>
      </c>
      <c r="AL431" s="1030">
        <f t="shared" si="189"/>
        <v>0</v>
      </c>
      <c r="AM431" s="5254" t="str">
        <f t="shared" si="204"/>
        <v/>
      </c>
      <c r="AN431" s="1031">
        <f t="shared" si="190"/>
        <v>0</v>
      </c>
      <c r="AO431" s="1031">
        <f t="shared" si="191"/>
        <v>0</v>
      </c>
      <c r="AP431" s="1044">
        <f t="shared" si="192"/>
        <v>0</v>
      </c>
      <c r="AQ431" s="5257" t="str">
        <f t="shared" si="193"/>
        <v/>
      </c>
      <c r="AR431" s="1056"/>
      <c r="AS431" s="1056"/>
      <c r="AT431" s="1045">
        <f t="shared" si="194"/>
        <v>0</v>
      </c>
      <c r="AU431" s="1046">
        <f t="shared" si="195"/>
        <v>0</v>
      </c>
      <c r="AV431" s="1059" cm="1">
        <f t="array" ref="AV431">IF(AJ431&lt;&gt;1,0,IF(OR(AT431="",N(AT431)&lt;=0.000000001),"",IF(OR(AN431="",N(AN431)&lt;=0.000000001),0,IF(ISNUMBER(AT431),IFERROR(_xlfn.LET(_xlpm.ai_test,TRIM(AI431),_xlpm.r,IFERROR(_xlfn.XLOOKUP(_xlpm.ai_test,$BI$15:$BI$62,ROW($BI$15:$BI$62),0,1),IFERROR(_xlfn.XLOOKUP(_xlpm.ai_test,$BJ$15:$BJ$62,ROW($BJ$15:$BJ$62),0,1),_xlfn.XLOOKUP(_xlpm.ai_test,$BK$15:$BK$62,ROW($BK$15:$BK$62),0,1))),_xlpm.p,_xlpm.r-MIN(ROW($BI$15:$BI$62))+1,_xlpm.f,INDEX($BL$15:$BL$62,_xlpm.p),_xlpm.u,INDEX($BM$15:$BM$62,_xlpm.p),_xlpm.s,INDEX($BO$15:$BO$62,_xlpm.p),_xlpm.q,N(AT431)/_xlpm.f,IF(_xlpm.q&gt;=_xlpm.s,ROUND(_xlpm.q,1)&amp;" "&amp;_xlpm.ai_test&amp;" = "&amp;ROUND(_xlpm.q*_xlpm.f,1)&amp;" "&amp;_xlpm.u,ROUND(_xlpm.q,1)&amp;" "&amp;_xlpm.ai_test)),""),""))))</f>
        <v>0</v>
      </c>
      <c r="AW431" s="1047"/>
      <c r="AX431" s="1045">
        <f t="shared" si="196"/>
        <v>0</v>
      </c>
      <c r="AY431" s="1046" t="str">
        <f t="shared" si="197"/>
        <v/>
      </c>
      <c r="AZ431" s="1048">
        <f t="shared" si="202"/>
        <v>0</v>
      </c>
      <c r="BA431" s="1049" t="str">
        <f t="shared" si="198"/>
        <v/>
      </c>
      <c r="BB431" s="1038"/>
      <c r="BC431" s="1050">
        <f t="shared" si="203"/>
        <v>0</v>
      </c>
      <c r="BD431" s="1040" t="str">
        <f t="shared" si="199"/>
        <v/>
      </c>
      <c r="BE431" s="227" t="s">
        <v>22</v>
      </c>
      <c r="BF431" s="1019">
        <f t="shared" si="200"/>
        <v>0</v>
      </c>
      <c r="BG431" s="1020">
        <f t="shared" si="201"/>
        <v>0</v>
      </c>
      <c r="BH431"/>
      <c r="BI431" s="709"/>
      <c r="BJ431" s="709"/>
      <c r="BK431" s="709"/>
      <c r="BL431" s="709"/>
      <c r="BM431" s="709"/>
      <c r="BN431" s="709"/>
      <c r="BO431" s="709"/>
      <c r="BP431" s="709"/>
      <c r="BW431" s="959" t="str">
        <f t="shared" si="182"/>
        <v>►</v>
      </c>
      <c r="BX431" s="856"/>
      <c r="BY431" s="856"/>
      <c r="BZ431" s="856"/>
      <c r="CA431" s="856"/>
      <c r="CB431" s="856"/>
      <c r="DB431" s="3">
        <v>1</v>
      </c>
    </row>
    <row r="432" spans="12:106" ht="21" customHeight="1">
      <c r="L432" s="104" t="s">
        <v>16</v>
      </c>
      <c r="M432" s="1172"/>
      <c r="N432" s="1172"/>
      <c r="O432" s="1172"/>
      <c r="P432" s="1173"/>
      <c r="Q432" s="1174"/>
      <c r="R432" s="1175"/>
      <c r="S432" s="1176"/>
      <c r="T432" s="1177"/>
      <c r="U432" s="5248"/>
      <c r="V432" s="1177"/>
      <c r="W432" s="5249"/>
      <c r="X432" s="5208"/>
      <c r="Y432" s="5209"/>
      <c r="Z432" s="5210"/>
      <c r="AA432" s="5211"/>
      <c r="AB432" s="1178"/>
      <c r="AC432" s="1179"/>
      <c r="AD432" s="227" t="s">
        <v>22</v>
      </c>
      <c r="AE432" s="1027" t="str">
        <f t="shared" si="183"/>
        <v>►</v>
      </c>
      <c r="AF432" s="1028" t="str">
        <f t="shared" si="184"/>
        <v/>
      </c>
      <c r="AG432" s="1029" t="str">
        <f t="shared" si="185"/>
        <v/>
      </c>
      <c r="AH432" s="1028" t="str">
        <f t="shared" si="186"/>
        <v/>
      </c>
      <c r="AI432" s="1029" t="str">
        <f t="shared" si="187"/>
        <v/>
      </c>
      <c r="AJ432" s="1029">
        <f t="shared" si="188"/>
        <v>0</v>
      </c>
      <c r="AK432" s="1043" t="str" cm="1">
        <f t="array" ref="AK432">IF(AE432&lt;&gt;"A","",IFERROR((IFERROR(_xlfn.XLOOKUP(TRIM(SUBSTITUTE(U432,CHAR(160)," ")),$BI$15:$BI$62,$BL$15:$BL$62),IFERROR(_xlfn.XLOOKUP(TRIM(SUBSTITUTE(U432,CHAR(160)," ")),$BJ$15:$BJ$62,$BL$15:$BL$62),_xlfn.XLOOKUP(TRIM(SUBSTITUTE(U432,CHAR(160)," ")),$BK$15:$BK$62,$BL$15:$BL$62))))*T432*IF(ISBLANK(Q432),1,Q432)+IFERROR(_xlfn.XLOOKUP("RECHERCHEX",TRIM(L432:AC432),L432:AC432),0),0))</f>
        <v/>
      </c>
      <c r="AL432" s="1030">
        <f t="shared" si="189"/>
        <v>0</v>
      </c>
      <c r="AM432" s="5254" t="str">
        <f t="shared" si="204"/>
        <v/>
      </c>
      <c r="AN432" s="1031">
        <f t="shared" si="190"/>
        <v>0</v>
      </c>
      <c r="AO432" s="1031">
        <f t="shared" si="191"/>
        <v>0</v>
      </c>
      <c r="AP432" s="1032">
        <f t="shared" si="192"/>
        <v>0</v>
      </c>
      <c r="AQ432" s="5255" t="str">
        <f t="shared" si="193"/>
        <v/>
      </c>
      <c r="AR432" s="1056"/>
      <c r="AS432" s="1056"/>
      <c r="AT432" s="1034">
        <f t="shared" si="194"/>
        <v>0</v>
      </c>
      <c r="AU432" s="1035">
        <f t="shared" si="195"/>
        <v>0</v>
      </c>
      <c r="AV432" s="1057" cm="1">
        <f t="array" ref="AV432">IF(AJ432&lt;&gt;1,0,IF(OR(AT432="",N(AT432)&lt;=0.000000001),"",IF(OR(AN432="",N(AN432)&lt;=0.000000001),0,IF(ISNUMBER(AT432),IFERROR(_xlfn.LET(_xlpm.ai_test,TRIM(AI432),_xlpm.r,IFERROR(_xlfn.XLOOKUP(_xlpm.ai_test,$BI$15:$BI$62,ROW($BI$15:$BI$62),0,1),IFERROR(_xlfn.XLOOKUP(_xlpm.ai_test,$BJ$15:$BJ$62,ROW($BJ$15:$BJ$62),0,1),_xlfn.XLOOKUP(_xlpm.ai_test,$BK$15:$BK$62,ROW($BK$15:$BK$62),0,1))),_xlpm.p,_xlpm.r-MIN(ROW($BI$15:$BI$62))+1,_xlpm.f,INDEX($BL$15:$BL$62,_xlpm.p),_xlpm.u,INDEX($BM$15:$BM$62,_xlpm.p),_xlpm.s,INDEX($BO$15:$BO$62,_xlpm.p),_xlpm.q,N(AT432)/_xlpm.f,IF(_xlpm.q&gt;=_xlpm.s,ROUND(_xlpm.q,1)&amp;" "&amp;_xlpm.ai_test&amp;" = "&amp;ROUND(_xlpm.q*_xlpm.f,1)&amp;" "&amp;_xlpm.u,ROUND(_xlpm.q,1)&amp;" "&amp;_xlpm.ai_test)),""),""))))</f>
        <v>0</v>
      </c>
      <c r="AW432" s="1047"/>
      <c r="AX432" s="1034">
        <f t="shared" si="196"/>
        <v>0</v>
      </c>
      <c r="AY432" s="1035" t="str">
        <f t="shared" si="197"/>
        <v/>
      </c>
      <c r="AZ432" s="1036">
        <f t="shared" si="202"/>
        <v>0</v>
      </c>
      <c r="BA432" s="1037" t="str">
        <f t="shared" si="198"/>
        <v/>
      </c>
      <c r="BB432" s="1038"/>
      <c r="BC432" s="1039">
        <f t="shared" si="203"/>
        <v>0</v>
      </c>
      <c r="BD432" s="1040" t="str">
        <f t="shared" si="199"/>
        <v/>
      </c>
      <c r="BE432" s="227" t="s">
        <v>22</v>
      </c>
      <c r="BF432" s="1019">
        <f t="shared" si="200"/>
        <v>0</v>
      </c>
      <c r="BG432" s="1020">
        <f t="shared" si="201"/>
        <v>0</v>
      </c>
      <c r="BH432"/>
      <c r="BI432" s="709"/>
      <c r="BJ432" s="709"/>
      <c r="BK432" s="709"/>
      <c r="BL432" s="709"/>
      <c r="BM432" s="709"/>
      <c r="BN432" s="709"/>
      <c r="BO432" s="709"/>
      <c r="BP432" s="709"/>
      <c r="BW432" s="959" t="str">
        <f t="shared" si="182"/>
        <v>►</v>
      </c>
      <c r="BX432" s="856"/>
      <c r="BY432" s="856"/>
      <c r="BZ432" s="856"/>
      <c r="CA432" s="856"/>
      <c r="CB432" s="856"/>
      <c r="DB432" s="3">
        <v>1</v>
      </c>
    </row>
    <row r="433" spans="12:106" ht="21" customHeight="1">
      <c r="L433" s="104" t="s">
        <v>16</v>
      </c>
      <c r="M433" s="1172"/>
      <c r="N433" s="1172"/>
      <c r="O433" s="1172"/>
      <c r="P433" s="1173"/>
      <c r="Q433" s="1174"/>
      <c r="R433" s="1175"/>
      <c r="S433" s="1176"/>
      <c r="T433" s="1177"/>
      <c r="U433" s="5248"/>
      <c r="V433" s="1177"/>
      <c r="W433" s="5249"/>
      <c r="X433" s="5208"/>
      <c r="Y433" s="5209"/>
      <c r="Z433" s="5210"/>
      <c r="AA433" s="5211"/>
      <c r="AB433" s="1178"/>
      <c r="AC433" s="1179"/>
      <c r="AD433" s="227" t="s">
        <v>22</v>
      </c>
      <c r="AE433" s="1027" t="str">
        <f t="shared" si="183"/>
        <v>►</v>
      </c>
      <c r="AF433" s="1028" t="str">
        <f t="shared" si="184"/>
        <v/>
      </c>
      <c r="AG433" s="1029" t="str">
        <f t="shared" si="185"/>
        <v/>
      </c>
      <c r="AH433" s="1028" t="str">
        <f t="shared" si="186"/>
        <v/>
      </c>
      <c r="AI433" s="1029" t="str">
        <f t="shared" si="187"/>
        <v/>
      </c>
      <c r="AJ433" s="1029">
        <f t="shared" si="188"/>
        <v>0</v>
      </c>
      <c r="AK433" s="1043" t="str" cm="1">
        <f t="array" ref="AK433">IF(AE433&lt;&gt;"A","",IFERROR((IFERROR(_xlfn.XLOOKUP(TRIM(SUBSTITUTE(U433,CHAR(160)," ")),$BI$15:$BI$62,$BL$15:$BL$62),IFERROR(_xlfn.XLOOKUP(TRIM(SUBSTITUTE(U433,CHAR(160)," ")),$BJ$15:$BJ$62,$BL$15:$BL$62),_xlfn.XLOOKUP(TRIM(SUBSTITUTE(U433,CHAR(160)," ")),$BK$15:$BK$62,$BL$15:$BL$62))))*T433*IF(ISBLANK(Q433),1,Q433)+IFERROR(_xlfn.XLOOKUP("RECHERCHEX",TRIM(L433:AC433),L433:AC433),0),0))</f>
        <v/>
      </c>
      <c r="AL433" s="1030">
        <f t="shared" si="189"/>
        <v>0</v>
      </c>
      <c r="AM433" s="5254" t="str">
        <f t="shared" si="204"/>
        <v/>
      </c>
      <c r="AN433" s="1031">
        <f t="shared" si="190"/>
        <v>0</v>
      </c>
      <c r="AO433" s="1031">
        <f t="shared" si="191"/>
        <v>0</v>
      </c>
      <c r="AP433" s="1044">
        <f t="shared" si="192"/>
        <v>0</v>
      </c>
      <c r="AQ433" s="5257" t="str">
        <f t="shared" si="193"/>
        <v/>
      </c>
      <c r="AR433" s="1056"/>
      <c r="AS433" s="1056"/>
      <c r="AT433" s="1045">
        <f t="shared" si="194"/>
        <v>0</v>
      </c>
      <c r="AU433" s="1046">
        <f t="shared" si="195"/>
        <v>0</v>
      </c>
      <c r="AV433" s="1059" cm="1">
        <f t="array" ref="AV433">IF(AJ433&lt;&gt;1,0,IF(OR(AT433="",N(AT433)&lt;=0.000000001),"",IF(OR(AN433="",N(AN433)&lt;=0.000000001),0,IF(ISNUMBER(AT433),IFERROR(_xlfn.LET(_xlpm.ai_test,TRIM(AI433),_xlpm.r,IFERROR(_xlfn.XLOOKUP(_xlpm.ai_test,$BI$15:$BI$62,ROW($BI$15:$BI$62),0,1),IFERROR(_xlfn.XLOOKUP(_xlpm.ai_test,$BJ$15:$BJ$62,ROW($BJ$15:$BJ$62),0,1),_xlfn.XLOOKUP(_xlpm.ai_test,$BK$15:$BK$62,ROW($BK$15:$BK$62),0,1))),_xlpm.p,_xlpm.r-MIN(ROW($BI$15:$BI$62))+1,_xlpm.f,INDEX($BL$15:$BL$62,_xlpm.p),_xlpm.u,INDEX($BM$15:$BM$62,_xlpm.p),_xlpm.s,INDEX($BO$15:$BO$62,_xlpm.p),_xlpm.q,N(AT433)/_xlpm.f,IF(_xlpm.q&gt;=_xlpm.s,ROUND(_xlpm.q,1)&amp;" "&amp;_xlpm.ai_test&amp;" = "&amp;ROUND(_xlpm.q*_xlpm.f,1)&amp;" "&amp;_xlpm.u,ROUND(_xlpm.q,1)&amp;" "&amp;_xlpm.ai_test)),""),""))))</f>
        <v>0</v>
      </c>
      <c r="AW433" s="1047"/>
      <c r="AX433" s="1045">
        <f t="shared" si="196"/>
        <v>0</v>
      </c>
      <c r="AY433" s="1046" t="str">
        <f t="shared" si="197"/>
        <v/>
      </c>
      <c r="AZ433" s="1048">
        <f t="shared" si="202"/>
        <v>0</v>
      </c>
      <c r="BA433" s="1049" t="str">
        <f t="shared" si="198"/>
        <v/>
      </c>
      <c r="BB433" s="1038"/>
      <c r="BC433" s="1050">
        <f t="shared" si="203"/>
        <v>0</v>
      </c>
      <c r="BD433" s="1040" t="str">
        <f t="shared" si="199"/>
        <v/>
      </c>
      <c r="BE433" s="227" t="s">
        <v>22</v>
      </c>
      <c r="BF433" s="1019">
        <f t="shared" si="200"/>
        <v>0</v>
      </c>
      <c r="BG433" s="1020">
        <f t="shared" si="201"/>
        <v>0</v>
      </c>
      <c r="BH433"/>
      <c r="BI433" s="709"/>
      <c r="BJ433" s="709"/>
      <c r="BK433" s="709"/>
      <c r="BL433" s="709"/>
      <c r="BM433" s="709"/>
      <c r="BN433" s="709"/>
      <c r="BO433" s="709"/>
      <c r="BP433" s="709"/>
      <c r="BW433" s="959" t="str">
        <f t="shared" si="182"/>
        <v>►</v>
      </c>
      <c r="BX433" s="856"/>
      <c r="BY433" s="856"/>
      <c r="BZ433" s="856"/>
      <c r="CA433" s="856"/>
      <c r="CB433" s="856"/>
      <c r="DB433" s="3">
        <v>1</v>
      </c>
    </row>
    <row r="434" spans="12:106" ht="21" customHeight="1">
      <c r="L434" s="104" t="s">
        <v>16</v>
      </c>
      <c r="M434" s="1172"/>
      <c r="N434" s="1172"/>
      <c r="O434" s="1172"/>
      <c r="P434" s="1173"/>
      <c r="Q434" s="1174"/>
      <c r="R434" s="1175"/>
      <c r="S434" s="1176"/>
      <c r="T434" s="1177"/>
      <c r="U434" s="5248"/>
      <c r="V434" s="1177"/>
      <c r="W434" s="5249"/>
      <c r="X434" s="5208"/>
      <c r="Y434" s="5209"/>
      <c r="Z434" s="5210"/>
      <c r="AA434" s="5211"/>
      <c r="AB434" s="1178"/>
      <c r="AC434" s="1179"/>
      <c r="AD434" s="227" t="s">
        <v>22</v>
      </c>
      <c r="AE434" s="1027" t="str">
        <f t="shared" si="183"/>
        <v>►</v>
      </c>
      <c r="AF434" s="1028" t="str">
        <f t="shared" si="184"/>
        <v/>
      </c>
      <c r="AG434" s="1029" t="str">
        <f t="shared" si="185"/>
        <v/>
      </c>
      <c r="AH434" s="1028" t="str">
        <f t="shared" si="186"/>
        <v/>
      </c>
      <c r="AI434" s="1029" t="str">
        <f t="shared" si="187"/>
        <v/>
      </c>
      <c r="AJ434" s="1029">
        <f t="shared" si="188"/>
        <v>0</v>
      </c>
      <c r="AK434" s="1043" t="str" cm="1">
        <f t="array" ref="AK434">IF(AE434&lt;&gt;"A","",IFERROR((IFERROR(_xlfn.XLOOKUP(TRIM(SUBSTITUTE(U434,CHAR(160)," ")),$BI$15:$BI$62,$BL$15:$BL$62),IFERROR(_xlfn.XLOOKUP(TRIM(SUBSTITUTE(U434,CHAR(160)," ")),$BJ$15:$BJ$62,$BL$15:$BL$62),_xlfn.XLOOKUP(TRIM(SUBSTITUTE(U434,CHAR(160)," ")),$BK$15:$BK$62,$BL$15:$BL$62))))*T434*IF(ISBLANK(Q434),1,Q434)+IFERROR(_xlfn.XLOOKUP("RECHERCHEX",TRIM(L434:AC434),L434:AC434),0),0))</f>
        <v/>
      </c>
      <c r="AL434" s="1030">
        <f t="shared" si="189"/>
        <v>0</v>
      </c>
      <c r="AM434" s="5254" t="str">
        <f t="shared" si="204"/>
        <v/>
      </c>
      <c r="AN434" s="1031">
        <f t="shared" si="190"/>
        <v>0</v>
      </c>
      <c r="AO434" s="1031">
        <f t="shared" si="191"/>
        <v>0</v>
      </c>
      <c r="AP434" s="1032">
        <f t="shared" si="192"/>
        <v>0</v>
      </c>
      <c r="AQ434" s="5255" t="str">
        <f t="shared" si="193"/>
        <v/>
      </c>
      <c r="AR434" s="1056"/>
      <c r="AS434" s="1056"/>
      <c r="AT434" s="1034">
        <f t="shared" si="194"/>
        <v>0</v>
      </c>
      <c r="AU434" s="1035">
        <f t="shared" si="195"/>
        <v>0</v>
      </c>
      <c r="AV434" s="1057" cm="1">
        <f t="array" ref="AV434">IF(AJ434&lt;&gt;1,0,IF(OR(AT434="",N(AT434)&lt;=0.000000001),"",IF(OR(AN434="",N(AN434)&lt;=0.000000001),0,IF(ISNUMBER(AT434),IFERROR(_xlfn.LET(_xlpm.ai_test,TRIM(AI434),_xlpm.r,IFERROR(_xlfn.XLOOKUP(_xlpm.ai_test,$BI$15:$BI$62,ROW($BI$15:$BI$62),0,1),IFERROR(_xlfn.XLOOKUP(_xlpm.ai_test,$BJ$15:$BJ$62,ROW($BJ$15:$BJ$62),0,1),_xlfn.XLOOKUP(_xlpm.ai_test,$BK$15:$BK$62,ROW($BK$15:$BK$62),0,1))),_xlpm.p,_xlpm.r-MIN(ROW($BI$15:$BI$62))+1,_xlpm.f,INDEX($BL$15:$BL$62,_xlpm.p),_xlpm.u,INDEX($BM$15:$BM$62,_xlpm.p),_xlpm.s,INDEX($BO$15:$BO$62,_xlpm.p),_xlpm.q,N(AT434)/_xlpm.f,IF(_xlpm.q&gt;=_xlpm.s,ROUND(_xlpm.q,1)&amp;" "&amp;_xlpm.ai_test&amp;" = "&amp;ROUND(_xlpm.q*_xlpm.f,1)&amp;" "&amp;_xlpm.u,ROUND(_xlpm.q,1)&amp;" "&amp;_xlpm.ai_test)),""),""))))</f>
        <v>0</v>
      </c>
      <c r="AW434" s="1047"/>
      <c r="AX434" s="1034">
        <f t="shared" si="196"/>
        <v>0</v>
      </c>
      <c r="AY434" s="1035" t="str">
        <f t="shared" si="197"/>
        <v/>
      </c>
      <c r="AZ434" s="1036">
        <f t="shared" si="202"/>
        <v>0</v>
      </c>
      <c r="BA434" s="1037" t="str">
        <f t="shared" si="198"/>
        <v/>
      </c>
      <c r="BB434" s="1038"/>
      <c r="BC434" s="1039">
        <f t="shared" si="203"/>
        <v>0</v>
      </c>
      <c r="BD434" s="1040" t="str">
        <f t="shared" si="199"/>
        <v/>
      </c>
      <c r="BE434" s="227" t="s">
        <v>22</v>
      </c>
      <c r="BF434" s="1019">
        <f t="shared" si="200"/>
        <v>0</v>
      </c>
      <c r="BG434" s="1020">
        <f t="shared" si="201"/>
        <v>0</v>
      </c>
      <c r="BH434"/>
      <c r="BI434" s="709"/>
      <c r="BJ434" s="709"/>
      <c r="BK434" s="709"/>
      <c r="BL434" s="709"/>
      <c r="BM434" s="709"/>
      <c r="BN434" s="709"/>
      <c r="BO434" s="709"/>
      <c r="BP434" s="709"/>
      <c r="BW434" s="959" t="str">
        <f t="shared" si="182"/>
        <v>►</v>
      </c>
      <c r="BX434" s="856"/>
      <c r="BY434" s="856"/>
      <c r="BZ434" s="856"/>
      <c r="CA434" s="856"/>
      <c r="CB434" s="856"/>
      <c r="DB434" s="3">
        <v>1</v>
      </c>
    </row>
    <row r="435" spans="12:106" ht="21" customHeight="1">
      <c r="L435" s="104" t="s">
        <v>16</v>
      </c>
      <c r="M435" s="1172"/>
      <c r="N435" s="1172"/>
      <c r="O435" s="1172"/>
      <c r="P435" s="1173"/>
      <c r="Q435" s="1174"/>
      <c r="R435" s="1175"/>
      <c r="S435" s="1176"/>
      <c r="T435" s="1177"/>
      <c r="U435" s="5248"/>
      <c r="V435" s="1177"/>
      <c r="W435" s="5249"/>
      <c r="X435" s="5208"/>
      <c r="Y435" s="5209"/>
      <c r="Z435" s="5210"/>
      <c r="AA435" s="5211"/>
      <c r="AB435" s="1178"/>
      <c r="AC435" s="1179"/>
      <c r="AD435" s="227" t="s">
        <v>22</v>
      </c>
      <c r="AE435" s="1027" t="str">
        <f t="shared" si="183"/>
        <v>►</v>
      </c>
      <c r="AF435" s="1028" t="str">
        <f t="shared" si="184"/>
        <v/>
      </c>
      <c r="AG435" s="1029" t="str">
        <f t="shared" si="185"/>
        <v/>
      </c>
      <c r="AH435" s="1028" t="str">
        <f t="shared" si="186"/>
        <v/>
      </c>
      <c r="AI435" s="1029" t="str">
        <f t="shared" si="187"/>
        <v/>
      </c>
      <c r="AJ435" s="1029">
        <f t="shared" si="188"/>
        <v>0</v>
      </c>
      <c r="AK435" s="1043" t="str" cm="1">
        <f t="array" ref="AK435">IF(AE435&lt;&gt;"A","",IFERROR((IFERROR(_xlfn.XLOOKUP(TRIM(SUBSTITUTE(U435,CHAR(160)," ")),$BI$15:$BI$62,$BL$15:$BL$62),IFERROR(_xlfn.XLOOKUP(TRIM(SUBSTITUTE(U435,CHAR(160)," ")),$BJ$15:$BJ$62,$BL$15:$BL$62),_xlfn.XLOOKUP(TRIM(SUBSTITUTE(U435,CHAR(160)," ")),$BK$15:$BK$62,$BL$15:$BL$62))))*T435*IF(ISBLANK(Q435),1,Q435)+IFERROR(_xlfn.XLOOKUP("RECHERCHEX",TRIM(L435:AC435),L435:AC435),0),0))</f>
        <v/>
      </c>
      <c r="AL435" s="1030">
        <f t="shared" si="189"/>
        <v>0</v>
      </c>
      <c r="AM435" s="5254" t="str">
        <f t="shared" si="204"/>
        <v/>
      </c>
      <c r="AN435" s="1031">
        <f t="shared" si="190"/>
        <v>0</v>
      </c>
      <c r="AO435" s="1031">
        <f t="shared" si="191"/>
        <v>0</v>
      </c>
      <c r="AP435" s="1044">
        <f t="shared" si="192"/>
        <v>0</v>
      </c>
      <c r="AQ435" s="5257" t="str">
        <f t="shared" si="193"/>
        <v/>
      </c>
      <c r="AR435" s="1056"/>
      <c r="AS435" s="1056"/>
      <c r="AT435" s="1045">
        <f t="shared" si="194"/>
        <v>0</v>
      </c>
      <c r="AU435" s="1046">
        <f t="shared" si="195"/>
        <v>0</v>
      </c>
      <c r="AV435" s="1059" cm="1">
        <f t="array" ref="AV435">IF(AJ435&lt;&gt;1,0,IF(OR(AT435="",N(AT435)&lt;=0.000000001),"",IF(OR(AN435="",N(AN435)&lt;=0.000000001),0,IF(ISNUMBER(AT435),IFERROR(_xlfn.LET(_xlpm.ai_test,TRIM(AI435),_xlpm.r,IFERROR(_xlfn.XLOOKUP(_xlpm.ai_test,$BI$15:$BI$62,ROW($BI$15:$BI$62),0,1),IFERROR(_xlfn.XLOOKUP(_xlpm.ai_test,$BJ$15:$BJ$62,ROW($BJ$15:$BJ$62),0,1),_xlfn.XLOOKUP(_xlpm.ai_test,$BK$15:$BK$62,ROW($BK$15:$BK$62),0,1))),_xlpm.p,_xlpm.r-MIN(ROW($BI$15:$BI$62))+1,_xlpm.f,INDEX($BL$15:$BL$62,_xlpm.p),_xlpm.u,INDEX($BM$15:$BM$62,_xlpm.p),_xlpm.s,INDEX($BO$15:$BO$62,_xlpm.p),_xlpm.q,N(AT435)/_xlpm.f,IF(_xlpm.q&gt;=_xlpm.s,ROUND(_xlpm.q,1)&amp;" "&amp;_xlpm.ai_test&amp;" = "&amp;ROUND(_xlpm.q*_xlpm.f,1)&amp;" "&amp;_xlpm.u,ROUND(_xlpm.q,1)&amp;" "&amp;_xlpm.ai_test)),""),""))))</f>
        <v>0</v>
      </c>
      <c r="AW435" s="1047"/>
      <c r="AX435" s="1045">
        <f t="shared" si="196"/>
        <v>0</v>
      </c>
      <c r="AY435" s="1046" t="str">
        <f t="shared" si="197"/>
        <v/>
      </c>
      <c r="AZ435" s="1048">
        <f t="shared" si="202"/>
        <v>0</v>
      </c>
      <c r="BA435" s="1049" t="str">
        <f t="shared" si="198"/>
        <v/>
      </c>
      <c r="BB435" s="1038"/>
      <c r="BC435" s="1050">
        <f t="shared" si="203"/>
        <v>0</v>
      </c>
      <c r="BD435" s="1040" t="str">
        <f t="shared" si="199"/>
        <v/>
      </c>
      <c r="BE435" s="227" t="s">
        <v>22</v>
      </c>
      <c r="BF435" s="1019">
        <f t="shared" si="200"/>
        <v>0</v>
      </c>
      <c r="BG435" s="1020">
        <f t="shared" si="201"/>
        <v>0</v>
      </c>
      <c r="BH435"/>
      <c r="BI435" s="709"/>
      <c r="BJ435" s="709"/>
      <c r="BK435" s="709"/>
      <c r="BL435" s="709"/>
      <c r="BM435" s="709"/>
      <c r="BN435" s="709"/>
      <c r="BO435" s="709"/>
      <c r="BP435" s="709"/>
      <c r="BW435" s="959" t="str">
        <f t="shared" si="182"/>
        <v>►</v>
      </c>
      <c r="BX435" s="856"/>
      <c r="BY435" s="856"/>
      <c r="BZ435" s="856"/>
      <c r="CA435" s="856"/>
      <c r="CB435" s="856"/>
      <c r="CK435"/>
      <c r="CS435"/>
      <c r="DA435"/>
      <c r="DB435" s="3">
        <v>1</v>
      </c>
    </row>
    <row r="436" spans="12:106" ht="21" customHeight="1">
      <c r="L436" s="104" t="s">
        <v>16</v>
      </c>
      <c r="M436" s="1172"/>
      <c r="N436" s="1172"/>
      <c r="O436" s="1172"/>
      <c r="P436" s="1173"/>
      <c r="Q436" s="1174"/>
      <c r="R436" s="1175"/>
      <c r="S436" s="1176"/>
      <c r="T436" s="1177"/>
      <c r="U436" s="5248"/>
      <c r="V436" s="1177"/>
      <c r="W436" s="5249"/>
      <c r="X436" s="5208"/>
      <c r="Y436" s="5209"/>
      <c r="Z436" s="5210"/>
      <c r="AA436" s="5211"/>
      <c r="AB436" s="1178"/>
      <c r="AC436" s="1179"/>
      <c r="AD436" s="227" t="s">
        <v>22</v>
      </c>
      <c r="AE436" s="1027" t="str">
        <f t="shared" si="183"/>
        <v>►</v>
      </c>
      <c r="AF436" s="1028" t="str">
        <f t="shared" si="184"/>
        <v/>
      </c>
      <c r="AG436" s="1029" t="str">
        <f t="shared" si="185"/>
        <v/>
      </c>
      <c r="AH436" s="1028" t="str">
        <f t="shared" si="186"/>
        <v/>
      </c>
      <c r="AI436" s="1029" t="str">
        <f t="shared" si="187"/>
        <v/>
      </c>
      <c r="AJ436" s="1029">
        <f t="shared" si="188"/>
        <v>0</v>
      </c>
      <c r="AK436" s="1043" t="str" cm="1">
        <f t="array" ref="AK436">IF(AE436&lt;&gt;"A","",IFERROR((IFERROR(_xlfn.XLOOKUP(TRIM(SUBSTITUTE(U436,CHAR(160)," ")),$BI$15:$BI$62,$BL$15:$BL$62),IFERROR(_xlfn.XLOOKUP(TRIM(SUBSTITUTE(U436,CHAR(160)," ")),$BJ$15:$BJ$62,$BL$15:$BL$62),_xlfn.XLOOKUP(TRIM(SUBSTITUTE(U436,CHAR(160)," ")),$BK$15:$BK$62,$BL$15:$BL$62))))*T436*IF(ISBLANK(Q436),1,Q436)+IFERROR(_xlfn.XLOOKUP("RECHERCHEX",TRIM(L436:AC436),L436:AC436),0),0))</f>
        <v/>
      </c>
      <c r="AL436" s="1030">
        <f t="shared" si="189"/>
        <v>0</v>
      </c>
      <c r="AM436" s="5254" t="str">
        <f t="shared" si="204"/>
        <v/>
      </c>
      <c r="AN436" s="1031">
        <f t="shared" si="190"/>
        <v>0</v>
      </c>
      <c r="AO436" s="1031">
        <f t="shared" si="191"/>
        <v>0</v>
      </c>
      <c r="AP436" s="1032">
        <f t="shared" si="192"/>
        <v>0</v>
      </c>
      <c r="AQ436" s="5255" t="str">
        <f t="shared" si="193"/>
        <v/>
      </c>
      <c r="AR436" s="1056"/>
      <c r="AS436" s="1056"/>
      <c r="AT436" s="1034">
        <f t="shared" si="194"/>
        <v>0</v>
      </c>
      <c r="AU436" s="1035">
        <f t="shared" si="195"/>
        <v>0</v>
      </c>
      <c r="AV436" s="1057" cm="1">
        <f t="array" ref="AV436">IF(AJ436&lt;&gt;1,0,IF(OR(AT436="",N(AT436)&lt;=0.000000001),"",IF(OR(AN436="",N(AN436)&lt;=0.000000001),0,IF(ISNUMBER(AT436),IFERROR(_xlfn.LET(_xlpm.ai_test,TRIM(AI436),_xlpm.r,IFERROR(_xlfn.XLOOKUP(_xlpm.ai_test,$BI$15:$BI$62,ROW($BI$15:$BI$62),0,1),IFERROR(_xlfn.XLOOKUP(_xlpm.ai_test,$BJ$15:$BJ$62,ROW($BJ$15:$BJ$62),0,1),_xlfn.XLOOKUP(_xlpm.ai_test,$BK$15:$BK$62,ROW($BK$15:$BK$62),0,1))),_xlpm.p,_xlpm.r-MIN(ROW($BI$15:$BI$62))+1,_xlpm.f,INDEX($BL$15:$BL$62,_xlpm.p),_xlpm.u,INDEX($BM$15:$BM$62,_xlpm.p),_xlpm.s,INDEX($BO$15:$BO$62,_xlpm.p),_xlpm.q,N(AT436)/_xlpm.f,IF(_xlpm.q&gt;=_xlpm.s,ROUND(_xlpm.q,1)&amp;" "&amp;_xlpm.ai_test&amp;" = "&amp;ROUND(_xlpm.q*_xlpm.f,1)&amp;" "&amp;_xlpm.u,ROUND(_xlpm.q,1)&amp;" "&amp;_xlpm.ai_test)),""),""))))</f>
        <v>0</v>
      </c>
      <c r="AW436" s="1047"/>
      <c r="AX436" s="1034">
        <f t="shared" si="196"/>
        <v>0</v>
      </c>
      <c r="AY436" s="1035" t="str">
        <f t="shared" si="197"/>
        <v/>
      </c>
      <c r="AZ436" s="1036">
        <f t="shared" si="202"/>
        <v>0</v>
      </c>
      <c r="BA436" s="1037" t="str">
        <f t="shared" si="198"/>
        <v/>
      </c>
      <c r="BB436" s="1038"/>
      <c r="BC436" s="1039">
        <f t="shared" si="203"/>
        <v>0</v>
      </c>
      <c r="BD436" s="1040" t="str">
        <f t="shared" si="199"/>
        <v/>
      </c>
      <c r="BE436" s="227" t="s">
        <v>22</v>
      </c>
      <c r="BF436" s="1019">
        <f t="shared" si="200"/>
        <v>0</v>
      </c>
      <c r="BG436" s="1020">
        <f t="shared" si="201"/>
        <v>0</v>
      </c>
      <c r="BH436"/>
      <c r="BI436" s="709"/>
      <c r="BJ436" s="709"/>
      <c r="BK436" s="709"/>
      <c r="BL436" s="709"/>
      <c r="BM436" s="709"/>
      <c r="BN436" s="709"/>
      <c r="BO436" s="709"/>
      <c r="BP436" s="709"/>
      <c r="BW436" s="959" t="str">
        <f t="shared" si="182"/>
        <v>►</v>
      </c>
      <c r="BX436" s="856"/>
      <c r="BY436" s="856"/>
      <c r="BZ436" s="856"/>
      <c r="CA436" s="856"/>
      <c r="CB436" s="856"/>
      <c r="DB436" s="3">
        <v>1</v>
      </c>
    </row>
    <row r="437" spans="12:106" ht="21" customHeight="1">
      <c r="L437" s="104" t="s">
        <v>16</v>
      </c>
      <c r="M437" s="1172"/>
      <c r="N437" s="1172"/>
      <c r="O437" s="1172"/>
      <c r="P437" s="1173"/>
      <c r="Q437" s="1174"/>
      <c r="R437" s="1175"/>
      <c r="S437" s="1176"/>
      <c r="T437" s="1177"/>
      <c r="U437" s="5248"/>
      <c r="V437" s="1177"/>
      <c r="W437" s="5249"/>
      <c r="X437" s="5208"/>
      <c r="Y437" s="5209"/>
      <c r="Z437" s="5210"/>
      <c r="AA437" s="5211"/>
      <c r="AB437" s="1178"/>
      <c r="AC437" s="1179"/>
      <c r="AD437" s="227" t="s">
        <v>22</v>
      </c>
      <c r="AE437" s="1027" t="str">
        <f t="shared" si="183"/>
        <v>►</v>
      </c>
      <c r="AF437" s="1028" t="str">
        <f t="shared" si="184"/>
        <v/>
      </c>
      <c r="AG437" s="1029" t="str">
        <f t="shared" si="185"/>
        <v/>
      </c>
      <c r="AH437" s="1028" t="str">
        <f t="shared" si="186"/>
        <v/>
      </c>
      <c r="AI437" s="1029" t="str">
        <f t="shared" si="187"/>
        <v/>
      </c>
      <c r="AJ437" s="1029">
        <f t="shared" si="188"/>
        <v>0</v>
      </c>
      <c r="AK437" s="1043" t="str" cm="1">
        <f t="array" ref="AK437">IF(AE437&lt;&gt;"A","",IFERROR((IFERROR(_xlfn.XLOOKUP(TRIM(SUBSTITUTE(U437,CHAR(160)," ")),$BI$15:$BI$62,$BL$15:$BL$62),IFERROR(_xlfn.XLOOKUP(TRIM(SUBSTITUTE(U437,CHAR(160)," ")),$BJ$15:$BJ$62,$BL$15:$BL$62),_xlfn.XLOOKUP(TRIM(SUBSTITUTE(U437,CHAR(160)," ")),$BK$15:$BK$62,$BL$15:$BL$62))))*T437*IF(ISBLANK(Q437),1,Q437)+IFERROR(_xlfn.XLOOKUP("RECHERCHEX",TRIM(L437:AC437),L437:AC437),0),0))</f>
        <v/>
      </c>
      <c r="AL437" s="1030">
        <f t="shared" si="189"/>
        <v>0</v>
      </c>
      <c r="AM437" s="5254" t="str">
        <f t="shared" si="204"/>
        <v/>
      </c>
      <c r="AN437" s="1031">
        <f t="shared" si="190"/>
        <v>0</v>
      </c>
      <c r="AO437" s="1031">
        <f t="shared" si="191"/>
        <v>0</v>
      </c>
      <c r="AP437" s="1044">
        <f t="shared" si="192"/>
        <v>0</v>
      </c>
      <c r="AQ437" s="5257" t="str">
        <f t="shared" si="193"/>
        <v/>
      </c>
      <c r="AR437" s="1056"/>
      <c r="AS437" s="1056"/>
      <c r="AT437" s="1045">
        <f t="shared" si="194"/>
        <v>0</v>
      </c>
      <c r="AU437" s="1046">
        <f t="shared" si="195"/>
        <v>0</v>
      </c>
      <c r="AV437" s="1059" cm="1">
        <f t="array" ref="AV437">IF(AJ437&lt;&gt;1,0,IF(OR(AT437="",N(AT437)&lt;=0.000000001),"",IF(OR(AN437="",N(AN437)&lt;=0.000000001),0,IF(ISNUMBER(AT437),IFERROR(_xlfn.LET(_xlpm.ai_test,TRIM(AI437),_xlpm.r,IFERROR(_xlfn.XLOOKUP(_xlpm.ai_test,$BI$15:$BI$62,ROW($BI$15:$BI$62),0,1),IFERROR(_xlfn.XLOOKUP(_xlpm.ai_test,$BJ$15:$BJ$62,ROW($BJ$15:$BJ$62),0,1),_xlfn.XLOOKUP(_xlpm.ai_test,$BK$15:$BK$62,ROW($BK$15:$BK$62),0,1))),_xlpm.p,_xlpm.r-MIN(ROW($BI$15:$BI$62))+1,_xlpm.f,INDEX($BL$15:$BL$62,_xlpm.p),_xlpm.u,INDEX($BM$15:$BM$62,_xlpm.p),_xlpm.s,INDEX($BO$15:$BO$62,_xlpm.p),_xlpm.q,N(AT437)/_xlpm.f,IF(_xlpm.q&gt;=_xlpm.s,ROUND(_xlpm.q,1)&amp;" "&amp;_xlpm.ai_test&amp;" = "&amp;ROUND(_xlpm.q*_xlpm.f,1)&amp;" "&amp;_xlpm.u,ROUND(_xlpm.q,1)&amp;" "&amp;_xlpm.ai_test)),""),""))))</f>
        <v>0</v>
      </c>
      <c r="AW437" s="1047"/>
      <c r="AX437" s="1045">
        <f t="shared" si="196"/>
        <v>0</v>
      </c>
      <c r="AY437" s="1046" t="str">
        <f t="shared" si="197"/>
        <v/>
      </c>
      <c r="AZ437" s="1048">
        <f t="shared" si="202"/>
        <v>0</v>
      </c>
      <c r="BA437" s="1049" t="str">
        <f t="shared" si="198"/>
        <v/>
      </c>
      <c r="BB437" s="1038"/>
      <c r="BC437" s="1050">
        <f t="shared" si="203"/>
        <v>0</v>
      </c>
      <c r="BD437" s="1040" t="str">
        <f t="shared" si="199"/>
        <v/>
      </c>
      <c r="BE437" s="227" t="s">
        <v>22</v>
      </c>
      <c r="BF437" s="1019">
        <f t="shared" si="200"/>
        <v>0</v>
      </c>
      <c r="BG437" s="1020">
        <f t="shared" si="201"/>
        <v>0</v>
      </c>
      <c r="BH437"/>
      <c r="BI437" s="709"/>
      <c r="BJ437" s="709"/>
      <c r="BK437" s="709"/>
      <c r="BL437" s="709"/>
      <c r="BM437" s="709"/>
      <c r="BN437" s="709"/>
      <c r="BO437" s="709"/>
      <c r="BP437" s="709"/>
      <c r="BW437" s="959" t="str">
        <f t="shared" si="182"/>
        <v>►</v>
      </c>
      <c r="BX437" s="856"/>
      <c r="BY437" s="856"/>
      <c r="BZ437" s="856"/>
      <c r="CA437" s="856"/>
      <c r="CB437" s="856"/>
      <c r="DB437" s="3">
        <v>1</v>
      </c>
    </row>
    <row r="438" spans="12:106" ht="21" customHeight="1">
      <c r="L438" s="104" t="s">
        <v>16</v>
      </c>
      <c r="M438" s="1172"/>
      <c r="N438" s="1172"/>
      <c r="O438" s="1172"/>
      <c r="P438" s="1173"/>
      <c r="Q438" s="1174"/>
      <c r="R438" s="1175"/>
      <c r="S438" s="1176"/>
      <c r="T438" s="1177"/>
      <c r="U438" s="5248"/>
      <c r="V438" s="1177"/>
      <c r="W438" s="5249"/>
      <c r="X438" s="5208"/>
      <c r="Y438" s="5209"/>
      <c r="Z438" s="5210"/>
      <c r="AA438" s="5211"/>
      <c r="AB438" s="1178"/>
      <c r="AC438" s="1179"/>
      <c r="AD438" s="227" t="s">
        <v>22</v>
      </c>
      <c r="AE438" s="1027" t="str">
        <f t="shared" si="183"/>
        <v>►</v>
      </c>
      <c r="AF438" s="1028" t="str">
        <f t="shared" si="184"/>
        <v/>
      </c>
      <c r="AG438" s="1029" t="str">
        <f t="shared" si="185"/>
        <v/>
      </c>
      <c r="AH438" s="1028" t="str">
        <f t="shared" si="186"/>
        <v/>
      </c>
      <c r="AI438" s="1029" t="str">
        <f t="shared" si="187"/>
        <v/>
      </c>
      <c r="AJ438" s="1029">
        <f t="shared" si="188"/>
        <v>0</v>
      </c>
      <c r="AK438" s="1043" t="str" cm="1">
        <f t="array" ref="AK438">IF(AE438&lt;&gt;"A","",IFERROR((IFERROR(_xlfn.XLOOKUP(TRIM(SUBSTITUTE(U438,CHAR(160)," ")),$BI$15:$BI$62,$BL$15:$BL$62),IFERROR(_xlfn.XLOOKUP(TRIM(SUBSTITUTE(U438,CHAR(160)," ")),$BJ$15:$BJ$62,$BL$15:$BL$62),_xlfn.XLOOKUP(TRIM(SUBSTITUTE(U438,CHAR(160)," ")),$BK$15:$BK$62,$BL$15:$BL$62))))*T438*IF(ISBLANK(Q438),1,Q438)+IFERROR(_xlfn.XLOOKUP("RECHERCHEX",TRIM(L438:AC438),L438:AC438),0),0))</f>
        <v/>
      </c>
      <c r="AL438" s="1030">
        <f t="shared" si="189"/>
        <v>0</v>
      </c>
      <c r="AM438" s="5254" t="str">
        <f t="shared" si="204"/>
        <v/>
      </c>
      <c r="AN438" s="1031">
        <f t="shared" si="190"/>
        <v>0</v>
      </c>
      <c r="AO438" s="1031">
        <f t="shared" si="191"/>
        <v>0</v>
      </c>
      <c r="AP438" s="1032">
        <f t="shared" si="192"/>
        <v>0</v>
      </c>
      <c r="AQ438" s="5255" t="str">
        <f t="shared" si="193"/>
        <v/>
      </c>
      <c r="AR438" s="1056"/>
      <c r="AS438" s="1056"/>
      <c r="AT438" s="1034">
        <f t="shared" si="194"/>
        <v>0</v>
      </c>
      <c r="AU438" s="1035">
        <f t="shared" si="195"/>
        <v>0</v>
      </c>
      <c r="AV438" s="1057" cm="1">
        <f t="array" ref="AV438">IF(AJ438&lt;&gt;1,0,IF(OR(AT438="",N(AT438)&lt;=0.000000001),"",IF(OR(AN438="",N(AN438)&lt;=0.000000001),0,IF(ISNUMBER(AT438),IFERROR(_xlfn.LET(_xlpm.ai_test,TRIM(AI438),_xlpm.r,IFERROR(_xlfn.XLOOKUP(_xlpm.ai_test,$BI$15:$BI$62,ROW($BI$15:$BI$62),0,1),IFERROR(_xlfn.XLOOKUP(_xlpm.ai_test,$BJ$15:$BJ$62,ROW($BJ$15:$BJ$62),0,1),_xlfn.XLOOKUP(_xlpm.ai_test,$BK$15:$BK$62,ROW($BK$15:$BK$62),0,1))),_xlpm.p,_xlpm.r-MIN(ROW($BI$15:$BI$62))+1,_xlpm.f,INDEX($BL$15:$BL$62,_xlpm.p),_xlpm.u,INDEX($BM$15:$BM$62,_xlpm.p),_xlpm.s,INDEX($BO$15:$BO$62,_xlpm.p),_xlpm.q,N(AT438)/_xlpm.f,IF(_xlpm.q&gt;=_xlpm.s,ROUND(_xlpm.q,1)&amp;" "&amp;_xlpm.ai_test&amp;" = "&amp;ROUND(_xlpm.q*_xlpm.f,1)&amp;" "&amp;_xlpm.u,ROUND(_xlpm.q,1)&amp;" "&amp;_xlpm.ai_test)),""),""))))</f>
        <v>0</v>
      </c>
      <c r="AW438" s="1047"/>
      <c r="AX438" s="1034">
        <f t="shared" si="196"/>
        <v>0</v>
      </c>
      <c r="AY438" s="1035" t="str">
        <f t="shared" si="197"/>
        <v/>
      </c>
      <c r="AZ438" s="1036">
        <f t="shared" si="202"/>
        <v>0</v>
      </c>
      <c r="BA438" s="1037" t="str">
        <f t="shared" si="198"/>
        <v/>
      </c>
      <c r="BB438" s="1038"/>
      <c r="BC438" s="1039">
        <f t="shared" si="203"/>
        <v>0</v>
      </c>
      <c r="BD438" s="1040" t="str">
        <f t="shared" si="199"/>
        <v/>
      </c>
      <c r="BE438" s="227" t="s">
        <v>22</v>
      </c>
      <c r="BF438" s="1019">
        <f t="shared" si="200"/>
        <v>0</v>
      </c>
      <c r="BG438" s="1020">
        <f t="shared" si="201"/>
        <v>0</v>
      </c>
      <c r="BH438"/>
      <c r="BI438" s="709"/>
      <c r="BJ438" s="709"/>
      <c r="BK438" s="709"/>
      <c r="BL438" s="709"/>
      <c r="BM438" s="709"/>
      <c r="BN438" s="709"/>
      <c r="BO438" s="709"/>
      <c r="BP438" s="709"/>
      <c r="BW438" s="959" t="str">
        <f t="shared" si="182"/>
        <v>►</v>
      </c>
      <c r="BX438" s="856"/>
      <c r="BY438" s="856"/>
      <c r="BZ438" s="856"/>
      <c r="CA438" s="856"/>
      <c r="CB438" s="856"/>
      <c r="DB438" s="3">
        <v>1</v>
      </c>
    </row>
    <row r="439" spans="12:106" ht="21" customHeight="1">
      <c r="L439" s="104" t="s">
        <v>16</v>
      </c>
      <c r="M439" s="1172"/>
      <c r="N439" s="1172"/>
      <c r="O439" s="1172"/>
      <c r="P439" s="1173"/>
      <c r="Q439" s="1174"/>
      <c r="R439" s="1175"/>
      <c r="S439" s="1176"/>
      <c r="T439" s="1177"/>
      <c r="U439" s="5248"/>
      <c r="V439" s="1177"/>
      <c r="W439" s="5249"/>
      <c r="X439" s="5208"/>
      <c r="Y439" s="5209"/>
      <c r="Z439" s="5210"/>
      <c r="AA439" s="5211"/>
      <c r="AB439" s="1178"/>
      <c r="AC439" s="1179"/>
      <c r="AD439" s="227" t="s">
        <v>22</v>
      </c>
      <c r="AE439" s="1027" t="str">
        <f t="shared" si="183"/>
        <v>►</v>
      </c>
      <c r="AF439" s="1028" t="str">
        <f t="shared" si="184"/>
        <v/>
      </c>
      <c r="AG439" s="1029" t="str">
        <f t="shared" si="185"/>
        <v/>
      </c>
      <c r="AH439" s="1028" t="str">
        <f t="shared" si="186"/>
        <v/>
      </c>
      <c r="AI439" s="1029" t="str">
        <f t="shared" si="187"/>
        <v/>
      </c>
      <c r="AJ439" s="1029">
        <f t="shared" si="188"/>
        <v>0</v>
      </c>
      <c r="AK439" s="1043" t="str" cm="1">
        <f t="array" ref="AK439">IF(AE439&lt;&gt;"A","",IFERROR((IFERROR(_xlfn.XLOOKUP(TRIM(SUBSTITUTE(U439,CHAR(160)," ")),$BI$15:$BI$62,$BL$15:$BL$62),IFERROR(_xlfn.XLOOKUP(TRIM(SUBSTITUTE(U439,CHAR(160)," ")),$BJ$15:$BJ$62,$BL$15:$BL$62),_xlfn.XLOOKUP(TRIM(SUBSTITUTE(U439,CHAR(160)," ")),$BK$15:$BK$62,$BL$15:$BL$62))))*T439*IF(ISBLANK(Q439),1,Q439)+IFERROR(_xlfn.XLOOKUP("RECHERCHEX",TRIM(L439:AC439),L439:AC439),0),0))</f>
        <v/>
      </c>
      <c r="AL439" s="1030">
        <f t="shared" si="189"/>
        <v>0</v>
      </c>
      <c r="AM439" s="5254" t="str">
        <f t="shared" si="204"/>
        <v/>
      </c>
      <c r="AN439" s="1031">
        <f t="shared" si="190"/>
        <v>0</v>
      </c>
      <c r="AO439" s="1031">
        <f t="shared" si="191"/>
        <v>0</v>
      </c>
      <c r="AP439" s="1044">
        <f t="shared" si="192"/>
        <v>0</v>
      </c>
      <c r="AQ439" s="5257" t="str">
        <f t="shared" si="193"/>
        <v/>
      </c>
      <c r="AR439" s="1056"/>
      <c r="AS439" s="1056"/>
      <c r="AT439" s="1045">
        <f t="shared" si="194"/>
        <v>0</v>
      </c>
      <c r="AU439" s="1046">
        <f t="shared" si="195"/>
        <v>0</v>
      </c>
      <c r="AV439" s="1059" cm="1">
        <f t="array" ref="AV439">IF(AJ439&lt;&gt;1,0,IF(OR(AT439="",N(AT439)&lt;=0.000000001),"",IF(OR(AN439="",N(AN439)&lt;=0.000000001),0,IF(ISNUMBER(AT439),IFERROR(_xlfn.LET(_xlpm.ai_test,TRIM(AI439),_xlpm.r,IFERROR(_xlfn.XLOOKUP(_xlpm.ai_test,$BI$15:$BI$62,ROW($BI$15:$BI$62),0,1),IFERROR(_xlfn.XLOOKUP(_xlpm.ai_test,$BJ$15:$BJ$62,ROW($BJ$15:$BJ$62),0,1),_xlfn.XLOOKUP(_xlpm.ai_test,$BK$15:$BK$62,ROW($BK$15:$BK$62),0,1))),_xlpm.p,_xlpm.r-MIN(ROW($BI$15:$BI$62))+1,_xlpm.f,INDEX($BL$15:$BL$62,_xlpm.p),_xlpm.u,INDEX($BM$15:$BM$62,_xlpm.p),_xlpm.s,INDEX($BO$15:$BO$62,_xlpm.p),_xlpm.q,N(AT439)/_xlpm.f,IF(_xlpm.q&gt;=_xlpm.s,ROUND(_xlpm.q,1)&amp;" "&amp;_xlpm.ai_test&amp;" = "&amp;ROUND(_xlpm.q*_xlpm.f,1)&amp;" "&amp;_xlpm.u,ROUND(_xlpm.q,1)&amp;" "&amp;_xlpm.ai_test)),""),""))))</f>
        <v>0</v>
      </c>
      <c r="AW439" s="1047"/>
      <c r="AX439" s="1045">
        <f t="shared" si="196"/>
        <v>0</v>
      </c>
      <c r="AY439" s="1046" t="str">
        <f t="shared" si="197"/>
        <v/>
      </c>
      <c r="AZ439" s="1048">
        <f t="shared" si="202"/>
        <v>0</v>
      </c>
      <c r="BA439" s="1049" t="str">
        <f t="shared" si="198"/>
        <v/>
      </c>
      <c r="BB439" s="1038"/>
      <c r="BC439" s="1050">
        <f t="shared" si="203"/>
        <v>0</v>
      </c>
      <c r="BD439" s="1040" t="str">
        <f t="shared" si="199"/>
        <v/>
      </c>
      <c r="BE439" s="227" t="s">
        <v>22</v>
      </c>
      <c r="BF439" s="1019">
        <f t="shared" si="200"/>
        <v>0</v>
      </c>
      <c r="BG439" s="1020">
        <f t="shared" si="201"/>
        <v>0</v>
      </c>
      <c r="BH439"/>
      <c r="BI439" s="709"/>
      <c r="BJ439" s="709"/>
      <c r="BK439" s="709"/>
      <c r="BL439" s="709"/>
      <c r="BM439" s="709"/>
      <c r="BN439" s="709"/>
      <c r="BO439" s="709"/>
      <c r="BP439" s="709"/>
      <c r="BW439" s="959" t="str">
        <f t="shared" si="182"/>
        <v>►</v>
      </c>
      <c r="BX439" s="856"/>
      <c r="BY439" s="856"/>
      <c r="BZ439" s="856"/>
      <c r="CA439" s="856"/>
      <c r="CB439" s="856"/>
      <c r="DB439" s="3">
        <v>1</v>
      </c>
    </row>
    <row r="440" spans="12:106" ht="21" customHeight="1">
      <c r="L440" s="104" t="s">
        <v>16</v>
      </c>
      <c r="M440" s="1172"/>
      <c r="N440" s="1172"/>
      <c r="O440" s="1172"/>
      <c r="P440" s="1173"/>
      <c r="Q440" s="1174"/>
      <c r="R440" s="1175"/>
      <c r="S440" s="1176"/>
      <c r="T440" s="1177"/>
      <c r="U440" s="5248"/>
      <c r="V440" s="1177"/>
      <c r="W440" s="5249"/>
      <c r="X440" s="5208"/>
      <c r="Y440" s="5209"/>
      <c r="Z440" s="5210"/>
      <c r="AA440" s="5211"/>
      <c r="AB440" s="1178"/>
      <c r="AC440" s="1179"/>
      <c r="AD440" s="227" t="s">
        <v>22</v>
      </c>
      <c r="AE440" s="1027" t="str">
        <f t="shared" si="183"/>
        <v>►</v>
      </c>
      <c r="AF440" s="1028" t="str">
        <f t="shared" si="184"/>
        <v/>
      </c>
      <c r="AG440" s="1029" t="str">
        <f t="shared" si="185"/>
        <v/>
      </c>
      <c r="AH440" s="1028" t="str">
        <f t="shared" si="186"/>
        <v/>
      </c>
      <c r="AI440" s="1029" t="str">
        <f t="shared" si="187"/>
        <v/>
      </c>
      <c r="AJ440" s="1029">
        <f t="shared" si="188"/>
        <v>0</v>
      </c>
      <c r="AK440" s="1043" t="str" cm="1">
        <f t="array" ref="AK440">IF(AE440&lt;&gt;"A","",IFERROR((IFERROR(_xlfn.XLOOKUP(TRIM(SUBSTITUTE(U440,CHAR(160)," ")),$BI$15:$BI$62,$BL$15:$BL$62),IFERROR(_xlfn.XLOOKUP(TRIM(SUBSTITUTE(U440,CHAR(160)," ")),$BJ$15:$BJ$62,$BL$15:$BL$62),_xlfn.XLOOKUP(TRIM(SUBSTITUTE(U440,CHAR(160)," ")),$BK$15:$BK$62,$BL$15:$BL$62))))*T440*IF(ISBLANK(Q440),1,Q440)+IFERROR(_xlfn.XLOOKUP("RECHERCHEX",TRIM(L440:AC440),L440:AC440),0),0))</f>
        <v/>
      </c>
      <c r="AL440" s="1030">
        <f t="shared" si="189"/>
        <v>0</v>
      </c>
      <c r="AM440" s="5254" t="str">
        <f t="shared" si="204"/>
        <v/>
      </c>
      <c r="AN440" s="1031">
        <f t="shared" si="190"/>
        <v>0</v>
      </c>
      <c r="AO440" s="1031">
        <f t="shared" si="191"/>
        <v>0</v>
      </c>
      <c r="AP440" s="1032">
        <f t="shared" si="192"/>
        <v>0</v>
      </c>
      <c r="AQ440" s="5255" t="str">
        <f t="shared" si="193"/>
        <v/>
      </c>
      <c r="AR440" s="1056"/>
      <c r="AS440" s="1056"/>
      <c r="AT440" s="1034">
        <f t="shared" si="194"/>
        <v>0</v>
      </c>
      <c r="AU440" s="1035">
        <f t="shared" si="195"/>
        <v>0</v>
      </c>
      <c r="AV440" s="1057" cm="1">
        <f t="array" ref="AV440">IF(AJ440&lt;&gt;1,0,IF(OR(AT440="",N(AT440)&lt;=0.000000001),"",IF(OR(AN440="",N(AN440)&lt;=0.000000001),0,IF(ISNUMBER(AT440),IFERROR(_xlfn.LET(_xlpm.ai_test,TRIM(AI440),_xlpm.r,IFERROR(_xlfn.XLOOKUP(_xlpm.ai_test,$BI$15:$BI$62,ROW($BI$15:$BI$62),0,1),IFERROR(_xlfn.XLOOKUP(_xlpm.ai_test,$BJ$15:$BJ$62,ROW($BJ$15:$BJ$62),0,1),_xlfn.XLOOKUP(_xlpm.ai_test,$BK$15:$BK$62,ROW($BK$15:$BK$62),0,1))),_xlpm.p,_xlpm.r-MIN(ROW($BI$15:$BI$62))+1,_xlpm.f,INDEX($BL$15:$BL$62,_xlpm.p),_xlpm.u,INDEX($BM$15:$BM$62,_xlpm.p),_xlpm.s,INDEX($BO$15:$BO$62,_xlpm.p),_xlpm.q,N(AT440)/_xlpm.f,IF(_xlpm.q&gt;=_xlpm.s,ROUND(_xlpm.q,1)&amp;" "&amp;_xlpm.ai_test&amp;" = "&amp;ROUND(_xlpm.q*_xlpm.f,1)&amp;" "&amp;_xlpm.u,ROUND(_xlpm.q,1)&amp;" "&amp;_xlpm.ai_test)),""),""))))</f>
        <v>0</v>
      </c>
      <c r="AW440" s="1047"/>
      <c r="AX440" s="1034">
        <f t="shared" si="196"/>
        <v>0</v>
      </c>
      <c r="AY440" s="1035" t="str">
        <f t="shared" si="197"/>
        <v/>
      </c>
      <c r="AZ440" s="1036">
        <f t="shared" si="202"/>
        <v>0</v>
      </c>
      <c r="BA440" s="1037" t="str">
        <f t="shared" si="198"/>
        <v/>
      </c>
      <c r="BB440" s="1038"/>
      <c r="BC440" s="1039">
        <f t="shared" si="203"/>
        <v>0</v>
      </c>
      <c r="BD440" s="1040" t="str">
        <f t="shared" si="199"/>
        <v/>
      </c>
      <c r="BE440" s="227" t="s">
        <v>22</v>
      </c>
      <c r="BF440" s="1019">
        <f t="shared" si="200"/>
        <v>0</v>
      </c>
      <c r="BG440" s="1020">
        <f t="shared" si="201"/>
        <v>0</v>
      </c>
      <c r="BH440"/>
      <c r="BI440" s="709"/>
      <c r="BJ440" s="709"/>
      <c r="BK440" s="709"/>
      <c r="BL440" s="709"/>
      <c r="BM440" s="709"/>
      <c r="BN440" s="709"/>
      <c r="BO440" s="709"/>
      <c r="BP440" s="709"/>
      <c r="BW440" s="959" t="str">
        <f t="shared" si="182"/>
        <v>►</v>
      </c>
      <c r="BX440" s="856"/>
      <c r="BY440" s="856"/>
      <c r="BZ440" s="856"/>
      <c r="CA440" s="856"/>
      <c r="CB440" s="856"/>
      <c r="DB440" s="3">
        <v>1</v>
      </c>
    </row>
    <row r="441" spans="12:106" ht="21" customHeight="1">
      <c r="L441" s="104" t="s">
        <v>16</v>
      </c>
      <c r="M441" s="1172"/>
      <c r="N441" s="1172"/>
      <c r="O441" s="1172"/>
      <c r="P441" s="1173"/>
      <c r="Q441" s="1174"/>
      <c r="R441" s="1175"/>
      <c r="S441" s="1176"/>
      <c r="T441" s="1177"/>
      <c r="U441" s="5248"/>
      <c r="V441" s="1177"/>
      <c r="W441" s="5249"/>
      <c r="X441" s="5208"/>
      <c r="Y441" s="5209"/>
      <c r="Z441" s="5210"/>
      <c r="AA441" s="5211"/>
      <c r="AB441" s="1178"/>
      <c r="AC441" s="1179"/>
      <c r="AD441" s="227" t="s">
        <v>22</v>
      </c>
      <c r="AE441" s="1027" t="str">
        <f t="shared" si="183"/>
        <v>►</v>
      </c>
      <c r="AF441" s="1028" t="str">
        <f t="shared" si="184"/>
        <v/>
      </c>
      <c r="AG441" s="1029" t="str">
        <f t="shared" si="185"/>
        <v/>
      </c>
      <c r="AH441" s="1028" t="str">
        <f t="shared" si="186"/>
        <v/>
      </c>
      <c r="AI441" s="1029" t="str">
        <f t="shared" si="187"/>
        <v/>
      </c>
      <c r="AJ441" s="1029">
        <f t="shared" si="188"/>
        <v>0</v>
      </c>
      <c r="AK441" s="1043" t="str" cm="1">
        <f t="array" ref="AK441">IF(AE441&lt;&gt;"A","",IFERROR((IFERROR(_xlfn.XLOOKUP(TRIM(SUBSTITUTE(U441,CHAR(160)," ")),$BI$15:$BI$62,$BL$15:$BL$62),IFERROR(_xlfn.XLOOKUP(TRIM(SUBSTITUTE(U441,CHAR(160)," ")),$BJ$15:$BJ$62,$BL$15:$BL$62),_xlfn.XLOOKUP(TRIM(SUBSTITUTE(U441,CHAR(160)," ")),$BK$15:$BK$62,$BL$15:$BL$62))))*T441*IF(ISBLANK(Q441),1,Q441)+IFERROR(_xlfn.XLOOKUP("RECHERCHEX",TRIM(L441:AC441),L441:AC441),0),0))</f>
        <v/>
      </c>
      <c r="AL441" s="1030">
        <f t="shared" si="189"/>
        <v>0</v>
      </c>
      <c r="AM441" s="5254" t="str">
        <f t="shared" si="204"/>
        <v/>
      </c>
      <c r="AN441" s="1031">
        <f t="shared" si="190"/>
        <v>0</v>
      </c>
      <c r="AO441" s="1031">
        <f t="shared" si="191"/>
        <v>0</v>
      </c>
      <c r="AP441" s="1044">
        <f t="shared" si="192"/>
        <v>0</v>
      </c>
      <c r="AQ441" s="5257" t="str">
        <f t="shared" si="193"/>
        <v/>
      </c>
      <c r="AR441" s="1056"/>
      <c r="AS441" s="1056"/>
      <c r="AT441" s="1045">
        <f t="shared" si="194"/>
        <v>0</v>
      </c>
      <c r="AU441" s="1046">
        <f t="shared" si="195"/>
        <v>0</v>
      </c>
      <c r="AV441" s="1059" cm="1">
        <f t="array" ref="AV441">IF(AJ441&lt;&gt;1,0,IF(OR(AT441="",N(AT441)&lt;=0.000000001),"",IF(OR(AN441="",N(AN441)&lt;=0.000000001),0,IF(ISNUMBER(AT441),IFERROR(_xlfn.LET(_xlpm.ai_test,TRIM(AI441),_xlpm.r,IFERROR(_xlfn.XLOOKUP(_xlpm.ai_test,$BI$15:$BI$62,ROW($BI$15:$BI$62),0,1),IFERROR(_xlfn.XLOOKUP(_xlpm.ai_test,$BJ$15:$BJ$62,ROW($BJ$15:$BJ$62),0,1),_xlfn.XLOOKUP(_xlpm.ai_test,$BK$15:$BK$62,ROW($BK$15:$BK$62),0,1))),_xlpm.p,_xlpm.r-MIN(ROW($BI$15:$BI$62))+1,_xlpm.f,INDEX($BL$15:$BL$62,_xlpm.p),_xlpm.u,INDEX($BM$15:$BM$62,_xlpm.p),_xlpm.s,INDEX($BO$15:$BO$62,_xlpm.p),_xlpm.q,N(AT441)/_xlpm.f,IF(_xlpm.q&gt;=_xlpm.s,ROUND(_xlpm.q,1)&amp;" "&amp;_xlpm.ai_test&amp;" = "&amp;ROUND(_xlpm.q*_xlpm.f,1)&amp;" "&amp;_xlpm.u,ROUND(_xlpm.q,1)&amp;" "&amp;_xlpm.ai_test)),""),""))))</f>
        <v>0</v>
      </c>
      <c r="AW441" s="1047"/>
      <c r="AX441" s="1045">
        <f t="shared" si="196"/>
        <v>0</v>
      </c>
      <c r="AY441" s="1046" t="str">
        <f t="shared" si="197"/>
        <v/>
      </c>
      <c r="AZ441" s="1048">
        <f t="shared" si="202"/>
        <v>0</v>
      </c>
      <c r="BA441" s="1049" t="str">
        <f t="shared" si="198"/>
        <v/>
      </c>
      <c r="BB441" s="1038"/>
      <c r="BC441" s="1050">
        <f t="shared" si="203"/>
        <v>0</v>
      </c>
      <c r="BD441" s="1040" t="str">
        <f t="shared" si="199"/>
        <v/>
      </c>
      <c r="BE441" s="227" t="s">
        <v>22</v>
      </c>
      <c r="BF441" s="1019">
        <f t="shared" si="200"/>
        <v>0</v>
      </c>
      <c r="BG441" s="1020">
        <f t="shared" si="201"/>
        <v>0</v>
      </c>
      <c r="BH441"/>
      <c r="BI441" s="709"/>
      <c r="BJ441" s="709"/>
      <c r="BK441" s="709"/>
      <c r="BL441" s="709"/>
      <c r="BM441" s="709"/>
      <c r="BN441" s="709"/>
      <c r="BO441" s="709"/>
      <c r="BP441" s="709"/>
      <c r="BW441" s="959" t="str">
        <f t="shared" si="182"/>
        <v>►</v>
      </c>
      <c r="BX441" s="856"/>
      <c r="BY441" s="856"/>
      <c r="BZ441" s="856"/>
      <c r="CA441" s="856"/>
      <c r="CB441" s="856"/>
      <c r="DB441" s="3">
        <v>1</v>
      </c>
    </row>
    <row r="442" spans="12:106" ht="21" customHeight="1">
      <c r="L442" s="104" t="s">
        <v>16</v>
      </c>
      <c r="M442" s="1172"/>
      <c r="N442" s="1172"/>
      <c r="O442" s="1172"/>
      <c r="P442" s="1173"/>
      <c r="Q442" s="1174"/>
      <c r="R442" s="1175"/>
      <c r="S442" s="1176"/>
      <c r="T442" s="1177"/>
      <c r="U442" s="5248"/>
      <c r="V442" s="1177"/>
      <c r="W442" s="5249"/>
      <c r="X442" s="5208"/>
      <c r="Y442" s="5209"/>
      <c r="Z442" s="5210"/>
      <c r="AA442" s="5211"/>
      <c r="AB442" s="1178"/>
      <c r="AC442" s="1179"/>
      <c r="AD442" s="227" t="s">
        <v>22</v>
      </c>
      <c r="AE442" s="1027" t="str">
        <f t="shared" si="183"/>
        <v>►</v>
      </c>
      <c r="AF442" s="1028" t="str">
        <f t="shared" si="184"/>
        <v/>
      </c>
      <c r="AG442" s="1029" t="str">
        <f t="shared" si="185"/>
        <v/>
      </c>
      <c r="AH442" s="1028" t="str">
        <f t="shared" si="186"/>
        <v/>
      </c>
      <c r="AI442" s="1029" t="str">
        <f t="shared" si="187"/>
        <v/>
      </c>
      <c r="AJ442" s="1029">
        <f t="shared" si="188"/>
        <v>0</v>
      </c>
      <c r="AK442" s="1043" t="str" cm="1">
        <f t="array" ref="AK442">IF(AE442&lt;&gt;"A","",IFERROR((IFERROR(_xlfn.XLOOKUP(TRIM(SUBSTITUTE(U442,CHAR(160)," ")),$BI$15:$BI$62,$BL$15:$BL$62),IFERROR(_xlfn.XLOOKUP(TRIM(SUBSTITUTE(U442,CHAR(160)," ")),$BJ$15:$BJ$62,$BL$15:$BL$62),_xlfn.XLOOKUP(TRIM(SUBSTITUTE(U442,CHAR(160)," ")),$BK$15:$BK$62,$BL$15:$BL$62))))*T442*IF(ISBLANK(Q442),1,Q442)+IFERROR(_xlfn.XLOOKUP("RECHERCHEX",TRIM(L442:AC442),L442:AC442),0),0))</f>
        <v/>
      </c>
      <c r="AL442" s="1030">
        <f t="shared" si="189"/>
        <v>0</v>
      </c>
      <c r="AM442" s="5254" t="str">
        <f t="shared" si="204"/>
        <v/>
      </c>
      <c r="AN442" s="1031">
        <f t="shared" si="190"/>
        <v>0</v>
      </c>
      <c r="AO442" s="1031">
        <f t="shared" si="191"/>
        <v>0</v>
      </c>
      <c r="AP442" s="1032">
        <f t="shared" si="192"/>
        <v>0</v>
      </c>
      <c r="AQ442" s="5255" t="str">
        <f t="shared" si="193"/>
        <v/>
      </c>
      <c r="AR442" s="1056"/>
      <c r="AS442" s="1056"/>
      <c r="AT442" s="1034">
        <f t="shared" si="194"/>
        <v>0</v>
      </c>
      <c r="AU442" s="1035">
        <f t="shared" si="195"/>
        <v>0</v>
      </c>
      <c r="AV442" s="1057" cm="1">
        <f t="array" ref="AV442">IF(AJ442&lt;&gt;1,0,IF(OR(AT442="",N(AT442)&lt;=0.000000001),"",IF(OR(AN442="",N(AN442)&lt;=0.000000001),0,IF(ISNUMBER(AT442),IFERROR(_xlfn.LET(_xlpm.ai_test,TRIM(AI442),_xlpm.r,IFERROR(_xlfn.XLOOKUP(_xlpm.ai_test,$BI$15:$BI$62,ROW($BI$15:$BI$62),0,1),IFERROR(_xlfn.XLOOKUP(_xlpm.ai_test,$BJ$15:$BJ$62,ROW($BJ$15:$BJ$62),0,1),_xlfn.XLOOKUP(_xlpm.ai_test,$BK$15:$BK$62,ROW($BK$15:$BK$62),0,1))),_xlpm.p,_xlpm.r-MIN(ROW($BI$15:$BI$62))+1,_xlpm.f,INDEX($BL$15:$BL$62,_xlpm.p),_xlpm.u,INDEX($BM$15:$BM$62,_xlpm.p),_xlpm.s,INDEX($BO$15:$BO$62,_xlpm.p),_xlpm.q,N(AT442)/_xlpm.f,IF(_xlpm.q&gt;=_xlpm.s,ROUND(_xlpm.q,1)&amp;" "&amp;_xlpm.ai_test&amp;" = "&amp;ROUND(_xlpm.q*_xlpm.f,1)&amp;" "&amp;_xlpm.u,ROUND(_xlpm.q,1)&amp;" "&amp;_xlpm.ai_test)),""),""))))</f>
        <v>0</v>
      </c>
      <c r="AW442" s="1047"/>
      <c r="AX442" s="1034">
        <f t="shared" si="196"/>
        <v>0</v>
      </c>
      <c r="AY442" s="1035" t="str">
        <f t="shared" si="197"/>
        <v/>
      </c>
      <c r="AZ442" s="1036">
        <f t="shared" si="202"/>
        <v>0</v>
      </c>
      <c r="BA442" s="1037" t="str">
        <f t="shared" si="198"/>
        <v/>
      </c>
      <c r="BB442" s="1038"/>
      <c r="BC442" s="1039">
        <f t="shared" si="203"/>
        <v>0</v>
      </c>
      <c r="BD442" s="1040" t="str">
        <f t="shared" si="199"/>
        <v/>
      </c>
      <c r="BE442" s="227" t="s">
        <v>22</v>
      </c>
      <c r="BF442" s="1019">
        <f t="shared" si="200"/>
        <v>0</v>
      </c>
      <c r="BG442" s="1020">
        <f t="shared" si="201"/>
        <v>0</v>
      </c>
      <c r="BH442"/>
      <c r="BI442" s="709"/>
      <c r="BJ442" s="709"/>
      <c r="BK442" s="709"/>
      <c r="BL442" s="709"/>
      <c r="BM442" s="709"/>
      <c r="BN442" s="709"/>
      <c r="BO442" s="709"/>
      <c r="BP442" s="709"/>
      <c r="BW442" s="959" t="str">
        <f t="shared" si="182"/>
        <v>►</v>
      </c>
      <c r="BX442" s="856"/>
      <c r="BY442" s="856"/>
      <c r="BZ442" s="856"/>
      <c r="CA442" s="856"/>
      <c r="CB442" s="856"/>
      <c r="DB442" s="3">
        <v>1</v>
      </c>
    </row>
    <row r="443" spans="12:106" ht="21" customHeight="1">
      <c r="L443" s="104" t="s">
        <v>16</v>
      </c>
      <c r="M443" s="1172"/>
      <c r="N443" s="1172"/>
      <c r="O443" s="1172"/>
      <c r="P443" s="1173"/>
      <c r="Q443" s="1174"/>
      <c r="R443" s="1175"/>
      <c r="S443" s="1176"/>
      <c r="T443" s="1177"/>
      <c r="U443" s="5248"/>
      <c r="V443" s="1177"/>
      <c r="W443" s="5249"/>
      <c r="X443" s="5208"/>
      <c r="Y443" s="5209"/>
      <c r="Z443" s="5210"/>
      <c r="AA443" s="5211"/>
      <c r="AB443" s="1178"/>
      <c r="AC443" s="1179"/>
      <c r="AD443" s="227" t="s">
        <v>22</v>
      </c>
      <c r="AE443" s="1027" t="str">
        <f t="shared" si="183"/>
        <v>►</v>
      </c>
      <c r="AF443" s="1028" t="str">
        <f t="shared" si="184"/>
        <v/>
      </c>
      <c r="AG443" s="1029" t="str">
        <f t="shared" si="185"/>
        <v/>
      </c>
      <c r="AH443" s="1028" t="str">
        <f t="shared" si="186"/>
        <v/>
      </c>
      <c r="AI443" s="1029" t="str">
        <f t="shared" si="187"/>
        <v/>
      </c>
      <c r="AJ443" s="1029">
        <f t="shared" si="188"/>
        <v>0</v>
      </c>
      <c r="AK443" s="1043" t="str" cm="1">
        <f t="array" ref="AK443">IF(AE443&lt;&gt;"A","",IFERROR((IFERROR(_xlfn.XLOOKUP(TRIM(SUBSTITUTE(U443,CHAR(160)," ")),$BI$15:$BI$62,$BL$15:$BL$62),IFERROR(_xlfn.XLOOKUP(TRIM(SUBSTITUTE(U443,CHAR(160)," ")),$BJ$15:$BJ$62,$BL$15:$BL$62),_xlfn.XLOOKUP(TRIM(SUBSTITUTE(U443,CHAR(160)," ")),$BK$15:$BK$62,$BL$15:$BL$62))))*T443*IF(ISBLANK(Q443),1,Q443)+IFERROR(_xlfn.XLOOKUP("RECHERCHEX",TRIM(L443:AC443),L443:AC443),0),0))</f>
        <v/>
      </c>
      <c r="AL443" s="1030">
        <f t="shared" si="189"/>
        <v>0</v>
      </c>
      <c r="AM443" s="5254" t="str">
        <f t="shared" si="204"/>
        <v/>
      </c>
      <c r="AN443" s="1031">
        <f t="shared" si="190"/>
        <v>0</v>
      </c>
      <c r="AO443" s="1031">
        <f t="shared" si="191"/>
        <v>0</v>
      </c>
      <c r="AP443" s="1044">
        <f t="shared" si="192"/>
        <v>0</v>
      </c>
      <c r="AQ443" s="5257" t="str">
        <f t="shared" si="193"/>
        <v/>
      </c>
      <c r="AR443" s="1056"/>
      <c r="AS443" s="1056"/>
      <c r="AT443" s="1045">
        <f t="shared" si="194"/>
        <v>0</v>
      </c>
      <c r="AU443" s="1046">
        <f t="shared" si="195"/>
        <v>0</v>
      </c>
      <c r="AV443" s="1059" cm="1">
        <f t="array" ref="AV443">IF(AJ443&lt;&gt;1,0,IF(OR(AT443="",N(AT443)&lt;=0.000000001),"",IF(OR(AN443="",N(AN443)&lt;=0.000000001),0,IF(ISNUMBER(AT443),IFERROR(_xlfn.LET(_xlpm.ai_test,TRIM(AI443),_xlpm.r,IFERROR(_xlfn.XLOOKUP(_xlpm.ai_test,$BI$15:$BI$62,ROW($BI$15:$BI$62),0,1),IFERROR(_xlfn.XLOOKUP(_xlpm.ai_test,$BJ$15:$BJ$62,ROW($BJ$15:$BJ$62),0,1),_xlfn.XLOOKUP(_xlpm.ai_test,$BK$15:$BK$62,ROW($BK$15:$BK$62),0,1))),_xlpm.p,_xlpm.r-MIN(ROW($BI$15:$BI$62))+1,_xlpm.f,INDEX($BL$15:$BL$62,_xlpm.p),_xlpm.u,INDEX($BM$15:$BM$62,_xlpm.p),_xlpm.s,INDEX($BO$15:$BO$62,_xlpm.p),_xlpm.q,N(AT443)/_xlpm.f,IF(_xlpm.q&gt;=_xlpm.s,ROUND(_xlpm.q,1)&amp;" "&amp;_xlpm.ai_test&amp;" = "&amp;ROUND(_xlpm.q*_xlpm.f,1)&amp;" "&amp;_xlpm.u,ROUND(_xlpm.q,1)&amp;" "&amp;_xlpm.ai_test)),""),""))))</f>
        <v>0</v>
      </c>
      <c r="AW443" s="1047"/>
      <c r="AX443" s="1045">
        <f t="shared" si="196"/>
        <v>0</v>
      </c>
      <c r="AY443" s="1046" t="str">
        <f t="shared" si="197"/>
        <v/>
      </c>
      <c r="AZ443" s="1048">
        <f t="shared" si="202"/>
        <v>0</v>
      </c>
      <c r="BA443" s="1049" t="str">
        <f t="shared" si="198"/>
        <v/>
      </c>
      <c r="BB443" s="1038"/>
      <c r="BC443" s="1050">
        <f t="shared" si="203"/>
        <v>0</v>
      </c>
      <c r="BD443" s="1040" t="str">
        <f t="shared" si="199"/>
        <v/>
      </c>
      <c r="BE443" s="227" t="s">
        <v>22</v>
      </c>
      <c r="BF443" s="1019">
        <f t="shared" si="200"/>
        <v>0</v>
      </c>
      <c r="BG443" s="1020">
        <f t="shared" si="201"/>
        <v>0</v>
      </c>
      <c r="BH443"/>
      <c r="BI443" s="709"/>
      <c r="BJ443" s="709"/>
      <c r="BK443" s="709"/>
      <c r="BL443" s="709"/>
      <c r="BM443" s="709"/>
      <c r="BN443" s="709"/>
      <c r="BO443" s="709"/>
      <c r="BP443" s="709"/>
      <c r="BW443" s="959" t="str">
        <f t="shared" si="182"/>
        <v>►</v>
      </c>
      <c r="BX443" s="856"/>
      <c r="BY443" s="856"/>
      <c r="BZ443" s="856"/>
      <c r="CA443" s="856"/>
      <c r="CB443" s="856"/>
      <c r="DB443" s="3">
        <v>1</v>
      </c>
    </row>
    <row r="444" spans="12:106" ht="21" customHeight="1">
      <c r="L444" s="104" t="s">
        <v>16</v>
      </c>
      <c r="M444" s="1172"/>
      <c r="N444" s="1172"/>
      <c r="O444" s="1172"/>
      <c r="P444" s="1173"/>
      <c r="Q444" s="1174"/>
      <c r="R444" s="1175"/>
      <c r="S444" s="1176"/>
      <c r="T444" s="1177"/>
      <c r="U444" s="5248"/>
      <c r="V444" s="1177"/>
      <c r="W444" s="5249"/>
      <c r="X444" s="5208"/>
      <c r="Y444" s="5209"/>
      <c r="Z444" s="5210"/>
      <c r="AA444" s="5211"/>
      <c r="AB444" s="1178"/>
      <c r="AC444" s="1179"/>
      <c r="AD444" s="227" t="s">
        <v>22</v>
      </c>
      <c r="AE444" s="1027" t="str">
        <f t="shared" si="183"/>
        <v>►</v>
      </c>
      <c r="AF444" s="1028" t="str">
        <f t="shared" si="184"/>
        <v/>
      </c>
      <c r="AG444" s="1029" t="str">
        <f t="shared" si="185"/>
        <v/>
      </c>
      <c r="AH444" s="1028" t="str">
        <f t="shared" si="186"/>
        <v/>
      </c>
      <c r="AI444" s="1029" t="str">
        <f t="shared" si="187"/>
        <v/>
      </c>
      <c r="AJ444" s="1029">
        <f t="shared" si="188"/>
        <v>0</v>
      </c>
      <c r="AK444" s="1043" t="str" cm="1">
        <f t="array" ref="AK444">IF(AE444&lt;&gt;"A","",IFERROR((IFERROR(_xlfn.XLOOKUP(TRIM(SUBSTITUTE(U444,CHAR(160)," ")),$BI$15:$BI$62,$BL$15:$BL$62),IFERROR(_xlfn.XLOOKUP(TRIM(SUBSTITUTE(U444,CHAR(160)," ")),$BJ$15:$BJ$62,$BL$15:$BL$62),_xlfn.XLOOKUP(TRIM(SUBSTITUTE(U444,CHAR(160)," ")),$BK$15:$BK$62,$BL$15:$BL$62))))*T444*IF(ISBLANK(Q444),1,Q444)+IFERROR(_xlfn.XLOOKUP("RECHERCHEX",TRIM(L444:AC444),L444:AC444),0),0))</f>
        <v/>
      </c>
      <c r="AL444" s="1030">
        <f t="shared" si="189"/>
        <v>0</v>
      </c>
      <c r="AM444" s="5254" t="str">
        <f t="shared" si="204"/>
        <v/>
      </c>
      <c r="AN444" s="1031">
        <f t="shared" si="190"/>
        <v>0</v>
      </c>
      <c r="AO444" s="1031">
        <f t="shared" si="191"/>
        <v>0</v>
      </c>
      <c r="AP444" s="1032">
        <f t="shared" si="192"/>
        <v>0</v>
      </c>
      <c r="AQ444" s="5255" t="str">
        <f t="shared" si="193"/>
        <v/>
      </c>
      <c r="AR444" s="1056"/>
      <c r="AS444" s="1056"/>
      <c r="AT444" s="1034">
        <f t="shared" si="194"/>
        <v>0</v>
      </c>
      <c r="AU444" s="1035">
        <f t="shared" si="195"/>
        <v>0</v>
      </c>
      <c r="AV444" s="1057" cm="1">
        <f t="array" ref="AV444">IF(AJ444&lt;&gt;1,0,IF(OR(AT444="",N(AT444)&lt;=0.000000001),"",IF(OR(AN444="",N(AN444)&lt;=0.000000001),0,IF(ISNUMBER(AT444),IFERROR(_xlfn.LET(_xlpm.ai_test,TRIM(AI444),_xlpm.r,IFERROR(_xlfn.XLOOKUP(_xlpm.ai_test,$BI$15:$BI$62,ROW($BI$15:$BI$62),0,1),IFERROR(_xlfn.XLOOKUP(_xlpm.ai_test,$BJ$15:$BJ$62,ROW($BJ$15:$BJ$62),0,1),_xlfn.XLOOKUP(_xlpm.ai_test,$BK$15:$BK$62,ROW($BK$15:$BK$62),0,1))),_xlpm.p,_xlpm.r-MIN(ROW($BI$15:$BI$62))+1,_xlpm.f,INDEX($BL$15:$BL$62,_xlpm.p),_xlpm.u,INDEX($BM$15:$BM$62,_xlpm.p),_xlpm.s,INDEX($BO$15:$BO$62,_xlpm.p),_xlpm.q,N(AT444)/_xlpm.f,IF(_xlpm.q&gt;=_xlpm.s,ROUND(_xlpm.q,1)&amp;" "&amp;_xlpm.ai_test&amp;" = "&amp;ROUND(_xlpm.q*_xlpm.f,1)&amp;" "&amp;_xlpm.u,ROUND(_xlpm.q,1)&amp;" "&amp;_xlpm.ai_test)),""),""))))</f>
        <v>0</v>
      </c>
      <c r="AW444" s="1047"/>
      <c r="AX444" s="1034">
        <f t="shared" si="196"/>
        <v>0</v>
      </c>
      <c r="AY444" s="1035" t="str">
        <f t="shared" si="197"/>
        <v/>
      </c>
      <c r="AZ444" s="1036">
        <f t="shared" si="202"/>
        <v>0</v>
      </c>
      <c r="BA444" s="1037" t="str">
        <f t="shared" si="198"/>
        <v/>
      </c>
      <c r="BB444" s="1038"/>
      <c r="BC444" s="1039">
        <f t="shared" si="203"/>
        <v>0</v>
      </c>
      <c r="BD444" s="1040" t="str">
        <f t="shared" si="199"/>
        <v/>
      </c>
      <c r="BE444" s="227" t="s">
        <v>22</v>
      </c>
      <c r="BF444" s="1019">
        <f t="shared" si="200"/>
        <v>0</v>
      </c>
      <c r="BG444" s="1020">
        <f t="shared" si="201"/>
        <v>0</v>
      </c>
      <c r="BH444"/>
      <c r="BI444" s="709"/>
      <c r="BJ444" s="709"/>
      <c r="BK444" s="709"/>
      <c r="BL444" s="709"/>
      <c r="BM444" s="709"/>
      <c r="BN444" s="709"/>
      <c r="BO444" s="709"/>
      <c r="BP444" s="709"/>
      <c r="BW444" s="959" t="str">
        <f t="shared" si="182"/>
        <v>►</v>
      </c>
      <c r="BX444" s="856"/>
      <c r="BY444" s="856"/>
      <c r="BZ444" s="856"/>
      <c r="CA444" s="856"/>
      <c r="CB444" s="856"/>
      <c r="DB444" s="3">
        <v>1</v>
      </c>
    </row>
    <row r="445" spans="12:106" ht="21" customHeight="1">
      <c r="L445" s="104" t="s">
        <v>16</v>
      </c>
      <c r="M445" s="1172"/>
      <c r="N445" s="1172"/>
      <c r="O445" s="1172"/>
      <c r="P445" s="1173"/>
      <c r="Q445" s="1174"/>
      <c r="R445" s="1175"/>
      <c r="S445" s="1176"/>
      <c r="T445" s="1177"/>
      <c r="U445" s="5248"/>
      <c r="V445" s="1177"/>
      <c r="W445" s="5249"/>
      <c r="X445" s="5208"/>
      <c r="Y445" s="5209"/>
      <c r="Z445" s="5210"/>
      <c r="AA445" s="5211"/>
      <c r="AB445" s="1178"/>
      <c r="AC445" s="1179"/>
      <c r="AD445" s="227" t="s">
        <v>22</v>
      </c>
      <c r="AE445" s="1027" t="str">
        <f t="shared" si="183"/>
        <v>►</v>
      </c>
      <c r="AF445" s="1028" t="str">
        <f t="shared" si="184"/>
        <v/>
      </c>
      <c r="AG445" s="1029" t="str">
        <f t="shared" si="185"/>
        <v/>
      </c>
      <c r="AH445" s="1028" t="str">
        <f t="shared" si="186"/>
        <v/>
      </c>
      <c r="AI445" s="1029" t="str">
        <f t="shared" si="187"/>
        <v/>
      </c>
      <c r="AJ445" s="1029">
        <f t="shared" si="188"/>
        <v>0</v>
      </c>
      <c r="AK445" s="1043" t="str" cm="1">
        <f t="array" ref="AK445">IF(AE445&lt;&gt;"A","",IFERROR((IFERROR(_xlfn.XLOOKUP(TRIM(SUBSTITUTE(U445,CHAR(160)," ")),$BI$15:$BI$62,$BL$15:$BL$62),IFERROR(_xlfn.XLOOKUP(TRIM(SUBSTITUTE(U445,CHAR(160)," ")),$BJ$15:$BJ$62,$BL$15:$BL$62),_xlfn.XLOOKUP(TRIM(SUBSTITUTE(U445,CHAR(160)," ")),$BK$15:$BK$62,$BL$15:$BL$62))))*T445*IF(ISBLANK(Q445),1,Q445)+IFERROR(_xlfn.XLOOKUP("RECHERCHEX",TRIM(L445:AC445),L445:AC445),0),0))</f>
        <v/>
      </c>
      <c r="AL445" s="1030">
        <f t="shared" si="189"/>
        <v>0</v>
      </c>
      <c r="AM445" s="5254" t="str">
        <f t="shared" si="204"/>
        <v/>
      </c>
      <c r="AN445" s="1031">
        <f t="shared" si="190"/>
        <v>0</v>
      </c>
      <c r="AO445" s="1031">
        <f t="shared" si="191"/>
        <v>0</v>
      </c>
      <c r="AP445" s="1044">
        <f t="shared" si="192"/>
        <v>0</v>
      </c>
      <c r="AQ445" s="5257" t="str">
        <f t="shared" si="193"/>
        <v/>
      </c>
      <c r="AR445" s="1056"/>
      <c r="AS445" s="1056"/>
      <c r="AT445" s="1045">
        <f t="shared" si="194"/>
        <v>0</v>
      </c>
      <c r="AU445" s="1046">
        <f t="shared" si="195"/>
        <v>0</v>
      </c>
      <c r="AV445" s="1059" cm="1">
        <f t="array" ref="AV445">IF(AJ445&lt;&gt;1,0,IF(OR(AT445="",N(AT445)&lt;=0.000000001),"",IF(OR(AN445="",N(AN445)&lt;=0.000000001),0,IF(ISNUMBER(AT445),IFERROR(_xlfn.LET(_xlpm.ai_test,TRIM(AI445),_xlpm.r,IFERROR(_xlfn.XLOOKUP(_xlpm.ai_test,$BI$15:$BI$62,ROW($BI$15:$BI$62),0,1),IFERROR(_xlfn.XLOOKUP(_xlpm.ai_test,$BJ$15:$BJ$62,ROW($BJ$15:$BJ$62),0,1),_xlfn.XLOOKUP(_xlpm.ai_test,$BK$15:$BK$62,ROW($BK$15:$BK$62),0,1))),_xlpm.p,_xlpm.r-MIN(ROW($BI$15:$BI$62))+1,_xlpm.f,INDEX($BL$15:$BL$62,_xlpm.p),_xlpm.u,INDEX($BM$15:$BM$62,_xlpm.p),_xlpm.s,INDEX($BO$15:$BO$62,_xlpm.p),_xlpm.q,N(AT445)/_xlpm.f,IF(_xlpm.q&gt;=_xlpm.s,ROUND(_xlpm.q,1)&amp;" "&amp;_xlpm.ai_test&amp;" = "&amp;ROUND(_xlpm.q*_xlpm.f,1)&amp;" "&amp;_xlpm.u,ROUND(_xlpm.q,1)&amp;" "&amp;_xlpm.ai_test)),""),""))))</f>
        <v>0</v>
      </c>
      <c r="AW445" s="1047"/>
      <c r="AX445" s="1045">
        <f t="shared" si="196"/>
        <v>0</v>
      </c>
      <c r="AY445" s="1046" t="str">
        <f t="shared" si="197"/>
        <v/>
      </c>
      <c r="AZ445" s="1048">
        <f t="shared" si="202"/>
        <v>0</v>
      </c>
      <c r="BA445" s="1049" t="str">
        <f t="shared" si="198"/>
        <v/>
      </c>
      <c r="BB445" s="1038"/>
      <c r="BC445" s="1050">
        <f t="shared" si="203"/>
        <v>0</v>
      </c>
      <c r="BD445" s="1040" t="str">
        <f t="shared" si="199"/>
        <v/>
      </c>
      <c r="BE445" s="227" t="s">
        <v>22</v>
      </c>
      <c r="BF445" s="1019">
        <f t="shared" si="200"/>
        <v>0</v>
      </c>
      <c r="BG445" s="1020">
        <f t="shared" si="201"/>
        <v>0</v>
      </c>
      <c r="BH445"/>
      <c r="BI445" s="709"/>
      <c r="BJ445" s="709"/>
      <c r="BK445" s="709"/>
      <c r="BL445" s="709"/>
      <c r="BM445" s="709"/>
      <c r="BN445" s="709"/>
      <c r="BO445" s="709"/>
      <c r="BP445" s="709"/>
      <c r="BW445" s="959" t="str">
        <f t="shared" si="182"/>
        <v>►</v>
      </c>
      <c r="BX445" s="856"/>
      <c r="BY445" s="856"/>
      <c r="BZ445" s="856"/>
      <c r="CA445" s="856"/>
      <c r="CB445" s="856"/>
      <c r="DB445" s="3">
        <v>1</v>
      </c>
    </row>
    <row r="446" spans="12:106" ht="21" customHeight="1">
      <c r="L446" s="104" t="s">
        <v>16</v>
      </c>
      <c r="M446" s="1172"/>
      <c r="N446" s="1172"/>
      <c r="O446" s="1172"/>
      <c r="P446" s="1173"/>
      <c r="Q446" s="1174"/>
      <c r="R446" s="1175"/>
      <c r="S446" s="1176"/>
      <c r="T446" s="1177"/>
      <c r="U446" s="5248"/>
      <c r="V446" s="1177"/>
      <c r="W446" s="5249"/>
      <c r="X446" s="5208"/>
      <c r="Y446" s="5209"/>
      <c r="Z446" s="5210"/>
      <c r="AA446" s="5211"/>
      <c r="AB446" s="1178"/>
      <c r="AC446" s="1179"/>
      <c r="AD446" s="227" t="s">
        <v>22</v>
      </c>
      <c r="AE446" s="1027" t="str">
        <f t="shared" si="183"/>
        <v>►</v>
      </c>
      <c r="AF446" s="1028" t="str">
        <f t="shared" si="184"/>
        <v/>
      </c>
      <c r="AG446" s="1029" t="str">
        <f t="shared" si="185"/>
        <v/>
      </c>
      <c r="AH446" s="1028" t="str">
        <f t="shared" si="186"/>
        <v/>
      </c>
      <c r="AI446" s="1029" t="str">
        <f t="shared" si="187"/>
        <v/>
      </c>
      <c r="AJ446" s="1029">
        <f t="shared" si="188"/>
        <v>0</v>
      </c>
      <c r="AK446" s="1043" t="str" cm="1">
        <f t="array" ref="AK446">IF(AE446&lt;&gt;"A","",IFERROR((IFERROR(_xlfn.XLOOKUP(TRIM(SUBSTITUTE(U446,CHAR(160)," ")),$BI$15:$BI$62,$BL$15:$BL$62),IFERROR(_xlfn.XLOOKUP(TRIM(SUBSTITUTE(U446,CHAR(160)," ")),$BJ$15:$BJ$62,$BL$15:$BL$62),_xlfn.XLOOKUP(TRIM(SUBSTITUTE(U446,CHAR(160)," ")),$BK$15:$BK$62,$BL$15:$BL$62))))*T446*IF(ISBLANK(Q446),1,Q446)+IFERROR(_xlfn.XLOOKUP("RECHERCHEX",TRIM(L446:AC446),L446:AC446),0),0))</f>
        <v/>
      </c>
      <c r="AL446" s="1030">
        <f t="shared" si="189"/>
        <v>0</v>
      </c>
      <c r="AM446" s="5254" t="str">
        <f t="shared" si="204"/>
        <v/>
      </c>
      <c r="AN446" s="1031">
        <f t="shared" si="190"/>
        <v>0</v>
      </c>
      <c r="AO446" s="1031">
        <f t="shared" si="191"/>
        <v>0</v>
      </c>
      <c r="AP446" s="1032">
        <f t="shared" si="192"/>
        <v>0</v>
      </c>
      <c r="AQ446" s="5255" t="str">
        <f t="shared" si="193"/>
        <v/>
      </c>
      <c r="AR446" s="1056"/>
      <c r="AS446" s="1056"/>
      <c r="AT446" s="1034">
        <f t="shared" si="194"/>
        <v>0</v>
      </c>
      <c r="AU446" s="1035">
        <f t="shared" si="195"/>
        <v>0</v>
      </c>
      <c r="AV446" s="1057" cm="1">
        <f t="array" ref="AV446">IF(AJ446&lt;&gt;1,0,IF(OR(AT446="",N(AT446)&lt;=0.000000001),"",IF(OR(AN446="",N(AN446)&lt;=0.000000001),0,IF(ISNUMBER(AT446),IFERROR(_xlfn.LET(_xlpm.ai_test,TRIM(AI446),_xlpm.r,IFERROR(_xlfn.XLOOKUP(_xlpm.ai_test,$BI$15:$BI$62,ROW($BI$15:$BI$62),0,1),IFERROR(_xlfn.XLOOKUP(_xlpm.ai_test,$BJ$15:$BJ$62,ROW($BJ$15:$BJ$62),0,1),_xlfn.XLOOKUP(_xlpm.ai_test,$BK$15:$BK$62,ROW($BK$15:$BK$62),0,1))),_xlpm.p,_xlpm.r-MIN(ROW($BI$15:$BI$62))+1,_xlpm.f,INDEX($BL$15:$BL$62,_xlpm.p),_xlpm.u,INDEX($BM$15:$BM$62,_xlpm.p),_xlpm.s,INDEX($BO$15:$BO$62,_xlpm.p),_xlpm.q,N(AT446)/_xlpm.f,IF(_xlpm.q&gt;=_xlpm.s,ROUND(_xlpm.q,1)&amp;" "&amp;_xlpm.ai_test&amp;" = "&amp;ROUND(_xlpm.q*_xlpm.f,1)&amp;" "&amp;_xlpm.u,ROUND(_xlpm.q,1)&amp;" "&amp;_xlpm.ai_test)),""),""))))</f>
        <v>0</v>
      </c>
      <c r="AW446" s="1047"/>
      <c r="AX446" s="1034">
        <f t="shared" si="196"/>
        <v>0</v>
      </c>
      <c r="AY446" s="1035" t="str">
        <f t="shared" si="197"/>
        <v/>
      </c>
      <c r="AZ446" s="1036">
        <f t="shared" si="202"/>
        <v>0</v>
      </c>
      <c r="BA446" s="1037" t="str">
        <f t="shared" si="198"/>
        <v/>
      </c>
      <c r="BB446" s="1038"/>
      <c r="BC446" s="1039">
        <f t="shared" si="203"/>
        <v>0</v>
      </c>
      <c r="BD446" s="1040" t="str">
        <f t="shared" si="199"/>
        <v/>
      </c>
      <c r="BE446" s="227" t="s">
        <v>22</v>
      </c>
      <c r="BF446" s="1019">
        <f t="shared" si="200"/>
        <v>0</v>
      </c>
      <c r="BG446" s="1020">
        <f t="shared" si="201"/>
        <v>0</v>
      </c>
      <c r="BH446"/>
      <c r="BI446" s="709"/>
      <c r="BJ446" s="709"/>
      <c r="BK446" s="709"/>
      <c r="BL446" s="709"/>
      <c r="BM446" s="709"/>
      <c r="BN446" s="709"/>
      <c r="BO446" s="709"/>
      <c r="BP446" s="709"/>
      <c r="BW446" s="959" t="str">
        <f t="shared" si="182"/>
        <v>►</v>
      </c>
      <c r="BX446" s="856"/>
      <c r="BY446" s="856"/>
      <c r="BZ446" s="856"/>
      <c r="CA446" s="856"/>
      <c r="CB446" s="856"/>
      <c r="DB446" s="3">
        <v>1</v>
      </c>
    </row>
    <row r="447" spans="12:106" ht="21" customHeight="1">
      <c r="L447" s="104" t="s">
        <v>16</v>
      </c>
      <c r="M447" s="1172"/>
      <c r="N447" s="1172"/>
      <c r="O447" s="1172"/>
      <c r="P447" s="1173"/>
      <c r="Q447" s="1174"/>
      <c r="R447" s="1175"/>
      <c r="S447" s="1176"/>
      <c r="T447" s="1177"/>
      <c r="U447" s="5248"/>
      <c r="V447" s="1177"/>
      <c r="W447" s="5249"/>
      <c r="X447" s="5208"/>
      <c r="Y447" s="5209"/>
      <c r="Z447" s="5210"/>
      <c r="AA447" s="5211"/>
      <c r="AB447" s="1178"/>
      <c r="AC447" s="1179"/>
      <c r="AD447" s="227" t="s">
        <v>22</v>
      </c>
      <c r="AE447" s="1027" t="str">
        <f t="shared" si="183"/>
        <v>►</v>
      </c>
      <c r="AF447" s="1028" t="str">
        <f t="shared" si="184"/>
        <v/>
      </c>
      <c r="AG447" s="1029" t="str">
        <f t="shared" si="185"/>
        <v/>
      </c>
      <c r="AH447" s="1028" t="str">
        <f t="shared" si="186"/>
        <v/>
      </c>
      <c r="AI447" s="1029" t="str">
        <f t="shared" si="187"/>
        <v/>
      </c>
      <c r="AJ447" s="1029">
        <f t="shared" si="188"/>
        <v>0</v>
      </c>
      <c r="AK447" s="1043" t="str" cm="1">
        <f t="array" ref="AK447">IF(AE447&lt;&gt;"A","",IFERROR((IFERROR(_xlfn.XLOOKUP(TRIM(SUBSTITUTE(U447,CHAR(160)," ")),$BI$15:$BI$62,$BL$15:$BL$62),IFERROR(_xlfn.XLOOKUP(TRIM(SUBSTITUTE(U447,CHAR(160)," ")),$BJ$15:$BJ$62,$BL$15:$BL$62),_xlfn.XLOOKUP(TRIM(SUBSTITUTE(U447,CHAR(160)," ")),$BK$15:$BK$62,$BL$15:$BL$62))))*T447*IF(ISBLANK(Q447),1,Q447)+IFERROR(_xlfn.XLOOKUP("RECHERCHEX",TRIM(L447:AC447),L447:AC447),0),0))</f>
        <v/>
      </c>
      <c r="AL447" s="1030">
        <f t="shared" si="189"/>
        <v>0</v>
      </c>
      <c r="AM447" s="5254" t="str">
        <f t="shared" si="204"/>
        <v/>
      </c>
      <c r="AN447" s="1031">
        <f t="shared" si="190"/>
        <v>0</v>
      </c>
      <c r="AO447" s="1031">
        <f t="shared" si="191"/>
        <v>0</v>
      </c>
      <c r="AP447" s="1044">
        <f t="shared" si="192"/>
        <v>0</v>
      </c>
      <c r="AQ447" s="5257" t="str">
        <f t="shared" si="193"/>
        <v/>
      </c>
      <c r="AR447" s="1056"/>
      <c r="AS447" s="1056"/>
      <c r="AT447" s="1045">
        <f t="shared" si="194"/>
        <v>0</v>
      </c>
      <c r="AU447" s="1046">
        <f t="shared" si="195"/>
        <v>0</v>
      </c>
      <c r="AV447" s="1059" cm="1">
        <f t="array" ref="AV447">IF(AJ447&lt;&gt;1,0,IF(OR(AT447="",N(AT447)&lt;=0.000000001),"",IF(OR(AN447="",N(AN447)&lt;=0.000000001),0,IF(ISNUMBER(AT447),IFERROR(_xlfn.LET(_xlpm.ai_test,TRIM(AI447),_xlpm.r,IFERROR(_xlfn.XLOOKUP(_xlpm.ai_test,$BI$15:$BI$62,ROW($BI$15:$BI$62),0,1),IFERROR(_xlfn.XLOOKUP(_xlpm.ai_test,$BJ$15:$BJ$62,ROW($BJ$15:$BJ$62),0,1),_xlfn.XLOOKUP(_xlpm.ai_test,$BK$15:$BK$62,ROW($BK$15:$BK$62),0,1))),_xlpm.p,_xlpm.r-MIN(ROW($BI$15:$BI$62))+1,_xlpm.f,INDEX($BL$15:$BL$62,_xlpm.p),_xlpm.u,INDEX($BM$15:$BM$62,_xlpm.p),_xlpm.s,INDEX($BO$15:$BO$62,_xlpm.p),_xlpm.q,N(AT447)/_xlpm.f,IF(_xlpm.q&gt;=_xlpm.s,ROUND(_xlpm.q,1)&amp;" "&amp;_xlpm.ai_test&amp;" = "&amp;ROUND(_xlpm.q*_xlpm.f,1)&amp;" "&amp;_xlpm.u,ROUND(_xlpm.q,1)&amp;" "&amp;_xlpm.ai_test)),""),""))))</f>
        <v>0</v>
      </c>
      <c r="AW447" s="1047"/>
      <c r="AX447" s="1045">
        <f t="shared" si="196"/>
        <v>0</v>
      </c>
      <c r="AY447" s="1046" t="str">
        <f t="shared" si="197"/>
        <v/>
      </c>
      <c r="AZ447" s="1048">
        <f t="shared" si="202"/>
        <v>0</v>
      </c>
      <c r="BA447" s="1049" t="str">
        <f t="shared" si="198"/>
        <v/>
      </c>
      <c r="BB447" s="1038"/>
      <c r="BC447" s="1050">
        <f t="shared" si="203"/>
        <v>0</v>
      </c>
      <c r="BD447" s="1040" t="str">
        <f t="shared" si="199"/>
        <v/>
      </c>
      <c r="BE447" s="227" t="s">
        <v>22</v>
      </c>
      <c r="BF447" s="1019">
        <f t="shared" si="200"/>
        <v>0</v>
      </c>
      <c r="BG447" s="1020">
        <f t="shared" si="201"/>
        <v>0</v>
      </c>
      <c r="BH447"/>
      <c r="BI447" s="709"/>
      <c r="BJ447" s="709"/>
      <c r="BK447" s="709"/>
      <c r="BL447" s="709"/>
      <c r="BM447" s="709"/>
      <c r="BN447" s="709"/>
      <c r="BO447" s="709"/>
      <c r="BP447" s="709"/>
      <c r="BW447" s="959" t="str">
        <f t="shared" si="182"/>
        <v>►</v>
      </c>
      <c r="BX447" s="856"/>
      <c r="BY447" s="856"/>
      <c r="BZ447" s="856"/>
      <c r="CA447" s="856"/>
      <c r="CB447" s="856"/>
      <c r="DB447" s="3">
        <v>1</v>
      </c>
    </row>
    <row r="448" spans="12:106" ht="21" customHeight="1">
      <c r="L448" s="104" t="s">
        <v>16</v>
      </c>
      <c r="M448" s="1172"/>
      <c r="N448" s="1172"/>
      <c r="O448" s="1172"/>
      <c r="P448" s="1173"/>
      <c r="Q448" s="1174"/>
      <c r="R448" s="1175"/>
      <c r="S448" s="1176"/>
      <c r="T448" s="1177"/>
      <c r="U448" s="5248"/>
      <c r="V448" s="1177"/>
      <c r="W448" s="5249"/>
      <c r="X448" s="5208"/>
      <c r="Y448" s="5209"/>
      <c r="Z448" s="5210"/>
      <c r="AA448" s="5211"/>
      <c r="AB448" s="1178"/>
      <c r="AC448" s="1179"/>
      <c r="AD448" s="227" t="s">
        <v>22</v>
      </c>
      <c r="AE448" s="1027" t="str">
        <f t="shared" si="183"/>
        <v>►</v>
      </c>
      <c r="AF448" s="1028" t="str">
        <f t="shared" si="184"/>
        <v/>
      </c>
      <c r="AG448" s="1029" t="str">
        <f t="shared" si="185"/>
        <v/>
      </c>
      <c r="AH448" s="1028" t="str">
        <f t="shared" si="186"/>
        <v/>
      </c>
      <c r="AI448" s="1029" t="str">
        <f t="shared" si="187"/>
        <v/>
      </c>
      <c r="AJ448" s="1029">
        <f t="shared" si="188"/>
        <v>0</v>
      </c>
      <c r="AK448" s="1043" t="str" cm="1">
        <f t="array" ref="AK448">IF(AE448&lt;&gt;"A","",IFERROR((IFERROR(_xlfn.XLOOKUP(TRIM(SUBSTITUTE(U448,CHAR(160)," ")),$BI$15:$BI$62,$BL$15:$BL$62),IFERROR(_xlfn.XLOOKUP(TRIM(SUBSTITUTE(U448,CHAR(160)," ")),$BJ$15:$BJ$62,$BL$15:$BL$62),_xlfn.XLOOKUP(TRIM(SUBSTITUTE(U448,CHAR(160)," ")),$BK$15:$BK$62,$BL$15:$BL$62))))*T448*IF(ISBLANK(Q448),1,Q448)+IFERROR(_xlfn.XLOOKUP("RECHERCHEX",TRIM(L448:AC448),L448:AC448),0),0))</f>
        <v/>
      </c>
      <c r="AL448" s="1030">
        <f t="shared" si="189"/>
        <v>0</v>
      </c>
      <c r="AM448" s="5254" t="str">
        <f t="shared" si="204"/>
        <v/>
      </c>
      <c r="AN448" s="1031">
        <f t="shared" si="190"/>
        <v>0</v>
      </c>
      <c r="AO448" s="1031">
        <f t="shared" si="191"/>
        <v>0</v>
      </c>
      <c r="AP448" s="1032">
        <f t="shared" si="192"/>
        <v>0</v>
      </c>
      <c r="AQ448" s="5255" t="str">
        <f t="shared" si="193"/>
        <v/>
      </c>
      <c r="AR448" s="1056"/>
      <c r="AS448" s="1056"/>
      <c r="AT448" s="1034">
        <f t="shared" si="194"/>
        <v>0</v>
      </c>
      <c r="AU448" s="1035">
        <f t="shared" si="195"/>
        <v>0</v>
      </c>
      <c r="AV448" s="1057" cm="1">
        <f t="array" ref="AV448">IF(AJ448&lt;&gt;1,0,IF(OR(AT448="",N(AT448)&lt;=0.000000001),"",IF(OR(AN448="",N(AN448)&lt;=0.000000001),0,IF(ISNUMBER(AT448),IFERROR(_xlfn.LET(_xlpm.ai_test,TRIM(AI448),_xlpm.r,IFERROR(_xlfn.XLOOKUP(_xlpm.ai_test,$BI$15:$BI$62,ROW($BI$15:$BI$62),0,1),IFERROR(_xlfn.XLOOKUP(_xlpm.ai_test,$BJ$15:$BJ$62,ROW($BJ$15:$BJ$62),0,1),_xlfn.XLOOKUP(_xlpm.ai_test,$BK$15:$BK$62,ROW($BK$15:$BK$62),0,1))),_xlpm.p,_xlpm.r-MIN(ROW($BI$15:$BI$62))+1,_xlpm.f,INDEX($BL$15:$BL$62,_xlpm.p),_xlpm.u,INDEX($BM$15:$BM$62,_xlpm.p),_xlpm.s,INDEX($BO$15:$BO$62,_xlpm.p),_xlpm.q,N(AT448)/_xlpm.f,IF(_xlpm.q&gt;=_xlpm.s,ROUND(_xlpm.q,1)&amp;" "&amp;_xlpm.ai_test&amp;" = "&amp;ROUND(_xlpm.q*_xlpm.f,1)&amp;" "&amp;_xlpm.u,ROUND(_xlpm.q,1)&amp;" "&amp;_xlpm.ai_test)),""),""))))</f>
        <v>0</v>
      </c>
      <c r="AW448" s="1047"/>
      <c r="AX448" s="1034">
        <f t="shared" si="196"/>
        <v>0</v>
      </c>
      <c r="AY448" s="1035" t="str">
        <f t="shared" si="197"/>
        <v/>
      </c>
      <c r="AZ448" s="1036">
        <f t="shared" si="202"/>
        <v>0</v>
      </c>
      <c r="BA448" s="1037" t="str">
        <f t="shared" si="198"/>
        <v/>
      </c>
      <c r="BB448" s="1038"/>
      <c r="BC448" s="1039">
        <f t="shared" si="203"/>
        <v>0</v>
      </c>
      <c r="BD448" s="1040" t="str">
        <f t="shared" si="199"/>
        <v/>
      </c>
      <c r="BE448" s="227" t="s">
        <v>22</v>
      </c>
      <c r="BF448" s="1019">
        <f t="shared" si="200"/>
        <v>0</v>
      </c>
      <c r="BG448" s="1020">
        <f t="shared" si="201"/>
        <v>0</v>
      </c>
      <c r="BH448"/>
      <c r="BI448" s="709"/>
      <c r="BJ448" s="709"/>
      <c r="BK448" s="709"/>
      <c r="BL448" s="709"/>
      <c r="BM448" s="709"/>
      <c r="BN448" s="709"/>
      <c r="BO448" s="709"/>
      <c r="BP448" s="709"/>
      <c r="BW448" s="959" t="str">
        <f t="shared" si="182"/>
        <v>►</v>
      </c>
      <c r="BX448" s="856"/>
      <c r="BY448" s="856"/>
      <c r="BZ448" s="856"/>
      <c r="CA448" s="856"/>
      <c r="CB448" s="856"/>
      <c r="DB448" s="3">
        <v>1</v>
      </c>
    </row>
    <row r="449" spans="12:106" ht="21" customHeight="1">
      <c r="L449" s="104" t="s">
        <v>16</v>
      </c>
      <c r="M449" s="1172"/>
      <c r="N449" s="1172"/>
      <c r="O449" s="1172"/>
      <c r="P449" s="1173"/>
      <c r="Q449" s="1174"/>
      <c r="R449" s="1175"/>
      <c r="S449" s="1176"/>
      <c r="T449" s="1177"/>
      <c r="U449" s="5248"/>
      <c r="V449" s="1177"/>
      <c r="W449" s="5249"/>
      <c r="X449" s="5208"/>
      <c r="Y449" s="5209"/>
      <c r="Z449" s="5210"/>
      <c r="AA449" s="5211"/>
      <c r="AB449" s="1178"/>
      <c r="AC449" s="1179"/>
      <c r="AD449" s="227" t="s">
        <v>22</v>
      </c>
      <c r="AE449" s="1027" t="str">
        <f t="shared" si="183"/>
        <v>►</v>
      </c>
      <c r="AF449" s="1028" t="str">
        <f t="shared" si="184"/>
        <v/>
      </c>
      <c r="AG449" s="1029" t="str">
        <f t="shared" si="185"/>
        <v/>
      </c>
      <c r="AH449" s="1028" t="str">
        <f t="shared" si="186"/>
        <v/>
      </c>
      <c r="AI449" s="1029" t="str">
        <f t="shared" si="187"/>
        <v/>
      </c>
      <c r="AJ449" s="1029">
        <f t="shared" si="188"/>
        <v>0</v>
      </c>
      <c r="AK449" s="1043" t="str" cm="1">
        <f t="array" ref="AK449">IF(AE449&lt;&gt;"A","",IFERROR((IFERROR(_xlfn.XLOOKUP(TRIM(SUBSTITUTE(U449,CHAR(160)," ")),$BI$15:$BI$62,$BL$15:$BL$62),IFERROR(_xlfn.XLOOKUP(TRIM(SUBSTITUTE(U449,CHAR(160)," ")),$BJ$15:$BJ$62,$BL$15:$BL$62),_xlfn.XLOOKUP(TRIM(SUBSTITUTE(U449,CHAR(160)," ")),$BK$15:$BK$62,$BL$15:$BL$62))))*T449*IF(ISBLANK(Q449),1,Q449)+IFERROR(_xlfn.XLOOKUP("RECHERCHEX",TRIM(L449:AC449),L449:AC449),0),0))</f>
        <v/>
      </c>
      <c r="AL449" s="1030">
        <f t="shared" si="189"/>
        <v>0</v>
      </c>
      <c r="AM449" s="5254" t="str">
        <f t="shared" si="204"/>
        <v/>
      </c>
      <c r="AN449" s="1031">
        <f t="shared" si="190"/>
        <v>0</v>
      </c>
      <c r="AO449" s="1031">
        <f t="shared" si="191"/>
        <v>0</v>
      </c>
      <c r="AP449" s="1044">
        <f t="shared" si="192"/>
        <v>0</v>
      </c>
      <c r="AQ449" s="5257" t="str">
        <f t="shared" si="193"/>
        <v/>
      </c>
      <c r="AR449" s="1056"/>
      <c r="AS449" s="1056"/>
      <c r="AT449" s="1045">
        <f t="shared" si="194"/>
        <v>0</v>
      </c>
      <c r="AU449" s="1046">
        <f t="shared" si="195"/>
        <v>0</v>
      </c>
      <c r="AV449" s="1059" cm="1">
        <f t="array" ref="AV449">IF(AJ449&lt;&gt;1,0,IF(OR(AT449="",N(AT449)&lt;=0.000000001),"",IF(OR(AN449="",N(AN449)&lt;=0.000000001),0,IF(ISNUMBER(AT449),IFERROR(_xlfn.LET(_xlpm.ai_test,TRIM(AI449),_xlpm.r,IFERROR(_xlfn.XLOOKUP(_xlpm.ai_test,$BI$15:$BI$62,ROW($BI$15:$BI$62),0,1),IFERROR(_xlfn.XLOOKUP(_xlpm.ai_test,$BJ$15:$BJ$62,ROW($BJ$15:$BJ$62),0,1),_xlfn.XLOOKUP(_xlpm.ai_test,$BK$15:$BK$62,ROW($BK$15:$BK$62),0,1))),_xlpm.p,_xlpm.r-MIN(ROW($BI$15:$BI$62))+1,_xlpm.f,INDEX($BL$15:$BL$62,_xlpm.p),_xlpm.u,INDEX($BM$15:$BM$62,_xlpm.p),_xlpm.s,INDEX($BO$15:$BO$62,_xlpm.p),_xlpm.q,N(AT449)/_xlpm.f,IF(_xlpm.q&gt;=_xlpm.s,ROUND(_xlpm.q,1)&amp;" "&amp;_xlpm.ai_test&amp;" = "&amp;ROUND(_xlpm.q*_xlpm.f,1)&amp;" "&amp;_xlpm.u,ROUND(_xlpm.q,1)&amp;" "&amp;_xlpm.ai_test)),""),""))))</f>
        <v>0</v>
      </c>
      <c r="AW449" s="1047"/>
      <c r="AX449" s="1045">
        <f t="shared" si="196"/>
        <v>0</v>
      </c>
      <c r="AY449" s="1046" t="str">
        <f t="shared" si="197"/>
        <v/>
      </c>
      <c r="AZ449" s="1048">
        <f t="shared" si="202"/>
        <v>0</v>
      </c>
      <c r="BA449" s="1049" t="str">
        <f t="shared" si="198"/>
        <v/>
      </c>
      <c r="BB449" s="1038"/>
      <c r="BC449" s="1050">
        <f t="shared" si="203"/>
        <v>0</v>
      </c>
      <c r="BD449" s="1040" t="str">
        <f t="shared" si="199"/>
        <v/>
      </c>
      <c r="BE449" s="227" t="s">
        <v>22</v>
      </c>
      <c r="BF449" s="1019">
        <f t="shared" si="200"/>
        <v>0</v>
      </c>
      <c r="BG449" s="1020">
        <f t="shared" si="201"/>
        <v>0</v>
      </c>
      <c r="BH449"/>
      <c r="BI449" s="709"/>
      <c r="BJ449" s="709"/>
      <c r="BK449" s="709"/>
      <c r="BL449" s="709"/>
      <c r="BM449" s="709"/>
      <c r="BN449" s="709"/>
      <c r="BO449" s="709"/>
      <c r="BP449" s="709"/>
      <c r="BW449" s="959" t="str">
        <f t="shared" si="182"/>
        <v>►</v>
      </c>
      <c r="BX449" s="856"/>
      <c r="BY449" s="856"/>
      <c r="BZ449" s="856"/>
      <c r="CA449" s="856"/>
      <c r="CB449" s="856"/>
      <c r="DB449" s="3">
        <v>1</v>
      </c>
    </row>
    <row r="450" spans="12:106" ht="21" customHeight="1">
      <c r="L450" s="104" t="s">
        <v>16</v>
      </c>
      <c r="M450" s="1172"/>
      <c r="N450" s="1172"/>
      <c r="O450" s="1172"/>
      <c r="P450" s="1173"/>
      <c r="Q450" s="1174"/>
      <c r="R450" s="1175"/>
      <c r="S450" s="1176"/>
      <c r="T450" s="1177"/>
      <c r="U450" s="5248"/>
      <c r="V450" s="1177"/>
      <c r="W450" s="5249"/>
      <c r="X450" s="5208"/>
      <c r="Y450" s="5209"/>
      <c r="Z450" s="5210"/>
      <c r="AA450" s="5211"/>
      <c r="AB450" s="1178"/>
      <c r="AC450" s="1179"/>
      <c r="AD450" s="227" t="s">
        <v>22</v>
      </c>
      <c r="AE450" s="1027" t="str">
        <f t="shared" si="183"/>
        <v>►</v>
      </c>
      <c r="AF450" s="1028" t="str">
        <f t="shared" si="184"/>
        <v/>
      </c>
      <c r="AG450" s="1029" t="str">
        <f t="shared" si="185"/>
        <v/>
      </c>
      <c r="AH450" s="1028" t="str">
        <f t="shared" si="186"/>
        <v/>
      </c>
      <c r="AI450" s="1029" t="str">
        <f t="shared" si="187"/>
        <v/>
      </c>
      <c r="AJ450" s="1029">
        <f t="shared" si="188"/>
        <v>0</v>
      </c>
      <c r="AK450" s="1043" t="str" cm="1">
        <f t="array" ref="AK450">IF(AE450&lt;&gt;"A","",IFERROR((IFERROR(_xlfn.XLOOKUP(TRIM(SUBSTITUTE(U450,CHAR(160)," ")),$BI$15:$BI$62,$BL$15:$BL$62),IFERROR(_xlfn.XLOOKUP(TRIM(SUBSTITUTE(U450,CHAR(160)," ")),$BJ$15:$BJ$62,$BL$15:$BL$62),_xlfn.XLOOKUP(TRIM(SUBSTITUTE(U450,CHAR(160)," ")),$BK$15:$BK$62,$BL$15:$BL$62))))*T450*IF(ISBLANK(Q450),1,Q450)+IFERROR(_xlfn.XLOOKUP("RECHERCHEX",TRIM(L450:AC450),L450:AC450),0),0))</f>
        <v/>
      </c>
      <c r="AL450" s="1030">
        <f t="shared" si="189"/>
        <v>0</v>
      </c>
      <c r="AM450" s="5254" t="str">
        <f t="shared" si="204"/>
        <v/>
      </c>
      <c r="AN450" s="1031">
        <f t="shared" si="190"/>
        <v>0</v>
      </c>
      <c r="AO450" s="1031">
        <f t="shared" si="191"/>
        <v>0</v>
      </c>
      <c r="AP450" s="1032">
        <f t="shared" si="192"/>
        <v>0</v>
      </c>
      <c r="AQ450" s="5255" t="str">
        <f t="shared" si="193"/>
        <v/>
      </c>
      <c r="AR450" s="1056"/>
      <c r="AS450" s="1056"/>
      <c r="AT450" s="1034">
        <f t="shared" si="194"/>
        <v>0</v>
      </c>
      <c r="AU450" s="1035">
        <f t="shared" si="195"/>
        <v>0</v>
      </c>
      <c r="AV450" s="1057" cm="1">
        <f t="array" ref="AV450">IF(AJ450&lt;&gt;1,0,IF(OR(AT450="",N(AT450)&lt;=0.000000001),"",IF(OR(AN450="",N(AN450)&lt;=0.000000001),0,IF(ISNUMBER(AT450),IFERROR(_xlfn.LET(_xlpm.ai_test,TRIM(AI450),_xlpm.r,IFERROR(_xlfn.XLOOKUP(_xlpm.ai_test,$BI$15:$BI$62,ROW($BI$15:$BI$62),0,1),IFERROR(_xlfn.XLOOKUP(_xlpm.ai_test,$BJ$15:$BJ$62,ROW($BJ$15:$BJ$62),0,1),_xlfn.XLOOKUP(_xlpm.ai_test,$BK$15:$BK$62,ROW($BK$15:$BK$62),0,1))),_xlpm.p,_xlpm.r-MIN(ROW($BI$15:$BI$62))+1,_xlpm.f,INDEX($BL$15:$BL$62,_xlpm.p),_xlpm.u,INDEX($BM$15:$BM$62,_xlpm.p),_xlpm.s,INDEX($BO$15:$BO$62,_xlpm.p),_xlpm.q,N(AT450)/_xlpm.f,IF(_xlpm.q&gt;=_xlpm.s,ROUND(_xlpm.q,1)&amp;" "&amp;_xlpm.ai_test&amp;" = "&amp;ROUND(_xlpm.q*_xlpm.f,1)&amp;" "&amp;_xlpm.u,ROUND(_xlpm.q,1)&amp;" "&amp;_xlpm.ai_test)),""),""))))</f>
        <v>0</v>
      </c>
      <c r="AW450" s="1047"/>
      <c r="AX450" s="1034">
        <f t="shared" si="196"/>
        <v>0</v>
      </c>
      <c r="AY450" s="1035" t="str">
        <f t="shared" si="197"/>
        <v/>
      </c>
      <c r="AZ450" s="1036">
        <f t="shared" si="202"/>
        <v>0</v>
      </c>
      <c r="BA450" s="1037" t="str">
        <f t="shared" si="198"/>
        <v/>
      </c>
      <c r="BB450" s="1038"/>
      <c r="BC450" s="1039">
        <f t="shared" si="203"/>
        <v>0</v>
      </c>
      <c r="BD450" s="1040" t="str">
        <f t="shared" si="199"/>
        <v/>
      </c>
      <c r="BE450" s="227" t="s">
        <v>22</v>
      </c>
      <c r="BF450" s="1019">
        <f t="shared" si="200"/>
        <v>0</v>
      </c>
      <c r="BG450" s="1020">
        <f t="shared" si="201"/>
        <v>0</v>
      </c>
      <c r="BH450"/>
      <c r="BI450" s="709"/>
      <c r="BJ450" s="709"/>
      <c r="BK450" s="709"/>
      <c r="BL450" s="709"/>
      <c r="BM450" s="709"/>
      <c r="BN450" s="709"/>
      <c r="BO450" s="709"/>
      <c r="BP450" s="709"/>
      <c r="BW450" s="959" t="str">
        <f t="shared" si="182"/>
        <v>►</v>
      </c>
      <c r="BX450" s="856"/>
      <c r="BY450" s="856"/>
      <c r="BZ450" s="856"/>
      <c r="CA450" s="856"/>
      <c r="CB450" s="856"/>
      <c r="DB450" s="3">
        <v>1</v>
      </c>
    </row>
    <row r="451" spans="12:106" ht="21" customHeight="1">
      <c r="L451" s="104" t="s">
        <v>16</v>
      </c>
      <c r="M451" s="1172"/>
      <c r="N451" s="1172"/>
      <c r="O451" s="1172"/>
      <c r="P451" s="1173"/>
      <c r="Q451" s="1174"/>
      <c r="R451" s="1175"/>
      <c r="S451" s="1176"/>
      <c r="T451" s="1177"/>
      <c r="U451" s="5248"/>
      <c r="V451" s="1177"/>
      <c r="W451" s="5249"/>
      <c r="X451" s="5208"/>
      <c r="Y451" s="5209"/>
      <c r="Z451" s="5210"/>
      <c r="AA451" s="5211"/>
      <c r="AB451" s="1178"/>
      <c r="AC451" s="1179"/>
      <c r="AD451" s="227" t="s">
        <v>22</v>
      </c>
      <c r="AE451" s="1027" t="str">
        <f t="shared" si="183"/>
        <v>►</v>
      </c>
      <c r="AF451" s="1028" t="str">
        <f t="shared" si="184"/>
        <v/>
      </c>
      <c r="AG451" s="1029" t="str">
        <f t="shared" si="185"/>
        <v/>
      </c>
      <c r="AH451" s="1028" t="str">
        <f t="shared" si="186"/>
        <v/>
      </c>
      <c r="AI451" s="1029" t="str">
        <f t="shared" si="187"/>
        <v/>
      </c>
      <c r="AJ451" s="1029">
        <f t="shared" si="188"/>
        <v>0</v>
      </c>
      <c r="AK451" s="1043" t="str" cm="1">
        <f t="array" ref="AK451">IF(AE451&lt;&gt;"A","",IFERROR((IFERROR(_xlfn.XLOOKUP(TRIM(SUBSTITUTE(U451,CHAR(160)," ")),$BI$15:$BI$62,$BL$15:$BL$62),IFERROR(_xlfn.XLOOKUP(TRIM(SUBSTITUTE(U451,CHAR(160)," ")),$BJ$15:$BJ$62,$BL$15:$BL$62),_xlfn.XLOOKUP(TRIM(SUBSTITUTE(U451,CHAR(160)," ")),$BK$15:$BK$62,$BL$15:$BL$62))))*T451*IF(ISBLANK(Q451),1,Q451)+IFERROR(_xlfn.XLOOKUP("RECHERCHEX",TRIM(L451:AC451),L451:AC451),0),0))</f>
        <v/>
      </c>
      <c r="AL451" s="1030">
        <f t="shared" si="189"/>
        <v>0</v>
      </c>
      <c r="AM451" s="5254" t="str">
        <f t="shared" si="204"/>
        <v/>
      </c>
      <c r="AN451" s="1031">
        <f t="shared" si="190"/>
        <v>0</v>
      </c>
      <c r="AO451" s="1031">
        <f t="shared" si="191"/>
        <v>0</v>
      </c>
      <c r="AP451" s="1044">
        <f t="shared" si="192"/>
        <v>0</v>
      </c>
      <c r="AQ451" s="5257" t="str">
        <f t="shared" si="193"/>
        <v/>
      </c>
      <c r="AR451" s="1056"/>
      <c r="AS451" s="1056"/>
      <c r="AT451" s="1045">
        <f t="shared" si="194"/>
        <v>0</v>
      </c>
      <c r="AU451" s="1046">
        <f t="shared" si="195"/>
        <v>0</v>
      </c>
      <c r="AV451" s="1059" cm="1">
        <f t="array" ref="AV451">IF(AJ451&lt;&gt;1,0,IF(OR(AT451="",N(AT451)&lt;=0.000000001),"",IF(OR(AN451="",N(AN451)&lt;=0.000000001),0,IF(ISNUMBER(AT451),IFERROR(_xlfn.LET(_xlpm.ai_test,TRIM(AI451),_xlpm.r,IFERROR(_xlfn.XLOOKUP(_xlpm.ai_test,$BI$15:$BI$62,ROW($BI$15:$BI$62),0,1),IFERROR(_xlfn.XLOOKUP(_xlpm.ai_test,$BJ$15:$BJ$62,ROW($BJ$15:$BJ$62),0,1),_xlfn.XLOOKUP(_xlpm.ai_test,$BK$15:$BK$62,ROW($BK$15:$BK$62),0,1))),_xlpm.p,_xlpm.r-MIN(ROW($BI$15:$BI$62))+1,_xlpm.f,INDEX($BL$15:$BL$62,_xlpm.p),_xlpm.u,INDEX($BM$15:$BM$62,_xlpm.p),_xlpm.s,INDEX($BO$15:$BO$62,_xlpm.p),_xlpm.q,N(AT451)/_xlpm.f,IF(_xlpm.q&gt;=_xlpm.s,ROUND(_xlpm.q,1)&amp;" "&amp;_xlpm.ai_test&amp;" = "&amp;ROUND(_xlpm.q*_xlpm.f,1)&amp;" "&amp;_xlpm.u,ROUND(_xlpm.q,1)&amp;" "&amp;_xlpm.ai_test)),""),""))))</f>
        <v>0</v>
      </c>
      <c r="AW451" s="1047"/>
      <c r="AX451" s="1045">
        <f t="shared" si="196"/>
        <v>0</v>
      </c>
      <c r="AY451" s="1046" t="str">
        <f t="shared" si="197"/>
        <v/>
      </c>
      <c r="AZ451" s="1048">
        <f t="shared" si="202"/>
        <v>0</v>
      </c>
      <c r="BA451" s="1049" t="str">
        <f t="shared" si="198"/>
        <v/>
      </c>
      <c r="BB451" s="1038"/>
      <c r="BC451" s="1050">
        <f t="shared" si="203"/>
        <v>0</v>
      </c>
      <c r="BD451" s="1040" t="str">
        <f t="shared" si="199"/>
        <v/>
      </c>
      <c r="BE451" s="227" t="s">
        <v>22</v>
      </c>
      <c r="BF451" s="1019">
        <f t="shared" si="200"/>
        <v>0</v>
      </c>
      <c r="BG451" s="1020">
        <f t="shared" si="201"/>
        <v>0</v>
      </c>
      <c r="BH451"/>
      <c r="BI451" s="709"/>
      <c r="BJ451" s="709"/>
      <c r="BK451" s="709"/>
      <c r="BL451" s="709"/>
      <c r="BM451" s="709"/>
      <c r="BN451" s="709"/>
      <c r="BO451" s="709"/>
      <c r="BP451" s="709"/>
      <c r="BW451" s="959" t="str">
        <f t="shared" si="182"/>
        <v>►</v>
      </c>
      <c r="BX451" s="856"/>
      <c r="BY451" s="856"/>
      <c r="BZ451" s="856"/>
      <c r="CA451" s="856"/>
      <c r="CB451" s="856"/>
      <c r="DB451" s="3">
        <v>1</v>
      </c>
    </row>
    <row r="452" spans="12:106" ht="21" customHeight="1">
      <c r="L452" s="104" t="s">
        <v>16</v>
      </c>
      <c r="M452" s="1172"/>
      <c r="N452" s="1172"/>
      <c r="O452" s="1172"/>
      <c r="P452" s="1173"/>
      <c r="Q452" s="1174"/>
      <c r="R452" s="1175"/>
      <c r="S452" s="1176"/>
      <c r="T452" s="1177"/>
      <c r="U452" s="5248"/>
      <c r="V452" s="1177"/>
      <c r="W452" s="5249"/>
      <c r="X452" s="5208"/>
      <c r="Y452" s="5209"/>
      <c r="Z452" s="5210"/>
      <c r="AA452" s="5211"/>
      <c r="AB452" s="1178"/>
      <c r="AC452" s="1179"/>
      <c r="AD452" s="227" t="s">
        <v>22</v>
      </c>
      <c r="AE452" s="1027" t="str">
        <f t="shared" si="183"/>
        <v>►</v>
      </c>
      <c r="AF452" s="1028" t="str">
        <f t="shared" si="184"/>
        <v/>
      </c>
      <c r="AG452" s="1029" t="str">
        <f t="shared" si="185"/>
        <v/>
      </c>
      <c r="AH452" s="1028" t="str">
        <f t="shared" si="186"/>
        <v/>
      </c>
      <c r="AI452" s="1029" t="str">
        <f t="shared" si="187"/>
        <v/>
      </c>
      <c r="AJ452" s="1029">
        <f t="shared" si="188"/>
        <v>0</v>
      </c>
      <c r="AK452" s="1043" t="str" cm="1">
        <f t="array" ref="AK452">IF(AE452&lt;&gt;"A","",IFERROR((IFERROR(_xlfn.XLOOKUP(TRIM(SUBSTITUTE(U452,CHAR(160)," ")),$BI$15:$BI$62,$BL$15:$BL$62),IFERROR(_xlfn.XLOOKUP(TRIM(SUBSTITUTE(U452,CHAR(160)," ")),$BJ$15:$BJ$62,$BL$15:$BL$62),_xlfn.XLOOKUP(TRIM(SUBSTITUTE(U452,CHAR(160)," ")),$BK$15:$BK$62,$BL$15:$BL$62))))*T452*IF(ISBLANK(Q452),1,Q452)+IFERROR(_xlfn.XLOOKUP("RECHERCHEX",TRIM(L452:AC452),L452:AC452),0),0))</f>
        <v/>
      </c>
      <c r="AL452" s="1030">
        <f t="shared" si="189"/>
        <v>0</v>
      </c>
      <c r="AM452" s="5254" t="str">
        <f t="shared" si="204"/>
        <v/>
      </c>
      <c r="AN452" s="1031">
        <f t="shared" si="190"/>
        <v>0</v>
      </c>
      <c r="AO452" s="1031">
        <f t="shared" si="191"/>
        <v>0</v>
      </c>
      <c r="AP452" s="1032">
        <f t="shared" si="192"/>
        <v>0</v>
      </c>
      <c r="AQ452" s="5255" t="str">
        <f t="shared" si="193"/>
        <v/>
      </c>
      <c r="AR452" s="1056"/>
      <c r="AS452" s="1056"/>
      <c r="AT452" s="1034">
        <f t="shared" si="194"/>
        <v>0</v>
      </c>
      <c r="AU452" s="1035">
        <f t="shared" si="195"/>
        <v>0</v>
      </c>
      <c r="AV452" s="1057" cm="1">
        <f t="array" ref="AV452">IF(AJ452&lt;&gt;1,0,IF(OR(AT452="",N(AT452)&lt;=0.000000001),"",IF(OR(AN452="",N(AN452)&lt;=0.000000001),0,IF(ISNUMBER(AT452),IFERROR(_xlfn.LET(_xlpm.ai_test,TRIM(AI452),_xlpm.r,IFERROR(_xlfn.XLOOKUP(_xlpm.ai_test,$BI$15:$BI$62,ROW($BI$15:$BI$62),0,1),IFERROR(_xlfn.XLOOKUP(_xlpm.ai_test,$BJ$15:$BJ$62,ROW($BJ$15:$BJ$62),0,1),_xlfn.XLOOKUP(_xlpm.ai_test,$BK$15:$BK$62,ROW($BK$15:$BK$62),0,1))),_xlpm.p,_xlpm.r-MIN(ROW($BI$15:$BI$62))+1,_xlpm.f,INDEX($BL$15:$BL$62,_xlpm.p),_xlpm.u,INDEX($BM$15:$BM$62,_xlpm.p),_xlpm.s,INDEX($BO$15:$BO$62,_xlpm.p),_xlpm.q,N(AT452)/_xlpm.f,IF(_xlpm.q&gt;=_xlpm.s,ROUND(_xlpm.q,1)&amp;" "&amp;_xlpm.ai_test&amp;" = "&amp;ROUND(_xlpm.q*_xlpm.f,1)&amp;" "&amp;_xlpm.u,ROUND(_xlpm.q,1)&amp;" "&amp;_xlpm.ai_test)),""),""))))</f>
        <v>0</v>
      </c>
      <c r="AW452" s="1047"/>
      <c r="AX452" s="1034">
        <f t="shared" si="196"/>
        <v>0</v>
      </c>
      <c r="AY452" s="1035" t="str">
        <f t="shared" si="197"/>
        <v/>
      </c>
      <c r="AZ452" s="1036">
        <f t="shared" si="202"/>
        <v>0</v>
      </c>
      <c r="BA452" s="1037" t="str">
        <f t="shared" si="198"/>
        <v/>
      </c>
      <c r="BB452" s="1038"/>
      <c r="BC452" s="1039">
        <f t="shared" si="203"/>
        <v>0</v>
      </c>
      <c r="BD452" s="1040" t="str">
        <f t="shared" si="199"/>
        <v/>
      </c>
      <c r="BE452" s="227" t="s">
        <v>22</v>
      </c>
      <c r="BF452" s="1019">
        <f t="shared" si="200"/>
        <v>0</v>
      </c>
      <c r="BG452" s="1020">
        <f t="shared" si="201"/>
        <v>0</v>
      </c>
      <c r="BH452"/>
      <c r="BI452" s="709"/>
      <c r="BJ452" s="709"/>
      <c r="BK452" s="709"/>
      <c r="BL452" s="709"/>
      <c r="BM452" s="709"/>
      <c r="BN452" s="709"/>
      <c r="BO452" s="709"/>
      <c r="BP452" s="709"/>
      <c r="BW452" s="959" t="str">
        <f t="shared" si="182"/>
        <v>►</v>
      </c>
      <c r="BX452" s="856"/>
      <c r="BY452" s="856"/>
      <c r="BZ452" s="856"/>
      <c r="CA452" s="856"/>
      <c r="CB452" s="856"/>
      <c r="DB452" s="3">
        <v>1</v>
      </c>
    </row>
    <row r="453" spans="12:106" ht="21" customHeight="1">
      <c r="L453" s="104" t="s">
        <v>16</v>
      </c>
      <c r="M453" s="1172"/>
      <c r="N453" s="1172"/>
      <c r="O453" s="1172"/>
      <c r="P453" s="1173"/>
      <c r="Q453" s="1174"/>
      <c r="R453" s="1175"/>
      <c r="S453" s="1176"/>
      <c r="T453" s="1177"/>
      <c r="U453" s="5248"/>
      <c r="V453" s="1177"/>
      <c r="W453" s="5249"/>
      <c r="X453" s="5208"/>
      <c r="Y453" s="5209"/>
      <c r="Z453" s="5210"/>
      <c r="AA453" s="5211"/>
      <c r="AB453" s="1178"/>
      <c r="AC453" s="1179"/>
      <c r="AD453" s="227" t="s">
        <v>22</v>
      </c>
      <c r="AE453" s="1027" t="str">
        <f t="shared" si="183"/>
        <v>►</v>
      </c>
      <c r="AF453" s="1028" t="str">
        <f t="shared" si="184"/>
        <v/>
      </c>
      <c r="AG453" s="1029" t="str">
        <f t="shared" si="185"/>
        <v/>
      </c>
      <c r="AH453" s="1028" t="str">
        <f t="shared" si="186"/>
        <v/>
      </c>
      <c r="AI453" s="1029" t="str">
        <f t="shared" si="187"/>
        <v/>
      </c>
      <c r="AJ453" s="1029">
        <f t="shared" si="188"/>
        <v>0</v>
      </c>
      <c r="AK453" s="1043" t="str" cm="1">
        <f t="array" ref="AK453">IF(AE453&lt;&gt;"A","",IFERROR((IFERROR(_xlfn.XLOOKUP(TRIM(SUBSTITUTE(U453,CHAR(160)," ")),$BI$15:$BI$62,$BL$15:$BL$62),IFERROR(_xlfn.XLOOKUP(TRIM(SUBSTITUTE(U453,CHAR(160)," ")),$BJ$15:$BJ$62,$BL$15:$BL$62),_xlfn.XLOOKUP(TRIM(SUBSTITUTE(U453,CHAR(160)," ")),$BK$15:$BK$62,$BL$15:$BL$62))))*T453*IF(ISBLANK(Q453),1,Q453)+IFERROR(_xlfn.XLOOKUP("RECHERCHEX",TRIM(L453:AC453),L453:AC453),0),0))</f>
        <v/>
      </c>
      <c r="AL453" s="1030">
        <f t="shared" si="189"/>
        <v>0</v>
      </c>
      <c r="AM453" s="5254" t="str">
        <f t="shared" si="204"/>
        <v/>
      </c>
      <c r="AN453" s="1031">
        <f t="shared" si="190"/>
        <v>0</v>
      </c>
      <c r="AO453" s="1031">
        <f t="shared" si="191"/>
        <v>0</v>
      </c>
      <c r="AP453" s="1044">
        <f t="shared" si="192"/>
        <v>0</v>
      </c>
      <c r="AQ453" s="5257" t="str">
        <f t="shared" si="193"/>
        <v/>
      </c>
      <c r="AR453" s="1056"/>
      <c r="AS453" s="1056"/>
      <c r="AT453" s="1045">
        <f t="shared" si="194"/>
        <v>0</v>
      </c>
      <c r="AU453" s="1046">
        <f t="shared" si="195"/>
        <v>0</v>
      </c>
      <c r="AV453" s="1059" cm="1">
        <f t="array" ref="AV453">IF(AJ453&lt;&gt;1,0,IF(OR(AT453="",N(AT453)&lt;=0.000000001),"",IF(OR(AN453="",N(AN453)&lt;=0.000000001),0,IF(ISNUMBER(AT453),IFERROR(_xlfn.LET(_xlpm.ai_test,TRIM(AI453),_xlpm.r,IFERROR(_xlfn.XLOOKUP(_xlpm.ai_test,$BI$15:$BI$62,ROW($BI$15:$BI$62),0,1),IFERROR(_xlfn.XLOOKUP(_xlpm.ai_test,$BJ$15:$BJ$62,ROW($BJ$15:$BJ$62),0,1),_xlfn.XLOOKUP(_xlpm.ai_test,$BK$15:$BK$62,ROW($BK$15:$BK$62),0,1))),_xlpm.p,_xlpm.r-MIN(ROW($BI$15:$BI$62))+1,_xlpm.f,INDEX($BL$15:$BL$62,_xlpm.p),_xlpm.u,INDEX($BM$15:$BM$62,_xlpm.p),_xlpm.s,INDEX($BO$15:$BO$62,_xlpm.p),_xlpm.q,N(AT453)/_xlpm.f,IF(_xlpm.q&gt;=_xlpm.s,ROUND(_xlpm.q,1)&amp;" "&amp;_xlpm.ai_test&amp;" = "&amp;ROUND(_xlpm.q*_xlpm.f,1)&amp;" "&amp;_xlpm.u,ROUND(_xlpm.q,1)&amp;" "&amp;_xlpm.ai_test)),""),""))))</f>
        <v>0</v>
      </c>
      <c r="AW453" s="1047"/>
      <c r="AX453" s="1045">
        <f t="shared" si="196"/>
        <v>0</v>
      </c>
      <c r="AY453" s="1046" t="str">
        <f t="shared" si="197"/>
        <v/>
      </c>
      <c r="AZ453" s="1048">
        <f t="shared" si="202"/>
        <v>0</v>
      </c>
      <c r="BA453" s="1049" t="str">
        <f t="shared" si="198"/>
        <v/>
      </c>
      <c r="BB453" s="1038"/>
      <c r="BC453" s="1050">
        <f t="shared" si="203"/>
        <v>0</v>
      </c>
      <c r="BD453" s="1040" t="str">
        <f t="shared" si="199"/>
        <v/>
      </c>
      <c r="BE453" s="227" t="s">
        <v>22</v>
      </c>
      <c r="BF453" s="1019">
        <f t="shared" si="200"/>
        <v>0</v>
      </c>
      <c r="BG453" s="1020">
        <f t="shared" si="201"/>
        <v>0</v>
      </c>
      <c r="BH453"/>
      <c r="BI453" s="709"/>
      <c r="BJ453" s="709"/>
      <c r="BK453" s="709"/>
      <c r="BL453" s="709"/>
      <c r="BM453" s="709"/>
      <c r="BN453" s="709"/>
      <c r="BO453" s="709"/>
      <c r="BP453" s="709"/>
      <c r="BW453" s="959" t="str">
        <f t="shared" ref="BW453:BW516" si="205">AE453</f>
        <v>►</v>
      </c>
      <c r="BX453" s="856"/>
      <c r="BY453" s="856"/>
      <c r="BZ453" s="856"/>
      <c r="CA453" s="856"/>
      <c r="CB453" s="856"/>
      <c r="DB453" s="3">
        <v>1</v>
      </c>
    </row>
    <row r="454" spans="12:106" ht="21" customHeight="1">
      <c r="L454" s="104" t="s">
        <v>16</v>
      </c>
      <c r="M454" s="1172"/>
      <c r="N454" s="1172"/>
      <c r="O454" s="1172"/>
      <c r="P454" s="1173"/>
      <c r="Q454" s="1174"/>
      <c r="R454" s="1175"/>
      <c r="S454" s="1176"/>
      <c r="T454" s="1177"/>
      <c r="U454" s="5248"/>
      <c r="V454" s="1177"/>
      <c r="W454" s="5249"/>
      <c r="X454" s="5208"/>
      <c r="Y454" s="5209"/>
      <c r="Z454" s="5210"/>
      <c r="AA454" s="5211"/>
      <c r="AB454" s="1178"/>
      <c r="AC454" s="1179"/>
      <c r="AD454" s="227" t="s">
        <v>22</v>
      </c>
      <c r="AE454" s="1027" t="str">
        <f t="shared" si="183"/>
        <v>►</v>
      </c>
      <c r="AF454" s="1028" t="str">
        <f t="shared" si="184"/>
        <v/>
      </c>
      <c r="AG454" s="1029" t="str">
        <f t="shared" si="185"/>
        <v/>
      </c>
      <c r="AH454" s="1028" t="str">
        <f t="shared" si="186"/>
        <v/>
      </c>
      <c r="AI454" s="1029" t="str">
        <f t="shared" si="187"/>
        <v/>
      </c>
      <c r="AJ454" s="1029">
        <f t="shared" si="188"/>
        <v>0</v>
      </c>
      <c r="AK454" s="1043" t="str" cm="1">
        <f t="array" ref="AK454">IF(AE454&lt;&gt;"A","",IFERROR((IFERROR(_xlfn.XLOOKUP(TRIM(SUBSTITUTE(U454,CHAR(160)," ")),$BI$15:$BI$62,$BL$15:$BL$62),IFERROR(_xlfn.XLOOKUP(TRIM(SUBSTITUTE(U454,CHAR(160)," ")),$BJ$15:$BJ$62,$BL$15:$BL$62),_xlfn.XLOOKUP(TRIM(SUBSTITUTE(U454,CHAR(160)," ")),$BK$15:$BK$62,$BL$15:$BL$62))))*T454*IF(ISBLANK(Q454),1,Q454)+IFERROR(_xlfn.XLOOKUP("RECHERCHEX",TRIM(L454:AC454),L454:AC454),0),0))</f>
        <v/>
      </c>
      <c r="AL454" s="1030">
        <f t="shared" si="189"/>
        <v>0</v>
      </c>
      <c r="AM454" s="5254" t="str">
        <f t="shared" si="204"/>
        <v/>
      </c>
      <c r="AN454" s="1031">
        <f t="shared" si="190"/>
        <v>0</v>
      </c>
      <c r="AO454" s="1031">
        <f t="shared" si="191"/>
        <v>0</v>
      </c>
      <c r="AP454" s="1032">
        <f t="shared" si="192"/>
        <v>0</v>
      </c>
      <c r="AQ454" s="5255" t="str">
        <f t="shared" si="193"/>
        <v/>
      </c>
      <c r="AR454" s="1056"/>
      <c r="AS454" s="1056"/>
      <c r="AT454" s="1034">
        <f t="shared" si="194"/>
        <v>0</v>
      </c>
      <c r="AU454" s="1035">
        <f t="shared" si="195"/>
        <v>0</v>
      </c>
      <c r="AV454" s="1057" cm="1">
        <f t="array" ref="AV454">IF(AJ454&lt;&gt;1,0,IF(OR(AT454="",N(AT454)&lt;=0.000000001),"",IF(OR(AN454="",N(AN454)&lt;=0.000000001),0,IF(ISNUMBER(AT454),IFERROR(_xlfn.LET(_xlpm.ai_test,TRIM(AI454),_xlpm.r,IFERROR(_xlfn.XLOOKUP(_xlpm.ai_test,$BI$15:$BI$62,ROW($BI$15:$BI$62),0,1),IFERROR(_xlfn.XLOOKUP(_xlpm.ai_test,$BJ$15:$BJ$62,ROW($BJ$15:$BJ$62),0,1),_xlfn.XLOOKUP(_xlpm.ai_test,$BK$15:$BK$62,ROW($BK$15:$BK$62),0,1))),_xlpm.p,_xlpm.r-MIN(ROW($BI$15:$BI$62))+1,_xlpm.f,INDEX($BL$15:$BL$62,_xlpm.p),_xlpm.u,INDEX($BM$15:$BM$62,_xlpm.p),_xlpm.s,INDEX($BO$15:$BO$62,_xlpm.p),_xlpm.q,N(AT454)/_xlpm.f,IF(_xlpm.q&gt;=_xlpm.s,ROUND(_xlpm.q,1)&amp;" "&amp;_xlpm.ai_test&amp;" = "&amp;ROUND(_xlpm.q*_xlpm.f,1)&amp;" "&amp;_xlpm.u,ROUND(_xlpm.q,1)&amp;" "&amp;_xlpm.ai_test)),""),""))))</f>
        <v>0</v>
      </c>
      <c r="AW454" s="1047"/>
      <c r="AX454" s="1034">
        <f t="shared" si="196"/>
        <v>0</v>
      </c>
      <c r="AY454" s="1035" t="str">
        <f t="shared" si="197"/>
        <v/>
      </c>
      <c r="AZ454" s="1036">
        <f t="shared" si="202"/>
        <v>0</v>
      </c>
      <c r="BA454" s="1037" t="str">
        <f t="shared" si="198"/>
        <v/>
      </c>
      <c r="BB454" s="1038"/>
      <c r="BC454" s="1039">
        <f t="shared" si="203"/>
        <v>0</v>
      </c>
      <c r="BD454" s="1040" t="str">
        <f t="shared" si="199"/>
        <v/>
      </c>
      <c r="BE454" s="227" t="s">
        <v>22</v>
      </c>
      <c r="BF454" s="1019">
        <f t="shared" si="200"/>
        <v>0</v>
      </c>
      <c r="BG454" s="1020">
        <f t="shared" si="201"/>
        <v>0</v>
      </c>
      <c r="BH454"/>
      <c r="BI454" s="709"/>
      <c r="BJ454" s="709"/>
      <c r="BK454" s="709"/>
      <c r="BL454" s="709"/>
      <c r="BM454" s="709"/>
      <c r="BN454" s="709"/>
      <c r="BO454" s="709"/>
      <c r="BP454" s="709"/>
      <c r="BW454" s="959" t="str">
        <f t="shared" si="205"/>
        <v>►</v>
      </c>
      <c r="BX454" s="856"/>
      <c r="BY454" s="856"/>
      <c r="BZ454" s="856"/>
      <c r="CA454" s="856"/>
      <c r="CB454" s="856"/>
      <c r="DB454" s="3">
        <v>1</v>
      </c>
    </row>
    <row r="455" spans="12:106" ht="21" customHeight="1">
      <c r="L455" s="104" t="s">
        <v>16</v>
      </c>
      <c r="M455" s="1172"/>
      <c r="N455" s="1172"/>
      <c r="O455" s="1172"/>
      <c r="P455" s="1173"/>
      <c r="Q455" s="1174"/>
      <c r="R455" s="1175"/>
      <c r="S455" s="1176"/>
      <c r="T455" s="1177"/>
      <c r="U455" s="5248"/>
      <c r="V455" s="1177"/>
      <c r="W455" s="5249"/>
      <c r="X455" s="5208"/>
      <c r="Y455" s="5209"/>
      <c r="Z455" s="5210"/>
      <c r="AA455" s="5211"/>
      <c r="AB455" s="1178"/>
      <c r="AC455" s="1179"/>
      <c r="AD455" s="227" t="s">
        <v>22</v>
      </c>
      <c r="AE455" s="1027" t="str">
        <f t="shared" si="183"/>
        <v>►</v>
      </c>
      <c r="AF455" s="1028" t="str">
        <f t="shared" si="184"/>
        <v/>
      </c>
      <c r="AG455" s="1029" t="str">
        <f t="shared" si="185"/>
        <v/>
      </c>
      <c r="AH455" s="1028" t="str">
        <f t="shared" si="186"/>
        <v/>
      </c>
      <c r="AI455" s="1029" t="str">
        <f t="shared" si="187"/>
        <v/>
      </c>
      <c r="AJ455" s="1029">
        <f t="shared" si="188"/>
        <v>0</v>
      </c>
      <c r="AK455" s="1043" t="str" cm="1">
        <f t="array" ref="AK455">IF(AE455&lt;&gt;"A","",IFERROR((IFERROR(_xlfn.XLOOKUP(TRIM(SUBSTITUTE(U455,CHAR(160)," ")),$BI$15:$BI$62,$BL$15:$BL$62),IFERROR(_xlfn.XLOOKUP(TRIM(SUBSTITUTE(U455,CHAR(160)," ")),$BJ$15:$BJ$62,$BL$15:$BL$62),_xlfn.XLOOKUP(TRIM(SUBSTITUTE(U455,CHAR(160)," ")),$BK$15:$BK$62,$BL$15:$BL$62))))*T455*IF(ISBLANK(Q455),1,Q455)+IFERROR(_xlfn.XLOOKUP("RECHERCHEX",TRIM(L455:AC455),L455:AC455),0),0))</f>
        <v/>
      </c>
      <c r="AL455" s="1030">
        <f t="shared" si="189"/>
        <v>0</v>
      </c>
      <c r="AM455" s="5254" t="str">
        <f t="shared" si="204"/>
        <v/>
      </c>
      <c r="AN455" s="1031">
        <f t="shared" si="190"/>
        <v>0</v>
      </c>
      <c r="AO455" s="1031">
        <f t="shared" si="191"/>
        <v>0</v>
      </c>
      <c r="AP455" s="1044">
        <f t="shared" si="192"/>
        <v>0</v>
      </c>
      <c r="AQ455" s="5257" t="str">
        <f t="shared" si="193"/>
        <v/>
      </c>
      <c r="AR455" s="1056"/>
      <c r="AS455" s="1056"/>
      <c r="AT455" s="1045">
        <f t="shared" si="194"/>
        <v>0</v>
      </c>
      <c r="AU455" s="1046">
        <f t="shared" si="195"/>
        <v>0</v>
      </c>
      <c r="AV455" s="1059" cm="1">
        <f t="array" ref="AV455">IF(AJ455&lt;&gt;1,0,IF(OR(AT455="",N(AT455)&lt;=0.000000001),"",IF(OR(AN455="",N(AN455)&lt;=0.000000001),0,IF(ISNUMBER(AT455),IFERROR(_xlfn.LET(_xlpm.ai_test,TRIM(AI455),_xlpm.r,IFERROR(_xlfn.XLOOKUP(_xlpm.ai_test,$BI$15:$BI$62,ROW($BI$15:$BI$62),0,1),IFERROR(_xlfn.XLOOKUP(_xlpm.ai_test,$BJ$15:$BJ$62,ROW($BJ$15:$BJ$62),0,1),_xlfn.XLOOKUP(_xlpm.ai_test,$BK$15:$BK$62,ROW($BK$15:$BK$62),0,1))),_xlpm.p,_xlpm.r-MIN(ROW($BI$15:$BI$62))+1,_xlpm.f,INDEX($BL$15:$BL$62,_xlpm.p),_xlpm.u,INDEX($BM$15:$BM$62,_xlpm.p),_xlpm.s,INDEX($BO$15:$BO$62,_xlpm.p),_xlpm.q,N(AT455)/_xlpm.f,IF(_xlpm.q&gt;=_xlpm.s,ROUND(_xlpm.q,1)&amp;" "&amp;_xlpm.ai_test&amp;" = "&amp;ROUND(_xlpm.q*_xlpm.f,1)&amp;" "&amp;_xlpm.u,ROUND(_xlpm.q,1)&amp;" "&amp;_xlpm.ai_test)),""),""))))</f>
        <v>0</v>
      </c>
      <c r="AW455" s="1047"/>
      <c r="AX455" s="1045">
        <f t="shared" si="196"/>
        <v>0</v>
      </c>
      <c r="AY455" s="1046" t="str">
        <f t="shared" si="197"/>
        <v/>
      </c>
      <c r="AZ455" s="1048">
        <f t="shared" si="202"/>
        <v>0</v>
      </c>
      <c r="BA455" s="1049" t="str">
        <f t="shared" si="198"/>
        <v/>
      </c>
      <c r="BB455" s="1038"/>
      <c r="BC455" s="1050">
        <f t="shared" si="203"/>
        <v>0</v>
      </c>
      <c r="BD455" s="1040" t="str">
        <f t="shared" si="199"/>
        <v/>
      </c>
      <c r="BE455" s="227" t="s">
        <v>22</v>
      </c>
      <c r="BF455" s="1019">
        <f t="shared" si="200"/>
        <v>0</v>
      </c>
      <c r="BG455" s="1020">
        <f t="shared" si="201"/>
        <v>0</v>
      </c>
      <c r="BH455"/>
      <c r="BI455" s="709"/>
      <c r="BJ455" s="709"/>
      <c r="BK455" s="709"/>
      <c r="BL455" s="709"/>
      <c r="BM455" s="709"/>
      <c r="BN455" s="709"/>
      <c r="BO455" s="709"/>
      <c r="BP455" s="709"/>
      <c r="BW455" s="959" t="str">
        <f t="shared" si="205"/>
        <v>►</v>
      </c>
      <c r="BX455" s="856"/>
      <c r="BY455" s="856"/>
      <c r="BZ455" s="856"/>
      <c r="CA455" s="856"/>
      <c r="CB455" s="856"/>
      <c r="DB455" s="3">
        <v>1</v>
      </c>
    </row>
    <row r="456" spans="12:106" ht="21" customHeight="1">
      <c r="L456" s="104" t="s">
        <v>16</v>
      </c>
      <c r="M456" s="1172"/>
      <c r="N456" s="1172"/>
      <c r="O456" s="1172"/>
      <c r="P456" s="1173"/>
      <c r="Q456" s="1174"/>
      <c r="R456" s="1175"/>
      <c r="S456" s="1176"/>
      <c r="T456" s="1177"/>
      <c r="U456" s="5248"/>
      <c r="V456" s="1177"/>
      <c r="W456" s="5249"/>
      <c r="X456" s="5208"/>
      <c r="Y456" s="5209"/>
      <c r="Z456" s="5210"/>
      <c r="AA456" s="5211"/>
      <c r="AB456" s="1178"/>
      <c r="AC456" s="1179"/>
      <c r="AD456" s="227" t="s">
        <v>22</v>
      </c>
      <c r="AE456" s="1027" t="str">
        <f t="shared" si="183"/>
        <v>►</v>
      </c>
      <c r="AF456" s="1028" t="str">
        <f t="shared" si="184"/>
        <v/>
      </c>
      <c r="AG456" s="1029" t="str">
        <f t="shared" si="185"/>
        <v/>
      </c>
      <c r="AH456" s="1028" t="str">
        <f t="shared" si="186"/>
        <v/>
      </c>
      <c r="AI456" s="1029" t="str">
        <f t="shared" si="187"/>
        <v/>
      </c>
      <c r="AJ456" s="1029">
        <f t="shared" si="188"/>
        <v>0</v>
      </c>
      <c r="AK456" s="1043" t="str" cm="1">
        <f t="array" ref="AK456">IF(AE456&lt;&gt;"A","",IFERROR((IFERROR(_xlfn.XLOOKUP(TRIM(SUBSTITUTE(U456,CHAR(160)," ")),$BI$15:$BI$62,$BL$15:$BL$62),IFERROR(_xlfn.XLOOKUP(TRIM(SUBSTITUTE(U456,CHAR(160)," ")),$BJ$15:$BJ$62,$BL$15:$BL$62),_xlfn.XLOOKUP(TRIM(SUBSTITUTE(U456,CHAR(160)," ")),$BK$15:$BK$62,$BL$15:$BL$62))))*T456*IF(ISBLANK(Q456),1,Q456)+IFERROR(_xlfn.XLOOKUP("RECHERCHEX",TRIM(L456:AC456),L456:AC456),0),0))</f>
        <v/>
      </c>
      <c r="AL456" s="1030">
        <f t="shared" si="189"/>
        <v>0</v>
      </c>
      <c r="AM456" s="5254" t="str">
        <f t="shared" si="204"/>
        <v/>
      </c>
      <c r="AN456" s="1031">
        <f t="shared" si="190"/>
        <v>0</v>
      </c>
      <c r="AO456" s="1031">
        <f t="shared" si="191"/>
        <v>0</v>
      </c>
      <c r="AP456" s="1032">
        <f t="shared" si="192"/>
        <v>0</v>
      </c>
      <c r="AQ456" s="5255" t="str">
        <f t="shared" si="193"/>
        <v/>
      </c>
      <c r="AR456" s="1056"/>
      <c r="AS456" s="1056"/>
      <c r="AT456" s="1034">
        <f t="shared" si="194"/>
        <v>0</v>
      </c>
      <c r="AU456" s="1035">
        <f t="shared" si="195"/>
        <v>0</v>
      </c>
      <c r="AV456" s="1057" cm="1">
        <f t="array" ref="AV456">IF(AJ456&lt;&gt;1,0,IF(OR(AT456="",N(AT456)&lt;=0.000000001),"",IF(OR(AN456="",N(AN456)&lt;=0.000000001),0,IF(ISNUMBER(AT456),IFERROR(_xlfn.LET(_xlpm.ai_test,TRIM(AI456),_xlpm.r,IFERROR(_xlfn.XLOOKUP(_xlpm.ai_test,$BI$15:$BI$62,ROW($BI$15:$BI$62),0,1),IFERROR(_xlfn.XLOOKUP(_xlpm.ai_test,$BJ$15:$BJ$62,ROW($BJ$15:$BJ$62),0,1),_xlfn.XLOOKUP(_xlpm.ai_test,$BK$15:$BK$62,ROW($BK$15:$BK$62),0,1))),_xlpm.p,_xlpm.r-MIN(ROW($BI$15:$BI$62))+1,_xlpm.f,INDEX($BL$15:$BL$62,_xlpm.p),_xlpm.u,INDEX($BM$15:$BM$62,_xlpm.p),_xlpm.s,INDEX($BO$15:$BO$62,_xlpm.p),_xlpm.q,N(AT456)/_xlpm.f,IF(_xlpm.q&gt;=_xlpm.s,ROUND(_xlpm.q,1)&amp;" "&amp;_xlpm.ai_test&amp;" = "&amp;ROUND(_xlpm.q*_xlpm.f,1)&amp;" "&amp;_xlpm.u,ROUND(_xlpm.q,1)&amp;" "&amp;_xlpm.ai_test)),""),""))))</f>
        <v>0</v>
      </c>
      <c r="AW456" s="1047"/>
      <c r="AX456" s="1034">
        <f t="shared" si="196"/>
        <v>0</v>
      </c>
      <c r="AY456" s="1035" t="str">
        <f t="shared" si="197"/>
        <v/>
      </c>
      <c r="AZ456" s="1036">
        <f t="shared" si="202"/>
        <v>0</v>
      </c>
      <c r="BA456" s="1037" t="str">
        <f t="shared" si="198"/>
        <v/>
      </c>
      <c r="BB456" s="1038"/>
      <c r="BC456" s="1039">
        <f t="shared" si="203"/>
        <v>0</v>
      </c>
      <c r="BD456" s="1040" t="str">
        <f t="shared" si="199"/>
        <v/>
      </c>
      <c r="BE456" s="227" t="s">
        <v>22</v>
      </c>
      <c r="BF456" s="1019">
        <f t="shared" si="200"/>
        <v>0</v>
      </c>
      <c r="BG456" s="1020">
        <f t="shared" si="201"/>
        <v>0</v>
      </c>
      <c r="BH456"/>
      <c r="BI456" s="709"/>
      <c r="BJ456" s="709"/>
      <c r="BK456" s="709"/>
      <c r="BL456" s="709"/>
      <c r="BM456" s="709"/>
      <c r="BN456" s="709"/>
      <c r="BO456" s="709"/>
      <c r="BP456" s="709"/>
      <c r="BW456" s="959" t="str">
        <f t="shared" si="205"/>
        <v>►</v>
      </c>
      <c r="BX456" s="856"/>
      <c r="BY456" s="856"/>
      <c r="BZ456" s="856"/>
      <c r="CA456" s="856"/>
      <c r="CB456" s="856"/>
      <c r="DB456" s="3">
        <v>1</v>
      </c>
    </row>
    <row r="457" spans="12:106" ht="21" customHeight="1">
      <c r="L457" s="104" t="s">
        <v>16</v>
      </c>
      <c r="M457" s="1172"/>
      <c r="N457" s="1172"/>
      <c r="O457" s="1172"/>
      <c r="P457" s="1173"/>
      <c r="Q457" s="1174"/>
      <c r="R457" s="1175"/>
      <c r="S457" s="1176"/>
      <c r="T457" s="1177"/>
      <c r="U457" s="5248"/>
      <c r="V457" s="1177"/>
      <c r="W457" s="5249"/>
      <c r="X457" s="5208"/>
      <c r="Y457" s="5209"/>
      <c r="Z457" s="5210"/>
      <c r="AA457" s="5211"/>
      <c r="AB457" s="1178"/>
      <c r="AC457" s="1179"/>
      <c r="AD457" s="227" t="s">
        <v>22</v>
      </c>
      <c r="AE457" s="1027" t="str">
        <f t="shared" si="183"/>
        <v>►</v>
      </c>
      <c r="AF457" s="1028" t="str">
        <f t="shared" si="184"/>
        <v/>
      </c>
      <c r="AG457" s="1029" t="str">
        <f t="shared" si="185"/>
        <v/>
      </c>
      <c r="AH457" s="1028" t="str">
        <f t="shared" si="186"/>
        <v/>
      </c>
      <c r="AI457" s="1029" t="str">
        <f t="shared" si="187"/>
        <v/>
      </c>
      <c r="AJ457" s="1029">
        <f t="shared" si="188"/>
        <v>0</v>
      </c>
      <c r="AK457" s="1043" t="str" cm="1">
        <f t="array" ref="AK457">IF(AE457&lt;&gt;"A","",IFERROR((IFERROR(_xlfn.XLOOKUP(TRIM(SUBSTITUTE(U457,CHAR(160)," ")),$BI$15:$BI$62,$BL$15:$BL$62),IFERROR(_xlfn.XLOOKUP(TRIM(SUBSTITUTE(U457,CHAR(160)," ")),$BJ$15:$BJ$62,$BL$15:$BL$62),_xlfn.XLOOKUP(TRIM(SUBSTITUTE(U457,CHAR(160)," ")),$BK$15:$BK$62,$BL$15:$BL$62))))*T457*IF(ISBLANK(Q457),1,Q457)+IFERROR(_xlfn.XLOOKUP("RECHERCHEX",TRIM(L457:AC457),L457:AC457),0),0))</f>
        <v/>
      </c>
      <c r="AL457" s="1030">
        <f t="shared" si="189"/>
        <v>0</v>
      </c>
      <c r="AM457" s="5254" t="str">
        <f t="shared" si="204"/>
        <v/>
      </c>
      <c r="AN457" s="1031">
        <f t="shared" si="190"/>
        <v>0</v>
      </c>
      <c r="AO457" s="1031">
        <f t="shared" si="191"/>
        <v>0</v>
      </c>
      <c r="AP457" s="1044">
        <f t="shared" si="192"/>
        <v>0</v>
      </c>
      <c r="AQ457" s="5257" t="str">
        <f t="shared" si="193"/>
        <v/>
      </c>
      <c r="AR457" s="1056"/>
      <c r="AS457" s="1056"/>
      <c r="AT457" s="1045">
        <f t="shared" si="194"/>
        <v>0</v>
      </c>
      <c r="AU457" s="1046">
        <f t="shared" si="195"/>
        <v>0</v>
      </c>
      <c r="AV457" s="1059" cm="1">
        <f t="array" ref="AV457">IF(AJ457&lt;&gt;1,0,IF(OR(AT457="",N(AT457)&lt;=0.000000001),"",IF(OR(AN457="",N(AN457)&lt;=0.000000001),0,IF(ISNUMBER(AT457),IFERROR(_xlfn.LET(_xlpm.ai_test,TRIM(AI457),_xlpm.r,IFERROR(_xlfn.XLOOKUP(_xlpm.ai_test,$BI$15:$BI$62,ROW($BI$15:$BI$62),0,1),IFERROR(_xlfn.XLOOKUP(_xlpm.ai_test,$BJ$15:$BJ$62,ROW($BJ$15:$BJ$62),0,1),_xlfn.XLOOKUP(_xlpm.ai_test,$BK$15:$BK$62,ROW($BK$15:$BK$62),0,1))),_xlpm.p,_xlpm.r-MIN(ROW($BI$15:$BI$62))+1,_xlpm.f,INDEX($BL$15:$BL$62,_xlpm.p),_xlpm.u,INDEX($BM$15:$BM$62,_xlpm.p),_xlpm.s,INDEX($BO$15:$BO$62,_xlpm.p),_xlpm.q,N(AT457)/_xlpm.f,IF(_xlpm.q&gt;=_xlpm.s,ROUND(_xlpm.q,1)&amp;" "&amp;_xlpm.ai_test&amp;" = "&amp;ROUND(_xlpm.q*_xlpm.f,1)&amp;" "&amp;_xlpm.u,ROUND(_xlpm.q,1)&amp;" "&amp;_xlpm.ai_test)),""),""))))</f>
        <v>0</v>
      </c>
      <c r="AW457" s="1047"/>
      <c r="AX457" s="1045">
        <f t="shared" si="196"/>
        <v>0</v>
      </c>
      <c r="AY457" s="1046" t="str">
        <f t="shared" si="197"/>
        <v/>
      </c>
      <c r="AZ457" s="1048">
        <f t="shared" si="202"/>
        <v>0</v>
      </c>
      <c r="BA457" s="1049" t="str">
        <f t="shared" si="198"/>
        <v/>
      </c>
      <c r="BB457" s="1038"/>
      <c r="BC457" s="1050">
        <f t="shared" si="203"/>
        <v>0</v>
      </c>
      <c r="BD457" s="1040" t="str">
        <f t="shared" si="199"/>
        <v/>
      </c>
      <c r="BE457" s="227" t="s">
        <v>22</v>
      </c>
      <c r="BF457" s="1019">
        <f t="shared" si="200"/>
        <v>0</v>
      </c>
      <c r="BG457" s="1020">
        <f t="shared" si="201"/>
        <v>0</v>
      </c>
      <c r="BH457"/>
      <c r="BI457" s="709"/>
      <c r="BJ457" s="709"/>
      <c r="BK457" s="709"/>
      <c r="BL457" s="709"/>
      <c r="BM457" s="709"/>
      <c r="BN457" s="709"/>
      <c r="BO457" s="709"/>
      <c r="BP457" s="709"/>
      <c r="BW457" s="959" t="str">
        <f t="shared" si="205"/>
        <v>►</v>
      </c>
      <c r="BX457" s="856"/>
      <c r="BY457" s="856"/>
      <c r="BZ457" s="856"/>
      <c r="CA457" s="856"/>
      <c r="CB457" s="856"/>
      <c r="DB457" s="3">
        <v>1</v>
      </c>
    </row>
    <row r="458" spans="12:106" ht="21" customHeight="1">
      <c r="L458" s="104" t="s">
        <v>16</v>
      </c>
      <c r="M458" s="1172"/>
      <c r="N458" s="1172"/>
      <c r="O458" s="1172"/>
      <c r="P458" s="1173"/>
      <c r="Q458" s="1174"/>
      <c r="R458" s="1175"/>
      <c r="S458" s="1176"/>
      <c r="T458" s="1177"/>
      <c r="U458" s="5248"/>
      <c r="V458" s="1177"/>
      <c r="W458" s="5249"/>
      <c r="X458" s="5208"/>
      <c r="Y458" s="5209"/>
      <c r="Z458" s="5210"/>
      <c r="AA458" s="5211"/>
      <c r="AB458" s="1178"/>
      <c r="AC458" s="1179"/>
      <c r="AD458" s="227" t="s">
        <v>22</v>
      </c>
      <c r="AE458" s="1027" t="str">
        <f t="shared" si="183"/>
        <v>►</v>
      </c>
      <c r="AF458" s="1028" t="str">
        <f t="shared" si="184"/>
        <v/>
      </c>
      <c r="AG458" s="1029" t="str">
        <f t="shared" si="185"/>
        <v/>
      </c>
      <c r="AH458" s="1028" t="str">
        <f t="shared" si="186"/>
        <v/>
      </c>
      <c r="AI458" s="1029" t="str">
        <f t="shared" si="187"/>
        <v/>
      </c>
      <c r="AJ458" s="1029">
        <f t="shared" si="188"/>
        <v>0</v>
      </c>
      <c r="AK458" s="1043" t="str" cm="1">
        <f t="array" ref="AK458">IF(AE458&lt;&gt;"A","",IFERROR((IFERROR(_xlfn.XLOOKUP(TRIM(SUBSTITUTE(U458,CHAR(160)," ")),$BI$15:$BI$62,$BL$15:$BL$62),IFERROR(_xlfn.XLOOKUP(TRIM(SUBSTITUTE(U458,CHAR(160)," ")),$BJ$15:$BJ$62,$BL$15:$BL$62),_xlfn.XLOOKUP(TRIM(SUBSTITUTE(U458,CHAR(160)," ")),$BK$15:$BK$62,$BL$15:$BL$62))))*T458*IF(ISBLANK(Q458),1,Q458)+IFERROR(_xlfn.XLOOKUP("RECHERCHEX",TRIM(L458:AC458),L458:AC458),0),0))</f>
        <v/>
      </c>
      <c r="AL458" s="1030">
        <f t="shared" si="189"/>
        <v>0</v>
      </c>
      <c r="AM458" s="5254" t="str">
        <f t="shared" si="204"/>
        <v/>
      </c>
      <c r="AN458" s="1031">
        <f t="shared" si="190"/>
        <v>0</v>
      </c>
      <c r="AO458" s="1031">
        <f t="shared" si="191"/>
        <v>0</v>
      </c>
      <c r="AP458" s="1032">
        <f t="shared" si="192"/>
        <v>0</v>
      </c>
      <c r="AQ458" s="5255" t="str">
        <f t="shared" si="193"/>
        <v/>
      </c>
      <c r="AR458" s="1056"/>
      <c r="AS458" s="1056"/>
      <c r="AT458" s="1034">
        <f t="shared" si="194"/>
        <v>0</v>
      </c>
      <c r="AU458" s="1035">
        <f t="shared" si="195"/>
        <v>0</v>
      </c>
      <c r="AV458" s="1057" cm="1">
        <f t="array" ref="AV458">IF(AJ458&lt;&gt;1,0,IF(OR(AT458="",N(AT458)&lt;=0.000000001),"",IF(OR(AN458="",N(AN458)&lt;=0.000000001),0,IF(ISNUMBER(AT458),IFERROR(_xlfn.LET(_xlpm.ai_test,TRIM(AI458),_xlpm.r,IFERROR(_xlfn.XLOOKUP(_xlpm.ai_test,$BI$15:$BI$62,ROW($BI$15:$BI$62),0,1),IFERROR(_xlfn.XLOOKUP(_xlpm.ai_test,$BJ$15:$BJ$62,ROW($BJ$15:$BJ$62),0,1),_xlfn.XLOOKUP(_xlpm.ai_test,$BK$15:$BK$62,ROW($BK$15:$BK$62),0,1))),_xlpm.p,_xlpm.r-MIN(ROW($BI$15:$BI$62))+1,_xlpm.f,INDEX($BL$15:$BL$62,_xlpm.p),_xlpm.u,INDEX($BM$15:$BM$62,_xlpm.p),_xlpm.s,INDEX($BO$15:$BO$62,_xlpm.p),_xlpm.q,N(AT458)/_xlpm.f,IF(_xlpm.q&gt;=_xlpm.s,ROUND(_xlpm.q,1)&amp;" "&amp;_xlpm.ai_test&amp;" = "&amp;ROUND(_xlpm.q*_xlpm.f,1)&amp;" "&amp;_xlpm.u,ROUND(_xlpm.q,1)&amp;" "&amp;_xlpm.ai_test)),""),""))))</f>
        <v>0</v>
      </c>
      <c r="AW458" s="1047"/>
      <c r="AX458" s="1034">
        <f t="shared" si="196"/>
        <v>0</v>
      </c>
      <c r="AY458" s="1035" t="str">
        <f t="shared" si="197"/>
        <v/>
      </c>
      <c r="AZ458" s="1036">
        <f t="shared" si="202"/>
        <v>0</v>
      </c>
      <c r="BA458" s="1037" t="str">
        <f t="shared" si="198"/>
        <v/>
      </c>
      <c r="BB458" s="1038"/>
      <c r="BC458" s="1039">
        <f t="shared" si="203"/>
        <v>0</v>
      </c>
      <c r="BD458" s="1040" t="str">
        <f t="shared" si="199"/>
        <v/>
      </c>
      <c r="BE458" s="227" t="s">
        <v>22</v>
      </c>
      <c r="BF458" s="1019">
        <f t="shared" si="200"/>
        <v>0</v>
      </c>
      <c r="BG458" s="1020">
        <f t="shared" si="201"/>
        <v>0</v>
      </c>
      <c r="BH458"/>
      <c r="BI458" s="709"/>
      <c r="BJ458" s="709"/>
      <c r="BK458" s="709"/>
      <c r="BL458" s="709"/>
      <c r="BM458" s="709"/>
      <c r="BN458" s="709"/>
      <c r="BO458" s="709"/>
      <c r="BP458" s="709"/>
      <c r="BW458" s="959" t="str">
        <f t="shared" si="205"/>
        <v>►</v>
      </c>
      <c r="BX458" s="856"/>
      <c r="BY458" s="856"/>
      <c r="BZ458" s="856"/>
      <c r="CA458" s="856"/>
      <c r="CB458" s="856"/>
      <c r="DB458" s="3">
        <v>1</v>
      </c>
    </row>
    <row r="459" spans="12:106" ht="21" customHeight="1">
      <c r="L459" s="104" t="s">
        <v>16</v>
      </c>
      <c r="M459" s="1172"/>
      <c r="N459" s="1172"/>
      <c r="O459" s="1172"/>
      <c r="P459" s="1173"/>
      <c r="Q459" s="1174"/>
      <c r="R459" s="1175"/>
      <c r="S459" s="1176"/>
      <c r="T459" s="1177"/>
      <c r="U459" s="5248"/>
      <c r="V459" s="1177"/>
      <c r="W459" s="5249"/>
      <c r="X459" s="5208"/>
      <c r="Y459" s="5209"/>
      <c r="Z459" s="5210"/>
      <c r="AA459" s="5211"/>
      <c r="AB459" s="1178"/>
      <c r="AC459" s="1179"/>
      <c r="AD459" s="227" t="s">
        <v>22</v>
      </c>
      <c r="AE459" s="1027" t="str">
        <f t="shared" si="183"/>
        <v>►</v>
      </c>
      <c r="AF459" s="1028" t="str">
        <f t="shared" si="184"/>
        <v/>
      </c>
      <c r="AG459" s="1029" t="str">
        <f t="shared" si="185"/>
        <v/>
      </c>
      <c r="AH459" s="1028" t="str">
        <f t="shared" si="186"/>
        <v/>
      </c>
      <c r="AI459" s="1029" t="str">
        <f t="shared" si="187"/>
        <v/>
      </c>
      <c r="AJ459" s="1029">
        <f t="shared" si="188"/>
        <v>0</v>
      </c>
      <c r="AK459" s="1043" t="str" cm="1">
        <f t="array" ref="AK459">IF(AE459&lt;&gt;"A","",IFERROR((IFERROR(_xlfn.XLOOKUP(TRIM(SUBSTITUTE(U459,CHAR(160)," ")),$BI$15:$BI$62,$BL$15:$BL$62),IFERROR(_xlfn.XLOOKUP(TRIM(SUBSTITUTE(U459,CHAR(160)," ")),$BJ$15:$BJ$62,$BL$15:$BL$62),_xlfn.XLOOKUP(TRIM(SUBSTITUTE(U459,CHAR(160)," ")),$BK$15:$BK$62,$BL$15:$BL$62))))*T459*IF(ISBLANK(Q459),1,Q459)+IFERROR(_xlfn.XLOOKUP("RECHERCHEX",TRIM(L459:AC459),L459:AC459),0),0))</f>
        <v/>
      </c>
      <c r="AL459" s="1030">
        <f t="shared" si="189"/>
        <v>0</v>
      </c>
      <c r="AM459" s="5254" t="str">
        <f t="shared" si="204"/>
        <v/>
      </c>
      <c r="AN459" s="1031">
        <f t="shared" si="190"/>
        <v>0</v>
      </c>
      <c r="AO459" s="1031">
        <f t="shared" si="191"/>
        <v>0</v>
      </c>
      <c r="AP459" s="1044">
        <f t="shared" si="192"/>
        <v>0</v>
      </c>
      <c r="AQ459" s="5257" t="str">
        <f t="shared" si="193"/>
        <v/>
      </c>
      <c r="AR459" s="1056"/>
      <c r="AS459" s="1056"/>
      <c r="AT459" s="1045">
        <f t="shared" si="194"/>
        <v>0</v>
      </c>
      <c r="AU459" s="1046">
        <f t="shared" si="195"/>
        <v>0</v>
      </c>
      <c r="AV459" s="1059" cm="1">
        <f t="array" ref="AV459">IF(AJ459&lt;&gt;1,0,IF(OR(AT459="",N(AT459)&lt;=0.000000001),"",IF(OR(AN459="",N(AN459)&lt;=0.000000001),0,IF(ISNUMBER(AT459),IFERROR(_xlfn.LET(_xlpm.ai_test,TRIM(AI459),_xlpm.r,IFERROR(_xlfn.XLOOKUP(_xlpm.ai_test,$BI$15:$BI$62,ROW($BI$15:$BI$62),0,1),IFERROR(_xlfn.XLOOKUP(_xlpm.ai_test,$BJ$15:$BJ$62,ROW($BJ$15:$BJ$62),0,1),_xlfn.XLOOKUP(_xlpm.ai_test,$BK$15:$BK$62,ROW($BK$15:$BK$62),0,1))),_xlpm.p,_xlpm.r-MIN(ROW($BI$15:$BI$62))+1,_xlpm.f,INDEX($BL$15:$BL$62,_xlpm.p),_xlpm.u,INDEX($BM$15:$BM$62,_xlpm.p),_xlpm.s,INDEX($BO$15:$BO$62,_xlpm.p),_xlpm.q,N(AT459)/_xlpm.f,IF(_xlpm.q&gt;=_xlpm.s,ROUND(_xlpm.q,1)&amp;" "&amp;_xlpm.ai_test&amp;" = "&amp;ROUND(_xlpm.q*_xlpm.f,1)&amp;" "&amp;_xlpm.u,ROUND(_xlpm.q,1)&amp;" "&amp;_xlpm.ai_test)),""),""))))</f>
        <v>0</v>
      </c>
      <c r="AW459" s="1047"/>
      <c r="AX459" s="1045">
        <f t="shared" si="196"/>
        <v>0</v>
      </c>
      <c r="AY459" s="1046" t="str">
        <f t="shared" si="197"/>
        <v/>
      </c>
      <c r="AZ459" s="1048">
        <f t="shared" si="202"/>
        <v>0</v>
      </c>
      <c r="BA459" s="1049" t="str">
        <f t="shared" si="198"/>
        <v/>
      </c>
      <c r="BB459" s="1038"/>
      <c r="BC459" s="1050">
        <f t="shared" si="203"/>
        <v>0</v>
      </c>
      <c r="BD459" s="1040" t="str">
        <f t="shared" si="199"/>
        <v/>
      </c>
      <c r="BE459" s="227" t="s">
        <v>22</v>
      </c>
      <c r="BF459" s="1019">
        <f t="shared" si="200"/>
        <v>0</v>
      </c>
      <c r="BG459" s="1020">
        <f t="shared" si="201"/>
        <v>0</v>
      </c>
      <c r="BH459"/>
      <c r="BI459" s="709"/>
      <c r="BJ459" s="709"/>
      <c r="BK459" s="709"/>
      <c r="BL459" s="709"/>
      <c r="BM459" s="709"/>
      <c r="BN459" s="709"/>
      <c r="BO459" s="709"/>
      <c r="BP459" s="709"/>
      <c r="BW459" s="959" t="str">
        <f t="shared" si="205"/>
        <v>►</v>
      </c>
      <c r="BX459" s="856"/>
      <c r="BY459" s="856"/>
      <c r="BZ459" s="856"/>
      <c r="CA459" s="856"/>
      <c r="CB459" s="856"/>
      <c r="DB459" s="3">
        <v>1</v>
      </c>
    </row>
    <row r="460" spans="12:106" ht="21" customHeight="1">
      <c r="L460" s="104" t="s">
        <v>16</v>
      </c>
      <c r="M460" s="1172"/>
      <c r="N460" s="1172"/>
      <c r="O460" s="1172"/>
      <c r="P460" s="1173"/>
      <c r="Q460" s="1174"/>
      <c r="R460" s="1175"/>
      <c r="S460" s="1176"/>
      <c r="T460" s="1177"/>
      <c r="U460" s="5248"/>
      <c r="V460" s="1177"/>
      <c r="W460" s="5249"/>
      <c r="X460" s="5208"/>
      <c r="Y460" s="5209"/>
      <c r="Z460" s="5210"/>
      <c r="AA460" s="5211"/>
      <c r="AB460" s="1178"/>
      <c r="AC460" s="1179"/>
      <c r="AD460" s="227" t="s">
        <v>22</v>
      </c>
      <c r="AE460" s="1027" t="str">
        <f t="shared" si="183"/>
        <v>►</v>
      </c>
      <c r="AF460" s="1028" t="str">
        <f t="shared" si="184"/>
        <v/>
      </c>
      <c r="AG460" s="1029" t="str">
        <f t="shared" si="185"/>
        <v/>
      </c>
      <c r="AH460" s="1028" t="str">
        <f t="shared" si="186"/>
        <v/>
      </c>
      <c r="AI460" s="1029" t="str">
        <f t="shared" si="187"/>
        <v/>
      </c>
      <c r="AJ460" s="1029">
        <f t="shared" si="188"/>
        <v>0</v>
      </c>
      <c r="AK460" s="1043" t="str" cm="1">
        <f t="array" ref="AK460">IF(AE460&lt;&gt;"A","",IFERROR((IFERROR(_xlfn.XLOOKUP(TRIM(SUBSTITUTE(U460,CHAR(160)," ")),$BI$15:$BI$62,$BL$15:$BL$62),IFERROR(_xlfn.XLOOKUP(TRIM(SUBSTITUTE(U460,CHAR(160)," ")),$BJ$15:$BJ$62,$BL$15:$BL$62),_xlfn.XLOOKUP(TRIM(SUBSTITUTE(U460,CHAR(160)," ")),$BK$15:$BK$62,$BL$15:$BL$62))))*T460*IF(ISBLANK(Q460),1,Q460)+IFERROR(_xlfn.XLOOKUP("RECHERCHEX",TRIM(L460:AC460),L460:AC460),0),0))</f>
        <v/>
      </c>
      <c r="AL460" s="1030">
        <f t="shared" si="189"/>
        <v>0</v>
      </c>
      <c r="AM460" s="5254" t="str">
        <f t="shared" si="204"/>
        <v/>
      </c>
      <c r="AN460" s="1031">
        <f t="shared" si="190"/>
        <v>0</v>
      </c>
      <c r="AO460" s="1031">
        <f t="shared" si="191"/>
        <v>0</v>
      </c>
      <c r="AP460" s="1032">
        <f t="shared" si="192"/>
        <v>0</v>
      </c>
      <c r="AQ460" s="5255" t="str">
        <f t="shared" si="193"/>
        <v/>
      </c>
      <c r="AR460" s="1056"/>
      <c r="AS460" s="1056"/>
      <c r="AT460" s="1034">
        <f t="shared" si="194"/>
        <v>0</v>
      </c>
      <c r="AU460" s="1035">
        <f t="shared" si="195"/>
        <v>0</v>
      </c>
      <c r="AV460" s="1057" cm="1">
        <f t="array" ref="AV460">IF(AJ460&lt;&gt;1,0,IF(OR(AT460="",N(AT460)&lt;=0.000000001),"",IF(OR(AN460="",N(AN460)&lt;=0.000000001),0,IF(ISNUMBER(AT460),IFERROR(_xlfn.LET(_xlpm.ai_test,TRIM(AI460),_xlpm.r,IFERROR(_xlfn.XLOOKUP(_xlpm.ai_test,$BI$15:$BI$62,ROW($BI$15:$BI$62),0,1),IFERROR(_xlfn.XLOOKUP(_xlpm.ai_test,$BJ$15:$BJ$62,ROW($BJ$15:$BJ$62),0,1),_xlfn.XLOOKUP(_xlpm.ai_test,$BK$15:$BK$62,ROW($BK$15:$BK$62),0,1))),_xlpm.p,_xlpm.r-MIN(ROW($BI$15:$BI$62))+1,_xlpm.f,INDEX($BL$15:$BL$62,_xlpm.p),_xlpm.u,INDEX($BM$15:$BM$62,_xlpm.p),_xlpm.s,INDEX($BO$15:$BO$62,_xlpm.p),_xlpm.q,N(AT460)/_xlpm.f,IF(_xlpm.q&gt;=_xlpm.s,ROUND(_xlpm.q,1)&amp;" "&amp;_xlpm.ai_test&amp;" = "&amp;ROUND(_xlpm.q*_xlpm.f,1)&amp;" "&amp;_xlpm.u,ROUND(_xlpm.q,1)&amp;" "&amp;_xlpm.ai_test)),""),""))))</f>
        <v>0</v>
      </c>
      <c r="AW460" s="1047"/>
      <c r="AX460" s="1034">
        <f t="shared" si="196"/>
        <v>0</v>
      </c>
      <c r="AY460" s="1035" t="str">
        <f t="shared" si="197"/>
        <v/>
      </c>
      <c r="AZ460" s="1036">
        <f t="shared" si="202"/>
        <v>0</v>
      </c>
      <c r="BA460" s="1037" t="str">
        <f t="shared" si="198"/>
        <v/>
      </c>
      <c r="BB460" s="1038"/>
      <c r="BC460" s="1039">
        <f t="shared" si="203"/>
        <v>0</v>
      </c>
      <c r="BD460" s="1040" t="str">
        <f t="shared" si="199"/>
        <v/>
      </c>
      <c r="BE460" s="227" t="s">
        <v>22</v>
      </c>
      <c r="BF460" s="1019">
        <f t="shared" si="200"/>
        <v>0</v>
      </c>
      <c r="BG460" s="1020">
        <f t="shared" si="201"/>
        <v>0</v>
      </c>
      <c r="BH460"/>
      <c r="BI460" s="709"/>
      <c r="BJ460" s="709"/>
      <c r="BK460" s="709"/>
      <c r="BL460" s="709"/>
      <c r="BM460" s="709"/>
      <c r="BN460" s="709"/>
      <c r="BO460" s="709"/>
      <c r="BP460" s="709"/>
      <c r="BW460" s="959" t="str">
        <f t="shared" si="205"/>
        <v>►</v>
      </c>
      <c r="BX460" s="856"/>
      <c r="BY460" s="856"/>
      <c r="BZ460" s="856"/>
      <c r="CA460" s="856"/>
      <c r="CB460" s="856"/>
      <c r="DB460" s="3">
        <v>1</v>
      </c>
    </row>
    <row r="461" spans="12:106" ht="21" customHeight="1">
      <c r="L461" s="104" t="s">
        <v>16</v>
      </c>
      <c r="M461" s="1172"/>
      <c r="N461" s="1172"/>
      <c r="O461" s="1172"/>
      <c r="P461" s="1173"/>
      <c r="Q461" s="1174"/>
      <c r="R461" s="1175"/>
      <c r="S461" s="1176"/>
      <c r="T461" s="1177"/>
      <c r="U461" s="5248"/>
      <c r="V461" s="1177"/>
      <c r="W461" s="5249"/>
      <c r="X461" s="5208"/>
      <c r="Y461" s="5209"/>
      <c r="Z461" s="5210"/>
      <c r="AA461" s="5211"/>
      <c r="AB461" s="1178"/>
      <c r="AC461" s="1179"/>
      <c r="AD461" s="227" t="s">
        <v>22</v>
      </c>
      <c r="AE461" s="1027" t="str">
        <f t="shared" si="183"/>
        <v>►</v>
      </c>
      <c r="AF461" s="1028" t="str">
        <f t="shared" si="184"/>
        <v/>
      </c>
      <c r="AG461" s="1029" t="str">
        <f t="shared" si="185"/>
        <v/>
      </c>
      <c r="AH461" s="1028" t="str">
        <f t="shared" si="186"/>
        <v/>
      </c>
      <c r="AI461" s="1029" t="str">
        <f t="shared" si="187"/>
        <v/>
      </c>
      <c r="AJ461" s="1029">
        <f t="shared" si="188"/>
        <v>0</v>
      </c>
      <c r="AK461" s="1043" t="str" cm="1">
        <f t="array" ref="AK461">IF(AE461&lt;&gt;"A","",IFERROR((IFERROR(_xlfn.XLOOKUP(TRIM(SUBSTITUTE(U461,CHAR(160)," ")),$BI$15:$BI$62,$BL$15:$BL$62),IFERROR(_xlfn.XLOOKUP(TRIM(SUBSTITUTE(U461,CHAR(160)," ")),$BJ$15:$BJ$62,$BL$15:$BL$62),_xlfn.XLOOKUP(TRIM(SUBSTITUTE(U461,CHAR(160)," ")),$BK$15:$BK$62,$BL$15:$BL$62))))*T461*IF(ISBLANK(Q461),1,Q461)+IFERROR(_xlfn.XLOOKUP("RECHERCHEX",TRIM(L461:AC461),L461:AC461),0),0))</f>
        <v/>
      </c>
      <c r="AL461" s="1030">
        <f t="shared" si="189"/>
        <v>0</v>
      </c>
      <c r="AM461" s="5254" t="str">
        <f t="shared" si="204"/>
        <v/>
      </c>
      <c r="AN461" s="1031">
        <f t="shared" si="190"/>
        <v>0</v>
      </c>
      <c r="AO461" s="1031">
        <f t="shared" si="191"/>
        <v>0</v>
      </c>
      <c r="AP461" s="1044">
        <f t="shared" si="192"/>
        <v>0</v>
      </c>
      <c r="AQ461" s="5257" t="str">
        <f t="shared" si="193"/>
        <v/>
      </c>
      <c r="AR461" s="1056"/>
      <c r="AS461" s="1056"/>
      <c r="AT461" s="1045">
        <f t="shared" si="194"/>
        <v>0</v>
      </c>
      <c r="AU461" s="1046">
        <f t="shared" si="195"/>
        <v>0</v>
      </c>
      <c r="AV461" s="1059" cm="1">
        <f t="array" ref="AV461">IF(AJ461&lt;&gt;1,0,IF(OR(AT461="",N(AT461)&lt;=0.000000001),"",IF(OR(AN461="",N(AN461)&lt;=0.000000001),0,IF(ISNUMBER(AT461),IFERROR(_xlfn.LET(_xlpm.ai_test,TRIM(AI461),_xlpm.r,IFERROR(_xlfn.XLOOKUP(_xlpm.ai_test,$BI$15:$BI$62,ROW($BI$15:$BI$62),0,1),IFERROR(_xlfn.XLOOKUP(_xlpm.ai_test,$BJ$15:$BJ$62,ROW($BJ$15:$BJ$62),0,1),_xlfn.XLOOKUP(_xlpm.ai_test,$BK$15:$BK$62,ROW($BK$15:$BK$62),0,1))),_xlpm.p,_xlpm.r-MIN(ROW($BI$15:$BI$62))+1,_xlpm.f,INDEX($BL$15:$BL$62,_xlpm.p),_xlpm.u,INDEX($BM$15:$BM$62,_xlpm.p),_xlpm.s,INDEX($BO$15:$BO$62,_xlpm.p),_xlpm.q,N(AT461)/_xlpm.f,IF(_xlpm.q&gt;=_xlpm.s,ROUND(_xlpm.q,1)&amp;" "&amp;_xlpm.ai_test&amp;" = "&amp;ROUND(_xlpm.q*_xlpm.f,1)&amp;" "&amp;_xlpm.u,ROUND(_xlpm.q,1)&amp;" "&amp;_xlpm.ai_test)),""),""))))</f>
        <v>0</v>
      </c>
      <c r="AW461" s="1047"/>
      <c r="AX461" s="1045">
        <f t="shared" si="196"/>
        <v>0</v>
      </c>
      <c r="AY461" s="1046" t="str">
        <f t="shared" si="197"/>
        <v/>
      </c>
      <c r="AZ461" s="1048">
        <f t="shared" si="202"/>
        <v>0</v>
      </c>
      <c r="BA461" s="1049" t="str">
        <f t="shared" si="198"/>
        <v/>
      </c>
      <c r="BB461" s="1038"/>
      <c r="BC461" s="1050">
        <f t="shared" si="203"/>
        <v>0</v>
      </c>
      <c r="BD461" s="1040" t="str">
        <f t="shared" si="199"/>
        <v/>
      </c>
      <c r="BE461" s="227" t="s">
        <v>22</v>
      </c>
      <c r="BF461" s="1019">
        <f t="shared" si="200"/>
        <v>0</v>
      </c>
      <c r="BG461" s="1020">
        <f t="shared" si="201"/>
        <v>0</v>
      </c>
      <c r="BH461"/>
      <c r="BI461" s="709"/>
      <c r="BJ461" s="709"/>
      <c r="BK461" s="709"/>
      <c r="BL461" s="709"/>
      <c r="BM461" s="709"/>
      <c r="BN461" s="709"/>
      <c r="BO461" s="709"/>
      <c r="BP461" s="709"/>
      <c r="BW461" s="959" t="str">
        <f t="shared" si="205"/>
        <v>►</v>
      </c>
      <c r="BX461" s="856"/>
      <c r="BY461" s="856"/>
      <c r="BZ461" s="856"/>
      <c r="CA461" s="856"/>
      <c r="CB461" s="856"/>
      <c r="DB461" s="3">
        <v>1</v>
      </c>
    </row>
    <row r="462" spans="12:106" ht="21" customHeight="1">
      <c r="L462" s="104" t="s">
        <v>16</v>
      </c>
      <c r="M462" s="1172"/>
      <c r="N462" s="1172"/>
      <c r="O462" s="1172"/>
      <c r="P462" s="1173"/>
      <c r="Q462" s="1174"/>
      <c r="R462" s="1175"/>
      <c r="S462" s="1176"/>
      <c r="T462" s="1177"/>
      <c r="U462" s="5248"/>
      <c r="V462" s="1177"/>
      <c r="W462" s="5249"/>
      <c r="X462" s="5208"/>
      <c r="Y462" s="5209"/>
      <c r="Z462" s="5210"/>
      <c r="AA462" s="5211"/>
      <c r="AB462" s="1178"/>
      <c r="AC462" s="1179"/>
      <c r="AD462" s="227" t="s">
        <v>22</v>
      </c>
      <c r="AE462" s="1027" t="str">
        <f t="shared" si="183"/>
        <v>►</v>
      </c>
      <c r="AF462" s="1028" t="str">
        <f t="shared" si="184"/>
        <v/>
      </c>
      <c r="AG462" s="1029" t="str">
        <f t="shared" si="185"/>
        <v/>
      </c>
      <c r="AH462" s="1028" t="str">
        <f t="shared" si="186"/>
        <v/>
      </c>
      <c r="AI462" s="1029" t="str">
        <f t="shared" si="187"/>
        <v/>
      </c>
      <c r="AJ462" s="1029">
        <f t="shared" si="188"/>
        <v>0</v>
      </c>
      <c r="AK462" s="1043" t="str" cm="1">
        <f t="array" ref="AK462">IF(AE462&lt;&gt;"A","",IFERROR((IFERROR(_xlfn.XLOOKUP(TRIM(SUBSTITUTE(U462,CHAR(160)," ")),$BI$15:$BI$62,$BL$15:$BL$62),IFERROR(_xlfn.XLOOKUP(TRIM(SUBSTITUTE(U462,CHAR(160)," ")),$BJ$15:$BJ$62,$BL$15:$BL$62),_xlfn.XLOOKUP(TRIM(SUBSTITUTE(U462,CHAR(160)," ")),$BK$15:$BK$62,$BL$15:$BL$62))))*T462*IF(ISBLANK(Q462),1,Q462)+IFERROR(_xlfn.XLOOKUP("RECHERCHEX",TRIM(L462:AC462),L462:AC462),0),0))</f>
        <v/>
      </c>
      <c r="AL462" s="1030">
        <f t="shared" si="189"/>
        <v>0</v>
      </c>
      <c r="AM462" s="5254" t="str">
        <f t="shared" si="204"/>
        <v/>
      </c>
      <c r="AN462" s="1031">
        <f t="shared" si="190"/>
        <v>0</v>
      </c>
      <c r="AO462" s="1031">
        <f t="shared" si="191"/>
        <v>0</v>
      </c>
      <c r="AP462" s="1032">
        <f t="shared" si="192"/>
        <v>0</v>
      </c>
      <c r="AQ462" s="5255" t="str">
        <f t="shared" si="193"/>
        <v/>
      </c>
      <c r="AR462" s="1056"/>
      <c r="AS462" s="1056"/>
      <c r="AT462" s="1034">
        <f t="shared" si="194"/>
        <v>0</v>
      </c>
      <c r="AU462" s="1035">
        <f t="shared" si="195"/>
        <v>0</v>
      </c>
      <c r="AV462" s="1057" cm="1">
        <f t="array" ref="AV462">IF(AJ462&lt;&gt;1,0,IF(OR(AT462="",N(AT462)&lt;=0.000000001),"",IF(OR(AN462="",N(AN462)&lt;=0.000000001),0,IF(ISNUMBER(AT462),IFERROR(_xlfn.LET(_xlpm.ai_test,TRIM(AI462),_xlpm.r,IFERROR(_xlfn.XLOOKUP(_xlpm.ai_test,$BI$15:$BI$62,ROW($BI$15:$BI$62),0,1),IFERROR(_xlfn.XLOOKUP(_xlpm.ai_test,$BJ$15:$BJ$62,ROW($BJ$15:$BJ$62),0,1),_xlfn.XLOOKUP(_xlpm.ai_test,$BK$15:$BK$62,ROW($BK$15:$BK$62),0,1))),_xlpm.p,_xlpm.r-MIN(ROW($BI$15:$BI$62))+1,_xlpm.f,INDEX($BL$15:$BL$62,_xlpm.p),_xlpm.u,INDEX($BM$15:$BM$62,_xlpm.p),_xlpm.s,INDEX($BO$15:$BO$62,_xlpm.p),_xlpm.q,N(AT462)/_xlpm.f,IF(_xlpm.q&gt;=_xlpm.s,ROUND(_xlpm.q,1)&amp;" "&amp;_xlpm.ai_test&amp;" = "&amp;ROUND(_xlpm.q*_xlpm.f,1)&amp;" "&amp;_xlpm.u,ROUND(_xlpm.q,1)&amp;" "&amp;_xlpm.ai_test)),""),""))))</f>
        <v>0</v>
      </c>
      <c r="AW462" s="1047"/>
      <c r="AX462" s="1034">
        <f t="shared" si="196"/>
        <v>0</v>
      </c>
      <c r="AY462" s="1035" t="str">
        <f t="shared" si="197"/>
        <v/>
      </c>
      <c r="AZ462" s="1036">
        <f t="shared" si="202"/>
        <v>0</v>
      </c>
      <c r="BA462" s="1037" t="str">
        <f t="shared" si="198"/>
        <v/>
      </c>
      <c r="BB462" s="1038"/>
      <c r="BC462" s="1039">
        <f t="shared" si="203"/>
        <v>0</v>
      </c>
      <c r="BD462" s="1040" t="str">
        <f t="shared" si="199"/>
        <v/>
      </c>
      <c r="BE462" s="227" t="s">
        <v>22</v>
      </c>
      <c r="BF462" s="1019">
        <f t="shared" si="200"/>
        <v>0</v>
      </c>
      <c r="BG462" s="1020">
        <f t="shared" si="201"/>
        <v>0</v>
      </c>
      <c r="BH462"/>
      <c r="BI462" s="709"/>
      <c r="BJ462" s="709"/>
      <c r="BK462" s="709"/>
      <c r="BL462" s="709"/>
      <c r="BM462" s="709"/>
      <c r="BN462" s="709"/>
      <c r="BO462" s="709"/>
      <c r="BP462" s="709"/>
      <c r="BW462" s="959" t="str">
        <f t="shared" si="205"/>
        <v>►</v>
      </c>
      <c r="BX462" s="856"/>
      <c r="BY462" s="856"/>
      <c r="BZ462" s="856"/>
      <c r="CA462" s="856"/>
      <c r="CB462" s="856"/>
      <c r="DB462" s="3">
        <v>1</v>
      </c>
    </row>
    <row r="463" spans="12:106" ht="21" customHeight="1">
      <c r="L463" s="104" t="s">
        <v>16</v>
      </c>
      <c r="M463" s="1172"/>
      <c r="N463" s="1172"/>
      <c r="O463" s="1172"/>
      <c r="P463" s="1173"/>
      <c r="Q463" s="1174"/>
      <c r="R463" s="1175"/>
      <c r="S463" s="1176"/>
      <c r="T463" s="1177"/>
      <c r="U463" s="5248"/>
      <c r="V463" s="1177"/>
      <c r="W463" s="5249"/>
      <c r="X463" s="5208"/>
      <c r="Y463" s="5209"/>
      <c r="Z463" s="5210"/>
      <c r="AA463" s="5211"/>
      <c r="AB463" s="1178"/>
      <c r="AC463" s="1179"/>
      <c r="AD463" s="227" t="s">
        <v>22</v>
      </c>
      <c r="AE463" s="1027" t="str">
        <f t="shared" si="183"/>
        <v>►</v>
      </c>
      <c r="AF463" s="1028" t="str">
        <f t="shared" si="184"/>
        <v/>
      </c>
      <c r="AG463" s="1029" t="str">
        <f t="shared" si="185"/>
        <v/>
      </c>
      <c r="AH463" s="1028" t="str">
        <f t="shared" si="186"/>
        <v/>
      </c>
      <c r="AI463" s="1029" t="str">
        <f t="shared" si="187"/>
        <v/>
      </c>
      <c r="AJ463" s="1029">
        <f t="shared" si="188"/>
        <v>0</v>
      </c>
      <c r="AK463" s="1043" t="str" cm="1">
        <f t="array" ref="AK463">IF(AE463&lt;&gt;"A","",IFERROR((IFERROR(_xlfn.XLOOKUP(TRIM(SUBSTITUTE(U463,CHAR(160)," ")),$BI$15:$BI$62,$BL$15:$BL$62),IFERROR(_xlfn.XLOOKUP(TRIM(SUBSTITUTE(U463,CHAR(160)," ")),$BJ$15:$BJ$62,$BL$15:$BL$62),_xlfn.XLOOKUP(TRIM(SUBSTITUTE(U463,CHAR(160)," ")),$BK$15:$BK$62,$BL$15:$BL$62))))*T463*IF(ISBLANK(Q463),1,Q463)+IFERROR(_xlfn.XLOOKUP("RECHERCHEX",TRIM(L463:AC463),L463:AC463),0),0))</f>
        <v/>
      </c>
      <c r="AL463" s="1030">
        <f t="shared" si="189"/>
        <v>0</v>
      </c>
      <c r="AM463" s="5254" t="str">
        <f t="shared" si="204"/>
        <v/>
      </c>
      <c r="AN463" s="1031">
        <f t="shared" si="190"/>
        <v>0</v>
      </c>
      <c r="AO463" s="1031">
        <f t="shared" si="191"/>
        <v>0</v>
      </c>
      <c r="AP463" s="1044">
        <f t="shared" si="192"/>
        <v>0</v>
      </c>
      <c r="AQ463" s="5257" t="str">
        <f t="shared" si="193"/>
        <v/>
      </c>
      <c r="AR463" s="1056"/>
      <c r="AS463" s="1056"/>
      <c r="AT463" s="1045">
        <f t="shared" si="194"/>
        <v>0</v>
      </c>
      <c r="AU463" s="1046">
        <f t="shared" si="195"/>
        <v>0</v>
      </c>
      <c r="AV463" s="1059" cm="1">
        <f t="array" ref="AV463">IF(AJ463&lt;&gt;1,0,IF(OR(AT463="",N(AT463)&lt;=0.000000001),"",IF(OR(AN463="",N(AN463)&lt;=0.000000001),0,IF(ISNUMBER(AT463),IFERROR(_xlfn.LET(_xlpm.ai_test,TRIM(AI463),_xlpm.r,IFERROR(_xlfn.XLOOKUP(_xlpm.ai_test,$BI$15:$BI$62,ROW($BI$15:$BI$62),0,1),IFERROR(_xlfn.XLOOKUP(_xlpm.ai_test,$BJ$15:$BJ$62,ROW($BJ$15:$BJ$62),0,1),_xlfn.XLOOKUP(_xlpm.ai_test,$BK$15:$BK$62,ROW($BK$15:$BK$62),0,1))),_xlpm.p,_xlpm.r-MIN(ROW($BI$15:$BI$62))+1,_xlpm.f,INDEX($BL$15:$BL$62,_xlpm.p),_xlpm.u,INDEX($BM$15:$BM$62,_xlpm.p),_xlpm.s,INDEX($BO$15:$BO$62,_xlpm.p),_xlpm.q,N(AT463)/_xlpm.f,IF(_xlpm.q&gt;=_xlpm.s,ROUND(_xlpm.q,1)&amp;" "&amp;_xlpm.ai_test&amp;" = "&amp;ROUND(_xlpm.q*_xlpm.f,1)&amp;" "&amp;_xlpm.u,ROUND(_xlpm.q,1)&amp;" "&amp;_xlpm.ai_test)),""),""))))</f>
        <v>0</v>
      </c>
      <c r="AW463" s="1047"/>
      <c r="AX463" s="1045">
        <f t="shared" si="196"/>
        <v>0</v>
      </c>
      <c r="AY463" s="1046" t="str">
        <f t="shared" si="197"/>
        <v/>
      </c>
      <c r="AZ463" s="1048">
        <f t="shared" si="202"/>
        <v>0</v>
      </c>
      <c r="BA463" s="1049" t="str">
        <f t="shared" si="198"/>
        <v/>
      </c>
      <c r="BB463" s="1038"/>
      <c r="BC463" s="1050">
        <f t="shared" si="203"/>
        <v>0</v>
      </c>
      <c r="BD463" s="1040" t="str">
        <f t="shared" si="199"/>
        <v/>
      </c>
      <c r="BE463" s="227" t="s">
        <v>22</v>
      </c>
      <c r="BF463" s="1019">
        <f t="shared" si="200"/>
        <v>0</v>
      </c>
      <c r="BG463" s="1020">
        <f t="shared" si="201"/>
        <v>0</v>
      </c>
      <c r="BH463"/>
      <c r="BI463" s="709"/>
      <c r="BJ463" s="709"/>
      <c r="BK463" s="709"/>
      <c r="BL463" s="709"/>
      <c r="BM463" s="709"/>
      <c r="BN463" s="709"/>
      <c r="BO463" s="709"/>
      <c r="BP463" s="709"/>
      <c r="BW463" s="959" t="str">
        <f t="shared" si="205"/>
        <v>►</v>
      </c>
      <c r="BX463" s="856"/>
      <c r="BY463" s="856"/>
      <c r="BZ463" s="856"/>
      <c r="CA463" s="856"/>
      <c r="CB463" s="856"/>
      <c r="DB463" s="3">
        <v>1</v>
      </c>
    </row>
    <row r="464" spans="12:106" ht="21" customHeight="1">
      <c r="L464" s="104" t="s">
        <v>16</v>
      </c>
      <c r="M464" s="1172"/>
      <c r="N464" s="1172"/>
      <c r="O464" s="1172"/>
      <c r="P464" s="1173"/>
      <c r="Q464" s="1174"/>
      <c r="R464" s="1175"/>
      <c r="S464" s="1176"/>
      <c r="T464" s="1177"/>
      <c r="U464" s="5248"/>
      <c r="V464" s="1177"/>
      <c r="W464" s="5249"/>
      <c r="X464" s="5208"/>
      <c r="Y464" s="5209"/>
      <c r="Z464" s="5210"/>
      <c r="AA464" s="5211"/>
      <c r="AB464" s="1178"/>
      <c r="AC464" s="1179"/>
      <c r="AD464" s="227" t="s">
        <v>22</v>
      </c>
      <c r="AE464" s="1027" t="str">
        <f t="shared" si="183"/>
        <v>►</v>
      </c>
      <c r="AF464" s="1028" t="str">
        <f t="shared" si="184"/>
        <v/>
      </c>
      <c r="AG464" s="1029" t="str">
        <f t="shared" si="185"/>
        <v/>
      </c>
      <c r="AH464" s="1028" t="str">
        <f t="shared" si="186"/>
        <v/>
      </c>
      <c r="AI464" s="1029" t="str">
        <f t="shared" si="187"/>
        <v/>
      </c>
      <c r="AJ464" s="1029">
        <f t="shared" si="188"/>
        <v>0</v>
      </c>
      <c r="AK464" s="1043" t="str" cm="1">
        <f t="array" ref="AK464">IF(AE464&lt;&gt;"A","",IFERROR((IFERROR(_xlfn.XLOOKUP(TRIM(SUBSTITUTE(U464,CHAR(160)," ")),$BI$15:$BI$62,$BL$15:$BL$62),IFERROR(_xlfn.XLOOKUP(TRIM(SUBSTITUTE(U464,CHAR(160)," ")),$BJ$15:$BJ$62,$BL$15:$BL$62),_xlfn.XLOOKUP(TRIM(SUBSTITUTE(U464,CHAR(160)," ")),$BK$15:$BK$62,$BL$15:$BL$62))))*T464*IF(ISBLANK(Q464),1,Q464)+IFERROR(_xlfn.XLOOKUP("RECHERCHEX",TRIM(L464:AC464),L464:AC464),0),0))</f>
        <v/>
      </c>
      <c r="AL464" s="1030">
        <f t="shared" si="189"/>
        <v>0</v>
      </c>
      <c r="AM464" s="5254" t="str">
        <f t="shared" si="204"/>
        <v/>
      </c>
      <c r="AN464" s="1031">
        <f t="shared" si="190"/>
        <v>0</v>
      </c>
      <c r="AO464" s="1031">
        <f t="shared" si="191"/>
        <v>0</v>
      </c>
      <c r="AP464" s="1032">
        <f t="shared" si="192"/>
        <v>0</v>
      </c>
      <c r="AQ464" s="5255" t="str">
        <f t="shared" si="193"/>
        <v/>
      </c>
      <c r="AR464" s="1056"/>
      <c r="AS464" s="1056"/>
      <c r="AT464" s="1034">
        <f t="shared" si="194"/>
        <v>0</v>
      </c>
      <c r="AU464" s="1035">
        <f t="shared" si="195"/>
        <v>0</v>
      </c>
      <c r="AV464" s="1057" cm="1">
        <f t="array" ref="AV464">IF(AJ464&lt;&gt;1,0,IF(OR(AT464="",N(AT464)&lt;=0.000000001),"",IF(OR(AN464="",N(AN464)&lt;=0.000000001),0,IF(ISNUMBER(AT464),IFERROR(_xlfn.LET(_xlpm.ai_test,TRIM(AI464),_xlpm.r,IFERROR(_xlfn.XLOOKUP(_xlpm.ai_test,$BI$15:$BI$62,ROW($BI$15:$BI$62),0,1),IFERROR(_xlfn.XLOOKUP(_xlpm.ai_test,$BJ$15:$BJ$62,ROW($BJ$15:$BJ$62),0,1),_xlfn.XLOOKUP(_xlpm.ai_test,$BK$15:$BK$62,ROW($BK$15:$BK$62),0,1))),_xlpm.p,_xlpm.r-MIN(ROW($BI$15:$BI$62))+1,_xlpm.f,INDEX($BL$15:$BL$62,_xlpm.p),_xlpm.u,INDEX($BM$15:$BM$62,_xlpm.p),_xlpm.s,INDEX($BO$15:$BO$62,_xlpm.p),_xlpm.q,N(AT464)/_xlpm.f,IF(_xlpm.q&gt;=_xlpm.s,ROUND(_xlpm.q,1)&amp;" "&amp;_xlpm.ai_test&amp;" = "&amp;ROUND(_xlpm.q*_xlpm.f,1)&amp;" "&amp;_xlpm.u,ROUND(_xlpm.q,1)&amp;" "&amp;_xlpm.ai_test)),""),""))))</f>
        <v>0</v>
      </c>
      <c r="AW464" s="1047"/>
      <c r="AX464" s="1034">
        <f t="shared" si="196"/>
        <v>0</v>
      </c>
      <c r="AY464" s="1035" t="str">
        <f t="shared" si="197"/>
        <v/>
      </c>
      <c r="AZ464" s="1036">
        <f t="shared" si="202"/>
        <v>0</v>
      </c>
      <c r="BA464" s="1037" t="str">
        <f t="shared" si="198"/>
        <v/>
      </c>
      <c r="BB464" s="1038"/>
      <c r="BC464" s="1039">
        <f t="shared" si="203"/>
        <v>0</v>
      </c>
      <c r="BD464" s="1040" t="str">
        <f t="shared" si="199"/>
        <v/>
      </c>
      <c r="BE464" s="227" t="s">
        <v>22</v>
      </c>
      <c r="BF464" s="1019">
        <f t="shared" si="200"/>
        <v>0</v>
      </c>
      <c r="BG464" s="1020">
        <f t="shared" si="201"/>
        <v>0</v>
      </c>
      <c r="BH464"/>
      <c r="BI464" s="709"/>
      <c r="BJ464" s="709"/>
      <c r="BK464" s="709"/>
      <c r="BL464" s="709"/>
      <c r="BM464" s="709"/>
      <c r="BN464" s="709"/>
      <c r="BO464" s="709"/>
      <c r="BP464" s="709"/>
      <c r="BW464" s="959" t="str">
        <f t="shared" si="205"/>
        <v>►</v>
      </c>
      <c r="BX464" s="856"/>
      <c r="BY464" s="856"/>
      <c r="BZ464" s="856"/>
      <c r="CA464" s="856"/>
      <c r="CB464" s="856"/>
      <c r="DB464" s="3">
        <v>1</v>
      </c>
    </row>
    <row r="465" spans="12:106" ht="21" customHeight="1">
      <c r="L465" s="104" t="s">
        <v>16</v>
      </c>
      <c r="M465" s="1172"/>
      <c r="N465" s="1172"/>
      <c r="O465" s="1172"/>
      <c r="P465" s="1173"/>
      <c r="Q465" s="1174"/>
      <c r="R465" s="1175"/>
      <c r="S465" s="1176"/>
      <c r="T465" s="1177"/>
      <c r="U465" s="5248"/>
      <c r="V465" s="1177"/>
      <c r="W465" s="5249"/>
      <c r="X465" s="5208"/>
      <c r="Y465" s="5209"/>
      <c r="Z465" s="5210"/>
      <c r="AA465" s="5211"/>
      <c r="AB465" s="1178"/>
      <c r="AC465" s="1179"/>
      <c r="AD465" s="227" t="s">
        <v>22</v>
      </c>
      <c r="AE465" s="1027" t="str">
        <f t="shared" si="183"/>
        <v>►</v>
      </c>
      <c r="AF465" s="1028" t="str">
        <f t="shared" si="184"/>
        <v/>
      </c>
      <c r="AG465" s="1029" t="str">
        <f t="shared" si="185"/>
        <v/>
      </c>
      <c r="AH465" s="1028" t="str">
        <f t="shared" si="186"/>
        <v/>
      </c>
      <c r="AI465" s="1029" t="str">
        <f t="shared" si="187"/>
        <v/>
      </c>
      <c r="AJ465" s="1029">
        <f t="shared" si="188"/>
        <v>0</v>
      </c>
      <c r="AK465" s="1043" t="str" cm="1">
        <f t="array" ref="AK465">IF(AE465&lt;&gt;"A","",IFERROR((IFERROR(_xlfn.XLOOKUP(TRIM(SUBSTITUTE(U465,CHAR(160)," ")),$BI$15:$BI$62,$BL$15:$BL$62),IFERROR(_xlfn.XLOOKUP(TRIM(SUBSTITUTE(U465,CHAR(160)," ")),$BJ$15:$BJ$62,$BL$15:$BL$62),_xlfn.XLOOKUP(TRIM(SUBSTITUTE(U465,CHAR(160)," ")),$BK$15:$BK$62,$BL$15:$BL$62))))*T465*IF(ISBLANK(Q465),1,Q465)+IFERROR(_xlfn.XLOOKUP("RECHERCHEX",TRIM(L465:AC465),L465:AC465),0),0))</f>
        <v/>
      </c>
      <c r="AL465" s="1030">
        <f t="shared" si="189"/>
        <v>0</v>
      </c>
      <c r="AM465" s="5254" t="str">
        <f t="shared" si="204"/>
        <v/>
      </c>
      <c r="AN465" s="1031">
        <f t="shared" si="190"/>
        <v>0</v>
      </c>
      <c r="AO465" s="1031">
        <f t="shared" si="191"/>
        <v>0</v>
      </c>
      <c r="AP465" s="1044">
        <f t="shared" si="192"/>
        <v>0</v>
      </c>
      <c r="AQ465" s="5257" t="str">
        <f t="shared" si="193"/>
        <v/>
      </c>
      <c r="AR465" s="1056"/>
      <c r="AS465" s="1056"/>
      <c r="AT465" s="1045">
        <f t="shared" si="194"/>
        <v>0</v>
      </c>
      <c r="AU465" s="1046">
        <f t="shared" si="195"/>
        <v>0</v>
      </c>
      <c r="AV465" s="1059" cm="1">
        <f t="array" ref="AV465">IF(AJ465&lt;&gt;1,0,IF(OR(AT465="",N(AT465)&lt;=0.000000001),"",IF(OR(AN465="",N(AN465)&lt;=0.000000001),0,IF(ISNUMBER(AT465),IFERROR(_xlfn.LET(_xlpm.ai_test,TRIM(AI465),_xlpm.r,IFERROR(_xlfn.XLOOKUP(_xlpm.ai_test,$BI$15:$BI$62,ROW($BI$15:$BI$62),0,1),IFERROR(_xlfn.XLOOKUP(_xlpm.ai_test,$BJ$15:$BJ$62,ROW($BJ$15:$BJ$62),0,1),_xlfn.XLOOKUP(_xlpm.ai_test,$BK$15:$BK$62,ROW($BK$15:$BK$62),0,1))),_xlpm.p,_xlpm.r-MIN(ROW($BI$15:$BI$62))+1,_xlpm.f,INDEX($BL$15:$BL$62,_xlpm.p),_xlpm.u,INDEX($BM$15:$BM$62,_xlpm.p),_xlpm.s,INDEX($BO$15:$BO$62,_xlpm.p),_xlpm.q,N(AT465)/_xlpm.f,IF(_xlpm.q&gt;=_xlpm.s,ROUND(_xlpm.q,1)&amp;" "&amp;_xlpm.ai_test&amp;" = "&amp;ROUND(_xlpm.q*_xlpm.f,1)&amp;" "&amp;_xlpm.u,ROUND(_xlpm.q,1)&amp;" "&amp;_xlpm.ai_test)),""),""))))</f>
        <v>0</v>
      </c>
      <c r="AW465" s="1047"/>
      <c r="AX465" s="1045">
        <f t="shared" si="196"/>
        <v>0</v>
      </c>
      <c r="AY465" s="1046" t="str">
        <f t="shared" si="197"/>
        <v/>
      </c>
      <c r="AZ465" s="1048">
        <f t="shared" si="202"/>
        <v>0</v>
      </c>
      <c r="BA465" s="1049" t="str">
        <f t="shared" si="198"/>
        <v/>
      </c>
      <c r="BB465" s="1038"/>
      <c r="BC465" s="1050">
        <f t="shared" si="203"/>
        <v>0</v>
      </c>
      <c r="BD465" s="1040" t="str">
        <f t="shared" si="199"/>
        <v/>
      </c>
      <c r="BE465" s="227" t="s">
        <v>22</v>
      </c>
      <c r="BF465" s="1019">
        <f t="shared" si="200"/>
        <v>0</v>
      </c>
      <c r="BG465" s="1020">
        <f t="shared" si="201"/>
        <v>0</v>
      </c>
      <c r="BH465"/>
      <c r="BI465" s="709"/>
      <c r="BJ465" s="709"/>
      <c r="BK465" s="709"/>
      <c r="BL465" s="709"/>
      <c r="BM465" s="709"/>
      <c r="BN465" s="709"/>
      <c r="BO465" s="709"/>
      <c r="BP465" s="709"/>
      <c r="BW465" s="959" t="str">
        <f t="shared" si="205"/>
        <v>►</v>
      </c>
      <c r="BX465" s="856"/>
      <c r="BY465" s="856"/>
      <c r="BZ465" s="856"/>
      <c r="CA465" s="856"/>
      <c r="CB465" s="856"/>
      <c r="DB465" s="3">
        <v>1</v>
      </c>
    </row>
    <row r="466" spans="12:106" ht="21" customHeight="1">
      <c r="L466" s="104" t="s">
        <v>16</v>
      </c>
      <c r="M466" s="1172"/>
      <c r="N466" s="1172"/>
      <c r="O466" s="1172"/>
      <c r="P466" s="1173"/>
      <c r="Q466" s="1174"/>
      <c r="R466" s="1175"/>
      <c r="S466" s="1176"/>
      <c r="T466" s="1177"/>
      <c r="U466" s="5248"/>
      <c r="V466" s="1177"/>
      <c r="W466" s="5249"/>
      <c r="X466" s="5208"/>
      <c r="Y466" s="5209"/>
      <c r="Z466" s="5210"/>
      <c r="AA466" s="5211"/>
      <c r="AB466" s="1178"/>
      <c r="AC466" s="1179"/>
      <c r="AD466" s="227" t="s">
        <v>22</v>
      </c>
      <c r="AE466" s="1027" t="str">
        <f t="shared" si="183"/>
        <v>►</v>
      </c>
      <c r="AF466" s="1028" t="str">
        <f t="shared" si="184"/>
        <v/>
      </c>
      <c r="AG466" s="1029" t="str">
        <f t="shared" si="185"/>
        <v/>
      </c>
      <c r="AH466" s="1028" t="str">
        <f t="shared" si="186"/>
        <v/>
      </c>
      <c r="AI466" s="1029" t="str">
        <f t="shared" si="187"/>
        <v/>
      </c>
      <c r="AJ466" s="1029">
        <f t="shared" si="188"/>
        <v>0</v>
      </c>
      <c r="AK466" s="1043" t="str" cm="1">
        <f t="array" ref="AK466">IF(AE466&lt;&gt;"A","",IFERROR((IFERROR(_xlfn.XLOOKUP(TRIM(SUBSTITUTE(U466,CHAR(160)," ")),$BI$15:$BI$62,$BL$15:$BL$62),IFERROR(_xlfn.XLOOKUP(TRIM(SUBSTITUTE(U466,CHAR(160)," ")),$BJ$15:$BJ$62,$BL$15:$BL$62),_xlfn.XLOOKUP(TRIM(SUBSTITUTE(U466,CHAR(160)," ")),$BK$15:$BK$62,$BL$15:$BL$62))))*T466*IF(ISBLANK(Q466),1,Q466)+IFERROR(_xlfn.XLOOKUP("RECHERCHEX",TRIM(L466:AC466),L466:AC466),0),0))</f>
        <v/>
      </c>
      <c r="AL466" s="1030">
        <f t="shared" si="189"/>
        <v>0</v>
      </c>
      <c r="AM466" s="5254" t="str">
        <f t="shared" si="204"/>
        <v/>
      </c>
      <c r="AN466" s="1031">
        <f t="shared" si="190"/>
        <v>0</v>
      </c>
      <c r="AO466" s="1031">
        <f t="shared" si="191"/>
        <v>0</v>
      </c>
      <c r="AP466" s="1032">
        <f t="shared" si="192"/>
        <v>0</v>
      </c>
      <c r="AQ466" s="5255" t="str">
        <f t="shared" si="193"/>
        <v/>
      </c>
      <c r="AR466" s="1056"/>
      <c r="AS466" s="1056"/>
      <c r="AT466" s="1034">
        <f t="shared" si="194"/>
        <v>0</v>
      </c>
      <c r="AU466" s="1035">
        <f t="shared" si="195"/>
        <v>0</v>
      </c>
      <c r="AV466" s="1057" cm="1">
        <f t="array" ref="AV466">IF(AJ466&lt;&gt;1,0,IF(OR(AT466="",N(AT466)&lt;=0.000000001),"",IF(OR(AN466="",N(AN466)&lt;=0.000000001),0,IF(ISNUMBER(AT466),IFERROR(_xlfn.LET(_xlpm.ai_test,TRIM(AI466),_xlpm.r,IFERROR(_xlfn.XLOOKUP(_xlpm.ai_test,$BI$15:$BI$62,ROW($BI$15:$BI$62),0,1),IFERROR(_xlfn.XLOOKUP(_xlpm.ai_test,$BJ$15:$BJ$62,ROW($BJ$15:$BJ$62),0,1),_xlfn.XLOOKUP(_xlpm.ai_test,$BK$15:$BK$62,ROW($BK$15:$BK$62),0,1))),_xlpm.p,_xlpm.r-MIN(ROW($BI$15:$BI$62))+1,_xlpm.f,INDEX($BL$15:$BL$62,_xlpm.p),_xlpm.u,INDEX($BM$15:$BM$62,_xlpm.p),_xlpm.s,INDEX($BO$15:$BO$62,_xlpm.p),_xlpm.q,N(AT466)/_xlpm.f,IF(_xlpm.q&gt;=_xlpm.s,ROUND(_xlpm.q,1)&amp;" "&amp;_xlpm.ai_test&amp;" = "&amp;ROUND(_xlpm.q*_xlpm.f,1)&amp;" "&amp;_xlpm.u,ROUND(_xlpm.q,1)&amp;" "&amp;_xlpm.ai_test)),""),""))))</f>
        <v>0</v>
      </c>
      <c r="AW466" s="1047"/>
      <c r="AX466" s="1034">
        <f t="shared" si="196"/>
        <v>0</v>
      </c>
      <c r="AY466" s="1035" t="str">
        <f t="shared" si="197"/>
        <v/>
      </c>
      <c r="AZ466" s="1036">
        <f t="shared" si="202"/>
        <v>0</v>
      </c>
      <c r="BA466" s="1037" t="str">
        <f t="shared" si="198"/>
        <v/>
      </c>
      <c r="BB466" s="1038"/>
      <c r="BC466" s="1039">
        <f t="shared" si="203"/>
        <v>0</v>
      </c>
      <c r="BD466" s="1040" t="str">
        <f t="shared" si="199"/>
        <v/>
      </c>
      <c r="BE466" s="227" t="s">
        <v>22</v>
      </c>
      <c r="BF466" s="1019">
        <f t="shared" si="200"/>
        <v>0</v>
      </c>
      <c r="BG466" s="1020">
        <f t="shared" si="201"/>
        <v>0</v>
      </c>
      <c r="BH466"/>
      <c r="BI466" s="709"/>
      <c r="BJ466" s="709"/>
      <c r="BK466" s="709"/>
      <c r="BL466" s="709"/>
      <c r="BM466" s="709"/>
      <c r="BN466" s="709"/>
      <c r="BO466" s="709"/>
      <c r="BP466" s="709"/>
      <c r="BW466" s="959" t="str">
        <f t="shared" si="205"/>
        <v>►</v>
      </c>
      <c r="BX466" s="856"/>
      <c r="BY466" s="856"/>
      <c r="BZ466" s="856"/>
      <c r="CA466" s="856"/>
      <c r="CB466" s="856"/>
      <c r="DB466" s="3">
        <v>1</v>
      </c>
    </row>
    <row r="467" spans="12:106" ht="21" customHeight="1">
      <c r="L467" s="104" t="s">
        <v>16</v>
      </c>
      <c r="M467" s="1172"/>
      <c r="N467" s="1172"/>
      <c r="O467" s="1172"/>
      <c r="P467" s="1173"/>
      <c r="Q467" s="1174"/>
      <c r="R467" s="1175"/>
      <c r="S467" s="1176"/>
      <c r="T467" s="1177"/>
      <c r="U467" s="5248"/>
      <c r="V467" s="1177"/>
      <c r="W467" s="5249"/>
      <c r="X467" s="5208"/>
      <c r="Y467" s="5209"/>
      <c r="Z467" s="5210"/>
      <c r="AA467" s="5211"/>
      <c r="AB467" s="1178"/>
      <c r="AC467" s="1179"/>
      <c r="AD467" s="227" t="s">
        <v>22</v>
      </c>
      <c r="AE467" s="1027" t="str">
        <f t="shared" si="183"/>
        <v>►</v>
      </c>
      <c r="AF467" s="1028" t="str">
        <f t="shared" si="184"/>
        <v/>
      </c>
      <c r="AG467" s="1029" t="str">
        <f t="shared" si="185"/>
        <v/>
      </c>
      <c r="AH467" s="1028" t="str">
        <f t="shared" si="186"/>
        <v/>
      </c>
      <c r="AI467" s="1029" t="str">
        <f t="shared" si="187"/>
        <v/>
      </c>
      <c r="AJ467" s="1029">
        <f t="shared" si="188"/>
        <v>0</v>
      </c>
      <c r="AK467" s="1043" t="str" cm="1">
        <f t="array" ref="AK467">IF(AE467&lt;&gt;"A","",IFERROR((IFERROR(_xlfn.XLOOKUP(TRIM(SUBSTITUTE(U467,CHAR(160)," ")),$BI$15:$BI$62,$BL$15:$BL$62),IFERROR(_xlfn.XLOOKUP(TRIM(SUBSTITUTE(U467,CHAR(160)," ")),$BJ$15:$BJ$62,$BL$15:$BL$62),_xlfn.XLOOKUP(TRIM(SUBSTITUTE(U467,CHAR(160)," ")),$BK$15:$BK$62,$BL$15:$BL$62))))*T467*IF(ISBLANK(Q467),1,Q467)+IFERROR(_xlfn.XLOOKUP("RECHERCHEX",TRIM(L467:AC467),L467:AC467),0),0))</f>
        <v/>
      </c>
      <c r="AL467" s="1030">
        <f t="shared" si="189"/>
        <v>0</v>
      </c>
      <c r="AM467" s="5254" t="str">
        <f t="shared" si="204"/>
        <v/>
      </c>
      <c r="AN467" s="1031">
        <f t="shared" si="190"/>
        <v>0</v>
      </c>
      <c r="AO467" s="1031">
        <f t="shared" si="191"/>
        <v>0</v>
      </c>
      <c r="AP467" s="1044">
        <f t="shared" si="192"/>
        <v>0</v>
      </c>
      <c r="AQ467" s="5257" t="str">
        <f t="shared" si="193"/>
        <v/>
      </c>
      <c r="AR467" s="1056"/>
      <c r="AS467" s="1056"/>
      <c r="AT467" s="1045">
        <f t="shared" si="194"/>
        <v>0</v>
      </c>
      <c r="AU467" s="1046">
        <f t="shared" si="195"/>
        <v>0</v>
      </c>
      <c r="AV467" s="1059" cm="1">
        <f t="array" ref="AV467">IF(AJ467&lt;&gt;1,0,IF(OR(AT467="",N(AT467)&lt;=0.000000001),"",IF(OR(AN467="",N(AN467)&lt;=0.000000001),0,IF(ISNUMBER(AT467),IFERROR(_xlfn.LET(_xlpm.ai_test,TRIM(AI467),_xlpm.r,IFERROR(_xlfn.XLOOKUP(_xlpm.ai_test,$BI$15:$BI$62,ROW($BI$15:$BI$62),0,1),IFERROR(_xlfn.XLOOKUP(_xlpm.ai_test,$BJ$15:$BJ$62,ROW($BJ$15:$BJ$62),0,1),_xlfn.XLOOKUP(_xlpm.ai_test,$BK$15:$BK$62,ROW($BK$15:$BK$62),0,1))),_xlpm.p,_xlpm.r-MIN(ROW($BI$15:$BI$62))+1,_xlpm.f,INDEX($BL$15:$BL$62,_xlpm.p),_xlpm.u,INDEX($BM$15:$BM$62,_xlpm.p),_xlpm.s,INDEX($BO$15:$BO$62,_xlpm.p),_xlpm.q,N(AT467)/_xlpm.f,IF(_xlpm.q&gt;=_xlpm.s,ROUND(_xlpm.q,1)&amp;" "&amp;_xlpm.ai_test&amp;" = "&amp;ROUND(_xlpm.q*_xlpm.f,1)&amp;" "&amp;_xlpm.u,ROUND(_xlpm.q,1)&amp;" "&amp;_xlpm.ai_test)),""),""))))</f>
        <v>0</v>
      </c>
      <c r="AW467" s="1047"/>
      <c r="AX467" s="1045">
        <f t="shared" si="196"/>
        <v>0</v>
      </c>
      <c r="AY467" s="1046" t="str">
        <f t="shared" si="197"/>
        <v/>
      </c>
      <c r="AZ467" s="1048">
        <f t="shared" si="202"/>
        <v>0</v>
      </c>
      <c r="BA467" s="1049" t="str">
        <f t="shared" si="198"/>
        <v/>
      </c>
      <c r="BB467" s="1038"/>
      <c r="BC467" s="1050">
        <f t="shared" si="203"/>
        <v>0</v>
      </c>
      <c r="BD467" s="1040" t="str">
        <f t="shared" si="199"/>
        <v/>
      </c>
      <c r="BE467" s="227" t="s">
        <v>22</v>
      </c>
      <c r="BF467" s="1019">
        <f t="shared" si="200"/>
        <v>0</v>
      </c>
      <c r="BG467" s="1020">
        <f t="shared" si="201"/>
        <v>0</v>
      </c>
      <c r="BH467"/>
      <c r="BI467" s="709"/>
      <c r="BJ467" s="709"/>
      <c r="BK467" s="709"/>
      <c r="BL467" s="709"/>
      <c r="BM467" s="709"/>
      <c r="BN467" s="709"/>
      <c r="BO467" s="709"/>
      <c r="BP467" s="709"/>
      <c r="BW467" s="959" t="str">
        <f t="shared" si="205"/>
        <v>►</v>
      </c>
      <c r="BX467" s="856"/>
      <c r="BY467" s="856"/>
      <c r="BZ467" s="856"/>
      <c r="CA467" s="856"/>
      <c r="CB467" s="856"/>
      <c r="DB467" s="3">
        <v>1</v>
      </c>
    </row>
    <row r="468" spans="12:106" ht="21" customHeight="1">
      <c r="L468" s="104" t="s">
        <v>16</v>
      </c>
      <c r="M468" s="1172"/>
      <c r="N468" s="1172"/>
      <c r="O468" s="1172"/>
      <c r="P468" s="1173"/>
      <c r="Q468" s="1174"/>
      <c r="R468" s="1175"/>
      <c r="S468" s="1176"/>
      <c r="T468" s="1177"/>
      <c r="U468" s="5248"/>
      <c r="V468" s="1177"/>
      <c r="W468" s="5249"/>
      <c r="X468" s="5208"/>
      <c r="Y468" s="5209"/>
      <c r="Z468" s="5210"/>
      <c r="AA468" s="5211"/>
      <c r="AB468" s="1178"/>
      <c r="AC468" s="1179"/>
      <c r="AD468" s="227" t="s">
        <v>22</v>
      </c>
      <c r="AE468" s="1027" t="str">
        <f t="shared" si="183"/>
        <v>►</v>
      </c>
      <c r="AF468" s="1028" t="str">
        <f t="shared" si="184"/>
        <v/>
      </c>
      <c r="AG468" s="1029" t="str">
        <f t="shared" si="185"/>
        <v/>
      </c>
      <c r="AH468" s="1028" t="str">
        <f t="shared" si="186"/>
        <v/>
      </c>
      <c r="AI468" s="1029" t="str">
        <f t="shared" si="187"/>
        <v/>
      </c>
      <c r="AJ468" s="1029">
        <f t="shared" si="188"/>
        <v>0</v>
      </c>
      <c r="AK468" s="1043" t="str" cm="1">
        <f t="array" ref="AK468">IF(AE468&lt;&gt;"A","",IFERROR((IFERROR(_xlfn.XLOOKUP(TRIM(SUBSTITUTE(U468,CHAR(160)," ")),$BI$15:$BI$62,$BL$15:$BL$62),IFERROR(_xlfn.XLOOKUP(TRIM(SUBSTITUTE(U468,CHAR(160)," ")),$BJ$15:$BJ$62,$BL$15:$BL$62),_xlfn.XLOOKUP(TRIM(SUBSTITUTE(U468,CHAR(160)," ")),$BK$15:$BK$62,$BL$15:$BL$62))))*T468*IF(ISBLANK(Q468),1,Q468)+IFERROR(_xlfn.XLOOKUP("RECHERCHEX",TRIM(L468:AC468),L468:AC468),0),0))</f>
        <v/>
      </c>
      <c r="AL468" s="1030">
        <f t="shared" si="189"/>
        <v>0</v>
      </c>
      <c r="AM468" s="5254" t="str">
        <f t="shared" si="204"/>
        <v/>
      </c>
      <c r="AN468" s="1031">
        <f t="shared" si="190"/>
        <v>0</v>
      </c>
      <c r="AO468" s="1031">
        <f t="shared" si="191"/>
        <v>0</v>
      </c>
      <c r="AP468" s="1032">
        <f t="shared" si="192"/>
        <v>0</v>
      </c>
      <c r="AQ468" s="5255" t="str">
        <f t="shared" si="193"/>
        <v/>
      </c>
      <c r="AR468" s="1056"/>
      <c r="AS468" s="1056"/>
      <c r="AT468" s="1034">
        <f t="shared" si="194"/>
        <v>0</v>
      </c>
      <c r="AU468" s="1035">
        <f t="shared" si="195"/>
        <v>0</v>
      </c>
      <c r="AV468" s="1057" cm="1">
        <f t="array" ref="AV468">IF(AJ468&lt;&gt;1,0,IF(OR(AT468="",N(AT468)&lt;=0.000000001),"",IF(OR(AN468="",N(AN468)&lt;=0.000000001),0,IF(ISNUMBER(AT468),IFERROR(_xlfn.LET(_xlpm.ai_test,TRIM(AI468),_xlpm.r,IFERROR(_xlfn.XLOOKUP(_xlpm.ai_test,$BI$15:$BI$62,ROW($BI$15:$BI$62),0,1),IFERROR(_xlfn.XLOOKUP(_xlpm.ai_test,$BJ$15:$BJ$62,ROW($BJ$15:$BJ$62),0,1),_xlfn.XLOOKUP(_xlpm.ai_test,$BK$15:$BK$62,ROW($BK$15:$BK$62),0,1))),_xlpm.p,_xlpm.r-MIN(ROW($BI$15:$BI$62))+1,_xlpm.f,INDEX($BL$15:$BL$62,_xlpm.p),_xlpm.u,INDEX($BM$15:$BM$62,_xlpm.p),_xlpm.s,INDEX($BO$15:$BO$62,_xlpm.p),_xlpm.q,N(AT468)/_xlpm.f,IF(_xlpm.q&gt;=_xlpm.s,ROUND(_xlpm.q,1)&amp;" "&amp;_xlpm.ai_test&amp;" = "&amp;ROUND(_xlpm.q*_xlpm.f,1)&amp;" "&amp;_xlpm.u,ROUND(_xlpm.q,1)&amp;" "&amp;_xlpm.ai_test)),""),""))))</f>
        <v>0</v>
      </c>
      <c r="AW468" s="1047"/>
      <c r="AX468" s="1034">
        <f t="shared" si="196"/>
        <v>0</v>
      </c>
      <c r="AY468" s="1035" t="str">
        <f t="shared" si="197"/>
        <v/>
      </c>
      <c r="AZ468" s="1036">
        <f t="shared" si="202"/>
        <v>0</v>
      </c>
      <c r="BA468" s="1037" t="str">
        <f t="shared" si="198"/>
        <v/>
      </c>
      <c r="BB468" s="1038"/>
      <c r="BC468" s="1039">
        <f t="shared" si="203"/>
        <v>0</v>
      </c>
      <c r="BD468" s="1040" t="str">
        <f t="shared" si="199"/>
        <v/>
      </c>
      <c r="BE468" s="227" t="s">
        <v>22</v>
      </c>
      <c r="BF468" s="1019">
        <f t="shared" si="200"/>
        <v>0</v>
      </c>
      <c r="BG468" s="1020">
        <f t="shared" si="201"/>
        <v>0</v>
      </c>
      <c r="BH468"/>
      <c r="BI468" s="709"/>
      <c r="BJ468" s="709"/>
      <c r="BK468" s="709"/>
      <c r="BL468" s="709"/>
      <c r="BM468" s="709"/>
      <c r="BN468" s="709"/>
      <c r="BO468" s="709"/>
      <c r="BP468" s="709"/>
      <c r="BW468" s="959" t="str">
        <f t="shared" si="205"/>
        <v>►</v>
      </c>
      <c r="BX468" s="856"/>
      <c r="BY468" s="856"/>
      <c r="BZ468" s="856"/>
      <c r="CA468" s="856"/>
      <c r="CB468" s="856"/>
      <c r="DB468" s="3">
        <v>1</v>
      </c>
    </row>
    <row r="469" spans="12:106" ht="21" customHeight="1">
      <c r="L469" s="104" t="s">
        <v>16</v>
      </c>
      <c r="M469" s="1172"/>
      <c r="N469" s="1172"/>
      <c r="O469" s="1172"/>
      <c r="P469" s="1173"/>
      <c r="Q469" s="1174"/>
      <c r="R469" s="1175"/>
      <c r="S469" s="1176"/>
      <c r="T469" s="1177"/>
      <c r="U469" s="5248"/>
      <c r="V469" s="1177"/>
      <c r="W469" s="5249"/>
      <c r="X469" s="5208"/>
      <c r="Y469" s="5209"/>
      <c r="Z469" s="5210"/>
      <c r="AA469" s="5211"/>
      <c r="AB469" s="1178"/>
      <c r="AC469" s="1179"/>
      <c r="AD469" s="227" t="s">
        <v>22</v>
      </c>
      <c r="AE469" s="1027" t="str">
        <f t="shared" si="183"/>
        <v>►</v>
      </c>
      <c r="AF469" s="1028" t="str">
        <f t="shared" si="184"/>
        <v/>
      </c>
      <c r="AG469" s="1029" t="str">
        <f t="shared" si="185"/>
        <v/>
      </c>
      <c r="AH469" s="1028" t="str">
        <f t="shared" si="186"/>
        <v/>
      </c>
      <c r="AI469" s="1029" t="str">
        <f t="shared" si="187"/>
        <v/>
      </c>
      <c r="AJ469" s="1029">
        <f t="shared" si="188"/>
        <v>0</v>
      </c>
      <c r="AK469" s="1043" t="str" cm="1">
        <f t="array" ref="AK469">IF(AE469&lt;&gt;"A","",IFERROR((IFERROR(_xlfn.XLOOKUP(TRIM(SUBSTITUTE(U469,CHAR(160)," ")),$BI$15:$BI$62,$BL$15:$BL$62),IFERROR(_xlfn.XLOOKUP(TRIM(SUBSTITUTE(U469,CHAR(160)," ")),$BJ$15:$BJ$62,$BL$15:$BL$62),_xlfn.XLOOKUP(TRIM(SUBSTITUTE(U469,CHAR(160)," ")),$BK$15:$BK$62,$BL$15:$BL$62))))*T469*IF(ISBLANK(Q469),1,Q469)+IFERROR(_xlfn.XLOOKUP("RECHERCHEX",TRIM(L469:AC469),L469:AC469),0),0))</f>
        <v/>
      </c>
      <c r="AL469" s="1030">
        <f t="shared" si="189"/>
        <v>0</v>
      </c>
      <c r="AM469" s="5254" t="str">
        <f t="shared" si="204"/>
        <v/>
      </c>
      <c r="AN469" s="1031">
        <f t="shared" si="190"/>
        <v>0</v>
      </c>
      <c r="AO469" s="1031">
        <f t="shared" si="191"/>
        <v>0</v>
      </c>
      <c r="AP469" s="1044">
        <f t="shared" si="192"/>
        <v>0</v>
      </c>
      <c r="AQ469" s="5257" t="str">
        <f t="shared" si="193"/>
        <v/>
      </c>
      <c r="AR469" s="1056"/>
      <c r="AS469" s="1056"/>
      <c r="AT469" s="1045">
        <f t="shared" si="194"/>
        <v>0</v>
      </c>
      <c r="AU469" s="1046">
        <f t="shared" si="195"/>
        <v>0</v>
      </c>
      <c r="AV469" s="1059" cm="1">
        <f t="array" ref="AV469">IF(AJ469&lt;&gt;1,0,IF(OR(AT469="",N(AT469)&lt;=0.000000001),"",IF(OR(AN469="",N(AN469)&lt;=0.000000001),0,IF(ISNUMBER(AT469),IFERROR(_xlfn.LET(_xlpm.ai_test,TRIM(AI469),_xlpm.r,IFERROR(_xlfn.XLOOKUP(_xlpm.ai_test,$BI$15:$BI$62,ROW($BI$15:$BI$62),0,1),IFERROR(_xlfn.XLOOKUP(_xlpm.ai_test,$BJ$15:$BJ$62,ROW($BJ$15:$BJ$62),0,1),_xlfn.XLOOKUP(_xlpm.ai_test,$BK$15:$BK$62,ROW($BK$15:$BK$62),0,1))),_xlpm.p,_xlpm.r-MIN(ROW($BI$15:$BI$62))+1,_xlpm.f,INDEX($BL$15:$BL$62,_xlpm.p),_xlpm.u,INDEX($BM$15:$BM$62,_xlpm.p),_xlpm.s,INDEX($BO$15:$BO$62,_xlpm.p),_xlpm.q,N(AT469)/_xlpm.f,IF(_xlpm.q&gt;=_xlpm.s,ROUND(_xlpm.q,1)&amp;" "&amp;_xlpm.ai_test&amp;" = "&amp;ROUND(_xlpm.q*_xlpm.f,1)&amp;" "&amp;_xlpm.u,ROUND(_xlpm.q,1)&amp;" "&amp;_xlpm.ai_test)),""),""))))</f>
        <v>0</v>
      </c>
      <c r="AW469" s="1047"/>
      <c r="AX469" s="1045">
        <f t="shared" si="196"/>
        <v>0</v>
      </c>
      <c r="AY469" s="1046" t="str">
        <f t="shared" si="197"/>
        <v/>
      </c>
      <c r="AZ469" s="1048">
        <f t="shared" si="202"/>
        <v>0</v>
      </c>
      <c r="BA469" s="1049" t="str">
        <f t="shared" si="198"/>
        <v/>
      </c>
      <c r="BB469" s="1038"/>
      <c r="BC469" s="1050">
        <f t="shared" si="203"/>
        <v>0</v>
      </c>
      <c r="BD469" s="1040" t="str">
        <f t="shared" si="199"/>
        <v/>
      </c>
      <c r="BE469" s="227" t="s">
        <v>22</v>
      </c>
      <c r="BF469" s="1019">
        <f t="shared" si="200"/>
        <v>0</v>
      </c>
      <c r="BG469" s="1020">
        <f t="shared" si="201"/>
        <v>0</v>
      </c>
      <c r="BH469"/>
      <c r="BI469" s="709"/>
      <c r="BJ469" s="709"/>
      <c r="BK469" s="709"/>
      <c r="BL469" s="709"/>
      <c r="BM469" s="709"/>
      <c r="BN469" s="709"/>
      <c r="BO469" s="709"/>
      <c r="BP469" s="709"/>
      <c r="BW469" s="959" t="str">
        <f t="shared" si="205"/>
        <v>►</v>
      </c>
      <c r="BX469" s="856"/>
      <c r="BY469" s="856"/>
      <c r="BZ469" s="856"/>
      <c r="CA469" s="856"/>
      <c r="CB469" s="856"/>
      <c r="DB469" s="3">
        <v>1</v>
      </c>
    </row>
    <row r="470" spans="12:106" ht="21" customHeight="1">
      <c r="L470" s="104" t="s">
        <v>16</v>
      </c>
      <c r="M470" s="1172"/>
      <c r="N470" s="1172"/>
      <c r="O470" s="1172"/>
      <c r="P470" s="1173"/>
      <c r="Q470" s="1174"/>
      <c r="R470" s="1175"/>
      <c r="S470" s="1176"/>
      <c r="T470" s="1177"/>
      <c r="U470" s="5248"/>
      <c r="V470" s="1177"/>
      <c r="W470" s="5249"/>
      <c r="X470" s="5208"/>
      <c r="Y470" s="5209"/>
      <c r="Z470" s="5210"/>
      <c r="AA470" s="5211"/>
      <c r="AB470" s="1178"/>
      <c r="AC470" s="1179"/>
      <c r="AD470" s="227" t="s">
        <v>22</v>
      </c>
      <c r="AE470" s="1027" t="str">
        <f t="shared" ref="AE470:AE533" si="206">IF(OR(AN470&gt;0,TRIM(AF470)="▼ recette suivante"),"A","►")</f>
        <v>►</v>
      </c>
      <c r="AF470" s="1028" t="str">
        <f t="shared" ref="AF470:AF533" si="207">IF(TRIM(Q470)="Adresse PC","▼ recette suivante",IF(AN470&gt;0,M470,""))</f>
        <v/>
      </c>
      <c r="AG470" s="1029" t="str">
        <f t="shared" ref="AG470:AG533" si="208">IF(AE470="A",N470,"")</f>
        <v/>
      </c>
      <c r="AH470" s="1028" t="str">
        <f t="shared" ref="AH470:AH533" si="209">IF(AE470="A",O470,"")</f>
        <v/>
      </c>
      <c r="AI470" s="1029" t="str">
        <f t="shared" ref="AI470:AI533" si="210">IF(AE470="A",U470,"")</f>
        <v/>
      </c>
      <c r="AJ470" s="1029">
        <f t="shared" ref="AJ470:AJ533" si="211">IF(AND(L470="A",COUNTIF($BI$15:$BK$62,TRIM(U470))&gt;0),1,0)</f>
        <v>0</v>
      </c>
      <c r="AK470" s="1043" t="str" cm="1">
        <f t="array" ref="AK470">IF(AE470&lt;&gt;"A","",IFERROR((IFERROR(_xlfn.XLOOKUP(TRIM(SUBSTITUTE(U470,CHAR(160)," ")),$BI$15:$BI$62,$BL$15:$BL$62),IFERROR(_xlfn.XLOOKUP(TRIM(SUBSTITUTE(U470,CHAR(160)," ")),$BJ$15:$BJ$62,$BL$15:$BL$62),_xlfn.XLOOKUP(TRIM(SUBSTITUTE(U470,CHAR(160)," ")),$BK$15:$BK$62,$BL$15:$BL$62))))*T470*IF(ISBLANK(Q470),1,Q470)+IFERROR(_xlfn.XLOOKUP("RECHERCHEX",TRIM(L470:AC470),L470:AC470),0),0))</f>
        <v/>
      </c>
      <c r="AL470" s="1030">
        <f t="shared" ref="AL470:AL533" si="212">IF(AJ470,IF(AK470&gt;0,"Kg",0),0)</f>
        <v>0</v>
      </c>
      <c r="AM470" s="5254" t="str">
        <f t="shared" si="204"/>
        <v/>
      </c>
      <c r="AN470" s="1031">
        <f t="shared" ref="AN470:AN533" si="213">IF(AJ470,N470,0)</f>
        <v>0</v>
      </c>
      <c r="AO470" s="1031">
        <f t="shared" ref="AO470:AO533" si="214">IF(AJ470,O470,0)</f>
        <v>0</v>
      </c>
      <c r="AP470" s="1032">
        <f t="shared" ref="AP470:AP533" si="215">IF(AN470&gt;0,AR$9,0)</f>
        <v>0</v>
      </c>
      <c r="AQ470" s="5255" t="str">
        <f t="shared" ref="AQ470:AQ533" si="216">IF(TRIM(AF470)="▼ recette suivante", AF470, IF(AP470&gt;0, IF(AS$9&lt;&gt;"", AS$9&amp;"-ou.or.o ❾ + or - &gt;", ""), ""))</f>
        <v/>
      </c>
      <c r="AR470" s="1056"/>
      <c r="AS470" s="1056"/>
      <c r="AT470" s="1034">
        <f t="shared" ref="AT470:AT533" si="217">IF(TRIM(AL470)="Kg",N(AK470)*N(BG470),0)</f>
        <v>0</v>
      </c>
      <c r="AU470" s="1035">
        <f t="shared" ref="AU470:AU533" si="218">IF(AJ470,IF(OR(AT470="",N(AT470)&lt;=0.000000001),"",_xlfn.XLOOKUP(AI470,$BI$15:$BI$62,$BM$15:$BM$62,_xlfn.XLOOKUP(AI470,$BJ$15:$BJ$62,$BM$15:$BM$62,_xlfn.XLOOKUP(AI470,$BK$15:$BK$62,$BM$15:$BM$62,"")))),0)</f>
        <v>0</v>
      </c>
      <c r="AV470" s="1057" cm="1">
        <f t="array" ref="AV470">IF(AJ470&lt;&gt;1,0,IF(OR(AT470="",N(AT470)&lt;=0.000000001),"",IF(OR(AN470="",N(AN470)&lt;=0.000000001),0,IF(ISNUMBER(AT470),IFERROR(_xlfn.LET(_xlpm.ai_test,TRIM(AI470),_xlpm.r,IFERROR(_xlfn.XLOOKUP(_xlpm.ai_test,$BI$15:$BI$62,ROW($BI$15:$BI$62),0,1),IFERROR(_xlfn.XLOOKUP(_xlpm.ai_test,$BJ$15:$BJ$62,ROW($BJ$15:$BJ$62),0,1),_xlfn.XLOOKUP(_xlpm.ai_test,$BK$15:$BK$62,ROW($BK$15:$BK$62),0,1))),_xlpm.p,_xlpm.r-MIN(ROW($BI$15:$BI$62))+1,_xlpm.f,INDEX($BL$15:$BL$62,_xlpm.p),_xlpm.u,INDEX($BM$15:$BM$62,_xlpm.p),_xlpm.s,INDEX($BO$15:$BO$62,_xlpm.p),_xlpm.q,N(AT470)/_xlpm.f,IF(_xlpm.q&gt;=_xlpm.s,ROUND(_xlpm.q,1)&amp;" "&amp;_xlpm.ai_test&amp;" = "&amp;ROUND(_xlpm.q*_xlpm.f,1)&amp;" "&amp;_xlpm.u,ROUND(_xlpm.q,1)&amp;" "&amp;_xlpm.ai_test)),""),""))))</f>
        <v>0</v>
      </c>
      <c r="AW470" s="1047"/>
      <c r="AX470" s="1034">
        <f t="shared" ref="AX470:AX533" si="219">IF(TRIM(AF470)="▼ recette suivante","▼next recipe ",IF(AT470="","",IF(ISBLANK(AW470),AT470,ROUND(AT470*(1-MIN(1,MAX(0,IF(AW470&gt;1,AW470/100,AW470)))),3))))</f>
        <v>0</v>
      </c>
      <c r="AY470" s="1035" t="str">
        <f t="shared" ref="AY470:AY533" si="220">IF(AJ470,AU470,"")</f>
        <v/>
      </c>
      <c r="AZ470" s="1036">
        <f t="shared" si="202"/>
        <v>0</v>
      </c>
      <c r="BA470" s="1037" t="str">
        <f t="shared" ref="BA470:BA533" si="221">IF(AJ470,IF(N(AZ470)&gt;0.000000001,R470,""),"")</f>
        <v/>
      </c>
      <c r="BB470" s="1038"/>
      <c r="BC470" s="1039">
        <f t="shared" si="203"/>
        <v>0</v>
      </c>
      <c r="BD470" s="1040" t="str">
        <f t="shared" ref="BD470:BD533" si="222">IF(IFERROR(SEARCH("Adresse PC",TRIM(Q470)),0)&gt;0,"▼ receta siguiente",IF(AX470&gt;0,W470,""))</f>
        <v/>
      </c>
      <c r="BE470" s="227" t="s">
        <v>22</v>
      </c>
      <c r="BF470" s="1019">
        <f t="shared" ref="BF470:BF533" si="223">IFERROR(_xlfn.LET(_xlpm.EPS,0.000000001,_xlpm.b,Q470/AN470,IF(ISNUMBER(AR470),_xlpm.b*AR470,IF(OR(ISBLANK(AR470),AR470=""),_xlpm.b*AP470,IF(AND(BG470=0,ISNUMBER(Q470)),_xlpm.b/AP470,0)))),0)</f>
        <v>0</v>
      </c>
      <c r="BG470" s="1020">
        <f t="shared" ref="BG470:BG533" si="224">IF(AK470&gt;0,IFERROR(IF(OR(ISBLANK(AR470),AR470=""),AP470,AR470)/AN470,0),0)</f>
        <v>0</v>
      </c>
      <c r="BH470"/>
      <c r="BI470" s="709"/>
      <c r="BJ470" s="709"/>
      <c r="BK470" s="709"/>
      <c r="BL470" s="709"/>
      <c r="BM470" s="709"/>
      <c r="BN470" s="709"/>
      <c r="BO470" s="709"/>
      <c r="BP470" s="709"/>
      <c r="BW470" s="959" t="str">
        <f t="shared" si="205"/>
        <v>►</v>
      </c>
      <c r="BX470" s="856"/>
      <c r="BY470" s="856"/>
      <c r="BZ470" s="856"/>
      <c r="CA470" s="856"/>
      <c r="CB470" s="856"/>
      <c r="DB470" s="3">
        <v>1</v>
      </c>
    </row>
    <row r="471" spans="12:106" ht="21" customHeight="1">
      <c r="L471" s="104" t="s">
        <v>16</v>
      </c>
      <c r="M471" s="1172"/>
      <c r="N471" s="1172"/>
      <c r="O471" s="1172"/>
      <c r="P471" s="1173"/>
      <c r="Q471" s="1174"/>
      <c r="R471" s="1175"/>
      <c r="S471" s="1176"/>
      <c r="T471" s="1177"/>
      <c r="U471" s="5248"/>
      <c r="V471" s="1177"/>
      <c r="W471" s="5249"/>
      <c r="X471" s="5208"/>
      <c r="Y471" s="5209"/>
      <c r="Z471" s="5210"/>
      <c r="AA471" s="5211"/>
      <c r="AB471" s="1178"/>
      <c r="AC471" s="1179"/>
      <c r="AD471" s="227" t="s">
        <v>22</v>
      </c>
      <c r="AE471" s="1027" t="str">
        <f t="shared" si="206"/>
        <v>►</v>
      </c>
      <c r="AF471" s="1028" t="str">
        <f t="shared" si="207"/>
        <v/>
      </c>
      <c r="AG471" s="1029" t="str">
        <f t="shared" si="208"/>
        <v/>
      </c>
      <c r="AH471" s="1028" t="str">
        <f t="shared" si="209"/>
        <v/>
      </c>
      <c r="AI471" s="1029" t="str">
        <f t="shared" si="210"/>
        <v/>
      </c>
      <c r="AJ471" s="1029">
        <f t="shared" si="211"/>
        <v>0</v>
      </c>
      <c r="AK471" s="1043" t="str" cm="1">
        <f t="array" ref="AK471">IF(AE471&lt;&gt;"A","",IFERROR((IFERROR(_xlfn.XLOOKUP(TRIM(SUBSTITUTE(U471,CHAR(160)," ")),$BI$15:$BI$62,$BL$15:$BL$62),IFERROR(_xlfn.XLOOKUP(TRIM(SUBSTITUTE(U471,CHAR(160)," ")),$BJ$15:$BJ$62,$BL$15:$BL$62),_xlfn.XLOOKUP(TRIM(SUBSTITUTE(U471,CHAR(160)," ")),$BK$15:$BK$62,$BL$15:$BL$62))))*T471*IF(ISBLANK(Q471),1,Q471)+IFERROR(_xlfn.XLOOKUP("RECHERCHEX",TRIM(L471:AC471),L471:AC471),0),0))</f>
        <v/>
      </c>
      <c r="AL471" s="1030">
        <f t="shared" si="212"/>
        <v>0</v>
      </c>
      <c r="AM471" s="5254" t="str">
        <f t="shared" si="204"/>
        <v/>
      </c>
      <c r="AN471" s="1031">
        <f t="shared" si="213"/>
        <v>0</v>
      </c>
      <c r="AO471" s="1031">
        <f t="shared" si="214"/>
        <v>0</v>
      </c>
      <c r="AP471" s="1044">
        <f t="shared" si="215"/>
        <v>0</v>
      </c>
      <c r="AQ471" s="5257" t="str">
        <f t="shared" si="216"/>
        <v/>
      </c>
      <c r="AR471" s="1056"/>
      <c r="AS471" s="1056"/>
      <c r="AT471" s="1045">
        <f t="shared" si="217"/>
        <v>0</v>
      </c>
      <c r="AU471" s="1046">
        <f t="shared" si="218"/>
        <v>0</v>
      </c>
      <c r="AV471" s="1059" cm="1">
        <f t="array" ref="AV471">IF(AJ471&lt;&gt;1,0,IF(OR(AT471="",N(AT471)&lt;=0.000000001),"",IF(OR(AN471="",N(AN471)&lt;=0.000000001),0,IF(ISNUMBER(AT471),IFERROR(_xlfn.LET(_xlpm.ai_test,TRIM(AI471),_xlpm.r,IFERROR(_xlfn.XLOOKUP(_xlpm.ai_test,$BI$15:$BI$62,ROW($BI$15:$BI$62),0,1),IFERROR(_xlfn.XLOOKUP(_xlpm.ai_test,$BJ$15:$BJ$62,ROW($BJ$15:$BJ$62),0,1),_xlfn.XLOOKUP(_xlpm.ai_test,$BK$15:$BK$62,ROW($BK$15:$BK$62),0,1))),_xlpm.p,_xlpm.r-MIN(ROW($BI$15:$BI$62))+1,_xlpm.f,INDEX($BL$15:$BL$62,_xlpm.p),_xlpm.u,INDEX($BM$15:$BM$62,_xlpm.p),_xlpm.s,INDEX($BO$15:$BO$62,_xlpm.p),_xlpm.q,N(AT471)/_xlpm.f,IF(_xlpm.q&gt;=_xlpm.s,ROUND(_xlpm.q,1)&amp;" "&amp;_xlpm.ai_test&amp;" = "&amp;ROUND(_xlpm.q*_xlpm.f,1)&amp;" "&amp;_xlpm.u,ROUND(_xlpm.q,1)&amp;" "&amp;_xlpm.ai_test)),""),""))))</f>
        <v>0</v>
      </c>
      <c r="AW471" s="1047"/>
      <c r="AX471" s="1045">
        <f t="shared" si="219"/>
        <v>0</v>
      </c>
      <c r="AY471" s="1046" t="str">
        <f t="shared" si="220"/>
        <v/>
      </c>
      <c r="AZ471" s="1048">
        <f t="shared" ref="AZ471:AZ534" si="225">IF(ISNUMBER(BF471),IF(ABS(BF471)&lt;=0.000000001,0,BF471),0)</f>
        <v>0</v>
      </c>
      <c r="BA471" s="1049" t="str">
        <f t="shared" si="221"/>
        <v/>
      </c>
      <c r="BB471" s="1038"/>
      <c r="BC471" s="1050">
        <f t="shared" si="203"/>
        <v>0</v>
      </c>
      <c r="BD471" s="1040" t="str">
        <f t="shared" si="222"/>
        <v/>
      </c>
      <c r="BE471" s="227" t="s">
        <v>22</v>
      </c>
      <c r="BF471" s="1019">
        <f t="shared" si="223"/>
        <v>0</v>
      </c>
      <c r="BG471" s="1020">
        <f t="shared" si="224"/>
        <v>0</v>
      </c>
      <c r="BH471"/>
      <c r="BI471" s="709"/>
      <c r="BJ471" s="709"/>
      <c r="BK471" s="709"/>
      <c r="BL471" s="709"/>
      <c r="BM471" s="709"/>
      <c r="BN471" s="709"/>
      <c r="BO471" s="709"/>
      <c r="BP471" s="709"/>
      <c r="BW471" s="959" t="str">
        <f t="shared" si="205"/>
        <v>►</v>
      </c>
      <c r="BX471" s="856"/>
      <c r="BY471" s="856"/>
      <c r="BZ471" s="856"/>
      <c r="CA471" s="856"/>
      <c r="CB471" s="856"/>
      <c r="DB471" s="3">
        <v>1</v>
      </c>
    </row>
    <row r="472" spans="12:106" ht="21" customHeight="1">
      <c r="L472" s="104" t="s">
        <v>16</v>
      </c>
      <c r="M472" s="1172"/>
      <c r="N472" s="1172"/>
      <c r="O472" s="1172"/>
      <c r="P472" s="1173"/>
      <c r="Q472" s="1174"/>
      <c r="R472" s="1175"/>
      <c r="S472" s="1176"/>
      <c r="T472" s="1177"/>
      <c r="U472" s="5248"/>
      <c r="V472" s="1177"/>
      <c r="W472" s="5249"/>
      <c r="X472" s="5208"/>
      <c r="Y472" s="5209"/>
      <c r="Z472" s="5210"/>
      <c r="AA472" s="5211"/>
      <c r="AB472" s="1178"/>
      <c r="AC472" s="1179"/>
      <c r="AD472" s="227" t="s">
        <v>22</v>
      </c>
      <c r="AE472" s="1027" t="str">
        <f t="shared" si="206"/>
        <v>►</v>
      </c>
      <c r="AF472" s="1028" t="str">
        <f t="shared" si="207"/>
        <v/>
      </c>
      <c r="AG472" s="1029" t="str">
        <f t="shared" si="208"/>
        <v/>
      </c>
      <c r="AH472" s="1028" t="str">
        <f t="shared" si="209"/>
        <v/>
      </c>
      <c r="AI472" s="1029" t="str">
        <f t="shared" si="210"/>
        <v/>
      </c>
      <c r="AJ472" s="1029">
        <f t="shared" si="211"/>
        <v>0</v>
      </c>
      <c r="AK472" s="1043" t="str" cm="1">
        <f t="array" ref="AK472">IF(AE472&lt;&gt;"A","",IFERROR((IFERROR(_xlfn.XLOOKUP(TRIM(SUBSTITUTE(U472,CHAR(160)," ")),$BI$15:$BI$62,$BL$15:$BL$62),IFERROR(_xlfn.XLOOKUP(TRIM(SUBSTITUTE(U472,CHAR(160)," ")),$BJ$15:$BJ$62,$BL$15:$BL$62),_xlfn.XLOOKUP(TRIM(SUBSTITUTE(U472,CHAR(160)," ")),$BK$15:$BK$62,$BL$15:$BL$62))))*T472*IF(ISBLANK(Q472),1,Q472)+IFERROR(_xlfn.XLOOKUP("RECHERCHEX",TRIM(L472:AC472),L472:AC472),0),0))</f>
        <v/>
      </c>
      <c r="AL472" s="1030">
        <f t="shared" si="212"/>
        <v>0</v>
      </c>
      <c r="AM472" s="5254" t="str">
        <f t="shared" si="204"/>
        <v/>
      </c>
      <c r="AN472" s="1031">
        <f t="shared" si="213"/>
        <v>0</v>
      </c>
      <c r="AO472" s="1031">
        <f t="shared" si="214"/>
        <v>0</v>
      </c>
      <c r="AP472" s="1032">
        <f t="shared" si="215"/>
        <v>0</v>
      </c>
      <c r="AQ472" s="5255" t="str">
        <f t="shared" si="216"/>
        <v/>
      </c>
      <c r="AR472" s="1056"/>
      <c r="AS472" s="1056"/>
      <c r="AT472" s="1034">
        <f t="shared" si="217"/>
        <v>0</v>
      </c>
      <c r="AU472" s="1035">
        <f t="shared" si="218"/>
        <v>0</v>
      </c>
      <c r="AV472" s="1057" cm="1">
        <f t="array" ref="AV472">IF(AJ472&lt;&gt;1,0,IF(OR(AT472="",N(AT472)&lt;=0.000000001),"",IF(OR(AN472="",N(AN472)&lt;=0.000000001),0,IF(ISNUMBER(AT472),IFERROR(_xlfn.LET(_xlpm.ai_test,TRIM(AI472),_xlpm.r,IFERROR(_xlfn.XLOOKUP(_xlpm.ai_test,$BI$15:$BI$62,ROW($BI$15:$BI$62),0,1),IFERROR(_xlfn.XLOOKUP(_xlpm.ai_test,$BJ$15:$BJ$62,ROW($BJ$15:$BJ$62),0,1),_xlfn.XLOOKUP(_xlpm.ai_test,$BK$15:$BK$62,ROW($BK$15:$BK$62),0,1))),_xlpm.p,_xlpm.r-MIN(ROW($BI$15:$BI$62))+1,_xlpm.f,INDEX($BL$15:$BL$62,_xlpm.p),_xlpm.u,INDEX($BM$15:$BM$62,_xlpm.p),_xlpm.s,INDEX($BO$15:$BO$62,_xlpm.p),_xlpm.q,N(AT472)/_xlpm.f,IF(_xlpm.q&gt;=_xlpm.s,ROUND(_xlpm.q,1)&amp;" "&amp;_xlpm.ai_test&amp;" = "&amp;ROUND(_xlpm.q*_xlpm.f,1)&amp;" "&amp;_xlpm.u,ROUND(_xlpm.q,1)&amp;" "&amp;_xlpm.ai_test)),""),""))))</f>
        <v>0</v>
      </c>
      <c r="AW472" s="1047"/>
      <c r="AX472" s="1034">
        <f t="shared" si="219"/>
        <v>0</v>
      </c>
      <c r="AY472" s="1035" t="str">
        <f t="shared" si="220"/>
        <v/>
      </c>
      <c r="AZ472" s="1036">
        <f t="shared" si="225"/>
        <v>0</v>
      </c>
      <c r="BA472" s="1037" t="str">
        <f t="shared" si="221"/>
        <v/>
      </c>
      <c r="BB472" s="1038"/>
      <c r="BC472" s="1039">
        <f t="shared" si="203"/>
        <v>0</v>
      </c>
      <c r="BD472" s="1040" t="str">
        <f t="shared" si="222"/>
        <v/>
      </c>
      <c r="BE472" s="227" t="s">
        <v>22</v>
      </c>
      <c r="BF472" s="1019">
        <f t="shared" si="223"/>
        <v>0</v>
      </c>
      <c r="BG472" s="1020">
        <f t="shared" si="224"/>
        <v>0</v>
      </c>
      <c r="BH472"/>
      <c r="BI472" s="709"/>
      <c r="BJ472" s="709"/>
      <c r="BK472" s="709"/>
      <c r="BL472" s="709"/>
      <c r="BM472" s="709"/>
      <c r="BN472" s="709"/>
      <c r="BO472" s="709"/>
      <c r="BP472" s="709"/>
      <c r="BW472" s="959" t="str">
        <f t="shared" si="205"/>
        <v>►</v>
      </c>
      <c r="BX472" s="856"/>
      <c r="BY472" s="856"/>
      <c r="BZ472" s="856"/>
      <c r="CA472" s="856"/>
      <c r="CB472" s="856"/>
      <c r="DB472" s="3">
        <v>1</v>
      </c>
    </row>
    <row r="473" spans="12:106" ht="21" customHeight="1">
      <c r="L473" s="104" t="s">
        <v>16</v>
      </c>
      <c r="M473" s="1172"/>
      <c r="N473" s="1172"/>
      <c r="O473" s="1172"/>
      <c r="P473" s="1173"/>
      <c r="Q473" s="1174"/>
      <c r="R473" s="1175"/>
      <c r="S473" s="1176"/>
      <c r="T473" s="1177"/>
      <c r="U473" s="5248"/>
      <c r="V473" s="1177"/>
      <c r="W473" s="5249"/>
      <c r="X473" s="5208"/>
      <c r="Y473" s="5209"/>
      <c r="Z473" s="5210"/>
      <c r="AA473" s="5211"/>
      <c r="AB473" s="1178"/>
      <c r="AC473" s="1179"/>
      <c r="AD473" s="227" t="s">
        <v>22</v>
      </c>
      <c r="AE473" s="1027" t="str">
        <f t="shared" si="206"/>
        <v>►</v>
      </c>
      <c r="AF473" s="1028" t="str">
        <f t="shared" si="207"/>
        <v/>
      </c>
      <c r="AG473" s="1029" t="str">
        <f t="shared" si="208"/>
        <v/>
      </c>
      <c r="AH473" s="1028" t="str">
        <f t="shared" si="209"/>
        <v/>
      </c>
      <c r="AI473" s="1029" t="str">
        <f t="shared" si="210"/>
        <v/>
      </c>
      <c r="AJ473" s="1029">
        <f t="shared" si="211"/>
        <v>0</v>
      </c>
      <c r="AK473" s="1043" t="str" cm="1">
        <f t="array" ref="AK473">IF(AE473&lt;&gt;"A","",IFERROR((IFERROR(_xlfn.XLOOKUP(TRIM(SUBSTITUTE(U473,CHAR(160)," ")),$BI$15:$BI$62,$BL$15:$BL$62),IFERROR(_xlfn.XLOOKUP(TRIM(SUBSTITUTE(U473,CHAR(160)," ")),$BJ$15:$BJ$62,$BL$15:$BL$62),_xlfn.XLOOKUP(TRIM(SUBSTITUTE(U473,CHAR(160)," ")),$BK$15:$BK$62,$BL$15:$BL$62))))*T473*IF(ISBLANK(Q473),1,Q473)+IFERROR(_xlfn.XLOOKUP("RECHERCHEX",TRIM(L473:AC473),L473:AC473),0),0))</f>
        <v/>
      </c>
      <c r="AL473" s="1030">
        <f t="shared" si="212"/>
        <v>0</v>
      </c>
      <c r="AM473" s="5254" t="str">
        <f t="shared" si="204"/>
        <v/>
      </c>
      <c r="AN473" s="1031">
        <f t="shared" si="213"/>
        <v>0</v>
      </c>
      <c r="AO473" s="1031">
        <f t="shared" si="214"/>
        <v>0</v>
      </c>
      <c r="AP473" s="1044">
        <f t="shared" si="215"/>
        <v>0</v>
      </c>
      <c r="AQ473" s="5257" t="str">
        <f t="shared" si="216"/>
        <v/>
      </c>
      <c r="AR473" s="1056"/>
      <c r="AS473" s="1056"/>
      <c r="AT473" s="1045">
        <f t="shared" si="217"/>
        <v>0</v>
      </c>
      <c r="AU473" s="1046">
        <f t="shared" si="218"/>
        <v>0</v>
      </c>
      <c r="AV473" s="1059" cm="1">
        <f t="array" ref="AV473">IF(AJ473&lt;&gt;1,0,IF(OR(AT473="",N(AT473)&lt;=0.000000001),"",IF(OR(AN473="",N(AN473)&lt;=0.000000001),0,IF(ISNUMBER(AT473),IFERROR(_xlfn.LET(_xlpm.ai_test,TRIM(AI473),_xlpm.r,IFERROR(_xlfn.XLOOKUP(_xlpm.ai_test,$BI$15:$BI$62,ROW($BI$15:$BI$62),0,1),IFERROR(_xlfn.XLOOKUP(_xlpm.ai_test,$BJ$15:$BJ$62,ROW($BJ$15:$BJ$62),0,1),_xlfn.XLOOKUP(_xlpm.ai_test,$BK$15:$BK$62,ROW($BK$15:$BK$62),0,1))),_xlpm.p,_xlpm.r-MIN(ROW($BI$15:$BI$62))+1,_xlpm.f,INDEX($BL$15:$BL$62,_xlpm.p),_xlpm.u,INDEX($BM$15:$BM$62,_xlpm.p),_xlpm.s,INDEX($BO$15:$BO$62,_xlpm.p),_xlpm.q,N(AT473)/_xlpm.f,IF(_xlpm.q&gt;=_xlpm.s,ROUND(_xlpm.q,1)&amp;" "&amp;_xlpm.ai_test&amp;" = "&amp;ROUND(_xlpm.q*_xlpm.f,1)&amp;" "&amp;_xlpm.u,ROUND(_xlpm.q,1)&amp;" "&amp;_xlpm.ai_test)),""),""))))</f>
        <v>0</v>
      </c>
      <c r="AW473" s="1047"/>
      <c r="AX473" s="1045">
        <f t="shared" si="219"/>
        <v>0</v>
      </c>
      <c r="AY473" s="1046" t="str">
        <f t="shared" si="220"/>
        <v/>
      </c>
      <c r="AZ473" s="1048">
        <f t="shared" si="225"/>
        <v>0</v>
      </c>
      <c r="BA473" s="1049" t="str">
        <f t="shared" si="221"/>
        <v/>
      </c>
      <c r="BB473" s="1038"/>
      <c r="BC473" s="1050">
        <f t="shared" si="203"/>
        <v>0</v>
      </c>
      <c r="BD473" s="1040" t="str">
        <f t="shared" si="222"/>
        <v/>
      </c>
      <c r="BE473" s="227" t="s">
        <v>22</v>
      </c>
      <c r="BF473" s="1019">
        <f t="shared" si="223"/>
        <v>0</v>
      </c>
      <c r="BG473" s="1020">
        <f t="shared" si="224"/>
        <v>0</v>
      </c>
      <c r="BH473"/>
      <c r="BI473" s="709"/>
      <c r="BJ473" s="709"/>
      <c r="BK473" s="709"/>
      <c r="BL473" s="709"/>
      <c r="BM473" s="709"/>
      <c r="BN473" s="709"/>
      <c r="BO473" s="709"/>
      <c r="BP473" s="709"/>
      <c r="BW473" s="959" t="str">
        <f t="shared" si="205"/>
        <v>►</v>
      </c>
      <c r="BX473" s="856"/>
      <c r="BY473" s="856"/>
      <c r="BZ473" s="856"/>
      <c r="CA473" s="856"/>
      <c r="CB473" s="856"/>
      <c r="DB473" s="3">
        <v>1</v>
      </c>
    </row>
    <row r="474" spans="12:106" ht="21" customHeight="1">
      <c r="L474" s="104" t="s">
        <v>16</v>
      </c>
      <c r="M474" s="1172"/>
      <c r="N474" s="1172"/>
      <c r="O474" s="1172"/>
      <c r="P474" s="1173"/>
      <c r="Q474" s="1174"/>
      <c r="R474" s="1175"/>
      <c r="S474" s="1176"/>
      <c r="T474" s="1177"/>
      <c r="U474" s="5248"/>
      <c r="V474" s="1177"/>
      <c r="W474" s="5249"/>
      <c r="X474" s="5208"/>
      <c r="Y474" s="5209"/>
      <c r="Z474" s="5210"/>
      <c r="AA474" s="5211"/>
      <c r="AB474" s="1178"/>
      <c r="AC474" s="1179"/>
      <c r="AD474" s="227" t="s">
        <v>22</v>
      </c>
      <c r="AE474" s="1027" t="str">
        <f t="shared" si="206"/>
        <v>►</v>
      </c>
      <c r="AF474" s="1028" t="str">
        <f t="shared" si="207"/>
        <v/>
      </c>
      <c r="AG474" s="1029" t="str">
        <f t="shared" si="208"/>
        <v/>
      </c>
      <c r="AH474" s="1028" t="str">
        <f t="shared" si="209"/>
        <v/>
      </c>
      <c r="AI474" s="1029" t="str">
        <f t="shared" si="210"/>
        <v/>
      </c>
      <c r="AJ474" s="1029">
        <f t="shared" si="211"/>
        <v>0</v>
      </c>
      <c r="AK474" s="1043" t="str" cm="1">
        <f t="array" ref="AK474">IF(AE474&lt;&gt;"A","",IFERROR((IFERROR(_xlfn.XLOOKUP(TRIM(SUBSTITUTE(U474,CHAR(160)," ")),$BI$15:$BI$62,$BL$15:$BL$62),IFERROR(_xlfn.XLOOKUP(TRIM(SUBSTITUTE(U474,CHAR(160)," ")),$BJ$15:$BJ$62,$BL$15:$BL$62),_xlfn.XLOOKUP(TRIM(SUBSTITUTE(U474,CHAR(160)," ")),$BK$15:$BK$62,$BL$15:$BL$62))))*T474*IF(ISBLANK(Q474),1,Q474)+IFERROR(_xlfn.XLOOKUP("RECHERCHEX",TRIM(L474:AC474),L474:AC474),0),0))</f>
        <v/>
      </c>
      <c r="AL474" s="1030">
        <f t="shared" si="212"/>
        <v>0</v>
      </c>
      <c r="AM474" s="5254" t="str">
        <f t="shared" si="204"/>
        <v/>
      </c>
      <c r="AN474" s="1031">
        <f t="shared" si="213"/>
        <v>0</v>
      </c>
      <c r="AO474" s="1031">
        <f t="shared" si="214"/>
        <v>0</v>
      </c>
      <c r="AP474" s="1032">
        <f t="shared" si="215"/>
        <v>0</v>
      </c>
      <c r="AQ474" s="5255" t="str">
        <f t="shared" si="216"/>
        <v/>
      </c>
      <c r="AR474" s="1056"/>
      <c r="AS474" s="1056"/>
      <c r="AT474" s="1034">
        <f t="shared" si="217"/>
        <v>0</v>
      </c>
      <c r="AU474" s="1035">
        <f t="shared" si="218"/>
        <v>0</v>
      </c>
      <c r="AV474" s="1057" cm="1">
        <f t="array" ref="AV474">IF(AJ474&lt;&gt;1,0,IF(OR(AT474="",N(AT474)&lt;=0.000000001),"",IF(OR(AN474="",N(AN474)&lt;=0.000000001),0,IF(ISNUMBER(AT474),IFERROR(_xlfn.LET(_xlpm.ai_test,TRIM(AI474),_xlpm.r,IFERROR(_xlfn.XLOOKUP(_xlpm.ai_test,$BI$15:$BI$62,ROW($BI$15:$BI$62),0,1),IFERROR(_xlfn.XLOOKUP(_xlpm.ai_test,$BJ$15:$BJ$62,ROW($BJ$15:$BJ$62),0,1),_xlfn.XLOOKUP(_xlpm.ai_test,$BK$15:$BK$62,ROW($BK$15:$BK$62),0,1))),_xlpm.p,_xlpm.r-MIN(ROW($BI$15:$BI$62))+1,_xlpm.f,INDEX($BL$15:$BL$62,_xlpm.p),_xlpm.u,INDEX($BM$15:$BM$62,_xlpm.p),_xlpm.s,INDEX($BO$15:$BO$62,_xlpm.p),_xlpm.q,N(AT474)/_xlpm.f,IF(_xlpm.q&gt;=_xlpm.s,ROUND(_xlpm.q,1)&amp;" "&amp;_xlpm.ai_test&amp;" = "&amp;ROUND(_xlpm.q*_xlpm.f,1)&amp;" "&amp;_xlpm.u,ROUND(_xlpm.q,1)&amp;" "&amp;_xlpm.ai_test)),""),""))))</f>
        <v>0</v>
      </c>
      <c r="AW474" s="1047"/>
      <c r="AX474" s="1034">
        <f t="shared" si="219"/>
        <v>0</v>
      </c>
      <c r="AY474" s="1035" t="str">
        <f t="shared" si="220"/>
        <v/>
      </c>
      <c r="AZ474" s="1036">
        <f t="shared" si="225"/>
        <v>0</v>
      </c>
      <c r="BA474" s="1037" t="str">
        <f t="shared" si="221"/>
        <v/>
      </c>
      <c r="BB474" s="1038"/>
      <c r="BC474" s="1039">
        <f t="shared" si="203"/>
        <v>0</v>
      </c>
      <c r="BD474" s="1040" t="str">
        <f t="shared" si="222"/>
        <v/>
      </c>
      <c r="BE474" s="227" t="s">
        <v>22</v>
      </c>
      <c r="BF474" s="1019">
        <f t="shared" si="223"/>
        <v>0</v>
      </c>
      <c r="BG474" s="1020">
        <f t="shared" si="224"/>
        <v>0</v>
      </c>
      <c r="BH474"/>
      <c r="BI474" s="709"/>
      <c r="BJ474" s="709"/>
      <c r="BK474" s="709"/>
      <c r="BL474" s="709"/>
      <c r="BM474" s="709"/>
      <c r="BN474" s="709"/>
      <c r="BO474" s="709"/>
      <c r="BP474" s="709"/>
      <c r="BW474" s="959" t="str">
        <f t="shared" si="205"/>
        <v>►</v>
      </c>
      <c r="BX474" s="856"/>
      <c r="BY474" s="856"/>
      <c r="BZ474" s="856"/>
      <c r="CA474" s="856"/>
      <c r="CB474" s="856"/>
      <c r="DB474" s="3">
        <v>1</v>
      </c>
    </row>
    <row r="475" spans="12:106" ht="21" customHeight="1">
      <c r="L475" s="104" t="s">
        <v>16</v>
      </c>
      <c r="M475" s="1172"/>
      <c r="N475" s="1172"/>
      <c r="O475" s="1172"/>
      <c r="P475" s="1173"/>
      <c r="Q475" s="1174"/>
      <c r="R475" s="1175"/>
      <c r="S475" s="1176"/>
      <c r="T475" s="1177"/>
      <c r="U475" s="5248"/>
      <c r="V475" s="1177"/>
      <c r="W475" s="5249"/>
      <c r="X475" s="5208"/>
      <c r="Y475" s="5209"/>
      <c r="Z475" s="5210"/>
      <c r="AA475" s="5211"/>
      <c r="AB475" s="1178"/>
      <c r="AC475" s="1179"/>
      <c r="AD475" s="227" t="s">
        <v>22</v>
      </c>
      <c r="AE475" s="1027" t="str">
        <f t="shared" si="206"/>
        <v>►</v>
      </c>
      <c r="AF475" s="1028" t="str">
        <f t="shared" si="207"/>
        <v/>
      </c>
      <c r="AG475" s="1029" t="str">
        <f t="shared" si="208"/>
        <v/>
      </c>
      <c r="AH475" s="1028" t="str">
        <f t="shared" si="209"/>
        <v/>
      </c>
      <c r="AI475" s="1029" t="str">
        <f t="shared" si="210"/>
        <v/>
      </c>
      <c r="AJ475" s="1029">
        <f t="shared" si="211"/>
        <v>0</v>
      </c>
      <c r="AK475" s="1043" t="str" cm="1">
        <f t="array" ref="AK475">IF(AE475&lt;&gt;"A","",IFERROR((IFERROR(_xlfn.XLOOKUP(TRIM(SUBSTITUTE(U475,CHAR(160)," ")),$BI$15:$BI$62,$BL$15:$BL$62),IFERROR(_xlfn.XLOOKUP(TRIM(SUBSTITUTE(U475,CHAR(160)," ")),$BJ$15:$BJ$62,$BL$15:$BL$62),_xlfn.XLOOKUP(TRIM(SUBSTITUTE(U475,CHAR(160)," ")),$BK$15:$BK$62,$BL$15:$BL$62))))*T475*IF(ISBLANK(Q475),1,Q475)+IFERROR(_xlfn.XLOOKUP("RECHERCHEX",TRIM(L475:AC475),L475:AC475),0),0))</f>
        <v/>
      </c>
      <c r="AL475" s="1030">
        <f t="shared" si="212"/>
        <v>0</v>
      </c>
      <c r="AM475" s="5254" t="str">
        <f t="shared" si="204"/>
        <v/>
      </c>
      <c r="AN475" s="1031">
        <f t="shared" si="213"/>
        <v>0</v>
      </c>
      <c r="AO475" s="1031">
        <f t="shared" si="214"/>
        <v>0</v>
      </c>
      <c r="AP475" s="1044">
        <f t="shared" si="215"/>
        <v>0</v>
      </c>
      <c r="AQ475" s="5257" t="str">
        <f t="shared" si="216"/>
        <v/>
      </c>
      <c r="AR475" s="1056"/>
      <c r="AS475" s="1056"/>
      <c r="AT475" s="1045">
        <f t="shared" si="217"/>
        <v>0</v>
      </c>
      <c r="AU475" s="1046">
        <f t="shared" si="218"/>
        <v>0</v>
      </c>
      <c r="AV475" s="1059" cm="1">
        <f t="array" ref="AV475">IF(AJ475&lt;&gt;1,0,IF(OR(AT475="",N(AT475)&lt;=0.000000001),"",IF(OR(AN475="",N(AN475)&lt;=0.000000001),0,IF(ISNUMBER(AT475),IFERROR(_xlfn.LET(_xlpm.ai_test,TRIM(AI475),_xlpm.r,IFERROR(_xlfn.XLOOKUP(_xlpm.ai_test,$BI$15:$BI$62,ROW($BI$15:$BI$62),0,1),IFERROR(_xlfn.XLOOKUP(_xlpm.ai_test,$BJ$15:$BJ$62,ROW($BJ$15:$BJ$62),0,1),_xlfn.XLOOKUP(_xlpm.ai_test,$BK$15:$BK$62,ROW($BK$15:$BK$62),0,1))),_xlpm.p,_xlpm.r-MIN(ROW($BI$15:$BI$62))+1,_xlpm.f,INDEX($BL$15:$BL$62,_xlpm.p),_xlpm.u,INDEX($BM$15:$BM$62,_xlpm.p),_xlpm.s,INDEX($BO$15:$BO$62,_xlpm.p),_xlpm.q,N(AT475)/_xlpm.f,IF(_xlpm.q&gt;=_xlpm.s,ROUND(_xlpm.q,1)&amp;" "&amp;_xlpm.ai_test&amp;" = "&amp;ROUND(_xlpm.q*_xlpm.f,1)&amp;" "&amp;_xlpm.u,ROUND(_xlpm.q,1)&amp;" "&amp;_xlpm.ai_test)),""),""))))</f>
        <v>0</v>
      </c>
      <c r="AW475" s="1047"/>
      <c r="AX475" s="1045">
        <f t="shared" si="219"/>
        <v>0</v>
      </c>
      <c r="AY475" s="1046" t="str">
        <f t="shared" si="220"/>
        <v/>
      </c>
      <c r="AZ475" s="1048">
        <f t="shared" si="225"/>
        <v>0</v>
      </c>
      <c r="BA475" s="1049" t="str">
        <f t="shared" si="221"/>
        <v/>
      </c>
      <c r="BB475" s="1038"/>
      <c r="BC475" s="1050">
        <f t="shared" ref="BC475:BC538" si="226">IF(OR(AN475=0,ISBLANK(BB475),ISTEXT(AZ475)),0,(IF(AT475=0,AZ475,AT475)*BB475))</f>
        <v>0</v>
      </c>
      <c r="BD475" s="1040" t="str">
        <f t="shared" si="222"/>
        <v/>
      </c>
      <c r="BE475" s="227" t="s">
        <v>22</v>
      </c>
      <c r="BF475" s="1019">
        <f t="shared" si="223"/>
        <v>0</v>
      </c>
      <c r="BG475" s="1020">
        <f t="shared" si="224"/>
        <v>0</v>
      </c>
      <c r="BH475"/>
      <c r="BI475" s="709"/>
      <c r="BJ475" s="709"/>
      <c r="BK475" s="709"/>
      <c r="BL475" s="709"/>
      <c r="BM475" s="709"/>
      <c r="BN475" s="709"/>
      <c r="BO475" s="709"/>
      <c r="BP475" s="709"/>
      <c r="BW475" s="959" t="str">
        <f t="shared" si="205"/>
        <v>►</v>
      </c>
      <c r="BX475" s="856"/>
      <c r="BY475" s="856"/>
      <c r="BZ475" s="856"/>
      <c r="CA475" s="856"/>
      <c r="CB475" s="856"/>
      <c r="DB475" s="3">
        <v>1</v>
      </c>
    </row>
    <row r="476" spans="12:106" ht="21" customHeight="1">
      <c r="L476" s="104" t="s">
        <v>16</v>
      </c>
      <c r="M476" s="1172"/>
      <c r="N476" s="1172"/>
      <c r="O476" s="1172"/>
      <c r="P476" s="1173"/>
      <c r="Q476" s="1174"/>
      <c r="R476" s="1175"/>
      <c r="S476" s="1176"/>
      <c r="T476" s="1177"/>
      <c r="U476" s="5248"/>
      <c r="V476" s="1177"/>
      <c r="W476" s="5249"/>
      <c r="X476" s="5208"/>
      <c r="Y476" s="5209"/>
      <c r="Z476" s="5210"/>
      <c r="AA476" s="5211"/>
      <c r="AB476" s="1178"/>
      <c r="AC476" s="1179"/>
      <c r="AD476" s="227" t="s">
        <v>22</v>
      </c>
      <c r="AE476" s="1027" t="str">
        <f t="shared" si="206"/>
        <v>►</v>
      </c>
      <c r="AF476" s="1028" t="str">
        <f t="shared" si="207"/>
        <v/>
      </c>
      <c r="AG476" s="1029" t="str">
        <f t="shared" si="208"/>
        <v/>
      </c>
      <c r="AH476" s="1028" t="str">
        <f t="shared" si="209"/>
        <v/>
      </c>
      <c r="AI476" s="1029" t="str">
        <f t="shared" si="210"/>
        <v/>
      </c>
      <c r="AJ476" s="1029">
        <f t="shared" si="211"/>
        <v>0</v>
      </c>
      <c r="AK476" s="1043" t="str" cm="1">
        <f t="array" ref="AK476">IF(AE476&lt;&gt;"A","",IFERROR((IFERROR(_xlfn.XLOOKUP(TRIM(SUBSTITUTE(U476,CHAR(160)," ")),$BI$15:$BI$62,$BL$15:$BL$62),IFERROR(_xlfn.XLOOKUP(TRIM(SUBSTITUTE(U476,CHAR(160)," ")),$BJ$15:$BJ$62,$BL$15:$BL$62),_xlfn.XLOOKUP(TRIM(SUBSTITUTE(U476,CHAR(160)," ")),$BK$15:$BK$62,$BL$15:$BL$62))))*T476*IF(ISBLANK(Q476),1,Q476)+IFERROR(_xlfn.XLOOKUP("RECHERCHEX",TRIM(L476:AC476),L476:AC476),0),0))</f>
        <v/>
      </c>
      <c r="AL476" s="1030">
        <f t="shared" si="212"/>
        <v>0</v>
      </c>
      <c r="AM476" s="5254" t="str">
        <f t="shared" si="204"/>
        <v/>
      </c>
      <c r="AN476" s="1031">
        <f t="shared" si="213"/>
        <v>0</v>
      </c>
      <c r="AO476" s="1031">
        <f t="shared" si="214"/>
        <v>0</v>
      </c>
      <c r="AP476" s="1032">
        <f t="shared" si="215"/>
        <v>0</v>
      </c>
      <c r="AQ476" s="5255" t="str">
        <f t="shared" si="216"/>
        <v/>
      </c>
      <c r="AR476" s="1056"/>
      <c r="AS476" s="1056"/>
      <c r="AT476" s="1034">
        <f t="shared" si="217"/>
        <v>0</v>
      </c>
      <c r="AU476" s="1035">
        <f t="shared" si="218"/>
        <v>0</v>
      </c>
      <c r="AV476" s="1057" cm="1">
        <f t="array" ref="AV476">IF(AJ476&lt;&gt;1,0,IF(OR(AT476="",N(AT476)&lt;=0.000000001),"",IF(OR(AN476="",N(AN476)&lt;=0.000000001),0,IF(ISNUMBER(AT476),IFERROR(_xlfn.LET(_xlpm.ai_test,TRIM(AI476),_xlpm.r,IFERROR(_xlfn.XLOOKUP(_xlpm.ai_test,$BI$15:$BI$62,ROW($BI$15:$BI$62),0,1),IFERROR(_xlfn.XLOOKUP(_xlpm.ai_test,$BJ$15:$BJ$62,ROW($BJ$15:$BJ$62),0,1),_xlfn.XLOOKUP(_xlpm.ai_test,$BK$15:$BK$62,ROW($BK$15:$BK$62),0,1))),_xlpm.p,_xlpm.r-MIN(ROW($BI$15:$BI$62))+1,_xlpm.f,INDEX($BL$15:$BL$62,_xlpm.p),_xlpm.u,INDEX($BM$15:$BM$62,_xlpm.p),_xlpm.s,INDEX($BO$15:$BO$62,_xlpm.p),_xlpm.q,N(AT476)/_xlpm.f,IF(_xlpm.q&gt;=_xlpm.s,ROUND(_xlpm.q,1)&amp;" "&amp;_xlpm.ai_test&amp;" = "&amp;ROUND(_xlpm.q*_xlpm.f,1)&amp;" "&amp;_xlpm.u,ROUND(_xlpm.q,1)&amp;" "&amp;_xlpm.ai_test)),""),""))))</f>
        <v>0</v>
      </c>
      <c r="AW476" s="1047"/>
      <c r="AX476" s="1034">
        <f t="shared" si="219"/>
        <v>0</v>
      </c>
      <c r="AY476" s="1035" t="str">
        <f t="shared" si="220"/>
        <v/>
      </c>
      <c r="AZ476" s="1036">
        <f t="shared" si="225"/>
        <v>0</v>
      </c>
      <c r="BA476" s="1037" t="str">
        <f t="shared" si="221"/>
        <v/>
      </c>
      <c r="BB476" s="1038"/>
      <c r="BC476" s="1039">
        <f t="shared" si="226"/>
        <v>0</v>
      </c>
      <c r="BD476" s="1040" t="str">
        <f t="shared" si="222"/>
        <v/>
      </c>
      <c r="BE476" s="227" t="s">
        <v>22</v>
      </c>
      <c r="BF476" s="1019">
        <f t="shared" si="223"/>
        <v>0</v>
      </c>
      <c r="BG476" s="1020">
        <f t="shared" si="224"/>
        <v>0</v>
      </c>
      <c r="BH476"/>
      <c r="BI476" s="709"/>
      <c r="BJ476" s="709"/>
      <c r="BK476" s="709"/>
      <c r="BL476" s="709"/>
      <c r="BM476" s="709"/>
      <c r="BN476" s="709"/>
      <c r="BO476" s="709"/>
      <c r="BP476" s="709"/>
      <c r="BW476" s="959" t="str">
        <f t="shared" si="205"/>
        <v>►</v>
      </c>
      <c r="BX476" s="856"/>
      <c r="BY476" s="856"/>
      <c r="BZ476" s="856"/>
      <c r="CA476" s="856"/>
      <c r="CB476" s="856"/>
      <c r="DB476" s="3">
        <v>1</v>
      </c>
    </row>
    <row r="477" spans="12:106" ht="21" customHeight="1">
      <c r="L477" s="104" t="s">
        <v>16</v>
      </c>
      <c r="M477" s="1172"/>
      <c r="N477" s="1172"/>
      <c r="O477" s="1172"/>
      <c r="P477" s="1173"/>
      <c r="Q477" s="1174"/>
      <c r="R477" s="1175"/>
      <c r="S477" s="1176"/>
      <c r="T477" s="1177"/>
      <c r="U477" s="5248"/>
      <c r="V477" s="1177"/>
      <c r="W477" s="5249"/>
      <c r="X477" s="5208"/>
      <c r="Y477" s="5209"/>
      <c r="Z477" s="5210"/>
      <c r="AA477" s="5211"/>
      <c r="AB477" s="1178"/>
      <c r="AC477" s="1179"/>
      <c r="AD477" s="227" t="s">
        <v>22</v>
      </c>
      <c r="AE477" s="1027" t="str">
        <f t="shared" si="206"/>
        <v>►</v>
      </c>
      <c r="AF477" s="1028" t="str">
        <f t="shared" si="207"/>
        <v/>
      </c>
      <c r="AG477" s="1029" t="str">
        <f t="shared" si="208"/>
        <v/>
      </c>
      <c r="AH477" s="1028" t="str">
        <f t="shared" si="209"/>
        <v/>
      </c>
      <c r="AI477" s="1029" t="str">
        <f t="shared" si="210"/>
        <v/>
      </c>
      <c r="AJ477" s="1029">
        <f t="shared" si="211"/>
        <v>0</v>
      </c>
      <c r="AK477" s="1043" t="str" cm="1">
        <f t="array" ref="AK477">IF(AE477&lt;&gt;"A","",IFERROR((IFERROR(_xlfn.XLOOKUP(TRIM(SUBSTITUTE(U477,CHAR(160)," ")),$BI$15:$BI$62,$BL$15:$BL$62),IFERROR(_xlfn.XLOOKUP(TRIM(SUBSTITUTE(U477,CHAR(160)," ")),$BJ$15:$BJ$62,$BL$15:$BL$62),_xlfn.XLOOKUP(TRIM(SUBSTITUTE(U477,CHAR(160)," ")),$BK$15:$BK$62,$BL$15:$BL$62))))*T477*IF(ISBLANK(Q477),1,Q477)+IFERROR(_xlfn.XLOOKUP("RECHERCHEX",TRIM(L477:AC477),L477:AC477),0),0))</f>
        <v/>
      </c>
      <c r="AL477" s="1030">
        <f t="shared" si="212"/>
        <v>0</v>
      </c>
      <c r="AM477" s="5254" t="str">
        <f t="shared" si="204"/>
        <v/>
      </c>
      <c r="AN477" s="1031">
        <f t="shared" si="213"/>
        <v>0</v>
      </c>
      <c r="AO477" s="1031">
        <f t="shared" si="214"/>
        <v>0</v>
      </c>
      <c r="AP477" s="1044">
        <f t="shared" si="215"/>
        <v>0</v>
      </c>
      <c r="AQ477" s="5257" t="str">
        <f t="shared" si="216"/>
        <v/>
      </c>
      <c r="AR477" s="1056"/>
      <c r="AS477" s="1056"/>
      <c r="AT477" s="1045">
        <f t="shared" si="217"/>
        <v>0</v>
      </c>
      <c r="AU477" s="1046">
        <f t="shared" si="218"/>
        <v>0</v>
      </c>
      <c r="AV477" s="1059" cm="1">
        <f t="array" ref="AV477">IF(AJ477&lt;&gt;1,0,IF(OR(AT477="",N(AT477)&lt;=0.000000001),"",IF(OR(AN477="",N(AN477)&lt;=0.000000001),0,IF(ISNUMBER(AT477),IFERROR(_xlfn.LET(_xlpm.ai_test,TRIM(AI477),_xlpm.r,IFERROR(_xlfn.XLOOKUP(_xlpm.ai_test,$BI$15:$BI$62,ROW($BI$15:$BI$62),0,1),IFERROR(_xlfn.XLOOKUP(_xlpm.ai_test,$BJ$15:$BJ$62,ROW($BJ$15:$BJ$62),0,1),_xlfn.XLOOKUP(_xlpm.ai_test,$BK$15:$BK$62,ROW($BK$15:$BK$62),0,1))),_xlpm.p,_xlpm.r-MIN(ROW($BI$15:$BI$62))+1,_xlpm.f,INDEX($BL$15:$BL$62,_xlpm.p),_xlpm.u,INDEX($BM$15:$BM$62,_xlpm.p),_xlpm.s,INDEX($BO$15:$BO$62,_xlpm.p),_xlpm.q,N(AT477)/_xlpm.f,IF(_xlpm.q&gt;=_xlpm.s,ROUND(_xlpm.q,1)&amp;" "&amp;_xlpm.ai_test&amp;" = "&amp;ROUND(_xlpm.q*_xlpm.f,1)&amp;" "&amp;_xlpm.u,ROUND(_xlpm.q,1)&amp;" "&amp;_xlpm.ai_test)),""),""))))</f>
        <v>0</v>
      </c>
      <c r="AW477" s="1047"/>
      <c r="AX477" s="1045">
        <f t="shared" si="219"/>
        <v>0</v>
      </c>
      <c r="AY477" s="1046" t="str">
        <f t="shared" si="220"/>
        <v/>
      </c>
      <c r="AZ477" s="1048">
        <f t="shared" si="225"/>
        <v>0</v>
      </c>
      <c r="BA477" s="1049" t="str">
        <f t="shared" si="221"/>
        <v/>
      </c>
      <c r="BB477" s="1038"/>
      <c r="BC477" s="1050">
        <f t="shared" si="226"/>
        <v>0</v>
      </c>
      <c r="BD477" s="1040" t="str">
        <f t="shared" si="222"/>
        <v/>
      </c>
      <c r="BE477" s="227" t="s">
        <v>22</v>
      </c>
      <c r="BF477" s="1019">
        <f t="shared" si="223"/>
        <v>0</v>
      </c>
      <c r="BG477" s="1020">
        <f t="shared" si="224"/>
        <v>0</v>
      </c>
      <c r="BH477"/>
      <c r="BI477" s="709"/>
      <c r="BJ477" s="709"/>
      <c r="BK477" s="709"/>
      <c r="BL477" s="709"/>
      <c r="BM477" s="709"/>
      <c r="BN477" s="709"/>
      <c r="BO477" s="709"/>
      <c r="BP477" s="709"/>
      <c r="BW477" s="959" t="str">
        <f t="shared" si="205"/>
        <v>►</v>
      </c>
      <c r="BX477" s="856"/>
      <c r="BY477" s="856"/>
      <c r="BZ477" s="856"/>
      <c r="CA477" s="856"/>
      <c r="CB477" s="856"/>
      <c r="DB477" s="3">
        <v>1</v>
      </c>
    </row>
    <row r="478" spans="12:106" ht="21" customHeight="1">
      <c r="L478" s="104" t="s">
        <v>16</v>
      </c>
      <c r="M478" s="1172"/>
      <c r="N478" s="1172"/>
      <c r="O478" s="1172"/>
      <c r="P478" s="1173"/>
      <c r="Q478" s="1174"/>
      <c r="R478" s="1175"/>
      <c r="S478" s="1176"/>
      <c r="T478" s="1177"/>
      <c r="U478" s="5248"/>
      <c r="V478" s="1177"/>
      <c r="W478" s="5249"/>
      <c r="X478" s="5208"/>
      <c r="Y478" s="5209"/>
      <c r="Z478" s="5210"/>
      <c r="AA478" s="5211"/>
      <c r="AB478" s="1178"/>
      <c r="AC478" s="1179"/>
      <c r="AD478" s="227" t="s">
        <v>22</v>
      </c>
      <c r="AE478" s="1027" t="str">
        <f t="shared" si="206"/>
        <v>►</v>
      </c>
      <c r="AF478" s="1028" t="str">
        <f t="shared" si="207"/>
        <v/>
      </c>
      <c r="AG478" s="1029" t="str">
        <f t="shared" si="208"/>
        <v/>
      </c>
      <c r="AH478" s="1028" t="str">
        <f t="shared" si="209"/>
        <v/>
      </c>
      <c r="AI478" s="1029" t="str">
        <f t="shared" si="210"/>
        <v/>
      </c>
      <c r="AJ478" s="1029">
        <f t="shared" si="211"/>
        <v>0</v>
      </c>
      <c r="AK478" s="1043" t="str" cm="1">
        <f t="array" ref="AK478">IF(AE478&lt;&gt;"A","",IFERROR((IFERROR(_xlfn.XLOOKUP(TRIM(SUBSTITUTE(U478,CHAR(160)," ")),$BI$15:$BI$62,$BL$15:$BL$62),IFERROR(_xlfn.XLOOKUP(TRIM(SUBSTITUTE(U478,CHAR(160)," ")),$BJ$15:$BJ$62,$BL$15:$BL$62),_xlfn.XLOOKUP(TRIM(SUBSTITUTE(U478,CHAR(160)," ")),$BK$15:$BK$62,$BL$15:$BL$62))))*T478*IF(ISBLANK(Q478),1,Q478)+IFERROR(_xlfn.XLOOKUP("RECHERCHEX",TRIM(L478:AC478),L478:AC478),0),0))</f>
        <v/>
      </c>
      <c r="AL478" s="1030">
        <f t="shared" si="212"/>
        <v>0</v>
      </c>
      <c r="AM478" s="5254" t="str">
        <f t="shared" ref="AM478:AM541" si="227">IF(AE478="A","❾ Author reference &gt;","")</f>
        <v/>
      </c>
      <c r="AN478" s="1031">
        <f t="shared" si="213"/>
        <v>0</v>
      </c>
      <c r="AO478" s="1031">
        <f t="shared" si="214"/>
        <v>0</v>
      </c>
      <c r="AP478" s="1032">
        <f t="shared" si="215"/>
        <v>0</v>
      </c>
      <c r="AQ478" s="5255" t="str">
        <f t="shared" si="216"/>
        <v/>
      </c>
      <c r="AR478" s="1056"/>
      <c r="AS478" s="1056"/>
      <c r="AT478" s="1034">
        <f t="shared" si="217"/>
        <v>0</v>
      </c>
      <c r="AU478" s="1035">
        <f t="shared" si="218"/>
        <v>0</v>
      </c>
      <c r="AV478" s="1057" cm="1">
        <f t="array" ref="AV478">IF(AJ478&lt;&gt;1,0,IF(OR(AT478="",N(AT478)&lt;=0.000000001),"",IF(OR(AN478="",N(AN478)&lt;=0.000000001),0,IF(ISNUMBER(AT478),IFERROR(_xlfn.LET(_xlpm.ai_test,TRIM(AI478),_xlpm.r,IFERROR(_xlfn.XLOOKUP(_xlpm.ai_test,$BI$15:$BI$62,ROW($BI$15:$BI$62),0,1),IFERROR(_xlfn.XLOOKUP(_xlpm.ai_test,$BJ$15:$BJ$62,ROW($BJ$15:$BJ$62),0,1),_xlfn.XLOOKUP(_xlpm.ai_test,$BK$15:$BK$62,ROW($BK$15:$BK$62),0,1))),_xlpm.p,_xlpm.r-MIN(ROW($BI$15:$BI$62))+1,_xlpm.f,INDEX($BL$15:$BL$62,_xlpm.p),_xlpm.u,INDEX($BM$15:$BM$62,_xlpm.p),_xlpm.s,INDEX($BO$15:$BO$62,_xlpm.p),_xlpm.q,N(AT478)/_xlpm.f,IF(_xlpm.q&gt;=_xlpm.s,ROUND(_xlpm.q,1)&amp;" "&amp;_xlpm.ai_test&amp;" = "&amp;ROUND(_xlpm.q*_xlpm.f,1)&amp;" "&amp;_xlpm.u,ROUND(_xlpm.q,1)&amp;" "&amp;_xlpm.ai_test)),""),""))))</f>
        <v>0</v>
      </c>
      <c r="AW478" s="1047"/>
      <c r="AX478" s="1034">
        <f t="shared" si="219"/>
        <v>0</v>
      </c>
      <c r="AY478" s="1035" t="str">
        <f t="shared" si="220"/>
        <v/>
      </c>
      <c r="AZ478" s="1036">
        <f t="shared" si="225"/>
        <v>0</v>
      </c>
      <c r="BA478" s="1037" t="str">
        <f t="shared" si="221"/>
        <v/>
      </c>
      <c r="BB478" s="1038"/>
      <c r="BC478" s="1039">
        <f t="shared" si="226"/>
        <v>0</v>
      </c>
      <c r="BD478" s="1040" t="str">
        <f t="shared" si="222"/>
        <v/>
      </c>
      <c r="BE478" s="227" t="s">
        <v>22</v>
      </c>
      <c r="BF478" s="1019">
        <f t="shared" si="223"/>
        <v>0</v>
      </c>
      <c r="BG478" s="1020">
        <f t="shared" si="224"/>
        <v>0</v>
      </c>
      <c r="BH478"/>
      <c r="BI478" s="709"/>
      <c r="BJ478" s="709"/>
      <c r="BK478" s="709"/>
      <c r="BL478" s="709"/>
      <c r="BM478" s="709"/>
      <c r="BN478" s="709"/>
      <c r="BO478" s="709"/>
      <c r="BP478" s="709"/>
      <c r="BW478" s="959" t="str">
        <f t="shared" si="205"/>
        <v>►</v>
      </c>
      <c r="BX478" s="856"/>
      <c r="BY478" s="856"/>
      <c r="BZ478" s="856"/>
      <c r="CA478" s="856"/>
      <c r="CB478" s="856"/>
      <c r="DB478" s="3">
        <v>1</v>
      </c>
    </row>
    <row r="479" spans="12:106" ht="21" customHeight="1">
      <c r="L479" s="104" t="s">
        <v>16</v>
      </c>
      <c r="M479" s="1172"/>
      <c r="N479" s="1172"/>
      <c r="O479" s="1172"/>
      <c r="P479" s="1173"/>
      <c r="Q479" s="1174"/>
      <c r="R479" s="1175"/>
      <c r="S479" s="1176"/>
      <c r="T479" s="1177"/>
      <c r="U479" s="5248"/>
      <c r="V479" s="1177"/>
      <c r="W479" s="5249"/>
      <c r="X479" s="5208"/>
      <c r="Y479" s="5209"/>
      <c r="Z479" s="5210"/>
      <c r="AA479" s="5211"/>
      <c r="AB479" s="1178"/>
      <c r="AC479" s="1179"/>
      <c r="AD479" s="227" t="s">
        <v>22</v>
      </c>
      <c r="AE479" s="1027" t="str">
        <f t="shared" si="206"/>
        <v>►</v>
      </c>
      <c r="AF479" s="1028" t="str">
        <f t="shared" si="207"/>
        <v/>
      </c>
      <c r="AG479" s="1029" t="str">
        <f t="shared" si="208"/>
        <v/>
      </c>
      <c r="AH479" s="1028" t="str">
        <f t="shared" si="209"/>
        <v/>
      </c>
      <c r="AI479" s="1029" t="str">
        <f t="shared" si="210"/>
        <v/>
      </c>
      <c r="AJ479" s="1029">
        <f t="shared" si="211"/>
        <v>0</v>
      </c>
      <c r="AK479" s="1043" t="str" cm="1">
        <f t="array" ref="AK479">IF(AE479&lt;&gt;"A","",IFERROR((IFERROR(_xlfn.XLOOKUP(TRIM(SUBSTITUTE(U479,CHAR(160)," ")),$BI$15:$BI$62,$BL$15:$BL$62),IFERROR(_xlfn.XLOOKUP(TRIM(SUBSTITUTE(U479,CHAR(160)," ")),$BJ$15:$BJ$62,$BL$15:$BL$62),_xlfn.XLOOKUP(TRIM(SUBSTITUTE(U479,CHAR(160)," ")),$BK$15:$BK$62,$BL$15:$BL$62))))*T479*IF(ISBLANK(Q479),1,Q479)+IFERROR(_xlfn.XLOOKUP("RECHERCHEX",TRIM(L479:AC479),L479:AC479),0),0))</f>
        <v/>
      </c>
      <c r="AL479" s="1030">
        <f t="shared" si="212"/>
        <v>0</v>
      </c>
      <c r="AM479" s="5254" t="str">
        <f t="shared" si="227"/>
        <v/>
      </c>
      <c r="AN479" s="1031">
        <f t="shared" si="213"/>
        <v>0</v>
      </c>
      <c r="AO479" s="1031">
        <f t="shared" si="214"/>
        <v>0</v>
      </c>
      <c r="AP479" s="1044">
        <f t="shared" si="215"/>
        <v>0</v>
      </c>
      <c r="AQ479" s="5257" t="str">
        <f t="shared" si="216"/>
        <v/>
      </c>
      <c r="AR479" s="1056"/>
      <c r="AS479" s="1056"/>
      <c r="AT479" s="1045">
        <f t="shared" si="217"/>
        <v>0</v>
      </c>
      <c r="AU479" s="1046">
        <f t="shared" si="218"/>
        <v>0</v>
      </c>
      <c r="AV479" s="1059" cm="1">
        <f t="array" ref="AV479">IF(AJ479&lt;&gt;1,0,IF(OR(AT479="",N(AT479)&lt;=0.000000001),"",IF(OR(AN479="",N(AN479)&lt;=0.000000001),0,IF(ISNUMBER(AT479),IFERROR(_xlfn.LET(_xlpm.ai_test,TRIM(AI479),_xlpm.r,IFERROR(_xlfn.XLOOKUP(_xlpm.ai_test,$BI$15:$BI$62,ROW($BI$15:$BI$62),0,1),IFERROR(_xlfn.XLOOKUP(_xlpm.ai_test,$BJ$15:$BJ$62,ROW($BJ$15:$BJ$62),0,1),_xlfn.XLOOKUP(_xlpm.ai_test,$BK$15:$BK$62,ROW($BK$15:$BK$62),0,1))),_xlpm.p,_xlpm.r-MIN(ROW($BI$15:$BI$62))+1,_xlpm.f,INDEX($BL$15:$BL$62,_xlpm.p),_xlpm.u,INDEX($BM$15:$BM$62,_xlpm.p),_xlpm.s,INDEX($BO$15:$BO$62,_xlpm.p),_xlpm.q,N(AT479)/_xlpm.f,IF(_xlpm.q&gt;=_xlpm.s,ROUND(_xlpm.q,1)&amp;" "&amp;_xlpm.ai_test&amp;" = "&amp;ROUND(_xlpm.q*_xlpm.f,1)&amp;" "&amp;_xlpm.u,ROUND(_xlpm.q,1)&amp;" "&amp;_xlpm.ai_test)),""),""))))</f>
        <v>0</v>
      </c>
      <c r="AW479" s="1047"/>
      <c r="AX479" s="1045">
        <f t="shared" si="219"/>
        <v>0</v>
      </c>
      <c r="AY479" s="1046" t="str">
        <f t="shared" si="220"/>
        <v/>
      </c>
      <c r="AZ479" s="1048">
        <f t="shared" si="225"/>
        <v>0</v>
      </c>
      <c r="BA479" s="1049" t="str">
        <f t="shared" si="221"/>
        <v/>
      </c>
      <c r="BB479" s="1038"/>
      <c r="BC479" s="1050">
        <f t="shared" si="226"/>
        <v>0</v>
      </c>
      <c r="BD479" s="1040" t="str">
        <f t="shared" si="222"/>
        <v/>
      </c>
      <c r="BE479" s="227" t="s">
        <v>22</v>
      </c>
      <c r="BF479" s="1019">
        <f t="shared" si="223"/>
        <v>0</v>
      </c>
      <c r="BG479" s="1020">
        <f t="shared" si="224"/>
        <v>0</v>
      </c>
      <c r="BH479"/>
      <c r="BI479" s="709"/>
      <c r="BJ479" s="709"/>
      <c r="BK479" s="709"/>
      <c r="BL479" s="709"/>
      <c r="BM479" s="709"/>
      <c r="BN479" s="709"/>
      <c r="BO479" s="709"/>
      <c r="BP479" s="709"/>
      <c r="BW479" s="959" t="str">
        <f t="shared" si="205"/>
        <v>►</v>
      </c>
      <c r="BX479" s="856"/>
      <c r="BY479" s="856"/>
      <c r="BZ479" s="856"/>
      <c r="CA479" s="856"/>
      <c r="CB479" s="856"/>
      <c r="DB479" s="3">
        <v>1</v>
      </c>
    </row>
    <row r="480" spans="12:106" ht="21" customHeight="1">
      <c r="L480" s="104" t="s">
        <v>16</v>
      </c>
      <c r="M480" s="1172"/>
      <c r="N480" s="1172"/>
      <c r="O480" s="1172"/>
      <c r="P480" s="1173"/>
      <c r="Q480" s="1174"/>
      <c r="R480" s="1175"/>
      <c r="S480" s="1176"/>
      <c r="T480" s="1177"/>
      <c r="U480" s="5248"/>
      <c r="V480" s="1177"/>
      <c r="W480" s="5249"/>
      <c r="X480" s="5208"/>
      <c r="Y480" s="5209"/>
      <c r="Z480" s="5210"/>
      <c r="AA480" s="5211"/>
      <c r="AB480" s="1178"/>
      <c r="AC480" s="1179"/>
      <c r="AD480" s="227" t="s">
        <v>22</v>
      </c>
      <c r="AE480" s="1027" t="str">
        <f t="shared" si="206"/>
        <v>►</v>
      </c>
      <c r="AF480" s="1028" t="str">
        <f t="shared" si="207"/>
        <v/>
      </c>
      <c r="AG480" s="1029" t="str">
        <f t="shared" si="208"/>
        <v/>
      </c>
      <c r="AH480" s="1028" t="str">
        <f t="shared" si="209"/>
        <v/>
      </c>
      <c r="AI480" s="1029" t="str">
        <f t="shared" si="210"/>
        <v/>
      </c>
      <c r="AJ480" s="1029">
        <f t="shared" si="211"/>
        <v>0</v>
      </c>
      <c r="AK480" s="1043" t="str" cm="1">
        <f t="array" ref="AK480">IF(AE480&lt;&gt;"A","",IFERROR((IFERROR(_xlfn.XLOOKUP(TRIM(SUBSTITUTE(U480,CHAR(160)," ")),$BI$15:$BI$62,$BL$15:$BL$62),IFERROR(_xlfn.XLOOKUP(TRIM(SUBSTITUTE(U480,CHAR(160)," ")),$BJ$15:$BJ$62,$BL$15:$BL$62),_xlfn.XLOOKUP(TRIM(SUBSTITUTE(U480,CHAR(160)," ")),$BK$15:$BK$62,$BL$15:$BL$62))))*T480*IF(ISBLANK(Q480),1,Q480)+IFERROR(_xlfn.XLOOKUP("RECHERCHEX",TRIM(L480:AC480),L480:AC480),0),0))</f>
        <v/>
      </c>
      <c r="AL480" s="1030">
        <f t="shared" si="212"/>
        <v>0</v>
      </c>
      <c r="AM480" s="5254" t="str">
        <f t="shared" si="227"/>
        <v/>
      </c>
      <c r="AN480" s="1031">
        <f t="shared" si="213"/>
        <v>0</v>
      </c>
      <c r="AO480" s="1031">
        <f t="shared" si="214"/>
        <v>0</v>
      </c>
      <c r="AP480" s="1032">
        <f t="shared" si="215"/>
        <v>0</v>
      </c>
      <c r="AQ480" s="5255" t="str">
        <f t="shared" si="216"/>
        <v/>
      </c>
      <c r="AR480" s="1056"/>
      <c r="AS480" s="1056"/>
      <c r="AT480" s="1034">
        <f t="shared" si="217"/>
        <v>0</v>
      </c>
      <c r="AU480" s="1035">
        <f t="shared" si="218"/>
        <v>0</v>
      </c>
      <c r="AV480" s="1057" cm="1">
        <f t="array" ref="AV480">IF(AJ480&lt;&gt;1,0,IF(OR(AT480="",N(AT480)&lt;=0.000000001),"",IF(OR(AN480="",N(AN480)&lt;=0.000000001),0,IF(ISNUMBER(AT480),IFERROR(_xlfn.LET(_xlpm.ai_test,TRIM(AI480),_xlpm.r,IFERROR(_xlfn.XLOOKUP(_xlpm.ai_test,$BI$15:$BI$62,ROW($BI$15:$BI$62),0,1),IFERROR(_xlfn.XLOOKUP(_xlpm.ai_test,$BJ$15:$BJ$62,ROW($BJ$15:$BJ$62),0,1),_xlfn.XLOOKUP(_xlpm.ai_test,$BK$15:$BK$62,ROW($BK$15:$BK$62),0,1))),_xlpm.p,_xlpm.r-MIN(ROW($BI$15:$BI$62))+1,_xlpm.f,INDEX($BL$15:$BL$62,_xlpm.p),_xlpm.u,INDEX($BM$15:$BM$62,_xlpm.p),_xlpm.s,INDEX($BO$15:$BO$62,_xlpm.p),_xlpm.q,N(AT480)/_xlpm.f,IF(_xlpm.q&gt;=_xlpm.s,ROUND(_xlpm.q,1)&amp;" "&amp;_xlpm.ai_test&amp;" = "&amp;ROUND(_xlpm.q*_xlpm.f,1)&amp;" "&amp;_xlpm.u,ROUND(_xlpm.q,1)&amp;" "&amp;_xlpm.ai_test)),""),""))))</f>
        <v>0</v>
      </c>
      <c r="AW480" s="1047"/>
      <c r="AX480" s="1034">
        <f t="shared" si="219"/>
        <v>0</v>
      </c>
      <c r="AY480" s="1035" t="str">
        <f t="shared" si="220"/>
        <v/>
      </c>
      <c r="AZ480" s="1036">
        <f t="shared" si="225"/>
        <v>0</v>
      </c>
      <c r="BA480" s="1037" t="str">
        <f t="shared" si="221"/>
        <v/>
      </c>
      <c r="BB480" s="1038"/>
      <c r="BC480" s="1039">
        <f t="shared" si="226"/>
        <v>0</v>
      </c>
      <c r="BD480" s="1040" t="str">
        <f t="shared" si="222"/>
        <v/>
      </c>
      <c r="BE480" s="227" t="s">
        <v>22</v>
      </c>
      <c r="BF480" s="1019">
        <f t="shared" si="223"/>
        <v>0</v>
      </c>
      <c r="BG480" s="1020">
        <f t="shared" si="224"/>
        <v>0</v>
      </c>
      <c r="BH480"/>
      <c r="BI480" s="709"/>
      <c r="BJ480" s="709"/>
      <c r="BK480" s="709"/>
      <c r="BL480" s="709"/>
      <c r="BM480" s="709"/>
      <c r="BN480" s="709"/>
      <c r="BO480" s="709"/>
      <c r="BP480" s="709"/>
      <c r="BW480" s="959" t="str">
        <f t="shared" si="205"/>
        <v>►</v>
      </c>
      <c r="BX480" s="856"/>
      <c r="BY480" s="856"/>
      <c r="BZ480" s="856"/>
      <c r="CA480" s="856"/>
      <c r="CB480" s="856"/>
      <c r="DB480" s="3">
        <v>1</v>
      </c>
    </row>
    <row r="481" spans="12:106" ht="21" customHeight="1">
      <c r="L481" s="104" t="s">
        <v>16</v>
      </c>
      <c r="M481" s="1172"/>
      <c r="N481" s="1172"/>
      <c r="O481" s="1172"/>
      <c r="P481" s="1173"/>
      <c r="Q481" s="1174"/>
      <c r="R481" s="1175"/>
      <c r="S481" s="1176"/>
      <c r="T481" s="1177"/>
      <c r="U481" s="5248"/>
      <c r="V481" s="1177"/>
      <c r="W481" s="5249"/>
      <c r="X481" s="5208"/>
      <c r="Y481" s="5209"/>
      <c r="Z481" s="5210"/>
      <c r="AA481" s="5211"/>
      <c r="AB481" s="1178"/>
      <c r="AC481" s="1179"/>
      <c r="AD481" s="227" t="s">
        <v>22</v>
      </c>
      <c r="AE481" s="1027" t="str">
        <f t="shared" si="206"/>
        <v>►</v>
      </c>
      <c r="AF481" s="1028" t="str">
        <f t="shared" si="207"/>
        <v/>
      </c>
      <c r="AG481" s="1029" t="str">
        <f t="shared" si="208"/>
        <v/>
      </c>
      <c r="AH481" s="1028" t="str">
        <f t="shared" si="209"/>
        <v/>
      </c>
      <c r="AI481" s="1029" t="str">
        <f t="shared" si="210"/>
        <v/>
      </c>
      <c r="AJ481" s="1029">
        <f t="shared" si="211"/>
        <v>0</v>
      </c>
      <c r="AK481" s="1043" t="str" cm="1">
        <f t="array" ref="AK481">IF(AE481&lt;&gt;"A","",IFERROR((IFERROR(_xlfn.XLOOKUP(TRIM(SUBSTITUTE(U481,CHAR(160)," ")),$BI$15:$BI$62,$BL$15:$BL$62),IFERROR(_xlfn.XLOOKUP(TRIM(SUBSTITUTE(U481,CHAR(160)," ")),$BJ$15:$BJ$62,$BL$15:$BL$62),_xlfn.XLOOKUP(TRIM(SUBSTITUTE(U481,CHAR(160)," ")),$BK$15:$BK$62,$BL$15:$BL$62))))*T481*IF(ISBLANK(Q481),1,Q481)+IFERROR(_xlfn.XLOOKUP("RECHERCHEX",TRIM(L481:AC481),L481:AC481),0),0))</f>
        <v/>
      </c>
      <c r="AL481" s="1030">
        <f t="shared" si="212"/>
        <v>0</v>
      </c>
      <c r="AM481" s="5254" t="str">
        <f t="shared" si="227"/>
        <v/>
      </c>
      <c r="AN481" s="1031">
        <f t="shared" si="213"/>
        <v>0</v>
      </c>
      <c r="AO481" s="1031">
        <f t="shared" si="214"/>
        <v>0</v>
      </c>
      <c r="AP481" s="1044">
        <f t="shared" si="215"/>
        <v>0</v>
      </c>
      <c r="AQ481" s="5257" t="str">
        <f t="shared" si="216"/>
        <v/>
      </c>
      <c r="AR481" s="1056"/>
      <c r="AS481" s="1056"/>
      <c r="AT481" s="1045">
        <f t="shared" si="217"/>
        <v>0</v>
      </c>
      <c r="AU481" s="1046">
        <f t="shared" si="218"/>
        <v>0</v>
      </c>
      <c r="AV481" s="1059" cm="1">
        <f t="array" ref="AV481">IF(AJ481&lt;&gt;1,0,IF(OR(AT481="",N(AT481)&lt;=0.000000001),"",IF(OR(AN481="",N(AN481)&lt;=0.000000001),0,IF(ISNUMBER(AT481),IFERROR(_xlfn.LET(_xlpm.ai_test,TRIM(AI481),_xlpm.r,IFERROR(_xlfn.XLOOKUP(_xlpm.ai_test,$BI$15:$BI$62,ROW($BI$15:$BI$62),0,1),IFERROR(_xlfn.XLOOKUP(_xlpm.ai_test,$BJ$15:$BJ$62,ROW($BJ$15:$BJ$62),0,1),_xlfn.XLOOKUP(_xlpm.ai_test,$BK$15:$BK$62,ROW($BK$15:$BK$62),0,1))),_xlpm.p,_xlpm.r-MIN(ROW($BI$15:$BI$62))+1,_xlpm.f,INDEX($BL$15:$BL$62,_xlpm.p),_xlpm.u,INDEX($BM$15:$BM$62,_xlpm.p),_xlpm.s,INDEX($BO$15:$BO$62,_xlpm.p),_xlpm.q,N(AT481)/_xlpm.f,IF(_xlpm.q&gt;=_xlpm.s,ROUND(_xlpm.q,1)&amp;" "&amp;_xlpm.ai_test&amp;" = "&amp;ROUND(_xlpm.q*_xlpm.f,1)&amp;" "&amp;_xlpm.u,ROUND(_xlpm.q,1)&amp;" "&amp;_xlpm.ai_test)),""),""))))</f>
        <v>0</v>
      </c>
      <c r="AW481" s="1047"/>
      <c r="AX481" s="1045">
        <f t="shared" si="219"/>
        <v>0</v>
      </c>
      <c r="AY481" s="1046" t="str">
        <f t="shared" si="220"/>
        <v/>
      </c>
      <c r="AZ481" s="1048">
        <f t="shared" si="225"/>
        <v>0</v>
      </c>
      <c r="BA481" s="1049" t="str">
        <f t="shared" si="221"/>
        <v/>
      </c>
      <c r="BB481" s="1038"/>
      <c r="BC481" s="1050">
        <f t="shared" si="226"/>
        <v>0</v>
      </c>
      <c r="BD481" s="1040" t="str">
        <f t="shared" si="222"/>
        <v/>
      </c>
      <c r="BE481" s="227" t="s">
        <v>22</v>
      </c>
      <c r="BF481" s="1019">
        <f t="shared" si="223"/>
        <v>0</v>
      </c>
      <c r="BG481" s="1020">
        <f t="shared" si="224"/>
        <v>0</v>
      </c>
      <c r="BH481"/>
      <c r="BI481" s="709"/>
      <c r="BJ481" s="709"/>
      <c r="BK481" s="709"/>
      <c r="BL481" s="709"/>
      <c r="BM481" s="709"/>
      <c r="BN481" s="709"/>
      <c r="BO481" s="709"/>
      <c r="BP481" s="709"/>
      <c r="BW481" s="959" t="str">
        <f t="shared" si="205"/>
        <v>►</v>
      </c>
      <c r="BX481" s="856"/>
      <c r="BY481" s="856"/>
      <c r="BZ481" s="856"/>
      <c r="CA481" s="856"/>
      <c r="CB481" s="856"/>
      <c r="DB481" s="3">
        <v>1</v>
      </c>
    </row>
    <row r="482" spans="12:106" ht="21" customHeight="1">
      <c r="L482" s="104" t="s">
        <v>16</v>
      </c>
      <c r="M482" s="1172"/>
      <c r="N482" s="1172"/>
      <c r="O482" s="1172"/>
      <c r="P482" s="1173"/>
      <c r="Q482" s="1174"/>
      <c r="R482" s="1175"/>
      <c r="S482" s="1176"/>
      <c r="T482" s="1177"/>
      <c r="U482" s="5248"/>
      <c r="V482" s="1177"/>
      <c r="W482" s="5249"/>
      <c r="X482" s="5208"/>
      <c r="Y482" s="5209"/>
      <c r="Z482" s="5210"/>
      <c r="AA482" s="5211"/>
      <c r="AB482" s="1178"/>
      <c r="AC482" s="1179"/>
      <c r="AD482" s="227" t="s">
        <v>22</v>
      </c>
      <c r="AE482" s="1027" t="str">
        <f t="shared" si="206"/>
        <v>►</v>
      </c>
      <c r="AF482" s="1028" t="str">
        <f t="shared" si="207"/>
        <v/>
      </c>
      <c r="AG482" s="1029" t="str">
        <f t="shared" si="208"/>
        <v/>
      </c>
      <c r="AH482" s="1028" t="str">
        <f t="shared" si="209"/>
        <v/>
      </c>
      <c r="AI482" s="1029" t="str">
        <f t="shared" si="210"/>
        <v/>
      </c>
      <c r="AJ482" s="1029">
        <f t="shared" si="211"/>
        <v>0</v>
      </c>
      <c r="AK482" s="1043" t="str" cm="1">
        <f t="array" ref="AK482">IF(AE482&lt;&gt;"A","",IFERROR((IFERROR(_xlfn.XLOOKUP(TRIM(SUBSTITUTE(U482,CHAR(160)," ")),$BI$15:$BI$62,$BL$15:$BL$62),IFERROR(_xlfn.XLOOKUP(TRIM(SUBSTITUTE(U482,CHAR(160)," ")),$BJ$15:$BJ$62,$BL$15:$BL$62),_xlfn.XLOOKUP(TRIM(SUBSTITUTE(U482,CHAR(160)," ")),$BK$15:$BK$62,$BL$15:$BL$62))))*T482*IF(ISBLANK(Q482),1,Q482)+IFERROR(_xlfn.XLOOKUP("RECHERCHEX",TRIM(L482:AC482),L482:AC482),0),0))</f>
        <v/>
      </c>
      <c r="AL482" s="1030">
        <f t="shared" si="212"/>
        <v>0</v>
      </c>
      <c r="AM482" s="5254" t="str">
        <f t="shared" si="227"/>
        <v/>
      </c>
      <c r="AN482" s="1031">
        <f t="shared" si="213"/>
        <v>0</v>
      </c>
      <c r="AO482" s="1031">
        <f t="shared" si="214"/>
        <v>0</v>
      </c>
      <c r="AP482" s="1032">
        <f t="shared" si="215"/>
        <v>0</v>
      </c>
      <c r="AQ482" s="5255" t="str">
        <f t="shared" si="216"/>
        <v/>
      </c>
      <c r="AR482" s="1056"/>
      <c r="AS482" s="1056"/>
      <c r="AT482" s="1034">
        <f t="shared" si="217"/>
        <v>0</v>
      </c>
      <c r="AU482" s="1035">
        <f t="shared" si="218"/>
        <v>0</v>
      </c>
      <c r="AV482" s="1057" cm="1">
        <f t="array" ref="AV482">IF(AJ482&lt;&gt;1,0,IF(OR(AT482="",N(AT482)&lt;=0.000000001),"",IF(OR(AN482="",N(AN482)&lt;=0.000000001),0,IF(ISNUMBER(AT482),IFERROR(_xlfn.LET(_xlpm.ai_test,TRIM(AI482),_xlpm.r,IFERROR(_xlfn.XLOOKUP(_xlpm.ai_test,$BI$15:$BI$62,ROW($BI$15:$BI$62),0,1),IFERROR(_xlfn.XLOOKUP(_xlpm.ai_test,$BJ$15:$BJ$62,ROW($BJ$15:$BJ$62),0,1),_xlfn.XLOOKUP(_xlpm.ai_test,$BK$15:$BK$62,ROW($BK$15:$BK$62),0,1))),_xlpm.p,_xlpm.r-MIN(ROW($BI$15:$BI$62))+1,_xlpm.f,INDEX($BL$15:$BL$62,_xlpm.p),_xlpm.u,INDEX($BM$15:$BM$62,_xlpm.p),_xlpm.s,INDEX($BO$15:$BO$62,_xlpm.p),_xlpm.q,N(AT482)/_xlpm.f,IF(_xlpm.q&gt;=_xlpm.s,ROUND(_xlpm.q,1)&amp;" "&amp;_xlpm.ai_test&amp;" = "&amp;ROUND(_xlpm.q*_xlpm.f,1)&amp;" "&amp;_xlpm.u,ROUND(_xlpm.q,1)&amp;" "&amp;_xlpm.ai_test)),""),""))))</f>
        <v>0</v>
      </c>
      <c r="AW482" s="1047"/>
      <c r="AX482" s="1034">
        <f t="shared" si="219"/>
        <v>0</v>
      </c>
      <c r="AY482" s="1035" t="str">
        <f t="shared" si="220"/>
        <v/>
      </c>
      <c r="AZ482" s="1036">
        <f t="shared" si="225"/>
        <v>0</v>
      </c>
      <c r="BA482" s="1037" t="str">
        <f t="shared" si="221"/>
        <v/>
      </c>
      <c r="BB482" s="1038"/>
      <c r="BC482" s="1039">
        <f t="shared" si="226"/>
        <v>0</v>
      </c>
      <c r="BD482" s="1040" t="str">
        <f t="shared" si="222"/>
        <v/>
      </c>
      <c r="BE482" s="227" t="s">
        <v>22</v>
      </c>
      <c r="BF482" s="1019">
        <f t="shared" si="223"/>
        <v>0</v>
      </c>
      <c r="BG482" s="1020">
        <f t="shared" si="224"/>
        <v>0</v>
      </c>
      <c r="BH482"/>
      <c r="BI482" s="709"/>
      <c r="BJ482" s="709"/>
      <c r="BK482" s="709"/>
      <c r="BL482" s="709"/>
      <c r="BM482" s="709"/>
      <c r="BN482" s="709"/>
      <c r="BO482" s="709"/>
      <c r="BP482" s="709"/>
      <c r="BW482" s="959" t="str">
        <f t="shared" si="205"/>
        <v>►</v>
      </c>
      <c r="BX482" s="856"/>
      <c r="BY482" s="856"/>
      <c r="BZ482" s="856"/>
      <c r="CA482" s="856"/>
      <c r="CB482" s="856"/>
      <c r="DB482" s="3">
        <v>1</v>
      </c>
    </row>
    <row r="483" spans="12:106" ht="21" customHeight="1">
      <c r="L483" s="104" t="s">
        <v>16</v>
      </c>
      <c r="M483" s="1172"/>
      <c r="N483" s="1172"/>
      <c r="O483" s="1172"/>
      <c r="P483" s="1173"/>
      <c r="Q483" s="1174"/>
      <c r="R483" s="1175"/>
      <c r="S483" s="1176"/>
      <c r="T483" s="1177"/>
      <c r="U483" s="5248"/>
      <c r="V483" s="1177"/>
      <c r="W483" s="5249"/>
      <c r="X483" s="5208"/>
      <c r="Y483" s="5209"/>
      <c r="Z483" s="5210"/>
      <c r="AA483" s="5211"/>
      <c r="AB483" s="1178"/>
      <c r="AC483" s="1179"/>
      <c r="AD483" s="227" t="s">
        <v>22</v>
      </c>
      <c r="AE483" s="1027" t="str">
        <f t="shared" si="206"/>
        <v>►</v>
      </c>
      <c r="AF483" s="1028" t="str">
        <f t="shared" si="207"/>
        <v/>
      </c>
      <c r="AG483" s="1029" t="str">
        <f t="shared" si="208"/>
        <v/>
      </c>
      <c r="AH483" s="1028" t="str">
        <f t="shared" si="209"/>
        <v/>
      </c>
      <c r="AI483" s="1029" t="str">
        <f t="shared" si="210"/>
        <v/>
      </c>
      <c r="AJ483" s="1029">
        <f t="shared" si="211"/>
        <v>0</v>
      </c>
      <c r="AK483" s="1043" t="str" cm="1">
        <f t="array" ref="AK483">IF(AE483&lt;&gt;"A","",IFERROR((IFERROR(_xlfn.XLOOKUP(TRIM(SUBSTITUTE(U483,CHAR(160)," ")),$BI$15:$BI$62,$BL$15:$BL$62),IFERROR(_xlfn.XLOOKUP(TRIM(SUBSTITUTE(U483,CHAR(160)," ")),$BJ$15:$BJ$62,$BL$15:$BL$62),_xlfn.XLOOKUP(TRIM(SUBSTITUTE(U483,CHAR(160)," ")),$BK$15:$BK$62,$BL$15:$BL$62))))*T483*IF(ISBLANK(Q483),1,Q483)+IFERROR(_xlfn.XLOOKUP("RECHERCHEX",TRIM(L483:AC483),L483:AC483),0),0))</f>
        <v/>
      </c>
      <c r="AL483" s="1030">
        <f t="shared" si="212"/>
        <v>0</v>
      </c>
      <c r="AM483" s="5254" t="str">
        <f t="shared" si="227"/>
        <v/>
      </c>
      <c r="AN483" s="1031">
        <f t="shared" si="213"/>
        <v>0</v>
      </c>
      <c r="AO483" s="1031">
        <f t="shared" si="214"/>
        <v>0</v>
      </c>
      <c r="AP483" s="1044">
        <f t="shared" si="215"/>
        <v>0</v>
      </c>
      <c r="AQ483" s="5257" t="str">
        <f t="shared" si="216"/>
        <v/>
      </c>
      <c r="AR483" s="1056"/>
      <c r="AS483" s="1056"/>
      <c r="AT483" s="1045">
        <f t="shared" si="217"/>
        <v>0</v>
      </c>
      <c r="AU483" s="1046">
        <f t="shared" si="218"/>
        <v>0</v>
      </c>
      <c r="AV483" s="1059" cm="1">
        <f t="array" ref="AV483">IF(AJ483&lt;&gt;1,0,IF(OR(AT483="",N(AT483)&lt;=0.000000001),"",IF(OR(AN483="",N(AN483)&lt;=0.000000001),0,IF(ISNUMBER(AT483),IFERROR(_xlfn.LET(_xlpm.ai_test,TRIM(AI483),_xlpm.r,IFERROR(_xlfn.XLOOKUP(_xlpm.ai_test,$BI$15:$BI$62,ROW($BI$15:$BI$62),0,1),IFERROR(_xlfn.XLOOKUP(_xlpm.ai_test,$BJ$15:$BJ$62,ROW($BJ$15:$BJ$62),0,1),_xlfn.XLOOKUP(_xlpm.ai_test,$BK$15:$BK$62,ROW($BK$15:$BK$62),0,1))),_xlpm.p,_xlpm.r-MIN(ROW($BI$15:$BI$62))+1,_xlpm.f,INDEX($BL$15:$BL$62,_xlpm.p),_xlpm.u,INDEX($BM$15:$BM$62,_xlpm.p),_xlpm.s,INDEX($BO$15:$BO$62,_xlpm.p),_xlpm.q,N(AT483)/_xlpm.f,IF(_xlpm.q&gt;=_xlpm.s,ROUND(_xlpm.q,1)&amp;" "&amp;_xlpm.ai_test&amp;" = "&amp;ROUND(_xlpm.q*_xlpm.f,1)&amp;" "&amp;_xlpm.u,ROUND(_xlpm.q,1)&amp;" "&amp;_xlpm.ai_test)),""),""))))</f>
        <v>0</v>
      </c>
      <c r="AW483" s="1047"/>
      <c r="AX483" s="1045">
        <f t="shared" si="219"/>
        <v>0</v>
      </c>
      <c r="AY483" s="1046" t="str">
        <f t="shared" si="220"/>
        <v/>
      </c>
      <c r="AZ483" s="1048">
        <f t="shared" si="225"/>
        <v>0</v>
      </c>
      <c r="BA483" s="1049" t="str">
        <f t="shared" si="221"/>
        <v/>
      </c>
      <c r="BB483" s="1038"/>
      <c r="BC483" s="1050">
        <f t="shared" si="226"/>
        <v>0</v>
      </c>
      <c r="BD483" s="1040" t="str">
        <f t="shared" si="222"/>
        <v/>
      </c>
      <c r="BE483" s="227" t="s">
        <v>22</v>
      </c>
      <c r="BF483" s="1019">
        <f t="shared" si="223"/>
        <v>0</v>
      </c>
      <c r="BG483" s="1020">
        <f t="shared" si="224"/>
        <v>0</v>
      </c>
      <c r="BH483"/>
      <c r="BI483" s="709"/>
      <c r="BJ483" s="709"/>
      <c r="BK483" s="709"/>
      <c r="BL483" s="709"/>
      <c r="BM483" s="709"/>
      <c r="BN483" s="709"/>
      <c r="BO483" s="709"/>
      <c r="BP483" s="709"/>
      <c r="BW483" s="959" t="str">
        <f t="shared" si="205"/>
        <v>►</v>
      </c>
      <c r="BX483" s="856"/>
      <c r="BY483" s="856"/>
      <c r="BZ483" s="856"/>
      <c r="CA483" s="856"/>
      <c r="CB483" s="856"/>
      <c r="DB483" s="3">
        <v>1</v>
      </c>
    </row>
    <row r="484" spans="12:106" ht="21" customHeight="1">
      <c r="L484" s="104" t="s">
        <v>16</v>
      </c>
      <c r="M484" s="1172"/>
      <c r="N484" s="1172"/>
      <c r="O484" s="1172"/>
      <c r="P484" s="1173"/>
      <c r="Q484" s="1174"/>
      <c r="R484" s="1175"/>
      <c r="S484" s="1176"/>
      <c r="T484" s="1177"/>
      <c r="U484" s="5248"/>
      <c r="V484" s="1177"/>
      <c r="W484" s="5249"/>
      <c r="X484" s="5208"/>
      <c r="Y484" s="5209"/>
      <c r="Z484" s="5210"/>
      <c r="AA484" s="5211"/>
      <c r="AB484" s="1178"/>
      <c r="AC484" s="1179"/>
      <c r="AD484" s="227" t="s">
        <v>22</v>
      </c>
      <c r="AE484" s="1027" t="str">
        <f t="shared" si="206"/>
        <v>►</v>
      </c>
      <c r="AF484" s="1028" t="str">
        <f t="shared" si="207"/>
        <v/>
      </c>
      <c r="AG484" s="1029" t="str">
        <f t="shared" si="208"/>
        <v/>
      </c>
      <c r="AH484" s="1028" t="str">
        <f t="shared" si="209"/>
        <v/>
      </c>
      <c r="AI484" s="1029" t="str">
        <f t="shared" si="210"/>
        <v/>
      </c>
      <c r="AJ484" s="1029">
        <f t="shared" si="211"/>
        <v>0</v>
      </c>
      <c r="AK484" s="1043" t="str" cm="1">
        <f t="array" ref="AK484">IF(AE484&lt;&gt;"A","",IFERROR((IFERROR(_xlfn.XLOOKUP(TRIM(SUBSTITUTE(U484,CHAR(160)," ")),$BI$15:$BI$62,$BL$15:$BL$62),IFERROR(_xlfn.XLOOKUP(TRIM(SUBSTITUTE(U484,CHAR(160)," ")),$BJ$15:$BJ$62,$BL$15:$BL$62),_xlfn.XLOOKUP(TRIM(SUBSTITUTE(U484,CHAR(160)," ")),$BK$15:$BK$62,$BL$15:$BL$62))))*T484*IF(ISBLANK(Q484),1,Q484)+IFERROR(_xlfn.XLOOKUP("RECHERCHEX",TRIM(L484:AC484),L484:AC484),0),0))</f>
        <v/>
      </c>
      <c r="AL484" s="1030">
        <f t="shared" si="212"/>
        <v>0</v>
      </c>
      <c r="AM484" s="5254" t="str">
        <f t="shared" si="227"/>
        <v/>
      </c>
      <c r="AN484" s="1031">
        <f t="shared" si="213"/>
        <v>0</v>
      </c>
      <c r="AO484" s="1031">
        <f t="shared" si="214"/>
        <v>0</v>
      </c>
      <c r="AP484" s="1032">
        <f t="shared" si="215"/>
        <v>0</v>
      </c>
      <c r="AQ484" s="5255" t="str">
        <f t="shared" si="216"/>
        <v/>
      </c>
      <c r="AR484" s="1056"/>
      <c r="AS484" s="1056"/>
      <c r="AT484" s="1034">
        <f t="shared" si="217"/>
        <v>0</v>
      </c>
      <c r="AU484" s="1035">
        <f t="shared" si="218"/>
        <v>0</v>
      </c>
      <c r="AV484" s="1057" cm="1">
        <f t="array" ref="AV484">IF(AJ484&lt;&gt;1,0,IF(OR(AT484="",N(AT484)&lt;=0.000000001),"",IF(OR(AN484="",N(AN484)&lt;=0.000000001),0,IF(ISNUMBER(AT484),IFERROR(_xlfn.LET(_xlpm.ai_test,TRIM(AI484),_xlpm.r,IFERROR(_xlfn.XLOOKUP(_xlpm.ai_test,$BI$15:$BI$62,ROW($BI$15:$BI$62),0,1),IFERROR(_xlfn.XLOOKUP(_xlpm.ai_test,$BJ$15:$BJ$62,ROW($BJ$15:$BJ$62),0,1),_xlfn.XLOOKUP(_xlpm.ai_test,$BK$15:$BK$62,ROW($BK$15:$BK$62),0,1))),_xlpm.p,_xlpm.r-MIN(ROW($BI$15:$BI$62))+1,_xlpm.f,INDEX($BL$15:$BL$62,_xlpm.p),_xlpm.u,INDEX($BM$15:$BM$62,_xlpm.p),_xlpm.s,INDEX($BO$15:$BO$62,_xlpm.p),_xlpm.q,N(AT484)/_xlpm.f,IF(_xlpm.q&gt;=_xlpm.s,ROUND(_xlpm.q,1)&amp;" "&amp;_xlpm.ai_test&amp;" = "&amp;ROUND(_xlpm.q*_xlpm.f,1)&amp;" "&amp;_xlpm.u,ROUND(_xlpm.q,1)&amp;" "&amp;_xlpm.ai_test)),""),""))))</f>
        <v>0</v>
      </c>
      <c r="AW484" s="1047"/>
      <c r="AX484" s="1034">
        <f t="shared" si="219"/>
        <v>0</v>
      </c>
      <c r="AY484" s="1035" t="str">
        <f t="shared" si="220"/>
        <v/>
      </c>
      <c r="AZ484" s="1036">
        <f t="shared" si="225"/>
        <v>0</v>
      </c>
      <c r="BA484" s="1037" t="str">
        <f t="shared" si="221"/>
        <v/>
      </c>
      <c r="BB484" s="1038"/>
      <c r="BC484" s="1039">
        <f t="shared" si="226"/>
        <v>0</v>
      </c>
      <c r="BD484" s="1040" t="str">
        <f t="shared" si="222"/>
        <v/>
      </c>
      <c r="BE484" s="227" t="s">
        <v>22</v>
      </c>
      <c r="BF484" s="1019">
        <f t="shared" si="223"/>
        <v>0</v>
      </c>
      <c r="BG484" s="1020">
        <f t="shared" si="224"/>
        <v>0</v>
      </c>
      <c r="BH484"/>
      <c r="BI484" s="709"/>
      <c r="BJ484" s="709"/>
      <c r="BK484" s="709"/>
      <c r="BL484" s="709"/>
      <c r="BM484" s="709"/>
      <c r="BN484" s="709"/>
      <c r="BO484" s="709"/>
      <c r="BP484" s="709"/>
      <c r="BW484" s="959" t="str">
        <f t="shared" si="205"/>
        <v>►</v>
      </c>
      <c r="BX484" s="856"/>
      <c r="BY484" s="856"/>
      <c r="BZ484" s="856"/>
      <c r="CA484" s="856"/>
      <c r="CB484" s="856"/>
      <c r="DB484" s="3">
        <v>1</v>
      </c>
    </row>
    <row r="485" spans="12:106" ht="21" customHeight="1">
      <c r="L485" s="104" t="s">
        <v>16</v>
      </c>
      <c r="M485" s="1172"/>
      <c r="N485" s="1172"/>
      <c r="O485" s="1172"/>
      <c r="P485" s="1173"/>
      <c r="Q485" s="1174"/>
      <c r="R485" s="1175"/>
      <c r="S485" s="1176"/>
      <c r="T485" s="1177"/>
      <c r="U485" s="5248"/>
      <c r="V485" s="1177"/>
      <c r="W485" s="5249"/>
      <c r="X485" s="5208"/>
      <c r="Y485" s="5209"/>
      <c r="Z485" s="5210"/>
      <c r="AA485" s="5211"/>
      <c r="AB485" s="1178"/>
      <c r="AC485" s="1179"/>
      <c r="AD485" s="227" t="s">
        <v>22</v>
      </c>
      <c r="AE485" s="1027" t="str">
        <f t="shared" si="206"/>
        <v>►</v>
      </c>
      <c r="AF485" s="1028" t="str">
        <f t="shared" si="207"/>
        <v/>
      </c>
      <c r="AG485" s="1029" t="str">
        <f t="shared" si="208"/>
        <v/>
      </c>
      <c r="AH485" s="1028" t="str">
        <f t="shared" si="209"/>
        <v/>
      </c>
      <c r="AI485" s="1029" t="str">
        <f t="shared" si="210"/>
        <v/>
      </c>
      <c r="AJ485" s="1029">
        <f t="shared" si="211"/>
        <v>0</v>
      </c>
      <c r="AK485" s="1043" t="str" cm="1">
        <f t="array" ref="AK485">IF(AE485&lt;&gt;"A","",IFERROR((IFERROR(_xlfn.XLOOKUP(TRIM(SUBSTITUTE(U485,CHAR(160)," ")),$BI$15:$BI$62,$BL$15:$BL$62),IFERROR(_xlfn.XLOOKUP(TRIM(SUBSTITUTE(U485,CHAR(160)," ")),$BJ$15:$BJ$62,$BL$15:$BL$62),_xlfn.XLOOKUP(TRIM(SUBSTITUTE(U485,CHAR(160)," ")),$BK$15:$BK$62,$BL$15:$BL$62))))*T485*IF(ISBLANK(Q485),1,Q485)+IFERROR(_xlfn.XLOOKUP("RECHERCHEX",TRIM(L485:AC485),L485:AC485),0),0))</f>
        <v/>
      </c>
      <c r="AL485" s="1030">
        <f t="shared" si="212"/>
        <v>0</v>
      </c>
      <c r="AM485" s="5254" t="str">
        <f t="shared" si="227"/>
        <v/>
      </c>
      <c r="AN485" s="1031">
        <f t="shared" si="213"/>
        <v>0</v>
      </c>
      <c r="AO485" s="1031">
        <f t="shared" si="214"/>
        <v>0</v>
      </c>
      <c r="AP485" s="1044">
        <f t="shared" si="215"/>
        <v>0</v>
      </c>
      <c r="AQ485" s="5257" t="str">
        <f t="shared" si="216"/>
        <v/>
      </c>
      <c r="AR485" s="1056"/>
      <c r="AS485" s="1056"/>
      <c r="AT485" s="1045">
        <f t="shared" si="217"/>
        <v>0</v>
      </c>
      <c r="AU485" s="1046">
        <f t="shared" si="218"/>
        <v>0</v>
      </c>
      <c r="AV485" s="1059" cm="1">
        <f t="array" ref="AV485">IF(AJ485&lt;&gt;1,0,IF(OR(AT485="",N(AT485)&lt;=0.000000001),"",IF(OR(AN485="",N(AN485)&lt;=0.000000001),0,IF(ISNUMBER(AT485),IFERROR(_xlfn.LET(_xlpm.ai_test,TRIM(AI485),_xlpm.r,IFERROR(_xlfn.XLOOKUP(_xlpm.ai_test,$BI$15:$BI$62,ROW($BI$15:$BI$62),0,1),IFERROR(_xlfn.XLOOKUP(_xlpm.ai_test,$BJ$15:$BJ$62,ROW($BJ$15:$BJ$62),0,1),_xlfn.XLOOKUP(_xlpm.ai_test,$BK$15:$BK$62,ROW($BK$15:$BK$62),0,1))),_xlpm.p,_xlpm.r-MIN(ROW($BI$15:$BI$62))+1,_xlpm.f,INDEX($BL$15:$BL$62,_xlpm.p),_xlpm.u,INDEX($BM$15:$BM$62,_xlpm.p),_xlpm.s,INDEX($BO$15:$BO$62,_xlpm.p),_xlpm.q,N(AT485)/_xlpm.f,IF(_xlpm.q&gt;=_xlpm.s,ROUND(_xlpm.q,1)&amp;" "&amp;_xlpm.ai_test&amp;" = "&amp;ROUND(_xlpm.q*_xlpm.f,1)&amp;" "&amp;_xlpm.u,ROUND(_xlpm.q,1)&amp;" "&amp;_xlpm.ai_test)),""),""))))</f>
        <v>0</v>
      </c>
      <c r="AW485" s="1047"/>
      <c r="AX485" s="1045">
        <f t="shared" si="219"/>
        <v>0</v>
      </c>
      <c r="AY485" s="1046" t="str">
        <f t="shared" si="220"/>
        <v/>
      </c>
      <c r="AZ485" s="1048">
        <f t="shared" si="225"/>
        <v>0</v>
      </c>
      <c r="BA485" s="1049" t="str">
        <f t="shared" si="221"/>
        <v/>
      </c>
      <c r="BB485" s="1038"/>
      <c r="BC485" s="1050">
        <f t="shared" si="226"/>
        <v>0</v>
      </c>
      <c r="BD485" s="1040" t="str">
        <f t="shared" si="222"/>
        <v/>
      </c>
      <c r="BE485" s="227" t="s">
        <v>22</v>
      </c>
      <c r="BF485" s="1019">
        <f t="shared" si="223"/>
        <v>0</v>
      </c>
      <c r="BG485" s="1020">
        <f t="shared" si="224"/>
        <v>0</v>
      </c>
      <c r="BH485"/>
      <c r="BI485" s="709"/>
      <c r="BJ485" s="709"/>
      <c r="BK485" s="709"/>
      <c r="BL485" s="709"/>
      <c r="BM485" s="709"/>
      <c r="BN485" s="709"/>
      <c r="BO485" s="709"/>
      <c r="BP485" s="709"/>
      <c r="BW485" s="959" t="str">
        <f t="shared" si="205"/>
        <v>►</v>
      </c>
      <c r="BX485" s="856"/>
      <c r="BY485" s="856"/>
      <c r="BZ485" s="856"/>
      <c r="CA485" s="856"/>
      <c r="CB485" s="856"/>
      <c r="DB485" s="3">
        <v>1</v>
      </c>
    </row>
    <row r="486" spans="12:106" ht="21" customHeight="1">
      <c r="L486" s="104" t="s">
        <v>16</v>
      </c>
      <c r="M486" s="1172"/>
      <c r="N486" s="1172"/>
      <c r="O486" s="1172"/>
      <c r="P486" s="1173"/>
      <c r="Q486" s="1174"/>
      <c r="R486" s="1175"/>
      <c r="S486" s="1176"/>
      <c r="T486" s="1177"/>
      <c r="U486" s="5248"/>
      <c r="V486" s="1177"/>
      <c r="W486" s="5249"/>
      <c r="X486" s="5208"/>
      <c r="Y486" s="5209"/>
      <c r="Z486" s="5210"/>
      <c r="AA486" s="5211"/>
      <c r="AB486" s="1178"/>
      <c r="AC486" s="1179"/>
      <c r="AD486" s="227" t="s">
        <v>22</v>
      </c>
      <c r="AE486" s="1027" t="str">
        <f t="shared" si="206"/>
        <v>►</v>
      </c>
      <c r="AF486" s="1028" t="str">
        <f t="shared" si="207"/>
        <v/>
      </c>
      <c r="AG486" s="1029" t="str">
        <f t="shared" si="208"/>
        <v/>
      </c>
      <c r="AH486" s="1028" t="str">
        <f t="shared" si="209"/>
        <v/>
      </c>
      <c r="AI486" s="1029" t="str">
        <f t="shared" si="210"/>
        <v/>
      </c>
      <c r="AJ486" s="1029">
        <f t="shared" si="211"/>
        <v>0</v>
      </c>
      <c r="AK486" s="1043" t="str" cm="1">
        <f t="array" ref="AK486">IF(AE486&lt;&gt;"A","",IFERROR((IFERROR(_xlfn.XLOOKUP(TRIM(SUBSTITUTE(U486,CHAR(160)," ")),$BI$15:$BI$62,$BL$15:$BL$62),IFERROR(_xlfn.XLOOKUP(TRIM(SUBSTITUTE(U486,CHAR(160)," ")),$BJ$15:$BJ$62,$BL$15:$BL$62),_xlfn.XLOOKUP(TRIM(SUBSTITUTE(U486,CHAR(160)," ")),$BK$15:$BK$62,$BL$15:$BL$62))))*T486*IF(ISBLANK(Q486),1,Q486)+IFERROR(_xlfn.XLOOKUP("RECHERCHEX",TRIM(L486:AC486),L486:AC486),0),0))</f>
        <v/>
      </c>
      <c r="AL486" s="1030">
        <f t="shared" si="212"/>
        <v>0</v>
      </c>
      <c r="AM486" s="5254" t="str">
        <f t="shared" si="227"/>
        <v/>
      </c>
      <c r="AN486" s="1031">
        <f t="shared" si="213"/>
        <v>0</v>
      </c>
      <c r="AO486" s="1031">
        <f t="shared" si="214"/>
        <v>0</v>
      </c>
      <c r="AP486" s="1032">
        <f t="shared" si="215"/>
        <v>0</v>
      </c>
      <c r="AQ486" s="5255" t="str">
        <f t="shared" si="216"/>
        <v/>
      </c>
      <c r="AR486" s="1056"/>
      <c r="AS486" s="1056"/>
      <c r="AT486" s="1034">
        <f t="shared" si="217"/>
        <v>0</v>
      </c>
      <c r="AU486" s="1035">
        <f t="shared" si="218"/>
        <v>0</v>
      </c>
      <c r="AV486" s="1057" cm="1">
        <f t="array" ref="AV486">IF(AJ486&lt;&gt;1,0,IF(OR(AT486="",N(AT486)&lt;=0.000000001),"",IF(OR(AN486="",N(AN486)&lt;=0.000000001),0,IF(ISNUMBER(AT486),IFERROR(_xlfn.LET(_xlpm.ai_test,TRIM(AI486),_xlpm.r,IFERROR(_xlfn.XLOOKUP(_xlpm.ai_test,$BI$15:$BI$62,ROW($BI$15:$BI$62),0,1),IFERROR(_xlfn.XLOOKUP(_xlpm.ai_test,$BJ$15:$BJ$62,ROW($BJ$15:$BJ$62),0,1),_xlfn.XLOOKUP(_xlpm.ai_test,$BK$15:$BK$62,ROW($BK$15:$BK$62),0,1))),_xlpm.p,_xlpm.r-MIN(ROW($BI$15:$BI$62))+1,_xlpm.f,INDEX($BL$15:$BL$62,_xlpm.p),_xlpm.u,INDEX($BM$15:$BM$62,_xlpm.p),_xlpm.s,INDEX($BO$15:$BO$62,_xlpm.p),_xlpm.q,N(AT486)/_xlpm.f,IF(_xlpm.q&gt;=_xlpm.s,ROUND(_xlpm.q,1)&amp;" "&amp;_xlpm.ai_test&amp;" = "&amp;ROUND(_xlpm.q*_xlpm.f,1)&amp;" "&amp;_xlpm.u,ROUND(_xlpm.q,1)&amp;" "&amp;_xlpm.ai_test)),""),""))))</f>
        <v>0</v>
      </c>
      <c r="AW486" s="1047"/>
      <c r="AX486" s="1034">
        <f t="shared" si="219"/>
        <v>0</v>
      </c>
      <c r="AY486" s="1035" t="str">
        <f t="shared" si="220"/>
        <v/>
      </c>
      <c r="AZ486" s="1036">
        <f t="shared" si="225"/>
        <v>0</v>
      </c>
      <c r="BA486" s="1037" t="str">
        <f t="shared" si="221"/>
        <v/>
      </c>
      <c r="BB486" s="1038"/>
      <c r="BC486" s="1039">
        <f t="shared" si="226"/>
        <v>0</v>
      </c>
      <c r="BD486" s="1040" t="str">
        <f t="shared" si="222"/>
        <v/>
      </c>
      <c r="BE486" s="227" t="s">
        <v>22</v>
      </c>
      <c r="BF486" s="1019">
        <f t="shared" si="223"/>
        <v>0</v>
      </c>
      <c r="BG486" s="1020">
        <f t="shared" si="224"/>
        <v>0</v>
      </c>
      <c r="BH486"/>
      <c r="BI486" s="709"/>
      <c r="BJ486" s="709"/>
      <c r="BK486" s="709"/>
      <c r="BL486" s="709"/>
      <c r="BM486" s="709"/>
      <c r="BN486" s="709"/>
      <c r="BO486" s="709"/>
      <c r="BP486" s="709"/>
      <c r="BW486" s="959" t="str">
        <f t="shared" si="205"/>
        <v>►</v>
      </c>
      <c r="BX486" s="856"/>
      <c r="BY486" s="856"/>
      <c r="BZ486" s="856"/>
      <c r="CA486" s="856"/>
      <c r="CB486" s="856"/>
      <c r="DB486" s="3">
        <v>1</v>
      </c>
    </row>
    <row r="487" spans="12:106" ht="21" customHeight="1">
      <c r="L487" s="104" t="s">
        <v>16</v>
      </c>
      <c r="M487" s="1172"/>
      <c r="N487" s="1172"/>
      <c r="O487" s="1172"/>
      <c r="P487" s="1173"/>
      <c r="Q487" s="1174"/>
      <c r="R487" s="1175"/>
      <c r="S487" s="1176"/>
      <c r="T487" s="1177"/>
      <c r="U487" s="5248"/>
      <c r="V487" s="1177"/>
      <c r="W487" s="5249"/>
      <c r="X487" s="5208"/>
      <c r="Y487" s="5209"/>
      <c r="Z487" s="5210"/>
      <c r="AA487" s="5211"/>
      <c r="AB487" s="1178"/>
      <c r="AC487" s="1179"/>
      <c r="AD487" s="227" t="s">
        <v>22</v>
      </c>
      <c r="AE487" s="1027" t="str">
        <f t="shared" si="206"/>
        <v>►</v>
      </c>
      <c r="AF487" s="1028" t="str">
        <f t="shared" si="207"/>
        <v/>
      </c>
      <c r="AG487" s="1029" t="str">
        <f t="shared" si="208"/>
        <v/>
      </c>
      <c r="AH487" s="1028" t="str">
        <f t="shared" si="209"/>
        <v/>
      </c>
      <c r="AI487" s="1029" t="str">
        <f t="shared" si="210"/>
        <v/>
      </c>
      <c r="AJ487" s="1029">
        <f t="shared" si="211"/>
        <v>0</v>
      </c>
      <c r="AK487" s="1043" t="str" cm="1">
        <f t="array" ref="AK487">IF(AE487&lt;&gt;"A","",IFERROR((IFERROR(_xlfn.XLOOKUP(TRIM(SUBSTITUTE(U487,CHAR(160)," ")),$BI$15:$BI$62,$BL$15:$BL$62),IFERROR(_xlfn.XLOOKUP(TRIM(SUBSTITUTE(U487,CHAR(160)," ")),$BJ$15:$BJ$62,$BL$15:$BL$62),_xlfn.XLOOKUP(TRIM(SUBSTITUTE(U487,CHAR(160)," ")),$BK$15:$BK$62,$BL$15:$BL$62))))*T487*IF(ISBLANK(Q487),1,Q487)+IFERROR(_xlfn.XLOOKUP("RECHERCHEX",TRIM(L487:AC487),L487:AC487),0),0))</f>
        <v/>
      </c>
      <c r="AL487" s="1030">
        <f t="shared" si="212"/>
        <v>0</v>
      </c>
      <c r="AM487" s="5254" t="str">
        <f t="shared" si="227"/>
        <v/>
      </c>
      <c r="AN487" s="1031">
        <f t="shared" si="213"/>
        <v>0</v>
      </c>
      <c r="AO487" s="1031">
        <f t="shared" si="214"/>
        <v>0</v>
      </c>
      <c r="AP487" s="1044">
        <f t="shared" si="215"/>
        <v>0</v>
      </c>
      <c r="AQ487" s="5257" t="str">
        <f t="shared" si="216"/>
        <v/>
      </c>
      <c r="AR487" s="1056"/>
      <c r="AS487" s="1056"/>
      <c r="AT487" s="1045">
        <f t="shared" si="217"/>
        <v>0</v>
      </c>
      <c r="AU487" s="1046">
        <f t="shared" si="218"/>
        <v>0</v>
      </c>
      <c r="AV487" s="1059" cm="1">
        <f t="array" ref="AV487">IF(AJ487&lt;&gt;1,0,IF(OR(AT487="",N(AT487)&lt;=0.000000001),"",IF(OR(AN487="",N(AN487)&lt;=0.000000001),0,IF(ISNUMBER(AT487),IFERROR(_xlfn.LET(_xlpm.ai_test,TRIM(AI487),_xlpm.r,IFERROR(_xlfn.XLOOKUP(_xlpm.ai_test,$BI$15:$BI$62,ROW($BI$15:$BI$62),0,1),IFERROR(_xlfn.XLOOKUP(_xlpm.ai_test,$BJ$15:$BJ$62,ROW($BJ$15:$BJ$62),0,1),_xlfn.XLOOKUP(_xlpm.ai_test,$BK$15:$BK$62,ROW($BK$15:$BK$62),0,1))),_xlpm.p,_xlpm.r-MIN(ROW($BI$15:$BI$62))+1,_xlpm.f,INDEX($BL$15:$BL$62,_xlpm.p),_xlpm.u,INDEX($BM$15:$BM$62,_xlpm.p),_xlpm.s,INDEX($BO$15:$BO$62,_xlpm.p),_xlpm.q,N(AT487)/_xlpm.f,IF(_xlpm.q&gt;=_xlpm.s,ROUND(_xlpm.q,1)&amp;" "&amp;_xlpm.ai_test&amp;" = "&amp;ROUND(_xlpm.q*_xlpm.f,1)&amp;" "&amp;_xlpm.u,ROUND(_xlpm.q,1)&amp;" "&amp;_xlpm.ai_test)),""),""))))</f>
        <v>0</v>
      </c>
      <c r="AW487" s="1047"/>
      <c r="AX487" s="1045">
        <f t="shared" si="219"/>
        <v>0</v>
      </c>
      <c r="AY487" s="1046" t="str">
        <f t="shared" si="220"/>
        <v/>
      </c>
      <c r="AZ487" s="1048">
        <f t="shared" si="225"/>
        <v>0</v>
      </c>
      <c r="BA487" s="1049" t="str">
        <f t="shared" si="221"/>
        <v/>
      </c>
      <c r="BB487" s="1038"/>
      <c r="BC487" s="1050">
        <f t="shared" si="226"/>
        <v>0</v>
      </c>
      <c r="BD487" s="1040" t="str">
        <f t="shared" si="222"/>
        <v/>
      </c>
      <c r="BE487" s="227" t="s">
        <v>22</v>
      </c>
      <c r="BF487" s="1019">
        <f t="shared" si="223"/>
        <v>0</v>
      </c>
      <c r="BG487" s="1020">
        <f t="shared" si="224"/>
        <v>0</v>
      </c>
      <c r="BH487"/>
      <c r="BI487" s="709"/>
      <c r="BJ487" s="709"/>
      <c r="BK487" s="709"/>
      <c r="BL487" s="709"/>
      <c r="BM487" s="709"/>
      <c r="BN487" s="709"/>
      <c r="BO487" s="709"/>
      <c r="BP487" s="709"/>
      <c r="BW487" s="959" t="str">
        <f t="shared" si="205"/>
        <v>►</v>
      </c>
      <c r="BX487" s="856"/>
      <c r="BY487" s="856"/>
      <c r="BZ487" s="856"/>
      <c r="CA487" s="856"/>
      <c r="CB487" s="856"/>
      <c r="DB487" s="3">
        <v>1</v>
      </c>
    </row>
    <row r="488" spans="12:106" ht="21" customHeight="1">
      <c r="L488" s="104" t="s">
        <v>16</v>
      </c>
      <c r="M488" s="1172"/>
      <c r="N488" s="1172"/>
      <c r="O488" s="1172"/>
      <c r="P488" s="1173"/>
      <c r="Q488" s="1174"/>
      <c r="R488" s="1175"/>
      <c r="S488" s="1176"/>
      <c r="T488" s="1177"/>
      <c r="U488" s="5248"/>
      <c r="V488" s="1177"/>
      <c r="W488" s="5249"/>
      <c r="X488" s="5208"/>
      <c r="Y488" s="5209"/>
      <c r="Z488" s="5210"/>
      <c r="AA488" s="5211"/>
      <c r="AB488" s="1178"/>
      <c r="AC488" s="1179"/>
      <c r="AD488" s="227" t="s">
        <v>22</v>
      </c>
      <c r="AE488" s="1027" t="str">
        <f t="shared" si="206"/>
        <v>►</v>
      </c>
      <c r="AF488" s="1028" t="str">
        <f t="shared" si="207"/>
        <v/>
      </c>
      <c r="AG488" s="1029" t="str">
        <f t="shared" si="208"/>
        <v/>
      </c>
      <c r="AH488" s="1028" t="str">
        <f t="shared" si="209"/>
        <v/>
      </c>
      <c r="AI488" s="1029" t="str">
        <f t="shared" si="210"/>
        <v/>
      </c>
      <c r="AJ488" s="1029">
        <f t="shared" si="211"/>
        <v>0</v>
      </c>
      <c r="AK488" s="1043" t="str" cm="1">
        <f t="array" ref="AK488">IF(AE488&lt;&gt;"A","",IFERROR((IFERROR(_xlfn.XLOOKUP(TRIM(SUBSTITUTE(U488,CHAR(160)," ")),$BI$15:$BI$62,$BL$15:$BL$62),IFERROR(_xlfn.XLOOKUP(TRIM(SUBSTITUTE(U488,CHAR(160)," ")),$BJ$15:$BJ$62,$BL$15:$BL$62),_xlfn.XLOOKUP(TRIM(SUBSTITUTE(U488,CHAR(160)," ")),$BK$15:$BK$62,$BL$15:$BL$62))))*T488*IF(ISBLANK(Q488),1,Q488)+IFERROR(_xlfn.XLOOKUP("RECHERCHEX",TRIM(L488:AC488),L488:AC488),0),0))</f>
        <v/>
      </c>
      <c r="AL488" s="1030">
        <f t="shared" si="212"/>
        <v>0</v>
      </c>
      <c r="AM488" s="5254" t="str">
        <f t="shared" si="227"/>
        <v/>
      </c>
      <c r="AN488" s="1031">
        <f t="shared" si="213"/>
        <v>0</v>
      </c>
      <c r="AO488" s="1031">
        <f t="shared" si="214"/>
        <v>0</v>
      </c>
      <c r="AP488" s="1032">
        <f t="shared" si="215"/>
        <v>0</v>
      </c>
      <c r="AQ488" s="5255" t="str">
        <f t="shared" si="216"/>
        <v/>
      </c>
      <c r="AR488" s="1056"/>
      <c r="AS488" s="1056"/>
      <c r="AT488" s="1034">
        <f t="shared" si="217"/>
        <v>0</v>
      </c>
      <c r="AU488" s="1035">
        <f t="shared" si="218"/>
        <v>0</v>
      </c>
      <c r="AV488" s="1057" cm="1">
        <f t="array" ref="AV488">IF(AJ488&lt;&gt;1,0,IF(OR(AT488="",N(AT488)&lt;=0.000000001),"",IF(OR(AN488="",N(AN488)&lt;=0.000000001),0,IF(ISNUMBER(AT488),IFERROR(_xlfn.LET(_xlpm.ai_test,TRIM(AI488),_xlpm.r,IFERROR(_xlfn.XLOOKUP(_xlpm.ai_test,$BI$15:$BI$62,ROW($BI$15:$BI$62),0,1),IFERROR(_xlfn.XLOOKUP(_xlpm.ai_test,$BJ$15:$BJ$62,ROW($BJ$15:$BJ$62),0,1),_xlfn.XLOOKUP(_xlpm.ai_test,$BK$15:$BK$62,ROW($BK$15:$BK$62),0,1))),_xlpm.p,_xlpm.r-MIN(ROW($BI$15:$BI$62))+1,_xlpm.f,INDEX($BL$15:$BL$62,_xlpm.p),_xlpm.u,INDEX($BM$15:$BM$62,_xlpm.p),_xlpm.s,INDEX($BO$15:$BO$62,_xlpm.p),_xlpm.q,N(AT488)/_xlpm.f,IF(_xlpm.q&gt;=_xlpm.s,ROUND(_xlpm.q,1)&amp;" "&amp;_xlpm.ai_test&amp;" = "&amp;ROUND(_xlpm.q*_xlpm.f,1)&amp;" "&amp;_xlpm.u,ROUND(_xlpm.q,1)&amp;" "&amp;_xlpm.ai_test)),""),""))))</f>
        <v>0</v>
      </c>
      <c r="AW488" s="1047"/>
      <c r="AX488" s="1034">
        <f t="shared" si="219"/>
        <v>0</v>
      </c>
      <c r="AY488" s="1035" t="str">
        <f t="shared" si="220"/>
        <v/>
      </c>
      <c r="AZ488" s="1036">
        <f t="shared" si="225"/>
        <v>0</v>
      </c>
      <c r="BA488" s="1037" t="str">
        <f t="shared" si="221"/>
        <v/>
      </c>
      <c r="BB488" s="1038"/>
      <c r="BC488" s="1039">
        <f t="shared" si="226"/>
        <v>0</v>
      </c>
      <c r="BD488" s="1040" t="str">
        <f t="shared" si="222"/>
        <v/>
      </c>
      <c r="BE488" s="227" t="s">
        <v>22</v>
      </c>
      <c r="BF488" s="1019">
        <f t="shared" si="223"/>
        <v>0</v>
      </c>
      <c r="BG488" s="1020">
        <f t="shared" si="224"/>
        <v>0</v>
      </c>
      <c r="BH488"/>
      <c r="BI488" s="709"/>
      <c r="BJ488" s="709"/>
      <c r="BK488" s="709"/>
      <c r="BL488" s="709"/>
      <c r="BM488" s="709"/>
      <c r="BN488" s="709"/>
      <c r="BO488" s="709"/>
      <c r="BP488" s="709"/>
      <c r="BW488" s="959" t="str">
        <f t="shared" si="205"/>
        <v>►</v>
      </c>
      <c r="BX488" s="856"/>
      <c r="BY488" s="856"/>
      <c r="BZ488" s="856"/>
      <c r="CA488" s="856"/>
      <c r="CB488" s="856"/>
      <c r="DB488" s="3">
        <v>1</v>
      </c>
    </row>
    <row r="489" spans="12:106" ht="21" customHeight="1">
      <c r="L489" s="104" t="s">
        <v>16</v>
      </c>
      <c r="M489" s="1172"/>
      <c r="N489" s="1172"/>
      <c r="O489" s="1172"/>
      <c r="P489" s="1173"/>
      <c r="Q489" s="1174"/>
      <c r="R489" s="1175"/>
      <c r="S489" s="1176"/>
      <c r="T489" s="1177"/>
      <c r="U489" s="5248"/>
      <c r="V489" s="1177"/>
      <c r="W489" s="5249"/>
      <c r="X489" s="5208"/>
      <c r="Y489" s="5209"/>
      <c r="Z489" s="5210"/>
      <c r="AA489" s="5211"/>
      <c r="AB489" s="1178"/>
      <c r="AC489" s="1179"/>
      <c r="AD489" s="227" t="s">
        <v>22</v>
      </c>
      <c r="AE489" s="1027" t="str">
        <f t="shared" si="206"/>
        <v>►</v>
      </c>
      <c r="AF489" s="1028" t="str">
        <f t="shared" si="207"/>
        <v/>
      </c>
      <c r="AG489" s="1029" t="str">
        <f t="shared" si="208"/>
        <v/>
      </c>
      <c r="AH489" s="1028" t="str">
        <f t="shared" si="209"/>
        <v/>
      </c>
      <c r="AI489" s="1029" t="str">
        <f t="shared" si="210"/>
        <v/>
      </c>
      <c r="AJ489" s="1029">
        <f t="shared" si="211"/>
        <v>0</v>
      </c>
      <c r="AK489" s="1043" t="str" cm="1">
        <f t="array" ref="AK489">IF(AE489&lt;&gt;"A","",IFERROR((IFERROR(_xlfn.XLOOKUP(TRIM(SUBSTITUTE(U489,CHAR(160)," ")),$BI$15:$BI$62,$BL$15:$BL$62),IFERROR(_xlfn.XLOOKUP(TRIM(SUBSTITUTE(U489,CHAR(160)," ")),$BJ$15:$BJ$62,$BL$15:$BL$62),_xlfn.XLOOKUP(TRIM(SUBSTITUTE(U489,CHAR(160)," ")),$BK$15:$BK$62,$BL$15:$BL$62))))*T489*IF(ISBLANK(Q489),1,Q489)+IFERROR(_xlfn.XLOOKUP("RECHERCHEX",TRIM(L489:AC489),L489:AC489),0),0))</f>
        <v/>
      </c>
      <c r="AL489" s="1030">
        <f t="shared" si="212"/>
        <v>0</v>
      </c>
      <c r="AM489" s="5254" t="str">
        <f t="shared" si="227"/>
        <v/>
      </c>
      <c r="AN489" s="1031">
        <f t="shared" si="213"/>
        <v>0</v>
      </c>
      <c r="AO489" s="1031">
        <f t="shared" si="214"/>
        <v>0</v>
      </c>
      <c r="AP489" s="1044">
        <f t="shared" si="215"/>
        <v>0</v>
      </c>
      <c r="AQ489" s="5257" t="str">
        <f t="shared" si="216"/>
        <v/>
      </c>
      <c r="AR489" s="1056"/>
      <c r="AS489" s="1056"/>
      <c r="AT489" s="1045">
        <f t="shared" si="217"/>
        <v>0</v>
      </c>
      <c r="AU489" s="1046">
        <f t="shared" si="218"/>
        <v>0</v>
      </c>
      <c r="AV489" s="1059" cm="1">
        <f t="array" ref="AV489">IF(AJ489&lt;&gt;1,0,IF(OR(AT489="",N(AT489)&lt;=0.000000001),"",IF(OR(AN489="",N(AN489)&lt;=0.000000001),0,IF(ISNUMBER(AT489),IFERROR(_xlfn.LET(_xlpm.ai_test,TRIM(AI489),_xlpm.r,IFERROR(_xlfn.XLOOKUP(_xlpm.ai_test,$BI$15:$BI$62,ROW($BI$15:$BI$62),0,1),IFERROR(_xlfn.XLOOKUP(_xlpm.ai_test,$BJ$15:$BJ$62,ROW($BJ$15:$BJ$62),0,1),_xlfn.XLOOKUP(_xlpm.ai_test,$BK$15:$BK$62,ROW($BK$15:$BK$62),0,1))),_xlpm.p,_xlpm.r-MIN(ROW($BI$15:$BI$62))+1,_xlpm.f,INDEX($BL$15:$BL$62,_xlpm.p),_xlpm.u,INDEX($BM$15:$BM$62,_xlpm.p),_xlpm.s,INDEX($BO$15:$BO$62,_xlpm.p),_xlpm.q,N(AT489)/_xlpm.f,IF(_xlpm.q&gt;=_xlpm.s,ROUND(_xlpm.q,1)&amp;" "&amp;_xlpm.ai_test&amp;" = "&amp;ROUND(_xlpm.q*_xlpm.f,1)&amp;" "&amp;_xlpm.u,ROUND(_xlpm.q,1)&amp;" "&amp;_xlpm.ai_test)),""),""))))</f>
        <v>0</v>
      </c>
      <c r="AW489" s="1047"/>
      <c r="AX489" s="1045">
        <f t="shared" si="219"/>
        <v>0</v>
      </c>
      <c r="AY489" s="1046" t="str">
        <f t="shared" si="220"/>
        <v/>
      </c>
      <c r="AZ489" s="1048">
        <f t="shared" si="225"/>
        <v>0</v>
      </c>
      <c r="BA489" s="1049" t="str">
        <f t="shared" si="221"/>
        <v/>
      </c>
      <c r="BB489" s="1038"/>
      <c r="BC489" s="1050">
        <f t="shared" si="226"/>
        <v>0</v>
      </c>
      <c r="BD489" s="1040" t="str">
        <f t="shared" si="222"/>
        <v/>
      </c>
      <c r="BE489" s="227" t="s">
        <v>22</v>
      </c>
      <c r="BF489" s="1019">
        <f t="shared" si="223"/>
        <v>0</v>
      </c>
      <c r="BG489" s="1020">
        <f t="shared" si="224"/>
        <v>0</v>
      </c>
      <c r="BH489"/>
      <c r="BI489" s="709"/>
      <c r="BJ489" s="709"/>
      <c r="BK489" s="709"/>
      <c r="BL489" s="709"/>
      <c r="BM489" s="709"/>
      <c r="BN489" s="709"/>
      <c r="BO489" s="709"/>
      <c r="BP489" s="709"/>
      <c r="BW489" s="959" t="str">
        <f t="shared" si="205"/>
        <v>►</v>
      </c>
      <c r="BX489" s="856"/>
      <c r="BY489" s="856"/>
      <c r="BZ489" s="856"/>
      <c r="CA489" s="856"/>
      <c r="CB489" s="856"/>
      <c r="DB489" s="3">
        <v>1</v>
      </c>
    </row>
    <row r="490" spans="12:106" ht="21" customHeight="1">
      <c r="L490" s="104" t="s">
        <v>16</v>
      </c>
      <c r="M490" s="1172"/>
      <c r="N490" s="1172"/>
      <c r="O490" s="1172"/>
      <c r="P490" s="1173"/>
      <c r="Q490" s="1174"/>
      <c r="R490" s="1175"/>
      <c r="S490" s="1176"/>
      <c r="T490" s="1177"/>
      <c r="U490" s="5248"/>
      <c r="V490" s="1177"/>
      <c r="W490" s="5249"/>
      <c r="X490" s="5208"/>
      <c r="Y490" s="5209"/>
      <c r="Z490" s="5210"/>
      <c r="AA490" s="5211"/>
      <c r="AB490" s="1178"/>
      <c r="AC490" s="1179"/>
      <c r="AD490" s="227" t="s">
        <v>22</v>
      </c>
      <c r="AE490" s="1027" t="str">
        <f t="shared" si="206"/>
        <v>►</v>
      </c>
      <c r="AF490" s="1028" t="str">
        <f t="shared" si="207"/>
        <v/>
      </c>
      <c r="AG490" s="1029" t="str">
        <f t="shared" si="208"/>
        <v/>
      </c>
      <c r="AH490" s="1028" t="str">
        <f t="shared" si="209"/>
        <v/>
      </c>
      <c r="AI490" s="1029" t="str">
        <f t="shared" si="210"/>
        <v/>
      </c>
      <c r="AJ490" s="1029">
        <f t="shared" si="211"/>
        <v>0</v>
      </c>
      <c r="AK490" s="1043" t="str" cm="1">
        <f t="array" ref="AK490">IF(AE490&lt;&gt;"A","",IFERROR((IFERROR(_xlfn.XLOOKUP(TRIM(SUBSTITUTE(U490,CHAR(160)," ")),$BI$15:$BI$62,$BL$15:$BL$62),IFERROR(_xlfn.XLOOKUP(TRIM(SUBSTITUTE(U490,CHAR(160)," ")),$BJ$15:$BJ$62,$BL$15:$BL$62),_xlfn.XLOOKUP(TRIM(SUBSTITUTE(U490,CHAR(160)," ")),$BK$15:$BK$62,$BL$15:$BL$62))))*T490*IF(ISBLANK(Q490),1,Q490)+IFERROR(_xlfn.XLOOKUP("RECHERCHEX",TRIM(L490:AC490),L490:AC490),0),0))</f>
        <v/>
      </c>
      <c r="AL490" s="1030">
        <f t="shared" si="212"/>
        <v>0</v>
      </c>
      <c r="AM490" s="5254" t="str">
        <f t="shared" si="227"/>
        <v/>
      </c>
      <c r="AN490" s="1031">
        <f t="shared" si="213"/>
        <v>0</v>
      </c>
      <c r="AO490" s="1031">
        <f t="shared" si="214"/>
        <v>0</v>
      </c>
      <c r="AP490" s="1032">
        <f t="shared" si="215"/>
        <v>0</v>
      </c>
      <c r="AQ490" s="5255" t="str">
        <f t="shared" si="216"/>
        <v/>
      </c>
      <c r="AR490" s="1056"/>
      <c r="AS490" s="1056"/>
      <c r="AT490" s="1034">
        <f t="shared" si="217"/>
        <v>0</v>
      </c>
      <c r="AU490" s="1035">
        <f t="shared" si="218"/>
        <v>0</v>
      </c>
      <c r="AV490" s="1057" cm="1">
        <f t="array" ref="AV490">IF(AJ490&lt;&gt;1,0,IF(OR(AT490="",N(AT490)&lt;=0.000000001),"",IF(OR(AN490="",N(AN490)&lt;=0.000000001),0,IF(ISNUMBER(AT490),IFERROR(_xlfn.LET(_xlpm.ai_test,TRIM(AI490),_xlpm.r,IFERROR(_xlfn.XLOOKUP(_xlpm.ai_test,$BI$15:$BI$62,ROW($BI$15:$BI$62),0,1),IFERROR(_xlfn.XLOOKUP(_xlpm.ai_test,$BJ$15:$BJ$62,ROW($BJ$15:$BJ$62),0,1),_xlfn.XLOOKUP(_xlpm.ai_test,$BK$15:$BK$62,ROW($BK$15:$BK$62),0,1))),_xlpm.p,_xlpm.r-MIN(ROW($BI$15:$BI$62))+1,_xlpm.f,INDEX($BL$15:$BL$62,_xlpm.p),_xlpm.u,INDEX($BM$15:$BM$62,_xlpm.p),_xlpm.s,INDEX($BO$15:$BO$62,_xlpm.p),_xlpm.q,N(AT490)/_xlpm.f,IF(_xlpm.q&gt;=_xlpm.s,ROUND(_xlpm.q,1)&amp;" "&amp;_xlpm.ai_test&amp;" = "&amp;ROUND(_xlpm.q*_xlpm.f,1)&amp;" "&amp;_xlpm.u,ROUND(_xlpm.q,1)&amp;" "&amp;_xlpm.ai_test)),""),""))))</f>
        <v>0</v>
      </c>
      <c r="AW490" s="1047"/>
      <c r="AX490" s="1034">
        <f t="shared" si="219"/>
        <v>0</v>
      </c>
      <c r="AY490" s="1035" t="str">
        <f t="shared" si="220"/>
        <v/>
      </c>
      <c r="AZ490" s="1036">
        <f t="shared" si="225"/>
        <v>0</v>
      </c>
      <c r="BA490" s="1037" t="str">
        <f t="shared" si="221"/>
        <v/>
      </c>
      <c r="BB490" s="1038"/>
      <c r="BC490" s="1039">
        <f t="shared" si="226"/>
        <v>0</v>
      </c>
      <c r="BD490" s="1040" t="str">
        <f t="shared" si="222"/>
        <v/>
      </c>
      <c r="BE490" s="227" t="s">
        <v>22</v>
      </c>
      <c r="BF490" s="1019">
        <f t="shared" si="223"/>
        <v>0</v>
      </c>
      <c r="BG490" s="1020">
        <f t="shared" si="224"/>
        <v>0</v>
      </c>
      <c r="BH490"/>
      <c r="BI490" s="709"/>
      <c r="BJ490" s="709"/>
      <c r="BK490" s="709"/>
      <c r="BL490" s="709"/>
      <c r="BM490" s="709"/>
      <c r="BN490" s="709"/>
      <c r="BO490" s="709"/>
      <c r="BP490" s="709"/>
      <c r="BW490" s="959" t="str">
        <f t="shared" si="205"/>
        <v>►</v>
      </c>
      <c r="BX490" s="856"/>
      <c r="BY490" s="856"/>
      <c r="BZ490" s="856"/>
      <c r="CA490" s="856"/>
      <c r="CB490" s="856"/>
      <c r="DB490" s="3">
        <v>1</v>
      </c>
    </row>
    <row r="491" spans="12:106" ht="21" customHeight="1">
      <c r="L491" s="104" t="s">
        <v>16</v>
      </c>
      <c r="M491" s="1172"/>
      <c r="N491" s="1172"/>
      <c r="O491" s="1172"/>
      <c r="P491" s="1173"/>
      <c r="Q491" s="1174"/>
      <c r="R491" s="1175"/>
      <c r="S491" s="1176"/>
      <c r="T491" s="1177"/>
      <c r="U491" s="5248"/>
      <c r="V491" s="1177"/>
      <c r="W491" s="5249"/>
      <c r="X491" s="5208"/>
      <c r="Y491" s="5209"/>
      <c r="Z491" s="5210"/>
      <c r="AA491" s="5211"/>
      <c r="AB491" s="1178"/>
      <c r="AC491" s="1179"/>
      <c r="AD491" s="227" t="s">
        <v>22</v>
      </c>
      <c r="AE491" s="1027" t="str">
        <f t="shared" si="206"/>
        <v>►</v>
      </c>
      <c r="AF491" s="1028" t="str">
        <f t="shared" si="207"/>
        <v/>
      </c>
      <c r="AG491" s="1029" t="str">
        <f t="shared" si="208"/>
        <v/>
      </c>
      <c r="AH491" s="1028" t="str">
        <f t="shared" si="209"/>
        <v/>
      </c>
      <c r="AI491" s="1029" t="str">
        <f t="shared" si="210"/>
        <v/>
      </c>
      <c r="AJ491" s="1029">
        <f t="shared" si="211"/>
        <v>0</v>
      </c>
      <c r="AK491" s="1043" t="str" cm="1">
        <f t="array" ref="AK491">IF(AE491&lt;&gt;"A","",IFERROR((IFERROR(_xlfn.XLOOKUP(TRIM(SUBSTITUTE(U491,CHAR(160)," ")),$BI$15:$BI$62,$BL$15:$BL$62),IFERROR(_xlfn.XLOOKUP(TRIM(SUBSTITUTE(U491,CHAR(160)," ")),$BJ$15:$BJ$62,$BL$15:$BL$62),_xlfn.XLOOKUP(TRIM(SUBSTITUTE(U491,CHAR(160)," ")),$BK$15:$BK$62,$BL$15:$BL$62))))*T491*IF(ISBLANK(Q491),1,Q491)+IFERROR(_xlfn.XLOOKUP("RECHERCHEX",TRIM(L491:AC491),L491:AC491),0),0))</f>
        <v/>
      </c>
      <c r="AL491" s="1030">
        <f t="shared" si="212"/>
        <v>0</v>
      </c>
      <c r="AM491" s="5254" t="str">
        <f t="shared" si="227"/>
        <v/>
      </c>
      <c r="AN491" s="1031">
        <f t="shared" si="213"/>
        <v>0</v>
      </c>
      <c r="AO491" s="1031">
        <f t="shared" si="214"/>
        <v>0</v>
      </c>
      <c r="AP491" s="1044">
        <f t="shared" si="215"/>
        <v>0</v>
      </c>
      <c r="AQ491" s="5257" t="str">
        <f t="shared" si="216"/>
        <v/>
      </c>
      <c r="AR491" s="1056"/>
      <c r="AS491" s="1056"/>
      <c r="AT491" s="1045">
        <f t="shared" si="217"/>
        <v>0</v>
      </c>
      <c r="AU491" s="1046">
        <f t="shared" si="218"/>
        <v>0</v>
      </c>
      <c r="AV491" s="1059" cm="1">
        <f t="array" ref="AV491">IF(AJ491&lt;&gt;1,0,IF(OR(AT491="",N(AT491)&lt;=0.000000001),"",IF(OR(AN491="",N(AN491)&lt;=0.000000001),0,IF(ISNUMBER(AT491),IFERROR(_xlfn.LET(_xlpm.ai_test,TRIM(AI491),_xlpm.r,IFERROR(_xlfn.XLOOKUP(_xlpm.ai_test,$BI$15:$BI$62,ROW($BI$15:$BI$62),0,1),IFERROR(_xlfn.XLOOKUP(_xlpm.ai_test,$BJ$15:$BJ$62,ROW($BJ$15:$BJ$62),0,1),_xlfn.XLOOKUP(_xlpm.ai_test,$BK$15:$BK$62,ROW($BK$15:$BK$62),0,1))),_xlpm.p,_xlpm.r-MIN(ROW($BI$15:$BI$62))+1,_xlpm.f,INDEX($BL$15:$BL$62,_xlpm.p),_xlpm.u,INDEX($BM$15:$BM$62,_xlpm.p),_xlpm.s,INDEX($BO$15:$BO$62,_xlpm.p),_xlpm.q,N(AT491)/_xlpm.f,IF(_xlpm.q&gt;=_xlpm.s,ROUND(_xlpm.q,1)&amp;" "&amp;_xlpm.ai_test&amp;" = "&amp;ROUND(_xlpm.q*_xlpm.f,1)&amp;" "&amp;_xlpm.u,ROUND(_xlpm.q,1)&amp;" "&amp;_xlpm.ai_test)),""),""))))</f>
        <v>0</v>
      </c>
      <c r="AW491" s="1047"/>
      <c r="AX491" s="1045">
        <f t="shared" si="219"/>
        <v>0</v>
      </c>
      <c r="AY491" s="1046" t="str">
        <f t="shared" si="220"/>
        <v/>
      </c>
      <c r="AZ491" s="1048">
        <f t="shared" si="225"/>
        <v>0</v>
      </c>
      <c r="BA491" s="1049" t="str">
        <f t="shared" si="221"/>
        <v/>
      </c>
      <c r="BB491" s="1038"/>
      <c r="BC491" s="1050">
        <f t="shared" si="226"/>
        <v>0</v>
      </c>
      <c r="BD491" s="1040" t="str">
        <f t="shared" si="222"/>
        <v/>
      </c>
      <c r="BE491" s="227" t="s">
        <v>22</v>
      </c>
      <c r="BF491" s="1019">
        <f t="shared" si="223"/>
        <v>0</v>
      </c>
      <c r="BG491" s="1020">
        <f t="shared" si="224"/>
        <v>0</v>
      </c>
      <c r="BH491"/>
      <c r="BI491" s="709"/>
      <c r="BJ491" s="709"/>
      <c r="BK491" s="709"/>
      <c r="BL491" s="709"/>
      <c r="BM491" s="709"/>
      <c r="BN491" s="709"/>
      <c r="BO491" s="709"/>
      <c r="BP491" s="709"/>
      <c r="BW491" s="959" t="str">
        <f t="shared" si="205"/>
        <v>►</v>
      </c>
      <c r="BX491" s="856"/>
      <c r="BY491" s="856"/>
      <c r="BZ491" s="856"/>
      <c r="CA491" s="856"/>
      <c r="CB491" s="856"/>
      <c r="DB491" s="3">
        <v>1</v>
      </c>
    </row>
    <row r="492" spans="12:106" ht="21" customHeight="1">
      <c r="L492" s="104" t="s">
        <v>16</v>
      </c>
      <c r="M492" s="1172"/>
      <c r="N492" s="1172"/>
      <c r="O492" s="1172"/>
      <c r="P492" s="1173"/>
      <c r="Q492" s="1174"/>
      <c r="R492" s="1175"/>
      <c r="S492" s="1176"/>
      <c r="T492" s="1177"/>
      <c r="U492" s="5248"/>
      <c r="V492" s="1177"/>
      <c r="W492" s="5249"/>
      <c r="X492" s="5208"/>
      <c r="Y492" s="5209"/>
      <c r="Z492" s="5210"/>
      <c r="AA492" s="5211"/>
      <c r="AB492" s="1178"/>
      <c r="AC492" s="1179"/>
      <c r="AD492" s="227" t="s">
        <v>22</v>
      </c>
      <c r="AE492" s="1027" t="str">
        <f t="shared" si="206"/>
        <v>►</v>
      </c>
      <c r="AF492" s="1028" t="str">
        <f t="shared" si="207"/>
        <v/>
      </c>
      <c r="AG492" s="1029" t="str">
        <f t="shared" si="208"/>
        <v/>
      </c>
      <c r="AH492" s="1028" t="str">
        <f t="shared" si="209"/>
        <v/>
      </c>
      <c r="AI492" s="1029" t="str">
        <f t="shared" si="210"/>
        <v/>
      </c>
      <c r="AJ492" s="1029">
        <f t="shared" si="211"/>
        <v>0</v>
      </c>
      <c r="AK492" s="1043" t="str" cm="1">
        <f t="array" ref="AK492">IF(AE492&lt;&gt;"A","",IFERROR((IFERROR(_xlfn.XLOOKUP(TRIM(SUBSTITUTE(U492,CHAR(160)," ")),$BI$15:$BI$62,$BL$15:$BL$62),IFERROR(_xlfn.XLOOKUP(TRIM(SUBSTITUTE(U492,CHAR(160)," ")),$BJ$15:$BJ$62,$BL$15:$BL$62),_xlfn.XLOOKUP(TRIM(SUBSTITUTE(U492,CHAR(160)," ")),$BK$15:$BK$62,$BL$15:$BL$62))))*T492*IF(ISBLANK(Q492),1,Q492)+IFERROR(_xlfn.XLOOKUP("RECHERCHEX",TRIM(L492:AC492),L492:AC492),0),0))</f>
        <v/>
      </c>
      <c r="AL492" s="1030">
        <f t="shared" si="212"/>
        <v>0</v>
      </c>
      <c r="AM492" s="5254" t="str">
        <f t="shared" si="227"/>
        <v/>
      </c>
      <c r="AN492" s="1031">
        <f t="shared" si="213"/>
        <v>0</v>
      </c>
      <c r="AO492" s="1031">
        <f t="shared" si="214"/>
        <v>0</v>
      </c>
      <c r="AP492" s="1032">
        <f t="shared" si="215"/>
        <v>0</v>
      </c>
      <c r="AQ492" s="5255" t="str">
        <f t="shared" si="216"/>
        <v/>
      </c>
      <c r="AR492" s="1056"/>
      <c r="AS492" s="1056"/>
      <c r="AT492" s="1034">
        <f t="shared" si="217"/>
        <v>0</v>
      </c>
      <c r="AU492" s="1035">
        <f t="shared" si="218"/>
        <v>0</v>
      </c>
      <c r="AV492" s="1057" cm="1">
        <f t="array" ref="AV492">IF(AJ492&lt;&gt;1,0,IF(OR(AT492="",N(AT492)&lt;=0.000000001),"",IF(OR(AN492="",N(AN492)&lt;=0.000000001),0,IF(ISNUMBER(AT492),IFERROR(_xlfn.LET(_xlpm.ai_test,TRIM(AI492),_xlpm.r,IFERROR(_xlfn.XLOOKUP(_xlpm.ai_test,$BI$15:$BI$62,ROW($BI$15:$BI$62),0,1),IFERROR(_xlfn.XLOOKUP(_xlpm.ai_test,$BJ$15:$BJ$62,ROW($BJ$15:$BJ$62),0,1),_xlfn.XLOOKUP(_xlpm.ai_test,$BK$15:$BK$62,ROW($BK$15:$BK$62),0,1))),_xlpm.p,_xlpm.r-MIN(ROW($BI$15:$BI$62))+1,_xlpm.f,INDEX($BL$15:$BL$62,_xlpm.p),_xlpm.u,INDEX($BM$15:$BM$62,_xlpm.p),_xlpm.s,INDEX($BO$15:$BO$62,_xlpm.p),_xlpm.q,N(AT492)/_xlpm.f,IF(_xlpm.q&gt;=_xlpm.s,ROUND(_xlpm.q,1)&amp;" "&amp;_xlpm.ai_test&amp;" = "&amp;ROUND(_xlpm.q*_xlpm.f,1)&amp;" "&amp;_xlpm.u,ROUND(_xlpm.q,1)&amp;" "&amp;_xlpm.ai_test)),""),""))))</f>
        <v>0</v>
      </c>
      <c r="AW492" s="1047"/>
      <c r="AX492" s="1034">
        <f t="shared" si="219"/>
        <v>0</v>
      </c>
      <c r="AY492" s="1035" t="str">
        <f t="shared" si="220"/>
        <v/>
      </c>
      <c r="AZ492" s="1036">
        <f t="shared" si="225"/>
        <v>0</v>
      </c>
      <c r="BA492" s="1037" t="str">
        <f t="shared" si="221"/>
        <v/>
      </c>
      <c r="BB492" s="1038"/>
      <c r="BC492" s="1039">
        <f t="shared" si="226"/>
        <v>0</v>
      </c>
      <c r="BD492" s="1040" t="str">
        <f t="shared" si="222"/>
        <v/>
      </c>
      <c r="BE492" s="227" t="s">
        <v>22</v>
      </c>
      <c r="BF492" s="1019">
        <f t="shared" si="223"/>
        <v>0</v>
      </c>
      <c r="BG492" s="1020">
        <f t="shared" si="224"/>
        <v>0</v>
      </c>
      <c r="BH492"/>
      <c r="BI492" s="709"/>
      <c r="BJ492" s="709"/>
      <c r="BK492" s="709"/>
      <c r="BL492" s="709"/>
      <c r="BM492" s="709"/>
      <c r="BN492" s="709"/>
      <c r="BO492" s="709"/>
      <c r="BP492" s="709"/>
      <c r="BW492" s="959" t="str">
        <f t="shared" si="205"/>
        <v>►</v>
      </c>
      <c r="BX492" s="856"/>
      <c r="BY492" s="856"/>
      <c r="BZ492" s="856"/>
      <c r="CA492" s="856"/>
      <c r="CB492" s="856"/>
      <c r="DB492" s="3">
        <v>1</v>
      </c>
    </row>
    <row r="493" spans="12:106" ht="21" customHeight="1">
      <c r="L493" s="104" t="s">
        <v>16</v>
      </c>
      <c r="M493" s="1172"/>
      <c r="N493" s="1172"/>
      <c r="O493" s="1172"/>
      <c r="P493" s="1173"/>
      <c r="Q493" s="1174"/>
      <c r="R493" s="1175"/>
      <c r="S493" s="1176"/>
      <c r="T493" s="1177"/>
      <c r="U493" s="5248"/>
      <c r="V493" s="1177"/>
      <c r="W493" s="5249"/>
      <c r="X493" s="5208"/>
      <c r="Y493" s="5209"/>
      <c r="Z493" s="5210"/>
      <c r="AA493" s="5211"/>
      <c r="AB493" s="1178"/>
      <c r="AC493" s="1179"/>
      <c r="AD493" s="227" t="s">
        <v>22</v>
      </c>
      <c r="AE493" s="1027" t="str">
        <f t="shared" si="206"/>
        <v>►</v>
      </c>
      <c r="AF493" s="1028" t="str">
        <f t="shared" si="207"/>
        <v/>
      </c>
      <c r="AG493" s="1029" t="str">
        <f t="shared" si="208"/>
        <v/>
      </c>
      <c r="AH493" s="1028" t="str">
        <f t="shared" si="209"/>
        <v/>
      </c>
      <c r="AI493" s="1029" t="str">
        <f t="shared" si="210"/>
        <v/>
      </c>
      <c r="AJ493" s="1029">
        <f t="shared" si="211"/>
        <v>0</v>
      </c>
      <c r="AK493" s="1043" t="str" cm="1">
        <f t="array" ref="AK493">IF(AE493&lt;&gt;"A","",IFERROR((IFERROR(_xlfn.XLOOKUP(TRIM(SUBSTITUTE(U493,CHAR(160)," ")),$BI$15:$BI$62,$BL$15:$BL$62),IFERROR(_xlfn.XLOOKUP(TRIM(SUBSTITUTE(U493,CHAR(160)," ")),$BJ$15:$BJ$62,$BL$15:$BL$62),_xlfn.XLOOKUP(TRIM(SUBSTITUTE(U493,CHAR(160)," ")),$BK$15:$BK$62,$BL$15:$BL$62))))*T493*IF(ISBLANK(Q493),1,Q493)+IFERROR(_xlfn.XLOOKUP("RECHERCHEX",TRIM(L493:AC493),L493:AC493),0),0))</f>
        <v/>
      </c>
      <c r="AL493" s="1030">
        <f t="shared" si="212"/>
        <v>0</v>
      </c>
      <c r="AM493" s="5254" t="str">
        <f t="shared" si="227"/>
        <v/>
      </c>
      <c r="AN493" s="1031">
        <f t="shared" si="213"/>
        <v>0</v>
      </c>
      <c r="AO493" s="1031">
        <f t="shared" si="214"/>
        <v>0</v>
      </c>
      <c r="AP493" s="1044">
        <f t="shared" si="215"/>
        <v>0</v>
      </c>
      <c r="AQ493" s="5257" t="str">
        <f t="shared" si="216"/>
        <v/>
      </c>
      <c r="AR493" s="1056"/>
      <c r="AS493" s="1056"/>
      <c r="AT493" s="1045">
        <f t="shared" si="217"/>
        <v>0</v>
      </c>
      <c r="AU493" s="1046">
        <f t="shared" si="218"/>
        <v>0</v>
      </c>
      <c r="AV493" s="1059" cm="1">
        <f t="array" ref="AV493">IF(AJ493&lt;&gt;1,0,IF(OR(AT493="",N(AT493)&lt;=0.000000001),"",IF(OR(AN493="",N(AN493)&lt;=0.000000001),0,IF(ISNUMBER(AT493),IFERROR(_xlfn.LET(_xlpm.ai_test,TRIM(AI493),_xlpm.r,IFERROR(_xlfn.XLOOKUP(_xlpm.ai_test,$BI$15:$BI$62,ROW($BI$15:$BI$62),0,1),IFERROR(_xlfn.XLOOKUP(_xlpm.ai_test,$BJ$15:$BJ$62,ROW($BJ$15:$BJ$62),0,1),_xlfn.XLOOKUP(_xlpm.ai_test,$BK$15:$BK$62,ROW($BK$15:$BK$62),0,1))),_xlpm.p,_xlpm.r-MIN(ROW($BI$15:$BI$62))+1,_xlpm.f,INDEX($BL$15:$BL$62,_xlpm.p),_xlpm.u,INDEX($BM$15:$BM$62,_xlpm.p),_xlpm.s,INDEX($BO$15:$BO$62,_xlpm.p),_xlpm.q,N(AT493)/_xlpm.f,IF(_xlpm.q&gt;=_xlpm.s,ROUND(_xlpm.q,1)&amp;" "&amp;_xlpm.ai_test&amp;" = "&amp;ROUND(_xlpm.q*_xlpm.f,1)&amp;" "&amp;_xlpm.u,ROUND(_xlpm.q,1)&amp;" "&amp;_xlpm.ai_test)),""),""))))</f>
        <v>0</v>
      </c>
      <c r="AW493" s="1047"/>
      <c r="AX493" s="1045">
        <f t="shared" si="219"/>
        <v>0</v>
      </c>
      <c r="AY493" s="1046" t="str">
        <f t="shared" si="220"/>
        <v/>
      </c>
      <c r="AZ493" s="1048">
        <f t="shared" si="225"/>
        <v>0</v>
      </c>
      <c r="BA493" s="1049" t="str">
        <f t="shared" si="221"/>
        <v/>
      </c>
      <c r="BB493" s="1038"/>
      <c r="BC493" s="1050">
        <f t="shared" si="226"/>
        <v>0</v>
      </c>
      <c r="BD493" s="1040" t="str">
        <f t="shared" si="222"/>
        <v/>
      </c>
      <c r="BE493" s="227" t="s">
        <v>22</v>
      </c>
      <c r="BF493" s="1019">
        <f t="shared" si="223"/>
        <v>0</v>
      </c>
      <c r="BG493" s="1020">
        <f t="shared" si="224"/>
        <v>0</v>
      </c>
      <c r="BH493"/>
      <c r="BI493" s="709"/>
      <c r="BJ493" s="709"/>
      <c r="BK493" s="709"/>
      <c r="BL493" s="709"/>
      <c r="BM493" s="709"/>
      <c r="BN493" s="709"/>
      <c r="BO493" s="709"/>
      <c r="BP493" s="709"/>
      <c r="BW493" s="959" t="str">
        <f t="shared" si="205"/>
        <v>►</v>
      </c>
      <c r="BX493" s="856"/>
      <c r="BY493" s="856"/>
      <c r="BZ493" s="856"/>
      <c r="CA493" s="856"/>
      <c r="CB493" s="856"/>
      <c r="DB493" s="3">
        <v>1</v>
      </c>
    </row>
    <row r="494" spans="12:106" ht="21" customHeight="1">
      <c r="L494" s="104" t="s">
        <v>16</v>
      </c>
      <c r="M494" s="1172"/>
      <c r="N494" s="1172"/>
      <c r="O494" s="1172"/>
      <c r="P494" s="1173"/>
      <c r="Q494" s="1174"/>
      <c r="R494" s="1175"/>
      <c r="S494" s="1176"/>
      <c r="T494" s="1177"/>
      <c r="U494" s="5248"/>
      <c r="V494" s="1177"/>
      <c r="W494" s="5249"/>
      <c r="X494" s="5208"/>
      <c r="Y494" s="5209"/>
      <c r="Z494" s="5210"/>
      <c r="AA494" s="5211"/>
      <c r="AB494" s="1178"/>
      <c r="AC494" s="1179"/>
      <c r="AD494" s="227" t="s">
        <v>22</v>
      </c>
      <c r="AE494" s="1027" t="str">
        <f t="shared" si="206"/>
        <v>►</v>
      </c>
      <c r="AF494" s="1028" t="str">
        <f t="shared" si="207"/>
        <v/>
      </c>
      <c r="AG494" s="1029" t="str">
        <f t="shared" si="208"/>
        <v/>
      </c>
      <c r="AH494" s="1028" t="str">
        <f t="shared" si="209"/>
        <v/>
      </c>
      <c r="AI494" s="1029" t="str">
        <f t="shared" si="210"/>
        <v/>
      </c>
      <c r="AJ494" s="1029">
        <f t="shared" si="211"/>
        <v>0</v>
      </c>
      <c r="AK494" s="1043" t="str" cm="1">
        <f t="array" ref="AK494">IF(AE494&lt;&gt;"A","",IFERROR((IFERROR(_xlfn.XLOOKUP(TRIM(SUBSTITUTE(U494,CHAR(160)," ")),$BI$15:$BI$62,$BL$15:$BL$62),IFERROR(_xlfn.XLOOKUP(TRIM(SUBSTITUTE(U494,CHAR(160)," ")),$BJ$15:$BJ$62,$BL$15:$BL$62),_xlfn.XLOOKUP(TRIM(SUBSTITUTE(U494,CHAR(160)," ")),$BK$15:$BK$62,$BL$15:$BL$62))))*T494*IF(ISBLANK(Q494),1,Q494)+IFERROR(_xlfn.XLOOKUP("RECHERCHEX",TRIM(L494:AC494),L494:AC494),0),0))</f>
        <v/>
      </c>
      <c r="AL494" s="1030">
        <f t="shared" si="212"/>
        <v>0</v>
      </c>
      <c r="AM494" s="5254" t="str">
        <f t="shared" si="227"/>
        <v/>
      </c>
      <c r="AN494" s="1031">
        <f t="shared" si="213"/>
        <v>0</v>
      </c>
      <c r="AO494" s="1031">
        <f t="shared" si="214"/>
        <v>0</v>
      </c>
      <c r="AP494" s="1032">
        <f t="shared" si="215"/>
        <v>0</v>
      </c>
      <c r="AQ494" s="5255" t="str">
        <f t="shared" si="216"/>
        <v/>
      </c>
      <c r="AR494" s="1056"/>
      <c r="AS494" s="1056"/>
      <c r="AT494" s="1034">
        <f t="shared" si="217"/>
        <v>0</v>
      </c>
      <c r="AU494" s="1035">
        <f t="shared" si="218"/>
        <v>0</v>
      </c>
      <c r="AV494" s="1057" cm="1">
        <f t="array" ref="AV494">IF(AJ494&lt;&gt;1,0,IF(OR(AT494="",N(AT494)&lt;=0.000000001),"",IF(OR(AN494="",N(AN494)&lt;=0.000000001),0,IF(ISNUMBER(AT494),IFERROR(_xlfn.LET(_xlpm.ai_test,TRIM(AI494),_xlpm.r,IFERROR(_xlfn.XLOOKUP(_xlpm.ai_test,$BI$15:$BI$62,ROW($BI$15:$BI$62),0,1),IFERROR(_xlfn.XLOOKUP(_xlpm.ai_test,$BJ$15:$BJ$62,ROW($BJ$15:$BJ$62),0,1),_xlfn.XLOOKUP(_xlpm.ai_test,$BK$15:$BK$62,ROW($BK$15:$BK$62),0,1))),_xlpm.p,_xlpm.r-MIN(ROW($BI$15:$BI$62))+1,_xlpm.f,INDEX($BL$15:$BL$62,_xlpm.p),_xlpm.u,INDEX($BM$15:$BM$62,_xlpm.p),_xlpm.s,INDEX($BO$15:$BO$62,_xlpm.p),_xlpm.q,N(AT494)/_xlpm.f,IF(_xlpm.q&gt;=_xlpm.s,ROUND(_xlpm.q,1)&amp;" "&amp;_xlpm.ai_test&amp;" = "&amp;ROUND(_xlpm.q*_xlpm.f,1)&amp;" "&amp;_xlpm.u,ROUND(_xlpm.q,1)&amp;" "&amp;_xlpm.ai_test)),""),""))))</f>
        <v>0</v>
      </c>
      <c r="AW494" s="1047"/>
      <c r="AX494" s="1034">
        <f t="shared" si="219"/>
        <v>0</v>
      </c>
      <c r="AY494" s="1035" t="str">
        <f t="shared" si="220"/>
        <v/>
      </c>
      <c r="AZ494" s="1036">
        <f t="shared" si="225"/>
        <v>0</v>
      </c>
      <c r="BA494" s="1037" t="str">
        <f t="shared" si="221"/>
        <v/>
      </c>
      <c r="BB494" s="1038"/>
      <c r="BC494" s="1039">
        <f t="shared" si="226"/>
        <v>0</v>
      </c>
      <c r="BD494" s="1040" t="str">
        <f t="shared" si="222"/>
        <v/>
      </c>
      <c r="BE494" s="227" t="s">
        <v>22</v>
      </c>
      <c r="BF494" s="1019">
        <f t="shared" si="223"/>
        <v>0</v>
      </c>
      <c r="BG494" s="1020">
        <f t="shared" si="224"/>
        <v>0</v>
      </c>
      <c r="BH494"/>
      <c r="BI494" s="709"/>
      <c r="BJ494" s="709"/>
      <c r="BK494" s="709"/>
      <c r="BL494" s="709"/>
      <c r="BM494" s="709"/>
      <c r="BN494" s="709"/>
      <c r="BO494" s="709"/>
      <c r="BP494" s="709"/>
      <c r="BW494" s="959" t="str">
        <f t="shared" si="205"/>
        <v>►</v>
      </c>
      <c r="BX494" s="856"/>
      <c r="BY494" s="856"/>
      <c r="BZ494" s="856"/>
      <c r="CA494" s="856"/>
      <c r="CB494" s="856"/>
      <c r="DB494" s="3">
        <v>1</v>
      </c>
    </row>
    <row r="495" spans="12:106" ht="21" customHeight="1">
      <c r="L495" s="104" t="s">
        <v>16</v>
      </c>
      <c r="M495" s="1172"/>
      <c r="N495" s="1172"/>
      <c r="O495" s="1172"/>
      <c r="P495" s="1173"/>
      <c r="Q495" s="1174"/>
      <c r="R495" s="1175"/>
      <c r="S495" s="1176"/>
      <c r="T495" s="1177"/>
      <c r="U495" s="5248"/>
      <c r="V495" s="1177"/>
      <c r="W495" s="5249"/>
      <c r="X495" s="5208"/>
      <c r="Y495" s="5209"/>
      <c r="Z495" s="5210"/>
      <c r="AA495" s="5211"/>
      <c r="AB495" s="1178"/>
      <c r="AC495" s="1179"/>
      <c r="AD495" s="227" t="s">
        <v>22</v>
      </c>
      <c r="AE495" s="1027" t="str">
        <f t="shared" si="206"/>
        <v>►</v>
      </c>
      <c r="AF495" s="1028" t="str">
        <f t="shared" si="207"/>
        <v/>
      </c>
      <c r="AG495" s="1029" t="str">
        <f t="shared" si="208"/>
        <v/>
      </c>
      <c r="AH495" s="1028" t="str">
        <f t="shared" si="209"/>
        <v/>
      </c>
      <c r="AI495" s="1029" t="str">
        <f t="shared" si="210"/>
        <v/>
      </c>
      <c r="AJ495" s="1029">
        <f t="shared" si="211"/>
        <v>0</v>
      </c>
      <c r="AK495" s="1043" t="str" cm="1">
        <f t="array" ref="AK495">IF(AE495&lt;&gt;"A","",IFERROR((IFERROR(_xlfn.XLOOKUP(TRIM(SUBSTITUTE(U495,CHAR(160)," ")),$BI$15:$BI$62,$BL$15:$BL$62),IFERROR(_xlfn.XLOOKUP(TRIM(SUBSTITUTE(U495,CHAR(160)," ")),$BJ$15:$BJ$62,$BL$15:$BL$62),_xlfn.XLOOKUP(TRIM(SUBSTITUTE(U495,CHAR(160)," ")),$BK$15:$BK$62,$BL$15:$BL$62))))*T495*IF(ISBLANK(Q495),1,Q495)+IFERROR(_xlfn.XLOOKUP("RECHERCHEX",TRIM(L495:AC495),L495:AC495),0),0))</f>
        <v/>
      </c>
      <c r="AL495" s="1030">
        <f t="shared" si="212"/>
        <v>0</v>
      </c>
      <c r="AM495" s="5254" t="str">
        <f t="shared" si="227"/>
        <v/>
      </c>
      <c r="AN495" s="1031">
        <f t="shared" si="213"/>
        <v>0</v>
      </c>
      <c r="AO495" s="1031">
        <f t="shared" si="214"/>
        <v>0</v>
      </c>
      <c r="AP495" s="1044">
        <f t="shared" si="215"/>
        <v>0</v>
      </c>
      <c r="AQ495" s="5257" t="str">
        <f t="shared" si="216"/>
        <v/>
      </c>
      <c r="AR495" s="1056"/>
      <c r="AS495" s="1056"/>
      <c r="AT495" s="1045">
        <f t="shared" si="217"/>
        <v>0</v>
      </c>
      <c r="AU495" s="1046">
        <f t="shared" si="218"/>
        <v>0</v>
      </c>
      <c r="AV495" s="1059" cm="1">
        <f t="array" ref="AV495">IF(AJ495&lt;&gt;1,0,IF(OR(AT495="",N(AT495)&lt;=0.000000001),"",IF(OR(AN495="",N(AN495)&lt;=0.000000001),0,IF(ISNUMBER(AT495),IFERROR(_xlfn.LET(_xlpm.ai_test,TRIM(AI495),_xlpm.r,IFERROR(_xlfn.XLOOKUP(_xlpm.ai_test,$BI$15:$BI$62,ROW($BI$15:$BI$62),0,1),IFERROR(_xlfn.XLOOKUP(_xlpm.ai_test,$BJ$15:$BJ$62,ROW($BJ$15:$BJ$62),0,1),_xlfn.XLOOKUP(_xlpm.ai_test,$BK$15:$BK$62,ROW($BK$15:$BK$62),0,1))),_xlpm.p,_xlpm.r-MIN(ROW($BI$15:$BI$62))+1,_xlpm.f,INDEX($BL$15:$BL$62,_xlpm.p),_xlpm.u,INDEX($BM$15:$BM$62,_xlpm.p),_xlpm.s,INDEX($BO$15:$BO$62,_xlpm.p),_xlpm.q,N(AT495)/_xlpm.f,IF(_xlpm.q&gt;=_xlpm.s,ROUND(_xlpm.q,1)&amp;" "&amp;_xlpm.ai_test&amp;" = "&amp;ROUND(_xlpm.q*_xlpm.f,1)&amp;" "&amp;_xlpm.u,ROUND(_xlpm.q,1)&amp;" "&amp;_xlpm.ai_test)),""),""))))</f>
        <v>0</v>
      </c>
      <c r="AW495" s="1047"/>
      <c r="AX495" s="1045">
        <f t="shared" si="219"/>
        <v>0</v>
      </c>
      <c r="AY495" s="1046" t="str">
        <f t="shared" si="220"/>
        <v/>
      </c>
      <c r="AZ495" s="1048">
        <f t="shared" si="225"/>
        <v>0</v>
      </c>
      <c r="BA495" s="1049" t="str">
        <f t="shared" si="221"/>
        <v/>
      </c>
      <c r="BB495" s="1038"/>
      <c r="BC495" s="1050">
        <f t="shared" si="226"/>
        <v>0</v>
      </c>
      <c r="BD495" s="1040" t="str">
        <f t="shared" si="222"/>
        <v/>
      </c>
      <c r="BE495" s="227" t="s">
        <v>22</v>
      </c>
      <c r="BF495" s="1019">
        <f t="shared" si="223"/>
        <v>0</v>
      </c>
      <c r="BG495" s="1020">
        <f t="shared" si="224"/>
        <v>0</v>
      </c>
      <c r="BH495"/>
      <c r="BI495" s="709"/>
      <c r="BJ495" s="709"/>
      <c r="BK495" s="709"/>
      <c r="BL495" s="709"/>
      <c r="BM495" s="709"/>
      <c r="BN495" s="709"/>
      <c r="BO495" s="709"/>
      <c r="BP495" s="709"/>
      <c r="BW495" s="959" t="str">
        <f t="shared" si="205"/>
        <v>►</v>
      </c>
      <c r="BX495" s="856"/>
      <c r="BY495" s="856"/>
      <c r="BZ495" s="856"/>
      <c r="CA495" s="856"/>
      <c r="CB495" s="856"/>
      <c r="DB495" s="3">
        <v>1</v>
      </c>
    </row>
    <row r="496" spans="12:106" ht="21" customHeight="1">
      <c r="L496" s="104" t="s">
        <v>16</v>
      </c>
      <c r="M496" s="1172"/>
      <c r="N496" s="1172"/>
      <c r="O496" s="1172"/>
      <c r="P496" s="1173"/>
      <c r="Q496" s="1174"/>
      <c r="R496" s="1175"/>
      <c r="S496" s="1176"/>
      <c r="T496" s="1177"/>
      <c r="U496" s="5248"/>
      <c r="V496" s="1177"/>
      <c r="W496" s="5249"/>
      <c r="X496" s="5208"/>
      <c r="Y496" s="5209"/>
      <c r="Z496" s="5210"/>
      <c r="AA496" s="5211"/>
      <c r="AB496" s="1178"/>
      <c r="AC496" s="1179"/>
      <c r="AD496" s="227" t="s">
        <v>22</v>
      </c>
      <c r="AE496" s="1027" t="str">
        <f t="shared" si="206"/>
        <v>►</v>
      </c>
      <c r="AF496" s="1028" t="str">
        <f t="shared" si="207"/>
        <v/>
      </c>
      <c r="AG496" s="1029" t="str">
        <f t="shared" si="208"/>
        <v/>
      </c>
      <c r="AH496" s="1028" t="str">
        <f t="shared" si="209"/>
        <v/>
      </c>
      <c r="AI496" s="1029" t="str">
        <f t="shared" si="210"/>
        <v/>
      </c>
      <c r="AJ496" s="1029">
        <f t="shared" si="211"/>
        <v>0</v>
      </c>
      <c r="AK496" s="1043" t="str" cm="1">
        <f t="array" ref="AK496">IF(AE496&lt;&gt;"A","",IFERROR((IFERROR(_xlfn.XLOOKUP(TRIM(SUBSTITUTE(U496,CHAR(160)," ")),$BI$15:$BI$62,$BL$15:$BL$62),IFERROR(_xlfn.XLOOKUP(TRIM(SUBSTITUTE(U496,CHAR(160)," ")),$BJ$15:$BJ$62,$BL$15:$BL$62),_xlfn.XLOOKUP(TRIM(SUBSTITUTE(U496,CHAR(160)," ")),$BK$15:$BK$62,$BL$15:$BL$62))))*T496*IF(ISBLANK(Q496),1,Q496)+IFERROR(_xlfn.XLOOKUP("RECHERCHEX",TRIM(L496:AC496),L496:AC496),0),0))</f>
        <v/>
      </c>
      <c r="AL496" s="1030">
        <f t="shared" si="212"/>
        <v>0</v>
      </c>
      <c r="AM496" s="5254" t="str">
        <f t="shared" si="227"/>
        <v/>
      </c>
      <c r="AN496" s="1031">
        <f t="shared" si="213"/>
        <v>0</v>
      </c>
      <c r="AO496" s="1031">
        <f t="shared" si="214"/>
        <v>0</v>
      </c>
      <c r="AP496" s="1032">
        <f t="shared" si="215"/>
        <v>0</v>
      </c>
      <c r="AQ496" s="5255" t="str">
        <f t="shared" si="216"/>
        <v/>
      </c>
      <c r="AR496" s="1056"/>
      <c r="AS496" s="1056"/>
      <c r="AT496" s="1034">
        <f t="shared" si="217"/>
        <v>0</v>
      </c>
      <c r="AU496" s="1035">
        <f t="shared" si="218"/>
        <v>0</v>
      </c>
      <c r="AV496" s="1057" cm="1">
        <f t="array" ref="AV496">IF(AJ496&lt;&gt;1,0,IF(OR(AT496="",N(AT496)&lt;=0.000000001),"",IF(OR(AN496="",N(AN496)&lt;=0.000000001),0,IF(ISNUMBER(AT496),IFERROR(_xlfn.LET(_xlpm.ai_test,TRIM(AI496),_xlpm.r,IFERROR(_xlfn.XLOOKUP(_xlpm.ai_test,$BI$15:$BI$62,ROW($BI$15:$BI$62),0,1),IFERROR(_xlfn.XLOOKUP(_xlpm.ai_test,$BJ$15:$BJ$62,ROW($BJ$15:$BJ$62),0,1),_xlfn.XLOOKUP(_xlpm.ai_test,$BK$15:$BK$62,ROW($BK$15:$BK$62),0,1))),_xlpm.p,_xlpm.r-MIN(ROW($BI$15:$BI$62))+1,_xlpm.f,INDEX($BL$15:$BL$62,_xlpm.p),_xlpm.u,INDEX($BM$15:$BM$62,_xlpm.p),_xlpm.s,INDEX($BO$15:$BO$62,_xlpm.p),_xlpm.q,N(AT496)/_xlpm.f,IF(_xlpm.q&gt;=_xlpm.s,ROUND(_xlpm.q,1)&amp;" "&amp;_xlpm.ai_test&amp;" = "&amp;ROUND(_xlpm.q*_xlpm.f,1)&amp;" "&amp;_xlpm.u,ROUND(_xlpm.q,1)&amp;" "&amp;_xlpm.ai_test)),""),""))))</f>
        <v>0</v>
      </c>
      <c r="AW496" s="1047"/>
      <c r="AX496" s="1034">
        <f t="shared" si="219"/>
        <v>0</v>
      </c>
      <c r="AY496" s="1035" t="str">
        <f t="shared" si="220"/>
        <v/>
      </c>
      <c r="AZ496" s="1036">
        <f t="shared" si="225"/>
        <v>0</v>
      </c>
      <c r="BA496" s="1037" t="str">
        <f t="shared" si="221"/>
        <v/>
      </c>
      <c r="BB496" s="1038"/>
      <c r="BC496" s="1039">
        <f t="shared" si="226"/>
        <v>0</v>
      </c>
      <c r="BD496" s="1040" t="str">
        <f t="shared" si="222"/>
        <v/>
      </c>
      <c r="BE496" s="227" t="s">
        <v>22</v>
      </c>
      <c r="BF496" s="1019">
        <f t="shared" si="223"/>
        <v>0</v>
      </c>
      <c r="BG496" s="1020">
        <f t="shared" si="224"/>
        <v>0</v>
      </c>
      <c r="BH496"/>
      <c r="BI496" s="709"/>
      <c r="BJ496" s="709"/>
      <c r="BK496" s="709"/>
      <c r="BL496" s="709"/>
      <c r="BM496" s="709"/>
      <c r="BN496" s="709"/>
      <c r="BO496" s="709"/>
      <c r="BP496" s="709"/>
      <c r="BW496" s="959" t="str">
        <f t="shared" si="205"/>
        <v>►</v>
      </c>
      <c r="BX496" s="856"/>
      <c r="BY496" s="856"/>
      <c r="BZ496" s="856"/>
      <c r="CA496" s="856"/>
      <c r="CB496" s="856"/>
      <c r="DB496" s="3">
        <v>1</v>
      </c>
    </row>
    <row r="497" spans="12:106" ht="21" customHeight="1">
      <c r="L497" s="104" t="s">
        <v>16</v>
      </c>
      <c r="M497" s="1172"/>
      <c r="N497" s="1172"/>
      <c r="O497" s="1172"/>
      <c r="P497" s="1173"/>
      <c r="Q497" s="1174"/>
      <c r="R497" s="1175"/>
      <c r="S497" s="1176"/>
      <c r="T497" s="1177"/>
      <c r="U497" s="5248"/>
      <c r="V497" s="1177"/>
      <c r="W497" s="5249"/>
      <c r="X497" s="5208"/>
      <c r="Y497" s="5209"/>
      <c r="Z497" s="5210"/>
      <c r="AA497" s="5211"/>
      <c r="AB497" s="1178"/>
      <c r="AC497" s="1179"/>
      <c r="AD497" s="227" t="s">
        <v>22</v>
      </c>
      <c r="AE497" s="1027" t="str">
        <f t="shared" si="206"/>
        <v>►</v>
      </c>
      <c r="AF497" s="1028" t="str">
        <f t="shared" si="207"/>
        <v/>
      </c>
      <c r="AG497" s="1029" t="str">
        <f t="shared" si="208"/>
        <v/>
      </c>
      <c r="AH497" s="1028" t="str">
        <f t="shared" si="209"/>
        <v/>
      </c>
      <c r="AI497" s="1029" t="str">
        <f t="shared" si="210"/>
        <v/>
      </c>
      <c r="AJ497" s="1029">
        <f t="shared" si="211"/>
        <v>0</v>
      </c>
      <c r="AK497" s="1043" t="str" cm="1">
        <f t="array" ref="AK497">IF(AE497&lt;&gt;"A","",IFERROR((IFERROR(_xlfn.XLOOKUP(TRIM(SUBSTITUTE(U497,CHAR(160)," ")),$BI$15:$BI$62,$BL$15:$BL$62),IFERROR(_xlfn.XLOOKUP(TRIM(SUBSTITUTE(U497,CHAR(160)," ")),$BJ$15:$BJ$62,$BL$15:$BL$62),_xlfn.XLOOKUP(TRIM(SUBSTITUTE(U497,CHAR(160)," ")),$BK$15:$BK$62,$BL$15:$BL$62))))*T497*IF(ISBLANK(Q497),1,Q497)+IFERROR(_xlfn.XLOOKUP("RECHERCHEX",TRIM(L497:AC497),L497:AC497),0),0))</f>
        <v/>
      </c>
      <c r="AL497" s="1030">
        <f t="shared" si="212"/>
        <v>0</v>
      </c>
      <c r="AM497" s="5254" t="str">
        <f t="shared" si="227"/>
        <v/>
      </c>
      <c r="AN497" s="1031">
        <f t="shared" si="213"/>
        <v>0</v>
      </c>
      <c r="AO497" s="1031">
        <f t="shared" si="214"/>
        <v>0</v>
      </c>
      <c r="AP497" s="1044">
        <f t="shared" si="215"/>
        <v>0</v>
      </c>
      <c r="AQ497" s="5257" t="str">
        <f t="shared" si="216"/>
        <v/>
      </c>
      <c r="AR497" s="1056"/>
      <c r="AS497" s="1056"/>
      <c r="AT497" s="1045">
        <f t="shared" si="217"/>
        <v>0</v>
      </c>
      <c r="AU497" s="1046">
        <f t="shared" si="218"/>
        <v>0</v>
      </c>
      <c r="AV497" s="1059" cm="1">
        <f t="array" ref="AV497">IF(AJ497&lt;&gt;1,0,IF(OR(AT497="",N(AT497)&lt;=0.000000001),"",IF(OR(AN497="",N(AN497)&lt;=0.000000001),0,IF(ISNUMBER(AT497),IFERROR(_xlfn.LET(_xlpm.ai_test,TRIM(AI497),_xlpm.r,IFERROR(_xlfn.XLOOKUP(_xlpm.ai_test,$BI$15:$BI$62,ROW($BI$15:$BI$62),0,1),IFERROR(_xlfn.XLOOKUP(_xlpm.ai_test,$BJ$15:$BJ$62,ROW($BJ$15:$BJ$62),0,1),_xlfn.XLOOKUP(_xlpm.ai_test,$BK$15:$BK$62,ROW($BK$15:$BK$62),0,1))),_xlpm.p,_xlpm.r-MIN(ROW($BI$15:$BI$62))+1,_xlpm.f,INDEX($BL$15:$BL$62,_xlpm.p),_xlpm.u,INDEX($BM$15:$BM$62,_xlpm.p),_xlpm.s,INDEX($BO$15:$BO$62,_xlpm.p),_xlpm.q,N(AT497)/_xlpm.f,IF(_xlpm.q&gt;=_xlpm.s,ROUND(_xlpm.q,1)&amp;" "&amp;_xlpm.ai_test&amp;" = "&amp;ROUND(_xlpm.q*_xlpm.f,1)&amp;" "&amp;_xlpm.u,ROUND(_xlpm.q,1)&amp;" "&amp;_xlpm.ai_test)),""),""))))</f>
        <v>0</v>
      </c>
      <c r="AW497" s="1047"/>
      <c r="AX497" s="1045">
        <f t="shared" si="219"/>
        <v>0</v>
      </c>
      <c r="AY497" s="1046" t="str">
        <f t="shared" si="220"/>
        <v/>
      </c>
      <c r="AZ497" s="1048">
        <f t="shared" si="225"/>
        <v>0</v>
      </c>
      <c r="BA497" s="1049" t="str">
        <f t="shared" si="221"/>
        <v/>
      </c>
      <c r="BB497" s="1038"/>
      <c r="BC497" s="1050">
        <f t="shared" si="226"/>
        <v>0</v>
      </c>
      <c r="BD497" s="1040" t="str">
        <f t="shared" si="222"/>
        <v/>
      </c>
      <c r="BE497" s="227" t="s">
        <v>22</v>
      </c>
      <c r="BF497" s="1019">
        <f t="shared" si="223"/>
        <v>0</v>
      </c>
      <c r="BG497" s="1020">
        <f t="shared" si="224"/>
        <v>0</v>
      </c>
      <c r="BH497"/>
      <c r="BI497" s="709"/>
      <c r="BJ497" s="709"/>
      <c r="BK497" s="709"/>
      <c r="BL497" s="709"/>
      <c r="BM497" s="709"/>
      <c r="BN497" s="709"/>
      <c r="BO497" s="709"/>
      <c r="BP497" s="709"/>
      <c r="BW497" s="959" t="str">
        <f t="shared" si="205"/>
        <v>►</v>
      </c>
      <c r="BX497" s="856"/>
      <c r="BY497" s="856"/>
      <c r="BZ497" s="856"/>
      <c r="CA497" s="856"/>
      <c r="CB497" s="856"/>
      <c r="DB497" s="3">
        <v>1</v>
      </c>
    </row>
    <row r="498" spans="12:106" ht="21" customHeight="1">
      <c r="L498" s="104" t="s">
        <v>16</v>
      </c>
      <c r="M498" s="1172"/>
      <c r="N498" s="1172"/>
      <c r="O498" s="1172"/>
      <c r="P498" s="1173"/>
      <c r="Q498" s="1174"/>
      <c r="R498" s="1175"/>
      <c r="S498" s="1176"/>
      <c r="T498" s="1177"/>
      <c r="U498" s="5248"/>
      <c r="V498" s="1177"/>
      <c r="W498" s="5249"/>
      <c r="X498" s="5208"/>
      <c r="Y498" s="5209"/>
      <c r="Z498" s="5210"/>
      <c r="AA498" s="5211"/>
      <c r="AB498" s="1178"/>
      <c r="AC498" s="1179"/>
      <c r="AD498" s="227" t="s">
        <v>22</v>
      </c>
      <c r="AE498" s="1027" t="str">
        <f t="shared" si="206"/>
        <v>►</v>
      </c>
      <c r="AF498" s="1028" t="str">
        <f t="shared" si="207"/>
        <v/>
      </c>
      <c r="AG498" s="1029" t="str">
        <f t="shared" si="208"/>
        <v/>
      </c>
      <c r="AH498" s="1028" t="str">
        <f t="shared" si="209"/>
        <v/>
      </c>
      <c r="AI498" s="1029" t="str">
        <f t="shared" si="210"/>
        <v/>
      </c>
      <c r="AJ498" s="1029">
        <f t="shared" si="211"/>
        <v>0</v>
      </c>
      <c r="AK498" s="1043" t="str" cm="1">
        <f t="array" ref="AK498">IF(AE498&lt;&gt;"A","",IFERROR((IFERROR(_xlfn.XLOOKUP(TRIM(SUBSTITUTE(U498,CHAR(160)," ")),$BI$15:$BI$62,$BL$15:$BL$62),IFERROR(_xlfn.XLOOKUP(TRIM(SUBSTITUTE(U498,CHAR(160)," ")),$BJ$15:$BJ$62,$BL$15:$BL$62),_xlfn.XLOOKUP(TRIM(SUBSTITUTE(U498,CHAR(160)," ")),$BK$15:$BK$62,$BL$15:$BL$62))))*T498*IF(ISBLANK(Q498),1,Q498)+IFERROR(_xlfn.XLOOKUP("RECHERCHEX",TRIM(L498:AC498),L498:AC498),0),0))</f>
        <v/>
      </c>
      <c r="AL498" s="1030">
        <f t="shared" si="212"/>
        <v>0</v>
      </c>
      <c r="AM498" s="5254" t="str">
        <f t="shared" si="227"/>
        <v/>
      </c>
      <c r="AN498" s="1031">
        <f t="shared" si="213"/>
        <v>0</v>
      </c>
      <c r="AO498" s="1031">
        <f t="shared" si="214"/>
        <v>0</v>
      </c>
      <c r="AP498" s="1032">
        <f t="shared" si="215"/>
        <v>0</v>
      </c>
      <c r="AQ498" s="5255" t="str">
        <f t="shared" si="216"/>
        <v/>
      </c>
      <c r="AR498" s="1056"/>
      <c r="AS498" s="1056"/>
      <c r="AT498" s="1034">
        <f t="shared" si="217"/>
        <v>0</v>
      </c>
      <c r="AU498" s="1035">
        <f t="shared" si="218"/>
        <v>0</v>
      </c>
      <c r="AV498" s="1057" cm="1">
        <f t="array" ref="AV498">IF(AJ498&lt;&gt;1,0,IF(OR(AT498="",N(AT498)&lt;=0.000000001),"",IF(OR(AN498="",N(AN498)&lt;=0.000000001),0,IF(ISNUMBER(AT498),IFERROR(_xlfn.LET(_xlpm.ai_test,TRIM(AI498),_xlpm.r,IFERROR(_xlfn.XLOOKUP(_xlpm.ai_test,$BI$15:$BI$62,ROW($BI$15:$BI$62),0,1),IFERROR(_xlfn.XLOOKUP(_xlpm.ai_test,$BJ$15:$BJ$62,ROW($BJ$15:$BJ$62),0,1),_xlfn.XLOOKUP(_xlpm.ai_test,$BK$15:$BK$62,ROW($BK$15:$BK$62),0,1))),_xlpm.p,_xlpm.r-MIN(ROW($BI$15:$BI$62))+1,_xlpm.f,INDEX($BL$15:$BL$62,_xlpm.p),_xlpm.u,INDEX($BM$15:$BM$62,_xlpm.p),_xlpm.s,INDEX($BO$15:$BO$62,_xlpm.p),_xlpm.q,N(AT498)/_xlpm.f,IF(_xlpm.q&gt;=_xlpm.s,ROUND(_xlpm.q,1)&amp;" "&amp;_xlpm.ai_test&amp;" = "&amp;ROUND(_xlpm.q*_xlpm.f,1)&amp;" "&amp;_xlpm.u,ROUND(_xlpm.q,1)&amp;" "&amp;_xlpm.ai_test)),""),""))))</f>
        <v>0</v>
      </c>
      <c r="AW498" s="1047"/>
      <c r="AX498" s="1034">
        <f t="shared" si="219"/>
        <v>0</v>
      </c>
      <c r="AY498" s="1035" t="str">
        <f t="shared" si="220"/>
        <v/>
      </c>
      <c r="AZ498" s="1036">
        <f t="shared" si="225"/>
        <v>0</v>
      </c>
      <c r="BA498" s="1037" t="str">
        <f t="shared" si="221"/>
        <v/>
      </c>
      <c r="BB498" s="1038"/>
      <c r="BC498" s="1039">
        <f t="shared" si="226"/>
        <v>0</v>
      </c>
      <c r="BD498" s="1040" t="str">
        <f t="shared" si="222"/>
        <v/>
      </c>
      <c r="BE498" s="227" t="s">
        <v>22</v>
      </c>
      <c r="BF498" s="1019">
        <f t="shared" si="223"/>
        <v>0</v>
      </c>
      <c r="BG498" s="1020">
        <f t="shared" si="224"/>
        <v>0</v>
      </c>
      <c r="BH498"/>
      <c r="BI498" s="709"/>
      <c r="BJ498" s="709"/>
      <c r="BK498" s="709"/>
      <c r="BL498" s="709"/>
      <c r="BM498" s="709"/>
      <c r="BN498" s="709"/>
      <c r="BO498" s="709"/>
      <c r="BP498" s="709"/>
      <c r="BW498" s="959" t="str">
        <f t="shared" si="205"/>
        <v>►</v>
      </c>
      <c r="BX498" s="856"/>
      <c r="BY498" s="856"/>
      <c r="BZ498" s="856"/>
      <c r="CA498" s="856"/>
      <c r="CB498" s="856"/>
      <c r="DB498" s="3">
        <v>1</v>
      </c>
    </row>
    <row r="499" spans="12:106" ht="21" customHeight="1">
      <c r="L499" s="104" t="s">
        <v>16</v>
      </c>
      <c r="M499" s="1172"/>
      <c r="N499" s="1172"/>
      <c r="O499" s="1172"/>
      <c r="P499" s="1173"/>
      <c r="Q499" s="1174"/>
      <c r="R499" s="1175"/>
      <c r="S499" s="1176"/>
      <c r="T499" s="1177"/>
      <c r="U499" s="5248"/>
      <c r="V499" s="1177"/>
      <c r="W499" s="5249"/>
      <c r="X499" s="5208"/>
      <c r="Y499" s="5209"/>
      <c r="Z499" s="5210"/>
      <c r="AA499" s="5211"/>
      <c r="AB499" s="1178"/>
      <c r="AC499" s="1179"/>
      <c r="AD499" s="227" t="s">
        <v>22</v>
      </c>
      <c r="AE499" s="1027" t="str">
        <f t="shared" si="206"/>
        <v>►</v>
      </c>
      <c r="AF499" s="1028" t="str">
        <f t="shared" si="207"/>
        <v/>
      </c>
      <c r="AG499" s="1029" t="str">
        <f t="shared" si="208"/>
        <v/>
      </c>
      <c r="AH499" s="1028" t="str">
        <f t="shared" si="209"/>
        <v/>
      </c>
      <c r="AI499" s="1029" t="str">
        <f t="shared" si="210"/>
        <v/>
      </c>
      <c r="AJ499" s="1029">
        <f t="shared" si="211"/>
        <v>0</v>
      </c>
      <c r="AK499" s="1043" t="str" cm="1">
        <f t="array" ref="AK499">IF(AE499&lt;&gt;"A","",IFERROR((IFERROR(_xlfn.XLOOKUP(TRIM(SUBSTITUTE(U499,CHAR(160)," ")),$BI$15:$BI$62,$BL$15:$BL$62),IFERROR(_xlfn.XLOOKUP(TRIM(SUBSTITUTE(U499,CHAR(160)," ")),$BJ$15:$BJ$62,$BL$15:$BL$62),_xlfn.XLOOKUP(TRIM(SUBSTITUTE(U499,CHAR(160)," ")),$BK$15:$BK$62,$BL$15:$BL$62))))*T499*IF(ISBLANK(Q499),1,Q499)+IFERROR(_xlfn.XLOOKUP("RECHERCHEX",TRIM(L499:AC499),L499:AC499),0),0))</f>
        <v/>
      </c>
      <c r="AL499" s="1030">
        <f t="shared" si="212"/>
        <v>0</v>
      </c>
      <c r="AM499" s="5254" t="str">
        <f t="shared" si="227"/>
        <v/>
      </c>
      <c r="AN499" s="1031">
        <f t="shared" si="213"/>
        <v>0</v>
      </c>
      <c r="AO499" s="1031">
        <f t="shared" si="214"/>
        <v>0</v>
      </c>
      <c r="AP499" s="1044">
        <f t="shared" si="215"/>
        <v>0</v>
      </c>
      <c r="AQ499" s="5257" t="str">
        <f t="shared" si="216"/>
        <v/>
      </c>
      <c r="AR499" s="1056"/>
      <c r="AS499" s="1056"/>
      <c r="AT499" s="1045">
        <f t="shared" si="217"/>
        <v>0</v>
      </c>
      <c r="AU499" s="1046">
        <f t="shared" si="218"/>
        <v>0</v>
      </c>
      <c r="AV499" s="1059" cm="1">
        <f t="array" ref="AV499">IF(AJ499&lt;&gt;1,0,IF(OR(AT499="",N(AT499)&lt;=0.000000001),"",IF(OR(AN499="",N(AN499)&lt;=0.000000001),0,IF(ISNUMBER(AT499),IFERROR(_xlfn.LET(_xlpm.ai_test,TRIM(AI499),_xlpm.r,IFERROR(_xlfn.XLOOKUP(_xlpm.ai_test,$BI$15:$BI$62,ROW($BI$15:$BI$62),0,1),IFERROR(_xlfn.XLOOKUP(_xlpm.ai_test,$BJ$15:$BJ$62,ROW($BJ$15:$BJ$62),0,1),_xlfn.XLOOKUP(_xlpm.ai_test,$BK$15:$BK$62,ROW($BK$15:$BK$62),0,1))),_xlpm.p,_xlpm.r-MIN(ROW($BI$15:$BI$62))+1,_xlpm.f,INDEX($BL$15:$BL$62,_xlpm.p),_xlpm.u,INDEX($BM$15:$BM$62,_xlpm.p),_xlpm.s,INDEX($BO$15:$BO$62,_xlpm.p),_xlpm.q,N(AT499)/_xlpm.f,IF(_xlpm.q&gt;=_xlpm.s,ROUND(_xlpm.q,1)&amp;" "&amp;_xlpm.ai_test&amp;" = "&amp;ROUND(_xlpm.q*_xlpm.f,1)&amp;" "&amp;_xlpm.u,ROUND(_xlpm.q,1)&amp;" "&amp;_xlpm.ai_test)),""),""))))</f>
        <v>0</v>
      </c>
      <c r="AW499" s="1047"/>
      <c r="AX499" s="1045">
        <f t="shared" si="219"/>
        <v>0</v>
      </c>
      <c r="AY499" s="1046" t="str">
        <f t="shared" si="220"/>
        <v/>
      </c>
      <c r="AZ499" s="1048">
        <f t="shared" si="225"/>
        <v>0</v>
      </c>
      <c r="BA499" s="1049" t="str">
        <f t="shared" si="221"/>
        <v/>
      </c>
      <c r="BB499" s="1038"/>
      <c r="BC499" s="1050">
        <f t="shared" si="226"/>
        <v>0</v>
      </c>
      <c r="BD499" s="1040" t="str">
        <f t="shared" si="222"/>
        <v/>
      </c>
      <c r="BE499" s="227" t="s">
        <v>22</v>
      </c>
      <c r="BF499" s="1019">
        <f t="shared" si="223"/>
        <v>0</v>
      </c>
      <c r="BG499" s="1020">
        <f t="shared" si="224"/>
        <v>0</v>
      </c>
      <c r="BH499"/>
      <c r="BI499" s="709"/>
      <c r="BJ499" s="709"/>
      <c r="BK499" s="709"/>
      <c r="BL499" s="709"/>
      <c r="BM499" s="709"/>
      <c r="BN499" s="709"/>
      <c r="BO499" s="709"/>
      <c r="BP499" s="709"/>
      <c r="BW499" s="959" t="str">
        <f t="shared" si="205"/>
        <v>►</v>
      </c>
      <c r="BX499" s="856"/>
      <c r="BY499" s="856"/>
      <c r="BZ499" s="856"/>
      <c r="CA499" s="856"/>
      <c r="CB499" s="856"/>
      <c r="DB499" s="3">
        <v>1</v>
      </c>
    </row>
    <row r="500" spans="12:106" ht="21" customHeight="1">
      <c r="L500" s="104" t="s">
        <v>16</v>
      </c>
      <c r="M500" s="1172"/>
      <c r="N500" s="1172"/>
      <c r="O500" s="1172"/>
      <c r="P500" s="1173"/>
      <c r="Q500" s="1174"/>
      <c r="R500" s="1175"/>
      <c r="S500" s="1176"/>
      <c r="T500" s="1177"/>
      <c r="U500" s="5248"/>
      <c r="V500" s="1177"/>
      <c r="W500" s="5249"/>
      <c r="X500" s="5208"/>
      <c r="Y500" s="5209"/>
      <c r="Z500" s="5210"/>
      <c r="AA500" s="5211"/>
      <c r="AB500" s="1178"/>
      <c r="AC500" s="1179"/>
      <c r="AD500" s="227" t="s">
        <v>22</v>
      </c>
      <c r="AE500" s="1027" t="str">
        <f t="shared" si="206"/>
        <v>►</v>
      </c>
      <c r="AF500" s="1028" t="str">
        <f t="shared" si="207"/>
        <v/>
      </c>
      <c r="AG500" s="1029" t="str">
        <f t="shared" si="208"/>
        <v/>
      </c>
      <c r="AH500" s="1028" t="str">
        <f t="shared" si="209"/>
        <v/>
      </c>
      <c r="AI500" s="1029" t="str">
        <f t="shared" si="210"/>
        <v/>
      </c>
      <c r="AJ500" s="1029">
        <f t="shared" si="211"/>
        <v>0</v>
      </c>
      <c r="AK500" s="1043" t="str" cm="1">
        <f t="array" ref="AK500">IF(AE500&lt;&gt;"A","",IFERROR((IFERROR(_xlfn.XLOOKUP(TRIM(SUBSTITUTE(U500,CHAR(160)," ")),$BI$15:$BI$62,$BL$15:$BL$62),IFERROR(_xlfn.XLOOKUP(TRIM(SUBSTITUTE(U500,CHAR(160)," ")),$BJ$15:$BJ$62,$BL$15:$BL$62),_xlfn.XLOOKUP(TRIM(SUBSTITUTE(U500,CHAR(160)," ")),$BK$15:$BK$62,$BL$15:$BL$62))))*T500*IF(ISBLANK(Q500),1,Q500)+IFERROR(_xlfn.XLOOKUP("RECHERCHEX",TRIM(L500:AC500),L500:AC500),0),0))</f>
        <v/>
      </c>
      <c r="AL500" s="1030">
        <f t="shared" si="212"/>
        <v>0</v>
      </c>
      <c r="AM500" s="5254" t="str">
        <f t="shared" si="227"/>
        <v/>
      </c>
      <c r="AN500" s="1031">
        <f t="shared" si="213"/>
        <v>0</v>
      </c>
      <c r="AO500" s="1031">
        <f t="shared" si="214"/>
        <v>0</v>
      </c>
      <c r="AP500" s="1032">
        <f t="shared" si="215"/>
        <v>0</v>
      </c>
      <c r="AQ500" s="5255" t="str">
        <f t="shared" si="216"/>
        <v/>
      </c>
      <c r="AR500" s="1056"/>
      <c r="AS500" s="1056"/>
      <c r="AT500" s="1034">
        <f t="shared" si="217"/>
        <v>0</v>
      </c>
      <c r="AU500" s="1035">
        <f t="shared" si="218"/>
        <v>0</v>
      </c>
      <c r="AV500" s="1057" cm="1">
        <f t="array" ref="AV500">IF(AJ500&lt;&gt;1,0,IF(OR(AT500="",N(AT500)&lt;=0.000000001),"",IF(OR(AN500="",N(AN500)&lt;=0.000000001),0,IF(ISNUMBER(AT500),IFERROR(_xlfn.LET(_xlpm.ai_test,TRIM(AI500),_xlpm.r,IFERROR(_xlfn.XLOOKUP(_xlpm.ai_test,$BI$15:$BI$62,ROW($BI$15:$BI$62),0,1),IFERROR(_xlfn.XLOOKUP(_xlpm.ai_test,$BJ$15:$BJ$62,ROW($BJ$15:$BJ$62),0,1),_xlfn.XLOOKUP(_xlpm.ai_test,$BK$15:$BK$62,ROW($BK$15:$BK$62),0,1))),_xlpm.p,_xlpm.r-MIN(ROW($BI$15:$BI$62))+1,_xlpm.f,INDEX($BL$15:$BL$62,_xlpm.p),_xlpm.u,INDEX($BM$15:$BM$62,_xlpm.p),_xlpm.s,INDEX($BO$15:$BO$62,_xlpm.p),_xlpm.q,N(AT500)/_xlpm.f,IF(_xlpm.q&gt;=_xlpm.s,ROUND(_xlpm.q,1)&amp;" "&amp;_xlpm.ai_test&amp;" = "&amp;ROUND(_xlpm.q*_xlpm.f,1)&amp;" "&amp;_xlpm.u,ROUND(_xlpm.q,1)&amp;" "&amp;_xlpm.ai_test)),""),""))))</f>
        <v>0</v>
      </c>
      <c r="AW500" s="1047"/>
      <c r="AX500" s="1034">
        <f t="shared" si="219"/>
        <v>0</v>
      </c>
      <c r="AY500" s="1035" t="str">
        <f t="shared" si="220"/>
        <v/>
      </c>
      <c r="AZ500" s="1036">
        <f t="shared" si="225"/>
        <v>0</v>
      </c>
      <c r="BA500" s="1037" t="str">
        <f t="shared" si="221"/>
        <v/>
      </c>
      <c r="BB500" s="1038"/>
      <c r="BC500" s="1039">
        <f t="shared" si="226"/>
        <v>0</v>
      </c>
      <c r="BD500" s="1040" t="str">
        <f t="shared" si="222"/>
        <v/>
      </c>
      <c r="BE500" s="227" t="s">
        <v>22</v>
      </c>
      <c r="BF500" s="1019">
        <f t="shared" si="223"/>
        <v>0</v>
      </c>
      <c r="BG500" s="1020">
        <f t="shared" si="224"/>
        <v>0</v>
      </c>
      <c r="BH500"/>
      <c r="BI500" s="709"/>
      <c r="BJ500" s="709"/>
      <c r="BK500" s="709"/>
      <c r="BL500" s="709"/>
      <c r="BM500" s="709"/>
      <c r="BN500" s="709"/>
      <c r="BO500" s="709"/>
      <c r="BP500" s="709"/>
      <c r="BW500" s="959" t="str">
        <f t="shared" si="205"/>
        <v>►</v>
      </c>
      <c r="BX500" s="856"/>
      <c r="BY500" s="856"/>
      <c r="BZ500" s="856"/>
      <c r="CA500" s="856"/>
      <c r="CB500" s="856"/>
      <c r="DB500" s="3">
        <v>1</v>
      </c>
    </row>
    <row r="501" spans="12:106" ht="21" customHeight="1">
      <c r="L501" s="104" t="s">
        <v>16</v>
      </c>
      <c r="M501" s="1172"/>
      <c r="N501" s="1172"/>
      <c r="O501" s="1172"/>
      <c r="P501" s="1173"/>
      <c r="Q501" s="1174"/>
      <c r="R501" s="1175"/>
      <c r="S501" s="1176"/>
      <c r="T501" s="1177"/>
      <c r="U501" s="5248"/>
      <c r="V501" s="1177"/>
      <c r="W501" s="5249"/>
      <c r="X501" s="5208"/>
      <c r="Y501" s="5209"/>
      <c r="Z501" s="5210"/>
      <c r="AA501" s="5211"/>
      <c r="AB501" s="1178"/>
      <c r="AC501" s="1179"/>
      <c r="AD501" s="227" t="s">
        <v>22</v>
      </c>
      <c r="AE501" s="1027" t="str">
        <f t="shared" si="206"/>
        <v>►</v>
      </c>
      <c r="AF501" s="1028" t="str">
        <f t="shared" si="207"/>
        <v/>
      </c>
      <c r="AG501" s="1029" t="str">
        <f t="shared" si="208"/>
        <v/>
      </c>
      <c r="AH501" s="1028" t="str">
        <f t="shared" si="209"/>
        <v/>
      </c>
      <c r="AI501" s="1029" t="str">
        <f t="shared" si="210"/>
        <v/>
      </c>
      <c r="AJ501" s="1029">
        <f t="shared" si="211"/>
        <v>0</v>
      </c>
      <c r="AK501" s="1043" t="str" cm="1">
        <f t="array" ref="AK501">IF(AE501&lt;&gt;"A","",IFERROR((IFERROR(_xlfn.XLOOKUP(TRIM(SUBSTITUTE(U501,CHAR(160)," ")),$BI$15:$BI$62,$BL$15:$BL$62),IFERROR(_xlfn.XLOOKUP(TRIM(SUBSTITUTE(U501,CHAR(160)," ")),$BJ$15:$BJ$62,$BL$15:$BL$62),_xlfn.XLOOKUP(TRIM(SUBSTITUTE(U501,CHAR(160)," ")),$BK$15:$BK$62,$BL$15:$BL$62))))*T501*IF(ISBLANK(Q501),1,Q501)+IFERROR(_xlfn.XLOOKUP("RECHERCHEX",TRIM(L501:AC501),L501:AC501),0),0))</f>
        <v/>
      </c>
      <c r="AL501" s="1030">
        <f t="shared" si="212"/>
        <v>0</v>
      </c>
      <c r="AM501" s="5254" t="str">
        <f t="shared" si="227"/>
        <v/>
      </c>
      <c r="AN501" s="1031">
        <f t="shared" si="213"/>
        <v>0</v>
      </c>
      <c r="AO501" s="1031">
        <f t="shared" si="214"/>
        <v>0</v>
      </c>
      <c r="AP501" s="1044">
        <f t="shared" si="215"/>
        <v>0</v>
      </c>
      <c r="AQ501" s="5257" t="str">
        <f t="shared" si="216"/>
        <v/>
      </c>
      <c r="AR501" s="1056"/>
      <c r="AS501" s="1056"/>
      <c r="AT501" s="1045">
        <f t="shared" si="217"/>
        <v>0</v>
      </c>
      <c r="AU501" s="1046">
        <f t="shared" si="218"/>
        <v>0</v>
      </c>
      <c r="AV501" s="1059" cm="1">
        <f t="array" ref="AV501">IF(AJ501&lt;&gt;1,0,IF(OR(AT501="",N(AT501)&lt;=0.000000001),"",IF(OR(AN501="",N(AN501)&lt;=0.000000001),0,IF(ISNUMBER(AT501),IFERROR(_xlfn.LET(_xlpm.ai_test,TRIM(AI501),_xlpm.r,IFERROR(_xlfn.XLOOKUP(_xlpm.ai_test,$BI$15:$BI$62,ROW($BI$15:$BI$62),0,1),IFERROR(_xlfn.XLOOKUP(_xlpm.ai_test,$BJ$15:$BJ$62,ROW($BJ$15:$BJ$62),0,1),_xlfn.XLOOKUP(_xlpm.ai_test,$BK$15:$BK$62,ROW($BK$15:$BK$62),0,1))),_xlpm.p,_xlpm.r-MIN(ROW($BI$15:$BI$62))+1,_xlpm.f,INDEX($BL$15:$BL$62,_xlpm.p),_xlpm.u,INDEX($BM$15:$BM$62,_xlpm.p),_xlpm.s,INDEX($BO$15:$BO$62,_xlpm.p),_xlpm.q,N(AT501)/_xlpm.f,IF(_xlpm.q&gt;=_xlpm.s,ROUND(_xlpm.q,1)&amp;" "&amp;_xlpm.ai_test&amp;" = "&amp;ROUND(_xlpm.q*_xlpm.f,1)&amp;" "&amp;_xlpm.u,ROUND(_xlpm.q,1)&amp;" "&amp;_xlpm.ai_test)),""),""))))</f>
        <v>0</v>
      </c>
      <c r="AW501" s="1047"/>
      <c r="AX501" s="1045">
        <f t="shared" si="219"/>
        <v>0</v>
      </c>
      <c r="AY501" s="1046" t="str">
        <f t="shared" si="220"/>
        <v/>
      </c>
      <c r="AZ501" s="1048">
        <f t="shared" si="225"/>
        <v>0</v>
      </c>
      <c r="BA501" s="1049" t="str">
        <f t="shared" si="221"/>
        <v/>
      </c>
      <c r="BB501" s="1038"/>
      <c r="BC501" s="1050">
        <f t="shared" si="226"/>
        <v>0</v>
      </c>
      <c r="BD501" s="1040" t="str">
        <f t="shared" si="222"/>
        <v/>
      </c>
      <c r="BE501" s="227" t="s">
        <v>22</v>
      </c>
      <c r="BF501" s="1019">
        <f t="shared" si="223"/>
        <v>0</v>
      </c>
      <c r="BG501" s="1020">
        <f t="shared" si="224"/>
        <v>0</v>
      </c>
      <c r="BH501"/>
      <c r="BI501" s="709"/>
      <c r="BJ501" s="709"/>
      <c r="BK501" s="709"/>
      <c r="BL501" s="709"/>
      <c r="BM501" s="709"/>
      <c r="BN501" s="709"/>
      <c r="BO501" s="709"/>
      <c r="BP501" s="709"/>
      <c r="BW501" s="959" t="str">
        <f t="shared" si="205"/>
        <v>►</v>
      </c>
      <c r="BX501" s="856"/>
      <c r="BY501" s="856"/>
      <c r="BZ501" s="856"/>
      <c r="CA501" s="856"/>
      <c r="CB501" s="856"/>
      <c r="DB501" s="3">
        <v>1</v>
      </c>
    </row>
    <row r="502" spans="12:106" ht="21" customHeight="1">
      <c r="L502" s="104" t="s">
        <v>16</v>
      </c>
      <c r="M502" s="1172"/>
      <c r="N502" s="1172"/>
      <c r="O502" s="1172"/>
      <c r="P502" s="1173"/>
      <c r="Q502" s="1174"/>
      <c r="R502" s="1175"/>
      <c r="S502" s="1176"/>
      <c r="T502" s="1177"/>
      <c r="U502" s="5248"/>
      <c r="V502" s="1177"/>
      <c r="W502" s="5249"/>
      <c r="X502" s="5208"/>
      <c r="Y502" s="5209"/>
      <c r="Z502" s="5210"/>
      <c r="AA502" s="5211"/>
      <c r="AB502" s="1178"/>
      <c r="AC502" s="1179"/>
      <c r="AD502" s="227" t="s">
        <v>22</v>
      </c>
      <c r="AE502" s="1027" t="str">
        <f t="shared" si="206"/>
        <v>►</v>
      </c>
      <c r="AF502" s="1028" t="str">
        <f t="shared" si="207"/>
        <v/>
      </c>
      <c r="AG502" s="1029" t="str">
        <f t="shared" si="208"/>
        <v/>
      </c>
      <c r="AH502" s="1028" t="str">
        <f t="shared" si="209"/>
        <v/>
      </c>
      <c r="AI502" s="1029" t="str">
        <f t="shared" si="210"/>
        <v/>
      </c>
      <c r="AJ502" s="1029">
        <f t="shared" si="211"/>
        <v>0</v>
      </c>
      <c r="AK502" s="1043" t="str" cm="1">
        <f t="array" ref="AK502">IF(AE502&lt;&gt;"A","",IFERROR((IFERROR(_xlfn.XLOOKUP(TRIM(SUBSTITUTE(U502,CHAR(160)," ")),$BI$15:$BI$62,$BL$15:$BL$62),IFERROR(_xlfn.XLOOKUP(TRIM(SUBSTITUTE(U502,CHAR(160)," ")),$BJ$15:$BJ$62,$BL$15:$BL$62),_xlfn.XLOOKUP(TRIM(SUBSTITUTE(U502,CHAR(160)," ")),$BK$15:$BK$62,$BL$15:$BL$62))))*T502*IF(ISBLANK(Q502),1,Q502)+IFERROR(_xlfn.XLOOKUP("RECHERCHEX",TRIM(L502:AC502),L502:AC502),0),0))</f>
        <v/>
      </c>
      <c r="AL502" s="1030">
        <f t="shared" si="212"/>
        <v>0</v>
      </c>
      <c r="AM502" s="5254" t="str">
        <f t="shared" si="227"/>
        <v/>
      </c>
      <c r="AN502" s="1031">
        <f t="shared" si="213"/>
        <v>0</v>
      </c>
      <c r="AO502" s="1031">
        <f t="shared" si="214"/>
        <v>0</v>
      </c>
      <c r="AP502" s="1032">
        <f t="shared" si="215"/>
        <v>0</v>
      </c>
      <c r="AQ502" s="5255" t="str">
        <f t="shared" si="216"/>
        <v/>
      </c>
      <c r="AR502" s="1056"/>
      <c r="AS502" s="1056"/>
      <c r="AT502" s="1034">
        <f t="shared" si="217"/>
        <v>0</v>
      </c>
      <c r="AU502" s="1035">
        <f t="shared" si="218"/>
        <v>0</v>
      </c>
      <c r="AV502" s="1057" cm="1">
        <f t="array" ref="AV502">IF(AJ502&lt;&gt;1,0,IF(OR(AT502="",N(AT502)&lt;=0.000000001),"",IF(OR(AN502="",N(AN502)&lt;=0.000000001),0,IF(ISNUMBER(AT502),IFERROR(_xlfn.LET(_xlpm.ai_test,TRIM(AI502),_xlpm.r,IFERROR(_xlfn.XLOOKUP(_xlpm.ai_test,$BI$15:$BI$62,ROW($BI$15:$BI$62),0,1),IFERROR(_xlfn.XLOOKUP(_xlpm.ai_test,$BJ$15:$BJ$62,ROW($BJ$15:$BJ$62),0,1),_xlfn.XLOOKUP(_xlpm.ai_test,$BK$15:$BK$62,ROW($BK$15:$BK$62),0,1))),_xlpm.p,_xlpm.r-MIN(ROW($BI$15:$BI$62))+1,_xlpm.f,INDEX($BL$15:$BL$62,_xlpm.p),_xlpm.u,INDEX($BM$15:$BM$62,_xlpm.p),_xlpm.s,INDEX($BO$15:$BO$62,_xlpm.p),_xlpm.q,N(AT502)/_xlpm.f,IF(_xlpm.q&gt;=_xlpm.s,ROUND(_xlpm.q,1)&amp;" "&amp;_xlpm.ai_test&amp;" = "&amp;ROUND(_xlpm.q*_xlpm.f,1)&amp;" "&amp;_xlpm.u,ROUND(_xlpm.q,1)&amp;" "&amp;_xlpm.ai_test)),""),""))))</f>
        <v>0</v>
      </c>
      <c r="AW502" s="1047"/>
      <c r="AX502" s="1034">
        <f t="shared" si="219"/>
        <v>0</v>
      </c>
      <c r="AY502" s="1035" t="str">
        <f t="shared" si="220"/>
        <v/>
      </c>
      <c r="AZ502" s="1036">
        <f t="shared" si="225"/>
        <v>0</v>
      </c>
      <c r="BA502" s="1037" t="str">
        <f t="shared" si="221"/>
        <v/>
      </c>
      <c r="BB502" s="1038"/>
      <c r="BC502" s="1039">
        <f t="shared" si="226"/>
        <v>0</v>
      </c>
      <c r="BD502" s="1040" t="str">
        <f t="shared" si="222"/>
        <v/>
      </c>
      <c r="BE502" s="227" t="s">
        <v>22</v>
      </c>
      <c r="BF502" s="1019">
        <f t="shared" si="223"/>
        <v>0</v>
      </c>
      <c r="BG502" s="1020">
        <f t="shared" si="224"/>
        <v>0</v>
      </c>
      <c r="BH502"/>
      <c r="BI502" s="709"/>
      <c r="BJ502" s="709"/>
      <c r="BK502" s="709"/>
      <c r="BL502" s="709"/>
      <c r="BM502" s="709"/>
      <c r="BN502" s="709"/>
      <c r="BO502" s="709"/>
      <c r="BP502" s="709"/>
      <c r="BW502" s="959" t="str">
        <f t="shared" si="205"/>
        <v>►</v>
      </c>
      <c r="BX502" s="856"/>
      <c r="BY502" s="856"/>
      <c r="BZ502" s="856"/>
      <c r="CA502" s="856"/>
      <c r="CB502" s="856"/>
      <c r="DB502" s="3">
        <v>1</v>
      </c>
    </row>
    <row r="503" spans="12:106" ht="21" customHeight="1">
      <c r="L503" s="104" t="s">
        <v>16</v>
      </c>
      <c r="M503" s="1172"/>
      <c r="N503" s="1172"/>
      <c r="O503" s="1172"/>
      <c r="P503" s="1173"/>
      <c r="Q503" s="1174"/>
      <c r="R503" s="1175"/>
      <c r="S503" s="1176"/>
      <c r="T503" s="1177"/>
      <c r="U503" s="5248"/>
      <c r="V503" s="1177"/>
      <c r="W503" s="5249"/>
      <c r="X503" s="5208"/>
      <c r="Y503" s="5209"/>
      <c r="Z503" s="5210"/>
      <c r="AA503" s="5211"/>
      <c r="AB503" s="1178"/>
      <c r="AC503" s="1179"/>
      <c r="AD503" s="227" t="s">
        <v>22</v>
      </c>
      <c r="AE503" s="1027" t="str">
        <f t="shared" si="206"/>
        <v>►</v>
      </c>
      <c r="AF503" s="1028" t="str">
        <f t="shared" si="207"/>
        <v/>
      </c>
      <c r="AG503" s="1029" t="str">
        <f t="shared" si="208"/>
        <v/>
      </c>
      <c r="AH503" s="1028" t="str">
        <f t="shared" si="209"/>
        <v/>
      </c>
      <c r="AI503" s="1029" t="str">
        <f t="shared" si="210"/>
        <v/>
      </c>
      <c r="AJ503" s="1029">
        <f t="shared" si="211"/>
        <v>0</v>
      </c>
      <c r="AK503" s="1043" t="str" cm="1">
        <f t="array" ref="AK503">IF(AE503&lt;&gt;"A","",IFERROR((IFERROR(_xlfn.XLOOKUP(TRIM(SUBSTITUTE(U503,CHAR(160)," ")),$BI$15:$BI$62,$BL$15:$BL$62),IFERROR(_xlfn.XLOOKUP(TRIM(SUBSTITUTE(U503,CHAR(160)," ")),$BJ$15:$BJ$62,$BL$15:$BL$62),_xlfn.XLOOKUP(TRIM(SUBSTITUTE(U503,CHAR(160)," ")),$BK$15:$BK$62,$BL$15:$BL$62))))*T503*IF(ISBLANK(Q503),1,Q503)+IFERROR(_xlfn.XLOOKUP("RECHERCHEX",TRIM(L503:AC503),L503:AC503),0),0))</f>
        <v/>
      </c>
      <c r="AL503" s="1030">
        <f t="shared" si="212"/>
        <v>0</v>
      </c>
      <c r="AM503" s="5254" t="str">
        <f t="shared" si="227"/>
        <v/>
      </c>
      <c r="AN503" s="1031">
        <f t="shared" si="213"/>
        <v>0</v>
      </c>
      <c r="AO503" s="1031">
        <f t="shared" si="214"/>
        <v>0</v>
      </c>
      <c r="AP503" s="1044">
        <f t="shared" si="215"/>
        <v>0</v>
      </c>
      <c r="AQ503" s="5257" t="str">
        <f t="shared" si="216"/>
        <v/>
      </c>
      <c r="AR503" s="1056"/>
      <c r="AS503" s="1056"/>
      <c r="AT503" s="1045">
        <f t="shared" si="217"/>
        <v>0</v>
      </c>
      <c r="AU503" s="1046">
        <f t="shared" si="218"/>
        <v>0</v>
      </c>
      <c r="AV503" s="1059" cm="1">
        <f t="array" ref="AV503">IF(AJ503&lt;&gt;1,0,IF(OR(AT503="",N(AT503)&lt;=0.000000001),"",IF(OR(AN503="",N(AN503)&lt;=0.000000001),0,IF(ISNUMBER(AT503),IFERROR(_xlfn.LET(_xlpm.ai_test,TRIM(AI503),_xlpm.r,IFERROR(_xlfn.XLOOKUP(_xlpm.ai_test,$BI$15:$BI$62,ROW($BI$15:$BI$62),0,1),IFERROR(_xlfn.XLOOKUP(_xlpm.ai_test,$BJ$15:$BJ$62,ROW($BJ$15:$BJ$62),0,1),_xlfn.XLOOKUP(_xlpm.ai_test,$BK$15:$BK$62,ROW($BK$15:$BK$62),0,1))),_xlpm.p,_xlpm.r-MIN(ROW($BI$15:$BI$62))+1,_xlpm.f,INDEX($BL$15:$BL$62,_xlpm.p),_xlpm.u,INDEX($BM$15:$BM$62,_xlpm.p),_xlpm.s,INDEX($BO$15:$BO$62,_xlpm.p),_xlpm.q,N(AT503)/_xlpm.f,IF(_xlpm.q&gt;=_xlpm.s,ROUND(_xlpm.q,1)&amp;" "&amp;_xlpm.ai_test&amp;" = "&amp;ROUND(_xlpm.q*_xlpm.f,1)&amp;" "&amp;_xlpm.u,ROUND(_xlpm.q,1)&amp;" "&amp;_xlpm.ai_test)),""),""))))</f>
        <v>0</v>
      </c>
      <c r="AW503" s="1047"/>
      <c r="AX503" s="1045">
        <f t="shared" si="219"/>
        <v>0</v>
      </c>
      <c r="AY503" s="1046" t="str">
        <f t="shared" si="220"/>
        <v/>
      </c>
      <c r="AZ503" s="1048">
        <f t="shared" si="225"/>
        <v>0</v>
      </c>
      <c r="BA503" s="1049" t="str">
        <f t="shared" si="221"/>
        <v/>
      </c>
      <c r="BB503" s="1038"/>
      <c r="BC503" s="1050">
        <f t="shared" si="226"/>
        <v>0</v>
      </c>
      <c r="BD503" s="1040" t="str">
        <f t="shared" si="222"/>
        <v/>
      </c>
      <c r="BE503" s="227" t="s">
        <v>22</v>
      </c>
      <c r="BF503" s="1019">
        <f t="shared" si="223"/>
        <v>0</v>
      </c>
      <c r="BG503" s="1020">
        <f t="shared" si="224"/>
        <v>0</v>
      </c>
      <c r="BH503"/>
      <c r="BI503" s="709"/>
      <c r="BJ503" s="709"/>
      <c r="BK503" s="709"/>
      <c r="BL503" s="709"/>
      <c r="BM503" s="709"/>
      <c r="BN503" s="709"/>
      <c r="BO503" s="709"/>
      <c r="BP503" s="709"/>
      <c r="BW503" s="959" t="str">
        <f t="shared" si="205"/>
        <v>►</v>
      </c>
      <c r="BX503" s="856"/>
      <c r="BY503" s="856"/>
      <c r="BZ503" s="856"/>
      <c r="CA503" s="856"/>
      <c r="CB503" s="856"/>
      <c r="DB503" s="3">
        <v>1</v>
      </c>
    </row>
    <row r="504" spans="12:106" ht="21" customHeight="1">
      <c r="L504" s="104" t="s">
        <v>16</v>
      </c>
      <c r="M504" s="1172"/>
      <c r="N504" s="1172"/>
      <c r="O504" s="1172"/>
      <c r="P504" s="1173"/>
      <c r="Q504" s="1174"/>
      <c r="R504" s="1175"/>
      <c r="S504" s="1176"/>
      <c r="T504" s="1177"/>
      <c r="U504" s="5248"/>
      <c r="V504" s="1177"/>
      <c r="W504" s="5249"/>
      <c r="X504" s="5208"/>
      <c r="Y504" s="5209"/>
      <c r="Z504" s="5210"/>
      <c r="AA504" s="5211"/>
      <c r="AB504" s="1178"/>
      <c r="AC504" s="1179"/>
      <c r="AD504" s="227" t="s">
        <v>22</v>
      </c>
      <c r="AE504" s="1027" t="str">
        <f t="shared" si="206"/>
        <v>►</v>
      </c>
      <c r="AF504" s="1028" t="str">
        <f t="shared" si="207"/>
        <v/>
      </c>
      <c r="AG504" s="1029" t="str">
        <f t="shared" si="208"/>
        <v/>
      </c>
      <c r="AH504" s="1028" t="str">
        <f t="shared" si="209"/>
        <v/>
      </c>
      <c r="AI504" s="1029" t="str">
        <f t="shared" si="210"/>
        <v/>
      </c>
      <c r="AJ504" s="1029">
        <f t="shared" si="211"/>
        <v>0</v>
      </c>
      <c r="AK504" s="1043" t="str" cm="1">
        <f t="array" ref="AK504">IF(AE504&lt;&gt;"A","",IFERROR((IFERROR(_xlfn.XLOOKUP(TRIM(SUBSTITUTE(U504,CHAR(160)," ")),$BI$15:$BI$62,$BL$15:$BL$62),IFERROR(_xlfn.XLOOKUP(TRIM(SUBSTITUTE(U504,CHAR(160)," ")),$BJ$15:$BJ$62,$BL$15:$BL$62),_xlfn.XLOOKUP(TRIM(SUBSTITUTE(U504,CHAR(160)," ")),$BK$15:$BK$62,$BL$15:$BL$62))))*T504*IF(ISBLANK(Q504),1,Q504)+IFERROR(_xlfn.XLOOKUP("RECHERCHEX",TRIM(L504:AC504),L504:AC504),0),0))</f>
        <v/>
      </c>
      <c r="AL504" s="1030">
        <f t="shared" si="212"/>
        <v>0</v>
      </c>
      <c r="AM504" s="5254" t="str">
        <f t="shared" si="227"/>
        <v/>
      </c>
      <c r="AN504" s="1031">
        <f t="shared" si="213"/>
        <v>0</v>
      </c>
      <c r="AO504" s="1031">
        <f t="shared" si="214"/>
        <v>0</v>
      </c>
      <c r="AP504" s="1032">
        <f t="shared" si="215"/>
        <v>0</v>
      </c>
      <c r="AQ504" s="5255" t="str">
        <f t="shared" si="216"/>
        <v/>
      </c>
      <c r="AR504" s="1056"/>
      <c r="AS504" s="1056"/>
      <c r="AT504" s="1034">
        <f t="shared" si="217"/>
        <v>0</v>
      </c>
      <c r="AU504" s="1035">
        <f t="shared" si="218"/>
        <v>0</v>
      </c>
      <c r="AV504" s="1057" cm="1">
        <f t="array" ref="AV504">IF(AJ504&lt;&gt;1,0,IF(OR(AT504="",N(AT504)&lt;=0.000000001),"",IF(OR(AN504="",N(AN504)&lt;=0.000000001),0,IF(ISNUMBER(AT504),IFERROR(_xlfn.LET(_xlpm.ai_test,TRIM(AI504),_xlpm.r,IFERROR(_xlfn.XLOOKUP(_xlpm.ai_test,$BI$15:$BI$62,ROW($BI$15:$BI$62),0,1),IFERROR(_xlfn.XLOOKUP(_xlpm.ai_test,$BJ$15:$BJ$62,ROW($BJ$15:$BJ$62),0,1),_xlfn.XLOOKUP(_xlpm.ai_test,$BK$15:$BK$62,ROW($BK$15:$BK$62),0,1))),_xlpm.p,_xlpm.r-MIN(ROW($BI$15:$BI$62))+1,_xlpm.f,INDEX($BL$15:$BL$62,_xlpm.p),_xlpm.u,INDEX($BM$15:$BM$62,_xlpm.p),_xlpm.s,INDEX($BO$15:$BO$62,_xlpm.p),_xlpm.q,N(AT504)/_xlpm.f,IF(_xlpm.q&gt;=_xlpm.s,ROUND(_xlpm.q,1)&amp;" "&amp;_xlpm.ai_test&amp;" = "&amp;ROUND(_xlpm.q*_xlpm.f,1)&amp;" "&amp;_xlpm.u,ROUND(_xlpm.q,1)&amp;" "&amp;_xlpm.ai_test)),""),""))))</f>
        <v>0</v>
      </c>
      <c r="AW504" s="1047"/>
      <c r="AX504" s="1034">
        <f t="shared" si="219"/>
        <v>0</v>
      </c>
      <c r="AY504" s="1035" t="str">
        <f t="shared" si="220"/>
        <v/>
      </c>
      <c r="AZ504" s="1036">
        <f t="shared" si="225"/>
        <v>0</v>
      </c>
      <c r="BA504" s="1037" t="str">
        <f t="shared" si="221"/>
        <v/>
      </c>
      <c r="BB504" s="1038"/>
      <c r="BC504" s="1039">
        <f t="shared" si="226"/>
        <v>0</v>
      </c>
      <c r="BD504" s="1040" t="str">
        <f t="shared" si="222"/>
        <v/>
      </c>
      <c r="BE504" s="227" t="s">
        <v>22</v>
      </c>
      <c r="BF504" s="1019">
        <f t="shared" si="223"/>
        <v>0</v>
      </c>
      <c r="BG504" s="1020">
        <f t="shared" si="224"/>
        <v>0</v>
      </c>
      <c r="BH504"/>
      <c r="BI504" s="709"/>
      <c r="BJ504" s="709"/>
      <c r="BK504" s="709"/>
      <c r="BL504" s="709"/>
      <c r="BM504" s="709"/>
      <c r="BN504" s="709"/>
      <c r="BO504" s="709"/>
      <c r="BP504" s="709"/>
      <c r="BW504" s="959" t="str">
        <f t="shared" si="205"/>
        <v>►</v>
      </c>
      <c r="BX504" s="856"/>
      <c r="BY504" s="856"/>
      <c r="BZ504" s="856"/>
      <c r="CA504" s="856"/>
      <c r="CB504" s="856"/>
      <c r="DB504" s="3">
        <v>1</v>
      </c>
    </row>
    <row r="505" spans="12:106" ht="21" customHeight="1">
      <c r="L505" s="104" t="s">
        <v>16</v>
      </c>
      <c r="M505" s="1172"/>
      <c r="N505" s="1172"/>
      <c r="O505" s="1172"/>
      <c r="P505" s="1173"/>
      <c r="Q505" s="1174"/>
      <c r="R505" s="1175"/>
      <c r="S505" s="1176"/>
      <c r="T505" s="1177"/>
      <c r="U505" s="5248"/>
      <c r="V505" s="1177"/>
      <c r="W505" s="5249"/>
      <c r="X505" s="5208"/>
      <c r="Y505" s="5209"/>
      <c r="Z505" s="5210"/>
      <c r="AA505" s="5211"/>
      <c r="AB505" s="1178"/>
      <c r="AC505" s="1179"/>
      <c r="AD505" s="227" t="s">
        <v>22</v>
      </c>
      <c r="AE505" s="1027" t="str">
        <f t="shared" si="206"/>
        <v>►</v>
      </c>
      <c r="AF505" s="1028" t="str">
        <f t="shared" si="207"/>
        <v/>
      </c>
      <c r="AG505" s="1029" t="str">
        <f t="shared" si="208"/>
        <v/>
      </c>
      <c r="AH505" s="1028" t="str">
        <f t="shared" si="209"/>
        <v/>
      </c>
      <c r="AI505" s="1029" t="str">
        <f t="shared" si="210"/>
        <v/>
      </c>
      <c r="AJ505" s="1029">
        <f t="shared" si="211"/>
        <v>0</v>
      </c>
      <c r="AK505" s="1043" t="str" cm="1">
        <f t="array" ref="AK505">IF(AE505&lt;&gt;"A","",IFERROR((IFERROR(_xlfn.XLOOKUP(TRIM(SUBSTITUTE(U505,CHAR(160)," ")),$BI$15:$BI$62,$BL$15:$BL$62),IFERROR(_xlfn.XLOOKUP(TRIM(SUBSTITUTE(U505,CHAR(160)," ")),$BJ$15:$BJ$62,$BL$15:$BL$62),_xlfn.XLOOKUP(TRIM(SUBSTITUTE(U505,CHAR(160)," ")),$BK$15:$BK$62,$BL$15:$BL$62))))*T505*IF(ISBLANK(Q505),1,Q505)+IFERROR(_xlfn.XLOOKUP("RECHERCHEX",TRIM(L505:AC505),L505:AC505),0),0))</f>
        <v/>
      </c>
      <c r="AL505" s="1030">
        <f t="shared" si="212"/>
        <v>0</v>
      </c>
      <c r="AM505" s="5254" t="str">
        <f t="shared" si="227"/>
        <v/>
      </c>
      <c r="AN505" s="1031">
        <f t="shared" si="213"/>
        <v>0</v>
      </c>
      <c r="AO505" s="1031">
        <f t="shared" si="214"/>
        <v>0</v>
      </c>
      <c r="AP505" s="1044">
        <f t="shared" si="215"/>
        <v>0</v>
      </c>
      <c r="AQ505" s="5257" t="str">
        <f t="shared" si="216"/>
        <v/>
      </c>
      <c r="AR505" s="1056"/>
      <c r="AS505" s="1056"/>
      <c r="AT505" s="1045">
        <f t="shared" si="217"/>
        <v>0</v>
      </c>
      <c r="AU505" s="1046">
        <f t="shared" si="218"/>
        <v>0</v>
      </c>
      <c r="AV505" s="1059" cm="1">
        <f t="array" ref="AV505">IF(AJ505&lt;&gt;1,0,IF(OR(AT505="",N(AT505)&lt;=0.000000001),"",IF(OR(AN505="",N(AN505)&lt;=0.000000001),0,IF(ISNUMBER(AT505),IFERROR(_xlfn.LET(_xlpm.ai_test,TRIM(AI505),_xlpm.r,IFERROR(_xlfn.XLOOKUP(_xlpm.ai_test,$BI$15:$BI$62,ROW($BI$15:$BI$62),0,1),IFERROR(_xlfn.XLOOKUP(_xlpm.ai_test,$BJ$15:$BJ$62,ROW($BJ$15:$BJ$62),0,1),_xlfn.XLOOKUP(_xlpm.ai_test,$BK$15:$BK$62,ROW($BK$15:$BK$62),0,1))),_xlpm.p,_xlpm.r-MIN(ROW($BI$15:$BI$62))+1,_xlpm.f,INDEX($BL$15:$BL$62,_xlpm.p),_xlpm.u,INDEX($BM$15:$BM$62,_xlpm.p),_xlpm.s,INDEX($BO$15:$BO$62,_xlpm.p),_xlpm.q,N(AT505)/_xlpm.f,IF(_xlpm.q&gt;=_xlpm.s,ROUND(_xlpm.q,1)&amp;" "&amp;_xlpm.ai_test&amp;" = "&amp;ROUND(_xlpm.q*_xlpm.f,1)&amp;" "&amp;_xlpm.u,ROUND(_xlpm.q,1)&amp;" "&amp;_xlpm.ai_test)),""),""))))</f>
        <v>0</v>
      </c>
      <c r="AW505" s="1047"/>
      <c r="AX505" s="1045">
        <f t="shared" si="219"/>
        <v>0</v>
      </c>
      <c r="AY505" s="1046" t="str">
        <f t="shared" si="220"/>
        <v/>
      </c>
      <c r="AZ505" s="1048">
        <f t="shared" si="225"/>
        <v>0</v>
      </c>
      <c r="BA505" s="1049" t="str">
        <f t="shared" si="221"/>
        <v/>
      </c>
      <c r="BB505" s="1038"/>
      <c r="BC505" s="1050">
        <f t="shared" si="226"/>
        <v>0</v>
      </c>
      <c r="BD505" s="1040" t="str">
        <f t="shared" si="222"/>
        <v/>
      </c>
      <c r="BE505" s="227" t="s">
        <v>22</v>
      </c>
      <c r="BF505" s="1019">
        <f t="shared" si="223"/>
        <v>0</v>
      </c>
      <c r="BG505" s="1020">
        <f t="shared" si="224"/>
        <v>0</v>
      </c>
      <c r="BH505"/>
      <c r="BI505" s="709"/>
      <c r="BJ505" s="709"/>
      <c r="BK505" s="709"/>
      <c r="BL505" s="709"/>
      <c r="BM505" s="709"/>
      <c r="BN505" s="709"/>
      <c r="BO505" s="709"/>
      <c r="BP505" s="709"/>
      <c r="BW505" s="959" t="str">
        <f t="shared" si="205"/>
        <v>►</v>
      </c>
      <c r="BX505" s="856"/>
      <c r="BY505" s="856"/>
      <c r="BZ505" s="856"/>
      <c r="CA505" s="856"/>
      <c r="CB505" s="856"/>
      <c r="DB505" s="3">
        <v>1</v>
      </c>
    </row>
    <row r="506" spans="12:106" ht="21" customHeight="1">
      <c r="L506" s="104" t="s">
        <v>16</v>
      </c>
      <c r="M506" s="1172"/>
      <c r="N506" s="1172"/>
      <c r="O506" s="1172"/>
      <c r="P506" s="1173"/>
      <c r="Q506" s="1174"/>
      <c r="R506" s="1175"/>
      <c r="S506" s="1176"/>
      <c r="T506" s="1177"/>
      <c r="U506" s="5248"/>
      <c r="V506" s="1177"/>
      <c r="W506" s="5249"/>
      <c r="X506" s="5208"/>
      <c r="Y506" s="5209"/>
      <c r="Z506" s="5210"/>
      <c r="AA506" s="5211"/>
      <c r="AB506" s="1178"/>
      <c r="AC506" s="1179"/>
      <c r="AD506" s="227" t="s">
        <v>22</v>
      </c>
      <c r="AE506" s="1027" t="str">
        <f t="shared" si="206"/>
        <v>►</v>
      </c>
      <c r="AF506" s="1028" t="str">
        <f t="shared" si="207"/>
        <v/>
      </c>
      <c r="AG506" s="1029" t="str">
        <f t="shared" si="208"/>
        <v/>
      </c>
      <c r="AH506" s="1028" t="str">
        <f t="shared" si="209"/>
        <v/>
      </c>
      <c r="AI506" s="1029" t="str">
        <f t="shared" si="210"/>
        <v/>
      </c>
      <c r="AJ506" s="1029">
        <f t="shared" si="211"/>
        <v>0</v>
      </c>
      <c r="AK506" s="1043" t="str" cm="1">
        <f t="array" ref="AK506">IF(AE506&lt;&gt;"A","",IFERROR((IFERROR(_xlfn.XLOOKUP(TRIM(SUBSTITUTE(U506,CHAR(160)," ")),$BI$15:$BI$62,$BL$15:$BL$62),IFERROR(_xlfn.XLOOKUP(TRIM(SUBSTITUTE(U506,CHAR(160)," ")),$BJ$15:$BJ$62,$BL$15:$BL$62),_xlfn.XLOOKUP(TRIM(SUBSTITUTE(U506,CHAR(160)," ")),$BK$15:$BK$62,$BL$15:$BL$62))))*T506*IF(ISBLANK(Q506),1,Q506)+IFERROR(_xlfn.XLOOKUP("RECHERCHEX",TRIM(L506:AC506),L506:AC506),0),0))</f>
        <v/>
      </c>
      <c r="AL506" s="1030">
        <f t="shared" si="212"/>
        <v>0</v>
      </c>
      <c r="AM506" s="5254" t="str">
        <f t="shared" si="227"/>
        <v/>
      </c>
      <c r="AN506" s="1031">
        <f t="shared" si="213"/>
        <v>0</v>
      </c>
      <c r="AO506" s="1031">
        <f t="shared" si="214"/>
        <v>0</v>
      </c>
      <c r="AP506" s="1032">
        <f t="shared" si="215"/>
        <v>0</v>
      </c>
      <c r="AQ506" s="5255" t="str">
        <f t="shared" si="216"/>
        <v/>
      </c>
      <c r="AR506" s="1056"/>
      <c r="AS506" s="1056"/>
      <c r="AT506" s="1034">
        <f t="shared" si="217"/>
        <v>0</v>
      </c>
      <c r="AU506" s="1035">
        <f t="shared" si="218"/>
        <v>0</v>
      </c>
      <c r="AV506" s="1057" cm="1">
        <f t="array" ref="AV506">IF(AJ506&lt;&gt;1,0,IF(OR(AT506="",N(AT506)&lt;=0.000000001),"",IF(OR(AN506="",N(AN506)&lt;=0.000000001),0,IF(ISNUMBER(AT506),IFERROR(_xlfn.LET(_xlpm.ai_test,TRIM(AI506),_xlpm.r,IFERROR(_xlfn.XLOOKUP(_xlpm.ai_test,$BI$15:$BI$62,ROW($BI$15:$BI$62),0,1),IFERROR(_xlfn.XLOOKUP(_xlpm.ai_test,$BJ$15:$BJ$62,ROW($BJ$15:$BJ$62),0,1),_xlfn.XLOOKUP(_xlpm.ai_test,$BK$15:$BK$62,ROW($BK$15:$BK$62),0,1))),_xlpm.p,_xlpm.r-MIN(ROW($BI$15:$BI$62))+1,_xlpm.f,INDEX($BL$15:$BL$62,_xlpm.p),_xlpm.u,INDEX($BM$15:$BM$62,_xlpm.p),_xlpm.s,INDEX($BO$15:$BO$62,_xlpm.p),_xlpm.q,N(AT506)/_xlpm.f,IF(_xlpm.q&gt;=_xlpm.s,ROUND(_xlpm.q,1)&amp;" "&amp;_xlpm.ai_test&amp;" = "&amp;ROUND(_xlpm.q*_xlpm.f,1)&amp;" "&amp;_xlpm.u,ROUND(_xlpm.q,1)&amp;" "&amp;_xlpm.ai_test)),""),""))))</f>
        <v>0</v>
      </c>
      <c r="AW506" s="1047"/>
      <c r="AX506" s="1034">
        <f t="shared" si="219"/>
        <v>0</v>
      </c>
      <c r="AY506" s="1035" t="str">
        <f t="shared" si="220"/>
        <v/>
      </c>
      <c r="AZ506" s="1036">
        <f t="shared" si="225"/>
        <v>0</v>
      </c>
      <c r="BA506" s="1037" t="str">
        <f t="shared" si="221"/>
        <v/>
      </c>
      <c r="BB506" s="1038"/>
      <c r="BC506" s="1039">
        <f t="shared" si="226"/>
        <v>0</v>
      </c>
      <c r="BD506" s="1040" t="str">
        <f t="shared" si="222"/>
        <v/>
      </c>
      <c r="BE506" s="227" t="s">
        <v>22</v>
      </c>
      <c r="BF506" s="1019">
        <f t="shared" si="223"/>
        <v>0</v>
      </c>
      <c r="BG506" s="1020">
        <f t="shared" si="224"/>
        <v>0</v>
      </c>
      <c r="BH506"/>
      <c r="BI506" s="709"/>
      <c r="BJ506" s="709"/>
      <c r="BK506" s="709"/>
      <c r="BL506" s="709"/>
      <c r="BM506" s="709"/>
      <c r="BN506" s="709"/>
      <c r="BO506" s="709"/>
      <c r="BP506" s="709"/>
      <c r="BW506" s="959" t="str">
        <f t="shared" si="205"/>
        <v>►</v>
      </c>
      <c r="BX506" s="856"/>
      <c r="BY506" s="856"/>
      <c r="BZ506" s="856"/>
      <c r="CA506" s="856"/>
      <c r="CB506" s="856"/>
      <c r="DB506" s="3">
        <v>1</v>
      </c>
    </row>
    <row r="507" spans="12:106" ht="21" customHeight="1">
      <c r="L507" s="104" t="s">
        <v>16</v>
      </c>
      <c r="M507" s="1172"/>
      <c r="N507" s="1172"/>
      <c r="O507" s="1172"/>
      <c r="P507" s="1173"/>
      <c r="Q507" s="1174"/>
      <c r="R507" s="1175"/>
      <c r="S507" s="1176"/>
      <c r="T507" s="1177"/>
      <c r="U507" s="5248"/>
      <c r="V507" s="1177"/>
      <c r="W507" s="5249"/>
      <c r="X507" s="5208"/>
      <c r="Y507" s="5209"/>
      <c r="Z507" s="5210"/>
      <c r="AA507" s="5211"/>
      <c r="AB507" s="1178"/>
      <c r="AC507" s="1179"/>
      <c r="AD507" s="227" t="s">
        <v>22</v>
      </c>
      <c r="AE507" s="1027" t="str">
        <f t="shared" si="206"/>
        <v>►</v>
      </c>
      <c r="AF507" s="1028" t="str">
        <f t="shared" si="207"/>
        <v/>
      </c>
      <c r="AG507" s="1029" t="str">
        <f t="shared" si="208"/>
        <v/>
      </c>
      <c r="AH507" s="1028" t="str">
        <f t="shared" si="209"/>
        <v/>
      </c>
      <c r="AI507" s="1029" t="str">
        <f t="shared" si="210"/>
        <v/>
      </c>
      <c r="AJ507" s="1029">
        <f t="shared" si="211"/>
        <v>0</v>
      </c>
      <c r="AK507" s="1043" t="str" cm="1">
        <f t="array" ref="AK507">IF(AE507&lt;&gt;"A","",IFERROR((IFERROR(_xlfn.XLOOKUP(TRIM(SUBSTITUTE(U507,CHAR(160)," ")),$BI$15:$BI$62,$BL$15:$BL$62),IFERROR(_xlfn.XLOOKUP(TRIM(SUBSTITUTE(U507,CHAR(160)," ")),$BJ$15:$BJ$62,$BL$15:$BL$62),_xlfn.XLOOKUP(TRIM(SUBSTITUTE(U507,CHAR(160)," ")),$BK$15:$BK$62,$BL$15:$BL$62))))*T507*IF(ISBLANK(Q507),1,Q507)+IFERROR(_xlfn.XLOOKUP("RECHERCHEX",TRIM(L507:AC507),L507:AC507),0),0))</f>
        <v/>
      </c>
      <c r="AL507" s="1030">
        <f t="shared" si="212"/>
        <v>0</v>
      </c>
      <c r="AM507" s="5254" t="str">
        <f t="shared" si="227"/>
        <v/>
      </c>
      <c r="AN507" s="1031">
        <f t="shared" si="213"/>
        <v>0</v>
      </c>
      <c r="AO507" s="1031">
        <f t="shared" si="214"/>
        <v>0</v>
      </c>
      <c r="AP507" s="1044">
        <f t="shared" si="215"/>
        <v>0</v>
      </c>
      <c r="AQ507" s="5257" t="str">
        <f t="shared" si="216"/>
        <v/>
      </c>
      <c r="AR507" s="1056"/>
      <c r="AS507" s="1056"/>
      <c r="AT507" s="1045">
        <f t="shared" si="217"/>
        <v>0</v>
      </c>
      <c r="AU507" s="1046">
        <f t="shared" si="218"/>
        <v>0</v>
      </c>
      <c r="AV507" s="1059" cm="1">
        <f t="array" ref="AV507">IF(AJ507&lt;&gt;1,0,IF(OR(AT507="",N(AT507)&lt;=0.000000001),"",IF(OR(AN507="",N(AN507)&lt;=0.000000001),0,IF(ISNUMBER(AT507),IFERROR(_xlfn.LET(_xlpm.ai_test,TRIM(AI507),_xlpm.r,IFERROR(_xlfn.XLOOKUP(_xlpm.ai_test,$BI$15:$BI$62,ROW($BI$15:$BI$62),0,1),IFERROR(_xlfn.XLOOKUP(_xlpm.ai_test,$BJ$15:$BJ$62,ROW($BJ$15:$BJ$62),0,1),_xlfn.XLOOKUP(_xlpm.ai_test,$BK$15:$BK$62,ROW($BK$15:$BK$62),0,1))),_xlpm.p,_xlpm.r-MIN(ROW($BI$15:$BI$62))+1,_xlpm.f,INDEX($BL$15:$BL$62,_xlpm.p),_xlpm.u,INDEX($BM$15:$BM$62,_xlpm.p),_xlpm.s,INDEX($BO$15:$BO$62,_xlpm.p),_xlpm.q,N(AT507)/_xlpm.f,IF(_xlpm.q&gt;=_xlpm.s,ROUND(_xlpm.q,1)&amp;" "&amp;_xlpm.ai_test&amp;" = "&amp;ROUND(_xlpm.q*_xlpm.f,1)&amp;" "&amp;_xlpm.u,ROUND(_xlpm.q,1)&amp;" "&amp;_xlpm.ai_test)),""),""))))</f>
        <v>0</v>
      </c>
      <c r="AW507" s="1047"/>
      <c r="AX507" s="1045">
        <f t="shared" si="219"/>
        <v>0</v>
      </c>
      <c r="AY507" s="1046" t="str">
        <f t="shared" si="220"/>
        <v/>
      </c>
      <c r="AZ507" s="1048">
        <f t="shared" si="225"/>
        <v>0</v>
      </c>
      <c r="BA507" s="1049" t="str">
        <f t="shared" si="221"/>
        <v/>
      </c>
      <c r="BB507" s="1038"/>
      <c r="BC507" s="1050">
        <f t="shared" si="226"/>
        <v>0</v>
      </c>
      <c r="BD507" s="1040" t="str">
        <f t="shared" si="222"/>
        <v/>
      </c>
      <c r="BE507" s="227" t="s">
        <v>22</v>
      </c>
      <c r="BF507" s="1019">
        <f t="shared" si="223"/>
        <v>0</v>
      </c>
      <c r="BG507" s="1020">
        <f t="shared" si="224"/>
        <v>0</v>
      </c>
      <c r="BH507"/>
      <c r="BI507" s="709"/>
      <c r="BJ507" s="709"/>
      <c r="BK507" s="709"/>
      <c r="BL507" s="709"/>
      <c r="BM507" s="709"/>
      <c r="BN507" s="709"/>
      <c r="BO507" s="709"/>
      <c r="BP507" s="709"/>
      <c r="BW507" s="959" t="str">
        <f t="shared" si="205"/>
        <v>►</v>
      </c>
      <c r="BX507" s="856"/>
      <c r="BY507" s="856"/>
      <c r="BZ507" s="856"/>
      <c r="CA507" s="856"/>
      <c r="CB507" s="856"/>
      <c r="DB507" s="3">
        <v>1</v>
      </c>
    </row>
    <row r="508" spans="12:106" ht="21" customHeight="1">
      <c r="L508" s="104" t="s">
        <v>16</v>
      </c>
      <c r="M508" s="1172"/>
      <c r="N508" s="1172"/>
      <c r="O508" s="1172"/>
      <c r="P508" s="1173"/>
      <c r="Q508" s="1174"/>
      <c r="R508" s="1175"/>
      <c r="S508" s="1176"/>
      <c r="T508" s="1177"/>
      <c r="U508" s="5248"/>
      <c r="V508" s="1177"/>
      <c r="W508" s="5249"/>
      <c r="X508" s="5208"/>
      <c r="Y508" s="5209"/>
      <c r="Z508" s="5210"/>
      <c r="AA508" s="5211"/>
      <c r="AB508" s="1178"/>
      <c r="AC508" s="1179"/>
      <c r="AD508" s="227" t="s">
        <v>22</v>
      </c>
      <c r="AE508" s="1027" t="str">
        <f t="shared" si="206"/>
        <v>►</v>
      </c>
      <c r="AF508" s="1028" t="str">
        <f t="shared" si="207"/>
        <v/>
      </c>
      <c r="AG508" s="1029" t="str">
        <f t="shared" si="208"/>
        <v/>
      </c>
      <c r="AH508" s="1028" t="str">
        <f t="shared" si="209"/>
        <v/>
      </c>
      <c r="AI508" s="1029" t="str">
        <f t="shared" si="210"/>
        <v/>
      </c>
      <c r="AJ508" s="1029">
        <f t="shared" si="211"/>
        <v>0</v>
      </c>
      <c r="AK508" s="1043" t="str" cm="1">
        <f t="array" ref="AK508">IF(AE508&lt;&gt;"A","",IFERROR((IFERROR(_xlfn.XLOOKUP(TRIM(SUBSTITUTE(U508,CHAR(160)," ")),$BI$15:$BI$62,$BL$15:$BL$62),IFERROR(_xlfn.XLOOKUP(TRIM(SUBSTITUTE(U508,CHAR(160)," ")),$BJ$15:$BJ$62,$BL$15:$BL$62),_xlfn.XLOOKUP(TRIM(SUBSTITUTE(U508,CHAR(160)," ")),$BK$15:$BK$62,$BL$15:$BL$62))))*T508*IF(ISBLANK(Q508),1,Q508)+IFERROR(_xlfn.XLOOKUP("RECHERCHEX",TRIM(L508:AC508),L508:AC508),0),0))</f>
        <v/>
      </c>
      <c r="AL508" s="1030">
        <f t="shared" si="212"/>
        <v>0</v>
      </c>
      <c r="AM508" s="5254" t="str">
        <f t="shared" si="227"/>
        <v/>
      </c>
      <c r="AN508" s="1031">
        <f t="shared" si="213"/>
        <v>0</v>
      </c>
      <c r="AO508" s="1031">
        <f t="shared" si="214"/>
        <v>0</v>
      </c>
      <c r="AP508" s="1032">
        <f t="shared" si="215"/>
        <v>0</v>
      </c>
      <c r="AQ508" s="5255" t="str">
        <f t="shared" si="216"/>
        <v/>
      </c>
      <c r="AR508" s="1056"/>
      <c r="AS508" s="1056"/>
      <c r="AT508" s="1034">
        <f t="shared" si="217"/>
        <v>0</v>
      </c>
      <c r="AU508" s="1035">
        <f t="shared" si="218"/>
        <v>0</v>
      </c>
      <c r="AV508" s="1057" cm="1">
        <f t="array" ref="AV508">IF(AJ508&lt;&gt;1,0,IF(OR(AT508="",N(AT508)&lt;=0.000000001),"",IF(OR(AN508="",N(AN508)&lt;=0.000000001),0,IF(ISNUMBER(AT508),IFERROR(_xlfn.LET(_xlpm.ai_test,TRIM(AI508),_xlpm.r,IFERROR(_xlfn.XLOOKUP(_xlpm.ai_test,$BI$15:$BI$62,ROW($BI$15:$BI$62),0,1),IFERROR(_xlfn.XLOOKUP(_xlpm.ai_test,$BJ$15:$BJ$62,ROW($BJ$15:$BJ$62),0,1),_xlfn.XLOOKUP(_xlpm.ai_test,$BK$15:$BK$62,ROW($BK$15:$BK$62),0,1))),_xlpm.p,_xlpm.r-MIN(ROW($BI$15:$BI$62))+1,_xlpm.f,INDEX($BL$15:$BL$62,_xlpm.p),_xlpm.u,INDEX($BM$15:$BM$62,_xlpm.p),_xlpm.s,INDEX($BO$15:$BO$62,_xlpm.p),_xlpm.q,N(AT508)/_xlpm.f,IF(_xlpm.q&gt;=_xlpm.s,ROUND(_xlpm.q,1)&amp;" "&amp;_xlpm.ai_test&amp;" = "&amp;ROUND(_xlpm.q*_xlpm.f,1)&amp;" "&amp;_xlpm.u,ROUND(_xlpm.q,1)&amp;" "&amp;_xlpm.ai_test)),""),""))))</f>
        <v>0</v>
      </c>
      <c r="AW508" s="1047"/>
      <c r="AX508" s="1034">
        <f t="shared" si="219"/>
        <v>0</v>
      </c>
      <c r="AY508" s="1035" t="str">
        <f t="shared" si="220"/>
        <v/>
      </c>
      <c r="AZ508" s="1036">
        <f t="shared" si="225"/>
        <v>0</v>
      </c>
      <c r="BA508" s="1037" t="str">
        <f t="shared" si="221"/>
        <v/>
      </c>
      <c r="BB508" s="1038"/>
      <c r="BC508" s="1039">
        <f t="shared" si="226"/>
        <v>0</v>
      </c>
      <c r="BD508" s="1040" t="str">
        <f t="shared" si="222"/>
        <v/>
      </c>
      <c r="BE508" s="227" t="s">
        <v>22</v>
      </c>
      <c r="BF508" s="1019">
        <f t="shared" si="223"/>
        <v>0</v>
      </c>
      <c r="BG508" s="1020">
        <f t="shared" si="224"/>
        <v>0</v>
      </c>
      <c r="BH508"/>
      <c r="BI508" s="709"/>
      <c r="BJ508" s="709"/>
      <c r="BK508" s="709"/>
      <c r="BL508" s="709"/>
      <c r="BM508" s="709"/>
      <c r="BN508" s="709"/>
      <c r="BO508" s="709"/>
      <c r="BP508" s="709"/>
      <c r="BW508" s="959" t="str">
        <f t="shared" si="205"/>
        <v>►</v>
      </c>
      <c r="BX508" s="856"/>
      <c r="BY508" s="856"/>
      <c r="BZ508" s="856"/>
      <c r="CA508" s="856"/>
      <c r="CB508" s="856"/>
      <c r="DB508" s="3">
        <v>1</v>
      </c>
    </row>
    <row r="509" spans="12:106" ht="21" customHeight="1">
      <c r="L509" s="104" t="s">
        <v>16</v>
      </c>
      <c r="M509" s="1172"/>
      <c r="N509" s="1172"/>
      <c r="O509" s="1172"/>
      <c r="P509" s="1173"/>
      <c r="Q509" s="1174"/>
      <c r="R509" s="1175"/>
      <c r="S509" s="1176"/>
      <c r="T509" s="1177"/>
      <c r="U509" s="5248"/>
      <c r="V509" s="1177"/>
      <c r="W509" s="5249"/>
      <c r="X509" s="5208"/>
      <c r="Y509" s="5209"/>
      <c r="Z509" s="5210"/>
      <c r="AA509" s="5211"/>
      <c r="AB509" s="1178"/>
      <c r="AC509" s="1179"/>
      <c r="AD509" s="227" t="s">
        <v>22</v>
      </c>
      <c r="AE509" s="1027" t="str">
        <f t="shared" si="206"/>
        <v>►</v>
      </c>
      <c r="AF509" s="1028" t="str">
        <f t="shared" si="207"/>
        <v/>
      </c>
      <c r="AG509" s="1029" t="str">
        <f t="shared" si="208"/>
        <v/>
      </c>
      <c r="AH509" s="1028" t="str">
        <f t="shared" si="209"/>
        <v/>
      </c>
      <c r="AI509" s="1029" t="str">
        <f t="shared" si="210"/>
        <v/>
      </c>
      <c r="AJ509" s="1029">
        <f t="shared" si="211"/>
        <v>0</v>
      </c>
      <c r="AK509" s="1043" t="str" cm="1">
        <f t="array" ref="AK509">IF(AE509&lt;&gt;"A","",IFERROR((IFERROR(_xlfn.XLOOKUP(TRIM(SUBSTITUTE(U509,CHAR(160)," ")),$BI$15:$BI$62,$BL$15:$BL$62),IFERROR(_xlfn.XLOOKUP(TRIM(SUBSTITUTE(U509,CHAR(160)," ")),$BJ$15:$BJ$62,$BL$15:$BL$62),_xlfn.XLOOKUP(TRIM(SUBSTITUTE(U509,CHAR(160)," ")),$BK$15:$BK$62,$BL$15:$BL$62))))*T509*IF(ISBLANK(Q509),1,Q509)+IFERROR(_xlfn.XLOOKUP("RECHERCHEX",TRIM(L509:AC509),L509:AC509),0),0))</f>
        <v/>
      </c>
      <c r="AL509" s="1030">
        <f t="shared" si="212"/>
        <v>0</v>
      </c>
      <c r="AM509" s="5254" t="str">
        <f t="shared" si="227"/>
        <v/>
      </c>
      <c r="AN509" s="1031">
        <f t="shared" si="213"/>
        <v>0</v>
      </c>
      <c r="AO509" s="1031">
        <f t="shared" si="214"/>
        <v>0</v>
      </c>
      <c r="AP509" s="1044">
        <f t="shared" si="215"/>
        <v>0</v>
      </c>
      <c r="AQ509" s="5257" t="str">
        <f t="shared" si="216"/>
        <v/>
      </c>
      <c r="AR509" s="1056"/>
      <c r="AS509" s="1056"/>
      <c r="AT509" s="1045">
        <f t="shared" si="217"/>
        <v>0</v>
      </c>
      <c r="AU509" s="1046">
        <f t="shared" si="218"/>
        <v>0</v>
      </c>
      <c r="AV509" s="1059" cm="1">
        <f t="array" ref="AV509">IF(AJ509&lt;&gt;1,0,IF(OR(AT509="",N(AT509)&lt;=0.000000001),"",IF(OR(AN509="",N(AN509)&lt;=0.000000001),0,IF(ISNUMBER(AT509),IFERROR(_xlfn.LET(_xlpm.ai_test,TRIM(AI509),_xlpm.r,IFERROR(_xlfn.XLOOKUP(_xlpm.ai_test,$BI$15:$BI$62,ROW($BI$15:$BI$62),0,1),IFERROR(_xlfn.XLOOKUP(_xlpm.ai_test,$BJ$15:$BJ$62,ROW($BJ$15:$BJ$62),0,1),_xlfn.XLOOKUP(_xlpm.ai_test,$BK$15:$BK$62,ROW($BK$15:$BK$62),0,1))),_xlpm.p,_xlpm.r-MIN(ROW($BI$15:$BI$62))+1,_xlpm.f,INDEX($BL$15:$BL$62,_xlpm.p),_xlpm.u,INDEX($BM$15:$BM$62,_xlpm.p),_xlpm.s,INDEX($BO$15:$BO$62,_xlpm.p),_xlpm.q,N(AT509)/_xlpm.f,IF(_xlpm.q&gt;=_xlpm.s,ROUND(_xlpm.q,1)&amp;" "&amp;_xlpm.ai_test&amp;" = "&amp;ROUND(_xlpm.q*_xlpm.f,1)&amp;" "&amp;_xlpm.u,ROUND(_xlpm.q,1)&amp;" "&amp;_xlpm.ai_test)),""),""))))</f>
        <v>0</v>
      </c>
      <c r="AW509" s="1047"/>
      <c r="AX509" s="1045">
        <f t="shared" si="219"/>
        <v>0</v>
      </c>
      <c r="AY509" s="1046" t="str">
        <f t="shared" si="220"/>
        <v/>
      </c>
      <c r="AZ509" s="1048">
        <f t="shared" si="225"/>
        <v>0</v>
      </c>
      <c r="BA509" s="1049" t="str">
        <f t="shared" si="221"/>
        <v/>
      </c>
      <c r="BB509" s="1038"/>
      <c r="BC509" s="1050">
        <f t="shared" si="226"/>
        <v>0</v>
      </c>
      <c r="BD509" s="1040" t="str">
        <f t="shared" si="222"/>
        <v/>
      </c>
      <c r="BE509" s="227" t="s">
        <v>22</v>
      </c>
      <c r="BF509" s="1019">
        <f t="shared" si="223"/>
        <v>0</v>
      </c>
      <c r="BG509" s="1020">
        <f t="shared" si="224"/>
        <v>0</v>
      </c>
      <c r="BH509"/>
      <c r="BI509" s="709"/>
      <c r="BJ509" s="709"/>
      <c r="BK509" s="709"/>
      <c r="BL509" s="709"/>
      <c r="BM509" s="709"/>
      <c r="BN509" s="709"/>
      <c r="BO509" s="709"/>
      <c r="BP509" s="709"/>
      <c r="BW509" s="959" t="str">
        <f t="shared" si="205"/>
        <v>►</v>
      </c>
      <c r="BX509" s="856"/>
      <c r="BY509" s="856"/>
      <c r="BZ509" s="856"/>
      <c r="CA509" s="856"/>
      <c r="CB509" s="856"/>
      <c r="DB509" s="3">
        <v>1</v>
      </c>
    </row>
    <row r="510" spans="12:106" ht="21" customHeight="1">
      <c r="L510" s="104" t="s">
        <v>16</v>
      </c>
      <c r="M510" s="1172"/>
      <c r="N510" s="1172"/>
      <c r="O510" s="1172"/>
      <c r="P510" s="1173"/>
      <c r="Q510" s="1174"/>
      <c r="R510" s="1175"/>
      <c r="S510" s="1176"/>
      <c r="T510" s="1177"/>
      <c r="U510" s="5248"/>
      <c r="V510" s="1177"/>
      <c r="W510" s="5249"/>
      <c r="X510" s="5208"/>
      <c r="Y510" s="5209"/>
      <c r="Z510" s="5210"/>
      <c r="AA510" s="5211"/>
      <c r="AB510" s="1178"/>
      <c r="AC510" s="1179"/>
      <c r="AD510" s="227" t="s">
        <v>22</v>
      </c>
      <c r="AE510" s="1027" t="str">
        <f t="shared" si="206"/>
        <v>►</v>
      </c>
      <c r="AF510" s="1028" t="str">
        <f t="shared" si="207"/>
        <v/>
      </c>
      <c r="AG510" s="1029" t="str">
        <f t="shared" si="208"/>
        <v/>
      </c>
      <c r="AH510" s="1028" t="str">
        <f t="shared" si="209"/>
        <v/>
      </c>
      <c r="AI510" s="1029" t="str">
        <f t="shared" si="210"/>
        <v/>
      </c>
      <c r="AJ510" s="1029">
        <f t="shared" si="211"/>
        <v>0</v>
      </c>
      <c r="AK510" s="1043" t="str" cm="1">
        <f t="array" ref="AK510">IF(AE510&lt;&gt;"A","",IFERROR((IFERROR(_xlfn.XLOOKUP(TRIM(SUBSTITUTE(U510,CHAR(160)," ")),$BI$15:$BI$62,$BL$15:$BL$62),IFERROR(_xlfn.XLOOKUP(TRIM(SUBSTITUTE(U510,CHAR(160)," ")),$BJ$15:$BJ$62,$BL$15:$BL$62),_xlfn.XLOOKUP(TRIM(SUBSTITUTE(U510,CHAR(160)," ")),$BK$15:$BK$62,$BL$15:$BL$62))))*T510*IF(ISBLANK(Q510),1,Q510)+IFERROR(_xlfn.XLOOKUP("RECHERCHEX",TRIM(L510:AC510),L510:AC510),0),0))</f>
        <v/>
      </c>
      <c r="AL510" s="1030">
        <f t="shared" si="212"/>
        <v>0</v>
      </c>
      <c r="AM510" s="5254" t="str">
        <f t="shared" si="227"/>
        <v/>
      </c>
      <c r="AN510" s="1031">
        <f t="shared" si="213"/>
        <v>0</v>
      </c>
      <c r="AO510" s="1031">
        <f t="shared" si="214"/>
        <v>0</v>
      </c>
      <c r="AP510" s="1032">
        <f t="shared" si="215"/>
        <v>0</v>
      </c>
      <c r="AQ510" s="5255" t="str">
        <f t="shared" si="216"/>
        <v/>
      </c>
      <c r="AR510" s="1056"/>
      <c r="AS510" s="1056"/>
      <c r="AT510" s="1034">
        <f t="shared" si="217"/>
        <v>0</v>
      </c>
      <c r="AU510" s="1035">
        <f t="shared" si="218"/>
        <v>0</v>
      </c>
      <c r="AV510" s="1057" cm="1">
        <f t="array" ref="AV510">IF(AJ510&lt;&gt;1,0,IF(OR(AT510="",N(AT510)&lt;=0.000000001),"",IF(OR(AN510="",N(AN510)&lt;=0.000000001),0,IF(ISNUMBER(AT510),IFERROR(_xlfn.LET(_xlpm.ai_test,TRIM(AI510),_xlpm.r,IFERROR(_xlfn.XLOOKUP(_xlpm.ai_test,$BI$15:$BI$62,ROW($BI$15:$BI$62),0,1),IFERROR(_xlfn.XLOOKUP(_xlpm.ai_test,$BJ$15:$BJ$62,ROW($BJ$15:$BJ$62),0,1),_xlfn.XLOOKUP(_xlpm.ai_test,$BK$15:$BK$62,ROW($BK$15:$BK$62),0,1))),_xlpm.p,_xlpm.r-MIN(ROW($BI$15:$BI$62))+1,_xlpm.f,INDEX($BL$15:$BL$62,_xlpm.p),_xlpm.u,INDEX($BM$15:$BM$62,_xlpm.p),_xlpm.s,INDEX($BO$15:$BO$62,_xlpm.p),_xlpm.q,N(AT510)/_xlpm.f,IF(_xlpm.q&gt;=_xlpm.s,ROUND(_xlpm.q,1)&amp;" "&amp;_xlpm.ai_test&amp;" = "&amp;ROUND(_xlpm.q*_xlpm.f,1)&amp;" "&amp;_xlpm.u,ROUND(_xlpm.q,1)&amp;" "&amp;_xlpm.ai_test)),""),""))))</f>
        <v>0</v>
      </c>
      <c r="AW510" s="1047"/>
      <c r="AX510" s="1034">
        <f t="shared" si="219"/>
        <v>0</v>
      </c>
      <c r="AY510" s="1035" t="str">
        <f t="shared" si="220"/>
        <v/>
      </c>
      <c r="AZ510" s="1036">
        <f t="shared" si="225"/>
        <v>0</v>
      </c>
      <c r="BA510" s="1037" t="str">
        <f t="shared" si="221"/>
        <v/>
      </c>
      <c r="BB510" s="1038"/>
      <c r="BC510" s="1039">
        <f t="shared" si="226"/>
        <v>0</v>
      </c>
      <c r="BD510" s="1040" t="str">
        <f t="shared" si="222"/>
        <v/>
      </c>
      <c r="BE510" s="227" t="s">
        <v>22</v>
      </c>
      <c r="BF510" s="1019">
        <f t="shared" si="223"/>
        <v>0</v>
      </c>
      <c r="BG510" s="1020">
        <f t="shared" si="224"/>
        <v>0</v>
      </c>
      <c r="BH510"/>
      <c r="BI510" s="709"/>
      <c r="BJ510" s="709"/>
      <c r="BK510" s="709"/>
      <c r="BL510" s="709"/>
      <c r="BM510" s="709"/>
      <c r="BN510" s="709"/>
      <c r="BO510" s="709"/>
      <c r="BP510" s="709"/>
      <c r="BW510" s="959" t="str">
        <f t="shared" si="205"/>
        <v>►</v>
      </c>
      <c r="BX510" s="856"/>
      <c r="BY510" s="856"/>
      <c r="BZ510" s="856"/>
      <c r="CA510" s="856"/>
      <c r="CB510" s="856"/>
      <c r="DB510" s="3">
        <v>1</v>
      </c>
    </row>
    <row r="511" spans="12:106" ht="21" customHeight="1">
      <c r="L511" s="104" t="s">
        <v>16</v>
      </c>
      <c r="M511" s="1172"/>
      <c r="N511" s="1172"/>
      <c r="O511" s="1172"/>
      <c r="P511" s="1173"/>
      <c r="Q511" s="1174"/>
      <c r="R511" s="1175"/>
      <c r="S511" s="1176"/>
      <c r="T511" s="1177"/>
      <c r="U511" s="5248"/>
      <c r="V511" s="1177"/>
      <c r="W511" s="5249"/>
      <c r="X511" s="5208"/>
      <c r="Y511" s="5209"/>
      <c r="Z511" s="5210"/>
      <c r="AA511" s="5211"/>
      <c r="AB511" s="1178"/>
      <c r="AC511" s="1179"/>
      <c r="AD511" s="227" t="s">
        <v>22</v>
      </c>
      <c r="AE511" s="1027" t="str">
        <f t="shared" si="206"/>
        <v>►</v>
      </c>
      <c r="AF511" s="1028" t="str">
        <f t="shared" si="207"/>
        <v/>
      </c>
      <c r="AG511" s="1029" t="str">
        <f t="shared" si="208"/>
        <v/>
      </c>
      <c r="AH511" s="1028" t="str">
        <f t="shared" si="209"/>
        <v/>
      </c>
      <c r="AI511" s="1029" t="str">
        <f t="shared" si="210"/>
        <v/>
      </c>
      <c r="AJ511" s="1029">
        <f t="shared" si="211"/>
        <v>0</v>
      </c>
      <c r="AK511" s="1043" t="str" cm="1">
        <f t="array" ref="AK511">IF(AE511&lt;&gt;"A","",IFERROR((IFERROR(_xlfn.XLOOKUP(TRIM(SUBSTITUTE(U511,CHAR(160)," ")),$BI$15:$BI$62,$BL$15:$BL$62),IFERROR(_xlfn.XLOOKUP(TRIM(SUBSTITUTE(U511,CHAR(160)," ")),$BJ$15:$BJ$62,$BL$15:$BL$62),_xlfn.XLOOKUP(TRIM(SUBSTITUTE(U511,CHAR(160)," ")),$BK$15:$BK$62,$BL$15:$BL$62))))*T511*IF(ISBLANK(Q511),1,Q511)+IFERROR(_xlfn.XLOOKUP("RECHERCHEX",TRIM(L511:AC511),L511:AC511),0),0))</f>
        <v/>
      </c>
      <c r="AL511" s="1030">
        <f t="shared" si="212"/>
        <v>0</v>
      </c>
      <c r="AM511" s="5254" t="str">
        <f t="shared" si="227"/>
        <v/>
      </c>
      <c r="AN511" s="1031">
        <f t="shared" si="213"/>
        <v>0</v>
      </c>
      <c r="AO511" s="1031">
        <f t="shared" si="214"/>
        <v>0</v>
      </c>
      <c r="AP511" s="1044">
        <f t="shared" si="215"/>
        <v>0</v>
      </c>
      <c r="AQ511" s="5257" t="str">
        <f t="shared" si="216"/>
        <v/>
      </c>
      <c r="AR511" s="1056"/>
      <c r="AS511" s="1056"/>
      <c r="AT511" s="1045">
        <f t="shared" si="217"/>
        <v>0</v>
      </c>
      <c r="AU511" s="1046">
        <f t="shared" si="218"/>
        <v>0</v>
      </c>
      <c r="AV511" s="1059" cm="1">
        <f t="array" ref="AV511">IF(AJ511&lt;&gt;1,0,IF(OR(AT511="",N(AT511)&lt;=0.000000001),"",IF(OR(AN511="",N(AN511)&lt;=0.000000001),0,IF(ISNUMBER(AT511),IFERROR(_xlfn.LET(_xlpm.ai_test,TRIM(AI511),_xlpm.r,IFERROR(_xlfn.XLOOKUP(_xlpm.ai_test,$BI$15:$BI$62,ROW($BI$15:$BI$62),0,1),IFERROR(_xlfn.XLOOKUP(_xlpm.ai_test,$BJ$15:$BJ$62,ROW($BJ$15:$BJ$62),0,1),_xlfn.XLOOKUP(_xlpm.ai_test,$BK$15:$BK$62,ROW($BK$15:$BK$62),0,1))),_xlpm.p,_xlpm.r-MIN(ROW($BI$15:$BI$62))+1,_xlpm.f,INDEX($BL$15:$BL$62,_xlpm.p),_xlpm.u,INDEX($BM$15:$BM$62,_xlpm.p),_xlpm.s,INDEX($BO$15:$BO$62,_xlpm.p),_xlpm.q,N(AT511)/_xlpm.f,IF(_xlpm.q&gt;=_xlpm.s,ROUND(_xlpm.q,1)&amp;" "&amp;_xlpm.ai_test&amp;" = "&amp;ROUND(_xlpm.q*_xlpm.f,1)&amp;" "&amp;_xlpm.u,ROUND(_xlpm.q,1)&amp;" "&amp;_xlpm.ai_test)),""),""))))</f>
        <v>0</v>
      </c>
      <c r="AW511" s="1047"/>
      <c r="AX511" s="1045">
        <f t="shared" si="219"/>
        <v>0</v>
      </c>
      <c r="AY511" s="1046" t="str">
        <f t="shared" si="220"/>
        <v/>
      </c>
      <c r="AZ511" s="1048">
        <f t="shared" si="225"/>
        <v>0</v>
      </c>
      <c r="BA511" s="1049" t="str">
        <f t="shared" si="221"/>
        <v/>
      </c>
      <c r="BB511" s="1038"/>
      <c r="BC511" s="1050">
        <f t="shared" si="226"/>
        <v>0</v>
      </c>
      <c r="BD511" s="1040" t="str">
        <f t="shared" si="222"/>
        <v/>
      </c>
      <c r="BE511" s="227" t="s">
        <v>22</v>
      </c>
      <c r="BF511" s="1019">
        <f t="shared" si="223"/>
        <v>0</v>
      </c>
      <c r="BG511" s="1020">
        <f t="shared" si="224"/>
        <v>0</v>
      </c>
      <c r="BH511"/>
      <c r="BI511" s="709"/>
      <c r="BJ511" s="709"/>
      <c r="BK511" s="709"/>
      <c r="BL511" s="709"/>
      <c r="BM511" s="709"/>
      <c r="BN511" s="709"/>
      <c r="BO511" s="709"/>
      <c r="BP511" s="709"/>
      <c r="BW511" s="959" t="str">
        <f t="shared" si="205"/>
        <v>►</v>
      </c>
      <c r="BX511" s="856"/>
      <c r="BY511" s="856"/>
      <c r="BZ511" s="856"/>
      <c r="CA511" s="856"/>
      <c r="CB511" s="856"/>
      <c r="DB511" s="3">
        <v>1</v>
      </c>
    </row>
    <row r="512" spans="12:106" ht="21" customHeight="1">
      <c r="L512" s="104" t="s">
        <v>16</v>
      </c>
      <c r="M512" s="1172"/>
      <c r="N512" s="1172"/>
      <c r="O512" s="1172"/>
      <c r="P512" s="1173"/>
      <c r="Q512" s="1174"/>
      <c r="R512" s="1175"/>
      <c r="S512" s="1176"/>
      <c r="T512" s="1177"/>
      <c r="U512" s="5248"/>
      <c r="V512" s="1177"/>
      <c r="W512" s="5249"/>
      <c r="X512" s="5208"/>
      <c r="Y512" s="5209"/>
      <c r="Z512" s="5210"/>
      <c r="AA512" s="5211"/>
      <c r="AB512" s="1178"/>
      <c r="AC512" s="1179"/>
      <c r="AD512" s="227" t="s">
        <v>22</v>
      </c>
      <c r="AE512" s="1027" t="str">
        <f t="shared" si="206"/>
        <v>►</v>
      </c>
      <c r="AF512" s="1028" t="str">
        <f t="shared" si="207"/>
        <v/>
      </c>
      <c r="AG512" s="1029" t="str">
        <f t="shared" si="208"/>
        <v/>
      </c>
      <c r="AH512" s="1028" t="str">
        <f t="shared" si="209"/>
        <v/>
      </c>
      <c r="AI512" s="1029" t="str">
        <f t="shared" si="210"/>
        <v/>
      </c>
      <c r="AJ512" s="1029">
        <f t="shared" si="211"/>
        <v>0</v>
      </c>
      <c r="AK512" s="1043" t="str" cm="1">
        <f t="array" ref="AK512">IF(AE512&lt;&gt;"A","",IFERROR((IFERROR(_xlfn.XLOOKUP(TRIM(SUBSTITUTE(U512,CHAR(160)," ")),$BI$15:$BI$62,$BL$15:$BL$62),IFERROR(_xlfn.XLOOKUP(TRIM(SUBSTITUTE(U512,CHAR(160)," ")),$BJ$15:$BJ$62,$BL$15:$BL$62),_xlfn.XLOOKUP(TRIM(SUBSTITUTE(U512,CHAR(160)," ")),$BK$15:$BK$62,$BL$15:$BL$62))))*T512*IF(ISBLANK(Q512),1,Q512)+IFERROR(_xlfn.XLOOKUP("RECHERCHEX",TRIM(L512:AC512),L512:AC512),0),0))</f>
        <v/>
      </c>
      <c r="AL512" s="1030">
        <f t="shared" si="212"/>
        <v>0</v>
      </c>
      <c r="AM512" s="5254" t="str">
        <f t="shared" si="227"/>
        <v/>
      </c>
      <c r="AN512" s="1031">
        <f t="shared" si="213"/>
        <v>0</v>
      </c>
      <c r="AO512" s="1031">
        <f t="shared" si="214"/>
        <v>0</v>
      </c>
      <c r="AP512" s="1032">
        <f t="shared" si="215"/>
        <v>0</v>
      </c>
      <c r="AQ512" s="5255" t="str">
        <f t="shared" si="216"/>
        <v/>
      </c>
      <c r="AR512" s="1056"/>
      <c r="AS512" s="1056"/>
      <c r="AT512" s="1034">
        <f t="shared" si="217"/>
        <v>0</v>
      </c>
      <c r="AU512" s="1035">
        <f t="shared" si="218"/>
        <v>0</v>
      </c>
      <c r="AV512" s="1057" cm="1">
        <f t="array" ref="AV512">IF(AJ512&lt;&gt;1,0,IF(OR(AT512="",N(AT512)&lt;=0.000000001),"",IF(OR(AN512="",N(AN512)&lt;=0.000000001),0,IF(ISNUMBER(AT512),IFERROR(_xlfn.LET(_xlpm.ai_test,TRIM(AI512),_xlpm.r,IFERROR(_xlfn.XLOOKUP(_xlpm.ai_test,$BI$15:$BI$62,ROW($BI$15:$BI$62),0,1),IFERROR(_xlfn.XLOOKUP(_xlpm.ai_test,$BJ$15:$BJ$62,ROW($BJ$15:$BJ$62),0,1),_xlfn.XLOOKUP(_xlpm.ai_test,$BK$15:$BK$62,ROW($BK$15:$BK$62),0,1))),_xlpm.p,_xlpm.r-MIN(ROW($BI$15:$BI$62))+1,_xlpm.f,INDEX($BL$15:$BL$62,_xlpm.p),_xlpm.u,INDEX($BM$15:$BM$62,_xlpm.p),_xlpm.s,INDEX($BO$15:$BO$62,_xlpm.p),_xlpm.q,N(AT512)/_xlpm.f,IF(_xlpm.q&gt;=_xlpm.s,ROUND(_xlpm.q,1)&amp;" "&amp;_xlpm.ai_test&amp;" = "&amp;ROUND(_xlpm.q*_xlpm.f,1)&amp;" "&amp;_xlpm.u,ROUND(_xlpm.q,1)&amp;" "&amp;_xlpm.ai_test)),""),""))))</f>
        <v>0</v>
      </c>
      <c r="AW512" s="1047"/>
      <c r="AX512" s="1034">
        <f t="shared" si="219"/>
        <v>0</v>
      </c>
      <c r="AY512" s="1035" t="str">
        <f t="shared" si="220"/>
        <v/>
      </c>
      <c r="AZ512" s="1036">
        <f t="shared" si="225"/>
        <v>0</v>
      </c>
      <c r="BA512" s="1037" t="str">
        <f t="shared" si="221"/>
        <v/>
      </c>
      <c r="BB512" s="1038"/>
      <c r="BC512" s="1039">
        <f t="shared" si="226"/>
        <v>0</v>
      </c>
      <c r="BD512" s="1040" t="str">
        <f t="shared" si="222"/>
        <v/>
      </c>
      <c r="BE512" s="227" t="s">
        <v>22</v>
      </c>
      <c r="BF512" s="1019">
        <f t="shared" si="223"/>
        <v>0</v>
      </c>
      <c r="BG512" s="1020">
        <f t="shared" si="224"/>
        <v>0</v>
      </c>
      <c r="BH512"/>
      <c r="BI512" s="709"/>
      <c r="BJ512" s="709"/>
      <c r="BK512" s="709"/>
      <c r="BL512" s="709"/>
      <c r="BM512" s="709"/>
      <c r="BN512" s="709"/>
      <c r="BO512" s="709"/>
      <c r="BP512" s="709"/>
      <c r="BW512" s="959" t="str">
        <f t="shared" si="205"/>
        <v>►</v>
      </c>
      <c r="BX512" s="856"/>
      <c r="BY512" s="856"/>
      <c r="BZ512" s="856"/>
      <c r="CA512" s="856"/>
      <c r="CB512" s="856"/>
      <c r="DB512" s="3">
        <v>1</v>
      </c>
    </row>
    <row r="513" spans="12:106" ht="21" customHeight="1">
      <c r="L513" s="104" t="s">
        <v>16</v>
      </c>
      <c r="M513" s="1172"/>
      <c r="N513" s="1172"/>
      <c r="O513" s="1172"/>
      <c r="P513" s="1173"/>
      <c r="Q513" s="1174"/>
      <c r="R513" s="1175"/>
      <c r="S513" s="1176"/>
      <c r="T513" s="1177"/>
      <c r="U513" s="5248"/>
      <c r="V513" s="1177"/>
      <c r="W513" s="5249"/>
      <c r="X513" s="5208"/>
      <c r="Y513" s="5209"/>
      <c r="Z513" s="5210"/>
      <c r="AA513" s="5211"/>
      <c r="AB513" s="1178"/>
      <c r="AC513" s="1179"/>
      <c r="AD513" s="227" t="s">
        <v>22</v>
      </c>
      <c r="AE513" s="1027" t="str">
        <f t="shared" si="206"/>
        <v>►</v>
      </c>
      <c r="AF513" s="1028" t="str">
        <f t="shared" si="207"/>
        <v/>
      </c>
      <c r="AG513" s="1029" t="str">
        <f t="shared" si="208"/>
        <v/>
      </c>
      <c r="AH513" s="1028" t="str">
        <f t="shared" si="209"/>
        <v/>
      </c>
      <c r="AI513" s="1029" t="str">
        <f t="shared" si="210"/>
        <v/>
      </c>
      <c r="AJ513" s="1029">
        <f t="shared" si="211"/>
        <v>0</v>
      </c>
      <c r="AK513" s="1043" t="str" cm="1">
        <f t="array" ref="AK513">IF(AE513&lt;&gt;"A","",IFERROR((IFERROR(_xlfn.XLOOKUP(TRIM(SUBSTITUTE(U513,CHAR(160)," ")),$BI$15:$BI$62,$BL$15:$BL$62),IFERROR(_xlfn.XLOOKUP(TRIM(SUBSTITUTE(U513,CHAR(160)," ")),$BJ$15:$BJ$62,$BL$15:$BL$62),_xlfn.XLOOKUP(TRIM(SUBSTITUTE(U513,CHAR(160)," ")),$BK$15:$BK$62,$BL$15:$BL$62))))*T513*IF(ISBLANK(Q513),1,Q513)+IFERROR(_xlfn.XLOOKUP("RECHERCHEX",TRIM(L513:AC513),L513:AC513),0),0))</f>
        <v/>
      </c>
      <c r="AL513" s="1030">
        <f t="shared" si="212"/>
        <v>0</v>
      </c>
      <c r="AM513" s="5254" t="str">
        <f t="shared" si="227"/>
        <v/>
      </c>
      <c r="AN513" s="1031">
        <f t="shared" si="213"/>
        <v>0</v>
      </c>
      <c r="AO513" s="1031">
        <f t="shared" si="214"/>
        <v>0</v>
      </c>
      <c r="AP513" s="1044">
        <f t="shared" si="215"/>
        <v>0</v>
      </c>
      <c r="AQ513" s="5257" t="str">
        <f t="shared" si="216"/>
        <v/>
      </c>
      <c r="AR513" s="1056"/>
      <c r="AS513" s="1056"/>
      <c r="AT513" s="1045">
        <f t="shared" si="217"/>
        <v>0</v>
      </c>
      <c r="AU513" s="1046">
        <f t="shared" si="218"/>
        <v>0</v>
      </c>
      <c r="AV513" s="1059" cm="1">
        <f t="array" ref="AV513">IF(AJ513&lt;&gt;1,0,IF(OR(AT513="",N(AT513)&lt;=0.000000001),"",IF(OR(AN513="",N(AN513)&lt;=0.000000001),0,IF(ISNUMBER(AT513),IFERROR(_xlfn.LET(_xlpm.ai_test,TRIM(AI513),_xlpm.r,IFERROR(_xlfn.XLOOKUP(_xlpm.ai_test,$BI$15:$BI$62,ROW($BI$15:$BI$62),0,1),IFERROR(_xlfn.XLOOKUP(_xlpm.ai_test,$BJ$15:$BJ$62,ROW($BJ$15:$BJ$62),0,1),_xlfn.XLOOKUP(_xlpm.ai_test,$BK$15:$BK$62,ROW($BK$15:$BK$62),0,1))),_xlpm.p,_xlpm.r-MIN(ROW($BI$15:$BI$62))+1,_xlpm.f,INDEX($BL$15:$BL$62,_xlpm.p),_xlpm.u,INDEX($BM$15:$BM$62,_xlpm.p),_xlpm.s,INDEX($BO$15:$BO$62,_xlpm.p),_xlpm.q,N(AT513)/_xlpm.f,IF(_xlpm.q&gt;=_xlpm.s,ROUND(_xlpm.q,1)&amp;" "&amp;_xlpm.ai_test&amp;" = "&amp;ROUND(_xlpm.q*_xlpm.f,1)&amp;" "&amp;_xlpm.u,ROUND(_xlpm.q,1)&amp;" "&amp;_xlpm.ai_test)),""),""))))</f>
        <v>0</v>
      </c>
      <c r="AW513" s="1047"/>
      <c r="AX513" s="1045">
        <f t="shared" si="219"/>
        <v>0</v>
      </c>
      <c r="AY513" s="1046" t="str">
        <f t="shared" si="220"/>
        <v/>
      </c>
      <c r="AZ513" s="1048">
        <f t="shared" si="225"/>
        <v>0</v>
      </c>
      <c r="BA513" s="1049" t="str">
        <f t="shared" si="221"/>
        <v/>
      </c>
      <c r="BB513" s="1038"/>
      <c r="BC513" s="1050">
        <f t="shared" si="226"/>
        <v>0</v>
      </c>
      <c r="BD513" s="1040" t="str">
        <f t="shared" si="222"/>
        <v/>
      </c>
      <c r="BE513" s="227" t="s">
        <v>22</v>
      </c>
      <c r="BF513" s="1019">
        <f t="shared" si="223"/>
        <v>0</v>
      </c>
      <c r="BG513" s="1020">
        <f t="shared" si="224"/>
        <v>0</v>
      </c>
      <c r="BH513"/>
      <c r="BI513" s="709"/>
      <c r="BJ513" s="709"/>
      <c r="BK513" s="709"/>
      <c r="BL513" s="709"/>
      <c r="BM513" s="709"/>
      <c r="BN513" s="709"/>
      <c r="BO513" s="709"/>
      <c r="BP513" s="709"/>
      <c r="BW513" s="959" t="str">
        <f t="shared" si="205"/>
        <v>►</v>
      </c>
      <c r="BX513" s="856"/>
      <c r="BY513" s="856"/>
      <c r="BZ513" s="856"/>
      <c r="CA513" s="856"/>
      <c r="CB513" s="856"/>
      <c r="DB513" s="3">
        <v>1</v>
      </c>
    </row>
    <row r="514" spans="12:106" ht="21" customHeight="1">
      <c r="L514" s="104" t="s">
        <v>16</v>
      </c>
      <c r="M514" s="1172"/>
      <c r="N514" s="1172"/>
      <c r="O514" s="1172"/>
      <c r="P514" s="1173"/>
      <c r="Q514" s="1174"/>
      <c r="R514" s="1175"/>
      <c r="S514" s="1176"/>
      <c r="T514" s="1177"/>
      <c r="U514" s="5248"/>
      <c r="V514" s="1177"/>
      <c r="W514" s="5249"/>
      <c r="X514" s="5208"/>
      <c r="Y514" s="5209"/>
      <c r="Z514" s="5210"/>
      <c r="AA514" s="5211"/>
      <c r="AB514" s="1178"/>
      <c r="AC514" s="1179"/>
      <c r="AD514" s="227" t="s">
        <v>22</v>
      </c>
      <c r="AE514" s="1027" t="str">
        <f t="shared" si="206"/>
        <v>►</v>
      </c>
      <c r="AF514" s="1028" t="str">
        <f t="shared" si="207"/>
        <v/>
      </c>
      <c r="AG514" s="1029" t="str">
        <f t="shared" si="208"/>
        <v/>
      </c>
      <c r="AH514" s="1028" t="str">
        <f t="shared" si="209"/>
        <v/>
      </c>
      <c r="AI514" s="1029" t="str">
        <f t="shared" si="210"/>
        <v/>
      </c>
      <c r="AJ514" s="1029">
        <f t="shared" si="211"/>
        <v>0</v>
      </c>
      <c r="AK514" s="1043" t="str" cm="1">
        <f t="array" ref="AK514">IF(AE514&lt;&gt;"A","",IFERROR((IFERROR(_xlfn.XLOOKUP(TRIM(SUBSTITUTE(U514,CHAR(160)," ")),$BI$15:$BI$62,$BL$15:$BL$62),IFERROR(_xlfn.XLOOKUP(TRIM(SUBSTITUTE(U514,CHAR(160)," ")),$BJ$15:$BJ$62,$BL$15:$BL$62),_xlfn.XLOOKUP(TRIM(SUBSTITUTE(U514,CHAR(160)," ")),$BK$15:$BK$62,$BL$15:$BL$62))))*T514*IF(ISBLANK(Q514),1,Q514)+IFERROR(_xlfn.XLOOKUP("RECHERCHEX",TRIM(L514:AC514),L514:AC514),0),0))</f>
        <v/>
      </c>
      <c r="AL514" s="1030">
        <f t="shared" si="212"/>
        <v>0</v>
      </c>
      <c r="AM514" s="5254" t="str">
        <f t="shared" si="227"/>
        <v/>
      </c>
      <c r="AN514" s="1031">
        <f t="shared" si="213"/>
        <v>0</v>
      </c>
      <c r="AO514" s="1031">
        <f t="shared" si="214"/>
        <v>0</v>
      </c>
      <c r="AP514" s="1032">
        <f t="shared" si="215"/>
        <v>0</v>
      </c>
      <c r="AQ514" s="5255" t="str">
        <f t="shared" si="216"/>
        <v/>
      </c>
      <c r="AR514" s="1056"/>
      <c r="AS514" s="1056"/>
      <c r="AT514" s="1034">
        <f t="shared" si="217"/>
        <v>0</v>
      </c>
      <c r="AU514" s="1035">
        <f t="shared" si="218"/>
        <v>0</v>
      </c>
      <c r="AV514" s="1057" cm="1">
        <f t="array" ref="AV514">IF(AJ514&lt;&gt;1,0,IF(OR(AT514="",N(AT514)&lt;=0.000000001),"",IF(OR(AN514="",N(AN514)&lt;=0.000000001),0,IF(ISNUMBER(AT514),IFERROR(_xlfn.LET(_xlpm.ai_test,TRIM(AI514),_xlpm.r,IFERROR(_xlfn.XLOOKUP(_xlpm.ai_test,$BI$15:$BI$62,ROW($BI$15:$BI$62),0,1),IFERROR(_xlfn.XLOOKUP(_xlpm.ai_test,$BJ$15:$BJ$62,ROW($BJ$15:$BJ$62),0,1),_xlfn.XLOOKUP(_xlpm.ai_test,$BK$15:$BK$62,ROW($BK$15:$BK$62),0,1))),_xlpm.p,_xlpm.r-MIN(ROW($BI$15:$BI$62))+1,_xlpm.f,INDEX($BL$15:$BL$62,_xlpm.p),_xlpm.u,INDEX($BM$15:$BM$62,_xlpm.p),_xlpm.s,INDEX($BO$15:$BO$62,_xlpm.p),_xlpm.q,N(AT514)/_xlpm.f,IF(_xlpm.q&gt;=_xlpm.s,ROUND(_xlpm.q,1)&amp;" "&amp;_xlpm.ai_test&amp;" = "&amp;ROUND(_xlpm.q*_xlpm.f,1)&amp;" "&amp;_xlpm.u,ROUND(_xlpm.q,1)&amp;" "&amp;_xlpm.ai_test)),""),""))))</f>
        <v>0</v>
      </c>
      <c r="AW514" s="1047"/>
      <c r="AX514" s="1034">
        <f t="shared" si="219"/>
        <v>0</v>
      </c>
      <c r="AY514" s="1035" t="str">
        <f t="shared" si="220"/>
        <v/>
      </c>
      <c r="AZ514" s="1036">
        <f t="shared" si="225"/>
        <v>0</v>
      </c>
      <c r="BA514" s="1037" t="str">
        <f t="shared" si="221"/>
        <v/>
      </c>
      <c r="BB514" s="1038"/>
      <c r="BC514" s="1039">
        <f t="shared" si="226"/>
        <v>0</v>
      </c>
      <c r="BD514" s="1040" t="str">
        <f t="shared" si="222"/>
        <v/>
      </c>
      <c r="BE514" s="227" t="s">
        <v>22</v>
      </c>
      <c r="BF514" s="1019">
        <f t="shared" si="223"/>
        <v>0</v>
      </c>
      <c r="BG514" s="1020">
        <f t="shared" si="224"/>
        <v>0</v>
      </c>
      <c r="BH514"/>
      <c r="BI514" s="709"/>
      <c r="BJ514" s="709"/>
      <c r="BK514" s="709"/>
      <c r="BL514" s="709"/>
      <c r="BM514" s="709"/>
      <c r="BN514" s="709"/>
      <c r="BO514" s="709"/>
      <c r="BP514" s="709"/>
      <c r="BW514" s="959" t="str">
        <f t="shared" si="205"/>
        <v>►</v>
      </c>
      <c r="BX514" s="856"/>
      <c r="BY514" s="856"/>
      <c r="BZ514" s="856"/>
      <c r="CA514" s="856"/>
      <c r="CB514" s="856"/>
      <c r="DB514" s="3">
        <v>1</v>
      </c>
    </row>
    <row r="515" spans="12:106" ht="21" customHeight="1">
      <c r="L515" s="104" t="s">
        <v>16</v>
      </c>
      <c r="M515" s="1172"/>
      <c r="N515" s="1172"/>
      <c r="O515" s="1172"/>
      <c r="P515" s="1173"/>
      <c r="Q515" s="1174"/>
      <c r="R515" s="1175"/>
      <c r="S515" s="1176"/>
      <c r="T515" s="1177"/>
      <c r="U515" s="5248"/>
      <c r="V515" s="1177"/>
      <c r="W515" s="5249"/>
      <c r="X515" s="5208"/>
      <c r="Y515" s="5209"/>
      <c r="Z515" s="5210"/>
      <c r="AA515" s="5211"/>
      <c r="AB515" s="1178"/>
      <c r="AC515" s="1179"/>
      <c r="AD515" s="227" t="s">
        <v>22</v>
      </c>
      <c r="AE515" s="1027" t="str">
        <f t="shared" si="206"/>
        <v>►</v>
      </c>
      <c r="AF515" s="1028" t="str">
        <f t="shared" si="207"/>
        <v/>
      </c>
      <c r="AG515" s="1029" t="str">
        <f t="shared" si="208"/>
        <v/>
      </c>
      <c r="AH515" s="1028" t="str">
        <f t="shared" si="209"/>
        <v/>
      </c>
      <c r="AI515" s="1029" t="str">
        <f t="shared" si="210"/>
        <v/>
      </c>
      <c r="AJ515" s="1029">
        <f t="shared" si="211"/>
        <v>0</v>
      </c>
      <c r="AK515" s="1043" t="str" cm="1">
        <f t="array" ref="AK515">IF(AE515&lt;&gt;"A","",IFERROR((IFERROR(_xlfn.XLOOKUP(TRIM(SUBSTITUTE(U515,CHAR(160)," ")),$BI$15:$BI$62,$BL$15:$BL$62),IFERROR(_xlfn.XLOOKUP(TRIM(SUBSTITUTE(U515,CHAR(160)," ")),$BJ$15:$BJ$62,$BL$15:$BL$62),_xlfn.XLOOKUP(TRIM(SUBSTITUTE(U515,CHAR(160)," ")),$BK$15:$BK$62,$BL$15:$BL$62))))*T515*IF(ISBLANK(Q515),1,Q515)+IFERROR(_xlfn.XLOOKUP("RECHERCHEX",TRIM(L515:AC515),L515:AC515),0),0))</f>
        <v/>
      </c>
      <c r="AL515" s="1030">
        <f t="shared" si="212"/>
        <v>0</v>
      </c>
      <c r="AM515" s="5254" t="str">
        <f t="shared" si="227"/>
        <v/>
      </c>
      <c r="AN515" s="1031">
        <f t="shared" si="213"/>
        <v>0</v>
      </c>
      <c r="AO515" s="1031">
        <f t="shared" si="214"/>
        <v>0</v>
      </c>
      <c r="AP515" s="1044">
        <f t="shared" si="215"/>
        <v>0</v>
      </c>
      <c r="AQ515" s="5257" t="str">
        <f t="shared" si="216"/>
        <v/>
      </c>
      <c r="AR515" s="1056"/>
      <c r="AS515" s="1056"/>
      <c r="AT515" s="1045">
        <f t="shared" si="217"/>
        <v>0</v>
      </c>
      <c r="AU515" s="1046">
        <f t="shared" si="218"/>
        <v>0</v>
      </c>
      <c r="AV515" s="1059" cm="1">
        <f t="array" ref="AV515">IF(AJ515&lt;&gt;1,0,IF(OR(AT515="",N(AT515)&lt;=0.000000001),"",IF(OR(AN515="",N(AN515)&lt;=0.000000001),0,IF(ISNUMBER(AT515),IFERROR(_xlfn.LET(_xlpm.ai_test,TRIM(AI515),_xlpm.r,IFERROR(_xlfn.XLOOKUP(_xlpm.ai_test,$BI$15:$BI$62,ROW($BI$15:$BI$62),0,1),IFERROR(_xlfn.XLOOKUP(_xlpm.ai_test,$BJ$15:$BJ$62,ROW($BJ$15:$BJ$62),0,1),_xlfn.XLOOKUP(_xlpm.ai_test,$BK$15:$BK$62,ROW($BK$15:$BK$62),0,1))),_xlpm.p,_xlpm.r-MIN(ROW($BI$15:$BI$62))+1,_xlpm.f,INDEX($BL$15:$BL$62,_xlpm.p),_xlpm.u,INDEX($BM$15:$BM$62,_xlpm.p),_xlpm.s,INDEX($BO$15:$BO$62,_xlpm.p),_xlpm.q,N(AT515)/_xlpm.f,IF(_xlpm.q&gt;=_xlpm.s,ROUND(_xlpm.q,1)&amp;" "&amp;_xlpm.ai_test&amp;" = "&amp;ROUND(_xlpm.q*_xlpm.f,1)&amp;" "&amp;_xlpm.u,ROUND(_xlpm.q,1)&amp;" "&amp;_xlpm.ai_test)),""),""))))</f>
        <v>0</v>
      </c>
      <c r="AW515" s="1047"/>
      <c r="AX515" s="1045">
        <f t="shared" si="219"/>
        <v>0</v>
      </c>
      <c r="AY515" s="1046" t="str">
        <f t="shared" si="220"/>
        <v/>
      </c>
      <c r="AZ515" s="1048">
        <f t="shared" si="225"/>
        <v>0</v>
      </c>
      <c r="BA515" s="1049" t="str">
        <f t="shared" si="221"/>
        <v/>
      </c>
      <c r="BB515" s="1038"/>
      <c r="BC515" s="1050">
        <f t="shared" si="226"/>
        <v>0</v>
      </c>
      <c r="BD515" s="1040" t="str">
        <f t="shared" si="222"/>
        <v/>
      </c>
      <c r="BE515" s="227" t="s">
        <v>22</v>
      </c>
      <c r="BF515" s="1019">
        <f t="shared" si="223"/>
        <v>0</v>
      </c>
      <c r="BG515" s="1020">
        <f t="shared" si="224"/>
        <v>0</v>
      </c>
      <c r="BH515"/>
      <c r="BI515" s="709"/>
      <c r="BJ515" s="709"/>
      <c r="BK515" s="709"/>
      <c r="BL515" s="709"/>
      <c r="BM515" s="709"/>
      <c r="BN515" s="709"/>
      <c r="BO515" s="709"/>
      <c r="BP515" s="709"/>
      <c r="BW515" s="959" t="str">
        <f t="shared" si="205"/>
        <v>►</v>
      </c>
      <c r="BX515" s="856"/>
      <c r="BY515" s="856"/>
      <c r="BZ515" s="856"/>
      <c r="CA515" s="856"/>
      <c r="CB515" s="856"/>
      <c r="DB515" s="3">
        <v>1</v>
      </c>
    </row>
    <row r="516" spans="12:106" ht="21" customHeight="1">
      <c r="L516" s="104" t="s">
        <v>16</v>
      </c>
      <c r="M516" s="1172"/>
      <c r="N516" s="1172"/>
      <c r="O516" s="1172"/>
      <c r="P516" s="1173"/>
      <c r="Q516" s="1174"/>
      <c r="R516" s="1175"/>
      <c r="S516" s="1176"/>
      <c r="T516" s="1177"/>
      <c r="U516" s="5248"/>
      <c r="V516" s="1177"/>
      <c r="W516" s="5249"/>
      <c r="X516" s="5208"/>
      <c r="Y516" s="5209"/>
      <c r="Z516" s="5210"/>
      <c r="AA516" s="5211"/>
      <c r="AB516" s="1178"/>
      <c r="AC516" s="1179"/>
      <c r="AD516" s="227" t="s">
        <v>22</v>
      </c>
      <c r="AE516" s="1027" t="str">
        <f t="shared" si="206"/>
        <v>►</v>
      </c>
      <c r="AF516" s="1028" t="str">
        <f t="shared" si="207"/>
        <v/>
      </c>
      <c r="AG516" s="1029" t="str">
        <f t="shared" si="208"/>
        <v/>
      </c>
      <c r="AH516" s="1028" t="str">
        <f t="shared" si="209"/>
        <v/>
      </c>
      <c r="AI516" s="1029" t="str">
        <f t="shared" si="210"/>
        <v/>
      </c>
      <c r="AJ516" s="1029">
        <f t="shared" si="211"/>
        <v>0</v>
      </c>
      <c r="AK516" s="1043" t="str" cm="1">
        <f t="array" ref="AK516">IF(AE516&lt;&gt;"A","",IFERROR((IFERROR(_xlfn.XLOOKUP(TRIM(SUBSTITUTE(U516,CHAR(160)," ")),$BI$15:$BI$62,$BL$15:$BL$62),IFERROR(_xlfn.XLOOKUP(TRIM(SUBSTITUTE(U516,CHAR(160)," ")),$BJ$15:$BJ$62,$BL$15:$BL$62),_xlfn.XLOOKUP(TRIM(SUBSTITUTE(U516,CHAR(160)," ")),$BK$15:$BK$62,$BL$15:$BL$62))))*T516*IF(ISBLANK(Q516),1,Q516)+IFERROR(_xlfn.XLOOKUP("RECHERCHEX",TRIM(L516:AC516),L516:AC516),0),0))</f>
        <v/>
      </c>
      <c r="AL516" s="1030">
        <f t="shared" si="212"/>
        <v>0</v>
      </c>
      <c r="AM516" s="5254" t="str">
        <f t="shared" si="227"/>
        <v/>
      </c>
      <c r="AN516" s="1031">
        <f t="shared" si="213"/>
        <v>0</v>
      </c>
      <c r="AO516" s="1031">
        <f t="shared" si="214"/>
        <v>0</v>
      </c>
      <c r="AP516" s="1032">
        <f t="shared" si="215"/>
        <v>0</v>
      </c>
      <c r="AQ516" s="5255" t="str">
        <f t="shared" si="216"/>
        <v/>
      </c>
      <c r="AR516" s="1056"/>
      <c r="AS516" s="1056"/>
      <c r="AT516" s="1034">
        <f t="shared" si="217"/>
        <v>0</v>
      </c>
      <c r="AU516" s="1035">
        <f t="shared" si="218"/>
        <v>0</v>
      </c>
      <c r="AV516" s="1057" cm="1">
        <f t="array" ref="AV516">IF(AJ516&lt;&gt;1,0,IF(OR(AT516="",N(AT516)&lt;=0.000000001),"",IF(OR(AN516="",N(AN516)&lt;=0.000000001),0,IF(ISNUMBER(AT516),IFERROR(_xlfn.LET(_xlpm.ai_test,TRIM(AI516),_xlpm.r,IFERROR(_xlfn.XLOOKUP(_xlpm.ai_test,$BI$15:$BI$62,ROW($BI$15:$BI$62),0,1),IFERROR(_xlfn.XLOOKUP(_xlpm.ai_test,$BJ$15:$BJ$62,ROW($BJ$15:$BJ$62),0,1),_xlfn.XLOOKUP(_xlpm.ai_test,$BK$15:$BK$62,ROW($BK$15:$BK$62),0,1))),_xlpm.p,_xlpm.r-MIN(ROW($BI$15:$BI$62))+1,_xlpm.f,INDEX($BL$15:$BL$62,_xlpm.p),_xlpm.u,INDEX($BM$15:$BM$62,_xlpm.p),_xlpm.s,INDEX($BO$15:$BO$62,_xlpm.p),_xlpm.q,N(AT516)/_xlpm.f,IF(_xlpm.q&gt;=_xlpm.s,ROUND(_xlpm.q,1)&amp;" "&amp;_xlpm.ai_test&amp;" = "&amp;ROUND(_xlpm.q*_xlpm.f,1)&amp;" "&amp;_xlpm.u,ROUND(_xlpm.q,1)&amp;" "&amp;_xlpm.ai_test)),""),""))))</f>
        <v>0</v>
      </c>
      <c r="AW516" s="1047"/>
      <c r="AX516" s="1034">
        <f t="shared" si="219"/>
        <v>0</v>
      </c>
      <c r="AY516" s="1035" t="str">
        <f t="shared" si="220"/>
        <v/>
      </c>
      <c r="AZ516" s="1036">
        <f t="shared" si="225"/>
        <v>0</v>
      </c>
      <c r="BA516" s="1037" t="str">
        <f t="shared" si="221"/>
        <v/>
      </c>
      <c r="BB516" s="1038"/>
      <c r="BC516" s="1039">
        <f t="shared" si="226"/>
        <v>0</v>
      </c>
      <c r="BD516" s="1040" t="str">
        <f t="shared" si="222"/>
        <v/>
      </c>
      <c r="BE516" s="227" t="s">
        <v>22</v>
      </c>
      <c r="BF516" s="1019">
        <f t="shared" si="223"/>
        <v>0</v>
      </c>
      <c r="BG516" s="1020">
        <f t="shared" si="224"/>
        <v>0</v>
      </c>
      <c r="BH516"/>
      <c r="BI516" s="709"/>
      <c r="BJ516" s="709"/>
      <c r="BK516" s="709"/>
      <c r="BL516" s="709"/>
      <c r="BM516" s="709"/>
      <c r="BN516" s="709"/>
      <c r="BO516" s="709"/>
      <c r="BP516" s="709"/>
      <c r="BW516" s="959" t="str">
        <f t="shared" si="205"/>
        <v>►</v>
      </c>
      <c r="BX516" s="856"/>
      <c r="BY516" s="856"/>
      <c r="BZ516" s="856"/>
      <c r="CA516" s="856"/>
      <c r="CB516" s="856"/>
      <c r="DB516" s="3">
        <v>1</v>
      </c>
    </row>
    <row r="517" spans="12:106" ht="21" customHeight="1">
      <c r="L517" s="104" t="s">
        <v>16</v>
      </c>
      <c r="M517" s="1172"/>
      <c r="N517" s="1172"/>
      <c r="O517" s="1172"/>
      <c r="P517" s="1173"/>
      <c r="Q517" s="1174"/>
      <c r="R517" s="1175"/>
      <c r="S517" s="1176"/>
      <c r="T517" s="1177"/>
      <c r="U517" s="5248"/>
      <c r="V517" s="1177"/>
      <c r="W517" s="5249"/>
      <c r="X517" s="5208"/>
      <c r="Y517" s="5209"/>
      <c r="Z517" s="5210"/>
      <c r="AA517" s="5211"/>
      <c r="AB517" s="1178"/>
      <c r="AC517" s="1179"/>
      <c r="AD517" s="227" t="s">
        <v>22</v>
      </c>
      <c r="AE517" s="1027" t="str">
        <f t="shared" si="206"/>
        <v>►</v>
      </c>
      <c r="AF517" s="1028" t="str">
        <f t="shared" si="207"/>
        <v/>
      </c>
      <c r="AG517" s="1029" t="str">
        <f t="shared" si="208"/>
        <v/>
      </c>
      <c r="AH517" s="1028" t="str">
        <f t="shared" si="209"/>
        <v/>
      </c>
      <c r="AI517" s="1029" t="str">
        <f t="shared" si="210"/>
        <v/>
      </c>
      <c r="AJ517" s="1029">
        <f t="shared" si="211"/>
        <v>0</v>
      </c>
      <c r="AK517" s="1043" t="str" cm="1">
        <f t="array" ref="AK517">IF(AE517&lt;&gt;"A","",IFERROR((IFERROR(_xlfn.XLOOKUP(TRIM(SUBSTITUTE(U517,CHAR(160)," ")),$BI$15:$BI$62,$BL$15:$BL$62),IFERROR(_xlfn.XLOOKUP(TRIM(SUBSTITUTE(U517,CHAR(160)," ")),$BJ$15:$BJ$62,$BL$15:$BL$62),_xlfn.XLOOKUP(TRIM(SUBSTITUTE(U517,CHAR(160)," ")),$BK$15:$BK$62,$BL$15:$BL$62))))*T517*IF(ISBLANK(Q517),1,Q517)+IFERROR(_xlfn.XLOOKUP("RECHERCHEX",TRIM(L517:AC517),L517:AC517),0),0))</f>
        <v/>
      </c>
      <c r="AL517" s="1030">
        <f t="shared" si="212"/>
        <v>0</v>
      </c>
      <c r="AM517" s="5254" t="str">
        <f t="shared" si="227"/>
        <v/>
      </c>
      <c r="AN517" s="1031">
        <f t="shared" si="213"/>
        <v>0</v>
      </c>
      <c r="AO517" s="1031">
        <f t="shared" si="214"/>
        <v>0</v>
      </c>
      <c r="AP517" s="1044">
        <f t="shared" si="215"/>
        <v>0</v>
      </c>
      <c r="AQ517" s="5257" t="str">
        <f t="shared" si="216"/>
        <v/>
      </c>
      <c r="AR517" s="1056"/>
      <c r="AS517" s="1056"/>
      <c r="AT517" s="1045">
        <f t="shared" si="217"/>
        <v>0</v>
      </c>
      <c r="AU517" s="1046">
        <f t="shared" si="218"/>
        <v>0</v>
      </c>
      <c r="AV517" s="1059" cm="1">
        <f t="array" ref="AV517">IF(AJ517&lt;&gt;1,0,IF(OR(AT517="",N(AT517)&lt;=0.000000001),"",IF(OR(AN517="",N(AN517)&lt;=0.000000001),0,IF(ISNUMBER(AT517),IFERROR(_xlfn.LET(_xlpm.ai_test,TRIM(AI517),_xlpm.r,IFERROR(_xlfn.XLOOKUP(_xlpm.ai_test,$BI$15:$BI$62,ROW($BI$15:$BI$62),0,1),IFERROR(_xlfn.XLOOKUP(_xlpm.ai_test,$BJ$15:$BJ$62,ROW($BJ$15:$BJ$62),0,1),_xlfn.XLOOKUP(_xlpm.ai_test,$BK$15:$BK$62,ROW($BK$15:$BK$62),0,1))),_xlpm.p,_xlpm.r-MIN(ROW($BI$15:$BI$62))+1,_xlpm.f,INDEX($BL$15:$BL$62,_xlpm.p),_xlpm.u,INDEX($BM$15:$BM$62,_xlpm.p),_xlpm.s,INDEX($BO$15:$BO$62,_xlpm.p),_xlpm.q,N(AT517)/_xlpm.f,IF(_xlpm.q&gt;=_xlpm.s,ROUND(_xlpm.q,1)&amp;" "&amp;_xlpm.ai_test&amp;" = "&amp;ROUND(_xlpm.q*_xlpm.f,1)&amp;" "&amp;_xlpm.u,ROUND(_xlpm.q,1)&amp;" "&amp;_xlpm.ai_test)),""),""))))</f>
        <v>0</v>
      </c>
      <c r="AW517" s="1047"/>
      <c r="AX517" s="1045">
        <f t="shared" si="219"/>
        <v>0</v>
      </c>
      <c r="AY517" s="1046" t="str">
        <f t="shared" si="220"/>
        <v/>
      </c>
      <c r="AZ517" s="1048">
        <f t="shared" si="225"/>
        <v>0</v>
      </c>
      <c r="BA517" s="1049" t="str">
        <f t="shared" si="221"/>
        <v/>
      </c>
      <c r="BB517" s="1038"/>
      <c r="BC517" s="1050">
        <f t="shared" si="226"/>
        <v>0</v>
      </c>
      <c r="BD517" s="1040" t="str">
        <f t="shared" si="222"/>
        <v/>
      </c>
      <c r="BE517" s="227" t="s">
        <v>22</v>
      </c>
      <c r="BF517" s="1019">
        <f t="shared" si="223"/>
        <v>0</v>
      </c>
      <c r="BG517" s="1020">
        <f t="shared" si="224"/>
        <v>0</v>
      </c>
      <c r="BH517"/>
      <c r="BI517" s="709"/>
      <c r="BJ517" s="709"/>
      <c r="BK517" s="709"/>
      <c r="BL517" s="709"/>
      <c r="BM517" s="709"/>
      <c r="BN517" s="709"/>
      <c r="BO517" s="709"/>
      <c r="BP517" s="709"/>
      <c r="BW517" s="959" t="str">
        <f t="shared" ref="BW517:BW549" si="228">AE517</f>
        <v>►</v>
      </c>
      <c r="BX517" s="856"/>
      <c r="BY517" s="856"/>
      <c r="BZ517" s="856"/>
      <c r="CA517" s="856"/>
      <c r="CB517" s="856"/>
      <c r="DB517" s="3">
        <v>1</v>
      </c>
    </row>
    <row r="518" spans="12:106" ht="21" customHeight="1">
      <c r="L518" s="104" t="s">
        <v>16</v>
      </c>
      <c r="M518" s="1172"/>
      <c r="N518" s="1172"/>
      <c r="O518" s="1172"/>
      <c r="P518" s="1173"/>
      <c r="Q518" s="1174"/>
      <c r="R518" s="1175"/>
      <c r="S518" s="1176"/>
      <c r="T518" s="1177"/>
      <c r="U518" s="5248"/>
      <c r="V518" s="1177"/>
      <c r="W518" s="5249"/>
      <c r="X518" s="5208"/>
      <c r="Y518" s="5209"/>
      <c r="Z518" s="5210"/>
      <c r="AA518" s="5211"/>
      <c r="AB518" s="1178"/>
      <c r="AC518" s="1179"/>
      <c r="AD518" s="227" t="s">
        <v>22</v>
      </c>
      <c r="AE518" s="1027" t="str">
        <f t="shared" si="206"/>
        <v>►</v>
      </c>
      <c r="AF518" s="1028" t="str">
        <f t="shared" si="207"/>
        <v/>
      </c>
      <c r="AG518" s="1029" t="str">
        <f t="shared" si="208"/>
        <v/>
      </c>
      <c r="AH518" s="1028" t="str">
        <f t="shared" si="209"/>
        <v/>
      </c>
      <c r="AI518" s="1029" t="str">
        <f t="shared" si="210"/>
        <v/>
      </c>
      <c r="AJ518" s="1029">
        <f t="shared" si="211"/>
        <v>0</v>
      </c>
      <c r="AK518" s="1043" t="str" cm="1">
        <f t="array" ref="AK518">IF(AE518&lt;&gt;"A","",IFERROR((IFERROR(_xlfn.XLOOKUP(TRIM(SUBSTITUTE(U518,CHAR(160)," ")),$BI$15:$BI$62,$BL$15:$BL$62),IFERROR(_xlfn.XLOOKUP(TRIM(SUBSTITUTE(U518,CHAR(160)," ")),$BJ$15:$BJ$62,$BL$15:$BL$62),_xlfn.XLOOKUP(TRIM(SUBSTITUTE(U518,CHAR(160)," ")),$BK$15:$BK$62,$BL$15:$BL$62))))*T518*IF(ISBLANK(Q518),1,Q518)+IFERROR(_xlfn.XLOOKUP("RECHERCHEX",TRIM(L518:AC518),L518:AC518),0),0))</f>
        <v/>
      </c>
      <c r="AL518" s="1030">
        <f t="shared" si="212"/>
        <v>0</v>
      </c>
      <c r="AM518" s="5254" t="str">
        <f t="shared" si="227"/>
        <v/>
      </c>
      <c r="AN518" s="1031">
        <f t="shared" si="213"/>
        <v>0</v>
      </c>
      <c r="AO518" s="1031">
        <f t="shared" si="214"/>
        <v>0</v>
      </c>
      <c r="AP518" s="1032">
        <f t="shared" si="215"/>
        <v>0</v>
      </c>
      <c r="AQ518" s="5255" t="str">
        <f t="shared" si="216"/>
        <v/>
      </c>
      <c r="AR518" s="1056"/>
      <c r="AS518" s="1056"/>
      <c r="AT518" s="1034">
        <f t="shared" si="217"/>
        <v>0</v>
      </c>
      <c r="AU518" s="1035">
        <f t="shared" si="218"/>
        <v>0</v>
      </c>
      <c r="AV518" s="1057" cm="1">
        <f t="array" ref="AV518">IF(AJ518&lt;&gt;1,0,IF(OR(AT518="",N(AT518)&lt;=0.000000001),"",IF(OR(AN518="",N(AN518)&lt;=0.000000001),0,IF(ISNUMBER(AT518),IFERROR(_xlfn.LET(_xlpm.ai_test,TRIM(AI518),_xlpm.r,IFERROR(_xlfn.XLOOKUP(_xlpm.ai_test,$BI$15:$BI$62,ROW($BI$15:$BI$62),0,1),IFERROR(_xlfn.XLOOKUP(_xlpm.ai_test,$BJ$15:$BJ$62,ROW($BJ$15:$BJ$62),0,1),_xlfn.XLOOKUP(_xlpm.ai_test,$BK$15:$BK$62,ROW($BK$15:$BK$62),0,1))),_xlpm.p,_xlpm.r-MIN(ROW($BI$15:$BI$62))+1,_xlpm.f,INDEX($BL$15:$BL$62,_xlpm.p),_xlpm.u,INDEX($BM$15:$BM$62,_xlpm.p),_xlpm.s,INDEX($BO$15:$BO$62,_xlpm.p),_xlpm.q,N(AT518)/_xlpm.f,IF(_xlpm.q&gt;=_xlpm.s,ROUND(_xlpm.q,1)&amp;" "&amp;_xlpm.ai_test&amp;" = "&amp;ROUND(_xlpm.q*_xlpm.f,1)&amp;" "&amp;_xlpm.u,ROUND(_xlpm.q,1)&amp;" "&amp;_xlpm.ai_test)),""),""))))</f>
        <v>0</v>
      </c>
      <c r="AW518" s="1047"/>
      <c r="AX518" s="1034">
        <f t="shared" si="219"/>
        <v>0</v>
      </c>
      <c r="AY518" s="1035" t="str">
        <f t="shared" si="220"/>
        <v/>
      </c>
      <c r="AZ518" s="1036">
        <f t="shared" si="225"/>
        <v>0</v>
      </c>
      <c r="BA518" s="1037" t="str">
        <f t="shared" si="221"/>
        <v/>
      </c>
      <c r="BB518" s="1038"/>
      <c r="BC518" s="1039">
        <f t="shared" si="226"/>
        <v>0</v>
      </c>
      <c r="BD518" s="1040" t="str">
        <f t="shared" si="222"/>
        <v/>
      </c>
      <c r="BE518" s="227" t="s">
        <v>22</v>
      </c>
      <c r="BF518" s="1019">
        <f t="shared" si="223"/>
        <v>0</v>
      </c>
      <c r="BG518" s="1020">
        <f t="shared" si="224"/>
        <v>0</v>
      </c>
      <c r="BH518"/>
      <c r="BI518" s="709"/>
      <c r="BJ518" s="709"/>
      <c r="BK518" s="709"/>
      <c r="BL518" s="709"/>
      <c r="BM518" s="709"/>
      <c r="BN518" s="709"/>
      <c r="BO518" s="709"/>
      <c r="BP518" s="709"/>
      <c r="BW518" s="959" t="str">
        <f t="shared" si="228"/>
        <v>►</v>
      </c>
      <c r="BX518" s="856"/>
      <c r="BY518" s="856"/>
      <c r="BZ518" s="856"/>
      <c r="CA518" s="856"/>
      <c r="CB518" s="856"/>
      <c r="DB518" s="3">
        <v>1</v>
      </c>
    </row>
    <row r="519" spans="12:106" ht="21" customHeight="1">
      <c r="L519" s="104" t="s">
        <v>16</v>
      </c>
      <c r="M519" s="1172"/>
      <c r="N519" s="1172"/>
      <c r="O519" s="1172"/>
      <c r="P519" s="1173"/>
      <c r="Q519" s="1174"/>
      <c r="R519" s="1175"/>
      <c r="S519" s="1176"/>
      <c r="T519" s="1177"/>
      <c r="U519" s="5248"/>
      <c r="V519" s="1177"/>
      <c r="W519" s="5249"/>
      <c r="X519" s="5208"/>
      <c r="Y519" s="5209"/>
      <c r="Z519" s="5210"/>
      <c r="AA519" s="5211"/>
      <c r="AB519" s="1178"/>
      <c r="AC519" s="1179"/>
      <c r="AD519" s="227" t="s">
        <v>22</v>
      </c>
      <c r="AE519" s="1027" t="str">
        <f t="shared" si="206"/>
        <v>►</v>
      </c>
      <c r="AF519" s="1028" t="str">
        <f t="shared" si="207"/>
        <v/>
      </c>
      <c r="AG519" s="1029" t="str">
        <f t="shared" si="208"/>
        <v/>
      </c>
      <c r="AH519" s="1028" t="str">
        <f t="shared" si="209"/>
        <v/>
      </c>
      <c r="AI519" s="1029" t="str">
        <f t="shared" si="210"/>
        <v/>
      </c>
      <c r="AJ519" s="1029">
        <f t="shared" si="211"/>
        <v>0</v>
      </c>
      <c r="AK519" s="1043" t="str" cm="1">
        <f t="array" ref="AK519">IF(AE519&lt;&gt;"A","",IFERROR((IFERROR(_xlfn.XLOOKUP(TRIM(SUBSTITUTE(U519,CHAR(160)," ")),$BI$15:$BI$62,$BL$15:$BL$62),IFERROR(_xlfn.XLOOKUP(TRIM(SUBSTITUTE(U519,CHAR(160)," ")),$BJ$15:$BJ$62,$BL$15:$BL$62),_xlfn.XLOOKUP(TRIM(SUBSTITUTE(U519,CHAR(160)," ")),$BK$15:$BK$62,$BL$15:$BL$62))))*T519*IF(ISBLANK(Q519),1,Q519)+IFERROR(_xlfn.XLOOKUP("RECHERCHEX",TRIM(L519:AC519),L519:AC519),0),0))</f>
        <v/>
      </c>
      <c r="AL519" s="1030">
        <f t="shared" si="212"/>
        <v>0</v>
      </c>
      <c r="AM519" s="5254" t="str">
        <f t="shared" si="227"/>
        <v/>
      </c>
      <c r="AN519" s="1031">
        <f t="shared" si="213"/>
        <v>0</v>
      </c>
      <c r="AO519" s="1031">
        <f t="shared" si="214"/>
        <v>0</v>
      </c>
      <c r="AP519" s="1044">
        <f t="shared" si="215"/>
        <v>0</v>
      </c>
      <c r="AQ519" s="5257" t="str">
        <f t="shared" si="216"/>
        <v/>
      </c>
      <c r="AR519" s="1056"/>
      <c r="AS519" s="1056"/>
      <c r="AT519" s="1045">
        <f t="shared" si="217"/>
        <v>0</v>
      </c>
      <c r="AU519" s="1046">
        <f t="shared" si="218"/>
        <v>0</v>
      </c>
      <c r="AV519" s="1059" cm="1">
        <f t="array" ref="AV519">IF(AJ519&lt;&gt;1,0,IF(OR(AT519="",N(AT519)&lt;=0.000000001),"",IF(OR(AN519="",N(AN519)&lt;=0.000000001),0,IF(ISNUMBER(AT519),IFERROR(_xlfn.LET(_xlpm.ai_test,TRIM(AI519),_xlpm.r,IFERROR(_xlfn.XLOOKUP(_xlpm.ai_test,$BI$15:$BI$62,ROW($BI$15:$BI$62),0,1),IFERROR(_xlfn.XLOOKUP(_xlpm.ai_test,$BJ$15:$BJ$62,ROW($BJ$15:$BJ$62),0,1),_xlfn.XLOOKUP(_xlpm.ai_test,$BK$15:$BK$62,ROW($BK$15:$BK$62),0,1))),_xlpm.p,_xlpm.r-MIN(ROW($BI$15:$BI$62))+1,_xlpm.f,INDEX($BL$15:$BL$62,_xlpm.p),_xlpm.u,INDEX($BM$15:$BM$62,_xlpm.p),_xlpm.s,INDEX($BO$15:$BO$62,_xlpm.p),_xlpm.q,N(AT519)/_xlpm.f,IF(_xlpm.q&gt;=_xlpm.s,ROUND(_xlpm.q,1)&amp;" "&amp;_xlpm.ai_test&amp;" = "&amp;ROUND(_xlpm.q*_xlpm.f,1)&amp;" "&amp;_xlpm.u,ROUND(_xlpm.q,1)&amp;" "&amp;_xlpm.ai_test)),""),""))))</f>
        <v>0</v>
      </c>
      <c r="AW519" s="1047"/>
      <c r="AX519" s="1045">
        <f t="shared" si="219"/>
        <v>0</v>
      </c>
      <c r="AY519" s="1046" t="str">
        <f t="shared" si="220"/>
        <v/>
      </c>
      <c r="AZ519" s="1048">
        <f t="shared" si="225"/>
        <v>0</v>
      </c>
      <c r="BA519" s="1049" t="str">
        <f t="shared" si="221"/>
        <v/>
      </c>
      <c r="BB519" s="1038"/>
      <c r="BC519" s="1050">
        <f t="shared" si="226"/>
        <v>0</v>
      </c>
      <c r="BD519" s="1040" t="str">
        <f t="shared" si="222"/>
        <v/>
      </c>
      <c r="BE519" s="227" t="s">
        <v>22</v>
      </c>
      <c r="BF519" s="1019">
        <f t="shared" si="223"/>
        <v>0</v>
      </c>
      <c r="BG519" s="1020">
        <f t="shared" si="224"/>
        <v>0</v>
      </c>
      <c r="BH519"/>
      <c r="BI519" s="709"/>
      <c r="BJ519" s="709"/>
      <c r="BK519" s="709"/>
      <c r="BL519" s="709"/>
      <c r="BM519" s="709"/>
      <c r="BN519" s="709"/>
      <c r="BO519" s="709"/>
      <c r="BP519" s="709"/>
      <c r="BW519" s="959" t="str">
        <f t="shared" si="228"/>
        <v>►</v>
      </c>
      <c r="BX519" s="856"/>
      <c r="BY519" s="856"/>
      <c r="BZ519" s="856"/>
      <c r="CA519" s="856"/>
      <c r="CB519" s="856"/>
      <c r="DB519" s="3">
        <v>1</v>
      </c>
    </row>
    <row r="520" spans="12:106" ht="21" customHeight="1">
      <c r="L520" s="104" t="s">
        <v>16</v>
      </c>
      <c r="M520" s="1172"/>
      <c r="N520" s="1172"/>
      <c r="O520" s="1172"/>
      <c r="P520" s="1173"/>
      <c r="Q520" s="1174"/>
      <c r="R520" s="1175"/>
      <c r="S520" s="1176"/>
      <c r="T520" s="1177"/>
      <c r="U520" s="5248"/>
      <c r="V520" s="1177"/>
      <c r="W520" s="5249"/>
      <c r="X520" s="5208"/>
      <c r="Y520" s="5209"/>
      <c r="Z520" s="5210"/>
      <c r="AA520" s="5211"/>
      <c r="AB520" s="1178"/>
      <c r="AC520" s="1179"/>
      <c r="AD520" s="227" t="s">
        <v>22</v>
      </c>
      <c r="AE520" s="1027" t="str">
        <f t="shared" si="206"/>
        <v>►</v>
      </c>
      <c r="AF520" s="1028" t="str">
        <f t="shared" si="207"/>
        <v/>
      </c>
      <c r="AG520" s="1029" t="str">
        <f t="shared" si="208"/>
        <v/>
      </c>
      <c r="AH520" s="1028" t="str">
        <f t="shared" si="209"/>
        <v/>
      </c>
      <c r="AI520" s="1029" t="str">
        <f t="shared" si="210"/>
        <v/>
      </c>
      <c r="AJ520" s="1029">
        <f t="shared" si="211"/>
        <v>0</v>
      </c>
      <c r="AK520" s="1043" t="str" cm="1">
        <f t="array" ref="AK520">IF(AE520&lt;&gt;"A","",IFERROR((IFERROR(_xlfn.XLOOKUP(TRIM(SUBSTITUTE(U520,CHAR(160)," ")),$BI$15:$BI$62,$BL$15:$BL$62),IFERROR(_xlfn.XLOOKUP(TRIM(SUBSTITUTE(U520,CHAR(160)," ")),$BJ$15:$BJ$62,$BL$15:$BL$62),_xlfn.XLOOKUP(TRIM(SUBSTITUTE(U520,CHAR(160)," ")),$BK$15:$BK$62,$BL$15:$BL$62))))*T520*IF(ISBLANK(Q520),1,Q520)+IFERROR(_xlfn.XLOOKUP("RECHERCHEX",TRIM(L520:AC520),L520:AC520),0),0))</f>
        <v/>
      </c>
      <c r="AL520" s="1030">
        <f t="shared" si="212"/>
        <v>0</v>
      </c>
      <c r="AM520" s="5254" t="str">
        <f t="shared" si="227"/>
        <v/>
      </c>
      <c r="AN520" s="1031">
        <f t="shared" si="213"/>
        <v>0</v>
      </c>
      <c r="AO520" s="1031">
        <f t="shared" si="214"/>
        <v>0</v>
      </c>
      <c r="AP520" s="1032">
        <f t="shared" si="215"/>
        <v>0</v>
      </c>
      <c r="AQ520" s="5255" t="str">
        <f t="shared" si="216"/>
        <v/>
      </c>
      <c r="AR520" s="1056"/>
      <c r="AS520" s="1056"/>
      <c r="AT520" s="1034">
        <f t="shared" si="217"/>
        <v>0</v>
      </c>
      <c r="AU520" s="1035">
        <f t="shared" si="218"/>
        <v>0</v>
      </c>
      <c r="AV520" s="1057" cm="1">
        <f t="array" ref="AV520">IF(AJ520&lt;&gt;1,0,IF(OR(AT520="",N(AT520)&lt;=0.000000001),"",IF(OR(AN520="",N(AN520)&lt;=0.000000001),0,IF(ISNUMBER(AT520),IFERROR(_xlfn.LET(_xlpm.ai_test,TRIM(AI520),_xlpm.r,IFERROR(_xlfn.XLOOKUP(_xlpm.ai_test,$BI$15:$BI$62,ROW($BI$15:$BI$62),0,1),IFERROR(_xlfn.XLOOKUP(_xlpm.ai_test,$BJ$15:$BJ$62,ROW($BJ$15:$BJ$62),0,1),_xlfn.XLOOKUP(_xlpm.ai_test,$BK$15:$BK$62,ROW($BK$15:$BK$62),0,1))),_xlpm.p,_xlpm.r-MIN(ROW($BI$15:$BI$62))+1,_xlpm.f,INDEX($BL$15:$BL$62,_xlpm.p),_xlpm.u,INDEX($BM$15:$BM$62,_xlpm.p),_xlpm.s,INDEX($BO$15:$BO$62,_xlpm.p),_xlpm.q,N(AT520)/_xlpm.f,IF(_xlpm.q&gt;=_xlpm.s,ROUND(_xlpm.q,1)&amp;" "&amp;_xlpm.ai_test&amp;" = "&amp;ROUND(_xlpm.q*_xlpm.f,1)&amp;" "&amp;_xlpm.u,ROUND(_xlpm.q,1)&amp;" "&amp;_xlpm.ai_test)),""),""))))</f>
        <v>0</v>
      </c>
      <c r="AW520" s="1047"/>
      <c r="AX520" s="1034">
        <f t="shared" si="219"/>
        <v>0</v>
      </c>
      <c r="AY520" s="1035" t="str">
        <f t="shared" si="220"/>
        <v/>
      </c>
      <c r="AZ520" s="1036">
        <f t="shared" si="225"/>
        <v>0</v>
      </c>
      <c r="BA520" s="1037" t="str">
        <f t="shared" si="221"/>
        <v/>
      </c>
      <c r="BB520" s="1038"/>
      <c r="BC520" s="1039">
        <f t="shared" si="226"/>
        <v>0</v>
      </c>
      <c r="BD520" s="1040" t="str">
        <f t="shared" si="222"/>
        <v/>
      </c>
      <c r="BE520" s="227" t="s">
        <v>22</v>
      </c>
      <c r="BF520" s="1019">
        <f t="shared" si="223"/>
        <v>0</v>
      </c>
      <c r="BG520" s="1020">
        <f t="shared" si="224"/>
        <v>0</v>
      </c>
      <c r="BH520"/>
      <c r="BI520" s="709"/>
      <c r="BJ520" s="709"/>
      <c r="BK520" s="709"/>
      <c r="BL520" s="709"/>
      <c r="BM520" s="709"/>
      <c r="BN520" s="709"/>
      <c r="BO520" s="709"/>
      <c r="BP520" s="709"/>
      <c r="BW520" s="959" t="str">
        <f t="shared" si="228"/>
        <v>►</v>
      </c>
      <c r="BX520" s="856"/>
      <c r="BY520" s="856"/>
      <c r="BZ520" s="856"/>
      <c r="CA520" s="856"/>
      <c r="CB520" s="856"/>
      <c r="DB520" s="3">
        <v>1</v>
      </c>
    </row>
    <row r="521" spans="12:106" ht="21" customHeight="1">
      <c r="L521" s="104" t="s">
        <v>16</v>
      </c>
      <c r="M521" s="1172"/>
      <c r="N521" s="1172"/>
      <c r="O521" s="1172"/>
      <c r="P521" s="1173"/>
      <c r="Q521" s="1174"/>
      <c r="R521" s="1175"/>
      <c r="S521" s="1176"/>
      <c r="T521" s="1177"/>
      <c r="U521" s="5248"/>
      <c r="V521" s="1177"/>
      <c r="W521" s="5249"/>
      <c r="X521" s="5208"/>
      <c r="Y521" s="5209"/>
      <c r="Z521" s="5210"/>
      <c r="AA521" s="5211"/>
      <c r="AB521" s="1178"/>
      <c r="AC521" s="1179"/>
      <c r="AD521" s="227" t="s">
        <v>22</v>
      </c>
      <c r="AE521" s="1027" t="str">
        <f t="shared" si="206"/>
        <v>►</v>
      </c>
      <c r="AF521" s="1028" t="str">
        <f t="shared" si="207"/>
        <v/>
      </c>
      <c r="AG521" s="1029" t="str">
        <f t="shared" si="208"/>
        <v/>
      </c>
      <c r="AH521" s="1028" t="str">
        <f t="shared" si="209"/>
        <v/>
      </c>
      <c r="AI521" s="1029" t="str">
        <f t="shared" si="210"/>
        <v/>
      </c>
      <c r="AJ521" s="1029">
        <f t="shared" si="211"/>
        <v>0</v>
      </c>
      <c r="AK521" s="1043" t="str" cm="1">
        <f t="array" ref="AK521">IF(AE521&lt;&gt;"A","",IFERROR((IFERROR(_xlfn.XLOOKUP(TRIM(SUBSTITUTE(U521,CHAR(160)," ")),$BI$15:$BI$62,$BL$15:$BL$62),IFERROR(_xlfn.XLOOKUP(TRIM(SUBSTITUTE(U521,CHAR(160)," ")),$BJ$15:$BJ$62,$BL$15:$BL$62),_xlfn.XLOOKUP(TRIM(SUBSTITUTE(U521,CHAR(160)," ")),$BK$15:$BK$62,$BL$15:$BL$62))))*T521*IF(ISBLANK(Q521),1,Q521)+IFERROR(_xlfn.XLOOKUP("RECHERCHEX",TRIM(L521:AC521),L521:AC521),0),0))</f>
        <v/>
      </c>
      <c r="AL521" s="1030">
        <f t="shared" si="212"/>
        <v>0</v>
      </c>
      <c r="AM521" s="5254" t="str">
        <f t="shared" si="227"/>
        <v/>
      </c>
      <c r="AN521" s="1031">
        <f t="shared" si="213"/>
        <v>0</v>
      </c>
      <c r="AO521" s="1031">
        <f t="shared" si="214"/>
        <v>0</v>
      </c>
      <c r="AP521" s="1044">
        <f t="shared" si="215"/>
        <v>0</v>
      </c>
      <c r="AQ521" s="5257" t="str">
        <f t="shared" si="216"/>
        <v/>
      </c>
      <c r="AR521" s="1056"/>
      <c r="AS521" s="1056"/>
      <c r="AT521" s="1045">
        <f t="shared" si="217"/>
        <v>0</v>
      </c>
      <c r="AU521" s="1046">
        <f t="shared" si="218"/>
        <v>0</v>
      </c>
      <c r="AV521" s="1059" cm="1">
        <f t="array" ref="AV521">IF(AJ521&lt;&gt;1,0,IF(OR(AT521="",N(AT521)&lt;=0.000000001),"",IF(OR(AN521="",N(AN521)&lt;=0.000000001),0,IF(ISNUMBER(AT521),IFERROR(_xlfn.LET(_xlpm.ai_test,TRIM(AI521),_xlpm.r,IFERROR(_xlfn.XLOOKUP(_xlpm.ai_test,$BI$15:$BI$62,ROW($BI$15:$BI$62),0,1),IFERROR(_xlfn.XLOOKUP(_xlpm.ai_test,$BJ$15:$BJ$62,ROW($BJ$15:$BJ$62),0,1),_xlfn.XLOOKUP(_xlpm.ai_test,$BK$15:$BK$62,ROW($BK$15:$BK$62),0,1))),_xlpm.p,_xlpm.r-MIN(ROW($BI$15:$BI$62))+1,_xlpm.f,INDEX($BL$15:$BL$62,_xlpm.p),_xlpm.u,INDEX($BM$15:$BM$62,_xlpm.p),_xlpm.s,INDEX($BO$15:$BO$62,_xlpm.p),_xlpm.q,N(AT521)/_xlpm.f,IF(_xlpm.q&gt;=_xlpm.s,ROUND(_xlpm.q,1)&amp;" "&amp;_xlpm.ai_test&amp;" = "&amp;ROUND(_xlpm.q*_xlpm.f,1)&amp;" "&amp;_xlpm.u,ROUND(_xlpm.q,1)&amp;" "&amp;_xlpm.ai_test)),""),""))))</f>
        <v>0</v>
      </c>
      <c r="AW521" s="1047"/>
      <c r="AX521" s="1045">
        <f t="shared" si="219"/>
        <v>0</v>
      </c>
      <c r="AY521" s="1046" t="str">
        <f t="shared" si="220"/>
        <v/>
      </c>
      <c r="AZ521" s="1048">
        <f t="shared" si="225"/>
        <v>0</v>
      </c>
      <c r="BA521" s="1049" t="str">
        <f t="shared" si="221"/>
        <v/>
      </c>
      <c r="BB521" s="1038"/>
      <c r="BC521" s="1050">
        <f t="shared" si="226"/>
        <v>0</v>
      </c>
      <c r="BD521" s="1040" t="str">
        <f t="shared" si="222"/>
        <v/>
      </c>
      <c r="BE521" s="227" t="s">
        <v>22</v>
      </c>
      <c r="BF521" s="1019">
        <f t="shared" si="223"/>
        <v>0</v>
      </c>
      <c r="BG521" s="1020">
        <f t="shared" si="224"/>
        <v>0</v>
      </c>
      <c r="BH521"/>
      <c r="BI521" s="709"/>
      <c r="BJ521" s="709"/>
      <c r="BK521" s="709"/>
      <c r="BL521" s="709"/>
      <c r="BM521" s="709"/>
      <c r="BN521" s="709"/>
      <c r="BO521" s="709"/>
      <c r="BP521" s="709"/>
      <c r="BW521" s="959" t="str">
        <f t="shared" si="228"/>
        <v>►</v>
      </c>
      <c r="BX521" s="856"/>
      <c r="BY521" s="856"/>
      <c r="BZ521" s="856"/>
      <c r="CA521" s="856"/>
      <c r="CB521" s="856"/>
      <c r="DB521" s="3">
        <v>1</v>
      </c>
    </row>
    <row r="522" spans="12:106" ht="21" customHeight="1">
      <c r="L522" s="104" t="s">
        <v>16</v>
      </c>
      <c r="M522" s="1172"/>
      <c r="N522" s="1172"/>
      <c r="O522" s="1172"/>
      <c r="P522" s="1173"/>
      <c r="Q522" s="1174"/>
      <c r="R522" s="1175"/>
      <c r="S522" s="1176"/>
      <c r="T522" s="1177"/>
      <c r="U522" s="5248"/>
      <c r="V522" s="1177"/>
      <c r="W522" s="5249"/>
      <c r="X522" s="5208"/>
      <c r="Y522" s="5209"/>
      <c r="Z522" s="5210"/>
      <c r="AA522" s="5211"/>
      <c r="AB522" s="1178"/>
      <c r="AC522" s="1179"/>
      <c r="AD522" s="227" t="s">
        <v>22</v>
      </c>
      <c r="AE522" s="1027" t="str">
        <f t="shared" si="206"/>
        <v>►</v>
      </c>
      <c r="AF522" s="1028" t="str">
        <f t="shared" si="207"/>
        <v/>
      </c>
      <c r="AG522" s="1029" t="str">
        <f t="shared" si="208"/>
        <v/>
      </c>
      <c r="AH522" s="1028" t="str">
        <f t="shared" si="209"/>
        <v/>
      </c>
      <c r="AI522" s="1029" t="str">
        <f t="shared" si="210"/>
        <v/>
      </c>
      <c r="AJ522" s="1029">
        <f t="shared" si="211"/>
        <v>0</v>
      </c>
      <c r="AK522" s="1043" t="str" cm="1">
        <f t="array" ref="AK522">IF(AE522&lt;&gt;"A","",IFERROR((IFERROR(_xlfn.XLOOKUP(TRIM(SUBSTITUTE(U522,CHAR(160)," ")),$BI$15:$BI$62,$BL$15:$BL$62),IFERROR(_xlfn.XLOOKUP(TRIM(SUBSTITUTE(U522,CHAR(160)," ")),$BJ$15:$BJ$62,$BL$15:$BL$62),_xlfn.XLOOKUP(TRIM(SUBSTITUTE(U522,CHAR(160)," ")),$BK$15:$BK$62,$BL$15:$BL$62))))*T522*IF(ISBLANK(Q522),1,Q522)+IFERROR(_xlfn.XLOOKUP("RECHERCHEX",TRIM(L522:AC522),L522:AC522),0),0))</f>
        <v/>
      </c>
      <c r="AL522" s="1030">
        <f t="shared" si="212"/>
        <v>0</v>
      </c>
      <c r="AM522" s="5254" t="str">
        <f t="shared" si="227"/>
        <v/>
      </c>
      <c r="AN522" s="1031">
        <f t="shared" si="213"/>
        <v>0</v>
      </c>
      <c r="AO522" s="1031">
        <f t="shared" si="214"/>
        <v>0</v>
      </c>
      <c r="AP522" s="1032">
        <f t="shared" si="215"/>
        <v>0</v>
      </c>
      <c r="AQ522" s="5255" t="str">
        <f t="shared" si="216"/>
        <v/>
      </c>
      <c r="AR522" s="1056"/>
      <c r="AS522" s="1056"/>
      <c r="AT522" s="1034">
        <f t="shared" si="217"/>
        <v>0</v>
      </c>
      <c r="AU522" s="1035">
        <f t="shared" si="218"/>
        <v>0</v>
      </c>
      <c r="AV522" s="1057" cm="1">
        <f t="array" ref="AV522">IF(AJ522&lt;&gt;1,0,IF(OR(AT522="",N(AT522)&lt;=0.000000001),"",IF(OR(AN522="",N(AN522)&lt;=0.000000001),0,IF(ISNUMBER(AT522),IFERROR(_xlfn.LET(_xlpm.ai_test,TRIM(AI522),_xlpm.r,IFERROR(_xlfn.XLOOKUP(_xlpm.ai_test,$BI$15:$BI$62,ROW($BI$15:$BI$62),0,1),IFERROR(_xlfn.XLOOKUP(_xlpm.ai_test,$BJ$15:$BJ$62,ROW($BJ$15:$BJ$62),0,1),_xlfn.XLOOKUP(_xlpm.ai_test,$BK$15:$BK$62,ROW($BK$15:$BK$62),0,1))),_xlpm.p,_xlpm.r-MIN(ROW($BI$15:$BI$62))+1,_xlpm.f,INDEX($BL$15:$BL$62,_xlpm.p),_xlpm.u,INDEX($BM$15:$BM$62,_xlpm.p),_xlpm.s,INDEX($BO$15:$BO$62,_xlpm.p),_xlpm.q,N(AT522)/_xlpm.f,IF(_xlpm.q&gt;=_xlpm.s,ROUND(_xlpm.q,1)&amp;" "&amp;_xlpm.ai_test&amp;" = "&amp;ROUND(_xlpm.q*_xlpm.f,1)&amp;" "&amp;_xlpm.u,ROUND(_xlpm.q,1)&amp;" "&amp;_xlpm.ai_test)),""),""))))</f>
        <v>0</v>
      </c>
      <c r="AW522" s="1047"/>
      <c r="AX522" s="1034">
        <f t="shared" si="219"/>
        <v>0</v>
      </c>
      <c r="AY522" s="1035" t="str">
        <f t="shared" si="220"/>
        <v/>
      </c>
      <c r="AZ522" s="1036">
        <f t="shared" si="225"/>
        <v>0</v>
      </c>
      <c r="BA522" s="1037" t="str">
        <f t="shared" si="221"/>
        <v/>
      </c>
      <c r="BB522" s="1038"/>
      <c r="BC522" s="1039">
        <f t="shared" si="226"/>
        <v>0</v>
      </c>
      <c r="BD522" s="1040" t="str">
        <f t="shared" si="222"/>
        <v/>
      </c>
      <c r="BE522" s="227" t="s">
        <v>22</v>
      </c>
      <c r="BF522" s="1019">
        <f t="shared" si="223"/>
        <v>0</v>
      </c>
      <c r="BG522" s="1020">
        <f t="shared" si="224"/>
        <v>0</v>
      </c>
      <c r="BH522"/>
      <c r="BI522" s="709"/>
      <c r="BJ522" s="709"/>
      <c r="BK522" s="709"/>
      <c r="BL522" s="709"/>
      <c r="BM522" s="709"/>
      <c r="BN522" s="709"/>
      <c r="BO522" s="709"/>
      <c r="BP522" s="709"/>
      <c r="BW522" s="959" t="str">
        <f t="shared" si="228"/>
        <v>►</v>
      </c>
      <c r="BX522" s="856"/>
      <c r="BY522" s="856"/>
      <c r="BZ522" s="856"/>
      <c r="CA522" s="856"/>
      <c r="CB522" s="856"/>
      <c r="DB522" s="3">
        <v>1</v>
      </c>
    </row>
    <row r="523" spans="12:106" ht="21" customHeight="1">
      <c r="L523" s="104" t="s">
        <v>16</v>
      </c>
      <c r="M523" s="1172"/>
      <c r="N523" s="1172"/>
      <c r="O523" s="1172"/>
      <c r="P523" s="1173"/>
      <c r="Q523" s="1174"/>
      <c r="R523" s="1175"/>
      <c r="S523" s="1176"/>
      <c r="T523" s="1177"/>
      <c r="U523" s="5248"/>
      <c r="V523" s="1177"/>
      <c r="W523" s="5249"/>
      <c r="X523" s="5208"/>
      <c r="Y523" s="5209"/>
      <c r="Z523" s="5210"/>
      <c r="AA523" s="5211"/>
      <c r="AB523" s="1178"/>
      <c r="AC523" s="1179"/>
      <c r="AD523" s="227" t="s">
        <v>22</v>
      </c>
      <c r="AE523" s="1027" t="str">
        <f t="shared" si="206"/>
        <v>►</v>
      </c>
      <c r="AF523" s="1028" t="str">
        <f t="shared" si="207"/>
        <v/>
      </c>
      <c r="AG523" s="1029" t="str">
        <f t="shared" si="208"/>
        <v/>
      </c>
      <c r="AH523" s="1028" t="str">
        <f t="shared" si="209"/>
        <v/>
      </c>
      <c r="AI523" s="1029" t="str">
        <f t="shared" si="210"/>
        <v/>
      </c>
      <c r="AJ523" s="1029">
        <f t="shared" si="211"/>
        <v>0</v>
      </c>
      <c r="AK523" s="1043" t="str" cm="1">
        <f t="array" ref="AK523">IF(AE523&lt;&gt;"A","",IFERROR((IFERROR(_xlfn.XLOOKUP(TRIM(SUBSTITUTE(U523,CHAR(160)," ")),$BI$15:$BI$62,$BL$15:$BL$62),IFERROR(_xlfn.XLOOKUP(TRIM(SUBSTITUTE(U523,CHAR(160)," ")),$BJ$15:$BJ$62,$BL$15:$BL$62),_xlfn.XLOOKUP(TRIM(SUBSTITUTE(U523,CHAR(160)," ")),$BK$15:$BK$62,$BL$15:$BL$62))))*T523*IF(ISBLANK(Q523),1,Q523)+IFERROR(_xlfn.XLOOKUP("RECHERCHEX",TRIM(L523:AC523),L523:AC523),0),0))</f>
        <v/>
      </c>
      <c r="AL523" s="1030">
        <f t="shared" si="212"/>
        <v>0</v>
      </c>
      <c r="AM523" s="5254" t="str">
        <f t="shared" si="227"/>
        <v/>
      </c>
      <c r="AN523" s="1031">
        <f t="shared" si="213"/>
        <v>0</v>
      </c>
      <c r="AO523" s="1031">
        <f t="shared" si="214"/>
        <v>0</v>
      </c>
      <c r="AP523" s="1044">
        <f t="shared" si="215"/>
        <v>0</v>
      </c>
      <c r="AQ523" s="5257" t="str">
        <f t="shared" si="216"/>
        <v/>
      </c>
      <c r="AR523" s="1056"/>
      <c r="AS523" s="1056"/>
      <c r="AT523" s="1045">
        <f t="shared" si="217"/>
        <v>0</v>
      </c>
      <c r="AU523" s="1046">
        <f t="shared" si="218"/>
        <v>0</v>
      </c>
      <c r="AV523" s="1059" cm="1">
        <f t="array" ref="AV523">IF(AJ523&lt;&gt;1,0,IF(OR(AT523="",N(AT523)&lt;=0.000000001),"",IF(OR(AN523="",N(AN523)&lt;=0.000000001),0,IF(ISNUMBER(AT523),IFERROR(_xlfn.LET(_xlpm.ai_test,TRIM(AI523),_xlpm.r,IFERROR(_xlfn.XLOOKUP(_xlpm.ai_test,$BI$15:$BI$62,ROW($BI$15:$BI$62),0,1),IFERROR(_xlfn.XLOOKUP(_xlpm.ai_test,$BJ$15:$BJ$62,ROW($BJ$15:$BJ$62),0,1),_xlfn.XLOOKUP(_xlpm.ai_test,$BK$15:$BK$62,ROW($BK$15:$BK$62),0,1))),_xlpm.p,_xlpm.r-MIN(ROW($BI$15:$BI$62))+1,_xlpm.f,INDEX($BL$15:$BL$62,_xlpm.p),_xlpm.u,INDEX($BM$15:$BM$62,_xlpm.p),_xlpm.s,INDEX($BO$15:$BO$62,_xlpm.p),_xlpm.q,N(AT523)/_xlpm.f,IF(_xlpm.q&gt;=_xlpm.s,ROUND(_xlpm.q,1)&amp;" "&amp;_xlpm.ai_test&amp;" = "&amp;ROUND(_xlpm.q*_xlpm.f,1)&amp;" "&amp;_xlpm.u,ROUND(_xlpm.q,1)&amp;" "&amp;_xlpm.ai_test)),""),""))))</f>
        <v>0</v>
      </c>
      <c r="AW523" s="1047"/>
      <c r="AX523" s="1045">
        <f t="shared" si="219"/>
        <v>0</v>
      </c>
      <c r="AY523" s="1046" t="str">
        <f t="shared" si="220"/>
        <v/>
      </c>
      <c r="AZ523" s="1048">
        <f t="shared" si="225"/>
        <v>0</v>
      </c>
      <c r="BA523" s="1049" t="str">
        <f t="shared" si="221"/>
        <v/>
      </c>
      <c r="BB523" s="1038"/>
      <c r="BC523" s="1050">
        <f t="shared" si="226"/>
        <v>0</v>
      </c>
      <c r="BD523" s="1040" t="str">
        <f t="shared" si="222"/>
        <v/>
      </c>
      <c r="BE523" s="227" t="s">
        <v>22</v>
      </c>
      <c r="BF523" s="1019">
        <f t="shared" si="223"/>
        <v>0</v>
      </c>
      <c r="BG523" s="1020">
        <f t="shared" si="224"/>
        <v>0</v>
      </c>
      <c r="BH523"/>
      <c r="BI523" s="709"/>
      <c r="BJ523" s="709"/>
      <c r="BK523" s="709"/>
      <c r="BL523" s="709"/>
      <c r="BM523" s="709"/>
      <c r="BN523" s="709"/>
      <c r="BO523" s="709"/>
      <c r="BP523" s="709"/>
      <c r="BW523" s="959" t="str">
        <f t="shared" si="228"/>
        <v>►</v>
      </c>
      <c r="BX523" s="856"/>
      <c r="BY523" s="856"/>
      <c r="BZ523" s="856"/>
      <c r="CA523" s="856"/>
      <c r="CB523" s="856"/>
      <c r="DB523" s="3">
        <v>1</v>
      </c>
    </row>
    <row r="524" spans="12:106" ht="21" customHeight="1">
      <c r="L524" s="104" t="s">
        <v>16</v>
      </c>
      <c r="M524" s="1172"/>
      <c r="N524" s="1172"/>
      <c r="O524" s="1172"/>
      <c r="P524" s="1173"/>
      <c r="Q524" s="1174"/>
      <c r="R524" s="1175"/>
      <c r="S524" s="1176"/>
      <c r="T524" s="1177"/>
      <c r="U524" s="5248"/>
      <c r="V524" s="1177"/>
      <c r="W524" s="5249"/>
      <c r="X524" s="5208"/>
      <c r="Y524" s="5209"/>
      <c r="Z524" s="5210"/>
      <c r="AA524" s="5211"/>
      <c r="AB524" s="1178"/>
      <c r="AC524" s="1179"/>
      <c r="AD524" s="227" t="s">
        <v>22</v>
      </c>
      <c r="AE524" s="1027" t="str">
        <f t="shared" si="206"/>
        <v>►</v>
      </c>
      <c r="AF524" s="1028" t="str">
        <f t="shared" si="207"/>
        <v/>
      </c>
      <c r="AG524" s="1029" t="str">
        <f t="shared" si="208"/>
        <v/>
      </c>
      <c r="AH524" s="1028" t="str">
        <f t="shared" si="209"/>
        <v/>
      </c>
      <c r="AI524" s="1029" t="str">
        <f t="shared" si="210"/>
        <v/>
      </c>
      <c r="AJ524" s="1029">
        <f t="shared" si="211"/>
        <v>0</v>
      </c>
      <c r="AK524" s="1043" t="str" cm="1">
        <f t="array" ref="AK524">IF(AE524&lt;&gt;"A","",IFERROR((IFERROR(_xlfn.XLOOKUP(TRIM(SUBSTITUTE(U524,CHAR(160)," ")),$BI$15:$BI$62,$BL$15:$BL$62),IFERROR(_xlfn.XLOOKUP(TRIM(SUBSTITUTE(U524,CHAR(160)," ")),$BJ$15:$BJ$62,$BL$15:$BL$62),_xlfn.XLOOKUP(TRIM(SUBSTITUTE(U524,CHAR(160)," ")),$BK$15:$BK$62,$BL$15:$BL$62))))*T524*IF(ISBLANK(Q524),1,Q524)+IFERROR(_xlfn.XLOOKUP("RECHERCHEX",TRIM(L524:AC524),L524:AC524),0),0))</f>
        <v/>
      </c>
      <c r="AL524" s="1030">
        <f t="shared" si="212"/>
        <v>0</v>
      </c>
      <c r="AM524" s="5254" t="str">
        <f t="shared" si="227"/>
        <v/>
      </c>
      <c r="AN524" s="1031">
        <f t="shared" si="213"/>
        <v>0</v>
      </c>
      <c r="AO524" s="1031">
        <f t="shared" si="214"/>
        <v>0</v>
      </c>
      <c r="AP524" s="1032">
        <f t="shared" si="215"/>
        <v>0</v>
      </c>
      <c r="AQ524" s="5255" t="str">
        <f t="shared" si="216"/>
        <v/>
      </c>
      <c r="AR524" s="1056"/>
      <c r="AS524" s="1056"/>
      <c r="AT524" s="1034">
        <f t="shared" si="217"/>
        <v>0</v>
      </c>
      <c r="AU524" s="1035">
        <f t="shared" si="218"/>
        <v>0</v>
      </c>
      <c r="AV524" s="1057" cm="1">
        <f t="array" ref="AV524">IF(AJ524&lt;&gt;1,0,IF(OR(AT524="",N(AT524)&lt;=0.000000001),"",IF(OR(AN524="",N(AN524)&lt;=0.000000001),0,IF(ISNUMBER(AT524),IFERROR(_xlfn.LET(_xlpm.ai_test,TRIM(AI524),_xlpm.r,IFERROR(_xlfn.XLOOKUP(_xlpm.ai_test,$BI$15:$BI$62,ROW($BI$15:$BI$62),0,1),IFERROR(_xlfn.XLOOKUP(_xlpm.ai_test,$BJ$15:$BJ$62,ROW($BJ$15:$BJ$62),0,1),_xlfn.XLOOKUP(_xlpm.ai_test,$BK$15:$BK$62,ROW($BK$15:$BK$62),0,1))),_xlpm.p,_xlpm.r-MIN(ROW($BI$15:$BI$62))+1,_xlpm.f,INDEX($BL$15:$BL$62,_xlpm.p),_xlpm.u,INDEX($BM$15:$BM$62,_xlpm.p),_xlpm.s,INDEX($BO$15:$BO$62,_xlpm.p),_xlpm.q,N(AT524)/_xlpm.f,IF(_xlpm.q&gt;=_xlpm.s,ROUND(_xlpm.q,1)&amp;" "&amp;_xlpm.ai_test&amp;" = "&amp;ROUND(_xlpm.q*_xlpm.f,1)&amp;" "&amp;_xlpm.u,ROUND(_xlpm.q,1)&amp;" "&amp;_xlpm.ai_test)),""),""))))</f>
        <v>0</v>
      </c>
      <c r="AW524" s="1047"/>
      <c r="AX524" s="1034">
        <f t="shared" si="219"/>
        <v>0</v>
      </c>
      <c r="AY524" s="1035" t="str">
        <f t="shared" si="220"/>
        <v/>
      </c>
      <c r="AZ524" s="1036">
        <f t="shared" si="225"/>
        <v>0</v>
      </c>
      <c r="BA524" s="1037" t="str">
        <f t="shared" si="221"/>
        <v/>
      </c>
      <c r="BB524" s="1038"/>
      <c r="BC524" s="1039">
        <f t="shared" si="226"/>
        <v>0</v>
      </c>
      <c r="BD524" s="1040" t="str">
        <f t="shared" si="222"/>
        <v/>
      </c>
      <c r="BE524" s="227" t="s">
        <v>22</v>
      </c>
      <c r="BF524" s="1019">
        <f t="shared" si="223"/>
        <v>0</v>
      </c>
      <c r="BG524" s="1020">
        <f t="shared" si="224"/>
        <v>0</v>
      </c>
      <c r="BH524"/>
      <c r="BI524" s="709"/>
      <c r="BJ524" s="709"/>
      <c r="BK524" s="709"/>
      <c r="BL524" s="709"/>
      <c r="BM524" s="709"/>
      <c r="BN524" s="709"/>
      <c r="BO524" s="709"/>
      <c r="BP524" s="709"/>
      <c r="BW524" s="959" t="str">
        <f t="shared" si="228"/>
        <v>►</v>
      </c>
      <c r="BX524" s="856"/>
      <c r="BY524" s="856"/>
      <c r="BZ524" s="856"/>
      <c r="CA524" s="856"/>
      <c r="CB524" s="856"/>
      <c r="DB524" s="3">
        <v>1</v>
      </c>
    </row>
    <row r="525" spans="12:106" ht="21" customHeight="1">
      <c r="L525" s="104" t="s">
        <v>16</v>
      </c>
      <c r="M525" s="1172"/>
      <c r="N525" s="1172"/>
      <c r="O525" s="1172"/>
      <c r="P525" s="1173"/>
      <c r="Q525" s="1174"/>
      <c r="R525" s="1175"/>
      <c r="S525" s="1176"/>
      <c r="T525" s="1177"/>
      <c r="U525" s="5248"/>
      <c r="V525" s="1177"/>
      <c r="W525" s="5249"/>
      <c r="X525" s="5208"/>
      <c r="Y525" s="5209"/>
      <c r="Z525" s="5210"/>
      <c r="AA525" s="5211"/>
      <c r="AB525" s="1178"/>
      <c r="AC525" s="1179"/>
      <c r="AD525" s="227" t="s">
        <v>22</v>
      </c>
      <c r="AE525" s="1027" t="str">
        <f t="shared" si="206"/>
        <v>►</v>
      </c>
      <c r="AF525" s="1028" t="str">
        <f t="shared" si="207"/>
        <v/>
      </c>
      <c r="AG525" s="1029" t="str">
        <f t="shared" si="208"/>
        <v/>
      </c>
      <c r="AH525" s="1028" t="str">
        <f t="shared" si="209"/>
        <v/>
      </c>
      <c r="AI525" s="1029" t="str">
        <f t="shared" si="210"/>
        <v/>
      </c>
      <c r="AJ525" s="1029">
        <f t="shared" si="211"/>
        <v>0</v>
      </c>
      <c r="AK525" s="1043" t="str" cm="1">
        <f t="array" ref="AK525">IF(AE525&lt;&gt;"A","",IFERROR((IFERROR(_xlfn.XLOOKUP(TRIM(SUBSTITUTE(U525,CHAR(160)," ")),$BI$15:$BI$62,$BL$15:$BL$62),IFERROR(_xlfn.XLOOKUP(TRIM(SUBSTITUTE(U525,CHAR(160)," ")),$BJ$15:$BJ$62,$BL$15:$BL$62),_xlfn.XLOOKUP(TRIM(SUBSTITUTE(U525,CHAR(160)," ")),$BK$15:$BK$62,$BL$15:$BL$62))))*T525*IF(ISBLANK(Q525),1,Q525)+IFERROR(_xlfn.XLOOKUP("RECHERCHEX",TRIM(L525:AC525),L525:AC525),0),0))</f>
        <v/>
      </c>
      <c r="AL525" s="1030">
        <f t="shared" si="212"/>
        <v>0</v>
      </c>
      <c r="AM525" s="5254" t="str">
        <f t="shared" si="227"/>
        <v/>
      </c>
      <c r="AN525" s="1031">
        <f t="shared" si="213"/>
        <v>0</v>
      </c>
      <c r="AO525" s="1031">
        <f t="shared" si="214"/>
        <v>0</v>
      </c>
      <c r="AP525" s="1044">
        <f t="shared" si="215"/>
        <v>0</v>
      </c>
      <c r="AQ525" s="5257" t="str">
        <f t="shared" si="216"/>
        <v/>
      </c>
      <c r="AR525" s="1056"/>
      <c r="AS525" s="1056"/>
      <c r="AT525" s="1045">
        <f t="shared" si="217"/>
        <v>0</v>
      </c>
      <c r="AU525" s="1046">
        <f t="shared" si="218"/>
        <v>0</v>
      </c>
      <c r="AV525" s="1059" cm="1">
        <f t="array" ref="AV525">IF(AJ525&lt;&gt;1,0,IF(OR(AT525="",N(AT525)&lt;=0.000000001),"",IF(OR(AN525="",N(AN525)&lt;=0.000000001),0,IF(ISNUMBER(AT525),IFERROR(_xlfn.LET(_xlpm.ai_test,TRIM(AI525),_xlpm.r,IFERROR(_xlfn.XLOOKUP(_xlpm.ai_test,$BI$15:$BI$62,ROW($BI$15:$BI$62),0,1),IFERROR(_xlfn.XLOOKUP(_xlpm.ai_test,$BJ$15:$BJ$62,ROW($BJ$15:$BJ$62),0,1),_xlfn.XLOOKUP(_xlpm.ai_test,$BK$15:$BK$62,ROW($BK$15:$BK$62),0,1))),_xlpm.p,_xlpm.r-MIN(ROW($BI$15:$BI$62))+1,_xlpm.f,INDEX($BL$15:$BL$62,_xlpm.p),_xlpm.u,INDEX($BM$15:$BM$62,_xlpm.p),_xlpm.s,INDEX($BO$15:$BO$62,_xlpm.p),_xlpm.q,N(AT525)/_xlpm.f,IF(_xlpm.q&gt;=_xlpm.s,ROUND(_xlpm.q,1)&amp;" "&amp;_xlpm.ai_test&amp;" = "&amp;ROUND(_xlpm.q*_xlpm.f,1)&amp;" "&amp;_xlpm.u,ROUND(_xlpm.q,1)&amp;" "&amp;_xlpm.ai_test)),""),""))))</f>
        <v>0</v>
      </c>
      <c r="AW525" s="1047"/>
      <c r="AX525" s="1045">
        <f t="shared" si="219"/>
        <v>0</v>
      </c>
      <c r="AY525" s="1046" t="str">
        <f t="shared" si="220"/>
        <v/>
      </c>
      <c r="AZ525" s="1048">
        <f t="shared" si="225"/>
        <v>0</v>
      </c>
      <c r="BA525" s="1049" t="str">
        <f t="shared" si="221"/>
        <v/>
      </c>
      <c r="BB525" s="1038"/>
      <c r="BC525" s="1050">
        <f t="shared" si="226"/>
        <v>0</v>
      </c>
      <c r="BD525" s="1040" t="str">
        <f t="shared" si="222"/>
        <v/>
      </c>
      <c r="BE525" s="227" t="s">
        <v>22</v>
      </c>
      <c r="BF525" s="1019">
        <f t="shared" si="223"/>
        <v>0</v>
      </c>
      <c r="BG525" s="1020">
        <f t="shared" si="224"/>
        <v>0</v>
      </c>
      <c r="BH525"/>
      <c r="BI525" s="709"/>
      <c r="BJ525" s="709"/>
      <c r="BK525" s="709"/>
      <c r="BL525" s="709"/>
      <c r="BM525" s="709"/>
      <c r="BN525" s="709"/>
      <c r="BO525" s="709"/>
      <c r="BP525" s="709"/>
      <c r="BW525" s="959" t="str">
        <f t="shared" si="228"/>
        <v>►</v>
      </c>
      <c r="BX525" s="856"/>
      <c r="BY525" s="856"/>
      <c r="BZ525" s="856"/>
      <c r="CA525" s="856"/>
      <c r="CB525" s="856"/>
      <c r="DB525" s="3">
        <v>1</v>
      </c>
    </row>
    <row r="526" spans="12:106" ht="21" customHeight="1">
      <c r="L526" s="104" t="s">
        <v>16</v>
      </c>
      <c r="M526" s="1172"/>
      <c r="N526" s="1172"/>
      <c r="O526" s="1172"/>
      <c r="P526" s="1173"/>
      <c r="Q526" s="1174"/>
      <c r="R526" s="1175"/>
      <c r="S526" s="1176"/>
      <c r="T526" s="1177"/>
      <c r="U526" s="5248"/>
      <c r="V526" s="1177"/>
      <c r="W526" s="5249"/>
      <c r="X526" s="5208"/>
      <c r="Y526" s="5209"/>
      <c r="Z526" s="5210"/>
      <c r="AA526" s="5211"/>
      <c r="AB526" s="1178"/>
      <c r="AC526" s="1179"/>
      <c r="AD526" s="227" t="s">
        <v>22</v>
      </c>
      <c r="AE526" s="1027" t="str">
        <f t="shared" si="206"/>
        <v>►</v>
      </c>
      <c r="AF526" s="1028" t="str">
        <f t="shared" si="207"/>
        <v/>
      </c>
      <c r="AG526" s="1029" t="str">
        <f t="shared" si="208"/>
        <v/>
      </c>
      <c r="AH526" s="1028" t="str">
        <f t="shared" si="209"/>
        <v/>
      </c>
      <c r="AI526" s="1029" t="str">
        <f t="shared" si="210"/>
        <v/>
      </c>
      <c r="AJ526" s="1029">
        <f t="shared" si="211"/>
        <v>0</v>
      </c>
      <c r="AK526" s="1043" t="str" cm="1">
        <f t="array" ref="AK526">IF(AE526&lt;&gt;"A","",IFERROR((IFERROR(_xlfn.XLOOKUP(TRIM(SUBSTITUTE(U526,CHAR(160)," ")),$BI$15:$BI$62,$BL$15:$BL$62),IFERROR(_xlfn.XLOOKUP(TRIM(SUBSTITUTE(U526,CHAR(160)," ")),$BJ$15:$BJ$62,$BL$15:$BL$62),_xlfn.XLOOKUP(TRIM(SUBSTITUTE(U526,CHAR(160)," ")),$BK$15:$BK$62,$BL$15:$BL$62))))*T526*IF(ISBLANK(Q526),1,Q526)+IFERROR(_xlfn.XLOOKUP("RECHERCHEX",TRIM(L526:AC526),L526:AC526),0),0))</f>
        <v/>
      </c>
      <c r="AL526" s="1030">
        <f t="shared" si="212"/>
        <v>0</v>
      </c>
      <c r="AM526" s="5254" t="str">
        <f t="shared" si="227"/>
        <v/>
      </c>
      <c r="AN526" s="1031">
        <f t="shared" si="213"/>
        <v>0</v>
      </c>
      <c r="AO526" s="1031">
        <f t="shared" si="214"/>
        <v>0</v>
      </c>
      <c r="AP526" s="1032">
        <f t="shared" si="215"/>
        <v>0</v>
      </c>
      <c r="AQ526" s="5255" t="str">
        <f t="shared" si="216"/>
        <v/>
      </c>
      <c r="AR526" s="1056"/>
      <c r="AS526" s="1056"/>
      <c r="AT526" s="1034">
        <f t="shared" si="217"/>
        <v>0</v>
      </c>
      <c r="AU526" s="1035">
        <f t="shared" si="218"/>
        <v>0</v>
      </c>
      <c r="AV526" s="1057" cm="1">
        <f t="array" ref="AV526">IF(AJ526&lt;&gt;1,0,IF(OR(AT526="",N(AT526)&lt;=0.000000001),"",IF(OR(AN526="",N(AN526)&lt;=0.000000001),0,IF(ISNUMBER(AT526),IFERROR(_xlfn.LET(_xlpm.ai_test,TRIM(AI526),_xlpm.r,IFERROR(_xlfn.XLOOKUP(_xlpm.ai_test,$BI$15:$BI$62,ROW($BI$15:$BI$62),0,1),IFERROR(_xlfn.XLOOKUP(_xlpm.ai_test,$BJ$15:$BJ$62,ROW($BJ$15:$BJ$62),0,1),_xlfn.XLOOKUP(_xlpm.ai_test,$BK$15:$BK$62,ROW($BK$15:$BK$62),0,1))),_xlpm.p,_xlpm.r-MIN(ROW($BI$15:$BI$62))+1,_xlpm.f,INDEX($BL$15:$BL$62,_xlpm.p),_xlpm.u,INDEX($BM$15:$BM$62,_xlpm.p),_xlpm.s,INDEX($BO$15:$BO$62,_xlpm.p),_xlpm.q,N(AT526)/_xlpm.f,IF(_xlpm.q&gt;=_xlpm.s,ROUND(_xlpm.q,1)&amp;" "&amp;_xlpm.ai_test&amp;" = "&amp;ROUND(_xlpm.q*_xlpm.f,1)&amp;" "&amp;_xlpm.u,ROUND(_xlpm.q,1)&amp;" "&amp;_xlpm.ai_test)),""),""))))</f>
        <v>0</v>
      </c>
      <c r="AW526" s="1047"/>
      <c r="AX526" s="1034">
        <f t="shared" si="219"/>
        <v>0</v>
      </c>
      <c r="AY526" s="1035" t="str">
        <f t="shared" si="220"/>
        <v/>
      </c>
      <c r="AZ526" s="1036">
        <f t="shared" si="225"/>
        <v>0</v>
      </c>
      <c r="BA526" s="1037" t="str">
        <f t="shared" si="221"/>
        <v/>
      </c>
      <c r="BB526" s="1038"/>
      <c r="BC526" s="1039">
        <f t="shared" si="226"/>
        <v>0</v>
      </c>
      <c r="BD526" s="1040" t="str">
        <f t="shared" si="222"/>
        <v/>
      </c>
      <c r="BE526" s="227" t="s">
        <v>22</v>
      </c>
      <c r="BF526" s="1019">
        <f t="shared" si="223"/>
        <v>0</v>
      </c>
      <c r="BG526" s="1020">
        <f t="shared" si="224"/>
        <v>0</v>
      </c>
      <c r="BH526"/>
      <c r="BI526" s="709"/>
      <c r="BJ526" s="709"/>
      <c r="BK526" s="709"/>
      <c r="BL526" s="709"/>
      <c r="BM526" s="709"/>
      <c r="BN526" s="709"/>
      <c r="BO526" s="709"/>
      <c r="BP526" s="709"/>
      <c r="BW526" s="959" t="str">
        <f t="shared" si="228"/>
        <v>►</v>
      </c>
      <c r="BX526" s="856"/>
      <c r="BY526" s="856"/>
      <c r="BZ526" s="856"/>
      <c r="CA526" s="856"/>
      <c r="CB526" s="856"/>
      <c r="DB526" s="3">
        <v>1</v>
      </c>
    </row>
    <row r="527" spans="12:106" ht="21" customHeight="1">
      <c r="L527" s="104" t="s">
        <v>16</v>
      </c>
      <c r="M527" s="1172"/>
      <c r="N527" s="1172"/>
      <c r="O527" s="1172"/>
      <c r="P527" s="1173"/>
      <c r="Q527" s="1174"/>
      <c r="R527" s="1175"/>
      <c r="S527" s="1176"/>
      <c r="T527" s="1177"/>
      <c r="U527" s="5248"/>
      <c r="V527" s="1177"/>
      <c r="W527" s="5249"/>
      <c r="X527" s="5208"/>
      <c r="Y527" s="5209"/>
      <c r="Z527" s="5210"/>
      <c r="AA527" s="5211"/>
      <c r="AB527" s="1178"/>
      <c r="AC527" s="1179"/>
      <c r="AD527" s="227" t="s">
        <v>22</v>
      </c>
      <c r="AE527" s="1027" t="str">
        <f t="shared" si="206"/>
        <v>►</v>
      </c>
      <c r="AF527" s="1028" t="str">
        <f t="shared" si="207"/>
        <v/>
      </c>
      <c r="AG527" s="1029" t="str">
        <f t="shared" si="208"/>
        <v/>
      </c>
      <c r="AH527" s="1028" t="str">
        <f t="shared" si="209"/>
        <v/>
      </c>
      <c r="AI527" s="1029" t="str">
        <f t="shared" si="210"/>
        <v/>
      </c>
      <c r="AJ527" s="1029">
        <f t="shared" si="211"/>
        <v>0</v>
      </c>
      <c r="AK527" s="1043" t="str" cm="1">
        <f t="array" ref="AK527">IF(AE527&lt;&gt;"A","",IFERROR((IFERROR(_xlfn.XLOOKUP(TRIM(SUBSTITUTE(U527,CHAR(160)," ")),$BI$15:$BI$62,$BL$15:$BL$62),IFERROR(_xlfn.XLOOKUP(TRIM(SUBSTITUTE(U527,CHAR(160)," ")),$BJ$15:$BJ$62,$BL$15:$BL$62),_xlfn.XLOOKUP(TRIM(SUBSTITUTE(U527,CHAR(160)," ")),$BK$15:$BK$62,$BL$15:$BL$62))))*T527*IF(ISBLANK(Q527),1,Q527)+IFERROR(_xlfn.XLOOKUP("RECHERCHEX",TRIM(L527:AC527),L527:AC527),0),0))</f>
        <v/>
      </c>
      <c r="AL527" s="1030">
        <f t="shared" si="212"/>
        <v>0</v>
      </c>
      <c r="AM527" s="5254" t="str">
        <f t="shared" si="227"/>
        <v/>
      </c>
      <c r="AN527" s="1031">
        <f t="shared" si="213"/>
        <v>0</v>
      </c>
      <c r="AO527" s="1031">
        <f t="shared" si="214"/>
        <v>0</v>
      </c>
      <c r="AP527" s="1044">
        <f t="shared" si="215"/>
        <v>0</v>
      </c>
      <c r="AQ527" s="5257" t="str">
        <f t="shared" si="216"/>
        <v/>
      </c>
      <c r="AR527" s="1056"/>
      <c r="AS527" s="1056"/>
      <c r="AT527" s="1045">
        <f t="shared" si="217"/>
        <v>0</v>
      </c>
      <c r="AU527" s="1046">
        <f t="shared" si="218"/>
        <v>0</v>
      </c>
      <c r="AV527" s="1059" cm="1">
        <f t="array" ref="AV527">IF(AJ527&lt;&gt;1,0,IF(OR(AT527="",N(AT527)&lt;=0.000000001),"",IF(OR(AN527="",N(AN527)&lt;=0.000000001),0,IF(ISNUMBER(AT527),IFERROR(_xlfn.LET(_xlpm.ai_test,TRIM(AI527),_xlpm.r,IFERROR(_xlfn.XLOOKUP(_xlpm.ai_test,$BI$15:$BI$62,ROW($BI$15:$BI$62),0,1),IFERROR(_xlfn.XLOOKUP(_xlpm.ai_test,$BJ$15:$BJ$62,ROW($BJ$15:$BJ$62),0,1),_xlfn.XLOOKUP(_xlpm.ai_test,$BK$15:$BK$62,ROW($BK$15:$BK$62),0,1))),_xlpm.p,_xlpm.r-MIN(ROW($BI$15:$BI$62))+1,_xlpm.f,INDEX($BL$15:$BL$62,_xlpm.p),_xlpm.u,INDEX($BM$15:$BM$62,_xlpm.p),_xlpm.s,INDEX($BO$15:$BO$62,_xlpm.p),_xlpm.q,N(AT527)/_xlpm.f,IF(_xlpm.q&gt;=_xlpm.s,ROUND(_xlpm.q,1)&amp;" "&amp;_xlpm.ai_test&amp;" = "&amp;ROUND(_xlpm.q*_xlpm.f,1)&amp;" "&amp;_xlpm.u,ROUND(_xlpm.q,1)&amp;" "&amp;_xlpm.ai_test)),""),""))))</f>
        <v>0</v>
      </c>
      <c r="AW527" s="1047"/>
      <c r="AX527" s="1045">
        <f t="shared" si="219"/>
        <v>0</v>
      </c>
      <c r="AY527" s="1046" t="str">
        <f t="shared" si="220"/>
        <v/>
      </c>
      <c r="AZ527" s="1048">
        <f t="shared" si="225"/>
        <v>0</v>
      </c>
      <c r="BA527" s="1049" t="str">
        <f t="shared" si="221"/>
        <v/>
      </c>
      <c r="BB527" s="1038"/>
      <c r="BC527" s="1050">
        <f t="shared" si="226"/>
        <v>0</v>
      </c>
      <c r="BD527" s="1040" t="str">
        <f t="shared" si="222"/>
        <v/>
      </c>
      <c r="BE527" s="227" t="s">
        <v>22</v>
      </c>
      <c r="BF527" s="1019">
        <f t="shared" si="223"/>
        <v>0</v>
      </c>
      <c r="BG527" s="1020">
        <f t="shared" si="224"/>
        <v>0</v>
      </c>
      <c r="BH527"/>
      <c r="BI527" s="709"/>
      <c r="BJ527" s="709"/>
      <c r="BK527" s="709"/>
      <c r="BL527" s="709"/>
      <c r="BM527" s="709"/>
      <c r="BN527" s="709"/>
      <c r="BO527" s="709"/>
      <c r="BP527" s="709"/>
      <c r="BW527" s="959" t="str">
        <f t="shared" si="228"/>
        <v>►</v>
      </c>
      <c r="BX527" s="856"/>
      <c r="BY527" s="856"/>
      <c r="BZ527" s="856"/>
      <c r="CA527" s="856"/>
      <c r="CB527" s="856"/>
      <c r="DB527" s="3">
        <v>1</v>
      </c>
    </row>
    <row r="528" spans="12:106" ht="21" customHeight="1">
      <c r="L528" s="104" t="s">
        <v>16</v>
      </c>
      <c r="M528" s="1172"/>
      <c r="N528" s="1172"/>
      <c r="O528" s="1172"/>
      <c r="P528" s="1173"/>
      <c r="Q528" s="1174"/>
      <c r="R528" s="1175"/>
      <c r="S528" s="1176"/>
      <c r="T528" s="1177"/>
      <c r="U528" s="5248"/>
      <c r="V528" s="1177"/>
      <c r="W528" s="5249"/>
      <c r="X528" s="5208"/>
      <c r="Y528" s="5209"/>
      <c r="Z528" s="5210"/>
      <c r="AA528" s="5211"/>
      <c r="AB528" s="1178"/>
      <c r="AC528" s="1179"/>
      <c r="AD528" s="227" t="s">
        <v>22</v>
      </c>
      <c r="AE528" s="1027" t="str">
        <f t="shared" si="206"/>
        <v>►</v>
      </c>
      <c r="AF528" s="1028" t="str">
        <f t="shared" si="207"/>
        <v/>
      </c>
      <c r="AG528" s="1029" t="str">
        <f t="shared" si="208"/>
        <v/>
      </c>
      <c r="AH528" s="1028" t="str">
        <f t="shared" si="209"/>
        <v/>
      </c>
      <c r="AI528" s="1029" t="str">
        <f t="shared" si="210"/>
        <v/>
      </c>
      <c r="AJ528" s="1029">
        <f t="shared" si="211"/>
        <v>0</v>
      </c>
      <c r="AK528" s="1043" t="str" cm="1">
        <f t="array" ref="AK528">IF(AE528&lt;&gt;"A","",IFERROR((IFERROR(_xlfn.XLOOKUP(TRIM(SUBSTITUTE(U528,CHAR(160)," ")),$BI$15:$BI$62,$BL$15:$BL$62),IFERROR(_xlfn.XLOOKUP(TRIM(SUBSTITUTE(U528,CHAR(160)," ")),$BJ$15:$BJ$62,$BL$15:$BL$62),_xlfn.XLOOKUP(TRIM(SUBSTITUTE(U528,CHAR(160)," ")),$BK$15:$BK$62,$BL$15:$BL$62))))*T528*IF(ISBLANK(Q528),1,Q528)+IFERROR(_xlfn.XLOOKUP("RECHERCHEX",TRIM(L528:AC528),L528:AC528),0),0))</f>
        <v/>
      </c>
      <c r="AL528" s="1030">
        <f t="shared" si="212"/>
        <v>0</v>
      </c>
      <c r="AM528" s="5254" t="str">
        <f t="shared" si="227"/>
        <v/>
      </c>
      <c r="AN528" s="1031">
        <f t="shared" si="213"/>
        <v>0</v>
      </c>
      <c r="AO528" s="1031">
        <f t="shared" si="214"/>
        <v>0</v>
      </c>
      <c r="AP528" s="1032">
        <f t="shared" si="215"/>
        <v>0</v>
      </c>
      <c r="AQ528" s="5255" t="str">
        <f t="shared" si="216"/>
        <v/>
      </c>
      <c r="AR528" s="1056"/>
      <c r="AS528" s="1056"/>
      <c r="AT528" s="1034">
        <f t="shared" si="217"/>
        <v>0</v>
      </c>
      <c r="AU528" s="1035">
        <f t="shared" si="218"/>
        <v>0</v>
      </c>
      <c r="AV528" s="1057" cm="1">
        <f t="array" ref="AV528">IF(AJ528&lt;&gt;1,0,IF(OR(AT528="",N(AT528)&lt;=0.000000001),"",IF(OR(AN528="",N(AN528)&lt;=0.000000001),0,IF(ISNUMBER(AT528),IFERROR(_xlfn.LET(_xlpm.ai_test,TRIM(AI528),_xlpm.r,IFERROR(_xlfn.XLOOKUP(_xlpm.ai_test,$BI$15:$BI$62,ROW($BI$15:$BI$62),0,1),IFERROR(_xlfn.XLOOKUP(_xlpm.ai_test,$BJ$15:$BJ$62,ROW($BJ$15:$BJ$62),0,1),_xlfn.XLOOKUP(_xlpm.ai_test,$BK$15:$BK$62,ROW($BK$15:$BK$62),0,1))),_xlpm.p,_xlpm.r-MIN(ROW($BI$15:$BI$62))+1,_xlpm.f,INDEX($BL$15:$BL$62,_xlpm.p),_xlpm.u,INDEX($BM$15:$BM$62,_xlpm.p),_xlpm.s,INDEX($BO$15:$BO$62,_xlpm.p),_xlpm.q,N(AT528)/_xlpm.f,IF(_xlpm.q&gt;=_xlpm.s,ROUND(_xlpm.q,1)&amp;" "&amp;_xlpm.ai_test&amp;" = "&amp;ROUND(_xlpm.q*_xlpm.f,1)&amp;" "&amp;_xlpm.u,ROUND(_xlpm.q,1)&amp;" "&amp;_xlpm.ai_test)),""),""))))</f>
        <v>0</v>
      </c>
      <c r="AW528" s="1047"/>
      <c r="AX528" s="1034">
        <f t="shared" si="219"/>
        <v>0</v>
      </c>
      <c r="AY528" s="1035" t="str">
        <f t="shared" si="220"/>
        <v/>
      </c>
      <c r="AZ528" s="1036">
        <f t="shared" si="225"/>
        <v>0</v>
      </c>
      <c r="BA528" s="1037" t="str">
        <f t="shared" si="221"/>
        <v/>
      </c>
      <c r="BB528" s="1038"/>
      <c r="BC528" s="1039">
        <f t="shared" si="226"/>
        <v>0</v>
      </c>
      <c r="BD528" s="1040" t="str">
        <f t="shared" si="222"/>
        <v/>
      </c>
      <c r="BE528" s="227" t="s">
        <v>22</v>
      </c>
      <c r="BF528" s="1019">
        <f t="shared" si="223"/>
        <v>0</v>
      </c>
      <c r="BG528" s="1020">
        <f t="shared" si="224"/>
        <v>0</v>
      </c>
      <c r="BH528"/>
      <c r="BI528" s="709"/>
      <c r="BJ528" s="709"/>
      <c r="BK528" s="709"/>
      <c r="BL528" s="709"/>
      <c r="BM528" s="709"/>
      <c r="BN528" s="709"/>
      <c r="BO528" s="709"/>
      <c r="BP528" s="709"/>
      <c r="BW528" s="959" t="str">
        <f t="shared" si="228"/>
        <v>►</v>
      </c>
      <c r="BX528" s="856"/>
      <c r="BY528" s="856"/>
      <c r="BZ528" s="856"/>
      <c r="CA528" s="856"/>
      <c r="CB528" s="856"/>
      <c r="DB528" s="3">
        <v>1</v>
      </c>
    </row>
    <row r="529" spans="12:106" ht="21" customHeight="1">
      <c r="L529" s="104" t="s">
        <v>16</v>
      </c>
      <c r="M529" s="1172"/>
      <c r="N529" s="1172"/>
      <c r="O529" s="1172"/>
      <c r="P529" s="1173"/>
      <c r="Q529" s="1174"/>
      <c r="R529" s="1175"/>
      <c r="S529" s="1176"/>
      <c r="T529" s="1177"/>
      <c r="U529" s="5248"/>
      <c r="V529" s="1177"/>
      <c r="W529" s="5249"/>
      <c r="X529" s="5208"/>
      <c r="Y529" s="5209"/>
      <c r="Z529" s="5210"/>
      <c r="AA529" s="5211"/>
      <c r="AB529" s="1178"/>
      <c r="AC529" s="1179"/>
      <c r="AD529" s="227" t="s">
        <v>22</v>
      </c>
      <c r="AE529" s="1027" t="str">
        <f t="shared" si="206"/>
        <v>►</v>
      </c>
      <c r="AF529" s="1028" t="str">
        <f t="shared" si="207"/>
        <v/>
      </c>
      <c r="AG529" s="1029" t="str">
        <f t="shared" si="208"/>
        <v/>
      </c>
      <c r="AH529" s="1028" t="str">
        <f t="shared" si="209"/>
        <v/>
      </c>
      <c r="AI529" s="1029" t="str">
        <f t="shared" si="210"/>
        <v/>
      </c>
      <c r="AJ529" s="1029">
        <f t="shared" si="211"/>
        <v>0</v>
      </c>
      <c r="AK529" s="1043" t="str" cm="1">
        <f t="array" ref="AK529">IF(AE529&lt;&gt;"A","",IFERROR((IFERROR(_xlfn.XLOOKUP(TRIM(SUBSTITUTE(U529,CHAR(160)," ")),$BI$15:$BI$62,$BL$15:$BL$62),IFERROR(_xlfn.XLOOKUP(TRIM(SUBSTITUTE(U529,CHAR(160)," ")),$BJ$15:$BJ$62,$BL$15:$BL$62),_xlfn.XLOOKUP(TRIM(SUBSTITUTE(U529,CHAR(160)," ")),$BK$15:$BK$62,$BL$15:$BL$62))))*T529*IF(ISBLANK(Q529),1,Q529)+IFERROR(_xlfn.XLOOKUP("RECHERCHEX",TRIM(L529:AC529),L529:AC529),0),0))</f>
        <v/>
      </c>
      <c r="AL529" s="1030">
        <f t="shared" si="212"/>
        <v>0</v>
      </c>
      <c r="AM529" s="5254" t="str">
        <f t="shared" si="227"/>
        <v/>
      </c>
      <c r="AN529" s="1031">
        <f t="shared" si="213"/>
        <v>0</v>
      </c>
      <c r="AO529" s="1031">
        <f t="shared" si="214"/>
        <v>0</v>
      </c>
      <c r="AP529" s="1044">
        <f t="shared" si="215"/>
        <v>0</v>
      </c>
      <c r="AQ529" s="5257" t="str">
        <f t="shared" si="216"/>
        <v/>
      </c>
      <c r="AR529" s="1056"/>
      <c r="AS529" s="1056"/>
      <c r="AT529" s="1045">
        <f t="shared" si="217"/>
        <v>0</v>
      </c>
      <c r="AU529" s="1046">
        <f t="shared" si="218"/>
        <v>0</v>
      </c>
      <c r="AV529" s="1059" cm="1">
        <f t="array" ref="AV529">IF(AJ529&lt;&gt;1,0,IF(OR(AT529="",N(AT529)&lt;=0.000000001),"",IF(OR(AN529="",N(AN529)&lt;=0.000000001),0,IF(ISNUMBER(AT529),IFERROR(_xlfn.LET(_xlpm.ai_test,TRIM(AI529),_xlpm.r,IFERROR(_xlfn.XLOOKUP(_xlpm.ai_test,$BI$15:$BI$62,ROW($BI$15:$BI$62),0,1),IFERROR(_xlfn.XLOOKUP(_xlpm.ai_test,$BJ$15:$BJ$62,ROW($BJ$15:$BJ$62),0,1),_xlfn.XLOOKUP(_xlpm.ai_test,$BK$15:$BK$62,ROW($BK$15:$BK$62),0,1))),_xlpm.p,_xlpm.r-MIN(ROW($BI$15:$BI$62))+1,_xlpm.f,INDEX($BL$15:$BL$62,_xlpm.p),_xlpm.u,INDEX($BM$15:$BM$62,_xlpm.p),_xlpm.s,INDEX($BO$15:$BO$62,_xlpm.p),_xlpm.q,N(AT529)/_xlpm.f,IF(_xlpm.q&gt;=_xlpm.s,ROUND(_xlpm.q,1)&amp;" "&amp;_xlpm.ai_test&amp;" = "&amp;ROUND(_xlpm.q*_xlpm.f,1)&amp;" "&amp;_xlpm.u,ROUND(_xlpm.q,1)&amp;" "&amp;_xlpm.ai_test)),""),""))))</f>
        <v>0</v>
      </c>
      <c r="AW529" s="1047"/>
      <c r="AX529" s="1045">
        <f t="shared" si="219"/>
        <v>0</v>
      </c>
      <c r="AY529" s="1046" t="str">
        <f t="shared" si="220"/>
        <v/>
      </c>
      <c r="AZ529" s="1048">
        <f t="shared" si="225"/>
        <v>0</v>
      </c>
      <c r="BA529" s="1049" t="str">
        <f t="shared" si="221"/>
        <v/>
      </c>
      <c r="BB529" s="1038"/>
      <c r="BC529" s="1050">
        <f t="shared" si="226"/>
        <v>0</v>
      </c>
      <c r="BD529" s="1040" t="str">
        <f t="shared" si="222"/>
        <v/>
      </c>
      <c r="BE529" s="227" t="s">
        <v>22</v>
      </c>
      <c r="BF529" s="1019">
        <f t="shared" si="223"/>
        <v>0</v>
      </c>
      <c r="BG529" s="1020">
        <f t="shared" si="224"/>
        <v>0</v>
      </c>
      <c r="BH529"/>
      <c r="BI529" s="709"/>
      <c r="BJ529" s="709"/>
      <c r="BK529" s="709"/>
      <c r="BL529" s="709"/>
      <c r="BM529" s="709"/>
      <c r="BN529" s="709"/>
      <c r="BO529" s="709"/>
      <c r="BP529" s="709"/>
      <c r="BW529" s="959" t="str">
        <f t="shared" si="228"/>
        <v>►</v>
      </c>
      <c r="BX529" s="856"/>
      <c r="BY529" s="856"/>
      <c r="BZ529" s="856"/>
      <c r="CA529" s="856"/>
      <c r="CB529" s="856"/>
      <c r="DB529" s="3">
        <v>1</v>
      </c>
    </row>
    <row r="530" spans="12:106" ht="21" customHeight="1">
      <c r="L530" s="104" t="s">
        <v>16</v>
      </c>
      <c r="M530" s="1172"/>
      <c r="N530" s="1172"/>
      <c r="O530" s="1172"/>
      <c r="P530" s="1173"/>
      <c r="Q530" s="1174"/>
      <c r="R530" s="1175"/>
      <c r="S530" s="1176"/>
      <c r="T530" s="1177"/>
      <c r="U530" s="5248"/>
      <c r="V530" s="1177"/>
      <c r="W530" s="5249"/>
      <c r="X530" s="5208"/>
      <c r="Y530" s="5209"/>
      <c r="Z530" s="5210"/>
      <c r="AA530" s="5211"/>
      <c r="AB530" s="1178"/>
      <c r="AC530" s="1179"/>
      <c r="AD530" s="227" t="s">
        <v>22</v>
      </c>
      <c r="AE530" s="1027" t="str">
        <f t="shared" si="206"/>
        <v>►</v>
      </c>
      <c r="AF530" s="1028" t="str">
        <f t="shared" si="207"/>
        <v/>
      </c>
      <c r="AG530" s="1029" t="str">
        <f t="shared" si="208"/>
        <v/>
      </c>
      <c r="AH530" s="1028" t="str">
        <f t="shared" si="209"/>
        <v/>
      </c>
      <c r="AI530" s="1029" t="str">
        <f t="shared" si="210"/>
        <v/>
      </c>
      <c r="AJ530" s="1029">
        <f t="shared" si="211"/>
        <v>0</v>
      </c>
      <c r="AK530" s="1043" t="str" cm="1">
        <f t="array" ref="AK530">IF(AE530&lt;&gt;"A","",IFERROR((IFERROR(_xlfn.XLOOKUP(TRIM(SUBSTITUTE(U530,CHAR(160)," ")),$BI$15:$BI$62,$BL$15:$BL$62),IFERROR(_xlfn.XLOOKUP(TRIM(SUBSTITUTE(U530,CHAR(160)," ")),$BJ$15:$BJ$62,$BL$15:$BL$62),_xlfn.XLOOKUP(TRIM(SUBSTITUTE(U530,CHAR(160)," ")),$BK$15:$BK$62,$BL$15:$BL$62))))*T530*IF(ISBLANK(Q530),1,Q530)+IFERROR(_xlfn.XLOOKUP("RECHERCHEX",TRIM(L530:AC530),L530:AC530),0),0))</f>
        <v/>
      </c>
      <c r="AL530" s="1030">
        <f t="shared" si="212"/>
        <v>0</v>
      </c>
      <c r="AM530" s="5254" t="str">
        <f t="shared" si="227"/>
        <v/>
      </c>
      <c r="AN530" s="1031">
        <f t="shared" si="213"/>
        <v>0</v>
      </c>
      <c r="AO530" s="1031">
        <f t="shared" si="214"/>
        <v>0</v>
      </c>
      <c r="AP530" s="1032">
        <f t="shared" si="215"/>
        <v>0</v>
      </c>
      <c r="AQ530" s="5255" t="str">
        <f t="shared" si="216"/>
        <v/>
      </c>
      <c r="AR530" s="1056"/>
      <c r="AS530" s="1056"/>
      <c r="AT530" s="1034">
        <f t="shared" si="217"/>
        <v>0</v>
      </c>
      <c r="AU530" s="1035">
        <f t="shared" si="218"/>
        <v>0</v>
      </c>
      <c r="AV530" s="1057" cm="1">
        <f t="array" ref="AV530">IF(AJ530&lt;&gt;1,0,IF(OR(AT530="",N(AT530)&lt;=0.000000001),"",IF(OR(AN530="",N(AN530)&lt;=0.000000001),0,IF(ISNUMBER(AT530),IFERROR(_xlfn.LET(_xlpm.ai_test,TRIM(AI530),_xlpm.r,IFERROR(_xlfn.XLOOKUP(_xlpm.ai_test,$BI$15:$BI$62,ROW($BI$15:$BI$62),0,1),IFERROR(_xlfn.XLOOKUP(_xlpm.ai_test,$BJ$15:$BJ$62,ROW($BJ$15:$BJ$62),0,1),_xlfn.XLOOKUP(_xlpm.ai_test,$BK$15:$BK$62,ROW($BK$15:$BK$62),0,1))),_xlpm.p,_xlpm.r-MIN(ROW($BI$15:$BI$62))+1,_xlpm.f,INDEX($BL$15:$BL$62,_xlpm.p),_xlpm.u,INDEX($BM$15:$BM$62,_xlpm.p),_xlpm.s,INDEX($BO$15:$BO$62,_xlpm.p),_xlpm.q,N(AT530)/_xlpm.f,IF(_xlpm.q&gt;=_xlpm.s,ROUND(_xlpm.q,1)&amp;" "&amp;_xlpm.ai_test&amp;" = "&amp;ROUND(_xlpm.q*_xlpm.f,1)&amp;" "&amp;_xlpm.u,ROUND(_xlpm.q,1)&amp;" "&amp;_xlpm.ai_test)),""),""))))</f>
        <v>0</v>
      </c>
      <c r="AW530" s="1047"/>
      <c r="AX530" s="1034">
        <f t="shared" si="219"/>
        <v>0</v>
      </c>
      <c r="AY530" s="1035" t="str">
        <f t="shared" si="220"/>
        <v/>
      </c>
      <c r="AZ530" s="1036">
        <f t="shared" si="225"/>
        <v>0</v>
      </c>
      <c r="BA530" s="1037" t="str">
        <f t="shared" si="221"/>
        <v/>
      </c>
      <c r="BB530" s="1038"/>
      <c r="BC530" s="1039">
        <f t="shared" si="226"/>
        <v>0</v>
      </c>
      <c r="BD530" s="1040" t="str">
        <f t="shared" si="222"/>
        <v/>
      </c>
      <c r="BE530" s="227" t="s">
        <v>22</v>
      </c>
      <c r="BF530" s="1019">
        <f t="shared" si="223"/>
        <v>0</v>
      </c>
      <c r="BG530" s="1020">
        <f t="shared" si="224"/>
        <v>0</v>
      </c>
      <c r="BH530"/>
      <c r="BI530" s="709"/>
      <c r="BJ530" s="709"/>
      <c r="BK530" s="709"/>
      <c r="BL530" s="709"/>
      <c r="BM530" s="709"/>
      <c r="BN530" s="709"/>
      <c r="BO530" s="709"/>
      <c r="BP530" s="709"/>
      <c r="BW530" s="959" t="str">
        <f t="shared" si="228"/>
        <v>►</v>
      </c>
      <c r="BX530" s="856"/>
      <c r="BY530" s="856"/>
      <c r="BZ530" s="856"/>
      <c r="CA530" s="856"/>
      <c r="CB530" s="856"/>
      <c r="DB530" s="3">
        <v>1</v>
      </c>
    </row>
    <row r="531" spans="12:106" ht="21" customHeight="1">
      <c r="L531" s="104" t="s">
        <v>16</v>
      </c>
      <c r="M531" s="1172"/>
      <c r="N531" s="1172"/>
      <c r="O531" s="1172"/>
      <c r="P531" s="1173"/>
      <c r="Q531" s="1174"/>
      <c r="R531" s="1175"/>
      <c r="S531" s="1176"/>
      <c r="T531" s="1177"/>
      <c r="U531" s="5248"/>
      <c r="V531" s="1177"/>
      <c r="W531" s="5249"/>
      <c r="X531" s="5208"/>
      <c r="Y531" s="5209"/>
      <c r="Z531" s="5210"/>
      <c r="AA531" s="5211"/>
      <c r="AB531" s="1178"/>
      <c r="AC531" s="1179"/>
      <c r="AD531" s="227" t="s">
        <v>22</v>
      </c>
      <c r="AE531" s="1027" t="str">
        <f t="shared" si="206"/>
        <v>►</v>
      </c>
      <c r="AF531" s="1028" t="str">
        <f t="shared" si="207"/>
        <v/>
      </c>
      <c r="AG531" s="1029" t="str">
        <f t="shared" si="208"/>
        <v/>
      </c>
      <c r="AH531" s="1028" t="str">
        <f t="shared" si="209"/>
        <v/>
      </c>
      <c r="AI531" s="1029" t="str">
        <f t="shared" si="210"/>
        <v/>
      </c>
      <c r="AJ531" s="1029">
        <f t="shared" si="211"/>
        <v>0</v>
      </c>
      <c r="AK531" s="1043" t="str" cm="1">
        <f t="array" ref="AK531">IF(AE531&lt;&gt;"A","",IFERROR((IFERROR(_xlfn.XLOOKUP(TRIM(SUBSTITUTE(U531,CHAR(160)," ")),$BI$15:$BI$62,$BL$15:$BL$62),IFERROR(_xlfn.XLOOKUP(TRIM(SUBSTITUTE(U531,CHAR(160)," ")),$BJ$15:$BJ$62,$BL$15:$BL$62),_xlfn.XLOOKUP(TRIM(SUBSTITUTE(U531,CHAR(160)," ")),$BK$15:$BK$62,$BL$15:$BL$62))))*T531*IF(ISBLANK(Q531),1,Q531)+IFERROR(_xlfn.XLOOKUP("RECHERCHEX",TRIM(L531:AC531),L531:AC531),0),0))</f>
        <v/>
      </c>
      <c r="AL531" s="1030">
        <f t="shared" si="212"/>
        <v>0</v>
      </c>
      <c r="AM531" s="5254" t="str">
        <f t="shared" si="227"/>
        <v/>
      </c>
      <c r="AN531" s="1031">
        <f t="shared" si="213"/>
        <v>0</v>
      </c>
      <c r="AO531" s="1031">
        <f t="shared" si="214"/>
        <v>0</v>
      </c>
      <c r="AP531" s="1044">
        <f t="shared" si="215"/>
        <v>0</v>
      </c>
      <c r="AQ531" s="5257" t="str">
        <f t="shared" si="216"/>
        <v/>
      </c>
      <c r="AR531" s="1056"/>
      <c r="AS531" s="1056"/>
      <c r="AT531" s="1045">
        <f t="shared" si="217"/>
        <v>0</v>
      </c>
      <c r="AU531" s="1046">
        <f t="shared" si="218"/>
        <v>0</v>
      </c>
      <c r="AV531" s="1059" cm="1">
        <f t="array" ref="AV531">IF(AJ531&lt;&gt;1,0,IF(OR(AT531="",N(AT531)&lt;=0.000000001),"",IF(OR(AN531="",N(AN531)&lt;=0.000000001),0,IF(ISNUMBER(AT531),IFERROR(_xlfn.LET(_xlpm.ai_test,TRIM(AI531),_xlpm.r,IFERROR(_xlfn.XLOOKUP(_xlpm.ai_test,$BI$15:$BI$62,ROW($BI$15:$BI$62),0,1),IFERROR(_xlfn.XLOOKUP(_xlpm.ai_test,$BJ$15:$BJ$62,ROW($BJ$15:$BJ$62),0,1),_xlfn.XLOOKUP(_xlpm.ai_test,$BK$15:$BK$62,ROW($BK$15:$BK$62),0,1))),_xlpm.p,_xlpm.r-MIN(ROW($BI$15:$BI$62))+1,_xlpm.f,INDEX($BL$15:$BL$62,_xlpm.p),_xlpm.u,INDEX($BM$15:$BM$62,_xlpm.p),_xlpm.s,INDEX($BO$15:$BO$62,_xlpm.p),_xlpm.q,N(AT531)/_xlpm.f,IF(_xlpm.q&gt;=_xlpm.s,ROUND(_xlpm.q,1)&amp;" "&amp;_xlpm.ai_test&amp;" = "&amp;ROUND(_xlpm.q*_xlpm.f,1)&amp;" "&amp;_xlpm.u,ROUND(_xlpm.q,1)&amp;" "&amp;_xlpm.ai_test)),""),""))))</f>
        <v>0</v>
      </c>
      <c r="AW531" s="1047"/>
      <c r="AX531" s="1045">
        <f t="shared" si="219"/>
        <v>0</v>
      </c>
      <c r="AY531" s="1046" t="str">
        <f t="shared" si="220"/>
        <v/>
      </c>
      <c r="AZ531" s="1048">
        <f t="shared" si="225"/>
        <v>0</v>
      </c>
      <c r="BA531" s="1049" t="str">
        <f t="shared" si="221"/>
        <v/>
      </c>
      <c r="BB531" s="1038"/>
      <c r="BC531" s="1050">
        <f t="shared" si="226"/>
        <v>0</v>
      </c>
      <c r="BD531" s="1040" t="str">
        <f t="shared" si="222"/>
        <v/>
      </c>
      <c r="BE531" s="227" t="s">
        <v>22</v>
      </c>
      <c r="BF531" s="1019">
        <f t="shared" si="223"/>
        <v>0</v>
      </c>
      <c r="BG531" s="1020">
        <f t="shared" si="224"/>
        <v>0</v>
      </c>
      <c r="BH531"/>
      <c r="BI531" s="709"/>
      <c r="BJ531" s="709"/>
      <c r="BK531" s="709"/>
      <c r="BL531" s="709"/>
      <c r="BM531" s="709"/>
      <c r="BN531" s="709"/>
      <c r="BO531" s="709"/>
      <c r="BP531" s="709"/>
      <c r="BW531" s="959" t="str">
        <f t="shared" si="228"/>
        <v>►</v>
      </c>
      <c r="BX531" s="856"/>
      <c r="BY531" s="856"/>
      <c r="BZ531" s="856"/>
      <c r="CA531" s="856"/>
      <c r="CB531" s="856"/>
      <c r="DB531" s="3">
        <v>1</v>
      </c>
    </row>
    <row r="532" spans="12:106" ht="21" customHeight="1">
      <c r="L532" s="104" t="s">
        <v>16</v>
      </c>
      <c r="M532" s="1172"/>
      <c r="N532" s="1172"/>
      <c r="O532" s="1172"/>
      <c r="P532" s="1173"/>
      <c r="Q532" s="1174"/>
      <c r="R532" s="1175"/>
      <c r="S532" s="1176"/>
      <c r="T532" s="1177"/>
      <c r="U532" s="5248"/>
      <c r="V532" s="1177"/>
      <c r="W532" s="5249"/>
      <c r="X532" s="5208"/>
      <c r="Y532" s="5209"/>
      <c r="Z532" s="5210"/>
      <c r="AA532" s="5211"/>
      <c r="AB532" s="1178"/>
      <c r="AC532" s="1179"/>
      <c r="AD532" s="227" t="s">
        <v>22</v>
      </c>
      <c r="AE532" s="1027" t="str">
        <f t="shared" si="206"/>
        <v>►</v>
      </c>
      <c r="AF532" s="1028" t="str">
        <f t="shared" si="207"/>
        <v/>
      </c>
      <c r="AG532" s="1029" t="str">
        <f t="shared" si="208"/>
        <v/>
      </c>
      <c r="AH532" s="1028" t="str">
        <f t="shared" si="209"/>
        <v/>
      </c>
      <c r="AI532" s="1029" t="str">
        <f t="shared" si="210"/>
        <v/>
      </c>
      <c r="AJ532" s="1029">
        <f t="shared" si="211"/>
        <v>0</v>
      </c>
      <c r="AK532" s="1043" t="str" cm="1">
        <f t="array" ref="AK532">IF(AE532&lt;&gt;"A","",IFERROR((IFERROR(_xlfn.XLOOKUP(TRIM(SUBSTITUTE(U532,CHAR(160)," ")),$BI$15:$BI$62,$BL$15:$BL$62),IFERROR(_xlfn.XLOOKUP(TRIM(SUBSTITUTE(U532,CHAR(160)," ")),$BJ$15:$BJ$62,$BL$15:$BL$62),_xlfn.XLOOKUP(TRIM(SUBSTITUTE(U532,CHAR(160)," ")),$BK$15:$BK$62,$BL$15:$BL$62))))*T532*IF(ISBLANK(Q532),1,Q532)+IFERROR(_xlfn.XLOOKUP("RECHERCHEX",TRIM(L532:AC532),L532:AC532),0),0))</f>
        <v/>
      </c>
      <c r="AL532" s="1030">
        <f t="shared" si="212"/>
        <v>0</v>
      </c>
      <c r="AM532" s="5254" t="str">
        <f t="shared" si="227"/>
        <v/>
      </c>
      <c r="AN532" s="1031">
        <f t="shared" si="213"/>
        <v>0</v>
      </c>
      <c r="AO532" s="1031">
        <f t="shared" si="214"/>
        <v>0</v>
      </c>
      <c r="AP532" s="1032">
        <f t="shared" si="215"/>
        <v>0</v>
      </c>
      <c r="AQ532" s="5255" t="str">
        <f t="shared" si="216"/>
        <v/>
      </c>
      <c r="AR532" s="1056"/>
      <c r="AS532" s="1056"/>
      <c r="AT532" s="1034">
        <f t="shared" si="217"/>
        <v>0</v>
      </c>
      <c r="AU532" s="1035">
        <f t="shared" si="218"/>
        <v>0</v>
      </c>
      <c r="AV532" s="1057" cm="1">
        <f t="array" ref="AV532">IF(AJ532&lt;&gt;1,0,IF(OR(AT532="",N(AT532)&lt;=0.000000001),"",IF(OR(AN532="",N(AN532)&lt;=0.000000001),0,IF(ISNUMBER(AT532),IFERROR(_xlfn.LET(_xlpm.ai_test,TRIM(AI532),_xlpm.r,IFERROR(_xlfn.XLOOKUP(_xlpm.ai_test,$BI$15:$BI$62,ROW($BI$15:$BI$62),0,1),IFERROR(_xlfn.XLOOKUP(_xlpm.ai_test,$BJ$15:$BJ$62,ROW($BJ$15:$BJ$62),0,1),_xlfn.XLOOKUP(_xlpm.ai_test,$BK$15:$BK$62,ROW($BK$15:$BK$62),0,1))),_xlpm.p,_xlpm.r-MIN(ROW($BI$15:$BI$62))+1,_xlpm.f,INDEX($BL$15:$BL$62,_xlpm.p),_xlpm.u,INDEX($BM$15:$BM$62,_xlpm.p),_xlpm.s,INDEX($BO$15:$BO$62,_xlpm.p),_xlpm.q,N(AT532)/_xlpm.f,IF(_xlpm.q&gt;=_xlpm.s,ROUND(_xlpm.q,1)&amp;" "&amp;_xlpm.ai_test&amp;" = "&amp;ROUND(_xlpm.q*_xlpm.f,1)&amp;" "&amp;_xlpm.u,ROUND(_xlpm.q,1)&amp;" "&amp;_xlpm.ai_test)),""),""))))</f>
        <v>0</v>
      </c>
      <c r="AW532" s="1047"/>
      <c r="AX532" s="1034">
        <f t="shared" si="219"/>
        <v>0</v>
      </c>
      <c r="AY532" s="1035" t="str">
        <f t="shared" si="220"/>
        <v/>
      </c>
      <c r="AZ532" s="1036">
        <f t="shared" si="225"/>
        <v>0</v>
      </c>
      <c r="BA532" s="1037" t="str">
        <f t="shared" si="221"/>
        <v/>
      </c>
      <c r="BB532" s="1038"/>
      <c r="BC532" s="1039">
        <f t="shared" si="226"/>
        <v>0</v>
      </c>
      <c r="BD532" s="1040" t="str">
        <f t="shared" si="222"/>
        <v/>
      </c>
      <c r="BE532" s="227" t="s">
        <v>22</v>
      </c>
      <c r="BF532" s="1019">
        <f t="shared" si="223"/>
        <v>0</v>
      </c>
      <c r="BG532" s="1020">
        <f t="shared" si="224"/>
        <v>0</v>
      </c>
      <c r="BH532"/>
      <c r="BI532" s="709"/>
      <c r="BJ532" s="709"/>
      <c r="BK532" s="709"/>
      <c r="BL532" s="709"/>
      <c r="BM532" s="709"/>
      <c r="BN532" s="709"/>
      <c r="BO532" s="709"/>
      <c r="BP532" s="709"/>
      <c r="BW532" s="959" t="str">
        <f t="shared" si="228"/>
        <v>►</v>
      </c>
      <c r="BX532" s="856"/>
      <c r="BY532" s="856"/>
      <c r="BZ532" s="856"/>
      <c r="CA532" s="856"/>
      <c r="CB532" s="856"/>
      <c r="DB532" s="3">
        <v>1</v>
      </c>
    </row>
    <row r="533" spans="12:106" ht="21" customHeight="1">
      <c r="L533" s="104" t="s">
        <v>16</v>
      </c>
      <c r="M533" s="1172"/>
      <c r="N533" s="1172"/>
      <c r="O533" s="1172"/>
      <c r="P533" s="1173"/>
      <c r="Q533" s="1174"/>
      <c r="R533" s="1175"/>
      <c r="S533" s="1176"/>
      <c r="T533" s="1177"/>
      <c r="U533" s="5248"/>
      <c r="V533" s="1177"/>
      <c r="W533" s="5249"/>
      <c r="X533" s="5208"/>
      <c r="Y533" s="5209"/>
      <c r="Z533" s="5210"/>
      <c r="AA533" s="5211"/>
      <c r="AB533" s="1178"/>
      <c r="AC533" s="1179"/>
      <c r="AD533" s="227" t="s">
        <v>22</v>
      </c>
      <c r="AE533" s="1027" t="str">
        <f t="shared" si="206"/>
        <v>►</v>
      </c>
      <c r="AF533" s="1028" t="str">
        <f t="shared" si="207"/>
        <v/>
      </c>
      <c r="AG533" s="1029" t="str">
        <f t="shared" si="208"/>
        <v/>
      </c>
      <c r="AH533" s="1028" t="str">
        <f t="shared" si="209"/>
        <v/>
      </c>
      <c r="AI533" s="1029" t="str">
        <f t="shared" si="210"/>
        <v/>
      </c>
      <c r="AJ533" s="1029">
        <f t="shared" si="211"/>
        <v>0</v>
      </c>
      <c r="AK533" s="1043" t="str" cm="1">
        <f t="array" ref="AK533">IF(AE533&lt;&gt;"A","",IFERROR((IFERROR(_xlfn.XLOOKUP(TRIM(SUBSTITUTE(U533,CHAR(160)," ")),$BI$15:$BI$62,$BL$15:$BL$62),IFERROR(_xlfn.XLOOKUP(TRIM(SUBSTITUTE(U533,CHAR(160)," ")),$BJ$15:$BJ$62,$BL$15:$BL$62),_xlfn.XLOOKUP(TRIM(SUBSTITUTE(U533,CHAR(160)," ")),$BK$15:$BK$62,$BL$15:$BL$62))))*T533*IF(ISBLANK(Q533),1,Q533)+IFERROR(_xlfn.XLOOKUP("RECHERCHEX",TRIM(L533:AC533),L533:AC533),0),0))</f>
        <v/>
      </c>
      <c r="AL533" s="1030">
        <f t="shared" si="212"/>
        <v>0</v>
      </c>
      <c r="AM533" s="5254" t="str">
        <f t="shared" si="227"/>
        <v/>
      </c>
      <c r="AN533" s="1031">
        <f t="shared" si="213"/>
        <v>0</v>
      </c>
      <c r="AO533" s="1031">
        <f t="shared" si="214"/>
        <v>0</v>
      </c>
      <c r="AP533" s="1044">
        <f t="shared" si="215"/>
        <v>0</v>
      </c>
      <c r="AQ533" s="5257" t="str">
        <f t="shared" si="216"/>
        <v/>
      </c>
      <c r="AR533" s="1056"/>
      <c r="AS533" s="1056"/>
      <c r="AT533" s="1045">
        <f t="shared" si="217"/>
        <v>0</v>
      </c>
      <c r="AU533" s="1046">
        <f t="shared" si="218"/>
        <v>0</v>
      </c>
      <c r="AV533" s="1059" cm="1">
        <f t="array" ref="AV533">IF(AJ533&lt;&gt;1,0,IF(OR(AT533="",N(AT533)&lt;=0.000000001),"",IF(OR(AN533="",N(AN533)&lt;=0.000000001),0,IF(ISNUMBER(AT533),IFERROR(_xlfn.LET(_xlpm.ai_test,TRIM(AI533),_xlpm.r,IFERROR(_xlfn.XLOOKUP(_xlpm.ai_test,$BI$15:$BI$62,ROW($BI$15:$BI$62),0,1),IFERROR(_xlfn.XLOOKUP(_xlpm.ai_test,$BJ$15:$BJ$62,ROW($BJ$15:$BJ$62),0,1),_xlfn.XLOOKUP(_xlpm.ai_test,$BK$15:$BK$62,ROW($BK$15:$BK$62),0,1))),_xlpm.p,_xlpm.r-MIN(ROW($BI$15:$BI$62))+1,_xlpm.f,INDEX($BL$15:$BL$62,_xlpm.p),_xlpm.u,INDEX($BM$15:$BM$62,_xlpm.p),_xlpm.s,INDEX($BO$15:$BO$62,_xlpm.p),_xlpm.q,N(AT533)/_xlpm.f,IF(_xlpm.q&gt;=_xlpm.s,ROUND(_xlpm.q,1)&amp;" "&amp;_xlpm.ai_test&amp;" = "&amp;ROUND(_xlpm.q*_xlpm.f,1)&amp;" "&amp;_xlpm.u,ROUND(_xlpm.q,1)&amp;" "&amp;_xlpm.ai_test)),""),""))))</f>
        <v>0</v>
      </c>
      <c r="AW533" s="1047"/>
      <c r="AX533" s="1045">
        <f t="shared" si="219"/>
        <v>0</v>
      </c>
      <c r="AY533" s="1046" t="str">
        <f t="shared" si="220"/>
        <v/>
      </c>
      <c r="AZ533" s="1048">
        <f t="shared" si="225"/>
        <v>0</v>
      </c>
      <c r="BA533" s="1049" t="str">
        <f t="shared" si="221"/>
        <v/>
      </c>
      <c r="BB533" s="1038"/>
      <c r="BC533" s="1050">
        <f t="shared" si="226"/>
        <v>0</v>
      </c>
      <c r="BD533" s="1040" t="str">
        <f t="shared" si="222"/>
        <v/>
      </c>
      <c r="BE533" s="227" t="s">
        <v>22</v>
      </c>
      <c r="BF533" s="1019">
        <f t="shared" si="223"/>
        <v>0</v>
      </c>
      <c r="BG533" s="1020">
        <f t="shared" si="224"/>
        <v>0</v>
      </c>
      <c r="BH533"/>
      <c r="BI533" s="709"/>
      <c r="BJ533" s="709"/>
      <c r="BK533" s="709"/>
      <c r="BL533" s="709"/>
      <c r="BM533" s="709"/>
      <c r="BN533" s="709"/>
      <c r="BO533" s="709"/>
      <c r="BP533" s="709"/>
      <c r="BW533" s="959" t="str">
        <f t="shared" si="228"/>
        <v>►</v>
      </c>
      <c r="BX533" s="856"/>
      <c r="BY533" s="856"/>
      <c r="BZ533" s="856"/>
      <c r="CA533" s="856"/>
      <c r="CB533" s="856"/>
      <c r="DB533" s="3">
        <v>1</v>
      </c>
    </row>
    <row r="534" spans="12:106" ht="21" customHeight="1">
      <c r="L534" s="104" t="s">
        <v>16</v>
      </c>
      <c r="M534" s="1172"/>
      <c r="N534" s="1172"/>
      <c r="O534" s="1172"/>
      <c r="P534" s="1173"/>
      <c r="Q534" s="1174"/>
      <c r="R534" s="1175"/>
      <c r="S534" s="1176"/>
      <c r="T534" s="1177"/>
      <c r="U534" s="5248"/>
      <c r="V534" s="1177"/>
      <c r="W534" s="5249"/>
      <c r="X534" s="5208"/>
      <c r="Y534" s="5209"/>
      <c r="Z534" s="5210"/>
      <c r="AA534" s="5211"/>
      <c r="AB534" s="1178"/>
      <c r="AC534" s="1179"/>
      <c r="AD534" s="227" t="s">
        <v>22</v>
      </c>
      <c r="AE534" s="1027" t="str">
        <f t="shared" ref="AE534:AE549" si="229">IF(OR(AN534&gt;0,TRIM(AF534)="▼ recette suivante"),"A","►")</f>
        <v>►</v>
      </c>
      <c r="AF534" s="1028" t="str">
        <f t="shared" ref="AF534:AF549" si="230">IF(TRIM(Q534)="Adresse PC","▼ recette suivante",IF(AN534&gt;0,M534,""))</f>
        <v/>
      </c>
      <c r="AG534" s="1029" t="str">
        <f t="shared" ref="AG534:AG549" si="231">IF(AE534="A",N534,"")</f>
        <v/>
      </c>
      <c r="AH534" s="1028" t="str">
        <f t="shared" ref="AH534:AH549" si="232">IF(AE534="A",O534,"")</f>
        <v/>
      </c>
      <c r="AI534" s="1029" t="str">
        <f t="shared" ref="AI534:AI549" si="233">IF(AE534="A",U534,"")</f>
        <v/>
      </c>
      <c r="AJ534" s="1029">
        <f t="shared" ref="AJ534:AJ549" si="234">IF(AND(L534="A",COUNTIF($BI$15:$BK$62,TRIM(U534))&gt;0),1,0)</f>
        <v>0</v>
      </c>
      <c r="AK534" s="1043" t="str" cm="1">
        <f t="array" ref="AK534">IF(AE534&lt;&gt;"A","",IFERROR((IFERROR(_xlfn.XLOOKUP(TRIM(SUBSTITUTE(U534,CHAR(160)," ")),$BI$15:$BI$62,$BL$15:$BL$62),IFERROR(_xlfn.XLOOKUP(TRIM(SUBSTITUTE(U534,CHAR(160)," ")),$BJ$15:$BJ$62,$BL$15:$BL$62),_xlfn.XLOOKUP(TRIM(SUBSTITUTE(U534,CHAR(160)," ")),$BK$15:$BK$62,$BL$15:$BL$62))))*T534*IF(ISBLANK(Q534),1,Q534)+IFERROR(_xlfn.XLOOKUP("RECHERCHEX",TRIM(L534:AC534),L534:AC534),0),0))</f>
        <v/>
      </c>
      <c r="AL534" s="1030">
        <f t="shared" ref="AL534:AL549" si="235">IF(AJ534,IF(AK534&gt;0,"Kg",0),0)</f>
        <v>0</v>
      </c>
      <c r="AM534" s="5254" t="str">
        <f t="shared" si="227"/>
        <v/>
      </c>
      <c r="AN534" s="1031">
        <f t="shared" ref="AN534:AN543" si="236">IF(AJ534,N534,0)</f>
        <v>0</v>
      </c>
      <c r="AO534" s="1031">
        <f t="shared" ref="AO534:AO549" si="237">IF(AJ534,O534,0)</f>
        <v>0</v>
      </c>
      <c r="AP534" s="1032">
        <f t="shared" ref="AP534:AP549" si="238">IF(AN534&gt;0,AR$9,0)</f>
        <v>0</v>
      </c>
      <c r="AQ534" s="5255" t="str">
        <f t="shared" ref="AQ534:AQ549" si="239">IF(TRIM(AF534)="▼ recette suivante", AF534, IF(AP534&gt;0, IF(AS$9&lt;&gt;"", AS$9&amp;"-ou.or.o ❾ + or - &gt;", ""), ""))</f>
        <v/>
      </c>
      <c r="AR534" s="1056"/>
      <c r="AS534" s="1056"/>
      <c r="AT534" s="1034">
        <f t="shared" ref="AT534:AT549" si="240">IF(TRIM(AL534)="Kg",N(AK534)*N(BG534),0)</f>
        <v>0</v>
      </c>
      <c r="AU534" s="1035">
        <f t="shared" ref="AU534:AU549" si="241">IF(AJ534,IF(OR(AT534="",N(AT534)&lt;=0.000000001),"",_xlfn.XLOOKUP(AI534,$BI$15:$BI$62,$BM$15:$BM$62,_xlfn.XLOOKUP(AI534,$BJ$15:$BJ$62,$BM$15:$BM$62,_xlfn.XLOOKUP(AI534,$BK$15:$BK$62,$BM$15:$BM$62,"")))),0)</f>
        <v>0</v>
      </c>
      <c r="AV534" s="1057" cm="1">
        <f t="array" ref="AV534">IF(AJ534&lt;&gt;1,0,IF(OR(AT534="",N(AT534)&lt;=0.000000001),"",IF(OR(AN534="",N(AN534)&lt;=0.000000001),0,IF(ISNUMBER(AT534),IFERROR(_xlfn.LET(_xlpm.ai_test,TRIM(AI534),_xlpm.r,IFERROR(_xlfn.XLOOKUP(_xlpm.ai_test,$BI$15:$BI$62,ROW($BI$15:$BI$62),0,1),IFERROR(_xlfn.XLOOKUP(_xlpm.ai_test,$BJ$15:$BJ$62,ROW($BJ$15:$BJ$62),0,1),_xlfn.XLOOKUP(_xlpm.ai_test,$BK$15:$BK$62,ROW($BK$15:$BK$62),0,1))),_xlpm.p,_xlpm.r-MIN(ROW($BI$15:$BI$62))+1,_xlpm.f,INDEX($BL$15:$BL$62,_xlpm.p),_xlpm.u,INDEX($BM$15:$BM$62,_xlpm.p),_xlpm.s,INDEX($BO$15:$BO$62,_xlpm.p),_xlpm.q,N(AT534)/_xlpm.f,IF(_xlpm.q&gt;=_xlpm.s,ROUND(_xlpm.q,1)&amp;" "&amp;_xlpm.ai_test&amp;" = "&amp;ROUND(_xlpm.q*_xlpm.f,1)&amp;" "&amp;_xlpm.u,ROUND(_xlpm.q,1)&amp;" "&amp;_xlpm.ai_test)),""),""))))</f>
        <v>0</v>
      </c>
      <c r="AW534" s="1047"/>
      <c r="AX534" s="1034">
        <f t="shared" ref="AX534:AX549" si="242">IF(TRIM(AF534)="▼ recette suivante","▼next recipe ",IF(AT534="","",IF(ISBLANK(AW534),AT534,ROUND(AT534*(1-MIN(1,MAX(0,IF(AW534&gt;1,AW534/100,AW534)))),3))))</f>
        <v>0</v>
      </c>
      <c r="AY534" s="1035" t="str">
        <f t="shared" ref="AY534:AY549" si="243">IF(AJ534,AU534,"")</f>
        <v/>
      </c>
      <c r="AZ534" s="1036">
        <f t="shared" si="225"/>
        <v>0</v>
      </c>
      <c r="BA534" s="1037" t="str">
        <f t="shared" ref="BA534:BA549" si="244">IF(AJ534,IF(N(AZ534)&gt;0.000000001,R534,""),"")</f>
        <v/>
      </c>
      <c r="BB534" s="1038"/>
      <c r="BC534" s="1039">
        <f t="shared" si="226"/>
        <v>0</v>
      </c>
      <c r="BD534" s="1040" t="str">
        <f t="shared" ref="BD534:BD549" si="245">IF(IFERROR(SEARCH("Adresse PC",TRIM(Q534)),0)&gt;0,"▼ receta siguiente",IF(AX534&gt;0,W534,""))</f>
        <v/>
      </c>
      <c r="BE534" s="227" t="s">
        <v>22</v>
      </c>
      <c r="BF534" s="1019">
        <f t="shared" ref="BF534:BF549" si="246">IFERROR(_xlfn.LET(_xlpm.EPS,0.000000001,_xlpm.b,Q534/AN534,IF(ISNUMBER(AR534),_xlpm.b*AR534,IF(OR(ISBLANK(AR534),AR534=""),_xlpm.b*AP534,IF(AND(BG534=0,ISNUMBER(Q534)),_xlpm.b/AP534,0)))),0)</f>
        <v>0</v>
      </c>
      <c r="BG534" s="1020">
        <f t="shared" ref="BG534:BG549" si="247">IF(AK534&gt;0,IFERROR(IF(OR(ISBLANK(AR534),AR534=""),AP534,AR534)/AN534,0),0)</f>
        <v>0</v>
      </c>
      <c r="BH534"/>
      <c r="BI534" s="709"/>
      <c r="BJ534" s="709"/>
      <c r="BK534" s="709"/>
      <c r="BL534" s="709"/>
      <c r="BM534" s="709"/>
      <c r="BN534" s="709"/>
      <c r="BO534" s="709"/>
      <c r="BP534" s="709"/>
      <c r="BW534" s="959" t="str">
        <f t="shared" si="228"/>
        <v>►</v>
      </c>
      <c r="BX534" s="856"/>
      <c r="BY534" s="856"/>
      <c r="BZ534" s="856"/>
      <c r="CA534" s="856"/>
      <c r="CB534" s="856"/>
      <c r="DB534" s="3">
        <v>1</v>
      </c>
    </row>
    <row r="535" spans="12:106" ht="21" customHeight="1">
      <c r="L535" s="104" t="s">
        <v>16</v>
      </c>
      <c r="M535" s="1172"/>
      <c r="N535" s="1172"/>
      <c r="O535" s="1172"/>
      <c r="P535" s="1173"/>
      <c r="Q535" s="1174"/>
      <c r="R535" s="1175"/>
      <c r="S535" s="1176"/>
      <c r="T535" s="1177"/>
      <c r="U535" s="5248"/>
      <c r="V535" s="1177"/>
      <c r="W535" s="5249"/>
      <c r="X535" s="5208"/>
      <c r="Y535" s="5209"/>
      <c r="Z535" s="5210"/>
      <c r="AA535" s="5211"/>
      <c r="AB535" s="1178"/>
      <c r="AC535" s="1179"/>
      <c r="AD535" s="227" t="s">
        <v>22</v>
      </c>
      <c r="AE535" s="1027" t="str">
        <f t="shared" si="229"/>
        <v>►</v>
      </c>
      <c r="AF535" s="1028" t="str">
        <f t="shared" si="230"/>
        <v/>
      </c>
      <c r="AG535" s="1029" t="str">
        <f t="shared" si="231"/>
        <v/>
      </c>
      <c r="AH535" s="1028" t="str">
        <f t="shared" si="232"/>
        <v/>
      </c>
      <c r="AI535" s="1029" t="str">
        <f t="shared" si="233"/>
        <v/>
      </c>
      <c r="AJ535" s="1029">
        <f t="shared" si="234"/>
        <v>0</v>
      </c>
      <c r="AK535" s="1043" t="str" cm="1">
        <f t="array" ref="AK535">IF(AE535&lt;&gt;"A","",IFERROR((IFERROR(_xlfn.XLOOKUP(TRIM(SUBSTITUTE(U535,CHAR(160)," ")),$BI$15:$BI$62,$BL$15:$BL$62),IFERROR(_xlfn.XLOOKUP(TRIM(SUBSTITUTE(U535,CHAR(160)," ")),$BJ$15:$BJ$62,$BL$15:$BL$62),_xlfn.XLOOKUP(TRIM(SUBSTITUTE(U535,CHAR(160)," ")),$BK$15:$BK$62,$BL$15:$BL$62))))*T535*IF(ISBLANK(Q535),1,Q535)+IFERROR(_xlfn.XLOOKUP("RECHERCHEX",TRIM(L535:AC535),L535:AC535),0),0))</f>
        <v/>
      </c>
      <c r="AL535" s="1030">
        <f t="shared" si="235"/>
        <v>0</v>
      </c>
      <c r="AM535" s="5254" t="str">
        <f t="shared" si="227"/>
        <v/>
      </c>
      <c r="AN535" s="1031">
        <f t="shared" si="236"/>
        <v>0</v>
      </c>
      <c r="AO535" s="1031">
        <f t="shared" si="237"/>
        <v>0</v>
      </c>
      <c r="AP535" s="1044">
        <f t="shared" si="238"/>
        <v>0</v>
      </c>
      <c r="AQ535" s="5257" t="str">
        <f t="shared" si="239"/>
        <v/>
      </c>
      <c r="AR535" s="1056"/>
      <c r="AS535" s="1056"/>
      <c r="AT535" s="1045">
        <f t="shared" si="240"/>
        <v>0</v>
      </c>
      <c r="AU535" s="1046">
        <f t="shared" si="241"/>
        <v>0</v>
      </c>
      <c r="AV535" s="1059" cm="1">
        <f t="array" ref="AV535">IF(AJ535&lt;&gt;1,0,IF(OR(AT535="",N(AT535)&lt;=0.000000001),"",IF(OR(AN535="",N(AN535)&lt;=0.000000001),0,IF(ISNUMBER(AT535),IFERROR(_xlfn.LET(_xlpm.ai_test,TRIM(AI535),_xlpm.r,IFERROR(_xlfn.XLOOKUP(_xlpm.ai_test,$BI$15:$BI$62,ROW($BI$15:$BI$62),0,1),IFERROR(_xlfn.XLOOKUP(_xlpm.ai_test,$BJ$15:$BJ$62,ROW($BJ$15:$BJ$62),0,1),_xlfn.XLOOKUP(_xlpm.ai_test,$BK$15:$BK$62,ROW($BK$15:$BK$62),0,1))),_xlpm.p,_xlpm.r-MIN(ROW($BI$15:$BI$62))+1,_xlpm.f,INDEX($BL$15:$BL$62,_xlpm.p),_xlpm.u,INDEX($BM$15:$BM$62,_xlpm.p),_xlpm.s,INDEX($BO$15:$BO$62,_xlpm.p),_xlpm.q,N(AT535)/_xlpm.f,IF(_xlpm.q&gt;=_xlpm.s,ROUND(_xlpm.q,1)&amp;" "&amp;_xlpm.ai_test&amp;" = "&amp;ROUND(_xlpm.q*_xlpm.f,1)&amp;" "&amp;_xlpm.u,ROUND(_xlpm.q,1)&amp;" "&amp;_xlpm.ai_test)),""),""))))</f>
        <v>0</v>
      </c>
      <c r="AW535" s="1047"/>
      <c r="AX535" s="1045">
        <f t="shared" si="242"/>
        <v>0</v>
      </c>
      <c r="AY535" s="1046" t="str">
        <f t="shared" si="243"/>
        <v/>
      </c>
      <c r="AZ535" s="1048">
        <f t="shared" ref="AZ535:AZ549" si="248">IF(ISNUMBER(BF535),IF(ABS(BF535)&lt;=0.000000001,0,BF535),0)</f>
        <v>0</v>
      </c>
      <c r="BA535" s="1049" t="str">
        <f t="shared" si="244"/>
        <v/>
      </c>
      <c r="BB535" s="1038"/>
      <c r="BC535" s="1050">
        <f t="shared" si="226"/>
        <v>0</v>
      </c>
      <c r="BD535" s="1040" t="str">
        <f t="shared" si="245"/>
        <v/>
      </c>
      <c r="BE535" s="227" t="s">
        <v>22</v>
      </c>
      <c r="BF535" s="1019">
        <f t="shared" si="246"/>
        <v>0</v>
      </c>
      <c r="BG535" s="1020">
        <f t="shared" si="247"/>
        <v>0</v>
      </c>
      <c r="BH535"/>
      <c r="BI535" s="709"/>
      <c r="BJ535" s="709"/>
      <c r="BK535" s="709"/>
      <c r="BL535" s="709"/>
      <c r="BM535" s="709"/>
      <c r="BN535" s="709"/>
      <c r="BO535" s="709"/>
      <c r="BP535" s="709"/>
      <c r="BW535" s="959" t="str">
        <f t="shared" si="228"/>
        <v>►</v>
      </c>
      <c r="BX535" s="856"/>
      <c r="BY535" s="856"/>
      <c r="BZ535" s="856"/>
      <c r="CA535" s="856"/>
      <c r="CB535" s="856"/>
      <c r="DB535" s="3">
        <v>1</v>
      </c>
    </row>
    <row r="536" spans="12:106" ht="21" customHeight="1">
      <c r="L536" s="104" t="s">
        <v>16</v>
      </c>
      <c r="M536" s="1172"/>
      <c r="N536" s="1172"/>
      <c r="O536" s="1172"/>
      <c r="P536" s="1173"/>
      <c r="Q536" s="1174"/>
      <c r="R536" s="1175"/>
      <c r="S536" s="1176"/>
      <c r="T536" s="1177"/>
      <c r="U536" s="5248"/>
      <c r="V536" s="1177"/>
      <c r="W536" s="5249"/>
      <c r="X536" s="5208"/>
      <c r="Y536" s="5209"/>
      <c r="Z536" s="5210"/>
      <c r="AA536" s="5211"/>
      <c r="AB536" s="1178"/>
      <c r="AC536" s="1179"/>
      <c r="AD536" s="227" t="s">
        <v>22</v>
      </c>
      <c r="AE536" s="1027" t="str">
        <f t="shared" si="229"/>
        <v>►</v>
      </c>
      <c r="AF536" s="1028" t="str">
        <f t="shared" si="230"/>
        <v/>
      </c>
      <c r="AG536" s="1029" t="str">
        <f t="shared" si="231"/>
        <v/>
      </c>
      <c r="AH536" s="1028" t="str">
        <f t="shared" si="232"/>
        <v/>
      </c>
      <c r="AI536" s="1029" t="str">
        <f t="shared" si="233"/>
        <v/>
      </c>
      <c r="AJ536" s="1029">
        <f t="shared" si="234"/>
        <v>0</v>
      </c>
      <c r="AK536" s="1043" t="str" cm="1">
        <f t="array" ref="AK536">IF(AE536&lt;&gt;"A","",IFERROR((IFERROR(_xlfn.XLOOKUP(TRIM(SUBSTITUTE(U536,CHAR(160)," ")),$BI$15:$BI$62,$BL$15:$BL$62),IFERROR(_xlfn.XLOOKUP(TRIM(SUBSTITUTE(U536,CHAR(160)," ")),$BJ$15:$BJ$62,$BL$15:$BL$62),_xlfn.XLOOKUP(TRIM(SUBSTITUTE(U536,CHAR(160)," ")),$BK$15:$BK$62,$BL$15:$BL$62))))*T536*IF(ISBLANK(Q536),1,Q536)+IFERROR(_xlfn.XLOOKUP("RECHERCHEX",TRIM(L536:AC536),L536:AC536),0),0))</f>
        <v/>
      </c>
      <c r="AL536" s="1030">
        <f t="shared" si="235"/>
        <v>0</v>
      </c>
      <c r="AM536" s="5254" t="str">
        <f t="shared" si="227"/>
        <v/>
      </c>
      <c r="AN536" s="1031">
        <f t="shared" si="236"/>
        <v>0</v>
      </c>
      <c r="AO536" s="1031">
        <f t="shared" si="237"/>
        <v>0</v>
      </c>
      <c r="AP536" s="1032">
        <f t="shared" si="238"/>
        <v>0</v>
      </c>
      <c r="AQ536" s="5255" t="str">
        <f t="shared" si="239"/>
        <v/>
      </c>
      <c r="AR536" s="1056"/>
      <c r="AS536" s="1056"/>
      <c r="AT536" s="1034">
        <f t="shared" si="240"/>
        <v>0</v>
      </c>
      <c r="AU536" s="1035">
        <f t="shared" si="241"/>
        <v>0</v>
      </c>
      <c r="AV536" s="1057" cm="1">
        <f t="array" ref="AV536">IF(AJ536&lt;&gt;1,0,IF(OR(AT536="",N(AT536)&lt;=0.000000001),"",IF(OR(AN536="",N(AN536)&lt;=0.000000001),0,IF(ISNUMBER(AT536),IFERROR(_xlfn.LET(_xlpm.ai_test,TRIM(AI536),_xlpm.r,IFERROR(_xlfn.XLOOKUP(_xlpm.ai_test,$BI$15:$BI$62,ROW($BI$15:$BI$62),0,1),IFERROR(_xlfn.XLOOKUP(_xlpm.ai_test,$BJ$15:$BJ$62,ROW($BJ$15:$BJ$62),0,1),_xlfn.XLOOKUP(_xlpm.ai_test,$BK$15:$BK$62,ROW($BK$15:$BK$62),0,1))),_xlpm.p,_xlpm.r-MIN(ROW($BI$15:$BI$62))+1,_xlpm.f,INDEX($BL$15:$BL$62,_xlpm.p),_xlpm.u,INDEX($BM$15:$BM$62,_xlpm.p),_xlpm.s,INDEX($BO$15:$BO$62,_xlpm.p),_xlpm.q,N(AT536)/_xlpm.f,IF(_xlpm.q&gt;=_xlpm.s,ROUND(_xlpm.q,1)&amp;" "&amp;_xlpm.ai_test&amp;" = "&amp;ROUND(_xlpm.q*_xlpm.f,1)&amp;" "&amp;_xlpm.u,ROUND(_xlpm.q,1)&amp;" "&amp;_xlpm.ai_test)),""),""))))</f>
        <v>0</v>
      </c>
      <c r="AW536" s="1047"/>
      <c r="AX536" s="1034">
        <f t="shared" si="242"/>
        <v>0</v>
      </c>
      <c r="AY536" s="1035" t="str">
        <f t="shared" si="243"/>
        <v/>
      </c>
      <c r="AZ536" s="1036">
        <f t="shared" si="248"/>
        <v>0</v>
      </c>
      <c r="BA536" s="1037" t="str">
        <f t="shared" si="244"/>
        <v/>
      </c>
      <c r="BB536" s="1038"/>
      <c r="BC536" s="1039">
        <f t="shared" si="226"/>
        <v>0</v>
      </c>
      <c r="BD536" s="1040" t="str">
        <f t="shared" si="245"/>
        <v/>
      </c>
      <c r="BE536" s="227" t="s">
        <v>22</v>
      </c>
      <c r="BF536" s="1019">
        <f t="shared" si="246"/>
        <v>0</v>
      </c>
      <c r="BG536" s="1020">
        <f t="shared" si="247"/>
        <v>0</v>
      </c>
      <c r="BH536"/>
      <c r="BI536" s="709"/>
      <c r="BJ536" s="709"/>
      <c r="BK536" s="709"/>
      <c r="BL536" s="709"/>
      <c r="BM536" s="709"/>
      <c r="BN536" s="709"/>
      <c r="BO536" s="709"/>
      <c r="BP536" s="709"/>
      <c r="BW536" s="959" t="str">
        <f t="shared" si="228"/>
        <v>►</v>
      </c>
      <c r="BX536" s="856"/>
      <c r="BY536" s="856"/>
      <c r="BZ536" s="856"/>
      <c r="CA536" s="856"/>
      <c r="CB536" s="856"/>
      <c r="DB536" s="3">
        <v>1</v>
      </c>
    </row>
    <row r="537" spans="12:106" ht="21" customHeight="1">
      <c r="L537" s="104" t="s">
        <v>16</v>
      </c>
      <c r="M537" s="1172"/>
      <c r="N537" s="1172"/>
      <c r="O537" s="1172"/>
      <c r="P537" s="1173"/>
      <c r="Q537" s="1174"/>
      <c r="R537" s="1175"/>
      <c r="S537" s="1176"/>
      <c r="T537" s="1177"/>
      <c r="U537" s="5248"/>
      <c r="V537" s="1177"/>
      <c r="W537" s="5249"/>
      <c r="X537" s="5208"/>
      <c r="Y537" s="5209"/>
      <c r="Z537" s="5210"/>
      <c r="AA537" s="5211"/>
      <c r="AB537" s="1178"/>
      <c r="AC537" s="1179"/>
      <c r="AD537" s="227" t="s">
        <v>22</v>
      </c>
      <c r="AE537" s="1027" t="str">
        <f t="shared" si="229"/>
        <v>►</v>
      </c>
      <c r="AF537" s="1028" t="str">
        <f t="shared" si="230"/>
        <v/>
      </c>
      <c r="AG537" s="1029" t="str">
        <f t="shared" si="231"/>
        <v/>
      </c>
      <c r="AH537" s="1028" t="str">
        <f t="shared" si="232"/>
        <v/>
      </c>
      <c r="AI537" s="1029" t="str">
        <f t="shared" si="233"/>
        <v/>
      </c>
      <c r="AJ537" s="1029">
        <f t="shared" si="234"/>
        <v>0</v>
      </c>
      <c r="AK537" s="1043" t="str" cm="1">
        <f t="array" ref="AK537">IF(AE537&lt;&gt;"A","",IFERROR((IFERROR(_xlfn.XLOOKUP(TRIM(SUBSTITUTE(U537,CHAR(160)," ")),$BI$15:$BI$62,$BL$15:$BL$62),IFERROR(_xlfn.XLOOKUP(TRIM(SUBSTITUTE(U537,CHAR(160)," ")),$BJ$15:$BJ$62,$BL$15:$BL$62),_xlfn.XLOOKUP(TRIM(SUBSTITUTE(U537,CHAR(160)," ")),$BK$15:$BK$62,$BL$15:$BL$62))))*T537*IF(ISBLANK(Q537),1,Q537)+IFERROR(_xlfn.XLOOKUP("RECHERCHEX",TRIM(L537:AC537),L537:AC537),0),0))</f>
        <v/>
      </c>
      <c r="AL537" s="1030">
        <f t="shared" si="235"/>
        <v>0</v>
      </c>
      <c r="AM537" s="5254" t="str">
        <f t="shared" si="227"/>
        <v/>
      </c>
      <c r="AN537" s="1031">
        <f t="shared" si="236"/>
        <v>0</v>
      </c>
      <c r="AO537" s="1031">
        <f t="shared" si="237"/>
        <v>0</v>
      </c>
      <c r="AP537" s="1044">
        <f t="shared" si="238"/>
        <v>0</v>
      </c>
      <c r="AQ537" s="5257" t="str">
        <f t="shared" si="239"/>
        <v/>
      </c>
      <c r="AR537" s="1056"/>
      <c r="AS537" s="1056"/>
      <c r="AT537" s="1045">
        <f t="shared" si="240"/>
        <v>0</v>
      </c>
      <c r="AU537" s="1046">
        <f t="shared" si="241"/>
        <v>0</v>
      </c>
      <c r="AV537" s="1059" cm="1">
        <f t="array" ref="AV537">IF(AJ537&lt;&gt;1,0,IF(OR(AT537="",N(AT537)&lt;=0.000000001),"",IF(OR(AN537="",N(AN537)&lt;=0.000000001),0,IF(ISNUMBER(AT537),IFERROR(_xlfn.LET(_xlpm.ai_test,TRIM(AI537),_xlpm.r,IFERROR(_xlfn.XLOOKUP(_xlpm.ai_test,$BI$15:$BI$62,ROW($BI$15:$BI$62),0,1),IFERROR(_xlfn.XLOOKUP(_xlpm.ai_test,$BJ$15:$BJ$62,ROW($BJ$15:$BJ$62),0,1),_xlfn.XLOOKUP(_xlpm.ai_test,$BK$15:$BK$62,ROW($BK$15:$BK$62),0,1))),_xlpm.p,_xlpm.r-MIN(ROW($BI$15:$BI$62))+1,_xlpm.f,INDEX($BL$15:$BL$62,_xlpm.p),_xlpm.u,INDEX($BM$15:$BM$62,_xlpm.p),_xlpm.s,INDEX($BO$15:$BO$62,_xlpm.p),_xlpm.q,N(AT537)/_xlpm.f,IF(_xlpm.q&gt;=_xlpm.s,ROUND(_xlpm.q,1)&amp;" "&amp;_xlpm.ai_test&amp;" = "&amp;ROUND(_xlpm.q*_xlpm.f,1)&amp;" "&amp;_xlpm.u,ROUND(_xlpm.q,1)&amp;" "&amp;_xlpm.ai_test)),""),""))))</f>
        <v>0</v>
      </c>
      <c r="AW537" s="1047"/>
      <c r="AX537" s="1045">
        <f t="shared" si="242"/>
        <v>0</v>
      </c>
      <c r="AY537" s="1046" t="str">
        <f t="shared" si="243"/>
        <v/>
      </c>
      <c r="AZ537" s="1048">
        <f t="shared" si="248"/>
        <v>0</v>
      </c>
      <c r="BA537" s="1049" t="str">
        <f t="shared" si="244"/>
        <v/>
      </c>
      <c r="BB537" s="1038"/>
      <c r="BC537" s="1050">
        <f t="shared" si="226"/>
        <v>0</v>
      </c>
      <c r="BD537" s="1040" t="str">
        <f t="shared" si="245"/>
        <v/>
      </c>
      <c r="BE537" s="227" t="s">
        <v>22</v>
      </c>
      <c r="BF537" s="1019">
        <f t="shared" si="246"/>
        <v>0</v>
      </c>
      <c r="BG537" s="1020">
        <f t="shared" si="247"/>
        <v>0</v>
      </c>
      <c r="BH537"/>
      <c r="BI537" s="709"/>
      <c r="BJ537" s="709"/>
      <c r="BK537" s="709"/>
      <c r="BL537" s="709"/>
      <c r="BM537" s="709"/>
      <c r="BN537" s="709"/>
      <c r="BO537" s="709"/>
      <c r="BP537" s="709"/>
      <c r="BW537" s="959" t="str">
        <f t="shared" si="228"/>
        <v>►</v>
      </c>
      <c r="BX537" s="856"/>
      <c r="BY537" s="856"/>
      <c r="BZ537" s="856"/>
      <c r="CA537" s="856"/>
      <c r="CB537" s="856"/>
      <c r="DB537" s="3">
        <v>1</v>
      </c>
    </row>
    <row r="538" spans="12:106" ht="21" customHeight="1">
      <c r="L538" s="104" t="s">
        <v>16</v>
      </c>
      <c r="M538" s="1172"/>
      <c r="N538" s="1172"/>
      <c r="O538" s="1172"/>
      <c r="P538" s="1173"/>
      <c r="Q538" s="1174"/>
      <c r="R538" s="1175"/>
      <c r="S538" s="1176"/>
      <c r="T538" s="1177"/>
      <c r="U538" s="5248"/>
      <c r="V538" s="1177"/>
      <c r="W538" s="5249"/>
      <c r="X538" s="5208"/>
      <c r="Y538" s="5209"/>
      <c r="Z538" s="5210"/>
      <c r="AA538" s="5211"/>
      <c r="AB538" s="1178"/>
      <c r="AC538" s="1179"/>
      <c r="AD538" s="227" t="s">
        <v>22</v>
      </c>
      <c r="AE538" s="1027" t="str">
        <f t="shared" si="229"/>
        <v>►</v>
      </c>
      <c r="AF538" s="1028" t="str">
        <f t="shared" si="230"/>
        <v/>
      </c>
      <c r="AG538" s="1029" t="str">
        <f t="shared" si="231"/>
        <v/>
      </c>
      <c r="AH538" s="1028" t="str">
        <f t="shared" si="232"/>
        <v/>
      </c>
      <c r="AI538" s="1029" t="str">
        <f t="shared" si="233"/>
        <v/>
      </c>
      <c r="AJ538" s="1029">
        <f t="shared" si="234"/>
        <v>0</v>
      </c>
      <c r="AK538" s="1043" t="str" cm="1">
        <f t="array" ref="AK538">IF(AE538&lt;&gt;"A","",IFERROR((IFERROR(_xlfn.XLOOKUP(TRIM(SUBSTITUTE(U538,CHAR(160)," ")),$BI$15:$BI$62,$BL$15:$BL$62),IFERROR(_xlfn.XLOOKUP(TRIM(SUBSTITUTE(U538,CHAR(160)," ")),$BJ$15:$BJ$62,$BL$15:$BL$62),_xlfn.XLOOKUP(TRIM(SUBSTITUTE(U538,CHAR(160)," ")),$BK$15:$BK$62,$BL$15:$BL$62))))*T538*IF(ISBLANK(Q538),1,Q538)+IFERROR(_xlfn.XLOOKUP("RECHERCHEX",TRIM(L538:AC538),L538:AC538),0),0))</f>
        <v/>
      </c>
      <c r="AL538" s="1030">
        <f t="shared" si="235"/>
        <v>0</v>
      </c>
      <c r="AM538" s="5254" t="str">
        <f t="shared" si="227"/>
        <v/>
      </c>
      <c r="AN538" s="1031">
        <f t="shared" si="236"/>
        <v>0</v>
      </c>
      <c r="AO538" s="1031">
        <f t="shared" si="237"/>
        <v>0</v>
      </c>
      <c r="AP538" s="1032">
        <f t="shared" si="238"/>
        <v>0</v>
      </c>
      <c r="AQ538" s="5255" t="str">
        <f t="shared" si="239"/>
        <v/>
      </c>
      <c r="AR538" s="1056"/>
      <c r="AS538" s="1056"/>
      <c r="AT538" s="1034">
        <f t="shared" si="240"/>
        <v>0</v>
      </c>
      <c r="AU538" s="1035">
        <f t="shared" si="241"/>
        <v>0</v>
      </c>
      <c r="AV538" s="1057" cm="1">
        <f t="array" ref="AV538">IF(AJ538&lt;&gt;1,0,IF(OR(AT538="",N(AT538)&lt;=0.000000001),"",IF(OR(AN538="",N(AN538)&lt;=0.000000001),0,IF(ISNUMBER(AT538),IFERROR(_xlfn.LET(_xlpm.ai_test,TRIM(AI538),_xlpm.r,IFERROR(_xlfn.XLOOKUP(_xlpm.ai_test,$BI$15:$BI$62,ROW($BI$15:$BI$62),0,1),IFERROR(_xlfn.XLOOKUP(_xlpm.ai_test,$BJ$15:$BJ$62,ROW($BJ$15:$BJ$62),0,1),_xlfn.XLOOKUP(_xlpm.ai_test,$BK$15:$BK$62,ROW($BK$15:$BK$62),0,1))),_xlpm.p,_xlpm.r-MIN(ROW($BI$15:$BI$62))+1,_xlpm.f,INDEX($BL$15:$BL$62,_xlpm.p),_xlpm.u,INDEX($BM$15:$BM$62,_xlpm.p),_xlpm.s,INDEX($BO$15:$BO$62,_xlpm.p),_xlpm.q,N(AT538)/_xlpm.f,IF(_xlpm.q&gt;=_xlpm.s,ROUND(_xlpm.q,1)&amp;" "&amp;_xlpm.ai_test&amp;" = "&amp;ROUND(_xlpm.q*_xlpm.f,1)&amp;" "&amp;_xlpm.u,ROUND(_xlpm.q,1)&amp;" "&amp;_xlpm.ai_test)),""),""))))</f>
        <v>0</v>
      </c>
      <c r="AW538" s="1047"/>
      <c r="AX538" s="1034">
        <f t="shared" si="242"/>
        <v>0</v>
      </c>
      <c r="AY538" s="1035" t="str">
        <f t="shared" si="243"/>
        <v/>
      </c>
      <c r="AZ538" s="1036">
        <f t="shared" si="248"/>
        <v>0</v>
      </c>
      <c r="BA538" s="1037" t="str">
        <f t="shared" si="244"/>
        <v/>
      </c>
      <c r="BB538" s="1038"/>
      <c r="BC538" s="1039">
        <f t="shared" si="226"/>
        <v>0</v>
      </c>
      <c r="BD538" s="1040" t="str">
        <f t="shared" si="245"/>
        <v/>
      </c>
      <c r="BE538" s="227" t="s">
        <v>22</v>
      </c>
      <c r="BF538" s="1019">
        <f t="shared" si="246"/>
        <v>0</v>
      </c>
      <c r="BG538" s="1020">
        <f t="shared" si="247"/>
        <v>0</v>
      </c>
      <c r="BH538"/>
      <c r="BI538" s="709"/>
      <c r="BJ538" s="709"/>
      <c r="BK538" s="709"/>
      <c r="BL538" s="709"/>
      <c r="BM538" s="709"/>
      <c r="BN538" s="709"/>
      <c r="BO538" s="709"/>
      <c r="BP538" s="709"/>
      <c r="BW538" s="959" t="str">
        <f t="shared" si="228"/>
        <v>►</v>
      </c>
      <c r="BX538" s="856"/>
      <c r="BY538" s="856"/>
      <c r="BZ538" s="856"/>
      <c r="CA538" s="856"/>
      <c r="CB538" s="856"/>
      <c r="DB538" s="3">
        <v>1</v>
      </c>
    </row>
    <row r="539" spans="12:106" ht="21" customHeight="1">
      <c r="L539" s="104" t="s">
        <v>16</v>
      </c>
      <c r="M539" s="1172"/>
      <c r="N539" s="1172"/>
      <c r="O539" s="1172"/>
      <c r="P539" s="1173"/>
      <c r="Q539" s="1174"/>
      <c r="R539" s="1175"/>
      <c r="S539" s="1176"/>
      <c r="T539" s="1177"/>
      <c r="U539" s="5248"/>
      <c r="V539" s="1177"/>
      <c r="W539" s="5249"/>
      <c r="X539" s="5208"/>
      <c r="Y539" s="5209"/>
      <c r="Z539" s="5210"/>
      <c r="AA539" s="5211"/>
      <c r="AB539" s="1178"/>
      <c r="AC539" s="1179"/>
      <c r="AD539" s="227" t="s">
        <v>22</v>
      </c>
      <c r="AE539" s="1027" t="str">
        <f t="shared" si="229"/>
        <v>►</v>
      </c>
      <c r="AF539" s="1028" t="str">
        <f t="shared" si="230"/>
        <v/>
      </c>
      <c r="AG539" s="1029" t="str">
        <f t="shared" si="231"/>
        <v/>
      </c>
      <c r="AH539" s="1028" t="str">
        <f t="shared" si="232"/>
        <v/>
      </c>
      <c r="AI539" s="1029" t="str">
        <f t="shared" si="233"/>
        <v/>
      </c>
      <c r="AJ539" s="1029">
        <f t="shared" si="234"/>
        <v>0</v>
      </c>
      <c r="AK539" s="1043" t="str" cm="1">
        <f t="array" ref="AK539">IF(AE539&lt;&gt;"A","",IFERROR((IFERROR(_xlfn.XLOOKUP(TRIM(SUBSTITUTE(U539,CHAR(160)," ")),$BI$15:$BI$62,$BL$15:$BL$62),IFERROR(_xlfn.XLOOKUP(TRIM(SUBSTITUTE(U539,CHAR(160)," ")),$BJ$15:$BJ$62,$BL$15:$BL$62),_xlfn.XLOOKUP(TRIM(SUBSTITUTE(U539,CHAR(160)," ")),$BK$15:$BK$62,$BL$15:$BL$62))))*T539*IF(ISBLANK(Q539),1,Q539)+IFERROR(_xlfn.XLOOKUP("RECHERCHEX",TRIM(L539:AC539),L539:AC539),0),0))</f>
        <v/>
      </c>
      <c r="AL539" s="1030">
        <f t="shared" si="235"/>
        <v>0</v>
      </c>
      <c r="AM539" s="5254" t="str">
        <f t="shared" si="227"/>
        <v/>
      </c>
      <c r="AN539" s="1031">
        <f t="shared" si="236"/>
        <v>0</v>
      </c>
      <c r="AO539" s="1031">
        <f t="shared" si="237"/>
        <v>0</v>
      </c>
      <c r="AP539" s="1044">
        <f t="shared" si="238"/>
        <v>0</v>
      </c>
      <c r="AQ539" s="5257" t="str">
        <f t="shared" si="239"/>
        <v/>
      </c>
      <c r="AR539" s="1056"/>
      <c r="AS539" s="1056"/>
      <c r="AT539" s="1045">
        <f t="shared" si="240"/>
        <v>0</v>
      </c>
      <c r="AU539" s="1046">
        <f t="shared" si="241"/>
        <v>0</v>
      </c>
      <c r="AV539" s="1059" cm="1">
        <f t="array" ref="AV539">IF(AJ539&lt;&gt;1,0,IF(OR(AT539="",N(AT539)&lt;=0.000000001),"",IF(OR(AN539="",N(AN539)&lt;=0.000000001),0,IF(ISNUMBER(AT539),IFERROR(_xlfn.LET(_xlpm.ai_test,TRIM(AI539),_xlpm.r,IFERROR(_xlfn.XLOOKUP(_xlpm.ai_test,$BI$15:$BI$62,ROW($BI$15:$BI$62),0,1),IFERROR(_xlfn.XLOOKUP(_xlpm.ai_test,$BJ$15:$BJ$62,ROW($BJ$15:$BJ$62),0,1),_xlfn.XLOOKUP(_xlpm.ai_test,$BK$15:$BK$62,ROW($BK$15:$BK$62),0,1))),_xlpm.p,_xlpm.r-MIN(ROW($BI$15:$BI$62))+1,_xlpm.f,INDEX($BL$15:$BL$62,_xlpm.p),_xlpm.u,INDEX($BM$15:$BM$62,_xlpm.p),_xlpm.s,INDEX($BO$15:$BO$62,_xlpm.p),_xlpm.q,N(AT539)/_xlpm.f,IF(_xlpm.q&gt;=_xlpm.s,ROUND(_xlpm.q,1)&amp;" "&amp;_xlpm.ai_test&amp;" = "&amp;ROUND(_xlpm.q*_xlpm.f,1)&amp;" "&amp;_xlpm.u,ROUND(_xlpm.q,1)&amp;" "&amp;_xlpm.ai_test)),""),""))))</f>
        <v>0</v>
      </c>
      <c r="AW539" s="1047"/>
      <c r="AX539" s="1045">
        <f t="shared" si="242"/>
        <v>0</v>
      </c>
      <c r="AY539" s="1046" t="str">
        <f t="shared" si="243"/>
        <v/>
      </c>
      <c r="AZ539" s="1048">
        <f t="shared" si="248"/>
        <v>0</v>
      </c>
      <c r="BA539" s="1049" t="str">
        <f t="shared" si="244"/>
        <v/>
      </c>
      <c r="BB539" s="1038"/>
      <c r="BC539" s="1050">
        <f t="shared" ref="BC539:BC549" si="249">IF(OR(AN539=0,ISBLANK(BB539),ISTEXT(AZ539)),0,(IF(AT539=0,AZ539,AT539)*BB539))</f>
        <v>0</v>
      </c>
      <c r="BD539" s="1040" t="str">
        <f t="shared" si="245"/>
        <v/>
      </c>
      <c r="BE539" s="227" t="s">
        <v>22</v>
      </c>
      <c r="BF539" s="1019">
        <f t="shared" si="246"/>
        <v>0</v>
      </c>
      <c r="BG539" s="1020">
        <f t="shared" si="247"/>
        <v>0</v>
      </c>
      <c r="BH539"/>
      <c r="BI539" s="709"/>
      <c r="BJ539" s="709"/>
      <c r="BK539" s="709"/>
      <c r="BL539" s="709"/>
      <c r="BM539" s="709"/>
      <c r="BN539" s="709"/>
      <c r="BO539" s="709"/>
      <c r="BP539" s="709"/>
      <c r="BW539" s="959" t="str">
        <f t="shared" si="228"/>
        <v>►</v>
      </c>
      <c r="BX539" s="856"/>
      <c r="BY539" s="856"/>
      <c r="BZ539" s="856"/>
      <c r="CA539" s="856"/>
      <c r="CB539" s="856"/>
      <c r="DB539" s="3">
        <v>1</v>
      </c>
    </row>
    <row r="540" spans="12:106" ht="21" customHeight="1">
      <c r="L540" s="104" t="s">
        <v>16</v>
      </c>
      <c r="M540" s="1172"/>
      <c r="N540" s="1172"/>
      <c r="O540" s="1172"/>
      <c r="P540" s="1173"/>
      <c r="Q540" s="1174"/>
      <c r="R540" s="1175"/>
      <c r="S540" s="1176"/>
      <c r="T540" s="1177"/>
      <c r="U540" s="5248"/>
      <c r="V540" s="1177"/>
      <c r="W540" s="5249"/>
      <c r="X540" s="5208"/>
      <c r="Y540" s="5209"/>
      <c r="Z540" s="5210"/>
      <c r="AA540" s="5211"/>
      <c r="AB540" s="1178"/>
      <c r="AC540" s="1179"/>
      <c r="AD540" s="227" t="s">
        <v>22</v>
      </c>
      <c r="AE540" s="1027" t="str">
        <f t="shared" si="229"/>
        <v>►</v>
      </c>
      <c r="AF540" s="1028" t="str">
        <f t="shared" si="230"/>
        <v/>
      </c>
      <c r="AG540" s="1029" t="str">
        <f t="shared" si="231"/>
        <v/>
      </c>
      <c r="AH540" s="1028" t="str">
        <f t="shared" si="232"/>
        <v/>
      </c>
      <c r="AI540" s="1029" t="str">
        <f t="shared" si="233"/>
        <v/>
      </c>
      <c r="AJ540" s="1029">
        <f t="shared" si="234"/>
        <v>0</v>
      </c>
      <c r="AK540" s="1043" t="str" cm="1">
        <f t="array" ref="AK540">IF(AE540&lt;&gt;"A","",IFERROR((IFERROR(_xlfn.XLOOKUP(TRIM(SUBSTITUTE(U540,CHAR(160)," ")),$BI$15:$BI$62,$BL$15:$BL$62),IFERROR(_xlfn.XLOOKUP(TRIM(SUBSTITUTE(U540,CHAR(160)," ")),$BJ$15:$BJ$62,$BL$15:$BL$62),_xlfn.XLOOKUP(TRIM(SUBSTITUTE(U540,CHAR(160)," ")),$BK$15:$BK$62,$BL$15:$BL$62))))*T540*IF(ISBLANK(Q540),1,Q540)+IFERROR(_xlfn.XLOOKUP("RECHERCHEX",TRIM(L540:AC540),L540:AC540),0),0))</f>
        <v/>
      </c>
      <c r="AL540" s="1030">
        <f t="shared" si="235"/>
        <v>0</v>
      </c>
      <c r="AM540" s="5254" t="str">
        <f t="shared" si="227"/>
        <v/>
      </c>
      <c r="AN540" s="1031">
        <f t="shared" si="236"/>
        <v>0</v>
      </c>
      <c r="AO540" s="1031">
        <f t="shared" si="237"/>
        <v>0</v>
      </c>
      <c r="AP540" s="1032">
        <f t="shared" si="238"/>
        <v>0</v>
      </c>
      <c r="AQ540" s="5255" t="str">
        <f t="shared" si="239"/>
        <v/>
      </c>
      <c r="AR540" s="1056"/>
      <c r="AS540" s="1056"/>
      <c r="AT540" s="1034">
        <f t="shared" si="240"/>
        <v>0</v>
      </c>
      <c r="AU540" s="1035">
        <f t="shared" si="241"/>
        <v>0</v>
      </c>
      <c r="AV540" s="1057" cm="1">
        <f t="array" ref="AV540">IF(AJ540&lt;&gt;1,0,IF(OR(AT540="",N(AT540)&lt;=0.000000001),"",IF(OR(AN540="",N(AN540)&lt;=0.000000001),0,IF(ISNUMBER(AT540),IFERROR(_xlfn.LET(_xlpm.ai_test,TRIM(AI540),_xlpm.r,IFERROR(_xlfn.XLOOKUP(_xlpm.ai_test,$BI$15:$BI$62,ROW($BI$15:$BI$62),0,1),IFERROR(_xlfn.XLOOKUP(_xlpm.ai_test,$BJ$15:$BJ$62,ROW($BJ$15:$BJ$62),0,1),_xlfn.XLOOKUP(_xlpm.ai_test,$BK$15:$BK$62,ROW($BK$15:$BK$62),0,1))),_xlpm.p,_xlpm.r-MIN(ROW($BI$15:$BI$62))+1,_xlpm.f,INDEX($BL$15:$BL$62,_xlpm.p),_xlpm.u,INDEX($BM$15:$BM$62,_xlpm.p),_xlpm.s,INDEX($BO$15:$BO$62,_xlpm.p),_xlpm.q,N(AT540)/_xlpm.f,IF(_xlpm.q&gt;=_xlpm.s,ROUND(_xlpm.q,1)&amp;" "&amp;_xlpm.ai_test&amp;" = "&amp;ROUND(_xlpm.q*_xlpm.f,1)&amp;" "&amp;_xlpm.u,ROUND(_xlpm.q,1)&amp;" "&amp;_xlpm.ai_test)),""),""))))</f>
        <v>0</v>
      </c>
      <c r="AW540" s="1047"/>
      <c r="AX540" s="1034">
        <f t="shared" si="242"/>
        <v>0</v>
      </c>
      <c r="AY540" s="1035" t="str">
        <f t="shared" si="243"/>
        <v/>
      </c>
      <c r="AZ540" s="1036">
        <f t="shared" si="248"/>
        <v>0</v>
      </c>
      <c r="BA540" s="1037" t="str">
        <f t="shared" si="244"/>
        <v/>
      </c>
      <c r="BB540" s="1038"/>
      <c r="BC540" s="1039">
        <f t="shared" si="249"/>
        <v>0</v>
      </c>
      <c r="BD540" s="1040" t="str">
        <f t="shared" si="245"/>
        <v/>
      </c>
      <c r="BE540" s="227" t="s">
        <v>22</v>
      </c>
      <c r="BF540" s="1019">
        <f t="shared" si="246"/>
        <v>0</v>
      </c>
      <c r="BG540" s="1020">
        <f t="shared" si="247"/>
        <v>0</v>
      </c>
      <c r="BH540"/>
      <c r="BI540" s="709"/>
      <c r="BJ540" s="709"/>
      <c r="BK540" s="709"/>
      <c r="BL540" s="709"/>
      <c r="BM540" s="709"/>
      <c r="BN540" s="709"/>
      <c r="BO540" s="709"/>
      <c r="BP540" s="709"/>
      <c r="BW540" s="959" t="str">
        <f t="shared" si="228"/>
        <v>►</v>
      </c>
      <c r="BX540" s="856"/>
      <c r="BY540" s="856"/>
      <c r="BZ540" s="856"/>
      <c r="CA540" s="856"/>
      <c r="CB540" s="856"/>
      <c r="DB540" s="3">
        <v>1</v>
      </c>
    </row>
    <row r="541" spans="12:106" ht="21" customHeight="1">
      <c r="L541" s="104" t="s">
        <v>16</v>
      </c>
      <c r="M541" s="1172"/>
      <c r="N541" s="1172"/>
      <c r="O541" s="1172"/>
      <c r="P541" s="1173"/>
      <c r="Q541" s="1174"/>
      <c r="R541" s="1175"/>
      <c r="S541" s="1176"/>
      <c r="T541" s="1177"/>
      <c r="U541" s="5248"/>
      <c r="V541" s="1177"/>
      <c r="W541" s="5249"/>
      <c r="X541" s="5208"/>
      <c r="Y541" s="5209"/>
      <c r="Z541" s="5210"/>
      <c r="AA541" s="5211"/>
      <c r="AB541" s="1178"/>
      <c r="AC541" s="1179"/>
      <c r="AD541" s="227" t="s">
        <v>22</v>
      </c>
      <c r="AE541" s="1027" t="str">
        <f t="shared" si="229"/>
        <v>►</v>
      </c>
      <c r="AF541" s="1028" t="str">
        <f t="shared" si="230"/>
        <v/>
      </c>
      <c r="AG541" s="1029" t="str">
        <f t="shared" si="231"/>
        <v/>
      </c>
      <c r="AH541" s="1028" t="str">
        <f t="shared" si="232"/>
        <v/>
      </c>
      <c r="AI541" s="1029" t="str">
        <f t="shared" si="233"/>
        <v/>
      </c>
      <c r="AJ541" s="1029">
        <f t="shared" si="234"/>
        <v>0</v>
      </c>
      <c r="AK541" s="1043" t="str" cm="1">
        <f t="array" ref="AK541">IF(AE541&lt;&gt;"A","",IFERROR((IFERROR(_xlfn.XLOOKUP(TRIM(SUBSTITUTE(U541,CHAR(160)," ")),$BI$15:$BI$62,$BL$15:$BL$62),IFERROR(_xlfn.XLOOKUP(TRIM(SUBSTITUTE(U541,CHAR(160)," ")),$BJ$15:$BJ$62,$BL$15:$BL$62),_xlfn.XLOOKUP(TRIM(SUBSTITUTE(U541,CHAR(160)," ")),$BK$15:$BK$62,$BL$15:$BL$62))))*T541*IF(ISBLANK(Q541),1,Q541)+IFERROR(_xlfn.XLOOKUP("RECHERCHEX",TRIM(L541:AC541),L541:AC541),0),0))</f>
        <v/>
      </c>
      <c r="AL541" s="1030">
        <f t="shared" si="235"/>
        <v>0</v>
      </c>
      <c r="AM541" s="5254" t="str">
        <f t="shared" si="227"/>
        <v/>
      </c>
      <c r="AN541" s="1031">
        <f t="shared" si="236"/>
        <v>0</v>
      </c>
      <c r="AO541" s="1031">
        <f t="shared" si="237"/>
        <v>0</v>
      </c>
      <c r="AP541" s="1044">
        <f t="shared" si="238"/>
        <v>0</v>
      </c>
      <c r="AQ541" s="5257" t="str">
        <f t="shared" si="239"/>
        <v/>
      </c>
      <c r="AR541" s="1056"/>
      <c r="AS541" s="1056"/>
      <c r="AT541" s="1045">
        <f t="shared" si="240"/>
        <v>0</v>
      </c>
      <c r="AU541" s="1046">
        <f t="shared" si="241"/>
        <v>0</v>
      </c>
      <c r="AV541" s="1059" cm="1">
        <f t="array" ref="AV541">IF(AJ541&lt;&gt;1,0,IF(OR(AT541="",N(AT541)&lt;=0.000000001),"",IF(OR(AN541="",N(AN541)&lt;=0.000000001),0,IF(ISNUMBER(AT541),IFERROR(_xlfn.LET(_xlpm.ai_test,TRIM(AI541),_xlpm.r,IFERROR(_xlfn.XLOOKUP(_xlpm.ai_test,$BI$15:$BI$62,ROW($BI$15:$BI$62),0,1),IFERROR(_xlfn.XLOOKUP(_xlpm.ai_test,$BJ$15:$BJ$62,ROW($BJ$15:$BJ$62),0,1),_xlfn.XLOOKUP(_xlpm.ai_test,$BK$15:$BK$62,ROW($BK$15:$BK$62),0,1))),_xlpm.p,_xlpm.r-MIN(ROW($BI$15:$BI$62))+1,_xlpm.f,INDEX($BL$15:$BL$62,_xlpm.p),_xlpm.u,INDEX($BM$15:$BM$62,_xlpm.p),_xlpm.s,INDEX($BO$15:$BO$62,_xlpm.p),_xlpm.q,N(AT541)/_xlpm.f,IF(_xlpm.q&gt;=_xlpm.s,ROUND(_xlpm.q,1)&amp;" "&amp;_xlpm.ai_test&amp;" = "&amp;ROUND(_xlpm.q*_xlpm.f,1)&amp;" "&amp;_xlpm.u,ROUND(_xlpm.q,1)&amp;" "&amp;_xlpm.ai_test)),""),""))))</f>
        <v>0</v>
      </c>
      <c r="AW541" s="1047"/>
      <c r="AX541" s="1045">
        <f t="shared" si="242"/>
        <v>0</v>
      </c>
      <c r="AY541" s="1046" t="str">
        <f t="shared" si="243"/>
        <v/>
      </c>
      <c r="AZ541" s="1048">
        <f t="shared" si="248"/>
        <v>0</v>
      </c>
      <c r="BA541" s="1049" t="str">
        <f t="shared" si="244"/>
        <v/>
      </c>
      <c r="BB541" s="1038"/>
      <c r="BC541" s="1050">
        <f t="shared" si="249"/>
        <v>0</v>
      </c>
      <c r="BD541" s="1040" t="str">
        <f t="shared" si="245"/>
        <v/>
      </c>
      <c r="BE541" s="227" t="s">
        <v>22</v>
      </c>
      <c r="BF541" s="1019">
        <f t="shared" si="246"/>
        <v>0</v>
      </c>
      <c r="BG541" s="1020">
        <f t="shared" si="247"/>
        <v>0</v>
      </c>
      <c r="BH541"/>
      <c r="BI541" s="709"/>
      <c r="BJ541" s="709"/>
      <c r="BK541" s="709"/>
      <c r="BL541" s="709"/>
      <c r="BM541" s="709"/>
      <c r="BN541" s="709"/>
      <c r="BO541" s="709"/>
      <c r="BP541" s="709"/>
      <c r="BW541" s="959" t="str">
        <f t="shared" si="228"/>
        <v>►</v>
      </c>
      <c r="BX541" s="856"/>
      <c r="BY541" s="856"/>
      <c r="BZ541" s="856"/>
      <c r="CA541" s="856"/>
      <c r="CB541" s="856"/>
      <c r="DB541" s="3">
        <v>1</v>
      </c>
    </row>
    <row r="542" spans="12:106" ht="21" customHeight="1">
      <c r="L542" s="104" t="s">
        <v>16</v>
      </c>
      <c r="M542" s="1172"/>
      <c r="N542" s="1172"/>
      <c r="O542" s="1172"/>
      <c r="P542" s="1173"/>
      <c r="Q542" s="1174"/>
      <c r="R542" s="1175"/>
      <c r="S542" s="1176"/>
      <c r="T542" s="1177"/>
      <c r="U542" s="5248"/>
      <c r="V542" s="1177"/>
      <c r="W542" s="5249"/>
      <c r="X542" s="5208"/>
      <c r="Y542" s="5209"/>
      <c r="Z542" s="5210"/>
      <c r="AA542" s="5211"/>
      <c r="AB542" s="1178"/>
      <c r="AC542" s="1179"/>
      <c r="AD542" s="227" t="s">
        <v>22</v>
      </c>
      <c r="AE542" s="1027" t="str">
        <f t="shared" si="229"/>
        <v>►</v>
      </c>
      <c r="AF542" s="1028" t="str">
        <f t="shared" si="230"/>
        <v/>
      </c>
      <c r="AG542" s="1029" t="str">
        <f t="shared" si="231"/>
        <v/>
      </c>
      <c r="AH542" s="1028" t="str">
        <f t="shared" si="232"/>
        <v/>
      </c>
      <c r="AI542" s="1029" t="str">
        <f t="shared" si="233"/>
        <v/>
      </c>
      <c r="AJ542" s="1029">
        <f t="shared" si="234"/>
        <v>0</v>
      </c>
      <c r="AK542" s="1043" t="str" cm="1">
        <f t="array" ref="AK542">IF(AE542&lt;&gt;"A","",IFERROR((IFERROR(_xlfn.XLOOKUP(TRIM(SUBSTITUTE(U542,CHAR(160)," ")),$BI$15:$BI$62,$BL$15:$BL$62),IFERROR(_xlfn.XLOOKUP(TRIM(SUBSTITUTE(U542,CHAR(160)," ")),$BJ$15:$BJ$62,$BL$15:$BL$62),_xlfn.XLOOKUP(TRIM(SUBSTITUTE(U542,CHAR(160)," ")),$BK$15:$BK$62,$BL$15:$BL$62))))*T542*IF(ISBLANK(Q542),1,Q542)+IFERROR(_xlfn.XLOOKUP("RECHERCHEX",TRIM(L542:AC542),L542:AC542),0),0))</f>
        <v/>
      </c>
      <c r="AL542" s="1030">
        <f t="shared" si="235"/>
        <v>0</v>
      </c>
      <c r="AM542" s="5254" t="str">
        <f t="shared" ref="AM542:AM549" si="250">IF(AE542="A","❾ Author reference &gt;","")</f>
        <v/>
      </c>
      <c r="AN542" s="1031">
        <f t="shared" si="236"/>
        <v>0</v>
      </c>
      <c r="AO542" s="1031">
        <f t="shared" si="237"/>
        <v>0</v>
      </c>
      <c r="AP542" s="1032">
        <f t="shared" si="238"/>
        <v>0</v>
      </c>
      <c r="AQ542" s="5255" t="str">
        <f t="shared" si="239"/>
        <v/>
      </c>
      <c r="AR542" s="1056"/>
      <c r="AS542" s="1056"/>
      <c r="AT542" s="1034">
        <f t="shared" si="240"/>
        <v>0</v>
      </c>
      <c r="AU542" s="1035">
        <f t="shared" si="241"/>
        <v>0</v>
      </c>
      <c r="AV542" s="1057" cm="1">
        <f t="array" ref="AV542">IF(AJ542&lt;&gt;1,0,IF(OR(AT542="",N(AT542)&lt;=0.000000001),"",IF(OR(AN542="",N(AN542)&lt;=0.000000001),0,IF(ISNUMBER(AT542),IFERROR(_xlfn.LET(_xlpm.ai_test,TRIM(AI542),_xlpm.r,IFERROR(_xlfn.XLOOKUP(_xlpm.ai_test,$BI$15:$BI$62,ROW($BI$15:$BI$62),0,1),IFERROR(_xlfn.XLOOKUP(_xlpm.ai_test,$BJ$15:$BJ$62,ROW($BJ$15:$BJ$62),0,1),_xlfn.XLOOKUP(_xlpm.ai_test,$BK$15:$BK$62,ROW($BK$15:$BK$62),0,1))),_xlpm.p,_xlpm.r-MIN(ROW($BI$15:$BI$62))+1,_xlpm.f,INDEX($BL$15:$BL$62,_xlpm.p),_xlpm.u,INDEX($BM$15:$BM$62,_xlpm.p),_xlpm.s,INDEX($BO$15:$BO$62,_xlpm.p),_xlpm.q,N(AT542)/_xlpm.f,IF(_xlpm.q&gt;=_xlpm.s,ROUND(_xlpm.q,1)&amp;" "&amp;_xlpm.ai_test&amp;" = "&amp;ROUND(_xlpm.q*_xlpm.f,1)&amp;" "&amp;_xlpm.u,ROUND(_xlpm.q,1)&amp;" "&amp;_xlpm.ai_test)),""),""))))</f>
        <v>0</v>
      </c>
      <c r="AW542" s="1047"/>
      <c r="AX542" s="1034">
        <f t="shared" si="242"/>
        <v>0</v>
      </c>
      <c r="AY542" s="1035" t="str">
        <f t="shared" si="243"/>
        <v/>
      </c>
      <c r="AZ542" s="1036">
        <f t="shared" si="248"/>
        <v>0</v>
      </c>
      <c r="BA542" s="1037" t="str">
        <f t="shared" si="244"/>
        <v/>
      </c>
      <c r="BB542" s="1038"/>
      <c r="BC542" s="1039">
        <f t="shared" si="249"/>
        <v>0</v>
      </c>
      <c r="BD542" s="1040" t="str">
        <f t="shared" si="245"/>
        <v/>
      </c>
      <c r="BE542" s="227" t="s">
        <v>22</v>
      </c>
      <c r="BF542" s="1019">
        <f t="shared" si="246"/>
        <v>0</v>
      </c>
      <c r="BG542" s="1020">
        <f t="shared" si="247"/>
        <v>0</v>
      </c>
      <c r="BH542"/>
      <c r="BI542" s="709"/>
      <c r="BJ542" s="709"/>
      <c r="BK542" s="709"/>
      <c r="BL542" s="709"/>
      <c r="BM542" s="709"/>
      <c r="BN542" s="709"/>
      <c r="BO542" s="709"/>
      <c r="BP542" s="709"/>
      <c r="BW542" s="959" t="str">
        <f t="shared" si="228"/>
        <v>►</v>
      </c>
      <c r="BX542" s="856"/>
      <c r="BY542" s="856"/>
      <c r="BZ542" s="856"/>
      <c r="CA542" s="856"/>
      <c r="CB542" s="856"/>
      <c r="DB542" s="3">
        <v>1</v>
      </c>
    </row>
    <row r="543" spans="12:106" ht="21" customHeight="1">
      <c r="L543" s="104" t="s">
        <v>16</v>
      </c>
      <c r="M543" s="1172"/>
      <c r="N543" s="1172"/>
      <c r="O543" s="1172"/>
      <c r="P543" s="1173"/>
      <c r="Q543" s="1174"/>
      <c r="R543" s="1175"/>
      <c r="S543" s="1176"/>
      <c r="T543" s="1177"/>
      <c r="U543" s="5248"/>
      <c r="V543" s="1177"/>
      <c r="W543" s="5249"/>
      <c r="X543" s="5208"/>
      <c r="Y543" s="5209"/>
      <c r="Z543" s="5210"/>
      <c r="AA543" s="5211"/>
      <c r="AB543" s="1178"/>
      <c r="AC543" s="1179"/>
      <c r="AD543" s="227" t="s">
        <v>22</v>
      </c>
      <c r="AE543" s="1027" t="str">
        <f t="shared" si="229"/>
        <v>►</v>
      </c>
      <c r="AF543" s="1028" t="str">
        <f t="shared" si="230"/>
        <v/>
      </c>
      <c r="AG543" s="1029" t="str">
        <f t="shared" si="231"/>
        <v/>
      </c>
      <c r="AH543" s="1028" t="str">
        <f t="shared" si="232"/>
        <v/>
      </c>
      <c r="AI543" s="1029" t="str">
        <f t="shared" si="233"/>
        <v/>
      </c>
      <c r="AJ543" s="1029">
        <f t="shared" si="234"/>
        <v>0</v>
      </c>
      <c r="AK543" s="1043" t="str" cm="1">
        <f t="array" ref="AK543">IF(AE543&lt;&gt;"A","",IFERROR((IFERROR(_xlfn.XLOOKUP(TRIM(SUBSTITUTE(U543,CHAR(160)," ")),$BI$15:$BI$62,$BL$15:$BL$62),IFERROR(_xlfn.XLOOKUP(TRIM(SUBSTITUTE(U543,CHAR(160)," ")),$BJ$15:$BJ$62,$BL$15:$BL$62),_xlfn.XLOOKUP(TRIM(SUBSTITUTE(U543,CHAR(160)," ")),$BK$15:$BK$62,$BL$15:$BL$62))))*T543*IF(ISBLANK(Q543),1,Q543)+IFERROR(_xlfn.XLOOKUP("RECHERCHEX",TRIM(L543:AC543),L543:AC543),0),0))</f>
        <v/>
      </c>
      <c r="AL543" s="1030">
        <f t="shared" si="235"/>
        <v>0</v>
      </c>
      <c r="AM543" s="5254" t="str">
        <f t="shared" si="250"/>
        <v/>
      </c>
      <c r="AN543" s="1031">
        <f t="shared" si="236"/>
        <v>0</v>
      </c>
      <c r="AO543" s="1031">
        <f t="shared" si="237"/>
        <v>0</v>
      </c>
      <c r="AP543" s="1044">
        <f t="shared" si="238"/>
        <v>0</v>
      </c>
      <c r="AQ543" s="5257" t="str">
        <f t="shared" si="239"/>
        <v/>
      </c>
      <c r="AR543" s="1056"/>
      <c r="AS543" s="1056"/>
      <c r="AT543" s="1045">
        <f t="shared" si="240"/>
        <v>0</v>
      </c>
      <c r="AU543" s="1046">
        <f t="shared" si="241"/>
        <v>0</v>
      </c>
      <c r="AV543" s="1059" cm="1">
        <f t="array" ref="AV543">IF(AJ543&lt;&gt;1,0,IF(OR(AT543="",N(AT543)&lt;=0.000000001),"",IF(OR(AN543="",N(AN543)&lt;=0.000000001),0,IF(ISNUMBER(AT543),IFERROR(_xlfn.LET(_xlpm.ai_test,TRIM(AI543),_xlpm.r,IFERROR(_xlfn.XLOOKUP(_xlpm.ai_test,$BI$15:$BI$62,ROW($BI$15:$BI$62),0,1),IFERROR(_xlfn.XLOOKUP(_xlpm.ai_test,$BJ$15:$BJ$62,ROW($BJ$15:$BJ$62),0,1),_xlfn.XLOOKUP(_xlpm.ai_test,$BK$15:$BK$62,ROW($BK$15:$BK$62),0,1))),_xlpm.p,_xlpm.r-MIN(ROW($BI$15:$BI$62))+1,_xlpm.f,INDEX($BL$15:$BL$62,_xlpm.p),_xlpm.u,INDEX($BM$15:$BM$62,_xlpm.p),_xlpm.s,INDEX($BO$15:$BO$62,_xlpm.p),_xlpm.q,N(AT543)/_xlpm.f,IF(_xlpm.q&gt;=_xlpm.s,ROUND(_xlpm.q,1)&amp;" "&amp;_xlpm.ai_test&amp;" = "&amp;ROUND(_xlpm.q*_xlpm.f,1)&amp;" "&amp;_xlpm.u,ROUND(_xlpm.q,1)&amp;" "&amp;_xlpm.ai_test)),""),""))))</f>
        <v>0</v>
      </c>
      <c r="AW543" s="1047"/>
      <c r="AX543" s="1045">
        <f t="shared" si="242"/>
        <v>0</v>
      </c>
      <c r="AY543" s="1046" t="str">
        <f t="shared" si="243"/>
        <v/>
      </c>
      <c r="AZ543" s="1048">
        <f t="shared" si="248"/>
        <v>0</v>
      </c>
      <c r="BA543" s="1049" t="str">
        <f t="shared" si="244"/>
        <v/>
      </c>
      <c r="BB543" s="1038"/>
      <c r="BC543" s="1050">
        <f t="shared" si="249"/>
        <v>0</v>
      </c>
      <c r="BD543" s="1040" t="str">
        <f t="shared" si="245"/>
        <v/>
      </c>
      <c r="BE543" s="227" t="s">
        <v>22</v>
      </c>
      <c r="BF543" s="1019">
        <f t="shared" si="246"/>
        <v>0</v>
      </c>
      <c r="BG543" s="1020">
        <f t="shared" si="247"/>
        <v>0</v>
      </c>
      <c r="BH543"/>
      <c r="BI543" s="709"/>
      <c r="BJ543" s="709"/>
      <c r="BK543" s="709"/>
      <c r="BL543" s="709"/>
      <c r="BM543" s="709"/>
      <c r="BN543" s="709"/>
      <c r="BO543" s="709"/>
      <c r="BP543" s="709"/>
      <c r="BW543" s="959" t="str">
        <f t="shared" si="228"/>
        <v>►</v>
      </c>
      <c r="BX543" s="856"/>
      <c r="BY543" s="856"/>
      <c r="BZ543" s="856"/>
      <c r="CA543" s="856"/>
      <c r="CB543" s="856"/>
      <c r="DB543" s="3">
        <v>1</v>
      </c>
    </row>
    <row r="544" spans="12:106" ht="21" customHeight="1">
      <c r="L544" s="104" t="s">
        <v>16</v>
      </c>
      <c r="M544" s="1172"/>
      <c r="N544" s="1172"/>
      <c r="O544" s="1172"/>
      <c r="P544" s="1173"/>
      <c r="Q544" s="1174"/>
      <c r="R544" s="1175"/>
      <c r="S544" s="1176"/>
      <c r="T544" s="1177"/>
      <c r="U544" s="5248"/>
      <c r="V544" s="1177"/>
      <c r="W544" s="5249"/>
      <c r="X544" s="5208"/>
      <c r="Y544" s="5209"/>
      <c r="Z544" s="5210"/>
      <c r="AA544" s="5211"/>
      <c r="AB544" s="1178"/>
      <c r="AC544" s="1179"/>
      <c r="AD544" s="227" t="s">
        <v>22</v>
      </c>
      <c r="AE544" s="1027" t="str">
        <f t="shared" si="229"/>
        <v>►</v>
      </c>
      <c r="AF544" s="1028" t="str">
        <f t="shared" si="230"/>
        <v/>
      </c>
      <c r="AG544" s="1029" t="str">
        <f t="shared" si="231"/>
        <v/>
      </c>
      <c r="AH544" s="1028" t="str">
        <f t="shared" si="232"/>
        <v/>
      </c>
      <c r="AI544" s="1029" t="str">
        <f t="shared" si="233"/>
        <v/>
      </c>
      <c r="AJ544" s="1029">
        <f t="shared" si="234"/>
        <v>0</v>
      </c>
      <c r="AK544" s="1043" t="str" cm="1">
        <f t="array" ref="AK544">IF(AE544&lt;&gt;"A","",IFERROR((IFERROR(_xlfn.XLOOKUP(TRIM(SUBSTITUTE(U544,CHAR(160)," ")),$BI$15:$BI$62,$BL$15:$BL$62),IFERROR(_xlfn.XLOOKUP(TRIM(SUBSTITUTE(U544,CHAR(160)," ")),$BJ$15:$BJ$62,$BL$15:$BL$62),_xlfn.XLOOKUP(TRIM(SUBSTITUTE(U544,CHAR(160)," ")),$BK$15:$BK$62,$BL$15:$BL$62))))*T544*IF(ISBLANK(Q544),1,Q544)+IFERROR(_xlfn.XLOOKUP("RECHERCHEX",TRIM(L544:AC544),L544:AC544),0),0))</f>
        <v/>
      </c>
      <c r="AL544" s="1030">
        <f t="shared" si="235"/>
        <v>0</v>
      </c>
      <c r="AM544" s="5254" t="str">
        <f t="shared" si="250"/>
        <v/>
      </c>
      <c r="AN544" s="1031">
        <f t="shared" ref="AN544:AN549" si="251">IF(AJ544,N544,0)</f>
        <v>0</v>
      </c>
      <c r="AO544" s="1031">
        <f t="shared" si="237"/>
        <v>0</v>
      </c>
      <c r="AP544" s="1032">
        <f t="shared" si="238"/>
        <v>0</v>
      </c>
      <c r="AQ544" s="5255" t="str">
        <f t="shared" si="239"/>
        <v/>
      </c>
      <c r="AR544" s="1056"/>
      <c r="AS544" s="1056"/>
      <c r="AT544" s="1034">
        <f t="shared" si="240"/>
        <v>0</v>
      </c>
      <c r="AU544" s="1035">
        <f t="shared" si="241"/>
        <v>0</v>
      </c>
      <c r="AV544" s="1057" cm="1">
        <f t="array" ref="AV544">IF(AJ544&lt;&gt;1,0,IF(OR(AT544="",N(AT544)&lt;=0.000000001),"",IF(OR(AN544="",N(AN544)&lt;=0.000000001),0,IF(ISNUMBER(AT544),IFERROR(_xlfn.LET(_xlpm.ai_test,TRIM(AI544),_xlpm.r,IFERROR(_xlfn.XLOOKUP(_xlpm.ai_test,$BI$15:$BI$62,ROW($BI$15:$BI$62),0,1),IFERROR(_xlfn.XLOOKUP(_xlpm.ai_test,$BJ$15:$BJ$62,ROW($BJ$15:$BJ$62),0,1),_xlfn.XLOOKUP(_xlpm.ai_test,$BK$15:$BK$62,ROW($BK$15:$BK$62),0,1))),_xlpm.p,_xlpm.r-MIN(ROW($BI$15:$BI$62))+1,_xlpm.f,INDEX($BL$15:$BL$62,_xlpm.p),_xlpm.u,INDEX($BM$15:$BM$62,_xlpm.p),_xlpm.s,INDEX($BO$15:$BO$62,_xlpm.p),_xlpm.q,N(AT544)/_xlpm.f,IF(_xlpm.q&gt;=_xlpm.s,ROUND(_xlpm.q,1)&amp;" "&amp;_xlpm.ai_test&amp;" = "&amp;ROUND(_xlpm.q*_xlpm.f,1)&amp;" "&amp;_xlpm.u,ROUND(_xlpm.q,1)&amp;" "&amp;_xlpm.ai_test)),""),""))))</f>
        <v>0</v>
      </c>
      <c r="AW544" s="1047"/>
      <c r="AX544" s="1034">
        <f t="shared" si="242"/>
        <v>0</v>
      </c>
      <c r="AY544" s="1035" t="str">
        <f t="shared" si="243"/>
        <v/>
      </c>
      <c r="AZ544" s="1036">
        <f t="shared" si="248"/>
        <v>0</v>
      </c>
      <c r="BA544" s="1037" t="str">
        <f t="shared" si="244"/>
        <v/>
      </c>
      <c r="BB544" s="1038"/>
      <c r="BC544" s="1039">
        <f t="shared" si="249"/>
        <v>0</v>
      </c>
      <c r="BD544" s="1040" t="str">
        <f t="shared" si="245"/>
        <v/>
      </c>
      <c r="BE544" s="227" t="s">
        <v>22</v>
      </c>
      <c r="BF544" s="1019">
        <f t="shared" si="246"/>
        <v>0</v>
      </c>
      <c r="BG544" s="1020">
        <f t="shared" si="247"/>
        <v>0</v>
      </c>
      <c r="BH544"/>
      <c r="BI544" s="709"/>
      <c r="BJ544" s="709"/>
      <c r="BK544" s="709"/>
      <c r="BL544" s="709"/>
      <c r="BM544" s="709"/>
      <c r="BN544" s="709"/>
      <c r="BO544" s="709"/>
      <c r="BP544" s="709"/>
      <c r="BW544" s="959" t="str">
        <f t="shared" si="228"/>
        <v>►</v>
      </c>
      <c r="BX544" s="856"/>
      <c r="BY544" s="856"/>
      <c r="BZ544" s="856"/>
      <c r="CA544" s="856"/>
      <c r="CB544" s="856"/>
      <c r="DB544" s="3">
        <v>1</v>
      </c>
    </row>
    <row r="545" spans="1:108" ht="21" customHeight="1">
      <c r="L545" s="104" t="s">
        <v>16</v>
      </c>
      <c r="M545" s="1172"/>
      <c r="N545" s="1172"/>
      <c r="O545" s="1172"/>
      <c r="P545" s="1173"/>
      <c r="Q545" s="1174"/>
      <c r="R545" s="1175"/>
      <c r="S545" s="1176"/>
      <c r="T545" s="1177"/>
      <c r="U545" s="5248"/>
      <c r="V545" s="1177"/>
      <c r="W545" s="5249"/>
      <c r="X545" s="5208"/>
      <c r="Y545" s="5209"/>
      <c r="Z545" s="5210"/>
      <c r="AA545" s="5211"/>
      <c r="AB545" s="1178"/>
      <c r="AC545" s="1179"/>
      <c r="AD545" s="227" t="s">
        <v>22</v>
      </c>
      <c r="AE545" s="1027" t="str">
        <f t="shared" si="229"/>
        <v>►</v>
      </c>
      <c r="AF545" s="1028" t="str">
        <f t="shared" si="230"/>
        <v/>
      </c>
      <c r="AG545" s="1029" t="str">
        <f t="shared" si="231"/>
        <v/>
      </c>
      <c r="AH545" s="1028" t="str">
        <f t="shared" si="232"/>
        <v/>
      </c>
      <c r="AI545" s="1029" t="str">
        <f t="shared" si="233"/>
        <v/>
      </c>
      <c r="AJ545" s="1029">
        <f t="shared" si="234"/>
        <v>0</v>
      </c>
      <c r="AK545" s="1043" t="str" cm="1">
        <f t="array" ref="AK545">IF(AE545&lt;&gt;"A","",IFERROR((IFERROR(_xlfn.XLOOKUP(TRIM(SUBSTITUTE(U545,CHAR(160)," ")),$BI$15:$BI$62,$BL$15:$BL$62),IFERROR(_xlfn.XLOOKUP(TRIM(SUBSTITUTE(U545,CHAR(160)," ")),$BJ$15:$BJ$62,$BL$15:$BL$62),_xlfn.XLOOKUP(TRIM(SUBSTITUTE(U545,CHAR(160)," ")),$BK$15:$BK$62,$BL$15:$BL$62))))*T545*IF(ISBLANK(Q545),1,Q545)+IFERROR(_xlfn.XLOOKUP("RECHERCHEX",TRIM(L545:AC545),L545:AC545),0),0))</f>
        <v/>
      </c>
      <c r="AL545" s="1030">
        <f t="shared" si="235"/>
        <v>0</v>
      </c>
      <c r="AM545" s="5254" t="str">
        <f t="shared" si="250"/>
        <v/>
      </c>
      <c r="AN545" s="1031">
        <f t="shared" si="251"/>
        <v>0</v>
      </c>
      <c r="AO545" s="1031">
        <f t="shared" si="237"/>
        <v>0</v>
      </c>
      <c r="AP545" s="1044">
        <f t="shared" si="238"/>
        <v>0</v>
      </c>
      <c r="AQ545" s="5257" t="str">
        <f t="shared" si="239"/>
        <v/>
      </c>
      <c r="AR545" s="1056"/>
      <c r="AS545" s="1056"/>
      <c r="AT545" s="1045">
        <f t="shared" si="240"/>
        <v>0</v>
      </c>
      <c r="AU545" s="1046">
        <f t="shared" si="241"/>
        <v>0</v>
      </c>
      <c r="AV545" s="1059" cm="1">
        <f t="array" ref="AV545">IF(AJ545&lt;&gt;1,0,IF(OR(AT545="",N(AT545)&lt;=0.000000001),"",IF(OR(AN545="",N(AN545)&lt;=0.000000001),0,IF(ISNUMBER(AT545),IFERROR(_xlfn.LET(_xlpm.ai_test,TRIM(AI545),_xlpm.r,IFERROR(_xlfn.XLOOKUP(_xlpm.ai_test,$BI$15:$BI$62,ROW($BI$15:$BI$62),0,1),IFERROR(_xlfn.XLOOKUP(_xlpm.ai_test,$BJ$15:$BJ$62,ROW($BJ$15:$BJ$62),0,1),_xlfn.XLOOKUP(_xlpm.ai_test,$BK$15:$BK$62,ROW($BK$15:$BK$62),0,1))),_xlpm.p,_xlpm.r-MIN(ROW($BI$15:$BI$62))+1,_xlpm.f,INDEX($BL$15:$BL$62,_xlpm.p),_xlpm.u,INDEX($BM$15:$BM$62,_xlpm.p),_xlpm.s,INDEX($BO$15:$BO$62,_xlpm.p),_xlpm.q,N(AT545)/_xlpm.f,IF(_xlpm.q&gt;=_xlpm.s,ROUND(_xlpm.q,1)&amp;" "&amp;_xlpm.ai_test&amp;" = "&amp;ROUND(_xlpm.q*_xlpm.f,1)&amp;" "&amp;_xlpm.u,ROUND(_xlpm.q,1)&amp;" "&amp;_xlpm.ai_test)),""),""))))</f>
        <v>0</v>
      </c>
      <c r="AW545" s="1047"/>
      <c r="AX545" s="1045">
        <f t="shared" si="242"/>
        <v>0</v>
      </c>
      <c r="AY545" s="1046" t="str">
        <f t="shared" si="243"/>
        <v/>
      </c>
      <c r="AZ545" s="1048">
        <f t="shared" si="248"/>
        <v>0</v>
      </c>
      <c r="BA545" s="1049" t="str">
        <f t="shared" si="244"/>
        <v/>
      </c>
      <c r="BB545" s="1038"/>
      <c r="BC545" s="1050">
        <f t="shared" si="249"/>
        <v>0</v>
      </c>
      <c r="BD545" s="1040" t="str">
        <f t="shared" si="245"/>
        <v/>
      </c>
      <c r="BE545" s="227" t="s">
        <v>22</v>
      </c>
      <c r="BF545" s="1019">
        <f t="shared" si="246"/>
        <v>0</v>
      </c>
      <c r="BG545" s="1020">
        <f t="shared" si="247"/>
        <v>0</v>
      </c>
      <c r="BH545"/>
      <c r="BI545" s="709"/>
      <c r="BJ545" s="709"/>
      <c r="BK545" s="709"/>
      <c r="BL545" s="709"/>
      <c r="BM545" s="709"/>
      <c r="BN545" s="709"/>
      <c r="BO545" s="709"/>
      <c r="BP545" s="709"/>
      <c r="BW545" s="959" t="str">
        <f t="shared" si="228"/>
        <v>►</v>
      </c>
      <c r="BX545" s="856"/>
      <c r="BY545" s="856"/>
      <c r="BZ545" s="856"/>
      <c r="CA545" s="856"/>
      <c r="CB545" s="856"/>
      <c r="DB545" s="3">
        <v>1</v>
      </c>
    </row>
    <row r="546" spans="1:108" ht="21" customHeight="1">
      <c r="L546" s="104" t="s">
        <v>16</v>
      </c>
      <c r="M546" s="1172"/>
      <c r="N546" s="1172"/>
      <c r="O546" s="1172"/>
      <c r="P546" s="1173"/>
      <c r="Q546" s="1174"/>
      <c r="R546" s="1175"/>
      <c r="S546" s="1176"/>
      <c r="T546" s="1177"/>
      <c r="U546" s="5248"/>
      <c r="V546" s="1177"/>
      <c r="W546" s="5249"/>
      <c r="X546" s="5208"/>
      <c r="Y546" s="5209"/>
      <c r="Z546" s="5210"/>
      <c r="AA546" s="5211"/>
      <c r="AB546" s="1178"/>
      <c r="AC546" s="1179"/>
      <c r="AD546" s="227" t="s">
        <v>22</v>
      </c>
      <c r="AE546" s="1027" t="str">
        <f t="shared" si="229"/>
        <v>►</v>
      </c>
      <c r="AF546" s="1028" t="str">
        <f t="shared" si="230"/>
        <v/>
      </c>
      <c r="AG546" s="1029" t="str">
        <f t="shared" si="231"/>
        <v/>
      </c>
      <c r="AH546" s="1028" t="str">
        <f t="shared" si="232"/>
        <v/>
      </c>
      <c r="AI546" s="1029" t="str">
        <f t="shared" si="233"/>
        <v/>
      </c>
      <c r="AJ546" s="1029">
        <f t="shared" si="234"/>
        <v>0</v>
      </c>
      <c r="AK546" s="1043" t="str" cm="1">
        <f t="array" ref="AK546">IF(AE546&lt;&gt;"A","",IFERROR((IFERROR(_xlfn.XLOOKUP(TRIM(SUBSTITUTE(U546,CHAR(160)," ")),$BI$15:$BI$62,$BL$15:$BL$62),IFERROR(_xlfn.XLOOKUP(TRIM(SUBSTITUTE(U546,CHAR(160)," ")),$BJ$15:$BJ$62,$BL$15:$BL$62),_xlfn.XLOOKUP(TRIM(SUBSTITUTE(U546,CHAR(160)," ")),$BK$15:$BK$62,$BL$15:$BL$62))))*T546*IF(ISBLANK(Q546),1,Q546)+IFERROR(_xlfn.XLOOKUP("RECHERCHEX",TRIM(L546:AC546),L546:AC546),0),0))</f>
        <v/>
      </c>
      <c r="AL546" s="1030">
        <f t="shared" si="235"/>
        <v>0</v>
      </c>
      <c r="AM546" s="5254" t="str">
        <f t="shared" si="250"/>
        <v/>
      </c>
      <c r="AN546" s="1031">
        <f t="shared" si="251"/>
        <v>0</v>
      </c>
      <c r="AO546" s="1031">
        <f t="shared" si="237"/>
        <v>0</v>
      </c>
      <c r="AP546" s="1032">
        <f t="shared" si="238"/>
        <v>0</v>
      </c>
      <c r="AQ546" s="5255" t="str">
        <f t="shared" si="239"/>
        <v/>
      </c>
      <c r="AR546" s="1056"/>
      <c r="AS546" s="1056"/>
      <c r="AT546" s="1034">
        <f t="shared" si="240"/>
        <v>0</v>
      </c>
      <c r="AU546" s="1035">
        <f t="shared" si="241"/>
        <v>0</v>
      </c>
      <c r="AV546" s="1057" cm="1">
        <f t="array" ref="AV546">IF(AJ546&lt;&gt;1,0,IF(OR(AT546="",N(AT546)&lt;=0.000000001),"",IF(OR(AN546="",N(AN546)&lt;=0.000000001),0,IF(ISNUMBER(AT546),IFERROR(_xlfn.LET(_xlpm.ai_test,TRIM(AI546),_xlpm.r,IFERROR(_xlfn.XLOOKUP(_xlpm.ai_test,$BI$15:$BI$62,ROW($BI$15:$BI$62),0,1),IFERROR(_xlfn.XLOOKUP(_xlpm.ai_test,$BJ$15:$BJ$62,ROW($BJ$15:$BJ$62),0,1),_xlfn.XLOOKUP(_xlpm.ai_test,$BK$15:$BK$62,ROW($BK$15:$BK$62),0,1))),_xlpm.p,_xlpm.r-MIN(ROW($BI$15:$BI$62))+1,_xlpm.f,INDEX($BL$15:$BL$62,_xlpm.p),_xlpm.u,INDEX($BM$15:$BM$62,_xlpm.p),_xlpm.s,INDEX($BO$15:$BO$62,_xlpm.p),_xlpm.q,N(AT546)/_xlpm.f,IF(_xlpm.q&gt;=_xlpm.s,ROUND(_xlpm.q,1)&amp;" "&amp;_xlpm.ai_test&amp;" = "&amp;ROUND(_xlpm.q*_xlpm.f,1)&amp;" "&amp;_xlpm.u,ROUND(_xlpm.q,1)&amp;" "&amp;_xlpm.ai_test)),""),""))))</f>
        <v>0</v>
      </c>
      <c r="AW546" s="1047"/>
      <c r="AX546" s="1034">
        <f t="shared" si="242"/>
        <v>0</v>
      </c>
      <c r="AY546" s="1035" t="str">
        <f t="shared" si="243"/>
        <v/>
      </c>
      <c r="AZ546" s="1036">
        <f t="shared" si="248"/>
        <v>0</v>
      </c>
      <c r="BA546" s="1037" t="str">
        <f t="shared" si="244"/>
        <v/>
      </c>
      <c r="BB546" s="1038"/>
      <c r="BC546" s="1039">
        <f t="shared" si="249"/>
        <v>0</v>
      </c>
      <c r="BD546" s="1040" t="str">
        <f t="shared" si="245"/>
        <v/>
      </c>
      <c r="BE546" s="227" t="s">
        <v>22</v>
      </c>
      <c r="BF546" s="1019">
        <f t="shared" si="246"/>
        <v>0</v>
      </c>
      <c r="BG546" s="1020">
        <f t="shared" si="247"/>
        <v>0</v>
      </c>
      <c r="BH546"/>
      <c r="BI546" s="709"/>
      <c r="BJ546" s="709"/>
      <c r="BK546" s="709"/>
      <c r="BL546" s="709"/>
      <c r="BM546" s="709"/>
      <c r="BN546" s="709"/>
      <c r="BO546" s="709"/>
      <c r="BP546" s="709"/>
      <c r="BW546" s="959" t="str">
        <f t="shared" si="228"/>
        <v>►</v>
      </c>
      <c r="BX546" s="856"/>
      <c r="BY546" s="856"/>
      <c r="BZ546" s="856"/>
      <c r="CA546" s="856"/>
      <c r="CB546" s="856"/>
      <c r="DB546" s="3">
        <v>1</v>
      </c>
    </row>
    <row r="547" spans="1:108" ht="21" customHeight="1">
      <c r="L547" s="104" t="s">
        <v>16</v>
      </c>
      <c r="M547" s="1172"/>
      <c r="N547" s="1172"/>
      <c r="O547" s="1172"/>
      <c r="P547" s="1173"/>
      <c r="Q547" s="1174"/>
      <c r="R547" s="1175"/>
      <c r="S547" s="1176"/>
      <c r="T547" s="1177"/>
      <c r="U547" s="5248"/>
      <c r="V547" s="1177"/>
      <c r="W547" s="5249"/>
      <c r="X547" s="5208"/>
      <c r="Y547" s="5209"/>
      <c r="Z547" s="5210"/>
      <c r="AA547" s="5211"/>
      <c r="AB547" s="1178"/>
      <c r="AC547" s="1179"/>
      <c r="AD547" s="227" t="s">
        <v>22</v>
      </c>
      <c r="AE547" s="1027" t="str">
        <f t="shared" si="229"/>
        <v>►</v>
      </c>
      <c r="AF547" s="1028" t="str">
        <f t="shared" si="230"/>
        <v/>
      </c>
      <c r="AG547" s="1029" t="str">
        <f t="shared" si="231"/>
        <v/>
      </c>
      <c r="AH547" s="1028" t="str">
        <f t="shared" si="232"/>
        <v/>
      </c>
      <c r="AI547" s="1029" t="str">
        <f t="shared" si="233"/>
        <v/>
      </c>
      <c r="AJ547" s="1029">
        <f t="shared" si="234"/>
        <v>0</v>
      </c>
      <c r="AK547" s="1043" t="str" cm="1">
        <f t="array" ref="AK547">IF(AE547&lt;&gt;"A","",IFERROR((IFERROR(_xlfn.XLOOKUP(TRIM(SUBSTITUTE(U547,CHAR(160)," ")),$BI$15:$BI$62,$BL$15:$BL$62),IFERROR(_xlfn.XLOOKUP(TRIM(SUBSTITUTE(U547,CHAR(160)," ")),$BJ$15:$BJ$62,$BL$15:$BL$62),_xlfn.XLOOKUP(TRIM(SUBSTITUTE(U547,CHAR(160)," ")),$BK$15:$BK$62,$BL$15:$BL$62))))*T547*IF(ISBLANK(Q547),1,Q547)+IFERROR(_xlfn.XLOOKUP("RECHERCHEX",TRIM(L547:AC547),L547:AC547),0),0))</f>
        <v/>
      </c>
      <c r="AL547" s="1030">
        <f t="shared" si="235"/>
        <v>0</v>
      </c>
      <c r="AM547" s="5254" t="str">
        <f t="shared" si="250"/>
        <v/>
      </c>
      <c r="AN547" s="1031">
        <f t="shared" si="251"/>
        <v>0</v>
      </c>
      <c r="AO547" s="1031">
        <f t="shared" si="237"/>
        <v>0</v>
      </c>
      <c r="AP547" s="1044">
        <f t="shared" si="238"/>
        <v>0</v>
      </c>
      <c r="AQ547" s="5257" t="str">
        <f t="shared" si="239"/>
        <v/>
      </c>
      <c r="AR547" s="1056"/>
      <c r="AS547" s="1056"/>
      <c r="AT547" s="1045">
        <f t="shared" si="240"/>
        <v>0</v>
      </c>
      <c r="AU547" s="1046">
        <f t="shared" si="241"/>
        <v>0</v>
      </c>
      <c r="AV547" s="1059" cm="1">
        <f t="array" ref="AV547">IF(AJ547&lt;&gt;1,0,IF(OR(AT547="",N(AT547)&lt;=0.000000001),"",IF(OR(AN547="",N(AN547)&lt;=0.000000001),0,IF(ISNUMBER(AT547),IFERROR(_xlfn.LET(_xlpm.ai_test,TRIM(AI547),_xlpm.r,IFERROR(_xlfn.XLOOKUP(_xlpm.ai_test,$BI$15:$BI$62,ROW($BI$15:$BI$62),0,1),IFERROR(_xlfn.XLOOKUP(_xlpm.ai_test,$BJ$15:$BJ$62,ROW($BJ$15:$BJ$62),0,1),_xlfn.XLOOKUP(_xlpm.ai_test,$BK$15:$BK$62,ROW($BK$15:$BK$62),0,1))),_xlpm.p,_xlpm.r-MIN(ROW($BI$15:$BI$62))+1,_xlpm.f,INDEX($BL$15:$BL$62,_xlpm.p),_xlpm.u,INDEX($BM$15:$BM$62,_xlpm.p),_xlpm.s,INDEX($BO$15:$BO$62,_xlpm.p),_xlpm.q,N(AT547)/_xlpm.f,IF(_xlpm.q&gt;=_xlpm.s,ROUND(_xlpm.q,1)&amp;" "&amp;_xlpm.ai_test&amp;" = "&amp;ROUND(_xlpm.q*_xlpm.f,1)&amp;" "&amp;_xlpm.u,ROUND(_xlpm.q,1)&amp;" "&amp;_xlpm.ai_test)),""),""))))</f>
        <v>0</v>
      </c>
      <c r="AW547" s="1047"/>
      <c r="AX547" s="1045">
        <f t="shared" si="242"/>
        <v>0</v>
      </c>
      <c r="AY547" s="1046" t="str">
        <f t="shared" si="243"/>
        <v/>
      </c>
      <c r="AZ547" s="1048">
        <f t="shared" si="248"/>
        <v>0</v>
      </c>
      <c r="BA547" s="1049" t="str">
        <f t="shared" si="244"/>
        <v/>
      </c>
      <c r="BB547" s="1038"/>
      <c r="BC547" s="1050">
        <f t="shared" si="249"/>
        <v>0</v>
      </c>
      <c r="BD547" s="1040" t="str">
        <f t="shared" si="245"/>
        <v/>
      </c>
      <c r="BE547" s="227" t="s">
        <v>22</v>
      </c>
      <c r="BF547" s="1019">
        <f t="shared" si="246"/>
        <v>0</v>
      </c>
      <c r="BG547" s="1020">
        <f t="shared" si="247"/>
        <v>0</v>
      </c>
      <c r="BH547"/>
      <c r="BI547" s="709"/>
      <c r="BJ547" s="709"/>
      <c r="BK547" s="709"/>
      <c r="BL547" s="709"/>
      <c r="BM547" s="709"/>
      <c r="BN547" s="709"/>
      <c r="BO547" s="709"/>
      <c r="BP547" s="709"/>
      <c r="BW547" s="959" t="str">
        <f t="shared" si="228"/>
        <v>►</v>
      </c>
      <c r="BX547" s="856"/>
      <c r="BY547" s="856"/>
      <c r="BZ547" s="856"/>
      <c r="CA547" s="856"/>
      <c r="CB547" s="856"/>
      <c r="DB547" s="3">
        <v>1</v>
      </c>
    </row>
    <row r="548" spans="1:108" ht="21" customHeight="1">
      <c r="L548" s="104" t="s">
        <v>16</v>
      </c>
      <c r="M548" s="1172"/>
      <c r="N548" s="1172"/>
      <c r="O548" s="1172"/>
      <c r="P548" s="1173"/>
      <c r="Q548" s="1174"/>
      <c r="R548" s="1175"/>
      <c r="S548" s="1176"/>
      <c r="T548" s="1177"/>
      <c r="U548" s="5248"/>
      <c r="V548" s="1177"/>
      <c r="W548" s="5249"/>
      <c r="X548" s="5208"/>
      <c r="Y548" s="5209"/>
      <c r="Z548" s="5210"/>
      <c r="AA548" s="5211"/>
      <c r="AB548" s="1178"/>
      <c r="AC548" s="1179"/>
      <c r="AD548" s="227" t="s">
        <v>22</v>
      </c>
      <c r="AE548" s="1027" t="str">
        <f t="shared" si="229"/>
        <v>►</v>
      </c>
      <c r="AF548" s="1028" t="str">
        <f t="shared" si="230"/>
        <v/>
      </c>
      <c r="AG548" s="1029" t="str">
        <f t="shared" si="231"/>
        <v/>
      </c>
      <c r="AH548" s="1028" t="str">
        <f t="shared" si="232"/>
        <v/>
      </c>
      <c r="AI548" s="1029" t="str">
        <f t="shared" si="233"/>
        <v/>
      </c>
      <c r="AJ548" s="1029">
        <f t="shared" si="234"/>
        <v>0</v>
      </c>
      <c r="AK548" s="1043" t="str" cm="1">
        <f t="array" ref="AK548">IF(AE548&lt;&gt;"A","",IFERROR((IFERROR(_xlfn.XLOOKUP(TRIM(SUBSTITUTE(U548,CHAR(160)," ")),$BI$15:$BI$62,$BL$15:$BL$62),IFERROR(_xlfn.XLOOKUP(TRIM(SUBSTITUTE(U548,CHAR(160)," ")),$BJ$15:$BJ$62,$BL$15:$BL$62),_xlfn.XLOOKUP(TRIM(SUBSTITUTE(U548,CHAR(160)," ")),$BK$15:$BK$62,$BL$15:$BL$62))))*T548*IF(ISBLANK(Q548),1,Q548)+IFERROR(_xlfn.XLOOKUP("RECHERCHEX",TRIM(L548:AC548),L548:AC548),0),0))</f>
        <v/>
      </c>
      <c r="AL548" s="1030">
        <f t="shared" si="235"/>
        <v>0</v>
      </c>
      <c r="AM548" s="5254" t="str">
        <f t="shared" si="250"/>
        <v/>
      </c>
      <c r="AN548" s="1031">
        <f t="shared" si="251"/>
        <v>0</v>
      </c>
      <c r="AO548" s="1031">
        <f t="shared" si="237"/>
        <v>0</v>
      </c>
      <c r="AP548" s="1032">
        <f t="shared" si="238"/>
        <v>0</v>
      </c>
      <c r="AQ548" s="5255" t="str">
        <f t="shared" si="239"/>
        <v/>
      </c>
      <c r="AR548" s="1056"/>
      <c r="AS548" s="1056"/>
      <c r="AT548" s="1034">
        <f t="shared" si="240"/>
        <v>0</v>
      </c>
      <c r="AU548" s="1035">
        <f t="shared" si="241"/>
        <v>0</v>
      </c>
      <c r="AV548" s="1057" cm="1">
        <f t="array" ref="AV548">IF(AJ548&lt;&gt;1,0,IF(OR(AT548="",N(AT548)&lt;=0.000000001),"",IF(OR(AN548="",N(AN548)&lt;=0.000000001),0,IF(ISNUMBER(AT548),IFERROR(_xlfn.LET(_xlpm.ai_test,TRIM(AI548),_xlpm.r,IFERROR(_xlfn.XLOOKUP(_xlpm.ai_test,$BI$15:$BI$62,ROW($BI$15:$BI$62),0,1),IFERROR(_xlfn.XLOOKUP(_xlpm.ai_test,$BJ$15:$BJ$62,ROW($BJ$15:$BJ$62),0,1),_xlfn.XLOOKUP(_xlpm.ai_test,$BK$15:$BK$62,ROW($BK$15:$BK$62),0,1))),_xlpm.p,_xlpm.r-MIN(ROW($BI$15:$BI$62))+1,_xlpm.f,INDEX($BL$15:$BL$62,_xlpm.p),_xlpm.u,INDEX($BM$15:$BM$62,_xlpm.p),_xlpm.s,INDEX($BO$15:$BO$62,_xlpm.p),_xlpm.q,N(AT548)/_xlpm.f,IF(_xlpm.q&gt;=_xlpm.s,ROUND(_xlpm.q,1)&amp;" "&amp;_xlpm.ai_test&amp;" = "&amp;ROUND(_xlpm.q*_xlpm.f,1)&amp;" "&amp;_xlpm.u,ROUND(_xlpm.q,1)&amp;" "&amp;_xlpm.ai_test)),""),""))))</f>
        <v>0</v>
      </c>
      <c r="AW548" s="1047"/>
      <c r="AX548" s="1034">
        <f t="shared" si="242"/>
        <v>0</v>
      </c>
      <c r="AY548" s="1035" t="str">
        <f t="shared" si="243"/>
        <v/>
      </c>
      <c r="AZ548" s="1036">
        <f t="shared" si="248"/>
        <v>0</v>
      </c>
      <c r="BA548" s="1037" t="str">
        <f t="shared" si="244"/>
        <v/>
      </c>
      <c r="BB548" s="1038"/>
      <c r="BC548" s="1039">
        <f t="shared" si="249"/>
        <v>0</v>
      </c>
      <c r="BD548" s="1040" t="str">
        <f t="shared" si="245"/>
        <v/>
      </c>
      <c r="BE548" s="227" t="s">
        <v>22</v>
      </c>
      <c r="BF548" s="1019">
        <f t="shared" si="246"/>
        <v>0</v>
      </c>
      <c r="BG548" s="1020">
        <f t="shared" si="247"/>
        <v>0</v>
      </c>
      <c r="BH548"/>
      <c r="BI548" s="709"/>
      <c r="BJ548" s="709"/>
      <c r="BK548" s="709"/>
      <c r="BL548" s="709"/>
      <c r="BM548" s="709"/>
      <c r="BN548" s="709"/>
      <c r="BO548" s="709"/>
      <c r="BP548" s="709"/>
      <c r="BW548" s="959" t="str">
        <f t="shared" si="228"/>
        <v>►</v>
      </c>
      <c r="BX548" s="856"/>
      <c r="BY548" s="856"/>
      <c r="BZ548" s="856"/>
      <c r="CA548" s="856"/>
      <c r="CB548" s="856"/>
      <c r="DB548" s="3">
        <v>1</v>
      </c>
    </row>
    <row r="549" spans="1:108" ht="21" customHeight="1">
      <c r="L549" s="104" t="s">
        <v>16</v>
      </c>
      <c r="M549" s="1172"/>
      <c r="N549" s="1172"/>
      <c r="O549" s="1172"/>
      <c r="P549" s="1173"/>
      <c r="Q549" s="1174"/>
      <c r="R549" s="1175"/>
      <c r="S549" s="1176"/>
      <c r="T549" s="1177"/>
      <c r="U549" s="5248"/>
      <c r="V549" s="1177"/>
      <c r="W549" s="5249"/>
      <c r="X549" s="5208"/>
      <c r="Y549" s="5209"/>
      <c r="Z549" s="5210"/>
      <c r="AA549" s="5211"/>
      <c r="AB549" s="1178"/>
      <c r="AC549" s="1179"/>
      <c r="AD549" s="227" t="s">
        <v>22</v>
      </c>
      <c r="AE549" s="1027" t="str">
        <f t="shared" si="229"/>
        <v>►</v>
      </c>
      <c r="AF549" s="1028" t="str">
        <f t="shared" si="230"/>
        <v/>
      </c>
      <c r="AG549" s="1029" t="str">
        <f t="shared" si="231"/>
        <v/>
      </c>
      <c r="AH549" s="1028" t="str">
        <f t="shared" si="232"/>
        <v/>
      </c>
      <c r="AI549" s="1029" t="str">
        <f t="shared" si="233"/>
        <v/>
      </c>
      <c r="AJ549" s="1029">
        <f t="shared" si="234"/>
        <v>0</v>
      </c>
      <c r="AK549" s="1043" t="str" cm="1">
        <f t="array" ref="AK549">IF(AE549&lt;&gt;"A","",IFERROR((IFERROR(_xlfn.XLOOKUP(TRIM(SUBSTITUTE(U549,CHAR(160)," ")),$BI$15:$BI$62,$BL$15:$BL$62),IFERROR(_xlfn.XLOOKUP(TRIM(SUBSTITUTE(U549,CHAR(160)," ")),$BJ$15:$BJ$62,$BL$15:$BL$62),_xlfn.XLOOKUP(TRIM(SUBSTITUTE(U549,CHAR(160)," ")),$BK$15:$BK$62,$BL$15:$BL$62))))*T549*IF(ISBLANK(Q549),1,Q549)+IFERROR(_xlfn.XLOOKUP("RECHERCHEX",TRIM(L549:AC549),L549:AC549),0),0))</f>
        <v/>
      </c>
      <c r="AL549" s="1030">
        <f t="shared" si="235"/>
        <v>0</v>
      </c>
      <c r="AM549" s="5254" t="str">
        <f t="shared" si="250"/>
        <v/>
      </c>
      <c r="AN549" s="1031">
        <f t="shared" si="251"/>
        <v>0</v>
      </c>
      <c r="AO549" s="1031">
        <f t="shared" si="237"/>
        <v>0</v>
      </c>
      <c r="AP549" s="1044">
        <f t="shared" si="238"/>
        <v>0</v>
      </c>
      <c r="AQ549" s="5257" t="str">
        <f t="shared" si="239"/>
        <v/>
      </c>
      <c r="AR549" s="1056"/>
      <c r="AS549" s="1056"/>
      <c r="AT549" s="1045">
        <f t="shared" si="240"/>
        <v>0</v>
      </c>
      <c r="AU549" s="1046">
        <f t="shared" si="241"/>
        <v>0</v>
      </c>
      <c r="AV549" s="1059" cm="1">
        <f t="array" ref="AV549">IF(AJ549&lt;&gt;1,0,IF(OR(AT549="",N(AT549)&lt;=0.000000001),"",IF(OR(AN549="",N(AN549)&lt;=0.000000001),0,IF(ISNUMBER(AT549),IFERROR(_xlfn.LET(_xlpm.ai_test,TRIM(AI549),_xlpm.r,IFERROR(_xlfn.XLOOKUP(_xlpm.ai_test,$BI$15:$BI$62,ROW($BI$15:$BI$62),0,1),IFERROR(_xlfn.XLOOKUP(_xlpm.ai_test,$BJ$15:$BJ$62,ROW($BJ$15:$BJ$62),0,1),_xlfn.XLOOKUP(_xlpm.ai_test,$BK$15:$BK$62,ROW($BK$15:$BK$62),0,1))),_xlpm.p,_xlpm.r-MIN(ROW($BI$15:$BI$62))+1,_xlpm.f,INDEX($BL$15:$BL$62,_xlpm.p),_xlpm.u,INDEX($BM$15:$BM$62,_xlpm.p),_xlpm.s,INDEX($BO$15:$BO$62,_xlpm.p),_xlpm.q,N(AT549)/_xlpm.f,IF(_xlpm.q&gt;=_xlpm.s,ROUND(_xlpm.q,1)&amp;" "&amp;_xlpm.ai_test&amp;" = "&amp;ROUND(_xlpm.q*_xlpm.f,1)&amp;" "&amp;_xlpm.u,ROUND(_xlpm.q,1)&amp;" "&amp;_xlpm.ai_test)),""),""))))</f>
        <v>0</v>
      </c>
      <c r="AW549" s="1047"/>
      <c r="AX549" s="1045">
        <f t="shared" si="242"/>
        <v>0</v>
      </c>
      <c r="AY549" s="1046" t="str">
        <f t="shared" si="243"/>
        <v/>
      </c>
      <c r="AZ549" s="1048">
        <f t="shared" si="248"/>
        <v>0</v>
      </c>
      <c r="BA549" s="1049" t="str">
        <f t="shared" si="244"/>
        <v/>
      </c>
      <c r="BB549" s="1038"/>
      <c r="BC549" s="1050">
        <f t="shared" si="249"/>
        <v>0</v>
      </c>
      <c r="BD549" s="1040" t="str">
        <f t="shared" si="245"/>
        <v/>
      </c>
      <c r="BE549" s="227" t="s">
        <v>22</v>
      </c>
      <c r="BF549" s="1019">
        <f t="shared" si="246"/>
        <v>0</v>
      </c>
      <c r="BG549" s="1020">
        <f t="shared" si="247"/>
        <v>0</v>
      </c>
      <c r="BH549"/>
      <c r="BI549"/>
      <c r="BJ549"/>
      <c r="BK549"/>
      <c r="BL549"/>
      <c r="BM549"/>
      <c r="BN549"/>
      <c r="BO549"/>
      <c r="BP549"/>
      <c r="BW549" s="959" t="str">
        <f t="shared" si="228"/>
        <v>►</v>
      </c>
      <c r="BX549" s="856"/>
      <c r="BY549" s="856"/>
      <c r="BZ549" s="856"/>
      <c r="CA549" s="856"/>
      <c r="CB549" s="856"/>
      <c r="DB549" s="3">
        <v>1</v>
      </c>
    </row>
    <row r="550" spans="1:108" ht="21" customHeight="1">
      <c r="A550" s="225"/>
      <c r="B550" s="225"/>
      <c r="C550" s="133"/>
      <c r="D550" s="225"/>
      <c r="E550" s="225"/>
      <c r="F550" s="225"/>
      <c r="G550" s="225"/>
      <c r="H550" s="225"/>
      <c r="I550" s="225"/>
      <c r="J550" s="225"/>
      <c r="K550" s="225"/>
      <c r="L550" s="224" t="s">
        <v>11</v>
      </c>
      <c r="M550" s="225"/>
      <c r="N550" s="225"/>
      <c r="O550" s="225"/>
      <c r="P550" s="225"/>
      <c r="Q550" s="225"/>
      <c r="R550" s="225"/>
      <c r="S550" s="225"/>
      <c r="T550" s="225"/>
      <c r="U550" s="225"/>
      <c r="V550" s="225"/>
      <c r="W550" s="225"/>
      <c r="X550" s="225"/>
      <c r="Y550" s="225"/>
      <c r="Z550" s="225"/>
      <c r="AA550" s="225"/>
      <c r="AB550" s="225"/>
      <c r="AC550" s="225"/>
      <c r="AD550" s="225"/>
      <c r="AE550" s="225"/>
      <c r="AF550" s="225"/>
      <c r="AG550" s="225"/>
      <c r="AH550" s="225"/>
      <c r="AI550" s="225"/>
      <c r="AJ550" s="225"/>
      <c r="AK550" s="225"/>
      <c r="AL550" s="225"/>
      <c r="AM550" s="225"/>
      <c r="AN550" s="225"/>
      <c r="AO550" s="225"/>
      <c r="AP550" s="225"/>
      <c r="AQ550" s="225"/>
      <c r="AR550" s="225"/>
      <c r="AS550" s="225"/>
      <c r="AT550" s="225"/>
      <c r="AU550" s="225"/>
      <c r="AV550" s="225"/>
      <c r="AW550" s="225"/>
      <c r="AX550" s="225"/>
      <c r="AY550" s="225"/>
      <c r="AZ550" s="225"/>
      <c r="BA550" s="225"/>
      <c r="BB550" s="225"/>
      <c r="BC550" s="225"/>
      <c r="BD550" s="225"/>
      <c r="BE550" s="225"/>
      <c r="BF550" s="225"/>
      <c r="BG550" s="225"/>
      <c r="BH550" s="225"/>
      <c r="BI550" s="225"/>
      <c r="BJ550" s="225"/>
      <c r="BK550" s="225"/>
      <c r="BL550" s="225"/>
      <c r="BM550" s="225"/>
      <c r="BN550" s="225"/>
      <c r="BO550" s="225"/>
      <c r="BP550" s="225"/>
      <c r="BQ550" s="225"/>
      <c r="BR550" s="225"/>
      <c r="BS550" s="225"/>
      <c r="BT550" s="225"/>
      <c r="BU550" s="225"/>
      <c r="BV550" s="225"/>
      <c r="BW550" s="225"/>
      <c r="BX550" s="1125"/>
      <c r="BY550" s="1125"/>
      <c r="BZ550" s="1125"/>
      <c r="CA550" s="1125"/>
      <c r="CB550" s="1125"/>
      <c r="CC550" s="1125"/>
      <c r="CD550" s="1125"/>
      <c r="CE550" s="1125"/>
      <c r="CF550" s="1125"/>
      <c r="CG550" s="1125"/>
      <c r="CH550" s="1125"/>
      <c r="CI550" s="1125"/>
      <c r="CJ550" s="1125"/>
      <c r="CK550" s="1125"/>
      <c r="CL550" s="1125"/>
      <c r="CM550" s="1125"/>
      <c r="CN550" s="1125"/>
      <c r="CO550" s="1125"/>
      <c r="CP550" s="1125"/>
      <c r="CQ550" s="1125"/>
      <c r="CR550" s="1125"/>
      <c r="CS550" s="1125"/>
      <c r="CT550" s="1125"/>
      <c r="CU550" s="1125"/>
      <c r="CV550" s="1125"/>
      <c r="CW550" s="1125"/>
      <c r="CX550" s="1125"/>
      <c r="CY550" s="1125"/>
      <c r="CZ550" s="1125"/>
      <c r="DA550" s="1125"/>
      <c r="DB550" s="3">
        <v>1</v>
      </c>
    </row>
    <row r="551" spans="1:108">
      <c r="A551" s="3">
        <v>1</v>
      </c>
      <c r="B551" s="3">
        <v>1</v>
      </c>
      <c r="C551" s="3">
        <v>1</v>
      </c>
      <c r="D551" s="3">
        <v>1</v>
      </c>
      <c r="E551" s="3">
        <v>1</v>
      </c>
      <c r="F551" s="3">
        <v>1</v>
      </c>
      <c r="G551" s="3">
        <v>1</v>
      </c>
      <c r="H551" s="3">
        <v>1</v>
      </c>
      <c r="I551" s="3">
        <v>1</v>
      </c>
      <c r="J551" s="3">
        <v>1</v>
      </c>
      <c r="K551" s="3">
        <v>1</v>
      </c>
      <c r="L551" s="3">
        <v>1</v>
      </c>
      <c r="M551" s="3">
        <v>1</v>
      </c>
      <c r="N551" s="3">
        <v>1</v>
      </c>
      <c r="O551" s="3">
        <v>1</v>
      </c>
      <c r="P551" s="3">
        <v>1</v>
      </c>
      <c r="Q551" s="3">
        <v>1</v>
      </c>
      <c r="R551" s="3">
        <v>1</v>
      </c>
      <c r="S551" s="3">
        <v>1</v>
      </c>
      <c r="T551" s="3">
        <v>1</v>
      </c>
      <c r="U551" s="3">
        <v>1</v>
      </c>
      <c r="V551" s="3">
        <v>1</v>
      </c>
      <c r="W551" s="3">
        <v>1</v>
      </c>
      <c r="X551" s="3">
        <v>1</v>
      </c>
      <c r="Y551" s="3">
        <v>1</v>
      </c>
      <c r="Z551" s="3">
        <v>1</v>
      </c>
      <c r="AA551" s="3">
        <v>1</v>
      </c>
      <c r="AB551" s="3">
        <v>1</v>
      </c>
      <c r="AC551" s="3">
        <v>1</v>
      </c>
      <c r="AD551" s="3">
        <v>1</v>
      </c>
      <c r="AE551" s="3">
        <v>1</v>
      </c>
      <c r="AF551" s="3">
        <v>1</v>
      </c>
      <c r="AG551" s="3">
        <v>1</v>
      </c>
      <c r="AH551" s="3">
        <v>1</v>
      </c>
      <c r="AI551" s="3">
        <v>1</v>
      </c>
      <c r="AJ551" s="3">
        <v>1</v>
      </c>
      <c r="AK551" s="3">
        <v>1</v>
      </c>
      <c r="AL551" s="3">
        <v>1</v>
      </c>
      <c r="AM551" s="3">
        <v>1</v>
      </c>
      <c r="AN551" s="3">
        <v>1</v>
      </c>
      <c r="AO551" s="3">
        <v>1</v>
      </c>
      <c r="AP551" s="3">
        <v>1</v>
      </c>
      <c r="AQ551" s="3">
        <v>1</v>
      </c>
      <c r="AR551" s="3">
        <v>1</v>
      </c>
      <c r="AS551" s="3">
        <v>1</v>
      </c>
      <c r="AT551" s="3">
        <v>1</v>
      </c>
      <c r="AU551" s="3">
        <v>1</v>
      </c>
      <c r="AV551" s="3">
        <v>1</v>
      </c>
      <c r="AW551" s="3">
        <v>1</v>
      </c>
      <c r="AX551" s="3">
        <v>1</v>
      </c>
      <c r="AY551" s="3">
        <v>1</v>
      </c>
      <c r="AZ551" s="3">
        <v>1</v>
      </c>
      <c r="BA551" s="3">
        <v>1</v>
      </c>
      <c r="BB551" s="3">
        <v>1</v>
      </c>
      <c r="BC551" s="3">
        <v>1</v>
      </c>
      <c r="BD551" s="3">
        <v>1</v>
      </c>
      <c r="BE551" s="3">
        <v>1</v>
      </c>
      <c r="BF551" s="3">
        <v>1</v>
      </c>
      <c r="BG551" s="3">
        <v>1</v>
      </c>
      <c r="BH551" s="3">
        <v>1</v>
      </c>
      <c r="BI551" s="3">
        <v>1</v>
      </c>
      <c r="BJ551" s="3">
        <v>1</v>
      </c>
      <c r="BK551" s="3">
        <v>1</v>
      </c>
      <c r="BL551" s="3">
        <v>1</v>
      </c>
      <c r="BM551" s="3">
        <v>1</v>
      </c>
      <c r="BN551" s="3">
        <v>1</v>
      </c>
      <c r="BO551" s="3">
        <v>1</v>
      </c>
      <c r="BP551" s="3">
        <v>1</v>
      </c>
      <c r="BQ551" s="3">
        <v>1</v>
      </c>
      <c r="BR551" s="3">
        <v>1</v>
      </c>
      <c r="BS551" s="3">
        <v>1</v>
      </c>
      <c r="BT551" s="3">
        <v>1</v>
      </c>
      <c r="BU551" s="3">
        <v>1</v>
      </c>
      <c r="BV551" s="3">
        <v>1</v>
      </c>
      <c r="BW551" s="3">
        <v>1</v>
      </c>
      <c r="BX551" s="3">
        <v>1</v>
      </c>
      <c r="BY551" s="3">
        <v>1</v>
      </c>
      <c r="BZ551" s="3">
        <v>1</v>
      </c>
      <c r="CA551" s="3">
        <v>1</v>
      </c>
      <c r="CB551" s="3">
        <v>1</v>
      </c>
      <c r="CC551" s="3">
        <v>1</v>
      </c>
      <c r="CD551" s="3">
        <v>1</v>
      </c>
      <c r="CE551" s="3">
        <v>1</v>
      </c>
      <c r="CF551" s="3">
        <v>1</v>
      </c>
      <c r="CG551" s="3">
        <v>1</v>
      </c>
      <c r="CH551" s="3">
        <v>1</v>
      </c>
      <c r="CI551" s="3">
        <v>1</v>
      </c>
      <c r="CJ551" s="3">
        <v>1</v>
      </c>
      <c r="CK551" s="3">
        <v>1</v>
      </c>
      <c r="CL551" s="3">
        <v>1</v>
      </c>
      <c r="CM551" s="3">
        <v>1</v>
      </c>
      <c r="CN551" s="3">
        <v>1</v>
      </c>
      <c r="CO551" s="3">
        <v>1</v>
      </c>
      <c r="CP551" s="3">
        <v>1</v>
      </c>
      <c r="CQ551" s="3">
        <v>1</v>
      </c>
      <c r="CR551" s="3">
        <v>1</v>
      </c>
      <c r="CS551" s="3">
        <v>1</v>
      </c>
      <c r="CT551" s="3">
        <v>1</v>
      </c>
      <c r="CU551" s="3">
        <v>1</v>
      </c>
      <c r="CV551" s="3">
        <v>1</v>
      </c>
      <c r="CW551" s="3">
        <v>1</v>
      </c>
      <c r="CX551" s="3">
        <v>1</v>
      </c>
      <c r="CY551" s="3">
        <v>1</v>
      </c>
      <c r="CZ551" s="3">
        <v>1</v>
      </c>
      <c r="DA551" s="3">
        <v>1</v>
      </c>
      <c r="DB551" s="1" t="str">
        <f>ADDRESS(ROW(),COLUMN(),4)</f>
        <v>DB551</v>
      </c>
      <c r="DC551" s="710"/>
      <c r="DD551" s="711" t="str">
        <f>ADDRESS(ROW(),COLUMN(),4)</f>
        <v>DD551</v>
      </c>
    </row>
  </sheetData>
  <mergeCells count="184">
    <mergeCell ref="AY3:BD4"/>
    <mergeCell ref="C5:J6"/>
    <mergeCell ref="AL5:AZ6"/>
    <mergeCell ref="BA5:BB6"/>
    <mergeCell ref="BC5:BC6"/>
    <mergeCell ref="BD5:BD8"/>
    <mergeCell ref="AF7:AJ8"/>
    <mergeCell ref="AJ5:AK6"/>
    <mergeCell ref="CD5:CJ7"/>
    <mergeCell ref="CL5:CR7"/>
    <mergeCell ref="CT5:CZ7"/>
    <mergeCell ref="BX6:CB7"/>
    <mergeCell ref="C7:J7"/>
    <mergeCell ref="AK7:AK8"/>
    <mergeCell ref="AL7:AZ8"/>
    <mergeCell ref="BA7:BB8"/>
    <mergeCell ref="BC7:BC8"/>
    <mergeCell ref="D8:J8"/>
    <mergeCell ref="CD8:CJ8"/>
    <mergeCell ref="CL8:CR8"/>
    <mergeCell ref="CT8:CZ8"/>
    <mergeCell ref="AO9:AQ10"/>
    <mergeCell ref="AR9:AR10"/>
    <mergeCell ref="AS9:AT10"/>
    <mergeCell ref="CD9:CJ10"/>
    <mergeCell ref="CL9:CR10"/>
    <mergeCell ref="CT9:CZ10"/>
    <mergeCell ref="CD11:CJ11"/>
    <mergeCell ref="CL11:CR11"/>
    <mergeCell ref="CT11:CZ11"/>
    <mergeCell ref="C12:C13"/>
    <mergeCell ref="AF14:AF15"/>
    <mergeCell ref="AK14:AO15"/>
    <mergeCell ref="AP14:AQ15"/>
    <mergeCell ref="AR14:AS15"/>
    <mergeCell ref="AT14:AU15"/>
    <mergeCell ref="AV14:AV15"/>
    <mergeCell ref="BD14:BD15"/>
    <mergeCell ref="AF16:AF17"/>
    <mergeCell ref="AK16:AO17"/>
    <mergeCell ref="AP16:AQ17"/>
    <mergeCell ref="AR16:AS17"/>
    <mergeCell ref="AT16:AU17"/>
    <mergeCell ref="AV16:AV17"/>
    <mergeCell ref="AW16:AW17"/>
    <mergeCell ref="AX16:AY17"/>
    <mergeCell ref="AZ16:AZ17"/>
    <mergeCell ref="AW14:AW15"/>
    <mergeCell ref="AX14:AY15"/>
    <mergeCell ref="AZ14:AZ15"/>
    <mergeCell ref="BA14:BA15"/>
    <mergeCell ref="BB14:BB15"/>
    <mergeCell ref="BC14:BC15"/>
    <mergeCell ref="BX36:CB37"/>
    <mergeCell ref="CD38:CJ39"/>
    <mergeCell ref="CL38:CR39"/>
    <mergeCell ref="CT38:CZ39"/>
    <mergeCell ref="BX45:CB46"/>
    <mergeCell ref="BX48:CB49"/>
    <mergeCell ref="BD20:BD21"/>
    <mergeCell ref="CD26:CJ28"/>
    <mergeCell ref="CL26:CR28"/>
    <mergeCell ref="CT26:CZ28"/>
    <mergeCell ref="BX30:CB31"/>
    <mergeCell ref="BX33:CB34"/>
    <mergeCell ref="BX67:CB69"/>
    <mergeCell ref="BI69:BP70"/>
    <mergeCell ref="BI74:BU75"/>
    <mergeCell ref="BI82:BU83"/>
    <mergeCell ref="BI90:BU91"/>
    <mergeCell ref="BX58:CB59"/>
    <mergeCell ref="CD59:CJ60"/>
    <mergeCell ref="CL59:CR60"/>
    <mergeCell ref="CT59:CZ60"/>
    <mergeCell ref="BX61:CB62"/>
    <mergeCell ref="BI63:BP64"/>
    <mergeCell ref="BX64:CB65"/>
    <mergeCell ref="CT64:CZ65"/>
    <mergeCell ref="BI107:BU108"/>
    <mergeCell ref="R13:W14"/>
    <mergeCell ref="X13:Y14"/>
    <mergeCell ref="Z13:Z14"/>
    <mergeCell ref="U16:W17"/>
    <mergeCell ref="Y17:Z17"/>
    <mergeCell ref="S18:T18"/>
    <mergeCell ref="S19:U19"/>
    <mergeCell ref="T21:T22"/>
    <mergeCell ref="BI67:BP68"/>
    <mergeCell ref="AW20:AW21"/>
    <mergeCell ref="AX20:AY21"/>
    <mergeCell ref="AZ20:AZ21"/>
    <mergeCell ref="BA20:BA21"/>
    <mergeCell ref="BB20:BB21"/>
    <mergeCell ref="BC20:BC21"/>
    <mergeCell ref="BA16:BA17"/>
    <mergeCell ref="BB16:BB17"/>
    <mergeCell ref="BC16:BC17"/>
    <mergeCell ref="BD16:BD17"/>
    <mergeCell ref="AF20:AJ21"/>
    <mergeCell ref="AK20:AO21"/>
    <mergeCell ref="AP20:AQ21"/>
    <mergeCell ref="AR20:AS20"/>
    <mergeCell ref="U21:U22"/>
    <mergeCell ref="V21:V22"/>
    <mergeCell ref="X21:X22"/>
    <mergeCell ref="Y21:Y22"/>
    <mergeCell ref="Z21:Z22"/>
    <mergeCell ref="R63:W64"/>
    <mergeCell ref="X63:Y64"/>
    <mergeCell ref="Z63:Z64"/>
    <mergeCell ref="BI99:BU100"/>
    <mergeCell ref="AT20:AU21"/>
    <mergeCell ref="AV20:AV21"/>
    <mergeCell ref="U66:W67"/>
    <mergeCell ref="Y67:Z67"/>
    <mergeCell ref="S68:T68"/>
    <mergeCell ref="S69:U69"/>
    <mergeCell ref="T71:T72"/>
    <mergeCell ref="U71:U72"/>
    <mergeCell ref="V71:V72"/>
    <mergeCell ref="X71:X72"/>
    <mergeCell ref="Y71:Y72"/>
    <mergeCell ref="Z71:Z72"/>
    <mergeCell ref="S119:U119"/>
    <mergeCell ref="T121:T122"/>
    <mergeCell ref="U121:U122"/>
    <mergeCell ref="V121:V122"/>
    <mergeCell ref="X121:X122"/>
    <mergeCell ref="Y121:Y122"/>
    <mergeCell ref="R113:W114"/>
    <mergeCell ref="X113:Y114"/>
    <mergeCell ref="Z113:Z114"/>
    <mergeCell ref="U116:W117"/>
    <mergeCell ref="Y117:Z117"/>
    <mergeCell ref="S118:T118"/>
    <mergeCell ref="S204:T204"/>
    <mergeCell ref="S205:U205"/>
    <mergeCell ref="T207:T208"/>
    <mergeCell ref="U207:U208"/>
    <mergeCell ref="V207:V208"/>
    <mergeCell ref="X207:X208"/>
    <mergeCell ref="Z121:Z122"/>
    <mergeCell ref="R199:W200"/>
    <mergeCell ref="X199:Y200"/>
    <mergeCell ref="Z199:Z200"/>
    <mergeCell ref="U202:W203"/>
    <mergeCell ref="Y203:Z203"/>
    <mergeCell ref="Z291:Z292"/>
    <mergeCell ref="U294:W295"/>
    <mergeCell ref="Y295:Z295"/>
    <mergeCell ref="Y207:Y208"/>
    <mergeCell ref="Z207:Z208"/>
    <mergeCell ref="R230:Z230"/>
    <mergeCell ref="Y231:Z231"/>
    <mergeCell ref="T233:T234"/>
    <mergeCell ref="U233:U234"/>
    <mergeCell ref="V233:V234"/>
    <mergeCell ref="X233:X234"/>
    <mergeCell ref="Y233:Y234"/>
    <mergeCell ref="Z233:Z234"/>
    <mergeCell ref="S296:T296"/>
    <mergeCell ref="S297:U297"/>
    <mergeCell ref="T299:T300"/>
    <mergeCell ref="U299:U300"/>
    <mergeCell ref="V299:V300"/>
    <mergeCell ref="X299:X300"/>
    <mergeCell ref="Q272:U272"/>
    <mergeCell ref="R291:W292"/>
    <mergeCell ref="X291:Y292"/>
    <mergeCell ref="Y344:Y345"/>
    <mergeCell ref="Z344:Z345"/>
    <mergeCell ref="S341:T341"/>
    <mergeCell ref="S342:U342"/>
    <mergeCell ref="T344:T345"/>
    <mergeCell ref="U344:U345"/>
    <mergeCell ref="V344:V345"/>
    <mergeCell ref="X344:X345"/>
    <mergeCell ref="Y299:Y300"/>
    <mergeCell ref="Z299:Z300"/>
    <mergeCell ref="R336:W337"/>
    <mergeCell ref="X336:Y337"/>
    <mergeCell ref="Z336:Z337"/>
    <mergeCell ref="U339:W340"/>
    <mergeCell ref="Y340:Z340"/>
  </mergeCells>
  <conditionalFormatting sqref="V23:V37">
    <cfRule type="cellIs" dxfId="89" priority="7" operator="notEqual">
      <formula>1</formula>
    </cfRule>
  </conditionalFormatting>
  <conditionalFormatting sqref="V73:V87">
    <cfRule type="cellIs" dxfId="88" priority="6" operator="notEqual">
      <formula>1</formula>
    </cfRule>
  </conditionalFormatting>
  <conditionalFormatting sqref="V123:V152">
    <cfRule type="cellIs" dxfId="87" priority="5" operator="notEqual">
      <formula>1</formula>
    </cfRule>
  </conditionalFormatting>
  <conditionalFormatting sqref="V209:V228">
    <cfRule type="cellIs" dxfId="86" priority="4" operator="notEqual">
      <formula>1</formula>
    </cfRule>
  </conditionalFormatting>
  <conditionalFormatting sqref="V235:V244">
    <cfRule type="cellIs" dxfId="85" priority="3" operator="notEqual">
      <formula>1</formula>
    </cfRule>
  </conditionalFormatting>
  <conditionalFormatting sqref="V301:V310">
    <cfRule type="cellIs" dxfId="84" priority="2" operator="notEqual">
      <formula>1</formula>
    </cfRule>
  </conditionalFormatting>
  <conditionalFormatting sqref="V346:V365">
    <cfRule type="cellIs" dxfId="83" priority="1" operator="notEqual">
      <formula>1</formula>
    </cfRule>
  </conditionalFormatting>
  <printOptions horizontalCentered="1"/>
  <pageMargins left="0.31496062992125984" right="0.31496062992125984" top="0.19685039370078741" bottom="0.15748031496062992" header="0.11811023622047245" footer="0.11811023622047245"/>
  <pageSetup paperSize="9" scale="31"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BA38D9-0DFA-40CE-B1F4-0C33B25EF554}">
  <dimension ref="A1:DD551"/>
  <sheetViews>
    <sheetView showZeros="0" zoomScaleNormal="100" workbookViewId="0">
      <selection activeCell="I17" sqref="I17"/>
    </sheetView>
  </sheetViews>
  <sheetFormatPr baseColWidth="10" defaultColWidth="11.42578125" defaultRowHeight="15"/>
  <cols>
    <col min="1" max="1" width="6.85546875" style="227" customWidth="1"/>
    <col min="2" max="2" width="3.7109375" style="227" customWidth="1"/>
    <col min="3" max="3" width="9.7109375" customWidth="1"/>
    <col min="4" max="5" width="12.7109375" style="227" customWidth="1"/>
    <col min="6" max="6" width="4" style="227" customWidth="1"/>
    <col min="7" max="7" width="9.7109375" style="227" customWidth="1"/>
    <col min="8" max="8" width="13" style="227" customWidth="1"/>
    <col min="9" max="9" width="13.5703125" style="227" customWidth="1"/>
    <col min="10" max="10" width="40.7109375" style="227" customWidth="1"/>
    <col min="11" max="11" width="3.140625" style="227" customWidth="1"/>
    <col min="12" max="12" width="3.7109375" style="227" customWidth="1"/>
    <col min="13" max="16" width="5.7109375" style="227" customWidth="1"/>
    <col min="17" max="18" width="12.7109375" style="227" customWidth="1"/>
    <col min="19" max="19" width="4" style="227" customWidth="1"/>
    <col min="20" max="20" width="9.7109375" style="227" customWidth="1"/>
    <col min="21" max="21" width="12.85546875" style="227" customWidth="1"/>
    <col min="22" max="22" width="13.42578125" style="227" customWidth="1"/>
    <col min="23" max="23" width="40.7109375" style="227" customWidth="1"/>
    <col min="24" max="24" width="10.5703125" style="227" customWidth="1"/>
    <col min="25" max="25" width="9.28515625" style="227" customWidth="1"/>
    <col min="26" max="26" width="12.28515625" style="227" customWidth="1"/>
    <col min="27" max="27" width="9.7109375" style="1126" customWidth="1"/>
    <col min="28" max="28" width="12.7109375" style="1126" customWidth="1"/>
    <col min="29" max="29" width="13.7109375" style="1126" customWidth="1"/>
    <col min="30" max="30" width="7.28515625" style="1126" customWidth="1"/>
    <col min="31" max="31" width="10.7109375" style="227" customWidth="1"/>
    <col min="32" max="32" width="21.28515625" style="227" customWidth="1"/>
    <col min="33" max="36" width="5.7109375" style="227" customWidth="1"/>
    <col min="37" max="37" width="11.7109375" style="227" customWidth="1"/>
    <col min="38" max="38" width="7.140625" style="227" customWidth="1"/>
    <col min="39" max="39" width="15.28515625" style="227" customWidth="1"/>
    <col min="40" max="40" width="12.7109375" style="227" customWidth="1"/>
    <col min="41" max="41" width="14.140625" style="1126" customWidth="1"/>
    <col min="42" max="42" width="11.7109375" style="1126" customWidth="1"/>
    <col min="43" max="43" width="24.5703125" style="1126" customWidth="1"/>
    <col min="44" max="44" width="10.140625" style="1126" customWidth="1"/>
    <col min="45" max="45" width="9.7109375" style="1126" customWidth="1"/>
    <col min="46" max="46" width="11.7109375" style="1126" customWidth="1"/>
    <col min="47" max="47" width="12.85546875" style="1126" customWidth="1"/>
    <col min="48" max="48" width="33" style="1126" customWidth="1"/>
    <col min="49" max="49" width="12.7109375" style="1126" customWidth="1"/>
    <col min="50" max="50" width="10.28515625" style="1126" customWidth="1"/>
    <col min="51" max="51" width="9" style="1126" customWidth="1"/>
    <col min="52" max="52" width="11.7109375" customWidth="1"/>
    <col min="53" max="54" width="17.7109375" style="227" customWidth="1"/>
    <col min="55" max="55" width="14.140625" style="227" customWidth="1"/>
    <col min="56" max="56" width="45" style="1126" customWidth="1"/>
    <col min="57" max="57" width="4.5703125" style="1126" customWidth="1"/>
    <col min="58" max="58" width="6.85546875" style="227" customWidth="1"/>
    <col min="59" max="59" width="15.7109375" style="856" customWidth="1"/>
    <col min="60" max="60" width="11.7109375" style="856" customWidth="1"/>
    <col min="61" max="63" width="14.7109375" style="856" customWidth="1"/>
    <col min="64" max="66" width="11.7109375" style="856" customWidth="1"/>
    <col min="67" max="67" width="20.42578125" style="856" customWidth="1"/>
    <col min="68" max="68" width="17.7109375" style="227" customWidth="1"/>
    <col min="69" max="73" width="14.7109375" customWidth="1"/>
    <col min="74" max="74" width="5.5703125" customWidth="1"/>
    <col min="75" max="75" width="11.5703125" customWidth="1"/>
    <col min="76" max="76" width="16.7109375" customWidth="1"/>
    <col min="77" max="77" width="17" bestFit="1" customWidth="1"/>
    <col min="78" max="78" width="11.7109375" customWidth="1"/>
    <col min="79" max="79" width="41" customWidth="1"/>
    <col min="80" max="80" width="11.42578125" style="227"/>
    <col min="81" max="81" width="3.7109375" style="227" customWidth="1"/>
    <col min="82" max="82" width="19.7109375" customWidth="1"/>
    <col min="83" max="83" width="18.7109375" customWidth="1"/>
    <col min="84" max="84" width="10.7109375" customWidth="1"/>
    <col min="85" max="85" width="16.7109375" customWidth="1"/>
    <col min="86" max="86" width="17" bestFit="1" customWidth="1"/>
    <col min="87" max="87" width="11.7109375" customWidth="1"/>
    <col min="88" max="88" width="41" customWidth="1"/>
    <col min="89" max="89" width="4.85546875" style="227" customWidth="1"/>
    <col min="90" max="90" width="19.7109375" customWidth="1"/>
    <col min="91" max="91" width="18.7109375" customWidth="1"/>
    <col min="92" max="92" width="10.7109375" customWidth="1"/>
    <col min="93" max="93" width="16.7109375" customWidth="1"/>
    <col min="94" max="94" width="17" bestFit="1" customWidth="1"/>
    <col min="95" max="95" width="11.7109375" customWidth="1"/>
    <col min="96" max="96" width="41" customWidth="1"/>
    <col min="97" max="97" width="4.85546875" style="227" customWidth="1"/>
    <col min="98" max="98" width="19.7109375" customWidth="1"/>
    <col min="99" max="99" width="18.7109375" customWidth="1"/>
    <col min="100" max="100" width="10.7109375" customWidth="1"/>
    <col min="101" max="101" width="16.7109375" customWidth="1"/>
    <col min="102" max="102" width="17" bestFit="1" customWidth="1"/>
    <col min="103" max="103" width="11.7109375" customWidth="1"/>
    <col min="104" max="104" width="41" customWidth="1"/>
    <col min="105" max="105" width="4.85546875" style="227" customWidth="1"/>
    <col min="106" max="106" width="7.28515625" style="227" customWidth="1"/>
    <col min="107" max="107" width="11.42578125" style="709"/>
    <col min="108" max="108" width="43.5703125" style="709" customWidth="1"/>
    <col min="109" max="16384" width="11.42578125" style="227"/>
  </cols>
  <sheetData>
    <row r="1" spans="1:108" ht="15" customHeight="1" thickTop="1">
      <c r="A1" s="1" t="str">
        <f>ADDRESS(ROW(),COLUMN(),4)</f>
        <v>A1</v>
      </c>
      <c r="B1" s="2" t="str">
        <f t="shared" ref="B1:BD1" si="0">SUBSTITUTE(ADDRESS(1,COLUMN(),4),"1","")</f>
        <v>B</v>
      </c>
      <c r="C1" s="2" t="str">
        <f t="shared" si="0"/>
        <v>C</v>
      </c>
      <c r="D1" s="2" t="str">
        <f t="shared" si="0"/>
        <v>D</v>
      </c>
      <c r="E1" s="2" t="str">
        <f t="shared" si="0"/>
        <v>E</v>
      </c>
      <c r="F1" s="2" t="str">
        <f t="shared" si="0"/>
        <v>F</v>
      </c>
      <c r="G1" s="2" t="str">
        <f t="shared" si="0"/>
        <v>G</v>
      </c>
      <c r="H1" s="2" t="str">
        <f t="shared" si="0"/>
        <v>H</v>
      </c>
      <c r="I1" s="2" t="str">
        <f t="shared" si="0"/>
        <v>I</v>
      </c>
      <c r="J1" s="2" t="str">
        <f t="shared" si="0"/>
        <v>J</v>
      </c>
      <c r="K1" s="2" t="str">
        <f t="shared" si="0"/>
        <v>K</v>
      </c>
      <c r="L1" s="2" t="str">
        <f t="shared" si="0"/>
        <v>L</v>
      </c>
      <c r="M1" s="2" t="str">
        <f t="shared" si="0"/>
        <v>M</v>
      </c>
      <c r="N1" s="2" t="str">
        <f t="shared" si="0"/>
        <v>N</v>
      </c>
      <c r="O1" s="2" t="str">
        <f t="shared" si="0"/>
        <v>O</v>
      </c>
      <c r="P1" s="2" t="str">
        <f t="shared" si="0"/>
        <v>P</v>
      </c>
      <c r="Q1" s="2" t="str">
        <f t="shared" si="0"/>
        <v>Q</v>
      </c>
      <c r="R1" s="2" t="str">
        <f t="shared" si="0"/>
        <v>R</v>
      </c>
      <c r="S1" s="2" t="str">
        <f t="shared" si="0"/>
        <v>S</v>
      </c>
      <c r="T1" s="2" t="str">
        <f t="shared" si="0"/>
        <v>T</v>
      </c>
      <c r="U1" s="2" t="str">
        <f t="shared" si="0"/>
        <v>U</v>
      </c>
      <c r="V1" s="2" t="str">
        <f t="shared" si="0"/>
        <v>V</v>
      </c>
      <c r="W1" s="2" t="str">
        <f t="shared" si="0"/>
        <v>W</v>
      </c>
      <c r="X1" s="2" t="str">
        <f t="shared" si="0"/>
        <v>X</v>
      </c>
      <c r="Y1" s="2" t="str">
        <f t="shared" si="0"/>
        <v>Y</v>
      </c>
      <c r="Z1" s="2" t="str">
        <f t="shared" si="0"/>
        <v>Z</v>
      </c>
      <c r="AA1" s="2" t="str">
        <f t="shared" si="0"/>
        <v>AA</v>
      </c>
      <c r="AB1" s="2" t="str">
        <f t="shared" si="0"/>
        <v>AB</v>
      </c>
      <c r="AC1" s="2" t="str">
        <f t="shared" si="0"/>
        <v>AC</v>
      </c>
      <c r="AD1" s="853"/>
      <c r="AE1" s="2" t="str">
        <f t="shared" si="0"/>
        <v>AE</v>
      </c>
      <c r="AF1" s="2" t="str">
        <f t="shared" si="0"/>
        <v>AF</v>
      </c>
      <c r="AG1" s="2" t="str">
        <f t="shared" si="0"/>
        <v>AG</v>
      </c>
      <c r="AH1" s="2" t="str">
        <f t="shared" si="0"/>
        <v>AH</v>
      </c>
      <c r="AI1" s="2" t="str">
        <f t="shared" si="0"/>
        <v>AI</v>
      </c>
      <c r="AJ1" s="2" t="str">
        <f t="shared" si="0"/>
        <v>AJ</v>
      </c>
      <c r="AK1" s="2" t="str">
        <f t="shared" si="0"/>
        <v>AK</v>
      </c>
      <c r="AL1" s="2" t="str">
        <f t="shared" si="0"/>
        <v>AL</v>
      </c>
      <c r="AM1" s="2" t="str">
        <f t="shared" si="0"/>
        <v>AM</v>
      </c>
      <c r="AN1" s="2" t="str">
        <f t="shared" si="0"/>
        <v>AN</v>
      </c>
      <c r="AO1" s="2" t="str">
        <f t="shared" si="0"/>
        <v>AO</v>
      </c>
      <c r="AP1" s="2" t="str">
        <f t="shared" si="0"/>
        <v>AP</v>
      </c>
      <c r="AQ1" s="2" t="str">
        <f t="shared" si="0"/>
        <v>AQ</v>
      </c>
      <c r="AR1" s="2" t="str">
        <f t="shared" si="0"/>
        <v>AR</v>
      </c>
      <c r="AS1" s="2" t="str">
        <f t="shared" si="0"/>
        <v>AS</v>
      </c>
      <c r="AT1" s="2" t="str">
        <f t="shared" si="0"/>
        <v>AT</v>
      </c>
      <c r="AU1" s="2" t="str">
        <f t="shared" si="0"/>
        <v>AU</v>
      </c>
      <c r="AV1" s="2" t="str">
        <f t="shared" si="0"/>
        <v>AV</v>
      </c>
      <c r="AW1" s="2" t="str">
        <f t="shared" si="0"/>
        <v>AW</v>
      </c>
      <c r="AX1" s="2" t="str">
        <f t="shared" si="0"/>
        <v>AX</v>
      </c>
      <c r="AY1" s="2" t="str">
        <f t="shared" si="0"/>
        <v>AY</v>
      </c>
      <c r="AZ1" s="2" t="str">
        <f t="shared" si="0"/>
        <v>AZ</v>
      </c>
      <c r="BA1" s="2" t="str">
        <f t="shared" si="0"/>
        <v>BA</v>
      </c>
      <c r="BB1" s="2" t="str">
        <f t="shared" si="0"/>
        <v>BB</v>
      </c>
      <c r="BC1" s="2" t="str">
        <f t="shared" si="0"/>
        <v>BC</v>
      </c>
      <c r="BD1" s="2" t="str">
        <f t="shared" si="0"/>
        <v>BD</v>
      </c>
      <c r="BE1" s="853"/>
      <c r="BF1" s="935"/>
      <c r="BG1" s="4" t="str">
        <f t="shared" ref="BG1:BP1" si="1">SUBSTITUTE(ADDRESS(1,COLUMN(),4),"1","")</f>
        <v>BG</v>
      </c>
      <c r="BH1" s="4" t="str">
        <f t="shared" si="1"/>
        <v>BH</v>
      </c>
      <c r="BI1" s="4" t="str">
        <f t="shared" si="1"/>
        <v>BI</v>
      </c>
      <c r="BJ1" s="4"/>
      <c r="BK1" s="4"/>
      <c r="BL1" s="4" t="str">
        <f t="shared" si="1"/>
        <v>BL</v>
      </c>
      <c r="BM1" s="4" t="str">
        <f t="shared" si="1"/>
        <v>BM</v>
      </c>
      <c r="BN1" s="4" t="str">
        <f t="shared" si="1"/>
        <v>BN</v>
      </c>
      <c r="BO1" s="4" t="str">
        <f t="shared" si="1"/>
        <v>BO</v>
      </c>
      <c r="BP1" s="4" t="str">
        <f t="shared" si="1"/>
        <v>BP</v>
      </c>
      <c r="BW1" s="4" t="str">
        <f t="shared" ref="BW1:CB1" si="2">SUBSTITUTE(ADDRESS(1,COLUMN(),4),"1","")</f>
        <v>BW</v>
      </c>
      <c r="BX1" s="4" t="str">
        <f t="shared" si="2"/>
        <v>BX</v>
      </c>
      <c r="BY1" s="4" t="str">
        <f t="shared" si="2"/>
        <v>BY</v>
      </c>
      <c r="BZ1" s="4" t="str">
        <f t="shared" si="2"/>
        <v>BZ</v>
      </c>
      <c r="CA1" s="4" t="str">
        <f t="shared" si="2"/>
        <v>CA</v>
      </c>
      <c r="CB1" s="4" t="str">
        <f t="shared" si="2"/>
        <v>CB</v>
      </c>
      <c r="CD1" s="4" t="str">
        <f t="shared" ref="CD1:CZ1" si="3">SUBSTITUTE(ADDRESS(1,COLUMN(),4),"1","")</f>
        <v>CD</v>
      </c>
      <c r="CE1" s="4" t="str">
        <f t="shared" si="3"/>
        <v>CE</v>
      </c>
      <c r="CF1" s="4" t="str">
        <f t="shared" si="3"/>
        <v>CF</v>
      </c>
      <c r="CG1" s="4" t="str">
        <f t="shared" si="3"/>
        <v>CG</v>
      </c>
      <c r="CH1" s="4" t="str">
        <f t="shared" si="3"/>
        <v>CH</v>
      </c>
      <c r="CI1" s="4" t="str">
        <f t="shared" si="3"/>
        <v>CI</v>
      </c>
      <c r="CJ1" s="4" t="str">
        <f t="shared" si="3"/>
        <v>CJ</v>
      </c>
      <c r="CL1" s="4" t="str">
        <f t="shared" si="3"/>
        <v>CL</v>
      </c>
      <c r="CM1" s="4" t="str">
        <f t="shared" si="3"/>
        <v>CM</v>
      </c>
      <c r="CN1" s="4" t="str">
        <f t="shared" si="3"/>
        <v>CN</v>
      </c>
      <c r="CO1" s="4" t="str">
        <f t="shared" si="3"/>
        <v>CO</v>
      </c>
      <c r="CP1" s="4" t="str">
        <f t="shared" si="3"/>
        <v>CP</v>
      </c>
      <c r="CQ1" s="4" t="str">
        <f t="shared" si="3"/>
        <v>CQ</v>
      </c>
      <c r="CR1" s="4" t="str">
        <f t="shared" si="3"/>
        <v>CR</v>
      </c>
      <c r="CT1" s="4" t="str">
        <f t="shared" si="3"/>
        <v>CT</v>
      </c>
      <c r="CU1" s="4" t="str">
        <f t="shared" si="3"/>
        <v>CU</v>
      </c>
      <c r="CV1" s="4" t="str">
        <f t="shared" si="3"/>
        <v>CV</v>
      </c>
      <c r="CW1" s="4" t="str">
        <f t="shared" si="3"/>
        <v>CW</v>
      </c>
      <c r="CX1" s="4" t="str">
        <f t="shared" si="3"/>
        <v>CX</v>
      </c>
      <c r="CY1" s="4" t="str">
        <f t="shared" si="3"/>
        <v>CY</v>
      </c>
      <c r="CZ1" s="4" t="str">
        <f t="shared" si="3"/>
        <v>CZ</v>
      </c>
      <c r="DB1" s="3">
        <v>1</v>
      </c>
      <c r="DC1" s="4" t="str">
        <f>SUBSTITUTE(ADDRESS(1,COLUMN(),4),"1","")</f>
        <v>DC</v>
      </c>
      <c r="DD1" s="5" t="str">
        <f>SUBSTITUTE(ADDRESS(1,COLUMN(),4),"1","")</f>
        <v>DD</v>
      </c>
    </row>
    <row r="2" spans="1:108" ht="23.25" customHeight="1" thickBot="1">
      <c r="B2" s="6">
        <f t="shared" ref="B2:BD2" ca="1" si="4">CELL("largeur",B2)</f>
        <v>3</v>
      </c>
      <c r="C2" s="6">
        <f t="shared" ca="1" si="4"/>
        <v>9</v>
      </c>
      <c r="D2" s="6">
        <f t="shared" ca="1" si="4"/>
        <v>12</v>
      </c>
      <c r="E2" s="6">
        <f t="shared" ca="1" si="4"/>
        <v>12</v>
      </c>
      <c r="F2" s="6">
        <f t="shared" ca="1" si="4"/>
        <v>3</v>
      </c>
      <c r="G2" s="6">
        <f t="shared" ca="1" si="4"/>
        <v>9</v>
      </c>
      <c r="H2" s="6">
        <f t="shared" ca="1" si="4"/>
        <v>12</v>
      </c>
      <c r="I2" s="6">
        <f t="shared" ca="1" si="4"/>
        <v>13</v>
      </c>
      <c r="J2" s="6">
        <f t="shared" ca="1" si="4"/>
        <v>40</v>
      </c>
      <c r="K2" s="6">
        <f t="shared" ca="1" si="4"/>
        <v>2</v>
      </c>
      <c r="L2" s="6">
        <f t="shared" ca="1" si="4"/>
        <v>3</v>
      </c>
      <c r="M2" s="6">
        <f t="shared" ca="1" si="4"/>
        <v>5</v>
      </c>
      <c r="N2" s="6">
        <f t="shared" ca="1" si="4"/>
        <v>5</v>
      </c>
      <c r="O2" s="6">
        <f t="shared" ca="1" si="4"/>
        <v>5</v>
      </c>
      <c r="P2" s="6">
        <f t="shared" ca="1" si="4"/>
        <v>5</v>
      </c>
      <c r="Q2" s="6">
        <f t="shared" ca="1" si="4"/>
        <v>12</v>
      </c>
      <c r="R2" s="6">
        <f t="shared" ca="1" si="4"/>
        <v>12</v>
      </c>
      <c r="S2" s="6">
        <f t="shared" ca="1" si="4"/>
        <v>3</v>
      </c>
      <c r="T2" s="6">
        <f t="shared" ca="1" si="4"/>
        <v>9</v>
      </c>
      <c r="U2" s="6">
        <f t="shared" ca="1" si="4"/>
        <v>12</v>
      </c>
      <c r="V2" s="6">
        <f t="shared" ca="1" si="4"/>
        <v>13</v>
      </c>
      <c r="W2" s="6">
        <f t="shared" ca="1" si="4"/>
        <v>40</v>
      </c>
      <c r="X2" s="6">
        <f t="shared" ca="1" si="4"/>
        <v>10</v>
      </c>
      <c r="Y2" s="6">
        <f t="shared" ca="1" si="4"/>
        <v>9</v>
      </c>
      <c r="Z2" s="6">
        <f t="shared" ca="1" si="4"/>
        <v>12</v>
      </c>
      <c r="AA2" s="6">
        <v>9</v>
      </c>
      <c r="AB2" s="6">
        <v>12</v>
      </c>
      <c r="AC2" s="6">
        <v>13</v>
      </c>
      <c r="AD2" s="853"/>
      <c r="AE2" s="6">
        <f t="shared" ca="1" si="4"/>
        <v>10</v>
      </c>
      <c r="AF2" s="6">
        <f t="shared" ca="1" si="4"/>
        <v>21</v>
      </c>
      <c r="AG2" s="6">
        <f t="shared" ca="1" si="4"/>
        <v>5</v>
      </c>
      <c r="AH2" s="6">
        <f t="shared" ca="1" si="4"/>
        <v>5</v>
      </c>
      <c r="AI2" s="6">
        <f t="shared" ca="1" si="4"/>
        <v>5</v>
      </c>
      <c r="AJ2" s="6">
        <f t="shared" ca="1" si="4"/>
        <v>5</v>
      </c>
      <c r="AK2" s="6">
        <f t="shared" ca="1" si="4"/>
        <v>11</v>
      </c>
      <c r="AL2" s="6">
        <f t="shared" ca="1" si="4"/>
        <v>6</v>
      </c>
      <c r="AM2" s="6">
        <f t="shared" ca="1" si="4"/>
        <v>15</v>
      </c>
      <c r="AN2" s="6">
        <f t="shared" ca="1" si="4"/>
        <v>12</v>
      </c>
      <c r="AO2" s="6">
        <f t="shared" ca="1" si="4"/>
        <v>13</v>
      </c>
      <c r="AP2" s="6">
        <f t="shared" ca="1" si="4"/>
        <v>11</v>
      </c>
      <c r="AQ2" s="6">
        <f t="shared" ca="1" si="4"/>
        <v>24</v>
      </c>
      <c r="AR2" s="6">
        <f t="shared" ca="1" si="4"/>
        <v>9</v>
      </c>
      <c r="AS2" s="6">
        <f t="shared" ca="1" si="4"/>
        <v>9</v>
      </c>
      <c r="AT2" s="6">
        <f t="shared" ca="1" si="4"/>
        <v>11</v>
      </c>
      <c r="AU2" s="6">
        <f t="shared" ca="1" si="4"/>
        <v>12</v>
      </c>
      <c r="AV2" s="6">
        <f t="shared" ca="1" si="4"/>
        <v>32</v>
      </c>
      <c r="AW2" s="6">
        <f t="shared" ca="1" si="4"/>
        <v>12</v>
      </c>
      <c r="AX2" s="6">
        <f t="shared" ca="1" si="4"/>
        <v>10</v>
      </c>
      <c r="AY2" s="6">
        <f t="shared" ca="1" si="4"/>
        <v>8</v>
      </c>
      <c r="AZ2" s="6">
        <f t="shared" ca="1" si="4"/>
        <v>11</v>
      </c>
      <c r="BA2" s="6">
        <f t="shared" ca="1" si="4"/>
        <v>17</v>
      </c>
      <c r="BB2" s="6">
        <f t="shared" ca="1" si="4"/>
        <v>17</v>
      </c>
      <c r="BC2" s="6">
        <f t="shared" ca="1" si="4"/>
        <v>13</v>
      </c>
      <c r="BD2" s="6">
        <f t="shared" ca="1" si="4"/>
        <v>44</v>
      </c>
      <c r="BE2" s="853"/>
      <c r="BF2" s="935"/>
      <c r="BG2" s="854">
        <f ca="1">CELL("largeur",BG2)</f>
        <v>15</v>
      </c>
      <c r="BH2" s="854">
        <f ca="1">CELL("largeur",BH2)</f>
        <v>11</v>
      </c>
      <c r="BI2" s="854">
        <f ca="1">CELL("largeur",BI2)</f>
        <v>14</v>
      </c>
      <c r="BJ2" s="854"/>
      <c r="BK2" s="854"/>
      <c r="BL2" s="854">
        <f ca="1">CELL("largeur",BL2)</f>
        <v>11</v>
      </c>
      <c r="BM2" s="854">
        <f ca="1">CELL("largeur",BM2)</f>
        <v>11</v>
      </c>
      <c r="BN2" s="854">
        <f ca="1">CELL("largeur",BN2)</f>
        <v>11</v>
      </c>
      <c r="BO2" s="854">
        <f ca="1">CELL("largeur",BO2)</f>
        <v>20</v>
      </c>
      <c r="BP2" s="854">
        <f ca="1">CELL("largeur",BP2)</f>
        <v>17</v>
      </c>
      <c r="BW2" s="854">
        <f t="shared" ref="BW2:CB2" ca="1" si="5">CELL("largeur",BW2)</f>
        <v>11</v>
      </c>
      <c r="BX2" s="854">
        <f t="shared" ca="1" si="5"/>
        <v>16</v>
      </c>
      <c r="BY2" s="854">
        <f t="shared" ca="1" si="5"/>
        <v>16</v>
      </c>
      <c r="BZ2" s="854">
        <f t="shared" ca="1" si="5"/>
        <v>11</v>
      </c>
      <c r="CA2" s="854">
        <f t="shared" ca="1" si="5"/>
        <v>40</v>
      </c>
      <c r="CB2" s="854">
        <f t="shared" ca="1" si="5"/>
        <v>11</v>
      </c>
      <c r="CD2" s="854">
        <f t="shared" ref="CD2:CJ2" ca="1" si="6">CELL("largeur",CD2)</f>
        <v>19</v>
      </c>
      <c r="CE2" s="854">
        <f t="shared" ca="1" si="6"/>
        <v>18</v>
      </c>
      <c r="CF2" s="854">
        <f t="shared" ca="1" si="6"/>
        <v>10</v>
      </c>
      <c r="CG2" s="854">
        <f t="shared" ca="1" si="6"/>
        <v>16</v>
      </c>
      <c r="CH2" s="854">
        <f t="shared" ca="1" si="6"/>
        <v>16</v>
      </c>
      <c r="CI2" s="854">
        <f t="shared" ca="1" si="6"/>
        <v>11</v>
      </c>
      <c r="CJ2" s="854">
        <f t="shared" ca="1" si="6"/>
        <v>40</v>
      </c>
      <c r="CL2" s="854">
        <f t="shared" ref="CL2:CR2" ca="1" si="7">CELL("largeur",CL2)</f>
        <v>19</v>
      </c>
      <c r="CM2" s="854">
        <f t="shared" ca="1" si="7"/>
        <v>18</v>
      </c>
      <c r="CN2" s="854">
        <f t="shared" ca="1" si="7"/>
        <v>10</v>
      </c>
      <c r="CO2" s="854">
        <f t="shared" ca="1" si="7"/>
        <v>16</v>
      </c>
      <c r="CP2" s="854">
        <f t="shared" ca="1" si="7"/>
        <v>16</v>
      </c>
      <c r="CQ2" s="854">
        <f t="shared" ca="1" si="7"/>
        <v>11</v>
      </c>
      <c r="CR2" s="854">
        <f t="shared" ca="1" si="7"/>
        <v>40</v>
      </c>
      <c r="CT2" s="854">
        <f t="shared" ref="CT2:CZ2" ca="1" si="8">CELL("largeur",CT2)</f>
        <v>19</v>
      </c>
      <c r="CU2" s="854">
        <f t="shared" ca="1" si="8"/>
        <v>18</v>
      </c>
      <c r="CV2" s="854">
        <f t="shared" ca="1" si="8"/>
        <v>10</v>
      </c>
      <c r="CW2" s="854">
        <f t="shared" ca="1" si="8"/>
        <v>16</v>
      </c>
      <c r="CX2" s="854">
        <f t="shared" ca="1" si="8"/>
        <v>16</v>
      </c>
      <c r="CY2" s="854">
        <f t="shared" ca="1" si="8"/>
        <v>11</v>
      </c>
      <c r="CZ2" s="854">
        <f t="shared" ca="1" si="8"/>
        <v>40</v>
      </c>
      <c r="DB2" s="3">
        <v>1</v>
      </c>
      <c r="DC2" s="7" t="s">
        <v>3</v>
      </c>
      <c r="DD2" s="8"/>
    </row>
    <row r="3" spans="1:108" s="935" customFormat="1" ht="23.25" customHeight="1">
      <c r="A3" s="936" t="s">
        <v>22</v>
      </c>
      <c r="B3" s="937"/>
      <c r="C3" s="937" t="s">
        <v>1674</v>
      </c>
      <c r="D3" s="937"/>
      <c r="E3" s="937"/>
      <c r="F3" s="937"/>
      <c r="G3" s="937"/>
      <c r="H3" s="937"/>
      <c r="I3" s="937"/>
      <c r="J3" s="937"/>
      <c r="K3" s="937"/>
      <c r="L3" s="938" t="s">
        <v>865</v>
      </c>
      <c r="M3" s="938" t="s">
        <v>13436</v>
      </c>
      <c r="N3" s="938"/>
      <c r="O3" s="855"/>
      <c r="P3" s="855"/>
      <c r="Q3" s="855"/>
      <c r="R3" s="855"/>
      <c r="S3" s="855"/>
      <c r="T3" s="855"/>
      <c r="U3" s="855"/>
      <c r="V3" s="855"/>
      <c r="W3" s="855"/>
      <c r="X3" s="855"/>
      <c r="Y3" s="855"/>
      <c r="Z3" s="855"/>
      <c r="AA3" s="855"/>
      <c r="AB3" s="855"/>
      <c r="AC3" s="938" t="s">
        <v>865</v>
      </c>
      <c r="AD3" s="853"/>
      <c r="AF3" s="5246" t="s">
        <v>13462</v>
      </c>
      <c r="AG3" s="939" t="s">
        <v>13463</v>
      </c>
      <c r="AH3" s="939"/>
      <c r="AI3" s="939"/>
      <c r="AJ3" s="939"/>
      <c r="AK3" s="938"/>
      <c r="AL3" s="938"/>
      <c r="AM3" s="938"/>
      <c r="AN3" s="938"/>
      <c r="AO3" s="938" t="s">
        <v>865</v>
      </c>
      <c r="AP3" s="940" t="s">
        <v>1675</v>
      </c>
      <c r="AQ3" s="853"/>
      <c r="AR3" s="853"/>
      <c r="AS3" s="853"/>
      <c r="AT3" s="853"/>
      <c r="AU3" s="853"/>
      <c r="AV3" s="853"/>
      <c r="AW3" s="853"/>
      <c r="AX3" s="853"/>
      <c r="AY3" s="5600" t="s">
        <v>13445</v>
      </c>
      <c r="AZ3" s="5600"/>
      <c r="BA3" s="5600"/>
      <c r="BB3" s="5600"/>
      <c r="BC3" s="5600"/>
      <c r="BD3" s="5600"/>
      <c r="BE3" s="853"/>
      <c r="BG3"/>
      <c r="BL3" s="856"/>
      <c r="BM3" s="856"/>
      <c r="BN3" s="856"/>
      <c r="BO3" s="856"/>
      <c r="BP3" s="227"/>
      <c r="BQ3"/>
      <c r="BR3"/>
      <c r="BS3"/>
      <c r="BT3"/>
      <c r="BU3"/>
      <c r="BV3"/>
      <c r="BW3" s="227"/>
      <c r="BX3" s="227"/>
      <c r="BY3" s="227"/>
      <c r="BZ3" s="227"/>
      <c r="CA3" s="227"/>
      <c r="CB3" s="227"/>
      <c r="CC3" s="227"/>
      <c r="CD3"/>
      <c r="CE3"/>
      <c r="CF3"/>
      <c r="CG3"/>
      <c r="CH3"/>
      <c r="CI3"/>
      <c r="CJ3"/>
      <c r="CK3"/>
      <c r="CM3"/>
      <c r="CN3"/>
      <c r="CO3"/>
      <c r="CP3"/>
      <c r="CQ3"/>
      <c r="CR3"/>
      <c r="CS3" s="227"/>
      <c r="CT3"/>
      <c r="CU3"/>
      <c r="CV3"/>
      <c r="CW3" s="941" t="s">
        <v>1676</v>
      </c>
      <c r="CX3" s="942" t="str">
        <f>$DB$551</f>
        <v>DB551</v>
      </c>
      <c r="CY3"/>
      <c r="CZ3" s="943" t="str">
        <f ca="1">"Page "&amp;_xlfn.SHEET()&amp;" sur "&amp;_xlfn.SHEETS()</f>
        <v>Page 8 sur 27</v>
      </c>
      <c r="DA3" s="227"/>
      <c r="DB3" s="3">
        <v>1</v>
      </c>
      <c r="DC3" s="11">
        <f ca="1">COUNTA(A1:DB551) + COUNTBLANK(A1:DB551)</f>
        <v>63691</v>
      </c>
      <c r="DD3" s="12" t="str">
        <f>"cellules entre -cells -celdas  "&amp;" " &amp;A1&amp;" et  "&amp;DB551</f>
        <v>cellules entre -cells -celdas   A1 et  DB551</v>
      </c>
    </row>
    <row r="4" spans="1:108" ht="24.75" customHeight="1" thickBot="1">
      <c r="A4" s="936" t="s">
        <v>22</v>
      </c>
      <c r="B4" s="944" t="str">
        <f>SUBSTITUTE(ADDRESS(1,COLUMN(),4),"1","")</f>
        <v>B</v>
      </c>
      <c r="C4" s="945" t="s">
        <v>1677</v>
      </c>
      <c r="D4" s="946"/>
      <c r="E4" s="946"/>
      <c r="F4" s="946"/>
      <c r="G4" s="946"/>
      <c r="H4" s="946"/>
      <c r="I4" s="946"/>
      <c r="J4" s="946"/>
      <c r="K4" s="946"/>
      <c r="L4" s="946"/>
      <c r="M4" s="946"/>
      <c r="N4" s="946"/>
      <c r="O4" s="946"/>
      <c r="P4" s="946"/>
      <c r="Q4" s="946"/>
      <c r="R4" s="946"/>
      <c r="S4" s="946"/>
      <c r="T4" s="945" t="s">
        <v>13437</v>
      </c>
      <c r="U4" s="946"/>
      <c r="V4" s="946"/>
      <c r="W4" s="946"/>
      <c r="X4" s="946"/>
      <c r="Y4" s="946"/>
      <c r="Z4" s="946"/>
      <c r="AA4" s="946"/>
      <c r="AB4" s="946"/>
      <c r="AC4" s="946"/>
      <c r="AD4" s="442"/>
      <c r="AE4" s="947"/>
      <c r="AF4" s="947"/>
      <c r="AG4" s="947"/>
      <c r="AH4" s="947"/>
      <c r="AI4" s="947"/>
      <c r="AJ4" s="947"/>
      <c r="AK4" s="948"/>
      <c r="AL4" s="948"/>
      <c r="AM4" s="948"/>
      <c r="AO4" s="949" t="s">
        <v>13464</v>
      </c>
      <c r="AP4" s="948" t="s">
        <v>1678</v>
      </c>
      <c r="AQ4" s="442"/>
      <c r="AR4" s="442"/>
      <c r="AS4" s="442"/>
      <c r="AT4" s="442"/>
      <c r="AU4" s="442"/>
      <c r="AV4" s="442"/>
      <c r="AW4" s="442"/>
      <c r="AX4" s="442"/>
      <c r="AY4" s="5601"/>
      <c r="AZ4" s="5601"/>
      <c r="BA4" s="5601"/>
      <c r="BB4" s="5601"/>
      <c r="BC4" s="5601"/>
      <c r="BD4" s="5601"/>
      <c r="BE4" s="442"/>
      <c r="BG4"/>
      <c r="BH4" s="227"/>
      <c r="BO4" s="227"/>
      <c r="BW4" s="227"/>
      <c r="BX4" s="227"/>
      <c r="BY4" s="227"/>
      <c r="BZ4" s="950" t="s">
        <v>1679</v>
      </c>
      <c r="CA4" s="227"/>
      <c r="CK4" s="935"/>
      <c r="CS4" s="935"/>
      <c r="CW4" s="951" t="s">
        <v>1680</v>
      </c>
      <c r="DA4" s="935"/>
      <c r="DB4" s="3">
        <v>1</v>
      </c>
      <c r="DC4" s="11">
        <f ca="1">COUNTA(A1:DB551)</f>
        <v>17867</v>
      </c>
      <c r="DD4" s="12" t="s">
        <v>10</v>
      </c>
    </row>
    <row r="5" spans="1:108" ht="21" customHeight="1">
      <c r="A5" s="936" t="s">
        <v>22</v>
      </c>
      <c r="B5" s="952" t="str">
        <f t="shared" ref="B5:B68" si="9">L5</f>
        <v>A</v>
      </c>
      <c r="C5" s="5485" t="s">
        <v>2614</v>
      </c>
      <c r="D5" s="5486"/>
      <c r="E5" s="5486"/>
      <c r="F5" s="5486"/>
      <c r="G5" s="5486"/>
      <c r="H5" s="5486"/>
      <c r="I5" s="5486"/>
      <c r="J5" s="5486"/>
      <c r="K5" s="442" t="s">
        <v>22</v>
      </c>
      <c r="L5" s="16" t="s">
        <v>11</v>
      </c>
      <c r="M5" s="17" t="s">
        <v>12</v>
      </c>
      <c r="N5" s="18"/>
      <c r="O5" s="18"/>
      <c r="P5" s="18"/>
      <c r="Q5" s="19"/>
      <c r="R5" s="19"/>
      <c r="S5" s="19"/>
      <c r="T5" s="19"/>
      <c r="U5" s="19"/>
      <c r="V5" s="19"/>
      <c r="W5" s="19"/>
      <c r="X5" s="19"/>
      <c r="Y5" s="19"/>
      <c r="Z5" s="19"/>
      <c r="AA5" s="19"/>
      <c r="AB5" s="5224"/>
      <c r="AC5" s="5225" t="s">
        <v>13446</v>
      </c>
      <c r="AD5" s="227" t="s">
        <v>22</v>
      </c>
      <c r="AE5" s="953" t="s">
        <v>11</v>
      </c>
      <c r="AF5" s="5266" t="s">
        <v>1681</v>
      </c>
      <c r="AG5" s="5266"/>
      <c r="AH5" s="5266"/>
      <c r="AI5" s="5266"/>
      <c r="AJ5" s="5609" t="s">
        <v>1682</v>
      </c>
      <c r="AK5" s="5609"/>
      <c r="AL5" s="5603" t="s">
        <v>13498</v>
      </c>
      <c r="AM5" s="5603"/>
      <c r="AN5" s="5603"/>
      <c r="AO5" s="5603"/>
      <c r="AP5" s="5603"/>
      <c r="AQ5" s="5603"/>
      <c r="AR5" s="5603"/>
      <c r="AS5" s="5603"/>
      <c r="AT5" s="5603"/>
      <c r="AU5" s="5603"/>
      <c r="AV5" s="5603"/>
      <c r="AW5" s="5603"/>
      <c r="AX5" s="5603"/>
      <c r="AY5" s="5604"/>
      <c r="AZ5" s="5604"/>
      <c r="BA5" s="5497" t="s">
        <v>1388</v>
      </c>
      <c r="BB5" s="5497"/>
      <c r="BC5" s="5605" t="str">
        <f>LEFT(AL5,1)</f>
        <v>N</v>
      </c>
      <c r="BD5" s="5606">
        <v>8</v>
      </c>
      <c r="BE5" s="227"/>
      <c r="BG5"/>
      <c r="BH5" s="227"/>
      <c r="BO5" s="227"/>
      <c r="BW5" s="953" t="str">
        <f t="shared" ref="BW5:BW68" si="10">AE5</f>
        <v>A</v>
      </c>
      <c r="BX5" s="954" t="s">
        <v>1681</v>
      </c>
      <c r="BY5" s="955"/>
      <c r="BZ5" s="955">
        <f>BD6</f>
        <v>0</v>
      </c>
      <c r="CA5" s="956"/>
      <c r="CB5" s="956"/>
      <c r="CC5" s="957"/>
      <c r="CD5" s="5582" t="s">
        <v>1683</v>
      </c>
      <c r="CE5" s="5583"/>
      <c r="CF5" s="5583"/>
      <c r="CG5" s="5583"/>
      <c r="CH5" s="5583"/>
      <c r="CI5" s="5583"/>
      <c r="CJ5" s="5584"/>
      <c r="CL5" s="5582" t="s">
        <v>1684</v>
      </c>
      <c r="CM5" s="5583"/>
      <c r="CN5" s="5583"/>
      <c r="CO5" s="5583"/>
      <c r="CP5" s="5583"/>
      <c r="CQ5" s="5583"/>
      <c r="CR5" s="5584"/>
      <c r="CT5" s="5582" t="s">
        <v>1685</v>
      </c>
      <c r="CU5" s="5583"/>
      <c r="CV5" s="5583"/>
      <c r="CW5" s="5583"/>
      <c r="CX5" s="5583"/>
      <c r="CY5" s="5583"/>
      <c r="CZ5" s="5584"/>
      <c r="DB5" s="3">
        <v>1</v>
      </c>
      <c r="DC5" s="11">
        <f ca="1">COUNTBLANK(A1:DB551)</f>
        <v>45824</v>
      </c>
      <c r="DD5" s="12" t="s">
        <v>13</v>
      </c>
    </row>
    <row r="6" spans="1:108" ht="21" customHeight="1">
      <c r="A6" s="936" t="s">
        <v>22</v>
      </c>
      <c r="B6" s="952" t="str">
        <f t="shared" si="9"/>
        <v>A</v>
      </c>
      <c r="C6" s="5602"/>
      <c r="D6" s="5488"/>
      <c r="E6" s="5488"/>
      <c r="F6" s="5488"/>
      <c r="G6" s="5488"/>
      <c r="H6" s="5488"/>
      <c r="I6" s="5488"/>
      <c r="J6" s="5488"/>
      <c r="K6" s="442" t="s">
        <v>22</v>
      </c>
      <c r="L6" s="16" t="s">
        <v>11</v>
      </c>
      <c r="M6" s="17" t="s">
        <v>14</v>
      </c>
      <c r="N6" s="18"/>
      <c r="O6" s="18"/>
      <c r="P6" s="18"/>
      <c r="Q6" s="15"/>
      <c r="R6" s="15"/>
      <c r="S6" s="15"/>
      <c r="T6" s="15"/>
      <c r="U6" s="15"/>
      <c r="V6" s="15"/>
      <c r="W6" s="15"/>
      <c r="X6" s="15"/>
      <c r="Y6" s="15"/>
      <c r="Z6" s="15"/>
      <c r="AA6" s="15"/>
      <c r="AB6" s="15"/>
      <c r="AC6" s="5226" t="s">
        <v>13447</v>
      </c>
      <c r="AD6" s="227" t="s">
        <v>22</v>
      </c>
      <c r="AE6" s="958" t="s">
        <v>11</v>
      </c>
      <c r="AF6" s="5267" t="s">
        <v>1686</v>
      </c>
      <c r="AG6" s="5267"/>
      <c r="AH6" s="5267"/>
      <c r="AI6" s="5267"/>
      <c r="AJ6" s="5610"/>
      <c r="AK6" s="5610"/>
      <c r="AL6" s="5604"/>
      <c r="AM6" s="5604"/>
      <c r="AN6" s="5604"/>
      <c r="AO6" s="5604"/>
      <c r="AP6" s="5604"/>
      <c r="AQ6" s="5604"/>
      <c r="AR6" s="5604"/>
      <c r="AS6" s="5604"/>
      <c r="AT6" s="5604"/>
      <c r="AU6" s="5604"/>
      <c r="AV6" s="5604"/>
      <c r="AW6" s="5604"/>
      <c r="AX6" s="5604"/>
      <c r="AY6" s="5604"/>
      <c r="AZ6" s="5604"/>
      <c r="BA6" s="5497"/>
      <c r="BB6" s="5497"/>
      <c r="BC6" s="5605"/>
      <c r="BD6" s="5606"/>
      <c r="BE6" s="227"/>
      <c r="BG6"/>
      <c r="BH6" s="227"/>
      <c r="BI6" s="227"/>
      <c r="BJ6" s="227"/>
      <c r="BK6" s="227"/>
      <c r="BL6" s="227"/>
      <c r="BM6" s="227"/>
      <c r="BN6" s="227"/>
      <c r="BO6" s="227"/>
      <c r="BQ6" s="227"/>
      <c r="BR6" s="227"/>
      <c r="BS6" s="227"/>
      <c r="BT6" s="227"/>
      <c r="BU6" s="227"/>
      <c r="BV6" s="227"/>
      <c r="BW6" s="959" t="str">
        <f t="shared" si="10"/>
        <v>A</v>
      </c>
      <c r="BX6" s="5591" t="s">
        <v>1687</v>
      </c>
      <c r="BY6" s="5591"/>
      <c r="BZ6" s="5591"/>
      <c r="CA6" s="5591"/>
      <c r="CB6" s="5591"/>
      <c r="CC6" s="957"/>
      <c r="CD6" s="5585"/>
      <c r="CE6" s="5586"/>
      <c r="CF6" s="5586"/>
      <c r="CG6" s="5586"/>
      <c r="CH6" s="5586"/>
      <c r="CI6" s="5586"/>
      <c r="CJ6" s="5587"/>
      <c r="CL6" s="5585"/>
      <c r="CM6" s="5586"/>
      <c r="CN6" s="5586"/>
      <c r="CO6" s="5586"/>
      <c r="CP6" s="5586"/>
      <c r="CQ6" s="5586"/>
      <c r="CR6" s="5587"/>
      <c r="CT6" s="5585"/>
      <c r="CU6" s="5586"/>
      <c r="CV6" s="5586"/>
      <c r="CW6" s="5586"/>
      <c r="CX6" s="5586"/>
      <c r="CY6" s="5586"/>
      <c r="CZ6" s="5587"/>
      <c r="DB6" s="3">
        <v>1</v>
      </c>
      <c r="DC6" s="11">
        <f>SUM(A551:DB551)+2</f>
        <v>107</v>
      </c>
      <c r="DD6" s="12" t="s">
        <v>15</v>
      </c>
    </row>
    <row r="7" spans="1:108" ht="21" customHeight="1" thickBot="1">
      <c r="A7" s="936" t="s">
        <v>22</v>
      </c>
      <c r="B7" s="952" t="str">
        <f t="shared" si="9"/>
        <v>A</v>
      </c>
      <c r="C7" s="5592" t="s">
        <v>2615</v>
      </c>
      <c r="D7" s="5490"/>
      <c r="E7" s="5490"/>
      <c r="F7" s="5490"/>
      <c r="G7" s="5490"/>
      <c r="H7" s="5490"/>
      <c r="I7" s="5490"/>
      <c r="J7" s="5490"/>
      <c r="K7" s="442" t="s">
        <v>22</v>
      </c>
      <c r="L7" s="16" t="s">
        <v>11</v>
      </c>
      <c r="M7" s="960" t="s">
        <v>1688</v>
      </c>
      <c r="N7" s="961"/>
      <c r="O7" s="961"/>
      <c r="P7" s="961"/>
      <c r="Q7" s="961"/>
      <c r="R7" s="961"/>
      <c r="S7" s="961"/>
      <c r="T7" s="961"/>
      <c r="U7" s="961"/>
      <c r="V7" s="961"/>
      <c r="W7" s="961"/>
      <c r="X7" s="961"/>
      <c r="Y7" s="961"/>
      <c r="Z7" s="961"/>
      <c r="AA7" s="961"/>
      <c r="AB7" s="961"/>
      <c r="AC7" s="5212"/>
      <c r="AD7" s="227" t="s">
        <v>22</v>
      </c>
      <c r="AE7" s="958" t="s">
        <v>11</v>
      </c>
      <c r="AF7" s="5608" t="s">
        <v>1690</v>
      </c>
      <c r="AG7" s="5608"/>
      <c r="AH7" s="5608"/>
      <c r="AI7" s="5608"/>
      <c r="AJ7" s="5608"/>
      <c r="AK7" s="5593" t="s">
        <v>1689</v>
      </c>
      <c r="AL7" s="5594" t="s">
        <v>58</v>
      </c>
      <c r="AM7" s="5594"/>
      <c r="AN7" s="5594"/>
      <c r="AO7" s="5594"/>
      <c r="AP7" s="5594"/>
      <c r="AQ7" s="5594"/>
      <c r="AR7" s="5594"/>
      <c r="AS7" s="5594"/>
      <c r="AT7" s="5594"/>
      <c r="AU7" s="5594"/>
      <c r="AV7" s="5594"/>
      <c r="AW7" s="5594"/>
      <c r="AX7" s="5594"/>
      <c r="AY7" s="5594"/>
      <c r="AZ7" s="5594"/>
      <c r="BA7" s="5595" t="s">
        <v>1691</v>
      </c>
      <c r="BB7" s="5595"/>
      <c r="BC7" s="5596" t="s">
        <v>1692</v>
      </c>
      <c r="BD7" s="5606"/>
      <c r="BE7" s="227"/>
      <c r="BG7"/>
      <c r="BH7" s="227"/>
      <c r="BI7" s="227"/>
      <c r="BJ7" s="227"/>
      <c r="BK7" s="227"/>
      <c r="BL7" s="227"/>
      <c r="BM7" s="227"/>
      <c r="BN7" s="227"/>
      <c r="BO7" s="227"/>
      <c r="BQ7" s="227"/>
      <c r="BR7" s="227"/>
      <c r="BS7" s="227"/>
      <c r="BT7" s="227"/>
      <c r="BU7" s="227"/>
      <c r="BV7" s="227"/>
      <c r="BW7" s="959" t="str">
        <f t="shared" si="10"/>
        <v>A</v>
      </c>
      <c r="BX7" s="5591"/>
      <c r="BY7" s="5591"/>
      <c r="BZ7" s="5591"/>
      <c r="CA7" s="5591"/>
      <c r="CB7" s="5591"/>
      <c r="CC7" s="957"/>
      <c r="CD7" s="5588"/>
      <c r="CE7" s="5589"/>
      <c r="CF7" s="5589"/>
      <c r="CG7" s="5589"/>
      <c r="CH7" s="5589"/>
      <c r="CI7" s="5589"/>
      <c r="CJ7" s="5590"/>
      <c r="CL7" s="5588"/>
      <c r="CM7" s="5589"/>
      <c r="CN7" s="5589"/>
      <c r="CO7" s="5589"/>
      <c r="CP7" s="5589"/>
      <c r="CQ7" s="5589"/>
      <c r="CR7" s="5590"/>
      <c r="CT7" s="5588"/>
      <c r="CU7" s="5589"/>
      <c r="CV7" s="5589"/>
      <c r="CW7" s="5589"/>
      <c r="CX7" s="5589"/>
      <c r="CY7" s="5589"/>
      <c r="CZ7" s="5590"/>
      <c r="DB7" s="3">
        <v>1</v>
      </c>
      <c r="DC7" s="11">
        <f>SUM(A551:DB551)+1</f>
        <v>106</v>
      </c>
      <c r="DD7" s="12" t="s">
        <v>18</v>
      </c>
    </row>
    <row r="8" spans="1:108" ht="21" customHeight="1" thickTop="1">
      <c r="A8" s="936" t="s">
        <v>22</v>
      </c>
      <c r="B8" s="952" t="str">
        <f t="shared" si="9"/>
        <v>A</v>
      </c>
      <c r="C8" s="5247"/>
      <c r="D8" s="5491" t="s">
        <v>1693</v>
      </c>
      <c r="E8" s="5491"/>
      <c r="F8" s="5491"/>
      <c r="G8" s="5491"/>
      <c r="H8" s="5491"/>
      <c r="I8" s="5491"/>
      <c r="J8" s="5491"/>
      <c r="K8" s="442" t="s">
        <v>22</v>
      </c>
      <c r="L8" s="16" t="s">
        <v>11</v>
      </c>
      <c r="M8" s="960" t="s">
        <v>1694</v>
      </c>
      <c r="N8" s="961"/>
      <c r="O8" s="961"/>
      <c r="P8" s="961"/>
      <c r="Q8" s="961"/>
      <c r="R8" s="961"/>
      <c r="S8" s="961"/>
      <c r="T8" s="961"/>
      <c r="U8" s="961"/>
      <c r="V8" s="961"/>
      <c r="W8" s="961"/>
      <c r="X8" s="961"/>
      <c r="Y8" s="961"/>
      <c r="Z8" s="961"/>
      <c r="AA8" s="961"/>
      <c r="AB8" s="961"/>
      <c r="AC8" s="5212"/>
      <c r="AD8" s="227" t="s">
        <v>22</v>
      </c>
      <c r="AE8" s="958" t="s">
        <v>11</v>
      </c>
      <c r="AF8" s="5608"/>
      <c r="AG8" s="5608"/>
      <c r="AH8" s="5608"/>
      <c r="AI8" s="5608"/>
      <c r="AJ8" s="5608"/>
      <c r="AK8" s="5593"/>
      <c r="AL8" s="5594"/>
      <c r="AM8" s="5594"/>
      <c r="AN8" s="5594"/>
      <c r="AO8" s="5594"/>
      <c r="AP8" s="5594"/>
      <c r="AQ8" s="5594"/>
      <c r="AR8" s="5594"/>
      <c r="AS8" s="5594"/>
      <c r="AT8" s="5594"/>
      <c r="AU8" s="5594"/>
      <c r="AV8" s="5594"/>
      <c r="AW8" s="5594"/>
      <c r="AX8" s="5594"/>
      <c r="AY8" s="5594"/>
      <c r="AZ8" s="5594"/>
      <c r="BA8" s="5595"/>
      <c r="BB8" s="5595"/>
      <c r="BC8" s="5596"/>
      <c r="BD8" s="5607"/>
      <c r="BE8" s="227"/>
      <c r="BG8"/>
      <c r="BH8" s="227"/>
      <c r="BI8" s="227"/>
      <c r="BJ8" s="227"/>
      <c r="BK8" s="227"/>
      <c r="BL8" s="227"/>
      <c r="BM8" s="227"/>
      <c r="BN8" s="227"/>
      <c r="BO8" s="227"/>
      <c r="BQ8" s="227"/>
      <c r="BR8" s="227"/>
      <c r="BS8" s="227"/>
      <c r="BT8" s="227"/>
      <c r="BU8" s="227"/>
      <c r="BV8" s="227"/>
      <c r="BW8" s="959" t="str">
        <f t="shared" si="10"/>
        <v>A</v>
      </c>
      <c r="BX8" s="963" t="s">
        <v>1695</v>
      </c>
      <c r="BY8" s="963"/>
      <c r="BZ8" s="857"/>
      <c r="CA8" s="858"/>
      <c r="CB8" s="858"/>
      <c r="CC8" s="957"/>
      <c r="CD8" s="5597"/>
      <c r="CE8" s="5598"/>
      <c r="CF8" s="5598"/>
      <c r="CG8" s="5598"/>
      <c r="CH8" s="5598"/>
      <c r="CI8" s="5598"/>
      <c r="CJ8" s="5599"/>
      <c r="CL8" s="5597"/>
      <c r="CM8" s="5598"/>
      <c r="CN8" s="5598"/>
      <c r="CO8" s="5598"/>
      <c r="CP8" s="5598"/>
      <c r="CQ8" s="5598"/>
      <c r="CR8" s="5599"/>
      <c r="CT8" s="5597"/>
      <c r="CU8" s="5598"/>
      <c r="CV8" s="5598"/>
      <c r="CW8" s="5598"/>
      <c r="CX8" s="5598"/>
      <c r="CY8" s="5598"/>
      <c r="CZ8" s="5599"/>
      <c r="DB8" s="3">
        <v>1</v>
      </c>
    </row>
    <row r="9" spans="1:108" s="709" customFormat="1" ht="21" customHeight="1">
      <c r="A9" s="936" t="s">
        <v>22</v>
      </c>
      <c r="B9" s="952" t="str">
        <f t="shared" si="9"/>
        <v>►</v>
      </c>
      <c r="C9" s="5309" t="str">
        <f>IF(ISNUMBER(IFERROR(VALUE("0,5"),"")),"On this computer, type a COMMA as the decimal separator",IF(ISNUMBER(IFERROR(VALUE("0.5"),"")),"On this computer, type a POINT as the decimal separator","Unable to determine the decimal separator"))</f>
        <v>On this computer, type a POINT as the decimal separator</v>
      </c>
      <c r="D9" s="15"/>
      <c r="E9" s="15"/>
      <c r="F9" s="15"/>
      <c r="G9" s="15"/>
      <c r="H9" s="15"/>
      <c r="I9" s="15"/>
      <c r="J9" s="5308" t="str">
        <f>IF(ISNUMBER(IFERROR(VALUE("0,5"),""))," En este ordenador, escriba una COMA como separador decimal",IF(ISNUMBER(IFERROR(VALUE("0.5"),"")),"En este ordenador, escriba un PUNTO como separador decimal","No es posible determinar el separador decimal"))</f>
        <v>En este ordenador, escriba un PUNTO como separador decimal</v>
      </c>
      <c r="K9" s="442" t="s">
        <v>22</v>
      </c>
      <c r="L9" s="16" t="s">
        <v>16</v>
      </c>
      <c r="M9" s="21"/>
      <c r="N9" s="964" t="s">
        <v>13448</v>
      </c>
      <c r="O9" s="21"/>
      <c r="P9" s="21"/>
      <c r="Q9" s="964"/>
      <c r="R9" s="965"/>
      <c r="S9" s="965"/>
      <c r="T9" s="965"/>
      <c r="U9" s="965"/>
      <c r="V9" s="965"/>
      <c r="W9" s="965" t="s">
        <v>13449</v>
      </c>
      <c r="X9" s="965"/>
      <c r="Y9" s="965"/>
      <c r="Z9" s="965"/>
      <c r="AA9" s="965"/>
      <c r="AB9" s="965"/>
      <c r="AC9" s="5213"/>
      <c r="AD9" s="227" t="s">
        <v>22</v>
      </c>
      <c r="AE9" s="958" t="s">
        <v>11</v>
      </c>
      <c r="AF9" s="966"/>
      <c r="AG9" s="966"/>
      <c r="AH9" s="966"/>
      <c r="AI9" s="966"/>
      <c r="AJ9" s="966"/>
      <c r="AK9" s="966"/>
      <c r="AL9" s="965"/>
      <c r="AM9" s="965"/>
      <c r="AN9" s="965"/>
      <c r="AO9" s="5570" t="s">
        <v>1696</v>
      </c>
      <c r="AP9" s="5570"/>
      <c r="AQ9" s="5570"/>
      <c r="AR9" s="5571">
        <v>20</v>
      </c>
      <c r="AS9" s="5572" t="s">
        <v>9294</v>
      </c>
      <c r="AT9" s="5572"/>
      <c r="AU9" s="967" t="s">
        <v>139</v>
      </c>
      <c r="AV9" s="21"/>
      <c r="AW9" s="21"/>
      <c r="AX9" s="21"/>
      <c r="AY9" s="968"/>
      <c r="AZ9" s="968"/>
      <c r="BA9" s="968"/>
      <c r="BB9" s="967" t="s">
        <v>1697</v>
      </c>
      <c r="BC9" s="967"/>
      <c r="BD9" s="969"/>
      <c r="BE9" s="227"/>
      <c r="BF9" s="227"/>
      <c r="BG9"/>
      <c r="BH9" s="227"/>
      <c r="BI9" s="227"/>
      <c r="BJ9" s="227"/>
      <c r="BK9" s="227"/>
      <c r="BL9" s="227"/>
      <c r="BM9" s="227"/>
      <c r="BN9" s="227"/>
      <c r="BO9" s="227"/>
      <c r="BP9" s="227"/>
      <c r="BQ9" s="227"/>
      <c r="BR9" s="227"/>
      <c r="BS9" s="227"/>
      <c r="BT9" s="227"/>
      <c r="BU9" s="227"/>
      <c r="BV9" s="227"/>
      <c r="BW9" s="959" t="str">
        <f t="shared" si="10"/>
        <v>A</v>
      </c>
      <c r="BX9" s="963" t="s">
        <v>1698</v>
      </c>
      <c r="BY9" s="857"/>
      <c r="BZ9" s="857"/>
      <c r="CA9" s="858"/>
      <c r="CB9" s="858"/>
      <c r="CC9" s="957"/>
      <c r="CD9" s="5573" t="s">
        <v>1699</v>
      </c>
      <c r="CE9" s="5574"/>
      <c r="CF9" s="5574"/>
      <c r="CG9" s="5574"/>
      <c r="CH9" s="5574"/>
      <c r="CI9" s="5574"/>
      <c r="CJ9" s="5575"/>
      <c r="CK9" s="227"/>
      <c r="CL9" s="5573" t="s">
        <v>1700</v>
      </c>
      <c r="CM9" s="5574"/>
      <c r="CN9" s="5574"/>
      <c r="CO9" s="5574"/>
      <c r="CP9" s="5574"/>
      <c r="CQ9" s="5574"/>
      <c r="CR9" s="5575"/>
      <c r="CS9" s="227"/>
      <c r="CT9" s="5573" t="s">
        <v>1701</v>
      </c>
      <c r="CU9" s="5574"/>
      <c r="CV9" s="5574"/>
      <c r="CW9" s="5574"/>
      <c r="CX9" s="5574"/>
      <c r="CY9" s="5574"/>
      <c r="CZ9" s="5575"/>
      <c r="DA9" s="227"/>
      <c r="DB9" s="3">
        <v>1</v>
      </c>
    </row>
    <row r="10" spans="1:108" s="709" customFormat="1" ht="21" customHeight="1" thickBot="1">
      <c r="A10" s="936" t="s">
        <v>22</v>
      </c>
      <c r="B10" s="952" t="str">
        <f t="shared" si="9"/>
        <v>►</v>
      </c>
      <c r="C10" s="970">
        <f t="shared" ref="C10:J10" ca="1" si="11">CELL("largeur",C10)</f>
        <v>9</v>
      </c>
      <c r="D10" s="6">
        <f t="shared" ca="1" si="11"/>
        <v>12</v>
      </c>
      <c r="E10" s="6">
        <f t="shared" ca="1" si="11"/>
        <v>12</v>
      </c>
      <c r="F10" s="6">
        <f t="shared" ca="1" si="11"/>
        <v>3</v>
      </c>
      <c r="G10" s="6">
        <f t="shared" ca="1" si="11"/>
        <v>9</v>
      </c>
      <c r="H10" s="6">
        <f t="shared" ca="1" si="11"/>
        <v>12</v>
      </c>
      <c r="I10" s="6">
        <f t="shared" ca="1" si="11"/>
        <v>13</v>
      </c>
      <c r="J10" s="6">
        <f t="shared" ca="1" si="11"/>
        <v>40</v>
      </c>
      <c r="K10" s="442" t="s">
        <v>22</v>
      </c>
      <c r="L10" s="16" t="s">
        <v>16</v>
      </c>
      <c r="M10" s="21"/>
      <c r="N10" s="964" t="s">
        <v>1702</v>
      </c>
      <c r="O10" s="21"/>
      <c r="P10" s="21"/>
      <c r="Q10" s="964"/>
      <c r="R10" s="21"/>
      <c r="S10" s="21"/>
      <c r="T10" s="21"/>
      <c r="U10" s="21"/>
      <c r="V10" s="21"/>
      <c r="W10" s="967" t="s">
        <v>13450</v>
      </c>
      <c r="X10" s="967"/>
      <c r="Y10" s="21"/>
      <c r="Z10" s="21"/>
      <c r="AA10" s="21"/>
      <c r="AB10" s="21"/>
      <c r="AC10" s="5214"/>
      <c r="AD10" s="227" t="s">
        <v>22</v>
      </c>
      <c r="AE10" s="958" t="s">
        <v>11</v>
      </c>
      <c r="AF10" s="966"/>
      <c r="AG10" s="966"/>
      <c r="AH10" s="966"/>
      <c r="AI10" s="966"/>
      <c r="AJ10" s="966"/>
      <c r="AK10" s="966"/>
      <c r="AL10" s="21"/>
      <c r="AM10" s="21"/>
      <c r="AN10" s="21"/>
      <c r="AO10" s="5570"/>
      <c r="AP10" s="5570"/>
      <c r="AQ10" s="5570"/>
      <c r="AR10" s="5571"/>
      <c r="AS10" s="5572"/>
      <c r="AT10" s="5572"/>
      <c r="AU10" s="967" t="s">
        <v>142</v>
      </c>
      <c r="AV10" s="21"/>
      <c r="AW10" s="21"/>
      <c r="AX10" s="21"/>
      <c r="AY10" s="21"/>
      <c r="AZ10" s="968"/>
      <c r="BA10" s="968"/>
      <c r="BB10" s="967" t="s">
        <v>1703</v>
      </c>
      <c r="BC10" s="967"/>
      <c r="BD10" s="971"/>
      <c r="BE10" s="227"/>
      <c r="BF10" s="227"/>
      <c r="BG10" s="227"/>
      <c r="BH10" s="227"/>
      <c r="BI10" s="972" t="s">
        <v>574</v>
      </c>
      <c r="BJ10" s="972"/>
      <c r="BK10" s="972"/>
      <c r="BL10" s="972"/>
      <c r="BM10" s="972"/>
      <c r="BN10" s="972"/>
      <c r="BO10" s="972"/>
      <c r="BP10" s="972"/>
      <c r="BQ10" s="227"/>
      <c r="BR10" s="227"/>
      <c r="BS10" s="227"/>
      <c r="BT10" s="227"/>
      <c r="BU10" s="227"/>
      <c r="BV10" s="227"/>
      <c r="BW10" s="959" t="str">
        <f t="shared" si="10"/>
        <v>A</v>
      </c>
      <c r="BX10" s="859"/>
      <c r="BY10" s="857"/>
      <c r="BZ10" s="857"/>
      <c r="CA10" s="858"/>
      <c r="CB10" s="858"/>
      <c r="CC10" s="957"/>
      <c r="CD10" s="5576"/>
      <c r="CE10" s="5577"/>
      <c r="CF10" s="5577"/>
      <c r="CG10" s="5577"/>
      <c r="CH10" s="5577"/>
      <c r="CI10" s="5577"/>
      <c r="CJ10" s="5578"/>
      <c r="CK10" s="227"/>
      <c r="CL10" s="5576"/>
      <c r="CM10" s="5577"/>
      <c r="CN10" s="5577"/>
      <c r="CO10" s="5577"/>
      <c r="CP10" s="5577"/>
      <c r="CQ10" s="5577"/>
      <c r="CR10" s="5578"/>
      <c r="CS10" s="227"/>
      <c r="CT10" s="5576"/>
      <c r="CU10" s="5577"/>
      <c r="CV10" s="5577"/>
      <c r="CW10" s="5577"/>
      <c r="CX10" s="5577"/>
      <c r="CY10" s="5577"/>
      <c r="CZ10" s="5578"/>
      <c r="DA10" s="227"/>
      <c r="DB10" s="3">
        <v>1</v>
      </c>
    </row>
    <row r="11" spans="1:108" s="709" customFormat="1" ht="21" customHeight="1" thickBot="1">
      <c r="A11" s="936" t="s">
        <v>22</v>
      </c>
      <c r="B11" s="952" t="str">
        <f t="shared" si="9"/>
        <v>►</v>
      </c>
      <c r="C11" s="5307" t="str">
        <f>IF(ISNUMBER(IFERROR(VALUE("0,5"),"")),"sur cet ordi.saisissez une VIRGULE comme séparateur décimal",IF(ISNUMBER(IFERROR(VALUE("0.5"),"")),"sur cet ordi.saisissez un POINT comme séparateur décimal","Impossible de déterminer le séparateur décimal"))</f>
        <v>sur cet ordi.saisissez un POINT comme séparateur décimal</v>
      </c>
      <c r="D11" s="973"/>
      <c r="E11" s="973"/>
      <c r="F11" s="973"/>
      <c r="G11" s="973"/>
      <c r="H11" s="973"/>
      <c r="I11" s="973"/>
      <c r="J11" s="973"/>
      <c r="K11" s="442" t="s">
        <v>22</v>
      </c>
      <c r="L11" s="16" t="s">
        <v>16</v>
      </c>
      <c r="M11" s="20" t="s">
        <v>17</v>
      </c>
      <c r="N11" s="967" t="s">
        <v>1704</v>
      </c>
      <c r="O11" s="21"/>
      <c r="P11" s="21"/>
      <c r="Q11" s="964"/>
      <c r="R11" s="21"/>
      <c r="S11" s="21"/>
      <c r="T11" s="21"/>
      <c r="U11" s="21"/>
      <c r="V11" s="21"/>
      <c r="W11" s="21"/>
      <c r="X11" s="21"/>
      <c r="Y11" s="21"/>
      <c r="Z11" s="21"/>
      <c r="AA11" s="21"/>
      <c r="AB11" s="21"/>
      <c r="AC11" s="5214"/>
      <c r="AD11" s="227" t="s">
        <v>22</v>
      </c>
      <c r="AE11" s="958" t="s">
        <v>11</v>
      </c>
      <c r="AF11" s="966"/>
      <c r="AG11" s="966"/>
      <c r="AH11" s="966"/>
      <c r="AI11" s="966"/>
      <c r="AJ11" s="966"/>
      <c r="AK11" s="966"/>
      <c r="AL11" s="21"/>
      <c r="AM11" s="21"/>
      <c r="AN11" s="21"/>
      <c r="AO11" s="21"/>
      <c r="AP11" s="21"/>
      <c r="AQ11" s="974" t="s">
        <v>1705</v>
      </c>
      <c r="AR11" s="21"/>
      <c r="AS11" s="975" t="s">
        <v>1706</v>
      </c>
      <c r="AT11" s="21"/>
      <c r="AU11" s="967"/>
      <c r="AV11" s="21"/>
      <c r="AW11" s="21"/>
      <c r="AX11" s="21"/>
      <c r="AY11" s="21"/>
      <c r="AZ11" s="21"/>
      <c r="BA11" s="21"/>
      <c r="BB11" s="967" t="s">
        <v>1707</v>
      </c>
      <c r="BC11" s="967"/>
      <c r="BD11" s="971"/>
      <c r="BE11" s="227"/>
      <c r="BF11" s="227"/>
      <c r="BG11" s="227"/>
      <c r="BH11" s="227"/>
      <c r="BI11" s="9" t="s">
        <v>1708</v>
      </c>
      <c r="BJ11" s="9" t="s">
        <v>1708</v>
      </c>
      <c r="BK11" s="9" t="s">
        <v>1708</v>
      </c>
      <c r="BL11" s="9" t="s">
        <v>1708</v>
      </c>
      <c r="BM11" s="9" t="s">
        <v>1709</v>
      </c>
      <c r="BN11" s="9"/>
      <c r="BO11" s="9" t="s">
        <v>1710</v>
      </c>
      <c r="BP11" s="9" t="s">
        <v>1711</v>
      </c>
      <c r="BQ11" s="227"/>
      <c r="BR11" s="227"/>
      <c r="BS11" s="227"/>
      <c r="BT11" s="227"/>
      <c r="BU11" s="227"/>
      <c r="BV11" s="227"/>
      <c r="BW11" s="959" t="str">
        <f t="shared" si="10"/>
        <v>A</v>
      </c>
      <c r="BX11" s="860" t="s">
        <v>1712</v>
      </c>
      <c r="BY11" s="857"/>
      <c r="BZ11" s="857"/>
      <c r="CA11" s="858"/>
      <c r="CB11" s="858"/>
      <c r="CC11" s="957"/>
      <c r="CD11" s="5579" t="s">
        <v>1713</v>
      </c>
      <c r="CE11" s="5580"/>
      <c r="CF11" s="5580"/>
      <c r="CG11" s="5580"/>
      <c r="CH11" s="5580"/>
      <c r="CI11" s="5580"/>
      <c r="CJ11" s="5581"/>
      <c r="CK11" s="227"/>
      <c r="CL11" s="5579" t="s">
        <v>1714</v>
      </c>
      <c r="CM11" s="5580"/>
      <c r="CN11" s="5580"/>
      <c r="CO11" s="5580"/>
      <c r="CP11" s="5580"/>
      <c r="CQ11" s="5580"/>
      <c r="CR11" s="5581"/>
      <c r="CS11" s="227"/>
      <c r="CT11" s="5579" t="s">
        <v>1715</v>
      </c>
      <c r="CU11" s="5580"/>
      <c r="CV11" s="5580"/>
      <c r="CW11" s="5580"/>
      <c r="CX11" s="5580"/>
      <c r="CY11" s="5580"/>
      <c r="CZ11" s="5581"/>
      <c r="DA11" s="227"/>
      <c r="DB11" s="3">
        <v>1</v>
      </c>
    </row>
    <row r="12" spans="1:108" s="709" customFormat="1" ht="21" customHeight="1" thickBot="1">
      <c r="A12" s="936" t="s">
        <v>22</v>
      </c>
      <c r="B12" s="952" t="str">
        <f t="shared" si="9"/>
        <v>A</v>
      </c>
      <c r="C12" s="5492" t="s">
        <v>1716</v>
      </c>
      <c r="D12" s="5207" t="s">
        <v>167</v>
      </c>
      <c r="E12" s="976"/>
      <c r="F12" s="162"/>
      <c r="G12" s="162"/>
      <c r="H12" s="162"/>
      <c r="I12" s="162"/>
      <c r="J12" s="163"/>
      <c r="K12" s="442" t="s">
        <v>22</v>
      </c>
      <c r="L12" s="5215" t="s">
        <v>11</v>
      </c>
      <c r="M12" s="5216" t="s">
        <v>11</v>
      </c>
      <c r="N12" s="5216" t="s">
        <v>11</v>
      </c>
      <c r="O12" s="5216" t="s">
        <v>11</v>
      </c>
      <c r="P12" s="5216" t="s">
        <v>11</v>
      </c>
      <c r="Q12" s="5217" t="s">
        <v>2613</v>
      </c>
      <c r="R12" s="5218"/>
      <c r="S12" s="5219"/>
      <c r="T12" s="5220"/>
      <c r="U12" s="5221"/>
      <c r="V12" s="5222"/>
      <c r="W12" s="5220"/>
      <c r="X12" s="5220"/>
      <c r="Y12" s="5218"/>
      <c r="Z12" s="5218"/>
      <c r="AA12" s="5218"/>
      <c r="AB12" s="5218"/>
      <c r="AC12" s="5223" t="s">
        <v>1948</v>
      </c>
      <c r="AD12" s="227" t="s">
        <v>22</v>
      </c>
      <c r="AE12" s="958" t="s">
        <v>11</v>
      </c>
      <c r="AF12" s="977"/>
      <c r="AG12" s="977"/>
      <c r="AH12" s="977"/>
      <c r="AI12" s="977"/>
      <c r="AJ12" s="977"/>
      <c r="AK12" s="978"/>
      <c r="AL12" s="978"/>
      <c r="AM12" s="978"/>
      <c r="AN12" s="978"/>
      <c r="AO12" s="978"/>
      <c r="AP12" s="978"/>
      <c r="AQ12" s="979"/>
      <c r="AR12" s="978"/>
      <c r="AS12" s="978" t="s">
        <v>1717</v>
      </c>
      <c r="AT12" s="978"/>
      <c r="AU12" s="978"/>
      <c r="AV12" s="978"/>
      <c r="AW12" s="978"/>
      <c r="AX12" s="978"/>
      <c r="AY12" s="978"/>
      <c r="AZ12" s="978"/>
      <c r="BA12" s="978"/>
      <c r="BB12" s="978"/>
      <c r="BC12" s="978"/>
      <c r="BD12" s="980" t="str">
        <f ca="1">IF(COUNTIF(L2:BD2,"&lt;0.5")=0,"Aucune colonne masquée",COUNTIF(L2:BD2,"&lt;0.5")&amp;" colonnes masquées : "&amp;(BA13&amp;BB13&amp;BC13))</f>
        <v>Aucune colonne masquée</v>
      </c>
      <c r="BE12" s="227"/>
      <c r="BF12" s="981" t="s">
        <v>1718</v>
      </c>
      <c r="BG12" s="982"/>
      <c r="BH12" s="227"/>
      <c r="BI12" s="231" t="s">
        <v>1719</v>
      </c>
      <c r="BJ12" s="231" t="s">
        <v>1719</v>
      </c>
      <c r="BK12" s="231" t="s">
        <v>1719</v>
      </c>
      <c r="BL12" s="231" t="s">
        <v>1708</v>
      </c>
      <c r="BM12" s="231" t="s">
        <v>1720</v>
      </c>
      <c r="BN12" s="231"/>
      <c r="BO12" s="231" t="s">
        <v>1721</v>
      </c>
      <c r="BP12" s="231" t="s">
        <v>1722</v>
      </c>
      <c r="BQ12" s="227"/>
      <c r="BR12" s="227"/>
      <c r="BS12" s="227"/>
      <c r="BT12" s="227"/>
      <c r="BU12" s="227"/>
      <c r="BV12" s="227"/>
      <c r="BW12" s="959" t="str">
        <f t="shared" si="10"/>
        <v>A</v>
      </c>
      <c r="BX12" s="861"/>
      <c r="BY12" s="857"/>
      <c r="BZ12" s="857"/>
      <c r="CA12" s="858"/>
      <c r="CB12" s="858"/>
      <c r="CC12" s="957"/>
      <c r="CD12" s="983" t="s">
        <v>1723</v>
      </c>
      <c r="CE12" s="984"/>
      <c r="CF12" s="984"/>
      <c r="CG12" s="984"/>
      <c r="CH12" s="984"/>
      <c r="CI12" s="984"/>
      <c r="CJ12" s="985"/>
      <c r="CK12" s="227"/>
      <c r="CL12" s="983" t="s">
        <v>1724</v>
      </c>
      <c r="CM12" s="984"/>
      <c r="CN12" s="984"/>
      <c r="CO12" s="984"/>
      <c r="CP12" s="984"/>
      <c r="CQ12" s="984"/>
      <c r="CR12" s="985"/>
      <c r="CS12" s="227"/>
      <c r="CT12" s="983" t="s">
        <v>1725</v>
      </c>
      <c r="CU12" s="984"/>
      <c r="CV12" s="984"/>
      <c r="CW12" s="984"/>
      <c r="CX12" s="984"/>
      <c r="CY12" s="984"/>
      <c r="CZ12" s="985"/>
      <c r="DA12" s="227"/>
      <c r="DB12" s="3">
        <v>1</v>
      </c>
    </row>
    <row r="13" spans="1:108" s="709" customFormat="1" ht="21" customHeight="1" thickBot="1">
      <c r="A13" s="936" t="s">
        <v>22</v>
      </c>
      <c r="B13" s="952">
        <f t="shared" si="9"/>
        <v>0</v>
      </c>
      <c r="C13" s="5493"/>
      <c r="D13" s="161" t="s">
        <v>2616</v>
      </c>
      <c r="E13" s="168"/>
      <c r="F13" s="168"/>
      <c r="G13" s="168"/>
      <c r="H13" s="5306" t="str">
        <f>IF(ISNUMBER(IFERROR(VALUE("0,5"),"")),"sur cet ordi.saisissez une VIRGULE comme séparateur décimal",IF(ISNUMBER(IFERROR(VALUE("0.5"),"")),"sur cet ordi.saisissez un POINT comme séparateur décimal","Impossible de déterminer le séparateur décimal"))</f>
        <v>sur cet ordi.saisissez un POINT comme séparateur décimal</v>
      </c>
      <c r="I13" s="168"/>
      <c r="J13" s="169"/>
      <c r="K13" s="442" t="s">
        <v>22</v>
      </c>
      <c r="L13" s="22"/>
      <c r="M13" s="1172"/>
      <c r="N13" s="1172"/>
      <c r="O13" s="1172"/>
      <c r="P13" s="1173"/>
      <c r="Q13" s="1174"/>
      <c r="R13" s="1175"/>
      <c r="S13" s="1176"/>
      <c r="T13" s="1177"/>
      <c r="U13" s="5248"/>
      <c r="V13" s="1177"/>
      <c r="W13" s="5249"/>
      <c r="X13" s="5208"/>
      <c r="Y13" s="5209"/>
      <c r="Z13" s="5210"/>
      <c r="AA13" s="5211"/>
      <c r="AB13" s="1178"/>
      <c r="AC13" s="1179"/>
      <c r="AD13" s="227" t="s">
        <v>22</v>
      </c>
      <c r="AE13" s="958" t="s">
        <v>11</v>
      </c>
      <c r="AF13" s="977"/>
      <c r="AG13" s="977"/>
      <c r="AH13" s="977"/>
      <c r="AI13" s="977"/>
      <c r="AJ13" s="977"/>
      <c r="AK13" s="986"/>
      <c r="AL13" s="978"/>
      <c r="AM13" s="978"/>
      <c r="AN13" s="978"/>
      <c r="AO13" s="978"/>
      <c r="AP13" s="978"/>
      <c r="AQ13" s="978"/>
      <c r="AR13" s="978"/>
      <c r="AS13" s="978"/>
      <c r="AT13" s="978"/>
      <c r="AU13" s="978"/>
      <c r="AV13" s="978"/>
      <c r="AW13" s="978"/>
      <c r="AX13" s="978"/>
      <c r="AY13" s="978"/>
      <c r="AZ13" s="987"/>
      <c r="BA13" s="987" t="str">
        <f ca="1">IF(M2&lt;0.5,M1&amp;".","")&amp;IF(N2&lt;0.5,N1&amp;".","")&amp;IF(O2&lt;0.5,O1&amp;".","")&amp;IF(P2&lt;0.5,P1&amp;".","")&amp;IF(Q2&lt;0.5,Q1&amp;".","")&amp;IF(R2&lt;0.5,R1&amp;".","")&amp;IF(S2&lt;0.5,S1&amp;".","")&amp;IF(T2&lt;0.5,T1&amp;".","")&amp;IF(U2&lt;0.5,U1&amp;".","")&amp;IF(V2&lt;0.5,V1&amp;".","")&amp;IF(W2&lt;0.5,W1&amp;".","")&amp;IF(X2&lt;0.5,X1&amp;".","")&amp;IF(Y2&lt;0.5,Y1&amp;".","")&amp;IF(Z2&lt;0.5,Z1&amp;".","")&amp;IF(AA2&lt;0.5,AA1&amp;".","")&amp;IF(AB2&lt;0.5,AB1&amp;".","")&amp;IF(AC2&lt;0.5,AC1&amp;".","")</f>
        <v/>
      </c>
      <c r="BB13" s="987" t="str">
        <f ca="1">IF(AS2&lt;0.5,AS1&amp;".","")&amp;IF(AT2&lt;0.5,AT1&amp;".","")&amp;IF(AU2&lt;0.5,AU1&amp;".","")&amp;IF(AV2&lt;0.5,AV1&amp;".","")&amp;IF(AE2&lt;0.5,AE1&amp;".","")&amp;IF(AF2&lt;0.5,AF1&amp;".","")&amp;IF(AG2&lt;0.5,AG1&amp;".","")&amp;IF(AH2&lt;0.5,AH1&amp;".","")&amp;IF(AI2&lt;0.5,AI1&amp;".","")&amp;IF(AJ2&lt;0.5,AJ1&amp;".","")&amp;IF(AK2&lt;0.5,AK1&amp;".","")&amp;IF(AL2&lt;0.5,AL1&amp;".","")&amp;IF(AM2&lt;0.5,AM1&amp;".","")&amp;IF(AN2&lt;0.5,AN1&amp;".","")&amp;IF(AO2&lt;0.5,AO1&amp;".","")&amp;IF(AP2&lt;0.5,AP1&amp;".","")&amp;IF(AQ2&lt;0.5,AQ1&amp;".","")</f>
        <v/>
      </c>
      <c r="BC13" s="987" t="str">
        <f ca="1">IF(AR2&lt;0.5,AR1&amp;".","")&amp;IF(AS2&lt;0.5,AS1&amp;".","")&amp;IF(AT2&lt;0.5,AT1&amp;".","")&amp;IF(AU2&lt;0.5,AU1&amp;".","")&amp;IF(AV2&lt;0.5,AV1&amp;".","")&amp;IF(AW2&lt;0.5,AW1&amp;".","")&amp;IF(AX2&lt;0.5,AX1&amp;".","")&amp;IF(AY2&lt;0.5,AY1&amp;".","")&amp;IF(AZ2&lt;0.5,AZ1&amp;".","")&amp;IF(BA2&lt;0.5,BA1&amp;".","")&amp;IF(BB2&lt;0.5,BB1&amp;".","")&amp;IF(BC2&lt;0.5,BC1&amp;".","")&amp;IF(BD2&lt;0.5,BD1&amp;".","")</f>
        <v/>
      </c>
      <c r="BD13" s="980" t="str">
        <f>ROWS(L5:L550)-SUBTOTAL(103,L5:L550)&amp;" "&amp;"Lignes masquées"</f>
        <v>1 Lignes masquées</v>
      </c>
      <c r="BE13" s="227"/>
      <c r="BF13" s="981" t="s">
        <v>1726</v>
      </c>
      <c r="BG13" s="982"/>
      <c r="BH13" s="227"/>
      <c r="BI13" s="988" t="s">
        <v>1727</v>
      </c>
      <c r="BJ13" s="988" t="s">
        <v>1728</v>
      </c>
      <c r="BK13" s="988" t="s">
        <v>1729</v>
      </c>
      <c r="BL13" s="988" t="s">
        <v>1730</v>
      </c>
      <c r="BM13" s="989" t="s">
        <v>1731</v>
      </c>
      <c r="BN13" s="989"/>
      <c r="BO13" s="988" t="s">
        <v>1732</v>
      </c>
      <c r="BP13" s="988" t="s">
        <v>1733</v>
      </c>
      <c r="BQ13" s="227"/>
      <c r="BR13" s="227"/>
      <c r="BS13" s="227"/>
      <c r="BT13" s="227"/>
      <c r="BU13" s="227"/>
      <c r="BV13" s="227"/>
      <c r="BW13" s="959" t="str">
        <f t="shared" si="10"/>
        <v>A</v>
      </c>
      <c r="BX13" s="860" t="s">
        <v>1734</v>
      </c>
      <c r="BY13" s="857"/>
      <c r="BZ13" s="857"/>
      <c r="CA13" s="858"/>
      <c r="CB13" s="858"/>
      <c r="CC13" s="957"/>
      <c r="CD13" s="990" t="s">
        <v>1735</v>
      </c>
      <c r="CE13" s="991"/>
      <c r="CF13" s="991"/>
      <c r="CG13" s="991"/>
      <c r="CH13" s="991"/>
      <c r="CI13" s="991"/>
      <c r="CJ13" s="992"/>
      <c r="CK13" s="227"/>
      <c r="CL13" s="990" t="s">
        <v>1736</v>
      </c>
      <c r="CM13" s="991"/>
      <c r="CN13" s="991"/>
      <c r="CO13" s="991"/>
      <c r="CP13" s="991"/>
      <c r="CQ13" s="991"/>
      <c r="CR13" s="992"/>
      <c r="CS13" s="227"/>
      <c r="CT13" s="990" t="s">
        <v>1737</v>
      </c>
      <c r="CU13" s="991"/>
      <c r="CV13" s="991"/>
      <c r="CW13" s="991"/>
      <c r="CX13" s="991"/>
      <c r="CY13" s="991"/>
      <c r="CZ13" s="992"/>
      <c r="DA13" s="227"/>
      <c r="DB13" s="3">
        <v>1</v>
      </c>
    </row>
    <row r="14" spans="1:108" s="709" customFormat="1" ht="21" customHeight="1" thickTop="1" thickBot="1">
      <c r="A14" s="936" t="s">
        <v>22</v>
      </c>
      <c r="B14" s="952" t="str">
        <f t="shared" si="9"/>
        <v>►</v>
      </c>
      <c r="C14" s="993" cm="1">
        <f t="array" ref="C14">SUMPRODUCT(LEN(D14:J14))</f>
        <v>0</v>
      </c>
      <c r="D14" s="167"/>
      <c r="E14" s="172"/>
      <c r="F14" s="172"/>
      <c r="G14" s="172"/>
      <c r="H14" s="172"/>
      <c r="I14" s="172"/>
      <c r="J14" s="173"/>
      <c r="K14" s="442" t="s">
        <v>22</v>
      </c>
      <c r="L14" s="104" t="s">
        <v>16</v>
      </c>
      <c r="M14" s="1172"/>
      <c r="N14" s="1172"/>
      <c r="O14" s="1172"/>
      <c r="P14" s="1173"/>
      <c r="Q14" s="1174"/>
      <c r="R14" s="1175"/>
      <c r="S14" s="1176"/>
      <c r="T14" s="1177"/>
      <c r="U14" s="5248"/>
      <c r="V14" s="1177"/>
      <c r="W14" s="5249"/>
      <c r="X14" s="5208"/>
      <c r="Y14" s="5209"/>
      <c r="Z14" s="5210"/>
      <c r="AA14" s="5211"/>
      <c r="AB14" s="1178"/>
      <c r="AC14" s="1179"/>
      <c r="AD14" s="227" t="s">
        <v>22</v>
      </c>
      <c r="AE14" s="958" t="s">
        <v>11</v>
      </c>
      <c r="AF14" s="5521" t="s">
        <v>867</v>
      </c>
      <c r="AG14" s="5204"/>
      <c r="AH14" s="5204"/>
      <c r="AI14" s="5204"/>
      <c r="AJ14" s="994"/>
      <c r="AK14" s="5527" t="s">
        <v>1738</v>
      </c>
      <c r="AL14" s="5528"/>
      <c r="AM14" s="5528"/>
      <c r="AN14" s="5528"/>
      <c r="AO14" s="5528"/>
      <c r="AP14" s="5534" t="s">
        <v>1739</v>
      </c>
      <c r="AQ14" s="5534"/>
      <c r="AR14" s="5565" t="s">
        <v>13465</v>
      </c>
      <c r="AS14" s="5565"/>
      <c r="AT14" s="5500" t="s">
        <v>1740</v>
      </c>
      <c r="AU14" s="5500"/>
      <c r="AV14" s="5567" t="s">
        <v>1741</v>
      </c>
      <c r="AW14" s="5505" t="s">
        <v>1742</v>
      </c>
      <c r="AX14" s="5507" t="s">
        <v>1743</v>
      </c>
      <c r="AY14" s="5508"/>
      <c r="AZ14" s="5511" t="s">
        <v>244</v>
      </c>
      <c r="BA14" s="5513" t="s">
        <v>1744</v>
      </c>
      <c r="BB14" s="5515" t="s">
        <v>1745</v>
      </c>
      <c r="BC14" s="5517" t="s">
        <v>1746</v>
      </c>
      <c r="BD14" s="5519" t="s">
        <v>867</v>
      </c>
      <c r="BE14" s="227"/>
      <c r="BF14" s="981" t="s">
        <v>1747</v>
      </c>
      <c r="BG14" s="982"/>
      <c r="BH14" s="227"/>
      <c r="BI14" s="5250" t="str">
        <f t="shared" ref="BI14:BP14" si="12">SUBSTITUTE(ADDRESS(1,COLUMN(),4),"1","")</f>
        <v>BI</v>
      </c>
      <c r="BJ14" s="5250" t="str">
        <f t="shared" si="12"/>
        <v>BJ</v>
      </c>
      <c r="BK14" s="5250" t="str">
        <f t="shared" si="12"/>
        <v>BK</v>
      </c>
      <c r="BL14" s="5250" t="str">
        <f t="shared" si="12"/>
        <v>BL</v>
      </c>
      <c r="BM14" s="5250" t="str">
        <f t="shared" si="12"/>
        <v>BM</v>
      </c>
      <c r="BN14" s="5250" t="str">
        <f t="shared" si="12"/>
        <v>BN</v>
      </c>
      <c r="BO14" s="5250" t="str">
        <f t="shared" si="12"/>
        <v>BO</v>
      </c>
      <c r="BP14" s="5250" t="str">
        <f t="shared" si="12"/>
        <v>BP</v>
      </c>
      <c r="BQ14" s="227" t="s">
        <v>13466</v>
      </c>
      <c r="BR14" s="227"/>
      <c r="BS14" s="227"/>
      <c r="BT14" s="227"/>
      <c r="BU14" s="227"/>
      <c r="BV14" s="227"/>
      <c r="BW14" s="959" t="str">
        <f t="shared" si="10"/>
        <v>A</v>
      </c>
      <c r="BX14" s="861"/>
      <c r="BY14" s="861"/>
      <c r="BZ14" s="857"/>
      <c r="CA14" s="858"/>
      <c r="CB14" s="858"/>
      <c r="CC14" s="957"/>
      <c r="CD14" s="862"/>
      <c r="CE14" s="861"/>
      <c r="CF14" s="861"/>
      <c r="CG14" s="861"/>
      <c r="CH14" s="861"/>
      <c r="CI14" s="861"/>
      <c r="CJ14" s="995"/>
      <c r="CK14" s="227"/>
      <c r="CL14" s="862"/>
      <c r="CM14" s="861"/>
      <c r="CN14" s="861"/>
      <c r="CO14" s="861"/>
      <c r="CP14" s="861"/>
      <c r="CQ14" s="861"/>
      <c r="CR14" s="995"/>
      <c r="CS14" s="227"/>
      <c r="CT14" s="862"/>
      <c r="CU14" s="861"/>
      <c r="CV14" s="861"/>
      <c r="CW14" s="861"/>
      <c r="CX14" s="861"/>
      <c r="CY14" s="861"/>
      <c r="CZ14" s="995"/>
      <c r="DA14" s="227"/>
      <c r="DB14" s="3">
        <v>1</v>
      </c>
    </row>
    <row r="15" spans="1:108" s="709" customFormat="1" ht="21" customHeight="1" thickBot="1">
      <c r="A15" s="936" t="s">
        <v>22</v>
      </c>
      <c r="B15" s="952" t="str">
        <f t="shared" si="9"/>
        <v>►</v>
      </c>
      <c r="C15" s="993" cm="1">
        <f t="array" ref="C15">SUMPRODUCT(LEN(D15:J15))</f>
        <v>0</v>
      </c>
      <c r="D15" s="167"/>
      <c r="E15" s="172"/>
      <c r="F15" s="172"/>
      <c r="G15" s="172"/>
      <c r="H15" s="172"/>
      <c r="I15" s="172"/>
      <c r="J15" s="173"/>
      <c r="K15" s="442" t="s">
        <v>22</v>
      </c>
      <c r="L15" s="104" t="s">
        <v>16</v>
      </c>
      <c r="M15" s="1172"/>
      <c r="N15" s="1172"/>
      <c r="O15" s="1172"/>
      <c r="P15" s="1173"/>
      <c r="Q15" s="1174"/>
      <c r="R15" s="1175"/>
      <c r="S15" s="1176"/>
      <c r="T15" s="1177"/>
      <c r="U15" s="5248"/>
      <c r="V15" s="1177"/>
      <c r="W15" s="5249"/>
      <c r="X15" s="5208"/>
      <c r="Y15" s="5209"/>
      <c r="Z15" s="5210"/>
      <c r="AA15" s="5211"/>
      <c r="AB15" s="1178"/>
      <c r="AC15" s="1179"/>
      <c r="AD15" s="227" t="s">
        <v>22</v>
      </c>
      <c r="AE15" s="958" t="s">
        <v>11</v>
      </c>
      <c r="AF15" s="5564"/>
      <c r="AG15" s="5205"/>
      <c r="AH15" s="5205"/>
      <c r="AI15" s="5205"/>
      <c r="AJ15" s="996"/>
      <c r="AK15" s="5530"/>
      <c r="AL15" s="5531"/>
      <c r="AM15" s="5531"/>
      <c r="AN15" s="5531"/>
      <c r="AO15" s="5531"/>
      <c r="AP15" s="5536"/>
      <c r="AQ15" s="5536"/>
      <c r="AR15" s="5566"/>
      <c r="AS15" s="5566"/>
      <c r="AT15" s="5501"/>
      <c r="AU15" s="5501"/>
      <c r="AV15" s="5568"/>
      <c r="AW15" s="5506"/>
      <c r="AX15" s="5509"/>
      <c r="AY15" s="5510"/>
      <c r="AZ15" s="5512"/>
      <c r="BA15" s="5514"/>
      <c r="BB15" s="5516"/>
      <c r="BC15" s="5518"/>
      <c r="BD15" s="5520"/>
      <c r="BE15" s="227"/>
      <c r="BF15" s="981" t="s">
        <v>1748</v>
      </c>
      <c r="BG15" s="982"/>
      <c r="BI15" s="5230" t="s">
        <v>13451</v>
      </c>
      <c r="BJ15" s="5230" t="s">
        <v>13452</v>
      </c>
      <c r="BK15" s="5230" t="s">
        <v>13453</v>
      </c>
      <c r="BL15" s="997">
        <v>1</v>
      </c>
      <c r="BM15" s="863" t="s">
        <v>1751</v>
      </c>
      <c r="BN15" s="863"/>
      <c r="BO15" s="998">
        <f t="shared" ref="BO15:BO23" si="13">ROUND(1/BL15,0)</f>
        <v>1</v>
      </c>
      <c r="BP15" s="999"/>
      <c r="BQ15" s="5230" t="s">
        <v>868</v>
      </c>
      <c r="BR15" s="5230" t="s">
        <v>1749</v>
      </c>
      <c r="BS15" s="5230" t="s">
        <v>1750</v>
      </c>
      <c r="BT15" s="5231">
        <v>0.5</v>
      </c>
      <c r="BU15" s="227"/>
      <c r="BV15" s="227"/>
      <c r="BW15" s="959" t="str">
        <f t="shared" si="10"/>
        <v>A</v>
      </c>
      <c r="BX15" s="860" t="s">
        <v>1752</v>
      </c>
      <c r="BY15" s="857"/>
      <c r="BZ15" s="857"/>
      <c r="CA15" s="858"/>
      <c r="CB15" s="858"/>
      <c r="CC15" s="957"/>
      <c r="CD15" s="862" t="s">
        <v>1753</v>
      </c>
      <c r="CE15" s="1000"/>
      <c r="CF15" s="1000"/>
      <c r="CG15" s="1000"/>
      <c r="CH15" s="1000"/>
      <c r="CI15" s="1000"/>
      <c r="CJ15" s="1001"/>
      <c r="CK15" s="227"/>
      <c r="CL15" s="862" t="s">
        <v>1754</v>
      </c>
      <c r="CM15" s="1000"/>
      <c r="CN15" s="1000"/>
      <c r="CO15" s="1000"/>
      <c r="CP15" s="1000"/>
      <c r="CQ15" s="1000"/>
      <c r="CR15" s="1001"/>
      <c r="CS15" s="227"/>
      <c r="CT15" s="862" t="s">
        <v>1755</v>
      </c>
      <c r="CU15" s="1000"/>
      <c r="CV15" s="1000"/>
      <c r="CW15" s="1000"/>
      <c r="CX15" s="1000"/>
      <c r="CY15" s="1000"/>
      <c r="CZ15" s="1001"/>
      <c r="DA15" s="227"/>
      <c r="DB15" s="3">
        <v>1</v>
      </c>
    </row>
    <row r="16" spans="1:108" s="709" customFormat="1" ht="21" customHeight="1" thickTop="1">
      <c r="A16" s="936" t="s">
        <v>22</v>
      </c>
      <c r="B16" s="952" t="str">
        <f t="shared" si="9"/>
        <v>►</v>
      </c>
      <c r="C16" s="993" cm="1">
        <f t="array" ref="C16">SUMPRODUCT(LEN(D16:J16))</f>
        <v>0</v>
      </c>
      <c r="D16" s="167"/>
      <c r="E16" s="172"/>
      <c r="F16" s="172"/>
      <c r="G16" s="172"/>
      <c r="H16" s="172"/>
      <c r="I16" s="172"/>
      <c r="J16" s="173"/>
      <c r="K16" s="442" t="s">
        <v>22</v>
      </c>
      <c r="L16" s="104" t="s">
        <v>16</v>
      </c>
      <c r="M16" s="1172"/>
      <c r="N16" s="1172"/>
      <c r="O16" s="1172"/>
      <c r="P16" s="1173"/>
      <c r="Q16" s="1174"/>
      <c r="R16" s="1175"/>
      <c r="S16" s="1176"/>
      <c r="T16" s="1177"/>
      <c r="U16" s="5248"/>
      <c r="V16" s="1177"/>
      <c r="W16" s="5249"/>
      <c r="X16" s="5208"/>
      <c r="Y16" s="5209"/>
      <c r="Z16" s="5210"/>
      <c r="AA16" s="5211"/>
      <c r="AB16" s="1178"/>
      <c r="AC16" s="1179"/>
      <c r="AD16" s="227" t="s">
        <v>22</v>
      </c>
      <c r="AE16" s="958" t="s">
        <v>11</v>
      </c>
      <c r="AF16" s="5521" t="s">
        <v>869</v>
      </c>
      <c r="AG16" s="5204"/>
      <c r="AH16" s="5204"/>
      <c r="AI16" s="5204"/>
      <c r="AJ16" s="994"/>
      <c r="AK16" s="5527" t="s">
        <v>1756</v>
      </c>
      <c r="AL16" s="5528"/>
      <c r="AM16" s="5528"/>
      <c r="AN16" s="5528"/>
      <c r="AO16" s="5528"/>
      <c r="AP16" s="5534" t="s">
        <v>1757</v>
      </c>
      <c r="AQ16" s="5534"/>
      <c r="AR16" s="5565" t="s">
        <v>13467</v>
      </c>
      <c r="AS16" s="5565"/>
      <c r="AT16" s="5500" t="s">
        <v>1758</v>
      </c>
      <c r="AU16" s="5500"/>
      <c r="AV16" s="5567" t="s">
        <v>1759</v>
      </c>
      <c r="AW16" s="5505" t="s">
        <v>1760</v>
      </c>
      <c r="AX16" s="5507" t="s">
        <v>1761</v>
      </c>
      <c r="AY16" s="5508"/>
      <c r="AZ16" s="5511" t="s">
        <v>249</v>
      </c>
      <c r="BA16" s="5513" t="s">
        <v>1762</v>
      </c>
      <c r="BB16" s="5515" t="s">
        <v>1763</v>
      </c>
      <c r="BC16" s="5517" t="s">
        <v>1764</v>
      </c>
      <c r="BD16" s="5519" t="s">
        <v>869</v>
      </c>
      <c r="BE16" s="227"/>
      <c r="BF16" s="227"/>
      <c r="BG16" s="227"/>
      <c r="BI16" s="5230" t="s">
        <v>870</v>
      </c>
      <c r="BJ16" s="5230" t="s">
        <v>1765</v>
      </c>
      <c r="BK16" s="5230" t="s">
        <v>1766</v>
      </c>
      <c r="BL16" s="1002">
        <v>0.25</v>
      </c>
      <c r="BM16" s="864" t="s">
        <v>1751</v>
      </c>
      <c r="BN16" s="864"/>
      <c r="BO16" s="1003">
        <f t="shared" si="13"/>
        <v>4</v>
      </c>
      <c r="BP16" s="1004"/>
      <c r="BR16" s="852"/>
      <c r="BS16" s="852"/>
      <c r="BT16" s="852"/>
      <c r="BU16" s="852"/>
      <c r="BV16" s="852"/>
      <c r="BW16" s="959" t="str">
        <f t="shared" si="10"/>
        <v>A</v>
      </c>
      <c r="BX16" s="1005"/>
      <c r="BY16" s="1005"/>
      <c r="BZ16" s="1005"/>
      <c r="CA16" s="1005"/>
      <c r="CB16" s="1005"/>
      <c r="CC16" s="957"/>
      <c r="CD16" s="862"/>
      <c r="CE16" s="1000"/>
      <c r="CF16" s="1000"/>
      <c r="CG16" s="1000"/>
      <c r="CH16" s="1000"/>
      <c r="CI16" s="1000"/>
      <c r="CJ16" s="1001"/>
      <c r="CK16" s="227"/>
      <c r="CL16" s="862"/>
      <c r="CM16" s="1000"/>
      <c r="CN16" s="1000"/>
      <c r="CO16" s="1000"/>
      <c r="CP16" s="1000"/>
      <c r="CQ16" s="1000"/>
      <c r="CR16" s="1001"/>
      <c r="CS16" s="227"/>
      <c r="CT16" s="862"/>
      <c r="CU16" s="1000"/>
      <c r="CV16" s="1000"/>
      <c r="CW16" s="1000"/>
      <c r="CX16" s="1000"/>
      <c r="CY16" s="1000"/>
      <c r="CZ16" s="1001"/>
      <c r="DA16" s="227"/>
      <c r="DB16" s="3">
        <v>1</v>
      </c>
    </row>
    <row r="17" spans="1:106" s="709" customFormat="1" ht="21" customHeight="1" thickBot="1">
      <c r="A17" s="936" t="s">
        <v>22</v>
      </c>
      <c r="B17" s="952" t="str">
        <f t="shared" si="9"/>
        <v>►</v>
      </c>
      <c r="C17" s="993" cm="1">
        <f t="array" ref="C17">SUMPRODUCT(LEN(D17:J17))</f>
        <v>0</v>
      </c>
      <c r="D17" s="167"/>
      <c r="E17" s="172"/>
      <c r="F17" s="172"/>
      <c r="G17" s="172"/>
      <c r="H17" s="172"/>
      <c r="I17" s="172"/>
      <c r="J17" s="173"/>
      <c r="K17" s="442" t="s">
        <v>22</v>
      </c>
      <c r="L17" s="104" t="s">
        <v>16</v>
      </c>
      <c r="M17" s="1172"/>
      <c r="N17" s="1172"/>
      <c r="O17" s="1172"/>
      <c r="P17" s="1173"/>
      <c r="Q17" s="1174"/>
      <c r="R17" s="1175"/>
      <c r="S17" s="1176"/>
      <c r="T17" s="1177"/>
      <c r="U17" s="5248"/>
      <c r="V17" s="1177"/>
      <c r="W17" s="5249"/>
      <c r="X17" s="5208"/>
      <c r="Y17" s="5209"/>
      <c r="Z17" s="5210"/>
      <c r="AA17" s="5211"/>
      <c r="AB17" s="1178"/>
      <c r="AC17" s="1179"/>
      <c r="AD17" s="227" t="s">
        <v>22</v>
      </c>
      <c r="AE17" s="958" t="s">
        <v>11</v>
      </c>
      <c r="AF17" s="5569"/>
      <c r="AG17" s="977"/>
      <c r="AH17" s="977"/>
      <c r="AI17" s="977"/>
      <c r="AJ17" s="1006"/>
      <c r="AK17" s="5530"/>
      <c r="AL17" s="5531"/>
      <c r="AM17" s="5531"/>
      <c r="AN17" s="5531"/>
      <c r="AO17" s="5531"/>
      <c r="AP17" s="5536"/>
      <c r="AQ17" s="5536"/>
      <c r="AR17" s="5566"/>
      <c r="AS17" s="5566"/>
      <c r="AT17" s="5501"/>
      <c r="AU17" s="5501"/>
      <c r="AV17" s="5568"/>
      <c r="AW17" s="5506"/>
      <c r="AX17" s="5509"/>
      <c r="AY17" s="5510"/>
      <c r="AZ17" s="5512"/>
      <c r="BA17" s="5514"/>
      <c r="BB17" s="5516"/>
      <c r="BC17" s="5518"/>
      <c r="BD17" s="5520"/>
      <c r="BE17" s="227"/>
      <c r="BF17" s="227"/>
      <c r="BG17" s="227"/>
      <c r="BI17" s="5230" t="s">
        <v>871</v>
      </c>
      <c r="BJ17" s="5230" t="s">
        <v>1767</v>
      </c>
      <c r="BK17" s="5230" t="s">
        <v>1768</v>
      </c>
      <c r="BL17" s="1002">
        <v>0.33</v>
      </c>
      <c r="BM17" s="864" t="s">
        <v>1751</v>
      </c>
      <c r="BN17" s="864"/>
      <c r="BO17" s="1003">
        <f t="shared" si="13"/>
        <v>3</v>
      </c>
      <c r="BP17" s="1004"/>
      <c r="BR17" s="852"/>
      <c r="BS17" s="852"/>
      <c r="BT17" s="852"/>
      <c r="BU17" s="852"/>
      <c r="BV17" s="852"/>
      <c r="BW17" s="959" t="str">
        <f t="shared" si="10"/>
        <v>A</v>
      </c>
      <c r="BX17" s="1007" t="s">
        <v>1769</v>
      </c>
      <c r="BY17" s="861"/>
      <c r="BZ17" s="861"/>
      <c r="CA17" s="861"/>
      <c r="CB17" s="861"/>
      <c r="CC17" s="957"/>
      <c r="CD17" s="1008" t="s">
        <v>1770</v>
      </c>
      <c r="CE17" s="1009"/>
      <c r="CF17" s="1000"/>
      <c r="CG17" s="1000"/>
      <c r="CH17" s="1000"/>
      <c r="CI17" s="1000"/>
      <c r="CJ17" s="1001"/>
      <c r="CK17" s="227"/>
      <c r="CL17" s="1008" t="s">
        <v>1771</v>
      </c>
      <c r="CM17" s="1009"/>
      <c r="CN17" s="1000"/>
      <c r="CO17" s="1000"/>
      <c r="CP17" s="1000"/>
      <c r="CQ17" s="1000"/>
      <c r="CR17" s="1001"/>
      <c r="CS17" s="227"/>
      <c r="CT17" s="1008" t="s">
        <v>1772</v>
      </c>
      <c r="CU17" s="1009"/>
      <c r="CV17" s="1000"/>
      <c r="CW17" s="1000"/>
      <c r="CX17" s="1000"/>
      <c r="CY17" s="1000"/>
      <c r="CZ17" s="1001"/>
      <c r="DA17" s="227"/>
      <c r="DB17" s="3">
        <v>1</v>
      </c>
    </row>
    <row r="18" spans="1:106" s="709" customFormat="1" ht="21" customHeight="1" thickTop="1" thickBot="1">
      <c r="A18" s="936" t="s">
        <v>22</v>
      </c>
      <c r="B18" s="952" t="str">
        <f t="shared" si="9"/>
        <v>►</v>
      </c>
      <c r="C18" s="993" cm="1">
        <f t="array" ref="C18">SUMPRODUCT(LEN(D18:J18))</f>
        <v>0</v>
      </c>
      <c r="D18" s="167"/>
      <c r="E18" s="172"/>
      <c r="F18" s="172"/>
      <c r="G18" s="172"/>
      <c r="H18" s="172"/>
      <c r="I18" s="172"/>
      <c r="J18" s="173"/>
      <c r="K18" s="442" t="s">
        <v>22</v>
      </c>
      <c r="L18" s="104" t="s">
        <v>16</v>
      </c>
      <c r="M18" s="1172"/>
      <c r="N18" s="1172"/>
      <c r="O18" s="1172"/>
      <c r="P18" s="1173"/>
      <c r="Q18" s="1174"/>
      <c r="R18" s="1175"/>
      <c r="S18" s="1176"/>
      <c r="T18" s="1177"/>
      <c r="U18" s="5248"/>
      <c r="V18" s="1177"/>
      <c r="W18" s="5249"/>
      <c r="X18" s="5208"/>
      <c r="Y18" s="5209"/>
      <c r="Z18" s="5210"/>
      <c r="AA18" s="5211"/>
      <c r="AB18" s="1178"/>
      <c r="AC18" s="1179"/>
      <c r="AD18" s="227" t="s">
        <v>22</v>
      </c>
      <c r="AE18" s="958" t="s">
        <v>11</v>
      </c>
      <c r="AF18" s="1010" t="str">
        <f t="shared" ref="AF18:BG18" si="14">SUBSTITUTE(ADDRESS(1,COLUMN(),4),"1","")</f>
        <v>AF</v>
      </c>
      <c r="AG18" s="1010" t="str">
        <f t="shared" si="14"/>
        <v>AG</v>
      </c>
      <c r="AH18" s="1010" t="str">
        <f t="shared" si="14"/>
        <v>AH</v>
      </c>
      <c r="AI18" s="1010" t="str">
        <f t="shared" si="14"/>
        <v>AI</v>
      </c>
      <c r="AJ18" s="1010" t="str">
        <f t="shared" si="14"/>
        <v>AJ</v>
      </c>
      <c r="AK18" s="1010" t="str">
        <f t="shared" si="14"/>
        <v>AK</v>
      </c>
      <c r="AL18" s="1010" t="str">
        <f t="shared" si="14"/>
        <v>AL</v>
      </c>
      <c r="AM18" s="1010" t="str">
        <f t="shared" si="14"/>
        <v>AM</v>
      </c>
      <c r="AN18" s="1011" t="str">
        <f t="shared" si="14"/>
        <v>AN</v>
      </c>
      <c r="AO18" s="1011" t="str">
        <f t="shared" si="14"/>
        <v>AO</v>
      </c>
      <c r="AP18" s="1011" t="str">
        <f t="shared" si="14"/>
        <v>AP</v>
      </c>
      <c r="AQ18" s="1011" t="str">
        <f t="shared" si="14"/>
        <v>AQ</v>
      </c>
      <c r="AR18" s="1011" t="str">
        <f t="shared" si="14"/>
        <v>AR</v>
      </c>
      <c r="AS18" s="1011" t="str">
        <f t="shared" si="14"/>
        <v>AS</v>
      </c>
      <c r="AT18" s="1011" t="str">
        <f t="shared" si="14"/>
        <v>AT</v>
      </c>
      <c r="AU18" s="1011" t="str">
        <f t="shared" si="14"/>
        <v>AU</v>
      </c>
      <c r="AV18" s="1011" t="str">
        <f t="shared" si="14"/>
        <v>AV</v>
      </c>
      <c r="AW18" s="1011" t="str">
        <f t="shared" si="14"/>
        <v>AW</v>
      </c>
      <c r="AX18" s="1011" t="str">
        <f t="shared" si="14"/>
        <v>AX</v>
      </c>
      <c r="AY18" s="1011" t="str">
        <f t="shared" si="14"/>
        <v>AY</v>
      </c>
      <c r="AZ18" s="1011" t="str">
        <f t="shared" si="14"/>
        <v>AZ</v>
      </c>
      <c r="BA18" s="1011" t="str">
        <f t="shared" si="14"/>
        <v>BA</v>
      </c>
      <c r="BB18" s="1011" t="str">
        <f t="shared" si="14"/>
        <v>BB</v>
      </c>
      <c r="BC18" s="1011" t="str">
        <f t="shared" si="14"/>
        <v>BC</v>
      </c>
      <c r="BD18" s="1011" t="str">
        <f t="shared" si="14"/>
        <v>BD</v>
      </c>
      <c r="BE18" s="227"/>
      <c r="BF18" s="1012" t="str">
        <f t="shared" si="14"/>
        <v>BF</v>
      </c>
      <c r="BG18" s="1012" t="str">
        <f t="shared" si="14"/>
        <v>BG</v>
      </c>
      <c r="BI18" s="5251" t="s">
        <v>143</v>
      </c>
      <c r="BJ18" s="5251" t="s">
        <v>143</v>
      </c>
      <c r="BK18" s="5251" t="s">
        <v>143</v>
      </c>
      <c r="BL18" s="1013">
        <f>BP18 / 1000</f>
        <v>1</v>
      </c>
      <c r="BM18" s="865" t="s">
        <v>872</v>
      </c>
      <c r="BN18" s="865" t="s">
        <v>1773</v>
      </c>
      <c r="BO18" s="1003">
        <f t="shared" si="13"/>
        <v>1</v>
      </c>
      <c r="BP18" s="1014">
        <v>1000</v>
      </c>
      <c r="BR18" s="852"/>
      <c r="BS18" s="852"/>
      <c r="BT18" s="852"/>
      <c r="BU18" s="852"/>
      <c r="BV18" s="852"/>
      <c r="BW18" s="959" t="str">
        <f t="shared" si="10"/>
        <v>A</v>
      </c>
      <c r="BX18" s="1007"/>
      <c r="BY18" s="857"/>
      <c r="BZ18" s="861"/>
      <c r="CA18" s="861"/>
      <c r="CB18" s="861"/>
      <c r="CC18" s="957"/>
      <c r="CD18" s="1008"/>
      <c r="CE18" s="1009"/>
      <c r="CF18" s="1000"/>
      <c r="CG18" s="1000"/>
      <c r="CH18" s="1000"/>
      <c r="CI18" s="1000"/>
      <c r="CJ18" s="1001"/>
      <c r="CL18" s="1008"/>
      <c r="CM18" s="1009"/>
      <c r="CN18" s="1000"/>
      <c r="CO18" s="1000"/>
      <c r="CP18" s="1000"/>
      <c r="CQ18" s="1000"/>
      <c r="CR18" s="1001"/>
      <c r="CT18" s="1008"/>
      <c r="CU18" s="1009"/>
      <c r="CV18" s="1000"/>
      <c r="CW18" s="1000"/>
      <c r="CX18" s="1000"/>
      <c r="CY18" s="1000"/>
      <c r="CZ18" s="1001"/>
      <c r="DB18" s="3">
        <v>1</v>
      </c>
    </row>
    <row r="19" spans="1:106" s="709" customFormat="1" ht="21" customHeight="1" thickTop="1" thickBot="1">
      <c r="A19" s="936" t="s">
        <v>22</v>
      </c>
      <c r="B19" s="952" t="str">
        <f t="shared" si="9"/>
        <v>►</v>
      </c>
      <c r="C19" s="993" cm="1">
        <f t="array" ref="C19">SUMPRODUCT(LEN(D19:J19))</f>
        <v>0</v>
      </c>
      <c r="D19" s="167"/>
      <c r="E19" s="172"/>
      <c r="F19" s="172"/>
      <c r="G19" s="172"/>
      <c r="H19" s="172"/>
      <c r="I19" s="172"/>
      <c r="J19" s="173"/>
      <c r="K19" s="442" t="s">
        <v>22</v>
      </c>
      <c r="L19" s="104" t="s">
        <v>16</v>
      </c>
      <c r="M19" s="1172"/>
      <c r="N19" s="1172"/>
      <c r="O19" s="1172"/>
      <c r="P19" s="1173"/>
      <c r="Q19" s="1174"/>
      <c r="R19" s="1175"/>
      <c r="S19" s="1176"/>
      <c r="T19" s="1177"/>
      <c r="U19" s="5248"/>
      <c r="V19" s="1177"/>
      <c r="W19" s="5249"/>
      <c r="X19" s="5208"/>
      <c r="Y19" s="5209"/>
      <c r="Z19" s="5210"/>
      <c r="AA19" s="5211"/>
      <c r="AB19" s="1178"/>
      <c r="AC19" s="1179"/>
      <c r="AD19" s="227" t="s">
        <v>22</v>
      </c>
      <c r="AE19" s="958" t="s">
        <v>11</v>
      </c>
      <c r="AF19" s="1015" t="s">
        <v>1774</v>
      </c>
      <c r="AG19" s="1015" t="s">
        <v>1775</v>
      </c>
      <c r="AH19" s="1015" t="s">
        <v>1776</v>
      </c>
      <c r="AI19" s="1015" t="s">
        <v>1777</v>
      </c>
      <c r="AJ19" s="1015" t="s">
        <v>1778</v>
      </c>
      <c r="AK19" s="1015" t="s">
        <v>1779</v>
      </c>
      <c r="AL19" s="1015" t="s">
        <v>1780</v>
      </c>
      <c r="AM19" s="1015" t="s">
        <v>1781</v>
      </c>
      <c r="AN19" s="1015" t="s">
        <v>1782</v>
      </c>
      <c r="AO19" s="1015" t="s">
        <v>1783</v>
      </c>
      <c r="AP19" s="1016" t="s">
        <v>1784</v>
      </c>
      <c r="AQ19" s="1015" t="s">
        <v>1785</v>
      </c>
      <c r="AR19" s="1016" t="s">
        <v>1786</v>
      </c>
      <c r="AS19" s="1016" t="s">
        <v>1787</v>
      </c>
      <c r="AT19" s="1016" t="s">
        <v>1788</v>
      </c>
      <c r="AU19" s="1016" t="s">
        <v>1789</v>
      </c>
      <c r="AV19" s="1016" t="s">
        <v>1790</v>
      </c>
      <c r="AW19" s="1016" t="s">
        <v>1791</v>
      </c>
      <c r="AX19" s="1017" t="s">
        <v>1792</v>
      </c>
      <c r="AY19" s="1016" t="s">
        <v>1793</v>
      </c>
      <c r="AZ19" s="1016" t="s">
        <v>13438</v>
      </c>
      <c r="BA19" s="1016" t="s">
        <v>13439</v>
      </c>
      <c r="BB19" s="1016" t="s">
        <v>13440</v>
      </c>
      <c r="BC19" s="1016" t="s">
        <v>13441</v>
      </c>
      <c r="BD19" s="1018" t="s">
        <v>13468</v>
      </c>
      <c r="BE19" s="227"/>
      <c r="BF19" s="1019" t="s">
        <v>83</v>
      </c>
      <c r="BG19" s="1020" t="s">
        <v>1794</v>
      </c>
      <c r="BH19" s="852"/>
      <c r="BI19" s="5191" t="s">
        <v>99</v>
      </c>
      <c r="BJ19" s="5191" t="s">
        <v>99</v>
      </c>
      <c r="BK19" s="5191" t="s">
        <v>99</v>
      </c>
      <c r="BL19" s="1013">
        <f>BP19 / 1000</f>
        <v>1E-3</v>
      </c>
      <c r="BM19" s="865" t="s">
        <v>872</v>
      </c>
      <c r="BN19" s="865" t="s">
        <v>1773</v>
      </c>
      <c r="BO19" s="1003">
        <f t="shared" si="13"/>
        <v>1000</v>
      </c>
      <c r="BP19" s="1014">
        <v>1</v>
      </c>
      <c r="BQ19" s="852"/>
      <c r="BR19" s="852"/>
      <c r="BS19" s="852"/>
      <c r="BT19" s="852"/>
      <c r="BU19" s="852"/>
      <c r="BV19" s="852"/>
      <c r="BW19" s="959" t="str">
        <f t="shared" si="10"/>
        <v>A</v>
      </c>
      <c r="BX19" s="1007" t="s">
        <v>1795</v>
      </c>
      <c r="BY19" s="861"/>
      <c r="BZ19" s="861"/>
      <c r="CA19" s="861"/>
      <c r="CB19" s="861"/>
      <c r="CC19" s="957"/>
      <c r="CD19" s="1021" t="s">
        <v>1796</v>
      </c>
      <c r="CE19" s="1009"/>
      <c r="CF19" s="1000"/>
      <c r="CG19" s="1000"/>
      <c r="CH19" s="1000"/>
      <c r="CI19" s="1000"/>
      <c r="CJ19" s="1001"/>
      <c r="CL19" s="1021" t="s">
        <v>1797</v>
      </c>
      <c r="CM19" s="1009"/>
      <c r="CN19" s="1000"/>
      <c r="CO19" s="1000"/>
      <c r="CP19" s="1000"/>
      <c r="CQ19" s="1000"/>
      <c r="CR19" s="1001"/>
      <c r="CT19" s="1021" t="s">
        <v>1798</v>
      </c>
      <c r="CU19" s="1009"/>
      <c r="CV19" s="1000"/>
      <c r="CW19" s="1000"/>
      <c r="CX19" s="1000"/>
      <c r="CY19" s="1000"/>
      <c r="CZ19" s="1001"/>
      <c r="DB19" s="3">
        <v>1</v>
      </c>
    </row>
    <row r="20" spans="1:106" s="709" customFormat="1" ht="21" customHeight="1" thickTop="1">
      <c r="A20" s="936" t="s">
        <v>22</v>
      </c>
      <c r="B20" s="952" t="str">
        <f t="shared" si="9"/>
        <v>►</v>
      </c>
      <c r="C20" s="993" cm="1">
        <f t="array" ref="C20">SUMPRODUCT(LEN(D20:J20))</f>
        <v>34</v>
      </c>
      <c r="D20" s="167"/>
      <c r="E20" s="172" t="s">
        <v>1799</v>
      </c>
      <c r="F20" s="172"/>
      <c r="G20" s="172"/>
      <c r="H20" s="172"/>
      <c r="I20" s="172"/>
      <c r="J20" s="173"/>
      <c r="K20" s="442" t="s">
        <v>22</v>
      </c>
      <c r="L20" s="104" t="s">
        <v>16</v>
      </c>
      <c r="M20" s="1172"/>
      <c r="N20" s="1172"/>
      <c r="O20" s="1172"/>
      <c r="P20" s="1173"/>
      <c r="Q20" s="1174"/>
      <c r="R20" s="1175"/>
      <c r="S20" s="1176"/>
      <c r="T20" s="1177"/>
      <c r="U20" s="5248"/>
      <c r="V20" s="1177"/>
      <c r="W20" s="5249"/>
      <c r="X20" s="5208"/>
      <c r="Y20" s="5209"/>
      <c r="Z20" s="5210"/>
      <c r="AA20" s="5211"/>
      <c r="AB20" s="1178"/>
      <c r="AC20" s="1179"/>
      <c r="AD20" s="227" t="s">
        <v>22</v>
      </c>
      <c r="AE20" s="958" t="s">
        <v>11</v>
      </c>
      <c r="AF20" s="5521" t="s">
        <v>1800</v>
      </c>
      <c r="AG20" s="5522"/>
      <c r="AH20" s="5522"/>
      <c r="AI20" s="5522"/>
      <c r="AJ20" s="5523"/>
      <c r="AK20" s="5527" t="s">
        <v>32</v>
      </c>
      <c r="AL20" s="5528"/>
      <c r="AM20" s="5528"/>
      <c r="AN20" s="5528"/>
      <c r="AO20" s="5529"/>
      <c r="AP20" s="5533" t="s">
        <v>1801</v>
      </c>
      <c r="AQ20" s="5534"/>
      <c r="AR20" s="5537" t="s">
        <v>13469</v>
      </c>
      <c r="AS20" s="5537"/>
      <c r="AT20" s="5500" t="s">
        <v>1802</v>
      </c>
      <c r="AU20" s="5500"/>
      <c r="AV20" s="5502" t="s">
        <v>1803</v>
      </c>
      <c r="AW20" s="5505" t="s">
        <v>1804</v>
      </c>
      <c r="AX20" s="5507" t="s">
        <v>1743</v>
      </c>
      <c r="AY20" s="5508"/>
      <c r="AZ20" s="5511" t="s">
        <v>83</v>
      </c>
      <c r="BA20" s="5513" t="s">
        <v>1805</v>
      </c>
      <c r="BB20" s="5515" t="s">
        <v>1806</v>
      </c>
      <c r="BC20" s="5517" t="s">
        <v>1807</v>
      </c>
      <c r="BD20" s="5519" t="s">
        <v>94</v>
      </c>
      <c r="BE20" s="227" t="s">
        <v>22</v>
      </c>
      <c r="BF20" s="1019">
        <f>IFERROR(_xlfn.LET(_xlpm.b,(Q20*#REF!)/AN14,IF(ISNUMBER(AR14),_xlpm.b*AR14,IF(OR(ISBLANK(AR14),AR14=""),_xlpm.b*AP14,IF(AND(BG20=0,ISNUMBER(Q20)),_xlpm.b/AP14,0)))),0)</f>
        <v>0</v>
      </c>
      <c r="BG20" s="1020">
        <f>IF(AK14&lt;=0,0,IF(ISBLANK(AR14),IFERROR(AP14/AN14,0),IFERROR(AR14/AN14,0)))</f>
        <v>0</v>
      </c>
      <c r="BH20" s="852"/>
      <c r="BI20" s="5192" t="s">
        <v>145</v>
      </c>
      <c r="BJ20" s="5192" t="s">
        <v>1357</v>
      </c>
      <c r="BK20" s="5192" t="s">
        <v>1338</v>
      </c>
      <c r="BL20" s="1013">
        <f>BP20 / 1000</f>
        <v>0.25</v>
      </c>
      <c r="BM20" s="865" t="s">
        <v>872</v>
      </c>
      <c r="BN20" s="865" t="s">
        <v>1773</v>
      </c>
      <c r="BO20" s="1003">
        <f t="shared" si="13"/>
        <v>4</v>
      </c>
      <c r="BP20" s="1022">
        <v>250</v>
      </c>
      <c r="BQ20" s="852"/>
      <c r="BR20" s="852"/>
      <c r="BS20" s="852"/>
      <c r="BT20" s="852"/>
      <c r="BU20" s="852"/>
      <c r="BV20" s="852"/>
      <c r="BW20" s="959" t="str">
        <f t="shared" si="10"/>
        <v>A</v>
      </c>
      <c r="BX20" s="1007"/>
      <c r="BY20" s="857"/>
      <c r="BZ20" s="857"/>
      <c r="CA20" s="858"/>
      <c r="CB20" s="858"/>
      <c r="CC20" s="957"/>
      <c r="CD20" s="1021"/>
      <c r="CE20" s="1009"/>
      <c r="CF20" s="1000"/>
      <c r="CG20" s="1000"/>
      <c r="CH20" s="1000"/>
      <c r="CI20" s="1000"/>
      <c r="CJ20" s="1001"/>
      <c r="CL20" s="1021"/>
      <c r="CM20" s="1009"/>
      <c r="CN20" s="1000"/>
      <c r="CO20" s="1000"/>
      <c r="CP20" s="1000"/>
      <c r="CQ20" s="1000"/>
      <c r="CR20" s="1001"/>
      <c r="CT20" s="1021"/>
      <c r="CU20" s="1009"/>
      <c r="CV20" s="1000"/>
      <c r="CW20" s="1000"/>
      <c r="CX20" s="1000"/>
      <c r="CY20" s="1000"/>
      <c r="CZ20" s="1001"/>
      <c r="DB20" s="3">
        <v>1</v>
      </c>
    </row>
    <row r="21" spans="1:106" s="709" customFormat="1" ht="21" customHeight="1" thickBot="1">
      <c r="A21" s="936" t="s">
        <v>22</v>
      </c>
      <c r="B21" s="952" t="str">
        <f t="shared" si="9"/>
        <v>►</v>
      </c>
      <c r="C21" s="993" cm="1">
        <f t="array" ref="C21">SUMPRODUCT(LEN(D21:J21))</f>
        <v>71</v>
      </c>
      <c r="D21" s="167"/>
      <c r="E21" s="172" t="s">
        <v>2617</v>
      </c>
      <c r="F21" s="172"/>
      <c r="G21" s="172"/>
      <c r="H21" s="172"/>
      <c r="I21" s="172"/>
      <c r="J21" s="173"/>
      <c r="K21" s="442" t="s">
        <v>22</v>
      </c>
      <c r="L21" s="104" t="s">
        <v>16</v>
      </c>
      <c r="M21" s="1172"/>
      <c r="N21" s="1172"/>
      <c r="O21" s="1172"/>
      <c r="P21" s="1173"/>
      <c r="Q21" s="1174"/>
      <c r="R21" s="1175"/>
      <c r="S21" s="1176"/>
      <c r="T21" s="1177"/>
      <c r="U21" s="5248"/>
      <c r="V21" s="1177"/>
      <c r="W21" s="5249"/>
      <c r="X21" s="5208"/>
      <c r="Y21" s="5209"/>
      <c r="Z21" s="5210"/>
      <c r="AA21" s="5211"/>
      <c r="AB21" s="1178"/>
      <c r="AC21" s="1179"/>
      <c r="AD21" s="227" t="s">
        <v>22</v>
      </c>
      <c r="AE21" s="958" t="s">
        <v>11</v>
      </c>
      <c r="AF21" s="5524"/>
      <c r="AG21" s="5525"/>
      <c r="AH21" s="5525"/>
      <c r="AI21" s="5525"/>
      <c r="AJ21" s="5526"/>
      <c r="AK21" s="5530"/>
      <c r="AL21" s="5531"/>
      <c r="AM21" s="5531"/>
      <c r="AN21" s="5531"/>
      <c r="AO21" s="5532"/>
      <c r="AP21" s="5535"/>
      <c r="AQ21" s="5536"/>
      <c r="AR21" s="5252" t="s">
        <v>13470</v>
      </c>
      <c r="AS21" s="5253" t="s">
        <v>13471</v>
      </c>
      <c r="AT21" s="5501"/>
      <c r="AU21" s="5501"/>
      <c r="AV21" s="5503"/>
      <c r="AW21" s="5506"/>
      <c r="AX21" s="5509"/>
      <c r="AY21" s="5510"/>
      <c r="AZ21" s="5512"/>
      <c r="BA21" s="5514"/>
      <c r="BB21" s="5516"/>
      <c r="BC21" s="5518"/>
      <c r="BD21" s="5520"/>
      <c r="BE21" s="227" t="s">
        <v>22</v>
      </c>
      <c r="BF21" s="1019">
        <f>IFERROR(_xlfn.LET(_xlpm.b,(Q21*#REF!)/AN15,IF(ISNUMBER(AR15),_xlpm.b*AR15,IF(OR(ISBLANK(AR15),AR15=""),_xlpm.b*AP15,IF(AND(BG21=0,ISNUMBER(Q21)),_xlpm.b/AP15,0)))),0)</f>
        <v>0</v>
      </c>
      <c r="BG21" s="1020">
        <f>IF(AK15&lt;=0,0,IF(ISBLANK(AR15),IFERROR(AP15/AN15,0),IFERROR(AR15/AN15,0)))</f>
        <v>0</v>
      </c>
      <c r="BH21" s="852"/>
      <c r="BI21" s="5192" t="s">
        <v>107</v>
      </c>
      <c r="BJ21" s="5192" t="s">
        <v>1359</v>
      </c>
      <c r="BK21" s="5192" t="s">
        <v>1340</v>
      </c>
      <c r="BL21" s="1013">
        <f>BP21 / 1000</f>
        <v>0.5</v>
      </c>
      <c r="BM21" s="865" t="s">
        <v>872</v>
      </c>
      <c r="BN21" s="865" t="s">
        <v>1773</v>
      </c>
      <c r="BO21" s="1003">
        <f t="shared" si="13"/>
        <v>2</v>
      </c>
      <c r="BP21" s="1022">
        <v>500</v>
      </c>
      <c r="BQ21" s="852"/>
      <c r="BR21" s="852"/>
      <c r="BS21" s="852"/>
      <c r="BT21" s="852"/>
      <c r="BU21" s="852"/>
      <c r="BV21" s="852"/>
      <c r="BW21" s="959" t="str">
        <f t="shared" si="10"/>
        <v>A</v>
      </c>
      <c r="BX21" s="1007" t="s">
        <v>1808</v>
      </c>
      <c r="BY21" s="857"/>
      <c r="BZ21" s="857"/>
      <c r="CA21" s="858"/>
      <c r="CB21" s="858"/>
      <c r="CC21" s="957"/>
      <c r="CD21" s="1023" t="s">
        <v>1696</v>
      </c>
      <c r="CE21" s="1000"/>
      <c r="CF21" s="1000"/>
      <c r="CG21" s="1024">
        <v>45</v>
      </c>
      <c r="CH21" s="1025" t="s">
        <v>20</v>
      </c>
      <c r="CI21" s="372"/>
      <c r="CJ21" s="1026"/>
      <c r="CL21" s="1023" t="s">
        <v>1809</v>
      </c>
      <c r="CM21" s="1000"/>
      <c r="CN21" s="1000"/>
      <c r="CO21" s="1024">
        <v>45</v>
      </c>
      <c r="CP21" s="1025" t="s">
        <v>139</v>
      </c>
      <c r="CQ21" s="372"/>
      <c r="CR21" s="1026"/>
      <c r="CT21" s="1023" t="s">
        <v>1810</v>
      </c>
      <c r="CU21" s="1000"/>
      <c r="CV21" s="1000"/>
      <c r="CW21" s="1024">
        <v>45</v>
      </c>
      <c r="CX21" s="1025" t="s">
        <v>142</v>
      </c>
      <c r="CY21" s="372"/>
      <c r="CZ21" s="1026"/>
      <c r="DB21" s="3">
        <v>1</v>
      </c>
    </row>
    <row r="22" spans="1:106" s="709" customFormat="1" ht="21" customHeight="1" thickTop="1">
      <c r="A22" s="936" t="s">
        <v>22</v>
      </c>
      <c r="B22" s="952" t="str">
        <f t="shared" si="9"/>
        <v>►</v>
      </c>
      <c r="C22" s="993" cm="1">
        <f t="array" ref="C22">SUMPRODUCT(LEN(D22:J22))</f>
        <v>78</v>
      </c>
      <c r="D22" s="167"/>
      <c r="E22" s="172" t="s">
        <v>2618</v>
      </c>
      <c r="F22" s="172"/>
      <c r="G22" s="172"/>
      <c r="H22" s="172"/>
      <c r="I22" s="172"/>
      <c r="J22" s="173"/>
      <c r="K22" s="442" t="s">
        <v>22</v>
      </c>
      <c r="L22" s="104" t="s">
        <v>16</v>
      </c>
      <c r="M22" s="1172"/>
      <c r="N22" s="1172"/>
      <c r="O22" s="1172"/>
      <c r="P22" s="1173"/>
      <c r="Q22" s="1174"/>
      <c r="R22" s="1175"/>
      <c r="S22" s="1176"/>
      <c r="T22" s="1177"/>
      <c r="U22" s="5248"/>
      <c r="V22" s="1177"/>
      <c r="W22" s="5249"/>
      <c r="X22" s="5208"/>
      <c r="Y22" s="5209"/>
      <c r="Z22" s="5210"/>
      <c r="AA22" s="5211"/>
      <c r="AB22" s="1178"/>
      <c r="AC22" s="1179"/>
      <c r="AD22" s="227" t="s">
        <v>22</v>
      </c>
      <c r="AE22" s="1027" t="str">
        <f t="shared" ref="AE22:AE85" si="15">IF(OR(AN22&gt;0,TRIM(AF22)="▼ recette suivante"),"A","►")</f>
        <v>►</v>
      </c>
      <c r="AF22" s="1028" t="str">
        <f t="shared" ref="AF22:AF85" si="16">IF(TRIM(Q22)="Adresse PC","▼ recette suivante",IF(AN22&gt;0,M22,""))</f>
        <v/>
      </c>
      <c r="AG22" s="1029" t="str">
        <f t="shared" ref="AG22:AG85" si="17">IF(AE22="A",N22,"")</f>
        <v/>
      </c>
      <c r="AH22" s="1028" t="str">
        <f t="shared" ref="AH22:AH85" si="18">IF(AE22="A",O22,"")</f>
        <v/>
      </c>
      <c r="AI22" s="1029" t="str">
        <f t="shared" ref="AI22:AI85" si="19">IF(AE22="A",U22,"")</f>
        <v/>
      </c>
      <c r="AJ22" s="1029">
        <f t="shared" ref="AJ22:AJ85" si="20">IF(AND(L22="A",COUNTIF($BI$15:$BK$62,TRIM(U22))&gt;0),1,0)</f>
        <v>0</v>
      </c>
      <c r="AK22" s="1043" t="str" cm="1">
        <f t="array" ref="AK22">IF(AE22&lt;&gt;"A","",IFERROR((IFERROR(_xlfn.XLOOKUP(TRIM(SUBSTITUTE(U22,CHAR(160)," ")),$BI$15:$BI$62,$BL$15:$BL$62),IFERROR(_xlfn.XLOOKUP(TRIM(SUBSTITUTE(U22,CHAR(160)," ")),$BJ$15:$BJ$62,$BL$15:$BL$62),_xlfn.XLOOKUP(TRIM(SUBSTITUTE(U22,CHAR(160)," ")),$BK$15:$BK$62,$BL$15:$BL$62))))*T22*IF(ISBLANK(Q22),1,Q22)+IFERROR(_xlfn.XLOOKUP("RECHERCHEX",TRIM(L22:AC22),L22:AC22),0),0))</f>
        <v/>
      </c>
      <c r="AL22" s="1030">
        <f t="shared" ref="AL22:AL85" si="21">IF(AJ22,IF(AK22&gt;0,"Kg",0),0)</f>
        <v>0</v>
      </c>
      <c r="AM22" s="5254" t="str">
        <f t="shared" ref="AM22:AM28" si="22">IF(AE22="A","❾ Author reference &gt;","")</f>
        <v/>
      </c>
      <c r="AN22" s="1031">
        <f t="shared" ref="AN22:AN85" si="23">IF(AJ22,N22,0)</f>
        <v>0</v>
      </c>
      <c r="AO22" s="1031">
        <f t="shared" ref="AO22:AO85" si="24">IF(AJ22,O22,0)</f>
        <v>0</v>
      </c>
      <c r="AP22" s="1032">
        <f t="shared" ref="AP22:AP85" si="25">IF(AN22&gt;0,AR$9,0)</f>
        <v>0</v>
      </c>
      <c r="AQ22" s="5255" t="str">
        <f t="shared" ref="AQ22:AQ85" si="26">IF(TRIM(AF22)="▼ recette suivante", AF22, IF(AP22&gt;0, IF(AS$9&lt;&gt;"", AS$9&amp;"-ou.or.o ❾ + or - &gt;", ""), ""))</f>
        <v/>
      </c>
      <c r="AR22" s="5256"/>
      <c r="AS22" s="5256"/>
      <c r="AT22" s="1034">
        <f t="shared" ref="AT22:AT85" si="27">IF(TRIM(AL22)="Kg",N(AK22)*N(BG22),0)</f>
        <v>0</v>
      </c>
      <c r="AU22" s="1035">
        <f t="shared" ref="AU22:AU85" si="28">IF(AJ22,IF(OR(AT22="",N(AT22)&lt;=0.000000001),"",_xlfn.XLOOKUP(AI22,$BI$15:$BI$62,$BM$15:$BM$62,_xlfn.XLOOKUP(AI22,$BJ$15:$BJ$62,$BM$15:$BM$62,_xlfn.XLOOKUP(AI22,$BK$15:$BK$62,$BM$15:$BM$62,"")))),0)</f>
        <v>0</v>
      </c>
      <c r="AV22" s="1057" cm="1">
        <f t="array" ref="AV22">IF(AJ22&lt;&gt;1,0,IF(OR(AT22="",N(AT22)&lt;=0.000000001),"",IF(OR(AN22="",N(AN22)&lt;=0.000000001),0,IF(ISNUMBER(AT22),IFERROR(_xlfn.LET(_xlpm.ai_test,TRIM(AI22),_xlpm.r,IFERROR(_xlfn.XLOOKUP(_xlpm.ai_test,$BI$15:$BI$62,ROW($BI$15:$BI$62),0,1),IFERROR(_xlfn.XLOOKUP(_xlpm.ai_test,$BJ$15:$BJ$62,ROW($BJ$15:$BJ$62),0,1),_xlfn.XLOOKUP(_xlpm.ai_test,$BK$15:$BK$62,ROW($BK$15:$BK$62),0,1))),_xlpm.p,_xlpm.r-MIN(ROW($BI$15:$BI$62))+1,_xlpm.f,INDEX($BL$15:$BL$62,_xlpm.p),_xlpm.u,INDEX($BM$15:$BM$62,_xlpm.p),_xlpm.s,INDEX($BO$15:$BO$62,_xlpm.p),_xlpm.q,N(AT22)/_xlpm.f,IF(_xlpm.q&gt;=_xlpm.s,ROUND(_xlpm.q,1)&amp;" "&amp;_xlpm.ai_test&amp;" = "&amp;ROUND(_xlpm.q*_xlpm.f,1)&amp;" "&amp;_xlpm.u,ROUND(_xlpm.q,1)&amp;" "&amp;_xlpm.ai_test)),""),""))))</f>
        <v>0</v>
      </c>
      <c r="AW22" s="1047"/>
      <c r="AX22" s="1034">
        <f t="shared" ref="AX22:AX85" si="29">IF(TRIM(AF22)="▼ recette suivante","▼next recipe ",IF(AT22="","",IF(ISBLANK(AW22),AT22,ROUND(AT22*(1-MIN(1,MAX(0,IF(AW22&gt;1,AW22/100,AW22)))),3))))</f>
        <v>0</v>
      </c>
      <c r="AY22" s="1035" t="str">
        <f t="shared" ref="AY22:AY85" si="30">IF(AJ22,AU22,"")</f>
        <v/>
      </c>
      <c r="AZ22" s="1036">
        <f>IF(ISNUMBER(BF22),IF(ABS(BF22)&lt;=0.000000001,0,BF22),0)</f>
        <v>0</v>
      </c>
      <c r="BA22" s="1037" t="str">
        <f t="shared" ref="BA22:BA85" si="31">IF(AJ22,IF(N(AZ22)&gt;0.000000001,R22,""),"")</f>
        <v/>
      </c>
      <c r="BB22" s="1038">
        <v>1</v>
      </c>
      <c r="BC22" s="1039">
        <f t="shared" ref="BC22:BC25" si="32">IF(OR(AN22=0,ISBLANK(BB22),ISTEXT(AZ22)),0,(IF(AT22=0,AZ22,AT22)*BB22))</f>
        <v>0</v>
      </c>
      <c r="BD22" s="1040" t="str">
        <f t="shared" ref="BD22:BD85" si="33">IF(IFERROR(SEARCH("Adresse PC",TRIM(Q22)),0)&gt;0,"▼ receta siguiente",IF(AX22&gt;0,W22,""))</f>
        <v/>
      </c>
      <c r="BE22" s="227" t="s">
        <v>22</v>
      </c>
      <c r="BF22" s="1019">
        <f t="shared" ref="BF22:BF85" si="34">IFERROR(_xlfn.LET(_xlpm.EPS,0.000000001,_xlpm.b,Q22/AN22,IF(ISNUMBER(AR22),_xlpm.b*AR22,IF(OR(ISBLANK(AR22),AR22=""),_xlpm.b*AP22,IF(AND(BG22=0,ISNUMBER(Q22)),_xlpm.b/AP22,0)))),0)</f>
        <v>0</v>
      </c>
      <c r="BG22" s="1020">
        <f t="shared" ref="BG22:BG85" si="35">IF(AK22&gt;0,IFERROR(IF(OR(ISBLANK(AR22),AR22=""),AP22,AR22)/AN22,0),0)</f>
        <v>0</v>
      </c>
      <c r="BH22" s="852"/>
      <c r="BI22" s="5192" t="s">
        <v>146</v>
      </c>
      <c r="BJ22" s="5192" t="s">
        <v>1358</v>
      </c>
      <c r="BK22" s="5192" t="s">
        <v>1339</v>
      </c>
      <c r="BL22" s="1013">
        <f>BP22 / 1000</f>
        <v>0.33300000000000002</v>
      </c>
      <c r="BM22" s="865" t="s">
        <v>872</v>
      </c>
      <c r="BN22" s="865" t="s">
        <v>1773</v>
      </c>
      <c r="BO22" s="1003">
        <f t="shared" si="13"/>
        <v>3</v>
      </c>
      <c r="BP22" s="1022">
        <v>333</v>
      </c>
      <c r="BQ22" s="852"/>
      <c r="BR22" s="852"/>
      <c r="BS22" s="852"/>
      <c r="BT22" s="852"/>
      <c r="BU22" s="852"/>
      <c r="BV22" s="852"/>
      <c r="BW22" s="959" t="str">
        <f t="shared" si="10"/>
        <v>►</v>
      </c>
      <c r="BX22" s="859"/>
      <c r="BY22" s="857"/>
      <c r="BZ22" s="857"/>
      <c r="CA22" s="858"/>
      <c r="CB22" s="858"/>
      <c r="CC22" s="957"/>
      <c r="CD22" s="1041"/>
      <c r="CE22" s="372"/>
      <c r="CF22" s="372"/>
      <c r="CG22" s="372"/>
      <c r="CH22" s="1042" t="s">
        <v>1811</v>
      </c>
      <c r="CI22" s="372"/>
      <c r="CJ22" s="1026"/>
      <c r="CL22" s="1041"/>
      <c r="CM22" s="372"/>
      <c r="CN22" s="372"/>
      <c r="CO22" s="372"/>
      <c r="CP22" s="1042" t="s">
        <v>1812</v>
      </c>
      <c r="CQ22" s="372"/>
      <c r="CR22" s="1026"/>
      <c r="CT22" s="1041"/>
      <c r="CU22" s="372"/>
      <c r="CV22" s="372"/>
      <c r="CW22" s="372"/>
      <c r="CX22" s="1042" t="s">
        <v>1813</v>
      </c>
      <c r="CY22" s="372"/>
      <c r="CZ22" s="1026"/>
      <c r="DB22" s="3">
        <v>1</v>
      </c>
    </row>
    <row r="23" spans="1:106" s="709" customFormat="1" ht="21" customHeight="1">
      <c r="A23" s="936" t="s">
        <v>22</v>
      </c>
      <c r="B23" s="952" t="str">
        <f t="shared" si="9"/>
        <v>►</v>
      </c>
      <c r="C23" s="993" cm="1">
        <f t="array" ref="C23">SUMPRODUCT(LEN(D23:J23))</f>
        <v>0</v>
      </c>
      <c r="D23" s="167"/>
      <c r="E23" s="172"/>
      <c r="F23" s="172"/>
      <c r="G23" s="172"/>
      <c r="H23" s="172"/>
      <c r="I23" s="172"/>
      <c r="J23" s="173"/>
      <c r="K23" s="442" t="s">
        <v>22</v>
      </c>
      <c r="L23" s="104" t="s">
        <v>16</v>
      </c>
      <c r="M23" s="1172"/>
      <c r="N23" s="1172"/>
      <c r="O23" s="1172"/>
      <c r="P23" s="1173"/>
      <c r="Q23" s="1174"/>
      <c r="R23" s="1175"/>
      <c r="S23" s="1176"/>
      <c r="T23" s="1177"/>
      <c r="U23" s="5248"/>
      <c r="V23" s="1177"/>
      <c r="W23" s="5249"/>
      <c r="X23" s="5208"/>
      <c r="Y23" s="5209"/>
      <c r="Z23" s="5210"/>
      <c r="AA23" s="5211"/>
      <c r="AB23" s="1178"/>
      <c r="AC23" s="1179"/>
      <c r="AD23" s="227" t="s">
        <v>22</v>
      </c>
      <c r="AE23" s="1027" t="str">
        <f t="shared" si="15"/>
        <v>►</v>
      </c>
      <c r="AF23" s="1028" t="str">
        <f t="shared" si="16"/>
        <v/>
      </c>
      <c r="AG23" s="1029" t="str">
        <f t="shared" si="17"/>
        <v/>
      </c>
      <c r="AH23" s="1028" t="str">
        <f t="shared" si="18"/>
        <v/>
      </c>
      <c r="AI23" s="1029" t="str">
        <f t="shared" si="19"/>
        <v/>
      </c>
      <c r="AJ23" s="1029">
        <f t="shared" si="20"/>
        <v>0</v>
      </c>
      <c r="AK23" s="1043" t="str" cm="1">
        <f t="array" ref="AK23">IF(AE23&lt;&gt;"A","",IFERROR((IFERROR(_xlfn.XLOOKUP(TRIM(SUBSTITUTE(U23,CHAR(160)," ")),$BI$15:$BI$62,$BL$15:$BL$62),IFERROR(_xlfn.XLOOKUP(TRIM(SUBSTITUTE(U23,CHAR(160)," ")),$BJ$15:$BJ$62,$BL$15:$BL$62),_xlfn.XLOOKUP(TRIM(SUBSTITUTE(U23,CHAR(160)," ")),$BK$15:$BK$62,$BL$15:$BL$62))))*T23*IF(ISBLANK(Q23),1,Q23)+IFERROR(_xlfn.XLOOKUP("RECHERCHEX",TRIM(L23:AC23),L23:AC23),0),0))</f>
        <v/>
      </c>
      <c r="AL23" s="1030">
        <f t="shared" si="21"/>
        <v>0</v>
      </c>
      <c r="AM23" s="5254" t="str">
        <f t="shared" si="22"/>
        <v/>
      </c>
      <c r="AN23" s="1031">
        <f t="shared" si="23"/>
        <v>0</v>
      </c>
      <c r="AO23" s="1031">
        <f t="shared" si="24"/>
        <v>0</v>
      </c>
      <c r="AP23" s="1044">
        <f t="shared" si="25"/>
        <v>0</v>
      </c>
      <c r="AQ23" s="5257" t="str">
        <f t="shared" si="26"/>
        <v/>
      </c>
      <c r="AR23" s="1033"/>
      <c r="AS23" s="1033"/>
      <c r="AT23" s="1045">
        <f t="shared" si="27"/>
        <v>0</v>
      </c>
      <c r="AU23" s="1046">
        <f t="shared" si="28"/>
        <v>0</v>
      </c>
      <c r="AV23" s="1059" cm="1">
        <f t="array" ref="AV23">IF(AJ23&lt;&gt;1,0,IF(OR(AT23="",N(AT23)&lt;=0.000000001),"",IF(OR(AN23="",N(AN23)&lt;=0.000000001),0,IF(ISNUMBER(AT23),IFERROR(_xlfn.LET(_xlpm.ai_test,TRIM(AI23),_xlpm.r,IFERROR(_xlfn.XLOOKUP(_xlpm.ai_test,$BI$15:$BI$62,ROW($BI$15:$BI$62),0,1),IFERROR(_xlfn.XLOOKUP(_xlpm.ai_test,$BJ$15:$BJ$62,ROW($BJ$15:$BJ$62),0,1),_xlfn.XLOOKUP(_xlpm.ai_test,$BK$15:$BK$62,ROW($BK$15:$BK$62),0,1))),_xlpm.p,_xlpm.r-MIN(ROW($BI$15:$BI$62))+1,_xlpm.f,INDEX($BL$15:$BL$62,_xlpm.p),_xlpm.u,INDEX($BM$15:$BM$62,_xlpm.p),_xlpm.s,INDEX($BO$15:$BO$62,_xlpm.p),_xlpm.q,N(AT23)/_xlpm.f,IF(_xlpm.q&gt;=_xlpm.s,ROUND(_xlpm.q,1)&amp;" "&amp;_xlpm.ai_test&amp;" = "&amp;ROUND(_xlpm.q*_xlpm.f,1)&amp;" "&amp;_xlpm.u,ROUND(_xlpm.q,1)&amp;" "&amp;_xlpm.ai_test)),""),""))))</f>
        <v>0</v>
      </c>
      <c r="AW23" s="1047"/>
      <c r="AX23" s="1045">
        <f t="shared" si="29"/>
        <v>0</v>
      </c>
      <c r="AY23" s="1046" t="str">
        <f t="shared" si="30"/>
        <v/>
      </c>
      <c r="AZ23" s="1048">
        <f t="shared" ref="AZ23:AZ86" si="36">IF(ISNUMBER(BF23),IF(ABS(BF23)&lt;=0.000000001,0,BF23),0)</f>
        <v>0</v>
      </c>
      <c r="BA23" s="1049" t="str">
        <f t="shared" si="31"/>
        <v/>
      </c>
      <c r="BB23" s="1038">
        <v>1</v>
      </c>
      <c r="BC23" s="1050">
        <f t="shared" si="32"/>
        <v>0</v>
      </c>
      <c r="BD23" s="1040" t="str">
        <f t="shared" si="33"/>
        <v/>
      </c>
      <c r="BE23" s="227" t="s">
        <v>22</v>
      </c>
      <c r="BF23" s="1019">
        <f t="shared" si="34"/>
        <v>0</v>
      </c>
      <c r="BG23" s="1020">
        <f t="shared" si="35"/>
        <v>0</v>
      </c>
      <c r="BH23" s="852"/>
      <c r="BI23" s="5258" t="s">
        <v>0</v>
      </c>
      <c r="BJ23" s="5258" t="s">
        <v>0</v>
      </c>
      <c r="BK23" s="5258" t="s">
        <v>0</v>
      </c>
      <c r="BL23" s="1013">
        <v>1</v>
      </c>
      <c r="BM23" s="1051" t="s">
        <v>1814</v>
      </c>
      <c r="BN23" s="1051" t="s">
        <v>1815</v>
      </c>
      <c r="BO23" s="1003">
        <f t="shared" si="13"/>
        <v>1</v>
      </c>
      <c r="BP23" s="1052">
        <v>1000</v>
      </c>
      <c r="BQ23" s="852"/>
      <c r="BR23" s="852"/>
      <c r="BS23" s="852"/>
      <c r="BT23" s="852"/>
      <c r="BU23" s="852"/>
      <c r="BV23" s="852"/>
      <c r="BW23" s="959" t="str">
        <f t="shared" si="10"/>
        <v>►</v>
      </c>
      <c r="BX23" s="861"/>
      <c r="BY23" s="861"/>
      <c r="BZ23" s="861"/>
      <c r="CA23" s="861"/>
      <c r="CB23" s="861"/>
      <c r="CC23" s="957"/>
      <c r="CD23" s="1041"/>
      <c r="CE23" s="372"/>
      <c r="CF23" s="372"/>
      <c r="CG23" s="372"/>
      <c r="CH23" s="1053" t="s">
        <v>1816</v>
      </c>
      <c r="CI23" s="372"/>
      <c r="CJ23" s="1026"/>
      <c r="CL23" s="1041"/>
      <c r="CM23" s="372"/>
      <c r="CN23" s="372"/>
      <c r="CO23" s="372"/>
      <c r="CP23" s="1042" t="s">
        <v>1817</v>
      </c>
      <c r="CQ23" s="372"/>
      <c r="CR23" s="1026"/>
      <c r="CT23" s="1041"/>
      <c r="CU23" s="372"/>
      <c r="CV23" s="372"/>
      <c r="CW23" s="372"/>
      <c r="CX23" s="1053" t="s">
        <v>1818</v>
      </c>
      <c r="CY23" s="372"/>
      <c r="CZ23" s="1026"/>
      <c r="DB23" s="3">
        <v>1</v>
      </c>
    </row>
    <row r="24" spans="1:106" s="709" customFormat="1" ht="21" customHeight="1">
      <c r="A24" s="936" t="s">
        <v>22</v>
      </c>
      <c r="B24" s="952" t="str">
        <f t="shared" si="9"/>
        <v>►</v>
      </c>
      <c r="C24" s="993" cm="1">
        <f t="array" ref="C24">SUMPRODUCT(LEN(D24:J24))</f>
        <v>0</v>
      </c>
      <c r="D24" s="167"/>
      <c r="E24" s="172"/>
      <c r="F24" s="172"/>
      <c r="G24" s="172"/>
      <c r="H24" s="172"/>
      <c r="I24" s="172"/>
      <c r="J24" s="173"/>
      <c r="K24" s="442" t="s">
        <v>22</v>
      </c>
      <c r="L24" s="104" t="s">
        <v>16</v>
      </c>
      <c r="M24" s="1172"/>
      <c r="N24" s="1172"/>
      <c r="O24" s="1172"/>
      <c r="P24" s="1173"/>
      <c r="Q24" s="1174"/>
      <c r="R24" s="1175"/>
      <c r="S24" s="1176"/>
      <c r="T24" s="1177"/>
      <c r="U24" s="5248"/>
      <c r="V24" s="1177"/>
      <c r="W24" s="5249"/>
      <c r="X24" s="5208"/>
      <c r="Y24" s="5209"/>
      <c r="Z24" s="5210"/>
      <c r="AA24" s="5211"/>
      <c r="AB24" s="1178"/>
      <c r="AC24" s="1179"/>
      <c r="AD24" s="227" t="s">
        <v>22</v>
      </c>
      <c r="AE24" s="1027" t="str">
        <f t="shared" si="15"/>
        <v>►</v>
      </c>
      <c r="AF24" s="1028" t="str">
        <f t="shared" si="16"/>
        <v/>
      </c>
      <c r="AG24" s="1029" t="str">
        <f t="shared" si="17"/>
        <v/>
      </c>
      <c r="AH24" s="1028" t="str">
        <f t="shared" si="18"/>
        <v/>
      </c>
      <c r="AI24" s="1029" t="str">
        <f t="shared" si="19"/>
        <v/>
      </c>
      <c r="AJ24" s="1029">
        <f t="shared" si="20"/>
        <v>0</v>
      </c>
      <c r="AK24" s="1043" t="str" cm="1">
        <f t="array" ref="AK24">IF(AE24&lt;&gt;"A","",IFERROR((IFERROR(_xlfn.XLOOKUP(TRIM(SUBSTITUTE(U24,CHAR(160)," ")),$BI$15:$BI$62,$BL$15:$BL$62),IFERROR(_xlfn.XLOOKUP(TRIM(SUBSTITUTE(U24,CHAR(160)," ")),$BJ$15:$BJ$62,$BL$15:$BL$62),_xlfn.XLOOKUP(TRIM(SUBSTITUTE(U24,CHAR(160)," ")),$BK$15:$BK$62,$BL$15:$BL$62))))*T24*IF(ISBLANK(Q24),1,Q24)+IFERROR(_xlfn.XLOOKUP("RECHERCHEX",TRIM(L24:AC24),L24:AC24),0),0))</f>
        <v/>
      </c>
      <c r="AL24" s="1030">
        <f t="shared" si="21"/>
        <v>0</v>
      </c>
      <c r="AM24" s="5254" t="str">
        <f t="shared" si="22"/>
        <v/>
      </c>
      <c r="AN24" s="1031">
        <f t="shared" si="23"/>
        <v>0</v>
      </c>
      <c r="AO24" s="1031">
        <f t="shared" si="24"/>
        <v>0</v>
      </c>
      <c r="AP24" s="1032">
        <f t="shared" si="25"/>
        <v>0</v>
      </c>
      <c r="AQ24" s="5255" t="str">
        <f t="shared" si="26"/>
        <v/>
      </c>
      <c r="AR24" s="1033"/>
      <c r="AS24" s="1033"/>
      <c r="AT24" s="1034">
        <f t="shared" si="27"/>
        <v>0</v>
      </c>
      <c r="AU24" s="1035">
        <f t="shared" si="28"/>
        <v>0</v>
      </c>
      <c r="AV24" s="1057" cm="1">
        <f t="array" ref="AV24">IF(AJ24&lt;&gt;1,0,IF(OR(AT24="",N(AT24)&lt;=0.000000001),"",IF(OR(AN24="",N(AN24)&lt;=0.000000001),0,IF(ISNUMBER(AT24),IFERROR(_xlfn.LET(_xlpm.ai_test,TRIM(AI24),_xlpm.r,IFERROR(_xlfn.XLOOKUP(_xlpm.ai_test,$BI$15:$BI$62,ROW($BI$15:$BI$62),0,1),IFERROR(_xlfn.XLOOKUP(_xlpm.ai_test,$BJ$15:$BJ$62,ROW($BJ$15:$BJ$62),0,1),_xlfn.XLOOKUP(_xlpm.ai_test,$BK$15:$BK$62,ROW($BK$15:$BK$62),0,1))),_xlpm.p,_xlpm.r-MIN(ROW($BI$15:$BI$62))+1,_xlpm.f,INDEX($BL$15:$BL$62,_xlpm.p),_xlpm.u,INDEX($BM$15:$BM$62,_xlpm.p),_xlpm.s,INDEX($BO$15:$BO$62,_xlpm.p),_xlpm.q,N(AT24)/_xlpm.f,IF(_xlpm.q&gt;=_xlpm.s,ROUND(_xlpm.q,1)&amp;" "&amp;_xlpm.ai_test&amp;" = "&amp;ROUND(_xlpm.q*_xlpm.f,1)&amp;" "&amp;_xlpm.u,ROUND(_xlpm.q,1)&amp;" "&amp;_xlpm.ai_test)),""),""))))</f>
        <v>0</v>
      </c>
      <c r="AW24" s="1047"/>
      <c r="AX24" s="1034">
        <f t="shared" si="29"/>
        <v>0</v>
      </c>
      <c r="AY24" s="1035" t="str">
        <f t="shared" si="30"/>
        <v/>
      </c>
      <c r="AZ24" s="1036">
        <f t="shared" si="36"/>
        <v>0</v>
      </c>
      <c r="BA24" s="1037" t="str">
        <f t="shared" si="31"/>
        <v/>
      </c>
      <c r="BB24" s="1038"/>
      <c r="BC24" s="1039">
        <f t="shared" si="32"/>
        <v>0</v>
      </c>
      <c r="BD24" s="1040" t="str">
        <f t="shared" si="33"/>
        <v/>
      </c>
      <c r="BE24" s="227" t="s">
        <v>22</v>
      </c>
      <c r="BF24" s="1019">
        <f t="shared" si="34"/>
        <v>0</v>
      </c>
      <c r="BG24" s="1020">
        <f t="shared" si="35"/>
        <v>0</v>
      </c>
      <c r="BH24" s="852"/>
      <c r="BI24" s="5193" t="s">
        <v>96</v>
      </c>
      <c r="BJ24" s="5193" t="s">
        <v>96</v>
      </c>
      <c r="BK24" s="5193" t="s">
        <v>96</v>
      </c>
      <c r="BL24" s="1013">
        <v>0.1</v>
      </c>
      <c r="BM24" s="1051" t="s">
        <v>1814</v>
      </c>
      <c r="BN24" s="1051" t="s">
        <v>1815</v>
      </c>
      <c r="BO24" s="1003">
        <f>ROUND(1/BL24,0)</f>
        <v>10</v>
      </c>
      <c r="BP24" s="1052">
        <v>100</v>
      </c>
      <c r="BQ24" s="852"/>
      <c r="BR24" s="852"/>
      <c r="BS24" s="852"/>
      <c r="BT24" s="852"/>
      <c r="BU24" s="852"/>
      <c r="BV24" s="852"/>
      <c r="BW24" s="959" t="str">
        <f t="shared" si="10"/>
        <v>►</v>
      </c>
      <c r="BX24" s="861"/>
      <c r="BY24" s="861"/>
      <c r="BZ24" s="861"/>
      <c r="CA24" s="861"/>
      <c r="CB24" s="861"/>
      <c r="CC24" s="957"/>
      <c r="CD24" s="1008"/>
      <c r="CE24" s="1054"/>
      <c r="CF24" s="1000"/>
      <c r="CG24" s="1055" t="s">
        <v>13472</v>
      </c>
      <c r="CH24" s="1000"/>
      <c r="CI24" s="1000"/>
      <c r="CJ24" s="1001"/>
      <c r="CL24" s="1008"/>
      <c r="CM24" s="1054"/>
      <c r="CN24" s="1000"/>
      <c r="CO24" s="1055" t="s">
        <v>13473</v>
      </c>
      <c r="CP24" s="1000"/>
      <c r="CQ24" s="1000"/>
      <c r="CR24" s="1001"/>
      <c r="CT24" s="1008"/>
      <c r="CU24" s="1054"/>
      <c r="CV24" s="1000"/>
      <c r="CW24" s="1055" t="s">
        <v>13474</v>
      </c>
      <c r="CX24" s="1000"/>
      <c r="CY24" s="1000"/>
      <c r="CZ24" s="1001"/>
      <c r="DB24" s="3">
        <v>1</v>
      </c>
    </row>
    <row r="25" spans="1:106" s="709" customFormat="1" ht="21" customHeight="1">
      <c r="A25" s="936" t="s">
        <v>22</v>
      </c>
      <c r="B25" s="952" t="str">
        <f t="shared" si="9"/>
        <v>►</v>
      </c>
      <c r="C25" s="993" cm="1">
        <f t="array" ref="C25">SUMPRODUCT(LEN(D25:J25))</f>
        <v>0</v>
      </c>
      <c r="D25" s="167"/>
      <c r="E25" s="172"/>
      <c r="F25" s="172"/>
      <c r="G25" s="172"/>
      <c r="H25" s="172"/>
      <c r="I25" s="172"/>
      <c r="J25" s="173"/>
      <c r="K25" s="442" t="s">
        <v>22</v>
      </c>
      <c r="L25" s="104" t="s">
        <v>16</v>
      </c>
      <c r="M25" s="1172"/>
      <c r="N25" s="1172"/>
      <c r="O25" s="1172"/>
      <c r="P25" s="1173"/>
      <c r="Q25" s="1174"/>
      <c r="R25" s="1175"/>
      <c r="S25" s="1176"/>
      <c r="T25" s="1177"/>
      <c r="U25" s="5248"/>
      <c r="V25" s="1177"/>
      <c r="W25" s="5249"/>
      <c r="X25" s="5208"/>
      <c r="Y25" s="5209"/>
      <c r="Z25" s="5210"/>
      <c r="AA25" s="5211"/>
      <c r="AB25" s="1178"/>
      <c r="AC25" s="1179"/>
      <c r="AD25" s="227" t="s">
        <v>22</v>
      </c>
      <c r="AE25" s="1027" t="str">
        <f t="shared" si="15"/>
        <v>►</v>
      </c>
      <c r="AF25" s="1028" t="str">
        <f t="shared" si="16"/>
        <v/>
      </c>
      <c r="AG25" s="1029" t="str">
        <f t="shared" si="17"/>
        <v/>
      </c>
      <c r="AH25" s="1028" t="str">
        <f t="shared" si="18"/>
        <v/>
      </c>
      <c r="AI25" s="1029" t="str">
        <f t="shared" si="19"/>
        <v/>
      </c>
      <c r="AJ25" s="1029">
        <f t="shared" si="20"/>
        <v>0</v>
      </c>
      <c r="AK25" s="1043" t="str" cm="1">
        <f t="array" ref="AK25">IF(AE25&lt;&gt;"A","",IFERROR((IFERROR(_xlfn.XLOOKUP(TRIM(SUBSTITUTE(U25,CHAR(160)," ")),$BI$15:$BI$62,$BL$15:$BL$62),IFERROR(_xlfn.XLOOKUP(TRIM(SUBSTITUTE(U25,CHAR(160)," ")),$BJ$15:$BJ$62,$BL$15:$BL$62),_xlfn.XLOOKUP(TRIM(SUBSTITUTE(U25,CHAR(160)," ")),$BK$15:$BK$62,$BL$15:$BL$62))))*T25*IF(ISBLANK(Q25),1,Q25)+IFERROR(_xlfn.XLOOKUP("RECHERCHEX",TRIM(L25:AC25),L25:AC25),0),0))</f>
        <v/>
      </c>
      <c r="AL25" s="1030">
        <f t="shared" si="21"/>
        <v>0</v>
      </c>
      <c r="AM25" s="5254" t="str">
        <f t="shared" si="22"/>
        <v/>
      </c>
      <c r="AN25" s="1031">
        <f t="shared" si="23"/>
        <v>0</v>
      </c>
      <c r="AO25" s="1031">
        <f t="shared" si="24"/>
        <v>0</v>
      </c>
      <c r="AP25" s="1044">
        <f t="shared" si="25"/>
        <v>0</v>
      </c>
      <c r="AQ25" s="5257" t="str">
        <f t="shared" si="26"/>
        <v/>
      </c>
      <c r="AR25" s="1033"/>
      <c r="AS25" s="1033"/>
      <c r="AT25" s="1045">
        <f t="shared" si="27"/>
        <v>0</v>
      </c>
      <c r="AU25" s="1046">
        <f t="shared" si="28"/>
        <v>0</v>
      </c>
      <c r="AV25" s="1059" cm="1">
        <f t="array" ref="AV25">IF(AJ25&lt;&gt;1,0,IF(OR(AT25="",N(AT25)&lt;=0.000000001),"",IF(OR(AN25="",N(AN25)&lt;=0.000000001),0,IF(ISNUMBER(AT25),IFERROR(_xlfn.LET(_xlpm.ai_test,TRIM(AI25),_xlpm.r,IFERROR(_xlfn.XLOOKUP(_xlpm.ai_test,$BI$15:$BI$62,ROW($BI$15:$BI$62),0,1),IFERROR(_xlfn.XLOOKUP(_xlpm.ai_test,$BJ$15:$BJ$62,ROW($BJ$15:$BJ$62),0,1),_xlfn.XLOOKUP(_xlpm.ai_test,$BK$15:$BK$62,ROW($BK$15:$BK$62),0,1))),_xlpm.p,_xlpm.r-MIN(ROW($BI$15:$BI$62))+1,_xlpm.f,INDEX($BL$15:$BL$62,_xlpm.p),_xlpm.u,INDEX($BM$15:$BM$62,_xlpm.p),_xlpm.s,INDEX($BO$15:$BO$62,_xlpm.p),_xlpm.q,N(AT25)/_xlpm.f,IF(_xlpm.q&gt;=_xlpm.s,ROUND(_xlpm.q,1)&amp;" "&amp;_xlpm.ai_test&amp;" = "&amp;ROUND(_xlpm.q*_xlpm.f,1)&amp;" "&amp;_xlpm.u,ROUND(_xlpm.q,1)&amp;" "&amp;_xlpm.ai_test)),""),""))))</f>
        <v>0</v>
      </c>
      <c r="AW25" s="1047"/>
      <c r="AX25" s="1045">
        <f t="shared" si="29"/>
        <v>0</v>
      </c>
      <c r="AY25" s="1046" t="str">
        <f t="shared" si="30"/>
        <v/>
      </c>
      <c r="AZ25" s="1048">
        <f t="shared" si="36"/>
        <v>0</v>
      </c>
      <c r="BA25" s="1049" t="str">
        <f t="shared" si="31"/>
        <v/>
      </c>
      <c r="BB25" s="1038"/>
      <c r="BC25" s="1050">
        <f t="shared" si="32"/>
        <v>0</v>
      </c>
      <c r="BD25" s="1040" t="str">
        <f t="shared" si="33"/>
        <v/>
      </c>
      <c r="BE25" s="227" t="s">
        <v>22</v>
      </c>
      <c r="BF25" s="1019">
        <f t="shared" si="34"/>
        <v>0</v>
      </c>
      <c r="BG25" s="1020">
        <f t="shared" si="35"/>
        <v>0</v>
      </c>
      <c r="BH25" s="852"/>
      <c r="BI25" s="5193" t="s">
        <v>147</v>
      </c>
      <c r="BJ25" s="5193" t="s">
        <v>147</v>
      </c>
      <c r="BK25" s="5193" t="s">
        <v>147</v>
      </c>
      <c r="BL25" s="1013">
        <v>0.01</v>
      </c>
      <c r="BM25" s="1051" t="s">
        <v>1814</v>
      </c>
      <c r="BN25" s="1051" t="s">
        <v>1815</v>
      </c>
      <c r="BO25" s="864">
        <v>100</v>
      </c>
      <c r="BP25" s="1052">
        <v>10</v>
      </c>
      <c r="BQ25" s="852"/>
      <c r="BS25" s="852"/>
      <c r="BT25" s="852"/>
      <c r="BU25" s="852"/>
      <c r="BV25" s="852"/>
      <c r="BW25" s="959" t="str">
        <f t="shared" si="10"/>
        <v>►</v>
      </c>
      <c r="BX25" s="861"/>
      <c r="BY25" s="861"/>
      <c r="BZ25" s="861"/>
      <c r="CA25" s="861"/>
      <c r="CB25" s="861"/>
      <c r="CC25" s="957"/>
      <c r="CD25" s="1021"/>
      <c r="CE25" s="1009"/>
      <c r="CF25" s="1000"/>
      <c r="CG25" s="1000"/>
      <c r="CH25" s="1000"/>
      <c r="CI25" s="1000"/>
      <c r="CJ25" s="1001"/>
      <c r="CL25" s="1021"/>
      <c r="CM25" s="1009"/>
      <c r="CN25" s="1000"/>
      <c r="CO25" s="1000"/>
      <c r="CP25" s="1000"/>
      <c r="CQ25" s="1000"/>
      <c r="CR25" s="1001"/>
      <c r="CT25" s="1021"/>
      <c r="CU25" s="1009"/>
      <c r="CV25" s="1000"/>
      <c r="CW25" s="1000"/>
      <c r="CX25" s="1000"/>
      <c r="CY25" s="1000"/>
      <c r="CZ25" s="1001"/>
      <c r="DB25" s="3">
        <v>1</v>
      </c>
    </row>
    <row r="26" spans="1:106" s="709" customFormat="1" ht="21" customHeight="1">
      <c r="A26" s="936" t="s">
        <v>22</v>
      </c>
      <c r="B26" s="952" t="str">
        <f t="shared" si="9"/>
        <v>►</v>
      </c>
      <c r="C26" s="993" cm="1">
        <f t="array" ref="C26">SUMPRODUCT(LEN(D26:J26))</f>
        <v>0</v>
      </c>
      <c r="D26" s="167"/>
      <c r="E26" s="172"/>
      <c r="F26" s="172"/>
      <c r="G26" s="172"/>
      <c r="H26" s="172"/>
      <c r="I26" s="172"/>
      <c r="J26" s="173"/>
      <c r="K26" s="442" t="s">
        <v>22</v>
      </c>
      <c r="L26" s="104" t="s">
        <v>16</v>
      </c>
      <c r="M26" s="1172"/>
      <c r="N26" s="1172"/>
      <c r="O26" s="1172"/>
      <c r="P26" s="1173"/>
      <c r="Q26" s="1174"/>
      <c r="R26" s="1175"/>
      <c r="S26" s="1176"/>
      <c r="T26" s="1177"/>
      <c r="U26" s="5248"/>
      <c r="V26" s="1177"/>
      <c r="W26" s="5249"/>
      <c r="X26" s="5208"/>
      <c r="Y26" s="5209"/>
      <c r="Z26" s="5210"/>
      <c r="AA26" s="5211"/>
      <c r="AB26" s="1178"/>
      <c r="AC26" s="1179"/>
      <c r="AD26" s="227" t="s">
        <v>22</v>
      </c>
      <c r="AE26" s="1027" t="str">
        <f t="shared" si="15"/>
        <v>►</v>
      </c>
      <c r="AF26" s="1028" t="str">
        <f t="shared" si="16"/>
        <v/>
      </c>
      <c r="AG26" s="1029" t="str">
        <f t="shared" si="17"/>
        <v/>
      </c>
      <c r="AH26" s="1028" t="str">
        <f t="shared" si="18"/>
        <v/>
      </c>
      <c r="AI26" s="1029" t="str">
        <f t="shared" si="19"/>
        <v/>
      </c>
      <c r="AJ26" s="1029">
        <f t="shared" si="20"/>
        <v>0</v>
      </c>
      <c r="AK26" s="1043" t="str" cm="1">
        <f t="array" ref="AK26">IF(AE26&lt;&gt;"A","",IFERROR((IFERROR(_xlfn.XLOOKUP(TRIM(SUBSTITUTE(U26,CHAR(160)," ")),$BI$15:$BI$62,$BL$15:$BL$62),IFERROR(_xlfn.XLOOKUP(TRIM(SUBSTITUTE(U26,CHAR(160)," ")),$BJ$15:$BJ$62,$BL$15:$BL$62),_xlfn.XLOOKUP(TRIM(SUBSTITUTE(U26,CHAR(160)," ")),$BK$15:$BK$62,$BL$15:$BL$62))))*T26*IF(ISBLANK(Q26),1,Q26)+IFERROR(_xlfn.XLOOKUP("RECHERCHEX",TRIM(L26:AC26),L26:AC26),0),0))</f>
        <v/>
      </c>
      <c r="AL26" s="1030">
        <f t="shared" si="21"/>
        <v>0</v>
      </c>
      <c r="AM26" s="5254" t="str">
        <f t="shared" si="22"/>
        <v/>
      </c>
      <c r="AN26" s="1031">
        <f t="shared" si="23"/>
        <v>0</v>
      </c>
      <c r="AO26" s="1031">
        <f t="shared" si="24"/>
        <v>0</v>
      </c>
      <c r="AP26" s="1032">
        <f t="shared" si="25"/>
        <v>0</v>
      </c>
      <c r="AQ26" s="5255" t="str">
        <f t="shared" si="26"/>
        <v/>
      </c>
      <c r="AR26" s="1033"/>
      <c r="AS26" s="1033"/>
      <c r="AT26" s="1034">
        <f t="shared" si="27"/>
        <v>0</v>
      </c>
      <c r="AU26" s="1035">
        <f t="shared" si="28"/>
        <v>0</v>
      </c>
      <c r="AV26" s="1057" cm="1">
        <f t="array" ref="AV26">IF(AJ26&lt;&gt;1,0,IF(OR(AT26="",N(AT26)&lt;=0.000000001),"",IF(OR(AN26="",N(AN26)&lt;=0.000000001),0,IF(ISNUMBER(AT26),IFERROR(_xlfn.LET(_xlpm.ai_test,TRIM(AI26),_xlpm.r,IFERROR(_xlfn.XLOOKUP(_xlpm.ai_test,$BI$15:$BI$62,ROW($BI$15:$BI$62),0,1),IFERROR(_xlfn.XLOOKUP(_xlpm.ai_test,$BJ$15:$BJ$62,ROW($BJ$15:$BJ$62),0,1),_xlfn.XLOOKUP(_xlpm.ai_test,$BK$15:$BK$62,ROW($BK$15:$BK$62),0,1))),_xlpm.p,_xlpm.r-MIN(ROW($BI$15:$BI$62))+1,_xlpm.f,INDEX($BL$15:$BL$62,_xlpm.p),_xlpm.u,INDEX($BM$15:$BM$62,_xlpm.p),_xlpm.s,INDEX($BO$15:$BO$62,_xlpm.p),_xlpm.q,N(AT26)/_xlpm.f,IF(_xlpm.q&gt;=_xlpm.s,ROUND(_xlpm.q,1)&amp;" "&amp;_xlpm.ai_test&amp;" = "&amp;ROUND(_xlpm.q*_xlpm.f,1)&amp;" "&amp;_xlpm.u,ROUND(_xlpm.q,1)&amp;" "&amp;_xlpm.ai_test)),""),""))))</f>
        <v>0</v>
      </c>
      <c r="AW26" s="1047"/>
      <c r="AX26" s="1034">
        <f t="shared" si="29"/>
        <v>0</v>
      </c>
      <c r="AY26" s="1035" t="str">
        <f t="shared" si="30"/>
        <v/>
      </c>
      <c r="AZ26" s="1036">
        <f t="shared" si="36"/>
        <v>0</v>
      </c>
      <c r="BA26" s="1037" t="str">
        <f t="shared" si="31"/>
        <v/>
      </c>
      <c r="BB26" s="1038"/>
      <c r="BC26" s="1039">
        <f>IF(OR(AN26=0,ISBLANK(BB26),ISTEXT(AZ26)),0,(IF(AT26=0,AZ26,AT26)*BB26))</f>
        <v>0</v>
      </c>
      <c r="BD26" s="1040" t="str">
        <f t="shared" si="33"/>
        <v/>
      </c>
      <c r="BE26" s="227" t="s">
        <v>22</v>
      </c>
      <c r="BF26" s="1019">
        <f t="shared" si="34"/>
        <v>0</v>
      </c>
      <c r="BG26" s="1020">
        <f t="shared" si="35"/>
        <v>0</v>
      </c>
      <c r="BH26" s="852"/>
      <c r="BI26" s="5258" t="s">
        <v>148</v>
      </c>
      <c r="BJ26" s="5258" t="s">
        <v>148</v>
      </c>
      <c r="BK26" s="5258" t="s">
        <v>148</v>
      </c>
      <c r="BL26" s="1013">
        <v>1E-3</v>
      </c>
      <c r="BM26" s="1051" t="s">
        <v>1814</v>
      </c>
      <c r="BN26" s="1051" t="s">
        <v>1815</v>
      </c>
      <c r="BO26" s="1003">
        <f t="shared" ref="BO26:BO62" si="37">ROUND(1/BL26,0)</f>
        <v>1000</v>
      </c>
      <c r="BP26" s="1052">
        <v>1</v>
      </c>
      <c r="BQ26" s="852"/>
      <c r="BS26" s="852"/>
      <c r="BT26" s="852"/>
      <c r="BU26" s="852"/>
      <c r="BV26" s="852"/>
      <c r="BW26" s="959" t="str">
        <f t="shared" si="10"/>
        <v>►</v>
      </c>
      <c r="BX26" s="861"/>
      <c r="BY26" s="861"/>
      <c r="BZ26" s="861"/>
      <c r="CA26" s="861"/>
      <c r="CB26" s="861"/>
      <c r="CC26" s="957"/>
      <c r="CD26" s="5560" t="s">
        <v>13475</v>
      </c>
      <c r="CE26" s="5561"/>
      <c r="CF26" s="5561"/>
      <c r="CG26" s="5561"/>
      <c r="CH26" s="5561"/>
      <c r="CI26" s="5561"/>
      <c r="CJ26" s="5562"/>
      <c r="CL26" s="5560" t="s">
        <v>13476</v>
      </c>
      <c r="CM26" s="5561"/>
      <c r="CN26" s="5561"/>
      <c r="CO26" s="5561"/>
      <c r="CP26" s="5561"/>
      <c r="CQ26" s="5561"/>
      <c r="CR26" s="5562"/>
      <c r="CT26" s="5560" t="s">
        <v>13477</v>
      </c>
      <c r="CU26" s="5561"/>
      <c r="CV26" s="5561"/>
      <c r="CW26" s="5561"/>
      <c r="CX26" s="5561"/>
      <c r="CY26" s="5561"/>
      <c r="CZ26" s="5562"/>
      <c r="DB26" s="3">
        <v>1</v>
      </c>
    </row>
    <row r="27" spans="1:106" s="709" customFormat="1" ht="21" customHeight="1">
      <c r="A27" s="936" t="s">
        <v>22</v>
      </c>
      <c r="B27" s="952" t="str">
        <f t="shared" si="9"/>
        <v>►</v>
      </c>
      <c r="C27" s="993" cm="1">
        <f t="array" ref="C27">SUMPRODUCT(LEN(D27:J27))</f>
        <v>0</v>
      </c>
      <c r="D27" s="167"/>
      <c r="E27" s="172"/>
      <c r="F27" s="172"/>
      <c r="G27" s="172"/>
      <c r="H27" s="172"/>
      <c r="I27" s="172"/>
      <c r="J27" s="173"/>
      <c r="K27" s="442" t="s">
        <v>22</v>
      </c>
      <c r="L27" s="104" t="s">
        <v>16</v>
      </c>
      <c r="M27" s="1172"/>
      <c r="N27" s="1172"/>
      <c r="O27" s="1172"/>
      <c r="P27" s="1173"/>
      <c r="Q27" s="1174"/>
      <c r="R27" s="1175"/>
      <c r="S27" s="1176"/>
      <c r="T27" s="1177"/>
      <c r="U27" s="5248"/>
      <c r="V27" s="1177"/>
      <c r="W27" s="5249"/>
      <c r="X27" s="5208"/>
      <c r="Y27" s="5209"/>
      <c r="Z27" s="5210"/>
      <c r="AA27" s="5211"/>
      <c r="AB27" s="1178"/>
      <c r="AC27" s="1179"/>
      <c r="AD27" s="227" t="s">
        <v>22</v>
      </c>
      <c r="AE27" s="1027" t="str">
        <f t="shared" si="15"/>
        <v>►</v>
      </c>
      <c r="AF27" s="1028" t="str">
        <f t="shared" si="16"/>
        <v/>
      </c>
      <c r="AG27" s="1029" t="str">
        <f t="shared" si="17"/>
        <v/>
      </c>
      <c r="AH27" s="1028" t="str">
        <f t="shared" si="18"/>
        <v/>
      </c>
      <c r="AI27" s="1029" t="str">
        <f t="shared" si="19"/>
        <v/>
      </c>
      <c r="AJ27" s="1029">
        <f t="shared" si="20"/>
        <v>0</v>
      </c>
      <c r="AK27" s="1043" t="str" cm="1">
        <f t="array" ref="AK27">IF(AE27&lt;&gt;"A","",IFERROR((IFERROR(_xlfn.XLOOKUP(TRIM(SUBSTITUTE(U27,CHAR(160)," ")),$BI$15:$BI$62,$BL$15:$BL$62),IFERROR(_xlfn.XLOOKUP(TRIM(SUBSTITUTE(U27,CHAR(160)," ")),$BJ$15:$BJ$62,$BL$15:$BL$62),_xlfn.XLOOKUP(TRIM(SUBSTITUTE(U27,CHAR(160)," ")),$BK$15:$BK$62,$BL$15:$BL$62))))*T27*IF(ISBLANK(Q27),1,Q27)+IFERROR(_xlfn.XLOOKUP("RECHERCHEX",TRIM(L27:AC27),L27:AC27),0),0))</f>
        <v/>
      </c>
      <c r="AL27" s="1030">
        <f t="shared" si="21"/>
        <v>0</v>
      </c>
      <c r="AM27" s="5254" t="str">
        <f t="shared" si="22"/>
        <v/>
      </c>
      <c r="AN27" s="1031">
        <f t="shared" si="23"/>
        <v>0</v>
      </c>
      <c r="AO27" s="1031">
        <f t="shared" si="24"/>
        <v>0</v>
      </c>
      <c r="AP27" s="1044">
        <f t="shared" si="25"/>
        <v>0</v>
      </c>
      <c r="AQ27" s="5257" t="str">
        <f t="shared" si="26"/>
        <v/>
      </c>
      <c r="AR27" s="1033"/>
      <c r="AS27" s="1033"/>
      <c r="AT27" s="1045">
        <f t="shared" si="27"/>
        <v>0</v>
      </c>
      <c r="AU27" s="1046">
        <f t="shared" si="28"/>
        <v>0</v>
      </c>
      <c r="AV27" s="1059" cm="1">
        <f t="array" ref="AV27">IF(AJ27&lt;&gt;1,0,IF(OR(AT27="",N(AT27)&lt;=0.000000001),"",IF(OR(AN27="",N(AN27)&lt;=0.000000001),0,IF(ISNUMBER(AT27),IFERROR(_xlfn.LET(_xlpm.ai_test,TRIM(AI27),_xlpm.r,IFERROR(_xlfn.XLOOKUP(_xlpm.ai_test,$BI$15:$BI$62,ROW($BI$15:$BI$62),0,1),IFERROR(_xlfn.XLOOKUP(_xlpm.ai_test,$BJ$15:$BJ$62,ROW($BJ$15:$BJ$62),0,1),_xlfn.XLOOKUP(_xlpm.ai_test,$BK$15:$BK$62,ROW($BK$15:$BK$62),0,1))),_xlpm.p,_xlpm.r-MIN(ROW($BI$15:$BI$62))+1,_xlpm.f,INDEX($BL$15:$BL$62,_xlpm.p),_xlpm.u,INDEX($BM$15:$BM$62,_xlpm.p),_xlpm.s,INDEX($BO$15:$BO$62,_xlpm.p),_xlpm.q,N(AT27)/_xlpm.f,IF(_xlpm.q&gt;=_xlpm.s,ROUND(_xlpm.q,1)&amp;" "&amp;_xlpm.ai_test&amp;" = "&amp;ROUND(_xlpm.q*_xlpm.f,1)&amp;" "&amp;_xlpm.u,ROUND(_xlpm.q,1)&amp;" "&amp;_xlpm.ai_test)),""),""))))</f>
        <v>0</v>
      </c>
      <c r="AW27" s="1047"/>
      <c r="AX27" s="1045">
        <f t="shared" si="29"/>
        <v>0</v>
      </c>
      <c r="AY27" s="1046" t="str">
        <f t="shared" si="30"/>
        <v/>
      </c>
      <c r="AZ27" s="1048">
        <f t="shared" si="36"/>
        <v>0</v>
      </c>
      <c r="BA27" s="1049" t="str">
        <f t="shared" si="31"/>
        <v/>
      </c>
      <c r="BB27" s="1038"/>
      <c r="BC27" s="1050">
        <f t="shared" ref="BC27:BC90" si="38">IF(OR(AN27=0,ISBLANK(BB27),ISTEXT(AZ27)),0,(IF(AT27=0,AZ27,AT27)*BB27))</f>
        <v>0</v>
      </c>
      <c r="BD27" s="1040" t="str">
        <f t="shared" si="33"/>
        <v/>
      </c>
      <c r="BE27" s="227" t="s">
        <v>22</v>
      </c>
      <c r="BF27" s="1019">
        <f t="shared" si="34"/>
        <v>0</v>
      </c>
      <c r="BG27" s="1020">
        <f t="shared" si="35"/>
        <v>0</v>
      </c>
      <c r="BH27" s="852"/>
      <c r="BI27" s="5194" t="s">
        <v>364</v>
      </c>
      <c r="BJ27" s="5194" t="s">
        <v>1378</v>
      </c>
      <c r="BK27" s="5194" t="s">
        <v>1379</v>
      </c>
      <c r="BL27" s="1013">
        <f t="shared" ref="BL27:BL62" si="39">BP27 / 1000</f>
        <v>0.25</v>
      </c>
      <c r="BM27" s="1051" t="s">
        <v>1814</v>
      </c>
      <c r="BN27" s="1051" t="s">
        <v>1815</v>
      </c>
      <c r="BO27" s="1003">
        <f t="shared" si="37"/>
        <v>4</v>
      </c>
      <c r="BP27" s="1052">
        <v>250</v>
      </c>
      <c r="BQ27" s="852"/>
      <c r="BS27" s="852"/>
      <c r="BT27" s="852"/>
      <c r="BU27" s="852"/>
      <c r="BV27" s="852"/>
      <c r="BW27" s="959" t="str">
        <f t="shared" si="10"/>
        <v>►</v>
      </c>
      <c r="BX27" s="861"/>
      <c r="BY27" s="861"/>
      <c r="BZ27" s="861"/>
      <c r="CA27" s="861"/>
      <c r="CB27" s="861"/>
      <c r="CC27" s="957"/>
      <c r="CD27" s="5560"/>
      <c r="CE27" s="5561"/>
      <c r="CF27" s="5561"/>
      <c r="CG27" s="5561"/>
      <c r="CH27" s="5561"/>
      <c r="CI27" s="5561"/>
      <c r="CJ27" s="5562"/>
      <c r="CL27" s="5560"/>
      <c r="CM27" s="5561"/>
      <c r="CN27" s="5561"/>
      <c r="CO27" s="5561"/>
      <c r="CP27" s="5561"/>
      <c r="CQ27" s="5561"/>
      <c r="CR27" s="5562"/>
      <c r="CT27" s="5560"/>
      <c r="CU27" s="5561"/>
      <c r="CV27" s="5561"/>
      <c r="CW27" s="5561"/>
      <c r="CX27" s="5561"/>
      <c r="CY27" s="5561"/>
      <c r="CZ27" s="5562"/>
      <c r="DB27" s="3">
        <v>1</v>
      </c>
    </row>
    <row r="28" spans="1:106" s="709" customFormat="1" ht="21" customHeight="1">
      <c r="A28" s="936" t="s">
        <v>22</v>
      </c>
      <c r="B28" s="952" t="str">
        <f t="shared" si="9"/>
        <v>►</v>
      </c>
      <c r="C28" s="993" cm="1">
        <f t="array" ref="C28">SUMPRODUCT(LEN(D28:J28))</f>
        <v>0</v>
      </c>
      <c r="D28" s="167"/>
      <c r="E28" s="172"/>
      <c r="F28" s="172"/>
      <c r="G28" s="172"/>
      <c r="H28" s="172"/>
      <c r="I28" s="172"/>
      <c r="J28" s="173"/>
      <c r="K28" s="442" t="s">
        <v>22</v>
      </c>
      <c r="L28" s="104" t="s">
        <v>16</v>
      </c>
      <c r="M28" s="1172"/>
      <c r="N28" s="1172"/>
      <c r="O28" s="1172"/>
      <c r="P28" s="1173"/>
      <c r="Q28" s="1174"/>
      <c r="R28" s="1175"/>
      <c r="S28" s="1176"/>
      <c r="T28" s="1177"/>
      <c r="U28" s="5248"/>
      <c r="V28" s="1177"/>
      <c r="W28" s="5249"/>
      <c r="X28" s="5208"/>
      <c r="Y28" s="5209"/>
      <c r="Z28" s="5210"/>
      <c r="AA28" s="5211"/>
      <c r="AB28" s="1178"/>
      <c r="AC28" s="1179"/>
      <c r="AD28" s="227" t="s">
        <v>22</v>
      </c>
      <c r="AE28" s="1027" t="str">
        <f t="shared" si="15"/>
        <v>►</v>
      </c>
      <c r="AF28" s="1028" t="str">
        <f t="shared" si="16"/>
        <v/>
      </c>
      <c r="AG28" s="1029" t="str">
        <f t="shared" si="17"/>
        <v/>
      </c>
      <c r="AH28" s="1028" t="str">
        <f t="shared" si="18"/>
        <v/>
      </c>
      <c r="AI28" s="1029" t="str">
        <f t="shared" si="19"/>
        <v/>
      </c>
      <c r="AJ28" s="1029">
        <f t="shared" si="20"/>
        <v>0</v>
      </c>
      <c r="AK28" s="1043" t="str" cm="1">
        <f t="array" ref="AK28">IF(AE28&lt;&gt;"A","",IFERROR((IFERROR(_xlfn.XLOOKUP(TRIM(SUBSTITUTE(U28,CHAR(160)," ")),$BI$15:$BI$62,$BL$15:$BL$62),IFERROR(_xlfn.XLOOKUP(TRIM(SUBSTITUTE(U28,CHAR(160)," ")),$BJ$15:$BJ$62,$BL$15:$BL$62),_xlfn.XLOOKUP(TRIM(SUBSTITUTE(U28,CHAR(160)," ")),$BK$15:$BK$62,$BL$15:$BL$62))))*T28*IF(ISBLANK(Q28),1,Q28)+IFERROR(_xlfn.XLOOKUP("RECHERCHEX",TRIM(L28:AC28),L28:AC28),0),0))</f>
        <v/>
      </c>
      <c r="AL28" s="1030">
        <f t="shared" si="21"/>
        <v>0</v>
      </c>
      <c r="AM28" s="5254" t="str">
        <f t="shared" si="22"/>
        <v/>
      </c>
      <c r="AN28" s="1031">
        <f t="shared" si="23"/>
        <v>0</v>
      </c>
      <c r="AO28" s="1031">
        <f t="shared" si="24"/>
        <v>0</v>
      </c>
      <c r="AP28" s="1032">
        <f t="shared" si="25"/>
        <v>0</v>
      </c>
      <c r="AQ28" s="5255" t="str">
        <f t="shared" si="26"/>
        <v/>
      </c>
      <c r="AR28" s="1033"/>
      <c r="AS28" s="1033"/>
      <c r="AT28" s="1034">
        <f t="shared" si="27"/>
        <v>0</v>
      </c>
      <c r="AU28" s="1035">
        <f t="shared" si="28"/>
        <v>0</v>
      </c>
      <c r="AV28" s="1057" cm="1">
        <f t="array" ref="AV28">IF(AJ28&lt;&gt;1,0,IF(OR(AT28="",N(AT28)&lt;=0.000000001),"",IF(OR(AN28="",N(AN28)&lt;=0.000000001),0,IF(ISNUMBER(AT28),IFERROR(_xlfn.LET(_xlpm.ai_test,TRIM(AI28),_xlpm.r,IFERROR(_xlfn.XLOOKUP(_xlpm.ai_test,$BI$15:$BI$62,ROW($BI$15:$BI$62),0,1),IFERROR(_xlfn.XLOOKUP(_xlpm.ai_test,$BJ$15:$BJ$62,ROW($BJ$15:$BJ$62),0,1),_xlfn.XLOOKUP(_xlpm.ai_test,$BK$15:$BK$62,ROW($BK$15:$BK$62),0,1))),_xlpm.p,_xlpm.r-MIN(ROW($BI$15:$BI$62))+1,_xlpm.f,INDEX($BL$15:$BL$62,_xlpm.p),_xlpm.u,INDEX($BM$15:$BM$62,_xlpm.p),_xlpm.s,INDEX($BO$15:$BO$62,_xlpm.p),_xlpm.q,N(AT28)/_xlpm.f,IF(_xlpm.q&gt;=_xlpm.s,ROUND(_xlpm.q,1)&amp;" "&amp;_xlpm.ai_test&amp;" = "&amp;ROUND(_xlpm.q*_xlpm.f,1)&amp;" "&amp;_xlpm.u,ROUND(_xlpm.q,1)&amp;" "&amp;_xlpm.ai_test)),""),""))))</f>
        <v>0</v>
      </c>
      <c r="AW28" s="1047"/>
      <c r="AX28" s="1034">
        <f t="shared" si="29"/>
        <v>0</v>
      </c>
      <c r="AY28" s="1035" t="str">
        <f t="shared" si="30"/>
        <v/>
      </c>
      <c r="AZ28" s="1036">
        <f t="shared" si="36"/>
        <v>0</v>
      </c>
      <c r="BA28" s="1037" t="str">
        <f t="shared" si="31"/>
        <v/>
      </c>
      <c r="BB28" s="1038"/>
      <c r="BC28" s="1039">
        <f t="shared" si="38"/>
        <v>0</v>
      </c>
      <c r="BD28" s="1040" t="str">
        <f t="shared" si="33"/>
        <v/>
      </c>
      <c r="BE28" s="227" t="s">
        <v>22</v>
      </c>
      <c r="BF28" s="1019">
        <f t="shared" si="34"/>
        <v>0</v>
      </c>
      <c r="BG28" s="1020">
        <f t="shared" si="35"/>
        <v>0</v>
      </c>
      <c r="BH28" s="852"/>
      <c r="BI28" s="5194" t="s">
        <v>102</v>
      </c>
      <c r="BJ28" s="5194" t="s">
        <v>1360</v>
      </c>
      <c r="BK28" s="5194" t="s">
        <v>1341</v>
      </c>
      <c r="BL28" s="1013">
        <f t="shared" si="39"/>
        <v>0.5</v>
      </c>
      <c r="BM28" s="1051" t="s">
        <v>1814</v>
      </c>
      <c r="BN28" s="1051" t="s">
        <v>1815</v>
      </c>
      <c r="BO28" s="1003">
        <f t="shared" si="37"/>
        <v>2</v>
      </c>
      <c r="BP28" s="1052">
        <v>500</v>
      </c>
      <c r="BQ28" s="852"/>
      <c r="BR28" s="852"/>
      <c r="BS28" s="852"/>
      <c r="BT28" s="852"/>
      <c r="BU28" s="852"/>
      <c r="BV28" s="852"/>
      <c r="BW28" s="959" t="str">
        <f t="shared" si="10"/>
        <v>►</v>
      </c>
      <c r="BX28" s="1007"/>
      <c r="BY28" s="857"/>
      <c r="BZ28" s="857"/>
      <c r="CA28" s="858"/>
      <c r="CB28" s="858"/>
      <c r="CC28" s="957"/>
      <c r="CD28" s="5560"/>
      <c r="CE28" s="5561"/>
      <c r="CF28" s="5561"/>
      <c r="CG28" s="5561"/>
      <c r="CH28" s="5561"/>
      <c r="CI28" s="5561"/>
      <c r="CJ28" s="5562"/>
      <c r="CL28" s="5560"/>
      <c r="CM28" s="5561"/>
      <c r="CN28" s="5561"/>
      <c r="CO28" s="5561"/>
      <c r="CP28" s="5561"/>
      <c r="CQ28" s="5561"/>
      <c r="CR28" s="5562"/>
      <c r="CT28" s="5560"/>
      <c r="CU28" s="5561"/>
      <c r="CV28" s="5561"/>
      <c r="CW28" s="5561"/>
      <c r="CX28" s="5561"/>
      <c r="CY28" s="5561"/>
      <c r="CZ28" s="5562"/>
      <c r="DB28" s="3">
        <v>1</v>
      </c>
    </row>
    <row r="29" spans="1:106" s="709" customFormat="1" ht="21" customHeight="1">
      <c r="A29" s="936" t="s">
        <v>22</v>
      </c>
      <c r="B29" s="952" t="str">
        <f t="shared" si="9"/>
        <v>►</v>
      </c>
      <c r="C29" s="993" cm="1">
        <f t="array" ref="C29">SUMPRODUCT(LEN(D29:J29))</f>
        <v>0</v>
      </c>
      <c r="D29" s="167"/>
      <c r="E29" s="172"/>
      <c r="F29" s="172"/>
      <c r="G29" s="172"/>
      <c r="H29" s="172"/>
      <c r="I29" s="172"/>
      <c r="J29" s="173"/>
      <c r="K29" s="442" t="s">
        <v>22</v>
      </c>
      <c r="L29" s="104" t="s">
        <v>16</v>
      </c>
      <c r="M29" s="1172"/>
      <c r="N29" s="1172"/>
      <c r="O29" s="1172"/>
      <c r="P29" s="1173"/>
      <c r="Q29" s="1174"/>
      <c r="R29" s="1175"/>
      <c r="S29" s="1176"/>
      <c r="T29" s="1177"/>
      <c r="U29" s="5248"/>
      <c r="V29" s="1177"/>
      <c r="W29" s="5249"/>
      <c r="X29" s="5208"/>
      <c r="Y29" s="5209"/>
      <c r="Z29" s="5210"/>
      <c r="AA29" s="5211"/>
      <c r="AB29" s="1178"/>
      <c r="AC29" s="1179"/>
      <c r="AD29" s="227" t="s">
        <v>22</v>
      </c>
      <c r="AE29" s="1027" t="str">
        <f t="shared" si="15"/>
        <v>►</v>
      </c>
      <c r="AF29" s="1028" t="str">
        <f t="shared" si="16"/>
        <v/>
      </c>
      <c r="AG29" s="1029" t="str">
        <f t="shared" si="17"/>
        <v/>
      </c>
      <c r="AH29" s="1028" t="str">
        <f t="shared" si="18"/>
        <v/>
      </c>
      <c r="AI29" s="1029" t="str">
        <f t="shared" si="19"/>
        <v/>
      </c>
      <c r="AJ29" s="1029">
        <f t="shared" si="20"/>
        <v>0</v>
      </c>
      <c r="AK29" s="1043" t="str" cm="1">
        <f t="array" ref="AK29">IF(AE29&lt;&gt;"A","",IFERROR((IFERROR(_xlfn.XLOOKUP(TRIM(SUBSTITUTE(U29,CHAR(160)," ")),$BI$15:$BI$62,$BL$15:$BL$62),IFERROR(_xlfn.XLOOKUP(TRIM(SUBSTITUTE(U29,CHAR(160)," ")),$BJ$15:$BJ$62,$BL$15:$BL$62),_xlfn.XLOOKUP(TRIM(SUBSTITUTE(U29,CHAR(160)," ")),$BK$15:$BK$62,$BL$15:$BL$62))))*T29*IF(ISBLANK(Q29),1,Q29)+IFERROR(_xlfn.XLOOKUP("RECHERCHEX",TRIM(L29:AC29),L29:AC29),0),0))</f>
        <v/>
      </c>
      <c r="AL29" s="1030">
        <f t="shared" si="21"/>
        <v>0</v>
      </c>
      <c r="AM29" s="5254" t="str">
        <f>IF(AE29="A","❾ Author reference &gt;","")</f>
        <v/>
      </c>
      <c r="AN29" s="1031">
        <f t="shared" si="23"/>
        <v>0</v>
      </c>
      <c r="AO29" s="1031">
        <f t="shared" si="24"/>
        <v>0</v>
      </c>
      <c r="AP29" s="1044">
        <f t="shared" si="25"/>
        <v>0</v>
      </c>
      <c r="AQ29" s="5257" t="str">
        <f t="shared" si="26"/>
        <v/>
      </c>
      <c r="AR29" s="1033"/>
      <c r="AS29" s="1033"/>
      <c r="AT29" s="1045">
        <f t="shared" si="27"/>
        <v>0</v>
      </c>
      <c r="AU29" s="1046">
        <f t="shared" si="28"/>
        <v>0</v>
      </c>
      <c r="AV29" s="1059" cm="1">
        <f t="array" ref="AV29">IF(AJ29&lt;&gt;1,0,IF(OR(AT29="",N(AT29)&lt;=0.000000001),"",IF(OR(AN29="",N(AN29)&lt;=0.000000001),0,IF(ISNUMBER(AT29),IFERROR(_xlfn.LET(_xlpm.ai_test,TRIM(AI29),_xlpm.r,IFERROR(_xlfn.XLOOKUP(_xlpm.ai_test,$BI$15:$BI$62,ROW($BI$15:$BI$62),0,1),IFERROR(_xlfn.XLOOKUP(_xlpm.ai_test,$BJ$15:$BJ$62,ROW($BJ$15:$BJ$62),0,1),_xlfn.XLOOKUP(_xlpm.ai_test,$BK$15:$BK$62,ROW($BK$15:$BK$62),0,1))),_xlpm.p,_xlpm.r-MIN(ROW($BI$15:$BI$62))+1,_xlpm.f,INDEX($BL$15:$BL$62,_xlpm.p),_xlpm.u,INDEX($BM$15:$BM$62,_xlpm.p),_xlpm.s,INDEX($BO$15:$BO$62,_xlpm.p),_xlpm.q,N(AT29)/_xlpm.f,IF(_xlpm.q&gt;=_xlpm.s,ROUND(_xlpm.q,1)&amp;" "&amp;_xlpm.ai_test&amp;" = "&amp;ROUND(_xlpm.q*_xlpm.f,1)&amp;" "&amp;_xlpm.u,ROUND(_xlpm.q,1)&amp;" "&amp;_xlpm.ai_test)),""),""))))</f>
        <v>0</v>
      </c>
      <c r="AW29" s="1047"/>
      <c r="AX29" s="1045">
        <f t="shared" si="29"/>
        <v>0</v>
      </c>
      <c r="AY29" s="1046" t="str">
        <f t="shared" si="30"/>
        <v/>
      </c>
      <c r="AZ29" s="1048">
        <f t="shared" si="36"/>
        <v>0</v>
      </c>
      <c r="BA29" s="1049" t="str">
        <f t="shared" si="31"/>
        <v/>
      </c>
      <c r="BB29" s="1038"/>
      <c r="BC29" s="1050">
        <f t="shared" si="38"/>
        <v>0</v>
      </c>
      <c r="BD29" s="1040" t="str">
        <f t="shared" si="33"/>
        <v/>
      </c>
      <c r="BE29" s="227" t="s">
        <v>22</v>
      </c>
      <c r="BF29" s="1019">
        <f t="shared" si="34"/>
        <v>0</v>
      </c>
      <c r="BG29" s="1020">
        <f t="shared" si="35"/>
        <v>0</v>
      </c>
      <c r="BH29" s="852"/>
      <c r="BI29" s="5194" t="s">
        <v>163</v>
      </c>
      <c r="BJ29" s="5194" t="s">
        <v>1371</v>
      </c>
      <c r="BK29" s="5194" t="s">
        <v>1354</v>
      </c>
      <c r="BL29" s="1013">
        <f t="shared" si="39"/>
        <v>0.1</v>
      </c>
      <c r="BM29" s="1051" t="s">
        <v>1814</v>
      </c>
      <c r="BN29" s="1051" t="s">
        <v>1815</v>
      </c>
      <c r="BO29" s="1003">
        <f t="shared" si="37"/>
        <v>10</v>
      </c>
      <c r="BP29" s="1052">
        <v>100</v>
      </c>
      <c r="BQ29" s="852"/>
      <c r="BR29" s="852"/>
      <c r="BS29" s="852"/>
      <c r="BT29" s="852"/>
      <c r="BU29" s="852"/>
      <c r="BV29" s="852"/>
      <c r="BW29" s="959" t="str">
        <f t="shared" si="10"/>
        <v>►</v>
      </c>
      <c r="BX29" s="1007" t="s">
        <v>1819</v>
      </c>
      <c r="BY29" s="857"/>
      <c r="BZ29" s="857"/>
      <c r="CA29" s="858"/>
      <c r="CB29" s="858"/>
      <c r="CC29" s="957"/>
      <c r="CD29" s="1008"/>
      <c r="CE29" s="1054" t="s">
        <v>13478</v>
      </c>
      <c r="CF29" s="1000"/>
      <c r="CG29" s="1000"/>
      <c r="CH29" s="1000"/>
      <c r="CI29" s="1000"/>
      <c r="CJ29" s="1001"/>
      <c r="CL29" s="1008"/>
      <c r="CM29" s="1054" t="s">
        <v>13479</v>
      </c>
      <c r="CN29" s="1000"/>
      <c r="CO29" s="1000"/>
      <c r="CP29" s="1000"/>
      <c r="CQ29" s="1000"/>
      <c r="CR29" s="1001"/>
      <c r="CT29" s="1008"/>
      <c r="CU29" s="1054" t="s">
        <v>13480</v>
      </c>
      <c r="CV29" s="1000"/>
      <c r="CW29" s="1000"/>
      <c r="CX29" s="1000"/>
      <c r="CY29" s="1000"/>
      <c r="CZ29" s="1001"/>
      <c r="DB29" s="3">
        <v>1</v>
      </c>
    </row>
    <row r="30" spans="1:106" s="709" customFormat="1" ht="21" customHeight="1">
      <c r="A30" s="936" t="s">
        <v>22</v>
      </c>
      <c r="B30" s="952" t="str">
        <f t="shared" si="9"/>
        <v>►</v>
      </c>
      <c r="C30" s="993" cm="1">
        <f t="array" ref="C30">SUMPRODUCT(LEN(D30:J30))</f>
        <v>0</v>
      </c>
      <c r="D30" s="167"/>
      <c r="E30" s="172"/>
      <c r="F30" s="172"/>
      <c r="G30" s="172"/>
      <c r="H30" s="172"/>
      <c r="I30" s="172"/>
      <c r="J30" s="173"/>
      <c r="K30" s="442" t="s">
        <v>22</v>
      </c>
      <c r="L30" s="104" t="s">
        <v>16</v>
      </c>
      <c r="M30" s="1172"/>
      <c r="N30" s="1172"/>
      <c r="O30" s="1172"/>
      <c r="P30" s="1173"/>
      <c r="Q30" s="1174"/>
      <c r="R30" s="1175"/>
      <c r="S30" s="1176"/>
      <c r="T30" s="1177"/>
      <c r="U30" s="5248"/>
      <c r="V30" s="1177"/>
      <c r="W30" s="5249"/>
      <c r="X30" s="5208"/>
      <c r="Y30" s="5209"/>
      <c r="Z30" s="5210"/>
      <c r="AA30" s="5211"/>
      <c r="AB30" s="1178"/>
      <c r="AC30" s="1179"/>
      <c r="AD30" s="227" t="s">
        <v>22</v>
      </c>
      <c r="AE30" s="1027" t="str">
        <f t="shared" si="15"/>
        <v>►</v>
      </c>
      <c r="AF30" s="1028" t="str">
        <f t="shared" si="16"/>
        <v/>
      </c>
      <c r="AG30" s="1029" t="str">
        <f t="shared" si="17"/>
        <v/>
      </c>
      <c r="AH30" s="1028" t="str">
        <f t="shared" si="18"/>
        <v/>
      </c>
      <c r="AI30" s="1029" t="str">
        <f t="shared" si="19"/>
        <v/>
      </c>
      <c r="AJ30" s="1029">
        <f t="shared" si="20"/>
        <v>0</v>
      </c>
      <c r="AK30" s="1043" t="str" cm="1">
        <f t="array" ref="AK30">IF(AE30&lt;&gt;"A","",IFERROR((IFERROR(_xlfn.XLOOKUP(TRIM(SUBSTITUTE(U30,CHAR(160)," ")),$BI$15:$BI$62,$BL$15:$BL$62),IFERROR(_xlfn.XLOOKUP(TRIM(SUBSTITUTE(U30,CHAR(160)," ")),$BJ$15:$BJ$62,$BL$15:$BL$62),_xlfn.XLOOKUP(TRIM(SUBSTITUTE(U30,CHAR(160)," ")),$BK$15:$BK$62,$BL$15:$BL$62))))*T30*IF(ISBLANK(Q30),1,Q30)+IFERROR(_xlfn.XLOOKUP("RECHERCHEX",TRIM(L30:AC30),L30:AC30),0),0))</f>
        <v/>
      </c>
      <c r="AL30" s="1030">
        <f t="shared" si="21"/>
        <v>0</v>
      </c>
      <c r="AM30" s="5254" t="str">
        <f t="shared" ref="AM30:AM93" si="40">IF(AE30="A","❾ Author reference &gt;","")</f>
        <v/>
      </c>
      <c r="AN30" s="1031">
        <f t="shared" si="23"/>
        <v>0</v>
      </c>
      <c r="AO30" s="1031">
        <f t="shared" si="24"/>
        <v>0</v>
      </c>
      <c r="AP30" s="1032">
        <f t="shared" si="25"/>
        <v>0</v>
      </c>
      <c r="AQ30" s="5255" t="str">
        <f t="shared" si="26"/>
        <v/>
      </c>
      <c r="AR30" s="1056"/>
      <c r="AS30" s="1056"/>
      <c r="AT30" s="1034">
        <f t="shared" si="27"/>
        <v>0</v>
      </c>
      <c r="AU30" s="1035">
        <f t="shared" si="28"/>
        <v>0</v>
      </c>
      <c r="AV30" s="1057" cm="1">
        <f t="array" ref="AV30">IF(AJ30&lt;&gt;1,0,IF(OR(AT30="",N(AT30)&lt;=0.000000001),"",IF(OR(AN30="",N(AN30)&lt;=0.000000001),0,IF(ISNUMBER(AT30),IFERROR(_xlfn.LET(_xlpm.ai_test,TRIM(AI30),_xlpm.r,IFERROR(_xlfn.XLOOKUP(_xlpm.ai_test,$BI$15:$BI$62,ROW($BI$15:$BI$62),0,1),IFERROR(_xlfn.XLOOKUP(_xlpm.ai_test,$BJ$15:$BJ$62,ROW($BJ$15:$BJ$62),0,1),_xlfn.XLOOKUP(_xlpm.ai_test,$BK$15:$BK$62,ROW($BK$15:$BK$62),0,1))),_xlpm.p,_xlpm.r-MIN(ROW($BI$15:$BI$62))+1,_xlpm.f,INDEX($BL$15:$BL$62,_xlpm.p),_xlpm.u,INDEX($BM$15:$BM$62,_xlpm.p),_xlpm.s,INDEX($BO$15:$BO$62,_xlpm.p),_xlpm.q,N(AT30)/_xlpm.f,IF(_xlpm.q&gt;=_xlpm.s,ROUND(_xlpm.q,1)&amp;" "&amp;_xlpm.ai_test&amp;" = "&amp;ROUND(_xlpm.q*_xlpm.f,1)&amp;" "&amp;_xlpm.u,ROUND(_xlpm.q,1)&amp;" "&amp;_xlpm.ai_test)),""),""))))</f>
        <v>0</v>
      </c>
      <c r="AW30" s="1047"/>
      <c r="AX30" s="1034">
        <f t="shared" si="29"/>
        <v>0</v>
      </c>
      <c r="AY30" s="1035" t="str">
        <f t="shared" si="30"/>
        <v/>
      </c>
      <c r="AZ30" s="1036">
        <f t="shared" si="36"/>
        <v>0</v>
      </c>
      <c r="BA30" s="1037" t="str">
        <f t="shared" si="31"/>
        <v/>
      </c>
      <c r="BB30" s="1038"/>
      <c r="BC30" s="1039">
        <f t="shared" si="38"/>
        <v>0</v>
      </c>
      <c r="BD30" s="1040" t="str">
        <f t="shared" si="33"/>
        <v/>
      </c>
      <c r="BE30" s="227" t="s">
        <v>22</v>
      </c>
      <c r="BF30" s="1019">
        <f t="shared" si="34"/>
        <v>0</v>
      </c>
      <c r="BG30" s="1020">
        <f t="shared" si="35"/>
        <v>0</v>
      </c>
      <c r="BH30" s="852"/>
      <c r="BI30" s="5194" t="s">
        <v>149</v>
      </c>
      <c r="BJ30" s="5194" t="s">
        <v>1361</v>
      </c>
      <c r="BK30" s="5194" t="s">
        <v>1342</v>
      </c>
      <c r="BL30" s="1013">
        <f t="shared" si="39"/>
        <v>0.33300000000000002</v>
      </c>
      <c r="BM30" s="1051" t="s">
        <v>1814</v>
      </c>
      <c r="BN30" s="1051" t="s">
        <v>1815</v>
      </c>
      <c r="BO30" s="1003">
        <f t="shared" si="37"/>
        <v>3</v>
      </c>
      <c r="BP30" s="1058">
        <v>333</v>
      </c>
      <c r="BQ30" s="852"/>
      <c r="BR30" s="852"/>
      <c r="BS30" s="852"/>
      <c r="BT30" s="852"/>
      <c r="BU30" s="852"/>
      <c r="BV30" s="852"/>
      <c r="BW30" s="959" t="str">
        <f t="shared" si="10"/>
        <v>►</v>
      </c>
      <c r="BX30" s="5559" t="s">
        <v>1820</v>
      </c>
      <c r="BY30" s="5559"/>
      <c r="BZ30" s="5559"/>
      <c r="CA30" s="5559"/>
      <c r="CB30" s="5559"/>
      <c r="CC30" s="957"/>
      <c r="CD30" s="1008"/>
      <c r="CE30" s="1054" t="s">
        <v>13481</v>
      </c>
      <c r="CF30" s="1000"/>
      <c r="CG30" s="1000"/>
      <c r="CH30" s="1000"/>
      <c r="CI30" s="1000"/>
      <c r="CJ30" s="1001"/>
      <c r="CL30" s="1008"/>
      <c r="CM30" s="1054" t="s">
        <v>1821</v>
      </c>
      <c r="CN30" s="1000"/>
      <c r="CO30" s="1000"/>
      <c r="CP30" s="1000"/>
      <c r="CQ30" s="1000"/>
      <c r="CR30" s="1001"/>
      <c r="CT30" s="1008"/>
      <c r="CU30" s="1054" t="s">
        <v>13482</v>
      </c>
      <c r="CV30" s="1000"/>
      <c r="CW30" s="1000"/>
      <c r="CX30" s="1000"/>
      <c r="CY30" s="1000"/>
      <c r="CZ30" s="1001"/>
      <c r="DB30" s="3">
        <v>1</v>
      </c>
    </row>
    <row r="31" spans="1:106" s="709" customFormat="1" ht="21" customHeight="1">
      <c r="A31" s="936" t="s">
        <v>22</v>
      </c>
      <c r="B31" s="952" t="str">
        <f t="shared" si="9"/>
        <v>►</v>
      </c>
      <c r="C31" s="993" cm="1">
        <f t="array" ref="C31">SUMPRODUCT(LEN(D31:J31))</f>
        <v>0</v>
      </c>
      <c r="D31" s="167"/>
      <c r="E31" s="172"/>
      <c r="F31" s="172"/>
      <c r="G31" s="172"/>
      <c r="H31" s="172"/>
      <c r="I31" s="172"/>
      <c r="J31" s="173"/>
      <c r="K31" s="442" t="s">
        <v>22</v>
      </c>
      <c r="L31" s="104" t="s">
        <v>16</v>
      </c>
      <c r="M31" s="1172"/>
      <c r="N31" s="1172"/>
      <c r="O31" s="1172"/>
      <c r="P31" s="1173"/>
      <c r="Q31" s="1174"/>
      <c r="R31" s="1175"/>
      <c r="S31" s="1176"/>
      <c r="T31" s="1177"/>
      <c r="U31" s="5248"/>
      <c r="V31" s="1177"/>
      <c r="W31" s="5249"/>
      <c r="X31" s="5208"/>
      <c r="Y31" s="5209"/>
      <c r="Z31" s="5210"/>
      <c r="AA31" s="5211"/>
      <c r="AB31" s="1178"/>
      <c r="AC31" s="1179"/>
      <c r="AD31" s="227" t="s">
        <v>22</v>
      </c>
      <c r="AE31" s="1027" t="str">
        <f t="shared" si="15"/>
        <v>►</v>
      </c>
      <c r="AF31" s="1028" t="str">
        <f t="shared" si="16"/>
        <v/>
      </c>
      <c r="AG31" s="1029" t="str">
        <f t="shared" si="17"/>
        <v/>
      </c>
      <c r="AH31" s="1028" t="str">
        <f t="shared" si="18"/>
        <v/>
      </c>
      <c r="AI31" s="1029" t="str">
        <f t="shared" si="19"/>
        <v/>
      </c>
      <c r="AJ31" s="1029">
        <f t="shared" si="20"/>
        <v>0</v>
      </c>
      <c r="AK31" s="1043" t="str" cm="1">
        <f t="array" ref="AK31">IF(AE31&lt;&gt;"A","",IFERROR((IFERROR(_xlfn.XLOOKUP(TRIM(SUBSTITUTE(U31,CHAR(160)," ")),$BI$15:$BI$62,$BL$15:$BL$62),IFERROR(_xlfn.XLOOKUP(TRIM(SUBSTITUTE(U31,CHAR(160)," ")),$BJ$15:$BJ$62,$BL$15:$BL$62),_xlfn.XLOOKUP(TRIM(SUBSTITUTE(U31,CHAR(160)," ")),$BK$15:$BK$62,$BL$15:$BL$62))))*T31*IF(ISBLANK(Q31),1,Q31)+IFERROR(_xlfn.XLOOKUP("RECHERCHEX",TRIM(L31:AC31),L31:AC31),0),0))</f>
        <v/>
      </c>
      <c r="AL31" s="1030">
        <f t="shared" si="21"/>
        <v>0</v>
      </c>
      <c r="AM31" s="5254" t="str">
        <f t="shared" si="40"/>
        <v/>
      </c>
      <c r="AN31" s="1031">
        <f t="shared" si="23"/>
        <v>0</v>
      </c>
      <c r="AO31" s="1031">
        <f t="shared" si="24"/>
        <v>0</v>
      </c>
      <c r="AP31" s="1044">
        <f t="shared" si="25"/>
        <v>0</v>
      </c>
      <c r="AQ31" s="5257" t="str">
        <f t="shared" si="26"/>
        <v/>
      </c>
      <c r="AR31" s="1056"/>
      <c r="AS31" s="1056"/>
      <c r="AT31" s="1045">
        <f t="shared" si="27"/>
        <v>0</v>
      </c>
      <c r="AU31" s="1046">
        <f t="shared" si="28"/>
        <v>0</v>
      </c>
      <c r="AV31" s="1059" cm="1">
        <f t="array" ref="AV31">IF(AJ31&lt;&gt;1,0,IF(OR(AT31="",N(AT31)&lt;=0.000000001),"",IF(OR(AN31="",N(AN31)&lt;=0.000000001),0,IF(ISNUMBER(AT31),IFERROR(_xlfn.LET(_xlpm.ai_test,TRIM(AI31),_xlpm.r,IFERROR(_xlfn.XLOOKUP(_xlpm.ai_test,$BI$15:$BI$62,ROW($BI$15:$BI$62),0,1),IFERROR(_xlfn.XLOOKUP(_xlpm.ai_test,$BJ$15:$BJ$62,ROW($BJ$15:$BJ$62),0,1),_xlfn.XLOOKUP(_xlpm.ai_test,$BK$15:$BK$62,ROW($BK$15:$BK$62),0,1))),_xlpm.p,_xlpm.r-MIN(ROW($BI$15:$BI$62))+1,_xlpm.f,INDEX($BL$15:$BL$62,_xlpm.p),_xlpm.u,INDEX($BM$15:$BM$62,_xlpm.p),_xlpm.s,INDEX($BO$15:$BO$62,_xlpm.p),_xlpm.q,N(AT31)/_xlpm.f,IF(_xlpm.q&gt;=_xlpm.s,ROUND(_xlpm.q,1)&amp;" "&amp;_xlpm.ai_test&amp;" = "&amp;ROUND(_xlpm.q*_xlpm.f,1)&amp;" "&amp;_xlpm.u,ROUND(_xlpm.q,1)&amp;" "&amp;_xlpm.ai_test)),""),""))))</f>
        <v>0</v>
      </c>
      <c r="AW31" s="1047"/>
      <c r="AX31" s="1045">
        <f t="shared" si="29"/>
        <v>0</v>
      </c>
      <c r="AY31" s="1046" t="str">
        <f t="shared" si="30"/>
        <v/>
      </c>
      <c r="AZ31" s="1048">
        <f t="shared" si="36"/>
        <v>0</v>
      </c>
      <c r="BA31" s="1049" t="str">
        <f t="shared" si="31"/>
        <v/>
      </c>
      <c r="BB31" s="1038"/>
      <c r="BC31" s="1050">
        <f t="shared" si="38"/>
        <v>0</v>
      </c>
      <c r="BD31" s="1040" t="str">
        <f t="shared" si="33"/>
        <v/>
      </c>
      <c r="BE31" s="227" t="s">
        <v>22</v>
      </c>
      <c r="BF31" s="1019">
        <f t="shared" si="34"/>
        <v>0</v>
      </c>
      <c r="BG31" s="1020">
        <f t="shared" si="35"/>
        <v>0</v>
      </c>
      <c r="BH31" s="852"/>
      <c r="BI31" s="5194" t="s">
        <v>162</v>
      </c>
      <c r="BJ31" s="5194" t="s">
        <v>1370</v>
      </c>
      <c r="BK31" s="5194" t="s">
        <v>1353</v>
      </c>
      <c r="BL31" s="1013">
        <f t="shared" si="39"/>
        <v>1.4999999999999999E-2</v>
      </c>
      <c r="BM31" s="1051" t="s">
        <v>1814</v>
      </c>
      <c r="BN31" s="1051" t="s">
        <v>1815</v>
      </c>
      <c r="BO31" s="1003">
        <f t="shared" si="37"/>
        <v>67</v>
      </c>
      <c r="BP31" s="1052">
        <v>15</v>
      </c>
      <c r="BQ31" s="852"/>
      <c r="BR31" s="852"/>
      <c r="BS31" s="852"/>
      <c r="BT31" s="852"/>
      <c r="BU31" s="852"/>
      <c r="BV31" s="852"/>
      <c r="BW31" s="959" t="str">
        <f t="shared" si="10"/>
        <v>►</v>
      </c>
      <c r="BX31" s="5559"/>
      <c r="BY31" s="5559"/>
      <c r="BZ31" s="5559"/>
      <c r="CA31" s="5559"/>
      <c r="CB31" s="5559"/>
      <c r="CC31" s="957"/>
      <c r="CD31" s="1008"/>
      <c r="CE31" s="1054" t="s">
        <v>13483</v>
      </c>
      <c r="CF31" s="1000"/>
      <c r="CG31" s="1000"/>
      <c r="CH31" s="1000"/>
      <c r="CI31" s="1000"/>
      <c r="CJ31" s="1001"/>
      <c r="CL31" s="1008"/>
      <c r="CM31" s="1054" t="s">
        <v>13484</v>
      </c>
      <c r="CN31" s="1000"/>
      <c r="CO31" s="1000"/>
      <c r="CP31" s="1000"/>
      <c r="CQ31" s="1000"/>
      <c r="CR31" s="1001"/>
      <c r="CT31" s="1008"/>
      <c r="CU31" s="1054" t="s">
        <v>13485</v>
      </c>
      <c r="CV31" s="1000"/>
      <c r="CW31" s="1000"/>
      <c r="CX31" s="1000"/>
      <c r="CY31" s="1000"/>
      <c r="CZ31" s="1001"/>
      <c r="DB31" s="3">
        <v>1</v>
      </c>
    </row>
    <row r="32" spans="1:106" s="709" customFormat="1" ht="21" customHeight="1">
      <c r="A32" s="936" t="s">
        <v>22</v>
      </c>
      <c r="B32" s="952" t="str">
        <f t="shared" si="9"/>
        <v>►</v>
      </c>
      <c r="C32" s="993" cm="1">
        <f t="array" ref="C32">SUMPRODUCT(LEN(D32:J32))</f>
        <v>0</v>
      </c>
      <c r="D32" s="167"/>
      <c r="E32" s="172"/>
      <c r="F32" s="172"/>
      <c r="G32" s="172"/>
      <c r="H32" s="172"/>
      <c r="I32" s="172"/>
      <c r="J32" s="173"/>
      <c r="K32" s="442" t="s">
        <v>22</v>
      </c>
      <c r="L32" s="104" t="s">
        <v>16</v>
      </c>
      <c r="M32" s="1172"/>
      <c r="N32" s="1172"/>
      <c r="O32" s="1172"/>
      <c r="P32" s="1173"/>
      <c r="Q32" s="1174"/>
      <c r="R32" s="1175"/>
      <c r="S32" s="1176"/>
      <c r="T32" s="1177"/>
      <c r="U32" s="5248"/>
      <c r="V32" s="1177"/>
      <c r="W32" s="5249"/>
      <c r="X32" s="5208"/>
      <c r="Y32" s="5209"/>
      <c r="Z32" s="5210"/>
      <c r="AA32" s="5211"/>
      <c r="AB32" s="1178"/>
      <c r="AC32" s="1179"/>
      <c r="AD32" s="227" t="s">
        <v>22</v>
      </c>
      <c r="AE32" s="1027" t="str">
        <f t="shared" si="15"/>
        <v>►</v>
      </c>
      <c r="AF32" s="1028" t="str">
        <f t="shared" si="16"/>
        <v/>
      </c>
      <c r="AG32" s="1029" t="str">
        <f t="shared" si="17"/>
        <v/>
      </c>
      <c r="AH32" s="1028" t="str">
        <f t="shared" si="18"/>
        <v/>
      </c>
      <c r="AI32" s="1029" t="str">
        <f t="shared" si="19"/>
        <v/>
      </c>
      <c r="AJ32" s="1029">
        <f t="shared" si="20"/>
        <v>0</v>
      </c>
      <c r="AK32" s="1043" t="str" cm="1">
        <f t="array" ref="AK32">IF(AE32&lt;&gt;"A","",IFERROR((IFERROR(_xlfn.XLOOKUP(TRIM(SUBSTITUTE(U32,CHAR(160)," ")),$BI$15:$BI$62,$BL$15:$BL$62),IFERROR(_xlfn.XLOOKUP(TRIM(SUBSTITUTE(U32,CHAR(160)," ")),$BJ$15:$BJ$62,$BL$15:$BL$62),_xlfn.XLOOKUP(TRIM(SUBSTITUTE(U32,CHAR(160)," ")),$BK$15:$BK$62,$BL$15:$BL$62))))*T32*IF(ISBLANK(Q32),1,Q32)+IFERROR(_xlfn.XLOOKUP("RECHERCHEX",TRIM(L32:AC32),L32:AC32),0),0))</f>
        <v/>
      </c>
      <c r="AL32" s="1030">
        <f t="shared" si="21"/>
        <v>0</v>
      </c>
      <c r="AM32" s="5254" t="str">
        <f t="shared" si="40"/>
        <v/>
      </c>
      <c r="AN32" s="1031">
        <f t="shared" si="23"/>
        <v>0</v>
      </c>
      <c r="AO32" s="1031">
        <f t="shared" si="24"/>
        <v>0</v>
      </c>
      <c r="AP32" s="1032">
        <f t="shared" si="25"/>
        <v>0</v>
      </c>
      <c r="AQ32" s="5255" t="str">
        <f t="shared" si="26"/>
        <v/>
      </c>
      <c r="AR32" s="1056"/>
      <c r="AS32" s="1056"/>
      <c r="AT32" s="1034">
        <f t="shared" si="27"/>
        <v>0</v>
      </c>
      <c r="AU32" s="1035">
        <f t="shared" si="28"/>
        <v>0</v>
      </c>
      <c r="AV32" s="1057" cm="1">
        <f t="array" ref="AV32">IF(AJ32&lt;&gt;1,0,IF(OR(AT32="",N(AT32)&lt;=0.000000001),"",IF(OR(AN32="",N(AN32)&lt;=0.000000001),0,IF(ISNUMBER(AT32),IFERROR(_xlfn.LET(_xlpm.ai_test,TRIM(AI32),_xlpm.r,IFERROR(_xlfn.XLOOKUP(_xlpm.ai_test,$BI$15:$BI$62,ROW($BI$15:$BI$62),0,1),IFERROR(_xlfn.XLOOKUP(_xlpm.ai_test,$BJ$15:$BJ$62,ROW($BJ$15:$BJ$62),0,1),_xlfn.XLOOKUP(_xlpm.ai_test,$BK$15:$BK$62,ROW($BK$15:$BK$62),0,1))),_xlpm.p,_xlpm.r-MIN(ROW($BI$15:$BI$62))+1,_xlpm.f,INDEX($BL$15:$BL$62,_xlpm.p),_xlpm.u,INDEX($BM$15:$BM$62,_xlpm.p),_xlpm.s,INDEX($BO$15:$BO$62,_xlpm.p),_xlpm.q,N(AT32)/_xlpm.f,IF(_xlpm.q&gt;=_xlpm.s,ROUND(_xlpm.q,1)&amp;" "&amp;_xlpm.ai_test&amp;" = "&amp;ROUND(_xlpm.q*_xlpm.f,1)&amp;" "&amp;_xlpm.u,ROUND(_xlpm.q,1)&amp;" "&amp;_xlpm.ai_test)),""),""))))</f>
        <v>0</v>
      </c>
      <c r="AW32" s="1047"/>
      <c r="AX32" s="1034">
        <f t="shared" si="29"/>
        <v>0</v>
      </c>
      <c r="AY32" s="1035" t="str">
        <f t="shared" si="30"/>
        <v/>
      </c>
      <c r="AZ32" s="1036">
        <f t="shared" si="36"/>
        <v>0</v>
      </c>
      <c r="BA32" s="1037" t="str">
        <f t="shared" si="31"/>
        <v/>
      </c>
      <c r="BB32" s="1038"/>
      <c r="BC32" s="1039">
        <f t="shared" si="38"/>
        <v>0</v>
      </c>
      <c r="BD32" s="1040" t="str">
        <f t="shared" si="33"/>
        <v/>
      </c>
      <c r="BE32" s="227" t="s">
        <v>22</v>
      </c>
      <c r="BF32" s="1019">
        <f t="shared" si="34"/>
        <v>0</v>
      </c>
      <c r="BG32" s="1020">
        <f t="shared" si="35"/>
        <v>0</v>
      </c>
      <c r="BH32" s="852"/>
      <c r="BI32" s="5194" t="s">
        <v>150</v>
      </c>
      <c r="BJ32" s="5194" t="s">
        <v>1362</v>
      </c>
      <c r="BK32" s="5198" t="s">
        <v>1343</v>
      </c>
      <c r="BL32" s="1013">
        <f t="shared" si="39"/>
        <v>0.2</v>
      </c>
      <c r="BM32" s="1051" t="s">
        <v>1814</v>
      </c>
      <c r="BN32" s="1051" t="s">
        <v>1815</v>
      </c>
      <c r="BO32" s="1003">
        <f t="shared" si="37"/>
        <v>5</v>
      </c>
      <c r="BP32" s="1052">
        <v>200</v>
      </c>
      <c r="BQ32" s="852"/>
      <c r="BR32" s="852"/>
      <c r="BS32" s="852"/>
      <c r="BT32" s="852"/>
      <c r="BU32" s="852"/>
      <c r="BV32" s="852"/>
      <c r="BW32" s="959" t="str">
        <f t="shared" si="10"/>
        <v>►</v>
      </c>
      <c r="BX32" s="1060"/>
      <c r="BY32" s="1060"/>
      <c r="BZ32" s="1060"/>
      <c r="CA32" s="1060"/>
      <c r="CB32" s="1060"/>
      <c r="CC32" s="957"/>
      <c r="CD32" s="1008"/>
      <c r="CE32" s="1054" t="s">
        <v>13486</v>
      </c>
      <c r="CF32" s="1000"/>
      <c r="CG32" s="1000"/>
      <c r="CH32" s="1000"/>
      <c r="CI32" s="1000"/>
      <c r="CJ32" s="1001"/>
      <c r="CL32" s="1008"/>
      <c r="CM32" s="1054" t="s">
        <v>13487</v>
      </c>
      <c r="CN32" s="1000"/>
      <c r="CO32" s="1000"/>
      <c r="CP32" s="1000"/>
      <c r="CQ32" s="1000"/>
      <c r="CR32" s="1001"/>
      <c r="CT32" s="1008"/>
      <c r="CU32" s="1000" t="s">
        <v>13488</v>
      </c>
      <c r="CV32" s="1000"/>
      <c r="CW32" s="1000"/>
      <c r="CX32" s="1000"/>
      <c r="CY32" s="1000"/>
      <c r="CZ32" s="1001"/>
      <c r="DB32" s="3">
        <v>1</v>
      </c>
    </row>
    <row r="33" spans="1:106" s="709" customFormat="1" ht="21" customHeight="1">
      <c r="A33" s="936" t="s">
        <v>22</v>
      </c>
      <c r="B33" s="952" t="str">
        <f t="shared" si="9"/>
        <v>►</v>
      </c>
      <c r="C33" s="993" cm="1">
        <f t="array" ref="C33">SUMPRODUCT(LEN(D33:J33))</f>
        <v>0</v>
      </c>
      <c r="D33" s="167"/>
      <c r="E33" s="172"/>
      <c r="F33" s="172"/>
      <c r="G33" s="172"/>
      <c r="H33" s="172"/>
      <c r="I33" s="172"/>
      <c r="J33" s="173"/>
      <c r="K33" s="442" t="s">
        <v>22</v>
      </c>
      <c r="L33" s="104" t="s">
        <v>16</v>
      </c>
      <c r="M33" s="1172"/>
      <c r="N33" s="1172"/>
      <c r="O33" s="1172"/>
      <c r="P33" s="1173"/>
      <c r="Q33" s="1174"/>
      <c r="R33" s="1175"/>
      <c r="S33" s="1176"/>
      <c r="T33" s="1177"/>
      <c r="U33" s="5248"/>
      <c r="V33" s="1177"/>
      <c r="W33" s="5249"/>
      <c r="X33" s="5208"/>
      <c r="Y33" s="5209"/>
      <c r="Z33" s="5210"/>
      <c r="AA33" s="5211"/>
      <c r="AB33" s="1178"/>
      <c r="AC33" s="1179"/>
      <c r="AD33" s="227" t="s">
        <v>22</v>
      </c>
      <c r="AE33" s="1027" t="str">
        <f t="shared" si="15"/>
        <v>►</v>
      </c>
      <c r="AF33" s="1028" t="str">
        <f t="shared" si="16"/>
        <v/>
      </c>
      <c r="AG33" s="1029" t="str">
        <f t="shared" si="17"/>
        <v/>
      </c>
      <c r="AH33" s="1028" t="str">
        <f t="shared" si="18"/>
        <v/>
      </c>
      <c r="AI33" s="1029" t="str">
        <f t="shared" si="19"/>
        <v/>
      </c>
      <c r="AJ33" s="1029">
        <f t="shared" si="20"/>
        <v>0</v>
      </c>
      <c r="AK33" s="1043" t="str" cm="1">
        <f t="array" ref="AK33">IF(AE33&lt;&gt;"A","",IFERROR((IFERROR(_xlfn.XLOOKUP(TRIM(SUBSTITUTE(U33,CHAR(160)," ")),$BI$15:$BI$62,$BL$15:$BL$62),IFERROR(_xlfn.XLOOKUP(TRIM(SUBSTITUTE(U33,CHAR(160)," ")),$BJ$15:$BJ$62,$BL$15:$BL$62),_xlfn.XLOOKUP(TRIM(SUBSTITUTE(U33,CHAR(160)," ")),$BK$15:$BK$62,$BL$15:$BL$62))))*T33*IF(ISBLANK(Q33),1,Q33)+IFERROR(_xlfn.XLOOKUP("RECHERCHEX",TRIM(L33:AC33),L33:AC33),0),0))</f>
        <v/>
      </c>
      <c r="AL33" s="1030">
        <f t="shared" si="21"/>
        <v>0</v>
      </c>
      <c r="AM33" s="5254" t="str">
        <f t="shared" si="40"/>
        <v/>
      </c>
      <c r="AN33" s="1031">
        <f t="shared" si="23"/>
        <v>0</v>
      </c>
      <c r="AO33" s="1031">
        <f t="shared" si="24"/>
        <v>0</v>
      </c>
      <c r="AP33" s="1044">
        <f t="shared" si="25"/>
        <v>0</v>
      </c>
      <c r="AQ33" s="5257" t="str">
        <f t="shared" si="26"/>
        <v/>
      </c>
      <c r="AR33" s="1056"/>
      <c r="AS33" s="1056"/>
      <c r="AT33" s="1045">
        <f t="shared" si="27"/>
        <v>0</v>
      </c>
      <c r="AU33" s="1046">
        <f t="shared" si="28"/>
        <v>0</v>
      </c>
      <c r="AV33" s="1059" cm="1">
        <f t="array" ref="AV33">IF(AJ33&lt;&gt;1,0,IF(OR(AT33="",N(AT33)&lt;=0.000000001),"",IF(OR(AN33="",N(AN33)&lt;=0.000000001),0,IF(ISNUMBER(AT33),IFERROR(_xlfn.LET(_xlpm.ai_test,TRIM(AI33),_xlpm.r,IFERROR(_xlfn.XLOOKUP(_xlpm.ai_test,$BI$15:$BI$62,ROW($BI$15:$BI$62),0,1),IFERROR(_xlfn.XLOOKUP(_xlpm.ai_test,$BJ$15:$BJ$62,ROW($BJ$15:$BJ$62),0,1),_xlfn.XLOOKUP(_xlpm.ai_test,$BK$15:$BK$62,ROW($BK$15:$BK$62),0,1))),_xlpm.p,_xlpm.r-MIN(ROW($BI$15:$BI$62))+1,_xlpm.f,INDEX($BL$15:$BL$62,_xlpm.p),_xlpm.u,INDEX($BM$15:$BM$62,_xlpm.p),_xlpm.s,INDEX($BO$15:$BO$62,_xlpm.p),_xlpm.q,N(AT33)/_xlpm.f,IF(_xlpm.q&gt;=_xlpm.s,ROUND(_xlpm.q,1)&amp;" "&amp;_xlpm.ai_test&amp;" = "&amp;ROUND(_xlpm.q*_xlpm.f,1)&amp;" "&amp;_xlpm.u,ROUND(_xlpm.q,1)&amp;" "&amp;_xlpm.ai_test)),""),""))))</f>
        <v>0</v>
      </c>
      <c r="AW33" s="1047"/>
      <c r="AX33" s="1045">
        <f t="shared" si="29"/>
        <v>0</v>
      </c>
      <c r="AY33" s="1046" t="str">
        <f t="shared" si="30"/>
        <v/>
      </c>
      <c r="AZ33" s="1048">
        <f t="shared" si="36"/>
        <v>0</v>
      </c>
      <c r="BA33" s="1049" t="str">
        <f t="shared" si="31"/>
        <v/>
      </c>
      <c r="BB33" s="1038"/>
      <c r="BC33" s="1050">
        <f t="shared" si="38"/>
        <v>0</v>
      </c>
      <c r="BD33" s="1040" t="str">
        <f t="shared" si="33"/>
        <v/>
      </c>
      <c r="BE33" s="227" t="s">
        <v>22</v>
      </c>
      <c r="BF33" s="1019">
        <f t="shared" si="34"/>
        <v>0</v>
      </c>
      <c r="BG33" s="1020">
        <f t="shared" si="35"/>
        <v>0</v>
      </c>
      <c r="BH33" s="852"/>
      <c r="BI33" s="5194" t="s">
        <v>103</v>
      </c>
      <c r="BJ33" s="5194" t="s">
        <v>1372</v>
      </c>
      <c r="BK33" s="5194" t="s">
        <v>1355</v>
      </c>
      <c r="BL33" s="1013">
        <f t="shared" si="39"/>
        <v>0.22500000000000001</v>
      </c>
      <c r="BM33" s="1051" t="s">
        <v>1814</v>
      </c>
      <c r="BN33" s="1051" t="s">
        <v>1815</v>
      </c>
      <c r="BO33" s="1003">
        <f t="shared" si="37"/>
        <v>4</v>
      </c>
      <c r="BP33" s="1052">
        <v>225</v>
      </c>
      <c r="BQ33" s="852"/>
      <c r="BR33" s="852"/>
      <c r="BS33" s="852"/>
      <c r="BT33" s="852"/>
      <c r="BU33" s="852"/>
      <c r="BV33" s="852"/>
      <c r="BW33" s="959" t="str">
        <f t="shared" si="10"/>
        <v>►</v>
      </c>
      <c r="BX33" s="5563" t="s">
        <v>1822</v>
      </c>
      <c r="BY33" s="5563"/>
      <c r="BZ33" s="5563"/>
      <c r="CA33" s="5563"/>
      <c r="CB33" s="5563"/>
      <c r="CC33" s="957"/>
      <c r="CD33" s="1008" t="s">
        <v>1804</v>
      </c>
      <c r="CE33" s="1054" t="s">
        <v>1823</v>
      </c>
      <c r="CF33" s="1000"/>
      <c r="CG33" s="1000"/>
      <c r="CH33" s="1000"/>
      <c r="CI33" s="1000"/>
      <c r="CJ33" s="1001"/>
      <c r="CL33" s="1008" t="s">
        <v>1824</v>
      </c>
      <c r="CM33" s="1054" t="s">
        <v>1825</v>
      </c>
      <c r="CN33" s="1000"/>
      <c r="CO33" s="1000"/>
      <c r="CP33" s="1000"/>
      <c r="CQ33" s="1000"/>
      <c r="CR33" s="1001"/>
      <c r="CT33" s="1008" t="s">
        <v>1826</v>
      </c>
      <c r="CU33" s="1054" t="s">
        <v>1827</v>
      </c>
      <c r="CV33" s="1000"/>
      <c r="CW33" s="1000"/>
      <c r="CX33" s="1000"/>
      <c r="CY33" s="1000"/>
      <c r="CZ33" s="1001"/>
      <c r="DB33" s="3">
        <v>1</v>
      </c>
    </row>
    <row r="34" spans="1:106" s="709" customFormat="1" ht="21" customHeight="1">
      <c r="A34" s="936" t="s">
        <v>22</v>
      </c>
      <c r="B34" s="952" t="str">
        <f t="shared" si="9"/>
        <v>►</v>
      </c>
      <c r="C34" s="993" cm="1">
        <f t="array" ref="C34">SUMPRODUCT(LEN(D34:J34))</f>
        <v>0</v>
      </c>
      <c r="D34" s="167"/>
      <c r="E34" s="172"/>
      <c r="F34" s="172"/>
      <c r="G34" s="172"/>
      <c r="H34" s="172"/>
      <c r="I34" s="172"/>
      <c r="J34" s="173"/>
      <c r="K34" s="442" t="s">
        <v>22</v>
      </c>
      <c r="L34" s="104" t="s">
        <v>16</v>
      </c>
      <c r="M34" s="1172"/>
      <c r="N34" s="1172"/>
      <c r="O34" s="1172"/>
      <c r="P34" s="1173"/>
      <c r="Q34" s="1174"/>
      <c r="R34" s="1175"/>
      <c r="S34" s="1176"/>
      <c r="T34" s="1177"/>
      <c r="U34" s="5248"/>
      <c r="V34" s="1177"/>
      <c r="W34" s="5249"/>
      <c r="X34" s="5208"/>
      <c r="Y34" s="5209"/>
      <c r="Z34" s="5210"/>
      <c r="AA34" s="5211"/>
      <c r="AB34" s="1178"/>
      <c r="AC34" s="1179"/>
      <c r="AD34" s="227" t="s">
        <v>22</v>
      </c>
      <c r="AE34" s="1027" t="str">
        <f t="shared" si="15"/>
        <v>►</v>
      </c>
      <c r="AF34" s="1028" t="str">
        <f t="shared" si="16"/>
        <v/>
      </c>
      <c r="AG34" s="1029" t="str">
        <f t="shared" si="17"/>
        <v/>
      </c>
      <c r="AH34" s="1028" t="str">
        <f t="shared" si="18"/>
        <v/>
      </c>
      <c r="AI34" s="1029" t="str">
        <f t="shared" si="19"/>
        <v/>
      </c>
      <c r="AJ34" s="1029">
        <f t="shared" si="20"/>
        <v>0</v>
      </c>
      <c r="AK34" s="1043" t="str" cm="1">
        <f t="array" ref="AK34">IF(AE34&lt;&gt;"A","",IFERROR((IFERROR(_xlfn.XLOOKUP(TRIM(SUBSTITUTE(U34,CHAR(160)," ")),$BI$15:$BI$62,$BL$15:$BL$62),IFERROR(_xlfn.XLOOKUP(TRIM(SUBSTITUTE(U34,CHAR(160)," ")),$BJ$15:$BJ$62,$BL$15:$BL$62),_xlfn.XLOOKUP(TRIM(SUBSTITUTE(U34,CHAR(160)," ")),$BK$15:$BK$62,$BL$15:$BL$62))))*T34*IF(ISBLANK(Q34),1,Q34)+IFERROR(_xlfn.XLOOKUP("RECHERCHEX",TRIM(L34:AC34),L34:AC34),0),0))</f>
        <v/>
      </c>
      <c r="AL34" s="1030">
        <f t="shared" si="21"/>
        <v>0</v>
      </c>
      <c r="AM34" s="5254" t="str">
        <f t="shared" si="40"/>
        <v/>
      </c>
      <c r="AN34" s="1031">
        <f t="shared" si="23"/>
        <v>0</v>
      </c>
      <c r="AO34" s="1031">
        <f t="shared" si="24"/>
        <v>0</v>
      </c>
      <c r="AP34" s="1032">
        <f t="shared" si="25"/>
        <v>0</v>
      </c>
      <c r="AQ34" s="5255" t="str">
        <f t="shared" si="26"/>
        <v/>
      </c>
      <c r="AR34" s="1056"/>
      <c r="AS34" s="1056"/>
      <c r="AT34" s="1034">
        <f t="shared" si="27"/>
        <v>0</v>
      </c>
      <c r="AU34" s="1035">
        <f t="shared" si="28"/>
        <v>0</v>
      </c>
      <c r="AV34" s="1057" cm="1">
        <f t="array" ref="AV34">IF(AJ34&lt;&gt;1,0,IF(OR(AT34="",N(AT34)&lt;=0.000000001),"",IF(OR(AN34="",N(AN34)&lt;=0.000000001),0,IF(ISNUMBER(AT34),IFERROR(_xlfn.LET(_xlpm.ai_test,TRIM(AI34),_xlpm.r,IFERROR(_xlfn.XLOOKUP(_xlpm.ai_test,$BI$15:$BI$62,ROW($BI$15:$BI$62),0,1),IFERROR(_xlfn.XLOOKUP(_xlpm.ai_test,$BJ$15:$BJ$62,ROW($BJ$15:$BJ$62),0,1),_xlfn.XLOOKUP(_xlpm.ai_test,$BK$15:$BK$62,ROW($BK$15:$BK$62),0,1))),_xlpm.p,_xlpm.r-MIN(ROW($BI$15:$BI$62))+1,_xlpm.f,INDEX($BL$15:$BL$62,_xlpm.p),_xlpm.u,INDEX($BM$15:$BM$62,_xlpm.p),_xlpm.s,INDEX($BO$15:$BO$62,_xlpm.p),_xlpm.q,N(AT34)/_xlpm.f,IF(_xlpm.q&gt;=_xlpm.s,ROUND(_xlpm.q,1)&amp;" "&amp;_xlpm.ai_test&amp;" = "&amp;ROUND(_xlpm.q*_xlpm.f,1)&amp;" "&amp;_xlpm.u,ROUND(_xlpm.q,1)&amp;" "&amp;_xlpm.ai_test)),""),""))))</f>
        <v>0</v>
      </c>
      <c r="AW34" s="1047"/>
      <c r="AX34" s="1034">
        <f t="shared" si="29"/>
        <v>0</v>
      </c>
      <c r="AY34" s="1035" t="str">
        <f t="shared" si="30"/>
        <v/>
      </c>
      <c r="AZ34" s="1036">
        <f t="shared" si="36"/>
        <v>0</v>
      </c>
      <c r="BA34" s="1037" t="str">
        <f t="shared" si="31"/>
        <v/>
      </c>
      <c r="BB34" s="1038"/>
      <c r="BC34" s="1039">
        <f t="shared" si="38"/>
        <v>0</v>
      </c>
      <c r="BD34" s="1040" t="str">
        <f t="shared" si="33"/>
        <v/>
      </c>
      <c r="BE34" s="227" t="s">
        <v>22</v>
      </c>
      <c r="BF34" s="1019">
        <f t="shared" si="34"/>
        <v>0</v>
      </c>
      <c r="BG34" s="1020">
        <f t="shared" si="35"/>
        <v>0</v>
      </c>
      <c r="BH34" s="852"/>
      <c r="BI34" s="5259" t="s">
        <v>1828</v>
      </c>
      <c r="BJ34" s="5259" t="s">
        <v>1829</v>
      </c>
      <c r="BK34" s="5259" t="s">
        <v>1830</v>
      </c>
      <c r="BL34" s="1013">
        <f t="shared" si="39"/>
        <v>0.11799999999999999</v>
      </c>
      <c r="BM34" s="1051" t="s">
        <v>1814</v>
      </c>
      <c r="BN34" s="1051" t="s">
        <v>1815</v>
      </c>
      <c r="BO34" s="1003">
        <f t="shared" si="37"/>
        <v>8</v>
      </c>
      <c r="BP34" s="1052">
        <v>118</v>
      </c>
      <c r="BQ34" s="852"/>
      <c r="BR34" s="852"/>
      <c r="BS34" s="852"/>
      <c r="BT34" s="852"/>
      <c r="BU34" s="852"/>
      <c r="BV34" s="852"/>
      <c r="BW34" s="959" t="str">
        <f t="shared" si="10"/>
        <v>►</v>
      </c>
      <c r="BX34" s="5563"/>
      <c r="BY34" s="5563"/>
      <c r="BZ34" s="5563"/>
      <c r="CA34" s="5563"/>
      <c r="CB34" s="5563"/>
      <c r="CC34" s="957"/>
      <c r="CD34" s="1008"/>
      <c r="CE34" s="1054"/>
      <c r="CF34" s="1000"/>
      <c r="CG34" s="1000"/>
      <c r="CH34" s="1000"/>
      <c r="CI34" s="1000"/>
      <c r="CJ34" s="1001"/>
      <c r="CL34" s="1008"/>
      <c r="CM34" s="1054"/>
      <c r="CN34" s="1000"/>
      <c r="CO34" s="1000"/>
      <c r="CP34" s="1000"/>
      <c r="CQ34" s="1000"/>
      <c r="CR34" s="1001"/>
      <c r="CT34" s="1008"/>
      <c r="CU34" s="1054"/>
      <c r="CV34" s="1000"/>
      <c r="CW34" s="1000"/>
      <c r="CX34" s="1000"/>
      <c r="CY34" s="1000"/>
      <c r="CZ34" s="1001"/>
      <c r="DB34" s="3">
        <v>1</v>
      </c>
    </row>
    <row r="35" spans="1:106" s="709" customFormat="1" ht="21" customHeight="1">
      <c r="A35" s="936" t="s">
        <v>22</v>
      </c>
      <c r="B35" s="952" t="str">
        <f t="shared" si="9"/>
        <v>►</v>
      </c>
      <c r="C35" s="993" cm="1">
        <f t="array" ref="C35">SUMPRODUCT(LEN(D35:J35))</f>
        <v>0</v>
      </c>
      <c r="D35" s="167"/>
      <c r="E35" s="172"/>
      <c r="F35" s="172"/>
      <c r="G35" s="172"/>
      <c r="H35" s="172"/>
      <c r="I35" s="172"/>
      <c r="J35" s="173"/>
      <c r="K35" s="442" t="s">
        <v>22</v>
      </c>
      <c r="L35" s="104" t="s">
        <v>16</v>
      </c>
      <c r="M35" s="1172"/>
      <c r="N35" s="1172"/>
      <c r="O35" s="1172"/>
      <c r="P35" s="1173"/>
      <c r="Q35" s="1174"/>
      <c r="R35" s="1175"/>
      <c r="S35" s="1176"/>
      <c r="T35" s="1177"/>
      <c r="U35" s="5248"/>
      <c r="V35" s="1177"/>
      <c r="W35" s="5249"/>
      <c r="X35" s="5208"/>
      <c r="Y35" s="5209"/>
      <c r="Z35" s="5210"/>
      <c r="AA35" s="5211"/>
      <c r="AB35" s="1178"/>
      <c r="AC35" s="1179"/>
      <c r="AD35" s="227" t="s">
        <v>22</v>
      </c>
      <c r="AE35" s="1027" t="str">
        <f t="shared" si="15"/>
        <v>►</v>
      </c>
      <c r="AF35" s="1028" t="str">
        <f t="shared" si="16"/>
        <v/>
      </c>
      <c r="AG35" s="1029" t="str">
        <f t="shared" si="17"/>
        <v/>
      </c>
      <c r="AH35" s="1028" t="str">
        <f t="shared" si="18"/>
        <v/>
      </c>
      <c r="AI35" s="1029" t="str">
        <f t="shared" si="19"/>
        <v/>
      </c>
      <c r="AJ35" s="1029">
        <f t="shared" si="20"/>
        <v>0</v>
      </c>
      <c r="AK35" s="1043" t="str" cm="1">
        <f t="array" ref="AK35">IF(AE35&lt;&gt;"A","",IFERROR((IFERROR(_xlfn.XLOOKUP(TRIM(SUBSTITUTE(U35,CHAR(160)," ")),$BI$15:$BI$62,$BL$15:$BL$62),IFERROR(_xlfn.XLOOKUP(TRIM(SUBSTITUTE(U35,CHAR(160)," ")),$BJ$15:$BJ$62,$BL$15:$BL$62),_xlfn.XLOOKUP(TRIM(SUBSTITUTE(U35,CHAR(160)," ")),$BK$15:$BK$62,$BL$15:$BL$62))))*T35*IF(ISBLANK(Q35),1,Q35)+IFERROR(_xlfn.XLOOKUP("RECHERCHEX",TRIM(L35:AC35),L35:AC35),0),0))</f>
        <v/>
      </c>
      <c r="AL35" s="1030">
        <f t="shared" si="21"/>
        <v>0</v>
      </c>
      <c r="AM35" s="5254" t="str">
        <f t="shared" si="40"/>
        <v/>
      </c>
      <c r="AN35" s="1031">
        <f t="shared" si="23"/>
        <v>0</v>
      </c>
      <c r="AO35" s="1031">
        <f t="shared" si="24"/>
        <v>0</v>
      </c>
      <c r="AP35" s="1044">
        <f t="shared" si="25"/>
        <v>0</v>
      </c>
      <c r="AQ35" s="5257" t="str">
        <f t="shared" si="26"/>
        <v/>
      </c>
      <c r="AR35" s="1056"/>
      <c r="AS35" s="1056"/>
      <c r="AT35" s="1045">
        <f t="shared" si="27"/>
        <v>0</v>
      </c>
      <c r="AU35" s="1046">
        <f t="shared" si="28"/>
        <v>0</v>
      </c>
      <c r="AV35" s="1059" cm="1">
        <f t="array" ref="AV35">IF(AJ35&lt;&gt;1,0,IF(OR(AT35="",N(AT35)&lt;=0.000000001),"",IF(OR(AN35="",N(AN35)&lt;=0.000000001),0,IF(ISNUMBER(AT35),IFERROR(_xlfn.LET(_xlpm.ai_test,TRIM(AI35),_xlpm.r,IFERROR(_xlfn.XLOOKUP(_xlpm.ai_test,$BI$15:$BI$62,ROW($BI$15:$BI$62),0,1),IFERROR(_xlfn.XLOOKUP(_xlpm.ai_test,$BJ$15:$BJ$62,ROW($BJ$15:$BJ$62),0,1),_xlfn.XLOOKUP(_xlpm.ai_test,$BK$15:$BK$62,ROW($BK$15:$BK$62),0,1))),_xlpm.p,_xlpm.r-MIN(ROW($BI$15:$BI$62))+1,_xlpm.f,INDEX($BL$15:$BL$62,_xlpm.p),_xlpm.u,INDEX($BM$15:$BM$62,_xlpm.p),_xlpm.s,INDEX($BO$15:$BO$62,_xlpm.p),_xlpm.q,N(AT35)/_xlpm.f,IF(_xlpm.q&gt;=_xlpm.s,ROUND(_xlpm.q,1)&amp;" "&amp;_xlpm.ai_test&amp;" = "&amp;ROUND(_xlpm.q*_xlpm.f,1)&amp;" "&amp;_xlpm.u,ROUND(_xlpm.q,1)&amp;" "&amp;_xlpm.ai_test)),""),""))))</f>
        <v>0</v>
      </c>
      <c r="AW35" s="1047"/>
      <c r="AX35" s="1045">
        <f t="shared" si="29"/>
        <v>0</v>
      </c>
      <c r="AY35" s="1046" t="str">
        <f t="shared" si="30"/>
        <v/>
      </c>
      <c r="AZ35" s="1048">
        <f t="shared" si="36"/>
        <v>0</v>
      </c>
      <c r="BA35" s="1049" t="str">
        <f t="shared" si="31"/>
        <v/>
      </c>
      <c r="BB35" s="1038"/>
      <c r="BC35" s="1050">
        <f t="shared" si="38"/>
        <v>0</v>
      </c>
      <c r="BD35" s="1040" t="str">
        <f t="shared" si="33"/>
        <v/>
      </c>
      <c r="BE35" s="227" t="s">
        <v>22</v>
      </c>
      <c r="BF35" s="1019">
        <f t="shared" si="34"/>
        <v>0</v>
      </c>
      <c r="BG35" s="1020">
        <f t="shared" si="35"/>
        <v>0</v>
      </c>
      <c r="BH35" s="852"/>
      <c r="BI35" s="5259" t="s">
        <v>1831</v>
      </c>
      <c r="BJ35" s="5259" t="s">
        <v>1832</v>
      </c>
      <c r="BK35" s="5259" t="s">
        <v>1833</v>
      </c>
      <c r="BL35" s="1013">
        <f t="shared" si="39"/>
        <v>0.25</v>
      </c>
      <c r="BM35" s="1051" t="s">
        <v>1814</v>
      </c>
      <c r="BN35" s="1051" t="s">
        <v>1815</v>
      </c>
      <c r="BO35" s="1003">
        <f t="shared" si="37"/>
        <v>4</v>
      </c>
      <c r="BP35" s="1052">
        <v>250</v>
      </c>
      <c r="BQ35" s="852"/>
      <c r="BR35" s="852"/>
      <c r="BS35" s="852"/>
      <c r="BT35" s="852"/>
      <c r="BU35" s="852"/>
      <c r="BV35" s="852"/>
      <c r="BW35" s="959" t="str">
        <f t="shared" si="10"/>
        <v>►</v>
      </c>
      <c r="BX35" s="1007"/>
      <c r="BY35" s="857"/>
      <c r="BZ35" s="857"/>
      <c r="CA35" s="858"/>
      <c r="CB35" s="858"/>
      <c r="CC35" s="957"/>
      <c r="CD35" s="1023" t="s">
        <v>1806</v>
      </c>
      <c r="CE35" s="1054" t="s">
        <v>1834</v>
      </c>
      <c r="CF35" s="1000"/>
      <c r="CG35" s="1000"/>
      <c r="CH35" s="1000"/>
      <c r="CI35" s="1000"/>
      <c r="CJ35" s="1001"/>
      <c r="CL35" s="1023" t="s">
        <v>1745</v>
      </c>
      <c r="CM35" s="1054" t="s">
        <v>1835</v>
      </c>
      <c r="CN35" s="1000"/>
      <c r="CO35" s="1000"/>
      <c r="CP35" s="1000"/>
      <c r="CQ35" s="1000"/>
      <c r="CR35" s="1001"/>
      <c r="CT35" s="1023" t="s">
        <v>1763</v>
      </c>
      <c r="CU35" s="1054" t="s">
        <v>1836</v>
      </c>
      <c r="CV35" s="1000"/>
      <c r="CW35" s="1000"/>
      <c r="CX35" s="1000"/>
      <c r="CY35" s="1000"/>
      <c r="CZ35" s="1001"/>
      <c r="DB35" s="3">
        <v>1</v>
      </c>
    </row>
    <row r="36" spans="1:106" s="709" customFormat="1" ht="21" customHeight="1">
      <c r="A36" s="936" t="s">
        <v>22</v>
      </c>
      <c r="B36" s="952" t="str">
        <f t="shared" si="9"/>
        <v>►</v>
      </c>
      <c r="C36" s="993" cm="1">
        <f t="array" ref="C36">SUMPRODUCT(LEN(D36:J36))</f>
        <v>0</v>
      </c>
      <c r="D36" s="167"/>
      <c r="E36" s="172"/>
      <c r="F36" s="172"/>
      <c r="G36" s="172"/>
      <c r="H36" s="172"/>
      <c r="I36" s="172"/>
      <c r="J36" s="173"/>
      <c r="K36" s="442" t="s">
        <v>22</v>
      </c>
      <c r="L36" s="104" t="s">
        <v>16</v>
      </c>
      <c r="M36" s="1172"/>
      <c r="N36" s="1172"/>
      <c r="O36" s="1172"/>
      <c r="P36" s="1173"/>
      <c r="Q36" s="1174"/>
      <c r="R36" s="1175"/>
      <c r="S36" s="1176"/>
      <c r="T36" s="1177"/>
      <c r="U36" s="5248"/>
      <c r="V36" s="1177"/>
      <c r="W36" s="5249"/>
      <c r="X36" s="5208"/>
      <c r="Y36" s="5209"/>
      <c r="Z36" s="5210"/>
      <c r="AA36" s="5211"/>
      <c r="AB36" s="1178"/>
      <c r="AC36" s="1179"/>
      <c r="AD36" s="227" t="s">
        <v>22</v>
      </c>
      <c r="AE36" s="1027" t="str">
        <f t="shared" si="15"/>
        <v>►</v>
      </c>
      <c r="AF36" s="1028" t="str">
        <f t="shared" si="16"/>
        <v/>
      </c>
      <c r="AG36" s="1029" t="str">
        <f t="shared" si="17"/>
        <v/>
      </c>
      <c r="AH36" s="1028" t="str">
        <f t="shared" si="18"/>
        <v/>
      </c>
      <c r="AI36" s="1029" t="str">
        <f t="shared" si="19"/>
        <v/>
      </c>
      <c r="AJ36" s="1029">
        <f t="shared" si="20"/>
        <v>0</v>
      </c>
      <c r="AK36" s="1043" t="str" cm="1">
        <f t="array" ref="AK36">IF(AE36&lt;&gt;"A","",IFERROR((IFERROR(_xlfn.XLOOKUP(TRIM(SUBSTITUTE(U36,CHAR(160)," ")),$BI$15:$BI$62,$BL$15:$BL$62),IFERROR(_xlfn.XLOOKUP(TRIM(SUBSTITUTE(U36,CHAR(160)," ")),$BJ$15:$BJ$62,$BL$15:$BL$62),_xlfn.XLOOKUP(TRIM(SUBSTITUTE(U36,CHAR(160)," ")),$BK$15:$BK$62,$BL$15:$BL$62))))*T36*IF(ISBLANK(Q36),1,Q36)+IFERROR(_xlfn.XLOOKUP("RECHERCHEX",TRIM(L36:AC36),L36:AC36),0),0))</f>
        <v/>
      </c>
      <c r="AL36" s="1030">
        <f t="shared" si="21"/>
        <v>0</v>
      </c>
      <c r="AM36" s="5254" t="str">
        <f t="shared" si="40"/>
        <v/>
      </c>
      <c r="AN36" s="1031">
        <f t="shared" si="23"/>
        <v>0</v>
      </c>
      <c r="AO36" s="1031">
        <f t="shared" si="24"/>
        <v>0</v>
      </c>
      <c r="AP36" s="1032">
        <f t="shared" si="25"/>
        <v>0</v>
      </c>
      <c r="AQ36" s="5255" t="str">
        <f t="shared" si="26"/>
        <v/>
      </c>
      <c r="AR36" s="1056"/>
      <c r="AS36" s="1056"/>
      <c r="AT36" s="1034">
        <f t="shared" si="27"/>
        <v>0</v>
      </c>
      <c r="AU36" s="1035">
        <f t="shared" si="28"/>
        <v>0</v>
      </c>
      <c r="AV36" s="1057" cm="1">
        <f t="array" ref="AV36">IF(AJ36&lt;&gt;1,0,IF(OR(AT36="",N(AT36)&lt;=0.000000001),"",IF(OR(AN36="",N(AN36)&lt;=0.000000001),0,IF(ISNUMBER(AT36),IFERROR(_xlfn.LET(_xlpm.ai_test,TRIM(AI36),_xlpm.r,IFERROR(_xlfn.XLOOKUP(_xlpm.ai_test,$BI$15:$BI$62,ROW($BI$15:$BI$62),0,1),IFERROR(_xlfn.XLOOKUP(_xlpm.ai_test,$BJ$15:$BJ$62,ROW($BJ$15:$BJ$62),0,1),_xlfn.XLOOKUP(_xlpm.ai_test,$BK$15:$BK$62,ROW($BK$15:$BK$62),0,1))),_xlpm.p,_xlpm.r-MIN(ROW($BI$15:$BI$62))+1,_xlpm.f,INDEX($BL$15:$BL$62,_xlpm.p),_xlpm.u,INDEX($BM$15:$BM$62,_xlpm.p),_xlpm.s,INDEX($BO$15:$BO$62,_xlpm.p),_xlpm.q,N(AT36)/_xlpm.f,IF(_xlpm.q&gt;=_xlpm.s,ROUND(_xlpm.q,1)&amp;" "&amp;_xlpm.ai_test&amp;" = "&amp;ROUND(_xlpm.q*_xlpm.f,1)&amp;" "&amp;_xlpm.u,ROUND(_xlpm.q,1)&amp;" "&amp;_xlpm.ai_test)),""),""))))</f>
        <v>0</v>
      </c>
      <c r="AW36" s="1047"/>
      <c r="AX36" s="1034">
        <f t="shared" si="29"/>
        <v>0</v>
      </c>
      <c r="AY36" s="1035" t="str">
        <f t="shared" si="30"/>
        <v/>
      </c>
      <c r="AZ36" s="1036">
        <f t="shared" si="36"/>
        <v>0</v>
      </c>
      <c r="BA36" s="1037" t="str">
        <f t="shared" si="31"/>
        <v/>
      </c>
      <c r="BB36" s="1038"/>
      <c r="BC36" s="1039">
        <f t="shared" si="38"/>
        <v>0</v>
      </c>
      <c r="BD36" s="1040" t="str">
        <f t="shared" si="33"/>
        <v/>
      </c>
      <c r="BE36" s="227" t="s">
        <v>22</v>
      </c>
      <c r="BF36" s="1019">
        <f t="shared" si="34"/>
        <v>0</v>
      </c>
      <c r="BG36" s="1020">
        <f t="shared" si="35"/>
        <v>0</v>
      </c>
      <c r="BH36" s="852"/>
      <c r="BI36" s="5259" t="s">
        <v>1837</v>
      </c>
      <c r="BJ36" s="5259" t="s">
        <v>1838</v>
      </c>
      <c r="BK36" s="5259" t="s">
        <v>1839</v>
      </c>
      <c r="BL36" s="1013">
        <f t="shared" si="39"/>
        <v>0.15</v>
      </c>
      <c r="BM36" s="1051" t="s">
        <v>1814</v>
      </c>
      <c r="BN36" s="1051" t="s">
        <v>1815</v>
      </c>
      <c r="BO36" s="1003">
        <f t="shared" si="37"/>
        <v>7</v>
      </c>
      <c r="BP36" s="1052">
        <v>150</v>
      </c>
      <c r="BQ36" s="852"/>
      <c r="BR36" s="852"/>
      <c r="BS36" s="852"/>
      <c r="BT36" s="852"/>
      <c r="BU36" s="852"/>
      <c r="BV36" s="852"/>
      <c r="BW36" s="959" t="str">
        <f t="shared" si="10"/>
        <v>►</v>
      </c>
      <c r="BX36" s="5555" t="s">
        <v>1840</v>
      </c>
      <c r="BY36" s="5555"/>
      <c r="BZ36" s="5555"/>
      <c r="CA36" s="5555"/>
      <c r="CB36" s="5555"/>
      <c r="CC36" s="957"/>
      <c r="CD36" s="1008"/>
      <c r="CE36" s="1054"/>
      <c r="CF36" s="1000"/>
      <c r="CG36" s="1000"/>
      <c r="CH36" s="1000"/>
      <c r="CI36" s="1000"/>
      <c r="CJ36" s="1001"/>
      <c r="CL36" s="1008"/>
      <c r="CM36" s="1054"/>
      <c r="CN36" s="1000"/>
      <c r="CO36" s="1000"/>
      <c r="CP36" s="1000"/>
      <c r="CQ36" s="1000"/>
      <c r="CR36" s="1001"/>
      <c r="CT36" s="1008"/>
      <c r="CU36" s="1054"/>
      <c r="CV36" s="1000"/>
      <c r="CW36" s="1000"/>
      <c r="CX36" s="1000"/>
      <c r="CY36" s="1000"/>
      <c r="CZ36" s="1001"/>
      <c r="DB36" s="3">
        <v>1</v>
      </c>
    </row>
    <row r="37" spans="1:106" s="709" customFormat="1" ht="21" customHeight="1">
      <c r="A37" s="936" t="s">
        <v>22</v>
      </c>
      <c r="B37" s="952" t="str">
        <f t="shared" si="9"/>
        <v>►</v>
      </c>
      <c r="C37" s="993" cm="1">
        <f t="array" ref="C37">SUMPRODUCT(LEN(D37:J37))</f>
        <v>0</v>
      </c>
      <c r="D37" s="167"/>
      <c r="E37" s="172"/>
      <c r="F37" s="172"/>
      <c r="G37" s="172"/>
      <c r="H37" s="172"/>
      <c r="I37" s="172"/>
      <c r="J37" s="173"/>
      <c r="K37" s="442" t="s">
        <v>22</v>
      </c>
      <c r="L37" s="104" t="s">
        <v>16</v>
      </c>
      <c r="M37" s="1172"/>
      <c r="N37" s="1172"/>
      <c r="O37" s="1172"/>
      <c r="P37" s="1173"/>
      <c r="Q37" s="1174"/>
      <c r="R37" s="1175"/>
      <c r="S37" s="1176"/>
      <c r="T37" s="1177"/>
      <c r="U37" s="5248"/>
      <c r="V37" s="1177"/>
      <c r="W37" s="5249"/>
      <c r="X37" s="5208"/>
      <c r="Y37" s="5209"/>
      <c r="Z37" s="5210"/>
      <c r="AA37" s="5211"/>
      <c r="AB37" s="1178"/>
      <c r="AC37" s="1179"/>
      <c r="AD37" s="227" t="s">
        <v>22</v>
      </c>
      <c r="AE37" s="1027" t="str">
        <f t="shared" si="15"/>
        <v>►</v>
      </c>
      <c r="AF37" s="1028" t="str">
        <f t="shared" si="16"/>
        <v/>
      </c>
      <c r="AG37" s="1029" t="str">
        <f t="shared" si="17"/>
        <v/>
      </c>
      <c r="AH37" s="1028" t="str">
        <f t="shared" si="18"/>
        <v/>
      </c>
      <c r="AI37" s="1029" t="str">
        <f t="shared" si="19"/>
        <v/>
      </c>
      <c r="AJ37" s="1029">
        <f t="shared" si="20"/>
        <v>0</v>
      </c>
      <c r="AK37" s="1043" t="str" cm="1">
        <f t="array" ref="AK37">IF(AE37&lt;&gt;"A","",IFERROR((IFERROR(_xlfn.XLOOKUP(TRIM(SUBSTITUTE(U37,CHAR(160)," ")),$BI$15:$BI$62,$BL$15:$BL$62),IFERROR(_xlfn.XLOOKUP(TRIM(SUBSTITUTE(U37,CHAR(160)," ")),$BJ$15:$BJ$62,$BL$15:$BL$62),_xlfn.XLOOKUP(TRIM(SUBSTITUTE(U37,CHAR(160)," ")),$BK$15:$BK$62,$BL$15:$BL$62))))*T37*IF(ISBLANK(Q37),1,Q37)+IFERROR(_xlfn.XLOOKUP("RECHERCHEX",TRIM(L37:AC37),L37:AC37),0),0))</f>
        <v/>
      </c>
      <c r="AL37" s="1030">
        <f t="shared" si="21"/>
        <v>0</v>
      </c>
      <c r="AM37" s="5254" t="str">
        <f t="shared" si="40"/>
        <v/>
      </c>
      <c r="AN37" s="1031">
        <f t="shared" si="23"/>
        <v>0</v>
      </c>
      <c r="AO37" s="1031">
        <f t="shared" si="24"/>
        <v>0</v>
      </c>
      <c r="AP37" s="1044">
        <f t="shared" si="25"/>
        <v>0</v>
      </c>
      <c r="AQ37" s="5257" t="str">
        <f t="shared" si="26"/>
        <v/>
      </c>
      <c r="AR37" s="1056"/>
      <c r="AS37" s="1056"/>
      <c r="AT37" s="1045">
        <f t="shared" si="27"/>
        <v>0</v>
      </c>
      <c r="AU37" s="1046">
        <f t="shared" si="28"/>
        <v>0</v>
      </c>
      <c r="AV37" s="1059" cm="1">
        <f t="array" ref="AV37">IF(AJ37&lt;&gt;1,0,IF(OR(AT37="",N(AT37)&lt;=0.000000001),"",IF(OR(AN37="",N(AN37)&lt;=0.000000001),0,IF(ISNUMBER(AT37),IFERROR(_xlfn.LET(_xlpm.ai_test,TRIM(AI37),_xlpm.r,IFERROR(_xlfn.XLOOKUP(_xlpm.ai_test,$BI$15:$BI$62,ROW($BI$15:$BI$62),0,1),IFERROR(_xlfn.XLOOKUP(_xlpm.ai_test,$BJ$15:$BJ$62,ROW($BJ$15:$BJ$62),0,1),_xlfn.XLOOKUP(_xlpm.ai_test,$BK$15:$BK$62,ROW($BK$15:$BK$62),0,1))),_xlpm.p,_xlpm.r-MIN(ROW($BI$15:$BI$62))+1,_xlpm.f,INDEX($BL$15:$BL$62,_xlpm.p),_xlpm.u,INDEX($BM$15:$BM$62,_xlpm.p),_xlpm.s,INDEX($BO$15:$BO$62,_xlpm.p),_xlpm.q,N(AT37)/_xlpm.f,IF(_xlpm.q&gt;=_xlpm.s,ROUND(_xlpm.q,1)&amp;" "&amp;_xlpm.ai_test&amp;" = "&amp;ROUND(_xlpm.q*_xlpm.f,1)&amp;" "&amp;_xlpm.u,ROUND(_xlpm.q,1)&amp;" "&amp;_xlpm.ai_test)),""),""))))</f>
        <v>0</v>
      </c>
      <c r="AW37" s="1047"/>
      <c r="AX37" s="1045">
        <f t="shared" si="29"/>
        <v>0</v>
      </c>
      <c r="AY37" s="1046" t="str">
        <f t="shared" si="30"/>
        <v/>
      </c>
      <c r="AZ37" s="1048">
        <f t="shared" si="36"/>
        <v>0</v>
      </c>
      <c r="BA37" s="1049" t="str">
        <f t="shared" si="31"/>
        <v/>
      </c>
      <c r="BB37" s="1038"/>
      <c r="BC37" s="1050">
        <f t="shared" si="38"/>
        <v>0</v>
      </c>
      <c r="BD37" s="1040" t="str">
        <f t="shared" si="33"/>
        <v/>
      </c>
      <c r="BE37" s="227" t="s">
        <v>22</v>
      </c>
      <c r="BF37" s="1019">
        <f t="shared" si="34"/>
        <v>0</v>
      </c>
      <c r="BG37" s="1020">
        <f t="shared" si="35"/>
        <v>0</v>
      </c>
      <c r="BH37" s="852"/>
      <c r="BI37" s="5259" t="s">
        <v>117</v>
      </c>
      <c r="BJ37" s="5202" t="s">
        <v>1367</v>
      </c>
      <c r="BK37" s="5201" t="s">
        <v>1350</v>
      </c>
      <c r="BL37" s="1013">
        <f t="shared" si="39"/>
        <v>0.35</v>
      </c>
      <c r="BM37" s="1051" t="s">
        <v>1814</v>
      </c>
      <c r="BN37" s="1051" t="s">
        <v>1815</v>
      </c>
      <c r="BO37" s="1003">
        <f t="shared" si="37"/>
        <v>3</v>
      </c>
      <c r="BP37" s="1052">
        <v>350</v>
      </c>
      <c r="BQ37" s="852"/>
      <c r="BR37" s="852"/>
      <c r="BS37" s="852"/>
      <c r="BT37" s="852"/>
      <c r="BU37" s="852"/>
      <c r="BV37" s="852"/>
      <c r="BW37" s="959" t="str">
        <f t="shared" si="10"/>
        <v>►</v>
      </c>
      <c r="BX37" s="5555"/>
      <c r="BY37" s="5555"/>
      <c r="BZ37" s="5555"/>
      <c r="CA37" s="5555"/>
      <c r="CB37" s="5555"/>
      <c r="CC37" s="957"/>
      <c r="CD37" s="1062" t="s">
        <v>1841</v>
      </c>
      <c r="CE37" s="1063"/>
      <c r="CF37" s="1063"/>
      <c r="CG37" s="116"/>
      <c r="CH37" s="116"/>
      <c r="CI37" s="116"/>
      <c r="CJ37" s="866"/>
      <c r="CL37" s="1062" t="s">
        <v>1842</v>
      </c>
      <c r="CM37" s="1063"/>
      <c r="CN37" s="1063"/>
      <c r="CO37" s="116"/>
      <c r="CP37" s="116"/>
      <c r="CQ37" s="116"/>
      <c r="CR37" s="866"/>
      <c r="CT37" s="1062" t="s">
        <v>1843</v>
      </c>
      <c r="CU37" s="1063"/>
      <c r="CV37" s="1063"/>
      <c r="CW37" s="116"/>
      <c r="CX37" s="116"/>
      <c r="CY37" s="116"/>
      <c r="CZ37" s="866"/>
      <c r="DB37" s="3">
        <v>1</v>
      </c>
    </row>
    <row r="38" spans="1:106" s="709" customFormat="1" ht="21" customHeight="1">
      <c r="A38" s="936" t="s">
        <v>22</v>
      </c>
      <c r="B38" s="952" t="str">
        <f t="shared" si="9"/>
        <v>►</v>
      </c>
      <c r="C38" s="993" cm="1">
        <f t="array" ref="C38">SUMPRODUCT(LEN(D38:J38))</f>
        <v>0</v>
      </c>
      <c r="D38" s="167"/>
      <c r="E38" s="172"/>
      <c r="F38" s="172"/>
      <c r="G38" s="172"/>
      <c r="H38" s="172"/>
      <c r="I38" s="172"/>
      <c r="J38" s="173"/>
      <c r="K38" s="442" t="s">
        <v>22</v>
      </c>
      <c r="L38" s="104" t="s">
        <v>16</v>
      </c>
      <c r="M38" s="1172"/>
      <c r="N38" s="1172"/>
      <c r="O38" s="1172"/>
      <c r="P38" s="1173"/>
      <c r="Q38" s="1174"/>
      <c r="R38" s="1175"/>
      <c r="S38" s="1176"/>
      <c r="T38" s="1177"/>
      <c r="U38" s="5248"/>
      <c r="V38" s="1177"/>
      <c r="W38" s="5249"/>
      <c r="X38" s="5208"/>
      <c r="Y38" s="5209"/>
      <c r="Z38" s="5210"/>
      <c r="AA38" s="5211"/>
      <c r="AB38" s="1178"/>
      <c r="AC38" s="1179"/>
      <c r="AD38" s="227" t="s">
        <v>22</v>
      </c>
      <c r="AE38" s="1027" t="str">
        <f t="shared" si="15"/>
        <v>►</v>
      </c>
      <c r="AF38" s="1028" t="str">
        <f t="shared" si="16"/>
        <v/>
      </c>
      <c r="AG38" s="1029" t="str">
        <f t="shared" si="17"/>
        <v/>
      </c>
      <c r="AH38" s="1028" t="str">
        <f t="shared" si="18"/>
        <v/>
      </c>
      <c r="AI38" s="1029" t="str">
        <f t="shared" si="19"/>
        <v/>
      </c>
      <c r="AJ38" s="1029">
        <f t="shared" si="20"/>
        <v>0</v>
      </c>
      <c r="AK38" s="1043" t="str" cm="1">
        <f t="array" ref="AK38">IF(AE38&lt;&gt;"A","",IFERROR((IFERROR(_xlfn.XLOOKUP(TRIM(SUBSTITUTE(U38,CHAR(160)," ")),$BI$15:$BI$62,$BL$15:$BL$62),IFERROR(_xlfn.XLOOKUP(TRIM(SUBSTITUTE(U38,CHAR(160)," ")),$BJ$15:$BJ$62,$BL$15:$BL$62),_xlfn.XLOOKUP(TRIM(SUBSTITUTE(U38,CHAR(160)," ")),$BK$15:$BK$62,$BL$15:$BL$62))))*T38*IF(ISBLANK(Q38),1,Q38)+IFERROR(_xlfn.XLOOKUP("RECHERCHEX",TRIM(L38:AC38),L38:AC38),0),0))</f>
        <v/>
      </c>
      <c r="AL38" s="1030">
        <f t="shared" si="21"/>
        <v>0</v>
      </c>
      <c r="AM38" s="5254" t="str">
        <f t="shared" si="40"/>
        <v/>
      </c>
      <c r="AN38" s="1031">
        <f t="shared" si="23"/>
        <v>0</v>
      </c>
      <c r="AO38" s="1031">
        <f t="shared" si="24"/>
        <v>0</v>
      </c>
      <c r="AP38" s="1032">
        <f t="shared" si="25"/>
        <v>0</v>
      </c>
      <c r="AQ38" s="5255" t="str">
        <f t="shared" si="26"/>
        <v/>
      </c>
      <c r="AR38" s="1056"/>
      <c r="AS38" s="1056"/>
      <c r="AT38" s="1034">
        <f t="shared" si="27"/>
        <v>0</v>
      </c>
      <c r="AU38" s="1035">
        <f t="shared" si="28"/>
        <v>0</v>
      </c>
      <c r="AV38" s="1057" cm="1">
        <f t="array" ref="AV38">IF(AJ38&lt;&gt;1,0,IF(OR(AT38="",N(AT38)&lt;=0.000000001),"",IF(OR(AN38="",N(AN38)&lt;=0.000000001),0,IF(ISNUMBER(AT38),IFERROR(_xlfn.LET(_xlpm.ai_test,TRIM(AI38),_xlpm.r,IFERROR(_xlfn.XLOOKUP(_xlpm.ai_test,$BI$15:$BI$62,ROW($BI$15:$BI$62),0,1),IFERROR(_xlfn.XLOOKUP(_xlpm.ai_test,$BJ$15:$BJ$62,ROW($BJ$15:$BJ$62),0,1),_xlfn.XLOOKUP(_xlpm.ai_test,$BK$15:$BK$62,ROW($BK$15:$BK$62),0,1))),_xlpm.p,_xlpm.r-MIN(ROW($BI$15:$BI$62))+1,_xlpm.f,INDEX($BL$15:$BL$62,_xlpm.p),_xlpm.u,INDEX($BM$15:$BM$62,_xlpm.p),_xlpm.s,INDEX($BO$15:$BO$62,_xlpm.p),_xlpm.q,N(AT38)/_xlpm.f,IF(_xlpm.q&gt;=_xlpm.s,ROUND(_xlpm.q,1)&amp;" "&amp;_xlpm.ai_test&amp;" = "&amp;ROUND(_xlpm.q*_xlpm.f,1)&amp;" "&amp;_xlpm.u,ROUND(_xlpm.q,1)&amp;" "&amp;_xlpm.ai_test)),""),""))))</f>
        <v>0</v>
      </c>
      <c r="AW38" s="1047"/>
      <c r="AX38" s="1034">
        <f t="shared" si="29"/>
        <v>0</v>
      </c>
      <c r="AY38" s="1035" t="str">
        <f t="shared" si="30"/>
        <v/>
      </c>
      <c r="AZ38" s="1036">
        <f t="shared" si="36"/>
        <v>0</v>
      </c>
      <c r="BA38" s="1037" t="str">
        <f t="shared" si="31"/>
        <v/>
      </c>
      <c r="BB38" s="1038"/>
      <c r="BC38" s="1039">
        <f t="shared" si="38"/>
        <v>0</v>
      </c>
      <c r="BD38" s="1040" t="str">
        <f t="shared" si="33"/>
        <v/>
      </c>
      <c r="BE38" s="227" t="s">
        <v>22</v>
      </c>
      <c r="BF38" s="1019">
        <f t="shared" si="34"/>
        <v>0</v>
      </c>
      <c r="BG38" s="1020">
        <f t="shared" si="35"/>
        <v>0</v>
      </c>
      <c r="BH38" s="852"/>
      <c r="BI38" s="5259" t="s">
        <v>160</v>
      </c>
      <c r="BJ38" s="5202" t="s">
        <v>1368</v>
      </c>
      <c r="BK38" s="5202" t="s">
        <v>1351</v>
      </c>
      <c r="BL38" s="1013">
        <f t="shared" si="39"/>
        <v>4.9299999999999995E-3</v>
      </c>
      <c r="BM38" s="1051" t="s">
        <v>1814</v>
      </c>
      <c r="BN38" s="1051" t="s">
        <v>1815</v>
      </c>
      <c r="BO38" s="1003">
        <f t="shared" si="37"/>
        <v>203</v>
      </c>
      <c r="BP38" s="1058">
        <v>4.93</v>
      </c>
      <c r="BQ38" s="852"/>
      <c r="BR38" s="852"/>
      <c r="BS38" s="852"/>
      <c r="BT38" s="852"/>
      <c r="BU38" s="852"/>
      <c r="BV38" s="852"/>
      <c r="BW38" s="959" t="str">
        <f t="shared" si="10"/>
        <v>►</v>
      </c>
      <c r="BX38" s="1064"/>
      <c r="BY38" s="857"/>
      <c r="BZ38" s="857"/>
      <c r="CA38" s="858"/>
      <c r="CB38" s="858"/>
      <c r="CC38" s="957"/>
      <c r="CD38" s="5556" t="s">
        <v>13442</v>
      </c>
      <c r="CE38" s="5557"/>
      <c r="CF38" s="5557"/>
      <c r="CG38" s="5557"/>
      <c r="CH38" s="5557"/>
      <c r="CI38" s="5557"/>
      <c r="CJ38" s="5558"/>
      <c r="CL38" s="5556" t="s">
        <v>13443</v>
      </c>
      <c r="CM38" s="5557"/>
      <c r="CN38" s="5557"/>
      <c r="CO38" s="5557"/>
      <c r="CP38" s="5557"/>
      <c r="CQ38" s="5557"/>
      <c r="CR38" s="5558"/>
      <c r="CT38" s="5556" t="s">
        <v>13444</v>
      </c>
      <c r="CU38" s="5557"/>
      <c r="CV38" s="5557"/>
      <c r="CW38" s="5557"/>
      <c r="CX38" s="5557"/>
      <c r="CY38" s="5557"/>
      <c r="CZ38" s="5558"/>
      <c r="DB38" s="3">
        <v>1</v>
      </c>
    </row>
    <row r="39" spans="1:106" s="709" customFormat="1" ht="21" customHeight="1">
      <c r="A39" s="936" t="s">
        <v>22</v>
      </c>
      <c r="B39" s="952" t="str">
        <f t="shared" si="9"/>
        <v>►</v>
      </c>
      <c r="C39" s="993" cm="1">
        <f t="array" ref="C39">SUMPRODUCT(LEN(D39:J39))</f>
        <v>0</v>
      </c>
      <c r="D39" s="167"/>
      <c r="E39" s="172"/>
      <c r="F39" s="172"/>
      <c r="G39" s="172"/>
      <c r="H39" s="172"/>
      <c r="I39" s="172"/>
      <c r="J39" s="173"/>
      <c r="K39" s="442"/>
      <c r="L39" s="104" t="s">
        <v>16</v>
      </c>
      <c r="M39" s="1172"/>
      <c r="N39" s="1172"/>
      <c r="O39" s="1172"/>
      <c r="P39" s="1173"/>
      <c r="Q39" s="1174"/>
      <c r="R39" s="1175"/>
      <c r="S39" s="1176"/>
      <c r="T39" s="1177"/>
      <c r="U39" s="5248"/>
      <c r="V39" s="1177"/>
      <c r="W39" s="5249"/>
      <c r="X39" s="5208"/>
      <c r="Y39" s="5209"/>
      <c r="Z39" s="5210"/>
      <c r="AA39" s="5211"/>
      <c r="AB39" s="1178"/>
      <c r="AC39" s="1179"/>
      <c r="AD39" s="227" t="s">
        <v>22</v>
      </c>
      <c r="AE39" s="1027" t="str">
        <f t="shared" si="15"/>
        <v>►</v>
      </c>
      <c r="AF39" s="1028" t="str">
        <f t="shared" si="16"/>
        <v/>
      </c>
      <c r="AG39" s="1029" t="str">
        <f t="shared" si="17"/>
        <v/>
      </c>
      <c r="AH39" s="1028" t="str">
        <f t="shared" si="18"/>
        <v/>
      </c>
      <c r="AI39" s="1029" t="str">
        <f t="shared" si="19"/>
        <v/>
      </c>
      <c r="AJ39" s="1029">
        <f t="shared" si="20"/>
        <v>0</v>
      </c>
      <c r="AK39" s="1043" t="str" cm="1">
        <f t="array" ref="AK39">IF(AE39&lt;&gt;"A","",IFERROR((IFERROR(_xlfn.XLOOKUP(TRIM(SUBSTITUTE(U39,CHAR(160)," ")),$BI$15:$BI$62,$BL$15:$BL$62),IFERROR(_xlfn.XLOOKUP(TRIM(SUBSTITUTE(U39,CHAR(160)," ")),$BJ$15:$BJ$62,$BL$15:$BL$62),_xlfn.XLOOKUP(TRIM(SUBSTITUTE(U39,CHAR(160)," ")),$BK$15:$BK$62,$BL$15:$BL$62))))*T39*IF(ISBLANK(Q39),1,Q39)+IFERROR(_xlfn.XLOOKUP("RECHERCHEX",TRIM(L39:AC39),L39:AC39),0),0))</f>
        <v/>
      </c>
      <c r="AL39" s="1030">
        <f t="shared" si="21"/>
        <v>0</v>
      </c>
      <c r="AM39" s="5254" t="str">
        <f t="shared" si="40"/>
        <v/>
      </c>
      <c r="AN39" s="1031">
        <f t="shared" si="23"/>
        <v>0</v>
      </c>
      <c r="AO39" s="1031">
        <f t="shared" si="24"/>
        <v>0</v>
      </c>
      <c r="AP39" s="1044">
        <f t="shared" si="25"/>
        <v>0</v>
      </c>
      <c r="AQ39" s="5257" t="str">
        <f t="shared" si="26"/>
        <v/>
      </c>
      <c r="AR39" s="1056"/>
      <c r="AS39" s="1056"/>
      <c r="AT39" s="1045">
        <f t="shared" si="27"/>
        <v>0</v>
      </c>
      <c r="AU39" s="1046">
        <f t="shared" si="28"/>
        <v>0</v>
      </c>
      <c r="AV39" s="1059" cm="1">
        <f t="array" ref="AV39">IF(AJ39&lt;&gt;1,0,IF(OR(AT39="",N(AT39)&lt;=0.000000001),"",IF(OR(AN39="",N(AN39)&lt;=0.000000001),0,IF(ISNUMBER(AT39),IFERROR(_xlfn.LET(_xlpm.ai_test,TRIM(AI39),_xlpm.r,IFERROR(_xlfn.XLOOKUP(_xlpm.ai_test,$BI$15:$BI$62,ROW($BI$15:$BI$62),0,1),IFERROR(_xlfn.XLOOKUP(_xlpm.ai_test,$BJ$15:$BJ$62,ROW($BJ$15:$BJ$62),0,1),_xlfn.XLOOKUP(_xlpm.ai_test,$BK$15:$BK$62,ROW($BK$15:$BK$62),0,1))),_xlpm.p,_xlpm.r-MIN(ROW($BI$15:$BI$62))+1,_xlpm.f,INDEX($BL$15:$BL$62,_xlpm.p),_xlpm.u,INDEX($BM$15:$BM$62,_xlpm.p),_xlpm.s,INDEX($BO$15:$BO$62,_xlpm.p),_xlpm.q,N(AT39)/_xlpm.f,IF(_xlpm.q&gt;=_xlpm.s,ROUND(_xlpm.q,1)&amp;" "&amp;_xlpm.ai_test&amp;" = "&amp;ROUND(_xlpm.q*_xlpm.f,1)&amp;" "&amp;_xlpm.u,ROUND(_xlpm.q,1)&amp;" "&amp;_xlpm.ai_test)),""),""))))</f>
        <v>0</v>
      </c>
      <c r="AW39" s="1047"/>
      <c r="AX39" s="1045">
        <f t="shared" si="29"/>
        <v>0</v>
      </c>
      <c r="AY39" s="1046" t="str">
        <f t="shared" si="30"/>
        <v/>
      </c>
      <c r="AZ39" s="1048">
        <f t="shared" si="36"/>
        <v>0</v>
      </c>
      <c r="BA39" s="1049" t="str">
        <f t="shared" si="31"/>
        <v/>
      </c>
      <c r="BB39" s="1038"/>
      <c r="BC39" s="1050">
        <f t="shared" si="38"/>
        <v>0</v>
      </c>
      <c r="BD39" s="1040" t="str">
        <f t="shared" si="33"/>
        <v/>
      </c>
      <c r="BE39" s="227" t="s">
        <v>22</v>
      </c>
      <c r="BF39" s="1019">
        <f t="shared" si="34"/>
        <v>0</v>
      </c>
      <c r="BG39" s="1020">
        <f t="shared" si="35"/>
        <v>0</v>
      </c>
      <c r="BH39" s="852"/>
      <c r="BI39" s="5259" t="s">
        <v>161</v>
      </c>
      <c r="BJ39" s="5202" t="s">
        <v>1369</v>
      </c>
      <c r="BK39" s="5202" t="s">
        <v>1352</v>
      </c>
      <c r="BL39" s="1013">
        <f t="shared" si="39"/>
        <v>5.0000000000000001E-3</v>
      </c>
      <c r="BM39" s="1051" t="s">
        <v>1814</v>
      </c>
      <c r="BN39" s="1051" t="s">
        <v>1815</v>
      </c>
      <c r="BO39" s="1003">
        <f t="shared" si="37"/>
        <v>200</v>
      </c>
      <c r="BP39" s="1052">
        <v>5</v>
      </c>
      <c r="BQ39" s="852"/>
      <c r="BR39" s="852"/>
      <c r="BS39" s="852"/>
      <c r="BT39" s="852"/>
      <c r="BU39" s="852"/>
      <c r="BV39" s="852"/>
      <c r="BW39" s="959" t="str">
        <f t="shared" si="10"/>
        <v>►</v>
      </c>
      <c r="BX39" s="1064"/>
      <c r="BY39" s="857"/>
      <c r="BZ39" s="857"/>
      <c r="CA39" s="858"/>
      <c r="CB39" s="858"/>
      <c r="CC39" s="957"/>
      <c r="CD39" s="5556"/>
      <c r="CE39" s="5557"/>
      <c r="CF39" s="5557"/>
      <c r="CG39" s="5557"/>
      <c r="CH39" s="5557"/>
      <c r="CI39" s="5557"/>
      <c r="CJ39" s="5558"/>
      <c r="CL39" s="5556"/>
      <c r="CM39" s="5557"/>
      <c r="CN39" s="5557"/>
      <c r="CO39" s="5557"/>
      <c r="CP39" s="5557"/>
      <c r="CQ39" s="5557"/>
      <c r="CR39" s="5558"/>
      <c r="CT39" s="5556"/>
      <c r="CU39" s="5557"/>
      <c r="CV39" s="5557"/>
      <c r="CW39" s="5557"/>
      <c r="CX39" s="5557"/>
      <c r="CY39" s="5557"/>
      <c r="CZ39" s="5558"/>
      <c r="DB39" s="3">
        <v>1</v>
      </c>
    </row>
    <row r="40" spans="1:106" s="709" customFormat="1" ht="21" customHeight="1">
      <c r="A40" s="936" t="s">
        <v>22</v>
      </c>
      <c r="B40" s="952" t="str">
        <f t="shared" si="9"/>
        <v>►</v>
      </c>
      <c r="C40" s="993" cm="1">
        <f t="array" ref="C40">SUMPRODUCT(LEN(D40:J40))</f>
        <v>0</v>
      </c>
      <c r="D40" s="167"/>
      <c r="E40" s="172"/>
      <c r="F40" s="172"/>
      <c r="G40" s="172"/>
      <c r="H40" s="172"/>
      <c r="I40" s="172"/>
      <c r="J40" s="173"/>
      <c r="K40" s="442"/>
      <c r="L40" s="104" t="s">
        <v>16</v>
      </c>
      <c r="M40" s="1172"/>
      <c r="N40" s="1172"/>
      <c r="O40" s="1172"/>
      <c r="P40" s="1173"/>
      <c r="Q40" s="1174"/>
      <c r="R40" s="1175"/>
      <c r="S40" s="1176"/>
      <c r="T40" s="1177"/>
      <c r="U40" s="5248"/>
      <c r="V40" s="1177"/>
      <c r="W40" s="5249"/>
      <c r="X40" s="5208"/>
      <c r="Y40" s="5209"/>
      <c r="Z40" s="5210"/>
      <c r="AA40" s="5211"/>
      <c r="AB40" s="1178"/>
      <c r="AC40" s="1179"/>
      <c r="AD40" s="227" t="s">
        <v>22</v>
      </c>
      <c r="AE40" s="1027" t="str">
        <f t="shared" si="15"/>
        <v>►</v>
      </c>
      <c r="AF40" s="1028" t="str">
        <f t="shared" si="16"/>
        <v/>
      </c>
      <c r="AG40" s="1029" t="str">
        <f t="shared" si="17"/>
        <v/>
      </c>
      <c r="AH40" s="1028" t="str">
        <f t="shared" si="18"/>
        <v/>
      </c>
      <c r="AI40" s="1029" t="str">
        <f t="shared" si="19"/>
        <v/>
      </c>
      <c r="AJ40" s="1029">
        <f t="shared" si="20"/>
        <v>0</v>
      </c>
      <c r="AK40" s="1043" t="str" cm="1">
        <f t="array" ref="AK40">IF(AE40&lt;&gt;"A","",IFERROR((IFERROR(_xlfn.XLOOKUP(TRIM(SUBSTITUTE(U40,CHAR(160)," ")),$BI$15:$BI$62,$BL$15:$BL$62),IFERROR(_xlfn.XLOOKUP(TRIM(SUBSTITUTE(U40,CHAR(160)," ")),$BJ$15:$BJ$62,$BL$15:$BL$62),_xlfn.XLOOKUP(TRIM(SUBSTITUTE(U40,CHAR(160)," ")),$BK$15:$BK$62,$BL$15:$BL$62))))*T40*IF(ISBLANK(Q40),1,Q40)+IFERROR(_xlfn.XLOOKUP("RECHERCHEX",TRIM(L40:AC40),L40:AC40),0),0))</f>
        <v/>
      </c>
      <c r="AL40" s="1030">
        <f t="shared" si="21"/>
        <v>0</v>
      </c>
      <c r="AM40" s="5254" t="str">
        <f t="shared" si="40"/>
        <v/>
      </c>
      <c r="AN40" s="1031">
        <f t="shared" si="23"/>
        <v>0</v>
      </c>
      <c r="AO40" s="1031">
        <f t="shared" si="24"/>
        <v>0</v>
      </c>
      <c r="AP40" s="1032">
        <f t="shared" si="25"/>
        <v>0</v>
      </c>
      <c r="AQ40" s="5255" t="str">
        <f t="shared" si="26"/>
        <v/>
      </c>
      <c r="AR40" s="1056"/>
      <c r="AS40" s="1056"/>
      <c r="AT40" s="1034">
        <f t="shared" si="27"/>
        <v>0</v>
      </c>
      <c r="AU40" s="1035">
        <f t="shared" si="28"/>
        <v>0</v>
      </c>
      <c r="AV40" s="1057" cm="1">
        <f t="array" ref="AV40">IF(AJ40&lt;&gt;1,0,IF(OR(AT40="",N(AT40)&lt;=0.000000001),"",IF(OR(AN40="",N(AN40)&lt;=0.000000001),0,IF(ISNUMBER(AT40),IFERROR(_xlfn.LET(_xlpm.ai_test,TRIM(AI40),_xlpm.r,IFERROR(_xlfn.XLOOKUP(_xlpm.ai_test,$BI$15:$BI$62,ROW($BI$15:$BI$62),0,1),IFERROR(_xlfn.XLOOKUP(_xlpm.ai_test,$BJ$15:$BJ$62,ROW($BJ$15:$BJ$62),0,1),_xlfn.XLOOKUP(_xlpm.ai_test,$BK$15:$BK$62,ROW($BK$15:$BK$62),0,1))),_xlpm.p,_xlpm.r-MIN(ROW($BI$15:$BI$62))+1,_xlpm.f,INDEX($BL$15:$BL$62,_xlpm.p),_xlpm.u,INDEX($BM$15:$BM$62,_xlpm.p),_xlpm.s,INDEX($BO$15:$BO$62,_xlpm.p),_xlpm.q,N(AT40)/_xlpm.f,IF(_xlpm.q&gt;=_xlpm.s,ROUND(_xlpm.q,1)&amp;" "&amp;_xlpm.ai_test&amp;" = "&amp;ROUND(_xlpm.q*_xlpm.f,1)&amp;" "&amp;_xlpm.u,ROUND(_xlpm.q,1)&amp;" "&amp;_xlpm.ai_test)),""),""))))</f>
        <v>0</v>
      </c>
      <c r="AW40" s="1047"/>
      <c r="AX40" s="1034">
        <f t="shared" si="29"/>
        <v>0</v>
      </c>
      <c r="AY40" s="1035" t="str">
        <f t="shared" si="30"/>
        <v/>
      </c>
      <c r="AZ40" s="1036">
        <f t="shared" si="36"/>
        <v>0</v>
      </c>
      <c r="BA40" s="1037" t="str">
        <f t="shared" si="31"/>
        <v/>
      </c>
      <c r="BB40" s="1038"/>
      <c r="BC40" s="1039">
        <f t="shared" si="38"/>
        <v>0</v>
      </c>
      <c r="BD40" s="1040" t="str">
        <f t="shared" si="33"/>
        <v/>
      </c>
      <c r="BE40" s="227" t="s">
        <v>22</v>
      </c>
      <c r="BF40" s="1019">
        <f t="shared" si="34"/>
        <v>0</v>
      </c>
      <c r="BG40" s="1020">
        <f t="shared" si="35"/>
        <v>0</v>
      </c>
      <c r="BH40" s="852"/>
      <c r="BI40" s="5200" t="s">
        <v>156</v>
      </c>
      <c r="BJ40" s="5200" t="s">
        <v>156</v>
      </c>
      <c r="BK40" s="5200" t="s">
        <v>1344</v>
      </c>
      <c r="BL40" s="1013">
        <f t="shared" si="39"/>
        <v>2.835E-2</v>
      </c>
      <c r="BM40" s="865" t="s">
        <v>872</v>
      </c>
      <c r="BN40" s="865" t="s">
        <v>1773</v>
      </c>
      <c r="BO40" s="1003">
        <f t="shared" si="37"/>
        <v>35</v>
      </c>
      <c r="BP40" s="1066">
        <v>28.35</v>
      </c>
      <c r="BQ40" s="852"/>
      <c r="BR40" s="852"/>
      <c r="BS40" s="852"/>
      <c r="BT40" s="852"/>
      <c r="BU40" s="852"/>
      <c r="BV40" s="852"/>
      <c r="BW40" s="959" t="str">
        <f t="shared" si="10"/>
        <v>►</v>
      </c>
      <c r="BX40" s="1064"/>
      <c r="BY40" s="857"/>
      <c r="BZ40" s="857"/>
      <c r="CA40" s="858"/>
      <c r="CB40" s="858"/>
      <c r="CC40" s="957"/>
      <c r="CD40" s="495"/>
      <c r="CE40" s="9"/>
      <c r="CF40" s="9"/>
      <c r="CG40" s="9"/>
      <c r="CH40" s="9"/>
      <c r="CI40" s="9"/>
      <c r="CJ40" s="41"/>
      <c r="CL40" s="495"/>
      <c r="CM40" s="9"/>
      <c r="CN40" s="9"/>
      <c r="CO40" s="9"/>
      <c r="CP40" s="9"/>
      <c r="CQ40" s="9"/>
      <c r="CR40" s="41"/>
      <c r="CT40" s="495"/>
      <c r="CU40" s="9"/>
      <c r="CV40" s="9"/>
      <c r="CW40" s="9"/>
      <c r="CX40" s="9"/>
      <c r="CY40" s="9"/>
      <c r="CZ40" s="41"/>
      <c r="DB40" s="3">
        <v>1</v>
      </c>
    </row>
    <row r="41" spans="1:106" s="709" customFormat="1" ht="21" customHeight="1">
      <c r="A41" s="936" t="s">
        <v>22</v>
      </c>
      <c r="B41" s="952" t="str">
        <f t="shared" si="9"/>
        <v>►</v>
      </c>
      <c r="C41" s="993" cm="1">
        <f t="array" ref="C41">SUMPRODUCT(LEN(D41:J41))</f>
        <v>0</v>
      </c>
      <c r="D41" s="167"/>
      <c r="E41" s="172"/>
      <c r="F41" s="172"/>
      <c r="G41" s="172"/>
      <c r="H41" s="172"/>
      <c r="I41" s="172"/>
      <c r="J41" s="173"/>
      <c r="K41" s="442" t="s">
        <v>22</v>
      </c>
      <c r="L41" s="104" t="s">
        <v>16</v>
      </c>
      <c r="M41" s="1172"/>
      <c r="N41" s="1172"/>
      <c r="O41" s="1172"/>
      <c r="P41" s="1173"/>
      <c r="Q41" s="1174"/>
      <c r="R41" s="1175"/>
      <c r="S41" s="1176"/>
      <c r="T41" s="1177"/>
      <c r="U41" s="5248"/>
      <c r="V41" s="1177"/>
      <c r="W41" s="5249"/>
      <c r="X41" s="5208"/>
      <c r="Y41" s="5209"/>
      <c r="Z41" s="5210"/>
      <c r="AA41" s="5211"/>
      <c r="AB41" s="1178"/>
      <c r="AC41" s="1179"/>
      <c r="AD41" s="227" t="s">
        <v>22</v>
      </c>
      <c r="AE41" s="1027" t="str">
        <f t="shared" si="15"/>
        <v>►</v>
      </c>
      <c r="AF41" s="1028" t="str">
        <f t="shared" si="16"/>
        <v/>
      </c>
      <c r="AG41" s="1029" t="str">
        <f t="shared" si="17"/>
        <v/>
      </c>
      <c r="AH41" s="1028" t="str">
        <f t="shared" si="18"/>
        <v/>
      </c>
      <c r="AI41" s="1029" t="str">
        <f t="shared" si="19"/>
        <v/>
      </c>
      <c r="AJ41" s="1029">
        <f t="shared" si="20"/>
        <v>0</v>
      </c>
      <c r="AK41" s="1043" t="str" cm="1">
        <f t="array" ref="AK41">IF(AE41&lt;&gt;"A","",IFERROR((IFERROR(_xlfn.XLOOKUP(TRIM(SUBSTITUTE(U41,CHAR(160)," ")),$BI$15:$BI$62,$BL$15:$BL$62),IFERROR(_xlfn.XLOOKUP(TRIM(SUBSTITUTE(U41,CHAR(160)," ")),$BJ$15:$BJ$62,$BL$15:$BL$62),_xlfn.XLOOKUP(TRIM(SUBSTITUTE(U41,CHAR(160)," ")),$BK$15:$BK$62,$BL$15:$BL$62))))*T41*IF(ISBLANK(Q41),1,Q41)+IFERROR(_xlfn.XLOOKUP("RECHERCHEX",TRIM(L41:AC41),L41:AC41),0),0))</f>
        <v/>
      </c>
      <c r="AL41" s="1030">
        <f t="shared" si="21"/>
        <v>0</v>
      </c>
      <c r="AM41" s="5254" t="str">
        <f t="shared" si="40"/>
        <v/>
      </c>
      <c r="AN41" s="1031">
        <f t="shared" si="23"/>
        <v>0</v>
      </c>
      <c r="AO41" s="1031">
        <f t="shared" si="24"/>
        <v>0</v>
      </c>
      <c r="AP41" s="1044">
        <f t="shared" si="25"/>
        <v>0</v>
      </c>
      <c r="AQ41" s="5257" t="str">
        <f t="shared" si="26"/>
        <v/>
      </c>
      <c r="AR41" s="1056"/>
      <c r="AS41" s="1056"/>
      <c r="AT41" s="1045">
        <f t="shared" si="27"/>
        <v>0</v>
      </c>
      <c r="AU41" s="1046">
        <f t="shared" si="28"/>
        <v>0</v>
      </c>
      <c r="AV41" s="1059" cm="1">
        <f t="array" ref="AV41">IF(AJ41&lt;&gt;1,0,IF(OR(AT41="",N(AT41)&lt;=0.000000001),"",IF(OR(AN41="",N(AN41)&lt;=0.000000001),0,IF(ISNUMBER(AT41),IFERROR(_xlfn.LET(_xlpm.ai_test,TRIM(AI41),_xlpm.r,IFERROR(_xlfn.XLOOKUP(_xlpm.ai_test,$BI$15:$BI$62,ROW($BI$15:$BI$62),0,1),IFERROR(_xlfn.XLOOKUP(_xlpm.ai_test,$BJ$15:$BJ$62,ROW($BJ$15:$BJ$62),0,1),_xlfn.XLOOKUP(_xlpm.ai_test,$BK$15:$BK$62,ROW($BK$15:$BK$62),0,1))),_xlpm.p,_xlpm.r-MIN(ROW($BI$15:$BI$62))+1,_xlpm.f,INDEX($BL$15:$BL$62,_xlpm.p),_xlpm.u,INDEX($BM$15:$BM$62,_xlpm.p),_xlpm.s,INDEX($BO$15:$BO$62,_xlpm.p),_xlpm.q,N(AT41)/_xlpm.f,IF(_xlpm.q&gt;=_xlpm.s,ROUND(_xlpm.q,1)&amp;" "&amp;_xlpm.ai_test&amp;" = "&amp;ROUND(_xlpm.q*_xlpm.f,1)&amp;" "&amp;_xlpm.u,ROUND(_xlpm.q,1)&amp;" "&amp;_xlpm.ai_test)),""),""))))</f>
        <v>0</v>
      </c>
      <c r="AW41" s="1047"/>
      <c r="AX41" s="1045">
        <f t="shared" si="29"/>
        <v>0</v>
      </c>
      <c r="AY41" s="1046" t="str">
        <f t="shared" si="30"/>
        <v/>
      </c>
      <c r="AZ41" s="1048">
        <f t="shared" si="36"/>
        <v>0</v>
      </c>
      <c r="BA41" s="1049" t="str">
        <f t="shared" si="31"/>
        <v/>
      </c>
      <c r="BB41" s="1038"/>
      <c r="BC41" s="1050">
        <f t="shared" si="38"/>
        <v>0</v>
      </c>
      <c r="BD41" s="1040" t="str">
        <f t="shared" si="33"/>
        <v/>
      </c>
      <c r="BE41" s="227" t="s">
        <v>22</v>
      </c>
      <c r="BF41" s="1019">
        <f t="shared" si="34"/>
        <v>0</v>
      </c>
      <c r="BG41" s="1020">
        <f t="shared" si="35"/>
        <v>0</v>
      </c>
      <c r="BH41" s="852"/>
      <c r="BI41" s="5260" t="s">
        <v>1846</v>
      </c>
      <c r="BJ41" s="5260" t="s">
        <v>1847</v>
      </c>
      <c r="BK41" s="5260" t="s">
        <v>1848</v>
      </c>
      <c r="BL41" s="1013">
        <f t="shared" si="39"/>
        <v>1.4E-2</v>
      </c>
      <c r="BM41" s="1051" t="s">
        <v>1814</v>
      </c>
      <c r="BN41" s="1051" t="s">
        <v>1815</v>
      </c>
      <c r="BO41" s="1003">
        <f t="shared" si="37"/>
        <v>71</v>
      </c>
      <c r="BP41" s="1052">
        <v>14</v>
      </c>
      <c r="BQ41" s="852"/>
      <c r="BR41" s="852"/>
      <c r="BS41" s="852"/>
      <c r="BT41" s="852"/>
      <c r="BU41" s="852"/>
      <c r="BV41" s="852"/>
      <c r="BW41" s="959" t="str">
        <f t="shared" si="10"/>
        <v>►</v>
      </c>
      <c r="BX41" s="1064"/>
      <c r="BY41" s="857"/>
      <c r="BZ41" s="857"/>
      <c r="CA41" s="858"/>
      <c r="CB41" s="858"/>
      <c r="CC41" s="957"/>
      <c r="CD41" s="1068" t="s">
        <v>1849</v>
      </c>
      <c r="CE41" s="9"/>
      <c r="CF41" s="9"/>
      <c r="CG41" s="9"/>
      <c r="CH41" s="9"/>
      <c r="CI41" s="9"/>
      <c r="CJ41" s="41"/>
      <c r="CL41" s="1068" t="s">
        <v>1850</v>
      </c>
      <c r="CM41" s="9"/>
      <c r="CN41" s="9"/>
      <c r="CO41" s="9"/>
      <c r="CP41" s="9"/>
      <c r="CQ41" s="9"/>
      <c r="CR41" s="41"/>
      <c r="CT41" s="1068" t="s">
        <v>1851</v>
      </c>
      <c r="CU41" s="9"/>
      <c r="CV41" s="9"/>
      <c r="CW41" s="9"/>
      <c r="CX41" s="9"/>
      <c r="CY41" s="9"/>
      <c r="CZ41" s="41"/>
      <c r="DB41" s="3">
        <v>1</v>
      </c>
    </row>
    <row r="42" spans="1:106" s="709" customFormat="1" ht="21" customHeight="1">
      <c r="A42" s="936" t="s">
        <v>22</v>
      </c>
      <c r="B42" s="952" t="str">
        <f t="shared" si="9"/>
        <v>►</v>
      </c>
      <c r="C42" s="993" cm="1">
        <f t="array" ref="C42">SUMPRODUCT(LEN(D42:J42))</f>
        <v>0</v>
      </c>
      <c r="D42" s="167"/>
      <c r="E42" s="172"/>
      <c r="F42" s="172"/>
      <c r="G42" s="172"/>
      <c r="H42" s="172"/>
      <c r="I42" s="172"/>
      <c r="J42" s="173"/>
      <c r="K42" s="442" t="s">
        <v>22</v>
      </c>
      <c r="L42" s="104" t="s">
        <v>16</v>
      </c>
      <c r="M42" s="1172"/>
      <c r="N42" s="1172"/>
      <c r="O42" s="1172"/>
      <c r="P42" s="1173"/>
      <c r="Q42" s="1174"/>
      <c r="R42" s="1175"/>
      <c r="S42" s="1176"/>
      <c r="T42" s="1177"/>
      <c r="U42" s="5248"/>
      <c r="V42" s="1177"/>
      <c r="W42" s="5249"/>
      <c r="X42" s="5208"/>
      <c r="Y42" s="5209"/>
      <c r="Z42" s="5210"/>
      <c r="AA42" s="5211"/>
      <c r="AB42" s="1178"/>
      <c r="AC42" s="1179"/>
      <c r="AD42" s="227" t="s">
        <v>22</v>
      </c>
      <c r="AE42" s="1027" t="str">
        <f t="shared" si="15"/>
        <v>►</v>
      </c>
      <c r="AF42" s="1028" t="str">
        <f t="shared" si="16"/>
        <v/>
      </c>
      <c r="AG42" s="1029" t="str">
        <f t="shared" si="17"/>
        <v/>
      </c>
      <c r="AH42" s="1028" t="str">
        <f t="shared" si="18"/>
        <v/>
      </c>
      <c r="AI42" s="1029" t="str">
        <f t="shared" si="19"/>
        <v/>
      </c>
      <c r="AJ42" s="1029">
        <f t="shared" si="20"/>
        <v>0</v>
      </c>
      <c r="AK42" s="1043" t="str" cm="1">
        <f t="array" ref="AK42">IF(AE42&lt;&gt;"A","",IFERROR((IFERROR(_xlfn.XLOOKUP(TRIM(SUBSTITUTE(U42,CHAR(160)," ")),$BI$15:$BI$62,$BL$15:$BL$62),IFERROR(_xlfn.XLOOKUP(TRIM(SUBSTITUTE(U42,CHAR(160)," ")),$BJ$15:$BJ$62,$BL$15:$BL$62),_xlfn.XLOOKUP(TRIM(SUBSTITUTE(U42,CHAR(160)," ")),$BK$15:$BK$62,$BL$15:$BL$62))))*T42*IF(ISBLANK(Q42),1,Q42)+IFERROR(_xlfn.XLOOKUP("RECHERCHEX",TRIM(L42:AC42),L42:AC42),0),0))</f>
        <v/>
      </c>
      <c r="AL42" s="1030">
        <f t="shared" si="21"/>
        <v>0</v>
      </c>
      <c r="AM42" s="5254" t="str">
        <f t="shared" si="40"/>
        <v/>
      </c>
      <c r="AN42" s="1031">
        <f t="shared" si="23"/>
        <v>0</v>
      </c>
      <c r="AO42" s="1031">
        <f t="shared" si="24"/>
        <v>0</v>
      </c>
      <c r="AP42" s="1032">
        <f t="shared" si="25"/>
        <v>0</v>
      </c>
      <c r="AQ42" s="5255" t="str">
        <f t="shared" si="26"/>
        <v/>
      </c>
      <c r="AR42" s="1056"/>
      <c r="AS42" s="1056"/>
      <c r="AT42" s="1034">
        <f t="shared" si="27"/>
        <v>0</v>
      </c>
      <c r="AU42" s="1035">
        <f t="shared" si="28"/>
        <v>0</v>
      </c>
      <c r="AV42" s="1057" cm="1">
        <f t="array" ref="AV42">IF(AJ42&lt;&gt;1,0,IF(OR(AT42="",N(AT42)&lt;=0.000000001),"",IF(OR(AN42="",N(AN42)&lt;=0.000000001),0,IF(ISNUMBER(AT42),IFERROR(_xlfn.LET(_xlpm.ai_test,TRIM(AI42),_xlpm.r,IFERROR(_xlfn.XLOOKUP(_xlpm.ai_test,$BI$15:$BI$62,ROW($BI$15:$BI$62),0,1),IFERROR(_xlfn.XLOOKUP(_xlpm.ai_test,$BJ$15:$BJ$62,ROW($BJ$15:$BJ$62),0,1),_xlfn.XLOOKUP(_xlpm.ai_test,$BK$15:$BK$62,ROW($BK$15:$BK$62),0,1))),_xlpm.p,_xlpm.r-MIN(ROW($BI$15:$BI$62))+1,_xlpm.f,INDEX($BL$15:$BL$62,_xlpm.p),_xlpm.u,INDEX($BM$15:$BM$62,_xlpm.p),_xlpm.s,INDEX($BO$15:$BO$62,_xlpm.p),_xlpm.q,N(AT42)/_xlpm.f,IF(_xlpm.q&gt;=_xlpm.s,ROUND(_xlpm.q,1)&amp;" "&amp;_xlpm.ai_test&amp;" = "&amp;ROUND(_xlpm.q*_xlpm.f,1)&amp;" "&amp;_xlpm.u,ROUND(_xlpm.q,1)&amp;" "&amp;_xlpm.ai_test)),""),""))))</f>
        <v>0</v>
      </c>
      <c r="AW42" s="1047"/>
      <c r="AX42" s="1034">
        <f t="shared" si="29"/>
        <v>0</v>
      </c>
      <c r="AY42" s="1035" t="str">
        <f t="shared" si="30"/>
        <v/>
      </c>
      <c r="AZ42" s="1036">
        <f t="shared" si="36"/>
        <v>0</v>
      </c>
      <c r="BA42" s="1037" t="str">
        <f t="shared" si="31"/>
        <v/>
      </c>
      <c r="BB42" s="1038"/>
      <c r="BC42" s="1039">
        <f t="shared" si="38"/>
        <v>0</v>
      </c>
      <c r="BD42" s="1040" t="str">
        <f t="shared" si="33"/>
        <v/>
      </c>
      <c r="BE42" s="227" t="s">
        <v>22</v>
      </c>
      <c r="BF42" s="1019">
        <f t="shared" si="34"/>
        <v>0</v>
      </c>
      <c r="BG42" s="1020">
        <f t="shared" si="35"/>
        <v>0</v>
      </c>
      <c r="BH42" s="852"/>
      <c r="BI42" s="5260" t="s">
        <v>159</v>
      </c>
      <c r="BJ42" s="5200" t="s">
        <v>1380</v>
      </c>
      <c r="BK42" s="5200" t="s">
        <v>1349</v>
      </c>
      <c r="BL42" s="1013">
        <f t="shared" si="39"/>
        <v>0.22500000000000001</v>
      </c>
      <c r="BM42" s="1051" t="s">
        <v>1814</v>
      </c>
      <c r="BN42" s="1051" t="s">
        <v>1815</v>
      </c>
      <c r="BO42" s="1003">
        <f t="shared" si="37"/>
        <v>4</v>
      </c>
      <c r="BP42" s="1052">
        <v>225</v>
      </c>
      <c r="BQ42" s="852"/>
      <c r="BR42" s="852"/>
      <c r="BS42" s="852"/>
      <c r="BT42" s="852"/>
      <c r="BU42" s="852"/>
      <c r="BV42" s="852"/>
      <c r="BW42" s="959" t="str">
        <f t="shared" si="10"/>
        <v>►</v>
      </c>
      <c r="BX42" s="1064"/>
      <c r="BY42" s="857"/>
      <c r="BZ42" s="857"/>
      <c r="CA42" s="858"/>
      <c r="CB42" s="858"/>
      <c r="CC42" s="957"/>
      <c r="CD42" s="1069" t="s">
        <v>1678</v>
      </c>
      <c r="CE42" s="9"/>
      <c r="CF42" s="9"/>
      <c r="CG42" s="9"/>
      <c r="CH42" s="9"/>
      <c r="CI42" s="9"/>
      <c r="CJ42" s="41"/>
      <c r="CL42" s="1069" t="s">
        <v>1852</v>
      </c>
      <c r="CM42" s="9"/>
      <c r="CN42" s="9"/>
      <c r="CO42" s="9"/>
      <c r="CP42" s="9"/>
      <c r="CQ42" s="9"/>
      <c r="CR42" s="41"/>
      <c r="CT42" s="1069" t="s">
        <v>1853</v>
      </c>
      <c r="CU42" s="9"/>
      <c r="CV42" s="9"/>
      <c r="CW42" s="9"/>
      <c r="CX42" s="9"/>
      <c r="CY42" s="9"/>
      <c r="CZ42" s="41"/>
      <c r="DB42" s="3">
        <v>1</v>
      </c>
    </row>
    <row r="43" spans="1:106" s="709" customFormat="1" ht="21" customHeight="1">
      <c r="A43" s="936" t="s">
        <v>22</v>
      </c>
      <c r="B43" s="952" t="str">
        <f t="shared" si="9"/>
        <v>►</v>
      </c>
      <c r="C43" s="993" cm="1">
        <f t="array" ref="C43">SUMPRODUCT(LEN(D43:J43))</f>
        <v>0</v>
      </c>
      <c r="D43" s="167"/>
      <c r="E43" s="172"/>
      <c r="F43" s="172"/>
      <c r="G43" s="172"/>
      <c r="H43" s="172"/>
      <c r="I43" s="172"/>
      <c r="J43" s="173"/>
      <c r="K43" s="442" t="s">
        <v>22</v>
      </c>
      <c r="L43" s="104" t="s">
        <v>16</v>
      </c>
      <c r="M43" s="1172"/>
      <c r="N43" s="1172"/>
      <c r="O43" s="1172"/>
      <c r="P43" s="1173"/>
      <c r="Q43" s="1174"/>
      <c r="R43" s="1175"/>
      <c r="S43" s="1176"/>
      <c r="T43" s="1177"/>
      <c r="U43" s="5248"/>
      <c r="V43" s="1177"/>
      <c r="W43" s="5249"/>
      <c r="X43" s="5208"/>
      <c r="Y43" s="5209"/>
      <c r="Z43" s="5210"/>
      <c r="AA43" s="5211"/>
      <c r="AB43" s="1178"/>
      <c r="AC43" s="1179"/>
      <c r="AD43" s="227" t="s">
        <v>22</v>
      </c>
      <c r="AE43" s="1027" t="str">
        <f t="shared" si="15"/>
        <v>►</v>
      </c>
      <c r="AF43" s="1028" t="str">
        <f t="shared" si="16"/>
        <v/>
      </c>
      <c r="AG43" s="1029" t="str">
        <f t="shared" si="17"/>
        <v/>
      </c>
      <c r="AH43" s="1028" t="str">
        <f t="shared" si="18"/>
        <v/>
      </c>
      <c r="AI43" s="1029" t="str">
        <f t="shared" si="19"/>
        <v/>
      </c>
      <c r="AJ43" s="1029">
        <f t="shared" si="20"/>
        <v>0</v>
      </c>
      <c r="AK43" s="1043" t="str" cm="1">
        <f t="array" ref="AK43">IF(AE43&lt;&gt;"A","",IFERROR((IFERROR(_xlfn.XLOOKUP(TRIM(SUBSTITUTE(U43,CHAR(160)," ")),$BI$15:$BI$62,$BL$15:$BL$62),IFERROR(_xlfn.XLOOKUP(TRIM(SUBSTITUTE(U43,CHAR(160)," ")),$BJ$15:$BJ$62,$BL$15:$BL$62),_xlfn.XLOOKUP(TRIM(SUBSTITUTE(U43,CHAR(160)," ")),$BK$15:$BK$62,$BL$15:$BL$62))))*T43*IF(ISBLANK(Q43),1,Q43)+IFERROR(_xlfn.XLOOKUP("RECHERCHEX",TRIM(L43:AC43),L43:AC43),0),0))</f>
        <v/>
      </c>
      <c r="AL43" s="1030">
        <f t="shared" si="21"/>
        <v>0</v>
      </c>
      <c r="AM43" s="5254" t="str">
        <f t="shared" si="40"/>
        <v/>
      </c>
      <c r="AN43" s="1031">
        <f t="shared" si="23"/>
        <v>0</v>
      </c>
      <c r="AO43" s="1031">
        <f t="shared" si="24"/>
        <v>0</v>
      </c>
      <c r="AP43" s="1044">
        <f t="shared" si="25"/>
        <v>0</v>
      </c>
      <c r="AQ43" s="5257" t="str">
        <f t="shared" si="26"/>
        <v/>
      </c>
      <c r="AR43" s="1056"/>
      <c r="AS43" s="1056"/>
      <c r="AT43" s="1045">
        <f t="shared" si="27"/>
        <v>0</v>
      </c>
      <c r="AU43" s="1046">
        <f t="shared" si="28"/>
        <v>0</v>
      </c>
      <c r="AV43" s="1059" cm="1">
        <f t="array" ref="AV43">IF(AJ43&lt;&gt;1,0,IF(OR(AT43="",N(AT43)&lt;=0.000000001),"",IF(OR(AN43="",N(AN43)&lt;=0.000000001),0,IF(ISNUMBER(AT43),IFERROR(_xlfn.LET(_xlpm.ai_test,TRIM(AI43),_xlpm.r,IFERROR(_xlfn.XLOOKUP(_xlpm.ai_test,$BI$15:$BI$62,ROW($BI$15:$BI$62),0,1),IFERROR(_xlfn.XLOOKUP(_xlpm.ai_test,$BJ$15:$BJ$62,ROW($BJ$15:$BJ$62),0,1),_xlfn.XLOOKUP(_xlpm.ai_test,$BK$15:$BK$62,ROW($BK$15:$BK$62),0,1))),_xlpm.p,_xlpm.r-MIN(ROW($BI$15:$BI$62))+1,_xlpm.f,INDEX($BL$15:$BL$62,_xlpm.p),_xlpm.u,INDEX($BM$15:$BM$62,_xlpm.p),_xlpm.s,INDEX($BO$15:$BO$62,_xlpm.p),_xlpm.q,N(AT43)/_xlpm.f,IF(_xlpm.q&gt;=_xlpm.s,ROUND(_xlpm.q,1)&amp;" "&amp;_xlpm.ai_test&amp;" = "&amp;ROUND(_xlpm.q*_xlpm.f,1)&amp;" "&amp;_xlpm.u,ROUND(_xlpm.q,1)&amp;" "&amp;_xlpm.ai_test)),""),""))))</f>
        <v>0</v>
      </c>
      <c r="AW43" s="1047"/>
      <c r="AX43" s="1045">
        <f t="shared" si="29"/>
        <v>0</v>
      </c>
      <c r="AY43" s="1046" t="str">
        <f t="shared" si="30"/>
        <v/>
      </c>
      <c r="AZ43" s="1048">
        <f t="shared" si="36"/>
        <v>0</v>
      </c>
      <c r="BA43" s="1049" t="str">
        <f t="shared" si="31"/>
        <v/>
      </c>
      <c r="BB43" s="1038"/>
      <c r="BC43" s="1050">
        <f t="shared" si="38"/>
        <v>0</v>
      </c>
      <c r="BD43" s="1040" t="str">
        <f t="shared" si="33"/>
        <v/>
      </c>
      <c r="BE43" s="227" t="s">
        <v>22</v>
      </c>
      <c r="BF43" s="1019">
        <f t="shared" si="34"/>
        <v>0</v>
      </c>
      <c r="BG43" s="1020">
        <f t="shared" si="35"/>
        <v>0</v>
      </c>
      <c r="BH43" s="852"/>
      <c r="BI43" s="5260" t="s">
        <v>1854</v>
      </c>
      <c r="BJ43" s="5260" t="s">
        <v>1854</v>
      </c>
      <c r="BK43" s="5260" t="s">
        <v>1855</v>
      </c>
      <c r="BL43" s="1013">
        <f t="shared" si="39"/>
        <v>0.11799999999999999</v>
      </c>
      <c r="BM43" s="1051" t="s">
        <v>1814</v>
      </c>
      <c r="BN43" s="1051" t="s">
        <v>1815</v>
      </c>
      <c r="BO43" s="1003">
        <f t="shared" si="37"/>
        <v>8</v>
      </c>
      <c r="BP43" s="1052">
        <v>118</v>
      </c>
      <c r="BQ43" s="852"/>
      <c r="BR43" s="852"/>
      <c r="BS43" s="852"/>
      <c r="BT43" s="852"/>
      <c r="BU43" s="852"/>
      <c r="BV43" s="852"/>
      <c r="BW43" s="959" t="str">
        <f t="shared" si="10"/>
        <v>►</v>
      </c>
      <c r="BX43" s="1064"/>
      <c r="BY43" s="857"/>
      <c r="BZ43" s="857"/>
      <c r="CA43" s="858"/>
      <c r="CB43" s="858"/>
      <c r="CC43" s="957"/>
      <c r="CD43" s="495"/>
      <c r="CE43" s="9"/>
      <c r="CF43" s="9"/>
      <c r="CG43" s="9"/>
      <c r="CH43" s="9"/>
      <c r="CI43" s="9"/>
      <c r="CJ43" s="41"/>
      <c r="CL43" s="495"/>
      <c r="CM43" s="9"/>
      <c r="CN43" s="9"/>
      <c r="CO43" s="9"/>
      <c r="CP43" s="9"/>
      <c r="CQ43" s="9"/>
      <c r="CR43" s="41"/>
      <c r="CT43" s="495"/>
      <c r="CU43" s="9"/>
      <c r="CV43" s="9"/>
      <c r="CW43" s="9"/>
      <c r="CX43" s="9"/>
      <c r="CY43" s="9"/>
      <c r="CZ43" s="41"/>
      <c r="DB43" s="3">
        <v>1</v>
      </c>
    </row>
    <row r="44" spans="1:106" s="709" customFormat="1" ht="21" customHeight="1">
      <c r="A44" s="936" t="s">
        <v>22</v>
      </c>
      <c r="B44" s="952" t="str">
        <f t="shared" si="9"/>
        <v>►</v>
      </c>
      <c r="C44" s="993" cm="1">
        <f t="array" ref="C44">SUMPRODUCT(LEN(D44:J44))</f>
        <v>0</v>
      </c>
      <c r="D44" s="167"/>
      <c r="E44" s="172"/>
      <c r="F44" s="172"/>
      <c r="G44" s="172"/>
      <c r="H44" s="172"/>
      <c r="I44" s="172"/>
      <c r="J44" s="173"/>
      <c r="K44" s="442"/>
      <c r="L44" s="104" t="s">
        <v>16</v>
      </c>
      <c r="M44" s="1172"/>
      <c r="N44" s="1172"/>
      <c r="O44" s="1172"/>
      <c r="P44" s="1173"/>
      <c r="Q44" s="1174"/>
      <c r="R44" s="1175"/>
      <c r="S44" s="1176"/>
      <c r="T44" s="1177"/>
      <c r="U44" s="5248"/>
      <c r="V44" s="1177"/>
      <c r="W44" s="5249"/>
      <c r="X44" s="5208"/>
      <c r="Y44" s="5209"/>
      <c r="Z44" s="5210"/>
      <c r="AA44" s="5211"/>
      <c r="AB44" s="1178"/>
      <c r="AC44" s="1179"/>
      <c r="AD44" s="227" t="s">
        <v>22</v>
      </c>
      <c r="AE44" s="1027" t="str">
        <f t="shared" si="15"/>
        <v>►</v>
      </c>
      <c r="AF44" s="1028" t="str">
        <f t="shared" si="16"/>
        <v/>
      </c>
      <c r="AG44" s="1029" t="str">
        <f t="shared" si="17"/>
        <v/>
      </c>
      <c r="AH44" s="1028" t="str">
        <f t="shared" si="18"/>
        <v/>
      </c>
      <c r="AI44" s="1029" t="str">
        <f t="shared" si="19"/>
        <v/>
      </c>
      <c r="AJ44" s="1029">
        <f t="shared" si="20"/>
        <v>0</v>
      </c>
      <c r="AK44" s="1043" t="str" cm="1">
        <f t="array" ref="AK44">IF(AE44&lt;&gt;"A","",IFERROR((IFERROR(_xlfn.XLOOKUP(TRIM(SUBSTITUTE(U44,CHAR(160)," ")),$BI$15:$BI$62,$BL$15:$BL$62),IFERROR(_xlfn.XLOOKUP(TRIM(SUBSTITUTE(U44,CHAR(160)," ")),$BJ$15:$BJ$62,$BL$15:$BL$62),_xlfn.XLOOKUP(TRIM(SUBSTITUTE(U44,CHAR(160)," ")),$BK$15:$BK$62,$BL$15:$BL$62))))*T44*IF(ISBLANK(Q44),1,Q44)+IFERROR(_xlfn.XLOOKUP("RECHERCHEX",TRIM(L44:AC44),L44:AC44),0),0))</f>
        <v/>
      </c>
      <c r="AL44" s="1030">
        <f t="shared" si="21"/>
        <v>0</v>
      </c>
      <c r="AM44" s="5254" t="str">
        <f t="shared" si="40"/>
        <v/>
      </c>
      <c r="AN44" s="1031">
        <f t="shared" si="23"/>
        <v>0</v>
      </c>
      <c r="AO44" s="1031">
        <f t="shared" si="24"/>
        <v>0</v>
      </c>
      <c r="AP44" s="1032">
        <f t="shared" si="25"/>
        <v>0</v>
      </c>
      <c r="AQ44" s="5255" t="str">
        <f t="shared" si="26"/>
        <v/>
      </c>
      <c r="AR44" s="1056"/>
      <c r="AS44" s="1056"/>
      <c r="AT44" s="1034">
        <f t="shared" si="27"/>
        <v>0</v>
      </c>
      <c r="AU44" s="1035">
        <f t="shared" si="28"/>
        <v>0</v>
      </c>
      <c r="AV44" s="1057" cm="1">
        <f t="array" ref="AV44">IF(AJ44&lt;&gt;1,0,IF(OR(AT44="",N(AT44)&lt;=0.000000001),"",IF(OR(AN44="",N(AN44)&lt;=0.000000001),0,IF(ISNUMBER(AT44),IFERROR(_xlfn.LET(_xlpm.ai_test,TRIM(AI44),_xlpm.r,IFERROR(_xlfn.XLOOKUP(_xlpm.ai_test,$BI$15:$BI$62,ROW($BI$15:$BI$62),0,1),IFERROR(_xlfn.XLOOKUP(_xlpm.ai_test,$BJ$15:$BJ$62,ROW($BJ$15:$BJ$62),0,1),_xlfn.XLOOKUP(_xlpm.ai_test,$BK$15:$BK$62,ROW($BK$15:$BK$62),0,1))),_xlpm.p,_xlpm.r-MIN(ROW($BI$15:$BI$62))+1,_xlpm.f,INDEX($BL$15:$BL$62,_xlpm.p),_xlpm.u,INDEX($BM$15:$BM$62,_xlpm.p),_xlpm.s,INDEX($BO$15:$BO$62,_xlpm.p),_xlpm.q,N(AT44)/_xlpm.f,IF(_xlpm.q&gt;=_xlpm.s,ROUND(_xlpm.q,1)&amp;" "&amp;_xlpm.ai_test&amp;" = "&amp;ROUND(_xlpm.q*_xlpm.f,1)&amp;" "&amp;_xlpm.u,ROUND(_xlpm.q,1)&amp;" "&amp;_xlpm.ai_test)),""),""))))</f>
        <v>0</v>
      </c>
      <c r="AW44" s="1047"/>
      <c r="AX44" s="1034">
        <f t="shared" si="29"/>
        <v>0</v>
      </c>
      <c r="AY44" s="1035" t="str">
        <f t="shared" si="30"/>
        <v/>
      </c>
      <c r="AZ44" s="1036">
        <f t="shared" si="36"/>
        <v>0</v>
      </c>
      <c r="BA44" s="1037" t="str">
        <f t="shared" si="31"/>
        <v/>
      </c>
      <c r="BB44" s="1038"/>
      <c r="BC44" s="1039">
        <f t="shared" si="38"/>
        <v>0</v>
      </c>
      <c r="BD44" s="1040" t="str">
        <f t="shared" si="33"/>
        <v/>
      </c>
      <c r="BE44" s="227" t="s">
        <v>22</v>
      </c>
      <c r="BF44" s="1019">
        <f t="shared" si="34"/>
        <v>0</v>
      </c>
      <c r="BG44" s="1020">
        <f t="shared" si="35"/>
        <v>0</v>
      </c>
      <c r="BH44" s="852"/>
      <c r="BI44" s="5260" t="s">
        <v>1856</v>
      </c>
      <c r="BJ44" s="5260" t="s">
        <v>1856</v>
      </c>
      <c r="BK44" s="5260" t="s">
        <v>1857</v>
      </c>
      <c r="BL44" s="1013">
        <f t="shared" si="39"/>
        <v>5.8999999999999997E-2</v>
      </c>
      <c r="BM44" s="1051" t="s">
        <v>1814</v>
      </c>
      <c r="BN44" s="1051" t="s">
        <v>1815</v>
      </c>
      <c r="BO44" s="1003">
        <f t="shared" si="37"/>
        <v>17</v>
      </c>
      <c r="BP44" s="1052">
        <v>59</v>
      </c>
      <c r="BQ44" s="852"/>
      <c r="BR44" s="852"/>
      <c r="BS44" s="852"/>
      <c r="BT44" s="852"/>
      <c r="BU44" s="852"/>
      <c r="BV44" s="852"/>
      <c r="BW44" s="959" t="str">
        <f t="shared" si="10"/>
        <v>►</v>
      </c>
      <c r="BX44" s="1064"/>
      <c r="BY44" s="857"/>
      <c r="BZ44" s="857"/>
      <c r="CA44" s="858"/>
      <c r="CB44" s="858"/>
      <c r="CC44" s="957"/>
      <c r="CD44" s="1070" t="s">
        <v>1858</v>
      </c>
      <c r="CE44" s="9"/>
      <c r="CF44" s="9"/>
      <c r="CG44" s="9"/>
      <c r="CH44" s="9"/>
      <c r="CI44" s="9"/>
      <c r="CJ44" s="41"/>
      <c r="CL44" s="1070" t="s">
        <v>1859</v>
      </c>
      <c r="CM44" s="9"/>
      <c r="CN44" s="9"/>
      <c r="CO44" s="9"/>
      <c r="CP44" s="9"/>
      <c r="CQ44" s="9"/>
      <c r="CR44" s="41"/>
      <c r="CT44" s="1070" t="s">
        <v>1860</v>
      </c>
      <c r="CU44" s="9"/>
      <c r="CV44" s="9"/>
      <c r="CW44" s="9"/>
      <c r="CX44" s="9"/>
      <c r="CY44" s="9"/>
      <c r="CZ44" s="41"/>
      <c r="DB44" s="3">
        <v>1</v>
      </c>
    </row>
    <row r="45" spans="1:106" s="709" customFormat="1" ht="21" customHeight="1">
      <c r="A45" s="936" t="s">
        <v>22</v>
      </c>
      <c r="B45" s="952" t="str">
        <f t="shared" si="9"/>
        <v>►</v>
      </c>
      <c r="C45" s="993" cm="1">
        <f t="array" ref="C45">SUMPRODUCT(LEN(D45:J45))</f>
        <v>0</v>
      </c>
      <c r="D45" s="167"/>
      <c r="E45" s="172"/>
      <c r="F45" s="172"/>
      <c r="G45" s="172"/>
      <c r="H45" s="172"/>
      <c r="I45" s="172"/>
      <c r="J45" s="173"/>
      <c r="K45" s="442"/>
      <c r="L45" s="104" t="s">
        <v>16</v>
      </c>
      <c r="M45" s="1172"/>
      <c r="N45" s="1172"/>
      <c r="O45" s="1172"/>
      <c r="P45" s="1173"/>
      <c r="Q45" s="1174"/>
      <c r="R45" s="1175"/>
      <c r="S45" s="1176"/>
      <c r="T45" s="1177"/>
      <c r="U45" s="5248"/>
      <c r="V45" s="1177"/>
      <c r="W45" s="5249"/>
      <c r="X45" s="5208"/>
      <c r="Y45" s="5209"/>
      <c r="Z45" s="5210"/>
      <c r="AA45" s="5211"/>
      <c r="AB45" s="1178"/>
      <c r="AC45" s="1179"/>
      <c r="AD45" s="227" t="s">
        <v>22</v>
      </c>
      <c r="AE45" s="1027" t="str">
        <f t="shared" si="15"/>
        <v>►</v>
      </c>
      <c r="AF45" s="1028" t="str">
        <f t="shared" si="16"/>
        <v/>
      </c>
      <c r="AG45" s="1029" t="str">
        <f t="shared" si="17"/>
        <v/>
      </c>
      <c r="AH45" s="1028" t="str">
        <f t="shared" si="18"/>
        <v/>
      </c>
      <c r="AI45" s="1029" t="str">
        <f t="shared" si="19"/>
        <v/>
      </c>
      <c r="AJ45" s="1029">
        <f t="shared" si="20"/>
        <v>0</v>
      </c>
      <c r="AK45" s="1043" t="str" cm="1">
        <f t="array" ref="AK45">IF(AE45&lt;&gt;"A","",IFERROR((IFERROR(_xlfn.XLOOKUP(TRIM(SUBSTITUTE(U45,CHAR(160)," ")),$BI$15:$BI$62,$BL$15:$BL$62),IFERROR(_xlfn.XLOOKUP(TRIM(SUBSTITUTE(U45,CHAR(160)," ")),$BJ$15:$BJ$62,$BL$15:$BL$62),_xlfn.XLOOKUP(TRIM(SUBSTITUTE(U45,CHAR(160)," ")),$BK$15:$BK$62,$BL$15:$BL$62))))*T45*IF(ISBLANK(Q45),1,Q45)+IFERROR(_xlfn.XLOOKUP("RECHERCHEX",TRIM(L45:AC45),L45:AC45),0),0))</f>
        <v/>
      </c>
      <c r="AL45" s="1030">
        <f t="shared" si="21"/>
        <v>0</v>
      </c>
      <c r="AM45" s="5254" t="str">
        <f t="shared" si="40"/>
        <v/>
      </c>
      <c r="AN45" s="1031">
        <f t="shared" si="23"/>
        <v>0</v>
      </c>
      <c r="AO45" s="1031">
        <f t="shared" si="24"/>
        <v>0</v>
      </c>
      <c r="AP45" s="1044">
        <f t="shared" si="25"/>
        <v>0</v>
      </c>
      <c r="AQ45" s="5257" t="str">
        <f t="shared" si="26"/>
        <v/>
      </c>
      <c r="AR45" s="1056"/>
      <c r="AS45" s="1056"/>
      <c r="AT45" s="1045">
        <f t="shared" si="27"/>
        <v>0</v>
      </c>
      <c r="AU45" s="1046">
        <f t="shared" si="28"/>
        <v>0</v>
      </c>
      <c r="AV45" s="1059" cm="1">
        <f t="array" ref="AV45">IF(AJ45&lt;&gt;1,0,IF(OR(AT45="",N(AT45)&lt;=0.000000001),"",IF(OR(AN45="",N(AN45)&lt;=0.000000001),0,IF(ISNUMBER(AT45),IFERROR(_xlfn.LET(_xlpm.ai_test,TRIM(AI45),_xlpm.r,IFERROR(_xlfn.XLOOKUP(_xlpm.ai_test,$BI$15:$BI$62,ROW($BI$15:$BI$62),0,1),IFERROR(_xlfn.XLOOKUP(_xlpm.ai_test,$BJ$15:$BJ$62,ROW($BJ$15:$BJ$62),0,1),_xlfn.XLOOKUP(_xlpm.ai_test,$BK$15:$BK$62,ROW($BK$15:$BK$62),0,1))),_xlpm.p,_xlpm.r-MIN(ROW($BI$15:$BI$62))+1,_xlpm.f,INDEX($BL$15:$BL$62,_xlpm.p),_xlpm.u,INDEX($BM$15:$BM$62,_xlpm.p),_xlpm.s,INDEX($BO$15:$BO$62,_xlpm.p),_xlpm.q,N(AT45)/_xlpm.f,IF(_xlpm.q&gt;=_xlpm.s,ROUND(_xlpm.q,1)&amp;" "&amp;_xlpm.ai_test&amp;" = "&amp;ROUND(_xlpm.q*_xlpm.f,1)&amp;" "&amp;_xlpm.u,ROUND(_xlpm.q,1)&amp;" "&amp;_xlpm.ai_test)),""),""))))</f>
        <v>0</v>
      </c>
      <c r="AW45" s="1047"/>
      <c r="AX45" s="1045">
        <f t="shared" si="29"/>
        <v>0</v>
      </c>
      <c r="AY45" s="1046" t="str">
        <f t="shared" si="30"/>
        <v/>
      </c>
      <c r="AZ45" s="1048">
        <f t="shared" si="36"/>
        <v>0</v>
      </c>
      <c r="BA45" s="1049" t="str">
        <f t="shared" si="31"/>
        <v/>
      </c>
      <c r="BB45" s="1038"/>
      <c r="BC45" s="1050">
        <f t="shared" si="38"/>
        <v>0</v>
      </c>
      <c r="BD45" s="1040" t="str">
        <f t="shared" si="33"/>
        <v/>
      </c>
      <c r="BE45" s="227" t="s">
        <v>22</v>
      </c>
      <c r="BF45" s="1019">
        <f t="shared" si="34"/>
        <v>0</v>
      </c>
      <c r="BG45" s="1020">
        <f t="shared" si="35"/>
        <v>0</v>
      </c>
      <c r="BH45" s="852"/>
      <c r="BI45" s="5200" t="s">
        <v>158</v>
      </c>
      <c r="BJ45" s="5200" t="s">
        <v>1366</v>
      </c>
      <c r="BK45" s="5200" t="s">
        <v>1348</v>
      </c>
      <c r="BL45" s="1013">
        <f t="shared" si="39"/>
        <v>0.23</v>
      </c>
      <c r="BM45" s="865" t="s">
        <v>872</v>
      </c>
      <c r="BN45" s="865" t="s">
        <v>1773</v>
      </c>
      <c r="BO45" s="1003">
        <f t="shared" si="37"/>
        <v>4</v>
      </c>
      <c r="BP45" s="1022">
        <v>230</v>
      </c>
      <c r="BQ45" s="852"/>
      <c r="BR45" s="852"/>
      <c r="BS45" s="852"/>
      <c r="BT45" s="852"/>
      <c r="BU45" s="852"/>
      <c r="BV45" s="852"/>
      <c r="BW45" s="959" t="str">
        <f t="shared" si="10"/>
        <v>►</v>
      </c>
      <c r="BX45" s="5559" t="s">
        <v>1861</v>
      </c>
      <c r="BY45" s="5559"/>
      <c r="BZ45" s="5559"/>
      <c r="CA45" s="5559"/>
      <c r="CB45" s="5559"/>
      <c r="CC45" s="957"/>
      <c r="CD45" s="1071" t="s">
        <v>1862</v>
      </c>
      <c r="CE45" s="9"/>
      <c r="CF45" s="9"/>
      <c r="CG45" s="9"/>
      <c r="CH45" s="9"/>
      <c r="CI45" s="9"/>
      <c r="CJ45" s="41"/>
      <c r="CL45" s="1071" t="s">
        <v>1863</v>
      </c>
      <c r="CM45" s="9"/>
      <c r="CN45" s="9"/>
      <c r="CO45" s="9"/>
      <c r="CP45" s="9"/>
      <c r="CQ45" s="9"/>
      <c r="CR45" s="41"/>
      <c r="CT45" s="1071" t="s">
        <v>1864</v>
      </c>
      <c r="CU45" s="9"/>
      <c r="CV45" s="9"/>
      <c r="CW45" s="9"/>
      <c r="CX45" s="9"/>
      <c r="CY45" s="9"/>
      <c r="CZ45" s="41"/>
      <c r="DB45" s="3">
        <v>1</v>
      </c>
    </row>
    <row r="46" spans="1:106" s="709" customFormat="1" ht="21" customHeight="1">
      <c r="A46" s="936" t="s">
        <v>22</v>
      </c>
      <c r="B46" s="952" t="str">
        <f t="shared" si="9"/>
        <v>►</v>
      </c>
      <c r="C46" s="993" cm="1">
        <f t="array" ref="C46">SUMPRODUCT(LEN(D46:J46))</f>
        <v>0</v>
      </c>
      <c r="D46" s="167"/>
      <c r="E46" s="172"/>
      <c r="F46" s="172"/>
      <c r="G46" s="172"/>
      <c r="H46" s="172"/>
      <c r="I46" s="172"/>
      <c r="J46" s="173"/>
      <c r="K46" s="442"/>
      <c r="L46" s="104" t="s">
        <v>16</v>
      </c>
      <c r="M46" s="1172"/>
      <c r="N46" s="1172"/>
      <c r="O46" s="1172"/>
      <c r="P46" s="1173"/>
      <c r="Q46" s="1174"/>
      <c r="R46" s="1175"/>
      <c r="S46" s="1176"/>
      <c r="T46" s="1177"/>
      <c r="U46" s="5248"/>
      <c r="V46" s="1177"/>
      <c r="W46" s="5249"/>
      <c r="X46" s="5208"/>
      <c r="Y46" s="5209"/>
      <c r="Z46" s="5210"/>
      <c r="AA46" s="5211"/>
      <c r="AB46" s="1178"/>
      <c r="AC46" s="1179"/>
      <c r="AD46" s="227" t="s">
        <v>22</v>
      </c>
      <c r="AE46" s="1027" t="str">
        <f t="shared" si="15"/>
        <v>►</v>
      </c>
      <c r="AF46" s="1028" t="str">
        <f t="shared" si="16"/>
        <v/>
      </c>
      <c r="AG46" s="1029" t="str">
        <f t="shared" si="17"/>
        <v/>
      </c>
      <c r="AH46" s="1028" t="str">
        <f t="shared" si="18"/>
        <v/>
      </c>
      <c r="AI46" s="1029" t="str">
        <f t="shared" si="19"/>
        <v/>
      </c>
      <c r="AJ46" s="1029">
        <f t="shared" si="20"/>
        <v>0</v>
      </c>
      <c r="AK46" s="1043" t="str" cm="1">
        <f t="array" ref="AK46">IF(AE46&lt;&gt;"A","",IFERROR((IFERROR(_xlfn.XLOOKUP(TRIM(SUBSTITUTE(U46,CHAR(160)," ")),$BI$15:$BI$62,$BL$15:$BL$62),IFERROR(_xlfn.XLOOKUP(TRIM(SUBSTITUTE(U46,CHAR(160)," ")),$BJ$15:$BJ$62,$BL$15:$BL$62),_xlfn.XLOOKUP(TRIM(SUBSTITUTE(U46,CHAR(160)," ")),$BK$15:$BK$62,$BL$15:$BL$62))))*T46*IF(ISBLANK(Q46),1,Q46)+IFERROR(_xlfn.XLOOKUP("RECHERCHEX",TRIM(L46:AC46),L46:AC46),0),0))</f>
        <v/>
      </c>
      <c r="AL46" s="1030">
        <f t="shared" si="21"/>
        <v>0</v>
      </c>
      <c r="AM46" s="5254" t="str">
        <f t="shared" si="40"/>
        <v/>
      </c>
      <c r="AN46" s="1031">
        <f t="shared" si="23"/>
        <v>0</v>
      </c>
      <c r="AO46" s="1031">
        <f t="shared" si="24"/>
        <v>0</v>
      </c>
      <c r="AP46" s="1032">
        <f t="shared" si="25"/>
        <v>0</v>
      </c>
      <c r="AQ46" s="5255" t="str">
        <f t="shared" si="26"/>
        <v/>
      </c>
      <c r="AR46" s="1056"/>
      <c r="AS46" s="1056"/>
      <c r="AT46" s="1034">
        <f t="shared" si="27"/>
        <v>0</v>
      </c>
      <c r="AU46" s="1035">
        <f t="shared" si="28"/>
        <v>0</v>
      </c>
      <c r="AV46" s="1057" cm="1">
        <f t="array" ref="AV46">IF(AJ46&lt;&gt;1,0,IF(OR(AT46="",N(AT46)&lt;=0.000000001),"",IF(OR(AN46="",N(AN46)&lt;=0.000000001),0,IF(ISNUMBER(AT46),IFERROR(_xlfn.LET(_xlpm.ai_test,TRIM(AI46),_xlpm.r,IFERROR(_xlfn.XLOOKUP(_xlpm.ai_test,$BI$15:$BI$62,ROW($BI$15:$BI$62),0,1),IFERROR(_xlfn.XLOOKUP(_xlpm.ai_test,$BJ$15:$BJ$62,ROW($BJ$15:$BJ$62),0,1),_xlfn.XLOOKUP(_xlpm.ai_test,$BK$15:$BK$62,ROW($BK$15:$BK$62),0,1))),_xlpm.p,_xlpm.r-MIN(ROW($BI$15:$BI$62))+1,_xlpm.f,INDEX($BL$15:$BL$62,_xlpm.p),_xlpm.u,INDEX($BM$15:$BM$62,_xlpm.p),_xlpm.s,INDEX($BO$15:$BO$62,_xlpm.p),_xlpm.q,N(AT46)/_xlpm.f,IF(_xlpm.q&gt;=_xlpm.s,ROUND(_xlpm.q,1)&amp;" "&amp;_xlpm.ai_test&amp;" = "&amp;ROUND(_xlpm.q*_xlpm.f,1)&amp;" "&amp;_xlpm.u,ROUND(_xlpm.q,1)&amp;" "&amp;_xlpm.ai_test)),""),""))))</f>
        <v>0</v>
      </c>
      <c r="AW46" s="1047"/>
      <c r="AX46" s="1034">
        <f t="shared" si="29"/>
        <v>0</v>
      </c>
      <c r="AY46" s="1035" t="str">
        <f t="shared" si="30"/>
        <v/>
      </c>
      <c r="AZ46" s="1036">
        <f t="shared" si="36"/>
        <v>0</v>
      </c>
      <c r="BA46" s="1037" t="str">
        <f t="shared" si="31"/>
        <v/>
      </c>
      <c r="BB46" s="1038"/>
      <c r="BC46" s="1039">
        <f t="shared" si="38"/>
        <v>0</v>
      </c>
      <c r="BD46" s="1040" t="str">
        <f t="shared" si="33"/>
        <v/>
      </c>
      <c r="BE46" s="227" t="s">
        <v>22</v>
      </c>
      <c r="BF46" s="1019">
        <f t="shared" si="34"/>
        <v>0</v>
      </c>
      <c r="BG46" s="1020">
        <f t="shared" si="35"/>
        <v>0</v>
      </c>
      <c r="BH46" s="852"/>
      <c r="BI46" s="5200" t="s">
        <v>157</v>
      </c>
      <c r="BJ46" s="5200" t="s">
        <v>1363</v>
      </c>
      <c r="BK46" s="5200" t="s">
        <v>1345</v>
      </c>
      <c r="BL46" s="1013">
        <f t="shared" si="39"/>
        <v>0.13</v>
      </c>
      <c r="BM46" s="865" t="s">
        <v>872</v>
      </c>
      <c r="BN46" s="865" t="s">
        <v>1773</v>
      </c>
      <c r="BO46" s="1003">
        <f t="shared" si="37"/>
        <v>8</v>
      </c>
      <c r="BP46" s="1014">
        <v>130</v>
      </c>
      <c r="BQ46" s="852"/>
      <c r="BR46" s="852"/>
      <c r="BS46" s="852"/>
      <c r="BT46" s="852"/>
      <c r="BU46" s="852"/>
      <c r="BV46" s="852"/>
      <c r="BW46" s="959" t="str">
        <f t="shared" si="10"/>
        <v>►</v>
      </c>
      <c r="BX46" s="5559"/>
      <c r="BY46" s="5559"/>
      <c r="BZ46" s="5559"/>
      <c r="CA46" s="5559"/>
      <c r="CB46" s="5559"/>
      <c r="CC46" s="957"/>
      <c r="CD46" s="1071" t="s">
        <v>1865</v>
      </c>
      <c r="CE46" s="9"/>
      <c r="CF46" s="9"/>
      <c r="CG46" s="9"/>
      <c r="CH46" s="9"/>
      <c r="CI46" s="9"/>
      <c r="CJ46" s="41"/>
      <c r="CL46" s="1071" t="s">
        <v>1866</v>
      </c>
      <c r="CM46" s="9"/>
      <c r="CN46" s="9"/>
      <c r="CO46" s="9"/>
      <c r="CP46" s="9"/>
      <c r="CQ46" s="9"/>
      <c r="CR46" s="41"/>
      <c r="CT46" s="1071" t="s">
        <v>1867</v>
      </c>
      <c r="CU46" s="9"/>
      <c r="CV46" s="9"/>
      <c r="CW46" s="9"/>
      <c r="CX46" s="9"/>
      <c r="CY46" s="9"/>
      <c r="CZ46" s="41"/>
      <c r="DB46" s="3">
        <v>1</v>
      </c>
    </row>
    <row r="47" spans="1:106" s="709" customFormat="1" ht="21" customHeight="1">
      <c r="A47" s="936" t="s">
        <v>22</v>
      </c>
      <c r="B47" s="952" t="str">
        <f t="shared" si="9"/>
        <v>►</v>
      </c>
      <c r="C47" s="993" cm="1">
        <f t="array" ref="C47">SUMPRODUCT(LEN(D47:J47))</f>
        <v>0</v>
      </c>
      <c r="D47" s="167"/>
      <c r="E47" s="172"/>
      <c r="F47" s="172"/>
      <c r="G47" s="172"/>
      <c r="H47" s="172"/>
      <c r="I47" s="172"/>
      <c r="J47" s="173"/>
      <c r="K47" s="442"/>
      <c r="L47" s="104" t="s">
        <v>16</v>
      </c>
      <c r="M47" s="1172"/>
      <c r="N47" s="1172"/>
      <c r="O47" s="1172"/>
      <c r="P47" s="1173"/>
      <c r="Q47" s="1174"/>
      <c r="R47" s="1175"/>
      <c r="S47" s="1176"/>
      <c r="T47" s="1177"/>
      <c r="U47" s="5248"/>
      <c r="V47" s="1177"/>
      <c r="W47" s="5249"/>
      <c r="X47" s="5208"/>
      <c r="Y47" s="5209"/>
      <c r="Z47" s="5210"/>
      <c r="AA47" s="5211"/>
      <c r="AB47" s="1178"/>
      <c r="AC47" s="1179"/>
      <c r="AD47" s="227" t="s">
        <v>22</v>
      </c>
      <c r="AE47" s="1027" t="str">
        <f t="shared" si="15"/>
        <v>►</v>
      </c>
      <c r="AF47" s="1028" t="str">
        <f t="shared" si="16"/>
        <v/>
      </c>
      <c r="AG47" s="1029" t="str">
        <f t="shared" si="17"/>
        <v/>
      </c>
      <c r="AH47" s="1028" t="str">
        <f t="shared" si="18"/>
        <v/>
      </c>
      <c r="AI47" s="1029" t="str">
        <f t="shared" si="19"/>
        <v/>
      </c>
      <c r="AJ47" s="1029">
        <f t="shared" si="20"/>
        <v>0</v>
      </c>
      <c r="AK47" s="1043" t="str" cm="1">
        <f t="array" ref="AK47">IF(AE47&lt;&gt;"A","",IFERROR((IFERROR(_xlfn.XLOOKUP(TRIM(SUBSTITUTE(U47,CHAR(160)," ")),$BI$15:$BI$62,$BL$15:$BL$62),IFERROR(_xlfn.XLOOKUP(TRIM(SUBSTITUTE(U47,CHAR(160)," ")),$BJ$15:$BJ$62,$BL$15:$BL$62),_xlfn.XLOOKUP(TRIM(SUBSTITUTE(U47,CHAR(160)," ")),$BK$15:$BK$62,$BL$15:$BL$62))))*T47*IF(ISBLANK(Q47),1,Q47)+IFERROR(_xlfn.XLOOKUP("RECHERCHEX",TRIM(L47:AC47),L47:AC47),0),0))</f>
        <v/>
      </c>
      <c r="AL47" s="1030">
        <f t="shared" si="21"/>
        <v>0</v>
      </c>
      <c r="AM47" s="5254" t="str">
        <f t="shared" si="40"/>
        <v/>
      </c>
      <c r="AN47" s="1031">
        <f t="shared" si="23"/>
        <v>0</v>
      </c>
      <c r="AO47" s="1031">
        <f t="shared" si="24"/>
        <v>0</v>
      </c>
      <c r="AP47" s="1044">
        <f t="shared" si="25"/>
        <v>0</v>
      </c>
      <c r="AQ47" s="5257" t="str">
        <f t="shared" si="26"/>
        <v/>
      </c>
      <c r="AR47" s="1056"/>
      <c r="AS47" s="1056"/>
      <c r="AT47" s="1045">
        <f t="shared" si="27"/>
        <v>0</v>
      </c>
      <c r="AU47" s="1046">
        <f t="shared" si="28"/>
        <v>0</v>
      </c>
      <c r="AV47" s="1059" cm="1">
        <f t="array" ref="AV47">IF(AJ47&lt;&gt;1,0,IF(OR(AT47="",N(AT47)&lt;=0.000000001),"",IF(OR(AN47="",N(AN47)&lt;=0.000000001),0,IF(ISNUMBER(AT47),IFERROR(_xlfn.LET(_xlpm.ai_test,TRIM(AI47),_xlpm.r,IFERROR(_xlfn.XLOOKUP(_xlpm.ai_test,$BI$15:$BI$62,ROW($BI$15:$BI$62),0,1),IFERROR(_xlfn.XLOOKUP(_xlpm.ai_test,$BJ$15:$BJ$62,ROW($BJ$15:$BJ$62),0,1),_xlfn.XLOOKUP(_xlpm.ai_test,$BK$15:$BK$62,ROW($BK$15:$BK$62),0,1))),_xlpm.p,_xlpm.r-MIN(ROW($BI$15:$BI$62))+1,_xlpm.f,INDEX($BL$15:$BL$62,_xlpm.p),_xlpm.u,INDEX($BM$15:$BM$62,_xlpm.p),_xlpm.s,INDEX($BO$15:$BO$62,_xlpm.p),_xlpm.q,N(AT47)/_xlpm.f,IF(_xlpm.q&gt;=_xlpm.s,ROUND(_xlpm.q,1)&amp;" "&amp;_xlpm.ai_test&amp;" = "&amp;ROUND(_xlpm.q*_xlpm.f,1)&amp;" "&amp;_xlpm.u,ROUND(_xlpm.q,1)&amp;" "&amp;_xlpm.ai_test)),""),""))))</f>
        <v>0</v>
      </c>
      <c r="AW47" s="1047"/>
      <c r="AX47" s="1045">
        <f t="shared" si="29"/>
        <v>0</v>
      </c>
      <c r="AY47" s="1046" t="str">
        <f t="shared" si="30"/>
        <v/>
      </c>
      <c r="AZ47" s="1048">
        <f t="shared" si="36"/>
        <v>0</v>
      </c>
      <c r="BA47" s="1049" t="str">
        <f t="shared" si="31"/>
        <v/>
      </c>
      <c r="BB47" s="1038"/>
      <c r="BC47" s="1050">
        <f t="shared" si="38"/>
        <v>0</v>
      </c>
      <c r="BD47" s="1040" t="str">
        <f t="shared" si="33"/>
        <v/>
      </c>
      <c r="BE47" s="227" t="s">
        <v>22</v>
      </c>
      <c r="BF47" s="1019">
        <f t="shared" si="34"/>
        <v>0</v>
      </c>
      <c r="BG47" s="1020">
        <f t="shared" si="35"/>
        <v>0</v>
      </c>
      <c r="BH47" s="852"/>
      <c r="BI47" s="5200" t="s">
        <v>112</v>
      </c>
      <c r="BJ47" s="5200" t="s">
        <v>1365</v>
      </c>
      <c r="BK47" s="5200" t="s">
        <v>1347</v>
      </c>
      <c r="BL47" s="1013">
        <f t="shared" si="39"/>
        <v>0.2</v>
      </c>
      <c r="BM47" s="865" t="s">
        <v>872</v>
      </c>
      <c r="BN47" s="865" t="s">
        <v>1773</v>
      </c>
      <c r="BO47" s="1003">
        <f t="shared" si="37"/>
        <v>5</v>
      </c>
      <c r="BP47" s="1014">
        <v>200</v>
      </c>
      <c r="BQ47" s="852"/>
      <c r="BR47" s="852"/>
      <c r="BS47" s="852"/>
      <c r="BT47" s="852"/>
      <c r="BU47" s="852"/>
      <c r="BV47" s="852"/>
      <c r="BW47" s="959" t="str">
        <f t="shared" si="10"/>
        <v>►</v>
      </c>
      <c r="BX47" s="1064"/>
      <c r="BY47" s="857"/>
      <c r="BZ47" s="857"/>
      <c r="CA47" s="858"/>
      <c r="CB47" s="858"/>
      <c r="CC47" s="957"/>
      <c r="CD47" s="1073" t="s">
        <v>1868</v>
      </c>
      <c r="CE47" s="9"/>
      <c r="CF47" s="9"/>
      <c r="CG47" s="9"/>
      <c r="CH47" s="9"/>
      <c r="CI47" s="9"/>
      <c r="CJ47" s="41"/>
      <c r="CL47" s="1073" t="s">
        <v>1869</v>
      </c>
      <c r="CM47" s="9"/>
      <c r="CN47" s="9"/>
      <c r="CO47" s="9"/>
      <c r="CP47" s="9"/>
      <c r="CQ47" s="9"/>
      <c r="CR47" s="41"/>
      <c r="CT47" s="1073" t="s">
        <v>1870</v>
      </c>
      <c r="CU47" s="9"/>
      <c r="CV47" s="9"/>
      <c r="CW47" s="9"/>
      <c r="CX47" s="9"/>
      <c r="CY47" s="9"/>
      <c r="CZ47" s="41"/>
      <c r="DB47" s="3">
        <v>1</v>
      </c>
    </row>
    <row r="48" spans="1:106" s="709" customFormat="1" ht="21" customHeight="1">
      <c r="A48" s="936" t="s">
        <v>22</v>
      </c>
      <c r="B48" s="952" t="str">
        <f t="shared" si="9"/>
        <v>►</v>
      </c>
      <c r="C48" s="993" cm="1">
        <f t="array" ref="C48">SUMPRODUCT(LEN(D48:J48))</f>
        <v>0</v>
      </c>
      <c r="D48" s="167"/>
      <c r="E48" s="172"/>
      <c r="F48" s="172"/>
      <c r="G48" s="172"/>
      <c r="H48" s="172"/>
      <c r="I48" s="172"/>
      <c r="J48" s="173"/>
      <c r="K48" s="442"/>
      <c r="L48" s="104" t="s">
        <v>16</v>
      </c>
      <c r="M48" s="1172"/>
      <c r="N48" s="1172"/>
      <c r="O48" s="1172"/>
      <c r="P48" s="1173"/>
      <c r="Q48" s="1174"/>
      <c r="R48" s="1175"/>
      <c r="S48" s="1176"/>
      <c r="T48" s="1177"/>
      <c r="U48" s="5248"/>
      <c r="V48" s="1177"/>
      <c r="W48" s="5249"/>
      <c r="X48" s="5208"/>
      <c r="Y48" s="5209"/>
      <c r="Z48" s="5210"/>
      <c r="AA48" s="5211"/>
      <c r="AB48" s="1178"/>
      <c r="AC48" s="1179"/>
      <c r="AD48" s="227" t="s">
        <v>22</v>
      </c>
      <c r="AE48" s="1027" t="str">
        <f t="shared" si="15"/>
        <v>►</v>
      </c>
      <c r="AF48" s="1028" t="str">
        <f t="shared" si="16"/>
        <v/>
      </c>
      <c r="AG48" s="1029" t="str">
        <f t="shared" si="17"/>
        <v/>
      </c>
      <c r="AH48" s="1028" t="str">
        <f t="shared" si="18"/>
        <v/>
      </c>
      <c r="AI48" s="1029" t="str">
        <f t="shared" si="19"/>
        <v/>
      </c>
      <c r="AJ48" s="1029">
        <f t="shared" si="20"/>
        <v>0</v>
      </c>
      <c r="AK48" s="1043" t="str" cm="1">
        <f t="array" ref="AK48">IF(AE48&lt;&gt;"A","",IFERROR((IFERROR(_xlfn.XLOOKUP(TRIM(SUBSTITUTE(U48,CHAR(160)," ")),$BI$15:$BI$62,$BL$15:$BL$62),IFERROR(_xlfn.XLOOKUP(TRIM(SUBSTITUTE(U48,CHAR(160)," ")),$BJ$15:$BJ$62,$BL$15:$BL$62),_xlfn.XLOOKUP(TRIM(SUBSTITUTE(U48,CHAR(160)," ")),$BK$15:$BK$62,$BL$15:$BL$62))))*T48*IF(ISBLANK(Q48),1,Q48)+IFERROR(_xlfn.XLOOKUP("RECHERCHEX",TRIM(L48:AC48),L48:AC48),0),0))</f>
        <v/>
      </c>
      <c r="AL48" s="1030">
        <f t="shared" si="21"/>
        <v>0</v>
      </c>
      <c r="AM48" s="5254" t="str">
        <f t="shared" si="40"/>
        <v/>
      </c>
      <c r="AN48" s="1031">
        <f t="shared" si="23"/>
        <v>0</v>
      </c>
      <c r="AO48" s="1031">
        <f t="shared" si="24"/>
        <v>0</v>
      </c>
      <c r="AP48" s="1032">
        <f t="shared" si="25"/>
        <v>0</v>
      </c>
      <c r="AQ48" s="5255" t="str">
        <f t="shared" si="26"/>
        <v/>
      </c>
      <c r="AR48" s="1056"/>
      <c r="AS48" s="1056"/>
      <c r="AT48" s="1034">
        <f t="shared" si="27"/>
        <v>0</v>
      </c>
      <c r="AU48" s="1035">
        <f t="shared" si="28"/>
        <v>0</v>
      </c>
      <c r="AV48" s="1057" cm="1">
        <f t="array" ref="AV48">IF(AJ48&lt;&gt;1,0,IF(OR(AT48="",N(AT48)&lt;=0.000000001),"",IF(OR(AN48="",N(AN48)&lt;=0.000000001),0,IF(ISNUMBER(AT48),IFERROR(_xlfn.LET(_xlpm.ai_test,TRIM(AI48),_xlpm.r,IFERROR(_xlfn.XLOOKUP(_xlpm.ai_test,$BI$15:$BI$62,ROW($BI$15:$BI$62),0,1),IFERROR(_xlfn.XLOOKUP(_xlpm.ai_test,$BJ$15:$BJ$62,ROW($BJ$15:$BJ$62),0,1),_xlfn.XLOOKUP(_xlpm.ai_test,$BK$15:$BK$62,ROW($BK$15:$BK$62),0,1))),_xlpm.p,_xlpm.r-MIN(ROW($BI$15:$BI$62))+1,_xlpm.f,INDEX($BL$15:$BL$62,_xlpm.p),_xlpm.u,INDEX($BM$15:$BM$62,_xlpm.p),_xlpm.s,INDEX($BO$15:$BO$62,_xlpm.p),_xlpm.q,N(AT48)/_xlpm.f,IF(_xlpm.q&gt;=_xlpm.s,ROUND(_xlpm.q,1)&amp;" "&amp;_xlpm.ai_test&amp;" = "&amp;ROUND(_xlpm.q*_xlpm.f,1)&amp;" "&amp;_xlpm.u,ROUND(_xlpm.q,1)&amp;" "&amp;_xlpm.ai_test)),""),""))))</f>
        <v>0</v>
      </c>
      <c r="AW48" s="1047"/>
      <c r="AX48" s="1034">
        <f t="shared" si="29"/>
        <v>0</v>
      </c>
      <c r="AY48" s="1035" t="str">
        <f t="shared" si="30"/>
        <v/>
      </c>
      <c r="AZ48" s="1036">
        <f t="shared" si="36"/>
        <v>0</v>
      </c>
      <c r="BA48" s="1037" t="str">
        <f t="shared" si="31"/>
        <v/>
      </c>
      <c r="BB48" s="1038"/>
      <c r="BC48" s="1039">
        <f t="shared" si="38"/>
        <v>0</v>
      </c>
      <c r="BD48" s="1040" t="str">
        <f t="shared" si="33"/>
        <v/>
      </c>
      <c r="BE48" s="227" t="s">
        <v>22</v>
      </c>
      <c r="BF48" s="1019">
        <f t="shared" si="34"/>
        <v>0</v>
      </c>
      <c r="BG48" s="1020">
        <f t="shared" si="35"/>
        <v>0</v>
      </c>
      <c r="BH48" s="852"/>
      <c r="BI48" s="5261" t="s">
        <v>164</v>
      </c>
      <c r="BJ48" s="5262" t="s">
        <v>1373</v>
      </c>
      <c r="BK48" s="5262" t="s">
        <v>1356</v>
      </c>
      <c r="BL48" s="1013">
        <f t="shared" si="39"/>
        <v>1E-3</v>
      </c>
      <c r="BM48" s="1051" t="s">
        <v>1814</v>
      </c>
      <c r="BN48" s="1051" t="s">
        <v>1815</v>
      </c>
      <c r="BO48" s="1003">
        <f t="shared" si="37"/>
        <v>1000</v>
      </c>
      <c r="BP48" s="1052">
        <v>1</v>
      </c>
      <c r="BQ48" s="852"/>
      <c r="BR48" s="852"/>
      <c r="BS48" s="852"/>
      <c r="BT48" s="852"/>
      <c r="BU48" s="852"/>
      <c r="BV48" s="852"/>
      <c r="BW48" s="959" t="str">
        <f t="shared" si="10"/>
        <v>►</v>
      </c>
      <c r="BX48" s="5559" t="s">
        <v>1871</v>
      </c>
      <c r="BY48" s="5559"/>
      <c r="BZ48" s="5559"/>
      <c r="CA48" s="5559"/>
      <c r="CB48" s="5559"/>
      <c r="CC48" s="957"/>
      <c r="CD48" s="1073" t="s">
        <v>1872</v>
      </c>
      <c r="CE48" s="9"/>
      <c r="CF48" s="9"/>
      <c r="CG48" s="9"/>
      <c r="CH48" s="9"/>
      <c r="CI48" s="9"/>
      <c r="CJ48" s="41"/>
      <c r="CL48" s="1073" t="s">
        <v>1873</v>
      </c>
      <c r="CM48" s="9"/>
      <c r="CN48" s="9"/>
      <c r="CO48" s="9"/>
      <c r="CP48" s="9"/>
      <c r="CQ48" s="9"/>
      <c r="CR48" s="41"/>
      <c r="CT48" s="1073" t="s">
        <v>1874</v>
      </c>
      <c r="CU48" s="9"/>
      <c r="CV48" s="9"/>
      <c r="CW48" s="9"/>
      <c r="CX48" s="9"/>
      <c r="CY48" s="9"/>
      <c r="CZ48" s="41"/>
      <c r="DB48" s="3">
        <v>1</v>
      </c>
    </row>
    <row r="49" spans="1:106" s="709" customFormat="1" ht="21" customHeight="1">
      <c r="A49" s="936" t="s">
        <v>22</v>
      </c>
      <c r="B49" s="952" t="str">
        <f t="shared" si="9"/>
        <v>►</v>
      </c>
      <c r="C49" s="993" cm="1">
        <f t="array" ref="C49">SUMPRODUCT(LEN(D49:J49))</f>
        <v>0</v>
      </c>
      <c r="D49" s="167"/>
      <c r="E49" s="172"/>
      <c r="F49" s="172"/>
      <c r="G49" s="172"/>
      <c r="H49" s="172"/>
      <c r="I49" s="172"/>
      <c r="J49" s="173"/>
      <c r="K49" s="442"/>
      <c r="L49" s="104" t="s">
        <v>16</v>
      </c>
      <c r="M49" s="1172"/>
      <c r="N49" s="1172"/>
      <c r="O49" s="1172"/>
      <c r="P49" s="1173"/>
      <c r="Q49" s="1174"/>
      <c r="R49" s="1175"/>
      <c r="S49" s="1176"/>
      <c r="T49" s="1177"/>
      <c r="U49" s="5248"/>
      <c r="V49" s="1177"/>
      <c r="W49" s="5249"/>
      <c r="X49" s="5208"/>
      <c r="Y49" s="5209"/>
      <c r="Z49" s="5210"/>
      <c r="AA49" s="5211"/>
      <c r="AB49" s="1178"/>
      <c r="AC49" s="1179"/>
      <c r="AD49" s="227" t="s">
        <v>22</v>
      </c>
      <c r="AE49" s="1027" t="str">
        <f t="shared" si="15"/>
        <v>►</v>
      </c>
      <c r="AF49" s="1028" t="str">
        <f t="shared" si="16"/>
        <v/>
      </c>
      <c r="AG49" s="1029" t="str">
        <f t="shared" si="17"/>
        <v/>
      </c>
      <c r="AH49" s="1028" t="str">
        <f t="shared" si="18"/>
        <v/>
      </c>
      <c r="AI49" s="1029" t="str">
        <f t="shared" si="19"/>
        <v/>
      </c>
      <c r="AJ49" s="1029">
        <f t="shared" si="20"/>
        <v>0</v>
      </c>
      <c r="AK49" s="1043" t="str" cm="1">
        <f t="array" ref="AK49">IF(AE49&lt;&gt;"A","",IFERROR((IFERROR(_xlfn.XLOOKUP(TRIM(SUBSTITUTE(U49,CHAR(160)," ")),$BI$15:$BI$62,$BL$15:$BL$62),IFERROR(_xlfn.XLOOKUP(TRIM(SUBSTITUTE(U49,CHAR(160)," ")),$BJ$15:$BJ$62,$BL$15:$BL$62),_xlfn.XLOOKUP(TRIM(SUBSTITUTE(U49,CHAR(160)," ")),$BK$15:$BK$62,$BL$15:$BL$62))))*T49*IF(ISBLANK(Q49),1,Q49)+IFERROR(_xlfn.XLOOKUP("RECHERCHEX",TRIM(L49:AC49),L49:AC49),0),0))</f>
        <v/>
      </c>
      <c r="AL49" s="1030">
        <f t="shared" si="21"/>
        <v>0</v>
      </c>
      <c r="AM49" s="5254" t="str">
        <f t="shared" si="40"/>
        <v/>
      </c>
      <c r="AN49" s="1031">
        <f t="shared" si="23"/>
        <v>0</v>
      </c>
      <c r="AO49" s="1031">
        <f t="shared" si="24"/>
        <v>0</v>
      </c>
      <c r="AP49" s="1044">
        <f t="shared" si="25"/>
        <v>0</v>
      </c>
      <c r="AQ49" s="5257" t="str">
        <f t="shared" si="26"/>
        <v/>
      </c>
      <c r="AR49" s="1056"/>
      <c r="AS49" s="1056"/>
      <c r="AT49" s="1045">
        <f t="shared" si="27"/>
        <v>0</v>
      </c>
      <c r="AU49" s="1046">
        <f t="shared" si="28"/>
        <v>0</v>
      </c>
      <c r="AV49" s="1059" cm="1">
        <f t="array" ref="AV49">IF(AJ49&lt;&gt;1,0,IF(OR(AT49="",N(AT49)&lt;=0.000000001),"",IF(OR(AN49="",N(AN49)&lt;=0.000000001),0,IF(ISNUMBER(AT49),IFERROR(_xlfn.LET(_xlpm.ai_test,TRIM(AI49),_xlpm.r,IFERROR(_xlfn.XLOOKUP(_xlpm.ai_test,$BI$15:$BI$62,ROW($BI$15:$BI$62),0,1),IFERROR(_xlfn.XLOOKUP(_xlpm.ai_test,$BJ$15:$BJ$62,ROW($BJ$15:$BJ$62),0,1),_xlfn.XLOOKUP(_xlpm.ai_test,$BK$15:$BK$62,ROW($BK$15:$BK$62),0,1))),_xlpm.p,_xlpm.r-MIN(ROW($BI$15:$BI$62))+1,_xlpm.f,INDEX($BL$15:$BL$62,_xlpm.p),_xlpm.u,INDEX($BM$15:$BM$62,_xlpm.p),_xlpm.s,INDEX($BO$15:$BO$62,_xlpm.p),_xlpm.q,N(AT49)/_xlpm.f,IF(_xlpm.q&gt;=_xlpm.s,ROUND(_xlpm.q,1)&amp;" "&amp;_xlpm.ai_test&amp;" = "&amp;ROUND(_xlpm.q*_xlpm.f,1)&amp;" "&amp;_xlpm.u,ROUND(_xlpm.q,1)&amp;" "&amp;_xlpm.ai_test)),""),""))))</f>
        <v>0</v>
      </c>
      <c r="AW49" s="1047"/>
      <c r="AX49" s="1045">
        <f t="shared" si="29"/>
        <v>0</v>
      </c>
      <c r="AY49" s="1046" t="str">
        <f t="shared" si="30"/>
        <v/>
      </c>
      <c r="AZ49" s="1048">
        <f t="shared" si="36"/>
        <v>0</v>
      </c>
      <c r="BA49" s="1049" t="str">
        <f t="shared" si="31"/>
        <v/>
      </c>
      <c r="BB49" s="1038"/>
      <c r="BC49" s="1050">
        <f t="shared" si="38"/>
        <v>0</v>
      </c>
      <c r="BD49" s="1040" t="str">
        <f t="shared" si="33"/>
        <v/>
      </c>
      <c r="BE49" s="227" t="s">
        <v>22</v>
      </c>
      <c r="BF49" s="1019">
        <f t="shared" si="34"/>
        <v>0</v>
      </c>
      <c r="BG49" s="1020">
        <f t="shared" si="35"/>
        <v>0</v>
      </c>
      <c r="BH49" s="852"/>
      <c r="BI49" s="5261" t="s">
        <v>1875</v>
      </c>
      <c r="BJ49" s="5262" t="s">
        <v>1373</v>
      </c>
      <c r="BK49" s="5262" t="s">
        <v>1356</v>
      </c>
      <c r="BL49" s="1013">
        <f t="shared" si="39"/>
        <v>2.5000000000000001E-3</v>
      </c>
      <c r="BM49" s="1051" t="s">
        <v>1814</v>
      </c>
      <c r="BN49" s="1051" t="s">
        <v>1815</v>
      </c>
      <c r="BO49" s="1003">
        <f t="shared" si="37"/>
        <v>400</v>
      </c>
      <c r="BP49" s="1058">
        <v>2.5</v>
      </c>
      <c r="BQ49" s="852"/>
      <c r="BR49" s="852"/>
      <c r="BS49" s="852"/>
      <c r="BT49" s="852"/>
      <c r="BU49" s="852"/>
      <c r="BV49" s="852"/>
      <c r="BW49" s="959" t="str">
        <f t="shared" si="10"/>
        <v>►</v>
      </c>
      <c r="BX49" s="5559"/>
      <c r="BY49" s="5559"/>
      <c r="BZ49" s="5559"/>
      <c r="CA49" s="5559"/>
      <c r="CB49" s="5559"/>
      <c r="CC49" s="957"/>
      <c r="CD49" s="1074"/>
      <c r="CE49" s="9"/>
      <c r="CF49" s="9"/>
      <c r="CG49" s="9"/>
      <c r="CH49" s="9"/>
      <c r="CI49" s="9"/>
      <c r="CJ49" s="41"/>
      <c r="CL49" s="1074"/>
      <c r="CM49" s="9"/>
      <c r="CN49" s="9"/>
      <c r="CO49" s="9"/>
      <c r="CP49" s="9"/>
      <c r="CQ49" s="9"/>
      <c r="CR49" s="41"/>
      <c r="CT49" s="1074"/>
      <c r="CU49" s="9"/>
      <c r="CV49" s="9"/>
      <c r="CW49" s="9"/>
      <c r="CX49" s="9"/>
      <c r="CY49" s="9"/>
      <c r="CZ49" s="41"/>
      <c r="DB49" s="3">
        <v>1</v>
      </c>
    </row>
    <row r="50" spans="1:106" s="709" customFormat="1" ht="21" customHeight="1">
      <c r="A50" s="936" t="s">
        <v>22</v>
      </c>
      <c r="B50" s="952" t="str">
        <f t="shared" si="9"/>
        <v>►</v>
      </c>
      <c r="C50" s="993" cm="1">
        <f t="array" ref="C50">SUMPRODUCT(LEN(D50:J50))</f>
        <v>0</v>
      </c>
      <c r="D50" s="167"/>
      <c r="E50" s="172"/>
      <c r="F50" s="172"/>
      <c r="G50" s="172"/>
      <c r="H50" s="172"/>
      <c r="I50" s="172"/>
      <c r="J50" s="173"/>
      <c r="K50" s="442"/>
      <c r="L50" s="104" t="s">
        <v>16</v>
      </c>
      <c r="M50" s="1172"/>
      <c r="N50" s="1172"/>
      <c r="O50" s="1172"/>
      <c r="P50" s="1173"/>
      <c r="Q50" s="1174"/>
      <c r="R50" s="1175"/>
      <c r="S50" s="1176"/>
      <c r="T50" s="1177"/>
      <c r="U50" s="5248"/>
      <c r="V50" s="1177"/>
      <c r="W50" s="5249"/>
      <c r="X50" s="5208"/>
      <c r="Y50" s="5209"/>
      <c r="Z50" s="5210"/>
      <c r="AA50" s="5211"/>
      <c r="AB50" s="1178"/>
      <c r="AC50" s="1179"/>
      <c r="AD50" s="227" t="s">
        <v>22</v>
      </c>
      <c r="AE50" s="1027" t="str">
        <f t="shared" si="15"/>
        <v>►</v>
      </c>
      <c r="AF50" s="1028" t="str">
        <f t="shared" si="16"/>
        <v/>
      </c>
      <c r="AG50" s="1029" t="str">
        <f t="shared" si="17"/>
        <v/>
      </c>
      <c r="AH50" s="1028" t="str">
        <f t="shared" si="18"/>
        <v/>
      </c>
      <c r="AI50" s="1029" t="str">
        <f t="shared" si="19"/>
        <v/>
      </c>
      <c r="AJ50" s="1029">
        <f t="shared" si="20"/>
        <v>0</v>
      </c>
      <c r="AK50" s="1043" t="str" cm="1">
        <f t="array" ref="AK50">IF(AE50&lt;&gt;"A","",IFERROR((IFERROR(_xlfn.XLOOKUP(TRIM(SUBSTITUTE(U50,CHAR(160)," ")),$BI$15:$BI$62,$BL$15:$BL$62),IFERROR(_xlfn.XLOOKUP(TRIM(SUBSTITUTE(U50,CHAR(160)," ")),$BJ$15:$BJ$62,$BL$15:$BL$62),_xlfn.XLOOKUP(TRIM(SUBSTITUTE(U50,CHAR(160)," ")),$BK$15:$BK$62,$BL$15:$BL$62))))*T50*IF(ISBLANK(Q50),1,Q50)+IFERROR(_xlfn.XLOOKUP("RECHERCHEX",TRIM(L50:AC50),L50:AC50),0),0))</f>
        <v/>
      </c>
      <c r="AL50" s="1030">
        <f t="shared" si="21"/>
        <v>0</v>
      </c>
      <c r="AM50" s="5254" t="str">
        <f t="shared" si="40"/>
        <v/>
      </c>
      <c r="AN50" s="1031">
        <f t="shared" si="23"/>
        <v>0</v>
      </c>
      <c r="AO50" s="1031">
        <f t="shared" si="24"/>
        <v>0</v>
      </c>
      <c r="AP50" s="1032">
        <f t="shared" si="25"/>
        <v>0</v>
      </c>
      <c r="AQ50" s="5255" t="str">
        <f t="shared" si="26"/>
        <v/>
      </c>
      <c r="AR50" s="1056"/>
      <c r="AS50" s="1056"/>
      <c r="AT50" s="1034">
        <f t="shared" si="27"/>
        <v>0</v>
      </c>
      <c r="AU50" s="1035">
        <f t="shared" si="28"/>
        <v>0</v>
      </c>
      <c r="AV50" s="1057" cm="1">
        <f t="array" ref="AV50">IF(AJ50&lt;&gt;1,0,IF(OR(AT50="",N(AT50)&lt;=0.000000001),"",IF(OR(AN50="",N(AN50)&lt;=0.000000001),0,IF(ISNUMBER(AT50),IFERROR(_xlfn.LET(_xlpm.ai_test,TRIM(AI50),_xlpm.r,IFERROR(_xlfn.XLOOKUP(_xlpm.ai_test,$BI$15:$BI$62,ROW($BI$15:$BI$62),0,1),IFERROR(_xlfn.XLOOKUP(_xlpm.ai_test,$BJ$15:$BJ$62,ROW($BJ$15:$BJ$62),0,1),_xlfn.XLOOKUP(_xlpm.ai_test,$BK$15:$BK$62,ROW($BK$15:$BK$62),0,1))),_xlpm.p,_xlpm.r-MIN(ROW($BI$15:$BI$62))+1,_xlpm.f,INDEX($BL$15:$BL$62,_xlpm.p),_xlpm.u,INDEX($BM$15:$BM$62,_xlpm.p),_xlpm.s,INDEX($BO$15:$BO$62,_xlpm.p),_xlpm.q,N(AT50)/_xlpm.f,IF(_xlpm.q&gt;=_xlpm.s,ROUND(_xlpm.q,1)&amp;" "&amp;_xlpm.ai_test&amp;" = "&amp;ROUND(_xlpm.q*_xlpm.f,1)&amp;" "&amp;_xlpm.u,ROUND(_xlpm.q,1)&amp;" "&amp;_xlpm.ai_test)),""),""))))</f>
        <v>0</v>
      </c>
      <c r="AW50" s="1047"/>
      <c r="AX50" s="1034">
        <f t="shared" si="29"/>
        <v>0</v>
      </c>
      <c r="AY50" s="1035" t="str">
        <f t="shared" si="30"/>
        <v/>
      </c>
      <c r="AZ50" s="1036">
        <f t="shared" si="36"/>
        <v>0</v>
      </c>
      <c r="BA50" s="1037" t="str">
        <f t="shared" si="31"/>
        <v/>
      </c>
      <c r="BB50" s="1038"/>
      <c r="BC50" s="1039">
        <f t="shared" si="38"/>
        <v>0</v>
      </c>
      <c r="BD50" s="1040" t="str">
        <f t="shared" si="33"/>
        <v/>
      </c>
      <c r="BE50" s="227" t="s">
        <v>22</v>
      </c>
      <c r="BF50" s="1019">
        <f t="shared" si="34"/>
        <v>0</v>
      </c>
      <c r="BG50" s="1020">
        <f t="shared" si="35"/>
        <v>0</v>
      </c>
      <c r="BH50" s="852"/>
      <c r="BI50" s="5261" t="s">
        <v>1876</v>
      </c>
      <c r="BJ50" s="5261" t="s">
        <v>1877</v>
      </c>
      <c r="BK50" s="5261" t="s">
        <v>1878</v>
      </c>
      <c r="BL50" s="1013">
        <f t="shared" si="39"/>
        <v>4.4999999999999997E-3</v>
      </c>
      <c r="BM50" s="1051" t="s">
        <v>1814</v>
      </c>
      <c r="BN50" s="1051" t="s">
        <v>1815</v>
      </c>
      <c r="BO50" s="1003">
        <f t="shared" si="37"/>
        <v>222</v>
      </c>
      <c r="BP50" s="1075">
        <v>4.5</v>
      </c>
      <c r="BQ50" s="852"/>
      <c r="BR50" s="852"/>
      <c r="BS50" s="852"/>
      <c r="BT50" s="852"/>
      <c r="BU50" s="852"/>
      <c r="BV50" s="852"/>
      <c r="BW50" s="959" t="str">
        <f t="shared" si="10"/>
        <v>►</v>
      </c>
      <c r="BX50" s="1064"/>
      <c r="BY50" s="857"/>
      <c r="BZ50" s="857"/>
      <c r="CA50" s="858"/>
      <c r="CB50" s="858"/>
      <c r="CC50" s="957"/>
      <c r="CD50" s="1070" t="s">
        <v>1879</v>
      </c>
      <c r="CE50" s="9"/>
      <c r="CF50" s="9"/>
      <c r="CG50" s="9"/>
      <c r="CH50" s="9"/>
      <c r="CI50" s="9"/>
      <c r="CJ50" s="41"/>
      <c r="CL50" s="1070" t="s">
        <v>1880</v>
      </c>
      <c r="CM50" s="9"/>
      <c r="CN50" s="9"/>
      <c r="CO50" s="9"/>
      <c r="CP50" s="9"/>
      <c r="CQ50" s="9"/>
      <c r="CR50" s="41"/>
      <c r="CT50" s="1070" t="s">
        <v>1881</v>
      </c>
      <c r="CU50" s="9"/>
      <c r="CV50" s="9"/>
      <c r="CW50" s="9"/>
      <c r="CX50" s="9"/>
      <c r="CY50" s="9"/>
      <c r="CZ50" s="41"/>
      <c r="DB50" s="3">
        <v>1</v>
      </c>
    </row>
    <row r="51" spans="1:106" s="709" customFormat="1" ht="21" customHeight="1">
      <c r="A51" s="936" t="s">
        <v>22</v>
      </c>
      <c r="B51" s="952" t="str">
        <f t="shared" si="9"/>
        <v>►</v>
      </c>
      <c r="C51" s="993" cm="1">
        <f t="array" ref="C51">SUMPRODUCT(LEN(D51:J51))</f>
        <v>0</v>
      </c>
      <c r="D51" s="167"/>
      <c r="E51" s="172"/>
      <c r="F51" s="172"/>
      <c r="G51" s="172"/>
      <c r="H51" s="172"/>
      <c r="I51" s="172"/>
      <c r="J51" s="173"/>
      <c r="K51" s="442"/>
      <c r="L51" s="104" t="s">
        <v>16</v>
      </c>
      <c r="M51" s="1172"/>
      <c r="N51" s="1172"/>
      <c r="O51" s="1172"/>
      <c r="P51" s="1173"/>
      <c r="Q51" s="1174"/>
      <c r="R51" s="1175"/>
      <c r="S51" s="1176"/>
      <c r="T51" s="1177"/>
      <c r="U51" s="5248"/>
      <c r="V51" s="1177"/>
      <c r="W51" s="5249"/>
      <c r="X51" s="5208"/>
      <c r="Y51" s="5209"/>
      <c r="Z51" s="5210"/>
      <c r="AA51" s="5211"/>
      <c r="AB51" s="1178"/>
      <c r="AC51" s="1179"/>
      <c r="AD51" s="227" t="s">
        <v>22</v>
      </c>
      <c r="AE51" s="1027" t="str">
        <f t="shared" si="15"/>
        <v>►</v>
      </c>
      <c r="AF51" s="1028" t="str">
        <f t="shared" si="16"/>
        <v/>
      </c>
      <c r="AG51" s="1029" t="str">
        <f t="shared" si="17"/>
        <v/>
      </c>
      <c r="AH51" s="1028" t="str">
        <f t="shared" si="18"/>
        <v/>
      </c>
      <c r="AI51" s="1029" t="str">
        <f t="shared" si="19"/>
        <v/>
      </c>
      <c r="AJ51" s="1029">
        <f t="shared" si="20"/>
        <v>0</v>
      </c>
      <c r="AK51" s="1043" t="str" cm="1">
        <f t="array" ref="AK51">IF(AE51&lt;&gt;"A","",IFERROR((IFERROR(_xlfn.XLOOKUP(TRIM(SUBSTITUTE(U51,CHAR(160)," ")),$BI$15:$BI$62,$BL$15:$BL$62),IFERROR(_xlfn.XLOOKUP(TRIM(SUBSTITUTE(U51,CHAR(160)," ")),$BJ$15:$BJ$62,$BL$15:$BL$62),_xlfn.XLOOKUP(TRIM(SUBSTITUTE(U51,CHAR(160)," ")),$BK$15:$BK$62,$BL$15:$BL$62))))*T51*IF(ISBLANK(Q51),1,Q51)+IFERROR(_xlfn.XLOOKUP("RECHERCHEX",TRIM(L51:AC51),L51:AC51),0),0))</f>
        <v/>
      </c>
      <c r="AL51" s="1030">
        <f t="shared" si="21"/>
        <v>0</v>
      </c>
      <c r="AM51" s="5254" t="str">
        <f t="shared" si="40"/>
        <v/>
      </c>
      <c r="AN51" s="1031">
        <f t="shared" si="23"/>
        <v>0</v>
      </c>
      <c r="AO51" s="1031">
        <f t="shared" si="24"/>
        <v>0</v>
      </c>
      <c r="AP51" s="1044">
        <f t="shared" si="25"/>
        <v>0</v>
      </c>
      <c r="AQ51" s="5257" t="str">
        <f t="shared" si="26"/>
        <v/>
      </c>
      <c r="AR51" s="1056"/>
      <c r="AS51" s="1056"/>
      <c r="AT51" s="1045">
        <f t="shared" si="27"/>
        <v>0</v>
      </c>
      <c r="AU51" s="1046">
        <f t="shared" si="28"/>
        <v>0</v>
      </c>
      <c r="AV51" s="1059" cm="1">
        <f t="array" ref="AV51">IF(AJ51&lt;&gt;1,0,IF(OR(AT51="",N(AT51)&lt;=0.000000001),"",IF(OR(AN51="",N(AN51)&lt;=0.000000001),0,IF(ISNUMBER(AT51),IFERROR(_xlfn.LET(_xlpm.ai_test,TRIM(AI51),_xlpm.r,IFERROR(_xlfn.XLOOKUP(_xlpm.ai_test,$BI$15:$BI$62,ROW($BI$15:$BI$62),0,1),IFERROR(_xlfn.XLOOKUP(_xlpm.ai_test,$BJ$15:$BJ$62,ROW($BJ$15:$BJ$62),0,1),_xlfn.XLOOKUP(_xlpm.ai_test,$BK$15:$BK$62,ROW($BK$15:$BK$62),0,1))),_xlpm.p,_xlpm.r-MIN(ROW($BI$15:$BI$62))+1,_xlpm.f,INDEX($BL$15:$BL$62,_xlpm.p),_xlpm.u,INDEX($BM$15:$BM$62,_xlpm.p),_xlpm.s,INDEX($BO$15:$BO$62,_xlpm.p),_xlpm.q,N(AT51)/_xlpm.f,IF(_xlpm.q&gt;=_xlpm.s,ROUND(_xlpm.q,1)&amp;" "&amp;_xlpm.ai_test&amp;" = "&amp;ROUND(_xlpm.q*_xlpm.f,1)&amp;" "&amp;_xlpm.u,ROUND(_xlpm.q,1)&amp;" "&amp;_xlpm.ai_test)),""),""))))</f>
        <v>0</v>
      </c>
      <c r="AW51" s="1047"/>
      <c r="AX51" s="1045">
        <f t="shared" si="29"/>
        <v>0</v>
      </c>
      <c r="AY51" s="1046" t="str">
        <f t="shared" si="30"/>
        <v/>
      </c>
      <c r="AZ51" s="1048">
        <f t="shared" si="36"/>
        <v>0</v>
      </c>
      <c r="BA51" s="1049" t="str">
        <f t="shared" si="31"/>
        <v/>
      </c>
      <c r="BB51" s="1038"/>
      <c r="BC51" s="1050">
        <f t="shared" si="38"/>
        <v>0</v>
      </c>
      <c r="BD51" s="1040" t="str">
        <f t="shared" si="33"/>
        <v/>
      </c>
      <c r="BE51" s="227" t="s">
        <v>22</v>
      </c>
      <c r="BF51" s="1019">
        <f t="shared" si="34"/>
        <v>0</v>
      </c>
      <c r="BG51" s="1020">
        <f t="shared" si="35"/>
        <v>0</v>
      </c>
      <c r="BH51" s="852"/>
      <c r="BI51" s="5261" t="s">
        <v>1882</v>
      </c>
      <c r="BJ51" s="5261" t="s">
        <v>1883</v>
      </c>
      <c r="BK51" s="5261" t="s">
        <v>1884</v>
      </c>
      <c r="BL51" s="1013">
        <f t="shared" si="39"/>
        <v>5.9000000000000007E-3</v>
      </c>
      <c r="BM51" s="1051" t="s">
        <v>1814</v>
      </c>
      <c r="BN51" s="1051" t="s">
        <v>1815</v>
      </c>
      <c r="BO51" s="1003">
        <f t="shared" si="37"/>
        <v>169</v>
      </c>
      <c r="BP51" s="1058">
        <v>5.9</v>
      </c>
      <c r="BQ51" s="852"/>
      <c r="BR51" s="852"/>
      <c r="BS51" s="852"/>
      <c r="BT51" s="852"/>
      <c r="BU51" s="852"/>
      <c r="BV51" s="852"/>
      <c r="BW51" s="959" t="str">
        <f t="shared" si="10"/>
        <v>►</v>
      </c>
      <c r="BX51" s="1007" t="s">
        <v>1885</v>
      </c>
      <c r="BY51" s="857"/>
      <c r="BZ51" s="857"/>
      <c r="CA51" s="858"/>
      <c r="CB51" s="858"/>
      <c r="CC51" s="957"/>
      <c r="CD51" s="1076" t="s">
        <v>1886</v>
      </c>
      <c r="CE51" s="1077" t="s">
        <v>1887</v>
      </c>
      <c r="CF51" s="1078"/>
      <c r="CG51" s="1078"/>
      <c r="CH51" s="1078"/>
      <c r="CI51"/>
      <c r="CJ51" s="670"/>
      <c r="CL51" s="1076" t="s">
        <v>1888</v>
      </c>
      <c r="CM51" s="1077" t="s">
        <v>1887</v>
      </c>
      <c r="CN51" s="1078"/>
      <c r="CO51" s="1078"/>
      <c r="CP51" s="1078"/>
      <c r="CQ51"/>
      <c r="CR51" s="670"/>
      <c r="CT51" s="1076" t="s">
        <v>1889</v>
      </c>
      <c r="CU51" s="1077" t="s">
        <v>1887</v>
      </c>
      <c r="CV51" s="1078"/>
      <c r="CW51" s="1078"/>
      <c r="CX51" s="1078"/>
      <c r="CY51"/>
      <c r="CZ51" s="670"/>
      <c r="DB51" s="3">
        <v>1</v>
      </c>
    </row>
    <row r="52" spans="1:106" s="709" customFormat="1" ht="21" customHeight="1">
      <c r="A52" s="936" t="s">
        <v>22</v>
      </c>
      <c r="B52" s="952" t="str">
        <f t="shared" si="9"/>
        <v>►</v>
      </c>
      <c r="C52" s="993" cm="1">
        <f t="array" ref="C52">SUMPRODUCT(LEN(D52:J52))</f>
        <v>0</v>
      </c>
      <c r="D52" s="167"/>
      <c r="E52" s="172"/>
      <c r="F52" s="172"/>
      <c r="G52" s="172"/>
      <c r="H52" s="172"/>
      <c r="I52" s="172"/>
      <c r="J52" s="173"/>
      <c r="K52" s="442"/>
      <c r="L52" s="104" t="s">
        <v>16</v>
      </c>
      <c r="M52" s="1172"/>
      <c r="N52" s="1172"/>
      <c r="O52" s="1172"/>
      <c r="P52" s="1173"/>
      <c r="Q52" s="1174"/>
      <c r="R52" s="1175"/>
      <c r="S52" s="1176"/>
      <c r="T52" s="1177"/>
      <c r="U52" s="5248"/>
      <c r="V52" s="1177"/>
      <c r="W52" s="5249"/>
      <c r="X52" s="5208"/>
      <c r="Y52" s="5209"/>
      <c r="Z52" s="5210"/>
      <c r="AA52" s="5211"/>
      <c r="AB52" s="1178"/>
      <c r="AC52" s="1179"/>
      <c r="AD52" s="227" t="s">
        <v>22</v>
      </c>
      <c r="AE52" s="1027" t="str">
        <f t="shared" si="15"/>
        <v>►</v>
      </c>
      <c r="AF52" s="1028" t="str">
        <f t="shared" si="16"/>
        <v/>
      </c>
      <c r="AG52" s="1029" t="str">
        <f t="shared" si="17"/>
        <v/>
      </c>
      <c r="AH52" s="1028" t="str">
        <f t="shared" si="18"/>
        <v/>
      </c>
      <c r="AI52" s="1029" t="str">
        <f t="shared" si="19"/>
        <v/>
      </c>
      <c r="AJ52" s="1029">
        <f t="shared" si="20"/>
        <v>0</v>
      </c>
      <c r="AK52" s="1043" t="str" cm="1">
        <f t="array" ref="AK52">IF(AE52&lt;&gt;"A","",IFERROR((IFERROR(_xlfn.XLOOKUP(TRIM(SUBSTITUTE(U52,CHAR(160)," ")),$BI$15:$BI$62,$BL$15:$BL$62),IFERROR(_xlfn.XLOOKUP(TRIM(SUBSTITUTE(U52,CHAR(160)," ")),$BJ$15:$BJ$62,$BL$15:$BL$62),_xlfn.XLOOKUP(TRIM(SUBSTITUTE(U52,CHAR(160)," ")),$BK$15:$BK$62,$BL$15:$BL$62))))*T52*IF(ISBLANK(Q52),1,Q52)+IFERROR(_xlfn.XLOOKUP("RECHERCHEX",TRIM(L52:AC52),L52:AC52),0),0))</f>
        <v/>
      </c>
      <c r="AL52" s="1030">
        <f t="shared" si="21"/>
        <v>0</v>
      </c>
      <c r="AM52" s="5254" t="str">
        <f t="shared" si="40"/>
        <v/>
      </c>
      <c r="AN52" s="1031">
        <f t="shared" si="23"/>
        <v>0</v>
      </c>
      <c r="AO52" s="1031">
        <f t="shared" si="24"/>
        <v>0</v>
      </c>
      <c r="AP52" s="1032">
        <f t="shared" si="25"/>
        <v>0</v>
      </c>
      <c r="AQ52" s="5255" t="str">
        <f t="shared" si="26"/>
        <v/>
      </c>
      <c r="AR52" s="1056"/>
      <c r="AS52" s="1056"/>
      <c r="AT52" s="1034">
        <f t="shared" si="27"/>
        <v>0</v>
      </c>
      <c r="AU52" s="1035">
        <f t="shared" si="28"/>
        <v>0</v>
      </c>
      <c r="AV52" s="1057" cm="1">
        <f t="array" ref="AV52">IF(AJ52&lt;&gt;1,0,IF(OR(AT52="",N(AT52)&lt;=0.000000001),"",IF(OR(AN52="",N(AN52)&lt;=0.000000001),0,IF(ISNUMBER(AT52),IFERROR(_xlfn.LET(_xlpm.ai_test,TRIM(AI52),_xlpm.r,IFERROR(_xlfn.XLOOKUP(_xlpm.ai_test,$BI$15:$BI$62,ROW($BI$15:$BI$62),0,1),IFERROR(_xlfn.XLOOKUP(_xlpm.ai_test,$BJ$15:$BJ$62,ROW($BJ$15:$BJ$62),0,1),_xlfn.XLOOKUP(_xlpm.ai_test,$BK$15:$BK$62,ROW($BK$15:$BK$62),0,1))),_xlpm.p,_xlpm.r-MIN(ROW($BI$15:$BI$62))+1,_xlpm.f,INDEX($BL$15:$BL$62,_xlpm.p),_xlpm.u,INDEX($BM$15:$BM$62,_xlpm.p),_xlpm.s,INDEX($BO$15:$BO$62,_xlpm.p),_xlpm.q,N(AT52)/_xlpm.f,IF(_xlpm.q&gt;=_xlpm.s,ROUND(_xlpm.q,1)&amp;" "&amp;_xlpm.ai_test&amp;" = "&amp;ROUND(_xlpm.q*_xlpm.f,1)&amp;" "&amp;_xlpm.u,ROUND(_xlpm.q,1)&amp;" "&amp;_xlpm.ai_test)),""),""))))</f>
        <v>0</v>
      </c>
      <c r="AW52" s="1047"/>
      <c r="AX52" s="1034">
        <f t="shared" si="29"/>
        <v>0</v>
      </c>
      <c r="AY52" s="1035" t="str">
        <f t="shared" si="30"/>
        <v/>
      </c>
      <c r="AZ52" s="1036">
        <f t="shared" si="36"/>
        <v>0</v>
      </c>
      <c r="BA52" s="1037" t="str">
        <f t="shared" si="31"/>
        <v/>
      </c>
      <c r="BB52" s="1038"/>
      <c r="BC52" s="1039">
        <f t="shared" si="38"/>
        <v>0</v>
      </c>
      <c r="BD52" s="1040" t="str">
        <f t="shared" si="33"/>
        <v/>
      </c>
      <c r="BE52" s="227" t="s">
        <v>22</v>
      </c>
      <c r="BF52" s="1019">
        <f t="shared" si="34"/>
        <v>0</v>
      </c>
      <c r="BG52" s="1020">
        <f t="shared" si="35"/>
        <v>0</v>
      </c>
      <c r="BH52" s="852"/>
      <c r="BI52" s="5261" t="s">
        <v>1890</v>
      </c>
      <c r="BJ52" s="5261" t="s">
        <v>1890</v>
      </c>
      <c r="BK52" s="5261" t="s">
        <v>1891</v>
      </c>
      <c r="BL52" s="1013">
        <f t="shared" si="39"/>
        <v>0.04</v>
      </c>
      <c r="BM52" s="1051" t="s">
        <v>1814</v>
      </c>
      <c r="BN52" s="1051" t="s">
        <v>1815</v>
      </c>
      <c r="BO52" s="1003">
        <f t="shared" si="37"/>
        <v>25</v>
      </c>
      <c r="BP52" s="1052">
        <v>40</v>
      </c>
      <c r="BQ52" s="852"/>
      <c r="BR52" s="852"/>
      <c r="BS52" s="852"/>
      <c r="BT52" s="852"/>
      <c r="BU52" s="852"/>
      <c r="BV52" s="852"/>
      <c r="BW52" s="959" t="str">
        <f t="shared" si="10"/>
        <v>►</v>
      </c>
      <c r="BX52" s="1064"/>
      <c r="BY52" s="857"/>
      <c r="BZ52" s="857"/>
      <c r="CA52" s="858"/>
      <c r="CB52" s="858"/>
      <c r="CC52" s="957"/>
      <c r="CD52" s="867"/>
      <c r="CE52" s="116"/>
      <c r="CF52" s="116"/>
      <c r="CG52" s="116"/>
      <c r="CH52" s="116"/>
      <c r="CI52" s="116"/>
      <c r="CJ52" s="866"/>
      <c r="CL52" s="867"/>
      <c r="CM52" s="116"/>
      <c r="CN52" s="116"/>
      <c r="CO52" s="116"/>
      <c r="CP52" s="116"/>
      <c r="CQ52" s="116"/>
      <c r="CR52" s="866"/>
      <c r="CT52" s="867"/>
      <c r="CU52" s="116"/>
      <c r="CV52" s="116"/>
      <c r="CW52" s="116"/>
      <c r="CX52" s="116"/>
      <c r="CY52" s="116"/>
      <c r="CZ52" s="866"/>
      <c r="DB52" s="3">
        <v>1</v>
      </c>
    </row>
    <row r="53" spans="1:106" s="709" customFormat="1" ht="21" customHeight="1">
      <c r="A53" s="936" t="s">
        <v>22</v>
      </c>
      <c r="B53" s="952" t="str">
        <f t="shared" si="9"/>
        <v>►</v>
      </c>
      <c r="C53" s="993" cm="1">
        <f t="array" ref="C53">SUMPRODUCT(LEN(D53:J53))</f>
        <v>0</v>
      </c>
      <c r="D53" s="167"/>
      <c r="E53" s="172"/>
      <c r="F53" s="172"/>
      <c r="G53" s="172"/>
      <c r="H53" s="172"/>
      <c r="I53" s="172"/>
      <c r="J53" s="173"/>
      <c r="K53" s="442"/>
      <c r="L53" s="104" t="s">
        <v>16</v>
      </c>
      <c r="M53" s="1172"/>
      <c r="N53" s="1172"/>
      <c r="O53" s="1172"/>
      <c r="P53" s="1173"/>
      <c r="Q53" s="1174"/>
      <c r="R53" s="1175"/>
      <c r="S53" s="1176"/>
      <c r="T53" s="1177"/>
      <c r="U53" s="5248"/>
      <c r="V53" s="1177"/>
      <c r="W53" s="5249"/>
      <c r="X53" s="5208"/>
      <c r="Y53" s="5209"/>
      <c r="Z53" s="5210"/>
      <c r="AA53" s="5211"/>
      <c r="AB53" s="1178"/>
      <c r="AC53" s="1179"/>
      <c r="AD53" s="227" t="s">
        <v>22</v>
      </c>
      <c r="AE53" s="1027" t="str">
        <f t="shared" si="15"/>
        <v>►</v>
      </c>
      <c r="AF53" s="1028" t="str">
        <f t="shared" si="16"/>
        <v/>
      </c>
      <c r="AG53" s="1029" t="str">
        <f t="shared" si="17"/>
        <v/>
      </c>
      <c r="AH53" s="1028" t="str">
        <f t="shared" si="18"/>
        <v/>
      </c>
      <c r="AI53" s="1029" t="str">
        <f t="shared" si="19"/>
        <v/>
      </c>
      <c r="AJ53" s="1029">
        <f t="shared" si="20"/>
        <v>0</v>
      </c>
      <c r="AK53" s="1043" t="str" cm="1">
        <f t="array" ref="AK53">IF(AE53&lt;&gt;"A","",IFERROR((IFERROR(_xlfn.XLOOKUP(TRIM(SUBSTITUTE(U53,CHAR(160)," ")),$BI$15:$BI$62,$BL$15:$BL$62),IFERROR(_xlfn.XLOOKUP(TRIM(SUBSTITUTE(U53,CHAR(160)," ")),$BJ$15:$BJ$62,$BL$15:$BL$62),_xlfn.XLOOKUP(TRIM(SUBSTITUTE(U53,CHAR(160)," ")),$BK$15:$BK$62,$BL$15:$BL$62))))*T53*IF(ISBLANK(Q53),1,Q53)+IFERROR(_xlfn.XLOOKUP("RECHERCHEX",TRIM(L53:AC53),L53:AC53),0),0))</f>
        <v/>
      </c>
      <c r="AL53" s="1030">
        <f t="shared" si="21"/>
        <v>0</v>
      </c>
      <c r="AM53" s="5254" t="str">
        <f t="shared" si="40"/>
        <v/>
      </c>
      <c r="AN53" s="1031">
        <f t="shared" si="23"/>
        <v>0</v>
      </c>
      <c r="AO53" s="1031">
        <f t="shared" si="24"/>
        <v>0</v>
      </c>
      <c r="AP53" s="1044">
        <f t="shared" si="25"/>
        <v>0</v>
      </c>
      <c r="AQ53" s="5257" t="str">
        <f t="shared" si="26"/>
        <v/>
      </c>
      <c r="AR53" s="1056"/>
      <c r="AS53" s="1056"/>
      <c r="AT53" s="1045">
        <f t="shared" si="27"/>
        <v>0</v>
      </c>
      <c r="AU53" s="1046">
        <f t="shared" si="28"/>
        <v>0</v>
      </c>
      <c r="AV53" s="1059" cm="1">
        <f t="array" ref="AV53">IF(AJ53&lt;&gt;1,0,IF(OR(AT53="",N(AT53)&lt;=0.000000001),"",IF(OR(AN53="",N(AN53)&lt;=0.000000001),0,IF(ISNUMBER(AT53),IFERROR(_xlfn.LET(_xlpm.ai_test,TRIM(AI53),_xlpm.r,IFERROR(_xlfn.XLOOKUP(_xlpm.ai_test,$BI$15:$BI$62,ROW($BI$15:$BI$62),0,1),IFERROR(_xlfn.XLOOKUP(_xlpm.ai_test,$BJ$15:$BJ$62,ROW($BJ$15:$BJ$62),0,1),_xlfn.XLOOKUP(_xlpm.ai_test,$BK$15:$BK$62,ROW($BK$15:$BK$62),0,1))),_xlpm.p,_xlpm.r-MIN(ROW($BI$15:$BI$62))+1,_xlpm.f,INDEX($BL$15:$BL$62,_xlpm.p),_xlpm.u,INDEX($BM$15:$BM$62,_xlpm.p),_xlpm.s,INDEX($BO$15:$BO$62,_xlpm.p),_xlpm.q,N(AT53)/_xlpm.f,IF(_xlpm.q&gt;=_xlpm.s,ROUND(_xlpm.q,1)&amp;" "&amp;_xlpm.ai_test&amp;" = "&amp;ROUND(_xlpm.q*_xlpm.f,1)&amp;" "&amp;_xlpm.u,ROUND(_xlpm.q,1)&amp;" "&amp;_xlpm.ai_test)),""),""))))</f>
        <v>0</v>
      </c>
      <c r="AW53" s="1047"/>
      <c r="AX53" s="1045">
        <f t="shared" si="29"/>
        <v>0</v>
      </c>
      <c r="AY53" s="1046" t="str">
        <f t="shared" si="30"/>
        <v/>
      </c>
      <c r="AZ53" s="1048">
        <f t="shared" si="36"/>
        <v>0</v>
      </c>
      <c r="BA53" s="1049" t="str">
        <f t="shared" si="31"/>
        <v/>
      </c>
      <c r="BB53" s="1038"/>
      <c r="BC53" s="1050">
        <f t="shared" si="38"/>
        <v>0</v>
      </c>
      <c r="BD53" s="1040" t="str">
        <f t="shared" si="33"/>
        <v/>
      </c>
      <c r="BE53" s="227" t="s">
        <v>22</v>
      </c>
      <c r="BF53" s="1019">
        <f t="shared" si="34"/>
        <v>0</v>
      </c>
      <c r="BG53" s="1020">
        <f t="shared" si="35"/>
        <v>0</v>
      </c>
      <c r="BH53" s="852"/>
      <c r="BI53" s="5261" t="s">
        <v>1892</v>
      </c>
      <c r="BJ53" s="5261" t="s">
        <v>1892</v>
      </c>
      <c r="BK53" s="5261" t="s">
        <v>1892</v>
      </c>
      <c r="BL53" s="1013">
        <f t="shared" si="39"/>
        <v>4.4999999999999998E-2</v>
      </c>
      <c r="BM53" s="1051" t="s">
        <v>1814</v>
      </c>
      <c r="BN53" s="1051" t="s">
        <v>1815</v>
      </c>
      <c r="BO53" s="1003">
        <f t="shared" si="37"/>
        <v>22</v>
      </c>
      <c r="BP53" s="1052">
        <v>45</v>
      </c>
      <c r="BQ53" s="852"/>
      <c r="BR53" s="852"/>
      <c r="BS53" s="852"/>
      <c r="BT53" s="852"/>
      <c r="BU53" s="852"/>
      <c r="BV53" s="852"/>
      <c r="BW53" s="959" t="str">
        <f t="shared" si="10"/>
        <v>►</v>
      </c>
      <c r="BX53" s="1064"/>
      <c r="BY53" s="857"/>
      <c r="BZ53" s="857"/>
      <c r="CA53" s="858"/>
      <c r="CB53" s="858"/>
      <c r="CC53" s="957"/>
      <c r="CD53" s="1079" t="s">
        <v>1893</v>
      </c>
      <c r="CE53" s="1080"/>
      <c r="CF53" s="1080"/>
      <c r="CG53" s="1080"/>
      <c r="CH53" s="1080"/>
      <c r="CI53" s="1080"/>
      <c r="CJ53" s="1081"/>
      <c r="CL53" s="1079" t="s">
        <v>1894</v>
      </c>
      <c r="CM53" s="1080"/>
      <c r="CN53" s="1080"/>
      <c r="CO53" s="1080"/>
      <c r="CP53" s="1080"/>
      <c r="CQ53" s="1080"/>
      <c r="CR53" s="1081"/>
      <c r="CT53" s="1079" t="s">
        <v>1895</v>
      </c>
      <c r="CU53" s="1080"/>
      <c r="CV53" s="1080"/>
      <c r="CW53" s="1080"/>
      <c r="CX53" s="1080"/>
      <c r="CY53" s="1080"/>
      <c r="CZ53" s="1081"/>
      <c r="DB53" s="3">
        <v>1</v>
      </c>
    </row>
    <row r="54" spans="1:106" s="709" customFormat="1" ht="21" customHeight="1">
      <c r="A54" s="936" t="s">
        <v>22</v>
      </c>
      <c r="B54" s="952" t="str">
        <f t="shared" si="9"/>
        <v>►</v>
      </c>
      <c r="C54" s="993" cm="1">
        <f t="array" ref="C54">SUMPRODUCT(LEN(D54:J54))</f>
        <v>0</v>
      </c>
      <c r="D54" s="167"/>
      <c r="E54" s="172"/>
      <c r="F54" s="172"/>
      <c r="G54" s="172"/>
      <c r="H54" s="172"/>
      <c r="I54" s="172"/>
      <c r="J54" s="173"/>
      <c r="K54" s="442"/>
      <c r="L54" s="104" t="s">
        <v>16</v>
      </c>
      <c r="M54" s="1172"/>
      <c r="N54" s="1172"/>
      <c r="O54" s="1172"/>
      <c r="P54" s="1173"/>
      <c r="Q54" s="1174"/>
      <c r="R54" s="1175"/>
      <c r="S54" s="1176"/>
      <c r="T54" s="1177"/>
      <c r="U54" s="5248"/>
      <c r="V54" s="1177"/>
      <c r="W54" s="5249"/>
      <c r="X54" s="5208"/>
      <c r="Y54" s="5209"/>
      <c r="Z54" s="5210"/>
      <c r="AA54" s="5211"/>
      <c r="AB54" s="1178"/>
      <c r="AC54" s="1179"/>
      <c r="AD54" s="227" t="s">
        <v>22</v>
      </c>
      <c r="AE54" s="1027" t="str">
        <f t="shared" si="15"/>
        <v>►</v>
      </c>
      <c r="AF54" s="1028" t="str">
        <f t="shared" si="16"/>
        <v/>
      </c>
      <c r="AG54" s="1029" t="str">
        <f t="shared" si="17"/>
        <v/>
      </c>
      <c r="AH54" s="1028" t="str">
        <f t="shared" si="18"/>
        <v/>
      </c>
      <c r="AI54" s="1029" t="str">
        <f t="shared" si="19"/>
        <v/>
      </c>
      <c r="AJ54" s="1029">
        <f t="shared" si="20"/>
        <v>0</v>
      </c>
      <c r="AK54" s="1043" t="str" cm="1">
        <f t="array" ref="AK54">IF(AE54&lt;&gt;"A","",IFERROR((IFERROR(_xlfn.XLOOKUP(TRIM(SUBSTITUTE(U54,CHAR(160)," ")),$BI$15:$BI$62,$BL$15:$BL$62),IFERROR(_xlfn.XLOOKUP(TRIM(SUBSTITUTE(U54,CHAR(160)," ")),$BJ$15:$BJ$62,$BL$15:$BL$62),_xlfn.XLOOKUP(TRIM(SUBSTITUTE(U54,CHAR(160)," ")),$BK$15:$BK$62,$BL$15:$BL$62))))*T54*IF(ISBLANK(Q54),1,Q54)+IFERROR(_xlfn.XLOOKUP("RECHERCHEX",TRIM(L54:AC54),L54:AC54),0),0))</f>
        <v/>
      </c>
      <c r="AL54" s="1030">
        <f t="shared" si="21"/>
        <v>0</v>
      </c>
      <c r="AM54" s="5254" t="str">
        <f t="shared" si="40"/>
        <v/>
      </c>
      <c r="AN54" s="1031">
        <f t="shared" si="23"/>
        <v>0</v>
      </c>
      <c r="AO54" s="1031">
        <f t="shared" si="24"/>
        <v>0</v>
      </c>
      <c r="AP54" s="1032">
        <f t="shared" si="25"/>
        <v>0</v>
      </c>
      <c r="AQ54" s="5255" t="str">
        <f t="shared" si="26"/>
        <v/>
      </c>
      <c r="AR54" s="1056"/>
      <c r="AS54" s="1056"/>
      <c r="AT54" s="1034">
        <f t="shared" si="27"/>
        <v>0</v>
      </c>
      <c r="AU54" s="1035">
        <f t="shared" si="28"/>
        <v>0</v>
      </c>
      <c r="AV54" s="1057" cm="1">
        <f t="array" ref="AV54">IF(AJ54&lt;&gt;1,0,IF(OR(AT54="",N(AT54)&lt;=0.000000001),"",IF(OR(AN54="",N(AN54)&lt;=0.000000001),0,IF(ISNUMBER(AT54),IFERROR(_xlfn.LET(_xlpm.ai_test,TRIM(AI54),_xlpm.r,IFERROR(_xlfn.XLOOKUP(_xlpm.ai_test,$BI$15:$BI$62,ROW($BI$15:$BI$62),0,1),IFERROR(_xlfn.XLOOKUP(_xlpm.ai_test,$BJ$15:$BJ$62,ROW($BJ$15:$BJ$62),0,1),_xlfn.XLOOKUP(_xlpm.ai_test,$BK$15:$BK$62,ROW($BK$15:$BK$62),0,1))),_xlpm.p,_xlpm.r-MIN(ROW($BI$15:$BI$62))+1,_xlpm.f,INDEX($BL$15:$BL$62,_xlpm.p),_xlpm.u,INDEX($BM$15:$BM$62,_xlpm.p),_xlpm.s,INDEX($BO$15:$BO$62,_xlpm.p),_xlpm.q,N(AT54)/_xlpm.f,IF(_xlpm.q&gt;=_xlpm.s,ROUND(_xlpm.q,1)&amp;" "&amp;_xlpm.ai_test&amp;" = "&amp;ROUND(_xlpm.q*_xlpm.f,1)&amp;" "&amp;_xlpm.u,ROUND(_xlpm.q,1)&amp;" "&amp;_xlpm.ai_test)),""),""))))</f>
        <v>0</v>
      </c>
      <c r="AW54" s="1047"/>
      <c r="AX54" s="1034">
        <f t="shared" si="29"/>
        <v>0</v>
      </c>
      <c r="AY54" s="1035" t="str">
        <f t="shared" si="30"/>
        <v/>
      </c>
      <c r="AZ54" s="1036">
        <f t="shared" si="36"/>
        <v>0</v>
      </c>
      <c r="BA54" s="1037" t="str">
        <f t="shared" si="31"/>
        <v/>
      </c>
      <c r="BB54" s="1038"/>
      <c r="BC54" s="1039">
        <f t="shared" si="38"/>
        <v>0</v>
      </c>
      <c r="BD54" s="1040" t="str">
        <f t="shared" si="33"/>
        <v/>
      </c>
      <c r="BE54" s="227" t="s">
        <v>22</v>
      </c>
      <c r="BF54" s="1019">
        <f t="shared" si="34"/>
        <v>0</v>
      </c>
      <c r="BG54" s="1020">
        <f t="shared" si="35"/>
        <v>0</v>
      </c>
      <c r="BH54" s="852"/>
      <c r="BI54" s="5261" t="s">
        <v>1896</v>
      </c>
      <c r="BJ54" s="5261" t="s">
        <v>1896</v>
      </c>
      <c r="BK54" s="5261" t="s">
        <v>1896</v>
      </c>
      <c r="BL54" s="1013">
        <f t="shared" si="39"/>
        <v>0.15</v>
      </c>
      <c r="BM54" s="1051" t="s">
        <v>1814</v>
      </c>
      <c r="BN54" s="1051" t="s">
        <v>1815</v>
      </c>
      <c r="BO54" s="1003">
        <f t="shared" si="37"/>
        <v>7</v>
      </c>
      <c r="BP54" s="1052">
        <v>150</v>
      </c>
      <c r="BQ54" s="852"/>
      <c r="BR54" s="852"/>
      <c r="BS54" s="852"/>
      <c r="BT54" s="852"/>
      <c r="BU54" s="852"/>
      <c r="BV54" s="852"/>
      <c r="BW54" s="959" t="str">
        <f t="shared" si="10"/>
        <v>►</v>
      </c>
      <c r="BX54" s="1064"/>
      <c r="BY54" s="857"/>
      <c r="BZ54" s="857"/>
      <c r="CA54" s="858"/>
      <c r="CB54" s="858"/>
      <c r="CC54" s="957"/>
      <c r="CD54" s="1082" t="s">
        <v>1897</v>
      </c>
      <c r="CE54" s="1080"/>
      <c r="CF54" s="1080"/>
      <c r="CG54" s="1080"/>
      <c r="CH54" s="1080"/>
      <c r="CI54" s="1080"/>
      <c r="CJ54" s="1083" t="s">
        <v>1898</v>
      </c>
      <c r="CL54" s="1082" t="s">
        <v>1899</v>
      </c>
      <c r="CM54" s="1080"/>
      <c r="CN54" s="1080"/>
      <c r="CO54" s="1080"/>
      <c r="CP54" s="1080"/>
      <c r="CQ54" s="1080"/>
      <c r="CR54" s="1083" t="s">
        <v>1900</v>
      </c>
      <c r="CT54" s="1082" t="s">
        <v>1901</v>
      </c>
      <c r="CU54" s="1080"/>
      <c r="CV54" s="1080"/>
      <c r="CW54" s="1080"/>
      <c r="CX54" s="1080"/>
      <c r="CY54" s="1080"/>
      <c r="CZ54" s="1083" t="s">
        <v>1902</v>
      </c>
      <c r="DB54" s="3">
        <v>1</v>
      </c>
    </row>
    <row r="55" spans="1:106" s="709" customFormat="1" ht="21" customHeight="1">
      <c r="A55" s="936" t="s">
        <v>22</v>
      </c>
      <c r="B55" s="952" t="str">
        <f t="shared" si="9"/>
        <v>►</v>
      </c>
      <c r="C55" s="993" cm="1">
        <f t="array" ref="C55">SUMPRODUCT(LEN(D55:J55))</f>
        <v>0</v>
      </c>
      <c r="D55" s="167"/>
      <c r="E55" s="172"/>
      <c r="F55" s="172"/>
      <c r="G55" s="172"/>
      <c r="H55" s="172"/>
      <c r="I55" s="172"/>
      <c r="J55" s="173"/>
      <c r="K55" s="442"/>
      <c r="L55" s="104" t="s">
        <v>16</v>
      </c>
      <c r="M55" s="1172"/>
      <c r="N55" s="1172"/>
      <c r="O55" s="1172"/>
      <c r="P55" s="1173"/>
      <c r="Q55" s="1174"/>
      <c r="R55" s="1175"/>
      <c r="S55" s="1176"/>
      <c r="T55" s="1177"/>
      <c r="U55" s="5248"/>
      <c r="V55" s="1177"/>
      <c r="W55" s="5249"/>
      <c r="X55" s="5208"/>
      <c r="Y55" s="5209"/>
      <c r="Z55" s="5210"/>
      <c r="AA55" s="5211"/>
      <c r="AB55" s="1178"/>
      <c r="AC55" s="1179"/>
      <c r="AD55" s="227" t="s">
        <v>22</v>
      </c>
      <c r="AE55" s="1027" t="str">
        <f t="shared" si="15"/>
        <v>►</v>
      </c>
      <c r="AF55" s="1028" t="str">
        <f t="shared" si="16"/>
        <v/>
      </c>
      <c r="AG55" s="1029" t="str">
        <f t="shared" si="17"/>
        <v/>
      </c>
      <c r="AH55" s="1028" t="str">
        <f t="shared" si="18"/>
        <v/>
      </c>
      <c r="AI55" s="1029" t="str">
        <f t="shared" si="19"/>
        <v/>
      </c>
      <c r="AJ55" s="1029">
        <f t="shared" si="20"/>
        <v>0</v>
      </c>
      <c r="AK55" s="1043" t="str" cm="1">
        <f t="array" ref="AK55">IF(AE55&lt;&gt;"A","",IFERROR((IFERROR(_xlfn.XLOOKUP(TRIM(SUBSTITUTE(U55,CHAR(160)," ")),$BI$15:$BI$62,$BL$15:$BL$62),IFERROR(_xlfn.XLOOKUP(TRIM(SUBSTITUTE(U55,CHAR(160)," ")),$BJ$15:$BJ$62,$BL$15:$BL$62),_xlfn.XLOOKUP(TRIM(SUBSTITUTE(U55,CHAR(160)," ")),$BK$15:$BK$62,$BL$15:$BL$62))))*T55*IF(ISBLANK(Q55),1,Q55)+IFERROR(_xlfn.XLOOKUP("RECHERCHEX",TRIM(L55:AC55),L55:AC55),0),0))</f>
        <v/>
      </c>
      <c r="AL55" s="1030">
        <f t="shared" si="21"/>
        <v>0</v>
      </c>
      <c r="AM55" s="5254" t="str">
        <f t="shared" si="40"/>
        <v/>
      </c>
      <c r="AN55" s="1031">
        <f t="shared" si="23"/>
        <v>0</v>
      </c>
      <c r="AO55" s="1031">
        <f t="shared" si="24"/>
        <v>0</v>
      </c>
      <c r="AP55" s="1044">
        <f t="shared" si="25"/>
        <v>0</v>
      </c>
      <c r="AQ55" s="5257" t="str">
        <f t="shared" si="26"/>
        <v/>
      </c>
      <c r="AR55" s="1056"/>
      <c r="AS55" s="1056"/>
      <c r="AT55" s="1045">
        <f t="shared" si="27"/>
        <v>0</v>
      </c>
      <c r="AU55" s="1046">
        <f t="shared" si="28"/>
        <v>0</v>
      </c>
      <c r="AV55" s="1059" cm="1">
        <f t="array" ref="AV55">IF(AJ55&lt;&gt;1,0,IF(OR(AT55="",N(AT55)&lt;=0.000000001),"",IF(OR(AN55="",N(AN55)&lt;=0.000000001),0,IF(ISNUMBER(AT55),IFERROR(_xlfn.LET(_xlpm.ai_test,TRIM(AI55),_xlpm.r,IFERROR(_xlfn.XLOOKUP(_xlpm.ai_test,$BI$15:$BI$62,ROW($BI$15:$BI$62),0,1),IFERROR(_xlfn.XLOOKUP(_xlpm.ai_test,$BJ$15:$BJ$62,ROW($BJ$15:$BJ$62),0,1),_xlfn.XLOOKUP(_xlpm.ai_test,$BK$15:$BK$62,ROW($BK$15:$BK$62),0,1))),_xlpm.p,_xlpm.r-MIN(ROW($BI$15:$BI$62))+1,_xlpm.f,INDEX($BL$15:$BL$62,_xlpm.p),_xlpm.u,INDEX($BM$15:$BM$62,_xlpm.p),_xlpm.s,INDEX($BO$15:$BO$62,_xlpm.p),_xlpm.q,N(AT55)/_xlpm.f,IF(_xlpm.q&gt;=_xlpm.s,ROUND(_xlpm.q,1)&amp;" "&amp;_xlpm.ai_test&amp;" = "&amp;ROUND(_xlpm.q*_xlpm.f,1)&amp;" "&amp;_xlpm.u,ROUND(_xlpm.q,1)&amp;" "&amp;_xlpm.ai_test)),""),""))))</f>
        <v>0</v>
      </c>
      <c r="AW55" s="1047"/>
      <c r="AX55" s="1045">
        <f t="shared" si="29"/>
        <v>0</v>
      </c>
      <c r="AY55" s="1046" t="str">
        <f t="shared" si="30"/>
        <v/>
      </c>
      <c r="AZ55" s="1048">
        <f t="shared" si="36"/>
        <v>0</v>
      </c>
      <c r="BA55" s="1049" t="str">
        <f t="shared" si="31"/>
        <v/>
      </c>
      <c r="BB55" s="1038"/>
      <c r="BC55" s="1050">
        <f t="shared" si="38"/>
        <v>0</v>
      </c>
      <c r="BD55" s="1040" t="str">
        <f t="shared" si="33"/>
        <v/>
      </c>
      <c r="BE55" s="227" t="s">
        <v>22</v>
      </c>
      <c r="BF55" s="1019">
        <f t="shared" si="34"/>
        <v>0</v>
      </c>
      <c r="BG55" s="1020">
        <f t="shared" si="35"/>
        <v>0</v>
      </c>
      <c r="BH55" s="852"/>
      <c r="BI55" s="5261" t="s">
        <v>1903</v>
      </c>
      <c r="BJ55" s="5261" t="s">
        <v>1903</v>
      </c>
      <c r="BK55" s="5261" t="s">
        <v>1904</v>
      </c>
      <c r="BL55" s="1013">
        <f t="shared" si="39"/>
        <v>0.25</v>
      </c>
      <c r="BM55" s="1051" t="s">
        <v>1814</v>
      </c>
      <c r="BN55" s="1051" t="s">
        <v>1815</v>
      </c>
      <c r="BO55" s="1003">
        <f t="shared" si="37"/>
        <v>4</v>
      </c>
      <c r="BP55" s="1052">
        <v>250</v>
      </c>
      <c r="BQ55" s="852"/>
      <c r="BR55" s="852"/>
      <c r="BS55" s="852"/>
      <c r="BT55" s="852"/>
      <c r="BU55" s="852"/>
      <c r="BV55" s="852"/>
      <c r="BW55" s="959" t="str">
        <f t="shared" si="10"/>
        <v>►</v>
      </c>
      <c r="BX55" s="1064"/>
      <c r="BY55" s="857"/>
      <c r="BZ55" s="857"/>
      <c r="CA55" s="858"/>
      <c r="CB55" s="858"/>
      <c r="CC55" s="957"/>
      <c r="CD55" s="1082" t="s">
        <v>1905</v>
      </c>
      <c r="CE55" s="1080"/>
      <c r="CF55" s="1080"/>
      <c r="CG55" s="1080"/>
      <c r="CH55" s="1080"/>
      <c r="CI55" s="1080"/>
      <c r="CJ55" s="1083" t="s">
        <v>1906</v>
      </c>
      <c r="CL55" s="1082" t="s">
        <v>1907</v>
      </c>
      <c r="CM55" s="1080"/>
      <c r="CN55" s="1080"/>
      <c r="CO55" s="1080"/>
      <c r="CP55" s="1080"/>
      <c r="CQ55" s="1080"/>
      <c r="CR55" s="1083" t="s">
        <v>1908</v>
      </c>
      <c r="CT55" s="1082" t="s">
        <v>1909</v>
      </c>
      <c r="CU55" s="1080"/>
      <c r="CV55" s="1080"/>
      <c r="CW55" s="1080"/>
      <c r="CX55" s="1080"/>
      <c r="CY55" s="1080"/>
      <c r="CZ55" s="1083" t="s">
        <v>1910</v>
      </c>
      <c r="DB55" s="3">
        <v>1</v>
      </c>
    </row>
    <row r="56" spans="1:106" s="709" customFormat="1" ht="21" customHeight="1">
      <c r="A56" s="936" t="s">
        <v>22</v>
      </c>
      <c r="B56" s="952" t="str">
        <f t="shared" si="9"/>
        <v>►</v>
      </c>
      <c r="C56" s="993" cm="1">
        <f t="array" ref="C56">SUMPRODUCT(LEN(D56:J56))</f>
        <v>0</v>
      </c>
      <c r="D56" s="167"/>
      <c r="E56" s="172"/>
      <c r="F56" s="172"/>
      <c r="G56" s="172"/>
      <c r="H56" s="172"/>
      <c r="I56" s="172"/>
      <c r="J56" s="173"/>
      <c r="K56" s="442"/>
      <c r="L56" s="104" t="s">
        <v>16</v>
      </c>
      <c r="M56" s="1172"/>
      <c r="N56" s="1172"/>
      <c r="O56" s="1172"/>
      <c r="P56" s="1173"/>
      <c r="Q56" s="1174"/>
      <c r="R56" s="1175"/>
      <c r="S56" s="1176"/>
      <c r="T56" s="1177"/>
      <c r="U56" s="5248"/>
      <c r="V56" s="1177"/>
      <c r="W56" s="5249"/>
      <c r="X56" s="5208"/>
      <c r="Y56" s="5209"/>
      <c r="Z56" s="5210"/>
      <c r="AA56" s="5211"/>
      <c r="AB56" s="1178"/>
      <c r="AC56" s="1179"/>
      <c r="AD56" s="227" t="s">
        <v>22</v>
      </c>
      <c r="AE56" s="1027" t="str">
        <f t="shared" si="15"/>
        <v>►</v>
      </c>
      <c r="AF56" s="1028" t="str">
        <f t="shared" si="16"/>
        <v/>
      </c>
      <c r="AG56" s="1029" t="str">
        <f t="shared" si="17"/>
        <v/>
      </c>
      <c r="AH56" s="1028" t="str">
        <f t="shared" si="18"/>
        <v/>
      </c>
      <c r="AI56" s="1029" t="str">
        <f t="shared" si="19"/>
        <v/>
      </c>
      <c r="AJ56" s="1029">
        <f t="shared" si="20"/>
        <v>0</v>
      </c>
      <c r="AK56" s="1043" t="str" cm="1">
        <f t="array" ref="AK56">IF(AE56&lt;&gt;"A","",IFERROR((IFERROR(_xlfn.XLOOKUP(TRIM(SUBSTITUTE(U56,CHAR(160)," ")),$BI$15:$BI$62,$BL$15:$BL$62),IFERROR(_xlfn.XLOOKUP(TRIM(SUBSTITUTE(U56,CHAR(160)," ")),$BJ$15:$BJ$62,$BL$15:$BL$62),_xlfn.XLOOKUP(TRIM(SUBSTITUTE(U56,CHAR(160)," ")),$BK$15:$BK$62,$BL$15:$BL$62))))*T56*IF(ISBLANK(Q56),1,Q56)+IFERROR(_xlfn.XLOOKUP("RECHERCHEX",TRIM(L56:AC56),L56:AC56),0),0))</f>
        <v/>
      </c>
      <c r="AL56" s="1030">
        <f t="shared" si="21"/>
        <v>0</v>
      </c>
      <c r="AM56" s="5254" t="str">
        <f t="shared" si="40"/>
        <v/>
      </c>
      <c r="AN56" s="1031">
        <f t="shared" si="23"/>
        <v>0</v>
      </c>
      <c r="AO56" s="1031">
        <f t="shared" si="24"/>
        <v>0</v>
      </c>
      <c r="AP56" s="1032">
        <f t="shared" si="25"/>
        <v>0</v>
      </c>
      <c r="AQ56" s="5255" t="str">
        <f t="shared" si="26"/>
        <v/>
      </c>
      <c r="AR56" s="1056"/>
      <c r="AS56" s="1056"/>
      <c r="AT56" s="1034">
        <f t="shared" si="27"/>
        <v>0</v>
      </c>
      <c r="AU56" s="1035">
        <f t="shared" si="28"/>
        <v>0</v>
      </c>
      <c r="AV56" s="1057" cm="1">
        <f t="array" ref="AV56">IF(AJ56&lt;&gt;1,0,IF(OR(AT56="",N(AT56)&lt;=0.000000001),"",IF(OR(AN56="",N(AN56)&lt;=0.000000001),0,IF(ISNUMBER(AT56),IFERROR(_xlfn.LET(_xlpm.ai_test,TRIM(AI56),_xlpm.r,IFERROR(_xlfn.XLOOKUP(_xlpm.ai_test,$BI$15:$BI$62,ROW($BI$15:$BI$62),0,1),IFERROR(_xlfn.XLOOKUP(_xlpm.ai_test,$BJ$15:$BJ$62,ROW($BJ$15:$BJ$62),0,1),_xlfn.XLOOKUP(_xlpm.ai_test,$BK$15:$BK$62,ROW($BK$15:$BK$62),0,1))),_xlpm.p,_xlpm.r-MIN(ROW($BI$15:$BI$62))+1,_xlpm.f,INDEX($BL$15:$BL$62,_xlpm.p),_xlpm.u,INDEX($BM$15:$BM$62,_xlpm.p),_xlpm.s,INDEX($BO$15:$BO$62,_xlpm.p),_xlpm.q,N(AT56)/_xlpm.f,IF(_xlpm.q&gt;=_xlpm.s,ROUND(_xlpm.q,1)&amp;" "&amp;_xlpm.ai_test&amp;" = "&amp;ROUND(_xlpm.q*_xlpm.f,1)&amp;" "&amp;_xlpm.u,ROUND(_xlpm.q,1)&amp;" "&amp;_xlpm.ai_test)),""),""))))</f>
        <v>0</v>
      </c>
      <c r="AW56" s="1047"/>
      <c r="AX56" s="1034">
        <f t="shared" si="29"/>
        <v>0</v>
      </c>
      <c r="AY56" s="1035" t="str">
        <f t="shared" si="30"/>
        <v/>
      </c>
      <c r="AZ56" s="1036">
        <f t="shared" si="36"/>
        <v>0</v>
      </c>
      <c r="BA56" s="1037" t="str">
        <f t="shared" si="31"/>
        <v/>
      </c>
      <c r="BB56" s="1038"/>
      <c r="BC56" s="1039">
        <f t="shared" si="38"/>
        <v>0</v>
      </c>
      <c r="BD56" s="1040" t="str">
        <f t="shared" si="33"/>
        <v/>
      </c>
      <c r="BE56" s="227" t="s">
        <v>22</v>
      </c>
      <c r="BF56" s="1019">
        <f t="shared" si="34"/>
        <v>0</v>
      </c>
      <c r="BG56" s="1020">
        <f t="shared" si="35"/>
        <v>0</v>
      </c>
      <c r="BH56" s="852"/>
      <c r="BI56" s="5261" t="s">
        <v>1911</v>
      </c>
      <c r="BJ56" s="5261" t="s">
        <v>1912</v>
      </c>
      <c r="BK56" s="5261" t="s">
        <v>1913</v>
      </c>
      <c r="BL56" s="1013">
        <f t="shared" si="39"/>
        <v>0.23699999999999999</v>
      </c>
      <c r="BM56" s="1051" t="s">
        <v>1814</v>
      </c>
      <c r="BN56" s="1051" t="s">
        <v>1815</v>
      </c>
      <c r="BO56" s="1003">
        <f t="shared" si="37"/>
        <v>4</v>
      </c>
      <c r="BP56" s="1052">
        <v>237</v>
      </c>
      <c r="BQ56" s="852"/>
      <c r="BR56" s="852"/>
      <c r="BS56" s="852"/>
      <c r="BT56" s="852"/>
      <c r="BU56" s="852"/>
      <c r="BV56" s="852"/>
      <c r="BW56" s="959" t="str">
        <f t="shared" si="10"/>
        <v>►</v>
      </c>
      <c r="BX56" s="1064"/>
      <c r="BY56" s="857"/>
      <c r="BZ56" s="857"/>
      <c r="CA56" s="858"/>
      <c r="CB56" s="858"/>
      <c r="CC56" s="957"/>
      <c r="CD56" s="1082" t="s">
        <v>1914</v>
      </c>
      <c r="CE56" s="1080"/>
      <c r="CF56" s="1080"/>
      <c r="CG56" s="1080"/>
      <c r="CH56" s="1080"/>
      <c r="CI56" s="1080"/>
      <c r="CJ56" s="1081"/>
      <c r="CL56" s="1082" t="s">
        <v>1915</v>
      </c>
      <c r="CM56" s="1080"/>
      <c r="CN56" s="1080"/>
      <c r="CO56" s="1080"/>
      <c r="CP56" s="1080"/>
      <c r="CQ56" s="1080"/>
      <c r="CR56" s="1083" t="s">
        <v>1916</v>
      </c>
      <c r="CT56" s="1082" t="s">
        <v>1917</v>
      </c>
      <c r="CU56" s="1080"/>
      <c r="CV56" s="1080"/>
      <c r="CW56" s="1080"/>
      <c r="CX56" s="1080"/>
      <c r="CY56" s="1080"/>
      <c r="CZ56" s="1083"/>
      <c r="DB56" s="3">
        <v>1</v>
      </c>
    </row>
    <row r="57" spans="1:106" s="709" customFormat="1" ht="21" customHeight="1">
      <c r="A57" s="936" t="s">
        <v>22</v>
      </c>
      <c r="B57" s="952" t="str">
        <f t="shared" si="9"/>
        <v>►</v>
      </c>
      <c r="C57" s="993" cm="1">
        <f t="array" ref="C57">SUMPRODUCT(LEN(D57:J57))</f>
        <v>0</v>
      </c>
      <c r="D57" s="167"/>
      <c r="E57" s="172"/>
      <c r="F57" s="172"/>
      <c r="G57" s="172"/>
      <c r="H57" s="172"/>
      <c r="I57" s="172"/>
      <c r="J57" s="173"/>
      <c r="K57" s="442"/>
      <c r="L57" s="104" t="s">
        <v>16</v>
      </c>
      <c r="M57" s="1172"/>
      <c r="N57" s="1172"/>
      <c r="O57" s="1172"/>
      <c r="P57" s="1173"/>
      <c r="Q57" s="1174"/>
      <c r="R57" s="1175"/>
      <c r="S57" s="1176"/>
      <c r="T57" s="1177"/>
      <c r="U57" s="5248"/>
      <c r="V57" s="1177"/>
      <c r="W57" s="5249"/>
      <c r="X57" s="5208"/>
      <c r="Y57" s="5209"/>
      <c r="Z57" s="5210"/>
      <c r="AA57" s="5211"/>
      <c r="AB57" s="1178"/>
      <c r="AC57" s="1179"/>
      <c r="AD57" s="227" t="s">
        <v>22</v>
      </c>
      <c r="AE57" s="1027" t="str">
        <f t="shared" si="15"/>
        <v>►</v>
      </c>
      <c r="AF57" s="1028" t="str">
        <f t="shared" si="16"/>
        <v/>
      </c>
      <c r="AG57" s="1029" t="str">
        <f t="shared" si="17"/>
        <v/>
      </c>
      <c r="AH57" s="1028" t="str">
        <f t="shared" si="18"/>
        <v/>
      </c>
      <c r="AI57" s="1029" t="str">
        <f t="shared" si="19"/>
        <v/>
      </c>
      <c r="AJ57" s="1029">
        <f t="shared" si="20"/>
        <v>0</v>
      </c>
      <c r="AK57" s="1043" t="str" cm="1">
        <f t="array" ref="AK57">IF(AE57&lt;&gt;"A","",IFERROR((IFERROR(_xlfn.XLOOKUP(TRIM(SUBSTITUTE(U57,CHAR(160)," ")),$BI$15:$BI$62,$BL$15:$BL$62),IFERROR(_xlfn.XLOOKUP(TRIM(SUBSTITUTE(U57,CHAR(160)," ")),$BJ$15:$BJ$62,$BL$15:$BL$62),_xlfn.XLOOKUP(TRIM(SUBSTITUTE(U57,CHAR(160)," ")),$BK$15:$BK$62,$BL$15:$BL$62))))*T57*IF(ISBLANK(Q57),1,Q57)+IFERROR(_xlfn.XLOOKUP("RECHERCHEX",TRIM(L57:AC57),L57:AC57),0),0))</f>
        <v/>
      </c>
      <c r="AL57" s="1030">
        <f t="shared" si="21"/>
        <v>0</v>
      </c>
      <c r="AM57" s="5254" t="str">
        <f t="shared" si="40"/>
        <v/>
      </c>
      <c r="AN57" s="1031">
        <f t="shared" si="23"/>
        <v>0</v>
      </c>
      <c r="AO57" s="1031">
        <f t="shared" si="24"/>
        <v>0</v>
      </c>
      <c r="AP57" s="1044">
        <f t="shared" si="25"/>
        <v>0</v>
      </c>
      <c r="AQ57" s="5257" t="str">
        <f t="shared" si="26"/>
        <v/>
      </c>
      <c r="AR57" s="1056"/>
      <c r="AS57" s="1056"/>
      <c r="AT57" s="1045">
        <f t="shared" si="27"/>
        <v>0</v>
      </c>
      <c r="AU57" s="1046">
        <f t="shared" si="28"/>
        <v>0</v>
      </c>
      <c r="AV57" s="1059" cm="1">
        <f t="array" ref="AV57">IF(AJ57&lt;&gt;1,0,IF(OR(AT57="",N(AT57)&lt;=0.000000001),"",IF(OR(AN57="",N(AN57)&lt;=0.000000001),0,IF(ISNUMBER(AT57),IFERROR(_xlfn.LET(_xlpm.ai_test,TRIM(AI57),_xlpm.r,IFERROR(_xlfn.XLOOKUP(_xlpm.ai_test,$BI$15:$BI$62,ROW($BI$15:$BI$62),0,1),IFERROR(_xlfn.XLOOKUP(_xlpm.ai_test,$BJ$15:$BJ$62,ROW($BJ$15:$BJ$62),0,1),_xlfn.XLOOKUP(_xlpm.ai_test,$BK$15:$BK$62,ROW($BK$15:$BK$62),0,1))),_xlpm.p,_xlpm.r-MIN(ROW($BI$15:$BI$62))+1,_xlpm.f,INDEX($BL$15:$BL$62,_xlpm.p),_xlpm.u,INDEX($BM$15:$BM$62,_xlpm.p),_xlpm.s,INDEX($BO$15:$BO$62,_xlpm.p),_xlpm.q,N(AT57)/_xlpm.f,IF(_xlpm.q&gt;=_xlpm.s,ROUND(_xlpm.q,1)&amp;" "&amp;_xlpm.ai_test&amp;" = "&amp;ROUND(_xlpm.q*_xlpm.f,1)&amp;" "&amp;_xlpm.u,ROUND(_xlpm.q,1)&amp;" "&amp;_xlpm.ai_test)),""),""))))</f>
        <v>0</v>
      </c>
      <c r="AW57" s="1047"/>
      <c r="AX57" s="1045">
        <f t="shared" si="29"/>
        <v>0</v>
      </c>
      <c r="AY57" s="1046" t="str">
        <f t="shared" si="30"/>
        <v/>
      </c>
      <c r="AZ57" s="1048">
        <f t="shared" si="36"/>
        <v>0</v>
      </c>
      <c r="BA57" s="1049" t="str">
        <f t="shared" si="31"/>
        <v/>
      </c>
      <c r="BB57" s="1038"/>
      <c r="BC57" s="1050">
        <f t="shared" si="38"/>
        <v>0</v>
      </c>
      <c r="BD57" s="1040" t="str">
        <f t="shared" si="33"/>
        <v/>
      </c>
      <c r="BE57" s="227" t="s">
        <v>22</v>
      </c>
      <c r="BF57" s="1019">
        <f t="shared" si="34"/>
        <v>0</v>
      </c>
      <c r="BG57" s="1020">
        <f t="shared" si="35"/>
        <v>0</v>
      </c>
      <c r="BH57" s="852"/>
      <c r="BI57" s="5261" t="s">
        <v>1918</v>
      </c>
      <c r="BJ57" s="5261" t="s">
        <v>1918</v>
      </c>
      <c r="BK57" s="5261" t="s">
        <v>1919</v>
      </c>
      <c r="BL57" s="1013">
        <f t="shared" si="39"/>
        <v>0.47299999999999998</v>
      </c>
      <c r="BM57" s="1051" t="s">
        <v>1814</v>
      </c>
      <c r="BN57" s="1051" t="s">
        <v>1815</v>
      </c>
      <c r="BO57" s="1003">
        <f t="shared" si="37"/>
        <v>2</v>
      </c>
      <c r="BP57" s="1052">
        <v>473</v>
      </c>
      <c r="BQ57"/>
      <c r="BR57"/>
      <c r="BS57"/>
      <c r="BT57"/>
      <c r="BU57"/>
      <c r="BV57"/>
      <c r="BW57" s="959" t="str">
        <f t="shared" si="10"/>
        <v>►</v>
      </c>
      <c r="BX57" s="1064"/>
      <c r="BY57" s="857"/>
      <c r="BZ57" s="857"/>
      <c r="CA57" s="858"/>
      <c r="CB57" s="858"/>
      <c r="CC57" s="957"/>
      <c r="CD57" s="867"/>
      <c r="CE57" s="116"/>
      <c r="CF57" s="116"/>
      <c r="CG57" s="116"/>
      <c r="CH57" s="116"/>
      <c r="CI57" s="116"/>
      <c r="CJ57" s="866"/>
      <c r="CL57" s="867"/>
      <c r="CM57" s="116"/>
      <c r="CN57" s="116"/>
      <c r="CO57" s="116"/>
      <c r="CP57" s="116"/>
      <c r="CQ57" s="116"/>
      <c r="CR57" s="866"/>
      <c r="CT57" s="867"/>
      <c r="CU57" s="116"/>
      <c r="CV57" s="116"/>
      <c r="CW57" s="116"/>
      <c r="CX57" s="116"/>
      <c r="CY57" s="116"/>
      <c r="CZ57" s="1084" t="s">
        <v>1920</v>
      </c>
      <c r="DB57" s="3">
        <v>1</v>
      </c>
    </row>
    <row r="58" spans="1:106" s="709" customFormat="1" ht="21" customHeight="1">
      <c r="A58" s="936" t="s">
        <v>22</v>
      </c>
      <c r="B58" s="952" t="str">
        <f t="shared" si="9"/>
        <v>►</v>
      </c>
      <c r="C58" s="993" cm="1">
        <f t="array" ref="C58">SUMPRODUCT(LEN(D58:J58))</f>
        <v>0</v>
      </c>
      <c r="D58" s="167"/>
      <c r="E58" s="172"/>
      <c r="F58" s="172"/>
      <c r="G58" s="172"/>
      <c r="H58" s="172"/>
      <c r="I58" s="172"/>
      <c r="J58" s="173"/>
      <c r="K58" s="442"/>
      <c r="L58" s="104" t="s">
        <v>16</v>
      </c>
      <c r="M58" s="1172"/>
      <c r="N58" s="1172"/>
      <c r="O58" s="1172"/>
      <c r="P58" s="1173"/>
      <c r="Q58" s="1174"/>
      <c r="R58" s="1175"/>
      <c r="S58" s="1176"/>
      <c r="T58" s="1177"/>
      <c r="U58" s="5248"/>
      <c r="V58" s="1177"/>
      <c r="W58" s="5249"/>
      <c r="X58" s="5208"/>
      <c r="Y58" s="5209"/>
      <c r="Z58" s="5210"/>
      <c r="AA58" s="5211"/>
      <c r="AB58" s="1178"/>
      <c r="AC58" s="1179"/>
      <c r="AD58" s="227" t="s">
        <v>22</v>
      </c>
      <c r="AE58" s="1027" t="str">
        <f t="shared" si="15"/>
        <v>►</v>
      </c>
      <c r="AF58" s="1028" t="str">
        <f t="shared" si="16"/>
        <v/>
      </c>
      <c r="AG58" s="1029" t="str">
        <f t="shared" si="17"/>
        <v/>
      </c>
      <c r="AH58" s="1028" t="str">
        <f t="shared" si="18"/>
        <v/>
      </c>
      <c r="AI58" s="1029" t="str">
        <f t="shared" si="19"/>
        <v/>
      </c>
      <c r="AJ58" s="1029">
        <f t="shared" si="20"/>
        <v>0</v>
      </c>
      <c r="AK58" s="1043" t="str" cm="1">
        <f t="array" ref="AK58">IF(AE58&lt;&gt;"A","",IFERROR((IFERROR(_xlfn.XLOOKUP(TRIM(SUBSTITUTE(U58,CHAR(160)," ")),$BI$15:$BI$62,$BL$15:$BL$62),IFERROR(_xlfn.XLOOKUP(TRIM(SUBSTITUTE(U58,CHAR(160)," ")),$BJ$15:$BJ$62,$BL$15:$BL$62),_xlfn.XLOOKUP(TRIM(SUBSTITUTE(U58,CHAR(160)," ")),$BK$15:$BK$62,$BL$15:$BL$62))))*T58*IF(ISBLANK(Q58),1,Q58)+IFERROR(_xlfn.XLOOKUP("RECHERCHEX",TRIM(L58:AC58),L58:AC58),0),0))</f>
        <v/>
      </c>
      <c r="AL58" s="1030">
        <f t="shared" si="21"/>
        <v>0</v>
      </c>
      <c r="AM58" s="5254" t="str">
        <f t="shared" si="40"/>
        <v/>
      </c>
      <c r="AN58" s="1031">
        <f t="shared" si="23"/>
        <v>0</v>
      </c>
      <c r="AO58" s="1031">
        <f t="shared" si="24"/>
        <v>0</v>
      </c>
      <c r="AP58" s="1032">
        <f t="shared" si="25"/>
        <v>0</v>
      </c>
      <c r="AQ58" s="5255" t="str">
        <f t="shared" si="26"/>
        <v/>
      </c>
      <c r="AR58" s="1056"/>
      <c r="AS58" s="1056"/>
      <c r="AT58" s="1034">
        <f t="shared" si="27"/>
        <v>0</v>
      </c>
      <c r="AU58" s="1035">
        <f t="shared" si="28"/>
        <v>0</v>
      </c>
      <c r="AV58" s="1057" cm="1">
        <f t="array" ref="AV58">IF(AJ58&lt;&gt;1,0,IF(OR(AT58="",N(AT58)&lt;=0.000000001),"",IF(OR(AN58="",N(AN58)&lt;=0.000000001),0,IF(ISNUMBER(AT58),IFERROR(_xlfn.LET(_xlpm.ai_test,TRIM(AI58),_xlpm.r,IFERROR(_xlfn.XLOOKUP(_xlpm.ai_test,$BI$15:$BI$62,ROW($BI$15:$BI$62),0,1),IFERROR(_xlfn.XLOOKUP(_xlpm.ai_test,$BJ$15:$BJ$62,ROW($BJ$15:$BJ$62),0,1),_xlfn.XLOOKUP(_xlpm.ai_test,$BK$15:$BK$62,ROW($BK$15:$BK$62),0,1))),_xlpm.p,_xlpm.r-MIN(ROW($BI$15:$BI$62))+1,_xlpm.f,INDEX($BL$15:$BL$62,_xlpm.p),_xlpm.u,INDEX($BM$15:$BM$62,_xlpm.p),_xlpm.s,INDEX($BO$15:$BO$62,_xlpm.p),_xlpm.q,N(AT58)/_xlpm.f,IF(_xlpm.q&gt;=_xlpm.s,ROUND(_xlpm.q,1)&amp;" "&amp;_xlpm.ai_test&amp;" = "&amp;ROUND(_xlpm.q*_xlpm.f,1)&amp;" "&amp;_xlpm.u,ROUND(_xlpm.q,1)&amp;" "&amp;_xlpm.ai_test)),""),""))))</f>
        <v>0</v>
      </c>
      <c r="AW58" s="1047"/>
      <c r="AX58" s="1034">
        <f t="shared" si="29"/>
        <v>0</v>
      </c>
      <c r="AY58" s="1035" t="str">
        <f t="shared" si="30"/>
        <v/>
      </c>
      <c r="AZ58" s="1036">
        <f t="shared" si="36"/>
        <v>0</v>
      </c>
      <c r="BA58" s="1037" t="str">
        <f t="shared" si="31"/>
        <v/>
      </c>
      <c r="BB58" s="1038"/>
      <c r="BC58" s="1039">
        <f t="shared" si="38"/>
        <v>0</v>
      </c>
      <c r="BD58" s="1040" t="str">
        <f t="shared" si="33"/>
        <v/>
      </c>
      <c r="BE58" s="227" t="s">
        <v>22</v>
      </c>
      <c r="BF58" s="1019">
        <f t="shared" si="34"/>
        <v>0</v>
      </c>
      <c r="BG58" s="1020">
        <f t="shared" si="35"/>
        <v>0</v>
      </c>
      <c r="BH58" s="852"/>
      <c r="BI58" s="5261" t="s">
        <v>1921</v>
      </c>
      <c r="BJ58" s="5261" t="s">
        <v>1922</v>
      </c>
      <c r="BK58" s="5261" t="s">
        <v>1923</v>
      </c>
      <c r="BL58" s="1013">
        <f t="shared" si="39"/>
        <v>0.47299999999999998</v>
      </c>
      <c r="BM58" s="1051" t="s">
        <v>1814</v>
      </c>
      <c r="BN58" s="1051" t="s">
        <v>1815</v>
      </c>
      <c r="BO58" s="1003">
        <f t="shared" si="37"/>
        <v>2</v>
      </c>
      <c r="BP58" s="1052">
        <v>473</v>
      </c>
      <c r="BQ58"/>
      <c r="BR58"/>
      <c r="BS58"/>
      <c r="BT58"/>
      <c r="BU58"/>
      <c r="BV58"/>
      <c r="BW58" s="959" t="str">
        <f t="shared" si="10"/>
        <v>►</v>
      </c>
      <c r="BX58" s="5545" t="s">
        <v>1924</v>
      </c>
      <c r="BY58" s="5545"/>
      <c r="BZ58" s="5545"/>
      <c r="CA58" s="5545"/>
      <c r="CB58" s="5545"/>
      <c r="CC58" s="957"/>
      <c r="CD58" s="1085" t="s">
        <v>873</v>
      </c>
      <c r="CE58" s="1086"/>
      <c r="CF58" s="1086"/>
      <c r="CG58" s="1086"/>
      <c r="CH58" s="1086"/>
      <c r="CI58" s="1086"/>
      <c r="CJ58" s="1087"/>
      <c r="CL58" s="1085" t="s">
        <v>873</v>
      </c>
      <c r="CM58" s="1086"/>
      <c r="CN58" s="1086"/>
      <c r="CO58" s="1086"/>
      <c r="CP58" s="1086"/>
      <c r="CQ58" s="1086"/>
      <c r="CR58" s="1087"/>
      <c r="CT58" s="1085" t="s">
        <v>873</v>
      </c>
      <c r="CU58" s="1086"/>
      <c r="CV58" s="1086"/>
      <c r="CW58" s="1086"/>
      <c r="CX58" s="1086"/>
      <c r="CY58" s="1086"/>
      <c r="CZ58" s="1087"/>
      <c r="DB58" s="3">
        <v>1</v>
      </c>
    </row>
    <row r="59" spans="1:106" s="709" customFormat="1" ht="21" customHeight="1">
      <c r="A59" s="936" t="s">
        <v>22</v>
      </c>
      <c r="B59" s="952" t="str">
        <f t="shared" si="9"/>
        <v>►</v>
      </c>
      <c r="C59" s="993" cm="1">
        <f t="array" ref="C59">SUMPRODUCT(LEN(D59:J59))</f>
        <v>0</v>
      </c>
      <c r="D59" s="167"/>
      <c r="E59" s="172"/>
      <c r="F59" s="172"/>
      <c r="G59" s="172"/>
      <c r="H59" s="172"/>
      <c r="I59" s="172"/>
      <c r="J59" s="173"/>
      <c r="K59" s="442" t="s">
        <v>22</v>
      </c>
      <c r="L59" s="104" t="s">
        <v>16</v>
      </c>
      <c r="M59" s="1172"/>
      <c r="N59" s="1172"/>
      <c r="O59" s="1172"/>
      <c r="P59" s="1173"/>
      <c r="Q59" s="1174"/>
      <c r="R59" s="1175"/>
      <c r="S59" s="1176"/>
      <c r="T59" s="1177"/>
      <c r="U59" s="5248"/>
      <c r="V59" s="1177"/>
      <c r="W59" s="5249"/>
      <c r="X59" s="5208"/>
      <c r="Y59" s="5209"/>
      <c r="Z59" s="5210"/>
      <c r="AA59" s="5211"/>
      <c r="AB59" s="1178"/>
      <c r="AC59" s="1179"/>
      <c r="AD59" s="227" t="s">
        <v>22</v>
      </c>
      <c r="AE59" s="1027" t="str">
        <f t="shared" si="15"/>
        <v>►</v>
      </c>
      <c r="AF59" s="1028" t="str">
        <f t="shared" si="16"/>
        <v/>
      </c>
      <c r="AG59" s="1029" t="str">
        <f t="shared" si="17"/>
        <v/>
      </c>
      <c r="AH59" s="1028" t="str">
        <f t="shared" si="18"/>
        <v/>
      </c>
      <c r="AI59" s="1029" t="str">
        <f t="shared" si="19"/>
        <v/>
      </c>
      <c r="AJ59" s="1029">
        <f t="shared" si="20"/>
        <v>0</v>
      </c>
      <c r="AK59" s="1043" t="str" cm="1">
        <f t="array" ref="AK59">IF(AE59&lt;&gt;"A","",IFERROR((IFERROR(_xlfn.XLOOKUP(TRIM(SUBSTITUTE(U59,CHAR(160)," ")),$BI$15:$BI$62,$BL$15:$BL$62),IFERROR(_xlfn.XLOOKUP(TRIM(SUBSTITUTE(U59,CHAR(160)," ")),$BJ$15:$BJ$62,$BL$15:$BL$62),_xlfn.XLOOKUP(TRIM(SUBSTITUTE(U59,CHAR(160)," ")),$BK$15:$BK$62,$BL$15:$BL$62))))*T59*IF(ISBLANK(Q59),1,Q59)+IFERROR(_xlfn.XLOOKUP("RECHERCHEX",TRIM(L59:AC59),L59:AC59),0),0))</f>
        <v/>
      </c>
      <c r="AL59" s="1030">
        <f t="shared" si="21"/>
        <v>0</v>
      </c>
      <c r="AM59" s="5254" t="str">
        <f t="shared" si="40"/>
        <v/>
      </c>
      <c r="AN59" s="1031">
        <f t="shared" si="23"/>
        <v>0</v>
      </c>
      <c r="AO59" s="1031">
        <f t="shared" si="24"/>
        <v>0</v>
      </c>
      <c r="AP59" s="1044">
        <f t="shared" si="25"/>
        <v>0</v>
      </c>
      <c r="AQ59" s="5257" t="str">
        <f t="shared" si="26"/>
        <v/>
      </c>
      <c r="AR59" s="1056"/>
      <c r="AS59" s="1056"/>
      <c r="AT59" s="1045">
        <f t="shared" si="27"/>
        <v>0</v>
      </c>
      <c r="AU59" s="1046">
        <f t="shared" si="28"/>
        <v>0</v>
      </c>
      <c r="AV59" s="1059" cm="1">
        <f t="array" ref="AV59">IF(AJ59&lt;&gt;1,0,IF(OR(AT59="",N(AT59)&lt;=0.000000001),"",IF(OR(AN59="",N(AN59)&lt;=0.000000001),0,IF(ISNUMBER(AT59),IFERROR(_xlfn.LET(_xlpm.ai_test,TRIM(AI59),_xlpm.r,IFERROR(_xlfn.XLOOKUP(_xlpm.ai_test,$BI$15:$BI$62,ROW($BI$15:$BI$62),0,1),IFERROR(_xlfn.XLOOKUP(_xlpm.ai_test,$BJ$15:$BJ$62,ROW($BJ$15:$BJ$62),0,1),_xlfn.XLOOKUP(_xlpm.ai_test,$BK$15:$BK$62,ROW($BK$15:$BK$62),0,1))),_xlpm.p,_xlpm.r-MIN(ROW($BI$15:$BI$62))+1,_xlpm.f,INDEX($BL$15:$BL$62,_xlpm.p),_xlpm.u,INDEX($BM$15:$BM$62,_xlpm.p),_xlpm.s,INDEX($BO$15:$BO$62,_xlpm.p),_xlpm.q,N(AT59)/_xlpm.f,IF(_xlpm.q&gt;=_xlpm.s,ROUND(_xlpm.q,1)&amp;" "&amp;_xlpm.ai_test&amp;" = "&amp;ROUND(_xlpm.q*_xlpm.f,1)&amp;" "&amp;_xlpm.u,ROUND(_xlpm.q,1)&amp;" "&amp;_xlpm.ai_test)),""),""))))</f>
        <v>0</v>
      </c>
      <c r="AW59" s="1047"/>
      <c r="AX59" s="1045">
        <f t="shared" si="29"/>
        <v>0</v>
      </c>
      <c r="AY59" s="1046" t="str">
        <f t="shared" si="30"/>
        <v/>
      </c>
      <c r="AZ59" s="1048">
        <f t="shared" si="36"/>
        <v>0</v>
      </c>
      <c r="BA59" s="1049" t="str">
        <f t="shared" si="31"/>
        <v/>
      </c>
      <c r="BB59" s="1038"/>
      <c r="BC59" s="1050">
        <f t="shared" si="38"/>
        <v>0</v>
      </c>
      <c r="BD59" s="1040" t="str">
        <f t="shared" si="33"/>
        <v/>
      </c>
      <c r="BE59" s="227" t="s">
        <v>22</v>
      </c>
      <c r="BF59" s="1019">
        <f t="shared" si="34"/>
        <v>0</v>
      </c>
      <c r="BG59" s="1020">
        <f t="shared" si="35"/>
        <v>0</v>
      </c>
      <c r="BH59" s="852"/>
      <c r="BI59" s="5261" t="s">
        <v>1925</v>
      </c>
      <c r="BJ59" s="5261" t="s">
        <v>1926</v>
      </c>
      <c r="BK59" s="5261" t="s">
        <v>1927</v>
      </c>
      <c r="BL59" s="1013">
        <f t="shared" si="39"/>
        <v>0.56799999999999995</v>
      </c>
      <c r="BM59" s="1051" t="s">
        <v>1814</v>
      </c>
      <c r="BN59" s="1051" t="s">
        <v>1815</v>
      </c>
      <c r="BO59" s="1003">
        <f t="shared" si="37"/>
        <v>2</v>
      </c>
      <c r="BP59" s="1052">
        <v>568</v>
      </c>
      <c r="BQ59"/>
      <c r="BR59"/>
      <c r="BS59"/>
      <c r="BT59"/>
      <c r="BU59"/>
      <c r="BV59"/>
      <c r="BW59" s="959" t="str">
        <f t="shared" si="10"/>
        <v>►</v>
      </c>
      <c r="BX59" s="5545"/>
      <c r="BY59" s="5545"/>
      <c r="BZ59" s="5545"/>
      <c r="CA59" s="5545"/>
      <c r="CB59" s="5545"/>
      <c r="CC59" s="957"/>
      <c r="CD59" s="5546" t="s">
        <v>1928</v>
      </c>
      <c r="CE59" s="5547"/>
      <c r="CF59" s="5547"/>
      <c r="CG59" s="5547"/>
      <c r="CH59" s="5547"/>
      <c r="CI59" s="5547"/>
      <c r="CJ59" s="5548"/>
      <c r="CL59" s="5546" t="s">
        <v>1929</v>
      </c>
      <c r="CM59" s="5547"/>
      <c r="CN59" s="5547"/>
      <c r="CO59" s="5547"/>
      <c r="CP59" s="5547"/>
      <c r="CQ59" s="5547"/>
      <c r="CR59" s="5548"/>
      <c r="CT59" s="5546" t="s">
        <v>1930</v>
      </c>
      <c r="CU59" s="5547"/>
      <c r="CV59" s="5547"/>
      <c r="CW59" s="5547"/>
      <c r="CX59" s="5547"/>
      <c r="CY59" s="5547"/>
      <c r="CZ59" s="5548"/>
      <c r="DB59" s="3">
        <v>1</v>
      </c>
    </row>
    <row r="60" spans="1:106" s="709" customFormat="1" ht="21" customHeight="1">
      <c r="A60" s="936" t="s">
        <v>22</v>
      </c>
      <c r="B60" s="952" t="str">
        <f t="shared" si="9"/>
        <v>►</v>
      </c>
      <c r="C60" s="993" cm="1">
        <f t="array" ref="C60">SUMPRODUCT(LEN(D60:J60))</f>
        <v>0</v>
      </c>
      <c r="D60" s="167"/>
      <c r="E60" s="172"/>
      <c r="F60" s="172"/>
      <c r="G60" s="172"/>
      <c r="H60" s="172"/>
      <c r="I60" s="172"/>
      <c r="J60" s="173"/>
      <c r="K60" s="442" t="s">
        <v>22</v>
      </c>
      <c r="L60" s="104" t="s">
        <v>16</v>
      </c>
      <c r="M60" s="1172"/>
      <c r="N60" s="1172"/>
      <c r="O60" s="1172"/>
      <c r="P60" s="1173"/>
      <c r="Q60" s="1174"/>
      <c r="R60" s="1175"/>
      <c r="S60" s="1176"/>
      <c r="T60" s="1177"/>
      <c r="U60" s="5248"/>
      <c r="V60" s="1177"/>
      <c r="W60" s="5249"/>
      <c r="X60" s="5208"/>
      <c r="Y60" s="5209"/>
      <c r="Z60" s="5210"/>
      <c r="AA60" s="5211"/>
      <c r="AB60" s="1178"/>
      <c r="AC60" s="1179"/>
      <c r="AD60" s="227" t="s">
        <v>22</v>
      </c>
      <c r="AE60" s="1027" t="str">
        <f t="shared" si="15"/>
        <v>►</v>
      </c>
      <c r="AF60" s="1028" t="str">
        <f t="shared" si="16"/>
        <v/>
      </c>
      <c r="AG60" s="1029" t="str">
        <f t="shared" si="17"/>
        <v/>
      </c>
      <c r="AH60" s="1028" t="str">
        <f t="shared" si="18"/>
        <v/>
      </c>
      <c r="AI60" s="1029" t="str">
        <f t="shared" si="19"/>
        <v/>
      </c>
      <c r="AJ60" s="1029">
        <f t="shared" si="20"/>
        <v>0</v>
      </c>
      <c r="AK60" s="1043" t="str" cm="1">
        <f t="array" ref="AK60">IF(AE60&lt;&gt;"A","",IFERROR((IFERROR(_xlfn.XLOOKUP(TRIM(SUBSTITUTE(U60,CHAR(160)," ")),$BI$15:$BI$62,$BL$15:$BL$62),IFERROR(_xlfn.XLOOKUP(TRIM(SUBSTITUTE(U60,CHAR(160)," ")),$BJ$15:$BJ$62,$BL$15:$BL$62),_xlfn.XLOOKUP(TRIM(SUBSTITUTE(U60,CHAR(160)," ")),$BK$15:$BK$62,$BL$15:$BL$62))))*T60*IF(ISBLANK(Q60),1,Q60)+IFERROR(_xlfn.XLOOKUP("RECHERCHEX",TRIM(L60:AC60),L60:AC60),0),0))</f>
        <v/>
      </c>
      <c r="AL60" s="1030">
        <f t="shared" si="21"/>
        <v>0</v>
      </c>
      <c r="AM60" s="5254" t="str">
        <f t="shared" si="40"/>
        <v/>
      </c>
      <c r="AN60" s="1031">
        <f t="shared" si="23"/>
        <v>0</v>
      </c>
      <c r="AO60" s="1031">
        <f t="shared" si="24"/>
        <v>0</v>
      </c>
      <c r="AP60" s="1032">
        <f t="shared" si="25"/>
        <v>0</v>
      </c>
      <c r="AQ60" s="5255" t="str">
        <f t="shared" si="26"/>
        <v/>
      </c>
      <c r="AR60" s="1056"/>
      <c r="AS60" s="1056"/>
      <c r="AT60" s="1034">
        <f t="shared" si="27"/>
        <v>0</v>
      </c>
      <c r="AU60" s="1035">
        <f t="shared" si="28"/>
        <v>0</v>
      </c>
      <c r="AV60" s="1057" cm="1">
        <f t="array" ref="AV60">IF(AJ60&lt;&gt;1,0,IF(OR(AT60="",N(AT60)&lt;=0.000000001),"",IF(OR(AN60="",N(AN60)&lt;=0.000000001),0,IF(ISNUMBER(AT60),IFERROR(_xlfn.LET(_xlpm.ai_test,TRIM(AI60),_xlpm.r,IFERROR(_xlfn.XLOOKUP(_xlpm.ai_test,$BI$15:$BI$62,ROW($BI$15:$BI$62),0,1),IFERROR(_xlfn.XLOOKUP(_xlpm.ai_test,$BJ$15:$BJ$62,ROW($BJ$15:$BJ$62),0,1),_xlfn.XLOOKUP(_xlpm.ai_test,$BK$15:$BK$62,ROW($BK$15:$BK$62),0,1))),_xlpm.p,_xlpm.r-MIN(ROW($BI$15:$BI$62))+1,_xlpm.f,INDEX($BL$15:$BL$62,_xlpm.p),_xlpm.u,INDEX($BM$15:$BM$62,_xlpm.p),_xlpm.s,INDEX($BO$15:$BO$62,_xlpm.p),_xlpm.q,N(AT60)/_xlpm.f,IF(_xlpm.q&gt;=_xlpm.s,ROUND(_xlpm.q,1)&amp;" "&amp;_xlpm.ai_test&amp;" = "&amp;ROUND(_xlpm.q*_xlpm.f,1)&amp;" "&amp;_xlpm.u,ROUND(_xlpm.q,1)&amp;" "&amp;_xlpm.ai_test)),""),""))))</f>
        <v>0</v>
      </c>
      <c r="AW60" s="1047"/>
      <c r="AX60" s="1034">
        <f t="shared" si="29"/>
        <v>0</v>
      </c>
      <c r="AY60" s="1035" t="str">
        <f t="shared" si="30"/>
        <v/>
      </c>
      <c r="AZ60" s="1036">
        <f t="shared" si="36"/>
        <v>0</v>
      </c>
      <c r="BA60" s="1037" t="str">
        <f t="shared" si="31"/>
        <v/>
      </c>
      <c r="BB60" s="1038"/>
      <c r="BC60" s="1039">
        <f t="shared" si="38"/>
        <v>0</v>
      </c>
      <c r="BD60" s="1040" t="str">
        <f t="shared" si="33"/>
        <v/>
      </c>
      <c r="BE60" s="227" t="s">
        <v>22</v>
      </c>
      <c r="BF60" s="1019">
        <f t="shared" si="34"/>
        <v>0</v>
      </c>
      <c r="BG60" s="1020">
        <f t="shared" si="35"/>
        <v>0</v>
      </c>
      <c r="BH60" s="852"/>
      <c r="BI60" s="5261" t="s">
        <v>1931</v>
      </c>
      <c r="BJ60" s="5261" t="s">
        <v>1931</v>
      </c>
      <c r="BK60" s="5261" t="s">
        <v>1932</v>
      </c>
      <c r="BL60" s="1013">
        <f t="shared" si="39"/>
        <v>0.94599999999999995</v>
      </c>
      <c r="BM60" s="1051" t="s">
        <v>1814</v>
      </c>
      <c r="BN60" s="1051" t="s">
        <v>1815</v>
      </c>
      <c r="BO60" s="1003">
        <f t="shared" si="37"/>
        <v>1</v>
      </c>
      <c r="BP60" s="1052">
        <v>946</v>
      </c>
      <c r="BQ60"/>
      <c r="BR60"/>
      <c r="BS60"/>
      <c r="BT60"/>
      <c r="BU60"/>
      <c r="BV60"/>
      <c r="BW60" s="959" t="str">
        <f t="shared" si="10"/>
        <v>►</v>
      </c>
      <c r="BX60" s="1064"/>
      <c r="BY60" s="857"/>
      <c r="BZ60" s="857"/>
      <c r="CA60" s="858"/>
      <c r="CB60" s="858"/>
      <c r="CC60" s="957"/>
      <c r="CD60" s="5546"/>
      <c r="CE60" s="5547"/>
      <c r="CF60" s="5547"/>
      <c r="CG60" s="5547"/>
      <c r="CH60" s="5547"/>
      <c r="CI60" s="5547"/>
      <c r="CJ60" s="5548"/>
      <c r="CL60" s="5546"/>
      <c r="CM60" s="5547"/>
      <c r="CN60" s="5547"/>
      <c r="CO60" s="5547"/>
      <c r="CP60" s="5547"/>
      <c r="CQ60" s="5547"/>
      <c r="CR60" s="5548"/>
      <c r="CT60" s="5546"/>
      <c r="CU60" s="5547"/>
      <c r="CV60" s="5547"/>
      <c r="CW60" s="5547"/>
      <c r="CX60" s="5547"/>
      <c r="CY60" s="5547"/>
      <c r="CZ60" s="5548"/>
      <c r="DB60" s="3">
        <v>1</v>
      </c>
    </row>
    <row r="61" spans="1:106" s="709" customFormat="1" ht="21" customHeight="1">
      <c r="A61" s="936" t="s">
        <v>22</v>
      </c>
      <c r="B61" s="952" t="str">
        <f t="shared" si="9"/>
        <v>►</v>
      </c>
      <c r="C61" s="993" cm="1">
        <f t="array" ref="C61">SUMPRODUCT(LEN(D61:J61))</f>
        <v>0</v>
      </c>
      <c r="D61" s="167"/>
      <c r="E61" s="172"/>
      <c r="F61" s="172"/>
      <c r="G61" s="172"/>
      <c r="H61" s="172"/>
      <c r="I61" s="172"/>
      <c r="J61" s="173"/>
      <c r="K61" s="442" t="s">
        <v>22</v>
      </c>
      <c r="L61" s="104" t="s">
        <v>16</v>
      </c>
      <c r="M61" s="1172"/>
      <c r="N61" s="1172"/>
      <c r="O61" s="1172"/>
      <c r="P61" s="1173"/>
      <c r="Q61" s="1174"/>
      <c r="R61" s="1175"/>
      <c r="S61" s="1176"/>
      <c r="T61" s="1177"/>
      <c r="U61" s="5248"/>
      <c r="V61" s="1177"/>
      <c r="W61" s="5249"/>
      <c r="X61" s="5208"/>
      <c r="Y61" s="5209"/>
      <c r="Z61" s="5210"/>
      <c r="AA61" s="5211"/>
      <c r="AB61" s="1178"/>
      <c r="AC61" s="1179"/>
      <c r="AD61" s="227" t="s">
        <v>22</v>
      </c>
      <c r="AE61" s="1027" t="str">
        <f t="shared" si="15"/>
        <v>►</v>
      </c>
      <c r="AF61" s="1028" t="str">
        <f t="shared" si="16"/>
        <v/>
      </c>
      <c r="AG61" s="1029" t="str">
        <f t="shared" si="17"/>
        <v/>
      </c>
      <c r="AH61" s="1028" t="str">
        <f t="shared" si="18"/>
        <v/>
      </c>
      <c r="AI61" s="1029" t="str">
        <f t="shared" si="19"/>
        <v/>
      </c>
      <c r="AJ61" s="1029">
        <f t="shared" si="20"/>
        <v>0</v>
      </c>
      <c r="AK61" s="1043" t="str" cm="1">
        <f t="array" ref="AK61">IF(AE61&lt;&gt;"A","",IFERROR((IFERROR(_xlfn.XLOOKUP(TRIM(SUBSTITUTE(U61,CHAR(160)," ")),$BI$15:$BI$62,$BL$15:$BL$62),IFERROR(_xlfn.XLOOKUP(TRIM(SUBSTITUTE(U61,CHAR(160)," ")),$BJ$15:$BJ$62,$BL$15:$BL$62),_xlfn.XLOOKUP(TRIM(SUBSTITUTE(U61,CHAR(160)," ")),$BK$15:$BK$62,$BL$15:$BL$62))))*T61*IF(ISBLANK(Q61),1,Q61)+IFERROR(_xlfn.XLOOKUP("RECHERCHEX",TRIM(L61:AC61),L61:AC61),0),0))</f>
        <v/>
      </c>
      <c r="AL61" s="1030">
        <f t="shared" si="21"/>
        <v>0</v>
      </c>
      <c r="AM61" s="5254" t="str">
        <f t="shared" si="40"/>
        <v/>
      </c>
      <c r="AN61" s="1031">
        <f t="shared" si="23"/>
        <v>0</v>
      </c>
      <c r="AO61" s="1031">
        <f t="shared" si="24"/>
        <v>0</v>
      </c>
      <c r="AP61" s="1044">
        <f t="shared" si="25"/>
        <v>0</v>
      </c>
      <c r="AQ61" s="5257" t="str">
        <f t="shared" si="26"/>
        <v/>
      </c>
      <c r="AR61" s="1056"/>
      <c r="AS61" s="1056"/>
      <c r="AT61" s="1045">
        <f t="shared" si="27"/>
        <v>0</v>
      </c>
      <c r="AU61" s="1046">
        <f t="shared" si="28"/>
        <v>0</v>
      </c>
      <c r="AV61" s="1059" cm="1">
        <f t="array" ref="AV61">IF(AJ61&lt;&gt;1,0,IF(OR(AT61="",N(AT61)&lt;=0.000000001),"",IF(OR(AN61="",N(AN61)&lt;=0.000000001),0,IF(ISNUMBER(AT61),IFERROR(_xlfn.LET(_xlpm.ai_test,TRIM(AI61),_xlpm.r,IFERROR(_xlfn.XLOOKUP(_xlpm.ai_test,$BI$15:$BI$62,ROW($BI$15:$BI$62),0,1),IFERROR(_xlfn.XLOOKUP(_xlpm.ai_test,$BJ$15:$BJ$62,ROW($BJ$15:$BJ$62),0,1),_xlfn.XLOOKUP(_xlpm.ai_test,$BK$15:$BK$62,ROW($BK$15:$BK$62),0,1))),_xlpm.p,_xlpm.r-MIN(ROW($BI$15:$BI$62))+1,_xlpm.f,INDEX($BL$15:$BL$62,_xlpm.p),_xlpm.u,INDEX($BM$15:$BM$62,_xlpm.p),_xlpm.s,INDEX($BO$15:$BO$62,_xlpm.p),_xlpm.q,N(AT61)/_xlpm.f,IF(_xlpm.q&gt;=_xlpm.s,ROUND(_xlpm.q,1)&amp;" "&amp;_xlpm.ai_test&amp;" = "&amp;ROUND(_xlpm.q*_xlpm.f,1)&amp;" "&amp;_xlpm.u,ROUND(_xlpm.q,1)&amp;" "&amp;_xlpm.ai_test)),""),""))))</f>
        <v>0</v>
      </c>
      <c r="AW61" s="1047"/>
      <c r="AX61" s="1045">
        <f t="shared" si="29"/>
        <v>0</v>
      </c>
      <c r="AY61" s="1046" t="str">
        <f t="shared" si="30"/>
        <v/>
      </c>
      <c r="AZ61" s="1048">
        <f t="shared" si="36"/>
        <v>0</v>
      </c>
      <c r="BA61" s="1049" t="str">
        <f t="shared" si="31"/>
        <v/>
      </c>
      <c r="BB61" s="1038"/>
      <c r="BC61" s="1050">
        <f t="shared" si="38"/>
        <v>0</v>
      </c>
      <c r="BD61" s="1040" t="str">
        <f t="shared" si="33"/>
        <v/>
      </c>
      <c r="BE61" s="227" t="s">
        <v>22</v>
      </c>
      <c r="BF61" s="1019">
        <f t="shared" si="34"/>
        <v>0</v>
      </c>
      <c r="BG61" s="1020">
        <f t="shared" si="35"/>
        <v>0</v>
      </c>
      <c r="BH61" s="852"/>
      <c r="BI61" s="5261" t="s">
        <v>1933</v>
      </c>
      <c r="BJ61" s="5261" t="s">
        <v>1933</v>
      </c>
      <c r="BK61" s="5261" t="s">
        <v>1934</v>
      </c>
      <c r="BL61" s="1013">
        <f t="shared" si="39"/>
        <v>3.7850000000000001</v>
      </c>
      <c r="BM61" s="1051" t="s">
        <v>1814</v>
      </c>
      <c r="BN61" s="1051" t="s">
        <v>1815</v>
      </c>
      <c r="BO61" s="1003">
        <f t="shared" si="37"/>
        <v>0</v>
      </c>
      <c r="BP61" s="1052">
        <v>3785</v>
      </c>
      <c r="BQ61"/>
      <c r="BR61"/>
      <c r="BS61"/>
      <c r="BT61"/>
      <c r="BU61"/>
      <c r="BV61"/>
      <c r="BW61" s="959" t="str">
        <f t="shared" si="10"/>
        <v>►</v>
      </c>
      <c r="BX61" s="5549" t="s">
        <v>13489</v>
      </c>
      <c r="BY61" s="5549"/>
      <c r="BZ61" s="5549"/>
      <c r="CA61" s="5549"/>
      <c r="CB61" s="5549"/>
      <c r="CC61" s="957"/>
      <c r="CD61" s="1088" t="s">
        <v>874</v>
      </c>
      <c r="CE61" s="1089"/>
      <c r="CF61" s="1089"/>
      <c r="CG61" s="1089"/>
      <c r="CH61" s="1089"/>
      <c r="CI61" s="1089"/>
      <c r="CJ61" s="1090"/>
      <c r="CL61" s="1088" t="s">
        <v>874</v>
      </c>
      <c r="CM61" s="1089"/>
      <c r="CN61" s="1089"/>
      <c r="CO61" s="1089"/>
      <c r="CP61" s="1089"/>
      <c r="CQ61" s="1089"/>
      <c r="CR61" s="1090"/>
      <c r="CT61" s="1088" t="s">
        <v>874</v>
      </c>
      <c r="CU61" s="1089"/>
      <c r="CV61" s="1089"/>
      <c r="CW61" s="1089"/>
      <c r="CX61" s="1089"/>
      <c r="CY61" s="1089"/>
      <c r="CZ61" s="1148" t="s">
        <v>2619</v>
      </c>
      <c r="DB61" s="3">
        <v>1</v>
      </c>
    </row>
    <row r="62" spans="1:106" s="709" customFormat="1" ht="21" customHeight="1" thickBot="1">
      <c r="A62" s="936" t="s">
        <v>22</v>
      </c>
      <c r="B62" s="952" t="str">
        <f t="shared" si="9"/>
        <v>►</v>
      </c>
      <c r="C62" s="993" cm="1">
        <f t="array" ref="C62">SUMPRODUCT(LEN(D62:J62))</f>
        <v>0</v>
      </c>
      <c r="D62" s="167"/>
      <c r="E62" s="172"/>
      <c r="F62" s="172"/>
      <c r="G62" s="172"/>
      <c r="H62" s="172"/>
      <c r="I62" s="172"/>
      <c r="J62" s="173"/>
      <c r="K62" s="442" t="s">
        <v>22</v>
      </c>
      <c r="L62" s="104" t="s">
        <v>16</v>
      </c>
      <c r="M62" s="1172"/>
      <c r="N62" s="1172"/>
      <c r="O62" s="1172"/>
      <c r="P62" s="1173"/>
      <c r="Q62" s="1174"/>
      <c r="R62" s="1175"/>
      <c r="S62" s="1176"/>
      <c r="T62" s="1177"/>
      <c r="U62" s="5248"/>
      <c r="V62" s="1177"/>
      <c r="W62" s="5249"/>
      <c r="X62" s="5208"/>
      <c r="Y62" s="5209"/>
      <c r="Z62" s="5210"/>
      <c r="AA62" s="5211"/>
      <c r="AB62" s="1178"/>
      <c r="AC62" s="1179"/>
      <c r="AD62" s="227" t="s">
        <v>22</v>
      </c>
      <c r="AE62" s="1027" t="str">
        <f t="shared" si="15"/>
        <v>►</v>
      </c>
      <c r="AF62" s="1028" t="str">
        <f t="shared" si="16"/>
        <v/>
      </c>
      <c r="AG62" s="1029" t="str">
        <f t="shared" si="17"/>
        <v/>
      </c>
      <c r="AH62" s="1028" t="str">
        <f t="shared" si="18"/>
        <v/>
      </c>
      <c r="AI62" s="1029" t="str">
        <f t="shared" si="19"/>
        <v/>
      </c>
      <c r="AJ62" s="1029">
        <f t="shared" si="20"/>
        <v>0</v>
      </c>
      <c r="AK62" s="1043" t="str" cm="1">
        <f t="array" ref="AK62">IF(AE62&lt;&gt;"A","",IFERROR((IFERROR(_xlfn.XLOOKUP(TRIM(SUBSTITUTE(U62,CHAR(160)," ")),$BI$15:$BI$62,$BL$15:$BL$62),IFERROR(_xlfn.XLOOKUP(TRIM(SUBSTITUTE(U62,CHAR(160)," ")),$BJ$15:$BJ$62,$BL$15:$BL$62),_xlfn.XLOOKUP(TRIM(SUBSTITUTE(U62,CHAR(160)," ")),$BK$15:$BK$62,$BL$15:$BL$62))))*T62*IF(ISBLANK(Q62),1,Q62)+IFERROR(_xlfn.XLOOKUP("RECHERCHEX",TRIM(L62:AC62),L62:AC62),0),0))</f>
        <v/>
      </c>
      <c r="AL62" s="1030">
        <f t="shared" si="21"/>
        <v>0</v>
      </c>
      <c r="AM62" s="5254" t="str">
        <f t="shared" si="40"/>
        <v/>
      </c>
      <c r="AN62" s="1031">
        <f t="shared" si="23"/>
        <v>0</v>
      </c>
      <c r="AO62" s="1031">
        <f t="shared" si="24"/>
        <v>0</v>
      </c>
      <c r="AP62" s="1032">
        <f t="shared" si="25"/>
        <v>0</v>
      </c>
      <c r="AQ62" s="5255" t="str">
        <f t="shared" si="26"/>
        <v/>
      </c>
      <c r="AR62" s="1056"/>
      <c r="AS62" s="1056"/>
      <c r="AT62" s="1034">
        <f t="shared" si="27"/>
        <v>0</v>
      </c>
      <c r="AU62" s="1035">
        <f t="shared" si="28"/>
        <v>0</v>
      </c>
      <c r="AV62" s="1057" cm="1">
        <f t="array" ref="AV62">IF(AJ62&lt;&gt;1,0,IF(OR(AT62="",N(AT62)&lt;=0.000000001),"",IF(OR(AN62="",N(AN62)&lt;=0.000000001),0,IF(ISNUMBER(AT62),IFERROR(_xlfn.LET(_xlpm.ai_test,TRIM(AI62),_xlpm.r,IFERROR(_xlfn.XLOOKUP(_xlpm.ai_test,$BI$15:$BI$62,ROW($BI$15:$BI$62),0,1),IFERROR(_xlfn.XLOOKUP(_xlpm.ai_test,$BJ$15:$BJ$62,ROW($BJ$15:$BJ$62),0,1),_xlfn.XLOOKUP(_xlpm.ai_test,$BK$15:$BK$62,ROW($BK$15:$BK$62),0,1))),_xlpm.p,_xlpm.r-MIN(ROW($BI$15:$BI$62))+1,_xlpm.f,INDEX($BL$15:$BL$62,_xlpm.p),_xlpm.u,INDEX($BM$15:$BM$62,_xlpm.p),_xlpm.s,INDEX($BO$15:$BO$62,_xlpm.p),_xlpm.q,N(AT62)/_xlpm.f,IF(_xlpm.q&gt;=_xlpm.s,ROUND(_xlpm.q,1)&amp;" "&amp;_xlpm.ai_test&amp;" = "&amp;ROUND(_xlpm.q*_xlpm.f,1)&amp;" "&amp;_xlpm.u,ROUND(_xlpm.q,1)&amp;" "&amp;_xlpm.ai_test)),""),""))))</f>
        <v>0</v>
      </c>
      <c r="AW62" s="1047"/>
      <c r="AX62" s="1034">
        <f t="shared" si="29"/>
        <v>0</v>
      </c>
      <c r="AY62" s="1035" t="str">
        <f t="shared" si="30"/>
        <v/>
      </c>
      <c r="AZ62" s="1036">
        <f t="shared" si="36"/>
        <v>0</v>
      </c>
      <c r="BA62" s="1037" t="str">
        <f t="shared" si="31"/>
        <v/>
      </c>
      <c r="BB62" s="1038"/>
      <c r="BC62" s="1039">
        <f t="shared" si="38"/>
        <v>0</v>
      </c>
      <c r="BD62" s="1040" t="str">
        <f t="shared" si="33"/>
        <v/>
      </c>
      <c r="BE62" s="227" t="s">
        <v>22</v>
      </c>
      <c r="BF62" s="1019">
        <f t="shared" si="34"/>
        <v>0</v>
      </c>
      <c r="BG62" s="1020">
        <f t="shared" si="35"/>
        <v>0</v>
      </c>
      <c r="BH62" s="852"/>
      <c r="BI62" s="5261" t="s">
        <v>1935</v>
      </c>
      <c r="BJ62" s="5261" t="s">
        <v>1935</v>
      </c>
      <c r="BK62" s="5261" t="s">
        <v>1936</v>
      </c>
      <c r="BL62" s="1091">
        <f t="shared" si="39"/>
        <v>2.9569999999999999E-2</v>
      </c>
      <c r="BM62" s="1092" t="s">
        <v>1814</v>
      </c>
      <c r="BN62" s="1092" t="s">
        <v>1815</v>
      </c>
      <c r="BO62" s="1093">
        <f t="shared" si="37"/>
        <v>34</v>
      </c>
      <c r="BP62" s="1094">
        <v>29.57</v>
      </c>
      <c r="BQ62"/>
      <c r="BR62"/>
      <c r="BS62"/>
      <c r="BT62"/>
      <c r="BU62"/>
      <c r="BV62"/>
      <c r="BW62" s="959" t="str">
        <f t="shared" si="10"/>
        <v>►</v>
      </c>
      <c r="BX62" s="5549"/>
      <c r="BY62" s="5549"/>
      <c r="BZ62" s="5549"/>
      <c r="CA62" s="5549"/>
      <c r="CB62" s="5549"/>
      <c r="CC62" s="957"/>
      <c r="CD62" s="1095" t="s">
        <v>1937</v>
      </c>
      <c r="CE62" s="1096" t="s">
        <v>1938</v>
      </c>
      <c r="CF62" s="1097" t="s">
        <v>1939</v>
      </c>
      <c r="CG62" s="1096" t="s">
        <v>1940</v>
      </c>
      <c r="CH62" s="1096" t="s">
        <v>1941</v>
      </c>
      <c r="CI62" s="1096" t="s">
        <v>1942</v>
      </c>
      <c r="CJ62" s="1098" t="s">
        <v>1943</v>
      </c>
      <c r="CL62" s="1095" t="s">
        <v>1937</v>
      </c>
      <c r="CM62" s="1096" t="s">
        <v>1938</v>
      </c>
      <c r="CN62" s="1097" t="s">
        <v>1939</v>
      </c>
      <c r="CO62" s="1096" t="s">
        <v>1940</v>
      </c>
      <c r="CP62" s="1096" t="s">
        <v>1941</v>
      </c>
      <c r="CQ62" s="1096" t="s">
        <v>1942</v>
      </c>
      <c r="CR62" s="1098" t="s">
        <v>1943</v>
      </c>
      <c r="CT62" s="1095" t="s">
        <v>1937</v>
      </c>
      <c r="CU62" s="1096" t="s">
        <v>1938</v>
      </c>
      <c r="CV62" s="1097" t="s">
        <v>1939</v>
      </c>
      <c r="CW62" s="1096" t="s">
        <v>1940</v>
      </c>
      <c r="CX62" s="1096" t="s">
        <v>1941</v>
      </c>
      <c r="CY62" s="1096" t="s">
        <v>1942</v>
      </c>
      <c r="CZ62" s="1098" t="s">
        <v>1943</v>
      </c>
      <c r="DB62" s="3">
        <v>1</v>
      </c>
    </row>
    <row r="63" spans="1:106" s="709" customFormat="1" ht="21" customHeight="1">
      <c r="A63" s="936" t="s">
        <v>22</v>
      </c>
      <c r="B63" s="952" t="str">
        <f t="shared" si="9"/>
        <v>►</v>
      </c>
      <c r="C63" s="993" cm="1">
        <f t="array" ref="C63">SUMPRODUCT(LEN(D63:J63))</f>
        <v>0</v>
      </c>
      <c r="D63" s="167"/>
      <c r="E63" s="172"/>
      <c r="F63" s="172"/>
      <c r="G63" s="172"/>
      <c r="H63" s="172"/>
      <c r="I63" s="172"/>
      <c r="J63" s="173"/>
      <c r="K63" s="442" t="s">
        <v>22</v>
      </c>
      <c r="L63" s="104" t="s">
        <v>16</v>
      </c>
      <c r="M63" s="1172"/>
      <c r="N63" s="1172"/>
      <c r="O63" s="1172"/>
      <c r="P63" s="1173"/>
      <c r="Q63" s="1174"/>
      <c r="R63" s="1175"/>
      <c r="S63" s="1176"/>
      <c r="T63" s="1177"/>
      <c r="U63" s="5248"/>
      <c r="V63" s="1177"/>
      <c r="W63" s="5249"/>
      <c r="X63" s="5208"/>
      <c r="Y63" s="5209"/>
      <c r="Z63" s="5210"/>
      <c r="AA63" s="5211"/>
      <c r="AB63" s="1178"/>
      <c r="AC63" s="1179"/>
      <c r="AD63" s="227" t="s">
        <v>22</v>
      </c>
      <c r="AE63" s="1027" t="str">
        <f t="shared" si="15"/>
        <v>►</v>
      </c>
      <c r="AF63" s="1028" t="str">
        <f t="shared" si="16"/>
        <v/>
      </c>
      <c r="AG63" s="1029" t="str">
        <f t="shared" si="17"/>
        <v/>
      </c>
      <c r="AH63" s="1028" t="str">
        <f t="shared" si="18"/>
        <v/>
      </c>
      <c r="AI63" s="1029" t="str">
        <f t="shared" si="19"/>
        <v/>
      </c>
      <c r="AJ63" s="1029">
        <f t="shared" si="20"/>
        <v>0</v>
      </c>
      <c r="AK63" s="1043" t="str" cm="1">
        <f t="array" ref="AK63">IF(AE63&lt;&gt;"A","",IFERROR((IFERROR(_xlfn.XLOOKUP(TRIM(SUBSTITUTE(U63,CHAR(160)," ")),$BI$15:$BI$62,$BL$15:$BL$62),IFERROR(_xlfn.XLOOKUP(TRIM(SUBSTITUTE(U63,CHAR(160)," ")),$BJ$15:$BJ$62,$BL$15:$BL$62),_xlfn.XLOOKUP(TRIM(SUBSTITUTE(U63,CHAR(160)," ")),$BK$15:$BK$62,$BL$15:$BL$62))))*T63*IF(ISBLANK(Q63),1,Q63)+IFERROR(_xlfn.XLOOKUP("RECHERCHEX",TRIM(L63:AC63),L63:AC63),0),0))</f>
        <v/>
      </c>
      <c r="AL63" s="1030">
        <f t="shared" si="21"/>
        <v>0</v>
      </c>
      <c r="AM63" s="5254" t="str">
        <f t="shared" si="40"/>
        <v/>
      </c>
      <c r="AN63" s="1031">
        <f t="shared" si="23"/>
        <v>0</v>
      </c>
      <c r="AO63" s="1031">
        <f t="shared" si="24"/>
        <v>0</v>
      </c>
      <c r="AP63" s="1044">
        <f t="shared" si="25"/>
        <v>0</v>
      </c>
      <c r="AQ63" s="5257" t="str">
        <f t="shared" si="26"/>
        <v/>
      </c>
      <c r="AR63" s="1056"/>
      <c r="AS63" s="1056"/>
      <c r="AT63" s="1045">
        <f t="shared" si="27"/>
        <v>0</v>
      </c>
      <c r="AU63" s="1046">
        <f t="shared" si="28"/>
        <v>0</v>
      </c>
      <c r="AV63" s="1059" cm="1">
        <f t="array" ref="AV63">IF(AJ63&lt;&gt;1,0,IF(OR(AT63="",N(AT63)&lt;=0.000000001),"",IF(OR(AN63="",N(AN63)&lt;=0.000000001),0,IF(ISNUMBER(AT63),IFERROR(_xlfn.LET(_xlpm.ai_test,TRIM(AI63),_xlpm.r,IFERROR(_xlfn.XLOOKUP(_xlpm.ai_test,$BI$15:$BI$62,ROW($BI$15:$BI$62),0,1),IFERROR(_xlfn.XLOOKUP(_xlpm.ai_test,$BJ$15:$BJ$62,ROW($BJ$15:$BJ$62),0,1),_xlfn.XLOOKUP(_xlpm.ai_test,$BK$15:$BK$62,ROW($BK$15:$BK$62),0,1))),_xlpm.p,_xlpm.r-MIN(ROW($BI$15:$BI$62))+1,_xlpm.f,INDEX($BL$15:$BL$62,_xlpm.p),_xlpm.u,INDEX($BM$15:$BM$62,_xlpm.p),_xlpm.s,INDEX($BO$15:$BO$62,_xlpm.p),_xlpm.q,N(AT63)/_xlpm.f,IF(_xlpm.q&gt;=_xlpm.s,ROUND(_xlpm.q,1)&amp;" "&amp;_xlpm.ai_test&amp;" = "&amp;ROUND(_xlpm.q*_xlpm.f,1)&amp;" "&amp;_xlpm.u,ROUND(_xlpm.q,1)&amp;" "&amp;_xlpm.ai_test)),""),""))))</f>
        <v>0</v>
      </c>
      <c r="AW63" s="1047"/>
      <c r="AX63" s="1045">
        <f t="shared" si="29"/>
        <v>0</v>
      </c>
      <c r="AY63" s="1046" t="str">
        <f t="shared" si="30"/>
        <v/>
      </c>
      <c r="AZ63" s="1048">
        <f t="shared" si="36"/>
        <v>0</v>
      </c>
      <c r="BA63" s="1049" t="str">
        <f t="shared" si="31"/>
        <v/>
      </c>
      <c r="BB63" s="1038"/>
      <c r="BC63" s="1050">
        <f t="shared" si="38"/>
        <v>0</v>
      </c>
      <c r="BD63" s="1040" t="str">
        <f t="shared" si="33"/>
        <v/>
      </c>
      <c r="BE63" s="227" t="s">
        <v>22</v>
      </c>
      <c r="BF63" s="1019">
        <f t="shared" si="34"/>
        <v>0</v>
      </c>
      <c r="BG63" s="1020">
        <f t="shared" si="35"/>
        <v>0</v>
      </c>
      <c r="BH63" s="852"/>
      <c r="BI63" s="5550" t="s">
        <v>1944</v>
      </c>
      <c r="BJ63" s="5550"/>
      <c r="BK63" s="5550"/>
      <c r="BL63" s="5550"/>
      <c r="BM63" s="5550"/>
      <c r="BN63" s="5550"/>
      <c r="BO63" s="5550"/>
      <c r="BP63" s="5550"/>
      <c r="BQ63"/>
      <c r="BR63"/>
      <c r="BS63"/>
      <c r="BT63"/>
      <c r="BU63"/>
      <c r="BV63"/>
      <c r="BW63" s="959" t="str">
        <f t="shared" si="10"/>
        <v>►</v>
      </c>
      <c r="BX63" s="1064"/>
      <c r="BY63" s="857"/>
      <c r="BZ63" s="857"/>
      <c r="CA63" s="858"/>
      <c r="CB63" s="858"/>
      <c r="CC63" s="957"/>
      <c r="CD63" s="1095" t="s">
        <v>1945</v>
      </c>
      <c r="CE63" s="1096" t="s">
        <v>1946</v>
      </c>
      <c r="CF63" s="1096" t="s">
        <v>1947</v>
      </c>
      <c r="CG63" s="1096" t="s">
        <v>16</v>
      </c>
      <c r="CH63" s="1096" t="s">
        <v>1948</v>
      </c>
      <c r="CI63" s="1096" t="s">
        <v>865</v>
      </c>
      <c r="CJ63" s="1098" t="s">
        <v>1949</v>
      </c>
      <c r="CL63" s="1095" t="s">
        <v>1945</v>
      </c>
      <c r="CM63" s="1096" t="s">
        <v>1946</v>
      </c>
      <c r="CN63" s="1096" t="s">
        <v>1947</v>
      </c>
      <c r="CO63" s="1096" t="s">
        <v>16</v>
      </c>
      <c r="CP63" s="1096" t="s">
        <v>1948</v>
      </c>
      <c r="CQ63" s="1096" t="s">
        <v>865</v>
      </c>
      <c r="CR63" s="1098" t="s">
        <v>1949</v>
      </c>
      <c r="CT63" s="1095" t="s">
        <v>1945</v>
      </c>
      <c r="CU63" s="1096" t="s">
        <v>1946</v>
      </c>
      <c r="CV63" s="1096" t="s">
        <v>1947</v>
      </c>
      <c r="CW63" s="1096" t="s">
        <v>16</v>
      </c>
      <c r="CX63" s="1096" t="s">
        <v>1948</v>
      </c>
      <c r="CY63" s="1096" t="s">
        <v>865</v>
      </c>
      <c r="CZ63" s="1098" t="s">
        <v>1949</v>
      </c>
      <c r="DB63" s="3">
        <v>1</v>
      </c>
    </row>
    <row r="64" spans="1:106" s="709" customFormat="1" ht="21" customHeight="1">
      <c r="A64" s="936" t="s">
        <v>22</v>
      </c>
      <c r="B64" s="952" t="str">
        <f t="shared" si="9"/>
        <v>►</v>
      </c>
      <c r="C64" s="993" cm="1">
        <f t="array" ref="C64">SUMPRODUCT(LEN(D64:J64))</f>
        <v>0</v>
      </c>
      <c r="D64" s="167"/>
      <c r="E64" s="172"/>
      <c r="F64" s="172"/>
      <c r="G64" s="172"/>
      <c r="H64" s="172"/>
      <c r="I64" s="172"/>
      <c r="J64" s="173"/>
      <c r="K64" s="442" t="s">
        <v>22</v>
      </c>
      <c r="L64" s="104" t="s">
        <v>16</v>
      </c>
      <c r="M64" s="1172"/>
      <c r="N64" s="1172"/>
      <c r="O64" s="1172"/>
      <c r="P64" s="1173"/>
      <c r="Q64" s="1174"/>
      <c r="R64" s="1175"/>
      <c r="S64" s="1176"/>
      <c r="T64" s="1177"/>
      <c r="U64" s="5248"/>
      <c r="V64" s="1177"/>
      <c r="W64" s="5249"/>
      <c r="X64" s="5208"/>
      <c r="Y64" s="5209"/>
      <c r="Z64" s="5210"/>
      <c r="AA64" s="5211"/>
      <c r="AB64" s="1178"/>
      <c r="AC64" s="1179"/>
      <c r="AD64" s="227" t="s">
        <v>22</v>
      </c>
      <c r="AE64" s="1027" t="str">
        <f t="shared" si="15"/>
        <v>►</v>
      </c>
      <c r="AF64" s="1028" t="str">
        <f t="shared" si="16"/>
        <v/>
      </c>
      <c r="AG64" s="1029" t="str">
        <f t="shared" si="17"/>
        <v/>
      </c>
      <c r="AH64" s="1028" t="str">
        <f t="shared" si="18"/>
        <v/>
      </c>
      <c r="AI64" s="1029" t="str">
        <f t="shared" si="19"/>
        <v/>
      </c>
      <c r="AJ64" s="1029">
        <f t="shared" si="20"/>
        <v>0</v>
      </c>
      <c r="AK64" s="1043" t="str" cm="1">
        <f t="array" ref="AK64">IF(AE64&lt;&gt;"A","",IFERROR((IFERROR(_xlfn.XLOOKUP(TRIM(SUBSTITUTE(U64,CHAR(160)," ")),$BI$15:$BI$62,$BL$15:$BL$62),IFERROR(_xlfn.XLOOKUP(TRIM(SUBSTITUTE(U64,CHAR(160)," ")),$BJ$15:$BJ$62,$BL$15:$BL$62),_xlfn.XLOOKUP(TRIM(SUBSTITUTE(U64,CHAR(160)," ")),$BK$15:$BK$62,$BL$15:$BL$62))))*T64*IF(ISBLANK(Q64),1,Q64)+IFERROR(_xlfn.XLOOKUP("RECHERCHEX",TRIM(L64:AC64),L64:AC64),0),0))</f>
        <v/>
      </c>
      <c r="AL64" s="1030">
        <f t="shared" si="21"/>
        <v>0</v>
      </c>
      <c r="AM64" s="5254" t="str">
        <f t="shared" si="40"/>
        <v/>
      </c>
      <c r="AN64" s="1031">
        <f t="shared" si="23"/>
        <v>0</v>
      </c>
      <c r="AO64" s="1031">
        <f t="shared" si="24"/>
        <v>0</v>
      </c>
      <c r="AP64" s="1032">
        <f t="shared" si="25"/>
        <v>0</v>
      </c>
      <c r="AQ64" s="5255" t="str">
        <f t="shared" si="26"/>
        <v/>
      </c>
      <c r="AR64" s="1056"/>
      <c r="AS64" s="1056"/>
      <c r="AT64" s="1034">
        <f t="shared" si="27"/>
        <v>0</v>
      </c>
      <c r="AU64" s="1035">
        <f t="shared" si="28"/>
        <v>0</v>
      </c>
      <c r="AV64" s="1057" cm="1">
        <f t="array" ref="AV64">IF(AJ64&lt;&gt;1,0,IF(OR(AT64="",N(AT64)&lt;=0.000000001),"",IF(OR(AN64="",N(AN64)&lt;=0.000000001),0,IF(ISNUMBER(AT64),IFERROR(_xlfn.LET(_xlpm.ai_test,TRIM(AI64),_xlpm.r,IFERROR(_xlfn.XLOOKUP(_xlpm.ai_test,$BI$15:$BI$62,ROW($BI$15:$BI$62),0,1),IFERROR(_xlfn.XLOOKUP(_xlpm.ai_test,$BJ$15:$BJ$62,ROW($BJ$15:$BJ$62),0,1),_xlfn.XLOOKUP(_xlpm.ai_test,$BK$15:$BK$62,ROW($BK$15:$BK$62),0,1))),_xlpm.p,_xlpm.r-MIN(ROW($BI$15:$BI$62))+1,_xlpm.f,INDEX($BL$15:$BL$62,_xlpm.p),_xlpm.u,INDEX($BM$15:$BM$62,_xlpm.p),_xlpm.s,INDEX($BO$15:$BO$62,_xlpm.p),_xlpm.q,N(AT64)/_xlpm.f,IF(_xlpm.q&gt;=_xlpm.s,ROUND(_xlpm.q,1)&amp;" "&amp;_xlpm.ai_test&amp;" = "&amp;ROUND(_xlpm.q*_xlpm.f,1)&amp;" "&amp;_xlpm.u,ROUND(_xlpm.q,1)&amp;" "&amp;_xlpm.ai_test)),""),""))))</f>
        <v>0</v>
      </c>
      <c r="AW64" s="1047"/>
      <c r="AX64" s="1034">
        <f t="shared" si="29"/>
        <v>0</v>
      </c>
      <c r="AY64" s="1035" t="str">
        <f t="shared" si="30"/>
        <v/>
      </c>
      <c r="AZ64" s="1036">
        <f t="shared" si="36"/>
        <v>0</v>
      </c>
      <c r="BA64" s="1037" t="str">
        <f t="shared" si="31"/>
        <v/>
      </c>
      <c r="BB64" s="1038"/>
      <c r="BC64" s="1039">
        <f t="shared" si="38"/>
        <v>0</v>
      </c>
      <c r="BD64" s="1040" t="str">
        <f t="shared" si="33"/>
        <v/>
      </c>
      <c r="BE64" s="227" t="s">
        <v>22</v>
      </c>
      <c r="BF64" s="1019">
        <f t="shared" si="34"/>
        <v>0</v>
      </c>
      <c r="BG64" s="1020">
        <f t="shared" si="35"/>
        <v>0</v>
      </c>
      <c r="BH64" s="852"/>
      <c r="BI64" s="5550"/>
      <c r="BJ64" s="5550"/>
      <c r="BK64" s="5550"/>
      <c r="BL64" s="5550"/>
      <c r="BM64" s="5550"/>
      <c r="BN64" s="5550"/>
      <c r="BO64" s="5550"/>
      <c r="BP64" s="5550"/>
      <c r="BQ64"/>
      <c r="BR64"/>
      <c r="BS64"/>
      <c r="BT64"/>
      <c r="BU64"/>
      <c r="BV64"/>
      <c r="BW64" s="959" t="str">
        <f t="shared" si="10"/>
        <v>►</v>
      </c>
      <c r="BX64" s="5551" t="s">
        <v>13490</v>
      </c>
      <c r="BY64" s="5551"/>
      <c r="BZ64" s="5551"/>
      <c r="CA64" s="5551"/>
      <c r="CB64" s="5551"/>
      <c r="CC64" s="957"/>
      <c r="CD64" s="867"/>
      <c r="CE64" s="116"/>
      <c r="CF64" s="116"/>
      <c r="CG64" s="116"/>
      <c r="CH64" s="116"/>
      <c r="CI64" s="116"/>
      <c r="CJ64" s="1084" t="s">
        <v>2619</v>
      </c>
      <c r="CL64" s="867"/>
      <c r="CM64" s="116"/>
      <c r="CN64" s="116"/>
      <c r="CO64" s="116"/>
      <c r="CP64" s="116"/>
      <c r="CQ64" s="116"/>
      <c r="CR64" s="1084" t="s">
        <v>2619</v>
      </c>
      <c r="CT64" s="5552" t="s">
        <v>1950</v>
      </c>
      <c r="CU64" s="5553"/>
      <c r="CV64" s="5553"/>
      <c r="CW64" s="5553"/>
      <c r="CX64" s="5553"/>
      <c r="CY64" s="5553"/>
      <c r="CZ64" s="5554"/>
      <c r="DB64" s="3">
        <v>1</v>
      </c>
    </row>
    <row r="65" spans="1:106" s="709" customFormat="1" ht="21" customHeight="1">
      <c r="A65" s="936" t="s">
        <v>22</v>
      </c>
      <c r="B65" s="952" t="str">
        <f t="shared" si="9"/>
        <v>►</v>
      </c>
      <c r="C65" s="993" cm="1">
        <f t="array" ref="C65">SUMPRODUCT(LEN(D65:J65))</f>
        <v>0</v>
      </c>
      <c r="D65" s="167"/>
      <c r="E65" s="172"/>
      <c r="F65" s="172"/>
      <c r="G65" s="172"/>
      <c r="H65" s="172"/>
      <c r="I65" s="172"/>
      <c r="J65" s="173"/>
      <c r="K65" s="442" t="s">
        <v>22</v>
      </c>
      <c r="L65" s="104" t="s">
        <v>16</v>
      </c>
      <c r="M65" s="1172"/>
      <c r="N65" s="1172"/>
      <c r="O65" s="1172"/>
      <c r="P65" s="1173"/>
      <c r="Q65" s="1174"/>
      <c r="R65" s="1175"/>
      <c r="S65" s="1176"/>
      <c r="T65" s="1177"/>
      <c r="U65" s="5248"/>
      <c r="V65" s="1177"/>
      <c r="W65" s="5249"/>
      <c r="X65" s="5208"/>
      <c r="Y65" s="5209"/>
      <c r="Z65" s="5210"/>
      <c r="AA65" s="5211"/>
      <c r="AB65" s="1178"/>
      <c r="AC65" s="1179"/>
      <c r="AD65" s="227" t="s">
        <v>22</v>
      </c>
      <c r="AE65" s="1027" t="str">
        <f t="shared" si="15"/>
        <v>►</v>
      </c>
      <c r="AF65" s="1028" t="str">
        <f t="shared" si="16"/>
        <v/>
      </c>
      <c r="AG65" s="1029" t="str">
        <f t="shared" si="17"/>
        <v/>
      </c>
      <c r="AH65" s="1028" t="str">
        <f t="shared" si="18"/>
        <v/>
      </c>
      <c r="AI65" s="1029" t="str">
        <f t="shared" si="19"/>
        <v/>
      </c>
      <c r="AJ65" s="1029">
        <f t="shared" si="20"/>
        <v>0</v>
      </c>
      <c r="AK65" s="1043" t="str" cm="1">
        <f t="array" ref="AK65">IF(AE65&lt;&gt;"A","",IFERROR((IFERROR(_xlfn.XLOOKUP(TRIM(SUBSTITUTE(U65,CHAR(160)," ")),$BI$15:$BI$62,$BL$15:$BL$62),IFERROR(_xlfn.XLOOKUP(TRIM(SUBSTITUTE(U65,CHAR(160)," ")),$BJ$15:$BJ$62,$BL$15:$BL$62),_xlfn.XLOOKUP(TRIM(SUBSTITUTE(U65,CHAR(160)," ")),$BK$15:$BK$62,$BL$15:$BL$62))))*T65*IF(ISBLANK(Q65),1,Q65)+IFERROR(_xlfn.XLOOKUP("RECHERCHEX",TRIM(L65:AC65),L65:AC65),0),0))</f>
        <v/>
      </c>
      <c r="AL65" s="1030">
        <f t="shared" si="21"/>
        <v>0</v>
      </c>
      <c r="AM65" s="5254" t="str">
        <f t="shared" si="40"/>
        <v/>
      </c>
      <c r="AN65" s="1031">
        <f t="shared" si="23"/>
        <v>0</v>
      </c>
      <c r="AO65" s="1031">
        <f t="shared" si="24"/>
        <v>0</v>
      </c>
      <c r="AP65" s="1044">
        <f t="shared" si="25"/>
        <v>0</v>
      </c>
      <c r="AQ65" s="5257" t="str">
        <f t="shared" si="26"/>
        <v/>
      </c>
      <c r="AR65" s="1056"/>
      <c r="AS65" s="1056"/>
      <c r="AT65" s="1045">
        <f t="shared" si="27"/>
        <v>0</v>
      </c>
      <c r="AU65" s="1046">
        <f t="shared" si="28"/>
        <v>0</v>
      </c>
      <c r="AV65" s="1059" cm="1">
        <f t="array" ref="AV65">IF(AJ65&lt;&gt;1,0,IF(OR(AT65="",N(AT65)&lt;=0.000000001),"",IF(OR(AN65="",N(AN65)&lt;=0.000000001),0,IF(ISNUMBER(AT65),IFERROR(_xlfn.LET(_xlpm.ai_test,TRIM(AI65),_xlpm.r,IFERROR(_xlfn.XLOOKUP(_xlpm.ai_test,$BI$15:$BI$62,ROW($BI$15:$BI$62),0,1),IFERROR(_xlfn.XLOOKUP(_xlpm.ai_test,$BJ$15:$BJ$62,ROW($BJ$15:$BJ$62),0,1),_xlfn.XLOOKUP(_xlpm.ai_test,$BK$15:$BK$62,ROW($BK$15:$BK$62),0,1))),_xlpm.p,_xlpm.r-MIN(ROW($BI$15:$BI$62))+1,_xlpm.f,INDEX($BL$15:$BL$62,_xlpm.p),_xlpm.u,INDEX($BM$15:$BM$62,_xlpm.p),_xlpm.s,INDEX($BO$15:$BO$62,_xlpm.p),_xlpm.q,N(AT65)/_xlpm.f,IF(_xlpm.q&gt;=_xlpm.s,ROUND(_xlpm.q,1)&amp;" "&amp;_xlpm.ai_test&amp;" = "&amp;ROUND(_xlpm.q*_xlpm.f,1)&amp;" "&amp;_xlpm.u,ROUND(_xlpm.q,1)&amp;" "&amp;_xlpm.ai_test)),""),""))))</f>
        <v>0</v>
      </c>
      <c r="AW65" s="1047"/>
      <c r="AX65" s="1045">
        <f t="shared" si="29"/>
        <v>0</v>
      </c>
      <c r="AY65" s="1046" t="str">
        <f t="shared" si="30"/>
        <v/>
      </c>
      <c r="AZ65" s="1048">
        <f t="shared" si="36"/>
        <v>0</v>
      </c>
      <c r="BA65" s="1049" t="str">
        <f t="shared" si="31"/>
        <v/>
      </c>
      <c r="BB65" s="1038"/>
      <c r="BC65" s="1050">
        <f t="shared" si="38"/>
        <v>0</v>
      </c>
      <c r="BD65" s="1040" t="str">
        <f t="shared" si="33"/>
        <v/>
      </c>
      <c r="BE65" s="227" t="s">
        <v>22</v>
      </c>
      <c r="BF65" s="1019">
        <f t="shared" si="34"/>
        <v>0</v>
      </c>
      <c r="BG65" s="1020">
        <f t="shared" si="35"/>
        <v>0</v>
      </c>
      <c r="BH65" s="1099"/>
      <c r="BI65" s="1100" t="s">
        <v>1951</v>
      </c>
      <c r="BJ65" s="1100"/>
      <c r="BK65" s="1100"/>
      <c r="BL65" s="1101"/>
      <c r="BM65" s="1102"/>
      <c r="BN65" s="1102"/>
      <c r="BO65" s="1102"/>
      <c r="BQ65"/>
      <c r="BR65"/>
      <c r="BS65"/>
      <c r="BT65"/>
      <c r="BU65"/>
      <c r="BV65"/>
      <c r="BW65" s="959" t="str">
        <f t="shared" si="10"/>
        <v>►</v>
      </c>
      <c r="BX65" s="5551"/>
      <c r="BY65" s="5551"/>
      <c r="BZ65" s="5551"/>
      <c r="CA65" s="5551"/>
      <c r="CB65" s="5551"/>
      <c r="CC65" s="957"/>
      <c r="CD65" s="1103">
        <v>19</v>
      </c>
      <c r="CE65" s="1104">
        <v>18</v>
      </c>
      <c r="CF65" s="1104">
        <v>10</v>
      </c>
      <c r="CG65" s="1104">
        <v>16</v>
      </c>
      <c r="CH65" s="1104">
        <v>16</v>
      </c>
      <c r="CI65" s="1104">
        <v>11</v>
      </c>
      <c r="CJ65" s="1105">
        <v>40</v>
      </c>
      <c r="CL65" s="1103">
        <v>19</v>
      </c>
      <c r="CM65" s="1104">
        <v>18</v>
      </c>
      <c r="CN65" s="1104">
        <v>10</v>
      </c>
      <c r="CO65" s="1104">
        <v>16</v>
      </c>
      <c r="CP65" s="1104">
        <v>16</v>
      </c>
      <c r="CQ65" s="1104">
        <v>11</v>
      </c>
      <c r="CR65" s="1105">
        <v>40</v>
      </c>
      <c r="CT65" s="5552"/>
      <c r="CU65" s="5553"/>
      <c r="CV65" s="5553"/>
      <c r="CW65" s="5553"/>
      <c r="CX65" s="5553"/>
      <c r="CY65" s="5553"/>
      <c r="CZ65" s="5554"/>
      <c r="DB65" s="3">
        <v>1</v>
      </c>
    </row>
    <row r="66" spans="1:106" s="709" customFormat="1" ht="21" customHeight="1" thickBot="1">
      <c r="A66" s="936" t="s">
        <v>22</v>
      </c>
      <c r="B66" s="952" t="str">
        <f t="shared" si="9"/>
        <v>►</v>
      </c>
      <c r="C66" s="993" cm="1">
        <f t="array" ref="C66">SUMPRODUCT(LEN(D66:J66))</f>
        <v>0</v>
      </c>
      <c r="D66" s="167"/>
      <c r="E66" s="172"/>
      <c r="F66" s="172"/>
      <c r="G66" s="172"/>
      <c r="H66" s="172"/>
      <c r="I66" s="172"/>
      <c r="J66" s="173"/>
      <c r="K66" s="442" t="s">
        <v>22</v>
      </c>
      <c r="L66" s="104" t="s">
        <v>16</v>
      </c>
      <c r="M66" s="1172"/>
      <c r="N66" s="1172"/>
      <c r="O66" s="1172"/>
      <c r="P66" s="1173"/>
      <c r="Q66" s="1174"/>
      <c r="R66" s="1175"/>
      <c r="S66" s="1176"/>
      <c r="T66" s="1177"/>
      <c r="U66" s="5248"/>
      <c r="V66" s="1177"/>
      <c r="W66" s="5249"/>
      <c r="X66" s="5208"/>
      <c r="Y66" s="5209"/>
      <c r="Z66" s="5210"/>
      <c r="AA66" s="5211"/>
      <c r="AB66" s="1178"/>
      <c r="AC66" s="1179"/>
      <c r="AD66" s="227" t="s">
        <v>22</v>
      </c>
      <c r="AE66" s="1027" t="str">
        <f t="shared" si="15"/>
        <v>►</v>
      </c>
      <c r="AF66" s="1028" t="str">
        <f t="shared" si="16"/>
        <v/>
      </c>
      <c r="AG66" s="1029" t="str">
        <f t="shared" si="17"/>
        <v/>
      </c>
      <c r="AH66" s="1028" t="str">
        <f t="shared" si="18"/>
        <v/>
      </c>
      <c r="AI66" s="1029" t="str">
        <f t="shared" si="19"/>
        <v/>
      </c>
      <c r="AJ66" s="1029">
        <f t="shared" si="20"/>
        <v>0</v>
      </c>
      <c r="AK66" s="1043" t="str" cm="1">
        <f t="array" ref="AK66">IF(AE66&lt;&gt;"A","",IFERROR((IFERROR(_xlfn.XLOOKUP(TRIM(SUBSTITUTE(U66,CHAR(160)," ")),$BI$15:$BI$62,$BL$15:$BL$62),IFERROR(_xlfn.XLOOKUP(TRIM(SUBSTITUTE(U66,CHAR(160)," ")),$BJ$15:$BJ$62,$BL$15:$BL$62),_xlfn.XLOOKUP(TRIM(SUBSTITUTE(U66,CHAR(160)," ")),$BK$15:$BK$62,$BL$15:$BL$62))))*T66*IF(ISBLANK(Q66),1,Q66)+IFERROR(_xlfn.XLOOKUP("RECHERCHEX",TRIM(L66:AC66),L66:AC66),0),0))</f>
        <v/>
      </c>
      <c r="AL66" s="1030">
        <f t="shared" si="21"/>
        <v>0</v>
      </c>
      <c r="AM66" s="5254" t="str">
        <f t="shared" si="40"/>
        <v/>
      </c>
      <c r="AN66" s="1031">
        <f t="shared" si="23"/>
        <v>0</v>
      </c>
      <c r="AO66" s="1031">
        <f t="shared" si="24"/>
        <v>0</v>
      </c>
      <c r="AP66" s="1032">
        <f t="shared" si="25"/>
        <v>0</v>
      </c>
      <c r="AQ66" s="5255" t="str">
        <f t="shared" si="26"/>
        <v/>
      </c>
      <c r="AR66" s="1056"/>
      <c r="AS66" s="1056"/>
      <c r="AT66" s="1034">
        <f t="shared" si="27"/>
        <v>0</v>
      </c>
      <c r="AU66" s="1035">
        <f t="shared" si="28"/>
        <v>0</v>
      </c>
      <c r="AV66" s="1057" cm="1">
        <f t="array" ref="AV66">IF(AJ66&lt;&gt;1,0,IF(OR(AT66="",N(AT66)&lt;=0.000000001),"",IF(OR(AN66="",N(AN66)&lt;=0.000000001),0,IF(ISNUMBER(AT66),IFERROR(_xlfn.LET(_xlpm.ai_test,TRIM(AI66),_xlpm.r,IFERROR(_xlfn.XLOOKUP(_xlpm.ai_test,$BI$15:$BI$62,ROW($BI$15:$BI$62),0,1),IFERROR(_xlfn.XLOOKUP(_xlpm.ai_test,$BJ$15:$BJ$62,ROW($BJ$15:$BJ$62),0,1),_xlfn.XLOOKUP(_xlpm.ai_test,$BK$15:$BK$62,ROW($BK$15:$BK$62),0,1))),_xlpm.p,_xlpm.r-MIN(ROW($BI$15:$BI$62))+1,_xlpm.f,INDEX($BL$15:$BL$62,_xlpm.p),_xlpm.u,INDEX($BM$15:$BM$62,_xlpm.p),_xlpm.s,INDEX($BO$15:$BO$62,_xlpm.p),_xlpm.q,N(AT66)/_xlpm.f,IF(_xlpm.q&gt;=_xlpm.s,ROUND(_xlpm.q,1)&amp;" "&amp;_xlpm.ai_test&amp;" = "&amp;ROUND(_xlpm.q*_xlpm.f,1)&amp;" "&amp;_xlpm.u,ROUND(_xlpm.q,1)&amp;" "&amp;_xlpm.ai_test)),""),""))))</f>
        <v>0</v>
      </c>
      <c r="AW66" s="1047"/>
      <c r="AX66" s="1034">
        <f t="shared" si="29"/>
        <v>0</v>
      </c>
      <c r="AY66" s="1035" t="str">
        <f t="shared" si="30"/>
        <v/>
      </c>
      <c r="AZ66" s="1036">
        <f t="shared" si="36"/>
        <v>0</v>
      </c>
      <c r="BA66" s="1037" t="str">
        <f t="shared" si="31"/>
        <v/>
      </c>
      <c r="BB66" s="1038"/>
      <c r="BC66" s="1039">
        <f t="shared" si="38"/>
        <v>0</v>
      </c>
      <c r="BD66" s="1040" t="str">
        <f t="shared" si="33"/>
        <v/>
      </c>
      <c r="BE66" s="227" t="s">
        <v>22</v>
      </c>
      <c r="BF66" s="1019">
        <f t="shared" si="34"/>
        <v>0</v>
      </c>
      <c r="BG66" s="1020">
        <f t="shared" si="35"/>
        <v>0</v>
      </c>
      <c r="BH66" s="1099"/>
      <c r="BI66" s="231"/>
      <c r="BJ66" s="231"/>
      <c r="BK66" s="231"/>
      <c r="BL66" s="231"/>
      <c r="BM66" s="231"/>
      <c r="BN66" s="231"/>
      <c r="BO66" s="231"/>
      <c r="BP66" s="231"/>
      <c r="BQ66"/>
      <c r="BR66"/>
      <c r="BS66"/>
      <c r="BT66"/>
      <c r="BU66"/>
      <c r="BV66"/>
      <c r="BW66" s="959" t="str">
        <f t="shared" si="10"/>
        <v>►</v>
      </c>
      <c r="BX66" s="1064"/>
      <c r="BY66" s="857"/>
      <c r="BZ66" s="857"/>
      <c r="CA66" s="858"/>
      <c r="CB66" s="858"/>
      <c r="CC66" s="957"/>
      <c r="CD66" s="1106">
        <f t="shared" ref="CD66:CJ66" ca="1" si="41">CELL("largeur",CD66)</f>
        <v>19</v>
      </c>
      <c r="CE66" s="1107">
        <f t="shared" ca="1" si="41"/>
        <v>18</v>
      </c>
      <c r="CF66" s="1107">
        <f t="shared" ca="1" si="41"/>
        <v>10</v>
      </c>
      <c r="CG66" s="1107">
        <f t="shared" ca="1" si="41"/>
        <v>16</v>
      </c>
      <c r="CH66" s="1107">
        <f t="shared" ca="1" si="41"/>
        <v>16</v>
      </c>
      <c r="CI66" s="1107">
        <f t="shared" ca="1" si="41"/>
        <v>11</v>
      </c>
      <c r="CJ66" s="1108">
        <f t="shared" ca="1" si="41"/>
        <v>40</v>
      </c>
      <c r="CL66" s="1106">
        <f t="shared" ref="CL66:CR66" ca="1" si="42">CELL("largeur",CL66)</f>
        <v>19</v>
      </c>
      <c r="CM66" s="1107">
        <f t="shared" ca="1" si="42"/>
        <v>18</v>
      </c>
      <c r="CN66" s="1107">
        <f t="shared" ca="1" si="42"/>
        <v>10</v>
      </c>
      <c r="CO66" s="1107">
        <f t="shared" ca="1" si="42"/>
        <v>16</v>
      </c>
      <c r="CP66" s="1107">
        <f t="shared" ca="1" si="42"/>
        <v>16</v>
      </c>
      <c r="CQ66" s="1107">
        <f t="shared" ca="1" si="42"/>
        <v>11</v>
      </c>
      <c r="CR66" s="1108">
        <f t="shared" ca="1" si="42"/>
        <v>40</v>
      </c>
      <c r="CT66" s="1103">
        <v>19</v>
      </c>
      <c r="CU66" s="1104">
        <v>18</v>
      </c>
      <c r="CV66" s="1104">
        <v>10</v>
      </c>
      <c r="CW66" s="1104">
        <v>16</v>
      </c>
      <c r="CX66" s="1104">
        <v>16</v>
      </c>
      <c r="CY66" s="1104">
        <v>11</v>
      </c>
      <c r="CZ66" s="1105">
        <v>40</v>
      </c>
      <c r="DB66" s="3">
        <v>1</v>
      </c>
    </row>
    <row r="67" spans="1:106" s="709" customFormat="1" ht="21" customHeight="1" thickBot="1">
      <c r="A67" s="936" t="s">
        <v>22</v>
      </c>
      <c r="B67" s="952" t="str">
        <f t="shared" si="9"/>
        <v>►</v>
      </c>
      <c r="C67" s="993" cm="1">
        <f t="array" ref="C67">SUMPRODUCT(LEN(D67:J67))</f>
        <v>0</v>
      </c>
      <c r="D67" s="167"/>
      <c r="E67" s="172"/>
      <c r="F67" s="172"/>
      <c r="G67" s="172"/>
      <c r="H67" s="172"/>
      <c r="I67" s="172"/>
      <c r="J67" s="173"/>
      <c r="K67" s="442" t="s">
        <v>22</v>
      </c>
      <c r="L67" s="104" t="s">
        <v>16</v>
      </c>
      <c r="M67" s="1172"/>
      <c r="N67" s="1172"/>
      <c r="O67" s="1172"/>
      <c r="P67" s="1173"/>
      <c r="Q67" s="1174"/>
      <c r="R67" s="1175"/>
      <c r="S67" s="1176"/>
      <c r="T67" s="1177"/>
      <c r="U67" s="5248"/>
      <c r="V67" s="1177"/>
      <c r="W67" s="5249"/>
      <c r="X67" s="5208"/>
      <c r="Y67" s="5209"/>
      <c r="Z67" s="5210"/>
      <c r="AA67" s="5211"/>
      <c r="AB67" s="1178"/>
      <c r="AC67" s="1179"/>
      <c r="AD67" s="227" t="s">
        <v>22</v>
      </c>
      <c r="AE67" s="1027" t="str">
        <f t="shared" si="15"/>
        <v>►</v>
      </c>
      <c r="AF67" s="1028" t="str">
        <f t="shared" si="16"/>
        <v/>
      </c>
      <c r="AG67" s="1029" t="str">
        <f t="shared" si="17"/>
        <v/>
      </c>
      <c r="AH67" s="1028" t="str">
        <f t="shared" si="18"/>
        <v/>
      </c>
      <c r="AI67" s="1029" t="str">
        <f t="shared" si="19"/>
        <v/>
      </c>
      <c r="AJ67" s="1029">
        <f t="shared" si="20"/>
        <v>0</v>
      </c>
      <c r="AK67" s="1043" t="str" cm="1">
        <f t="array" ref="AK67">IF(AE67&lt;&gt;"A","",IFERROR((IFERROR(_xlfn.XLOOKUP(TRIM(SUBSTITUTE(U67,CHAR(160)," ")),$BI$15:$BI$62,$BL$15:$BL$62),IFERROR(_xlfn.XLOOKUP(TRIM(SUBSTITUTE(U67,CHAR(160)," ")),$BJ$15:$BJ$62,$BL$15:$BL$62),_xlfn.XLOOKUP(TRIM(SUBSTITUTE(U67,CHAR(160)," ")),$BK$15:$BK$62,$BL$15:$BL$62))))*T67*IF(ISBLANK(Q67),1,Q67)+IFERROR(_xlfn.XLOOKUP("RECHERCHEX",TRIM(L67:AC67),L67:AC67),0),0))</f>
        <v/>
      </c>
      <c r="AL67" s="1030">
        <f t="shared" si="21"/>
        <v>0</v>
      </c>
      <c r="AM67" s="5254" t="str">
        <f t="shared" si="40"/>
        <v/>
      </c>
      <c r="AN67" s="1031">
        <f t="shared" si="23"/>
        <v>0</v>
      </c>
      <c r="AO67" s="1031">
        <f t="shared" si="24"/>
        <v>0</v>
      </c>
      <c r="AP67" s="1044">
        <f t="shared" si="25"/>
        <v>0</v>
      </c>
      <c r="AQ67" s="5257" t="str">
        <f t="shared" si="26"/>
        <v/>
      </c>
      <c r="AR67" s="1056"/>
      <c r="AS67" s="1056"/>
      <c r="AT67" s="1045">
        <f t="shared" si="27"/>
        <v>0</v>
      </c>
      <c r="AU67" s="1046">
        <f t="shared" si="28"/>
        <v>0</v>
      </c>
      <c r="AV67" s="1059" cm="1">
        <f t="array" ref="AV67">IF(AJ67&lt;&gt;1,0,IF(OR(AT67="",N(AT67)&lt;=0.000000001),"",IF(OR(AN67="",N(AN67)&lt;=0.000000001),0,IF(ISNUMBER(AT67),IFERROR(_xlfn.LET(_xlpm.ai_test,TRIM(AI67),_xlpm.r,IFERROR(_xlfn.XLOOKUP(_xlpm.ai_test,$BI$15:$BI$62,ROW($BI$15:$BI$62),0,1),IFERROR(_xlfn.XLOOKUP(_xlpm.ai_test,$BJ$15:$BJ$62,ROW($BJ$15:$BJ$62),0,1),_xlfn.XLOOKUP(_xlpm.ai_test,$BK$15:$BK$62,ROW($BK$15:$BK$62),0,1))),_xlpm.p,_xlpm.r-MIN(ROW($BI$15:$BI$62))+1,_xlpm.f,INDEX($BL$15:$BL$62,_xlpm.p),_xlpm.u,INDEX($BM$15:$BM$62,_xlpm.p),_xlpm.s,INDEX($BO$15:$BO$62,_xlpm.p),_xlpm.q,N(AT67)/_xlpm.f,IF(_xlpm.q&gt;=_xlpm.s,ROUND(_xlpm.q,1)&amp;" "&amp;_xlpm.ai_test&amp;" = "&amp;ROUND(_xlpm.q*_xlpm.f,1)&amp;" "&amp;_xlpm.u,ROUND(_xlpm.q,1)&amp;" "&amp;_xlpm.ai_test)),""),""))))</f>
        <v>0</v>
      </c>
      <c r="AW67" s="1047"/>
      <c r="AX67" s="1045">
        <f t="shared" si="29"/>
        <v>0</v>
      </c>
      <c r="AY67" s="1046" t="str">
        <f t="shared" si="30"/>
        <v/>
      </c>
      <c r="AZ67" s="1048">
        <f t="shared" si="36"/>
        <v>0</v>
      </c>
      <c r="BA67" s="1049" t="str">
        <f t="shared" si="31"/>
        <v/>
      </c>
      <c r="BB67" s="1038"/>
      <c r="BC67" s="1050">
        <f t="shared" si="38"/>
        <v>0</v>
      </c>
      <c r="BD67" s="1040" t="str">
        <f t="shared" si="33"/>
        <v/>
      </c>
      <c r="BE67" s="227" t="s">
        <v>22</v>
      </c>
      <c r="BF67" s="1019">
        <f t="shared" si="34"/>
        <v>0</v>
      </c>
      <c r="BG67" s="1020">
        <f t="shared" si="35"/>
        <v>0</v>
      </c>
      <c r="BH67"/>
      <c r="BI67" s="5504" t="s">
        <v>1952</v>
      </c>
      <c r="BJ67" s="5504"/>
      <c r="BK67" s="5504"/>
      <c r="BL67" s="5504"/>
      <c r="BM67" s="5504"/>
      <c r="BN67" s="5504"/>
      <c r="BO67" s="5504"/>
      <c r="BP67" s="5504"/>
      <c r="BQ67"/>
      <c r="BR67"/>
      <c r="BS67"/>
      <c r="BT67"/>
      <c r="BU67"/>
      <c r="BV67"/>
      <c r="BW67" s="959" t="str">
        <f t="shared" si="10"/>
        <v>►</v>
      </c>
      <c r="BX67" s="5538" t="s">
        <v>13491</v>
      </c>
      <c r="BY67" s="5538"/>
      <c r="BZ67" s="5538"/>
      <c r="CA67" s="5538"/>
      <c r="CB67" s="5538"/>
      <c r="CC67" s="957"/>
      <c r="CT67" s="1106">
        <f t="shared" ref="CT67:CZ67" ca="1" si="43">CELL("largeur",CT67)</f>
        <v>19</v>
      </c>
      <c r="CU67" s="1107">
        <f t="shared" ca="1" si="43"/>
        <v>18</v>
      </c>
      <c r="CV67" s="1107">
        <f t="shared" ca="1" si="43"/>
        <v>10</v>
      </c>
      <c r="CW67" s="1107">
        <f t="shared" ca="1" si="43"/>
        <v>16</v>
      </c>
      <c r="CX67" s="1107">
        <f t="shared" ca="1" si="43"/>
        <v>16</v>
      </c>
      <c r="CY67" s="1107">
        <f t="shared" ca="1" si="43"/>
        <v>11</v>
      </c>
      <c r="CZ67" s="1108">
        <f t="shared" ca="1" si="43"/>
        <v>40</v>
      </c>
      <c r="DB67" s="3">
        <v>1</v>
      </c>
    </row>
    <row r="68" spans="1:106" s="709" customFormat="1" ht="21" customHeight="1">
      <c r="A68" s="936" t="s">
        <v>22</v>
      </c>
      <c r="B68" s="952" t="str">
        <f t="shared" si="9"/>
        <v>►</v>
      </c>
      <c r="C68" s="993" cm="1">
        <f t="array" ref="C68">SUMPRODUCT(LEN(D68:J68))</f>
        <v>0</v>
      </c>
      <c r="D68" s="167"/>
      <c r="E68" s="172"/>
      <c r="F68" s="172"/>
      <c r="G68" s="172"/>
      <c r="H68" s="172"/>
      <c r="I68" s="172"/>
      <c r="J68" s="173"/>
      <c r="K68" s="442" t="s">
        <v>22</v>
      </c>
      <c r="L68" s="104" t="s">
        <v>16</v>
      </c>
      <c r="M68" s="1172"/>
      <c r="N68" s="1172"/>
      <c r="O68" s="1172"/>
      <c r="P68" s="1173"/>
      <c r="Q68" s="1174"/>
      <c r="R68" s="1175"/>
      <c r="S68" s="1176"/>
      <c r="T68" s="1177"/>
      <c r="U68" s="5248"/>
      <c r="V68" s="1177"/>
      <c r="W68" s="5249"/>
      <c r="X68" s="5208"/>
      <c r="Y68" s="5209"/>
      <c r="Z68" s="5210"/>
      <c r="AA68" s="5211"/>
      <c r="AB68" s="1178"/>
      <c r="AC68" s="1179"/>
      <c r="AD68" s="227" t="s">
        <v>22</v>
      </c>
      <c r="AE68" s="1027" t="str">
        <f t="shared" si="15"/>
        <v>►</v>
      </c>
      <c r="AF68" s="1028" t="str">
        <f t="shared" si="16"/>
        <v/>
      </c>
      <c r="AG68" s="1029" t="str">
        <f t="shared" si="17"/>
        <v/>
      </c>
      <c r="AH68" s="1028" t="str">
        <f t="shared" si="18"/>
        <v/>
      </c>
      <c r="AI68" s="1029" t="str">
        <f t="shared" si="19"/>
        <v/>
      </c>
      <c r="AJ68" s="1029">
        <f t="shared" si="20"/>
        <v>0</v>
      </c>
      <c r="AK68" s="1043" t="str" cm="1">
        <f t="array" ref="AK68">IF(AE68&lt;&gt;"A","",IFERROR((IFERROR(_xlfn.XLOOKUP(TRIM(SUBSTITUTE(U68,CHAR(160)," ")),$BI$15:$BI$62,$BL$15:$BL$62),IFERROR(_xlfn.XLOOKUP(TRIM(SUBSTITUTE(U68,CHAR(160)," ")),$BJ$15:$BJ$62,$BL$15:$BL$62),_xlfn.XLOOKUP(TRIM(SUBSTITUTE(U68,CHAR(160)," ")),$BK$15:$BK$62,$BL$15:$BL$62))))*T68*IF(ISBLANK(Q68),1,Q68)+IFERROR(_xlfn.XLOOKUP("RECHERCHEX",TRIM(L68:AC68),L68:AC68),0),0))</f>
        <v/>
      </c>
      <c r="AL68" s="1030">
        <f t="shared" si="21"/>
        <v>0</v>
      </c>
      <c r="AM68" s="5254" t="str">
        <f t="shared" si="40"/>
        <v/>
      </c>
      <c r="AN68" s="1031">
        <f t="shared" si="23"/>
        <v>0</v>
      </c>
      <c r="AO68" s="1031">
        <f t="shared" si="24"/>
        <v>0</v>
      </c>
      <c r="AP68" s="1032">
        <f t="shared" si="25"/>
        <v>0</v>
      </c>
      <c r="AQ68" s="5255" t="str">
        <f t="shared" si="26"/>
        <v/>
      </c>
      <c r="AR68" s="1056"/>
      <c r="AS68" s="1056"/>
      <c r="AT68" s="1034">
        <f t="shared" si="27"/>
        <v>0</v>
      </c>
      <c r="AU68" s="1035">
        <f t="shared" si="28"/>
        <v>0</v>
      </c>
      <c r="AV68" s="1057" cm="1">
        <f t="array" ref="AV68">IF(AJ68&lt;&gt;1,0,IF(OR(AT68="",N(AT68)&lt;=0.000000001),"",IF(OR(AN68="",N(AN68)&lt;=0.000000001),0,IF(ISNUMBER(AT68),IFERROR(_xlfn.LET(_xlpm.ai_test,TRIM(AI68),_xlpm.r,IFERROR(_xlfn.XLOOKUP(_xlpm.ai_test,$BI$15:$BI$62,ROW($BI$15:$BI$62),0,1),IFERROR(_xlfn.XLOOKUP(_xlpm.ai_test,$BJ$15:$BJ$62,ROW($BJ$15:$BJ$62),0,1),_xlfn.XLOOKUP(_xlpm.ai_test,$BK$15:$BK$62,ROW($BK$15:$BK$62),0,1))),_xlpm.p,_xlpm.r-MIN(ROW($BI$15:$BI$62))+1,_xlpm.f,INDEX($BL$15:$BL$62,_xlpm.p),_xlpm.u,INDEX($BM$15:$BM$62,_xlpm.p),_xlpm.s,INDEX($BO$15:$BO$62,_xlpm.p),_xlpm.q,N(AT68)/_xlpm.f,IF(_xlpm.q&gt;=_xlpm.s,ROUND(_xlpm.q,1)&amp;" "&amp;_xlpm.ai_test&amp;" = "&amp;ROUND(_xlpm.q*_xlpm.f,1)&amp;" "&amp;_xlpm.u,ROUND(_xlpm.q,1)&amp;" "&amp;_xlpm.ai_test)),""),""))))</f>
        <v>0</v>
      </c>
      <c r="AW68" s="1047"/>
      <c r="AX68" s="1034">
        <f t="shared" si="29"/>
        <v>0</v>
      </c>
      <c r="AY68" s="1035" t="str">
        <f t="shared" si="30"/>
        <v/>
      </c>
      <c r="AZ68" s="1036">
        <f t="shared" si="36"/>
        <v>0</v>
      </c>
      <c r="BA68" s="1037" t="str">
        <f t="shared" si="31"/>
        <v/>
      </c>
      <c r="BB68" s="1038"/>
      <c r="BC68" s="1039">
        <f t="shared" si="38"/>
        <v>0</v>
      </c>
      <c r="BD68" s="1040" t="str">
        <f t="shared" si="33"/>
        <v/>
      </c>
      <c r="BE68" s="227" t="s">
        <v>22</v>
      </c>
      <c r="BF68" s="1019">
        <f t="shared" si="34"/>
        <v>0</v>
      </c>
      <c r="BG68" s="1020">
        <f t="shared" si="35"/>
        <v>0</v>
      </c>
      <c r="BH68"/>
      <c r="BI68" s="5504"/>
      <c r="BJ68" s="5504"/>
      <c r="BK68" s="5504"/>
      <c r="BL68" s="5504"/>
      <c r="BM68" s="5504"/>
      <c r="BN68" s="5504"/>
      <c r="BO68" s="5504"/>
      <c r="BP68" s="5504"/>
      <c r="BQ68"/>
      <c r="BR68"/>
      <c r="BS68"/>
      <c r="BT68"/>
      <c r="BU68"/>
      <c r="BV68"/>
      <c r="BW68" s="959" t="str">
        <f t="shared" si="10"/>
        <v>►</v>
      </c>
      <c r="BX68" s="5538"/>
      <c r="BY68" s="5538"/>
      <c r="BZ68" s="5538"/>
      <c r="CA68" s="5538"/>
      <c r="CB68" s="5538"/>
      <c r="CC68" s="957"/>
      <c r="DB68" s="3">
        <v>1</v>
      </c>
    </row>
    <row r="69" spans="1:106" s="709" customFormat="1" ht="21" customHeight="1">
      <c r="A69" s="936" t="s">
        <v>22</v>
      </c>
      <c r="B69" s="952" t="str">
        <f t="shared" ref="B69:B132" si="44">L69</f>
        <v>►</v>
      </c>
      <c r="C69" s="993" cm="1">
        <f t="array" ref="C69">SUMPRODUCT(LEN(D69:J69))</f>
        <v>0</v>
      </c>
      <c r="D69" s="167"/>
      <c r="E69" s="172"/>
      <c r="F69" s="172"/>
      <c r="G69" s="172"/>
      <c r="H69" s="172"/>
      <c r="I69" s="172"/>
      <c r="J69" s="173"/>
      <c r="K69" s="442" t="s">
        <v>22</v>
      </c>
      <c r="L69" s="104" t="s">
        <v>16</v>
      </c>
      <c r="M69" s="1172"/>
      <c r="N69" s="1172"/>
      <c r="O69" s="1172"/>
      <c r="P69" s="1173"/>
      <c r="Q69" s="1174"/>
      <c r="R69" s="1175"/>
      <c r="S69" s="1176"/>
      <c r="T69" s="1177"/>
      <c r="U69" s="5248"/>
      <c r="V69" s="1177"/>
      <c r="W69" s="5249"/>
      <c r="X69" s="5208"/>
      <c r="Y69" s="5209"/>
      <c r="Z69" s="5210"/>
      <c r="AA69" s="5211"/>
      <c r="AB69" s="1178"/>
      <c r="AC69" s="1179"/>
      <c r="AD69" s="227" t="s">
        <v>22</v>
      </c>
      <c r="AE69" s="1027" t="str">
        <f t="shared" si="15"/>
        <v>►</v>
      </c>
      <c r="AF69" s="1028" t="str">
        <f t="shared" si="16"/>
        <v/>
      </c>
      <c r="AG69" s="1029" t="str">
        <f t="shared" si="17"/>
        <v/>
      </c>
      <c r="AH69" s="1028" t="str">
        <f t="shared" si="18"/>
        <v/>
      </c>
      <c r="AI69" s="1029" t="str">
        <f t="shared" si="19"/>
        <v/>
      </c>
      <c r="AJ69" s="1029">
        <f t="shared" si="20"/>
        <v>0</v>
      </c>
      <c r="AK69" s="1043" t="str" cm="1">
        <f t="array" ref="AK69">IF(AE69&lt;&gt;"A","",IFERROR((IFERROR(_xlfn.XLOOKUP(TRIM(SUBSTITUTE(U69,CHAR(160)," ")),$BI$15:$BI$62,$BL$15:$BL$62),IFERROR(_xlfn.XLOOKUP(TRIM(SUBSTITUTE(U69,CHAR(160)," ")),$BJ$15:$BJ$62,$BL$15:$BL$62),_xlfn.XLOOKUP(TRIM(SUBSTITUTE(U69,CHAR(160)," ")),$BK$15:$BK$62,$BL$15:$BL$62))))*T69*IF(ISBLANK(Q69),1,Q69)+IFERROR(_xlfn.XLOOKUP("RECHERCHEX",TRIM(L69:AC69),L69:AC69),0),0))</f>
        <v/>
      </c>
      <c r="AL69" s="1030">
        <f t="shared" si="21"/>
        <v>0</v>
      </c>
      <c r="AM69" s="5254" t="str">
        <f t="shared" si="40"/>
        <v/>
      </c>
      <c r="AN69" s="1031">
        <f t="shared" si="23"/>
        <v>0</v>
      </c>
      <c r="AO69" s="1031">
        <f t="shared" si="24"/>
        <v>0</v>
      </c>
      <c r="AP69" s="1044">
        <f t="shared" si="25"/>
        <v>0</v>
      </c>
      <c r="AQ69" s="5257" t="str">
        <f t="shared" si="26"/>
        <v/>
      </c>
      <c r="AR69" s="1056"/>
      <c r="AS69" s="1056"/>
      <c r="AT69" s="1045">
        <f t="shared" si="27"/>
        <v>0</v>
      </c>
      <c r="AU69" s="1046">
        <f t="shared" si="28"/>
        <v>0</v>
      </c>
      <c r="AV69" s="1059" cm="1">
        <f t="array" ref="AV69">IF(AJ69&lt;&gt;1,0,IF(OR(AT69="",N(AT69)&lt;=0.000000001),"",IF(OR(AN69="",N(AN69)&lt;=0.000000001),0,IF(ISNUMBER(AT69),IFERROR(_xlfn.LET(_xlpm.ai_test,TRIM(AI69),_xlpm.r,IFERROR(_xlfn.XLOOKUP(_xlpm.ai_test,$BI$15:$BI$62,ROW($BI$15:$BI$62),0,1),IFERROR(_xlfn.XLOOKUP(_xlpm.ai_test,$BJ$15:$BJ$62,ROW($BJ$15:$BJ$62),0,1),_xlfn.XLOOKUP(_xlpm.ai_test,$BK$15:$BK$62,ROW($BK$15:$BK$62),0,1))),_xlpm.p,_xlpm.r-MIN(ROW($BI$15:$BI$62))+1,_xlpm.f,INDEX($BL$15:$BL$62,_xlpm.p),_xlpm.u,INDEX($BM$15:$BM$62,_xlpm.p),_xlpm.s,INDEX($BO$15:$BO$62,_xlpm.p),_xlpm.q,N(AT69)/_xlpm.f,IF(_xlpm.q&gt;=_xlpm.s,ROUND(_xlpm.q,1)&amp;" "&amp;_xlpm.ai_test&amp;" = "&amp;ROUND(_xlpm.q*_xlpm.f,1)&amp;" "&amp;_xlpm.u,ROUND(_xlpm.q,1)&amp;" "&amp;_xlpm.ai_test)),""),""))))</f>
        <v>0</v>
      </c>
      <c r="AW69" s="1047"/>
      <c r="AX69" s="1045">
        <f t="shared" si="29"/>
        <v>0</v>
      </c>
      <c r="AY69" s="1046" t="str">
        <f t="shared" si="30"/>
        <v/>
      </c>
      <c r="AZ69" s="1048">
        <f t="shared" si="36"/>
        <v>0</v>
      </c>
      <c r="BA69" s="1049" t="str">
        <f t="shared" si="31"/>
        <v/>
      </c>
      <c r="BB69" s="1038"/>
      <c r="BC69" s="1050">
        <f t="shared" si="38"/>
        <v>0</v>
      </c>
      <c r="BD69" s="1040" t="str">
        <f t="shared" si="33"/>
        <v/>
      </c>
      <c r="BE69" s="227" t="s">
        <v>22</v>
      </c>
      <c r="BF69" s="1019">
        <f t="shared" si="34"/>
        <v>0</v>
      </c>
      <c r="BG69" s="1020">
        <f t="shared" si="35"/>
        <v>0</v>
      </c>
      <c r="BI69" s="5504" t="s">
        <v>1953</v>
      </c>
      <c r="BJ69" s="5504"/>
      <c r="BK69" s="5504"/>
      <c r="BL69" s="5504"/>
      <c r="BM69" s="5504"/>
      <c r="BN69" s="5504"/>
      <c r="BO69" s="5504"/>
      <c r="BP69" s="5504"/>
      <c r="BQ69"/>
      <c r="BR69"/>
      <c r="BS69"/>
      <c r="BT69"/>
      <c r="BU69"/>
      <c r="BV69"/>
      <c r="BW69" s="959" t="str">
        <f t="shared" ref="BW69:BW132" si="45">AE69</f>
        <v>►</v>
      </c>
      <c r="BX69" s="5538"/>
      <c r="BY69" s="5538"/>
      <c r="BZ69" s="5538"/>
      <c r="CA69" s="5538"/>
      <c r="CB69" s="5538"/>
      <c r="CC69" s="957"/>
      <c r="DB69" s="3">
        <v>1</v>
      </c>
    </row>
    <row r="70" spans="1:106" s="709" customFormat="1" ht="21" customHeight="1">
      <c r="A70" s="936" t="s">
        <v>22</v>
      </c>
      <c r="B70" s="952" t="str">
        <f t="shared" si="44"/>
        <v>►</v>
      </c>
      <c r="C70" s="993" cm="1">
        <f t="array" ref="C70">SUMPRODUCT(LEN(D70:J70))</f>
        <v>0</v>
      </c>
      <c r="D70" s="167"/>
      <c r="E70" s="172"/>
      <c r="F70" s="172"/>
      <c r="G70" s="172"/>
      <c r="H70" s="172"/>
      <c r="I70" s="172"/>
      <c r="J70" s="173"/>
      <c r="K70" s="442" t="s">
        <v>22</v>
      </c>
      <c r="L70" s="104" t="s">
        <v>16</v>
      </c>
      <c r="M70" s="1172"/>
      <c r="N70" s="1172"/>
      <c r="O70" s="1172"/>
      <c r="P70" s="1173"/>
      <c r="Q70" s="1174"/>
      <c r="R70" s="1175"/>
      <c r="S70" s="1176"/>
      <c r="T70" s="1177"/>
      <c r="U70" s="5248"/>
      <c r="V70" s="1177"/>
      <c r="W70" s="5249"/>
      <c r="X70" s="5208"/>
      <c r="Y70" s="5209"/>
      <c r="Z70" s="5210"/>
      <c r="AA70" s="5211"/>
      <c r="AB70" s="1178"/>
      <c r="AC70" s="1179"/>
      <c r="AD70" s="227" t="s">
        <v>22</v>
      </c>
      <c r="AE70" s="1027" t="str">
        <f t="shared" si="15"/>
        <v>►</v>
      </c>
      <c r="AF70" s="1028" t="str">
        <f t="shared" si="16"/>
        <v/>
      </c>
      <c r="AG70" s="1029" t="str">
        <f t="shared" si="17"/>
        <v/>
      </c>
      <c r="AH70" s="1028" t="str">
        <f t="shared" si="18"/>
        <v/>
      </c>
      <c r="AI70" s="1029" t="str">
        <f t="shared" si="19"/>
        <v/>
      </c>
      <c r="AJ70" s="1029">
        <f t="shared" si="20"/>
        <v>0</v>
      </c>
      <c r="AK70" s="1043" t="str" cm="1">
        <f t="array" ref="AK70">IF(AE70&lt;&gt;"A","",IFERROR((IFERROR(_xlfn.XLOOKUP(TRIM(SUBSTITUTE(U70,CHAR(160)," ")),$BI$15:$BI$62,$BL$15:$BL$62),IFERROR(_xlfn.XLOOKUP(TRIM(SUBSTITUTE(U70,CHAR(160)," ")),$BJ$15:$BJ$62,$BL$15:$BL$62),_xlfn.XLOOKUP(TRIM(SUBSTITUTE(U70,CHAR(160)," ")),$BK$15:$BK$62,$BL$15:$BL$62))))*T70*IF(ISBLANK(Q70),1,Q70)+IFERROR(_xlfn.XLOOKUP("RECHERCHEX",TRIM(L70:AC70),L70:AC70),0),0))</f>
        <v/>
      </c>
      <c r="AL70" s="1030">
        <f t="shared" si="21"/>
        <v>0</v>
      </c>
      <c r="AM70" s="5254" t="str">
        <f t="shared" si="40"/>
        <v/>
      </c>
      <c r="AN70" s="1031">
        <f t="shared" si="23"/>
        <v>0</v>
      </c>
      <c r="AO70" s="1031">
        <f t="shared" si="24"/>
        <v>0</v>
      </c>
      <c r="AP70" s="1032">
        <f t="shared" si="25"/>
        <v>0</v>
      </c>
      <c r="AQ70" s="5255" t="str">
        <f t="shared" si="26"/>
        <v/>
      </c>
      <c r="AR70" s="1056"/>
      <c r="AS70" s="1056"/>
      <c r="AT70" s="1034">
        <f t="shared" si="27"/>
        <v>0</v>
      </c>
      <c r="AU70" s="1035">
        <f t="shared" si="28"/>
        <v>0</v>
      </c>
      <c r="AV70" s="1057" cm="1">
        <f t="array" ref="AV70">IF(AJ70&lt;&gt;1,0,IF(OR(AT70="",N(AT70)&lt;=0.000000001),"",IF(OR(AN70="",N(AN70)&lt;=0.000000001),0,IF(ISNUMBER(AT70),IFERROR(_xlfn.LET(_xlpm.ai_test,TRIM(AI70),_xlpm.r,IFERROR(_xlfn.XLOOKUP(_xlpm.ai_test,$BI$15:$BI$62,ROW($BI$15:$BI$62),0,1),IFERROR(_xlfn.XLOOKUP(_xlpm.ai_test,$BJ$15:$BJ$62,ROW($BJ$15:$BJ$62),0,1),_xlfn.XLOOKUP(_xlpm.ai_test,$BK$15:$BK$62,ROW($BK$15:$BK$62),0,1))),_xlpm.p,_xlpm.r-MIN(ROW($BI$15:$BI$62))+1,_xlpm.f,INDEX($BL$15:$BL$62,_xlpm.p),_xlpm.u,INDEX($BM$15:$BM$62,_xlpm.p),_xlpm.s,INDEX($BO$15:$BO$62,_xlpm.p),_xlpm.q,N(AT70)/_xlpm.f,IF(_xlpm.q&gt;=_xlpm.s,ROUND(_xlpm.q,1)&amp;" "&amp;_xlpm.ai_test&amp;" = "&amp;ROUND(_xlpm.q*_xlpm.f,1)&amp;" "&amp;_xlpm.u,ROUND(_xlpm.q,1)&amp;" "&amp;_xlpm.ai_test)),""),""))))</f>
        <v>0</v>
      </c>
      <c r="AW70" s="1047"/>
      <c r="AX70" s="1034">
        <f t="shared" si="29"/>
        <v>0</v>
      </c>
      <c r="AY70" s="1035" t="str">
        <f t="shared" si="30"/>
        <v/>
      </c>
      <c r="AZ70" s="1036">
        <f t="shared" si="36"/>
        <v>0</v>
      </c>
      <c r="BA70" s="1037" t="str">
        <f t="shared" si="31"/>
        <v/>
      </c>
      <c r="BB70" s="1038"/>
      <c r="BC70" s="1039">
        <f t="shared" si="38"/>
        <v>0</v>
      </c>
      <c r="BD70" s="1040" t="str">
        <f t="shared" si="33"/>
        <v/>
      </c>
      <c r="BE70" s="227" t="s">
        <v>22</v>
      </c>
      <c r="BF70" s="1019">
        <f t="shared" si="34"/>
        <v>0</v>
      </c>
      <c r="BG70" s="1020">
        <f t="shared" si="35"/>
        <v>0</v>
      </c>
      <c r="BI70" s="5504"/>
      <c r="BJ70" s="5504"/>
      <c r="BK70" s="5504"/>
      <c r="BL70" s="5504"/>
      <c r="BM70" s="5504"/>
      <c r="BN70" s="5504"/>
      <c r="BO70" s="5504"/>
      <c r="BP70" s="5504"/>
      <c r="BQ70"/>
      <c r="BR70"/>
      <c r="BS70"/>
      <c r="BT70"/>
      <c r="BU70"/>
      <c r="BV70"/>
      <c r="BW70" s="959" t="str">
        <f t="shared" si="45"/>
        <v>►</v>
      </c>
      <c r="BX70" s="1064"/>
      <c r="BY70" s="857"/>
      <c r="BZ70" s="857"/>
      <c r="CA70" s="858"/>
      <c r="CB70" s="858"/>
      <c r="CC70" s="957"/>
      <c r="DB70" s="3">
        <v>1</v>
      </c>
    </row>
    <row r="71" spans="1:106" s="709" customFormat="1" ht="21" customHeight="1">
      <c r="A71" s="936" t="s">
        <v>22</v>
      </c>
      <c r="B71" s="952" t="str">
        <f t="shared" si="44"/>
        <v>►</v>
      </c>
      <c r="C71" s="993" cm="1">
        <f t="array" ref="C71">SUMPRODUCT(LEN(D71:J71))</f>
        <v>0</v>
      </c>
      <c r="D71" s="167"/>
      <c r="E71" s="172"/>
      <c r="F71" s="172"/>
      <c r="G71" s="172"/>
      <c r="H71" s="172"/>
      <c r="I71" s="172"/>
      <c r="J71" s="173"/>
      <c r="K71" s="442" t="s">
        <v>22</v>
      </c>
      <c r="L71" s="104" t="s">
        <v>16</v>
      </c>
      <c r="M71" s="1172"/>
      <c r="N71" s="1172"/>
      <c r="O71" s="1172"/>
      <c r="P71" s="1173"/>
      <c r="Q71" s="1174"/>
      <c r="R71" s="1175"/>
      <c r="S71" s="1176"/>
      <c r="T71" s="1177"/>
      <c r="U71" s="5248"/>
      <c r="V71" s="1177"/>
      <c r="W71" s="5249"/>
      <c r="X71" s="5208"/>
      <c r="Y71" s="5209"/>
      <c r="Z71" s="5210"/>
      <c r="AA71" s="5211"/>
      <c r="AB71" s="1178"/>
      <c r="AC71" s="1179"/>
      <c r="AD71" s="227" t="s">
        <v>22</v>
      </c>
      <c r="AE71" s="1027" t="str">
        <f t="shared" si="15"/>
        <v>►</v>
      </c>
      <c r="AF71" s="1028" t="str">
        <f t="shared" si="16"/>
        <v/>
      </c>
      <c r="AG71" s="1029" t="str">
        <f t="shared" si="17"/>
        <v/>
      </c>
      <c r="AH71" s="1028" t="str">
        <f t="shared" si="18"/>
        <v/>
      </c>
      <c r="AI71" s="1029" t="str">
        <f t="shared" si="19"/>
        <v/>
      </c>
      <c r="AJ71" s="1029">
        <f t="shared" si="20"/>
        <v>0</v>
      </c>
      <c r="AK71" s="5263" t="str" cm="1">
        <f t="array" ref="AK71">IF(AE71&lt;&gt;"A","",IFERROR((IFERROR(_xlfn.XLOOKUP(TRIM(SUBSTITUTE(U71,CHAR(160)," ")),$BI$15:$BI$62,$BL$15:$BL$62),IFERROR(_xlfn.XLOOKUP(TRIM(SUBSTITUTE(U71,CHAR(160)," ")),$BJ$15:$BJ$62,$BL$15:$BL$62),_xlfn.XLOOKUP(TRIM(SUBSTITUTE(U71,CHAR(160)," ")),$BK$15:$BK$62,$BL$15:$BL$62))))*T71*IF(ISBLANK(Q71),1,Q71)+IFERROR(_xlfn.XLOOKUP("RECHERCHEX",TRIM(L71:AC71),L71:AC71),0),0))</f>
        <v/>
      </c>
      <c r="AL71" s="1030">
        <f t="shared" si="21"/>
        <v>0</v>
      </c>
      <c r="AM71" s="5254" t="str">
        <f t="shared" si="40"/>
        <v/>
      </c>
      <c r="AN71" s="1031">
        <f t="shared" si="23"/>
        <v>0</v>
      </c>
      <c r="AO71" s="1031">
        <f t="shared" si="24"/>
        <v>0</v>
      </c>
      <c r="AP71" s="1044">
        <f t="shared" si="25"/>
        <v>0</v>
      </c>
      <c r="AQ71" s="5257" t="str">
        <f t="shared" si="26"/>
        <v/>
      </c>
      <c r="AR71" s="5264"/>
      <c r="AS71" s="1033"/>
      <c r="AT71" s="1045">
        <f t="shared" si="27"/>
        <v>0</v>
      </c>
      <c r="AU71" s="1046">
        <f t="shared" si="28"/>
        <v>0</v>
      </c>
      <c r="AV71" s="1059" cm="1">
        <f t="array" ref="AV71">IF(AJ71&lt;&gt;1,0,IF(OR(AT71="",N(AT71)&lt;=0.000000001),"",IF(OR(AN71="",N(AN71)&lt;=0.000000001),0,IF(ISNUMBER(AT71),IFERROR(_xlfn.LET(_xlpm.ai_test,TRIM(AI71),_xlpm.r,IFERROR(_xlfn.XLOOKUP(_xlpm.ai_test,$BI$15:$BI$62,ROW($BI$15:$BI$62),0,1),IFERROR(_xlfn.XLOOKUP(_xlpm.ai_test,$BJ$15:$BJ$62,ROW($BJ$15:$BJ$62),0,1),_xlfn.XLOOKUP(_xlpm.ai_test,$BK$15:$BK$62,ROW($BK$15:$BK$62),0,1))),_xlpm.p,_xlpm.r-MIN(ROW($BI$15:$BI$62))+1,_xlpm.f,INDEX($BL$15:$BL$62,_xlpm.p),_xlpm.u,INDEX($BM$15:$BM$62,_xlpm.p),_xlpm.s,INDEX($BO$15:$BO$62,_xlpm.p),_xlpm.q,N(AT71)/_xlpm.f,IF(_xlpm.q&gt;=_xlpm.s,ROUND(_xlpm.q,1)&amp;" "&amp;_xlpm.ai_test&amp;" = "&amp;ROUND(_xlpm.q*_xlpm.f,1)&amp;" "&amp;_xlpm.u,ROUND(_xlpm.q,1)&amp;" "&amp;_xlpm.ai_test)),""),""))))</f>
        <v>0</v>
      </c>
      <c r="AW71" s="1047"/>
      <c r="AX71" s="1045">
        <f t="shared" si="29"/>
        <v>0</v>
      </c>
      <c r="AY71" s="1046" t="str">
        <f t="shared" si="30"/>
        <v/>
      </c>
      <c r="AZ71" s="1048">
        <f t="shared" si="36"/>
        <v>0</v>
      </c>
      <c r="BA71" s="1049" t="str">
        <f t="shared" si="31"/>
        <v/>
      </c>
      <c r="BB71" s="1038"/>
      <c r="BC71" s="1050">
        <f t="shared" si="38"/>
        <v>0</v>
      </c>
      <c r="BD71" s="1040" t="str">
        <f t="shared" si="33"/>
        <v/>
      </c>
      <c r="BE71" s="227" t="s">
        <v>22</v>
      </c>
      <c r="BF71" s="1019">
        <f t="shared" si="34"/>
        <v>0</v>
      </c>
      <c r="BG71" s="5265">
        <f t="shared" si="35"/>
        <v>0</v>
      </c>
      <c r="BI71" s="231" t="s">
        <v>1954</v>
      </c>
      <c r="BJ71" s="231"/>
      <c r="BK71" s="231"/>
      <c r="BL71" s="231"/>
      <c r="BM71" s="231"/>
      <c r="BN71" s="231"/>
      <c r="BO71" s="231"/>
      <c r="BP71" s="231"/>
      <c r="BQ71"/>
      <c r="BR71"/>
      <c r="BS71"/>
      <c r="BT71"/>
      <c r="BU71"/>
      <c r="BV71"/>
      <c r="BW71" s="959" t="str">
        <f t="shared" si="45"/>
        <v>►</v>
      </c>
      <c r="BX71" s="868" t="s">
        <v>875</v>
      </c>
      <c r="BY71" s="857"/>
      <c r="BZ71" s="861"/>
      <c r="CA71" s="861"/>
      <c r="CB71" s="861"/>
      <c r="CC71" s="957"/>
      <c r="DB71" s="3">
        <v>1</v>
      </c>
    </row>
    <row r="72" spans="1:106" s="709" customFormat="1" ht="21" customHeight="1">
      <c r="A72" s="936" t="s">
        <v>22</v>
      </c>
      <c r="B72" s="952" t="str">
        <f t="shared" si="44"/>
        <v>►</v>
      </c>
      <c r="C72" s="993" cm="1">
        <f t="array" ref="C72">SUMPRODUCT(LEN(D72:J72))</f>
        <v>0</v>
      </c>
      <c r="D72" s="167"/>
      <c r="E72" s="172"/>
      <c r="F72" s="172"/>
      <c r="G72" s="172"/>
      <c r="H72" s="172"/>
      <c r="I72" s="172"/>
      <c r="J72" s="173"/>
      <c r="K72" s="442" t="s">
        <v>22</v>
      </c>
      <c r="L72" s="104" t="s">
        <v>16</v>
      </c>
      <c r="M72" s="1172"/>
      <c r="N72" s="1172"/>
      <c r="O72" s="1172"/>
      <c r="P72" s="1173"/>
      <c r="Q72" s="1174"/>
      <c r="R72" s="1175"/>
      <c r="S72" s="1176"/>
      <c r="T72" s="1177"/>
      <c r="U72" s="5248"/>
      <c r="V72" s="1177"/>
      <c r="W72" s="5249"/>
      <c r="X72" s="5208"/>
      <c r="Y72" s="5209"/>
      <c r="Z72" s="5210"/>
      <c r="AA72" s="5211"/>
      <c r="AB72" s="1178"/>
      <c r="AC72" s="1179"/>
      <c r="AD72" s="227" t="s">
        <v>22</v>
      </c>
      <c r="AE72" s="1027" t="str">
        <f t="shared" si="15"/>
        <v>►</v>
      </c>
      <c r="AF72" s="1028" t="str">
        <f t="shared" si="16"/>
        <v/>
      </c>
      <c r="AG72" s="1029" t="str">
        <f t="shared" si="17"/>
        <v/>
      </c>
      <c r="AH72" s="1028" t="str">
        <f t="shared" si="18"/>
        <v/>
      </c>
      <c r="AI72" s="1029" t="str">
        <f t="shared" si="19"/>
        <v/>
      </c>
      <c r="AJ72" s="1029">
        <f t="shared" si="20"/>
        <v>0</v>
      </c>
      <c r="AK72" s="5263" t="str" cm="1">
        <f t="array" ref="AK72">IF(AE72&lt;&gt;"A","",IFERROR((IFERROR(_xlfn.XLOOKUP(TRIM(SUBSTITUTE(U72,CHAR(160)," ")),$BI$15:$BI$62,$BL$15:$BL$62),IFERROR(_xlfn.XLOOKUP(TRIM(SUBSTITUTE(U72,CHAR(160)," ")),$BJ$15:$BJ$62,$BL$15:$BL$62),_xlfn.XLOOKUP(TRIM(SUBSTITUTE(U72,CHAR(160)," ")),$BK$15:$BK$62,$BL$15:$BL$62))))*T72*IF(ISBLANK(Q72),1,Q72)+IFERROR(_xlfn.XLOOKUP("RECHERCHEX",TRIM(L72:AC72),L72:AC72),0),0))</f>
        <v/>
      </c>
      <c r="AL72" s="1030">
        <f t="shared" si="21"/>
        <v>0</v>
      </c>
      <c r="AM72" s="5254" t="str">
        <f t="shared" si="40"/>
        <v/>
      </c>
      <c r="AN72" s="1031">
        <f t="shared" si="23"/>
        <v>0</v>
      </c>
      <c r="AO72" s="1031">
        <f t="shared" si="24"/>
        <v>0</v>
      </c>
      <c r="AP72" s="1032">
        <f t="shared" si="25"/>
        <v>0</v>
      </c>
      <c r="AQ72" s="5255" t="str">
        <f t="shared" si="26"/>
        <v/>
      </c>
      <c r="AR72" s="5264"/>
      <c r="AS72" s="1033"/>
      <c r="AT72" s="1034">
        <f t="shared" si="27"/>
        <v>0</v>
      </c>
      <c r="AU72" s="1035">
        <f t="shared" si="28"/>
        <v>0</v>
      </c>
      <c r="AV72" s="1057" cm="1">
        <f t="array" ref="AV72">IF(AJ72&lt;&gt;1,0,IF(OR(AT72="",N(AT72)&lt;=0.000000001),"",IF(OR(AN72="",N(AN72)&lt;=0.000000001),0,IF(ISNUMBER(AT72),IFERROR(_xlfn.LET(_xlpm.ai_test,TRIM(AI72),_xlpm.r,IFERROR(_xlfn.XLOOKUP(_xlpm.ai_test,$BI$15:$BI$62,ROW($BI$15:$BI$62),0,1),IFERROR(_xlfn.XLOOKUP(_xlpm.ai_test,$BJ$15:$BJ$62,ROW($BJ$15:$BJ$62),0,1),_xlfn.XLOOKUP(_xlpm.ai_test,$BK$15:$BK$62,ROW($BK$15:$BK$62),0,1))),_xlpm.p,_xlpm.r-MIN(ROW($BI$15:$BI$62))+1,_xlpm.f,INDEX($BL$15:$BL$62,_xlpm.p),_xlpm.u,INDEX($BM$15:$BM$62,_xlpm.p),_xlpm.s,INDEX($BO$15:$BO$62,_xlpm.p),_xlpm.q,N(AT72)/_xlpm.f,IF(_xlpm.q&gt;=_xlpm.s,ROUND(_xlpm.q,1)&amp;" "&amp;_xlpm.ai_test&amp;" = "&amp;ROUND(_xlpm.q*_xlpm.f,1)&amp;" "&amp;_xlpm.u,ROUND(_xlpm.q,1)&amp;" "&amp;_xlpm.ai_test)),""),""))))</f>
        <v>0</v>
      </c>
      <c r="AW72" s="1047"/>
      <c r="AX72" s="1034">
        <f t="shared" si="29"/>
        <v>0</v>
      </c>
      <c r="AY72" s="1035" t="str">
        <f t="shared" si="30"/>
        <v/>
      </c>
      <c r="AZ72" s="1036">
        <f t="shared" si="36"/>
        <v>0</v>
      </c>
      <c r="BA72" s="1037" t="str">
        <f t="shared" si="31"/>
        <v/>
      </c>
      <c r="BB72" s="1038">
        <v>1.5</v>
      </c>
      <c r="BC72" s="1039">
        <f t="shared" si="38"/>
        <v>0</v>
      </c>
      <c r="BD72" s="1040" t="str">
        <f t="shared" si="33"/>
        <v/>
      </c>
      <c r="BE72" s="227" t="s">
        <v>22</v>
      </c>
      <c r="BF72" s="1019">
        <f t="shared" si="34"/>
        <v>0</v>
      </c>
      <c r="BG72" s="1020">
        <f t="shared" si="35"/>
        <v>0</v>
      </c>
      <c r="BI72" s="231" t="s">
        <v>1955</v>
      </c>
      <c r="BJ72" s="231"/>
      <c r="BK72" s="231"/>
      <c r="BL72" s="231"/>
      <c r="BM72" s="231"/>
      <c r="BN72" s="231"/>
      <c r="BO72" s="231"/>
      <c r="BP72" s="231"/>
      <c r="BQ72"/>
      <c r="BR72"/>
      <c r="BS72"/>
      <c r="BT72"/>
      <c r="BU72"/>
      <c r="BV72"/>
      <c r="BW72" s="959" t="str">
        <f t="shared" si="45"/>
        <v>►</v>
      </c>
      <c r="BX72" s="868"/>
      <c r="BY72" s="857"/>
      <c r="BZ72" s="861"/>
      <c r="CA72" s="861"/>
      <c r="CB72" s="861"/>
      <c r="CC72" s="957"/>
      <c r="DB72" s="3">
        <v>1</v>
      </c>
    </row>
    <row r="73" spans="1:106" s="709" customFormat="1" ht="21" customHeight="1" thickBot="1">
      <c r="A73" s="936" t="s">
        <v>22</v>
      </c>
      <c r="B73" s="952" t="str">
        <f t="shared" si="44"/>
        <v>►</v>
      </c>
      <c r="C73" s="993" cm="1">
        <f t="array" ref="C73">SUMPRODUCT(LEN(D73:J73))</f>
        <v>0</v>
      </c>
      <c r="D73" s="167"/>
      <c r="E73" s="172"/>
      <c r="F73" s="172"/>
      <c r="G73" s="172"/>
      <c r="H73" s="172"/>
      <c r="I73" s="172"/>
      <c r="J73" s="173"/>
      <c r="K73" s="442" t="s">
        <v>22</v>
      </c>
      <c r="L73" s="104" t="s">
        <v>16</v>
      </c>
      <c r="M73" s="1172"/>
      <c r="N73" s="1172"/>
      <c r="O73" s="1172"/>
      <c r="P73" s="1173"/>
      <c r="Q73" s="1174"/>
      <c r="R73" s="1175"/>
      <c r="S73" s="1176"/>
      <c r="T73" s="1177"/>
      <c r="U73" s="5248"/>
      <c r="V73" s="1177"/>
      <c r="W73" s="5249"/>
      <c r="X73" s="5208"/>
      <c r="Y73" s="5209"/>
      <c r="Z73" s="5210"/>
      <c r="AA73" s="5211"/>
      <c r="AB73" s="1178"/>
      <c r="AC73" s="1179"/>
      <c r="AD73" s="227" t="s">
        <v>22</v>
      </c>
      <c r="AE73" s="1027" t="str">
        <f t="shared" si="15"/>
        <v>►</v>
      </c>
      <c r="AF73" s="1028" t="str">
        <f t="shared" si="16"/>
        <v/>
      </c>
      <c r="AG73" s="1029" t="str">
        <f t="shared" si="17"/>
        <v/>
      </c>
      <c r="AH73" s="1028" t="str">
        <f t="shared" si="18"/>
        <v/>
      </c>
      <c r="AI73" s="1029" t="str">
        <f t="shared" si="19"/>
        <v/>
      </c>
      <c r="AJ73" s="1029">
        <f t="shared" si="20"/>
        <v>0</v>
      </c>
      <c r="AK73" s="5263" t="str" cm="1">
        <f t="array" ref="AK73">IF(AE73&lt;&gt;"A","",IFERROR((IFERROR(_xlfn.XLOOKUP(TRIM(SUBSTITUTE(U73,CHAR(160)," ")),$BI$15:$BI$62,$BL$15:$BL$62),IFERROR(_xlfn.XLOOKUP(TRIM(SUBSTITUTE(U73,CHAR(160)," ")),$BJ$15:$BJ$62,$BL$15:$BL$62),_xlfn.XLOOKUP(TRIM(SUBSTITUTE(U73,CHAR(160)," ")),$BK$15:$BK$62,$BL$15:$BL$62))))*T73*IF(ISBLANK(Q73),1,Q73)+IFERROR(_xlfn.XLOOKUP("RECHERCHEX",TRIM(L73:AC73),L73:AC73),0),0))</f>
        <v/>
      </c>
      <c r="AL73" s="1030">
        <f t="shared" si="21"/>
        <v>0</v>
      </c>
      <c r="AM73" s="5254" t="str">
        <f t="shared" si="40"/>
        <v/>
      </c>
      <c r="AN73" s="1031">
        <f t="shared" si="23"/>
        <v>0</v>
      </c>
      <c r="AO73" s="1031">
        <f t="shared" si="24"/>
        <v>0</v>
      </c>
      <c r="AP73" s="1044">
        <f t="shared" si="25"/>
        <v>0</v>
      </c>
      <c r="AQ73" s="5257" t="str">
        <f t="shared" si="26"/>
        <v/>
      </c>
      <c r="AR73" s="5264"/>
      <c r="AS73" s="1033"/>
      <c r="AT73" s="1045">
        <f t="shared" si="27"/>
        <v>0</v>
      </c>
      <c r="AU73" s="1046">
        <f t="shared" si="28"/>
        <v>0</v>
      </c>
      <c r="AV73" s="1059" cm="1">
        <f t="array" ref="AV73">IF(AJ73&lt;&gt;1,0,IF(OR(AT73="",N(AT73)&lt;=0.000000001),"",IF(OR(AN73="",N(AN73)&lt;=0.000000001),0,IF(ISNUMBER(AT73),IFERROR(_xlfn.LET(_xlpm.ai_test,TRIM(AI73),_xlpm.r,IFERROR(_xlfn.XLOOKUP(_xlpm.ai_test,$BI$15:$BI$62,ROW($BI$15:$BI$62),0,1),IFERROR(_xlfn.XLOOKUP(_xlpm.ai_test,$BJ$15:$BJ$62,ROW($BJ$15:$BJ$62),0,1),_xlfn.XLOOKUP(_xlpm.ai_test,$BK$15:$BK$62,ROW($BK$15:$BK$62),0,1))),_xlpm.p,_xlpm.r-MIN(ROW($BI$15:$BI$62))+1,_xlpm.f,INDEX($BL$15:$BL$62,_xlpm.p),_xlpm.u,INDEX($BM$15:$BM$62,_xlpm.p),_xlpm.s,INDEX($BO$15:$BO$62,_xlpm.p),_xlpm.q,N(AT73)/_xlpm.f,IF(_xlpm.q&gt;=_xlpm.s,ROUND(_xlpm.q,1)&amp;" "&amp;_xlpm.ai_test&amp;" = "&amp;ROUND(_xlpm.q*_xlpm.f,1)&amp;" "&amp;_xlpm.u,ROUND(_xlpm.q,1)&amp;" "&amp;_xlpm.ai_test)),""),""))))</f>
        <v>0</v>
      </c>
      <c r="AW73" s="1047"/>
      <c r="AX73" s="1045">
        <f t="shared" si="29"/>
        <v>0</v>
      </c>
      <c r="AY73" s="1046" t="str">
        <f t="shared" si="30"/>
        <v/>
      </c>
      <c r="AZ73" s="1048">
        <f t="shared" si="36"/>
        <v>0</v>
      </c>
      <c r="BA73" s="1049" t="str">
        <f t="shared" si="31"/>
        <v/>
      </c>
      <c r="BB73" s="1038">
        <v>1.5</v>
      </c>
      <c r="BC73" s="1050">
        <f t="shared" si="38"/>
        <v>0</v>
      </c>
      <c r="BD73" s="1040" t="str">
        <f t="shared" si="33"/>
        <v/>
      </c>
      <c r="BE73" s="227" t="s">
        <v>22</v>
      </c>
      <c r="BF73" s="1019">
        <f t="shared" si="34"/>
        <v>0</v>
      </c>
      <c r="BG73" s="1020">
        <f t="shared" si="35"/>
        <v>0</v>
      </c>
      <c r="BQ73"/>
      <c r="BR73"/>
      <c r="BS73"/>
      <c r="BT73"/>
      <c r="BU73"/>
      <c r="BV73"/>
      <c r="BW73" s="959" t="str">
        <f t="shared" si="45"/>
        <v>►</v>
      </c>
      <c r="BX73" s="1109" t="s">
        <v>876</v>
      </c>
      <c r="BY73" s="861"/>
      <c r="BZ73" s="861"/>
      <c r="CA73" s="861"/>
      <c r="CB73" s="861"/>
      <c r="CC73" s="957"/>
      <c r="DB73" s="3">
        <v>1</v>
      </c>
    </row>
    <row r="74" spans="1:106" s="709" customFormat="1" ht="21" customHeight="1">
      <c r="A74" s="936" t="s">
        <v>22</v>
      </c>
      <c r="B74" s="952" t="str">
        <f t="shared" si="44"/>
        <v>►</v>
      </c>
      <c r="C74" s="993" cm="1">
        <f t="array" ref="C74">SUMPRODUCT(LEN(D74:J74))</f>
        <v>0</v>
      </c>
      <c r="D74" s="167"/>
      <c r="E74" s="172"/>
      <c r="F74" s="172"/>
      <c r="G74" s="172"/>
      <c r="H74" s="172"/>
      <c r="I74" s="172"/>
      <c r="J74" s="173"/>
      <c r="K74" s="442" t="s">
        <v>22</v>
      </c>
      <c r="L74" s="104" t="s">
        <v>16</v>
      </c>
      <c r="M74" s="1172"/>
      <c r="N74" s="1172"/>
      <c r="O74" s="1172"/>
      <c r="P74" s="1173"/>
      <c r="Q74" s="1174"/>
      <c r="R74" s="1175"/>
      <c r="S74" s="1176"/>
      <c r="T74" s="1177"/>
      <c r="U74" s="5248"/>
      <c r="V74" s="1177"/>
      <c r="W74" s="5249"/>
      <c r="X74" s="5208"/>
      <c r="Y74" s="5209"/>
      <c r="Z74" s="5210"/>
      <c r="AA74" s="5211"/>
      <c r="AB74" s="1178"/>
      <c r="AC74" s="1179"/>
      <c r="AD74" s="227" t="s">
        <v>22</v>
      </c>
      <c r="AE74" s="1027" t="str">
        <f t="shared" si="15"/>
        <v>►</v>
      </c>
      <c r="AF74" s="1028" t="str">
        <f t="shared" si="16"/>
        <v/>
      </c>
      <c r="AG74" s="1029" t="str">
        <f t="shared" si="17"/>
        <v/>
      </c>
      <c r="AH74" s="1028" t="str">
        <f t="shared" si="18"/>
        <v/>
      </c>
      <c r="AI74" s="1029" t="str">
        <f t="shared" si="19"/>
        <v/>
      </c>
      <c r="AJ74" s="1029">
        <f t="shared" si="20"/>
        <v>0</v>
      </c>
      <c r="AK74" s="5263" t="str" cm="1">
        <f t="array" ref="AK74">IF(AE74&lt;&gt;"A","",IFERROR((IFERROR(_xlfn.XLOOKUP(TRIM(SUBSTITUTE(U74,CHAR(160)," ")),$BI$15:$BI$62,$BL$15:$BL$62),IFERROR(_xlfn.XLOOKUP(TRIM(SUBSTITUTE(U74,CHAR(160)," ")),$BJ$15:$BJ$62,$BL$15:$BL$62),_xlfn.XLOOKUP(TRIM(SUBSTITUTE(U74,CHAR(160)," ")),$BK$15:$BK$62,$BL$15:$BL$62))))*T74*IF(ISBLANK(Q74),1,Q74)+IFERROR(_xlfn.XLOOKUP("RECHERCHEX",TRIM(L74:AC74),L74:AC74),0),0))</f>
        <v/>
      </c>
      <c r="AL74" s="1030">
        <f t="shared" si="21"/>
        <v>0</v>
      </c>
      <c r="AM74" s="5254" t="str">
        <f t="shared" si="40"/>
        <v/>
      </c>
      <c r="AN74" s="1031">
        <f t="shared" si="23"/>
        <v>0</v>
      </c>
      <c r="AO74" s="1031">
        <f t="shared" si="24"/>
        <v>0</v>
      </c>
      <c r="AP74" s="1032">
        <f t="shared" si="25"/>
        <v>0</v>
      </c>
      <c r="AQ74" s="5255" t="str">
        <f t="shared" si="26"/>
        <v/>
      </c>
      <c r="AR74" s="5264"/>
      <c r="AS74" s="1033"/>
      <c r="AT74" s="1034">
        <f t="shared" si="27"/>
        <v>0</v>
      </c>
      <c r="AU74" s="1035">
        <f t="shared" si="28"/>
        <v>0</v>
      </c>
      <c r="AV74" s="1057" cm="1">
        <f t="array" ref="AV74">IF(AJ74&lt;&gt;1,0,IF(OR(AT74="",N(AT74)&lt;=0.000000001),"",IF(OR(AN74="",N(AN74)&lt;=0.000000001),0,IF(ISNUMBER(AT74),IFERROR(_xlfn.LET(_xlpm.ai_test,TRIM(AI74),_xlpm.r,IFERROR(_xlfn.XLOOKUP(_xlpm.ai_test,$BI$15:$BI$62,ROW($BI$15:$BI$62),0,1),IFERROR(_xlfn.XLOOKUP(_xlpm.ai_test,$BJ$15:$BJ$62,ROW($BJ$15:$BJ$62),0,1),_xlfn.XLOOKUP(_xlpm.ai_test,$BK$15:$BK$62,ROW($BK$15:$BK$62),0,1))),_xlpm.p,_xlpm.r-MIN(ROW($BI$15:$BI$62))+1,_xlpm.f,INDEX($BL$15:$BL$62,_xlpm.p),_xlpm.u,INDEX($BM$15:$BM$62,_xlpm.p),_xlpm.s,INDEX($BO$15:$BO$62,_xlpm.p),_xlpm.q,N(AT74)/_xlpm.f,IF(_xlpm.q&gt;=_xlpm.s,ROUND(_xlpm.q,1)&amp;" "&amp;_xlpm.ai_test&amp;" = "&amp;ROUND(_xlpm.q*_xlpm.f,1)&amp;" "&amp;_xlpm.u,ROUND(_xlpm.q,1)&amp;" "&amp;_xlpm.ai_test)),""),""))))</f>
        <v>0</v>
      </c>
      <c r="AW74" s="1047"/>
      <c r="AX74" s="1034">
        <f t="shared" si="29"/>
        <v>0</v>
      </c>
      <c r="AY74" s="1035" t="str">
        <f t="shared" si="30"/>
        <v/>
      </c>
      <c r="AZ74" s="1036">
        <f t="shared" si="36"/>
        <v>0</v>
      </c>
      <c r="BA74" s="1037" t="str">
        <f t="shared" si="31"/>
        <v/>
      </c>
      <c r="BB74" s="1038">
        <v>1.5</v>
      </c>
      <c r="BC74" s="1039">
        <f t="shared" si="38"/>
        <v>0</v>
      </c>
      <c r="BD74" s="1040" t="str">
        <f t="shared" si="33"/>
        <v/>
      </c>
      <c r="BE74" s="227" t="s">
        <v>22</v>
      </c>
      <c r="BF74" s="1019">
        <f t="shared" si="34"/>
        <v>0</v>
      </c>
      <c r="BG74" s="1020">
        <f t="shared" si="35"/>
        <v>0</v>
      </c>
      <c r="BI74" s="5539" t="s">
        <v>1956</v>
      </c>
      <c r="BJ74" s="5540"/>
      <c r="BK74" s="5540"/>
      <c r="BL74" s="5540"/>
      <c r="BM74" s="5540"/>
      <c r="BN74" s="5540"/>
      <c r="BO74" s="5540"/>
      <c r="BP74" s="5540"/>
      <c r="BQ74" s="5540"/>
      <c r="BR74" s="5540"/>
      <c r="BS74" s="5540"/>
      <c r="BT74" s="5540"/>
      <c r="BU74" s="5541"/>
      <c r="BV74"/>
      <c r="BW74" s="959" t="str">
        <f t="shared" si="45"/>
        <v>►</v>
      </c>
      <c r="BX74" s="1110">
        <v>1</v>
      </c>
      <c r="BY74" s="861"/>
      <c r="BZ74" s="861"/>
      <c r="CA74" s="861"/>
      <c r="CB74" s="861"/>
      <c r="CC74" s="957"/>
      <c r="DB74" s="3">
        <v>1</v>
      </c>
    </row>
    <row r="75" spans="1:106" s="709" customFormat="1" ht="21" customHeight="1">
      <c r="A75" s="936" t="s">
        <v>22</v>
      </c>
      <c r="B75" s="952" t="str">
        <f t="shared" si="44"/>
        <v>►</v>
      </c>
      <c r="C75" s="993" cm="1">
        <f t="array" ref="C75">SUMPRODUCT(LEN(D75:J75))</f>
        <v>0</v>
      </c>
      <c r="D75" s="167"/>
      <c r="E75" s="172"/>
      <c r="F75" s="172"/>
      <c r="G75" s="172"/>
      <c r="H75" s="172"/>
      <c r="I75" s="172"/>
      <c r="J75" s="173"/>
      <c r="K75" s="442" t="s">
        <v>22</v>
      </c>
      <c r="L75" s="104" t="s">
        <v>16</v>
      </c>
      <c r="M75" s="1172"/>
      <c r="N75" s="1172"/>
      <c r="O75" s="1172"/>
      <c r="P75" s="1173"/>
      <c r="Q75" s="1174"/>
      <c r="R75" s="1175"/>
      <c r="S75" s="1176"/>
      <c r="T75" s="1177"/>
      <c r="U75" s="5248"/>
      <c r="V75" s="1177"/>
      <c r="W75" s="5249"/>
      <c r="X75" s="5208"/>
      <c r="Y75" s="5209"/>
      <c r="Z75" s="5210"/>
      <c r="AA75" s="5211"/>
      <c r="AB75" s="1178"/>
      <c r="AC75" s="1179"/>
      <c r="AD75" s="227" t="s">
        <v>22</v>
      </c>
      <c r="AE75" s="1027" t="str">
        <f t="shared" si="15"/>
        <v>►</v>
      </c>
      <c r="AF75" s="1028" t="str">
        <f t="shared" si="16"/>
        <v/>
      </c>
      <c r="AG75" s="1029" t="str">
        <f t="shared" si="17"/>
        <v/>
      </c>
      <c r="AH75" s="1028" t="str">
        <f t="shared" si="18"/>
        <v/>
      </c>
      <c r="AI75" s="1029" t="str">
        <f t="shared" si="19"/>
        <v/>
      </c>
      <c r="AJ75" s="1029">
        <f t="shared" si="20"/>
        <v>0</v>
      </c>
      <c r="AK75" s="5263" t="str" cm="1">
        <f t="array" ref="AK75">IF(AE75&lt;&gt;"A","",IFERROR((IFERROR(_xlfn.XLOOKUP(TRIM(SUBSTITUTE(U75,CHAR(160)," ")),$BI$15:$BI$62,$BL$15:$BL$62),IFERROR(_xlfn.XLOOKUP(TRIM(SUBSTITUTE(U75,CHAR(160)," ")),$BJ$15:$BJ$62,$BL$15:$BL$62),_xlfn.XLOOKUP(TRIM(SUBSTITUTE(U75,CHAR(160)," ")),$BK$15:$BK$62,$BL$15:$BL$62))))*T75*IF(ISBLANK(Q75),1,Q75)+IFERROR(_xlfn.XLOOKUP("RECHERCHEX",TRIM(L75:AC75),L75:AC75),0),0))</f>
        <v/>
      </c>
      <c r="AL75" s="1030">
        <f t="shared" si="21"/>
        <v>0</v>
      </c>
      <c r="AM75" s="5254" t="str">
        <f t="shared" si="40"/>
        <v/>
      </c>
      <c r="AN75" s="1031">
        <f t="shared" si="23"/>
        <v>0</v>
      </c>
      <c r="AO75" s="1031">
        <f t="shared" si="24"/>
        <v>0</v>
      </c>
      <c r="AP75" s="1044">
        <f t="shared" si="25"/>
        <v>0</v>
      </c>
      <c r="AQ75" s="5257" t="str">
        <f t="shared" si="26"/>
        <v/>
      </c>
      <c r="AR75" s="5264"/>
      <c r="AS75" s="1033"/>
      <c r="AT75" s="1045">
        <f t="shared" si="27"/>
        <v>0</v>
      </c>
      <c r="AU75" s="1046">
        <f t="shared" si="28"/>
        <v>0</v>
      </c>
      <c r="AV75" s="1059" cm="1">
        <f t="array" ref="AV75">IF(AJ75&lt;&gt;1,0,IF(OR(AT75="",N(AT75)&lt;=0.000000001),"",IF(OR(AN75="",N(AN75)&lt;=0.000000001),0,IF(ISNUMBER(AT75),IFERROR(_xlfn.LET(_xlpm.ai_test,TRIM(AI75),_xlpm.r,IFERROR(_xlfn.XLOOKUP(_xlpm.ai_test,$BI$15:$BI$62,ROW($BI$15:$BI$62),0,1),IFERROR(_xlfn.XLOOKUP(_xlpm.ai_test,$BJ$15:$BJ$62,ROW($BJ$15:$BJ$62),0,1),_xlfn.XLOOKUP(_xlpm.ai_test,$BK$15:$BK$62,ROW($BK$15:$BK$62),0,1))),_xlpm.p,_xlpm.r-MIN(ROW($BI$15:$BI$62))+1,_xlpm.f,INDEX($BL$15:$BL$62,_xlpm.p),_xlpm.u,INDEX($BM$15:$BM$62,_xlpm.p),_xlpm.s,INDEX($BO$15:$BO$62,_xlpm.p),_xlpm.q,N(AT75)/_xlpm.f,IF(_xlpm.q&gt;=_xlpm.s,ROUND(_xlpm.q,1)&amp;" "&amp;_xlpm.ai_test&amp;" = "&amp;ROUND(_xlpm.q*_xlpm.f,1)&amp;" "&amp;_xlpm.u,ROUND(_xlpm.q,1)&amp;" "&amp;_xlpm.ai_test)),""),""))))</f>
        <v>0</v>
      </c>
      <c r="AW75" s="1047"/>
      <c r="AX75" s="1045">
        <f t="shared" si="29"/>
        <v>0</v>
      </c>
      <c r="AY75" s="1046" t="str">
        <f t="shared" si="30"/>
        <v/>
      </c>
      <c r="AZ75" s="1048">
        <f t="shared" si="36"/>
        <v>0</v>
      </c>
      <c r="BA75" s="1049" t="str">
        <f t="shared" si="31"/>
        <v/>
      </c>
      <c r="BB75" s="1038">
        <v>1.5</v>
      </c>
      <c r="BC75" s="1050">
        <f t="shared" si="38"/>
        <v>0</v>
      </c>
      <c r="BD75" s="1040" t="str">
        <f t="shared" si="33"/>
        <v/>
      </c>
      <c r="BE75" s="227" t="s">
        <v>22</v>
      </c>
      <c r="BF75" s="1019">
        <f t="shared" si="34"/>
        <v>0</v>
      </c>
      <c r="BG75" s="1020">
        <f t="shared" si="35"/>
        <v>0</v>
      </c>
      <c r="BI75" s="5542"/>
      <c r="BJ75" s="5543"/>
      <c r="BK75" s="5543"/>
      <c r="BL75" s="5543"/>
      <c r="BM75" s="5543"/>
      <c r="BN75" s="5543"/>
      <c r="BO75" s="5543"/>
      <c r="BP75" s="5543"/>
      <c r="BQ75" s="5543"/>
      <c r="BR75" s="5543"/>
      <c r="BS75" s="5543"/>
      <c r="BT75" s="5543"/>
      <c r="BU75" s="5544"/>
      <c r="BV75"/>
      <c r="BW75" s="959" t="str">
        <f t="shared" si="45"/>
        <v>►</v>
      </c>
      <c r="BX75" s="868" t="s">
        <v>877</v>
      </c>
      <c r="BY75" s="861"/>
      <c r="BZ75" s="861"/>
      <c r="CA75" s="861"/>
      <c r="CB75" s="861"/>
      <c r="CC75" s="957"/>
      <c r="DB75" s="3">
        <v>1</v>
      </c>
    </row>
    <row r="76" spans="1:106" s="709" customFormat="1" ht="21" customHeight="1">
      <c r="A76" s="936" t="s">
        <v>22</v>
      </c>
      <c r="B76" s="952" t="str">
        <f t="shared" si="44"/>
        <v>►</v>
      </c>
      <c r="C76" s="993" cm="1">
        <f t="array" ref="C76">SUMPRODUCT(LEN(D76:J76))</f>
        <v>0</v>
      </c>
      <c r="D76" s="167"/>
      <c r="E76" s="172"/>
      <c r="F76" s="172"/>
      <c r="G76" s="172"/>
      <c r="H76" s="172"/>
      <c r="I76" s="172"/>
      <c r="J76" s="173"/>
      <c r="K76" s="442" t="s">
        <v>22</v>
      </c>
      <c r="L76" s="104" t="s">
        <v>16</v>
      </c>
      <c r="M76" s="1172"/>
      <c r="N76" s="1172"/>
      <c r="O76" s="1172"/>
      <c r="P76" s="1173"/>
      <c r="Q76" s="1174"/>
      <c r="R76" s="1175"/>
      <c r="S76" s="1176"/>
      <c r="T76" s="1177"/>
      <c r="U76" s="5248"/>
      <c r="V76" s="1177"/>
      <c r="W76" s="5249"/>
      <c r="X76" s="5208"/>
      <c r="Y76" s="5209"/>
      <c r="Z76" s="5210"/>
      <c r="AA76" s="5211"/>
      <c r="AB76" s="1178"/>
      <c r="AC76" s="1179"/>
      <c r="AD76" s="227" t="s">
        <v>22</v>
      </c>
      <c r="AE76" s="1027" t="str">
        <f t="shared" si="15"/>
        <v>►</v>
      </c>
      <c r="AF76" s="1028" t="str">
        <f t="shared" si="16"/>
        <v/>
      </c>
      <c r="AG76" s="1029" t="str">
        <f t="shared" si="17"/>
        <v/>
      </c>
      <c r="AH76" s="1028" t="str">
        <f t="shared" si="18"/>
        <v/>
      </c>
      <c r="AI76" s="1029" t="str">
        <f t="shared" si="19"/>
        <v/>
      </c>
      <c r="AJ76" s="1029">
        <f t="shared" si="20"/>
        <v>0</v>
      </c>
      <c r="AK76" s="5263" t="str" cm="1">
        <f t="array" ref="AK76">IF(AE76&lt;&gt;"A","",IFERROR((IFERROR(_xlfn.XLOOKUP(TRIM(SUBSTITUTE(U76,CHAR(160)," ")),$BI$15:$BI$62,$BL$15:$BL$62),IFERROR(_xlfn.XLOOKUP(TRIM(SUBSTITUTE(U76,CHAR(160)," ")),$BJ$15:$BJ$62,$BL$15:$BL$62),_xlfn.XLOOKUP(TRIM(SUBSTITUTE(U76,CHAR(160)," ")),$BK$15:$BK$62,$BL$15:$BL$62))))*T76*IF(ISBLANK(Q76),1,Q76)+IFERROR(_xlfn.XLOOKUP("RECHERCHEX",TRIM(L76:AC76),L76:AC76),0),0))</f>
        <v/>
      </c>
      <c r="AL76" s="1030">
        <f t="shared" si="21"/>
        <v>0</v>
      </c>
      <c r="AM76" s="5254" t="str">
        <f t="shared" si="40"/>
        <v/>
      </c>
      <c r="AN76" s="1031">
        <f t="shared" si="23"/>
        <v>0</v>
      </c>
      <c r="AO76" s="1031">
        <f t="shared" si="24"/>
        <v>0</v>
      </c>
      <c r="AP76" s="1032">
        <f t="shared" si="25"/>
        <v>0</v>
      </c>
      <c r="AQ76" s="5255" t="str">
        <f t="shared" si="26"/>
        <v/>
      </c>
      <c r="AR76" s="5264"/>
      <c r="AS76" s="1033"/>
      <c r="AT76" s="1034">
        <f t="shared" si="27"/>
        <v>0</v>
      </c>
      <c r="AU76" s="1035">
        <f t="shared" si="28"/>
        <v>0</v>
      </c>
      <c r="AV76" s="1057" cm="1">
        <f t="array" ref="AV76">IF(AJ76&lt;&gt;1,0,IF(OR(AT76="",N(AT76)&lt;=0.000000001),"",IF(OR(AN76="",N(AN76)&lt;=0.000000001),0,IF(ISNUMBER(AT76),IFERROR(_xlfn.LET(_xlpm.ai_test,TRIM(AI76),_xlpm.r,IFERROR(_xlfn.XLOOKUP(_xlpm.ai_test,$BI$15:$BI$62,ROW($BI$15:$BI$62),0,1),IFERROR(_xlfn.XLOOKUP(_xlpm.ai_test,$BJ$15:$BJ$62,ROW($BJ$15:$BJ$62),0,1),_xlfn.XLOOKUP(_xlpm.ai_test,$BK$15:$BK$62,ROW($BK$15:$BK$62),0,1))),_xlpm.p,_xlpm.r-MIN(ROW($BI$15:$BI$62))+1,_xlpm.f,INDEX($BL$15:$BL$62,_xlpm.p),_xlpm.u,INDEX($BM$15:$BM$62,_xlpm.p),_xlpm.s,INDEX($BO$15:$BO$62,_xlpm.p),_xlpm.q,N(AT76)/_xlpm.f,IF(_xlpm.q&gt;=_xlpm.s,ROUND(_xlpm.q,1)&amp;" "&amp;_xlpm.ai_test&amp;" = "&amp;ROUND(_xlpm.q*_xlpm.f,1)&amp;" "&amp;_xlpm.u,ROUND(_xlpm.q,1)&amp;" "&amp;_xlpm.ai_test)),""),""))))</f>
        <v>0</v>
      </c>
      <c r="AW76" s="1047"/>
      <c r="AX76" s="1034">
        <f t="shared" si="29"/>
        <v>0</v>
      </c>
      <c r="AY76" s="1035" t="str">
        <f t="shared" si="30"/>
        <v/>
      </c>
      <c r="AZ76" s="1036">
        <f t="shared" si="36"/>
        <v>0</v>
      </c>
      <c r="BA76" s="1037" t="str">
        <f t="shared" si="31"/>
        <v/>
      </c>
      <c r="BB76" s="1038">
        <v>1.5</v>
      </c>
      <c r="BC76" s="1039">
        <f t="shared" si="38"/>
        <v>0</v>
      </c>
      <c r="BD76" s="1040" t="str">
        <f t="shared" si="33"/>
        <v/>
      </c>
      <c r="BE76" s="227" t="s">
        <v>22</v>
      </c>
      <c r="BF76" s="1019">
        <f t="shared" si="34"/>
        <v>0</v>
      </c>
      <c r="BG76" s="1020">
        <f t="shared" si="35"/>
        <v>0</v>
      </c>
      <c r="BI76" s="709" t="s">
        <v>2621</v>
      </c>
      <c r="BV76"/>
      <c r="BW76" s="959" t="str">
        <f t="shared" si="45"/>
        <v>►</v>
      </c>
      <c r="BX76" s="869" t="s">
        <v>878</v>
      </c>
      <c r="BY76" s="861"/>
      <c r="BZ76" s="861"/>
      <c r="CA76" s="861"/>
      <c r="CB76" s="861"/>
      <c r="CC76" s="957"/>
      <c r="DB76" s="3">
        <v>1</v>
      </c>
    </row>
    <row r="77" spans="1:106" s="709" customFormat="1" ht="21" customHeight="1">
      <c r="A77" s="936" t="s">
        <v>22</v>
      </c>
      <c r="B77" s="952" t="str">
        <f t="shared" si="44"/>
        <v>►</v>
      </c>
      <c r="C77" s="993" cm="1">
        <f t="array" ref="C77">SUMPRODUCT(LEN(D77:J77))</f>
        <v>0</v>
      </c>
      <c r="D77" s="167"/>
      <c r="E77" s="172"/>
      <c r="F77" s="172"/>
      <c r="G77" s="172"/>
      <c r="H77" s="172"/>
      <c r="I77" s="172"/>
      <c r="J77" s="173"/>
      <c r="K77" s="442" t="s">
        <v>22</v>
      </c>
      <c r="L77" s="104" t="s">
        <v>16</v>
      </c>
      <c r="M77" s="1172"/>
      <c r="N77" s="1172"/>
      <c r="O77" s="1172"/>
      <c r="P77" s="1173"/>
      <c r="Q77" s="1174"/>
      <c r="R77" s="1175"/>
      <c r="S77" s="1176"/>
      <c r="T77" s="1177"/>
      <c r="U77" s="5248"/>
      <c r="V77" s="1177"/>
      <c r="W77" s="5249"/>
      <c r="X77" s="5208"/>
      <c r="Y77" s="5209"/>
      <c r="Z77" s="5210"/>
      <c r="AA77" s="5211"/>
      <c r="AB77" s="1178"/>
      <c r="AC77" s="1179"/>
      <c r="AD77" s="227" t="s">
        <v>22</v>
      </c>
      <c r="AE77" s="1027" t="str">
        <f t="shared" si="15"/>
        <v>►</v>
      </c>
      <c r="AF77" s="1028" t="str">
        <f t="shared" si="16"/>
        <v/>
      </c>
      <c r="AG77" s="1029" t="str">
        <f t="shared" si="17"/>
        <v/>
      </c>
      <c r="AH77" s="1028" t="str">
        <f t="shared" si="18"/>
        <v/>
      </c>
      <c r="AI77" s="1029" t="str">
        <f t="shared" si="19"/>
        <v/>
      </c>
      <c r="AJ77" s="1029">
        <f t="shared" si="20"/>
        <v>0</v>
      </c>
      <c r="AK77" s="5263" t="str" cm="1">
        <f t="array" ref="AK77">IF(AE77&lt;&gt;"A","",IFERROR((IFERROR(_xlfn.XLOOKUP(TRIM(SUBSTITUTE(U77,CHAR(160)," ")),$BI$15:$BI$62,$BL$15:$BL$62),IFERROR(_xlfn.XLOOKUP(TRIM(SUBSTITUTE(U77,CHAR(160)," ")),$BJ$15:$BJ$62,$BL$15:$BL$62),_xlfn.XLOOKUP(TRIM(SUBSTITUTE(U77,CHAR(160)," ")),$BK$15:$BK$62,$BL$15:$BL$62))))*T77*IF(ISBLANK(Q77),1,Q77)+IFERROR(_xlfn.XLOOKUP("RECHERCHEX",TRIM(L77:AC77),L77:AC77),0),0))</f>
        <v/>
      </c>
      <c r="AL77" s="1030">
        <f t="shared" si="21"/>
        <v>0</v>
      </c>
      <c r="AM77" s="5254" t="str">
        <f t="shared" si="40"/>
        <v/>
      </c>
      <c r="AN77" s="1031">
        <f t="shared" si="23"/>
        <v>0</v>
      </c>
      <c r="AO77" s="1031">
        <f t="shared" si="24"/>
        <v>0</v>
      </c>
      <c r="AP77" s="1044">
        <f t="shared" si="25"/>
        <v>0</v>
      </c>
      <c r="AQ77" s="5257" t="str">
        <f t="shared" si="26"/>
        <v/>
      </c>
      <c r="AR77" s="5264"/>
      <c r="AS77" s="1033"/>
      <c r="AT77" s="1045">
        <f t="shared" si="27"/>
        <v>0</v>
      </c>
      <c r="AU77" s="1046">
        <f t="shared" si="28"/>
        <v>0</v>
      </c>
      <c r="AV77" s="1059" cm="1">
        <f t="array" ref="AV77">IF(AJ77&lt;&gt;1,0,IF(OR(AT77="",N(AT77)&lt;=0.000000001),"",IF(OR(AN77="",N(AN77)&lt;=0.000000001),0,IF(ISNUMBER(AT77),IFERROR(_xlfn.LET(_xlpm.ai_test,TRIM(AI77),_xlpm.r,IFERROR(_xlfn.XLOOKUP(_xlpm.ai_test,$BI$15:$BI$62,ROW($BI$15:$BI$62),0,1),IFERROR(_xlfn.XLOOKUP(_xlpm.ai_test,$BJ$15:$BJ$62,ROW($BJ$15:$BJ$62),0,1),_xlfn.XLOOKUP(_xlpm.ai_test,$BK$15:$BK$62,ROW($BK$15:$BK$62),0,1))),_xlpm.p,_xlpm.r-MIN(ROW($BI$15:$BI$62))+1,_xlpm.f,INDEX($BL$15:$BL$62,_xlpm.p),_xlpm.u,INDEX($BM$15:$BM$62,_xlpm.p),_xlpm.s,INDEX($BO$15:$BO$62,_xlpm.p),_xlpm.q,N(AT77)/_xlpm.f,IF(_xlpm.q&gt;=_xlpm.s,ROUND(_xlpm.q,1)&amp;" "&amp;_xlpm.ai_test&amp;" = "&amp;ROUND(_xlpm.q*_xlpm.f,1)&amp;" "&amp;_xlpm.u,ROUND(_xlpm.q,1)&amp;" "&amp;_xlpm.ai_test)),""),""))))</f>
        <v>0</v>
      </c>
      <c r="AW77" s="1047"/>
      <c r="AX77" s="1045">
        <f t="shared" si="29"/>
        <v>0</v>
      </c>
      <c r="AY77" s="1046" t="str">
        <f t="shared" si="30"/>
        <v/>
      </c>
      <c r="AZ77" s="1048">
        <f t="shared" si="36"/>
        <v>0</v>
      </c>
      <c r="BA77" s="1049" t="str">
        <f t="shared" si="31"/>
        <v/>
      </c>
      <c r="BB77" s="1038">
        <v>1.5</v>
      </c>
      <c r="BC77" s="1050">
        <f t="shared" si="38"/>
        <v>0</v>
      </c>
      <c r="BD77" s="1040" t="str">
        <f t="shared" si="33"/>
        <v/>
      </c>
      <c r="BE77" s="227" t="s">
        <v>22</v>
      </c>
      <c r="BF77" s="1019">
        <f t="shared" si="34"/>
        <v>0</v>
      </c>
      <c r="BG77" s="1020">
        <f t="shared" si="35"/>
        <v>0</v>
      </c>
      <c r="BI77" s="5195" t="s">
        <v>143</v>
      </c>
      <c r="BJ77" s="5191" t="s">
        <v>99</v>
      </c>
      <c r="BK77" s="5196" t="s">
        <v>144</v>
      </c>
      <c r="BL77" s="5197" t="s">
        <v>145</v>
      </c>
      <c r="BM77" s="5192" t="s">
        <v>146</v>
      </c>
      <c r="BN77" s="5192" t="s">
        <v>107</v>
      </c>
      <c r="BO77" s="5193" t="s">
        <v>0</v>
      </c>
      <c r="BP77" s="5193" t="s">
        <v>96</v>
      </c>
      <c r="BQ77" s="5193" t="s">
        <v>147</v>
      </c>
      <c r="BR77" s="5193" t="s">
        <v>148</v>
      </c>
      <c r="BS77" s="5194" t="s">
        <v>102</v>
      </c>
      <c r="BT77" s="5194" t="s">
        <v>149</v>
      </c>
      <c r="BU77" s="5198" t="s">
        <v>150</v>
      </c>
      <c r="BV77"/>
      <c r="BW77" s="959" t="str">
        <f t="shared" si="45"/>
        <v>►</v>
      </c>
      <c r="BX77" s="1110">
        <v>1</v>
      </c>
      <c r="BY77" s="861"/>
      <c r="BZ77" s="861"/>
      <c r="CA77" s="861"/>
      <c r="CB77" s="861"/>
      <c r="CC77" s="957"/>
      <c r="DB77" s="3">
        <v>1</v>
      </c>
    </row>
    <row r="78" spans="1:106" s="709" customFormat="1" ht="21" customHeight="1">
      <c r="A78" s="936" t="s">
        <v>22</v>
      </c>
      <c r="B78" s="952" t="str">
        <f t="shared" si="44"/>
        <v>►</v>
      </c>
      <c r="C78" s="993" cm="1">
        <f t="array" ref="C78">SUMPRODUCT(LEN(D78:J78))</f>
        <v>0</v>
      </c>
      <c r="D78" s="167"/>
      <c r="E78" s="172"/>
      <c r="F78" s="172"/>
      <c r="G78" s="172"/>
      <c r="H78" s="172"/>
      <c r="I78" s="172"/>
      <c r="J78" s="173"/>
      <c r="K78" s="442" t="s">
        <v>22</v>
      </c>
      <c r="L78" s="104" t="s">
        <v>16</v>
      </c>
      <c r="M78" s="1172"/>
      <c r="N78" s="1172"/>
      <c r="O78" s="1172"/>
      <c r="P78" s="1173"/>
      <c r="Q78" s="1174"/>
      <c r="R78" s="1175"/>
      <c r="S78" s="1176"/>
      <c r="T78" s="1177"/>
      <c r="U78" s="5248"/>
      <c r="V78" s="1177"/>
      <c r="W78" s="5249"/>
      <c r="X78" s="5208"/>
      <c r="Y78" s="5209"/>
      <c r="Z78" s="5210"/>
      <c r="AA78" s="5211"/>
      <c r="AB78" s="1178"/>
      <c r="AC78" s="1179"/>
      <c r="AD78" s="227" t="s">
        <v>22</v>
      </c>
      <c r="AE78" s="1027" t="str">
        <f t="shared" si="15"/>
        <v>►</v>
      </c>
      <c r="AF78" s="1028" t="str">
        <f t="shared" si="16"/>
        <v/>
      </c>
      <c r="AG78" s="1029" t="str">
        <f t="shared" si="17"/>
        <v/>
      </c>
      <c r="AH78" s="1028" t="str">
        <f t="shared" si="18"/>
        <v/>
      </c>
      <c r="AI78" s="1029" t="str">
        <f t="shared" si="19"/>
        <v/>
      </c>
      <c r="AJ78" s="1029">
        <f t="shared" si="20"/>
        <v>0</v>
      </c>
      <c r="AK78" s="5263" t="str" cm="1">
        <f t="array" ref="AK78">IF(AE78&lt;&gt;"A","",IFERROR((IFERROR(_xlfn.XLOOKUP(TRIM(SUBSTITUTE(U78,CHAR(160)," ")),$BI$15:$BI$62,$BL$15:$BL$62),IFERROR(_xlfn.XLOOKUP(TRIM(SUBSTITUTE(U78,CHAR(160)," ")),$BJ$15:$BJ$62,$BL$15:$BL$62),_xlfn.XLOOKUP(TRIM(SUBSTITUTE(U78,CHAR(160)," ")),$BK$15:$BK$62,$BL$15:$BL$62))))*T78*IF(ISBLANK(Q78),1,Q78)+IFERROR(_xlfn.XLOOKUP("RECHERCHEX",TRIM(L78:AC78),L78:AC78),0),0))</f>
        <v/>
      </c>
      <c r="AL78" s="1030">
        <f t="shared" si="21"/>
        <v>0</v>
      </c>
      <c r="AM78" s="5254" t="str">
        <f t="shared" si="40"/>
        <v/>
      </c>
      <c r="AN78" s="1031">
        <f t="shared" si="23"/>
        <v>0</v>
      </c>
      <c r="AO78" s="1031">
        <f t="shared" si="24"/>
        <v>0</v>
      </c>
      <c r="AP78" s="1032">
        <f t="shared" si="25"/>
        <v>0</v>
      </c>
      <c r="AQ78" s="5255" t="str">
        <f t="shared" si="26"/>
        <v/>
      </c>
      <c r="AR78" s="5264"/>
      <c r="AS78" s="1033"/>
      <c r="AT78" s="1034">
        <f t="shared" si="27"/>
        <v>0</v>
      </c>
      <c r="AU78" s="1035">
        <f t="shared" si="28"/>
        <v>0</v>
      </c>
      <c r="AV78" s="1057" cm="1">
        <f t="array" ref="AV78">IF(AJ78&lt;&gt;1,0,IF(OR(AT78="",N(AT78)&lt;=0.000000001),"",IF(OR(AN78="",N(AN78)&lt;=0.000000001),0,IF(ISNUMBER(AT78),IFERROR(_xlfn.LET(_xlpm.ai_test,TRIM(AI78),_xlpm.r,IFERROR(_xlfn.XLOOKUP(_xlpm.ai_test,$BI$15:$BI$62,ROW($BI$15:$BI$62),0,1),IFERROR(_xlfn.XLOOKUP(_xlpm.ai_test,$BJ$15:$BJ$62,ROW($BJ$15:$BJ$62),0,1),_xlfn.XLOOKUP(_xlpm.ai_test,$BK$15:$BK$62,ROW($BK$15:$BK$62),0,1))),_xlpm.p,_xlpm.r-MIN(ROW($BI$15:$BI$62))+1,_xlpm.f,INDEX($BL$15:$BL$62,_xlpm.p),_xlpm.u,INDEX($BM$15:$BM$62,_xlpm.p),_xlpm.s,INDEX($BO$15:$BO$62,_xlpm.p),_xlpm.q,N(AT78)/_xlpm.f,IF(_xlpm.q&gt;=_xlpm.s,ROUND(_xlpm.q,1)&amp;" "&amp;_xlpm.ai_test&amp;" = "&amp;ROUND(_xlpm.q*_xlpm.f,1)&amp;" "&amp;_xlpm.u,ROUND(_xlpm.q,1)&amp;" "&amp;_xlpm.ai_test)),""),""))))</f>
        <v>0</v>
      </c>
      <c r="AW78" s="1047"/>
      <c r="AX78" s="1034">
        <f t="shared" si="29"/>
        <v>0</v>
      </c>
      <c r="AY78" s="1035" t="str">
        <f t="shared" si="30"/>
        <v/>
      </c>
      <c r="AZ78" s="1036">
        <f t="shared" si="36"/>
        <v>0</v>
      </c>
      <c r="BA78" s="1037" t="str">
        <f t="shared" si="31"/>
        <v/>
      </c>
      <c r="BB78" s="1038">
        <v>1.5</v>
      </c>
      <c r="BC78" s="1039">
        <f t="shared" si="38"/>
        <v>0</v>
      </c>
      <c r="BD78" s="1040" t="str">
        <f t="shared" si="33"/>
        <v/>
      </c>
      <c r="BE78" s="227" t="s">
        <v>22</v>
      </c>
      <c r="BF78" s="1019">
        <f t="shared" si="34"/>
        <v>0</v>
      </c>
      <c r="BG78" s="1020">
        <f t="shared" si="35"/>
        <v>0</v>
      </c>
      <c r="BI78" s="5199">
        <v>1</v>
      </c>
      <c r="BJ78" s="5227">
        <v>1E-3</v>
      </c>
      <c r="BK78" s="5228">
        <v>0</v>
      </c>
      <c r="BL78" s="5227">
        <v>0.25</v>
      </c>
      <c r="BM78" s="5227">
        <v>0.33332999999999996</v>
      </c>
      <c r="BN78" s="5227">
        <v>0.5</v>
      </c>
      <c r="BO78" s="5229">
        <v>1</v>
      </c>
      <c r="BP78" s="5229">
        <v>0.1</v>
      </c>
      <c r="BQ78" s="5229">
        <v>0.01</v>
      </c>
      <c r="BR78" s="5229">
        <v>1E-3</v>
      </c>
      <c r="BS78" s="5229">
        <v>0.5</v>
      </c>
      <c r="BT78" s="5229">
        <v>0.33300000000000002</v>
      </c>
      <c r="BU78" s="5206">
        <v>0.2</v>
      </c>
      <c r="BV78"/>
      <c r="BW78" s="959" t="str">
        <f t="shared" si="45"/>
        <v>►</v>
      </c>
      <c r="BX78" s="868" t="s">
        <v>879</v>
      </c>
      <c r="BY78" s="861"/>
      <c r="BZ78" s="861"/>
      <c r="CA78" s="861"/>
      <c r="CB78" s="861"/>
      <c r="CC78" s="957"/>
      <c r="DB78" s="3">
        <v>1</v>
      </c>
    </row>
    <row r="79" spans="1:106" s="709" customFormat="1" ht="21" customHeight="1">
      <c r="A79" s="936" t="s">
        <v>22</v>
      </c>
      <c r="B79" s="952" t="str">
        <f t="shared" si="44"/>
        <v>►</v>
      </c>
      <c r="C79" s="993" cm="1">
        <f t="array" ref="C79">SUMPRODUCT(LEN(D79:J79))</f>
        <v>0</v>
      </c>
      <c r="D79" s="167"/>
      <c r="E79" s="172"/>
      <c r="F79" s="172"/>
      <c r="G79" s="172"/>
      <c r="H79" s="172"/>
      <c r="I79" s="172"/>
      <c r="J79" s="173"/>
      <c r="K79" s="442" t="s">
        <v>22</v>
      </c>
      <c r="L79" s="104" t="s">
        <v>16</v>
      </c>
      <c r="M79" s="1172"/>
      <c r="N79" s="1172"/>
      <c r="O79" s="1172"/>
      <c r="P79" s="1173"/>
      <c r="Q79" s="1174"/>
      <c r="R79" s="1175"/>
      <c r="S79" s="1176"/>
      <c r="T79" s="1177"/>
      <c r="U79" s="5248"/>
      <c r="V79" s="1177"/>
      <c r="W79" s="5249"/>
      <c r="X79" s="5208"/>
      <c r="Y79" s="5209"/>
      <c r="Z79" s="5210"/>
      <c r="AA79" s="5211"/>
      <c r="AB79" s="1178"/>
      <c r="AC79" s="1179"/>
      <c r="AD79" s="227" t="s">
        <v>22</v>
      </c>
      <c r="AE79" s="1027" t="str">
        <f t="shared" si="15"/>
        <v>►</v>
      </c>
      <c r="AF79" s="1028" t="str">
        <f t="shared" si="16"/>
        <v/>
      </c>
      <c r="AG79" s="1029" t="str">
        <f t="shared" si="17"/>
        <v/>
      </c>
      <c r="AH79" s="1028" t="str">
        <f t="shared" si="18"/>
        <v/>
      </c>
      <c r="AI79" s="1029" t="str">
        <f t="shared" si="19"/>
        <v/>
      </c>
      <c r="AJ79" s="1029">
        <f t="shared" si="20"/>
        <v>0</v>
      </c>
      <c r="AK79" s="5263" t="str" cm="1">
        <f t="array" ref="AK79">IF(AE79&lt;&gt;"A","",IFERROR((IFERROR(_xlfn.XLOOKUP(TRIM(SUBSTITUTE(U79,CHAR(160)," ")),$BI$15:$BI$62,$BL$15:$BL$62),IFERROR(_xlfn.XLOOKUP(TRIM(SUBSTITUTE(U79,CHAR(160)," ")),$BJ$15:$BJ$62,$BL$15:$BL$62),_xlfn.XLOOKUP(TRIM(SUBSTITUTE(U79,CHAR(160)," ")),$BK$15:$BK$62,$BL$15:$BL$62))))*T79*IF(ISBLANK(Q79),1,Q79)+IFERROR(_xlfn.XLOOKUP("RECHERCHEX",TRIM(L79:AC79),L79:AC79),0),0))</f>
        <v/>
      </c>
      <c r="AL79" s="1030">
        <f t="shared" si="21"/>
        <v>0</v>
      </c>
      <c r="AM79" s="5254" t="str">
        <f t="shared" si="40"/>
        <v/>
      </c>
      <c r="AN79" s="1031">
        <f t="shared" si="23"/>
        <v>0</v>
      </c>
      <c r="AO79" s="1031">
        <f t="shared" si="24"/>
        <v>0</v>
      </c>
      <c r="AP79" s="1044">
        <f t="shared" si="25"/>
        <v>0</v>
      </c>
      <c r="AQ79" s="5257" t="str">
        <f t="shared" si="26"/>
        <v/>
      </c>
      <c r="AR79" s="5264"/>
      <c r="AS79" s="1033"/>
      <c r="AT79" s="1045">
        <f t="shared" si="27"/>
        <v>0</v>
      </c>
      <c r="AU79" s="1046">
        <f t="shared" si="28"/>
        <v>0</v>
      </c>
      <c r="AV79" s="1059" cm="1">
        <f t="array" ref="AV79">IF(AJ79&lt;&gt;1,0,IF(OR(AT79="",N(AT79)&lt;=0.000000001),"",IF(OR(AN79="",N(AN79)&lt;=0.000000001),0,IF(ISNUMBER(AT79),IFERROR(_xlfn.LET(_xlpm.ai_test,TRIM(AI79),_xlpm.r,IFERROR(_xlfn.XLOOKUP(_xlpm.ai_test,$BI$15:$BI$62,ROW($BI$15:$BI$62),0,1),IFERROR(_xlfn.XLOOKUP(_xlpm.ai_test,$BJ$15:$BJ$62,ROW($BJ$15:$BJ$62),0,1),_xlfn.XLOOKUP(_xlpm.ai_test,$BK$15:$BK$62,ROW($BK$15:$BK$62),0,1))),_xlpm.p,_xlpm.r-MIN(ROW($BI$15:$BI$62))+1,_xlpm.f,INDEX($BL$15:$BL$62,_xlpm.p),_xlpm.u,INDEX($BM$15:$BM$62,_xlpm.p),_xlpm.s,INDEX($BO$15:$BO$62,_xlpm.p),_xlpm.q,N(AT79)/_xlpm.f,IF(_xlpm.q&gt;=_xlpm.s,ROUND(_xlpm.q,1)&amp;" "&amp;_xlpm.ai_test&amp;" = "&amp;ROUND(_xlpm.q*_xlpm.f,1)&amp;" "&amp;_xlpm.u,ROUND(_xlpm.q,1)&amp;" "&amp;_xlpm.ai_test)),""),""))))</f>
        <v>0</v>
      </c>
      <c r="AW79" s="1047"/>
      <c r="AX79" s="1045">
        <f t="shared" si="29"/>
        <v>0</v>
      </c>
      <c r="AY79" s="1046" t="str">
        <f t="shared" si="30"/>
        <v/>
      </c>
      <c r="AZ79" s="1048">
        <f t="shared" si="36"/>
        <v>0</v>
      </c>
      <c r="BA79" s="1049" t="str">
        <f t="shared" si="31"/>
        <v/>
      </c>
      <c r="BB79" s="1038">
        <v>1.5</v>
      </c>
      <c r="BC79" s="1050">
        <f t="shared" si="38"/>
        <v>0</v>
      </c>
      <c r="BD79" s="1040" t="str">
        <f t="shared" si="33"/>
        <v/>
      </c>
      <c r="BE79" s="227" t="s">
        <v>22</v>
      </c>
      <c r="BF79" s="1019">
        <f t="shared" si="34"/>
        <v>0</v>
      </c>
      <c r="BG79" s="1020">
        <f t="shared" si="35"/>
        <v>0</v>
      </c>
      <c r="BI79" s="5200" t="s">
        <v>156</v>
      </c>
      <c r="BJ79" s="5200" t="s">
        <v>157</v>
      </c>
      <c r="BK79" s="5196" t="s">
        <v>144</v>
      </c>
      <c r="BL79" s="5200" t="s">
        <v>112</v>
      </c>
      <c r="BM79" s="5200" t="s">
        <v>158</v>
      </c>
      <c r="BN79" s="5200" t="s">
        <v>159</v>
      </c>
      <c r="BO79" s="5201" t="s">
        <v>117</v>
      </c>
      <c r="BP79" s="5202" t="s">
        <v>160</v>
      </c>
      <c r="BQ79" s="5202" t="s">
        <v>161</v>
      </c>
      <c r="BR79" s="5194" t="s">
        <v>162</v>
      </c>
      <c r="BS79" s="5194" t="s">
        <v>163</v>
      </c>
      <c r="BT79" s="5194" t="s">
        <v>103</v>
      </c>
      <c r="BU79" s="5203" t="s">
        <v>164</v>
      </c>
      <c r="BV79"/>
      <c r="BW79" s="959" t="str">
        <f t="shared" si="45"/>
        <v>►</v>
      </c>
      <c r="BX79" s="869" t="s">
        <v>880</v>
      </c>
      <c r="BY79" s="861"/>
      <c r="BZ79" s="861"/>
      <c r="CA79" s="861"/>
      <c r="CB79" s="861"/>
      <c r="CC79" s="957"/>
      <c r="CD79"/>
      <c r="CE79"/>
      <c r="CF79"/>
      <c r="CG79"/>
      <c r="CH79"/>
      <c r="CI79"/>
      <c r="CJ79"/>
      <c r="CL79"/>
      <c r="CM79"/>
      <c r="CN79"/>
      <c r="CO79"/>
      <c r="CP79"/>
      <c r="CQ79"/>
      <c r="CR79"/>
      <c r="CT79"/>
      <c r="CU79"/>
      <c r="CV79"/>
      <c r="CW79"/>
      <c r="CX79"/>
      <c r="CY79"/>
      <c r="CZ79"/>
      <c r="DB79" s="3">
        <v>1</v>
      </c>
    </row>
    <row r="80" spans="1:106" s="709" customFormat="1" ht="21" customHeight="1">
      <c r="A80" s="936" t="s">
        <v>22</v>
      </c>
      <c r="B80" s="952" t="str">
        <f t="shared" si="44"/>
        <v>►</v>
      </c>
      <c r="C80" s="993" cm="1">
        <f t="array" ref="C80">SUMPRODUCT(LEN(D80:J80))</f>
        <v>0</v>
      </c>
      <c r="D80" s="167"/>
      <c r="E80" s="172"/>
      <c r="F80" s="172"/>
      <c r="G80" s="172"/>
      <c r="H80" s="172"/>
      <c r="I80" s="172"/>
      <c r="J80" s="173"/>
      <c r="K80" s="442" t="s">
        <v>22</v>
      </c>
      <c r="L80" s="104" t="s">
        <v>16</v>
      </c>
      <c r="M80" s="1172"/>
      <c r="N80" s="1172"/>
      <c r="O80" s="1172"/>
      <c r="P80" s="1173"/>
      <c r="Q80" s="1174"/>
      <c r="R80" s="1175"/>
      <c r="S80" s="1176"/>
      <c r="T80" s="1177"/>
      <c r="U80" s="5248"/>
      <c r="V80" s="1177"/>
      <c r="W80" s="5249"/>
      <c r="X80" s="5208"/>
      <c r="Y80" s="5209"/>
      <c r="Z80" s="5210"/>
      <c r="AA80" s="5211"/>
      <c r="AB80" s="1178"/>
      <c r="AC80" s="1179"/>
      <c r="AD80" s="227" t="s">
        <v>22</v>
      </c>
      <c r="AE80" s="1027" t="str">
        <f t="shared" si="15"/>
        <v>►</v>
      </c>
      <c r="AF80" s="1028" t="str">
        <f t="shared" si="16"/>
        <v/>
      </c>
      <c r="AG80" s="1029" t="str">
        <f t="shared" si="17"/>
        <v/>
      </c>
      <c r="AH80" s="1028" t="str">
        <f t="shared" si="18"/>
        <v/>
      </c>
      <c r="AI80" s="1029" t="str">
        <f t="shared" si="19"/>
        <v/>
      </c>
      <c r="AJ80" s="1029">
        <f t="shared" si="20"/>
        <v>0</v>
      </c>
      <c r="AK80" s="5263" t="str" cm="1">
        <f t="array" ref="AK80">IF(AE80&lt;&gt;"A","",IFERROR((IFERROR(_xlfn.XLOOKUP(TRIM(SUBSTITUTE(U80,CHAR(160)," ")),$BI$15:$BI$62,$BL$15:$BL$62),IFERROR(_xlfn.XLOOKUP(TRIM(SUBSTITUTE(U80,CHAR(160)," ")),$BJ$15:$BJ$62,$BL$15:$BL$62),_xlfn.XLOOKUP(TRIM(SUBSTITUTE(U80,CHAR(160)," ")),$BK$15:$BK$62,$BL$15:$BL$62))))*T80*IF(ISBLANK(Q80),1,Q80)+IFERROR(_xlfn.XLOOKUP("RECHERCHEX",TRIM(L80:AC80),L80:AC80),0),0))</f>
        <v/>
      </c>
      <c r="AL80" s="1030">
        <f t="shared" si="21"/>
        <v>0</v>
      </c>
      <c r="AM80" s="5254" t="str">
        <f t="shared" si="40"/>
        <v/>
      </c>
      <c r="AN80" s="1031">
        <f t="shared" si="23"/>
        <v>0</v>
      </c>
      <c r="AO80" s="1031">
        <f t="shared" si="24"/>
        <v>0</v>
      </c>
      <c r="AP80" s="1032">
        <f t="shared" si="25"/>
        <v>0</v>
      </c>
      <c r="AQ80" s="5255" t="str">
        <f t="shared" si="26"/>
        <v/>
      </c>
      <c r="AR80" s="5264"/>
      <c r="AS80" s="1033"/>
      <c r="AT80" s="1034">
        <f t="shared" si="27"/>
        <v>0</v>
      </c>
      <c r="AU80" s="1035">
        <f t="shared" si="28"/>
        <v>0</v>
      </c>
      <c r="AV80" s="1057" cm="1">
        <f t="array" ref="AV80">IF(AJ80&lt;&gt;1,0,IF(OR(AT80="",N(AT80)&lt;=0.000000001),"",IF(OR(AN80="",N(AN80)&lt;=0.000000001),0,IF(ISNUMBER(AT80),IFERROR(_xlfn.LET(_xlpm.ai_test,TRIM(AI80),_xlpm.r,IFERROR(_xlfn.XLOOKUP(_xlpm.ai_test,$BI$15:$BI$62,ROW($BI$15:$BI$62),0,1),IFERROR(_xlfn.XLOOKUP(_xlpm.ai_test,$BJ$15:$BJ$62,ROW($BJ$15:$BJ$62),0,1),_xlfn.XLOOKUP(_xlpm.ai_test,$BK$15:$BK$62,ROW($BK$15:$BK$62),0,1))),_xlpm.p,_xlpm.r-MIN(ROW($BI$15:$BI$62))+1,_xlpm.f,INDEX($BL$15:$BL$62,_xlpm.p),_xlpm.u,INDEX($BM$15:$BM$62,_xlpm.p),_xlpm.s,INDEX($BO$15:$BO$62,_xlpm.p),_xlpm.q,N(AT80)/_xlpm.f,IF(_xlpm.q&gt;=_xlpm.s,ROUND(_xlpm.q,1)&amp;" "&amp;_xlpm.ai_test&amp;" = "&amp;ROUND(_xlpm.q*_xlpm.f,1)&amp;" "&amp;_xlpm.u,ROUND(_xlpm.q,1)&amp;" "&amp;_xlpm.ai_test)),""),""))))</f>
        <v>0</v>
      </c>
      <c r="AW80" s="1047"/>
      <c r="AX80" s="1034">
        <f t="shared" si="29"/>
        <v>0</v>
      </c>
      <c r="AY80" s="1035" t="str">
        <f t="shared" si="30"/>
        <v/>
      </c>
      <c r="AZ80" s="1036">
        <f t="shared" si="36"/>
        <v>0</v>
      </c>
      <c r="BA80" s="1037" t="str">
        <f t="shared" si="31"/>
        <v/>
      </c>
      <c r="BB80" s="1038">
        <v>1.5</v>
      </c>
      <c r="BC80" s="1039">
        <f t="shared" si="38"/>
        <v>0</v>
      </c>
      <c r="BD80" s="1040" t="str">
        <f t="shared" si="33"/>
        <v/>
      </c>
      <c r="BE80" s="227" t="s">
        <v>22</v>
      </c>
      <c r="BF80" s="1019">
        <f t="shared" si="34"/>
        <v>0</v>
      </c>
      <c r="BG80" s="1020">
        <f t="shared" si="35"/>
        <v>0</v>
      </c>
      <c r="BI80" s="5199">
        <v>2.835E-2</v>
      </c>
      <c r="BJ80" s="5227">
        <v>0.13</v>
      </c>
      <c r="BK80" s="5228">
        <v>0</v>
      </c>
      <c r="BL80" s="5227">
        <v>0.2</v>
      </c>
      <c r="BM80" s="5227">
        <v>0.23</v>
      </c>
      <c r="BN80" s="5227">
        <v>0.22500000000000001</v>
      </c>
      <c r="BO80" s="5229">
        <v>0.35</v>
      </c>
      <c r="BP80" s="5229">
        <v>5.0000000000000001E-3</v>
      </c>
      <c r="BQ80" s="5229">
        <v>5.0000000000000001E-3</v>
      </c>
      <c r="BR80" s="5229">
        <v>1.4999999999999999E-2</v>
      </c>
      <c r="BS80" s="5229">
        <v>0.1</v>
      </c>
      <c r="BT80" s="5229">
        <v>0.22500000000000001</v>
      </c>
      <c r="BU80" s="5206">
        <v>1E-3</v>
      </c>
      <c r="BV80"/>
      <c r="BW80" s="959" t="str">
        <f t="shared" si="45"/>
        <v>►</v>
      </c>
      <c r="BX80" s="372"/>
      <c r="BY80" s="372"/>
      <c r="BZ80" s="372"/>
      <c r="CA80" s="372"/>
      <c r="CB80" s="372"/>
      <c r="CC80" s="957"/>
      <c r="CD80"/>
      <c r="CE80"/>
      <c r="CF80"/>
      <c r="CG80"/>
      <c r="CH80"/>
      <c r="CI80"/>
      <c r="CJ80"/>
      <c r="CL80"/>
      <c r="CM80"/>
      <c r="CN80"/>
      <c r="CO80"/>
      <c r="CP80"/>
      <c r="CQ80"/>
      <c r="CR80"/>
      <c r="CT80"/>
      <c r="CU80"/>
      <c r="CV80"/>
      <c r="CW80"/>
      <c r="CX80"/>
      <c r="CY80"/>
      <c r="CZ80"/>
      <c r="DB80" s="3">
        <v>1</v>
      </c>
    </row>
    <row r="81" spans="1:106" s="709" customFormat="1" ht="21" customHeight="1" thickBot="1">
      <c r="A81" s="936" t="s">
        <v>22</v>
      </c>
      <c r="B81" s="952" t="str">
        <f t="shared" si="44"/>
        <v>►</v>
      </c>
      <c r="C81" s="993" cm="1">
        <f t="array" ref="C81">SUMPRODUCT(LEN(D81:J81))</f>
        <v>0</v>
      </c>
      <c r="D81" s="167"/>
      <c r="E81" s="172"/>
      <c r="F81" s="172"/>
      <c r="G81" s="172"/>
      <c r="H81" s="172"/>
      <c r="I81" s="172"/>
      <c r="J81" s="173"/>
      <c r="K81" s="442" t="s">
        <v>22</v>
      </c>
      <c r="L81" s="104" t="s">
        <v>16</v>
      </c>
      <c r="M81" s="1172"/>
      <c r="N81" s="1172"/>
      <c r="O81" s="1172"/>
      <c r="P81" s="1173"/>
      <c r="Q81" s="1174"/>
      <c r="R81" s="1175"/>
      <c r="S81" s="1176"/>
      <c r="T81" s="1177"/>
      <c r="U81" s="5248"/>
      <c r="V81" s="1177"/>
      <c r="W81" s="5249"/>
      <c r="X81" s="5208"/>
      <c r="Y81" s="5209"/>
      <c r="Z81" s="5210"/>
      <c r="AA81" s="5211"/>
      <c r="AB81" s="1178"/>
      <c r="AC81" s="1179"/>
      <c r="AD81" s="227" t="s">
        <v>22</v>
      </c>
      <c r="AE81" s="1027" t="str">
        <f t="shared" si="15"/>
        <v>►</v>
      </c>
      <c r="AF81" s="1028" t="str">
        <f t="shared" si="16"/>
        <v/>
      </c>
      <c r="AG81" s="1029" t="str">
        <f t="shared" si="17"/>
        <v/>
      </c>
      <c r="AH81" s="1028" t="str">
        <f t="shared" si="18"/>
        <v/>
      </c>
      <c r="AI81" s="1029" t="str">
        <f t="shared" si="19"/>
        <v/>
      </c>
      <c r="AJ81" s="1029">
        <f t="shared" si="20"/>
        <v>0</v>
      </c>
      <c r="AK81" s="5263" t="str" cm="1">
        <f t="array" ref="AK81">IF(AE81&lt;&gt;"A","",IFERROR((IFERROR(_xlfn.XLOOKUP(TRIM(SUBSTITUTE(U81,CHAR(160)," ")),$BI$15:$BI$62,$BL$15:$BL$62),IFERROR(_xlfn.XLOOKUP(TRIM(SUBSTITUTE(U81,CHAR(160)," ")),$BJ$15:$BJ$62,$BL$15:$BL$62),_xlfn.XLOOKUP(TRIM(SUBSTITUTE(U81,CHAR(160)," ")),$BK$15:$BK$62,$BL$15:$BL$62))))*T81*IF(ISBLANK(Q81),1,Q81)+IFERROR(_xlfn.XLOOKUP("RECHERCHEX",TRIM(L81:AC81),L81:AC81),0),0))</f>
        <v/>
      </c>
      <c r="AL81" s="1030">
        <f t="shared" si="21"/>
        <v>0</v>
      </c>
      <c r="AM81" s="5254" t="str">
        <f t="shared" si="40"/>
        <v/>
      </c>
      <c r="AN81" s="1031">
        <f t="shared" si="23"/>
        <v>0</v>
      </c>
      <c r="AO81" s="1031">
        <f t="shared" si="24"/>
        <v>0</v>
      </c>
      <c r="AP81" s="1044">
        <f t="shared" si="25"/>
        <v>0</v>
      </c>
      <c r="AQ81" s="5257" t="str">
        <f t="shared" si="26"/>
        <v/>
      </c>
      <c r="AR81" s="5264"/>
      <c r="AS81" s="1033"/>
      <c r="AT81" s="1045">
        <f t="shared" si="27"/>
        <v>0</v>
      </c>
      <c r="AU81" s="1046">
        <f t="shared" si="28"/>
        <v>0</v>
      </c>
      <c r="AV81" s="1059" cm="1">
        <f t="array" ref="AV81">IF(AJ81&lt;&gt;1,0,IF(OR(AT81="",N(AT81)&lt;=0.000000001),"",IF(OR(AN81="",N(AN81)&lt;=0.000000001),0,IF(ISNUMBER(AT81),IFERROR(_xlfn.LET(_xlpm.ai_test,TRIM(AI81),_xlpm.r,IFERROR(_xlfn.XLOOKUP(_xlpm.ai_test,$BI$15:$BI$62,ROW($BI$15:$BI$62),0,1),IFERROR(_xlfn.XLOOKUP(_xlpm.ai_test,$BJ$15:$BJ$62,ROW($BJ$15:$BJ$62),0,1),_xlfn.XLOOKUP(_xlpm.ai_test,$BK$15:$BK$62,ROW($BK$15:$BK$62),0,1))),_xlpm.p,_xlpm.r-MIN(ROW($BI$15:$BI$62))+1,_xlpm.f,INDEX($BL$15:$BL$62,_xlpm.p),_xlpm.u,INDEX($BM$15:$BM$62,_xlpm.p),_xlpm.s,INDEX($BO$15:$BO$62,_xlpm.p),_xlpm.q,N(AT81)/_xlpm.f,IF(_xlpm.q&gt;=_xlpm.s,ROUND(_xlpm.q,1)&amp;" "&amp;_xlpm.ai_test&amp;" = "&amp;ROUND(_xlpm.q*_xlpm.f,1)&amp;" "&amp;_xlpm.u,ROUND(_xlpm.q,1)&amp;" "&amp;_xlpm.ai_test)),""),""))))</f>
        <v>0</v>
      </c>
      <c r="AW81" s="1047"/>
      <c r="AX81" s="1045">
        <f t="shared" si="29"/>
        <v>0</v>
      </c>
      <c r="AY81" s="1046" t="str">
        <f t="shared" si="30"/>
        <v/>
      </c>
      <c r="AZ81" s="1048">
        <f t="shared" si="36"/>
        <v>0</v>
      </c>
      <c r="BA81" s="1049" t="str">
        <f t="shared" si="31"/>
        <v/>
      </c>
      <c r="BB81" s="1038">
        <v>1.5</v>
      </c>
      <c r="BC81" s="1050">
        <f t="shared" si="38"/>
        <v>0</v>
      </c>
      <c r="BD81" s="1040" t="str">
        <f t="shared" si="33"/>
        <v/>
      </c>
      <c r="BE81" s="227" t="s">
        <v>22</v>
      </c>
      <c r="BF81" s="1019">
        <f t="shared" si="34"/>
        <v>0</v>
      </c>
      <c r="BG81" s="1020">
        <f t="shared" si="35"/>
        <v>0</v>
      </c>
      <c r="BI81"/>
      <c r="BJ81"/>
      <c r="BK81"/>
      <c r="BL81"/>
      <c r="BM81"/>
      <c r="BN81"/>
      <c r="BO81"/>
      <c r="BP81"/>
      <c r="BQ81"/>
      <c r="BR81"/>
      <c r="BS81"/>
      <c r="BT81"/>
      <c r="BU81"/>
      <c r="BV81"/>
      <c r="BW81" s="959" t="str">
        <f t="shared" si="45"/>
        <v>►</v>
      </c>
      <c r="BX81" s="372"/>
      <c r="BY81" s="372"/>
      <c r="BZ81" s="372"/>
      <c r="CA81" s="372"/>
      <c r="CB81" s="372"/>
      <c r="CC81" s="957"/>
      <c r="CD81"/>
      <c r="CE81"/>
      <c r="CF81"/>
      <c r="CG81"/>
      <c r="CH81"/>
      <c r="CI81"/>
      <c r="CJ81"/>
      <c r="CL81"/>
      <c r="CM81"/>
      <c r="CN81"/>
      <c r="CO81"/>
      <c r="CP81"/>
      <c r="CQ81"/>
      <c r="CR81"/>
      <c r="CT81"/>
      <c r="CU81"/>
      <c r="CV81"/>
      <c r="CW81"/>
      <c r="CX81"/>
      <c r="CY81"/>
      <c r="CZ81"/>
      <c r="DB81" s="3">
        <v>1</v>
      </c>
    </row>
    <row r="82" spans="1:106" s="709" customFormat="1" ht="21" customHeight="1">
      <c r="A82" s="936" t="s">
        <v>22</v>
      </c>
      <c r="B82" s="952" t="str">
        <f t="shared" si="44"/>
        <v>►</v>
      </c>
      <c r="C82" s="993" cm="1">
        <f t="array" ref="C82">SUMPRODUCT(LEN(D82:J82))</f>
        <v>0</v>
      </c>
      <c r="D82" s="167"/>
      <c r="E82" s="172"/>
      <c r="F82" s="172"/>
      <c r="G82" s="172"/>
      <c r="H82" s="172"/>
      <c r="I82" s="172"/>
      <c r="J82" s="173"/>
      <c r="K82" s="442" t="s">
        <v>22</v>
      </c>
      <c r="L82" s="104" t="s">
        <v>16</v>
      </c>
      <c r="M82" s="1172"/>
      <c r="N82" s="1172"/>
      <c r="O82" s="1172"/>
      <c r="P82" s="1173"/>
      <c r="Q82" s="1174"/>
      <c r="R82" s="1175"/>
      <c r="S82" s="1176"/>
      <c r="T82" s="1177"/>
      <c r="U82" s="5248"/>
      <c r="V82" s="1177"/>
      <c r="W82" s="5249"/>
      <c r="X82" s="5208"/>
      <c r="Y82" s="5209"/>
      <c r="Z82" s="5210"/>
      <c r="AA82" s="5211"/>
      <c r="AB82" s="1178"/>
      <c r="AC82" s="1179"/>
      <c r="AD82" s="227" t="s">
        <v>22</v>
      </c>
      <c r="AE82" s="1027" t="str">
        <f t="shared" si="15"/>
        <v>►</v>
      </c>
      <c r="AF82" s="1028" t="str">
        <f t="shared" si="16"/>
        <v/>
      </c>
      <c r="AG82" s="1029" t="str">
        <f t="shared" si="17"/>
        <v/>
      </c>
      <c r="AH82" s="1028" t="str">
        <f t="shared" si="18"/>
        <v/>
      </c>
      <c r="AI82" s="1029" t="str">
        <f t="shared" si="19"/>
        <v/>
      </c>
      <c r="AJ82" s="1029">
        <f t="shared" si="20"/>
        <v>0</v>
      </c>
      <c r="AK82" s="5263" t="str" cm="1">
        <f t="array" ref="AK82">IF(AE82&lt;&gt;"A","",IFERROR((IFERROR(_xlfn.XLOOKUP(TRIM(SUBSTITUTE(U82,CHAR(160)," ")),$BI$15:$BI$62,$BL$15:$BL$62),IFERROR(_xlfn.XLOOKUP(TRIM(SUBSTITUTE(U82,CHAR(160)," ")),$BJ$15:$BJ$62,$BL$15:$BL$62),_xlfn.XLOOKUP(TRIM(SUBSTITUTE(U82,CHAR(160)," ")),$BK$15:$BK$62,$BL$15:$BL$62))))*T82*IF(ISBLANK(Q82),1,Q82)+IFERROR(_xlfn.XLOOKUP("RECHERCHEX",TRIM(L82:AC82),L82:AC82),0),0))</f>
        <v/>
      </c>
      <c r="AL82" s="1030">
        <f t="shared" si="21"/>
        <v>0</v>
      </c>
      <c r="AM82" s="5254" t="str">
        <f t="shared" si="40"/>
        <v/>
      </c>
      <c r="AN82" s="1031">
        <f t="shared" si="23"/>
        <v>0</v>
      </c>
      <c r="AO82" s="1031">
        <f t="shared" si="24"/>
        <v>0</v>
      </c>
      <c r="AP82" s="1032">
        <f t="shared" si="25"/>
        <v>0</v>
      </c>
      <c r="AQ82" s="5255" t="str">
        <f t="shared" si="26"/>
        <v/>
      </c>
      <c r="AR82" s="5264"/>
      <c r="AS82" s="1033"/>
      <c r="AT82" s="1034">
        <f t="shared" si="27"/>
        <v>0</v>
      </c>
      <c r="AU82" s="1035">
        <f t="shared" si="28"/>
        <v>0</v>
      </c>
      <c r="AV82" s="1057" cm="1">
        <f t="array" ref="AV82">IF(AJ82&lt;&gt;1,0,IF(OR(AT82="",N(AT82)&lt;=0.000000001),"",IF(OR(AN82="",N(AN82)&lt;=0.000000001),0,IF(ISNUMBER(AT82),IFERROR(_xlfn.LET(_xlpm.ai_test,TRIM(AI82),_xlpm.r,IFERROR(_xlfn.XLOOKUP(_xlpm.ai_test,$BI$15:$BI$62,ROW($BI$15:$BI$62),0,1),IFERROR(_xlfn.XLOOKUP(_xlpm.ai_test,$BJ$15:$BJ$62,ROW($BJ$15:$BJ$62),0,1),_xlfn.XLOOKUP(_xlpm.ai_test,$BK$15:$BK$62,ROW($BK$15:$BK$62),0,1))),_xlpm.p,_xlpm.r-MIN(ROW($BI$15:$BI$62))+1,_xlpm.f,INDEX($BL$15:$BL$62,_xlpm.p),_xlpm.u,INDEX($BM$15:$BM$62,_xlpm.p),_xlpm.s,INDEX($BO$15:$BO$62,_xlpm.p),_xlpm.q,N(AT82)/_xlpm.f,IF(_xlpm.q&gt;=_xlpm.s,ROUND(_xlpm.q,1)&amp;" "&amp;_xlpm.ai_test&amp;" = "&amp;ROUND(_xlpm.q*_xlpm.f,1)&amp;" "&amp;_xlpm.u,ROUND(_xlpm.q,1)&amp;" "&amp;_xlpm.ai_test)),""),""))))</f>
        <v>0</v>
      </c>
      <c r="AW82" s="1047"/>
      <c r="AX82" s="1034">
        <f t="shared" si="29"/>
        <v>0</v>
      </c>
      <c r="AY82" s="1035" t="str">
        <f t="shared" si="30"/>
        <v/>
      </c>
      <c r="AZ82" s="1036">
        <f t="shared" si="36"/>
        <v>0</v>
      </c>
      <c r="BA82" s="1037" t="str">
        <f t="shared" si="31"/>
        <v/>
      </c>
      <c r="BB82" s="1038">
        <v>1.5</v>
      </c>
      <c r="BC82" s="1039">
        <f t="shared" si="38"/>
        <v>0</v>
      </c>
      <c r="BD82" s="1040" t="str">
        <f t="shared" si="33"/>
        <v/>
      </c>
      <c r="BE82" s="227" t="s">
        <v>22</v>
      </c>
      <c r="BF82" s="1019">
        <f t="shared" si="34"/>
        <v>0</v>
      </c>
      <c r="BG82" s="1020">
        <f t="shared" si="35"/>
        <v>0</v>
      </c>
      <c r="BI82" s="5539" t="s">
        <v>1959</v>
      </c>
      <c r="BJ82" s="5540"/>
      <c r="BK82" s="5540"/>
      <c r="BL82" s="5540"/>
      <c r="BM82" s="5540"/>
      <c r="BN82" s="5540"/>
      <c r="BO82" s="5540"/>
      <c r="BP82" s="5540"/>
      <c r="BQ82" s="5540"/>
      <c r="BR82" s="5540"/>
      <c r="BS82" s="5540"/>
      <c r="BT82" s="5540"/>
      <c r="BU82" s="5541"/>
      <c r="BV82"/>
      <c r="BW82" s="959" t="str">
        <f t="shared" si="45"/>
        <v>►</v>
      </c>
      <c r="BX82" s="372"/>
      <c r="BY82" s="372"/>
      <c r="BZ82" s="372"/>
      <c r="CA82" s="372"/>
      <c r="CB82" s="372"/>
      <c r="CC82" s="957"/>
      <c r="CD82"/>
      <c r="CE82"/>
      <c r="CF82"/>
      <c r="CG82"/>
      <c r="CH82"/>
      <c r="CI82"/>
      <c r="CJ82"/>
      <c r="CL82"/>
      <c r="CM82"/>
      <c r="CN82"/>
      <c r="CO82"/>
      <c r="CP82"/>
      <c r="CQ82"/>
      <c r="CR82"/>
      <c r="CT82"/>
      <c r="CU82"/>
      <c r="CV82"/>
      <c r="CW82"/>
      <c r="CX82"/>
      <c r="CY82"/>
      <c r="CZ82"/>
      <c r="DB82" s="3">
        <v>1</v>
      </c>
    </row>
    <row r="83" spans="1:106" s="709" customFormat="1" ht="21" customHeight="1">
      <c r="A83" s="936" t="s">
        <v>22</v>
      </c>
      <c r="B83" s="952" t="str">
        <f t="shared" si="44"/>
        <v>►</v>
      </c>
      <c r="C83" s="993" cm="1">
        <f t="array" ref="C83">SUMPRODUCT(LEN(D83:J83))</f>
        <v>0</v>
      </c>
      <c r="D83" s="167"/>
      <c r="E83" s="172"/>
      <c r="F83" s="172"/>
      <c r="G83" s="172"/>
      <c r="H83" s="172"/>
      <c r="I83" s="172"/>
      <c r="J83" s="173"/>
      <c r="K83" s="442" t="s">
        <v>22</v>
      </c>
      <c r="L83" s="104" t="s">
        <v>16</v>
      </c>
      <c r="M83" s="1172"/>
      <c r="N83" s="1172"/>
      <c r="O83" s="1172"/>
      <c r="P83" s="1173"/>
      <c r="Q83" s="1174"/>
      <c r="R83" s="1175"/>
      <c r="S83" s="1176"/>
      <c r="T83" s="1177"/>
      <c r="U83" s="5248"/>
      <c r="V83" s="1177"/>
      <c r="W83" s="5249"/>
      <c r="X83" s="5208"/>
      <c r="Y83" s="5209"/>
      <c r="Z83" s="5210"/>
      <c r="AA83" s="5211"/>
      <c r="AB83" s="1178"/>
      <c r="AC83" s="1179"/>
      <c r="AD83" s="227" t="s">
        <v>22</v>
      </c>
      <c r="AE83" s="1027" t="str">
        <f t="shared" si="15"/>
        <v>►</v>
      </c>
      <c r="AF83" s="1028" t="str">
        <f t="shared" si="16"/>
        <v/>
      </c>
      <c r="AG83" s="1029" t="str">
        <f t="shared" si="17"/>
        <v/>
      </c>
      <c r="AH83" s="1028" t="str">
        <f t="shared" si="18"/>
        <v/>
      </c>
      <c r="AI83" s="1029" t="str">
        <f t="shared" si="19"/>
        <v/>
      </c>
      <c r="AJ83" s="1029">
        <f t="shared" si="20"/>
        <v>0</v>
      </c>
      <c r="AK83" s="5263" t="str" cm="1">
        <f t="array" ref="AK83">IF(AE83&lt;&gt;"A","",IFERROR((IFERROR(_xlfn.XLOOKUP(TRIM(SUBSTITUTE(U83,CHAR(160)," ")),$BI$15:$BI$62,$BL$15:$BL$62),IFERROR(_xlfn.XLOOKUP(TRIM(SUBSTITUTE(U83,CHAR(160)," ")),$BJ$15:$BJ$62,$BL$15:$BL$62),_xlfn.XLOOKUP(TRIM(SUBSTITUTE(U83,CHAR(160)," ")),$BK$15:$BK$62,$BL$15:$BL$62))))*T83*IF(ISBLANK(Q83),1,Q83)+IFERROR(_xlfn.XLOOKUP("RECHERCHEX",TRIM(L83:AC83),L83:AC83),0),0))</f>
        <v/>
      </c>
      <c r="AL83" s="1030">
        <f t="shared" si="21"/>
        <v>0</v>
      </c>
      <c r="AM83" s="5254" t="str">
        <f t="shared" si="40"/>
        <v/>
      </c>
      <c r="AN83" s="1031">
        <f t="shared" si="23"/>
        <v>0</v>
      </c>
      <c r="AO83" s="1031">
        <f t="shared" si="24"/>
        <v>0</v>
      </c>
      <c r="AP83" s="1044">
        <f t="shared" si="25"/>
        <v>0</v>
      </c>
      <c r="AQ83" s="5257" t="str">
        <f t="shared" si="26"/>
        <v/>
      </c>
      <c r="AR83" s="5264"/>
      <c r="AS83" s="1033"/>
      <c r="AT83" s="1045">
        <f t="shared" si="27"/>
        <v>0</v>
      </c>
      <c r="AU83" s="1046">
        <f t="shared" si="28"/>
        <v>0</v>
      </c>
      <c r="AV83" s="1059" cm="1">
        <f t="array" ref="AV83">IF(AJ83&lt;&gt;1,0,IF(OR(AT83="",N(AT83)&lt;=0.000000001),"",IF(OR(AN83="",N(AN83)&lt;=0.000000001),0,IF(ISNUMBER(AT83),IFERROR(_xlfn.LET(_xlpm.ai_test,TRIM(AI83),_xlpm.r,IFERROR(_xlfn.XLOOKUP(_xlpm.ai_test,$BI$15:$BI$62,ROW($BI$15:$BI$62),0,1),IFERROR(_xlfn.XLOOKUP(_xlpm.ai_test,$BJ$15:$BJ$62,ROW($BJ$15:$BJ$62),0,1),_xlfn.XLOOKUP(_xlpm.ai_test,$BK$15:$BK$62,ROW($BK$15:$BK$62),0,1))),_xlpm.p,_xlpm.r-MIN(ROW($BI$15:$BI$62))+1,_xlpm.f,INDEX($BL$15:$BL$62,_xlpm.p),_xlpm.u,INDEX($BM$15:$BM$62,_xlpm.p),_xlpm.s,INDEX($BO$15:$BO$62,_xlpm.p),_xlpm.q,N(AT83)/_xlpm.f,IF(_xlpm.q&gt;=_xlpm.s,ROUND(_xlpm.q,1)&amp;" "&amp;_xlpm.ai_test&amp;" = "&amp;ROUND(_xlpm.q*_xlpm.f,1)&amp;" "&amp;_xlpm.u,ROUND(_xlpm.q,1)&amp;" "&amp;_xlpm.ai_test)),""),""))))</f>
        <v>0</v>
      </c>
      <c r="AW83" s="1047"/>
      <c r="AX83" s="1045">
        <f t="shared" si="29"/>
        <v>0</v>
      </c>
      <c r="AY83" s="1046" t="str">
        <f t="shared" si="30"/>
        <v/>
      </c>
      <c r="AZ83" s="1048">
        <f t="shared" si="36"/>
        <v>0</v>
      </c>
      <c r="BA83" s="1049" t="str">
        <f t="shared" si="31"/>
        <v/>
      </c>
      <c r="BB83" s="1038">
        <v>1.5</v>
      </c>
      <c r="BC83" s="1050">
        <f t="shared" si="38"/>
        <v>0</v>
      </c>
      <c r="BD83" s="1040" t="str">
        <f t="shared" si="33"/>
        <v/>
      </c>
      <c r="BE83" s="227" t="s">
        <v>22</v>
      </c>
      <c r="BF83" s="1019">
        <f t="shared" si="34"/>
        <v>0</v>
      </c>
      <c r="BG83" s="1020">
        <f t="shared" si="35"/>
        <v>0</v>
      </c>
      <c r="BI83" s="5542"/>
      <c r="BJ83" s="5543"/>
      <c r="BK83" s="5543"/>
      <c r="BL83" s="5543"/>
      <c r="BM83" s="5543"/>
      <c r="BN83" s="5543"/>
      <c r="BO83" s="5543"/>
      <c r="BP83" s="5543"/>
      <c r="BQ83" s="5543"/>
      <c r="BR83" s="5543"/>
      <c r="BS83" s="5543"/>
      <c r="BT83" s="5543"/>
      <c r="BU83" s="5544"/>
      <c r="BV83"/>
      <c r="BW83" s="959" t="str">
        <f t="shared" si="45"/>
        <v>►</v>
      </c>
      <c r="BX83" s="372"/>
      <c r="BY83" s="372"/>
      <c r="BZ83" s="372"/>
      <c r="CA83" s="372"/>
      <c r="CB83" s="372"/>
      <c r="CC83" s="957"/>
      <c r="CD83"/>
      <c r="CE83"/>
      <c r="CF83"/>
      <c r="CG83"/>
      <c r="CH83"/>
      <c r="CI83"/>
      <c r="CJ83"/>
      <c r="CL83"/>
      <c r="CM83"/>
      <c r="CN83"/>
      <c r="CO83"/>
      <c r="CP83"/>
      <c r="CQ83"/>
      <c r="CR83"/>
      <c r="CT83"/>
      <c r="CU83"/>
      <c r="CV83"/>
      <c r="CW83"/>
      <c r="CX83"/>
      <c r="CY83"/>
      <c r="CZ83"/>
      <c r="DB83" s="3">
        <v>1</v>
      </c>
    </row>
    <row r="84" spans="1:106" s="709" customFormat="1" ht="21" customHeight="1">
      <c r="A84" s="936" t="s">
        <v>22</v>
      </c>
      <c r="B84" s="952" t="str">
        <f t="shared" si="44"/>
        <v>►</v>
      </c>
      <c r="C84" s="993" cm="1">
        <f t="array" ref="C84">SUMPRODUCT(LEN(D84:J84))</f>
        <v>0</v>
      </c>
      <c r="D84" s="167"/>
      <c r="E84" s="172"/>
      <c r="F84" s="172"/>
      <c r="G84" s="172"/>
      <c r="H84" s="172"/>
      <c r="I84" s="172"/>
      <c r="J84" s="173"/>
      <c r="K84" s="442" t="s">
        <v>22</v>
      </c>
      <c r="L84" s="104" t="s">
        <v>16</v>
      </c>
      <c r="M84" s="1172"/>
      <c r="N84" s="1172"/>
      <c r="O84" s="1172"/>
      <c r="P84" s="1173"/>
      <c r="Q84" s="1174"/>
      <c r="R84" s="1175"/>
      <c r="S84" s="1176"/>
      <c r="T84" s="1177"/>
      <c r="U84" s="5248"/>
      <c r="V84" s="1177"/>
      <c r="W84" s="5249"/>
      <c r="X84" s="5208"/>
      <c r="Y84" s="5209"/>
      <c r="Z84" s="5210"/>
      <c r="AA84" s="5211"/>
      <c r="AB84" s="1178"/>
      <c r="AC84" s="1179"/>
      <c r="AD84" s="227" t="s">
        <v>22</v>
      </c>
      <c r="AE84" s="1027" t="str">
        <f t="shared" si="15"/>
        <v>►</v>
      </c>
      <c r="AF84" s="1028" t="str">
        <f t="shared" si="16"/>
        <v/>
      </c>
      <c r="AG84" s="1029" t="str">
        <f t="shared" si="17"/>
        <v/>
      </c>
      <c r="AH84" s="1028" t="str">
        <f t="shared" si="18"/>
        <v/>
      </c>
      <c r="AI84" s="1029" t="str">
        <f t="shared" si="19"/>
        <v/>
      </c>
      <c r="AJ84" s="1029">
        <f t="shared" si="20"/>
        <v>0</v>
      </c>
      <c r="AK84" s="5263" t="str" cm="1">
        <f t="array" ref="AK84">IF(AE84&lt;&gt;"A","",IFERROR((IFERROR(_xlfn.XLOOKUP(TRIM(SUBSTITUTE(U84,CHAR(160)," ")),$BI$15:$BI$62,$BL$15:$BL$62),IFERROR(_xlfn.XLOOKUP(TRIM(SUBSTITUTE(U84,CHAR(160)," ")),$BJ$15:$BJ$62,$BL$15:$BL$62),_xlfn.XLOOKUP(TRIM(SUBSTITUTE(U84,CHAR(160)," ")),$BK$15:$BK$62,$BL$15:$BL$62))))*T84*IF(ISBLANK(Q84),1,Q84)+IFERROR(_xlfn.XLOOKUP("RECHERCHEX",TRIM(L84:AC84),L84:AC84),0),0))</f>
        <v/>
      </c>
      <c r="AL84" s="1030">
        <f t="shared" si="21"/>
        <v>0</v>
      </c>
      <c r="AM84" s="5254" t="str">
        <f t="shared" si="40"/>
        <v/>
      </c>
      <c r="AN84" s="1031">
        <f t="shared" si="23"/>
        <v>0</v>
      </c>
      <c r="AO84" s="1031">
        <f t="shared" si="24"/>
        <v>0</v>
      </c>
      <c r="AP84" s="1032">
        <f t="shared" si="25"/>
        <v>0</v>
      </c>
      <c r="AQ84" s="5255" t="str">
        <f t="shared" si="26"/>
        <v/>
      </c>
      <c r="AR84" s="5264"/>
      <c r="AS84" s="1033"/>
      <c r="AT84" s="1034">
        <f t="shared" si="27"/>
        <v>0</v>
      </c>
      <c r="AU84" s="1035">
        <f t="shared" si="28"/>
        <v>0</v>
      </c>
      <c r="AV84" s="1057" cm="1">
        <f t="array" ref="AV84">IF(AJ84&lt;&gt;1,0,IF(OR(AT84="",N(AT84)&lt;=0.000000001),"",IF(OR(AN84="",N(AN84)&lt;=0.000000001),0,IF(ISNUMBER(AT84),IFERROR(_xlfn.LET(_xlpm.ai_test,TRIM(AI84),_xlpm.r,IFERROR(_xlfn.XLOOKUP(_xlpm.ai_test,$BI$15:$BI$62,ROW($BI$15:$BI$62),0,1),IFERROR(_xlfn.XLOOKUP(_xlpm.ai_test,$BJ$15:$BJ$62,ROW($BJ$15:$BJ$62),0,1),_xlfn.XLOOKUP(_xlpm.ai_test,$BK$15:$BK$62,ROW($BK$15:$BK$62),0,1))),_xlpm.p,_xlpm.r-MIN(ROW($BI$15:$BI$62))+1,_xlpm.f,INDEX($BL$15:$BL$62,_xlpm.p),_xlpm.u,INDEX($BM$15:$BM$62,_xlpm.p),_xlpm.s,INDEX($BO$15:$BO$62,_xlpm.p),_xlpm.q,N(AT84)/_xlpm.f,IF(_xlpm.q&gt;=_xlpm.s,ROUND(_xlpm.q,1)&amp;" "&amp;_xlpm.ai_test&amp;" = "&amp;ROUND(_xlpm.q*_xlpm.f,1)&amp;" "&amp;_xlpm.u,ROUND(_xlpm.q,1)&amp;" "&amp;_xlpm.ai_test)),""),""))))</f>
        <v>0</v>
      </c>
      <c r="AW84" s="1047"/>
      <c r="AX84" s="1034">
        <f t="shared" si="29"/>
        <v>0</v>
      </c>
      <c r="AY84" s="1035" t="str">
        <f t="shared" si="30"/>
        <v/>
      </c>
      <c r="AZ84" s="1036">
        <f t="shared" si="36"/>
        <v>0</v>
      </c>
      <c r="BA84" s="1037" t="str">
        <f t="shared" si="31"/>
        <v/>
      </c>
      <c r="BB84" s="1038">
        <v>1.5</v>
      </c>
      <c r="BC84" s="1039">
        <f t="shared" si="38"/>
        <v>0</v>
      </c>
      <c r="BD84" s="1040" t="str">
        <f t="shared" si="33"/>
        <v/>
      </c>
      <c r="BE84" s="227" t="s">
        <v>22</v>
      </c>
      <c r="BF84" s="1019">
        <f t="shared" si="34"/>
        <v>0</v>
      </c>
      <c r="BG84" s="1020">
        <f t="shared" si="35"/>
        <v>0</v>
      </c>
      <c r="BI84" s="709" t="s">
        <v>2620</v>
      </c>
      <c r="BV84"/>
      <c r="BW84" s="959" t="str">
        <f t="shared" si="45"/>
        <v>►</v>
      </c>
      <c r="BX84" s="1111" t="s">
        <v>1960</v>
      </c>
      <c r="BY84" s="276"/>
      <c r="BZ84" s="276"/>
      <c r="CA84" s="276"/>
      <c r="CB84" s="276"/>
      <c r="CC84" s="957"/>
      <c r="CD84"/>
      <c r="CE84"/>
      <c r="CF84"/>
      <c r="CG84"/>
      <c r="CH84"/>
      <c r="CI84"/>
      <c r="CJ84"/>
      <c r="CL84"/>
      <c r="CM84"/>
      <c r="CN84"/>
      <c r="CO84"/>
      <c r="CP84"/>
      <c r="CQ84"/>
      <c r="CR84"/>
      <c r="CT84"/>
      <c r="CU84"/>
      <c r="CV84"/>
      <c r="CW84"/>
      <c r="CX84"/>
      <c r="CY84"/>
      <c r="CZ84"/>
      <c r="DB84" s="3">
        <v>1</v>
      </c>
    </row>
    <row r="85" spans="1:106" s="709" customFormat="1" ht="21" customHeight="1">
      <c r="A85" s="936" t="s">
        <v>22</v>
      </c>
      <c r="B85" s="952" t="str">
        <f t="shared" si="44"/>
        <v>►</v>
      </c>
      <c r="C85" s="993" cm="1">
        <f t="array" ref="C85">SUMPRODUCT(LEN(D85:J85))</f>
        <v>0</v>
      </c>
      <c r="D85" s="167"/>
      <c r="E85" s="172"/>
      <c r="F85" s="172"/>
      <c r="G85" s="172"/>
      <c r="H85" s="172"/>
      <c r="I85" s="172"/>
      <c r="J85" s="173"/>
      <c r="K85" s="442" t="s">
        <v>22</v>
      </c>
      <c r="L85" s="104" t="s">
        <v>16</v>
      </c>
      <c r="M85" s="1172"/>
      <c r="N85" s="1172"/>
      <c r="O85" s="1172"/>
      <c r="P85" s="1173"/>
      <c r="Q85" s="1174"/>
      <c r="R85" s="1175"/>
      <c r="S85" s="1176"/>
      <c r="T85" s="1177"/>
      <c r="U85" s="5248"/>
      <c r="V85" s="1177"/>
      <c r="W85" s="5249"/>
      <c r="X85" s="5208"/>
      <c r="Y85" s="5209"/>
      <c r="Z85" s="5210"/>
      <c r="AA85" s="5211"/>
      <c r="AB85" s="1178"/>
      <c r="AC85" s="1179"/>
      <c r="AD85" s="227" t="s">
        <v>22</v>
      </c>
      <c r="AE85" s="1027" t="str">
        <f t="shared" si="15"/>
        <v>►</v>
      </c>
      <c r="AF85" s="1028" t="str">
        <f t="shared" si="16"/>
        <v/>
      </c>
      <c r="AG85" s="1029" t="str">
        <f t="shared" si="17"/>
        <v/>
      </c>
      <c r="AH85" s="1028" t="str">
        <f t="shared" si="18"/>
        <v/>
      </c>
      <c r="AI85" s="1029" t="str">
        <f t="shared" si="19"/>
        <v/>
      </c>
      <c r="AJ85" s="1029">
        <f t="shared" si="20"/>
        <v>0</v>
      </c>
      <c r="AK85" s="1043" t="str" cm="1">
        <f t="array" ref="AK85">IF(AE85&lt;&gt;"A","",IFERROR((IFERROR(_xlfn.XLOOKUP(TRIM(SUBSTITUTE(U85,CHAR(160)," ")),$BI$15:$BI$62,$BL$15:$BL$62),IFERROR(_xlfn.XLOOKUP(TRIM(SUBSTITUTE(U85,CHAR(160)," ")),$BJ$15:$BJ$62,$BL$15:$BL$62),_xlfn.XLOOKUP(TRIM(SUBSTITUTE(U85,CHAR(160)," ")),$BK$15:$BK$62,$BL$15:$BL$62))))*T85*IF(ISBLANK(Q85),1,Q85)+IFERROR(_xlfn.XLOOKUP("RECHERCHEX",TRIM(L85:AC85),L85:AC85),0),0))</f>
        <v/>
      </c>
      <c r="AL85" s="1030">
        <f t="shared" si="21"/>
        <v>0</v>
      </c>
      <c r="AM85" s="5254" t="str">
        <f t="shared" si="40"/>
        <v/>
      </c>
      <c r="AN85" s="1031">
        <f t="shared" si="23"/>
        <v>0</v>
      </c>
      <c r="AO85" s="1031">
        <f t="shared" si="24"/>
        <v>0</v>
      </c>
      <c r="AP85" s="1044">
        <f t="shared" si="25"/>
        <v>0</v>
      </c>
      <c r="AQ85" s="5257" t="str">
        <f t="shared" si="26"/>
        <v/>
      </c>
      <c r="AR85" s="1056"/>
      <c r="AS85" s="1056"/>
      <c r="AT85" s="1045">
        <f t="shared" si="27"/>
        <v>0</v>
      </c>
      <c r="AU85" s="1046">
        <f t="shared" si="28"/>
        <v>0</v>
      </c>
      <c r="AV85" s="1059" cm="1">
        <f t="array" ref="AV85">IF(AJ85&lt;&gt;1,0,IF(OR(AT85="",N(AT85)&lt;=0.000000001),"",IF(OR(AN85="",N(AN85)&lt;=0.000000001),0,IF(ISNUMBER(AT85),IFERROR(_xlfn.LET(_xlpm.ai_test,TRIM(AI85),_xlpm.r,IFERROR(_xlfn.XLOOKUP(_xlpm.ai_test,$BI$15:$BI$62,ROW($BI$15:$BI$62),0,1),IFERROR(_xlfn.XLOOKUP(_xlpm.ai_test,$BJ$15:$BJ$62,ROW($BJ$15:$BJ$62),0,1),_xlfn.XLOOKUP(_xlpm.ai_test,$BK$15:$BK$62,ROW($BK$15:$BK$62),0,1))),_xlpm.p,_xlpm.r-MIN(ROW($BI$15:$BI$62))+1,_xlpm.f,INDEX($BL$15:$BL$62,_xlpm.p),_xlpm.u,INDEX($BM$15:$BM$62,_xlpm.p),_xlpm.s,INDEX($BO$15:$BO$62,_xlpm.p),_xlpm.q,N(AT85)/_xlpm.f,IF(_xlpm.q&gt;=_xlpm.s,ROUND(_xlpm.q,1)&amp;" "&amp;_xlpm.ai_test&amp;" = "&amp;ROUND(_xlpm.q*_xlpm.f,1)&amp;" "&amp;_xlpm.u,ROUND(_xlpm.q,1)&amp;" "&amp;_xlpm.ai_test)),""),""))))</f>
        <v>0</v>
      </c>
      <c r="AW85" s="1047"/>
      <c r="AX85" s="1045">
        <f t="shared" si="29"/>
        <v>0</v>
      </c>
      <c r="AY85" s="1046" t="str">
        <f t="shared" si="30"/>
        <v/>
      </c>
      <c r="AZ85" s="1048">
        <f t="shared" si="36"/>
        <v>0</v>
      </c>
      <c r="BA85" s="1049" t="str">
        <f t="shared" si="31"/>
        <v/>
      </c>
      <c r="BB85" s="1038">
        <v>1.5</v>
      </c>
      <c r="BC85" s="1050">
        <f t="shared" si="38"/>
        <v>0</v>
      </c>
      <c r="BD85" s="1040" t="str">
        <f t="shared" si="33"/>
        <v/>
      </c>
      <c r="BE85" s="227" t="s">
        <v>22</v>
      </c>
      <c r="BF85" s="1019">
        <f t="shared" si="34"/>
        <v>0</v>
      </c>
      <c r="BG85" s="1020">
        <f t="shared" si="35"/>
        <v>0</v>
      </c>
      <c r="BI85" s="5251" t="s">
        <v>143</v>
      </c>
      <c r="BJ85" s="5191" t="s">
        <v>99</v>
      </c>
      <c r="BK85" s="5196" t="s">
        <v>1364</v>
      </c>
      <c r="BL85" s="5192" t="s">
        <v>1357</v>
      </c>
      <c r="BM85" s="5192" t="s">
        <v>1358</v>
      </c>
      <c r="BN85" s="5192" t="s">
        <v>1359</v>
      </c>
      <c r="BO85" s="5258" t="s">
        <v>0</v>
      </c>
      <c r="BP85" s="5193" t="s">
        <v>96</v>
      </c>
      <c r="BQ85" s="5193" t="s">
        <v>147</v>
      </c>
      <c r="BR85" s="5258" t="s">
        <v>148</v>
      </c>
      <c r="BS85" s="5194" t="s">
        <v>1360</v>
      </c>
      <c r="BT85" s="5194" t="s">
        <v>1361</v>
      </c>
      <c r="BU85" s="5194" t="s">
        <v>1362</v>
      </c>
      <c r="BV85"/>
      <c r="BW85" s="959" t="str">
        <f t="shared" si="45"/>
        <v>►</v>
      </c>
      <c r="BX85" s="1112" t="s">
        <v>1961</v>
      </c>
      <c r="BY85" s="276"/>
      <c r="BZ85" s="276"/>
      <c r="CA85" s="276"/>
      <c r="CB85" s="276"/>
      <c r="CC85" s="957"/>
      <c r="CD85"/>
      <c r="CE85"/>
      <c r="CF85"/>
      <c r="CG85"/>
      <c r="CH85"/>
      <c r="CI85"/>
      <c r="CJ85"/>
      <c r="CL85"/>
      <c r="CM85"/>
      <c r="CN85"/>
      <c r="CO85"/>
      <c r="CP85"/>
      <c r="CQ85"/>
      <c r="CR85"/>
      <c r="CT85"/>
      <c r="CU85"/>
      <c r="CV85"/>
      <c r="CW85"/>
      <c r="CX85"/>
      <c r="CY85"/>
      <c r="CZ85"/>
      <c r="DB85" s="3">
        <v>1</v>
      </c>
    </row>
    <row r="86" spans="1:106" s="709" customFormat="1" ht="21" customHeight="1">
      <c r="A86" s="936" t="s">
        <v>22</v>
      </c>
      <c r="B86" s="952" t="str">
        <f t="shared" si="44"/>
        <v>►</v>
      </c>
      <c r="C86" s="993" cm="1">
        <f t="array" ref="C86">SUMPRODUCT(LEN(D86:J86))</f>
        <v>0</v>
      </c>
      <c r="D86" s="167"/>
      <c r="E86" s="172"/>
      <c r="F86" s="172"/>
      <c r="G86" s="172"/>
      <c r="H86" s="172"/>
      <c r="I86" s="172"/>
      <c r="J86" s="173"/>
      <c r="K86" s="442" t="s">
        <v>22</v>
      </c>
      <c r="L86" s="104" t="s">
        <v>16</v>
      </c>
      <c r="M86" s="1172"/>
      <c r="N86" s="1172"/>
      <c r="O86" s="1172"/>
      <c r="P86" s="1173"/>
      <c r="Q86" s="1174"/>
      <c r="R86" s="1175"/>
      <c r="S86" s="1176"/>
      <c r="T86" s="1177"/>
      <c r="U86" s="5248"/>
      <c r="V86" s="1177"/>
      <c r="W86" s="5249"/>
      <c r="X86" s="5208"/>
      <c r="Y86" s="5209"/>
      <c r="Z86" s="5210"/>
      <c r="AA86" s="5211"/>
      <c r="AB86" s="1178"/>
      <c r="AC86" s="1179"/>
      <c r="AD86" s="227" t="s">
        <v>22</v>
      </c>
      <c r="AE86" s="1027" t="str">
        <f t="shared" ref="AE86:AE149" si="46">IF(OR(AN86&gt;0,TRIM(AF86)="▼ recette suivante"),"A","►")</f>
        <v>►</v>
      </c>
      <c r="AF86" s="1028" t="str">
        <f t="shared" ref="AF86:AF149" si="47">IF(TRIM(Q86)="Adresse PC","▼ recette suivante",IF(AN86&gt;0,M86,""))</f>
        <v/>
      </c>
      <c r="AG86" s="1029" t="str">
        <f t="shared" ref="AG86:AG149" si="48">IF(AE86="A",N86,"")</f>
        <v/>
      </c>
      <c r="AH86" s="1028" t="str">
        <f t="shared" ref="AH86:AH149" si="49">IF(AE86="A",O86,"")</f>
        <v/>
      </c>
      <c r="AI86" s="1029" t="str">
        <f t="shared" ref="AI86:AI149" si="50">IF(AE86="A",U86,"")</f>
        <v/>
      </c>
      <c r="AJ86" s="1029">
        <f t="shared" ref="AJ86:AJ149" si="51">IF(AND(L86="A",COUNTIF($BI$15:$BK$62,TRIM(U86))&gt;0),1,0)</f>
        <v>0</v>
      </c>
      <c r="AK86" s="1043" t="str" cm="1">
        <f t="array" ref="AK86">IF(AE86&lt;&gt;"A","",IFERROR((IFERROR(_xlfn.XLOOKUP(TRIM(SUBSTITUTE(U86,CHAR(160)," ")),$BI$15:$BI$62,$BL$15:$BL$62),IFERROR(_xlfn.XLOOKUP(TRIM(SUBSTITUTE(U86,CHAR(160)," ")),$BJ$15:$BJ$62,$BL$15:$BL$62),_xlfn.XLOOKUP(TRIM(SUBSTITUTE(U86,CHAR(160)," ")),$BK$15:$BK$62,$BL$15:$BL$62))))*T86*IF(ISBLANK(Q86),1,Q86)+IFERROR(_xlfn.XLOOKUP("RECHERCHEX",TRIM(L86:AC86),L86:AC86),0),0))</f>
        <v/>
      </c>
      <c r="AL86" s="1030">
        <f t="shared" ref="AL86:AL149" si="52">IF(AJ86,IF(AK86&gt;0,"Kg",0),0)</f>
        <v>0</v>
      </c>
      <c r="AM86" s="5254" t="str">
        <f t="shared" si="40"/>
        <v/>
      </c>
      <c r="AN86" s="1031">
        <f t="shared" ref="AN86:AN149" si="53">IF(AJ86,N86,0)</f>
        <v>0</v>
      </c>
      <c r="AO86" s="1031">
        <f t="shared" ref="AO86:AO149" si="54">IF(AJ86,O86,0)</f>
        <v>0</v>
      </c>
      <c r="AP86" s="1032">
        <f t="shared" ref="AP86:AP149" si="55">IF(AN86&gt;0,AR$9,0)</f>
        <v>0</v>
      </c>
      <c r="AQ86" s="5255" t="str">
        <f t="shared" ref="AQ86:AQ149" si="56">IF(TRIM(AF86)="▼ recette suivante", AF86, IF(AP86&gt;0, IF(AS$9&lt;&gt;"", AS$9&amp;"-ou.or.o ❾ + or - &gt;", ""), ""))</f>
        <v/>
      </c>
      <c r="AR86" s="1056"/>
      <c r="AS86" s="1056"/>
      <c r="AT86" s="1034">
        <f t="shared" ref="AT86:AT149" si="57">IF(TRIM(AL86)="Kg",N(AK86)*N(BG86),0)</f>
        <v>0</v>
      </c>
      <c r="AU86" s="1035">
        <f t="shared" ref="AU86:AU149" si="58">IF(AJ86,IF(OR(AT86="",N(AT86)&lt;=0.000000001),"",_xlfn.XLOOKUP(AI86,$BI$15:$BI$62,$BM$15:$BM$62,_xlfn.XLOOKUP(AI86,$BJ$15:$BJ$62,$BM$15:$BM$62,_xlfn.XLOOKUP(AI86,$BK$15:$BK$62,$BM$15:$BM$62,"")))),0)</f>
        <v>0</v>
      </c>
      <c r="AV86" s="1057" cm="1">
        <f t="array" ref="AV86">IF(AJ86&lt;&gt;1,0,IF(OR(AT86="",N(AT86)&lt;=0.000000001),"",IF(OR(AN86="",N(AN86)&lt;=0.000000001),0,IF(ISNUMBER(AT86),IFERROR(_xlfn.LET(_xlpm.ai_test,TRIM(AI86),_xlpm.r,IFERROR(_xlfn.XLOOKUP(_xlpm.ai_test,$BI$15:$BI$62,ROW($BI$15:$BI$62),0,1),IFERROR(_xlfn.XLOOKUP(_xlpm.ai_test,$BJ$15:$BJ$62,ROW($BJ$15:$BJ$62),0,1),_xlfn.XLOOKUP(_xlpm.ai_test,$BK$15:$BK$62,ROW($BK$15:$BK$62),0,1))),_xlpm.p,_xlpm.r-MIN(ROW($BI$15:$BI$62))+1,_xlpm.f,INDEX($BL$15:$BL$62,_xlpm.p),_xlpm.u,INDEX($BM$15:$BM$62,_xlpm.p),_xlpm.s,INDEX($BO$15:$BO$62,_xlpm.p),_xlpm.q,N(AT86)/_xlpm.f,IF(_xlpm.q&gt;=_xlpm.s,ROUND(_xlpm.q,1)&amp;" "&amp;_xlpm.ai_test&amp;" = "&amp;ROUND(_xlpm.q*_xlpm.f,1)&amp;" "&amp;_xlpm.u,ROUND(_xlpm.q,1)&amp;" "&amp;_xlpm.ai_test)),""),""))))</f>
        <v>0</v>
      </c>
      <c r="AW86" s="1047"/>
      <c r="AX86" s="1034">
        <f t="shared" ref="AX86:AX149" si="59">IF(TRIM(AF86)="▼ recette suivante","▼next recipe ",IF(AT86="","",IF(ISBLANK(AW86),AT86,ROUND(AT86*(1-MIN(1,MAX(0,IF(AW86&gt;1,AW86/100,AW86)))),3))))</f>
        <v>0</v>
      </c>
      <c r="AY86" s="1035" t="str">
        <f t="shared" ref="AY86:AY149" si="60">IF(AJ86,AU86,"")</f>
        <v/>
      </c>
      <c r="AZ86" s="1036">
        <f t="shared" si="36"/>
        <v>0</v>
      </c>
      <c r="BA86" s="1037" t="str">
        <f t="shared" ref="BA86:BA149" si="61">IF(AJ86,IF(N(AZ86)&gt;0.000000001,R86,""),"")</f>
        <v/>
      </c>
      <c r="BB86" s="1038"/>
      <c r="BC86" s="1039">
        <f t="shared" si="38"/>
        <v>0</v>
      </c>
      <c r="BD86" s="1040" t="str">
        <f t="shared" ref="BD86:BD149" si="62">IF(IFERROR(SEARCH("Adresse PC",TRIM(Q86)),0)&gt;0,"▼ receta siguiente",IF(AX86&gt;0,W86,""))</f>
        <v/>
      </c>
      <c r="BE86" s="227" t="s">
        <v>22</v>
      </c>
      <c r="BF86" s="1019">
        <f t="shared" ref="BF86:BF149" si="63">IFERROR(_xlfn.LET(_xlpm.EPS,0.000000001,_xlpm.b,Q86/AN86,IF(ISNUMBER(AR86),_xlpm.b*AR86,IF(OR(ISBLANK(AR86),AR86=""),_xlpm.b*AP86,IF(AND(BG86=0,ISNUMBER(Q86)),_xlpm.b/AP86,0)))),0)</f>
        <v>0</v>
      </c>
      <c r="BG86" s="1020">
        <f t="shared" ref="BG86:BG149" si="64">IF(AK86&gt;0,IFERROR(IF(OR(ISBLANK(AR86),AR86=""),AP86,AR86)/AN86,0),0)</f>
        <v>0</v>
      </c>
      <c r="BI86" s="5199">
        <v>1</v>
      </c>
      <c r="BJ86" s="5227">
        <v>1E-3</v>
      </c>
      <c r="BK86" s="5228">
        <v>0</v>
      </c>
      <c r="BL86" s="5227">
        <v>0.25</v>
      </c>
      <c r="BM86" s="5227">
        <v>0.33332999999999996</v>
      </c>
      <c r="BN86" s="5227">
        <v>0.5</v>
      </c>
      <c r="BO86" s="5229">
        <v>1</v>
      </c>
      <c r="BP86" s="5229">
        <v>0.1</v>
      </c>
      <c r="BQ86" s="5229">
        <v>0.01</v>
      </c>
      <c r="BR86" s="5229">
        <v>1E-3</v>
      </c>
      <c r="BS86" s="5229">
        <v>0.5</v>
      </c>
      <c r="BT86" s="5229">
        <v>0.33300000000000002</v>
      </c>
      <c r="BU86" s="5206">
        <v>0.2</v>
      </c>
      <c r="BV86"/>
      <c r="BW86" s="959" t="str">
        <f t="shared" si="45"/>
        <v>►</v>
      </c>
      <c r="BX86" s="1113" t="s">
        <v>1962</v>
      </c>
      <c r="BY86" s="276"/>
      <c r="BZ86" s="276"/>
      <c r="CA86" s="276"/>
      <c r="CB86" s="276"/>
      <c r="CC86" s="957"/>
      <c r="CD86"/>
      <c r="CE86"/>
      <c r="CF86"/>
      <c r="CG86"/>
      <c r="CH86"/>
      <c r="CI86"/>
      <c r="CJ86"/>
      <c r="CL86"/>
      <c r="CM86"/>
      <c r="CN86"/>
      <c r="CO86"/>
      <c r="CP86"/>
      <c r="CQ86"/>
      <c r="CR86"/>
      <c r="CT86"/>
      <c r="CU86"/>
      <c r="CV86"/>
      <c r="CW86"/>
      <c r="CX86"/>
      <c r="CY86"/>
      <c r="CZ86"/>
      <c r="DB86" s="3">
        <v>1</v>
      </c>
    </row>
    <row r="87" spans="1:106" s="709" customFormat="1" ht="21" customHeight="1">
      <c r="A87" s="936" t="s">
        <v>22</v>
      </c>
      <c r="B87" s="952" t="str">
        <f t="shared" si="44"/>
        <v>►</v>
      </c>
      <c r="C87" s="993" cm="1">
        <f t="array" ref="C87">SUMPRODUCT(LEN(D87:J87))</f>
        <v>0</v>
      </c>
      <c r="D87" s="167"/>
      <c r="E87" s="172"/>
      <c r="F87" s="172"/>
      <c r="G87" s="172"/>
      <c r="H87" s="172"/>
      <c r="I87" s="172"/>
      <c r="J87" s="173"/>
      <c r="K87" s="442" t="s">
        <v>22</v>
      </c>
      <c r="L87" s="104" t="s">
        <v>16</v>
      </c>
      <c r="M87" s="1172"/>
      <c r="N87" s="1172"/>
      <c r="O87" s="1172"/>
      <c r="P87" s="1173"/>
      <c r="Q87" s="1174"/>
      <c r="R87" s="1175"/>
      <c r="S87" s="1176"/>
      <c r="T87" s="1177"/>
      <c r="U87" s="5248"/>
      <c r="V87" s="1177"/>
      <c r="W87" s="5249"/>
      <c r="X87" s="5208"/>
      <c r="Y87" s="5209"/>
      <c r="Z87" s="5210"/>
      <c r="AA87" s="5211"/>
      <c r="AB87" s="1178"/>
      <c r="AC87" s="1179"/>
      <c r="AD87" s="227" t="s">
        <v>22</v>
      </c>
      <c r="AE87" s="1027" t="str">
        <f t="shared" si="46"/>
        <v>►</v>
      </c>
      <c r="AF87" s="1028" t="str">
        <f t="shared" si="47"/>
        <v/>
      </c>
      <c r="AG87" s="1029" t="str">
        <f t="shared" si="48"/>
        <v/>
      </c>
      <c r="AH87" s="1028" t="str">
        <f t="shared" si="49"/>
        <v/>
      </c>
      <c r="AI87" s="1029" t="str">
        <f t="shared" si="50"/>
        <v/>
      </c>
      <c r="AJ87" s="1029">
        <f t="shared" si="51"/>
        <v>0</v>
      </c>
      <c r="AK87" s="1043" t="str" cm="1">
        <f t="array" ref="AK87">IF(AE87&lt;&gt;"A","",IFERROR((IFERROR(_xlfn.XLOOKUP(TRIM(SUBSTITUTE(U87,CHAR(160)," ")),$BI$15:$BI$62,$BL$15:$BL$62),IFERROR(_xlfn.XLOOKUP(TRIM(SUBSTITUTE(U87,CHAR(160)," ")),$BJ$15:$BJ$62,$BL$15:$BL$62),_xlfn.XLOOKUP(TRIM(SUBSTITUTE(U87,CHAR(160)," ")),$BK$15:$BK$62,$BL$15:$BL$62))))*T87*IF(ISBLANK(Q87),1,Q87)+IFERROR(_xlfn.XLOOKUP("RECHERCHEX",TRIM(L87:AC87),L87:AC87),0),0))</f>
        <v/>
      </c>
      <c r="AL87" s="1030">
        <f t="shared" si="52"/>
        <v>0</v>
      </c>
      <c r="AM87" s="5254" t="str">
        <f t="shared" si="40"/>
        <v/>
      </c>
      <c r="AN87" s="1031">
        <f t="shared" si="53"/>
        <v>0</v>
      </c>
      <c r="AO87" s="1031">
        <f t="shared" si="54"/>
        <v>0</v>
      </c>
      <c r="AP87" s="1044">
        <f t="shared" si="55"/>
        <v>0</v>
      </c>
      <c r="AQ87" s="5257" t="str">
        <f t="shared" si="56"/>
        <v/>
      </c>
      <c r="AR87" s="1056"/>
      <c r="AS87" s="1056"/>
      <c r="AT87" s="1045">
        <f t="shared" si="57"/>
        <v>0</v>
      </c>
      <c r="AU87" s="1046">
        <f t="shared" si="58"/>
        <v>0</v>
      </c>
      <c r="AV87" s="1059" cm="1">
        <f t="array" ref="AV87">IF(AJ87&lt;&gt;1,0,IF(OR(AT87="",N(AT87)&lt;=0.000000001),"",IF(OR(AN87="",N(AN87)&lt;=0.000000001),0,IF(ISNUMBER(AT87),IFERROR(_xlfn.LET(_xlpm.ai_test,TRIM(AI87),_xlpm.r,IFERROR(_xlfn.XLOOKUP(_xlpm.ai_test,$BI$15:$BI$62,ROW($BI$15:$BI$62),0,1),IFERROR(_xlfn.XLOOKUP(_xlpm.ai_test,$BJ$15:$BJ$62,ROW($BJ$15:$BJ$62),0,1),_xlfn.XLOOKUP(_xlpm.ai_test,$BK$15:$BK$62,ROW($BK$15:$BK$62),0,1))),_xlpm.p,_xlpm.r-MIN(ROW($BI$15:$BI$62))+1,_xlpm.f,INDEX($BL$15:$BL$62,_xlpm.p),_xlpm.u,INDEX($BM$15:$BM$62,_xlpm.p),_xlpm.s,INDEX($BO$15:$BO$62,_xlpm.p),_xlpm.q,N(AT87)/_xlpm.f,IF(_xlpm.q&gt;=_xlpm.s,ROUND(_xlpm.q,1)&amp;" "&amp;_xlpm.ai_test&amp;" = "&amp;ROUND(_xlpm.q*_xlpm.f,1)&amp;" "&amp;_xlpm.u,ROUND(_xlpm.q,1)&amp;" "&amp;_xlpm.ai_test)),""),""))))</f>
        <v>0</v>
      </c>
      <c r="AW87" s="1047"/>
      <c r="AX87" s="1045">
        <f t="shared" si="59"/>
        <v>0</v>
      </c>
      <c r="AY87" s="1046" t="str">
        <f t="shared" si="60"/>
        <v/>
      </c>
      <c r="AZ87" s="1048">
        <f t="shared" ref="AZ87:AZ150" si="65">IF(ISNUMBER(BF87),IF(ABS(BF87)&lt;=0.000000001,0,BF87),0)</f>
        <v>0</v>
      </c>
      <c r="BA87" s="1049" t="str">
        <f t="shared" si="61"/>
        <v/>
      </c>
      <c r="BB87" s="1038"/>
      <c r="BC87" s="1050">
        <f t="shared" si="38"/>
        <v>0</v>
      </c>
      <c r="BD87" s="1040" t="str">
        <f t="shared" si="62"/>
        <v/>
      </c>
      <c r="BE87" s="227" t="s">
        <v>22</v>
      </c>
      <c r="BF87" s="1019">
        <f t="shared" si="63"/>
        <v>0</v>
      </c>
      <c r="BG87" s="1020">
        <f t="shared" si="64"/>
        <v>0</v>
      </c>
      <c r="BI87" s="5200" t="s">
        <v>156</v>
      </c>
      <c r="BJ87" s="5200" t="s">
        <v>1363</v>
      </c>
      <c r="BK87" s="5196" t="s">
        <v>1364</v>
      </c>
      <c r="BL87" s="5200" t="s">
        <v>1365</v>
      </c>
      <c r="BM87" s="5200" t="s">
        <v>1366</v>
      </c>
      <c r="BN87" s="5200" t="s">
        <v>1380</v>
      </c>
      <c r="BO87" s="5202" t="s">
        <v>1367</v>
      </c>
      <c r="BP87" s="5202" t="s">
        <v>1368</v>
      </c>
      <c r="BQ87" s="5202" t="s">
        <v>1369</v>
      </c>
      <c r="BR87" s="5194" t="s">
        <v>1370</v>
      </c>
      <c r="BS87" s="5194" t="s">
        <v>1371</v>
      </c>
      <c r="BT87" s="5194" t="s">
        <v>1372</v>
      </c>
      <c r="BU87" s="5262" t="s">
        <v>1373</v>
      </c>
      <c r="BV87"/>
      <c r="BW87" s="959" t="str">
        <f t="shared" si="45"/>
        <v>►</v>
      </c>
      <c r="BX87" s="1112" t="s">
        <v>1963</v>
      </c>
      <c r="BY87" s="276"/>
      <c r="BZ87" s="276"/>
      <c r="CA87" s="276"/>
      <c r="CB87" s="276"/>
      <c r="CC87" s="957"/>
      <c r="CD87"/>
      <c r="CE87"/>
      <c r="CF87"/>
      <c r="CG87"/>
      <c r="CH87"/>
      <c r="CI87"/>
      <c r="CJ87"/>
      <c r="CL87"/>
      <c r="CM87"/>
      <c r="CN87"/>
      <c r="CO87"/>
      <c r="CP87"/>
      <c r="CQ87"/>
      <c r="CR87"/>
      <c r="CT87"/>
      <c r="CU87"/>
      <c r="CV87"/>
      <c r="CW87"/>
      <c r="CX87"/>
      <c r="CY87"/>
      <c r="CZ87"/>
      <c r="DB87" s="3">
        <v>1</v>
      </c>
    </row>
    <row r="88" spans="1:106" s="709" customFormat="1" ht="21" customHeight="1">
      <c r="A88" s="936" t="s">
        <v>22</v>
      </c>
      <c r="B88" s="952" t="str">
        <f t="shared" si="44"/>
        <v>►</v>
      </c>
      <c r="C88" s="993" cm="1">
        <f t="array" ref="C88">SUMPRODUCT(LEN(D88:J88))</f>
        <v>0</v>
      </c>
      <c r="D88" s="167"/>
      <c r="E88" s="172"/>
      <c r="F88" s="172"/>
      <c r="G88" s="172"/>
      <c r="H88" s="172"/>
      <c r="I88" s="172"/>
      <c r="J88" s="173"/>
      <c r="K88" s="442" t="s">
        <v>22</v>
      </c>
      <c r="L88" s="104" t="s">
        <v>16</v>
      </c>
      <c r="M88" s="1172"/>
      <c r="N88" s="1172"/>
      <c r="O88" s="1172"/>
      <c r="P88" s="1173"/>
      <c r="Q88" s="1174"/>
      <c r="R88" s="1175"/>
      <c r="S88" s="1176"/>
      <c r="T88" s="1177"/>
      <c r="U88" s="5248"/>
      <c r="V88" s="1177"/>
      <c r="W88" s="5249"/>
      <c r="X88" s="5208"/>
      <c r="Y88" s="5209"/>
      <c r="Z88" s="5210"/>
      <c r="AA88" s="5211"/>
      <c r="AB88" s="1178"/>
      <c r="AC88" s="1179"/>
      <c r="AD88" s="227" t="s">
        <v>22</v>
      </c>
      <c r="AE88" s="1027" t="str">
        <f t="shared" si="46"/>
        <v>►</v>
      </c>
      <c r="AF88" s="1028" t="str">
        <f t="shared" si="47"/>
        <v/>
      </c>
      <c r="AG88" s="1029" t="str">
        <f t="shared" si="48"/>
        <v/>
      </c>
      <c r="AH88" s="1028" t="str">
        <f t="shared" si="49"/>
        <v/>
      </c>
      <c r="AI88" s="1029" t="str">
        <f t="shared" si="50"/>
        <v/>
      </c>
      <c r="AJ88" s="1029">
        <f t="shared" si="51"/>
        <v>0</v>
      </c>
      <c r="AK88" s="1043" t="str" cm="1">
        <f t="array" ref="AK88">IF(AE88&lt;&gt;"A","",IFERROR((IFERROR(_xlfn.XLOOKUP(TRIM(SUBSTITUTE(U88,CHAR(160)," ")),$BI$15:$BI$62,$BL$15:$BL$62),IFERROR(_xlfn.XLOOKUP(TRIM(SUBSTITUTE(U88,CHAR(160)," ")),$BJ$15:$BJ$62,$BL$15:$BL$62),_xlfn.XLOOKUP(TRIM(SUBSTITUTE(U88,CHAR(160)," ")),$BK$15:$BK$62,$BL$15:$BL$62))))*T88*IF(ISBLANK(Q88),1,Q88)+IFERROR(_xlfn.XLOOKUP("RECHERCHEX",TRIM(L88:AC88),L88:AC88),0),0))</f>
        <v/>
      </c>
      <c r="AL88" s="1030">
        <f t="shared" si="52"/>
        <v>0</v>
      </c>
      <c r="AM88" s="5254" t="str">
        <f t="shared" si="40"/>
        <v/>
      </c>
      <c r="AN88" s="1031">
        <f t="shared" si="53"/>
        <v>0</v>
      </c>
      <c r="AO88" s="1031">
        <f t="shared" si="54"/>
        <v>0</v>
      </c>
      <c r="AP88" s="1032">
        <f t="shared" si="55"/>
        <v>0</v>
      </c>
      <c r="AQ88" s="5255" t="str">
        <f t="shared" si="56"/>
        <v/>
      </c>
      <c r="AR88" s="1056"/>
      <c r="AS88" s="1056"/>
      <c r="AT88" s="1034">
        <f t="shared" si="57"/>
        <v>0</v>
      </c>
      <c r="AU88" s="1035">
        <f t="shared" si="58"/>
        <v>0</v>
      </c>
      <c r="AV88" s="1057" cm="1">
        <f t="array" ref="AV88">IF(AJ88&lt;&gt;1,0,IF(OR(AT88="",N(AT88)&lt;=0.000000001),"",IF(OR(AN88="",N(AN88)&lt;=0.000000001),0,IF(ISNUMBER(AT88),IFERROR(_xlfn.LET(_xlpm.ai_test,TRIM(AI88),_xlpm.r,IFERROR(_xlfn.XLOOKUP(_xlpm.ai_test,$BI$15:$BI$62,ROW($BI$15:$BI$62),0,1),IFERROR(_xlfn.XLOOKUP(_xlpm.ai_test,$BJ$15:$BJ$62,ROW($BJ$15:$BJ$62),0,1),_xlfn.XLOOKUP(_xlpm.ai_test,$BK$15:$BK$62,ROW($BK$15:$BK$62),0,1))),_xlpm.p,_xlpm.r-MIN(ROW($BI$15:$BI$62))+1,_xlpm.f,INDEX($BL$15:$BL$62,_xlpm.p),_xlpm.u,INDEX($BM$15:$BM$62,_xlpm.p),_xlpm.s,INDEX($BO$15:$BO$62,_xlpm.p),_xlpm.q,N(AT88)/_xlpm.f,IF(_xlpm.q&gt;=_xlpm.s,ROUND(_xlpm.q,1)&amp;" "&amp;_xlpm.ai_test&amp;" = "&amp;ROUND(_xlpm.q*_xlpm.f,1)&amp;" "&amp;_xlpm.u,ROUND(_xlpm.q,1)&amp;" "&amp;_xlpm.ai_test)),""),""))))</f>
        <v>0</v>
      </c>
      <c r="AW88" s="1047"/>
      <c r="AX88" s="1034">
        <f t="shared" si="59"/>
        <v>0</v>
      </c>
      <c r="AY88" s="1035" t="str">
        <f t="shared" si="60"/>
        <v/>
      </c>
      <c r="AZ88" s="1036">
        <f t="shared" si="65"/>
        <v>0</v>
      </c>
      <c r="BA88" s="1037" t="str">
        <f t="shared" si="61"/>
        <v/>
      </c>
      <c r="BB88" s="1038"/>
      <c r="BC88" s="1039">
        <f t="shared" si="38"/>
        <v>0</v>
      </c>
      <c r="BD88" s="1040" t="str">
        <f t="shared" si="62"/>
        <v/>
      </c>
      <c r="BE88" s="227" t="s">
        <v>22</v>
      </c>
      <c r="BF88" s="1019">
        <f t="shared" si="63"/>
        <v>0</v>
      </c>
      <c r="BG88" s="1020">
        <f t="shared" si="64"/>
        <v>0</v>
      </c>
      <c r="BI88" s="916">
        <v>2.835E-2</v>
      </c>
      <c r="BJ88" s="917">
        <v>0.13</v>
      </c>
      <c r="BK88" s="918">
        <v>0</v>
      </c>
      <c r="BL88" s="917">
        <v>0.2</v>
      </c>
      <c r="BM88" s="917">
        <v>0.23</v>
      </c>
      <c r="BN88" s="917">
        <v>0.22500000000000001</v>
      </c>
      <c r="BO88" s="5229">
        <v>0.35</v>
      </c>
      <c r="BP88" s="5229">
        <v>5.0000000000000001E-3</v>
      </c>
      <c r="BQ88" s="5229">
        <v>5.0000000000000001E-3</v>
      </c>
      <c r="BR88" s="5229">
        <v>1.4999999999999999E-2</v>
      </c>
      <c r="BS88" s="5229">
        <v>0.1</v>
      </c>
      <c r="BT88" s="5229">
        <v>0.22500000000000001</v>
      </c>
      <c r="BU88" s="5206">
        <v>1E-3</v>
      </c>
      <c r="BV88"/>
      <c r="BW88" s="959" t="str">
        <f t="shared" si="45"/>
        <v>►</v>
      </c>
      <c r="BX88" s="1114" t="s">
        <v>1964</v>
      </c>
      <c r="BY88" s="276"/>
      <c r="BZ88" s="276"/>
      <c r="CA88" s="276"/>
      <c r="CB88" s="276"/>
      <c r="CC88" s="957"/>
      <c r="CD88"/>
      <c r="CE88"/>
      <c r="CF88"/>
      <c r="CG88"/>
      <c r="CH88"/>
      <c r="CI88"/>
      <c r="CJ88"/>
      <c r="CL88"/>
      <c r="CM88"/>
      <c r="CN88"/>
      <c r="CO88"/>
      <c r="CP88"/>
      <c r="CQ88"/>
      <c r="CR88"/>
      <c r="CT88"/>
      <c r="CU88"/>
      <c r="CV88"/>
      <c r="CW88"/>
      <c r="CX88"/>
      <c r="CY88"/>
      <c r="CZ88"/>
      <c r="DB88" s="3">
        <v>1</v>
      </c>
    </row>
    <row r="89" spans="1:106" s="709" customFormat="1" ht="21" customHeight="1" thickBot="1">
      <c r="A89" s="936" t="s">
        <v>22</v>
      </c>
      <c r="B89" s="952" t="str">
        <f t="shared" si="44"/>
        <v>►</v>
      </c>
      <c r="C89" s="993" cm="1">
        <f t="array" ref="C89">SUMPRODUCT(LEN(D89:J89))</f>
        <v>0</v>
      </c>
      <c r="D89" s="167"/>
      <c r="E89" s="172"/>
      <c r="F89" s="172"/>
      <c r="G89" s="172"/>
      <c r="H89" s="172"/>
      <c r="I89" s="172"/>
      <c r="J89" s="173"/>
      <c r="K89" s="442" t="s">
        <v>22</v>
      </c>
      <c r="L89" s="104" t="s">
        <v>16</v>
      </c>
      <c r="M89" s="1172"/>
      <c r="N89" s="1172"/>
      <c r="O89" s="1172"/>
      <c r="P89" s="1173"/>
      <c r="Q89" s="1174"/>
      <c r="R89" s="1175"/>
      <c r="S89" s="1176"/>
      <c r="T89" s="1177"/>
      <c r="U89" s="5248"/>
      <c r="V89" s="1177"/>
      <c r="W89" s="5249"/>
      <c r="X89" s="5208"/>
      <c r="Y89" s="5209"/>
      <c r="Z89" s="5210"/>
      <c r="AA89" s="5211"/>
      <c r="AB89" s="1178"/>
      <c r="AC89" s="1179"/>
      <c r="AD89" s="227" t="s">
        <v>22</v>
      </c>
      <c r="AE89" s="1027" t="str">
        <f t="shared" si="46"/>
        <v>►</v>
      </c>
      <c r="AF89" s="1028" t="str">
        <f t="shared" si="47"/>
        <v/>
      </c>
      <c r="AG89" s="1029" t="str">
        <f t="shared" si="48"/>
        <v/>
      </c>
      <c r="AH89" s="1028" t="str">
        <f t="shared" si="49"/>
        <v/>
      </c>
      <c r="AI89" s="1029" t="str">
        <f t="shared" si="50"/>
        <v/>
      </c>
      <c r="AJ89" s="1029">
        <f t="shared" si="51"/>
        <v>0</v>
      </c>
      <c r="AK89" s="1043" t="str" cm="1">
        <f t="array" ref="AK89">IF(AE89&lt;&gt;"A","",IFERROR((IFERROR(_xlfn.XLOOKUP(TRIM(SUBSTITUTE(U89,CHAR(160)," ")),$BI$15:$BI$62,$BL$15:$BL$62),IFERROR(_xlfn.XLOOKUP(TRIM(SUBSTITUTE(U89,CHAR(160)," ")),$BJ$15:$BJ$62,$BL$15:$BL$62),_xlfn.XLOOKUP(TRIM(SUBSTITUTE(U89,CHAR(160)," ")),$BK$15:$BK$62,$BL$15:$BL$62))))*T89*IF(ISBLANK(Q89),1,Q89)+IFERROR(_xlfn.XLOOKUP("RECHERCHEX",TRIM(L89:AC89),L89:AC89),0),0))</f>
        <v/>
      </c>
      <c r="AL89" s="1030">
        <f t="shared" si="52"/>
        <v>0</v>
      </c>
      <c r="AM89" s="5254" t="str">
        <f t="shared" si="40"/>
        <v/>
      </c>
      <c r="AN89" s="1031">
        <f t="shared" si="53"/>
        <v>0</v>
      </c>
      <c r="AO89" s="1031">
        <f t="shared" si="54"/>
        <v>0</v>
      </c>
      <c r="AP89" s="1044">
        <f t="shared" si="55"/>
        <v>0</v>
      </c>
      <c r="AQ89" s="5257" t="str">
        <f t="shared" si="56"/>
        <v/>
      </c>
      <c r="AR89" s="1056"/>
      <c r="AS89" s="1056"/>
      <c r="AT89" s="1045">
        <f t="shared" si="57"/>
        <v>0</v>
      </c>
      <c r="AU89" s="1046">
        <f t="shared" si="58"/>
        <v>0</v>
      </c>
      <c r="AV89" s="1059" cm="1">
        <f t="array" ref="AV89">IF(AJ89&lt;&gt;1,0,IF(OR(AT89="",N(AT89)&lt;=0.000000001),"",IF(OR(AN89="",N(AN89)&lt;=0.000000001),0,IF(ISNUMBER(AT89),IFERROR(_xlfn.LET(_xlpm.ai_test,TRIM(AI89),_xlpm.r,IFERROR(_xlfn.XLOOKUP(_xlpm.ai_test,$BI$15:$BI$62,ROW($BI$15:$BI$62),0,1),IFERROR(_xlfn.XLOOKUP(_xlpm.ai_test,$BJ$15:$BJ$62,ROW($BJ$15:$BJ$62),0,1),_xlfn.XLOOKUP(_xlpm.ai_test,$BK$15:$BK$62,ROW($BK$15:$BK$62),0,1))),_xlpm.p,_xlpm.r-MIN(ROW($BI$15:$BI$62))+1,_xlpm.f,INDEX($BL$15:$BL$62,_xlpm.p),_xlpm.u,INDEX($BM$15:$BM$62,_xlpm.p),_xlpm.s,INDEX($BO$15:$BO$62,_xlpm.p),_xlpm.q,N(AT89)/_xlpm.f,IF(_xlpm.q&gt;=_xlpm.s,ROUND(_xlpm.q,1)&amp;" "&amp;_xlpm.ai_test&amp;" = "&amp;ROUND(_xlpm.q*_xlpm.f,1)&amp;" "&amp;_xlpm.u,ROUND(_xlpm.q,1)&amp;" "&amp;_xlpm.ai_test)),""),""))))</f>
        <v>0</v>
      </c>
      <c r="AW89" s="1047"/>
      <c r="AX89" s="1045">
        <f t="shared" si="59"/>
        <v>0</v>
      </c>
      <c r="AY89" s="1046" t="str">
        <f t="shared" si="60"/>
        <v/>
      </c>
      <c r="AZ89" s="1048">
        <f t="shared" si="65"/>
        <v>0</v>
      </c>
      <c r="BA89" s="1049" t="str">
        <f t="shared" si="61"/>
        <v/>
      </c>
      <c r="BB89" s="1038"/>
      <c r="BC89" s="1050">
        <f t="shared" si="38"/>
        <v>0</v>
      </c>
      <c r="BD89" s="1040" t="str">
        <f t="shared" si="62"/>
        <v/>
      </c>
      <c r="BE89" s="227" t="s">
        <v>22</v>
      </c>
      <c r="BF89" s="1019">
        <f t="shared" si="63"/>
        <v>0</v>
      </c>
      <c r="BG89" s="1020">
        <f t="shared" si="64"/>
        <v>0</v>
      </c>
      <c r="BV89"/>
      <c r="BW89" s="959" t="str">
        <f t="shared" si="45"/>
        <v>►</v>
      </c>
      <c r="BX89" s="1115"/>
      <c r="BY89" s="276"/>
      <c r="BZ89" s="276"/>
      <c r="CA89" s="276"/>
      <c r="CB89" s="276"/>
      <c r="CC89" s="957"/>
      <c r="CD89"/>
      <c r="CE89"/>
      <c r="CF89"/>
      <c r="CG89"/>
      <c r="CH89"/>
      <c r="CI89"/>
      <c r="CJ89"/>
      <c r="CL89"/>
      <c r="CM89"/>
      <c r="CN89"/>
      <c r="CO89"/>
      <c r="CP89"/>
      <c r="CQ89"/>
      <c r="CR89"/>
      <c r="CT89"/>
      <c r="CU89"/>
      <c r="CV89"/>
      <c r="CW89"/>
      <c r="CX89"/>
      <c r="CY89"/>
      <c r="CZ89"/>
      <c r="DB89" s="3">
        <v>1</v>
      </c>
    </row>
    <row r="90" spans="1:106" s="709" customFormat="1" ht="21" customHeight="1">
      <c r="A90" s="936" t="s">
        <v>22</v>
      </c>
      <c r="B90" s="952" t="str">
        <f t="shared" si="44"/>
        <v>►</v>
      </c>
      <c r="C90" s="993" cm="1">
        <f t="array" ref="C90">SUMPRODUCT(LEN(D90:J90))</f>
        <v>0</v>
      </c>
      <c r="D90" s="167"/>
      <c r="E90" s="172"/>
      <c r="F90" s="172"/>
      <c r="G90" s="172"/>
      <c r="H90" s="172"/>
      <c r="I90" s="172"/>
      <c r="J90" s="173"/>
      <c r="K90" s="442" t="s">
        <v>22</v>
      </c>
      <c r="L90" s="104" t="s">
        <v>16</v>
      </c>
      <c r="M90" s="1172"/>
      <c r="N90" s="1172"/>
      <c r="O90" s="1172"/>
      <c r="P90" s="1173"/>
      <c r="Q90" s="1174"/>
      <c r="R90" s="1175"/>
      <c r="S90" s="1176"/>
      <c r="T90" s="1177"/>
      <c r="U90" s="5248"/>
      <c r="V90" s="1177"/>
      <c r="W90" s="5249"/>
      <c r="X90" s="5208"/>
      <c r="Y90" s="5209"/>
      <c r="Z90" s="5210"/>
      <c r="AA90" s="5211"/>
      <c r="AB90" s="1178"/>
      <c r="AC90" s="1179"/>
      <c r="AD90" s="227" t="s">
        <v>22</v>
      </c>
      <c r="AE90" s="1027" t="str">
        <f t="shared" si="46"/>
        <v>►</v>
      </c>
      <c r="AF90" s="1028" t="str">
        <f t="shared" si="47"/>
        <v/>
      </c>
      <c r="AG90" s="1029" t="str">
        <f t="shared" si="48"/>
        <v/>
      </c>
      <c r="AH90" s="1028" t="str">
        <f t="shared" si="49"/>
        <v/>
      </c>
      <c r="AI90" s="1029" t="str">
        <f t="shared" si="50"/>
        <v/>
      </c>
      <c r="AJ90" s="1029">
        <f t="shared" si="51"/>
        <v>0</v>
      </c>
      <c r="AK90" s="1043" t="str" cm="1">
        <f t="array" ref="AK90">IF(AE90&lt;&gt;"A","",IFERROR((IFERROR(_xlfn.XLOOKUP(TRIM(SUBSTITUTE(U90,CHAR(160)," ")),$BI$15:$BI$62,$BL$15:$BL$62),IFERROR(_xlfn.XLOOKUP(TRIM(SUBSTITUTE(U90,CHAR(160)," ")),$BJ$15:$BJ$62,$BL$15:$BL$62),_xlfn.XLOOKUP(TRIM(SUBSTITUTE(U90,CHAR(160)," ")),$BK$15:$BK$62,$BL$15:$BL$62))))*T90*IF(ISBLANK(Q90),1,Q90)+IFERROR(_xlfn.XLOOKUP("RECHERCHEX",TRIM(L90:AC90),L90:AC90),0),0))</f>
        <v/>
      </c>
      <c r="AL90" s="1030">
        <f t="shared" si="52"/>
        <v>0</v>
      </c>
      <c r="AM90" s="5254" t="str">
        <f t="shared" si="40"/>
        <v/>
      </c>
      <c r="AN90" s="1031">
        <f t="shared" si="53"/>
        <v>0</v>
      </c>
      <c r="AO90" s="1031">
        <f t="shared" si="54"/>
        <v>0</v>
      </c>
      <c r="AP90" s="1032">
        <f t="shared" si="55"/>
        <v>0</v>
      </c>
      <c r="AQ90" s="5255" t="str">
        <f t="shared" si="56"/>
        <v/>
      </c>
      <c r="AR90" s="1056"/>
      <c r="AS90" s="1056"/>
      <c r="AT90" s="1034">
        <f t="shared" si="57"/>
        <v>0</v>
      </c>
      <c r="AU90" s="1035">
        <f t="shared" si="58"/>
        <v>0</v>
      </c>
      <c r="AV90" s="1057" cm="1">
        <f t="array" ref="AV90">IF(AJ90&lt;&gt;1,0,IF(OR(AT90="",N(AT90)&lt;=0.000000001),"",IF(OR(AN90="",N(AN90)&lt;=0.000000001),0,IF(ISNUMBER(AT90),IFERROR(_xlfn.LET(_xlpm.ai_test,TRIM(AI90),_xlpm.r,IFERROR(_xlfn.XLOOKUP(_xlpm.ai_test,$BI$15:$BI$62,ROW($BI$15:$BI$62),0,1),IFERROR(_xlfn.XLOOKUP(_xlpm.ai_test,$BJ$15:$BJ$62,ROW($BJ$15:$BJ$62),0,1),_xlfn.XLOOKUP(_xlpm.ai_test,$BK$15:$BK$62,ROW($BK$15:$BK$62),0,1))),_xlpm.p,_xlpm.r-MIN(ROW($BI$15:$BI$62))+1,_xlpm.f,INDEX($BL$15:$BL$62,_xlpm.p),_xlpm.u,INDEX($BM$15:$BM$62,_xlpm.p),_xlpm.s,INDEX($BO$15:$BO$62,_xlpm.p),_xlpm.q,N(AT90)/_xlpm.f,IF(_xlpm.q&gt;=_xlpm.s,ROUND(_xlpm.q,1)&amp;" "&amp;_xlpm.ai_test&amp;" = "&amp;ROUND(_xlpm.q*_xlpm.f,1)&amp;" "&amp;_xlpm.u,ROUND(_xlpm.q,1)&amp;" "&amp;_xlpm.ai_test)),""),""))))</f>
        <v>0</v>
      </c>
      <c r="AW90" s="1047"/>
      <c r="AX90" s="1034">
        <f t="shared" si="59"/>
        <v>0</v>
      </c>
      <c r="AY90" s="1035" t="str">
        <f t="shared" si="60"/>
        <v/>
      </c>
      <c r="AZ90" s="1036">
        <f t="shared" si="65"/>
        <v>0</v>
      </c>
      <c r="BA90" s="1037" t="str">
        <f t="shared" si="61"/>
        <v/>
      </c>
      <c r="BB90" s="1038"/>
      <c r="BC90" s="1039">
        <f t="shared" si="38"/>
        <v>0</v>
      </c>
      <c r="BD90" s="1040" t="str">
        <f t="shared" si="62"/>
        <v/>
      </c>
      <c r="BE90" s="227" t="s">
        <v>22</v>
      </c>
      <c r="BF90" s="1019">
        <f t="shared" si="63"/>
        <v>0</v>
      </c>
      <c r="BG90" s="1020">
        <f t="shared" si="64"/>
        <v>0</v>
      </c>
      <c r="BI90" s="5539" t="s">
        <v>1965</v>
      </c>
      <c r="BJ90" s="5540"/>
      <c r="BK90" s="5540"/>
      <c r="BL90" s="5540"/>
      <c r="BM90" s="5540"/>
      <c r="BN90" s="5540"/>
      <c r="BO90" s="5540"/>
      <c r="BP90" s="5540"/>
      <c r="BQ90" s="5540"/>
      <c r="BR90" s="5540"/>
      <c r="BS90" s="5540"/>
      <c r="BT90" s="5540"/>
      <c r="BU90" s="5541"/>
      <c r="BV90"/>
      <c r="BW90" s="959" t="str">
        <f t="shared" si="45"/>
        <v>►</v>
      </c>
      <c r="BX90" s="1111" t="s">
        <v>1966</v>
      </c>
      <c r="BY90" s="276"/>
      <c r="BZ90" s="276"/>
      <c r="CA90" s="276"/>
      <c r="CB90" s="276"/>
      <c r="CC90" s="957"/>
      <c r="CD90"/>
      <c r="CE90"/>
      <c r="CF90"/>
      <c r="CG90"/>
      <c r="CH90"/>
      <c r="CI90"/>
      <c r="CJ90"/>
      <c r="CL90"/>
      <c r="CM90"/>
      <c r="CN90"/>
      <c r="CO90"/>
      <c r="CP90"/>
      <c r="CQ90"/>
      <c r="CR90"/>
      <c r="CT90"/>
      <c r="CU90"/>
      <c r="CV90"/>
      <c r="CW90"/>
      <c r="CX90"/>
      <c r="CY90"/>
      <c r="CZ90"/>
      <c r="DB90" s="3">
        <v>1</v>
      </c>
    </row>
    <row r="91" spans="1:106" s="709" customFormat="1" ht="21" customHeight="1">
      <c r="A91" s="936" t="s">
        <v>22</v>
      </c>
      <c r="B91" s="952" t="str">
        <f t="shared" si="44"/>
        <v>►</v>
      </c>
      <c r="C91" s="993" cm="1">
        <f t="array" ref="C91">SUMPRODUCT(LEN(D91:J91))</f>
        <v>0</v>
      </c>
      <c r="D91" s="167"/>
      <c r="E91" s="172"/>
      <c r="F91" s="172"/>
      <c r="G91" s="172"/>
      <c r="H91" s="172"/>
      <c r="I91" s="172"/>
      <c r="J91" s="173"/>
      <c r="K91" s="442" t="s">
        <v>22</v>
      </c>
      <c r="L91" s="104" t="s">
        <v>16</v>
      </c>
      <c r="M91" s="1172"/>
      <c r="N91" s="1172"/>
      <c r="O91" s="1172"/>
      <c r="P91" s="1173"/>
      <c r="Q91" s="1174"/>
      <c r="R91" s="1175"/>
      <c r="S91" s="1176"/>
      <c r="T91" s="1177"/>
      <c r="U91" s="5248"/>
      <c r="V91" s="1177"/>
      <c r="W91" s="5249"/>
      <c r="X91" s="5208"/>
      <c r="Y91" s="5209"/>
      <c r="Z91" s="5210"/>
      <c r="AA91" s="5211"/>
      <c r="AB91" s="1178"/>
      <c r="AC91" s="1179"/>
      <c r="AD91" s="227" t="s">
        <v>22</v>
      </c>
      <c r="AE91" s="1027" t="str">
        <f t="shared" si="46"/>
        <v>►</v>
      </c>
      <c r="AF91" s="1028" t="str">
        <f t="shared" si="47"/>
        <v/>
      </c>
      <c r="AG91" s="1029" t="str">
        <f t="shared" si="48"/>
        <v/>
      </c>
      <c r="AH91" s="1028" t="str">
        <f t="shared" si="49"/>
        <v/>
      </c>
      <c r="AI91" s="1029" t="str">
        <f t="shared" si="50"/>
        <v/>
      </c>
      <c r="AJ91" s="1029">
        <f t="shared" si="51"/>
        <v>0</v>
      </c>
      <c r="AK91" s="1043" t="str" cm="1">
        <f t="array" ref="AK91">IF(AE91&lt;&gt;"A","",IFERROR((IFERROR(_xlfn.XLOOKUP(TRIM(SUBSTITUTE(U91,CHAR(160)," ")),$BI$15:$BI$62,$BL$15:$BL$62),IFERROR(_xlfn.XLOOKUP(TRIM(SUBSTITUTE(U91,CHAR(160)," ")),$BJ$15:$BJ$62,$BL$15:$BL$62),_xlfn.XLOOKUP(TRIM(SUBSTITUTE(U91,CHAR(160)," ")),$BK$15:$BK$62,$BL$15:$BL$62))))*T91*IF(ISBLANK(Q91),1,Q91)+IFERROR(_xlfn.XLOOKUP("RECHERCHEX",TRIM(L91:AC91),L91:AC91),0),0))</f>
        <v/>
      </c>
      <c r="AL91" s="1030">
        <f t="shared" si="52"/>
        <v>0</v>
      </c>
      <c r="AM91" s="5254" t="str">
        <f t="shared" si="40"/>
        <v/>
      </c>
      <c r="AN91" s="1031">
        <f t="shared" si="53"/>
        <v>0</v>
      </c>
      <c r="AO91" s="1031">
        <f t="shared" si="54"/>
        <v>0</v>
      </c>
      <c r="AP91" s="1044">
        <f t="shared" si="55"/>
        <v>0</v>
      </c>
      <c r="AQ91" s="5257" t="str">
        <f t="shared" si="56"/>
        <v/>
      </c>
      <c r="AR91" s="1056"/>
      <c r="AS91" s="1056"/>
      <c r="AT91" s="1045">
        <f t="shared" si="57"/>
        <v>0</v>
      </c>
      <c r="AU91" s="1046">
        <f t="shared" si="58"/>
        <v>0</v>
      </c>
      <c r="AV91" s="1059" cm="1">
        <f t="array" ref="AV91">IF(AJ91&lt;&gt;1,0,IF(OR(AT91="",N(AT91)&lt;=0.000000001),"",IF(OR(AN91="",N(AN91)&lt;=0.000000001),0,IF(ISNUMBER(AT91),IFERROR(_xlfn.LET(_xlpm.ai_test,TRIM(AI91),_xlpm.r,IFERROR(_xlfn.XLOOKUP(_xlpm.ai_test,$BI$15:$BI$62,ROW($BI$15:$BI$62),0,1),IFERROR(_xlfn.XLOOKUP(_xlpm.ai_test,$BJ$15:$BJ$62,ROW($BJ$15:$BJ$62),0,1),_xlfn.XLOOKUP(_xlpm.ai_test,$BK$15:$BK$62,ROW($BK$15:$BK$62),0,1))),_xlpm.p,_xlpm.r-MIN(ROW($BI$15:$BI$62))+1,_xlpm.f,INDEX($BL$15:$BL$62,_xlpm.p),_xlpm.u,INDEX($BM$15:$BM$62,_xlpm.p),_xlpm.s,INDEX($BO$15:$BO$62,_xlpm.p),_xlpm.q,N(AT91)/_xlpm.f,IF(_xlpm.q&gt;=_xlpm.s,ROUND(_xlpm.q,1)&amp;" "&amp;_xlpm.ai_test&amp;" = "&amp;ROUND(_xlpm.q*_xlpm.f,1)&amp;" "&amp;_xlpm.u,ROUND(_xlpm.q,1)&amp;" "&amp;_xlpm.ai_test)),""),""))))</f>
        <v>0</v>
      </c>
      <c r="AW91" s="1047"/>
      <c r="AX91" s="1045">
        <f t="shared" si="59"/>
        <v>0</v>
      </c>
      <c r="AY91" s="1046" t="str">
        <f t="shared" si="60"/>
        <v/>
      </c>
      <c r="AZ91" s="1048">
        <f t="shared" si="65"/>
        <v>0</v>
      </c>
      <c r="BA91" s="1049" t="str">
        <f t="shared" si="61"/>
        <v/>
      </c>
      <c r="BB91" s="1038"/>
      <c r="BC91" s="1050">
        <f t="shared" ref="BC91:BC154" si="66">IF(OR(AN91=0,ISBLANK(BB91),ISTEXT(AZ91)),0,(IF(AT91=0,AZ91,AT91)*BB91))</f>
        <v>0</v>
      </c>
      <c r="BD91" s="1040" t="str">
        <f t="shared" si="62"/>
        <v/>
      </c>
      <c r="BE91" s="227" t="s">
        <v>22</v>
      </c>
      <c r="BF91" s="1019">
        <f t="shared" si="63"/>
        <v>0</v>
      </c>
      <c r="BG91" s="1020">
        <f t="shared" si="64"/>
        <v>0</v>
      </c>
      <c r="BI91" s="5542"/>
      <c r="BJ91" s="5543"/>
      <c r="BK91" s="5543"/>
      <c r="BL91" s="5543"/>
      <c r="BM91" s="5543"/>
      <c r="BN91" s="5543"/>
      <c r="BO91" s="5543"/>
      <c r="BP91" s="5543"/>
      <c r="BQ91" s="5543"/>
      <c r="BR91" s="5543"/>
      <c r="BS91" s="5543"/>
      <c r="BT91" s="5543"/>
      <c r="BU91" s="5544"/>
      <c r="BV91"/>
      <c r="BW91" s="959" t="str">
        <f t="shared" si="45"/>
        <v>►</v>
      </c>
      <c r="BX91" s="1112" t="s">
        <v>1967</v>
      </c>
      <c r="BY91" s="276"/>
      <c r="BZ91" s="276"/>
      <c r="CA91" s="276"/>
      <c r="CB91" s="276"/>
      <c r="CC91" s="957"/>
      <c r="CD91"/>
      <c r="CE91"/>
      <c r="CF91"/>
      <c r="CG91"/>
      <c r="CH91"/>
      <c r="CI91"/>
      <c r="CJ91"/>
      <c r="CL91"/>
      <c r="CM91"/>
      <c r="CN91"/>
      <c r="CO91"/>
      <c r="CP91"/>
      <c r="CQ91"/>
      <c r="CR91"/>
      <c r="CT91"/>
      <c r="CU91"/>
      <c r="CV91"/>
      <c r="CW91"/>
      <c r="CX91"/>
      <c r="CY91"/>
      <c r="CZ91"/>
      <c r="DB91" s="3">
        <v>1</v>
      </c>
    </row>
    <row r="92" spans="1:106" s="709" customFormat="1" ht="21" customHeight="1">
      <c r="A92" s="936" t="s">
        <v>22</v>
      </c>
      <c r="B92" s="952" t="str">
        <f t="shared" si="44"/>
        <v>►</v>
      </c>
      <c r="C92" s="993" cm="1">
        <f t="array" ref="C92">SUMPRODUCT(LEN(D92:J92))</f>
        <v>0</v>
      </c>
      <c r="D92" s="167"/>
      <c r="E92" s="172"/>
      <c r="F92" s="172"/>
      <c r="G92" s="172"/>
      <c r="H92" s="172"/>
      <c r="I92" s="172"/>
      <c r="J92" s="173"/>
      <c r="K92" s="442"/>
      <c r="L92" s="104" t="s">
        <v>16</v>
      </c>
      <c r="M92" s="1172"/>
      <c r="N92" s="1172"/>
      <c r="O92" s="1172"/>
      <c r="P92" s="1173"/>
      <c r="Q92" s="1174"/>
      <c r="R92" s="1175"/>
      <c r="S92" s="1176"/>
      <c r="T92" s="1177"/>
      <c r="U92" s="5248"/>
      <c r="V92" s="1177"/>
      <c r="W92" s="5249"/>
      <c r="X92" s="5208"/>
      <c r="Y92" s="5209"/>
      <c r="Z92" s="5210"/>
      <c r="AA92" s="5211"/>
      <c r="AB92" s="1178"/>
      <c r="AC92" s="1179"/>
      <c r="AD92" s="227" t="s">
        <v>22</v>
      </c>
      <c r="AE92" s="1027" t="str">
        <f t="shared" si="46"/>
        <v>►</v>
      </c>
      <c r="AF92" s="1028" t="str">
        <f t="shared" si="47"/>
        <v/>
      </c>
      <c r="AG92" s="1029" t="str">
        <f t="shared" si="48"/>
        <v/>
      </c>
      <c r="AH92" s="1028" t="str">
        <f t="shared" si="49"/>
        <v/>
      </c>
      <c r="AI92" s="1029" t="str">
        <f t="shared" si="50"/>
        <v/>
      </c>
      <c r="AJ92" s="1029">
        <f t="shared" si="51"/>
        <v>0</v>
      </c>
      <c r="AK92" s="1043" t="str" cm="1">
        <f t="array" ref="AK92">IF(AE92&lt;&gt;"A","",IFERROR((IFERROR(_xlfn.XLOOKUP(TRIM(SUBSTITUTE(U92,CHAR(160)," ")),$BI$15:$BI$62,$BL$15:$BL$62),IFERROR(_xlfn.XLOOKUP(TRIM(SUBSTITUTE(U92,CHAR(160)," ")),$BJ$15:$BJ$62,$BL$15:$BL$62),_xlfn.XLOOKUP(TRIM(SUBSTITUTE(U92,CHAR(160)," ")),$BK$15:$BK$62,$BL$15:$BL$62))))*T92*IF(ISBLANK(Q92),1,Q92)+IFERROR(_xlfn.XLOOKUP("RECHERCHEX",TRIM(L92:AC92),L92:AC92),0),0))</f>
        <v/>
      </c>
      <c r="AL92" s="1030">
        <f t="shared" si="52"/>
        <v>0</v>
      </c>
      <c r="AM92" s="5254" t="str">
        <f t="shared" si="40"/>
        <v/>
      </c>
      <c r="AN92" s="1031">
        <f t="shared" si="53"/>
        <v>0</v>
      </c>
      <c r="AO92" s="1031">
        <f t="shared" si="54"/>
        <v>0</v>
      </c>
      <c r="AP92" s="1032">
        <f t="shared" si="55"/>
        <v>0</v>
      </c>
      <c r="AQ92" s="5255" t="str">
        <f t="shared" si="56"/>
        <v/>
      </c>
      <c r="AR92" s="1056"/>
      <c r="AS92" s="1056"/>
      <c r="AT92" s="1034">
        <f t="shared" si="57"/>
        <v>0</v>
      </c>
      <c r="AU92" s="1035">
        <f t="shared" si="58"/>
        <v>0</v>
      </c>
      <c r="AV92" s="1057" cm="1">
        <f t="array" ref="AV92">IF(AJ92&lt;&gt;1,0,IF(OR(AT92="",N(AT92)&lt;=0.000000001),"",IF(OR(AN92="",N(AN92)&lt;=0.000000001),0,IF(ISNUMBER(AT92),IFERROR(_xlfn.LET(_xlpm.ai_test,TRIM(AI92),_xlpm.r,IFERROR(_xlfn.XLOOKUP(_xlpm.ai_test,$BI$15:$BI$62,ROW($BI$15:$BI$62),0,1),IFERROR(_xlfn.XLOOKUP(_xlpm.ai_test,$BJ$15:$BJ$62,ROW($BJ$15:$BJ$62),0,1),_xlfn.XLOOKUP(_xlpm.ai_test,$BK$15:$BK$62,ROW($BK$15:$BK$62),0,1))),_xlpm.p,_xlpm.r-MIN(ROW($BI$15:$BI$62))+1,_xlpm.f,INDEX($BL$15:$BL$62,_xlpm.p),_xlpm.u,INDEX($BM$15:$BM$62,_xlpm.p),_xlpm.s,INDEX($BO$15:$BO$62,_xlpm.p),_xlpm.q,N(AT92)/_xlpm.f,IF(_xlpm.q&gt;=_xlpm.s,ROUND(_xlpm.q,1)&amp;" "&amp;_xlpm.ai_test&amp;" = "&amp;ROUND(_xlpm.q*_xlpm.f,1)&amp;" "&amp;_xlpm.u,ROUND(_xlpm.q,1)&amp;" "&amp;_xlpm.ai_test)),""),""))))</f>
        <v>0</v>
      </c>
      <c r="AW92" s="1047"/>
      <c r="AX92" s="1034">
        <f t="shared" si="59"/>
        <v>0</v>
      </c>
      <c r="AY92" s="1035" t="str">
        <f t="shared" si="60"/>
        <v/>
      </c>
      <c r="AZ92" s="1036">
        <f t="shared" si="65"/>
        <v>0</v>
      </c>
      <c r="BA92" s="1037" t="str">
        <f t="shared" si="61"/>
        <v/>
      </c>
      <c r="BB92" s="1038"/>
      <c r="BC92" s="1039">
        <f t="shared" si="66"/>
        <v>0</v>
      </c>
      <c r="BD92" s="1040" t="str">
        <f t="shared" si="62"/>
        <v/>
      </c>
      <c r="BE92" s="227" t="s">
        <v>22</v>
      </c>
      <c r="BF92" s="1019">
        <f t="shared" si="63"/>
        <v>0</v>
      </c>
      <c r="BG92" s="1020">
        <f t="shared" si="64"/>
        <v>0</v>
      </c>
      <c r="BI92" s="709" t="s">
        <v>2622</v>
      </c>
      <c r="BV92"/>
      <c r="BW92" s="959" t="str">
        <f t="shared" si="45"/>
        <v>►</v>
      </c>
      <c r="BX92" s="1113" t="s">
        <v>1968</v>
      </c>
      <c r="BY92" s="276"/>
      <c r="BZ92" s="276"/>
      <c r="CA92" s="276"/>
      <c r="CB92" s="276"/>
      <c r="CC92" s="957"/>
      <c r="CD92"/>
      <c r="CE92"/>
      <c r="CF92"/>
      <c r="CG92"/>
      <c r="CH92"/>
      <c r="CI92"/>
      <c r="CJ92"/>
      <c r="CL92"/>
      <c r="CM92"/>
      <c r="CN92"/>
      <c r="CO92"/>
      <c r="CP92"/>
      <c r="CQ92"/>
      <c r="CR92"/>
      <c r="CT92"/>
      <c r="CU92"/>
      <c r="CV92"/>
      <c r="CW92"/>
      <c r="CX92"/>
      <c r="CY92"/>
      <c r="CZ92"/>
      <c r="DB92" s="3">
        <v>1</v>
      </c>
    </row>
    <row r="93" spans="1:106" s="709" customFormat="1" ht="21" customHeight="1">
      <c r="A93" s="936" t="s">
        <v>22</v>
      </c>
      <c r="B93" s="952" t="str">
        <f t="shared" si="44"/>
        <v>►</v>
      </c>
      <c r="C93" s="993" cm="1">
        <f t="array" ref="C93">SUMPRODUCT(LEN(D93:J93))</f>
        <v>0</v>
      </c>
      <c r="D93" s="167"/>
      <c r="E93" s="172"/>
      <c r="F93" s="172"/>
      <c r="G93" s="172"/>
      <c r="H93" s="172"/>
      <c r="I93" s="172"/>
      <c r="J93" s="173"/>
      <c r="K93" s="442"/>
      <c r="L93" s="104" t="s">
        <v>16</v>
      </c>
      <c r="M93" s="1172"/>
      <c r="N93" s="1172"/>
      <c r="O93" s="1172"/>
      <c r="P93" s="1173"/>
      <c r="Q93" s="1174"/>
      <c r="R93" s="1175"/>
      <c r="S93" s="1176"/>
      <c r="T93" s="1177"/>
      <c r="U93" s="5248"/>
      <c r="V93" s="1177"/>
      <c r="W93" s="5249"/>
      <c r="X93" s="5208"/>
      <c r="Y93" s="5209"/>
      <c r="Z93" s="5210"/>
      <c r="AA93" s="5211"/>
      <c r="AB93" s="1178"/>
      <c r="AC93" s="1179"/>
      <c r="AD93" s="227" t="s">
        <v>22</v>
      </c>
      <c r="AE93" s="1027" t="str">
        <f t="shared" si="46"/>
        <v>►</v>
      </c>
      <c r="AF93" s="1028" t="str">
        <f t="shared" si="47"/>
        <v/>
      </c>
      <c r="AG93" s="1029" t="str">
        <f t="shared" si="48"/>
        <v/>
      </c>
      <c r="AH93" s="1028" t="str">
        <f t="shared" si="49"/>
        <v/>
      </c>
      <c r="AI93" s="1029" t="str">
        <f t="shared" si="50"/>
        <v/>
      </c>
      <c r="AJ93" s="1029">
        <f t="shared" si="51"/>
        <v>0</v>
      </c>
      <c r="AK93" s="1043" t="str" cm="1">
        <f t="array" ref="AK93">IF(AE93&lt;&gt;"A","",IFERROR((IFERROR(_xlfn.XLOOKUP(TRIM(SUBSTITUTE(U93,CHAR(160)," ")),$BI$15:$BI$62,$BL$15:$BL$62),IFERROR(_xlfn.XLOOKUP(TRIM(SUBSTITUTE(U93,CHAR(160)," ")),$BJ$15:$BJ$62,$BL$15:$BL$62),_xlfn.XLOOKUP(TRIM(SUBSTITUTE(U93,CHAR(160)," ")),$BK$15:$BK$62,$BL$15:$BL$62))))*T93*IF(ISBLANK(Q93),1,Q93)+IFERROR(_xlfn.XLOOKUP("RECHERCHEX",TRIM(L93:AC93),L93:AC93),0),0))</f>
        <v/>
      </c>
      <c r="AL93" s="1030">
        <f t="shared" si="52"/>
        <v>0</v>
      </c>
      <c r="AM93" s="5254" t="str">
        <f t="shared" si="40"/>
        <v/>
      </c>
      <c r="AN93" s="1031">
        <f t="shared" si="53"/>
        <v>0</v>
      </c>
      <c r="AO93" s="1031">
        <f t="shared" si="54"/>
        <v>0</v>
      </c>
      <c r="AP93" s="1044">
        <f t="shared" si="55"/>
        <v>0</v>
      </c>
      <c r="AQ93" s="5257" t="str">
        <f t="shared" si="56"/>
        <v/>
      </c>
      <c r="AR93" s="1056"/>
      <c r="AS93" s="1056"/>
      <c r="AT93" s="1045">
        <f t="shared" si="57"/>
        <v>0</v>
      </c>
      <c r="AU93" s="1046">
        <f t="shared" si="58"/>
        <v>0</v>
      </c>
      <c r="AV93" s="1059" cm="1">
        <f t="array" ref="AV93">IF(AJ93&lt;&gt;1,0,IF(OR(AT93="",N(AT93)&lt;=0.000000001),"",IF(OR(AN93="",N(AN93)&lt;=0.000000001),0,IF(ISNUMBER(AT93),IFERROR(_xlfn.LET(_xlpm.ai_test,TRIM(AI93),_xlpm.r,IFERROR(_xlfn.XLOOKUP(_xlpm.ai_test,$BI$15:$BI$62,ROW($BI$15:$BI$62),0,1),IFERROR(_xlfn.XLOOKUP(_xlpm.ai_test,$BJ$15:$BJ$62,ROW($BJ$15:$BJ$62),0,1),_xlfn.XLOOKUP(_xlpm.ai_test,$BK$15:$BK$62,ROW($BK$15:$BK$62),0,1))),_xlpm.p,_xlpm.r-MIN(ROW($BI$15:$BI$62))+1,_xlpm.f,INDEX($BL$15:$BL$62,_xlpm.p),_xlpm.u,INDEX($BM$15:$BM$62,_xlpm.p),_xlpm.s,INDEX($BO$15:$BO$62,_xlpm.p),_xlpm.q,N(AT93)/_xlpm.f,IF(_xlpm.q&gt;=_xlpm.s,ROUND(_xlpm.q,1)&amp;" "&amp;_xlpm.ai_test&amp;" = "&amp;ROUND(_xlpm.q*_xlpm.f,1)&amp;" "&amp;_xlpm.u,ROUND(_xlpm.q,1)&amp;" "&amp;_xlpm.ai_test)),""),""))))</f>
        <v>0</v>
      </c>
      <c r="AW93" s="1047"/>
      <c r="AX93" s="1045">
        <f t="shared" si="59"/>
        <v>0</v>
      </c>
      <c r="AY93" s="1046" t="str">
        <f t="shared" si="60"/>
        <v/>
      </c>
      <c r="AZ93" s="1048">
        <f t="shared" si="65"/>
        <v>0</v>
      </c>
      <c r="BA93" s="1049" t="str">
        <f t="shared" si="61"/>
        <v/>
      </c>
      <c r="BB93" s="1038"/>
      <c r="BC93" s="1050">
        <f t="shared" si="66"/>
        <v>0</v>
      </c>
      <c r="BD93" s="1040" t="str">
        <f t="shared" si="62"/>
        <v/>
      </c>
      <c r="BE93" s="227" t="s">
        <v>22</v>
      </c>
      <c r="BF93" s="1019">
        <f t="shared" si="63"/>
        <v>0</v>
      </c>
      <c r="BG93" s="1020">
        <f t="shared" si="64"/>
        <v>0</v>
      </c>
      <c r="BI93" s="5251" t="s">
        <v>143</v>
      </c>
      <c r="BJ93" s="5191" t="s">
        <v>99</v>
      </c>
      <c r="BK93" s="5196" t="s">
        <v>1346</v>
      </c>
      <c r="BL93" s="5192" t="s">
        <v>1338</v>
      </c>
      <c r="BM93" s="5192" t="s">
        <v>1339</v>
      </c>
      <c r="BN93" s="5192" t="s">
        <v>1340</v>
      </c>
      <c r="BO93" s="5258" t="s">
        <v>0</v>
      </c>
      <c r="BP93" s="5193" t="s">
        <v>96</v>
      </c>
      <c r="BQ93" s="5193" t="s">
        <v>147</v>
      </c>
      <c r="BR93" s="5258" t="s">
        <v>148</v>
      </c>
      <c r="BS93" s="5194" t="s">
        <v>1341</v>
      </c>
      <c r="BT93" s="5194" t="s">
        <v>1342</v>
      </c>
      <c r="BU93" s="5198" t="s">
        <v>1343</v>
      </c>
      <c r="BV93"/>
      <c r="BW93" s="959" t="str">
        <f t="shared" si="45"/>
        <v>►</v>
      </c>
      <c r="BX93" s="1112" t="s">
        <v>1969</v>
      </c>
      <c r="BY93" s="276"/>
      <c r="BZ93" s="276"/>
      <c r="CA93" s="276"/>
      <c r="CB93" s="276"/>
      <c r="CC93" s="957"/>
      <c r="CD93"/>
      <c r="CE93"/>
      <c r="CF93"/>
      <c r="CG93"/>
      <c r="CH93"/>
      <c r="CI93"/>
      <c r="CJ93"/>
      <c r="CL93"/>
      <c r="CM93"/>
      <c r="CN93"/>
      <c r="CO93"/>
      <c r="CP93"/>
      <c r="CQ93"/>
      <c r="CR93"/>
      <c r="CT93"/>
      <c r="CU93"/>
      <c r="CV93"/>
      <c r="CW93"/>
      <c r="CX93"/>
      <c r="CY93"/>
      <c r="CZ93"/>
      <c r="DB93" s="3">
        <v>1</v>
      </c>
    </row>
    <row r="94" spans="1:106" s="709" customFormat="1" ht="21" customHeight="1">
      <c r="A94" s="936" t="s">
        <v>22</v>
      </c>
      <c r="B94" s="952" t="str">
        <f t="shared" si="44"/>
        <v>►</v>
      </c>
      <c r="C94" s="993" cm="1">
        <f t="array" ref="C94">SUMPRODUCT(LEN(D94:J94))</f>
        <v>0</v>
      </c>
      <c r="D94" s="167"/>
      <c r="E94" s="172"/>
      <c r="F94" s="172"/>
      <c r="G94" s="172"/>
      <c r="H94" s="172"/>
      <c r="I94" s="172"/>
      <c r="J94" s="173"/>
      <c r="K94" s="442"/>
      <c r="L94" s="104" t="s">
        <v>16</v>
      </c>
      <c r="M94" s="1172"/>
      <c r="N94" s="1172"/>
      <c r="O94" s="1172"/>
      <c r="P94" s="1173"/>
      <c r="Q94" s="1174"/>
      <c r="R94" s="1175"/>
      <c r="S94" s="1176"/>
      <c r="T94" s="1177"/>
      <c r="U94" s="5248"/>
      <c r="V94" s="1177"/>
      <c r="W94" s="5249"/>
      <c r="X94" s="5208"/>
      <c r="Y94" s="5209"/>
      <c r="Z94" s="5210"/>
      <c r="AA94" s="5211"/>
      <c r="AB94" s="1178"/>
      <c r="AC94" s="1179"/>
      <c r="AD94" s="227" t="s">
        <v>22</v>
      </c>
      <c r="AE94" s="1027" t="str">
        <f t="shared" si="46"/>
        <v>►</v>
      </c>
      <c r="AF94" s="1028" t="str">
        <f t="shared" si="47"/>
        <v/>
      </c>
      <c r="AG94" s="1029" t="str">
        <f t="shared" si="48"/>
        <v/>
      </c>
      <c r="AH94" s="1028" t="str">
        <f t="shared" si="49"/>
        <v/>
      </c>
      <c r="AI94" s="1029" t="str">
        <f t="shared" si="50"/>
        <v/>
      </c>
      <c r="AJ94" s="1029">
        <f t="shared" si="51"/>
        <v>0</v>
      </c>
      <c r="AK94" s="1043" t="str" cm="1">
        <f t="array" ref="AK94">IF(AE94&lt;&gt;"A","",IFERROR((IFERROR(_xlfn.XLOOKUP(TRIM(SUBSTITUTE(U94,CHAR(160)," ")),$BI$15:$BI$62,$BL$15:$BL$62),IFERROR(_xlfn.XLOOKUP(TRIM(SUBSTITUTE(U94,CHAR(160)," ")),$BJ$15:$BJ$62,$BL$15:$BL$62),_xlfn.XLOOKUP(TRIM(SUBSTITUTE(U94,CHAR(160)," ")),$BK$15:$BK$62,$BL$15:$BL$62))))*T94*IF(ISBLANK(Q94),1,Q94)+IFERROR(_xlfn.XLOOKUP("RECHERCHEX",TRIM(L94:AC94),L94:AC94),0),0))</f>
        <v/>
      </c>
      <c r="AL94" s="1030">
        <f t="shared" si="52"/>
        <v>0</v>
      </c>
      <c r="AM94" s="5254" t="str">
        <f t="shared" ref="AM94:AM157" si="67">IF(AE94="A","❾ Author reference &gt;","")</f>
        <v/>
      </c>
      <c r="AN94" s="1031">
        <f t="shared" si="53"/>
        <v>0</v>
      </c>
      <c r="AO94" s="1031">
        <f t="shared" si="54"/>
        <v>0</v>
      </c>
      <c r="AP94" s="1032">
        <f t="shared" si="55"/>
        <v>0</v>
      </c>
      <c r="AQ94" s="5255" t="str">
        <f t="shared" si="56"/>
        <v/>
      </c>
      <c r="AR94" s="1056"/>
      <c r="AS94" s="1056"/>
      <c r="AT94" s="1034">
        <f t="shared" si="57"/>
        <v>0</v>
      </c>
      <c r="AU94" s="1035">
        <f t="shared" si="58"/>
        <v>0</v>
      </c>
      <c r="AV94" s="1057" cm="1">
        <f t="array" ref="AV94">IF(AJ94&lt;&gt;1,0,IF(OR(AT94="",N(AT94)&lt;=0.000000001),"",IF(OR(AN94="",N(AN94)&lt;=0.000000001),0,IF(ISNUMBER(AT94),IFERROR(_xlfn.LET(_xlpm.ai_test,TRIM(AI94),_xlpm.r,IFERROR(_xlfn.XLOOKUP(_xlpm.ai_test,$BI$15:$BI$62,ROW($BI$15:$BI$62),0,1),IFERROR(_xlfn.XLOOKUP(_xlpm.ai_test,$BJ$15:$BJ$62,ROW($BJ$15:$BJ$62),0,1),_xlfn.XLOOKUP(_xlpm.ai_test,$BK$15:$BK$62,ROW($BK$15:$BK$62),0,1))),_xlpm.p,_xlpm.r-MIN(ROW($BI$15:$BI$62))+1,_xlpm.f,INDEX($BL$15:$BL$62,_xlpm.p),_xlpm.u,INDEX($BM$15:$BM$62,_xlpm.p),_xlpm.s,INDEX($BO$15:$BO$62,_xlpm.p),_xlpm.q,N(AT94)/_xlpm.f,IF(_xlpm.q&gt;=_xlpm.s,ROUND(_xlpm.q,1)&amp;" "&amp;_xlpm.ai_test&amp;" = "&amp;ROUND(_xlpm.q*_xlpm.f,1)&amp;" "&amp;_xlpm.u,ROUND(_xlpm.q,1)&amp;" "&amp;_xlpm.ai_test)),""),""))))</f>
        <v>0</v>
      </c>
      <c r="AW94" s="1047"/>
      <c r="AX94" s="1034">
        <f t="shared" si="59"/>
        <v>0</v>
      </c>
      <c r="AY94" s="1035" t="str">
        <f t="shared" si="60"/>
        <v/>
      </c>
      <c r="AZ94" s="1036">
        <f t="shared" si="65"/>
        <v>0</v>
      </c>
      <c r="BA94" s="1037" t="str">
        <f t="shared" si="61"/>
        <v/>
      </c>
      <c r="BB94" s="1038"/>
      <c r="BC94" s="1039">
        <f t="shared" si="66"/>
        <v>0</v>
      </c>
      <c r="BD94" s="1040" t="str">
        <f t="shared" si="62"/>
        <v/>
      </c>
      <c r="BE94" s="227" t="s">
        <v>22</v>
      </c>
      <c r="BF94" s="1019">
        <f t="shared" si="63"/>
        <v>0</v>
      </c>
      <c r="BG94" s="1020">
        <f t="shared" si="64"/>
        <v>0</v>
      </c>
      <c r="BI94" s="5199">
        <v>1</v>
      </c>
      <c r="BJ94" s="5227">
        <v>1E-3</v>
      </c>
      <c r="BK94" s="5228">
        <v>0</v>
      </c>
      <c r="BL94" s="5227">
        <v>0.25</v>
      </c>
      <c r="BM94" s="5227">
        <v>0.33332999999999996</v>
      </c>
      <c r="BN94" s="5227">
        <v>0.5</v>
      </c>
      <c r="BO94" s="5229">
        <v>1</v>
      </c>
      <c r="BP94" s="5229">
        <v>0.1</v>
      </c>
      <c r="BQ94" s="5229">
        <v>0.01</v>
      </c>
      <c r="BR94" s="5229">
        <v>1E-3</v>
      </c>
      <c r="BS94" s="5229">
        <v>0.5</v>
      </c>
      <c r="BT94" s="5229">
        <v>0.33300000000000002</v>
      </c>
      <c r="BU94" s="5206">
        <v>0.2</v>
      </c>
      <c r="BV94"/>
      <c r="BW94" s="959" t="str">
        <f t="shared" si="45"/>
        <v>►</v>
      </c>
      <c r="BX94" s="1116" t="s">
        <v>1970</v>
      </c>
      <c r="BY94" s="48"/>
      <c r="BZ94" s="48"/>
      <c r="CA94" s="48"/>
      <c r="CB94" s="48"/>
      <c r="CC94" s="957"/>
      <c r="CD94"/>
      <c r="CE94"/>
      <c r="CF94"/>
      <c r="CG94"/>
      <c r="CH94"/>
      <c r="CI94"/>
      <c r="CJ94"/>
      <c r="CK94"/>
      <c r="CL94"/>
      <c r="CM94"/>
      <c r="CN94"/>
      <c r="CO94"/>
      <c r="CP94"/>
      <c r="CQ94"/>
      <c r="CR94"/>
      <c r="CS94"/>
      <c r="CT94"/>
      <c r="CU94"/>
      <c r="CV94"/>
      <c r="CW94"/>
      <c r="CX94"/>
      <c r="CY94"/>
      <c r="CZ94"/>
      <c r="DB94" s="3">
        <v>1</v>
      </c>
    </row>
    <row r="95" spans="1:106" s="709" customFormat="1" ht="21" customHeight="1">
      <c r="A95" s="936" t="s">
        <v>22</v>
      </c>
      <c r="B95" s="952" t="str">
        <f t="shared" si="44"/>
        <v>►</v>
      </c>
      <c r="C95" s="993" cm="1">
        <f t="array" ref="C95">SUMPRODUCT(LEN(D95:J95))</f>
        <v>0</v>
      </c>
      <c r="D95" s="167"/>
      <c r="E95" s="172"/>
      <c r="F95" s="172"/>
      <c r="G95" s="172"/>
      <c r="H95" s="172"/>
      <c r="I95" s="172"/>
      <c r="J95" s="173"/>
      <c r="K95" s="442"/>
      <c r="L95" s="104" t="s">
        <v>16</v>
      </c>
      <c r="M95" s="1172"/>
      <c r="N95" s="1172"/>
      <c r="O95" s="1172"/>
      <c r="P95" s="1173"/>
      <c r="Q95" s="1174"/>
      <c r="R95" s="1175"/>
      <c r="S95" s="1176"/>
      <c r="T95" s="1177"/>
      <c r="U95" s="5248"/>
      <c r="V95" s="1177"/>
      <c r="W95" s="5249"/>
      <c r="X95" s="5208"/>
      <c r="Y95" s="5209"/>
      <c r="Z95" s="5210"/>
      <c r="AA95" s="5211"/>
      <c r="AB95" s="1178"/>
      <c r="AC95" s="1179"/>
      <c r="AD95" s="227" t="s">
        <v>22</v>
      </c>
      <c r="AE95" s="1027" t="str">
        <f t="shared" si="46"/>
        <v>►</v>
      </c>
      <c r="AF95" s="1028" t="str">
        <f t="shared" si="47"/>
        <v/>
      </c>
      <c r="AG95" s="1029" t="str">
        <f t="shared" si="48"/>
        <v/>
      </c>
      <c r="AH95" s="1028" t="str">
        <f t="shared" si="49"/>
        <v/>
      </c>
      <c r="AI95" s="1029" t="str">
        <f t="shared" si="50"/>
        <v/>
      </c>
      <c r="AJ95" s="1029">
        <f t="shared" si="51"/>
        <v>0</v>
      </c>
      <c r="AK95" s="1043" t="str" cm="1">
        <f t="array" ref="AK95">IF(AE95&lt;&gt;"A","",IFERROR((IFERROR(_xlfn.XLOOKUP(TRIM(SUBSTITUTE(U95,CHAR(160)," ")),$BI$15:$BI$62,$BL$15:$BL$62),IFERROR(_xlfn.XLOOKUP(TRIM(SUBSTITUTE(U95,CHAR(160)," ")),$BJ$15:$BJ$62,$BL$15:$BL$62),_xlfn.XLOOKUP(TRIM(SUBSTITUTE(U95,CHAR(160)," ")),$BK$15:$BK$62,$BL$15:$BL$62))))*T95*IF(ISBLANK(Q95),1,Q95)+IFERROR(_xlfn.XLOOKUP("RECHERCHEX",TRIM(L95:AC95),L95:AC95),0),0))</f>
        <v/>
      </c>
      <c r="AL95" s="1030">
        <f t="shared" si="52"/>
        <v>0</v>
      </c>
      <c r="AM95" s="5254" t="str">
        <f t="shared" si="67"/>
        <v/>
      </c>
      <c r="AN95" s="1031">
        <f t="shared" si="53"/>
        <v>0</v>
      </c>
      <c r="AO95" s="1031">
        <f t="shared" si="54"/>
        <v>0</v>
      </c>
      <c r="AP95" s="1044">
        <f t="shared" si="55"/>
        <v>0</v>
      </c>
      <c r="AQ95" s="5257" t="str">
        <f t="shared" si="56"/>
        <v/>
      </c>
      <c r="AR95" s="1056"/>
      <c r="AS95" s="1056"/>
      <c r="AT95" s="1045">
        <f t="shared" si="57"/>
        <v>0</v>
      </c>
      <c r="AU95" s="1046">
        <f t="shared" si="58"/>
        <v>0</v>
      </c>
      <c r="AV95" s="1059" cm="1">
        <f t="array" ref="AV95">IF(AJ95&lt;&gt;1,0,IF(OR(AT95="",N(AT95)&lt;=0.000000001),"",IF(OR(AN95="",N(AN95)&lt;=0.000000001),0,IF(ISNUMBER(AT95),IFERROR(_xlfn.LET(_xlpm.ai_test,TRIM(AI95),_xlpm.r,IFERROR(_xlfn.XLOOKUP(_xlpm.ai_test,$BI$15:$BI$62,ROW($BI$15:$BI$62),0,1),IFERROR(_xlfn.XLOOKUP(_xlpm.ai_test,$BJ$15:$BJ$62,ROW($BJ$15:$BJ$62),0,1),_xlfn.XLOOKUP(_xlpm.ai_test,$BK$15:$BK$62,ROW($BK$15:$BK$62),0,1))),_xlpm.p,_xlpm.r-MIN(ROW($BI$15:$BI$62))+1,_xlpm.f,INDEX($BL$15:$BL$62,_xlpm.p),_xlpm.u,INDEX($BM$15:$BM$62,_xlpm.p),_xlpm.s,INDEX($BO$15:$BO$62,_xlpm.p),_xlpm.q,N(AT95)/_xlpm.f,IF(_xlpm.q&gt;=_xlpm.s,ROUND(_xlpm.q,1)&amp;" "&amp;_xlpm.ai_test&amp;" = "&amp;ROUND(_xlpm.q*_xlpm.f,1)&amp;" "&amp;_xlpm.u,ROUND(_xlpm.q,1)&amp;" "&amp;_xlpm.ai_test)),""),""))))</f>
        <v>0</v>
      </c>
      <c r="AW95" s="1047"/>
      <c r="AX95" s="1045">
        <f t="shared" si="59"/>
        <v>0</v>
      </c>
      <c r="AY95" s="1046" t="str">
        <f t="shared" si="60"/>
        <v/>
      </c>
      <c r="AZ95" s="1048">
        <f t="shared" si="65"/>
        <v>0</v>
      </c>
      <c r="BA95" s="1049" t="str">
        <f t="shared" si="61"/>
        <v/>
      </c>
      <c r="BB95" s="1038"/>
      <c r="BC95" s="1050">
        <f t="shared" si="66"/>
        <v>0</v>
      </c>
      <c r="BD95" s="1040" t="str">
        <f t="shared" si="62"/>
        <v/>
      </c>
      <c r="BE95" s="227" t="s">
        <v>22</v>
      </c>
      <c r="BF95" s="1019">
        <f t="shared" si="63"/>
        <v>0</v>
      </c>
      <c r="BG95" s="1020">
        <f t="shared" si="64"/>
        <v>0</v>
      </c>
      <c r="BI95" s="5200" t="s">
        <v>1344</v>
      </c>
      <c r="BJ95" s="5200" t="s">
        <v>1345</v>
      </c>
      <c r="BK95" s="5196" t="s">
        <v>1346</v>
      </c>
      <c r="BL95" s="5200" t="s">
        <v>1347</v>
      </c>
      <c r="BM95" s="5200" t="s">
        <v>1348</v>
      </c>
      <c r="BN95" s="5200" t="s">
        <v>1349</v>
      </c>
      <c r="BO95" s="5201" t="s">
        <v>1350</v>
      </c>
      <c r="BP95" s="5202" t="s">
        <v>1351</v>
      </c>
      <c r="BQ95" s="5202" t="s">
        <v>1352</v>
      </c>
      <c r="BR95" s="5194" t="s">
        <v>1353</v>
      </c>
      <c r="BS95" s="5194" t="s">
        <v>1354</v>
      </c>
      <c r="BT95" s="5194" t="s">
        <v>1355</v>
      </c>
      <c r="BU95" s="5262" t="s">
        <v>1356</v>
      </c>
      <c r="BV95"/>
      <c r="BW95" s="959" t="str">
        <f t="shared" si="45"/>
        <v>►</v>
      </c>
      <c r="BX95" s="1117" t="s">
        <v>1964</v>
      </c>
      <c r="BY95" s="276"/>
      <c r="BZ95" s="276"/>
      <c r="CA95" s="48"/>
      <c r="CB95" s="48"/>
      <c r="CC95" s="957"/>
      <c r="CD95"/>
      <c r="CE95"/>
      <c r="CF95"/>
      <c r="CG95"/>
      <c r="CH95"/>
      <c r="CI95"/>
      <c r="CJ95"/>
      <c r="CK95"/>
      <c r="CL95"/>
      <c r="CM95"/>
      <c r="CN95"/>
      <c r="CO95"/>
      <c r="CP95"/>
      <c r="CQ95"/>
      <c r="CR95"/>
      <c r="CS95"/>
      <c r="CT95"/>
      <c r="CU95"/>
      <c r="CV95"/>
      <c r="CW95"/>
      <c r="CX95"/>
      <c r="CY95"/>
      <c r="CZ95"/>
      <c r="DB95" s="3">
        <v>1</v>
      </c>
    </row>
    <row r="96" spans="1:106" s="709" customFormat="1" ht="21" customHeight="1">
      <c r="A96" s="936" t="s">
        <v>22</v>
      </c>
      <c r="B96" s="952" t="str">
        <f t="shared" si="44"/>
        <v>►</v>
      </c>
      <c r="C96" s="993" cm="1">
        <f t="array" ref="C96">SUMPRODUCT(LEN(D96:J96))</f>
        <v>0</v>
      </c>
      <c r="D96" s="167"/>
      <c r="E96" s="172"/>
      <c r="F96" s="172"/>
      <c r="G96" s="172"/>
      <c r="H96" s="172"/>
      <c r="I96" s="172"/>
      <c r="J96" s="173"/>
      <c r="K96" s="442"/>
      <c r="L96" s="104" t="s">
        <v>16</v>
      </c>
      <c r="M96" s="1172"/>
      <c r="N96" s="1172"/>
      <c r="O96" s="1172"/>
      <c r="P96" s="1173"/>
      <c r="Q96" s="1174"/>
      <c r="R96" s="1175"/>
      <c r="S96" s="1176"/>
      <c r="T96" s="1177"/>
      <c r="U96" s="5248"/>
      <c r="V96" s="1177"/>
      <c r="W96" s="5249"/>
      <c r="X96" s="5208"/>
      <c r="Y96" s="5209"/>
      <c r="Z96" s="5210"/>
      <c r="AA96" s="5211"/>
      <c r="AB96" s="1178"/>
      <c r="AC96" s="1179"/>
      <c r="AD96" s="227" t="s">
        <v>22</v>
      </c>
      <c r="AE96" s="1027" t="str">
        <f t="shared" si="46"/>
        <v>►</v>
      </c>
      <c r="AF96" s="1028" t="str">
        <f t="shared" si="47"/>
        <v/>
      </c>
      <c r="AG96" s="1029" t="str">
        <f t="shared" si="48"/>
        <v/>
      </c>
      <c r="AH96" s="1028" t="str">
        <f t="shared" si="49"/>
        <v/>
      </c>
      <c r="AI96" s="1029" t="str">
        <f t="shared" si="50"/>
        <v/>
      </c>
      <c r="AJ96" s="1029">
        <f t="shared" si="51"/>
        <v>0</v>
      </c>
      <c r="AK96" s="1043" t="str" cm="1">
        <f t="array" ref="AK96">IF(AE96&lt;&gt;"A","",IFERROR((IFERROR(_xlfn.XLOOKUP(TRIM(SUBSTITUTE(U96,CHAR(160)," ")),$BI$15:$BI$62,$BL$15:$BL$62),IFERROR(_xlfn.XLOOKUP(TRIM(SUBSTITUTE(U96,CHAR(160)," ")),$BJ$15:$BJ$62,$BL$15:$BL$62),_xlfn.XLOOKUP(TRIM(SUBSTITUTE(U96,CHAR(160)," ")),$BK$15:$BK$62,$BL$15:$BL$62))))*T96*IF(ISBLANK(Q96),1,Q96)+IFERROR(_xlfn.XLOOKUP("RECHERCHEX",TRIM(L96:AC96),L96:AC96),0),0))</f>
        <v/>
      </c>
      <c r="AL96" s="1030">
        <f t="shared" si="52"/>
        <v>0</v>
      </c>
      <c r="AM96" s="5254" t="str">
        <f t="shared" si="67"/>
        <v/>
      </c>
      <c r="AN96" s="1031">
        <f t="shared" si="53"/>
        <v>0</v>
      </c>
      <c r="AO96" s="1031">
        <f t="shared" si="54"/>
        <v>0</v>
      </c>
      <c r="AP96" s="1032">
        <f t="shared" si="55"/>
        <v>0</v>
      </c>
      <c r="AQ96" s="5255" t="str">
        <f t="shared" si="56"/>
        <v/>
      </c>
      <c r="AR96" s="1056"/>
      <c r="AS96" s="1056"/>
      <c r="AT96" s="1034">
        <f t="shared" si="57"/>
        <v>0</v>
      </c>
      <c r="AU96" s="1035">
        <f t="shared" si="58"/>
        <v>0</v>
      </c>
      <c r="AV96" s="1057" cm="1">
        <f t="array" ref="AV96">IF(AJ96&lt;&gt;1,0,IF(OR(AT96="",N(AT96)&lt;=0.000000001),"",IF(OR(AN96="",N(AN96)&lt;=0.000000001),0,IF(ISNUMBER(AT96),IFERROR(_xlfn.LET(_xlpm.ai_test,TRIM(AI96),_xlpm.r,IFERROR(_xlfn.XLOOKUP(_xlpm.ai_test,$BI$15:$BI$62,ROW($BI$15:$BI$62),0,1),IFERROR(_xlfn.XLOOKUP(_xlpm.ai_test,$BJ$15:$BJ$62,ROW($BJ$15:$BJ$62),0,1),_xlfn.XLOOKUP(_xlpm.ai_test,$BK$15:$BK$62,ROW($BK$15:$BK$62),0,1))),_xlpm.p,_xlpm.r-MIN(ROW($BI$15:$BI$62))+1,_xlpm.f,INDEX($BL$15:$BL$62,_xlpm.p),_xlpm.u,INDEX($BM$15:$BM$62,_xlpm.p),_xlpm.s,INDEX($BO$15:$BO$62,_xlpm.p),_xlpm.q,N(AT96)/_xlpm.f,IF(_xlpm.q&gt;=_xlpm.s,ROUND(_xlpm.q,1)&amp;" "&amp;_xlpm.ai_test&amp;" = "&amp;ROUND(_xlpm.q*_xlpm.f,1)&amp;" "&amp;_xlpm.u,ROUND(_xlpm.q,1)&amp;" "&amp;_xlpm.ai_test)),""),""))))</f>
        <v>0</v>
      </c>
      <c r="AW96" s="1047"/>
      <c r="AX96" s="1034">
        <f t="shared" si="59"/>
        <v>0</v>
      </c>
      <c r="AY96" s="1035" t="str">
        <f t="shared" si="60"/>
        <v/>
      </c>
      <c r="AZ96" s="1036">
        <f t="shared" si="65"/>
        <v>0</v>
      </c>
      <c r="BA96" s="1037" t="str">
        <f t="shared" si="61"/>
        <v/>
      </c>
      <c r="BB96" s="1038"/>
      <c r="BC96" s="1039">
        <f t="shared" si="66"/>
        <v>0</v>
      </c>
      <c r="BD96" s="1040" t="str">
        <f t="shared" si="62"/>
        <v/>
      </c>
      <c r="BE96" s="227" t="s">
        <v>22</v>
      </c>
      <c r="BF96" s="1019">
        <f t="shared" si="63"/>
        <v>0</v>
      </c>
      <c r="BG96" s="1020">
        <f t="shared" si="64"/>
        <v>0</v>
      </c>
      <c r="BI96" s="5199">
        <v>2.835E-2</v>
      </c>
      <c r="BJ96" s="5227">
        <v>0.13</v>
      </c>
      <c r="BK96" s="5228">
        <v>0</v>
      </c>
      <c r="BL96" s="5227">
        <v>0.2</v>
      </c>
      <c r="BM96" s="5227">
        <v>0.23</v>
      </c>
      <c r="BN96" s="5227">
        <v>0.22500000000000001</v>
      </c>
      <c r="BO96" s="5229">
        <v>0.35</v>
      </c>
      <c r="BP96" s="5229">
        <v>5.0000000000000001E-3</v>
      </c>
      <c r="BQ96" s="5229">
        <v>5.0000000000000001E-3</v>
      </c>
      <c r="BR96" s="5229">
        <v>1.4999999999999999E-2</v>
      </c>
      <c r="BS96" s="5229">
        <v>0.1</v>
      </c>
      <c r="BT96" s="5229">
        <v>0.22500000000000001</v>
      </c>
      <c r="BU96" s="5206">
        <v>1E-3</v>
      </c>
      <c r="BV96"/>
      <c r="BW96" s="959" t="str">
        <f t="shared" si="45"/>
        <v>►</v>
      </c>
      <c r="BX96" s="48"/>
      <c r="BY96" s="48"/>
      <c r="BZ96" s="48"/>
      <c r="CA96" s="48"/>
      <c r="CB96" s="48"/>
      <c r="CC96" s="957"/>
      <c r="CD96"/>
      <c r="CE96"/>
      <c r="CF96"/>
      <c r="CG96"/>
      <c r="CH96"/>
      <c r="CI96"/>
      <c r="CJ96"/>
      <c r="CK96"/>
      <c r="CL96"/>
      <c r="CM96"/>
      <c r="CN96"/>
      <c r="CO96"/>
      <c r="CP96"/>
      <c r="CQ96"/>
      <c r="CR96"/>
      <c r="CS96"/>
      <c r="CT96"/>
      <c r="CU96"/>
      <c r="CV96"/>
      <c r="CW96"/>
      <c r="CX96"/>
      <c r="CY96"/>
      <c r="CZ96"/>
      <c r="DB96" s="3">
        <v>1</v>
      </c>
    </row>
    <row r="97" spans="1:106" s="709" customFormat="1" ht="21" customHeight="1">
      <c r="A97" s="936" t="s">
        <v>22</v>
      </c>
      <c r="B97" s="952" t="str">
        <f t="shared" si="44"/>
        <v>►</v>
      </c>
      <c r="C97" s="993" cm="1">
        <f t="array" ref="C97">SUMPRODUCT(LEN(D97:J97))</f>
        <v>0</v>
      </c>
      <c r="D97" s="167"/>
      <c r="E97" s="172"/>
      <c r="F97" s="172"/>
      <c r="G97" s="172"/>
      <c r="H97" s="172"/>
      <c r="I97" s="172"/>
      <c r="J97" s="173"/>
      <c r="K97" s="442"/>
      <c r="L97" s="104" t="s">
        <v>16</v>
      </c>
      <c r="M97" s="1172"/>
      <c r="N97" s="1172"/>
      <c r="O97" s="1172"/>
      <c r="P97" s="1173"/>
      <c r="Q97" s="1174"/>
      <c r="R97" s="1175"/>
      <c r="S97" s="1176"/>
      <c r="T97" s="1177"/>
      <c r="U97" s="5248"/>
      <c r="V97" s="1177"/>
      <c r="W97" s="5249"/>
      <c r="X97" s="5208"/>
      <c r="Y97" s="5209"/>
      <c r="Z97" s="5210"/>
      <c r="AA97" s="5211"/>
      <c r="AB97" s="1178"/>
      <c r="AC97" s="1179"/>
      <c r="AD97" s="227" t="s">
        <v>22</v>
      </c>
      <c r="AE97" s="1027" t="str">
        <f t="shared" si="46"/>
        <v>►</v>
      </c>
      <c r="AF97" s="1028" t="str">
        <f t="shared" si="47"/>
        <v/>
      </c>
      <c r="AG97" s="1029" t="str">
        <f t="shared" si="48"/>
        <v/>
      </c>
      <c r="AH97" s="1028" t="str">
        <f t="shared" si="49"/>
        <v/>
      </c>
      <c r="AI97" s="1029" t="str">
        <f t="shared" si="50"/>
        <v/>
      </c>
      <c r="AJ97" s="1029">
        <f t="shared" si="51"/>
        <v>0</v>
      </c>
      <c r="AK97" s="1043" t="str" cm="1">
        <f t="array" ref="AK97">IF(AE97&lt;&gt;"A","",IFERROR((IFERROR(_xlfn.XLOOKUP(TRIM(SUBSTITUTE(U97,CHAR(160)," ")),$BI$15:$BI$62,$BL$15:$BL$62),IFERROR(_xlfn.XLOOKUP(TRIM(SUBSTITUTE(U97,CHAR(160)," ")),$BJ$15:$BJ$62,$BL$15:$BL$62),_xlfn.XLOOKUP(TRIM(SUBSTITUTE(U97,CHAR(160)," ")),$BK$15:$BK$62,$BL$15:$BL$62))))*T97*IF(ISBLANK(Q97),1,Q97)+IFERROR(_xlfn.XLOOKUP("RECHERCHEX",TRIM(L97:AC97),L97:AC97),0),0))</f>
        <v/>
      </c>
      <c r="AL97" s="1030">
        <f t="shared" si="52"/>
        <v>0</v>
      </c>
      <c r="AM97" s="5254" t="str">
        <f t="shared" si="67"/>
        <v/>
      </c>
      <c r="AN97" s="1031">
        <f t="shared" si="53"/>
        <v>0</v>
      </c>
      <c r="AO97" s="1031">
        <f t="shared" si="54"/>
        <v>0</v>
      </c>
      <c r="AP97" s="1044">
        <f t="shared" si="55"/>
        <v>0</v>
      </c>
      <c r="AQ97" s="5257" t="str">
        <f t="shared" si="56"/>
        <v/>
      </c>
      <c r="AR97" s="1056"/>
      <c r="AS97" s="1056"/>
      <c r="AT97" s="1045">
        <f t="shared" si="57"/>
        <v>0</v>
      </c>
      <c r="AU97" s="1046">
        <f t="shared" si="58"/>
        <v>0</v>
      </c>
      <c r="AV97" s="1059" cm="1">
        <f t="array" ref="AV97">IF(AJ97&lt;&gt;1,0,IF(OR(AT97="",N(AT97)&lt;=0.000000001),"",IF(OR(AN97="",N(AN97)&lt;=0.000000001),0,IF(ISNUMBER(AT97),IFERROR(_xlfn.LET(_xlpm.ai_test,TRIM(AI97),_xlpm.r,IFERROR(_xlfn.XLOOKUP(_xlpm.ai_test,$BI$15:$BI$62,ROW($BI$15:$BI$62),0,1),IFERROR(_xlfn.XLOOKUP(_xlpm.ai_test,$BJ$15:$BJ$62,ROW($BJ$15:$BJ$62),0,1),_xlfn.XLOOKUP(_xlpm.ai_test,$BK$15:$BK$62,ROW($BK$15:$BK$62),0,1))),_xlpm.p,_xlpm.r-MIN(ROW($BI$15:$BI$62))+1,_xlpm.f,INDEX($BL$15:$BL$62,_xlpm.p),_xlpm.u,INDEX($BM$15:$BM$62,_xlpm.p),_xlpm.s,INDEX($BO$15:$BO$62,_xlpm.p),_xlpm.q,N(AT97)/_xlpm.f,IF(_xlpm.q&gt;=_xlpm.s,ROUND(_xlpm.q,1)&amp;" "&amp;_xlpm.ai_test&amp;" = "&amp;ROUND(_xlpm.q*_xlpm.f,1)&amp;" "&amp;_xlpm.u,ROUND(_xlpm.q,1)&amp;" "&amp;_xlpm.ai_test)),""),""))))</f>
        <v>0</v>
      </c>
      <c r="AW97" s="1047"/>
      <c r="AX97" s="1045">
        <f t="shared" si="59"/>
        <v>0</v>
      </c>
      <c r="AY97" s="1046" t="str">
        <f t="shared" si="60"/>
        <v/>
      </c>
      <c r="AZ97" s="1048">
        <f t="shared" si="65"/>
        <v>0</v>
      </c>
      <c r="BA97" s="1049" t="str">
        <f t="shared" si="61"/>
        <v/>
      </c>
      <c r="BB97" s="1038"/>
      <c r="BC97" s="1050">
        <f t="shared" si="66"/>
        <v>0</v>
      </c>
      <c r="BD97" s="1040" t="str">
        <f t="shared" si="62"/>
        <v/>
      </c>
      <c r="BE97" s="227" t="s">
        <v>22</v>
      </c>
      <c r="BF97" s="1019">
        <f t="shared" si="63"/>
        <v>0</v>
      </c>
      <c r="BG97" s="1020">
        <f t="shared" si="64"/>
        <v>0</v>
      </c>
      <c r="BI97" s="1118" t="s">
        <v>824</v>
      </c>
      <c r="BJ97" s="873"/>
      <c r="BK97" s="873"/>
      <c r="BL97" s="873"/>
      <c r="BM97" s="873"/>
      <c r="BN97" s="873"/>
      <c r="BO97" s="873"/>
      <c r="BP97" s="873"/>
      <c r="BQ97" s="873"/>
      <c r="BR97" s="873"/>
      <c r="BS97" s="873"/>
      <c r="BT97" s="873"/>
      <c r="BU97" s="873"/>
      <c r="BV97"/>
      <c r="BW97" s="959" t="str">
        <f t="shared" si="45"/>
        <v>►</v>
      </c>
      <c r="BX97" s="1119"/>
      <c r="BY97" s="1120"/>
      <c r="BZ97" s="1120"/>
      <c r="CA97" s="1120"/>
      <c r="CB97" s="48"/>
      <c r="CC97" s="957"/>
      <c r="CD97"/>
      <c r="CE97"/>
      <c r="CF97"/>
      <c r="CG97"/>
      <c r="CH97"/>
      <c r="CI97"/>
      <c r="CJ97"/>
      <c r="CK97"/>
      <c r="CL97"/>
      <c r="CM97"/>
      <c r="CN97"/>
      <c r="CO97"/>
      <c r="CP97"/>
      <c r="CQ97"/>
      <c r="CR97"/>
      <c r="CS97"/>
      <c r="CT97"/>
      <c r="CU97"/>
      <c r="CV97"/>
      <c r="CW97"/>
      <c r="CX97"/>
      <c r="CY97"/>
      <c r="CZ97"/>
      <c r="DB97" s="3">
        <v>1</v>
      </c>
    </row>
    <row r="98" spans="1:106" s="709" customFormat="1" ht="21" customHeight="1">
      <c r="A98" s="936" t="s">
        <v>22</v>
      </c>
      <c r="B98" s="952" t="str">
        <f t="shared" si="44"/>
        <v>►</v>
      </c>
      <c r="C98" s="993" cm="1">
        <f t="array" ref="C98">SUMPRODUCT(LEN(D98:J98))</f>
        <v>0</v>
      </c>
      <c r="D98" s="167"/>
      <c r="E98" s="172"/>
      <c r="F98" s="172"/>
      <c r="G98" s="172"/>
      <c r="H98" s="172"/>
      <c r="I98" s="172"/>
      <c r="J98" s="173"/>
      <c r="K98" s="442"/>
      <c r="L98" s="104" t="s">
        <v>16</v>
      </c>
      <c r="M98" s="1172"/>
      <c r="N98" s="1172"/>
      <c r="O98" s="1172"/>
      <c r="P98" s="1173"/>
      <c r="Q98" s="1174"/>
      <c r="R98" s="1175"/>
      <c r="S98" s="1176"/>
      <c r="T98" s="1177"/>
      <c r="U98" s="5248"/>
      <c r="V98" s="1177"/>
      <c r="W98" s="5249"/>
      <c r="X98" s="5208"/>
      <c r="Y98" s="5209"/>
      <c r="Z98" s="5210"/>
      <c r="AA98" s="5211"/>
      <c r="AB98" s="1178"/>
      <c r="AC98" s="1179"/>
      <c r="AD98" s="227" t="s">
        <v>22</v>
      </c>
      <c r="AE98" s="1027" t="str">
        <f t="shared" si="46"/>
        <v>►</v>
      </c>
      <c r="AF98" s="1028" t="str">
        <f t="shared" si="47"/>
        <v/>
      </c>
      <c r="AG98" s="1029" t="str">
        <f t="shared" si="48"/>
        <v/>
      </c>
      <c r="AH98" s="1028" t="str">
        <f t="shared" si="49"/>
        <v/>
      </c>
      <c r="AI98" s="1029" t="str">
        <f t="shared" si="50"/>
        <v/>
      </c>
      <c r="AJ98" s="1029">
        <f t="shared" si="51"/>
        <v>0</v>
      </c>
      <c r="AK98" s="1043" t="str" cm="1">
        <f t="array" ref="AK98">IF(AE98&lt;&gt;"A","",IFERROR((IFERROR(_xlfn.XLOOKUP(TRIM(SUBSTITUTE(U98,CHAR(160)," ")),$BI$15:$BI$62,$BL$15:$BL$62),IFERROR(_xlfn.XLOOKUP(TRIM(SUBSTITUTE(U98,CHAR(160)," ")),$BJ$15:$BJ$62,$BL$15:$BL$62),_xlfn.XLOOKUP(TRIM(SUBSTITUTE(U98,CHAR(160)," ")),$BK$15:$BK$62,$BL$15:$BL$62))))*T98*IF(ISBLANK(Q98),1,Q98)+IFERROR(_xlfn.XLOOKUP("RECHERCHEX",TRIM(L98:AC98),L98:AC98),0),0))</f>
        <v/>
      </c>
      <c r="AL98" s="1030">
        <f t="shared" si="52"/>
        <v>0</v>
      </c>
      <c r="AM98" s="5254" t="str">
        <f t="shared" si="67"/>
        <v/>
      </c>
      <c r="AN98" s="1031">
        <f t="shared" si="53"/>
        <v>0</v>
      </c>
      <c r="AO98" s="1031">
        <f t="shared" si="54"/>
        <v>0</v>
      </c>
      <c r="AP98" s="1032">
        <f t="shared" si="55"/>
        <v>0</v>
      </c>
      <c r="AQ98" s="5255" t="str">
        <f t="shared" si="56"/>
        <v/>
      </c>
      <c r="AR98" s="1056"/>
      <c r="AS98" s="1056"/>
      <c r="AT98" s="1034">
        <f t="shared" si="57"/>
        <v>0</v>
      </c>
      <c r="AU98" s="1035">
        <f t="shared" si="58"/>
        <v>0</v>
      </c>
      <c r="AV98" s="1057" cm="1">
        <f t="array" ref="AV98">IF(AJ98&lt;&gt;1,0,IF(OR(AT98="",N(AT98)&lt;=0.000000001),"",IF(OR(AN98="",N(AN98)&lt;=0.000000001),0,IF(ISNUMBER(AT98),IFERROR(_xlfn.LET(_xlpm.ai_test,TRIM(AI98),_xlpm.r,IFERROR(_xlfn.XLOOKUP(_xlpm.ai_test,$BI$15:$BI$62,ROW($BI$15:$BI$62),0,1),IFERROR(_xlfn.XLOOKUP(_xlpm.ai_test,$BJ$15:$BJ$62,ROW($BJ$15:$BJ$62),0,1),_xlfn.XLOOKUP(_xlpm.ai_test,$BK$15:$BK$62,ROW($BK$15:$BK$62),0,1))),_xlpm.p,_xlpm.r-MIN(ROW($BI$15:$BI$62))+1,_xlpm.f,INDEX($BL$15:$BL$62,_xlpm.p),_xlpm.u,INDEX($BM$15:$BM$62,_xlpm.p),_xlpm.s,INDEX($BO$15:$BO$62,_xlpm.p),_xlpm.q,N(AT98)/_xlpm.f,IF(_xlpm.q&gt;=_xlpm.s,ROUND(_xlpm.q,1)&amp;" "&amp;_xlpm.ai_test&amp;" = "&amp;ROUND(_xlpm.q*_xlpm.f,1)&amp;" "&amp;_xlpm.u,ROUND(_xlpm.q,1)&amp;" "&amp;_xlpm.ai_test)),""),""))))</f>
        <v>0</v>
      </c>
      <c r="AW98" s="1047"/>
      <c r="AX98" s="1034">
        <f t="shared" si="59"/>
        <v>0</v>
      </c>
      <c r="AY98" s="1035" t="str">
        <f t="shared" si="60"/>
        <v/>
      </c>
      <c r="AZ98" s="1036">
        <f t="shared" si="65"/>
        <v>0</v>
      </c>
      <c r="BA98" s="1037" t="str">
        <f t="shared" si="61"/>
        <v/>
      </c>
      <c r="BB98" s="1038"/>
      <c r="BC98" s="1039">
        <f t="shared" si="66"/>
        <v>0</v>
      </c>
      <c r="BD98" s="1040" t="str">
        <f t="shared" si="62"/>
        <v/>
      </c>
      <c r="BE98" s="227" t="s">
        <v>22</v>
      </c>
      <c r="BF98" s="1019">
        <f t="shared" si="63"/>
        <v>0</v>
      </c>
      <c r="BG98" s="1020">
        <f t="shared" si="64"/>
        <v>0</v>
      </c>
      <c r="BI98" s="1121" t="s">
        <v>1971</v>
      </c>
      <c r="BJ98" s="1122"/>
      <c r="BK98" s="1122"/>
      <c r="BL98" s="1122"/>
      <c r="BM98" s="1122"/>
      <c r="BN98" s="1122"/>
      <c r="BO98" s="1122"/>
      <c r="BP98" s="1122"/>
      <c r="BQ98" s="1122"/>
      <c r="BR98" s="1122"/>
      <c r="BS98" s="1122"/>
      <c r="BT98" s="1122"/>
      <c r="BU98" s="1122"/>
      <c r="BV98"/>
      <c r="BW98" s="959" t="str">
        <f t="shared" si="45"/>
        <v>►</v>
      </c>
      <c r="BX98" s="1119"/>
      <c r="BY98" s="1120"/>
      <c r="BZ98" s="1120"/>
      <c r="CA98" s="1120"/>
      <c r="CB98" s="48"/>
      <c r="CC98" s="957"/>
      <c r="CD98"/>
      <c r="CE98"/>
      <c r="CF98"/>
      <c r="CG98"/>
      <c r="CH98"/>
      <c r="CI98"/>
      <c r="CJ98"/>
      <c r="CK98"/>
      <c r="CL98"/>
      <c r="CM98"/>
      <c r="CN98"/>
      <c r="CO98"/>
      <c r="CP98"/>
      <c r="CQ98"/>
      <c r="CR98"/>
      <c r="CS98"/>
      <c r="CT98"/>
      <c r="CU98"/>
      <c r="CV98"/>
      <c r="CW98"/>
      <c r="CX98"/>
      <c r="CY98"/>
      <c r="CZ98"/>
      <c r="DB98" s="3">
        <v>1</v>
      </c>
    </row>
    <row r="99" spans="1:106" s="709" customFormat="1" ht="21" customHeight="1">
      <c r="A99" s="936" t="s">
        <v>22</v>
      </c>
      <c r="B99" s="952" t="str">
        <f t="shared" si="44"/>
        <v>►</v>
      </c>
      <c r="C99" s="993" cm="1">
        <f t="array" ref="C99">SUMPRODUCT(LEN(D99:J99))</f>
        <v>0</v>
      </c>
      <c r="D99" s="167"/>
      <c r="E99" s="172"/>
      <c r="F99" s="172"/>
      <c r="G99" s="172"/>
      <c r="H99" s="172"/>
      <c r="I99" s="172"/>
      <c r="J99" s="173"/>
      <c r="K99" s="442"/>
      <c r="L99" s="104" t="s">
        <v>16</v>
      </c>
      <c r="M99" s="1172"/>
      <c r="N99" s="1172"/>
      <c r="O99" s="1172"/>
      <c r="P99" s="1173"/>
      <c r="Q99" s="1174"/>
      <c r="R99" s="1175"/>
      <c r="S99" s="1176"/>
      <c r="T99" s="1177"/>
      <c r="U99" s="5248"/>
      <c r="V99" s="1177"/>
      <c r="W99" s="5249"/>
      <c r="X99" s="5208"/>
      <c r="Y99" s="5209"/>
      <c r="Z99" s="5210"/>
      <c r="AA99" s="5211"/>
      <c r="AB99" s="1178"/>
      <c r="AC99" s="1179"/>
      <c r="AD99" s="227" t="s">
        <v>22</v>
      </c>
      <c r="AE99" s="1027" t="str">
        <f t="shared" si="46"/>
        <v>►</v>
      </c>
      <c r="AF99" s="1028" t="str">
        <f t="shared" si="47"/>
        <v/>
      </c>
      <c r="AG99" s="1029" t="str">
        <f t="shared" si="48"/>
        <v/>
      </c>
      <c r="AH99" s="1028" t="str">
        <f t="shared" si="49"/>
        <v/>
      </c>
      <c r="AI99" s="1029" t="str">
        <f t="shared" si="50"/>
        <v/>
      </c>
      <c r="AJ99" s="1029">
        <f t="shared" si="51"/>
        <v>0</v>
      </c>
      <c r="AK99" s="1043" t="str" cm="1">
        <f t="array" ref="AK99">IF(AE99&lt;&gt;"A","",IFERROR((IFERROR(_xlfn.XLOOKUP(TRIM(SUBSTITUTE(U99,CHAR(160)," ")),$BI$15:$BI$62,$BL$15:$BL$62),IFERROR(_xlfn.XLOOKUP(TRIM(SUBSTITUTE(U99,CHAR(160)," ")),$BJ$15:$BJ$62,$BL$15:$BL$62),_xlfn.XLOOKUP(TRIM(SUBSTITUTE(U99,CHAR(160)," ")),$BK$15:$BK$62,$BL$15:$BL$62))))*T99*IF(ISBLANK(Q99),1,Q99)+IFERROR(_xlfn.XLOOKUP("RECHERCHEX",TRIM(L99:AC99),L99:AC99),0),0))</f>
        <v/>
      </c>
      <c r="AL99" s="1030">
        <f t="shared" si="52"/>
        <v>0</v>
      </c>
      <c r="AM99" s="5254" t="str">
        <f t="shared" si="67"/>
        <v/>
      </c>
      <c r="AN99" s="1031">
        <f t="shared" si="53"/>
        <v>0</v>
      </c>
      <c r="AO99" s="1031">
        <f t="shared" si="54"/>
        <v>0</v>
      </c>
      <c r="AP99" s="1044">
        <f t="shared" si="55"/>
        <v>0</v>
      </c>
      <c r="AQ99" s="5257" t="str">
        <f t="shared" si="56"/>
        <v/>
      </c>
      <c r="AR99" s="1056"/>
      <c r="AS99" s="1056"/>
      <c r="AT99" s="1045">
        <f t="shared" si="57"/>
        <v>0</v>
      </c>
      <c r="AU99" s="1046">
        <f t="shared" si="58"/>
        <v>0</v>
      </c>
      <c r="AV99" s="1059" cm="1">
        <f t="array" ref="AV99">IF(AJ99&lt;&gt;1,0,IF(OR(AT99="",N(AT99)&lt;=0.000000001),"",IF(OR(AN99="",N(AN99)&lt;=0.000000001),0,IF(ISNUMBER(AT99),IFERROR(_xlfn.LET(_xlpm.ai_test,TRIM(AI99),_xlpm.r,IFERROR(_xlfn.XLOOKUP(_xlpm.ai_test,$BI$15:$BI$62,ROW($BI$15:$BI$62),0,1),IFERROR(_xlfn.XLOOKUP(_xlpm.ai_test,$BJ$15:$BJ$62,ROW($BJ$15:$BJ$62),0,1),_xlfn.XLOOKUP(_xlpm.ai_test,$BK$15:$BK$62,ROW($BK$15:$BK$62),0,1))),_xlpm.p,_xlpm.r-MIN(ROW($BI$15:$BI$62))+1,_xlpm.f,INDEX($BL$15:$BL$62,_xlpm.p),_xlpm.u,INDEX($BM$15:$BM$62,_xlpm.p),_xlpm.s,INDEX($BO$15:$BO$62,_xlpm.p),_xlpm.q,N(AT99)/_xlpm.f,IF(_xlpm.q&gt;=_xlpm.s,ROUND(_xlpm.q,1)&amp;" "&amp;_xlpm.ai_test&amp;" = "&amp;ROUND(_xlpm.q*_xlpm.f,1)&amp;" "&amp;_xlpm.u,ROUND(_xlpm.q,1)&amp;" "&amp;_xlpm.ai_test)),""),""))))</f>
        <v>0</v>
      </c>
      <c r="AW99" s="1047"/>
      <c r="AX99" s="1045">
        <f t="shared" si="59"/>
        <v>0</v>
      </c>
      <c r="AY99" s="1046" t="str">
        <f t="shared" si="60"/>
        <v/>
      </c>
      <c r="AZ99" s="1048">
        <f t="shared" si="65"/>
        <v>0</v>
      </c>
      <c r="BA99" s="1049" t="str">
        <f t="shared" si="61"/>
        <v/>
      </c>
      <c r="BB99" s="1038"/>
      <c r="BC99" s="1050">
        <f t="shared" si="66"/>
        <v>0</v>
      </c>
      <c r="BD99" s="1040" t="str">
        <f t="shared" si="62"/>
        <v/>
      </c>
      <c r="BE99" s="227" t="s">
        <v>22</v>
      </c>
      <c r="BF99" s="1019">
        <f t="shared" si="63"/>
        <v>0</v>
      </c>
      <c r="BG99" s="1020">
        <f t="shared" si="64"/>
        <v>0</v>
      </c>
      <c r="BI99" s="5499" t="s">
        <v>1972</v>
      </c>
      <c r="BJ99" s="5499"/>
      <c r="BK99" s="5499"/>
      <c r="BL99" s="5499"/>
      <c r="BM99" s="5499"/>
      <c r="BN99" s="5499"/>
      <c r="BO99" s="5499"/>
      <c r="BP99" s="5499"/>
      <c r="BQ99" s="5499"/>
      <c r="BR99" s="5499"/>
      <c r="BS99" s="5499"/>
      <c r="BT99" s="5499"/>
      <c r="BU99" s="5499"/>
      <c r="BV99"/>
      <c r="BW99" s="959" t="str">
        <f t="shared" si="45"/>
        <v>►</v>
      </c>
      <c r="BX99" s="1119" t="s">
        <v>2619</v>
      </c>
      <c r="BY99" s="1120"/>
      <c r="BZ99" s="1120"/>
      <c r="CA99" s="1120"/>
      <c r="CB99" s="48"/>
      <c r="CC99" s="957"/>
      <c r="CD99"/>
      <c r="CE99"/>
      <c r="CF99"/>
      <c r="CG99"/>
      <c r="CH99"/>
      <c r="CI99"/>
      <c r="CJ99"/>
      <c r="CK99"/>
      <c r="CL99"/>
      <c r="CM99"/>
      <c r="CN99"/>
      <c r="CO99"/>
      <c r="CP99"/>
      <c r="CQ99"/>
      <c r="CR99"/>
      <c r="CS99"/>
      <c r="CT99"/>
      <c r="CU99"/>
      <c r="CV99"/>
      <c r="CW99"/>
      <c r="CX99"/>
      <c r="CY99"/>
      <c r="CZ99"/>
      <c r="DB99" s="3">
        <v>1</v>
      </c>
    </row>
    <row r="100" spans="1:106" s="709" customFormat="1" ht="21" customHeight="1">
      <c r="A100" s="936" t="s">
        <v>22</v>
      </c>
      <c r="B100" s="952" t="str">
        <f t="shared" si="44"/>
        <v>►</v>
      </c>
      <c r="C100" s="993" cm="1">
        <f t="array" ref="C100">SUMPRODUCT(LEN(D100:J100))</f>
        <v>0</v>
      </c>
      <c r="D100" s="167"/>
      <c r="E100" s="172"/>
      <c r="F100" s="172"/>
      <c r="G100" s="172"/>
      <c r="H100" s="172"/>
      <c r="I100" s="172"/>
      <c r="J100" s="173"/>
      <c r="K100" s="442"/>
      <c r="L100" s="104" t="s">
        <v>16</v>
      </c>
      <c r="M100" s="1172"/>
      <c r="N100" s="1172"/>
      <c r="O100" s="1172"/>
      <c r="P100" s="1173"/>
      <c r="Q100" s="1174"/>
      <c r="R100" s="1175"/>
      <c r="S100" s="1176"/>
      <c r="T100" s="1177"/>
      <c r="U100" s="5248"/>
      <c r="V100" s="1177"/>
      <c r="W100" s="5249"/>
      <c r="X100" s="5208"/>
      <c r="Y100" s="5209"/>
      <c r="Z100" s="5210"/>
      <c r="AA100" s="5211"/>
      <c r="AB100" s="1178"/>
      <c r="AC100" s="1179"/>
      <c r="AD100" s="227" t="s">
        <v>22</v>
      </c>
      <c r="AE100" s="1027" t="str">
        <f t="shared" si="46"/>
        <v>►</v>
      </c>
      <c r="AF100" s="1028" t="str">
        <f t="shared" si="47"/>
        <v/>
      </c>
      <c r="AG100" s="1029" t="str">
        <f t="shared" si="48"/>
        <v/>
      </c>
      <c r="AH100" s="1028" t="str">
        <f t="shared" si="49"/>
        <v/>
      </c>
      <c r="AI100" s="1029" t="str">
        <f t="shared" si="50"/>
        <v/>
      </c>
      <c r="AJ100" s="1029">
        <f t="shared" si="51"/>
        <v>0</v>
      </c>
      <c r="AK100" s="1043" t="str" cm="1">
        <f t="array" ref="AK100">IF(AE100&lt;&gt;"A","",IFERROR((IFERROR(_xlfn.XLOOKUP(TRIM(SUBSTITUTE(U100,CHAR(160)," ")),$BI$15:$BI$62,$BL$15:$BL$62),IFERROR(_xlfn.XLOOKUP(TRIM(SUBSTITUTE(U100,CHAR(160)," ")),$BJ$15:$BJ$62,$BL$15:$BL$62),_xlfn.XLOOKUP(TRIM(SUBSTITUTE(U100,CHAR(160)," ")),$BK$15:$BK$62,$BL$15:$BL$62))))*T100*IF(ISBLANK(Q100),1,Q100)+IFERROR(_xlfn.XLOOKUP("RECHERCHEX",TRIM(L100:AC100),L100:AC100),0),0))</f>
        <v/>
      </c>
      <c r="AL100" s="1030">
        <f t="shared" si="52"/>
        <v>0</v>
      </c>
      <c r="AM100" s="5254" t="str">
        <f t="shared" si="67"/>
        <v/>
      </c>
      <c r="AN100" s="1031">
        <f t="shared" si="53"/>
        <v>0</v>
      </c>
      <c r="AO100" s="1031">
        <f t="shared" si="54"/>
        <v>0</v>
      </c>
      <c r="AP100" s="1032">
        <f t="shared" si="55"/>
        <v>0</v>
      </c>
      <c r="AQ100" s="5255" t="str">
        <f t="shared" si="56"/>
        <v/>
      </c>
      <c r="AR100" s="1056"/>
      <c r="AS100" s="1056"/>
      <c r="AT100" s="1034">
        <f t="shared" si="57"/>
        <v>0</v>
      </c>
      <c r="AU100" s="1035">
        <f t="shared" si="58"/>
        <v>0</v>
      </c>
      <c r="AV100" s="1057" cm="1">
        <f t="array" ref="AV100">IF(AJ100&lt;&gt;1,0,IF(OR(AT100="",N(AT100)&lt;=0.000000001),"",IF(OR(AN100="",N(AN100)&lt;=0.000000001),0,IF(ISNUMBER(AT100),IFERROR(_xlfn.LET(_xlpm.ai_test,TRIM(AI100),_xlpm.r,IFERROR(_xlfn.XLOOKUP(_xlpm.ai_test,$BI$15:$BI$62,ROW($BI$15:$BI$62),0,1),IFERROR(_xlfn.XLOOKUP(_xlpm.ai_test,$BJ$15:$BJ$62,ROW($BJ$15:$BJ$62),0,1),_xlfn.XLOOKUP(_xlpm.ai_test,$BK$15:$BK$62,ROW($BK$15:$BK$62),0,1))),_xlpm.p,_xlpm.r-MIN(ROW($BI$15:$BI$62))+1,_xlpm.f,INDEX($BL$15:$BL$62,_xlpm.p),_xlpm.u,INDEX($BM$15:$BM$62,_xlpm.p),_xlpm.s,INDEX($BO$15:$BO$62,_xlpm.p),_xlpm.q,N(AT100)/_xlpm.f,IF(_xlpm.q&gt;=_xlpm.s,ROUND(_xlpm.q,1)&amp;" "&amp;_xlpm.ai_test&amp;" = "&amp;ROUND(_xlpm.q*_xlpm.f,1)&amp;" "&amp;_xlpm.u,ROUND(_xlpm.q,1)&amp;" "&amp;_xlpm.ai_test)),""),""))))</f>
        <v>0</v>
      </c>
      <c r="AW100" s="1047"/>
      <c r="AX100" s="1034">
        <f t="shared" si="59"/>
        <v>0</v>
      </c>
      <c r="AY100" s="1035" t="str">
        <f t="shared" si="60"/>
        <v/>
      </c>
      <c r="AZ100" s="1036">
        <f t="shared" si="65"/>
        <v>0</v>
      </c>
      <c r="BA100" s="1037" t="str">
        <f t="shared" si="61"/>
        <v/>
      </c>
      <c r="BB100" s="1038"/>
      <c r="BC100" s="1039">
        <f t="shared" si="66"/>
        <v>0</v>
      </c>
      <c r="BD100" s="1040" t="str">
        <f t="shared" si="62"/>
        <v/>
      </c>
      <c r="BE100" s="227" t="s">
        <v>22</v>
      </c>
      <c r="BF100" s="1019">
        <f t="shared" si="63"/>
        <v>0</v>
      </c>
      <c r="BG100" s="1020">
        <f t="shared" si="64"/>
        <v>0</v>
      </c>
      <c r="BI100" s="5499"/>
      <c r="BJ100" s="5499"/>
      <c r="BK100" s="5499"/>
      <c r="BL100" s="5499"/>
      <c r="BM100" s="5499"/>
      <c r="BN100" s="5499"/>
      <c r="BO100" s="5499"/>
      <c r="BP100" s="5499"/>
      <c r="BQ100" s="5499"/>
      <c r="BR100" s="5499"/>
      <c r="BS100" s="5499"/>
      <c r="BT100" s="5499"/>
      <c r="BU100" s="5499"/>
      <c r="BV100"/>
      <c r="BW100" s="959" t="str">
        <f t="shared" si="45"/>
        <v>►</v>
      </c>
      <c r="BX100" s="1119"/>
      <c r="BY100" s="1120"/>
      <c r="BZ100" s="1120"/>
      <c r="CA100" s="1120"/>
      <c r="CB100" s="48"/>
      <c r="CC100" s="957"/>
      <c r="CD100"/>
      <c r="CE100"/>
      <c r="CF100"/>
      <c r="CG100"/>
      <c r="CH100"/>
      <c r="CI100"/>
      <c r="CJ100"/>
      <c r="CK100"/>
      <c r="CL100"/>
      <c r="CM100"/>
      <c r="CN100"/>
      <c r="CO100"/>
      <c r="CP100"/>
      <c r="CQ100"/>
      <c r="CR100"/>
      <c r="CS100"/>
      <c r="CT100"/>
      <c r="CU100"/>
      <c r="CV100"/>
      <c r="CW100"/>
      <c r="CX100"/>
      <c r="CY100"/>
      <c r="CZ100"/>
      <c r="DB100" s="3">
        <v>1</v>
      </c>
    </row>
    <row r="101" spans="1:106" s="709" customFormat="1" ht="21" customHeight="1">
      <c r="A101" s="936" t="s">
        <v>22</v>
      </c>
      <c r="B101" s="952" t="str">
        <f t="shared" si="44"/>
        <v>►</v>
      </c>
      <c r="C101" s="993" cm="1">
        <f t="array" ref="C101">SUMPRODUCT(LEN(D101:J101))</f>
        <v>0</v>
      </c>
      <c r="D101" s="167"/>
      <c r="E101" s="172"/>
      <c r="F101" s="172"/>
      <c r="G101" s="172"/>
      <c r="H101" s="172"/>
      <c r="I101" s="172"/>
      <c r="J101" s="173"/>
      <c r="K101" s="442"/>
      <c r="L101" s="104" t="s">
        <v>16</v>
      </c>
      <c r="M101" s="1172"/>
      <c r="N101" s="1172"/>
      <c r="O101" s="1172"/>
      <c r="P101" s="1173"/>
      <c r="Q101" s="1174"/>
      <c r="R101" s="1175"/>
      <c r="S101" s="1176"/>
      <c r="T101" s="1177"/>
      <c r="U101" s="5248"/>
      <c r="V101" s="1177"/>
      <c r="W101" s="5249"/>
      <c r="X101" s="5208"/>
      <c r="Y101" s="5209"/>
      <c r="Z101" s="5210"/>
      <c r="AA101" s="5211"/>
      <c r="AB101" s="1178"/>
      <c r="AC101" s="1179"/>
      <c r="AD101" s="227" t="s">
        <v>22</v>
      </c>
      <c r="AE101" s="1027" t="str">
        <f t="shared" si="46"/>
        <v>►</v>
      </c>
      <c r="AF101" s="1028" t="str">
        <f t="shared" si="47"/>
        <v/>
      </c>
      <c r="AG101" s="1029" t="str">
        <f t="shared" si="48"/>
        <v/>
      </c>
      <c r="AH101" s="1028" t="str">
        <f t="shared" si="49"/>
        <v/>
      </c>
      <c r="AI101" s="1029" t="str">
        <f t="shared" si="50"/>
        <v/>
      </c>
      <c r="AJ101" s="1029">
        <f t="shared" si="51"/>
        <v>0</v>
      </c>
      <c r="AK101" s="1043" t="str" cm="1">
        <f t="array" ref="AK101">IF(AE101&lt;&gt;"A","",IFERROR((IFERROR(_xlfn.XLOOKUP(TRIM(SUBSTITUTE(U101,CHAR(160)," ")),$BI$15:$BI$62,$BL$15:$BL$62),IFERROR(_xlfn.XLOOKUP(TRIM(SUBSTITUTE(U101,CHAR(160)," ")),$BJ$15:$BJ$62,$BL$15:$BL$62),_xlfn.XLOOKUP(TRIM(SUBSTITUTE(U101,CHAR(160)," ")),$BK$15:$BK$62,$BL$15:$BL$62))))*T101*IF(ISBLANK(Q101),1,Q101)+IFERROR(_xlfn.XLOOKUP("RECHERCHEX",TRIM(L101:AC101),L101:AC101),0),0))</f>
        <v/>
      </c>
      <c r="AL101" s="1030">
        <f t="shared" si="52"/>
        <v>0</v>
      </c>
      <c r="AM101" s="5254" t="str">
        <f t="shared" si="67"/>
        <v/>
      </c>
      <c r="AN101" s="1031">
        <f t="shared" si="53"/>
        <v>0</v>
      </c>
      <c r="AO101" s="1031">
        <f t="shared" si="54"/>
        <v>0</v>
      </c>
      <c r="AP101" s="1044">
        <f t="shared" si="55"/>
        <v>0</v>
      </c>
      <c r="AQ101" s="5257" t="str">
        <f t="shared" si="56"/>
        <v/>
      </c>
      <c r="AR101" s="1056"/>
      <c r="AS101" s="1056"/>
      <c r="AT101" s="1045">
        <f t="shared" si="57"/>
        <v>0</v>
      </c>
      <c r="AU101" s="1046">
        <f t="shared" si="58"/>
        <v>0</v>
      </c>
      <c r="AV101" s="1059" cm="1">
        <f t="array" ref="AV101">IF(AJ101&lt;&gt;1,0,IF(OR(AT101="",N(AT101)&lt;=0.000000001),"",IF(OR(AN101="",N(AN101)&lt;=0.000000001),0,IF(ISNUMBER(AT101),IFERROR(_xlfn.LET(_xlpm.ai_test,TRIM(AI101),_xlpm.r,IFERROR(_xlfn.XLOOKUP(_xlpm.ai_test,$BI$15:$BI$62,ROW($BI$15:$BI$62),0,1),IFERROR(_xlfn.XLOOKUP(_xlpm.ai_test,$BJ$15:$BJ$62,ROW($BJ$15:$BJ$62),0,1),_xlfn.XLOOKUP(_xlpm.ai_test,$BK$15:$BK$62,ROW($BK$15:$BK$62),0,1))),_xlpm.p,_xlpm.r-MIN(ROW($BI$15:$BI$62))+1,_xlpm.f,INDEX($BL$15:$BL$62,_xlpm.p),_xlpm.u,INDEX($BM$15:$BM$62,_xlpm.p),_xlpm.s,INDEX($BO$15:$BO$62,_xlpm.p),_xlpm.q,N(AT101)/_xlpm.f,IF(_xlpm.q&gt;=_xlpm.s,ROUND(_xlpm.q,1)&amp;" "&amp;_xlpm.ai_test&amp;" = "&amp;ROUND(_xlpm.q*_xlpm.f,1)&amp;" "&amp;_xlpm.u,ROUND(_xlpm.q,1)&amp;" "&amp;_xlpm.ai_test)),""),""))))</f>
        <v>0</v>
      </c>
      <c r="AW101" s="1047"/>
      <c r="AX101" s="1045">
        <f t="shared" si="59"/>
        <v>0</v>
      </c>
      <c r="AY101" s="1046" t="str">
        <f t="shared" si="60"/>
        <v/>
      </c>
      <c r="AZ101" s="1048">
        <f t="shared" si="65"/>
        <v>0</v>
      </c>
      <c r="BA101" s="1049" t="str">
        <f t="shared" si="61"/>
        <v/>
      </c>
      <c r="BB101" s="1038"/>
      <c r="BC101" s="1050">
        <f t="shared" si="66"/>
        <v>0</v>
      </c>
      <c r="BD101" s="1040" t="str">
        <f t="shared" si="62"/>
        <v/>
      </c>
      <c r="BE101" s="227" t="s">
        <v>22</v>
      </c>
      <c r="BF101" s="1019">
        <f t="shared" si="63"/>
        <v>0</v>
      </c>
      <c r="BG101" s="1020">
        <f t="shared" si="64"/>
        <v>0</v>
      </c>
      <c r="BI101" s="1118" t="s">
        <v>825</v>
      </c>
      <c r="BJ101" s="873"/>
      <c r="BK101" s="873"/>
      <c r="BL101" s="873"/>
      <c r="BM101" s="873"/>
      <c r="BN101" s="873"/>
      <c r="BO101" s="873"/>
      <c r="BP101" s="873"/>
      <c r="BQ101" s="873"/>
      <c r="BR101" s="873"/>
      <c r="BS101" s="873"/>
      <c r="BT101" s="873"/>
      <c r="BU101" s="873"/>
      <c r="BV101"/>
      <c r="BW101" s="959" t="str">
        <f t="shared" si="45"/>
        <v>►</v>
      </c>
      <c r="BX101"/>
      <c r="BY101"/>
      <c r="BZ101"/>
      <c r="CA101"/>
      <c r="CB101"/>
      <c r="CC101" s="957"/>
      <c r="CD101"/>
      <c r="CE101"/>
      <c r="CF101"/>
      <c r="CG101"/>
      <c r="CH101"/>
      <c r="CI101"/>
      <c r="CJ101"/>
      <c r="CK101"/>
      <c r="CL101"/>
      <c r="CM101"/>
      <c r="CN101"/>
      <c r="CO101"/>
      <c r="CP101"/>
      <c r="CQ101"/>
      <c r="CR101"/>
      <c r="CS101"/>
      <c r="CT101"/>
      <c r="CU101"/>
      <c r="CV101"/>
      <c r="CW101"/>
      <c r="CX101"/>
      <c r="CY101"/>
      <c r="CZ101"/>
      <c r="DB101" s="3">
        <v>1</v>
      </c>
    </row>
    <row r="102" spans="1:106" s="709" customFormat="1" ht="21" customHeight="1">
      <c r="A102" s="936" t="s">
        <v>22</v>
      </c>
      <c r="B102" s="952" t="str">
        <f t="shared" si="44"/>
        <v>►</v>
      </c>
      <c r="C102" s="993" cm="1">
        <f t="array" ref="C102">SUMPRODUCT(LEN(D102:J102))</f>
        <v>0</v>
      </c>
      <c r="D102" s="167"/>
      <c r="E102" s="172"/>
      <c r="F102" s="172"/>
      <c r="G102" s="172"/>
      <c r="H102" s="172"/>
      <c r="I102" s="172"/>
      <c r="J102" s="173"/>
      <c r="K102" s="442"/>
      <c r="L102" s="104" t="s">
        <v>16</v>
      </c>
      <c r="M102" s="1172"/>
      <c r="N102" s="1172"/>
      <c r="O102" s="1172"/>
      <c r="P102" s="1173"/>
      <c r="Q102" s="1174"/>
      <c r="R102" s="1175"/>
      <c r="S102" s="1176"/>
      <c r="T102" s="1177"/>
      <c r="U102" s="5248"/>
      <c r="V102" s="1177"/>
      <c r="W102" s="5249"/>
      <c r="X102" s="5208"/>
      <c r="Y102" s="5209"/>
      <c r="Z102" s="5210"/>
      <c r="AA102" s="5211"/>
      <c r="AB102" s="1178"/>
      <c r="AC102" s="1179"/>
      <c r="AD102" s="227" t="s">
        <v>22</v>
      </c>
      <c r="AE102" s="1027" t="str">
        <f t="shared" si="46"/>
        <v>►</v>
      </c>
      <c r="AF102" s="1028" t="str">
        <f t="shared" si="47"/>
        <v/>
      </c>
      <c r="AG102" s="1029" t="str">
        <f t="shared" si="48"/>
        <v/>
      </c>
      <c r="AH102" s="1028" t="str">
        <f t="shared" si="49"/>
        <v/>
      </c>
      <c r="AI102" s="1029" t="str">
        <f t="shared" si="50"/>
        <v/>
      </c>
      <c r="AJ102" s="1029">
        <f t="shared" si="51"/>
        <v>0</v>
      </c>
      <c r="AK102" s="1043" t="str" cm="1">
        <f t="array" ref="AK102">IF(AE102&lt;&gt;"A","",IFERROR((IFERROR(_xlfn.XLOOKUP(TRIM(SUBSTITUTE(U102,CHAR(160)," ")),$BI$15:$BI$62,$BL$15:$BL$62),IFERROR(_xlfn.XLOOKUP(TRIM(SUBSTITUTE(U102,CHAR(160)," ")),$BJ$15:$BJ$62,$BL$15:$BL$62),_xlfn.XLOOKUP(TRIM(SUBSTITUTE(U102,CHAR(160)," ")),$BK$15:$BK$62,$BL$15:$BL$62))))*T102*IF(ISBLANK(Q102),1,Q102)+IFERROR(_xlfn.XLOOKUP("RECHERCHEX",TRIM(L102:AC102),L102:AC102),0),0))</f>
        <v/>
      </c>
      <c r="AL102" s="1030">
        <f t="shared" si="52"/>
        <v>0</v>
      </c>
      <c r="AM102" s="5254" t="str">
        <f t="shared" si="67"/>
        <v/>
      </c>
      <c r="AN102" s="1031">
        <f t="shared" si="53"/>
        <v>0</v>
      </c>
      <c r="AO102" s="1031">
        <f t="shared" si="54"/>
        <v>0</v>
      </c>
      <c r="AP102" s="1032">
        <f t="shared" si="55"/>
        <v>0</v>
      </c>
      <c r="AQ102" s="5255" t="str">
        <f t="shared" si="56"/>
        <v/>
      </c>
      <c r="AR102" s="1056"/>
      <c r="AS102" s="1056"/>
      <c r="AT102" s="1034">
        <f t="shared" si="57"/>
        <v>0</v>
      </c>
      <c r="AU102" s="1035">
        <f t="shared" si="58"/>
        <v>0</v>
      </c>
      <c r="AV102" s="1057" cm="1">
        <f t="array" ref="AV102">IF(AJ102&lt;&gt;1,0,IF(OR(AT102="",N(AT102)&lt;=0.000000001),"",IF(OR(AN102="",N(AN102)&lt;=0.000000001),0,IF(ISNUMBER(AT102),IFERROR(_xlfn.LET(_xlpm.ai_test,TRIM(AI102),_xlpm.r,IFERROR(_xlfn.XLOOKUP(_xlpm.ai_test,$BI$15:$BI$62,ROW($BI$15:$BI$62),0,1),IFERROR(_xlfn.XLOOKUP(_xlpm.ai_test,$BJ$15:$BJ$62,ROW($BJ$15:$BJ$62),0,1),_xlfn.XLOOKUP(_xlpm.ai_test,$BK$15:$BK$62,ROW($BK$15:$BK$62),0,1))),_xlpm.p,_xlpm.r-MIN(ROW($BI$15:$BI$62))+1,_xlpm.f,INDEX($BL$15:$BL$62,_xlpm.p),_xlpm.u,INDEX($BM$15:$BM$62,_xlpm.p),_xlpm.s,INDEX($BO$15:$BO$62,_xlpm.p),_xlpm.q,N(AT102)/_xlpm.f,IF(_xlpm.q&gt;=_xlpm.s,ROUND(_xlpm.q,1)&amp;" "&amp;_xlpm.ai_test&amp;" = "&amp;ROUND(_xlpm.q*_xlpm.f,1)&amp;" "&amp;_xlpm.u,ROUND(_xlpm.q,1)&amp;" "&amp;_xlpm.ai_test)),""),""))))</f>
        <v>0</v>
      </c>
      <c r="AW102" s="1047"/>
      <c r="AX102" s="1034">
        <f t="shared" si="59"/>
        <v>0</v>
      </c>
      <c r="AY102" s="1035" t="str">
        <f t="shared" si="60"/>
        <v/>
      </c>
      <c r="AZ102" s="1036">
        <f t="shared" si="65"/>
        <v>0</v>
      </c>
      <c r="BA102" s="1037" t="str">
        <f t="shared" si="61"/>
        <v/>
      </c>
      <c r="BB102" s="1038"/>
      <c r="BC102" s="1039">
        <f t="shared" si="66"/>
        <v>0</v>
      </c>
      <c r="BD102" s="1040" t="str">
        <f t="shared" si="62"/>
        <v/>
      </c>
      <c r="BE102" s="227" t="s">
        <v>22</v>
      </c>
      <c r="BF102" s="1019">
        <f t="shared" si="63"/>
        <v>0</v>
      </c>
      <c r="BG102" s="1020">
        <f t="shared" si="64"/>
        <v>0</v>
      </c>
      <c r="BI102" s="1123" t="s">
        <v>1973</v>
      </c>
      <c r="BJ102" s="873"/>
      <c r="BK102" s="873"/>
      <c r="BL102" s="873"/>
      <c r="BM102" s="873"/>
      <c r="BN102" s="873"/>
      <c r="BO102" s="873"/>
      <c r="BP102" s="873"/>
      <c r="BQ102" s="873"/>
      <c r="BR102" s="873"/>
      <c r="BS102" s="873"/>
      <c r="BT102" s="873"/>
      <c r="BU102" s="873"/>
      <c r="BV102"/>
      <c r="BW102" s="959" t="str">
        <f t="shared" si="45"/>
        <v>►</v>
      </c>
      <c r="BX102"/>
      <c r="BY102"/>
      <c r="BZ102"/>
      <c r="CA102"/>
      <c r="CB102"/>
      <c r="CC102" s="957"/>
      <c r="CD102"/>
      <c r="CE102"/>
      <c r="CF102"/>
      <c r="CG102"/>
      <c r="CH102"/>
      <c r="CI102"/>
      <c r="CJ102"/>
      <c r="CK102"/>
      <c r="CL102"/>
      <c r="CM102"/>
      <c r="CN102"/>
      <c r="CO102"/>
      <c r="CP102"/>
      <c r="CQ102"/>
      <c r="CR102"/>
      <c r="CS102"/>
      <c r="CT102"/>
      <c r="CU102"/>
      <c r="CV102"/>
      <c r="CW102"/>
      <c r="CX102"/>
      <c r="CY102"/>
      <c r="CZ102"/>
      <c r="DB102" s="3">
        <v>1</v>
      </c>
    </row>
    <row r="103" spans="1:106" s="709" customFormat="1" ht="21" customHeight="1">
      <c r="A103" s="936" t="s">
        <v>22</v>
      </c>
      <c r="B103" s="952" t="str">
        <f t="shared" si="44"/>
        <v>►</v>
      </c>
      <c r="C103" s="993" cm="1">
        <f t="array" ref="C103">SUMPRODUCT(LEN(D103:J103))</f>
        <v>0</v>
      </c>
      <c r="D103" s="167"/>
      <c r="E103" s="172"/>
      <c r="F103" s="172"/>
      <c r="G103" s="172"/>
      <c r="H103" s="172"/>
      <c r="I103" s="172"/>
      <c r="J103" s="173"/>
      <c r="K103" s="442"/>
      <c r="L103" s="104" t="s">
        <v>16</v>
      </c>
      <c r="M103" s="1172"/>
      <c r="N103" s="1172"/>
      <c r="O103" s="1172"/>
      <c r="P103" s="1173"/>
      <c r="Q103" s="1174"/>
      <c r="R103" s="1175"/>
      <c r="S103" s="1176"/>
      <c r="T103" s="1177"/>
      <c r="U103" s="5248"/>
      <c r="V103" s="1177"/>
      <c r="W103" s="5249"/>
      <c r="X103" s="5208"/>
      <c r="Y103" s="5209"/>
      <c r="Z103" s="5210"/>
      <c r="AA103" s="5211"/>
      <c r="AB103" s="1178"/>
      <c r="AC103" s="1179"/>
      <c r="AD103" s="227" t="s">
        <v>22</v>
      </c>
      <c r="AE103" s="1027" t="str">
        <f t="shared" si="46"/>
        <v>►</v>
      </c>
      <c r="AF103" s="1028" t="str">
        <f t="shared" si="47"/>
        <v/>
      </c>
      <c r="AG103" s="1029" t="str">
        <f t="shared" si="48"/>
        <v/>
      </c>
      <c r="AH103" s="1028" t="str">
        <f t="shared" si="49"/>
        <v/>
      </c>
      <c r="AI103" s="1029" t="str">
        <f t="shared" si="50"/>
        <v/>
      </c>
      <c r="AJ103" s="1029">
        <f t="shared" si="51"/>
        <v>0</v>
      </c>
      <c r="AK103" s="1043" t="str" cm="1">
        <f t="array" ref="AK103">IF(AE103&lt;&gt;"A","",IFERROR((IFERROR(_xlfn.XLOOKUP(TRIM(SUBSTITUTE(U103,CHAR(160)," ")),$BI$15:$BI$62,$BL$15:$BL$62),IFERROR(_xlfn.XLOOKUP(TRIM(SUBSTITUTE(U103,CHAR(160)," ")),$BJ$15:$BJ$62,$BL$15:$BL$62),_xlfn.XLOOKUP(TRIM(SUBSTITUTE(U103,CHAR(160)," ")),$BK$15:$BK$62,$BL$15:$BL$62))))*T103*IF(ISBLANK(Q103),1,Q103)+IFERROR(_xlfn.XLOOKUP("RECHERCHEX",TRIM(L103:AC103),L103:AC103),0),0))</f>
        <v/>
      </c>
      <c r="AL103" s="1030">
        <f t="shared" si="52"/>
        <v>0</v>
      </c>
      <c r="AM103" s="5254" t="str">
        <f t="shared" si="67"/>
        <v/>
      </c>
      <c r="AN103" s="1031">
        <f t="shared" si="53"/>
        <v>0</v>
      </c>
      <c r="AO103" s="1031">
        <f t="shared" si="54"/>
        <v>0</v>
      </c>
      <c r="AP103" s="1044">
        <f t="shared" si="55"/>
        <v>0</v>
      </c>
      <c r="AQ103" s="5257" t="str">
        <f t="shared" si="56"/>
        <v/>
      </c>
      <c r="AR103" s="1056"/>
      <c r="AS103" s="1056"/>
      <c r="AT103" s="1045">
        <f t="shared" si="57"/>
        <v>0</v>
      </c>
      <c r="AU103" s="1046">
        <f t="shared" si="58"/>
        <v>0</v>
      </c>
      <c r="AV103" s="1059" cm="1">
        <f t="array" ref="AV103">IF(AJ103&lt;&gt;1,0,IF(OR(AT103="",N(AT103)&lt;=0.000000001),"",IF(OR(AN103="",N(AN103)&lt;=0.000000001),0,IF(ISNUMBER(AT103),IFERROR(_xlfn.LET(_xlpm.ai_test,TRIM(AI103),_xlpm.r,IFERROR(_xlfn.XLOOKUP(_xlpm.ai_test,$BI$15:$BI$62,ROW($BI$15:$BI$62),0,1),IFERROR(_xlfn.XLOOKUP(_xlpm.ai_test,$BJ$15:$BJ$62,ROW($BJ$15:$BJ$62),0,1),_xlfn.XLOOKUP(_xlpm.ai_test,$BK$15:$BK$62,ROW($BK$15:$BK$62),0,1))),_xlpm.p,_xlpm.r-MIN(ROW($BI$15:$BI$62))+1,_xlpm.f,INDEX($BL$15:$BL$62,_xlpm.p),_xlpm.u,INDEX($BM$15:$BM$62,_xlpm.p),_xlpm.s,INDEX($BO$15:$BO$62,_xlpm.p),_xlpm.q,N(AT103)/_xlpm.f,IF(_xlpm.q&gt;=_xlpm.s,ROUND(_xlpm.q,1)&amp;" "&amp;_xlpm.ai_test&amp;" = "&amp;ROUND(_xlpm.q*_xlpm.f,1)&amp;" "&amp;_xlpm.u,ROUND(_xlpm.q,1)&amp;" "&amp;_xlpm.ai_test)),""),""))))</f>
        <v>0</v>
      </c>
      <c r="AW103" s="1047"/>
      <c r="AX103" s="1045">
        <f t="shared" si="59"/>
        <v>0</v>
      </c>
      <c r="AY103" s="1046" t="str">
        <f t="shared" si="60"/>
        <v/>
      </c>
      <c r="AZ103" s="1048">
        <f t="shared" si="65"/>
        <v>0</v>
      </c>
      <c r="BA103" s="1049" t="str">
        <f t="shared" si="61"/>
        <v/>
      </c>
      <c r="BB103" s="1038"/>
      <c r="BC103" s="1050">
        <f t="shared" si="66"/>
        <v>0</v>
      </c>
      <c r="BD103" s="1040" t="str">
        <f t="shared" si="62"/>
        <v/>
      </c>
      <c r="BE103" s="227" t="s">
        <v>22</v>
      </c>
      <c r="BF103" s="1019">
        <f t="shared" si="63"/>
        <v>0</v>
      </c>
      <c r="BG103" s="1020">
        <f t="shared" si="64"/>
        <v>0</v>
      </c>
      <c r="BI103" s="1123" t="s">
        <v>1974</v>
      </c>
      <c r="BJ103" s="873"/>
      <c r="BK103" s="873"/>
      <c r="BL103" s="873"/>
      <c r="BM103" s="873"/>
      <c r="BN103" s="873"/>
      <c r="BO103" s="873"/>
      <c r="BP103" s="873"/>
      <c r="BQ103" s="873"/>
      <c r="BR103" s="873"/>
      <c r="BS103" s="873"/>
      <c r="BT103" s="873"/>
      <c r="BU103" s="873"/>
      <c r="BV103"/>
      <c r="BW103" s="959" t="str">
        <f t="shared" si="45"/>
        <v>►</v>
      </c>
      <c r="BX103"/>
      <c r="BY103"/>
      <c r="BZ103"/>
      <c r="CA103"/>
      <c r="CB103"/>
      <c r="CC103" s="957"/>
      <c r="CD103"/>
      <c r="CE103"/>
      <c r="CF103"/>
      <c r="CG103"/>
      <c r="CH103"/>
      <c r="CI103"/>
      <c r="CJ103"/>
      <c r="CK103"/>
      <c r="CL103"/>
      <c r="CM103"/>
      <c r="CN103"/>
      <c r="CO103"/>
      <c r="CP103"/>
      <c r="CQ103"/>
      <c r="CR103"/>
      <c r="CS103"/>
      <c r="CT103"/>
      <c r="CU103"/>
      <c r="CV103"/>
      <c r="CW103"/>
      <c r="CX103"/>
      <c r="CY103"/>
      <c r="CZ103"/>
      <c r="DB103" s="3">
        <v>1</v>
      </c>
    </row>
    <row r="104" spans="1:106" s="709" customFormat="1" ht="21" customHeight="1">
      <c r="A104" s="936" t="s">
        <v>22</v>
      </c>
      <c r="B104" s="952" t="str">
        <f t="shared" si="44"/>
        <v>►</v>
      </c>
      <c r="C104" s="993" cm="1">
        <f t="array" ref="C104">SUMPRODUCT(LEN(D104:J104))</f>
        <v>0</v>
      </c>
      <c r="D104" s="167"/>
      <c r="E104" s="172"/>
      <c r="F104" s="172"/>
      <c r="G104" s="172"/>
      <c r="H104" s="172"/>
      <c r="I104" s="172"/>
      <c r="J104" s="173"/>
      <c r="K104" s="442"/>
      <c r="L104" s="104" t="s">
        <v>16</v>
      </c>
      <c r="M104" s="1172"/>
      <c r="N104" s="1172"/>
      <c r="O104" s="1172"/>
      <c r="P104" s="1173"/>
      <c r="Q104" s="1174"/>
      <c r="R104" s="1175"/>
      <c r="S104" s="1176"/>
      <c r="T104" s="1177"/>
      <c r="U104" s="5248"/>
      <c r="V104" s="1177"/>
      <c r="W104" s="5249"/>
      <c r="X104" s="5208"/>
      <c r="Y104" s="5209"/>
      <c r="Z104" s="5210"/>
      <c r="AA104" s="5211"/>
      <c r="AB104" s="1178"/>
      <c r="AC104" s="1179"/>
      <c r="AD104" s="227" t="s">
        <v>22</v>
      </c>
      <c r="AE104" s="1027" t="str">
        <f t="shared" si="46"/>
        <v>►</v>
      </c>
      <c r="AF104" s="1028" t="str">
        <f t="shared" si="47"/>
        <v/>
      </c>
      <c r="AG104" s="1029" t="str">
        <f t="shared" si="48"/>
        <v/>
      </c>
      <c r="AH104" s="1028" t="str">
        <f t="shared" si="49"/>
        <v/>
      </c>
      <c r="AI104" s="1029" t="str">
        <f t="shared" si="50"/>
        <v/>
      </c>
      <c r="AJ104" s="1029">
        <f t="shared" si="51"/>
        <v>0</v>
      </c>
      <c r="AK104" s="1043" t="str" cm="1">
        <f t="array" ref="AK104">IF(AE104&lt;&gt;"A","",IFERROR((IFERROR(_xlfn.XLOOKUP(TRIM(SUBSTITUTE(U104,CHAR(160)," ")),$BI$15:$BI$62,$BL$15:$BL$62),IFERROR(_xlfn.XLOOKUP(TRIM(SUBSTITUTE(U104,CHAR(160)," ")),$BJ$15:$BJ$62,$BL$15:$BL$62),_xlfn.XLOOKUP(TRIM(SUBSTITUTE(U104,CHAR(160)," ")),$BK$15:$BK$62,$BL$15:$BL$62))))*T104*IF(ISBLANK(Q104),1,Q104)+IFERROR(_xlfn.XLOOKUP("RECHERCHEX",TRIM(L104:AC104),L104:AC104),0),0))</f>
        <v/>
      </c>
      <c r="AL104" s="1030">
        <f t="shared" si="52"/>
        <v>0</v>
      </c>
      <c r="AM104" s="5254" t="str">
        <f t="shared" si="67"/>
        <v/>
      </c>
      <c r="AN104" s="1031">
        <f t="shared" si="53"/>
        <v>0</v>
      </c>
      <c r="AO104" s="1031">
        <f t="shared" si="54"/>
        <v>0</v>
      </c>
      <c r="AP104" s="1032">
        <f t="shared" si="55"/>
        <v>0</v>
      </c>
      <c r="AQ104" s="5255" t="str">
        <f t="shared" si="56"/>
        <v/>
      </c>
      <c r="AR104" s="1056"/>
      <c r="AS104" s="1056"/>
      <c r="AT104" s="1034">
        <f t="shared" si="57"/>
        <v>0</v>
      </c>
      <c r="AU104" s="1035">
        <f t="shared" si="58"/>
        <v>0</v>
      </c>
      <c r="AV104" s="1057" cm="1">
        <f t="array" ref="AV104">IF(AJ104&lt;&gt;1,0,IF(OR(AT104="",N(AT104)&lt;=0.000000001),"",IF(OR(AN104="",N(AN104)&lt;=0.000000001),0,IF(ISNUMBER(AT104),IFERROR(_xlfn.LET(_xlpm.ai_test,TRIM(AI104),_xlpm.r,IFERROR(_xlfn.XLOOKUP(_xlpm.ai_test,$BI$15:$BI$62,ROW($BI$15:$BI$62),0,1),IFERROR(_xlfn.XLOOKUP(_xlpm.ai_test,$BJ$15:$BJ$62,ROW($BJ$15:$BJ$62),0,1),_xlfn.XLOOKUP(_xlpm.ai_test,$BK$15:$BK$62,ROW($BK$15:$BK$62),0,1))),_xlpm.p,_xlpm.r-MIN(ROW($BI$15:$BI$62))+1,_xlpm.f,INDEX($BL$15:$BL$62,_xlpm.p),_xlpm.u,INDEX($BM$15:$BM$62,_xlpm.p),_xlpm.s,INDEX($BO$15:$BO$62,_xlpm.p),_xlpm.q,N(AT104)/_xlpm.f,IF(_xlpm.q&gt;=_xlpm.s,ROUND(_xlpm.q,1)&amp;" "&amp;_xlpm.ai_test&amp;" = "&amp;ROUND(_xlpm.q*_xlpm.f,1)&amp;" "&amp;_xlpm.u,ROUND(_xlpm.q,1)&amp;" "&amp;_xlpm.ai_test)),""),""))))</f>
        <v>0</v>
      </c>
      <c r="AW104" s="1047"/>
      <c r="AX104" s="1034">
        <f t="shared" si="59"/>
        <v>0</v>
      </c>
      <c r="AY104" s="1035" t="str">
        <f t="shared" si="60"/>
        <v/>
      </c>
      <c r="AZ104" s="1036">
        <f t="shared" si="65"/>
        <v>0</v>
      </c>
      <c r="BA104" s="1037" t="str">
        <f t="shared" si="61"/>
        <v/>
      </c>
      <c r="BB104" s="1038"/>
      <c r="BC104" s="1039">
        <f t="shared" si="66"/>
        <v>0</v>
      </c>
      <c r="BD104" s="1040" t="str">
        <f t="shared" si="62"/>
        <v/>
      </c>
      <c r="BE104" s="227" t="s">
        <v>22</v>
      </c>
      <c r="BF104" s="1019">
        <f t="shared" si="63"/>
        <v>0</v>
      </c>
      <c r="BG104" s="1020">
        <f t="shared" si="64"/>
        <v>0</v>
      </c>
      <c r="BI104" s="231"/>
      <c r="BJ104" s="231"/>
      <c r="BK104" s="231"/>
      <c r="BL104" s="231"/>
      <c r="BM104" s="231"/>
      <c r="BN104" s="231"/>
      <c r="BO104" s="231"/>
      <c r="BP104" s="231"/>
      <c r="BQ104" s="231"/>
      <c r="BR104" s="231"/>
      <c r="BS104" s="231"/>
      <c r="BT104" s="231"/>
      <c r="BU104" s="231"/>
      <c r="BV104"/>
      <c r="BW104" s="959" t="str">
        <f t="shared" si="45"/>
        <v>►</v>
      </c>
      <c r="BX104"/>
      <c r="BY104"/>
      <c r="BZ104"/>
      <c r="CA104"/>
      <c r="CB104"/>
      <c r="CC104" s="957"/>
      <c r="CD104"/>
      <c r="CE104"/>
      <c r="CF104"/>
      <c r="CG104"/>
      <c r="CH104"/>
      <c r="CI104"/>
      <c r="CJ104"/>
      <c r="CK104"/>
      <c r="CL104"/>
      <c r="CM104"/>
      <c r="CN104"/>
      <c r="CO104"/>
      <c r="CP104"/>
      <c r="CQ104"/>
      <c r="CR104"/>
      <c r="CS104"/>
      <c r="CT104"/>
      <c r="CU104"/>
      <c r="CV104"/>
      <c r="CW104"/>
      <c r="CX104"/>
      <c r="CY104"/>
      <c r="CZ104"/>
      <c r="DB104" s="3">
        <v>1</v>
      </c>
    </row>
    <row r="105" spans="1:106" s="709" customFormat="1" ht="21" customHeight="1">
      <c r="A105" s="936" t="s">
        <v>22</v>
      </c>
      <c r="B105" s="952" t="str">
        <f t="shared" si="44"/>
        <v>►</v>
      </c>
      <c r="C105" s="993" cm="1">
        <f t="array" ref="C105">SUMPRODUCT(LEN(D105:J105))</f>
        <v>0</v>
      </c>
      <c r="D105" s="167"/>
      <c r="E105" s="172"/>
      <c r="F105" s="172"/>
      <c r="G105" s="172"/>
      <c r="H105" s="172"/>
      <c r="I105" s="172"/>
      <c r="J105" s="173"/>
      <c r="K105" s="442"/>
      <c r="L105" s="104" t="s">
        <v>16</v>
      </c>
      <c r="M105" s="1172"/>
      <c r="N105" s="1172"/>
      <c r="O105" s="1172"/>
      <c r="P105" s="1173"/>
      <c r="Q105" s="1174"/>
      <c r="R105" s="1175"/>
      <c r="S105" s="1176"/>
      <c r="T105" s="1177"/>
      <c r="U105" s="5248"/>
      <c r="V105" s="1177"/>
      <c r="W105" s="5249"/>
      <c r="X105" s="5208"/>
      <c r="Y105" s="5209"/>
      <c r="Z105" s="5210"/>
      <c r="AA105" s="5211"/>
      <c r="AB105" s="1178"/>
      <c r="AC105" s="1179"/>
      <c r="AD105" s="227" t="s">
        <v>22</v>
      </c>
      <c r="AE105" s="1027" t="str">
        <f t="shared" si="46"/>
        <v>►</v>
      </c>
      <c r="AF105" s="1028" t="str">
        <f t="shared" si="47"/>
        <v/>
      </c>
      <c r="AG105" s="1029" t="str">
        <f t="shared" si="48"/>
        <v/>
      </c>
      <c r="AH105" s="1028" t="str">
        <f t="shared" si="49"/>
        <v/>
      </c>
      <c r="AI105" s="1029" t="str">
        <f t="shared" si="50"/>
        <v/>
      </c>
      <c r="AJ105" s="1029">
        <f t="shared" si="51"/>
        <v>0</v>
      </c>
      <c r="AK105" s="1043" t="str" cm="1">
        <f t="array" ref="AK105">IF(AE105&lt;&gt;"A","",IFERROR((IFERROR(_xlfn.XLOOKUP(TRIM(SUBSTITUTE(U105,CHAR(160)," ")),$BI$15:$BI$62,$BL$15:$BL$62),IFERROR(_xlfn.XLOOKUP(TRIM(SUBSTITUTE(U105,CHAR(160)," ")),$BJ$15:$BJ$62,$BL$15:$BL$62),_xlfn.XLOOKUP(TRIM(SUBSTITUTE(U105,CHAR(160)," ")),$BK$15:$BK$62,$BL$15:$BL$62))))*T105*IF(ISBLANK(Q105),1,Q105)+IFERROR(_xlfn.XLOOKUP("RECHERCHEX",TRIM(L105:AC105),L105:AC105),0),0))</f>
        <v/>
      </c>
      <c r="AL105" s="1030">
        <f t="shared" si="52"/>
        <v>0</v>
      </c>
      <c r="AM105" s="5254" t="str">
        <f t="shared" si="67"/>
        <v/>
      </c>
      <c r="AN105" s="1031">
        <f t="shared" si="53"/>
        <v>0</v>
      </c>
      <c r="AO105" s="1031">
        <f t="shared" si="54"/>
        <v>0</v>
      </c>
      <c r="AP105" s="1044">
        <f t="shared" si="55"/>
        <v>0</v>
      </c>
      <c r="AQ105" s="5257" t="str">
        <f t="shared" si="56"/>
        <v/>
      </c>
      <c r="AR105" s="1056"/>
      <c r="AS105" s="1056"/>
      <c r="AT105" s="1045">
        <f t="shared" si="57"/>
        <v>0</v>
      </c>
      <c r="AU105" s="1046">
        <f t="shared" si="58"/>
        <v>0</v>
      </c>
      <c r="AV105" s="1059" cm="1">
        <f t="array" ref="AV105">IF(AJ105&lt;&gt;1,0,IF(OR(AT105="",N(AT105)&lt;=0.000000001),"",IF(OR(AN105="",N(AN105)&lt;=0.000000001),0,IF(ISNUMBER(AT105),IFERROR(_xlfn.LET(_xlpm.ai_test,TRIM(AI105),_xlpm.r,IFERROR(_xlfn.XLOOKUP(_xlpm.ai_test,$BI$15:$BI$62,ROW($BI$15:$BI$62),0,1),IFERROR(_xlfn.XLOOKUP(_xlpm.ai_test,$BJ$15:$BJ$62,ROW($BJ$15:$BJ$62),0,1),_xlfn.XLOOKUP(_xlpm.ai_test,$BK$15:$BK$62,ROW($BK$15:$BK$62),0,1))),_xlpm.p,_xlpm.r-MIN(ROW($BI$15:$BI$62))+1,_xlpm.f,INDEX($BL$15:$BL$62,_xlpm.p),_xlpm.u,INDEX($BM$15:$BM$62,_xlpm.p),_xlpm.s,INDEX($BO$15:$BO$62,_xlpm.p),_xlpm.q,N(AT105)/_xlpm.f,IF(_xlpm.q&gt;=_xlpm.s,ROUND(_xlpm.q,1)&amp;" "&amp;_xlpm.ai_test&amp;" = "&amp;ROUND(_xlpm.q*_xlpm.f,1)&amp;" "&amp;_xlpm.u,ROUND(_xlpm.q,1)&amp;" "&amp;_xlpm.ai_test)),""),""))))</f>
        <v>0</v>
      </c>
      <c r="AW105" s="1047"/>
      <c r="AX105" s="1045">
        <f t="shared" si="59"/>
        <v>0</v>
      </c>
      <c r="AY105" s="1046" t="str">
        <f t="shared" si="60"/>
        <v/>
      </c>
      <c r="AZ105" s="1048">
        <f t="shared" si="65"/>
        <v>0</v>
      </c>
      <c r="BA105" s="1049" t="str">
        <f t="shared" si="61"/>
        <v/>
      </c>
      <c r="BB105" s="1038"/>
      <c r="BC105" s="1050">
        <f t="shared" si="66"/>
        <v>0</v>
      </c>
      <c r="BD105" s="1040" t="str">
        <f t="shared" si="62"/>
        <v/>
      </c>
      <c r="BE105" s="227" t="s">
        <v>22</v>
      </c>
      <c r="BF105" s="1019">
        <f t="shared" si="63"/>
        <v>0</v>
      </c>
      <c r="BG105" s="1020">
        <f t="shared" si="64"/>
        <v>0</v>
      </c>
      <c r="BI105" s="1118" t="s">
        <v>826</v>
      </c>
      <c r="BJ105" s="231"/>
      <c r="BK105" s="231"/>
      <c r="BL105" s="231"/>
      <c r="BM105" s="231"/>
      <c r="BN105" s="231"/>
      <c r="BO105" s="231"/>
      <c r="BP105" s="231"/>
      <c r="BQ105" s="231"/>
      <c r="BR105" s="231"/>
      <c r="BS105" s="231"/>
      <c r="BT105" s="231"/>
      <c r="BU105" s="231"/>
      <c r="BV105"/>
      <c r="BW105" s="959" t="str">
        <f t="shared" si="45"/>
        <v>►</v>
      </c>
      <c r="BX105"/>
      <c r="BY105"/>
      <c r="BZ105"/>
      <c r="CA105"/>
      <c r="CB105"/>
      <c r="CC105" s="957"/>
      <c r="CD105"/>
      <c r="CE105"/>
      <c r="CF105"/>
      <c r="CG105"/>
      <c r="CH105"/>
      <c r="CI105"/>
      <c r="CJ105"/>
      <c r="CK105"/>
      <c r="CL105"/>
      <c r="CM105"/>
      <c r="CN105"/>
      <c r="CO105"/>
      <c r="CP105"/>
      <c r="CQ105"/>
      <c r="CR105"/>
      <c r="CS105"/>
      <c r="CT105"/>
      <c r="CU105"/>
      <c r="CV105"/>
      <c r="CW105"/>
      <c r="CX105"/>
      <c r="CY105"/>
      <c r="CZ105"/>
      <c r="DB105" s="3">
        <v>1</v>
      </c>
    </row>
    <row r="106" spans="1:106" s="709" customFormat="1" ht="21" customHeight="1">
      <c r="A106" s="936" t="s">
        <v>22</v>
      </c>
      <c r="B106" s="952" t="str">
        <f t="shared" si="44"/>
        <v>►</v>
      </c>
      <c r="C106" s="993" cm="1">
        <f t="array" ref="C106">SUMPRODUCT(LEN(D106:J106))</f>
        <v>0</v>
      </c>
      <c r="D106" s="167"/>
      <c r="E106" s="172"/>
      <c r="F106" s="172"/>
      <c r="G106" s="172"/>
      <c r="H106" s="172"/>
      <c r="I106" s="172"/>
      <c r="J106" s="173"/>
      <c r="K106" s="442"/>
      <c r="L106" s="104" t="s">
        <v>16</v>
      </c>
      <c r="M106" s="1172"/>
      <c r="N106" s="1172"/>
      <c r="O106" s="1172"/>
      <c r="P106" s="1173"/>
      <c r="Q106" s="1174"/>
      <c r="R106" s="1175"/>
      <c r="S106" s="1176"/>
      <c r="T106" s="1177"/>
      <c r="U106" s="5248"/>
      <c r="V106" s="1177"/>
      <c r="W106" s="5249"/>
      <c r="X106" s="5208"/>
      <c r="Y106" s="5209"/>
      <c r="Z106" s="5210"/>
      <c r="AA106" s="5211"/>
      <c r="AB106" s="1178"/>
      <c r="AC106" s="1179"/>
      <c r="AD106" s="227" t="s">
        <v>22</v>
      </c>
      <c r="AE106" s="1027" t="str">
        <f t="shared" si="46"/>
        <v>►</v>
      </c>
      <c r="AF106" s="1028" t="str">
        <f t="shared" si="47"/>
        <v/>
      </c>
      <c r="AG106" s="1029" t="str">
        <f t="shared" si="48"/>
        <v/>
      </c>
      <c r="AH106" s="1028" t="str">
        <f t="shared" si="49"/>
        <v/>
      </c>
      <c r="AI106" s="1029" t="str">
        <f t="shared" si="50"/>
        <v/>
      </c>
      <c r="AJ106" s="1029">
        <f t="shared" si="51"/>
        <v>0</v>
      </c>
      <c r="AK106" s="1043" t="str" cm="1">
        <f t="array" ref="AK106">IF(AE106&lt;&gt;"A","",IFERROR((IFERROR(_xlfn.XLOOKUP(TRIM(SUBSTITUTE(U106,CHAR(160)," ")),$BI$15:$BI$62,$BL$15:$BL$62),IFERROR(_xlfn.XLOOKUP(TRIM(SUBSTITUTE(U106,CHAR(160)," ")),$BJ$15:$BJ$62,$BL$15:$BL$62),_xlfn.XLOOKUP(TRIM(SUBSTITUTE(U106,CHAR(160)," ")),$BK$15:$BK$62,$BL$15:$BL$62))))*T106*IF(ISBLANK(Q106),1,Q106)+IFERROR(_xlfn.XLOOKUP("RECHERCHEX",TRIM(L106:AC106),L106:AC106),0),0))</f>
        <v/>
      </c>
      <c r="AL106" s="1030">
        <f t="shared" si="52"/>
        <v>0</v>
      </c>
      <c r="AM106" s="5254" t="str">
        <f t="shared" si="67"/>
        <v/>
      </c>
      <c r="AN106" s="1031">
        <f t="shared" si="53"/>
        <v>0</v>
      </c>
      <c r="AO106" s="1031">
        <f t="shared" si="54"/>
        <v>0</v>
      </c>
      <c r="AP106" s="1032">
        <f t="shared" si="55"/>
        <v>0</v>
      </c>
      <c r="AQ106" s="5255" t="str">
        <f t="shared" si="56"/>
        <v/>
      </c>
      <c r="AR106" s="1056"/>
      <c r="AS106" s="1056"/>
      <c r="AT106" s="1034">
        <f t="shared" si="57"/>
        <v>0</v>
      </c>
      <c r="AU106" s="1035">
        <f t="shared" si="58"/>
        <v>0</v>
      </c>
      <c r="AV106" s="1057" cm="1">
        <f t="array" ref="AV106">IF(AJ106&lt;&gt;1,0,IF(OR(AT106="",N(AT106)&lt;=0.000000001),"",IF(OR(AN106="",N(AN106)&lt;=0.000000001),0,IF(ISNUMBER(AT106),IFERROR(_xlfn.LET(_xlpm.ai_test,TRIM(AI106),_xlpm.r,IFERROR(_xlfn.XLOOKUP(_xlpm.ai_test,$BI$15:$BI$62,ROW($BI$15:$BI$62),0,1),IFERROR(_xlfn.XLOOKUP(_xlpm.ai_test,$BJ$15:$BJ$62,ROW($BJ$15:$BJ$62),0,1),_xlfn.XLOOKUP(_xlpm.ai_test,$BK$15:$BK$62,ROW($BK$15:$BK$62),0,1))),_xlpm.p,_xlpm.r-MIN(ROW($BI$15:$BI$62))+1,_xlpm.f,INDEX($BL$15:$BL$62,_xlpm.p),_xlpm.u,INDEX($BM$15:$BM$62,_xlpm.p),_xlpm.s,INDEX($BO$15:$BO$62,_xlpm.p),_xlpm.q,N(AT106)/_xlpm.f,IF(_xlpm.q&gt;=_xlpm.s,ROUND(_xlpm.q,1)&amp;" "&amp;_xlpm.ai_test&amp;" = "&amp;ROUND(_xlpm.q*_xlpm.f,1)&amp;" "&amp;_xlpm.u,ROUND(_xlpm.q,1)&amp;" "&amp;_xlpm.ai_test)),""),""))))</f>
        <v>0</v>
      </c>
      <c r="AW106" s="1047"/>
      <c r="AX106" s="1034">
        <f t="shared" si="59"/>
        <v>0</v>
      </c>
      <c r="AY106" s="1035" t="str">
        <f t="shared" si="60"/>
        <v/>
      </c>
      <c r="AZ106" s="1036">
        <f t="shared" si="65"/>
        <v>0</v>
      </c>
      <c r="BA106" s="1037" t="str">
        <f t="shared" si="61"/>
        <v/>
      </c>
      <c r="BB106" s="1038"/>
      <c r="BC106" s="1039">
        <f t="shared" si="66"/>
        <v>0</v>
      </c>
      <c r="BD106" s="1040" t="str">
        <f t="shared" si="62"/>
        <v/>
      </c>
      <c r="BE106" s="227" t="s">
        <v>22</v>
      </c>
      <c r="BF106" s="1019">
        <f t="shared" si="63"/>
        <v>0</v>
      </c>
      <c r="BG106" s="1020">
        <f t="shared" si="64"/>
        <v>0</v>
      </c>
      <c r="BI106" s="1123" t="s">
        <v>1975</v>
      </c>
      <c r="BJ106" s="231"/>
      <c r="BK106" s="231"/>
      <c r="BL106" s="231"/>
      <c r="BM106" s="231"/>
      <c r="BN106" s="231"/>
      <c r="BO106" s="231"/>
      <c r="BP106" s="231"/>
      <c r="BQ106" s="231"/>
      <c r="BR106" s="231"/>
      <c r="BS106" s="231"/>
      <c r="BT106" s="231"/>
      <c r="BU106" s="231"/>
      <c r="BV106"/>
      <c r="BW106" s="959" t="str">
        <f t="shared" si="45"/>
        <v>►</v>
      </c>
      <c r="BX106"/>
      <c r="BY106"/>
      <c r="BZ106"/>
      <c r="CA106"/>
      <c r="CB106"/>
      <c r="CC106" s="957"/>
      <c r="CD106"/>
      <c r="CE106"/>
      <c r="CF106"/>
      <c r="CG106"/>
      <c r="CH106"/>
      <c r="CI106"/>
      <c r="CJ106"/>
      <c r="CK106"/>
      <c r="CL106"/>
      <c r="CM106"/>
      <c r="CN106"/>
      <c r="CO106"/>
      <c r="CP106"/>
      <c r="CQ106"/>
      <c r="CR106"/>
      <c r="CS106"/>
      <c r="CT106"/>
      <c r="CU106"/>
      <c r="CV106"/>
      <c r="CW106"/>
      <c r="CX106"/>
      <c r="CY106"/>
      <c r="CZ106"/>
      <c r="DB106" s="3">
        <v>1</v>
      </c>
    </row>
    <row r="107" spans="1:106" s="709" customFormat="1" ht="21" customHeight="1">
      <c r="A107" s="936" t="s">
        <v>22</v>
      </c>
      <c r="B107" s="952" t="str">
        <f t="shared" si="44"/>
        <v>►</v>
      </c>
      <c r="C107" s="993" cm="1">
        <f t="array" ref="C107">SUMPRODUCT(LEN(D107:J107))</f>
        <v>0</v>
      </c>
      <c r="D107" s="167"/>
      <c r="E107" s="172"/>
      <c r="F107" s="172"/>
      <c r="G107" s="172"/>
      <c r="H107" s="172"/>
      <c r="I107" s="172"/>
      <c r="J107" s="173"/>
      <c r="K107" s="442"/>
      <c r="L107" s="104" t="s">
        <v>16</v>
      </c>
      <c r="M107" s="1172"/>
      <c r="N107" s="1172"/>
      <c r="O107" s="1172"/>
      <c r="P107" s="1173"/>
      <c r="Q107" s="1174"/>
      <c r="R107" s="1175"/>
      <c r="S107" s="1176"/>
      <c r="T107" s="1177"/>
      <c r="U107" s="5248"/>
      <c r="V107" s="1177"/>
      <c r="W107" s="5249"/>
      <c r="X107" s="5208"/>
      <c r="Y107" s="5209"/>
      <c r="Z107" s="5210"/>
      <c r="AA107" s="5211"/>
      <c r="AB107" s="1178"/>
      <c r="AC107" s="1179"/>
      <c r="AD107" s="227" t="s">
        <v>22</v>
      </c>
      <c r="AE107" s="1027" t="str">
        <f t="shared" si="46"/>
        <v>►</v>
      </c>
      <c r="AF107" s="1028" t="str">
        <f t="shared" si="47"/>
        <v/>
      </c>
      <c r="AG107" s="1029" t="str">
        <f t="shared" si="48"/>
        <v/>
      </c>
      <c r="AH107" s="1028" t="str">
        <f t="shared" si="49"/>
        <v/>
      </c>
      <c r="AI107" s="1029" t="str">
        <f t="shared" si="50"/>
        <v/>
      </c>
      <c r="AJ107" s="1029">
        <f t="shared" si="51"/>
        <v>0</v>
      </c>
      <c r="AK107" s="1043" t="str" cm="1">
        <f t="array" ref="AK107">IF(AE107&lt;&gt;"A","",IFERROR((IFERROR(_xlfn.XLOOKUP(TRIM(SUBSTITUTE(U107,CHAR(160)," ")),$BI$15:$BI$62,$BL$15:$BL$62),IFERROR(_xlfn.XLOOKUP(TRIM(SUBSTITUTE(U107,CHAR(160)," ")),$BJ$15:$BJ$62,$BL$15:$BL$62),_xlfn.XLOOKUP(TRIM(SUBSTITUTE(U107,CHAR(160)," ")),$BK$15:$BK$62,$BL$15:$BL$62))))*T107*IF(ISBLANK(Q107),1,Q107)+IFERROR(_xlfn.XLOOKUP("RECHERCHEX",TRIM(L107:AC107),L107:AC107),0),0))</f>
        <v/>
      </c>
      <c r="AL107" s="1030">
        <f t="shared" si="52"/>
        <v>0</v>
      </c>
      <c r="AM107" s="5254" t="str">
        <f t="shared" si="67"/>
        <v/>
      </c>
      <c r="AN107" s="1031">
        <f t="shared" si="53"/>
        <v>0</v>
      </c>
      <c r="AO107" s="1031">
        <f t="shared" si="54"/>
        <v>0</v>
      </c>
      <c r="AP107" s="1044">
        <f t="shared" si="55"/>
        <v>0</v>
      </c>
      <c r="AQ107" s="5257" t="str">
        <f t="shared" si="56"/>
        <v/>
      </c>
      <c r="AR107" s="1056"/>
      <c r="AS107" s="1056"/>
      <c r="AT107" s="1045">
        <f t="shared" si="57"/>
        <v>0</v>
      </c>
      <c r="AU107" s="1046">
        <f t="shared" si="58"/>
        <v>0</v>
      </c>
      <c r="AV107" s="1059" cm="1">
        <f t="array" ref="AV107">IF(AJ107&lt;&gt;1,0,IF(OR(AT107="",N(AT107)&lt;=0.000000001),"",IF(OR(AN107="",N(AN107)&lt;=0.000000001),0,IF(ISNUMBER(AT107),IFERROR(_xlfn.LET(_xlpm.ai_test,TRIM(AI107),_xlpm.r,IFERROR(_xlfn.XLOOKUP(_xlpm.ai_test,$BI$15:$BI$62,ROW($BI$15:$BI$62),0,1),IFERROR(_xlfn.XLOOKUP(_xlpm.ai_test,$BJ$15:$BJ$62,ROW($BJ$15:$BJ$62),0,1),_xlfn.XLOOKUP(_xlpm.ai_test,$BK$15:$BK$62,ROW($BK$15:$BK$62),0,1))),_xlpm.p,_xlpm.r-MIN(ROW($BI$15:$BI$62))+1,_xlpm.f,INDEX($BL$15:$BL$62,_xlpm.p),_xlpm.u,INDEX($BM$15:$BM$62,_xlpm.p),_xlpm.s,INDEX($BO$15:$BO$62,_xlpm.p),_xlpm.q,N(AT107)/_xlpm.f,IF(_xlpm.q&gt;=_xlpm.s,ROUND(_xlpm.q,1)&amp;" "&amp;_xlpm.ai_test&amp;" = "&amp;ROUND(_xlpm.q*_xlpm.f,1)&amp;" "&amp;_xlpm.u,ROUND(_xlpm.q,1)&amp;" "&amp;_xlpm.ai_test)),""),""))))</f>
        <v>0</v>
      </c>
      <c r="AW107" s="1047"/>
      <c r="AX107" s="1045">
        <f t="shared" si="59"/>
        <v>0</v>
      </c>
      <c r="AY107" s="1046" t="str">
        <f t="shared" si="60"/>
        <v/>
      </c>
      <c r="AZ107" s="1048">
        <f t="shared" si="65"/>
        <v>0</v>
      </c>
      <c r="BA107" s="1049" t="str">
        <f t="shared" si="61"/>
        <v/>
      </c>
      <c r="BB107" s="1038"/>
      <c r="BC107" s="1050">
        <f t="shared" si="66"/>
        <v>0</v>
      </c>
      <c r="BD107" s="1040" t="str">
        <f t="shared" si="62"/>
        <v/>
      </c>
      <c r="BE107" s="227" t="s">
        <v>22</v>
      </c>
      <c r="BF107" s="1019">
        <f t="shared" si="63"/>
        <v>0</v>
      </c>
      <c r="BG107" s="1020">
        <f t="shared" si="64"/>
        <v>0</v>
      </c>
      <c r="BI107" s="5499" t="s">
        <v>1976</v>
      </c>
      <c r="BJ107" s="5499"/>
      <c r="BK107" s="5499"/>
      <c r="BL107" s="5499"/>
      <c r="BM107" s="5499"/>
      <c r="BN107" s="5499"/>
      <c r="BO107" s="5499"/>
      <c r="BP107" s="5499"/>
      <c r="BQ107" s="5499"/>
      <c r="BR107" s="5499"/>
      <c r="BS107" s="5499"/>
      <c r="BT107" s="5499"/>
      <c r="BU107" s="5499"/>
      <c r="BV107"/>
      <c r="BW107" s="959" t="str">
        <f t="shared" si="45"/>
        <v>►</v>
      </c>
      <c r="BX107"/>
      <c r="BY107"/>
      <c r="BZ107"/>
      <c r="CA107"/>
      <c r="CB107"/>
      <c r="CC107" s="957"/>
      <c r="CD107"/>
      <c r="CE107"/>
      <c r="CF107"/>
      <c r="CG107"/>
      <c r="CH107"/>
      <c r="CI107"/>
      <c r="CJ107"/>
      <c r="CK107"/>
      <c r="CL107"/>
      <c r="CM107"/>
      <c r="CN107"/>
      <c r="CO107"/>
      <c r="CP107"/>
      <c r="CQ107"/>
      <c r="CR107"/>
      <c r="CS107"/>
      <c r="CT107"/>
      <c r="CU107"/>
      <c r="CV107"/>
      <c r="CW107"/>
      <c r="CX107"/>
      <c r="CY107"/>
      <c r="CZ107"/>
      <c r="DB107" s="3">
        <v>1</v>
      </c>
    </row>
    <row r="108" spans="1:106" s="709" customFormat="1" ht="21" customHeight="1">
      <c r="A108" s="936" t="s">
        <v>22</v>
      </c>
      <c r="B108" s="952" t="str">
        <f t="shared" si="44"/>
        <v>►</v>
      </c>
      <c r="C108" s="993" cm="1">
        <f t="array" ref="C108">SUMPRODUCT(LEN(D108:J108))</f>
        <v>0</v>
      </c>
      <c r="D108" s="167"/>
      <c r="E108" s="172"/>
      <c r="F108" s="172"/>
      <c r="G108" s="172"/>
      <c r="H108" s="172"/>
      <c r="I108" s="172"/>
      <c r="J108" s="173"/>
      <c r="K108" s="442"/>
      <c r="L108" s="104" t="s">
        <v>16</v>
      </c>
      <c r="M108" s="1172"/>
      <c r="N108" s="1172"/>
      <c r="O108" s="1172"/>
      <c r="P108" s="1173"/>
      <c r="Q108" s="1174"/>
      <c r="R108" s="1175"/>
      <c r="S108" s="1176"/>
      <c r="T108" s="1177"/>
      <c r="U108" s="5248"/>
      <c r="V108" s="1177"/>
      <c r="W108" s="5249"/>
      <c r="X108" s="5208"/>
      <c r="Y108" s="5209"/>
      <c r="Z108" s="5210"/>
      <c r="AA108" s="5211"/>
      <c r="AB108" s="1178"/>
      <c r="AC108" s="1179"/>
      <c r="AD108" s="227" t="s">
        <v>22</v>
      </c>
      <c r="AE108" s="1027" t="str">
        <f t="shared" si="46"/>
        <v>►</v>
      </c>
      <c r="AF108" s="1028" t="str">
        <f t="shared" si="47"/>
        <v/>
      </c>
      <c r="AG108" s="1029" t="str">
        <f t="shared" si="48"/>
        <v/>
      </c>
      <c r="AH108" s="1028" t="str">
        <f t="shared" si="49"/>
        <v/>
      </c>
      <c r="AI108" s="1029" t="str">
        <f t="shared" si="50"/>
        <v/>
      </c>
      <c r="AJ108" s="1029">
        <f t="shared" si="51"/>
        <v>0</v>
      </c>
      <c r="AK108" s="1043" t="str" cm="1">
        <f t="array" ref="AK108">IF(AE108&lt;&gt;"A","",IFERROR((IFERROR(_xlfn.XLOOKUP(TRIM(SUBSTITUTE(U108,CHAR(160)," ")),$BI$15:$BI$62,$BL$15:$BL$62),IFERROR(_xlfn.XLOOKUP(TRIM(SUBSTITUTE(U108,CHAR(160)," ")),$BJ$15:$BJ$62,$BL$15:$BL$62),_xlfn.XLOOKUP(TRIM(SUBSTITUTE(U108,CHAR(160)," ")),$BK$15:$BK$62,$BL$15:$BL$62))))*T108*IF(ISBLANK(Q108),1,Q108)+IFERROR(_xlfn.XLOOKUP("RECHERCHEX",TRIM(L108:AC108),L108:AC108),0),0))</f>
        <v/>
      </c>
      <c r="AL108" s="1030">
        <f t="shared" si="52"/>
        <v>0</v>
      </c>
      <c r="AM108" s="5254" t="str">
        <f t="shared" si="67"/>
        <v/>
      </c>
      <c r="AN108" s="1031">
        <f t="shared" si="53"/>
        <v>0</v>
      </c>
      <c r="AO108" s="1031">
        <f t="shared" si="54"/>
        <v>0</v>
      </c>
      <c r="AP108" s="1032">
        <f t="shared" si="55"/>
        <v>0</v>
      </c>
      <c r="AQ108" s="5255" t="str">
        <f t="shared" si="56"/>
        <v/>
      </c>
      <c r="AR108" s="1056"/>
      <c r="AS108" s="1056"/>
      <c r="AT108" s="1034">
        <f t="shared" si="57"/>
        <v>0</v>
      </c>
      <c r="AU108" s="1035">
        <f t="shared" si="58"/>
        <v>0</v>
      </c>
      <c r="AV108" s="1057" cm="1">
        <f t="array" ref="AV108">IF(AJ108&lt;&gt;1,0,IF(OR(AT108="",N(AT108)&lt;=0.000000001),"",IF(OR(AN108="",N(AN108)&lt;=0.000000001),0,IF(ISNUMBER(AT108),IFERROR(_xlfn.LET(_xlpm.ai_test,TRIM(AI108),_xlpm.r,IFERROR(_xlfn.XLOOKUP(_xlpm.ai_test,$BI$15:$BI$62,ROW($BI$15:$BI$62),0,1),IFERROR(_xlfn.XLOOKUP(_xlpm.ai_test,$BJ$15:$BJ$62,ROW($BJ$15:$BJ$62),0,1),_xlfn.XLOOKUP(_xlpm.ai_test,$BK$15:$BK$62,ROW($BK$15:$BK$62),0,1))),_xlpm.p,_xlpm.r-MIN(ROW($BI$15:$BI$62))+1,_xlpm.f,INDEX($BL$15:$BL$62,_xlpm.p),_xlpm.u,INDEX($BM$15:$BM$62,_xlpm.p),_xlpm.s,INDEX($BO$15:$BO$62,_xlpm.p),_xlpm.q,N(AT108)/_xlpm.f,IF(_xlpm.q&gt;=_xlpm.s,ROUND(_xlpm.q,1)&amp;" "&amp;_xlpm.ai_test&amp;" = "&amp;ROUND(_xlpm.q*_xlpm.f,1)&amp;" "&amp;_xlpm.u,ROUND(_xlpm.q,1)&amp;" "&amp;_xlpm.ai_test)),""),""))))</f>
        <v>0</v>
      </c>
      <c r="AW108" s="1047"/>
      <c r="AX108" s="1034">
        <f t="shared" si="59"/>
        <v>0</v>
      </c>
      <c r="AY108" s="1035" t="str">
        <f t="shared" si="60"/>
        <v/>
      </c>
      <c r="AZ108" s="1036">
        <f t="shared" si="65"/>
        <v>0</v>
      </c>
      <c r="BA108" s="1037" t="str">
        <f t="shared" si="61"/>
        <v/>
      </c>
      <c r="BB108" s="1038"/>
      <c r="BC108" s="1039">
        <f t="shared" si="66"/>
        <v>0</v>
      </c>
      <c r="BD108" s="1040" t="str">
        <f t="shared" si="62"/>
        <v/>
      </c>
      <c r="BE108" s="227" t="s">
        <v>22</v>
      </c>
      <c r="BF108" s="1019">
        <f t="shared" si="63"/>
        <v>0</v>
      </c>
      <c r="BG108" s="1020">
        <f t="shared" si="64"/>
        <v>0</v>
      </c>
      <c r="BI108" s="5499"/>
      <c r="BJ108" s="5499"/>
      <c r="BK108" s="5499"/>
      <c r="BL108" s="5499"/>
      <c r="BM108" s="5499"/>
      <c r="BN108" s="5499"/>
      <c r="BO108" s="5499"/>
      <c r="BP108" s="5499"/>
      <c r="BQ108" s="5499"/>
      <c r="BR108" s="5499"/>
      <c r="BS108" s="5499"/>
      <c r="BT108" s="5499"/>
      <c r="BU108" s="5499"/>
      <c r="BV108"/>
      <c r="BW108" s="959" t="str">
        <f t="shared" si="45"/>
        <v>►</v>
      </c>
      <c r="BX108"/>
      <c r="BY108"/>
      <c r="BZ108"/>
      <c r="CA108"/>
      <c r="CB108"/>
      <c r="CC108" s="957"/>
      <c r="CD108"/>
      <c r="CE108"/>
      <c r="CF108"/>
      <c r="CG108"/>
      <c r="CH108"/>
      <c r="CI108"/>
      <c r="CJ108"/>
      <c r="CK108"/>
      <c r="CL108"/>
      <c r="CM108"/>
      <c r="CN108"/>
      <c r="CO108"/>
      <c r="CP108"/>
      <c r="CQ108"/>
      <c r="CR108"/>
      <c r="CS108"/>
      <c r="CT108"/>
      <c r="CU108"/>
      <c r="CV108"/>
      <c r="CW108"/>
      <c r="CX108"/>
      <c r="CY108"/>
      <c r="CZ108"/>
      <c r="DB108" s="3">
        <v>1</v>
      </c>
    </row>
    <row r="109" spans="1:106" s="709" customFormat="1" ht="21" customHeight="1">
      <c r="A109" s="936" t="s">
        <v>22</v>
      </c>
      <c r="B109" s="952" t="str">
        <f t="shared" si="44"/>
        <v>►</v>
      </c>
      <c r="C109" s="993" cm="1">
        <f t="array" ref="C109">SUMPRODUCT(LEN(D109:J109))</f>
        <v>0</v>
      </c>
      <c r="D109" s="167"/>
      <c r="E109" s="172"/>
      <c r="F109" s="172"/>
      <c r="G109" s="172"/>
      <c r="H109" s="172"/>
      <c r="I109" s="172"/>
      <c r="J109" s="173"/>
      <c r="K109" s="442" t="s">
        <v>22</v>
      </c>
      <c r="L109" s="104" t="s">
        <v>16</v>
      </c>
      <c r="M109" s="1172"/>
      <c r="N109" s="1172"/>
      <c r="O109" s="1172"/>
      <c r="P109" s="1173"/>
      <c r="Q109" s="1174"/>
      <c r="R109" s="1175"/>
      <c r="S109" s="1176"/>
      <c r="T109" s="1177"/>
      <c r="U109" s="5248"/>
      <c r="V109" s="1177"/>
      <c r="W109" s="5249"/>
      <c r="X109" s="5208"/>
      <c r="Y109" s="5209"/>
      <c r="Z109" s="5210"/>
      <c r="AA109" s="5211"/>
      <c r="AB109" s="1178"/>
      <c r="AC109" s="1179"/>
      <c r="AD109" s="227" t="s">
        <v>22</v>
      </c>
      <c r="AE109" s="1027" t="str">
        <f t="shared" si="46"/>
        <v>►</v>
      </c>
      <c r="AF109" s="1028" t="str">
        <f t="shared" si="47"/>
        <v/>
      </c>
      <c r="AG109" s="1029" t="str">
        <f t="shared" si="48"/>
        <v/>
      </c>
      <c r="AH109" s="1028" t="str">
        <f t="shared" si="49"/>
        <v/>
      </c>
      <c r="AI109" s="1029" t="str">
        <f t="shared" si="50"/>
        <v/>
      </c>
      <c r="AJ109" s="1029">
        <f t="shared" si="51"/>
        <v>0</v>
      </c>
      <c r="AK109" s="1043" t="str" cm="1">
        <f t="array" ref="AK109">IF(AE109&lt;&gt;"A","",IFERROR((IFERROR(_xlfn.XLOOKUP(TRIM(SUBSTITUTE(U109,CHAR(160)," ")),$BI$15:$BI$62,$BL$15:$BL$62),IFERROR(_xlfn.XLOOKUP(TRIM(SUBSTITUTE(U109,CHAR(160)," ")),$BJ$15:$BJ$62,$BL$15:$BL$62),_xlfn.XLOOKUP(TRIM(SUBSTITUTE(U109,CHAR(160)," ")),$BK$15:$BK$62,$BL$15:$BL$62))))*T109*IF(ISBLANK(Q109),1,Q109)+IFERROR(_xlfn.XLOOKUP("RECHERCHEX",TRIM(L109:AC109),L109:AC109),0),0))</f>
        <v/>
      </c>
      <c r="AL109" s="1030">
        <f t="shared" si="52"/>
        <v>0</v>
      </c>
      <c r="AM109" s="5254" t="str">
        <f t="shared" si="67"/>
        <v/>
      </c>
      <c r="AN109" s="1031">
        <f t="shared" si="53"/>
        <v>0</v>
      </c>
      <c r="AO109" s="1031">
        <f t="shared" si="54"/>
        <v>0</v>
      </c>
      <c r="AP109" s="1044">
        <f t="shared" si="55"/>
        <v>0</v>
      </c>
      <c r="AQ109" s="5257" t="str">
        <f t="shared" si="56"/>
        <v/>
      </c>
      <c r="AR109" s="1056"/>
      <c r="AS109" s="1056"/>
      <c r="AT109" s="1045">
        <f t="shared" si="57"/>
        <v>0</v>
      </c>
      <c r="AU109" s="1046">
        <f t="shared" si="58"/>
        <v>0</v>
      </c>
      <c r="AV109" s="1059" cm="1">
        <f t="array" ref="AV109">IF(AJ109&lt;&gt;1,0,IF(OR(AT109="",N(AT109)&lt;=0.000000001),"",IF(OR(AN109="",N(AN109)&lt;=0.000000001),0,IF(ISNUMBER(AT109),IFERROR(_xlfn.LET(_xlpm.ai_test,TRIM(AI109),_xlpm.r,IFERROR(_xlfn.XLOOKUP(_xlpm.ai_test,$BI$15:$BI$62,ROW($BI$15:$BI$62),0,1),IFERROR(_xlfn.XLOOKUP(_xlpm.ai_test,$BJ$15:$BJ$62,ROW($BJ$15:$BJ$62),0,1),_xlfn.XLOOKUP(_xlpm.ai_test,$BK$15:$BK$62,ROW($BK$15:$BK$62),0,1))),_xlpm.p,_xlpm.r-MIN(ROW($BI$15:$BI$62))+1,_xlpm.f,INDEX($BL$15:$BL$62,_xlpm.p),_xlpm.u,INDEX($BM$15:$BM$62,_xlpm.p),_xlpm.s,INDEX($BO$15:$BO$62,_xlpm.p),_xlpm.q,N(AT109)/_xlpm.f,IF(_xlpm.q&gt;=_xlpm.s,ROUND(_xlpm.q,1)&amp;" "&amp;_xlpm.ai_test&amp;" = "&amp;ROUND(_xlpm.q*_xlpm.f,1)&amp;" "&amp;_xlpm.u,ROUND(_xlpm.q,1)&amp;" "&amp;_xlpm.ai_test)),""),""))))</f>
        <v>0</v>
      </c>
      <c r="AW109" s="1047"/>
      <c r="AX109" s="1045">
        <f t="shared" si="59"/>
        <v>0</v>
      </c>
      <c r="AY109" s="1046" t="str">
        <f t="shared" si="60"/>
        <v/>
      </c>
      <c r="AZ109" s="1048">
        <f t="shared" si="65"/>
        <v>0</v>
      </c>
      <c r="BA109" s="1049" t="str">
        <f t="shared" si="61"/>
        <v/>
      </c>
      <c r="BB109" s="1038"/>
      <c r="BC109" s="1050">
        <f t="shared" si="66"/>
        <v>0</v>
      </c>
      <c r="BD109" s="1040" t="str">
        <f t="shared" si="62"/>
        <v/>
      </c>
      <c r="BE109" s="227" t="s">
        <v>22</v>
      </c>
      <c r="BF109" s="1019">
        <f t="shared" si="63"/>
        <v>0</v>
      </c>
      <c r="BG109" s="1020">
        <f t="shared" si="64"/>
        <v>0</v>
      </c>
      <c r="BV109"/>
      <c r="BW109" s="959" t="str">
        <f t="shared" si="45"/>
        <v>►</v>
      </c>
      <c r="BX109"/>
      <c r="BY109"/>
      <c r="BZ109"/>
      <c r="CA109"/>
      <c r="CB109"/>
      <c r="CC109" s="957"/>
      <c r="CD109"/>
      <c r="CE109"/>
      <c r="CF109"/>
      <c r="CG109"/>
      <c r="CH109"/>
      <c r="CI109"/>
      <c r="CJ109"/>
      <c r="CK109"/>
      <c r="CL109"/>
      <c r="CM109"/>
      <c r="CN109"/>
      <c r="CO109"/>
      <c r="CP109"/>
      <c r="CQ109"/>
      <c r="CR109"/>
      <c r="CS109"/>
      <c r="CT109"/>
      <c r="CU109"/>
      <c r="CV109"/>
      <c r="CW109"/>
      <c r="CX109"/>
      <c r="CY109"/>
      <c r="CZ109"/>
      <c r="DB109" s="3">
        <v>1</v>
      </c>
    </row>
    <row r="110" spans="1:106" s="709" customFormat="1" ht="21" customHeight="1">
      <c r="A110" s="936" t="s">
        <v>22</v>
      </c>
      <c r="B110" s="952" t="str">
        <f t="shared" si="44"/>
        <v>►</v>
      </c>
      <c r="C110" s="993" cm="1">
        <f t="array" ref="C110">SUMPRODUCT(LEN(D110:J110))</f>
        <v>0</v>
      </c>
      <c r="D110" s="167"/>
      <c r="E110" s="172"/>
      <c r="F110" s="172"/>
      <c r="G110" s="172"/>
      <c r="H110" s="172"/>
      <c r="I110" s="172"/>
      <c r="J110" s="173"/>
      <c r="K110" s="442" t="s">
        <v>22</v>
      </c>
      <c r="L110" s="104" t="s">
        <v>16</v>
      </c>
      <c r="M110" s="1172"/>
      <c r="N110" s="1172"/>
      <c r="O110" s="1172"/>
      <c r="P110" s="1173"/>
      <c r="Q110" s="1174"/>
      <c r="R110" s="1175"/>
      <c r="S110" s="1176"/>
      <c r="T110" s="1177"/>
      <c r="U110" s="5248"/>
      <c r="V110" s="1177"/>
      <c r="W110" s="5249"/>
      <c r="X110" s="5208"/>
      <c r="Y110" s="5209"/>
      <c r="Z110" s="5210"/>
      <c r="AA110" s="5211"/>
      <c r="AB110" s="1178"/>
      <c r="AC110" s="1179"/>
      <c r="AD110" s="227" t="s">
        <v>22</v>
      </c>
      <c r="AE110" s="1027" t="str">
        <f t="shared" si="46"/>
        <v>►</v>
      </c>
      <c r="AF110" s="1028" t="str">
        <f t="shared" si="47"/>
        <v/>
      </c>
      <c r="AG110" s="1029" t="str">
        <f t="shared" si="48"/>
        <v/>
      </c>
      <c r="AH110" s="1028" t="str">
        <f t="shared" si="49"/>
        <v/>
      </c>
      <c r="AI110" s="1029" t="str">
        <f t="shared" si="50"/>
        <v/>
      </c>
      <c r="AJ110" s="1029">
        <f t="shared" si="51"/>
        <v>0</v>
      </c>
      <c r="AK110" s="1043" t="str" cm="1">
        <f t="array" ref="AK110">IF(AE110&lt;&gt;"A","",IFERROR((IFERROR(_xlfn.XLOOKUP(TRIM(SUBSTITUTE(U110,CHAR(160)," ")),$BI$15:$BI$62,$BL$15:$BL$62),IFERROR(_xlfn.XLOOKUP(TRIM(SUBSTITUTE(U110,CHAR(160)," ")),$BJ$15:$BJ$62,$BL$15:$BL$62),_xlfn.XLOOKUP(TRIM(SUBSTITUTE(U110,CHAR(160)," ")),$BK$15:$BK$62,$BL$15:$BL$62))))*T110*IF(ISBLANK(Q110),1,Q110)+IFERROR(_xlfn.XLOOKUP("RECHERCHEX",TRIM(L110:AC110),L110:AC110),0),0))</f>
        <v/>
      </c>
      <c r="AL110" s="1030">
        <f t="shared" si="52"/>
        <v>0</v>
      </c>
      <c r="AM110" s="5254" t="str">
        <f t="shared" si="67"/>
        <v/>
      </c>
      <c r="AN110" s="1031">
        <f t="shared" si="53"/>
        <v>0</v>
      </c>
      <c r="AO110" s="1031">
        <f t="shared" si="54"/>
        <v>0</v>
      </c>
      <c r="AP110" s="1032">
        <f t="shared" si="55"/>
        <v>0</v>
      </c>
      <c r="AQ110" s="5255" t="str">
        <f t="shared" si="56"/>
        <v/>
      </c>
      <c r="AR110" s="1056"/>
      <c r="AS110" s="1056"/>
      <c r="AT110" s="1034">
        <f t="shared" si="57"/>
        <v>0</v>
      </c>
      <c r="AU110" s="1035">
        <f t="shared" si="58"/>
        <v>0</v>
      </c>
      <c r="AV110" s="1057" cm="1">
        <f t="array" ref="AV110">IF(AJ110&lt;&gt;1,0,IF(OR(AT110="",N(AT110)&lt;=0.000000001),"",IF(OR(AN110="",N(AN110)&lt;=0.000000001),0,IF(ISNUMBER(AT110),IFERROR(_xlfn.LET(_xlpm.ai_test,TRIM(AI110),_xlpm.r,IFERROR(_xlfn.XLOOKUP(_xlpm.ai_test,$BI$15:$BI$62,ROW($BI$15:$BI$62),0,1),IFERROR(_xlfn.XLOOKUP(_xlpm.ai_test,$BJ$15:$BJ$62,ROW($BJ$15:$BJ$62),0,1),_xlfn.XLOOKUP(_xlpm.ai_test,$BK$15:$BK$62,ROW($BK$15:$BK$62),0,1))),_xlpm.p,_xlpm.r-MIN(ROW($BI$15:$BI$62))+1,_xlpm.f,INDEX($BL$15:$BL$62,_xlpm.p),_xlpm.u,INDEX($BM$15:$BM$62,_xlpm.p),_xlpm.s,INDEX($BO$15:$BO$62,_xlpm.p),_xlpm.q,N(AT110)/_xlpm.f,IF(_xlpm.q&gt;=_xlpm.s,ROUND(_xlpm.q,1)&amp;" "&amp;_xlpm.ai_test&amp;" = "&amp;ROUND(_xlpm.q*_xlpm.f,1)&amp;" "&amp;_xlpm.u,ROUND(_xlpm.q,1)&amp;" "&amp;_xlpm.ai_test)),""),""))))</f>
        <v>0</v>
      </c>
      <c r="AW110" s="1047"/>
      <c r="AX110" s="1034">
        <f t="shared" si="59"/>
        <v>0</v>
      </c>
      <c r="AY110" s="1035" t="str">
        <f t="shared" si="60"/>
        <v/>
      </c>
      <c r="AZ110" s="1036">
        <f t="shared" si="65"/>
        <v>0</v>
      </c>
      <c r="BA110" s="1037" t="str">
        <f t="shared" si="61"/>
        <v/>
      </c>
      <c r="BB110" s="1038"/>
      <c r="BC110" s="1039">
        <f t="shared" si="66"/>
        <v>0</v>
      </c>
      <c r="BD110" s="1040" t="str">
        <f t="shared" si="62"/>
        <v/>
      </c>
      <c r="BE110" s="227" t="s">
        <v>22</v>
      </c>
      <c r="BF110" s="1019">
        <f t="shared" si="63"/>
        <v>0</v>
      </c>
      <c r="BG110" s="1020">
        <f t="shared" si="64"/>
        <v>0</v>
      </c>
      <c r="BV110"/>
      <c r="BW110" s="959" t="str">
        <f t="shared" si="45"/>
        <v>►</v>
      </c>
      <c r="BX110"/>
      <c r="BY110"/>
      <c r="BZ110"/>
      <c r="CA110"/>
      <c r="CB110"/>
      <c r="CC110" s="957"/>
      <c r="CD110"/>
      <c r="CE110"/>
      <c r="CF110"/>
      <c r="CG110"/>
      <c r="CH110"/>
      <c r="CI110"/>
      <c r="CJ110"/>
      <c r="CK110"/>
      <c r="CL110"/>
      <c r="CM110"/>
      <c r="CN110"/>
      <c r="CO110"/>
      <c r="CP110"/>
      <c r="CQ110"/>
      <c r="CR110"/>
      <c r="CS110"/>
      <c r="CT110"/>
      <c r="CU110"/>
      <c r="CV110"/>
      <c r="CW110"/>
      <c r="CX110"/>
      <c r="CY110"/>
      <c r="CZ110"/>
      <c r="DB110" s="3">
        <v>1</v>
      </c>
    </row>
    <row r="111" spans="1:106" s="709" customFormat="1" ht="21" customHeight="1">
      <c r="A111" s="936" t="s">
        <v>22</v>
      </c>
      <c r="B111" s="952" t="str">
        <f t="shared" si="44"/>
        <v>►</v>
      </c>
      <c r="C111" s="993" cm="1">
        <f t="array" ref="C111">SUMPRODUCT(LEN(D111:J111))</f>
        <v>0</v>
      </c>
      <c r="D111" s="167"/>
      <c r="E111" s="172"/>
      <c r="F111" s="172"/>
      <c r="G111" s="172"/>
      <c r="H111" s="172"/>
      <c r="I111" s="172"/>
      <c r="J111" s="173"/>
      <c r="K111" s="442" t="s">
        <v>22</v>
      </c>
      <c r="L111" s="104" t="s">
        <v>16</v>
      </c>
      <c r="M111" s="1172"/>
      <c r="N111" s="1172"/>
      <c r="O111" s="1172"/>
      <c r="P111" s="1173"/>
      <c r="Q111" s="1174"/>
      <c r="R111" s="1175"/>
      <c r="S111" s="1176"/>
      <c r="T111" s="1177"/>
      <c r="U111" s="5248"/>
      <c r="V111" s="1177"/>
      <c r="W111" s="5249"/>
      <c r="X111" s="5208"/>
      <c r="Y111" s="5209"/>
      <c r="Z111" s="5210"/>
      <c r="AA111" s="5211"/>
      <c r="AB111" s="1178"/>
      <c r="AC111" s="1179"/>
      <c r="AD111" s="227" t="s">
        <v>22</v>
      </c>
      <c r="AE111" s="1027" t="str">
        <f t="shared" si="46"/>
        <v>►</v>
      </c>
      <c r="AF111" s="1028" t="str">
        <f t="shared" si="47"/>
        <v/>
      </c>
      <c r="AG111" s="1029" t="str">
        <f t="shared" si="48"/>
        <v/>
      </c>
      <c r="AH111" s="1028" t="str">
        <f t="shared" si="49"/>
        <v/>
      </c>
      <c r="AI111" s="1029" t="str">
        <f t="shared" si="50"/>
        <v/>
      </c>
      <c r="AJ111" s="1029">
        <f t="shared" si="51"/>
        <v>0</v>
      </c>
      <c r="AK111" s="1043" t="str" cm="1">
        <f t="array" ref="AK111">IF(AE111&lt;&gt;"A","",IFERROR((IFERROR(_xlfn.XLOOKUP(TRIM(SUBSTITUTE(U111,CHAR(160)," ")),$BI$15:$BI$62,$BL$15:$BL$62),IFERROR(_xlfn.XLOOKUP(TRIM(SUBSTITUTE(U111,CHAR(160)," ")),$BJ$15:$BJ$62,$BL$15:$BL$62),_xlfn.XLOOKUP(TRIM(SUBSTITUTE(U111,CHAR(160)," ")),$BK$15:$BK$62,$BL$15:$BL$62))))*T111*IF(ISBLANK(Q111),1,Q111)+IFERROR(_xlfn.XLOOKUP("RECHERCHEX",TRIM(L111:AC111),L111:AC111),0),0))</f>
        <v/>
      </c>
      <c r="AL111" s="1030">
        <f t="shared" si="52"/>
        <v>0</v>
      </c>
      <c r="AM111" s="5254" t="str">
        <f t="shared" si="67"/>
        <v/>
      </c>
      <c r="AN111" s="1031">
        <f t="shared" si="53"/>
        <v>0</v>
      </c>
      <c r="AO111" s="1031">
        <f t="shared" si="54"/>
        <v>0</v>
      </c>
      <c r="AP111" s="1044">
        <f t="shared" si="55"/>
        <v>0</v>
      </c>
      <c r="AQ111" s="5257" t="str">
        <f t="shared" si="56"/>
        <v/>
      </c>
      <c r="AR111" s="1056"/>
      <c r="AS111" s="1056"/>
      <c r="AT111" s="1045">
        <f t="shared" si="57"/>
        <v>0</v>
      </c>
      <c r="AU111" s="1046">
        <f t="shared" si="58"/>
        <v>0</v>
      </c>
      <c r="AV111" s="1059" cm="1">
        <f t="array" ref="AV111">IF(AJ111&lt;&gt;1,0,IF(OR(AT111="",N(AT111)&lt;=0.000000001),"",IF(OR(AN111="",N(AN111)&lt;=0.000000001),0,IF(ISNUMBER(AT111),IFERROR(_xlfn.LET(_xlpm.ai_test,TRIM(AI111),_xlpm.r,IFERROR(_xlfn.XLOOKUP(_xlpm.ai_test,$BI$15:$BI$62,ROW($BI$15:$BI$62),0,1),IFERROR(_xlfn.XLOOKUP(_xlpm.ai_test,$BJ$15:$BJ$62,ROW($BJ$15:$BJ$62),0,1),_xlfn.XLOOKUP(_xlpm.ai_test,$BK$15:$BK$62,ROW($BK$15:$BK$62),0,1))),_xlpm.p,_xlpm.r-MIN(ROW($BI$15:$BI$62))+1,_xlpm.f,INDEX($BL$15:$BL$62,_xlpm.p),_xlpm.u,INDEX($BM$15:$BM$62,_xlpm.p),_xlpm.s,INDEX($BO$15:$BO$62,_xlpm.p),_xlpm.q,N(AT111)/_xlpm.f,IF(_xlpm.q&gt;=_xlpm.s,ROUND(_xlpm.q,1)&amp;" "&amp;_xlpm.ai_test&amp;" = "&amp;ROUND(_xlpm.q*_xlpm.f,1)&amp;" "&amp;_xlpm.u,ROUND(_xlpm.q,1)&amp;" "&amp;_xlpm.ai_test)),""),""))))</f>
        <v>0</v>
      </c>
      <c r="AW111" s="1047"/>
      <c r="AX111" s="1045">
        <f t="shared" si="59"/>
        <v>0</v>
      </c>
      <c r="AY111" s="1046" t="str">
        <f t="shared" si="60"/>
        <v/>
      </c>
      <c r="AZ111" s="1048">
        <f t="shared" si="65"/>
        <v>0</v>
      </c>
      <c r="BA111" s="1049" t="str">
        <f t="shared" si="61"/>
        <v/>
      </c>
      <c r="BB111" s="1038"/>
      <c r="BC111" s="1050">
        <f t="shared" si="66"/>
        <v>0</v>
      </c>
      <c r="BD111" s="1040" t="str">
        <f t="shared" si="62"/>
        <v/>
      </c>
      <c r="BE111" s="227" t="s">
        <v>22</v>
      </c>
      <c r="BF111" s="1019">
        <f t="shared" si="63"/>
        <v>0</v>
      </c>
      <c r="BG111" s="1020">
        <f t="shared" si="64"/>
        <v>0</v>
      </c>
      <c r="BV111"/>
      <c r="BW111" s="959" t="str">
        <f t="shared" si="45"/>
        <v>►</v>
      </c>
      <c r="BX111"/>
      <c r="BY111"/>
      <c r="BZ111"/>
      <c r="CA111"/>
      <c r="CB111"/>
      <c r="CC111" s="957"/>
      <c r="CD111"/>
      <c r="CE111"/>
      <c r="CF111"/>
      <c r="CG111"/>
      <c r="CH111"/>
      <c r="CI111"/>
      <c r="CJ111"/>
      <c r="CK111"/>
      <c r="CL111"/>
      <c r="CM111"/>
      <c r="CN111"/>
      <c r="CO111"/>
      <c r="CP111"/>
      <c r="CQ111"/>
      <c r="CR111"/>
      <c r="CS111"/>
      <c r="CT111"/>
      <c r="CU111"/>
      <c r="CV111"/>
      <c r="CW111"/>
      <c r="CX111"/>
      <c r="CY111"/>
      <c r="CZ111"/>
      <c r="DB111" s="3">
        <v>1</v>
      </c>
    </row>
    <row r="112" spans="1:106" s="709" customFormat="1" ht="21" customHeight="1">
      <c r="A112" s="936" t="s">
        <v>22</v>
      </c>
      <c r="B112" s="952" t="str">
        <f t="shared" si="44"/>
        <v>►</v>
      </c>
      <c r="C112" s="993" cm="1">
        <f t="array" ref="C112">SUMPRODUCT(LEN(D112:J112))</f>
        <v>0</v>
      </c>
      <c r="D112" s="167"/>
      <c r="E112" s="172"/>
      <c r="F112" s="172"/>
      <c r="G112" s="172"/>
      <c r="H112" s="172"/>
      <c r="I112" s="172"/>
      <c r="J112" s="173"/>
      <c r="K112" s="442" t="s">
        <v>22</v>
      </c>
      <c r="L112" s="104" t="s">
        <v>16</v>
      </c>
      <c r="M112" s="1172"/>
      <c r="N112" s="1172"/>
      <c r="O112" s="1172"/>
      <c r="P112" s="1173"/>
      <c r="Q112" s="1174"/>
      <c r="R112" s="1175"/>
      <c r="S112" s="1176"/>
      <c r="T112" s="1177"/>
      <c r="U112" s="5248"/>
      <c r="V112" s="1177"/>
      <c r="W112" s="5249"/>
      <c r="X112" s="5208"/>
      <c r="Y112" s="5209"/>
      <c r="Z112" s="5210"/>
      <c r="AA112" s="5211"/>
      <c r="AB112" s="1178"/>
      <c r="AC112" s="1179"/>
      <c r="AD112" s="227" t="s">
        <v>22</v>
      </c>
      <c r="AE112" s="1027" t="str">
        <f t="shared" si="46"/>
        <v>►</v>
      </c>
      <c r="AF112" s="1028" t="str">
        <f t="shared" si="47"/>
        <v/>
      </c>
      <c r="AG112" s="1029" t="str">
        <f t="shared" si="48"/>
        <v/>
      </c>
      <c r="AH112" s="1028" t="str">
        <f t="shared" si="49"/>
        <v/>
      </c>
      <c r="AI112" s="1029" t="str">
        <f t="shared" si="50"/>
        <v/>
      </c>
      <c r="AJ112" s="1029">
        <f t="shared" si="51"/>
        <v>0</v>
      </c>
      <c r="AK112" s="1043" t="str" cm="1">
        <f t="array" ref="AK112">IF(AE112&lt;&gt;"A","",IFERROR((IFERROR(_xlfn.XLOOKUP(TRIM(SUBSTITUTE(U112,CHAR(160)," ")),$BI$15:$BI$62,$BL$15:$BL$62),IFERROR(_xlfn.XLOOKUP(TRIM(SUBSTITUTE(U112,CHAR(160)," ")),$BJ$15:$BJ$62,$BL$15:$BL$62),_xlfn.XLOOKUP(TRIM(SUBSTITUTE(U112,CHAR(160)," ")),$BK$15:$BK$62,$BL$15:$BL$62))))*T112*IF(ISBLANK(Q112),1,Q112)+IFERROR(_xlfn.XLOOKUP("RECHERCHEX",TRIM(L112:AC112),L112:AC112),0),0))</f>
        <v/>
      </c>
      <c r="AL112" s="1030">
        <f t="shared" si="52"/>
        <v>0</v>
      </c>
      <c r="AM112" s="5254" t="str">
        <f t="shared" si="67"/>
        <v/>
      </c>
      <c r="AN112" s="1031">
        <f t="shared" si="53"/>
        <v>0</v>
      </c>
      <c r="AO112" s="1031">
        <f t="shared" si="54"/>
        <v>0</v>
      </c>
      <c r="AP112" s="1032">
        <f t="shared" si="55"/>
        <v>0</v>
      </c>
      <c r="AQ112" s="5255" t="str">
        <f t="shared" si="56"/>
        <v/>
      </c>
      <c r="AR112" s="1056"/>
      <c r="AS112" s="1056"/>
      <c r="AT112" s="1034">
        <f t="shared" si="57"/>
        <v>0</v>
      </c>
      <c r="AU112" s="1035">
        <f t="shared" si="58"/>
        <v>0</v>
      </c>
      <c r="AV112" s="1057" cm="1">
        <f t="array" ref="AV112">IF(AJ112&lt;&gt;1,0,IF(OR(AT112="",N(AT112)&lt;=0.000000001),"",IF(OR(AN112="",N(AN112)&lt;=0.000000001),0,IF(ISNUMBER(AT112),IFERROR(_xlfn.LET(_xlpm.ai_test,TRIM(AI112),_xlpm.r,IFERROR(_xlfn.XLOOKUP(_xlpm.ai_test,$BI$15:$BI$62,ROW($BI$15:$BI$62),0,1),IFERROR(_xlfn.XLOOKUP(_xlpm.ai_test,$BJ$15:$BJ$62,ROW($BJ$15:$BJ$62),0,1),_xlfn.XLOOKUP(_xlpm.ai_test,$BK$15:$BK$62,ROW($BK$15:$BK$62),0,1))),_xlpm.p,_xlpm.r-MIN(ROW($BI$15:$BI$62))+1,_xlpm.f,INDEX($BL$15:$BL$62,_xlpm.p),_xlpm.u,INDEX($BM$15:$BM$62,_xlpm.p),_xlpm.s,INDEX($BO$15:$BO$62,_xlpm.p),_xlpm.q,N(AT112)/_xlpm.f,IF(_xlpm.q&gt;=_xlpm.s,ROUND(_xlpm.q,1)&amp;" "&amp;_xlpm.ai_test&amp;" = "&amp;ROUND(_xlpm.q*_xlpm.f,1)&amp;" "&amp;_xlpm.u,ROUND(_xlpm.q,1)&amp;" "&amp;_xlpm.ai_test)),""),""))))</f>
        <v>0</v>
      </c>
      <c r="AW112" s="1047"/>
      <c r="AX112" s="1034">
        <f t="shared" si="59"/>
        <v>0</v>
      </c>
      <c r="AY112" s="1035" t="str">
        <f t="shared" si="60"/>
        <v/>
      </c>
      <c r="AZ112" s="1036">
        <f t="shared" si="65"/>
        <v>0</v>
      </c>
      <c r="BA112" s="1037" t="str">
        <f t="shared" si="61"/>
        <v/>
      </c>
      <c r="BB112" s="1038"/>
      <c r="BC112" s="1039">
        <f t="shared" si="66"/>
        <v>0</v>
      </c>
      <c r="BD112" s="1040" t="str">
        <f t="shared" si="62"/>
        <v/>
      </c>
      <c r="BE112" s="227" t="s">
        <v>22</v>
      </c>
      <c r="BF112" s="1019">
        <f t="shared" si="63"/>
        <v>0</v>
      </c>
      <c r="BG112" s="1020">
        <f t="shared" si="64"/>
        <v>0</v>
      </c>
      <c r="BV112"/>
      <c r="BW112" s="959" t="str">
        <f t="shared" si="45"/>
        <v>►</v>
      </c>
      <c r="BX112"/>
      <c r="BY112"/>
      <c r="BZ112"/>
      <c r="CA112"/>
      <c r="CB112"/>
      <c r="CC112" s="957"/>
      <c r="CD112"/>
      <c r="CE112"/>
      <c r="CF112"/>
      <c r="CG112"/>
      <c r="CH112"/>
      <c r="CI112"/>
      <c r="CJ112"/>
      <c r="CK112"/>
      <c r="CL112"/>
      <c r="CM112"/>
      <c r="CN112"/>
      <c r="CO112"/>
      <c r="CP112"/>
      <c r="CQ112"/>
      <c r="CR112"/>
      <c r="CS112"/>
      <c r="CT112"/>
      <c r="CU112"/>
      <c r="CV112"/>
      <c r="CW112"/>
      <c r="CX112"/>
      <c r="CY112"/>
      <c r="CZ112"/>
      <c r="DB112" s="3">
        <v>1</v>
      </c>
    </row>
    <row r="113" spans="1:106" s="709" customFormat="1" ht="21" customHeight="1">
      <c r="A113" s="936" t="s">
        <v>22</v>
      </c>
      <c r="B113" s="952" t="str">
        <f t="shared" si="44"/>
        <v>►</v>
      </c>
      <c r="C113" s="993" cm="1">
        <f t="array" ref="C113">SUMPRODUCT(LEN(D113:J113))</f>
        <v>0</v>
      </c>
      <c r="D113" s="167"/>
      <c r="E113" s="172"/>
      <c r="F113" s="172"/>
      <c r="G113" s="172"/>
      <c r="H113" s="172"/>
      <c r="I113" s="172"/>
      <c r="J113" s="173"/>
      <c r="K113" s="442" t="s">
        <v>22</v>
      </c>
      <c r="L113" s="104" t="s">
        <v>16</v>
      </c>
      <c r="M113" s="1172"/>
      <c r="N113" s="1172"/>
      <c r="O113" s="1172"/>
      <c r="P113" s="1173"/>
      <c r="Q113" s="1174"/>
      <c r="R113" s="1175"/>
      <c r="S113" s="1176"/>
      <c r="T113" s="1177"/>
      <c r="U113" s="5248"/>
      <c r="V113" s="1177"/>
      <c r="W113" s="5249"/>
      <c r="X113" s="5208"/>
      <c r="Y113" s="5209"/>
      <c r="Z113" s="5210"/>
      <c r="AA113" s="5211"/>
      <c r="AB113" s="1178"/>
      <c r="AC113" s="1179"/>
      <c r="AD113" s="227" t="s">
        <v>22</v>
      </c>
      <c r="AE113" s="1027" t="str">
        <f t="shared" si="46"/>
        <v>►</v>
      </c>
      <c r="AF113" s="1028" t="str">
        <f t="shared" si="47"/>
        <v/>
      </c>
      <c r="AG113" s="1029" t="str">
        <f t="shared" si="48"/>
        <v/>
      </c>
      <c r="AH113" s="1028" t="str">
        <f t="shared" si="49"/>
        <v/>
      </c>
      <c r="AI113" s="1029" t="str">
        <f t="shared" si="50"/>
        <v/>
      </c>
      <c r="AJ113" s="1029">
        <f t="shared" si="51"/>
        <v>0</v>
      </c>
      <c r="AK113" s="1043" t="str" cm="1">
        <f t="array" ref="AK113">IF(AE113&lt;&gt;"A","",IFERROR((IFERROR(_xlfn.XLOOKUP(TRIM(SUBSTITUTE(U113,CHAR(160)," ")),$BI$15:$BI$62,$BL$15:$BL$62),IFERROR(_xlfn.XLOOKUP(TRIM(SUBSTITUTE(U113,CHAR(160)," ")),$BJ$15:$BJ$62,$BL$15:$BL$62),_xlfn.XLOOKUP(TRIM(SUBSTITUTE(U113,CHAR(160)," ")),$BK$15:$BK$62,$BL$15:$BL$62))))*T113*IF(ISBLANK(Q113),1,Q113)+IFERROR(_xlfn.XLOOKUP("RECHERCHEX",TRIM(L113:AC113),L113:AC113),0),0))</f>
        <v/>
      </c>
      <c r="AL113" s="1030">
        <f t="shared" si="52"/>
        <v>0</v>
      </c>
      <c r="AM113" s="5254" t="str">
        <f t="shared" si="67"/>
        <v/>
      </c>
      <c r="AN113" s="1031">
        <f t="shared" si="53"/>
        <v>0</v>
      </c>
      <c r="AO113" s="1031">
        <f t="shared" si="54"/>
        <v>0</v>
      </c>
      <c r="AP113" s="1044">
        <f t="shared" si="55"/>
        <v>0</v>
      </c>
      <c r="AQ113" s="5257" t="str">
        <f t="shared" si="56"/>
        <v/>
      </c>
      <c r="AR113" s="1056"/>
      <c r="AS113" s="1056"/>
      <c r="AT113" s="1045">
        <f t="shared" si="57"/>
        <v>0</v>
      </c>
      <c r="AU113" s="1046">
        <f t="shared" si="58"/>
        <v>0</v>
      </c>
      <c r="AV113" s="1059" cm="1">
        <f t="array" ref="AV113">IF(AJ113&lt;&gt;1,0,IF(OR(AT113="",N(AT113)&lt;=0.000000001),"",IF(OR(AN113="",N(AN113)&lt;=0.000000001),0,IF(ISNUMBER(AT113),IFERROR(_xlfn.LET(_xlpm.ai_test,TRIM(AI113),_xlpm.r,IFERROR(_xlfn.XLOOKUP(_xlpm.ai_test,$BI$15:$BI$62,ROW($BI$15:$BI$62),0,1),IFERROR(_xlfn.XLOOKUP(_xlpm.ai_test,$BJ$15:$BJ$62,ROW($BJ$15:$BJ$62),0,1),_xlfn.XLOOKUP(_xlpm.ai_test,$BK$15:$BK$62,ROW($BK$15:$BK$62),0,1))),_xlpm.p,_xlpm.r-MIN(ROW($BI$15:$BI$62))+1,_xlpm.f,INDEX($BL$15:$BL$62,_xlpm.p),_xlpm.u,INDEX($BM$15:$BM$62,_xlpm.p),_xlpm.s,INDEX($BO$15:$BO$62,_xlpm.p),_xlpm.q,N(AT113)/_xlpm.f,IF(_xlpm.q&gt;=_xlpm.s,ROUND(_xlpm.q,1)&amp;" "&amp;_xlpm.ai_test&amp;" = "&amp;ROUND(_xlpm.q*_xlpm.f,1)&amp;" "&amp;_xlpm.u,ROUND(_xlpm.q,1)&amp;" "&amp;_xlpm.ai_test)),""),""))))</f>
        <v>0</v>
      </c>
      <c r="AW113" s="1047"/>
      <c r="AX113" s="1045">
        <f t="shared" si="59"/>
        <v>0</v>
      </c>
      <c r="AY113" s="1046" t="str">
        <f t="shared" si="60"/>
        <v/>
      </c>
      <c r="AZ113" s="1048">
        <f t="shared" si="65"/>
        <v>0</v>
      </c>
      <c r="BA113" s="1049" t="str">
        <f t="shared" si="61"/>
        <v/>
      </c>
      <c r="BB113" s="1038"/>
      <c r="BC113" s="1050">
        <f t="shared" si="66"/>
        <v>0</v>
      </c>
      <c r="BD113" s="1040" t="str">
        <f t="shared" si="62"/>
        <v/>
      </c>
      <c r="BE113" s="227" t="s">
        <v>22</v>
      </c>
      <c r="BF113" s="1019">
        <f t="shared" si="63"/>
        <v>0</v>
      </c>
      <c r="BG113" s="1020">
        <f t="shared" si="64"/>
        <v>0</v>
      </c>
      <c r="BV113"/>
      <c r="BW113" s="959" t="str">
        <f t="shared" si="45"/>
        <v>►</v>
      </c>
      <c r="BX113"/>
      <c r="BY113"/>
      <c r="BZ113"/>
      <c r="CA113"/>
      <c r="CB113"/>
      <c r="CC113" s="957"/>
      <c r="CD113"/>
      <c r="CE113"/>
      <c r="CF113"/>
      <c r="CG113"/>
      <c r="CH113"/>
      <c r="CI113"/>
      <c r="CJ113"/>
      <c r="CK113"/>
      <c r="CL113"/>
      <c r="CM113"/>
      <c r="CN113"/>
      <c r="CO113"/>
      <c r="CP113"/>
      <c r="CQ113"/>
      <c r="CR113"/>
      <c r="CS113"/>
      <c r="CT113"/>
      <c r="CU113"/>
      <c r="CV113"/>
      <c r="CW113"/>
      <c r="CX113"/>
      <c r="CY113"/>
      <c r="CZ113"/>
      <c r="DB113" s="3">
        <v>1</v>
      </c>
    </row>
    <row r="114" spans="1:106" s="709" customFormat="1" ht="21" customHeight="1">
      <c r="A114" s="936" t="s">
        <v>22</v>
      </c>
      <c r="B114" s="952" t="str">
        <f t="shared" si="44"/>
        <v>►</v>
      </c>
      <c r="C114" s="993" cm="1">
        <f t="array" ref="C114">SUMPRODUCT(LEN(D114:J114))</f>
        <v>0</v>
      </c>
      <c r="D114" s="167"/>
      <c r="E114" s="172"/>
      <c r="F114" s="172"/>
      <c r="G114" s="172"/>
      <c r="H114" s="172"/>
      <c r="I114" s="172"/>
      <c r="J114" s="173"/>
      <c r="K114" s="442" t="s">
        <v>22</v>
      </c>
      <c r="L114" s="104" t="s">
        <v>16</v>
      </c>
      <c r="M114" s="1172"/>
      <c r="N114" s="1172"/>
      <c r="O114" s="1172"/>
      <c r="P114" s="1173"/>
      <c r="Q114" s="1174"/>
      <c r="R114" s="1175"/>
      <c r="S114" s="1176"/>
      <c r="T114" s="1177"/>
      <c r="U114" s="5248"/>
      <c r="V114" s="1177"/>
      <c r="W114" s="5249"/>
      <c r="X114" s="5208"/>
      <c r="Y114" s="5209"/>
      <c r="Z114" s="5210"/>
      <c r="AA114" s="5211"/>
      <c r="AB114" s="1178"/>
      <c r="AC114" s="1179"/>
      <c r="AD114" s="227" t="s">
        <v>22</v>
      </c>
      <c r="AE114" s="1027" t="str">
        <f t="shared" si="46"/>
        <v>►</v>
      </c>
      <c r="AF114" s="1028" t="str">
        <f t="shared" si="47"/>
        <v/>
      </c>
      <c r="AG114" s="1029" t="str">
        <f t="shared" si="48"/>
        <v/>
      </c>
      <c r="AH114" s="1028" t="str">
        <f t="shared" si="49"/>
        <v/>
      </c>
      <c r="AI114" s="1029" t="str">
        <f t="shared" si="50"/>
        <v/>
      </c>
      <c r="AJ114" s="1029">
        <f t="shared" si="51"/>
        <v>0</v>
      </c>
      <c r="AK114" s="1043" t="str" cm="1">
        <f t="array" ref="AK114">IF(AE114&lt;&gt;"A","",IFERROR((IFERROR(_xlfn.XLOOKUP(TRIM(SUBSTITUTE(U114,CHAR(160)," ")),$BI$15:$BI$62,$BL$15:$BL$62),IFERROR(_xlfn.XLOOKUP(TRIM(SUBSTITUTE(U114,CHAR(160)," ")),$BJ$15:$BJ$62,$BL$15:$BL$62),_xlfn.XLOOKUP(TRIM(SUBSTITUTE(U114,CHAR(160)," ")),$BK$15:$BK$62,$BL$15:$BL$62))))*T114*IF(ISBLANK(Q114),1,Q114)+IFERROR(_xlfn.XLOOKUP("RECHERCHEX",TRIM(L114:AC114),L114:AC114),0),0))</f>
        <v/>
      </c>
      <c r="AL114" s="1030">
        <f t="shared" si="52"/>
        <v>0</v>
      </c>
      <c r="AM114" s="5254" t="str">
        <f t="shared" si="67"/>
        <v/>
      </c>
      <c r="AN114" s="1031">
        <f t="shared" si="53"/>
        <v>0</v>
      </c>
      <c r="AO114" s="1031">
        <f t="shared" si="54"/>
        <v>0</v>
      </c>
      <c r="AP114" s="1032">
        <f t="shared" si="55"/>
        <v>0</v>
      </c>
      <c r="AQ114" s="5255" t="str">
        <f t="shared" si="56"/>
        <v/>
      </c>
      <c r="AR114" s="1056"/>
      <c r="AS114" s="1056"/>
      <c r="AT114" s="1034">
        <f t="shared" si="57"/>
        <v>0</v>
      </c>
      <c r="AU114" s="1035">
        <f t="shared" si="58"/>
        <v>0</v>
      </c>
      <c r="AV114" s="1057" cm="1">
        <f t="array" ref="AV114">IF(AJ114&lt;&gt;1,0,IF(OR(AT114="",N(AT114)&lt;=0.000000001),"",IF(OR(AN114="",N(AN114)&lt;=0.000000001),0,IF(ISNUMBER(AT114),IFERROR(_xlfn.LET(_xlpm.ai_test,TRIM(AI114),_xlpm.r,IFERROR(_xlfn.XLOOKUP(_xlpm.ai_test,$BI$15:$BI$62,ROW($BI$15:$BI$62),0,1),IFERROR(_xlfn.XLOOKUP(_xlpm.ai_test,$BJ$15:$BJ$62,ROW($BJ$15:$BJ$62),0,1),_xlfn.XLOOKUP(_xlpm.ai_test,$BK$15:$BK$62,ROW($BK$15:$BK$62),0,1))),_xlpm.p,_xlpm.r-MIN(ROW($BI$15:$BI$62))+1,_xlpm.f,INDEX($BL$15:$BL$62,_xlpm.p),_xlpm.u,INDEX($BM$15:$BM$62,_xlpm.p),_xlpm.s,INDEX($BO$15:$BO$62,_xlpm.p),_xlpm.q,N(AT114)/_xlpm.f,IF(_xlpm.q&gt;=_xlpm.s,ROUND(_xlpm.q,1)&amp;" "&amp;_xlpm.ai_test&amp;" = "&amp;ROUND(_xlpm.q*_xlpm.f,1)&amp;" "&amp;_xlpm.u,ROUND(_xlpm.q,1)&amp;" "&amp;_xlpm.ai_test)),""),""))))</f>
        <v>0</v>
      </c>
      <c r="AW114" s="1047"/>
      <c r="AX114" s="1034">
        <f t="shared" si="59"/>
        <v>0</v>
      </c>
      <c r="AY114" s="1035" t="str">
        <f t="shared" si="60"/>
        <v/>
      </c>
      <c r="AZ114" s="1036">
        <f t="shared" si="65"/>
        <v>0</v>
      </c>
      <c r="BA114" s="1037" t="str">
        <f t="shared" si="61"/>
        <v/>
      </c>
      <c r="BB114" s="1038"/>
      <c r="BC114" s="1039">
        <f t="shared" si="66"/>
        <v>0</v>
      </c>
      <c r="BD114" s="1040" t="str">
        <f t="shared" si="62"/>
        <v/>
      </c>
      <c r="BE114" s="227" t="s">
        <v>22</v>
      </c>
      <c r="BF114" s="1019">
        <f t="shared" si="63"/>
        <v>0</v>
      </c>
      <c r="BG114" s="1020">
        <f t="shared" si="64"/>
        <v>0</v>
      </c>
      <c r="BV114"/>
      <c r="BW114" s="959" t="str">
        <f t="shared" si="45"/>
        <v>►</v>
      </c>
      <c r="BX114"/>
      <c r="BY114"/>
      <c r="BZ114"/>
      <c r="CA114"/>
      <c r="CB114"/>
      <c r="CC114" s="957"/>
      <c r="CD114"/>
      <c r="CE114"/>
      <c r="CF114"/>
      <c r="CG114"/>
      <c r="CH114"/>
      <c r="CI114"/>
      <c r="CJ114"/>
      <c r="CK114"/>
      <c r="CL114"/>
      <c r="CM114"/>
      <c r="CN114"/>
      <c r="CO114"/>
      <c r="CP114"/>
      <c r="CQ114"/>
      <c r="CR114"/>
      <c r="CS114"/>
      <c r="CT114"/>
      <c r="CU114"/>
      <c r="CV114"/>
      <c r="CW114"/>
      <c r="CX114"/>
      <c r="CY114"/>
      <c r="CZ114"/>
      <c r="DB114" s="3">
        <v>1</v>
      </c>
    </row>
    <row r="115" spans="1:106" s="709" customFormat="1" ht="21" customHeight="1">
      <c r="A115" s="936" t="s">
        <v>22</v>
      </c>
      <c r="B115" s="952" t="str">
        <f t="shared" si="44"/>
        <v>►</v>
      </c>
      <c r="C115" s="993" cm="1">
        <f t="array" ref="C115">SUMPRODUCT(LEN(D115:J115))</f>
        <v>0</v>
      </c>
      <c r="D115" s="167"/>
      <c r="E115" s="172"/>
      <c r="F115" s="172"/>
      <c r="G115" s="172"/>
      <c r="H115" s="172"/>
      <c r="I115" s="172"/>
      <c r="J115" s="173"/>
      <c r="K115" s="442" t="s">
        <v>22</v>
      </c>
      <c r="L115" s="104" t="s">
        <v>16</v>
      </c>
      <c r="M115" s="1172"/>
      <c r="N115" s="1172"/>
      <c r="O115" s="1172"/>
      <c r="P115" s="1173"/>
      <c r="Q115" s="1174"/>
      <c r="R115" s="1175"/>
      <c r="S115" s="1176"/>
      <c r="T115" s="1177"/>
      <c r="U115" s="5248"/>
      <c r="V115" s="1177"/>
      <c r="W115" s="5249"/>
      <c r="X115" s="5208"/>
      <c r="Y115" s="5209"/>
      <c r="Z115" s="5210"/>
      <c r="AA115" s="5211"/>
      <c r="AB115" s="1178"/>
      <c r="AC115" s="1179"/>
      <c r="AD115" s="227" t="s">
        <v>22</v>
      </c>
      <c r="AE115" s="1027" t="str">
        <f t="shared" si="46"/>
        <v>►</v>
      </c>
      <c r="AF115" s="1028" t="str">
        <f t="shared" si="47"/>
        <v/>
      </c>
      <c r="AG115" s="1029" t="str">
        <f t="shared" si="48"/>
        <v/>
      </c>
      <c r="AH115" s="1028" t="str">
        <f t="shared" si="49"/>
        <v/>
      </c>
      <c r="AI115" s="1029" t="str">
        <f t="shared" si="50"/>
        <v/>
      </c>
      <c r="AJ115" s="1029">
        <f t="shared" si="51"/>
        <v>0</v>
      </c>
      <c r="AK115" s="1043" t="str" cm="1">
        <f t="array" ref="AK115">IF(AE115&lt;&gt;"A","",IFERROR((IFERROR(_xlfn.XLOOKUP(TRIM(SUBSTITUTE(U115,CHAR(160)," ")),$BI$15:$BI$62,$BL$15:$BL$62),IFERROR(_xlfn.XLOOKUP(TRIM(SUBSTITUTE(U115,CHAR(160)," ")),$BJ$15:$BJ$62,$BL$15:$BL$62),_xlfn.XLOOKUP(TRIM(SUBSTITUTE(U115,CHAR(160)," ")),$BK$15:$BK$62,$BL$15:$BL$62))))*T115*IF(ISBLANK(Q115),1,Q115)+IFERROR(_xlfn.XLOOKUP("RECHERCHEX",TRIM(L115:AC115),L115:AC115),0),0))</f>
        <v/>
      </c>
      <c r="AL115" s="1030">
        <f t="shared" si="52"/>
        <v>0</v>
      </c>
      <c r="AM115" s="5254" t="str">
        <f t="shared" si="67"/>
        <v/>
      </c>
      <c r="AN115" s="1031">
        <f t="shared" si="53"/>
        <v>0</v>
      </c>
      <c r="AO115" s="1031">
        <f t="shared" si="54"/>
        <v>0</v>
      </c>
      <c r="AP115" s="1044">
        <f t="shared" si="55"/>
        <v>0</v>
      </c>
      <c r="AQ115" s="5257" t="str">
        <f t="shared" si="56"/>
        <v/>
      </c>
      <c r="AR115" s="1056"/>
      <c r="AS115" s="1056"/>
      <c r="AT115" s="1045">
        <f t="shared" si="57"/>
        <v>0</v>
      </c>
      <c r="AU115" s="1046">
        <f t="shared" si="58"/>
        <v>0</v>
      </c>
      <c r="AV115" s="1059" cm="1">
        <f t="array" ref="AV115">IF(AJ115&lt;&gt;1,0,IF(OR(AT115="",N(AT115)&lt;=0.000000001),"",IF(OR(AN115="",N(AN115)&lt;=0.000000001),0,IF(ISNUMBER(AT115),IFERROR(_xlfn.LET(_xlpm.ai_test,TRIM(AI115),_xlpm.r,IFERROR(_xlfn.XLOOKUP(_xlpm.ai_test,$BI$15:$BI$62,ROW($BI$15:$BI$62),0,1),IFERROR(_xlfn.XLOOKUP(_xlpm.ai_test,$BJ$15:$BJ$62,ROW($BJ$15:$BJ$62),0,1),_xlfn.XLOOKUP(_xlpm.ai_test,$BK$15:$BK$62,ROW($BK$15:$BK$62),0,1))),_xlpm.p,_xlpm.r-MIN(ROW($BI$15:$BI$62))+1,_xlpm.f,INDEX($BL$15:$BL$62,_xlpm.p),_xlpm.u,INDEX($BM$15:$BM$62,_xlpm.p),_xlpm.s,INDEX($BO$15:$BO$62,_xlpm.p),_xlpm.q,N(AT115)/_xlpm.f,IF(_xlpm.q&gt;=_xlpm.s,ROUND(_xlpm.q,1)&amp;" "&amp;_xlpm.ai_test&amp;" = "&amp;ROUND(_xlpm.q*_xlpm.f,1)&amp;" "&amp;_xlpm.u,ROUND(_xlpm.q,1)&amp;" "&amp;_xlpm.ai_test)),""),""))))</f>
        <v>0</v>
      </c>
      <c r="AW115" s="1047"/>
      <c r="AX115" s="1045">
        <f t="shared" si="59"/>
        <v>0</v>
      </c>
      <c r="AY115" s="1046" t="str">
        <f t="shared" si="60"/>
        <v/>
      </c>
      <c r="AZ115" s="1048">
        <f t="shared" si="65"/>
        <v>0</v>
      </c>
      <c r="BA115" s="1049" t="str">
        <f t="shared" si="61"/>
        <v/>
      </c>
      <c r="BB115" s="1038"/>
      <c r="BC115" s="1050">
        <f t="shared" si="66"/>
        <v>0</v>
      </c>
      <c r="BD115" s="1040" t="str">
        <f t="shared" si="62"/>
        <v/>
      </c>
      <c r="BE115" s="227" t="s">
        <v>22</v>
      </c>
      <c r="BF115" s="1019">
        <f t="shared" si="63"/>
        <v>0</v>
      </c>
      <c r="BG115" s="1020">
        <f t="shared" si="64"/>
        <v>0</v>
      </c>
      <c r="BV115"/>
      <c r="BW115" s="959" t="str">
        <f t="shared" si="45"/>
        <v>►</v>
      </c>
      <c r="BX115"/>
      <c r="BY115"/>
      <c r="BZ115"/>
      <c r="CA115"/>
      <c r="CB115"/>
      <c r="CC115" s="957"/>
      <c r="CD115"/>
      <c r="CE115"/>
      <c r="CF115"/>
      <c r="CG115"/>
      <c r="CH115"/>
      <c r="CI115"/>
      <c r="CJ115"/>
      <c r="CK115"/>
      <c r="CL115"/>
      <c r="CM115"/>
      <c r="CN115"/>
      <c r="CO115"/>
      <c r="CP115"/>
      <c r="CQ115"/>
      <c r="CR115"/>
      <c r="CS115"/>
      <c r="CT115"/>
      <c r="CU115"/>
      <c r="CV115"/>
      <c r="CW115"/>
      <c r="CX115"/>
      <c r="CY115"/>
      <c r="CZ115"/>
      <c r="DB115" s="3">
        <v>1</v>
      </c>
    </row>
    <row r="116" spans="1:106" s="709" customFormat="1" ht="21" customHeight="1">
      <c r="A116" s="936" t="s">
        <v>22</v>
      </c>
      <c r="B116" s="952" t="str">
        <f t="shared" si="44"/>
        <v>►</v>
      </c>
      <c r="C116" s="993" cm="1">
        <f t="array" ref="C116">SUMPRODUCT(LEN(D116:J116))</f>
        <v>0</v>
      </c>
      <c r="D116" s="167"/>
      <c r="E116" s="172"/>
      <c r="F116" s="172"/>
      <c r="G116" s="172"/>
      <c r="H116" s="172"/>
      <c r="I116" s="172"/>
      <c r="J116" s="173"/>
      <c r="K116" s="442" t="s">
        <v>22</v>
      </c>
      <c r="L116" s="104" t="s">
        <v>16</v>
      </c>
      <c r="M116" s="1172"/>
      <c r="N116" s="1172"/>
      <c r="O116" s="1172"/>
      <c r="P116" s="1173"/>
      <c r="Q116" s="1174"/>
      <c r="R116" s="1175"/>
      <c r="S116" s="1176"/>
      <c r="T116" s="1177"/>
      <c r="U116" s="5248"/>
      <c r="V116" s="1177"/>
      <c r="W116" s="5249"/>
      <c r="X116" s="5208"/>
      <c r="Y116" s="5209"/>
      <c r="Z116" s="5210"/>
      <c r="AA116" s="5211"/>
      <c r="AB116" s="1178"/>
      <c r="AC116" s="1179"/>
      <c r="AD116" s="227" t="s">
        <v>22</v>
      </c>
      <c r="AE116" s="1027" t="str">
        <f t="shared" si="46"/>
        <v>►</v>
      </c>
      <c r="AF116" s="1028" t="str">
        <f t="shared" si="47"/>
        <v/>
      </c>
      <c r="AG116" s="1029" t="str">
        <f t="shared" si="48"/>
        <v/>
      </c>
      <c r="AH116" s="1028" t="str">
        <f t="shared" si="49"/>
        <v/>
      </c>
      <c r="AI116" s="1029" t="str">
        <f t="shared" si="50"/>
        <v/>
      </c>
      <c r="AJ116" s="1029">
        <f t="shared" si="51"/>
        <v>0</v>
      </c>
      <c r="AK116" s="1043" t="str" cm="1">
        <f t="array" ref="AK116">IF(AE116&lt;&gt;"A","",IFERROR((IFERROR(_xlfn.XLOOKUP(TRIM(SUBSTITUTE(U116,CHAR(160)," ")),$BI$15:$BI$62,$BL$15:$BL$62),IFERROR(_xlfn.XLOOKUP(TRIM(SUBSTITUTE(U116,CHAR(160)," ")),$BJ$15:$BJ$62,$BL$15:$BL$62),_xlfn.XLOOKUP(TRIM(SUBSTITUTE(U116,CHAR(160)," ")),$BK$15:$BK$62,$BL$15:$BL$62))))*T116*IF(ISBLANK(Q116),1,Q116)+IFERROR(_xlfn.XLOOKUP("RECHERCHEX",TRIM(L116:AC116),L116:AC116),0),0))</f>
        <v/>
      </c>
      <c r="AL116" s="1030">
        <f t="shared" si="52"/>
        <v>0</v>
      </c>
      <c r="AM116" s="5254" t="str">
        <f t="shared" si="67"/>
        <v/>
      </c>
      <c r="AN116" s="1031">
        <f t="shared" si="53"/>
        <v>0</v>
      </c>
      <c r="AO116" s="1031">
        <f t="shared" si="54"/>
        <v>0</v>
      </c>
      <c r="AP116" s="1032">
        <f t="shared" si="55"/>
        <v>0</v>
      </c>
      <c r="AQ116" s="5255" t="str">
        <f t="shared" si="56"/>
        <v/>
      </c>
      <c r="AR116" s="1056"/>
      <c r="AS116" s="1056"/>
      <c r="AT116" s="1034">
        <f t="shared" si="57"/>
        <v>0</v>
      </c>
      <c r="AU116" s="1035">
        <f t="shared" si="58"/>
        <v>0</v>
      </c>
      <c r="AV116" s="1057" cm="1">
        <f t="array" ref="AV116">IF(AJ116&lt;&gt;1,0,IF(OR(AT116="",N(AT116)&lt;=0.000000001),"",IF(OR(AN116="",N(AN116)&lt;=0.000000001),0,IF(ISNUMBER(AT116),IFERROR(_xlfn.LET(_xlpm.ai_test,TRIM(AI116),_xlpm.r,IFERROR(_xlfn.XLOOKUP(_xlpm.ai_test,$BI$15:$BI$62,ROW($BI$15:$BI$62),0,1),IFERROR(_xlfn.XLOOKUP(_xlpm.ai_test,$BJ$15:$BJ$62,ROW($BJ$15:$BJ$62),0,1),_xlfn.XLOOKUP(_xlpm.ai_test,$BK$15:$BK$62,ROW($BK$15:$BK$62),0,1))),_xlpm.p,_xlpm.r-MIN(ROW($BI$15:$BI$62))+1,_xlpm.f,INDEX($BL$15:$BL$62,_xlpm.p),_xlpm.u,INDEX($BM$15:$BM$62,_xlpm.p),_xlpm.s,INDEX($BO$15:$BO$62,_xlpm.p),_xlpm.q,N(AT116)/_xlpm.f,IF(_xlpm.q&gt;=_xlpm.s,ROUND(_xlpm.q,1)&amp;" "&amp;_xlpm.ai_test&amp;" = "&amp;ROUND(_xlpm.q*_xlpm.f,1)&amp;" "&amp;_xlpm.u,ROUND(_xlpm.q,1)&amp;" "&amp;_xlpm.ai_test)),""),""))))</f>
        <v>0</v>
      </c>
      <c r="AW116" s="1047"/>
      <c r="AX116" s="1034">
        <f t="shared" si="59"/>
        <v>0</v>
      </c>
      <c r="AY116" s="1035" t="str">
        <f t="shared" si="60"/>
        <v/>
      </c>
      <c r="AZ116" s="1036">
        <f t="shared" si="65"/>
        <v>0</v>
      </c>
      <c r="BA116" s="1037" t="str">
        <f t="shared" si="61"/>
        <v/>
      </c>
      <c r="BB116" s="1038"/>
      <c r="BC116" s="1039">
        <f t="shared" si="66"/>
        <v>0</v>
      </c>
      <c r="BD116" s="1040" t="str">
        <f t="shared" si="62"/>
        <v/>
      </c>
      <c r="BE116" s="227" t="s">
        <v>22</v>
      </c>
      <c r="BF116" s="1019">
        <f t="shared" si="63"/>
        <v>0</v>
      </c>
      <c r="BG116" s="1020">
        <f t="shared" si="64"/>
        <v>0</v>
      </c>
      <c r="BV116"/>
      <c r="BW116" s="959" t="str">
        <f t="shared" si="45"/>
        <v>►</v>
      </c>
      <c r="CC116" s="957"/>
      <c r="CD116"/>
      <c r="CE116"/>
      <c r="CF116"/>
      <c r="CG116"/>
      <c r="CH116"/>
      <c r="CI116"/>
      <c r="CJ116"/>
      <c r="CK116"/>
      <c r="CL116"/>
      <c r="CM116"/>
      <c r="CN116"/>
      <c r="CO116"/>
      <c r="CP116"/>
      <c r="CQ116"/>
      <c r="CR116"/>
      <c r="CS116"/>
      <c r="CT116"/>
      <c r="CU116"/>
      <c r="CV116"/>
      <c r="CW116"/>
      <c r="CX116"/>
      <c r="CY116"/>
      <c r="CZ116"/>
      <c r="DB116" s="3">
        <v>1</v>
      </c>
    </row>
    <row r="117" spans="1:106" s="709" customFormat="1" ht="21" customHeight="1">
      <c r="A117" s="936" t="s">
        <v>22</v>
      </c>
      <c r="B117" s="952" t="str">
        <f t="shared" si="44"/>
        <v>►</v>
      </c>
      <c r="C117" s="993" cm="1">
        <f t="array" ref="C117">SUMPRODUCT(LEN(D117:J117))</f>
        <v>0</v>
      </c>
      <c r="D117" s="167"/>
      <c r="E117" s="172"/>
      <c r="F117" s="172"/>
      <c r="G117" s="172"/>
      <c r="H117" s="172"/>
      <c r="I117" s="172"/>
      <c r="J117" s="173"/>
      <c r="K117" s="442" t="s">
        <v>22</v>
      </c>
      <c r="L117" s="104" t="s">
        <v>16</v>
      </c>
      <c r="M117" s="1172"/>
      <c r="N117" s="1172"/>
      <c r="O117" s="1172"/>
      <c r="P117" s="1173"/>
      <c r="Q117" s="1174"/>
      <c r="R117" s="1175"/>
      <c r="S117" s="1176"/>
      <c r="T117" s="1177"/>
      <c r="U117" s="5248"/>
      <c r="V117" s="1177"/>
      <c r="W117" s="5249"/>
      <c r="X117" s="5208"/>
      <c r="Y117" s="5209"/>
      <c r="Z117" s="5210"/>
      <c r="AA117" s="5211"/>
      <c r="AB117" s="1178"/>
      <c r="AC117" s="1179"/>
      <c r="AD117" s="227" t="s">
        <v>22</v>
      </c>
      <c r="AE117" s="1027" t="str">
        <f t="shared" si="46"/>
        <v>►</v>
      </c>
      <c r="AF117" s="1028" t="str">
        <f t="shared" si="47"/>
        <v/>
      </c>
      <c r="AG117" s="1029" t="str">
        <f t="shared" si="48"/>
        <v/>
      </c>
      <c r="AH117" s="1028" t="str">
        <f t="shared" si="49"/>
        <v/>
      </c>
      <c r="AI117" s="1029" t="str">
        <f t="shared" si="50"/>
        <v/>
      </c>
      <c r="AJ117" s="1029">
        <f t="shared" si="51"/>
        <v>0</v>
      </c>
      <c r="AK117" s="1043" t="str" cm="1">
        <f t="array" ref="AK117">IF(AE117&lt;&gt;"A","",IFERROR((IFERROR(_xlfn.XLOOKUP(TRIM(SUBSTITUTE(U117,CHAR(160)," ")),$BI$15:$BI$62,$BL$15:$BL$62),IFERROR(_xlfn.XLOOKUP(TRIM(SUBSTITUTE(U117,CHAR(160)," ")),$BJ$15:$BJ$62,$BL$15:$BL$62),_xlfn.XLOOKUP(TRIM(SUBSTITUTE(U117,CHAR(160)," ")),$BK$15:$BK$62,$BL$15:$BL$62))))*T117*IF(ISBLANK(Q117),1,Q117)+IFERROR(_xlfn.XLOOKUP("RECHERCHEX",TRIM(L117:AC117),L117:AC117),0),0))</f>
        <v/>
      </c>
      <c r="AL117" s="1030">
        <f t="shared" si="52"/>
        <v>0</v>
      </c>
      <c r="AM117" s="5254" t="str">
        <f t="shared" si="67"/>
        <v/>
      </c>
      <c r="AN117" s="1031">
        <f t="shared" si="53"/>
        <v>0</v>
      </c>
      <c r="AO117" s="1031">
        <f t="shared" si="54"/>
        <v>0</v>
      </c>
      <c r="AP117" s="1044">
        <f t="shared" si="55"/>
        <v>0</v>
      </c>
      <c r="AQ117" s="5257" t="str">
        <f t="shared" si="56"/>
        <v/>
      </c>
      <c r="AR117" s="1056"/>
      <c r="AS117" s="1056"/>
      <c r="AT117" s="1045">
        <f t="shared" si="57"/>
        <v>0</v>
      </c>
      <c r="AU117" s="1046">
        <f t="shared" si="58"/>
        <v>0</v>
      </c>
      <c r="AV117" s="1059" cm="1">
        <f t="array" ref="AV117">IF(AJ117&lt;&gt;1,0,IF(OR(AT117="",N(AT117)&lt;=0.000000001),"",IF(OR(AN117="",N(AN117)&lt;=0.000000001),0,IF(ISNUMBER(AT117),IFERROR(_xlfn.LET(_xlpm.ai_test,TRIM(AI117),_xlpm.r,IFERROR(_xlfn.XLOOKUP(_xlpm.ai_test,$BI$15:$BI$62,ROW($BI$15:$BI$62),0,1),IFERROR(_xlfn.XLOOKUP(_xlpm.ai_test,$BJ$15:$BJ$62,ROW($BJ$15:$BJ$62),0,1),_xlfn.XLOOKUP(_xlpm.ai_test,$BK$15:$BK$62,ROW($BK$15:$BK$62),0,1))),_xlpm.p,_xlpm.r-MIN(ROW($BI$15:$BI$62))+1,_xlpm.f,INDEX($BL$15:$BL$62,_xlpm.p),_xlpm.u,INDEX($BM$15:$BM$62,_xlpm.p),_xlpm.s,INDEX($BO$15:$BO$62,_xlpm.p),_xlpm.q,N(AT117)/_xlpm.f,IF(_xlpm.q&gt;=_xlpm.s,ROUND(_xlpm.q,1)&amp;" "&amp;_xlpm.ai_test&amp;" = "&amp;ROUND(_xlpm.q*_xlpm.f,1)&amp;" "&amp;_xlpm.u,ROUND(_xlpm.q,1)&amp;" "&amp;_xlpm.ai_test)),""),""))))</f>
        <v>0</v>
      </c>
      <c r="AW117" s="1047"/>
      <c r="AX117" s="1045">
        <f t="shared" si="59"/>
        <v>0</v>
      </c>
      <c r="AY117" s="1046" t="str">
        <f t="shared" si="60"/>
        <v/>
      </c>
      <c r="AZ117" s="1048">
        <f t="shared" si="65"/>
        <v>0</v>
      </c>
      <c r="BA117" s="1049" t="str">
        <f t="shared" si="61"/>
        <v/>
      </c>
      <c r="BB117" s="1038"/>
      <c r="BC117" s="1050">
        <f t="shared" si="66"/>
        <v>0</v>
      </c>
      <c r="BD117" s="1040" t="str">
        <f t="shared" si="62"/>
        <v/>
      </c>
      <c r="BE117" s="227" t="s">
        <v>22</v>
      </c>
      <c r="BF117" s="1019">
        <f t="shared" si="63"/>
        <v>0</v>
      </c>
      <c r="BG117" s="1020">
        <f t="shared" si="64"/>
        <v>0</v>
      </c>
      <c r="BV117"/>
      <c r="BW117" s="959" t="str">
        <f t="shared" si="45"/>
        <v>►</v>
      </c>
      <c r="CC117" s="957"/>
      <c r="CD117"/>
      <c r="CE117"/>
      <c r="CF117"/>
      <c r="CG117"/>
      <c r="CH117"/>
      <c r="CI117"/>
      <c r="CJ117"/>
      <c r="CK117"/>
      <c r="CL117"/>
      <c r="CM117"/>
      <c r="CN117"/>
      <c r="CO117"/>
      <c r="CP117"/>
      <c r="CQ117"/>
      <c r="CR117"/>
      <c r="CS117"/>
      <c r="CT117"/>
      <c r="CU117"/>
      <c r="CV117"/>
      <c r="CW117"/>
      <c r="CX117"/>
      <c r="CY117"/>
      <c r="CZ117"/>
      <c r="DB117" s="3">
        <v>1</v>
      </c>
    </row>
    <row r="118" spans="1:106" s="709" customFormat="1" ht="21" customHeight="1">
      <c r="A118" s="936" t="s">
        <v>22</v>
      </c>
      <c r="B118" s="952" t="str">
        <f t="shared" si="44"/>
        <v>►</v>
      </c>
      <c r="C118" s="993" cm="1">
        <f t="array" ref="C118">SUMPRODUCT(LEN(D118:J118))</f>
        <v>0</v>
      </c>
      <c r="D118" s="167"/>
      <c r="E118" s="172"/>
      <c r="F118" s="172"/>
      <c r="G118" s="172"/>
      <c r="H118" s="172"/>
      <c r="I118" s="172"/>
      <c r="J118" s="173"/>
      <c r="K118" s="442" t="s">
        <v>22</v>
      </c>
      <c r="L118" s="104" t="s">
        <v>16</v>
      </c>
      <c r="M118" s="1172"/>
      <c r="N118" s="1172"/>
      <c r="O118" s="1172"/>
      <c r="P118" s="1173"/>
      <c r="Q118" s="1174"/>
      <c r="R118" s="1175"/>
      <c r="S118" s="1176"/>
      <c r="T118" s="1177"/>
      <c r="U118" s="5248"/>
      <c r="V118" s="1177"/>
      <c r="W118" s="5249"/>
      <c r="X118" s="5208"/>
      <c r="Y118" s="5209"/>
      <c r="Z118" s="5210"/>
      <c r="AA118" s="5211"/>
      <c r="AB118" s="1178"/>
      <c r="AC118" s="1179"/>
      <c r="AD118" s="227" t="s">
        <v>22</v>
      </c>
      <c r="AE118" s="1027" t="str">
        <f t="shared" si="46"/>
        <v>►</v>
      </c>
      <c r="AF118" s="1028" t="str">
        <f t="shared" si="47"/>
        <v/>
      </c>
      <c r="AG118" s="1029" t="str">
        <f t="shared" si="48"/>
        <v/>
      </c>
      <c r="AH118" s="1028" t="str">
        <f t="shared" si="49"/>
        <v/>
      </c>
      <c r="AI118" s="1029" t="str">
        <f t="shared" si="50"/>
        <v/>
      </c>
      <c r="AJ118" s="1029">
        <f t="shared" si="51"/>
        <v>0</v>
      </c>
      <c r="AK118" s="1043" t="str" cm="1">
        <f t="array" ref="AK118">IF(AE118&lt;&gt;"A","",IFERROR((IFERROR(_xlfn.XLOOKUP(TRIM(SUBSTITUTE(U118,CHAR(160)," ")),$BI$15:$BI$62,$BL$15:$BL$62),IFERROR(_xlfn.XLOOKUP(TRIM(SUBSTITUTE(U118,CHAR(160)," ")),$BJ$15:$BJ$62,$BL$15:$BL$62),_xlfn.XLOOKUP(TRIM(SUBSTITUTE(U118,CHAR(160)," ")),$BK$15:$BK$62,$BL$15:$BL$62))))*T118*IF(ISBLANK(Q118),1,Q118)+IFERROR(_xlfn.XLOOKUP("RECHERCHEX",TRIM(L118:AC118),L118:AC118),0),0))</f>
        <v/>
      </c>
      <c r="AL118" s="1030">
        <f t="shared" si="52"/>
        <v>0</v>
      </c>
      <c r="AM118" s="5254" t="str">
        <f t="shared" si="67"/>
        <v/>
      </c>
      <c r="AN118" s="1031">
        <f t="shared" si="53"/>
        <v>0</v>
      </c>
      <c r="AO118" s="1031">
        <f t="shared" si="54"/>
        <v>0</v>
      </c>
      <c r="AP118" s="1032">
        <f t="shared" si="55"/>
        <v>0</v>
      </c>
      <c r="AQ118" s="5255" t="str">
        <f t="shared" si="56"/>
        <v/>
      </c>
      <c r="AR118" s="1056"/>
      <c r="AS118" s="1056"/>
      <c r="AT118" s="1034">
        <f t="shared" si="57"/>
        <v>0</v>
      </c>
      <c r="AU118" s="1035">
        <f t="shared" si="58"/>
        <v>0</v>
      </c>
      <c r="AV118" s="1057" cm="1">
        <f t="array" ref="AV118">IF(AJ118&lt;&gt;1,0,IF(OR(AT118="",N(AT118)&lt;=0.000000001),"",IF(OR(AN118="",N(AN118)&lt;=0.000000001),0,IF(ISNUMBER(AT118),IFERROR(_xlfn.LET(_xlpm.ai_test,TRIM(AI118),_xlpm.r,IFERROR(_xlfn.XLOOKUP(_xlpm.ai_test,$BI$15:$BI$62,ROW($BI$15:$BI$62),0,1),IFERROR(_xlfn.XLOOKUP(_xlpm.ai_test,$BJ$15:$BJ$62,ROW($BJ$15:$BJ$62),0,1),_xlfn.XLOOKUP(_xlpm.ai_test,$BK$15:$BK$62,ROW($BK$15:$BK$62),0,1))),_xlpm.p,_xlpm.r-MIN(ROW($BI$15:$BI$62))+1,_xlpm.f,INDEX($BL$15:$BL$62,_xlpm.p),_xlpm.u,INDEX($BM$15:$BM$62,_xlpm.p),_xlpm.s,INDEX($BO$15:$BO$62,_xlpm.p),_xlpm.q,N(AT118)/_xlpm.f,IF(_xlpm.q&gt;=_xlpm.s,ROUND(_xlpm.q,1)&amp;" "&amp;_xlpm.ai_test&amp;" = "&amp;ROUND(_xlpm.q*_xlpm.f,1)&amp;" "&amp;_xlpm.u,ROUND(_xlpm.q,1)&amp;" "&amp;_xlpm.ai_test)),""),""))))</f>
        <v>0</v>
      </c>
      <c r="AW118" s="1047"/>
      <c r="AX118" s="1034">
        <f t="shared" si="59"/>
        <v>0</v>
      </c>
      <c r="AY118" s="1035" t="str">
        <f t="shared" si="60"/>
        <v/>
      </c>
      <c r="AZ118" s="1036">
        <f t="shared" si="65"/>
        <v>0</v>
      </c>
      <c r="BA118" s="1037" t="str">
        <f t="shared" si="61"/>
        <v/>
      </c>
      <c r="BB118" s="1038"/>
      <c r="BC118" s="1039">
        <f t="shared" si="66"/>
        <v>0</v>
      </c>
      <c r="BD118" s="1040" t="str">
        <f t="shared" si="62"/>
        <v/>
      </c>
      <c r="BE118" s="227" t="s">
        <v>22</v>
      </c>
      <c r="BF118" s="1019">
        <f t="shared" si="63"/>
        <v>0</v>
      </c>
      <c r="BG118" s="1020">
        <f t="shared" si="64"/>
        <v>0</v>
      </c>
      <c r="BV118"/>
      <c r="BW118" s="959" t="str">
        <f t="shared" si="45"/>
        <v>►</v>
      </c>
      <c r="CC118" s="957"/>
      <c r="CD118"/>
      <c r="CE118"/>
      <c r="CF118"/>
      <c r="CG118"/>
      <c r="CH118"/>
      <c r="CI118"/>
      <c r="CJ118"/>
      <c r="CK118"/>
      <c r="CL118"/>
      <c r="CM118"/>
      <c r="CN118"/>
      <c r="CO118"/>
      <c r="CP118"/>
      <c r="CQ118"/>
      <c r="CR118"/>
      <c r="CS118"/>
      <c r="CT118"/>
      <c r="CU118"/>
      <c r="CV118"/>
      <c r="CW118"/>
      <c r="CX118"/>
      <c r="CY118"/>
      <c r="CZ118"/>
      <c r="DB118" s="3">
        <v>1</v>
      </c>
    </row>
    <row r="119" spans="1:106" s="709" customFormat="1" ht="21" customHeight="1">
      <c r="A119" s="936" t="s">
        <v>22</v>
      </c>
      <c r="B119" s="952" t="str">
        <f t="shared" si="44"/>
        <v>►</v>
      </c>
      <c r="C119" s="993" cm="1">
        <f t="array" ref="C119">SUMPRODUCT(LEN(D119:J119))</f>
        <v>0</v>
      </c>
      <c r="D119" s="167"/>
      <c r="E119" s="172"/>
      <c r="F119" s="172"/>
      <c r="G119" s="172"/>
      <c r="H119" s="172"/>
      <c r="I119" s="172"/>
      <c r="J119" s="173"/>
      <c r="K119" s="442" t="s">
        <v>22</v>
      </c>
      <c r="L119" s="104" t="s">
        <v>16</v>
      </c>
      <c r="M119" s="1172"/>
      <c r="N119" s="1172"/>
      <c r="O119" s="1172"/>
      <c r="P119" s="1173"/>
      <c r="Q119" s="1174"/>
      <c r="R119" s="1175"/>
      <c r="S119" s="1176"/>
      <c r="T119" s="1177"/>
      <c r="U119" s="5248"/>
      <c r="V119" s="1177"/>
      <c r="W119" s="5249"/>
      <c r="X119" s="5208"/>
      <c r="Y119" s="5209"/>
      <c r="Z119" s="5210"/>
      <c r="AA119" s="5211"/>
      <c r="AB119" s="1178"/>
      <c r="AC119" s="1179"/>
      <c r="AD119" s="227" t="s">
        <v>22</v>
      </c>
      <c r="AE119" s="1027" t="str">
        <f t="shared" si="46"/>
        <v>►</v>
      </c>
      <c r="AF119" s="1028" t="str">
        <f t="shared" si="47"/>
        <v/>
      </c>
      <c r="AG119" s="1029" t="str">
        <f t="shared" si="48"/>
        <v/>
      </c>
      <c r="AH119" s="1028" t="str">
        <f t="shared" si="49"/>
        <v/>
      </c>
      <c r="AI119" s="1029" t="str">
        <f t="shared" si="50"/>
        <v/>
      </c>
      <c r="AJ119" s="1029">
        <f t="shared" si="51"/>
        <v>0</v>
      </c>
      <c r="AK119" s="1043" t="str" cm="1">
        <f t="array" ref="AK119">IF(AE119&lt;&gt;"A","",IFERROR((IFERROR(_xlfn.XLOOKUP(TRIM(SUBSTITUTE(U119,CHAR(160)," ")),$BI$15:$BI$62,$BL$15:$BL$62),IFERROR(_xlfn.XLOOKUP(TRIM(SUBSTITUTE(U119,CHAR(160)," ")),$BJ$15:$BJ$62,$BL$15:$BL$62),_xlfn.XLOOKUP(TRIM(SUBSTITUTE(U119,CHAR(160)," ")),$BK$15:$BK$62,$BL$15:$BL$62))))*T119*IF(ISBLANK(Q119),1,Q119)+IFERROR(_xlfn.XLOOKUP("RECHERCHEX",TRIM(L119:AC119),L119:AC119),0),0))</f>
        <v/>
      </c>
      <c r="AL119" s="1030">
        <f t="shared" si="52"/>
        <v>0</v>
      </c>
      <c r="AM119" s="5254" t="str">
        <f t="shared" si="67"/>
        <v/>
      </c>
      <c r="AN119" s="1031">
        <f t="shared" si="53"/>
        <v>0</v>
      </c>
      <c r="AO119" s="1031">
        <f t="shared" si="54"/>
        <v>0</v>
      </c>
      <c r="AP119" s="1044">
        <f t="shared" si="55"/>
        <v>0</v>
      </c>
      <c r="AQ119" s="5257" t="str">
        <f t="shared" si="56"/>
        <v/>
      </c>
      <c r="AR119" s="1056"/>
      <c r="AS119" s="1056"/>
      <c r="AT119" s="1045">
        <f t="shared" si="57"/>
        <v>0</v>
      </c>
      <c r="AU119" s="1046">
        <f t="shared" si="58"/>
        <v>0</v>
      </c>
      <c r="AV119" s="1059" cm="1">
        <f t="array" ref="AV119">IF(AJ119&lt;&gt;1,0,IF(OR(AT119="",N(AT119)&lt;=0.000000001),"",IF(OR(AN119="",N(AN119)&lt;=0.000000001),0,IF(ISNUMBER(AT119),IFERROR(_xlfn.LET(_xlpm.ai_test,TRIM(AI119),_xlpm.r,IFERROR(_xlfn.XLOOKUP(_xlpm.ai_test,$BI$15:$BI$62,ROW($BI$15:$BI$62),0,1),IFERROR(_xlfn.XLOOKUP(_xlpm.ai_test,$BJ$15:$BJ$62,ROW($BJ$15:$BJ$62),0,1),_xlfn.XLOOKUP(_xlpm.ai_test,$BK$15:$BK$62,ROW($BK$15:$BK$62),0,1))),_xlpm.p,_xlpm.r-MIN(ROW($BI$15:$BI$62))+1,_xlpm.f,INDEX($BL$15:$BL$62,_xlpm.p),_xlpm.u,INDEX($BM$15:$BM$62,_xlpm.p),_xlpm.s,INDEX($BO$15:$BO$62,_xlpm.p),_xlpm.q,N(AT119)/_xlpm.f,IF(_xlpm.q&gt;=_xlpm.s,ROUND(_xlpm.q,1)&amp;" "&amp;_xlpm.ai_test&amp;" = "&amp;ROUND(_xlpm.q*_xlpm.f,1)&amp;" "&amp;_xlpm.u,ROUND(_xlpm.q,1)&amp;" "&amp;_xlpm.ai_test)),""),""))))</f>
        <v>0</v>
      </c>
      <c r="AW119" s="1047"/>
      <c r="AX119" s="1045">
        <f t="shared" si="59"/>
        <v>0</v>
      </c>
      <c r="AY119" s="1046" t="str">
        <f t="shared" si="60"/>
        <v/>
      </c>
      <c r="AZ119" s="1048">
        <f t="shared" si="65"/>
        <v>0</v>
      </c>
      <c r="BA119" s="1049" t="str">
        <f t="shared" si="61"/>
        <v/>
      </c>
      <c r="BB119" s="1038"/>
      <c r="BC119" s="1050">
        <f t="shared" si="66"/>
        <v>0</v>
      </c>
      <c r="BD119" s="1040" t="str">
        <f t="shared" si="62"/>
        <v/>
      </c>
      <c r="BE119" s="227" t="s">
        <v>22</v>
      </c>
      <c r="BF119" s="1019">
        <f t="shared" si="63"/>
        <v>0</v>
      </c>
      <c r="BG119" s="1020">
        <f t="shared" si="64"/>
        <v>0</v>
      </c>
      <c r="BV119"/>
      <c r="BW119" s="959" t="str">
        <f t="shared" si="45"/>
        <v>►</v>
      </c>
      <c r="CC119" s="957"/>
      <c r="CD119"/>
      <c r="CE119"/>
      <c r="CF119"/>
      <c r="CG119"/>
      <c r="CH119"/>
      <c r="CI119"/>
      <c r="CJ119"/>
      <c r="CK119"/>
      <c r="CL119"/>
      <c r="CM119"/>
      <c r="CN119"/>
      <c r="CO119"/>
      <c r="CP119"/>
      <c r="CQ119"/>
      <c r="CR119"/>
      <c r="CS119"/>
      <c r="CT119"/>
      <c r="CU119"/>
      <c r="CV119"/>
      <c r="CW119"/>
      <c r="CX119"/>
      <c r="CY119"/>
      <c r="CZ119"/>
      <c r="DB119" s="3">
        <v>1</v>
      </c>
    </row>
    <row r="120" spans="1:106" s="709" customFormat="1" ht="21" customHeight="1">
      <c r="A120" s="936" t="s">
        <v>22</v>
      </c>
      <c r="B120" s="952" t="str">
        <f t="shared" si="44"/>
        <v>►</v>
      </c>
      <c r="C120" s="993" cm="1">
        <f t="array" ref="C120">SUMPRODUCT(LEN(D120:J120))</f>
        <v>0</v>
      </c>
      <c r="D120" s="167"/>
      <c r="E120" s="172"/>
      <c r="F120" s="172"/>
      <c r="G120" s="172"/>
      <c r="H120" s="172"/>
      <c r="I120" s="172"/>
      <c r="J120" s="173"/>
      <c r="K120" s="442" t="s">
        <v>22</v>
      </c>
      <c r="L120" s="104" t="s">
        <v>16</v>
      </c>
      <c r="M120" s="1172"/>
      <c r="N120" s="1172"/>
      <c r="O120" s="1172"/>
      <c r="P120" s="1173"/>
      <c r="Q120" s="1174"/>
      <c r="R120" s="1175"/>
      <c r="S120" s="1176"/>
      <c r="T120" s="1177"/>
      <c r="U120" s="5248"/>
      <c r="V120" s="1177"/>
      <c r="W120" s="5249"/>
      <c r="X120" s="5208"/>
      <c r="Y120" s="5209"/>
      <c r="Z120" s="5210"/>
      <c r="AA120" s="5211"/>
      <c r="AB120" s="1178"/>
      <c r="AC120" s="1179"/>
      <c r="AD120" s="227" t="s">
        <v>22</v>
      </c>
      <c r="AE120" s="1027" t="str">
        <f t="shared" si="46"/>
        <v>►</v>
      </c>
      <c r="AF120" s="1028" t="str">
        <f t="shared" si="47"/>
        <v/>
      </c>
      <c r="AG120" s="1029" t="str">
        <f t="shared" si="48"/>
        <v/>
      </c>
      <c r="AH120" s="1028" t="str">
        <f t="shared" si="49"/>
        <v/>
      </c>
      <c r="AI120" s="1029" t="str">
        <f t="shared" si="50"/>
        <v/>
      </c>
      <c r="AJ120" s="1029">
        <f t="shared" si="51"/>
        <v>0</v>
      </c>
      <c r="AK120" s="1043" t="str" cm="1">
        <f t="array" ref="AK120">IF(AE120&lt;&gt;"A","",IFERROR((IFERROR(_xlfn.XLOOKUP(TRIM(SUBSTITUTE(U120,CHAR(160)," ")),$BI$15:$BI$62,$BL$15:$BL$62),IFERROR(_xlfn.XLOOKUP(TRIM(SUBSTITUTE(U120,CHAR(160)," ")),$BJ$15:$BJ$62,$BL$15:$BL$62),_xlfn.XLOOKUP(TRIM(SUBSTITUTE(U120,CHAR(160)," ")),$BK$15:$BK$62,$BL$15:$BL$62))))*T120*IF(ISBLANK(Q120),1,Q120)+IFERROR(_xlfn.XLOOKUP("RECHERCHEX",TRIM(L120:AC120),L120:AC120),0),0))</f>
        <v/>
      </c>
      <c r="AL120" s="1030">
        <f t="shared" si="52"/>
        <v>0</v>
      </c>
      <c r="AM120" s="5254" t="str">
        <f t="shared" si="67"/>
        <v/>
      </c>
      <c r="AN120" s="1031">
        <f t="shared" si="53"/>
        <v>0</v>
      </c>
      <c r="AO120" s="1031">
        <f t="shared" si="54"/>
        <v>0</v>
      </c>
      <c r="AP120" s="1032">
        <f t="shared" si="55"/>
        <v>0</v>
      </c>
      <c r="AQ120" s="5255" t="str">
        <f t="shared" si="56"/>
        <v/>
      </c>
      <c r="AR120" s="5264"/>
      <c r="AS120" s="1033"/>
      <c r="AT120" s="1034">
        <f t="shared" si="57"/>
        <v>0</v>
      </c>
      <c r="AU120" s="1035">
        <f t="shared" si="58"/>
        <v>0</v>
      </c>
      <c r="AV120" s="1057" cm="1">
        <f t="array" ref="AV120">IF(AJ120&lt;&gt;1,0,IF(OR(AT120="",N(AT120)&lt;=0.000000001),"",IF(OR(AN120="",N(AN120)&lt;=0.000000001),0,IF(ISNUMBER(AT120),IFERROR(_xlfn.LET(_xlpm.ai_test,TRIM(AI120),_xlpm.r,IFERROR(_xlfn.XLOOKUP(_xlpm.ai_test,$BI$15:$BI$62,ROW($BI$15:$BI$62),0,1),IFERROR(_xlfn.XLOOKUP(_xlpm.ai_test,$BJ$15:$BJ$62,ROW($BJ$15:$BJ$62),0,1),_xlfn.XLOOKUP(_xlpm.ai_test,$BK$15:$BK$62,ROW($BK$15:$BK$62),0,1))),_xlpm.p,_xlpm.r-MIN(ROW($BI$15:$BI$62))+1,_xlpm.f,INDEX($BL$15:$BL$62,_xlpm.p),_xlpm.u,INDEX($BM$15:$BM$62,_xlpm.p),_xlpm.s,INDEX($BO$15:$BO$62,_xlpm.p),_xlpm.q,N(AT120)/_xlpm.f,IF(_xlpm.q&gt;=_xlpm.s,ROUND(_xlpm.q,1)&amp;" "&amp;_xlpm.ai_test&amp;" = "&amp;ROUND(_xlpm.q*_xlpm.f,1)&amp;" "&amp;_xlpm.u,ROUND(_xlpm.q,1)&amp;" "&amp;_xlpm.ai_test)),""),""))))</f>
        <v>0</v>
      </c>
      <c r="AW120" s="1047"/>
      <c r="AX120" s="1034">
        <f t="shared" si="59"/>
        <v>0</v>
      </c>
      <c r="AY120" s="1035" t="str">
        <f t="shared" si="60"/>
        <v/>
      </c>
      <c r="AZ120" s="1036">
        <f t="shared" si="65"/>
        <v>0</v>
      </c>
      <c r="BA120" s="1037" t="str">
        <f t="shared" si="61"/>
        <v/>
      </c>
      <c r="BB120" s="1038"/>
      <c r="BC120" s="1039">
        <f t="shared" si="66"/>
        <v>0</v>
      </c>
      <c r="BD120" s="1040" t="str">
        <f t="shared" si="62"/>
        <v/>
      </c>
      <c r="BE120" s="227" t="s">
        <v>22</v>
      </c>
      <c r="BF120" s="1019">
        <f t="shared" si="63"/>
        <v>0</v>
      </c>
      <c r="BG120" s="1020">
        <f t="shared" si="64"/>
        <v>0</v>
      </c>
      <c r="BV120"/>
      <c r="BW120" s="959" t="str">
        <f t="shared" si="45"/>
        <v>►</v>
      </c>
      <c r="CC120" s="957"/>
      <c r="CD120"/>
      <c r="CE120"/>
      <c r="CF120"/>
      <c r="CG120"/>
      <c r="CH120"/>
      <c r="CI120"/>
      <c r="CJ120"/>
      <c r="CK120"/>
      <c r="CL120"/>
      <c r="CM120"/>
      <c r="CN120"/>
      <c r="CO120"/>
      <c r="CP120"/>
      <c r="CQ120"/>
      <c r="CR120"/>
      <c r="CS120"/>
      <c r="CT120"/>
      <c r="CU120"/>
      <c r="CV120"/>
      <c r="CW120"/>
      <c r="CX120"/>
      <c r="CY120"/>
      <c r="CZ120"/>
      <c r="DB120" s="3">
        <v>1</v>
      </c>
    </row>
    <row r="121" spans="1:106" s="709" customFormat="1" ht="21" customHeight="1">
      <c r="A121" s="936" t="s">
        <v>22</v>
      </c>
      <c r="B121" s="952" t="str">
        <f t="shared" si="44"/>
        <v>►</v>
      </c>
      <c r="C121" s="993" cm="1">
        <f t="array" ref="C121">SUMPRODUCT(LEN(D121:J121))</f>
        <v>0</v>
      </c>
      <c r="D121" s="167"/>
      <c r="E121" s="172"/>
      <c r="F121" s="172"/>
      <c r="G121" s="172"/>
      <c r="H121" s="172"/>
      <c r="I121" s="172"/>
      <c r="J121" s="173"/>
      <c r="K121" s="442" t="s">
        <v>22</v>
      </c>
      <c r="L121" s="104" t="s">
        <v>16</v>
      </c>
      <c r="M121" s="1172"/>
      <c r="N121" s="1172"/>
      <c r="O121" s="1172"/>
      <c r="P121" s="1173"/>
      <c r="Q121" s="1174"/>
      <c r="R121" s="1175"/>
      <c r="S121" s="1176"/>
      <c r="T121" s="1177"/>
      <c r="U121" s="5248"/>
      <c r="V121" s="1177"/>
      <c r="W121" s="5249"/>
      <c r="X121" s="5208"/>
      <c r="Y121" s="5209"/>
      <c r="Z121" s="5210"/>
      <c r="AA121" s="5211"/>
      <c r="AB121" s="1178"/>
      <c r="AC121" s="1179"/>
      <c r="AD121" s="227" t="s">
        <v>22</v>
      </c>
      <c r="AE121" s="1027" t="str">
        <f t="shared" si="46"/>
        <v>►</v>
      </c>
      <c r="AF121" s="1028" t="str">
        <f t="shared" si="47"/>
        <v/>
      </c>
      <c r="AG121" s="1029" t="str">
        <f t="shared" si="48"/>
        <v/>
      </c>
      <c r="AH121" s="1028" t="str">
        <f t="shared" si="49"/>
        <v/>
      </c>
      <c r="AI121" s="1029" t="str">
        <f t="shared" si="50"/>
        <v/>
      </c>
      <c r="AJ121" s="1029">
        <f t="shared" si="51"/>
        <v>0</v>
      </c>
      <c r="AK121" s="1043" t="str" cm="1">
        <f t="array" ref="AK121">IF(AE121&lt;&gt;"A","",IFERROR((IFERROR(_xlfn.XLOOKUP(TRIM(SUBSTITUTE(U121,CHAR(160)," ")),$BI$15:$BI$62,$BL$15:$BL$62),IFERROR(_xlfn.XLOOKUP(TRIM(SUBSTITUTE(U121,CHAR(160)," ")),$BJ$15:$BJ$62,$BL$15:$BL$62),_xlfn.XLOOKUP(TRIM(SUBSTITUTE(U121,CHAR(160)," ")),$BK$15:$BK$62,$BL$15:$BL$62))))*T121*IF(ISBLANK(Q121),1,Q121)+IFERROR(_xlfn.XLOOKUP("RECHERCHEX",TRIM(L121:AC121),L121:AC121),0),0))</f>
        <v/>
      </c>
      <c r="AL121" s="1030">
        <f t="shared" si="52"/>
        <v>0</v>
      </c>
      <c r="AM121" s="5254" t="str">
        <f t="shared" si="67"/>
        <v/>
      </c>
      <c r="AN121" s="1031">
        <f t="shared" si="53"/>
        <v>0</v>
      </c>
      <c r="AO121" s="1031">
        <f t="shared" si="54"/>
        <v>0</v>
      </c>
      <c r="AP121" s="1044">
        <f t="shared" si="55"/>
        <v>0</v>
      </c>
      <c r="AQ121" s="5257" t="str">
        <f t="shared" si="56"/>
        <v/>
      </c>
      <c r="AR121" s="5264"/>
      <c r="AS121" s="1033"/>
      <c r="AT121" s="1045">
        <f t="shared" si="57"/>
        <v>0</v>
      </c>
      <c r="AU121" s="1046">
        <f t="shared" si="58"/>
        <v>0</v>
      </c>
      <c r="AV121" s="1059" cm="1">
        <f t="array" ref="AV121">IF(AJ121&lt;&gt;1,0,IF(OR(AT121="",N(AT121)&lt;=0.000000001),"",IF(OR(AN121="",N(AN121)&lt;=0.000000001),0,IF(ISNUMBER(AT121),IFERROR(_xlfn.LET(_xlpm.ai_test,TRIM(AI121),_xlpm.r,IFERROR(_xlfn.XLOOKUP(_xlpm.ai_test,$BI$15:$BI$62,ROW($BI$15:$BI$62),0,1),IFERROR(_xlfn.XLOOKUP(_xlpm.ai_test,$BJ$15:$BJ$62,ROW($BJ$15:$BJ$62),0,1),_xlfn.XLOOKUP(_xlpm.ai_test,$BK$15:$BK$62,ROW($BK$15:$BK$62),0,1))),_xlpm.p,_xlpm.r-MIN(ROW($BI$15:$BI$62))+1,_xlpm.f,INDEX($BL$15:$BL$62,_xlpm.p),_xlpm.u,INDEX($BM$15:$BM$62,_xlpm.p),_xlpm.s,INDEX($BO$15:$BO$62,_xlpm.p),_xlpm.q,N(AT121)/_xlpm.f,IF(_xlpm.q&gt;=_xlpm.s,ROUND(_xlpm.q,1)&amp;" "&amp;_xlpm.ai_test&amp;" = "&amp;ROUND(_xlpm.q*_xlpm.f,1)&amp;" "&amp;_xlpm.u,ROUND(_xlpm.q,1)&amp;" "&amp;_xlpm.ai_test)),""),""))))</f>
        <v>0</v>
      </c>
      <c r="AW121" s="1047"/>
      <c r="AX121" s="1045">
        <f t="shared" si="59"/>
        <v>0</v>
      </c>
      <c r="AY121" s="1046" t="str">
        <f t="shared" si="60"/>
        <v/>
      </c>
      <c r="AZ121" s="1048">
        <f t="shared" si="65"/>
        <v>0</v>
      </c>
      <c r="BA121" s="1049" t="str">
        <f t="shared" si="61"/>
        <v/>
      </c>
      <c r="BB121" s="1038"/>
      <c r="BC121" s="1050">
        <f t="shared" si="66"/>
        <v>0</v>
      </c>
      <c r="BD121" s="1040" t="str">
        <f t="shared" si="62"/>
        <v/>
      </c>
      <c r="BE121" s="227" t="s">
        <v>22</v>
      </c>
      <c r="BF121" s="1019">
        <f t="shared" si="63"/>
        <v>0</v>
      </c>
      <c r="BG121" s="1020">
        <f t="shared" si="64"/>
        <v>0</v>
      </c>
      <c r="BV121"/>
      <c r="BW121" s="959" t="str">
        <f t="shared" si="45"/>
        <v>►</v>
      </c>
      <c r="CC121" s="957"/>
      <c r="CD121"/>
      <c r="CE121"/>
      <c r="CF121"/>
      <c r="CG121"/>
      <c r="CH121"/>
      <c r="CI121"/>
      <c r="CJ121"/>
      <c r="CK121"/>
      <c r="CL121"/>
      <c r="CM121"/>
      <c r="CN121"/>
      <c r="CO121"/>
      <c r="CP121"/>
      <c r="CQ121"/>
      <c r="CR121"/>
      <c r="CS121"/>
      <c r="CT121"/>
      <c r="CU121"/>
      <c r="CV121"/>
      <c r="CW121"/>
      <c r="CX121"/>
      <c r="CY121"/>
      <c r="CZ121"/>
      <c r="DB121" s="3">
        <v>1</v>
      </c>
    </row>
    <row r="122" spans="1:106" s="709" customFormat="1" ht="21" customHeight="1">
      <c r="A122" s="936" t="s">
        <v>22</v>
      </c>
      <c r="B122" s="952" t="str">
        <f t="shared" si="44"/>
        <v>►</v>
      </c>
      <c r="C122" s="993" cm="1">
        <f t="array" ref="C122">SUMPRODUCT(LEN(D122:J122))</f>
        <v>0</v>
      </c>
      <c r="D122" s="167"/>
      <c r="E122" s="172"/>
      <c r="F122" s="172"/>
      <c r="G122" s="172"/>
      <c r="H122" s="172"/>
      <c r="I122" s="172"/>
      <c r="J122" s="173"/>
      <c r="K122" s="442" t="s">
        <v>22</v>
      </c>
      <c r="L122" s="104" t="s">
        <v>16</v>
      </c>
      <c r="M122" s="1172"/>
      <c r="N122" s="1172"/>
      <c r="O122" s="1172"/>
      <c r="P122" s="1173"/>
      <c r="Q122" s="1174"/>
      <c r="R122" s="1175"/>
      <c r="S122" s="1176"/>
      <c r="T122" s="1177"/>
      <c r="U122" s="5248"/>
      <c r="V122" s="1177"/>
      <c r="W122" s="5249"/>
      <c r="X122" s="5208"/>
      <c r="Y122" s="5209"/>
      <c r="Z122" s="5210"/>
      <c r="AA122" s="5211"/>
      <c r="AB122" s="1178"/>
      <c r="AC122" s="1179"/>
      <c r="AD122" s="227" t="s">
        <v>22</v>
      </c>
      <c r="AE122" s="1027" t="str">
        <f t="shared" si="46"/>
        <v>►</v>
      </c>
      <c r="AF122" s="1028" t="str">
        <f t="shared" si="47"/>
        <v/>
      </c>
      <c r="AG122" s="1029" t="str">
        <f t="shared" si="48"/>
        <v/>
      </c>
      <c r="AH122" s="1028" t="str">
        <f t="shared" si="49"/>
        <v/>
      </c>
      <c r="AI122" s="1029" t="str">
        <f t="shared" si="50"/>
        <v/>
      </c>
      <c r="AJ122" s="1029">
        <f t="shared" si="51"/>
        <v>0</v>
      </c>
      <c r="AK122" s="1043" t="str" cm="1">
        <f t="array" ref="AK122">IF(AE122&lt;&gt;"A","",IFERROR((IFERROR(_xlfn.XLOOKUP(TRIM(SUBSTITUTE(U122,CHAR(160)," ")),$BI$15:$BI$62,$BL$15:$BL$62),IFERROR(_xlfn.XLOOKUP(TRIM(SUBSTITUTE(U122,CHAR(160)," ")),$BJ$15:$BJ$62,$BL$15:$BL$62),_xlfn.XLOOKUP(TRIM(SUBSTITUTE(U122,CHAR(160)," ")),$BK$15:$BK$62,$BL$15:$BL$62))))*T122*IF(ISBLANK(Q122),1,Q122)+IFERROR(_xlfn.XLOOKUP("RECHERCHEX",TRIM(L122:AC122),L122:AC122),0),0))</f>
        <v/>
      </c>
      <c r="AL122" s="1030">
        <f t="shared" si="52"/>
        <v>0</v>
      </c>
      <c r="AM122" s="5254" t="str">
        <f t="shared" si="67"/>
        <v/>
      </c>
      <c r="AN122" s="1031">
        <f t="shared" si="53"/>
        <v>0</v>
      </c>
      <c r="AO122" s="1031">
        <f t="shared" si="54"/>
        <v>0</v>
      </c>
      <c r="AP122" s="1032">
        <f t="shared" si="55"/>
        <v>0</v>
      </c>
      <c r="AQ122" s="5255" t="str">
        <f t="shared" si="56"/>
        <v/>
      </c>
      <c r="AR122" s="5264"/>
      <c r="AS122" s="1033"/>
      <c r="AT122" s="1034">
        <f t="shared" si="57"/>
        <v>0</v>
      </c>
      <c r="AU122" s="1035">
        <f t="shared" si="58"/>
        <v>0</v>
      </c>
      <c r="AV122" s="1057" cm="1">
        <f t="array" ref="AV122">IF(AJ122&lt;&gt;1,0,IF(OR(AT122="",N(AT122)&lt;=0.000000001),"",IF(OR(AN122="",N(AN122)&lt;=0.000000001),0,IF(ISNUMBER(AT122),IFERROR(_xlfn.LET(_xlpm.ai_test,TRIM(AI122),_xlpm.r,IFERROR(_xlfn.XLOOKUP(_xlpm.ai_test,$BI$15:$BI$62,ROW($BI$15:$BI$62),0,1),IFERROR(_xlfn.XLOOKUP(_xlpm.ai_test,$BJ$15:$BJ$62,ROW($BJ$15:$BJ$62),0,1),_xlfn.XLOOKUP(_xlpm.ai_test,$BK$15:$BK$62,ROW($BK$15:$BK$62),0,1))),_xlpm.p,_xlpm.r-MIN(ROW($BI$15:$BI$62))+1,_xlpm.f,INDEX($BL$15:$BL$62,_xlpm.p),_xlpm.u,INDEX($BM$15:$BM$62,_xlpm.p),_xlpm.s,INDEX($BO$15:$BO$62,_xlpm.p),_xlpm.q,N(AT122)/_xlpm.f,IF(_xlpm.q&gt;=_xlpm.s,ROUND(_xlpm.q,1)&amp;" "&amp;_xlpm.ai_test&amp;" = "&amp;ROUND(_xlpm.q*_xlpm.f,1)&amp;" "&amp;_xlpm.u,ROUND(_xlpm.q,1)&amp;" "&amp;_xlpm.ai_test)),""),""))))</f>
        <v>0</v>
      </c>
      <c r="AW122" s="1047"/>
      <c r="AX122" s="1034">
        <f t="shared" si="59"/>
        <v>0</v>
      </c>
      <c r="AY122" s="1035" t="str">
        <f t="shared" si="60"/>
        <v/>
      </c>
      <c r="AZ122" s="1036">
        <f t="shared" si="65"/>
        <v>0</v>
      </c>
      <c r="BA122" s="1037" t="str">
        <f t="shared" si="61"/>
        <v/>
      </c>
      <c r="BB122" s="1038"/>
      <c r="BC122" s="1039">
        <f t="shared" si="66"/>
        <v>0</v>
      </c>
      <c r="BD122" s="1040" t="str">
        <f t="shared" si="62"/>
        <v/>
      </c>
      <c r="BE122" s="227" t="s">
        <v>22</v>
      </c>
      <c r="BF122" s="1019">
        <f t="shared" si="63"/>
        <v>0</v>
      </c>
      <c r="BG122" s="1020">
        <f t="shared" si="64"/>
        <v>0</v>
      </c>
      <c r="BV122"/>
      <c r="BW122" s="959" t="str">
        <f t="shared" si="45"/>
        <v>►</v>
      </c>
      <c r="CC122" s="957"/>
      <c r="CD122"/>
      <c r="CE122"/>
      <c r="CF122"/>
      <c r="CG122"/>
      <c r="CH122"/>
      <c r="CI122"/>
      <c r="CJ122"/>
      <c r="CK122"/>
      <c r="CL122"/>
      <c r="CM122"/>
      <c r="CN122"/>
      <c r="CO122"/>
      <c r="CP122"/>
      <c r="CQ122"/>
      <c r="CR122"/>
      <c r="CS122"/>
      <c r="CT122"/>
      <c r="CU122"/>
      <c r="CV122"/>
      <c r="CW122"/>
      <c r="CX122"/>
      <c r="CY122"/>
      <c r="CZ122"/>
      <c r="DB122" s="3">
        <v>1</v>
      </c>
    </row>
    <row r="123" spans="1:106" s="709" customFormat="1" ht="21" customHeight="1">
      <c r="A123" s="936" t="s">
        <v>22</v>
      </c>
      <c r="B123" s="952" t="str">
        <f t="shared" si="44"/>
        <v>►</v>
      </c>
      <c r="C123" s="993" cm="1">
        <f t="array" ref="C123">SUMPRODUCT(LEN(D123:J123))</f>
        <v>0</v>
      </c>
      <c r="D123" s="167"/>
      <c r="E123" s="172"/>
      <c r="F123" s="172"/>
      <c r="G123" s="172"/>
      <c r="H123" s="172"/>
      <c r="I123" s="172"/>
      <c r="J123" s="173"/>
      <c r="K123" s="442" t="s">
        <v>22</v>
      </c>
      <c r="L123" s="104" t="s">
        <v>16</v>
      </c>
      <c r="M123" s="1172"/>
      <c r="N123" s="1172"/>
      <c r="O123" s="1172"/>
      <c r="P123" s="1173"/>
      <c r="Q123" s="1174"/>
      <c r="R123" s="1175"/>
      <c r="S123" s="1176"/>
      <c r="T123" s="1177"/>
      <c r="U123" s="5248"/>
      <c r="V123" s="1177"/>
      <c r="W123" s="5249"/>
      <c r="X123" s="5208"/>
      <c r="Y123" s="5209"/>
      <c r="Z123" s="5210"/>
      <c r="AA123" s="5211"/>
      <c r="AB123" s="1178"/>
      <c r="AC123" s="1179"/>
      <c r="AD123" s="227" t="s">
        <v>22</v>
      </c>
      <c r="AE123" s="1027" t="str">
        <f t="shared" si="46"/>
        <v>►</v>
      </c>
      <c r="AF123" s="1028" t="str">
        <f t="shared" si="47"/>
        <v/>
      </c>
      <c r="AG123" s="1029" t="str">
        <f t="shared" si="48"/>
        <v/>
      </c>
      <c r="AH123" s="1028" t="str">
        <f t="shared" si="49"/>
        <v/>
      </c>
      <c r="AI123" s="1029" t="str">
        <f t="shared" si="50"/>
        <v/>
      </c>
      <c r="AJ123" s="1029">
        <f t="shared" si="51"/>
        <v>0</v>
      </c>
      <c r="AK123" s="1043" t="str" cm="1">
        <f t="array" ref="AK123">IF(AE123&lt;&gt;"A","",IFERROR((IFERROR(_xlfn.XLOOKUP(TRIM(SUBSTITUTE(U123,CHAR(160)," ")),$BI$15:$BI$62,$BL$15:$BL$62),IFERROR(_xlfn.XLOOKUP(TRIM(SUBSTITUTE(U123,CHAR(160)," ")),$BJ$15:$BJ$62,$BL$15:$BL$62),_xlfn.XLOOKUP(TRIM(SUBSTITUTE(U123,CHAR(160)," ")),$BK$15:$BK$62,$BL$15:$BL$62))))*T123*IF(ISBLANK(Q123),1,Q123)+IFERROR(_xlfn.XLOOKUP("RECHERCHEX",TRIM(L123:AC123),L123:AC123),0),0))</f>
        <v/>
      </c>
      <c r="AL123" s="1030">
        <f t="shared" si="52"/>
        <v>0</v>
      </c>
      <c r="AM123" s="5254" t="str">
        <f t="shared" si="67"/>
        <v/>
      </c>
      <c r="AN123" s="1031">
        <f t="shared" si="53"/>
        <v>0</v>
      </c>
      <c r="AO123" s="1031">
        <f t="shared" si="54"/>
        <v>0</v>
      </c>
      <c r="AP123" s="1044">
        <f t="shared" si="55"/>
        <v>0</v>
      </c>
      <c r="AQ123" s="5257" t="str">
        <f t="shared" si="56"/>
        <v/>
      </c>
      <c r="AR123" s="5264"/>
      <c r="AS123" s="1033"/>
      <c r="AT123" s="1045">
        <f t="shared" si="57"/>
        <v>0</v>
      </c>
      <c r="AU123" s="1046">
        <f t="shared" si="58"/>
        <v>0</v>
      </c>
      <c r="AV123" s="1059" cm="1">
        <f t="array" ref="AV123">IF(AJ123&lt;&gt;1,0,IF(OR(AT123="",N(AT123)&lt;=0.000000001),"",IF(OR(AN123="",N(AN123)&lt;=0.000000001),0,IF(ISNUMBER(AT123),IFERROR(_xlfn.LET(_xlpm.ai_test,TRIM(AI123),_xlpm.r,IFERROR(_xlfn.XLOOKUP(_xlpm.ai_test,$BI$15:$BI$62,ROW($BI$15:$BI$62),0,1),IFERROR(_xlfn.XLOOKUP(_xlpm.ai_test,$BJ$15:$BJ$62,ROW($BJ$15:$BJ$62),0,1),_xlfn.XLOOKUP(_xlpm.ai_test,$BK$15:$BK$62,ROW($BK$15:$BK$62),0,1))),_xlpm.p,_xlpm.r-MIN(ROW($BI$15:$BI$62))+1,_xlpm.f,INDEX($BL$15:$BL$62,_xlpm.p),_xlpm.u,INDEX($BM$15:$BM$62,_xlpm.p),_xlpm.s,INDEX($BO$15:$BO$62,_xlpm.p),_xlpm.q,N(AT123)/_xlpm.f,IF(_xlpm.q&gt;=_xlpm.s,ROUND(_xlpm.q,1)&amp;" "&amp;_xlpm.ai_test&amp;" = "&amp;ROUND(_xlpm.q*_xlpm.f,1)&amp;" "&amp;_xlpm.u,ROUND(_xlpm.q,1)&amp;" "&amp;_xlpm.ai_test)),""),""))))</f>
        <v>0</v>
      </c>
      <c r="AW123" s="1047"/>
      <c r="AX123" s="1045">
        <f t="shared" si="59"/>
        <v>0</v>
      </c>
      <c r="AY123" s="1046" t="str">
        <f t="shared" si="60"/>
        <v/>
      </c>
      <c r="AZ123" s="1048">
        <f t="shared" si="65"/>
        <v>0</v>
      </c>
      <c r="BA123" s="1049" t="str">
        <f t="shared" si="61"/>
        <v/>
      </c>
      <c r="BB123" s="1038"/>
      <c r="BC123" s="1050">
        <f t="shared" si="66"/>
        <v>0</v>
      </c>
      <c r="BD123" s="1040" t="str">
        <f t="shared" si="62"/>
        <v/>
      </c>
      <c r="BE123" s="227" t="s">
        <v>22</v>
      </c>
      <c r="BF123" s="1019">
        <f t="shared" si="63"/>
        <v>0</v>
      </c>
      <c r="BG123" s="1020">
        <f t="shared" si="64"/>
        <v>0</v>
      </c>
      <c r="BV123"/>
      <c r="BW123" s="959" t="str">
        <f t="shared" si="45"/>
        <v>►</v>
      </c>
      <c r="CC123" s="957"/>
      <c r="CD123"/>
      <c r="CE123"/>
      <c r="CF123"/>
      <c r="CG123"/>
      <c r="CH123"/>
      <c r="CI123"/>
      <c r="CJ123"/>
      <c r="CK123"/>
      <c r="CL123"/>
      <c r="CM123"/>
      <c r="CN123"/>
      <c r="CO123"/>
      <c r="CP123"/>
      <c r="CQ123"/>
      <c r="CR123"/>
      <c r="CS123"/>
      <c r="CT123"/>
      <c r="CU123"/>
      <c r="CV123"/>
      <c r="CW123"/>
      <c r="CX123"/>
      <c r="CY123"/>
      <c r="CZ123"/>
      <c r="DB123" s="3">
        <v>1</v>
      </c>
    </row>
    <row r="124" spans="1:106" s="709" customFormat="1" ht="21" customHeight="1">
      <c r="A124" s="936" t="s">
        <v>22</v>
      </c>
      <c r="B124" s="952" t="str">
        <f t="shared" si="44"/>
        <v>►</v>
      </c>
      <c r="C124" s="993" cm="1">
        <f t="array" ref="C124">SUMPRODUCT(LEN(D124:J124))</f>
        <v>0</v>
      </c>
      <c r="D124" s="167"/>
      <c r="E124" s="172"/>
      <c r="F124" s="172"/>
      <c r="G124" s="172"/>
      <c r="H124" s="172"/>
      <c r="I124" s="172"/>
      <c r="J124" s="173"/>
      <c r="K124" s="442" t="s">
        <v>22</v>
      </c>
      <c r="L124" s="104" t="s">
        <v>16</v>
      </c>
      <c r="M124" s="1172"/>
      <c r="N124" s="1172"/>
      <c r="O124" s="1172"/>
      <c r="P124" s="1173"/>
      <c r="Q124" s="1174"/>
      <c r="R124" s="1175"/>
      <c r="S124" s="1176"/>
      <c r="T124" s="1177"/>
      <c r="U124" s="5248"/>
      <c r="V124" s="1177"/>
      <c r="W124" s="5249"/>
      <c r="X124" s="5208"/>
      <c r="Y124" s="5209"/>
      <c r="Z124" s="5210"/>
      <c r="AA124" s="5211"/>
      <c r="AB124" s="1178"/>
      <c r="AC124" s="1179"/>
      <c r="AD124" s="227" t="s">
        <v>22</v>
      </c>
      <c r="AE124" s="1027" t="str">
        <f t="shared" si="46"/>
        <v>►</v>
      </c>
      <c r="AF124" s="1028" t="str">
        <f t="shared" si="47"/>
        <v/>
      </c>
      <c r="AG124" s="1029" t="str">
        <f t="shared" si="48"/>
        <v/>
      </c>
      <c r="AH124" s="1028" t="str">
        <f t="shared" si="49"/>
        <v/>
      </c>
      <c r="AI124" s="1029" t="str">
        <f t="shared" si="50"/>
        <v/>
      </c>
      <c r="AJ124" s="1029">
        <f t="shared" si="51"/>
        <v>0</v>
      </c>
      <c r="AK124" s="1043" t="str" cm="1">
        <f t="array" ref="AK124">IF(AE124&lt;&gt;"A","",IFERROR((IFERROR(_xlfn.XLOOKUP(TRIM(SUBSTITUTE(U124,CHAR(160)," ")),$BI$15:$BI$62,$BL$15:$BL$62),IFERROR(_xlfn.XLOOKUP(TRIM(SUBSTITUTE(U124,CHAR(160)," ")),$BJ$15:$BJ$62,$BL$15:$BL$62),_xlfn.XLOOKUP(TRIM(SUBSTITUTE(U124,CHAR(160)," ")),$BK$15:$BK$62,$BL$15:$BL$62))))*T124*IF(ISBLANK(Q124),1,Q124)+IFERROR(_xlfn.XLOOKUP("RECHERCHEX",TRIM(L124:AC124),L124:AC124),0),0))</f>
        <v/>
      </c>
      <c r="AL124" s="1030">
        <f t="shared" si="52"/>
        <v>0</v>
      </c>
      <c r="AM124" s="5254" t="str">
        <f t="shared" si="67"/>
        <v/>
      </c>
      <c r="AN124" s="1031">
        <f t="shared" si="53"/>
        <v>0</v>
      </c>
      <c r="AO124" s="1031">
        <f t="shared" si="54"/>
        <v>0</v>
      </c>
      <c r="AP124" s="1032">
        <f t="shared" si="55"/>
        <v>0</v>
      </c>
      <c r="AQ124" s="5255" t="str">
        <f t="shared" si="56"/>
        <v/>
      </c>
      <c r="AR124" s="5264"/>
      <c r="AS124" s="1033"/>
      <c r="AT124" s="1034">
        <f t="shared" si="57"/>
        <v>0</v>
      </c>
      <c r="AU124" s="1035">
        <f t="shared" si="58"/>
        <v>0</v>
      </c>
      <c r="AV124" s="1057" cm="1">
        <f t="array" ref="AV124">IF(AJ124&lt;&gt;1,0,IF(OR(AT124="",N(AT124)&lt;=0.000000001),"",IF(OR(AN124="",N(AN124)&lt;=0.000000001),0,IF(ISNUMBER(AT124),IFERROR(_xlfn.LET(_xlpm.ai_test,TRIM(AI124),_xlpm.r,IFERROR(_xlfn.XLOOKUP(_xlpm.ai_test,$BI$15:$BI$62,ROW($BI$15:$BI$62),0,1),IFERROR(_xlfn.XLOOKUP(_xlpm.ai_test,$BJ$15:$BJ$62,ROW($BJ$15:$BJ$62),0,1),_xlfn.XLOOKUP(_xlpm.ai_test,$BK$15:$BK$62,ROW($BK$15:$BK$62),0,1))),_xlpm.p,_xlpm.r-MIN(ROW($BI$15:$BI$62))+1,_xlpm.f,INDEX($BL$15:$BL$62,_xlpm.p),_xlpm.u,INDEX($BM$15:$BM$62,_xlpm.p),_xlpm.s,INDEX($BO$15:$BO$62,_xlpm.p),_xlpm.q,N(AT124)/_xlpm.f,IF(_xlpm.q&gt;=_xlpm.s,ROUND(_xlpm.q,1)&amp;" "&amp;_xlpm.ai_test&amp;" = "&amp;ROUND(_xlpm.q*_xlpm.f,1)&amp;" "&amp;_xlpm.u,ROUND(_xlpm.q,1)&amp;" "&amp;_xlpm.ai_test)),""),""))))</f>
        <v>0</v>
      </c>
      <c r="AW124" s="1047"/>
      <c r="AX124" s="1034">
        <f t="shared" si="59"/>
        <v>0</v>
      </c>
      <c r="AY124" s="1035" t="str">
        <f t="shared" si="60"/>
        <v/>
      </c>
      <c r="AZ124" s="1036">
        <f t="shared" si="65"/>
        <v>0</v>
      </c>
      <c r="BA124" s="1037" t="str">
        <f t="shared" si="61"/>
        <v/>
      </c>
      <c r="BB124" s="1038"/>
      <c r="BC124" s="1039">
        <f t="shared" si="66"/>
        <v>0</v>
      </c>
      <c r="BD124" s="1040" t="str">
        <f t="shared" si="62"/>
        <v/>
      </c>
      <c r="BE124" s="227" t="s">
        <v>22</v>
      </c>
      <c r="BF124" s="1019">
        <f t="shared" si="63"/>
        <v>0</v>
      </c>
      <c r="BG124" s="1020">
        <f t="shared" si="64"/>
        <v>0</v>
      </c>
      <c r="BV124"/>
      <c r="BW124" s="959" t="str">
        <f t="shared" si="45"/>
        <v>►</v>
      </c>
      <c r="CC124" s="957"/>
      <c r="CD124"/>
      <c r="CE124"/>
      <c r="CF124"/>
      <c r="CG124"/>
      <c r="CH124"/>
      <c r="CI124"/>
      <c r="CJ124"/>
      <c r="CK124"/>
      <c r="CL124"/>
      <c r="CM124"/>
      <c r="CN124"/>
      <c r="CO124"/>
      <c r="CP124"/>
      <c r="CQ124"/>
      <c r="CR124"/>
      <c r="CS124"/>
      <c r="CT124"/>
      <c r="CU124"/>
      <c r="CV124"/>
      <c r="CW124"/>
      <c r="CX124"/>
      <c r="CY124"/>
      <c r="CZ124"/>
      <c r="DB124" s="3">
        <v>1</v>
      </c>
    </row>
    <row r="125" spans="1:106" s="709" customFormat="1" ht="21" customHeight="1">
      <c r="A125" s="936" t="s">
        <v>22</v>
      </c>
      <c r="B125" s="952" t="str">
        <f t="shared" si="44"/>
        <v>►</v>
      </c>
      <c r="C125" s="993" cm="1">
        <f t="array" ref="C125">SUMPRODUCT(LEN(D125:J125))</f>
        <v>0</v>
      </c>
      <c r="D125" s="167"/>
      <c r="E125" s="172"/>
      <c r="F125" s="172"/>
      <c r="G125" s="172"/>
      <c r="H125" s="172"/>
      <c r="I125" s="172"/>
      <c r="J125" s="173"/>
      <c r="K125" s="442" t="s">
        <v>22</v>
      </c>
      <c r="L125" s="104" t="s">
        <v>16</v>
      </c>
      <c r="M125" s="1172"/>
      <c r="N125" s="1172"/>
      <c r="O125" s="1172"/>
      <c r="P125" s="1173"/>
      <c r="Q125" s="1174"/>
      <c r="R125" s="1175"/>
      <c r="S125" s="1176"/>
      <c r="T125" s="1177"/>
      <c r="U125" s="5248"/>
      <c r="V125" s="1177"/>
      <c r="W125" s="5249"/>
      <c r="X125" s="5208"/>
      <c r="Y125" s="5209"/>
      <c r="Z125" s="5210"/>
      <c r="AA125" s="5211"/>
      <c r="AB125" s="1178"/>
      <c r="AC125" s="1179"/>
      <c r="AD125" s="227" t="s">
        <v>22</v>
      </c>
      <c r="AE125" s="1027" t="str">
        <f t="shared" si="46"/>
        <v>►</v>
      </c>
      <c r="AF125" s="1028" t="str">
        <f t="shared" si="47"/>
        <v/>
      </c>
      <c r="AG125" s="1029" t="str">
        <f t="shared" si="48"/>
        <v/>
      </c>
      <c r="AH125" s="1028" t="str">
        <f t="shared" si="49"/>
        <v/>
      </c>
      <c r="AI125" s="1029" t="str">
        <f t="shared" si="50"/>
        <v/>
      </c>
      <c r="AJ125" s="1029">
        <f t="shared" si="51"/>
        <v>0</v>
      </c>
      <c r="AK125" s="1043" t="str" cm="1">
        <f t="array" ref="AK125">IF(AE125&lt;&gt;"A","",IFERROR((IFERROR(_xlfn.XLOOKUP(TRIM(SUBSTITUTE(U125,CHAR(160)," ")),$BI$15:$BI$62,$BL$15:$BL$62),IFERROR(_xlfn.XLOOKUP(TRIM(SUBSTITUTE(U125,CHAR(160)," ")),$BJ$15:$BJ$62,$BL$15:$BL$62),_xlfn.XLOOKUP(TRIM(SUBSTITUTE(U125,CHAR(160)," ")),$BK$15:$BK$62,$BL$15:$BL$62))))*T125*IF(ISBLANK(Q125),1,Q125)+IFERROR(_xlfn.XLOOKUP("RECHERCHEX",TRIM(L125:AC125),L125:AC125),0),0))</f>
        <v/>
      </c>
      <c r="AL125" s="1030">
        <f t="shared" si="52"/>
        <v>0</v>
      </c>
      <c r="AM125" s="5254" t="str">
        <f t="shared" si="67"/>
        <v/>
      </c>
      <c r="AN125" s="1031">
        <f t="shared" si="53"/>
        <v>0</v>
      </c>
      <c r="AO125" s="1031">
        <f t="shared" si="54"/>
        <v>0</v>
      </c>
      <c r="AP125" s="1044">
        <f t="shared" si="55"/>
        <v>0</v>
      </c>
      <c r="AQ125" s="5257" t="str">
        <f t="shared" si="56"/>
        <v/>
      </c>
      <c r="AR125" s="5264"/>
      <c r="AS125" s="1033"/>
      <c r="AT125" s="1045">
        <f t="shared" si="57"/>
        <v>0</v>
      </c>
      <c r="AU125" s="1046">
        <f t="shared" si="58"/>
        <v>0</v>
      </c>
      <c r="AV125" s="1059" cm="1">
        <f t="array" ref="AV125">IF(AJ125&lt;&gt;1,0,IF(OR(AT125="",N(AT125)&lt;=0.000000001),"",IF(OR(AN125="",N(AN125)&lt;=0.000000001),0,IF(ISNUMBER(AT125),IFERROR(_xlfn.LET(_xlpm.ai_test,TRIM(AI125),_xlpm.r,IFERROR(_xlfn.XLOOKUP(_xlpm.ai_test,$BI$15:$BI$62,ROW($BI$15:$BI$62),0,1),IFERROR(_xlfn.XLOOKUP(_xlpm.ai_test,$BJ$15:$BJ$62,ROW($BJ$15:$BJ$62),0,1),_xlfn.XLOOKUP(_xlpm.ai_test,$BK$15:$BK$62,ROW($BK$15:$BK$62),0,1))),_xlpm.p,_xlpm.r-MIN(ROW($BI$15:$BI$62))+1,_xlpm.f,INDEX($BL$15:$BL$62,_xlpm.p),_xlpm.u,INDEX($BM$15:$BM$62,_xlpm.p),_xlpm.s,INDEX($BO$15:$BO$62,_xlpm.p),_xlpm.q,N(AT125)/_xlpm.f,IF(_xlpm.q&gt;=_xlpm.s,ROUND(_xlpm.q,1)&amp;" "&amp;_xlpm.ai_test&amp;" = "&amp;ROUND(_xlpm.q*_xlpm.f,1)&amp;" "&amp;_xlpm.u,ROUND(_xlpm.q,1)&amp;" "&amp;_xlpm.ai_test)),""),""))))</f>
        <v>0</v>
      </c>
      <c r="AW125" s="1047"/>
      <c r="AX125" s="1045">
        <f t="shared" si="59"/>
        <v>0</v>
      </c>
      <c r="AY125" s="1046" t="str">
        <f t="shared" si="60"/>
        <v/>
      </c>
      <c r="AZ125" s="1048">
        <f t="shared" si="65"/>
        <v>0</v>
      </c>
      <c r="BA125" s="1049" t="str">
        <f t="shared" si="61"/>
        <v/>
      </c>
      <c r="BB125" s="1038"/>
      <c r="BC125" s="1050">
        <f t="shared" si="66"/>
        <v>0</v>
      </c>
      <c r="BD125" s="1040" t="str">
        <f t="shared" si="62"/>
        <v/>
      </c>
      <c r="BE125" s="227" t="s">
        <v>22</v>
      </c>
      <c r="BF125" s="1019">
        <f t="shared" si="63"/>
        <v>0</v>
      </c>
      <c r="BG125" s="1020">
        <f t="shared" si="64"/>
        <v>0</v>
      </c>
      <c r="BV125"/>
      <c r="BW125" s="959" t="str">
        <f t="shared" si="45"/>
        <v>►</v>
      </c>
      <c r="CC125" s="957"/>
      <c r="CD125"/>
      <c r="CE125"/>
      <c r="CF125"/>
      <c r="CG125"/>
      <c r="CH125"/>
      <c r="CI125"/>
      <c r="CJ125"/>
      <c r="CK125"/>
      <c r="CL125"/>
      <c r="CM125"/>
      <c r="CN125"/>
      <c r="CO125"/>
      <c r="CP125"/>
      <c r="CQ125"/>
      <c r="CR125"/>
      <c r="CS125"/>
      <c r="CT125"/>
      <c r="CU125"/>
      <c r="CV125"/>
      <c r="CW125"/>
      <c r="CX125"/>
      <c r="CY125"/>
      <c r="CZ125"/>
      <c r="DB125" s="3">
        <v>1</v>
      </c>
    </row>
    <row r="126" spans="1:106" s="709" customFormat="1" ht="21" customHeight="1">
      <c r="A126" s="936" t="s">
        <v>22</v>
      </c>
      <c r="B126" s="952" t="str">
        <f t="shared" si="44"/>
        <v>►</v>
      </c>
      <c r="C126" s="993" cm="1">
        <f t="array" ref="C126">SUMPRODUCT(LEN(D126:J126))</f>
        <v>0</v>
      </c>
      <c r="D126" s="167"/>
      <c r="E126" s="172"/>
      <c r="F126" s="172"/>
      <c r="G126" s="172"/>
      <c r="H126" s="172"/>
      <c r="I126" s="172"/>
      <c r="J126" s="173"/>
      <c r="K126" s="442" t="s">
        <v>22</v>
      </c>
      <c r="L126" s="104" t="s">
        <v>16</v>
      </c>
      <c r="M126" s="1172"/>
      <c r="N126" s="1172"/>
      <c r="O126" s="1172"/>
      <c r="P126" s="1173"/>
      <c r="Q126" s="1174"/>
      <c r="R126" s="1175"/>
      <c r="S126" s="1176"/>
      <c r="T126" s="1177"/>
      <c r="U126" s="5248"/>
      <c r="V126" s="1177"/>
      <c r="W126" s="5249"/>
      <c r="X126" s="5208"/>
      <c r="Y126" s="5209"/>
      <c r="Z126" s="5210"/>
      <c r="AA126" s="5211"/>
      <c r="AB126" s="1178"/>
      <c r="AC126" s="1179"/>
      <c r="AD126" s="227" t="s">
        <v>22</v>
      </c>
      <c r="AE126" s="1027" t="str">
        <f t="shared" si="46"/>
        <v>►</v>
      </c>
      <c r="AF126" s="1028" t="str">
        <f t="shared" si="47"/>
        <v/>
      </c>
      <c r="AG126" s="1029" t="str">
        <f t="shared" si="48"/>
        <v/>
      </c>
      <c r="AH126" s="1028" t="str">
        <f t="shared" si="49"/>
        <v/>
      </c>
      <c r="AI126" s="1029" t="str">
        <f t="shared" si="50"/>
        <v/>
      </c>
      <c r="AJ126" s="1029">
        <f t="shared" si="51"/>
        <v>0</v>
      </c>
      <c r="AK126" s="1043" t="str" cm="1">
        <f t="array" ref="AK126">IF(AE126&lt;&gt;"A","",IFERROR((IFERROR(_xlfn.XLOOKUP(TRIM(SUBSTITUTE(U126,CHAR(160)," ")),$BI$15:$BI$62,$BL$15:$BL$62),IFERROR(_xlfn.XLOOKUP(TRIM(SUBSTITUTE(U126,CHAR(160)," ")),$BJ$15:$BJ$62,$BL$15:$BL$62),_xlfn.XLOOKUP(TRIM(SUBSTITUTE(U126,CHAR(160)," ")),$BK$15:$BK$62,$BL$15:$BL$62))))*T126*IF(ISBLANK(Q126),1,Q126)+IFERROR(_xlfn.XLOOKUP("RECHERCHEX",TRIM(L126:AC126),L126:AC126),0),0))</f>
        <v/>
      </c>
      <c r="AL126" s="1030">
        <f t="shared" si="52"/>
        <v>0</v>
      </c>
      <c r="AM126" s="5254" t="str">
        <f t="shared" si="67"/>
        <v/>
      </c>
      <c r="AN126" s="1031">
        <f t="shared" si="53"/>
        <v>0</v>
      </c>
      <c r="AO126" s="1031">
        <f t="shared" si="54"/>
        <v>0</v>
      </c>
      <c r="AP126" s="1032">
        <f t="shared" si="55"/>
        <v>0</v>
      </c>
      <c r="AQ126" s="5255" t="str">
        <f t="shared" si="56"/>
        <v/>
      </c>
      <c r="AR126" s="5264"/>
      <c r="AS126" s="1033"/>
      <c r="AT126" s="1034">
        <f t="shared" si="57"/>
        <v>0</v>
      </c>
      <c r="AU126" s="1035">
        <f t="shared" si="58"/>
        <v>0</v>
      </c>
      <c r="AV126" s="1057" cm="1">
        <f t="array" ref="AV126">IF(AJ126&lt;&gt;1,0,IF(OR(AT126="",N(AT126)&lt;=0.000000001),"",IF(OR(AN126="",N(AN126)&lt;=0.000000001),0,IF(ISNUMBER(AT126),IFERROR(_xlfn.LET(_xlpm.ai_test,TRIM(AI126),_xlpm.r,IFERROR(_xlfn.XLOOKUP(_xlpm.ai_test,$BI$15:$BI$62,ROW($BI$15:$BI$62),0,1),IFERROR(_xlfn.XLOOKUP(_xlpm.ai_test,$BJ$15:$BJ$62,ROW($BJ$15:$BJ$62),0,1),_xlfn.XLOOKUP(_xlpm.ai_test,$BK$15:$BK$62,ROW($BK$15:$BK$62),0,1))),_xlpm.p,_xlpm.r-MIN(ROW($BI$15:$BI$62))+1,_xlpm.f,INDEX($BL$15:$BL$62,_xlpm.p),_xlpm.u,INDEX($BM$15:$BM$62,_xlpm.p),_xlpm.s,INDEX($BO$15:$BO$62,_xlpm.p),_xlpm.q,N(AT126)/_xlpm.f,IF(_xlpm.q&gt;=_xlpm.s,ROUND(_xlpm.q,1)&amp;" "&amp;_xlpm.ai_test&amp;" = "&amp;ROUND(_xlpm.q*_xlpm.f,1)&amp;" "&amp;_xlpm.u,ROUND(_xlpm.q,1)&amp;" "&amp;_xlpm.ai_test)),""),""))))</f>
        <v>0</v>
      </c>
      <c r="AW126" s="1047"/>
      <c r="AX126" s="1034">
        <f t="shared" si="59"/>
        <v>0</v>
      </c>
      <c r="AY126" s="1035" t="str">
        <f t="shared" si="60"/>
        <v/>
      </c>
      <c r="AZ126" s="1036">
        <f t="shared" si="65"/>
        <v>0</v>
      </c>
      <c r="BA126" s="1037" t="str">
        <f t="shared" si="61"/>
        <v/>
      </c>
      <c r="BB126" s="1038"/>
      <c r="BC126" s="1039">
        <f t="shared" si="66"/>
        <v>0</v>
      </c>
      <c r="BD126" s="1040" t="str">
        <f t="shared" si="62"/>
        <v/>
      </c>
      <c r="BE126" s="227" t="s">
        <v>22</v>
      </c>
      <c r="BF126" s="1019">
        <f t="shared" si="63"/>
        <v>0</v>
      </c>
      <c r="BG126" s="1020">
        <f t="shared" si="64"/>
        <v>0</v>
      </c>
      <c r="BV126"/>
      <c r="BW126" s="959" t="str">
        <f t="shared" si="45"/>
        <v>►</v>
      </c>
      <c r="CC126" s="957"/>
      <c r="CD126"/>
      <c r="CE126"/>
      <c r="CF126"/>
      <c r="CG126"/>
      <c r="CH126"/>
      <c r="CI126"/>
      <c r="CJ126"/>
      <c r="CK126"/>
      <c r="CL126"/>
      <c r="CM126"/>
      <c r="CN126"/>
      <c r="CO126"/>
      <c r="CP126"/>
      <c r="CQ126"/>
      <c r="CR126"/>
      <c r="CS126"/>
      <c r="CT126"/>
      <c r="CU126"/>
      <c r="CV126"/>
      <c r="CW126"/>
      <c r="CX126"/>
      <c r="CY126"/>
      <c r="CZ126"/>
      <c r="DB126" s="3">
        <v>1</v>
      </c>
    </row>
    <row r="127" spans="1:106" s="709" customFormat="1" ht="21" customHeight="1">
      <c r="A127" s="936" t="s">
        <v>22</v>
      </c>
      <c r="B127" s="952" t="str">
        <f t="shared" si="44"/>
        <v>►</v>
      </c>
      <c r="C127" s="993" cm="1">
        <f t="array" ref="C127">SUMPRODUCT(LEN(D127:J127))</f>
        <v>0</v>
      </c>
      <c r="D127" s="167"/>
      <c r="E127" s="172"/>
      <c r="F127" s="172"/>
      <c r="G127" s="172"/>
      <c r="H127" s="172"/>
      <c r="I127" s="172"/>
      <c r="J127" s="173"/>
      <c r="K127" s="442" t="s">
        <v>22</v>
      </c>
      <c r="L127" s="104" t="s">
        <v>16</v>
      </c>
      <c r="M127" s="1172"/>
      <c r="N127" s="1172"/>
      <c r="O127" s="1172"/>
      <c r="P127" s="1173"/>
      <c r="Q127" s="1174"/>
      <c r="R127" s="1175"/>
      <c r="S127" s="1176"/>
      <c r="T127" s="1177"/>
      <c r="U127" s="5248"/>
      <c r="V127" s="1177"/>
      <c r="W127" s="5249"/>
      <c r="X127" s="5208"/>
      <c r="Y127" s="5209"/>
      <c r="Z127" s="5210"/>
      <c r="AA127" s="5211"/>
      <c r="AB127" s="1178"/>
      <c r="AC127" s="1179"/>
      <c r="AD127" s="227" t="s">
        <v>22</v>
      </c>
      <c r="AE127" s="1027" t="str">
        <f t="shared" si="46"/>
        <v>►</v>
      </c>
      <c r="AF127" s="1028" t="str">
        <f t="shared" si="47"/>
        <v/>
      </c>
      <c r="AG127" s="1029" t="str">
        <f t="shared" si="48"/>
        <v/>
      </c>
      <c r="AH127" s="1028" t="str">
        <f t="shared" si="49"/>
        <v/>
      </c>
      <c r="AI127" s="1029" t="str">
        <f t="shared" si="50"/>
        <v/>
      </c>
      <c r="AJ127" s="1029">
        <f t="shared" si="51"/>
        <v>0</v>
      </c>
      <c r="AK127" s="1043" t="str" cm="1">
        <f t="array" ref="AK127">IF(AE127&lt;&gt;"A","",IFERROR((IFERROR(_xlfn.XLOOKUP(TRIM(SUBSTITUTE(U127,CHAR(160)," ")),$BI$15:$BI$62,$BL$15:$BL$62),IFERROR(_xlfn.XLOOKUP(TRIM(SUBSTITUTE(U127,CHAR(160)," ")),$BJ$15:$BJ$62,$BL$15:$BL$62),_xlfn.XLOOKUP(TRIM(SUBSTITUTE(U127,CHAR(160)," ")),$BK$15:$BK$62,$BL$15:$BL$62))))*T127*IF(ISBLANK(Q127),1,Q127)+IFERROR(_xlfn.XLOOKUP("RECHERCHEX",TRIM(L127:AC127),L127:AC127),0),0))</f>
        <v/>
      </c>
      <c r="AL127" s="1030">
        <f t="shared" si="52"/>
        <v>0</v>
      </c>
      <c r="AM127" s="5254" t="str">
        <f t="shared" si="67"/>
        <v/>
      </c>
      <c r="AN127" s="1031">
        <f t="shared" si="53"/>
        <v>0</v>
      </c>
      <c r="AO127" s="1031">
        <f t="shared" si="54"/>
        <v>0</v>
      </c>
      <c r="AP127" s="1044">
        <f t="shared" si="55"/>
        <v>0</v>
      </c>
      <c r="AQ127" s="5257" t="str">
        <f t="shared" si="56"/>
        <v/>
      </c>
      <c r="AR127" s="5264"/>
      <c r="AS127" s="1033"/>
      <c r="AT127" s="1045">
        <f t="shared" si="57"/>
        <v>0</v>
      </c>
      <c r="AU127" s="1046">
        <f t="shared" si="58"/>
        <v>0</v>
      </c>
      <c r="AV127" s="1059" cm="1">
        <f t="array" ref="AV127">IF(AJ127&lt;&gt;1,0,IF(OR(AT127="",N(AT127)&lt;=0.000000001),"",IF(OR(AN127="",N(AN127)&lt;=0.000000001),0,IF(ISNUMBER(AT127),IFERROR(_xlfn.LET(_xlpm.ai_test,TRIM(AI127),_xlpm.r,IFERROR(_xlfn.XLOOKUP(_xlpm.ai_test,$BI$15:$BI$62,ROW($BI$15:$BI$62),0,1),IFERROR(_xlfn.XLOOKUP(_xlpm.ai_test,$BJ$15:$BJ$62,ROW($BJ$15:$BJ$62),0,1),_xlfn.XLOOKUP(_xlpm.ai_test,$BK$15:$BK$62,ROW($BK$15:$BK$62),0,1))),_xlpm.p,_xlpm.r-MIN(ROW($BI$15:$BI$62))+1,_xlpm.f,INDEX($BL$15:$BL$62,_xlpm.p),_xlpm.u,INDEX($BM$15:$BM$62,_xlpm.p),_xlpm.s,INDEX($BO$15:$BO$62,_xlpm.p),_xlpm.q,N(AT127)/_xlpm.f,IF(_xlpm.q&gt;=_xlpm.s,ROUND(_xlpm.q,1)&amp;" "&amp;_xlpm.ai_test&amp;" = "&amp;ROUND(_xlpm.q*_xlpm.f,1)&amp;" "&amp;_xlpm.u,ROUND(_xlpm.q,1)&amp;" "&amp;_xlpm.ai_test)),""),""))))</f>
        <v>0</v>
      </c>
      <c r="AW127" s="1047"/>
      <c r="AX127" s="1045">
        <f t="shared" si="59"/>
        <v>0</v>
      </c>
      <c r="AY127" s="1046" t="str">
        <f t="shared" si="60"/>
        <v/>
      </c>
      <c r="AZ127" s="1048">
        <f t="shared" si="65"/>
        <v>0</v>
      </c>
      <c r="BA127" s="1049" t="str">
        <f t="shared" si="61"/>
        <v/>
      </c>
      <c r="BB127" s="1038"/>
      <c r="BC127" s="1050">
        <f t="shared" si="66"/>
        <v>0</v>
      </c>
      <c r="BD127" s="1040" t="str">
        <f t="shared" si="62"/>
        <v/>
      </c>
      <c r="BE127" s="227" t="s">
        <v>22</v>
      </c>
      <c r="BF127" s="1019">
        <f t="shared" si="63"/>
        <v>0</v>
      </c>
      <c r="BG127" s="1020">
        <f t="shared" si="64"/>
        <v>0</v>
      </c>
      <c r="BQ127"/>
      <c r="BR127"/>
      <c r="BS127"/>
      <c r="BT127"/>
      <c r="BU127"/>
      <c r="BV127"/>
      <c r="BW127" s="959" t="str">
        <f t="shared" si="45"/>
        <v>►</v>
      </c>
      <c r="CC127" s="957"/>
      <c r="DB127" s="3">
        <v>1</v>
      </c>
    </row>
    <row r="128" spans="1:106" s="709" customFormat="1" ht="21" customHeight="1">
      <c r="A128" s="936" t="s">
        <v>22</v>
      </c>
      <c r="B128" s="952" t="str">
        <f t="shared" si="44"/>
        <v>►</v>
      </c>
      <c r="C128" s="993" cm="1">
        <f t="array" ref="C128">SUMPRODUCT(LEN(D128:J128))</f>
        <v>0</v>
      </c>
      <c r="D128" s="167"/>
      <c r="E128" s="172"/>
      <c r="F128" s="172"/>
      <c r="G128" s="172"/>
      <c r="H128" s="172"/>
      <c r="I128" s="172"/>
      <c r="J128" s="173"/>
      <c r="K128" s="442" t="s">
        <v>22</v>
      </c>
      <c r="L128" s="104" t="s">
        <v>16</v>
      </c>
      <c r="M128" s="1172"/>
      <c r="N128" s="1172"/>
      <c r="O128" s="1172"/>
      <c r="P128" s="1173"/>
      <c r="Q128" s="1174"/>
      <c r="R128" s="1175"/>
      <c r="S128" s="1176"/>
      <c r="T128" s="1177"/>
      <c r="U128" s="5248"/>
      <c r="V128" s="1177"/>
      <c r="W128" s="5249"/>
      <c r="X128" s="5208"/>
      <c r="Y128" s="5209"/>
      <c r="Z128" s="5210"/>
      <c r="AA128" s="5211"/>
      <c r="AB128" s="1178"/>
      <c r="AC128" s="1179"/>
      <c r="AD128" s="227" t="s">
        <v>22</v>
      </c>
      <c r="AE128" s="1027" t="str">
        <f t="shared" si="46"/>
        <v>►</v>
      </c>
      <c r="AF128" s="1028" t="str">
        <f t="shared" si="47"/>
        <v/>
      </c>
      <c r="AG128" s="1029" t="str">
        <f t="shared" si="48"/>
        <v/>
      </c>
      <c r="AH128" s="1028" t="str">
        <f t="shared" si="49"/>
        <v/>
      </c>
      <c r="AI128" s="1029" t="str">
        <f t="shared" si="50"/>
        <v/>
      </c>
      <c r="AJ128" s="1029">
        <f t="shared" si="51"/>
        <v>0</v>
      </c>
      <c r="AK128" s="1043" t="str" cm="1">
        <f t="array" ref="AK128">IF(AE128&lt;&gt;"A","",IFERROR((IFERROR(_xlfn.XLOOKUP(TRIM(SUBSTITUTE(U128,CHAR(160)," ")),$BI$15:$BI$62,$BL$15:$BL$62),IFERROR(_xlfn.XLOOKUP(TRIM(SUBSTITUTE(U128,CHAR(160)," ")),$BJ$15:$BJ$62,$BL$15:$BL$62),_xlfn.XLOOKUP(TRIM(SUBSTITUTE(U128,CHAR(160)," ")),$BK$15:$BK$62,$BL$15:$BL$62))))*T128*IF(ISBLANK(Q128),1,Q128)+IFERROR(_xlfn.XLOOKUP("RECHERCHEX",TRIM(L128:AC128),L128:AC128),0),0))</f>
        <v/>
      </c>
      <c r="AL128" s="1030">
        <f t="shared" si="52"/>
        <v>0</v>
      </c>
      <c r="AM128" s="5254" t="str">
        <f t="shared" si="67"/>
        <v/>
      </c>
      <c r="AN128" s="1031">
        <f t="shared" si="53"/>
        <v>0</v>
      </c>
      <c r="AO128" s="1031">
        <f t="shared" si="54"/>
        <v>0</v>
      </c>
      <c r="AP128" s="1032">
        <f t="shared" si="55"/>
        <v>0</v>
      </c>
      <c r="AQ128" s="5255" t="str">
        <f t="shared" si="56"/>
        <v/>
      </c>
      <c r="AR128" s="5264"/>
      <c r="AS128" s="1033"/>
      <c r="AT128" s="1034">
        <f t="shared" si="57"/>
        <v>0</v>
      </c>
      <c r="AU128" s="1035">
        <f t="shared" si="58"/>
        <v>0</v>
      </c>
      <c r="AV128" s="1057" cm="1">
        <f t="array" ref="AV128">IF(AJ128&lt;&gt;1,0,IF(OR(AT128="",N(AT128)&lt;=0.000000001),"",IF(OR(AN128="",N(AN128)&lt;=0.000000001),0,IF(ISNUMBER(AT128),IFERROR(_xlfn.LET(_xlpm.ai_test,TRIM(AI128),_xlpm.r,IFERROR(_xlfn.XLOOKUP(_xlpm.ai_test,$BI$15:$BI$62,ROW($BI$15:$BI$62),0,1),IFERROR(_xlfn.XLOOKUP(_xlpm.ai_test,$BJ$15:$BJ$62,ROW($BJ$15:$BJ$62),0,1),_xlfn.XLOOKUP(_xlpm.ai_test,$BK$15:$BK$62,ROW($BK$15:$BK$62),0,1))),_xlpm.p,_xlpm.r-MIN(ROW($BI$15:$BI$62))+1,_xlpm.f,INDEX($BL$15:$BL$62,_xlpm.p),_xlpm.u,INDEX($BM$15:$BM$62,_xlpm.p),_xlpm.s,INDEX($BO$15:$BO$62,_xlpm.p),_xlpm.q,N(AT128)/_xlpm.f,IF(_xlpm.q&gt;=_xlpm.s,ROUND(_xlpm.q,1)&amp;" "&amp;_xlpm.ai_test&amp;" = "&amp;ROUND(_xlpm.q*_xlpm.f,1)&amp;" "&amp;_xlpm.u,ROUND(_xlpm.q,1)&amp;" "&amp;_xlpm.ai_test)),""),""))))</f>
        <v>0</v>
      </c>
      <c r="AW128" s="1047"/>
      <c r="AX128" s="1034">
        <f t="shared" si="59"/>
        <v>0</v>
      </c>
      <c r="AY128" s="1035" t="str">
        <f t="shared" si="60"/>
        <v/>
      </c>
      <c r="AZ128" s="1036">
        <f t="shared" si="65"/>
        <v>0</v>
      </c>
      <c r="BA128" s="1037" t="str">
        <f t="shared" si="61"/>
        <v/>
      </c>
      <c r="BB128" s="1038"/>
      <c r="BC128" s="1039">
        <f t="shared" si="66"/>
        <v>0</v>
      </c>
      <c r="BD128" s="1040" t="str">
        <f t="shared" si="62"/>
        <v/>
      </c>
      <c r="BE128" s="227" t="s">
        <v>22</v>
      </c>
      <c r="BF128" s="1019">
        <f t="shared" si="63"/>
        <v>0</v>
      </c>
      <c r="BG128" s="1020">
        <f t="shared" si="64"/>
        <v>0</v>
      </c>
      <c r="BH128"/>
      <c r="BQ128"/>
      <c r="BR128"/>
      <c r="BS128"/>
      <c r="BT128"/>
      <c r="BU128"/>
      <c r="BV128"/>
      <c r="BW128" s="959" t="str">
        <f t="shared" si="45"/>
        <v>►</v>
      </c>
      <c r="CC128" s="957"/>
      <c r="DB128" s="3">
        <v>1</v>
      </c>
    </row>
    <row r="129" spans="1:106" s="709" customFormat="1" ht="21" customHeight="1">
      <c r="A129" s="936" t="s">
        <v>22</v>
      </c>
      <c r="B129" s="952" t="str">
        <f t="shared" si="44"/>
        <v>►</v>
      </c>
      <c r="C129" s="993" cm="1">
        <f t="array" ref="C129">SUMPRODUCT(LEN(D129:J129))</f>
        <v>0</v>
      </c>
      <c r="D129" s="167"/>
      <c r="E129" s="172"/>
      <c r="F129" s="172"/>
      <c r="G129" s="172"/>
      <c r="H129" s="172"/>
      <c r="I129" s="172"/>
      <c r="J129" s="173"/>
      <c r="K129" s="442" t="s">
        <v>22</v>
      </c>
      <c r="L129" s="104" t="s">
        <v>16</v>
      </c>
      <c r="M129" s="1172"/>
      <c r="N129" s="1172"/>
      <c r="O129" s="1172"/>
      <c r="P129" s="1173"/>
      <c r="Q129" s="1174"/>
      <c r="R129" s="1175"/>
      <c r="S129" s="1176"/>
      <c r="T129" s="1177"/>
      <c r="U129" s="5248"/>
      <c r="V129" s="1177"/>
      <c r="W129" s="5249"/>
      <c r="X129" s="5208"/>
      <c r="Y129" s="5209"/>
      <c r="Z129" s="5210"/>
      <c r="AA129" s="5211"/>
      <c r="AB129" s="1178"/>
      <c r="AC129" s="1179"/>
      <c r="AD129" s="227" t="s">
        <v>22</v>
      </c>
      <c r="AE129" s="1027" t="str">
        <f t="shared" si="46"/>
        <v>►</v>
      </c>
      <c r="AF129" s="1028" t="str">
        <f t="shared" si="47"/>
        <v/>
      </c>
      <c r="AG129" s="1029" t="str">
        <f t="shared" si="48"/>
        <v/>
      </c>
      <c r="AH129" s="1028" t="str">
        <f t="shared" si="49"/>
        <v/>
      </c>
      <c r="AI129" s="1029" t="str">
        <f t="shared" si="50"/>
        <v/>
      </c>
      <c r="AJ129" s="1029">
        <f t="shared" si="51"/>
        <v>0</v>
      </c>
      <c r="AK129" s="1043" t="str" cm="1">
        <f t="array" ref="AK129">IF(AE129&lt;&gt;"A","",IFERROR((IFERROR(_xlfn.XLOOKUP(TRIM(SUBSTITUTE(U129,CHAR(160)," ")),$BI$15:$BI$62,$BL$15:$BL$62),IFERROR(_xlfn.XLOOKUP(TRIM(SUBSTITUTE(U129,CHAR(160)," ")),$BJ$15:$BJ$62,$BL$15:$BL$62),_xlfn.XLOOKUP(TRIM(SUBSTITUTE(U129,CHAR(160)," ")),$BK$15:$BK$62,$BL$15:$BL$62))))*T129*IF(ISBLANK(Q129),1,Q129)+IFERROR(_xlfn.XLOOKUP("RECHERCHEX",TRIM(L129:AC129),L129:AC129),0),0))</f>
        <v/>
      </c>
      <c r="AL129" s="1030">
        <f t="shared" si="52"/>
        <v>0</v>
      </c>
      <c r="AM129" s="5254" t="str">
        <f t="shared" si="67"/>
        <v/>
      </c>
      <c r="AN129" s="1031">
        <f t="shared" si="53"/>
        <v>0</v>
      </c>
      <c r="AO129" s="1031">
        <f t="shared" si="54"/>
        <v>0</v>
      </c>
      <c r="AP129" s="1044">
        <f t="shared" si="55"/>
        <v>0</v>
      </c>
      <c r="AQ129" s="5257" t="str">
        <f t="shared" si="56"/>
        <v/>
      </c>
      <c r="AR129" s="5264"/>
      <c r="AS129" s="1033"/>
      <c r="AT129" s="1045">
        <f t="shared" si="57"/>
        <v>0</v>
      </c>
      <c r="AU129" s="1046">
        <f t="shared" si="58"/>
        <v>0</v>
      </c>
      <c r="AV129" s="1059" cm="1">
        <f t="array" ref="AV129">IF(AJ129&lt;&gt;1,0,IF(OR(AT129="",N(AT129)&lt;=0.000000001),"",IF(OR(AN129="",N(AN129)&lt;=0.000000001),0,IF(ISNUMBER(AT129),IFERROR(_xlfn.LET(_xlpm.ai_test,TRIM(AI129),_xlpm.r,IFERROR(_xlfn.XLOOKUP(_xlpm.ai_test,$BI$15:$BI$62,ROW($BI$15:$BI$62),0,1),IFERROR(_xlfn.XLOOKUP(_xlpm.ai_test,$BJ$15:$BJ$62,ROW($BJ$15:$BJ$62),0,1),_xlfn.XLOOKUP(_xlpm.ai_test,$BK$15:$BK$62,ROW($BK$15:$BK$62),0,1))),_xlpm.p,_xlpm.r-MIN(ROW($BI$15:$BI$62))+1,_xlpm.f,INDEX($BL$15:$BL$62,_xlpm.p),_xlpm.u,INDEX($BM$15:$BM$62,_xlpm.p),_xlpm.s,INDEX($BO$15:$BO$62,_xlpm.p),_xlpm.q,N(AT129)/_xlpm.f,IF(_xlpm.q&gt;=_xlpm.s,ROUND(_xlpm.q,1)&amp;" "&amp;_xlpm.ai_test&amp;" = "&amp;ROUND(_xlpm.q*_xlpm.f,1)&amp;" "&amp;_xlpm.u,ROUND(_xlpm.q,1)&amp;" "&amp;_xlpm.ai_test)),""),""))))</f>
        <v>0</v>
      </c>
      <c r="AW129" s="1047"/>
      <c r="AX129" s="1045">
        <f t="shared" si="59"/>
        <v>0</v>
      </c>
      <c r="AY129" s="1046" t="str">
        <f t="shared" si="60"/>
        <v/>
      </c>
      <c r="AZ129" s="1048">
        <f t="shared" si="65"/>
        <v>0</v>
      </c>
      <c r="BA129" s="1049" t="str">
        <f t="shared" si="61"/>
        <v/>
      </c>
      <c r="BB129" s="1038"/>
      <c r="BC129" s="1050">
        <f t="shared" si="66"/>
        <v>0</v>
      </c>
      <c r="BD129" s="1040" t="str">
        <f t="shared" si="62"/>
        <v/>
      </c>
      <c r="BE129" s="227" t="s">
        <v>22</v>
      </c>
      <c r="BF129" s="1019">
        <f t="shared" si="63"/>
        <v>0</v>
      </c>
      <c r="BG129" s="1020">
        <f t="shared" si="64"/>
        <v>0</v>
      </c>
      <c r="BH129"/>
      <c r="BQ129"/>
      <c r="BR129"/>
      <c r="BS129"/>
      <c r="BT129"/>
      <c r="BU129"/>
      <c r="BV129"/>
      <c r="BW129" s="959" t="str">
        <f t="shared" si="45"/>
        <v>►</v>
      </c>
      <c r="CC129" s="957"/>
      <c r="DB129" s="3">
        <v>1</v>
      </c>
    </row>
    <row r="130" spans="1:106" s="709" customFormat="1" ht="21" customHeight="1">
      <c r="A130" s="936" t="s">
        <v>22</v>
      </c>
      <c r="B130" s="952" t="str">
        <f t="shared" si="44"/>
        <v>►</v>
      </c>
      <c r="C130" s="993" cm="1">
        <f t="array" ref="C130">SUMPRODUCT(LEN(D130:J130))</f>
        <v>0</v>
      </c>
      <c r="D130" s="167"/>
      <c r="E130" s="172"/>
      <c r="F130" s="172"/>
      <c r="G130" s="172"/>
      <c r="H130" s="172"/>
      <c r="I130" s="172"/>
      <c r="J130" s="173"/>
      <c r="K130" s="442" t="s">
        <v>22</v>
      </c>
      <c r="L130" s="104" t="s">
        <v>16</v>
      </c>
      <c r="M130" s="1172"/>
      <c r="N130" s="1172"/>
      <c r="O130" s="1172"/>
      <c r="P130" s="1173"/>
      <c r="Q130" s="1174"/>
      <c r="R130" s="1175"/>
      <c r="S130" s="1176"/>
      <c r="T130" s="1177"/>
      <c r="U130" s="5248"/>
      <c r="V130" s="1177"/>
      <c r="W130" s="5249"/>
      <c r="X130" s="5208"/>
      <c r="Y130" s="5209"/>
      <c r="Z130" s="5210"/>
      <c r="AA130" s="5211"/>
      <c r="AB130" s="1178"/>
      <c r="AC130" s="1179"/>
      <c r="AD130" s="227" t="s">
        <v>22</v>
      </c>
      <c r="AE130" s="1027" t="str">
        <f t="shared" si="46"/>
        <v>►</v>
      </c>
      <c r="AF130" s="1028" t="str">
        <f t="shared" si="47"/>
        <v/>
      </c>
      <c r="AG130" s="1029" t="str">
        <f t="shared" si="48"/>
        <v/>
      </c>
      <c r="AH130" s="1028" t="str">
        <f t="shared" si="49"/>
        <v/>
      </c>
      <c r="AI130" s="1029" t="str">
        <f t="shared" si="50"/>
        <v/>
      </c>
      <c r="AJ130" s="1029">
        <f t="shared" si="51"/>
        <v>0</v>
      </c>
      <c r="AK130" s="1043" t="str" cm="1">
        <f t="array" ref="AK130">IF(AE130&lt;&gt;"A","",IFERROR((IFERROR(_xlfn.XLOOKUP(TRIM(SUBSTITUTE(U130,CHAR(160)," ")),$BI$15:$BI$62,$BL$15:$BL$62),IFERROR(_xlfn.XLOOKUP(TRIM(SUBSTITUTE(U130,CHAR(160)," ")),$BJ$15:$BJ$62,$BL$15:$BL$62),_xlfn.XLOOKUP(TRIM(SUBSTITUTE(U130,CHAR(160)," ")),$BK$15:$BK$62,$BL$15:$BL$62))))*T130*IF(ISBLANK(Q130),1,Q130)+IFERROR(_xlfn.XLOOKUP("RECHERCHEX",TRIM(L130:AC130),L130:AC130),0),0))</f>
        <v/>
      </c>
      <c r="AL130" s="1030">
        <f t="shared" si="52"/>
        <v>0</v>
      </c>
      <c r="AM130" s="5254" t="str">
        <f t="shared" si="67"/>
        <v/>
      </c>
      <c r="AN130" s="1031">
        <f t="shared" si="53"/>
        <v>0</v>
      </c>
      <c r="AO130" s="1031">
        <f t="shared" si="54"/>
        <v>0</v>
      </c>
      <c r="AP130" s="1032">
        <f t="shared" si="55"/>
        <v>0</v>
      </c>
      <c r="AQ130" s="5255" t="str">
        <f t="shared" si="56"/>
        <v/>
      </c>
      <c r="AR130" s="5264"/>
      <c r="AS130" s="1033"/>
      <c r="AT130" s="1034">
        <f t="shared" si="57"/>
        <v>0</v>
      </c>
      <c r="AU130" s="1035">
        <f t="shared" si="58"/>
        <v>0</v>
      </c>
      <c r="AV130" s="1057" cm="1">
        <f t="array" ref="AV130">IF(AJ130&lt;&gt;1,0,IF(OR(AT130="",N(AT130)&lt;=0.000000001),"",IF(OR(AN130="",N(AN130)&lt;=0.000000001),0,IF(ISNUMBER(AT130),IFERROR(_xlfn.LET(_xlpm.ai_test,TRIM(AI130),_xlpm.r,IFERROR(_xlfn.XLOOKUP(_xlpm.ai_test,$BI$15:$BI$62,ROW($BI$15:$BI$62),0,1),IFERROR(_xlfn.XLOOKUP(_xlpm.ai_test,$BJ$15:$BJ$62,ROW($BJ$15:$BJ$62),0,1),_xlfn.XLOOKUP(_xlpm.ai_test,$BK$15:$BK$62,ROW($BK$15:$BK$62),0,1))),_xlpm.p,_xlpm.r-MIN(ROW($BI$15:$BI$62))+1,_xlpm.f,INDEX($BL$15:$BL$62,_xlpm.p),_xlpm.u,INDEX($BM$15:$BM$62,_xlpm.p),_xlpm.s,INDEX($BO$15:$BO$62,_xlpm.p),_xlpm.q,N(AT130)/_xlpm.f,IF(_xlpm.q&gt;=_xlpm.s,ROUND(_xlpm.q,1)&amp;" "&amp;_xlpm.ai_test&amp;" = "&amp;ROUND(_xlpm.q*_xlpm.f,1)&amp;" "&amp;_xlpm.u,ROUND(_xlpm.q,1)&amp;" "&amp;_xlpm.ai_test)),""),""))))</f>
        <v>0</v>
      </c>
      <c r="AW130" s="1047"/>
      <c r="AX130" s="1034">
        <f t="shared" si="59"/>
        <v>0</v>
      </c>
      <c r="AY130" s="1035" t="str">
        <f t="shared" si="60"/>
        <v/>
      </c>
      <c r="AZ130" s="1036">
        <f t="shared" si="65"/>
        <v>0</v>
      </c>
      <c r="BA130" s="1037" t="str">
        <f t="shared" si="61"/>
        <v/>
      </c>
      <c r="BB130" s="1038"/>
      <c r="BC130" s="1039">
        <f t="shared" si="66"/>
        <v>0</v>
      </c>
      <c r="BD130" s="1040" t="str">
        <f t="shared" si="62"/>
        <v/>
      </c>
      <c r="BE130" s="227" t="s">
        <v>22</v>
      </c>
      <c r="BF130" s="1019">
        <f t="shared" si="63"/>
        <v>0</v>
      </c>
      <c r="BG130" s="1020">
        <f t="shared" si="64"/>
        <v>0</v>
      </c>
      <c r="BH130"/>
      <c r="BQ130"/>
      <c r="BR130"/>
      <c r="BS130"/>
      <c r="BT130"/>
      <c r="BU130"/>
      <c r="BV130"/>
      <c r="BW130" s="959" t="str">
        <f t="shared" si="45"/>
        <v>►</v>
      </c>
      <c r="CC130" s="957"/>
      <c r="DB130" s="3">
        <v>1</v>
      </c>
    </row>
    <row r="131" spans="1:106" s="709" customFormat="1" ht="21" customHeight="1">
      <c r="A131" s="936" t="s">
        <v>22</v>
      </c>
      <c r="B131" s="952" t="str">
        <f t="shared" si="44"/>
        <v>►</v>
      </c>
      <c r="C131" s="993" cm="1">
        <f t="array" ref="C131">SUMPRODUCT(LEN(D131:J131))</f>
        <v>0</v>
      </c>
      <c r="D131" s="167"/>
      <c r="E131" s="172"/>
      <c r="F131" s="172"/>
      <c r="G131" s="172"/>
      <c r="H131" s="172"/>
      <c r="I131" s="172"/>
      <c r="J131" s="173"/>
      <c r="K131" s="442" t="s">
        <v>22</v>
      </c>
      <c r="L131" s="104" t="s">
        <v>16</v>
      </c>
      <c r="M131" s="1172"/>
      <c r="N131" s="1172"/>
      <c r="O131" s="1172"/>
      <c r="P131" s="1173"/>
      <c r="Q131" s="1174"/>
      <c r="R131" s="1175"/>
      <c r="S131" s="1176"/>
      <c r="T131" s="1177"/>
      <c r="U131" s="5248"/>
      <c r="V131" s="1177"/>
      <c r="W131" s="5249"/>
      <c r="X131" s="5208"/>
      <c r="Y131" s="5209"/>
      <c r="Z131" s="5210"/>
      <c r="AA131" s="5211"/>
      <c r="AB131" s="1178"/>
      <c r="AC131" s="1179"/>
      <c r="AD131" s="227" t="s">
        <v>22</v>
      </c>
      <c r="AE131" s="1027" t="str">
        <f t="shared" si="46"/>
        <v>►</v>
      </c>
      <c r="AF131" s="1028" t="str">
        <f t="shared" si="47"/>
        <v/>
      </c>
      <c r="AG131" s="1029" t="str">
        <f t="shared" si="48"/>
        <v/>
      </c>
      <c r="AH131" s="1028" t="str">
        <f t="shared" si="49"/>
        <v/>
      </c>
      <c r="AI131" s="1029" t="str">
        <f t="shared" si="50"/>
        <v/>
      </c>
      <c r="AJ131" s="1029">
        <f t="shared" si="51"/>
        <v>0</v>
      </c>
      <c r="AK131" s="1043" t="str" cm="1">
        <f t="array" ref="AK131">IF(AE131&lt;&gt;"A","",IFERROR((IFERROR(_xlfn.XLOOKUP(TRIM(SUBSTITUTE(U131,CHAR(160)," ")),$BI$15:$BI$62,$BL$15:$BL$62),IFERROR(_xlfn.XLOOKUP(TRIM(SUBSTITUTE(U131,CHAR(160)," ")),$BJ$15:$BJ$62,$BL$15:$BL$62),_xlfn.XLOOKUP(TRIM(SUBSTITUTE(U131,CHAR(160)," ")),$BK$15:$BK$62,$BL$15:$BL$62))))*T131*IF(ISBLANK(Q131),1,Q131)+IFERROR(_xlfn.XLOOKUP("RECHERCHEX",TRIM(L131:AC131),L131:AC131),0),0))</f>
        <v/>
      </c>
      <c r="AL131" s="1030">
        <f t="shared" si="52"/>
        <v>0</v>
      </c>
      <c r="AM131" s="5254" t="str">
        <f t="shared" si="67"/>
        <v/>
      </c>
      <c r="AN131" s="1031">
        <f t="shared" si="53"/>
        <v>0</v>
      </c>
      <c r="AO131" s="1031">
        <f t="shared" si="54"/>
        <v>0</v>
      </c>
      <c r="AP131" s="1044">
        <f t="shared" si="55"/>
        <v>0</v>
      </c>
      <c r="AQ131" s="5257" t="str">
        <f t="shared" si="56"/>
        <v/>
      </c>
      <c r="AR131" s="5264"/>
      <c r="AS131" s="1033"/>
      <c r="AT131" s="1045">
        <f t="shared" si="57"/>
        <v>0</v>
      </c>
      <c r="AU131" s="1046">
        <f t="shared" si="58"/>
        <v>0</v>
      </c>
      <c r="AV131" s="1059" cm="1">
        <f t="array" ref="AV131">IF(AJ131&lt;&gt;1,0,IF(OR(AT131="",N(AT131)&lt;=0.000000001),"",IF(OR(AN131="",N(AN131)&lt;=0.000000001),0,IF(ISNUMBER(AT131),IFERROR(_xlfn.LET(_xlpm.ai_test,TRIM(AI131),_xlpm.r,IFERROR(_xlfn.XLOOKUP(_xlpm.ai_test,$BI$15:$BI$62,ROW($BI$15:$BI$62),0,1),IFERROR(_xlfn.XLOOKUP(_xlpm.ai_test,$BJ$15:$BJ$62,ROW($BJ$15:$BJ$62),0,1),_xlfn.XLOOKUP(_xlpm.ai_test,$BK$15:$BK$62,ROW($BK$15:$BK$62),0,1))),_xlpm.p,_xlpm.r-MIN(ROW($BI$15:$BI$62))+1,_xlpm.f,INDEX($BL$15:$BL$62,_xlpm.p),_xlpm.u,INDEX($BM$15:$BM$62,_xlpm.p),_xlpm.s,INDEX($BO$15:$BO$62,_xlpm.p),_xlpm.q,N(AT131)/_xlpm.f,IF(_xlpm.q&gt;=_xlpm.s,ROUND(_xlpm.q,1)&amp;" "&amp;_xlpm.ai_test&amp;" = "&amp;ROUND(_xlpm.q*_xlpm.f,1)&amp;" "&amp;_xlpm.u,ROUND(_xlpm.q,1)&amp;" "&amp;_xlpm.ai_test)),""),""))))</f>
        <v>0</v>
      </c>
      <c r="AW131" s="1047"/>
      <c r="AX131" s="1045">
        <f t="shared" si="59"/>
        <v>0</v>
      </c>
      <c r="AY131" s="1046" t="str">
        <f t="shared" si="60"/>
        <v/>
      </c>
      <c r="AZ131" s="1048">
        <f t="shared" si="65"/>
        <v>0</v>
      </c>
      <c r="BA131" s="1049" t="str">
        <f t="shared" si="61"/>
        <v/>
      </c>
      <c r="BB131" s="1038"/>
      <c r="BC131" s="1050">
        <f t="shared" si="66"/>
        <v>0</v>
      </c>
      <c r="BD131" s="1040" t="str">
        <f t="shared" si="62"/>
        <v/>
      </c>
      <c r="BE131" s="227" t="s">
        <v>22</v>
      </c>
      <c r="BF131" s="1019">
        <f t="shared" si="63"/>
        <v>0</v>
      </c>
      <c r="BG131" s="1020">
        <f t="shared" si="64"/>
        <v>0</v>
      </c>
      <c r="BH131"/>
      <c r="BQ131"/>
      <c r="BR131"/>
      <c r="BS131"/>
      <c r="BT131"/>
      <c r="BU131"/>
      <c r="BV131"/>
      <c r="BW131" s="959" t="str">
        <f t="shared" si="45"/>
        <v>►</v>
      </c>
      <c r="CC131" s="957"/>
      <c r="DB131" s="3">
        <v>1</v>
      </c>
    </row>
    <row r="132" spans="1:106" s="709" customFormat="1" ht="21" customHeight="1">
      <c r="A132" s="936" t="s">
        <v>22</v>
      </c>
      <c r="B132" s="952" t="str">
        <f t="shared" si="44"/>
        <v>►</v>
      </c>
      <c r="C132" s="993" cm="1">
        <f t="array" ref="C132">SUMPRODUCT(LEN(D132:J132))</f>
        <v>0</v>
      </c>
      <c r="D132" s="167"/>
      <c r="E132" s="172"/>
      <c r="F132" s="172"/>
      <c r="G132" s="172"/>
      <c r="H132" s="172"/>
      <c r="I132" s="172"/>
      <c r="J132" s="173"/>
      <c r="K132" s="442" t="s">
        <v>22</v>
      </c>
      <c r="L132" s="104" t="s">
        <v>16</v>
      </c>
      <c r="M132" s="1172"/>
      <c r="N132" s="1172"/>
      <c r="O132" s="1172"/>
      <c r="P132" s="1173"/>
      <c r="Q132" s="1174"/>
      <c r="R132" s="1175"/>
      <c r="S132" s="1176"/>
      <c r="T132" s="1177"/>
      <c r="U132" s="5248"/>
      <c r="V132" s="1177"/>
      <c r="W132" s="5249"/>
      <c r="X132" s="5208"/>
      <c r="Y132" s="5209"/>
      <c r="Z132" s="5210"/>
      <c r="AA132" s="5211"/>
      <c r="AB132" s="1178"/>
      <c r="AC132" s="1179"/>
      <c r="AD132" s="227" t="s">
        <v>22</v>
      </c>
      <c r="AE132" s="1027" t="str">
        <f t="shared" si="46"/>
        <v>►</v>
      </c>
      <c r="AF132" s="1028" t="str">
        <f t="shared" si="47"/>
        <v/>
      </c>
      <c r="AG132" s="1029" t="str">
        <f t="shared" si="48"/>
        <v/>
      </c>
      <c r="AH132" s="1028" t="str">
        <f t="shared" si="49"/>
        <v/>
      </c>
      <c r="AI132" s="1029" t="str">
        <f t="shared" si="50"/>
        <v/>
      </c>
      <c r="AJ132" s="1029">
        <f t="shared" si="51"/>
        <v>0</v>
      </c>
      <c r="AK132" s="1043" t="str" cm="1">
        <f t="array" ref="AK132">IF(AE132&lt;&gt;"A","",IFERROR((IFERROR(_xlfn.XLOOKUP(TRIM(SUBSTITUTE(U132,CHAR(160)," ")),$BI$15:$BI$62,$BL$15:$BL$62),IFERROR(_xlfn.XLOOKUP(TRIM(SUBSTITUTE(U132,CHAR(160)," ")),$BJ$15:$BJ$62,$BL$15:$BL$62),_xlfn.XLOOKUP(TRIM(SUBSTITUTE(U132,CHAR(160)," ")),$BK$15:$BK$62,$BL$15:$BL$62))))*T132*IF(ISBLANK(Q132),1,Q132)+IFERROR(_xlfn.XLOOKUP("RECHERCHEX",TRIM(L132:AC132),L132:AC132),0),0))</f>
        <v/>
      </c>
      <c r="AL132" s="1030">
        <f t="shared" si="52"/>
        <v>0</v>
      </c>
      <c r="AM132" s="5254" t="str">
        <f t="shared" si="67"/>
        <v/>
      </c>
      <c r="AN132" s="1031">
        <f t="shared" si="53"/>
        <v>0</v>
      </c>
      <c r="AO132" s="1031">
        <f t="shared" si="54"/>
        <v>0</v>
      </c>
      <c r="AP132" s="1032">
        <f t="shared" si="55"/>
        <v>0</v>
      </c>
      <c r="AQ132" s="5255" t="str">
        <f t="shared" si="56"/>
        <v/>
      </c>
      <c r="AR132" s="5264"/>
      <c r="AS132" s="1033"/>
      <c r="AT132" s="1034">
        <f t="shared" si="57"/>
        <v>0</v>
      </c>
      <c r="AU132" s="1035">
        <f t="shared" si="58"/>
        <v>0</v>
      </c>
      <c r="AV132" s="1057" cm="1">
        <f t="array" ref="AV132">IF(AJ132&lt;&gt;1,0,IF(OR(AT132="",N(AT132)&lt;=0.000000001),"",IF(OR(AN132="",N(AN132)&lt;=0.000000001),0,IF(ISNUMBER(AT132),IFERROR(_xlfn.LET(_xlpm.ai_test,TRIM(AI132),_xlpm.r,IFERROR(_xlfn.XLOOKUP(_xlpm.ai_test,$BI$15:$BI$62,ROW($BI$15:$BI$62),0,1),IFERROR(_xlfn.XLOOKUP(_xlpm.ai_test,$BJ$15:$BJ$62,ROW($BJ$15:$BJ$62),0,1),_xlfn.XLOOKUP(_xlpm.ai_test,$BK$15:$BK$62,ROW($BK$15:$BK$62),0,1))),_xlpm.p,_xlpm.r-MIN(ROW($BI$15:$BI$62))+1,_xlpm.f,INDEX($BL$15:$BL$62,_xlpm.p),_xlpm.u,INDEX($BM$15:$BM$62,_xlpm.p),_xlpm.s,INDEX($BO$15:$BO$62,_xlpm.p),_xlpm.q,N(AT132)/_xlpm.f,IF(_xlpm.q&gt;=_xlpm.s,ROUND(_xlpm.q,1)&amp;" "&amp;_xlpm.ai_test&amp;" = "&amp;ROUND(_xlpm.q*_xlpm.f,1)&amp;" "&amp;_xlpm.u,ROUND(_xlpm.q,1)&amp;" "&amp;_xlpm.ai_test)),""),""))))</f>
        <v>0</v>
      </c>
      <c r="AW132" s="1047"/>
      <c r="AX132" s="1034">
        <f t="shared" si="59"/>
        <v>0</v>
      </c>
      <c r="AY132" s="1035" t="str">
        <f t="shared" si="60"/>
        <v/>
      </c>
      <c r="AZ132" s="1036">
        <f t="shared" si="65"/>
        <v>0</v>
      </c>
      <c r="BA132" s="1037" t="str">
        <f t="shared" si="61"/>
        <v/>
      </c>
      <c r="BB132" s="1038"/>
      <c r="BC132" s="1039">
        <f t="shared" si="66"/>
        <v>0</v>
      </c>
      <c r="BD132" s="1040" t="str">
        <f t="shared" si="62"/>
        <v/>
      </c>
      <c r="BE132" s="227" t="s">
        <v>22</v>
      </c>
      <c r="BF132" s="1019">
        <f t="shared" si="63"/>
        <v>0</v>
      </c>
      <c r="BG132" s="1020">
        <f t="shared" si="64"/>
        <v>0</v>
      </c>
      <c r="BH132"/>
      <c r="BQ132"/>
      <c r="BR132"/>
      <c r="BS132"/>
      <c r="BT132"/>
      <c r="BU132"/>
      <c r="BV132"/>
      <c r="BW132" s="959" t="str">
        <f t="shared" si="45"/>
        <v>►</v>
      </c>
      <c r="CC132" s="957"/>
      <c r="DB132" s="3">
        <v>1</v>
      </c>
    </row>
    <row r="133" spans="1:106" s="709" customFormat="1" ht="21" customHeight="1">
      <c r="A133" s="936" t="s">
        <v>22</v>
      </c>
      <c r="B133" s="952" t="str">
        <f t="shared" ref="B133:B196" si="68">L133</f>
        <v>►</v>
      </c>
      <c r="C133" s="993" cm="1">
        <f t="array" ref="C133">SUMPRODUCT(LEN(D133:J133))</f>
        <v>0</v>
      </c>
      <c r="D133" s="167"/>
      <c r="E133" s="172"/>
      <c r="F133" s="172"/>
      <c r="G133" s="172"/>
      <c r="H133" s="172"/>
      <c r="I133" s="172"/>
      <c r="J133" s="173"/>
      <c r="K133" s="442" t="s">
        <v>22</v>
      </c>
      <c r="L133" s="104" t="s">
        <v>16</v>
      </c>
      <c r="M133" s="1172"/>
      <c r="N133" s="1172"/>
      <c r="O133" s="1172"/>
      <c r="P133" s="1173"/>
      <c r="Q133" s="1174"/>
      <c r="R133" s="1175"/>
      <c r="S133" s="1176"/>
      <c r="T133" s="1177"/>
      <c r="U133" s="5248"/>
      <c r="V133" s="1177"/>
      <c r="W133" s="5249"/>
      <c r="X133" s="5208"/>
      <c r="Y133" s="5209"/>
      <c r="Z133" s="5210"/>
      <c r="AA133" s="5211"/>
      <c r="AB133" s="1178"/>
      <c r="AC133" s="1179"/>
      <c r="AD133" s="227" t="s">
        <v>22</v>
      </c>
      <c r="AE133" s="1027" t="str">
        <f t="shared" si="46"/>
        <v>►</v>
      </c>
      <c r="AF133" s="1028" t="str">
        <f t="shared" si="47"/>
        <v/>
      </c>
      <c r="AG133" s="1029" t="str">
        <f t="shared" si="48"/>
        <v/>
      </c>
      <c r="AH133" s="1028" t="str">
        <f t="shared" si="49"/>
        <v/>
      </c>
      <c r="AI133" s="1029" t="str">
        <f t="shared" si="50"/>
        <v/>
      </c>
      <c r="AJ133" s="1029">
        <f t="shared" si="51"/>
        <v>0</v>
      </c>
      <c r="AK133" s="1043" t="str" cm="1">
        <f t="array" ref="AK133">IF(AE133&lt;&gt;"A","",IFERROR((IFERROR(_xlfn.XLOOKUP(TRIM(SUBSTITUTE(U133,CHAR(160)," ")),$BI$15:$BI$62,$BL$15:$BL$62),IFERROR(_xlfn.XLOOKUP(TRIM(SUBSTITUTE(U133,CHAR(160)," ")),$BJ$15:$BJ$62,$BL$15:$BL$62),_xlfn.XLOOKUP(TRIM(SUBSTITUTE(U133,CHAR(160)," ")),$BK$15:$BK$62,$BL$15:$BL$62))))*T133*IF(ISBLANK(Q133),1,Q133)+IFERROR(_xlfn.XLOOKUP("RECHERCHEX",TRIM(L133:AC133),L133:AC133),0),0))</f>
        <v/>
      </c>
      <c r="AL133" s="1030">
        <f t="shared" si="52"/>
        <v>0</v>
      </c>
      <c r="AM133" s="5254" t="str">
        <f t="shared" si="67"/>
        <v/>
      </c>
      <c r="AN133" s="1031">
        <f t="shared" si="53"/>
        <v>0</v>
      </c>
      <c r="AO133" s="1031">
        <f t="shared" si="54"/>
        <v>0</v>
      </c>
      <c r="AP133" s="1044">
        <f t="shared" si="55"/>
        <v>0</v>
      </c>
      <c r="AQ133" s="5257" t="str">
        <f t="shared" si="56"/>
        <v/>
      </c>
      <c r="AR133" s="5264"/>
      <c r="AS133" s="1033"/>
      <c r="AT133" s="1045">
        <f t="shared" si="57"/>
        <v>0</v>
      </c>
      <c r="AU133" s="1046">
        <f t="shared" si="58"/>
        <v>0</v>
      </c>
      <c r="AV133" s="1059" cm="1">
        <f t="array" ref="AV133">IF(AJ133&lt;&gt;1,0,IF(OR(AT133="",N(AT133)&lt;=0.000000001),"",IF(OR(AN133="",N(AN133)&lt;=0.000000001),0,IF(ISNUMBER(AT133),IFERROR(_xlfn.LET(_xlpm.ai_test,TRIM(AI133),_xlpm.r,IFERROR(_xlfn.XLOOKUP(_xlpm.ai_test,$BI$15:$BI$62,ROW($BI$15:$BI$62),0,1),IFERROR(_xlfn.XLOOKUP(_xlpm.ai_test,$BJ$15:$BJ$62,ROW($BJ$15:$BJ$62),0,1),_xlfn.XLOOKUP(_xlpm.ai_test,$BK$15:$BK$62,ROW($BK$15:$BK$62),0,1))),_xlpm.p,_xlpm.r-MIN(ROW($BI$15:$BI$62))+1,_xlpm.f,INDEX($BL$15:$BL$62,_xlpm.p),_xlpm.u,INDEX($BM$15:$BM$62,_xlpm.p),_xlpm.s,INDEX($BO$15:$BO$62,_xlpm.p),_xlpm.q,N(AT133)/_xlpm.f,IF(_xlpm.q&gt;=_xlpm.s,ROUND(_xlpm.q,1)&amp;" "&amp;_xlpm.ai_test&amp;" = "&amp;ROUND(_xlpm.q*_xlpm.f,1)&amp;" "&amp;_xlpm.u,ROUND(_xlpm.q,1)&amp;" "&amp;_xlpm.ai_test)),""),""))))</f>
        <v>0</v>
      </c>
      <c r="AW133" s="1047"/>
      <c r="AX133" s="1045">
        <f t="shared" si="59"/>
        <v>0</v>
      </c>
      <c r="AY133" s="1046" t="str">
        <f t="shared" si="60"/>
        <v/>
      </c>
      <c r="AZ133" s="1048">
        <f t="shared" si="65"/>
        <v>0</v>
      </c>
      <c r="BA133" s="1049" t="str">
        <f t="shared" si="61"/>
        <v/>
      </c>
      <c r="BB133" s="1038"/>
      <c r="BC133" s="1050">
        <f t="shared" si="66"/>
        <v>0</v>
      </c>
      <c r="BD133" s="1040" t="str">
        <f t="shared" si="62"/>
        <v/>
      </c>
      <c r="BE133" s="227" t="s">
        <v>22</v>
      </c>
      <c r="BF133" s="1019">
        <f t="shared" si="63"/>
        <v>0</v>
      </c>
      <c r="BG133" s="1020">
        <f t="shared" si="64"/>
        <v>0</v>
      </c>
      <c r="BH133"/>
      <c r="BQ133"/>
      <c r="BR133"/>
      <c r="BS133"/>
      <c r="BT133"/>
      <c r="BU133"/>
      <c r="BV133"/>
      <c r="BW133" s="959" t="str">
        <f t="shared" ref="BW133:BW196" si="69">AE133</f>
        <v>►</v>
      </c>
      <c r="CC133" s="957"/>
      <c r="DB133" s="3">
        <v>1</v>
      </c>
    </row>
    <row r="134" spans="1:106" s="709" customFormat="1" ht="21" customHeight="1">
      <c r="A134" s="936" t="s">
        <v>22</v>
      </c>
      <c r="B134" s="952" t="str">
        <f t="shared" si="68"/>
        <v>►</v>
      </c>
      <c r="C134" s="993" cm="1">
        <f t="array" ref="C134">SUMPRODUCT(LEN(D134:J134))</f>
        <v>0</v>
      </c>
      <c r="D134" s="167"/>
      <c r="E134" s="172"/>
      <c r="F134" s="172"/>
      <c r="G134" s="172"/>
      <c r="H134" s="172"/>
      <c r="I134" s="172"/>
      <c r="J134" s="173"/>
      <c r="K134" s="442" t="s">
        <v>22</v>
      </c>
      <c r="L134" s="104" t="s">
        <v>16</v>
      </c>
      <c r="M134" s="1172"/>
      <c r="N134" s="1172"/>
      <c r="O134" s="1172"/>
      <c r="P134" s="1173"/>
      <c r="Q134" s="1174"/>
      <c r="R134" s="1175"/>
      <c r="S134" s="1176"/>
      <c r="T134" s="1177"/>
      <c r="U134" s="5248"/>
      <c r="V134" s="1177"/>
      <c r="W134" s="5249"/>
      <c r="X134" s="5208"/>
      <c r="Y134" s="5209"/>
      <c r="Z134" s="5210"/>
      <c r="AA134" s="5211"/>
      <c r="AB134" s="1178"/>
      <c r="AC134" s="1179"/>
      <c r="AD134" s="227" t="s">
        <v>22</v>
      </c>
      <c r="AE134" s="1027" t="str">
        <f t="shared" si="46"/>
        <v>►</v>
      </c>
      <c r="AF134" s="1028" t="str">
        <f t="shared" si="47"/>
        <v/>
      </c>
      <c r="AG134" s="1029" t="str">
        <f t="shared" si="48"/>
        <v/>
      </c>
      <c r="AH134" s="1028" t="str">
        <f t="shared" si="49"/>
        <v/>
      </c>
      <c r="AI134" s="1029" t="str">
        <f t="shared" si="50"/>
        <v/>
      </c>
      <c r="AJ134" s="1029">
        <f t="shared" si="51"/>
        <v>0</v>
      </c>
      <c r="AK134" s="1043" t="str" cm="1">
        <f t="array" ref="AK134">IF(AE134&lt;&gt;"A","",IFERROR((IFERROR(_xlfn.XLOOKUP(TRIM(SUBSTITUTE(U134,CHAR(160)," ")),$BI$15:$BI$62,$BL$15:$BL$62),IFERROR(_xlfn.XLOOKUP(TRIM(SUBSTITUTE(U134,CHAR(160)," ")),$BJ$15:$BJ$62,$BL$15:$BL$62),_xlfn.XLOOKUP(TRIM(SUBSTITUTE(U134,CHAR(160)," ")),$BK$15:$BK$62,$BL$15:$BL$62))))*T134*IF(ISBLANK(Q134),1,Q134)+IFERROR(_xlfn.XLOOKUP("RECHERCHEX",TRIM(L134:AC134),L134:AC134),0),0))</f>
        <v/>
      </c>
      <c r="AL134" s="1030">
        <f t="shared" si="52"/>
        <v>0</v>
      </c>
      <c r="AM134" s="5254" t="str">
        <f t="shared" si="67"/>
        <v/>
      </c>
      <c r="AN134" s="1031">
        <f t="shared" si="53"/>
        <v>0</v>
      </c>
      <c r="AO134" s="1031">
        <f t="shared" si="54"/>
        <v>0</v>
      </c>
      <c r="AP134" s="1032">
        <f t="shared" si="55"/>
        <v>0</v>
      </c>
      <c r="AQ134" s="5255" t="str">
        <f t="shared" si="56"/>
        <v/>
      </c>
      <c r="AR134" s="1056"/>
      <c r="AS134" s="1056"/>
      <c r="AT134" s="1034">
        <f t="shared" si="57"/>
        <v>0</v>
      </c>
      <c r="AU134" s="1035">
        <f t="shared" si="58"/>
        <v>0</v>
      </c>
      <c r="AV134" s="1057" cm="1">
        <f t="array" ref="AV134">IF(AJ134&lt;&gt;1,0,IF(OR(AT134="",N(AT134)&lt;=0.000000001),"",IF(OR(AN134="",N(AN134)&lt;=0.000000001),0,IF(ISNUMBER(AT134),IFERROR(_xlfn.LET(_xlpm.ai_test,TRIM(AI134),_xlpm.r,IFERROR(_xlfn.XLOOKUP(_xlpm.ai_test,$BI$15:$BI$62,ROW($BI$15:$BI$62),0,1),IFERROR(_xlfn.XLOOKUP(_xlpm.ai_test,$BJ$15:$BJ$62,ROW($BJ$15:$BJ$62),0,1),_xlfn.XLOOKUP(_xlpm.ai_test,$BK$15:$BK$62,ROW($BK$15:$BK$62),0,1))),_xlpm.p,_xlpm.r-MIN(ROW($BI$15:$BI$62))+1,_xlpm.f,INDEX($BL$15:$BL$62,_xlpm.p),_xlpm.u,INDEX($BM$15:$BM$62,_xlpm.p),_xlpm.s,INDEX($BO$15:$BO$62,_xlpm.p),_xlpm.q,N(AT134)/_xlpm.f,IF(_xlpm.q&gt;=_xlpm.s,ROUND(_xlpm.q,1)&amp;" "&amp;_xlpm.ai_test&amp;" = "&amp;ROUND(_xlpm.q*_xlpm.f,1)&amp;" "&amp;_xlpm.u,ROUND(_xlpm.q,1)&amp;" "&amp;_xlpm.ai_test)),""),""))))</f>
        <v>0</v>
      </c>
      <c r="AW134" s="1047"/>
      <c r="AX134" s="1034">
        <f t="shared" si="59"/>
        <v>0</v>
      </c>
      <c r="AY134" s="1035" t="str">
        <f t="shared" si="60"/>
        <v/>
      </c>
      <c r="AZ134" s="1036">
        <f t="shared" si="65"/>
        <v>0</v>
      </c>
      <c r="BA134" s="1037" t="str">
        <f t="shared" si="61"/>
        <v/>
      </c>
      <c r="BB134" s="1038"/>
      <c r="BC134" s="1039">
        <f t="shared" si="66"/>
        <v>0</v>
      </c>
      <c r="BD134" s="1040" t="str">
        <f t="shared" si="62"/>
        <v/>
      </c>
      <c r="BE134" s="227" t="s">
        <v>22</v>
      </c>
      <c r="BF134" s="1019">
        <f t="shared" si="63"/>
        <v>0</v>
      </c>
      <c r="BG134" s="1020">
        <f t="shared" si="64"/>
        <v>0</v>
      </c>
      <c r="BH134"/>
      <c r="BQ134"/>
      <c r="BR134"/>
      <c r="BS134"/>
      <c r="BT134"/>
      <c r="BU134"/>
      <c r="BV134"/>
      <c r="BW134" s="959" t="str">
        <f t="shared" si="69"/>
        <v>►</v>
      </c>
      <c r="CC134" s="957"/>
      <c r="DB134" s="3">
        <v>1</v>
      </c>
    </row>
    <row r="135" spans="1:106" s="709" customFormat="1" ht="21" customHeight="1">
      <c r="A135" s="936" t="s">
        <v>22</v>
      </c>
      <c r="B135" s="952" t="str">
        <f t="shared" si="68"/>
        <v>►</v>
      </c>
      <c r="C135" s="993" cm="1">
        <f t="array" ref="C135">SUMPRODUCT(LEN(D135:J135))</f>
        <v>0</v>
      </c>
      <c r="D135" s="167"/>
      <c r="E135" s="172"/>
      <c r="F135" s="172"/>
      <c r="G135" s="172"/>
      <c r="H135" s="172"/>
      <c r="I135" s="172"/>
      <c r="J135" s="173"/>
      <c r="K135" s="442" t="s">
        <v>22</v>
      </c>
      <c r="L135" s="104" t="s">
        <v>16</v>
      </c>
      <c r="M135" s="1172"/>
      <c r="N135" s="1172"/>
      <c r="O135" s="1172"/>
      <c r="P135" s="1173"/>
      <c r="Q135" s="1174"/>
      <c r="R135" s="1175"/>
      <c r="S135" s="1176"/>
      <c r="T135" s="1177"/>
      <c r="U135" s="5248"/>
      <c r="V135" s="1177"/>
      <c r="W135" s="5249"/>
      <c r="X135" s="5208"/>
      <c r="Y135" s="5209"/>
      <c r="Z135" s="5210"/>
      <c r="AA135" s="5211"/>
      <c r="AB135" s="1178"/>
      <c r="AC135" s="1179"/>
      <c r="AD135" s="227" t="s">
        <v>22</v>
      </c>
      <c r="AE135" s="1027" t="str">
        <f t="shared" si="46"/>
        <v>►</v>
      </c>
      <c r="AF135" s="1028" t="str">
        <f t="shared" si="47"/>
        <v/>
      </c>
      <c r="AG135" s="1029" t="str">
        <f t="shared" si="48"/>
        <v/>
      </c>
      <c r="AH135" s="1028" t="str">
        <f t="shared" si="49"/>
        <v/>
      </c>
      <c r="AI135" s="1029" t="str">
        <f t="shared" si="50"/>
        <v/>
      </c>
      <c r="AJ135" s="1029">
        <f t="shared" si="51"/>
        <v>0</v>
      </c>
      <c r="AK135" s="1043" t="str" cm="1">
        <f t="array" ref="AK135">IF(AE135&lt;&gt;"A","",IFERROR((IFERROR(_xlfn.XLOOKUP(TRIM(SUBSTITUTE(U135,CHAR(160)," ")),$BI$15:$BI$62,$BL$15:$BL$62),IFERROR(_xlfn.XLOOKUP(TRIM(SUBSTITUTE(U135,CHAR(160)," ")),$BJ$15:$BJ$62,$BL$15:$BL$62),_xlfn.XLOOKUP(TRIM(SUBSTITUTE(U135,CHAR(160)," ")),$BK$15:$BK$62,$BL$15:$BL$62))))*T135*IF(ISBLANK(Q135),1,Q135)+IFERROR(_xlfn.XLOOKUP("RECHERCHEX",TRIM(L135:AC135),L135:AC135),0),0))</f>
        <v/>
      </c>
      <c r="AL135" s="1030">
        <f t="shared" si="52"/>
        <v>0</v>
      </c>
      <c r="AM135" s="5254" t="str">
        <f t="shared" si="67"/>
        <v/>
      </c>
      <c r="AN135" s="1031">
        <f t="shared" si="53"/>
        <v>0</v>
      </c>
      <c r="AO135" s="1031">
        <f t="shared" si="54"/>
        <v>0</v>
      </c>
      <c r="AP135" s="1044">
        <f t="shared" si="55"/>
        <v>0</v>
      </c>
      <c r="AQ135" s="5257" t="str">
        <f t="shared" si="56"/>
        <v/>
      </c>
      <c r="AR135" s="1056"/>
      <c r="AS135" s="1056"/>
      <c r="AT135" s="1045">
        <f t="shared" si="57"/>
        <v>0</v>
      </c>
      <c r="AU135" s="1046">
        <f t="shared" si="58"/>
        <v>0</v>
      </c>
      <c r="AV135" s="1059" cm="1">
        <f t="array" ref="AV135">IF(AJ135&lt;&gt;1,0,IF(OR(AT135="",N(AT135)&lt;=0.000000001),"",IF(OR(AN135="",N(AN135)&lt;=0.000000001),0,IF(ISNUMBER(AT135),IFERROR(_xlfn.LET(_xlpm.ai_test,TRIM(AI135),_xlpm.r,IFERROR(_xlfn.XLOOKUP(_xlpm.ai_test,$BI$15:$BI$62,ROW($BI$15:$BI$62),0,1),IFERROR(_xlfn.XLOOKUP(_xlpm.ai_test,$BJ$15:$BJ$62,ROW($BJ$15:$BJ$62),0,1),_xlfn.XLOOKUP(_xlpm.ai_test,$BK$15:$BK$62,ROW($BK$15:$BK$62),0,1))),_xlpm.p,_xlpm.r-MIN(ROW($BI$15:$BI$62))+1,_xlpm.f,INDEX($BL$15:$BL$62,_xlpm.p),_xlpm.u,INDEX($BM$15:$BM$62,_xlpm.p),_xlpm.s,INDEX($BO$15:$BO$62,_xlpm.p),_xlpm.q,N(AT135)/_xlpm.f,IF(_xlpm.q&gt;=_xlpm.s,ROUND(_xlpm.q,1)&amp;" "&amp;_xlpm.ai_test&amp;" = "&amp;ROUND(_xlpm.q*_xlpm.f,1)&amp;" "&amp;_xlpm.u,ROUND(_xlpm.q,1)&amp;" "&amp;_xlpm.ai_test)),""),""))))</f>
        <v>0</v>
      </c>
      <c r="AW135" s="1047"/>
      <c r="AX135" s="1045">
        <f t="shared" si="59"/>
        <v>0</v>
      </c>
      <c r="AY135" s="1046" t="str">
        <f t="shared" si="60"/>
        <v/>
      </c>
      <c r="AZ135" s="1048">
        <f t="shared" si="65"/>
        <v>0</v>
      </c>
      <c r="BA135" s="1049" t="str">
        <f t="shared" si="61"/>
        <v/>
      </c>
      <c r="BB135" s="1038"/>
      <c r="BC135" s="1050">
        <f t="shared" si="66"/>
        <v>0</v>
      </c>
      <c r="BD135" s="1040" t="str">
        <f t="shared" si="62"/>
        <v/>
      </c>
      <c r="BE135" s="227" t="s">
        <v>22</v>
      </c>
      <c r="BF135" s="1019">
        <f t="shared" si="63"/>
        <v>0</v>
      </c>
      <c r="BG135" s="1020">
        <f t="shared" si="64"/>
        <v>0</v>
      </c>
      <c r="BH135"/>
      <c r="BQ135"/>
      <c r="BR135"/>
      <c r="BS135"/>
      <c r="BT135"/>
      <c r="BU135"/>
      <c r="BV135"/>
      <c r="BW135" s="959" t="str">
        <f t="shared" si="69"/>
        <v>►</v>
      </c>
      <c r="CC135" s="957"/>
      <c r="DB135" s="3">
        <v>1</v>
      </c>
    </row>
    <row r="136" spans="1:106" s="709" customFormat="1" ht="21" customHeight="1">
      <c r="A136" s="936" t="s">
        <v>22</v>
      </c>
      <c r="B136" s="952" t="str">
        <f t="shared" si="68"/>
        <v>►</v>
      </c>
      <c r="C136" s="993" cm="1">
        <f t="array" ref="C136">SUMPRODUCT(LEN(D136:J136))</f>
        <v>0</v>
      </c>
      <c r="D136" s="167"/>
      <c r="E136" s="172"/>
      <c r="F136" s="172"/>
      <c r="G136" s="172"/>
      <c r="H136" s="172"/>
      <c r="I136" s="172"/>
      <c r="J136" s="173"/>
      <c r="K136" s="442" t="s">
        <v>22</v>
      </c>
      <c r="L136" s="104" t="s">
        <v>16</v>
      </c>
      <c r="M136" s="1172"/>
      <c r="N136" s="1172"/>
      <c r="O136" s="1172"/>
      <c r="P136" s="1173"/>
      <c r="Q136" s="1174"/>
      <c r="R136" s="1175"/>
      <c r="S136" s="1176"/>
      <c r="T136" s="1177"/>
      <c r="U136" s="5248"/>
      <c r="V136" s="1177"/>
      <c r="W136" s="5249"/>
      <c r="X136" s="5208"/>
      <c r="Y136" s="5209"/>
      <c r="Z136" s="5210"/>
      <c r="AA136" s="5211"/>
      <c r="AB136" s="1178"/>
      <c r="AC136" s="1179"/>
      <c r="AD136" s="227" t="s">
        <v>22</v>
      </c>
      <c r="AE136" s="1027" t="str">
        <f t="shared" si="46"/>
        <v>►</v>
      </c>
      <c r="AF136" s="1028" t="str">
        <f t="shared" si="47"/>
        <v/>
      </c>
      <c r="AG136" s="1029" t="str">
        <f t="shared" si="48"/>
        <v/>
      </c>
      <c r="AH136" s="1028" t="str">
        <f t="shared" si="49"/>
        <v/>
      </c>
      <c r="AI136" s="1029" t="str">
        <f t="shared" si="50"/>
        <v/>
      </c>
      <c r="AJ136" s="1029">
        <f t="shared" si="51"/>
        <v>0</v>
      </c>
      <c r="AK136" s="1043" t="str" cm="1">
        <f t="array" ref="AK136">IF(AE136&lt;&gt;"A","",IFERROR((IFERROR(_xlfn.XLOOKUP(TRIM(SUBSTITUTE(U136,CHAR(160)," ")),$BI$15:$BI$62,$BL$15:$BL$62),IFERROR(_xlfn.XLOOKUP(TRIM(SUBSTITUTE(U136,CHAR(160)," ")),$BJ$15:$BJ$62,$BL$15:$BL$62),_xlfn.XLOOKUP(TRIM(SUBSTITUTE(U136,CHAR(160)," ")),$BK$15:$BK$62,$BL$15:$BL$62))))*T136*IF(ISBLANK(Q136),1,Q136)+IFERROR(_xlfn.XLOOKUP("RECHERCHEX",TRIM(L136:AC136),L136:AC136),0),0))</f>
        <v/>
      </c>
      <c r="AL136" s="1030">
        <f t="shared" si="52"/>
        <v>0</v>
      </c>
      <c r="AM136" s="5254" t="str">
        <f t="shared" si="67"/>
        <v/>
      </c>
      <c r="AN136" s="1031">
        <f t="shared" si="53"/>
        <v>0</v>
      </c>
      <c r="AO136" s="1031">
        <f t="shared" si="54"/>
        <v>0</v>
      </c>
      <c r="AP136" s="1032">
        <f t="shared" si="55"/>
        <v>0</v>
      </c>
      <c r="AQ136" s="5255" t="str">
        <f t="shared" si="56"/>
        <v/>
      </c>
      <c r="AR136" s="1056"/>
      <c r="AS136" s="1056"/>
      <c r="AT136" s="1034">
        <f t="shared" si="57"/>
        <v>0</v>
      </c>
      <c r="AU136" s="1035">
        <f t="shared" si="58"/>
        <v>0</v>
      </c>
      <c r="AV136" s="1057" cm="1">
        <f t="array" ref="AV136">IF(AJ136&lt;&gt;1,0,IF(OR(AT136="",N(AT136)&lt;=0.000000001),"",IF(OR(AN136="",N(AN136)&lt;=0.000000001),0,IF(ISNUMBER(AT136),IFERROR(_xlfn.LET(_xlpm.ai_test,TRIM(AI136),_xlpm.r,IFERROR(_xlfn.XLOOKUP(_xlpm.ai_test,$BI$15:$BI$62,ROW($BI$15:$BI$62),0,1),IFERROR(_xlfn.XLOOKUP(_xlpm.ai_test,$BJ$15:$BJ$62,ROW($BJ$15:$BJ$62),0,1),_xlfn.XLOOKUP(_xlpm.ai_test,$BK$15:$BK$62,ROW($BK$15:$BK$62),0,1))),_xlpm.p,_xlpm.r-MIN(ROW($BI$15:$BI$62))+1,_xlpm.f,INDEX($BL$15:$BL$62,_xlpm.p),_xlpm.u,INDEX($BM$15:$BM$62,_xlpm.p),_xlpm.s,INDEX($BO$15:$BO$62,_xlpm.p),_xlpm.q,N(AT136)/_xlpm.f,IF(_xlpm.q&gt;=_xlpm.s,ROUND(_xlpm.q,1)&amp;" "&amp;_xlpm.ai_test&amp;" = "&amp;ROUND(_xlpm.q*_xlpm.f,1)&amp;" "&amp;_xlpm.u,ROUND(_xlpm.q,1)&amp;" "&amp;_xlpm.ai_test)),""),""))))</f>
        <v>0</v>
      </c>
      <c r="AW136" s="1047"/>
      <c r="AX136" s="1034">
        <f t="shared" si="59"/>
        <v>0</v>
      </c>
      <c r="AY136" s="1035" t="str">
        <f t="shared" si="60"/>
        <v/>
      </c>
      <c r="AZ136" s="1036">
        <f t="shared" si="65"/>
        <v>0</v>
      </c>
      <c r="BA136" s="1037" t="str">
        <f t="shared" si="61"/>
        <v/>
      </c>
      <c r="BB136" s="1038"/>
      <c r="BC136" s="1039">
        <f t="shared" si="66"/>
        <v>0</v>
      </c>
      <c r="BD136" s="1040" t="str">
        <f t="shared" si="62"/>
        <v/>
      </c>
      <c r="BE136" s="227" t="s">
        <v>22</v>
      </c>
      <c r="BF136" s="1019">
        <f t="shared" si="63"/>
        <v>0</v>
      </c>
      <c r="BG136" s="1020">
        <f t="shared" si="64"/>
        <v>0</v>
      </c>
      <c r="BH136"/>
      <c r="BQ136"/>
      <c r="BR136"/>
      <c r="BS136"/>
      <c r="BT136"/>
      <c r="BU136"/>
      <c r="BV136"/>
      <c r="BW136" s="959" t="str">
        <f t="shared" si="69"/>
        <v>►</v>
      </c>
      <c r="CC136" s="957"/>
      <c r="DB136" s="3">
        <v>1</v>
      </c>
    </row>
    <row r="137" spans="1:106" s="709" customFormat="1" ht="21" customHeight="1">
      <c r="A137" s="936" t="s">
        <v>22</v>
      </c>
      <c r="B137" s="952" t="str">
        <f t="shared" si="68"/>
        <v>►</v>
      </c>
      <c r="C137" s="993" cm="1">
        <f t="array" ref="C137">SUMPRODUCT(LEN(D137:J137))</f>
        <v>0</v>
      </c>
      <c r="D137" s="167"/>
      <c r="E137" s="172"/>
      <c r="F137" s="172"/>
      <c r="G137" s="172"/>
      <c r="H137" s="172"/>
      <c r="I137" s="172"/>
      <c r="J137" s="173"/>
      <c r="K137" s="442" t="s">
        <v>22</v>
      </c>
      <c r="L137" s="104" t="s">
        <v>16</v>
      </c>
      <c r="M137" s="1172"/>
      <c r="N137" s="1172"/>
      <c r="O137" s="1172"/>
      <c r="P137" s="1173"/>
      <c r="Q137" s="1174"/>
      <c r="R137" s="1175"/>
      <c r="S137" s="1176"/>
      <c r="T137" s="1177"/>
      <c r="U137" s="5248"/>
      <c r="V137" s="1177"/>
      <c r="W137" s="5249"/>
      <c r="X137" s="5208"/>
      <c r="Y137" s="5209"/>
      <c r="Z137" s="5210"/>
      <c r="AA137" s="5211"/>
      <c r="AB137" s="1178"/>
      <c r="AC137" s="1179"/>
      <c r="AD137" s="227" t="s">
        <v>22</v>
      </c>
      <c r="AE137" s="1027" t="str">
        <f t="shared" si="46"/>
        <v>►</v>
      </c>
      <c r="AF137" s="1028" t="str">
        <f t="shared" si="47"/>
        <v/>
      </c>
      <c r="AG137" s="1029" t="str">
        <f t="shared" si="48"/>
        <v/>
      </c>
      <c r="AH137" s="1028" t="str">
        <f t="shared" si="49"/>
        <v/>
      </c>
      <c r="AI137" s="1029" t="str">
        <f t="shared" si="50"/>
        <v/>
      </c>
      <c r="AJ137" s="1029">
        <f t="shared" si="51"/>
        <v>0</v>
      </c>
      <c r="AK137" s="1043" t="str" cm="1">
        <f t="array" ref="AK137">IF(AE137&lt;&gt;"A","",IFERROR((IFERROR(_xlfn.XLOOKUP(TRIM(SUBSTITUTE(U137,CHAR(160)," ")),$BI$15:$BI$62,$BL$15:$BL$62),IFERROR(_xlfn.XLOOKUP(TRIM(SUBSTITUTE(U137,CHAR(160)," ")),$BJ$15:$BJ$62,$BL$15:$BL$62),_xlfn.XLOOKUP(TRIM(SUBSTITUTE(U137,CHAR(160)," ")),$BK$15:$BK$62,$BL$15:$BL$62))))*T137*IF(ISBLANK(Q137),1,Q137)+IFERROR(_xlfn.XLOOKUP("RECHERCHEX",TRIM(L137:AC137),L137:AC137),0),0))</f>
        <v/>
      </c>
      <c r="AL137" s="1030">
        <f t="shared" si="52"/>
        <v>0</v>
      </c>
      <c r="AM137" s="5254" t="str">
        <f t="shared" si="67"/>
        <v/>
      </c>
      <c r="AN137" s="1031">
        <f t="shared" si="53"/>
        <v>0</v>
      </c>
      <c r="AO137" s="1031">
        <f t="shared" si="54"/>
        <v>0</v>
      </c>
      <c r="AP137" s="1044">
        <f t="shared" si="55"/>
        <v>0</v>
      </c>
      <c r="AQ137" s="5257" t="str">
        <f t="shared" si="56"/>
        <v/>
      </c>
      <c r="AR137" s="1056"/>
      <c r="AS137" s="1056"/>
      <c r="AT137" s="1045">
        <f t="shared" si="57"/>
        <v>0</v>
      </c>
      <c r="AU137" s="1046">
        <f t="shared" si="58"/>
        <v>0</v>
      </c>
      <c r="AV137" s="1059" cm="1">
        <f t="array" ref="AV137">IF(AJ137&lt;&gt;1,0,IF(OR(AT137="",N(AT137)&lt;=0.000000001),"",IF(OR(AN137="",N(AN137)&lt;=0.000000001),0,IF(ISNUMBER(AT137),IFERROR(_xlfn.LET(_xlpm.ai_test,TRIM(AI137),_xlpm.r,IFERROR(_xlfn.XLOOKUP(_xlpm.ai_test,$BI$15:$BI$62,ROW($BI$15:$BI$62),0,1),IFERROR(_xlfn.XLOOKUP(_xlpm.ai_test,$BJ$15:$BJ$62,ROW($BJ$15:$BJ$62),0,1),_xlfn.XLOOKUP(_xlpm.ai_test,$BK$15:$BK$62,ROW($BK$15:$BK$62),0,1))),_xlpm.p,_xlpm.r-MIN(ROW($BI$15:$BI$62))+1,_xlpm.f,INDEX($BL$15:$BL$62,_xlpm.p),_xlpm.u,INDEX($BM$15:$BM$62,_xlpm.p),_xlpm.s,INDEX($BO$15:$BO$62,_xlpm.p),_xlpm.q,N(AT137)/_xlpm.f,IF(_xlpm.q&gt;=_xlpm.s,ROUND(_xlpm.q,1)&amp;" "&amp;_xlpm.ai_test&amp;" = "&amp;ROUND(_xlpm.q*_xlpm.f,1)&amp;" "&amp;_xlpm.u,ROUND(_xlpm.q,1)&amp;" "&amp;_xlpm.ai_test)),""),""))))</f>
        <v>0</v>
      </c>
      <c r="AW137" s="1047"/>
      <c r="AX137" s="1045">
        <f t="shared" si="59"/>
        <v>0</v>
      </c>
      <c r="AY137" s="1046" t="str">
        <f t="shared" si="60"/>
        <v/>
      </c>
      <c r="AZ137" s="1048">
        <f t="shared" si="65"/>
        <v>0</v>
      </c>
      <c r="BA137" s="1049" t="str">
        <f t="shared" si="61"/>
        <v/>
      </c>
      <c r="BB137" s="1038"/>
      <c r="BC137" s="1050">
        <f t="shared" si="66"/>
        <v>0</v>
      </c>
      <c r="BD137" s="1040" t="str">
        <f t="shared" si="62"/>
        <v/>
      </c>
      <c r="BE137" s="227" t="s">
        <v>22</v>
      </c>
      <c r="BF137" s="1019">
        <f t="shared" si="63"/>
        <v>0</v>
      </c>
      <c r="BG137" s="1020">
        <f t="shared" si="64"/>
        <v>0</v>
      </c>
      <c r="BH137"/>
      <c r="BQ137"/>
      <c r="BR137"/>
      <c r="BS137"/>
      <c r="BT137"/>
      <c r="BU137"/>
      <c r="BV137"/>
      <c r="BW137" s="959" t="str">
        <f t="shared" si="69"/>
        <v>►</v>
      </c>
      <c r="CC137" s="957"/>
      <c r="DB137" s="3">
        <v>1</v>
      </c>
    </row>
    <row r="138" spans="1:106" s="709" customFormat="1" ht="21" customHeight="1">
      <c r="A138" s="936" t="s">
        <v>22</v>
      </c>
      <c r="B138" s="952" t="str">
        <f t="shared" si="68"/>
        <v>►</v>
      </c>
      <c r="C138" s="993" cm="1">
        <f t="array" ref="C138">SUMPRODUCT(LEN(D138:J138))</f>
        <v>0</v>
      </c>
      <c r="D138" s="167"/>
      <c r="E138" s="172"/>
      <c r="F138" s="172"/>
      <c r="G138" s="172"/>
      <c r="H138" s="172"/>
      <c r="I138" s="172"/>
      <c r="J138" s="173"/>
      <c r="K138" s="442" t="s">
        <v>22</v>
      </c>
      <c r="L138" s="104" t="s">
        <v>16</v>
      </c>
      <c r="M138" s="1172"/>
      <c r="N138" s="1172"/>
      <c r="O138" s="1172"/>
      <c r="P138" s="1173"/>
      <c r="Q138" s="1174"/>
      <c r="R138" s="1175"/>
      <c r="S138" s="1176"/>
      <c r="T138" s="1177"/>
      <c r="U138" s="5248"/>
      <c r="V138" s="1177"/>
      <c r="W138" s="5249"/>
      <c r="X138" s="5208"/>
      <c r="Y138" s="5209"/>
      <c r="Z138" s="5210"/>
      <c r="AA138" s="5211"/>
      <c r="AB138" s="1178"/>
      <c r="AC138" s="1179"/>
      <c r="AD138" s="227" t="s">
        <v>22</v>
      </c>
      <c r="AE138" s="1027" t="str">
        <f t="shared" si="46"/>
        <v>►</v>
      </c>
      <c r="AF138" s="1028" t="str">
        <f t="shared" si="47"/>
        <v/>
      </c>
      <c r="AG138" s="1029" t="str">
        <f t="shared" si="48"/>
        <v/>
      </c>
      <c r="AH138" s="1028" t="str">
        <f t="shared" si="49"/>
        <v/>
      </c>
      <c r="AI138" s="1029" t="str">
        <f t="shared" si="50"/>
        <v/>
      </c>
      <c r="AJ138" s="1029">
        <f t="shared" si="51"/>
        <v>0</v>
      </c>
      <c r="AK138" s="1043" t="str" cm="1">
        <f t="array" ref="AK138">IF(AE138&lt;&gt;"A","",IFERROR((IFERROR(_xlfn.XLOOKUP(TRIM(SUBSTITUTE(U138,CHAR(160)," ")),$BI$15:$BI$62,$BL$15:$BL$62),IFERROR(_xlfn.XLOOKUP(TRIM(SUBSTITUTE(U138,CHAR(160)," ")),$BJ$15:$BJ$62,$BL$15:$BL$62),_xlfn.XLOOKUP(TRIM(SUBSTITUTE(U138,CHAR(160)," ")),$BK$15:$BK$62,$BL$15:$BL$62))))*T138*IF(ISBLANK(Q138),1,Q138)+IFERROR(_xlfn.XLOOKUP("RECHERCHEX",TRIM(L138:AC138),L138:AC138),0),0))</f>
        <v/>
      </c>
      <c r="AL138" s="1030">
        <f t="shared" si="52"/>
        <v>0</v>
      </c>
      <c r="AM138" s="5254" t="str">
        <f t="shared" si="67"/>
        <v/>
      </c>
      <c r="AN138" s="1031">
        <f t="shared" si="53"/>
        <v>0</v>
      </c>
      <c r="AO138" s="1031">
        <f t="shared" si="54"/>
        <v>0</v>
      </c>
      <c r="AP138" s="1032">
        <f t="shared" si="55"/>
        <v>0</v>
      </c>
      <c r="AQ138" s="5255" t="str">
        <f t="shared" si="56"/>
        <v/>
      </c>
      <c r="AR138" s="1056"/>
      <c r="AS138" s="1056"/>
      <c r="AT138" s="1034">
        <f t="shared" si="57"/>
        <v>0</v>
      </c>
      <c r="AU138" s="1035">
        <f t="shared" si="58"/>
        <v>0</v>
      </c>
      <c r="AV138" s="1057" cm="1">
        <f t="array" ref="AV138">IF(AJ138&lt;&gt;1,0,IF(OR(AT138="",N(AT138)&lt;=0.000000001),"",IF(OR(AN138="",N(AN138)&lt;=0.000000001),0,IF(ISNUMBER(AT138),IFERROR(_xlfn.LET(_xlpm.ai_test,TRIM(AI138),_xlpm.r,IFERROR(_xlfn.XLOOKUP(_xlpm.ai_test,$BI$15:$BI$62,ROW($BI$15:$BI$62),0,1),IFERROR(_xlfn.XLOOKUP(_xlpm.ai_test,$BJ$15:$BJ$62,ROW($BJ$15:$BJ$62),0,1),_xlfn.XLOOKUP(_xlpm.ai_test,$BK$15:$BK$62,ROW($BK$15:$BK$62),0,1))),_xlpm.p,_xlpm.r-MIN(ROW($BI$15:$BI$62))+1,_xlpm.f,INDEX($BL$15:$BL$62,_xlpm.p),_xlpm.u,INDEX($BM$15:$BM$62,_xlpm.p),_xlpm.s,INDEX($BO$15:$BO$62,_xlpm.p),_xlpm.q,N(AT138)/_xlpm.f,IF(_xlpm.q&gt;=_xlpm.s,ROUND(_xlpm.q,1)&amp;" "&amp;_xlpm.ai_test&amp;" = "&amp;ROUND(_xlpm.q*_xlpm.f,1)&amp;" "&amp;_xlpm.u,ROUND(_xlpm.q,1)&amp;" "&amp;_xlpm.ai_test)),""),""))))</f>
        <v>0</v>
      </c>
      <c r="AW138" s="1047"/>
      <c r="AX138" s="1034">
        <f t="shared" si="59"/>
        <v>0</v>
      </c>
      <c r="AY138" s="1035" t="str">
        <f t="shared" si="60"/>
        <v/>
      </c>
      <c r="AZ138" s="1036">
        <f t="shared" si="65"/>
        <v>0</v>
      </c>
      <c r="BA138" s="1037" t="str">
        <f t="shared" si="61"/>
        <v/>
      </c>
      <c r="BB138" s="1038"/>
      <c r="BC138" s="1039">
        <f t="shared" si="66"/>
        <v>0</v>
      </c>
      <c r="BD138" s="1040" t="str">
        <f t="shared" si="62"/>
        <v/>
      </c>
      <c r="BE138" s="227" t="s">
        <v>22</v>
      </c>
      <c r="BF138" s="1019">
        <f t="shared" si="63"/>
        <v>0</v>
      </c>
      <c r="BG138" s="1020">
        <f t="shared" si="64"/>
        <v>0</v>
      </c>
      <c r="BH138"/>
      <c r="BQ138"/>
      <c r="BR138"/>
      <c r="BS138"/>
      <c r="BT138"/>
      <c r="BU138"/>
      <c r="BV138"/>
      <c r="BW138" s="959" t="str">
        <f t="shared" si="69"/>
        <v>►</v>
      </c>
      <c r="CC138" s="957"/>
      <c r="DB138" s="3">
        <v>1</v>
      </c>
    </row>
    <row r="139" spans="1:106" s="709" customFormat="1" ht="21" customHeight="1">
      <c r="A139" s="936" t="s">
        <v>22</v>
      </c>
      <c r="B139" s="952" t="str">
        <f t="shared" si="68"/>
        <v>►</v>
      </c>
      <c r="C139" s="993" cm="1">
        <f t="array" ref="C139">SUMPRODUCT(LEN(D139:J139))</f>
        <v>0</v>
      </c>
      <c r="D139" s="167"/>
      <c r="E139" s="172"/>
      <c r="F139" s="172"/>
      <c r="G139" s="172"/>
      <c r="H139" s="172"/>
      <c r="I139" s="172"/>
      <c r="J139" s="173"/>
      <c r="K139" s="442" t="s">
        <v>22</v>
      </c>
      <c r="L139" s="104" t="s">
        <v>16</v>
      </c>
      <c r="M139" s="1172"/>
      <c r="N139" s="1172"/>
      <c r="O139" s="1172"/>
      <c r="P139" s="1173"/>
      <c r="Q139" s="1174"/>
      <c r="R139" s="1175"/>
      <c r="S139" s="1176"/>
      <c r="T139" s="1177"/>
      <c r="U139" s="5248"/>
      <c r="V139" s="1177"/>
      <c r="W139" s="5249"/>
      <c r="X139" s="5208"/>
      <c r="Y139" s="5209"/>
      <c r="Z139" s="5210"/>
      <c r="AA139" s="5211"/>
      <c r="AB139" s="1178"/>
      <c r="AC139" s="1179"/>
      <c r="AD139" s="227" t="s">
        <v>22</v>
      </c>
      <c r="AE139" s="1027" t="str">
        <f t="shared" si="46"/>
        <v>►</v>
      </c>
      <c r="AF139" s="1028" t="str">
        <f t="shared" si="47"/>
        <v/>
      </c>
      <c r="AG139" s="1029" t="str">
        <f t="shared" si="48"/>
        <v/>
      </c>
      <c r="AH139" s="1028" t="str">
        <f t="shared" si="49"/>
        <v/>
      </c>
      <c r="AI139" s="1029" t="str">
        <f t="shared" si="50"/>
        <v/>
      </c>
      <c r="AJ139" s="1029">
        <f t="shared" si="51"/>
        <v>0</v>
      </c>
      <c r="AK139" s="1043" t="str" cm="1">
        <f t="array" ref="AK139">IF(AE139&lt;&gt;"A","",IFERROR((IFERROR(_xlfn.XLOOKUP(TRIM(SUBSTITUTE(U139,CHAR(160)," ")),$BI$15:$BI$62,$BL$15:$BL$62),IFERROR(_xlfn.XLOOKUP(TRIM(SUBSTITUTE(U139,CHAR(160)," ")),$BJ$15:$BJ$62,$BL$15:$BL$62),_xlfn.XLOOKUP(TRIM(SUBSTITUTE(U139,CHAR(160)," ")),$BK$15:$BK$62,$BL$15:$BL$62))))*T139*IF(ISBLANK(Q139),1,Q139)+IFERROR(_xlfn.XLOOKUP("RECHERCHEX",TRIM(L139:AC139),L139:AC139),0),0))</f>
        <v/>
      </c>
      <c r="AL139" s="1030">
        <f t="shared" si="52"/>
        <v>0</v>
      </c>
      <c r="AM139" s="5254" t="str">
        <f t="shared" si="67"/>
        <v/>
      </c>
      <c r="AN139" s="1031">
        <f t="shared" si="53"/>
        <v>0</v>
      </c>
      <c r="AO139" s="1031">
        <f t="shared" si="54"/>
        <v>0</v>
      </c>
      <c r="AP139" s="1044">
        <f t="shared" si="55"/>
        <v>0</v>
      </c>
      <c r="AQ139" s="5257" t="str">
        <f t="shared" si="56"/>
        <v/>
      </c>
      <c r="AR139" s="1056"/>
      <c r="AS139" s="1056"/>
      <c r="AT139" s="1045">
        <f t="shared" si="57"/>
        <v>0</v>
      </c>
      <c r="AU139" s="1046">
        <f t="shared" si="58"/>
        <v>0</v>
      </c>
      <c r="AV139" s="1059" cm="1">
        <f t="array" ref="AV139">IF(AJ139&lt;&gt;1,0,IF(OR(AT139="",N(AT139)&lt;=0.000000001),"",IF(OR(AN139="",N(AN139)&lt;=0.000000001),0,IF(ISNUMBER(AT139),IFERROR(_xlfn.LET(_xlpm.ai_test,TRIM(AI139),_xlpm.r,IFERROR(_xlfn.XLOOKUP(_xlpm.ai_test,$BI$15:$BI$62,ROW($BI$15:$BI$62),0,1),IFERROR(_xlfn.XLOOKUP(_xlpm.ai_test,$BJ$15:$BJ$62,ROW($BJ$15:$BJ$62),0,1),_xlfn.XLOOKUP(_xlpm.ai_test,$BK$15:$BK$62,ROW($BK$15:$BK$62),0,1))),_xlpm.p,_xlpm.r-MIN(ROW($BI$15:$BI$62))+1,_xlpm.f,INDEX($BL$15:$BL$62,_xlpm.p),_xlpm.u,INDEX($BM$15:$BM$62,_xlpm.p),_xlpm.s,INDEX($BO$15:$BO$62,_xlpm.p),_xlpm.q,N(AT139)/_xlpm.f,IF(_xlpm.q&gt;=_xlpm.s,ROUND(_xlpm.q,1)&amp;" "&amp;_xlpm.ai_test&amp;" = "&amp;ROUND(_xlpm.q*_xlpm.f,1)&amp;" "&amp;_xlpm.u,ROUND(_xlpm.q,1)&amp;" "&amp;_xlpm.ai_test)),""),""))))</f>
        <v>0</v>
      </c>
      <c r="AW139" s="1047"/>
      <c r="AX139" s="1045">
        <f t="shared" si="59"/>
        <v>0</v>
      </c>
      <c r="AY139" s="1046" t="str">
        <f t="shared" si="60"/>
        <v/>
      </c>
      <c r="AZ139" s="1048">
        <f t="shared" si="65"/>
        <v>0</v>
      </c>
      <c r="BA139" s="1049" t="str">
        <f t="shared" si="61"/>
        <v/>
      </c>
      <c r="BB139" s="1038"/>
      <c r="BC139" s="1050">
        <f t="shared" si="66"/>
        <v>0</v>
      </c>
      <c r="BD139" s="1040" t="str">
        <f t="shared" si="62"/>
        <v/>
      </c>
      <c r="BE139" s="227" t="s">
        <v>22</v>
      </c>
      <c r="BF139" s="1019">
        <f t="shared" si="63"/>
        <v>0</v>
      </c>
      <c r="BG139" s="1020">
        <f t="shared" si="64"/>
        <v>0</v>
      </c>
      <c r="BH139"/>
      <c r="BQ139"/>
      <c r="BR139"/>
      <c r="BS139"/>
      <c r="BT139"/>
      <c r="BU139"/>
      <c r="BV139"/>
      <c r="BW139" s="959" t="str">
        <f t="shared" si="69"/>
        <v>►</v>
      </c>
      <c r="CC139" s="856"/>
      <c r="DB139" s="3">
        <v>1</v>
      </c>
    </row>
    <row r="140" spans="1:106" s="709" customFormat="1" ht="21" customHeight="1">
      <c r="A140" s="936" t="s">
        <v>22</v>
      </c>
      <c r="B140" s="952" t="str">
        <f t="shared" si="68"/>
        <v>►</v>
      </c>
      <c r="C140" s="993" cm="1">
        <f t="array" ref="C140">SUMPRODUCT(LEN(D140:J140))</f>
        <v>0</v>
      </c>
      <c r="D140" s="167"/>
      <c r="E140" s="172"/>
      <c r="F140" s="172"/>
      <c r="G140" s="172"/>
      <c r="H140" s="172"/>
      <c r="I140" s="172"/>
      <c r="J140" s="173"/>
      <c r="K140" s="442" t="s">
        <v>22</v>
      </c>
      <c r="L140" s="104" t="s">
        <v>16</v>
      </c>
      <c r="M140" s="1172"/>
      <c r="N140" s="1172"/>
      <c r="O140" s="1172"/>
      <c r="P140" s="1173"/>
      <c r="Q140" s="1174"/>
      <c r="R140" s="1175"/>
      <c r="S140" s="1176"/>
      <c r="T140" s="1177"/>
      <c r="U140" s="5248"/>
      <c r="V140" s="1177"/>
      <c r="W140" s="5249"/>
      <c r="X140" s="5208"/>
      <c r="Y140" s="5209"/>
      <c r="Z140" s="5210"/>
      <c r="AA140" s="5211"/>
      <c r="AB140" s="1178"/>
      <c r="AC140" s="1179"/>
      <c r="AD140" s="227" t="s">
        <v>22</v>
      </c>
      <c r="AE140" s="1027" t="str">
        <f t="shared" si="46"/>
        <v>►</v>
      </c>
      <c r="AF140" s="1028" t="str">
        <f t="shared" si="47"/>
        <v/>
      </c>
      <c r="AG140" s="1029" t="str">
        <f t="shared" si="48"/>
        <v/>
      </c>
      <c r="AH140" s="1028" t="str">
        <f t="shared" si="49"/>
        <v/>
      </c>
      <c r="AI140" s="1029" t="str">
        <f t="shared" si="50"/>
        <v/>
      </c>
      <c r="AJ140" s="1029">
        <f t="shared" si="51"/>
        <v>0</v>
      </c>
      <c r="AK140" s="1043" t="str" cm="1">
        <f t="array" ref="AK140">IF(AE140&lt;&gt;"A","",IFERROR((IFERROR(_xlfn.XLOOKUP(TRIM(SUBSTITUTE(U140,CHAR(160)," ")),$BI$15:$BI$62,$BL$15:$BL$62),IFERROR(_xlfn.XLOOKUP(TRIM(SUBSTITUTE(U140,CHAR(160)," ")),$BJ$15:$BJ$62,$BL$15:$BL$62),_xlfn.XLOOKUP(TRIM(SUBSTITUTE(U140,CHAR(160)," ")),$BK$15:$BK$62,$BL$15:$BL$62))))*T140*IF(ISBLANK(Q140),1,Q140)+IFERROR(_xlfn.XLOOKUP("RECHERCHEX",TRIM(L140:AC140),L140:AC140),0),0))</f>
        <v/>
      </c>
      <c r="AL140" s="1030">
        <f t="shared" si="52"/>
        <v>0</v>
      </c>
      <c r="AM140" s="5254" t="str">
        <f t="shared" si="67"/>
        <v/>
      </c>
      <c r="AN140" s="1031">
        <f t="shared" si="53"/>
        <v>0</v>
      </c>
      <c r="AO140" s="1031">
        <f t="shared" si="54"/>
        <v>0</v>
      </c>
      <c r="AP140" s="1032">
        <f t="shared" si="55"/>
        <v>0</v>
      </c>
      <c r="AQ140" s="5255" t="str">
        <f t="shared" si="56"/>
        <v/>
      </c>
      <c r="AR140" s="1056"/>
      <c r="AS140" s="1056"/>
      <c r="AT140" s="1034">
        <f t="shared" si="57"/>
        <v>0</v>
      </c>
      <c r="AU140" s="1035">
        <f t="shared" si="58"/>
        <v>0</v>
      </c>
      <c r="AV140" s="1057" cm="1">
        <f t="array" ref="AV140">IF(AJ140&lt;&gt;1,0,IF(OR(AT140="",N(AT140)&lt;=0.000000001),"",IF(OR(AN140="",N(AN140)&lt;=0.000000001),0,IF(ISNUMBER(AT140),IFERROR(_xlfn.LET(_xlpm.ai_test,TRIM(AI140),_xlpm.r,IFERROR(_xlfn.XLOOKUP(_xlpm.ai_test,$BI$15:$BI$62,ROW($BI$15:$BI$62),0,1),IFERROR(_xlfn.XLOOKUP(_xlpm.ai_test,$BJ$15:$BJ$62,ROW($BJ$15:$BJ$62),0,1),_xlfn.XLOOKUP(_xlpm.ai_test,$BK$15:$BK$62,ROW($BK$15:$BK$62),0,1))),_xlpm.p,_xlpm.r-MIN(ROW($BI$15:$BI$62))+1,_xlpm.f,INDEX($BL$15:$BL$62,_xlpm.p),_xlpm.u,INDEX($BM$15:$BM$62,_xlpm.p),_xlpm.s,INDEX($BO$15:$BO$62,_xlpm.p),_xlpm.q,N(AT140)/_xlpm.f,IF(_xlpm.q&gt;=_xlpm.s,ROUND(_xlpm.q,1)&amp;" "&amp;_xlpm.ai_test&amp;" = "&amp;ROUND(_xlpm.q*_xlpm.f,1)&amp;" "&amp;_xlpm.u,ROUND(_xlpm.q,1)&amp;" "&amp;_xlpm.ai_test)),""),""))))</f>
        <v>0</v>
      </c>
      <c r="AW140" s="1047"/>
      <c r="AX140" s="1034">
        <f t="shared" si="59"/>
        <v>0</v>
      </c>
      <c r="AY140" s="1035" t="str">
        <f t="shared" si="60"/>
        <v/>
      </c>
      <c r="AZ140" s="1036">
        <f t="shared" si="65"/>
        <v>0</v>
      </c>
      <c r="BA140" s="1037" t="str">
        <f t="shared" si="61"/>
        <v/>
      </c>
      <c r="BB140" s="1038"/>
      <c r="BC140" s="1039">
        <f t="shared" si="66"/>
        <v>0</v>
      </c>
      <c r="BD140" s="1040" t="str">
        <f t="shared" si="62"/>
        <v/>
      </c>
      <c r="BE140" s="227" t="s">
        <v>22</v>
      </c>
      <c r="BF140" s="1019">
        <f t="shared" si="63"/>
        <v>0</v>
      </c>
      <c r="BG140" s="1020">
        <f t="shared" si="64"/>
        <v>0</v>
      </c>
      <c r="BH140"/>
      <c r="BQ140"/>
      <c r="BR140"/>
      <c r="BS140"/>
      <c r="BT140"/>
      <c r="BU140"/>
      <c r="BV140"/>
      <c r="BW140" s="959" t="str">
        <f t="shared" si="69"/>
        <v>►</v>
      </c>
      <c r="CC140" s="856"/>
      <c r="DB140" s="3">
        <v>1</v>
      </c>
    </row>
    <row r="141" spans="1:106" s="709" customFormat="1" ht="21" customHeight="1">
      <c r="A141" s="936" t="s">
        <v>22</v>
      </c>
      <c r="B141" s="952" t="str">
        <f t="shared" si="68"/>
        <v>►</v>
      </c>
      <c r="C141" s="993" cm="1">
        <f t="array" ref="C141">SUMPRODUCT(LEN(D141:J141))</f>
        <v>0</v>
      </c>
      <c r="D141" s="167"/>
      <c r="E141" s="172"/>
      <c r="F141" s="172"/>
      <c r="G141" s="172"/>
      <c r="H141" s="172"/>
      <c r="I141" s="172"/>
      <c r="J141" s="173"/>
      <c r="K141" s="442"/>
      <c r="L141" s="104" t="s">
        <v>16</v>
      </c>
      <c r="M141" s="1172"/>
      <c r="N141" s="1172"/>
      <c r="O141" s="1172"/>
      <c r="P141" s="1173"/>
      <c r="Q141" s="1174"/>
      <c r="R141" s="1175"/>
      <c r="S141" s="1176"/>
      <c r="T141" s="1177"/>
      <c r="U141" s="5248"/>
      <c r="V141" s="1177"/>
      <c r="W141" s="5249"/>
      <c r="X141" s="5208"/>
      <c r="Y141" s="5209"/>
      <c r="Z141" s="5210"/>
      <c r="AA141" s="5211"/>
      <c r="AB141" s="1178"/>
      <c r="AC141" s="1179"/>
      <c r="AD141" s="227" t="s">
        <v>22</v>
      </c>
      <c r="AE141" s="1027" t="str">
        <f t="shared" si="46"/>
        <v>►</v>
      </c>
      <c r="AF141" s="1028" t="str">
        <f t="shared" si="47"/>
        <v/>
      </c>
      <c r="AG141" s="1029" t="str">
        <f t="shared" si="48"/>
        <v/>
      </c>
      <c r="AH141" s="1028" t="str">
        <f t="shared" si="49"/>
        <v/>
      </c>
      <c r="AI141" s="1029" t="str">
        <f t="shared" si="50"/>
        <v/>
      </c>
      <c r="AJ141" s="1029">
        <f t="shared" si="51"/>
        <v>0</v>
      </c>
      <c r="AK141" s="1043" t="str" cm="1">
        <f t="array" ref="AK141">IF(AE141&lt;&gt;"A","",IFERROR((IFERROR(_xlfn.XLOOKUP(TRIM(SUBSTITUTE(U141,CHAR(160)," ")),$BI$15:$BI$62,$BL$15:$BL$62),IFERROR(_xlfn.XLOOKUP(TRIM(SUBSTITUTE(U141,CHAR(160)," ")),$BJ$15:$BJ$62,$BL$15:$BL$62),_xlfn.XLOOKUP(TRIM(SUBSTITUTE(U141,CHAR(160)," ")),$BK$15:$BK$62,$BL$15:$BL$62))))*T141*IF(ISBLANK(Q141),1,Q141)+IFERROR(_xlfn.XLOOKUP("RECHERCHEX",TRIM(L141:AC141),L141:AC141),0),0))</f>
        <v/>
      </c>
      <c r="AL141" s="1030">
        <f t="shared" si="52"/>
        <v>0</v>
      </c>
      <c r="AM141" s="5254" t="str">
        <f t="shared" si="67"/>
        <v/>
      </c>
      <c r="AN141" s="1031">
        <f t="shared" si="53"/>
        <v>0</v>
      </c>
      <c r="AO141" s="1031">
        <f t="shared" si="54"/>
        <v>0</v>
      </c>
      <c r="AP141" s="1044">
        <f t="shared" si="55"/>
        <v>0</v>
      </c>
      <c r="AQ141" s="5257" t="str">
        <f t="shared" si="56"/>
        <v/>
      </c>
      <c r="AR141" s="1056"/>
      <c r="AS141" s="1056"/>
      <c r="AT141" s="1045">
        <f t="shared" si="57"/>
        <v>0</v>
      </c>
      <c r="AU141" s="1046">
        <f t="shared" si="58"/>
        <v>0</v>
      </c>
      <c r="AV141" s="1059" cm="1">
        <f t="array" ref="AV141">IF(AJ141&lt;&gt;1,0,IF(OR(AT141="",N(AT141)&lt;=0.000000001),"",IF(OR(AN141="",N(AN141)&lt;=0.000000001),0,IF(ISNUMBER(AT141),IFERROR(_xlfn.LET(_xlpm.ai_test,TRIM(AI141),_xlpm.r,IFERROR(_xlfn.XLOOKUP(_xlpm.ai_test,$BI$15:$BI$62,ROW($BI$15:$BI$62),0,1),IFERROR(_xlfn.XLOOKUP(_xlpm.ai_test,$BJ$15:$BJ$62,ROW($BJ$15:$BJ$62),0,1),_xlfn.XLOOKUP(_xlpm.ai_test,$BK$15:$BK$62,ROW($BK$15:$BK$62),0,1))),_xlpm.p,_xlpm.r-MIN(ROW($BI$15:$BI$62))+1,_xlpm.f,INDEX($BL$15:$BL$62,_xlpm.p),_xlpm.u,INDEX($BM$15:$BM$62,_xlpm.p),_xlpm.s,INDEX($BO$15:$BO$62,_xlpm.p),_xlpm.q,N(AT141)/_xlpm.f,IF(_xlpm.q&gt;=_xlpm.s,ROUND(_xlpm.q,1)&amp;" "&amp;_xlpm.ai_test&amp;" = "&amp;ROUND(_xlpm.q*_xlpm.f,1)&amp;" "&amp;_xlpm.u,ROUND(_xlpm.q,1)&amp;" "&amp;_xlpm.ai_test)),""),""))))</f>
        <v>0</v>
      </c>
      <c r="AW141" s="1047"/>
      <c r="AX141" s="1045">
        <f t="shared" si="59"/>
        <v>0</v>
      </c>
      <c r="AY141" s="1046" t="str">
        <f t="shared" si="60"/>
        <v/>
      </c>
      <c r="AZ141" s="1048">
        <f t="shared" si="65"/>
        <v>0</v>
      </c>
      <c r="BA141" s="1049" t="str">
        <f t="shared" si="61"/>
        <v/>
      </c>
      <c r="BB141" s="1038"/>
      <c r="BC141" s="1050">
        <f t="shared" si="66"/>
        <v>0</v>
      </c>
      <c r="BD141" s="1040" t="str">
        <f t="shared" si="62"/>
        <v/>
      </c>
      <c r="BE141" s="227" t="s">
        <v>22</v>
      </c>
      <c r="BF141" s="1019">
        <f t="shared" si="63"/>
        <v>0</v>
      </c>
      <c r="BG141" s="1020">
        <f t="shared" si="64"/>
        <v>0</v>
      </c>
      <c r="BH141"/>
      <c r="BQ141"/>
      <c r="BR141"/>
      <c r="BS141"/>
      <c r="BT141"/>
      <c r="BU141"/>
      <c r="BV141"/>
      <c r="BW141" s="959" t="str">
        <f t="shared" si="69"/>
        <v>►</v>
      </c>
      <c r="CC141" s="856"/>
      <c r="DB141" s="3">
        <v>1</v>
      </c>
    </row>
    <row r="142" spans="1:106" s="709" customFormat="1" ht="21" customHeight="1">
      <c r="A142" s="936" t="s">
        <v>22</v>
      </c>
      <c r="B142" s="952" t="str">
        <f t="shared" si="68"/>
        <v>►</v>
      </c>
      <c r="C142" s="993" cm="1">
        <f t="array" ref="C142">SUMPRODUCT(LEN(D142:J142))</f>
        <v>0</v>
      </c>
      <c r="D142" s="167"/>
      <c r="E142" s="172"/>
      <c r="F142" s="172"/>
      <c r="G142" s="172"/>
      <c r="H142" s="172"/>
      <c r="I142" s="172"/>
      <c r="J142" s="173"/>
      <c r="K142" s="442"/>
      <c r="L142" s="104" t="s">
        <v>16</v>
      </c>
      <c r="M142" s="1172"/>
      <c r="N142" s="1172"/>
      <c r="O142" s="1172"/>
      <c r="P142" s="1173"/>
      <c r="Q142" s="1174"/>
      <c r="R142" s="1175"/>
      <c r="S142" s="1176"/>
      <c r="T142" s="1177"/>
      <c r="U142" s="5248"/>
      <c r="V142" s="1177"/>
      <c r="W142" s="5249"/>
      <c r="X142" s="5208"/>
      <c r="Y142" s="5209"/>
      <c r="Z142" s="5210"/>
      <c r="AA142" s="5211"/>
      <c r="AB142" s="1178"/>
      <c r="AC142" s="1179"/>
      <c r="AD142" s="227" t="s">
        <v>22</v>
      </c>
      <c r="AE142" s="1027" t="str">
        <f t="shared" si="46"/>
        <v>►</v>
      </c>
      <c r="AF142" s="1028" t="str">
        <f t="shared" si="47"/>
        <v/>
      </c>
      <c r="AG142" s="1029" t="str">
        <f t="shared" si="48"/>
        <v/>
      </c>
      <c r="AH142" s="1028" t="str">
        <f t="shared" si="49"/>
        <v/>
      </c>
      <c r="AI142" s="1029" t="str">
        <f t="shared" si="50"/>
        <v/>
      </c>
      <c r="AJ142" s="1029">
        <f t="shared" si="51"/>
        <v>0</v>
      </c>
      <c r="AK142" s="1043" t="str" cm="1">
        <f t="array" ref="AK142">IF(AE142&lt;&gt;"A","",IFERROR((IFERROR(_xlfn.XLOOKUP(TRIM(SUBSTITUTE(U142,CHAR(160)," ")),$BI$15:$BI$62,$BL$15:$BL$62),IFERROR(_xlfn.XLOOKUP(TRIM(SUBSTITUTE(U142,CHAR(160)," ")),$BJ$15:$BJ$62,$BL$15:$BL$62),_xlfn.XLOOKUP(TRIM(SUBSTITUTE(U142,CHAR(160)," ")),$BK$15:$BK$62,$BL$15:$BL$62))))*T142*IF(ISBLANK(Q142),1,Q142)+IFERROR(_xlfn.XLOOKUP("RECHERCHEX",TRIM(L142:AC142),L142:AC142),0),0))</f>
        <v/>
      </c>
      <c r="AL142" s="1030">
        <f t="shared" si="52"/>
        <v>0</v>
      </c>
      <c r="AM142" s="5254" t="str">
        <f t="shared" si="67"/>
        <v/>
      </c>
      <c r="AN142" s="1031">
        <f t="shared" si="53"/>
        <v>0</v>
      </c>
      <c r="AO142" s="1031">
        <f t="shared" si="54"/>
        <v>0</v>
      </c>
      <c r="AP142" s="1032">
        <f t="shared" si="55"/>
        <v>0</v>
      </c>
      <c r="AQ142" s="5255" t="str">
        <f t="shared" si="56"/>
        <v/>
      </c>
      <c r="AR142" s="1056"/>
      <c r="AS142" s="1056"/>
      <c r="AT142" s="1034">
        <f t="shared" si="57"/>
        <v>0</v>
      </c>
      <c r="AU142" s="1035">
        <f t="shared" si="58"/>
        <v>0</v>
      </c>
      <c r="AV142" s="1057" cm="1">
        <f t="array" ref="AV142">IF(AJ142&lt;&gt;1,0,IF(OR(AT142="",N(AT142)&lt;=0.000000001),"",IF(OR(AN142="",N(AN142)&lt;=0.000000001),0,IF(ISNUMBER(AT142),IFERROR(_xlfn.LET(_xlpm.ai_test,TRIM(AI142),_xlpm.r,IFERROR(_xlfn.XLOOKUP(_xlpm.ai_test,$BI$15:$BI$62,ROW($BI$15:$BI$62),0,1),IFERROR(_xlfn.XLOOKUP(_xlpm.ai_test,$BJ$15:$BJ$62,ROW($BJ$15:$BJ$62),0,1),_xlfn.XLOOKUP(_xlpm.ai_test,$BK$15:$BK$62,ROW($BK$15:$BK$62),0,1))),_xlpm.p,_xlpm.r-MIN(ROW($BI$15:$BI$62))+1,_xlpm.f,INDEX($BL$15:$BL$62,_xlpm.p),_xlpm.u,INDEX($BM$15:$BM$62,_xlpm.p),_xlpm.s,INDEX($BO$15:$BO$62,_xlpm.p),_xlpm.q,N(AT142)/_xlpm.f,IF(_xlpm.q&gt;=_xlpm.s,ROUND(_xlpm.q,1)&amp;" "&amp;_xlpm.ai_test&amp;" = "&amp;ROUND(_xlpm.q*_xlpm.f,1)&amp;" "&amp;_xlpm.u,ROUND(_xlpm.q,1)&amp;" "&amp;_xlpm.ai_test)),""),""))))</f>
        <v>0</v>
      </c>
      <c r="AW142" s="1047"/>
      <c r="AX142" s="1034">
        <f t="shared" si="59"/>
        <v>0</v>
      </c>
      <c r="AY142" s="1035" t="str">
        <f t="shared" si="60"/>
        <v/>
      </c>
      <c r="AZ142" s="1036">
        <f t="shared" si="65"/>
        <v>0</v>
      </c>
      <c r="BA142" s="1037" t="str">
        <f t="shared" si="61"/>
        <v/>
      </c>
      <c r="BB142" s="1038"/>
      <c r="BC142" s="1039">
        <f t="shared" si="66"/>
        <v>0</v>
      </c>
      <c r="BD142" s="1040" t="str">
        <f t="shared" si="62"/>
        <v/>
      </c>
      <c r="BE142" s="227" t="s">
        <v>22</v>
      </c>
      <c r="BF142" s="1019">
        <f t="shared" si="63"/>
        <v>0</v>
      </c>
      <c r="BG142" s="1020">
        <f t="shared" si="64"/>
        <v>0</v>
      </c>
      <c r="BH142"/>
      <c r="BQ142"/>
      <c r="BR142"/>
      <c r="BS142"/>
      <c r="BT142"/>
      <c r="BU142"/>
      <c r="BV142"/>
      <c r="BW142" s="959" t="str">
        <f t="shared" si="69"/>
        <v>►</v>
      </c>
      <c r="CC142" s="856"/>
      <c r="DB142" s="3">
        <v>1</v>
      </c>
    </row>
    <row r="143" spans="1:106" s="709" customFormat="1" ht="21" customHeight="1">
      <c r="A143" s="936" t="s">
        <v>22</v>
      </c>
      <c r="B143" s="952" t="str">
        <f t="shared" si="68"/>
        <v>►</v>
      </c>
      <c r="C143" s="993" cm="1">
        <f t="array" ref="C143">SUMPRODUCT(LEN(D143:J143))</f>
        <v>0</v>
      </c>
      <c r="D143" s="167"/>
      <c r="E143" s="172"/>
      <c r="F143" s="172"/>
      <c r="G143" s="172"/>
      <c r="H143" s="172"/>
      <c r="I143" s="172"/>
      <c r="J143" s="173"/>
      <c r="K143" s="442"/>
      <c r="L143" s="104" t="s">
        <v>16</v>
      </c>
      <c r="M143" s="1172"/>
      <c r="N143" s="1172"/>
      <c r="O143" s="1172"/>
      <c r="P143" s="1173"/>
      <c r="Q143" s="1174"/>
      <c r="R143" s="1175"/>
      <c r="S143" s="1176"/>
      <c r="T143" s="1177"/>
      <c r="U143" s="5248"/>
      <c r="V143" s="1177"/>
      <c r="W143" s="5249"/>
      <c r="X143" s="5208"/>
      <c r="Y143" s="5209"/>
      <c r="Z143" s="5210"/>
      <c r="AA143" s="5211"/>
      <c r="AB143" s="1178"/>
      <c r="AC143" s="1179"/>
      <c r="AD143" s="227" t="s">
        <v>22</v>
      </c>
      <c r="AE143" s="1027" t="str">
        <f t="shared" si="46"/>
        <v>►</v>
      </c>
      <c r="AF143" s="1028" t="str">
        <f t="shared" si="47"/>
        <v/>
      </c>
      <c r="AG143" s="1029" t="str">
        <f t="shared" si="48"/>
        <v/>
      </c>
      <c r="AH143" s="1028" t="str">
        <f t="shared" si="49"/>
        <v/>
      </c>
      <c r="AI143" s="1029" t="str">
        <f t="shared" si="50"/>
        <v/>
      </c>
      <c r="AJ143" s="1029">
        <f t="shared" si="51"/>
        <v>0</v>
      </c>
      <c r="AK143" s="1043" t="str" cm="1">
        <f t="array" ref="AK143">IF(AE143&lt;&gt;"A","",IFERROR((IFERROR(_xlfn.XLOOKUP(TRIM(SUBSTITUTE(U143,CHAR(160)," ")),$BI$15:$BI$62,$BL$15:$BL$62),IFERROR(_xlfn.XLOOKUP(TRIM(SUBSTITUTE(U143,CHAR(160)," ")),$BJ$15:$BJ$62,$BL$15:$BL$62),_xlfn.XLOOKUP(TRIM(SUBSTITUTE(U143,CHAR(160)," ")),$BK$15:$BK$62,$BL$15:$BL$62))))*T143*IF(ISBLANK(Q143),1,Q143)+IFERROR(_xlfn.XLOOKUP("RECHERCHEX",TRIM(L143:AC143),L143:AC143),0),0))</f>
        <v/>
      </c>
      <c r="AL143" s="1030">
        <f t="shared" si="52"/>
        <v>0</v>
      </c>
      <c r="AM143" s="5254" t="str">
        <f t="shared" si="67"/>
        <v/>
      </c>
      <c r="AN143" s="1031">
        <f t="shared" si="53"/>
        <v>0</v>
      </c>
      <c r="AO143" s="1031">
        <f t="shared" si="54"/>
        <v>0</v>
      </c>
      <c r="AP143" s="1044">
        <f t="shared" si="55"/>
        <v>0</v>
      </c>
      <c r="AQ143" s="5257" t="str">
        <f t="shared" si="56"/>
        <v/>
      </c>
      <c r="AR143" s="1056"/>
      <c r="AS143" s="1056"/>
      <c r="AT143" s="1045">
        <f t="shared" si="57"/>
        <v>0</v>
      </c>
      <c r="AU143" s="1046">
        <f t="shared" si="58"/>
        <v>0</v>
      </c>
      <c r="AV143" s="1059" cm="1">
        <f t="array" ref="AV143">IF(AJ143&lt;&gt;1,0,IF(OR(AT143="",N(AT143)&lt;=0.000000001),"",IF(OR(AN143="",N(AN143)&lt;=0.000000001),0,IF(ISNUMBER(AT143),IFERROR(_xlfn.LET(_xlpm.ai_test,TRIM(AI143),_xlpm.r,IFERROR(_xlfn.XLOOKUP(_xlpm.ai_test,$BI$15:$BI$62,ROW($BI$15:$BI$62),0,1),IFERROR(_xlfn.XLOOKUP(_xlpm.ai_test,$BJ$15:$BJ$62,ROW($BJ$15:$BJ$62),0,1),_xlfn.XLOOKUP(_xlpm.ai_test,$BK$15:$BK$62,ROW($BK$15:$BK$62),0,1))),_xlpm.p,_xlpm.r-MIN(ROW($BI$15:$BI$62))+1,_xlpm.f,INDEX($BL$15:$BL$62,_xlpm.p),_xlpm.u,INDEX($BM$15:$BM$62,_xlpm.p),_xlpm.s,INDEX($BO$15:$BO$62,_xlpm.p),_xlpm.q,N(AT143)/_xlpm.f,IF(_xlpm.q&gt;=_xlpm.s,ROUND(_xlpm.q,1)&amp;" "&amp;_xlpm.ai_test&amp;" = "&amp;ROUND(_xlpm.q*_xlpm.f,1)&amp;" "&amp;_xlpm.u,ROUND(_xlpm.q,1)&amp;" "&amp;_xlpm.ai_test)),""),""))))</f>
        <v>0</v>
      </c>
      <c r="AW143" s="1047"/>
      <c r="AX143" s="1045">
        <f t="shared" si="59"/>
        <v>0</v>
      </c>
      <c r="AY143" s="1046" t="str">
        <f t="shared" si="60"/>
        <v/>
      </c>
      <c r="AZ143" s="1048">
        <f t="shared" si="65"/>
        <v>0</v>
      </c>
      <c r="BA143" s="1049" t="str">
        <f t="shared" si="61"/>
        <v/>
      </c>
      <c r="BB143" s="1038"/>
      <c r="BC143" s="1050">
        <f t="shared" si="66"/>
        <v>0</v>
      </c>
      <c r="BD143" s="1040" t="str">
        <f t="shared" si="62"/>
        <v/>
      </c>
      <c r="BE143" s="227" t="s">
        <v>22</v>
      </c>
      <c r="BF143" s="1019">
        <f t="shared" si="63"/>
        <v>0</v>
      </c>
      <c r="BG143" s="1020">
        <f t="shared" si="64"/>
        <v>0</v>
      </c>
      <c r="BH143"/>
      <c r="BQ143"/>
      <c r="BR143"/>
      <c r="BS143"/>
      <c r="BT143"/>
      <c r="BU143"/>
      <c r="BV143"/>
      <c r="BW143" s="959" t="str">
        <f t="shared" si="69"/>
        <v>►</v>
      </c>
      <c r="CC143" s="856"/>
      <c r="DB143" s="3">
        <v>1</v>
      </c>
    </row>
    <row r="144" spans="1:106" s="709" customFormat="1" ht="21" customHeight="1">
      <c r="A144" s="936" t="s">
        <v>22</v>
      </c>
      <c r="B144" s="952" t="str">
        <f t="shared" si="68"/>
        <v>►</v>
      </c>
      <c r="C144" s="993" cm="1">
        <f t="array" ref="C144">SUMPRODUCT(LEN(D144:J144))</f>
        <v>0</v>
      </c>
      <c r="D144" s="167"/>
      <c r="E144" s="172"/>
      <c r="F144" s="172"/>
      <c r="G144" s="172"/>
      <c r="H144" s="172"/>
      <c r="I144" s="172"/>
      <c r="J144" s="173"/>
      <c r="K144" s="442"/>
      <c r="L144" s="104" t="s">
        <v>16</v>
      </c>
      <c r="M144" s="1172"/>
      <c r="N144" s="1172"/>
      <c r="O144" s="1172"/>
      <c r="P144" s="1173"/>
      <c r="Q144" s="1174"/>
      <c r="R144" s="1175"/>
      <c r="S144" s="1176"/>
      <c r="T144" s="1177"/>
      <c r="U144" s="5248"/>
      <c r="V144" s="1177"/>
      <c r="W144" s="5249"/>
      <c r="X144" s="5208"/>
      <c r="Y144" s="5209"/>
      <c r="Z144" s="5210"/>
      <c r="AA144" s="5211"/>
      <c r="AB144" s="1178"/>
      <c r="AC144" s="1179"/>
      <c r="AD144" s="227" t="s">
        <v>22</v>
      </c>
      <c r="AE144" s="1027" t="str">
        <f t="shared" si="46"/>
        <v>►</v>
      </c>
      <c r="AF144" s="1028" t="str">
        <f t="shared" si="47"/>
        <v/>
      </c>
      <c r="AG144" s="1029" t="str">
        <f t="shared" si="48"/>
        <v/>
      </c>
      <c r="AH144" s="1028" t="str">
        <f t="shared" si="49"/>
        <v/>
      </c>
      <c r="AI144" s="1029" t="str">
        <f t="shared" si="50"/>
        <v/>
      </c>
      <c r="AJ144" s="1029">
        <f t="shared" si="51"/>
        <v>0</v>
      </c>
      <c r="AK144" s="1043" t="str" cm="1">
        <f t="array" ref="AK144">IF(AE144&lt;&gt;"A","",IFERROR((IFERROR(_xlfn.XLOOKUP(TRIM(SUBSTITUTE(U144,CHAR(160)," ")),$BI$15:$BI$62,$BL$15:$BL$62),IFERROR(_xlfn.XLOOKUP(TRIM(SUBSTITUTE(U144,CHAR(160)," ")),$BJ$15:$BJ$62,$BL$15:$BL$62),_xlfn.XLOOKUP(TRIM(SUBSTITUTE(U144,CHAR(160)," ")),$BK$15:$BK$62,$BL$15:$BL$62))))*T144*IF(ISBLANK(Q144),1,Q144)+IFERROR(_xlfn.XLOOKUP("RECHERCHEX",TRIM(L144:AC144),L144:AC144),0),0))</f>
        <v/>
      </c>
      <c r="AL144" s="1030">
        <f t="shared" si="52"/>
        <v>0</v>
      </c>
      <c r="AM144" s="5254" t="str">
        <f t="shared" si="67"/>
        <v/>
      </c>
      <c r="AN144" s="1031">
        <f t="shared" si="53"/>
        <v>0</v>
      </c>
      <c r="AO144" s="1031">
        <f t="shared" si="54"/>
        <v>0</v>
      </c>
      <c r="AP144" s="1032">
        <f t="shared" si="55"/>
        <v>0</v>
      </c>
      <c r="AQ144" s="5255" t="str">
        <f t="shared" si="56"/>
        <v/>
      </c>
      <c r="AR144" s="1056"/>
      <c r="AS144" s="1056"/>
      <c r="AT144" s="1034">
        <f t="shared" si="57"/>
        <v>0</v>
      </c>
      <c r="AU144" s="1035">
        <f t="shared" si="58"/>
        <v>0</v>
      </c>
      <c r="AV144" s="1057" cm="1">
        <f t="array" ref="AV144">IF(AJ144&lt;&gt;1,0,IF(OR(AT144="",N(AT144)&lt;=0.000000001),"",IF(OR(AN144="",N(AN144)&lt;=0.000000001),0,IF(ISNUMBER(AT144),IFERROR(_xlfn.LET(_xlpm.ai_test,TRIM(AI144),_xlpm.r,IFERROR(_xlfn.XLOOKUP(_xlpm.ai_test,$BI$15:$BI$62,ROW($BI$15:$BI$62),0,1),IFERROR(_xlfn.XLOOKUP(_xlpm.ai_test,$BJ$15:$BJ$62,ROW($BJ$15:$BJ$62),0,1),_xlfn.XLOOKUP(_xlpm.ai_test,$BK$15:$BK$62,ROW($BK$15:$BK$62),0,1))),_xlpm.p,_xlpm.r-MIN(ROW($BI$15:$BI$62))+1,_xlpm.f,INDEX($BL$15:$BL$62,_xlpm.p),_xlpm.u,INDEX($BM$15:$BM$62,_xlpm.p),_xlpm.s,INDEX($BO$15:$BO$62,_xlpm.p),_xlpm.q,N(AT144)/_xlpm.f,IF(_xlpm.q&gt;=_xlpm.s,ROUND(_xlpm.q,1)&amp;" "&amp;_xlpm.ai_test&amp;" = "&amp;ROUND(_xlpm.q*_xlpm.f,1)&amp;" "&amp;_xlpm.u,ROUND(_xlpm.q,1)&amp;" "&amp;_xlpm.ai_test)),""),""))))</f>
        <v>0</v>
      </c>
      <c r="AW144" s="1047"/>
      <c r="AX144" s="1034">
        <f t="shared" si="59"/>
        <v>0</v>
      </c>
      <c r="AY144" s="1035" t="str">
        <f t="shared" si="60"/>
        <v/>
      </c>
      <c r="AZ144" s="1036">
        <f t="shared" si="65"/>
        <v>0</v>
      </c>
      <c r="BA144" s="1037" t="str">
        <f t="shared" si="61"/>
        <v/>
      </c>
      <c r="BB144" s="1038"/>
      <c r="BC144" s="1039">
        <f t="shared" si="66"/>
        <v>0</v>
      </c>
      <c r="BD144" s="1040" t="str">
        <f t="shared" si="62"/>
        <v/>
      </c>
      <c r="BE144" s="227" t="s">
        <v>22</v>
      </c>
      <c r="BF144" s="1019">
        <f t="shared" si="63"/>
        <v>0</v>
      </c>
      <c r="BG144" s="1020">
        <f t="shared" si="64"/>
        <v>0</v>
      </c>
      <c r="BH144"/>
      <c r="BQ144"/>
      <c r="BR144"/>
      <c r="BS144"/>
      <c r="BT144"/>
      <c r="BU144"/>
      <c r="BV144"/>
      <c r="BW144" s="959" t="str">
        <f t="shared" si="69"/>
        <v>►</v>
      </c>
      <c r="CC144" s="856"/>
      <c r="DB144" s="3">
        <v>1</v>
      </c>
    </row>
    <row r="145" spans="1:106" s="709" customFormat="1" ht="21" customHeight="1">
      <c r="A145" s="936" t="s">
        <v>22</v>
      </c>
      <c r="B145" s="952" t="str">
        <f t="shared" si="68"/>
        <v>►</v>
      </c>
      <c r="C145" s="993" cm="1">
        <f t="array" ref="C145">SUMPRODUCT(LEN(D145:J145))</f>
        <v>0</v>
      </c>
      <c r="D145" s="167"/>
      <c r="E145" s="172"/>
      <c r="F145" s="172"/>
      <c r="G145" s="172"/>
      <c r="H145" s="172"/>
      <c r="I145" s="172"/>
      <c r="J145" s="173"/>
      <c r="K145" s="442"/>
      <c r="L145" s="104" t="s">
        <v>16</v>
      </c>
      <c r="M145" s="1172"/>
      <c r="N145" s="1172"/>
      <c r="O145" s="1172"/>
      <c r="P145" s="1173"/>
      <c r="Q145" s="1174"/>
      <c r="R145" s="1175"/>
      <c r="S145" s="1176"/>
      <c r="T145" s="1177"/>
      <c r="U145" s="5248"/>
      <c r="V145" s="1177"/>
      <c r="W145" s="5249"/>
      <c r="X145" s="5208"/>
      <c r="Y145" s="5209"/>
      <c r="Z145" s="5210"/>
      <c r="AA145" s="5211"/>
      <c r="AB145" s="1178"/>
      <c r="AC145" s="1179"/>
      <c r="AD145" s="227" t="s">
        <v>22</v>
      </c>
      <c r="AE145" s="1027" t="str">
        <f t="shared" si="46"/>
        <v>►</v>
      </c>
      <c r="AF145" s="1028" t="str">
        <f t="shared" si="47"/>
        <v/>
      </c>
      <c r="AG145" s="1029" t="str">
        <f t="shared" si="48"/>
        <v/>
      </c>
      <c r="AH145" s="1028" t="str">
        <f t="shared" si="49"/>
        <v/>
      </c>
      <c r="AI145" s="1029" t="str">
        <f t="shared" si="50"/>
        <v/>
      </c>
      <c r="AJ145" s="1029">
        <f t="shared" si="51"/>
        <v>0</v>
      </c>
      <c r="AK145" s="1043" t="str" cm="1">
        <f t="array" ref="AK145">IF(AE145&lt;&gt;"A","",IFERROR((IFERROR(_xlfn.XLOOKUP(TRIM(SUBSTITUTE(U145,CHAR(160)," ")),$BI$15:$BI$62,$BL$15:$BL$62),IFERROR(_xlfn.XLOOKUP(TRIM(SUBSTITUTE(U145,CHAR(160)," ")),$BJ$15:$BJ$62,$BL$15:$BL$62),_xlfn.XLOOKUP(TRIM(SUBSTITUTE(U145,CHAR(160)," ")),$BK$15:$BK$62,$BL$15:$BL$62))))*T145*IF(ISBLANK(Q145),1,Q145)+IFERROR(_xlfn.XLOOKUP("RECHERCHEX",TRIM(L145:AC145),L145:AC145),0),0))</f>
        <v/>
      </c>
      <c r="AL145" s="1030">
        <f t="shared" si="52"/>
        <v>0</v>
      </c>
      <c r="AM145" s="5254" t="str">
        <f t="shared" si="67"/>
        <v/>
      </c>
      <c r="AN145" s="1031">
        <f t="shared" si="53"/>
        <v>0</v>
      </c>
      <c r="AO145" s="1031">
        <f t="shared" si="54"/>
        <v>0</v>
      </c>
      <c r="AP145" s="1044">
        <f t="shared" si="55"/>
        <v>0</v>
      </c>
      <c r="AQ145" s="5257" t="str">
        <f t="shared" si="56"/>
        <v/>
      </c>
      <c r="AR145" s="1056"/>
      <c r="AS145" s="1056"/>
      <c r="AT145" s="1045">
        <f t="shared" si="57"/>
        <v>0</v>
      </c>
      <c r="AU145" s="1046">
        <f t="shared" si="58"/>
        <v>0</v>
      </c>
      <c r="AV145" s="1059" cm="1">
        <f t="array" ref="AV145">IF(AJ145&lt;&gt;1,0,IF(OR(AT145="",N(AT145)&lt;=0.000000001),"",IF(OR(AN145="",N(AN145)&lt;=0.000000001),0,IF(ISNUMBER(AT145),IFERROR(_xlfn.LET(_xlpm.ai_test,TRIM(AI145),_xlpm.r,IFERROR(_xlfn.XLOOKUP(_xlpm.ai_test,$BI$15:$BI$62,ROW($BI$15:$BI$62),0,1),IFERROR(_xlfn.XLOOKUP(_xlpm.ai_test,$BJ$15:$BJ$62,ROW($BJ$15:$BJ$62),0,1),_xlfn.XLOOKUP(_xlpm.ai_test,$BK$15:$BK$62,ROW($BK$15:$BK$62),0,1))),_xlpm.p,_xlpm.r-MIN(ROW($BI$15:$BI$62))+1,_xlpm.f,INDEX($BL$15:$BL$62,_xlpm.p),_xlpm.u,INDEX($BM$15:$BM$62,_xlpm.p),_xlpm.s,INDEX($BO$15:$BO$62,_xlpm.p),_xlpm.q,N(AT145)/_xlpm.f,IF(_xlpm.q&gt;=_xlpm.s,ROUND(_xlpm.q,1)&amp;" "&amp;_xlpm.ai_test&amp;" = "&amp;ROUND(_xlpm.q*_xlpm.f,1)&amp;" "&amp;_xlpm.u,ROUND(_xlpm.q,1)&amp;" "&amp;_xlpm.ai_test)),""),""))))</f>
        <v>0</v>
      </c>
      <c r="AW145" s="1047"/>
      <c r="AX145" s="1045">
        <f t="shared" si="59"/>
        <v>0</v>
      </c>
      <c r="AY145" s="1046" t="str">
        <f t="shared" si="60"/>
        <v/>
      </c>
      <c r="AZ145" s="1048">
        <f t="shared" si="65"/>
        <v>0</v>
      </c>
      <c r="BA145" s="1049" t="str">
        <f t="shared" si="61"/>
        <v/>
      </c>
      <c r="BB145" s="1038"/>
      <c r="BC145" s="1050">
        <f t="shared" si="66"/>
        <v>0</v>
      </c>
      <c r="BD145" s="1040" t="str">
        <f t="shared" si="62"/>
        <v/>
      </c>
      <c r="BE145" s="227" t="s">
        <v>22</v>
      </c>
      <c r="BF145" s="1019">
        <f t="shared" si="63"/>
        <v>0</v>
      </c>
      <c r="BG145" s="1020">
        <f t="shared" si="64"/>
        <v>0</v>
      </c>
      <c r="BH145"/>
      <c r="BQ145"/>
      <c r="BR145"/>
      <c r="BS145"/>
      <c r="BT145"/>
      <c r="BU145"/>
      <c r="BV145"/>
      <c r="BW145" s="959" t="str">
        <f t="shared" si="69"/>
        <v>►</v>
      </c>
      <c r="CC145" s="856"/>
      <c r="DB145" s="3">
        <v>1</v>
      </c>
    </row>
    <row r="146" spans="1:106" s="709" customFormat="1" ht="21" customHeight="1">
      <c r="A146" s="936" t="s">
        <v>22</v>
      </c>
      <c r="B146" s="952" t="str">
        <f t="shared" si="68"/>
        <v>►</v>
      </c>
      <c r="C146" s="993" cm="1">
        <f t="array" ref="C146">SUMPRODUCT(LEN(D146:J146))</f>
        <v>0</v>
      </c>
      <c r="D146" s="167"/>
      <c r="E146" s="172"/>
      <c r="F146" s="172"/>
      <c r="G146" s="172"/>
      <c r="H146" s="172"/>
      <c r="I146" s="172"/>
      <c r="J146" s="173"/>
      <c r="K146" s="442"/>
      <c r="L146" s="104" t="s">
        <v>16</v>
      </c>
      <c r="M146" s="1172"/>
      <c r="N146" s="1172"/>
      <c r="O146" s="1172"/>
      <c r="P146" s="1173"/>
      <c r="Q146" s="1174"/>
      <c r="R146" s="1175"/>
      <c r="S146" s="1176"/>
      <c r="T146" s="1177"/>
      <c r="U146" s="5248"/>
      <c r="V146" s="1177"/>
      <c r="W146" s="5249"/>
      <c r="X146" s="5208"/>
      <c r="Y146" s="5209"/>
      <c r="Z146" s="5210"/>
      <c r="AA146" s="5211"/>
      <c r="AB146" s="1178"/>
      <c r="AC146" s="1179"/>
      <c r="AD146" s="227" t="s">
        <v>22</v>
      </c>
      <c r="AE146" s="1027" t="str">
        <f t="shared" si="46"/>
        <v>►</v>
      </c>
      <c r="AF146" s="1028" t="str">
        <f t="shared" si="47"/>
        <v/>
      </c>
      <c r="AG146" s="1029" t="str">
        <f t="shared" si="48"/>
        <v/>
      </c>
      <c r="AH146" s="1028" t="str">
        <f t="shared" si="49"/>
        <v/>
      </c>
      <c r="AI146" s="1029" t="str">
        <f t="shared" si="50"/>
        <v/>
      </c>
      <c r="AJ146" s="1029">
        <f t="shared" si="51"/>
        <v>0</v>
      </c>
      <c r="AK146" s="1043" t="str" cm="1">
        <f t="array" ref="AK146">IF(AE146&lt;&gt;"A","",IFERROR((IFERROR(_xlfn.XLOOKUP(TRIM(SUBSTITUTE(U146,CHAR(160)," ")),$BI$15:$BI$62,$BL$15:$BL$62),IFERROR(_xlfn.XLOOKUP(TRIM(SUBSTITUTE(U146,CHAR(160)," ")),$BJ$15:$BJ$62,$BL$15:$BL$62),_xlfn.XLOOKUP(TRIM(SUBSTITUTE(U146,CHAR(160)," ")),$BK$15:$BK$62,$BL$15:$BL$62))))*T146*IF(ISBLANK(Q146),1,Q146)+IFERROR(_xlfn.XLOOKUP("RECHERCHEX",TRIM(L146:AC146),L146:AC146),0),0))</f>
        <v/>
      </c>
      <c r="AL146" s="1030">
        <f t="shared" si="52"/>
        <v>0</v>
      </c>
      <c r="AM146" s="5254" t="str">
        <f t="shared" si="67"/>
        <v/>
      </c>
      <c r="AN146" s="1031">
        <f t="shared" si="53"/>
        <v>0</v>
      </c>
      <c r="AO146" s="1031">
        <f t="shared" si="54"/>
        <v>0</v>
      </c>
      <c r="AP146" s="1032">
        <f t="shared" si="55"/>
        <v>0</v>
      </c>
      <c r="AQ146" s="5255" t="str">
        <f t="shared" si="56"/>
        <v/>
      </c>
      <c r="AR146" s="1056"/>
      <c r="AS146" s="1056"/>
      <c r="AT146" s="1034">
        <f t="shared" si="57"/>
        <v>0</v>
      </c>
      <c r="AU146" s="1035">
        <f t="shared" si="58"/>
        <v>0</v>
      </c>
      <c r="AV146" s="1057" cm="1">
        <f t="array" ref="AV146">IF(AJ146&lt;&gt;1,0,IF(OR(AT146="",N(AT146)&lt;=0.000000001),"",IF(OR(AN146="",N(AN146)&lt;=0.000000001),0,IF(ISNUMBER(AT146),IFERROR(_xlfn.LET(_xlpm.ai_test,TRIM(AI146),_xlpm.r,IFERROR(_xlfn.XLOOKUP(_xlpm.ai_test,$BI$15:$BI$62,ROW($BI$15:$BI$62),0,1),IFERROR(_xlfn.XLOOKUP(_xlpm.ai_test,$BJ$15:$BJ$62,ROW($BJ$15:$BJ$62),0,1),_xlfn.XLOOKUP(_xlpm.ai_test,$BK$15:$BK$62,ROW($BK$15:$BK$62),0,1))),_xlpm.p,_xlpm.r-MIN(ROW($BI$15:$BI$62))+1,_xlpm.f,INDEX($BL$15:$BL$62,_xlpm.p),_xlpm.u,INDEX($BM$15:$BM$62,_xlpm.p),_xlpm.s,INDEX($BO$15:$BO$62,_xlpm.p),_xlpm.q,N(AT146)/_xlpm.f,IF(_xlpm.q&gt;=_xlpm.s,ROUND(_xlpm.q,1)&amp;" "&amp;_xlpm.ai_test&amp;" = "&amp;ROUND(_xlpm.q*_xlpm.f,1)&amp;" "&amp;_xlpm.u,ROUND(_xlpm.q,1)&amp;" "&amp;_xlpm.ai_test)),""),""))))</f>
        <v>0</v>
      </c>
      <c r="AW146" s="1047"/>
      <c r="AX146" s="1034">
        <f t="shared" si="59"/>
        <v>0</v>
      </c>
      <c r="AY146" s="1035" t="str">
        <f t="shared" si="60"/>
        <v/>
      </c>
      <c r="AZ146" s="1036">
        <f t="shared" si="65"/>
        <v>0</v>
      </c>
      <c r="BA146" s="1037" t="str">
        <f t="shared" si="61"/>
        <v/>
      </c>
      <c r="BB146" s="1038"/>
      <c r="BC146" s="1039">
        <f t="shared" si="66"/>
        <v>0</v>
      </c>
      <c r="BD146" s="1040" t="str">
        <f t="shared" si="62"/>
        <v/>
      </c>
      <c r="BE146" s="227" t="s">
        <v>22</v>
      </c>
      <c r="BF146" s="1019">
        <f t="shared" si="63"/>
        <v>0</v>
      </c>
      <c r="BG146" s="1020">
        <f t="shared" si="64"/>
        <v>0</v>
      </c>
      <c r="BH146"/>
      <c r="BQ146"/>
      <c r="BR146"/>
      <c r="BS146"/>
      <c r="BT146"/>
      <c r="BU146"/>
      <c r="BV146"/>
      <c r="BW146" s="959" t="str">
        <f t="shared" si="69"/>
        <v>►</v>
      </c>
      <c r="BX146"/>
      <c r="BY146"/>
      <c r="BZ146"/>
      <c r="CA146"/>
      <c r="CB146"/>
      <c r="CC146" s="856"/>
      <c r="DB146" s="3">
        <v>1</v>
      </c>
    </row>
    <row r="147" spans="1:106" s="709" customFormat="1" ht="21" customHeight="1">
      <c r="A147" s="936" t="s">
        <v>22</v>
      </c>
      <c r="B147" s="952" t="str">
        <f t="shared" si="68"/>
        <v>►</v>
      </c>
      <c r="C147" s="993" cm="1">
        <f t="array" ref="C147">SUMPRODUCT(LEN(D147:J147))</f>
        <v>0</v>
      </c>
      <c r="D147" s="167"/>
      <c r="E147" s="172"/>
      <c r="F147" s="172"/>
      <c r="G147" s="172"/>
      <c r="H147" s="172"/>
      <c r="I147" s="172"/>
      <c r="J147" s="173"/>
      <c r="K147" s="442"/>
      <c r="L147" s="104" t="s">
        <v>16</v>
      </c>
      <c r="M147" s="1172"/>
      <c r="N147" s="1172"/>
      <c r="O147" s="1172"/>
      <c r="P147" s="1173"/>
      <c r="Q147" s="1174"/>
      <c r="R147" s="1175"/>
      <c r="S147" s="1176"/>
      <c r="T147" s="1177"/>
      <c r="U147" s="5248"/>
      <c r="V147" s="1177"/>
      <c r="W147" s="5249"/>
      <c r="X147" s="5208"/>
      <c r="Y147" s="5209"/>
      <c r="Z147" s="5210"/>
      <c r="AA147" s="5211"/>
      <c r="AB147" s="1178"/>
      <c r="AC147" s="1179"/>
      <c r="AD147" s="227" t="s">
        <v>22</v>
      </c>
      <c r="AE147" s="1027" t="str">
        <f t="shared" si="46"/>
        <v>►</v>
      </c>
      <c r="AF147" s="1028" t="str">
        <f t="shared" si="47"/>
        <v/>
      </c>
      <c r="AG147" s="1029" t="str">
        <f t="shared" si="48"/>
        <v/>
      </c>
      <c r="AH147" s="1028" t="str">
        <f t="shared" si="49"/>
        <v/>
      </c>
      <c r="AI147" s="1029" t="str">
        <f t="shared" si="50"/>
        <v/>
      </c>
      <c r="AJ147" s="1029">
        <f t="shared" si="51"/>
        <v>0</v>
      </c>
      <c r="AK147" s="1043" t="str" cm="1">
        <f t="array" ref="AK147">IF(AE147&lt;&gt;"A","",IFERROR((IFERROR(_xlfn.XLOOKUP(TRIM(SUBSTITUTE(U147,CHAR(160)," ")),$BI$15:$BI$62,$BL$15:$BL$62),IFERROR(_xlfn.XLOOKUP(TRIM(SUBSTITUTE(U147,CHAR(160)," ")),$BJ$15:$BJ$62,$BL$15:$BL$62),_xlfn.XLOOKUP(TRIM(SUBSTITUTE(U147,CHAR(160)," ")),$BK$15:$BK$62,$BL$15:$BL$62))))*T147*IF(ISBLANK(Q147),1,Q147)+IFERROR(_xlfn.XLOOKUP("RECHERCHEX",TRIM(L147:AC147),L147:AC147),0),0))</f>
        <v/>
      </c>
      <c r="AL147" s="1030">
        <f t="shared" si="52"/>
        <v>0</v>
      </c>
      <c r="AM147" s="5254" t="str">
        <f t="shared" si="67"/>
        <v/>
      </c>
      <c r="AN147" s="1031">
        <f t="shared" si="53"/>
        <v>0</v>
      </c>
      <c r="AO147" s="1031">
        <f t="shared" si="54"/>
        <v>0</v>
      </c>
      <c r="AP147" s="1044">
        <f t="shared" si="55"/>
        <v>0</v>
      </c>
      <c r="AQ147" s="5257" t="str">
        <f t="shared" si="56"/>
        <v/>
      </c>
      <c r="AR147" s="1056"/>
      <c r="AS147" s="1056"/>
      <c r="AT147" s="1045">
        <f t="shared" si="57"/>
        <v>0</v>
      </c>
      <c r="AU147" s="1046">
        <f t="shared" si="58"/>
        <v>0</v>
      </c>
      <c r="AV147" s="1059" cm="1">
        <f t="array" ref="AV147">IF(AJ147&lt;&gt;1,0,IF(OR(AT147="",N(AT147)&lt;=0.000000001),"",IF(OR(AN147="",N(AN147)&lt;=0.000000001),0,IF(ISNUMBER(AT147),IFERROR(_xlfn.LET(_xlpm.ai_test,TRIM(AI147),_xlpm.r,IFERROR(_xlfn.XLOOKUP(_xlpm.ai_test,$BI$15:$BI$62,ROW($BI$15:$BI$62),0,1),IFERROR(_xlfn.XLOOKUP(_xlpm.ai_test,$BJ$15:$BJ$62,ROW($BJ$15:$BJ$62),0,1),_xlfn.XLOOKUP(_xlpm.ai_test,$BK$15:$BK$62,ROW($BK$15:$BK$62),0,1))),_xlpm.p,_xlpm.r-MIN(ROW($BI$15:$BI$62))+1,_xlpm.f,INDEX($BL$15:$BL$62,_xlpm.p),_xlpm.u,INDEX($BM$15:$BM$62,_xlpm.p),_xlpm.s,INDEX($BO$15:$BO$62,_xlpm.p),_xlpm.q,N(AT147)/_xlpm.f,IF(_xlpm.q&gt;=_xlpm.s,ROUND(_xlpm.q,1)&amp;" "&amp;_xlpm.ai_test&amp;" = "&amp;ROUND(_xlpm.q*_xlpm.f,1)&amp;" "&amp;_xlpm.u,ROUND(_xlpm.q,1)&amp;" "&amp;_xlpm.ai_test)),""),""))))</f>
        <v>0</v>
      </c>
      <c r="AW147" s="1047"/>
      <c r="AX147" s="1045">
        <f t="shared" si="59"/>
        <v>0</v>
      </c>
      <c r="AY147" s="1046" t="str">
        <f t="shared" si="60"/>
        <v/>
      </c>
      <c r="AZ147" s="1048">
        <f t="shared" si="65"/>
        <v>0</v>
      </c>
      <c r="BA147" s="1049" t="str">
        <f t="shared" si="61"/>
        <v/>
      </c>
      <c r="BB147" s="1038"/>
      <c r="BC147" s="1050">
        <f t="shared" si="66"/>
        <v>0</v>
      </c>
      <c r="BD147" s="1040" t="str">
        <f t="shared" si="62"/>
        <v/>
      </c>
      <c r="BE147" s="227" t="s">
        <v>22</v>
      </c>
      <c r="BF147" s="1019">
        <f t="shared" si="63"/>
        <v>0</v>
      </c>
      <c r="BG147" s="1020">
        <f t="shared" si="64"/>
        <v>0</v>
      </c>
      <c r="BH147"/>
      <c r="BQ147"/>
      <c r="BR147"/>
      <c r="BS147"/>
      <c r="BT147"/>
      <c r="BU147"/>
      <c r="BV147"/>
      <c r="BW147" s="959" t="str">
        <f t="shared" si="69"/>
        <v>►</v>
      </c>
      <c r="BX147"/>
      <c r="BY147"/>
      <c r="BZ147"/>
      <c r="CA147"/>
      <c r="CB147"/>
      <c r="CC147" s="856"/>
      <c r="DB147" s="3">
        <v>1</v>
      </c>
    </row>
    <row r="148" spans="1:106" s="709" customFormat="1" ht="21" customHeight="1">
      <c r="A148" s="936" t="s">
        <v>22</v>
      </c>
      <c r="B148" s="952" t="str">
        <f t="shared" si="68"/>
        <v>►</v>
      </c>
      <c r="C148" s="993" cm="1">
        <f t="array" ref="C148">SUMPRODUCT(LEN(D148:J148))</f>
        <v>0</v>
      </c>
      <c r="D148" s="167"/>
      <c r="E148" s="172"/>
      <c r="F148" s="172"/>
      <c r="G148" s="172"/>
      <c r="H148" s="172"/>
      <c r="I148" s="172"/>
      <c r="J148" s="173"/>
      <c r="K148" s="442"/>
      <c r="L148" s="104" t="s">
        <v>16</v>
      </c>
      <c r="M148" s="1172"/>
      <c r="N148" s="1172"/>
      <c r="O148" s="1172"/>
      <c r="P148" s="1173"/>
      <c r="Q148" s="1174"/>
      <c r="R148" s="1175"/>
      <c r="S148" s="1176"/>
      <c r="T148" s="1177"/>
      <c r="U148" s="5248"/>
      <c r="V148" s="1177"/>
      <c r="W148" s="5249"/>
      <c r="X148" s="5208"/>
      <c r="Y148" s="5209"/>
      <c r="Z148" s="5210"/>
      <c r="AA148" s="5211"/>
      <c r="AB148" s="1178"/>
      <c r="AC148" s="1179"/>
      <c r="AD148" s="227" t="s">
        <v>22</v>
      </c>
      <c r="AE148" s="1027" t="str">
        <f t="shared" si="46"/>
        <v>►</v>
      </c>
      <c r="AF148" s="1028" t="str">
        <f t="shared" si="47"/>
        <v/>
      </c>
      <c r="AG148" s="1029" t="str">
        <f t="shared" si="48"/>
        <v/>
      </c>
      <c r="AH148" s="1028" t="str">
        <f t="shared" si="49"/>
        <v/>
      </c>
      <c r="AI148" s="1029" t="str">
        <f t="shared" si="50"/>
        <v/>
      </c>
      <c r="AJ148" s="1029">
        <f t="shared" si="51"/>
        <v>0</v>
      </c>
      <c r="AK148" s="1043" t="str" cm="1">
        <f t="array" ref="AK148">IF(AE148&lt;&gt;"A","",IFERROR((IFERROR(_xlfn.XLOOKUP(TRIM(SUBSTITUTE(U148,CHAR(160)," ")),$BI$15:$BI$62,$BL$15:$BL$62),IFERROR(_xlfn.XLOOKUP(TRIM(SUBSTITUTE(U148,CHAR(160)," ")),$BJ$15:$BJ$62,$BL$15:$BL$62),_xlfn.XLOOKUP(TRIM(SUBSTITUTE(U148,CHAR(160)," ")),$BK$15:$BK$62,$BL$15:$BL$62))))*T148*IF(ISBLANK(Q148),1,Q148)+IFERROR(_xlfn.XLOOKUP("RECHERCHEX",TRIM(L148:AC148),L148:AC148),0),0))</f>
        <v/>
      </c>
      <c r="AL148" s="1030">
        <f t="shared" si="52"/>
        <v>0</v>
      </c>
      <c r="AM148" s="5254" t="str">
        <f t="shared" si="67"/>
        <v/>
      </c>
      <c r="AN148" s="1031">
        <f t="shared" si="53"/>
        <v>0</v>
      </c>
      <c r="AO148" s="1031">
        <f t="shared" si="54"/>
        <v>0</v>
      </c>
      <c r="AP148" s="1032">
        <f t="shared" si="55"/>
        <v>0</v>
      </c>
      <c r="AQ148" s="5255" t="str">
        <f t="shared" si="56"/>
        <v/>
      </c>
      <c r="AR148" s="1056"/>
      <c r="AS148" s="1056"/>
      <c r="AT148" s="1034">
        <f t="shared" si="57"/>
        <v>0</v>
      </c>
      <c r="AU148" s="1035">
        <f t="shared" si="58"/>
        <v>0</v>
      </c>
      <c r="AV148" s="1057" cm="1">
        <f t="array" ref="AV148">IF(AJ148&lt;&gt;1,0,IF(OR(AT148="",N(AT148)&lt;=0.000000001),"",IF(OR(AN148="",N(AN148)&lt;=0.000000001),0,IF(ISNUMBER(AT148),IFERROR(_xlfn.LET(_xlpm.ai_test,TRIM(AI148),_xlpm.r,IFERROR(_xlfn.XLOOKUP(_xlpm.ai_test,$BI$15:$BI$62,ROW($BI$15:$BI$62),0,1),IFERROR(_xlfn.XLOOKUP(_xlpm.ai_test,$BJ$15:$BJ$62,ROW($BJ$15:$BJ$62),0,1),_xlfn.XLOOKUP(_xlpm.ai_test,$BK$15:$BK$62,ROW($BK$15:$BK$62),0,1))),_xlpm.p,_xlpm.r-MIN(ROW($BI$15:$BI$62))+1,_xlpm.f,INDEX($BL$15:$BL$62,_xlpm.p),_xlpm.u,INDEX($BM$15:$BM$62,_xlpm.p),_xlpm.s,INDEX($BO$15:$BO$62,_xlpm.p),_xlpm.q,N(AT148)/_xlpm.f,IF(_xlpm.q&gt;=_xlpm.s,ROUND(_xlpm.q,1)&amp;" "&amp;_xlpm.ai_test&amp;" = "&amp;ROUND(_xlpm.q*_xlpm.f,1)&amp;" "&amp;_xlpm.u,ROUND(_xlpm.q,1)&amp;" "&amp;_xlpm.ai_test)),""),""))))</f>
        <v>0</v>
      </c>
      <c r="AW148" s="1047"/>
      <c r="AX148" s="1034">
        <f t="shared" si="59"/>
        <v>0</v>
      </c>
      <c r="AY148" s="1035" t="str">
        <f t="shared" si="60"/>
        <v/>
      </c>
      <c r="AZ148" s="1036">
        <f t="shared" si="65"/>
        <v>0</v>
      </c>
      <c r="BA148" s="1037" t="str">
        <f t="shared" si="61"/>
        <v/>
      </c>
      <c r="BB148" s="1038"/>
      <c r="BC148" s="1039">
        <f t="shared" si="66"/>
        <v>0</v>
      </c>
      <c r="BD148" s="1040" t="str">
        <f t="shared" si="62"/>
        <v/>
      </c>
      <c r="BE148" s="227" t="s">
        <v>22</v>
      </c>
      <c r="BF148" s="1019">
        <f t="shared" si="63"/>
        <v>0</v>
      </c>
      <c r="BG148" s="1020">
        <f t="shared" si="64"/>
        <v>0</v>
      </c>
      <c r="BH148"/>
      <c r="BQ148"/>
      <c r="BR148"/>
      <c r="BS148"/>
      <c r="BT148"/>
      <c r="BU148"/>
      <c r="BV148"/>
      <c r="BW148" s="959" t="str">
        <f t="shared" si="69"/>
        <v>►</v>
      </c>
      <c r="BX148"/>
      <c r="BY148"/>
      <c r="BZ148"/>
      <c r="CA148"/>
      <c r="CB148"/>
      <c r="CC148" s="856"/>
      <c r="DB148" s="3">
        <v>1</v>
      </c>
    </row>
    <row r="149" spans="1:106" s="709" customFormat="1" ht="21" customHeight="1">
      <c r="A149" s="936" t="s">
        <v>22</v>
      </c>
      <c r="B149" s="952" t="str">
        <f t="shared" si="68"/>
        <v>►</v>
      </c>
      <c r="C149" s="993" cm="1">
        <f t="array" ref="C149">SUMPRODUCT(LEN(D149:J149))</f>
        <v>0</v>
      </c>
      <c r="D149" s="167"/>
      <c r="E149" s="172"/>
      <c r="F149" s="172"/>
      <c r="G149" s="172"/>
      <c r="H149" s="172"/>
      <c r="I149" s="172"/>
      <c r="J149" s="173"/>
      <c r="K149" s="442"/>
      <c r="L149" s="104" t="s">
        <v>16</v>
      </c>
      <c r="M149" s="1172"/>
      <c r="N149" s="1172"/>
      <c r="O149" s="1172"/>
      <c r="P149" s="1173"/>
      <c r="Q149" s="1174"/>
      <c r="R149" s="1175"/>
      <c r="S149" s="1176"/>
      <c r="T149" s="1177"/>
      <c r="U149" s="5248"/>
      <c r="V149" s="1177"/>
      <c r="W149" s="5249"/>
      <c r="X149" s="5208"/>
      <c r="Y149" s="5209"/>
      <c r="Z149" s="5210"/>
      <c r="AA149" s="5211"/>
      <c r="AB149" s="1178"/>
      <c r="AC149" s="1179"/>
      <c r="AD149" s="227" t="s">
        <v>22</v>
      </c>
      <c r="AE149" s="1027" t="str">
        <f t="shared" si="46"/>
        <v>►</v>
      </c>
      <c r="AF149" s="1028" t="str">
        <f t="shared" si="47"/>
        <v/>
      </c>
      <c r="AG149" s="1029" t="str">
        <f t="shared" si="48"/>
        <v/>
      </c>
      <c r="AH149" s="1028" t="str">
        <f t="shared" si="49"/>
        <v/>
      </c>
      <c r="AI149" s="1029" t="str">
        <f t="shared" si="50"/>
        <v/>
      </c>
      <c r="AJ149" s="1029">
        <f t="shared" si="51"/>
        <v>0</v>
      </c>
      <c r="AK149" s="1043" t="str" cm="1">
        <f t="array" ref="AK149">IF(AE149&lt;&gt;"A","",IFERROR((IFERROR(_xlfn.XLOOKUP(TRIM(SUBSTITUTE(U149,CHAR(160)," ")),$BI$15:$BI$62,$BL$15:$BL$62),IFERROR(_xlfn.XLOOKUP(TRIM(SUBSTITUTE(U149,CHAR(160)," ")),$BJ$15:$BJ$62,$BL$15:$BL$62),_xlfn.XLOOKUP(TRIM(SUBSTITUTE(U149,CHAR(160)," ")),$BK$15:$BK$62,$BL$15:$BL$62))))*T149*IF(ISBLANK(Q149),1,Q149)+IFERROR(_xlfn.XLOOKUP("RECHERCHEX",TRIM(L149:AC149),L149:AC149),0),0))</f>
        <v/>
      </c>
      <c r="AL149" s="1030">
        <f t="shared" si="52"/>
        <v>0</v>
      </c>
      <c r="AM149" s="5254" t="str">
        <f t="shared" si="67"/>
        <v/>
      </c>
      <c r="AN149" s="1031">
        <f t="shared" si="53"/>
        <v>0</v>
      </c>
      <c r="AO149" s="1031">
        <f t="shared" si="54"/>
        <v>0</v>
      </c>
      <c r="AP149" s="1044">
        <f t="shared" si="55"/>
        <v>0</v>
      </c>
      <c r="AQ149" s="5257" t="str">
        <f t="shared" si="56"/>
        <v/>
      </c>
      <c r="AR149" s="1056"/>
      <c r="AS149" s="1056"/>
      <c r="AT149" s="1045">
        <f t="shared" si="57"/>
        <v>0</v>
      </c>
      <c r="AU149" s="1046">
        <f t="shared" si="58"/>
        <v>0</v>
      </c>
      <c r="AV149" s="1059" cm="1">
        <f t="array" ref="AV149">IF(AJ149&lt;&gt;1,0,IF(OR(AT149="",N(AT149)&lt;=0.000000001),"",IF(OR(AN149="",N(AN149)&lt;=0.000000001),0,IF(ISNUMBER(AT149),IFERROR(_xlfn.LET(_xlpm.ai_test,TRIM(AI149),_xlpm.r,IFERROR(_xlfn.XLOOKUP(_xlpm.ai_test,$BI$15:$BI$62,ROW($BI$15:$BI$62),0,1),IFERROR(_xlfn.XLOOKUP(_xlpm.ai_test,$BJ$15:$BJ$62,ROW($BJ$15:$BJ$62),0,1),_xlfn.XLOOKUP(_xlpm.ai_test,$BK$15:$BK$62,ROW($BK$15:$BK$62),0,1))),_xlpm.p,_xlpm.r-MIN(ROW($BI$15:$BI$62))+1,_xlpm.f,INDEX($BL$15:$BL$62,_xlpm.p),_xlpm.u,INDEX($BM$15:$BM$62,_xlpm.p),_xlpm.s,INDEX($BO$15:$BO$62,_xlpm.p),_xlpm.q,N(AT149)/_xlpm.f,IF(_xlpm.q&gt;=_xlpm.s,ROUND(_xlpm.q,1)&amp;" "&amp;_xlpm.ai_test&amp;" = "&amp;ROUND(_xlpm.q*_xlpm.f,1)&amp;" "&amp;_xlpm.u,ROUND(_xlpm.q,1)&amp;" "&amp;_xlpm.ai_test)),""),""))))</f>
        <v>0</v>
      </c>
      <c r="AW149" s="1047"/>
      <c r="AX149" s="1045">
        <f t="shared" si="59"/>
        <v>0</v>
      </c>
      <c r="AY149" s="1046" t="str">
        <f t="shared" si="60"/>
        <v/>
      </c>
      <c r="AZ149" s="1048">
        <f t="shared" si="65"/>
        <v>0</v>
      </c>
      <c r="BA149" s="1049" t="str">
        <f t="shared" si="61"/>
        <v/>
      </c>
      <c r="BB149" s="1038"/>
      <c r="BC149" s="1050">
        <f t="shared" si="66"/>
        <v>0</v>
      </c>
      <c r="BD149" s="1040" t="str">
        <f t="shared" si="62"/>
        <v/>
      </c>
      <c r="BE149" s="227" t="s">
        <v>22</v>
      </c>
      <c r="BF149" s="1019">
        <f t="shared" si="63"/>
        <v>0</v>
      </c>
      <c r="BG149" s="1020">
        <f t="shared" si="64"/>
        <v>0</v>
      </c>
      <c r="BH149"/>
      <c r="BQ149"/>
      <c r="BR149"/>
      <c r="BS149"/>
      <c r="BT149"/>
      <c r="BU149"/>
      <c r="BV149"/>
      <c r="BW149" s="959" t="str">
        <f t="shared" si="69"/>
        <v>►</v>
      </c>
      <c r="BX149"/>
      <c r="BY149"/>
      <c r="BZ149"/>
      <c r="CA149"/>
      <c r="CB149"/>
      <c r="CC149" s="856"/>
      <c r="DB149" s="3">
        <v>1</v>
      </c>
    </row>
    <row r="150" spans="1:106" s="709" customFormat="1" ht="21" customHeight="1">
      <c r="A150" s="936" t="s">
        <v>22</v>
      </c>
      <c r="B150" s="952" t="str">
        <f t="shared" si="68"/>
        <v>►</v>
      </c>
      <c r="C150" s="993" cm="1">
        <f t="array" ref="C150">SUMPRODUCT(LEN(D150:J150))</f>
        <v>0</v>
      </c>
      <c r="D150" s="167"/>
      <c r="E150" s="172"/>
      <c r="F150" s="172"/>
      <c r="G150" s="172"/>
      <c r="H150" s="172"/>
      <c r="I150" s="172"/>
      <c r="J150" s="173"/>
      <c r="K150" s="442"/>
      <c r="L150" s="104" t="s">
        <v>16</v>
      </c>
      <c r="M150" s="1172"/>
      <c r="N150" s="1172"/>
      <c r="O150" s="1172"/>
      <c r="P150" s="1173"/>
      <c r="Q150" s="1174"/>
      <c r="R150" s="1175"/>
      <c r="S150" s="1176"/>
      <c r="T150" s="1177"/>
      <c r="U150" s="5248"/>
      <c r="V150" s="1177"/>
      <c r="W150" s="5249"/>
      <c r="X150" s="5208"/>
      <c r="Y150" s="5209"/>
      <c r="Z150" s="5210"/>
      <c r="AA150" s="5211"/>
      <c r="AB150" s="1178"/>
      <c r="AC150" s="1179"/>
      <c r="AD150" s="227" t="s">
        <v>22</v>
      </c>
      <c r="AE150" s="1027" t="str">
        <f t="shared" ref="AE150:AE213" si="70">IF(OR(AN150&gt;0,TRIM(AF150)="▼ recette suivante"),"A","►")</f>
        <v>►</v>
      </c>
      <c r="AF150" s="1028" t="str">
        <f t="shared" ref="AF150:AF213" si="71">IF(TRIM(Q150)="Adresse PC","▼ recette suivante",IF(AN150&gt;0,M150,""))</f>
        <v/>
      </c>
      <c r="AG150" s="1029" t="str">
        <f t="shared" ref="AG150:AG213" si="72">IF(AE150="A",N150,"")</f>
        <v/>
      </c>
      <c r="AH150" s="1028" t="str">
        <f t="shared" ref="AH150:AH213" si="73">IF(AE150="A",O150,"")</f>
        <v/>
      </c>
      <c r="AI150" s="1029" t="str">
        <f t="shared" ref="AI150:AI213" si="74">IF(AE150="A",U150,"")</f>
        <v/>
      </c>
      <c r="AJ150" s="1029">
        <f t="shared" ref="AJ150:AJ213" si="75">IF(AND(L150="A",COUNTIF($BI$15:$BK$62,TRIM(U150))&gt;0),1,0)</f>
        <v>0</v>
      </c>
      <c r="AK150" s="1043" t="str" cm="1">
        <f t="array" ref="AK150">IF(AE150&lt;&gt;"A","",IFERROR((IFERROR(_xlfn.XLOOKUP(TRIM(SUBSTITUTE(U150,CHAR(160)," ")),$BI$15:$BI$62,$BL$15:$BL$62),IFERROR(_xlfn.XLOOKUP(TRIM(SUBSTITUTE(U150,CHAR(160)," ")),$BJ$15:$BJ$62,$BL$15:$BL$62),_xlfn.XLOOKUP(TRIM(SUBSTITUTE(U150,CHAR(160)," ")),$BK$15:$BK$62,$BL$15:$BL$62))))*T150*IF(ISBLANK(Q150),1,Q150)+IFERROR(_xlfn.XLOOKUP("RECHERCHEX",TRIM(L150:AC150),L150:AC150),0),0))</f>
        <v/>
      </c>
      <c r="AL150" s="1030">
        <f t="shared" ref="AL150:AL213" si="76">IF(AJ150,IF(AK150&gt;0,"Kg",0),0)</f>
        <v>0</v>
      </c>
      <c r="AM150" s="5254" t="str">
        <f t="shared" si="67"/>
        <v/>
      </c>
      <c r="AN150" s="1031">
        <f t="shared" ref="AN150:AN213" si="77">IF(AJ150,N150,0)</f>
        <v>0</v>
      </c>
      <c r="AO150" s="1031">
        <f t="shared" ref="AO150:AO213" si="78">IF(AJ150,O150,0)</f>
        <v>0</v>
      </c>
      <c r="AP150" s="1032">
        <f t="shared" ref="AP150:AP213" si="79">IF(AN150&gt;0,AR$9,0)</f>
        <v>0</v>
      </c>
      <c r="AQ150" s="5255" t="str">
        <f t="shared" ref="AQ150:AQ213" si="80">IF(TRIM(AF150)="▼ recette suivante", AF150, IF(AP150&gt;0, IF(AS$9&lt;&gt;"", AS$9&amp;"-ou.or.o ❾ + or - &gt;", ""), ""))</f>
        <v/>
      </c>
      <c r="AR150" s="1056"/>
      <c r="AS150" s="1056"/>
      <c r="AT150" s="1034">
        <f t="shared" ref="AT150:AT213" si="81">IF(TRIM(AL150)="Kg",N(AK150)*N(BG150),0)</f>
        <v>0</v>
      </c>
      <c r="AU150" s="1035">
        <f t="shared" ref="AU150:AU213" si="82">IF(AJ150,IF(OR(AT150="",N(AT150)&lt;=0.000000001),"",_xlfn.XLOOKUP(AI150,$BI$15:$BI$62,$BM$15:$BM$62,_xlfn.XLOOKUP(AI150,$BJ$15:$BJ$62,$BM$15:$BM$62,_xlfn.XLOOKUP(AI150,$BK$15:$BK$62,$BM$15:$BM$62,"")))),0)</f>
        <v>0</v>
      </c>
      <c r="AV150" s="1057" cm="1">
        <f t="array" ref="AV150">IF(AJ150&lt;&gt;1,0,IF(OR(AT150="",N(AT150)&lt;=0.000000001),"",IF(OR(AN150="",N(AN150)&lt;=0.000000001),0,IF(ISNUMBER(AT150),IFERROR(_xlfn.LET(_xlpm.ai_test,TRIM(AI150),_xlpm.r,IFERROR(_xlfn.XLOOKUP(_xlpm.ai_test,$BI$15:$BI$62,ROW($BI$15:$BI$62),0,1),IFERROR(_xlfn.XLOOKUP(_xlpm.ai_test,$BJ$15:$BJ$62,ROW($BJ$15:$BJ$62),0,1),_xlfn.XLOOKUP(_xlpm.ai_test,$BK$15:$BK$62,ROW($BK$15:$BK$62),0,1))),_xlpm.p,_xlpm.r-MIN(ROW($BI$15:$BI$62))+1,_xlpm.f,INDEX($BL$15:$BL$62,_xlpm.p),_xlpm.u,INDEX($BM$15:$BM$62,_xlpm.p),_xlpm.s,INDEX($BO$15:$BO$62,_xlpm.p),_xlpm.q,N(AT150)/_xlpm.f,IF(_xlpm.q&gt;=_xlpm.s,ROUND(_xlpm.q,1)&amp;" "&amp;_xlpm.ai_test&amp;" = "&amp;ROUND(_xlpm.q*_xlpm.f,1)&amp;" "&amp;_xlpm.u,ROUND(_xlpm.q,1)&amp;" "&amp;_xlpm.ai_test)),""),""))))</f>
        <v>0</v>
      </c>
      <c r="AW150" s="1047"/>
      <c r="AX150" s="1034">
        <f t="shared" ref="AX150:AX213" si="83">IF(TRIM(AF150)="▼ recette suivante","▼next recipe ",IF(AT150="","",IF(ISBLANK(AW150),AT150,ROUND(AT150*(1-MIN(1,MAX(0,IF(AW150&gt;1,AW150/100,AW150)))),3))))</f>
        <v>0</v>
      </c>
      <c r="AY150" s="1035" t="str">
        <f t="shared" ref="AY150:AY213" si="84">IF(AJ150,AU150,"")</f>
        <v/>
      </c>
      <c r="AZ150" s="1036">
        <f t="shared" si="65"/>
        <v>0</v>
      </c>
      <c r="BA150" s="1037" t="str">
        <f t="shared" ref="BA150:BA213" si="85">IF(AJ150,IF(N(AZ150)&gt;0.000000001,R150,""),"")</f>
        <v/>
      </c>
      <c r="BB150" s="1038"/>
      <c r="BC150" s="1039">
        <f t="shared" si="66"/>
        <v>0</v>
      </c>
      <c r="BD150" s="1040" t="str">
        <f t="shared" ref="BD150:BD213" si="86">IF(IFERROR(SEARCH("Adresse PC",TRIM(Q150)),0)&gt;0,"▼ receta siguiente",IF(AX150&gt;0,W150,""))</f>
        <v/>
      </c>
      <c r="BE150" s="227" t="s">
        <v>22</v>
      </c>
      <c r="BF150" s="1019">
        <f t="shared" ref="BF150:BF213" si="87">IFERROR(_xlfn.LET(_xlpm.EPS,0.000000001,_xlpm.b,Q150/AN150,IF(ISNUMBER(AR150),_xlpm.b*AR150,IF(OR(ISBLANK(AR150),AR150=""),_xlpm.b*AP150,IF(AND(BG150=0,ISNUMBER(Q150)),_xlpm.b/AP150,0)))),0)</f>
        <v>0</v>
      </c>
      <c r="BG150" s="1020">
        <f t="shared" ref="BG150:BG213" si="88">IF(AK150&gt;0,IFERROR(IF(OR(ISBLANK(AR150),AR150=""),AP150,AR150)/AN150,0),0)</f>
        <v>0</v>
      </c>
      <c r="BH150"/>
      <c r="BQ150"/>
      <c r="BR150"/>
      <c r="BS150"/>
      <c r="BT150"/>
      <c r="BU150"/>
      <c r="BV150"/>
      <c r="BW150" s="959" t="str">
        <f t="shared" si="69"/>
        <v>►</v>
      </c>
      <c r="BX150"/>
      <c r="BY150"/>
      <c r="BZ150"/>
      <c r="CA150"/>
      <c r="CB150"/>
      <c r="CC150" s="856"/>
      <c r="DB150" s="3">
        <v>1</v>
      </c>
    </row>
    <row r="151" spans="1:106" s="709" customFormat="1" ht="21" customHeight="1">
      <c r="A151" s="936" t="s">
        <v>22</v>
      </c>
      <c r="B151" s="952" t="str">
        <f t="shared" si="68"/>
        <v>►</v>
      </c>
      <c r="C151" s="993" cm="1">
        <f t="array" ref="C151">SUMPRODUCT(LEN(D151:J151))</f>
        <v>0</v>
      </c>
      <c r="D151" s="167"/>
      <c r="E151" s="172"/>
      <c r="F151" s="172"/>
      <c r="G151" s="172"/>
      <c r="H151" s="172"/>
      <c r="I151" s="172"/>
      <c r="J151" s="173"/>
      <c r="K151" s="442"/>
      <c r="L151" s="104" t="s">
        <v>16</v>
      </c>
      <c r="M151" s="1172"/>
      <c r="N151" s="1172"/>
      <c r="O151" s="1172"/>
      <c r="P151" s="1173"/>
      <c r="Q151" s="1174"/>
      <c r="R151" s="1175"/>
      <c r="S151" s="1176"/>
      <c r="T151" s="1177"/>
      <c r="U151" s="5248"/>
      <c r="V151" s="1177"/>
      <c r="W151" s="5249"/>
      <c r="X151" s="5208"/>
      <c r="Y151" s="5209"/>
      <c r="Z151" s="5210"/>
      <c r="AA151" s="5211"/>
      <c r="AB151" s="1178"/>
      <c r="AC151" s="1179"/>
      <c r="AD151" s="227" t="s">
        <v>22</v>
      </c>
      <c r="AE151" s="1027" t="str">
        <f t="shared" si="70"/>
        <v>►</v>
      </c>
      <c r="AF151" s="1028" t="str">
        <f t="shared" si="71"/>
        <v/>
      </c>
      <c r="AG151" s="1029" t="str">
        <f t="shared" si="72"/>
        <v/>
      </c>
      <c r="AH151" s="1028" t="str">
        <f t="shared" si="73"/>
        <v/>
      </c>
      <c r="AI151" s="1029" t="str">
        <f t="shared" si="74"/>
        <v/>
      </c>
      <c r="AJ151" s="1029">
        <f t="shared" si="75"/>
        <v>0</v>
      </c>
      <c r="AK151" s="1043" t="str" cm="1">
        <f t="array" ref="AK151">IF(AE151&lt;&gt;"A","",IFERROR((IFERROR(_xlfn.XLOOKUP(TRIM(SUBSTITUTE(U151,CHAR(160)," ")),$BI$15:$BI$62,$BL$15:$BL$62),IFERROR(_xlfn.XLOOKUP(TRIM(SUBSTITUTE(U151,CHAR(160)," ")),$BJ$15:$BJ$62,$BL$15:$BL$62),_xlfn.XLOOKUP(TRIM(SUBSTITUTE(U151,CHAR(160)," ")),$BK$15:$BK$62,$BL$15:$BL$62))))*T151*IF(ISBLANK(Q151),1,Q151)+IFERROR(_xlfn.XLOOKUP("RECHERCHEX",TRIM(L151:AC151),L151:AC151),0),0))</f>
        <v/>
      </c>
      <c r="AL151" s="1030">
        <f t="shared" si="76"/>
        <v>0</v>
      </c>
      <c r="AM151" s="5254" t="str">
        <f t="shared" si="67"/>
        <v/>
      </c>
      <c r="AN151" s="1031">
        <f t="shared" si="77"/>
        <v>0</v>
      </c>
      <c r="AO151" s="1031">
        <f t="shared" si="78"/>
        <v>0</v>
      </c>
      <c r="AP151" s="1044">
        <f t="shared" si="79"/>
        <v>0</v>
      </c>
      <c r="AQ151" s="5257" t="str">
        <f t="shared" si="80"/>
        <v/>
      </c>
      <c r="AR151" s="1056"/>
      <c r="AS151" s="1056"/>
      <c r="AT151" s="1045">
        <f t="shared" si="81"/>
        <v>0</v>
      </c>
      <c r="AU151" s="1046">
        <f t="shared" si="82"/>
        <v>0</v>
      </c>
      <c r="AV151" s="1059" cm="1">
        <f t="array" ref="AV151">IF(AJ151&lt;&gt;1,0,IF(OR(AT151="",N(AT151)&lt;=0.000000001),"",IF(OR(AN151="",N(AN151)&lt;=0.000000001),0,IF(ISNUMBER(AT151),IFERROR(_xlfn.LET(_xlpm.ai_test,TRIM(AI151),_xlpm.r,IFERROR(_xlfn.XLOOKUP(_xlpm.ai_test,$BI$15:$BI$62,ROW($BI$15:$BI$62),0,1),IFERROR(_xlfn.XLOOKUP(_xlpm.ai_test,$BJ$15:$BJ$62,ROW($BJ$15:$BJ$62),0,1),_xlfn.XLOOKUP(_xlpm.ai_test,$BK$15:$BK$62,ROW($BK$15:$BK$62),0,1))),_xlpm.p,_xlpm.r-MIN(ROW($BI$15:$BI$62))+1,_xlpm.f,INDEX($BL$15:$BL$62,_xlpm.p),_xlpm.u,INDEX($BM$15:$BM$62,_xlpm.p),_xlpm.s,INDEX($BO$15:$BO$62,_xlpm.p),_xlpm.q,N(AT151)/_xlpm.f,IF(_xlpm.q&gt;=_xlpm.s,ROUND(_xlpm.q,1)&amp;" "&amp;_xlpm.ai_test&amp;" = "&amp;ROUND(_xlpm.q*_xlpm.f,1)&amp;" "&amp;_xlpm.u,ROUND(_xlpm.q,1)&amp;" "&amp;_xlpm.ai_test)),""),""))))</f>
        <v>0</v>
      </c>
      <c r="AW151" s="1047"/>
      <c r="AX151" s="1045">
        <f t="shared" si="83"/>
        <v>0</v>
      </c>
      <c r="AY151" s="1046" t="str">
        <f t="shared" si="84"/>
        <v/>
      </c>
      <c r="AZ151" s="1048">
        <f t="shared" ref="AZ151:AZ214" si="89">IF(ISNUMBER(BF151),IF(ABS(BF151)&lt;=0.000000001,0,BF151),0)</f>
        <v>0</v>
      </c>
      <c r="BA151" s="1049" t="str">
        <f t="shared" si="85"/>
        <v/>
      </c>
      <c r="BB151" s="1038"/>
      <c r="BC151" s="1050">
        <f t="shared" si="66"/>
        <v>0</v>
      </c>
      <c r="BD151" s="1040" t="str">
        <f t="shared" si="86"/>
        <v/>
      </c>
      <c r="BE151" s="227" t="s">
        <v>22</v>
      </c>
      <c r="BF151" s="1019">
        <f t="shared" si="87"/>
        <v>0</v>
      </c>
      <c r="BG151" s="1020">
        <f t="shared" si="88"/>
        <v>0</v>
      </c>
      <c r="BH151"/>
      <c r="BQ151"/>
      <c r="BR151"/>
      <c r="BS151"/>
      <c r="BT151"/>
      <c r="BU151"/>
      <c r="BV151"/>
      <c r="BW151" s="959" t="str">
        <f t="shared" si="69"/>
        <v>►</v>
      </c>
      <c r="BX151"/>
      <c r="BY151"/>
      <c r="BZ151"/>
      <c r="CA151"/>
      <c r="CB151"/>
      <c r="CC151" s="856"/>
      <c r="DB151" s="3">
        <v>1</v>
      </c>
    </row>
    <row r="152" spans="1:106" s="709" customFormat="1" ht="21" customHeight="1">
      <c r="A152" s="936" t="s">
        <v>22</v>
      </c>
      <c r="B152" s="952" t="str">
        <f t="shared" si="68"/>
        <v>►</v>
      </c>
      <c r="C152" s="993" cm="1">
        <f t="array" ref="C152">SUMPRODUCT(LEN(D152:J152))</f>
        <v>0</v>
      </c>
      <c r="D152" s="167"/>
      <c r="E152" s="172"/>
      <c r="F152" s="172"/>
      <c r="G152" s="172"/>
      <c r="H152" s="172"/>
      <c r="I152" s="172"/>
      <c r="J152" s="173"/>
      <c r="K152" s="442"/>
      <c r="L152" s="104" t="s">
        <v>16</v>
      </c>
      <c r="M152" s="1172"/>
      <c r="N152" s="1172"/>
      <c r="O152" s="1172"/>
      <c r="P152" s="1173"/>
      <c r="Q152" s="1174"/>
      <c r="R152" s="1175"/>
      <c r="S152" s="1176"/>
      <c r="T152" s="1177"/>
      <c r="U152" s="5248"/>
      <c r="V152" s="1177"/>
      <c r="W152" s="5249"/>
      <c r="X152" s="5208"/>
      <c r="Y152" s="5209"/>
      <c r="Z152" s="5210"/>
      <c r="AA152" s="5211"/>
      <c r="AB152" s="1178"/>
      <c r="AC152" s="1179"/>
      <c r="AD152" s="227" t="s">
        <v>22</v>
      </c>
      <c r="AE152" s="1027" t="str">
        <f t="shared" si="70"/>
        <v>►</v>
      </c>
      <c r="AF152" s="1028" t="str">
        <f t="shared" si="71"/>
        <v/>
      </c>
      <c r="AG152" s="1029" t="str">
        <f t="shared" si="72"/>
        <v/>
      </c>
      <c r="AH152" s="1028" t="str">
        <f t="shared" si="73"/>
        <v/>
      </c>
      <c r="AI152" s="1029" t="str">
        <f t="shared" si="74"/>
        <v/>
      </c>
      <c r="AJ152" s="1029">
        <f t="shared" si="75"/>
        <v>0</v>
      </c>
      <c r="AK152" s="1043" t="str" cm="1">
        <f t="array" ref="AK152">IF(AE152&lt;&gt;"A","",IFERROR((IFERROR(_xlfn.XLOOKUP(TRIM(SUBSTITUTE(U152,CHAR(160)," ")),$BI$15:$BI$62,$BL$15:$BL$62),IFERROR(_xlfn.XLOOKUP(TRIM(SUBSTITUTE(U152,CHAR(160)," ")),$BJ$15:$BJ$62,$BL$15:$BL$62),_xlfn.XLOOKUP(TRIM(SUBSTITUTE(U152,CHAR(160)," ")),$BK$15:$BK$62,$BL$15:$BL$62))))*T152*IF(ISBLANK(Q152),1,Q152)+IFERROR(_xlfn.XLOOKUP("RECHERCHEX",TRIM(L152:AC152),L152:AC152),0),0))</f>
        <v/>
      </c>
      <c r="AL152" s="1030">
        <f t="shared" si="76"/>
        <v>0</v>
      </c>
      <c r="AM152" s="5254" t="str">
        <f t="shared" si="67"/>
        <v/>
      </c>
      <c r="AN152" s="1031">
        <f t="shared" si="77"/>
        <v>0</v>
      </c>
      <c r="AO152" s="1031">
        <f t="shared" si="78"/>
        <v>0</v>
      </c>
      <c r="AP152" s="1032">
        <f t="shared" si="79"/>
        <v>0</v>
      </c>
      <c r="AQ152" s="5255" t="str">
        <f t="shared" si="80"/>
        <v/>
      </c>
      <c r="AR152" s="1056"/>
      <c r="AS152" s="1056"/>
      <c r="AT152" s="1034">
        <f t="shared" si="81"/>
        <v>0</v>
      </c>
      <c r="AU152" s="1035">
        <f t="shared" si="82"/>
        <v>0</v>
      </c>
      <c r="AV152" s="1057" cm="1">
        <f t="array" ref="AV152">IF(AJ152&lt;&gt;1,0,IF(OR(AT152="",N(AT152)&lt;=0.000000001),"",IF(OR(AN152="",N(AN152)&lt;=0.000000001),0,IF(ISNUMBER(AT152),IFERROR(_xlfn.LET(_xlpm.ai_test,TRIM(AI152),_xlpm.r,IFERROR(_xlfn.XLOOKUP(_xlpm.ai_test,$BI$15:$BI$62,ROW($BI$15:$BI$62),0,1),IFERROR(_xlfn.XLOOKUP(_xlpm.ai_test,$BJ$15:$BJ$62,ROW($BJ$15:$BJ$62),0,1),_xlfn.XLOOKUP(_xlpm.ai_test,$BK$15:$BK$62,ROW($BK$15:$BK$62),0,1))),_xlpm.p,_xlpm.r-MIN(ROW($BI$15:$BI$62))+1,_xlpm.f,INDEX($BL$15:$BL$62,_xlpm.p),_xlpm.u,INDEX($BM$15:$BM$62,_xlpm.p),_xlpm.s,INDEX($BO$15:$BO$62,_xlpm.p),_xlpm.q,N(AT152)/_xlpm.f,IF(_xlpm.q&gt;=_xlpm.s,ROUND(_xlpm.q,1)&amp;" "&amp;_xlpm.ai_test&amp;" = "&amp;ROUND(_xlpm.q*_xlpm.f,1)&amp;" "&amp;_xlpm.u,ROUND(_xlpm.q,1)&amp;" "&amp;_xlpm.ai_test)),""),""))))</f>
        <v>0</v>
      </c>
      <c r="AW152" s="1047"/>
      <c r="AX152" s="1034">
        <f t="shared" si="83"/>
        <v>0</v>
      </c>
      <c r="AY152" s="1035" t="str">
        <f t="shared" si="84"/>
        <v/>
      </c>
      <c r="AZ152" s="1036">
        <f t="shared" si="89"/>
        <v>0</v>
      </c>
      <c r="BA152" s="1037" t="str">
        <f t="shared" si="85"/>
        <v/>
      </c>
      <c r="BB152" s="1038"/>
      <c r="BC152" s="1039">
        <f t="shared" si="66"/>
        <v>0</v>
      </c>
      <c r="BD152" s="1040" t="str">
        <f t="shared" si="86"/>
        <v/>
      </c>
      <c r="BE152" s="227" t="s">
        <v>22</v>
      </c>
      <c r="BF152" s="1019">
        <f t="shared" si="87"/>
        <v>0</v>
      </c>
      <c r="BG152" s="1020">
        <f t="shared" si="88"/>
        <v>0</v>
      </c>
      <c r="BH152"/>
      <c r="BQ152"/>
      <c r="BR152"/>
      <c r="BS152"/>
      <c r="BT152"/>
      <c r="BU152"/>
      <c r="BV152"/>
      <c r="BW152" s="959" t="str">
        <f t="shared" si="69"/>
        <v>►</v>
      </c>
      <c r="BX152"/>
      <c r="BY152"/>
      <c r="BZ152"/>
      <c r="CA152"/>
      <c r="CB152"/>
      <c r="CC152" s="856"/>
      <c r="DB152" s="3">
        <v>1</v>
      </c>
    </row>
    <row r="153" spans="1:106" s="709" customFormat="1" ht="21" customHeight="1">
      <c r="A153" s="936" t="s">
        <v>22</v>
      </c>
      <c r="B153" s="952" t="str">
        <f t="shared" si="68"/>
        <v>►</v>
      </c>
      <c r="C153" s="993" cm="1">
        <f t="array" ref="C153">SUMPRODUCT(LEN(D153:J153))</f>
        <v>0</v>
      </c>
      <c r="D153" s="167"/>
      <c r="E153" s="172"/>
      <c r="F153" s="172"/>
      <c r="G153" s="172"/>
      <c r="H153" s="172"/>
      <c r="I153" s="172"/>
      <c r="J153" s="173"/>
      <c r="K153" s="442"/>
      <c r="L153" s="104" t="s">
        <v>16</v>
      </c>
      <c r="M153" s="1172"/>
      <c r="N153" s="1172"/>
      <c r="O153" s="1172"/>
      <c r="P153" s="1173"/>
      <c r="Q153" s="1174"/>
      <c r="R153" s="1175"/>
      <c r="S153" s="1176"/>
      <c r="T153" s="1177"/>
      <c r="U153" s="5248"/>
      <c r="V153" s="1177"/>
      <c r="W153" s="5249"/>
      <c r="X153" s="5208"/>
      <c r="Y153" s="5209"/>
      <c r="Z153" s="5210"/>
      <c r="AA153" s="5211"/>
      <c r="AB153" s="1178"/>
      <c r="AC153" s="1179"/>
      <c r="AD153" s="227" t="s">
        <v>22</v>
      </c>
      <c r="AE153" s="1027" t="str">
        <f t="shared" si="70"/>
        <v>►</v>
      </c>
      <c r="AF153" s="1028" t="str">
        <f t="shared" si="71"/>
        <v/>
      </c>
      <c r="AG153" s="1029" t="str">
        <f t="shared" si="72"/>
        <v/>
      </c>
      <c r="AH153" s="1028" t="str">
        <f t="shared" si="73"/>
        <v/>
      </c>
      <c r="AI153" s="1029" t="str">
        <f t="shared" si="74"/>
        <v/>
      </c>
      <c r="AJ153" s="1029">
        <f t="shared" si="75"/>
        <v>0</v>
      </c>
      <c r="AK153" s="1043" t="str" cm="1">
        <f t="array" ref="AK153">IF(AE153&lt;&gt;"A","",IFERROR((IFERROR(_xlfn.XLOOKUP(TRIM(SUBSTITUTE(U153,CHAR(160)," ")),$BI$15:$BI$62,$BL$15:$BL$62),IFERROR(_xlfn.XLOOKUP(TRIM(SUBSTITUTE(U153,CHAR(160)," ")),$BJ$15:$BJ$62,$BL$15:$BL$62),_xlfn.XLOOKUP(TRIM(SUBSTITUTE(U153,CHAR(160)," ")),$BK$15:$BK$62,$BL$15:$BL$62))))*T153*IF(ISBLANK(Q153),1,Q153)+IFERROR(_xlfn.XLOOKUP("RECHERCHEX",TRIM(L153:AC153),L153:AC153),0),0))</f>
        <v/>
      </c>
      <c r="AL153" s="1030">
        <f t="shared" si="76"/>
        <v>0</v>
      </c>
      <c r="AM153" s="5254" t="str">
        <f t="shared" si="67"/>
        <v/>
      </c>
      <c r="AN153" s="1031">
        <f t="shared" si="77"/>
        <v>0</v>
      </c>
      <c r="AO153" s="1031">
        <f t="shared" si="78"/>
        <v>0</v>
      </c>
      <c r="AP153" s="1044">
        <f t="shared" si="79"/>
        <v>0</v>
      </c>
      <c r="AQ153" s="5257" t="str">
        <f t="shared" si="80"/>
        <v/>
      </c>
      <c r="AR153" s="1056"/>
      <c r="AS153" s="1056"/>
      <c r="AT153" s="1045">
        <f t="shared" si="81"/>
        <v>0</v>
      </c>
      <c r="AU153" s="1046">
        <f t="shared" si="82"/>
        <v>0</v>
      </c>
      <c r="AV153" s="1059" cm="1">
        <f t="array" ref="AV153">IF(AJ153&lt;&gt;1,0,IF(OR(AT153="",N(AT153)&lt;=0.000000001),"",IF(OR(AN153="",N(AN153)&lt;=0.000000001),0,IF(ISNUMBER(AT153),IFERROR(_xlfn.LET(_xlpm.ai_test,TRIM(AI153),_xlpm.r,IFERROR(_xlfn.XLOOKUP(_xlpm.ai_test,$BI$15:$BI$62,ROW($BI$15:$BI$62),0,1),IFERROR(_xlfn.XLOOKUP(_xlpm.ai_test,$BJ$15:$BJ$62,ROW($BJ$15:$BJ$62),0,1),_xlfn.XLOOKUP(_xlpm.ai_test,$BK$15:$BK$62,ROW($BK$15:$BK$62),0,1))),_xlpm.p,_xlpm.r-MIN(ROW($BI$15:$BI$62))+1,_xlpm.f,INDEX($BL$15:$BL$62,_xlpm.p),_xlpm.u,INDEX($BM$15:$BM$62,_xlpm.p),_xlpm.s,INDEX($BO$15:$BO$62,_xlpm.p),_xlpm.q,N(AT153)/_xlpm.f,IF(_xlpm.q&gt;=_xlpm.s,ROUND(_xlpm.q,1)&amp;" "&amp;_xlpm.ai_test&amp;" = "&amp;ROUND(_xlpm.q*_xlpm.f,1)&amp;" "&amp;_xlpm.u,ROUND(_xlpm.q,1)&amp;" "&amp;_xlpm.ai_test)),""),""))))</f>
        <v>0</v>
      </c>
      <c r="AW153" s="1047"/>
      <c r="AX153" s="1045">
        <f t="shared" si="83"/>
        <v>0</v>
      </c>
      <c r="AY153" s="1046" t="str">
        <f t="shared" si="84"/>
        <v/>
      </c>
      <c r="AZ153" s="1048">
        <f t="shared" si="89"/>
        <v>0</v>
      </c>
      <c r="BA153" s="1049" t="str">
        <f t="shared" si="85"/>
        <v/>
      </c>
      <c r="BB153" s="1038"/>
      <c r="BC153" s="1050">
        <f t="shared" si="66"/>
        <v>0</v>
      </c>
      <c r="BD153" s="1040" t="str">
        <f t="shared" si="86"/>
        <v/>
      </c>
      <c r="BE153" s="227" t="s">
        <v>22</v>
      </c>
      <c r="BF153" s="1019">
        <f t="shared" si="87"/>
        <v>0</v>
      </c>
      <c r="BG153" s="1020">
        <f t="shared" si="88"/>
        <v>0</v>
      </c>
      <c r="BH153"/>
      <c r="BQ153"/>
      <c r="BR153"/>
      <c r="BS153"/>
      <c r="BT153"/>
      <c r="BU153"/>
      <c r="BV153"/>
      <c r="BW153" s="959" t="str">
        <f t="shared" si="69"/>
        <v>►</v>
      </c>
      <c r="BX153"/>
      <c r="BY153"/>
      <c r="BZ153"/>
      <c r="CA153"/>
      <c r="CB153"/>
      <c r="CC153" s="856"/>
      <c r="DB153" s="3">
        <v>1</v>
      </c>
    </row>
    <row r="154" spans="1:106" s="709" customFormat="1" ht="21" customHeight="1">
      <c r="A154" s="936" t="s">
        <v>22</v>
      </c>
      <c r="B154" s="952" t="str">
        <f t="shared" si="68"/>
        <v>►</v>
      </c>
      <c r="C154" s="993" cm="1">
        <f t="array" ref="C154">SUMPRODUCT(LEN(D154:J154))</f>
        <v>0</v>
      </c>
      <c r="D154" s="167"/>
      <c r="E154" s="172"/>
      <c r="F154" s="172"/>
      <c r="G154" s="172"/>
      <c r="H154" s="172"/>
      <c r="I154" s="172"/>
      <c r="J154" s="173"/>
      <c r="K154" s="442"/>
      <c r="L154" s="104" t="s">
        <v>16</v>
      </c>
      <c r="M154" s="1172"/>
      <c r="N154" s="1172"/>
      <c r="O154" s="1172"/>
      <c r="P154" s="1173"/>
      <c r="Q154" s="1174"/>
      <c r="R154" s="1175"/>
      <c r="S154" s="1176"/>
      <c r="T154" s="1177"/>
      <c r="U154" s="5248"/>
      <c r="V154" s="1177"/>
      <c r="W154" s="5249"/>
      <c r="X154" s="5208"/>
      <c r="Y154" s="5209"/>
      <c r="Z154" s="5210"/>
      <c r="AA154" s="5211"/>
      <c r="AB154" s="1178"/>
      <c r="AC154" s="1179"/>
      <c r="AD154" s="227" t="s">
        <v>22</v>
      </c>
      <c r="AE154" s="1027" t="str">
        <f t="shared" si="70"/>
        <v>►</v>
      </c>
      <c r="AF154" s="1028" t="str">
        <f t="shared" si="71"/>
        <v/>
      </c>
      <c r="AG154" s="1029" t="str">
        <f t="shared" si="72"/>
        <v/>
      </c>
      <c r="AH154" s="1028" t="str">
        <f t="shared" si="73"/>
        <v/>
      </c>
      <c r="AI154" s="1029" t="str">
        <f t="shared" si="74"/>
        <v/>
      </c>
      <c r="AJ154" s="1029">
        <f t="shared" si="75"/>
        <v>0</v>
      </c>
      <c r="AK154" s="1043" t="str" cm="1">
        <f t="array" ref="AK154">IF(AE154&lt;&gt;"A","",IFERROR((IFERROR(_xlfn.XLOOKUP(TRIM(SUBSTITUTE(U154,CHAR(160)," ")),$BI$15:$BI$62,$BL$15:$BL$62),IFERROR(_xlfn.XLOOKUP(TRIM(SUBSTITUTE(U154,CHAR(160)," ")),$BJ$15:$BJ$62,$BL$15:$BL$62),_xlfn.XLOOKUP(TRIM(SUBSTITUTE(U154,CHAR(160)," ")),$BK$15:$BK$62,$BL$15:$BL$62))))*T154*IF(ISBLANK(Q154),1,Q154)+IFERROR(_xlfn.XLOOKUP("RECHERCHEX",TRIM(L154:AC154),L154:AC154),0),0))</f>
        <v/>
      </c>
      <c r="AL154" s="1030">
        <f t="shared" si="76"/>
        <v>0</v>
      </c>
      <c r="AM154" s="5254" t="str">
        <f t="shared" si="67"/>
        <v/>
      </c>
      <c r="AN154" s="1031">
        <f t="shared" si="77"/>
        <v>0</v>
      </c>
      <c r="AO154" s="1031">
        <f t="shared" si="78"/>
        <v>0</v>
      </c>
      <c r="AP154" s="1032">
        <f t="shared" si="79"/>
        <v>0</v>
      </c>
      <c r="AQ154" s="5255" t="str">
        <f t="shared" si="80"/>
        <v/>
      </c>
      <c r="AR154" s="1056"/>
      <c r="AS154" s="1056"/>
      <c r="AT154" s="1034">
        <f t="shared" si="81"/>
        <v>0</v>
      </c>
      <c r="AU154" s="1035">
        <f t="shared" si="82"/>
        <v>0</v>
      </c>
      <c r="AV154" s="1057" cm="1">
        <f t="array" ref="AV154">IF(AJ154&lt;&gt;1,0,IF(OR(AT154="",N(AT154)&lt;=0.000000001),"",IF(OR(AN154="",N(AN154)&lt;=0.000000001),0,IF(ISNUMBER(AT154),IFERROR(_xlfn.LET(_xlpm.ai_test,TRIM(AI154),_xlpm.r,IFERROR(_xlfn.XLOOKUP(_xlpm.ai_test,$BI$15:$BI$62,ROW($BI$15:$BI$62),0,1),IFERROR(_xlfn.XLOOKUP(_xlpm.ai_test,$BJ$15:$BJ$62,ROW($BJ$15:$BJ$62),0,1),_xlfn.XLOOKUP(_xlpm.ai_test,$BK$15:$BK$62,ROW($BK$15:$BK$62),0,1))),_xlpm.p,_xlpm.r-MIN(ROW($BI$15:$BI$62))+1,_xlpm.f,INDEX($BL$15:$BL$62,_xlpm.p),_xlpm.u,INDEX($BM$15:$BM$62,_xlpm.p),_xlpm.s,INDEX($BO$15:$BO$62,_xlpm.p),_xlpm.q,N(AT154)/_xlpm.f,IF(_xlpm.q&gt;=_xlpm.s,ROUND(_xlpm.q,1)&amp;" "&amp;_xlpm.ai_test&amp;" = "&amp;ROUND(_xlpm.q*_xlpm.f,1)&amp;" "&amp;_xlpm.u,ROUND(_xlpm.q,1)&amp;" "&amp;_xlpm.ai_test)),""),""))))</f>
        <v>0</v>
      </c>
      <c r="AW154" s="1047"/>
      <c r="AX154" s="1034">
        <f t="shared" si="83"/>
        <v>0</v>
      </c>
      <c r="AY154" s="1035" t="str">
        <f t="shared" si="84"/>
        <v/>
      </c>
      <c r="AZ154" s="1036">
        <f t="shared" si="89"/>
        <v>0</v>
      </c>
      <c r="BA154" s="1037" t="str">
        <f t="shared" si="85"/>
        <v/>
      </c>
      <c r="BB154" s="1038"/>
      <c r="BC154" s="1039">
        <f t="shared" si="66"/>
        <v>0</v>
      </c>
      <c r="BD154" s="1040" t="str">
        <f t="shared" si="86"/>
        <v/>
      </c>
      <c r="BE154" s="227" t="s">
        <v>22</v>
      </c>
      <c r="BF154" s="1019">
        <f t="shared" si="87"/>
        <v>0</v>
      </c>
      <c r="BG154" s="1020">
        <f t="shared" si="88"/>
        <v>0</v>
      </c>
      <c r="BH154"/>
      <c r="BQ154"/>
      <c r="BR154"/>
      <c r="BS154"/>
      <c r="BT154"/>
      <c r="BU154"/>
      <c r="BV154"/>
      <c r="BW154" s="959" t="str">
        <f t="shared" si="69"/>
        <v>►</v>
      </c>
      <c r="BX154"/>
      <c r="BY154"/>
      <c r="BZ154"/>
      <c r="CA154"/>
      <c r="CB154"/>
      <c r="CC154" s="856"/>
      <c r="CD154"/>
      <c r="CE154"/>
      <c r="CF154"/>
      <c r="CG154"/>
      <c r="CH154"/>
      <c r="CI154"/>
      <c r="CJ154"/>
      <c r="CL154"/>
      <c r="CM154"/>
      <c r="CN154"/>
      <c r="CO154"/>
      <c r="CP154"/>
      <c r="CQ154"/>
      <c r="CR154"/>
      <c r="CT154"/>
      <c r="CU154"/>
      <c r="CV154"/>
      <c r="CW154"/>
      <c r="CX154"/>
      <c r="CY154"/>
      <c r="CZ154"/>
      <c r="DB154" s="3">
        <v>1</v>
      </c>
    </row>
    <row r="155" spans="1:106" s="709" customFormat="1" ht="21" customHeight="1">
      <c r="A155" s="936" t="s">
        <v>22</v>
      </c>
      <c r="B155" s="952" t="str">
        <f t="shared" si="68"/>
        <v>►</v>
      </c>
      <c r="C155" s="993" cm="1">
        <f t="array" ref="C155">SUMPRODUCT(LEN(D155:J155))</f>
        <v>0</v>
      </c>
      <c r="D155" s="167"/>
      <c r="E155" s="172"/>
      <c r="F155" s="172"/>
      <c r="G155" s="172"/>
      <c r="H155" s="172"/>
      <c r="I155" s="172"/>
      <c r="J155" s="173"/>
      <c r="K155" s="442"/>
      <c r="L155" s="104" t="s">
        <v>16</v>
      </c>
      <c r="M155" s="1172"/>
      <c r="N155" s="1172"/>
      <c r="O155" s="1172"/>
      <c r="P155" s="1173"/>
      <c r="Q155" s="1174"/>
      <c r="R155" s="1175"/>
      <c r="S155" s="1176"/>
      <c r="T155" s="1177"/>
      <c r="U155" s="5248"/>
      <c r="V155" s="1177"/>
      <c r="W155" s="5249"/>
      <c r="X155" s="5208"/>
      <c r="Y155" s="5209"/>
      <c r="Z155" s="5210"/>
      <c r="AA155" s="5211"/>
      <c r="AB155" s="1178"/>
      <c r="AC155" s="1179"/>
      <c r="AD155" s="227" t="s">
        <v>22</v>
      </c>
      <c r="AE155" s="1027" t="str">
        <f t="shared" si="70"/>
        <v>►</v>
      </c>
      <c r="AF155" s="1028" t="str">
        <f t="shared" si="71"/>
        <v/>
      </c>
      <c r="AG155" s="1029" t="str">
        <f t="shared" si="72"/>
        <v/>
      </c>
      <c r="AH155" s="1028" t="str">
        <f t="shared" si="73"/>
        <v/>
      </c>
      <c r="AI155" s="1029" t="str">
        <f t="shared" si="74"/>
        <v/>
      </c>
      <c r="AJ155" s="1029">
        <f t="shared" si="75"/>
        <v>0</v>
      </c>
      <c r="AK155" s="1043" t="str" cm="1">
        <f t="array" ref="AK155">IF(AE155&lt;&gt;"A","",IFERROR((IFERROR(_xlfn.XLOOKUP(TRIM(SUBSTITUTE(U155,CHAR(160)," ")),$BI$15:$BI$62,$BL$15:$BL$62),IFERROR(_xlfn.XLOOKUP(TRIM(SUBSTITUTE(U155,CHAR(160)," ")),$BJ$15:$BJ$62,$BL$15:$BL$62),_xlfn.XLOOKUP(TRIM(SUBSTITUTE(U155,CHAR(160)," ")),$BK$15:$BK$62,$BL$15:$BL$62))))*T155*IF(ISBLANK(Q155),1,Q155)+IFERROR(_xlfn.XLOOKUP("RECHERCHEX",TRIM(L155:AC155),L155:AC155),0),0))</f>
        <v/>
      </c>
      <c r="AL155" s="1030">
        <f t="shared" si="76"/>
        <v>0</v>
      </c>
      <c r="AM155" s="5254" t="str">
        <f t="shared" si="67"/>
        <v/>
      </c>
      <c r="AN155" s="1031">
        <f t="shared" si="77"/>
        <v>0</v>
      </c>
      <c r="AO155" s="1031">
        <f t="shared" si="78"/>
        <v>0</v>
      </c>
      <c r="AP155" s="1044">
        <f t="shared" si="79"/>
        <v>0</v>
      </c>
      <c r="AQ155" s="5257" t="str">
        <f t="shared" si="80"/>
        <v/>
      </c>
      <c r="AR155" s="1056"/>
      <c r="AS155" s="1056"/>
      <c r="AT155" s="1045">
        <f t="shared" si="81"/>
        <v>0</v>
      </c>
      <c r="AU155" s="1046">
        <f t="shared" si="82"/>
        <v>0</v>
      </c>
      <c r="AV155" s="1059" cm="1">
        <f t="array" ref="AV155">IF(AJ155&lt;&gt;1,0,IF(OR(AT155="",N(AT155)&lt;=0.000000001),"",IF(OR(AN155="",N(AN155)&lt;=0.000000001),0,IF(ISNUMBER(AT155),IFERROR(_xlfn.LET(_xlpm.ai_test,TRIM(AI155),_xlpm.r,IFERROR(_xlfn.XLOOKUP(_xlpm.ai_test,$BI$15:$BI$62,ROW($BI$15:$BI$62),0,1),IFERROR(_xlfn.XLOOKUP(_xlpm.ai_test,$BJ$15:$BJ$62,ROW($BJ$15:$BJ$62),0,1),_xlfn.XLOOKUP(_xlpm.ai_test,$BK$15:$BK$62,ROW($BK$15:$BK$62),0,1))),_xlpm.p,_xlpm.r-MIN(ROW($BI$15:$BI$62))+1,_xlpm.f,INDEX($BL$15:$BL$62,_xlpm.p),_xlpm.u,INDEX($BM$15:$BM$62,_xlpm.p),_xlpm.s,INDEX($BO$15:$BO$62,_xlpm.p),_xlpm.q,N(AT155)/_xlpm.f,IF(_xlpm.q&gt;=_xlpm.s,ROUND(_xlpm.q,1)&amp;" "&amp;_xlpm.ai_test&amp;" = "&amp;ROUND(_xlpm.q*_xlpm.f,1)&amp;" "&amp;_xlpm.u,ROUND(_xlpm.q,1)&amp;" "&amp;_xlpm.ai_test)),""),""))))</f>
        <v>0</v>
      </c>
      <c r="AW155" s="1047"/>
      <c r="AX155" s="1045">
        <f t="shared" si="83"/>
        <v>0</v>
      </c>
      <c r="AY155" s="1046" t="str">
        <f t="shared" si="84"/>
        <v/>
      </c>
      <c r="AZ155" s="1048">
        <f t="shared" si="89"/>
        <v>0</v>
      </c>
      <c r="BA155" s="1049" t="str">
        <f t="shared" si="85"/>
        <v/>
      </c>
      <c r="BB155" s="1038"/>
      <c r="BC155" s="1050">
        <f t="shared" ref="BC155:BC218" si="90">IF(OR(AN155=0,ISBLANK(BB155),ISTEXT(AZ155)),0,(IF(AT155=0,AZ155,AT155)*BB155))</f>
        <v>0</v>
      </c>
      <c r="BD155" s="1040" t="str">
        <f t="shared" si="86"/>
        <v/>
      </c>
      <c r="BE155" s="227" t="s">
        <v>22</v>
      </c>
      <c r="BF155" s="1019">
        <f t="shared" si="87"/>
        <v>0</v>
      </c>
      <c r="BG155" s="1020">
        <f t="shared" si="88"/>
        <v>0</v>
      </c>
      <c r="BH155"/>
      <c r="BQ155"/>
      <c r="BR155"/>
      <c r="BS155"/>
      <c r="BT155"/>
      <c r="BU155"/>
      <c r="BV155"/>
      <c r="BW155" s="959" t="str">
        <f t="shared" si="69"/>
        <v>►</v>
      </c>
      <c r="BX155"/>
      <c r="BY155"/>
      <c r="BZ155"/>
      <c r="CA155"/>
      <c r="CB155"/>
      <c r="CC155" s="856"/>
      <c r="CD155"/>
      <c r="CE155"/>
      <c r="CF155"/>
      <c r="CG155"/>
      <c r="CH155"/>
      <c r="CI155"/>
      <c r="CJ155"/>
      <c r="CL155"/>
      <c r="CM155"/>
      <c r="CN155"/>
      <c r="CO155"/>
      <c r="CP155"/>
      <c r="CQ155"/>
      <c r="CR155"/>
      <c r="CT155"/>
      <c r="CU155"/>
      <c r="CV155"/>
      <c r="CW155"/>
      <c r="CX155"/>
      <c r="CY155"/>
      <c r="CZ155"/>
      <c r="DB155" s="3">
        <v>1</v>
      </c>
    </row>
    <row r="156" spans="1:106" s="709" customFormat="1" ht="21" customHeight="1">
      <c r="A156" s="936" t="s">
        <v>22</v>
      </c>
      <c r="B156" s="952" t="str">
        <f t="shared" si="68"/>
        <v>►</v>
      </c>
      <c r="C156" s="993" cm="1">
        <f t="array" ref="C156">SUMPRODUCT(LEN(D156:J156))</f>
        <v>0</v>
      </c>
      <c r="D156" s="167"/>
      <c r="E156" s="172"/>
      <c r="F156" s="172"/>
      <c r="G156" s="172"/>
      <c r="H156" s="172"/>
      <c r="I156" s="172"/>
      <c r="J156" s="173"/>
      <c r="K156" s="442"/>
      <c r="L156" s="104" t="s">
        <v>16</v>
      </c>
      <c r="M156" s="1172"/>
      <c r="N156" s="1172"/>
      <c r="O156" s="1172"/>
      <c r="P156" s="1173"/>
      <c r="Q156" s="1174"/>
      <c r="R156" s="1175"/>
      <c r="S156" s="1176"/>
      <c r="T156" s="1177"/>
      <c r="U156" s="5248"/>
      <c r="V156" s="1177"/>
      <c r="W156" s="5249"/>
      <c r="X156" s="5208"/>
      <c r="Y156" s="5209"/>
      <c r="Z156" s="5210"/>
      <c r="AA156" s="5211"/>
      <c r="AB156" s="1178"/>
      <c r="AC156" s="1179"/>
      <c r="AD156" s="227" t="s">
        <v>22</v>
      </c>
      <c r="AE156" s="1027" t="str">
        <f t="shared" si="70"/>
        <v>►</v>
      </c>
      <c r="AF156" s="1028" t="str">
        <f t="shared" si="71"/>
        <v/>
      </c>
      <c r="AG156" s="1029" t="str">
        <f t="shared" si="72"/>
        <v/>
      </c>
      <c r="AH156" s="1028" t="str">
        <f t="shared" si="73"/>
        <v/>
      </c>
      <c r="AI156" s="1029" t="str">
        <f t="shared" si="74"/>
        <v/>
      </c>
      <c r="AJ156" s="1029">
        <f t="shared" si="75"/>
        <v>0</v>
      </c>
      <c r="AK156" s="1043" t="str" cm="1">
        <f t="array" ref="AK156">IF(AE156&lt;&gt;"A","",IFERROR((IFERROR(_xlfn.XLOOKUP(TRIM(SUBSTITUTE(U156,CHAR(160)," ")),$BI$15:$BI$62,$BL$15:$BL$62),IFERROR(_xlfn.XLOOKUP(TRIM(SUBSTITUTE(U156,CHAR(160)," ")),$BJ$15:$BJ$62,$BL$15:$BL$62),_xlfn.XLOOKUP(TRIM(SUBSTITUTE(U156,CHAR(160)," ")),$BK$15:$BK$62,$BL$15:$BL$62))))*T156*IF(ISBLANK(Q156),1,Q156)+IFERROR(_xlfn.XLOOKUP("RECHERCHEX",TRIM(L156:AC156),L156:AC156),0),0))</f>
        <v/>
      </c>
      <c r="AL156" s="1030">
        <f t="shared" si="76"/>
        <v>0</v>
      </c>
      <c r="AM156" s="5254" t="str">
        <f t="shared" si="67"/>
        <v/>
      </c>
      <c r="AN156" s="1031">
        <f t="shared" si="77"/>
        <v>0</v>
      </c>
      <c r="AO156" s="1031">
        <f t="shared" si="78"/>
        <v>0</v>
      </c>
      <c r="AP156" s="1032">
        <f t="shared" si="79"/>
        <v>0</v>
      </c>
      <c r="AQ156" s="5255" t="str">
        <f t="shared" si="80"/>
        <v/>
      </c>
      <c r="AR156" s="1056"/>
      <c r="AS156" s="1056"/>
      <c r="AT156" s="1034">
        <f t="shared" si="81"/>
        <v>0</v>
      </c>
      <c r="AU156" s="1035">
        <f t="shared" si="82"/>
        <v>0</v>
      </c>
      <c r="AV156" s="1057" cm="1">
        <f t="array" ref="AV156">IF(AJ156&lt;&gt;1,0,IF(OR(AT156="",N(AT156)&lt;=0.000000001),"",IF(OR(AN156="",N(AN156)&lt;=0.000000001),0,IF(ISNUMBER(AT156),IFERROR(_xlfn.LET(_xlpm.ai_test,TRIM(AI156),_xlpm.r,IFERROR(_xlfn.XLOOKUP(_xlpm.ai_test,$BI$15:$BI$62,ROW($BI$15:$BI$62),0,1),IFERROR(_xlfn.XLOOKUP(_xlpm.ai_test,$BJ$15:$BJ$62,ROW($BJ$15:$BJ$62),0,1),_xlfn.XLOOKUP(_xlpm.ai_test,$BK$15:$BK$62,ROW($BK$15:$BK$62),0,1))),_xlpm.p,_xlpm.r-MIN(ROW($BI$15:$BI$62))+1,_xlpm.f,INDEX($BL$15:$BL$62,_xlpm.p),_xlpm.u,INDEX($BM$15:$BM$62,_xlpm.p),_xlpm.s,INDEX($BO$15:$BO$62,_xlpm.p),_xlpm.q,N(AT156)/_xlpm.f,IF(_xlpm.q&gt;=_xlpm.s,ROUND(_xlpm.q,1)&amp;" "&amp;_xlpm.ai_test&amp;" = "&amp;ROUND(_xlpm.q*_xlpm.f,1)&amp;" "&amp;_xlpm.u,ROUND(_xlpm.q,1)&amp;" "&amp;_xlpm.ai_test)),""),""))))</f>
        <v>0</v>
      </c>
      <c r="AW156" s="1047"/>
      <c r="AX156" s="1034">
        <f t="shared" si="83"/>
        <v>0</v>
      </c>
      <c r="AY156" s="1035" t="str">
        <f t="shared" si="84"/>
        <v/>
      </c>
      <c r="AZ156" s="1036">
        <f t="shared" si="89"/>
        <v>0</v>
      </c>
      <c r="BA156" s="1037" t="str">
        <f t="shared" si="85"/>
        <v/>
      </c>
      <c r="BB156" s="1038"/>
      <c r="BC156" s="1039">
        <f t="shared" si="90"/>
        <v>0</v>
      </c>
      <c r="BD156" s="1040" t="str">
        <f t="shared" si="86"/>
        <v/>
      </c>
      <c r="BE156" s="227" t="s">
        <v>22</v>
      </c>
      <c r="BF156" s="1019">
        <f t="shared" si="87"/>
        <v>0</v>
      </c>
      <c r="BG156" s="1020">
        <f t="shared" si="88"/>
        <v>0</v>
      </c>
      <c r="BH156"/>
      <c r="BQ156"/>
      <c r="BR156"/>
      <c r="BS156"/>
      <c r="BT156"/>
      <c r="BU156"/>
      <c r="BV156"/>
      <c r="BW156" s="959" t="str">
        <f t="shared" si="69"/>
        <v>►</v>
      </c>
      <c r="BX156"/>
      <c r="BY156"/>
      <c r="BZ156"/>
      <c r="CA156"/>
      <c r="CB156"/>
      <c r="CC156" s="856"/>
      <c r="CD156"/>
      <c r="CE156"/>
      <c r="CF156"/>
      <c r="CG156"/>
      <c r="CH156"/>
      <c r="CI156"/>
      <c r="CJ156"/>
      <c r="CL156"/>
      <c r="CM156"/>
      <c r="CN156"/>
      <c r="CO156"/>
      <c r="CP156"/>
      <c r="CQ156"/>
      <c r="CR156"/>
      <c r="CT156"/>
      <c r="CU156"/>
      <c r="CV156"/>
      <c r="CW156"/>
      <c r="CX156"/>
      <c r="CY156"/>
      <c r="CZ156"/>
      <c r="DB156" s="3">
        <v>1</v>
      </c>
    </row>
    <row r="157" spans="1:106" s="709" customFormat="1" ht="21" customHeight="1">
      <c r="A157" s="936" t="s">
        <v>22</v>
      </c>
      <c r="B157" s="952" t="str">
        <f t="shared" si="68"/>
        <v>►</v>
      </c>
      <c r="C157" s="993" cm="1">
        <f t="array" ref="C157">SUMPRODUCT(LEN(D157:J157))</f>
        <v>0</v>
      </c>
      <c r="D157" s="167"/>
      <c r="E157" s="172"/>
      <c r="F157" s="172"/>
      <c r="G157" s="172"/>
      <c r="H157" s="172"/>
      <c r="I157" s="172"/>
      <c r="J157" s="173"/>
      <c r="K157" s="442"/>
      <c r="L157" s="104" t="s">
        <v>16</v>
      </c>
      <c r="M157" s="1172"/>
      <c r="N157" s="1172"/>
      <c r="O157" s="1172"/>
      <c r="P157" s="1173"/>
      <c r="Q157" s="1174"/>
      <c r="R157" s="1175"/>
      <c r="S157" s="1176"/>
      <c r="T157" s="1177"/>
      <c r="U157" s="5248"/>
      <c r="V157" s="1177"/>
      <c r="W157" s="5249"/>
      <c r="X157" s="5208"/>
      <c r="Y157" s="5209"/>
      <c r="Z157" s="5210"/>
      <c r="AA157" s="5211"/>
      <c r="AB157" s="1178"/>
      <c r="AC157" s="1179"/>
      <c r="AD157" s="227" t="s">
        <v>22</v>
      </c>
      <c r="AE157" s="1027" t="str">
        <f t="shared" si="70"/>
        <v>►</v>
      </c>
      <c r="AF157" s="1028" t="str">
        <f t="shared" si="71"/>
        <v/>
      </c>
      <c r="AG157" s="1029" t="str">
        <f t="shared" si="72"/>
        <v/>
      </c>
      <c r="AH157" s="1028" t="str">
        <f t="shared" si="73"/>
        <v/>
      </c>
      <c r="AI157" s="1029" t="str">
        <f t="shared" si="74"/>
        <v/>
      </c>
      <c r="AJ157" s="1029">
        <f t="shared" si="75"/>
        <v>0</v>
      </c>
      <c r="AK157" s="1043" t="str" cm="1">
        <f t="array" ref="AK157">IF(AE157&lt;&gt;"A","",IFERROR((IFERROR(_xlfn.XLOOKUP(TRIM(SUBSTITUTE(U157,CHAR(160)," ")),$BI$15:$BI$62,$BL$15:$BL$62),IFERROR(_xlfn.XLOOKUP(TRIM(SUBSTITUTE(U157,CHAR(160)," ")),$BJ$15:$BJ$62,$BL$15:$BL$62),_xlfn.XLOOKUP(TRIM(SUBSTITUTE(U157,CHAR(160)," ")),$BK$15:$BK$62,$BL$15:$BL$62))))*T157*IF(ISBLANK(Q157),1,Q157)+IFERROR(_xlfn.XLOOKUP("RECHERCHEX",TRIM(L157:AC157),L157:AC157),0),0))</f>
        <v/>
      </c>
      <c r="AL157" s="1030">
        <f t="shared" si="76"/>
        <v>0</v>
      </c>
      <c r="AM157" s="5254" t="str">
        <f t="shared" si="67"/>
        <v/>
      </c>
      <c r="AN157" s="1031">
        <f t="shared" si="77"/>
        <v>0</v>
      </c>
      <c r="AO157" s="1031">
        <f t="shared" si="78"/>
        <v>0</v>
      </c>
      <c r="AP157" s="1044">
        <f t="shared" si="79"/>
        <v>0</v>
      </c>
      <c r="AQ157" s="5257" t="str">
        <f t="shared" si="80"/>
        <v/>
      </c>
      <c r="AR157" s="1056"/>
      <c r="AS157" s="1056"/>
      <c r="AT157" s="1045">
        <f t="shared" si="81"/>
        <v>0</v>
      </c>
      <c r="AU157" s="1046">
        <f t="shared" si="82"/>
        <v>0</v>
      </c>
      <c r="AV157" s="1059" cm="1">
        <f t="array" ref="AV157">IF(AJ157&lt;&gt;1,0,IF(OR(AT157="",N(AT157)&lt;=0.000000001),"",IF(OR(AN157="",N(AN157)&lt;=0.000000001),0,IF(ISNUMBER(AT157),IFERROR(_xlfn.LET(_xlpm.ai_test,TRIM(AI157),_xlpm.r,IFERROR(_xlfn.XLOOKUP(_xlpm.ai_test,$BI$15:$BI$62,ROW($BI$15:$BI$62),0,1),IFERROR(_xlfn.XLOOKUP(_xlpm.ai_test,$BJ$15:$BJ$62,ROW($BJ$15:$BJ$62),0,1),_xlfn.XLOOKUP(_xlpm.ai_test,$BK$15:$BK$62,ROW($BK$15:$BK$62),0,1))),_xlpm.p,_xlpm.r-MIN(ROW($BI$15:$BI$62))+1,_xlpm.f,INDEX($BL$15:$BL$62,_xlpm.p),_xlpm.u,INDEX($BM$15:$BM$62,_xlpm.p),_xlpm.s,INDEX($BO$15:$BO$62,_xlpm.p),_xlpm.q,N(AT157)/_xlpm.f,IF(_xlpm.q&gt;=_xlpm.s,ROUND(_xlpm.q,1)&amp;" "&amp;_xlpm.ai_test&amp;" = "&amp;ROUND(_xlpm.q*_xlpm.f,1)&amp;" "&amp;_xlpm.u,ROUND(_xlpm.q,1)&amp;" "&amp;_xlpm.ai_test)),""),""))))</f>
        <v>0</v>
      </c>
      <c r="AW157" s="1047"/>
      <c r="AX157" s="1045">
        <f t="shared" si="83"/>
        <v>0</v>
      </c>
      <c r="AY157" s="1046" t="str">
        <f t="shared" si="84"/>
        <v/>
      </c>
      <c r="AZ157" s="1048">
        <f t="shared" si="89"/>
        <v>0</v>
      </c>
      <c r="BA157" s="1049" t="str">
        <f t="shared" si="85"/>
        <v/>
      </c>
      <c r="BB157" s="1038"/>
      <c r="BC157" s="1050">
        <f t="shared" si="90"/>
        <v>0</v>
      </c>
      <c r="BD157" s="1040" t="str">
        <f t="shared" si="86"/>
        <v/>
      </c>
      <c r="BE157" s="227" t="s">
        <v>22</v>
      </c>
      <c r="BF157" s="1019">
        <f t="shared" si="87"/>
        <v>0</v>
      </c>
      <c r="BG157" s="1020">
        <f t="shared" si="88"/>
        <v>0</v>
      </c>
      <c r="BH157"/>
      <c r="BQ157"/>
      <c r="BR157"/>
      <c r="BS157"/>
      <c r="BT157"/>
      <c r="BU157"/>
      <c r="BV157"/>
      <c r="BW157" s="959" t="str">
        <f t="shared" si="69"/>
        <v>►</v>
      </c>
      <c r="BX157"/>
      <c r="BY157"/>
      <c r="BZ157"/>
      <c r="CA157"/>
      <c r="CB157"/>
      <c r="CC157" s="856"/>
      <c r="CD157"/>
      <c r="CE157"/>
      <c r="CF157"/>
      <c r="CG157"/>
      <c r="CH157"/>
      <c r="CI157"/>
      <c r="CJ157"/>
      <c r="CL157"/>
      <c r="CM157"/>
      <c r="CN157"/>
      <c r="CO157"/>
      <c r="CP157"/>
      <c r="CQ157"/>
      <c r="CR157"/>
      <c r="CT157"/>
      <c r="CU157"/>
      <c r="CV157"/>
      <c r="CW157"/>
      <c r="CX157"/>
      <c r="CY157"/>
      <c r="CZ157"/>
      <c r="DB157" s="3">
        <v>1</v>
      </c>
    </row>
    <row r="158" spans="1:106" s="709" customFormat="1" ht="21" customHeight="1">
      <c r="A158" s="936" t="s">
        <v>22</v>
      </c>
      <c r="B158" s="952" t="str">
        <f t="shared" si="68"/>
        <v>►</v>
      </c>
      <c r="C158" s="993" cm="1">
        <f t="array" ref="C158">SUMPRODUCT(LEN(D158:J158))</f>
        <v>0</v>
      </c>
      <c r="D158" s="167"/>
      <c r="E158" s="172"/>
      <c r="F158" s="172"/>
      <c r="G158" s="172"/>
      <c r="H158" s="172"/>
      <c r="I158" s="172"/>
      <c r="J158" s="173"/>
      <c r="K158" s="442" t="s">
        <v>22</v>
      </c>
      <c r="L158" s="104" t="s">
        <v>16</v>
      </c>
      <c r="M158" s="1172"/>
      <c r="N158" s="1172"/>
      <c r="O158" s="1172"/>
      <c r="P158" s="1173"/>
      <c r="Q158" s="1174"/>
      <c r="R158" s="1175"/>
      <c r="S158" s="1176"/>
      <c r="T158" s="1177"/>
      <c r="U158" s="5248"/>
      <c r="V158" s="1177"/>
      <c r="W158" s="5249"/>
      <c r="X158" s="5208"/>
      <c r="Y158" s="5209"/>
      <c r="Z158" s="5210"/>
      <c r="AA158" s="5211"/>
      <c r="AB158" s="1178"/>
      <c r="AC158" s="1179"/>
      <c r="AD158" s="227" t="s">
        <v>22</v>
      </c>
      <c r="AE158" s="1027" t="str">
        <f t="shared" si="70"/>
        <v>►</v>
      </c>
      <c r="AF158" s="1028" t="str">
        <f t="shared" si="71"/>
        <v/>
      </c>
      <c r="AG158" s="1029" t="str">
        <f t="shared" si="72"/>
        <v/>
      </c>
      <c r="AH158" s="1028" t="str">
        <f t="shared" si="73"/>
        <v/>
      </c>
      <c r="AI158" s="1029" t="str">
        <f t="shared" si="74"/>
        <v/>
      </c>
      <c r="AJ158" s="1029">
        <f t="shared" si="75"/>
        <v>0</v>
      </c>
      <c r="AK158" s="1043" t="str" cm="1">
        <f t="array" ref="AK158">IF(AE158&lt;&gt;"A","",IFERROR((IFERROR(_xlfn.XLOOKUP(TRIM(SUBSTITUTE(U158,CHAR(160)," ")),$BI$15:$BI$62,$BL$15:$BL$62),IFERROR(_xlfn.XLOOKUP(TRIM(SUBSTITUTE(U158,CHAR(160)," ")),$BJ$15:$BJ$62,$BL$15:$BL$62),_xlfn.XLOOKUP(TRIM(SUBSTITUTE(U158,CHAR(160)," ")),$BK$15:$BK$62,$BL$15:$BL$62))))*T158*IF(ISBLANK(Q158),1,Q158)+IFERROR(_xlfn.XLOOKUP("RECHERCHEX",TRIM(L158:AC158),L158:AC158),0),0))</f>
        <v/>
      </c>
      <c r="AL158" s="1030">
        <f t="shared" si="76"/>
        <v>0</v>
      </c>
      <c r="AM158" s="5254" t="str">
        <f t="shared" ref="AM158:AM221" si="91">IF(AE158="A","❾ Author reference &gt;","")</f>
        <v/>
      </c>
      <c r="AN158" s="1031">
        <f t="shared" si="77"/>
        <v>0</v>
      </c>
      <c r="AO158" s="1031">
        <f t="shared" si="78"/>
        <v>0</v>
      </c>
      <c r="AP158" s="1032">
        <f t="shared" si="79"/>
        <v>0</v>
      </c>
      <c r="AQ158" s="5255" t="str">
        <f t="shared" si="80"/>
        <v/>
      </c>
      <c r="AR158" s="1056"/>
      <c r="AS158" s="1056"/>
      <c r="AT158" s="1034">
        <f t="shared" si="81"/>
        <v>0</v>
      </c>
      <c r="AU158" s="1035">
        <f t="shared" si="82"/>
        <v>0</v>
      </c>
      <c r="AV158" s="1057" cm="1">
        <f t="array" ref="AV158">IF(AJ158&lt;&gt;1,0,IF(OR(AT158="",N(AT158)&lt;=0.000000001),"",IF(OR(AN158="",N(AN158)&lt;=0.000000001),0,IF(ISNUMBER(AT158),IFERROR(_xlfn.LET(_xlpm.ai_test,TRIM(AI158),_xlpm.r,IFERROR(_xlfn.XLOOKUP(_xlpm.ai_test,$BI$15:$BI$62,ROW($BI$15:$BI$62),0,1),IFERROR(_xlfn.XLOOKUP(_xlpm.ai_test,$BJ$15:$BJ$62,ROW($BJ$15:$BJ$62),0,1),_xlfn.XLOOKUP(_xlpm.ai_test,$BK$15:$BK$62,ROW($BK$15:$BK$62),0,1))),_xlpm.p,_xlpm.r-MIN(ROW($BI$15:$BI$62))+1,_xlpm.f,INDEX($BL$15:$BL$62,_xlpm.p),_xlpm.u,INDEX($BM$15:$BM$62,_xlpm.p),_xlpm.s,INDEX($BO$15:$BO$62,_xlpm.p),_xlpm.q,N(AT158)/_xlpm.f,IF(_xlpm.q&gt;=_xlpm.s,ROUND(_xlpm.q,1)&amp;" "&amp;_xlpm.ai_test&amp;" = "&amp;ROUND(_xlpm.q*_xlpm.f,1)&amp;" "&amp;_xlpm.u,ROUND(_xlpm.q,1)&amp;" "&amp;_xlpm.ai_test)),""),""))))</f>
        <v>0</v>
      </c>
      <c r="AW158" s="1047"/>
      <c r="AX158" s="1034">
        <f t="shared" si="83"/>
        <v>0</v>
      </c>
      <c r="AY158" s="1035" t="str">
        <f t="shared" si="84"/>
        <v/>
      </c>
      <c r="AZ158" s="1036">
        <f t="shared" si="89"/>
        <v>0</v>
      </c>
      <c r="BA158" s="1037" t="str">
        <f t="shared" si="85"/>
        <v/>
      </c>
      <c r="BB158" s="1038"/>
      <c r="BC158" s="1039">
        <f t="shared" si="90"/>
        <v>0</v>
      </c>
      <c r="BD158" s="1040" t="str">
        <f t="shared" si="86"/>
        <v/>
      </c>
      <c r="BE158" s="227" t="s">
        <v>22</v>
      </c>
      <c r="BF158" s="1019">
        <f t="shared" si="87"/>
        <v>0</v>
      </c>
      <c r="BG158" s="1020">
        <f t="shared" si="88"/>
        <v>0</v>
      </c>
      <c r="BH158"/>
      <c r="BQ158"/>
      <c r="BR158"/>
      <c r="BS158"/>
      <c r="BT158"/>
      <c r="BU158"/>
      <c r="BV158"/>
      <c r="BW158" s="959" t="str">
        <f t="shared" si="69"/>
        <v>►</v>
      </c>
      <c r="BX158"/>
      <c r="BY158"/>
      <c r="BZ158"/>
      <c r="CA158"/>
      <c r="CB158"/>
      <c r="CC158" s="856"/>
      <c r="CD158"/>
      <c r="CE158"/>
      <c r="CF158"/>
      <c r="CG158"/>
      <c r="CH158"/>
      <c r="CI158"/>
      <c r="CJ158"/>
      <c r="CL158"/>
      <c r="CM158"/>
      <c r="CN158"/>
      <c r="CO158"/>
      <c r="CP158"/>
      <c r="CQ158"/>
      <c r="CR158"/>
      <c r="CT158"/>
      <c r="CU158"/>
      <c r="CV158"/>
      <c r="CW158"/>
      <c r="CX158"/>
      <c r="CY158"/>
      <c r="CZ158"/>
      <c r="DB158" s="3">
        <v>1</v>
      </c>
    </row>
    <row r="159" spans="1:106" s="709" customFormat="1" ht="21" customHeight="1">
      <c r="A159" s="936" t="s">
        <v>22</v>
      </c>
      <c r="B159" s="952" t="str">
        <f t="shared" si="68"/>
        <v>►</v>
      </c>
      <c r="C159" s="993" cm="1">
        <f t="array" ref="C159">SUMPRODUCT(LEN(D159:J159))</f>
        <v>0</v>
      </c>
      <c r="D159" s="167"/>
      <c r="E159" s="172"/>
      <c r="F159" s="172"/>
      <c r="G159" s="172"/>
      <c r="H159" s="172"/>
      <c r="I159" s="172"/>
      <c r="J159" s="173"/>
      <c r="K159" s="442" t="s">
        <v>22</v>
      </c>
      <c r="L159" s="104" t="s">
        <v>16</v>
      </c>
      <c r="M159" s="1172"/>
      <c r="N159" s="1172"/>
      <c r="O159" s="1172"/>
      <c r="P159" s="1173"/>
      <c r="Q159" s="1174"/>
      <c r="R159" s="1175"/>
      <c r="S159" s="1176"/>
      <c r="T159" s="1177"/>
      <c r="U159" s="5248"/>
      <c r="V159" s="1177"/>
      <c r="W159" s="5249"/>
      <c r="X159" s="5208"/>
      <c r="Y159" s="5209"/>
      <c r="Z159" s="5210"/>
      <c r="AA159" s="5211"/>
      <c r="AB159" s="1178"/>
      <c r="AC159" s="1179"/>
      <c r="AD159" s="227" t="s">
        <v>22</v>
      </c>
      <c r="AE159" s="1027" t="str">
        <f t="shared" si="70"/>
        <v>►</v>
      </c>
      <c r="AF159" s="1028" t="str">
        <f t="shared" si="71"/>
        <v/>
      </c>
      <c r="AG159" s="1029" t="str">
        <f t="shared" si="72"/>
        <v/>
      </c>
      <c r="AH159" s="1028" t="str">
        <f t="shared" si="73"/>
        <v/>
      </c>
      <c r="AI159" s="1029" t="str">
        <f t="shared" si="74"/>
        <v/>
      </c>
      <c r="AJ159" s="1029">
        <f t="shared" si="75"/>
        <v>0</v>
      </c>
      <c r="AK159" s="1043" t="str" cm="1">
        <f t="array" ref="AK159">IF(AE159&lt;&gt;"A","",IFERROR((IFERROR(_xlfn.XLOOKUP(TRIM(SUBSTITUTE(U159,CHAR(160)," ")),$BI$15:$BI$62,$BL$15:$BL$62),IFERROR(_xlfn.XLOOKUP(TRIM(SUBSTITUTE(U159,CHAR(160)," ")),$BJ$15:$BJ$62,$BL$15:$BL$62),_xlfn.XLOOKUP(TRIM(SUBSTITUTE(U159,CHAR(160)," ")),$BK$15:$BK$62,$BL$15:$BL$62))))*T159*IF(ISBLANK(Q159),1,Q159)+IFERROR(_xlfn.XLOOKUP("RECHERCHEX",TRIM(L159:AC159),L159:AC159),0),0))</f>
        <v/>
      </c>
      <c r="AL159" s="1030">
        <f t="shared" si="76"/>
        <v>0</v>
      </c>
      <c r="AM159" s="5254" t="str">
        <f t="shared" si="91"/>
        <v/>
      </c>
      <c r="AN159" s="1031">
        <f t="shared" si="77"/>
        <v>0</v>
      </c>
      <c r="AO159" s="1031">
        <f t="shared" si="78"/>
        <v>0</v>
      </c>
      <c r="AP159" s="1044">
        <f t="shared" si="79"/>
        <v>0</v>
      </c>
      <c r="AQ159" s="5257" t="str">
        <f t="shared" si="80"/>
        <v/>
      </c>
      <c r="AR159" s="1056"/>
      <c r="AS159" s="1056"/>
      <c r="AT159" s="1045">
        <f t="shared" si="81"/>
        <v>0</v>
      </c>
      <c r="AU159" s="1046">
        <f t="shared" si="82"/>
        <v>0</v>
      </c>
      <c r="AV159" s="1059" cm="1">
        <f t="array" ref="AV159">IF(AJ159&lt;&gt;1,0,IF(OR(AT159="",N(AT159)&lt;=0.000000001),"",IF(OR(AN159="",N(AN159)&lt;=0.000000001),0,IF(ISNUMBER(AT159),IFERROR(_xlfn.LET(_xlpm.ai_test,TRIM(AI159),_xlpm.r,IFERROR(_xlfn.XLOOKUP(_xlpm.ai_test,$BI$15:$BI$62,ROW($BI$15:$BI$62),0,1),IFERROR(_xlfn.XLOOKUP(_xlpm.ai_test,$BJ$15:$BJ$62,ROW($BJ$15:$BJ$62),0,1),_xlfn.XLOOKUP(_xlpm.ai_test,$BK$15:$BK$62,ROW($BK$15:$BK$62),0,1))),_xlpm.p,_xlpm.r-MIN(ROW($BI$15:$BI$62))+1,_xlpm.f,INDEX($BL$15:$BL$62,_xlpm.p),_xlpm.u,INDEX($BM$15:$BM$62,_xlpm.p),_xlpm.s,INDEX($BO$15:$BO$62,_xlpm.p),_xlpm.q,N(AT159)/_xlpm.f,IF(_xlpm.q&gt;=_xlpm.s,ROUND(_xlpm.q,1)&amp;" "&amp;_xlpm.ai_test&amp;" = "&amp;ROUND(_xlpm.q*_xlpm.f,1)&amp;" "&amp;_xlpm.u,ROUND(_xlpm.q,1)&amp;" "&amp;_xlpm.ai_test)),""),""))))</f>
        <v>0</v>
      </c>
      <c r="AW159" s="1047"/>
      <c r="AX159" s="1045">
        <f t="shared" si="83"/>
        <v>0</v>
      </c>
      <c r="AY159" s="1046" t="str">
        <f t="shared" si="84"/>
        <v/>
      </c>
      <c r="AZ159" s="1048">
        <f t="shared" si="89"/>
        <v>0</v>
      </c>
      <c r="BA159" s="1049" t="str">
        <f t="shared" si="85"/>
        <v/>
      </c>
      <c r="BB159" s="1038"/>
      <c r="BC159" s="1050">
        <f t="shared" si="90"/>
        <v>0</v>
      </c>
      <c r="BD159" s="1040" t="str">
        <f t="shared" si="86"/>
        <v/>
      </c>
      <c r="BE159" s="227" t="s">
        <v>22</v>
      </c>
      <c r="BF159" s="1019">
        <f t="shared" si="87"/>
        <v>0</v>
      </c>
      <c r="BG159" s="1020">
        <f t="shared" si="88"/>
        <v>0</v>
      </c>
      <c r="BH159"/>
      <c r="BQ159"/>
      <c r="BR159"/>
      <c r="BS159"/>
      <c r="BT159"/>
      <c r="BU159"/>
      <c r="BV159"/>
      <c r="BW159" s="959" t="str">
        <f t="shared" si="69"/>
        <v>►</v>
      </c>
      <c r="BX159"/>
      <c r="BY159"/>
      <c r="BZ159"/>
      <c r="CA159"/>
      <c r="CB159"/>
      <c r="CC159" s="856"/>
      <c r="CD159"/>
      <c r="CE159"/>
      <c r="CF159"/>
      <c r="CG159"/>
      <c r="CH159"/>
      <c r="CI159"/>
      <c r="CJ159"/>
      <c r="CL159"/>
      <c r="CM159"/>
      <c r="CN159"/>
      <c r="CO159"/>
      <c r="CP159"/>
      <c r="CQ159"/>
      <c r="CR159"/>
      <c r="CT159"/>
      <c r="CU159"/>
      <c r="CV159"/>
      <c r="CW159"/>
      <c r="CX159"/>
      <c r="CY159"/>
      <c r="CZ159"/>
      <c r="DB159" s="3">
        <v>1</v>
      </c>
    </row>
    <row r="160" spans="1:106" s="709" customFormat="1" ht="21" customHeight="1">
      <c r="A160" s="936" t="s">
        <v>22</v>
      </c>
      <c r="B160" s="952" t="str">
        <f t="shared" si="68"/>
        <v>►</v>
      </c>
      <c r="C160" s="993" cm="1">
        <f t="array" ref="C160">SUMPRODUCT(LEN(D160:J160))</f>
        <v>0</v>
      </c>
      <c r="D160" s="167"/>
      <c r="E160" s="172"/>
      <c r="F160" s="172"/>
      <c r="G160" s="172"/>
      <c r="H160" s="172"/>
      <c r="I160" s="172"/>
      <c r="J160" s="173"/>
      <c r="K160" s="442" t="s">
        <v>22</v>
      </c>
      <c r="L160" s="104" t="s">
        <v>16</v>
      </c>
      <c r="M160" s="1172"/>
      <c r="N160" s="1172"/>
      <c r="O160" s="1172"/>
      <c r="P160" s="1173"/>
      <c r="Q160" s="1174"/>
      <c r="R160" s="1175"/>
      <c r="S160" s="1176"/>
      <c r="T160" s="1177"/>
      <c r="U160" s="5248"/>
      <c r="V160" s="1177"/>
      <c r="W160" s="5249"/>
      <c r="X160" s="5208"/>
      <c r="Y160" s="5209"/>
      <c r="Z160" s="5210"/>
      <c r="AA160" s="5211"/>
      <c r="AB160" s="1178"/>
      <c r="AC160" s="1179"/>
      <c r="AD160" s="227" t="s">
        <v>22</v>
      </c>
      <c r="AE160" s="1027" t="str">
        <f t="shared" si="70"/>
        <v>►</v>
      </c>
      <c r="AF160" s="1028" t="str">
        <f t="shared" si="71"/>
        <v/>
      </c>
      <c r="AG160" s="1029" t="str">
        <f t="shared" si="72"/>
        <v/>
      </c>
      <c r="AH160" s="1028" t="str">
        <f t="shared" si="73"/>
        <v/>
      </c>
      <c r="AI160" s="1029" t="str">
        <f t="shared" si="74"/>
        <v/>
      </c>
      <c r="AJ160" s="1029">
        <f t="shared" si="75"/>
        <v>0</v>
      </c>
      <c r="AK160" s="1043" t="str" cm="1">
        <f t="array" ref="AK160">IF(AE160&lt;&gt;"A","",IFERROR((IFERROR(_xlfn.XLOOKUP(TRIM(SUBSTITUTE(U160,CHAR(160)," ")),$BI$15:$BI$62,$BL$15:$BL$62),IFERROR(_xlfn.XLOOKUP(TRIM(SUBSTITUTE(U160,CHAR(160)," ")),$BJ$15:$BJ$62,$BL$15:$BL$62),_xlfn.XLOOKUP(TRIM(SUBSTITUTE(U160,CHAR(160)," ")),$BK$15:$BK$62,$BL$15:$BL$62))))*T160*IF(ISBLANK(Q160),1,Q160)+IFERROR(_xlfn.XLOOKUP("RECHERCHEX",TRIM(L160:AC160),L160:AC160),0),0))</f>
        <v/>
      </c>
      <c r="AL160" s="1030">
        <f t="shared" si="76"/>
        <v>0</v>
      </c>
      <c r="AM160" s="5254" t="str">
        <f t="shared" si="91"/>
        <v/>
      </c>
      <c r="AN160" s="1031">
        <f t="shared" si="77"/>
        <v>0</v>
      </c>
      <c r="AO160" s="1031">
        <f t="shared" si="78"/>
        <v>0</v>
      </c>
      <c r="AP160" s="1032">
        <f t="shared" si="79"/>
        <v>0</v>
      </c>
      <c r="AQ160" s="5255" t="str">
        <f t="shared" si="80"/>
        <v/>
      </c>
      <c r="AR160" s="1056"/>
      <c r="AS160" s="1056"/>
      <c r="AT160" s="1034">
        <f t="shared" si="81"/>
        <v>0</v>
      </c>
      <c r="AU160" s="1035">
        <f t="shared" si="82"/>
        <v>0</v>
      </c>
      <c r="AV160" s="1057" cm="1">
        <f t="array" ref="AV160">IF(AJ160&lt;&gt;1,0,IF(OR(AT160="",N(AT160)&lt;=0.000000001),"",IF(OR(AN160="",N(AN160)&lt;=0.000000001),0,IF(ISNUMBER(AT160),IFERROR(_xlfn.LET(_xlpm.ai_test,TRIM(AI160),_xlpm.r,IFERROR(_xlfn.XLOOKUP(_xlpm.ai_test,$BI$15:$BI$62,ROW($BI$15:$BI$62),0,1),IFERROR(_xlfn.XLOOKUP(_xlpm.ai_test,$BJ$15:$BJ$62,ROW($BJ$15:$BJ$62),0,1),_xlfn.XLOOKUP(_xlpm.ai_test,$BK$15:$BK$62,ROW($BK$15:$BK$62),0,1))),_xlpm.p,_xlpm.r-MIN(ROW($BI$15:$BI$62))+1,_xlpm.f,INDEX($BL$15:$BL$62,_xlpm.p),_xlpm.u,INDEX($BM$15:$BM$62,_xlpm.p),_xlpm.s,INDEX($BO$15:$BO$62,_xlpm.p),_xlpm.q,N(AT160)/_xlpm.f,IF(_xlpm.q&gt;=_xlpm.s,ROUND(_xlpm.q,1)&amp;" "&amp;_xlpm.ai_test&amp;" = "&amp;ROUND(_xlpm.q*_xlpm.f,1)&amp;" "&amp;_xlpm.u,ROUND(_xlpm.q,1)&amp;" "&amp;_xlpm.ai_test)),""),""))))</f>
        <v>0</v>
      </c>
      <c r="AW160" s="1047"/>
      <c r="AX160" s="1034">
        <f t="shared" si="83"/>
        <v>0</v>
      </c>
      <c r="AY160" s="1035" t="str">
        <f t="shared" si="84"/>
        <v/>
      </c>
      <c r="AZ160" s="1036">
        <f t="shared" si="89"/>
        <v>0</v>
      </c>
      <c r="BA160" s="1037" t="str">
        <f t="shared" si="85"/>
        <v/>
      </c>
      <c r="BB160" s="1038"/>
      <c r="BC160" s="1039">
        <f t="shared" si="90"/>
        <v>0</v>
      </c>
      <c r="BD160" s="1040" t="str">
        <f t="shared" si="86"/>
        <v/>
      </c>
      <c r="BE160" s="227" t="s">
        <v>22</v>
      </c>
      <c r="BF160" s="1019">
        <f t="shared" si="87"/>
        <v>0</v>
      </c>
      <c r="BG160" s="1020">
        <f t="shared" si="88"/>
        <v>0</v>
      </c>
      <c r="BH160"/>
      <c r="BQ160"/>
      <c r="BR160"/>
      <c r="BS160"/>
      <c r="BT160"/>
      <c r="BU160"/>
      <c r="BV160"/>
      <c r="BW160" s="959" t="str">
        <f t="shared" si="69"/>
        <v>►</v>
      </c>
      <c r="BX160"/>
      <c r="BY160"/>
      <c r="BZ160"/>
      <c r="CA160"/>
      <c r="CB160"/>
      <c r="CC160" s="856"/>
      <c r="CD160"/>
      <c r="CE160"/>
      <c r="CF160"/>
      <c r="CG160"/>
      <c r="CH160"/>
      <c r="CI160"/>
      <c r="CJ160"/>
      <c r="CL160"/>
      <c r="CM160"/>
      <c r="CN160"/>
      <c r="CO160"/>
      <c r="CP160"/>
      <c r="CQ160"/>
      <c r="CR160"/>
      <c r="CT160"/>
      <c r="CU160"/>
      <c r="CV160"/>
      <c r="CW160"/>
      <c r="CX160"/>
      <c r="CY160"/>
      <c r="CZ160"/>
      <c r="DB160" s="3">
        <v>1</v>
      </c>
    </row>
    <row r="161" spans="1:106" s="709" customFormat="1" ht="21" customHeight="1">
      <c r="A161" s="936" t="s">
        <v>22</v>
      </c>
      <c r="B161" s="952" t="str">
        <f t="shared" si="68"/>
        <v>►</v>
      </c>
      <c r="C161" s="993" cm="1">
        <f t="array" ref="C161">SUMPRODUCT(LEN(D161:J161))</f>
        <v>0</v>
      </c>
      <c r="D161" s="167"/>
      <c r="E161" s="172"/>
      <c r="F161" s="172"/>
      <c r="G161" s="172"/>
      <c r="H161" s="172"/>
      <c r="I161" s="172"/>
      <c r="J161" s="173"/>
      <c r="K161" s="442" t="s">
        <v>22</v>
      </c>
      <c r="L161" s="104" t="s">
        <v>16</v>
      </c>
      <c r="M161" s="1172"/>
      <c r="N161" s="1172"/>
      <c r="O161" s="1172"/>
      <c r="P161" s="1173"/>
      <c r="Q161" s="1174"/>
      <c r="R161" s="1175"/>
      <c r="S161" s="1176"/>
      <c r="T161" s="1177"/>
      <c r="U161" s="5248"/>
      <c r="V161" s="1177"/>
      <c r="W161" s="5249"/>
      <c r="X161" s="5208"/>
      <c r="Y161" s="5209"/>
      <c r="Z161" s="5210"/>
      <c r="AA161" s="5211"/>
      <c r="AB161" s="1178"/>
      <c r="AC161" s="1179"/>
      <c r="AD161" s="227" t="s">
        <v>22</v>
      </c>
      <c r="AE161" s="1027" t="str">
        <f t="shared" si="70"/>
        <v>►</v>
      </c>
      <c r="AF161" s="1028" t="str">
        <f t="shared" si="71"/>
        <v/>
      </c>
      <c r="AG161" s="1029" t="str">
        <f t="shared" si="72"/>
        <v/>
      </c>
      <c r="AH161" s="1028" t="str">
        <f t="shared" si="73"/>
        <v/>
      </c>
      <c r="AI161" s="1029" t="str">
        <f t="shared" si="74"/>
        <v/>
      </c>
      <c r="AJ161" s="1029">
        <f t="shared" si="75"/>
        <v>0</v>
      </c>
      <c r="AK161" s="1043" t="str" cm="1">
        <f t="array" ref="AK161">IF(AE161&lt;&gt;"A","",IFERROR((IFERROR(_xlfn.XLOOKUP(TRIM(SUBSTITUTE(U161,CHAR(160)," ")),$BI$15:$BI$62,$BL$15:$BL$62),IFERROR(_xlfn.XLOOKUP(TRIM(SUBSTITUTE(U161,CHAR(160)," ")),$BJ$15:$BJ$62,$BL$15:$BL$62),_xlfn.XLOOKUP(TRIM(SUBSTITUTE(U161,CHAR(160)," ")),$BK$15:$BK$62,$BL$15:$BL$62))))*T161*IF(ISBLANK(Q161),1,Q161)+IFERROR(_xlfn.XLOOKUP("RECHERCHEX",TRIM(L161:AC161),L161:AC161),0),0))</f>
        <v/>
      </c>
      <c r="AL161" s="1030">
        <f t="shared" si="76"/>
        <v>0</v>
      </c>
      <c r="AM161" s="5254" t="str">
        <f t="shared" si="91"/>
        <v/>
      </c>
      <c r="AN161" s="1031">
        <f t="shared" si="77"/>
        <v>0</v>
      </c>
      <c r="AO161" s="1031">
        <f t="shared" si="78"/>
        <v>0</v>
      </c>
      <c r="AP161" s="1044">
        <f t="shared" si="79"/>
        <v>0</v>
      </c>
      <c r="AQ161" s="5257" t="str">
        <f t="shared" si="80"/>
        <v/>
      </c>
      <c r="AR161" s="1056"/>
      <c r="AS161" s="1056"/>
      <c r="AT161" s="1045">
        <f t="shared" si="81"/>
        <v>0</v>
      </c>
      <c r="AU161" s="1046">
        <f t="shared" si="82"/>
        <v>0</v>
      </c>
      <c r="AV161" s="1059" cm="1">
        <f t="array" ref="AV161">IF(AJ161&lt;&gt;1,0,IF(OR(AT161="",N(AT161)&lt;=0.000000001),"",IF(OR(AN161="",N(AN161)&lt;=0.000000001),0,IF(ISNUMBER(AT161),IFERROR(_xlfn.LET(_xlpm.ai_test,TRIM(AI161),_xlpm.r,IFERROR(_xlfn.XLOOKUP(_xlpm.ai_test,$BI$15:$BI$62,ROW($BI$15:$BI$62),0,1),IFERROR(_xlfn.XLOOKUP(_xlpm.ai_test,$BJ$15:$BJ$62,ROW($BJ$15:$BJ$62),0,1),_xlfn.XLOOKUP(_xlpm.ai_test,$BK$15:$BK$62,ROW($BK$15:$BK$62),0,1))),_xlpm.p,_xlpm.r-MIN(ROW($BI$15:$BI$62))+1,_xlpm.f,INDEX($BL$15:$BL$62,_xlpm.p),_xlpm.u,INDEX($BM$15:$BM$62,_xlpm.p),_xlpm.s,INDEX($BO$15:$BO$62,_xlpm.p),_xlpm.q,N(AT161)/_xlpm.f,IF(_xlpm.q&gt;=_xlpm.s,ROUND(_xlpm.q,1)&amp;" "&amp;_xlpm.ai_test&amp;" = "&amp;ROUND(_xlpm.q*_xlpm.f,1)&amp;" "&amp;_xlpm.u,ROUND(_xlpm.q,1)&amp;" "&amp;_xlpm.ai_test)),""),""))))</f>
        <v>0</v>
      </c>
      <c r="AW161" s="1047"/>
      <c r="AX161" s="1045">
        <f t="shared" si="83"/>
        <v>0</v>
      </c>
      <c r="AY161" s="1046" t="str">
        <f t="shared" si="84"/>
        <v/>
      </c>
      <c r="AZ161" s="1048">
        <f t="shared" si="89"/>
        <v>0</v>
      </c>
      <c r="BA161" s="1049" t="str">
        <f t="shared" si="85"/>
        <v/>
      </c>
      <c r="BB161" s="1038"/>
      <c r="BC161" s="1050">
        <f t="shared" si="90"/>
        <v>0</v>
      </c>
      <c r="BD161" s="1040" t="str">
        <f t="shared" si="86"/>
        <v/>
      </c>
      <c r="BE161" s="227" t="s">
        <v>22</v>
      </c>
      <c r="BF161" s="1019">
        <f t="shared" si="87"/>
        <v>0</v>
      </c>
      <c r="BG161" s="1020">
        <f t="shared" si="88"/>
        <v>0</v>
      </c>
      <c r="BH161"/>
      <c r="BQ161"/>
      <c r="BR161"/>
      <c r="BS161"/>
      <c r="BT161"/>
      <c r="BU161"/>
      <c r="BV161"/>
      <c r="BW161" s="959" t="str">
        <f t="shared" si="69"/>
        <v>►</v>
      </c>
      <c r="BX161"/>
      <c r="BY161"/>
      <c r="BZ161"/>
      <c r="CA161"/>
      <c r="CB161"/>
      <c r="CC161" s="856"/>
      <c r="CD161"/>
      <c r="CE161"/>
      <c r="CF161"/>
      <c r="CG161"/>
      <c r="CH161"/>
      <c r="CI161"/>
      <c r="CJ161"/>
      <c r="CL161"/>
      <c r="CM161"/>
      <c r="CN161"/>
      <c r="CO161"/>
      <c r="CP161"/>
      <c r="CQ161"/>
      <c r="CR161"/>
      <c r="CT161"/>
      <c r="CU161"/>
      <c r="CV161"/>
      <c r="CW161"/>
      <c r="CX161"/>
      <c r="CY161"/>
      <c r="CZ161"/>
      <c r="DB161" s="3">
        <v>1</v>
      </c>
    </row>
    <row r="162" spans="1:106" s="709" customFormat="1" ht="21" customHeight="1">
      <c r="A162" s="936" t="s">
        <v>22</v>
      </c>
      <c r="B162" s="952" t="str">
        <f t="shared" si="68"/>
        <v>►</v>
      </c>
      <c r="C162" s="993" cm="1">
        <f t="array" ref="C162">SUMPRODUCT(LEN(D162:J162))</f>
        <v>0</v>
      </c>
      <c r="D162" s="167"/>
      <c r="E162" s="172"/>
      <c r="F162" s="172"/>
      <c r="G162" s="172"/>
      <c r="H162" s="172"/>
      <c r="I162" s="172"/>
      <c r="J162" s="173"/>
      <c r="K162" s="442" t="s">
        <v>22</v>
      </c>
      <c r="L162" s="104" t="s">
        <v>16</v>
      </c>
      <c r="M162" s="1172"/>
      <c r="N162" s="1172"/>
      <c r="O162" s="1172"/>
      <c r="P162" s="1173"/>
      <c r="Q162" s="1174"/>
      <c r="R162" s="1175"/>
      <c r="S162" s="1176"/>
      <c r="T162" s="1177"/>
      <c r="U162" s="5248"/>
      <c r="V162" s="1177"/>
      <c r="W162" s="5249"/>
      <c r="X162" s="5208"/>
      <c r="Y162" s="5209"/>
      <c r="Z162" s="5210"/>
      <c r="AA162" s="5211"/>
      <c r="AB162" s="1178"/>
      <c r="AC162" s="1179"/>
      <c r="AD162" s="227" t="s">
        <v>22</v>
      </c>
      <c r="AE162" s="1027" t="str">
        <f t="shared" si="70"/>
        <v>►</v>
      </c>
      <c r="AF162" s="1028" t="str">
        <f t="shared" si="71"/>
        <v/>
      </c>
      <c r="AG162" s="1029" t="str">
        <f t="shared" si="72"/>
        <v/>
      </c>
      <c r="AH162" s="1028" t="str">
        <f t="shared" si="73"/>
        <v/>
      </c>
      <c r="AI162" s="1029" t="str">
        <f t="shared" si="74"/>
        <v/>
      </c>
      <c r="AJ162" s="1029">
        <f t="shared" si="75"/>
        <v>0</v>
      </c>
      <c r="AK162" s="1043" t="str" cm="1">
        <f t="array" ref="AK162">IF(AE162&lt;&gt;"A","",IFERROR((IFERROR(_xlfn.XLOOKUP(TRIM(SUBSTITUTE(U162,CHAR(160)," ")),$BI$15:$BI$62,$BL$15:$BL$62),IFERROR(_xlfn.XLOOKUP(TRIM(SUBSTITUTE(U162,CHAR(160)," ")),$BJ$15:$BJ$62,$BL$15:$BL$62),_xlfn.XLOOKUP(TRIM(SUBSTITUTE(U162,CHAR(160)," ")),$BK$15:$BK$62,$BL$15:$BL$62))))*T162*IF(ISBLANK(Q162),1,Q162)+IFERROR(_xlfn.XLOOKUP("RECHERCHEX",TRIM(L162:AC162),L162:AC162),0),0))</f>
        <v/>
      </c>
      <c r="AL162" s="1030">
        <f t="shared" si="76"/>
        <v>0</v>
      </c>
      <c r="AM162" s="5254" t="str">
        <f t="shared" si="91"/>
        <v/>
      </c>
      <c r="AN162" s="1031">
        <f t="shared" si="77"/>
        <v>0</v>
      </c>
      <c r="AO162" s="1031">
        <f t="shared" si="78"/>
        <v>0</v>
      </c>
      <c r="AP162" s="1032">
        <f t="shared" si="79"/>
        <v>0</v>
      </c>
      <c r="AQ162" s="5255" t="str">
        <f t="shared" si="80"/>
        <v/>
      </c>
      <c r="AR162" s="1056"/>
      <c r="AS162" s="1056"/>
      <c r="AT162" s="1034">
        <f t="shared" si="81"/>
        <v>0</v>
      </c>
      <c r="AU162" s="1035">
        <f t="shared" si="82"/>
        <v>0</v>
      </c>
      <c r="AV162" s="1057" cm="1">
        <f t="array" ref="AV162">IF(AJ162&lt;&gt;1,0,IF(OR(AT162="",N(AT162)&lt;=0.000000001),"",IF(OR(AN162="",N(AN162)&lt;=0.000000001),0,IF(ISNUMBER(AT162),IFERROR(_xlfn.LET(_xlpm.ai_test,TRIM(AI162),_xlpm.r,IFERROR(_xlfn.XLOOKUP(_xlpm.ai_test,$BI$15:$BI$62,ROW($BI$15:$BI$62),0,1),IFERROR(_xlfn.XLOOKUP(_xlpm.ai_test,$BJ$15:$BJ$62,ROW($BJ$15:$BJ$62),0,1),_xlfn.XLOOKUP(_xlpm.ai_test,$BK$15:$BK$62,ROW($BK$15:$BK$62),0,1))),_xlpm.p,_xlpm.r-MIN(ROW($BI$15:$BI$62))+1,_xlpm.f,INDEX($BL$15:$BL$62,_xlpm.p),_xlpm.u,INDEX($BM$15:$BM$62,_xlpm.p),_xlpm.s,INDEX($BO$15:$BO$62,_xlpm.p),_xlpm.q,N(AT162)/_xlpm.f,IF(_xlpm.q&gt;=_xlpm.s,ROUND(_xlpm.q,1)&amp;" "&amp;_xlpm.ai_test&amp;" = "&amp;ROUND(_xlpm.q*_xlpm.f,1)&amp;" "&amp;_xlpm.u,ROUND(_xlpm.q,1)&amp;" "&amp;_xlpm.ai_test)),""),""))))</f>
        <v>0</v>
      </c>
      <c r="AW162" s="1047"/>
      <c r="AX162" s="1034">
        <f t="shared" si="83"/>
        <v>0</v>
      </c>
      <c r="AY162" s="1035" t="str">
        <f t="shared" si="84"/>
        <v/>
      </c>
      <c r="AZ162" s="1036">
        <f t="shared" si="89"/>
        <v>0</v>
      </c>
      <c r="BA162" s="1037" t="str">
        <f t="shared" si="85"/>
        <v/>
      </c>
      <c r="BB162" s="1038"/>
      <c r="BC162" s="1039">
        <f t="shared" si="90"/>
        <v>0</v>
      </c>
      <c r="BD162" s="1040" t="str">
        <f t="shared" si="86"/>
        <v/>
      </c>
      <c r="BE162" s="227" t="s">
        <v>22</v>
      </c>
      <c r="BF162" s="1019">
        <f t="shared" si="87"/>
        <v>0</v>
      </c>
      <c r="BG162" s="1020">
        <f t="shared" si="88"/>
        <v>0</v>
      </c>
      <c r="BH162"/>
      <c r="BQ162"/>
      <c r="BR162"/>
      <c r="BS162"/>
      <c r="BT162"/>
      <c r="BU162"/>
      <c r="BV162"/>
      <c r="BW162" s="959" t="str">
        <f t="shared" si="69"/>
        <v>►</v>
      </c>
      <c r="BX162"/>
      <c r="BY162"/>
      <c r="BZ162"/>
      <c r="CA162"/>
      <c r="CB162"/>
      <c r="CC162" s="856"/>
      <c r="CD162"/>
      <c r="CE162"/>
      <c r="CF162"/>
      <c r="CG162"/>
      <c r="CH162"/>
      <c r="CI162"/>
      <c r="CJ162"/>
      <c r="CL162"/>
      <c r="CM162"/>
      <c r="CN162"/>
      <c r="CO162"/>
      <c r="CP162"/>
      <c r="CQ162"/>
      <c r="CR162"/>
      <c r="CT162"/>
      <c r="CU162"/>
      <c r="CV162"/>
      <c r="CW162"/>
      <c r="CX162"/>
      <c r="CY162"/>
      <c r="CZ162"/>
      <c r="DB162" s="3">
        <v>1</v>
      </c>
    </row>
    <row r="163" spans="1:106" s="709" customFormat="1" ht="21" customHeight="1">
      <c r="A163" s="936" t="s">
        <v>22</v>
      </c>
      <c r="B163" s="952" t="str">
        <f t="shared" si="68"/>
        <v>►</v>
      </c>
      <c r="C163" s="993" cm="1">
        <f t="array" ref="C163">SUMPRODUCT(LEN(D163:J163))</f>
        <v>0</v>
      </c>
      <c r="D163" s="167"/>
      <c r="E163" s="172"/>
      <c r="F163" s="172"/>
      <c r="G163" s="172"/>
      <c r="H163" s="172"/>
      <c r="I163" s="172"/>
      <c r="J163" s="173"/>
      <c r="K163" s="442" t="s">
        <v>22</v>
      </c>
      <c r="L163" s="104" t="s">
        <v>16</v>
      </c>
      <c r="M163" s="1172"/>
      <c r="N163" s="1172"/>
      <c r="O163" s="1172"/>
      <c r="P163" s="1173"/>
      <c r="Q163" s="1174"/>
      <c r="R163" s="1175"/>
      <c r="S163" s="1176"/>
      <c r="T163" s="1177"/>
      <c r="U163" s="5248"/>
      <c r="V163" s="1177"/>
      <c r="W163" s="5249"/>
      <c r="X163" s="5208"/>
      <c r="Y163" s="5209"/>
      <c r="Z163" s="5210"/>
      <c r="AA163" s="5211"/>
      <c r="AB163" s="1178"/>
      <c r="AC163" s="1179"/>
      <c r="AD163" s="227" t="s">
        <v>22</v>
      </c>
      <c r="AE163" s="1027" t="str">
        <f t="shared" si="70"/>
        <v>►</v>
      </c>
      <c r="AF163" s="1028" t="str">
        <f t="shared" si="71"/>
        <v/>
      </c>
      <c r="AG163" s="1029" t="str">
        <f t="shared" si="72"/>
        <v/>
      </c>
      <c r="AH163" s="1028" t="str">
        <f t="shared" si="73"/>
        <v/>
      </c>
      <c r="AI163" s="1029" t="str">
        <f t="shared" si="74"/>
        <v/>
      </c>
      <c r="AJ163" s="1029">
        <f t="shared" si="75"/>
        <v>0</v>
      </c>
      <c r="AK163" s="1043" t="str" cm="1">
        <f t="array" ref="AK163">IF(AE163&lt;&gt;"A","",IFERROR((IFERROR(_xlfn.XLOOKUP(TRIM(SUBSTITUTE(U163,CHAR(160)," ")),$BI$15:$BI$62,$BL$15:$BL$62),IFERROR(_xlfn.XLOOKUP(TRIM(SUBSTITUTE(U163,CHAR(160)," ")),$BJ$15:$BJ$62,$BL$15:$BL$62),_xlfn.XLOOKUP(TRIM(SUBSTITUTE(U163,CHAR(160)," ")),$BK$15:$BK$62,$BL$15:$BL$62))))*T163*IF(ISBLANK(Q163),1,Q163)+IFERROR(_xlfn.XLOOKUP("RECHERCHEX",TRIM(L163:AC163),L163:AC163),0),0))</f>
        <v/>
      </c>
      <c r="AL163" s="1030">
        <f t="shared" si="76"/>
        <v>0</v>
      </c>
      <c r="AM163" s="5254" t="str">
        <f t="shared" si="91"/>
        <v/>
      </c>
      <c r="AN163" s="1031">
        <f t="shared" si="77"/>
        <v>0</v>
      </c>
      <c r="AO163" s="1031">
        <f t="shared" si="78"/>
        <v>0</v>
      </c>
      <c r="AP163" s="1044">
        <f t="shared" si="79"/>
        <v>0</v>
      </c>
      <c r="AQ163" s="5257" t="str">
        <f t="shared" si="80"/>
        <v/>
      </c>
      <c r="AR163" s="1056"/>
      <c r="AS163" s="1056"/>
      <c r="AT163" s="1045">
        <f t="shared" si="81"/>
        <v>0</v>
      </c>
      <c r="AU163" s="1046">
        <f t="shared" si="82"/>
        <v>0</v>
      </c>
      <c r="AV163" s="1059" cm="1">
        <f t="array" ref="AV163">IF(AJ163&lt;&gt;1,0,IF(OR(AT163="",N(AT163)&lt;=0.000000001),"",IF(OR(AN163="",N(AN163)&lt;=0.000000001),0,IF(ISNUMBER(AT163),IFERROR(_xlfn.LET(_xlpm.ai_test,TRIM(AI163),_xlpm.r,IFERROR(_xlfn.XLOOKUP(_xlpm.ai_test,$BI$15:$BI$62,ROW($BI$15:$BI$62),0,1),IFERROR(_xlfn.XLOOKUP(_xlpm.ai_test,$BJ$15:$BJ$62,ROW($BJ$15:$BJ$62),0,1),_xlfn.XLOOKUP(_xlpm.ai_test,$BK$15:$BK$62,ROW($BK$15:$BK$62),0,1))),_xlpm.p,_xlpm.r-MIN(ROW($BI$15:$BI$62))+1,_xlpm.f,INDEX($BL$15:$BL$62,_xlpm.p),_xlpm.u,INDEX($BM$15:$BM$62,_xlpm.p),_xlpm.s,INDEX($BO$15:$BO$62,_xlpm.p),_xlpm.q,N(AT163)/_xlpm.f,IF(_xlpm.q&gt;=_xlpm.s,ROUND(_xlpm.q,1)&amp;" "&amp;_xlpm.ai_test&amp;" = "&amp;ROUND(_xlpm.q*_xlpm.f,1)&amp;" "&amp;_xlpm.u,ROUND(_xlpm.q,1)&amp;" "&amp;_xlpm.ai_test)),""),""))))</f>
        <v>0</v>
      </c>
      <c r="AW163" s="1047"/>
      <c r="AX163" s="1045">
        <f t="shared" si="83"/>
        <v>0</v>
      </c>
      <c r="AY163" s="1046" t="str">
        <f t="shared" si="84"/>
        <v/>
      </c>
      <c r="AZ163" s="1048">
        <f t="shared" si="89"/>
        <v>0</v>
      </c>
      <c r="BA163" s="1049" t="str">
        <f t="shared" si="85"/>
        <v/>
      </c>
      <c r="BB163" s="1038"/>
      <c r="BC163" s="1050">
        <f t="shared" si="90"/>
        <v>0</v>
      </c>
      <c r="BD163" s="1040" t="str">
        <f t="shared" si="86"/>
        <v/>
      </c>
      <c r="BE163" s="227" t="s">
        <v>22</v>
      </c>
      <c r="BF163" s="1019">
        <f t="shared" si="87"/>
        <v>0</v>
      </c>
      <c r="BG163" s="1020">
        <f t="shared" si="88"/>
        <v>0</v>
      </c>
      <c r="BH163"/>
      <c r="BQ163"/>
      <c r="BR163"/>
      <c r="BS163"/>
      <c r="BT163"/>
      <c r="BU163"/>
      <c r="BV163"/>
      <c r="BW163" s="959" t="str">
        <f t="shared" si="69"/>
        <v>►</v>
      </c>
      <c r="BX163"/>
      <c r="BY163"/>
      <c r="BZ163"/>
      <c r="CA163"/>
      <c r="CB163"/>
      <c r="CC163" s="856"/>
      <c r="CD163"/>
      <c r="CE163"/>
      <c r="CF163"/>
      <c r="CG163"/>
      <c r="CH163"/>
      <c r="CI163"/>
      <c r="CJ163"/>
      <c r="CL163"/>
      <c r="CM163"/>
      <c r="CN163"/>
      <c r="CO163"/>
      <c r="CP163"/>
      <c r="CQ163"/>
      <c r="CR163"/>
      <c r="CT163"/>
      <c r="CU163"/>
      <c r="CV163"/>
      <c r="CW163"/>
      <c r="CX163"/>
      <c r="CY163"/>
      <c r="CZ163"/>
      <c r="DB163" s="3">
        <v>1</v>
      </c>
    </row>
    <row r="164" spans="1:106" s="709" customFormat="1" ht="21" customHeight="1">
      <c r="A164" s="936" t="s">
        <v>22</v>
      </c>
      <c r="B164" s="952" t="str">
        <f t="shared" si="68"/>
        <v>►</v>
      </c>
      <c r="C164" s="993" cm="1">
        <f t="array" ref="C164">SUMPRODUCT(LEN(D164:J164))</f>
        <v>0</v>
      </c>
      <c r="D164" s="167"/>
      <c r="E164" s="172"/>
      <c r="F164" s="172"/>
      <c r="G164" s="172"/>
      <c r="H164" s="172"/>
      <c r="I164" s="172"/>
      <c r="J164" s="173"/>
      <c r="K164" s="442" t="s">
        <v>22</v>
      </c>
      <c r="L164" s="104" t="s">
        <v>16</v>
      </c>
      <c r="M164" s="1172"/>
      <c r="N164" s="1172"/>
      <c r="O164" s="1172"/>
      <c r="P164" s="1173"/>
      <c r="Q164" s="1174"/>
      <c r="R164" s="1175"/>
      <c r="S164" s="1176"/>
      <c r="T164" s="1177"/>
      <c r="U164" s="5248"/>
      <c r="V164" s="1177"/>
      <c r="W164" s="5249"/>
      <c r="X164" s="5208"/>
      <c r="Y164" s="5209"/>
      <c r="Z164" s="5210"/>
      <c r="AA164" s="5211"/>
      <c r="AB164" s="1178"/>
      <c r="AC164" s="1179"/>
      <c r="AD164" s="227" t="s">
        <v>22</v>
      </c>
      <c r="AE164" s="1027" t="str">
        <f t="shared" si="70"/>
        <v>►</v>
      </c>
      <c r="AF164" s="1028" t="str">
        <f t="shared" si="71"/>
        <v/>
      </c>
      <c r="AG164" s="1029" t="str">
        <f t="shared" si="72"/>
        <v/>
      </c>
      <c r="AH164" s="1028" t="str">
        <f t="shared" si="73"/>
        <v/>
      </c>
      <c r="AI164" s="1029" t="str">
        <f t="shared" si="74"/>
        <v/>
      </c>
      <c r="AJ164" s="1029">
        <f t="shared" si="75"/>
        <v>0</v>
      </c>
      <c r="AK164" s="1043" t="str" cm="1">
        <f t="array" ref="AK164">IF(AE164&lt;&gt;"A","",IFERROR((IFERROR(_xlfn.XLOOKUP(TRIM(SUBSTITUTE(U164,CHAR(160)," ")),$BI$15:$BI$62,$BL$15:$BL$62),IFERROR(_xlfn.XLOOKUP(TRIM(SUBSTITUTE(U164,CHAR(160)," ")),$BJ$15:$BJ$62,$BL$15:$BL$62),_xlfn.XLOOKUP(TRIM(SUBSTITUTE(U164,CHAR(160)," ")),$BK$15:$BK$62,$BL$15:$BL$62))))*T164*IF(ISBLANK(Q164),1,Q164)+IFERROR(_xlfn.XLOOKUP("RECHERCHEX",TRIM(L164:AC164),L164:AC164),0),0))</f>
        <v/>
      </c>
      <c r="AL164" s="1030">
        <f t="shared" si="76"/>
        <v>0</v>
      </c>
      <c r="AM164" s="5254" t="str">
        <f t="shared" si="91"/>
        <v/>
      </c>
      <c r="AN164" s="1031">
        <f t="shared" si="77"/>
        <v>0</v>
      </c>
      <c r="AO164" s="1031">
        <f t="shared" si="78"/>
        <v>0</v>
      </c>
      <c r="AP164" s="1032">
        <f t="shared" si="79"/>
        <v>0</v>
      </c>
      <c r="AQ164" s="5255" t="str">
        <f t="shared" si="80"/>
        <v/>
      </c>
      <c r="AR164" s="1056"/>
      <c r="AS164" s="1056"/>
      <c r="AT164" s="1034">
        <f t="shared" si="81"/>
        <v>0</v>
      </c>
      <c r="AU164" s="1035">
        <f t="shared" si="82"/>
        <v>0</v>
      </c>
      <c r="AV164" s="1057" cm="1">
        <f t="array" ref="AV164">IF(AJ164&lt;&gt;1,0,IF(OR(AT164="",N(AT164)&lt;=0.000000001),"",IF(OR(AN164="",N(AN164)&lt;=0.000000001),0,IF(ISNUMBER(AT164),IFERROR(_xlfn.LET(_xlpm.ai_test,TRIM(AI164),_xlpm.r,IFERROR(_xlfn.XLOOKUP(_xlpm.ai_test,$BI$15:$BI$62,ROW($BI$15:$BI$62),0,1),IFERROR(_xlfn.XLOOKUP(_xlpm.ai_test,$BJ$15:$BJ$62,ROW($BJ$15:$BJ$62),0,1),_xlfn.XLOOKUP(_xlpm.ai_test,$BK$15:$BK$62,ROW($BK$15:$BK$62),0,1))),_xlpm.p,_xlpm.r-MIN(ROW($BI$15:$BI$62))+1,_xlpm.f,INDEX($BL$15:$BL$62,_xlpm.p),_xlpm.u,INDEX($BM$15:$BM$62,_xlpm.p),_xlpm.s,INDEX($BO$15:$BO$62,_xlpm.p),_xlpm.q,N(AT164)/_xlpm.f,IF(_xlpm.q&gt;=_xlpm.s,ROUND(_xlpm.q,1)&amp;" "&amp;_xlpm.ai_test&amp;" = "&amp;ROUND(_xlpm.q*_xlpm.f,1)&amp;" "&amp;_xlpm.u,ROUND(_xlpm.q,1)&amp;" "&amp;_xlpm.ai_test)),""),""))))</f>
        <v>0</v>
      </c>
      <c r="AW164" s="1047"/>
      <c r="AX164" s="1034">
        <f t="shared" si="83"/>
        <v>0</v>
      </c>
      <c r="AY164" s="1035" t="str">
        <f t="shared" si="84"/>
        <v/>
      </c>
      <c r="AZ164" s="1036">
        <f t="shared" si="89"/>
        <v>0</v>
      </c>
      <c r="BA164" s="1037" t="str">
        <f t="shared" si="85"/>
        <v/>
      </c>
      <c r="BB164" s="1038"/>
      <c r="BC164" s="1039">
        <f t="shared" si="90"/>
        <v>0</v>
      </c>
      <c r="BD164" s="1040" t="str">
        <f t="shared" si="86"/>
        <v/>
      </c>
      <c r="BE164" s="227" t="s">
        <v>22</v>
      </c>
      <c r="BF164" s="1019">
        <f t="shared" si="87"/>
        <v>0</v>
      </c>
      <c r="BG164" s="1020">
        <f t="shared" si="88"/>
        <v>0</v>
      </c>
      <c r="BH164"/>
      <c r="BQ164"/>
      <c r="BR164"/>
      <c r="BS164"/>
      <c r="BT164"/>
      <c r="BU164"/>
      <c r="BV164"/>
      <c r="BW164" s="959" t="str">
        <f t="shared" si="69"/>
        <v>►</v>
      </c>
      <c r="BX164"/>
      <c r="BY164"/>
      <c r="BZ164"/>
      <c r="CA164"/>
      <c r="CB164"/>
      <c r="CC164" s="856"/>
      <c r="CD164"/>
      <c r="CE164"/>
      <c r="CF164"/>
      <c r="CG164"/>
      <c r="CH164"/>
      <c r="CI164"/>
      <c r="CJ164"/>
      <c r="CL164"/>
      <c r="CM164"/>
      <c r="CN164"/>
      <c r="CO164"/>
      <c r="CP164"/>
      <c r="CQ164"/>
      <c r="CR164"/>
      <c r="CT164"/>
      <c r="CU164"/>
      <c r="CV164"/>
      <c r="CW164"/>
      <c r="CX164"/>
      <c r="CY164"/>
      <c r="CZ164"/>
      <c r="DB164" s="3">
        <v>1</v>
      </c>
    </row>
    <row r="165" spans="1:106" s="709" customFormat="1" ht="21" customHeight="1">
      <c r="A165" s="936" t="s">
        <v>22</v>
      </c>
      <c r="B165" s="952" t="str">
        <f t="shared" si="68"/>
        <v>►</v>
      </c>
      <c r="C165" s="993" cm="1">
        <f t="array" ref="C165">SUMPRODUCT(LEN(D165:J165))</f>
        <v>0</v>
      </c>
      <c r="D165" s="167"/>
      <c r="E165" s="172"/>
      <c r="F165" s="172"/>
      <c r="G165" s="172"/>
      <c r="H165" s="172"/>
      <c r="I165" s="172"/>
      <c r="J165" s="173"/>
      <c r="K165" s="442" t="s">
        <v>22</v>
      </c>
      <c r="L165" s="104" t="s">
        <v>16</v>
      </c>
      <c r="M165" s="1172"/>
      <c r="N165" s="1172"/>
      <c r="O165" s="1172"/>
      <c r="P165" s="1173"/>
      <c r="Q165" s="1174"/>
      <c r="R165" s="1175"/>
      <c r="S165" s="1176"/>
      <c r="T165" s="1177"/>
      <c r="U165" s="5248"/>
      <c r="V165" s="1177"/>
      <c r="W165" s="5249"/>
      <c r="X165" s="5208"/>
      <c r="Y165" s="5209"/>
      <c r="Z165" s="5210"/>
      <c r="AA165" s="5211"/>
      <c r="AB165" s="1178"/>
      <c r="AC165" s="1179"/>
      <c r="AD165" s="227" t="s">
        <v>22</v>
      </c>
      <c r="AE165" s="1027" t="str">
        <f t="shared" si="70"/>
        <v>►</v>
      </c>
      <c r="AF165" s="1028" t="str">
        <f t="shared" si="71"/>
        <v/>
      </c>
      <c r="AG165" s="1029" t="str">
        <f t="shared" si="72"/>
        <v/>
      </c>
      <c r="AH165" s="1028" t="str">
        <f t="shared" si="73"/>
        <v/>
      </c>
      <c r="AI165" s="1029" t="str">
        <f t="shared" si="74"/>
        <v/>
      </c>
      <c r="AJ165" s="1029">
        <f t="shared" si="75"/>
        <v>0</v>
      </c>
      <c r="AK165" s="1043" t="str" cm="1">
        <f t="array" ref="AK165">IF(AE165&lt;&gt;"A","",IFERROR((IFERROR(_xlfn.XLOOKUP(TRIM(SUBSTITUTE(U165,CHAR(160)," ")),$BI$15:$BI$62,$BL$15:$BL$62),IFERROR(_xlfn.XLOOKUP(TRIM(SUBSTITUTE(U165,CHAR(160)," ")),$BJ$15:$BJ$62,$BL$15:$BL$62),_xlfn.XLOOKUP(TRIM(SUBSTITUTE(U165,CHAR(160)," ")),$BK$15:$BK$62,$BL$15:$BL$62))))*T165*IF(ISBLANK(Q165),1,Q165)+IFERROR(_xlfn.XLOOKUP("RECHERCHEX",TRIM(L165:AC165),L165:AC165),0),0))</f>
        <v/>
      </c>
      <c r="AL165" s="1030">
        <f t="shared" si="76"/>
        <v>0</v>
      </c>
      <c r="AM165" s="5254" t="str">
        <f t="shared" si="91"/>
        <v/>
      </c>
      <c r="AN165" s="1031">
        <f t="shared" si="77"/>
        <v>0</v>
      </c>
      <c r="AO165" s="1031">
        <f t="shared" si="78"/>
        <v>0</v>
      </c>
      <c r="AP165" s="1044">
        <f t="shared" si="79"/>
        <v>0</v>
      </c>
      <c r="AQ165" s="5257" t="str">
        <f t="shared" si="80"/>
        <v/>
      </c>
      <c r="AR165" s="1056"/>
      <c r="AS165" s="1056"/>
      <c r="AT165" s="1045">
        <f t="shared" si="81"/>
        <v>0</v>
      </c>
      <c r="AU165" s="1046">
        <f t="shared" si="82"/>
        <v>0</v>
      </c>
      <c r="AV165" s="1059" cm="1">
        <f t="array" ref="AV165">IF(AJ165&lt;&gt;1,0,IF(OR(AT165="",N(AT165)&lt;=0.000000001),"",IF(OR(AN165="",N(AN165)&lt;=0.000000001),0,IF(ISNUMBER(AT165),IFERROR(_xlfn.LET(_xlpm.ai_test,TRIM(AI165),_xlpm.r,IFERROR(_xlfn.XLOOKUP(_xlpm.ai_test,$BI$15:$BI$62,ROW($BI$15:$BI$62),0,1),IFERROR(_xlfn.XLOOKUP(_xlpm.ai_test,$BJ$15:$BJ$62,ROW($BJ$15:$BJ$62),0,1),_xlfn.XLOOKUP(_xlpm.ai_test,$BK$15:$BK$62,ROW($BK$15:$BK$62),0,1))),_xlpm.p,_xlpm.r-MIN(ROW($BI$15:$BI$62))+1,_xlpm.f,INDEX($BL$15:$BL$62,_xlpm.p),_xlpm.u,INDEX($BM$15:$BM$62,_xlpm.p),_xlpm.s,INDEX($BO$15:$BO$62,_xlpm.p),_xlpm.q,N(AT165)/_xlpm.f,IF(_xlpm.q&gt;=_xlpm.s,ROUND(_xlpm.q,1)&amp;" "&amp;_xlpm.ai_test&amp;" = "&amp;ROUND(_xlpm.q*_xlpm.f,1)&amp;" "&amp;_xlpm.u,ROUND(_xlpm.q,1)&amp;" "&amp;_xlpm.ai_test)),""),""))))</f>
        <v>0</v>
      </c>
      <c r="AW165" s="1047"/>
      <c r="AX165" s="1045">
        <f t="shared" si="83"/>
        <v>0</v>
      </c>
      <c r="AY165" s="1046" t="str">
        <f t="shared" si="84"/>
        <v/>
      </c>
      <c r="AZ165" s="1048">
        <f t="shared" si="89"/>
        <v>0</v>
      </c>
      <c r="BA165" s="1049" t="str">
        <f t="shared" si="85"/>
        <v/>
      </c>
      <c r="BB165" s="1038"/>
      <c r="BC165" s="1050">
        <f t="shared" si="90"/>
        <v>0</v>
      </c>
      <c r="BD165" s="1040" t="str">
        <f t="shared" si="86"/>
        <v/>
      </c>
      <c r="BE165" s="227" t="s">
        <v>22</v>
      </c>
      <c r="BF165" s="1019">
        <f t="shared" si="87"/>
        <v>0</v>
      </c>
      <c r="BG165" s="1020">
        <f t="shared" si="88"/>
        <v>0</v>
      </c>
      <c r="BH165"/>
      <c r="BQ165"/>
      <c r="BR165"/>
      <c r="BS165"/>
      <c r="BT165"/>
      <c r="BU165"/>
      <c r="BV165"/>
      <c r="BW165" s="959" t="str">
        <f t="shared" si="69"/>
        <v>►</v>
      </c>
      <c r="BX165"/>
      <c r="BY165"/>
      <c r="BZ165"/>
      <c r="CA165"/>
      <c r="CB165"/>
      <c r="CC165" s="856"/>
      <c r="CD165"/>
      <c r="CE165"/>
      <c r="CF165"/>
      <c r="CG165"/>
      <c r="CH165"/>
      <c r="CI165"/>
      <c r="CJ165"/>
      <c r="CL165"/>
      <c r="CM165"/>
      <c r="CN165"/>
      <c r="CO165"/>
      <c r="CP165"/>
      <c r="CQ165"/>
      <c r="CR165"/>
      <c r="CT165"/>
      <c r="CU165"/>
      <c r="CV165"/>
      <c r="CW165"/>
      <c r="CX165"/>
      <c r="CY165"/>
      <c r="CZ165"/>
      <c r="DB165" s="3">
        <v>1</v>
      </c>
    </row>
    <row r="166" spans="1:106" s="709" customFormat="1" ht="21" customHeight="1">
      <c r="A166" s="936" t="s">
        <v>22</v>
      </c>
      <c r="B166" s="952" t="str">
        <f t="shared" si="68"/>
        <v>►</v>
      </c>
      <c r="C166" s="993" cm="1">
        <f t="array" ref="C166">SUMPRODUCT(LEN(D166:J166))</f>
        <v>0</v>
      </c>
      <c r="D166" s="167"/>
      <c r="E166" s="172"/>
      <c r="F166" s="172"/>
      <c r="G166" s="172"/>
      <c r="H166" s="172"/>
      <c r="I166" s="172"/>
      <c r="J166" s="173"/>
      <c r="K166" s="442" t="s">
        <v>22</v>
      </c>
      <c r="L166" s="104" t="s">
        <v>16</v>
      </c>
      <c r="M166" s="1172"/>
      <c r="N166" s="1172"/>
      <c r="O166" s="1172"/>
      <c r="P166" s="1173"/>
      <c r="Q166" s="1174"/>
      <c r="R166" s="1175"/>
      <c r="S166" s="1176"/>
      <c r="T166" s="1177"/>
      <c r="U166" s="5248"/>
      <c r="V166" s="1177"/>
      <c r="W166" s="5249"/>
      <c r="X166" s="5208"/>
      <c r="Y166" s="5209"/>
      <c r="Z166" s="5210"/>
      <c r="AA166" s="5211"/>
      <c r="AB166" s="1178"/>
      <c r="AC166" s="1179"/>
      <c r="AD166" s="227" t="s">
        <v>22</v>
      </c>
      <c r="AE166" s="1027" t="str">
        <f t="shared" si="70"/>
        <v>►</v>
      </c>
      <c r="AF166" s="1028" t="str">
        <f t="shared" si="71"/>
        <v/>
      </c>
      <c r="AG166" s="1029" t="str">
        <f t="shared" si="72"/>
        <v/>
      </c>
      <c r="AH166" s="1028" t="str">
        <f t="shared" si="73"/>
        <v/>
      </c>
      <c r="AI166" s="1029" t="str">
        <f t="shared" si="74"/>
        <v/>
      </c>
      <c r="AJ166" s="1029">
        <f t="shared" si="75"/>
        <v>0</v>
      </c>
      <c r="AK166" s="1043" t="str" cm="1">
        <f t="array" ref="AK166">IF(AE166&lt;&gt;"A","",IFERROR((IFERROR(_xlfn.XLOOKUP(TRIM(SUBSTITUTE(U166,CHAR(160)," ")),$BI$15:$BI$62,$BL$15:$BL$62),IFERROR(_xlfn.XLOOKUP(TRIM(SUBSTITUTE(U166,CHAR(160)," ")),$BJ$15:$BJ$62,$BL$15:$BL$62),_xlfn.XLOOKUP(TRIM(SUBSTITUTE(U166,CHAR(160)," ")),$BK$15:$BK$62,$BL$15:$BL$62))))*T166*IF(ISBLANK(Q166),1,Q166)+IFERROR(_xlfn.XLOOKUP("RECHERCHEX",TRIM(L166:AC166),L166:AC166),0),0))</f>
        <v/>
      </c>
      <c r="AL166" s="1030">
        <f t="shared" si="76"/>
        <v>0</v>
      </c>
      <c r="AM166" s="5254" t="str">
        <f t="shared" si="91"/>
        <v/>
      </c>
      <c r="AN166" s="1031">
        <f t="shared" si="77"/>
        <v>0</v>
      </c>
      <c r="AO166" s="1031">
        <f t="shared" si="78"/>
        <v>0</v>
      </c>
      <c r="AP166" s="1032">
        <f t="shared" si="79"/>
        <v>0</v>
      </c>
      <c r="AQ166" s="5255" t="str">
        <f t="shared" si="80"/>
        <v/>
      </c>
      <c r="AR166" s="1056"/>
      <c r="AS166" s="1056"/>
      <c r="AT166" s="1034">
        <f t="shared" si="81"/>
        <v>0</v>
      </c>
      <c r="AU166" s="1035">
        <f t="shared" si="82"/>
        <v>0</v>
      </c>
      <c r="AV166" s="1057" cm="1">
        <f t="array" ref="AV166">IF(AJ166&lt;&gt;1,0,IF(OR(AT166="",N(AT166)&lt;=0.000000001),"",IF(OR(AN166="",N(AN166)&lt;=0.000000001),0,IF(ISNUMBER(AT166),IFERROR(_xlfn.LET(_xlpm.ai_test,TRIM(AI166),_xlpm.r,IFERROR(_xlfn.XLOOKUP(_xlpm.ai_test,$BI$15:$BI$62,ROW($BI$15:$BI$62),0,1),IFERROR(_xlfn.XLOOKUP(_xlpm.ai_test,$BJ$15:$BJ$62,ROW($BJ$15:$BJ$62),0,1),_xlfn.XLOOKUP(_xlpm.ai_test,$BK$15:$BK$62,ROW($BK$15:$BK$62),0,1))),_xlpm.p,_xlpm.r-MIN(ROW($BI$15:$BI$62))+1,_xlpm.f,INDEX($BL$15:$BL$62,_xlpm.p),_xlpm.u,INDEX($BM$15:$BM$62,_xlpm.p),_xlpm.s,INDEX($BO$15:$BO$62,_xlpm.p),_xlpm.q,N(AT166)/_xlpm.f,IF(_xlpm.q&gt;=_xlpm.s,ROUND(_xlpm.q,1)&amp;" "&amp;_xlpm.ai_test&amp;" = "&amp;ROUND(_xlpm.q*_xlpm.f,1)&amp;" "&amp;_xlpm.u,ROUND(_xlpm.q,1)&amp;" "&amp;_xlpm.ai_test)),""),""))))</f>
        <v>0</v>
      </c>
      <c r="AW166" s="1047"/>
      <c r="AX166" s="1034">
        <f t="shared" si="83"/>
        <v>0</v>
      </c>
      <c r="AY166" s="1035" t="str">
        <f t="shared" si="84"/>
        <v/>
      </c>
      <c r="AZ166" s="1036">
        <f t="shared" si="89"/>
        <v>0</v>
      </c>
      <c r="BA166" s="1037" t="str">
        <f t="shared" si="85"/>
        <v/>
      </c>
      <c r="BB166" s="1038"/>
      <c r="BC166" s="1039">
        <f t="shared" si="90"/>
        <v>0</v>
      </c>
      <c r="BD166" s="1040" t="str">
        <f t="shared" si="86"/>
        <v/>
      </c>
      <c r="BE166" s="227" t="s">
        <v>22</v>
      </c>
      <c r="BF166" s="1019">
        <f t="shared" si="87"/>
        <v>0</v>
      </c>
      <c r="BG166" s="1020">
        <f t="shared" si="88"/>
        <v>0</v>
      </c>
      <c r="BH166"/>
      <c r="BQ166"/>
      <c r="BR166"/>
      <c r="BS166"/>
      <c r="BT166"/>
      <c r="BU166"/>
      <c r="BV166"/>
      <c r="BW166" s="959" t="str">
        <f t="shared" si="69"/>
        <v>►</v>
      </c>
      <c r="BX166"/>
      <c r="BY166"/>
      <c r="BZ166"/>
      <c r="CA166"/>
      <c r="CB166"/>
      <c r="CC166" s="856"/>
      <c r="CD166"/>
      <c r="CE166"/>
      <c r="CF166"/>
      <c r="CG166"/>
      <c r="CH166"/>
      <c r="CI166"/>
      <c r="CJ166"/>
      <c r="CL166"/>
      <c r="CM166"/>
      <c r="CN166"/>
      <c r="CO166"/>
      <c r="CP166"/>
      <c r="CQ166"/>
      <c r="CR166"/>
      <c r="CT166"/>
      <c r="CU166"/>
      <c r="CV166"/>
      <c r="CW166"/>
      <c r="CX166"/>
      <c r="CY166"/>
      <c r="CZ166"/>
      <c r="DB166" s="3">
        <v>1</v>
      </c>
    </row>
    <row r="167" spans="1:106" s="709" customFormat="1" ht="21" customHeight="1">
      <c r="A167" s="936" t="s">
        <v>22</v>
      </c>
      <c r="B167" s="952" t="str">
        <f t="shared" si="68"/>
        <v>►</v>
      </c>
      <c r="C167" s="993" cm="1">
        <f t="array" ref="C167">SUMPRODUCT(LEN(D167:J167))</f>
        <v>0</v>
      </c>
      <c r="D167" s="167"/>
      <c r="E167" s="172"/>
      <c r="F167" s="172"/>
      <c r="G167" s="172"/>
      <c r="H167" s="172"/>
      <c r="I167" s="172"/>
      <c r="J167" s="173"/>
      <c r="K167" s="442" t="s">
        <v>22</v>
      </c>
      <c r="L167" s="104" t="s">
        <v>16</v>
      </c>
      <c r="M167" s="1172"/>
      <c r="N167" s="1172"/>
      <c r="O167" s="1172"/>
      <c r="P167" s="1173"/>
      <c r="Q167" s="1174"/>
      <c r="R167" s="1175"/>
      <c r="S167" s="1176"/>
      <c r="T167" s="1177"/>
      <c r="U167" s="5248"/>
      <c r="V167" s="1177"/>
      <c r="W167" s="5249"/>
      <c r="X167" s="5208"/>
      <c r="Y167" s="5209"/>
      <c r="Z167" s="5210"/>
      <c r="AA167" s="5211"/>
      <c r="AB167" s="1178"/>
      <c r="AC167" s="1179"/>
      <c r="AD167" s="227" t="s">
        <v>22</v>
      </c>
      <c r="AE167" s="1027" t="str">
        <f t="shared" si="70"/>
        <v>►</v>
      </c>
      <c r="AF167" s="1028" t="str">
        <f t="shared" si="71"/>
        <v/>
      </c>
      <c r="AG167" s="1029" t="str">
        <f t="shared" si="72"/>
        <v/>
      </c>
      <c r="AH167" s="1028" t="str">
        <f t="shared" si="73"/>
        <v/>
      </c>
      <c r="AI167" s="1029" t="str">
        <f t="shared" si="74"/>
        <v/>
      </c>
      <c r="AJ167" s="1029">
        <f t="shared" si="75"/>
        <v>0</v>
      </c>
      <c r="AK167" s="1043" t="str" cm="1">
        <f t="array" ref="AK167">IF(AE167&lt;&gt;"A","",IFERROR((IFERROR(_xlfn.XLOOKUP(TRIM(SUBSTITUTE(U167,CHAR(160)," ")),$BI$15:$BI$62,$BL$15:$BL$62),IFERROR(_xlfn.XLOOKUP(TRIM(SUBSTITUTE(U167,CHAR(160)," ")),$BJ$15:$BJ$62,$BL$15:$BL$62),_xlfn.XLOOKUP(TRIM(SUBSTITUTE(U167,CHAR(160)," ")),$BK$15:$BK$62,$BL$15:$BL$62))))*T167*IF(ISBLANK(Q167),1,Q167)+IFERROR(_xlfn.XLOOKUP("RECHERCHEX",TRIM(L167:AC167),L167:AC167),0),0))</f>
        <v/>
      </c>
      <c r="AL167" s="1030">
        <f t="shared" si="76"/>
        <v>0</v>
      </c>
      <c r="AM167" s="5254" t="str">
        <f t="shared" si="91"/>
        <v/>
      </c>
      <c r="AN167" s="1031">
        <f t="shared" si="77"/>
        <v>0</v>
      </c>
      <c r="AO167" s="1031">
        <f t="shared" si="78"/>
        <v>0</v>
      </c>
      <c r="AP167" s="1044">
        <f t="shared" si="79"/>
        <v>0</v>
      </c>
      <c r="AQ167" s="5257" t="str">
        <f t="shared" si="80"/>
        <v/>
      </c>
      <c r="AR167" s="1056"/>
      <c r="AS167" s="1056"/>
      <c r="AT167" s="1045">
        <f t="shared" si="81"/>
        <v>0</v>
      </c>
      <c r="AU167" s="1046">
        <f t="shared" si="82"/>
        <v>0</v>
      </c>
      <c r="AV167" s="1059" cm="1">
        <f t="array" ref="AV167">IF(AJ167&lt;&gt;1,0,IF(OR(AT167="",N(AT167)&lt;=0.000000001),"",IF(OR(AN167="",N(AN167)&lt;=0.000000001),0,IF(ISNUMBER(AT167),IFERROR(_xlfn.LET(_xlpm.ai_test,TRIM(AI167),_xlpm.r,IFERROR(_xlfn.XLOOKUP(_xlpm.ai_test,$BI$15:$BI$62,ROW($BI$15:$BI$62),0,1),IFERROR(_xlfn.XLOOKUP(_xlpm.ai_test,$BJ$15:$BJ$62,ROW($BJ$15:$BJ$62),0,1),_xlfn.XLOOKUP(_xlpm.ai_test,$BK$15:$BK$62,ROW($BK$15:$BK$62),0,1))),_xlpm.p,_xlpm.r-MIN(ROW($BI$15:$BI$62))+1,_xlpm.f,INDEX($BL$15:$BL$62,_xlpm.p),_xlpm.u,INDEX($BM$15:$BM$62,_xlpm.p),_xlpm.s,INDEX($BO$15:$BO$62,_xlpm.p),_xlpm.q,N(AT167)/_xlpm.f,IF(_xlpm.q&gt;=_xlpm.s,ROUND(_xlpm.q,1)&amp;" "&amp;_xlpm.ai_test&amp;" = "&amp;ROUND(_xlpm.q*_xlpm.f,1)&amp;" "&amp;_xlpm.u,ROUND(_xlpm.q,1)&amp;" "&amp;_xlpm.ai_test)),""),""))))</f>
        <v>0</v>
      </c>
      <c r="AW167" s="1047"/>
      <c r="AX167" s="1045">
        <f t="shared" si="83"/>
        <v>0</v>
      </c>
      <c r="AY167" s="1046" t="str">
        <f t="shared" si="84"/>
        <v/>
      </c>
      <c r="AZ167" s="1048">
        <f t="shared" si="89"/>
        <v>0</v>
      </c>
      <c r="BA167" s="1049" t="str">
        <f t="shared" si="85"/>
        <v/>
      </c>
      <c r="BB167" s="1038"/>
      <c r="BC167" s="1050">
        <f t="shared" si="90"/>
        <v>0</v>
      </c>
      <c r="BD167" s="1040" t="str">
        <f t="shared" si="86"/>
        <v/>
      </c>
      <c r="BE167" s="227" t="s">
        <v>22</v>
      </c>
      <c r="BF167" s="1019">
        <f t="shared" si="87"/>
        <v>0</v>
      </c>
      <c r="BG167" s="1020">
        <f t="shared" si="88"/>
        <v>0</v>
      </c>
      <c r="BH167"/>
      <c r="BQ167"/>
      <c r="BR167"/>
      <c r="BS167"/>
      <c r="BT167"/>
      <c r="BU167"/>
      <c r="BV167"/>
      <c r="BW167" s="959" t="str">
        <f t="shared" si="69"/>
        <v>►</v>
      </c>
      <c r="BX167"/>
      <c r="BY167"/>
      <c r="BZ167"/>
      <c r="CA167"/>
      <c r="CB167"/>
      <c r="CC167" s="856"/>
      <c r="CD167"/>
      <c r="CE167"/>
      <c r="CF167"/>
      <c r="CG167"/>
      <c r="CH167"/>
      <c r="CI167"/>
      <c r="CJ167"/>
      <c r="CL167"/>
      <c r="CM167"/>
      <c r="CN167"/>
      <c r="CO167"/>
      <c r="CP167"/>
      <c r="CQ167"/>
      <c r="CR167"/>
      <c r="CT167"/>
      <c r="CU167"/>
      <c r="CV167"/>
      <c r="CW167"/>
      <c r="CX167"/>
      <c r="CY167"/>
      <c r="CZ167"/>
      <c r="DB167" s="3">
        <v>1</v>
      </c>
    </row>
    <row r="168" spans="1:106" s="709" customFormat="1" ht="21" customHeight="1">
      <c r="A168" s="936" t="s">
        <v>22</v>
      </c>
      <c r="B168" s="952" t="str">
        <f t="shared" si="68"/>
        <v>►</v>
      </c>
      <c r="C168" s="993" cm="1">
        <f t="array" ref="C168">SUMPRODUCT(LEN(D168:J168))</f>
        <v>0</v>
      </c>
      <c r="D168" s="167"/>
      <c r="E168" s="172"/>
      <c r="F168" s="172"/>
      <c r="G168" s="172"/>
      <c r="H168" s="172"/>
      <c r="I168" s="172"/>
      <c r="J168" s="173"/>
      <c r="K168" s="442" t="s">
        <v>22</v>
      </c>
      <c r="L168" s="104" t="s">
        <v>16</v>
      </c>
      <c r="M168" s="1172"/>
      <c r="N168" s="1172"/>
      <c r="O168" s="1172"/>
      <c r="P168" s="1173"/>
      <c r="Q168" s="1174"/>
      <c r="R168" s="1175"/>
      <c r="S168" s="1176"/>
      <c r="T168" s="1177"/>
      <c r="U168" s="5248"/>
      <c r="V168" s="1177"/>
      <c r="W168" s="5249"/>
      <c r="X168" s="5208"/>
      <c r="Y168" s="5209"/>
      <c r="Z168" s="5210"/>
      <c r="AA168" s="5211"/>
      <c r="AB168" s="1178"/>
      <c r="AC168" s="1179"/>
      <c r="AD168" s="227" t="s">
        <v>22</v>
      </c>
      <c r="AE168" s="1027" t="str">
        <f t="shared" si="70"/>
        <v>►</v>
      </c>
      <c r="AF168" s="1028" t="str">
        <f t="shared" si="71"/>
        <v/>
      </c>
      <c r="AG168" s="1029" t="str">
        <f t="shared" si="72"/>
        <v/>
      </c>
      <c r="AH168" s="1028" t="str">
        <f t="shared" si="73"/>
        <v/>
      </c>
      <c r="AI168" s="1029" t="str">
        <f t="shared" si="74"/>
        <v/>
      </c>
      <c r="AJ168" s="1029">
        <f t="shared" si="75"/>
        <v>0</v>
      </c>
      <c r="AK168" s="1043" t="str" cm="1">
        <f t="array" ref="AK168">IF(AE168&lt;&gt;"A","",IFERROR((IFERROR(_xlfn.XLOOKUP(TRIM(SUBSTITUTE(U168,CHAR(160)," ")),$BI$15:$BI$62,$BL$15:$BL$62),IFERROR(_xlfn.XLOOKUP(TRIM(SUBSTITUTE(U168,CHAR(160)," ")),$BJ$15:$BJ$62,$BL$15:$BL$62),_xlfn.XLOOKUP(TRIM(SUBSTITUTE(U168,CHAR(160)," ")),$BK$15:$BK$62,$BL$15:$BL$62))))*T168*IF(ISBLANK(Q168),1,Q168)+IFERROR(_xlfn.XLOOKUP("RECHERCHEX",TRIM(L168:AC168),L168:AC168),0),0))</f>
        <v/>
      </c>
      <c r="AL168" s="1030">
        <f t="shared" si="76"/>
        <v>0</v>
      </c>
      <c r="AM168" s="5254" t="str">
        <f t="shared" si="91"/>
        <v/>
      </c>
      <c r="AN168" s="1031">
        <f t="shared" si="77"/>
        <v>0</v>
      </c>
      <c r="AO168" s="1031">
        <f t="shared" si="78"/>
        <v>0</v>
      </c>
      <c r="AP168" s="1032">
        <f t="shared" si="79"/>
        <v>0</v>
      </c>
      <c r="AQ168" s="5255" t="str">
        <f t="shared" si="80"/>
        <v/>
      </c>
      <c r="AR168" s="1056"/>
      <c r="AS168" s="1056"/>
      <c r="AT168" s="1034">
        <f t="shared" si="81"/>
        <v>0</v>
      </c>
      <c r="AU168" s="1035">
        <f t="shared" si="82"/>
        <v>0</v>
      </c>
      <c r="AV168" s="1057" cm="1">
        <f t="array" ref="AV168">IF(AJ168&lt;&gt;1,0,IF(OR(AT168="",N(AT168)&lt;=0.000000001),"",IF(OR(AN168="",N(AN168)&lt;=0.000000001),0,IF(ISNUMBER(AT168),IFERROR(_xlfn.LET(_xlpm.ai_test,TRIM(AI168),_xlpm.r,IFERROR(_xlfn.XLOOKUP(_xlpm.ai_test,$BI$15:$BI$62,ROW($BI$15:$BI$62),0,1),IFERROR(_xlfn.XLOOKUP(_xlpm.ai_test,$BJ$15:$BJ$62,ROW($BJ$15:$BJ$62),0,1),_xlfn.XLOOKUP(_xlpm.ai_test,$BK$15:$BK$62,ROW($BK$15:$BK$62),0,1))),_xlpm.p,_xlpm.r-MIN(ROW($BI$15:$BI$62))+1,_xlpm.f,INDEX($BL$15:$BL$62,_xlpm.p),_xlpm.u,INDEX($BM$15:$BM$62,_xlpm.p),_xlpm.s,INDEX($BO$15:$BO$62,_xlpm.p),_xlpm.q,N(AT168)/_xlpm.f,IF(_xlpm.q&gt;=_xlpm.s,ROUND(_xlpm.q,1)&amp;" "&amp;_xlpm.ai_test&amp;" = "&amp;ROUND(_xlpm.q*_xlpm.f,1)&amp;" "&amp;_xlpm.u,ROUND(_xlpm.q,1)&amp;" "&amp;_xlpm.ai_test)),""),""))))</f>
        <v>0</v>
      </c>
      <c r="AW168" s="1047"/>
      <c r="AX168" s="1034">
        <f t="shared" si="83"/>
        <v>0</v>
      </c>
      <c r="AY168" s="1035" t="str">
        <f t="shared" si="84"/>
        <v/>
      </c>
      <c r="AZ168" s="1036">
        <f t="shared" si="89"/>
        <v>0</v>
      </c>
      <c r="BA168" s="1037" t="str">
        <f t="shared" si="85"/>
        <v/>
      </c>
      <c r="BB168" s="1038"/>
      <c r="BC168" s="1039">
        <f t="shared" si="90"/>
        <v>0</v>
      </c>
      <c r="BD168" s="1040" t="str">
        <f t="shared" si="86"/>
        <v/>
      </c>
      <c r="BE168" s="227" t="s">
        <v>22</v>
      </c>
      <c r="BF168" s="1019">
        <f t="shared" si="87"/>
        <v>0</v>
      </c>
      <c r="BG168" s="1020">
        <f t="shared" si="88"/>
        <v>0</v>
      </c>
      <c r="BH168"/>
      <c r="BQ168"/>
      <c r="BR168"/>
      <c r="BS168"/>
      <c r="BT168"/>
      <c r="BU168"/>
      <c r="BV168"/>
      <c r="BW168" s="959" t="str">
        <f t="shared" si="69"/>
        <v>►</v>
      </c>
      <c r="BX168"/>
      <c r="BY168"/>
      <c r="BZ168"/>
      <c r="CA168"/>
      <c r="CB168"/>
      <c r="CC168" s="856"/>
      <c r="CD168"/>
      <c r="CE168"/>
      <c r="CF168"/>
      <c r="CG168"/>
      <c r="CH168"/>
      <c r="CI168"/>
      <c r="CJ168"/>
      <c r="CL168"/>
      <c r="CM168"/>
      <c r="CN168"/>
      <c r="CO168"/>
      <c r="CP168"/>
      <c r="CQ168"/>
      <c r="CR168"/>
      <c r="CT168"/>
      <c r="CU168"/>
      <c r="CV168"/>
      <c r="CW168"/>
      <c r="CX168"/>
      <c r="CY168"/>
      <c r="CZ168"/>
      <c r="DB168" s="3">
        <v>1</v>
      </c>
    </row>
    <row r="169" spans="1:106" s="709" customFormat="1" ht="21" customHeight="1">
      <c r="A169" s="936" t="s">
        <v>22</v>
      </c>
      <c r="B169" s="952" t="str">
        <f t="shared" si="68"/>
        <v>►</v>
      </c>
      <c r="C169" s="993" cm="1">
        <f t="array" ref="C169">SUMPRODUCT(LEN(D169:J169))</f>
        <v>0</v>
      </c>
      <c r="D169" s="167"/>
      <c r="E169" s="172"/>
      <c r="F169" s="172"/>
      <c r="G169" s="172"/>
      <c r="H169" s="172"/>
      <c r="I169" s="172"/>
      <c r="J169" s="173"/>
      <c r="K169" s="442" t="s">
        <v>22</v>
      </c>
      <c r="L169" s="104" t="s">
        <v>16</v>
      </c>
      <c r="M169" s="1172"/>
      <c r="N169" s="1172"/>
      <c r="O169" s="1172"/>
      <c r="P169" s="1173"/>
      <c r="Q169" s="1174"/>
      <c r="R169" s="1175"/>
      <c r="S169" s="1176"/>
      <c r="T169" s="1177"/>
      <c r="U169" s="5248"/>
      <c r="V169" s="1177"/>
      <c r="W169" s="5249"/>
      <c r="X169" s="5208"/>
      <c r="Y169" s="5209"/>
      <c r="Z169" s="5210"/>
      <c r="AA169" s="5211"/>
      <c r="AB169" s="1178"/>
      <c r="AC169" s="1179"/>
      <c r="AD169" s="227" t="s">
        <v>22</v>
      </c>
      <c r="AE169" s="1027" t="str">
        <f t="shared" si="70"/>
        <v>►</v>
      </c>
      <c r="AF169" s="1028" t="str">
        <f t="shared" si="71"/>
        <v/>
      </c>
      <c r="AG169" s="1029" t="str">
        <f t="shared" si="72"/>
        <v/>
      </c>
      <c r="AH169" s="1028" t="str">
        <f t="shared" si="73"/>
        <v/>
      </c>
      <c r="AI169" s="1029" t="str">
        <f t="shared" si="74"/>
        <v/>
      </c>
      <c r="AJ169" s="1029">
        <f t="shared" si="75"/>
        <v>0</v>
      </c>
      <c r="AK169" s="1043" t="str" cm="1">
        <f t="array" ref="AK169">IF(AE169&lt;&gt;"A","",IFERROR((IFERROR(_xlfn.XLOOKUP(TRIM(SUBSTITUTE(U169,CHAR(160)," ")),$BI$15:$BI$62,$BL$15:$BL$62),IFERROR(_xlfn.XLOOKUP(TRIM(SUBSTITUTE(U169,CHAR(160)," ")),$BJ$15:$BJ$62,$BL$15:$BL$62),_xlfn.XLOOKUP(TRIM(SUBSTITUTE(U169,CHAR(160)," ")),$BK$15:$BK$62,$BL$15:$BL$62))))*T169*IF(ISBLANK(Q169),1,Q169)+IFERROR(_xlfn.XLOOKUP("RECHERCHEX",TRIM(L169:AC169),L169:AC169),0),0))</f>
        <v/>
      </c>
      <c r="AL169" s="1030">
        <f t="shared" si="76"/>
        <v>0</v>
      </c>
      <c r="AM169" s="5254" t="str">
        <f t="shared" si="91"/>
        <v/>
      </c>
      <c r="AN169" s="1031">
        <f t="shared" si="77"/>
        <v>0</v>
      </c>
      <c r="AO169" s="1031">
        <f t="shared" si="78"/>
        <v>0</v>
      </c>
      <c r="AP169" s="1044">
        <f t="shared" si="79"/>
        <v>0</v>
      </c>
      <c r="AQ169" s="5257" t="str">
        <f t="shared" si="80"/>
        <v/>
      </c>
      <c r="AR169" s="1056"/>
      <c r="AS169" s="1056"/>
      <c r="AT169" s="1045">
        <f t="shared" si="81"/>
        <v>0</v>
      </c>
      <c r="AU169" s="1046">
        <f t="shared" si="82"/>
        <v>0</v>
      </c>
      <c r="AV169" s="1059" cm="1">
        <f t="array" ref="AV169">IF(AJ169&lt;&gt;1,0,IF(OR(AT169="",N(AT169)&lt;=0.000000001),"",IF(OR(AN169="",N(AN169)&lt;=0.000000001),0,IF(ISNUMBER(AT169),IFERROR(_xlfn.LET(_xlpm.ai_test,TRIM(AI169),_xlpm.r,IFERROR(_xlfn.XLOOKUP(_xlpm.ai_test,$BI$15:$BI$62,ROW($BI$15:$BI$62),0,1),IFERROR(_xlfn.XLOOKUP(_xlpm.ai_test,$BJ$15:$BJ$62,ROW($BJ$15:$BJ$62),0,1),_xlfn.XLOOKUP(_xlpm.ai_test,$BK$15:$BK$62,ROW($BK$15:$BK$62),0,1))),_xlpm.p,_xlpm.r-MIN(ROW($BI$15:$BI$62))+1,_xlpm.f,INDEX($BL$15:$BL$62,_xlpm.p),_xlpm.u,INDEX($BM$15:$BM$62,_xlpm.p),_xlpm.s,INDEX($BO$15:$BO$62,_xlpm.p),_xlpm.q,N(AT169)/_xlpm.f,IF(_xlpm.q&gt;=_xlpm.s,ROUND(_xlpm.q,1)&amp;" "&amp;_xlpm.ai_test&amp;" = "&amp;ROUND(_xlpm.q*_xlpm.f,1)&amp;" "&amp;_xlpm.u,ROUND(_xlpm.q,1)&amp;" "&amp;_xlpm.ai_test)),""),""))))</f>
        <v>0</v>
      </c>
      <c r="AW169" s="1047"/>
      <c r="AX169" s="1045">
        <f t="shared" si="83"/>
        <v>0</v>
      </c>
      <c r="AY169" s="1046" t="str">
        <f t="shared" si="84"/>
        <v/>
      </c>
      <c r="AZ169" s="1048">
        <f t="shared" si="89"/>
        <v>0</v>
      </c>
      <c r="BA169" s="1049" t="str">
        <f t="shared" si="85"/>
        <v/>
      </c>
      <c r="BB169" s="1038"/>
      <c r="BC169" s="1050">
        <f t="shared" si="90"/>
        <v>0</v>
      </c>
      <c r="BD169" s="1040" t="str">
        <f t="shared" si="86"/>
        <v/>
      </c>
      <c r="BE169" s="227" t="s">
        <v>22</v>
      </c>
      <c r="BF169" s="1019">
        <f t="shared" si="87"/>
        <v>0</v>
      </c>
      <c r="BG169" s="1020">
        <f t="shared" si="88"/>
        <v>0</v>
      </c>
      <c r="BH169"/>
      <c r="BQ169"/>
      <c r="BR169"/>
      <c r="BS169"/>
      <c r="BT169"/>
      <c r="BU169"/>
      <c r="BV169"/>
      <c r="BW169" s="959" t="str">
        <f t="shared" si="69"/>
        <v>►</v>
      </c>
      <c r="BX169"/>
      <c r="BY169"/>
      <c r="BZ169"/>
      <c r="CA169"/>
      <c r="CB169"/>
      <c r="CC169" s="856"/>
      <c r="CD169"/>
      <c r="CE169"/>
      <c r="CF169"/>
      <c r="CG169"/>
      <c r="CH169"/>
      <c r="CI169"/>
      <c r="CJ169"/>
      <c r="CL169"/>
      <c r="CM169"/>
      <c r="CN169"/>
      <c r="CO169"/>
      <c r="CP169"/>
      <c r="CQ169"/>
      <c r="CR169"/>
      <c r="CT169"/>
      <c r="CU169"/>
      <c r="CV169"/>
      <c r="CW169"/>
      <c r="CX169"/>
      <c r="CY169"/>
      <c r="CZ169"/>
      <c r="DB169" s="3">
        <v>1</v>
      </c>
    </row>
    <row r="170" spans="1:106" s="709" customFormat="1" ht="21" customHeight="1">
      <c r="A170" s="936" t="s">
        <v>22</v>
      </c>
      <c r="B170" s="952" t="str">
        <f t="shared" si="68"/>
        <v>►</v>
      </c>
      <c r="C170" s="993" cm="1">
        <f t="array" ref="C170">SUMPRODUCT(LEN(D170:J170))</f>
        <v>0</v>
      </c>
      <c r="D170" s="167"/>
      <c r="E170" s="172"/>
      <c r="F170" s="172"/>
      <c r="G170" s="172"/>
      <c r="H170" s="172"/>
      <c r="I170" s="172"/>
      <c r="J170" s="173"/>
      <c r="K170" s="442" t="s">
        <v>22</v>
      </c>
      <c r="L170" s="104" t="s">
        <v>16</v>
      </c>
      <c r="M170" s="1172"/>
      <c r="N170" s="1172"/>
      <c r="O170" s="1172"/>
      <c r="P170" s="1173"/>
      <c r="Q170" s="1174"/>
      <c r="R170" s="1175"/>
      <c r="S170" s="1176"/>
      <c r="T170" s="1177"/>
      <c r="U170" s="5248"/>
      <c r="V170" s="1177"/>
      <c r="W170" s="5249"/>
      <c r="X170" s="5208"/>
      <c r="Y170" s="5209"/>
      <c r="Z170" s="5210"/>
      <c r="AA170" s="5211"/>
      <c r="AB170" s="1178"/>
      <c r="AC170" s="1179"/>
      <c r="AD170" s="227" t="s">
        <v>22</v>
      </c>
      <c r="AE170" s="1027" t="str">
        <f t="shared" si="70"/>
        <v>►</v>
      </c>
      <c r="AF170" s="1028" t="str">
        <f t="shared" si="71"/>
        <v/>
      </c>
      <c r="AG170" s="1029" t="str">
        <f t="shared" si="72"/>
        <v/>
      </c>
      <c r="AH170" s="1028" t="str">
        <f t="shared" si="73"/>
        <v/>
      </c>
      <c r="AI170" s="1029" t="str">
        <f t="shared" si="74"/>
        <v/>
      </c>
      <c r="AJ170" s="1029">
        <f t="shared" si="75"/>
        <v>0</v>
      </c>
      <c r="AK170" s="1043" t="str" cm="1">
        <f t="array" ref="AK170">IF(AE170&lt;&gt;"A","",IFERROR((IFERROR(_xlfn.XLOOKUP(TRIM(SUBSTITUTE(U170,CHAR(160)," ")),$BI$15:$BI$62,$BL$15:$BL$62),IFERROR(_xlfn.XLOOKUP(TRIM(SUBSTITUTE(U170,CHAR(160)," ")),$BJ$15:$BJ$62,$BL$15:$BL$62),_xlfn.XLOOKUP(TRIM(SUBSTITUTE(U170,CHAR(160)," ")),$BK$15:$BK$62,$BL$15:$BL$62))))*T170*IF(ISBLANK(Q170),1,Q170)+IFERROR(_xlfn.XLOOKUP("RECHERCHEX",TRIM(L170:AC170),L170:AC170),0),0))</f>
        <v/>
      </c>
      <c r="AL170" s="1030">
        <f t="shared" si="76"/>
        <v>0</v>
      </c>
      <c r="AM170" s="5254" t="str">
        <f t="shared" si="91"/>
        <v/>
      </c>
      <c r="AN170" s="1031">
        <f t="shared" si="77"/>
        <v>0</v>
      </c>
      <c r="AO170" s="1031">
        <f t="shared" si="78"/>
        <v>0</v>
      </c>
      <c r="AP170" s="1032">
        <f t="shared" si="79"/>
        <v>0</v>
      </c>
      <c r="AQ170" s="5255" t="str">
        <f t="shared" si="80"/>
        <v/>
      </c>
      <c r="AR170" s="1056"/>
      <c r="AS170" s="1056"/>
      <c r="AT170" s="1034">
        <f t="shared" si="81"/>
        <v>0</v>
      </c>
      <c r="AU170" s="1035">
        <f t="shared" si="82"/>
        <v>0</v>
      </c>
      <c r="AV170" s="1057" cm="1">
        <f t="array" ref="AV170">IF(AJ170&lt;&gt;1,0,IF(OR(AT170="",N(AT170)&lt;=0.000000001),"",IF(OR(AN170="",N(AN170)&lt;=0.000000001),0,IF(ISNUMBER(AT170),IFERROR(_xlfn.LET(_xlpm.ai_test,TRIM(AI170),_xlpm.r,IFERROR(_xlfn.XLOOKUP(_xlpm.ai_test,$BI$15:$BI$62,ROW($BI$15:$BI$62),0,1),IFERROR(_xlfn.XLOOKUP(_xlpm.ai_test,$BJ$15:$BJ$62,ROW($BJ$15:$BJ$62),0,1),_xlfn.XLOOKUP(_xlpm.ai_test,$BK$15:$BK$62,ROW($BK$15:$BK$62),0,1))),_xlpm.p,_xlpm.r-MIN(ROW($BI$15:$BI$62))+1,_xlpm.f,INDEX($BL$15:$BL$62,_xlpm.p),_xlpm.u,INDEX($BM$15:$BM$62,_xlpm.p),_xlpm.s,INDEX($BO$15:$BO$62,_xlpm.p),_xlpm.q,N(AT170)/_xlpm.f,IF(_xlpm.q&gt;=_xlpm.s,ROUND(_xlpm.q,1)&amp;" "&amp;_xlpm.ai_test&amp;" = "&amp;ROUND(_xlpm.q*_xlpm.f,1)&amp;" "&amp;_xlpm.u,ROUND(_xlpm.q,1)&amp;" "&amp;_xlpm.ai_test)),""),""))))</f>
        <v>0</v>
      </c>
      <c r="AW170" s="1047"/>
      <c r="AX170" s="1034">
        <f t="shared" si="83"/>
        <v>0</v>
      </c>
      <c r="AY170" s="1035" t="str">
        <f t="shared" si="84"/>
        <v/>
      </c>
      <c r="AZ170" s="1036">
        <f t="shared" si="89"/>
        <v>0</v>
      </c>
      <c r="BA170" s="1037" t="str">
        <f t="shared" si="85"/>
        <v/>
      </c>
      <c r="BB170" s="1038"/>
      <c r="BC170" s="1039">
        <f t="shared" si="90"/>
        <v>0</v>
      </c>
      <c r="BD170" s="1040" t="str">
        <f t="shared" si="86"/>
        <v/>
      </c>
      <c r="BE170" s="227" t="s">
        <v>22</v>
      </c>
      <c r="BF170" s="1019">
        <f t="shared" si="87"/>
        <v>0</v>
      </c>
      <c r="BG170" s="1020">
        <f t="shared" si="88"/>
        <v>0</v>
      </c>
      <c r="BH170"/>
      <c r="BQ170"/>
      <c r="BR170"/>
      <c r="BS170"/>
      <c r="BT170"/>
      <c r="BU170"/>
      <c r="BV170"/>
      <c r="BW170" s="959" t="str">
        <f t="shared" si="69"/>
        <v>►</v>
      </c>
      <c r="BX170"/>
      <c r="BY170"/>
      <c r="BZ170"/>
      <c r="CA170"/>
      <c r="CB170"/>
      <c r="CC170" s="856"/>
      <c r="CD170"/>
      <c r="CE170"/>
      <c r="CF170"/>
      <c r="CG170"/>
      <c r="CH170"/>
      <c r="CI170"/>
      <c r="CJ170"/>
      <c r="CL170"/>
      <c r="CM170"/>
      <c r="CN170"/>
      <c r="CO170"/>
      <c r="CP170"/>
      <c r="CQ170"/>
      <c r="CR170"/>
      <c r="CT170"/>
      <c r="CU170"/>
      <c r="CV170"/>
      <c r="CW170"/>
      <c r="CX170"/>
      <c r="CY170"/>
      <c r="CZ170"/>
      <c r="DB170" s="3">
        <v>1</v>
      </c>
    </row>
    <row r="171" spans="1:106" s="709" customFormat="1" ht="21" customHeight="1">
      <c r="A171" s="936" t="s">
        <v>22</v>
      </c>
      <c r="B171" s="952" t="str">
        <f t="shared" si="68"/>
        <v>►</v>
      </c>
      <c r="C171" s="993" cm="1">
        <f t="array" ref="C171">SUMPRODUCT(LEN(D171:J171))</f>
        <v>0</v>
      </c>
      <c r="D171" s="167"/>
      <c r="E171" s="172"/>
      <c r="F171" s="172"/>
      <c r="G171" s="172"/>
      <c r="H171" s="172"/>
      <c r="I171" s="172"/>
      <c r="J171" s="173"/>
      <c r="K171" s="442" t="s">
        <v>22</v>
      </c>
      <c r="L171" s="104" t="s">
        <v>16</v>
      </c>
      <c r="M171" s="1172"/>
      <c r="N171" s="1172"/>
      <c r="O171" s="1172"/>
      <c r="P171" s="1173"/>
      <c r="Q171" s="1174"/>
      <c r="R171" s="1175"/>
      <c r="S171" s="1176"/>
      <c r="T171" s="1177"/>
      <c r="U171" s="5248"/>
      <c r="V171" s="1177"/>
      <c r="W171" s="5249"/>
      <c r="X171" s="5208"/>
      <c r="Y171" s="5209"/>
      <c r="Z171" s="5210"/>
      <c r="AA171" s="5211"/>
      <c r="AB171" s="1178"/>
      <c r="AC171" s="1179"/>
      <c r="AD171" s="227" t="s">
        <v>22</v>
      </c>
      <c r="AE171" s="1027" t="str">
        <f t="shared" si="70"/>
        <v>►</v>
      </c>
      <c r="AF171" s="1028" t="str">
        <f t="shared" si="71"/>
        <v/>
      </c>
      <c r="AG171" s="1029" t="str">
        <f t="shared" si="72"/>
        <v/>
      </c>
      <c r="AH171" s="1028" t="str">
        <f t="shared" si="73"/>
        <v/>
      </c>
      <c r="AI171" s="1029" t="str">
        <f t="shared" si="74"/>
        <v/>
      </c>
      <c r="AJ171" s="1029">
        <f t="shared" si="75"/>
        <v>0</v>
      </c>
      <c r="AK171" s="1043" t="str" cm="1">
        <f t="array" ref="AK171">IF(AE171&lt;&gt;"A","",IFERROR((IFERROR(_xlfn.XLOOKUP(TRIM(SUBSTITUTE(U171,CHAR(160)," ")),$BI$15:$BI$62,$BL$15:$BL$62),IFERROR(_xlfn.XLOOKUP(TRIM(SUBSTITUTE(U171,CHAR(160)," ")),$BJ$15:$BJ$62,$BL$15:$BL$62),_xlfn.XLOOKUP(TRIM(SUBSTITUTE(U171,CHAR(160)," ")),$BK$15:$BK$62,$BL$15:$BL$62))))*T171*IF(ISBLANK(Q171),1,Q171)+IFERROR(_xlfn.XLOOKUP("RECHERCHEX",TRIM(L171:AC171),L171:AC171),0),0))</f>
        <v/>
      </c>
      <c r="AL171" s="1030">
        <f t="shared" si="76"/>
        <v>0</v>
      </c>
      <c r="AM171" s="5254" t="str">
        <f t="shared" si="91"/>
        <v/>
      </c>
      <c r="AN171" s="1031">
        <f t="shared" si="77"/>
        <v>0</v>
      </c>
      <c r="AO171" s="1031">
        <f t="shared" si="78"/>
        <v>0</v>
      </c>
      <c r="AP171" s="1044">
        <f t="shared" si="79"/>
        <v>0</v>
      </c>
      <c r="AQ171" s="5257" t="str">
        <f t="shared" si="80"/>
        <v/>
      </c>
      <c r="AR171" s="1056"/>
      <c r="AS171" s="1056"/>
      <c r="AT171" s="1045">
        <f t="shared" si="81"/>
        <v>0</v>
      </c>
      <c r="AU171" s="1046">
        <f t="shared" si="82"/>
        <v>0</v>
      </c>
      <c r="AV171" s="1059" cm="1">
        <f t="array" ref="AV171">IF(AJ171&lt;&gt;1,0,IF(OR(AT171="",N(AT171)&lt;=0.000000001),"",IF(OR(AN171="",N(AN171)&lt;=0.000000001),0,IF(ISNUMBER(AT171),IFERROR(_xlfn.LET(_xlpm.ai_test,TRIM(AI171),_xlpm.r,IFERROR(_xlfn.XLOOKUP(_xlpm.ai_test,$BI$15:$BI$62,ROW($BI$15:$BI$62),0,1),IFERROR(_xlfn.XLOOKUP(_xlpm.ai_test,$BJ$15:$BJ$62,ROW($BJ$15:$BJ$62),0,1),_xlfn.XLOOKUP(_xlpm.ai_test,$BK$15:$BK$62,ROW($BK$15:$BK$62),0,1))),_xlpm.p,_xlpm.r-MIN(ROW($BI$15:$BI$62))+1,_xlpm.f,INDEX($BL$15:$BL$62,_xlpm.p),_xlpm.u,INDEX($BM$15:$BM$62,_xlpm.p),_xlpm.s,INDEX($BO$15:$BO$62,_xlpm.p),_xlpm.q,N(AT171)/_xlpm.f,IF(_xlpm.q&gt;=_xlpm.s,ROUND(_xlpm.q,1)&amp;" "&amp;_xlpm.ai_test&amp;" = "&amp;ROUND(_xlpm.q*_xlpm.f,1)&amp;" "&amp;_xlpm.u,ROUND(_xlpm.q,1)&amp;" "&amp;_xlpm.ai_test)),""),""))))</f>
        <v>0</v>
      </c>
      <c r="AW171" s="1047"/>
      <c r="AX171" s="1045">
        <f t="shared" si="83"/>
        <v>0</v>
      </c>
      <c r="AY171" s="1046" t="str">
        <f t="shared" si="84"/>
        <v/>
      </c>
      <c r="AZ171" s="1048">
        <f t="shared" si="89"/>
        <v>0</v>
      </c>
      <c r="BA171" s="1049" t="str">
        <f t="shared" si="85"/>
        <v/>
      </c>
      <c r="BB171" s="1038"/>
      <c r="BC171" s="1050">
        <f t="shared" si="90"/>
        <v>0</v>
      </c>
      <c r="BD171" s="1040" t="str">
        <f t="shared" si="86"/>
        <v/>
      </c>
      <c r="BE171" s="227" t="s">
        <v>22</v>
      </c>
      <c r="BF171" s="1019">
        <f t="shared" si="87"/>
        <v>0</v>
      </c>
      <c r="BG171" s="1020">
        <f t="shared" si="88"/>
        <v>0</v>
      </c>
      <c r="BH171"/>
      <c r="BQ171"/>
      <c r="BR171"/>
      <c r="BS171"/>
      <c r="BT171"/>
      <c r="BU171"/>
      <c r="BV171"/>
      <c r="BW171" s="959" t="str">
        <f t="shared" si="69"/>
        <v>►</v>
      </c>
      <c r="BX171"/>
      <c r="BY171"/>
      <c r="BZ171"/>
      <c r="CA171"/>
      <c r="CB171"/>
      <c r="CC171" s="856"/>
      <c r="CD171"/>
      <c r="CE171"/>
      <c r="CF171"/>
      <c r="CG171"/>
      <c r="CH171"/>
      <c r="CI171"/>
      <c r="CJ171"/>
      <c r="CL171"/>
      <c r="CM171"/>
      <c r="CN171"/>
      <c r="CO171"/>
      <c r="CP171"/>
      <c r="CQ171"/>
      <c r="CR171"/>
      <c r="CT171"/>
      <c r="CU171"/>
      <c r="CV171"/>
      <c r="CW171"/>
      <c r="CX171"/>
      <c r="CY171"/>
      <c r="CZ171"/>
      <c r="DB171" s="3">
        <v>1</v>
      </c>
    </row>
    <row r="172" spans="1:106" s="709" customFormat="1" ht="21" customHeight="1">
      <c r="A172" s="936" t="s">
        <v>22</v>
      </c>
      <c r="B172" s="952" t="str">
        <f t="shared" si="68"/>
        <v>►</v>
      </c>
      <c r="C172" s="993" cm="1">
        <f t="array" ref="C172">SUMPRODUCT(LEN(D172:J172))</f>
        <v>0</v>
      </c>
      <c r="D172" s="167"/>
      <c r="E172" s="172"/>
      <c r="F172" s="172"/>
      <c r="G172" s="172"/>
      <c r="H172" s="172"/>
      <c r="I172" s="172"/>
      <c r="J172" s="173"/>
      <c r="K172" s="442" t="s">
        <v>22</v>
      </c>
      <c r="L172" s="104" t="s">
        <v>16</v>
      </c>
      <c r="M172" s="1172"/>
      <c r="N172" s="1172"/>
      <c r="O172" s="1172"/>
      <c r="P172" s="1173"/>
      <c r="Q172" s="1174"/>
      <c r="R172" s="1175"/>
      <c r="S172" s="1176"/>
      <c r="T172" s="1177"/>
      <c r="U172" s="5248"/>
      <c r="V172" s="1177"/>
      <c r="W172" s="5249"/>
      <c r="X172" s="5208"/>
      <c r="Y172" s="5209"/>
      <c r="Z172" s="5210"/>
      <c r="AA172" s="5211"/>
      <c r="AB172" s="1178"/>
      <c r="AC172" s="1179"/>
      <c r="AD172" s="227" t="s">
        <v>22</v>
      </c>
      <c r="AE172" s="1027" t="str">
        <f t="shared" si="70"/>
        <v>►</v>
      </c>
      <c r="AF172" s="1028" t="str">
        <f t="shared" si="71"/>
        <v/>
      </c>
      <c r="AG172" s="1029" t="str">
        <f t="shared" si="72"/>
        <v/>
      </c>
      <c r="AH172" s="1028" t="str">
        <f t="shared" si="73"/>
        <v/>
      </c>
      <c r="AI172" s="1029" t="str">
        <f t="shared" si="74"/>
        <v/>
      </c>
      <c r="AJ172" s="1029">
        <f t="shared" si="75"/>
        <v>0</v>
      </c>
      <c r="AK172" s="1043" t="str" cm="1">
        <f t="array" ref="AK172">IF(AE172&lt;&gt;"A","",IFERROR((IFERROR(_xlfn.XLOOKUP(TRIM(SUBSTITUTE(U172,CHAR(160)," ")),$BI$15:$BI$62,$BL$15:$BL$62),IFERROR(_xlfn.XLOOKUP(TRIM(SUBSTITUTE(U172,CHAR(160)," ")),$BJ$15:$BJ$62,$BL$15:$BL$62),_xlfn.XLOOKUP(TRIM(SUBSTITUTE(U172,CHAR(160)," ")),$BK$15:$BK$62,$BL$15:$BL$62))))*T172*IF(ISBLANK(Q172),1,Q172)+IFERROR(_xlfn.XLOOKUP("RECHERCHEX",TRIM(L172:AC172),L172:AC172),0),0))</f>
        <v/>
      </c>
      <c r="AL172" s="1030">
        <f t="shared" si="76"/>
        <v>0</v>
      </c>
      <c r="AM172" s="5254" t="str">
        <f t="shared" si="91"/>
        <v/>
      </c>
      <c r="AN172" s="1031">
        <f t="shared" si="77"/>
        <v>0</v>
      </c>
      <c r="AO172" s="1031">
        <f t="shared" si="78"/>
        <v>0</v>
      </c>
      <c r="AP172" s="1032">
        <f t="shared" si="79"/>
        <v>0</v>
      </c>
      <c r="AQ172" s="5255" t="str">
        <f t="shared" si="80"/>
        <v/>
      </c>
      <c r="AR172" s="1056"/>
      <c r="AS172" s="1056"/>
      <c r="AT172" s="1034">
        <f t="shared" si="81"/>
        <v>0</v>
      </c>
      <c r="AU172" s="1035">
        <f t="shared" si="82"/>
        <v>0</v>
      </c>
      <c r="AV172" s="1057" cm="1">
        <f t="array" ref="AV172">IF(AJ172&lt;&gt;1,0,IF(OR(AT172="",N(AT172)&lt;=0.000000001),"",IF(OR(AN172="",N(AN172)&lt;=0.000000001),0,IF(ISNUMBER(AT172),IFERROR(_xlfn.LET(_xlpm.ai_test,TRIM(AI172),_xlpm.r,IFERROR(_xlfn.XLOOKUP(_xlpm.ai_test,$BI$15:$BI$62,ROW($BI$15:$BI$62),0,1),IFERROR(_xlfn.XLOOKUP(_xlpm.ai_test,$BJ$15:$BJ$62,ROW($BJ$15:$BJ$62),0,1),_xlfn.XLOOKUP(_xlpm.ai_test,$BK$15:$BK$62,ROW($BK$15:$BK$62),0,1))),_xlpm.p,_xlpm.r-MIN(ROW($BI$15:$BI$62))+1,_xlpm.f,INDEX($BL$15:$BL$62,_xlpm.p),_xlpm.u,INDEX($BM$15:$BM$62,_xlpm.p),_xlpm.s,INDEX($BO$15:$BO$62,_xlpm.p),_xlpm.q,N(AT172)/_xlpm.f,IF(_xlpm.q&gt;=_xlpm.s,ROUND(_xlpm.q,1)&amp;" "&amp;_xlpm.ai_test&amp;" = "&amp;ROUND(_xlpm.q*_xlpm.f,1)&amp;" "&amp;_xlpm.u,ROUND(_xlpm.q,1)&amp;" "&amp;_xlpm.ai_test)),""),""))))</f>
        <v>0</v>
      </c>
      <c r="AW172" s="1047"/>
      <c r="AX172" s="1034">
        <f t="shared" si="83"/>
        <v>0</v>
      </c>
      <c r="AY172" s="1035" t="str">
        <f t="shared" si="84"/>
        <v/>
      </c>
      <c r="AZ172" s="1036">
        <f t="shared" si="89"/>
        <v>0</v>
      </c>
      <c r="BA172" s="1037" t="str">
        <f t="shared" si="85"/>
        <v/>
      </c>
      <c r="BB172" s="1038"/>
      <c r="BC172" s="1039">
        <f t="shared" si="90"/>
        <v>0</v>
      </c>
      <c r="BD172" s="1040" t="str">
        <f t="shared" si="86"/>
        <v/>
      </c>
      <c r="BE172" s="227" t="s">
        <v>22</v>
      </c>
      <c r="BF172" s="1019">
        <f t="shared" si="87"/>
        <v>0</v>
      </c>
      <c r="BG172" s="1020">
        <f t="shared" si="88"/>
        <v>0</v>
      </c>
      <c r="BH172"/>
      <c r="BQ172"/>
      <c r="BR172"/>
      <c r="BS172"/>
      <c r="BT172"/>
      <c r="BU172"/>
      <c r="BV172"/>
      <c r="BW172" s="959" t="str">
        <f t="shared" si="69"/>
        <v>►</v>
      </c>
      <c r="BX172"/>
      <c r="BY172"/>
      <c r="BZ172"/>
      <c r="CA172"/>
      <c r="CB172"/>
      <c r="CC172" s="856"/>
      <c r="CD172"/>
      <c r="CE172"/>
      <c r="CF172"/>
      <c r="CG172"/>
      <c r="CH172"/>
      <c r="CI172"/>
      <c r="CJ172"/>
      <c r="CL172"/>
      <c r="CM172"/>
      <c r="CN172"/>
      <c r="CO172"/>
      <c r="CP172"/>
      <c r="CQ172"/>
      <c r="CR172"/>
      <c r="CT172"/>
      <c r="CU172"/>
      <c r="CV172"/>
      <c r="CW172"/>
      <c r="CX172"/>
      <c r="CY172"/>
      <c r="CZ172"/>
      <c r="DB172" s="3">
        <v>1</v>
      </c>
    </row>
    <row r="173" spans="1:106" s="709" customFormat="1" ht="21" customHeight="1">
      <c r="A173" s="936" t="s">
        <v>22</v>
      </c>
      <c r="B173" s="952" t="str">
        <f t="shared" si="68"/>
        <v>►</v>
      </c>
      <c r="C173" s="993" cm="1">
        <f t="array" ref="C173">SUMPRODUCT(LEN(D173:J173))</f>
        <v>0</v>
      </c>
      <c r="D173" s="167"/>
      <c r="E173" s="172"/>
      <c r="F173" s="172"/>
      <c r="G173" s="172"/>
      <c r="H173" s="172"/>
      <c r="I173" s="172"/>
      <c r="J173" s="173"/>
      <c r="K173" s="442" t="s">
        <v>22</v>
      </c>
      <c r="L173" s="104" t="s">
        <v>16</v>
      </c>
      <c r="M173" s="1172"/>
      <c r="N173" s="1172"/>
      <c r="O173" s="1172"/>
      <c r="P173" s="1173"/>
      <c r="Q173" s="1174"/>
      <c r="R173" s="1175"/>
      <c r="S173" s="1176"/>
      <c r="T173" s="1177"/>
      <c r="U173" s="5248"/>
      <c r="V173" s="1177"/>
      <c r="W173" s="5249"/>
      <c r="X173" s="5208"/>
      <c r="Y173" s="5209"/>
      <c r="Z173" s="5210"/>
      <c r="AA173" s="5211"/>
      <c r="AB173" s="1178"/>
      <c r="AC173" s="1179"/>
      <c r="AD173" s="227" t="s">
        <v>22</v>
      </c>
      <c r="AE173" s="1027" t="str">
        <f t="shared" si="70"/>
        <v>►</v>
      </c>
      <c r="AF173" s="1028" t="str">
        <f t="shared" si="71"/>
        <v/>
      </c>
      <c r="AG173" s="1029" t="str">
        <f t="shared" si="72"/>
        <v/>
      </c>
      <c r="AH173" s="1028" t="str">
        <f t="shared" si="73"/>
        <v/>
      </c>
      <c r="AI173" s="1029" t="str">
        <f t="shared" si="74"/>
        <v/>
      </c>
      <c r="AJ173" s="1029">
        <f t="shared" si="75"/>
        <v>0</v>
      </c>
      <c r="AK173" s="1043" t="str" cm="1">
        <f t="array" ref="AK173">IF(AE173&lt;&gt;"A","",IFERROR((IFERROR(_xlfn.XLOOKUP(TRIM(SUBSTITUTE(U173,CHAR(160)," ")),$BI$15:$BI$62,$BL$15:$BL$62),IFERROR(_xlfn.XLOOKUP(TRIM(SUBSTITUTE(U173,CHAR(160)," ")),$BJ$15:$BJ$62,$BL$15:$BL$62),_xlfn.XLOOKUP(TRIM(SUBSTITUTE(U173,CHAR(160)," ")),$BK$15:$BK$62,$BL$15:$BL$62))))*T173*IF(ISBLANK(Q173),1,Q173)+IFERROR(_xlfn.XLOOKUP("RECHERCHEX",TRIM(L173:AC173),L173:AC173),0),0))</f>
        <v/>
      </c>
      <c r="AL173" s="1030">
        <f t="shared" si="76"/>
        <v>0</v>
      </c>
      <c r="AM173" s="5254" t="str">
        <f t="shared" si="91"/>
        <v/>
      </c>
      <c r="AN173" s="1031">
        <f t="shared" si="77"/>
        <v>0</v>
      </c>
      <c r="AO173" s="1031">
        <f t="shared" si="78"/>
        <v>0</v>
      </c>
      <c r="AP173" s="1044">
        <f t="shared" si="79"/>
        <v>0</v>
      </c>
      <c r="AQ173" s="5257" t="str">
        <f t="shared" si="80"/>
        <v/>
      </c>
      <c r="AR173" s="1056"/>
      <c r="AS173" s="1056"/>
      <c r="AT173" s="1045">
        <f t="shared" si="81"/>
        <v>0</v>
      </c>
      <c r="AU173" s="1046">
        <f t="shared" si="82"/>
        <v>0</v>
      </c>
      <c r="AV173" s="1059" cm="1">
        <f t="array" ref="AV173">IF(AJ173&lt;&gt;1,0,IF(OR(AT173="",N(AT173)&lt;=0.000000001),"",IF(OR(AN173="",N(AN173)&lt;=0.000000001),0,IF(ISNUMBER(AT173),IFERROR(_xlfn.LET(_xlpm.ai_test,TRIM(AI173),_xlpm.r,IFERROR(_xlfn.XLOOKUP(_xlpm.ai_test,$BI$15:$BI$62,ROW($BI$15:$BI$62),0,1),IFERROR(_xlfn.XLOOKUP(_xlpm.ai_test,$BJ$15:$BJ$62,ROW($BJ$15:$BJ$62),0,1),_xlfn.XLOOKUP(_xlpm.ai_test,$BK$15:$BK$62,ROW($BK$15:$BK$62),0,1))),_xlpm.p,_xlpm.r-MIN(ROW($BI$15:$BI$62))+1,_xlpm.f,INDEX($BL$15:$BL$62,_xlpm.p),_xlpm.u,INDEX($BM$15:$BM$62,_xlpm.p),_xlpm.s,INDEX($BO$15:$BO$62,_xlpm.p),_xlpm.q,N(AT173)/_xlpm.f,IF(_xlpm.q&gt;=_xlpm.s,ROUND(_xlpm.q,1)&amp;" "&amp;_xlpm.ai_test&amp;" = "&amp;ROUND(_xlpm.q*_xlpm.f,1)&amp;" "&amp;_xlpm.u,ROUND(_xlpm.q,1)&amp;" "&amp;_xlpm.ai_test)),""),""))))</f>
        <v>0</v>
      </c>
      <c r="AW173" s="1047"/>
      <c r="AX173" s="1045">
        <f t="shared" si="83"/>
        <v>0</v>
      </c>
      <c r="AY173" s="1046" t="str">
        <f t="shared" si="84"/>
        <v/>
      </c>
      <c r="AZ173" s="1048">
        <f t="shared" si="89"/>
        <v>0</v>
      </c>
      <c r="BA173" s="1049" t="str">
        <f t="shared" si="85"/>
        <v/>
      </c>
      <c r="BB173" s="1038"/>
      <c r="BC173" s="1050">
        <f t="shared" si="90"/>
        <v>0</v>
      </c>
      <c r="BD173" s="1040" t="str">
        <f t="shared" si="86"/>
        <v/>
      </c>
      <c r="BE173" s="227" t="s">
        <v>22</v>
      </c>
      <c r="BF173" s="1019">
        <f t="shared" si="87"/>
        <v>0</v>
      </c>
      <c r="BG173" s="1020">
        <f t="shared" si="88"/>
        <v>0</v>
      </c>
      <c r="BH173"/>
      <c r="BQ173"/>
      <c r="BR173"/>
      <c r="BS173"/>
      <c r="BT173"/>
      <c r="BU173"/>
      <c r="BV173"/>
      <c r="BW173" s="959" t="str">
        <f t="shared" si="69"/>
        <v>►</v>
      </c>
      <c r="BX173"/>
      <c r="BY173"/>
      <c r="BZ173"/>
      <c r="CA173"/>
      <c r="CB173"/>
      <c r="CC173" s="856"/>
      <c r="CD173"/>
      <c r="CE173"/>
      <c r="CF173"/>
      <c r="CG173"/>
      <c r="CH173"/>
      <c r="CI173"/>
      <c r="CJ173"/>
      <c r="CL173"/>
      <c r="CM173"/>
      <c r="CN173"/>
      <c r="CO173"/>
      <c r="CP173"/>
      <c r="CQ173"/>
      <c r="CR173"/>
      <c r="CT173"/>
      <c r="CU173"/>
      <c r="CV173"/>
      <c r="CW173"/>
      <c r="CX173"/>
      <c r="CY173"/>
      <c r="CZ173"/>
      <c r="DB173" s="3">
        <v>1</v>
      </c>
    </row>
    <row r="174" spans="1:106" s="709" customFormat="1" ht="21" customHeight="1">
      <c r="A174" s="936" t="s">
        <v>22</v>
      </c>
      <c r="B174" s="952" t="str">
        <f t="shared" si="68"/>
        <v>►</v>
      </c>
      <c r="C174" s="993" cm="1">
        <f t="array" ref="C174">SUMPRODUCT(LEN(D174:J174))</f>
        <v>0</v>
      </c>
      <c r="D174" s="167"/>
      <c r="E174" s="172"/>
      <c r="F174" s="172"/>
      <c r="G174" s="172"/>
      <c r="H174" s="172"/>
      <c r="I174" s="172"/>
      <c r="J174" s="173"/>
      <c r="K174" s="442" t="s">
        <v>22</v>
      </c>
      <c r="L174" s="104" t="s">
        <v>16</v>
      </c>
      <c r="M174" s="1172"/>
      <c r="N174" s="1172"/>
      <c r="O174" s="1172"/>
      <c r="P174" s="1173"/>
      <c r="Q174" s="1174"/>
      <c r="R174" s="1175"/>
      <c r="S174" s="1176"/>
      <c r="T174" s="1177"/>
      <c r="U174" s="5248"/>
      <c r="V174" s="1177"/>
      <c r="W174" s="5249"/>
      <c r="X174" s="5208"/>
      <c r="Y174" s="5209"/>
      <c r="Z174" s="5210"/>
      <c r="AA174" s="5211"/>
      <c r="AB174" s="1178"/>
      <c r="AC174" s="1179"/>
      <c r="AD174" s="227" t="s">
        <v>22</v>
      </c>
      <c r="AE174" s="1027" t="str">
        <f t="shared" si="70"/>
        <v>►</v>
      </c>
      <c r="AF174" s="1028" t="str">
        <f t="shared" si="71"/>
        <v/>
      </c>
      <c r="AG174" s="1029" t="str">
        <f t="shared" si="72"/>
        <v/>
      </c>
      <c r="AH174" s="1028" t="str">
        <f t="shared" si="73"/>
        <v/>
      </c>
      <c r="AI174" s="1029" t="str">
        <f t="shared" si="74"/>
        <v/>
      </c>
      <c r="AJ174" s="1029">
        <f t="shared" si="75"/>
        <v>0</v>
      </c>
      <c r="AK174" s="1043" t="str" cm="1">
        <f t="array" ref="AK174">IF(AE174&lt;&gt;"A","",IFERROR((IFERROR(_xlfn.XLOOKUP(TRIM(SUBSTITUTE(U174,CHAR(160)," ")),$BI$15:$BI$62,$BL$15:$BL$62),IFERROR(_xlfn.XLOOKUP(TRIM(SUBSTITUTE(U174,CHAR(160)," ")),$BJ$15:$BJ$62,$BL$15:$BL$62),_xlfn.XLOOKUP(TRIM(SUBSTITUTE(U174,CHAR(160)," ")),$BK$15:$BK$62,$BL$15:$BL$62))))*T174*IF(ISBLANK(Q174),1,Q174)+IFERROR(_xlfn.XLOOKUP("RECHERCHEX",TRIM(L174:AC174),L174:AC174),0),0))</f>
        <v/>
      </c>
      <c r="AL174" s="1030">
        <f t="shared" si="76"/>
        <v>0</v>
      </c>
      <c r="AM174" s="5254" t="str">
        <f t="shared" si="91"/>
        <v/>
      </c>
      <c r="AN174" s="1031">
        <f t="shared" si="77"/>
        <v>0</v>
      </c>
      <c r="AO174" s="1031">
        <f t="shared" si="78"/>
        <v>0</v>
      </c>
      <c r="AP174" s="1032">
        <f t="shared" si="79"/>
        <v>0</v>
      </c>
      <c r="AQ174" s="5255" t="str">
        <f t="shared" si="80"/>
        <v/>
      </c>
      <c r="AR174" s="1056"/>
      <c r="AS174" s="1056"/>
      <c r="AT174" s="1034">
        <f t="shared" si="81"/>
        <v>0</v>
      </c>
      <c r="AU174" s="1035">
        <f t="shared" si="82"/>
        <v>0</v>
      </c>
      <c r="AV174" s="1057" cm="1">
        <f t="array" ref="AV174">IF(AJ174&lt;&gt;1,0,IF(OR(AT174="",N(AT174)&lt;=0.000000001),"",IF(OR(AN174="",N(AN174)&lt;=0.000000001),0,IF(ISNUMBER(AT174),IFERROR(_xlfn.LET(_xlpm.ai_test,TRIM(AI174),_xlpm.r,IFERROR(_xlfn.XLOOKUP(_xlpm.ai_test,$BI$15:$BI$62,ROW($BI$15:$BI$62),0,1),IFERROR(_xlfn.XLOOKUP(_xlpm.ai_test,$BJ$15:$BJ$62,ROW($BJ$15:$BJ$62),0,1),_xlfn.XLOOKUP(_xlpm.ai_test,$BK$15:$BK$62,ROW($BK$15:$BK$62),0,1))),_xlpm.p,_xlpm.r-MIN(ROW($BI$15:$BI$62))+1,_xlpm.f,INDEX($BL$15:$BL$62,_xlpm.p),_xlpm.u,INDEX($BM$15:$BM$62,_xlpm.p),_xlpm.s,INDEX($BO$15:$BO$62,_xlpm.p),_xlpm.q,N(AT174)/_xlpm.f,IF(_xlpm.q&gt;=_xlpm.s,ROUND(_xlpm.q,1)&amp;" "&amp;_xlpm.ai_test&amp;" = "&amp;ROUND(_xlpm.q*_xlpm.f,1)&amp;" "&amp;_xlpm.u,ROUND(_xlpm.q,1)&amp;" "&amp;_xlpm.ai_test)),""),""))))</f>
        <v>0</v>
      </c>
      <c r="AW174" s="1047"/>
      <c r="AX174" s="1034">
        <f t="shared" si="83"/>
        <v>0</v>
      </c>
      <c r="AY174" s="1035" t="str">
        <f t="shared" si="84"/>
        <v/>
      </c>
      <c r="AZ174" s="1036">
        <f t="shared" si="89"/>
        <v>0</v>
      </c>
      <c r="BA174" s="1037" t="str">
        <f t="shared" si="85"/>
        <v/>
      </c>
      <c r="BB174" s="1038"/>
      <c r="BC174" s="1039">
        <f t="shared" si="90"/>
        <v>0</v>
      </c>
      <c r="BD174" s="1040" t="str">
        <f t="shared" si="86"/>
        <v/>
      </c>
      <c r="BE174" s="227" t="s">
        <v>22</v>
      </c>
      <c r="BF174" s="1019">
        <f t="shared" si="87"/>
        <v>0</v>
      </c>
      <c r="BG174" s="1020">
        <f t="shared" si="88"/>
        <v>0</v>
      </c>
      <c r="BH174"/>
      <c r="BQ174"/>
      <c r="BR174"/>
      <c r="BS174"/>
      <c r="BT174"/>
      <c r="BU174"/>
      <c r="BV174"/>
      <c r="BW174" s="959" t="str">
        <f t="shared" si="69"/>
        <v>►</v>
      </c>
      <c r="BX174"/>
      <c r="BY174"/>
      <c r="BZ174"/>
      <c r="CA174"/>
      <c r="CB174"/>
      <c r="CC174" s="856"/>
      <c r="CD174"/>
      <c r="CE174"/>
      <c r="CF174"/>
      <c r="CG174"/>
      <c r="CH174"/>
      <c r="CI174"/>
      <c r="CJ174"/>
      <c r="CL174"/>
      <c r="CM174"/>
      <c r="CN174"/>
      <c r="CO174"/>
      <c r="CP174"/>
      <c r="CQ174"/>
      <c r="CR174"/>
      <c r="CT174"/>
      <c r="CU174"/>
      <c r="CV174"/>
      <c r="CW174"/>
      <c r="CX174"/>
      <c r="CY174"/>
      <c r="CZ174"/>
      <c r="DB174" s="3">
        <v>1</v>
      </c>
    </row>
    <row r="175" spans="1:106" s="709" customFormat="1" ht="21" customHeight="1">
      <c r="A175" s="936" t="s">
        <v>22</v>
      </c>
      <c r="B175" s="952" t="str">
        <f t="shared" si="68"/>
        <v>►</v>
      </c>
      <c r="C175" s="993" cm="1">
        <f t="array" ref="C175">SUMPRODUCT(LEN(D175:J175))</f>
        <v>0</v>
      </c>
      <c r="D175" s="167"/>
      <c r="E175" s="172"/>
      <c r="F175" s="172"/>
      <c r="G175" s="172"/>
      <c r="H175" s="172"/>
      <c r="I175" s="172"/>
      <c r="J175" s="173"/>
      <c r="K175" s="442" t="s">
        <v>22</v>
      </c>
      <c r="L175" s="104" t="s">
        <v>16</v>
      </c>
      <c r="M175" s="1172"/>
      <c r="N175" s="1172"/>
      <c r="O175" s="1172"/>
      <c r="P175" s="1173"/>
      <c r="Q175" s="1174"/>
      <c r="R175" s="1175"/>
      <c r="S175" s="1176"/>
      <c r="T175" s="1177"/>
      <c r="U175" s="5248"/>
      <c r="V175" s="1177"/>
      <c r="W175" s="5249"/>
      <c r="X175" s="5208"/>
      <c r="Y175" s="5209"/>
      <c r="Z175" s="5210"/>
      <c r="AA175" s="5211"/>
      <c r="AB175" s="1178"/>
      <c r="AC175" s="1179"/>
      <c r="AD175" s="227" t="s">
        <v>22</v>
      </c>
      <c r="AE175" s="1027" t="str">
        <f t="shared" si="70"/>
        <v>►</v>
      </c>
      <c r="AF175" s="1028" t="str">
        <f t="shared" si="71"/>
        <v/>
      </c>
      <c r="AG175" s="1029" t="str">
        <f t="shared" si="72"/>
        <v/>
      </c>
      <c r="AH175" s="1028" t="str">
        <f t="shared" si="73"/>
        <v/>
      </c>
      <c r="AI175" s="1029" t="str">
        <f t="shared" si="74"/>
        <v/>
      </c>
      <c r="AJ175" s="1029">
        <f t="shared" si="75"/>
        <v>0</v>
      </c>
      <c r="AK175" s="1043" t="str" cm="1">
        <f t="array" ref="AK175">IF(AE175&lt;&gt;"A","",IFERROR((IFERROR(_xlfn.XLOOKUP(TRIM(SUBSTITUTE(U175,CHAR(160)," ")),$BI$15:$BI$62,$BL$15:$BL$62),IFERROR(_xlfn.XLOOKUP(TRIM(SUBSTITUTE(U175,CHAR(160)," ")),$BJ$15:$BJ$62,$BL$15:$BL$62),_xlfn.XLOOKUP(TRIM(SUBSTITUTE(U175,CHAR(160)," ")),$BK$15:$BK$62,$BL$15:$BL$62))))*T175*IF(ISBLANK(Q175),1,Q175)+IFERROR(_xlfn.XLOOKUP("RECHERCHEX",TRIM(L175:AC175),L175:AC175),0),0))</f>
        <v/>
      </c>
      <c r="AL175" s="1030">
        <f t="shared" si="76"/>
        <v>0</v>
      </c>
      <c r="AM175" s="5254" t="str">
        <f t="shared" si="91"/>
        <v/>
      </c>
      <c r="AN175" s="1031">
        <f t="shared" si="77"/>
        <v>0</v>
      </c>
      <c r="AO175" s="1031">
        <f t="shared" si="78"/>
        <v>0</v>
      </c>
      <c r="AP175" s="1044">
        <f t="shared" si="79"/>
        <v>0</v>
      </c>
      <c r="AQ175" s="5257" t="str">
        <f t="shared" si="80"/>
        <v/>
      </c>
      <c r="AR175" s="1056"/>
      <c r="AS175" s="1056"/>
      <c r="AT175" s="1045">
        <f t="shared" si="81"/>
        <v>0</v>
      </c>
      <c r="AU175" s="1046">
        <f t="shared" si="82"/>
        <v>0</v>
      </c>
      <c r="AV175" s="1059" cm="1">
        <f t="array" ref="AV175">IF(AJ175&lt;&gt;1,0,IF(OR(AT175="",N(AT175)&lt;=0.000000001),"",IF(OR(AN175="",N(AN175)&lt;=0.000000001),0,IF(ISNUMBER(AT175),IFERROR(_xlfn.LET(_xlpm.ai_test,TRIM(AI175),_xlpm.r,IFERROR(_xlfn.XLOOKUP(_xlpm.ai_test,$BI$15:$BI$62,ROW($BI$15:$BI$62),0,1),IFERROR(_xlfn.XLOOKUP(_xlpm.ai_test,$BJ$15:$BJ$62,ROW($BJ$15:$BJ$62),0,1),_xlfn.XLOOKUP(_xlpm.ai_test,$BK$15:$BK$62,ROW($BK$15:$BK$62),0,1))),_xlpm.p,_xlpm.r-MIN(ROW($BI$15:$BI$62))+1,_xlpm.f,INDEX($BL$15:$BL$62,_xlpm.p),_xlpm.u,INDEX($BM$15:$BM$62,_xlpm.p),_xlpm.s,INDEX($BO$15:$BO$62,_xlpm.p),_xlpm.q,N(AT175)/_xlpm.f,IF(_xlpm.q&gt;=_xlpm.s,ROUND(_xlpm.q,1)&amp;" "&amp;_xlpm.ai_test&amp;" = "&amp;ROUND(_xlpm.q*_xlpm.f,1)&amp;" "&amp;_xlpm.u,ROUND(_xlpm.q,1)&amp;" "&amp;_xlpm.ai_test)),""),""))))</f>
        <v>0</v>
      </c>
      <c r="AW175" s="1047"/>
      <c r="AX175" s="1045">
        <f t="shared" si="83"/>
        <v>0</v>
      </c>
      <c r="AY175" s="1046" t="str">
        <f t="shared" si="84"/>
        <v/>
      </c>
      <c r="AZ175" s="1048">
        <f t="shared" si="89"/>
        <v>0</v>
      </c>
      <c r="BA175" s="1049" t="str">
        <f t="shared" si="85"/>
        <v/>
      </c>
      <c r="BB175" s="1038"/>
      <c r="BC175" s="1050">
        <f t="shared" si="90"/>
        <v>0</v>
      </c>
      <c r="BD175" s="1040" t="str">
        <f t="shared" si="86"/>
        <v/>
      </c>
      <c r="BE175" s="227" t="s">
        <v>22</v>
      </c>
      <c r="BF175" s="1019">
        <f t="shared" si="87"/>
        <v>0</v>
      </c>
      <c r="BG175" s="1020">
        <f t="shared" si="88"/>
        <v>0</v>
      </c>
      <c r="BH175"/>
      <c r="BQ175"/>
      <c r="BR175"/>
      <c r="BS175"/>
      <c r="BT175"/>
      <c r="BU175"/>
      <c r="BV175"/>
      <c r="BW175" s="959" t="str">
        <f t="shared" si="69"/>
        <v>►</v>
      </c>
      <c r="BX175"/>
      <c r="BY175"/>
      <c r="BZ175"/>
      <c r="CA175"/>
      <c r="CB175"/>
      <c r="CC175" s="856"/>
      <c r="CD175"/>
      <c r="CE175"/>
      <c r="CF175"/>
      <c r="CG175"/>
      <c r="CH175"/>
      <c r="CI175"/>
      <c r="CJ175"/>
      <c r="CL175"/>
      <c r="CM175"/>
      <c r="CN175"/>
      <c r="CO175"/>
      <c r="CP175"/>
      <c r="CQ175"/>
      <c r="CR175"/>
      <c r="CT175"/>
      <c r="CU175"/>
      <c r="CV175"/>
      <c r="CW175"/>
      <c r="CX175"/>
      <c r="CY175"/>
      <c r="CZ175"/>
      <c r="DB175" s="3">
        <v>1</v>
      </c>
    </row>
    <row r="176" spans="1:106" s="709" customFormat="1" ht="21" customHeight="1">
      <c r="A176" s="936" t="s">
        <v>22</v>
      </c>
      <c r="B176" s="952" t="str">
        <f t="shared" si="68"/>
        <v>►</v>
      </c>
      <c r="C176" s="993" cm="1">
        <f t="array" ref="C176">SUMPRODUCT(LEN(D176:J176))</f>
        <v>0</v>
      </c>
      <c r="D176" s="167"/>
      <c r="E176" s="172"/>
      <c r="F176" s="172"/>
      <c r="G176" s="172"/>
      <c r="H176" s="172"/>
      <c r="I176" s="172"/>
      <c r="J176" s="173"/>
      <c r="K176" s="442" t="s">
        <v>22</v>
      </c>
      <c r="L176" s="104" t="s">
        <v>16</v>
      </c>
      <c r="M176" s="1172"/>
      <c r="N176" s="1172"/>
      <c r="O176" s="1172"/>
      <c r="P176" s="1173"/>
      <c r="Q176" s="1174"/>
      <c r="R176" s="1175"/>
      <c r="S176" s="1176"/>
      <c r="T176" s="1177"/>
      <c r="U176" s="5248"/>
      <c r="V176" s="1177"/>
      <c r="W176" s="5249"/>
      <c r="X176" s="5208"/>
      <c r="Y176" s="5209"/>
      <c r="Z176" s="5210"/>
      <c r="AA176" s="5211"/>
      <c r="AB176" s="1178"/>
      <c r="AC176" s="1179"/>
      <c r="AD176" s="227" t="s">
        <v>22</v>
      </c>
      <c r="AE176" s="1027" t="str">
        <f t="shared" si="70"/>
        <v>►</v>
      </c>
      <c r="AF176" s="1028" t="str">
        <f t="shared" si="71"/>
        <v/>
      </c>
      <c r="AG176" s="1029" t="str">
        <f t="shared" si="72"/>
        <v/>
      </c>
      <c r="AH176" s="1028" t="str">
        <f t="shared" si="73"/>
        <v/>
      </c>
      <c r="AI176" s="1029" t="str">
        <f t="shared" si="74"/>
        <v/>
      </c>
      <c r="AJ176" s="1029">
        <f t="shared" si="75"/>
        <v>0</v>
      </c>
      <c r="AK176" s="1043" t="str" cm="1">
        <f t="array" ref="AK176">IF(AE176&lt;&gt;"A","",IFERROR((IFERROR(_xlfn.XLOOKUP(TRIM(SUBSTITUTE(U176,CHAR(160)," ")),$BI$15:$BI$62,$BL$15:$BL$62),IFERROR(_xlfn.XLOOKUP(TRIM(SUBSTITUTE(U176,CHAR(160)," ")),$BJ$15:$BJ$62,$BL$15:$BL$62),_xlfn.XLOOKUP(TRIM(SUBSTITUTE(U176,CHAR(160)," ")),$BK$15:$BK$62,$BL$15:$BL$62))))*T176*IF(ISBLANK(Q176),1,Q176)+IFERROR(_xlfn.XLOOKUP("RECHERCHEX",TRIM(L176:AC176),L176:AC176),0),0))</f>
        <v/>
      </c>
      <c r="AL176" s="1030">
        <f t="shared" si="76"/>
        <v>0</v>
      </c>
      <c r="AM176" s="5254" t="str">
        <f t="shared" si="91"/>
        <v/>
      </c>
      <c r="AN176" s="1031">
        <f t="shared" si="77"/>
        <v>0</v>
      </c>
      <c r="AO176" s="1031">
        <f t="shared" si="78"/>
        <v>0</v>
      </c>
      <c r="AP176" s="1032">
        <f t="shared" si="79"/>
        <v>0</v>
      </c>
      <c r="AQ176" s="5255" t="str">
        <f t="shared" si="80"/>
        <v/>
      </c>
      <c r="AR176" s="1056"/>
      <c r="AS176" s="1056"/>
      <c r="AT176" s="1034">
        <f t="shared" si="81"/>
        <v>0</v>
      </c>
      <c r="AU176" s="1035">
        <f t="shared" si="82"/>
        <v>0</v>
      </c>
      <c r="AV176" s="1057" cm="1">
        <f t="array" ref="AV176">IF(AJ176&lt;&gt;1,0,IF(OR(AT176="",N(AT176)&lt;=0.000000001),"",IF(OR(AN176="",N(AN176)&lt;=0.000000001),0,IF(ISNUMBER(AT176),IFERROR(_xlfn.LET(_xlpm.ai_test,TRIM(AI176),_xlpm.r,IFERROR(_xlfn.XLOOKUP(_xlpm.ai_test,$BI$15:$BI$62,ROW($BI$15:$BI$62),0,1),IFERROR(_xlfn.XLOOKUP(_xlpm.ai_test,$BJ$15:$BJ$62,ROW($BJ$15:$BJ$62),0,1),_xlfn.XLOOKUP(_xlpm.ai_test,$BK$15:$BK$62,ROW($BK$15:$BK$62),0,1))),_xlpm.p,_xlpm.r-MIN(ROW($BI$15:$BI$62))+1,_xlpm.f,INDEX($BL$15:$BL$62,_xlpm.p),_xlpm.u,INDEX($BM$15:$BM$62,_xlpm.p),_xlpm.s,INDEX($BO$15:$BO$62,_xlpm.p),_xlpm.q,N(AT176)/_xlpm.f,IF(_xlpm.q&gt;=_xlpm.s,ROUND(_xlpm.q,1)&amp;" "&amp;_xlpm.ai_test&amp;" = "&amp;ROUND(_xlpm.q*_xlpm.f,1)&amp;" "&amp;_xlpm.u,ROUND(_xlpm.q,1)&amp;" "&amp;_xlpm.ai_test)),""),""))))</f>
        <v>0</v>
      </c>
      <c r="AW176" s="1047"/>
      <c r="AX176" s="1034">
        <f t="shared" si="83"/>
        <v>0</v>
      </c>
      <c r="AY176" s="1035" t="str">
        <f t="shared" si="84"/>
        <v/>
      </c>
      <c r="AZ176" s="1036">
        <f t="shared" si="89"/>
        <v>0</v>
      </c>
      <c r="BA176" s="1037" t="str">
        <f t="shared" si="85"/>
        <v/>
      </c>
      <c r="BB176" s="1038"/>
      <c r="BC176" s="1039">
        <f t="shared" si="90"/>
        <v>0</v>
      </c>
      <c r="BD176" s="1040" t="str">
        <f t="shared" si="86"/>
        <v/>
      </c>
      <c r="BE176" s="227" t="s">
        <v>22</v>
      </c>
      <c r="BF176" s="1019">
        <f t="shared" si="87"/>
        <v>0</v>
      </c>
      <c r="BG176" s="1020">
        <f t="shared" si="88"/>
        <v>0</v>
      </c>
      <c r="BH176"/>
      <c r="BQ176"/>
      <c r="BR176"/>
      <c r="BS176"/>
      <c r="BT176"/>
      <c r="BU176"/>
      <c r="BV176"/>
      <c r="BW176" s="959" t="str">
        <f t="shared" si="69"/>
        <v>►</v>
      </c>
      <c r="BX176"/>
      <c r="BY176"/>
      <c r="BZ176"/>
      <c r="CA176"/>
      <c r="CB176"/>
      <c r="CC176" s="856"/>
      <c r="CD176"/>
      <c r="CE176"/>
      <c r="CF176"/>
      <c r="CG176"/>
      <c r="CH176"/>
      <c r="CI176"/>
      <c r="CJ176"/>
      <c r="CL176"/>
      <c r="CM176"/>
      <c r="CN176"/>
      <c r="CO176"/>
      <c r="CP176"/>
      <c r="CQ176"/>
      <c r="CR176"/>
      <c r="CT176"/>
      <c r="CU176"/>
      <c r="CV176"/>
      <c r="CW176"/>
      <c r="CX176"/>
      <c r="CY176"/>
      <c r="CZ176"/>
      <c r="DB176" s="3">
        <v>1</v>
      </c>
    </row>
    <row r="177" spans="1:106" s="709" customFormat="1" ht="21" customHeight="1">
      <c r="A177" s="936" t="s">
        <v>22</v>
      </c>
      <c r="B177" s="952" t="str">
        <f t="shared" si="68"/>
        <v>►</v>
      </c>
      <c r="C177" s="993" cm="1">
        <f t="array" ref="C177">SUMPRODUCT(LEN(D177:J177))</f>
        <v>0</v>
      </c>
      <c r="D177" s="167"/>
      <c r="E177" s="172"/>
      <c r="F177" s="172"/>
      <c r="G177" s="172"/>
      <c r="H177" s="172"/>
      <c r="I177" s="172"/>
      <c r="J177" s="173"/>
      <c r="K177" s="442" t="s">
        <v>22</v>
      </c>
      <c r="L177" s="104" t="s">
        <v>16</v>
      </c>
      <c r="M177" s="1172"/>
      <c r="N177" s="1172"/>
      <c r="O177" s="1172"/>
      <c r="P177" s="1173"/>
      <c r="Q177" s="1174"/>
      <c r="R177" s="1175"/>
      <c r="S177" s="1176"/>
      <c r="T177" s="1177"/>
      <c r="U177" s="5248"/>
      <c r="V177" s="1177"/>
      <c r="W177" s="5249"/>
      <c r="X177" s="5208"/>
      <c r="Y177" s="5209"/>
      <c r="Z177" s="5210"/>
      <c r="AA177" s="5211"/>
      <c r="AB177" s="1178"/>
      <c r="AC177" s="1179"/>
      <c r="AD177" s="227" t="s">
        <v>22</v>
      </c>
      <c r="AE177" s="1027" t="str">
        <f t="shared" si="70"/>
        <v>►</v>
      </c>
      <c r="AF177" s="1028" t="str">
        <f t="shared" si="71"/>
        <v/>
      </c>
      <c r="AG177" s="1029" t="str">
        <f t="shared" si="72"/>
        <v/>
      </c>
      <c r="AH177" s="1028" t="str">
        <f t="shared" si="73"/>
        <v/>
      </c>
      <c r="AI177" s="1029" t="str">
        <f t="shared" si="74"/>
        <v/>
      </c>
      <c r="AJ177" s="1029">
        <f t="shared" si="75"/>
        <v>0</v>
      </c>
      <c r="AK177" s="1043" t="str" cm="1">
        <f t="array" ref="AK177">IF(AE177&lt;&gt;"A","",IFERROR((IFERROR(_xlfn.XLOOKUP(TRIM(SUBSTITUTE(U177,CHAR(160)," ")),$BI$15:$BI$62,$BL$15:$BL$62),IFERROR(_xlfn.XLOOKUP(TRIM(SUBSTITUTE(U177,CHAR(160)," ")),$BJ$15:$BJ$62,$BL$15:$BL$62),_xlfn.XLOOKUP(TRIM(SUBSTITUTE(U177,CHAR(160)," ")),$BK$15:$BK$62,$BL$15:$BL$62))))*T177*IF(ISBLANK(Q177),1,Q177)+IFERROR(_xlfn.XLOOKUP("RECHERCHEX",TRIM(L177:AC177),L177:AC177),0),0))</f>
        <v/>
      </c>
      <c r="AL177" s="1030">
        <f t="shared" si="76"/>
        <v>0</v>
      </c>
      <c r="AM177" s="5254" t="str">
        <f t="shared" si="91"/>
        <v/>
      </c>
      <c r="AN177" s="1031">
        <f t="shared" si="77"/>
        <v>0</v>
      </c>
      <c r="AO177" s="1031">
        <f t="shared" si="78"/>
        <v>0</v>
      </c>
      <c r="AP177" s="1044">
        <f t="shared" si="79"/>
        <v>0</v>
      </c>
      <c r="AQ177" s="5257" t="str">
        <f t="shared" si="80"/>
        <v/>
      </c>
      <c r="AR177" s="1056"/>
      <c r="AS177" s="1056"/>
      <c r="AT177" s="1045">
        <f t="shared" si="81"/>
        <v>0</v>
      </c>
      <c r="AU177" s="1046">
        <f t="shared" si="82"/>
        <v>0</v>
      </c>
      <c r="AV177" s="1059" cm="1">
        <f t="array" ref="AV177">IF(AJ177&lt;&gt;1,0,IF(OR(AT177="",N(AT177)&lt;=0.000000001),"",IF(OR(AN177="",N(AN177)&lt;=0.000000001),0,IF(ISNUMBER(AT177),IFERROR(_xlfn.LET(_xlpm.ai_test,TRIM(AI177),_xlpm.r,IFERROR(_xlfn.XLOOKUP(_xlpm.ai_test,$BI$15:$BI$62,ROW($BI$15:$BI$62),0,1),IFERROR(_xlfn.XLOOKUP(_xlpm.ai_test,$BJ$15:$BJ$62,ROW($BJ$15:$BJ$62),0,1),_xlfn.XLOOKUP(_xlpm.ai_test,$BK$15:$BK$62,ROW($BK$15:$BK$62),0,1))),_xlpm.p,_xlpm.r-MIN(ROW($BI$15:$BI$62))+1,_xlpm.f,INDEX($BL$15:$BL$62,_xlpm.p),_xlpm.u,INDEX($BM$15:$BM$62,_xlpm.p),_xlpm.s,INDEX($BO$15:$BO$62,_xlpm.p),_xlpm.q,N(AT177)/_xlpm.f,IF(_xlpm.q&gt;=_xlpm.s,ROUND(_xlpm.q,1)&amp;" "&amp;_xlpm.ai_test&amp;" = "&amp;ROUND(_xlpm.q*_xlpm.f,1)&amp;" "&amp;_xlpm.u,ROUND(_xlpm.q,1)&amp;" "&amp;_xlpm.ai_test)),""),""))))</f>
        <v>0</v>
      </c>
      <c r="AW177" s="1047"/>
      <c r="AX177" s="1045">
        <f t="shared" si="83"/>
        <v>0</v>
      </c>
      <c r="AY177" s="1046" t="str">
        <f t="shared" si="84"/>
        <v/>
      </c>
      <c r="AZ177" s="1048">
        <f t="shared" si="89"/>
        <v>0</v>
      </c>
      <c r="BA177" s="1049" t="str">
        <f t="shared" si="85"/>
        <v/>
      </c>
      <c r="BB177" s="1038"/>
      <c r="BC177" s="1050">
        <f t="shared" si="90"/>
        <v>0</v>
      </c>
      <c r="BD177" s="1040" t="str">
        <f t="shared" si="86"/>
        <v/>
      </c>
      <c r="BE177" s="227" t="s">
        <v>22</v>
      </c>
      <c r="BF177" s="1019">
        <f t="shared" si="87"/>
        <v>0</v>
      </c>
      <c r="BG177" s="1020">
        <f t="shared" si="88"/>
        <v>0</v>
      </c>
      <c r="BH177"/>
      <c r="BQ177"/>
      <c r="BR177"/>
      <c r="BS177"/>
      <c r="BT177"/>
      <c r="BU177"/>
      <c r="BV177"/>
      <c r="BW177" s="959" t="str">
        <f t="shared" si="69"/>
        <v>►</v>
      </c>
      <c r="BX177"/>
      <c r="BY177"/>
      <c r="BZ177"/>
      <c r="CA177"/>
      <c r="CB177"/>
      <c r="CC177" s="856"/>
      <c r="CD177"/>
      <c r="CE177"/>
      <c r="CF177"/>
      <c r="CG177"/>
      <c r="CH177"/>
      <c r="CI177"/>
      <c r="CJ177"/>
      <c r="CL177"/>
      <c r="CM177"/>
      <c r="CN177"/>
      <c r="CO177"/>
      <c r="CP177"/>
      <c r="CQ177"/>
      <c r="CR177"/>
      <c r="CT177"/>
      <c r="CU177"/>
      <c r="CV177"/>
      <c r="CW177"/>
      <c r="CX177"/>
      <c r="CY177"/>
      <c r="CZ177"/>
      <c r="DB177" s="3">
        <v>1</v>
      </c>
    </row>
    <row r="178" spans="1:106" s="709" customFormat="1" ht="21" customHeight="1">
      <c r="A178" s="936" t="s">
        <v>22</v>
      </c>
      <c r="B178" s="952" t="str">
        <f t="shared" si="68"/>
        <v>►</v>
      </c>
      <c r="C178" s="993" cm="1">
        <f t="array" ref="C178">SUMPRODUCT(LEN(D178:J178))</f>
        <v>0</v>
      </c>
      <c r="D178" s="167"/>
      <c r="E178" s="172"/>
      <c r="F178" s="172"/>
      <c r="G178" s="172"/>
      <c r="H178" s="172"/>
      <c r="I178" s="172"/>
      <c r="J178" s="173"/>
      <c r="K178" s="442" t="s">
        <v>22</v>
      </c>
      <c r="L178" s="104" t="s">
        <v>16</v>
      </c>
      <c r="M178" s="1172"/>
      <c r="N178" s="1172"/>
      <c r="O178" s="1172"/>
      <c r="P178" s="1173"/>
      <c r="Q178" s="1174"/>
      <c r="R178" s="1175"/>
      <c r="S178" s="1176"/>
      <c r="T178" s="1177"/>
      <c r="U178" s="5248"/>
      <c r="V178" s="1177"/>
      <c r="W178" s="5249"/>
      <c r="X178" s="5208"/>
      <c r="Y178" s="5209"/>
      <c r="Z178" s="5210"/>
      <c r="AA178" s="5211"/>
      <c r="AB178" s="1178"/>
      <c r="AC178" s="1179"/>
      <c r="AD178" s="227" t="s">
        <v>22</v>
      </c>
      <c r="AE178" s="1027" t="str">
        <f t="shared" si="70"/>
        <v>►</v>
      </c>
      <c r="AF178" s="1028" t="str">
        <f t="shared" si="71"/>
        <v/>
      </c>
      <c r="AG178" s="1029" t="str">
        <f t="shared" si="72"/>
        <v/>
      </c>
      <c r="AH178" s="1028" t="str">
        <f t="shared" si="73"/>
        <v/>
      </c>
      <c r="AI178" s="1029" t="str">
        <f t="shared" si="74"/>
        <v/>
      </c>
      <c r="AJ178" s="1029">
        <f t="shared" si="75"/>
        <v>0</v>
      </c>
      <c r="AK178" s="1043" t="str" cm="1">
        <f t="array" ref="AK178">IF(AE178&lt;&gt;"A","",IFERROR((IFERROR(_xlfn.XLOOKUP(TRIM(SUBSTITUTE(U178,CHAR(160)," ")),$BI$15:$BI$62,$BL$15:$BL$62),IFERROR(_xlfn.XLOOKUP(TRIM(SUBSTITUTE(U178,CHAR(160)," ")),$BJ$15:$BJ$62,$BL$15:$BL$62),_xlfn.XLOOKUP(TRIM(SUBSTITUTE(U178,CHAR(160)," ")),$BK$15:$BK$62,$BL$15:$BL$62))))*T178*IF(ISBLANK(Q178),1,Q178)+IFERROR(_xlfn.XLOOKUP("RECHERCHEX",TRIM(L178:AC178),L178:AC178),0),0))</f>
        <v/>
      </c>
      <c r="AL178" s="1030">
        <f t="shared" si="76"/>
        <v>0</v>
      </c>
      <c r="AM178" s="5254" t="str">
        <f t="shared" si="91"/>
        <v/>
      </c>
      <c r="AN178" s="1031">
        <f t="shared" si="77"/>
        <v>0</v>
      </c>
      <c r="AO178" s="1031">
        <f t="shared" si="78"/>
        <v>0</v>
      </c>
      <c r="AP178" s="1032">
        <f t="shared" si="79"/>
        <v>0</v>
      </c>
      <c r="AQ178" s="5255" t="str">
        <f t="shared" si="80"/>
        <v/>
      </c>
      <c r="AR178" s="1056"/>
      <c r="AS178" s="1056"/>
      <c r="AT178" s="1034">
        <f t="shared" si="81"/>
        <v>0</v>
      </c>
      <c r="AU178" s="1035">
        <f t="shared" si="82"/>
        <v>0</v>
      </c>
      <c r="AV178" s="1057" cm="1">
        <f t="array" ref="AV178">IF(AJ178&lt;&gt;1,0,IF(OR(AT178="",N(AT178)&lt;=0.000000001),"",IF(OR(AN178="",N(AN178)&lt;=0.000000001),0,IF(ISNUMBER(AT178),IFERROR(_xlfn.LET(_xlpm.ai_test,TRIM(AI178),_xlpm.r,IFERROR(_xlfn.XLOOKUP(_xlpm.ai_test,$BI$15:$BI$62,ROW($BI$15:$BI$62),0,1),IFERROR(_xlfn.XLOOKUP(_xlpm.ai_test,$BJ$15:$BJ$62,ROW($BJ$15:$BJ$62),0,1),_xlfn.XLOOKUP(_xlpm.ai_test,$BK$15:$BK$62,ROW($BK$15:$BK$62),0,1))),_xlpm.p,_xlpm.r-MIN(ROW($BI$15:$BI$62))+1,_xlpm.f,INDEX($BL$15:$BL$62,_xlpm.p),_xlpm.u,INDEX($BM$15:$BM$62,_xlpm.p),_xlpm.s,INDEX($BO$15:$BO$62,_xlpm.p),_xlpm.q,N(AT178)/_xlpm.f,IF(_xlpm.q&gt;=_xlpm.s,ROUND(_xlpm.q,1)&amp;" "&amp;_xlpm.ai_test&amp;" = "&amp;ROUND(_xlpm.q*_xlpm.f,1)&amp;" "&amp;_xlpm.u,ROUND(_xlpm.q,1)&amp;" "&amp;_xlpm.ai_test)),""),""))))</f>
        <v>0</v>
      </c>
      <c r="AW178" s="1047"/>
      <c r="AX178" s="1034">
        <f t="shared" si="83"/>
        <v>0</v>
      </c>
      <c r="AY178" s="1035" t="str">
        <f t="shared" si="84"/>
        <v/>
      </c>
      <c r="AZ178" s="1036">
        <f t="shared" si="89"/>
        <v>0</v>
      </c>
      <c r="BA178" s="1037" t="str">
        <f t="shared" si="85"/>
        <v/>
      </c>
      <c r="BB178" s="1038"/>
      <c r="BC178" s="1039">
        <f t="shared" si="90"/>
        <v>0</v>
      </c>
      <c r="BD178" s="1040" t="str">
        <f t="shared" si="86"/>
        <v/>
      </c>
      <c r="BE178" s="227" t="s">
        <v>22</v>
      </c>
      <c r="BF178" s="1019">
        <f t="shared" si="87"/>
        <v>0</v>
      </c>
      <c r="BG178" s="1020">
        <f t="shared" si="88"/>
        <v>0</v>
      </c>
      <c r="BH178"/>
      <c r="BQ178"/>
      <c r="BR178"/>
      <c r="BS178"/>
      <c r="BT178"/>
      <c r="BU178"/>
      <c r="BV178"/>
      <c r="BW178" s="959" t="str">
        <f t="shared" si="69"/>
        <v>►</v>
      </c>
      <c r="BX178"/>
      <c r="BY178"/>
      <c r="BZ178"/>
      <c r="CA178"/>
      <c r="CB178"/>
      <c r="CC178" s="856"/>
      <c r="CD178"/>
      <c r="CE178"/>
      <c r="CF178"/>
      <c r="CG178"/>
      <c r="CH178"/>
      <c r="CI178"/>
      <c r="CJ178"/>
      <c r="CL178"/>
      <c r="CM178"/>
      <c r="CN178"/>
      <c r="CO178"/>
      <c r="CP178"/>
      <c r="CQ178"/>
      <c r="CR178"/>
      <c r="CT178"/>
      <c r="CU178"/>
      <c r="CV178"/>
      <c r="CW178"/>
      <c r="CX178"/>
      <c r="CY178"/>
      <c r="CZ178"/>
      <c r="DB178" s="3">
        <v>1</v>
      </c>
    </row>
    <row r="179" spans="1:106" s="709" customFormat="1" ht="21" customHeight="1">
      <c r="A179" s="936" t="s">
        <v>22</v>
      </c>
      <c r="B179" s="952" t="str">
        <f t="shared" si="68"/>
        <v>►</v>
      </c>
      <c r="C179" s="993" cm="1">
        <f t="array" ref="C179">SUMPRODUCT(LEN(D179:J179))</f>
        <v>0</v>
      </c>
      <c r="D179" s="167"/>
      <c r="E179" s="172"/>
      <c r="F179" s="172"/>
      <c r="G179" s="172"/>
      <c r="H179" s="172"/>
      <c r="I179" s="172"/>
      <c r="J179" s="173"/>
      <c r="K179" s="442" t="s">
        <v>22</v>
      </c>
      <c r="L179" s="104" t="s">
        <v>16</v>
      </c>
      <c r="M179" s="1172"/>
      <c r="N179" s="1172"/>
      <c r="O179" s="1172"/>
      <c r="P179" s="1173"/>
      <c r="Q179" s="1174"/>
      <c r="R179" s="1175"/>
      <c r="S179" s="1176"/>
      <c r="T179" s="1177"/>
      <c r="U179" s="5248"/>
      <c r="V179" s="1177"/>
      <c r="W179" s="5249"/>
      <c r="X179" s="5208"/>
      <c r="Y179" s="5209"/>
      <c r="Z179" s="5210"/>
      <c r="AA179" s="5211"/>
      <c r="AB179" s="1178"/>
      <c r="AC179" s="1179"/>
      <c r="AD179" s="227" t="s">
        <v>22</v>
      </c>
      <c r="AE179" s="1027" t="str">
        <f t="shared" si="70"/>
        <v>►</v>
      </c>
      <c r="AF179" s="1028" t="str">
        <f t="shared" si="71"/>
        <v/>
      </c>
      <c r="AG179" s="1029" t="str">
        <f t="shared" si="72"/>
        <v/>
      </c>
      <c r="AH179" s="1028" t="str">
        <f t="shared" si="73"/>
        <v/>
      </c>
      <c r="AI179" s="1029" t="str">
        <f t="shared" si="74"/>
        <v/>
      </c>
      <c r="AJ179" s="1029">
        <f t="shared" si="75"/>
        <v>0</v>
      </c>
      <c r="AK179" s="1043" t="str" cm="1">
        <f t="array" ref="AK179">IF(AE179&lt;&gt;"A","",IFERROR((IFERROR(_xlfn.XLOOKUP(TRIM(SUBSTITUTE(U179,CHAR(160)," ")),$BI$15:$BI$62,$BL$15:$BL$62),IFERROR(_xlfn.XLOOKUP(TRIM(SUBSTITUTE(U179,CHAR(160)," ")),$BJ$15:$BJ$62,$BL$15:$BL$62),_xlfn.XLOOKUP(TRIM(SUBSTITUTE(U179,CHAR(160)," ")),$BK$15:$BK$62,$BL$15:$BL$62))))*T179*IF(ISBLANK(Q179),1,Q179)+IFERROR(_xlfn.XLOOKUP("RECHERCHEX",TRIM(L179:AC179),L179:AC179),0),0))</f>
        <v/>
      </c>
      <c r="AL179" s="1030">
        <f t="shared" si="76"/>
        <v>0</v>
      </c>
      <c r="AM179" s="5254" t="str">
        <f t="shared" si="91"/>
        <v/>
      </c>
      <c r="AN179" s="1031">
        <f t="shared" si="77"/>
        <v>0</v>
      </c>
      <c r="AO179" s="1031">
        <f t="shared" si="78"/>
        <v>0</v>
      </c>
      <c r="AP179" s="1044">
        <f t="shared" si="79"/>
        <v>0</v>
      </c>
      <c r="AQ179" s="5257" t="str">
        <f t="shared" si="80"/>
        <v/>
      </c>
      <c r="AR179" s="1056"/>
      <c r="AS179" s="1056"/>
      <c r="AT179" s="1045">
        <f t="shared" si="81"/>
        <v>0</v>
      </c>
      <c r="AU179" s="1046">
        <f t="shared" si="82"/>
        <v>0</v>
      </c>
      <c r="AV179" s="1059" cm="1">
        <f t="array" ref="AV179">IF(AJ179&lt;&gt;1,0,IF(OR(AT179="",N(AT179)&lt;=0.000000001),"",IF(OR(AN179="",N(AN179)&lt;=0.000000001),0,IF(ISNUMBER(AT179),IFERROR(_xlfn.LET(_xlpm.ai_test,TRIM(AI179),_xlpm.r,IFERROR(_xlfn.XLOOKUP(_xlpm.ai_test,$BI$15:$BI$62,ROW($BI$15:$BI$62),0,1),IFERROR(_xlfn.XLOOKUP(_xlpm.ai_test,$BJ$15:$BJ$62,ROW($BJ$15:$BJ$62),0,1),_xlfn.XLOOKUP(_xlpm.ai_test,$BK$15:$BK$62,ROW($BK$15:$BK$62),0,1))),_xlpm.p,_xlpm.r-MIN(ROW($BI$15:$BI$62))+1,_xlpm.f,INDEX($BL$15:$BL$62,_xlpm.p),_xlpm.u,INDEX($BM$15:$BM$62,_xlpm.p),_xlpm.s,INDEX($BO$15:$BO$62,_xlpm.p),_xlpm.q,N(AT179)/_xlpm.f,IF(_xlpm.q&gt;=_xlpm.s,ROUND(_xlpm.q,1)&amp;" "&amp;_xlpm.ai_test&amp;" = "&amp;ROUND(_xlpm.q*_xlpm.f,1)&amp;" "&amp;_xlpm.u,ROUND(_xlpm.q,1)&amp;" "&amp;_xlpm.ai_test)),""),""))))</f>
        <v>0</v>
      </c>
      <c r="AW179" s="1047"/>
      <c r="AX179" s="1045">
        <f t="shared" si="83"/>
        <v>0</v>
      </c>
      <c r="AY179" s="1046" t="str">
        <f t="shared" si="84"/>
        <v/>
      </c>
      <c r="AZ179" s="1048">
        <f t="shared" si="89"/>
        <v>0</v>
      </c>
      <c r="BA179" s="1049" t="str">
        <f t="shared" si="85"/>
        <v/>
      </c>
      <c r="BB179" s="1038"/>
      <c r="BC179" s="1050">
        <f t="shared" si="90"/>
        <v>0</v>
      </c>
      <c r="BD179" s="1040" t="str">
        <f t="shared" si="86"/>
        <v/>
      </c>
      <c r="BE179" s="227" t="s">
        <v>22</v>
      </c>
      <c r="BF179" s="1019">
        <f t="shared" si="87"/>
        <v>0</v>
      </c>
      <c r="BG179" s="1020">
        <f t="shared" si="88"/>
        <v>0</v>
      </c>
      <c r="BH179"/>
      <c r="BQ179"/>
      <c r="BR179"/>
      <c r="BS179"/>
      <c r="BT179"/>
      <c r="BU179"/>
      <c r="BV179"/>
      <c r="BW179" s="959" t="str">
        <f t="shared" si="69"/>
        <v>►</v>
      </c>
      <c r="BX179"/>
      <c r="BY179"/>
      <c r="BZ179"/>
      <c r="CA179"/>
      <c r="CB179"/>
      <c r="CC179" s="856"/>
      <c r="CD179"/>
      <c r="CE179"/>
      <c r="CF179"/>
      <c r="CG179"/>
      <c r="CH179"/>
      <c r="CI179"/>
      <c r="CJ179"/>
      <c r="CL179"/>
      <c r="CM179"/>
      <c r="CN179"/>
      <c r="CO179"/>
      <c r="CP179"/>
      <c r="CQ179"/>
      <c r="CR179"/>
      <c r="CT179"/>
      <c r="CU179"/>
      <c r="CV179"/>
      <c r="CW179"/>
      <c r="CX179"/>
      <c r="CY179"/>
      <c r="CZ179"/>
      <c r="DB179" s="3">
        <v>1</v>
      </c>
    </row>
    <row r="180" spans="1:106" s="709" customFormat="1" ht="21" customHeight="1">
      <c r="A180" s="936" t="s">
        <v>22</v>
      </c>
      <c r="B180" s="952" t="str">
        <f t="shared" si="68"/>
        <v>►</v>
      </c>
      <c r="C180" s="993" cm="1">
        <f t="array" ref="C180">SUMPRODUCT(LEN(D180:J180))</f>
        <v>0</v>
      </c>
      <c r="D180" s="167"/>
      <c r="E180" s="172"/>
      <c r="F180" s="172"/>
      <c r="G180" s="172"/>
      <c r="H180" s="172"/>
      <c r="I180" s="172"/>
      <c r="J180" s="173"/>
      <c r="K180" s="442" t="s">
        <v>22</v>
      </c>
      <c r="L180" s="104" t="s">
        <v>16</v>
      </c>
      <c r="M180" s="1172"/>
      <c r="N180" s="1172"/>
      <c r="O180" s="1172"/>
      <c r="P180" s="1173"/>
      <c r="Q180" s="1174"/>
      <c r="R180" s="1175"/>
      <c r="S180" s="1176"/>
      <c r="T180" s="1177"/>
      <c r="U180" s="5248"/>
      <c r="V180" s="1177"/>
      <c r="W180" s="5249"/>
      <c r="X180" s="5208"/>
      <c r="Y180" s="5209"/>
      <c r="Z180" s="5210"/>
      <c r="AA180" s="5211"/>
      <c r="AB180" s="1178"/>
      <c r="AC180" s="1179"/>
      <c r="AD180" s="227" t="s">
        <v>22</v>
      </c>
      <c r="AE180" s="1027" t="str">
        <f t="shared" si="70"/>
        <v>►</v>
      </c>
      <c r="AF180" s="1028" t="str">
        <f t="shared" si="71"/>
        <v/>
      </c>
      <c r="AG180" s="1029" t="str">
        <f t="shared" si="72"/>
        <v/>
      </c>
      <c r="AH180" s="1028" t="str">
        <f t="shared" si="73"/>
        <v/>
      </c>
      <c r="AI180" s="1029" t="str">
        <f t="shared" si="74"/>
        <v/>
      </c>
      <c r="AJ180" s="1029">
        <f t="shared" si="75"/>
        <v>0</v>
      </c>
      <c r="AK180" s="1043" t="str" cm="1">
        <f t="array" ref="AK180">IF(AE180&lt;&gt;"A","",IFERROR((IFERROR(_xlfn.XLOOKUP(TRIM(SUBSTITUTE(U180,CHAR(160)," ")),$BI$15:$BI$62,$BL$15:$BL$62),IFERROR(_xlfn.XLOOKUP(TRIM(SUBSTITUTE(U180,CHAR(160)," ")),$BJ$15:$BJ$62,$BL$15:$BL$62),_xlfn.XLOOKUP(TRIM(SUBSTITUTE(U180,CHAR(160)," ")),$BK$15:$BK$62,$BL$15:$BL$62))))*T180*IF(ISBLANK(Q180),1,Q180)+IFERROR(_xlfn.XLOOKUP("RECHERCHEX",TRIM(L180:AC180),L180:AC180),0),0))</f>
        <v/>
      </c>
      <c r="AL180" s="1030">
        <f t="shared" si="76"/>
        <v>0</v>
      </c>
      <c r="AM180" s="5254" t="str">
        <f t="shared" si="91"/>
        <v/>
      </c>
      <c r="AN180" s="1031">
        <f t="shared" si="77"/>
        <v>0</v>
      </c>
      <c r="AO180" s="1031">
        <f t="shared" si="78"/>
        <v>0</v>
      </c>
      <c r="AP180" s="1032">
        <f t="shared" si="79"/>
        <v>0</v>
      </c>
      <c r="AQ180" s="5255" t="str">
        <f t="shared" si="80"/>
        <v/>
      </c>
      <c r="AR180" s="1056"/>
      <c r="AS180" s="1056"/>
      <c r="AT180" s="1034">
        <f t="shared" si="81"/>
        <v>0</v>
      </c>
      <c r="AU180" s="1035">
        <f t="shared" si="82"/>
        <v>0</v>
      </c>
      <c r="AV180" s="1057" cm="1">
        <f t="array" ref="AV180">IF(AJ180&lt;&gt;1,0,IF(OR(AT180="",N(AT180)&lt;=0.000000001),"",IF(OR(AN180="",N(AN180)&lt;=0.000000001),0,IF(ISNUMBER(AT180),IFERROR(_xlfn.LET(_xlpm.ai_test,TRIM(AI180),_xlpm.r,IFERROR(_xlfn.XLOOKUP(_xlpm.ai_test,$BI$15:$BI$62,ROW($BI$15:$BI$62),0,1),IFERROR(_xlfn.XLOOKUP(_xlpm.ai_test,$BJ$15:$BJ$62,ROW($BJ$15:$BJ$62),0,1),_xlfn.XLOOKUP(_xlpm.ai_test,$BK$15:$BK$62,ROW($BK$15:$BK$62),0,1))),_xlpm.p,_xlpm.r-MIN(ROW($BI$15:$BI$62))+1,_xlpm.f,INDEX($BL$15:$BL$62,_xlpm.p),_xlpm.u,INDEX($BM$15:$BM$62,_xlpm.p),_xlpm.s,INDEX($BO$15:$BO$62,_xlpm.p),_xlpm.q,N(AT180)/_xlpm.f,IF(_xlpm.q&gt;=_xlpm.s,ROUND(_xlpm.q,1)&amp;" "&amp;_xlpm.ai_test&amp;" = "&amp;ROUND(_xlpm.q*_xlpm.f,1)&amp;" "&amp;_xlpm.u,ROUND(_xlpm.q,1)&amp;" "&amp;_xlpm.ai_test)),""),""))))</f>
        <v>0</v>
      </c>
      <c r="AW180" s="1047"/>
      <c r="AX180" s="1034">
        <f t="shared" si="83"/>
        <v>0</v>
      </c>
      <c r="AY180" s="1035" t="str">
        <f t="shared" si="84"/>
        <v/>
      </c>
      <c r="AZ180" s="1036">
        <f t="shared" si="89"/>
        <v>0</v>
      </c>
      <c r="BA180" s="1037" t="str">
        <f t="shared" si="85"/>
        <v/>
      </c>
      <c r="BB180" s="1038"/>
      <c r="BC180" s="1039">
        <f t="shared" si="90"/>
        <v>0</v>
      </c>
      <c r="BD180" s="1040" t="str">
        <f t="shared" si="86"/>
        <v/>
      </c>
      <c r="BE180" s="227" t="s">
        <v>22</v>
      </c>
      <c r="BF180" s="1019">
        <f t="shared" si="87"/>
        <v>0</v>
      </c>
      <c r="BG180" s="1020">
        <f t="shared" si="88"/>
        <v>0</v>
      </c>
      <c r="BH180"/>
      <c r="BQ180"/>
      <c r="BR180"/>
      <c r="BS180"/>
      <c r="BT180"/>
      <c r="BU180"/>
      <c r="BV180"/>
      <c r="BW180" s="959" t="str">
        <f t="shared" si="69"/>
        <v>►</v>
      </c>
      <c r="BX180"/>
      <c r="BY180"/>
      <c r="BZ180"/>
      <c r="CA180"/>
      <c r="CB180"/>
      <c r="CC180" s="856"/>
      <c r="CD180"/>
      <c r="CE180"/>
      <c r="CF180"/>
      <c r="CG180"/>
      <c r="CH180"/>
      <c r="CI180"/>
      <c r="CJ180"/>
      <c r="CL180"/>
      <c r="CM180"/>
      <c r="CN180"/>
      <c r="CO180"/>
      <c r="CP180"/>
      <c r="CQ180"/>
      <c r="CR180"/>
      <c r="CT180"/>
      <c r="CU180"/>
      <c r="CV180"/>
      <c r="CW180"/>
      <c r="CX180"/>
      <c r="CY180"/>
      <c r="CZ180"/>
      <c r="DB180" s="3">
        <v>1</v>
      </c>
    </row>
    <row r="181" spans="1:106" s="709" customFormat="1" ht="21" customHeight="1">
      <c r="A181" s="936" t="s">
        <v>22</v>
      </c>
      <c r="B181" s="952" t="str">
        <f t="shared" si="68"/>
        <v>►</v>
      </c>
      <c r="C181" s="993" cm="1">
        <f t="array" ref="C181">SUMPRODUCT(LEN(D181:J181))</f>
        <v>0</v>
      </c>
      <c r="D181" s="167"/>
      <c r="E181" s="172"/>
      <c r="F181" s="172"/>
      <c r="G181" s="172"/>
      <c r="H181" s="172"/>
      <c r="I181" s="172"/>
      <c r="J181" s="173"/>
      <c r="K181" s="442" t="s">
        <v>22</v>
      </c>
      <c r="L181" s="104" t="s">
        <v>16</v>
      </c>
      <c r="M181" s="1172"/>
      <c r="N181" s="1172"/>
      <c r="O181" s="1172"/>
      <c r="P181" s="1173"/>
      <c r="Q181" s="1174"/>
      <c r="R181" s="1175"/>
      <c r="S181" s="1176"/>
      <c r="T181" s="1177"/>
      <c r="U181" s="5248"/>
      <c r="V181" s="1177"/>
      <c r="W181" s="5249"/>
      <c r="X181" s="5208"/>
      <c r="Y181" s="5209"/>
      <c r="Z181" s="5210"/>
      <c r="AA181" s="5211"/>
      <c r="AB181" s="1178"/>
      <c r="AC181" s="1179"/>
      <c r="AD181" s="227" t="s">
        <v>22</v>
      </c>
      <c r="AE181" s="1027" t="str">
        <f t="shared" si="70"/>
        <v>►</v>
      </c>
      <c r="AF181" s="1028" t="str">
        <f t="shared" si="71"/>
        <v/>
      </c>
      <c r="AG181" s="1029" t="str">
        <f t="shared" si="72"/>
        <v/>
      </c>
      <c r="AH181" s="1028" t="str">
        <f t="shared" si="73"/>
        <v/>
      </c>
      <c r="AI181" s="1029" t="str">
        <f t="shared" si="74"/>
        <v/>
      </c>
      <c r="AJ181" s="1029">
        <f t="shared" si="75"/>
        <v>0</v>
      </c>
      <c r="AK181" s="1043" t="str" cm="1">
        <f t="array" ref="AK181">IF(AE181&lt;&gt;"A","",IFERROR((IFERROR(_xlfn.XLOOKUP(TRIM(SUBSTITUTE(U181,CHAR(160)," ")),$BI$15:$BI$62,$BL$15:$BL$62),IFERROR(_xlfn.XLOOKUP(TRIM(SUBSTITUTE(U181,CHAR(160)," ")),$BJ$15:$BJ$62,$BL$15:$BL$62),_xlfn.XLOOKUP(TRIM(SUBSTITUTE(U181,CHAR(160)," ")),$BK$15:$BK$62,$BL$15:$BL$62))))*T181*IF(ISBLANK(Q181),1,Q181)+IFERROR(_xlfn.XLOOKUP("RECHERCHEX",TRIM(L181:AC181),L181:AC181),0),0))</f>
        <v/>
      </c>
      <c r="AL181" s="1030">
        <f t="shared" si="76"/>
        <v>0</v>
      </c>
      <c r="AM181" s="5254" t="str">
        <f t="shared" si="91"/>
        <v/>
      </c>
      <c r="AN181" s="1031">
        <f t="shared" si="77"/>
        <v>0</v>
      </c>
      <c r="AO181" s="1031">
        <f t="shared" si="78"/>
        <v>0</v>
      </c>
      <c r="AP181" s="1044">
        <f t="shared" si="79"/>
        <v>0</v>
      </c>
      <c r="AQ181" s="5257" t="str">
        <f t="shared" si="80"/>
        <v/>
      </c>
      <c r="AR181" s="1056"/>
      <c r="AS181" s="1056"/>
      <c r="AT181" s="1045">
        <f t="shared" si="81"/>
        <v>0</v>
      </c>
      <c r="AU181" s="1046">
        <f t="shared" si="82"/>
        <v>0</v>
      </c>
      <c r="AV181" s="1059" cm="1">
        <f t="array" ref="AV181">IF(AJ181&lt;&gt;1,0,IF(OR(AT181="",N(AT181)&lt;=0.000000001),"",IF(OR(AN181="",N(AN181)&lt;=0.000000001),0,IF(ISNUMBER(AT181),IFERROR(_xlfn.LET(_xlpm.ai_test,TRIM(AI181),_xlpm.r,IFERROR(_xlfn.XLOOKUP(_xlpm.ai_test,$BI$15:$BI$62,ROW($BI$15:$BI$62),0,1),IFERROR(_xlfn.XLOOKUP(_xlpm.ai_test,$BJ$15:$BJ$62,ROW($BJ$15:$BJ$62),0,1),_xlfn.XLOOKUP(_xlpm.ai_test,$BK$15:$BK$62,ROW($BK$15:$BK$62),0,1))),_xlpm.p,_xlpm.r-MIN(ROW($BI$15:$BI$62))+1,_xlpm.f,INDEX($BL$15:$BL$62,_xlpm.p),_xlpm.u,INDEX($BM$15:$BM$62,_xlpm.p),_xlpm.s,INDEX($BO$15:$BO$62,_xlpm.p),_xlpm.q,N(AT181)/_xlpm.f,IF(_xlpm.q&gt;=_xlpm.s,ROUND(_xlpm.q,1)&amp;" "&amp;_xlpm.ai_test&amp;" = "&amp;ROUND(_xlpm.q*_xlpm.f,1)&amp;" "&amp;_xlpm.u,ROUND(_xlpm.q,1)&amp;" "&amp;_xlpm.ai_test)),""),""))))</f>
        <v>0</v>
      </c>
      <c r="AW181" s="1047"/>
      <c r="AX181" s="1045">
        <f t="shared" si="83"/>
        <v>0</v>
      </c>
      <c r="AY181" s="1046" t="str">
        <f t="shared" si="84"/>
        <v/>
      </c>
      <c r="AZ181" s="1048">
        <f t="shared" si="89"/>
        <v>0</v>
      </c>
      <c r="BA181" s="1049" t="str">
        <f t="shared" si="85"/>
        <v/>
      </c>
      <c r="BB181" s="1038"/>
      <c r="BC181" s="1050">
        <f t="shared" si="90"/>
        <v>0</v>
      </c>
      <c r="BD181" s="1040" t="str">
        <f t="shared" si="86"/>
        <v/>
      </c>
      <c r="BE181" s="227" t="s">
        <v>22</v>
      </c>
      <c r="BF181" s="1019">
        <f t="shared" si="87"/>
        <v>0</v>
      </c>
      <c r="BG181" s="1020">
        <f t="shared" si="88"/>
        <v>0</v>
      </c>
      <c r="BH181"/>
      <c r="BQ181"/>
      <c r="BR181"/>
      <c r="BS181"/>
      <c r="BT181"/>
      <c r="BU181"/>
      <c r="BV181"/>
      <c r="BW181" s="959" t="str">
        <f t="shared" si="69"/>
        <v>►</v>
      </c>
      <c r="BX181"/>
      <c r="BY181"/>
      <c r="BZ181"/>
      <c r="CA181"/>
      <c r="CB181"/>
      <c r="CC181" s="856"/>
      <c r="CD181"/>
      <c r="CE181"/>
      <c r="CF181"/>
      <c r="CG181"/>
      <c r="CH181"/>
      <c r="CI181"/>
      <c r="CJ181"/>
      <c r="CL181"/>
      <c r="CM181"/>
      <c r="CN181"/>
      <c r="CO181"/>
      <c r="CP181"/>
      <c r="CQ181"/>
      <c r="CR181"/>
      <c r="CT181"/>
      <c r="CU181"/>
      <c r="CV181"/>
      <c r="CW181"/>
      <c r="CX181"/>
      <c r="CY181"/>
      <c r="CZ181"/>
      <c r="DB181" s="3">
        <v>1</v>
      </c>
    </row>
    <row r="182" spans="1:106" s="709" customFormat="1" ht="21" customHeight="1">
      <c r="A182" s="936" t="s">
        <v>22</v>
      </c>
      <c r="B182" s="952" t="str">
        <f t="shared" si="68"/>
        <v>►</v>
      </c>
      <c r="C182" s="993" cm="1">
        <f t="array" ref="C182">SUMPRODUCT(LEN(D182:J182))</f>
        <v>0</v>
      </c>
      <c r="D182" s="167"/>
      <c r="E182" s="172"/>
      <c r="F182" s="172"/>
      <c r="G182" s="172"/>
      <c r="H182" s="172"/>
      <c r="I182" s="172"/>
      <c r="J182" s="173"/>
      <c r="K182" s="442" t="s">
        <v>22</v>
      </c>
      <c r="L182" s="104" t="s">
        <v>16</v>
      </c>
      <c r="M182" s="1172"/>
      <c r="N182" s="1172"/>
      <c r="O182" s="1172"/>
      <c r="P182" s="1173"/>
      <c r="Q182" s="1174"/>
      <c r="R182" s="1175"/>
      <c r="S182" s="1176"/>
      <c r="T182" s="1177"/>
      <c r="U182" s="5248"/>
      <c r="V182" s="1177"/>
      <c r="W182" s="5249"/>
      <c r="X182" s="5208"/>
      <c r="Y182" s="5209"/>
      <c r="Z182" s="5210"/>
      <c r="AA182" s="5211"/>
      <c r="AB182" s="1178"/>
      <c r="AC182" s="1179"/>
      <c r="AD182" s="227" t="s">
        <v>22</v>
      </c>
      <c r="AE182" s="1027" t="str">
        <f t="shared" si="70"/>
        <v>►</v>
      </c>
      <c r="AF182" s="1028" t="str">
        <f t="shared" si="71"/>
        <v/>
      </c>
      <c r="AG182" s="1029" t="str">
        <f t="shared" si="72"/>
        <v/>
      </c>
      <c r="AH182" s="1028" t="str">
        <f t="shared" si="73"/>
        <v/>
      </c>
      <c r="AI182" s="1029" t="str">
        <f t="shared" si="74"/>
        <v/>
      </c>
      <c r="AJ182" s="1029">
        <f t="shared" si="75"/>
        <v>0</v>
      </c>
      <c r="AK182" s="1043" t="str" cm="1">
        <f t="array" ref="AK182">IF(AE182&lt;&gt;"A","",IFERROR((IFERROR(_xlfn.XLOOKUP(TRIM(SUBSTITUTE(U182,CHAR(160)," ")),$BI$15:$BI$62,$BL$15:$BL$62),IFERROR(_xlfn.XLOOKUP(TRIM(SUBSTITUTE(U182,CHAR(160)," ")),$BJ$15:$BJ$62,$BL$15:$BL$62),_xlfn.XLOOKUP(TRIM(SUBSTITUTE(U182,CHAR(160)," ")),$BK$15:$BK$62,$BL$15:$BL$62))))*T182*IF(ISBLANK(Q182),1,Q182)+IFERROR(_xlfn.XLOOKUP("RECHERCHEX",TRIM(L182:AC182),L182:AC182),0),0))</f>
        <v/>
      </c>
      <c r="AL182" s="1030">
        <f t="shared" si="76"/>
        <v>0</v>
      </c>
      <c r="AM182" s="5254" t="str">
        <f t="shared" si="91"/>
        <v/>
      </c>
      <c r="AN182" s="1031">
        <f t="shared" si="77"/>
        <v>0</v>
      </c>
      <c r="AO182" s="1031">
        <f t="shared" si="78"/>
        <v>0</v>
      </c>
      <c r="AP182" s="1032">
        <f t="shared" si="79"/>
        <v>0</v>
      </c>
      <c r="AQ182" s="5255" t="str">
        <f t="shared" si="80"/>
        <v/>
      </c>
      <c r="AR182" s="1056"/>
      <c r="AS182" s="1056"/>
      <c r="AT182" s="1034">
        <f t="shared" si="81"/>
        <v>0</v>
      </c>
      <c r="AU182" s="1035">
        <f t="shared" si="82"/>
        <v>0</v>
      </c>
      <c r="AV182" s="1057" cm="1">
        <f t="array" ref="AV182">IF(AJ182&lt;&gt;1,0,IF(OR(AT182="",N(AT182)&lt;=0.000000001),"",IF(OR(AN182="",N(AN182)&lt;=0.000000001),0,IF(ISNUMBER(AT182),IFERROR(_xlfn.LET(_xlpm.ai_test,TRIM(AI182),_xlpm.r,IFERROR(_xlfn.XLOOKUP(_xlpm.ai_test,$BI$15:$BI$62,ROW($BI$15:$BI$62),0,1),IFERROR(_xlfn.XLOOKUP(_xlpm.ai_test,$BJ$15:$BJ$62,ROW($BJ$15:$BJ$62),0,1),_xlfn.XLOOKUP(_xlpm.ai_test,$BK$15:$BK$62,ROW($BK$15:$BK$62),0,1))),_xlpm.p,_xlpm.r-MIN(ROW($BI$15:$BI$62))+1,_xlpm.f,INDEX($BL$15:$BL$62,_xlpm.p),_xlpm.u,INDEX($BM$15:$BM$62,_xlpm.p),_xlpm.s,INDEX($BO$15:$BO$62,_xlpm.p),_xlpm.q,N(AT182)/_xlpm.f,IF(_xlpm.q&gt;=_xlpm.s,ROUND(_xlpm.q,1)&amp;" "&amp;_xlpm.ai_test&amp;" = "&amp;ROUND(_xlpm.q*_xlpm.f,1)&amp;" "&amp;_xlpm.u,ROUND(_xlpm.q,1)&amp;" "&amp;_xlpm.ai_test)),""),""))))</f>
        <v>0</v>
      </c>
      <c r="AW182" s="1047"/>
      <c r="AX182" s="1034">
        <f t="shared" si="83"/>
        <v>0</v>
      </c>
      <c r="AY182" s="1035" t="str">
        <f t="shared" si="84"/>
        <v/>
      </c>
      <c r="AZ182" s="1036">
        <f t="shared" si="89"/>
        <v>0</v>
      </c>
      <c r="BA182" s="1037" t="str">
        <f t="shared" si="85"/>
        <v/>
      </c>
      <c r="BB182" s="1038"/>
      <c r="BC182" s="1039">
        <f t="shared" si="90"/>
        <v>0</v>
      </c>
      <c r="BD182" s="1040" t="str">
        <f t="shared" si="86"/>
        <v/>
      </c>
      <c r="BE182" s="227" t="s">
        <v>22</v>
      </c>
      <c r="BF182" s="1019">
        <f t="shared" si="87"/>
        <v>0</v>
      </c>
      <c r="BG182" s="1020">
        <f t="shared" si="88"/>
        <v>0</v>
      </c>
      <c r="BH182"/>
      <c r="BQ182"/>
      <c r="BR182"/>
      <c r="BS182"/>
      <c r="BT182"/>
      <c r="BU182"/>
      <c r="BV182"/>
      <c r="BW182" s="959" t="str">
        <f t="shared" si="69"/>
        <v>►</v>
      </c>
      <c r="BX182"/>
      <c r="BY182"/>
      <c r="BZ182"/>
      <c r="CA182"/>
      <c r="CB182"/>
      <c r="CC182" s="856"/>
      <c r="CD182"/>
      <c r="CE182"/>
      <c r="CF182"/>
      <c r="CG182"/>
      <c r="CH182"/>
      <c r="CI182"/>
      <c r="CJ182"/>
      <c r="CL182"/>
      <c r="CM182"/>
      <c r="CN182"/>
      <c r="CO182"/>
      <c r="CP182"/>
      <c r="CQ182"/>
      <c r="CR182"/>
      <c r="CT182"/>
      <c r="CU182"/>
      <c r="CV182"/>
      <c r="CW182"/>
      <c r="CX182"/>
      <c r="CY182"/>
      <c r="CZ182"/>
      <c r="DB182" s="3">
        <v>1</v>
      </c>
    </row>
    <row r="183" spans="1:106" s="709" customFormat="1" ht="21" customHeight="1">
      <c r="A183" s="936" t="s">
        <v>22</v>
      </c>
      <c r="B183" s="952" t="str">
        <f t="shared" si="68"/>
        <v>►</v>
      </c>
      <c r="C183" s="993" cm="1">
        <f t="array" ref="C183">SUMPRODUCT(LEN(D183:J183))</f>
        <v>0</v>
      </c>
      <c r="D183" s="167"/>
      <c r="E183" s="172"/>
      <c r="F183" s="172"/>
      <c r="G183" s="172"/>
      <c r="H183" s="172"/>
      <c r="I183" s="172"/>
      <c r="J183" s="173"/>
      <c r="K183" s="442" t="s">
        <v>22</v>
      </c>
      <c r="L183" s="104" t="s">
        <v>16</v>
      </c>
      <c r="M183" s="1172"/>
      <c r="N183" s="1172"/>
      <c r="O183" s="1172"/>
      <c r="P183" s="1173"/>
      <c r="Q183" s="1174"/>
      <c r="R183" s="1175"/>
      <c r="S183" s="1176"/>
      <c r="T183" s="1177"/>
      <c r="U183" s="5248"/>
      <c r="V183" s="1177"/>
      <c r="W183" s="5249"/>
      <c r="X183" s="5208"/>
      <c r="Y183" s="5209"/>
      <c r="Z183" s="5210"/>
      <c r="AA183" s="5211"/>
      <c r="AB183" s="1178"/>
      <c r="AC183" s="1179"/>
      <c r="AD183" s="227" t="s">
        <v>22</v>
      </c>
      <c r="AE183" s="1027" t="str">
        <f t="shared" si="70"/>
        <v>►</v>
      </c>
      <c r="AF183" s="1028" t="str">
        <f t="shared" si="71"/>
        <v/>
      </c>
      <c r="AG183" s="1029" t="str">
        <f t="shared" si="72"/>
        <v/>
      </c>
      <c r="AH183" s="1028" t="str">
        <f t="shared" si="73"/>
        <v/>
      </c>
      <c r="AI183" s="1029" t="str">
        <f t="shared" si="74"/>
        <v/>
      </c>
      <c r="AJ183" s="1029">
        <f t="shared" si="75"/>
        <v>0</v>
      </c>
      <c r="AK183" s="1043" t="str" cm="1">
        <f t="array" ref="AK183">IF(AE183&lt;&gt;"A","",IFERROR((IFERROR(_xlfn.XLOOKUP(TRIM(SUBSTITUTE(U183,CHAR(160)," ")),$BI$15:$BI$62,$BL$15:$BL$62),IFERROR(_xlfn.XLOOKUP(TRIM(SUBSTITUTE(U183,CHAR(160)," ")),$BJ$15:$BJ$62,$BL$15:$BL$62),_xlfn.XLOOKUP(TRIM(SUBSTITUTE(U183,CHAR(160)," ")),$BK$15:$BK$62,$BL$15:$BL$62))))*T183*IF(ISBLANK(Q183),1,Q183)+IFERROR(_xlfn.XLOOKUP("RECHERCHEX",TRIM(L183:AC183),L183:AC183),0),0))</f>
        <v/>
      </c>
      <c r="AL183" s="1030">
        <f t="shared" si="76"/>
        <v>0</v>
      </c>
      <c r="AM183" s="5254" t="str">
        <f t="shared" si="91"/>
        <v/>
      </c>
      <c r="AN183" s="1031">
        <f t="shared" si="77"/>
        <v>0</v>
      </c>
      <c r="AO183" s="1031">
        <f t="shared" si="78"/>
        <v>0</v>
      </c>
      <c r="AP183" s="1044">
        <f t="shared" si="79"/>
        <v>0</v>
      </c>
      <c r="AQ183" s="5257" t="str">
        <f t="shared" si="80"/>
        <v/>
      </c>
      <c r="AR183" s="1056"/>
      <c r="AS183" s="1056"/>
      <c r="AT183" s="1045">
        <f t="shared" si="81"/>
        <v>0</v>
      </c>
      <c r="AU183" s="1046">
        <f t="shared" si="82"/>
        <v>0</v>
      </c>
      <c r="AV183" s="1059" cm="1">
        <f t="array" ref="AV183">IF(AJ183&lt;&gt;1,0,IF(OR(AT183="",N(AT183)&lt;=0.000000001),"",IF(OR(AN183="",N(AN183)&lt;=0.000000001),0,IF(ISNUMBER(AT183),IFERROR(_xlfn.LET(_xlpm.ai_test,TRIM(AI183),_xlpm.r,IFERROR(_xlfn.XLOOKUP(_xlpm.ai_test,$BI$15:$BI$62,ROW($BI$15:$BI$62),0,1),IFERROR(_xlfn.XLOOKUP(_xlpm.ai_test,$BJ$15:$BJ$62,ROW($BJ$15:$BJ$62),0,1),_xlfn.XLOOKUP(_xlpm.ai_test,$BK$15:$BK$62,ROW($BK$15:$BK$62),0,1))),_xlpm.p,_xlpm.r-MIN(ROW($BI$15:$BI$62))+1,_xlpm.f,INDEX($BL$15:$BL$62,_xlpm.p),_xlpm.u,INDEX($BM$15:$BM$62,_xlpm.p),_xlpm.s,INDEX($BO$15:$BO$62,_xlpm.p),_xlpm.q,N(AT183)/_xlpm.f,IF(_xlpm.q&gt;=_xlpm.s,ROUND(_xlpm.q,1)&amp;" "&amp;_xlpm.ai_test&amp;" = "&amp;ROUND(_xlpm.q*_xlpm.f,1)&amp;" "&amp;_xlpm.u,ROUND(_xlpm.q,1)&amp;" "&amp;_xlpm.ai_test)),""),""))))</f>
        <v>0</v>
      </c>
      <c r="AW183" s="1047"/>
      <c r="AX183" s="1045">
        <f t="shared" si="83"/>
        <v>0</v>
      </c>
      <c r="AY183" s="1046" t="str">
        <f t="shared" si="84"/>
        <v/>
      </c>
      <c r="AZ183" s="1048">
        <f t="shared" si="89"/>
        <v>0</v>
      </c>
      <c r="BA183" s="1049" t="str">
        <f t="shared" si="85"/>
        <v/>
      </c>
      <c r="BB183" s="1038"/>
      <c r="BC183" s="1050">
        <f t="shared" si="90"/>
        <v>0</v>
      </c>
      <c r="BD183" s="1040" t="str">
        <f t="shared" si="86"/>
        <v/>
      </c>
      <c r="BE183" s="227" t="s">
        <v>22</v>
      </c>
      <c r="BF183" s="1019">
        <f t="shared" si="87"/>
        <v>0</v>
      </c>
      <c r="BG183" s="1020">
        <f t="shared" si="88"/>
        <v>0</v>
      </c>
      <c r="BH183"/>
      <c r="BQ183"/>
      <c r="BR183"/>
      <c r="BS183"/>
      <c r="BT183"/>
      <c r="BU183"/>
      <c r="BV183"/>
      <c r="BW183" s="959" t="str">
        <f t="shared" si="69"/>
        <v>►</v>
      </c>
      <c r="BX183"/>
      <c r="BY183"/>
      <c r="BZ183"/>
      <c r="CA183"/>
      <c r="CB183"/>
      <c r="CC183" s="856"/>
      <c r="CD183"/>
      <c r="CE183"/>
      <c r="CF183"/>
      <c r="CG183"/>
      <c r="CH183"/>
      <c r="CI183"/>
      <c r="CJ183"/>
      <c r="CL183"/>
      <c r="CM183"/>
      <c r="CN183"/>
      <c r="CO183"/>
      <c r="CP183"/>
      <c r="CQ183"/>
      <c r="CR183"/>
      <c r="CT183"/>
      <c r="CU183"/>
      <c r="CV183"/>
      <c r="CW183"/>
      <c r="CX183"/>
      <c r="CY183"/>
      <c r="CZ183"/>
      <c r="DB183" s="3">
        <v>1</v>
      </c>
    </row>
    <row r="184" spans="1:106" s="709" customFormat="1" ht="21" customHeight="1">
      <c r="A184" s="936" t="s">
        <v>22</v>
      </c>
      <c r="B184" s="952" t="str">
        <f t="shared" si="68"/>
        <v>►</v>
      </c>
      <c r="C184" s="993" cm="1">
        <f t="array" ref="C184">SUMPRODUCT(LEN(D184:J184))</f>
        <v>0</v>
      </c>
      <c r="D184" s="167"/>
      <c r="E184" s="172"/>
      <c r="F184" s="172"/>
      <c r="G184" s="172"/>
      <c r="H184" s="172"/>
      <c r="I184" s="172"/>
      <c r="J184" s="173"/>
      <c r="K184" s="442" t="s">
        <v>22</v>
      </c>
      <c r="L184" s="104" t="s">
        <v>16</v>
      </c>
      <c r="M184" s="1172"/>
      <c r="N184" s="1172"/>
      <c r="O184" s="1172"/>
      <c r="P184" s="1173"/>
      <c r="Q184" s="1174"/>
      <c r="R184" s="1175"/>
      <c r="S184" s="1176"/>
      <c r="T184" s="1177"/>
      <c r="U184" s="5248"/>
      <c r="V184" s="1177"/>
      <c r="W184" s="5249"/>
      <c r="X184" s="5208"/>
      <c r="Y184" s="5209"/>
      <c r="Z184" s="5210"/>
      <c r="AA184" s="5211"/>
      <c r="AB184" s="1178"/>
      <c r="AC184" s="1179"/>
      <c r="AD184" s="227" t="s">
        <v>22</v>
      </c>
      <c r="AE184" s="1027" t="str">
        <f t="shared" si="70"/>
        <v>►</v>
      </c>
      <c r="AF184" s="1028" t="str">
        <f t="shared" si="71"/>
        <v/>
      </c>
      <c r="AG184" s="1029" t="str">
        <f t="shared" si="72"/>
        <v/>
      </c>
      <c r="AH184" s="1028" t="str">
        <f t="shared" si="73"/>
        <v/>
      </c>
      <c r="AI184" s="1029" t="str">
        <f t="shared" si="74"/>
        <v/>
      </c>
      <c r="AJ184" s="1029">
        <f t="shared" si="75"/>
        <v>0</v>
      </c>
      <c r="AK184" s="1043" t="str" cm="1">
        <f t="array" ref="AK184">IF(AE184&lt;&gt;"A","",IFERROR((IFERROR(_xlfn.XLOOKUP(TRIM(SUBSTITUTE(U184,CHAR(160)," ")),$BI$15:$BI$62,$BL$15:$BL$62),IFERROR(_xlfn.XLOOKUP(TRIM(SUBSTITUTE(U184,CHAR(160)," ")),$BJ$15:$BJ$62,$BL$15:$BL$62),_xlfn.XLOOKUP(TRIM(SUBSTITUTE(U184,CHAR(160)," ")),$BK$15:$BK$62,$BL$15:$BL$62))))*T184*IF(ISBLANK(Q184),1,Q184)+IFERROR(_xlfn.XLOOKUP("RECHERCHEX",TRIM(L184:AC184),L184:AC184),0),0))</f>
        <v/>
      </c>
      <c r="AL184" s="1030">
        <f t="shared" si="76"/>
        <v>0</v>
      </c>
      <c r="AM184" s="5254" t="str">
        <f t="shared" si="91"/>
        <v/>
      </c>
      <c r="AN184" s="1031">
        <f t="shared" si="77"/>
        <v>0</v>
      </c>
      <c r="AO184" s="1031">
        <f t="shared" si="78"/>
        <v>0</v>
      </c>
      <c r="AP184" s="1032">
        <f t="shared" si="79"/>
        <v>0</v>
      </c>
      <c r="AQ184" s="5255" t="str">
        <f t="shared" si="80"/>
        <v/>
      </c>
      <c r="AR184" s="1056"/>
      <c r="AS184" s="1056"/>
      <c r="AT184" s="1034">
        <f t="shared" si="81"/>
        <v>0</v>
      </c>
      <c r="AU184" s="1035">
        <f t="shared" si="82"/>
        <v>0</v>
      </c>
      <c r="AV184" s="1057" cm="1">
        <f t="array" ref="AV184">IF(AJ184&lt;&gt;1,0,IF(OR(AT184="",N(AT184)&lt;=0.000000001),"",IF(OR(AN184="",N(AN184)&lt;=0.000000001),0,IF(ISNUMBER(AT184),IFERROR(_xlfn.LET(_xlpm.ai_test,TRIM(AI184),_xlpm.r,IFERROR(_xlfn.XLOOKUP(_xlpm.ai_test,$BI$15:$BI$62,ROW($BI$15:$BI$62),0,1),IFERROR(_xlfn.XLOOKUP(_xlpm.ai_test,$BJ$15:$BJ$62,ROW($BJ$15:$BJ$62),0,1),_xlfn.XLOOKUP(_xlpm.ai_test,$BK$15:$BK$62,ROW($BK$15:$BK$62),0,1))),_xlpm.p,_xlpm.r-MIN(ROW($BI$15:$BI$62))+1,_xlpm.f,INDEX($BL$15:$BL$62,_xlpm.p),_xlpm.u,INDEX($BM$15:$BM$62,_xlpm.p),_xlpm.s,INDEX($BO$15:$BO$62,_xlpm.p),_xlpm.q,N(AT184)/_xlpm.f,IF(_xlpm.q&gt;=_xlpm.s,ROUND(_xlpm.q,1)&amp;" "&amp;_xlpm.ai_test&amp;" = "&amp;ROUND(_xlpm.q*_xlpm.f,1)&amp;" "&amp;_xlpm.u,ROUND(_xlpm.q,1)&amp;" "&amp;_xlpm.ai_test)),""),""))))</f>
        <v>0</v>
      </c>
      <c r="AW184" s="1047"/>
      <c r="AX184" s="1034">
        <f t="shared" si="83"/>
        <v>0</v>
      </c>
      <c r="AY184" s="1035" t="str">
        <f t="shared" si="84"/>
        <v/>
      </c>
      <c r="AZ184" s="1036">
        <f t="shared" si="89"/>
        <v>0</v>
      </c>
      <c r="BA184" s="1037" t="str">
        <f t="shared" si="85"/>
        <v/>
      </c>
      <c r="BB184" s="1038"/>
      <c r="BC184" s="1039">
        <f t="shared" si="90"/>
        <v>0</v>
      </c>
      <c r="BD184" s="1040" t="str">
        <f t="shared" si="86"/>
        <v/>
      </c>
      <c r="BE184" s="227" t="s">
        <v>22</v>
      </c>
      <c r="BF184" s="1019">
        <f t="shared" si="87"/>
        <v>0</v>
      </c>
      <c r="BG184" s="1020">
        <f t="shared" si="88"/>
        <v>0</v>
      </c>
      <c r="BH184"/>
      <c r="BQ184"/>
      <c r="BR184"/>
      <c r="BS184"/>
      <c r="BT184"/>
      <c r="BU184"/>
      <c r="BV184"/>
      <c r="BW184" s="959" t="str">
        <f t="shared" si="69"/>
        <v>►</v>
      </c>
      <c r="BX184"/>
      <c r="BY184"/>
      <c r="BZ184"/>
      <c r="CA184"/>
      <c r="CB184"/>
      <c r="CC184" s="856"/>
      <c r="CD184"/>
      <c r="CE184"/>
      <c r="CF184"/>
      <c r="CG184"/>
      <c r="CH184"/>
      <c r="CI184"/>
      <c r="CJ184"/>
      <c r="CL184"/>
      <c r="CM184"/>
      <c r="CN184"/>
      <c r="CO184"/>
      <c r="CP184"/>
      <c r="CQ184"/>
      <c r="CR184"/>
      <c r="CT184"/>
      <c r="CU184"/>
      <c r="CV184"/>
      <c r="CW184"/>
      <c r="CX184"/>
      <c r="CY184"/>
      <c r="CZ184"/>
      <c r="DB184" s="3">
        <v>1</v>
      </c>
    </row>
    <row r="185" spans="1:106" s="709" customFormat="1" ht="21" customHeight="1">
      <c r="A185" s="936" t="s">
        <v>22</v>
      </c>
      <c r="B185" s="952" t="str">
        <f t="shared" si="68"/>
        <v>►</v>
      </c>
      <c r="C185" s="993" cm="1">
        <f t="array" ref="C185">SUMPRODUCT(LEN(D185:J185))</f>
        <v>0</v>
      </c>
      <c r="D185" s="167"/>
      <c r="E185" s="172"/>
      <c r="F185" s="172"/>
      <c r="G185" s="172"/>
      <c r="H185" s="172"/>
      <c r="I185" s="172"/>
      <c r="J185" s="173"/>
      <c r="K185" s="442" t="s">
        <v>22</v>
      </c>
      <c r="L185" s="104" t="s">
        <v>16</v>
      </c>
      <c r="M185" s="1172"/>
      <c r="N185" s="1172"/>
      <c r="O185" s="1172"/>
      <c r="P185" s="1173"/>
      <c r="Q185" s="1174"/>
      <c r="R185" s="1175"/>
      <c r="S185" s="1176"/>
      <c r="T185" s="1177"/>
      <c r="U185" s="5248"/>
      <c r="V185" s="1177"/>
      <c r="W185" s="5249"/>
      <c r="X185" s="5208"/>
      <c r="Y185" s="5209"/>
      <c r="Z185" s="5210"/>
      <c r="AA185" s="5211"/>
      <c r="AB185" s="1178"/>
      <c r="AC185" s="1179"/>
      <c r="AD185" s="227" t="s">
        <v>22</v>
      </c>
      <c r="AE185" s="1027" t="str">
        <f t="shared" si="70"/>
        <v>►</v>
      </c>
      <c r="AF185" s="1028" t="str">
        <f t="shared" si="71"/>
        <v/>
      </c>
      <c r="AG185" s="1029" t="str">
        <f t="shared" si="72"/>
        <v/>
      </c>
      <c r="AH185" s="1028" t="str">
        <f t="shared" si="73"/>
        <v/>
      </c>
      <c r="AI185" s="1029" t="str">
        <f t="shared" si="74"/>
        <v/>
      </c>
      <c r="AJ185" s="1029">
        <f t="shared" si="75"/>
        <v>0</v>
      </c>
      <c r="AK185" s="1043" t="str" cm="1">
        <f t="array" ref="AK185">IF(AE185&lt;&gt;"A","",IFERROR((IFERROR(_xlfn.XLOOKUP(TRIM(SUBSTITUTE(U185,CHAR(160)," ")),$BI$15:$BI$62,$BL$15:$BL$62),IFERROR(_xlfn.XLOOKUP(TRIM(SUBSTITUTE(U185,CHAR(160)," ")),$BJ$15:$BJ$62,$BL$15:$BL$62),_xlfn.XLOOKUP(TRIM(SUBSTITUTE(U185,CHAR(160)," ")),$BK$15:$BK$62,$BL$15:$BL$62))))*T185*IF(ISBLANK(Q185),1,Q185)+IFERROR(_xlfn.XLOOKUP("RECHERCHEX",TRIM(L185:AC185),L185:AC185),0),0))</f>
        <v/>
      </c>
      <c r="AL185" s="1030">
        <f t="shared" si="76"/>
        <v>0</v>
      </c>
      <c r="AM185" s="5254" t="str">
        <f t="shared" si="91"/>
        <v/>
      </c>
      <c r="AN185" s="1031">
        <f t="shared" si="77"/>
        <v>0</v>
      </c>
      <c r="AO185" s="1031">
        <f t="shared" si="78"/>
        <v>0</v>
      </c>
      <c r="AP185" s="1044">
        <f t="shared" si="79"/>
        <v>0</v>
      </c>
      <c r="AQ185" s="5257" t="str">
        <f t="shared" si="80"/>
        <v/>
      </c>
      <c r="AR185" s="1056"/>
      <c r="AS185" s="1056"/>
      <c r="AT185" s="1045">
        <f t="shared" si="81"/>
        <v>0</v>
      </c>
      <c r="AU185" s="1046">
        <f t="shared" si="82"/>
        <v>0</v>
      </c>
      <c r="AV185" s="1059" cm="1">
        <f t="array" ref="AV185">IF(AJ185&lt;&gt;1,0,IF(OR(AT185="",N(AT185)&lt;=0.000000001),"",IF(OR(AN185="",N(AN185)&lt;=0.000000001),0,IF(ISNUMBER(AT185),IFERROR(_xlfn.LET(_xlpm.ai_test,TRIM(AI185),_xlpm.r,IFERROR(_xlfn.XLOOKUP(_xlpm.ai_test,$BI$15:$BI$62,ROW($BI$15:$BI$62),0,1),IFERROR(_xlfn.XLOOKUP(_xlpm.ai_test,$BJ$15:$BJ$62,ROW($BJ$15:$BJ$62),0,1),_xlfn.XLOOKUP(_xlpm.ai_test,$BK$15:$BK$62,ROW($BK$15:$BK$62),0,1))),_xlpm.p,_xlpm.r-MIN(ROW($BI$15:$BI$62))+1,_xlpm.f,INDEX($BL$15:$BL$62,_xlpm.p),_xlpm.u,INDEX($BM$15:$BM$62,_xlpm.p),_xlpm.s,INDEX($BO$15:$BO$62,_xlpm.p),_xlpm.q,N(AT185)/_xlpm.f,IF(_xlpm.q&gt;=_xlpm.s,ROUND(_xlpm.q,1)&amp;" "&amp;_xlpm.ai_test&amp;" = "&amp;ROUND(_xlpm.q*_xlpm.f,1)&amp;" "&amp;_xlpm.u,ROUND(_xlpm.q,1)&amp;" "&amp;_xlpm.ai_test)),""),""))))</f>
        <v>0</v>
      </c>
      <c r="AW185" s="1047"/>
      <c r="AX185" s="1045">
        <f t="shared" si="83"/>
        <v>0</v>
      </c>
      <c r="AY185" s="1046" t="str">
        <f t="shared" si="84"/>
        <v/>
      </c>
      <c r="AZ185" s="1048">
        <f t="shared" si="89"/>
        <v>0</v>
      </c>
      <c r="BA185" s="1049" t="str">
        <f t="shared" si="85"/>
        <v/>
      </c>
      <c r="BB185" s="1038"/>
      <c r="BC185" s="1050">
        <f t="shared" si="90"/>
        <v>0</v>
      </c>
      <c r="BD185" s="1040" t="str">
        <f t="shared" si="86"/>
        <v/>
      </c>
      <c r="BE185" s="227" t="s">
        <v>22</v>
      </c>
      <c r="BF185" s="1019">
        <f t="shared" si="87"/>
        <v>0</v>
      </c>
      <c r="BG185" s="1020">
        <f t="shared" si="88"/>
        <v>0</v>
      </c>
      <c r="BH185"/>
      <c r="BQ185"/>
      <c r="BR185"/>
      <c r="BS185"/>
      <c r="BT185"/>
      <c r="BU185"/>
      <c r="BV185"/>
      <c r="BW185" s="959" t="str">
        <f t="shared" si="69"/>
        <v>►</v>
      </c>
      <c r="BX185"/>
      <c r="BY185"/>
      <c r="BZ185"/>
      <c r="CA185"/>
      <c r="CB185"/>
      <c r="CC185" s="856"/>
      <c r="CD185"/>
      <c r="CE185"/>
      <c r="CF185"/>
      <c r="CG185"/>
      <c r="CH185"/>
      <c r="CI185"/>
      <c r="CJ185"/>
      <c r="CL185"/>
      <c r="CM185"/>
      <c r="CN185"/>
      <c r="CO185"/>
      <c r="CP185"/>
      <c r="CQ185"/>
      <c r="CR185"/>
      <c r="CT185"/>
      <c r="CU185"/>
      <c r="CV185"/>
      <c r="CW185"/>
      <c r="CX185"/>
      <c r="CY185"/>
      <c r="CZ185"/>
      <c r="DB185" s="3">
        <v>1</v>
      </c>
    </row>
    <row r="186" spans="1:106" s="709" customFormat="1" ht="21" customHeight="1">
      <c r="A186" s="936" t="s">
        <v>22</v>
      </c>
      <c r="B186" s="952" t="str">
        <f t="shared" si="68"/>
        <v>►</v>
      </c>
      <c r="C186" s="993" cm="1">
        <f t="array" ref="C186">SUMPRODUCT(LEN(D186:J186))</f>
        <v>0</v>
      </c>
      <c r="D186" s="167"/>
      <c r="E186" s="172"/>
      <c r="F186" s="172"/>
      <c r="G186" s="172"/>
      <c r="H186" s="172"/>
      <c r="I186" s="172"/>
      <c r="J186" s="173"/>
      <c r="K186" s="442" t="s">
        <v>22</v>
      </c>
      <c r="L186" s="104" t="s">
        <v>16</v>
      </c>
      <c r="M186" s="1172"/>
      <c r="N186" s="1172"/>
      <c r="O186" s="1172"/>
      <c r="P186" s="1173"/>
      <c r="Q186" s="1174"/>
      <c r="R186" s="1175"/>
      <c r="S186" s="1176"/>
      <c r="T186" s="1177"/>
      <c r="U186" s="5248"/>
      <c r="V186" s="1177"/>
      <c r="W186" s="5249"/>
      <c r="X186" s="5208"/>
      <c r="Y186" s="5209"/>
      <c r="Z186" s="5210"/>
      <c r="AA186" s="5211"/>
      <c r="AB186" s="1178"/>
      <c r="AC186" s="1179"/>
      <c r="AD186" s="227" t="s">
        <v>22</v>
      </c>
      <c r="AE186" s="1027" t="str">
        <f t="shared" si="70"/>
        <v>►</v>
      </c>
      <c r="AF186" s="1028" t="str">
        <f t="shared" si="71"/>
        <v/>
      </c>
      <c r="AG186" s="1029" t="str">
        <f t="shared" si="72"/>
        <v/>
      </c>
      <c r="AH186" s="1028" t="str">
        <f t="shared" si="73"/>
        <v/>
      </c>
      <c r="AI186" s="1029" t="str">
        <f t="shared" si="74"/>
        <v/>
      </c>
      <c r="AJ186" s="1029">
        <f t="shared" si="75"/>
        <v>0</v>
      </c>
      <c r="AK186" s="1043" t="str" cm="1">
        <f t="array" ref="AK186">IF(AE186&lt;&gt;"A","",IFERROR((IFERROR(_xlfn.XLOOKUP(TRIM(SUBSTITUTE(U186,CHAR(160)," ")),$BI$15:$BI$62,$BL$15:$BL$62),IFERROR(_xlfn.XLOOKUP(TRIM(SUBSTITUTE(U186,CHAR(160)," ")),$BJ$15:$BJ$62,$BL$15:$BL$62),_xlfn.XLOOKUP(TRIM(SUBSTITUTE(U186,CHAR(160)," ")),$BK$15:$BK$62,$BL$15:$BL$62))))*T186*IF(ISBLANK(Q186),1,Q186)+IFERROR(_xlfn.XLOOKUP("RECHERCHEX",TRIM(L186:AC186),L186:AC186),0),0))</f>
        <v/>
      </c>
      <c r="AL186" s="1030">
        <f t="shared" si="76"/>
        <v>0</v>
      </c>
      <c r="AM186" s="5254" t="str">
        <f t="shared" si="91"/>
        <v/>
      </c>
      <c r="AN186" s="1031">
        <f t="shared" si="77"/>
        <v>0</v>
      </c>
      <c r="AO186" s="1031">
        <f t="shared" si="78"/>
        <v>0</v>
      </c>
      <c r="AP186" s="1032">
        <f t="shared" si="79"/>
        <v>0</v>
      </c>
      <c r="AQ186" s="5255" t="str">
        <f t="shared" si="80"/>
        <v/>
      </c>
      <c r="AR186" s="1056"/>
      <c r="AS186" s="1056"/>
      <c r="AT186" s="1034">
        <f t="shared" si="81"/>
        <v>0</v>
      </c>
      <c r="AU186" s="1035">
        <f t="shared" si="82"/>
        <v>0</v>
      </c>
      <c r="AV186" s="1057" cm="1">
        <f t="array" ref="AV186">IF(AJ186&lt;&gt;1,0,IF(OR(AT186="",N(AT186)&lt;=0.000000001),"",IF(OR(AN186="",N(AN186)&lt;=0.000000001),0,IF(ISNUMBER(AT186),IFERROR(_xlfn.LET(_xlpm.ai_test,TRIM(AI186),_xlpm.r,IFERROR(_xlfn.XLOOKUP(_xlpm.ai_test,$BI$15:$BI$62,ROW($BI$15:$BI$62),0,1),IFERROR(_xlfn.XLOOKUP(_xlpm.ai_test,$BJ$15:$BJ$62,ROW($BJ$15:$BJ$62),0,1),_xlfn.XLOOKUP(_xlpm.ai_test,$BK$15:$BK$62,ROW($BK$15:$BK$62),0,1))),_xlpm.p,_xlpm.r-MIN(ROW($BI$15:$BI$62))+1,_xlpm.f,INDEX($BL$15:$BL$62,_xlpm.p),_xlpm.u,INDEX($BM$15:$BM$62,_xlpm.p),_xlpm.s,INDEX($BO$15:$BO$62,_xlpm.p),_xlpm.q,N(AT186)/_xlpm.f,IF(_xlpm.q&gt;=_xlpm.s,ROUND(_xlpm.q,1)&amp;" "&amp;_xlpm.ai_test&amp;" = "&amp;ROUND(_xlpm.q*_xlpm.f,1)&amp;" "&amp;_xlpm.u,ROUND(_xlpm.q,1)&amp;" "&amp;_xlpm.ai_test)),""),""))))</f>
        <v>0</v>
      </c>
      <c r="AW186" s="1047"/>
      <c r="AX186" s="1034">
        <f t="shared" si="83"/>
        <v>0</v>
      </c>
      <c r="AY186" s="1035" t="str">
        <f t="shared" si="84"/>
        <v/>
      </c>
      <c r="AZ186" s="1036">
        <f t="shared" si="89"/>
        <v>0</v>
      </c>
      <c r="BA186" s="1037" t="str">
        <f t="shared" si="85"/>
        <v/>
      </c>
      <c r="BB186" s="1038"/>
      <c r="BC186" s="1039">
        <f t="shared" si="90"/>
        <v>0</v>
      </c>
      <c r="BD186" s="1040" t="str">
        <f t="shared" si="86"/>
        <v/>
      </c>
      <c r="BE186" s="227" t="s">
        <v>22</v>
      </c>
      <c r="BF186" s="1019">
        <f t="shared" si="87"/>
        <v>0</v>
      </c>
      <c r="BG186" s="1020">
        <f t="shared" si="88"/>
        <v>0</v>
      </c>
      <c r="BH186"/>
      <c r="BQ186"/>
      <c r="BR186"/>
      <c r="BS186"/>
      <c r="BT186"/>
      <c r="BU186"/>
      <c r="BV186"/>
      <c r="BW186" s="959" t="str">
        <f t="shared" si="69"/>
        <v>►</v>
      </c>
      <c r="BX186"/>
      <c r="BY186"/>
      <c r="BZ186"/>
      <c r="CA186"/>
      <c r="CB186"/>
      <c r="CC186" s="856"/>
      <c r="CD186"/>
      <c r="CE186"/>
      <c r="CF186"/>
      <c r="CG186"/>
      <c r="CH186"/>
      <c r="CI186"/>
      <c r="CJ186"/>
      <c r="CL186"/>
      <c r="CM186"/>
      <c r="CN186"/>
      <c r="CO186"/>
      <c r="CP186"/>
      <c r="CQ186"/>
      <c r="CR186"/>
      <c r="CT186"/>
      <c r="CU186"/>
      <c r="CV186"/>
      <c r="CW186"/>
      <c r="CX186"/>
      <c r="CY186"/>
      <c r="CZ186"/>
      <c r="DB186" s="3">
        <v>1</v>
      </c>
    </row>
    <row r="187" spans="1:106" s="709" customFormat="1" ht="21" customHeight="1">
      <c r="A187" s="936" t="s">
        <v>22</v>
      </c>
      <c r="B187" s="952" t="str">
        <f t="shared" si="68"/>
        <v>►</v>
      </c>
      <c r="C187" s="993" cm="1">
        <f t="array" ref="C187">SUMPRODUCT(LEN(D187:J187))</f>
        <v>0</v>
      </c>
      <c r="D187" s="167"/>
      <c r="E187" s="172"/>
      <c r="F187" s="172"/>
      <c r="G187" s="172"/>
      <c r="H187" s="172"/>
      <c r="I187" s="172"/>
      <c r="J187" s="173"/>
      <c r="K187" s="442" t="s">
        <v>22</v>
      </c>
      <c r="L187" s="104" t="s">
        <v>16</v>
      </c>
      <c r="M187" s="1172"/>
      <c r="N187" s="1172"/>
      <c r="O187" s="1172"/>
      <c r="P187" s="1173"/>
      <c r="Q187" s="1174"/>
      <c r="R187" s="1175"/>
      <c r="S187" s="1176"/>
      <c r="T187" s="1177"/>
      <c r="U187" s="5248"/>
      <c r="V187" s="1177"/>
      <c r="W187" s="5249"/>
      <c r="X187" s="5208"/>
      <c r="Y187" s="5209"/>
      <c r="Z187" s="5210"/>
      <c r="AA187" s="5211"/>
      <c r="AB187" s="1178"/>
      <c r="AC187" s="1179"/>
      <c r="AD187" s="227" t="s">
        <v>22</v>
      </c>
      <c r="AE187" s="1027" t="str">
        <f t="shared" si="70"/>
        <v>►</v>
      </c>
      <c r="AF187" s="1028" t="str">
        <f t="shared" si="71"/>
        <v/>
      </c>
      <c r="AG187" s="1029" t="str">
        <f t="shared" si="72"/>
        <v/>
      </c>
      <c r="AH187" s="1028" t="str">
        <f t="shared" si="73"/>
        <v/>
      </c>
      <c r="AI187" s="1029" t="str">
        <f t="shared" si="74"/>
        <v/>
      </c>
      <c r="AJ187" s="1029">
        <f t="shared" si="75"/>
        <v>0</v>
      </c>
      <c r="AK187" s="1043" t="str" cm="1">
        <f t="array" ref="AK187">IF(AE187&lt;&gt;"A","",IFERROR((IFERROR(_xlfn.XLOOKUP(TRIM(SUBSTITUTE(U187,CHAR(160)," ")),$BI$15:$BI$62,$BL$15:$BL$62),IFERROR(_xlfn.XLOOKUP(TRIM(SUBSTITUTE(U187,CHAR(160)," ")),$BJ$15:$BJ$62,$BL$15:$BL$62),_xlfn.XLOOKUP(TRIM(SUBSTITUTE(U187,CHAR(160)," ")),$BK$15:$BK$62,$BL$15:$BL$62))))*T187*IF(ISBLANK(Q187),1,Q187)+IFERROR(_xlfn.XLOOKUP("RECHERCHEX",TRIM(L187:AC187),L187:AC187),0),0))</f>
        <v/>
      </c>
      <c r="AL187" s="1030">
        <f t="shared" si="76"/>
        <v>0</v>
      </c>
      <c r="AM187" s="5254" t="str">
        <f t="shared" si="91"/>
        <v/>
      </c>
      <c r="AN187" s="1031">
        <f t="shared" si="77"/>
        <v>0</v>
      </c>
      <c r="AO187" s="1031">
        <f t="shared" si="78"/>
        <v>0</v>
      </c>
      <c r="AP187" s="1044">
        <f t="shared" si="79"/>
        <v>0</v>
      </c>
      <c r="AQ187" s="5257" t="str">
        <f t="shared" si="80"/>
        <v/>
      </c>
      <c r="AR187" s="1056"/>
      <c r="AS187" s="1056"/>
      <c r="AT187" s="1045">
        <f t="shared" si="81"/>
        <v>0</v>
      </c>
      <c r="AU187" s="1046">
        <f t="shared" si="82"/>
        <v>0</v>
      </c>
      <c r="AV187" s="1059" cm="1">
        <f t="array" ref="AV187">IF(AJ187&lt;&gt;1,0,IF(OR(AT187="",N(AT187)&lt;=0.000000001),"",IF(OR(AN187="",N(AN187)&lt;=0.000000001),0,IF(ISNUMBER(AT187),IFERROR(_xlfn.LET(_xlpm.ai_test,TRIM(AI187),_xlpm.r,IFERROR(_xlfn.XLOOKUP(_xlpm.ai_test,$BI$15:$BI$62,ROW($BI$15:$BI$62),0,1),IFERROR(_xlfn.XLOOKUP(_xlpm.ai_test,$BJ$15:$BJ$62,ROW($BJ$15:$BJ$62),0,1),_xlfn.XLOOKUP(_xlpm.ai_test,$BK$15:$BK$62,ROW($BK$15:$BK$62),0,1))),_xlpm.p,_xlpm.r-MIN(ROW($BI$15:$BI$62))+1,_xlpm.f,INDEX($BL$15:$BL$62,_xlpm.p),_xlpm.u,INDEX($BM$15:$BM$62,_xlpm.p),_xlpm.s,INDEX($BO$15:$BO$62,_xlpm.p),_xlpm.q,N(AT187)/_xlpm.f,IF(_xlpm.q&gt;=_xlpm.s,ROUND(_xlpm.q,1)&amp;" "&amp;_xlpm.ai_test&amp;" = "&amp;ROUND(_xlpm.q*_xlpm.f,1)&amp;" "&amp;_xlpm.u,ROUND(_xlpm.q,1)&amp;" "&amp;_xlpm.ai_test)),""),""))))</f>
        <v>0</v>
      </c>
      <c r="AW187" s="1047"/>
      <c r="AX187" s="1045">
        <f t="shared" si="83"/>
        <v>0</v>
      </c>
      <c r="AY187" s="1046" t="str">
        <f t="shared" si="84"/>
        <v/>
      </c>
      <c r="AZ187" s="1048">
        <f t="shared" si="89"/>
        <v>0</v>
      </c>
      <c r="BA187" s="1049" t="str">
        <f t="shared" si="85"/>
        <v/>
      </c>
      <c r="BB187" s="1038"/>
      <c r="BC187" s="1050">
        <f t="shared" si="90"/>
        <v>0</v>
      </c>
      <c r="BD187" s="1040" t="str">
        <f t="shared" si="86"/>
        <v/>
      </c>
      <c r="BE187" s="227" t="s">
        <v>22</v>
      </c>
      <c r="BF187" s="1019">
        <f t="shared" si="87"/>
        <v>0</v>
      </c>
      <c r="BG187" s="1020">
        <f t="shared" si="88"/>
        <v>0</v>
      </c>
      <c r="BH187"/>
      <c r="BQ187"/>
      <c r="BR187"/>
      <c r="BS187"/>
      <c r="BT187"/>
      <c r="BU187"/>
      <c r="BV187"/>
      <c r="BW187" s="959" t="str">
        <f t="shared" si="69"/>
        <v>►</v>
      </c>
      <c r="BX187"/>
      <c r="BY187"/>
      <c r="BZ187"/>
      <c r="CA187"/>
      <c r="CB187"/>
      <c r="CC187" s="856"/>
      <c r="CD187"/>
      <c r="CE187"/>
      <c r="CF187"/>
      <c r="CG187"/>
      <c r="CH187"/>
      <c r="CI187"/>
      <c r="CJ187"/>
      <c r="CL187"/>
      <c r="CM187"/>
      <c r="CN187"/>
      <c r="CO187"/>
      <c r="CP187"/>
      <c r="CQ187"/>
      <c r="CR187"/>
      <c r="CT187"/>
      <c r="CU187"/>
      <c r="CV187"/>
      <c r="CW187"/>
      <c r="CX187"/>
      <c r="CY187"/>
      <c r="CZ187"/>
      <c r="DB187" s="3">
        <v>1</v>
      </c>
    </row>
    <row r="188" spans="1:106" s="709" customFormat="1" ht="21" customHeight="1">
      <c r="A188" s="936" t="s">
        <v>22</v>
      </c>
      <c r="B188" s="952" t="str">
        <f t="shared" si="68"/>
        <v>►</v>
      </c>
      <c r="C188" s="993" cm="1">
        <f t="array" ref="C188">SUMPRODUCT(LEN(D188:J188))</f>
        <v>0</v>
      </c>
      <c r="D188" s="167"/>
      <c r="E188" s="172"/>
      <c r="F188" s="172"/>
      <c r="G188" s="172"/>
      <c r="H188" s="172"/>
      <c r="I188" s="172"/>
      <c r="J188" s="173"/>
      <c r="K188" s="442" t="s">
        <v>22</v>
      </c>
      <c r="L188" s="104" t="s">
        <v>16</v>
      </c>
      <c r="M188" s="1172"/>
      <c r="N188" s="1172"/>
      <c r="O188" s="1172"/>
      <c r="P188" s="1173"/>
      <c r="Q188" s="1174"/>
      <c r="R188" s="1175"/>
      <c r="S188" s="1176"/>
      <c r="T188" s="1177"/>
      <c r="U188" s="5248"/>
      <c r="V188" s="1177"/>
      <c r="W188" s="5249"/>
      <c r="X188" s="5208"/>
      <c r="Y188" s="5209"/>
      <c r="Z188" s="5210"/>
      <c r="AA188" s="5211"/>
      <c r="AB188" s="1178"/>
      <c r="AC188" s="1179"/>
      <c r="AD188" s="227" t="s">
        <v>22</v>
      </c>
      <c r="AE188" s="1027" t="str">
        <f t="shared" si="70"/>
        <v>►</v>
      </c>
      <c r="AF188" s="1028" t="str">
        <f t="shared" si="71"/>
        <v/>
      </c>
      <c r="AG188" s="1029" t="str">
        <f t="shared" si="72"/>
        <v/>
      </c>
      <c r="AH188" s="1028" t="str">
        <f t="shared" si="73"/>
        <v/>
      </c>
      <c r="AI188" s="1029" t="str">
        <f t="shared" si="74"/>
        <v/>
      </c>
      <c r="AJ188" s="1029">
        <f t="shared" si="75"/>
        <v>0</v>
      </c>
      <c r="AK188" s="1043" t="str" cm="1">
        <f t="array" ref="AK188">IF(AE188&lt;&gt;"A","",IFERROR((IFERROR(_xlfn.XLOOKUP(TRIM(SUBSTITUTE(U188,CHAR(160)," ")),$BI$15:$BI$62,$BL$15:$BL$62),IFERROR(_xlfn.XLOOKUP(TRIM(SUBSTITUTE(U188,CHAR(160)," ")),$BJ$15:$BJ$62,$BL$15:$BL$62),_xlfn.XLOOKUP(TRIM(SUBSTITUTE(U188,CHAR(160)," ")),$BK$15:$BK$62,$BL$15:$BL$62))))*T188*IF(ISBLANK(Q188),1,Q188)+IFERROR(_xlfn.XLOOKUP("RECHERCHEX",TRIM(L188:AC188),L188:AC188),0),0))</f>
        <v/>
      </c>
      <c r="AL188" s="1030">
        <f t="shared" si="76"/>
        <v>0</v>
      </c>
      <c r="AM188" s="5254" t="str">
        <f t="shared" si="91"/>
        <v/>
      </c>
      <c r="AN188" s="1031">
        <f t="shared" si="77"/>
        <v>0</v>
      </c>
      <c r="AO188" s="1031">
        <f t="shared" si="78"/>
        <v>0</v>
      </c>
      <c r="AP188" s="1032">
        <f t="shared" si="79"/>
        <v>0</v>
      </c>
      <c r="AQ188" s="5255" t="str">
        <f t="shared" si="80"/>
        <v/>
      </c>
      <c r="AR188" s="1056"/>
      <c r="AS188" s="1056"/>
      <c r="AT188" s="1034">
        <f t="shared" si="81"/>
        <v>0</v>
      </c>
      <c r="AU188" s="1035">
        <f t="shared" si="82"/>
        <v>0</v>
      </c>
      <c r="AV188" s="1057" cm="1">
        <f t="array" ref="AV188">IF(AJ188&lt;&gt;1,0,IF(OR(AT188="",N(AT188)&lt;=0.000000001),"",IF(OR(AN188="",N(AN188)&lt;=0.000000001),0,IF(ISNUMBER(AT188),IFERROR(_xlfn.LET(_xlpm.ai_test,TRIM(AI188),_xlpm.r,IFERROR(_xlfn.XLOOKUP(_xlpm.ai_test,$BI$15:$BI$62,ROW($BI$15:$BI$62),0,1),IFERROR(_xlfn.XLOOKUP(_xlpm.ai_test,$BJ$15:$BJ$62,ROW($BJ$15:$BJ$62),0,1),_xlfn.XLOOKUP(_xlpm.ai_test,$BK$15:$BK$62,ROW($BK$15:$BK$62),0,1))),_xlpm.p,_xlpm.r-MIN(ROW($BI$15:$BI$62))+1,_xlpm.f,INDEX($BL$15:$BL$62,_xlpm.p),_xlpm.u,INDEX($BM$15:$BM$62,_xlpm.p),_xlpm.s,INDEX($BO$15:$BO$62,_xlpm.p),_xlpm.q,N(AT188)/_xlpm.f,IF(_xlpm.q&gt;=_xlpm.s,ROUND(_xlpm.q,1)&amp;" "&amp;_xlpm.ai_test&amp;" = "&amp;ROUND(_xlpm.q*_xlpm.f,1)&amp;" "&amp;_xlpm.u,ROUND(_xlpm.q,1)&amp;" "&amp;_xlpm.ai_test)),""),""))))</f>
        <v>0</v>
      </c>
      <c r="AW188" s="1047"/>
      <c r="AX188" s="1034">
        <f t="shared" si="83"/>
        <v>0</v>
      </c>
      <c r="AY188" s="1035" t="str">
        <f t="shared" si="84"/>
        <v/>
      </c>
      <c r="AZ188" s="1036">
        <f t="shared" si="89"/>
        <v>0</v>
      </c>
      <c r="BA188" s="1037" t="str">
        <f t="shared" si="85"/>
        <v/>
      </c>
      <c r="BB188" s="1038"/>
      <c r="BC188" s="1039">
        <f t="shared" si="90"/>
        <v>0</v>
      </c>
      <c r="BD188" s="1040" t="str">
        <f t="shared" si="86"/>
        <v/>
      </c>
      <c r="BE188" s="227" t="s">
        <v>22</v>
      </c>
      <c r="BF188" s="1019">
        <f t="shared" si="87"/>
        <v>0</v>
      </c>
      <c r="BG188" s="1020">
        <f t="shared" si="88"/>
        <v>0</v>
      </c>
      <c r="BH188"/>
      <c r="BQ188"/>
      <c r="BR188"/>
      <c r="BS188"/>
      <c r="BT188"/>
      <c r="BU188"/>
      <c r="BV188"/>
      <c r="BW188" s="959" t="str">
        <f t="shared" si="69"/>
        <v>►</v>
      </c>
      <c r="BX188"/>
      <c r="BY188"/>
      <c r="BZ188"/>
      <c r="CA188"/>
      <c r="CB188"/>
      <c r="CC188" s="856"/>
      <c r="CD188"/>
      <c r="CE188"/>
      <c r="CF188"/>
      <c r="CG188"/>
      <c r="CH188"/>
      <c r="CI188"/>
      <c r="CJ188"/>
      <c r="CL188"/>
      <c r="CM188"/>
      <c r="CN188"/>
      <c r="CO188"/>
      <c r="CP188"/>
      <c r="CQ188"/>
      <c r="CR188"/>
      <c r="CT188"/>
      <c r="CU188"/>
      <c r="CV188"/>
      <c r="CW188"/>
      <c r="CX188"/>
      <c r="CY188"/>
      <c r="CZ188"/>
      <c r="DB188" s="3">
        <v>1</v>
      </c>
    </row>
    <row r="189" spans="1:106" s="709" customFormat="1" ht="21" customHeight="1">
      <c r="A189" s="936" t="s">
        <v>22</v>
      </c>
      <c r="B189" s="952" t="str">
        <f t="shared" si="68"/>
        <v>►</v>
      </c>
      <c r="C189" s="993" cm="1">
        <f t="array" ref="C189">SUMPRODUCT(LEN(D189:J189))</f>
        <v>0</v>
      </c>
      <c r="D189" s="167"/>
      <c r="E189" s="172"/>
      <c r="F189" s="172"/>
      <c r="G189" s="172"/>
      <c r="H189" s="172"/>
      <c r="I189" s="172"/>
      <c r="J189" s="173"/>
      <c r="K189" s="442" t="s">
        <v>22</v>
      </c>
      <c r="L189" s="104" t="s">
        <v>16</v>
      </c>
      <c r="M189" s="1172"/>
      <c r="N189" s="1172"/>
      <c r="O189" s="1172"/>
      <c r="P189" s="1173"/>
      <c r="Q189" s="1174"/>
      <c r="R189" s="1175"/>
      <c r="S189" s="1176"/>
      <c r="T189" s="1177"/>
      <c r="U189" s="5248"/>
      <c r="V189" s="1177"/>
      <c r="W189" s="5249"/>
      <c r="X189" s="5208"/>
      <c r="Y189" s="5209"/>
      <c r="Z189" s="5210"/>
      <c r="AA189" s="5211"/>
      <c r="AB189" s="1178"/>
      <c r="AC189" s="1179"/>
      <c r="AD189" s="227" t="s">
        <v>22</v>
      </c>
      <c r="AE189" s="1027" t="str">
        <f t="shared" si="70"/>
        <v>►</v>
      </c>
      <c r="AF189" s="1028" t="str">
        <f t="shared" si="71"/>
        <v/>
      </c>
      <c r="AG189" s="1029" t="str">
        <f t="shared" si="72"/>
        <v/>
      </c>
      <c r="AH189" s="1028" t="str">
        <f t="shared" si="73"/>
        <v/>
      </c>
      <c r="AI189" s="1029" t="str">
        <f t="shared" si="74"/>
        <v/>
      </c>
      <c r="AJ189" s="1029">
        <f t="shared" si="75"/>
        <v>0</v>
      </c>
      <c r="AK189" s="1043" t="str" cm="1">
        <f t="array" ref="AK189">IF(AE189&lt;&gt;"A","",IFERROR((IFERROR(_xlfn.XLOOKUP(TRIM(SUBSTITUTE(U189,CHAR(160)," ")),$BI$15:$BI$62,$BL$15:$BL$62),IFERROR(_xlfn.XLOOKUP(TRIM(SUBSTITUTE(U189,CHAR(160)," ")),$BJ$15:$BJ$62,$BL$15:$BL$62),_xlfn.XLOOKUP(TRIM(SUBSTITUTE(U189,CHAR(160)," ")),$BK$15:$BK$62,$BL$15:$BL$62))))*T189*IF(ISBLANK(Q189),1,Q189)+IFERROR(_xlfn.XLOOKUP("RECHERCHEX",TRIM(L189:AC189),L189:AC189),0),0))</f>
        <v/>
      </c>
      <c r="AL189" s="1030">
        <f t="shared" si="76"/>
        <v>0</v>
      </c>
      <c r="AM189" s="5254" t="str">
        <f t="shared" si="91"/>
        <v/>
      </c>
      <c r="AN189" s="1031">
        <f t="shared" si="77"/>
        <v>0</v>
      </c>
      <c r="AO189" s="1031">
        <f t="shared" si="78"/>
        <v>0</v>
      </c>
      <c r="AP189" s="1044">
        <f t="shared" si="79"/>
        <v>0</v>
      </c>
      <c r="AQ189" s="5257" t="str">
        <f t="shared" si="80"/>
        <v/>
      </c>
      <c r="AR189" s="1056"/>
      <c r="AS189" s="1056"/>
      <c r="AT189" s="1045">
        <f t="shared" si="81"/>
        <v>0</v>
      </c>
      <c r="AU189" s="1046">
        <f t="shared" si="82"/>
        <v>0</v>
      </c>
      <c r="AV189" s="1059" cm="1">
        <f t="array" ref="AV189">IF(AJ189&lt;&gt;1,0,IF(OR(AT189="",N(AT189)&lt;=0.000000001),"",IF(OR(AN189="",N(AN189)&lt;=0.000000001),0,IF(ISNUMBER(AT189),IFERROR(_xlfn.LET(_xlpm.ai_test,TRIM(AI189),_xlpm.r,IFERROR(_xlfn.XLOOKUP(_xlpm.ai_test,$BI$15:$BI$62,ROW($BI$15:$BI$62),0,1),IFERROR(_xlfn.XLOOKUP(_xlpm.ai_test,$BJ$15:$BJ$62,ROW($BJ$15:$BJ$62),0,1),_xlfn.XLOOKUP(_xlpm.ai_test,$BK$15:$BK$62,ROW($BK$15:$BK$62),0,1))),_xlpm.p,_xlpm.r-MIN(ROW($BI$15:$BI$62))+1,_xlpm.f,INDEX($BL$15:$BL$62,_xlpm.p),_xlpm.u,INDEX($BM$15:$BM$62,_xlpm.p),_xlpm.s,INDEX($BO$15:$BO$62,_xlpm.p),_xlpm.q,N(AT189)/_xlpm.f,IF(_xlpm.q&gt;=_xlpm.s,ROUND(_xlpm.q,1)&amp;" "&amp;_xlpm.ai_test&amp;" = "&amp;ROUND(_xlpm.q*_xlpm.f,1)&amp;" "&amp;_xlpm.u,ROUND(_xlpm.q,1)&amp;" "&amp;_xlpm.ai_test)),""),""))))</f>
        <v>0</v>
      </c>
      <c r="AW189" s="1047"/>
      <c r="AX189" s="1045">
        <f t="shared" si="83"/>
        <v>0</v>
      </c>
      <c r="AY189" s="1046" t="str">
        <f t="shared" si="84"/>
        <v/>
      </c>
      <c r="AZ189" s="1048">
        <f t="shared" si="89"/>
        <v>0</v>
      </c>
      <c r="BA189" s="1049" t="str">
        <f t="shared" si="85"/>
        <v/>
      </c>
      <c r="BB189" s="1038"/>
      <c r="BC189" s="1050">
        <f t="shared" si="90"/>
        <v>0</v>
      </c>
      <c r="BD189" s="1040" t="str">
        <f t="shared" si="86"/>
        <v/>
      </c>
      <c r="BE189" s="227" t="s">
        <v>22</v>
      </c>
      <c r="BF189" s="1019">
        <f t="shared" si="87"/>
        <v>0</v>
      </c>
      <c r="BG189" s="1020">
        <f t="shared" si="88"/>
        <v>0</v>
      </c>
      <c r="BH189"/>
      <c r="BQ189"/>
      <c r="BR189"/>
      <c r="BS189"/>
      <c r="BT189"/>
      <c r="BU189"/>
      <c r="BV189"/>
      <c r="BW189" s="959" t="str">
        <f t="shared" si="69"/>
        <v>►</v>
      </c>
      <c r="BX189"/>
      <c r="BY189"/>
      <c r="BZ189"/>
      <c r="CA189"/>
      <c r="CB189"/>
      <c r="CC189" s="856"/>
      <c r="CD189"/>
      <c r="CE189"/>
      <c r="CF189"/>
      <c r="CG189"/>
      <c r="CH189"/>
      <c r="CI189"/>
      <c r="CJ189"/>
      <c r="CL189"/>
      <c r="CM189"/>
      <c r="CN189"/>
      <c r="CO189"/>
      <c r="CP189"/>
      <c r="CQ189"/>
      <c r="CR189"/>
      <c r="CT189"/>
      <c r="CU189"/>
      <c r="CV189"/>
      <c r="CW189"/>
      <c r="CX189"/>
      <c r="CY189"/>
      <c r="CZ189"/>
      <c r="DB189" s="3">
        <v>1</v>
      </c>
    </row>
    <row r="190" spans="1:106" s="709" customFormat="1" ht="21" customHeight="1">
      <c r="A190" s="936" t="s">
        <v>22</v>
      </c>
      <c r="B190" s="952" t="str">
        <f t="shared" si="68"/>
        <v>►</v>
      </c>
      <c r="C190" s="993" cm="1">
        <f t="array" ref="C190">SUMPRODUCT(LEN(D190:J190))</f>
        <v>0</v>
      </c>
      <c r="D190" s="167"/>
      <c r="E190" s="172"/>
      <c r="F190" s="172"/>
      <c r="G190" s="172"/>
      <c r="H190" s="172"/>
      <c r="I190" s="172"/>
      <c r="J190" s="173"/>
      <c r="K190" s="442" t="s">
        <v>22</v>
      </c>
      <c r="L190" s="104" t="s">
        <v>16</v>
      </c>
      <c r="M190" s="1172"/>
      <c r="N190" s="1172"/>
      <c r="O190" s="1172"/>
      <c r="P190" s="1173"/>
      <c r="Q190" s="1174"/>
      <c r="R190" s="1175"/>
      <c r="S190" s="1176"/>
      <c r="T190" s="1177"/>
      <c r="U190" s="5248"/>
      <c r="V190" s="1177"/>
      <c r="W190" s="5249"/>
      <c r="X190" s="5208"/>
      <c r="Y190" s="5209"/>
      <c r="Z190" s="5210"/>
      <c r="AA190" s="5211"/>
      <c r="AB190" s="1178"/>
      <c r="AC190" s="1179"/>
      <c r="AD190" s="227" t="s">
        <v>22</v>
      </c>
      <c r="AE190" s="1027" t="str">
        <f t="shared" si="70"/>
        <v>►</v>
      </c>
      <c r="AF190" s="1028" t="str">
        <f t="shared" si="71"/>
        <v/>
      </c>
      <c r="AG190" s="1029" t="str">
        <f t="shared" si="72"/>
        <v/>
      </c>
      <c r="AH190" s="1028" t="str">
        <f t="shared" si="73"/>
        <v/>
      </c>
      <c r="AI190" s="1029" t="str">
        <f t="shared" si="74"/>
        <v/>
      </c>
      <c r="AJ190" s="1029">
        <f t="shared" si="75"/>
        <v>0</v>
      </c>
      <c r="AK190" s="1043" t="str" cm="1">
        <f t="array" ref="AK190">IF(AE190&lt;&gt;"A","",IFERROR((IFERROR(_xlfn.XLOOKUP(TRIM(SUBSTITUTE(U190,CHAR(160)," ")),$BI$15:$BI$62,$BL$15:$BL$62),IFERROR(_xlfn.XLOOKUP(TRIM(SUBSTITUTE(U190,CHAR(160)," ")),$BJ$15:$BJ$62,$BL$15:$BL$62),_xlfn.XLOOKUP(TRIM(SUBSTITUTE(U190,CHAR(160)," ")),$BK$15:$BK$62,$BL$15:$BL$62))))*T190*IF(ISBLANK(Q190),1,Q190)+IFERROR(_xlfn.XLOOKUP("RECHERCHEX",TRIM(L190:AC190),L190:AC190),0),0))</f>
        <v/>
      </c>
      <c r="AL190" s="1030">
        <f t="shared" si="76"/>
        <v>0</v>
      </c>
      <c r="AM190" s="5254" t="str">
        <f t="shared" si="91"/>
        <v/>
      </c>
      <c r="AN190" s="1031">
        <f t="shared" si="77"/>
        <v>0</v>
      </c>
      <c r="AO190" s="1031">
        <f t="shared" si="78"/>
        <v>0</v>
      </c>
      <c r="AP190" s="1032">
        <f t="shared" si="79"/>
        <v>0</v>
      </c>
      <c r="AQ190" s="5255" t="str">
        <f t="shared" si="80"/>
        <v/>
      </c>
      <c r="AR190" s="1056"/>
      <c r="AS190" s="1056"/>
      <c r="AT190" s="1034">
        <f t="shared" si="81"/>
        <v>0</v>
      </c>
      <c r="AU190" s="1035">
        <f t="shared" si="82"/>
        <v>0</v>
      </c>
      <c r="AV190" s="1057" cm="1">
        <f t="array" ref="AV190">IF(AJ190&lt;&gt;1,0,IF(OR(AT190="",N(AT190)&lt;=0.000000001),"",IF(OR(AN190="",N(AN190)&lt;=0.000000001),0,IF(ISNUMBER(AT190),IFERROR(_xlfn.LET(_xlpm.ai_test,TRIM(AI190),_xlpm.r,IFERROR(_xlfn.XLOOKUP(_xlpm.ai_test,$BI$15:$BI$62,ROW($BI$15:$BI$62),0,1),IFERROR(_xlfn.XLOOKUP(_xlpm.ai_test,$BJ$15:$BJ$62,ROW($BJ$15:$BJ$62),0,1),_xlfn.XLOOKUP(_xlpm.ai_test,$BK$15:$BK$62,ROW($BK$15:$BK$62),0,1))),_xlpm.p,_xlpm.r-MIN(ROW($BI$15:$BI$62))+1,_xlpm.f,INDEX($BL$15:$BL$62,_xlpm.p),_xlpm.u,INDEX($BM$15:$BM$62,_xlpm.p),_xlpm.s,INDEX($BO$15:$BO$62,_xlpm.p),_xlpm.q,N(AT190)/_xlpm.f,IF(_xlpm.q&gt;=_xlpm.s,ROUND(_xlpm.q,1)&amp;" "&amp;_xlpm.ai_test&amp;" = "&amp;ROUND(_xlpm.q*_xlpm.f,1)&amp;" "&amp;_xlpm.u,ROUND(_xlpm.q,1)&amp;" "&amp;_xlpm.ai_test)),""),""))))</f>
        <v>0</v>
      </c>
      <c r="AW190" s="1047"/>
      <c r="AX190" s="1034">
        <f t="shared" si="83"/>
        <v>0</v>
      </c>
      <c r="AY190" s="1035" t="str">
        <f t="shared" si="84"/>
        <v/>
      </c>
      <c r="AZ190" s="1036">
        <f t="shared" si="89"/>
        <v>0</v>
      </c>
      <c r="BA190" s="1037" t="str">
        <f t="shared" si="85"/>
        <v/>
      </c>
      <c r="BB190" s="1038"/>
      <c r="BC190" s="1039">
        <f t="shared" si="90"/>
        <v>0</v>
      </c>
      <c r="BD190" s="1040" t="str">
        <f t="shared" si="86"/>
        <v/>
      </c>
      <c r="BE190" s="227" t="s">
        <v>22</v>
      </c>
      <c r="BF190" s="1019">
        <f t="shared" si="87"/>
        <v>0</v>
      </c>
      <c r="BG190" s="1020">
        <f t="shared" si="88"/>
        <v>0</v>
      </c>
      <c r="BH190"/>
      <c r="BQ190"/>
      <c r="BR190"/>
      <c r="BS190"/>
      <c r="BT190"/>
      <c r="BU190"/>
      <c r="BV190"/>
      <c r="BW190" s="959" t="str">
        <f t="shared" si="69"/>
        <v>►</v>
      </c>
      <c r="BX190"/>
      <c r="BY190"/>
      <c r="BZ190"/>
      <c r="CA190"/>
      <c r="CB190"/>
      <c r="CC190" s="856"/>
      <c r="CD190"/>
      <c r="CE190"/>
      <c r="CF190"/>
      <c r="CG190"/>
      <c r="CH190"/>
      <c r="CI190"/>
      <c r="CJ190"/>
      <c r="CL190"/>
      <c r="CM190"/>
      <c r="CN190"/>
      <c r="CO190"/>
      <c r="CP190"/>
      <c r="CQ190"/>
      <c r="CR190"/>
      <c r="CT190"/>
      <c r="CU190"/>
      <c r="CV190"/>
      <c r="CW190"/>
      <c r="CX190"/>
      <c r="CY190"/>
      <c r="CZ190"/>
      <c r="DB190" s="3">
        <v>1</v>
      </c>
    </row>
    <row r="191" spans="1:106" s="709" customFormat="1" ht="21" customHeight="1">
      <c r="A191" s="936" t="s">
        <v>22</v>
      </c>
      <c r="B191" s="952" t="str">
        <f t="shared" si="68"/>
        <v>►</v>
      </c>
      <c r="C191" s="993" cm="1">
        <f t="array" ref="C191">SUMPRODUCT(LEN(D191:J191))</f>
        <v>0</v>
      </c>
      <c r="D191" s="167"/>
      <c r="E191" s="172"/>
      <c r="F191" s="172"/>
      <c r="G191" s="172"/>
      <c r="H191" s="172"/>
      <c r="I191" s="172"/>
      <c r="J191" s="173"/>
      <c r="K191" s="442"/>
      <c r="L191" s="104" t="s">
        <v>16</v>
      </c>
      <c r="M191" s="1172"/>
      <c r="N191" s="1172"/>
      <c r="O191" s="1172"/>
      <c r="P191" s="1173"/>
      <c r="Q191" s="1174"/>
      <c r="R191" s="1175"/>
      <c r="S191" s="1176"/>
      <c r="T191" s="1177"/>
      <c r="U191" s="5248"/>
      <c r="V191" s="1177"/>
      <c r="W191" s="5249"/>
      <c r="X191" s="5208"/>
      <c r="Y191" s="5209"/>
      <c r="Z191" s="5210"/>
      <c r="AA191" s="5211"/>
      <c r="AB191" s="1178"/>
      <c r="AC191" s="1179"/>
      <c r="AD191" s="227" t="s">
        <v>22</v>
      </c>
      <c r="AE191" s="1027" t="str">
        <f t="shared" si="70"/>
        <v>►</v>
      </c>
      <c r="AF191" s="1028" t="str">
        <f t="shared" si="71"/>
        <v/>
      </c>
      <c r="AG191" s="1029" t="str">
        <f t="shared" si="72"/>
        <v/>
      </c>
      <c r="AH191" s="1028" t="str">
        <f t="shared" si="73"/>
        <v/>
      </c>
      <c r="AI191" s="1029" t="str">
        <f t="shared" si="74"/>
        <v/>
      </c>
      <c r="AJ191" s="1029">
        <f t="shared" si="75"/>
        <v>0</v>
      </c>
      <c r="AK191" s="1043" t="str" cm="1">
        <f t="array" ref="AK191">IF(AE191&lt;&gt;"A","",IFERROR((IFERROR(_xlfn.XLOOKUP(TRIM(SUBSTITUTE(U191,CHAR(160)," ")),$BI$15:$BI$62,$BL$15:$BL$62),IFERROR(_xlfn.XLOOKUP(TRIM(SUBSTITUTE(U191,CHAR(160)," ")),$BJ$15:$BJ$62,$BL$15:$BL$62),_xlfn.XLOOKUP(TRIM(SUBSTITUTE(U191,CHAR(160)," ")),$BK$15:$BK$62,$BL$15:$BL$62))))*T191*IF(ISBLANK(Q191),1,Q191)+IFERROR(_xlfn.XLOOKUP("RECHERCHEX",TRIM(L191:AC191),L191:AC191),0),0))</f>
        <v/>
      </c>
      <c r="AL191" s="1030">
        <f t="shared" si="76"/>
        <v>0</v>
      </c>
      <c r="AM191" s="5254" t="str">
        <f t="shared" si="91"/>
        <v/>
      </c>
      <c r="AN191" s="1031">
        <f t="shared" si="77"/>
        <v>0</v>
      </c>
      <c r="AO191" s="1031">
        <f t="shared" si="78"/>
        <v>0</v>
      </c>
      <c r="AP191" s="1044">
        <f t="shared" si="79"/>
        <v>0</v>
      </c>
      <c r="AQ191" s="5257" t="str">
        <f t="shared" si="80"/>
        <v/>
      </c>
      <c r="AR191" s="1056"/>
      <c r="AS191" s="1056"/>
      <c r="AT191" s="1045">
        <f t="shared" si="81"/>
        <v>0</v>
      </c>
      <c r="AU191" s="1046">
        <f t="shared" si="82"/>
        <v>0</v>
      </c>
      <c r="AV191" s="1059" cm="1">
        <f t="array" ref="AV191">IF(AJ191&lt;&gt;1,0,IF(OR(AT191="",N(AT191)&lt;=0.000000001),"",IF(OR(AN191="",N(AN191)&lt;=0.000000001),0,IF(ISNUMBER(AT191),IFERROR(_xlfn.LET(_xlpm.ai_test,TRIM(AI191),_xlpm.r,IFERROR(_xlfn.XLOOKUP(_xlpm.ai_test,$BI$15:$BI$62,ROW($BI$15:$BI$62),0,1),IFERROR(_xlfn.XLOOKUP(_xlpm.ai_test,$BJ$15:$BJ$62,ROW($BJ$15:$BJ$62),0,1),_xlfn.XLOOKUP(_xlpm.ai_test,$BK$15:$BK$62,ROW($BK$15:$BK$62),0,1))),_xlpm.p,_xlpm.r-MIN(ROW($BI$15:$BI$62))+1,_xlpm.f,INDEX($BL$15:$BL$62,_xlpm.p),_xlpm.u,INDEX($BM$15:$BM$62,_xlpm.p),_xlpm.s,INDEX($BO$15:$BO$62,_xlpm.p),_xlpm.q,N(AT191)/_xlpm.f,IF(_xlpm.q&gt;=_xlpm.s,ROUND(_xlpm.q,1)&amp;" "&amp;_xlpm.ai_test&amp;" = "&amp;ROUND(_xlpm.q*_xlpm.f,1)&amp;" "&amp;_xlpm.u,ROUND(_xlpm.q,1)&amp;" "&amp;_xlpm.ai_test)),""),""))))</f>
        <v>0</v>
      </c>
      <c r="AW191" s="1047"/>
      <c r="AX191" s="1045">
        <f t="shared" si="83"/>
        <v>0</v>
      </c>
      <c r="AY191" s="1046" t="str">
        <f t="shared" si="84"/>
        <v/>
      </c>
      <c r="AZ191" s="1048">
        <f t="shared" si="89"/>
        <v>0</v>
      </c>
      <c r="BA191" s="1049" t="str">
        <f t="shared" si="85"/>
        <v/>
      </c>
      <c r="BB191" s="1038"/>
      <c r="BC191" s="1050">
        <f t="shared" si="90"/>
        <v>0</v>
      </c>
      <c r="BD191" s="1040" t="str">
        <f t="shared" si="86"/>
        <v/>
      </c>
      <c r="BE191" s="227" t="s">
        <v>22</v>
      </c>
      <c r="BF191" s="1019">
        <f t="shared" si="87"/>
        <v>0</v>
      </c>
      <c r="BG191" s="1020">
        <f t="shared" si="88"/>
        <v>0</v>
      </c>
      <c r="BH191"/>
      <c r="BQ191"/>
      <c r="BR191"/>
      <c r="BS191"/>
      <c r="BT191"/>
      <c r="BU191"/>
      <c r="BV191"/>
      <c r="BW191" s="959" t="str">
        <f t="shared" si="69"/>
        <v>►</v>
      </c>
      <c r="BX191"/>
      <c r="BY191"/>
      <c r="BZ191"/>
      <c r="CA191"/>
      <c r="CB191"/>
      <c r="CC191" s="856"/>
      <c r="CD191"/>
      <c r="CE191"/>
      <c r="CF191"/>
      <c r="CG191"/>
      <c r="CH191"/>
      <c r="CI191"/>
      <c r="CJ191"/>
      <c r="CL191"/>
      <c r="CM191"/>
      <c r="CN191"/>
      <c r="CO191"/>
      <c r="CP191"/>
      <c r="CQ191"/>
      <c r="CR191"/>
      <c r="CT191"/>
      <c r="CU191"/>
      <c r="CV191"/>
      <c r="CW191"/>
      <c r="CX191"/>
      <c r="CY191"/>
      <c r="CZ191"/>
      <c r="DB191" s="3">
        <v>1</v>
      </c>
    </row>
    <row r="192" spans="1:106" s="709" customFormat="1" ht="21" customHeight="1">
      <c r="A192" s="936" t="s">
        <v>22</v>
      </c>
      <c r="B192" s="952" t="str">
        <f t="shared" si="68"/>
        <v>►</v>
      </c>
      <c r="C192" s="993" cm="1">
        <f t="array" ref="C192">SUMPRODUCT(LEN(D192:J192))</f>
        <v>0</v>
      </c>
      <c r="D192" s="167"/>
      <c r="E192" s="172"/>
      <c r="F192" s="172"/>
      <c r="G192" s="172"/>
      <c r="H192" s="172"/>
      <c r="I192" s="172"/>
      <c r="J192" s="173"/>
      <c r="K192" s="442"/>
      <c r="L192" s="104" t="s">
        <v>16</v>
      </c>
      <c r="M192" s="1172"/>
      <c r="N192" s="1172"/>
      <c r="O192" s="1172"/>
      <c r="P192" s="1173"/>
      <c r="Q192" s="1174"/>
      <c r="R192" s="1175"/>
      <c r="S192" s="1176"/>
      <c r="T192" s="1177"/>
      <c r="U192" s="5248"/>
      <c r="V192" s="1177"/>
      <c r="W192" s="5249"/>
      <c r="X192" s="5208"/>
      <c r="Y192" s="5209"/>
      <c r="Z192" s="5210"/>
      <c r="AA192" s="5211"/>
      <c r="AB192" s="1178"/>
      <c r="AC192" s="1179"/>
      <c r="AD192" s="227" t="s">
        <v>22</v>
      </c>
      <c r="AE192" s="1027" t="str">
        <f t="shared" si="70"/>
        <v>►</v>
      </c>
      <c r="AF192" s="1028" t="str">
        <f t="shared" si="71"/>
        <v/>
      </c>
      <c r="AG192" s="1029" t="str">
        <f t="shared" si="72"/>
        <v/>
      </c>
      <c r="AH192" s="1028" t="str">
        <f t="shared" si="73"/>
        <v/>
      </c>
      <c r="AI192" s="1029" t="str">
        <f t="shared" si="74"/>
        <v/>
      </c>
      <c r="AJ192" s="1029">
        <f t="shared" si="75"/>
        <v>0</v>
      </c>
      <c r="AK192" s="1043" t="str" cm="1">
        <f t="array" ref="AK192">IF(AE192&lt;&gt;"A","",IFERROR((IFERROR(_xlfn.XLOOKUP(TRIM(SUBSTITUTE(U192,CHAR(160)," ")),$BI$15:$BI$62,$BL$15:$BL$62),IFERROR(_xlfn.XLOOKUP(TRIM(SUBSTITUTE(U192,CHAR(160)," ")),$BJ$15:$BJ$62,$BL$15:$BL$62),_xlfn.XLOOKUP(TRIM(SUBSTITUTE(U192,CHAR(160)," ")),$BK$15:$BK$62,$BL$15:$BL$62))))*T192*IF(ISBLANK(Q192),1,Q192)+IFERROR(_xlfn.XLOOKUP("RECHERCHEX",TRIM(L192:AC192),L192:AC192),0),0))</f>
        <v/>
      </c>
      <c r="AL192" s="1030">
        <f t="shared" si="76"/>
        <v>0</v>
      </c>
      <c r="AM192" s="5254" t="str">
        <f t="shared" si="91"/>
        <v/>
      </c>
      <c r="AN192" s="1031">
        <f t="shared" si="77"/>
        <v>0</v>
      </c>
      <c r="AO192" s="1031">
        <f t="shared" si="78"/>
        <v>0</v>
      </c>
      <c r="AP192" s="1032">
        <f t="shared" si="79"/>
        <v>0</v>
      </c>
      <c r="AQ192" s="5255" t="str">
        <f t="shared" si="80"/>
        <v/>
      </c>
      <c r="AR192" s="1056"/>
      <c r="AS192" s="1056"/>
      <c r="AT192" s="1034">
        <f t="shared" si="81"/>
        <v>0</v>
      </c>
      <c r="AU192" s="1035">
        <f t="shared" si="82"/>
        <v>0</v>
      </c>
      <c r="AV192" s="1057" cm="1">
        <f t="array" ref="AV192">IF(AJ192&lt;&gt;1,0,IF(OR(AT192="",N(AT192)&lt;=0.000000001),"",IF(OR(AN192="",N(AN192)&lt;=0.000000001),0,IF(ISNUMBER(AT192),IFERROR(_xlfn.LET(_xlpm.ai_test,TRIM(AI192),_xlpm.r,IFERROR(_xlfn.XLOOKUP(_xlpm.ai_test,$BI$15:$BI$62,ROW($BI$15:$BI$62),0,1),IFERROR(_xlfn.XLOOKUP(_xlpm.ai_test,$BJ$15:$BJ$62,ROW($BJ$15:$BJ$62),0,1),_xlfn.XLOOKUP(_xlpm.ai_test,$BK$15:$BK$62,ROW($BK$15:$BK$62),0,1))),_xlpm.p,_xlpm.r-MIN(ROW($BI$15:$BI$62))+1,_xlpm.f,INDEX($BL$15:$BL$62,_xlpm.p),_xlpm.u,INDEX($BM$15:$BM$62,_xlpm.p),_xlpm.s,INDEX($BO$15:$BO$62,_xlpm.p),_xlpm.q,N(AT192)/_xlpm.f,IF(_xlpm.q&gt;=_xlpm.s,ROUND(_xlpm.q,1)&amp;" "&amp;_xlpm.ai_test&amp;" = "&amp;ROUND(_xlpm.q*_xlpm.f,1)&amp;" "&amp;_xlpm.u,ROUND(_xlpm.q,1)&amp;" "&amp;_xlpm.ai_test)),""),""))))</f>
        <v>0</v>
      </c>
      <c r="AW192" s="1047"/>
      <c r="AX192" s="1034">
        <f t="shared" si="83"/>
        <v>0</v>
      </c>
      <c r="AY192" s="1035" t="str">
        <f t="shared" si="84"/>
        <v/>
      </c>
      <c r="AZ192" s="1036">
        <f t="shared" si="89"/>
        <v>0</v>
      </c>
      <c r="BA192" s="1037" t="str">
        <f t="shared" si="85"/>
        <v/>
      </c>
      <c r="BB192" s="1038"/>
      <c r="BC192" s="1039">
        <f t="shared" si="90"/>
        <v>0</v>
      </c>
      <c r="BD192" s="1040" t="str">
        <f t="shared" si="86"/>
        <v/>
      </c>
      <c r="BE192" s="227" t="s">
        <v>22</v>
      </c>
      <c r="BF192" s="1019">
        <f t="shared" si="87"/>
        <v>0</v>
      </c>
      <c r="BG192" s="1020">
        <f t="shared" si="88"/>
        <v>0</v>
      </c>
      <c r="BH192"/>
      <c r="BQ192"/>
      <c r="BR192"/>
      <c r="BS192"/>
      <c r="BT192"/>
      <c r="BU192"/>
      <c r="BV192"/>
      <c r="BW192" s="959" t="str">
        <f t="shared" si="69"/>
        <v>►</v>
      </c>
      <c r="BX192"/>
      <c r="BY192"/>
      <c r="BZ192"/>
      <c r="CA192"/>
      <c r="CB192"/>
      <c r="CC192" s="856"/>
      <c r="CD192"/>
      <c r="CE192"/>
      <c r="CF192"/>
      <c r="CG192"/>
      <c r="CH192"/>
      <c r="CI192"/>
      <c r="CJ192"/>
      <c r="CL192"/>
      <c r="CM192"/>
      <c r="CN192"/>
      <c r="CO192"/>
      <c r="CP192"/>
      <c r="CQ192"/>
      <c r="CR192"/>
      <c r="CT192"/>
      <c r="CU192"/>
      <c r="CV192"/>
      <c r="CW192"/>
      <c r="CX192"/>
      <c r="CY192"/>
      <c r="CZ192"/>
      <c r="DB192" s="3">
        <v>1</v>
      </c>
    </row>
    <row r="193" spans="1:106" s="709" customFormat="1" ht="21" customHeight="1">
      <c r="A193" s="936" t="s">
        <v>22</v>
      </c>
      <c r="B193" s="952" t="str">
        <f t="shared" si="68"/>
        <v>►</v>
      </c>
      <c r="C193" s="993" cm="1">
        <f t="array" ref="C193">SUMPRODUCT(LEN(D193:J193))</f>
        <v>0</v>
      </c>
      <c r="D193" s="167"/>
      <c r="E193" s="172"/>
      <c r="F193" s="172"/>
      <c r="G193" s="172"/>
      <c r="H193" s="172"/>
      <c r="I193" s="172"/>
      <c r="J193" s="173"/>
      <c r="K193" s="442"/>
      <c r="L193" s="104" t="s">
        <v>16</v>
      </c>
      <c r="M193" s="1172"/>
      <c r="N193" s="1172"/>
      <c r="O193" s="1172"/>
      <c r="P193" s="1173"/>
      <c r="Q193" s="1174"/>
      <c r="R193" s="1175"/>
      <c r="S193" s="1176"/>
      <c r="T193" s="1177"/>
      <c r="U193" s="5248"/>
      <c r="V193" s="1177"/>
      <c r="W193" s="5249"/>
      <c r="X193" s="5208"/>
      <c r="Y193" s="5209"/>
      <c r="Z193" s="5210"/>
      <c r="AA193" s="5211"/>
      <c r="AB193" s="1178"/>
      <c r="AC193" s="1179"/>
      <c r="AD193" s="227" t="s">
        <v>22</v>
      </c>
      <c r="AE193" s="1027" t="str">
        <f t="shared" si="70"/>
        <v>►</v>
      </c>
      <c r="AF193" s="1028" t="str">
        <f t="shared" si="71"/>
        <v/>
      </c>
      <c r="AG193" s="1029" t="str">
        <f t="shared" si="72"/>
        <v/>
      </c>
      <c r="AH193" s="1028" t="str">
        <f t="shared" si="73"/>
        <v/>
      </c>
      <c r="AI193" s="1029" t="str">
        <f t="shared" si="74"/>
        <v/>
      </c>
      <c r="AJ193" s="1029">
        <f t="shared" si="75"/>
        <v>0</v>
      </c>
      <c r="AK193" s="1043" t="str" cm="1">
        <f t="array" ref="AK193">IF(AE193&lt;&gt;"A","",IFERROR((IFERROR(_xlfn.XLOOKUP(TRIM(SUBSTITUTE(U193,CHAR(160)," ")),$BI$15:$BI$62,$BL$15:$BL$62),IFERROR(_xlfn.XLOOKUP(TRIM(SUBSTITUTE(U193,CHAR(160)," ")),$BJ$15:$BJ$62,$BL$15:$BL$62),_xlfn.XLOOKUP(TRIM(SUBSTITUTE(U193,CHAR(160)," ")),$BK$15:$BK$62,$BL$15:$BL$62))))*T193*IF(ISBLANK(Q193),1,Q193)+IFERROR(_xlfn.XLOOKUP("RECHERCHEX",TRIM(L193:AC193),L193:AC193),0),0))</f>
        <v/>
      </c>
      <c r="AL193" s="1030">
        <f t="shared" si="76"/>
        <v>0</v>
      </c>
      <c r="AM193" s="5254" t="str">
        <f t="shared" si="91"/>
        <v/>
      </c>
      <c r="AN193" s="1031">
        <f t="shared" si="77"/>
        <v>0</v>
      </c>
      <c r="AO193" s="1031">
        <f t="shared" si="78"/>
        <v>0</v>
      </c>
      <c r="AP193" s="1044">
        <f t="shared" si="79"/>
        <v>0</v>
      </c>
      <c r="AQ193" s="5257" t="str">
        <f t="shared" si="80"/>
        <v/>
      </c>
      <c r="AR193" s="1056"/>
      <c r="AS193" s="1056"/>
      <c r="AT193" s="1045">
        <f t="shared" si="81"/>
        <v>0</v>
      </c>
      <c r="AU193" s="1046">
        <f t="shared" si="82"/>
        <v>0</v>
      </c>
      <c r="AV193" s="1059" cm="1">
        <f t="array" ref="AV193">IF(AJ193&lt;&gt;1,0,IF(OR(AT193="",N(AT193)&lt;=0.000000001),"",IF(OR(AN193="",N(AN193)&lt;=0.000000001),0,IF(ISNUMBER(AT193),IFERROR(_xlfn.LET(_xlpm.ai_test,TRIM(AI193),_xlpm.r,IFERROR(_xlfn.XLOOKUP(_xlpm.ai_test,$BI$15:$BI$62,ROW($BI$15:$BI$62),0,1),IFERROR(_xlfn.XLOOKUP(_xlpm.ai_test,$BJ$15:$BJ$62,ROW($BJ$15:$BJ$62),0,1),_xlfn.XLOOKUP(_xlpm.ai_test,$BK$15:$BK$62,ROW($BK$15:$BK$62),0,1))),_xlpm.p,_xlpm.r-MIN(ROW($BI$15:$BI$62))+1,_xlpm.f,INDEX($BL$15:$BL$62,_xlpm.p),_xlpm.u,INDEX($BM$15:$BM$62,_xlpm.p),_xlpm.s,INDEX($BO$15:$BO$62,_xlpm.p),_xlpm.q,N(AT193)/_xlpm.f,IF(_xlpm.q&gt;=_xlpm.s,ROUND(_xlpm.q,1)&amp;" "&amp;_xlpm.ai_test&amp;" = "&amp;ROUND(_xlpm.q*_xlpm.f,1)&amp;" "&amp;_xlpm.u,ROUND(_xlpm.q,1)&amp;" "&amp;_xlpm.ai_test)),""),""))))</f>
        <v>0</v>
      </c>
      <c r="AW193" s="1047"/>
      <c r="AX193" s="1045">
        <f t="shared" si="83"/>
        <v>0</v>
      </c>
      <c r="AY193" s="1046" t="str">
        <f t="shared" si="84"/>
        <v/>
      </c>
      <c r="AZ193" s="1048">
        <f t="shared" si="89"/>
        <v>0</v>
      </c>
      <c r="BA193" s="1049" t="str">
        <f t="shared" si="85"/>
        <v/>
      </c>
      <c r="BB193" s="1038"/>
      <c r="BC193" s="1050">
        <f t="shared" si="90"/>
        <v>0</v>
      </c>
      <c r="BD193" s="1040" t="str">
        <f t="shared" si="86"/>
        <v/>
      </c>
      <c r="BE193" s="227" t="s">
        <v>22</v>
      </c>
      <c r="BF193" s="1019">
        <f t="shared" si="87"/>
        <v>0</v>
      </c>
      <c r="BG193" s="1020">
        <f t="shared" si="88"/>
        <v>0</v>
      </c>
      <c r="BH193"/>
      <c r="BQ193"/>
      <c r="BR193"/>
      <c r="BS193"/>
      <c r="BT193"/>
      <c r="BU193"/>
      <c r="BV193"/>
      <c r="BW193" s="959" t="str">
        <f t="shared" si="69"/>
        <v>►</v>
      </c>
      <c r="BX193"/>
      <c r="BY193"/>
      <c r="BZ193"/>
      <c r="CA193"/>
      <c r="CB193"/>
      <c r="CC193" s="856"/>
      <c r="CD193"/>
      <c r="CE193"/>
      <c r="CF193"/>
      <c r="CG193"/>
      <c r="CH193"/>
      <c r="CI193"/>
      <c r="CJ193"/>
      <c r="CL193"/>
      <c r="CM193"/>
      <c r="CN193"/>
      <c r="CO193"/>
      <c r="CP193"/>
      <c r="CQ193"/>
      <c r="CR193"/>
      <c r="CT193"/>
      <c r="CU193"/>
      <c r="CV193"/>
      <c r="CW193"/>
      <c r="CX193"/>
      <c r="CY193"/>
      <c r="CZ193"/>
      <c r="DB193" s="3">
        <v>1</v>
      </c>
    </row>
    <row r="194" spans="1:106" s="709" customFormat="1" ht="21" customHeight="1">
      <c r="A194" s="936" t="s">
        <v>22</v>
      </c>
      <c r="B194" s="952" t="str">
        <f t="shared" si="68"/>
        <v>►</v>
      </c>
      <c r="C194" s="993" cm="1">
        <f t="array" ref="C194">SUMPRODUCT(LEN(D194:J194))</f>
        <v>0</v>
      </c>
      <c r="D194" s="167"/>
      <c r="E194" s="172"/>
      <c r="F194" s="172"/>
      <c r="G194" s="172"/>
      <c r="H194" s="172"/>
      <c r="I194" s="172"/>
      <c r="J194" s="173"/>
      <c r="K194" s="442"/>
      <c r="L194" s="104" t="s">
        <v>16</v>
      </c>
      <c r="M194" s="1172"/>
      <c r="N194" s="1172"/>
      <c r="O194" s="1172"/>
      <c r="P194" s="1173"/>
      <c r="Q194" s="1174"/>
      <c r="R194" s="1175"/>
      <c r="S194" s="1176"/>
      <c r="T194" s="1177"/>
      <c r="U194" s="5248"/>
      <c r="V194" s="1177"/>
      <c r="W194" s="5249"/>
      <c r="X194" s="5208"/>
      <c r="Y194" s="5209"/>
      <c r="Z194" s="5210"/>
      <c r="AA194" s="5211"/>
      <c r="AB194" s="1178"/>
      <c r="AC194" s="1179"/>
      <c r="AD194" s="227" t="s">
        <v>22</v>
      </c>
      <c r="AE194" s="1027" t="str">
        <f t="shared" si="70"/>
        <v>►</v>
      </c>
      <c r="AF194" s="1028" t="str">
        <f t="shared" si="71"/>
        <v/>
      </c>
      <c r="AG194" s="1029" t="str">
        <f t="shared" si="72"/>
        <v/>
      </c>
      <c r="AH194" s="1028" t="str">
        <f t="shared" si="73"/>
        <v/>
      </c>
      <c r="AI194" s="1029" t="str">
        <f t="shared" si="74"/>
        <v/>
      </c>
      <c r="AJ194" s="1029">
        <f t="shared" si="75"/>
        <v>0</v>
      </c>
      <c r="AK194" s="1043" t="str" cm="1">
        <f t="array" ref="AK194">IF(AE194&lt;&gt;"A","",IFERROR((IFERROR(_xlfn.XLOOKUP(TRIM(SUBSTITUTE(U194,CHAR(160)," ")),$BI$15:$BI$62,$BL$15:$BL$62),IFERROR(_xlfn.XLOOKUP(TRIM(SUBSTITUTE(U194,CHAR(160)," ")),$BJ$15:$BJ$62,$BL$15:$BL$62),_xlfn.XLOOKUP(TRIM(SUBSTITUTE(U194,CHAR(160)," ")),$BK$15:$BK$62,$BL$15:$BL$62))))*T194*IF(ISBLANK(Q194),1,Q194)+IFERROR(_xlfn.XLOOKUP("RECHERCHEX",TRIM(L194:AC194),L194:AC194),0),0))</f>
        <v/>
      </c>
      <c r="AL194" s="1030">
        <f t="shared" si="76"/>
        <v>0</v>
      </c>
      <c r="AM194" s="5254" t="str">
        <f t="shared" si="91"/>
        <v/>
      </c>
      <c r="AN194" s="1031">
        <f t="shared" si="77"/>
        <v>0</v>
      </c>
      <c r="AO194" s="1031">
        <f t="shared" si="78"/>
        <v>0</v>
      </c>
      <c r="AP194" s="1032">
        <f t="shared" si="79"/>
        <v>0</v>
      </c>
      <c r="AQ194" s="5255" t="str">
        <f t="shared" si="80"/>
        <v/>
      </c>
      <c r="AR194" s="1056"/>
      <c r="AS194" s="1056"/>
      <c r="AT194" s="1034">
        <f t="shared" si="81"/>
        <v>0</v>
      </c>
      <c r="AU194" s="1035">
        <f t="shared" si="82"/>
        <v>0</v>
      </c>
      <c r="AV194" s="1057" cm="1">
        <f t="array" ref="AV194">IF(AJ194&lt;&gt;1,0,IF(OR(AT194="",N(AT194)&lt;=0.000000001),"",IF(OR(AN194="",N(AN194)&lt;=0.000000001),0,IF(ISNUMBER(AT194),IFERROR(_xlfn.LET(_xlpm.ai_test,TRIM(AI194),_xlpm.r,IFERROR(_xlfn.XLOOKUP(_xlpm.ai_test,$BI$15:$BI$62,ROW($BI$15:$BI$62),0,1),IFERROR(_xlfn.XLOOKUP(_xlpm.ai_test,$BJ$15:$BJ$62,ROW($BJ$15:$BJ$62),0,1),_xlfn.XLOOKUP(_xlpm.ai_test,$BK$15:$BK$62,ROW($BK$15:$BK$62),0,1))),_xlpm.p,_xlpm.r-MIN(ROW($BI$15:$BI$62))+1,_xlpm.f,INDEX($BL$15:$BL$62,_xlpm.p),_xlpm.u,INDEX($BM$15:$BM$62,_xlpm.p),_xlpm.s,INDEX($BO$15:$BO$62,_xlpm.p),_xlpm.q,N(AT194)/_xlpm.f,IF(_xlpm.q&gt;=_xlpm.s,ROUND(_xlpm.q,1)&amp;" "&amp;_xlpm.ai_test&amp;" = "&amp;ROUND(_xlpm.q*_xlpm.f,1)&amp;" "&amp;_xlpm.u,ROUND(_xlpm.q,1)&amp;" "&amp;_xlpm.ai_test)),""),""))))</f>
        <v>0</v>
      </c>
      <c r="AW194" s="1047"/>
      <c r="AX194" s="1034">
        <f t="shared" si="83"/>
        <v>0</v>
      </c>
      <c r="AY194" s="1035" t="str">
        <f t="shared" si="84"/>
        <v/>
      </c>
      <c r="AZ194" s="1036">
        <f t="shared" si="89"/>
        <v>0</v>
      </c>
      <c r="BA194" s="1037" t="str">
        <f t="shared" si="85"/>
        <v/>
      </c>
      <c r="BB194" s="1038"/>
      <c r="BC194" s="1039">
        <f t="shared" si="90"/>
        <v>0</v>
      </c>
      <c r="BD194" s="1040" t="str">
        <f t="shared" si="86"/>
        <v/>
      </c>
      <c r="BE194" s="227" t="s">
        <v>22</v>
      </c>
      <c r="BF194" s="1019">
        <f t="shared" si="87"/>
        <v>0</v>
      </c>
      <c r="BG194" s="1020">
        <f t="shared" si="88"/>
        <v>0</v>
      </c>
      <c r="BH194"/>
      <c r="BQ194"/>
      <c r="BR194"/>
      <c r="BS194"/>
      <c r="BT194"/>
      <c r="BU194"/>
      <c r="BV194"/>
      <c r="BW194" s="959" t="str">
        <f t="shared" si="69"/>
        <v>►</v>
      </c>
      <c r="BX194"/>
      <c r="BY194"/>
      <c r="BZ194"/>
      <c r="CA194"/>
      <c r="CB194"/>
      <c r="CC194" s="856"/>
      <c r="CD194"/>
      <c r="CE194"/>
      <c r="CF194"/>
      <c r="CG194"/>
      <c r="CH194"/>
      <c r="CI194"/>
      <c r="CJ194"/>
      <c r="CL194"/>
      <c r="CM194"/>
      <c r="CN194"/>
      <c r="CO194"/>
      <c r="CP194"/>
      <c r="CQ194"/>
      <c r="CR194"/>
      <c r="CT194"/>
      <c r="CU194"/>
      <c r="CV194"/>
      <c r="CW194"/>
      <c r="CX194"/>
      <c r="CY194"/>
      <c r="CZ194"/>
      <c r="DB194" s="3">
        <v>1</v>
      </c>
    </row>
    <row r="195" spans="1:106" s="709" customFormat="1" ht="21" customHeight="1">
      <c r="A195" s="936" t="s">
        <v>22</v>
      </c>
      <c r="B195" s="952" t="str">
        <f t="shared" si="68"/>
        <v>►</v>
      </c>
      <c r="C195" s="993" cm="1">
        <f t="array" ref="C195">SUMPRODUCT(LEN(D195:J195))</f>
        <v>0</v>
      </c>
      <c r="D195" s="167"/>
      <c r="E195" s="172"/>
      <c r="F195" s="172"/>
      <c r="G195" s="172"/>
      <c r="H195" s="172"/>
      <c r="I195" s="172"/>
      <c r="J195" s="173"/>
      <c r="K195" s="442"/>
      <c r="L195" s="104" t="s">
        <v>16</v>
      </c>
      <c r="M195" s="1172"/>
      <c r="N195" s="1172"/>
      <c r="O195" s="1172"/>
      <c r="P195" s="1173"/>
      <c r="Q195" s="1174"/>
      <c r="R195" s="1175"/>
      <c r="S195" s="1176"/>
      <c r="T195" s="1177"/>
      <c r="U195" s="5248"/>
      <c r="V195" s="1177"/>
      <c r="W195" s="5249"/>
      <c r="X195" s="5208"/>
      <c r="Y195" s="5209"/>
      <c r="Z195" s="5210"/>
      <c r="AA195" s="5211"/>
      <c r="AB195" s="1178"/>
      <c r="AC195" s="1179"/>
      <c r="AD195" s="227" t="s">
        <v>22</v>
      </c>
      <c r="AE195" s="1027" t="str">
        <f t="shared" si="70"/>
        <v>►</v>
      </c>
      <c r="AF195" s="1028" t="str">
        <f t="shared" si="71"/>
        <v/>
      </c>
      <c r="AG195" s="1029" t="str">
        <f t="shared" si="72"/>
        <v/>
      </c>
      <c r="AH195" s="1028" t="str">
        <f t="shared" si="73"/>
        <v/>
      </c>
      <c r="AI195" s="1029" t="str">
        <f t="shared" si="74"/>
        <v/>
      </c>
      <c r="AJ195" s="1029">
        <f t="shared" si="75"/>
        <v>0</v>
      </c>
      <c r="AK195" s="1043" t="str" cm="1">
        <f t="array" ref="AK195">IF(AE195&lt;&gt;"A","",IFERROR((IFERROR(_xlfn.XLOOKUP(TRIM(SUBSTITUTE(U195,CHAR(160)," ")),$BI$15:$BI$62,$BL$15:$BL$62),IFERROR(_xlfn.XLOOKUP(TRIM(SUBSTITUTE(U195,CHAR(160)," ")),$BJ$15:$BJ$62,$BL$15:$BL$62),_xlfn.XLOOKUP(TRIM(SUBSTITUTE(U195,CHAR(160)," ")),$BK$15:$BK$62,$BL$15:$BL$62))))*T195*IF(ISBLANK(Q195),1,Q195)+IFERROR(_xlfn.XLOOKUP("RECHERCHEX",TRIM(L195:AC195),L195:AC195),0),0))</f>
        <v/>
      </c>
      <c r="AL195" s="1030">
        <f t="shared" si="76"/>
        <v>0</v>
      </c>
      <c r="AM195" s="5254" t="str">
        <f t="shared" si="91"/>
        <v/>
      </c>
      <c r="AN195" s="1031">
        <f t="shared" si="77"/>
        <v>0</v>
      </c>
      <c r="AO195" s="1031">
        <f t="shared" si="78"/>
        <v>0</v>
      </c>
      <c r="AP195" s="1044">
        <f t="shared" si="79"/>
        <v>0</v>
      </c>
      <c r="AQ195" s="5257" t="str">
        <f t="shared" si="80"/>
        <v/>
      </c>
      <c r="AR195" s="1056"/>
      <c r="AS195" s="1056"/>
      <c r="AT195" s="1045">
        <f t="shared" si="81"/>
        <v>0</v>
      </c>
      <c r="AU195" s="1046">
        <f t="shared" si="82"/>
        <v>0</v>
      </c>
      <c r="AV195" s="1059" cm="1">
        <f t="array" ref="AV195">IF(AJ195&lt;&gt;1,0,IF(OR(AT195="",N(AT195)&lt;=0.000000001),"",IF(OR(AN195="",N(AN195)&lt;=0.000000001),0,IF(ISNUMBER(AT195),IFERROR(_xlfn.LET(_xlpm.ai_test,TRIM(AI195),_xlpm.r,IFERROR(_xlfn.XLOOKUP(_xlpm.ai_test,$BI$15:$BI$62,ROW($BI$15:$BI$62),0,1),IFERROR(_xlfn.XLOOKUP(_xlpm.ai_test,$BJ$15:$BJ$62,ROW($BJ$15:$BJ$62),0,1),_xlfn.XLOOKUP(_xlpm.ai_test,$BK$15:$BK$62,ROW($BK$15:$BK$62),0,1))),_xlpm.p,_xlpm.r-MIN(ROW($BI$15:$BI$62))+1,_xlpm.f,INDEX($BL$15:$BL$62,_xlpm.p),_xlpm.u,INDEX($BM$15:$BM$62,_xlpm.p),_xlpm.s,INDEX($BO$15:$BO$62,_xlpm.p),_xlpm.q,N(AT195)/_xlpm.f,IF(_xlpm.q&gt;=_xlpm.s,ROUND(_xlpm.q,1)&amp;" "&amp;_xlpm.ai_test&amp;" = "&amp;ROUND(_xlpm.q*_xlpm.f,1)&amp;" "&amp;_xlpm.u,ROUND(_xlpm.q,1)&amp;" "&amp;_xlpm.ai_test)),""),""))))</f>
        <v>0</v>
      </c>
      <c r="AW195" s="1047"/>
      <c r="AX195" s="1045">
        <f t="shared" si="83"/>
        <v>0</v>
      </c>
      <c r="AY195" s="1046" t="str">
        <f t="shared" si="84"/>
        <v/>
      </c>
      <c r="AZ195" s="1048">
        <f t="shared" si="89"/>
        <v>0</v>
      </c>
      <c r="BA195" s="1049" t="str">
        <f t="shared" si="85"/>
        <v/>
      </c>
      <c r="BB195" s="1038"/>
      <c r="BC195" s="1050">
        <f t="shared" si="90"/>
        <v>0</v>
      </c>
      <c r="BD195" s="1040" t="str">
        <f t="shared" si="86"/>
        <v/>
      </c>
      <c r="BE195" s="227" t="s">
        <v>22</v>
      </c>
      <c r="BF195" s="1019">
        <f t="shared" si="87"/>
        <v>0</v>
      </c>
      <c r="BG195" s="1020">
        <f t="shared" si="88"/>
        <v>0</v>
      </c>
      <c r="BH195"/>
      <c r="BQ195"/>
      <c r="BR195"/>
      <c r="BS195"/>
      <c r="BT195"/>
      <c r="BU195"/>
      <c r="BV195"/>
      <c r="BW195" s="959" t="str">
        <f t="shared" si="69"/>
        <v>►</v>
      </c>
      <c r="BX195"/>
      <c r="BY195"/>
      <c r="BZ195"/>
      <c r="CA195"/>
      <c r="CB195"/>
      <c r="CC195" s="856"/>
      <c r="CD195"/>
      <c r="CE195"/>
      <c r="CF195"/>
      <c r="CG195"/>
      <c r="CH195"/>
      <c r="CI195"/>
      <c r="CJ195"/>
      <c r="CL195"/>
      <c r="CM195"/>
      <c r="CN195"/>
      <c r="CO195"/>
      <c r="CP195"/>
      <c r="CQ195"/>
      <c r="CR195"/>
      <c r="CT195"/>
      <c r="CU195"/>
      <c r="CV195"/>
      <c r="CW195"/>
      <c r="CX195"/>
      <c r="CY195"/>
      <c r="CZ195"/>
      <c r="DB195" s="3">
        <v>1</v>
      </c>
    </row>
    <row r="196" spans="1:106" s="709" customFormat="1" ht="21" customHeight="1">
      <c r="A196" s="936" t="s">
        <v>22</v>
      </c>
      <c r="B196" s="952" t="str">
        <f t="shared" si="68"/>
        <v>►</v>
      </c>
      <c r="C196" s="993" cm="1">
        <f t="array" ref="C196">SUMPRODUCT(LEN(D196:J196))</f>
        <v>0</v>
      </c>
      <c r="D196" s="167"/>
      <c r="E196" s="172"/>
      <c r="F196" s="172"/>
      <c r="G196" s="172"/>
      <c r="H196" s="172"/>
      <c r="I196" s="172"/>
      <c r="J196" s="173"/>
      <c r="K196" s="442"/>
      <c r="L196" s="104" t="s">
        <v>16</v>
      </c>
      <c r="M196" s="1172"/>
      <c r="N196" s="1172"/>
      <c r="O196" s="1172"/>
      <c r="P196" s="1173"/>
      <c r="Q196" s="1174"/>
      <c r="R196" s="1175"/>
      <c r="S196" s="1176"/>
      <c r="T196" s="1177"/>
      <c r="U196" s="5248"/>
      <c r="V196" s="1177"/>
      <c r="W196" s="5249"/>
      <c r="X196" s="5208"/>
      <c r="Y196" s="5209"/>
      <c r="Z196" s="5210"/>
      <c r="AA196" s="5211"/>
      <c r="AB196" s="1178"/>
      <c r="AC196" s="1179"/>
      <c r="AD196" s="227" t="s">
        <v>22</v>
      </c>
      <c r="AE196" s="1027" t="str">
        <f t="shared" si="70"/>
        <v>►</v>
      </c>
      <c r="AF196" s="1028" t="str">
        <f t="shared" si="71"/>
        <v/>
      </c>
      <c r="AG196" s="1029" t="str">
        <f t="shared" si="72"/>
        <v/>
      </c>
      <c r="AH196" s="1028" t="str">
        <f t="shared" si="73"/>
        <v/>
      </c>
      <c r="AI196" s="1029" t="str">
        <f t="shared" si="74"/>
        <v/>
      </c>
      <c r="AJ196" s="1029">
        <f t="shared" si="75"/>
        <v>0</v>
      </c>
      <c r="AK196" s="1043" t="str" cm="1">
        <f t="array" ref="AK196">IF(AE196&lt;&gt;"A","",IFERROR((IFERROR(_xlfn.XLOOKUP(TRIM(SUBSTITUTE(U196,CHAR(160)," ")),$BI$15:$BI$62,$BL$15:$BL$62),IFERROR(_xlfn.XLOOKUP(TRIM(SUBSTITUTE(U196,CHAR(160)," ")),$BJ$15:$BJ$62,$BL$15:$BL$62),_xlfn.XLOOKUP(TRIM(SUBSTITUTE(U196,CHAR(160)," ")),$BK$15:$BK$62,$BL$15:$BL$62))))*T196*IF(ISBLANK(Q196),1,Q196)+IFERROR(_xlfn.XLOOKUP("RECHERCHEX",TRIM(L196:AC196),L196:AC196),0),0))</f>
        <v/>
      </c>
      <c r="AL196" s="1030">
        <f t="shared" si="76"/>
        <v>0</v>
      </c>
      <c r="AM196" s="5254" t="str">
        <f t="shared" si="91"/>
        <v/>
      </c>
      <c r="AN196" s="1031">
        <f t="shared" si="77"/>
        <v>0</v>
      </c>
      <c r="AO196" s="1031">
        <f t="shared" si="78"/>
        <v>0</v>
      </c>
      <c r="AP196" s="1032">
        <f t="shared" si="79"/>
        <v>0</v>
      </c>
      <c r="AQ196" s="5255" t="str">
        <f t="shared" si="80"/>
        <v/>
      </c>
      <c r="AR196" s="1056"/>
      <c r="AS196" s="1056"/>
      <c r="AT196" s="1034">
        <f t="shared" si="81"/>
        <v>0</v>
      </c>
      <c r="AU196" s="1035">
        <f t="shared" si="82"/>
        <v>0</v>
      </c>
      <c r="AV196" s="1057" cm="1">
        <f t="array" ref="AV196">IF(AJ196&lt;&gt;1,0,IF(OR(AT196="",N(AT196)&lt;=0.000000001),"",IF(OR(AN196="",N(AN196)&lt;=0.000000001),0,IF(ISNUMBER(AT196),IFERROR(_xlfn.LET(_xlpm.ai_test,TRIM(AI196),_xlpm.r,IFERROR(_xlfn.XLOOKUP(_xlpm.ai_test,$BI$15:$BI$62,ROW($BI$15:$BI$62),0,1),IFERROR(_xlfn.XLOOKUP(_xlpm.ai_test,$BJ$15:$BJ$62,ROW($BJ$15:$BJ$62),0,1),_xlfn.XLOOKUP(_xlpm.ai_test,$BK$15:$BK$62,ROW($BK$15:$BK$62),0,1))),_xlpm.p,_xlpm.r-MIN(ROW($BI$15:$BI$62))+1,_xlpm.f,INDEX($BL$15:$BL$62,_xlpm.p),_xlpm.u,INDEX($BM$15:$BM$62,_xlpm.p),_xlpm.s,INDEX($BO$15:$BO$62,_xlpm.p),_xlpm.q,N(AT196)/_xlpm.f,IF(_xlpm.q&gt;=_xlpm.s,ROUND(_xlpm.q,1)&amp;" "&amp;_xlpm.ai_test&amp;" = "&amp;ROUND(_xlpm.q*_xlpm.f,1)&amp;" "&amp;_xlpm.u,ROUND(_xlpm.q,1)&amp;" "&amp;_xlpm.ai_test)),""),""))))</f>
        <v>0</v>
      </c>
      <c r="AW196" s="1047"/>
      <c r="AX196" s="1034">
        <f t="shared" si="83"/>
        <v>0</v>
      </c>
      <c r="AY196" s="1035" t="str">
        <f t="shared" si="84"/>
        <v/>
      </c>
      <c r="AZ196" s="1036">
        <f t="shared" si="89"/>
        <v>0</v>
      </c>
      <c r="BA196" s="1037" t="str">
        <f t="shared" si="85"/>
        <v/>
      </c>
      <c r="BB196" s="1038"/>
      <c r="BC196" s="1039">
        <f t="shared" si="90"/>
        <v>0</v>
      </c>
      <c r="BD196" s="1040" t="str">
        <f t="shared" si="86"/>
        <v/>
      </c>
      <c r="BE196" s="227" t="s">
        <v>22</v>
      </c>
      <c r="BF196" s="1019">
        <f t="shared" si="87"/>
        <v>0</v>
      </c>
      <c r="BG196" s="1020">
        <f t="shared" si="88"/>
        <v>0</v>
      </c>
      <c r="BH196"/>
      <c r="BQ196"/>
      <c r="BR196"/>
      <c r="BS196"/>
      <c r="BT196"/>
      <c r="BU196"/>
      <c r="BV196"/>
      <c r="BW196" s="959" t="str">
        <f t="shared" si="69"/>
        <v>►</v>
      </c>
      <c r="BX196"/>
      <c r="BY196"/>
      <c r="BZ196"/>
      <c r="CA196"/>
      <c r="CB196"/>
      <c r="CC196" s="856"/>
      <c r="CD196"/>
      <c r="CE196"/>
      <c r="CF196"/>
      <c r="CG196"/>
      <c r="CH196"/>
      <c r="CI196"/>
      <c r="CJ196"/>
      <c r="CL196"/>
      <c r="CM196"/>
      <c r="CN196"/>
      <c r="CO196"/>
      <c r="CP196"/>
      <c r="CQ196"/>
      <c r="CR196"/>
      <c r="CT196"/>
      <c r="CU196"/>
      <c r="CV196"/>
      <c r="CW196"/>
      <c r="CX196"/>
      <c r="CY196"/>
      <c r="CZ196"/>
      <c r="DB196" s="3">
        <v>1</v>
      </c>
    </row>
    <row r="197" spans="1:106" s="709" customFormat="1" ht="21" customHeight="1">
      <c r="A197" s="936" t="s">
        <v>22</v>
      </c>
      <c r="B197" s="952" t="str">
        <f t="shared" ref="B197:B260" si="92">L197</f>
        <v>►</v>
      </c>
      <c r="C197" s="993" cm="1">
        <f t="array" ref="C197">SUMPRODUCT(LEN(D197:J197))</f>
        <v>0</v>
      </c>
      <c r="D197" s="167"/>
      <c r="E197" s="172"/>
      <c r="F197" s="172"/>
      <c r="G197" s="172"/>
      <c r="H197" s="172"/>
      <c r="I197" s="172"/>
      <c r="J197" s="173"/>
      <c r="K197" s="442"/>
      <c r="L197" s="104" t="s">
        <v>16</v>
      </c>
      <c r="M197" s="1172"/>
      <c r="N197" s="1172"/>
      <c r="O197" s="1172"/>
      <c r="P197" s="1173"/>
      <c r="Q197" s="1174"/>
      <c r="R197" s="1175"/>
      <c r="S197" s="1176"/>
      <c r="T197" s="1177"/>
      <c r="U197" s="5248"/>
      <c r="V197" s="1177"/>
      <c r="W197" s="5249"/>
      <c r="X197" s="5208"/>
      <c r="Y197" s="5209"/>
      <c r="Z197" s="5210"/>
      <c r="AA197" s="5211"/>
      <c r="AB197" s="1178"/>
      <c r="AC197" s="1179"/>
      <c r="AD197" s="227" t="s">
        <v>22</v>
      </c>
      <c r="AE197" s="1027" t="str">
        <f t="shared" si="70"/>
        <v>►</v>
      </c>
      <c r="AF197" s="1028" t="str">
        <f t="shared" si="71"/>
        <v/>
      </c>
      <c r="AG197" s="1029" t="str">
        <f t="shared" si="72"/>
        <v/>
      </c>
      <c r="AH197" s="1028" t="str">
        <f t="shared" si="73"/>
        <v/>
      </c>
      <c r="AI197" s="1029" t="str">
        <f t="shared" si="74"/>
        <v/>
      </c>
      <c r="AJ197" s="1029">
        <f t="shared" si="75"/>
        <v>0</v>
      </c>
      <c r="AK197" s="1043" t="str" cm="1">
        <f t="array" ref="AK197">IF(AE197&lt;&gt;"A","",IFERROR((IFERROR(_xlfn.XLOOKUP(TRIM(SUBSTITUTE(U197,CHAR(160)," ")),$BI$15:$BI$62,$BL$15:$BL$62),IFERROR(_xlfn.XLOOKUP(TRIM(SUBSTITUTE(U197,CHAR(160)," ")),$BJ$15:$BJ$62,$BL$15:$BL$62),_xlfn.XLOOKUP(TRIM(SUBSTITUTE(U197,CHAR(160)," ")),$BK$15:$BK$62,$BL$15:$BL$62))))*T197*IF(ISBLANK(Q197),1,Q197)+IFERROR(_xlfn.XLOOKUP("RECHERCHEX",TRIM(L197:AC197),L197:AC197),0),0))</f>
        <v/>
      </c>
      <c r="AL197" s="1030">
        <f t="shared" si="76"/>
        <v>0</v>
      </c>
      <c r="AM197" s="5254" t="str">
        <f t="shared" si="91"/>
        <v/>
      </c>
      <c r="AN197" s="1031">
        <f t="shared" si="77"/>
        <v>0</v>
      </c>
      <c r="AO197" s="1031">
        <f t="shared" si="78"/>
        <v>0</v>
      </c>
      <c r="AP197" s="1044">
        <f t="shared" si="79"/>
        <v>0</v>
      </c>
      <c r="AQ197" s="5257" t="str">
        <f t="shared" si="80"/>
        <v/>
      </c>
      <c r="AR197" s="1056"/>
      <c r="AS197" s="1056"/>
      <c r="AT197" s="1045">
        <f t="shared" si="81"/>
        <v>0</v>
      </c>
      <c r="AU197" s="1046">
        <f t="shared" si="82"/>
        <v>0</v>
      </c>
      <c r="AV197" s="1059" cm="1">
        <f t="array" ref="AV197">IF(AJ197&lt;&gt;1,0,IF(OR(AT197="",N(AT197)&lt;=0.000000001),"",IF(OR(AN197="",N(AN197)&lt;=0.000000001),0,IF(ISNUMBER(AT197),IFERROR(_xlfn.LET(_xlpm.ai_test,TRIM(AI197),_xlpm.r,IFERROR(_xlfn.XLOOKUP(_xlpm.ai_test,$BI$15:$BI$62,ROW($BI$15:$BI$62),0,1),IFERROR(_xlfn.XLOOKUP(_xlpm.ai_test,$BJ$15:$BJ$62,ROW($BJ$15:$BJ$62),0,1),_xlfn.XLOOKUP(_xlpm.ai_test,$BK$15:$BK$62,ROW($BK$15:$BK$62),0,1))),_xlpm.p,_xlpm.r-MIN(ROW($BI$15:$BI$62))+1,_xlpm.f,INDEX($BL$15:$BL$62,_xlpm.p),_xlpm.u,INDEX($BM$15:$BM$62,_xlpm.p),_xlpm.s,INDEX($BO$15:$BO$62,_xlpm.p),_xlpm.q,N(AT197)/_xlpm.f,IF(_xlpm.q&gt;=_xlpm.s,ROUND(_xlpm.q,1)&amp;" "&amp;_xlpm.ai_test&amp;" = "&amp;ROUND(_xlpm.q*_xlpm.f,1)&amp;" "&amp;_xlpm.u,ROUND(_xlpm.q,1)&amp;" "&amp;_xlpm.ai_test)),""),""))))</f>
        <v>0</v>
      </c>
      <c r="AW197" s="1047"/>
      <c r="AX197" s="1045">
        <f t="shared" si="83"/>
        <v>0</v>
      </c>
      <c r="AY197" s="1046" t="str">
        <f t="shared" si="84"/>
        <v/>
      </c>
      <c r="AZ197" s="1048">
        <f t="shared" si="89"/>
        <v>0</v>
      </c>
      <c r="BA197" s="1049" t="str">
        <f t="shared" si="85"/>
        <v/>
      </c>
      <c r="BB197" s="1038"/>
      <c r="BC197" s="1050">
        <f t="shared" si="90"/>
        <v>0</v>
      </c>
      <c r="BD197" s="1040" t="str">
        <f t="shared" si="86"/>
        <v/>
      </c>
      <c r="BE197" s="227" t="s">
        <v>22</v>
      </c>
      <c r="BF197" s="1019">
        <f t="shared" si="87"/>
        <v>0</v>
      </c>
      <c r="BG197" s="1020">
        <f t="shared" si="88"/>
        <v>0</v>
      </c>
      <c r="BH197"/>
      <c r="BQ197"/>
      <c r="BR197"/>
      <c r="BS197"/>
      <c r="BT197"/>
      <c r="BU197"/>
      <c r="BV197"/>
      <c r="BW197" s="959" t="str">
        <f t="shared" ref="BW197:BW260" si="93">AE197</f>
        <v>►</v>
      </c>
      <c r="BX197"/>
      <c r="BY197"/>
      <c r="BZ197"/>
      <c r="CA197"/>
      <c r="CB197"/>
      <c r="CC197" s="856"/>
      <c r="CD197"/>
      <c r="CE197"/>
      <c r="CF197"/>
      <c r="CG197"/>
      <c r="CH197"/>
      <c r="CI197"/>
      <c r="CJ197"/>
      <c r="CL197"/>
      <c r="CM197"/>
      <c r="CN197"/>
      <c r="CO197"/>
      <c r="CP197"/>
      <c r="CQ197"/>
      <c r="CR197"/>
      <c r="CT197"/>
      <c r="CU197"/>
      <c r="CV197"/>
      <c r="CW197"/>
      <c r="CX197"/>
      <c r="CY197"/>
      <c r="CZ197"/>
      <c r="DB197" s="3">
        <v>1</v>
      </c>
    </row>
    <row r="198" spans="1:106" s="709" customFormat="1" ht="21" customHeight="1">
      <c r="A198" s="936" t="s">
        <v>22</v>
      </c>
      <c r="B198" s="952" t="str">
        <f t="shared" si="92"/>
        <v>►</v>
      </c>
      <c r="C198" s="993" cm="1">
        <f t="array" ref="C198">SUMPRODUCT(LEN(D198:J198))</f>
        <v>0</v>
      </c>
      <c r="D198" s="167"/>
      <c r="E198" s="172"/>
      <c r="F198" s="172"/>
      <c r="G198" s="172"/>
      <c r="H198" s="172"/>
      <c r="I198" s="172"/>
      <c r="J198" s="173"/>
      <c r="K198" s="442"/>
      <c r="L198" s="104" t="s">
        <v>16</v>
      </c>
      <c r="M198" s="1172"/>
      <c r="N198" s="1172"/>
      <c r="O198" s="1172"/>
      <c r="P198" s="1173"/>
      <c r="Q198" s="1174"/>
      <c r="R198" s="1175"/>
      <c r="S198" s="1176"/>
      <c r="T198" s="1177"/>
      <c r="U198" s="5248"/>
      <c r="V198" s="1177"/>
      <c r="W198" s="5249"/>
      <c r="X198" s="5208"/>
      <c r="Y198" s="5209"/>
      <c r="Z198" s="5210"/>
      <c r="AA198" s="5211"/>
      <c r="AB198" s="1178"/>
      <c r="AC198" s="1179"/>
      <c r="AD198" s="227" t="s">
        <v>22</v>
      </c>
      <c r="AE198" s="1027" t="str">
        <f t="shared" si="70"/>
        <v>►</v>
      </c>
      <c r="AF198" s="1028" t="str">
        <f t="shared" si="71"/>
        <v/>
      </c>
      <c r="AG198" s="1029" t="str">
        <f t="shared" si="72"/>
        <v/>
      </c>
      <c r="AH198" s="1028" t="str">
        <f t="shared" si="73"/>
        <v/>
      </c>
      <c r="AI198" s="1029" t="str">
        <f t="shared" si="74"/>
        <v/>
      </c>
      <c r="AJ198" s="1029">
        <f t="shared" si="75"/>
        <v>0</v>
      </c>
      <c r="AK198" s="1043" t="str" cm="1">
        <f t="array" ref="AK198">IF(AE198&lt;&gt;"A","",IFERROR((IFERROR(_xlfn.XLOOKUP(TRIM(SUBSTITUTE(U198,CHAR(160)," ")),$BI$15:$BI$62,$BL$15:$BL$62),IFERROR(_xlfn.XLOOKUP(TRIM(SUBSTITUTE(U198,CHAR(160)," ")),$BJ$15:$BJ$62,$BL$15:$BL$62),_xlfn.XLOOKUP(TRIM(SUBSTITUTE(U198,CHAR(160)," ")),$BK$15:$BK$62,$BL$15:$BL$62))))*T198*IF(ISBLANK(Q198),1,Q198)+IFERROR(_xlfn.XLOOKUP("RECHERCHEX",TRIM(L198:AC198),L198:AC198),0),0))</f>
        <v/>
      </c>
      <c r="AL198" s="1030">
        <f t="shared" si="76"/>
        <v>0</v>
      </c>
      <c r="AM198" s="5254" t="str">
        <f t="shared" si="91"/>
        <v/>
      </c>
      <c r="AN198" s="1031">
        <f t="shared" si="77"/>
        <v>0</v>
      </c>
      <c r="AO198" s="1031">
        <f t="shared" si="78"/>
        <v>0</v>
      </c>
      <c r="AP198" s="1032">
        <f t="shared" si="79"/>
        <v>0</v>
      </c>
      <c r="AQ198" s="5255" t="str">
        <f t="shared" si="80"/>
        <v/>
      </c>
      <c r="AR198" s="1056"/>
      <c r="AS198" s="1056"/>
      <c r="AT198" s="1034">
        <f t="shared" si="81"/>
        <v>0</v>
      </c>
      <c r="AU198" s="1035">
        <f t="shared" si="82"/>
        <v>0</v>
      </c>
      <c r="AV198" s="1057" cm="1">
        <f t="array" ref="AV198">IF(AJ198&lt;&gt;1,0,IF(OR(AT198="",N(AT198)&lt;=0.000000001),"",IF(OR(AN198="",N(AN198)&lt;=0.000000001),0,IF(ISNUMBER(AT198),IFERROR(_xlfn.LET(_xlpm.ai_test,TRIM(AI198),_xlpm.r,IFERROR(_xlfn.XLOOKUP(_xlpm.ai_test,$BI$15:$BI$62,ROW($BI$15:$BI$62),0,1),IFERROR(_xlfn.XLOOKUP(_xlpm.ai_test,$BJ$15:$BJ$62,ROW($BJ$15:$BJ$62),0,1),_xlfn.XLOOKUP(_xlpm.ai_test,$BK$15:$BK$62,ROW($BK$15:$BK$62),0,1))),_xlpm.p,_xlpm.r-MIN(ROW($BI$15:$BI$62))+1,_xlpm.f,INDEX($BL$15:$BL$62,_xlpm.p),_xlpm.u,INDEX($BM$15:$BM$62,_xlpm.p),_xlpm.s,INDEX($BO$15:$BO$62,_xlpm.p),_xlpm.q,N(AT198)/_xlpm.f,IF(_xlpm.q&gt;=_xlpm.s,ROUND(_xlpm.q,1)&amp;" "&amp;_xlpm.ai_test&amp;" = "&amp;ROUND(_xlpm.q*_xlpm.f,1)&amp;" "&amp;_xlpm.u,ROUND(_xlpm.q,1)&amp;" "&amp;_xlpm.ai_test)),""),""))))</f>
        <v>0</v>
      </c>
      <c r="AW198" s="1047"/>
      <c r="AX198" s="1034">
        <f t="shared" si="83"/>
        <v>0</v>
      </c>
      <c r="AY198" s="1035" t="str">
        <f t="shared" si="84"/>
        <v/>
      </c>
      <c r="AZ198" s="1036">
        <f t="shared" si="89"/>
        <v>0</v>
      </c>
      <c r="BA198" s="1037" t="str">
        <f t="shared" si="85"/>
        <v/>
      </c>
      <c r="BB198" s="1038"/>
      <c r="BC198" s="1039">
        <f t="shared" si="90"/>
        <v>0</v>
      </c>
      <c r="BD198" s="1040" t="str">
        <f t="shared" si="86"/>
        <v/>
      </c>
      <c r="BE198" s="227" t="s">
        <v>22</v>
      </c>
      <c r="BF198" s="1019">
        <f t="shared" si="87"/>
        <v>0</v>
      </c>
      <c r="BG198" s="1020">
        <f t="shared" si="88"/>
        <v>0</v>
      </c>
      <c r="BH198"/>
      <c r="BQ198"/>
      <c r="BR198"/>
      <c r="BS198"/>
      <c r="BT198"/>
      <c r="BU198"/>
      <c r="BV198"/>
      <c r="BW198" s="959" t="str">
        <f t="shared" si="93"/>
        <v>►</v>
      </c>
      <c r="BX198"/>
      <c r="BY198"/>
      <c r="BZ198"/>
      <c r="CA198"/>
      <c r="CB198"/>
      <c r="CC198" s="856"/>
      <c r="CD198"/>
      <c r="CE198"/>
      <c r="CF198"/>
      <c r="CG198"/>
      <c r="CH198"/>
      <c r="CI198"/>
      <c r="CJ198"/>
      <c r="CL198"/>
      <c r="CM198"/>
      <c r="CN198"/>
      <c r="CO198"/>
      <c r="CP198"/>
      <c r="CQ198"/>
      <c r="CR198"/>
      <c r="CT198"/>
      <c r="CU198"/>
      <c r="CV198"/>
      <c r="CW198"/>
      <c r="CX198"/>
      <c r="CY198"/>
      <c r="CZ198"/>
      <c r="DB198" s="3">
        <v>1</v>
      </c>
    </row>
    <row r="199" spans="1:106" s="709" customFormat="1" ht="21" customHeight="1">
      <c r="A199" s="936" t="s">
        <v>22</v>
      </c>
      <c r="B199" s="952" t="str">
        <f t="shared" si="92"/>
        <v>►</v>
      </c>
      <c r="C199" s="993" cm="1">
        <f t="array" ref="C199">SUMPRODUCT(LEN(D199:J199))</f>
        <v>0</v>
      </c>
      <c r="D199" s="167"/>
      <c r="E199" s="172"/>
      <c r="F199" s="172"/>
      <c r="G199" s="172"/>
      <c r="H199" s="172"/>
      <c r="I199" s="172"/>
      <c r="J199" s="173"/>
      <c r="K199" s="442"/>
      <c r="L199" s="104" t="s">
        <v>16</v>
      </c>
      <c r="M199" s="1172"/>
      <c r="N199" s="1172"/>
      <c r="O199" s="1172"/>
      <c r="P199" s="1173"/>
      <c r="Q199" s="1174"/>
      <c r="R199" s="1175"/>
      <c r="S199" s="1176"/>
      <c r="T199" s="1177"/>
      <c r="U199" s="5248"/>
      <c r="V199" s="1177"/>
      <c r="W199" s="5249"/>
      <c r="X199" s="5208"/>
      <c r="Y199" s="5209"/>
      <c r="Z199" s="5210"/>
      <c r="AA199" s="5211"/>
      <c r="AB199" s="1178"/>
      <c r="AC199" s="1179"/>
      <c r="AD199" s="227" t="s">
        <v>22</v>
      </c>
      <c r="AE199" s="1027" t="str">
        <f t="shared" si="70"/>
        <v>►</v>
      </c>
      <c r="AF199" s="1028" t="str">
        <f t="shared" si="71"/>
        <v/>
      </c>
      <c r="AG199" s="1029" t="str">
        <f t="shared" si="72"/>
        <v/>
      </c>
      <c r="AH199" s="1028" t="str">
        <f t="shared" si="73"/>
        <v/>
      </c>
      <c r="AI199" s="1029" t="str">
        <f t="shared" si="74"/>
        <v/>
      </c>
      <c r="AJ199" s="1029">
        <f t="shared" si="75"/>
        <v>0</v>
      </c>
      <c r="AK199" s="1043" t="str" cm="1">
        <f t="array" ref="AK199">IF(AE199&lt;&gt;"A","",IFERROR((IFERROR(_xlfn.XLOOKUP(TRIM(SUBSTITUTE(U199,CHAR(160)," ")),$BI$15:$BI$62,$BL$15:$BL$62),IFERROR(_xlfn.XLOOKUP(TRIM(SUBSTITUTE(U199,CHAR(160)," ")),$BJ$15:$BJ$62,$BL$15:$BL$62),_xlfn.XLOOKUP(TRIM(SUBSTITUTE(U199,CHAR(160)," ")),$BK$15:$BK$62,$BL$15:$BL$62))))*T199*IF(ISBLANK(Q199),1,Q199)+IFERROR(_xlfn.XLOOKUP("RECHERCHEX",TRIM(L199:AC199),L199:AC199),0),0))</f>
        <v/>
      </c>
      <c r="AL199" s="1030">
        <f t="shared" si="76"/>
        <v>0</v>
      </c>
      <c r="AM199" s="5254" t="str">
        <f t="shared" si="91"/>
        <v/>
      </c>
      <c r="AN199" s="1031">
        <f t="shared" si="77"/>
        <v>0</v>
      </c>
      <c r="AO199" s="1031">
        <f t="shared" si="78"/>
        <v>0</v>
      </c>
      <c r="AP199" s="1044">
        <f t="shared" si="79"/>
        <v>0</v>
      </c>
      <c r="AQ199" s="5257" t="str">
        <f t="shared" si="80"/>
        <v/>
      </c>
      <c r="AR199" s="1056"/>
      <c r="AS199" s="1056"/>
      <c r="AT199" s="1045">
        <f t="shared" si="81"/>
        <v>0</v>
      </c>
      <c r="AU199" s="1046">
        <f t="shared" si="82"/>
        <v>0</v>
      </c>
      <c r="AV199" s="1059" cm="1">
        <f t="array" ref="AV199">IF(AJ199&lt;&gt;1,0,IF(OR(AT199="",N(AT199)&lt;=0.000000001),"",IF(OR(AN199="",N(AN199)&lt;=0.000000001),0,IF(ISNUMBER(AT199),IFERROR(_xlfn.LET(_xlpm.ai_test,TRIM(AI199),_xlpm.r,IFERROR(_xlfn.XLOOKUP(_xlpm.ai_test,$BI$15:$BI$62,ROW($BI$15:$BI$62),0,1),IFERROR(_xlfn.XLOOKUP(_xlpm.ai_test,$BJ$15:$BJ$62,ROW($BJ$15:$BJ$62),0,1),_xlfn.XLOOKUP(_xlpm.ai_test,$BK$15:$BK$62,ROW($BK$15:$BK$62),0,1))),_xlpm.p,_xlpm.r-MIN(ROW($BI$15:$BI$62))+1,_xlpm.f,INDEX($BL$15:$BL$62,_xlpm.p),_xlpm.u,INDEX($BM$15:$BM$62,_xlpm.p),_xlpm.s,INDEX($BO$15:$BO$62,_xlpm.p),_xlpm.q,N(AT199)/_xlpm.f,IF(_xlpm.q&gt;=_xlpm.s,ROUND(_xlpm.q,1)&amp;" "&amp;_xlpm.ai_test&amp;" = "&amp;ROUND(_xlpm.q*_xlpm.f,1)&amp;" "&amp;_xlpm.u,ROUND(_xlpm.q,1)&amp;" "&amp;_xlpm.ai_test)),""),""))))</f>
        <v>0</v>
      </c>
      <c r="AW199" s="1047"/>
      <c r="AX199" s="1045">
        <f t="shared" si="83"/>
        <v>0</v>
      </c>
      <c r="AY199" s="1046" t="str">
        <f t="shared" si="84"/>
        <v/>
      </c>
      <c r="AZ199" s="1048">
        <f t="shared" si="89"/>
        <v>0</v>
      </c>
      <c r="BA199" s="1049" t="str">
        <f t="shared" si="85"/>
        <v/>
      </c>
      <c r="BB199" s="1038"/>
      <c r="BC199" s="1050">
        <f t="shared" si="90"/>
        <v>0</v>
      </c>
      <c r="BD199" s="1040" t="str">
        <f t="shared" si="86"/>
        <v/>
      </c>
      <c r="BE199" s="227" t="s">
        <v>22</v>
      </c>
      <c r="BF199" s="1019">
        <f t="shared" si="87"/>
        <v>0</v>
      </c>
      <c r="BG199" s="1020">
        <f t="shared" si="88"/>
        <v>0</v>
      </c>
      <c r="BH199"/>
      <c r="BQ199"/>
      <c r="BR199"/>
      <c r="BS199"/>
      <c r="BT199"/>
      <c r="BU199"/>
      <c r="BV199"/>
      <c r="BW199" s="959" t="str">
        <f t="shared" si="93"/>
        <v>►</v>
      </c>
      <c r="BX199"/>
      <c r="BY199"/>
      <c r="BZ199"/>
      <c r="CA199"/>
      <c r="CB199"/>
      <c r="CC199" s="856"/>
      <c r="CD199"/>
      <c r="CE199"/>
      <c r="CF199"/>
      <c r="CG199"/>
      <c r="CH199"/>
      <c r="CI199"/>
      <c r="CJ199"/>
      <c r="CL199"/>
      <c r="CM199"/>
      <c r="CN199"/>
      <c r="CO199"/>
      <c r="CP199"/>
      <c r="CQ199"/>
      <c r="CR199"/>
      <c r="CT199"/>
      <c r="CU199"/>
      <c r="CV199"/>
      <c r="CW199"/>
      <c r="CX199"/>
      <c r="CY199"/>
      <c r="CZ199"/>
      <c r="DB199" s="3">
        <v>1</v>
      </c>
    </row>
    <row r="200" spans="1:106" s="709" customFormat="1" ht="21" customHeight="1">
      <c r="A200" s="936" t="s">
        <v>22</v>
      </c>
      <c r="B200" s="952" t="str">
        <f t="shared" si="92"/>
        <v>►</v>
      </c>
      <c r="C200" s="993" cm="1">
        <f t="array" ref="C200">SUMPRODUCT(LEN(D200:J200))</f>
        <v>0</v>
      </c>
      <c r="D200" s="167"/>
      <c r="E200" s="172"/>
      <c r="F200" s="172"/>
      <c r="G200" s="172"/>
      <c r="H200" s="172"/>
      <c r="I200" s="172"/>
      <c r="J200" s="173"/>
      <c r="K200" s="442"/>
      <c r="L200" s="104" t="s">
        <v>16</v>
      </c>
      <c r="M200" s="1172"/>
      <c r="N200" s="1172"/>
      <c r="O200" s="1172"/>
      <c r="P200" s="1173"/>
      <c r="Q200" s="1174"/>
      <c r="R200" s="1175"/>
      <c r="S200" s="1176"/>
      <c r="T200" s="1177"/>
      <c r="U200" s="5248"/>
      <c r="V200" s="1177"/>
      <c r="W200" s="5249"/>
      <c r="X200" s="5208"/>
      <c r="Y200" s="5209"/>
      <c r="Z200" s="5210"/>
      <c r="AA200" s="5211"/>
      <c r="AB200" s="1178"/>
      <c r="AC200" s="1179"/>
      <c r="AD200" s="227" t="s">
        <v>22</v>
      </c>
      <c r="AE200" s="1027" t="str">
        <f t="shared" si="70"/>
        <v>►</v>
      </c>
      <c r="AF200" s="1028" t="str">
        <f t="shared" si="71"/>
        <v/>
      </c>
      <c r="AG200" s="1029" t="str">
        <f t="shared" si="72"/>
        <v/>
      </c>
      <c r="AH200" s="1028" t="str">
        <f t="shared" si="73"/>
        <v/>
      </c>
      <c r="AI200" s="1029" t="str">
        <f t="shared" si="74"/>
        <v/>
      </c>
      <c r="AJ200" s="1029">
        <f t="shared" si="75"/>
        <v>0</v>
      </c>
      <c r="AK200" s="1043" t="str" cm="1">
        <f t="array" ref="AK200">IF(AE200&lt;&gt;"A","",IFERROR((IFERROR(_xlfn.XLOOKUP(TRIM(SUBSTITUTE(U200,CHAR(160)," ")),$BI$15:$BI$62,$BL$15:$BL$62),IFERROR(_xlfn.XLOOKUP(TRIM(SUBSTITUTE(U200,CHAR(160)," ")),$BJ$15:$BJ$62,$BL$15:$BL$62),_xlfn.XLOOKUP(TRIM(SUBSTITUTE(U200,CHAR(160)," ")),$BK$15:$BK$62,$BL$15:$BL$62))))*T200*IF(ISBLANK(Q200),1,Q200)+IFERROR(_xlfn.XLOOKUP("RECHERCHEX",TRIM(L200:AC200),L200:AC200),0),0))</f>
        <v/>
      </c>
      <c r="AL200" s="1030">
        <f t="shared" si="76"/>
        <v>0</v>
      </c>
      <c r="AM200" s="5254" t="str">
        <f t="shared" si="91"/>
        <v/>
      </c>
      <c r="AN200" s="1031">
        <f t="shared" si="77"/>
        <v>0</v>
      </c>
      <c r="AO200" s="1031">
        <f t="shared" si="78"/>
        <v>0</v>
      </c>
      <c r="AP200" s="1032">
        <f t="shared" si="79"/>
        <v>0</v>
      </c>
      <c r="AQ200" s="5255" t="str">
        <f t="shared" si="80"/>
        <v/>
      </c>
      <c r="AR200" s="1056"/>
      <c r="AS200" s="1056"/>
      <c r="AT200" s="1034">
        <f t="shared" si="81"/>
        <v>0</v>
      </c>
      <c r="AU200" s="1035">
        <f t="shared" si="82"/>
        <v>0</v>
      </c>
      <c r="AV200" s="1057" cm="1">
        <f t="array" ref="AV200">IF(AJ200&lt;&gt;1,0,IF(OR(AT200="",N(AT200)&lt;=0.000000001),"",IF(OR(AN200="",N(AN200)&lt;=0.000000001),0,IF(ISNUMBER(AT200),IFERROR(_xlfn.LET(_xlpm.ai_test,TRIM(AI200),_xlpm.r,IFERROR(_xlfn.XLOOKUP(_xlpm.ai_test,$BI$15:$BI$62,ROW($BI$15:$BI$62),0,1),IFERROR(_xlfn.XLOOKUP(_xlpm.ai_test,$BJ$15:$BJ$62,ROW($BJ$15:$BJ$62),0,1),_xlfn.XLOOKUP(_xlpm.ai_test,$BK$15:$BK$62,ROW($BK$15:$BK$62),0,1))),_xlpm.p,_xlpm.r-MIN(ROW($BI$15:$BI$62))+1,_xlpm.f,INDEX($BL$15:$BL$62,_xlpm.p),_xlpm.u,INDEX($BM$15:$BM$62,_xlpm.p),_xlpm.s,INDEX($BO$15:$BO$62,_xlpm.p),_xlpm.q,N(AT200)/_xlpm.f,IF(_xlpm.q&gt;=_xlpm.s,ROUND(_xlpm.q,1)&amp;" "&amp;_xlpm.ai_test&amp;" = "&amp;ROUND(_xlpm.q*_xlpm.f,1)&amp;" "&amp;_xlpm.u,ROUND(_xlpm.q,1)&amp;" "&amp;_xlpm.ai_test)),""),""))))</f>
        <v>0</v>
      </c>
      <c r="AW200" s="1047"/>
      <c r="AX200" s="1034">
        <f t="shared" si="83"/>
        <v>0</v>
      </c>
      <c r="AY200" s="1035" t="str">
        <f t="shared" si="84"/>
        <v/>
      </c>
      <c r="AZ200" s="1036">
        <f t="shared" si="89"/>
        <v>0</v>
      </c>
      <c r="BA200" s="1037" t="str">
        <f t="shared" si="85"/>
        <v/>
      </c>
      <c r="BB200" s="1038"/>
      <c r="BC200" s="1039">
        <f t="shared" si="90"/>
        <v>0</v>
      </c>
      <c r="BD200" s="1040" t="str">
        <f t="shared" si="86"/>
        <v/>
      </c>
      <c r="BE200" s="227" t="s">
        <v>22</v>
      </c>
      <c r="BF200" s="1019">
        <f t="shared" si="87"/>
        <v>0</v>
      </c>
      <c r="BG200" s="1020">
        <f t="shared" si="88"/>
        <v>0</v>
      </c>
      <c r="BH200"/>
      <c r="BQ200"/>
      <c r="BR200"/>
      <c r="BS200"/>
      <c r="BT200"/>
      <c r="BU200"/>
      <c r="BV200"/>
      <c r="BW200" s="959" t="str">
        <f t="shared" si="93"/>
        <v>►</v>
      </c>
      <c r="BX200"/>
      <c r="BY200"/>
      <c r="BZ200"/>
      <c r="CA200"/>
      <c r="CB200"/>
      <c r="CC200" s="856"/>
      <c r="CD200"/>
      <c r="CE200"/>
      <c r="CF200"/>
      <c r="CG200"/>
      <c r="CH200"/>
      <c r="CI200"/>
      <c r="CJ200"/>
      <c r="CL200"/>
      <c r="CM200"/>
      <c r="CN200"/>
      <c r="CO200"/>
      <c r="CP200"/>
      <c r="CQ200"/>
      <c r="CR200"/>
      <c r="CT200"/>
      <c r="CU200"/>
      <c r="CV200"/>
      <c r="CW200"/>
      <c r="CX200"/>
      <c r="CY200"/>
      <c r="CZ200"/>
      <c r="DB200" s="3">
        <v>1</v>
      </c>
    </row>
    <row r="201" spans="1:106" s="709" customFormat="1" ht="21" customHeight="1">
      <c r="A201" s="936" t="s">
        <v>22</v>
      </c>
      <c r="B201" s="952" t="str">
        <f t="shared" si="92"/>
        <v>►</v>
      </c>
      <c r="C201" s="993" cm="1">
        <f t="array" ref="C201">SUMPRODUCT(LEN(D201:J201))</f>
        <v>0</v>
      </c>
      <c r="D201" s="167"/>
      <c r="E201" s="172"/>
      <c r="F201" s="172"/>
      <c r="G201" s="172"/>
      <c r="H201" s="172"/>
      <c r="I201" s="172"/>
      <c r="J201" s="173"/>
      <c r="K201" s="442"/>
      <c r="L201" s="104" t="s">
        <v>16</v>
      </c>
      <c r="M201" s="1172"/>
      <c r="N201" s="1172"/>
      <c r="O201" s="1172"/>
      <c r="P201" s="1173"/>
      <c r="Q201" s="1174"/>
      <c r="R201" s="1175"/>
      <c r="S201" s="1176"/>
      <c r="T201" s="1177"/>
      <c r="U201" s="5248"/>
      <c r="V201" s="1177"/>
      <c r="W201" s="5249"/>
      <c r="X201" s="5208"/>
      <c r="Y201" s="5209"/>
      <c r="Z201" s="5210"/>
      <c r="AA201" s="5211"/>
      <c r="AB201" s="1178"/>
      <c r="AC201" s="1179"/>
      <c r="AD201" s="227" t="s">
        <v>22</v>
      </c>
      <c r="AE201" s="1027" t="str">
        <f t="shared" si="70"/>
        <v>►</v>
      </c>
      <c r="AF201" s="1028" t="str">
        <f t="shared" si="71"/>
        <v/>
      </c>
      <c r="AG201" s="1029" t="str">
        <f t="shared" si="72"/>
        <v/>
      </c>
      <c r="AH201" s="1028" t="str">
        <f t="shared" si="73"/>
        <v/>
      </c>
      <c r="AI201" s="1029" t="str">
        <f t="shared" si="74"/>
        <v/>
      </c>
      <c r="AJ201" s="1029">
        <f t="shared" si="75"/>
        <v>0</v>
      </c>
      <c r="AK201" s="1043" t="str" cm="1">
        <f t="array" ref="AK201">IF(AE201&lt;&gt;"A","",IFERROR((IFERROR(_xlfn.XLOOKUP(TRIM(SUBSTITUTE(U201,CHAR(160)," ")),$BI$15:$BI$62,$BL$15:$BL$62),IFERROR(_xlfn.XLOOKUP(TRIM(SUBSTITUTE(U201,CHAR(160)," ")),$BJ$15:$BJ$62,$BL$15:$BL$62),_xlfn.XLOOKUP(TRIM(SUBSTITUTE(U201,CHAR(160)," ")),$BK$15:$BK$62,$BL$15:$BL$62))))*T201*IF(ISBLANK(Q201),1,Q201)+IFERROR(_xlfn.XLOOKUP("RECHERCHEX",TRIM(L201:AC201),L201:AC201),0),0))</f>
        <v/>
      </c>
      <c r="AL201" s="1030">
        <f t="shared" si="76"/>
        <v>0</v>
      </c>
      <c r="AM201" s="5254" t="str">
        <f t="shared" si="91"/>
        <v/>
      </c>
      <c r="AN201" s="1031">
        <f t="shared" si="77"/>
        <v>0</v>
      </c>
      <c r="AO201" s="1031">
        <f t="shared" si="78"/>
        <v>0</v>
      </c>
      <c r="AP201" s="1044">
        <f t="shared" si="79"/>
        <v>0</v>
      </c>
      <c r="AQ201" s="5257" t="str">
        <f t="shared" si="80"/>
        <v/>
      </c>
      <c r="AR201" s="1056"/>
      <c r="AS201" s="1056"/>
      <c r="AT201" s="1045">
        <f t="shared" si="81"/>
        <v>0</v>
      </c>
      <c r="AU201" s="1046">
        <f t="shared" si="82"/>
        <v>0</v>
      </c>
      <c r="AV201" s="1059" cm="1">
        <f t="array" ref="AV201">IF(AJ201&lt;&gt;1,0,IF(OR(AT201="",N(AT201)&lt;=0.000000001),"",IF(OR(AN201="",N(AN201)&lt;=0.000000001),0,IF(ISNUMBER(AT201),IFERROR(_xlfn.LET(_xlpm.ai_test,TRIM(AI201),_xlpm.r,IFERROR(_xlfn.XLOOKUP(_xlpm.ai_test,$BI$15:$BI$62,ROW($BI$15:$BI$62),0,1),IFERROR(_xlfn.XLOOKUP(_xlpm.ai_test,$BJ$15:$BJ$62,ROW($BJ$15:$BJ$62),0,1),_xlfn.XLOOKUP(_xlpm.ai_test,$BK$15:$BK$62,ROW($BK$15:$BK$62),0,1))),_xlpm.p,_xlpm.r-MIN(ROW($BI$15:$BI$62))+1,_xlpm.f,INDEX($BL$15:$BL$62,_xlpm.p),_xlpm.u,INDEX($BM$15:$BM$62,_xlpm.p),_xlpm.s,INDEX($BO$15:$BO$62,_xlpm.p),_xlpm.q,N(AT201)/_xlpm.f,IF(_xlpm.q&gt;=_xlpm.s,ROUND(_xlpm.q,1)&amp;" "&amp;_xlpm.ai_test&amp;" = "&amp;ROUND(_xlpm.q*_xlpm.f,1)&amp;" "&amp;_xlpm.u,ROUND(_xlpm.q,1)&amp;" "&amp;_xlpm.ai_test)),""),""))))</f>
        <v>0</v>
      </c>
      <c r="AW201" s="1047"/>
      <c r="AX201" s="1045">
        <f t="shared" si="83"/>
        <v>0</v>
      </c>
      <c r="AY201" s="1046" t="str">
        <f t="shared" si="84"/>
        <v/>
      </c>
      <c r="AZ201" s="1048">
        <f t="shared" si="89"/>
        <v>0</v>
      </c>
      <c r="BA201" s="1049" t="str">
        <f t="shared" si="85"/>
        <v/>
      </c>
      <c r="BB201" s="1038"/>
      <c r="BC201" s="1050">
        <f t="shared" si="90"/>
        <v>0</v>
      </c>
      <c r="BD201" s="1040" t="str">
        <f t="shared" si="86"/>
        <v/>
      </c>
      <c r="BE201" s="227" t="s">
        <v>22</v>
      </c>
      <c r="BF201" s="1019">
        <f t="shared" si="87"/>
        <v>0</v>
      </c>
      <c r="BG201" s="1020">
        <f t="shared" si="88"/>
        <v>0</v>
      </c>
      <c r="BH201"/>
      <c r="BQ201"/>
      <c r="BR201"/>
      <c r="BS201"/>
      <c r="BT201"/>
      <c r="BU201"/>
      <c r="BV201"/>
      <c r="BW201" s="959" t="str">
        <f t="shared" si="93"/>
        <v>►</v>
      </c>
      <c r="BX201"/>
      <c r="BY201"/>
      <c r="BZ201"/>
      <c r="CA201"/>
      <c r="CB201"/>
      <c r="CC201" s="856"/>
      <c r="CD201"/>
      <c r="CE201"/>
      <c r="CF201"/>
      <c r="CG201"/>
      <c r="CH201"/>
      <c r="CI201"/>
      <c r="CJ201"/>
      <c r="CL201"/>
      <c r="CM201"/>
      <c r="CN201"/>
      <c r="CO201"/>
      <c r="CP201"/>
      <c r="CQ201"/>
      <c r="CR201"/>
      <c r="CT201"/>
      <c r="CU201"/>
      <c r="CV201"/>
      <c r="CW201"/>
      <c r="CX201"/>
      <c r="CY201"/>
      <c r="CZ201"/>
      <c r="DB201" s="3">
        <v>1</v>
      </c>
    </row>
    <row r="202" spans="1:106" s="709" customFormat="1" ht="21" customHeight="1">
      <c r="A202" s="936" t="s">
        <v>22</v>
      </c>
      <c r="B202" s="952" t="str">
        <f t="shared" si="92"/>
        <v>►</v>
      </c>
      <c r="C202" s="993" cm="1">
        <f t="array" ref="C202">SUMPRODUCT(LEN(D202:J202))</f>
        <v>0</v>
      </c>
      <c r="D202" s="167"/>
      <c r="E202" s="172"/>
      <c r="F202" s="172"/>
      <c r="G202" s="172"/>
      <c r="H202" s="172"/>
      <c r="I202" s="172"/>
      <c r="J202" s="173"/>
      <c r="K202" s="442"/>
      <c r="L202" s="104" t="s">
        <v>16</v>
      </c>
      <c r="M202" s="1172"/>
      <c r="N202" s="1172"/>
      <c r="O202" s="1172"/>
      <c r="P202" s="1173"/>
      <c r="Q202" s="1174"/>
      <c r="R202" s="1175"/>
      <c r="S202" s="1176"/>
      <c r="T202" s="1177"/>
      <c r="U202" s="5248"/>
      <c r="V202" s="1177"/>
      <c r="W202" s="5249"/>
      <c r="X202" s="5208"/>
      <c r="Y202" s="5209"/>
      <c r="Z202" s="5210"/>
      <c r="AA202" s="5211"/>
      <c r="AB202" s="1178"/>
      <c r="AC202" s="1179"/>
      <c r="AD202" s="227" t="s">
        <v>22</v>
      </c>
      <c r="AE202" s="1027" t="str">
        <f t="shared" si="70"/>
        <v>►</v>
      </c>
      <c r="AF202" s="1028" t="str">
        <f t="shared" si="71"/>
        <v/>
      </c>
      <c r="AG202" s="1029" t="str">
        <f t="shared" si="72"/>
        <v/>
      </c>
      <c r="AH202" s="1028" t="str">
        <f t="shared" si="73"/>
        <v/>
      </c>
      <c r="AI202" s="1029" t="str">
        <f t="shared" si="74"/>
        <v/>
      </c>
      <c r="AJ202" s="1029">
        <f t="shared" si="75"/>
        <v>0</v>
      </c>
      <c r="AK202" s="1043" t="str" cm="1">
        <f t="array" ref="AK202">IF(AE202&lt;&gt;"A","",IFERROR((IFERROR(_xlfn.XLOOKUP(TRIM(SUBSTITUTE(U202,CHAR(160)," ")),$BI$15:$BI$62,$BL$15:$BL$62),IFERROR(_xlfn.XLOOKUP(TRIM(SUBSTITUTE(U202,CHAR(160)," ")),$BJ$15:$BJ$62,$BL$15:$BL$62),_xlfn.XLOOKUP(TRIM(SUBSTITUTE(U202,CHAR(160)," ")),$BK$15:$BK$62,$BL$15:$BL$62))))*T202*IF(ISBLANK(Q202),1,Q202)+IFERROR(_xlfn.XLOOKUP("RECHERCHEX",TRIM(L202:AC202),L202:AC202),0),0))</f>
        <v/>
      </c>
      <c r="AL202" s="1030">
        <f t="shared" si="76"/>
        <v>0</v>
      </c>
      <c r="AM202" s="5254" t="str">
        <f t="shared" si="91"/>
        <v/>
      </c>
      <c r="AN202" s="1031">
        <f t="shared" si="77"/>
        <v>0</v>
      </c>
      <c r="AO202" s="1031">
        <f t="shared" si="78"/>
        <v>0</v>
      </c>
      <c r="AP202" s="1032">
        <f t="shared" si="79"/>
        <v>0</v>
      </c>
      <c r="AQ202" s="5255" t="str">
        <f t="shared" si="80"/>
        <v/>
      </c>
      <c r="AR202" s="1056"/>
      <c r="AS202" s="1056"/>
      <c r="AT202" s="1034">
        <f t="shared" si="81"/>
        <v>0</v>
      </c>
      <c r="AU202" s="1035">
        <f t="shared" si="82"/>
        <v>0</v>
      </c>
      <c r="AV202" s="1057" cm="1">
        <f t="array" ref="AV202">IF(AJ202&lt;&gt;1,0,IF(OR(AT202="",N(AT202)&lt;=0.000000001),"",IF(OR(AN202="",N(AN202)&lt;=0.000000001),0,IF(ISNUMBER(AT202),IFERROR(_xlfn.LET(_xlpm.ai_test,TRIM(AI202),_xlpm.r,IFERROR(_xlfn.XLOOKUP(_xlpm.ai_test,$BI$15:$BI$62,ROW($BI$15:$BI$62),0,1),IFERROR(_xlfn.XLOOKUP(_xlpm.ai_test,$BJ$15:$BJ$62,ROW($BJ$15:$BJ$62),0,1),_xlfn.XLOOKUP(_xlpm.ai_test,$BK$15:$BK$62,ROW($BK$15:$BK$62),0,1))),_xlpm.p,_xlpm.r-MIN(ROW($BI$15:$BI$62))+1,_xlpm.f,INDEX($BL$15:$BL$62,_xlpm.p),_xlpm.u,INDEX($BM$15:$BM$62,_xlpm.p),_xlpm.s,INDEX($BO$15:$BO$62,_xlpm.p),_xlpm.q,N(AT202)/_xlpm.f,IF(_xlpm.q&gt;=_xlpm.s,ROUND(_xlpm.q,1)&amp;" "&amp;_xlpm.ai_test&amp;" = "&amp;ROUND(_xlpm.q*_xlpm.f,1)&amp;" "&amp;_xlpm.u,ROUND(_xlpm.q,1)&amp;" "&amp;_xlpm.ai_test)),""),""))))</f>
        <v>0</v>
      </c>
      <c r="AW202" s="1047"/>
      <c r="AX202" s="1034">
        <f t="shared" si="83"/>
        <v>0</v>
      </c>
      <c r="AY202" s="1035" t="str">
        <f t="shared" si="84"/>
        <v/>
      </c>
      <c r="AZ202" s="1036">
        <f t="shared" si="89"/>
        <v>0</v>
      </c>
      <c r="BA202" s="1037" t="str">
        <f t="shared" si="85"/>
        <v/>
      </c>
      <c r="BB202" s="1038"/>
      <c r="BC202" s="1039">
        <f t="shared" si="90"/>
        <v>0</v>
      </c>
      <c r="BD202" s="1040" t="str">
        <f t="shared" si="86"/>
        <v/>
      </c>
      <c r="BE202" s="227" t="s">
        <v>22</v>
      </c>
      <c r="BF202" s="1019">
        <f t="shared" si="87"/>
        <v>0</v>
      </c>
      <c r="BG202" s="1020">
        <f t="shared" si="88"/>
        <v>0</v>
      </c>
      <c r="BH202"/>
      <c r="BQ202"/>
      <c r="BR202"/>
      <c r="BS202"/>
      <c r="BT202"/>
      <c r="BU202"/>
      <c r="BV202"/>
      <c r="BW202" s="959" t="str">
        <f t="shared" si="93"/>
        <v>►</v>
      </c>
      <c r="BX202"/>
      <c r="BY202"/>
      <c r="BZ202"/>
      <c r="CA202"/>
      <c r="CB202"/>
      <c r="CC202" s="856"/>
      <c r="CD202"/>
      <c r="CE202"/>
      <c r="CF202"/>
      <c r="CG202"/>
      <c r="CH202"/>
      <c r="CI202"/>
      <c r="CJ202"/>
      <c r="CL202"/>
      <c r="CM202"/>
      <c r="CN202"/>
      <c r="CO202"/>
      <c r="CP202"/>
      <c r="CQ202"/>
      <c r="CR202"/>
      <c r="CT202"/>
      <c r="CU202"/>
      <c r="CV202"/>
      <c r="CW202"/>
      <c r="CX202"/>
      <c r="CY202"/>
      <c r="CZ202"/>
      <c r="DB202" s="3">
        <v>1</v>
      </c>
    </row>
    <row r="203" spans="1:106" s="709" customFormat="1" ht="21" customHeight="1">
      <c r="A203" s="936" t="s">
        <v>22</v>
      </c>
      <c r="B203" s="952" t="str">
        <f t="shared" si="92"/>
        <v>►</v>
      </c>
      <c r="C203" s="993" cm="1">
        <f t="array" ref="C203">SUMPRODUCT(LEN(D203:J203))</f>
        <v>0</v>
      </c>
      <c r="D203" s="167"/>
      <c r="E203" s="172"/>
      <c r="F203" s="172"/>
      <c r="G203" s="172"/>
      <c r="H203" s="172"/>
      <c r="I203" s="172"/>
      <c r="J203" s="173"/>
      <c r="K203" s="442"/>
      <c r="L203" s="104" t="s">
        <v>16</v>
      </c>
      <c r="M203" s="1172"/>
      <c r="N203" s="1172"/>
      <c r="O203" s="1172"/>
      <c r="P203" s="1173"/>
      <c r="Q203" s="1174"/>
      <c r="R203" s="1175"/>
      <c r="S203" s="1176"/>
      <c r="T203" s="1177"/>
      <c r="U203" s="5248"/>
      <c r="V203" s="1177"/>
      <c r="W203" s="5249"/>
      <c r="X203" s="5208"/>
      <c r="Y203" s="5209"/>
      <c r="Z203" s="5210"/>
      <c r="AA203" s="5211"/>
      <c r="AB203" s="1178"/>
      <c r="AC203" s="1179"/>
      <c r="AD203" s="227" t="s">
        <v>22</v>
      </c>
      <c r="AE203" s="1027" t="str">
        <f t="shared" si="70"/>
        <v>►</v>
      </c>
      <c r="AF203" s="1028" t="str">
        <f t="shared" si="71"/>
        <v/>
      </c>
      <c r="AG203" s="1029" t="str">
        <f t="shared" si="72"/>
        <v/>
      </c>
      <c r="AH203" s="1028" t="str">
        <f t="shared" si="73"/>
        <v/>
      </c>
      <c r="AI203" s="1029" t="str">
        <f t="shared" si="74"/>
        <v/>
      </c>
      <c r="AJ203" s="1029">
        <f t="shared" si="75"/>
        <v>0</v>
      </c>
      <c r="AK203" s="1043" t="str" cm="1">
        <f t="array" ref="AK203">IF(AE203&lt;&gt;"A","",IFERROR((IFERROR(_xlfn.XLOOKUP(TRIM(SUBSTITUTE(U203,CHAR(160)," ")),$BI$15:$BI$62,$BL$15:$BL$62),IFERROR(_xlfn.XLOOKUP(TRIM(SUBSTITUTE(U203,CHAR(160)," ")),$BJ$15:$BJ$62,$BL$15:$BL$62),_xlfn.XLOOKUP(TRIM(SUBSTITUTE(U203,CHAR(160)," ")),$BK$15:$BK$62,$BL$15:$BL$62))))*T203*IF(ISBLANK(Q203),1,Q203)+IFERROR(_xlfn.XLOOKUP("RECHERCHEX",TRIM(L203:AC203),L203:AC203),0),0))</f>
        <v/>
      </c>
      <c r="AL203" s="1030">
        <f t="shared" si="76"/>
        <v>0</v>
      </c>
      <c r="AM203" s="5254" t="str">
        <f t="shared" si="91"/>
        <v/>
      </c>
      <c r="AN203" s="1031">
        <f t="shared" si="77"/>
        <v>0</v>
      </c>
      <c r="AO203" s="1031">
        <f t="shared" si="78"/>
        <v>0</v>
      </c>
      <c r="AP203" s="1044">
        <f t="shared" si="79"/>
        <v>0</v>
      </c>
      <c r="AQ203" s="5257" t="str">
        <f t="shared" si="80"/>
        <v/>
      </c>
      <c r="AR203" s="1056"/>
      <c r="AS203" s="1056"/>
      <c r="AT203" s="1045">
        <f t="shared" si="81"/>
        <v>0</v>
      </c>
      <c r="AU203" s="1046">
        <f t="shared" si="82"/>
        <v>0</v>
      </c>
      <c r="AV203" s="1059" cm="1">
        <f t="array" ref="AV203">IF(AJ203&lt;&gt;1,0,IF(OR(AT203="",N(AT203)&lt;=0.000000001),"",IF(OR(AN203="",N(AN203)&lt;=0.000000001),0,IF(ISNUMBER(AT203),IFERROR(_xlfn.LET(_xlpm.ai_test,TRIM(AI203),_xlpm.r,IFERROR(_xlfn.XLOOKUP(_xlpm.ai_test,$BI$15:$BI$62,ROW($BI$15:$BI$62),0,1),IFERROR(_xlfn.XLOOKUP(_xlpm.ai_test,$BJ$15:$BJ$62,ROW($BJ$15:$BJ$62),0,1),_xlfn.XLOOKUP(_xlpm.ai_test,$BK$15:$BK$62,ROW($BK$15:$BK$62),0,1))),_xlpm.p,_xlpm.r-MIN(ROW($BI$15:$BI$62))+1,_xlpm.f,INDEX($BL$15:$BL$62,_xlpm.p),_xlpm.u,INDEX($BM$15:$BM$62,_xlpm.p),_xlpm.s,INDEX($BO$15:$BO$62,_xlpm.p),_xlpm.q,N(AT203)/_xlpm.f,IF(_xlpm.q&gt;=_xlpm.s,ROUND(_xlpm.q,1)&amp;" "&amp;_xlpm.ai_test&amp;" = "&amp;ROUND(_xlpm.q*_xlpm.f,1)&amp;" "&amp;_xlpm.u,ROUND(_xlpm.q,1)&amp;" "&amp;_xlpm.ai_test)),""),""))))</f>
        <v>0</v>
      </c>
      <c r="AW203" s="1047"/>
      <c r="AX203" s="1045">
        <f t="shared" si="83"/>
        <v>0</v>
      </c>
      <c r="AY203" s="1046" t="str">
        <f t="shared" si="84"/>
        <v/>
      </c>
      <c r="AZ203" s="1048">
        <f t="shared" si="89"/>
        <v>0</v>
      </c>
      <c r="BA203" s="1049" t="str">
        <f t="shared" si="85"/>
        <v/>
      </c>
      <c r="BB203" s="1038"/>
      <c r="BC203" s="1050">
        <f t="shared" si="90"/>
        <v>0</v>
      </c>
      <c r="BD203" s="1040" t="str">
        <f t="shared" si="86"/>
        <v/>
      </c>
      <c r="BE203" s="227" t="s">
        <v>22</v>
      </c>
      <c r="BF203" s="1019">
        <f t="shared" si="87"/>
        <v>0</v>
      </c>
      <c r="BG203" s="1020">
        <f t="shared" si="88"/>
        <v>0</v>
      </c>
      <c r="BH203"/>
      <c r="BQ203"/>
      <c r="BR203"/>
      <c r="BS203"/>
      <c r="BT203"/>
      <c r="BU203"/>
      <c r="BV203"/>
      <c r="BW203" s="959" t="str">
        <f t="shared" si="93"/>
        <v>►</v>
      </c>
      <c r="BX203"/>
      <c r="BY203"/>
      <c r="BZ203"/>
      <c r="CA203"/>
      <c r="CB203"/>
      <c r="CC203" s="856"/>
      <c r="CD203"/>
      <c r="CE203"/>
      <c r="CF203"/>
      <c r="CG203"/>
      <c r="CH203"/>
      <c r="CI203"/>
      <c r="CJ203"/>
      <c r="CL203"/>
      <c r="CM203"/>
      <c r="CN203"/>
      <c r="CO203"/>
      <c r="CP203"/>
      <c r="CQ203"/>
      <c r="CR203"/>
      <c r="CT203"/>
      <c r="CU203"/>
      <c r="CV203"/>
      <c r="CW203"/>
      <c r="CX203"/>
      <c r="CY203"/>
      <c r="CZ203"/>
      <c r="DB203" s="3">
        <v>1</v>
      </c>
    </row>
    <row r="204" spans="1:106" s="709" customFormat="1" ht="21" customHeight="1">
      <c r="A204" s="936" t="s">
        <v>22</v>
      </c>
      <c r="B204" s="952" t="str">
        <f t="shared" si="92"/>
        <v>►</v>
      </c>
      <c r="C204" s="993" cm="1">
        <f t="array" ref="C204">SUMPRODUCT(LEN(D204:J204))</f>
        <v>0</v>
      </c>
      <c r="D204" s="167"/>
      <c r="E204" s="172"/>
      <c r="F204" s="172"/>
      <c r="G204" s="172"/>
      <c r="H204" s="172"/>
      <c r="I204" s="172"/>
      <c r="J204" s="173"/>
      <c r="K204" s="442"/>
      <c r="L204" s="104" t="s">
        <v>16</v>
      </c>
      <c r="M204" s="1172"/>
      <c r="N204" s="1172"/>
      <c r="O204" s="1172"/>
      <c r="P204" s="1173"/>
      <c r="Q204" s="1174"/>
      <c r="R204" s="1175"/>
      <c r="S204" s="1176"/>
      <c r="T204" s="1177"/>
      <c r="U204" s="5248"/>
      <c r="V204" s="1177"/>
      <c r="W204" s="5249"/>
      <c r="X204" s="5208"/>
      <c r="Y204" s="5209"/>
      <c r="Z204" s="5210"/>
      <c r="AA204" s="5211"/>
      <c r="AB204" s="1178"/>
      <c r="AC204" s="1179"/>
      <c r="AD204" s="227" t="s">
        <v>22</v>
      </c>
      <c r="AE204" s="1027" t="str">
        <f t="shared" si="70"/>
        <v>►</v>
      </c>
      <c r="AF204" s="1028" t="str">
        <f t="shared" si="71"/>
        <v/>
      </c>
      <c r="AG204" s="1029" t="str">
        <f t="shared" si="72"/>
        <v/>
      </c>
      <c r="AH204" s="1028" t="str">
        <f t="shared" si="73"/>
        <v/>
      </c>
      <c r="AI204" s="1029" t="str">
        <f t="shared" si="74"/>
        <v/>
      </c>
      <c r="AJ204" s="1029">
        <f t="shared" si="75"/>
        <v>0</v>
      </c>
      <c r="AK204" s="1043" t="str" cm="1">
        <f t="array" ref="AK204">IF(AE204&lt;&gt;"A","",IFERROR((IFERROR(_xlfn.XLOOKUP(TRIM(SUBSTITUTE(U204,CHAR(160)," ")),$BI$15:$BI$62,$BL$15:$BL$62),IFERROR(_xlfn.XLOOKUP(TRIM(SUBSTITUTE(U204,CHAR(160)," ")),$BJ$15:$BJ$62,$BL$15:$BL$62),_xlfn.XLOOKUP(TRIM(SUBSTITUTE(U204,CHAR(160)," ")),$BK$15:$BK$62,$BL$15:$BL$62))))*T204*IF(ISBLANK(Q204),1,Q204)+IFERROR(_xlfn.XLOOKUP("RECHERCHEX",TRIM(L204:AC204),L204:AC204),0),0))</f>
        <v/>
      </c>
      <c r="AL204" s="1030">
        <f t="shared" si="76"/>
        <v>0</v>
      </c>
      <c r="AM204" s="5254" t="str">
        <f t="shared" si="91"/>
        <v/>
      </c>
      <c r="AN204" s="1031">
        <f t="shared" si="77"/>
        <v>0</v>
      </c>
      <c r="AO204" s="1031">
        <f t="shared" si="78"/>
        <v>0</v>
      </c>
      <c r="AP204" s="1032">
        <f t="shared" si="79"/>
        <v>0</v>
      </c>
      <c r="AQ204" s="5255" t="str">
        <f t="shared" si="80"/>
        <v/>
      </c>
      <c r="AR204" s="1056"/>
      <c r="AS204" s="1056"/>
      <c r="AT204" s="1034">
        <f t="shared" si="81"/>
        <v>0</v>
      </c>
      <c r="AU204" s="1035">
        <f t="shared" si="82"/>
        <v>0</v>
      </c>
      <c r="AV204" s="1057" cm="1">
        <f t="array" ref="AV204">IF(AJ204&lt;&gt;1,0,IF(OR(AT204="",N(AT204)&lt;=0.000000001),"",IF(OR(AN204="",N(AN204)&lt;=0.000000001),0,IF(ISNUMBER(AT204),IFERROR(_xlfn.LET(_xlpm.ai_test,TRIM(AI204),_xlpm.r,IFERROR(_xlfn.XLOOKUP(_xlpm.ai_test,$BI$15:$BI$62,ROW($BI$15:$BI$62),0,1),IFERROR(_xlfn.XLOOKUP(_xlpm.ai_test,$BJ$15:$BJ$62,ROW($BJ$15:$BJ$62),0,1),_xlfn.XLOOKUP(_xlpm.ai_test,$BK$15:$BK$62,ROW($BK$15:$BK$62),0,1))),_xlpm.p,_xlpm.r-MIN(ROW($BI$15:$BI$62))+1,_xlpm.f,INDEX($BL$15:$BL$62,_xlpm.p),_xlpm.u,INDEX($BM$15:$BM$62,_xlpm.p),_xlpm.s,INDEX($BO$15:$BO$62,_xlpm.p),_xlpm.q,N(AT204)/_xlpm.f,IF(_xlpm.q&gt;=_xlpm.s,ROUND(_xlpm.q,1)&amp;" "&amp;_xlpm.ai_test&amp;" = "&amp;ROUND(_xlpm.q*_xlpm.f,1)&amp;" "&amp;_xlpm.u,ROUND(_xlpm.q,1)&amp;" "&amp;_xlpm.ai_test)),""),""))))</f>
        <v>0</v>
      </c>
      <c r="AW204" s="1047"/>
      <c r="AX204" s="1034">
        <f t="shared" si="83"/>
        <v>0</v>
      </c>
      <c r="AY204" s="1035" t="str">
        <f t="shared" si="84"/>
        <v/>
      </c>
      <c r="AZ204" s="1036">
        <f t="shared" si="89"/>
        <v>0</v>
      </c>
      <c r="BA204" s="1037" t="str">
        <f t="shared" si="85"/>
        <v/>
      </c>
      <c r="BB204" s="1038"/>
      <c r="BC204" s="1039">
        <f t="shared" si="90"/>
        <v>0</v>
      </c>
      <c r="BD204" s="1040" t="str">
        <f t="shared" si="86"/>
        <v/>
      </c>
      <c r="BE204" s="227" t="s">
        <v>22</v>
      </c>
      <c r="BF204" s="1019">
        <f t="shared" si="87"/>
        <v>0</v>
      </c>
      <c r="BG204" s="1020">
        <f t="shared" si="88"/>
        <v>0</v>
      </c>
      <c r="BH204"/>
      <c r="BQ204"/>
      <c r="BR204"/>
      <c r="BS204"/>
      <c r="BT204"/>
      <c r="BU204"/>
      <c r="BV204"/>
      <c r="BW204" s="959" t="str">
        <f t="shared" si="93"/>
        <v>►</v>
      </c>
      <c r="BX204"/>
      <c r="BY204"/>
      <c r="BZ204"/>
      <c r="CA204"/>
      <c r="CB204"/>
      <c r="CC204" s="856"/>
      <c r="CD204"/>
      <c r="CE204"/>
      <c r="CF204"/>
      <c r="CG204"/>
      <c r="CH204"/>
      <c r="CI204"/>
      <c r="CJ204"/>
      <c r="CL204"/>
      <c r="CM204"/>
      <c r="CN204"/>
      <c r="CO204"/>
      <c r="CP204"/>
      <c r="CQ204"/>
      <c r="CR204"/>
      <c r="CT204"/>
      <c r="CU204"/>
      <c r="CV204"/>
      <c r="CW204"/>
      <c r="CX204"/>
      <c r="CY204"/>
      <c r="CZ204"/>
      <c r="DB204" s="3">
        <v>1</v>
      </c>
    </row>
    <row r="205" spans="1:106" s="709" customFormat="1" ht="21" customHeight="1">
      <c r="A205" s="936" t="s">
        <v>22</v>
      </c>
      <c r="B205" s="952" t="str">
        <f t="shared" si="92"/>
        <v>►</v>
      </c>
      <c r="C205" s="993" cm="1">
        <f t="array" ref="C205">SUMPRODUCT(LEN(D205:J205))</f>
        <v>0</v>
      </c>
      <c r="D205" s="167"/>
      <c r="E205" s="172"/>
      <c r="F205" s="172"/>
      <c r="G205" s="172"/>
      <c r="H205" s="172"/>
      <c r="I205" s="172"/>
      <c r="J205" s="173"/>
      <c r="K205" s="442"/>
      <c r="L205" s="104" t="s">
        <v>16</v>
      </c>
      <c r="M205" s="1172"/>
      <c r="N205" s="1172"/>
      <c r="O205" s="1172"/>
      <c r="P205" s="1173"/>
      <c r="Q205" s="1174"/>
      <c r="R205" s="1175"/>
      <c r="S205" s="1176"/>
      <c r="T205" s="1177"/>
      <c r="U205" s="5248"/>
      <c r="V205" s="1177"/>
      <c r="W205" s="5249"/>
      <c r="X205" s="5208"/>
      <c r="Y205" s="5209"/>
      <c r="Z205" s="5210"/>
      <c r="AA205" s="5211"/>
      <c r="AB205" s="1178"/>
      <c r="AC205" s="1179"/>
      <c r="AD205" s="227" t="s">
        <v>22</v>
      </c>
      <c r="AE205" s="1027" t="str">
        <f t="shared" si="70"/>
        <v>►</v>
      </c>
      <c r="AF205" s="1028" t="str">
        <f t="shared" si="71"/>
        <v/>
      </c>
      <c r="AG205" s="1029" t="str">
        <f t="shared" si="72"/>
        <v/>
      </c>
      <c r="AH205" s="1028" t="str">
        <f t="shared" si="73"/>
        <v/>
      </c>
      <c r="AI205" s="1029" t="str">
        <f t="shared" si="74"/>
        <v/>
      </c>
      <c r="AJ205" s="1029">
        <f t="shared" si="75"/>
        <v>0</v>
      </c>
      <c r="AK205" s="1043" t="str" cm="1">
        <f t="array" ref="AK205">IF(AE205&lt;&gt;"A","",IFERROR((IFERROR(_xlfn.XLOOKUP(TRIM(SUBSTITUTE(U205,CHAR(160)," ")),$BI$15:$BI$62,$BL$15:$BL$62),IFERROR(_xlfn.XLOOKUP(TRIM(SUBSTITUTE(U205,CHAR(160)," ")),$BJ$15:$BJ$62,$BL$15:$BL$62),_xlfn.XLOOKUP(TRIM(SUBSTITUTE(U205,CHAR(160)," ")),$BK$15:$BK$62,$BL$15:$BL$62))))*T205*IF(ISBLANK(Q205),1,Q205)+IFERROR(_xlfn.XLOOKUP("RECHERCHEX",TRIM(L205:AC205),L205:AC205),0),0))</f>
        <v/>
      </c>
      <c r="AL205" s="1030">
        <f t="shared" si="76"/>
        <v>0</v>
      </c>
      <c r="AM205" s="5254" t="str">
        <f t="shared" si="91"/>
        <v/>
      </c>
      <c r="AN205" s="1031">
        <f t="shared" si="77"/>
        <v>0</v>
      </c>
      <c r="AO205" s="1031">
        <f t="shared" si="78"/>
        <v>0</v>
      </c>
      <c r="AP205" s="1044">
        <f t="shared" si="79"/>
        <v>0</v>
      </c>
      <c r="AQ205" s="5257" t="str">
        <f t="shared" si="80"/>
        <v/>
      </c>
      <c r="AR205" s="1056"/>
      <c r="AS205" s="1056"/>
      <c r="AT205" s="1045">
        <f t="shared" si="81"/>
        <v>0</v>
      </c>
      <c r="AU205" s="1046">
        <f t="shared" si="82"/>
        <v>0</v>
      </c>
      <c r="AV205" s="1059" cm="1">
        <f t="array" ref="AV205">IF(AJ205&lt;&gt;1,0,IF(OR(AT205="",N(AT205)&lt;=0.000000001),"",IF(OR(AN205="",N(AN205)&lt;=0.000000001),0,IF(ISNUMBER(AT205),IFERROR(_xlfn.LET(_xlpm.ai_test,TRIM(AI205),_xlpm.r,IFERROR(_xlfn.XLOOKUP(_xlpm.ai_test,$BI$15:$BI$62,ROW($BI$15:$BI$62),0,1),IFERROR(_xlfn.XLOOKUP(_xlpm.ai_test,$BJ$15:$BJ$62,ROW($BJ$15:$BJ$62),0,1),_xlfn.XLOOKUP(_xlpm.ai_test,$BK$15:$BK$62,ROW($BK$15:$BK$62),0,1))),_xlpm.p,_xlpm.r-MIN(ROW($BI$15:$BI$62))+1,_xlpm.f,INDEX($BL$15:$BL$62,_xlpm.p),_xlpm.u,INDEX($BM$15:$BM$62,_xlpm.p),_xlpm.s,INDEX($BO$15:$BO$62,_xlpm.p),_xlpm.q,N(AT205)/_xlpm.f,IF(_xlpm.q&gt;=_xlpm.s,ROUND(_xlpm.q,1)&amp;" "&amp;_xlpm.ai_test&amp;" = "&amp;ROUND(_xlpm.q*_xlpm.f,1)&amp;" "&amp;_xlpm.u,ROUND(_xlpm.q,1)&amp;" "&amp;_xlpm.ai_test)),""),""))))</f>
        <v>0</v>
      </c>
      <c r="AW205" s="1047"/>
      <c r="AX205" s="1045">
        <f t="shared" si="83"/>
        <v>0</v>
      </c>
      <c r="AY205" s="1046" t="str">
        <f t="shared" si="84"/>
        <v/>
      </c>
      <c r="AZ205" s="1048">
        <f t="shared" si="89"/>
        <v>0</v>
      </c>
      <c r="BA205" s="1049" t="str">
        <f t="shared" si="85"/>
        <v/>
      </c>
      <c r="BB205" s="1038"/>
      <c r="BC205" s="1050">
        <f t="shared" si="90"/>
        <v>0</v>
      </c>
      <c r="BD205" s="1040" t="str">
        <f t="shared" si="86"/>
        <v/>
      </c>
      <c r="BE205" s="227" t="s">
        <v>22</v>
      </c>
      <c r="BF205" s="1019">
        <f t="shared" si="87"/>
        <v>0</v>
      </c>
      <c r="BG205" s="1020">
        <f t="shared" si="88"/>
        <v>0</v>
      </c>
      <c r="BH205"/>
      <c r="BQ205"/>
      <c r="BR205"/>
      <c r="BS205"/>
      <c r="BT205"/>
      <c r="BU205"/>
      <c r="BV205"/>
      <c r="BW205" s="959" t="str">
        <f t="shared" si="93"/>
        <v>►</v>
      </c>
      <c r="BX205"/>
      <c r="BY205"/>
      <c r="BZ205"/>
      <c r="CA205"/>
      <c r="CB205"/>
      <c r="CC205" s="856"/>
      <c r="CD205"/>
      <c r="CE205"/>
      <c r="CF205"/>
      <c r="CG205"/>
      <c r="CH205"/>
      <c r="CI205"/>
      <c r="CJ205"/>
      <c r="CL205"/>
      <c r="CM205"/>
      <c r="CN205"/>
      <c r="CO205"/>
      <c r="CP205"/>
      <c r="CQ205"/>
      <c r="CR205"/>
      <c r="CT205"/>
      <c r="CU205"/>
      <c r="CV205"/>
      <c r="CW205"/>
      <c r="CX205"/>
      <c r="CY205"/>
      <c r="CZ205"/>
      <c r="DB205" s="3">
        <v>1</v>
      </c>
    </row>
    <row r="206" spans="1:106" s="709" customFormat="1" ht="21" customHeight="1">
      <c r="A206" s="936" t="s">
        <v>22</v>
      </c>
      <c r="B206" s="952" t="str">
        <f t="shared" si="92"/>
        <v>►</v>
      </c>
      <c r="C206" s="993" cm="1">
        <f t="array" ref="C206">SUMPRODUCT(LEN(D206:J206))</f>
        <v>0</v>
      </c>
      <c r="D206" s="167"/>
      <c r="E206" s="172"/>
      <c r="F206" s="172"/>
      <c r="G206" s="172"/>
      <c r="H206" s="172"/>
      <c r="I206" s="172"/>
      <c r="J206" s="173"/>
      <c r="K206" s="442"/>
      <c r="L206" s="104" t="s">
        <v>16</v>
      </c>
      <c r="M206" s="1172"/>
      <c r="N206" s="1172"/>
      <c r="O206" s="1172"/>
      <c r="P206" s="1173"/>
      <c r="Q206" s="1174"/>
      <c r="R206" s="1175"/>
      <c r="S206" s="1176"/>
      <c r="T206" s="1177"/>
      <c r="U206" s="5248"/>
      <c r="V206" s="1177"/>
      <c r="W206" s="5249"/>
      <c r="X206" s="5208"/>
      <c r="Y206" s="5209"/>
      <c r="Z206" s="5210"/>
      <c r="AA206" s="5211"/>
      <c r="AB206" s="1178"/>
      <c r="AC206" s="1179"/>
      <c r="AD206" s="227" t="s">
        <v>22</v>
      </c>
      <c r="AE206" s="1027" t="str">
        <f t="shared" si="70"/>
        <v>►</v>
      </c>
      <c r="AF206" s="1028" t="str">
        <f t="shared" si="71"/>
        <v/>
      </c>
      <c r="AG206" s="1029" t="str">
        <f t="shared" si="72"/>
        <v/>
      </c>
      <c r="AH206" s="1028" t="str">
        <f t="shared" si="73"/>
        <v/>
      </c>
      <c r="AI206" s="1029" t="str">
        <f t="shared" si="74"/>
        <v/>
      </c>
      <c r="AJ206" s="1029">
        <f t="shared" si="75"/>
        <v>0</v>
      </c>
      <c r="AK206" s="1043" t="str" cm="1">
        <f t="array" ref="AK206">IF(AE206&lt;&gt;"A","",IFERROR((IFERROR(_xlfn.XLOOKUP(TRIM(SUBSTITUTE(U206,CHAR(160)," ")),$BI$15:$BI$62,$BL$15:$BL$62),IFERROR(_xlfn.XLOOKUP(TRIM(SUBSTITUTE(U206,CHAR(160)," ")),$BJ$15:$BJ$62,$BL$15:$BL$62),_xlfn.XLOOKUP(TRIM(SUBSTITUTE(U206,CHAR(160)," ")),$BK$15:$BK$62,$BL$15:$BL$62))))*T206*IF(ISBLANK(Q206),1,Q206)+IFERROR(_xlfn.XLOOKUP("RECHERCHEX",TRIM(L206:AC206),L206:AC206),0),0))</f>
        <v/>
      </c>
      <c r="AL206" s="1030">
        <f t="shared" si="76"/>
        <v>0</v>
      </c>
      <c r="AM206" s="5254" t="str">
        <f t="shared" si="91"/>
        <v/>
      </c>
      <c r="AN206" s="1031">
        <f t="shared" si="77"/>
        <v>0</v>
      </c>
      <c r="AO206" s="1031">
        <f t="shared" si="78"/>
        <v>0</v>
      </c>
      <c r="AP206" s="1032">
        <f t="shared" si="79"/>
        <v>0</v>
      </c>
      <c r="AQ206" s="5255" t="str">
        <f t="shared" si="80"/>
        <v/>
      </c>
      <c r="AR206" s="1056"/>
      <c r="AS206" s="1056"/>
      <c r="AT206" s="1034">
        <f t="shared" si="81"/>
        <v>0</v>
      </c>
      <c r="AU206" s="1035">
        <f t="shared" si="82"/>
        <v>0</v>
      </c>
      <c r="AV206" s="1057" cm="1">
        <f t="array" ref="AV206">IF(AJ206&lt;&gt;1,0,IF(OR(AT206="",N(AT206)&lt;=0.000000001),"",IF(OR(AN206="",N(AN206)&lt;=0.000000001),0,IF(ISNUMBER(AT206),IFERROR(_xlfn.LET(_xlpm.ai_test,TRIM(AI206),_xlpm.r,IFERROR(_xlfn.XLOOKUP(_xlpm.ai_test,$BI$15:$BI$62,ROW($BI$15:$BI$62),0,1),IFERROR(_xlfn.XLOOKUP(_xlpm.ai_test,$BJ$15:$BJ$62,ROW($BJ$15:$BJ$62),0,1),_xlfn.XLOOKUP(_xlpm.ai_test,$BK$15:$BK$62,ROW($BK$15:$BK$62),0,1))),_xlpm.p,_xlpm.r-MIN(ROW($BI$15:$BI$62))+1,_xlpm.f,INDEX($BL$15:$BL$62,_xlpm.p),_xlpm.u,INDEX($BM$15:$BM$62,_xlpm.p),_xlpm.s,INDEX($BO$15:$BO$62,_xlpm.p),_xlpm.q,N(AT206)/_xlpm.f,IF(_xlpm.q&gt;=_xlpm.s,ROUND(_xlpm.q,1)&amp;" "&amp;_xlpm.ai_test&amp;" = "&amp;ROUND(_xlpm.q*_xlpm.f,1)&amp;" "&amp;_xlpm.u,ROUND(_xlpm.q,1)&amp;" "&amp;_xlpm.ai_test)),""),""))))</f>
        <v>0</v>
      </c>
      <c r="AW206" s="1047"/>
      <c r="AX206" s="1034">
        <f t="shared" si="83"/>
        <v>0</v>
      </c>
      <c r="AY206" s="1035" t="str">
        <f t="shared" si="84"/>
        <v/>
      </c>
      <c r="AZ206" s="1036">
        <f t="shared" si="89"/>
        <v>0</v>
      </c>
      <c r="BA206" s="1037" t="str">
        <f t="shared" si="85"/>
        <v/>
      </c>
      <c r="BB206" s="1038"/>
      <c r="BC206" s="1039">
        <f t="shared" si="90"/>
        <v>0</v>
      </c>
      <c r="BD206" s="1040" t="str">
        <f t="shared" si="86"/>
        <v/>
      </c>
      <c r="BE206" s="227" t="s">
        <v>22</v>
      </c>
      <c r="BF206" s="1019">
        <f t="shared" si="87"/>
        <v>0</v>
      </c>
      <c r="BG206" s="1020">
        <f t="shared" si="88"/>
        <v>0</v>
      </c>
      <c r="BH206"/>
      <c r="BQ206"/>
      <c r="BR206"/>
      <c r="BS206"/>
      <c r="BT206"/>
      <c r="BU206"/>
      <c r="BV206"/>
      <c r="BW206" s="959" t="str">
        <f t="shared" si="93"/>
        <v>►</v>
      </c>
      <c r="BX206"/>
      <c r="BY206"/>
      <c r="BZ206"/>
      <c r="CA206"/>
      <c r="CB206"/>
      <c r="CC206" s="856"/>
      <c r="CD206"/>
      <c r="CE206"/>
      <c r="CF206"/>
      <c r="CG206"/>
      <c r="CH206"/>
      <c r="CI206"/>
      <c r="CJ206"/>
      <c r="CL206"/>
      <c r="CM206"/>
      <c r="CN206"/>
      <c r="CO206"/>
      <c r="CP206"/>
      <c r="CQ206"/>
      <c r="CR206"/>
      <c r="CT206"/>
      <c r="CU206"/>
      <c r="CV206"/>
      <c r="CW206"/>
      <c r="CX206"/>
      <c r="CY206"/>
      <c r="CZ206"/>
      <c r="DB206" s="3">
        <v>1</v>
      </c>
    </row>
    <row r="207" spans="1:106" s="709" customFormat="1" ht="21" customHeight="1">
      <c r="A207" s="936" t="s">
        <v>22</v>
      </c>
      <c r="B207" s="952" t="str">
        <f t="shared" si="92"/>
        <v>►</v>
      </c>
      <c r="C207" s="993" cm="1">
        <f t="array" ref="C207">SUMPRODUCT(LEN(D207:J207))</f>
        <v>0</v>
      </c>
      <c r="D207" s="167"/>
      <c r="E207" s="172"/>
      <c r="F207" s="172"/>
      <c r="G207" s="172"/>
      <c r="H207" s="172"/>
      <c r="I207" s="172"/>
      <c r="J207" s="173"/>
      <c r="K207" s="442"/>
      <c r="L207" s="104" t="s">
        <v>16</v>
      </c>
      <c r="M207" s="1172"/>
      <c r="N207" s="1172"/>
      <c r="O207" s="1172"/>
      <c r="P207" s="1173"/>
      <c r="Q207" s="1174"/>
      <c r="R207" s="1175"/>
      <c r="S207" s="1176"/>
      <c r="T207" s="1177"/>
      <c r="U207" s="5248"/>
      <c r="V207" s="1177"/>
      <c r="W207" s="5249"/>
      <c r="X207" s="5208"/>
      <c r="Y207" s="5209"/>
      <c r="Z207" s="5210"/>
      <c r="AA207" s="5211"/>
      <c r="AB207" s="1178"/>
      <c r="AC207" s="1179"/>
      <c r="AD207" s="227" t="s">
        <v>22</v>
      </c>
      <c r="AE207" s="1027" t="str">
        <f t="shared" si="70"/>
        <v>►</v>
      </c>
      <c r="AF207" s="1028" t="str">
        <f t="shared" si="71"/>
        <v/>
      </c>
      <c r="AG207" s="1029" t="str">
        <f t="shared" si="72"/>
        <v/>
      </c>
      <c r="AH207" s="1028" t="str">
        <f t="shared" si="73"/>
        <v/>
      </c>
      <c r="AI207" s="1029" t="str">
        <f t="shared" si="74"/>
        <v/>
      </c>
      <c r="AJ207" s="1029">
        <f t="shared" si="75"/>
        <v>0</v>
      </c>
      <c r="AK207" s="1043" t="str" cm="1">
        <f t="array" ref="AK207">IF(AE207&lt;&gt;"A","",IFERROR((IFERROR(_xlfn.XLOOKUP(TRIM(SUBSTITUTE(U207,CHAR(160)," ")),$BI$15:$BI$62,$BL$15:$BL$62),IFERROR(_xlfn.XLOOKUP(TRIM(SUBSTITUTE(U207,CHAR(160)," ")),$BJ$15:$BJ$62,$BL$15:$BL$62),_xlfn.XLOOKUP(TRIM(SUBSTITUTE(U207,CHAR(160)," ")),$BK$15:$BK$62,$BL$15:$BL$62))))*T207*IF(ISBLANK(Q207),1,Q207)+IFERROR(_xlfn.XLOOKUP("RECHERCHEX",TRIM(L207:AC207),L207:AC207),0),0))</f>
        <v/>
      </c>
      <c r="AL207" s="1030">
        <f t="shared" si="76"/>
        <v>0</v>
      </c>
      <c r="AM207" s="5254" t="str">
        <f t="shared" si="91"/>
        <v/>
      </c>
      <c r="AN207" s="1031">
        <f t="shared" si="77"/>
        <v>0</v>
      </c>
      <c r="AO207" s="1031">
        <f t="shared" si="78"/>
        <v>0</v>
      </c>
      <c r="AP207" s="1044">
        <f t="shared" si="79"/>
        <v>0</v>
      </c>
      <c r="AQ207" s="5257" t="str">
        <f t="shared" si="80"/>
        <v/>
      </c>
      <c r="AR207" s="1056"/>
      <c r="AS207" s="1056"/>
      <c r="AT207" s="1045">
        <f t="shared" si="81"/>
        <v>0</v>
      </c>
      <c r="AU207" s="1046">
        <f t="shared" si="82"/>
        <v>0</v>
      </c>
      <c r="AV207" s="1059" cm="1">
        <f t="array" ref="AV207">IF(AJ207&lt;&gt;1,0,IF(OR(AT207="",N(AT207)&lt;=0.000000001),"",IF(OR(AN207="",N(AN207)&lt;=0.000000001),0,IF(ISNUMBER(AT207),IFERROR(_xlfn.LET(_xlpm.ai_test,TRIM(AI207),_xlpm.r,IFERROR(_xlfn.XLOOKUP(_xlpm.ai_test,$BI$15:$BI$62,ROW($BI$15:$BI$62),0,1),IFERROR(_xlfn.XLOOKUP(_xlpm.ai_test,$BJ$15:$BJ$62,ROW($BJ$15:$BJ$62),0,1),_xlfn.XLOOKUP(_xlpm.ai_test,$BK$15:$BK$62,ROW($BK$15:$BK$62),0,1))),_xlpm.p,_xlpm.r-MIN(ROW($BI$15:$BI$62))+1,_xlpm.f,INDEX($BL$15:$BL$62,_xlpm.p),_xlpm.u,INDEX($BM$15:$BM$62,_xlpm.p),_xlpm.s,INDEX($BO$15:$BO$62,_xlpm.p),_xlpm.q,N(AT207)/_xlpm.f,IF(_xlpm.q&gt;=_xlpm.s,ROUND(_xlpm.q,1)&amp;" "&amp;_xlpm.ai_test&amp;" = "&amp;ROUND(_xlpm.q*_xlpm.f,1)&amp;" "&amp;_xlpm.u,ROUND(_xlpm.q,1)&amp;" "&amp;_xlpm.ai_test)),""),""))))</f>
        <v>0</v>
      </c>
      <c r="AW207" s="1047"/>
      <c r="AX207" s="1045">
        <f t="shared" si="83"/>
        <v>0</v>
      </c>
      <c r="AY207" s="1046" t="str">
        <f t="shared" si="84"/>
        <v/>
      </c>
      <c r="AZ207" s="1048">
        <f t="shared" si="89"/>
        <v>0</v>
      </c>
      <c r="BA207" s="1049" t="str">
        <f t="shared" si="85"/>
        <v/>
      </c>
      <c r="BB207" s="1038"/>
      <c r="BC207" s="1050">
        <f t="shared" si="90"/>
        <v>0</v>
      </c>
      <c r="BD207" s="1040" t="str">
        <f t="shared" si="86"/>
        <v/>
      </c>
      <c r="BE207" s="227" t="s">
        <v>22</v>
      </c>
      <c r="BF207" s="1019">
        <f t="shared" si="87"/>
        <v>0</v>
      </c>
      <c r="BG207" s="1020">
        <f t="shared" si="88"/>
        <v>0</v>
      </c>
      <c r="BH207"/>
      <c r="BQ207"/>
      <c r="BR207"/>
      <c r="BS207"/>
      <c r="BT207"/>
      <c r="BU207"/>
      <c r="BV207"/>
      <c r="BW207" s="959" t="str">
        <f t="shared" si="93"/>
        <v>►</v>
      </c>
      <c r="BX207"/>
      <c r="BY207"/>
      <c r="BZ207"/>
      <c r="CA207"/>
      <c r="CB207"/>
      <c r="CC207" s="856"/>
      <c r="CD207"/>
      <c r="CE207"/>
      <c r="CF207"/>
      <c r="CG207"/>
      <c r="CH207"/>
      <c r="CI207"/>
      <c r="CJ207"/>
      <c r="CL207"/>
      <c r="CM207"/>
      <c r="CN207"/>
      <c r="CO207"/>
      <c r="CP207"/>
      <c r="CQ207"/>
      <c r="CR207"/>
      <c r="CT207"/>
      <c r="CU207"/>
      <c r="CV207"/>
      <c r="CW207"/>
      <c r="CX207"/>
      <c r="CY207"/>
      <c r="CZ207"/>
      <c r="DB207" s="3">
        <v>1</v>
      </c>
    </row>
    <row r="208" spans="1:106" s="709" customFormat="1" ht="21" customHeight="1">
      <c r="A208" s="936" t="s">
        <v>22</v>
      </c>
      <c r="B208" s="952" t="str">
        <f t="shared" si="92"/>
        <v>►</v>
      </c>
      <c r="C208" s="993" cm="1">
        <f t="array" ref="C208">SUMPRODUCT(LEN(D208:J208))</f>
        <v>0</v>
      </c>
      <c r="D208" s="167"/>
      <c r="E208" s="172"/>
      <c r="F208" s="172"/>
      <c r="G208" s="172"/>
      <c r="H208" s="172"/>
      <c r="I208" s="172"/>
      <c r="J208" s="173"/>
      <c r="K208" s="442" t="s">
        <v>22</v>
      </c>
      <c r="L208" s="104" t="s">
        <v>16</v>
      </c>
      <c r="M208" s="1172"/>
      <c r="N208" s="1172"/>
      <c r="O208" s="1172"/>
      <c r="P208" s="1173"/>
      <c r="Q208" s="1174"/>
      <c r="R208" s="1175"/>
      <c r="S208" s="1176"/>
      <c r="T208" s="1177"/>
      <c r="U208" s="5248"/>
      <c r="V208" s="1177"/>
      <c r="W208" s="5249"/>
      <c r="X208" s="5208"/>
      <c r="Y208" s="5209"/>
      <c r="Z208" s="5210"/>
      <c r="AA208" s="5211"/>
      <c r="AB208" s="1178"/>
      <c r="AC208" s="1179"/>
      <c r="AD208" s="227" t="s">
        <v>22</v>
      </c>
      <c r="AE208" s="1027" t="str">
        <f t="shared" si="70"/>
        <v>►</v>
      </c>
      <c r="AF208" s="1028" t="str">
        <f t="shared" si="71"/>
        <v/>
      </c>
      <c r="AG208" s="1029" t="str">
        <f t="shared" si="72"/>
        <v/>
      </c>
      <c r="AH208" s="1028" t="str">
        <f t="shared" si="73"/>
        <v/>
      </c>
      <c r="AI208" s="1029" t="str">
        <f t="shared" si="74"/>
        <v/>
      </c>
      <c r="AJ208" s="1029">
        <f t="shared" si="75"/>
        <v>0</v>
      </c>
      <c r="AK208" s="1043" t="str" cm="1">
        <f t="array" ref="AK208">IF(AE208&lt;&gt;"A","",IFERROR((IFERROR(_xlfn.XLOOKUP(TRIM(SUBSTITUTE(U208,CHAR(160)," ")),$BI$15:$BI$62,$BL$15:$BL$62),IFERROR(_xlfn.XLOOKUP(TRIM(SUBSTITUTE(U208,CHAR(160)," ")),$BJ$15:$BJ$62,$BL$15:$BL$62),_xlfn.XLOOKUP(TRIM(SUBSTITUTE(U208,CHAR(160)," ")),$BK$15:$BK$62,$BL$15:$BL$62))))*T208*IF(ISBLANK(Q208),1,Q208)+IFERROR(_xlfn.XLOOKUP("RECHERCHEX",TRIM(L208:AC208),L208:AC208),0),0))</f>
        <v/>
      </c>
      <c r="AL208" s="1030">
        <f t="shared" si="76"/>
        <v>0</v>
      </c>
      <c r="AM208" s="5254" t="str">
        <f t="shared" si="91"/>
        <v/>
      </c>
      <c r="AN208" s="1031">
        <f t="shared" si="77"/>
        <v>0</v>
      </c>
      <c r="AO208" s="1031">
        <f t="shared" si="78"/>
        <v>0</v>
      </c>
      <c r="AP208" s="1032">
        <f t="shared" si="79"/>
        <v>0</v>
      </c>
      <c r="AQ208" s="5255" t="str">
        <f t="shared" si="80"/>
        <v/>
      </c>
      <c r="AR208" s="1056"/>
      <c r="AS208" s="1056"/>
      <c r="AT208" s="1034">
        <f t="shared" si="81"/>
        <v>0</v>
      </c>
      <c r="AU208" s="1035">
        <f t="shared" si="82"/>
        <v>0</v>
      </c>
      <c r="AV208" s="1057" cm="1">
        <f t="array" ref="AV208">IF(AJ208&lt;&gt;1,0,IF(OR(AT208="",N(AT208)&lt;=0.000000001),"",IF(OR(AN208="",N(AN208)&lt;=0.000000001),0,IF(ISNUMBER(AT208),IFERROR(_xlfn.LET(_xlpm.ai_test,TRIM(AI208),_xlpm.r,IFERROR(_xlfn.XLOOKUP(_xlpm.ai_test,$BI$15:$BI$62,ROW($BI$15:$BI$62),0,1),IFERROR(_xlfn.XLOOKUP(_xlpm.ai_test,$BJ$15:$BJ$62,ROW($BJ$15:$BJ$62),0,1),_xlfn.XLOOKUP(_xlpm.ai_test,$BK$15:$BK$62,ROW($BK$15:$BK$62),0,1))),_xlpm.p,_xlpm.r-MIN(ROW($BI$15:$BI$62))+1,_xlpm.f,INDEX($BL$15:$BL$62,_xlpm.p),_xlpm.u,INDEX($BM$15:$BM$62,_xlpm.p),_xlpm.s,INDEX($BO$15:$BO$62,_xlpm.p),_xlpm.q,N(AT208)/_xlpm.f,IF(_xlpm.q&gt;=_xlpm.s,ROUND(_xlpm.q,1)&amp;" "&amp;_xlpm.ai_test&amp;" = "&amp;ROUND(_xlpm.q*_xlpm.f,1)&amp;" "&amp;_xlpm.u,ROUND(_xlpm.q,1)&amp;" "&amp;_xlpm.ai_test)),""),""))))</f>
        <v>0</v>
      </c>
      <c r="AW208" s="1047"/>
      <c r="AX208" s="1034">
        <f t="shared" si="83"/>
        <v>0</v>
      </c>
      <c r="AY208" s="1035" t="str">
        <f t="shared" si="84"/>
        <v/>
      </c>
      <c r="AZ208" s="1036">
        <f t="shared" si="89"/>
        <v>0</v>
      </c>
      <c r="BA208" s="1037" t="str">
        <f t="shared" si="85"/>
        <v/>
      </c>
      <c r="BB208" s="1038"/>
      <c r="BC208" s="1039">
        <f t="shared" si="90"/>
        <v>0</v>
      </c>
      <c r="BD208" s="1040" t="str">
        <f t="shared" si="86"/>
        <v/>
      </c>
      <c r="BE208" s="227" t="s">
        <v>22</v>
      </c>
      <c r="BF208" s="1019">
        <f t="shared" si="87"/>
        <v>0</v>
      </c>
      <c r="BG208" s="1020">
        <f t="shared" si="88"/>
        <v>0</v>
      </c>
      <c r="BH208"/>
      <c r="BQ208"/>
      <c r="BR208"/>
      <c r="BS208"/>
      <c r="BT208"/>
      <c r="BU208"/>
      <c r="BV208"/>
      <c r="BW208" s="959" t="str">
        <f t="shared" si="93"/>
        <v>►</v>
      </c>
      <c r="BX208"/>
      <c r="BY208"/>
      <c r="BZ208"/>
      <c r="CA208"/>
      <c r="CB208"/>
      <c r="CC208" s="856"/>
      <c r="CD208"/>
      <c r="CE208"/>
      <c r="CF208"/>
      <c r="CG208"/>
      <c r="CH208"/>
      <c r="CI208"/>
      <c r="CJ208"/>
      <c r="CL208"/>
      <c r="CM208"/>
      <c r="CN208"/>
      <c r="CO208"/>
      <c r="CP208"/>
      <c r="CQ208"/>
      <c r="CR208"/>
      <c r="CT208"/>
      <c r="CU208"/>
      <c r="CV208"/>
      <c r="CW208"/>
      <c r="CX208"/>
      <c r="CY208"/>
      <c r="CZ208"/>
      <c r="DB208" s="3">
        <v>1</v>
      </c>
    </row>
    <row r="209" spans="1:106" s="709" customFormat="1" ht="21" customHeight="1">
      <c r="A209" s="936" t="s">
        <v>22</v>
      </c>
      <c r="B209" s="952" t="str">
        <f t="shared" si="92"/>
        <v>►</v>
      </c>
      <c r="C209" s="993" cm="1">
        <f t="array" ref="C209">SUMPRODUCT(LEN(D209:J209))</f>
        <v>0</v>
      </c>
      <c r="D209" s="167"/>
      <c r="E209" s="172"/>
      <c r="F209" s="172"/>
      <c r="G209" s="172"/>
      <c r="H209" s="172"/>
      <c r="I209" s="172"/>
      <c r="J209" s="173"/>
      <c r="K209" s="442" t="s">
        <v>22</v>
      </c>
      <c r="L209" s="104" t="s">
        <v>16</v>
      </c>
      <c r="M209" s="1172"/>
      <c r="N209" s="1172"/>
      <c r="O209" s="1172"/>
      <c r="P209" s="1173"/>
      <c r="Q209" s="1174"/>
      <c r="R209" s="1175"/>
      <c r="S209" s="1176"/>
      <c r="T209" s="1177"/>
      <c r="U209" s="5248"/>
      <c r="V209" s="1177"/>
      <c r="W209" s="5249"/>
      <c r="X209" s="5208"/>
      <c r="Y209" s="5209"/>
      <c r="Z209" s="5210"/>
      <c r="AA209" s="5211"/>
      <c r="AB209" s="1178"/>
      <c r="AC209" s="1179"/>
      <c r="AD209" s="227" t="s">
        <v>22</v>
      </c>
      <c r="AE209" s="1027" t="str">
        <f t="shared" si="70"/>
        <v>►</v>
      </c>
      <c r="AF209" s="1028" t="str">
        <f t="shared" si="71"/>
        <v/>
      </c>
      <c r="AG209" s="1029" t="str">
        <f t="shared" si="72"/>
        <v/>
      </c>
      <c r="AH209" s="1028" t="str">
        <f t="shared" si="73"/>
        <v/>
      </c>
      <c r="AI209" s="1029" t="str">
        <f t="shared" si="74"/>
        <v/>
      </c>
      <c r="AJ209" s="1029">
        <f t="shared" si="75"/>
        <v>0</v>
      </c>
      <c r="AK209" s="1043" t="str" cm="1">
        <f t="array" ref="AK209">IF(AE209&lt;&gt;"A","",IFERROR((IFERROR(_xlfn.XLOOKUP(TRIM(SUBSTITUTE(U209,CHAR(160)," ")),$BI$15:$BI$62,$BL$15:$BL$62),IFERROR(_xlfn.XLOOKUP(TRIM(SUBSTITUTE(U209,CHAR(160)," ")),$BJ$15:$BJ$62,$BL$15:$BL$62),_xlfn.XLOOKUP(TRIM(SUBSTITUTE(U209,CHAR(160)," ")),$BK$15:$BK$62,$BL$15:$BL$62))))*T209*IF(ISBLANK(Q209),1,Q209)+IFERROR(_xlfn.XLOOKUP("RECHERCHEX",TRIM(L209:AC209),L209:AC209),0),0))</f>
        <v/>
      </c>
      <c r="AL209" s="1030">
        <f t="shared" si="76"/>
        <v>0</v>
      </c>
      <c r="AM209" s="5254" t="str">
        <f t="shared" si="91"/>
        <v/>
      </c>
      <c r="AN209" s="1031">
        <f t="shared" si="77"/>
        <v>0</v>
      </c>
      <c r="AO209" s="1031">
        <f t="shared" si="78"/>
        <v>0</v>
      </c>
      <c r="AP209" s="1044">
        <f t="shared" si="79"/>
        <v>0</v>
      </c>
      <c r="AQ209" s="5257" t="str">
        <f t="shared" si="80"/>
        <v/>
      </c>
      <c r="AR209" s="1056"/>
      <c r="AS209" s="1056"/>
      <c r="AT209" s="1045">
        <f t="shared" si="81"/>
        <v>0</v>
      </c>
      <c r="AU209" s="1046">
        <f t="shared" si="82"/>
        <v>0</v>
      </c>
      <c r="AV209" s="1059" cm="1">
        <f t="array" ref="AV209">IF(AJ209&lt;&gt;1,0,IF(OR(AT209="",N(AT209)&lt;=0.000000001),"",IF(OR(AN209="",N(AN209)&lt;=0.000000001),0,IF(ISNUMBER(AT209),IFERROR(_xlfn.LET(_xlpm.ai_test,TRIM(AI209),_xlpm.r,IFERROR(_xlfn.XLOOKUP(_xlpm.ai_test,$BI$15:$BI$62,ROW($BI$15:$BI$62),0,1),IFERROR(_xlfn.XLOOKUP(_xlpm.ai_test,$BJ$15:$BJ$62,ROW($BJ$15:$BJ$62),0,1),_xlfn.XLOOKUP(_xlpm.ai_test,$BK$15:$BK$62,ROW($BK$15:$BK$62),0,1))),_xlpm.p,_xlpm.r-MIN(ROW($BI$15:$BI$62))+1,_xlpm.f,INDEX($BL$15:$BL$62,_xlpm.p),_xlpm.u,INDEX($BM$15:$BM$62,_xlpm.p),_xlpm.s,INDEX($BO$15:$BO$62,_xlpm.p),_xlpm.q,N(AT209)/_xlpm.f,IF(_xlpm.q&gt;=_xlpm.s,ROUND(_xlpm.q,1)&amp;" "&amp;_xlpm.ai_test&amp;" = "&amp;ROUND(_xlpm.q*_xlpm.f,1)&amp;" "&amp;_xlpm.u,ROUND(_xlpm.q,1)&amp;" "&amp;_xlpm.ai_test)),""),""))))</f>
        <v>0</v>
      </c>
      <c r="AW209" s="1047"/>
      <c r="AX209" s="1045">
        <f t="shared" si="83"/>
        <v>0</v>
      </c>
      <c r="AY209" s="1046" t="str">
        <f t="shared" si="84"/>
        <v/>
      </c>
      <c r="AZ209" s="1048">
        <f t="shared" si="89"/>
        <v>0</v>
      </c>
      <c r="BA209" s="1049" t="str">
        <f t="shared" si="85"/>
        <v/>
      </c>
      <c r="BB209" s="1038"/>
      <c r="BC209" s="1050">
        <f t="shared" si="90"/>
        <v>0</v>
      </c>
      <c r="BD209" s="1040" t="str">
        <f t="shared" si="86"/>
        <v/>
      </c>
      <c r="BE209" s="227" t="s">
        <v>22</v>
      </c>
      <c r="BF209" s="1019">
        <f t="shared" si="87"/>
        <v>0</v>
      </c>
      <c r="BG209" s="1020">
        <f t="shared" si="88"/>
        <v>0</v>
      </c>
      <c r="BH209"/>
      <c r="BQ209"/>
      <c r="BR209"/>
      <c r="BS209"/>
      <c r="BT209"/>
      <c r="BU209"/>
      <c r="BV209"/>
      <c r="BW209" s="959" t="str">
        <f t="shared" si="93"/>
        <v>►</v>
      </c>
      <c r="BX209"/>
      <c r="BY209"/>
      <c r="BZ209"/>
      <c r="CA209"/>
      <c r="CB209"/>
      <c r="CC209" s="856"/>
      <c r="CD209"/>
      <c r="CE209"/>
      <c r="CF209"/>
      <c r="CG209"/>
      <c r="CH209"/>
      <c r="CI209"/>
      <c r="CJ209"/>
      <c r="CL209"/>
      <c r="CM209"/>
      <c r="CN209"/>
      <c r="CO209"/>
      <c r="CP209"/>
      <c r="CQ209"/>
      <c r="CR209"/>
      <c r="CT209"/>
      <c r="CU209"/>
      <c r="CV209"/>
      <c r="CW209"/>
      <c r="CX209"/>
      <c r="CY209"/>
      <c r="CZ209"/>
      <c r="DB209" s="3">
        <v>1</v>
      </c>
    </row>
    <row r="210" spans="1:106" s="709" customFormat="1" ht="21" customHeight="1">
      <c r="A210" s="936" t="s">
        <v>22</v>
      </c>
      <c r="B210" s="952" t="str">
        <f t="shared" si="92"/>
        <v>►</v>
      </c>
      <c r="C210" s="993" cm="1">
        <f t="array" ref="C210">SUMPRODUCT(LEN(D210:J210))</f>
        <v>0</v>
      </c>
      <c r="D210" s="167"/>
      <c r="E210" s="172"/>
      <c r="F210" s="172"/>
      <c r="G210" s="172"/>
      <c r="H210" s="172"/>
      <c r="I210" s="172"/>
      <c r="J210" s="173"/>
      <c r="K210" s="442" t="s">
        <v>22</v>
      </c>
      <c r="L210" s="104" t="s">
        <v>16</v>
      </c>
      <c r="M210" s="1172"/>
      <c r="N210" s="1172"/>
      <c r="O210" s="1172"/>
      <c r="P210" s="1173"/>
      <c r="Q210" s="1174"/>
      <c r="R210" s="1175"/>
      <c r="S210" s="1176"/>
      <c r="T210" s="1177"/>
      <c r="U210" s="5248"/>
      <c r="V210" s="1177"/>
      <c r="W210" s="5249"/>
      <c r="X210" s="5208"/>
      <c r="Y210" s="5209"/>
      <c r="Z210" s="5210"/>
      <c r="AA210" s="5211"/>
      <c r="AB210" s="1178"/>
      <c r="AC210" s="1179"/>
      <c r="AD210" s="227" t="s">
        <v>22</v>
      </c>
      <c r="AE210" s="1027" t="str">
        <f t="shared" si="70"/>
        <v>►</v>
      </c>
      <c r="AF210" s="1028" t="str">
        <f t="shared" si="71"/>
        <v/>
      </c>
      <c r="AG210" s="1029" t="str">
        <f t="shared" si="72"/>
        <v/>
      </c>
      <c r="AH210" s="1028" t="str">
        <f t="shared" si="73"/>
        <v/>
      </c>
      <c r="AI210" s="1029" t="str">
        <f t="shared" si="74"/>
        <v/>
      </c>
      <c r="AJ210" s="1029">
        <f t="shared" si="75"/>
        <v>0</v>
      </c>
      <c r="AK210" s="1043" t="str" cm="1">
        <f t="array" ref="AK210">IF(AE210&lt;&gt;"A","",IFERROR((IFERROR(_xlfn.XLOOKUP(TRIM(SUBSTITUTE(U210,CHAR(160)," ")),$BI$15:$BI$62,$BL$15:$BL$62),IFERROR(_xlfn.XLOOKUP(TRIM(SUBSTITUTE(U210,CHAR(160)," ")),$BJ$15:$BJ$62,$BL$15:$BL$62),_xlfn.XLOOKUP(TRIM(SUBSTITUTE(U210,CHAR(160)," ")),$BK$15:$BK$62,$BL$15:$BL$62))))*T210*IF(ISBLANK(Q210),1,Q210)+IFERROR(_xlfn.XLOOKUP("RECHERCHEX",TRIM(L210:AC210),L210:AC210),0),0))</f>
        <v/>
      </c>
      <c r="AL210" s="1030">
        <f t="shared" si="76"/>
        <v>0</v>
      </c>
      <c r="AM210" s="5254" t="str">
        <f t="shared" si="91"/>
        <v/>
      </c>
      <c r="AN210" s="1031">
        <f t="shared" si="77"/>
        <v>0</v>
      </c>
      <c r="AO210" s="1031">
        <f t="shared" si="78"/>
        <v>0</v>
      </c>
      <c r="AP210" s="1032">
        <f t="shared" si="79"/>
        <v>0</v>
      </c>
      <c r="AQ210" s="5255" t="str">
        <f t="shared" si="80"/>
        <v/>
      </c>
      <c r="AR210" s="1056"/>
      <c r="AS210" s="1056"/>
      <c r="AT210" s="1034">
        <f t="shared" si="81"/>
        <v>0</v>
      </c>
      <c r="AU210" s="1035">
        <f t="shared" si="82"/>
        <v>0</v>
      </c>
      <c r="AV210" s="1057" cm="1">
        <f t="array" ref="AV210">IF(AJ210&lt;&gt;1,0,IF(OR(AT210="",N(AT210)&lt;=0.000000001),"",IF(OR(AN210="",N(AN210)&lt;=0.000000001),0,IF(ISNUMBER(AT210),IFERROR(_xlfn.LET(_xlpm.ai_test,TRIM(AI210),_xlpm.r,IFERROR(_xlfn.XLOOKUP(_xlpm.ai_test,$BI$15:$BI$62,ROW($BI$15:$BI$62),0,1),IFERROR(_xlfn.XLOOKUP(_xlpm.ai_test,$BJ$15:$BJ$62,ROW($BJ$15:$BJ$62),0,1),_xlfn.XLOOKUP(_xlpm.ai_test,$BK$15:$BK$62,ROW($BK$15:$BK$62),0,1))),_xlpm.p,_xlpm.r-MIN(ROW($BI$15:$BI$62))+1,_xlpm.f,INDEX($BL$15:$BL$62,_xlpm.p),_xlpm.u,INDEX($BM$15:$BM$62,_xlpm.p),_xlpm.s,INDEX($BO$15:$BO$62,_xlpm.p),_xlpm.q,N(AT210)/_xlpm.f,IF(_xlpm.q&gt;=_xlpm.s,ROUND(_xlpm.q,1)&amp;" "&amp;_xlpm.ai_test&amp;" = "&amp;ROUND(_xlpm.q*_xlpm.f,1)&amp;" "&amp;_xlpm.u,ROUND(_xlpm.q,1)&amp;" "&amp;_xlpm.ai_test)),""),""))))</f>
        <v>0</v>
      </c>
      <c r="AW210" s="1047"/>
      <c r="AX210" s="1034">
        <f t="shared" si="83"/>
        <v>0</v>
      </c>
      <c r="AY210" s="1035" t="str">
        <f t="shared" si="84"/>
        <v/>
      </c>
      <c r="AZ210" s="1036">
        <f t="shared" si="89"/>
        <v>0</v>
      </c>
      <c r="BA210" s="1037" t="str">
        <f t="shared" si="85"/>
        <v/>
      </c>
      <c r="BB210" s="1038"/>
      <c r="BC210" s="1039">
        <f t="shared" si="90"/>
        <v>0</v>
      </c>
      <c r="BD210" s="1040" t="str">
        <f t="shared" si="86"/>
        <v/>
      </c>
      <c r="BE210" s="227" t="s">
        <v>22</v>
      </c>
      <c r="BF210" s="1019">
        <f t="shared" si="87"/>
        <v>0</v>
      </c>
      <c r="BG210" s="1020">
        <f t="shared" si="88"/>
        <v>0</v>
      </c>
      <c r="BH210"/>
      <c r="BQ210"/>
      <c r="BR210"/>
      <c r="BS210"/>
      <c r="BT210"/>
      <c r="BU210"/>
      <c r="BV210"/>
      <c r="BW210" s="959" t="str">
        <f t="shared" si="93"/>
        <v>►</v>
      </c>
      <c r="BX210"/>
      <c r="BY210"/>
      <c r="BZ210"/>
      <c r="CA210"/>
      <c r="CB210"/>
      <c r="CC210" s="856"/>
      <c r="CD210"/>
      <c r="CE210"/>
      <c r="CF210"/>
      <c r="CG210"/>
      <c r="CH210"/>
      <c r="CI210"/>
      <c r="CJ210"/>
      <c r="CL210"/>
      <c r="CM210"/>
      <c r="CN210"/>
      <c r="CO210"/>
      <c r="CP210"/>
      <c r="CQ210"/>
      <c r="CR210"/>
      <c r="CT210"/>
      <c r="CU210"/>
      <c r="CV210"/>
      <c r="CW210"/>
      <c r="CX210"/>
      <c r="CY210"/>
      <c r="CZ210"/>
      <c r="DB210" s="3">
        <v>1</v>
      </c>
    </row>
    <row r="211" spans="1:106" s="709" customFormat="1" ht="21" customHeight="1">
      <c r="A211" s="936" t="s">
        <v>22</v>
      </c>
      <c r="B211" s="952" t="str">
        <f t="shared" si="92"/>
        <v>►</v>
      </c>
      <c r="C211" s="993" cm="1">
        <f t="array" ref="C211">SUMPRODUCT(LEN(D211:J211))</f>
        <v>0</v>
      </c>
      <c r="D211" s="167"/>
      <c r="E211" s="172"/>
      <c r="F211" s="172"/>
      <c r="G211" s="172"/>
      <c r="H211" s="172"/>
      <c r="I211" s="172"/>
      <c r="J211" s="173"/>
      <c r="K211" s="442" t="s">
        <v>22</v>
      </c>
      <c r="L211" s="104" t="s">
        <v>16</v>
      </c>
      <c r="M211" s="1172"/>
      <c r="N211" s="1172"/>
      <c r="O211" s="1172"/>
      <c r="P211" s="1173"/>
      <c r="Q211" s="1174"/>
      <c r="R211" s="1175"/>
      <c r="S211" s="1176"/>
      <c r="T211" s="1177"/>
      <c r="U211" s="5248"/>
      <c r="V211" s="1177"/>
      <c r="W211" s="5249"/>
      <c r="X211" s="5208"/>
      <c r="Y211" s="5209"/>
      <c r="Z211" s="5210"/>
      <c r="AA211" s="5211"/>
      <c r="AB211" s="1178"/>
      <c r="AC211" s="1179"/>
      <c r="AD211" s="227" t="s">
        <v>22</v>
      </c>
      <c r="AE211" s="1027" t="str">
        <f t="shared" si="70"/>
        <v>►</v>
      </c>
      <c r="AF211" s="1028" t="str">
        <f t="shared" si="71"/>
        <v/>
      </c>
      <c r="AG211" s="1029" t="str">
        <f t="shared" si="72"/>
        <v/>
      </c>
      <c r="AH211" s="1028" t="str">
        <f t="shared" si="73"/>
        <v/>
      </c>
      <c r="AI211" s="1029" t="str">
        <f t="shared" si="74"/>
        <v/>
      </c>
      <c r="AJ211" s="1029">
        <f t="shared" si="75"/>
        <v>0</v>
      </c>
      <c r="AK211" s="1043" t="str" cm="1">
        <f t="array" ref="AK211">IF(AE211&lt;&gt;"A","",IFERROR((IFERROR(_xlfn.XLOOKUP(TRIM(SUBSTITUTE(U211,CHAR(160)," ")),$BI$15:$BI$62,$BL$15:$BL$62),IFERROR(_xlfn.XLOOKUP(TRIM(SUBSTITUTE(U211,CHAR(160)," ")),$BJ$15:$BJ$62,$BL$15:$BL$62),_xlfn.XLOOKUP(TRIM(SUBSTITUTE(U211,CHAR(160)," ")),$BK$15:$BK$62,$BL$15:$BL$62))))*T211*IF(ISBLANK(Q211),1,Q211)+IFERROR(_xlfn.XLOOKUP("RECHERCHEX",TRIM(L211:AC211),L211:AC211),0),0))</f>
        <v/>
      </c>
      <c r="AL211" s="1030">
        <f t="shared" si="76"/>
        <v>0</v>
      </c>
      <c r="AM211" s="5254" t="str">
        <f t="shared" si="91"/>
        <v/>
      </c>
      <c r="AN211" s="1031">
        <f t="shared" si="77"/>
        <v>0</v>
      </c>
      <c r="AO211" s="1031">
        <f t="shared" si="78"/>
        <v>0</v>
      </c>
      <c r="AP211" s="1044">
        <f t="shared" si="79"/>
        <v>0</v>
      </c>
      <c r="AQ211" s="5257" t="str">
        <f t="shared" si="80"/>
        <v/>
      </c>
      <c r="AR211" s="1056"/>
      <c r="AS211" s="1056"/>
      <c r="AT211" s="1045">
        <f t="shared" si="81"/>
        <v>0</v>
      </c>
      <c r="AU211" s="1046">
        <f t="shared" si="82"/>
        <v>0</v>
      </c>
      <c r="AV211" s="1059" cm="1">
        <f t="array" ref="AV211">IF(AJ211&lt;&gt;1,0,IF(OR(AT211="",N(AT211)&lt;=0.000000001),"",IF(OR(AN211="",N(AN211)&lt;=0.000000001),0,IF(ISNUMBER(AT211),IFERROR(_xlfn.LET(_xlpm.ai_test,TRIM(AI211),_xlpm.r,IFERROR(_xlfn.XLOOKUP(_xlpm.ai_test,$BI$15:$BI$62,ROW($BI$15:$BI$62),0,1),IFERROR(_xlfn.XLOOKUP(_xlpm.ai_test,$BJ$15:$BJ$62,ROW($BJ$15:$BJ$62),0,1),_xlfn.XLOOKUP(_xlpm.ai_test,$BK$15:$BK$62,ROW($BK$15:$BK$62),0,1))),_xlpm.p,_xlpm.r-MIN(ROW($BI$15:$BI$62))+1,_xlpm.f,INDEX($BL$15:$BL$62,_xlpm.p),_xlpm.u,INDEX($BM$15:$BM$62,_xlpm.p),_xlpm.s,INDEX($BO$15:$BO$62,_xlpm.p),_xlpm.q,N(AT211)/_xlpm.f,IF(_xlpm.q&gt;=_xlpm.s,ROUND(_xlpm.q,1)&amp;" "&amp;_xlpm.ai_test&amp;" = "&amp;ROUND(_xlpm.q*_xlpm.f,1)&amp;" "&amp;_xlpm.u,ROUND(_xlpm.q,1)&amp;" "&amp;_xlpm.ai_test)),""),""))))</f>
        <v>0</v>
      </c>
      <c r="AW211" s="1047"/>
      <c r="AX211" s="1045">
        <f t="shared" si="83"/>
        <v>0</v>
      </c>
      <c r="AY211" s="1046" t="str">
        <f t="shared" si="84"/>
        <v/>
      </c>
      <c r="AZ211" s="1048">
        <f t="shared" si="89"/>
        <v>0</v>
      </c>
      <c r="BA211" s="1049" t="str">
        <f t="shared" si="85"/>
        <v/>
      </c>
      <c r="BB211" s="1038"/>
      <c r="BC211" s="1050">
        <f t="shared" si="90"/>
        <v>0</v>
      </c>
      <c r="BD211" s="1040" t="str">
        <f t="shared" si="86"/>
        <v/>
      </c>
      <c r="BE211" s="227" t="s">
        <v>22</v>
      </c>
      <c r="BF211" s="1019">
        <f t="shared" si="87"/>
        <v>0</v>
      </c>
      <c r="BG211" s="1020">
        <f t="shared" si="88"/>
        <v>0</v>
      </c>
      <c r="BH211"/>
      <c r="BQ211"/>
      <c r="BR211"/>
      <c r="BS211"/>
      <c r="BT211"/>
      <c r="BU211"/>
      <c r="BV211"/>
      <c r="BW211" s="959" t="str">
        <f t="shared" si="93"/>
        <v>►</v>
      </c>
      <c r="BX211"/>
      <c r="BY211"/>
      <c r="BZ211"/>
      <c r="CA211"/>
      <c r="CB211"/>
      <c r="CC211" s="856"/>
      <c r="CD211"/>
      <c r="CE211"/>
      <c r="CF211"/>
      <c r="CG211"/>
      <c r="CH211"/>
      <c r="CI211"/>
      <c r="CJ211"/>
      <c r="CL211"/>
      <c r="CM211"/>
      <c r="CN211"/>
      <c r="CO211"/>
      <c r="CP211"/>
      <c r="CQ211"/>
      <c r="CR211"/>
      <c r="CT211"/>
      <c r="CU211"/>
      <c r="CV211"/>
      <c r="CW211"/>
      <c r="CX211"/>
      <c r="CY211"/>
      <c r="CZ211"/>
      <c r="DB211" s="3">
        <v>1</v>
      </c>
    </row>
    <row r="212" spans="1:106" s="709" customFormat="1" ht="21" customHeight="1">
      <c r="A212" s="936" t="s">
        <v>22</v>
      </c>
      <c r="B212" s="952" t="str">
        <f t="shared" si="92"/>
        <v>►</v>
      </c>
      <c r="C212" s="993" cm="1">
        <f t="array" ref="C212">SUMPRODUCT(LEN(D212:J212))</f>
        <v>0</v>
      </c>
      <c r="D212" s="167"/>
      <c r="E212" s="172"/>
      <c r="F212" s="172"/>
      <c r="G212" s="172"/>
      <c r="H212" s="172"/>
      <c r="I212" s="172"/>
      <c r="J212" s="173"/>
      <c r="K212" s="442" t="s">
        <v>22</v>
      </c>
      <c r="L212" s="104" t="s">
        <v>16</v>
      </c>
      <c r="M212" s="1172"/>
      <c r="N212" s="1172"/>
      <c r="O212" s="1172"/>
      <c r="P212" s="1173"/>
      <c r="Q212" s="1174"/>
      <c r="R212" s="1175"/>
      <c r="S212" s="1176"/>
      <c r="T212" s="1177"/>
      <c r="U212" s="5248"/>
      <c r="V212" s="1177"/>
      <c r="W212" s="5249"/>
      <c r="X212" s="5208"/>
      <c r="Y212" s="5209"/>
      <c r="Z212" s="5210"/>
      <c r="AA212" s="5211"/>
      <c r="AB212" s="1178"/>
      <c r="AC212" s="1179"/>
      <c r="AD212" s="227" t="s">
        <v>22</v>
      </c>
      <c r="AE212" s="1027" t="str">
        <f t="shared" si="70"/>
        <v>►</v>
      </c>
      <c r="AF212" s="1028" t="str">
        <f t="shared" si="71"/>
        <v/>
      </c>
      <c r="AG212" s="1029" t="str">
        <f t="shared" si="72"/>
        <v/>
      </c>
      <c r="AH212" s="1028" t="str">
        <f t="shared" si="73"/>
        <v/>
      </c>
      <c r="AI212" s="1029" t="str">
        <f t="shared" si="74"/>
        <v/>
      </c>
      <c r="AJ212" s="1029">
        <f t="shared" si="75"/>
        <v>0</v>
      </c>
      <c r="AK212" s="1043" t="str" cm="1">
        <f t="array" ref="AK212">IF(AE212&lt;&gt;"A","",IFERROR((IFERROR(_xlfn.XLOOKUP(TRIM(SUBSTITUTE(U212,CHAR(160)," ")),$BI$15:$BI$62,$BL$15:$BL$62),IFERROR(_xlfn.XLOOKUP(TRIM(SUBSTITUTE(U212,CHAR(160)," ")),$BJ$15:$BJ$62,$BL$15:$BL$62),_xlfn.XLOOKUP(TRIM(SUBSTITUTE(U212,CHAR(160)," ")),$BK$15:$BK$62,$BL$15:$BL$62))))*T212*IF(ISBLANK(Q212),1,Q212)+IFERROR(_xlfn.XLOOKUP("RECHERCHEX",TRIM(L212:AC212),L212:AC212),0),0))</f>
        <v/>
      </c>
      <c r="AL212" s="1030">
        <f t="shared" si="76"/>
        <v>0</v>
      </c>
      <c r="AM212" s="5254" t="str">
        <f t="shared" si="91"/>
        <v/>
      </c>
      <c r="AN212" s="1031">
        <f t="shared" si="77"/>
        <v>0</v>
      </c>
      <c r="AO212" s="1031">
        <f t="shared" si="78"/>
        <v>0</v>
      </c>
      <c r="AP212" s="1032">
        <f t="shared" si="79"/>
        <v>0</v>
      </c>
      <c r="AQ212" s="5255" t="str">
        <f t="shared" si="80"/>
        <v/>
      </c>
      <c r="AR212" s="1056"/>
      <c r="AS212" s="1056"/>
      <c r="AT212" s="1034">
        <f t="shared" si="81"/>
        <v>0</v>
      </c>
      <c r="AU212" s="1035">
        <f t="shared" si="82"/>
        <v>0</v>
      </c>
      <c r="AV212" s="1057" cm="1">
        <f t="array" ref="AV212">IF(AJ212&lt;&gt;1,0,IF(OR(AT212="",N(AT212)&lt;=0.000000001),"",IF(OR(AN212="",N(AN212)&lt;=0.000000001),0,IF(ISNUMBER(AT212),IFERROR(_xlfn.LET(_xlpm.ai_test,TRIM(AI212),_xlpm.r,IFERROR(_xlfn.XLOOKUP(_xlpm.ai_test,$BI$15:$BI$62,ROW($BI$15:$BI$62),0,1),IFERROR(_xlfn.XLOOKUP(_xlpm.ai_test,$BJ$15:$BJ$62,ROW($BJ$15:$BJ$62),0,1),_xlfn.XLOOKUP(_xlpm.ai_test,$BK$15:$BK$62,ROW($BK$15:$BK$62),0,1))),_xlpm.p,_xlpm.r-MIN(ROW($BI$15:$BI$62))+1,_xlpm.f,INDEX($BL$15:$BL$62,_xlpm.p),_xlpm.u,INDEX($BM$15:$BM$62,_xlpm.p),_xlpm.s,INDEX($BO$15:$BO$62,_xlpm.p),_xlpm.q,N(AT212)/_xlpm.f,IF(_xlpm.q&gt;=_xlpm.s,ROUND(_xlpm.q,1)&amp;" "&amp;_xlpm.ai_test&amp;" = "&amp;ROUND(_xlpm.q*_xlpm.f,1)&amp;" "&amp;_xlpm.u,ROUND(_xlpm.q,1)&amp;" "&amp;_xlpm.ai_test)),""),""))))</f>
        <v>0</v>
      </c>
      <c r="AW212" s="1047"/>
      <c r="AX212" s="1034">
        <f t="shared" si="83"/>
        <v>0</v>
      </c>
      <c r="AY212" s="1035" t="str">
        <f t="shared" si="84"/>
        <v/>
      </c>
      <c r="AZ212" s="1036">
        <f t="shared" si="89"/>
        <v>0</v>
      </c>
      <c r="BA212" s="1037" t="str">
        <f t="shared" si="85"/>
        <v/>
      </c>
      <c r="BB212" s="1038"/>
      <c r="BC212" s="1039">
        <f t="shared" si="90"/>
        <v>0</v>
      </c>
      <c r="BD212" s="1040" t="str">
        <f t="shared" si="86"/>
        <v/>
      </c>
      <c r="BE212" s="227" t="s">
        <v>22</v>
      </c>
      <c r="BF212" s="1019">
        <f t="shared" si="87"/>
        <v>0</v>
      </c>
      <c r="BG212" s="1020">
        <f t="shared" si="88"/>
        <v>0</v>
      </c>
      <c r="BH212"/>
      <c r="BQ212"/>
      <c r="BR212"/>
      <c r="BS212"/>
      <c r="BT212"/>
      <c r="BU212"/>
      <c r="BV212"/>
      <c r="BW212" s="959" t="str">
        <f t="shared" si="93"/>
        <v>►</v>
      </c>
      <c r="BX212"/>
      <c r="BY212"/>
      <c r="BZ212"/>
      <c r="CA212"/>
      <c r="CB212"/>
      <c r="CC212" s="856"/>
      <c r="CD212"/>
      <c r="CE212"/>
      <c r="CF212"/>
      <c r="CG212"/>
      <c r="CH212"/>
      <c r="CI212"/>
      <c r="CJ212"/>
      <c r="CL212"/>
      <c r="CM212"/>
      <c r="CN212"/>
      <c r="CO212"/>
      <c r="CP212"/>
      <c r="CQ212"/>
      <c r="CR212"/>
      <c r="CT212"/>
      <c r="CU212"/>
      <c r="CV212"/>
      <c r="CW212"/>
      <c r="CX212"/>
      <c r="CY212"/>
      <c r="CZ212"/>
      <c r="DB212" s="3">
        <v>1</v>
      </c>
    </row>
    <row r="213" spans="1:106" s="709" customFormat="1" ht="21" customHeight="1">
      <c r="A213" s="936" t="s">
        <v>22</v>
      </c>
      <c r="B213" s="952" t="str">
        <f t="shared" si="92"/>
        <v>►</v>
      </c>
      <c r="C213" s="993" cm="1">
        <f t="array" ref="C213">SUMPRODUCT(LEN(D213:J213))</f>
        <v>0</v>
      </c>
      <c r="D213" s="167"/>
      <c r="E213" s="172"/>
      <c r="F213" s="172"/>
      <c r="G213" s="172"/>
      <c r="H213" s="172"/>
      <c r="I213" s="172"/>
      <c r="J213" s="173"/>
      <c r="K213" s="442" t="s">
        <v>22</v>
      </c>
      <c r="L213" s="104" t="s">
        <v>16</v>
      </c>
      <c r="M213" s="1172"/>
      <c r="N213" s="1172"/>
      <c r="O213" s="1172"/>
      <c r="P213" s="1173"/>
      <c r="Q213" s="1174"/>
      <c r="R213" s="1175"/>
      <c r="S213" s="1176"/>
      <c r="T213" s="1177"/>
      <c r="U213" s="5248"/>
      <c r="V213" s="1177"/>
      <c r="W213" s="5249"/>
      <c r="X213" s="5208"/>
      <c r="Y213" s="5209"/>
      <c r="Z213" s="5210"/>
      <c r="AA213" s="5211"/>
      <c r="AB213" s="1178"/>
      <c r="AC213" s="1179"/>
      <c r="AD213" s="227" t="s">
        <v>22</v>
      </c>
      <c r="AE213" s="1027" t="str">
        <f t="shared" si="70"/>
        <v>►</v>
      </c>
      <c r="AF213" s="1028" t="str">
        <f t="shared" si="71"/>
        <v/>
      </c>
      <c r="AG213" s="1029" t="str">
        <f t="shared" si="72"/>
        <v/>
      </c>
      <c r="AH213" s="1028" t="str">
        <f t="shared" si="73"/>
        <v/>
      </c>
      <c r="AI213" s="1029" t="str">
        <f t="shared" si="74"/>
        <v/>
      </c>
      <c r="AJ213" s="1029">
        <f t="shared" si="75"/>
        <v>0</v>
      </c>
      <c r="AK213" s="1043" t="str" cm="1">
        <f t="array" ref="AK213">IF(AE213&lt;&gt;"A","",IFERROR((IFERROR(_xlfn.XLOOKUP(TRIM(SUBSTITUTE(U213,CHAR(160)," ")),$BI$15:$BI$62,$BL$15:$BL$62),IFERROR(_xlfn.XLOOKUP(TRIM(SUBSTITUTE(U213,CHAR(160)," ")),$BJ$15:$BJ$62,$BL$15:$BL$62),_xlfn.XLOOKUP(TRIM(SUBSTITUTE(U213,CHAR(160)," ")),$BK$15:$BK$62,$BL$15:$BL$62))))*T213*IF(ISBLANK(Q213),1,Q213)+IFERROR(_xlfn.XLOOKUP("RECHERCHEX",TRIM(L213:AC213),L213:AC213),0),0))</f>
        <v/>
      </c>
      <c r="AL213" s="1030">
        <f t="shared" si="76"/>
        <v>0</v>
      </c>
      <c r="AM213" s="5254" t="str">
        <f t="shared" si="91"/>
        <v/>
      </c>
      <c r="AN213" s="1031">
        <f t="shared" si="77"/>
        <v>0</v>
      </c>
      <c r="AO213" s="1031">
        <f t="shared" si="78"/>
        <v>0</v>
      </c>
      <c r="AP213" s="1044">
        <f t="shared" si="79"/>
        <v>0</v>
      </c>
      <c r="AQ213" s="5257" t="str">
        <f t="shared" si="80"/>
        <v/>
      </c>
      <c r="AR213" s="1056"/>
      <c r="AS213" s="1056"/>
      <c r="AT213" s="1045">
        <f t="shared" si="81"/>
        <v>0</v>
      </c>
      <c r="AU213" s="1046">
        <f t="shared" si="82"/>
        <v>0</v>
      </c>
      <c r="AV213" s="1059" cm="1">
        <f t="array" ref="AV213">IF(AJ213&lt;&gt;1,0,IF(OR(AT213="",N(AT213)&lt;=0.000000001),"",IF(OR(AN213="",N(AN213)&lt;=0.000000001),0,IF(ISNUMBER(AT213),IFERROR(_xlfn.LET(_xlpm.ai_test,TRIM(AI213),_xlpm.r,IFERROR(_xlfn.XLOOKUP(_xlpm.ai_test,$BI$15:$BI$62,ROW($BI$15:$BI$62),0,1),IFERROR(_xlfn.XLOOKUP(_xlpm.ai_test,$BJ$15:$BJ$62,ROW($BJ$15:$BJ$62),0,1),_xlfn.XLOOKUP(_xlpm.ai_test,$BK$15:$BK$62,ROW($BK$15:$BK$62),0,1))),_xlpm.p,_xlpm.r-MIN(ROW($BI$15:$BI$62))+1,_xlpm.f,INDEX($BL$15:$BL$62,_xlpm.p),_xlpm.u,INDEX($BM$15:$BM$62,_xlpm.p),_xlpm.s,INDEX($BO$15:$BO$62,_xlpm.p),_xlpm.q,N(AT213)/_xlpm.f,IF(_xlpm.q&gt;=_xlpm.s,ROUND(_xlpm.q,1)&amp;" "&amp;_xlpm.ai_test&amp;" = "&amp;ROUND(_xlpm.q*_xlpm.f,1)&amp;" "&amp;_xlpm.u,ROUND(_xlpm.q,1)&amp;" "&amp;_xlpm.ai_test)),""),""))))</f>
        <v>0</v>
      </c>
      <c r="AW213" s="1047"/>
      <c r="AX213" s="1045">
        <f t="shared" si="83"/>
        <v>0</v>
      </c>
      <c r="AY213" s="1046" t="str">
        <f t="shared" si="84"/>
        <v/>
      </c>
      <c r="AZ213" s="1048">
        <f t="shared" si="89"/>
        <v>0</v>
      </c>
      <c r="BA213" s="1049" t="str">
        <f t="shared" si="85"/>
        <v/>
      </c>
      <c r="BB213" s="1038"/>
      <c r="BC213" s="1050">
        <f t="shared" si="90"/>
        <v>0</v>
      </c>
      <c r="BD213" s="1040" t="str">
        <f t="shared" si="86"/>
        <v/>
      </c>
      <c r="BE213" s="227" t="s">
        <v>22</v>
      </c>
      <c r="BF213" s="1019">
        <f t="shared" si="87"/>
        <v>0</v>
      </c>
      <c r="BG213" s="1020">
        <f t="shared" si="88"/>
        <v>0</v>
      </c>
      <c r="BH213"/>
      <c r="BQ213"/>
      <c r="BR213"/>
      <c r="BS213"/>
      <c r="BT213"/>
      <c r="BU213"/>
      <c r="BV213"/>
      <c r="BW213" s="959" t="str">
        <f t="shared" si="93"/>
        <v>►</v>
      </c>
      <c r="BX213"/>
      <c r="BY213"/>
      <c r="BZ213"/>
      <c r="CA213"/>
      <c r="CB213"/>
      <c r="CC213" s="856"/>
      <c r="CD213"/>
      <c r="CE213"/>
      <c r="CF213"/>
      <c r="CG213"/>
      <c r="CH213"/>
      <c r="CI213"/>
      <c r="CJ213"/>
      <c r="CL213"/>
      <c r="CM213"/>
      <c r="CN213"/>
      <c r="CO213"/>
      <c r="CP213"/>
      <c r="CQ213"/>
      <c r="CR213"/>
      <c r="CT213"/>
      <c r="CU213"/>
      <c r="CV213"/>
      <c r="CW213"/>
      <c r="CX213"/>
      <c r="CY213"/>
      <c r="CZ213"/>
      <c r="DB213" s="3">
        <v>1</v>
      </c>
    </row>
    <row r="214" spans="1:106" s="709" customFormat="1" ht="21" customHeight="1">
      <c r="A214" s="936" t="s">
        <v>22</v>
      </c>
      <c r="B214" s="952" t="str">
        <f t="shared" si="92"/>
        <v>►</v>
      </c>
      <c r="C214" s="993" cm="1">
        <f t="array" ref="C214">SUMPRODUCT(LEN(D214:J214))</f>
        <v>0</v>
      </c>
      <c r="D214" s="167"/>
      <c r="E214" s="172"/>
      <c r="F214" s="172"/>
      <c r="G214" s="172"/>
      <c r="H214" s="172"/>
      <c r="I214" s="172"/>
      <c r="J214" s="173" t="str">
        <f>""&amp;T208</f>
        <v/>
      </c>
      <c r="K214" s="442" t="s">
        <v>22</v>
      </c>
      <c r="L214" s="104" t="s">
        <v>16</v>
      </c>
      <c r="M214" s="1172"/>
      <c r="N214" s="1172"/>
      <c r="O214" s="1172"/>
      <c r="P214" s="1173"/>
      <c r="Q214" s="1174"/>
      <c r="R214" s="1175"/>
      <c r="S214" s="1176"/>
      <c r="T214" s="1177"/>
      <c r="U214" s="5248"/>
      <c r="V214" s="1177"/>
      <c r="W214" s="5249"/>
      <c r="X214" s="5208"/>
      <c r="Y214" s="5209"/>
      <c r="Z214" s="5210"/>
      <c r="AA214" s="5211"/>
      <c r="AB214" s="1178"/>
      <c r="AC214" s="1179"/>
      <c r="AD214" s="227" t="s">
        <v>22</v>
      </c>
      <c r="AE214" s="1027" t="str">
        <f t="shared" ref="AE214:AE277" si="94">IF(OR(AN214&gt;0,TRIM(AF214)="▼ recette suivante"),"A","►")</f>
        <v>►</v>
      </c>
      <c r="AF214" s="1028" t="str">
        <f t="shared" ref="AF214:AF277" si="95">IF(TRIM(Q214)="Adresse PC","▼ recette suivante",IF(AN214&gt;0,M214,""))</f>
        <v/>
      </c>
      <c r="AG214" s="1029" t="str">
        <f t="shared" ref="AG214:AG277" si="96">IF(AE214="A",N214,"")</f>
        <v/>
      </c>
      <c r="AH214" s="1028" t="str">
        <f t="shared" ref="AH214:AH277" si="97">IF(AE214="A",O214,"")</f>
        <v/>
      </c>
      <c r="AI214" s="1029" t="str">
        <f t="shared" ref="AI214:AI277" si="98">IF(AE214="A",U214,"")</f>
        <v/>
      </c>
      <c r="AJ214" s="1029">
        <f t="shared" ref="AJ214:AJ277" si="99">IF(AND(L214="A",COUNTIF($BI$15:$BK$62,TRIM(U214))&gt;0),1,0)</f>
        <v>0</v>
      </c>
      <c r="AK214" s="1043" t="str" cm="1">
        <f t="array" ref="AK214">IF(AE214&lt;&gt;"A","",IFERROR((IFERROR(_xlfn.XLOOKUP(TRIM(SUBSTITUTE(U214,CHAR(160)," ")),$BI$15:$BI$62,$BL$15:$BL$62),IFERROR(_xlfn.XLOOKUP(TRIM(SUBSTITUTE(U214,CHAR(160)," ")),$BJ$15:$BJ$62,$BL$15:$BL$62),_xlfn.XLOOKUP(TRIM(SUBSTITUTE(U214,CHAR(160)," ")),$BK$15:$BK$62,$BL$15:$BL$62))))*T214*IF(ISBLANK(Q214),1,Q214)+IFERROR(_xlfn.XLOOKUP("RECHERCHEX",TRIM(L214:AC214),L214:AC214),0),0))</f>
        <v/>
      </c>
      <c r="AL214" s="1030">
        <f t="shared" ref="AL214:AL277" si="100">IF(AJ214,IF(AK214&gt;0,"Kg",0),0)</f>
        <v>0</v>
      </c>
      <c r="AM214" s="5254" t="str">
        <f t="shared" si="91"/>
        <v/>
      </c>
      <c r="AN214" s="1031">
        <f t="shared" ref="AN214:AN277" si="101">IF(AJ214,N214,0)</f>
        <v>0</v>
      </c>
      <c r="AO214" s="1031">
        <f t="shared" ref="AO214:AO277" si="102">IF(AJ214,O214,0)</f>
        <v>0</v>
      </c>
      <c r="AP214" s="1032">
        <f t="shared" ref="AP214:AP277" si="103">IF(AN214&gt;0,AR$9,0)</f>
        <v>0</v>
      </c>
      <c r="AQ214" s="5255" t="str">
        <f t="shared" ref="AQ214:AQ277" si="104">IF(TRIM(AF214)="▼ recette suivante", AF214, IF(AP214&gt;0, IF(AS$9&lt;&gt;"", AS$9&amp;"-ou.or.o ❾ + or - &gt;", ""), ""))</f>
        <v/>
      </c>
      <c r="AR214" s="1056"/>
      <c r="AS214" s="1056"/>
      <c r="AT214" s="1034">
        <f t="shared" ref="AT214:AT277" si="105">IF(TRIM(AL214)="Kg",N(AK214)*N(BG214),0)</f>
        <v>0</v>
      </c>
      <c r="AU214" s="1035">
        <f t="shared" ref="AU214:AU277" si="106">IF(AJ214,IF(OR(AT214="",N(AT214)&lt;=0.000000001),"",_xlfn.XLOOKUP(AI214,$BI$15:$BI$62,$BM$15:$BM$62,_xlfn.XLOOKUP(AI214,$BJ$15:$BJ$62,$BM$15:$BM$62,_xlfn.XLOOKUP(AI214,$BK$15:$BK$62,$BM$15:$BM$62,"")))),0)</f>
        <v>0</v>
      </c>
      <c r="AV214" s="1057" cm="1">
        <f t="array" ref="AV214">IF(AJ214&lt;&gt;1,0,IF(OR(AT214="",N(AT214)&lt;=0.000000001),"",IF(OR(AN214="",N(AN214)&lt;=0.000000001),0,IF(ISNUMBER(AT214),IFERROR(_xlfn.LET(_xlpm.ai_test,TRIM(AI214),_xlpm.r,IFERROR(_xlfn.XLOOKUP(_xlpm.ai_test,$BI$15:$BI$62,ROW($BI$15:$BI$62),0,1),IFERROR(_xlfn.XLOOKUP(_xlpm.ai_test,$BJ$15:$BJ$62,ROW($BJ$15:$BJ$62),0,1),_xlfn.XLOOKUP(_xlpm.ai_test,$BK$15:$BK$62,ROW($BK$15:$BK$62),0,1))),_xlpm.p,_xlpm.r-MIN(ROW($BI$15:$BI$62))+1,_xlpm.f,INDEX($BL$15:$BL$62,_xlpm.p),_xlpm.u,INDEX($BM$15:$BM$62,_xlpm.p),_xlpm.s,INDEX($BO$15:$BO$62,_xlpm.p),_xlpm.q,N(AT214)/_xlpm.f,IF(_xlpm.q&gt;=_xlpm.s,ROUND(_xlpm.q,1)&amp;" "&amp;_xlpm.ai_test&amp;" = "&amp;ROUND(_xlpm.q*_xlpm.f,1)&amp;" "&amp;_xlpm.u,ROUND(_xlpm.q,1)&amp;" "&amp;_xlpm.ai_test)),""),""))))</f>
        <v>0</v>
      </c>
      <c r="AW214" s="1047"/>
      <c r="AX214" s="1034">
        <f t="shared" ref="AX214:AX277" si="107">IF(TRIM(AF214)="▼ recette suivante","▼next recipe ",IF(AT214="","",IF(ISBLANK(AW214),AT214,ROUND(AT214*(1-MIN(1,MAX(0,IF(AW214&gt;1,AW214/100,AW214)))),3))))</f>
        <v>0</v>
      </c>
      <c r="AY214" s="1035" t="str">
        <f t="shared" ref="AY214:AY277" si="108">IF(AJ214,AU214,"")</f>
        <v/>
      </c>
      <c r="AZ214" s="1036">
        <f t="shared" si="89"/>
        <v>0</v>
      </c>
      <c r="BA214" s="1037" t="str">
        <f t="shared" ref="BA214:BA277" si="109">IF(AJ214,IF(N(AZ214)&gt;0.000000001,R214,""),"")</f>
        <v/>
      </c>
      <c r="BB214" s="1038"/>
      <c r="BC214" s="1039">
        <f t="shared" si="90"/>
        <v>0</v>
      </c>
      <c r="BD214" s="1040" t="str">
        <f t="shared" ref="BD214:BD277" si="110">IF(IFERROR(SEARCH("Adresse PC",TRIM(Q214)),0)&gt;0,"▼ receta siguiente",IF(AX214&gt;0,W214,""))</f>
        <v/>
      </c>
      <c r="BE214" s="227" t="s">
        <v>22</v>
      </c>
      <c r="BF214" s="1019">
        <f t="shared" ref="BF214:BF277" si="111">IFERROR(_xlfn.LET(_xlpm.EPS,0.000000001,_xlpm.b,Q214/AN214,IF(ISNUMBER(AR214),_xlpm.b*AR214,IF(OR(ISBLANK(AR214),AR214=""),_xlpm.b*AP214,IF(AND(BG214=0,ISNUMBER(Q214)),_xlpm.b/AP214,0)))),0)</f>
        <v>0</v>
      </c>
      <c r="BG214" s="1020">
        <f t="shared" ref="BG214:BG277" si="112">IF(AK214&gt;0,IFERROR(IF(OR(ISBLANK(AR214),AR214=""),AP214,AR214)/AN214,0),0)</f>
        <v>0</v>
      </c>
      <c r="BH214"/>
      <c r="BQ214"/>
      <c r="BR214"/>
      <c r="BS214"/>
      <c r="BT214"/>
      <c r="BU214"/>
      <c r="BV214"/>
      <c r="BW214" s="959" t="str">
        <f t="shared" si="93"/>
        <v>►</v>
      </c>
      <c r="BX214"/>
      <c r="BY214"/>
      <c r="BZ214"/>
      <c r="CA214"/>
      <c r="CB214"/>
      <c r="CC214" s="856"/>
      <c r="CD214"/>
      <c r="CE214"/>
      <c r="CF214"/>
      <c r="CG214"/>
      <c r="CH214"/>
      <c r="CI214"/>
      <c r="CJ214"/>
      <c r="CL214"/>
      <c r="CM214"/>
      <c r="CN214"/>
      <c r="CO214"/>
      <c r="CP214"/>
      <c r="CQ214"/>
      <c r="CR214"/>
      <c r="CT214"/>
      <c r="CU214"/>
      <c r="CV214"/>
      <c r="CW214"/>
      <c r="CX214"/>
      <c r="CY214"/>
      <c r="CZ214"/>
      <c r="DB214" s="3">
        <v>1</v>
      </c>
    </row>
    <row r="215" spans="1:106" s="709" customFormat="1" ht="21" customHeight="1">
      <c r="A215" s="936" t="s">
        <v>22</v>
      </c>
      <c r="B215" s="952" t="str">
        <f t="shared" si="92"/>
        <v>►</v>
      </c>
      <c r="C215" s="993" cm="1">
        <f t="array" ref="C215">SUMPRODUCT(LEN(D215:J215))</f>
        <v>0</v>
      </c>
      <c r="D215" s="167"/>
      <c r="E215" s="172"/>
      <c r="F215" s="172"/>
      <c r="G215" s="172"/>
      <c r="H215" s="172"/>
      <c r="I215" s="172"/>
      <c r="J215" s="173"/>
      <c r="K215" s="442" t="s">
        <v>22</v>
      </c>
      <c r="L215" s="104" t="s">
        <v>16</v>
      </c>
      <c r="M215" s="1172"/>
      <c r="N215" s="1172"/>
      <c r="O215" s="1172"/>
      <c r="P215" s="1173"/>
      <c r="Q215" s="1174"/>
      <c r="R215" s="1175"/>
      <c r="S215" s="1176"/>
      <c r="T215" s="1177"/>
      <c r="U215" s="5248"/>
      <c r="V215" s="1177"/>
      <c r="W215" s="5249"/>
      <c r="X215" s="5208"/>
      <c r="Y215" s="5209"/>
      <c r="Z215" s="5210"/>
      <c r="AA215" s="5211"/>
      <c r="AB215" s="1178"/>
      <c r="AC215" s="1179"/>
      <c r="AD215" s="227" t="s">
        <v>22</v>
      </c>
      <c r="AE215" s="1027" t="str">
        <f t="shared" si="94"/>
        <v>►</v>
      </c>
      <c r="AF215" s="1028" t="str">
        <f t="shared" si="95"/>
        <v/>
      </c>
      <c r="AG215" s="1029" t="str">
        <f t="shared" si="96"/>
        <v/>
      </c>
      <c r="AH215" s="1028" t="str">
        <f t="shared" si="97"/>
        <v/>
      </c>
      <c r="AI215" s="1029" t="str">
        <f t="shared" si="98"/>
        <v/>
      </c>
      <c r="AJ215" s="1029">
        <f t="shared" si="99"/>
        <v>0</v>
      </c>
      <c r="AK215" s="1043" t="str" cm="1">
        <f t="array" ref="AK215">IF(AE215&lt;&gt;"A","",IFERROR((IFERROR(_xlfn.XLOOKUP(TRIM(SUBSTITUTE(U215,CHAR(160)," ")),$BI$15:$BI$62,$BL$15:$BL$62),IFERROR(_xlfn.XLOOKUP(TRIM(SUBSTITUTE(U215,CHAR(160)," ")),$BJ$15:$BJ$62,$BL$15:$BL$62),_xlfn.XLOOKUP(TRIM(SUBSTITUTE(U215,CHAR(160)," ")),$BK$15:$BK$62,$BL$15:$BL$62))))*T215*IF(ISBLANK(Q215),1,Q215)+IFERROR(_xlfn.XLOOKUP("RECHERCHEX",TRIM(L215:AC215),L215:AC215),0),0))</f>
        <v/>
      </c>
      <c r="AL215" s="1030">
        <f t="shared" si="100"/>
        <v>0</v>
      </c>
      <c r="AM215" s="5254" t="str">
        <f t="shared" si="91"/>
        <v/>
      </c>
      <c r="AN215" s="1031">
        <f t="shared" si="101"/>
        <v>0</v>
      </c>
      <c r="AO215" s="1031">
        <f t="shared" si="102"/>
        <v>0</v>
      </c>
      <c r="AP215" s="1044">
        <f t="shared" si="103"/>
        <v>0</v>
      </c>
      <c r="AQ215" s="5257" t="str">
        <f t="shared" si="104"/>
        <v/>
      </c>
      <c r="AR215" s="1056"/>
      <c r="AS215" s="1056"/>
      <c r="AT215" s="1045">
        <f t="shared" si="105"/>
        <v>0</v>
      </c>
      <c r="AU215" s="1046">
        <f t="shared" si="106"/>
        <v>0</v>
      </c>
      <c r="AV215" s="1059" cm="1">
        <f t="array" ref="AV215">IF(AJ215&lt;&gt;1,0,IF(OR(AT215="",N(AT215)&lt;=0.000000001),"",IF(OR(AN215="",N(AN215)&lt;=0.000000001),0,IF(ISNUMBER(AT215),IFERROR(_xlfn.LET(_xlpm.ai_test,TRIM(AI215),_xlpm.r,IFERROR(_xlfn.XLOOKUP(_xlpm.ai_test,$BI$15:$BI$62,ROW($BI$15:$BI$62),0,1),IFERROR(_xlfn.XLOOKUP(_xlpm.ai_test,$BJ$15:$BJ$62,ROW($BJ$15:$BJ$62),0,1),_xlfn.XLOOKUP(_xlpm.ai_test,$BK$15:$BK$62,ROW($BK$15:$BK$62),0,1))),_xlpm.p,_xlpm.r-MIN(ROW($BI$15:$BI$62))+1,_xlpm.f,INDEX($BL$15:$BL$62,_xlpm.p),_xlpm.u,INDEX($BM$15:$BM$62,_xlpm.p),_xlpm.s,INDEX($BO$15:$BO$62,_xlpm.p),_xlpm.q,N(AT215)/_xlpm.f,IF(_xlpm.q&gt;=_xlpm.s,ROUND(_xlpm.q,1)&amp;" "&amp;_xlpm.ai_test&amp;" = "&amp;ROUND(_xlpm.q*_xlpm.f,1)&amp;" "&amp;_xlpm.u,ROUND(_xlpm.q,1)&amp;" "&amp;_xlpm.ai_test)),""),""))))</f>
        <v>0</v>
      </c>
      <c r="AW215" s="1047"/>
      <c r="AX215" s="1045">
        <f t="shared" si="107"/>
        <v>0</v>
      </c>
      <c r="AY215" s="1046" t="str">
        <f t="shared" si="108"/>
        <v/>
      </c>
      <c r="AZ215" s="1048">
        <f t="shared" ref="AZ215:AZ278" si="113">IF(ISNUMBER(BF215),IF(ABS(BF215)&lt;=0.000000001,0,BF215),0)</f>
        <v>0</v>
      </c>
      <c r="BA215" s="1049" t="str">
        <f t="shared" si="109"/>
        <v/>
      </c>
      <c r="BB215" s="1038"/>
      <c r="BC215" s="1050">
        <f t="shared" si="90"/>
        <v>0</v>
      </c>
      <c r="BD215" s="1040" t="str">
        <f t="shared" si="110"/>
        <v/>
      </c>
      <c r="BE215" s="227" t="s">
        <v>22</v>
      </c>
      <c r="BF215" s="1019">
        <f t="shared" si="111"/>
        <v>0</v>
      </c>
      <c r="BG215" s="1020">
        <f t="shared" si="112"/>
        <v>0</v>
      </c>
      <c r="BH215"/>
      <c r="BQ215"/>
      <c r="BR215"/>
      <c r="BS215"/>
      <c r="BT215"/>
      <c r="BU215"/>
      <c r="BV215"/>
      <c r="BW215" s="959" t="str">
        <f t="shared" si="93"/>
        <v>►</v>
      </c>
      <c r="BX215"/>
      <c r="BY215"/>
      <c r="BZ215"/>
      <c r="CA215"/>
      <c r="CB215"/>
      <c r="CC215" s="856"/>
      <c r="CD215"/>
      <c r="CE215"/>
      <c r="CF215"/>
      <c r="CG215"/>
      <c r="CH215"/>
      <c r="CI215"/>
      <c r="CJ215"/>
      <c r="CL215"/>
      <c r="CM215"/>
      <c r="CN215"/>
      <c r="CO215"/>
      <c r="CP215"/>
      <c r="CQ215"/>
      <c r="CR215"/>
      <c r="CT215"/>
      <c r="CU215"/>
      <c r="CV215"/>
      <c r="CW215"/>
      <c r="CX215"/>
      <c r="CY215"/>
      <c r="CZ215"/>
      <c r="DB215" s="3">
        <v>1</v>
      </c>
    </row>
    <row r="216" spans="1:106" s="709" customFormat="1" ht="21" customHeight="1">
      <c r="A216" s="936" t="s">
        <v>22</v>
      </c>
      <c r="B216" s="952" t="str">
        <f t="shared" si="92"/>
        <v>►</v>
      </c>
      <c r="C216" s="993" cm="1">
        <f t="array" ref="C216">SUMPRODUCT(LEN(D216:J216))</f>
        <v>0</v>
      </c>
      <c r="D216" s="167"/>
      <c r="E216" s="172"/>
      <c r="F216" s="172"/>
      <c r="G216" s="172"/>
      <c r="H216" s="172"/>
      <c r="I216" s="172"/>
      <c r="J216" s="173"/>
      <c r="K216" s="442" t="s">
        <v>22</v>
      </c>
      <c r="L216" s="104" t="s">
        <v>16</v>
      </c>
      <c r="M216" s="1172"/>
      <c r="N216" s="1172"/>
      <c r="O216" s="1172"/>
      <c r="P216" s="1173"/>
      <c r="Q216" s="1174"/>
      <c r="R216" s="1175"/>
      <c r="S216" s="1176"/>
      <c r="T216" s="1177"/>
      <c r="U216" s="5248"/>
      <c r="V216" s="1177"/>
      <c r="W216" s="5249"/>
      <c r="X216" s="5208"/>
      <c r="Y216" s="5209"/>
      <c r="Z216" s="5210"/>
      <c r="AA216" s="5211"/>
      <c r="AB216" s="1178"/>
      <c r="AC216" s="1179"/>
      <c r="AD216" s="227" t="s">
        <v>22</v>
      </c>
      <c r="AE216" s="1027" t="str">
        <f t="shared" si="94"/>
        <v>►</v>
      </c>
      <c r="AF216" s="1028" t="str">
        <f t="shared" si="95"/>
        <v/>
      </c>
      <c r="AG216" s="1029" t="str">
        <f t="shared" si="96"/>
        <v/>
      </c>
      <c r="AH216" s="1028" t="str">
        <f t="shared" si="97"/>
        <v/>
      </c>
      <c r="AI216" s="1029" t="str">
        <f t="shared" si="98"/>
        <v/>
      </c>
      <c r="AJ216" s="1029">
        <f t="shared" si="99"/>
        <v>0</v>
      </c>
      <c r="AK216" s="1043" t="str" cm="1">
        <f t="array" ref="AK216">IF(AE216&lt;&gt;"A","",IFERROR((IFERROR(_xlfn.XLOOKUP(TRIM(SUBSTITUTE(U216,CHAR(160)," ")),$BI$15:$BI$62,$BL$15:$BL$62),IFERROR(_xlfn.XLOOKUP(TRIM(SUBSTITUTE(U216,CHAR(160)," ")),$BJ$15:$BJ$62,$BL$15:$BL$62),_xlfn.XLOOKUP(TRIM(SUBSTITUTE(U216,CHAR(160)," ")),$BK$15:$BK$62,$BL$15:$BL$62))))*T216*IF(ISBLANK(Q216),1,Q216)+IFERROR(_xlfn.XLOOKUP("RECHERCHEX",TRIM(L216:AC216),L216:AC216),0),0))</f>
        <v/>
      </c>
      <c r="AL216" s="1030">
        <f t="shared" si="100"/>
        <v>0</v>
      </c>
      <c r="AM216" s="5254" t="str">
        <f t="shared" si="91"/>
        <v/>
      </c>
      <c r="AN216" s="1031">
        <f t="shared" si="101"/>
        <v>0</v>
      </c>
      <c r="AO216" s="1031">
        <f t="shared" si="102"/>
        <v>0</v>
      </c>
      <c r="AP216" s="1032">
        <f t="shared" si="103"/>
        <v>0</v>
      </c>
      <c r="AQ216" s="5255" t="str">
        <f t="shared" si="104"/>
        <v/>
      </c>
      <c r="AR216" s="1056"/>
      <c r="AS216" s="1056"/>
      <c r="AT216" s="1034">
        <f t="shared" si="105"/>
        <v>0</v>
      </c>
      <c r="AU216" s="1035">
        <f t="shared" si="106"/>
        <v>0</v>
      </c>
      <c r="AV216" s="1057" cm="1">
        <f t="array" ref="AV216">IF(AJ216&lt;&gt;1,0,IF(OR(AT216="",N(AT216)&lt;=0.000000001),"",IF(OR(AN216="",N(AN216)&lt;=0.000000001),0,IF(ISNUMBER(AT216),IFERROR(_xlfn.LET(_xlpm.ai_test,TRIM(AI216),_xlpm.r,IFERROR(_xlfn.XLOOKUP(_xlpm.ai_test,$BI$15:$BI$62,ROW($BI$15:$BI$62),0,1),IFERROR(_xlfn.XLOOKUP(_xlpm.ai_test,$BJ$15:$BJ$62,ROW($BJ$15:$BJ$62),0,1),_xlfn.XLOOKUP(_xlpm.ai_test,$BK$15:$BK$62,ROW($BK$15:$BK$62),0,1))),_xlpm.p,_xlpm.r-MIN(ROW($BI$15:$BI$62))+1,_xlpm.f,INDEX($BL$15:$BL$62,_xlpm.p),_xlpm.u,INDEX($BM$15:$BM$62,_xlpm.p),_xlpm.s,INDEX($BO$15:$BO$62,_xlpm.p),_xlpm.q,N(AT216)/_xlpm.f,IF(_xlpm.q&gt;=_xlpm.s,ROUND(_xlpm.q,1)&amp;" "&amp;_xlpm.ai_test&amp;" = "&amp;ROUND(_xlpm.q*_xlpm.f,1)&amp;" "&amp;_xlpm.u,ROUND(_xlpm.q,1)&amp;" "&amp;_xlpm.ai_test)),""),""))))</f>
        <v>0</v>
      </c>
      <c r="AW216" s="1047"/>
      <c r="AX216" s="1034">
        <f t="shared" si="107"/>
        <v>0</v>
      </c>
      <c r="AY216" s="1035" t="str">
        <f t="shared" si="108"/>
        <v/>
      </c>
      <c r="AZ216" s="1036">
        <f t="shared" si="113"/>
        <v>0</v>
      </c>
      <c r="BA216" s="1037" t="str">
        <f t="shared" si="109"/>
        <v/>
      </c>
      <c r="BB216" s="1038"/>
      <c r="BC216" s="1039">
        <f t="shared" si="90"/>
        <v>0</v>
      </c>
      <c r="BD216" s="1040" t="str">
        <f t="shared" si="110"/>
        <v/>
      </c>
      <c r="BE216" s="227" t="s">
        <v>22</v>
      </c>
      <c r="BF216" s="1019">
        <f t="shared" si="111"/>
        <v>0</v>
      </c>
      <c r="BG216" s="1020">
        <f t="shared" si="112"/>
        <v>0</v>
      </c>
      <c r="BH216"/>
      <c r="BQ216"/>
      <c r="BR216"/>
      <c r="BS216"/>
      <c r="BT216"/>
      <c r="BU216"/>
      <c r="BV216"/>
      <c r="BW216" s="959" t="str">
        <f t="shared" si="93"/>
        <v>►</v>
      </c>
      <c r="BX216"/>
      <c r="BY216"/>
      <c r="BZ216"/>
      <c r="CA216"/>
      <c r="CB216"/>
      <c r="CC216" s="856"/>
      <c r="CD216"/>
      <c r="CE216"/>
      <c r="CF216"/>
      <c r="CG216"/>
      <c r="CH216"/>
      <c r="CI216"/>
      <c r="CJ216"/>
      <c r="CL216"/>
      <c r="CM216"/>
      <c r="CN216"/>
      <c r="CO216"/>
      <c r="CP216"/>
      <c r="CQ216"/>
      <c r="CR216"/>
      <c r="CT216"/>
      <c r="CU216"/>
      <c r="CV216"/>
      <c r="CW216"/>
      <c r="CX216"/>
      <c r="CY216"/>
      <c r="CZ216"/>
      <c r="DB216" s="3">
        <v>1</v>
      </c>
    </row>
    <row r="217" spans="1:106" s="709" customFormat="1" ht="21" customHeight="1">
      <c r="A217" s="936" t="s">
        <v>22</v>
      </c>
      <c r="B217" s="952" t="str">
        <f t="shared" si="92"/>
        <v>►</v>
      </c>
      <c r="C217" s="993" cm="1">
        <f t="array" ref="C217">SUMPRODUCT(LEN(D217:J217))</f>
        <v>0</v>
      </c>
      <c r="D217" s="167"/>
      <c r="E217" s="172"/>
      <c r="F217" s="172"/>
      <c r="G217" s="172"/>
      <c r="H217" s="172"/>
      <c r="I217" s="172"/>
      <c r="J217" s="173"/>
      <c r="K217" s="442" t="s">
        <v>22</v>
      </c>
      <c r="L217" s="104" t="s">
        <v>16</v>
      </c>
      <c r="M217" s="1172"/>
      <c r="N217" s="1172"/>
      <c r="O217" s="1172"/>
      <c r="P217" s="1173"/>
      <c r="Q217" s="1174"/>
      <c r="R217" s="1175"/>
      <c r="S217" s="1176"/>
      <c r="T217" s="1177"/>
      <c r="U217" s="5248"/>
      <c r="V217" s="1177"/>
      <c r="W217" s="5249"/>
      <c r="X217" s="5208"/>
      <c r="Y217" s="5209"/>
      <c r="Z217" s="5210"/>
      <c r="AA217" s="5211"/>
      <c r="AB217" s="1178"/>
      <c r="AC217" s="1179"/>
      <c r="AD217" s="227" t="s">
        <v>22</v>
      </c>
      <c r="AE217" s="1027" t="str">
        <f t="shared" si="94"/>
        <v>►</v>
      </c>
      <c r="AF217" s="1028" t="str">
        <f t="shared" si="95"/>
        <v/>
      </c>
      <c r="AG217" s="1029" t="str">
        <f t="shared" si="96"/>
        <v/>
      </c>
      <c r="AH217" s="1028" t="str">
        <f t="shared" si="97"/>
        <v/>
      </c>
      <c r="AI217" s="1029" t="str">
        <f t="shared" si="98"/>
        <v/>
      </c>
      <c r="AJ217" s="1029">
        <f t="shared" si="99"/>
        <v>0</v>
      </c>
      <c r="AK217" s="1043" t="str" cm="1">
        <f t="array" ref="AK217">IF(AE217&lt;&gt;"A","",IFERROR((IFERROR(_xlfn.XLOOKUP(TRIM(SUBSTITUTE(U217,CHAR(160)," ")),$BI$15:$BI$62,$BL$15:$BL$62),IFERROR(_xlfn.XLOOKUP(TRIM(SUBSTITUTE(U217,CHAR(160)," ")),$BJ$15:$BJ$62,$BL$15:$BL$62),_xlfn.XLOOKUP(TRIM(SUBSTITUTE(U217,CHAR(160)," ")),$BK$15:$BK$62,$BL$15:$BL$62))))*T217*IF(ISBLANK(Q217),1,Q217)+IFERROR(_xlfn.XLOOKUP("RECHERCHEX",TRIM(L217:AC217),L217:AC217),0),0))</f>
        <v/>
      </c>
      <c r="AL217" s="1030">
        <f t="shared" si="100"/>
        <v>0</v>
      </c>
      <c r="AM217" s="5254" t="str">
        <f t="shared" si="91"/>
        <v/>
      </c>
      <c r="AN217" s="1031">
        <f t="shared" si="101"/>
        <v>0</v>
      </c>
      <c r="AO217" s="1031">
        <f t="shared" si="102"/>
        <v>0</v>
      </c>
      <c r="AP217" s="1044">
        <f t="shared" si="103"/>
        <v>0</v>
      </c>
      <c r="AQ217" s="5257" t="str">
        <f t="shared" si="104"/>
        <v/>
      </c>
      <c r="AR217" s="1056"/>
      <c r="AS217" s="1056"/>
      <c r="AT217" s="1045">
        <f t="shared" si="105"/>
        <v>0</v>
      </c>
      <c r="AU217" s="1046">
        <f t="shared" si="106"/>
        <v>0</v>
      </c>
      <c r="AV217" s="1059" cm="1">
        <f t="array" ref="AV217">IF(AJ217&lt;&gt;1,0,IF(OR(AT217="",N(AT217)&lt;=0.000000001),"",IF(OR(AN217="",N(AN217)&lt;=0.000000001),0,IF(ISNUMBER(AT217),IFERROR(_xlfn.LET(_xlpm.ai_test,TRIM(AI217),_xlpm.r,IFERROR(_xlfn.XLOOKUP(_xlpm.ai_test,$BI$15:$BI$62,ROW($BI$15:$BI$62),0,1),IFERROR(_xlfn.XLOOKUP(_xlpm.ai_test,$BJ$15:$BJ$62,ROW($BJ$15:$BJ$62),0,1),_xlfn.XLOOKUP(_xlpm.ai_test,$BK$15:$BK$62,ROW($BK$15:$BK$62),0,1))),_xlpm.p,_xlpm.r-MIN(ROW($BI$15:$BI$62))+1,_xlpm.f,INDEX($BL$15:$BL$62,_xlpm.p),_xlpm.u,INDEX($BM$15:$BM$62,_xlpm.p),_xlpm.s,INDEX($BO$15:$BO$62,_xlpm.p),_xlpm.q,N(AT217)/_xlpm.f,IF(_xlpm.q&gt;=_xlpm.s,ROUND(_xlpm.q,1)&amp;" "&amp;_xlpm.ai_test&amp;" = "&amp;ROUND(_xlpm.q*_xlpm.f,1)&amp;" "&amp;_xlpm.u,ROUND(_xlpm.q,1)&amp;" "&amp;_xlpm.ai_test)),""),""))))</f>
        <v>0</v>
      </c>
      <c r="AW217" s="1047"/>
      <c r="AX217" s="1045">
        <f t="shared" si="107"/>
        <v>0</v>
      </c>
      <c r="AY217" s="1046" t="str">
        <f t="shared" si="108"/>
        <v/>
      </c>
      <c r="AZ217" s="1048">
        <f t="shared" si="113"/>
        <v>0</v>
      </c>
      <c r="BA217" s="1049" t="str">
        <f t="shared" si="109"/>
        <v/>
      </c>
      <c r="BB217" s="1038"/>
      <c r="BC217" s="1050">
        <f t="shared" si="90"/>
        <v>0</v>
      </c>
      <c r="BD217" s="1040" t="str">
        <f t="shared" si="110"/>
        <v/>
      </c>
      <c r="BE217" s="227" t="s">
        <v>22</v>
      </c>
      <c r="BF217" s="1019">
        <f t="shared" si="111"/>
        <v>0</v>
      </c>
      <c r="BG217" s="1020">
        <f t="shared" si="112"/>
        <v>0</v>
      </c>
      <c r="BH217"/>
      <c r="BQ217"/>
      <c r="BR217"/>
      <c r="BS217"/>
      <c r="BT217"/>
      <c r="BU217"/>
      <c r="BV217"/>
      <c r="BW217" s="959" t="str">
        <f t="shared" si="93"/>
        <v>►</v>
      </c>
      <c r="BX217"/>
      <c r="BY217"/>
      <c r="BZ217"/>
      <c r="CA217"/>
      <c r="CB217"/>
      <c r="CC217" s="856"/>
      <c r="CD217"/>
      <c r="CE217"/>
      <c r="CF217"/>
      <c r="CG217"/>
      <c r="CH217"/>
      <c r="CI217"/>
      <c r="CJ217"/>
      <c r="CL217"/>
      <c r="CM217"/>
      <c r="CN217"/>
      <c r="CO217"/>
      <c r="CP217"/>
      <c r="CQ217"/>
      <c r="CR217"/>
      <c r="CT217"/>
      <c r="CU217"/>
      <c r="CV217"/>
      <c r="CW217"/>
      <c r="CX217"/>
      <c r="CY217"/>
      <c r="CZ217"/>
      <c r="DB217" s="3">
        <v>1</v>
      </c>
    </row>
    <row r="218" spans="1:106" s="709" customFormat="1" ht="21" customHeight="1">
      <c r="A218" s="936" t="s">
        <v>22</v>
      </c>
      <c r="B218" s="952" t="str">
        <f t="shared" si="92"/>
        <v>►</v>
      </c>
      <c r="C218" s="993" cm="1">
        <f t="array" ref="C218">SUMPRODUCT(LEN(D218:J218))</f>
        <v>0</v>
      </c>
      <c r="D218" s="167"/>
      <c r="E218" s="172"/>
      <c r="F218" s="172"/>
      <c r="G218" s="172"/>
      <c r="H218" s="172"/>
      <c r="I218" s="172"/>
      <c r="J218" s="173"/>
      <c r="K218" s="442" t="s">
        <v>22</v>
      </c>
      <c r="L218" s="104" t="s">
        <v>16</v>
      </c>
      <c r="M218" s="1172"/>
      <c r="N218" s="1172"/>
      <c r="O218" s="1172"/>
      <c r="P218" s="1173"/>
      <c r="Q218" s="1174"/>
      <c r="R218" s="1175"/>
      <c r="S218" s="1176"/>
      <c r="T218" s="1177"/>
      <c r="U218" s="5248"/>
      <c r="V218" s="1177"/>
      <c r="W218" s="5249"/>
      <c r="X218" s="5208"/>
      <c r="Y218" s="5209"/>
      <c r="Z218" s="5210"/>
      <c r="AA218" s="5211"/>
      <c r="AB218" s="1178"/>
      <c r="AC218" s="1179"/>
      <c r="AD218" s="227" t="s">
        <v>22</v>
      </c>
      <c r="AE218" s="1027" t="str">
        <f t="shared" si="94"/>
        <v>►</v>
      </c>
      <c r="AF218" s="1028" t="str">
        <f t="shared" si="95"/>
        <v/>
      </c>
      <c r="AG218" s="1029" t="str">
        <f t="shared" si="96"/>
        <v/>
      </c>
      <c r="AH218" s="1028" t="str">
        <f t="shared" si="97"/>
        <v/>
      </c>
      <c r="AI218" s="1029" t="str">
        <f t="shared" si="98"/>
        <v/>
      </c>
      <c r="AJ218" s="1029">
        <f t="shared" si="99"/>
        <v>0</v>
      </c>
      <c r="AK218" s="1043" t="str" cm="1">
        <f t="array" ref="AK218">IF(AE218&lt;&gt;"A","",IFERROR((IFERROR(_xlfn.XLOOKUP(TRIM(SUBSTITUTE(U218,CHAR(160)," ")),$BI$15:$BI$62,$BL$15:$BL$62),IFERROR(_xlfn.XLOOKUP(TRIM(SUBSTITUTE(U218,CHAR(160)," ")),$BJ$15:$BJ$62,$BL$15:$BL$62),_xlfn.XLOOKUP(TRIM(SUBSTITUTE(U218,CHAR(160)," ")),$BK$15:$BK$62,$BL$15:$BL$62))))*T218*IF(ISBLANK(Q218),1,Q218)+IFERROR(_xlfn.XLOOKUP("RECHERCHEX",TRIM(L218:AC218),L218:AC218),0),0))</f>
        <v/>
      </c>
      <c r="AL218" s="1030">
        <f t="shared" si="100"/>
        <v>0</v>
      </c>
      <c r="AM218" s="5254" t="str">
        <f t="shared" si="91"/>
        <v/>
      </c>
      <c r="AN218" s="1031">
        <f t="shared" si="101"/>
        <v>0</v>
      </c>
      <c r="AO218" s="1031">
        <f t="shared" si="102"/>
        <v>0</v>
      </c>
      <c r="AP218" s="1032">
        <f t="shared" si="103"/>
        <v>0</v>
      </c>
      <c r="AQ218" s="5255" t="str">
        <f t="shared" si="104"/>
        <v/>
      </c>
      <c r="AR218" s="1056"/>
      <c r="AS218" s="1056"/>
      <c r="AT218" s="1034">
        <f t="shared" si="105"/>
        <v>0</v>
      </c>
      <c r="AU218" s="1035">
        <f t="shared" si="106"/>
        <v>0</v>
      </c>
      <c r="AV218" s="1057" cm="1">
        <f t="array" ref="AV218">IF(AJ218&lt;&gt;1,0,IF(OR(AT218="",N(AT218)&lt;=0.000000001),"",IF(OR(AN218="",N(AN218)&lt;=0.000000001),0,IF(ISNUMBER(AT218),IFERROR(_xlfn.LET(_xlpm.ai_test,TRIM(AI218),_xlpm.r,IFERROR(_xlfn.XLOOKUP(_xlpm.ai_test,$BI$15:$BI$62,ROW($BI$15:$BI$62),0,1),IFERROR(_xlfn.XLOOKUP(_xlpm.ai_test,$BJ$15:$BJ$62,ROW($BJ$15:$BJ$62),0,1),_xlfn.XLOOKUP(_xlpm.ai_test,$BK$15:$BK$62,ROW($BK$15:$BK$62),0,1))),_xlpm.p,_xlpm.r-MIN(ROW($BI$15:$BI$62))+1,_xlpm.f,INDEX($BL$15:$BL$62,_xlpm.p),_xlpm.u,INDEX($BM$15:$BM$62,_xlpm.p),_xlpm.s,INDEX($BO$15:$BO$62,_xlpm.p),_xlpm.q,N(AT218)/_xlpm.f,IF(_xlpm.q&gt;=_xlpm.s,ROUND(_xlpm.q,1)&amp;" "&amp;_xlpm.ai_test&amp;" = "&amp;ROUND(_xlpm.q*_xlpm.f,1)&amp;" "&amp;_xlpm.u,ROUND(_xlpm.q,1)&amp;" "&amp;_xlpm.ai_test)),""),""))))</f>
        <v>0</v>
      </c>
      <c r="AW218" s="1047"/>
      <c r="AX218" s="1034">
        <f t="shared" si="107"/>
        <v>0</v>
      </c>
      <c r="AY218" s="1035" t="str">
        <f t="shared" si="108"/>
        <v/>
      </c>
      <c r="AZ218" s="1036">
        <f t="shared" si="113"/>
        <v>0</v>
      </c>
      <c r="BA218" s="1037" t="str">
        <f t="shared" si="109"/>
        <v/>
      </c>
      <c r="BB218" s="1038"/>
      <c r="BC218" s="1039">
        <f t="shared" si="90"/>
        <v>0</v>
      </c>
      <c r="BD218" s="1040" t="str">
        <f t="shared" si="110"/>
        <v/>
      </c>
      <c r="BE218" s="227" t="s">
        <v>22</v>
      </c>
      <c r="BF218" s="1019">
        <f t="shared" si="111"/>
        <v>0</v>
      </c>
      <c r="BG218" s="1020">
        <f t="shared" si="112"/>
        <v>0</v>
      </c>
      <c r="BH218"/>
      <c r="BQ218"/>
      <c r="BR218"/>
      <c r="BS218"/>
      <c r="BT218"/>
      <c r="BU218"/>
      <c r="BV218"/>
      <c r="BW218" s="959" t="str">
        <f t="shared" si="93"/>
        <v>►</v>
      </c>
      <c r="BX218"/>
      <c r="BY218"/>
      <c r="BZ218"/>
      <c r="CA218"/>
      <c r="CB218"/>
      <c r="CC218" s="856"/>
      <c r="CD218"/>
      <c r="CE218"/>
      <c r="CF218"/>
      <c r="CG218"/>
      <c r="CH218"/>
      <c r="CI218"/>
      <c r="CJ218"/>
      <c r="CL218"/>
      <c r="CM218"/>
      <c r="CN218"/>
      <c r="CO218"/>
      <c r="CP218"/>
      <c r="CQ218"/>
      <c r="CR218"/>
      <c r="CT218"/>
      <c r="CU218"/>
      <c r="CV218"/>
      <c r="CW218"/>
      <c r="CX218"/>
      <c r="CY218"/>
      <c r="CZ218"/>
      <c r="DB218" s="3">
        <v>1</v>
      </c>
    </row>
    <row r="219" spans="1:106" s="709" customFormat="1" ht="21" customHeight="1">
      <c r="A219" s="936" t="s">
        <v>22</v>
      </c>
      <c r="B219" s="952" t="str">
        <f t="shared" si="92"/>
        <v>►</v>
      </c>
      <c r="C219" s="993" cm="1">
        <f t="array" ref="C219">SUMPRODUCT(LEN(D219:J219))</f>
        <v>0</v>
      </c>
      <c r="D219" s="167"/>
      <c r="E219" s="172"/>
      <c r="F219" s="172"/>
      <c r="G219" s="172"/>
      <c r="H219" s="172"/>
      <c r="I219" s="172"/>
      <c r="J219" s="173"/>
      <c r="K219" s="442" t="s">
        <v>22</v>
      </c>
      <c r="L219" s="104" t="s">
        <v>16</v>
      </c>
      <c r="M219" s="1172"/>
      <c r="N219" s="1172"/>
      <c r="O219" s="1172"/>
      <c r="P219" s="1173"/>
      <c r="Q219" s="1174"/>
      <c r="R219" s="1175"/>
      <c r="S219" s="1176"/>
      <c r="T219" s="1177"/>
      <c r="U219" s="5248"/>
      <c r="V219" s="1177"/>
      <c r="W219" s="5249"/>
      <c r="X219" s="5208"/>
      <c r="Y219" s="5209"/>
      <c r="Z219" s="5210"/>
      <c r="AA219" s="5211"/>
      <c r="AB219" s="1178"/>
      <c r="AC219" s="1179"/>
      <c r="AD219" s="227" t="s">
        <v>22</v>
      </c>
      <c r="AE219" s="1027" t="str">
        <f t="shared" si="94"/>
        <v>►</v>
      </c>
      <c r="AF219" s="1028" t="str">
        <f t="shared" si="95"/>
        <v/>
      </c>
      <c r="AG219" s="1029" t="str">
        <f t="shared" si="96"/>
        <v/>
      </c>
      <c r="AH219" s="1028" t="str">
        <f t="shared" si="97"/>
        <v/>
      </c>
      <c r="AI219" s="1029" t="str">
        <f t="shared" si="98"/>
        <v/>
      </c>
      <c r="AJ219" s="1029">
        <f t="shared" si="99"/>
        <v>0</v>
      </c>
      <c r="AK219" s="1043" t="str" cm="1">
        <f t="array" ref="AK219">IF(AE219&lt;&gt;"A","",IFERROR((IFERROR(_xlfn.XLOOKUP(TRIM(SUBSTITUTE(U219,CHAR(160)," ")),$BI$15:$BI$62,$BL$15:$BL$62),IFERROR(_xlfn.XLOOKUP(TRIM(SUBSTITUTE(U219,CHAR(160)," ")),$BJ$15:$BJ$62,$BL$15:$BL$62),_xlfn.XLOOKUP(TRIM(SUBSTITUTE(U219,CHAR(160)," ")),$BK$15:$BK$62,$BL$15:$BL$62))))*T219*IF(ISBLANK(Q219),1,Q219)+IFERROR(_xlfn.XLOOKUP("RECHERCHEX",TRIM(L219:AC219),L219:AC219),0),0))</f>
        <v/>
      </c>
      <c r="AL219" s="1030">
        <f t="shared" si="100"/>
        <v>0</v>
      </c>
      <c r="AM219" s="5254" t="str">
        <f t="shared" si="91"/>
        <v/>
      </c>
      <c r="AN219" s="1031">
        <f t="shared" si="101"/>
        <v>0</v>
      </c>
      <c r="AO219" s="1031">
        <f t="shared" si="102"/>
        <v>0</v>
      </c>
      <c r="AP219" s="1044">
        <f t="shared" si="103"/>
        <v>0</v>
      </c>
      <c r="AQ219" s="5257" t="str">
        <f t="shared" si="104"/>
        <v/>
      </c>
      <c r="AR219" s="1056"/>
      <c r="AS219" s="1056"/>
      <c r="AT219" s="1045">
        <f t="shared" si="105"/>
        <v>0</v>
      </c>
      <c r="AU219" s="1046">
        <f t="shared" si="106"/>
        <v>0</v>
      </c>
      <c r="AV219" s="1059" cm="1">
        <f t="array" ref="AV219">IF(AJ219&lt;&gt;1,0,IF(OR(AT219="",N(AT219)&lt;=0.000000001),"",IF(OR(AN219="",N(AN219)&lt;=0.000000001),0,IF(ISNUMBER(AT219),IFERROR(_xlfn.LET(_xlpm.ai_test,TRIM(AI219),_xlpm.r,IFERROR(_xlfn.XLOOKUP(_xlpm.ai_test,$BI$15:$BI$62,ROW($BI$15:$BI$62),0,1),IFERROR(_xlfn.XLOOKUP(_xlpm.ai_test,$BJ$15:$BJ$62,ROW($BJ$15:$BJ$62),0,1),_xlfn.XLOOKUP(_xlpm.ai_test,$BK$15:$BK$62,ROW($BK$15:$BK$62),0,1))),_xlpm.p,_xlpm.r-MIN(ROW($BI$15:$BI$62))+1,_xlpm.f,INDEX($BL$15:$BL$62,_xlpm.p),_xlpm.u,INDEX($BM$15:$BM$62,_xlpm.p),_xlpm.s,INDEX($BO$15:$BO$62,_xlpm.p),_xlpm.q,N(AT219)/_xlpm.f,IF(_xlpm.q&gt;=_xlpm.s,ROUND(_xlpm.q,1)&amp;" "&amp;_xlpm.ai_test&amp;" = "&amp;ROUND(_xlpm.q*_xlpm.f,1)&amp;" "&amp;_xlpm.u,ROUND(_xlpm.q,1)&amp;" "&amp;_xlpm.ai_test)),""),""))))</f>
        <v>0</v>
      </c>
      <c r="AW219" s="1047"/>
      <c r="AX219" s="1045">
        <f t="shared" si="107"/>
        <v>0</v>
      </c>
      <c r="AY219" s="1046" t="str">
        <f t="shared" si="108"/>
        <v/>
      </c>
      <c r="AZ219" s="1048">
        <f t="shared" si="113"/>
        <v>0</v>
      </c>
      <c r="BA219" s="1049" t="str">
        <f t="shared" si="109"/>
        <v/>
      </c>
      <c r="BB219" s="1038"/>
      <c r="BC219" s="1050">
        <f t="shared" ref="BC219:BC282" si="114">IF(OR(AN219=0,ISBLANK(BB219),ISTEXT(AZ219)),0,(IF(AT219=0,AZ219,AT219)*BB219))</f>
        <v>0</v>
      </c>
      <c r="BD219" s="1040" t="str">
        <f t="shared" si="110"/>
        <v/>
      </c>
      <c r="BE219" s="227" t="s">
        <v>22</v>
      </c>
      <c r="BF219" s="1019">
        <f t="shared" si="111"/>
        <v>0</v>
      </c>
      <c r="BG219" s="1020">
        <f t="shared" si="112"/>
        <v>0</v>
      </c>
      <c r="BH219"/>
      <c r="BQ219"/>
      <c r="BR219"/>
      <c r="BS219"/>
      <c r="BT219"/>
      <c r="BU219"/>
      <c r="BV219"/>
      <c r="BW219" s="959" t="str">
        <f t="shared" si="93"/>
        <v>►</v>
      </c>
      <c r="BX219"/>
      <c r="BY219"/>
      <c r="BZ219"/>
      <c r="CA219"/>
      <c r="CB219"/>
      <c r="CC219" s="856"/>
      <c r="CD219"/>
      <c r="CE219"/>
      <c r="CF219"/>
      <c r="CG219"/>
      <c r="CH219"/>
      <c r="CI219"/>
      <c r="CJ219"/>
      <c r="CL219"/>
      <c r="CM219"/>
      <c r="CN219"/>
      <c r="CO219"/>
      <c r="CP219"/>
      <c r="CQ219"/>
      <c r="CR219"/>
      <c r="CT219"/>
      <c r="CU219"/>
      <c r="CV219"/>
      <c r="CW219"/>
      <c r="CX219"/>
      <c r="CY219"/>
      <c r="CZ219"/>
      <c r="DB219" s="3">
        <v>1</v>
      </c>
    </row>
    <row r="220" spans="1:106" s="709" customFormat="1" ht="21" customHeight="1">
      <c r="A220" s="936" t="s">
        <v>22</v>
      </c>
      <c r="B220" s="952" t="str">
        <f t="shared" si="92"/>
        <v>►</v>
      </c>
      <c r="C220" s="993" cm="1">
        <f t="array" ref="C220">SUMPRODUCT(LEN(D220:J220))</f>
        <v>0</v>
      </c>
      <c r="D220" s="167"/>
      <c r="E220" s="172"/>
      <c r="F220" s="172"/>
      <c r="G220" s="172"/>
      <c r="H220" s="172"/>
      <c r="I220" s="172"/>
      <c r="J220" s="173"/>
      <c r="K220" s="442" t="s">
        <v>22</v>
      </c>
      <c r="L220" s="104" t="s">
        <v>16</v>
      </c>
      <c r="M220" s="1172"/>
      <c r="N220" s="1172"/>
      <c r="O220" s="1172"/>
      <c r="P220" s="1173"/>
      <c r="Q220" s="1174"/>
      <c r="R220" s="1175"/>
      <c r="S220" s="1176"/>
      <c r="T220" s="1177"/>
      <c r="U220" s="5248"/>
      <c r="V220" s="1177"/>
      <c r="W220" s="5249"/>
      <c r="X220" s="5208"/>
      <c r="Y220" s="5209"/>
      <c r="Z220" s="5210"/>
      <c r="AA220" s="5211"/>
      <c r="AB220" s="1178"/>
      <c r="AC220" s="1179"/>
      <c r="AD220" s="227" t="s">
        <v>22</v>
      </c>
      <c r="AE220" s="1027" t="str">
        <f t="shared" si="94"/>
        <v>►</v>
      </c>
      <c r="AF220" s="1028" t="str">
        <f t="shared" si="95"/>
        <v/>
      </c>
      <c r="AG220" s="1029" t="str">
        <f t="shared" si="96"/>
        <v/>
      </c>
      <c r="AH220" s="1028" t="str">
        <f t="shared" si="97"/>
        <v/>
      </c>
      <c r="AI220" s="1029" t="str">
        <f t="shared" si="98"/>
        <v/>
      </c>
      <c r="AJ220" s="1029">
        <f t="shared" si="99"/>
        <v>0</v>
      </c>
      <c r="AK220" s="1043" t="str" cm="1">
        <f t="array" ref="AK220">IF(AE220&lt;&gt;"A","",IFERROR((IFERROR(_xlfn.XLOOKUP(TRIM(SUBSTITUTE(U220,CHAR(160)," ")),$BI$15:$BI$62,$BL$15:$BL$62),IFERROR(_xlfn.XLOOKUP(TRIM(SUBSTITUTE(U220,CHAR(160)," ")),$BJ$15:$BJ$62,$BL$15:$BL$62),_xlfn.XLOOKUP(TRIM(SUBSTITUTE(U220,CHAR(160)," ")),$BK$15:$BK$62,$BL$15:$BL$62))))*T220*IF(ISBLANK(Q220),1,Q220)+IFERROR(_xlfn.XLOOKUP("RECHERCHEX",TRIM(L220:AC220),L220:AC220),0),0))</f>
        <v/>
      </c>
      <c r="AL220" s="1030">
        <f t="shared" si="100"/>
        <v>0</v>
      </c>
      <c r="AM220" s="5254" t="str">
        <f t="shared" si="91"/>
        <v/>
      </c>
      <c r="AN220" s="1031">
        <f t="shared" si="101"/>
        <v>0</v>
      </c>
      <c r="AO220" s="1031">
        <f t="shared" si="102"/>
        <v>0</v>
      </c>
      <c r="AP220" s="1032">
        <f t="shared" si="103"/>
        <v>0</v>
      </c>
      <c r="AQ220" s="5255" t="str">
        <f t="shared" si="104"/>
        <v/>
      </c>
      <c r="AR220" s="1056"/>
      <c r="AS220" s="1056"/>
      <c r="AT220" s="1034">
        <f t="shared" si="105"/>
        <v>0</v>
      </c>
      <c r="AU220" s="1035">
        <f t="shared" si="106"/>
        <v>0</v>
      </c>
      <c r="AV220" s="1057" cm="1">
        <f t="array" ref="AV220">IF(AJ220&lt;&gt;1,0,IF(OR(AT220="",N(AT220)&lt;=0.000000001),"",IF(OR(AN220="",N(AN220)&lt;=0.000000001),0,IF(ISNUMBER(AT220),IFERROR(_xlfn.LET(_xlpm.ai_test,TRIM(AI220),_xlpm.r,IFERROR(_xlfn.XLOOKUP(_xlpm.ai_test,$BI$15:$BI$62,ROW($BI$15:$BI$62),0,1),IFERROR(_xlfn.XLOOKUP(_xlpm.ai_test,$BJ$15:$BJ$62,ROW($BJ$15:$BJ$62),0,1),_xlfn.XLOOKUP(_xlpm.ai_test,$BK$15:$BK$62,ROW($BK$15:$BK$62),0,1))),_xlpm.p,_xlpm.r-MIN(ROW($BI$15:$BI$62))+1,_xlpm.f,INDEX($BL$15:$BL$62,_xlpm.p),_xlpm.u,INDEX($BM$15:$BM$62,_xlpm.p),_xlpm.s,INDEX($BO$15:$BO$62,_xlpm.p),_xlpm.q,N(AT220)/_xlpm.f,IF(_xlpm.q&gt;=_xlpm.s,ROUND(_xlpm.q,1)&amp;" "&amp;_xlpm.ai_test&amp;" = "&amp;ROUND(_xlpm.q*_xlpm.f,1)&amp;" "&amp;_xlpm.u,ROUND(_xlpm.q,1)&amp;" "&amp;_xlpm.ai_test)),""),""))))</f>
        <v>0</v>
      </c>
      <c r="AW220" s="1047"/>
      <c r="AX220" s="1034">
        <f t="shared" si="107"/>
        <v>0</v>
      </c>
      <c r="AY220" s="1035" t="str">
        <f t="shared" si="108"/>
        <v/>
      </c>
      <c r="AZ220" s="1036">
        <f t="shared" si="113"/>
        <v>0</v>
      </c>
      <c r="BA220" s="1037" t="str">
        <f t="shared" si="109"/>
        <v/>
      </c>
      <c r="BB220" s="1038"/>
      <c r="BC220" s="1039">
        <f t="shared" si="114"/>
        <v>0</v>
      </c>
      <c r="BD220" s="1040" t="str">
        <f t="shared" si="110"/>
        <v/>
      </c>
      <c r="BE220" s="227" t="s">
        <v>22</v>
      </c>
      <c r="BF220" s="1019">
        <f t="shared" si="111"/>
        <v>0</v>
      </c>
      <c r="BG220" s="1020">
        <f t="shared" si="112"/>
        <v>0</v>
      </c>
      <c r="BH220"/>
      <c r="BQ220"/>
      <c r="BR220"/>
      <c r="BS220"/>
      <c r="BT220"/>
      <c r="BU220"/>
      <c r="BV220"/>
      <c r="BW220" s="959" t="str">
        <f t="shared" si="93"/>
        <v>►</v>
      </c>
      <c r="BX220"/>
      <c r="BY220"/>
      <c r="BZ220"/>
      <c r="CA220"/>
      <c r="CB220"/>
      <c r="CC220" s="856"/>
      <c r="CD220"/>
      <c r="CE220"/>
      <c r="CF220"/>
      <c r="CG220"/>
      <c r="CH220"/>
      <c r="CI220"/>
      <c r="CJ220"/>
      <c r="CL220"/>
      <c r="CM220"/>
      <c r="CN220"/>
      <c r="CO220"/>
      <c r="CP220"/>
      <c r="CQ220"/>
      <c r="CR220"/>
      <c r="CT220"/>
      <c r="CU220"/>
      <c r="CV220"/>
      <c r="CW220"/>
      <c r="CX220"/>
      <c r="CY220"/>
      <c r="CZ220"/>
      <c r="DB220" s="3">
        <v>1</v>
      </c>
    </row>
    <row r="221" spans="1:106" s="709" customFormat="1" ht="21" customHeight="1">
      <c r="A221" s="936" t="s">
        <v>22</v>
      </c>
      <c r="B221" s="952" t="str">
        <f t="shared" si="92"/>
        <v>►</v>
      </c>
      <c r="C221" s="993" cm="1">
        <f t="array" ref="C221">SUMPRODUCT(LEN(D221:J221))</f>
        <v>0</v>
      </c>
      <c r="D221" s="167"/>
      <c r="E221" s="172"/>
      <c r="F221" s="172"/>
      <c r="G221" s="172"/>
      <c r="H221" s="172"/>
      <c r="I221" s="172"/>
      <c r="J221" s="173"/>
      <c r="K221" s="442" t="s">
        <v>22</v>
      </c>
      <c r="L221" s="104" t="s">
        <v>16</v>
      </c>
      <c r="M221" s="1172"/>
      <c r="N221" s="1172"/>
      <c r="O221" s="1172"/>
      <c r="P221" s="1173"/>
      <c r="Q221" s="1174"/>
      <c r="R221" s="1175"/>
      <c r="S221" s="1176"/>
      <c r="T221" s="1177"/>
      <c r="U221" s="5248"/>
      <c r="V221" s="1177"/>
      <c r="W221" s="5249"/>
      <c r="X221" s="5208"/>
      <c r="Y221" s="5209"/>
      <c r="Z221" s="5210"/>
      <c r="AA221" s="5211"/>
      <c r="AB221" s="1178"/>
      <c r="AC221" s="1179"/>
      <c r="AD221" s="227" t="s">
        <v>22</v>
      </c>
      <c r="AE221" s="1027" t="str">
        <f t="shared" si="94"/>
        <v>►</v>
      </c>
      <c r="AF221" s="1028" t="str">
        <f t="shared" si="95"/>
        <v/>
      </c>
      <c r="AG221" s="1029" t="str">
        <f t="shared" si="96"/>
        <v/>
      </c>
      <c r="AH221" s="1028" t="str">
        <f t="shared" si="97"/>
        <v/>
      </c>
      <c r="AI221" s="1029" t="str">
        <f t="shared" si="98"/>
        <v/>
      </c>
      <c r="AJ221" s="1029">
        <f t="shared" si="99"/>
        <v>0</v>
      </c>
      <c r="AK221" s="1043" t="str" cm="1">
        <f t="array" ref="AK221">IF(AE221&lt;&gt;"A","",IFERROR((IFERROR(_xlfn.XLOOKUP(TRIM(SUBSTITUTE(U221,CHAR(160)," ")),$BI$15:$BI$62,$BL$15:$BL$62),IFERROR(_xlfn.XLOOKUP(TRIM(SUBSTITUTE(U221,CHAR(160)," ")),$BJ$15:$BJ$62,$BL$15:$BL$62),_xlfn.XLOOKUP(TRIM(SUBSTITUTE(U221,CHAR(160)," ")),$BK$15:$BK$62,$BL$15:$BL$62))))*T221*IF(ISBLANK(Q221),1,Q221)+IFERROR(_xlfn.XLOOKUP("RECHERCHEX",TRIM(L221:AC221),L221:AC221),0),0))</f>
        <v/>
      </c>
      <c r="AL221" s="1030">
        <f t="shared" si="100"/>
        <v>0</v>
      </c>
      <c r="AM221" s="5254" t="str">
        <f t="shared" si="91"/>
        <v/>
      </c>
      <c r="AN221" s="1031">
        <f t="shared" si="101"/>
        <v>0</v>
      </c>
      <c r="AO221" s="1031">
        <f t="shared" si="102"/>
        <v>0</v>
      </c>
      <c r="AP221" s="1044">
        <f t="shared" si="103"/>
        <v>0</v>
      </c>
      <c r="AQ221" s="5257" t="str">
        <f t="shared" si="104"/>
        <v/>
      </c>
      <c r="AR221" s="1056"/>
      <c r="AS221" s="1056"/>
      <c r="AT221" s="1045">
        <f t="shared" si="105"/>
        <v>0</v>
      </c>
      <c r="AU221" s="1046">
        <f t="shared" si="106"/>
        <v>0</v>
      </c>
      <c r="AV221" s="1059" cm="1">
        <f t="array" ref="AV221">IF(AJ221&lt;&gt;1,0,IF(OR(AT221="",N(AT221)&lt;=0.000000001),"",IF(OR(AN221="",N(AN221)&lt;=0.000000001),0,IF(ISNUMBER(AT221),IFERROR(_xlfn.LET(_xlpm.ai_test,TRIM(AI221),_xlpm.r,IFERROR(_xlfn.XLOOKUP(_xlpm.ai_test,$BI$15:$BI$62,ROW($BI$15:$BI$62),0,1),IFERROR(_xlfn.XLOOKUP(_xlpm.ai_test,$BJ$15:$BJ$62,ROW($BJ$15:$BJ$62),0,1),_xlfn.XLOOKUP(_xlpm.ai_test,$BK$15:$BK$62,ROW($BK$15:$BK$62),0,1))),_xlpm.p,_xlpm.r-MIN(ROW($BI$15:$BI$62))+1,_xlpm.f,INDEX($BL$15:$BL$62,_xlpm.p),_xlpm.u,INDEX($BM$15:$BM$62,_xlpm.p),_xlpm.s,INDEX($BO$15:$BO$62,_xlpm.p),_xlpm.q,N(AT221)/_xlpm.f,IF(_xlpm.q&gt;=_xlpm.s,ROUND(_xlpm.q,1)&amp;" "&amp;_xlpm.ai_test&amp;" = "&amp;ROUND(_xlpm.q*_xlpm.f,1)&amp;" "&amp;_xlpm.u,ROUND(_xlpm.q,1)&amp;" "&amp;_xlpm.ai_test)),""),""))))</f>
        <v>0</v>
      </c>
      <c r="AW221" s="1047"/>
      <c r="AX221" s="1045">
        <f t="shared" si="107"/>
        <v>0</v>
      </c>
      <c r="AY221" s="1046" t="str">
        <f t="shared" si="108"/>
        <v/>
      </c>
      <c r="AZ221" s="1048">
        <f t="shared" si="113"/>
        <v>0</v>
      </c>
      <c r="BA221" s="1049" t="str">
        <f t="shared" si="109"/>
        <v/>
      </c>
      <c r="BB221" s="1038"/>
      <c r="BC221" s="1050">
        <f t="shared" si="114"/>
        <v>0</v>
      </c>
      <c r="BD221" s="1040" t="str">
        <f t="shared" si="110"/>
        <v/>
      </c>
      <c r="BE221" s="227" t="s">
        <v>22</v>
      </c>
      <c r="BF221" s="1019">
        <f t="shared" si="111"/>
        <v>0</v>
      </c>
      <c r="BG221" s="1020">
        <f t="shared" si="112"/>
        <v>0</v>
      </c>
      <c r="BH221"/>
      <c r="BQ221"/>
      <c r="BR221"/>
      <c r="BS221"/>
      <c r="BT221"/>
      <c r="BU221"/>
      <c r="BV221"/>
      <c r="BW221" s="959" t="str">
        <f t="shared" si="93"/>
        <v>►</v>
      </c>
      <c r="BX221"/>
      <c r="BY221"/>
      <c r="BZ221"/>
      <c r="CA221"/>
      <c r="CB221"/>
      <c r="CC221" s="856"/>
      <c r="CD221"/>
      <c r="CE221"/>
      <c r="CF221"/>
      <c r="CG221"/>
      <c r="CH221"/>
      <c r="CI221"/>
      <c r="CJ221"/>
      <c r="CL221"/>
      <c r="CM221"/>
      <c r="CN221"/>
      <c r="CO221"/>
      <c r="CP221"/>
      <c r="CQ221"/>
      <c r="CR221"/>
      <c r="CT221"/>
      <c r="CU221"/>
      <c r="CV221"/>
      <c r="CW221"/>
      <c r="CX221"/>
      <c r="CY221"/>
      <c r="CZ221"/>
      <c r="DB221" s="3">
        <v>1</v>
      </c>
    </row>
    <row r="222" spans="1:106" s="709" customFormat="1" ht="21" customHeight="1">
      <c r="A222" s="936" t="s">
        <v>22</v>
      </c>
      <c r="B222" s="952" t="str">
        <f t="shared" si="92"/>
        <v>►</v>
      </c>
      <c r="C222" s="993" cm="1">
        <f t="array" ref="C222">SUMPRODUCT(LEN(D222:J222))</f>
        <v>0</v>
      </c>
      <c r="D222" s="167"/>
      <c r="E222" s="172"/>
      <c r="F222" s="172"/>
      <c r="G222" s="172"/>
      <c r="H222" s="172"/>
      <c r="I222" s="172"/>
      <c r="J222" s="173"/>
      <c r="K222" s="442" t="s">
        <v>22</v>
      </c>
      <c r="L222" s="104" t="s">
        <v>16</v>
      </c>
      <c r="M222" s="1172"/>
      <c r="N222" s="1172"/>
      <c r="O222" s="1172"/>
      <c r="P222" s="1173"/>
      <c r="Q222" s="1174"/>
      <c r="R222" s="1175"/>
      <c r="S222" s="1176"/>
      <c r="T222" s="1177"/>
      <c r="U222" s="5248"/>
      <c r="V222" s="1177"/>
      <c r="W222" s="5249"/>
      <c r="X222" s="5208"/>
      <c r="Y222" s="5209"/>
      <c r="Z222" s="5210"/>
      <c r="AA222" s="5211"/>
      <c r="AB222" s="1178"/>
      <c r="AC222" s="1179"/>
      <c r="AD222" s="227" t="s">
        <v>22</v>
      </c>
      <c r="AE222" s="1027" t="str">
        <f t="shared" si="94"/>
        <v>►</v>
      </c>
      <c r="AF222" s="1028" t="str">
        <f t="shared" si="95"/>
        <v/>
      </c>
      <c r="AG222" s="1029" t="str">
        <f t="shared" si="96"/>
        <v/>
      </c>
      <c r="AH222" s="1028" t="str">
        <f t="shared" si="97"/>
        <v/>
      </c>
      <c r="AI222" s="1029" t="str">
        <f t="shared" si="98"/>
        <v/>
      </c>
      <c r="AJ222" s="1029">
        <f t="shared" si="99"/>
        <v>0</v>
      </c>
      <c r="AK222" s="1043" t="str" cm="1">
        <f t="array" ref="AK222">IF(AE222&lt;&gt;"A","",IFERROR((IFERROR(_xlfn.XLOOKUP(TRIM(SUBSTITUTE(U222,CHAR(160)," ")),$BI$15:$BI$62,$BL$15:$BL$62),IFERROR(_xlfn.XLOOKUP(TRIM(SUBSTITUTE(U222,CHAR(160)," ")),$BJ$15:$BJ$62,$BL$15:$BL$62),_xlfn.XLOOKUP(TRIM(SUBSTITUTE(U222,CHAR(160)," ")),$BK$15:$BK$62,$BL$15:$BL$62))))*T222*IF(ISBLANK(Q222),1,Q222)+IFERROR(_xlfn.XLOOKUP("RECHERCHEX",TRIM(L222:AC222),L222:AC222),0),0))</f>
        <v/>
      </c>
      <c r="AL222" s="1030">
        <f t="shared" si="100"/>
        <v>0</v>
      </c>
      <c r="AM222" s="5254" t="str">
        <f t="shared" ref="AM222:AM285" si="115">IF(AE222="A","❾ Author reference &gt;","")</f>
        <v/>
      </c>
      <c r="AN222" s="1031">
        <f t="shared" si="101"/>
        <v>0</v>
      </c>
      <c r="AO222" s="1031">
        <f t="shared" si="102"/>
        <v>0</v>
      </c>
      <c r="AP222" s="1032">
        <f t="shared" si="103"/>
        <v>0</v>
      </c>
      <c r="AQ222" s="5255" t="str">
        <f t="shared" si="104"/>
        <v/>
      </c>
      <c r="AR222" s="1056"/>
      <c r="AS222" s="1056"/>
      <c r="AT222" s="1034">
        <f t="shared" si="105"/>
        <v>0</v>
      </c>
      <c r="AU222" s="1035">
        <f t="shared" si="106"/>
        <v>0</v>
      </c>
      <c r="AV222" s="1057" cm="1">
        <f t="array" ref="AV222">IF(AJ222&lt;&gt;1,0,IF(OR(AT222="",N(AT222)&lt;=0.000000001),"",IF(OR(AN222="",N(AN222)&lt;=0.000000001),0,IF(ISNUMBER(AT222),IFERROR(_xlfn.LET(_xlpm.ai_test,TRIM(AI222),_xlpm.r,IFERROR(_xlfn.XLOOKUP(_xlpm.ai_test,$BI$15:$BI$62,ROW($BI$15:$BI$62),0,1),IFERROR(_xlfn.XLOOKUP(_xlpm.ai_test,$BJ$15:$BJ$62,ROW($BJ$15:$BJ$62),0,1),_xlfn.XLOOKUP(_xlpm.ai_test,$BK$15:$BK$62,ROW($BK$15:$BK$62),0,1))),_xlpm.p,_xlpm.r-MIN(ROW($BI$15:$BI$62))+1,_xlpm.f,INDEX($BL$15:$BL$62,_xlpm.p),_xlpm.u,INDEX($BM$15:$BM$62,_xlpm.p),_xlpm.s,INDEX($BO$15:$BO$62,_xlpm.p),_xlpm.q,N(AT222)/_xlpm.f,IF(_xlpm.q&gt;=_xlpm.s,ROUND(_xlpm.q,1)&amp;" "&amp;_xlpm.ai_test&amp;" = "&amp;ROUND(_xlpm.q*_xlpm.f,1)&amp;" "&amp;_xlpm.u,ROUND(_xlpm.q,1)&amp;" "&amp;_xlpm.ai_test)),""),""))))</f>
        <v>0</v>
      </c>
      <c r="AW222" s="1047"/>
      <c r="AX222" s="1034">
        <f t="shared" si="107"/>
        <v>0</v>
      </c>
      <c r="AY222" s="1035" t="str">
        <f t="shared" si="108"/>
        <v/>
      </c>
      <c r="AZ222" s="1036">
        <f t="shared" si="113"/>
        <v>0</v>
      </c>
      <c r="BA222" s="1037" t="str">
        <f t="shared" si="109"/>
        <v/>
      </c>
      <c r="BB222" s="1038"/>
      <c r="BC222" s="1039">
        <f t="shared" si="114"/>
        <v>0</v>
      </c>
      <c r="BD222" s="1040" t="str">
        <f t="shared" si="110"/>
        <v/>
      </c>
      <c r="BE222" s="227" t="s">
        <v>22</v>
      </c>
      <c r="BF222" s="1019">
        <f t="shared" si="111"/>
        <v>0</v>
      </c>
      <c r="BG222" s="1020">
        <f t="shared" si="112"/>
        <v>0</v>
      </c>
      <c r="BH222"/>
      <c r="BQ222"/>
      <c r="BR222"/>
      <c r="BS222"/>
      <c r="BT222"/>
      <c r="BU222"/>
      <c r="BV222"/>
      <c r="BW222" s="959" t="str">
        <f t="shared" si="93"/>
        <v>►</v>
      </c>
      <c r="BX222"/>
      <c r="BY222"/>
      <c r="BZ222"/>
      <c r="CA222"/>
      <c r="CB222"/>
      <c r="CC222" s="856"/>
      <c r="CD222"/>
      <c r="CE222"/>
      <c r="CF222"/>
      <c r="CG222"/>
      <c r="CH222"/>
      <c r="CI222"/>
      <c r="CJ222"/>
      <c r="CL222"/>
      <c r="CM222"/>
      <c r="CN222"/>
      <c r="CO222"/>
      <c r="CP222"/>
      <c r="CQ222"/>
      <c r="CR222"/>
      <c r="CT222"/>
      <c r="CU222"/>
      <c r="CV222"/>
      <c r="CW222"/>
      <c r="CX222"/>
      <c r="CY222"/>
      <c r="CZ222"/>
      <c r="DB222" s="3">
        <v>1</v>
      </c>
    </row>
    <row r="223" spans="1:106" s="709" customFormat="1" ht="21" customHeight="1">
      <c r="A223" s="936" t="s">
        <v>22</v>
      </c>
      <c r="B223" s="952" t="str">
        <f t="shared" si="92"/>
        <v>►</v>
      </c>
      <c r="C223" s="993" cm="1">
        <f t="array" ref="C223">SUMPRODUCT(LEN(D223:J223))</f>
        <v>0</v>
      </c>
      <c r="D223" s="167"/>
      <c r="E223" s="172"/>
      <c r="F223" s="172"/>
      <c r="G223" s="172"/>
      <c r="H223" s="172"/>
      <c r="I223" s="172"/>
      <c r="J223" s="173"/>
      <c r="K223" s="442" t="s">
        <v>22</v>
      </c>
      <c r="L223" s="104" t="s">
        <v>16</v>
      </c>
      <c r="M223" s="1172"/>
      <c r="N223" s="1172"/>
      <c r="O223" s="1172"/>
      <c r="P223" s="1173"/>
      <c r="Q223" s="1174"/>
      <c r="R223" s="1175"/>
      <c r="S223" s="1176"/>
      <c r="T223" s="1177"/>
      <c r="U223" s="5248"/>
      <c r="V223" s="1177"/>
      <c r="W223" s="5249"/>
      <c r="X223" s="5208"/>
      <c r="Y223" s="5209"/>
      <c r="Z223" s="5210"/>
      <c r="AA223" s="5211"/>
      <c r="AB223" s="1178"/>
      <c r="AC223" s="1179"/>
      <c r="AD223" s="227" t="s">
        <v>22</v>
      </c>
      <c r="AE223" s="1027" t="str">
        <f t="shared" si="94"/>
        <v>►</v>
      </c>
      <c r="AF223" s="1028" t="str">
        <f t="shared" si="95"/>
        <v/>
      </c>
      <c r="AG223" s="1029" t="str">
        <f t="shared" si="96"/>
        <v/>
      </c>
      <c r="AH223" s="1028" t="str">
        <f t="shared" si="97"/>
        <v/>
      </c>
      <c r="AI223" s="1029" t="str">
        <f t="shared" si="98"/>
        <v/>
      </c>
      <c r="AJ223" s="1029">
        <f t="shared" si="99"/>
        <v>0</v>
      </c>
      <c r="AK223" s="1043" t="str" cm="1">
        <f t="array" ref="AK223">IF(AE223&lt;&gt;"A","",IFERROR((IFERROR(_xlfn.XLOOKUP(TRIM(SUBSTITUTE(U223,CHAR(160)," ")),$BI$15:$BI$62,$BL$15:$BL$62),IFERROR(_xlfn.XLOOKUP(TRIM(SUBSTITUTE(U223,CHAR(160)," ")),$BJ$15:$BJ$62,$BL$15:$BL$62),_xlfn.XLOOKUP(TRIM(SUBSTITUTE(U223,CHAR(160)," ")),$BK$15:$BK$62,$BL$15:$BL$62))))*T223*IF(ISBLANK(Q223),1,Q223)+IFERROR(_xlfn.XLOOKUP("RECHERCHEX",TRIM(L223:AC223),L223:AC223),0),0))</f>
        <v/>
      </c>
      <c r="AL223" s="1030">
        <f t="shared" si="100"/>
        <v>0</v>
      </c>
      <c r="AM223" s="5254" t="str">
        <f t="shared" si="115"/>
        <v/>
      </c>
      <c r="AN223" s="1031">
        <f t="shared" si="101"/>
        <v>0</v>
      </c>
      <c r="AO223" s="1031">
        <f t="shared" si="102"/>
        <v>0</v>
      </c>
      <c r="AP223" s="1044">
        <f t="shared" si="103"/>
        <v>0</v>
      </c>
      <c r="AQ223" s="5257" t="str">
        <f t="shared" si="104"/>
        <v/>
      </c>
      <c r="AR223" s="1056"/>
      <c r="AS223" s="1056"/>
      <c r="AT223" s="1045">
        <f t="shared" si="105"/>
        <v>0</v>
      </c>
      <c r="AU223" s="1046">
        <f t="shared" si="106"/>
        <v>0</v>
      </c>
      <c r="AV223" s="1059" cm="1">
        <f t="array" ref="AV223">IF(AJ223&lt;&gt;1,0,IF(OR(AT223="",N(AT223)&lt;=0.000000001),"",IF(OR(AN223="",N(AN223)&lt;=0.000000001),0,IF(ISNUMBER(AT223),IFERROR(_xlfn.LET(_xlpm.ai_test,TRIM(AI223),_xlpm.r,IFERROR(_xlfn.XLOOKUP(_xlpm.ai_test,$BI$15:$BI$62,ROW($BI$15:$BI$62),0,1),IFERROR(_xlfn.XLOOKUP(_xlpm.ai_test,$BJ$15:$BJ$62,ROW($BJ$15:$BJ$62),0,1),_xlfn.XLOOKUP(_xlpm.ai_test,$BK$15:$BK$62,ROW($BK$15:$BK$62),0,1))),_xlpm.p,_xlpm.r-MIN(ROW($BI$15:$BI$62))+1,_xlpm.f,INDEX($BL$15:$BL$62,_xlpm.p),_xlpm.u,INDEX($BM$15:$BM$62,_xlpm.p),_xlpm.s,INDEX($BO$15:$BO$62,_xlpm.p),_xlpm.q,N(AT223)/_xlpm.f,IF(_xlpm.q&gt;=_xlpm.s,ROUND(_xlpm.q,1)&amp;" "&amp;_xlpm.ai_test&amp;" = "&amp;ROUND(_xlpm.q*_xlpm.f,1)&amp;" "&amp;_xlpm.u,ROUND(_xlpm.q,1)&amp;" "&amp;_xlpm.ai_test)),""),""))))</f>
        <v>0</v>
      </c>
      <c r="AW223" s="1047"/>
      <c r="AX223" s="1045">
        <f t="shared" si="107"/>
        <v>0</v>
      </c>
      <c r="AY223" s="1046" t="str">
        <f t="shared" si="108"/>
        <v/>
      </c>
      <c r="AZ223" s="1048">
        <f t="shared" si="113"/>
        <v>0</v>
      </c>
      <c r="BA223" s="1049" t="str">
        <f t="shared" si="109"/>
        <v/>
      </c>
      <c r="BB223" s="1038"/>
      <c r="BC223" s="1050">
        <f t="shared" si="114"/>
        <v>0</v>
      </c>
      <c r="BD223" s="1040" t="str">
        <f t="shared" si="110"/>
        <v/>
      </c>
      <c r="BE223" s="227" t="s">
        <v>22</v>
      </c>
      <c r="BF223" s="1019">
        <f t="shared" si="111"/>
        <v>0</v>
      </c>
      <c r="BG223" s="1020">
        <f t="shared" si="112"/>
        <v>0</v>
      </c>
      <c r="BH223"/>
      <c r="BQ223"/>
      <c r="BR223"/>
      <c r="BS223"/>
      <c r="BT223"/>
      <c r="BU223"/>
      <c r="BV223"/>
      <c r="BW223" s="959" t="str">
        <f t="shared" si="93"/>
        <v>►</v>
      </c>
      <c r="BX223"/>
      <c r="BY223"/>
      <c r="BZ223"/>
      <c r="CA223"/>
      <c r="CB223"/>
      <c r="CC223" s="856"/>
      <c r="CD223"/>
      <c r="CE223"/>
      <c r="CF223"/>
      <c r="CG223"/>
      <c r="CH223"/>
      <c r="CI223"/>
      <c r="CJ223"/>
      <c r="CL223"/>
      <c r="CM223"/>
      <c r="CN223"/>
      <c r="CO223"/>
      <c r="CP223"/>
      <c r="CQ223"/>
      <c r="CR223"/>
      <c r="CT223"/>
      <c r="CU223"/>
      <c r="CV223"/>
      <c r="CW223"/>
      <c r="CX223"/>
      <c r="CY223"/>
      <c r="CZ223"/>
      <c r="DB223" s="3">
        <v>1</v>
      </c>
    </row>
    <row r="224" spans="1:106" s="709" customFormat="1" ht="21" customHeight="1">
      <c r="A224" s="936" t="s">
        <v>22</v>
      </c>
      <c r="B224" s="952" t="str">
        <f t="shared" si="92"/>
        <v>►</v>
      </c>
      <c r="C224" s="993" cm="1">
        <f t="array" ref="C224">SUMPRODUCT(LEN(D224:J224))</f>
        <v>0</v>
      </c>
      <c r="D224" s="167"/>
      <c r="E224" s="172"/>
      <c r="F224" s="172"/>
      <c r="G224" s="172"/>
      <c r="H224" s="172"/>
      <c r="I224" s="172"/>
      <c r="J224" s="173"/>
      <c r="K224" s="442" t="s">
        <v>22</v>
      </c>
      <c r="L224" s="104" t="s">
        <v>16</v>
      </c>
      <c r="M224" s="1172"/>
      <c r="N224" s="1172"/>
      <c r="O224" s="1172"/>
      <c r="P224" s="1173"/>
      <c r="Q224" s="1174"/>
      <c r="R224" s="1175"/>
      <c r="S224" s="1176"/>
      <c r="T224" s="1177"/>
      <c r="U224" s="5248"/>
      <c r="V224" s="1177"/>
      <c r="W224" s="5249"/>
      <c r="X224" s="5208"/>
      <c r="Y224" s="5209"/>
      <c r="Z224" s="5210"/>
      <c r="AA224" s="5211"/>
      <c r="AB224" s="1178"/>
      <c r="AC224" s="1179"/>
      <c r="AD224" s="227" t="s">
        <v>22</v>
      </c>
      <c r="AE224" s="1027" t="str">
        <f t="shared" si="94"/>
        <v>►</v>
      </c>
      <c r="AF224" s="1028" t="str">
        <f t="shared" si="95"/>
        <v/>
      </c>
      <c r="AG224" s="1029" t="str">
        <f t="shared" si="96"/>
        <v/>
      </c>
      <c r="AH224" s="1028" t="str">
        <f t="shared" si="97"/>
        <v/>
      </c>
      <c r="AI224" s="1029" t="str">
        <f t="shared" si="98"/>
        <v/>
      </c>
      <c r="AJ224" s="1029">
        <f t="shared" si="99"/>
        <v>0</v>
      </c>
      <c r="AK224" s="1043" t="str" cm="1">
        <f t="array" ref="AK224">IF(AE224&lt;&gt;"A","",IFERROR((IFERROR(_xlfn.XLOOKUP(TRIM(SUBSTITUTE(U224,CHAR(160)," ")),$BI$15:$BI$62,$BL$15:$BL$62),IFERROR(_xlfn.XLOOKUP(TRIM(SUBSTITUTE(U224,CHAR(160)," ")),$BJ$15:$BJ$62,$BL$15:$BL$62),_xlfn.XLOOKUP(TRIM(SUBSTITUTE(U224,CHAR(160)," ")),$BK$15:$BK$62,$BL$15:$BL$62))))*T224*IF(ISBLANK(Q224),1,Q224)+IFERROR(_xlfn.XLOOKUP("RECHERCHEX",TRIM(L224:AC224),L224:AC224),0),0))</f>
        <v/>
      </c>
      <c r="AL224" s="1030">
        <f t="shared" si="100"/>
        <v>0</v>
      </c>
      <c r="AM224" s="5254" t="str">
        <f t="shared" si="115"/>
        <v/>
      </c>
      <c r="AN224" s="1031">
        <f t="shared" si="101"/>
        <v>0</v>
      </c>
      <c r="AO224" s="1031">
        <f t="shared" si="102"/>
        <v>0</v>
      </c>
      <c r="AP224" s="1032">
        <f t="shared" si="103"/>
        <v>0</v>
      </c>
      <c r="AQ224" s="5255" t="str">
        <f t="shared" si="104"/>
        <v/>
      </c>
      <c r="AR224" s="1056"/>
      <c r="AS224" s="1056"/>
      <c r="AT224" s="1034">
        <f t="shared" si="105"/>
        <v>0</v>
      </c>
      <c r="AU224" s="1035">
        <f t="shared" si="106"/>
        <v>0</v>
      </c>
      <c r="AV224" s="1057" cm="1">
        <f t="array" ref="AV224">IF(AJ224&lt;&gt;1,0,IF(OR(AT224="",N(AT224)&lt;=0.000000001),"",IF(OR(AN224="",N(AN224)&lt;=0.000000001),0,IF(ISNUMBER(AT224),IFERROR(_xlfn.LET(_xlpm.ai_test,TRIM(AI224),_xlpm.r,IFERROR(_xlfn.XLOOKUP(_xlpm.ai_test,$BI$15:$BI$62,ROW($BI$15:$BI$62),0,1),IFERROR(_xlfn.XLOOKUP(_xlpm.ai_test,$BJ$15:$BJ$62,ROW($BJ$15:$BJ$62),0,1),_xlfn.XLOOKUP(_xlpm.ai_test,$BK$15:$BK$62,ROW($BK$15:$BK$62),0,1))),_xlpm.p,_xlpm.r-MIN(ROW($BI$15:$BI$62))+1,_xlpm.f,INDEX($BL$15:$BL$62,_xlpm.p),_xlpm.u,INDEX($BM$15:$BM$62,_xlpm.p),_xlpm.s,INDEX($BO$15:$BO$62,_xlpm.p),_xlpm.q,N(AT224)/_xlpm.f,IF(_xlpm.q&gt;=_xlpm.s,ROUND(_xlpm.q,1)&amp;" "&amp;_xlpm.ai_test&amp;" = "&amp;ROUND(_xlpm.q*_xlpm.f,1)&amp;" "&amp;_xlpm.u,ROUND(_xlpm.q,1)&amp;" "&amp;_xlpm.ai_test)),""),""))))</f>
        <v>0</v>
      </c>
      <c r="AW224" s="1047"/>
      <c r="AX224" s="1034">
        <f t="shared" si="107"/>
        <v>0</v>
      </c>
      <c r="AY224" s="1035" t="str">
        <f t="shared" si="108"/>
        <v/>
      </c>
      <c r="AZ224" s="1036">
        <f t="shared" si="113"/>
        <v>0</v>
      </c>
      <c r="BA224" s="1037" t="str">
        <f t="shared" si="109"/>
        <v/>
      </c>
      <c r="BB224" s="1038"/>
      <c r="BC224" s="1039">
        <f t="shared" si="114"/>
        <v>0</v>
      </c>
      <c r="BD224" s="1040" t="str">
        <f t="shared" si="110"/>
        <v/>
      </c>
      <c r="BE224" s="227" t="s">
        <v>22</v>
      </c>
      <c r="BF224" s="1019">
        <f t="shared" si="111"/>
        <v>0</v>
      </c>
      <c r="BG224" s="1020">
        <f t="shared" si="112"/>
        <v>0</v>
      </c>
      <c r="BH224"/>
      <c r="BQ224"/>
      <c r="BR224"/>
      <c r="BS224"/>
      <c r="BT224"/>
      <c r="BU224"/>
      <c r="BV224"/>
      <c r="BW224" s="959" t="str">
        <f t="shared" si="93"/>
        <v>►</v>
      </c>
      <c r="BX224"/>
      <c r="BY224"/>
      <c r="BZ224"/>
      <c r="CA224"/>
      <c r="CB224"/>
      <c r="CC224" s="856"/>
      <c r="CD224"/>
      <c r="CE224"/>
      <c r="CF224"/>
      <c r="CG224"/>
      <c r="CH224"/>
      <c r="CI224"/>
      <c r="CJ224"/>
      <c r="CL224"/>
      <c r="CM224"/>
      <c r="CN224"/>
      <c r="CO224"/>
      <c r="CP224"/>
      <c r="CQ224"/>
      <c r="CR224"/>
      <c r="CT224"/>
      <c r="CU224"/>
      <c r="CV224"/>
      <c r="CW224"/>
      <c r="CX224"/>
      <c r="CY224"/>
      <c r="CZ224"/>
      <c r="DB224" s="3">
        <v>1</v>
      </c>
    </row>
    <row r="225" spans="1:106" s="709" customFormat="1" ht="21" customHeight="1">
      <c r="A225" s="936" t="s">
        <v>22</v>
      </c>
      <c r="B225" s="952" t="str">
        <f t="shared" si="92"/>
        <v>►</v>
      </c>
      <c r="C225" s="993" cm="1">
        <f t="array" ref="C225">SUMPRODUCT(LEN(D225:J225))</f>
        <v>0</v>
      </c>
      <c r="D225" s="167"/>
      <c r="E225" s="172"/>
      <c r="F225" s="172"/>
      <c r="G225" s="172"/>
      <c r="H225" s="172"/>
      <c r="I225" s="172"/>
      <c r="J225" s="173"/>
      <c r="K225" s="442" t="s">
        <v>22</v>
      </c>
      <c r="L225" s="104" t="s">
        <v>16</v>
      </c>
      <c r="M225" s="1172"/>
      <c r="N225" s="1172"/>
      <c r="O225" s="1172"/>
      <c r="P225" s="1173"/>
      <c r="Q225" s="1174"/>
      <c r="R225" s="1175"/>
      <c r="S225" s="1176"/>
      <c r="T225" s="1177"/>
      <c r="U225" s="5248"/>
      <c r="V225" s="1177"/>
      <c r="W225" s="5249"/>
      <c r="X225" s="5208"/>
      <c r="Y225" s="5209"/>
      <c r="Z225" s="5210"/>
      <c r="AA225" s="5211"/>
      <c r="AB225" s="1178"/>
      <c r="AC225" s="1179"/>
      <c r="AD225" s="227" t="s">
        <v>22</v>
      </c>
      <c r="AE225" s="1027" t="str">
        <f t="shared" si="94"/>
        <v>►</v>
      </c>
      <c r="AF225" s="1028" t="str">
        <f t="shared" si="95"/>
        <v/>
      </c>
      <c r="AG225" s="1029" t="str">
        <f t="shared" si="96"/>
        <v/>
      </c>
      <c r="AH225" s="1028" t="str">
        <f t="shared" si="97"/>
        <v/>
      </c>
      <c r="AI225" s="1029" t="str">
        <f t="shared" si="98"/>
        <v/>
      </c>
      <c r="AJ225" s="1029">
        <f t="shared" si="99"/>
        <v>0</v>
      </c>
      <c r="AK225" s="1043" t="str" cm="1">
        <f t="array" ref="AK225">IF(AE225&lt;&gt;"A","",IFERROR((IFERROR(_xlfn.XLOOKUP(TRIM(SUBSTITUTE(U225,CHAR(160)," ")),$BI$15:$BI$62,$BL$15:$BL$62),IFERROR(_xlfn.XLOOKUP(TRIM(SUBSTITUTE(U225,CHAR(160)," ")),$BJ$15:$BJ$62,$BL$15:$BL$62),_xlfn.XLOOKUP(TRIM(SUBSTITUTE(U225,CHAR(160)," ")),$BK$15:$BK$62,$BL$15:$BL$62))))*T225*IF(ISBLANK(Q225),1,Q225)+IFERROR(_xlfn.XLOOKUP("RECHERCHEX",TRIM(L225:AC225),L225:AC225),0),0))</f>
        <v/>
      </c>
      <c r="AL225" s="1030">
        <f t="shared" si="100"/>
        <v>0</v>
      </c>
      <c r="AM225" s="5254" t="str">
        <f t="shared" si="115"/>
        <v/>
      </c>
      <c r="AN225" s="1031">
        <f t="shared" si="101"/>
        <v>0</v>
      </c>
      <c r="AO225" s="1031">
        <f t="shared" si="102"/>
        <v>0</v>
      </c>
      <c r="AP225" s="1044">
        <f t="shared" si="103"/>
        <v>0</v>
      </c>
      <c r="AQ225" s="5257" t="str">
        <f t="shared" si="104"/>
        <v/>
      </c>
      <c r="AR225" s="1056"/>
      <c r="AS225" s="1056"/>
      <c r="AT225" s="1045">
        <f t="shared" si="105"/>
        <v>0</v>
      </c>
      <c r="AU225" s="1046">
        <f t="shared" si="106"/>
        <v>0</v>
      </c>
      <c r="AV225" s="1059" cm="1">
        <f t="array" ref="AV225">IF(AJ225&lt;&gt;1,0,IF(OR(AT225="",N(AT225)&lt;=0.000000001),"",IF(OR(AN225="",N(AN225)&lt;=0.000000001),0,IF(ISNUMBER(AT225),IFERROR(_xlfn.LET(_xlpm.ai_test,TRIM(AI225),_xlpm.r,IFERROR(_xlfn.XLOOKUP(_xlpm.ai_test,$BI$15:$BI$62,ROW($BI$15:$BI$62),0,1),IFERROR(_xlfn.XLOOKUP(_xlpm.ai_test,$BJ$15:$BJ$62,ROW($BJ$15:$BJ$62),0,1),_xlfn.XLOOKUP(_xlpm.ai_test,$BK$15:$BK$62,ROW($BK$15:$BK$62),0,1))),_xlpm.p,_xlpm.r-MIN(ROW($BI$15:$BI$62))+1,_xlpm.f,INDEX($BL$15:$BL$62,_xlpm.p),_xlpm.u,INDEX($BM$15:$BM$62,_xlpm.p),_xlpm.s,INDEX($BO$15:$BO$62,_xlpm.p),_xlpm.q,N(AT225)/_xlpm.f,IF(_xlpm.q&gt;=_xlpm.s,ROUND(_xlpm.q,1)&amp;" "&amp;_xlpm.ai_test&amp;" = "&amp;ROUND(_xlpm.q*_xlpm.f,1)&amp;" "&amp;_xlpm.u,ROUND(_xlpm.q,1)&amp;" "&amp;_xlpm.ai_test)),""),""))))</f>
        <v>0</v>
      </c>
      <c r="AW225" s="1047"/>
      <c r="AX225" s="1045">
        <f t="shared" si="107"/>
        <v>0</v>
      </c>
      <c r="AY225" s="1046" t="str">
        <f t="shared" si="108"/>
        <v/>
      </c>
      <c r="AZ225" s="1048">
        <f t="shared" si="113"/>
        <v>0</v>
      </c>
      <c r="BA225" s="1049" t="str">
        <f t="shared" si="109"/>
        <v/>
      </c>
      <c r="BB225" s="1038"/>
      <c r="BC225" s="1050">
        <f t="shared" si="114"/>
        <v>0</v>
      </c>
      <c r="BD225" s="1040" t="str">
        <f t="shared" si="110"/>
        <v/>
      </c>
      <c r="BE225" s="227" t="s">
        <v>22</v>
      </c>
      <c r="BF225" s="1019">
        <f t="shared" si="111"/>
        <v>0</v>
      </c>
      <c r="BG225" s="1020">
        <f t="shared" si="112"/>
        <v>0</v>
      </c>
      <c r="BH225"/>
      <c r="BQ225"/>
      <c r="BR225"/>
      <c r="BS225"/>
      <c r="BT225"/>
      <c r="BU225"/>
      <c r="BV225"/>
      <c r="BW225" s="959" t="str">
        <f t="shared" si="93"/>
        <v>►</v>
      </c>
      <c r="BX225"/>
      <c r="BY225"/>
      <c r="BZ225"/>
      <c r="CA225"/>
      <c r="CB225"/>
      <c r="CC225" s="856"/>
      <c r="CD225"/>
      <c r="CE225"/>
      <c r="CF225"/>
      <c r="CG225"/>
      <c r="CH225"/>
      <c r="CI225"/>
      <c r="CJ225"/>
      <c r="CL225"/>
      <c r="CM225"/>
      <c r="CN225"/>
      <c r="CO225"/>
      <c r="CP225"/>
      <c r="CQ225"/>
      <c r="CR225"/>
      <c r="CT225"/>
      <c r="CU225"/>
      <c r="CV225"/>
      <c r="CW225"/>
      <c r="CX225"/>
      <c r="CY225"/>
      <c r="CZ225"/>
      <c r="DB225" s="3">
        <v>1</v>
      </c>
    </row>
    <row r="226" spans="1:106" s="709" customFormat="1" ht="21" customHeight="1">
      <c r="A226" s="936" t="s">
        <v>22</v>
      </c>
      <c r="B226" s="952" t="str">
        <f t="shared" si="92"/>
        <v>►</v>
      </c>
      <c r="C226" s="993" cm="1">
        <f t="array" ref="C226">SUMPRODUCT(LEN(D226:J226))</f>
        <v>0</v>
      </c>
      <c r="D226" s="167"/>
      <c r="E226" s="172"/>
      <c r="F226" s="172"/>
      <c r="G226" s="172"/>
      <c r="H226" s="172"/>
      <c r="I226" s="172"/>
      <c r="J226" s="173"/>
      <c r="K226" s="442" t="s">
        <v>22</v>
      </c>
      <c r="L226" s="104" t="s">
        <v>16</v>
      </c>
      <c r="M226" s="1172"/>
      <c r="N226" s="1172"/>
      <c r="O226" s="1172"/>
      <c r="P226" s="1173"/>
      <c r="Q226" s="1174"/>
      <c r="R226" s="1175"/>
      <c r="S226" s="1176"/>
      <c r="T226" s="1177"/>
      <c r="U226" s="5248"/>
      <c r="V226" s="1177"/>
      <c r="W226" s="5249"/>
      <c r="X226" s="5208"/>
      <c r="Y226" s="5209"/>
      <c r="Z226" s="5210"/>
      <c r="AA226" s="5211"/>
      <c r="AB226" s="1178"/>
      <c r="AC226" s="1179"/>
      <c r="AD226" s="227" t="s">
        <v>22</v>
      </c>
      <c r="AE226" s="1027" t="str">
        <f t="shared" si="94"/>
        <v>►</v>
      </c>
      <c r="AF226" s="1028" t="str">
        <f t="shared" si="95"/>
        <v/>
      </c>
      <c r="AG226" s="1029" t="str">
        <f t="shared" si="96"/>
        <v/>
      </c>
      <c r="AH226" s="1028" t="str">
        <f t="shared" si="97"/>
        <v/>
      </c>
      <c r="AI226" s="1029" t="str">
        <f t="shared" si="98"/>
        <v/>
      </c>
      <c r="AJ226" s="1029">
        <f t="shared" si="99"/>
        <v>0</v>
      </c>
      <c r="AK226" s="1043" t="str" cm="1">
        <f t="array" ref="AK226">IF(AE226&lt;&gt;"A","",IFERROR((IFERROR(_xlfn.XLOOKUP(TRIM(SUBSTITUTE(U226,CHAR(160)," ")),$BI$15:$BI$62,$BL$15:$BL$62),IFERROR(_xlfn.XLOOKUP(TRIM(SUBSTITUTE(U226,CHAR(160)," ")),$BJ$15:$BJ$62,$BL$15:$BL$62),_xlfn.XLOOKUP(TRIM(SUBSTITUTE(U226,CHAR(160)," ")),$BK$15:$BK$62,$BL$15:$BL$62))))*T226*IF(ISBLANK(Q226),1,Q226)+IFERROR(_xlfn.XLOOKUP("RECHERCHEX",TRIM(L226:AC226),L226:AC226),0),0))</f>
        <v/>
      </c>
      <c r="AL226" s="1030">
        <f t="shared" si="100"/>
        <v>0</v>
      </c>
      <c r="AM226" s="5254" t="str">
        <f t="shared" si="115"/>
        <v/>
      </c>
      <c r="AN226" s="1031">
        <f t="shared" si="101"/>
        <v>0</v>
      </c>
      <c r="AO226" s="1031">
        <f t="shared" si="102"/>
        <v>0</v>
      </c>
      <c r="AP226" s="1032">
        <f t="shared" si="103"/>
        <v>0</v>
      </c>
      <c r="AQ226" s="5255" t="str">
        <f t="shared" si="104"/>
        <v/>
      </c>
      <c r="AR226" s="1056"/>
      <c r="AS226" s="1056"/>
      <c r="AT226" s="1034">
        <f t="shared" si="105"/>
        <v>0</v>
      </c>
      <c r="AU226" s="1035">
        <f t="shared" si="106"/>
        <v>0</v>
      </c>
      <c r="AV226" s="1057" cm="1">
        <f t="array" ref="AV226">IF(AJ226&lt;&gt;1,0,IF(OR(AT226="",N(AT226)&lt;=0.000000001),"",IF(OR(AN226="",N(AN226)&lt;=0.000000001),0,IF(ISNUMBER(AT226),IFERROR(_xlfn.LET(_xlpm.ai_test,TRIM(AI226),_xlpm.r,IFERROR(_xlfn.XLOOKUP(_xlpm.ai_test,$BI$15:$BI$62,ROW($BI$15:$BI$62),0,1),IFERROR(_xlfn.XLOOKUP(_xlpm.ai_test,$BJ$15:$BJ$62,ROW($BJ$15:$BJ$62),0,1),_xlfn.XLOOKUP(_xlpm.ai_test,$BK$15:$BK$62,ROW($BK$15:$BK$62),0,1))),_xlpm.p,_xlpm.r-MIN(ROW($BI$15:$BI$62))+1,_xlpm.f,INDEX($BL$15:$BL$62,_xlpm.p),_xlpm.u,INDEX($BM$15:$BM$62,_xlpm.p),_xlpm.s,INDEX($BO$15:$BO$62,_xlpm.p),_xlpm.q,N(AT226)/_xlpm.f,IF(_xlpm.q&gt;=_xlpm.s,ROUND(_xlpm.q,1)&amp;" "&amp;_xlpm.ai_test&amp;" = "&amp;ROUND(_xlpm.q*_xlpm.f,1)&amp;" "&amp;_xlpm.u,ROUND(_xlpm.q,1)&amp;" "&amp;_xlpm.ai_test)),""),""))))</f>
        <v>0</v>
      </c>
      <c r="AW226" s="1047"/>
      <c r="AX226" s="1034">
        <f t="shared" si="107"/>
        <v>0</v>
      </c>
      <c r="AY226" s="1035" t="str">
        <f t="shared" si="108"/>
        <v/>
      </c>
      <c r="AZ226" s="1036">
        <f t="shared" si="113"/>
        <v>0</v>
      </c>
      <c r="BA226" s="1037" t="str">
        <f t="shared" si="109"/>
        <v/>
      </c>
      <c r="BB226" s="1038"/>
      <c r="BC226" s="1039">
        <f t="shared" si="114"/>
        <v>0</v>
      </c>
      <c r="BD226" s="1040" t="str">
        <f t="shared" si="110"/>
        <v/>
      </c>
      <c r="BE226" s="227" t="s">
        <v>22</v>
      </c>
      <c r="BF226" s="1019">
        <f t="shared" si="111"/>
        <v>0</v>
      </c>
      <c r="BG226" s="1020">
        <f t="shared" si="112"/>
        <v>0</v>
      </c>
      <c r="BH226"/>
      <c r="BQ226"/>
      <c r="BR226"/>
      <c r="BS226"/>
      <c r="BT226"/>
      <c r="BU226"/>
      <c r="BV226"/>
      <c r="BW226" s="959" t="str">
        <f t="shared" si="93"/>
        <v>►</v>
      </c>
      <c r="BX226"/>
      <c r="BY226"/>
      <c r="BZ226"/>
      <c r="CA226"/>
      <c r="CB226"/>
      <c r="CC226" s="856"/>
      <c r="CD226"/>
      <c r="CE226"/>
      <c r="CF226"/>
      <c r="CG226"/>
      <c r="CH226"/>
      <c r="CI226"/>
      <c r="CJ226"/>
      <c r="CL226"/>
      <c r="CM226"/>
      <c r="CN226"/>
      <c r="CO226"/>
      <c r="CP226"/>
      <c r="CQ226"/>
      <c r="CR226"/>
      <c r="CT226"/>
      <c r="CU226"/>
      <c r="CV226"/>
      <c r="CW226"/>
      <c r="CX226"/>
      <c r="CY226"/>
      <c r="CZ226"/>
      <c r="DB226" s="3">
        <v>1</v>
      </c>
    </row>
    <row r="227" spans="1:106" s="709" customFormat="1" ht="21" customHeight="1">
      <c r="A227" s="936" t="s">
        <v>22</v>
      </c>
      <c r="B227" s="952" t="str">
        <f t="shared" si="92"/>
        <v>►</v>
      </c>
      <c r="C227" s="993" cm="1">
        <f t="array" ref="C227">SUMPRODUCT(LEN(D227:J227))</f>
        <v>0</v>
      </c>
      <c r="D227" s="167"/>
      <c r="E227" s="172"/>
      <c r="F227" s="172"/>
      <c r="G227" s="172"/>
      <c r="H227" s="172"/>
      <c r="I227" s="172"/>
      <c r="J227" s="173"/>
      <c r="K227" s="442" t="s">
        <v>22</v>
      </c>
      <c r="L227" s="104" t="s">
        <v>16</v>
      </c>
      <c r="M227" s="1172"/>
      <c r="N227" s="1172"/>
      <c r="O227" s="1172"/>
      <c r="P227" s="1173"/>
      <c r="Q227" s="1174"/>
      <c r="R227" s="1175"/>
      <c r="S227" s="1176"/>
      <c r="T227" s="1177"/>
      <c r="U227" s="5248"/>
      <c r="V227" s="1177"/>
      <c r="W227" s="5249"/>
      <c r="X227" s="5208"/>
      <c r="Y227" s="5209"/>
      <c r="Z227" s="5210"/>
      <c r="AA227" s="5211"/>
      <c r="AB227" s="1178"/>
      <c r="AC227" s="1179"/>
      <c r="AD227" s="227" t="s">
        <v>22</v>
      </c>
      <c r="AE227" s="1027" t="str">
        <f t="shared" si="94"/>
        <v>►</v>
      </c>
      <c r="AF227" s="1028" t="str">
        <f t="shared" si="95"/>
        <v/>
      </c>
      <c r="AG227" s="1029" t="str">
        <f t="shared" si="96"/>
        <v/>
      </c>
      <c r="AH227" s="1028" t="str">
        <f t="shared" si="97"/>
        <v/>
      </c>
      <c r="AI227" s="1029" t="str">
        <f t="shared" si="98"/>
        <v/>
      </c>
      <c r="AJ227" s="1029">
        <f t="shared" si="99"/>
        <v>0</v>
      </c>
      <c r="AK227" s="1043" t="str" cm="1">
        <f t="array" ref="AK227">IF(AE227&lt;&gt;"A","",IFERROR((IFERROR(_xlfn.XLOOKUP(TRIM(SUBSTITUTE(U227,CHAR(160)," ")),$BI$15:$BI$62,$BL$15:$BL$62),IFERROR(_xlfn.XLOOKUP(TRIM(SUBSTITUTE(U227,CHAR(160)," ")),$BJ$15:$BJ$62,$BL$15:$BL$62),_xlfn.XLOOKUP(TRIM(SUBSTITUTE(U227,CHAR(160)," ")),$BK$15:$BK$62,$BL$15:$BL$62))))*T227*IF(ISBLANK(Q227),1,Q227)+IFERROR(_xlfn.XLOOKUP("RECHERCHEX",TRIM(L227:AC227),L227:AC227),0),0))</f>
        <v/>
      </c>
      <c r="AL227" s="1030">
        <f t="shared" si="100"/>
        <v>0</v>
      </c>
      <c r="AM227" s="5254" t="str">
        <f t="shared" si="115"/>
        <v/>
      </c>
      <c r="AN227" s="1031">
        <f t="shared" si="101"/>
        <v>0</v>
      </c>
      <c r="AO227" s="1031">
        <f t="shared" si="102"/>
        <v>0</v>
      </c>
      <c r="AP227" s="1044">
        <f t="shared" si="103"/>
        <v>0</v>
      </c>
      <c r="AQ227" s="5257" t="str">
        <f t="shared" si="104"/>
        <v/>
      </c>
      <c r="AR227" s="1056"/>
      <c r="AS227" s="1056"/>
      <c r="AT227" s="1045">
        <f t="shared" si="105"/>
        <v>0</v>
      </c>
      <c r="AU227" s="1046">
        <f t="shared" si="106"/>
        <v>0</v>
      </c>
      <c r="AV227" s="1059" cm="1">
        <f t="array" ref="AV227">IF(AJ227&lt;&gt;1,0,IF(OR(AT227="",N(AT227)&lt;=0.000000001),"",IF(OR(AN227="",N(AN227)&lt;=0.000000001),0,IF(ISNUMBER(AT227),IFERROR(_xlfn.LET(_xlpm.ai_test,TRIM(AI227),_xlpm.r,IFERROR(_xlfn.XLOOKUP(_xlpm.ai_test,$BI$15:$BI$62,ROW($BI$15:$BI$62),0,1),IFERROR(_xlfn.XLOOKUP(_xlpm.ai_test,$BJ$15:$BJ$62,ROW($BJ$15:$BJ$62),0,1),_xlfn.XLOOKUP(_xlpm.ai_test,$BK$15:$BK$62,ROW($BK$15:$BK$62),0,1))),_xlpm.p,_xlpm.r-MIN(ROW($BI$15:$BI$62))+1,_xlpm.f,INDEX($BL$15:$BL$62,_xlpm.p),_xlpm.u,INDEX($BM$15:$BM$62,_xlpm.p),_xlpm.s,INDEX($BO$15:$BO$62,_xlpm.p),_xlpm.q,N(AT227)/_xlpm.f,IF(_xlpm.q&gt;=_xlpm.s,ROUND(_xlpm.q,1)&amp;" "&amp;_xlpm.ai_test&amp;" = "&amp;ROUND(_xlpm.q*_xlpm.f,1)&amp;" "&amp;_xlpm.u,ROUND(_xlpm.q,1)&amp;" "&amp;_xlpm.ai_test)),""),""))))</f>
        <v>0</v>
      </c>
      <c r="AW227" s="1047"/>
      <c r="AX227" s="1045">
        <f t="shared" si="107"/>
        <v>0</v>
      </c>
      <c r="AY227" s="1046" t="str">
        <f t="shared" si="108"/>
        <v/>
      </c>
      <c r="AZ227" s="1048">
        <f t="shared" si="113"/>
        <v>0</v>
      </c>
      <c r="BA227" s="1049" t="str">
        <f t="shared" si="109"/>
        <v/>
      </c>
      <c r="BB227" s="1038"/>
      <c r="BC227" s="1050">
        <f t="shared" si="114"/>
        <v>0</v>
      </c>
      <c r="BD227" s="1040" t="str">
        <f t="shared" si="110"/>
        <v/>
      </c>
      <c r="BE227" s="227" t="s">
        <v>22</v>
      </c>
      <c r="BF227" s="1019">
        <f t="shared" si="111"/>
        <v>0</v>
      </c>
      <c r="BG227" s="1020">
        <f t="shared" si="112"/>
        <v>0</v>
      </c>
      <c r="BH227"/>
      <c r="BQ227"/>
      <c r="BR227"/>
      <c r="BS227"/>
      <c r="BT227"/>
      <c r="BU227"/>
      <c r="BV227"/>
      <c r="BW227" s="959" t="str">
        <f t="shared" si="93"/>
        <v>►</v>
      </c>
      <c r="BX227"/>
      <c r="BY227"/>
      <c r="BZ227"/>
      <c r="CA227"/>
      <c r="CB227"/>
      <c r="CC227" s="856"/>
      <c r="CD227"/>
      <c r="CE227"/>
      <c r="CF227"/>
      <c r="CG227"/>
      <c r="CH227"/>
      <c r="CI227"/>
      <c r="CJ227"/>
      <c r="CL227"/>
      <c r="CM227"/>
      <c r="CN227"/>
      <c r="CO227"/>
      <c r="CP227"/>
      <c r="CQ227"/>
      <c r="CR227"/>
      <c r="CT227"/>
      <c r="CU227"/>
      <c r="CV227"/>
      <c r="CW227"/>
      <c r="CX227"/>
      <c r="CY227"/>
      <c r="CZ227"/>
      <c r="DB227" s="3">
        <v>1</v>
      </c>
    </row>
    <row r="228" spans="1:106" s="709" customFormat="1" ht="21" customHeight="1">
      <c r="A228" s="936" t="s">
        <v>22</v>
      </c>
      <c r="B228" s="952" t="str">
        <f t="shared" si="92"/>
        <v>►</v>
      </c>
      <c r="C228" s="993" cm="1">
        <f t="array" ref="C228">SUMPRODUCT(LEN(D228:J228))</f>
        <v>0</v>
      </c>
      <c r="D228" s="167"/>
      <c r="E228" s="172"/>
      <c r="F228" s="172"/>
      <c r="G228" s="172"/>
      <c r="H228" s="172"/>
      <c r="I228" s="172"/>
      <c r="J228" s="173"/>
      <c r="K228" s="442" t="s">
        <v>22</v>
      </c>
      <c r="L228" s="104" t="s">
        <v>16</v>
      </c>
      <c r="M228" s="1172"/>
      <c r="N228" s="1172"/>
      <c r="O228" s="1172"/>
      <c r="P228" s="1173"/>
      <c r="Q228" s="1174"/>
      <c r="R228" s="1175"/>
      <c r="S228" s="1176"/>
      <c r="T228" s="1177"/>
      <c r="U228" s="5248"/>
      <c r="V228" s="1177"/>
      <c r="W228" s="5249"/>
      <c r="X228" s="5208"/>
      <c r="Y228" s="5209"/>
      <c r="Z228" s="5210"/>
      <c r="AA228" s="5211"/>
      <c r="AB228" s="1178"/>
      <c r="AC228" s="1179"/>
      <c r="AD228" s="227" t="s">
        <v>22</v>
      </c>
      <c r="AE228" s="1027" t="str">
        <f t="shared" si="94"/>
        <v>►</v>
      </c>
      <c r="AF228" s="1028" t="str">
        <f t="shared" si="95"/>
        <v/>
      </c>
      <c r="AG228" s="1029" t="str">
        <f t="shared" si="96"/>
        <v/>
      </c>
      <c r="AH228" s="1028" t="str">
        <f t="shared" si="97"/>
        <v/>
      </c>
      <c r="AI228" s="1029" t="str">
        <f t="shared" si="98"/>
        <v/>
      </c>
      <c r="AJ228" s="1029">
        <f t="shared" si="99"/>
        <v>0</v>
      </c>
      <c r="AK228" s="1043" t="str" cm="1">
        <f t="array" ref="AK228">IF(AE228&lt;&gt;"A","",IFERROR((IFERROR(_xlfn.XLOOKUP(TRIM(SUBSTITUTE(U228,CHAR(160)," ")),$BI$15:$BI$62,$BL$15:$BL$62),IFERROR(_xlfn.XLOOKUP(TRIM(SUBSTITUTE(U228,CHAR(160)," ")),$BJ$15:$BJ$62,$BL$15:$BL$62),_xlfn.XLOOKUP(TRIM(SUBSTITUTE(U228,CHAR(160)," ")),$BK$15:$BK$62,$BL$15:$BL$62))))*T228*IF(ISBLANK(Q228),1,Q228)+IFERROR(_xlfn.XLOOKUP("RECHERCHEX",TRIM(L228:AC228),L228:AC228),0),0))</f>
        <v/>
      </c>
      <c r="AL228" s="1030">
        <f t="shared" si="100"/>
        <v>0</v>
      </c>
      <c r="AM228" s="5254" t="str">
        <f t="shared" si="115"/>
        <v/>
      </c>
      <c r="AN228" s="1031">
        <f t="shared" si="101"/>
        <v>0</v>
      </c>
      <c r="AO228" s="1031">
        <f t="shared" si="102"/>
        <v>0</v>
      </c>
      <c r="AP228" s="1032">
        <f t="shared" si="103"/>
        <v>0</v>
      </c>
      <c r="AQ228" s="5255" t="str">
        <f t="shared" si="104"/>
        <v/>
      </c>
      <c r="AR228" s="1056"/>
      <c r="AS228" s="1056"/>
      <c r="AT228" s="1034">
        <f t="shared" si="105"/>
        <v>0</v>
      </c>
      <c r="AU228" s="1035">
        <f t="shared" si="106"/>
        <v>0</v>
      </c>
      <c r="AV228" s="1057" cm="1">
        <f t="array" ref="AV228">IF(AJ228&lt;&gt;1,0,IF(OR(AT228="",N(AT228)&lt;=0.000000001),"",IF(OR(AN228="",N(AN228)&lt;=0.000000001),0,IF(ISNUMBER(AT228),IFERROR(_xlfn.LET(_xlpm.ai_test,TRIM(AI228),_xlpm.r,IFERROR(_xlfn.XLOOKUP(_xlpm.ai_test,$BI$15:$BI$62,ROW($BI$15:$BI$62),0,1),IFERROR(_xlfn.XLOOKUP(_xlpm.ai_test,$BJ$15:$BJ$62,ROW($BJ$15:$BJ$62),0,1),_xlfn.XLOOKUP(_xlpm.ai_test,$BK$15:$BK$62,ROW($BK$15:$BK$62),0,1))),_xlpm.p,_xlpm.r-MIN(ROW($BI$15:$BI$62))+1,_xlpm.f,INDEX($BL$15:$BL$62,_xlpm.p),_xlpm.u,INDEX($BM$15:$BM$62,_xlpm.p),_xlpm.s,INDEX($BO$15:$BO$62,_xlpm.p),_xlpm.q,N(AT228)/_xlpm.f,IF(_xlpm.q&gt;=_xlpm.s,ROUND(_xlpm.q,1)&amp;" "&amp;_xlpm.ai_test&amp;" = "&amp;ROUND(_xlpm.q*_xlpm.f,1)&amp;" "&amp;_xlpm.u,ROUND(_xlpm.q,1)&amp;" "&amp;_xlpm.ai_test)),""),""))))</f>
        <v>0</v>
      </c>
      <c r="AW228" s="1047"/>
      <c r="AX228" s="1034">
        <f t="shared" si="107"/>
        <v>0</v>
      </c>
      <c r="AY228" s="1035" t="str">
        <f t="shared" si="108"/>
        <v/>
      </c>
      <c r="AZ228" s="1036">
        <f t="shared" si="113"/>
        <v>0</v>
      </c>
      <c r="BA228" s="1037" t="str">
        <f t="shared" si="109"/>
        <v/>
      </c>
      <c r="BB228" s="1038"/>
      <c r="BC228" s="1039">
        <f t="shared" si="114"/>
        <v>0</v>
      </c>
      <c r="BD228" s="1040" t="str">
        <f t="shared" si="110"/>
        <v/>
      </c>
      <c r="BE228" s="227" t="s">
        <v>22</v>
      </c>
      <c r="BF228" s="1019">
        <f t="shared" si="111"/>
        <v>0</v>
      </c>
      <c r="BG228" s="1020">
        <f t="shared" si="112"/>
        <v>0</v>
      </c>
      <c r="BH228"/>
      <c r="BQ228"/>
      <c r="BR228"/>
      <c r="BS228"/>
      <c r="BT228"/>
      <c r="BU228"/>
      <c r="BV228"/>
      <c r="BW228" s="959" t="str">
        <f t="shared" si="93"/>
        <v>►</v>
      </c>
      <c r="BX228"/>
      <c r="BY228"/>
      <c r="BZ228"/>
      <c r="CA228"/>
      <c r="CB228"/>
      <c r="CC228" s="856"/>
      <c r="CD228"/>
      <c r="CE228"/>
      <c r="CF228"/>
      <c r="CG228"/>
      <c r="CH228"/>
      <c r="CI228"/>
      <c r="CJ228"/>
      <c r="CL228"/>
      <c r="CM228"/>
      <c r="CN228"/>
      <c r="CO228"/>
      <c r="CP228"/>
      <c r="CQ228"/>
      <c r="CR228"/>
      <c r="CT228"/>
      <c r="CU228"/>
      <c r="CV228"/>
      <c r="CW228"/>
      <c r="CX228"/>
      <c r="CY228"/>
      <c r="CZ228"/>
      <c r="DB228" s="3">
        <v>1</v>
      </c>
    </row>
    <row r="229" spans="1:106" s="709" customFormat="1" ht="21" customHeight="1">
      <c r="A229" s="936" t="s">
        <v>22</v>
      </c>
      <c r="B229" s="952" t="str">
        <f t="shared" si="92"/>
        <v>►</v>
      </c>
      <c r="C229" s="993" cm="1">
        <f t="array" ref="C229">SUMPRODUCT(LEN(D229:J229))</f>
        <v>0</v>
      </c>
      <c r="D229" s="167"/>
      <c r="E229" s="172"/>
      <c r="F229" s="172"/>
      <c r="G229" s="172"/>
      <c r="H229" s="172"/>
      <c r="I229" s="172"/>
      <c r="J229" s="173"/>
      <c r="K229" s="442" t="s">
        <v>22</v>
      </c>
      <c r="L229" s="104" t="s">
        <v>16</v>
      </c>
      <c r="M229" s="1172"/>
      <c r="N229" s="1172"/>
      <c r="O229" s="1172"/>
      <c r="P229" s="1173"/>
      <c r="Q229" s="1174"/>
      <c r="R229" s="1175"/>
      <c r="S229" s="1176"/>
      <c r="T229" s="1177"/>
      <c r="U229" s="5248"/>
      <c r="V229" s="1177"/>
      <c r="W229" s="5249"/>
      <c r="X229" s="5208"/>
      <c r="Y229" s="5209"/>
      <c r="Z229" s="5210"/>
      <c r="AA229" s="5211"/>
      <c r="AB229" s="1178"/>
      <c r="AC229" s="1179"/>
      <c r="AD229" s="227" t="s">
        <v>22</v>
      </c>
      <c r="AE229" s="1027" t="str">
        <f t="shared" si="94"/>
        <v>►</v>
      </c>
      <c r="AF229" s="1028" t="str">
        <f t="shared" si="95"/>
        <v/>
      </c>
      <c r="AG229" s="1029" t="str">
        <f t="shared" si="96"/>
        <v/>
      </c>
      <c r="AH229" s="1028" t="str">
        <f t="shared" si="97"/>
        <v/>
      </c>
      <c r="AI229" s="1029" t="str">
        <f t="shared" si="98"/>
        <v/>
      </c>
      <c r="AJ229" s="1029">
        <f t="shared" si="99"/>
        <v>0</v>
      </c>
      <c r="AK229" s="1043" t="str" cm="1">
        <f t="array" ref="AK229">IF(AE229&lt;&gt;"A","",IFERROR((IFERROR(_xlfn.XLOOKUP(TRIM(SUBSTITUTE(U229,CHAR(160)," ")),$BI$15:$BI$62,$BL$15:$BL$62),IFERROR(_xlfn.XLOOKUP(TRIM(SUBSTITUTE(U229,CHAR(160)," ")),$BJ$15:$BJ$62,$BL$15:$BL$62),_xlfn.XLOOKUP(TRIM(SUBSTITUTE(U229,CHAR(160)," ")),$BK$15:$BK$62,$BL$15:$BL$62))))*T229*IF(ISBLANK(Q229),1,Q229)+IFERROR(_xlfn.XLOOKUP("RECHERCHEX",TRIM(L229:AC229),L229:AC229),0),0))</f>
        <v/>
      </c>
      <c r="AL229" s="1030">
        <f t="shared" si="100"/>
        <v>0</v>
      </c>
      <c r="AM229" s="5254" t="str">
        <f t="shared" si="115"/>
        <v/>
      </c>
      <c r="AN229" s="1031">
        <f t="shared" si="101"/>
        <v>0</v>
      </c>
      <c r="AO229" s="1031">
        <f t="shared" si="102"/>
        <v>0</v>
      </c>
      <c r="AP229" s="1044">
        <f t="shared" si="103"/>
        <v>0</v>
      </c>
      <c r="AQ229" s="5257" t="str">
        <f t="shared" si="104"/>
        <v/>
      </c>
      <c r="AR229" s="1056"/>
      <c r="AS229" s="1056"/>
      <c r="AT229" s="1045">
        <f t="shared" si="105"/>
        <v>0</v>
      </c>
      <c r="AU229" s="1046">
        <f t="shared" si="106"/>
        <v>0</v>
      </c>
      <c r="AV229" s="1059" cm="1">
        <f t="array" ref="AV229">IF(AJ229&lt;&gt;1,0,IF(OR(AT229="",N(AT229)&lt;=0.000000001),"",IF(OR(AN229="",N(AN229)&lt;=0.000000001),0,IF(ISNUMBER(AT229),IFERROR(_xlfn.LET(_xlpm.ai_test,TRIM(AI229),_xlpm.r,IFERROR(_xlfn.XLOOKUP(_xlpm.ai_test,$BI$15:$BI$62,ROW($BI$15:$BI$62),0,1),IFERROR(_xlfn.XLOOKUP(_xlpm.ai_test,$BJ$15:$BJ$62,ROW($BJ$15:$BJ$62),0,1),_xlfn.XLOOKUP(_xlpm.ai_test,$BK$15:$BK$62,ROW($BK$15:$BK$62),0,1))),_xlpm.p,_xlpm.r-MIN(ROW($BI$15:$BI$62))+1,_xlpm.f,INDEX($BL$15:$BL$62,_xlpm.p),_xlpm.u,INDEX($BM$15:$BM$62,_xlpm.p),_xlpm.s,INDEX($BO$15:$BO$62,_xlpm.p),_xlpm.q,N(AT229)/_xlpm.f,IF(_xlpm.q&gt;=_xlpm.s,ROUND(_xlpm.q,1)&amp;" "&amp;_xlpm.ai_test&amp;" = "&amp;ROUND(_xlpm.q*_xlpm.f,1)&amp;" "&amp;_xlpm.u,ROUND(_xlpm.q,1)&amp;" "&amp;_xlpm.ai_test)),""),""))))</f>
        <v>0</v>
      </c>
      <c r="AW229" s="1047"/>
      <c r="AX229" s="1045">
        <f t="shared" si="107"/>
        <v>0</v>
      </c>
      <c r="AY229" s="1046" t="str">
        <f t="shared" si="108"/>
        <v/>
      </c>
      <c r="AZ229" s="1048">
        <f t="shared" si="113"/>
        <v>0</v>
      </c>
      <c r="BA229" s="1049" t="str">
        <f t="shared" si="109"/>
        <v/>
      </c>
      <c r="BB229" s="1038"/>
      <c r="BC229" s="1050">
        <f t="shared" si="114"/>
        <v>0</v>
      </c>
      <c r="BD229" s="1040" t="str">
        <f t="shared" si="110"/>
        <v/>
      </c>
      <c r="BE229" s="227" t="s">
        <v>22</v>
      </c>
      <c r="BF229" s="1019">
        <f t="shared" si="111"/>
        <v>0</v>
      </c>
      <c r="BG229" s="1020">
        <f t="shared" si="112"/>
        <v>0</v>
      </c>
      <c r="BH229"/>
      <c r="BQ229"/>
      <c r="BR229"/>
      <c r="BS229"/>
      <c r="BT229"/>
      <c r="BU229"/>
      <c r="BV229"/>
      <c r="BW229" s="959" t="str">
        <f t="shared" si="93"/>
        <v>►</v>
      </c>
      <c r="BX229"/>
      <c r="BY229"/>
      <c r="BZ229"/>
      <c r="CA229"/>
      <c r="CB229"/>
      <c r="CC229" s="856"/>
      <c r="CD229"/>
      <c r="CE229"/>
      <c r="CF229"/>
      <c r="CG229"/>
      <c r="CH229"/>
      <c r="CI229"/>
      <c r="CJ229"/>
      <c r="CL229"/>
      <c r="CM229"/>
      <c r="CN229"/>
      <c r="CO229"/>
      <c r="CP229"/>
      <c r="CQ229"/>
      <c r="CR229"/>
      <c r="CT229"/>
      <c r="CU229"/>
      <c r="CV229"/>
      <c r="CW229"/>
      <c r="CX229"/>
      <c r="CY229"/>
      <c r="CZ229"/>
      <c r="DB229" s="3">
        <v>1</v>
      </c>
    </row>
    <row r="230" spans="1:106" s="709" customFormat="1" ht="21" customHeight="1">
      <c r="A230" s="936" t="s">
        <v>22</v>
      </c>
      <c r="B230" s="952" t="str">
        <f t="shared" si="92"/>
        <v>►</v>
      </c>
      <c r="C230" s="993" cm="1">
        <f t="array" ref="C230">SUMPRODUCT(LEN(D230:J230))</f>
        <v>0</v>
      </c>
      <c r="D230" s="167"/>
      <c r="E230" s="172"/>
      <c r="F230" s="172"/>
      <c r="G230" s="172"/>
      <c r="H230" s="172"/>
      <c r="I230" s="172"/>
      <c r="J230" s="173"/>
      <c r="K230" s="442" t="s">
        <v>22</v>
      </c>
      <c r="L230" s="104" t="s">
        <v>16</v>
      </c>
      <c r="M230" s="1172"/>
      <c r="N230" s="1172"/>
      <c r="O230" s="1172"/>
      <c r="P230" s="1173"/>
      <c r="Q230" s="1174"/>
      <c r="R230" s="1175"/>
      <c r="S230" s="1176"/>
      <c r="T230" s="1177"/>
      <c r="U230" s="5248"/>
      <c r="V230" s="1177"/>
      <c r="W230" s="5249"/>
      <c r="X230" s="5208"/>
      <c r="Y230" s="5209"/>
      <c r="Z230" s="5210"/>
      <c r="AA230" s="5211"/>
      <c r="AB230" s="1178"/>
      <c r="AC230" s="1179"/>
      <c r="AD230" s="227" t="s">
        <v>22</v>
      </c>
      <c r="AE230" s="1027" t="str">
        <f t="shared" si="94"/>
        <v>►</v>
      </c>
      <c r="AF230" s="1028" t="str">
        <f t="shared" si="95"/>
        <v/>
      </c>
      <c r="AG230" s="1029" t="str">
        <f t="shared" si="96"/>
        <v/>
      </c>
      <c r="AH230" s="1028" t="str">
        <f t="shared" si="97"/>
        <v/>
      </c>
      <c r="AI230" s="1029" t="str">
        <f t="shared" si="98"/>
        <v/>
      </c>
      <c r="AJ230" s="1029">
        <f t="shared" si="99"/>
        <v>0</v>
      </c>
      <c r="AK230" s="1043" t="str" cm="1">
        <f t="array" ref="AK230">IF(AE230&lt;&gt;"A","",IFERROR((IFERROR(_xlfn.XLOOKUP(TRIM(SUBSTITUTE(U230,CHAR(160)," ")),$BI$15:$BI$62,$BL$15:$BL$62),IFERROR(_xlfn.XLOOKUP(TRIM(SUBSTITUTE(U230,CHAR(160)," ")),$BJ$15:$BJ$62,$BL$15:$BL$62),_xlfn.XLOOKUP(TRIM(SUBSTITUTE(U230,CHAR(160)," ")),$BK$15:$BK$62,$BL$15:$BL$62))))*T230*IF(ISBLANK(Q230),1,Q230)+IFERROR(_xlfn.XLOOKUP("RECHERCHEX",TRIM(L230:AC230),L230:AC230),0),0))</f>
        <v/>
      </c>
      <c r="AL230" s="1030">
        <f t="shared" si="100"/>
        <v>0</v>
      </c>
      <c r="AM230" s="5254" t="str">
        <f t="shared" si="115"/>
        <v/>
      </c>
      <c r="AN230" s="1031">
        <f t="shared" si="101"/>
        <v>0</v>
      </c>
      <c r="AO230" s="1031">
        <f t="shared" si="102"/>
        <v>0</v>
      </c>
      <c r="AP230" s="1032">
        <f t="shared" si="103"/>
        <v>0</v>
      </c>
      <c r="AQ230" s="5255" t="str">
        <f t="shared" si="104"/>
        <v/>
      </c>
      <c r="AR230" s="1056"/>
      <c r="AS230" s="1056"/>
      <c r="AT230" s="1034">
        <f t="shared" si="105"/>
        <v>0</v>
      </c>
      <c r="AU230" s="1035">
        <f t="shared" si="106"/>
        <v>0</v>
      </c>
      <c r="AV230" s="1057" cm="1">
        <f t="array" ref="AV230">IF(AJ230&lt;&gt;1,0,IF(OR(AT230="",N(AT230)&lt;=0.000000001),"",IF(OR(AN230="",N(AN230)&lt;=0.000000001),0,IF(ISNUMBER(AT230),IFERROR(_xlfn.LET(_xlpm.ai_test,TRIM(AI230),_xlpm.r,IFERROR(_xlfn.XLOOKUP(_xlpm.ai_test,$BI$15:$BI$62,ROW($BI$15:$BI$62),0,1),IFERROR(_xlfn.XLOOKUP(_xlpm.ai_test,$BJ$15:$BJ$62,ROW($BJ$15:$BJ$62),0,1),_xlfn.XLOOKUP(_xlpm.ai_test,$BK$15:$BK$62,ROW($BK$15:$BK$62),0,1))),_xlpm.p,_xlpm.r-MIN(ROW($BI$15:$BI$62))+1,_xlpm.f,INDEX($BL$15:$BL$62,_xlpm.p),_xlpm.u,INDEX($BM$15:$BM$62,_xlpm.p),_xlpm.s,INDEX($BO$15:$BO$62,_xlpm.p),_xlpm.q,N(AT230)/_xlpm.f,IF(_xlpm.q&gt;=_xlpm.s,ROUND(_xlpm.q,1)&amp;" "&amp;_xlpm.ai_test&amp;" = "&amp;ROUND(_xlpm.q*_xlpm.f,1)&amp;" "&amp;_xlpm.u,ROUND(_xlpm.q,1)&amp;" "&amp;_xlpm.ai_test)),""),""))))</f>
        <v>0</v>
      </c>
      <c r="AW230" s="1047"/>
      <c r="AX230" s="1034">
        <f t="shared" si="107"/>
        <v>0</v>
      </c>
      <c r="AY230" s="1035" t="str">
        <f t="shared" si="108"/>
        <v/>
      </c>
      <c r="AZ230" s="1036">
        <f t="shared" si="113"/>
        <v>0</v>
      </c>
      <c r="BA230" s="1037" t="str">
        <f t="shared" si="109"/>
        <v/>
      </c>
      <c r="BB230" s="1038"/>
      <c r="BC230" s="1039">
        <f t="shared" si="114"/>
        <v>0</v>
      </c>
      <c r="BD230" s="1040" t="str">
        <f t="shared" si="110"/>
        <v/>
      </c>
      <c r="BE230" s="227" t="s">
        <v>22</v>
      </c>
      <c r="BF230" s="1019">
        <f t="shared" si="111"/>
        <v>0</v>
      </c>
      <c r="BG230" s="1020">
        <f t="shared" si="112"/>
        <v>0</v>
      </c>
      <c r="BH230"/>
      <c r="BQ230"/>
      <c r="BR230"/>
      <c r="BS230"/>
      <c r="BT230"/>
      <c r="BU230"/>
      <c r="BV230"/>
      <c r="BW230" s="959" t="str">
        <f t="shared" si="93"/>
        <v>►</v>
      </c>
      <c r="BX230"/>
      <c r="BY230"/>
      <c r="BZ230"/>
      <c r="CA230"/>
      <c r="CB230"/>
      <c r="CC230" s="856"/>
      <c r="CD230"/>
      <c r="CE230"/>
      <c r="CF230"/>
      <c r="CG230"/>
      <c r="CH230"/>
      <c r="CI230"/>
      <c r="CJ230"/>
      <c r="CL230"/>
      <c r="CM230"/>
      <c r="CN230"/>
      <c r="CO230"/>
      <c r="CP230"/>
      <c r="CQ230"/>
      <c r="CR230"/>
      <c r="CT230"/>
      <c r="CU230"/>
      <c r="CV230"/>
      <c r="CW230"/>
      <c r="CX230"/>
      <c r="CY230"/>
      <c r="CZ230"/>
      <c r="DB230" s="3">
        <v>1</v>
      </c>
    </row>
    <row r="231" spans="1:106" s="709" customFormat="1" ht="21" customHeight="1">
      <c r="A231" s="936" t="s">
        <v>22</v>
      </c>
      <c r="B231" s="952" t="str">
        <f t="shared" si="92"/>
        <v>►</v>
      </c>
      <c r="C231" s="993" cm="1">
        <f t="array" ref="C231">SUMPRODUCT(LEN(D231:J231))</f>
        <v>0</v>
      </c>
      <c r="D231" s="167"/>
      <c r="E231" s="172"/>
      <c r="F231" s="172"/>
      <c r="G231" s="172"/>
      <c r="H231" s="172"/>
      <c r="I231" s="172"/>
      <c r="J231" s="173"/>
      <c r="K231" s="442" t="s">
        <v>22</v>
      </c>
      <c r="L231" s="104" t="s">
        <v>16</v>
      </c>
      <c r="M231" s="1172"/>
      <c r="N231" s="1172"/>
      <c r="O231" s="1172"/>
      <c r="P231" s="1173"/>
      <c r="Q231" s="1174"/>
      <c r="R231" s="1175"/>
      <c r="S231" s="1176"/>
      <c r="T231" s="1177"/>
      <c r="U231" s="5248"/>
      <c r="V231" s="1177"/>
      <c r="W231" s="5249"/>
      <c r="X231" s="5208"/>
      <c r="Y231" s="5209"/>
      <c r="Z231" s="5210"/>
      <c r="AA231" s="5211"/>
      <c r="AB231" s="1178"/>
      <c r="AC231" s="1179"/>
      <c r="AD231" s="227" t="s">
        <v>22</v>
      </c>
      <c r="AE231" s="1027" t="str">
        <f t="shared" si="94"/>
        <v>►</v>
      </c>
      <c r="AF231" s="1028" t="str">
        <f t="shared" si="95"/>
        <v/>
      </c>
      <c r="AG231" s="1029" t="str">
        <f t="shared" si="96"/>
        <v/>
      </c>
      <c r="AH231" s="1028" t="str">
        <f t="shared" si="97"/>
        <v/>
      </c>
      <c r="AI231" s="1029" t="str">
        <f t="shared" si="98"/>
        <v/>
      </c>
      <c r="AJ231" s="1029">
        <f t="shared" si="99"/>
        <v>0</v>
      </c>
      <c r="AK231" s="1043" t="str" cm="1">
        <f t="array" ref="AK231">IF(AE231&lt;&gt;"A","",IFERROR((IFERROR(_xlfn.XLOOKUP(TRIM(SUBSTITUTE(U231,CHAR(160)," ")),$BI$15:$BI$62,$BL$15:$BL$62),IFERROR(_xlfn.XLOOKUP(TRIM(SUBSTITUTE(U231,CHAR(160)," ")),$BJ$15:$BJ$62,$BL$15:$BL$62),_xlfn.XLOOKUP(TRIM(SUBSTITUTE(U231,CHAR(160)," ")),$BK$15:$BK$62,$BL$15:$BL$62))))*T231*IF(ISBLANK(Q231),1,Q231)+IFERROR(_xlfn.XLOOKUP("RECHERCHEX",TRIM(L231:AC231),L231:AC231),0),0))</f>
        <v/>
      </c>
      <c r="AL231" s="1030">
        <f t="shared" si="100"/>
        <v>0</v>
      </c>
      <c r="AM231" s="5254" t="str">
        <f t="shared" si="115"/>
        <v/>
      </c>
      <c r="AN231" s="1031">
        <f t="shared" si="101"/>
        <v>0</v>
      </c>
      <c r="AO231" s="1031">
        <f t="shared" si="102"/>
        <v>0</v>
      </c>
      <c r="AP231" s="1044">
        <f t="shared" si="103"/>
        <v>0</v>
      </c>
      <c r="AQ231" s="5257" t="str">
        <f t="shared" si="104"/>
        <v/>
      </c>
      <c r="AR231" s="1056"/>
      <c r="AS231" s="1056"/>
      <c r="AT231" s="1045">
        <f t="shared" si="105"/>
        <v>0</v>
      </c>
      <c r="AU231" s="1046">
        <f t="shared" si="106"/>
        <v>0</v>
      </c>
      <c r="AV231" s="1059" cm="1">
        <f t="array" ref="AV231">IF(AJ231&lt;&gt;1,0,IF(OR(AT231="",N(AT231)&lt;=0.000000001),"",IF(OR(AN231="",N(AN231)&lt;=0.000000001),0,IF(ISNUMBER(AT231),IFERROR(_xlfn.LET(_xlpm.ai_test,TRIM(AI231),_xlpm.r,IFERROR(_xlfn.XLOOKUP(_xlpm.ai_test,$BI$15:$BI$62,ROW($BI$15:$BI$62),0,1),IFERROR(_xlfn.XLOOKUP(_xlpm.ai_test,$BJ$15:$BJ$62,ROW($BJ$15:$BJ$62),0,1),_xlfn.XLOOKUP(_xlpm.ai_test,$BK$15:$BK$62,ROW($BK$15:$BK$62),0,1))),_xlpm.p,_xlpm.r-MIN(ROW($BI$15:$BI$62))+1,_xlpm.f,INDEX($BL$15:$BL$62,_xlpm.p),_xlpm.u,INDEX($BM$15:$BM$62,_xlpm.p),_xlpm.s,INDEX($BO$15:$BO$62,_xlpm.p),_xlpm.q,N(AT231)/_xlpm.f,IF(_xlpm.q&gt;=_xlpm.s,ROUND(_xlpm.q,1)&amp;" "&amp;_xlpm.ai_test&amp;" = "&amp;ROUND(_xlpm.q*_xlpm.f,1)&amp;" "&amp;_xlpm.u,ROUND(_xlpm.q,1)&amp;" "&amp;_xlpm.ai_test)),""),""))))</f>
        <v>0</v>
      </c>
      <c r="AW231" s="1047"/>
      <c r="AX231" s="1045">
        <f t="shared" si="107"/>
        <v>0</v>
      </c>
      <c r="AY231" s="1046" t="str">
        <f t="shared" si="108"/>
        <v/>
      </c>
      <c r="AZ231" s="1048">
        <f t="shared" si="113"/>
        <v>0</v>
      </c>
      <c r="BA231" s="1049" t="str">
        <f t="shared" si="109"/>
        <v/>
      </c>
      <c r="BB231" s="1038"/>
      <c r="BC231" s="1050">
        <f t="shared" si="114"/>
        <v>0</v>
      </c>
      <c r="BD231" s="1040" t="str">
        <f t="shared" si="110"/>
        <v/>
      </c>
      <c r="BE231" s="227" t="s">
        <v>22</v>
      </c>
      <c r="BF231" s="1019">
        <f t="shared" si="111"/>
        <v>0</v>
      </c>
      <c r="BG231" s="1020">
        <f t="shared" si="112"/>
        <v>0</v>
      </c>
      <c r="BH231"/>
      <c r="BQ231"/>
      <c r="BR231"/>
      <c r="BS231"/>
      <c r="BT231"/>
      <c r="BU231"/>
      <c r="BV231"/>
      <c r="BW231" s="959" t="str">
        <f t="shared" si="93"/>
        <v>►</v>
      </c>
      <c r="BX231"/>
      <c r="BY231"/>
      <c r="BZ231"/>
      <c r="CA231"/>
      <c r="CB231"/>
      <c r="CC231" s="856"/>
      <c r="CD231"/>
      <c r="CE231"/>
      <c r="CF231"/>
      <c r="CG231"/>
      <c r="CH231"/>
      <c r="CI231"/>
      <c r="CJ231"/>
      <c r="CL231"/>
      <c r="CM231"/>
      <c r="CN231"/>
      <c r="CO231"/>
      <c r="CP231"/>
      <c r="CQ231"/>
      <c r="CR231"/>
      <c r="CT231"/>
      <c r="CU231"/>
      <c r="CV231"/>
      <c r="CW231"/>
      <c r="CX231"/>
      <c r="CY231"/>
      <c r="CZ231"/>
      <c r="DB231" s="3">
        <v>1</v>
      </c>
    </row>
    <row r="232" spans="1:106" s="709" customFormat="1" ht="21" customHeight="1">
      <c r="A232" s="936" t="s">
        <v>22</v>
      </c>
      <c r="B232" s="952" t="str">
        <f t="shared" si="92"/>
        <v>►</v>
      </c>
      <c r="C232" s="993" cm="1">
        <f t="array" ref="C232">SUMPRODUCT(LEN(D232:J232))</f>
        <v>0</v>
      </c>
      <c r="D232" s="167"/>
      <c r="E232" s="172"/>
      <c r="F232" s="172"/>
      <c r="G232" s="172"/>
      <c r="H232" s="172"/>
      <c r="I232" s="172"/>
      <c r="J232" s="173"/>
      <c r="K232" s="442" t="s">
        <v>22</v>
      </c>
      <c r="L232" s="104" t="s">
        <v>16</v>
      </c>
      <c r="M232" s="1172"/>
      <c r="N232" s="1172"/>
      <c r="O232" s="1172"/>
      <c r="P232" s="1173"/>
      <c r="Q232" s="1174"/>
      <c r="R232" s="1175"/>
      <c r="S232" s="1176"/>
      <c r="T232" s="1177"/>
      <c r="U232" s="5248"/>
      <c r="V232" s="1177"/>
      <c r="W232" s="5249"/>
      <c r="X232" s="5208"/>
      <c r="Y232" s="5209"/>
      <c r="Z232" s="5210"/>
      <c r="AA232" s="5211"/>
      <c r="AB232" s="1178"/>
      <c r="AC232" s="1179"/>
      <c r="AD232" s="227" t="s">
        <v>22</v>
      </c>
      <c r="AE232" s="1027" t="str">
        <f t="shared" si="94"/>
        <v>►</v>
      </c>
      <c r="AF232" s="1028" t="str">
        <f t="shared" si="95"/>
        <v/>
      </c>
      <c r="AG232" s="1029" t="str">
        <f t="shared" si="96"/>
        <v/>
      </c>
      <c r="AH232" s="1028" t="str">
        <f t="shared" si="97"/>
        <v/>
      </c>
      <c r="AI232" s="1029" t="str">
        <f t="shared" si="98"/>
        <v/>
      </c>
      <c r="AJ232" s="1029">
        <f t="shared" si="99"/>
        <v>0</v>
      </c>
      <c r="AK232" s="1043" t="str" cm="1">
        <f t="array" ref="AK232">IF(AE232&lt;&gt;"A","",IFERROR((IFERROR(_xlfn.XLOOKUP(TRIM(SUBSTITUTE(U232,CHAR(160)," ")),$BI$15:$BI$62,$BL$15:$BL$62),IFERROR(_xlfn.XLOOKUP(TRIM(SUBSTITUTE(U232,CHAR(160)," ")),$BJ$15:$BJ$62,$BL$15:$BL$62),_xlfn.XLOOKUP(TRIM(SUBSTITUTE(U232,CHAR(160)," ")),$BK$15:$BK$62,$BL$15:$BL$62))))*T232*IF(ISBLANK(Q232),1,Q232)+IFERROR(_xlfn.XLOOKUP("RECHERCHEX",TRIM(L232:AC232),L232:AC232),0),0))</f>
        <v/>
      </c>
      <c r="AL232" s="1030">
        <f t="shared" si="100"/>
        <v>0</v>
      </c>
      <c r="AM232" s="5254" t="str">
        <f t="shared" si="115"/>
        <v/>
      </c>
      <c r="AN232" s="1031">
        <f t="shared" si="101"/>
        <v>0</v>
      </c>
      <c r="AO232" s="1031">
        <f t="shared" si="102"/>
        <v>0</v>
      </c>
      <c r="AP232" s="1032">
        <f t="shared" si="103"/>
        <v>0</v>
      </c>
      <c r="AQ232" s="5255" t="str">
        <f t="shared" si="104"/>
        <v/>
      </c>
      <c r="AR232" s="1056"/>
      <c r="AS232" s="1056"/>
      <c r="AT232" s="1034">
        <f t="shared" si="105"/>
        <v>0</v>
      </c>
      <c r="AU232" s="1035">
        <f t="shared" si="106"/>
        <v>0</v>
      </c>
      <c r="AV232" s="1057" cm="1">
        <f t="array" ref="AV232">IF(AJ232&lt;&gt;1,0,IF(OR(AT232="",N(AT232)&lt;=0.000000001),"",IF(OR(AN232="",N(AN232)&lt;=0.000000001),0,IF(ISNUMBER(AT232),IFERROR(_xlfn.LET(_xlpm.ai_test,TRIM(AI232),_xlpm.r,IFERROR(_xlfn.XLOOKUP(_xlpm.ai_test,$BI$15:$BI$62,ROW($BI$15:$BI$62),0,1),IFERROR(_xlfn.XLOOKUP(_xlpm.ai_test,$BJ$15:$BJ$62,ROW($BJ$15:$BJ$62),0,1),_xlfn.XLOOKUP(_xlpm.ai_test,$BK$15:$BK$62,ROW($BK$15:$BK$62),0,1))),_xlpm.p,_xlpm.r-MIN(ROW($BI$15:$BI$62))+1,_xlpm.f,INDEX($BL$15:$BL$62,_xlpm.p),_xlpm.u,INDEX($BM$15:$BM$62,_xlpm.p),_xlpm.s,INDEX($BO$15:$BO$62,_xlpm.p),_xlpm.q,N(AT232)/_xlpm.f,IF(_xlpm.q&gt;=_xlpm.s,ROUND(_xlpm.q,1)&amp;" "&amp;_xlpm.ai_test&amp;" = "&amp;ROUND(_xlpm.q*_xlpm.f,1)&amp;" "&amp;_xlpm.u,ROUND(_xlpm.q,1)&amp;" "&amp;_xlpm.ai_test)),""),""))))</f>
        <v>0</v>
      </c>
      <c r="AW232" s="1047"/>
      <c r="AX232" s="1034">
        <f t="shared" si="107"/>
        <v>0</v>
      </c>
      <c r="AY232" s="1035" t="str">
        <f t="shared" si="108"/>
        <v/>
      </c>
      <c r="AZ232" s="1036">
        <f t="shared" si="113"/>
        <v>0</v>
      </c>
      <c r="BA232" s="1037" t="str">
        <f t="shared" si="109"/>
        <v/>
      </c>
      <c r="BB232" s="1038"/>
      <c r="BC232" s="1039">
        <f t="shared" si="114"/>
        <v>0</v>
      </c>
      <c r="BD232" s="1040" t="str">
        <f t="shared" si="110"/>
        <v/>
      </c>
      <c r="BE232" s="227" t="s">
        <v>22</v>
      </c>
      <c r="BF232" s="1019">
        <f t="shared" si="111"/>
        <v>0</v>
      </c>
      <c r="BG232" s="1020">
        <f t="shared" si="112"/>
        <v>0</v>
      </c>
      <c r="BH232"/>
      <c r="BQ232"/>
      <c r="BR232"/>
      <c r="BS232"/>
      <c r="BT232"/>
      <c r="BU232"/>
      <c r="BV232"/>
      <c r="BW232" s="959" t="str">
        <f t="shared" si="93"/>
        <v>►</v>
      </c>
      <c r="BX232"/>
      <c r="BY232"/>
      <c r="BZ232"/>
      <c r="CA232"/>
      <c r="CB232"/>
      <c r="CC232" s="856"/>
      <c r="CD232"/>
      <c r="CE232"/>
      <c r="CF232"/>
      <c r="CG232"/>
      <c r="CH232"/>
      <c r="CI232"/>
      <c r="CJ232"/>
      <c r="CL232"/>
      <c r="CM232"/>
      <c r="CN232"/>
      <c r="CO232"/>
      <c r="CP232"/>
      <c r="CQ232"/>
      <c r="CR232"/>
      <c r="CT232"/>
      <c r="CU232"/>
      <c r="CV232"/>
      <c r="CW232"/>
      <c r="CX232"/>
      <c r="CY232"/>
      <c r="CZ232"/>
      <c r="DB232" s="3">
        <v>1</v>
      </c>
    </row>
    <row r="233" spans="1:106" s="709" customFormat="1" ht="21" customHeight="1">
      <c r="A233" s="936" t="s">
        <v>22</v>
      </c>
      <c r="B233" s="952" t="str">
        <f t="shared" si="92"/>
        <v>►</v>
      </c>
      <c r="C233" s="993" cm="1">
        <f t="array" ref="C233">SUMPRODUCT(LEN(D233:J233))</f>
        <v>0</v>
      </c>
      <c r="D233" s="167"/>
      <c r="E233" s="172"/>
      <c r="F233" s="172"/>
      <c r="G233" s="172"/>
      <c r="H233" s="172"/>
      <c r="I233" s="172"/>
      <c r="J233" s="173"/>
      <c r="K233" s="442" t="s">
        <v>22</v>
      </c>
      <c r="L233" s="104" t="s">
        <v>16</v>
      </c>
      <c r="M233" s="1172"/>
      <c r="N233" s="1172"/>
      <c r="O233" s="1172"/>
      <c r="P233" s="1173"/>
      <c r="Q233" s="1174"/>
      <c r="R233" s="1175"/>
      <c r="S233" s="1176"/>
      <c r="T233" s="1177"/>
      <c r="U233" s="5248"/>
      <c r="V233" s="1177"/>
      <c r="W233" s="5249"/>
      <c r="X233" s="5208"/>
      <c r="Y233" s="5209"/>
      <c r="Z233" s="5210"/>
      <c r="AA233" s="5211"/>
      <c r="AB233" s="1178"/>
      <c r="AC233" s="1179"/>
      <c r="AD233" s="227" t="s">
        <v>22</v>
      </c>
      <c r="AE233" s="1027" t="str">
        <f t="shared" si="94"/>
        <v>►</v>
      </c>
      <c r="AF233" s="1028" t="str">
        <f t="shared" si="95"/>
        <v/>
      </c>
      <c r="AG233" s="1029" t="str">
        <f t="shared" si="96"/>
        <v/>
      </c>
      <c r="AH233" s="1028" t="str">
        <f t="shared" si="97"/>
        <v/>
      </c>
      <c r="AI233" s="1029" t="str">
        <f t="shared" si="98"/>
        <v/>
      </c>
      <c r="AJ233" s="1029">
        <f t="shared" si="99"/>
        <v>0</v>
      </c>
      <c r="AK233" s="1043" t="str" cm="1">
        <f t="array" ref="AK233">IF(AE233&lt;&gt;"A","",IFERROR((IFERROR(_xlfn.XLOOKUP(TRIM(SUBSTITUTE(U233,CHAR(160)," ")),$BI$15:$BI$62,$BL$15:$BL$62),IFERROR(_xlfn.XLOOKUP(TRIM(SUBSTITUTE(U233,CHAR(160)," ")),$BJ$15:$BJ$62,$BL$15:$BL$62),_xlfn.XLOOKUP(TRIM(SUBSTITUTE(U233,CHAR(160)," ")),$BK$15:$BK$62,$BL$15:$BL$62))))*T233*IF(ISBLANK(Q233),1,Q233)+IFERROR(_xlfn.XLOOKUP("RECHERCHEX",TRIM(L233:AC233),L233:AC233),0),0))</f>
        <v/>
      </c>
      <c r="AL233" s="1030">
        <f t="shared" si="100"/>
        <v>0</v>
      </c>
      <c r="AM233" s="5254" t="str">
        <f t="shared" si="115"/>
        <v/>
      </c>
      <c r="AN233" s="1031">
        <f t="shared" si="101"/>
        <v>0</v>
      </c>
      <c r="AO233" s="1031">
        <f t="shared" si="102"/>
        <v>0</v>
      </c>
      <c r="AP233" s="1044">
        <f t="shared" si="103"/>
        <v>0</v>
      </c>
      <c r="AQ233" s="5257" t="str">
        <f t="shared" si="104"/>
        <v/>
      </c>
      <c r="AR233" s="1056"/>
      <c r="AS233" s="1056"/>
      <c r="AT233" s="1045">
        <f t="shared" si="105"/>
        <v>0</v>
      </c>
      <c r="AU233" s="1046">
        <f t="shared" si="106"/>
        <v>0</v>
      </c>
      <c r="AV233" s="1059" cm="1">
        <f t="array" ref="AV233">IF(AJ233&lt;&gt;1,0,IF(OR(AT233="",N(AT233)&lt;=0.000000001),"",IF(OR(AN233="",N(AN233)&lt;=0.000000001),0,IF(ISNUMBER(AT233),IFERROR(_xlfn.LET(_xlpm.ai_test,TRIM(AI233),_xlpm.r,IFERROR(_xlfn.XLOOKUP(_xlpm.ai_test,$BI$15:$BI$62,ROW($BI$15:$BI$62),0,1),IFERROR(_xlfn.XLOOKUP(_xlpm.ai_test,$BJ$15:$BJ$62,ROW($BJ$15:$BJ$62),0,1),_xlfn.XLOOKUP(_xlpm.ai_test,$BK$15:$BK$62,ROW($BK$15:$BK$62),0,1))),_xlpm.p,_xlpm.r-MIN(ROW($BI$15:$BI$62))+1,_xlpm.f,INDEX($BL$15:$BL$62,_xlpm.p),_xlpm.u,INDEX($BM$15:$BM$62,_xlpm.p),_xlpm.s,INDEX($BO$15:$BO$62,_xlpm.p),_xlpm.q,N(AT233)/_xlpm.f,IF(_xlpm.q&gt;=_xlpm.s,ROUND(_xlpm.q,1)&amp;" "&amp;_xlpm.ai_test&amp;" = "&amp;ROUND(_xlpm.q*_xlpm.f,1)&amp;" "&amp;_xlpm.u,ROUND(_xlpm.q,1)&amp;" "&amp;_xlpm.ai_test)),""),""))))</f>
        <v>0</v>
      </c>
      <c r="AW233" s="1047"/>
      <c r="AX233" s="1045">
        <f t="shared" si="107"/>
        <v>0</v>
      </c>
      <c r="AY233" s="1046" t="str">
        <f t="shared" si="108"/>
        <v/>
      </c>
      <c r="AZ233" s="1048">
        <f t="shared" si="113"/>
        <v>0</v>
      </c>
      <c r="BA233" s="1049" t="str">
        <f t="shared" si="109"/>
        <v/>
      </c>
      <c r="BB233" s="1038"/>
      <c r="BC233" s="1050">
        <f t="shared" si="114"/>
        <v>0</v>
      </c>
      <c r="BD233" s="1040" t="str">
        <f t="shared" si="110"/>
        <v/>
      </c>
      <c r="BE233" s="227" t="s">
        <v>22</v>
      </c>
      <c r="BF233" s="1019">
        <f t="shared" si="111"/>
        <v>0</v>
      </c>
      <c r="BG233" s="1020">
        <f t="shared" si="112"/>
        <v>0</v>
      </c>
      <c r="BH233"/>
      <c r="BQ233"/>
      <c r="BR233"/>
      <c r="BS233"/>
      <c r="BT233"/>
      <c r="BU233"/>
      <c r="BV233"/>
      <c r="BW233" s="959" t="str">
        <f t="shared" si="93"/>
        <v>►</v>
      </c>
      <c r="BX233"/>
      <c r="BY233"/>
      <c r="BZ233"/>
      <c r="CA233"/>
      <c r="CB233"/>
      <c r="CC233" s="856"/>
      <c r="CD233"/>
      <c r="CE233"/>
      <c r="CF233"/>
      <c r="CG233"/>
      <c r="CH233"/>
      <c r="CI233"/>
      <c r="CJ233"/>
      <c r="CL233"/>
      <c r="CM233"/>
      <c r="CN233"/>
      <c r="CO233"/>
      <c r="CP233"/>
      <c r="CQ233"/>
      <c r="CR233"/>
      <c r="CT233"/>
      <c r="CU233"/>
      <c r="CV233"/>
      <c r="CW233"/>
      <c r="CX233"/>
      <c r="CY233"/>
      <c r="CZ233"/>
      <c r="DB233" s="3">
        <v>1</v>
      </c>
    </row>
    <row r="234" spans="1:106" s="709" customFormat="1" ht="21" customHeight="1">
      <c r="A234" s="936" t="s">
        <v>22</v>
      </c>
      <c r="B234" s="952" t="str">
        <f t="shared" si="92"/>
        <v>►</v>
      </c>
      <c r="C234" s="993" cm="1">
        <f t="array" ref="C234">SUMPRODUCT(LEN(D234:J234))</f>
        <v>0</v>
      </c>
      <c r="D234" s="167"/>
      <c r="E234" s="172"/>
      <c r="F234" s="172"/>
      <c r="G234" s="172"/>
      <c r="H234" s="172"/>
      <c r="I234" s="172"/>
      <c r="J234" s="173"/>
      <c r="K234" s="442" t="s">
        <v>22</v>
      </c>
      <c r="L234" s="104" t="s">
        <v>16</v>
      </c>
      <c r="M234" s="1172"/>
      <c r="N234" s="1172"/>
      <c r="O234" s="1172"/>
      <c r="P234" s="1173"/>
      <c r="Q234" s="1174"/>
      <c r="R234" s="1175"/>
      <c r="S234" s="1176"/>
      <c r="T234" s="1177"/>
      <c r="U234" s="5248"/>
      <c r="V234" s="1177"/>
      <c r="W234" s="5249"/>
      <c r="X234" s="5208"/>
      <c r="Y234" s="5209"/>
      <c r="Z234" s="5210"/>
      <c r="AA234" s="5211"/>
      <c r="AB234" s="1178"/>
      <c r="AC234" s="1179"/>
      <c r="AD234" s="227" t="s">
        <v>22</v>
      </c>
      <c r="AE234" s="1027" t="str">
        <f t="shared" si="94"/>
        <v>►</v>
      </c>
      <c r="AF234" s="1028" t="str">
        <f t="shared" si="95"/>
        <v/>
      </c>
      <c r="AG234" s="1029" t="str">
        <f t="shared" si="96"/>
        <v/>
      </c>
      <c r="AH234" s="1028" t="str">
        <f t="shared" si="97"/>
        <v/>
      </c>
      <c r="AI234" s="1029" t="str">
        <f t="shared" si="98"/>
        <v/>
      </c>
      <c r="AJ234" s="1029">
        <f t="shared" si="99"/>
        <v>0</v>
      </c>
      <c r="AK234" s="1043" t="str" cm="1">
        <f t="array" ref="AK234">IF(AE234&lt;&gt;"A","",IFERROR((IFERROR(_xlfn.XLOOKUP(TRIM(SUBSTITUTE(U234,CHAR(160)," ")),$BI$15:$BI$62,$BL$15:$BL$62),IFERROR(_xlfn.XLOOKUP(TRIM(SUBSTITUTE(U234,CHAR(160)," ")),$BJ$15:$BJ$62,$BL$15:$BL$62),_xlfn.XLOOKUP(TRIM(SUBSTITUTE(U234,CHAR(160)," ")),$BK$15:$BK$62,$BL$15:$BL$62))))*T234*IF(ISBLANK(Q234),1,Q234)+IFERROR(_xlfn.XLOOKUP("RECHERCHEX",TRIM(L234:AC234),L234:AC234),0),0))</f>
        <v/>
      </c>
      <c r="AL234" s="1030">
        <f t="shared" si="100"/>
        <v>0</v>
      </c>
      <c r="AM234" s="5254" t="str">
        <f t="shared" si="115"/>
        <v/>
      </c>
      <c r="AN234" s="1031">
        <f t="shared" si="101"/>
        <v>0</v>
      </c>
      <c r="AO234" s="1031">
        <f t="shared" si="102"/>
        <v>0</v>
      </c>
      <c r="AP234" s="1032">
        <f t="shared" si="103"/>
        <v>0</v>
      </c>
      <c r="AQ234" s="5255" t="str">
        <f t="shared" si="104"/>
        <v/>
      </c>
      <c r="AR234" s="1056"/>
      <c r="AS234" s="1056"/>
      <c r="AT234" s="1034">
        <f t="shared" si="105"/>
        <v>0</v>
      </c>
      <c r="AU234" s="1035">
        <f t="shared" si="106"/>
        <v>0</v>
      </c>
      <c r="AV234" s="1057" cm="1">
        <f t="array" ref="AV234">IF(AJ234&lt;&gt;1,0,IF(OR(AT234="",N(AT234)&lt;=0.000000001),"",IF(OR(AN234="",N(AN234)&lt;=0.000000001),0,IF(ISNUMBER(AT234),IFERROR(_xlfn.LET(_xlpm.ai_test,TRIM(AI234),_xlpm.r,IFERROR(_xlfn.XLOOKUP(_xlpm.ai_test,$BI$15:$BI$62,ROW($BI$15:$BI$62),0,1),IFERROR(_xlfn.XLOOKUP(_xlpm.ai_test,$BJ$15:$BJ$62,ROW($BJ$15:$BJ$62),0,1),_xlfn.XLOOKUP(_xlpm.ai_test,$BK$15:$BK$62,ROW($BK$15:$BK$62),0,1))),_xlpm.p,_xlpm.r-MIN(ROW($BI$15:$BI$62))+1,_xlpm.f,INDEX($BL$15:$BL$62,_xlpm.p),_xlpm.u,INDEX($BM$15:$BM$62,_xlpm.p),_xlpm.s,INDEX($BO$15:$BO$62,_xlpm.p),_xlpm.q,N(AT234)/_xlpm.f,IF(_xlpm.q&gt;=_xlpm.s,ROUND(_xlpm.q,1)&amp;" "&amp;_xlpm.ai_test&amp;" = "&amp;ROUND(_xlpm.q*_xlpm.f,1)&amp;" "&amp;_xlpm.u,ROUND(_xlpm.q,1)&amp;" "&amp;_xlpm.ai_test)),""),""))))</f>
        <v>0</v>
      </c>
      <c r="AW234" s="1047"/>
      <c r="AX234" s="1034">
        <f t="shared" si="107"/>
        <v>0</v>
      </c>
      <c r="AY234" s="1035" t="str">
        <f t="shared" si="108"/>
        <v/>
      </c>
      <c r="AZ234" s="1036">
        <f t="shared" si="113"/>
        <v>0</v>
      </c>
      <c r="BA234" s="1037" t="str">
        <f t="shared" si="109"/>
        <v/>
      </c>
      <c r="BB234" s="1038"/>
      <c r="BC234" s="1039">
        <f t="shared" si="114"/>
        <v>0</v>
      </c>
      <c r="BD234" s="1040" t="str">
        <f t="shared" si="110"/>
        <v/>
      </c>
      <c r="BE234" s="227" t="s">
        <v>22</v>
      </c>
      <c r="BF234" s="1019">
        <f t="shared" si="111"/>
        <v>0</v>
      </c>
      <c r="BG234" s="1020">
        <f t="shared" si="112"/>
        <v>0</v>
      </c>
      <c r="BH234"/>
      <c r="BQ234"/>
      <c r="BR234"/>
      <c r="BS234"/>
      <c r="BT234"/>
      <c r="BU234"/>
      <c r="BV234"/>
      <c r="BW234" s="959" t="str">
        <f t="shared" si="93"/>
        <v>►</v>
      </c>
      <c r="BX234"/>
      <c r="BY234"/>
      <c r="BZ234"/>
      <c r="CA234"/>
      <c r="CB234"/>
      <c r="CC234" s="856"/>
      <c r="CD234"/>
      <c r="CE234"/>
      <c r="CF234"/>
      <c r="CG234"/>
      <c r="CH234"/>
      <c r="CI234"/>
      <c r="CJ234"/>
      <c r="CL234"/>
      <c r="CM234"/>
      <c r="CN234"/>
      <c r="CO234"/>
      <c r="CP234"/>
      <c r="CQ234"/>
      <c r="CR234"/>
      <c r="CT234"/>
      <c r="CU234"/>
      <c r="CV234"/>
      <c r="CW234"/>
      <c r="CX234"/>
      <c r="CY234"/>
      <c r="CZ234"/>
      <c r="DB234" s="3">
        <v>1</v>
      </c>
    </row>
    <row r="235" spans="1:106" s="709" customFormat="1" ht="21" customHeight="1">
      <c r="A235" s="936" t="s">
        <v>22</v>
      </c>
      <c r="B235" s="952" t="str">
        <f t="shared" si="92"/>
        <v>►</v>
      </c>
      <c r="C235" s="993" cm="1">
        <f t="array" ref="C235">SUMPRODUCT(LEN(D235:J235))</f>
        <v>0</v>
      </c>
      <c r="D235" s="167"/>
      <c r="E235" s="172"/>
      <c r="F235" s="172"/>
      <c r="G235" s="172"/>
      <c r="H235" s="172"/>
      <c r="I235" s="172"/>
      <c r="J235" s="173"/>
      <c r="K235" s="442" t="s">
        <v>22</v>
      </c>
      <c r="L235" s="104" t="s">
        <v>16</v>
      </c>
      <c r="M235" s="1172"/>
      <c r="N235" s="1172"/>
      <c r="O235" s="1172"/>
      <c r="P235" s="1173"/>
      <c r="Q235" s="1174"/>
      <c r="R235" s="1175"/>
      <c r="S235" s="1176"/>
      <c r="T235" s="1177"/>
      <c r="U235" s="5248"/>
      <c r="V235" s="1177"/>
      <c r="W235" s="5249"/>
      <c r="X235" s="5208"/>
      <c r="Y235" s="5209"/>
      <c r="Z235" s="5210"/>
      <c r="AA235" s="5211"/>
      <c r="AB235" s="1178"/>
      <c r="AC235" s="1179"/>
      <c r="AD235" s="227" t="s">
        <v>22</v>
      </c>
      <c r="AE235" s="1027" t="str">
        <f t="shared" si="94"/>
        <v>►</v>
      </c>
      <c r="AF235" s="1028" t="str">
        <f t="shared" si="95"/>
        <v/>
      </c>
      <c r="AG235" s="1029" t="str">
        <f t="shared" si="96"/>
        <v/>
      </c>
      <c r="AH235" s="1028" t="str">
        <f t="shared" si="97"/>
        <v/>
      </c>
      <c r="AI235" s="1029" t="str">
        <f t="shared" si="98"/>
        <v/>
      </c>
      <c r="AJ235" s="1029">
        <f t="shared" si="99"/>
        <v>0</v>
      </c>
      <c r="AK235" s="1043" t="str" cm="1">
        <f t="array" ref="AK235">IF(AE235&lt;&gt;"A","",IFERROR((IFERROR(_xlfn.XLOOKUP(TRIM(SUBSTITUTE(U235,CHAR(160)," ")),$BI$15:$BI$62,$BL$15:$BL$62),IFERROR(_xlfn.XLOOKUP(TRIM(SUBSTITUTE(U235,CHAR(160)," ")),$BJ$15:$BJ$62,$BL$15:$BL$62),_xlfn.XLOOKUP(TRIM(SUBSTITUTE(U235,CHAR(160)," ")),$BK$15:$BK$62,$BL$15:$BL$62))))*T235*IF(ISBLANK(Q235),1,Q235)+IFERROR(_xlfn.XLOOKUP("RECHERCHEX",TRIM(L235:AC235),L235:AC235),0),0))</f>
        <v/>
      </c>
      <c r="AL235" s="1030">
        <f t="shared" si="100"/>
        <v>0</v>
      </c>
      <c r="AM235" s="5254" t="str">
        <f t="shared" si="115"/>
        <v/>
      </c>
      <c r="AN235" s="1031">
        <f t="shared" si="101"/>
        <v>0</v>
      </c>
      <c r="AO235" s="1031">
        <f t="shared" si="102"/>
        <v>0</v>
      </c>
      <c r="AP235" s="1044">
        <f t="shared" si="103"/>
        <v>0</v>
      </c>
      <c r="AQ235" s="5257" t="str">
        <f t="shared" si="104"/>
        <v/>
      </c>
      <c r="AR235" s="1056"/>
      <c r="AS235" s="1056"/>
      <c r="AT235" s="1045">
        <f t="shared" si="105"/>
        <v>0</v>
      </c>
      <c r="AU235" s="1046">
        <f t="shared" si="106"/>
        <v>0</v>
      </c>
      <c r="AV235" s="1059" cm="1">
        <f t="array" ref="AV235">IF(AJ235&lt;&gt;1,0,IF(OR(AT235="",N(AT235)&lt;=0.000000001),"",IF(OR(AN235="",N(AN235)&lt;=0.000000001),0,IF(ISNUMBER(AT235),IFERROR(_xlfn.LET(_xlpm.ai_test,TRIM(AI235),_xlpm.r,IFERROR(_xlfn.XLOOKUP(_xlpm.ai_test,$BI$15:$BI$62,ROW($BI$15:$BI$62),0,1),IFERROR(_xlfn.XLOOKUP(_xlpm.ai_test,$BJ$15:$BJ$62,ROW($BJ$15:$BJ$62),0,1),_xlfn.XLOOKUP(_xlpm.ai_test,$BK$15:$BK$62,ROW($BK$15:$BK$62),0,1))),_xlpm.p,_xlpm.r-MIN(ROW($BI$15:$BI$62))+1,_xlpm.f,INDEX($BL$15:$BL$62,_xlpm.p),_xlpm.u,INDEX($BM$15:$BM$62,_xlpm.p),_xlpm.s,INDEX($BO$15:$BO$62,_xlpm.p),_xlpm.q,N(AT235)/_xlpm.f,IF(_xlpm.q&gt;=_xlpm.s,ROUND(_xlpm.q,1)&amp;" "&amp;_xlpm.ai_test&amp;" = "&amp;ROUND(_xlpm.q*_xlpm.f,1)&amp;" "&amp;_xlpm.u,ROUND(_xlpm.q,1)&amp;" "&amp;_xlpm.ai_test)),""),""))))</f>
        <v>0</v>
      </c>
      <c r="AW235" s="1047"/>
      <c r="AX235" s="1045">
        <f t="shared" si="107"/>
        <v>0</v>
      </c>
      <c r="AY235" s="1046" t="str">
        <f t="shared" si="108"/>
        <v/>
      </c>
      <c r="AZ235" s="1048">
        <f t="shared" si="113"/>
        <v>0</v>
      </c>
      <c r="BA235" s="1049" t="str">
        <f t="shared" si="109"/>
        <v/>
      </c>
      <c r="BB235" s="1038"/>
      <c r="BC235" s="1050">
        <f t="shared" si="114"/>
        <v>0</v>
      </c>
      <c r="BD235" s="1040" t="str">
        <f t="shared" si="110"/>
        <v/>
      </c>
      <c r="BE235" s="227" t="s">
        <v>22</v>
      </c>
      <c r="BF235" s="1019">
        <f t="shared" si="111"/>
        <v>0</v>
      </c>
      <c r="BG235" s="1020">
        <f t="shared" si="112"/>
        <v>0</v>
      </c>
      <c r="BH235"/>
      <c r="BQ235"/>
      <c r="BR235"/>
      <c r="BS235"/>
      <c r="BT235"/>
      <c r="BU235"/>
      <c r="BV235"/>
      <c r="BW235" s="959" t="str">
        <f t="shared" si="93"/>
        <v>►</v>
      </c>
      <c r="BX235"/>
      <c r="BY235"/>
      <c r="BZ235"/>
      <c r="CA235"/>
      <c r="CB235"/>
      <c r="CC235" s="856"/>
      <c r="CD235"/>
      <c r="CE235"/>
      <c r="CF235"/>
      <c r="CG235"/>
      <c r="CH235"/>
      <c r="CI235"/>
      <c r="CJ235"/>
      <c r="CL235"/>
      <c r="CM235"/>
      <c r="CN235"/>
      <c r="CO235"/>
      <c r="CP235"/>
      <c r="CQ235"/>
      <c r="CR235"/>
      <c r="CT235"/>
      <c r="CU235"/>
      <c r="CV235"/>
      <c r="CW235"/>
      <c r="CX235"/>
      <c r="CY235"/>
      <c r="CZ235"/>
      <c r="DB235" s="3">
        <v>1</v>
      </c>
    </row>
    <row r="236" spans="1:106" ht="21" customHeight="1">
      <c r="A236" s="936" t="s">
        <v>22</v>
      </c>
      <c r="B236" s="952" t="str">
        <f t="shared" si="92"/>
        <v>►</v>
      </c>
      <c r="C236" s="993" cm="1">
        <f t="array" ref="C236">SUMPRODUCT(LEN(D236:J236))</f>
        <v>0</v>
      </c>
      <c r="D236" s="167"/>
      <c r="E236" s="172"/>
      <c r="F236" s="172"/>
      <c r="G236" s="172"/>
      <c r="H236" s="172"/>
      <c r="I236" s="172"/>
      <c r="J236" s="173"/>
      <c r="K236" s="442" t="s">
        <v>22</v>
      </c>
      <c r="L236" s="104" t="s">
        <v>16</v>
      </c>
      <c r="M236" s="1172"/>
      <c r="N236" s="1172"/>
      <c r="O236" s="1172"/>
      <c r="P236" s="1173"/>
      <c r="Q236" s="1174"/>
      <c r="R236" s="1175"/>
      <c r="S236" s="1176"/>
      <c r="T236" s="1177"/>
      <c r="U236" s="5248"/>
      <c r="V236" s="1177"/>
      <c r="W236" s="5249"/>
      <c r="X236" s="5208"/>
      <c r="Y236" s="5209"/>
      <c r="Z236" s="5210"/>
      <c r="AA236" s="5211"/>
      <c r="AB236" s="1178"/>
      <c r="AC236" s="1179"/>
      <c r="AD236" s="227" t="s">
        <v>22</v>
      </c>
      <c r="AE236" s="1027" t="str">
        <f t="shared" si="94"/>
        <v>►</v>
      </c>
      <c r="AF236" s="1028" t="str">
        <f t="shared" si="95"/>
        <v/>
      </c>
      <c r="AG236" s="1029" t="str">
        <f t="shared" si="96"/>
        <v/>
      </c>
      <c r="AH236" s="1028" t="str">
        <f t="shared" si="97"/>
        <v/>
      </c>
      <c r="AI236" s="1029" t="str">
        <f t="shared" si="98"/>
        <v/>
      </c>
      <c r="AJ236" s="1029">
        <f t="shared" si="99"/>
        <v>0</v>
      </c>
      <c r="AK236" s="1043" t="str" cm="1">
        <f t="array" ref="AK236">IF(AE236&lt;&gt;"A","",IFERROR((IFERROR(_xlfn.XLOOKUP(TRIM(SUBSTITUTE(U236,CHAR(160)," ")),$BI$15:$BI$62,$BL$15:$BL$62),IFERROR(_xlfn.XLOOKUP(TRIM(SUBSTITUTE(U236,CHAR(160)," ")),$BJ$15:$BJ$62,$BL$15:$BL$62),_xlfn.XLOOKUP(TRIM(SUBSTITUTE(U236,CHAR(160)," ")),$BK$15:$BK$62,$BL$15:$BL$62))))*T236*IF(ISBLANK(Q236),1,Q236)+IFERROR(_xlfn.XLOOKUP("RECHERCHEX",TRIM(L236:AC236),L236:AC236),0),0))</f>
        <v/>
      </c>
      <c r="AL236" s="1030">
        <f t="shared" si="100"/>
        <v>0</v>
      </c>
      <c r="AM236" s="5254" t="str">
        <f t="shared" si="115"/>
        <v/>
      </c>
      <c r="AN236" s="1031">
        <f t="shared" si="101"/>
        <v>0</v>
      </c>
      <c r="AO236" s="1031">
        <f t="shared" si="102"/>
        <v>0</v>
      </c>
      <c r="AP236" s="1032">
        <f t="shared" si="103"/>
        <v>0</v>
      </c>
      <c r="AQ236" s="5255" t="str">
        <f t="shared" si="104"/>
        <v/>
      </c>
      <c r="AR236" s="1056"/>
      <c r="AS236" s="1056"/>
      <c r="AT236" s="1034">
        <f t="shared" si="105"/>
        <v>0</v>
      </c>
      <c r="AU236" s="1035">
        <f t="shared" si="106"/>
        <v>0</v>
      </c>
      <c r="AV236" s="1057" cm="1">
        <f t="array" ref="AV236">IF(AJ236&lt;&gt;1,0,IF(OR(AT236="",N(AT236)&lt;=0.000000001),"",IF(OR(AN236="",N(AN236)&lt;=0.000000001),0,IF(ISNUMBER(AT236),IFERROR(_xlfn.LET(_xlpm.ai_test,TRIM(AI236),_xlpm.r,IFERROR(_xlfn.XLOOKUP(_xlpm.ai_test,$BI$15:$BI$62,ROW($BI$15:$BI$62),0,1),IFERROR(_xlfn.XLOOKUP(_xlpm.ai_test,$BJ$15:$BJ$62,ROW($BJ$15:$BJ$62),0,1),_xlfn.XLOOKUP(_xlpm.ai_test,$BK$15:$BK$62,ROW($BK$15:$BK$62),0,1))),_xlpm.p,_xlpm.r-MIN(ROW($BI$15:$BI$62))+1,_xlpm.f,INDEX($BL$15:$BL$62,_xlpm.p),_xlpm.u,INDEX($BM$15:$BM$62,_xlpm.p),_xlpm.s,INDEX($BO$15:$BO$62,_xlpm.p),_xlpm.q,N(AT236)/_xlpm.f,IF(_xlpm.q&gt;=_xlpm.s,ROUND(_xlpm.q,1)&amp;" "&amp;_xlpm.ai_test&amp;" = "&amp;ROUND(_xlpm.q*_xlpm.f,1)&amp;" "&amp;_xlpm.u,ROUND(_xlpm.q,1)&amp;" "&amp;_xlpm.ai_test)),""),""))))</f>
        <v>0</v>
      </c>
      <c r="AW236" s="1047"/>
      <c r="AX236" s="1034">
        <f t="shared" si="107"/>
        <v>0</v>
      </c>
      <c r="AY236" s="1035" t="str">
        <f t="shared" si="108"/>
        <v/>
      </c>
      <c r="AZ236" s="1036">
        <f t="shared" si="113"/>
        <v>0</v>
      </c>
      <c r="BA236" s="1037" t="str">
        <f t="shared" si="109"/>
        <v/>
      </c>
      <c r="BB236" s="1038"/>
      <c r="BC236" s="1039">
        <f t="shared" si="114"/>
        <v>0</v>
      </c>
      <c r="BD236" s="1040" t="str">
        <f t="shared" si="110"/>
        <v/>
      </c>
      <c r="BE236" s="227" t="s">
        <v>22</v>
      </c>
      <c r="BF236" s="1019">
        <f t="shared" si="111"/>
        <v>0</v>
      </c>
      <c r="BG236" s="1020">
        <f t="shared" si="112"/>
        <v>0</v>
      </c>
      <c r="BH236"/>
      <c r="BI236" s="709"/>
      <c r="BJ236" s="709"/>
      <c r="BK236" s="709"/>
      <c r="BL236" s="709"/>
      <c r="BM236" s="709"/>
      <c r="BN236" s="709"/>
      <c r="BO236" s="709"/>
      <c r="BP236" s="709"/>
      <c r="BW236" s="959" t="str">
        <f t="shared" si="93"/>
        <v>►</v>
      </c>
      <c r="CB236"/>
      <c r="CC236" s="856"/>
      <c r="CK236" s="709"/>
      <c r="CS236" s="709"/>
      <c r="DA236" s="709"/>
      <c r="DB236" s="3">
        <v>1</v>
      </c>
    </row>
    <row r="237" spans="1:106" ht="21" customHeight="1">
      <c r="A237" s="936" t="s">
        <v>22</v>
      </c>
      <c r="B237" s="952" t="str">
        <f t="shared" si="92"/>
        <v>►</v>
      </c>
      <c r="C237" s="993" cm="1">
        <f t="array" ref="C237">SUMPRODUCT(LEN(D237:J237))</f>
        <v>0</v>
      </c>
      <c r="D237" s="167"/>
      <c r="E237" s="172"/>
      <c r="F237" s="172"/>
      <c r="G237" s="172"/>
      <c r="H237" s="172"/>
      <c r="I237" s="172"/>
      <c r="J237" s="173"/>
      <c r="K237" s="442" t="s">
        <v>22</v>
      </c>
      <c r="L237" s="104" t="s">
        <v>16</v>
      </c>
      <c r="M237" s="1172"/>
      <c r="N237" s="1172"/>
      <c r="O237" s="1172"/>
      <c r="P237" s="1173"/>
      <c r="Q237" s="1174"/>
      <c r="R237" s="1175"/>
      <c r="S237" s="1176"/>
      <c r="T237" s="1177"/>
      <c r="U237" s="5248"/>
      <c r="V237" s="1177"/>
      <c r="W237" s="5249"/>
      <c r="X237" s="5208"/>
      <c r="Y237" s="5209"/>
      <c r="Z237" s="5210"/>
      <c r="AA237" s="5211"/>
      <c r="AB237" s="1178"/>
      <c r="AC237" s="1179"/>
      <c r="AD237" s="227" t="s">
        <v>22</v>
      </c>
      <c r="AE237" s="1027" t="str">
        <f t="shared" si="94"/>
        <v>►</v>
      </c>
      <c r="AF237" s="1028" t="str">
        <f t="shared" si="95"/>
        <v/>
      </c>
      <c r="AG237" s="1029" t="str">
        <f t="shared" si="96"/>
        <v/>
      </c>
      <c r="AH237" s="1028" t="str">
        <f t="shared" si="97"/>
        <v/>
      </c>
      <c r="AI237" s="1029" t="str">
        <f t="shared" si="98"/>
        <v/>
      </c>
      <c r="AJ237" s="1029">
        <f t="shared" si="99"/>
        <v>0</v>
      </c>
      <c r="AK237" s="1043" t="str" cm="1">
        <f t="array" ref="AK237">IF(AE237&lt;&gt;"A","",IFERROR((IFERROR(_xlfn.XLOOKUP(TRIM(SUBSTITUTE(U237,CHAR(160)," ")),$BI$15:$BI$62,$BL$15:$BL$62),IFERROR(_xlfn.XLOOKUP(TRIM(SUBSTITUTE(U237,CHAR(160)," ")),$BJ$15:$BJ$62,$BL$15:$BL$62),_xlfn.XLOOKUP(TRIM(SUBSTITUTE(U237,CHAR(160)," ")),$BK$15:$BK$62,$BL$15:$BL$62))))*T237*IF(ISBLANK(Q237),1,Q237)+IFERROR(_xlfn.XLOOKUP("RECHERCHEX",TRIM(L237:AC237),L237:AC237),0),0))</f>
        <v/>
      </c>
      <c r="AL237" s="1030">
        <f t="shared" si="100"/>
        <v>0</v>
      </c>
      <c r="AM237" s="5254" t="str">
        <f t="shared" si="115"/>
        <v/>
      </c>
      <c r="AN237" s="1031">
        <f t="shared" si="101"/>
        <v>0</v>
      </c>
      <c r="AO237" s="1031">
        <f t="shared" si="102"/>
        <v>0</v>
      </c>
      <c r="AP237" s="1044">
        <f t="shared" si="103"/>
        <v>0</v>
      </c>
      <c r="AQ237" s="5257" t="str">
        <f t="shared" si="104"/>
        <v/>
      </c>
      <c r="AR237" s="1056"/>
      <c r="AS237" s="1056"/>
      <c r="AT237" s="1045">
        <f t="shared" si="105"/>
        <v>0</v>
      </c>
      <c r="AU237" s="1046">
        <f t="shared" si="106"/>
        <v>0</v>
      </c>
      <c r="AV237" s="1059" cm="1">
        <f t="array" ref="AV237">IF(AJ237&lt;&gt;1,0,IF(OR(AT237="",N(AT237)&lt;=0.000000001),"",IF(OR(AN237="",N(AN237)&lt;=0.000000001),0,IF(ISNUMBER(AT237),IFERROR(_xlfn.LET(_xlpm.ai_test,TRIM(AI237),_xlpm.r,IFERROR(_xlfn.XLOOKUP(_xlpm.ai_test,$BI$15:$BI$62,ROW($BI$15:$BI$62),0,1),IFERROR(_xlfn.XLOOKUP(_xlpm.ai_test,$BJ$15:$BJ$62,ROW($BJ$15:$BJ$62),0,1),_xlfn.XLOOKUP(_xlpm.ai_test,$BK$15:$BK$62,ROW($BK$15:$BK$62),0,1))),_xlpm.p,_xlpm.r-MIN(ROW($BI$15:$BI$62))+1,_xlpm.f,INDEX($BL$15:$BL$62,_xlpm.p),_xlpm.u,INDEX($BM$15:$BM$62,_xlpm.p),_xlpm.s,INDEX($BO$15:$BO$62,_xlpm.p),_xlpm.q,N(AT237)/_xlpm.f,IF(_xlpm.q&gt;=_xlpm.s,ROUND(_xlpm.q,1)&amp;" "&amp;_xlpm.ai_test&amp;" = "&amp;ROUND(_xlpm.q*_xlpm.f,1)&amp;" "&amp;_xlpm.u,ROUND(_xlpm.q,1)&amp;" "&amp;_xlpm.ai_test)),""),""))))</f>
        <v>0</v>
      </c>
      <c r="AW237" s="1047"/>
      <c r="AX237" s="1045">
        <f t="shared" si="107"/>
        <v>0</v>
      </c>
      <c r="AY237" s="1046" t="str">
        <f t="shared" si="108"/>
        <v/>
      </c>
      <c r="AZ237" s="1048">
        <f t="shared" si="113"/>
        <v>0</v>
      </c>
      <c r="BA237" s="1049" t="str">
        <f t="shared" si="109"/>
        <v/>
      </c>
      <c r="BB237" s="1038"/>
      <c r="BC237" s="1050">
        <f t="shared" si="114"/>
        <v>0</v>
      </c>
      <c r="BD237" s="1040" t="str">
        <f t="shared" si="110"/>
        <v/>
      </c>
      <c r="BE237" s="227" t="s">
        <v>22</v>
      </c>
      <c r="BF237" s="1019">
        <f t="shared" si="111"/>
        <v>0</v>
      </c>
      <c r="BG237" s="1020">
        <f t="shared" si="112"/>
        <v>0</v>
      </c>
      <c r="BH237"/>
      <c r="BI237" s="709"/>
      <c r="BJ237" s="709"/>
      <c r="BK237" s="709"/>
      <c r="BL237" s="709"/>
      <c r="BM237" s="709"/>
      <c r="BN237" s="709"/>
      <c r="BO237" s="709"/>
      <c r="BP237" s="709"/>
      <c r="BW237" s="959" t="str">
        <f t="shared" si="93"/>
        <v>►</v>
      </c>
      <c r="CB237"/>
      <c r="CC237" s="856"/>
      <c r="CK237" s="709"/>
      <c r="CS237" s="709"/>
      <c r="DA237" s="709"/>
      <c r="DB237" s="3">
        <v>1</v>
      </c>
    </row>
    <row r="238" spans="1:106" ht="21" customHeight="1">
      <c r="A238" s="936" t="s">
        <v>22</v>
      </c>
      <c r="B238" s="952" t="str">
        <f t="shared" si="92"/>
        <v>►</v>
      </c>
      <c r="C238" s="993" cm="1">
        <f t="array" ref="C238">SUMPRODUCT(LEN(D238:J238))</f>
        <v>0</v>
      </c>
      <c r="D238" s="167"/>
      <c r="E238" s="172"/>
      <c r="F238" s="172"/>
      <c r="G238" s="172"/>
      <c r="H238" s="172"/>
      <c r="I238" s="172"/>
      <c r="J238" s="173"/>
      <c r="K238" s="442" t="s">
        <v>22</v>
      </c>
      <c r="L238" s="104" t="s">
        <v>16</v>
      </c>
      <c r="M238" s="1172"/>
      <c r="N238" s="1172"/>
      <c r="O238" s="1172"/>
      <c r="P238" s="1173"/>
      <c r="Q238" s="1174"/>
      <c r="R238" s="1175"/>
      <c r="S238" s="1176"/>
      <c r="T238" s="1177"/>
      <c r="U238" s="5248"/>
      <c r="V238" s="1177"/>
      <c r="W238" s="5249"/>
      <c r="X238" s="5208"/>
      <c r="Y238" s="5209"/>
      <c r="Z238" s="5210"/>
      <c r="AA238" s="5211"/>
      <c r="AB238" s="1178"/>
      <c r="AC238" s="1179"/>
      <c r="AD238" s="227" t="s">
        <v>22</v>
      </c>
      <c r="AE238" s="1027" t="str">
        <f t="shared" si="94"/>
        <v>►</v>
      </c>
      <c r="AF238" s="1028" t="str">
        <f t="shared" si="95"/>
        <v/>
      </c>
      <c r="AG238" s="1029" t="str">
        <f t="shared" si="96"/>
        <v/>
      </c>
      <c r="AH238" s="1028" t="str">
        <f t="shared" si="97"/>
        <v/>
      </c>
      <c r="AI238" s="1029" t="str">
        <f t="shared" si="98"/>
        <v/>
      </c>
      <c r="AJ238" s="1029">
        <f t="shared" si="99"/>
        <v>0</v>
      </c>
      <c r="AK238" s="1043" t="str" cm="1">
        <f t="array" ref="AK238">IF(AE238&lt;&gt;"A","",IFERROR((IFERROR(_xlfn.XLOOKUP(TRIM(SUBSTITUTE(U238,CHAR(160)," ")),$BI$15:$BI$62,$BL$15:$BL$62),IFERROR(_xlfn.XLOOKUP(TRIM(SUBSTITUTE(U238,CHAR(160)," ")),$BJ$15:$BJ$62,$BL$15:$BL$62),_xlfn.XLOOKUP(TRIM(SUBSTITUTE(U238,CHAR(160)," ")),$BK$15:$BK$62,$BL$15:$BL$62))))*T238*IF(ISBLANK(Q238),1,Q238)+IFERROR(_xlfn.XLOOKUP("RECHERCHEX",TRIM(L238:AC238),L238:AC238),0),0))</f>
        <v/>
      </c>
      <c r="AL238" s="1030">
        <f t="shared" si="100"/>
        <v>0</v>
      </c>
      <c r="AM238" s="5254" t="str">
        <f t="shared" si="115"/>
        <v/>
      </c>
      <c r="AN238" s="1031">
        <f t="shared" si="101"/>
        <v>0</v>
      </c>
      <c r="AO238" s="1031">
        <f t="shared" si="102"/>
        <v>0</v>
      </c>
      <c r="AP238" s="1032">
        <f t="shared" si="103"/>
        <v>0</v>
      </c>
      <c r="AQ238" s="5255" t="str">
        <f t="shared" si="104"/>
        <v/>
      </c>
      <c r="AR238" s="1056"/>
      <c r="AS238" s="1056"/>
      <c r="AT238" s="1034">
        <f t="shared" si="105"/>
        <v>0</v>
      </c>
      <c r="AU238" s="1035">
        <f t="shared" si="106"/>
        <v>0</v>
      </c>
      <c r="AV238" s="1057" cm="1">
        <f t="array" ref="AV238">IF(AJ238&lt;&gt;1,0,IF(OR(AT238="",N(AT238)&lt;=0.000000001),"",IF(OR(AN238="",N(AN238)&lt;=0.000000001),0,IF(ISNUMBER(AT238),IFERROR(_xlfn.LET(_xlpm.ai_test,TRIM(AI238),_xlpm.r,IFERROR(_xlfn.XLOOKUP(_xlpm.ai_test,$BI$15:$BI$62,ROW($BI$15:$BI$62),0,1),IFERROR(_xlfn.XLOOKUP(_xlpm.ai_test,$BJ$15:$BJ$62,ROW($BJ$15:$BJ$62),0,1),_xlfn.XLOOKUP(_xlpm.ai_test,$BK$15:$BK$62,ROW($BK$15:$BK$62),0,1))),_xlpm.p,_xlpm.r-MIN(ROW($BI$15:$BI$62))+1,_xlpm.f,INDEX($BL$15:$BL$62,_xlpm.p),_xlpm.u,INDEX($BM$15:$BM$62,_xlpm.p),_xlpm.s,INDEX($BO$15:$BO$62,_xlpm.p),_xlpm.q,N(AT238)/_xlpm.f,IF(_xlpm.q&gt;=_xlpm.s,ROUND(_xlpm.q,1)&amp;" "&amp;_xlpm.ai_test&amp;" = "&amp;ROUND(_xlpm.q*_xlpm.f,1)&amp;" "&amp;_xlpm.u,ROUND(_xlpm.q,1)&amp;" "&amp;_xlpm.ai_test)),""),""))))</f>
        <v>0</v>
      </c>
      <c r="AW238" s="1047"/>
      <c r="AX238" s="1034">
        <f t="shared" si="107"/>
        <v>0</v>
      </c>
      <c r="AY238" s="1035" t="str">
        <f t="shared" si="108"/>
        <v/>
      </c>
      <c r="AZ238" s="1036">
        <f t="shared" si="113"/>
        <v>0</v>
      </c>
      <c r="BA238" s="1037" t="str">
        <f t="shared" si="109"/>
        <v/>
      </c>
      <c r="BB238" s="1038"/>
      <c r="BC238" s="1039">
        <f t="shared" si="114"/>
        <v>0</v>
      </c>
      <c r="BD238" s="1040" t="str">
        <f t="shared" si="110"/>
        <v/>
      </c>
      <c r="BE238" s="227" t="s">
        <v>22</v>
      </c>
      <c r="BF238" s="1019">
        <f t="shared" si="111"/>
        <v>0</v>
      </c>
      <c r="BG238" s="1020">
        <f t="shared" si="112"/>
        <v>0</v>
      </c>
      <c r="BH238"/>
      <c r="BI238" s="709"/>
      <c r="BJ238" s="709"/>
      <c r="BK238" s="709"/>
      <c r="BL238" s="709"/>
      <c r="BM238" s="709"/>
      <c r="BN238" s="709"/>
      <c r="BO238" s="709"/>
      <c r="BP238" s="709"/>
      <c r="BW238" s="959" t="str">
        <f t="shared" si="93"/>
        <v>►</v>
      </c>
      <c r="CB238"/>
      <c r="CC238" s="856"/>
      <c r="CK238" s="709"/>
      <c r="CS238" s="709"/>
      <c r="DA238" s="709"/>
      <c r="DB238" s="3">
        <v>1</v>
      </c>
    </row>
    <row r="239" spans="1:106" ht="21" customHeight="1">
      <c r="A239" s="936" t="s">
        <v>22</v>
      </c>
      <c r="B239" s="952" t="str">
        <f t="shared" si="92"/>
        <v>►</v>
      </c>
      <c r="C239" s="993" cm="1">
        <f t="array" ref="C239">SUMPRODUCT(LEN(D239:J239))</f>
        <v>0</v>
      </c>
      <c r="D239" s="167"/>
      <c r="E239" s="172"/>
      <c r="F239" s="172"/>
      <c r="G239" s="172"/>
      <c r="H239" s="172"/>
      <c r="I239" s="172"/>
      <c r="J239" s="173"/>
      <c r="K239" s="442" t="s">
        <v>22</v>
      </c>
      <c r="L239" s="104" t="s">
        <v>16</v>
      </c>
      <c r="M239" s="1172"/>
      <c r="N239" s="1172"/>
      <c r="O239" s="1172"/>
      <c r="P239" s="1173"/>
      <c r="Q239" s="1174"/>
      <c r="R239" s="1175"/>
      <c r="S239" s="1176"/>
      <c r="T239" s="1177"/>
      <c r="U239" s="5248"/>
      <c r="V239" s="1177"/>
      <c r="W239" s="5249"/>
      <c r="X239" s="5208"/>
      <c r="Y239" s="5209"/>
      <c r="Z239" s="5210"/>
      <c r="AA239" s="5211"/>
      <c r="AB239" s="1178"/>
      <c r="AC239" s="1179"/>
      <c r="AD239" s="227" t="s">
        <v>22</v>
      </c>
      <c r="AE239" s="1027" t="str">
        <f t="shared" si="94"/>
        <v>►</v>
      </c>
      <c r="AF239" s="1028" t="str">
        <f t="shared" si="95"/>
        <v/>
      </c>
      <c r="AG239" s="1029" t="str">
        <f t="shared" si="96"/>
        <v/>
      </c>
      <c r="AH239" s="1028" t="str">
        <f t="shared" si="97"/>
        <v/>
      </c>
      <c r="AI239" s="1029" t="str">
        <f t="shared" si="98"/>
        <v/>
      </c>
      <c r="AJ239" s="1029">
        <f t="shared" si="99"/>
        <v>0</v>
      </c>
      <c r="AK239" s="1043" t="str" cm="1">
        <f t="array" ref="AK239">IF(AE239&lt;&gt;"A","",IFERROR((IFERROR(_xlfn.XLOOKUP(TRIM(SUBSTITUTE(U239,CHAR(160)," ")),$BI$15:$BI$62,$BL$15:$BL$62),IFERROR(_xlfn.XLOOKUP(TRIM(SUBSTITUTE(U239,CHAR(160)," ")),$BJ$15:$BJ$62,$BL$15:$BL$62),_xlfn.XLOOKUP(TRIM(SUBSTITUTE(U239,CHAR(160)," ")),$BK$15:$BK$62,$BL$15:$BL$62))))*T239*IF(ISBLANK(Q239),1,Q239)+IFERROR(_xlfn.XLOOKUP("RECHERCHEX",TRIM(L239:AC239),L239:AC239),0),0))</f>
        <v/>
      </c>
      <c r="AL239" s="1030">
        <f t="shared" si="100"/>
        <v>0</v>
      </c>
      <c r="AM239" s="5254" t="str">
        <f t="shared" si="115"/>
        <v/>
      </c>
      <c r="AN239" s="1031">
        <f t="shared" si="101"/>
        <v>0</v>
      </c>
      <c r="AO239" s="1031">
        <f t="shared" si="102"/>
        <v>0</v>
      </c>
      <c r="AP239" s="1044">
        <f t="shared" si="103"/>
        <v>0</v>
      </c>
      <c r="AQ239" s="5257" t="str">
        <f t="shared" si="104"/>
        <v/>
      </c>
      <c r="AR239" s="1056"/>
      <c r="AS239" s="1056"/>
      <c r="AT239" s="1045">
        <f t="shared" si="105"/>
        <v>0</v>
      </c>
      <c r="AU239" s="1046">
        <f t="shared" si="106"/>
        <v>0</v>
      </c>
      <c r="AV239" s="1059" cm="1">
        <f t="array" ref="AV239">IF(AJ239&lt;&gt;1,0,IF(OR(AT239="",N(AT239)&lt;=0.000000001),"",IF(OR(AN239="",N(AN239)&lt;=0.000000001),0,IF(ISNUMBER(AT239),IFERROR(_xlfn.LET(_xlpm.ai_test,TRIM(AI239),_xlpm.r,IFERROR(_xlfn.XLOOKUP(_xlpm.ai_test,$BI$15:$BI$62,ROW($BI$15:$BI$62),0,1),IFERROR(_xlfn.XLOOKUP(_xlpm.ai_test,$BJ$15:$BJ$62,ROW($BJ$15:$BJ$62),0,1),_xlfn.XLOOKUP(_xlpm.ai_test,$BK$15:$BK$62,ROW($BK$15:$BK$62),0,1))),_xlpm.p,_xlpm.r-MIN(ROW($BI$15:$BI$62))+1,_xlpm.f,INDEX($BL$15:$BL$62,_xlpm.p),_xlpm.u,INDEX($BM$15:$BM$62,_xlpm.p),_xlpm.s,INDEX($BO$15:$BO$62,_xlpm.p),_xlpm.q,N(AT239)/_xlpm.f,IF(_xlpm.q&gt;=_xlpm.s,ROUND(_xlpm.q,1)&amp;" "&amp;_xlpm.ai_test&amp;" = "&amp;ROUND(_xlpm.q*_xlpm.f,1)&amp;" "&amp;_xlpm.u,ROUND(_xlpm.q,1)&amp;" "&amp;_xlpm.ai_test)),""),""))))</f>
        <v>0</v>
      </c>
      <c r="AW239" s="1047"/>
      <c r="AX239" s="1045">
        <f t="shared" si="107"/>
        <v>0</v>
      </c>
      <c r="AY239" s="1046" t="str">
        <f t="shared" si="108"/>
        <v/>
      </c>
      <c r="AZ239" s="1048">
        <f t="shared" si="113"/>
        <v>0</v>
      </c>
      <c r="BA239" s="1049" t="str">
        <f t="shared" si="109"/>
        <v/>
      </c>
      <c r="BB239" s="1038"/>
      <c r="BC239" s="1050">
        <f t="shared" si="114"/>
        <v>0</v>
      </c>
      <c r="BD239" s="1040" t="str">
        <f t="shared" si="110"/>
        <v/>
      </c>
      <c r="BE239" s="227" t="s">
        <v>22</v>
      </c>
      <c r="BF239" s="1019">
        <f t="shared" si="111"/>
        <v>0</v>
      </c>
      <c r="BG239" s="1020">
        <f t="shared" si="112"/>
        <v>0</v>
      </c>
      <c r="BH239"/>
      <c r="BI239" s="709"/>
      <c r="BJ239" s="709"/>
      <c r="BK239" s="709"/>
      <c r="BL239" s="709"/>
      <c r="BM239" s="709"/>
      <c r="BN239" s="709"/>
      <c r="BO239" s="709"/>
      <c r="BP239" s="709"/>
      <c r="BW239" s="959" t="str">
        <f t="shared" si="93"/>
        <v>►</v>
      </c>
      <c r="CB239"/>
      <c r="CC239" s="856"/>
      <c r="CK239" s="709"/>
      <c r="CS239" s="709"/>
      <c r="DA239" s="709"/>
      <c r="DB239" s="3">
        <v>1</v>
      </c>
    </row>
    <row r="240" spans="1:106" ht="21" customHeight="1">
      <c r="A240" s="936" t="s">
        <v>22</v>
      </c>
      <c r="B240" s="952" t="str">
        <f t="shared" si="92"/>
        <v>►</v>
      </c>
      <c r="C240" s="993" cm="1">
        <f t="array" ref="C240">SUMPRODUCT(LEN(D240:J240))</f>
        <v>0</v>
      </c>
      <c r="D240" s="167"/>
      <c r="E240" s="172"/>
      <c r="F240" s="172"/>
      <c r="G240" s="172"/>
      <c r="H240" s="172"/>
      <c r="I240" s="172"/>
      <c r="J240" s="173"/>
      <c r="K240" s="442"/>
      <c r="L240" s="104" t="s">
        <v>16</v>
      </c>
      <c r="M240" s="1172"/>
      <c r="N240" s="1172"/>
      <c r="O240" s="1172"/>
      <c r="P240" s="1173"/>
      <c r="Q240" s="1174"/>
      <c r="R240" s="1175"/>
      <c r="S240" s="1176"/>
      <c r="T240" s="1177"/>
      <c r="U240" s="5248"/>
      <c r="V240" s="1177"/>
      <c r="W240" s="5249"/>
      <c r="X240" s="5208"/>
      <c r="Y240" s="5209"/>
      <c r="Z240" s="5210"/>
      <c r="AA240" s="5211"/>
      <c r="AB240" s="1178"/>
      <c r="AC240" s="1179"/>
      <c r="AD240" s="227" t="s">
        <v>22</v>
      </c>
      <c r="AE240" s="1027" t="str">
        <f t="shared" si="94"/>
        <v>►</v>
      </c>
      <c r="AF240" s="1028" t="str">
        <f t="shared" si="95"/>
        <v/>
      </c>
      <c r="AG240" s="1029" t="str">
        <f t="shared" si="96"/>
        <v/>
      </c>
      <c r="AH240" s="1028" t="str">
        <f t="shared" si="97"/>
        <v/>
      </c>
      <c r="AI240" s="1029" t="str">
        <f t="shared" si="98"/>
        <v/>
      </c>
      <c r="AJ240" s="1029">
        <f t="shared" si="99"/>
        <v>0</v>
      </c>
      <c r="AK240" s="1043" t="str" cm="1">
        <f t="array" ref="AK240">IF(AE240&lt;&gt;"A","",IFERROR((IFERROR(_xlfn.XLOOKUP(TRIM(SUBSTITUTE(U240,CHAR(160)," ")),$BI$15:$BI$62,$BL$15:$BL$62),IFERROR(_xlfn.XLOOKUP(TRIM(SUBSTITUTE(U240,CHAR(160)," ")),$BJ$15:$BJ$62,$BL$15:$BL$62),_xlfn.XLOOKUP(TRIM(SUBSTITUTE(U240,CHAR(160)," ")),$BK$15:$BK$62,$BL$15:$BL$62))))*T240*IF(ISBLANK(Q240),1,Q240)+IFERROR(_xlfn.XLOOKUP("RECHERCHEX",TRIM(L240:AC240),L240:AC240),0),0))</f>
        <v/>
      </c>
      <c r="AL240" s="1030">
        <f t="shared" si="100"/>
        <v>0</v>
      </c>
      <c r="AM240" s="5254" t="str">
        <f t="shared" si="115"/>
        <v/>
      </c>
      <c r="AN240" s="1031">
        <f t="shared" si="101"/>
        <v>0</v>
      </c>
      <c r="AO240" s="1031">
        <f t="shared" si="102"/>
        <v>0</v>
      </c>
      <c r="AP240" s="1032">
        <f t="shared" si="103"/>
        <v>0</v>
      </c>
      <c r="AQ240" s="5255" t="str">
        <f t="shared" si="104"/>
        <v/>
      </c>
      <c r="AR240" s="1056"/>
      <c r="AS240" s="1056"/>
      <c r="AT240" s="1034">
        <f t="shared" si="105"/>
        <v>0</v>
      </c>
      <c r="AU240" s="1035">
        <f t="shared" si="106"/>
        <v>0</v>
      </c>
      <c r="AV240" s="1057" cm="1">
        <f t="array" ref="AV240">IF(AJ240&lt;&gt;1,0,IF(OR(AT240="",N(AT240)&lt;=0.000000001),"",IF(OR(AN240="",N(AN240)&lt;=0.000000001),0,IF(ISNUMBER(AT240),IFERROR(_xlfn.LET(_xlpm.ai_test,TRIM(AI240),_xlpm.r,IFERROR(_xlfn.XLOOKUP(_xlpm.ai_test,$BI$15:$BI$62,ROW($BI$15:$BI$62),0,1),IFERROR(_xlfn.XLOOKUP(_xlpm.ai_test,$BJ$15:$BJ$62,ROW($BJ$15:$BJ$62),0,1),_xlfn.XLOOKUP(_xlpm.ai_test,$BK$15:$BK$62,ROW($BK$15:$BK$62),0,1))),_xlpm.p,_xlpm.r-MIN(ROW($BI$15:$BI$62))+1,_xlpm.f,INDEX($BL$15:$BL$62,_xlpm.p),_xlpm.u,INDEX($BM$15:$BM$62,_xlpm.p),_xlpm.s,INDEX($BO$15:$BO$62,_xlpm.p),_xlpm.q,N(AT240)/_xlpm.f,IF(_xlpm.q&gt;=_xlpm.s,ROUND(_xlpm.q,1)&amp;" "&amp;_xlpm.ai_test&amp;" = "&amp;ROUND(_xlpm.q*_xlpm.f,1)&amp;" "&amp;_xlpm.u,ROUND(_xlpm.q,1)&amp;" "&amp;_xlpm.ai_test)),""),""))))</f>
        <v>0</v>
      </c>
      <c r="AW240" s="1047"/>
      <c r="AX240" s="1034">
        <f t="shared" si="107"/>
        <v>0</v>
      </c>
      <c r="AY240" s="1035" t="str">
        <f t="shared" si="108"/>
        <v/>
      </c>
      <c r="AZ240" s="1036">
        <f t="shared" si="113"/>
        <v>0</v>
      </c>
      <c r="BA240" s="1037" t="str">
        <f t="shared" si="109"/>
        <v/>
      </c>
      <c r="BB240" s="1038"/>
      <c r="BC240" s="1039">
        <f t="shared" si="114"/>
        <v>0</v>
      </c>
      <c r="BD240" s="1040" t="str">
        <f t="shared" si="110"/>
        <v/>
      </c>
      <c r="BE240" s="227" t="s">
        <v>22</v>
      </c>
      <c r="BF240" s="1019">
        <f t="shared" si="111"/>
        <v>0</v>
      </c>
      <c r="BG240" s="1020">
        <f t="shared" si="112"/>
        <v>0</v>
      </c>
      <c r="BH240"/>
      <c r="BI240" s="709"/>
      <c r="BJ240" s="709"/>
      <c r="BK240" s="709"/>
      <c r="BL240" s="709"/>
      <c r="BM240" s="709"/>
      <c r="BN240" s="709"/>
      <c r="BO240" s="709"/>
      <c r="BP240" s="709"/>
      <c r="BW240" s="959" t="str">
        <f t="shared" si="93"/>
        <v>►</v>
      </c>
      <c r="CB240"/>
      <c r="CC240" s="856"/>
      <c r="CK240" s="709"/>
      <c r="CS240" s="709"/>
      <c r="DA240" s="709"/>
      <c r="DB240" s="3">
        <v>1</v>
      </c>
    </row>
    <row r="241" spans="1:106" ht="21" customHeight="1">
      <c r="A241" s="936" t="s">
        <v>22</v>
      </c>
      <c r="B241" s="952" t="str">
        <f t="shared" si="92"/>
        <v>►</v>
      </c>
      <c r="C241" s="993" cm="1">
        <f t="array" ref="C241">SUMPRODUCT(LEN(D241:J241))</f>
        <v>0</v>
      </c>
      <c r="D241" s="167"/>
      <c r="E241" s="172"/>
      <c r="F241" s="172"/>
      <c r="G241" s="172"/>
      <c r="H241" s="172"/>
      <c r="I241" s="172"/>
      <c r="J241" s="173"/>
      <c r="K241" s="442"/>
      <c r="L241" s="104" t="s">
        <v>16</v>
      </c>
      <c r="M241" s="1172"/>
      <c r="N241" s="1172"/>
      <c r="O241" s="1172"/>
      <c r="P241" s="1173"/>
      <c r="Q241" s="1174"/>
      <c r="R241" s="1175"/>
      <c r="S241" s="1176"/>
      <c r="T241" s="1177"/>
      <c r="U241" s="5248"/>
      <c r="V241" s="1177"/>
      <c r="W241" s="5249"/>
      <c r="X241" s="5208"/>
      <c r="Y241" s="5209"/>
      <c r="Z241" s="5210"/>
      <c r="AA241" s="5211"/>
      <c r="AB241" s="1178"/>
      <c r="AC241" s="1179"/>
      <c r="AD241" s="227" t="s">
        <v>22</v>
      </c>
      <c r="AE241" s="1027" t="str">
        <f t="shared" si="94"/>
        <v>►</v>
      </c>
      <c r="AF241" s="1028" t="str">
        <f t="shared" si="95"/>
        <v/>
      </c>
      <c r="AG241" s="1029" t="str">
        <f t="shared" si="96"/>
        <v/>
      </c>
      <c r="AH241" s="1028" t="str">
        <f t="shared" si="97"/>
        <v/>
      </c>
      <c r="AI241" s="1029" t="str">
        <f t="shared" si="98"/>
        <v/>
      </c>
      <c r="AJ241" s="1029">
        <f t="shared" si="99"/>
        <v>0</v>
      </c>
      <c r="AK241" s="1043" t="str" cm="1">
        <f t="array" ref="AK241">IF(AE241&lt;&gt;"A","",IFERROR((IFERROR(_xlfn.XLOOKUP(TRIM(SUBSTITUTE(U241,CHAR(160)," ")),$BI$15:$BI$62,$BL$15:$BL$62),IFERROR(_xlfn.XLOOKUP(TRIM(SUBSTITUTE(U241,CHAR(160)," ")),$BJ$15:$BJ$62,$BL$15:$BL$62),_xlfn.XLOOKUP(TRIM(SUBSTITUTE(U241,CHAR(160)," ")),$BK$15:$BK$62,$BL$15:$BL$62))))*T241*IF(ISBLANK(Q241),1,Q241)+IFERROR(_xlfn.XLOOKUP("RECHERCHEX",TRIM(L241:AC241),L241:AC241),0),0))</f>
        <v/>
      </c>
      <c r="AL241" s="1030">
        <f t="shared" si="100"/>
        <v>0</v>
      </c>
      <c r="AM241" s="5254" t="str">
        <f t="shared" si="115"/>
        <v/>
      </c>
      <c r="AN241" s="1031">
        <f t="shared" si="101"/>
        <v>0</v>
      </c>
      <c r="AO241" s="1031">
        <f t="shared" si="102"/>
        <v>0</v>
      </c>
      <c r="AP241" s="1044">
        <f t="shared" si="103"/>
        <v>0</v>
      </c>
      <c r="AQ241" s="5257" t="str">
        <f t="shared" si="104"/>
        <v/>
      </c>
      <c r="AR241" s="1056"/>
      <c r="AS241" s="1056"/>
      <c r="AT241" s="1045">
        <f t="shared" si="105"/>
        <v>0</v>
      </c>
      <c r="AU241" s="1046">
        <f t="shared" si="106"/>
        <v>0</v>
      </c>
      <c r="AV241" s="1059" cm="1">
        <f t="array" ref="AV241">IF(AJ241&lt;&gt;1,0,IF(OR(AT241="",N(AT241)&lt;=0.000000001),"",IF(OR(AN241="",N(AN241)&lt;=0.000000001),0,IF(ISNUMBER(AT241),IFERROR(_xlfn.LET(_xlpm.ai_test,TRIM(AI241),_xlpm.r,IFERROR(_xlfn.XLOOKUP(_xlpm.ai_test,$BI$15:$BI$62,ROW($BI$15:$BI$62),0,1),IFERROR(_xlfn.XLOOKUP(_xlpm.ai_test,$BJ$15:$BJ$62,ROW($BJ$15:$BJ$62),0,1),_xlfn.XLOOKUP(_xlpm.ai_test,$BK$15:$BK$62,ROW($BK$15:$BK$62),0,1))),_xlpm.p,_xlpm.r-MIN(ROW($BI$15:$BI$62))+1,_xlpm.f,INDEX($BL$15:$BL$62,_xlpm.p),_xlpm.u,INDEX($BM$15:$BM$62,_xlpm.p),_xlpm.s,INDEX($BO$15:$BO$62,_xlpm.p),_xlpm.q,N(AT241)/_xlpm.f,IF(_xlpm.q&gt;=_xlpm.s,ROUND(_xlpm.q,1)&amp;" "&amp;_xlpm.ai_test&amp;" = "&amp;ROUND(_xlpm.q*_xlpm.f,1)&amp;" "&amp;_xlpm.u,ROUND(_xlpm.q,1)&amp;" "&amp;_xlpm.ai_test)),""),""))))</f>
        <v>0</v>
      </c>
      <c r="AW241" s="1047"/>
      <c r="AX241" s="1045">
        <f t="shared" si="107"/>
        <v>0</v>
      </c>
      <c r="AY241" s="1046" t="str">
        <f t="shared" si="108"/>
        <v/>
      </c>
      <c r="AZ241" s="1048">
        <f t="shared" si="113"/>
        <v>0</v>
      </c>
      <c r="BA241" s="1049" t="str">
        <f t="shared" si="109"/>
        <v/>
      </c>
      <c r="BB241" s="1038"/>
      <c r="BC241" s="1050">
        <f t="shared" si="114"/>
        <v>0</v>
      </c>
      <c r="BD241" s="1040" t="str">
        <f t="shared" si="110"/>
        <v/>
      </c>
      <c r="BE241" s="227" t="s">
        <v>22</v>
      </c>
      <c r="BF241" s="1019">
        <f t="shared" si="111"/>
        <v>0</v>
      </c>
      <c r="BG241" s="1020">
        <f t="shared" si="112"/>
        <v>0</v>
      </c>
      <c r="BH241"/>
      <c r="BI241" s="709"/>
      <c r="BJ241" s="709"/>
      <c r="BK241" s="709"/>
      <c r="BL241" s="709"/>
      <c r="BM241" s="709"/>
      <c r="BN241" s="709"/>
      <c r="BO241" s="709"/>
      <c r="BP241" s="709"/>
      <c r="BW241" s="959" t="str">
        <f t="shared" si="93"/>
        <v>►</v>
      </c>
      <c r="CB241"/>
      <c r="CC241" s="856"/>
      <c r="CK241" s="709"/>
      <c r="CS241" s="709"/>
      <c r="DA241" s="709"/>
      <c r="DB241" s="3">
        <v>1</v>
      </c>
    </row>
    <row r="242" spans="1:106" ht="21" customHeight="1">
      <c r="A242" s="936" t="s">
        <v>22</v>
      </c>
      <c r="B242" s="952" t="str">
        <f t="shared" si="92"/>
        <v>►</v>
      </c>
      <c r="C242" s="993" cm="1">
        <f t="array" ref="C242">SUMPRODUCT(LEN(D242:J242))</f>
        <v>0</v>
      </c>
      <c r="D242" s="167"/>
      <c r="E242" s="172"/>
      <c r="F242" s="172"/>
      <c r="G242" s="172"/>
      <c r="H242" s="172"/>
      <c r="I242" s="172"/>
      <c r="J242" s="173"/>
      <c r="K242" s="442"/>
      <c r="L242" s="104" t="s">
        <v>16</v>
      </c>
      <c r="M242" s="1172"/>
      <c r="N242" s="1172"/>
      <c r="O242" s="1172"/>
      <c r="P242" s="1173"/>
      <c r="Q242" s="1174"/>
      <c r="R242" s="1175"/>
      <c r="S242" s="1176"/>
      <c r="T242" s="1177"/>
      <c r="U242" s="5248"/>
      <c r="V242" s="1177"/>
      <c r="W242" s="5249"/>
      <c r="X242" s="5208"/>
      <c r="Y242" s="5209"/>
      <c r="Z242" s="5210"/>
      <c r="AA242" s="5211"/>
      <c r="AB242" s="1178"/>
      <c r="AC242" s="1179"/>
      <c r="AD242" s="227" t="s">
        <v>22</v>
      </c>
      <c r="AE242" s="1027" t="str">
        <f t="shared" si="94"/>
        <v>►</v>
      </c>
      <c r="AF242" s="1028" t="str">
        <f t="shared" si="95"/>
        <v/>
      </c>
      <c r="AG242" s="1029" t="str">
        <f t="shared" si="96"/>
        <v/>
      </c>
      <c r="AH242" s="1028" t="str">
        <f t="shared" si="97"/>
        <v/>
      </c>
      <c r="AI242" s="1029" t="str">
        <f t="shared" si="98"/>
        <v/>
      </c>
      <c r="AJ242" s="1029">
        <f t="shared" si="99"/>
        <v>0</v>
      </c>
      <c r="AK242" s="1043" t="str" cm="1">
        <f t="array" ref="AK242">IF(AE242&lt;&gt;"A","",IFERROR((IFERROR(_xlfn.XLOOKUP(TRIM(SUBSTITUTE(U242,CHAR(160)," ")),$BI$15:$BI$62,$BL$15:$BL$62),IFERROR(_xlfn.XLOOKUP(TRIM(SUBSTITUTE(U242,CHAR(160)," ")),$BJ$15:$BJ$62,$BL$15:$BL$62),_xlfn.XLOOKUP(TRIM(SUBSTITUTE(U242,CHAR(160)," ")),$BK$15:$BK$62,$BL$15:$BL$62))))*T242*IF(ISBLANK(Q242),1,Q242)+IFERROR(_xlfn.XLOOKUP("RECHERCHEX",TRIM(L242:AC242),L242:AC242),0),0))</f>
        <v/>
      </c>
      <c r="AL242" s="1030">
        <f t="shared" si="100"/>
        <v>0</v>
      </c>
      <c r="AM242" s="5254" t="str">
        <f t="shared" si="115"/>
        <v/>
      </c>
      <c r="AN242" s="1031">
        <f t="shared" si="101"/>
        <v>0</v>
      </c>
      <c r="AO242" s="1031">
        <f t="shared" si="102"/>
        <v>0</v>
      </c>
      <c r="AP242" s="1032">
        <f t="shared" si="103"/>
        <v>0</v>
      </c>
      <c r="AQ242" s="5255" t="str">
        <f t="shared" si="104"/>
        <v/>
      </c>
      <c r="AR242" s="1056"/>
      <c r="AS242" s="1056"/>
      <c r="AT242" s="1034">
        <f t="shared" si="105"/>
        <v>0</v>
      </c>
      <c r="AU242" s="1035">
        <f t="shared" si="106"/>
        <v>0</v>
      </c>
      <c r="AV242" s="1057" cm="1">
        <f t="array" ref="AV242">IF(AJ242&lt;&gt;1,0,IF(OR(AT242="",N(AT242)&lt;=0.000000001),"",IF(OR(AN242="",N(AN242)&lt;=0.000000001),0,IF(ISNUMBER(AT242),IFERROR(_xlfn.LET(_xlpm.ai_test,TRIM(AI242),_xlpm.r,IFERROR(_xlfn.XLOOKUP(_xlpm.ai_test,$BI$15:$BI$62,ROW($BI$15:$BI$62),0,1),IFERROR(_xlfn.XLOOKUP(_xlpm.ai_test,$BJ$15:$BJ$62,ROW($BJ$15:$BJ$62),0,1),_xlfn.XLOOKUP(_xlpm.ai_test,$BK$15:$BK$62,ROW($BK$15:$BK$62),0,1))),_xlpm.p,_xlpm.r-MIN(ROW($BI$15:$BI$62))+1,_xlpm.f,INDEX($BL$15:$BL$62,_xlpm.p),_xlpm.u,INDEX($BM$15:$BM$62,_xlpm.p),_xlpm.s,INDEX($BO$15:$BO$62,_xlpm.p),_xlpm.q,N(AT242)/_xlpm.f,IF(_xlpm.q&gt;=_xlpm.s,ROUND(_xlpm.q,1)&amp;" "&amp;_xlpm.ai_test&amp;" = "&amp;ROUND(_xlpm.q*_xlpm.f,1)&amp;" "&amp;_xlpm.u,ROUND(_xlpm.q,1)&amp;" "&amp;_xlpm.ai_test)),""),""))))</f>
        <v>0</v>
      </c>
      <c r="AW242" s="1047"/>
      <c r="AX242" s="1034">
        <f t="shared" si="107"/>
        <v>0</v>
      </c>
      <c r="AY242" s="1035" t="str">
        <f t="shared" si="108"/>
        <v/>
      </c>
      <c r="AZ242" s="1036">
        <f t="shared" si="113"/>
        <v>0</v>
      </c>
      <c r="BA242" s="1037" t="str">
        <f t="shared" si="109"/>
        <v/>
      </c>
      <c r="BB242" s="1038"/>
      <c r="BC242" s="1039">
        <f t="shared" si="114"/>
        <v>0</v>
      </c>
      <c r="BD242" s="1040" t="str">
        <f t="shared" si="110"/>
        <v/>
      </c>
      <c r="BE242" s="227" t="s">
        <v>22</v>
      </c>
      <c r="BF242" s="1019">
        <f t="shared" si="111"/>
        <v>0</v>
      </c>
      <c r="BG242" s="1020">
        <f t="shared" si="112"/>
        <v>0</v>
      </c>
      <c r="BH242"/>
      <c r="BI242" s="709"/>
      <c r="BJ242" s="709"/>
      <c r="BK242" s="709"/>
      <c r="BL242" s="709"/>
      <c r="BM242" s="709"/>
      <c r="BN242" s="709"/>
      <c r="BO242" s="709"/>
      <c r="BP242" s="709"/>
      <c r="BW242" s="959" t="str">
        <f t="shared" si="93"/>
        <v>►</v>
      </c>
      <c r="CB242"/>
      <c r="CC242" s="856"/>
      <c r="CK242" s="709"/>
      <c r="CS242" s="709"/>
      <c r="DA242" s="709"/>
      <c r="DB242" s="3">
        <v>1</v>
      </c>
    </row>
    <row r="243" spans="1:106" ht="21" customHeight="1">
      <c r="A243" s="936" t="s">
        <v>22</v>
      </c>
      <c r="B243" s="952" t="str">
        <f t="shared" si="92"/>
        <v>►</v>
      </c>
      <c r="C243" s="993" cm="1">
        <f t="array" ref="C243">SUMPRODUCT(LEN(D243:J243))</f>
        <v>0</v>
      </c>
      <c r="D243" s="167"/>
      <c r="E243" s="172"/>
      <c r="F243" s="172"/>
      <c r="G243" s="172"/>
      <c r="H243" s="172"/>
      <c r="I243" s="172"/>
      <c r="J243" s="173"/>
      <c r="K243" s="442"/>
      <c r="L243" s="104" t="s">
        <v>16</v>
      </c>
      <c r="M243" s="1172"/>
      <c r="N243" s="1172"/>
      <c r="O243" s="1172"/>
      <c r="P243" s="1173"/>
      <c r="Q243" s="1174"/>
      <c r="R243" s="1175"/>
      <c r="S243" s="1176"/>
      <c r="T243" s="1177"/>
      <c r="U243" s="5248"/>
      <c r="V243" s="1177"/>
      <c r="W243" s="5249"/>
      <c r="X243" s="5208"/>
      <c r="Y243" s="5209"/>
      <c r="Z243" s="5210"/>
      <c r="AA243" s="5211"/>
      <c r="AB243" s="1178"/>
      <c r="AC243" s="1179"/>
      <c r="AD243" s="227" t="s">
        <v>22</v>
      </c>
      <c r="AE243" s="1027" t="str">
        <f t="shared" si="94"/>
        <v>►</v>
      </c>
      <c r="AF243" s="1028" t="str">
        <f t="shared" si="95"/>
        <v/>
      </c>
      <c r="AG243" s="1029" t="str">
        <f t="shared" si="96"/>
        <v/>
      </c>
      <c r="AH243" s="1028" t="str">
        <f t="shared" si="97"/>
        <v/>
      </c>
      <c r="AI243" s="1029" t="str">
        <f t="shared" si="98"/>
        <v/>
      </c>
      <c r="AJ243" s="1029">
        <f t="shared" si="99"/>
        <v>0</v>
      </c>
      <c r="AK243" s="1043" t="str" cm="1">
        <f t="array" ref="AK243">IF(AE243&lt;&gt;"A","",IFERROR((IFERROR(_xlfn.XLOOKUP(TRIM(SUBSTITUTE(U243,CHAR(160)," ")),$BI$15:$BI$62,$BL$15:$BL$62),IFERROR(_xlfn.XLOOKUP(TRIM(SUBSTITUTE(U243,CHAR(160)," ")),$BJ$15:$BJ$62,$BL$15:$BL$62),_xlfn.XLOOKUP(TRIM(SUBSTITUTE(U243,CHAR(160)," ")),$BK$15:$BK$62,$BL$15:$BL$62))))*T243*IF(ISBLANK(Q243),1,Q243)+IFERROR(_xlfn.XLOOKUP("RECHERCHEX",TRIM(L243:AC243),L243:AC243),0),0))</f>
        <v/>
      </c>
      <c r="AL243" s="1030">
        <f t="shared" si="100"/>
        <v>0</v>
      </c>
      <c r="AM243" s="5254" t="str">
        <f t="shared" si="115"/>
        <v/>
      </c>
      <c r="AN243" s="1031">
        <f t="shared" si="101"/>
        <v>0</v>
      </c>
      <c r="AO243" s="1031">
        <f t="shared" si="102"/>
        <v>0</v>
      </c>
      <c r="AP243" s="1044">
        <f t="shared" si="103"/>
        <v>0</v>
      </c>
      <c r="AQ243" s="5257" t="str">
        <f t="shared" si="104"/>
        <v/>
      </c>
      <c r="AR243" s="1056"/>
      <c r="AS243" s="1056"/>
      <c r="AT243" s="1045">
        <f t="shared" si="105"/>
        <v>0</v>
      </c>
      <c r="AU243" s="1046">
        <f t="shared" si="106"/>
        <v>0</v>
      </c>
      <c r="AV243" s="1059" cm="1">
        <f t="array" ref="AV243">IF(AJ243&lt;&gt;1,0,IF(OR(AT243="",N(AT243)&lt;=0.000000001),"",IF(OR(AN243="",N(AN243)&lt;=0.000000001),0,IF(ISNUMBER(AT243),IFERROR(_xlfn.LET(_xlpm.ai_test,TRIM(AI243),_xlpm.r,IFERROR(_xlfn.XLOOKUP(_xlpm.ai_test,$BI$15:$BI$62,ROW($BI$15:$BI$62),0,1),IFERROR(_xlfn.XLOOKUP(_xlpm.ai_test,$BJ$15:$BJ$62,ROW($BJ$15:$BJ$62),0,1),_xlfn.XLOOKUP(_xlpm.ai_test,$BK$15:$BK$62,ROW($BK$15:$BK$62),0,1))),_xlpm.p,_xlpm.r-MIN(ROW($BI$15:$BI$62))+1,_xlpm.f,INDEX($BL$15:$BL$62,_xlpm.p),_xlpm.u,INDEX($BM$15:$BM$62,_xlpm.p),_xlpm.s,INDEX($BO$15:$BO$62,_xlpm.p),_xlpm.q,N(AT243)/_xlpm.f,IF(_xlpm.q&gt;=_xlpm.s,ROUND(_xlpm.q,1)&amp;" "&amp;_xlpm.ai_test&amp;" = "&amp;ROUND(_xlpm.q*_xlpm.f,1)&amp;" "&amp;_xlpm.u,ROUND(_xlpm.q,1)&amp;" "&amp;_xlpm.ai_test)),""),""))))</f>
        <v>0</v>
      </c>
      <c r="AW243" s="1047"/>
      <c r="AX243" s="1045">
        <f t="shared" si="107"/>
        <v>0</v>
      </c>
      <c r="AY243" s="1046" t="str">
        <f t="shared" si="108"/>
        <v/>
      </c>
      <c r="AZ243" s="1048">
        <f t="shared" si="113"/>
        <v>0</v>
      </c>
      <c r="BA243" s="1049" t="str">
        <f t="shared" si="109"/>
        <v/>
      </c>
      <c r="BB243" s="1038"/>
      <c r="BC243" s="1050">
        <f t="shared" si="114"/>
        <v>0</v>
      </c>
      <c r="BD243" s="1040" t="str">
        <f t="shared" si="110"/>
        <v/>
      </c>
      <c r="BE243" s="227" t="s">
        <v>22</v>
      </c>
      <c r="BF243" s="1019">
        <f t="shared" si="111"/>
        <v>0</v>
      </c>
      <c r="BG243" s="1020">
        <f t="shared" si="112"/>
        <v>0</v>
      </c>
      <c r="BH243"/>
      <c r="BI243" s="709"/>
      <c r="BJ243" s="709"/>
      <c r="BK243" s="709"/>
      <c r="BL243" s="709"/>
      <c r="BM243" s="709"/>
      <c r="BN243" s="709"/>
      <c r="BO243" s="709"/>
      <c r="BP243" s="709"/>
      <c r="BW243" s="959" t="str">
        <f t="shared" si="93"/>
        <v>►</v>
      </c>
      <c r="CB243"/>
      <c r="CC243" s="856"/>
      <c r="CK243" s="709"/>
      <c r="CS243" s="709"/>
      <c r="DA243" s="709"/>
      <c r="DB243" s="3">
        <v>1</v>
      </c>
    </row>
    <row r="244" spans="1:106" ht="21" customHeight="1">
      <c r="A244" s="936" t="s">
        <v>22</v>
      </c>
      <c r="B244" s="952" t="str">
        <f t="shared" si="92"/>
        <v>►</v>
      </c>
      <c r="C244" s="993" cm="1">
        <f t="array" ref="C244">SUMPRODUCT(LEN(D244:J244))</f>
        <v>0</v>
      </c>
      <c r="D244" s="167"/>
      <c r="E244" s="172"/>
      <c r="F244" s="172"/>
      <c r="G244" s="172"/>
      <c r="H244" s="172"/>
      <c r="I244" s="172"/>
      <c r="J244" s="173"/>
      <c r="K244" s="442"/>
      <c r="L244" s="104" t="s">
        <v>16</v>
      </c>
      <c r="M244" s="1172"/>
      <c r="N244" s="1172"/>
      <c r="O244" s="1172"/>
      <c r="P244" s="1173"/>
      <c r="Q244" s="1174"/>
      <c r="R244" s="1175"/>
      <c r="S244" s="1176"/>
      <c r="T244" s="1177"/>
      <c r="U244" s="5248"/>
      <c r="V244" s="1177"/>
      <c r="W244" s="5249"/>
      <c r="X244" s="5208"/>
      <c r="Y244" s="5209"/>
      <c r="Z244" s="5210"/>
      <c r="AA244" s="5211"/>
      <c r="AB244" s="1178"/>
      <c r="AC244" s="1179"/>
      <c r="AD244" s="227" t="s">
        <v>22</v>
      </c>
      <c r="AE244" s="1027" t="str">
        <f t="shared" si="94"/>
        <v>►</v>
      </c>
      <c r="AF244" s="1028" t="str">
        <f t="shared" si="95"/>
        <v/>
      </c>
      <c r="AG244" s="1029" t="str">
        <f t="shared" si="96"/>
        <v/>
      </c>
      <c r="AH244" s="1028" t="str">
        <f t="shared" si="97"/>
        <v/>
      </c>
      <c r="AI244" s="1029" t="str">
        <f t="shared" si="98"/>
        <v/>
      </c>
      <c r="AJ244" s="1029">
        <f t="shared" si="99"/>
        <v>0</v>
      </c>
      <c r="AK244" s="1043" t="str" cm="1">
        <f t="array" ref="AK244">IF(AE244&lt;&gt;"A","",IFERROR((IFERROR(_xlfn.XLOOKUP(TRIM(SUBSTITUTE(U244,CHAR(160)," ")),$BI$15:$BI$62,$BL$15:$BL$62),IFERROR(_xlfn.XLOOKUP(TRIM(SUBSTITUTE(U244,CHAR(160)," ")),$BJ$15:$BJ$62,$BL$15:$BL$62),_xlfn.XLOOKUP(TRIM(SUBSTITUTE(U244,CHAR(160)," ")),$BK$15:$BK$62,$BL$15:$BL$62))))*T244*IF(ISBLANK(Q244),1,Q244)+IFERROR(_xlfn.XLOOKUP("RECHERCHEX",TRIM(L244:AC244),L244:AC244),0),0))</f>
        <v/>
      </c>
      <c r="AL244" s="1030">
        <f t="shared" si="100"/>
        <v>0</v>
      </c>
      <c r="AM244" s="5254" t="str">
        <f t="shared" si="115"/>
        <v/>
      </c>
      <c r="AN244" s="1031">
        <f t="shared" si="101"/>
        <v>0</v>
      </c>
      <c r="AO244" s="1031">
        <f t="shared" si="102"/>
        <v>0</v>
      </c>
      <c r="AP244" s="1032">
        <f t="shared" si="103"/>
        <v>0</v>
      </c>
      <c r="AQ244" s="5255" t="str">
        <f t="shared" si="104"/>
        <v/>
      </c>
      <c r="AR244" s="1056"/>
      <c r="AS244" s="1056"/>
      <c r="AT244" s="1034">
        <f t="shared" si="105"/>
        <v>0</v>
      </c>
      <c r="AU244" s="1035">
        <f t="shared" si="106"/>
        <v>0</v>
      </c>
      <c r="AV244" s="1057" cm="1">
        <f t="array" ref="AV244">IF(AJ244&lt;&gt;1,0,IF(OR(AT244="",N(AT244)&lt;=0.000000001),"",IF(OR(AN244="",N(AN244)&lt;=0.000000001),0,IF(ISNUMBER(AT244),IFERROR(_xlfn.LET(_xlpm.ai_test,TRIM(AI244),_xlpm.r,IFERROR(_xlfn.XLOOKUP(_xlpm.ai_test,$BI$15:$BI$62,ROW($BI$15:$BI$62),0,1),IFERROR(_xlfn.XLOOKUP(_xlpm.ai_test,$BJ$15:$BJ$62,ROW($BJ$15:$BJ$62),0,1),_xlfn.XLOOKUP(_xlpm.ai_test,$BK$15:$BK$62,ROW($BK$15:$BK$62),0,1))),_xlpm.p,_xlpm.r-MIN(ROW($BI$15:$BI$62))+1,_xlpm.f,INDEX($BL$15:$BL$62,_xlpm.p),_xlpm.u,INDEX($BM$15:$BM$62,_xlpm.p),_xlpm.s,INDEX($BO$15:$BO$62,_xlpm.p),_xlpm.q,N(AT244)/_xlpm.f,IF(_xlpm.q&gt;=_xlpm.s,ROUND(_xlpm.q,1)&amp;" "&amp;_xlpm.ai_test&amp;" = "&amp;ROUND(_xlpm.q*_xlpm.f,1)&amp;" "&amp;_xlpm.u,ROUND(_xlpm.q,1)&amp;" "&amp;_xlpm.ai_test)),""),""))))</f>
        <v>0</v>
      </c>
      <c r="AW244" s="1047"/>
      <c r="AX244" s="1034">
        <f t="shared" si="107"/>
        <v>0</v>
      </c>
      <c r="AY244" s="1035" t="str">
        <f t="shared" si="108"/>
        <v/>
      </c>
      <c r="AZ244" s="1036">
        <f t="shared" si="113"/>
        <v>0</v>
      </c>
      <c r="BA244" s="1037" t="str">
        <f t="shared" si="109"/>
        <v/>
      </c>
      <c r="BB244" s="1038"/>
      <c r="BC244" s="1039">
        <f t="shared" si="114"/>
        <v>0</v>
      </c>
      <c r="BD244" s="1040" t="str">
        <f t="shared" si="110"/>
        <v/>
      </c>
      <c r="BE244" s="227" t="s">
        <v>22</v>
      </c>
      <c r="BF244" s="1019">
        <f t="shared" si="111"/>
        <v>0</v>
      </c>
      <c r="BG244" s="1020">
        <f t="shared" si="112"/>
        <v>0</v>
      </c>
      <c r="BH244"/>
      <c r="BI244" s="709"/>
      <c r="BJ244" s="709"/>
      <c r="BK244" s="709"/>
      <c r="BL244" s="709"/>
      <c r="BM244" s="709"/>
      <c r="BN244" s="709"/>
      <c r="BO244" s="709"/>
      <c r="BP244" s="709"/>
      <c r="BW244" s="959" t="str">
        <f t="shared" si="93"/>
        <v>►</v>
      </c>
      <c r="CB244"/>
      <c r="CC244" s="856"/>
      <c r="CK244" s="709"/>
      <c r="CS244" s="709"/>
      <c r="DA244" s="709"/>
      <c r="DB244" s="3">
        <v>1</v>
      </c>
    </row>
    <row r="245" spans="1:106" ht="21" customHeight="1">
      <c r="A245" s="936" t="s">
        <v>22</v>
      </c>
      <c r="B245" s="952" t="str">
        <f t="shared" si="92"/>
        <v>►</v>
      </c>
      <c r="C245" s="993" cm="1">
        <f t="array" ref="C245">SUMPRODUCT(LEN(D245:J245))</f>
        <v>0</v>
      </c>
      <c r="D245" s="167"/>
      <c r="E245" s="172"/>
      <c r="F245" s="172"/>
      <c r="G245" s="172"/>
      <c r="H245" s="172"/>
      <c r="I245" s="172"/>
      <c r="J245" s="173"/>
      <c r="K245" s="442"/>
      <c r="L245" s="104" t="s">
        <v>16</v>
      </c>
      <c r="M245" s="1172"/>
      <c r="N245" s="1172"/>
      <c r="O245" s="1172"/>
      <c r="P245" s="1173"/>
      <c r="Q245" s="1174"/>
      <c r="R245" s="1175"/>
      <c r="S245" s="1176"/>
      <c r="T245" s="1177"/>
      <c r="U245" s="5248"/>
      <c r="V245" s="1177"/>
      <c r="W245" s="5249"/>
      <c r="X245" s="5208"/>
      <c r="Y245" s="5209"/>
      <c r="Z245" s="5210"/>
      <c r="AA245" s="5211"/>
      <c r="AB245" s="1178"/>
      <c r="AC245" s="1179"/>
      <c r="AD245" s="227" t="s">
        <v>22</v>
      </c>
      <c r="AE245" s="1027" t="str">
        <f t="shared" si="94"/>
        <v>►</v>
      </c>
      <c r="AF245" s="1028" t="str">
        <f t="shared" si="95"/>
        <v/>
      </c>
      <c r="AG245" s="1029" t="str">
        <f t="shared" si="96"/>
        <v/>
      </c>
      <c r="AH245" s="1028" t="str">
        <f t="shared" si="97"/>
        <v/>
      </c>
      <c r="AI245" s="1029" t="str">
        <f t="shared" si="98"/>
        <v/>
      </c>
      <c r="AJ245" s="1029">
        <f t="shared" si="99"/>
        <v>0</v>
      </c>
      <c r="AK245" s="1043" t="str" cm="1">
        <f t="array" ref="AK245">IF(AE245&lt;&gt;"A","",IFERROR((IFERROR(_xlfn.XLOOKUP(TRIM(SUBSTITUTE(U245,CHAR(160)," ")),$BI$15:$BI$62,$BL$15:$BL$62),IFERROR(_xlfn.XLOOKUP(TRIM(SUBSTITUTE(U245,CHAR(160)," ")),$BJ$15:$BJ$62,$BL$15:$BL$62),_xlfn.XLOOKUP(TRIM(SUBSTITUTE(U245,CHAR(160)," ")),$BK$15:$BK$62,$BL$15:$BL$62))))*T245*IF(ISBLANK(Q245),1,Q245)+IFERROR(_xlfn.XLOOKUP("RECHERCHEX",TRIM(L245:AC245),L245:AC245),0),0))</f>
        <v/>
      </c>
      <c r="AL245" s="1030">
        <f t="shared" si="100"/>
        <v>0</v>
      </c>
      <c r="AM245" s="5254" t="str">
        <f t="shared" si="115"/>
        <v/>
      </c>
      <c r="AN245" s="1031">
        <f t="shared" si="101"/>
        <v>0</v>
      </c>
      <c r="AO245" s="1031">
        <f t="shared" si="102"/>
        <v>0</v>
      </c>
      <c r="AP245" s="1044">
        <f t="shared" si="103"/>
        <v>0</v>
      </c>
      <c r="AQ245" s="5257" t="str">
        <f t="shared" si="104"/>
        <v/>
      </c>
      <c r="AR245" s="1056"/>
      <c r="AS245" s="1056"/>
      <c r="AT245" s="1045">
        <f t="shared" si="105"/>
        <v>0</v>
      </c>
      <c r="AU245" s="1046">
        <f t="shared" si="106"/>
        <v>0</v>
      </c>
      <c r="AV245" s="1059" cm="1">
        <f t="array" ref="AV245">IF(AJ245&lt;&gt;1,0,IF(OR(AT245="",N(AT245)&lt;=0.000000001),"",IF(OR(AN245="",N(AN245)&lt;=0.000000001),0,IF(ISNUMBER(AT245),IFERROR(_xlfn.LET(_xlpm.ai_test,TRIM(AI245),_xlpm.r,IFERROR(_xlfn.XLOOKUP(_xlpm.ai_test,$BI$15:$BI$62,ROW($BI$15:$BI$62),0,1),IFERROR(_xlfn.XLOOKUP(_xlpm.ai_test,$BJ$15:$BJ$62,ROW($BJ$15:$BJ$62),0,1),_xlfn.XLOOKUP(_xlpm.ai_test,$BK$15:$BK$62,ROW($BK$15:$BK$62),0,1))),_xlpm.p,_xlpm.r-MIN(ROW($BI$15:$BI$62))+1,_xlpm.f,INDEX($BL$15:$BL$62,_xlpm.p),_xlpm.u,INDEX($BM$15:$BM$62,_xlpm.p),_xlpm.s,INDEX($BO$15:$BO$62,_xlpm.p),_xlpm.q,N(AT245)/_xlpm.f,IF(_xlpm.q&gt;=_xlpm.s,ROUND(_xlpm.q,1)&amp;" "&amp;_xlpm.ai_test&amp;" = "&amp;ROUND(_xlpm.q*_xlpm.f,1)&amp;" "&amp;_xlpm.u,ROUND(_xlpm.q,1)&amp;" "&amp;_xlpm.ai_test)),""),""))))</f>
        <v>0</v>
      </c>
      <c r="AW245" s="1047"/>
      <c r="AX245" s="1045">
        <f t="shared" si="107"/>
        <v>0</v>
      </c>
      <c r="AY245" s="1046" t="str">
        <f t="shared" si="108"/>
        <v/>
      </c>
      <c r="AZ245" s="1048">
        <f t="shared" si="113"/>
        <v>0</v>
      </c>
      <c r="BA245" s="1049" t="str">
        <f t="shared" si="109"/>
        <v/>
      </c>
      <c r="BB245" s="1038"/>
      <c r="BC245" s="1050">
        <f t="shared" si="114"/>
        <v>0</v>
      </c>
      <c r="BD245" s="1040" t="str">
        <f t="shared" si="110"/>
        <v/>
      </c>
      <c r="BE245" s="227" t="s">
        <v>22</v>
      </c>
      <c r="BF245" s="1019">
        <f t="shared" si="111"/>
        <v>0</v>
      </c>
      <c r="BG245" s="1020">
        <f t="shared" si="112"/>
        <v>0</v>
      </c>
      <c r="BH245"/>
      <c r="BI245" s="709"/>
      <c r="BJ245" s="709"/>
      <c r="BK245" s="709"/>
      <c r="BL245" s="709"/>
      <c r="BM245" s="709"/>
      <c r="BN245" s="709"/>
      <c r="BO245" s="709"/>
      <c r="BP245" s="709"/>
      <c r="BW245" s="959" t="str">
        <f t="shared" si="93"/>
        <v>►</v>
      </c>
      <c r="CB245"/>
      <c r="CC245" s="856"/>
      <c r="CK245" s="709"/>
      <c r="CS245" s="709"/>
      <c r="DA245" s="709"/>
      <c r="DB245" s="3">
        <v>1</v>
      </c>
    </row>
    <row r="246" spans="1:106" ht="21" customHeight="1">
      <c r="A246" s="936" t="s">
        <v>22</v>
      </c>
      <c r="B246" s="952" t="str">
        <f t="shared" si="92"/>
        <v>►</v>
      </c>
      <c r="C246" s="993" cm="1">
        <f t="array" ref="C246">SUMPRODUCT(LEN(D246:J246))</f>
        <v>0</v>
      </c>
      <c r="D246" s="167"/>
      <c r="E246" s="172"/>
      <c r="F246" s="172"/>
      <c r="G246" s="172"/>
      <c r="H246" s="172"/>
      <c r="I246" s="172"/>
      <c r="J246" s="173"/>
      <c r="K246" s="442"/>
      <c r="L246" s="104" t="s">
        <v>16</v>
      </c>
      <c r="M246" s="1172"/>
      <c r="N246" s="1172"/>
      <c r="O246" s="1172"/>
      <c r="P246" s="1173"/>
      <c r="Q246" s="1174"/>
      <c r="R246" s="1175"/>
      <c r="S246" s="1176"/>
      <c r="T246" s="1177"/>
      <c r="U246" s="5248"/>
      <c r="V246" s="1177"/>
      <c r="W246" s="5249"/>
      <c r="X246" s="5208"/>
      <c r="Y246" s="5209"/>
      <c r="Z246" s="5210"/>
      <c r="AA246" s="5211"/>
      <c r="AB246" s="1178"/>
      <c r="AC246" s="1179"/>
      <c r="AD246" s="227" t="s">
        <v>22</v>
      </c>
      <c r="AE246" s="1027" t="str">
        <f t="shared" si="94"/>
        <v>►</v>
      </c>
      <c r="AF246" s="1028" t="str">
        <f t="shared" si="95"/>
        <v/>
      </c>
      <c r="AG246" s="1029" t="str">
        <f t="shared" si="96"/>
        <v/>
      </c>
      <c r="AH246" s="1028" t="str">
        <f t="shared" si="97"/>
        <v/>
      </c>
      <c r="AI246" s="1029" t="str">
        <f t="shared" si="98"/>
        <v/>
      </c>
      <c r="AJ246" s="1029">
        <f t="shared" si="99"/>
        <v>0</v>
      </c>
      <c r="AK246" s="1043" t="str" cm="1">
        <f t="array" ref="AK246">IF(AE246&lt;&gt;"A","",IFERROR((IFERROR(_xlfn.XLOOKUP(TRIM(SUBSTITUTE(U246,CHAR(160)," ")),$BI$15:$BI$62,$BL$15:$BL$62),IFERROR(_xlfn.XLOOKUP(TRIM(SUBSTITUTE(U246,CHAR(160)," ")),$BJ$15:$BJ$62,$BL$15:$BL$62),_xlfn.XLOOKUP(TRIM(SUBSTITUTE(U246,CHAR(160)," ")),$BK$15:$BK$62,$BL$15:$BL$62))))*T246*IF(ISBLANK(Q246),1,Q246)+IFERROR(_xlfn.XLOOKUP("RECHERCHEX",TRIM(L246:AC246),L246:AC246),0),0))</f>
        <v/>
      </c>
      <c r="AL246" s="1030">
        <f t="shared" si="100"/>
        <v>0</v>
      </c>
      <c r="AM246" s="5254" t="str">
        <f t="shared" si="115"/>
        <v/>
      </c>
      <c r="AN246" s="1031">
        <f t="shared" si="101"/>
        <v>0</v>
      </c>
      <c r="AO246" s="1031">
        <f t="shared" si="102"/>
        <v>0</v>
      </c>
      <c r="AP246" s="1032">
        <f t="shared" si="103"/>
        <v>0</v>
      </c>
      <c r="AQ246" s="5255" t="str">
        <f t="shared" si="104"/>
        <v/>
      </c>
      <c r="AR246" s="1056"/>
      <c r="AS246" s="1056"/>
      <c r="AT246" s="1034">
        <f t="shared" si="105"/>
        <v>0</v>
      </c>
      <c r="AU246" s="1035">
        <f t="shared" si="106"/>
        <v>0</v>
      </c>
      <c r="AV246" s="1057" cm="1">
        <f t="array" ref="AV246">IF(AJ246&lt;&gt;1,0,IF(OR(AT246="",N(AT246)&lt;=0.000000001),"",IF(OR(AN246="",N(AN246)&lt;=0.000000001),0,IF(ISNUMBER(AT246),IFERROR(_xlfn.LET(_xlpm.ai_test,TRIM(AI246),_xlpm.r,IFERROR(_xlfn.XLOOKUP(_xlpm.ai_test,$BI$15:$BI$62,ROW($BI$15:$BI$62),0,1),IFERROR(_xlfn.XLOOKUP(_xlpm.ai_test,$BJ$15:$BJ$62,ROW($BJ$15:$BJ$62),0,1),_xlfn.XLOOKUP(_xlpm.ai_test,$BK$15:$BK$62,ROW($BK$15:$BK$62),0,1))),_xlpm.p,_xlpm.r-MIN(ROW($BI$15:$BI$62))+1,_xlpm.f,INDEX($BL$15:$BL$62,_xlpm.p),_xlpm.u,INDEX($BM$15:$BM$62,_xlpm.p),_xlpm.s,INDEX($BO$15:$BO$62,_xlpm.p),_xlpm.q,N(AT246)/_xlpm.f,IF(_xlpm.q&gt;=_xlpm.s,ROUND(_xlpm.q,1)&amp;" "&amp;_xlpm.ai_test&amp;" = "&amp;ROUND(_xlpm.q*_xlpm.f,1)&amp;" "&amp;_xlpm.u,ROUND(_xlpm.q,1)&amp;" "&amp;_xlpm.ai_test)),""),""))))</f>
        <v>0</v>
      </c>
      <c r="AW246" s="1047"/>
      <c r="AX246" s="1034">
        <f t="shared" si="107"/>
        <v>0</v>
      </c>
      <c r="AY246" s="1035" t="str">
        <f t="shared" si="108"/>
        <v/>
      </c>
      <c r="AZ246" s="1036">
        <f t="shared" si="113"/>
        <v>0</v>
      </c>
      <c r="BA246" s="1037" t="str">
        <f t="shared" si="109"/>
        <v/>
      </c>
      <c r="BB246" s="1038"/>
      <c r="BC246" s="1039">
        <f t="shared" si="114"/>
        <v>0</v>
      </c>
      <c r="BD246" s="1040" t="str">
        <f t="shared" si="110"/>
        <v/>
      </c>
      <c r="BE246" s="227" t="s">
        <v>22</v>
      </c>
      <c r="BF246" s="1019">
        <f t="shared" si="111"/>
        <v>0</v>
      </c>
      <c r="BG246" s="1020">
        <f t="shared" si="112"/>
        <v>0</v>
      </c>
      <c r="BH246"/>
      <c r="BI246" s="709"/>
      <c r="BJ246" s="709"/>
      <c r="BK246" s="709"/>
      <c r="BL246" s="709"/>
      <c r="BM246" s="709"/>
      <c r="BN246" s="709"/>
      <c r="BO246" s="709"/>
      <c r="BP246" s="709"/>
      <c r="BW246" s="959" t="str">
        <f t="shared" si="93"/>
        <v>►</v>
      </c>
      <c r="CB246"/>
      <c r="CC246" s="856"/>
      <c r="CK246" s="709"/>
      <c r="CS246" s="709"/>
      <c r="DA246" s="709"/>
      <c r="DB246" s="3">
        <v>1</v>
      </c>
    </row>
    <row r="247" spans="1:106" ht="21" customHeight="1">
      <c r="A247" s="936" t="s">
        <v>22</v>
      </c>
      <c r="B247" s="952" t="str">
        <f t="shared" si="92"/>
        <v>►</v>
      </c>
      <c r="C247" s="993" cm="1">
        <f t="array" ref="C247">SUMPRODUCT(LEN(D247:J247))</f>
        <v>0</v>
      </c>
      <c r="D247" s="167"/>
      <c r="E247" s="172"/>
      <c r="F247" s="172"/>
      <c r="G247" s="172"/>
      <c r="H247" s="172"/>
      <c r="I247" s="172"/>
      <c r="J247" s="173"/>
      <c r="K247" s="442"/>
      <c r="L247" s="104" t="s">
        <v>16</v>
      </c>
      <c r="M247" s="1172"/>
      <c r="N247" s="1172"/>
      <c r="O247" s="1172"/>
      <c r="P247" s="1173"/>
      <c r="Q247" s="1174"/>
      <c r="R247" s="1175"/>
      <c r="S247" s="1176"/>
      <c r="T247" s="1177"/>
      <c r="U247" s="5248"/>
      <c r="V247" s="1177"/>
      <c r="W247" s="5249"/>
      <c r="X247" s="5208"/>
      <c r="Y247" s="5209"/>
      <c r="Z247" s="5210"/>
      <c r="AA247" s="5211"/>
      <c r="AB247" s="1178"/>
      <c r="AC247" s="1179"/>
      <c r="AD247" s="227" t="s">
        <v>22</v>
      </c>
      <c r="AE247" s="1027" t="str">
        <f t="shared" si="94"/>
        <v>►</v>
      </c>
      <c r="AF247" s="1028" t="str">
        <f t="shared" si="95"/>
        <v/>
      </c>
      <c r="AG247" s="1029" t="str">
        <f t="shared" si="96"/>
        <v/>
      </c>
      <c r="AH247" s="1028" t="str">
        <f t="shared" si="97"/>
        <v/>
      </c>
      <c r="AI247" s="1029" t="str">
        <f t="shared" si="98"/>
        <v/>
      </c>
      <c r="AJ247" s="1029">
        <f t="shared" si="99"/>
        <v>0</v>
      </c>
      <c r="AK247" s="1043" t="str" cm="1">
        <f t="array" ref="AK247">IF(AE247&lt;&gt;"A","",IFERROR((IFERROR(_xlfn.XLOOKUP(TRIM(SUBSTITUTE(U247,CHAR(160)," ")),$BI$15:$BI$62,$BL$15:$BL$62),IFERROR(_xlfn.XLOOKUP(TRIM(SUBSTITUTE(U247,CHAR(160)," ")),$BJ$15:$BJ$62,$BL$15:$BL$62),_xlfn.XLOOKUP(TRIM(SUBSTITUTE(U247,CHAR(160)," ")),$BK$15:$BK$62,$BL$15:$BL$62))))*T247*IF(ISBLANK(Q247),1,Q247)+IFERROR(_xlfn.XLOOKUP("RECHERCHEX",TRIM(L247:AC247),L247:AC247),0),0))</f>
        <v/>
      </c>
      <c r="AL247" s="1030">
        <f t="shared" si="100"/>
        <v>0</v>
      </c>
      <c r="AM247" s="5254" t="str">
        <f t="shared" si="115"/>
        <v/>
      </c>
      <c r="AN247" s="1031">
        <f t="shared" si="101"/>
        <v>0</v>
      </c>
      <c r="AO247" s="1031">
        <f t="shared" si="102"/>
        <v>0</v>
      </c>
      <c r="AP247" s="1044">
        <f t="shared" si="103"/>
        <v>0</v>
      </c>
      <c r="AQ247" s="5257" t="str">
        <f t="shared" si="104"/>
        <v/>
      </c>
      <c r="AR247" s="1056"/>
      <c r="AS247" s="1056"/>
      <c r="AT247" s="1045">
        <f t="shared" si="105"/>
        <v>0</v>
      </c>
      <c r="AU247" s="1046">
        <f t="shared" si="106"/>
        <v>0</v>
      </c>
      <c r="AV247" s="1059" cm="1">
        <f t="array" ref="AV247">IF(AJ247&lt;&gt;1,0,IF(OR(AT247="",N(AT247)&lt;=0.000000001),"",IF(OR(AN247="",N(AN247)&lt;=0.000000001),0,IF(ISNUMBER(AT247),IFERROR(_xlfn.LET(_xlpm.ai_test,TRIM(AI247),_xlpm.r,IFERROR(_xlfn.XLOOKUP(_xlpm.ai_test,$BI$15:$BI$62,ROW($BI$15:$BI$62),0,1),IFERROR(_xlfn.XLOOKUP(_xlpm.ai_test,$BJ$15:$BJ$62,ROW($BJ$15:$BJ$62),0,1),_xlfn.XLOOKUP(_xlpm.ai_test,$BK$15:$BK$62,ROW($BK$15:$BK$62),0,1))),_xlpm.p,_xlpm.r-MIN(ROW($BI$15:$BI$62))+1,_xlpm.f,INDEX($BL$15:$BL$62,_xlpm.p),_xlpm.u,INDEX($BM$15:$BM$62,_xlpm.p),_xlpm.s,INDEX($BO$15:$BO$62,_xlpm.p),_xlpm.q,N(AT247)/_xlpm.f,IF(_xlpm.q&gt;=_xlpm.s,ROUND(_xlpm.q,1)&amp;" "&amp;_xlpm.ai_test&amp;" = "&amp;ROUND(_xlpm.q*_xlpm.f,1)&amp;" "&amp;_xlpm.u,ROUND(_xlpm.q,1)&amp;" "&amp;_xlpm.ai_test)),""),""))))</f>
        <v>0</v>
      </c>
      <c r="AW247" s="1047"/>
      <c r="AX247" s="1045">
        <f t="shared" si="107"/>
        <v>0</v>
      </c>
      <c r="AY247" s="1046" t="str">
        <f t="shared" si="108"/>
        <v/>
      </c>
      <c r="AZ247" s="1048">
        <f t="shared" si="113"/>
        <v>0</v>
      </c>
      <c r="BA247" s="1049" t="str">
        <f t="shared" si="109"/>
        <v/>
      </c>
      <c r="BB247" s="1038"/>
      <c r="BC247" s="1050">
        <f t="shared" si="114"/>
        <v>0</v>
      </c>
      <c r="BD247" s="1040" t="str">
        <f t="shared" si="110"/>
        <v/>
      </c>
      <c r="BE247" s="227" t="s">
        <v>22</v>
      </c>
      <c r="BF247" s="1019">
        <f t="shared" si="111"/>
        <v>0</v>
      </c>
      <c r="BG247" s="1020">
        <f t="shared" si="112"/>
        <v>0</v>
      </c>
      <c r="BH247"/>
      <c r="BI247" s="709"/>
      <c r="BJ247" s="709"/>
      <c r="BK247" s="709"/>
      <c r="BL247" s="709"/>
      <c r="BM247" s="709"/>
      <c r="BN247" s="709"/>
      <c r="BO247" s="709"/>
      <c r="BP247" s="709"/>
      <c r="BW247" s="959" t="str">
        <f t="shared" si="93"/>
        <v>►</v>
      </c>
      <c r="CB247"/>
      <c r="CC247" s="856"/>
      <c r="CK247" s="709"/>
      <c r="CS247" s="709"/>
      <c r="DA247" s="709"/>
      <c r="DB247" s="3">
        <v>1</v>
      </c>
    </row>
    <row r="248" spans="1:106" ht="21" customHeight="1">
      <c r="A248" s="936" t="s">
        <v>22</v>
      </c>
      <c r="B248" s="952" t="str">
        <f t="shared" si="92"/>
        <v>►</v>
      </c>
      <c r="C248" s="993" cm="1">
        <f t="array" ref="C248">SUMPRODUCT(LEN(D248:J248))</f>
        <v>0</v>
      </c>
      <c r="D248" s="167"/>
      <c r="E248" s="172"/>
      <c r="F248" s="172"/>
      <c r="G248" s="172"/>
      <c r="H248" s="172"/>
      <c r="I248" s="172"/>
      <c r="J248" s="173"/>
      <c r="K248" s="442"/>
      <c r="L248" s="104" t="s">
        <v>16</v>
      </c>
      <c r="M248" s="1172"/>
      <c r="N248" s="1172"/>
      <c r="O248" s="1172"/>
      <c r="P248" s="1173"/>
      <c r="Q248" s="1174"/>
      <c r="R248" s="1175"/>
      <c r="S248" s="1176"/>
      <c r="T248" s="1177"/>
      <c r="U248" s="5248"/>
      <c r="V248" s="1177"/>
      <c r="W248" s="5249"/>
      <c r="X248" s="5208"/>
      <c r="Y248" s="5209"/>
      <c r="Z248" s="5210"/>
      <c r="AA248" s="5211"/>
      <c r="AB248" s="1178"/>
      <c r="AC248" s="1179"/>
      <c r="AD248" s="227" t="s">
        <v>22</v>
      </c>
      <c r="AE248" s="1027" t="str">
        <f t="shared" si="94"/>
        <v>►</v>
      </c>
      <c r="AF248" s="1028" t="str">
        <f t="shared" si="95"/>
        <v/>
      </c>
      <c r="AG248" s="1029" t="str">
        <f t="shared" si="96"/>
        <v/>
      </c>
      <c r="AH248" s="1028" t="str">
        <f t="shared" si="97"/>
        <v/>
      </c>
      <c r="AI248" s="1029" t="str">
        <f t="shared" si="98"/>
        <v/>
      </c>
      <c r="AJ248" s="1029">
        <f t="shared" si="99"/>
        <v>0</v>
      </c>
      <c r="AK248" s="1043" t="str" cm="1">
        <f t="array" ref="AK248">IF(AE248&lt;&gt;"A","",IFERROR((IFERROR(_xlfn.XLOOKUP(TRIM(SUBSTITUTE(U248,CHAR(160)," ")),$BI$15:$BI$62,$BL$15:$BL$62),IFERROR(_xlfn.XLOOKUP(TRIM(SUBSTITUTE(U248,CHAR(160)," ")),$BJ$15:$BJ$62,$BL$15:$BL$62),_xlfn.XLOOKUP(TRIM(SUBSTITUTE(U248,CHAR(160)," ")),$BK$15:$BK$62,$BL$15:$BL$62))))*T248*IF(ISBLANK(Q248),1,Q248)+IFERROR(_xlfn.XLOOKUP("RECHERCHEX",TRIM(L248:AC248),L248:AC248),0),0))</f>
        <v/>
      </c>
      <c r="AL248" s="1030">
        <f t="shared" si="100"/>
        <v>0</v>
      </c>
      <c r="AM248" s="5254" t="str">
        <f t="shared" si="115"/>
        <v/>
      </c>
      <c r="AN248" s="1031">
        <f t="shared" si="101"/>
        <v>0</v>
      </c>
      <c r="AO248" s="1031">
        <f t="shared" si="102"/>
        <v>0</v>
      </c>
      <c r="AP248" s="1032">
        <f t="shared" si="103"/>
        <v>0</v>
      </c>
      <c r="AQ248" s="5255" t="str">
        <f t="shared" si="104"/>
        <v/>
      </c>
      <c r="AR248" s="1056"/>
      <c r="AS248" s="1056"/>
      <c r="AT248" s="1034">
        <f t="shared" si="105"/>
        <v>0</v>
      </c>
      <c r="AU248" s="1035">
        <f t="shared" si="106"/>
        <v>0</v>
      </c>
      <c r="AV248" s="1057" cm="1">
        <f t="array" ref="AV248">IF(AJ248&lt;&gt;1,0,IF(OR(AT248="",N(AT248)&lt;=0.000000001),"",IF(OR(AN248="",N(AN248)&lt;=0.000000001),0,IF(ISNUMBER(AT248),IFERROR(_xlfn.LET(_xlpm.ai_test,TRIM(AI248),_xlpm.r,IFERROR(_xlfn.XLOOKUP(_xlpm.ai_test,$BI$15:$BI$62,ROW($BI$15:$BI$62),0,1),IFERROR(_xlfn.XLOOKUP(_xlpm.ai_test,$BJ$15:$BJ$62,ROW($BJ$15:$BJ$62),0,1),_xlfn.XLOOKUP(_xlpm.ai_test,$BK$15:$BK$62,ROW($BK$15:$BK$62),0,1))),_xlpm.p,_xlpm.r-MIN(ROW($BI$15:$BI$62))+1,_xlpm.f,INDEX($BL$15:$BL$62,_xlpm.p),_xlpm.u,INDEX($BM$15:$BM$62,_xlpm.p),_xlpm.s,INDEX($BO$15:$BO$62,_xlpm.p),_xlpm.q,N(AT248)/_xlpm.f,IF(_xlpm.q&gt;=_xlpm.s,ROUND(_xlpm.q,1)&amp;" "&amp;_xlpm.ai_test&amp;" = "&amp;ROUND(_xlpm.q*_xlpm.f,1)&amp;" "&amp;_xlpm.u,ROUND(_xlpm.q,1)&amp;" "&amp;_xlpm.ai_test)),""),""))))</f>
        <v>0</v>
      </c>
      <c r="AW248" s="1047"/>
      <c r="AX248" s="1034">
        <f t="shared" si="107"/>
        <v>0</v>
      </c>
      <c r="AY248" s="1035" t="str">
        <f t="shared" si="108"/>
        <v/>
      </c>
      <c r="AZ248" s="1036">
        <f t="shared" si="113"/>
        <v>0</v>
      </c>
      <c r="BA248" s="1037" t="str">
        <f t="shared" si="109"/>
        <v/>
      </c>
      <c r="BB248" s="1038"/>
      <c r="BC248" s="1039">
        <f t="shared" si="114"/>
        <v>0</v>
      </c>
      <c r="BD248" s="1040" t="str">
        <f t="shared" si="110"/>
        <v/>
      </c>
      <c r="BE248" s="227" t="s">
        <v>22</v>
      </c>
      <c r="BF248" s="1019">
        <f t="shared" si="111"/>
        <v>0</v>
      </c>
      <c r="BG248" s="1020">
        <f t="shared" si="112"/>
        <v>0</v>
      </c>
      <c r="BH248"/>
      <c r="BI248" s="709"/>
      <c r="BJ248" s="709"/>
      <c r="BK248" s="709"/>
      <c r="BL248" s="709"/>
      <c r="BM248" s="709"/>
      <c r="BN248" s="709"/>
      <c r="BO248" s="709"/>
      <c r="BP248" s="709"/>
      <c r="BW248" s="959" t="str">
        <f t="shared" si="93"/>
        <v>►</v>
      </c>
      <c r="CB248"/>
      <c r="CC248" s="856"/>
      <c r="CK248" s="709"/>
      <c r="CS248" s="709"/>
      <c r="DA248" s="709"/>
      <c r="DB248" s="3">
        <v>1</v>
      </c>
    </row>
    <row r="249" spans="1:106" ht="21" customHeight="1">
      <c r="A249" s="936" t="s">
        <v>22</v>
      </c>
      <c r="B249" s="952" t="str">
        <f t="shared" si="92"/>
        <v>►</v>
      </c>
      <c r="C249" s="993" cm="1">
        <f t="array" ref="C249">SUMPRODUCT(LEN(D249:J249))</f>
        <v>0</v>
      </c>
      <c r="D249" s="167"/>
      <c r="E249" s="172"/>
      <c r="F249" s="172"/>
      <c r="G249" s="172"/>
      <c r="H249" s="172"/>
      <c r="I249" s="172"/>
      <c r="J249" s="173"/>
      <c r="K249" s="442"/>
      <c r="L249" s="104" t="s">
        <v>16</v>
      </c>
      <c r="M249" s="1172"/>
      <c r="N249" s="1172"/>
      <c r="O249" s="1172"/>
      <c r="P249" s="1173"/>
      <c r="Q249" s="1174"/>
      <c r="R249" s="1175"/>
      <c r="S249" s="1176"/>
      <c r="T249" s="1177"/>
      <c r="U249" s="5248"/>
      <c r="V249" s="1177"/>
      <c r="W249" s="5249"/>
      <c r="X249" s="5208"/>
      <c r="Y249" s="5209"/>
      <c r="Z249" s="5210"/>
      <c r="AA249" s="5211"/>
      <c r="AB249" s="1178"/>
      <c r="AC249" s="1179"/>
      <c r="AD249" s="227" t="s">
        <v>22</v>
      </c>
      <c r="AE249" s="1027" t="str">
        <f t="shared" si="94"/>
        <v>►</v>
      </c>
      <c r="AF249" s="1028" t="str">
        <f t="shared" si="95"/>
        <v/>
      </c>
      <c r="AG249" s="1029" t="str">
        <f t="shared" si="96"/>
        <v/>
      </c>
      <c r="AH249" s="1028" t="str">
        <f t="shared" si="97"/>
        <v/>
      </c>
      <c r="AI249" s="1029" t="str">
        <f t="shared" si="98"/>
        <v/>
      </c>
      <c r="AJ249" s="1029">
        <f t="shared" si="99"/>
        <v>0</v>
      </c>
      <c r="AK249" s="1043" t="str" cm="1">
        <f t="array" ref="AK249">IF(AE249&lt;&gt;"A","",IFERROR((IFERROR(_xlfn.XLOOKUP(TRIM(SUBSTITUTE(U249,CHAR(160)," ")),$BI$15:$BI$62,$BL$15:$BL$62),IFERROR(_xlfn.XLOOKUP(TRIM(SUBSTITUTE(U249,CHAR(160)," ")),$BJ$15:$BJ$62,$BL$15:$BL$62),_xlfn.XLOOKUP(TRIM(SUBSTITUTE(U249,CHAR(160)," ")),$BK$15:$BK$62,$BL$15:$BL$62))))*T249*IF(ISBLANK(Q249),1,Q249)+IFERROR(_xlfn.XLOOKUP("RECHERCHEX",TRIM(L249:AC249),L249:AC249),0),0))</f>
        <v/>
      </c>
      <c r="AL249" s="1030">
        <f t="shared" si="100"/>
        <v>0</v>
      </c>
      <c r="AM249" s="5254" t="str">
        <f t="shared" si="115"/>
        <v/>
      </c>
      <c r="AN249" s="1031">
        <f t="shared" si="101"/>
        <v>0</v>
      </c>
      <c r="AO249" s="1031">
        <f t="shared" si="102"/>
        <v>0</v>
      </c>
      <c r="AP249" s="1044">
        <f t="shared" si="103"/>
        <v>0</v>
      </c>
      <c r="AQ249" s="5257" t="str">
        <f t="shared" si="104"/>
        <v/>
      </c>
      <c r="AR249" s="1056"/>
      <c r="AS249" s="1056"/>
      <c r="AT249" s="1045">
        <f t="shared" si="105"/>
        <v>0</v>
      </c>
      <c r="AU249" s="1046">
        <f t="shared" si="106"/>
        <v>0</v>
      </c>
      <c r="AV249" s="1059" cm="1">
        <f t="array" ref="AV249">IF(AJ249&lt;&gt;1,0,IF(OR(AT249="",N(AT249)&lt;=0.000000001),"",IF(OR(AN249="",N(AN249)&lt;=0.000000001),0,IF(ISNUMBER(AT249),IFERROR(_xlfn.LET(_xlpm.ai_test,TRIM(AI249),_xlpm.r,IFERROR(_xlfn.XLOOKUP(_xlpm.ai_test,$BI$15:$BI$62,ROW($BI$15:$BI$62),0,1),IFERROR(_xlfn.XLOOKUP(_xlpm.ai_test,$BJ$15:$BJ$62,ROW($BJ$15:$BJ$62),0,1),_xlfn.XLOOKUP(_xlpm.ai_test,$BK$15:$BK$62,ROW($BK$15:$BK$62),0,1))),_xlpm.p,_xlpm.r-MIN(ROW($BI$15:$BI$62))+1,_xlpm.f,INDEX($BL$15:$BL$62,_xlpm.p),_xlpm.u,INDEX($BM$15:$BM$62,_xlpm.p),_xlpm.s,INDEX($BO$15:$BO$62,_xlpm.p),_xlpm.q,N(AT249)/_xlpm.f,IF(_xlpm.q&gt;=_xlpm.s,ROUND(_xlpm.q,1)&amp;" "&amp;_xlpm.ai_test&amp;" = "&amp;ROUND(_xlpm.q*_xlpm.f,1)&amp;" "&amp;_xlpm.u,ROUND(_xlpm.q,1)&amp;" "&amp;_xlpm.ai_test)),""),""))))</f>
        <v>0</v>
      </c>
      <c r="AW249" s="1047"/>
      <c r="AX249" s="1045">
        <f t="shared" si="107"/>
        <v>0</v>
      </c>
      <c r="AY249" s="1046" t="str">
        <f t="shared" si="108"/>
        <v/>
      </c>
      <c r="AZ249" s="1048">
        <f t="shared" si="113"/>
        <v>0</v>
      </c>
      <c r="BA249" s="1049" t="str">
        <f t="shared" si="109"/>
        <v/>
      </c>
      <c r="BB249" s="1038"/>
      <c r="BC249" s="1050">
        <f t="shared" si="114"/>
        <v>0</v>
      </c>
      <c r="BD249" s="1040" t="str">
        <f t="shared" si="110"/>
        <v/>
      </c>
      <c r="BE249" s="227" t="s">
        <v>22</v>
      </c>
      <c r="BF249" s="1019">
        <f t="shared" si="111"/>
        <v>0</v>
      </c>
      <c r="BG249" s="1020">
        <f t="shared" si="112"/>
        <v>0</v>
      </c>
      <c r="BH249"/>
      <c r="BI249" s="709"/>
      <c r="BJ249" s="709"/>
      <c r="BK249" s="709"/>
      <c r="BL249" s="709"/>
      <c r="BM249" s="709"/>
      <c r="BN249" s="709"/>
      <c r="BO249" s="709"/>
      <c r="BP249" s="709"/>
      <c r="BW249" s="959" t="str">
        <f t="shared" si="93"/>
        <v>►</v>
      </c>
      <c r="CB249"/>
      <c r="CC249" s="856"/>
      <c r="CK249" s="709"/>
      <c r="CS249" s="709"/>
      <c r="DA249" s="709"/>
      <c r="DB249" s="3">
        <v>1</v>
      </c>
    </row>
    <row r="250" spans="1:106" ht="21" customHeight="1">
      <c r="A250" s="936" t="s">
        <v>22</v>
      </c>
      <c r="B250" s="952" t="str">
        <f t="shared" si="92"/>
        <v>►</v>
      </c>
      <c r="C250" s="993" cm="1">
        <f t="array" ref="C250">SUMPRODUCT(LEN(D250:J250))</f>
        <v>0</v>
      </c>
      <c r="D250" s="167"/>
      <c r="E250" s="172"/>
      <c r="F250" s="172"/>
      <c r="G250" s="172"/>
      <c r="H250" s="172"/>
      <c r="I250" s="172"/>
      <c r="J250" s="173"/>
      <c r="K250" s="442"/>
      <c r="L250" s="104" t="s">
        <v>16</v>
      </c>
      <c r="M250" s="1172"/>
      <c r="N250" s="1172"/>
      <c r="O250" s="1172"/>
      <c r="P250" s="1173"/>
      <c r="Q250" s="1174"/>
      <c r="R250" s="1175"/>
      <c r="S250" s="1176"/>
      <c r="T250" s="1177"/>
      <c r="U250" s="5248"/>
      <c r="V250" s="1177"/>
      <c r="W250" s="5249"/>
      <c r="X250" s="5208"/>
      <c r="Y250" s="5209"/>
      <c r="Z250" s="5210"/>
      <c r="AA250" s="5211"/>
      <c r="AB250" s="1178"/>
      <c r="AC250" s="1179"/>
      <c r="AD250" s="227" t="s">
        <v>22</v>
      </c>
      <c r="AE250" s="1027" t="str">
        <f t="shared" si="94"/>
        <v>►</v>
      </c>
      <c r="AF250" s="1028" t="str">
        <f t="shared" si="95"/>
        <v/>
      </c>
      <c r="AG250" s="1029" t="str">
        <f t="shared" si="96"/>
        <v/>
      </c>
      <c r="AH250" s="1028" t="str">
        <f t="shared" si="97"/>
        <v/>
      </c>
      <c r="AI250" s="1029" t="str">
        <f t="shared" si="98"/>
        <v/>
      </c>
      <c r="AJ250" s="1029">
        <f t="shared" si="99"/>
        <v>0</v>
      </c>
      <c r="AK250" s="1043" t="str" cm="1">
        <f t="array" ref="AK250">IF(AE250&lt;&gt;"A","",IFERROR((IFERROR(_xlfn.XLOOKUP(TRIM(SUBSTITUTE(U250,CHAR(160)," ")),$BI$15:$BI$62,$BL$15:$BL$62),IFERROR(_xlfn.XLOOKUP(TRIM(SUBSTITUTE(U250,CHAR(160)," ")),$BJ$15:$BJ$62,$BL$15:$BL$62),_xlfn.XLOOKUP(TRIM(SUBSTITUTE(U250,CHAR(160)," ")),$BK$15:$BK$62,$BL$15:$BL$62))))*T250*IF(ISBLANK(Q250),1,Q250)+IFERROR(_xlfn.XLOOKUP("RECHERCHEX",TRIM(L250:AC250),L250:AC250),0),0))</f>
        <v/>
      </c>
      <c r="AL250" s="1030">
        <f t="shared" si="100"/>
        <v>0</v>
      </c>
      <c r="AM250" s="5254" t="str">
        <f t="shared" si="115"/>
        <v/>
      </c>
      <c r="AN250" s="1031">
        <f t="shared" si="101"/>
        <v>0</v>
      </c>
      <c r="AO250" s="1031">
        <f t="shared" si="102"/>
        <v>0</v>
      </c>
      <c r="AP250" s="1032">
        <f t="shared" si="103"/>
        <v>0</v>
      </c>
      <c r="AQ250" s="5255" t="str">
        <f t="shared" si="104"/>
        <v/>
      </c>
      <c r="AR250" s="1056"/>
      <c r="AS250" s="1056"/>
      <c r="AT250" s="1034">
        <f t="shared" si="105"/>
        <v>0</v>
      </c>
      <c r="AU250" s="1035">
        <f t="shared" si="106"/>
        <v>0</v>
      </c>
      <c r="AV250" s="1057" cm="1">
        <f t="array" ref="AV250">IF(AJ250&lt;&gt;1,0,IF(OR(AT250="",N(AT250)&lt;=0.000000001),"",IF(OR(AN250="",N(AN250)&lt;=0.000000001),0,IF(ISNUMBER(AT250),IFERROR(_xlfn.LET(_xlpm.ai_test,TRIM(AI250),_xlpm.r,IFERROR(_xlfn.XLOOKUP(_xlpm.ai_test,$BI$15:$BI$62,ROW($BI$15:$BI$62),0,1),IFERROR(_xlfn.XLOOKUP(_xlpm.ai_test,$BJ$15:$BJ$62,ROW($BJ$15:$BJ$62),0,1),_xlfn.XLOOKUP(_xlpm.ai_test,$BK$15:$BK$62,ROW($BK$15:$BK$62),0,1))),_xlpm.p,_xlpm.r-MIN(ROW($BI$15:$BI$62))+1,_xlpm.f,INDEX($BL$15:$BL$62,_xlpm.p),_xlpm.u,INDEX($BM$15:$BM$62,_xlpm.p),_xlpm.s,INDEX($BO$15:$BO$62,_xlpm.p),_xlpm.q,N(AT250)/_xlpm.f,IF(_xlpm.q&gt;=_xlpm.s,ROUND(_xlpm.q,1)&amp;" "&amp;_xlpm.ai_test&amp;" = "&amp;ROUND(_xlpm.q*_xlpm.f,1)&amp;" "&amp;_xlpm.u,ROUND(_xlpm.q,1)&amp;" "&amp;_xlpm.ai_test)),""),""))))</f>
        <v>0</v>
      </c>
      <c r="AW250" s="1047"/>
      <c r="AX250" s="1034">
        <f t="shared" si="107"/>
        <v>0</v>
      </c>
      <c r="AY250" s="1035" t="str">
        <f t="shared" si="108"/>
        <v/>
      </c>
      <c r="AZ250" s="1036">
        <f t="shared" si="113"/>
        <v>0</v>
      </c>
      <c r="BA250" s="1037" t="str">
        <f t="shared" si="109"/>
        <v/>
      </c>
      <c r="BB250" s="1038"/>
      <c r="BC250" s="1039">
        <f t="shared" si="114"/>
        <v>0</v>
      </c>
      <c r="BD250" s="1040" t="str">
        <f t="shared" si="110"/>
        <v/>
      </c>
      <c r="BE250" s="227" t="s">
        <v>22</v>
      </c>
      <c r="BF250" s="1019">
        <f t="shared" si="111"/>
        <v>0</v>
      </c>
      <c r="BG250" s="1020">
        <f t="shared" si="112"/>
        <v>0</v>
      </c>
      <c r="BH250"/>
      <c r="BI250" s="709"/>
      <c r="BJ250" s="709"/>
      <c r="BK250" s="709"/>
      <c r="BL250" s="709"/>
      <c r="BM250" s="709"/>
      <c r="BN250" s="709"/>
      <c r="BO250" s="709"/>
      <c r="BP250" s="709"/>
      <c r="BW250" s="959" t="str">
        <f t="shared" si="93"/>
        <v>►</v>
      </c>
      <c r="CB250"/>
      <c r="CC250" s="856"/>
      <c r="CK250" s="709"/>
      <c r="CS250" s="709"/>
      <c r="DA250" s="709"/>
      <c r="DB250" s="3">
        <v>1</v>
      </c>
    </row>
    <row r="251" spans="1:106" ht="21" customHeight="1">
      <c r="A251" s="936" t="s">
        <v>22</v>
      </c>
      <c r="B251" s="952" t="str">
        <f t="shared" si="92"/>
        <v>►</v>
      </c>
      <c r="C251" s="993" cm="1">
        <f t="array" ref="C251">SUMPRODUCT(LEN(D251:J251))</f>
        <v>0</v>
      </c>
      <c r="D251" s="167"/>
      <c r="E251" s="172"/>
      <c r="F251" s="172"/>
      <c r="G251" s="172"/>
      <c r="H251" s="172"/>
      <c r="I251" s="172"/>
      <c r="J251" s="173"/>
      <c r="K251" s="442"/>
      <c r="L251" s="104" t="s">
        <v>16</v>
      </c>
      <c r="M251" s="1172"/>
      <c r="N251" s="1172"/>
      <c r="O251" s="1172"/>
      <c r="P251" s="1173"/>
      <c r="Q251" s="1174"/>
      <c r="R251" s="1175"/>
      <c r="S251" s="1176"/>
      <c r="T251" s="1177"/>
      <c r="U251" s="5248"/>
      <c r="V251" s="1177"/>
      <c r="W251" s="5249"/>
      <c r="X251" s="5208"/>
      <c r="Y251" s="5209"/>
      <c r="Z251" s="5210"/>
      <c r="AA251" s="5211"/>
      <c r="AB251" s="1178"/>
      <c r="AC251" s="1179"/>
      <c r="AD251" s="227" t="s">
        <v>22</v>
      </c>
      <c r="AE251" s="1027" t="str">
        <f t="shared" si="94"/>
        <v>►</v>
      </c>
      <c r="AF251" s="1028" t="str">
        <f t="shared" si="95"/>
        <v/>
      </c>
      <c r="AG251" s="1029" t="str">
        <f t="shared" si="96"/>
        <v/>
      </c>
      <c r="AH251" s="1028" t="str">
        <f t="shared" si="97"/>
        <v/>
      </c>
      <c r="AI251" s="1029" t="str">
        <f t="shared" si="98"/>
        <v/>
      </c>
      <c r="AJ251" s="1029">
        <f t="shared" si="99"/>
        <v>0</v>
      </c>
      <c r="AK251" s="1043" t="str" cm="1">
        <f t="array" ref="AK251">IF(AE251&lt;&gt;"A","",IFERROR((IFERROR(_xlfn.XLOOKUP(TRIM(SUBSTITUTE(U251,CHAR(160)," ")),$BI$15:$BI$62,$BL$15:$BL$62),IFERROR(_xlfn.XLOOKUP(TRIM(SUBSTITUTE(U251,CHAR(160)," ")),$BJ$15:$BJ$62,$BL$15:$BL$62),_xlfn.XLOOKUP(TRIM(SUBSTITUTE(U251,CHAR(160)," ")),$BK$15:$BK$62,$BL$15:$BL$62))))*T251*IF(ISBLANK(Q251),1,Q251)+IFERROR(_xlfn.XLOOKUP("RECHERCHEX",TRIM(L251:AC251),L251:AC251),0),0))</f>
        <v/>
      </c>
      <c r="AL251" s="1030">
        <f t="shared" si="100"/>
        <v>0</v>
      </c>
      <c r="AM251" s="5254" t="str">
        <f t="shared" si="115"/>
        <v/>
      </c>
      <c r="AN251" s="1031">
        <f t="shared" si="101"/>
        <v>0</v>
      </c>
      <c r="AO251" s="1031">
        <f t="shared" si="102"/>
        <v>0</v>
      </c>
      <c r="AP251" s="1044">
        <f t="shared" si="103"/>
        <v>0</v>
      </c>
      <c r="AQ251" s="5257" t="str">
        <f t="shared" si="104"/>
        <v/>
      </c>
      <c r="AR251" s="1056"/>
      <c r="AS251" s="1056"/>
      <c r="AT251" s="1045">
        <f t="shared" si="105"/>
        <v>0</v>
      </c>
      <c r="AU251" s="1046">
        <f t="shared" si="106"/>
        <v>0</v>
      </c>
      <c r="AV251" s="1059" cm="1">
        <f t="array" ref="AV251">IF(AJ251&lt;&gt;1,0,IF(OR(AT251="",N(AT251)&lt;=0.000000001),"",IF(OR(AN251="",N(AN251)&lt;=0.000000001),0,IF(ISNUMBER(AT251),IFERROR(_xlfn.LET(_xlpm.ai_test,TRIM(AI251),_xlpm.r,IFERROR(_xlfn.XLOOKUP(_xlpm.ai_test,$BI$15:$BI$62,ROW($BI$15:$BI$62),0,1),IFERROR(_xlfn.XLOOKUP(_xlpm.ai_test,$BJ$15:$BJ$62,ROW($BJ$15:$BJ$62),0,1),_xlfn.XLOOKUP(_xlpm.ai_test,$BK$15:$BK$62,ROW($BK$15:$BK$62),0,1))),_xlpm.p,_xlpm.r-MIN(ROW($BI$15:$BI$62))+1,_xlpm.f,INDEX($BL$15:$BL$62,_xlpm.p),_xlpm.u,INDEX($BM$15:$BM$62,_xlpm.p),_xlpm.s,INDEX($BO$15:$BO$62,_xlpm.p),_xlpm.q,N(AT251)/_xlpm.f,IF(_xlpm.q&gt;=_xlpm.s,ROUND(_xlpm.q,1)&amp;" "&amp;_xlpm.ai_test&amp;" = "&amp;ROUND(_xlpm.q*_xlpm.f,1)&amp;" "&amp;_xlpm.u,ROUND(_xlpm.q,1)&amp;" "&amp;_xlpm.ai_test)),""),""))))</f>
        <v>0</v>
      </c>
      <c r="AW251" s="1047"/>
      <c r="AX251" s="1045">
        <f t="shared" si="107"/>
        <v>0</v>
      </c>
      <c r="AY251" s="1046" t="str">
        <f t="shared" si="108"/>
        <v/>
      </c>
      <c r="AZ251" s="1048">
        <f t="shared" si="113"/>
        <v>0</v>
      </c>
      <c r="BA251" s="1049" t="str">
        <f t="shared" si="109"/>
        <v/>
      </c>
      <c r="BB251" s="1038"/>
      <c r="BC251" s="1050">
        <f t="shared" si="114"/>
        <v>0</v>
      </c>
      <c r="BD251" s="1040" t="str">
        <f t="shared" si="110"/>
        <v/>
      </c>
      <c r="BE251" s="227" t="s">
        <v>22</v>
      </c>
      <c r="BF251" s="1019">
        <f t="shared" si="111"/>
        <v>0</v>
      </c>
      <c r="BG251" s="1020">
        <f t="shared" si="112"/>
        <v>0</v>
      </c>
      <c r="BH251"/>
      <c r="BI251" s="709"/>
      <c r="BJ251" s="709"/>
      <c r="BK251" s="709"/>
      <c r="BL251" s="709"/>
      <c r="BM251" s="709"/>
      <c r="BN251" s="709"/>
      <c r="BO251" s="709"/>
      <c r="BP251" s="709"/>
      <c r="BW251" s="959" t="str">
        <f t="shared" si="93"/>
        <v>►</v>
      </c>
      <c r="CB251"/>
      <c r="CC251" s="856"/>
      <c r="CK251" s="709"/>
      <c r="CS251" s="709"/>
      <c r="DA251" s="709"/>
      <c r="DB251" s="3">
        <v>1</v>
      </c>
    </row>
    <row r="252" spans="1:106" ht="21" customHeight="1">
      <c r="A252" s="936" t="s">
        <v>22</v>
      </c>
      <c r="B252" s="952" t="str">
        <f t="shared" si="92"/>
        <v>►</v>
      </c>
      <c r="C252" s="993" cm="1">
        <f t="array" ref="C252">SUMPRODUCT(LEN(D252:J252))</f>
        <v>0</v>
      </c>
      <c r="D252" s="167"/>
      <c r="E252" s="172"/>
      <c r="F252" s="172"/>
      <c r="G252" s="172"/>
      <c r="H252" s="172"/>
      <c r="I252" s="172"/>
      <c r="J252" s="173"/>
      <c r="K252" s="442"/>
      <c r="L252" s="104" t="s">
        <v>16</v>
      </c>
      <c r="M252" s="1172"/>
      <c r="N252" s="1172"/>
      <c r="O252" s="1172"/>
      <c r="P252" s="1173"/>
      <c r="Q252" s="1174"/>
      <c r="R252" s="1175"/>
      <c r="S252" s="1176"/>
      <c r="T252" s="1177"/>
      <c r="U252" s="5248"/>
      <c r="V252" s="1177"/>
      <c r="W252" s="5249"/>
      <c r="X252" s="5208"/>
      <c r="Y252" s="5209"/>
      <c r="Z252" s="5210"/>
      <c r="AA252" s="5211"/>
      <c r="AB252" s="1178"/>
      <c r="AC252" s="1179"/>
      <c r="AD252" s="227" t="s">
        <v>22</v>
      </c>
      <c r="AE252" s="1027" t="str">
        <f t="shared" si="94"/>
        <v>►</v>
      </c>
      <c r="AF252" s="1028" t="str">
        <f t="shared" si="95"/>
        <v/>
      </c>
      <c r="AG252" s="1029" t="str">
        <f t="shared" si="96"/>
        <v/>
      </c>
      <c r="AH252" s="1028" t="str">
        <f t="shared" si="97"/>
        <v/>
      </c>
      <c r="AI252" s="1029" t="str">
        <f t="shared" si="98"/>
        <v/>
      </c>
      <c r="AJ252" s="1029">
        <f t="shared" si="99"/>
        <v>0</v>
      </c>
      <c r="AK252" s="1043" t="str" cm="1">
        <f t="array" ref="AK252">IF(AE252&lt;&gt;"A","",IFERROR((IFERROR(_xlfn.XLOOKUP(TRIM(SUBSTITUTE(U252,CHAR(160)," ")),$BI$15:$BI$62,$BL$15:$BL$62),IFERROR(_xlfn.XLOOKUP(TRIM(SUBSTITUTE(U252,CHAR(160)," ")),$BJ$15:$BJ$62,$BL$15:$BL$62),_xlfn.XLOOKUP(TRIM(SUBSTITUTE(U252,CHAR(160)," ")),$BK$15:$BK$62,$BL$15:$BL$62))))*T252*IF(ISBLANK(Q252),1,Q252)+IFERROR(_xlfn.XLOOKUP("RECHERCHEX",TRIM(L252:AC252),L252:AC252),0),0))</f>
        <v/>
      </c>
      <c r="AL252" s="1030">
        <f t="shared" si="100"/>
        <v>0</v>
      </c>
      <c r="AM252" s="5254" t="str">
        <f t="shared" si="115"/>
        <v/>
      </c>
      <c r="AN252" s="1031">
        <f t="shared" si="101"/>
        <v>0</v>
      </c>
      <c r="AO252" s="1031">
        <f t="shared" si="102"/>
        <v>0</v>
      </c>
      <c r="AP252" s="1032">
        <f t="shared" si="103"/>
        <v>0</v>
      </c>
      <c r="AQ252" s="5255" t="str">
        <f t="shared" si="104"/>
        <v/>
      </c>
      <c r="AR252" s="1056"/>
      <c r="AS252" s="1056"/>
      <c r="AT252" s="1034">
        <f t="shared" si="105"/>
        <v>0</v>
      </c>
      <c r="AU252" s="1035">
        <f t="shared" si="106"/>
        <v>0</v>
      </c>
      <c r="AV252" s="1057" cm="1">
        <f t="array" ref="AV252">IF(AJ252&lt;&gt;1,0,IF(OR(AT252="",N(AT252)&lt;=0.000000001),"",IF(OR(AN252="",N(AN252)&lt;=0.000000001),0,IF(ISNUMBER(AT252),IFERROR(_xlfn.LET(_xlpm.ai_test,TRIM(AI252),_xlpm.r,IFERROR(_xlfn.XLOOKUP(_xlpm.ai_test,$BI$15:$BI$62,ROW($BI$15:$BI$62),0,1),IFERROR(_xlfn.XLOOKUP(_xlpm.ai_test,$BJ$15:$BJ$62,ROW($BJ$15:$BJ$62),0,1),_xlfn.XLOOKUP(_xlpm.ai_test,$BK$15:$BK$62,ROW($BK$15:$BK$62),0,1))),_xlpm.p,_xlpm.r-MIN(ROW($BI$15:$BI$62))+1,_xlpm.f,INDEX($BL$15:$BL$62,_xlpm.p),_xlpm.u,INDEX($BM$15:$BM$62,_xlpm.p),_xlpm.s,INDEX($BO$15:$BO$62,_xlpm.p),_xlpm.q,N(AT252)/_xlpm.f,IF(_xlpm.q&gt;=_xlpm.s,ROUND(_xlpm.q,1)&amp;" "&amp;_xlpm.ai_test&amp;" = "&amp;ROUND(_xlpm.q*_xlpm.f,1)&amp;" "&amp;_xlpm.u,ROUND(_xlpm.q,1)&amp;" "&amp;_xlpm.ai_test)),""),""))))</f>
        <v>0</v>
      </c>
      <c r="AW252" s="1047"/>
      <c r="AX252" s="1034">
        <f t="shared" si="107"/>
        <v>0</v>
      </c>
      <c r="AY252" s="1035" t="str">
        <f t="shared" si="108"/>
        <v/>
      </c>
      <c r="AZ252" s="1036">
        <f t="shared" si="113"/>
        <v>0</v>
      </c>
      <c r="BA252" s="1037" t="str">
        <f t="shared" si="109"/>
        <v/>
      </c>
      <c r="BB252" s="1038"/>
      <c r="BC252" s="1039">
        <f t="shared" si="114"/>
        <v>0</v>
      </c>
      <c r="BD252" s="1040" t="str">
        <f t="shared" si="110"/>
        <v/>
      </c>
      <c r="BE252" s="227" t="s">
        <v>22</v>
      </c>
      <c r="BF252" s="1019">
        <f t="shared" si="111"/>
        <v>0</v>
      </c>
      <c r="BG252" s="1020">
        <f t="shared" si="112"/>
        <v>0</v>
      </c>
      <c r="BH252"/>
      <c r="BI252" s="709"/>
      <c r="BJ252" s="709"/>
      <c r="BK252" s="709"/>
      <c r="BL252" s="709"/>
      <c r="BM252" s="709"/>
      <c r="BN252" s="709"/>
      <c r="BO252" s="709"/>
      <c r="BP252" s="709"/>
      <c r="BW252" s="959" t="str">
        <f t="shared" si="93"/>
        <v>►</v>
      </c>
      <c r="CB252"/>
      <c r="CC252" s="856"/>
      <c r="CK252" s="709"/>
      <c r="CS252" s="709"/>
      <c r="DA252" s="709"/>
      <c r="DB252" s="3">
        <v>1</v>
      </c>
    </row>
    <row r="253" spans="1:106" ht="21" customHeight="1">
      <c r="A253" s="936" t="s">
        <v>22</v>
      </c>
      <c r="B253" s="952" t="str">
        <f t="shared" si="92"/>
        <v>►</v>
      </c>
      <c r="C253" s="993" cm="1">
        <f t="array" ref="C253">SUMPRODUCT(LEN(D253:J253))</f>
        <v>0</v>
      </c>
      <c r="D253" s="167"/>
      <c r="E253" s="172"/>
      <c r="F253" s="172"/>
      <c r="G253" s="172"/>
      <c r="H253" s="172"/>
      <c r="I253" s="172"/>
      <c r="J253" s="173"/>
      <c r="K253" s="442"/>
      <c r="L253" s="104" t="s">
        <v>16</v>
      </c>
      <c r="M253" s="1172"/>
      <c r="N253" s="1172"/>
      <c r="O253" s="1172"/>
      <c r="P253" s="1173"/>
      <c r="Q253" s="1174"/>
      <c r="R253" s="1175"/>
      <c r="S253" s="1176"/>
      <c r="T253" s="1177"/>
      <c r="U253" s="5248"/>
      <c r="V253" s="1177"/>
      <c r="W253" s="5249"/>
      <c r="X253" s="5208"/>
      <c r="Y253" s="5209"/>
      <c r="Z253" s="5210"/>
      <c r="AA253" s="5211"/>
      <c r="AB253" s="1178"/>
      <c r="AC253" s="1179"/>
      <c r="AD253" s="227" t="s">
        <v>22</v>
      </c>
      <c r="AE253" s="1027" t="str">
        <f t="shared" si="94"/>
        <v>►</v>
      </c>
      <c r="AF253" s="1028" t="str">
        <f t="shared" si="95"/>
        <v/>
      </c>
      <c r="AG253" s="1029" t="str">
        <f t="shared" si="96"/>
        <v/>
      </c>
      <c r="AH253" s="1028" t="str">
        <f t="shared" si="97"/>
        <v/>
      </c>
      <c r="AI253" s="1029" t="str">
        <f t="shared" si="98"/>
        <v/>
      </c>
      <c r="AJ253" s="1029">
        <f t="shared" si="99"/>
        <v>0</v>
      </c>
      <c r="AK253" s="1043" t="str" cm="1">
        <f t="array" ref="AK253">IF(AE253&lt;&gt;"A","",IFERROR((IFERROR(_xlfn.XLOOKUP(TRIM(SUBSTITUTE(U253,CHAR(160)," ")),$BI$15:$BI$62,$BL$15:$BL$62),IFERROR(_xlfn.XLOOKUP(TRIM(SUBSTITUTE(U253,CHAR(160)," ")),$BJ$15:$BJ$62,$BL$15:$BL$62),_xlfn.XLOOKUP(TRIM(SUBSTITUTE(U253,CHAR(160)," ")),$BK$15:$BK$62,$BL$15:$BL$62))))*T253*IF(ISBLANK(Q253),1,Q253)+IFERROR(_xlfn.XLOOKUP("RECHERCHEX",TRIM(L253:AC253),L253:AC253),0),0))</f>
        <v/>
      </c>
      <c r="AL253" s="1030">
        <f t="shared" si="100"/>
        <v>0</v>
      </c>
      <c r="AM253" s="5254" t="str">
        <f t="shared" si="115"/>
        <v/>
      </c>
      <c r="AN253" s="1031">
        <f t="shared" si="101"/>
        <v>0</v>
      </c>
      <c r="AO253" s="1031">
        <f t="shared" si="102"/>
        <v>0</v>
      </c>
      <c r="AP253" s="1044">
        <f t="shared" si="103"/>
        <v>0</v>
      </c>
      <c r="AQ253" s="5257" t="str">
        <f t="shared" si="104"/>
        <v/>
      </c>
      <c r="AR253" s="1056"/>
      <c r="AS253" s="1056"/>
      <c r="AT253" s="1045">
        <f t="shared" si="105"/>
        <v>0</v>
      </c>
      <c r="AU253" s="1046">
        <f t="shared" si="106"/>
        <v>0</v>
      </c>
      <c r="AV253" s="1059" cm="1">
        <f t="array" ref="AV253">IF(AJ253&lt;&gt;1,0,IF(OR(AT253="",N(AT253)&lt;=0.000000001),"",IF(OR(AN253="",N(AN253)&lt;=0.000000001),0,IF(ISNUMBER(AT253),IFERROR(_xlfn.LET(_xlpm.ai_test,TRIM(AI253),_xlpm.r,IFERROR(_xlfn.XLOOKUP(_xlpm.ai_test,$BI$15:$BI$62,ROW($BI$15:$BI$62),0,1),IFERROR(_xlfn.XLOOKUP(_xlpm.ai_test,$BJ$15:$BJ$62,ROW($BJ$15:$BJ$62),0,1),_xlfn.XLOOKUP(_xlpm.ai_test,$BK$15:$BK$62,ROW($BK$15:$BK$62),0,1))),_xlpm.p,_xlpm.r-MIN(ROW($BI$15:$BI$62))+1,_xlpm.f,INDEX($BL$15:$BL$62,_xlpm.p),_xlpm.u,INDEX($BM$15:$BM$62,_xlpm.p),_xlpm.s,INDEX($BO$15:$BO$62,_xlpm.p),_xlpm.q,N(AT253)/_xlpm.f,IF(_xlpm.q&gt;=_xlpm.s,ROUND(_xlpm.q,1)&amp;" "&amp;_xlpm.ai_test&amp;" = "&amp;ROUND(_xlpm.q*_xlpm.f,1)&amp;" "&amp;_xlpm.u,ROUND(_xlpm.q,1)&amp;" "&amp;_xlpm.ai_test)),""),""))))</f>
        <v>0</v>
      </c>
      <c r="AW253" s="1047"/>
      <c r="AX253" s="1045">
        <f t="shared" si="107"/>
        <v>0</v>
      </c>
      <c r="AY253" s="1046" t="str">
        <f t="shared" si="108"/>
        <v/>
      </c>
      <c r="AZ253" s="1048">
        <f t="shared" si="113"/>
        <v>0</v>
      </c>
      <c r="BA253" s="1049" t="str">
        <f t="shared" si="109"/>
        <v/>
      </c>
      <c r="BB253" s="1038"/>
      <c r="BC253" s="1050">
        <f t="shared" si="114"/>
        <v>0</v>
      </c>
      <c r="BD253" s="1040" t="str">
        <f t="shared" si="110"/>
        <v/>
      </c>
      <c r="BE253" s="227" t="s">
        <v>22</v>
      </c>
      <c r="BF253" s="1019">
        <f t="shared" si="111"/>
        <v>0</v>
      </c>
      <c r="BG253" s="1020">
        <f t="shared" si="112"/>
        <v>0</v>
      </c>
      <c r="BH253"/>
      <c r="BI253" s="709"/>
      <c r="BJ253" s="709"/>
      <c r="BK253" s="709"/>
      <c r="BL253" s="709"/>
      <c r="BM253" s="709"/>
      <c r="BN253" s="709"/>
      <c r="BO253" s="709"/>
      <c r="BP253" s="709"/>
      <c r="BW253" s="959" t="str">
        <f t="shared" si="93"/>
        <v>►</v>
      </c>
      <c r="CB253"/>
      <c r="CC253" s="856"/>
      <c r="CK253" s="709"/>
      <c r="CS253" s="709"/>
      <c r="DA253" s="709"/>
      <c r="DB253" s="3">
        <v>1</v>
      </c>
    </row>
    <row r="254" spans="1:106" ht="21" customHeight="1">
      <c r="A254" s="936" t="s">
        <v>22</v>
      </c>
      <c r="B254" s="952" t="str">
        <f t="shared" si="92"/>
        <v>►</v>
      </c>
      <c r="C254" s="993" cm="1">
        <f t="array" ref="C254">SUMPRODUCT(LEN(D254:J254))</f>
        <v>0</v>
      </c>
      <c r="D254" s="167"/>
      <c r="E254" s="172"/>
      <c r="F254" s="172"/>
      <c r="G254" s="172"/>
      <c r="H254" s="172"/>
      <c r="I254" s="172"/>
      <c r="J254" s="173"/>
      <c r="K254" s="442"/>
      <c r="L254" s="104" t="s">
        <v>16</v>
      </c>
      <c r="M254" s="1172"/>
      <c r="N254" s="1172"/>
      <c r="O254" s="1172"/>
      <c r="P254" s="1173"/>
      <c r="Q254" s="1174"/>
      <c r="R254" s="1175"/>
      <c r="S254" s="1176"/>
      <c r="T254" s="1177"/>
      <c r="U254" s="5248"/>
      <c r="V254" s="1177"/>
      <c r="W254" s="5249"/>
      <c r="X254" s="5208"/>
      <c r="Y254" s="5209"/>
      <c r="Z254" s="5210"/>
      <c r="AA254" s="5211"/>
      <c r="AB254" s="1178"/>
      <c r="AC254" s="1179"/>
      <c r="AD254" s="227" t="s">
        <v>22</v>
      </c>
      <c r="AE254" s="1027" t="str">
        <f t="shared" si="94"/>
        <v>►</v>
      </c>
      <c r="AF254" s="1028" t="str">
        <f t="shared" si="95"/>
        <v/>
      </c>
      <c r="AG254" s="1029" t="str">
        <f t="shared" si="96"/>
        <v/>
      </c>
      <c r="AH254" s="1028" t="str">
        <f t="shared" si="97"/>
        <v/>
      </c>
      <c r="AI254" s="1029" t="str">
        <f t="shared" si="98"/>
        <v/>
      </c>
      <c r="AJ254" s="1029">
        <f t="shared" si="99"/>
        <v>0</v>
      </c>
      <c r="AK254" s="1043" t="str" cm="1">
        <f t="array" ref="AK254">IF(AE254&lt;&gt;"A","",IFERROR((IFERROR(_xlfn.XLOOKUP(TRIM(SUBSTITUTE(U254,CHAR(160)," ")),$BI$15:$BI$62,$BL$15:$BL$62),IFERROR(_xlfn.XLOOKUP(TRIM(SUBSTITUTE(U254,CHAR(160)," ")),$BJ$15:$BJ$62,$BL$15:$BL$62),_xlfn.XLOOKUP(TRIM(SUBSTITUTE(U254,CHAR(160)," ")),$BK$15:$BK$62,$BL$15:$BL$62))))*T254*IF(ISBLANK(Q254),1,Q254)+IFERROR(_xlfn.XLOOKUP("RECHERCHEX",TRIM(L254:AC254),L254:AC254),0),0))</f>
        <v/>
      </c>
      <c r="AL254" s="1030">
        <f t="shared" si="100"/>
        <v>0</v>
      </c>
      <c r="AM254" s="5254" t="str">
        <f t="shared" si="115"/>
        <v/>
      </c>
      <c r="AN254" s="1031">
        <f t="shared" si="101"/>
        <v>0</v>
      </c>
      <c r="AO254" s="1031">
        <f t="shared" si="102"/>
        <v>0</v>
      </c>
      <c r="AP254" s="1032">
        <f t="shared" si="103"/>
        <v>0</v>
      </c>
      <c r="AQ254" s="5255" t="str">
        <f t="shared" si="104"/>
        <v/>
      </c>
      <c r="AR254" s="1056"/>
      <c r="AS254" s="1056"/>
      <c r="AT254" s="1034">
        <f t="shared" si="105"/>
        <v>0</v>
      </c>
      <c r="AU254" s="1035">
        <f t="shared" si="106"/>
        <v>0</v>
      </c>
      <c r="AV254" s="1057" cm="1">
        <f t="array" ref="AV254">IF(AJ254&lt;&gt;1,0,IF(OR(AT254="",N(AT254)&lt;=0.000000001),"",IF(OR(AN254="",N(AN254)&lt;=0.000000001),0,IF(ISNUMBER(AT254),IFERROR(_xlfn.LET(_xlpm.ai_test,TRIM(AI254),_xlpm.r,IFERROR(_xlfn.XLOOKUP(_xlpm.ai_test,$BI$15:$BI$62,ROW($BI$15:$BI$62),0,1),IFERROR(_xlfn.XLOOKUP(_xlpm.ai_test,$BJ$15:$BJ$62,ROW($BJ$15:$BJ$62),0,1),_xlfn.XLOOKUP(_xlpm.ai_test,$BK$15:$BK$62,ROW($BK$15:$BK$62),0,1))),_xlpm.p,_xlpm.r-MIN(ROW($BI$15:$BI$62))+1,_xlpm.f,INDEX($BL$15:$BL$62,_xlpm.p),_xlpm.u,INDEX($BM$15:$BM$62,_xlpm.p),_xlpm.s,INDEX($BO$15:$BO$62,_xlpm.p),_xlpm.q,N(AT254)/_xlpm.f,IF(_xlpm.q&gt;=_xlpm.s,ROUND(_xlpm.q,1)&amp;" "&amp;_xlpm.ai_test&amp;" = "&amp;ROUND(_xlpm.q*_xlpm.f,1)&amp;" "&amp;_xlpm.u,ROUND(_xlpm.q,1)&amp;" "&amp;_xlpm.ai_test)),""),""))))</f>
        <v>0</v>
      </c>
      <c r="AW254" s="1047"/>
      <c r="AX254" s="1034">
        <f t="shared" si="107"/>
        <v>0</v>
      </c>
      <c r="AY254" s="1035" t="str">
        <f t="shared" si="108"/>
        <v/>
      </c>
      <c r="AZ254" s="1036">
        <f t="shared" si="113"/>
        <v>0</v>
      </c>
      <c r="BA254" s="1037" t="str">
        <f t="shared" si="109"/>
        <v/>
      </c>
      <c r="BB254" s="1038"/>
      <c r="BC254" s="1039">
        <f t="shared" si="114"/>
        <v>0</v>
      </c>
      <c r="BD254" s="1040" t="str">
        <f t="shared" si="110"/>
        <v/>
      </c>
      <c r="BE254" s="227" t="s">
        <v>22</v>
      </c>
      <c r="BF254" s="1019">
        <f t="shared" si="111"/>
        <v>0</v>
      </c>
      <c r="BG254" s="1020">
        <f t="shared" si="112"/>
        <v>0</v>
      </c>
      <c r="BH254"/>
      <c r="BI254" s="709"/>
      <c r="BJ254" s="709"/>
      <c r="BK254" s="709"/>
      <c r="BL254" s="709"/>
      <c r="BM254" s="709"/>
      <c r="BN254" s="709"/>
      <c r="BO254" s="709"/>
      <c r="BP254" s="709"/>
      <c r="BW254" s="959" t="str">
        <f t="shared" si="93"/>
        <v>►</v>
      </c>
      <c r="CB254"/>
      <c r="CC254" s="856"/>
      <c r="CK254" s="709"/>
      <c r="CS254" s="709"/>
      <c r="DA254" s="709"/>
      <c r="DB254" s="3">
        <v>1</v>
      </c>
    </row>
    <row r="255" spans="1:106" ht="21" customHeight="1">
      <c r="A255" s="936" t="s">
        <v>22</v>
      </c>
      <c r="B255" s="952" t="str">
        <f t="shared" si="92"/>
        <v>►</v>
      </c>
      <c r="C255" s="993" cm="1">
        <f t="array" ref="C255">SUMPRODUCT(LEN(D255:J255))</f>
        <v>0</v>
      </c>
      <c r="D255" s="167"/>
      <c r="E255" s="172"/>
      <c r="F255" s="172"/>
      <c r="G255" s="172"/>
      <c r="H255" s="172"/>
      <c r="I255" s="172"/>
      <c r="J255" s="173"/>
      <c r="K255" s="442"/>
      <c r="L255" s="104" t="s">
        <v>16</v>
      </c>
      <c r="M255" s="1172"/>
      <c r="N255" s="1172"/>
      <c r="O255" s="1172"/>
      <c r="P255" s="1173"/>
      <c r="Q255" s="1174"/>
      <c r="R255" s="1175"/>
      <c r="S255" s="1176"/>
      <c r="T255" s="1177"/>
      <c r="U255" s="5248"/>
      <c r="V255" s="1177"/>
      <c r="W255" s="5249"/>
      <c r="X255" s="5208"/>
      <c r="Y255" s="5209"/>
      <c r="Z255" s="5210"/>
      <c r="AA255" s="5211"/>
      <c r="AB255" s="1178"/>
      <c r="AC255" s="1179"/>
      <c r="AD255" s="227" t="s">
        <v>22</v>
      </c>
      <c r="AE255" s="1027" t="str">
        <f t="shared" si="94"/>
        <v>►</v>
      </c>
      <c r="AF255" s="1028" t="str">
        <f t="shared" si="95"/>
        <v/>
      </c>
      <c r="AG255" s="1029" t="str">
        <f t="shared" si="96"/>
        <v/>
      </c>
      <c r="AH255" s="1028" t="str">
        <f t="shared" si="97"/>
        <v/>
      </c>
      <c r="AI255" s="1029" t="str">
        <f t="shared" si="98"/>
        <v/>
      </c>
      <c r="AJ255" s="1029">
        <f t="shared" si="99"/>
        <v>0</v>
      </c>
      <c r="AK255" s="1043" t="str" cm="1">
        <f t="array" ref="AK255">IF(AE255&lt;&gt;"A","",IFERROR((IFERROR(_xlfn.XLOOKUP(TRIM(SUBSTITUTE(U255,CHAR(160)," ")),$BI$15:$BI$62,$BL$15:$BL$62),IFERROR(_xlfn.XLOOKUP(TRIM(SUBSTITUTE(U255,CHAR(160)," ")),$BJ$15:$BJ$62,$BL$15:$BL$62),_xlfn.XLOOKUP(TRIM(SUBSTITUTE(U255,CHAR(160)," ")),$BK$15:$BK$62,$BL$15:$BL$62))))*T255*IF(ISBLANK(Q255),1,Q255)+IFERROR(_xlfn.XLOOKUP("RECHERCHEX",TRIM(L255:AC255),L255:AC255),0),0))</f>
        <v/>
      </c>
      <c r="AL255" s="1030">
        <f t="shared" si="100"/>
        <v>0</v>
      </c>
      <c r="AM255" s="5254" t="str">
        <f t="shared" si="115"/>
        <v/>
      </c>
      <c r="AN255" s="1031">
        <f t="shared" si="101"/>
        <v>0</v>
      </c>
      <c r="AO255" s="1031">
        <f t="shared" si="102"/>
        <v>0</v>
      </c>
      <c r="AP255" s="1044">
        <f t="shared" si="103"/>
        <v>0</v>
      </c>
      <c r="AQ255" s="5257" t="str">
        <f t="shared" si="104"/>
        <v/>
      </c>
      <c r="AR255" s="1056"/>
      <c r="AS255" s="1056"/>
      <c r="AT255" s="1045">
        <f t="shared" si="105"/>
        <v>0</v>
      </c>
      <c r="AU255" s="1046">
        <f t="shared" si="106"/>
        <v>0</v>
      </c>
      <c r="AV255" s="1059" cm="1">
        <f t="array" ref="AV255">IF(AJ255&lt;&gt;1,0,IF(OR(AT255="",N(AT255)&lt;=0.000000001),"",IF(OR(AN255="",N(AN255)&lt;=0.000000001),0,IF(ISNUMBER(AT255),IFERROR(_xlfn.LET(_xlpm.ai_test,TRIM(AI255),_xlpm.r,IFERROR(_xlfn.XLOOKUP(_xlpm.ai_test,$BI$15:$BI$62,ROW($BI$15:$BI$62),0,1),IFERROR(_xlfn.XLOOKUP(_xlpm.ai_test,$BJ$15:$BJ$62,ROW($BJ$15:$BJ$62),0,1),_xlfn.XLOOKUP(_xlpm.ai_test,$BK$15:$BK$62,ROW($BK$15:$BK$62),0,1))),_xlpm.p,_xlpm.r-MIN(ROW($BI$15:$BI$62))+1,_xlpm.f,INDEX($BL$15:$BL$62,_xlpm.p),_xlpm.u,INDEX($BM$15:$BM$62,_xlpm.p),_xlpm.s,INDEX($BO$15:$BO$62,_xlpm.p),_xlpm.q,N(AT255)/_xlpm.f,IF(_xlpm.q&gt;=_xlpm.s,ROUND(_xlpm.q,1)&amp;" "&amp;_xlpm.ai_test&amp;" = "&amp;ROUND(_xlpm.q*_xlpm.f,1)&amp;" "&amp;_xlpm.u,ROUND(_xlpm.q,1)&amp;" "&amp;_xlpm.ai_test)),""),""))))</f>
        <v>0</v>
      </c>
      <c r="AW255" s="1047"/>
      <c r="AX255" s="1045">
        <f t="shared" si="107"/>
        <v>0</v>
      </c>
      <c r="AY255" s="1046" t="str">
        <f t="shared" si="108"/>
        <v/>
      </c>
      <c r="AZ255" s="1048">
        <f t="shared" si="113"/>
        <v>0</v>
      </c>
      <c r="BA255" s="1049" t="str">
        <f t="shared" si="109"/>
        <v/>
      </c>
      <c r="BB255" s="1038"/>
      <c r="BC255" s="1050">
        <f t="shared" si="114"/>
        <v>0</v>
      </c>
      <c r="BD255" s="1040" t="str">
        <f t="shared" si="110"/>
        <v/>
      </c>
      <c r="BE255" s="227" t="s">
        <v>22</v>
      </c>
      <c r="BF255" s="1019">
        <f t="shared" si="111"/>
        <v>0</v>
      </c>
      <c r="BG255" s="1020">
        <f t="shared" si="112"/>
        <v>0</v>
      </c>
      <c r="BH255"/>
      <c r="BI255" s="709"/>
      <c r="BJ255" s="709"/>
      <c r="BK255" s="709"/>
      <c r="BL255" s="709"/>
      <c r="BM255" s="709"/>
      <c r="BN255" s="709"/>
      <c r="BO255" s="709"/>
      <c r="BP255" s="709"/>
      <c r="BW255" s="959" t="str">
        <f t="shared" si="93"/>
        <v>►</v>
      </c>
      <c r="CB255"/>
      <c r="CC255" s="856"/>
      <c r="CK255" s="709"/>
      <c r="CS255" s="709"/>
      <c r="DA255" s="709"/>
      <c r="DB255" s="3">
        <v>1</v>
      </c>
    </row>
    <row r="256" spans="1:106" ht="21" customHeight="1">
      <c r="A256" s="936" t="s">
        <v>22</v>
      </c>
      <c r="B256" s="952" t="str">
        <f t="shared" si="92"/>
        <v>►</v>
      </c>
      <c r="C256" s="993" cm="1">
        <f t="array" ref="C256">SUMPRODUCT(LEN(D256:J256))</f>
        <v>0</v>
      </c>
      <c r="D256" s="167"/>
      <c r="E256" s="172"/>
      <c r="F256" s="172"/>
      <c r="G256" s="172"/>
      <c r="H256" s="172"/>
      <c r="I256" s="172"/>
      <c r="J256" s="173"/>
      <c r="K256" s="442"/>
      <c r="L256" s="104" t="s">
        <v>16</v>
      </c>
      <c r="M256" s="1172"/>
      <c r="N256" s="1172"/>
      <c r="O256" s="1172"/>
      <c r="P256" s="1173"/>
      <c r="Q256" s="1174"/>
      <c r="R256" s="1175"/>
      <c r="S256" s="1176"/>
      <c r="T256" s="1177"/>
      <c r="U256" s="5248"/>
      <c r="V256" s="1177"/>
      <c r="W256" s="5249"/>
      <c r="X256" s="5208"/>
      <c r="Y256" s="5209"/>
      <c r="Z256" s="5210"/>
      <c r="AA256" s="5211"/>
      <c r="AB256" s="1178"/>
      <c r="AC256" s="1179"/>
      <c r="AD256" s="227" t="s">
        <v>22</v>
      </c>
      <c r="AE256" s="1027" t="str">
        <f t="shared" si="94"/>
        <v>►</v>
      </c>
      <c r="AF256" s="1028" t="str">
        <f t="shared" si="95"/>
        <v/>
      </c>
      <c r="AG256" s="1029" t="str">
        <f t="shared" si="96"/>
        <v/>
      </c>
      <c r="AH256" s="1028" t="str">
        <f t="shared" si="97"/>
        <v/>
      </c>
      <c r="AI256" s="1029" t="str">
        <f t="shared" si="98"/>
        <v/>
      </c>
      <c r="AJ256" s="1029">
        <f t="shared" si="99"/>
        <v>0</v>
      </c>
      <c r="AK256" s="1043" t="str" cm="1">
        <f t="array" ref="AK256">IF(AE256&lt;&gt;"A","",IFERROR((IFERROR(_xlfn.XLOOKUP(TRIM(SUBSTITUTE(U256,CHAR(160)," ")),$BI$15:$BI$62,$BL$15:$BL$62),IFERROR(_xlfn.XLOOKUP(TRIM(SUBSTITUTE(U256,CHAR(160)," ")),$BJ$15:$BJ$62,$BL$15:$BL$62),_xlfn.XLOOKUP(TRIM(SUBSTITUTE(U256,CHAR(160)," ")),$BK$15:$BK$62,$BL$15:$BL$62))))*T256*IF(ISBLANK(Q256),1,Q256)+IFERROR(_xlfn.XLOOKUP("RECHERCHEX",TRIM(L256:AC256),L256:AC256),0),0))</f>
        <v/>
      </c>
      <c r="AL256" s="1030">
        <f t="shared" si="100"/>
        <v>0</v>
      </c>
      <c r="AM256" s="5254" t="str">
        <f t="shared" si="115"/>
        <v/>
      </c>
      <c r="AN256" s="1031">
        <f t="shared" si="101"/>
        <v>0</v>
      </c>
      <c r="AO256" s="1031">
        <f t="shared" si="102"/>
        <v>0</v>
      </c>
      <c r="AP256" s="1032">
        <f t="shared" si="103"/>
        <v>0</v>
      </c>
      <c r="AQ256" s="5255" t="str">
        <f t="shared" si="104"/>
        <v/>
      </c>
      <c r="AR256" s="1056"/>
      <c r="AS256" s="1056"/>
      <c r="AT256" s="1034">
        <f t="shared" si="105"/>
        <v>0</v>
      </c>
      <c r="AU256" s="1035">
        <f t="shared" si="106"/>
        <v>0</v>
      </c>
      <c r="AV256" s="1057" cm="1">
        <f t="array" ref="AV256">IF(AJ256&lt;&gt;1,0,IF(OR(AT256="",N(AT256)&lt;=0.000000001),"",IF(OR(AN256="",N(AN256)&lt;=0.000000001),0,IF(ISNUMBER(AT256),IFERROR(_xlfn.LET(_xlpm.ai_test,TRIM(AI256),_xlpm.r,IFERROR(_xlfn.XLOOKUP(_xlpm.ai_test,$BI$15:$BI$62,ROW($BI$15:$BI$62),0,1),IFERROR(_xlfn.XLOOKUP(_xlpm.ai_test,$BJ$15:$BJ$62,ROW($BJ$15:$BJ$62),0,1),_xlfn.XLOOKUP(_xlpm.ai_test,$BK$15:$BK$62,ROW($BK$15:$BK$62),0,1))),_xlpm.p,_xlpm.r-MIN(ROW($BI$15:$BI$62))+1,_xlpm.f,INDEX($BL$15:$BL$62,_xlpm.p),_xlpm.u,INDEX($BM$15:$BM$62,_xlpm.p),_xlpm.s,INDEX($BO$15:$BO$62,_xlpm.p),_xlpm.q,N(AT256)/_xlpm.f,IF(_xlpm.q&gt;=_xlpm.s,ROUND(_xlpm.q,1)&amp;" "&amp;_xlpm.ai_test&amp;" = "&amp;ROUND(_xlpm.q*_xlpm.f,1)&amp;" "&amp;_xlpm.u,ROUND(_xlpm.q,1)&amp;" "&amp;_xlpm.ai_test)),""),""))))</f>
        <v>0</v>
      </c>
      <c r="AW256" s="1047"/>
      <c r="AX256" s="1034">
        <f t="shared" si="107"/>
        <v>0</v>
      </c>
      <c r="AY256" s="1035" t="str">
        <f t="shared" si="108"/>
        <v/>
      </c>
      <c r="AZ256" s="1036">
        <f t="shared" si="113"/>
        <v>0</v>
      </c>
      <c r="BA256" s="1037" t="str">
        <f t="shared" si="109"/>
        <v/>
      </c>
      <c r="BB256" s="1038"/>
      <c r="BC256" s="1039">
        <f t="shared" si="114"/>
        <v>0</v>
      </c>
      <c r="BD256" s="1040" t="str">
        <f t="shared" si="110"/>
        <v/>
      </c>
      <c r="BE256" s="227" t="s">
        <v>22</v>
      </c>
      <c r="BF256" s="1019">
        <f t="shared" si="111"/>
        <v>0</v>
      </c>
      <c r="BG256" s="1020">
        <f t="shared" si="112"/>
        <v>0</v>
      </c>
      <c r="BH256"/>
      <c r="BI256" s="709"/>
      <c r="BJ256" s="709"/>
      <c r="BK256" s="709"/>
      <c r="BL256" s="709"/>
      <c r="BM256" s="709"/>
      <c r="BN256" s="709"/>
      <c r="BO256" s="709"/>
      <c r="BP256" s="709"/>
      <c r="BW256" s="959" t="str">
        <f t="shared" si="93"/>
        <v>►</v>
      </c>
      <c r="CB256"/>
      <c r="CC256" s="856"/>
      <c r="CK256" s="709"/>
      <c r="CS256" s="709"/>
      <c r="DA256" s="709"/>
      <c r="DB256" s="3">
        <v>1</v>
      </c>
    </row>
    <row r="257" spans="1:108" ht="21" customHeight="1">
      <c r="A257" s="936" t="s">
        <v>22</v>
      </c>
      <c r="B257" s="952" t="str">
        <f t="shared" si="92"/>
        <v>►</v>
      </c>
      <c r="C257" s="993" cm="1">
        <f t="array" ref="C257">SUMPRODUCT(LEN(D257:J257))</f>
        <v>0</v>
      </c>
      <c r="D257" s="167"/>
      <c r="E257" s="172"/>
      <c r="F257" s="172"/>
      <c r="G257" s="172"/>
      <c r="H257" s="172"/>
      <c r="I257" s="172"/>
      <c r="J257" s="173"/>
      <c r="K257" s="442" t="s">
        <v>22</v>
      </c>
      <c r="L257" s="104" t="s">
        <v>16</v>
      </c>
      <c r="M257" s="1172"/>
      <c r="N257" s="1172"/>
      <c r="O257" s="1172"/>
      <c r="P257" s="1173"/>
      <c r="Q257" s="1174"/>
      <c r="R257" s="1175"/>
      <c r="S257" s="1176"/>
      <c r="T257" s="1177"/>
      <c r="U257" s="5248"/>
      <c r="V257" s="1177"/>
      <c r="W257" s="5249"/>
      <c r="X257" s="5208"/>
      <c r="Y257" s="5209"/>
      <c r="Z257" s="5210"/>
      <c r="AA257" s="5211"/>
      <c r="AB257" s="1178"/>
      <c r="AC257" s="1179"/>
      <c r="AD257" s="227" t="s">
        <v>22</v>
      </c>
      <c r="AE257" s="1027" t="str">
        <f t="shared" si="94"/>
        <v>►</v>
      </c>
      <c r="AF257" s="1028" t="str">
        <f t="shared" si="95"/>
        <v/>
      </c>
      <c r="AG257" s="1029" t="str">
        <f t="shared" si="96"/>
        <v/>
      </c>
      <c r="AH257" s="1028" t="str">
        <f t="shared" si="97"/>
        <v/>
      </c>
      <c r="AI257" s="1029" t="str">
        <f t="shared" si="98"/>
        <v/>
      </c>
      <c r="AJ257" s="1029">
        <f t="shared" si="99"/>
        <v>0</v>
      </c>
      <c r="AK257" s="1043" t="str" cm="1">
        <f t="array" ref="AK257">IF(AE257&lt;&gt;"A","",IFERROR((IFERROR(_xlfn.XLOOKUP(TRIM(SUBSTITUTE(U257,CHAR(160)," ")),$BI$15:$BI$62,$BL$15:$BL$62),IFERROR(_xlfn.XLOOKUP(TRIM(SUBSTITUTE(U257,CHAR(160)," ")),$BJ$15:$BJ$62,$BL$15:$BL$62),_xlfn.XLOOKUP(TRIM(SUBSTITUTE(U257,CHAR(160)," ")),$BK$15:$BK$62,$BL$15:$BL$62))))*T257*IF(ISBLANK(Q257),1,Q257)+IFERROR(_xlfn.XLOOKUP("RECHERCHEX",TRIM(L257:AC257),L257:AC257),0),0))</f>
        <v/>
      </c>
      <c r="AL257" s="1030">
        <f t="shared" si="100"/>
        <v>0</v>
      </c>
      <c r="AM257" s="5254" t="str">
        <f t="shared" si="115"/>
        <v/>
      </c>
      <c r="AN257" s="1031">
        <f t="shared" si="101"/>
        <v>0</v>
      </c>
      <c r="AO257" s="1031">
        <f t="shared" si="102"/>
        <v>0</v>
      </c>
      <c r="AP257" s="1044">
        <f t="shared" si="103"/>
        <v>0</v>
      </c>
      <c r="AQ257" s="5257" t="str">
        <f t="shared" si="104"/>
        <v/>
      </c>
      <c r="AR257" s="1056"/>
      <c r="AS257" s="1056"/>
      <c r="AT257" s="1045">
        <f t="shared" si="105"/>
        <v>0</v>
      </c>
      <c r="AU257" s="1046">
        <f t="shared" si="106"/>
        <v>0</v>
      </c>
      <c r="AV257" s="1059" cm="1">
        <f t="array" ref="AV257">IF(AJ257&lt;&gt;1,0,IF(OR(AT257="",N(AT257)&lt;=0.000000001),"",IF(OR(AN257="",N(AN257)&lt;=0.000000001),0,IF(ISNUMBER(AT257),IFERROR(_xlfn.LET(_xlpm.ai_test,TRIM(AI257),_xlpm.r,IFERROR(_xlfn.XLOOKUP(_xlpm.ai_test,$BI$15:$BI$62,ROW($BI$15:$BI$62),0,1),IFERROR(_xlfn.XLOOKUP(_xlpm.ai_test,$BJ$15:$BJ$62,ROW($BJ$15:$BJ$62),0,1),_xlfn.XLOOKUP(_xlpm.ai_test,$BK$15:$BK$62,ROW($BK$15:$BK$62),0,1))),_xlpm.p,_xlpm.r-MIN(ROW($BI$15:$BI$62))+1,_xlpm.f,INDEX($BL$15:$BL$62,_xlpm.p),_xlpm.u,INDEX($BM$15:$BM$62,_xlpm.p),_xlpm.s,INDEX($BO$15:$BO$62,_xlpm.p),_xlpm.q,N(AT257)/_xlpm.f,IF(_xlpm.q&gt;=_xlpm.s,ROUND(_xlpm.q,1)&amp;" "&amp;_xlpm.ai_test&amp;" = "&amp;ROUND(_xlpm.q*_xlpm.f,1)&amp;" "&amp;_xlpm.u,ROUND(_xlpm.q,1)&amp;" "&amp;_xlpm.ai_test)),""),""))))</f>
        <v>0</v>
      </c>
      <c r="AW257" s="1047"/>
      <c r="AX257" s="1045">
        <f t="shared" si="107"/>
        <v>0</v>
      </c>
      <c r="AY257" s="1046" t="str">
        <f t="shared" si="108"/>
        <v/>
      </c>
      <c r="AZ257" s="1048">
        <f t="shared" si="113"/>
        <v>0</v>
      </c>
      <c r="BA257" s="1049" t="str">
        <f t="shared" si="109"/>
        <v/>
      </c>
      <c r="BB257" s="1038"/>
      <c r="BC257" s="1050">
        <f t="shared" si="114"/>
        <v>0</v>
      </c>
      <c r="BD257" s="1040" t="str">
        <f t="shared" si="110"/>
        <v/>
      </c>
      <c r="BE257" s="227" t="s">
        <v>22</v>
      </c>
      <c r="BF257" s="1019">
        <f t="shared" si="111"/>
        <v>0</v>
      </c>
      <c r="BG257" s="1020">
        <f t="shared" si="112"/>
        <v>0</v>
      </c>
      <c r="BH257"/>
      <c r="BI257" s="709"/>
      <c r="BJ257" s="709"/>
      <c r="BK257" s="709"/>
      <c r="BL257" s="709"/>
      <c r="BM257" s="709"/>
      <c r="BN257" s="709"/>
      <c r="BO257" s="709"/>
      <c r="BP257" s="709"/>
      <c r="BW257" s="959" t="str">
        <f t="shared" si="93"/>
        <v>►</v>
      </c>
      <c r="CB257"/>
      <c r="CC257" s="856"/>
      <c r="CK257" s="709"/>
      <c r="CS257" s="709"/>
      <c r="DA257" s="709"/>
      <c r="DB257" s="3">
        <v>1</v>
      </c>
    </row>
    <row r="258" spans="1:108" ht="21" customHeight="1">
      <c r="A258" s="936" t="s">
        <v>22</v>
      </c>
      <c r="B258" s="952" t="str">
        <f t="shared" si="92"/>
        <v>►</v>
      </c>
      <c r="C258" s="993" cm="1">
        <f t="array" ref="C258">SUMPRODUCT(LEN(D258:J258))</f>
        <v>0</v>
      </c>
      <c r="D258" s="167"/>
      <c r="E258" s="172"/>
      <c r="F258" s="172"/>
      <c r="G258" s="172"/>
      <c r="H258" s="172"/>
      <c r="I258" s="172"/>
      <c r="J258" s="173"/>
      <c r="K258" s="442" t="s">
        <v>22</v>
      </c>
      <c r="L258" s="104" t="s">
        <v>16</v>
      </c>
      <c r="M258" s="1172"/>
      <c r="N258" s="1172"/>
      <c r="O258" s="1172"/>
      <c r="P258" s="1173"/>
      <c r="Q258" s="1174"/>
      <c r="R258" s="1175"/>
      <c r="S258" s="1176"/>
      <c r="T258" s="1177"/>
      <c r="U258" s="5248"/>
      <c r="V258" s="1177"/>
      <c r="W258" s="5249"/>
      <c r="X258" s="5208"/>
      <c r="Y258" s="5209"/>
      <c r="Z258" s="5210"/>
      <c r="AA258" s="5211"/>
      <c r="AB258" s="1178"/>
      <c r="AC258" s="1179"/>
      <c r="AD258" s="227" t="s">
        <v>22</v>
      </c>
      <c r="AE258" s="1027" t="str">
        <f t="shared" si="94"/>
        <v>►</v>
      </c>
      <c r="AF258" s="1028" t="str">
        <f t="shared" si="95"/>
        <v/>
      </c>
      <c r="AG258" s="1029" t="str">
        <f t="shared" si="96"/>
        <v/>
      </c>
      <c r="AH258" s="1028" t="str">
        <f t="shared" si="97"/>
        <v/>
      </c>
      <c r="AI258" s="1029" t="str">
        <f t="shared" si="98"/>
        <v/>
      </c>
      <c r="AJ258" s="1029">
        <f t="shared" si="99"/>
        <v>0</v>
      </c>
      <c r="AK258" s="1043" t="str" cm="1">
        <f t="array" ref="AK258">IF(AE258&lt;&gt;"A","",IFERROR((IFERROR(_xlfn.XLOOKUP(TRIM(SUBSTITUTE(U258,CHAR(160)," ")),$BI$15:$BI$62,$BL$15:$BL$62),IFERROR(_xlfn.XLOOKUP(TRIM(SUBSTITUTE(U258,CHAR(160)," ")),$BJ$15:$BJ$62,$BL$15:$BL$62),_xlfn.XLOOKUP(TRIM(SUBSTITUTE(U258,CHAR(160)," ")),$BK$15:$BK$62,$BL$15:$BL$62))))*T258*IF(ISBLANK(Q258),1,Q258)+IFERROR(_xlfn.XLOOKUP("RECHERCHEX",TRIM(L258:AC258),L258:AC258),0),0))</f>
        <v/>
      </c>
      <c r="AL258" s="1030">
        <f t="shared" si="100"/>
        <v>0</v>
      </c>
      <c r="AM258" s="5254" t="str">
        <f t="shared" si="115"/>
        <v/>
      </c>
      <c r="AN258" s="1031">
        <f t="shared" si="101"/>
        <v>0</v>
      </c>
      <c r="AO258" s="1031">
        <f t="shared" si="102"/>
        <v>0</v>
      </c>
      <c r="AP258" s="1032">
        <f t="shared" si="103"/>
        <v>0</v>
      </c>
      <c r="AQ258" s="5255" t="str">
        <f t="shared" si="104"/>
        <v/>
      </c>
      <c r="AR258" s="1056"/>
      <c r="AS258" s="1056"/>
      <c r="AT258" s="1034">
        <f t="shared" si="105"/>
        <v>0</v>
      </c>
      <c r="AU258" s="1035">
        <f t="shared" si="106"/>
        <v>0</v>
      </c>
      <c r="AV258" s="1057" cm="1">
        <f t="array" ref="AV258">IF(AJ258&lt;&gt;1,0,IF(OR(AT258="",N(AT258)&lt;=0.000000001),"",IF(OR(AN258="",N(AN258)&lt;=0.000000001),0,IF(ISNUMBER(AT258),IFERROR(_xlfn.LET(_xlpm.ai_test,TRIM(AI258),_xlpm.r,IFERROR(_xlfn.XLOOKUP(_xlpm.ai_test,$BI$15:$BI$62,ROW($BI$15:$BI$62),0,1),IFERROR(_xlfn.XLOOKUP(_xlpm.ai_test,$BJ$15:$BJ$62,ROW($BJ$15:$BJ$62),0,1),_xlfn.XLOOKUP(_xlpm.ai_test,$BK$15:$BK$62,ROW($BK$15:$BK$62),0,1))),_xlpm.p,_xlpm.r-MIN(ROW($BI$15:$BI$62))+1,_xlpm.f,INDEX($BL$15:$BL$62,_xlpm.p),_xlpm.u,INDEX($BM$15:$BM$62,_xlpm.p),_xlpm.s,INDEX($BO$15:$BO$62,_xlpm.p),_xlpm.q,N(AT258)/_xlpm.f,IF(_xlpm.q&gt;=_xlpm.s,ROUND(_xlpm.q,1)&amp;" "&amp;_xlpm.ai_test&amp;" = "&amp;ROUND(_xlpm.q*_xlpm.f,1)&amp;" "&amp;_xlpm.u,ROUND(_xlpm.q,1)&amp;" "&amp;_xlpm.ai_test)),""),""))))</f>
        <v>0</v>
      </c>
      <c r="AW258" s="1047"/>
      <c r="AX258" s="1034">
        <f t="shared" si="107"/>
        <v>0</v>
      </c>
      <c r="AY258" s="1035" t="str">
        <f t="shared" si="108"/>
        <v/>
      </c>
      <c r="AZ258" s="1036">
        <f t="shared" si="113"/>
        <v>0</v>
      </c>
      <c r="BA258" s="1037" t="str">
        <f t="shared" si="109"/>
        <v/>
      </c>
      <c r="BB258" s="1038"/>
      <c r="BC258" s="1039">
        <f t="shared" si="114"/>
        <v>0</v>
      </c>
      <c r="BD258" s="1040" t="str">
        <f t="shared" si="110"/>
        <v/>
      </c>
      <c r="BE258" s="227" t="s">
        <v>22</v>
      </c>
      <c r="BF258" s="1019">
        <f t="shared" si="111"/>
        <v>0</v>
      </c>
      <c r="BG258" s="1020">
        <f t="shared" si="112"/>
        <v>0</v>
      </c>
      <c r="BH258"/>
      <c r="BI258" s="709"/>
      <c r="BJ258" s="709"/>
      <c r="BK258" s="709"/>
      <c r="BL258" s="709"/>
      <c r="BM258" s="709"/>
      <c r="BN258" s="709"/>
      <c r="BO258" s="709"/>
      <c r="BP258" s="709"/>
      <c r="BW258" s="959" t="str">
        <f t="shared" si="93"/>
        <v>►</v>
      </c>
      <c r="CB258"/>
      <c r="CC258" s="856"/>
      <c r="CK258" s="709"/>
      <c r="CS258" s="709"/>
      <c r="DA258" s="709"/>
      <c r="DB258" s="3">
        <v>1</v>
      </c>
    </row>
    <row r="259" spans="1:108" ht="21" customHeight="1">
      <c r="A259" s="936" t="s">
        <v>22</v>
      </c>
      <c r="B259" s="952" t="str">
        <f t="shared" si="92"/>
        <v>►</v>
      </c>
      <c r="C259" s="993" cm="1">
        <f t="array" ref="C259">SUMPRODUCT(LEN(D259:J259))</f>
        <v>0</v>
      </c>
      <c r="D259" s="167"/>
      <c r="E259" s="172"/>
      <c r="F259" s="172"/>
      <c r="G259" s="172"/>
      <c r="H259" s="172"/>
      <c r="I259" s="172"/>
      <c r="J259" s="173"/>
      <c r="K259" s="442" t="s">
        <v>22</v>
      </c>
      <c r="L259" s="104" t="s">
        <v>16</v>
      </c>
      <c r="M259" s="1172"/>
      <c r="N259" s="1172"/>
      <c r="O259" s="1172"/>
      <c r="P259" s="1173"/>
      <c r="Q259" s="1174"/>
      <c r="R259" s="1175"/>
      <c r="S259" s="1176"/>
      <c r="T259" s="1177"/>
      <c r="U259" s="5248"/>
      <c r="V259" s="1177"/>
      <c r="W259" s="5249"/>
      <c r="X259" s="5208"/>
      <c r="Y259" s="5209"/>
      <c r="Z259" s="5210"/>
      <c r="AA259" s="5211"/>
      <c r="AB259" s="1178"/>
      <c r="AC259" s="1179"/>
      <c r="AD259" s="227" t="s">
        <v>22</v>
      </c>
      <c r="AE259" s="1027" t="str">
        <f t="shared" si="94"/>
        <v>►</v>
      </c>
      <c r="AF259" s="1028" t="str">
        <f t="shared" si="95"/>
        <v/>
      </c>
      <c r="AG259" s="1029" t="str">
        <f t="shared" si="96"/>
        <v/>
      </c>
      <c r="AH259" s="1028" t="str">
        <f t="shared" si="97"/>
        <v/>
      </c>
      <c r="AI259" s="1029" t="str">
        <f t="shared" si="98"/>
        <v/>
      </c>
      <c r="AJ259" s="1029">
        <f t="shared" si="99"/>
        <v>0</v>
      </c>
      <c r="AK259" s="1043" t="str" cm="1">
        <f t="array" ref="AK259">IF(AE259&lt;&gt;"A","",IFERROR((IFERROR(_xlfn.XLOOKUP(TRIM(SUBSTITUTE(U259,CHAR(160)," ")),$BI$15:$BI$62,$BL$15:$BL$62),IFERROR(_xlfn.XLOOKUP(TRIM(SUBSTITUTE(U259,CHAR(160)," ")),$BJ$15:$BJ$62,$BL$15:$BL$62),_xlfn.XLOOKUP(TRIM(SUBSTITUTE(U259,CHAR(160)," ")),$BK$15:$BK$62,$BL$15:$BL$62))))*T259*IF(ISBLANK(Q259),1,Q259)+IFERROR(_xlfn.XLOOKUP("RECHERCHEX",TRIM(L259:AC259),L259:AC259),0),0))</f>
        <v/>
      </c>
      <c r="AL259" s="1030">
        <f t="shared" si="100"/>
        <v>0</v>
      </c>
      <c r="AM259" s="5254" t="str">
        <f t="shared" si="115"/>
        <v/>
      </c>
      <c r="AN259" s="1031">
        <f t="shared" si="101"/>
        <v>0</v>
      </c>
      <c r="AO259" s="1031">
        <f t="shared" si="102"/>
        <v>0</v>
      </c>
      <c r="AP259" s="1044">
        <f t="shared" si="103"/>
        <v>0</v>
      </c>
      <c r="AQ259" s="5257" t="str">
        <f t="shared" si="104"/>
        <v/>
      </c>
      <c r="AR259" s="1056"/>
      <c r="AS259" s="1056"/>
      <c r="AT259" s="1045">
        <f t="shared" si="105"/>
        <v>0</v>
      </c>
      <c r="AU259" s="1046">
        <f t="shared" si="106"/>
        <v>0</v>
      </c>
      <c r="AV259" s="1059" cm="1">
        <f t="array" ref="AV259">IF(AJ259&lt;&gt;1,0,IF(OR(AT259="",N(AT259)&lt;=0.000000001),"",IF(OR(AN259="",N(AN259)&lt;=0.000000001),0,IF(ISNUMBER(AT259),IFERROR(_xlfn.LET(_xlpm.ai_test,TRIM(AI259),_xlpm.r,IFERROR(_xlfn.XLOOKUP(_xlpm.ai_test,$BI$15:$BI$62,ROW($BI$15:$BI$62),0,1),IFERROR(_xlfn.XLOOKUP(_xlpm.ai_test,$BJ$15:$BJ$62,ROW($BJ$15:$BJ$62),0,1),_xlfn.XLOOKUP(_xlpm.ai_test,$BK$15:$BK$62,ROW($BK$15:$BK$62),0,1))),_xlpm.p,_xlpm.r-MIN(ROW($BI$15:$BI$62))+1,_xlpm.f,INDEX($BL$15:$BL$62,_xlpm.p),_xlpm.u,INDEX($BM$15:$BM$62,_xlpm.p),_xlpm.s,INDEX($BO$15:$BO$62,_xlpm.p),_xlpm.q,N(AT259)/_xlpm.f,IF(_xlpm.q&gt;=_xlpm.s,ROUND(_xlpm.q,1)&amp;" "&amp;_xlpm.ai_test&amp;" = "&amp;ROUND(_xlpm.q*_xlpm.f,1)&amp;" "&amp;_xlpm.u,ROUND(_xlpm.q,1)&amp;" "&amp;_xlpm.ai_test)),""),""))))</f>
        <v>0</v>
      </c>
      <c r="AW259" s="1047"/>
      <c r="AX259" s="1045">
        <f t="shared" si="107"/>
        <v>0</v>
      </c>
      <c r="AY259" s="1046" t="str">
        <f t="shared" si="108"/>
        <v/>
      </c>
      <c r="AZ259" s="1048">
        <f t="shared" si="113"/>
        <v>0</v>
      </c>
      <c r="BA259" s="1049" t="str">
        <f t="shared" si="109"/>
        <v/>
      </c>
      <c r="BB259" s="1038"/>
      <c r="BC259" s="1050">
        <f t="shared" si="114"/>
        <v>0</v>
      </c>
      <c r="BD259" s="1040" t="str">
        <f t="shared" si="110"/>
        <v/>
      </c>
      <c r="BE259" s="227" t="s">
        <v>22</v>
      </c>
      <c r="BF259" s="1019">
        <f t="shared" si="111"/>
        <v>0</v>
      </c>
      <c r="BG259" s="1020">
        <f t="shared" si="112"/>
        <v>0</v>
      </c>
      <c r="BH259"/>
      <c r="BI259" s="709"/>
      <c r="BJ259" s="709"/>
      <c r="BK259" s="709"/>
      <c r="BL259" s="709"/>
      <c r="BM259" s="709"/>
      <c r="BN259" s="709"/>
      <c r="BO259" s="709"/>
      <c r="BP259" s="709"/>
      <c r="BW259" s="959" t="str">
        <f t="shared" si="93"/>
        <v>►</v>
      </c>
      <c r="CB259"/>
      <c r="CC259" s="856"/>
      <c r="DB259" s="3">
        <v>1</v>
      </c>
    </row>
    <row r="260" spans="1:108" ht="21" customHeight="1">
      <c r="A260" s="936" t="s">
        <v>22</v>
      </c>
      <c r="B260" s="952" t="str">
        <f t="shared" si="92"/>
        <v>►</v>
      </c>
      <c r="C260" s="993" cm="1">
        <f t="array" ref="C260">SUMPRODUCT(LEN(D260:J260))</f>
        <v>0</v>
      </c>
      <c r="D260" s="167"/>
      <c r="E260" s="172"/>
      <c r="F260" s="172"/>
      <c r="G260" s="172"/>
      <c r="H260" s="172"/>
      <c r="I260" s="172"/>
      <c r="J260" s="173"/>
      <c r="K260" s="442" t="s">
        <v>22</v>
      </c>
      <c r="L260" s="104" t="s">
        <v>16</v>
      </c>
      <c r="M260" s="1172"/>
      <c r="N260" s="1172"/>
      <c r="O260" s="1172"/>
      <c r="P260" s="1173"/>
      <c r="Q260" s="1174"/>
      <c r="R260" s="1175"/>
      <c r="S260" s="1176"/>
      <c r="T260" s="1177"/>
      <c r="U260" s="5248"/>
      <c r="V260" s="1177"/>
      <c r="W260" s="5249"/>
      <c r="X260" s="5208"/>
      <c r="Y260" s="5209"/>
      <c r="Z260" s="5210"/>
      <c r="AA260" s="5211"/>
      <c r="AB260" s="1178"/>
      <c r="AC260" s="1179"/>
      <c r="AD260" s="227" t="s">
        <v>22</v>
      </c>
      <c r="AE260" s="1027" t="str">
        <f t="shared" si="94"/>
        <v>►</v>
      </c>
      <c r="AF260" s="1028" t="str">
        <f t="shared" si="95"/>
        <v/>
      </c>
      <c r="AG260" s="1029" t="str">
        <f t="shared" si="96"/>
        <v/>
      </c>
      <c r="AH260" s="1028" t="str">
        <f t="shared" si="97"/>
        <v/>
      </c>
      <c r="AI260" s="1029" t="str">
        <f t="shared" si="98"/>
        <v/>
      </c>
      <c r="AJ260" s="1029">
        <f t="shared" si="99"/>
        <v>0</v>
      </c>
      <c r="AK260" s="1043" t="str" cm="1">
        <f t="array" ref="AK260">IF(AE260&lt;&gt;"A","",IFERROR((IFERROR(_xlfn.XLOOKUP(TRIM(SUBSTITUTE(U260,CHAR(160)," ")),$BI$15:$BI$62,$BL$15:$BL$62),IFERROR(_xlfn.XLOOKUP(TRIM(SUBSTITUTE(U260,CHAR(160)," ")),$BJ$15:$BJ$62,$BL$15:$BL$62),_xlfn.XLOOKUP(TRIM(SUBSTITUTE(U260,CHAR(160)," ")),$BK$15:$BK$62,$BL$15:$BL$62))))*T260*IF(ISBLANK(Q260),1,Q260)+IFERROR(_xlfn.XLOOKUP("RECHERCHEX",TRIM(L260:AC260),L260:AC260),0),0))</f>
        <v/>
      </c>
      <c r="AL260" s="1030">
        <f t="shared" si="100"/>
        <v>0</v>
      </c>
      <c r="AM260" s="5254" t="str">
        <f t="shared" si="115"/>
        <v/>
      </c>
      <c r="AN260" s="1031">
        <f t="shared" si="101"/>
        <v>0</v>
      </c>
      <c r="AO260" s="1031">
        <f t="shared" si="102"/>
        <v>0</v>
      </c>
      <c r="AP260" s="1032">
        <f t="shared" si="103"/>
        <v>0</v>
      </c>
      <c r="AQ260" s="5255" t="str">
        <f t="shared" si="104"/>
        <v/>
      </c>
      <c r="AR260" s="1056"/>
      <c r="AS260" s="1056"/>
      <c r="AT260" s="1034">
        <f t="shared" si="105"/>
        <v>0</v>
      </c>
      <c r="AU260" s="1035">
        <f t="shared" si="106"/>
        <v>0</v>
      </c>
      <c r="AV260" s="1057" cm="1">
        <f t="array" ref="AV260">IF(AJ260&lt;&gt;1,0,IF(OR(AT260="",N(AT260)&lt;=0.000000001),"",IF(OR(AN260="",N(AN260)&lt;=0.000000001),0,IF(ISNUMBER(AT260),IFERROR(_xlfn.LET(_xlpm.ai_test,TRIM(AI260),_xlpm.r,IFERROR(_xlfn.XLOOKUP(_xlpm.ai_test,$BI$15:$BI$62,ROW($BI$15:$BI$62),0,1),IFERROR(_xlfn.XLOOKUP(_xlpm.ai_test,$BJ$15:$BJ$62,ROW($BJ$15:$BJ$62),0,1),_xlfn.XLOOKUP(_xlpm.ai_test,$BK$15:$BK$62,ROW($BK$15:$BK$62),0,1))),_xlpm.p,_xlpm.r-MIN(ROW($BI$15:$BI$62))+1,_xlpm.f,INDEX($BL$15:$BL$62,_xlpm.p),_xlpm.u,INDEX($BM$15:$BM$62,_xlpm.p),_xlpm.s,INDEX($BO$15:$BO$62,_xlpm.p),_xlpm.q,N(AT260)/_xlpm.f,IF(_xlpm.q&gt;=_xlpm.s,ROUND(_xlpm.q,1)&amp;" "&amp;_xlpm.ai_test&amp;" = "&amp;ROUND(_xlpm.q*_xlpm.f,1)&amp;" "&amp;_xlpm.u,ROUND(_xlpm.q,1)&amp;" "&amp;_xlpm.ai_test)),""),""))))</f>
        <v>0</v>
      </c>
      <c r="AW260" s="1047"/>
      <c r="AX260" s="1034">
        <f t="shared" si="107"/>
        <v>0</v>
      </c>
      <c r="AY260" s="1035" t="str">
        <f t="shared" si="108"/>
        <v/>
      </c>
      <c r="AZ260" s="1036">
        <f t="shared" si="113"/>
        <v>0</v>
      </c>
      <c r="BA260" s="1037" t="str">
        <f t="shared" si="109"/>
        <v/>
      </c>
      <c r="BB260" s="1038"/>
      <c r="BC260" s="1039">
        <f t="shared" si="114"/>
        <v>0</v>
      </c>
      <c r="BD260" s="1040" t="str">
        <f t="shared" si="110"/>
        <v/>
      </c>
      <c r="BE260" s="227" t="s">
        <v>22</v>
      </c>
      <c r="BF260" s="1019">
        <f t="shared" si="111"/>
        <v>0</v>
      </c>
      <c r="BG260" s="1020">
        <f t="shared" si="112"/>
        <v>0</v>
      </c>
      <c r="BH260"/>
      <c r="BI260" s="709"/>
      <c r="BJ260" s="709"/>
      <c r="BK260" s="709"/>
      <c r="BL260" s="709"/>
      <c r="BM260" s="709"/>
      <c r="BN260" s="709"/>
      <c r="BO260" s="709"/>
      <c r="BP260" s="709"/>
      <c r="BW260" s="959" t="str">
        <f t="shared" si="93"/>
        <v>►</v>
      </c>
      <c r="CB260"/>
      <c r="CC260" s="856"/>
      <c r="DB260" s="3">
        <v>1</v>
      </c>
    </row>
    <row r="261" spans="1:108" ht="21" customHeight="1">
      <c r="A261" s="936" t="s">
        <v>22</v>
      </c>
      <c r="B261" s="952" t="str">
        <f t="shared" ref="B261:B304" si="116">L261</f>
        <v>►</v>
      </c>
      <c r="C261" s="993" cm="1">
        <f t="array" ref="C261">SUMPRODUCT(LEN(D261:J261))</f>
        <v>0</v>
      </c>
      <c r="D261" s="167"/>
      <c r="E261" s="172"/>
      <c r="F261" s="172"/>
      <c r="G261" s="172"/>
      <c r="H261" s="172"/>
      <c r="I261" s="172"/>
      <c r="J261" s="173"/>
      <c r="K261" s="442" t="s">
        <v>22</v>
      </c>
      <c r="L261" s="104" t="s">
        <v>16</v>
      </c>
      <c r="M261" s="1172"/>
      <c r="N261" s="1172"/>
      <c r="O261" s="1172"/>
      <c r="P261" s="1173"/>
      <c r="Q261" s="1174"/>
      <c r="R261" s="1175"/>
      <c r="S261" s="1176"/>
      <c r="T261" s="1177"/>
      <c r="U261" s="5248"/>
      <c r="V261" s="1177"/>
      <c r="W261" s="5249"/>
      <c r="X261" s="5208"/>
      <c r="Y261" s="5209"/>
      <c r="Z261" s="5210"/>
      <c r="AA261" s="5211"/>
      <c r="AB261" s="1178"/>
      <c r="AC261" s="1179"/>
      <c r="AD261" s="227" t="s">
        <v>22</v>
      </c>
      <c r="AE261" s="1027" t="str">
        <f t="shared" si="94"/>
        <v>►</v>
      </c>
      <c r="AF261" s="1028" t="str">
        <f t="shared" si="95"/>
        <v/>
      </c>
      <c r="AG261" s="1029" t="str">
        <f t="shared" si="96"/>
        <v/>
      </c>
      <c r="AH261" s="1028" t="str">
        <f t="shared" si="97"/>
        <v/>
      </c>
      <c r="AI261" s="1029" t="str">
        <f t="shared" si="98"/>
        <v/>
      </c>
      <c r="AJ261" s="1029">
        <f t="shared" si="99"/>
        <v>0</v>
      </c>
      <c r="AK261" s="1043" t="str" cm="1">
        <f t="array" ref="AK261">IF(AE261&lt;&gt;"A","",IFERROR((IFERROR(_xlfn.XLOOKUP(TRIM(SUBSTITUTE(U261,CHAR(160)," ")),$BI$15:$BI$62,$BL$15:$BL$62),IFERROR(_xlfn.XLOOKUP(TRIM(SUBSTITUTE(U261,CHAR(160)," ")),$BJ$15:$BJ$62,$BL$15:$BL$62),_xlfn.XLOOKUP(TRIM(SUBSTITUTE(U261,CHAR(160)," ")),$BK$15:$BK$62,$BL$15:$BL$62))))*T261*IF(ISBLANK(Q261),1,Q261)+IFERROR(_xlfn.XLOOKUP("RECHERCHEX",TRIM(L261:AC261),L261:AC261),0),0))</f>
        <v/>
      </c>
      <c r="AL261" s="1030">
        <f t="shared" si="100"/>
        <v>0</v>
      </c>
      <c r="AM261" s="5254" t="str">
        <f t="shared" si="115"/>
        <v/>
      </c>
      <c r="AN261" s="1031">
        <f t="shared" si="101"/>
        <v>0</v>
      </c>
      <c r="AO261" s="1031">
        <f t="shared" si="102"/>
        <v>0</v>
      </c>
      <c r="AP261" s="1044">
        <f t="shared" si="103"/>
        <v>0</v>
      </c>
      <c r="AQ261" s="5257" t="str">
        <f t="shared" si="104"/>
        <v/>
      </c>
      <c r="AR261" s="1056"/>
      <c r="AS261" s="1056"/>
      <c r="AT261" s="1045">
        <f t="shared" si="105"/>
        <v>0</v>
      </c>
      <c r="AU261" s="1046">
        <f t="shared" si="106"/>
        <v>0</v>
      </c>
      <c r="AV261" s="1059" cm="1">
        <f t="array" ref="AV261">IF(AJ261&lt;&gt;1,0,IF(OR(AT261="",N(AT261)&lt;=0.000000001),"",IF(OR(AN261="",N(AN261)&lt;=0.000000001),0,IF(ISNUMBER(AT261),IFERROR(_xlfn.LET(_xlpm.ai_test,TRIM(AI261),_xlpm.r,IFERROR(_xlfn.XLOOKUP(_xlpm.ai_test,$BI$15:$BI$62,ROW($BI$15:$BI$62),0,1),IFERROR(_xlfn.XLOOKUP(_xlpm.ai_test,$BJ$15:$BJ$62,ROW($BJ$15:$BJ$62),0,1),_xlfn.XLOOKUP(_xlpm.ai_test,$BK$15:$BK$62,ROW($BK$15:$BK$62),0,1))),_xlpm.p,_xlpm.r-MIN(ROW($BI$15:$BI$62))+1,_xlpm.f,INDEX($BL$15:$BL$62,_xlpm.p),_xlpm.u,INDEX($BM$15:$BM$62,_xlpm.p),_xlpm.s,INDEX($BO$15:$BO$62,_xlpm.p),_xlpm.q,N(AT261)/_xlpm.f,IF(_xlpm.q&gt;=_xlpm.s,ROUND(_xlpm.q,1)&amp;" "&amp;_xlpm.ai_test&amp;" = "&amp;ROUND(_xlpm.q*_xlpm.f,1)&amp;" "&amp;_xlpm.u,ROUND(_xlpm.q,1)&amp;" "&amp;_xlpm.ai_test)),""),""))))</f>
        <v>0</v>
      </c>
      <c r="AW261" s="1047"/>
      <c r="AX261" s="1045">
        <f t="shared" si="107"/>
        <v>0</v>
      </c>
      <c r="AY261" s="1046" t="str">
        <f t="shared" si="108"/>
        <v/>
      </c>
      <c r="AZ261" s="1048">
        <f t="shared" si="113"/>
        <v>0</v>
      </c>
      <c r="BA261" s="1049" t="str">
        <f t="shared" si="109"/>
        <v/>
      </c>
      <c r="BB261" s="1038"/>
      <c r="BC261" s="1050">
        <f t="shared" si="114"/>
        <v>0</v>
      </c>
      <c r="BD261" s="1040" t="str">
        <f t="shared" si="110"/>
        <v/>
      </c>
      <c r="BE261" s="227" t="s">
        <v>22</v>
      </c>
      <c r="BF261" s="1019">
        <f t="shared" si="111"/>
        <v>0</v>
      </c>
      <c r="BG261" s="1020">
        <f t="shared" si="112"/>
        <v>0</v>
      </c>
      <c r="BH261"/>
      <c r="BI261" s="709"/>
      <c r="BJ261" s="709"/>
      <c r="BK261" s="709"/>
      <c r="BL261" s="709"/>
      <c r="BM261" s="709"/>
      <c r="BN261" s="709"/>
      <c r="BO261" s="709"/>
      <c r="BP261" s="709"/>
      <c r="BW261" s="959" t="str">
        <f t="shared" ref="BW261:BW324" si="117">AE261</f>
        <v>►</v>
      </c>
      <c r="CB261"/>
      <c r="CC261" s="856"/>
      <c r="DB261" s="3">
        <v>1</v>
      </c>
    </row>
    <row r="262" spans="1:108" ht="21" customHeight="1">
      <c r="A262" s="936" t="s">
        <v>22</v>
      </c>
      <c r="B262" s="952" t="str">
        <f t="shared" si="116"/>
        <v>►</v>
      </c>
      <c r="C262" s="993" cm="1">
        <f t="array" ref="C262">SUMPRODUCT(LEN(D262:J262))</f>
        <v>0</v>
      </c>
      <c r="D262" s="167"/>
      <c r="E262" s="172"/>
      <c r="F262" s="172"/>
      <c r="G262" s="172"/>
      <c r="H262" s="172"/>
      <c r="I262" s="172"/>
      <c r="J262" s="173"/>
      <c r="K262" s="442" t="s">
        <v>22</v>
      </c>
      <c r="L262" s="104" t="s">
        <v>16</v>
      </c>
      <c r="M262" s="1172"/>
      <c r="N262" s="1172"/>
      <c r="O262" s="1172"/>
      <c r="P262" s="1173"/>
      <c r="Q262" s="1174"/>
      <c r="R262" s="1175"/>
      <c r="S262" s="1176"/>
      <c r="T262" s="1177"/>
      <c r="U262" s="5248"/>
      <c r="V262" s="1177"/>
      <c r="W262" s="5249"/>
      <c r="X262" s="5208"/>
      <c r="Y262" s="5209"/>
      <c r="Z262" s="5210"/>
      <c r="AA262" s="5211"/>
      <c r="AB262" s="1178"/>
      <c r="AC262" s="1179"/>
      <c r="AD262" s="227" t="s">
        <v>22</v>
      </c>
      <c r="AE262" s="1027" t="str">
        <f t="shared" si="94"/>
        <v>►</v>
      </c>
      <c r="AF262" s="1028" t="str">
        <f t="shared" si="95"/>
        <v/>
      </c>
      <c r="AG262" s="1029" t="str">
        <f t="shared" si="96"/>
        <v/>
      </c>
      <c r="AH262" s="1028" t="str">
        <f t="shared" si="97"/>
        <v/>
      </c>
      <c r="AI262" s="1029" t="str">
        <f t="shared" si="98"/>
        <v/>
      </c>
      <c r="AJ262" s="1029">
        <f t="shared" si="99"/>
        <v>0</v>
      </c>
      <c r="AK262" s="1043" t="str" cm="1">
        <f t="array" ref="AK262">IF(AE262&lt;&gt;"A","",IFERROR((IFERROR(_xlfn.XLOOKUP(TRIM(SUBSTITUTE(U262,CHAR(160)," ")),$BI$15:$BI$62,$BL$15:$BL$62),IFERROR(_xlfn.XLOOKUP(TRIM(SUBSTITUTE(U262,CHAR(160)," ")),$BJ$15:$BJ$62,$BL$15:$BL$62),_xlfn.XLOOKUP(TRIM(SUBSTITUTE(U262,CHAR(160)," ")),$BK$15:$BK$62,$BL$15:$BL$62))))*T262*IF(ISBLANK(Q262),1,Q262)+IFERROR(_xlfn.XLOOKUP("RECHERCHEX",TRIM(L262:AC262),L262:AC262),0),0))</f>
        <v/>
      </c>
      <c r="AL262" s="1030">
        <f t="shared" si="100"/>
        <v>0</v>
      </c>
      <c r="AM262" s="5254" t="str">
        <f t="shared" si="115"/>
        <v/>
      </c>
      <c r="AN262" s="1031">
        <f t="shared" si="101"/>
        <v>0</v>
      </c>
      <c r="AO262" s="1031">
        <f t="shared" si="102"/>
        <v>0</v>
      </c>
      <c r="AP262" s="1032">
        <f t="shared" si="103"/>
        <v>0</v>
      </c>
      <c r="AQ262" s="5255" t="str">
        <f t="shared" si="104"/>
        <v/>
      </c>
      <c r="AR262" s="1056"/>
      <c r="AS262" s="1056"/>
      <c r="AT262" s="1034">
        <f t="shared" si="105"/>
        <v>0</v>
      </c>
      <c r="AU262" s="1035">
        <f t="shared" si="106"/>
        <v>0</v>
      </c>
      <c r="AV262" s="1057" cm="1">
        <f t="array" ref="AV262">IF(AJ262&lt;&gt;1,0,IF(OR(AT262="",N(AT262)&lt;=0.000000001),"",IF(OR(AN262="",N(AN262)&lt;=0.000000001),0,IF(ISNUMBER(AT262),IFERROR(_xlfn.LET(_xlpm.ai_test,TRIM(AI262),_xlpm.r,IFERROR(_xlfn.XLOOKUP(_xlpm.ai_test,$BI$15:$BI$62,ROW($BI$15:$BI$62),0,1),IFERROR(_xlfn.XLOOKUP(_xlpm.ai_test,$BJ$15:$BJ$62,ROW($BJ$15:$BJ$62),0,1),_xlfn.XLOOKUP(_xlpm.ai_test,$BK$15:$BK$62,ROW($BK$15:$BK$62),0,1))),_xlpm.p,_xlpm.r-MIN(ROW($BI$15:$BI$62))+1,_xlpm.f,INDEX($BL$15:$BL$62,_xlpm.p),_xlpm.u,INDEX($BM$15:$BM$62,_xlpm.p),_xlpm.s,INDEX($BO$15:$BO$62,_xlpm.p),_xlpm.q,N(AT262)/_xlpm.f,IF(_xlpm.q&gt;=_xlpm.s,ROUND(_xlpm.q,1)&amp;" "&amp;_xlpm.ai_test&amp;" = "&amp;ROUND(_xlpm.q*_xlpm.f,1)&amp;" "&amp;_xlpm.u,ROUND(_xlpm.q,1)&amp;" "&amp;_xlpm.ai_test)),""),""))))</f>
        <v>0</v>
      </c>
      <c r="AW262" s="1047"/>
      <c r="AX262" s="1034">
        <f t="shared" si="107"/>
        <v>0</v>
      </c>
      <c r="AY262" s="1035" t="str">
        <f t="shared" si="108"/>
        <v/>
      </c>
      <c r="AZ262" s="1036">
        <f t="shared" si="113"/>
        <v>0</v>
      </c>
      <c r="BA262" s="1037" t="str">
        <f t="shared" si="109"/>
        <v/>
      </c>
      <c r="BB262" s="1038"/>
      <c r="BC262" s="1039">
        <f t="shared" si="114"/>
        <v>0</v>
      </c>
      <c r="BD262" s="1040" t="str">
        <f t="shared" si="110"/>
        <v/>
      </c>
      <c r="BE262" s="227" t="s">
        <v>22</v>
      </c>
      <c r="BF262" s="1019">
        <f t="shared" si="111"/>
        <v>0</v>
      </c>
      <c r="BG262" s="1020">
        <f t="shared" si="112"/>
        <v>0</v>
      </c>
      <c r="BH262"/>
      <c r="BI262" s="709"/>
      <c r="BJ262" s="709"/>
      <c r="BK262" s="709"/>
      <c r="BL262" s="709"/>
      <c r="BM262" s="709"/>
      <c r="BN262" s="709"/>
      <c r="BO262" s="709"/>
      <c r="BP262" s="709"/>
      <c r="BW262" s="959" t="str">
        <f t="shared" si="117"/>
        <v>►</v>
      </c>
      <c r="CB262"/>
      <c r="CC262" s="856"/>
      <c r="DB262" s="3">
        <v>1</v>
      </c>
    </row>
    <row r="263" spans="1:108" ht="21" customHeight="1">
      <c r="A263" s="936" t="s">
        <v>22</v>
      </c>
      <c r="B263" s="952" t="str">
        <f t="shared" si="116"/>
        <v>►</v>
      </c>
      <c r="C263" s="993" cm="1">
        <f t="array" ref="C263">SUMPRODUCT(LEN(D263:J263))</f>
        <v>0</v>
      </c>
      <c r="D263" s="167"/>
      <c r="E263" s="172"/>
      <c r="F263" s="172"/>
      <c r="G263" s="172"/>
      <c r="H263" s="172"/>
      <c r="I263" s="172"/>
      <c r="J263" s="173" t="str">
        <f>""&amp;T257</f>
        <v/>
      </c>
      <c r="K263" s="442" t="s">
        <v>22</v>
      </c>
      <c r="L263" s="104" t="s">
        <v>16</v>
      </c>
      <c r="M263" s="1172"/>
      <c r="N263" s="1172"/>
      <c r="O263" s="1172"/>
      <c r="P263" s="1173"/>
      <c r="Q263" s="1174"/>
      <c r="R263" s="1175"/>
      <c r="S263" s="1176"/>
      <c r="T263" s="1177"/>
      <c r="U263" s="5248"/>
      <c r="V263" s="1177"/>
      <c r="W263" s="5249"/>
      <c r="X263" s="5208"/>
      <c r="Y263" s="5209"/>
      <c r="Z263" s="5210"/>
      <c r="AA263" s="5211"/>
      <c r="AB263" s="1178"/>
      <c r="AC263" s="1179"/>
      <c r="AD263" s="227" t="s">
        <v>22</v>
      </c>
      <c r="AE263" s="1027" t="str">
        <f t="shared" si="94"/>
        <v>►</v>
      </c>
      <c r="AF263" s="1028" t="str">
        <f t="shared" si="95"/>
        <v/>
      </c>
      <c r="AG263" s="1029" t="str">
        <f t="shared" si="96"/>
        <v/>
      </c>
      <c r="AH263" s="1028" t="str">
        <f t="shared" si="97"/>
        <v/>
      </c>
      <c r="AI263" s="1029" t="str">
        <f t="shared" si="98"/>
        <v/>
      </c>
      <c r="AJ263" s="1029">
        <f t="shared" si="99"/>
        <v>0</v>
      </c>
      <c r="AK263" s="1043" t="str" cm="1">
        <f t="array" ref="AK263">IF(AE263&lt;&gt;"A","",IFERROR((IFERROR(_xlfn.XLOOKUP(TRIM(SUBSTITUTE(U263,CHAR(160)," ")),$BI$15:$BI$62,$BL$15:$BL$62),IFERROR(_xlfn.XLOOKUP(TRIM(SUBSTITUTE(U263,CHAR(160)," ")),$BJ$15:$BJ$62,$BL$15:$BL$62),_xlfn.XLOOKUP(TRIM(SUBSTITUTE(U263,CHAR(160)," ")),$BK$15:$BK$62,$BL$15:$BL$62))))*T263*IF(ISBLANK(Q263),1,Q263)+IFERROR(_xlfn.XLOOKUP("RECHERCHEX",TRIM(L263:AC263),L263:AC263),0),0))</f>
        <v/>
      </c>
      <c r="AL263" s="1030">
        <f t="shared" si="100"/>
        <v>0</v>
      </c>
      <c r="AM263" s="5254" t="str">
        <f t="shared" si="115"/>
        <v/>
      </c>
      <c r="AN263" s="1031">
        <f t="shared" si="101"/>
        <v>0</v>
      </c>
      <c r="AO263" s="1031">
        <f t="shared" si="102"/>
        <v>0</v>
      </c>
      <c r="AP263" s="1044">
        <f t="shared" si="103"/>
        <v>0</v>
      </c>
      <c r="AQ263" s="5257" t="str">
        <f t="shared" si="104"/>
        <v/>
      </c>
      <c r="AR263" s="1056"/>
      <c r="AS263" s="1056"/>
      <c r="AT263" s="1045">
        <f t="shared" si="105"/>
        <v>0</v>
      </c>
      <c r="AU263" s="1046">
        <f t="shared" si="106"/>
        <v>0</v>
      </c>
      <c r="AV263" s="1059" cm="1">
        <f t="array" ref="AV263">IF(AJ263&lt;&gt;1,0,IF(OR(AT263="",N(AT263)&lt;=0.000000001),"",IF(OR(AN263="",N(AN263)&lt;=0.000000001),0,IF(ISNUMBER(AT263),IFERROR(_xlfn.LET(_xlpm.ai_test,TRIM(AI263),_xlpm.r,IFERROR(_xlfn.XLOOKUP(_xlpm.ai_test,$BI$15:$BI$62,ROW($BI$15:$BI$62),0,1),IFERROR(_xlfn.XLOOKUP(_xlpm.ai_test,$BJ$15:$BJ$62,ROW($BJ$15:$BJ$62),0,1),_xlfn.XLOOKUP(_xlpm.ai_test,$BK$15:$BK$62,ROW($BK$15:$BK$62),0,1))),_xlpm.p,_xlpm.r-MIN(ROW($BI$15:$BI$62))+1,_xlpm.f,INDEX($BL$15:$BL$62,_xlpm.p),_xlpm.u,INDEX($BM$15:$BM$62,_xlpm.p),_xlpm.s,INDEX($BO$15:$BO$62,_xlpm.p),_xlpm.q,N(AT263)/_xlpm.f,IF(_xlpm.q&gt;=_xlpm.s,ROUND(_xlpm.q,1)&amp;" "&amp;_xlpm.ai_test&amp;" = "&amp;ROUND(_xlpm.q*_xlpm.f,1)&amp;" "&amp;_xlpm.u,ROUND(_xlpm.q,1)&amp;" "&amp;_xlpm.ai_test)),""),""))))</f>
        <v>0</v>
      </c>
      <c r="AW263" s="1047"/>
      <c r="AX263" s="1045">
        <f t="shared" si="107"/>
        <v>0</v>
      </c>
      <c r="AY263" s="1046" t="str">
        <f t="shared" si="108"/>
        <v/>
      </c>
      <c r="AZ263" s="1048">
        <f t="shared" si="113"/>
        <v>0</v>
      </c>
      <c r="BA263" s="1049" t="str">
        <f t="shared" si="109"/>
        <v/>
      </c>
      <c r="BB263" s="1038"/>
      <c r="BC263" s="1050">
        <f t="shared" si="114"/>
        <v>0</v>
      </c>
      <c r="BD263" s="1040" t="str">
        <f t="shared" si="110"/>
        <v/>
      </c>
      <c r="BE263" s="227" t="s">
        <v>22</v>
      </c>
      <c r="BF263" s="1019">
        <f t="shared" si="111"/>
        <v>0</v>
      </c>
      <c r="BG263" s="1020">
        <f t="shared" si="112"/>
        <v>0</v>
      </c>
      <c r="BH263"/>
      <c r="BI263" s="709"/>
      <c r="BJ263" s="709"/>
      <c r="BK263" s="709"/>
      <c r="BL263" s="709"/>
      <c r="BM263" s="709"/>
      <c r="BN263" s="709"/>
      <c r="BO263" s="709"/>
      <c r="BP263" s="709"/>
      <c r="BW263" s="959" t="str">
        <f t="shared" si="117"/>
        <v>►</v>
      </c>
      <c r="CB263"/>
      <c r="CC263" s="856"/>
      <c r="DB263" s="3">
        <v>1</v>
      </c>
    </row>
    <row r="264" spans="1:108" ht="21" customHeight="1">
      <c r="A264" s="936" t="s">
        <v>22</v>
      </c>
      <c r="B264" s="952" t="str">
        <f t="shared" si="116"/>
        <v>►</v>
      </c>
      <c r="C264" s="993" cm="1">
        <f t="array" ref="C264">SUMPRODUCT(LEN(D264:J264))</f>
        <v>0</v>
      </c>
      <c r="D264" s="167"/>
      <c r="E264" s="172"/>
      <c r="F264" s="172"/>
      <c r="G264" s="172"/>
      <c r="H264" s="172"/>
      <c r="I264" s="172"/>
      <c r="J264" s="173"/>
      <c r="K264" s="442" t="s">
        <v>22</v>
      </c>
      <c r="L264" s="104" t="s">
        <v>16</v>
      </c>
      <c r="M264" s="1172"/>
      <c r="N264" s="1172"/>
      <c r="O264" s="1172"/>
      <c r="P264" s="1173"/>
      <c r="Q264" s="1174"/>
      <c r="R264" s="1175"/>
      <c r="S264" s="1176"/>
      <c r="T264" s="1177"/>
      <c r="U264" s="5248"/>
      <c r="V264" s="1177"/>
      <c r="W264" s="5249"/>
      <c r="X264" s="5208"/>
      <c r="Y264" s="5209"/>
      <c r="Z264" s="5210"/>
      <c r="AA264" s="5211"/>
      <c r="AB264" s="1178"/>
      <c r="AC264" s="1179"/>
      <c r="AD264" s="227" t="s">
        <v>22</v>
      </c>
      <c r="AE264" s="1027" t="str">
        <f t="shared" si="94"/>
        <v>►</v>
      </c>
      <c r="AF264" s="1028" t="str">
        <f t="shared" si="95"/>
        <v/>
      </c>
      <c r="AG264" s="1029" t="str">
        <f t="shared" si="96"/>
        <v/>
      </c>
      <c r="AH264" s="1028" t="str">
        <f t="shared" si="97"/>
        <v/>
      </c>
      <c r="AI264" s="1029" t="str">
        <f t="shared" si="98"/>
        <v/>
      </c>
      <c r="AJ264" s="1029">
        <f t="shared" si="99"/>
        <v>0</v>
      </c>
      <c r="AK264" s="1043" t="str" cm="1">
        <f t="array" ref="AK264">IF(AE264&lt;&gt;"A","",IFERROR((IFERROR(_xlfn.XLOOKUP(TRIM(SUBSTITUTE(U264,CHAR(160)," ")),$BI$15:$BI$62,$BL$15:$BL$62),IFERROR(_xlfn.XLOOKUP(TRIM(SUBSTITUTE(U264,CHAR(160)," ")),$BJ$15:$BJ$62,$BL$15:$BL$62),_xlfn.XLOOKUP(TRIM(SUBSTITUTE(U264,CHAR(160)," ")),$BK$15:$BK$62,$BL$15:$BL$62))))*T264*IF(ISBLANK(Q264),1,Q264)+IFERROR(_xlfn.XLOOKUP("RECHERCHEX",TRIM(L264:AC264),L264:AC264),0),0))</f>
        <v/>
      </c>
      <c r="AL264" s="1030">
        <f t="shared" si="100"/>
        <v>0</v>
      </c>
      <c r="AM264" s="5254" t="str">
        <f t="shared" si="115"/>
        <v/>
      </c>
      <c r="AN264" s="1031">
        <f t="shared" si="101"/>
        <v>0</v>
      </c>
      <c r="AO264" s="1031">
        <f t="shared" si="102"/>
        <v>0</v>
      </c>
      <c r="AP264" s="1032">
        <f t="shared" si="103"/>
        <v>0</v>
      </c>
      <c r="AQ264" s="5255" t="str">
        <f t="shared" si="104"/>
        <v/>
      </c>
      <c r="AR264" s="1056"/>
      <c r="AS264" s="1056"/>
      <c r="AT264" s="1034">
        <f t="shared" si="105"/>
        <v>0</v>
      </c>
      <c r="AU264" s="1035">
        <f t="shared" si="106"/>
        <v>0</v>
      </c>
      <c r="AV264" s="1057" cm="1">
        <f t="array" ref="AV264">IF(AJ264&lt;&gt;1,0,IF(OR(AT264="",N(AT264)&lt;=0.000000001),"",IF(OR(AN264="",N(AN264)&lt;=0.000000001),0,IF(ISNUMBER(AT264),IFERROR(_xlfn.LET(_xlpm.ai_test,TRIM(AI264),_xlpm.r,IFERROR(_xlfn.XLOOKUP(_xlpm.ai_test,$BI$15:$BI$62,ROW($BI$15:$BI$62),0,1),IFERROR(_xlfn.XLOOKUP(_xlpm.ai_test,$BJ$15:$BJ$62,ROW($BJ$15:$BJ$62),0,1),_xlfn.XLOOKUP(_xlpm.ai_test,$BK$15:$BK$62,ROW($BK$15:$BK$62),0,1))),_xlpm.p,_xlpm.r-MIN(ROW($BI$15:$BI$62))+1,_xlpm.f,INDEX($BL$15:$BL$62,_xlpm.p),_xlpm.u,INDEX($BM$15:$BM$62,_xlpm.p),_xlpm.s,INDEX($BO$15:$BO$62,_xlpm.p),_xlpm.q,N(AT264)/_xlpm.f,IF(_xlpm.q&gt;=_xlpm.s,ROUND(_xlpm.q,1)&amp;" "&amp;_xlpm.ai_test&amp;" = "&amp;ROUND(_xlpm.q*_xlpm.f,1)&amp;" "&amp;_xlpm.u,ROUND(_xlpm.q,1)&amp;" "&amp;_xlpm.ai_test)),""),""))))</f>
        <v>0</v>
      </c>
      <c r="AW264" s="1047"/>
      <c r="AX264" s="1034">
        <f t="shared" si="107"/>
        <v>0</v>
      </c>
      <c r="AY264" s="1035" t="str">
        <f t="shared" si="108"/>
        <v/>
      </c>
      <c r="AZ264" s="1036">
        <f t="shared" si="113"/>
        <v>0</v>
      </c>
      <c r="BA264" s="1037" t="str">
        <f t="shared" si="109"/>
        <v/>
      </c>
      <c r="BB264" s="1038"/>
      <c r="BC264" s="1039">
        <f t="shared" si="114"/>
        <v>0</v>
      </c>
      <c r="BD264" s="1040" t="str">
        <f t="shared" si="110"/>
        <v/>
      </c>
      <c r="BE264" s="227" t="s">
        <v>22</v>
      </c>
      <c r="BF264" s="1019">
        <f t="shared" si="111"/>
        <v>0</v>
      </c>
      <c r="BG264" s="1020">
        <f t="shared" si="112"/>
        <v>0</v>
      </c>
      <c r="BH264"/>
      <c r="BI264" s="709"/>
      <c r="BJ264" s="709"/>
      <c r="BK264" s="709"/>
      <c r="BL264" s="709"/>
      <c r="BM264" s="709"/>
      <c r="BN264" s="709"/>
      <c r="BO264" s="709"/>
      <c r="BP264" s="709"/>
      <c r="BW264" s="959" t="str">
        <f t="shared" si="117"/>
        <v>►</v>
      </c>
      <c r="CB264"/>
      <c r="CC264" s="856"/>
      <c r="DB264" s="3">
        <v>1</v>
      </c>
    </row>
    <row r="265" spans="1:108" ht="21" customHeight="1">
      <c r="A265" s="936" t="s">
        <v>22</v>
      </c>
      <c r="B265" s="952" t="str">
        <f t="shared" si="116"/>
        <v>►</v>
      </c>
      <c r="C265" s="993" cm="1">
        <f t="array" ref="C265">SUMPRODUCT(LEN(D265:J265))</f>
        <v>0</v>
      </c>
      <c r="D265" s="167"/>
      <c r="E265" s="172"/>
      <c r="F265" s="172"/>
      <c r="G265" s="172"/>
      <c r="H265" s="172"/>
      <c r="I265" s="172"/>
      <c r="J265" s="173"/>
      <c r="K265" s="442" t="s">
        <v>22</v>
      </c>
      <c r="L265" s="104" t="s">
        <v>16</v>
      </c>
      <c r="M265" s="1172"/>
      <c r="N265" s="1172"/>
      <c r="O265" s="1172"/>
      <c r="P265" s="1173"/>
      <c r="Q265" s="1174"/>
      <c r="R265" s="1175"/>
      <c r="S265" s="1176"/>
      <c r="T265" s="1177"/>
      <c r="U265" s="5248"/>
      <c r="V265" s="1177"/>
      <c r="W265" s="5249"/>
      <c r="X265" s="5208"/>
      <c r="Y265" s="5209"/>
      <c r="Z265" s="5210"/>
      <c r="AA265" s="5211"/>
      <c r="AB265" s="1178"/>
      <c r="AC265" s="1179"/>
      <c r="AD265" s="227" t="s">
        <v>22</v>
      </c>
      <c r="AE265" s="1027" t="str">
        <f t="shared" si="94"/>
        <v>►</v>
      </c>
      <c r="AF265" s="1028" t="str">
        <f t="shared" si="95"/>
        <v/>
      </c>
      <c r="AG265" s="1029" t="str">
        <f t="shared" si="96"/>
        <v/>
      </c>
      <c r="AH265" s="1028" t="str">
        <f t="shared" si="97"/>
        <v/>
      </c>
      <c r="AI265" s="1029" t="str">
        <f t="shared" si="98"/>
        <v/>
      </c>
      <c r="AJ265" s="1029">
        <f t="shared" si="99"/>
        <v>0</v>
      </c>
      <c r="AK265" s="1043" t="str" cm="1">
        <f t="array" ref="AK265">IF(AE265&lt;&gt;"A","",IFERROR((IFERROR(_xlfn.XLOOKUP(TRIM(SUBSTITUTE(U265,CHAR(160)," ")),$BI$15:$BI$62,$BL$15:$BL$62),IFERROR(_xlfn.XLOOKUP(TRIM(SUBSTITUTE(U265,CHAR(160)," ")),$BJ$15:$BJ$62,$BL$15:$BL$62),_xlfn.XLOOKUP(TRIM(SUBSTITUTE(U265,CHAR(160)," ")),$BK$15:$BK$62,$BL$15:$BL$62))))*T265*IF(ISBLANK(Q265),1,Q265)+IFERROR(_xlfn.XLOOKUP("RECHERCHEX",TRIM(L265:AC265),L265:AC265),0),0))</f>
        <v/>
      </c>
      <c r="AL265" s="1030">
        <f t="shared" si="100"/>
        <v>0</v>
      </c>
      <c r="AM265" s="5254" t="str">
        <f t="shared" si="115"/>
        <v/>
      </c>
      <c r="AN265" s="1031">
        <f t="shared" si="101"/>
        <v>0</v>
      </c>
      <c r="AO265" s="1031">
        <f t="shared" si="102"/>
        <v>0</v>
      </c>
      <c r="AP265" s="1044">
        <f t="shared" si="103"/>
        <v>0</v>
      </c>
      <c r="AQ265" s="5257" t="str">
        <f t="shared" si="104"/>
        <v/>
      </c>
      <c r="AR265" s="1056"/>
      <c r="AS265" s="1056"/>
      <c r="AT265" s="1045">
        <f t="shared" si="105"/>
        <v>0</v>
      </c>
      <c r="AU265" s="1046">
        <f t="shared" si="106"/>
        <v>0</v>
      </c>
      <c r="AV265" s="1059" cm="1">
        <f t="array" ref="AV265">IF(AJ265&lt;&gt;1,0,IF(OR(AT265="",N(AT265)&lt;=0.000000001),"",IF(OR(AN265="",N(AN265)&lt;=0.000000001),0,IF(ISNUMBER(AT265),IFERROR(_xlfn.LET(_xlpm.ai_test,TRIM(AI265),_xlpm.r,IFERROR(_xlfn.XLOOKUP(_xlpm.ai_test,$BI$15:$BI$62,ROW($BI$15:$BI$62),0,1),IFERROR(_xlfn.XLOOKUP(_xlpm.ai_test,$BJ$15:$BJ$62,ROW($BJ$15:$BJ$62),0,1),_xlfn.XLOOKUP(_xlpm.ai_test,$BK$15:$BK$62,ROW($BK$15:$BK$62),0,1))),_xlpm.p,_xlpm.r-MIN(ROW($BI$15:$BI$62))+1,_xlpm.f,INDEX($BL$15:$BL$62,_xlpm.p),_xlpm.u,INDEX($BM$15:$BM$62,_xlpm.p),_xlpm.s,INDEX($BO$15:$BO$62,_xlpm.p),_xlpm.q,N(AT265)/_xlpm.f,IF(_xlpm.q&gt;=_xlpm.s,ROUND(_xlpm.q,1)&amp;" "&amp;_xlpm.ai_test&amp;" = "&amp;ROUND(_xlpm.q*_xlpm.f,1)&amp;" "&amp;_xlpm.u,ROUND(_xlpm.q,1)&amp;" "&amp;_xlpm.ai_test)),""),""))))</f>
        <v>0</v>
      </c>
      <c r="AW265" s="1047"/>
      <c r="AX265" s="1045">
        <f t="shared" si="107"/>
        <v>0</v>
      </c>
      <c r="AY265" s="1046" t="str">
        <f t="shared" si="108"/>
        <v/>
      </c>
      <c r="AZ265" s="1048">
        <f t="shared" si="113"/>
        <v>0</v>
      </c>
      <c r="BA265" s="1049" t="str">
        <f t="shared" si="109"/>
        <v/>
      </c>
      <c r="BB265" s="1038"/>
      <c r="BC265" s="1050">
        <f t="shared" si="114"/>
        <v>0</v>
      </c>
      <c r="BD265" s="1040" t="str">
        <f t="shared" si="110"/>
        <v/>
      </c>
      <c r="BE265" s="227" t="s">
        <v>22</v>
      </c>
      <c r="BF265" s="1019">
        <f t="shared" si="111"/>
        <v>0</v>
      </c>
      <c r="BG265" s="1020">
        <f t="shared" si="112"/>
        <v>0</v>
      </c>
      <c r="BH265"/>
      <c r="BI265" s="709"/>
      <c r="BJ265" s="709"/>
      <c r="BK265" s="709"/>
      <c r="BL265" s="709"/>
      <c r="BM265" s="709"/>
      <c r="BN265" s="709"/>
      <c r="BO265" s="709"/>
      <c r="BP265" s="709"/>
      <c r="BW265" s="959" t="str">
        <f t="shared" si="117"/>
        <v>►</v>
      </c>
      <c r="CB265"/>
      <c r="CC265" s="856"/>
      <c r="DB265" s="3">
        <v>1</v>
      </c>
    </row>
    <row r="266" spans="1:108" s="856" customFormat="1" ht="21" customHeight="1">
      <c r="A266" s="936" t="s">
        <v>22</v>
      </c>
      <c r="B266" s="952" t="str">
        <f t="shared" si="116"/>
        <v>►</v>
      </c>
      <c r="C266" s="993" cm="1">
        <f t="array" ref="C266">SUMPRODUCT(LEN(D266:J266))</f>
        <v>0</v>
      </c>
      <c r="D266" s="167"/>
      <c r="E266" s="172"/>
      <c r="F266" s="172"/>
      <c r="G266" s="172"/>
      <c r="H266" s="172"/>
      <c r="I266" s="172"/>
      <c r="J266" s="173"/>
      <c r="K266" s="442" t="s">
        <v>22</v>
      </c>
      <c r="L266" s="104" t="s">
        <v>16</v>
      </c>
      <c r="M266" s="1172"/>
      <c r="N266" s="1172"/>
      <c r="O266" s="1172"/>
      <c r="P266" s="1173"/>
      <c r="Q266" s="1174"/>
      <c r="R266" s="1175"/>
      <c r="S266" s="1176"/>
      <c r="T266" s="1177"/>
      <c r="U266" s="5248"/>
      <c r="V266" s="1177"/>
      <c r="W266" s="5249"/>
      <c r="X266" s="5208"/>
      <c r="Y266" s="5209"/>
      <c r="Z266" s="5210"/>
      <c r="AA266" s="5211"/>
      <c r="AB266" s="1178"/>
      <c r="AC266" s="1179"/>
      <c r="AD266" s="227" t="s">
        <v>22</v>
      </c>
      <c r="AE266" s="1027" t="str">
        <f t="shared" si="94"/>
        <v>►</v>
      </c>
      <c r="AF266" s="1028" t="str">
        <f t="shared" si="95"/>
        <v/>
      </c>
      <c r="AG266" s="1029" t="str">
        <f t="shared" si="96"/>
        <v/>
      </c>
      <c r="AH266" s="1028" t="str">
        <f t="shared" si="97"/>
        <v/>
      </c>
      <c r="AI266" s="1029" t="str">
        <f t="shared" si="98"/>
        <v/>
      </c>
      <c r="AJ266" s="1029">
        <f t="shared" si="99"/>
        <v>0</v>
      </c>
      <c r="AK266" s="1043" t="str" cm="1">
        <f t="array" ref="AK266">IF(AE266&lt;&gt;"A","",IFERROR((IFERROR(_xlfn.XLOOKUP(TRIM(SUBSTITUTE(U266,CHAR(160)," ")),$BI$15:$BI$62,$BL$15:$BL$62),IFERROR(_xlfn.XLOOKUP(TRIM(SUBSTITUTE(U266,CHAR(160)," ")),$BJ$15:$BJ$62,$BL$15:$BL$62),_xlfn.XLOOKUP(TRIM(SUBSTITUTE(U266,CHAR(160)," ")),$BK$15:$BK$62,$BL$15:$BL$62))))*T266*IF(ISBLANK(Q266),1,Q266)+IFERROR(_xlfn.XLOOKUP("RECHERCHEX",TRIM(L266:AC266),L266:AC266),0),0))</f>
        <v/>
      </c>
      <c r="AL266" s="1030">
        <f t="shared" si="100"/>
        <v>0</v>
      </c>
      <c r="AM266" s="5254" t="str">
        <f t="shared" si="115"/>
        <v/>
      </c>
      <c r="AN266" s="1031">
        <f t="shared" si="101"/>
        <v>0</v>
      </c>
      <c r="AO266" s="1031">
        <f t="shared" si="102"/>
        <v>0</v>
      </c>
      <c r="AP266" s="1032">
        <f t="shared" si="103"/>
        <v>0</v>
      </c>
      <c r="AQ266" s="5255" t="str">
        <f t="shared" si="104"/>
        <v/>
      </c>
      <c r="AR266" s="1056"/>
      <c r="AS266" s="1056"/>
      <c r="AT266" s="1034">
        <f t="shared" si="105"/>
        <v>0</v>
      </c>
      <c r="AU266" s="1035">
        <f t="shared" si="106"/>
        <v>0</v>
      </c>
      <c r="AV266" s="1057" cm="1">
        <f t="array" ref="AV266">IF(AJ266&lt;&gt;1,0,IF(OR(AT266="",N(AT266)&lt;=0.000000001),"",IF(OR(AN266="",N(AN266)&lt;=0.000000001),0,IF(ISNUMBER(AT266),IFERROR(_xlfn.LET(_xlpm.ai_test,TRIM(AI266),_xlpm.r,IFERROR(_xlfn.XLOOKUP(_xlpm.ai_test,$BI$15:$BI$62,ROW($BI$15:$BI$62),0,1),IFERROR(_xlfn.XLOOKUP(_xlpm.ai_test,$BJ$15:$BJ$62,ROW($BJ$15:$BJ$62),0,1),_xlfn.XLOOKUP(_xlpm.ai_test,$BK$15:$BK$62,ROW($BK$15:$BK$62),0,1))),_xlpm.p,_xlpm.r-MIN(ROW($BI$15:$BI$62))+1,_xlpm.f,INDEX($BL$15:$BL$62,_xlpm.p),_xlpm.u,INDEX($BM$15:$BM$62,_xlpm.p),_xlpm.s,INDEX($BO$15:$BO$62,_xlpm.p),_xlpm.q,N(AT266)/_xlpm.f,IF(_xlpm.q&gt;=_xlpm.s,ROUND(_xlpm.q,1)&amp;" "&amp;_xlpm.ai_test&amp;" = "&amp;ROUND(_xlpm.q*_xlpm.f,1)&amp;" "&amp;_xlpm.u,ROUND(_xlpm.q,1)&amp;" "&amp;_xlpm.ai_test)),""),""))))</f>
        <v>0</v>
      </c>
      <c r="AW266" s="1047"/>
      <c r="AX266" s="1034">
        <f t="shared" si="107"/>
        <v>0</v>
      </c>
      <c r="AY266" s="1035" t="str">
        <f t="shared" si="108"/>
        <v/>
      </c>
      <c r="AZ266" s="1036">
        <f t="shared" si="113"/>
        <v>0</v>
      </c>
      <c r="BA266" s="1037" t="str">
        <f t="shared" si="109"/>
        <v/>
      </c>
      <c r="BB266" s="1038"/>
      <c r="BC266" s="1039">
        <f t="shared" si="114"/>
        <v>0</v>
      </c>
      <c r="BD266" s="1040" t="str">
        <f t="shared" si="110"/>
        <v/>
      </c>
      <c r="BE266" s="227" t="s">
        <v>22</v>
      </c>
      <c r="BF266" s="1019">
        <f t="shared" si="111"/>
        <v>0</v>
      </c>
      <c r="BG266" s="1020">
        <f t="shared" si="112"/>
        <v>0</v>
      </c>
      <c r="BH266"/>
      <c r="BI266" s="709"/>
      <c r="BJ266" s="709"/>
      <c r="BK266" s="709"/>
      <c r="BL266" s="709"/>
      <c r="BM266" s="709"/>
      <c r="BN266" s="709"/>
      <c r="BO266" s="709"/>
      <c r="BP266" s="709"/>
      <c r="BQ266"/>
      <c r="BR266"/>
      <c r="BS266"/>
      <c r="BT266"/>
      <c r="BU266"/>
      <c r="BV266"/>
      <c r="BW266" s="959" t="str">
        <f t="shared" si="117"/>
        <v>►</v>
      </c>
      <c r="BX266"/>
      <c r="BY266"/>
      <c r="BZ266"/>
      <c r="CA266"/>
      <c r="CB266"/>
      <c r="CD266"/>
      <c r="CE266"/>
      <c r="CF266"/>
      <c r="CG266"/>
      <c r="CH266"/>
      <c r="CI266"/>
      <c r="CJ266"/>
      <c r="CK266" s="227"/>
      <c r="CL266"/>
      <c r="CM266"/>
      <c r="CN266"/>
      <c r="CO266"/>
      <c r="CP266"/>
      <c r="CQ266"/>
      <c r="CR266"/>
      <c r="CS266" s="227"/>
      <c r="CT266"/>
      <c r="CU266"/>
      <c r="CV266"/>
      <c r="CW266"/>
      <c r="CX266"/>
      <c r="CY266"/>
      <c r="CZ266"/>
      <c r="DA266" s="227"/>
      <c r="DB266" s="3">
        <v>1</v>
      </c>
      <c r="DC266" s="709"/>
      <c r="DD266" s="709"/>
    </row>
    <row r="267" spans="1:108" s="856" customFormat="1" ht="21" customHeight="1">
      <c r="A267" s="936" t="s">
        <v>22</v>
      </c>
      <c r="B267" s="952" t="str">
        <f t="shared" si="116"/>
        <v>►</v>
      </c>
      <c r="C267" s="993" cm="1">
        <f t="array" ref="C267">SUMPRODUCT(LEN(D267:J267))</f>
        <v>0</v>
      </c>
      <c r="D267" s="167"/>
      <c r="E267" s="172"/>
      <c r="F267" s="172"/>
      <c r="G267" s="172"/>
      <c r="H267" s="172"/>
      <c r="I267" s="172"/>
      <c r="J267" s="173"/>
      <c r="K267" s="442" t="s">
        <v>22</v>
      </c>
      <c r="L267" s="104" t="s">
        <v>16</v>
      </c>
      <c r="M267" s="1172"/>
      <c r="N267" s="1172"/>
      <c r="O267" s="1172"/>
      <c r="P267" s="1173"/>
      <c r="Q267" s="1174"/>
      <c r="R267" s="1175"/>
      <c r="S267" s="1176"/>
      <c r="T267" s="1177"/>
      <c r="U267" s="5248"/>
      <c r="V267" s="1177"/>
      <c r="W267" s="5249"/>
      <c r="X267" s="5208"/>
      <c r="Y267" s="5209"/>
      <c r="Z267" s="5210"/>
      <c r="AA267" s="5211"/>
      <c r="AB267" s="1178"/>
      <c r="AC267" s="1179"/>
      <c r="AD267" s="227" t="s">
        <v>22</v>
      </c>
      <c r="AE267" s="1027" t="str">
        <f t="shared" si="94"/>
        <v>►</v>
      </c>
      <c r="AF267" s="1028" t="str">
        <f t="shared" si="95"/>
        <v/>
      </c>
      <c r="AG267" s="1029" t="str">
        <f t="shared" si="96"/>
        <v/>
      </c>
      <c r="AH267" s="1028" t="str">
        <f t="shared" si="97"/>
        <v/>
      </c>
      <c r="AI267" s="1029" t="str">
        <f t="shared" si="98"/>
        <v/>
      </c>
      <c r="AJ267" s="1029">
        <f t="shared" si="99"/>
        <v>0</v>
      </c>
      <c r="AK267" s="1043" t="str" cm="1">
        <f t="array" ref="AK267">IF(AE267&lt;&gt;"A","",IFERROR((IFERROR(_xlfn.XLOOKUP(TRIM(SUBSTITUTE(U267,CHAR(160)," ")),$BI$15:$BI$62,$BL$15:$BL$62),IFERROR(_xlfn.XLOOKUP(TRIM(SUBSTITUTE(U267,CHAR(160)," ")),$BJ$15:$BJ$62,$BL$15:$BL$62),_xlfn.XLOOKUP(TRIM(SUBSTITUTE(U267,CHAR(160)," ")),$BK$15:$BK$62,$BL$15:$BL$62))))*T267*IF(ISBLANK(Q267),1,Q267)+IFERROR(_xlfn.XLOOKUP("RECHERCHEX",TRIM(L267:AC267),L267:AC267),0),0))</f>
        <v/>
      </c>
      <c r="AL267" s="1030">
        <f t="shared" si="100"/>
        <v>0</v>
      </c>
      <c r="AM267" s="5254" t="str">
        <f t="shared" si="115"/>
        <v/>
      </c>
      <c r="AN267" s="1031">
        <f t="shared" si="101"/>
        <v>0</v>
      </c>
      <c r="AO267" s="1031">
        <f t="shared" si="102"/>
        <v>0</v>
      </c>
      <c r="AP267" s="1044">
        <f t="shared" si="103"/>
        <v>0</v>
      </c>
      <c r="AQ267" s="5257" t="str">
        <f t="shared" si="104"/>
        <v/>
      </c>
      <c r="AR267" s="1056"/>
      <c r="AS267" s="1056"/>
      <c r="AT267" s="1045">
        <f t="shared" si="105"/>
        <v>0</v>
      </c>
      <c r="AU267" s="1046">
        <f t="shared" si="106"/>
        <v>0</v>
      </c>
      <c r="AV267" s="1059" cm="1">
        <f t="array" ref="AV267">IF(AJ267&lt;&gt;1,0,IF(OR(AT267="",N(AT267)&lt;=0.000000001),"",IF(OR(AN267="",N(AN267)&lt;=0.000000001),0,IF(ISNUMBER(AT267),IFERROR(_xlfn.LET(_xlpm.ai_test,TRIM(AI267),_xlpm.r,IFERROR(_xlfn.XLOOKUP(_xlpm.ai_test,$BI$15:$BI$62,ROW($BI$15:$BI$62),0,1),IFERROR(_xlfn.XLOOKUP(_xlpm.ai_test,$BJ$15:$BJ$62,ROW($BJ$15:$BJ$62),0,1),_xlfn.XLOOKUP(_xlpm.ai_test,$BK$15:$BK$62,ROW($BK$15:$BK$62),0,1))),_xlpm.p,_xlpm.r-MIN(ROW($BI$15:$BI$62))+1,_xlpm.f,INDEX($BL$15:$BL$62,_xlpm.p),_xlpm.u,INDEX($BM$15:$BM$62,_xlpm.p),_xlpm.s,INDEX($BO$15:$BO$62,_xlpm.p),_xlpm.q,N(AT267)/_xlpm.f,IF(_xlpm.q&gt;=_xlpm.s,ROUND(_xlpm.q,1)&amp;" "&amp;_xlpm.ai_test&amp;" = "&amp;ROUND(_xlpm.q*_xlpm.f,1)&amp;" "&amp;_xlpm.u,ROUND(_xlpm.q,1)&amp;" "&amp;_xlpm.ai_test)),""),""))))</f>
        <v>0</v>
      </c>
      <c r="AW267" s="1047"/>
      <c r="AX267" s="1045">
        <f t="shared" si="107"/>
        <v>0</v>
      </c>
      <c r="AY267" s="1046" t="str">
        <f t="shared" si="108"/>
        <v/>
      </c>
      <c r="AZ267" s="1048">
        <f t="shared" si="113"/>
        <v>0</v>
      </c>
      <c r="BA267" s="1049" t="str">
        <f t="shared" si="109"/>
        <v/>
      </c>
      <c r="BB267" s="1038"/>
      <c r="BC267" s="1050">
        <f t="shared" si="114"/>
        <v>0</v>
      </c>
      <c r="BD267" s="1040" t="str">
        <f t="shared" si="110"/>
        <v/>
      </c>
      <c r="BE267" s="227" t="s">
        <v>22</v>
      </c>
      <c r="BF267" s="1019">
        <f t="shared" si="111"/>
        <v>0</v>
      </c>
      <c r="BG267" s="1020">
        <f t="shared" si="112"/>
        <v>0</v>
      </c>
      <c r="BH267"/>
      <c r="BI267" s="709"/>
      <c r="BJ267" s="709"/>
      <c r="BK267" s="709"/>
      <c r="BL267" s="709"/>
      <c r="BM267" s="709"/>
      <c r="BN267" s="709"/>
      <c r="BO267" s="709"/>
      <c r="BP267" s="709"/>
      <c r="BQ267"/>
      <c r="BR267"/>
      <c r="BS267"/>
      <c r="BT267"/>
      <c r="BU267"/>
      <c r="BV267"/>
      <c r="BW267" s="959" t="str">
        <f t="shared" si="117"/>
        <v>►</v>
      </c>
      <c r="BX267"/>
      <c r="BY267"/>
      <c r="BZ267"/>
      <c r="CA267"/>
      <c r="CB267"/>
      <c r="CD267"/>
      <c r="CE267"/>
      <c r="CF267"/>
      <c r="CG267"/>
      <c r="CH267"/>
      <c r="CI267"/>
      <c r="CJ267"/>
      <c r="CK267" s="227"/>
      <c r="CL267"/>
      <c r="CM267"/>
      <c r="CN267"/>
      <c r="CO267"/>
      <c r="CP267"/>
      <c r="CQ267"/>
      <c r="CR267"/>
      <c r="CS267" s="227"/>
      <c r="CT267"/>
      <c r="CU267"/>
      <c r="CV267"/>
      <c r="CW267"/>
      <c r="CX267"/>
      <c r="CY267"/>
      <c r="CZ267"/>
      <c r="DA267" s="227"/>
      <c r="DB267" s="3">
        <v>1</v>
      </c>
      <c r="DC267" s="709"/>
      <c r="DD267" s="709"/>
    </row>
    <row r="268" spans="1:108" s="856" customFormat="1" ht="21" customHeight="1">
      <c r="A268" s="936" t="s">
        <v>22</v>
      </c>
      <c r="B268" s="952" t="str">
        <f t="shared" si="116"/>
        <v>►</v>
      </c>
      <c r="C268" s="993" cm="1">
        <f t="array" ref="C268">SUMPRODUCT(LEN(D268:J268))</f>
        <v>0</v>
      </c>
      <c r="D268" s="167"/>
      <c r="E268" s="172"/>
      <c r="F268" s="172"/>
      <c r="G268" s="172"/>
      <c r="H268" s="172"/>
      <c r="I268" s="172"/>
      <c r="J268" s="173"/>
      <c r="K268" s="442" t="s">
        <v>22</v>
      </c>
      <c r="L268" s="104" t="s">
        <v>16</v>
      </c>
      <c r="M268" s="1172"/>
      <c r="N268" s="1172"/>
      <c r="O268" s="1172"/>
      <c r="P268" s="1173"/>
      <c r="Q268" s="1174"/>
      <c r="R268" s="1175"/>
      <c r="S268" s="1176"/>
      <c r="T268" s="1177"/>
      <c r="U268" s="5248"/>
      <c r="V268" s="1177"/>
      <c r="W268" s="5249"/>
      <c r="X268" s="5208"/>
      <c r="Y268" s="5209"/>
      <c r="Z268" s="5210"/>
      <c r="AA268" s="5211"/>
      <c r="AB268" s="1178"/>
      <c r="AC268" s="1179"/>
      <c r="AD268" s="227" t="s">
        <v>22</v>
      </c>
      <c r="AE268" s="1027" t="str">
        <f t="shared" si="94"/>
        <v>►</v>
      </c>
      <c r="AF268" s="1028" t="str">
        <f t="shared" si="95"/>
        <v/>
      </c>
      <c r="AG268" s="1029" t="str">
        <f t="shared" si="96"/>
        <v/>
      </c>
      <c r="AH268" s="1028" t="str">
        <f t="shared" si="97"/>
        <v/>
      </c>
      <c r="AI268" s="1029" t="str">
        <f t="shared" si="98"/>
        <v/>
      </c>
      <c r="AJ268" s="1029">
        <f t="shared" si="99"/>
        <v>0</v>
      </c>
      <c r="AK268" s="1043" t="str" cm="1">
        <f t="array" ref="AK268">IF(AE268&lt;&gt;"A","",IFERROR((IFERROR(_xlfn.XLOOKUP(TRIM(SUBSTITUTE(U268,CHAR(160)," ")),$BI$15:$BI$62,$BL$15:$BL$62),IFERROR(_xlfn.XLOOKUP(TRIM(SUBSTITUTE(U268,CHAR(160)," ")),$BJ$15:$BJ$62,$BL$15:$BL$62),_xlfn.XLOOKUP(TRIM(SUBSTITUTE(U268,CHAR(160)," ")),$BK$15:$BK$62,$BL$15:$BL$62))))*T268*IF(ISBLANK(Q268),1,Q268)+IFERROR(_xlfn.XLOOKUP("RECHERCHEX",TRIM(L268:AC268),L268:AC268),0),0))</f>
        <v/>
      </c>
      <c r="AL268" s="1030">
        <f t="shared" si="100"/>
        <v>0</v>
      </c>
      <c r="AM268" s="5254" t="str">
        <f t="shared" si="115"/>
        <v/>
      </c>
      <c r="AN268" s="1031">
        <f t="shared" si="101"/>
        <v>0</v>
      </c>
      <c r="AO268" s="1031">
        <f t="shared" si="102"/>
        <v>0</v>
      </c>
      <c r="AP268" s="1032">
        <f t="shared" si="103"/>
        <v>0</v>
      </c>
      <c r="AQ268" s="5255" t="str">
        <f t="shared" si="104"/>
        <v/>
      </c>
      <c r="AR268" s="1056"/>
      <c r="AS268" s="1056"/>
      <c r="AT268" s="1034">
        <f t="shared" si="105"/>
        <v>0</v>
      </c>
      <c r="AU268" s="1035">
        <f t="shared" si="106"/>
        <v>0</v>
      </c>
      <c r="AV268" s="1057" cm="1">
        <f t="array" ref="AV268">IF(AJ268&lt;&gt;1,0,IF(OR(AT268="",N(AT268)&lt;=0.000000001),"",IF(OR(AN268="",N(AN268)&lt;=0.000000001),0,IF(ISNUMBER(AT268),IFERROR(_xlfn.LET(_xlpm.ai_test,TRIM(AI268),_xlpm.r,IFERROR(_xlfn.XLOOKUP(_xlpm.ai_test,$BI$15:$BI$62,ROW($BI$15:$BI$62),0,1),IFERROR(_xlfn.XLOOKUP(_xlpm.ai_test,$BJ$15:$BJ$62,ROW($BJ$15:$BJ$62),0,1),_xlfn.XLOOKUP(_xlpm.ai_test,$BK$15:$BK$62,ROW($BK$15:$BK$62),0,1))),_xlpm.p,_xlpm.r-MIN(ROW($BI$15:$BI$62))+1,_xlpm.f,INDEX($BL$15:$BL$62,_xlpm.p),_xlpm.u,INDEX($BM$15:$BM$62,_xlpm.p),_xlpm.s,INDEX($BO$15:$BO$62,_xlpm.p),_xlpm.q,N(AT268)/_xlpm.f,IF(_xlpm.q&gt;=_xlpm.s,ROUND(_xlpm.q,1)&amp;" "&amp;_xlpm.ai_test&amp;" = "&amp;ROUND(_xlpm.q*_xlpm.f,1)&amp;" "&amp;_xlpm.u,ROUND(_xlpm.q,1)&amp;" "&amp;_xlpm.ai_test)),""),""))))</f>
        <v>0</v>
      </c>
      <c r="AW268" s="1047"/>
      <c r="AX268" s="1034">
        <f t="shared" si="107"/>
        <v>0</v>
      </c>
      <c r="AY268" s="1035" t="str">
        <f t="shared" si="108"/>
        <v/>
      </c>
      <c r="AZ268" s="1036">
        <f t="shared" si="113"/>
        <v>0</v>
      </c>
      <c r="BA268" s="1037" t="str">
        <f t="shared" si="109"/>
        <v/>
      </c>
      <c r="BB268" s="1038"/>
      <c r="BC268" s="1039">
        <f t="shared" si="114"/>
        <v>0</v>
      </c>
      <c r="BD268" s="1040" t="str">
        <f t="shared" si="110"/>
        <v/>
      </c>
      <c r="BE268" s="227" t="s">
        <v>22</v>
      </c>
      <c r="BF268" s="1019">
        <f t="shared" si="111"/>
        <v>0</v>
      </c>
      <c r="BG268" s="1020">
        <f t="shared" si="112"/>
        <v>0</v>
      </c>
      <c r="BH268"/>
      <c r="BI268" s="709"/>
      <c r="BJ268" s="709"/>
      <c r="BK268" s="709"/>
      <c r="BL268" s="709"/>
      <c r="BM268" s="709"/>
      <c r="BN268" s="709"/>
      <c r="BO268" s="709"/>
      <c r="BP268" s="709"/>
      <c r="BQ268"/>
      <c r="BR268"/>
      <c r="BS268"/>
      <c r="BT268"/>
      <c r="BU268"/>
      <c r="BV268"/>
      <c r="BW268" s="959" t="str">
        <f t="shared" si="117"/>
        <v>►</v>
      </c>
      <c r="BX268"/>
      <c r="BY268"/>
      <c r="BZ268"/>
      <c r="CA268"/>
      <c r="CB268"/>
      <c r="CD268"/>
      <c r="CE268"/>
      <c r="CF268"/>
      <c r="CG268"/>
      <c r="CH268"/>
      <c r="CI268"/>
      <c r="CJ268"/>
      <c r="CK268" s="227"/>
      <c r="CL268"/>
      <c r="CM268"/>
      <c r="CN268"/>
      <c r="CO268"/>
      <c r="CP268"/>
      <c r="CQ268"/>
      <c r="CR268"/>
      <c r="CS268" s="227"/>
      <c r="CT268"/>
      <c r="CU268"/>
      <c r="CV268"/>
      <c r="CW268"/>
      <c r="CX268"/>
      <c r="CY268"/>
      <c r="CZ268"/>
      <c r="DA268" s="227"/>
      <c r="DB268" s="3">
        <v>1</v>
      </c>
      <c r="DC268" s="709"/>
      <c r="DD268" s="709"/>
    </row>
    <row r="269" spans="1:108" s="856" customFormat="1" ht="21" customHeight="1">
      <c r="A269" s="936" t="s">
        <v>22</v>
      </c>
      <c r="B269" s="952" t="str">
        <f t="shared" si="116"/>
        <v>►</v>
      </c>
      <c r="C269" s="993" cm="1">
        <f t="array" ref="C269">SUMPRODUCT(LEN(D269:J269))</f>
        <v>0</v>
      </c>
      <c r="D269" s="167"/>
      <c r="E269" s="172"/>
      <c r="F269" s="172"/>
      <c r="G269" s="172"/>
      <c r="H269" s="172"/>
      <c r="I269" s="172"/>
      <c r="J269" s="173"/>
      <c r="K269" s="442" t="s">
        <v>22</v>
      </c>
      <c r="L269" s="104" t="s">
        <v>16</v>
      </c>
      <c r="M269" s="1172"/>
      <c r="N269" s="1172"/>
      <c r="O269" s="1172"/>
      <c r="P269" s="1173"/>
      <c r="Q269" s="1174"/>
      <c r="R269" s="1175"/>
      <c r="S269" s="1176"/>
      <c r="T269" s="1177"/>
      <c r="U269" s="5248"/>
      <c r="V269" s="1177"/>
      <c r="W269" s="5249"/>
      <c r="X269" s="5208"/>
      <c r="Y269" s="5209"/>
      <c r="Z269" s="5210"/>
      <c r="AA269" s="5211"/>
      <c r="AB269" s="1178"/>
      <c r="AC269" s="1179"/>
      <c r="AD269" s="227" t="s">
        <v>22</v>
      </c>
      <c r="AE269" s="1027" t="str">
        <f t="shared" si="94"/>
        <v>►</v>
      </c>
      <c r="AF269" s="1028" t="str">
        <f t="shared" si="95"/>
        <v/>
      </c>
      <c r="AG269" s="1029" t="str">
        <f t="shared" si="96"/>
        <v/>
      </c>
      <c r="AH269" s="1028" t="str">
        <f t="shared" si="97"/>
        <v/>
      </c>
      <c r="AI269" s="1029" t="str">
        <f t="shared" si="98"/>
        <v/>
      </c>
      <c r="AJ269" s="1029">
        <f t="shared" si="99"/>
        <v>0</v>
      </c>
      <c r="AK269" s="1043" t="str" cm="1">
        <f t="array" ref="AK269">IF(AE269&lt;&gt;"A","",IFERROR((IFERROR(_xlfn.XLOOKUP(TRIM(SUBSTITUTE(U269,CHAR(160)," ")),$BI$15:$BI$62,$BL$15:$BL$62),IFERROR(_xlfn.XLOOKUP(TRIM(SUBSTITUTE(U269,CHAR(160)," ")),$BJ$15:$BJ$62,$BL$15:$BL$62),_xlfn.XLOOKUP(TRIM(SUBSTITUTE(U269,CHAR(160)," ")),$BK$15:$BK$62,$BL$15:$BL$62))))*T269*IF(ISBLANK(Q269),1,Q269)+IFERROR(_xlfn.XLOOKUP("RECHERCHEX",TRIM(L269:AC269),L269:AC269),0),0))</f>
        <v/>
      </c>
      <c r="AL269" s="1030">
        <f t="shared" si="100"/>
        <v>0</v>
      </c>
      <c r="AM269" s="5254" t="str">
        <f t="shared" si="115"/>
        <v/>
      </c>
      <c r="AN269" s="1031">
        <f t="shared" si="101"/>
        <v>0</v>
      </c>
      <c r="AO269" s="1031">
        <f t="shared" si="102"/>
        <v>0</v>
      </c>
      <c r="AP269" s="1044">
        <f t="shared" si="103"/>
        <v>0</v>
      </c>
      <c r="AQ269" s="5257" t="str">
        <f t="shared" si="104"/>
        <v/>
      </c>
      <c r="AR269" s="1056"/>
      <c r="AS269" s="1056"/>
      <c r="AT269" s="1045">
        <f t="shared" si="105"/>
        <v>0</v>
      </c>
      <c r="AU269" s="1046">
        <f t="shared" si="106"/>
        <v>0</v>
      </c>
      <c r="AV269" s="1059" cm="1">
        <f t="array" ref="AV269">IF(AJ269&lt;&gt;1,0,IF(OR(AT269="",N(AT269)&lt;=0.000000001),"",IF(OR(AN269="",N(AN269)&lt;=0.000000001),0,IF(ISNUMBER(AT269),IFERROR(_xlfn.LET(_xlpm.ai_test,TRIM(AI269),_xlpm.r,IFERROR(_xlfn.XLOOKUP(_xlpm.ai_test,$BI$15:$BI$62,ROW($BI$15:$BI$62),0,1),IFERROR(_xlfn.XLOOKUP(_xlpm.ai_test,$BJ$15:$BJ$62,ROW($BJ$15:$BJ$62),0,1),_xlfn.XLOOKUP(_xlpm.ai_test,$BK$15:$BK$62,ROW($BK$15:$BK$62),0,1))),_xlpm.p,_xlpm.r-MIN(ROW($BI$15:$BI$62))+1,_xlpm.f,INDEX($BL$15:$BL$62,_xlpm.p),_xlpm.u,INDEX($BM$15:$BM$62,_xlpm.p),_xlpm.s,INDEX($BO$15:$BO$62,_xlpm.p),_xlpm.q,N(AT269)/_xlpm.f,IF(_xlpm.q&gt;=_xlpm.s,ROUND(_xlpm.q,1)&amp;" "&amp;_xlpm.ai_test&amp;" = "&amp;ROUND(_xlpm.q*_xlpm.f,1)&amp;" "&amp;_xlpm.u,ROUND(_xlpm.q,1)&amp;" "&amp;_xlpm.ai_test)),""),""))))</f>
        <v>0</v>
      </c>
      <c r="AW269" s="1047"/>
      <c r="AX269" s="1045">
        <f t="shared" si="107"/>
        <v>0</v>
      </c>
      <c r="AY269" s="1046" t="str">
        <f t="shared" si="108"/>
        <v/>
      </c>
      <c r="AZ269" s="1048">
        <f t="shared" si="113"/>
        <v>0</v>
      </c>
      <c r="BA269" s="1049" t="str">
        <f t="shared" si="109"/>
        <v/>
      </c>
      <c r="BB269" s="1038"/>
      <c r="BC269" s="1050">
        <f t="shared" si="114"/>
        <v>0</v>
      </c>
      <c r="BD269" s="1040" t="str">
        <f t="shared" si="110"/>
        <v/>
      </c>
      <c r="BE269" s="227" t="s">
        <v>22</v>
      </c>
      <c r="BF269" s="1019">
        <f t="shared" si="111"/>
        <v>0</v>
      </c>
      <c r="BG269" s="1020">
        <f t="shared" si="112"/>
        <v>0</v>
      </c>
      <c r="BH269"/>
      <c r="BI269" s="709"/>
      <c r="BJ269" s="709"/>
      <c r="BK269" s="709"/>
      <c r="BL269" s="709"/>
      <c r="BM269" s="709"/>
      <c r="BN269" s="709"/>
      <c r="BO269" s="709"/>
      <c r="BP269" s="709"/>
      <c r="BQ269"/>
      <c r="BR269"/>
      <c r="BS269"/>
      <c r="BT269"/>
      <c r="BU269"/>
      <c r="BV269"/>
      <c r="BW269" s="959" t="str">
        <f t="shared" si="117"/>
        <v>►</v>
      </c>
      <c r="BX269"/>
      <c r="BY269"/>
      <c r="BZ269"/>
      <c r="CA269"/>
      <c r="CB269"/>
      <c r="CD269"/>
      <c r="CE269"/>
      <c r="CF269"/>
      <c r="CG269"/>
      <c r="CH269"/>
      <c r="CI269"/>
      <c r="CJ269"/>
      <c r="CK269" s="227"/>
      <c r="CL269"/>
      <c r="CM269"/>
      <c r="CN269"/>
      <c r="CO269"/>
      <c r="CP269"/>
      <c r="CQ269"/>
      <c r="CR269"/>
      <c r="CS269" s="227"/>
      <c r="CT269"/>
      <c r="CU269"/>
      <c r="CV269"/>
      <c r="CW269"/>
      <c r="CX269"/>
      <c r="CY269"/>
      <c r="CZ269"/>
      <c r="DA269" s="227"/>
      <c r="DB269" s="3">
        <v>1</v>
      </c>
      <c r="DC269" s="709"/>
      <c r="DD269" s="709"/>
    </row>
    <row r="270" spans="1:108" s="856" customFormat="1" ht="21" customHeight="1">
      <c r="A270" s="936" t="s">
        <v>22</v>
      </c>
      <c r="B270" s="952" t="str">
        <f t="shared" si="116"/>
        <v>►</v>
      </c>
      <c r="C270" s="993" cm="1">
        <f t="array" ref="C270">SUMPRODUCT(LEN(D270:J270))</f>
        <v>0</v>
      </c>
      <c r="D270" s="167"/>
      <c r="E270" s="172"/>
      <c r="F270" s="172"/>
      <c r="G270" s="172"/>
      <c r="H270" s="172"/>
      <c r="I270" s="172"/>
      <c r="J270" s="173"/>
      <c r="K270" s="442" t="s">
        <v>22</v>
      </c>
      <c r="L270" s="104" t="s">
        <v>16</v>
      </c>
      <c r="M270" s="1172"/>
      <c r="N270" s="1172"/>
      <c r="O270" s="1172"/>
      <c r="P270" s="1173"/>
      <c r="Q270" s="1174"/>
      <c r="R270" s="1175"/>
      <c r="S270" s="1176"/>
      <c r="T270" s="1177"/>
      <c r="U270" s="5248"/>
      <c r="V270" s="1177"/>
      <c r="W270" s="5249"/>
      <c r="X270" s="5208"/>
      <c r="Y270" s="5209"/>
      <c r="Z270" s="5210"/>
      <c r="AA270" s="5211"/>
      <c r="AB270" s="1178"/>
      <c r="AC270" s="1179"/>
      <c r="AD270" s="227" t="s">
        <v>22</v>
      </c>
      <c r="AE270" s="1027" t="str">
        <f t="shared" si="94"/>
        <v>►</v>
      </c>
      <c r="AF270" s="1028" t="str">
        <f t="shared" si="95"/>
        <v/>
      </c>
      <c r="AG270" s="1029" t="str">
        <f t="shared" si="96"/>
        <v/>
      </c>
      <c r="AH270" s="1028" t="str">
        <f t="shared" si="97"/>
        <v/>
      </c>
      <c r="AI270" s="1029" t="str">
        <f t="shared" si="98"/>
        <v/>
      </c>
      <c r="AJ270" s="1029">
        <f t="shared" si="99"/>
        <v>0</v>
      </c>
      <c r="AK270" s="1043" t="str" cm="1">
        <f t="array" ref="AK270">IF(AE270&lt;&gt;"A","",IFERROR((IFERROR(_xlfn.XLOOKUP(TRIM(SUBSTITUTE(U270,CHAR(160)," ")),$BI$15:$BI$62,$BL$15:$BL$62),IFERROR(_xlfn.XLOOKUP(TRIM(SUBSTITUTE(U270,CHAR(160)," ")),$BJ$15:$BJ$62,$BL$15:$BL$62),_xlfn.XLOOKUP(TRIM(SUBSTITUTE(U270,CHAR(160)," ")),$BK$15:$BK$62,$BL$15:$BL$62))))*T270*IF(ISBLANK(Q270),1,Q270)+IFERROR(_xlfn.XLOOKUP("RECHERCHEX",TRIM(L270:AC270),L270:AC270),0),0))</f>
        <v/>
      </c>
      <c r="AL270" s="1030">
        <f t="shared" si="100"/>
        <v>0</v>
      </c>
      <c r="AM270" s="5254" t="str">
        <f t="shared" si="115"/>
        <v/>
      </c>
      <c r="AN270" s="1031">
        <f t="shared" si="101"/>
        <v>0</v>
      </c>
      <c r="AO270" s="1031">
        <f t="shared" si="102"/>
        <v>0</v>
      </c>
      <c r="AP270" s="1032">
        <f t="shared" si="103"/>
        <v>0</v>
      </c>
      <c r="AQ270" s="5255" t="str">
        <f t="shared" si="104"/>
        <v/>
      </c>
      <c r="AR270" s="1056"/>
      <c r="AS270" s="1056"/>
      <c r="AT270" s="1034">
        <f t="shared" si="105"/>
        <v>0</v>
      </c>
      <c r="AU270" s="1035">
        <f t="shared" si="106"/>
        <v>0</v>
      </c>
      <c r="AV270" s="1057" cm="1">
        <f t="array" ref="AV270">IF(AJ270&lt;&gt;1,0,IF(OR(AT270="",N(AT270)&lt;=0.000000001),"",IF(OR(AN270="",N(AN270)&lt;=0.000000001),0,IF(ISNUMBER(AT270),IFERROR(_xlfn.LET(_xlpm.ai_test,TRIM(AI270),_xlpm.r,IFERROR(_xlfn.XLOOKUP(_xlpm.ai_test,$BI$15:$BI$62,ROW($BI$15:$BI$62),0,1),IFERROR(_xlfn.XLOOKUP(_xlpm.ai_test,$BJ$15:$BJ$62,ROW($BJ$15:$BJ$62),0,1),_xlfn.XLOOKUP(_xlpm.ai_test,$BK$15:$BK$62,ROW($BK$15:$BK$62),0,1))),_xlpm.p,_xlpm.r-MIN(ROW($BI$15:$BI$62))+1,_xlpm.f,INDEX($BL$15:$BL$62,_xlpm.p),_xlpm.u,INDEX($BM$15:$BM$62,_xlpm.p),_xlpm.s,INDEX($BO$15:$BO$62,_xlpm.p),_xlpm.q,N(AT270)/_xlpm.f,IF(_xlpm.q&gt;=_xlpm.s,ROUND(_xlpm.q,1)&amp;" "&amp;_xlpm.ai_test&amp;" = "&amp;ROUND(_xlpm.q*_xlpm.f,1)&amp;" "&amp;_xlpm.u,ROUND(_xlpm.q,1)&amp;" "&amp;_xlpm.ai_test)),""),""))))</f>
        <v>0</v>
      </c>
      <c r="AW270" s="1047"/>
      <c r="AX270" s="1034">
        <f t="shared" si="107"/>
        <v>0</v>
      </c>
      <c r="AY270" s="1035" t="str">
        <f t="shared" si="108"/>
        <v/>
      </c>
      <c r="AZ270" s="1036">
        <f t="shared" si="113"/>
        <v>0</v>
      </c>
      <c r="BA270" s="1037" t="str">
        <f t="shared" si="109"/>
        <v/>
      </c>
      <c r="BB270" s="1038"/>
      <c r="BC270" s="1039">
        <f t="shared" si="114"/>
        <v>0</v>
      </c>
      <c r="BD270" s="1040" t="str">
        <f t="shared" si="110"/>
        <v/>
      </c>
      <c r="BE270" s="227" t="s">
        <v>22</v>
      </c>
      <c r="BF270" s="1019">
        <f t="shared" si="111"/>
        <v>0</v>
      </c>
      <c r="BG270" s="1020">
        <f t="shared" si="112"/>
        <v>0</v>
      </c>
      <c r="BH270"/>
      <c r="BI270" s="709"/>
      <c r="BJ270" s="709"/>
      <c r="BK270" s="709"/>
      <c r="BL270" s="709"/>
      <c r="BM270" s="709"/>
      <c r="BN270" s="709"/>
      <c r="BO270" s="709"/>
      <c r="BP270" s="709"/>
      <c r="BQ270"/>
      <c r="BR270"/>
      <c r="BS270"/>
      <c r="BT270"/>
      <c r="BU270"/>
      <c r="BV270"/>
      <c r="BW270" s="959" t="str">
        <f t="shared" si="117"/>
        <v>►</v>
      </c>
      <c r="BX270"/>
      <c r="BY270"/>
      <c r="BZ270"/>
      <c r="CA270"/>
      <c r="CB270"/>
      <c r="CD270"/>
      <c r="CE270"/>
      <c r="CF270"/>
      <c r="CG270"/>
      <c r="CH270"/>
      <c r="CI270"/>
      <c r="CJ270"/>
      <c r="CK270" s="227"/>
      <c r="CL270"/>
      <c r="CM270"/>
      <c r="CN270"/>
      <c r="CO270"/>
      <c r="CP270"/>
      <c r="CQ270"/>
      <c r="CR270"/>
      <c r="CS270" s="227"/>
      <c r="CT270"/>
      <c r="CU270"/>
      <c r="CV270"/>
      <c r="CW270"/>
      <c r="CX270"/>
      <c r="CY270"/>
      <c r="CZ270"/>
      <c r="DA270" s="227"/>
      <c r="DB270" s="3">
        <v>1</v>
      </c>
      <c r="DC270" s="709"/>
      <c r="DD270" s="709"/>
    </row>
    <row r="271" spans="1:108" s="856" customFormat="1" ht="21" customHeight="1">
      <c r="A271" s="936" t="s">
        <v>22</v>
      </c>
      <c r="B271" s="952" t="str">
        <f t="shared" si="116"/>
        <v>►</v>
      </c>
      <c r="C271" s="993" cm="1">
        <f t="array" ref="C271">SUMPRODUCT(LEN(D271:J271))</f>
        <v>0</v>
      </c>
      <c r="D271" s="167"/>
      <c r="E271" s="172"/>
      <c r="F271" s="172"/>
      <c r="G271" s="172"/>
      <c r="H271" s="172"/>
      <c r="I271" s="172"/>
      <c r="J271" s="173"/>
      <c r="K271" s="442" t="s">
        <v>22</v>
      </c>
      <c r="L271" s="104" t="s">
        <v>16</v>
      </c>
      <c r="M271" s="1172"/>
      <c r="N271" s="1172"/>
      <c r="O271" s="1172"/>
      <c r="P271" s="1173"/>
      <c r="Q271" s="1174"/>
      <c r="R271" s="1175"/>
      <c r="S271" s="1176"/>
      <c r="T271" s="1177"/>
      <c r="U271" s="5248"/>
      <c r="V271" s="1177"/>
      <c r="W271" s="5249"/>
      <c r="X271" s="5208"/>
      <c r="Y271" s="5209"/>
      <c r="Z271" s="5210"/>
      <c r="AA271" s="5211"/>
      <c r="AB271" s="1178"/>
      <c r="AC271" s="1179"/>
      <c r="AD271" s="227" t="s">
        <v>22</v>
      </c>
      <c r="AE271" s="1027" t="str">
        <f t="shared" si="94"/>
        <v>►</v>
      </c>
      <c r="AF271" s="1028" t="str">
        <f t="shared" si="95"/>
        <v/>
      </c>
      <c r="AG271" s="1029" t="str">
        <f t="shared" si="96"/>
        <v/>
      </c>
      <c r="AH271" s="1028" t="str">
        <f t="shared" si="97"/>
        <v/>
      </c>
      <c r="AI271" s="1029" t="str">
        <f t="shared" si="98"/>
        <v/>
      </c>
      <c r="AJ271" s="1029">
        <f t="shared" si="99"/>
        <v>0</v>
      </c>
      <c r="AK271" s="1043" t="str" cm="1">
        <f t="array" ref="AK271">IF(AE271&lt;&gt;"A","",IFERROR((IFERROR(_xlfn.XLOOKUP(TRIM(SUBSTITUTE(U271,CHAR(160)," ")),$BI$15:$BI$62,$BL$15:$BL$62),IFERROR(_xlfn.XLOOKUP(TRIM(SUBSTITUTE(U271,CHAR(160)," ")),$BJ$15:$BJ$62,$BL$15:$BL$62),_xlfn.XLOOKUP(TRIM(SUBSTITUTE(U271,CHAR(160)," ")),$BK$15:$BK$62,$BL$15:$BL$62))))*T271*IF(ISBLANK(Q271),1,Q271)+IFERROR(_xlfn.XLOOKUP("RECHERCHEX",TRIM(L271:AC271),L271:AC271),0),0))</f>
        <v/>
      </c>
      <c r="AL271" s="1030">
        <f t="shared" si="100"/>
        <v>0</v>
      </c>
      <c r="AM271" s="5254" t="str">
        <f t="shared" si="115"/>
        <v/>
      </c>
      <c r="AN271" s="1031">
        <f t="shared" si="101"/>
        <v>0</v>
      </c>
      <c r="AO271" s="1031">
        <f t="shared" si="102"/>
        <v>0</v>
      </c>
      <c r="AP271" s="1044">
        <f t="shared" si="103"/>
        <v>0</v>
      </c>
      <c r="AQ271" s="5257" t="str">
        <f t="shared" si="104"/>
        <v/>
      </c>
      <c r="AR271" s="1056"/>
      <c r="AS271" s="1056"/>
      <c r="AT271" s="1045">
        <f t="shared" si="105"/>
        <v>0</v>
      </c>
      <c r="AU271" s="1046">
        <f t="shared" si="106"/>
        <v>0</v>
      </c>
      <c r="AV271" s="1059" cm="1">
        <f t="array" ref="AV271">IF(AJ271&lt;&gt;1,0,IF(OR(AT271="",N(AT271)&lt;=0.000000001),"",IF(OR(AN271="",N(AN271)&lt;=0.000000001),0,IF(ISNUMBER(AT271),IFERROR(_xlfn.LET(_xlpm.ai_test,TRIM(AI271),_xlpm.r,IFERROR(_xlfn.XLOOKUP(_xlpm.ai_test,$BI$15:$BI$62,ROW($BI$15:$BI$62),0,1),IFERROR(_xlfn.XLOOKUP(_xlpm.ai_test,$BJ$15:$BJ$62,ROW($BJ$15:$BJ$62),0,1),_xlfn.XLOOKUP(_xlpm.ai_test,$BK$15:$BK$62,ROW($BK$15:$BK$62),0,1))),_xlpm.p,_xlpm.r-MIN(ROW($BI$15:$BI$62))+1,_xlpm.f,INDEX($BL$15:$BL$62,_xlpm.p),_xlpm.u,INDEX($BM$15:$BM$62,_xlpm.p),_xlpm.s,INDEX($BO$15:$BO$62,_xlpm.p),_xlpm.q,N(AT271)/_xlpm.f,IF(_xlpm.q&gt;=_xlpm.s,ROUND(_xlpm.q,1)&amp;" "&amp;_xlpm.ai_test&amp;" = "&amp;ROUND(_xlpm.q*_xlpm.f,1)&amp;" "&amp;_xlpm.u,ROUND(_xlpm.q,1)&amp;" "&amp;_xlpm.ai_test)),""),""))))</f>
        <v>0</v>
      </c>
      <c r="AW271" s="1047"/>
      <c r="AX271" s="1045">
        <f t="shared" si="107"/>
        <v>0</v>
      </c>
      <c r="AY271" s="1046" t="str">
        <f t="shared" si="108"/>
        <v/>
      </c>
      <c r="AZ271" s="1048">
        <f t="shared" si="113"/>
        <v>0</v>
      </c>
      <c r="BA271" s="1049" t="str">
        <f t="shared" si="109"/>
        <v/>
      </c>
      <c r="BB271" s="1038"/>
      <c r="BC271" s="1050">
        <f t="shared" si="114"/>
        <v>0</v>
      </c>
      <c r="BD271" s="1040" t="str">
        <f t="shared" si="110"/>
        <v/>
      </c>
      <c r="BE271" s="227" t="s">
        <v>22</v>
      </c>
      <c r="BF271" s="1019">
        <f t="shared" si="111"/>
        <v>0</v>
      </c>
      <c r="BG271" s="1020">
        <f t="shared" si="112"/>
        <v>0</v>
      </c>
      <c r="BH271"/>
      <c r="BI271" s="709"/>
      <c r="BJ271" s="709"/>
      <c r="BK271" s="709"/>
      <c r="BL271" s="709"/>
      <c r="BM271" s="709"/>
      <c r="BN271" s="709"/>
      <c r="BO271" s="709"/>
      <c r="BP271" s="709"/>
      <c r="BQ271"/>
      <c r="BR271"/>
      <c r="BS271"/>
      <c r="BT271"/>
      <c r="BU271"/>
      <c r="BV271"/>
      <c r="BW271" s="959" t="str">
        <f t="shared" si="117"/>
        <v>►</v>
      </c>
      <c r="BX271"/>
      <c r="BY271"/>
      <c r="BZ271"/>
      <c r="CA271"/>
      <c r="CB271"/>
      <c r="CD271"/>
      <c r="CE271"/>
      <c r="CF271"/>
      <c r="CG271"/>
      <c r="CH271"/>
      <c r="CI271"/>
      <c r="CJ271"/>
      <c r="CK271" s="227"/>
      <c r="CL271"/>
      <c r="CM271"/>
      <c r="CN271"/>
      <c r="CO271"/>
      <c r="CP271"/>
      <c r="CQ271"/>
      <c r="CR271"/>
      <c r="CS271" s="227"/>
      <c r="CT271"/>
      <c r="CU271"/>
      <c r="CV271"/>
      <c r="CW271"/>
      <c r="CX271"/>
      <c r="CY271"/>
      <c r="CZ271"/>
      <c r="DA271" s="227"/>
      <c r="DB271" s="3">
        <v>1</v>
      </c>
      <c r="DC271" s="709"/>
      <c r="DD271" s="709"/>
    </row>
    <row r="272" spans="1:108" s="856" customFormat="1" ht="21" customHeight="1">
      <c r="A272" s="936" t="s">
        <v>22</v>
      </c>
      <c r="B272" s="952" t="str">
        <f t="shared" si="116"/>
        <v>►</v>
      </c>
      <c r="C272" s="993" cm="1">
        <f t="array" ref="C272">SUMPRODUCT(LEN(D272:J272))</f>
        <v>0</v>
      </c>
      <c r="D272" s="167"/>
      <c r="E272" s="172"/>
      <c r="F272" s="172"/>
      <c r="G272" s="172"/>
      <c r="H272" s="172"/>
      <c r="I272" s="172"/>
      <c r="J272" s="173"/>
      <c r="K272" s="442" t="s">
        <v>22</v>
      </c>
      <c r="L272" s="104" t="s">
        <v>16</v>
      </c>
      <c r="M272" s="1172"/>
      <c r="N272" s="1172"/>
      <c r="O272" s="1172"/>
      <c r="P272" s="1173"/>
      <c r="Q272" s="1174"/>
      <c r="R272" s="1175"/>
      <c r="S272" s="1176"/>
      <c r="T272" s="1177"/>
      <c r="U272" s="5248"/>
      <c r="V272" s="1177"/>
      <c r="W272" s="5249"/>
      <c r="X272" s="5208"/>
      <c r="Y272" s="5209"/>
      <c r="Z272" s="5210"/>
      <c r="AA272" s="5211"/>
      <c r="AB272" s="1178"/>
      <c r="AC272" s="1179"/>
      <c r="AD272" s="227" t="s">
        <v>22</v>
      </c>
      <c r="AE272" s="1027" t="str">
        <f t="shared" si="94"/>
        <v>►</v>
      </c>
      <c r="AF272" s="1028" t="str">
        <f t="shared" si="95"/>
        <v/>
      </c>
      <c r="AG272" s="1029" t="str">
        <f t="shared" si="96"/>
        <v/>
      </c>
      <c r="AH272" s="1028" t="str">
        <f t="shared" si="97"/>
        <v/>
      </c>
      <c r="AI272" s="1029" t="str">
        <f t="shared" si="98"/>
        <v/>
      </c>
      <c r="AJ272" s="1029">
        <f t="shared" si="99"/>
        <v>0</v>
      </c>
      <c r="AK272" s="1043" t="str" cm="1">
        <f t="array" ref="AK272">IF(AE272&lt;&gt;"A","",IFERROR((IFERROR(_xlfn.XLOOKUP(TRIM(SUBSTITUTE(U272,CHAR(160)," ")),$BI$15:$BI$62,$BL$15:$BL$62),IFERROR(_xlfn.XLOOKUP(TRIM(SUBSTITUTE(U272,CHAR(160)," ")),$BJ$15:$BJ$62,$BL$15:$BL$62),_xlfn.XLOOKUP(TRIM(SUBSTITUTE(U272,CHAR(160)," ")),$BK$15:$BK$62,$BL$15:$BL$62))))*T272*IF(ISBLANK(Q272),1,Q272)+IFERROR(_xlfn.XLOOKUP("RECHERCHEX",TRIM(L272:AC272),L272:AC272),0),0))</f>
        <v/>
      </c>
      <c r="AL272" s="1030">
        <f t="shared" si="100"/>
        <v>0</v>
      </c>
      <c r="AM272" s="5254" t="str">
        <f t="shared" si="115"/>
        <v/>
      </c>
      <c r="AN272" s="1031">
        <f t="shared" si="101"/>
        <v>0</v>
      </c>
      <c r="AO272" s="1031">
        <f t="shared" si="102"/>
        <v>0</v>
      </c>
      <c r="AP272" s="1032">
        <f t="shared" si="103"/>
        <v>0</v>
      </c>
      <c r="AQ272" s="5255" t="str">
        <f t="shared" si="104"/>
        <v/>
      </c>
      <c r="AR272" s="1056"/>
      <c r="AS272" s="1056"/>
      <c r="AT272" s="1034">
        <f t="shared" si="105"/>
        <v>0</v>
      </c>
      <c r="AU272" s="1035">
        <f t="shared" si="106"/>
        <v>0</v>
      </c>
      <c r="AV272" s="1057" cm="1">
        <f t="array" ref="AV272">IF(AJ272&lt;&gt;1,0,IF(OR(AT272="",N(AT272)&lt;=0.000000001),"",IF(OR(AN272="",N(AN272)&lt;=0.000000001),0,IF(ISNUMBER(AT272),IFERROR(_xlfn.LET(_xlpm.ai_test,TRIM(AI272),_xlpm.r,IFERROR(_xlfn.XLOOKUP(_xlpm.ai_test,$BI$15:$BI$62,ROW($BI$15:$BI$62),0,1),IFERROR(_xlfn.XLOOKUP(_xlpm.ai_test,$BJ$15:$BJ$62,ROW($BJ$15:$BJ$62),0,1),_xlfn.XLOOKUP(_xlpm.ai_test,$BK$15:$BK$62,ROW($BK$15:$BK$62),0,1))),_xlpm.p,_xlpm.r-MIN(ROW($BI$15:$BI$62))+1,_xlpm.f,INDEX($BL$15:$BL$62,_xlpm.p),_xlpm.u,INDEX($BM$15:$BM$62,_xlpm.p),_xlpm.s,INDEX($BO$15:$BO$62,_xlpm.p),_xlpm.q,N(AT272)/_xlpm.f,IF(_xlpm.q&gt;=_xlpm.s,ROUND(_xlpm.q,1)&amp;" "&amp;_xlpm.ai_test&amp;" = "&amp;ROUND(_xlpm.q*_xlpm.f,1)&amp;" "&amp;_xlpm.u,ROUND(_xlpm.q,1)&amp;" "&amp;_xlpm.ai_test)),""),""))))</f>
        <v>0</v>
      </c>
      <c r="AW272" s="1047"/>
      <c r="AX272" s="1034">
        <f t="shared" si="107"/>
        <v>0</v>
      </c>
      <c r="AY272" s="1035" t="str">
        <f t="shared" si="108"/>
        <v/>
      </c>
      <c r="AZ272" s="1036">
        <f t="shared" si="113"/>
        <v>0</v>
      </c>
      <c r="BA272" s="1037" t="str">
        <f t="shared" si="109"/>
        <v/>
      </c>
      <c r="BB272" s="1038"/>
      <c r="BC272" s="1039">
        <f t="shared" si="114"/>
        <v>0</v>
      </c>
      <c r="BD272" s="1040" t="str">
        <f t="shared" si="110"/>
        <v/>
      </c>
      <c r="BE272" s="227" t="s">
        <v>22</v>
      </c>
      <c r="BF272" s="1019">
        <f t="shared" si="111"/>
        <v>0</v>
      </c>
      <c r="BG272" s="1020">
        <f t="shared" si="112"/>
        <v>0</v>
      </c>
      <c r="BH272"/>
      <c r="BI272" s="709"/>
      <c r="BJ272" s="709"/>
      <c r="BK272" s="709"/>
      <c r="BL272" s="709"/>
      <c r="BM272" s="709"/>
      <c r="BN272" s="709"/>
      <c r="BO272" s="709"/>
      <c r="BP272" s="709"/>
      <c r="BQ272"/>
      <c r="BR272"/>
      <c r="BS272"/>
      <c r="BT272"/>
      <c r="BU272"/>
      <c r="BV272"/>
      <c r="BW272" s="959" t="str">
        <f t="shared" si="117"/>
        <v>►</v>
      </c>
      <c r="BX272"/>
      <c r="BY272"/>
      <c r="BZ272"/>
      <c r="CA272"/>
      <c r="CB272"/>
      <c r="CD272"/>
      <c r="CE272"/>
      <c r="CF272"/>
      <c r="CG272"/>
      <c r="CH272"/>
      <c r="CI272"/>
      <c r="CJ272"/>
      <c r="CK272" s="227"/>
      <c r="CL272"/>
      <c r="CM272"/>
      <c r="CN272"/>
      <c r="CO272"/>
      <c r="CP272"/>
      <c r="CQ272"/>
      <c r="CR272"/>
      <c r="CS272" s="227"/>
      <c r="CT272"/>
      <c r="CU272"/>
      <c r="CV272"/>
      <c r="CW272"/>
      <c r="CX272"/>
      <c r="CY272"/>
      <c r="CZ272"/>
      <c r="DA272" s="227"/>
      <c r="DB272" s="3">
        <v>1</v>
      </c>
      <c r="DC272" s="709"/>
      <c r="DD272" s="709"/>
    </row>
    <row r="273" spans="1:108" s="856" customFormat="1" ht="21" customHeight="1">
      <c r="A273" s="936" t="s">
        <v>22</v>
      </c>
      <c r="B273" s="952" t="str">
        <f t="shared" si="116"/>
        <v>►</v>
      </c>
      <c r="C273" s="993" cm="1">
        <f t="array" ref="C273">SUMPRODUCT(LEN(D273:J273))</f>
        <v>0</v>
      </c>
      <c r="D273" s="167"/>
      <c r="E273" s="172"/>
      <c r="F273" s="172"/>
      <c r="G273" s="172"/>
      <c r="H273" s="172"/>
      <c r="I273" s="172"/>
      <c r="J273" s="173"/>
      <c r="K273" s="442" t="s">
        <v>22</v>
      </c>
      <c r="L273" s="104" t="s">
        <v>16</v>
      </c>
      <c r="M273" s="1172"/>
      <c r="N273" s="1172"/>
      <c r="O273" s="1172"/>
      <c r="P273" s="1173"/>
      <c r="Q273" s="1174"/>
      <c r="R273" s="1175"/>
      <c r="S273" s="1176"/>
      <c r="T273" s="1177"/>
      <c r="U273" s="5248"/>
      <c r="V273" s="1177"/>
      <c r="W273" s="5249"/>
      <c r="X273" s="5208"/>
      <c r="Y273" s="5209"/>
      <c r="Z273" s="5210"/>
      <c r="AA273" s="5211"/>
      <c r="AB273" s="1178"/>
      <c r="AC273" s="1179"/>
      <c r="AD273" s="227" t="s">
        <v>22</v>
      </c>
      <c r="AE273" s="1027" t="str">
        <f t="shared" si="94"/>
        <v>►</v>
      </c>
      <c r="AF273" s="1028" t="str">
        <f t="shared" si="95"/>
        <v/>
      </c>
      <c r="AG273" s="1029" t="str">
        <f t="shared" si="96"/>
        <v/>
      </c>
      <c r="AH273" s="1028" t="str">
        <f t="shared" si="97"/>
        <v/>
      </c>
      <c r="AI273" s="1029" t="str">
        <f t="shared" si="98"/>
        <v/>
      </c>
      <c r="AJ273" s="1029">
        <f t="shared" si="99"/>
        <v>0</v>
      </c>
      <c r="AK273" s="1043" t="str" cm="1">
        <f t="array" ref="AK273">IF(AE273&lt;&gt;"A","",IFERROR((IFERROR(_xlfn.XLOOKUP(TRIM(SUBSTITUTE(U273,CHAR(160)," ")),$BI$15:$BI$62,$BL$15:$BL$62),IFERROR(_xlfn.XLOOKUP(TRIM(SUBSTITUTE(U273,CHAR(160)," ")),$BJ$15:$BJ$62,$BL$15:$BL$62),_xlfn.XLOOKUP(TRIM(SUBSTITUTE(U273,CHAR(160)," ")),$BK$15:$BK$62,$BL$15:$BL$62))))*T273*IF(ISBLANK(Q273),1,Q273)+IFERROR(_xlfn.XLOOKUP("RECHERCHEX",TRIM(L273:AC273),L273:AC273),0),0))</f>
        <v/>
      </c>
      <c r="AL273" s="1030">
        <f t="shared" si="100"/>
        <v>0</v>
      </c>
      <c r="AM273" s="5254" t="str">
        <f t="shared" si="115"/>
        <v/>
      </c>
      <c r="AN273" s="1031">
        <f t="shared" si="101"/>
        <v>0</v>
      </c>
      <c r="AO273" s="1031">
        <f t="shared" si="102"/>
        <v>0</v>
      </c>
      <c r="AP273" s="1044">
        <f t="shared" si="103"/>
        <v>0</v>
      </c>
      <c r="AQ273" s="5257" t="str">
        <f t="shared" si="104"/>
        <v/>
      </c>
      <c r="AR273" s="1056"/>
      <c r="AS273" s="1056"/>
      <c r="AT273" s="1045">
        <f t="shared" si="105"/>
        <v>0</v>
      </c>
      <c r="AU273" s="1046">
        <f t="shared" si="106"/>
        <v>0</v>
      </c>
      <c r="AV273" s="1059" cm="1">
        <f t="array" ref="AV273">IF(AJ273&lt;&gt;1,0,IF(OR(AT273="",N(AT273)&lt;=0.000000001),"",IF(OR(AN273="",N(AN273)&lt;=0.000000001),0,IF(ISNUMBER(AT273),IFERROR(_xlfn.LET(_xlpm.ai_test,TRIM(AI273),_xlpm.r,IFERROR(_xlfn.XLOOKUP(_xlpm.ai_test,$BI$15:$BI$62,ROW($BI$15:$BI$62),0,1),IFERROR(_xlfn.XLOOKUP(_xlpm.ai_test,$BJ$15:$BJ$62,ROW($BJ$15:$BJ$62),0,1),_xlfn.XLOOKUP(_xlpm.ai_test,$BK$15:$BK$62,ROW($BK$15:$BK$62),0,1))),_xlpm.p,_xlpm.r-MIN(ROW($BI$15:$BI$62))+1,_xlpm.f,INDEX($BL$15:$BL$62,_xlpm.p),_xlpm.u,INDEX($BM$15:$BM$62,_xlpm.p),_xlpm.s,INDEX($BO$15:$BO$62,_xlpm.p),_xlpm.q,N(AT273)/_xlpm.f,IF(_xlpm.q&gt;=_xlpm.s,ROUND(_xlpm.q,1)&amp;" "&amp;_xlpm.ai_test&amp;" = "&amp;ROUND(_xlpm.q*_xlpm.f,1)&amp;" "&amp;_xlpm.u,ROUND(_xlpm.q,1)&amp;" "&amp;_xlpm.ai_test)),""),""))))</f>
        <v>0</v>
      </c>
      <c r="AW273" s="1047"/>
      <c r="AX273" s="1045">
        <f t="shared" si="107"/>
        <v>0</v>
      </c>
      <c r="AY273" s="1046" t="str">
        <f t="shared" si="108"/>
        <v/>
      </c>
      <c r="AZ273" s="1048">
        <f t="shared" si="113"/>
        <v>0</v>
      </c>
      <c r="BA273" s="1049" t="str">
        <f t="shared" si="109"/>
        <v/>
      </c>
      <c r="BB273" s="1038"/>
      <c r="BC273" s="1050">
        <f t="shared" si="114"/>
        <v>0</v>
      </c>
      <c r="BD273" s="1040" t="str">
        <f t="shared" si="110"/>
        <v/>
      </c>
      <c r="BE273" s="227" t="s">
        <v>22</v>
      </c>
      <c r="BF273" s="1019">
        <f t="shared" si="111"/>
        <v>0</v>
      </c>
      <c r="BG273" s="1020">
        <f t="shared" si="112"/>
        <v>0</v>
      </c>
      <c r="BH273"/>
      <c r="BI273" s="709"/>
      <c r="BJ273" s="709"/>
      <c r="BK273" s="709"/>
      <c r="BL273" s="709"/>
      <c r="BM273" s="709"/>
      <c r="BN273" s="709"/>
      <c r="BO273" s="709"/>
      <c r="BP273" s="709"/>
      <c r="BQ273"/>
      <c r="BR273"/>
      <c r="BS273"/>
      <c r="BT273"/>
      <c r="BU273"/>
      <c r="BV273"/>
      <c r="BW273" s="959" t="str">
        <f t="shared" si="117"/>
        <v>►</v>
      </c>
      <c r="BX273"/>
      <c r="BY273"/>
      <c r="BZ273"/>
      <c r="CA273"/>
      <c r="CB273"/>
      <c r="CD273"/>
      <c r="CE273"/>
      <c r="CF273"/>
      <c r="CG273"/>
      <c r="CH273"/>
      <c r="CI273"/>
      <c r="CJ273"/>
      <c r="CK273" s="227"/>
      <c r="CL273"/>
      <c r="CM273"/>
      <c r="CN273"/>
      <c r="CO273"/>
      <c r="CP273"/>
      <c r="CQ273"/>
      <c r="CR273"/>
      <c r="CS273" s="227"/>
      <c r="CT273"/>
      <c r="CU273"/>
      <c r="CV273"/>
      <c r="CW273"/>
      <c r="CX273"/>
      <c r="CY273"/>
      <c r="CZ273"/>
      <c r="DA273" s="227"/>
      <c r="DB273" s="3">
        <v>1</v>
      </c>
      <c r="DC273" s="709"/>
      <c r="DD273" s="709"/>
    </row>
    <row r="274" spans="1:108" s="856" customFormat="1" ht="21" customHeight="1">
      <c r="A274" s="936" t="s">
        <v>22</v>
      </c>
      <c r="B274" s="952" t="str">
        <f t="shared" si="116"/>
        <v>►</v>
      </c>
      <c r="C274" s="993" cm="1">
        <f t="array" ref="C274">SUMPRODUCT(LEN(D274:J274))</f>
        <v>0</v>
      </c>
      <c r="D274" s="167"/>
      <c r="E274" s="172"/>
      <c r="F274" s="172"/>
      <c r="G274" s="172"/>
      <c r="H274" s="172"/>
      <c r="I274" s="172"/>
      <c r="J274" s="173"/>
      <c r="K274" s="442" t="s">
        <v>22</v>
      </c>
      <c r="L274" s="104" t="s">
        <v>16</v>
      </c>
      <c r="M274" s="1172"/>
      <c r="N274" s="1172"/>
      <c r="O274" s="1172"/>
      <c r="P274" s="1173"/>
      <c r="Q274" s="1174"/>
      <c r="R274" s="1175"/>
      <c r="S274" s="1176"/>
      <c r="T274" s="1177"/>
      <c r="U274" s="5248"/>
      <c r="V274" s="1177"/>
      <c r="W274" s="5249"/>
      <c r="X274" s="5208"/>
      <c r="Y274" s="5209"/>
      <c r="Z274" s="5210"/>
      <c r="AA274" s="5211"/>
      <c r="AB274" s="1178"/>
      <c r="AC274" s="1179"/>
      <c r="AD274" s="227" t="s">
        <v>22</v>
      </c>
      <c r="AE274" s="1027" t="str">
        <f t="shared" si="94"/>
        <v>►</v>
      </c>
      <c r="AF274" s="1028" t="str">
        <f t="shared" si="95"/>
        <v/>
      </c>
      <c r="AG274" s="1029" t="str">
        <f t="shared" si="96"/>
        <v/>
      </c>
      <c r="AH274" s="1028" t="str">
        <f t="shared" si="97"/>
        <v/>
      </c>
      <c r="AI274" s="1029" t="str">
        <f t="shared" si="98"/>
        <v/>
      </c>
      <c r="AJ274" s="1029">
        <f t="shared" si="99"/>
        <v>0</v>
      </c>
      <c r="AK274" s="1043" t="str" cm="1">
        <f t="array" ref="AK274">IF(AE274&lt;&gt;"A","",IFERROR((IFERROR(_xlfn.XLOOKUP(TRIM(SUBSTITUTE(U274,CHAR(160)," ")),$BI$15:$BI$62,$BL$15:$BL$62),IFERROR(_xlfn.XLOOKUP(TRIM(SUBSTITUTE(U274,CHAR(160)," ")),$BJ$15:$BJ$62,$BL$15:$BL$62),_xlfn.XLOOKUP(TRIM(SUBSTITUTE(U274,CHAR(160)," ")),$BK$15:$BK$62,$BL$15:$BL$62))))*T274*IF(ISBLANK(Q274),1,Q274)+IFERROR(_xlfn.XLOOKUP("RECHERCHEX",TRIM(L274:AC274),L274:AC274),0),0))</f>
        <v/>
      </c>
      <c r="AL274" s="1030">
        <f t="shared" si="100"/>
        <v>0</v>
      </c>
      <c r="AM274" s="5254" t="str">
        <f t="shared" si="115"/>
        <v/>
      </c>
      <c r="AN274" s="1031">
        <f t="shared" si="101"/>
        <v>0</v>
      </c>
      <c r="AO274" s="1031">
        <f t="shared" si="102"/>
        <v>0</v>
      </c>
      <c r="AP274" s="1032">
        <f t="shared" si="103"/>
        <v>0</v>
      </c>
      <c r="AQ274" s="5255" t="str">
        <f t="shared" si="104"/>
        <v/>
      </c>
      <c r="AR274" s="1056"/>
      <c r="AS274" s="1056"/>
      <c r="AT274" s="1034">
        <f t="shared" si="105"/>
        <v>0</v>
      </c>
      <c r="AU274" s="1035">
        <f t="shared" si="106"/>
        <v>0</v>
      </c>
      <c r="AV274" s="1057" cm="1">
        <f t="array" ref="AV274">IF(AJ274&lt;&gt;1,0,IF(OR(AT274="",N(AT274)&lt;=0.000000001),"",IF(OR(AN274="",N(AN274)&lt;=0.000000001),0,IF(ISNUMBER(AT274),IFERROR(_xlfn.LET(_xlpm.ai_test,TRIM(AI274),_xlpm.r,IFERROR(_xlfn.XLOOKUP(_xlpm.ai_test,$BI$15:$BI$62,ROW($BI$15:$BI$62),0,1),IFERROR(_xlfn.XLOOKUP(_xlpm.ai_test,$BJ$15:$BJ$62,ROW($BJ$15:$BJ$62),0,1),_xlfn.XLOOKUP(_xlpm.ai_test,$BK$15:$BK$62,ROW($BK$15:$BK$62),0,1))),_xlpm.p,_xlpm.r-MIN(ROW($BI$15:$BI$62))+1,_xlpm.f,INDEX($BL$15:$BL$62,_xlpm.p),_xlpm.u,INDEX($BM$15:$BM$62,_xlpm.p),_xlpm.s,INDEX($BO$15:$BO$62,_xlpm.p),_xlpm.q,N(AT274)/_xlpm.f,IF(_xlpm.q&gt;=_xlpm.s,ROUND(_xlpm.q,1)&amp;" "&amp;_xlpm.ai_test&amp;" = "&amp;ROUND(_xlpm.q*_xlpm.f,1)&amp;" "&amp;_xlpm.u,ROUND(_xlpm.q,1)&amp;" "&amp;_xlpm.ai_test)),""),""))))</f>
        <v>0</v>
      </c>
      <c r="AW274" s="1047"/>
      <c r="AX274" s="1034">
        <f t="shared" si="107"/>
        <v>0</v>
      </c>
      <c r="AY274" s="1035" t="str">
        <f t="shared" si="108"/>
        <v/>
      </c>
      <c r="AZ274" s="1036">
        <f t="shared" si="113"/>
        <v>0</v>
      </c>
      <c r="BA274" s="1037" t="str">
        <f t="shared" si="109"/>
        <v/>
      </c>
      <c r="BB274" s="1038"/>
      <c r="BC274" s="1039">
        <f t="shared" si="114"/>
        <v>0</v>
      </c>
      <c r="BD274" s="1040" t="str">
        <f t="shared" si="110"/>
        <v/>
      </c>
      <c r="BE274" s="227" t="s">
        <v>22</v>
      </c>
      <c r="BF274" s="1019">
        <f t="shared" si="111"/>
        <v>0</v>
      </c>
      <c r="BG274" s="1020">
        <f t="shared" si="112"/>
        <v>0</v>
      </c>
      <c r="BH274"/>
      <c r="BI274" s="709"/>
      <c r="BJ274" s="709"/>
      <c r="BK274" s="709"/>
      <c r="BL274" s="709"/>
      <c r="BM274" s="709"/>
      <c r="BN274" s="709"/>
      <c r="BO274" s="709"/>
      <c r="BP274" s="709"/>
      <c r="BQ274"/>
      <c r="BR274"/>
      <c r="BS274"/>
      <c r="BT274"/>
      <c r="BU274"/>
      <c r="BV274"/>
      <c r="BW274" s="959" t="str">
        <f t="shared" si="117"/>
        <v>►</v>
      </c>
      <c r="BX274"/>
      <c r="BY274"/>
      <c r="BZ274"/>
      <c r="CA274"/>
      <c r="CB274"/>
      <c r="CD274"/>
      <c r="CE274"/>
      <c r="CF274"/>
      <c r="CG274"/>
      <c r="CH274"/>
      <c r="CI274"/>
      <c r="CJ274"/>
      <c r="CK274" s="227"/>
      <c r="CL274"/>
      <c r="CM274"/>
      <c r="CN274"/>
      <c r="CO274"/>
      <c r="CP274"/>
      <c r="CQ274"/>
      <c r="CR274"/>
      <c r="CS274" s="227"/>
      <c r="CT274"/>
      <c r="CU274"/>
      <c r="CV274"/>
      <c r="CW274"/>
      <c r="CX274"/>
      <c r="CY274"/>
      <c r="CZ274"/>
      <c r="DA274" s="227"/>
      <c r="DB274" s="3">
        <v>1</v>
      </c>
      <c r="DC274" s="709"/>
      <c r="DD274" s="709"/>
    </row>
    <row r="275" spans="1:108" s="856" customFormat="1" ht="21" customHeight="1">
      <c r="A275" s="936" t="s">
        <v>22</v>
      </c>
      <c r="B275" s="952" t="str">
        <f t="shared" si="116"/>
        <v>►</v>
      </c>
      <c r="C275" s="993" cm="1">
        <f t="array" ref="C275">SUMPRODUCT(LEN(D275:J275))</f>
        <v>0</v>
      </c>
      <c r="D275" s="167"/>
      <c r="E275" s="172"/>
      <c r="F275" s="172"/>
      <c r="G275" s="172"/>
      <c r="H275" s="172"/>
      <c r="I275" s="172"/>
      <c r="J275" s="173"/>
      <c r="K275" s="442" t="s">
        <v>22</v>
      </c>
      <c r="L275" s="104" t="s">
        <v>16</v>
      </c>
      <c r="M275" s="1172"/>
      <c r="N275" s="1172"/>
      <c r="O275" s="1172"/>
      <c r="P275" s="1173"/>
      <c r="Q275" s="1174"/>
      <c r="R275" s="1175"/>
      <c r="S275" s="1176"/>
      <c r="T275" s="1177"/>
      <c r="U275" s="5248"/>
      <c r="V275" s="1177"/>
      <c r="W275" s="5249"/>
      <c r="X275" s="5208"/>
      <c r="Y275" s="5209"/>
      <c r="Z275" s="5210"/>
      <c r="AA275" s="5211"/>
      <c r="AB275" s="1178"/>
      <c r="AC275" s="1179"/>
      <c r="AD275" s="227" t="s">
        <v>22</v>
      </c>
      <c r="AE275" s="1027" t="str">
        <f t="shared" si="94"/>
        <v>►</v>
      </c>
      <c r="AF275" s="1028" t="str">
        <f t="shared" si="95"/>
        <v/>
      </c>
      <c r="AG275" s="1029" t="str">
        <f t="shared" si="96"/>
        <v/>
      </c>
      <c r="AH275" s="1028" t="str">
        <f t="shared" si="97"/>
        <v/>
      </c>
      <c r="AI275" s="1029" t="str">
        <f t="shared" si="98"/>
        <v/>
      </c>
      <c r="AJ275" s="1029">
        <f t="shared" si="99"/>
        <v>0</v>
      </c>
      <c r="AK275" s="1043" t="str" cm="1">
        <f t="array" ref="AK275">IF(AE275&lt;&gt;"A","",IFERROR((IFERROR(_xlfn.XLOOKUP(TRIM(SUBSTITUTE(U275,CHAR(160)," ")),$BI$15:$BI$62,$BL$15:$BL$62),IFERROR(_xlfn.XLOOKUP(TRIM(SUBSTITUTE(U275,CHAR(160)," ")),$BJ$15:$BJ$62,$BL$15:$BL$62),_xlfn.XLOOKUP(TRIM(SUBSTITUTE(U275,CHAR(160)," ")),$BK$15:$BK$62,$BL$15:$BL$62))))*T275*IF(ISBLANK(Q275),1,Q275)+IFERROR(_xlfn.XLOOKUP("RECHERCHEX",TRIM(L275:AC275),L275:AC275),0),0))</f>
        <v/>
      </c>
      <c r="AL275" s="1030">
        <f t="shared" si="100"/>
        <v>0</v>
      </c>
      <c r="AM275" s="5254" t="str">
        <f t="shared" si="115"/>
        <v/>
      </c>
      <c r="AN275" s="1031">
        <f t="shared" si="101"/>
        <v>0</v>
      </c>
      <c r="AO275" s="1031">
        <f t="shared" si="102"/>
        <v>0</v>
      </c>
      <c r="AP275" s="1044">
        <f t="shared" si="103"/>
        <v>0</v>
      </c>
      <c r="AQ275" s="5257" t="str">
        <f t="shared" si="104"/>
        <v/>
      </c>
      <c r="AR275" s="1056"/>
      <c r="AS275" s="1056"/>
      <c r="AT275" s="1045">
        <f t="shared" si="105"/>
        <v>0</v>
      </c>
      <c r="AU275" s="1046">
        <f t="shared" si="106"/>
        <v>0</v>
      </c>
      <c r="AV275" s="1059" cm="1">
        <f t="array" ref="AV275">IF(AJ275&lt;&gt;1,0,IF(OR(AT275="",N(AT275)&lt;=0.000000001),"",IF(OR(AN275="",N(AN275)&lt;=0.000000001),0,IF(ISNUMBER(AT275),IFERROR(_xlfn.LET(_xlpm.ai_test,TRIM(AI275),_xlpm.r,IFERROR(_xlfn.XLOOKUP(_xlpm.ai_test,$BI$15:$BI$62,ROW($BI$15:$BI$62),0,1),IFERROR(_xlfn.XLOOKUP(_xlpm.ai_test,$BJ$15:$BJ$62,ROW($BJ$15:$BJ$62),0,1),_xlfn.XLOOKUP(_xlpm.ai_test,$BK$15:$BK$62,ROW($BK$15:$BK$62),0,1))),_xlpm.p,_xlpm.r-MIN(ROW($BI$15:$BI$62))+1,_xlpm.f,INDEX($BL$15:$BL$62,_xlpm.p),_xlpm.u,INDEX($BM$15:$BM$62,_xlpm.p),_xlpm.s,INDEX($BO$15:$BO$62,_xlpm.p),_xlpm.q,N(AT275)/_xlpm.f,IF(_xlpm.q&gt;=_xlpm.s,ROUND(_xlpm.q,1)&amp;" "&amp;_xlpm.ai_test&amp;" = "&amp;ROUND(_xlpm.q*_xlpm.f,1)&amp;" "&amp;_xlpm.u,ROUND(_xlpm.q,1)&amp;" "&amp;_xlpm.ai_test)),""),""))))</f>
        <v>0</v>
      </c>
      <c r="AW275" s="1047"/>
      <c r="AX275" s="1045">
        <f t="shared" si="107"/>
        <v>0</v>
      </c>
      <c r="AY275" s="1046" t="str">
        <f t="shared" si="108"/>
        <v/>
      </c>
      <c r="AZ275" s="1048">
        <f t="shared" si="113"/>
        <v>0</v>
      </c>
      <c r="BA275" s="1049" t="str">
        <f t="shared" si="109"/>
        <v/>
      </c>
      <c r="BB275" s="1038"/>
      <c r="BC275" s="1050">
        <f t="shared" si="114"/>
        <v>0</v>
      </c>
      <c r="BD275" s="1040" t="str">
        <f t="shared" si="110"/>
        <v/>
      </c>
      <c r="BE275" s="227" t="s">
        <v>22</v>
      </c>
      <c r="BF275" s="1019">
        <f t="shared" si="111"/>
        <v>0</v>
      </c>
      <c r="BG275" s="1020">
        <f t="shared" si="112"/>
        <v>0</v>
      </c>
      <c r="BH275"/>
      <c r="BI275" s="709"/>
      <c r="BJ275" s="709"/>
      <c r="BK275" s="709"/>
      <c r="BL275" s="709"/>
      <c r="BM275" s="709"/>
      <c r="BN275" s="709"/>
      <c r="BO275" s="709"/>
      <c r="BP275" s="709"/>
      <c r="BQ275"/>
      <c r="BR275"/>
      <c r="BS275"/>
      <c r="BT275"/>
      <c r="BU275"/>
      <c r="BV275"/>
      <c r="BW275" s="959" t="str">
        <f t="shared" si="117"/>
        <v>►</v>
      </c>
      <c r="BX275"/>
      <c r="BY275"/>
      <c r="BZ275"/>
      <c r="CA275"/>
      <c r="CB275"/>
      <c r="CD275"/>
      <c r="CE275"/>
      <c r="CF275"/>
      <c r="CG275"/>
      <c r="CH275"/>
      <c r="CI275"/>
      <c r="CJ275"/>
      <c r="CK275" s="227"/>
      <c r="CL275"/>
      <c r="CM275"/>
      <c r="CN275"/>
      <c r="CO275"/>
      <c r="CP275"/>
      <c r="CQ275"/>
      <c r="CR275"/>
      <c r="CS275" s="227"/>
      <c r="CT275"/>
      <c r="CU275"/>
      <c r="CV275"/>
      <c r="CW275"/>
      <c r="CX275"/>
      <c r="CY275"/>
      <c r="CZ275"/>
      <c r="DA275" s="227"/>
      <c r="DB275" s="3">
        <v>1</v>
      </c>
      <c r="DC275" s="709"/>
      <c r="DD275" s="709"/>
    </row>
    <row r="276" spans="1:108" s="856" customFormat="1" ht="21" customHeight="1">
      <c r="A276" s="936" t="s">
        <v>22</v>
      </c>
      <c r="B276" s="952" t="str">
        <f t="shared" si="116"/>
        <v>►</v>
      </c>
      <c r="C276" s="993" cm="1">
        <f t="array" ref="C276">SUMPRODUCT(LEN(D276:J276))</f>
        <v>0</v>
      </c>
      <c r="D276" s="167"/>
      <c r="E276" s="172"/>
      <c r="F276" s="172"/>
      <c r="G276" s="172"/>
      <c r="H276" s="172"/>
      <c r="I276" s="172"/>
      <c r="J276" s="173"/>
      <c r="K276" s="442" t="s">
        <v>22</v>
      </c>
      <c r="L276" s="104" t="s">
        <v>16</v>
      </c>
      <c r="M276" s="1172"/>
      <c r="N276" s="1172"/>
      <c r="O276" s="1172"/>
      <c r="P276" s="1173"/>
      <c r="Q276" s="1174"/>
      <c r="R276" s="1175"/>
      <c r="S276" s="1176"/>
      <c r="T276" s="1177"/>
      <c r="U276" s="5248"/>
      <c r="V276" s="1177"/>
      <c r="W276" s="5249"/>
      <c r="X276" s="5208"/>
      <c r="Y276" s="5209"/>
      <c r="Z276" s="5210"/>
      <c r="AA276" s="5211"/>
      <c r="AB276" s="1178"/>
      <c r="AC276" s="1179"/>
      <c r="AD276" s="227" t="s">
        <v>22</v>
      </c>
      <c r="AE276" s="1027" t="str">
        <f t="shared" si="94"/>
        <v>►</v>
      </c>
      <c r="AF276" s="1028" t="str">
        <f t="shared" si="95"/>
        <v/>
      </c>
      <c r="AG276" s="1029" t="str">
        <f t="shared" si="96"/>
        <v/>
      </c>
      <c r="AH276" s="1028" t="str">
        <f t="shared" si="97"/>
        <v/>
      </c>
      <c r="AI276" s="1029" t="str">
        <f t="shared" si="98"/>
        <v/>
      </c>
      <c r="AJ276" s="1029">
        <f t="shared" si="99"/>
        <v>0</v>
      </c>
      <c r="AK276" s="1043" t="str" cm="1">
        <f t="array" ref="AK276">IF(AE276&lt;&gt;"A","",IFERROR((IFERROR(_xlfn.XLOOKUP(TRIM(SUBSTITUTE(U276,CHAR(160)," ")),$BI$15:$BI$62,$BL$15:$BL$62),IFERROR(_xlfn.XLOOKUP(TRIM(SUBSTITUTE(U276,CHAR(160)," ")),$BJ$15:$BJ$62,$BL$15:$BL$62),_xlfn.XLOOKUP(TRIM(SUBSTITUTE(U276,CHAR(160)," ")),$BK$15:$BK$62,$BL$15:$BL$62))))*T276*IF(ISBLANK(Q276),1,Q276)+IFERROR(_xlfn.XLOOKUP("RECHERCHEX",TRIM(L276:AC276),L276:AC276),0),0))</f>
        <v/>
      </c>
      <c r="AL276" s="1030">
        <f t="shared" si="100"/>
        <v>0</v>
      </c>
      <c r="AM276" s="5254" t="str">
        <f t="shared" si="115"/>
        <v/>
      </c>
      <c r="AN276" s="1031">
        <f t="shared" si="101"/>
        <v>0</v>
      </c>
      <c r="AO276" s="1031">
        <f t="shared" si="102"/>
        <v>0</v>
      </c>
      <c r="AP276" s="1032">
        <f t="shared" si="103"/>
        <v>0</v>
      </c>
      <c r="AQ276" s="5255" t="str">
        <f t="shared" si="104"/>
        <v/>
      </c>
      <c r="AR276" s="1056"/>
      <c r="AS276" s="1056"/>
      <c r="AT276" s="1034">
        <f t="shared" si="105"/>
        <v>0</v>
      </c>
      <c r="AU276" s="1035">
        <f t="shared" si="106"/>
        <v>0</v>
      </c>
      <c r="AV276" s="1057" cm="1">
        <f t="array" ref="AV276">IF(AJ276&lt;&gt;1,0,IF(OR(AT276="",N(AT276)&lt;=0.000000001),"",IF(OR(AN276="",N(AN276)&lt;=0.000000001),0,IF(ISNUMBER(AT276),IFERROR(_xlfn.LET(_xlpm.ai_test,TRIM(AI276),_xlpm.r,IFERROR(_xlfn.XLOOKUP(_xlpm.ai_test,$BI$15:$BI$62,ROW($BI$15:$BI$62),0,1),IFERROR(_xlfn.XLOOKUP(_xlpm.ai_test,$BJ$15:$BJ$62,ROW($BJ$15:$BJ$62),0,1),_xlfn.XLOOKUP(_xlpm.ai_test,$BK$15:$BK$62,ROW($BK$15:$BK$62),0,1))),_xlpm.p,_xlpm.r-MIN(ROW($BI$15:$BI$62))+1,_xlpm.f,INDEX($BL$15:$BL$62,_xlpm.p),_xlpm.u,INDEX($BM$15:$BM$62,_xlpm.p),_xlpm.s,INDEX($BO$15:$BO$62,_xlpm.p),_xlpm.q,N(AT276)/_xlpm.f,IF(_xlpm.q&gt;=_xlpm.s,ROUND(_xlpm.q,1)&amp;" "&amp;_xlpm.ai_test&amp;" = "&amp;ROUND(_xlpm.q*_xlpm.f,1)&amp;" "&amp;_xlpm.u,ROUND(_xlpm.q,1)&amp;" "&amp;_xlpm.ai_test)),""),""))))</f>
        <v>0</v>
      </c>
      <c r="AW276" s="1047"/>
      <c r="AX276" s="1034">
        <f t="shared" si="107"/>
        <v>0</v>
      </c>
      <c r="AY276" s="1035" t="str">
        <f t="shared" si="108"/>
        <v/>
      </c>
      <c r="AZ276" s="1036">
        <f t="shared" si="113"/>
        <v>0</v>
      </c>
      <c r="BA276" s="1037" t="str">
        <f t="shared" si="109"/>
        <v/>
      </c>
      <c r="BB276" s="1038"/>
      <c r="BC276" s="1039">
        <f t="shared" si="114"/>
        <v>0</v>
      </c>
      <c r="BD276" s="1040" t="str">
        <f t="shared" si="110"/>
        <v/>
      </c>
      <c r="BE276" s="227" t="s">
        <v>22</v>
      </c>
      <c r="BF276" s="1019">
        <f t="shared" si="111"/>
        <v>0</v>
      </c>
      <c r="BG276" s="1020">
        <f t="shared" si="112"/>
        <v>0</v>
      </c>
      <c r="BH276"/>
      <c r="BI276" s="709"/>
      <c r="BJ276" s="709"/>
      <c r="BK276" s="709"/>
      <c r="BL276" s="709"/>
      <c r="BM276" s="709"/>
      <c r="BN276" s="709"/>
      <c r="BO276" s="709"/>
      <c r="BP276" s="709"/>
      <c r="BQ276"/>
      <c r="BR276"/>
      <c r="BS276"/>
      <c r="BT276"/>
      <c r="BU276"/>
      <c r="BV276"/>
      <c r="BW276" s="959" t="str">
        <f t="shared" si="117"/>
        <v>►</v>
      </c>
      <c r="BX276"/>
      <c r="BY276"/>
      <c r="BZ276"/>
      <c r="CA276"/>
      <c r="CB276"/>
      <c r="CD276"/>
      <c r="CE276"/>
      <c r="CF276"/>
      <c r="CG276"/>
      <c r="CH276"/>
      <c r="CI276"/>
      <c r="CJ276"/>
      <c r="CK276" s="227"/>
      <c r="CL276"/>
      <c r="CM276"/>
      <c r="CN276"/>
      <c r="CO276"/>
      <c r="CP276"/>
      <c r="CQ276"/>
      <c r="CR276"/>
      <c r="CS276" s="227"/>
      <c r="CT276"/>
      <c r="CU276"/>
      <c r="CV276"/>
      <c r="CW276"/>
      <c r="CX276"/>
      <c r="CY276"/>
      <c r="CZ276"/>
      <c r="DA276" s="227"/>
      <c r="DB276" s="3">
        <v>1</v>
      </c>
      <c r="DC276" s="709"/>
      <c r="DD276" s="709"/>
    </row>
    <row r="277" spans="1:108" s="856" customFormat="1" ht="21" customHeight="1">
      <c r="A277" s="936" t="s">
        <v>22</v>
      </c>
      <c r="B277" s="952" t="str">
        <f t="shared" si="116"/>
        <v>►</v>
      </c>
      <c r="C277" s="993" cm="1">
        <f t="array" ref="C277">SUMPRODUCT(LEN(D277:J277))</f>
        <v>0</v>
      </c>
      <c r="D277" s="167"/>
      <c r="E277" s="172"/>
      <c r="F277" s="172"/>
      <c r="G277" s="172"/>
      <c r="H277" s="172"/>
      <c r="I277" s="172"/>
      <c r="J277" s="173"/>
      <c r="K277" s="442" t="s">
        <v>22</v>
      </c>
      <c r="L277" s="104" t="s">
        <v>16</v>
      </c>
      <c r="M277" s="1172"/>
      <c r="N277" s="1172"/>
      <c r="O277" s="1172"/>
      <c r="P277" s="1173"/>
      <c r="Q277" s="1174"/>
      <c r="R277" s="1175"/>
      <c r="S277" s="1176"/>
      <c r="T277" s="1177"/>
      <c r="U277" s="5248"/>
      <c r="V277" s="1177"/>
      <c r="W277" s="5249"/>
      <c r="X277" s="5208"/>
      <c r="Y277" s="5209"/>
      <c r="Z277" s="5210"/>
      <c r="AA277" s="5211"/>
      <c r="AB277" s="1178"/>
      <c r="AC277" s="1179"/>
      <c r="AD277" s="227" t="s">
        <v>22</v>
      </c>
      <c r="AE277" s="1027" t="str">
        <f t="shared" si="94"/>
        <v>►</v>
      </c>
      <c r="AF277" s="1028" t="str">
        <f t="shared" si="95"/>
        <v/>
      </c>
      <c r="AG277" s="1029" t="str">
        <f t="shared" si="96"/>
        <v/>
      </c>
      <c r="AH277" s="1028" t="str">
        <f t="shared" si="97"/>
        <v/>
      </c>
      <c r="AI277" s="1029" t="str">
        <f t="shared" si="98"/>
        <v/>
      </c>
      <c r="AJ277" s="1029">
        <f t="shared" si="99"/>
        <v>0</v>
      </c>
      <c r="AK277" s="1043" t="str" cm="1">
        <f t="array" ref="AK277">IF(AE277&lt;&gt;"A","",IFERROR((IFERROR(_xlfn.XLOOKUP(TRIM(SUBSTITUTE(U277,CHAR(160)," ")),$BI$15:$BI$62,$BL$15:$BL$62),IFERROR(_xlfn.XLOOKUP(TRIM(SUBSTITUTE(U277,CHAR(160)," ")),$BJ$15:$BJ$62,$BL$15:$BL$62),_xlfn.XLOOKUP(TRIM(SUBSTITUTE(U277,CHAR(160)," ")),$BK$15:$BK$62,$BL$15:$BL$62))))*T277*IF(ISBLANK(Q277),1,Q277)+IFERROR(_xlfn.XLOOKUP("RECHERCHEX",TRIM(L277:AC277),L277:AC277),0),0))</f>
        <v/>
      </c>
      <c r="AL277" s="1030">
        <f t="shared" si="100"/>
        <v>0</v>
      </c>
      <c r="AM277" s="5254" t="str">
        <f t="shared" si="115"/>
        <v/>
      </c>
      <c r="AN277" s="1031">
        <f t="shared" si="101"/>
        <v>0</v>
      </c>
      <c r="AO277" s="1031">
        <f t="shared" si="102"/>
        <v>0</v>
      </c>
      <c r="AP277" s="1044">
        <f t="shared" si="103"/>
        <v>0</v>
      </c>
      <c r="AQ277" s="5257" t="str">
        <f t="shared" si="104"/>
        <v/>
      </c>
      <c r="AR277" s="1056"/>
      <c r="AS277" s="1056"/>
      <c r="AT277" s="1045">
        <f t="shared" si="105"/>
        <v>0</v>
      </c>
      <c r="AU277" s="1046">
        <f t="shared" si="106"/>
        <v>0</v>
      </c>
      <c r="AV277" s="1059" cm="1">
        <f t="array" ref="AV277">IF(AJ277&lt;&gt;1,0,IF(OR(AT277="",N(AT277)&lt;=0.000000001),"",IF(OR(AN277="",N(AN277)&lt;=0.000000001),0,IF(ISNUMBER(AT277),IFERROR(_xlfn.LET(_xlpm.ai_test,TRIM(AI277),_xlpm.r,IFERROR(_xlfn.XLOOKUP(_xlpm.ai_test,$BI$15:$BI$62,ROW($BI$15:$BI$62),0,1),IFERROR(_xlfn.XLOOKUP(_xlpm.ai_test,$BJ$15:$BJ$62,ROW($BJ$15:$BJ$62),0,1),_xlfn.XLOOKUP(_xlpm.ai_test,$BK$15:$BK$62,ROW($BK$15:$BK$62),0,1))),_xlpm.p,_xlpm.r-MIN(ROW($BI$15:$BI$62))+1,_xlpm.f,INDEX($BL$15:$BL$62,_xlpm.p),_xlpm.u,INDEX($BM$15:$BM$62,_xlpm.p),_xlpm.s,INDEX($BO$15:$BO$62,_xlpm.p),_xlpm.q,N(AT277)/_xlpm.f,IF(_xlpm.q&gt;=_xlpm.s,ROUND(_xlpm.q,1)&amp;" "&amp;_xlpm.ai_test&amp;" = "&amp;ROUND(_xlpm.q*_xlpm.f,1)&amp;" "&amp;_xlpm.u,ROUND(_xlpm.q,1)&amp;" "&amp;_xlpm.ai_test)),""),""))))</f>
        <v>0</v>
      </c>
      <c r="AW277" s="1047"/>
      <c r="AX277" s="1045">
        <f t="shared" si="107"/>
        <v>0</v>
      </c>
      <c r="AY277" s="1046" t="str">
        <f t="shared" si="108"/>
        <v/>
      </c>
      <c r="AZ277" s="1048">
        <f t="shared" si="113"/>
        <v>0</v>
      </c>
      <c r="BA277" s="1049" t="str">
        <f t="shared" si="109"/>
        <v/>
      </c>
      <c r="BB277" s="1038"/>
      <c r="BC277" s="1050">
        <f t="shared" si="114"/>
        <v>0</v>
      </c>
      <c r="BD277" s="1040" t="str">
        <f t="shared" si="110"/>
        <v/>
      </c>
      <c r="BE277" s="227" t="s">
        <v>22</v>
      </c>
      <c r="BF277" s="1019">
        <f t="shared" si="111"/>
        <v>0</v>
      </c>
      <c r="BG277" s="1020">
        <f t="shared" si="112"/>
        <v>0</v>
      </c>
      <c r="BH277"/>
      <c r="BI277" s="709"/>
      <c r="BJ277" s="709"/>
      <c r="BK277" s="709"/>
      <c r="BL277" s="709"/>
      <c r="BM277" s="709"/>
      <c r="BN277" s="709"/>
      <c r="BO277" s="709"/>
      <c r="BP277" s="709"/>
      <c r="BQ277"/>
      <c r="BR277"/>
      <c r="BS277"/>
      <c r="BT277"/>
      <c r="BU277"/>
      <c r="BV277"/>
      <c r="BW277" s="959" t="str">
        <f t="shared" si="117"/>
        <v>►</v>
      </c>
      <c r="BX277"/>
      <c r="BY277"/>
      <c r="BZ277"/>
      <c r="CA277"/>
      <c r="CB277"/>
      <c r="CD277"/>
      <c r="CE277"/>
      <c r="CF277"/>
      <c r="CG277"/>
      <c r="CH277"/>
      <c r="CI277"/>
      <c r="CJ277"/>
      <c r="CK277" s="227"/>
      <c r="CL277"/>
      <c r="CM277"/>
      <c r="CN277"/>
      <c r="CO277"/>
      <c r="CP277"/>
      <c r="CQ277"/>
      <c r="CR277"/>
      <c r="CS277" s="227"/>
      <c r="CT277"/>
      <c r="CU277"/>
      <c r="CV277"/>
      <c r="CW277"/>
      <c r="CX277"/>
      <c r="CY277"/>
      <c r="CZ277"/>
      <c r="DA277" s="227"/>
      <c r="DB277" s="3">
        <v>1</v>
      </c>
      <c r="DC277" s="709"/>
      <c r="DD277" s="709"/>
    </row>
    <row r="278" spans="1:108" s="856" customFormat="1" ht="21" customHeight="1">
      <c r="A278" s="936" t="s">
        <v>22</v>
      </c>
      <c r="B278" s="952" t="str">
        <f t="shared" si="116"/>
        <v>►</v>
      </c>
      <c r="C278" s="993" cm="1">
        <f t="array" ref="C278">SUMPRODUCT(LEN(D278:J278))</f>
        <v>0</v>
      </c>
      <c r="D278" s="167"/>
      <c r="E278" s="172"/>
      <c r="F278" s="172"/>
      <c r="G278" s="172"/>
      <c r="H278" s="172"/>
      <c r="I278" s="172"/>
      <c r="J278" s="173"/>
      <c r="K278" s="442" t="s">
        <v>22</v>
      </c>
      <c r="L278" s="104" t="s">
        <v>16</v>
      </c>
      <c r="M278" s="1172"/>
      <c r="N278" s="1172"/>
      <c r="O278" s="1172"/>
      <c r="P278" s="1173"/>
      <c r="Q278" s="1174"/>
      <c r="R278" s="1175"/>
      <c r="S278" s="1176"/>
      <c r="T278" s="1177"/>
      <c r="U278" s="5248"/>
      <c r="V278" s="1177"/>
      <c r="W278" s="5249"/>
      <c r="X278" s="5208"/>
      <c r="Y278" s="5209"/>
      <c r="Z278" s="5210"/>
      <c r="AA278" s="5211"/>
      <c r="AB278" s="1178"/>
      <c r="AC278" s="1179"/>
      <c r="AD278" s="227" t="s">
        <v>22</v>
      </c>
      <c r="AE278" s="1027" t="str">
        <f t="shared" ref="AE278:AE341" si="118">IF(OR(AN278&gt;0,TRIM(AF278)="▼ recette suivante"),"A","►")</f>
        <v>►</v>
      </c>
      <c r="AF278" s="1028" t="str">
        <f t="shared" ref="AF278:AF341" si="119">IF(TRIM(Q278)="Adresse PC","▼ recette suivante",IF(AN278&gt;0,M278,""))</f>
        <v/>
      </c>
      <c r="AG278" s="1029" t="str">
        <f t="shared" ref="AG278:AG341" si="120">IF(AE278="A",N278,"")</f>
        <v/>
      </c>
      <c r="AH278" s="1028" t="str">
        <f t="shared" ref="AH278:AH341" si="121">IF(AE278="A",O278,"")</f>
        <v/>
      </c>
      <c r="AI278" s="1029" t="str">
        <f t="shared" ref="AI278:AI341" si="122">IF(AE278="A",U278,"")</f>
        <v/>
      </c>
      <c r="AJ278" s="1029">
        <f t="shared" ref="AJ278:AJ341" si="123">IF(AND(L278="A",COUNTIF($BI$15:$BK$62,TRIM(U278))&gt;0),1,0)</f>
        <v>0</v>
      </c>
      <c r="AK278" s="1043" t="str" cm="1">
        <f t="array" ref="AK278">IF(AE278&lt;&gt;"A","",IFERROR((IFERROR(_xlfn.XLOOKUP(TRIM(SUBSTITUTE(U278,CHAR(160)," ")),$BI$15:$BI$62,$BL$15:$BL$62),IFERROR(_xlfn.XLOOKUP(TRIM(SUBSTITUTE(U278,CHAR(160)," ")),$BJ$15:$BJ$62,$BL$15:$BL$62),_xlfn.XLOOKUP(TRIM(SUBSTITUTE(U278,CHAR(160)," ")),$BK$15:$BK$62,$BL$15:$BL$62))))*T278*IF(ISBLANK(Q278),1,Q278)+IFERROR(_xlfn.XLOOKUP("RECHERCHEX",TRIM(L278:AC278),L278:AC278),0),0))</f>
        <v/>
      </c>
      <c r="AL278" s="1030">
        <f t="shared" ref="AL278:AL341" si="124">IF(AJ278,IF(AK278&gt;0,"Kg",0),0)</f>
        <v>0</v>
      </c>
      <c r="AM278" s="5254" t="str">
        <f t="shared" si="115"/>
        <v/>
      </c>
      <c r="AN278" s="1031">
        <f t="shared" ref="AN278:AN341" si="125">IF(AJ278,N278,0)</f>
        <v>0</v>
      </c>
      <c r="AO278" s="1031">
        <f t="shared" ref="AO278:AO341" si="126">IF(AJ278,O278,0)</f>
        <v>0</v>
      </c>
      <c r="AP278" s="1032">
        <f t="shared" ref="AP278:AP341" si="127">IF(AN278&gt;0,AR$9,0)</f>
        <v>0</v>
      </c>
      <c r="AQ278" s="5255" t="str">
        <f t="shared" ref="AQ278:AQ341" si="128">IF(TRIM(AF278)="▼ recette suivante", AF278, IF(AP278&gt;0, IF(AS$9&lt;&gt;"", AS$9&amp;"-ou.or.o ❾ + or - &gt;", ""), ""))</f>
        <v/>
      </c>
      <c r="AR278" s="1056"/>
      <c r="AS278" s="1056"/>
      <c r="AT278" s="1034">
        <f t="shared" ref="AT278:AT341" si="129">IF(TRIM(AL278)="Kg",N(AK278)*N(BG278),0)</f>
        <v>0</v>
      </c>
      <c r="AU278" s="1035">
        <f t="shared" ref="AU278:AU341" si="130">IF(AJ278,IF(OR(AT278="",N(AT278)&lt;=0.000000001),"",_xlfn.XLOOKUP(AI278,$BI$15:$BI$62,$BM$15:$BM$62,_xlfn.XLOOKUP(AI278,$BJ$15:$BJ$62,$BM$15:$BM$62,_xlfn.XLOOKUP(AI278,$BK$15:$BK$62,$BM$15:$BM$62,"")))),0)</f>
        <v>0</v>
      </c>
      <c r="AV278" s="1057" cm="1">
        <f t="array" ref="AV278">IF(AJ278&lt;&gt;1,0,IF(OR(AT278="",N(AT278)&lt;=0.000000001),"",IF(OR(AN278="",N(AN278)&lt;=0.000000001),0,IF(ISNUMBER(AT278),IFERROR(_xlfn.LET(_xlpm.ai_test,TRIM(AI278),_xlpm.r,IFERROR(_xlfn.XLOOKUP(_xlpm.ai_test,$BI$15:$BI$62,ROW($BI$15:$BI$62),0,1),IFERROR(_xlfn.XLOOKUP(_xlpm.ai_test,$BJ$15:$BJ$62,ROW($BJ$15:$BJ$62),0,1),_xlfn.XLOOKUP(_xlpm.ai_test,$BK$15:$BK$62,ROW($BK$15:$BK$62),0,1))),_xlpm.p,_xlpm.r-MIN(ROW($BI$15:$BI$62))+1,_xlpm.f,INDEX($BL$15:$BL$62,_xlpm.p),_xlpm.u,INDEX($BM$15:$BM$62,_xlpm.p),_xlpm.s,INDEX($BO$15:$BO$62,_xlpm.p),_xlpm.q,N(AT278)/_xlpm.f,IF(_xlpm.q&gt;=_xlpm.s,ROUND(_xlpm.q,1)&amp;" "&amp;_xlpm.ai_test&amp;" = "&amp;ROUND(_xlpm.q*_xlpm.f,1)&amp;" "&amp;_xlpm.u,ROUND(_xlpm.q,1)&amp;" "&amp;_xlpm.ai_test)),""),""))))</f>
        <v>0</v>
      </c>
      <c r="AW278" s="1047"/>
      <c r="AX278" s="1034">
        <f t="shared" ref="AX278:AX341" si="131">IF(TRIM(AF278)="▼ recette suivante","▼next recipe ",IF(AT278="","",IF(ISBLANK(AW278),AT278,ROUND(AT278*(1-MIN(1,MAX(0,IF(AW278&gt;1,AW278/100,AW278)))),3))))</f>
        <v>0</v>
      </c>
      <c r="AY278" s="1035" t="str">
        <f t="shared" ref="AY278:AY341" si="132">IF(AJ278,AU278,"")</f>
        <v/>
      </c>
      <c r="AZ278" s="1036">
        <f t="shared" si="113"/>
        <v>0</v>
      </c>
      <c r="BA278" s="1037" t="str">
        <f t="shared" ref="BA278:BA341" si="133">IF(AJ278,IF(N(AZ278)&gt;0.000000001,R278,""),"")</f>
        <v/>
      </c>
      <c r="BB278" s="1038"/>
      <c r="BC278" s="1039">
        <f t="shared" si="114"/>
        <v>0</v>
      </c>
      <c r="BD278" s="1040" t="str">
        <f t="shared" ref="BD278:BD341" si="134">IF(IFERROR(SEARCH("Adresse PC",TRIM(Q278)),0)&gt;0,"▼ receta siguiente",IF(AX278&gt;0,W278,""))</f>
        <v/>
      </c>
      <c r="BE278" s="227" t="s">
        <v>22</v>
      </c>
      <c r="BF278" s="1019">
        <f t="shared" ref="BF278:BF341" si="135">IFERROR(_xlfn.LET(_xlpm.EPS,0.000000001,_xlpm.b,Q278/AN278,IF(ISNUMBER(AR278),_xlpm.b*AR278,IF(OR(ISBLANK(AR278),AR278=""),_xlpm.b*AP278,IF(AND(BG278=0,ISNUMBER(Q278)),_xlpm.b/AP278,0)))),0)</f>
        <v>0</v>
      </c>
      <c r="BG278" s="1020">
        <f t="shared" ref="BG278:BG341" si="136">IF(AK278&gt;0,IFERROR(IF(OR(ISBLANK(AR278),AR278=""),AP278,AR278)/AN278,0),0)</f>
        <v>0</v>
      </c>
      <c r="BH278"/>
      <c r="BI278" s="709"/>
      <c r="BJ278" s="709"/>
      <c r="BK278" s="709"/>
      <c r="BL278" s="709"/>
      <c r="BM278" s="709"/>
      <c r="BN278" s="709"/>
      <c r="BO278" s="709"/>
      <c r="BP278" s="709"/>
      <c r="BQ278"/>
      <c r="BR278"/>
      <c r="BS278"/>
      <c r="BT278"/>
      <c r="BU278"/>
      <c r="BV278"/>
      <c r="BW278" s="959" t="str">
        <f t="shared" si="117"/>
        <v>►</v>
      </c>
      <c r="BX278"/>
      <c r="BY278"/>
      <c r="BZ278"/>
      <c r="CA278"/>
      <c r="CB278"/>
      <c r="CD278"/>
      <c r="CE278"/>
      <c r="CF278"/>
      <c r="CG278"/>
      <c r="CH278"/>
      <c r="CI278"/>
      <c r="CJ278"/>
      <c r="CK278" s="227"/>
      <c r="CL278"/>
      <c r="CM278"/>
      <c r="CN278"/>
      <c r="CO278"/>
      <c r="CP278"/>
      <c r="CQ278"/>
      <c r="CR278"/>
      <c r="CS278" s="227"/>
      <c r="CT278"/>
      <c r="CU278"/>
      <c r="CV278"/>
      <c r="CW278"/>
      <c r="CX278"/>
      <c r="CY278"/>
      <c r="CZ278"/>
      <c r="DA278" s="227"/>
      <c r="DB278" s="3">
        <v>1</v>
      </c>
      <c r="DC278" s="709"/>
      <c r="DD278" s="709"/>
    </row>
    <row r="279" spans="1:108" s="856" customFormat="1" ht="21" customHeight="1">
      <c r="A279" s="936" t="s">
        <v>22</v>
      </c>
      <c r="B279" s="952" t="str">
        <f t="shared" si="116"/>
        <v>►</v>
      </c>
      <c r="C279" s="993" cm="1">
        <f t="array" ref="C279">SUMPRODUCT(LEN(D279:J279))</f>
        <v>0</v>
      </c>
      <c r="D279" s="167"/>
      <c r="E279" s="172"/>
      <c r="F279" s="172"/>
      <c r="G279" s="172"/>
      <c r="H279" s="172"/>
      <c r="I279" s="172"/>
      <c r="J279" s="173"/>
      <c r="K279" s="442" t="s">
        <v>22</v>
      </c>
      <c r="L279" s="104" t="s">
        <v>16</v>
      </c>
      <c r="M279" s="1172"/>
      <c r="N279" s="1172"/>
      <c r="O279" s="1172"/>
      <c r="P279" s="1173"/>
      <c r="Q279" s="1174"/>
      <c r="R279" s="1175"/>
      <c r="S279" s="1176"/>
      <c r="T279" s="1177"/>
      <c r="U279" s="5248"/>
      <c r="V279" s="1177"/>
      <c r="W279" s="5249"/>
      <c r="X279" s="5208"/>
      <c r="Y279" s="5209"/>
      <c r="Z279" s="5210"/>
      <c r="AA279" s="5211"/>
      <c r="AB279" s="1178"/>
      <c r="AC279" s="1179"/>
      <c r="AD279" s="227" t="s">
        <v>22</v>
      </c>
      <c r="AE279" s="1027" t="str">
        <f t="shared" si="118"/>
        <v>►</v>
      </c>
      <c r="AF279" s="1028" t="str">
        <f t="shared" si="119"/>
        <v/>
      </c>
      <c r="AG279" s="1029" t="str">
        <f t="shared" si="120"/>
        <v/>
      </c>
      <c r="AH279" s="1028" t="str">
        <f t="shared" si="121"/>
        <v/>
      </c>
      <c r="AI279" s="1029" t="str">
        <f t="shared" si="122"/>
        <v/>
      </c>
      <c r="AJ279" s="1029">
        <f t="shared" si="123"/>
        <v>0</v>
      </c>
      <c r="AK279" s="1043" t="str" cm="1">
        <f t="array" ref="AK279">IF(AE279&lt;&gt;"A","",IFERROR((IFERROR(_xlfn.XLOOKUP(TRIM(SUBSTITUTE(U279,CHAR(160)," ")),$BI$15:$BI$62,$BL$15:$BL$62),IFERROR(_xlfn.XLOOKUP(TRIM(SUBSTITUTE(U279,CHAR(160)," ")),$BJ$15:$BJ$62,$BL$15:$BL$62),_xlfn.XLOOKUP(TRIM(SUBSTITUTE(U279,CHAR(160)," ")),$BK$15:$BK$62,$BL$15:$BL$62))))*T279*IF(ISBLANK(Q279),1,Q279)+IFERROR(_xlfn.XLOOKUP("RECHERCHEX",TRIM(L279:AC279),L279:AC279),0),0))</f>
        <v/>
      </c>
      <c r="AL279" s="1030">
        <f t="shared" si="124"/>
        <v>0</v>
      </c>
      <c r="AM279" s="5254" t="str">
        <f t="shared" si="115"/>
        <v/>
      </c>
      <c r="AN279" s="1031">
        <f t="shared" si="125"/>
        <v>0</v>
      </c>
      <c r="AO279" s="1031">
        <f t="shared" si="126"/>
        <v>0</v>
      </c>
      <c r="AP279" s="1044">
        <f t="shared" si="127"/>
        <v>0</v>
      </c>
      <c r="AQ279" s="5257" t="str">
        <f t="shared" si="128"/>
        <v/>
      </c>
      <c r="AR279" s="1056"/>
      <c r="AS279" s="1056"/>
      <c r="AT279" s="1045">
        <f t="shared" si="129"/>
        <v>0</v>
      </c>
      <c r="AU279" s="1046">
        <f t="shared" si="130"/>
        <v>0</v>
      </c>
      <c r="AV279" s="1059" cm="1">
        <f t="array" ref="AV279">IF(AJ279&lt;&gt;1,0,IF(OR(AT279="",N(AT279)&lt;=0.000000001),"",IF(OR(AN279="",N(AN279)&lt;=0.000000001),0,IF(ISNUMBER(AT279),IFERROR(_xlfn.LET(_xlpm.ai_test,TRIM(AI279),_xlpm.r,IFERROR(_xlfn.XLOOKUP(_xlpm.ai_test,$BI$15:$BI$62,ROW($BI$15:$BI$62),0,1),IFERROR(_xlfn.XLOOKUP(_xlpm.ai_test,$BJ$15:$BJ$62,ROW($BJ$15:$BJ$62),0,1),_xlfn.XLOOKUP(_xlpm.ai_test,$BK$15:$BK$62,ROW($BK$15:$BK$62),0,1))),_xlpm.p,_xlpm.r-MIN(ROW($BI$15:$BI$62))+1,_xlpm.f,INDEX($BL$15:$BL$62,_xlpm.p),_xlpm.u,INDEX($BM$15:$BM$62,_xlpm.p),_xlpm.s,INDEX($BO$15:$BO$62,_xlpm.p),_xlpm.q,N(AT279)/_xlpm.f,IF(_xlpm.q&gt;=_xlpm.s,ROUND(_xlpm.q,1)&amp;" "&amp;_xlpm.ai_test&amp;" = "&amp;ROUND(_xlpm.q*_xlpm.f,1)&amp;" "&amp;_xlpm.u,ROUND(_xlpm.q,1)&amp;" "&amp;_xlpm.ai_test)),""),""))))</f>
        <v>0</v>
      </c>
      <c r="AW279" s="1047"/>
      <c r="AX279" s="1045">
        <f t="shared" si="131"/>
        <v>0</v>
      </c>
      <c r="AY279" s="1046" t="str">
        <f t="shared" si="132"/>
        <v/>
      </c>
      <c r="AZ279" s="1048">
        <f t="shared" ref="AZ279:AZ342" si="137">IF(ISNUMBER(BF279),IF(ABS(BF279)&lt;=0.000000001,0,BF279),0)</f>
        <v>0</v>
      </c>
      <c r="BA279" s="1049" t="str">
        <f t="shared" si="133"/>
        <v/>
      </c>
      <c r="BB279" s="1038"/>
      <c r="BC279" s="1050">
        <f t="shared" si="114"/>
        <v>0</v>
      </c>
      <c r="BD279" s="1040" t="str">
        <f t="shared" si="134"/>
        <v/>
      </c>
      <c r="BE279" s="227" t="s">
        <v>22</v>
      </c>
      <c r="BF279" s="1019">
        <f t="shared" si="135"/>
        <v>0</v>
      </c>
      <c r="BG279" s="1020">
        <f t="shared" si="136"/>
        <v>0</v>
      </c>
      <c r="BH279"/>
      <c r="BI279" s="709"/>
      <c r="BJ279" s="709"/>
      <c r="BK279" s="709"/>
      <c r="BL279" s="709"/>
      <c r="BM279" s="709"/>
      <c r="BN279" s="709"/>
      <c r="BO279" s="709"/>
      <c r="BP279" s="709"/>
      <c r="BQ279"/>
      <c r="BR279"/>
      <c r="BS279"/>
      <c r="BT279"/>
      <c r="BU279"/>
      <c r="BV279"/>
      <c r="BW279" s="959" t="str">
        <f t="shared" si="117"/>
        <v>►</v>
      </c>
      <c r="BX279"/>
      <c r="BY279"/>
      <c r="BZ279"/>
      <c r="CA279"/>
      <c r="CB279"/>
      <c r="CD279"/>
      <c r="CE279"/>
      <c r="CF279"/>
      <c r="CG279"/>
      <c r="CH279"/>
      <c r="CI279"/>
      <c r="CJ279"/>
      <c r="CK279" s="227"/>
      <c r="CL279"/>
      <c r="CM279"/>
      <c r="CN279"/>
      <c r="CO279"/>
      <c r="CP279"/>
      <c r="CQ279"/>
      <c r="CR279"/>
      <c r="CS279" s="227"/>
      <c r="CT279"/>
      <c r="CU279"/>
      <c r="CV279"/>
      <c r="CW279"/>
      <c r="CX279"/>
      <c r="CY279"/>
      <c r="CZ279"/>
      <c r="DA279" s="227"/>
      <c r="DB279" s="3">
        <v>1</v>
      </c>
      <c r="DC279" s="709"/>
      <c r="DD279" s="709"/>
    </row>
    <row r="280" spans="1:108" s="856" customFormat="1" ht="21" customHeight="1">
      <c r="A280" s="936" t="s">
        <v>22</v>
      </c>
      <c r="B280" s="952" t="str">
        <f t="shared" si="116"/>
        <v>►</v>
      </c>
      <c r="C280" s="993" cm="1">
        <f t="array" ref="C280">SUMPRODUCT(LEN(D280:J280))</f>
        <v>0</v>
      </c>
      <c r="D280" s="167"/>
      <c r="E280" s="172"/>
      <c r="F280" s="172"/>
      <c r="G280" s="172"/>
      <c r="H280" s="172"/>
      <c r="I280" s="172"/>
      <c r="J280" s="173"/>
      <c r="K280" s="442" t="s">
        <v>22</v>
      </c>
      <c r="L280" s="104" t="s">
        <v>16</v>
      </c>
      <c r="M280" s="1172"/>
      <c r="N280" s="1172"/>
      <c r="O280" s="1172"/>
      <c r="P280" s="1173"/>
      <c r="Q280" s="1174"/>
      <c r="R280" s="1175"/>
      <c r="S280" s="1176"/>
      <c r="T280" s="1177"/>
      <c r="U280" s="5248"/>
      <c r="V280" s="1177"/>
      <c r="W280" s="5249"/>
      <c r="X280" s="5208"/>
      <c r="Y280" s="5209"/>
      <c r="Z280" s="5210"/>
      <c r="AA280" s="5211"/>
      <c r="AB280" s="1178"/>
      <c r="AC280" s="1179"/>
      <c r="AD280" s="227" t="s">
        <v>22</v>
      </c>
      <c r="AE280" s="1027" t="str">
        <f t="shared" si="118"/>
        <v>►</v>
      </c>
      <c r="AF280" s="1028" t="str">
        <f t="shared" si="119"/>
        <v/>
      </c>
      <c r="AG280" s="1029" t="str">
        <f t="shared" si="120"/>
        <v/>
      </c>
      <c r="AH280" s="1028" t="str">
        <f t="shared" si="121"/>
        <v/>
      </c>
      <c r="AI280" s="1029" t="str">
        <f t="shared" si="122"/>
        <v/>
      </c>
      <c r="AJ280" s="1029">
        <f t="shared" si="123"/>
        <v>0</v>
      </c>
      <c r="AK280" s="1043" t="str" cm="1">
        <f t="array" ref="AK280">IF(AE280&lt;&gt;"A","",IFERROR((IFERROR(_xlfn.XLOOKUP(TRIM(SUBSTITUTE(U280,CHAR(160)," ")),$BI$15:$BI$62,$BL$15:$BL$62),IFERROR(_xlfn.XLOOKUP(TRIM(SUBSTITUTE(U280,CHAR(160)," ")),$BJ$15:$BJ$62,$BL$15:$BL$62),_xlfn.XLOOKUP(TRIM(SUBSTITUTE(U280,CHAR(160)," ")),$BK$15:$BK$62,$BL$15:$BL$62))))*T280*IF(ISBLANK(Q280),1,Q280)+IFERROR(_xlfn.XLOOKUP("RECHERCHEX",TRIM(L280:AC280),L280:AC280),0),0))</f>
        <v/>
      </c>
      <c r="AL280" s="1030">
        <f t="shared" si="124"/>
        <v>0</v>
      </c>
      <c r="AM280" s="5254" t="str">
        <f t="shared" si="115"/>
        <v/>
      </c>
      <c r="AN280" s="1031">
        <f t="shared" si="125"/>
        <v>0</v>
      </c>
      <c r="AO280" s="1031">
        <f t="shared" si="126"/>
        <v>0</v>
      </c>
      <c r="AP280" s="1032">
        <f t="shared" si="127"/>
        <v>0</v>
      </c>
      <c r="AQ280" s="5255" t="str">
        <f t="shared" si="128"/>
        <v/>
      </c>
      <c r="AR280" s="1056"/>
      <c r="AS280" s="1056"/>
      <c r="AT280" s="1034">
        <f t="shared" si="129"/>
        <v>0</v>
      </c>
      <c r="AU280" s="1035">
        <f t="shared" si="130"/>
        <v>0</v>
      </c>
      <c r="AV280" s="1057" cm="1">
        <f t="array" ref="AV280">IF(AJ280&lt;&gt;1,0,IF(OR(AT280="",N(AT280)&lt;=0.000000001),"",IF(OR(AN280="",N(AN280)&lt;=0.000000001),0,IF(ISNUMBER(AT280),IFERROR(_xlfn.LET(_xlpm.ai_test,TRIM(AI280),_xlpm.r,IFERROR(_xlfn.XLOOKUP(_xlpm.ai_test,$BI$15:$BI$62,ROW($BI$15:$BI$62),0,1),IFERROR(_xlfn.XLOOKUP(_xlpm.ai_test,$BJ$15:$BJ$62,ROW($BJ$15:$BJ$62),0,1),_xlfn.XLOOKUP(_xlpm.ai_test,$BK$15:$BK$62,ROW($BK$15:$BK$62),0,1))),_xlpm.p,_xlpm.r-MIN(ROW($BI$15:$BI$62))+1,_xlpm.f,INDEX($BL$15:$BL$62,_xlpm.p),_xlpm.u,INDEX($BM$15:$BM$62,_xlpm.p),_xlpm.s,INDEX($BO$15:$BO$62,_xlpm.p),_xlpm.q,N(AT280)/_xlpm.f,IF(_xlpm.q&gt;=_xlpm.s,ROUND(_xlpm.q,1)&amp;" "&amp;_xlpm.ai_test&amp;" = "&amp;ROUND(_xlpm.q*_xlpm.f,1)&amp;" "&amp;_xlpm.u,ROUND(_xlpm.q,1)&amp;" "&amp;_xlpm.ai_test)),""),""))))</f>
        <v>0</v>
      </c>
      <c r="AW280" s="1047"/>
      <c r="AX280" s="1034">
        <f t="shared" si="131"/>
        <v>0</v>
      </c>
      <c r="AY280" s="1035" t="str">
        <f t="shared" si="132"/>
        <v/>
      </c>
      <c r="AZ280" s="1036">
        <f t="shared" si="137"/>
        <v>0</v>
      </c>
      <c r="BA280" s="1037" t="str">
        <f t="shared" si="133"/>
        <v/>
      </c>
      <c r="BB280" s="1038"/>
      <c r="BC280" s="1039">
        <f t="shared" si="114"/>
        <v>0</v>
      </c>
      <c r="BD280" s="1040" t="str">
        <f t="shared" si="134"/>
        <v/>
      </c>
      <c r="BE280" s="227" t="s">
        <v>22</v>
      </c>
      <c r="BF280" s="1019">
        <f t="shared" si="135"/>
        <v>0</v>
      </c>
      <c r="BG280" s="1020">
        <f t="shared" si="136"/>
        <v>0</v>
      </c>
      <c r="BH280"/>
      <c r="BI280" s="709"/>
      <c r="BJ280" s="709"/>
      <c r="BK280" s="709"/>
      <c r="BL280" s="709"/>
      <c r="BM280" s="709"/>
      <c r="BN280" s="709"/>
      <c r="BO280" s="709"/>
      <c r="BP280" s="709"/>
      <c r="BQ280"/>
      <c r="BR280"/>
      <c r="BS280"/>
      <c r="BT280"/>
      <c r="BU280"/>
      <c r="BV280"/>
      <c r="BW280" s="959" t="str">
        <f t="shared" si="117"/>
        <v>►</v>
      </c>
      <c r="BX280"/>
      <c r="BY280"/>
      <c r="BZ280"/>
      <c r="CA280"/>
      <c r="CB280"/>
      <c r="CD280"/>
      <c r="CE280"/>
      <c r="CF280"/>
      <c r="CG280"/>
      <c r="CH280"/>
      <c r="CI280"/>
      <c r="CJ280"/>
      <c r="CK280" s="227"/>
      <c r="CL280"/>
      <c r="CM280"/>
      <c r="CN280"/>
      <c r="CO280"/>
      <c r="CP280"/>
      <c r="CQ280"/>
      <c r="CR280"/>
      <c r="CS280" s="227"/>
      <c r="CT280"/>
      <c r="CU280"/>
      <c r="CV280"/>
      <c r="CW280"/>
      <c r="CX280"/>
      <c r="CY280"/>
      <c r="CZ280"/>
      <c r="DA280" s="227"/>
      <c r="DB280" s="3">
        <v>1</v>
      </c>
      <c r="DC280" s="709"/>
      <c r="DD280" s="709"/>
    </row>
    <row r="281" spans="1:108" s="856" customFormat="1" ht="21" customHeight="1">
      <c r="A281" s="936" t="s">
        <v>22</v>
      </c>
      <c r="B281" s="952" t="str">
        <f t="shared" si="116"/>
        <v>►</v>
      </c>
      <c r="C281" s="993" cm="1">
        <f t="array" ref="C281">SUMPRODUCT(LEN(D281:J281))</f>
        <v>0</v>
      </c>
      <c r="D281" s="167"/>
      <c r="E281" s="172"/>
      <c r="F281" s="172"/>
      <c r="G281" s="172"/>
      <c r="H281" s="172"/>
      <c r="I281" s="172"/>
      <c r="J281" s="173"/>
      <c r="K281" s="442" t="s">
        <v>22</v>
      </c>
      <c r="L281" s="104" t="s">
        <v>16</v>
      </c>
      <c r="M281" s="1172"/>
      <c r="N281" s="1172"/>
      <c r="O281" s="1172"/>
      <c r="P281" s="1173"/>
      <c r="Q281" s="1174"/>
      <c r="R281" s="1175"/>
      <c r="S281" s="1176"/>
      <c r="T281" s="1177"/>
      <c r="U281" s="5248"/>
      <c r="V281" s="1177"/>
      <c r="W281" s="5249"/>
      <c r="X281" s="5208"/>
      <c r="Y281" s="5209"/>
      <c r="Z281" s="5210"/>
      <c r="AA281" s="5211"/>
      <c r="AB281" s="1178"/>
      <c r="AC281" s="1179"/>
      <c r="AD281" s="227" t="s">
        <v>22</v>
      </c>
      <c r="AE281" s="1027" t="str">
        <f t="shared" si="118"/>
        <v>►</v>
      </c>
      <c r="AF281" s="1028" t="str">
        <f t="shared" si="119"/>
        <v/>
      </c>
      <c r="AG281" s="1029" t="str">
        <f t="shared" si="120"/>
        <v/>
      </c>
      <c r="AH281" s="1028" t="str">
        <f t="shared" si="121"/>
        <v/>
      </c>
      <c r="AI281" s="1029" t="str">
        <f t="shared" si="122"/>
        <v/>
      </c>
      <c r="AJ281" s="1029">
        <f t="shared" si="123"/>
        <v>0</v>
      </c>
      <c r="AK281" s="1043" t="str" cm="1">
        <f t="array" ref="AK281">IF(AE281&lt;&gt;"A","",IFERROR((IFERROR(_xlfn.XLOOKUP(TRIM(SUBSTITUTE(U281,CHAR(160)," ")),$BI$15:$BI$62,$BL$15:$BL$62),IFERROR(_xlfn.XLOOKUP(TRIM(SUBSTITUTE(U281,CHAR(160)," ")),$BJ$15:$BJ$62,$BL$15:$BL$62),_xlfn.XLOOKUP(TRIM(SUBSTITUTE(U281,CHAR(160)," ")),$BK$15:$BK$62,$BL$15:$BL$62))))*T281*IF(ISBLANK(Q281),1,Q281)+IFERROR(_xlfn.XLOOKUP("RECHERCHEX",TRIM(L281:AC281),L281:AC281),0),0))</f>
        <v/>
      </c>
      <c r="AL281" s="1030">
        <f t="shared" si="124"/>
        <v>0</v>
      </c>
      <c r="AM281" s="5254" t="str">
        <f t="shared" si="115"/>
        <v/>
      </c>
      <c r="AN281" s="1031">
        <f t="shared" si="125"/>
        <v>0</v>
      </c>
      <c r="AO281" s="1031">
        <f t="shared" si="126"/>
        <v>0</v>
      </c>
      <c r="AP281" s="1044">
        <f t="shared" si="127"/>
        <v>0</v>
      </c>
      <c r="AQ281" s="5257" t="str">
        <f t="shared" si="128"/>
        <v/>
      </c>
      <c r="AR281" s="1056"/>
      <c r="AS281" s="1056"/>
      <c r="AT281" s="1045">
        <f t="shared" si="129"/>
        <v>0</v>
      </c>
      <c r="AU281" s="1046">
        <f t="shared" si="130"/>
        <v>0</v>
      </c>
      <c r="AV281" s="1059" cm="1">
        <f t="array" ref="AV281">IF(AJ281&lt;&gt;1,0,IF(OR(AT281="",N(AT281)&lt;=0.000000001),"",IF(OR(AN281="",N(AN281)&lt;=0.000000001),0,IF(ISNUMBER(AT281),IFERROR(_xlfn.LET(_xlpm.ai_test,TRIM(AI281),_xlpm.r,IFERROR(_xlfn.XLOOKUP(_xlpm.ai_test,$BI$15:$BI$62,ROW($BI$15:$BI$62),0,1),IFERROR(_xlfn.XLOOKUP(_xlpm.ai_test,$BJ$15:$BJ$62,ROW($BJ$15:$BJ$62),0,1),_xlfn.XLOOKUP(_xlpm.ai_test,$BK$15:$BK$62,ROW($BK$15:$BK$62),0,1))),_xlpm.p,_xlpm.r-MIN(ROW($BI$15:$BI$62))+1,_xlpm.f,INDEX($BL$15:$BL$62,_xlpm.p),_xlpm.u,INDEX($BM$15:$BM$62,_xlpm.p),_xlpm.s,INDEX($BO$15:$BO$62,_xlpm.p),_xlpm.q,N(AT281)/_xlpm.f,IF(_xlpm.q&gt;=_xlpm.s,ROUND(_xlpm.q,1)&amp;" "&amp;_xlpm.ai_test&amp;" = "&amp;ROUND(_xlpm.q*_xlpm.f,1)&amp;" "&amp;_xlpm.u,ROUND(_xlpm.q,1)&amp;" "&amp;_xlpm.ai_test)),""),""))))</f>
        <v>0</v>
      </c>
      <c r="AW281" s="1047"/>
      <c r="AX281" s="1045">
        <f t="shared" si="131"/>
        <v>0</v>
      </c>
      <c r="AY281" s="1046" t="str">
        <f t="shared" si="132"/>
        <v/>
      </c>
      <c r="AZ281" s="1048">
        <f t="shared" si="137"/>
        <v>0</v>
      </c>
      <c r="BA281" s="1049" t="str">
        <f t="shared" si="133"/>
        <v/>
      </c>
      <c r="BB281" s="1038"/>
      <c r="BC281" s="1050">
        <f t="shared" si="114"/>
        <v>0</v>
      </c>
      <c r="BD281" s="1040" t="str">
        <f t="shared" si="134"/>
        <v/>
      </c>
      <c r="BE281" s="227" t="s">
        <v>22</v>
      </c>
      <c r="BF281" s="1019">
        <f t="shared" si="135"/>
        <v>0</v>
      </c>
      <c r="BG281" s="1020">
        <f t="shared" si="136"/>
        <v>0</v>
      </c>
      <c r="BH281"/>
      <c r="BI281" s="709"/>
      <c r="BJ281" s="709"/>
      <c r="BK281" s="709"/>
      <c r="BL281" s="709"/>
      <c r="BM281" s="709"/>
      <c r="BN281" s="709"/>
      <c r="BO281" s="709"/>
      <c r="BP281" s="709"/>
      <c r="BQ281"/>
      <c r="BR281"/>
      <c r="BS281"/>
      <c r="BT281"/>
      <c r="BU281"/>
      <c r="BV281"/>
      <c r="BW281" s="959" t="str">
        <f t="shared" si="117"/>
        <v>►</v>
      </c>
      <c r="BX281"/>
      <c r="BY281"/>
      <c r="BZ281"/>
      <c r="CA281"/>
      <c r="CB281"/>
      <c r="CD281"/>
      <c r="CE281"/>
      <c r="CF281"/>
      <c r="CG281"/>
      <c r="CH281"/>
      <c r="CI281"/>
      <c r="CJ281"/>
      <c r="CK281" s="227"/>
      <c r="CL281"/>
      <c r="CM281"/>
      <c r="CN281"/>
      <c r="CO281"/>
      <c r="CP281"/>
      <c r="CQ281"/>
      <c r="CR281"/>
      <c r="CS281" s="227"/>
      <c r="CT281"/>
      <c r="CU281"/>
      <c r="CV281"/>
      <c r="CW281"/>
      <c r="CX281"/>
      <c r="CY281"/>
      <c r="CZ281"/>
      <c r="DA281" s="227"/>
      <c r="DB281" s="3">
        <v>1</v>
      </c>
      <c r="DC281" s="709"/>
      <c r="DD281" s="709"/>
    </row>
    <row r="282" spans="1:108" s="856" customFormat="1" ht="21" customHeight="1">
      <c r="A282" s="936" t="s">
        <v>22</v>
      </c>
      <c r="B282" s="952" t="str">
        <f t="shared" si="116"/>
        <v>►</v>
      </c>
      <c r="C282" s="993" cm="1">
        <f t="array" ref="C282">SUMPRODUCT(LEN(D282:J282))</f>
        <v>0</v>
      </c>
      <c r="D282" s="167"/>
      <c r="E282" s="172"/>
      <c r="F282" s="172"/>
      <c r="G282" s="172"/>
      <c r="H282" s="172"/>
      <c r="I282" s="172"/>
      <c r="J282" s="173"/>
      <c r="K282" s="442" t="s">
        <v>22</v>
      </c>
      <c r="L282" s="104" t="s">
        <v>16</v>
      </c>
      <c r="M282" s="1172"/>
      <c r="N282" s="1172"/>
      <c r="O282" s="1172"/>
      <c r="P282" s="1173"/>
      <c r="Q282" s="1174"/>
      <c r="R282" s="1175"/>
      <c r="S282" s="1176"/>
      <c r="T282" s="1177"/>
      <c r="U282" s="5248"/>
      <c r="V282" s="1177"/>
      <c r="W282" s="5249"/>
      <c r="X282" s="5208"/>
      <c r="Y282" s="5209"/>
      <c r="Z282" s="5210"/>
      <c r="AA282" s="5211"/>
      <c r="AB282" s="1178"/>
      <c r="AC282" s="1179"/>
      <c r="AD282" s="227" t="s">
        <v>22</v>
      </c>
      <c r="AE282" s="1027" t="str">
        <f t="shared" si="118"/>
        <v>►</v>
      </c>
      <c r="AF282" s="1028" t="str">
        <f t="shared" si="119"/>
        <v/>
      </c>
      <c r="AG282" s="1029" t="str">
        <f t="shared" si="120"/>
        <v/>
      </c>
      <c r="AH282" s="1028" t="str">
        <f t="shared" si="121"/>
        <v/>
      </c>
      <c r="AI282" s="1029" t="str">
        <f t="shared" si="122"/>
        <v/>
      </c>
      <c r="AJ282" s="1029">
        <f t="shared" si="123"/>
        <v>0</v>
      </c>
      <c r="AK282" s="1043" t="str" cm="1">
        <f t="array" ref="AK282">IF(AE282&lt;&gt;"A","",IFERROR((IFERROR(_xlfn.XLOOKUP(TRIM(SUBSTITUTE(U282,CHAR(160)," ")),$BI$15:$BI$62,$BL$15:$BL$62),IFERROR(_xlfn.XLOOKUP(TRIM(SUBSTITUTE(U282,CHAR(160)," ")),$BJ$15:$BJ$62,$BL$15:$BL$62),_xlfn.XLOOKUP(TRIM(SUBSTITUTE(U282,CHAR(160)," ")),$BK$15:$BK$62,$BL$15:$BL$62))))*T282*IF(ISBLANK(Q282),1,Q282)+IFERROR(_xlfn.XLOOKUP("RECHERCHEX",TRIM(L282:AC282),L282:AC282),0),0))</f>
        <v/>
      </c>
      <c r="AL282" s="1030">
        <f t="shared" si="124"/>
        <v>0</v>
      </c>
      <c r="AM282" s="5254" t="str">
        <f t="shared" si="115"/>
        <v/>
      </c>
      <c r="AN282" s="1031">
        <f t="shared" si="125"/>
        <v>0</v>
      </c>
      <c r="AO282" s="1031">
        <f t="shared" si="126"/>
        <v>0</v>
      </c>
      <c r="AP282" s="1032">
        <f t="shared" si="127"/>
        <v>0</v>
      </c>
      <c r="AQ282" s="5255" t="str">
        <f t="shared" si="128"/>
        <v/>
      </c>
      <c r="AR282" s="1056"/>
      <c r="AS282" s="1056"/>
      <c r="AT282" s="1034">
        <f t="shared" si="129"/>
        <v>0</v>
      </c>
      <c r="AU282" s="1035">
        <f t="shared" si="130"/>
        <v>0</v>
      </c>
      <c r="AV282" s="1057" cm="1">
        <f t="array" ref="AV282">IF(AJ282&lt;&gt;1,0,IF(OR(AT282="",N(AT282)&lt;=0.000000001),"",IF(OR(AN282="",N(AN282)&lt;=0.000000001),0,IF(ISNUMBER(AT282),IFERROR(_xlfn.LET(_xlpm.ai_test,TRIM(AI282),_xlpm.r,IFERROR(_xlfn.XLOOKUP(_xlpm.ai_test,$BI$15:$BI$62,ROW($BI$15:$BI$62),0,1),IFERROR(_xlfn.XLOOKUP(_xlpm.ai_test,$BJ$15:$BJ$62,ROW($BJ$15:$BJ$62),0,1),_xlfn.XLOOKUP(_xlpm.ai_test,$BK$15:$BK$62,ROW($BK$15:$BK$62),0,1))),_xlpm.p,_xlpm.r-MIN(ROW($BI$15:$BI$62))+1,_xlpm.f,INDEX($BL$15:$BL$62,_xlpm.p),_xlpm.u,INDEX($BM$15:$BM$62,_xlpm.p),_xlpm.s,INDEX($BO$15:$BO$62,_xlpm.p),_xlpm.q,N(AT282)/_xlpm.f,IF(_xlpm.q&gt;=_xlpm.s,ROUND(_xlpm.q,1)&amp;" "&amp;_xlpm.ai_test&amp;" = "&amp;ROUND(_xlpm.q*_xlpm.f,1)&amp;" "&amp;_xlpm.u,ROUND(_xlpm.q,1)&amp;" "&amp;_xlpm.ai_test)),""),""))))</f>
        <v>0</v>
      </c>
      <c r="AW282" s="1047"/>
      <c r="AX282" s="1034">
        <f t="shared" si="131"/>
        <v>0</v>
      </c>
      <c r="AY282" s="1035" t="str">
        <f t="shared" si="132"/>
        <v/>
      </c>
      <c r="AZ282" s="1036">
        <f t="shared" si="137"/>
        <v>0</v>
      </c>
      <c r="BA282" s="1037" t="str">
        <f t="shared" si="133"/>
        <v/>
      </c>
      <c r="BB282" s="1038"/>
      <c r="BC282" s="1039">
        <f t="shared" si="114"/>
        <v>0</v>
      </c>
      <c r="BD282" s="1040" t="str">
        <f t="shared" si="134"/>
        <v/>
      </c>
      <c r="BE282" s="227" t="s">
        <v>22</v>
      </c>
      <c r="BF282" s="1019">
        <f t="shared" si="135"/>
        <v>0</v>
      </c>
      <c r="BG282" s="1020">
        <f t="shared" si="136"/>
        <v>0</v>
      </c>
      <c r="BH282"/>
      <c r="BI282" s="709"/>
      <c r="BJ282" s="709"/>
      <c r="BK282" s="709"/>
      <c r="BL282" s="709"/>
      <c r="BM282" s="709"/>
      <c r="BN282" s="709"/>
      <c r="BO282" s="709"/>
      <c r="BP282" s="709"/>
      <c r="BQ282"/>
      <c r="BR282"/>
      <c r="BS282"/>
      <c r="BT282"/>
      <c r="BU282"/>
      <c r="BV282"/>
      <c r="BW282" s="959" t="str">
        <f t="shared" si="117"/>
        <v>►</v>
      </c>
      <c r="BX282"/>
      <c r="BY282"/>
      <c r="BZ282"/>
      <c r="CA282"/>
      <c r="CB282"/>
      <c r="CD282"/>
      <c r="CE282"/>
      <c r="CF282"/>
      <c r="CG282"/>
      <c r="CH282"/>
      <c r="CI282"/>
      <c r="CJ282"/>
      <c r="CK282" s="227"/>
      <c r="CL282"/>
      <c r="CM282"/>
      <c r="CN282"/>
      <c r="CO282"/>
      <c r="CP282"/>
      <c r="CQ282"/>
      <c r="CR282"/>
      <c r="CS282" s="227"/>
      <c r="CT282"/>
      <c r="CU282"/>
      <c r="CV282"/>
      <c r="CW282"/>
      <c r="CX282"/>
      <c r="CY282"/>
      <c r="CZ282"/>
      <c r="DA282" s="227"/>
      <c r="DB282" s="3">
        <v>1</v>
      </c>
      <c r="DC282" s="709"/>
      <c r="DD282" s="709"/>
    </row>
    <row r="283" spans="1:108" s="856" customFormat="1" ht="21" customHeight="1">
      <c r="A283" s="936" t="s">
        <v>22</v>
      </c>
      <c r="B283" s="952" t="str">
        <f t="shared" si="116"/>
        <v>►</v>
      </c>
      <c r="C283" s="993" cm="1">
        <f t="array" ref="C283">SUMPRODUCT(LEN(D283:J283))</f>
        <v>0</v>
      </c>
      <c r="D283" s="167"/>
      <c r="E283" s="172"/>
      <c r="F283" s="172"/>
      <c r="G283" s="172"/>
      <c r="H283" s="172"/>
      <c r="I283" s="172"/>
      <c r="J283" s="173"/>
      <c r="K283" s="442" t="s">
        <v>22</v>
      </c>
      <c r="L283" s="104" t="s">
        <v>16</v>
      </c>
      <c r="M283" s="1172"/>
      <c r="N283" s="1172"/>
      <c r="O283" s="1172"/>
      <c r="P283" s="1173"/>
      <c r="Q283" s="1174"/>
      <c r="R283" s="1175"/>
      <c r="S283" s="1176"/>
      <c r="T283" s="1177"/>
      <c r="U283" s="5248"/>
      <c r="V283" s="1177"/>
      <c r="W283" s="5249"/>
      <c r="X283" s="5208"/>
      <c r="Y283" s="5209"/>
      <c r="Z283" s="5210"/>
      <c r="AA283" s="5211"/>
      <c r="AB283" s="1178"/>
      <c r="AC283" s="1179"/>
      <c r="AD283" s="227" t="s">
        <v>22</v>
      </c>
      <c r="AE283" s="1027" t="str">
        <f t="shared" si="118"/>
        <v>►</v>
      </c>
      <c r="AF283" s="1028" t="str">
        <f t="shared" si="119"/>
        <v/>
      </c>
      <c r="AG283" s="1029" t="str">
        <f t="shared" si="120"/>
        <v/>
      </c>
      <c r="AH283" s="1028" t="str">
        <f t="shared" si="121"/>
        <v/>
      </c>
      <c r="AI283" s="1029" t="str">
        <f t="shared" si="122"/>
        <v/>
      </c>
      <c r="AJ283" s="1029">
        <f t="shared" si="123"/>
        <v>0</v>
      </c>
      <c r="AK283" s="1043" t="str" cm="1">
        <f t="array" ref="AK283">IF(AE283&lt;&gt;"A","",IFERROR((IFERROR(_xlfn.XLOOKUP(TRIM(SUBSTITUTE(U283,CHAR(160)," ")),$BI$15:$BI$62,$BL$15:$BL$62),IFERROR(_xlfn.XLOOKUP(TRIM(SUBSTITUTE(U283,CHAR(160)," ")),$BJ$15:$BJ$62,$BL$15:$BL$62),_xlfn.XLOOKUP(TRIM(SUBSTITUTE(U283,CHAR(160)," ")),$BK$15:$BK$62,$BL$15:$BL$62))))*T283*IF(ISBLANK(Q283),1,Q283)+IFERROR(_xlfn.XLOOKUP("RECHERCHEX",TRIM(L283:AC283),L283:AC283),0),0))</f>
        <v/>
      </c>
      <c r="AL283" s="1030">
        <f t="shared" si="124"/>
        <v>0</v>
      </c>
      <c r="AM283" s="5254" t="str">
        <f t="shared" si="115"/>
        <v/>
      </c>
      <c r="AN283" s="1031">
        <f t="shared" si="125"/>
        <v>0</v>
      </c>
      <c r="AO283" s="1031">
        <f t="shared" si="126"/>
        <v>0</v>
      </c>
      <c r="AP283" s="1044">
        <f t="shared" si="127"/>
        <v>0</v>
      </c>
      <c r="AQ283" s="5257" t="str">
        <f t="shared" si="128"/>
        <v/>
      </c>
      <c r="AR283" s="1056"/>
      <c r="AS283" s="1056"/>
      <c r="AT283" s="1045">
        <f t="shared" si="129"/>
        <v>0</v>
      </c>
      <c r="AU283" s="1046">
        <f t="shared" si="130"/>
        <v>0</v>
      </c>
      <c r="AV283" s="1059" cm="1">
        <f t="array" ref="AV283">IF(AJ283&lt;&gt;1,0,IF(OR(AT283="",N(AT283)&lt;=0.000000001),"",IF(OR(AN283="",N(AN283)&lt;=0.000000001),0,IF(ISNUMBER(AT283),IFERROR(_xlfn.LET(_xlpm.ai_test,TRIM(AI283),_xlpm.r,IFERROR(_xlfn.XLOOKUP(_xlpm.ai_test,$BI$15:$BI$62,ROW($BI$15:$BI$62),0,1),IFERROR(_xlfn.XLOOKUP(_xlpm.ai_test,$BJ$15:$BJ$62,ROW($BJ$15:$BJ$62),0,1),_xlfn.XLOOKUP(_xlpm.ai_test,$BK$15:$BK$62,ROW($BK$15:$BK$62),0,1))),_xlpm.p,_xlpm.r-MIN(ROW($BI$15:$BI$62))+1,_xlpm.f,INDEX($BL$15:$BL$62,_xlpm.p),_xlpm.u,INDEX($BM$15:$BM$62,_xlpm.p),_xlpm.s,INDEX($BO$15:$BO$62,_xlpm.p),_xlpm.q,N(AT283)/_xlpm.f,IF(_xlpm.q&gt;=_xlpm.s,ROUND(_xlpm.q,1)&amp;" "&amp;_xlpm.ai_test&amp;" = "&amp;ROUND(_xlpm.q*_xlpm.f,1)&amp;" "&amp;_xlpm.u,ROUND(_xlpm.q,1)&amp;" "&amp;_xlpm.ai_test)),""),""))))</f>
        <v>0</v>
      </c>
      <c r="AW283" s="1047"/>
      <c r="AX283" s="1045">
        <f t="shared" si="131"/>
        <v>0</v>
      </c>
      <c r="AY283" s="1046" t="str">
        <f t="shared" si="132"/>
        <v/>
      </c>
      <c r="AZ283" s="1048">
        <f t="shared" si="137"/>
        <v>0</v>
      </c>
      <c r="BA283" s="1049" t="str">
        <f t="shared" si="133"/>
        <v/>
      </c>
      <c r="BB283" s="1038"/>
      <c r="BC283" s="1050">
        <f t="shared" ref="BC283:BC346" si="138">IF(OR(AN283=0,ISBLANK(BB283),ISTEXT(AZ283)),0,(IF(AT283=0,AZ283,AT283)*BB283))</f>
        <v>0</v>
      </c>
      <c r="BD283" s="1040" t="str">
        <f t="shared" si="134"/>
        <v/>
      </c>
      <c r="BE283" s="227" t="s">
        <v>22</v>
      </c>
      <c r="BF283" s="1019">
        <f t="shared" si="135"/>
        <v>0</v>
      </c>
      <c r="BG283" s="1020">
        <f t="shared" si="136"/>
        <v>0</v>
      </c>
      <c r="BH283"/>
      <c r="BI283" s="709"/>
      <c r="BJ283" s="709"/>
      <c r="BK283" s="709"/>
      <c r="BL283" s="709"/>
      <c r="BM283" s="709"/>
      <c r="BN283" s="709"/>
      <c r="BO283" s="709"/>
      <c r="BP283" s="709"/>
      <c r="BQ283"/>
      <c r="BR283"/>
      <c r="BS283"/>
      <c r="BT283"/>
      <c r="BU283"/>
      <c r="BV283"/>
      <c r="BW283" s="959" t="str">
        <f t="shared" si="117"/>
        <v>►</v>
      </c>
      <c r="BX283"/>
      <c r="BY283"/>
      <c r="BZ283"/>
      <c r="CA283"/>
      <c r="CB283"/>
      <c r="CD283"/>
      <c r="CE283"/>
      <c r="CF283"/>
      <c r="CG283"/>
      <c r="CH283"/>
      <c r="CI283"/>
      <c r="CJ283"/>
      <c r="CK283" s="227"/>
      <c r="CL283"/>
      <c r="CM283"/>
      <c r="CN283"/>
      <c r="CO283"/>
      <c r="CP283"/>
      <c r="CQ283"/>
      <c r="CR283"/>
      <c r="CS283" s="227"/>
      <c r="CT283"/>
      <c r="CU283"/>
      <c r="CV283"/>
      <c r="CW283"/>
      <c r="CX283"/>
      <c r="CY283"/>
      <c r="CZ283"/>
      <c r="DA283" s="227"/>
      <c r="DB283" s="3">
        <v>1</v>
      </c>
      <c r="DC283" s="709"/>
      <c r="DD283" s="709"/>
    </row>
    <row r="284" spans="1:108" s="856" customFormat="1" ht="21" customHeight="1">
      <c r="A284" s="936" t="s">
        <v>22</v>
      </c>
      <c r="B284" s="952" t="str">
        <f t="shared" si="116"/>
        <v>►</v>
      </c>
      <c r="C284" s="993" cm="1">
        <f t="array" ref="C284">SUMPRODUCT(LEN(D284:J284))</f>
        <v>0</v>
      </c>
      <c r="D284" s="167"/>
      <c r="E284" s="172"/>
      <c r="F284" s="172"/>
      <c r="G284" s="172"/>
      <c r="H284" s="172"/>
      <c r="I284" s="172"/>
      <c r="J284" s="173"/>
      <c r="K284" s="442" t="s">
        <v>22</v>
      </c>
      <c r="L284" s="104" t="s">
        <v>16</v>
      </c>
      <c r="M284" s="1172"/>
      <c r="N284" s="1172"/>
      <c r="O284" s="1172"/>
      <c r="P284" s="1173"/>
      <c r="Q284" s="1174"/>
      <c r="R284" s="1175"/>
      <c r="S284" s="1176"/>
      <c r="T284" s="1177"/>
      <c r="U284" s="5248"/>
      <c r="V284" s="1177"/>
      <c r="W284" s="5249"/>
      <c r="X284" s="5208"/>
      <c r="Y284" s="5209"/>
      <c r="Z284" s="5210"/>
      <c r="AA284" s="5211"/>
      <c r="AB284" s="1178"/>
      <c r="AC284" s="1179"/>
      <c r="AD284" s="227" t="s">
        <v>22</v>
      </c>
      <c r="AE284" s="1027" t="str">
        <f t="shared" si="118"/>
        <v>►</v>
      </c>
      <c r="AF284" s="1028" t="str">
        <f t="shared" si="119"/>
        <v/>
      </c>
      <c r="AG284" s="1029" t="str">
        <f t="shared" si="120"/>
        <v/>
      </c>
      <c r="AH284" s="1028" t="str">
        <f t="shared" si="121"/>
        <v/>
      </c>
      <c r="AI284" s="1029" t="str">
        <f t="shared" si="122"/>
        <v/>
      </c>
      <c r="AJ284" s="1029">
        <f t="shared" si="123"/>
        <v>0</v>
      </c>
      <c r="AK284" s="1043" t="str" cm="1">
        <f t="array" ref="AK284">IF(AE284&lt;&gt;"A","",IFERROR((IFERROR(_xlfn.XLOOKUP(TRIM(SUBSTITUTE(U284,CHAR(160)," ")),$BI$15:$BI$62,$BL$15:$BL$62),IFERROR(_xlfn.XLOOKUP(TRIM(SUBSTITUTE(U284,CHAR(160)," ")),$BJ$15:$BJ$62,$BL$15:$BL$62),_xlfn.XLOOKUP(TRIM(SUBSTITUTE(U284,CHAR(160)," ")),$BK$15:$BK$62,$BL$15:$BL$62))))*T284*IF(ISBLANK(Q284),1,Q284)+IFERROR(_xlfn.XLOOKUP("RECHERCHEX",TRIM(L284:AC284),L284:AC284),0),0))</f>
        <v/>
      </c>
      <c r="AL284" s="1030">
        <f t="shared" si="124"/>
        <v>0</v>
      </c>
      <c r="AM284" s="5254" t="str">
        <f t="shared" si="115"/>
        <v/>
      </c>
      <c r="AN284" s="1031">
        <f t="shared" si="125"/>
        <v>0</v>
      </c>
      <c r="AO284" s="1031">
        <f t="shared" si="126"/>
        <v>0</v>
      </c>
      <c r="AP284" s="1032">
        <f t="shared" si="127"/>
        <v>0</v>
      </c>
      <c r="AQ284" s="5255" t="str">
        <f t="shared" si="128"/>
        <v/>
      </c>
      <c r="AR284" s="1056"/>
      <c r="AS284" s="1056"/>
      <c r="AT284" s="1034">
        <f t="shared" si="129"/>
        <v>0</v>
      </c>
      <c r="AU284" s="1035">
        <f t="shared" si="130"/>
        <v>0</v>
      </c>
      <c r="AV284" s="1057" cm="1">
        <f t="array" ref="AV284">IF(AJ284&lt;&gt;1,0,IF(OR(AT284="",N(AT284)&lt;=0.000000001),"",IF(OR(AN284="",N(AN284)&lt;=0.000000001),0,IF(ISNUMBER(AT284),IFERROR(_xlfn.LET(_xlpm.ai_test,TRIM(AI284),_xlpm.r,IFERROR(_xlfn.XLOOKUP(_xlpm.ai_test,$BI$15:$BI$62,ROW($BI$15:$BI$62),0,1),IFERROR(_xlfn.XLOOKUP(_xlpm.ai_test,$BJ$15:$BJ$62,ROW($BJ$15:$BJ$62),0,1),_xlfn.XLOOKUP(_xlpm.ai_test,$BK$15:$BK$62,ROW($BK$15:$BK$62),0,1))),_xlpm.p,_xlpm.r-MIN(ROW($BI$15:$BI$62))+1,_xlpm.f,INDEX($BL$15:$BL$62,_xlpm.p),_xlpm.u,INDEX($BM$15:$BM$62,_xlpm.p),_xlpm.s,INDEX($BO$15:$BO$62,_xlpm.p),_xlpm.q,N(AT284)/_xlpm.f,IF(_xlpm.q&gt;=_xlpm.s,ROUND(_xlpm.q,1)&amp;" "&amp;_xlpm.ai_test&amp;" = "&amp;ROUND(_xlpm.q*_xlpm.f,1)&amp;" "&amp;_xlpm.u,ROUND(_xlpm.q,1)&amp;" "&amp;_xlpm.ai_test)),""),""))))</f>
        <v>0</v>
      </c>
      <c r="AW284" s="1047"/>
      <c r="AX284" s="1034">
        <f t="shared" si="131"/>
        <v>0</v>
      </c>
      <c r="AY284" s="1035" t="str">
        <f t="shared" si="132"/>
        <v/>
      </c>
      <c r="AZ284" s="1036">
        <f t="shared" si="137"/>
        <v>0</v>
      </c>
      <c r="BA284" s="1037" t="str">
        <f t="shared" si="133"/>
        <v/>
      </c>
      <c r="BB284" s="1038"/>
      <c r="BC284" s="1039">
        <f t="shared" si="138"/>
        <v>0</v>
      </c>
      <c r="BD284" s="1040" t="str">
        <f t="shared" si="134"/>
        <v/>
      </c>
      <c r="BE284" s="227" t="s">
        <v>22</v>
      </c>
      <c r="BF284" s="1019">
        <f t="shared" si="135"/>
        <v>0</v>
      </c>
      <c r="BG284" s="1020">
        <f t="shared" si="136"/>
        <v>0</v>
      </c>
      <c r="BH284"/>
      <c r="BI284" s="709"/>
      <c r="BJ284" s="709"/>
      <c r="BK284" s="709"/>
      <c r="BL284" s="709"/>
      <c r="BM284" s="709"/>
      <c r="BN284" s="709"/>
      <c r="BO284" s="709"/>
      <c r="BP284" s="709"/>
      <c r="BQ284"/>
      <c r="BR284"/>
      <c r="BS284"/>
      <c r="BT284"/>
      <c r="BU284"/>
      <c r="BV284"/>
      <c r="BW284" s="959" t="str">
        <f t="shared" si="117"/>
        <v>►</v>
      </c>
      <c r="BX284"/>
      <c r="BY284"/>
      <c r="BZ284"/>
      <c r="CA284"/>
      <c r="CB284"/>
      <c r="CD284"/>
      <c r="CE284"/>
      <c r="CF284"/>
      <c r="CG284"/>
      <c r="CH284"/>
      <c r="CI284"/>
      <c r="CJ284"/>
      <c r="CK284" s="227"/>
      <c r="CL284"/>
      <c r="CM284"/>
      <c r="CN284"/>
      <c r="CO284"/>
      <c r="CP284"/>
      <c r="CQ284"/>
      <c r="CR284"/>
      <c r="CS284" s="227"/>
      <c r="CT284"/>
      <c r="CU284"/>
      <c r="CV284"/>
      <c r="CW284"/>
      <c r="CX284"/>
      <c r="CY284"/>
      <c r="CZ284"/>
      <c r="DA284" s="227"/>
      <c r="DB284" s="3">
        <v>1</v>
      </c>
      <c r="DC284" s="709"/>
      <c r="DD284" s="709"/>
    </row>
    <row r="285" spans="1:108" s="856" customFormat="1" ht="21" customHeight="1">
      <c r="A285" s="936" t="s">
        <v>22</v>
      </c>
      <c r="B285" s="952" t="str">
        <f t="shared" si="116"/>
        <v>►</v>
      </c>
      <c r="C285" s="993" cm="1">
        <f t="array" ref="C285">SUMPRODUCT(LEN(D285:J285))</f>
        <v>0</v>
      </c>
      <c r="D285" s="167"/>
      <c r="E285" s="172"/>
      <c r="F285" s="172"/>
      <c r="G285" s="172"/>
      <c r="H285" s="172"/>
      <c r="I285" s="172"/>
      <c r="J285" s="173"/>
      <c r="K285" s="442" t="s">
        <v>22</v>
      </c>
      <c r="L285" s="104" t="s">
        <v>16</v>
      </c>
      <c r="M285" s="1172"/>
      <c r="N285" s="1172"/>
      <c r="O285" s="1172"/>
      <c r="P285" s="1173"/>
      <c r="Q285" s="1174"/>
      <c r="R285" s="1175"/>
      <c r="S285" s="1176"/>
      <c r="T285" s="1177"/>
      <c r="U285" s="5248"/>
      <c r="V285" s="1177"/>
      <c r="W285" s="5249"/>
      <c r="X285" s="5208"/>
      <c r="Y285" s="5209"/>
      <c r="Z285" s="5210"/>
      <c r="AA285" s="5211"/>
      <c r="AB285" s="1178"/>
      <c r="AC285" s="1179"/>
      <c r="AD285" s="227" t="s">
        <v>22</v>
      </c>
      <c r="AE285" s="1027" t="str">
        <f t="shared" si="118"/>
        <v>►</v>
      </c>
      <c r="AF285" s="1028" t="str">
        <f t="shared" si="119"/>
        <v/>
      </c>
      <c r="AG285" s="1029" t="str">
        <f t="shared" si="120"/>
        <v/>
      </c>
      <c r="AH285" s="1028" t="str">
        <f t="shared" si="121"/>
        <v/>
      </c>
      <c r="AI285" s="1029" t="str">
        <f t="shared" si="122"/>
        <v/>
      </c>
      <c r="AJ285" s="1029">
        <f t="shared" si="123"/>
        <v>0</v>
      </c>
      <c r="AK285" s="1043" t="str" cm="1">
        <f t="array" ref="AK285">IF(AE285&lt;&gt;"A","",IFERROR((IFERROR(_xlfn.XLOOKUP(TRIM(SUBSTITUTE(U285,CHAR(160)," ")),$BI$15:$BI$62,$BL$15:$BL$62),IFERROR(_xlfn.XLOOKUP(TRIM(SUBSTITUTE(U285,CHAR(160)," ")),$BJ$15:$BJ$62,$BL$15:$BL$62),_xlfn.XLOOKUP(TRIM(SUBSTITUTE(U285,CHAR(160)," ")),$BK$15:$BK$62,$BL$15:$BL$62))))*T285*IF(ISBLANK(Q285),1,Q285)+IFERROR(_xlfn.XLOOKUP("RECHERCHEX",TRIM(L285:AC285),L285:AC285),0),0))</f>
        <v/>
      </c>
      <c r="AL285" s="1030">
        <f t="shared" si="124"/>
        <v>0</v>
      </c>
      <c r="AM285" s="5254" t="str">
        <f t="shared" si="115"/>
        <v/>
      </c>
      <c r="AN285" s="1031">
        <f t="shared" si="125"/>
        <v>0</v>
      </c>
      <c r="AO285" s="1031">
        <f t="shared" si="126"/>
        <v>0</v>
      </c>
      <c r="AP285" s="1044">
        <f t="shared" si="127"/>
        <v>0</v>
      </c>
      <c r="AQ285" s="5257" t="str">
        <f t="shared" si="128"/>
        <v/>
      </c>
      <c r="AR285" s="1056"/>
      <c r="AS285" s="1056"/>
      <c r="AT285" s="1045">
        <f t="shared" si="129"/>
        <v>0</v>
      </c>
      <c r="AU285" s="1046">
        <f t="shared" si="130"/>
        <v>0</v>
      </c>
      <c r="AV285" s="1059" cm="1">
        <f t="array" ref="AV285">IF(AJ285&lt;&gt;1,0,IF(OR(AT285="",N(AT285)&lt;=0.000000001),"",IF(OR(AN285="",N(AN285)&lt;=0.000000001),0,IF(ISNUMBER(AT285),IFERROR(_xlfn.LET(_xlpm.ai_test,TRIM(AI285),_xlpm.r,IFERROR(_xlfn.XLOOKUP(_xlpm.ai_test,$BI$15:$BI$62,ROW($BI$15:$BI$62),0,1),IFERROR(_xlfn.XLOOKUP(_xlpm.ai_test,$BJ$15:$BJ$62,ROW($BJ$15:$BJ$62),0,1),_xlfn.XLOOKUP(_xlpm.ai_test,$BK$15:$BK$62,ROW($BK$15:$BK$62),0,1))),_xlpm.p,_xlpm.r-MIN(ROW($BI$15:$BI$62))+1,_xlpm.f,INDEX($BL$15:$BL$62,_xlpm.p),_xlpm.u,INDEX($BM$15:$BM$62,_xlpm.p),_xlpm.s,INDEX($BO$15:$BO$62,_xlpm.p),_xlpm.q,N(AT285)/_xlpm.f,IF(_xlpm.q&gt;=_xlpm.s,ROUND(_xlpm.q,1)&amp;" "&amp;_xlpm.ai_test&amp;" = "&amp;ROUND(_xlpm.q*_xlpm.f,1)&amp;" "&amp;_xlpm.u,ROUND(_xlpm.q,1)&amp;" "&amp;_xlpm.ai_test)),""),""))))</f>
        <v>0</v>
      </c>
      <c r="AW285" s="1047"/>
      <c r="AX285" s="1045">
        <f t="shared" si="131"/>
        <v>0</v>
      </c>
      <c r="AY285" s="1046" t="str">
        <f t="shared" si="132"/>
        <v/>
      </c>
      <c r="AZ285" s="1048">
        <f t="shared" si="137"/>
        <v>0</v>
      </c>
      <c r="BA285" s="1049" t="str">
        <f t="shared" si="133"/>
        <v/>
      </c>
      <c r="BB285" s="1038"/>
      <c r="BC285" s="1050">
        <f t="shared" si="138"/>
        <v>0</v>
      </c>
      <c r="BD285" s="1040" t="str">
        <f t="shared" si="134"/>
        <v/>
      </c>
      <c r="BE285" s="227" t="s">
        <v>22</v>
      </c>
      <c r="BF285" s="1019">
        <f t="shared" si="135"/>
        <v>0</v>
      </c>
      <c r="BG285" s="1020">
        <f t="shared" si="136"/>
        <v>0</v>
      </c>
      <c r="BH285"/>
      <c r="BI285" s="709"/>
      <c r="BJ285" s="709"/>
      <c r="BK285" s="709"/>
      <c r="BL285" s="709"/>
      <c r="BM285" s="709"/>
      <c r="BN285" s="709"/>
      <c r="BO285" s="709"/>
      <c r="BP285" s="709"/>
      <c r="BQ285"/>
      <c r="BR285"/>
      <c r="BS285"/>
      <c r="BT285"/>
      <c r="BU285"/>
      <c r="BV285"/>
      <c r="BW285" s="959" t="str">
        <f t="shared" si="117"/>
        <v>►</v>
      </c>
      <c r="BX285"/>
      <c r="BY285"/>
      <c r="BZ285"/>
      <c r="CA285"/>
      <c r="CB285"/>
      <c r="CD285"/>
      <c r="CE285"/>
      <c r="CF285"/>
      <c r="CG285"/>
      <c r="CH285"/>
      <c r="CI285"/>
      <c r="CJ285"/>
      <c r="CK285" s="227"/>
      <c r="CL285"/>
      <c r="CM285"/>
      <c r="CN285"/>
      <c r="CO285"/>
      <c r="CP285"/>
      <c r="CQ285"/>
      <c r="CR285"/>
      <c r="CS285" s="227"/>
      <c r="CT285"/>
      <c r="CU285"/>
      <c r="CV285"/>
      <c r="CW285"/>
      <c r="CX285"/>
      <c r="CY285"/>
      <c r="CZ285"/>
      <c r="DA285" s="227"/>
      <c r="DB285" s="3">
        <v>1</v>
      </c>
      <c r="DC285" s="709"/>
      <c r="DD285" s="709"/>
    </row>
    <row r="286" spans="1:108" s="856" customFormat="1" ht="21" customHeight="1">
      <c r="A286" s="936" t="s">
        <v>22</v>
      </c>
      <c r="B286" s="952" t="str">
        <f t="shared" si="116"/>
        <v>►</v>
      </c>
      <c r="C286" s="993" cm="1">
        <f t="array" ref="C286">SUMPRODUCT(LEN(D286:J286))</f>
        <v>0</v>
      </c>
      <c r="D286" s="167"/>
      <c r="E286" s="172"/>
      <c r="F286" s="172"/>
      <c r="G286" s="172"/>
      <c r="H286" s="172"/>
      <c r="I286" s="172"/>
      <c r="J286" s="173"/>
      <c r="K286" s="442" t="s">
        <v>22</v>
      </c>
      <c r="L286" s="104" t="s">
        <v>16</v>
      </c>
      <c r="M286" s="1172"/>
      <c r="N286" s="1172"/>
      <c r="O286" s="1172"/>
      <c r="P286" s="1173"/>
      <c r="Q286" s="1174"/>
      <c r="R286" s="1175"/>
      <c r="S286" s="1176"/>
      <c r="T286" s="1177"/>
      <c r="U286" s="5248"/>
      <c r="V286" s="1177"/>
      <c r="W286" s="5249"/>
      <c r="X286" s="5208"/>
      <c r="Y286" s="5209"/>
      <c r="Z286" s="5210"/>
      <c r="AA286" s="5211"/>
      <c r="AB286" s="1178"/>
      <c r="AC286" s="1179"/>
      <c r="AD286" s="227" t="s">
        <v>22</v>
      </c>
      <c r="AE286" s="1027" t="str">
        <f t="shared" si="118"/>
        <v>►</v>
      </c>
      <c r="AF286" s="1028" t="str">
        <f t="shared" si="119"/>
        <v/>
      </c>
      <c r="AG286" s="1029" t="str">
        <f t="shared" si="120"/>
        <v/>
      </c>
      <c r="AH286" s="1028" t="str">
        <f t="shared" si="121"/>
        <v/>
      </c>
      <c r="AI286" s="1029" t="str">
        <f t="shared" si="122"/>
        <v/>
      </c>
      <c r="AJ286" s="1029">
        <f t="shared" si="123"/>
        <v>0</v>
      </c>
      <c r="AK286" s="1043" t="str" cm="1">
        <f t="array" ref="AK286">IF(AE286&lt;&gt;"A","",IFERROR((IFERROR(_xlfn.XLOOKUP(TRIM(SUBSTITUTE(U286,CHAR(160)," ")),$BI$15:$BI$62,$BL$15:$BL$62),IFERROR(_xlfn.XLOOKUP(TRIM(SUBSTITUTE(U286,CHAR(160)," ")),$BJ$15:$BJ$62,$BL$15:$BL$62),_xlfn.XLOOKUP(TRIM(SUBSTITUTE(U286,CHAR(160)," ")),$BK$15:$BK$62,$BL$15:$BL$62))))*T286*IF(ISBLANK(Q286),1,Q286)+IFERROR(_xlfn.XLOOKUP("RECHERCHEX",TRIM(L286:AC286),L286:AC286),0),0))</f>
        <v/>
      </c>
      <c r="AL286" s="1030">
        <f t="shared" si="124"/>
        <v>0</v>
      </c>
      <c r="AM286" s="5254" t="str">
        <f t="shared" ref="AM286:AM349" si="139">IF(AE286="A","❾ Author reference &gt;","")</f>
        <v/>
      </c>
      <c r="AN286" s="1031">
        <f t="shared" si="125"/>
        <v>0</v>
      </c>
      <c r="AO286" s="1031">
        <f t="shared" si="126"/>
        <v>0</v>
      </c>
      <c r="AP286" s="1032">
        <f t="shared" si="127"/>
        <v>0</v>
      </c>
      <c r="AQ286" s="5255" t="str">
        <f t="shared" si="128"/>
        <v/>
      </c>
      <c r="AR286" s="1056"/>
      <c r="AS286" s="1056"/>
      <c r="AT286" s="1034">
        <f t="shared" si="129"/>
        <v>0</v>
      </c>
      <c r="AU286" s="1035">
        <f t="shared" si="130"/>
        <v>0</v>
      </c>
      <c r="AV286" s="1057" cm="1">
        <f t="array" ref="AV286">IF(AJ286&lt;&gt;1,0,IF(OR(AT286="",N(AT286)&lt;=0.000000001),"",IF(OR(AN286="",N(AN286)&lt;=0.000000001),0,IF(ISNUMBER(AT286),IFERROR(_xlfn.LET(_xlpm.ai_test,TRIM(AI286),_xlpm.r,IFERROR(_xlfn.XLOOKUP(_xlpm.ai_test,$BI$15:$BI$62,ROW($BI$15:$BI$62),0,1),IFERROR(_xlfn.XLOOKUP(_xlpm.ai_test,$BJ$15:$BJ$62,ROW($BJ$15:$BJ$62),0,1),_xlfn.XLOOKUP(_xlpm.ai_test,$BK$15:$BK$62,ROW($BK$15:$BK$62),0,1))),_xlpm.p,_xlpm.r-MIN(ROW($BI$15:$BI$62))+1,_xlpm.f,INDEX($BL$15:$BL$62,_xlpm.p),_xlpm.u,INDEX($BM$15:$BM$62,_xlpm.p),_xlpm.s,INDEX($BO$15:$BO$62,_xlpm.p),_xlpm.q,N(AT286)/_xlpm.f,IF(_xlpm.q&gt;=_xlpm.s,ROUND(_xlpm.q,1)&amp;" "&amp;_xlpm.ai_test&amp;" = "&amp;ROUND(_xlpm.q*_xlpm.f,1)&amp;" "&amp;_xlpm.u,ROUND(_xlpm.q,1)&amp;" "&amp;_xlpm.ai_test)),""),""))))</f>
        <v>0</v>
      </c>
      <c r="AW286" s="1047"/>
      <c r="AX286" s="1034">
        <f t="shared" si="131"/>
        <v>0</v>
      </c>
      <c r="AY286" s="1035" t="str">
        <f t="shared" si="132"/>
        <v/>
      </c>
      <c r="AZ286" s="1036">
        <f t="shared" si="137"/>
        <v>0</v>
      </c>
      <c r="BA286" s="1037" t="str">
        <f t="shared" si="133"/>
        <v/>
      </c>
      <c r="BB286" s="1038"/>
      <c r="BC286" s="1039">
        <f t="shared" si="138"/>
        <v>0</v>
      </c>
      <c r="BD286" s="1040" t="str">
        <f t="shared" si="134"/>
        <v/>
      </c>
      <c r="BE286" s="227" t="s">
        <v>22</v>
      </c>
      <c r="BF286" s="1019">
        <f t="shared" si="135"/>
        <v>0</v>
      </c>
      <c r="BG286" s="1020">
        <f t="shared" si="136"/>
        <v>0</v>
      </c>
      <c r="BH286"/>
      <c r="BI286" s="709"/>
      <c r="BJ286" s="709"/>
      <c r="BK286" s="709"/>
      <c r="BL286" s="709"/>
      <c r="BM286" s="709"/>
      <c r="BN286" s="709"/>
      <c r="BO286" s="709"/>
      <c r="BP286" s="709"/>
      <c r="BQ286"/>
      <c r="BR286"/>
      <c r="BS286"/>
      <c r="BT286"/>
      <c r="BU286"/>
      <c r="BV286"/>
      <c r="BW286" s="959" t="str">
        <f t="shared" si="117"/>
        <v>►</v>
      </c>
      <c r="BX286"/>
      <c r="BY286"/>
      <c r="BZ286"/>
      <c r="CA286"/>
      <c r="CB286"/>
      <c r="CD286"/>
      <c r="CE286"/>
      <c r="CF286"/>
      <c r="CG286"/>
      <c r="CH286"/>
      <c r="CI286"/>
      <c r="CJ286"/>
      <c r="CK286" s="227"/>
      <c r="CL286"/>
      <c r="CM286"/>
      <c r="CN286"/>
      <c r="CO286"/>
      <c r="CP286"/>
      <c r="CQ286"/>
      <c r="CR286"/>
      <c r="CS286" s="227"/>
      <c r="CT286"/>
      <c r="CU286"/>
      <c r="CV286"/>
      <c r="CW286"/>
      <c r="CX286"/>
      <c r="CY286"/>
      <c r="CZ286"/>
      <c r="DA286" s="227"/>
      <c r="DB286" s="3">
        <v>1</v>
      </c>
      <c r="DC286" s="709"/>
      <c r="DD286" s="709"/>
    </row>
    <row r="287" spans="1:108" s="856" customFormat="1" ht="21" customHeight="1">
      <c r="A287" s="936" t="s">
        <v>22</v>
      </c>
      <c r="B287" s="952" t="str">
        <f t="shared" si="116"/>
        <v>►</v>
      </c>
      <c r="C287" s="993" cm="1">
        <f t="array" ref="C287">SUMPRODUCT(LEN(D287:J287))</f>
        <v>0</v>
      </c>
      <c r="D287" s="167"/>
      <c r="E287" s="172"/>
      <c r="F287" s="172"/>
      <c r="G287" s="172"/>
      <c r="H287" s="172"/>
      <c r="I287" s="172"/>
      <c r="J287" s="173"/>
      <c r="K287" s="442" t="s">
        <v>22</v>
      </c>
      <c r="L287" s="104" t="s">
        <v>16</v>
      </c>
      <c r="M287" s="1172"/>
      <c r="N287" s="1172"/>
      <c r="O287" s="1172"/>
      <c r="P287" s="1173"/>
      <c r="Q287" s="1174"/>
      <c r="R287" s="1175"/>
      <c r="S287" s="1176"/>
      <c r="T287" s="1177"/>
      <c r="U287" s="5248"/>
      <c r="V287" s="1177"/>
      <c r="W287" s="5249"/>
      <c r="X287" s="5208"/>
      <c r="Y287" s="5209"/>
      <c r="Z287" s="5210"/>
      <c r="AA287" s="5211"/>
      <c r="AB287" s="1178"/>
      <c r="AC287" s="1179"/>
      <c r="AD287" s="227" t="s">
        <v>22</v>
      </c>
      <c r="AE287" s="1027" t="str">
        <f t="shared" si="118"/>
        <v>►</v>
      </c>
      <c r="AF287" s="1028" t="str">
        <f t="shared" si="119"/>
        <v/>
      </c>
      <c r="AG287" s="1029" t="str">
        <f t="shared" si="120"/>
        <v/>
      </c>
      <c r="AH287" s="1028" t="str">
        <f t="shared" si="121"/>
        <v/>
      </c>
      <c r="AI287" s="1029" t="str">
        <f t="shared" si="122"/>
        <v/>
      </c>
      <c r="AJ287" s="1029">
        <f t="shared" si="123"/>
        <v>0</v>
      </c>
      <c r="AK287" s="1043" t="str" cm="1">
        <f t="array" ref="AK287">IF(AE287&lt;&gt;"A","",IFERROR((IFERROR(_xlfn.XLOOKUP(TRIM(SUBSTITUTE(U287,CHAR(160)," ")),$BI$15:$BI$62,$BL$15:$BL$62),IFERROR(_xlfn.XLOOKUP(TRIM(SUBSTITUTE(U287,CHAR(160)," ")),$BJ$15:$BJ$62,$BL$15:$BL$62),_xlfn.XLOOKUP(TRIM(SUBSTITUTE(U287,CHAR(160)," ")),$BK$15:$BK$62,$BL$15:$BL$62))))*T287*IF(ISBLANK(Q287),1,Q287)+IFERROR(_xlfn.XLOOKUP("RECHERCHEX",TRIM(L287:AC287),L287:AC287),0),0))</f>
        <v/>
      </c>
      <c r="AL287" s="1030">
        <f t="shared" si="124"/>
        <v>0</v>
      </c>
      <c r="AM287" s="5254" t="str">
        <f t="shared" si="139"/>
        <v/>
      </c>
      <c r="AN287" s="1031">
        <f t="shared" si="125"/>
        <v>0</v>
      </c>
      <c r="AO287" s="1031">
        <f t="shared" si="126"/>
        <v>0</v>
      </c>
      <c r="AP287" s="1044">
        <f t="shared" si="127"/>
        <v>0</v>
      </c>
      <c r="AQ287" s="5257" t="str">
        <f t="shared" si="128"/>
        <v/>
      </c>
      <c r="AR287" s="1056"/>
      <c r="AS287" s="1056"/>
      <c r="AT287" s="1045">
        <f t="shared" si="129"/>
        <v>0</v>
      </c>
      <c r="AU287" s="1046">
        <f t="shared" si="130"/>
        <v>0</v>
      </c>
      <c r="AV287" s="1059" cm="1">
        <f t="array" ref="AV287">IF(AJ287&lt;&gt;1,0,IF(OR(AT287="",N(AT287)&lt;=0.000000001),"",IF(OR(AN287="",N(AN287)&lt;=0.000000001),0,IF(ISNUMBER(AT287),IFERROR(_xlfn.LET(_xlpm.ai_test,TRIM(AI287),_xlpm.r,IFERROR(_xlfn.XLOOKUP(_xlpm.ai_test,$BI$15:$BI$62,ROW($BI$15:$BI$62),0,1),IFERROR(_xlfn.XLOOKUP(_xlpm.ai_test,$BJ$15:$BJ$62,ROW($BJ$15:$BJ$62),0,1),_xlfn.XLOOKUP(_xlpm.ai_test,$BK$15:$BK$62,ROW($BK$15:$BK$62),0,1))),_xlpm.p,_xlpm.r-MIN(ROW($BI$15:$BI$62))+1,_xlpm.f,INDEX($BL$15:$BL$62,_xlpm.p),_xlpm.u,INDEX($BM$15:$BM$62,_xlpm.p),_xlpm.s,INDEX($BO$15:$BO$62,_xlpm.p),_xlpm.q,N(AT287)/_xlpm.f,IF(_xlpm.q&gt;=_xlpm.s,ROUND(_xlpm.q,1)&amp;" "&amp;_xlpm.ai_test&amp;" = "&amp;ROUND(_xlpm.q*_xlpm.f,1)&amp;" "&amp;_xlpm.u,ROUND(_xlpm.q,1)&amp;" "&amp;_xlpm.ai_test)),""),""))))</f>
        <v>0</v>
      </c>
      <c r="AW287" s="1047"/>
      <c r="AX287" s="1045">
        <f t="shared" si="131"/>
        <v>0</v>
      </c>
      <c r="AY287" s="1046" t="str">
        <f t="shared" si="132"/>
        <v/>
      </c>
      <c r="AZ287" s="1048">
        <f t="shared" si="137"/>
        <v>0</v>
      </c>
      <c r="BA287" s="1049" t="str">
        <f t="shared" si="133"/>
        <v/>
      </c>
      <c r="BB287" s="1038"/>
      <c r="BC287" s="1050">
        <f t="shared" si="138"/>
        <v>0</v>
      </c>
      <c r="BD287" s="1040" t="str">
        <f t="shared" si="134"/>
        <v/>
      </c>
      <c r="BE287" s="227" t="s">
        <v>22</v>
      </c>
      <c r="BF287" s="1019">
        <f t="shared" si="135"/>
        <v>0</v>
      </c>
      <c r="BG287" s="1020">
        <f t="shared" si="136"/>
        <v>0</v>
      </c>
      <c r="BH287"/>
      <c r="BI287" s="709"/>
      <c r="BJ287" s="709"/>
      <c r="BK287" s="709"/>
      <c r="BL287" s="709"/>
      <c r="BM287" s="709"/>
      <c r="BN287" s="709"/>
      <c r="BO287" s="709"/>
      <c r="BP287" s="709"/>
      <c r="BQ287"/>
      <c r="BR287"/>
      <c r="BS287"/>
      <c r="BT287"/>
      <c r="BU287"/>
      <c r="BV287"/>
      <c r="BW287" s="959" t="str">
        <f t="shared" si="117"/>
        <v>►</v>
      </c>
      <c r="BX287"/>
      <c r="BY287"/>
      <c r="BZ287"/>
      <c r="CA287"/>
      <c r="CB287"/>
      <c r="CD287"/>
      <c r="CE287"/>
      <c r="CF287"/>
      <c r="CG287"/>
      <c r="CH287"/>
      <c r="CI287"/>
      <c r="CJ287"/>
      <c r="CK287" s="227"/>
      <c r="CL287"/>
      <c r="CM287"/>
      <c r="CN287"/>
      <c r="CO287"/>
      <c r="CP287"/>
      <c r="CQ287"/>
      <c r="CR287"/>
      <c r="CS287" s="227"/>
      <c r="CT287"/>
      <c r="CU287"/>
      <c r="CV287"/>
      <c r="CW287"/>
      <c r="CX287"/>
      <c r="CY287"/>
      <c r="CZ287"/>
      <c r="DA287" s="227"/>
      <c r="DB287" s="3">
        <v>1</v>
      </c>
      <c r="DC287" s="709"/>
      <c r="DD287" s="709"/>
    </row>
    <row r="288" spans="1:108" s="856" customFormat="1" ht="21" customHeight="1">
      <c r="A288" s="936" t="s">
        <v>22</v>
      </c>
      <c r="B288" s="952" t="str">
        <f t="shared" si="116"/>
        <v>►</v>
      </c>
      <c r="C288" s="993" cm="1">
        <f t="array" ref="C288">SUMPRODUCT(LEN(D288:J288))</f>
        <v>0</v>
      </c>
      <c r="D288" s="167"/>
      <c r="E288" s="172"/>
      <c r="F288" s="172"/>
      <c r="G288" s="172"/>
      <c r="H288" s="172"/>
      <c r="I288" s="172"/>
      <c r="J288" s="173"/>
      <c r="K288" s="442" t="s">
        <v>22</v>
      </c>
      <c r="L288" s="104" t="s">
        <v>16</v>
      </c>
      <c r="M288" s="1172"/>
      <c r="N288" s="1172"/>
      <c r="O288" s="1172"/>
      <c r="P288" s="1173"/>
      <c r="Q288" s="1174"/>
      <c r="R288" s="1175"/>
      <c r="S288" s="1176"/>
      <c r="T288" s="1177"/>
      <c r="U288" s="5248"/>
      <c r="V288" s="1177"/>
      <c r="W288" s="5249"/>
      <c r="X288" s="5208"/>
      <c r="Y288" s="5209"/>
      <c r="Z288" s="5210"/>
      <c r="AA288" s="5211"/>
      <c r="AB288" s="1178"/>
      <c r="AC288" s="1179"/>
      <c r="AD288" s="227" t="s">
        <v>22</v>
      </c>
      <c r="AE288" s="1027" t="str">
        <f t="shared" si="118"/>
        <v>►</v>
      </c>
      <c r="AF288" s="1028" t="str">
        <f t="shared" si="119"/>
        <v/>
      </c>
      <c r="AG288" s="1029" t="str">
        <f t="shared" si="120"/>
        <v/>
      </c>
      <c r="AH288" s="1028" t="str">
        <f t="shared" si="121"/>
        <v/>
      </c>
      <c r="AI288" s="1029" t="str">
        <f t="shared" si="122"/>
        <v/>
      </c>
      <c r="AJ288" s="1029">
        <f t="shared" si="123"/>
        <v>0</v>
      </c>
      <c r="AK288" s="1043" t="str" cm="1">
        <f t="array" ref="AK288">IF(AE288&lt;&gt;"A","",IFERROR((IFERROR(_xlfn.XLOOKUP(TRIM(SUBSTITUTE(U288,CHAR(160)," ")),$BI$15:$BI$62,$BL$15:$BL$62),IFERROR(_xlfn.XLOOKUP(TRIM(SUBSTITUTE(U288,CHAR(160)," ")),$BJ$15:$BJ$62,$BL$15:$BL$62),_xlfn.XLOOKUP(TRIM(SUBSTITUTE(U288,CHAR(160)," ")),$BK$15:$BK$62,$BL$15:$BL$62))))*T288*IF(ISBLANK(Q288),1,Q288)+IFERROR(_xlfn.XLOOKUP("RECHERCHEX",TRIM(L288:AC288),L288:AC288),0),0))</f>
        <v/>
      </c>
      <c r="AL288" s="1030">
        <f t="shared" si="124"/>
        <v>0</v>
      </c>
      <c r="AM288" s="5254" t="str">
        <f t="shared" si="139"/>
        <v/>
      </c>
      <c r="AN288" s="1031">
        <f t="shared" si="125"/>
        <v>0</v>
      </c>
      <c r="AO288" s="1031">
        <f t="shared" si="126"/>
        <v>0</v>
      </c>
      <c r="AP288" s="1032">
        <f t="shared" si="127"/>
        <v>0</v>
      </c>
      <c r="AQ288" s="5255" t="str">
        <f t="shared" si="128"/>
        <v/>
      </c>
      <c r="AR288" s="1056"/>
      <c r="AS288" s="1056"/>
      <c r="AT288" s="1034">
        <f t="shared" si="129"/>
        <v>0</v>
      </c>
      <c r="AU288" s="1035">
        <f t="shared" si="130"/>
        <v>0</v>
      </c>
      <c r="AV288" s="1057" cm="1">
        <f t="array" ref="AV288">IF(AJ288&lt;&gt;1,0,IF(OR(AT288="",N(AT288)&lt;=0.000000001),"",IF(OR(AN288="",N(AN288)&lt;=0.000000001),0,IF(ISNUMBER(AT288),IFERROR(_xlfn.LET(_xlpm.ai_test,TRIM(AI288),_xlpm.r,IFERROR(_xlfn.XLOOKUP(_xlpm.ai_test,$BI$15:$BI$62,ROW($BI$15:$BI$62),0,1),IFERROR(_xlfn.XLOOKUP(_xlpm.ai_test,$BJ$15:$BJ$62,ROW($BJ$15:$BJ$62),0,1),_xlfn.XLOOKUP(_xlpm.ai_test,$BK$15:$BK$62,ROW($BK$15:$BK$62),0,1))),_xlpm.p,_xlpm.r-MIN(ROW($BI$15:$BI$62))+1,_xlpm.f,INDEX($BL$15:$BL$62,_xlpm.p),_xlpm.u,INDEX($BM$15:$BM$62,_xlpm.p),_xlpm.s,INDEX($BO$15:$BO$62,_xlpm.p),_xlpm.q,N(AT288)/_xlpm.f,IF(_xlpm.q&gt;=_xlpm.s,ROUND(_xlpm.q,1)&amp;" "&amp;_xlpm.ai_test&amp;" = "&amp;ROUND(_xlpm.q*_xlpm.f,1)&amp;" "&amp;_xlpm.u,ROUND(_xlpm.q,1)&amp;" "&amp;_xlpm.ai_test)),""),""))))</f>
        <v>0</v>
      </c>
      <c r="AW288" s="1047"/>
      <c r="AX288" s="1034">
        <f t="shared" si="131"/>
        <v>0</v>
      </c>
      <c r="AY288" s="1035" t="str">
        <f t="shared" si="132"/>
        <v/>
      </c>
      <c r="AZ288" s="1036">
        <f t="shared" si="137"/>
        <v>0</v>
      </c>
      <c r="BA288" s="1037" t="str">
        <f t="shared" si="133"/>
        <v/>
      </c>
      <c r="BB288" s="1038"/>
      <c r="BC288" s="1039">
        <f t="shared" si="138"/>
        <v>0</v>
      </c>
      <c r="BD288" s="1040" t="str">
        <f t="shared" si="134"/>
        <v/>
      </c>
      <c r="BE288" s="227" t="s">
        <v>22</v>
      </c>
      <c r="BF288" s="1019">
        <f t="shared" si="135"/>
        <v>0</v>
      </c>
      <c r="BG288" s="1020">
        <f t="shared" si="136"/>
        <v>0</v>
      </c>
      <c r="BH288"/>
      <c r="BI288" s="709"/>
      <c r="BJ288" s="709"/>
      <c r="BK288" s="709"/>
      <c r="BL288" s="709"/>
      <c r="BM288" s="709"/>
      <c r="BN288" s="709"/>
      <c r="BO288" s="709"/>
      <c r="BP288" s="709"/>
      <c r="BQ288"/>
      <c r="BR288"/>
      <c r="BS288"/>
      <c r="BT288"/>
      <c r="BU288"/>
      <c r="BV288"/>
      <c r="BW288" s="959" t="str">
        <f t="shared" si="117"/>
        <v>►</v>
      </c>
      <c r="BX288"/>
      <c r="BY288"/>
      <c r="BZ288"/>
      <c r="CA288"/>
      <c r="CB288"/>
      <c r="CD288"/>
      <c r="CE288"/>
      <c r="CF288"/>
      <c r="CG288"/>
      <c r="CH288"/>
      <c r="CI288"/>
      <c r="CJ288"/>
      <c r="CK288" s="227"/>
      <c r="CL288"/>
      <c r="CM288"/>
      <c r="CN288"/>
      <c r="CO288"/>
      <c r="CP288"/>
      <c r="CQ288"/>
      <c r="CR288"/>
      <c r="CS288" s="227"/>
      <c r="CT288"/>
      <c r="CU288"/>
      <c r="CV288"/>
      <c r="CW288"/>
      <c r="CX288"/>
      <c r="CY288"/>
      <c r="CZ288"/>
      <c r="DA288" s="227"/>
      <c r="DB288" s="3">
        <v>1</v>
      </c>
      <c r="DC288" s="709"/>
      <c r="DD288" s="709"/>
    </row>
    <row r="289" spans="1:108" s="856" customFormat="1" ht="21" customHeight="1">
      <c r="A289" s="936" t="s">
        <v>22</v>
      </c>
      <c r="B289" s="952" t="str">
        <f t="shared" si="116"/>
        <v>►</v>
      </c>
      <c r="C289" s="993" cm="1">
        <f t="array" ref="C289">SUMPRODUCT(LEN(D289:J289))</f>
        <v>0</v>
      </c>
      <c r="D289" s="167"/>
      <c r="E289" s="172"/>
      <c r="F289" s="172"/>
      <c r="G289" s="172"/>
      <c r="H289" s="172"/>
      <c r="I289" s="172"/>
      <c r="J289" s="173"/>
      <c r="K289" s="442"/>
      <c r="L289" s="104" t="s">
        <v>16</v>
      </c>
      <c r="M289" s="1172"/>
      <c r="N289" s="1172"/>
      <c r="O289" s="1172"/>
      <c r="P289" s="1173"/>
      <c r="Q289" s="1174"/>
      <c r="R289" s="1175"/>
      <c r="S289" s="1176"/>
      <c r="T289" s="1177"/>
      <c r="U289" s="5248"/>
      <c r="V289" s="1177"/>
      <c r="W289" s="5249"/>
      <c r="X289" s="5208"/>
      <c r="Y289" s="5209"/>
      <c r="Z289" s="5210"/>
      <c r="AA289" s="5211"/>
      <c r="AB289" s="1178"/>
      <c r="AC289" s="1179"/>
      <c r="AD289" s="227" t="s">
        <v>22</v>
      </c>
      <c r="AE289" s="1027" t="str">
        <f t="shared" si="118"/>
        <v>►</v>
      </c>
      <c r="AF289" s="1028" t="str">
        <f t="shared" si="119"/>
        <v/>
      </c>
      <c r="AG289" s="1029" t="str">
        <f t="shared" si="120"/>
        <v/>
      </c>
      <c r="AH289" s="1028" t="str">
        <f t="shared" si="121"/>
        <v/>
      </c>
      <c r="AI289" s="1029" t="str">
        <f t="shared" si="122"/>
        <v/>
      </c>
      <c r="AJ289" s="1029">
        <f t="shared" si="123"/>
        <v>0</v>
      </c>
      <c r="AK289" s="1043" t="str" cm="1">
        <f t="array" ref="AK289">IF(AE289&lt;&gt;"A","",IFERROR((IFERROR(_xlfn.XLOOKUP(TRIM(SUBSTITUTE(U289,CHAR(160)," ")),$BI$15:$BI$62,$BL$15:$BL$62),IFERROR(_xlfn.XLOOKUP(TRIM(SUBSTITUTE(U289,CHAR(160)," ")),$BJ$15:$BJ$62,$BL$15:$BL$62),_xlfn.XLOOKUP(TRIM(SUBSTITUTE(U289,CHAR(160)," ")),$BK$15:$BK$62,$BL$15:$BL$62))))*T289*IF(ISBLANK(Q289),1,Q289)+IFERROR(_xlfn.XLOOKUP("RECHERCHEX",TRIM(L289:AC289),L289:AC289),0),0))</f>
        <v/>
      </c>
      <c r="AL289" s="1030">
        <f t="shared" si="124"/>
        <v>0</v>
      </c>
      <c r="AM289" s="5254" t="str">
        <f t="shared" si="139"/>
        <v/>
      </c>
      <c r="AN289" s="1031">
        <f t="shared" si="125"/>
        <v>0</v>
      </c>
      <c r="AO289" s="1031">
        <f t="shared" si="126"/>
        <v>0</v>
      </c>
      <c r="AP289" s="1044">
        <f t="shared" si="127"/>
        <v>0</v>
      </c>
      <c r="AQ289" s="5257" t="str">
        <f t="shared" si="128"/>
        <v/>
      </c>
      <c r="AR289" s="1056"/>
      <c r="AS289" s="1056"/>
      <c r="AT289" s="1045">
        <f t="shared" si="129"/>
        <v>0</v>
      </c>
      <c r="AU289" s="1046">
        <f t="shared" si="130"/>
        <v>0</v>
      </c>
      <c r="AV289" s="1059" cm="1">
        <f t="array" ref="AV289">IF(AJ289&lt;&gt;1,0,IF(OR(AT289="",N(AT289)&lt;=0.000000001),"",IF(OR(AN289="",N(AN289)&lt;=0.000000001),0,IF(ISNUMBER(AT289),IFERROR(_xlfn.LET(_xlpm.ai_test,TRIM(AI289),_xlpm.r,IFERROR(_xlfn.XLOOKUP(_xlpm.ai_test,$BI$15:$BI$62,ROW($BI$15:$BI$62),0,1),IFERROR(_xlfn.XLOOKUP(_xlpm.ai_test,$BJ$15:$BJ$62,ROW($BJ$15:$BJ$62),0,1),_xlfn.XLOOKUP(_xlpm.ai_test,$BK$15:$BK$62,ROW($BK$15:$BK$62),0,1))),_xlpm.p,_xlpm.r-MIN(ROW($BI$15:$BI$62))+1,_xlpm.f,INDEX($BL$15:$BL$62,_xlpm.p),_xlpm.u,INDEX($BM$15:$BM$62,_xlpm.p),_xlpm.s,INDEX($BO$15:$BO$62,_xlpm.p),_xlpm.q,N(AT289)/_xlpm.f,IF(_xlpm.q&gt;=_xlpm.s,ROUND(_xlpm.q,1)&amp;" "&amp;_xlpm.ai_test&amp;" = "&amp;ROUND(_xlpm.q*_xlpm.f,1)&amp;" "&amp;_xlpm.u,ROUND(_xlpm.q,1)&amp;" "&amp;_xlpm.ai_test)),""),""))))</f>
        <v>0</v>
      </c>
      <c r="AW289" s="1047"/>
      <c r="AX289" s="1045">
        <f t="shared" si="131"/>
        <v>0</v>
      </c>
      <c r="AY289" s="1046" t="str">
        <f t="shared" si="132"/>
        <v/>
      </c>
      <c r="AZ289" s="1048">
        <f t="shared" si="137"/>
        <v>0</v>
      </c>
      <c r="BA289" s="1049" t="str">
        <f t="shared" si="133"/>
        <v/>
      </c>
      <c r="BB289" s="1038"/>
      <c r="BC289" s="1050">
        <f t="shared" si="138"/>
        <v>0</v>
      </c>
      <c r="BD289" s="1040" t="str">
        <f t="shared" si="134"/>
        <v/>
      </c>
      <c r="BE289" s="227" t="s">
        <v>22</v>
      </c>
      <c r="BF289" s="1019">
        <f t="shared" si="135"/>
        <v>0</v>
      </c>
      <c r="BG289" s="1020">
        <f t="shared" si="136"/>
        <v>0</v>
      </c>
      <c r="BH289"/>
      <c r="BI289" s="709"/>
      <c r="BJ289" s="709"/>
      <c r="BK289" s="709"/>
      <c r="BL289" s="709"/>
      <c r="BM289" s="709"/>
      <c r="BN289" s="709"/>
      <c r="BO289" s="709"/>
      <c r="BP289" s="709"/>
      <c r="BQ289"/>
      <c r="BR289"/>
      <c r="BS289"/>
      <c r="BT289"/>
      <c r="BU289"/>
      <c r="BV289"/>
      <c r="BW289" s="959" t="str">
        <f t="shared" si="117"/>
        <v>►</v>
      </c>
      <c r="BX289"/>
      <c r="BY289"/>
      <c r="BZ289"/>
      <c r="CA289"/>
      <c r="CB289"/>
      <c r="CD289"/>
      <c r="CE289"/>
      <c r="CF289"/>
      <c r="CG289"/>
      <c r="CH289"/>
      <c r="CI289"/>
      <c r="CJ289"/>
      <c r="CK289" s="227"/>
      <c r="CL289"/>
      <c r="CM289"/>
      <c r="CN289"/>
      <c r="CO289"/>
      <c r="CP289"/>
      <c r="CQ289"/>
      <c r="CR289"/>
      <c r="CS289" s="227"/>
      <c r="CT289"/>
      <c r="CU289"/>
      <c r="CV289"/>
      <c r="CW289"/>
      <c r="CX289"/>
      <c r="CY289"/>
      <c r="CZ289"/>
      <c r="DA289" s="227"/>
      <c r="DB289" s="3">
        <v>1</v>
      </c>
      <c r="DC289" s="709"/>
      <c r="DD289" s="709"/>
    </row>
    <row r="290" spans="1:108" s="856" customFormat="1" ht="21" customHeight="1">
      <c r="A290" s="936" t="s">
        <v>22</v>
      </c>
      <c r="B290" s="952" t="str">
        <f t="shared" si="116"/>
        <v>►</v>
      </c>
      <c r="C290" s="993" cm="1">
        <f t="array" ref="C290">SUMPRODUCT(LEN(D290:J290))</f>
        <v>0</v>
      </c>
      <c r="D290" s="167"/>
      <c r="E290" s="172"/>
      <c r="F290" s="172"/>
      <c r="G290" s="172"/>
      <c r="H290" s="172"/>
      <c r="I290" s="172"/>
      <c r="J290" s="173"/>
      <c r="K290" s="442"/>
      <c r="L290" s="104" t="s">
        <v>16</v>
      </c>
      <c r="M290" s="1172"/>
      <c r="N290" s="1172"/>
      <c r="O290" s="1172"/>
      <c r="P290" s="1173"/>
      <c r="Q290" s="1174"/>
      <c r="R290" s="1175"/>
      <c r="S290" s="1176"/>
      <c r="T290" s="1177"/>
      <c r="U290" s="5248"/>
      <c r="V290" s="1177"/>
      <c r="W290" s="5249"/>
      <c r="X290" s="5208"/>
      <c r="Y290" s="5209"/>
      <c r="Z290" s="5210"/>
      <c r="AA290" s="5211"/>
      <c r="AB290" s="1178"/>
      <c r="AC290" s="1179"/>
      <c r="AD290" s="227" t="s">
        <v>22</v>
      </c>
      <c r="AE290" s="1027" t="str">
        <f t="shared" si="118"/>
        <v>►</v>
      </c>
      <c r="AF290" s="1028" t="str">
        <f t="shared" si="119"/>
        <v/>
      </c>
      <c r="AG290" s="1029" t="str">
        <f t="shared" si="120"/>
        <v/>
      </c>
      <c r="AH290" s="1028" t="str">
        <f t="shared" si="121"/>
        <v/>
      </c>
      <c r="AI290" s="1029" t="str">
        <f t="shared" si="122"/>
        <v/>
      </c>
      <c r="AJ290" s="1029">
        <f t="shared" si="123"/>
        <v>0</v>
      </c>
      <c r="AK290" s="1043" t="str" cm="1">
        <f t="array" ref="AK290">IF(AE290&lt;&gt;"A","",IFERROR((IFERROR(_xlfn.XLOOKUP(TRIM(SUBSTITUTE(U290,CHAR(160)," ")),$BI$15:$BI$62,$BL$15:$BL$62),IFERROR(_xlfn.XLOOKUP(TRIM(SUBSTITUTE(U290,CHAR(160)," ")),$BJ$15:$BJ$62,$BL$15:$BL$62),_xlfn.XLOOKUP(TRIM(SUBSTITUTE(U290,CHAR(160)," ")),$BK$15:$BK$62,$BL$15:$BL$62))))*T290*IF(ISBLANK(Q290),1,Q290)+IFERROR(_xlfn.XLOOKUP("RECHERCHEX",TRIM(L290:AC290),L290:AC290),0),0))</f>
        <v/>
      </c>
      <c r="AL290" s="1030">
        <f t="shared" si="124"/>
        <v>0</v>
      </c>
      <c r="AM290" s="5254" t="str">
        <f t="shared" si="139"/>
        <v/>
      </c>
      <c r="AN290" s="1031">
        <f t="shared" si="125"/>
        <v>0</v>
      </c>
      <c r="AO290" s="1031">
        <f t="shared" si="126"/>
        <v>0</v>
      </c>
      <c r="AP290" s="1032">
        <f t="shared" si="127"/>
        <v>0</v>
      </c>
      <c r="AQ290" s="5255" t="str">
        <f t="shared" si="128"/>
        <v/>
      </c>
      <c r="AR290" s="1056"/>
      <c r="AS290" s="1056"/>
      <c r="AT290" s="1034">
        <f t="shared" si="129"/>
        <v>0</v>
      </c>
      <c r="AU290" s="1035">
        <f t="shared" si="130"/>
        <v>0</v>
      </c>
      <c r="AV290" s="1057" cm="1">
        <f t="array" ref="AV290">IF(AJ290&lt;&gt;1,0,IF(OR(AT290="",N(AT290)&lt;=0.000000001),"",IF(OR(AN290="",N(AN290)&lt;=0.000000001),0,IF(ISNUMBER(AT290),IFERROR(_xlfn.LET(_xlpm.ai_test,TRIM(AI290),_xlpm.r,IFERROR(_xlfn.XLOOKUP(_xlpm.ai_test,$BI$15:$BI$62,ROW($BI$15:$BI$62),0,1),IFERROR(_xlfn.XLOOKUP(_xlpm.ai_test,$BJ$15:$BJ$62,ROW($BJ$15:$BJ$62),0,1),_xlfn.XLOOKUP(_xlpm.ai_test,$BK$15:$BK$62,ROW($BK$15:$BK$62),0,1))),_xlpm.p,_xlpm.r-MIN(ROW($BI$15:$BI$62))+1,_xlpm.f,INDEX($BL$15:$BL$62,_xlpm.p),_xlpm.u,INDEX($BM$15:$BM$62,_xlpm.p),_xlpm.s,INDEX($BO$15:$BO$62,_xlpm.p),_xlpm.q,N(AT290)/_xlpm.f,IF(_xlpm.q&gt;=_xlpm.s,ROUND(_xlpm.q,1)&amp;" "&amp;_xlpm.ai_test&amp;" = "&amp;ROUND(_xlpm.q*_xlpm.f,1)&amp;" "&amp;_xlpm.u,ROUND(_xlpm.q,1)&amp;" "&amp;_xlpm.ai_test)),""),""))))</f>
        <v>0</v>
      </c>
      <c r="AW290" s="1047"/>
      <c r="AX290" s="1034">
        <f t="shared" si="131"/>
        <v>0</v>
      </c>
      <c r="AY290" s="1035" t="str">
        <f t="shared" si="132"/>
        <v/>
      </c>
      <c r="AZ290" s="1036">
        <f t="shared" si="137"/>
        <v>0</v>
      </c>
      <c r="BA290" s="1037" t="str">
        <f t="shared" si="133"/>
        <v/>
      </c>
      <c r="BB290" s="1038"/>
      <c r="BC290" s="1039">
        <f t="shared" si="138"/>
        <v>0</v>
      </c>
      <c r="BD290" s="1040" t="str">
        <f t="shared" si="134"/>
        <v/>
      </c>
      <c r="BE290" s="227" t="s">
        <v>22</v>
      </c>
      <c r="BF290" s="1019">
        <f t="shared" si="135"/>
        <v>0</v>
      </c>
      <c r="BG290" s="1020">
        <f t="shared" si="136"/>
        <v>0</v>
      </c>
      <c r="BH290"/>
      <c r="BI290" s="709"/>
      <c r="BJ290" s="709"/>
      <c r="BK290" s="709"/>
      <c r="BL290" s="709"/>
      <c r="BM290" s="709"/>
      <c r="BN290" s="709"/>
      <c r="BO290" s="709"/>
      <c r="BP290" s="709"/>
      <c r="BQ290"/>
      <c r="BR290"/>
      <c r="BS290"/>
      <c r="BT290"/>
      <c r="BU290"/>
      <c r="BV290"/>
      <c r="BW290" s="959" t="str">
        <f t="shared" si="117"/>
        <v>►</v>
      </c>
      <c r="BX290"/>
      <c r="BY290"/>
      <c r="BZ290"/>
      <c r="CA290"/>
      <c r="CB290"/>
      <c r="CD290"/>
      <c r="CE290"/>
      <c r="CF290"/>
      <c r="CG290"/>
      <c r="CH290"/>
      <c r="CI290"/>
      <c r="CJ290"/>
      <c r="CK290" s="227"/>
      <c r="CL290"/>
      <c r="CM290"/>
      <c r="CN290"/>
      <c r="CO290"/>
      <c r="CP290"/>
      <c r="CQ290"/>
      <c r="CR290"/>
      <c r="CS290" s="227"/>
      <c r="CT290"/>
      <c r="CU290"/>
      <c r="CV290"/>
      <c r="CW290"/>
      <c r="CX290"/>
      <c r="CY290"/>
      <c r="CZ290"/>
      <c r="DA290" s="227"/>
      <c r="DB290" s="3">
        <v>1</v>
      </c>
      <c r="DC290" s="709"/>
      <c r="DD290" s="709"/>
    </row>
    <row r="291" spans="1:108" s="856" customFormat="1" ht="21" customHeight="1">
      <c r="A291" s="936" t="s">
        <v>22</v>
      </c>
      <c r="B291" s="952" t="str">
        <f t="shared" si="116"/>
        <v>►</v>
      </c>
      <c r="C291" s="993" cm="1">
        <f t="array" ref="C291">SUMPRODUCT(LEN(D291:J291))</f>
        <v>0</v>
      </c>
      <c r="D291" s="167"/>
      <c r="E291" s="172"/>
      <c r="F291" s="172"/>
      <c r="G291" s="172"/>
      <c r="H291" s="172"/>
      <c r="I291" s="172"/>
      <c r="J291" s="173"/>
      <c r="K291" s="442"/>
      <c r="L291" s="104" t="s">
        <v>16</v>
      </c>
      <c r="M291" s="1172"/>
      <c r="N291" s="1172"/>
      <c r="O291" s="1172"/>
      <c r="P291" s="1173"/>
      <c r="Q291" s="1174"/>
      <c r="R291" s="1175"/>
      <c r="S291" s="1176"/>
      <c r="T291" s="1177"/>
      <c r="U291" s="5248"/>
      <c r="V291" s="1177"/>
      <c r="W291" s="5249"/>
      <c r="X291" s="5208"/>
      <c r="Y291" s="5209"/>
      <c r="Z291" s="5210"/>
      <c r="AA291" s="5211"/>
      <c r="AB291" s="1178"/>
      <c r="AC291" s="1179"/>
      <c r="AD291" s="227" t="s">
        <v>22</v>
      </c>
      <c r="AE291" s="1027" t="str">
        <f t="shared" si="118"/>
        <v>►</v>
      </c>
      <c r="AF291" s="1028" t="str">
        <f t="shared" si="119"/>
        <v/>
      </c>
      <c r="AG291" s="1029" t="str">
        <f t="shared" si="120"/>
        <v/>
      </c>
      <c r="AH291" s="1028" t="str">
        <f t="shared" si="121"/>
        <v/>
      </c>
      <c r="AI291" s="1029" t="str">
        <f t="shared" si="122"/>
        <v/>
      </c>
      <c r="AJ291" s="1029">
        <f t="shared" si="123"/>
        <v>0</v>
      </c>
      <c r="AK291" s="1043" t="str" cm="1">
        <f t="array" ref="AK291">IF(AE291&lt;&gt;"A","",IFERROR((IFERROR(_xlfn.XLOOKUP(TRIM(SUBSTITUTE(U291,CHAR(160)," ")),$BI$15:$BI$62,$BL$15:$BL$62),IFERROR(_xlfn.XLOOKUP(TRIM(SUBSTITUTE(U291,CHAR(160)," ")),$BJ$15:$BJ$62,$BL$15:$BL$62),_xlfn.XLOOKUP(TRIM(SUBSTITUTE(U291,CHAR(160)," ")),$BK$15:$BK$62,$BL$15:$BL$62))))*T291*IF(ISBLANK(Q291),1,Q291)+IFERROR(_xlfn.XLOOKUP("RECHERCHEX",TRIM(L291:AC291),L291:AC291),0),0))</f>
        <v/>
      </c>
      <c r="AL291" s="1030">
        <f t="shared" si="124"/>
        <v>0</v>
      </c>
      <c r="AM291" s="5254" t="str">
        <f t="shared" si="139"/>
        <v/>
      </c>
      <c r="AN291" s="1031">
        <f t="shared" si="125"/>
        <v>0</v>
      </c>
      <c r="AO291" s="1031">
        <f t="shared" si="126"/>
        <v>0</v>
      </c>
      <c r="AP291" s="1044">
        <f t="shared" si="127"/>
        <v>0</v>
      </c>
      <c r="AQ291" s="5257" t="str">
        <f t="shared" si="128"/>
        <v/>
      </c>
      <c r="AR291" s="1056"/>
      <c r="AS291" s="1056"/>
      <c r="AT291" s="1045">
        <f t="shared" si="129"/>
        <v>0</v>
      </c>
      <c r="AU291" s="1046">
        <f t="shared" si="130"/>
        <v>0</v>
      </c>
      <c r="AV291" s="1059" cm="1">
        <f t="array" ref="AV291">IF(AJ291&lt;&gt;1,0,IF(OR(AT291="",N(AT291)&lt;=0.000000001),"",IF(OR(AN291="",N(AN291)&lt;=0.000000001),0,IF(ISNUMBER(AT291),IFERROR(_xlfn.LET(_xlpm.ai_test,TRIM(AI291),_xlpm.r,IFERROR(_xlfn.XLOOKUP(_xlpm.ai_test,$BI$15:$BI$62,ROW($BI$15:$BI$62),0,1),IFERROR(_xlfn.XLOOKUP(_xlpm.ai_test,$BJ$15:$BJ$62,ROW($BJ$15:$BJ$62),0,1),_xlfn.XLOOKUP(_xlpm.ai_test,$BK$15:$BK$62,ROW($BK$15:$BK$62),0,1))),_xlpm.p,_xlpm.r-MIN(ROW($BI$15:$BI$62))+1,_xlpm.f,INDEX($BL$15:$BL$62,_xlpm.p),_xlpm.u,INDEX($BM$15:$BM$62,_xlpm.p),_xlpm.s,INDEX($BO$15:$BO$62,_xlpm.p),_xlpm.q,N(AT291)/_xlpm.f,IF(_xlpm.q&gt;=_xlpm.s,ROUND(_xlpm.q,1)&amp;" "&amp;_xlpm.ai_test&amp;" = "&amp;ROUND(_xlpm.q*_xlpm.f,1)&amp;" "&amp;_xlpm.u,ROUND(_xlpm.q,1)&amp;" "&amp;_xlpm.ai_test)),""),""))))</f>
        <v>0</v>
      </c>
      <c r="AW291" s="1047"/>
      <c r="AX291" s="1045">
        <f t="shared" si="131"/>
        <v>0</v>
      </c>
      <c r="AY291" s="1046" t="str">
        <f t="shared" si="132"/>
        <v/>
      </c>
      <c r="AZ291" s="1048">
        <f t="shared" si="137"/>
        <v>0</v>
      </c>
      <c r="BA291" s="1049" t="str">
        <f t="shared" si="133"/>
        <v/>
      </c>
      <c r="BB291" s="1038"/>
      <c r="BC291" s="1050">
        <f t="shared" si="138"/>
        <v>0</v>
      </c>
      <c r="BD291" s="1040" t="str">
        <f t="shared" si="134"/>
        <v/>
      </c>
      <c r="BE291" s="227" t="s">
        <v>22</v>
      </c>
      <c r="BF291" s="1019">
        <f t="shared" si="135"/>
        <v>0</v>
      </c>
      <c r="BG291" s="1020">
        <f t="shared" si="136"/>
        <v>0</v>
      </c>
      <c r="BH291"/>
      <c r="BI291" s="709"/>
      <c r="BJ291" s="709"/>
      <c r="BK291" s="709"/>
      <c r="BL291" s="709"/>
      <c r="BM291" s="709"/>
      <c r="BN291" s="709"/>
      <c r="BO291" s="709"/>
      <c r="BP291" s="709"/>
      <c r="BQ291"/>
      <c r="BR291"/>
      <c r="BS291"/>
      <c r="BT291"/>
      <c r="BU291"/>
      <c r="BV291"/>
      <c r="BW291" s="959" t="str">
        <f t="shared" si="117"/>
        <v>►</v>
      </c>
      <c r="BX291"/>
      <c r="BY291"/>
      <c r="BZ291"/>
      <c r="CA291"/>
      <c r="CB291"/>
      <c r="CD291"/>
      <c r="CE291"/>
      <c r="CF291"/>
      <c r="CG291"/>
      <c r="CH291"/>
      <c r="CI291"/>
      <c r="CJ291"/>
      <c r="CL291"/>
      <c r="CM291"/>
      <c r="CN291"/>
      <c r="CO291"/>
      <c r="CP291"/>
      <c r="CQ291"/>
      <c r="CR291"/>
      <c r="CT291"/>
      <c r="CU291"/>
      <c r="CV291"/>
      <c r="CW291"/>
      <c r="CX291"/>
      <c r="CY291"/>
      <c r="CZ291"/>
      <c r="DB291" s="3">
        <v>1</v>
      </c>
      <c r="DC291" s="709"/>
      <c r="DD291" s="709"/>
    </row>
    <row r="292" spans="1:108" s="856" customFormat="1" ht="21" customHeight="1">
      <c r="A292" s="936" t="s">
        <v>22</v>
      </c>
      <c r="B292" s="952" t="str">
        <f t="shared" si="116"/>
        <v>►</v>
      </c>
      <c r="C292" s="993" cm="1">
        <f t="array" ref="C292">SUMPRODUCT(LEN(D292:J292))</f>
        <v>0</v>
      </c>
      <c r="D292" s="167"/>
      <c r="E292" s="172"/>
      <c r="F292" s="172"/>
      <c r="G292" s="172"/>
      <c r="H292" s="172"/>
      <c r="I292" s="172"/>
      <c r="J292" s="173"/>
      <c r="K292" s="442"/>
      <c r="L292" s="104" t="s">
        <v>16</v>
      </c>
      <c r="M292" s="1172"/>
      <c r="N292" s="1172"/>
      <c r="O292" s="1172"/>
      <c r="P292" s="1173"/>
      <c r="Q292" s="1174"/>
      <c r="R292" s="1175"/>
      <c r="S292" s="1176"/>
      <c r="T292" s="1177"/>
      <c r="U292" s="5248"/>
      <c r="V292" s="1177"/>
      <c r="W292" s="5249"/>
      <c r="X292" s="5208"/>
      <c r="Y292" s="5209"/>
      <c r="Z292" s="5210"/>
      <c r="AA292" s="5211"/>
      <c r="AB292" s="1178"/>
      <c r="AC292" s="1179"/>
      <c r="AD292" s="227" t="s">
        <v>22</v>
      </c>
      <c r="AE292" s="1027" t="str">
        <f t="shared" si="118"/>
        <v>►</v>
      </c>
      <c r="AF292" s="1028" t="str">
        <f t="shared" si="119"/>
        <v/>
      </c>
      <c r="AG292" s="1029" t="str">
        <f t="shared" si="120"/>
        <v/>
      </c>
      <c r="AH292" s="1028" t="str">
        <f t="shared" si="121"/>
        <v/>
      </c>
      <c r="AI292" s="1029" t="str">
        <f t="shared" si="122"/>
        <v/>
      </c>
      <c r="AJ292" s="1029">
        <f t="shared" si="123"/>
        <v>0</v>
      </c>
      <c r="AK292" s="1043" t="str" cm="1">
        <f t="array" ref="AK292">IF(AE292&lt;&gt;"A","",IFERROR((IFERROR(_xlfn.XLOOKUP(TRIM(SUBSTITUTE(U292,CHAR(160)," ")),$BI$15:$BI$62,$BL$15:$BL$62),IFERROR(_xlfn.XLOOKUP(TRIM(SUBSTITUTE(U292,CHAR(160)," ")),$BJ$15:$BJ$62,$BL$15:$BL$62),_xlfn.XLOOKUP(TRIM(SUBSTITUTE(U292,CHAR(160)," ")),$BK$15:$BK$62,$BL$15:$BL$62))))*T292*IF(ISBLANK(Q292),1,Q292)+IFERROR(_xlfn.XLOOKUP("RECHERCHEX",TRIM(L292:AC292),L292:AC292),0),0))</f>
        <v/>
      </c>
      <c r="AL292" s="1030">
        <f t="shared" si="124"/>
        <v>0</v>
      </c>
      <c r="AM292" s="5254" t="str">
        <f t="shared" si="139"/>
        <v/>
      </c>
      <c r="AN292" s="1031">
        <f t="shared" si="125"/>
        <v>0</v>
      </c>
      <c r="AO292" s="1031">
        <f t="shared" si="126"/>
        <v>0</v>
      </c>
      <c r="AP292" s="1032">
        <f t="shared" si="127"/>
        <v>0</v>
      </c>
      <c r="AQ292" s="5255" t="str">
        <f t="shared" si="128"/>
        <v/>
      </c>
      <c r="AR292" s="1056"/>
      <c r="AS292" s="1056"/>
      <c r="AT292" s="1034">
        <f t="shared" si="129"/>
        <v>0</v>
      </c>
      <c r="AU292" s="1035">
        <f t="shared" si="130"/>
        <v>0</v>
      </c>
      <c r="AV292" s="1057" cm="1">
        <f t="array" ref="AV292">IF(AJ292&lt;&gt;1,0,IF(OR(AT292="",N(AT292)&lt;=0.000000001),"",IF(OR(AN292="",N(AN292)&lt;=0.000000001),0,IF(ISNUMBER(AT292),IFERROR(_xlfn.LET(_xlpm.ai_test,TRIM(AI292),_xlpm.r,IFERROR(_xlfn.XLOOKUP(_xlpm.ai_test,$BI$15:$BI$62,ROW($BI$15:$BI$62),0,1),IFERROR(_xlfn.XLOOKUP(_xlpm.ai_test,$BJ$15:$BJ$62,ROW($BJ$15:$BJ$62),0,1),_xlfn.XLOOKUP(_xlpm.ai_test,$BK$15:$BK$62,ROW($BK$15:$BK$62),0,1))),_xlpm.p,_xlpm.r-MIN(ROW($BI$15:$BI$62))+1,_xlpm.f,INDEX($BL$15:$BL$62,_xlpm.p),_xlpm.u,INDEX($BM$15:$BM$62,_xlpm.p),_xlpm.s,INDEX($BO$15:$BO$62,_xlpm.p),_xlpm.q,N(AT292)/_xlpm.f,IF(_xlpm.q&gt;=_xlpm.s,ROUND(_xlpm.q,1)&amp;" "&amp;_xlpm.ai_test&amp;" = "&amp;ROUND(_xlpm.q*_xlpm.f,1)&amp;" "&amp;_xlpm.u,ROUND(_xlpm.q,1)&amp;" "&amp;_xlpm.ai_test)),""),""))))</f>
        <v>0</v>
      </c>
      <c r="AW292" s="1047"/>
      <c r="AX292" s="1034">
        <f t="shared" si="131"/>
        <v>0</v>
      </c>
      <c r="AY292" s="1035" t="str">
        <f t="shared" si="132"/>
        <v/>
      </c>
      <c r="AZ292" s="1036">
        <f t="shared" si="137"/>
        <v>0</v>
      </c>
      <c r="BA292" s="1037" t="str">
        <f t="shared" si="133"/>
        <v/>
      </c>
      <c r="BB292" s="1038"/>
      <c r="BC292" s="1039">
        <f t="shared" si="138"/>
        <v>0</v>
      </c>
      <c r="BD292" s="1040" t="str">
        <f t="shared" si="134"/>
        <v/>
      </c>
      <c r="BE292" s="227" t="s">
        <v>22</v>
      </c>
      <c r="BF292" s="1019">
        <f t="shared" si="135"/>
        <v>0</v>
      </c>
      <c r="BG292" s="1020">
        <f t="shared" si="136"/>
        <v>0</v>
      </c>
      <c r="BH292"/>
      <c r="BI292" s="709"/>
      <c r="BJ292" s="709"/>
      <c r="BK292" s="709"/>
      <c r="BL292" s="709"/>
      <c r="BM292" s="709"/>
      <c r="BN292" s="709"/>
      <c r="BO292" s="709"/>
      <c r="BP292" s="709"/>
      <c r="BQ292"/>
      <c r="BR292"/>
      <c r="BS292"/>
      <c r="BT292"/>
      <c r="BU292"/>
      <c r="BV292"/>
      <c r="BW292" s="959" t="str">
        <f t="shared" si="117"/>
        <v>►</v>
      </c>
      <c r="BX292"/>
      <c r="BY292"/>
      <c r="BZ292"/>
      <c r="CA292"/>
      <c r="CB292"/>
      <c r="CD292"/>
      <c r="CE292"/>
      <c r="CF292"/>
      <c r="CG292"/>
      <c r="CH292"/>
      <c r="CI292"/>
      <c r="CJ292"/>
      <c r="CL292"/>
      <c r="CM292"/>
      <c r="CN292"/>
      <c r="CO292"/>
      <c r="CP292"/>
      <c r="CQ292"/>
      <c r="CR292"/>
      <c r="CT292"/>
      <c r="CU292"/>
      <c r="CV292"/>
      <c r="CW292"/>
      <c r="CX292"/>
      <c r="CY292"/>
      <c r="CZ292"/>
      <c r="DB292" s="3">
        <v>1</v>
      </c>
      <c r="DC292" s="709"/>
      <c r="DD292" s="709"/>
    </row>
    <row r="293" spans="1:108" s="856" customFormat="1" ht="21" customHeight="1">
      <c r="A293" s="936" t="s">
        <v>22</v>
      </c>
      <c r="B293" s="952" t="str">
        <f t="shared" si="116"/>
        <v>►</v>
      </c>
      <c r="C293" s="993" cm="1">
        <f t="array" ref="C293">SUMPRODUCT(LEN(D293:J293))</f>
        <v>0</v>
      </c>
      <c r="D293" s="167"/>
      <c r="E293" s="172"/>
      <c r="F293" s="172"/>
      <c r="G293" s="172"/>
      <c r="H293" s="172"/>
      <c r="I293" s="172"/>
      <c r="J293" s="173"/>
      <c r="K293" s="442"/>
      <c r="L293" s="104" t="s">
        <v>16</v>
      </c>
      <c r="M293" s="1172"/>
      <c r="N293" s="1172"/>
      <c r="O293" s="1172"/>
      <c r="P293" s="1173"/>
      <c r="Q293" s="1174"/>
      <c r="R293" s="1175"/>
      <c r="S293" s="1176"/>
      <c r="T293" s="1177"/>
      <c r="U293" s="5248"/>
      <c r="V293" s="1177"/>
      <c r="W293" s="5249"/>
      <c r="X293" s="5208"/>
      <c r="Y293" s="5209"/>
      <c r="Z293" s="5210"/>
      <c r="AA293" s="5211"/>
      <c r="AB293" s="1178"/>
      <c r="AC293" s="1179"/>
      <c r="AD293" s="227" t="s">
        <v>22</v>
      </c>
      <c r="AE293" s="1027" t="str">
        <f t="shared" si="118"/>
        <v>►</v>
      </c>
      <c r="AF293" s="1028" t="str">
        <f t="shared" si="119"/>
        <v/>
      </c>
      <c r="AG293" s="1029" t="str">
        <f t="shared" si="120"/>
        <v/>
      </c>
      <c r="AH293" s="1028" t="str">
        <f t="shared" si="121"/>
        <v/>
      </c>
      <c r="AI293" s="1029" t="str">
        <f t="shared" si="122"/>
        <v/>
      </c>
      <c r="AJ293" s="1029">
        <f t="shared" si="123"/>
        <v>0</v>
      </c>
      <c r="AK293" s="1043" t="str" cm="1">
        <f t="array" ref="AK293">IF(AE293&lt;&gt;"A","",IFERROR((IFERROR(_xlfn.XLOOKUP(TRIM(SUBSTITUTE(U293,CHAR(160)," ")),$BI$15:$BI$62,$BL$15:$BL$62),IFERROR(_xlfn.XLOOKUP(TRIM(SUBSTITUTE(U293,CHAR(160)," ")),$BJ$15:$BJ$62,$BL$15:$BL$62),_xlfn.XLOOKUP(TRIM(SUBSTITUTE(U293,CHAR(160)," ")),$BK$15:$BK$62,$BL$15:$BL$62))))*T293*IF(ISBLANK(Q293),1,Q293)+IFERROR(_xlfn.XLOOKUP("RECHERCHEX",TRIM(L293:AC293),L293:AC293),0),0))</f>
        <v/>
      </c>
      <c r="AL293" s="1030">
        <f t="shared" si="124"/>
        <v>0</v>
      </c>
      <c r="AM293" s="5254" t="str">
        <f t="shared" si="139"/>
        <v/>
      </c>
      <c r="AN293" s="1031">
        <f t="shared" si="125"/>
        <v>0</v>
      </c>
      <c r="AO293" s="1031">
        <f t="shared" si="126"/>
        <v>0</v>
      </c>
      <c r="AP293" s="1044">
        <f t="shared" si="127"/>
        <v>0</v>
      </c>
      <c r="AQ293" s="5257" t="str">
        <f t="shared" si="128"/>
        <v/>
      </c>
      <c r="AR293" s="1056"/>
      <c r="AS293" s="1056"/>
      <c r="AT293" s="1045">
        <f t="shared" si="129"/>
        <v>0</v>
      </c>
      <c r="AU293" s="1046">
        <f t="shared" si="130"/>
        <v>0</v>
      </c>
      <c r="AV293" s="1059" cm="1">
        <f t="array" ref="AV293">IF(AJ293&lt;&gt;1,0,IF(OR(AT293="",N(AT293)&lt;=0.000000001),"",IF(OR(AN293="",N(AN293)&lt;=0.000000001),0,IF(ISNUMBER(AT293),IFERROR(_xlfn.LET(_xlpm.ai_test,TRIM(AI293),_xlpm.r,IFERROR(_xlfn.XLOOKUP(_xlpm.ai_test,$BI$15:$BI$62,ROW($BI$15:$BI$62),0,1),IFERROR(_xlfn.XLOOKUP(_xlpm.ai_test,$BJ$15:$BJ$62,ROW($BJ$15:$BJ$62),0,1),_xlfn.XLOOKUP(_xlpm.ai_test,$BK$15:$BK$62,ROW($BK$15:$BK$62),0,1))),_xlpm.p,_xlpm.r-MIN(ROW($BI$15:$BI$62))+1,_xlpm.f,INDEX($BL$15:$BL$62,_xlpm.p),_xlpm.u,INDEX($BM$15:$BM$62,_xlpm.p),_xlpm.s,INDEX($BO$15:$BO$62,_xlpm.p),_xlpm.q,N(AT293)/_xlpm.f,IF(_xlpm.q&gt;=_xlpm.s,ROUND(_xlpm.q,1)&amp;" "&amp;_xlpm.ai_test&amp;" = "&amp;ROUND(_xlpm.q*_xlpm.f,1)&amp;" "&amp;_xlpm.u,ROUND(_xlpm.q,1)&amp;" "&amp;_xlpm.ai_test)),""),""))))</f>
        <v>0</v>
      </c>
      <c r="AW293" s="1047"/>
      <c r="AX293" s="1045">
        <f t="shared" si="131"/>
        <v>0</v>
      </c>
      <c r="AY293" s="1046" t="str">
        <f t="shared" si="132"/>
        <v/>
      </c>
      <c r="AZ293" s="1048">
        <f t="shared" si="137"/>
        <v>0</v>
      </c>
      <c r="BA293" s="1049" t="str">
        <f t="shared" si="133"/>
        <v/>
      </c>
      <c r="BB293" s="1038"/>
      <c r="BC293" s="1050">
        <f t="shared" si="138"/>
        <v>0</v>
      </c>
      <c r="BD293" s="1040" t="str">
        <f t="shared" si="134"/>
        <v/>
      </c>
      <c r="BE293" s="227" t="s">
        <v>22</v>
      </c>
      <c r="BF293" s="1019">
        <f t="shared" si="135"/>
        <v>0</v>
      </c>
      <c r="BG293" s="1020">
        <f t="shared" si="136"/>
        <v>0</v>
      </c>
      <c r="BH293"/>
      <c r="BI293" s="709"/>
      <c r="BJ293" s="709"/>
      <c r="BK293" s="709"/>
      <c r="BL293" s="709"/>
      <c r="BM293" s="709"/>
      <c r="BN293" s="709"/>
      <c r="BO293" s="709"/>
      <c r="BP293" s="709"/>
      <c r="BQ293"/>
      <c r="BR293"/>
      <c r="BS293"/>
      <c r="BT293"/>
      <c r="BU293"/>
      <c r="BV293"/>
      <c r="BW293" s="959" t="str">
        <f t="shared" si="117"/>
        <v>►</v>
      </c>
      <c r="BX293"/>
      <c r="BY293"/>
      <c r="BZ293"/>
      <c r="CA293"/>
      <c r="CB293"/>
      <c r="CD293"/>
      <c r="CE293"/>
      <c r="CF293"/>
      <c r="CG293"/>
      <c r="CH293"/>
      <c r="CI293"/>
      <c r="CJ293"/>
      <c r="CL293"/>
      <c r="CM293"/>
      <c r="CN293"/>
      <c r="CO293"/>
      <c r="CP293"/>
      <c r="CQ293"/>
      <c r="CR293"/>
      <c r="CT293"/>
      <c r="CU293"/>
      <c r="CV293"/>
      <c r="CW293"/>
      <c r="CX293"/>
      <c r="CY293"/>
      <c r="CZ293"/>
      <c r="DB293" s="3">
        <v>1</v>
      </c>
      <c r="DC293" s="709"/>
      <c r="DD293" s="709"/>
    </row>
    <row r="294" spans="1:108" s="856" customFormat="1" ht="21" customHeight="1">
      <c r="A294" s="936" t="s">
        <v>22</v>
      </c>
      <c r="B294" s="952" t="str">
        <f t="shared" si="116"/>
        <v>►</v>
      </c>
      <c r="C294" s="993" cm="1">
        <f t="array" ref="C294">SUMPRODUCT(LEN(D294:J294))</f>
        <v>0</v>
      </c>
      <c r="D294" s="167"/>
      <c r="E294" s="172"/>
      <c r="F294" s="172"/>
      <c r="G294" s="172"/>
      <c r="H294" s="172"/>
      <c r="I294" s="172"/>
      <c r="J294" s="173"/>
      <c r="K294" s="442"/>
      <c r="L294" s="104" t="s">
        <v>16</v>
      </c>
      <c r="M294" s="1172"/>
      <c r="N294" s="1172"/>
      <c r="O294" s="1172"/>
      <c r="P294" s="1173"/>
      <c r="Q294" s="1174"/>
      <c r="R294" s="1175"/>
      <c r="S294" s="1176"/>
      <c r="T294" s="1177"/>
      <c r="U294" s="5248"/>
      <c r="V294" s="1177"/>
      <c r="W294" s="5249"/>
      <c r="X294" s="5208"/>
      <c r="Y294" s="5209"/>
      <c r="Z294" s="5210"/>
      <c r="AA294" s="5211"/>
      <c r="AB294" s="1178"/>
      <c r="AC294" s="1179"/>
      <c r="AD294" s="227" t="s">
        <v>22</v>
      </c>
      <c r="AE294" s="1027" t="str">
        <f t="shared" si="118"/>
        <v>►</v>
      </c>
      <c r="AF294" s="1028" t="str">
        <f t="shared" si="119"/>
        <v/>
      </c>
      <c r="AG294" s="1029" t="str">
        <f t="shared" si="120"/>
        <v/>
      </c>
      <c r="AH294" s="1028" t="str">
        <f t="shared" si="121"/>
        <v/>
      </c>
      <c r="AI294" s="1029" t="str">
        <f t="shared" si="122"/>
        <v/>
      </c>
      <c r="AJ294" s="1029">
        <f t="shared" si="123"/>
        <v>0</v>
      </c>
      <c r="AK294" s="1043" t="str" cm="1">
        <f t="array" ref="AK294">IF(AE294&lt;&gt;"A","",IFERROR((IFERROR(_xlfn.XLOOKUP(TRIM(SUBSTITUTE(U294,CHAR(160)," ")),$BI$15:$BI$62,$BL$15:$BL$62),IFERROR(_xlfn.XLOOKUP(TRIM(SUBSTITUTE(U294,CHAR(160)," ")),$BJ$15:$BJ$62,$BL$15:$BL$62),_xlfn.XLOOKUP(TRIM(SUBSTITUTE(U294,CHAR(160)," ")),$BK$15:$BK$62,$BL$15:$BL$62))))*T294*IF(ISBLANK(Q294),1,Q294)+IFERROR(_xlfn.XLOOKUP("RECHERCHEX",TRIM(L294:AC294),L294:AC294),0),0))</f>
        <v/>
      </c>
      <c r="AL294" s="1030">
        <f t="shared" si="124"/>
        <v>0</v>
      </c>
      <c r="AM294" s="5254" t="str">
        <f t="shared" si="139"/>
        <v/>
      </c>
      <c r="AN294" s="1031">
        <f t="shared" si="125"/>
        <v>0</v>
      </c>
      <c r="AO294" s="1031">
        <f t="shared" si="126"/>
        <v>0</v>
      </c>
      <c r="AP294" s="1032">
        <f t="shared" si="127"/>
        <v>0</v>
      </c>
      <c r="AQ294" s="5255" t="str">
        <f t="shared" si="128"/>
        <v/>
      </c>
      <c r="AR294" s="1056"/>
      <c r="AS294" s="1056"/>
      <c r="AT294" s="1034">
        <f t="shared" si="129"/>
        <v>0</v>
      </c>
      <c r="AU294" s="1035">
        <f t="shared" si="130"/>
        <v>0</v>
      </c>
      <c r="AV294" s="1057" cm="1">
        <f t="array" ref="AV294">IF(AJ294&lt;&gt;1,0,IF(OR(AT294="",N(AT294)&lt;=0.000000001),"",IF(OR(AN294="",N(AN294)&lt;=0.000000001),0,IF(ISNUMBER(AT294),IFERROR(_xlfn.LET(_xlpm.ai_test,TRIM(AI294),_xlpm.r,IFERROR(_xlfn.XLOOKUP(_xlpm.ai_test,$BI$15:$BI$62,ROW($BI$15:$BI$62),0,1),IFERROR(_xlfn.XLOOKUP(_xlpm.ai_test,$BJ$15:$BJ$62,ROW($BJ$15:$BJ$62),0,1),_xlfn.XLOOKUP(_xlpm.ai_test,$BK$15:$BK$62,ROW($BK$15:$BK$62),0,1))),_xlpm.p,_xlpm.r-MIN(ROW($BI$15:$BI$62))+1,_xlpm.f,INDEX($BL$15:$BL$62,_xlpm.p),_xlpm.u,INDEX($BM$15:$BM$62,_xlpm.p),_xlpm.s,INDEX($BO$15:$BO$62,_xlpm.p),_xlpm.q,N(AT294)/_xlpm.f,IF(_xlpm.q&gt;=_xlpm.s,ROUND(_xlpm.q,1)&amp;" "&amp;_xlpm.ai_test&amp;" = "&amp;ROUND(_xlpm.q*_xlpm.f,1)&amp;" "&amp;_xlpm.u,ROUND(_xlpm.q,1)&amp;" "&amp;_xlpm.ai_test)),""),""))))</f>
        <v>0</v>
      </c>
      <c r="AW294" s="1047"/>
      <c r="AX294" s="1034">
        <f t="shared" si="131"/>
        <v>0</v>
      </c>
      <c r="AY294" s="1035" t="str">
        <f t="shared" si="132"/>
        <v/>
      </c>
      <c r="AZ294" s="1036">
        <f t="shared" si="137"/>
        <v>0</v>
      </c>
      <c r="BA294" s="1037" t="str">
        <f t="shared" si="133"/>
        <v/>
      </c>
      <c r="BB294" s="1038"/>
      <c r="BC294" s="1039">
        <f t="shared" si="138"/>
        <v>0</v>
      </c>
      <c r="BD294" s="1040" t="str">
        <f t="shared" si="134"/>
        <v/>
      </c>
      <c r="BE294" s="227" t="s">
        <v>22</v>
      </c>
      <c r="BF294" s="1019">
        <f t="shared" si="135"/>
        <v>0</v>
      </c>
      <c r="BG294" s="1020">
        <f t="shared" si="136"/>
        <v>0</v>
      </c>
      <c r="BH294"/>
      <c r="BI294" s="709"/>
      <c r="BJ294" s="709"/>
      <c r="BK294" s="709"/>
      <c r="BL294" s="709"/>
      <c r="BM294" s="709"/>
      <c r="BN294" s="709"/>
      <c r="BO294" s="709"/>
      <c r="BP294" s="709"/>
      <c r="BQ294"/>
      <c r="BR294"/>
      <c r="BS294"/>
      <c r="BT294"/>
      <c r="BU294"/>
      <c r="BV294"/>
      <c r="BW294" s="959" t="str">
        <f t="shared" si="117"/>
        <v>►</v>
      </c>
      <c r="BX294"/>
      <c r="BY294"/>
      <c r="BZ294"/>
      <c r="CA294"/>
      <c r="CB294"/>
      <c r="CD294"/>
      <c r="CE294"/>
      <c r="CF294"/>
      <c r="CG294"/>
      <c r="CH294"/>
      <c r="CI294"/>
      <c r="CJ294"/>
      <c r="CL294"/>
      <c r="CM294"/>
      <c r="CN294"/>
      <c r="CO294"/>
      <c r="CP294"/>
      <c r="CQ294"/>
      <c r="CR294"/>
      <c r="CT294"/>
      <c r="CU294"/>
      <c r="CV294"/>
      <c r="CW294"/>
      <c r="CX294"/>
      <c r="CY294"/>
      <c r="CZ294"/>
      <c r="DB294" s="3">
        <v>1</v>
      </c>
      <c r="DC294" s="709"/>
      <c r="DD294" s="709"/>
    </row>
    <row r="295" spans="1:108" s="856" customFormat="1" ht="21" customHeight="1">
      <c r="A295" s="936" t="s">
        <v>22</v>
      </c>
      <c r="B295" s="952" t="str">
        <f t="shared" si="116"/>
        <v>►</v>
      </c>
      <c r="C295" s="993" cm="1">
        <f t="array" ref="C295">SUMPRODUCT(LEN(D295:J295))</f>
        <v>0</v>
      </c>
      <c r="D295" s="167"/>
      <c r="E295" s="172"/>
      <c r="F295" s="172"/>
      <c r="G295" s="172"/>
      <c r="H295" s="172"/>
      <c r="I295" s="172"/>
      <c r="J295" s="173"/>
      <c r="K295" s="442"/>
      <c r="L295" s="104" t="s">
        <v>16</v>
      </c>
      <c r="M295" s="1172"/>
      <c r="N295" s="1172"/>
      <c r="O295" s="1172"/>
      <c r="P295" s="1173"/>
      <c r="Q295" s="1174"/>
      <c r="R295" s="1175"/>
      <c r="S295" s="1176"/>
      <c r="T295" s="1177"/>
      <c r="U295" s="5248"/>
      <c r="V295" s="1177"/>
      <c r="W295" s="5249"/>
      <c r="X295" s="5208"/>
      <c r="Y295" s="5209"/>
      <c r="Z295" s="5210"/>
      <c r="AA295" s="5211"/>
      <c r="AB295" s="1178"/>
      <c r="AC295" s="1179"/>
      <c r="AD295" s="227" t="s">
        <v>22</v>
      </c>
      <c r="AE295" s="1027" t="str">
        <f t="shared" si="118"/>
        <v>►</v>
      </c>
      <c r="AF295" s="1028" t="str">
        <f t="shared" si="119"/>
        <v/>
      </c>
      <c r="AG295" s="1029" t="str">
        <f t="shared" si="120"/>
        <v/>
      </c>
      <c r="AH295" s="1028" t="str">
        <f t="shared" si="121"/>
        <v/>
      </c>
      <c r="AI295" s="1029" t="str">
        <f t="shared" si="122"/>
        <v/>
      </c>
      <c r="AJ295" s="1029">
        <f t="shared" si="123"/>
        <v>0</v>
      </c>
      <c r="AK295" s="1043" t="str" cm="1">
        <f t="array" ref="AK295">IF(AE295&lt;&gt;"A","",IFERROR((IFERROR(_xlfn.XLOOKUP(TRIM(SUBSTITUTE(U295,CHAR(160)," ")),$BI$15:$BI$62,$BL$15:$BL$62),IFERROR(_xlfn.XLOOKUP(TRIM(SUBSTITUTE(U295,CHAR(160)," ")),$BJ$15:$BJ$62,$BL$15:$BL$62),_xlfn.XLOOKUP(TRIM(SUBSTITUTE(U295,CHAR(160)," ")),$BK$15:$BK$62,$BL$15:$BL$62))))*T295*IF(ISBLANK(Q295),1,Q295)+IFERROR(_xlfn.XLOOKUP("RECHERCHEX",TRIM(L295:AC295),L295:AC295),0),0))</f>
        <v/>
      </c>
      <c r="AL295" s="1030">
        <f t="shared" si="124"/>
        <v>0</v>
      </c>
      <c r="AM295" s="5254" t="str">
        <f t="shared" si="139"/>
        <v/>
      </c>
      <c r="AN295" s="1031">
        <f t="shared" si="125"/>
        <v>0</v>
      </c>
      <c r="AO295" s="1031">
        <f t="shared" si="126"/>
        <v>0</v>
      </c>
      <c r="AP295" s="1044">
        <f t="shared" si="127"/>
        <v>0</v>
      </c>
      <c r="AQ295" s="5257" t="str">
        <f t="shared" si="128"/>
        <v/>
      </c>
      <c r="AR295" s="1056"/>
      <c r="AS295" s="1056"/>
      <c r="AT295" s="1045">
        <f t="shared" si="129"/>
        <v>0</v>
      </c>
      <c r="AU295" s="1046">
        <f t="shared" si="130"/>
        <v>0</v>
      </c>
      <c r="AV295" s="1059" cm="1">
        <f t="array" ref="AV295">IF(AJ295&lt;&gt;1,0,IF(OR(AT295="",N(AT295)&lt;=0.000000001),"",IF(OR(AN295="",N(AN295)&lt;=0.000000001),0,IF(ISNUMBER(AT295),IFERROR(_xlfn.LET(_xlpm.ai_test,TRIM(AI295),_xlpm.r,IFERROR(_xlfn.XLOOKUP(_xlpm.ai_test,$BI$15:$BI$62,ROW($BI$15:$BI$62),0,1),IFERROR(_xlfn.XLOOKUP(_xlpm.ai_test,$BJ$15:$BJ$62,ROW($BJ$15:$BJ$62),0,1),_xlfn.XLOOKUP(_xlpm.ai_test,$BK$15:$BK$62,ROW($BK$15:$BK$62),0,1))),_xlpm.p,_xlpm.r-MIN(ROW($BI$15:$BI$62))+1,_xlpm.f,INDEX($BL$15:$BL$62,_xlpm.p),_xlpm.u,INDEX($BM$15:$BM$62,_xlpm.p),_xlpm.s,INDEX($BO$15:$BO$62,_xlpm.p),_xlpm.q,N(AT295)/_xlpm.f,IF(_xlpm.q&gt;=_xlpm.s,ROUND(_xlpm.q,1)&amp;" "&amp;_xlpm.ai_test&amp;" = "&amp;ROUND(_xlpm.q*_xlpm.f,1)&amp;" "&amp;_xlpm.u,ROUND(_xlpm.q,1)&amp;" "&amp;_xlpm.ai_test)),""),""))))</f>
        <v>0</v>
      </c>
      <c r="AW295" s="1047"/>
      <c r="AX295" s="1045">
        <f t="shared" si="131"/>
        <v>0</v>
      </c>
      <c r="AY295" s="1046" t="str">
        <f t="shared" si="132"/>
        <v/>
      </c>
      <c r="AZ295" s="1048">
        <f t="shared" si="137"/>
        <v>0</v>
      </c>
      <c r="BA295" s="1049" t="str">
        <f t="shared" si="133"/>
        <v/>
      </c>
      <c r="BB295" s="1038"/>
      <c r="BC295" s="1050">
        <f t="shared" si="138"/>
        <v>0</v>
      </c>
      <c r="BD295" s="1040" t="str">
        <f t="shared" si="134"/>
        <v/>
      </c>
      <c r="BE295" s="227" t="s">
        <v>22</v>
      </c>
      <c r="BF295" s="1019">
        <f t="shared" si="135"/>
        <v>0</v>
      </c>
      <c r="BG295" s="1020">
        <f t="shared" si="136"/>
        <v>0</v>
      </c>
      <c r="BH295"/>
      <c r="BI295" s="709"/>
      <c r="BJ295" s="709"/>
      <c r="BK295" s="709"/>
      <c r="BL295" s="709"/>
      <c r="BM295" s="709"/>
      <c r="BN295" s="709"/>
      <c r="BO295" s="709"/>
      <c r="BP295" s="709"/>
      <c r="BQ295"/>
      <c r="BR295"/>
      <c r="BS295"/>
      <c r="BT295"/>
      <c r="BU295"/>
      <c r="BV295"/>
      <c r="BW295" s="959" t="str">
        <f t="shared" si="117"/>
        <v>►</v>
      </c>
      <c r="BX295"/>
      <c r="BY295"/>
      <c r="BZ295"/>
      <c r="CA295"/>
      <c r="CB295"/>
      <c r="CD295"/>
      <c r="CE295"/>
      <c r="CF295"/>
      <c r="CG295"/>
      <c r="CH295"/>
      <c r="CI295"/>
      <c r="CJ295"/>
      <c r="CL295"/>
      <c r="CM295"/>
      <c r="CN295"/>
      <c r="CO295"/>
      <c r="CP295"/>
      <c r="CQ295"/>
      <c r="CR295"/>
      <c r="CT295"/>
      <c r="CU295"/>
      <c r="CV295"/>
      <c r="CW295"/>
      <c r="CX295"/>
      <c r="CY295"/>
      <c r="CZ295"/>
      <c r="DB295" s="3">
        <v>1</v>
      </c>
      <c r="DC295" s="709"/>
      <c r="DD295" s="709"/>
    </row>
    <row r="296" spans="1:108" s="856" customFormat="1" ht="21" customHeight="1">
      <c r="A296" s="936" t="s">
        <v>22</v>
      </c>
      <c r="B296" s="952" t="str">
        <f t="shared" si="116"/>
        <v>►</v>
      </c>
      <c r="C296" s="993" cm="1">
        <f t="array" ref="C296">SUMPRODUCT(LEN(D296:J296))</f>
        <v>0</v>
      </c>
      <c r="D296" s="167"/>
      <c r="E296" s="172"/>
      <c r="F296" s="172"/>
      <c r="G296" s="172"/>
      <c r="H296" s="172"/>
      <c r="I296" s="172"/>
      <c r="J296" s="173"/>
      <c r="K296" s="442"/>
      <c r="L296" s="104" t="s">
        <v>16</v>
      </c>
      <c r="M296" s="1172"/>
      <c r="N296" s="1172"/>
      <c r="O296" s="1172"/>
      <c r="P296" s="1173"/>
      <c r="Q296" s="1174"/>
      <c r="R296" s="1175"/>
      <c r="S296" s="1176"/>
      <c r="T296" s="1177"/>
      <c r="U296" s="5248"/>
      <c r="V296" s="1177"/>
      <c r="W296" s="5249"/>
      <c r="X296" s="5208"/>
      <c r="Y296" s="5209"/>
      <c r="Z296" s="5210"/>
      <c r="AA296" s="5211"/>
      <c r="AB296" s="1178"/>
      <c r="AC296" s="1179"/>
      <c r="AD296" s="227" t="s">
        <v>22</v>
      </c>
      <c r="AE296" s="1027" t="str">
        <f t="shared" si="118"/>
        <v>►</v>
      </c>
      <c r="AF296" s="1028" t="str">
        <f t="shared" si="119"/>
        <v/>
      </c>
      <c r="AG296" s="1029" t="str">
        <f t="shared" si="120"/>
        <v/>
      </c>
      <c r="AH296" s="1028" t="str">
        <f t="shared" si="121"/>
        <v/>
      </c>
      <c r="AI296" s="1029" t="str">
        <f t="shared" si="122"/>
        <v/>
      </c>
      <c r="AJ296" s="1029">
        <f t="shared" si="123"/>
        <v>0</v>
      </c>
      <c r="AK296" s="1043" t="str" cm="1">
        <f t="array" ref="AK296">IF(AE296&lt;&gt;"A","",IFERROR((IFERROR(_xlfn.XLOOKUP(TRIM(SUBSTITUTE(U296,CHAR(160)," ")),$BI$15:$BI$62,$BL$15:$BL$62),IFERROR(_xlfn.XLOOKUP(TRIM(SUBSTITUTE(U296,CHAR(160)," ")),$BJ$15:$BJ$62,$BL$15:$BL$62),_xlfn.XLOOKUP(TRIM(SUBSTITUTE(U296,CHAR(160)," ")),$BK$15:$BK$62,$BL$15:$BL$62))))*T296*IF(ISBLANK(Q296),1,Q296)+IFERROR(_xlfn.XLOOKUP("RECHERCHEX",TRIM(L296:AC296),L296:AC296),0),0))</f>
        <v/>
      </c>
      <c r="AL296" s="1030">
        <f t="shared" si="124"/>
        <v>0</v>
      </c>
      <c r="AM296" s="5254" t="str">
        <f t="shared" si="139"/>
        <v/>
      </c>
      <c r="AN296" s="1031">
        <f t="shared" si="125"/>
        <v>0</v>
      </c>
      <c r="AO296" s="1031">
        <f t="shared" si="126"/>
        <v>0</v>
      </c>
      <c r="AP296" s="1032">
        <f t="shared" si="127"/>
        <v>0</v>
      </c>
      <c r="AQ296" s="5255" t="str">
        <f t="shared" si="128"/>
        <v/>
      </c>
      <c r="AR296" s="1056"/>
      <c r="AS296" s="1056"/>
      <c r="AT296" s="1034">
        <f t="shared" si="129"/>
        <v>0</v>
      </c>
      <c r="AU296" s="1035">
        <f t="shared" si="130"/>
        <v>0</v>
      </c>
      <c r="AV296" s="1057" cm="1">
        <f t="array" ref="AV296">IF(AJ296&lt;&gt;1,0,IF(OR(AT296="",N(AT296)&lt;=0.000000001),"",IF(OR(AN296="",N(AN296)&lt;=0.000000001),0,IF(ISNUMBER(AT296),IFERROR(_xlfn.LET(_xlpm.ai_test,TRIM(AI296),_xlpm.r,IFERROR(_xlfn.XLOOKUP(_xlpm.ai_test,$BI$15:$BI$62,ROW($BI$15:$BI$62),0,1),IFERROR(_xlfn.XLOOKUP(_xlpm.ai_test,$BJ$15:$BJ$62,ROW($BJ$15:$BJ$62),0,1),_xlfn.XLOOKUP(_xlpm.ai_test,$BK$15:$BK$62,ROW($BK$15:$BK$62),0,1))),_xlpm.p,_xlpm.r-MIN(ROW($BI$15:$BI$62))+1,_xlpm.f,INDEX($BL$15:$BL$62,_xlpm.p),_xlpm.u,INDEX($BM$15:$BM$62,_xlpm.p),_xlpm.s,INDEX($BO$15:$BO$62,_xlpm.p),_xlpm.q,N(AT296)/_xlpm.f,IF(_xlpm.q&gt;=_xlpm.s,ROUND(_xlpm.q,1)&amp;" "&amp;_xlpm.ai_test&amp;" = "&amp;ROUND(_xlpm.q*_xlpm.f,1)&amp;" "&amp;_xlpm.u,ROUND(_xlpm.q,1)&amp;" "&amp;_xlpm.ai_test)),""),""))))</f>
        <v>0</v>
      </c>
      <c r="AW296" s="1047"/>
      <c r="AX296" s="1034">
        <f t="shared" si="131"/>
        <v>0</v>
      </c>
      <c r="AY296" s="1035" t="str">
        <f t="shared" si="132"/>
        <v/>
      </c>
      <c r="AZ296" s="1036">
        <f t="shared" si="137"/>
        <v>0</v>
      </c>
      <c r="BA296" s="1037" t="str">
        <f t="shared" si="133"/>
        <v/>
      </c>
      <c r="BB296" s="1038"/>
      <c r="BC296" s="1039">
        <f t="shared" si="138"/>
        <v>0</v>
      </c>
      <c r="BD296" s="1040" t="str">
        <f t="shared" si="134"/>
        <v/>
      </c>
      <c r="BE296" s="227" t="s">
        <v>22</v>
      </c>
      <c r="BF296" s="1019">
        <f t="shared" si="135"/>
        <v>0</v>
      </c>
      <c r="BG296" s="1020">
        <f t="shared" si="136"/>
        <v>0</v>
      </c>
      <c r="BH296"/>
      <c r="BI296" s="709"/>
      <c r="BJ296" s="709"/>
      <c r="BK296" s="709"/>
      <c r="BL296" s="709"/>
      <c r="BM296" s="709"/>
      <c r="BN296" s="709"/>
      <c r="BO296" s="709"/>
      <c r="BP296" s="709"/>
      <c r="BQ296"/>
      <c r="BR296"/>
      <c r="BS296"/>
      <c r="BT296"/>
      <c r="BU296"/>
      <c r="BV296"/>
      <c r="BW296" s="959" t="str">
        <f t="shared" si="117"/>
        <v>►</v>
      </c>
      <c r="BX296"/>
      <c r="BY296"/>
      <c r="BZ296"/>
      <c r="CA296"/>
      <c r="CB296"/>
      <c r="CD296"/>
      <c r="CE296"/>
      <c r="CF296"/>
      <c r="CG296"/>
      <c r="CH296"/>
      <c r="CI296"/>
      <c r="CJ296"/>
      <c r="CL296"/>
      <c r="CM296"/>
      <c r="CN296"/>
      <c r="CO296"/>
      <c r="CP296"/>
      <c r="CQ296"/>
      <c r="CR296"/>
      <c r="CT296"/>
      <c r="CU296"/>
      <c r="CV296"/>
      <c r="CW296"/>
      <c r="CX296"/>
      <c r="CY296"/>
      <c r="CZ296"/>
      <c r="DB296" s="3">
        <v>1</v>
      </c>
      <c r="DC296" s="709"/>
      <c r="DD296" s="709"/>
    </row>
    <row r="297" spans="1:108" s="856" customFormat="1" ht="21" customHeight="1">
      <c r="A297" s="936" t="s">
        <v>22</v>
      </c>
      <c r="B297" s="952" t="str">
        <f t="shared" si="116"/>
        <v>►</v>
      </c>
      <c r="C297" s="993" cm="1">
        <f t="array" ref="C297">SUMPRODUCT(LEN(D297:J297))</f>
        <v>0</v>
      </c>
      <c r="D297" s="167"/>
      <c r="E297" s="172"/>
      <c r="F297" s="172"/>
      <c r="G297" s="172"/>
      <c r="H297" s="172"/>
      <c r="I297" s="172"/>
      <c r="J297" s="173"/>
      <c r="K297" s="442"/>
      <c r="L297" s="104" t="s">
        <v>16</v>
      </c>
      <c r="M297" s="1172"/>
      <c r="N297" s="1172"/>
      <c r="O297" s="1172"/>
      <c r="P297" s="1173"/>
      <c r="Q297" s="1174"/>
      <c r="R297" s="1175"/>
      <c r="S297" s="1176"/>
      <c r="T297" s="1177"/>
      <c r="U297" s="5248"/>
      <c r="V297" s="1177"/>
      <c r="W297" s="5249"/>
      <c r="X297" s="5208"/>
      <c r="Y297" s="5209"/>
      <c r="Z297" s="5210"/>
      <c r="AA297" s="5211"/>
      <c r="AB297" s="1178"/>
      <c r="AC297" s="1179"/>
      <c r="AD297" s="227" t="s">
        <v>22</v>
      </c>
      <c r="AE297" s="1027" t="str">
        <f t="shared" si="118"/>
        <v>►</v>
      </c>
      <c r="AF297" s="1028" t="str">
        <f t="shared" si="119"/>
        <v/>
      </c>
      <c r="AG297" s="1029" t="str">
        <f t="shared" si="120"/>
        <v/>
      </c>
      <c r="AH297" s="1028" t="str">
        <f t="shared" si="121"/>
        <v/>
      </c>
      <c r="AI297" s="1029" t="str">
        <f t="shared" si="122"/>
        <v/>
      </c>
      <c r="AJ297" s="1029">
        <f t="shared" si="123"/>
        <v>0</v>
      </c>
      <c r="AK297" s="1043" t="str" cm="1">
        <f t="array" ref="AK297">IF(AE297&lt;&gt;"A","",IFERROR((IFERROR(_xlfn.XLOOKUP(TRIM(SUBSTITUTE(U297,CHAR(160)," ")),$BI$15:$BI$62,$BL$15:$BL$62),IFERROR(_xlfn.XLOOKUP(TRIM(SUBSTITUTE(U297,CHAR(160)," ")),$BJ$15:$BJ$62,$BL$15:$BL$62),_xlfn.XLOOKUP(TRIM(SUBSTITUTE(U297,CHAR(160)," ")),$BK$15:$BK$62,$BL$15:$BL$62))))*T297*IF(ISBLANK(Q297),1,Q297)+IFERROR(_xlfn.XLOOKUP("RECHERCHEX",TRIM(L297:AC297),L297:AC297),0),0))</f>
        <v/>
      </c>
      <c r="AL297" s="1030">
        <f t="shared" si="124"/>
        <v>0</v>
      </c>
      <c r="AM297" s="5254" t="str">
        <f t="shared" si="139"/>
        <v/>
      </c>
      <c r="AN297" s="1031">
        <f t="shared" si="125"/>
        <v>0</v>
      </c>
      <c r="AO297" s="1031">
        <f t="shared" si="126"/>
        <v>0</v>
      </c>
      <c r="AP297" s="1044">
        <f t="shared" si="127"/>
        <v>0</v>
      </c>
      <c r="AQ297" s="5257" t="str">
        <f t="shared" si="128"/>
        <v/>
      </c>
      <c r="AR297" s="1056"/>
      <c r="AS297" s="1056"/>
      <c r="AT297" s="1045">
        <f t="shared" si="129"/>
        <v>0</v>
      </c>
      <c r="AU297" s="1046">
        <f t="shared" si="130"/>
        <v>0</v>
      </c>
      <c r="AV297" s="1059" cm="1">
        <f t="array" ref="AV297">IF(AJ297&lt;&gt;1,0,IF(OR(AT297="",N(AT297)&lt;=0.000000001),"",IF(OR(AN297="",N(AN297)&lt;=0.000000001),0,IF(ISNUMBER(AT297),IFERROR(_xlfn.LET(_xlpm.ai_test,TRIM(AI297),_xlpm.r,IFERROR(_xlfn.XLOOKUP(_xlpm.ai_test,$BI$15:$BI$62,ROW($BI$15:$BI$62),0,1),IFERROR(_xlfn.XLOOKUP(_xlpm.ai_test,$BJ$15:$BJ$62,ROW($BJ$15:$BJ$62),0,1),_xlfn.XLOOKUP(_xlpm.ai_test,$BK$15:$BK$62,ROW($BK$15:$BK$62),0,1))),_xlpm.p,_xlpm.r-MIN(ROW($BI$15:$BI$62))+1,_xlpm.f,INDEX($BL$15:$BL$62,_xlpm.p),_xlpm.u,INDEX($BM$15:$BM$62,_xlpm.p),_xlpm.s,INDEX($BO$15:$BO$62,_xlpm.p),_xlpm.q,N(AT297)/_xlpm.f,IF(_xlpm.q&gt;=_xlpm.s,ROUND(_xlpm.q,1)&amp;" "&amp;_xlpm.ai_test&amp;" = "&amp;ROUND(_xlpm.q*_xlpm.f,1)&amp;" "&amp;_xlpm.u,ROUND(_xlpm.q,1)&amp;" "&amp;_xlpm.ai_test)),""),""))))</f>
        <v>0</v>
      </c>
      <c r="AW297" s="1047"/>
      <c r="AX297" s="1045">
        <f t="shared" si="131"/>
        <v>0</v>
      </c>
      <c r="AY297" s="1046" t="str">
        <f t="shared" si="132"/>
        <v/>
      </c>
      <c r="AZ297" s="1048">
        <f t="shared" si="137"/>
        <v>0</v>
      </c>
      <c r="BA297" s="1049" t="str">
        <f t="shared" si="133"/>
        <v/>
      </c>
      <c r="BB297" s="1038"/>
      <c r="BC297" s="1050">
        <f t="shared" si="138"/>
        <v>0</v>
      </c>
      <c r="BD297" s="1040" t="str">
        <f t="shared" si="134"/>
        <v/>
      </c>
      <c r="BE297" s="227" t="s">
        <v>22</v>
      </c>
      <c r="BF297" s="1019">
        <f t="shared" si="135"/>
        <v>0</v>
      </c>
      <c r="BG297" s="1020">
        <f t="shared" si="136"/>
        <v>0</v>
      </c>
      <c r="BH297"/>
      <c r="BI297" s="709"/>
      <c r="BJ297" s="709"/>
      <c r="BK297" s="709"/>
      <c r="BL297" s="709"/>
      <c r="BM297" s="709"/>
      <c r="BN297" s="709"/>
      <c r="BO297" s="709"/>
      <c r="BP297" s="709"/>
      <c r="BQ297"/>
      <c r="BR297"/>
      <c r="BS297"/>
      <c r="BT297"/>
      <c r="BU297"/>
      <c r="BV297"/>
      <c r="BW297" s="959" t="str">
        <f t="shared" si="117"/>
        <v>►</v>
      </c>
      <c r="BX297"/>
      <c r="BY297"/>
      <c r="BZ297"/>
      <c r="CA297"/>
      <c r="CB297"/>
      <c r="CD297"/>
      <c r="CE297"/>
      <c r="CF297"/>
      <c r="CG297"/>
      <c r="CH297"/>
      <c r="CI297"/>
      <c r="CJ297"/>
      <c r="CL297"/>
      <c r="CM297"/>
      <c r="CN297"/>
      <c r="CO297"/>
      <c r="CP297"/>
      <c r="CQ297"/>
      <c r="CR297"/>
      <c r="CT297"/>
      <c r="CU297"/>
      <c r="CV297"/>
      <c r="CW297"/>
      <c r="CX297"/>
      <c r="CY297"/>
      <c r="CZ297"/>
      <c r="DB297" s="3">
        <v>1</v>
      </c>
      <c r="DC297" s="709"/>
      <c r="DD297" s="709"/>
    </row>
    <row r="298" spans="1:108" s="856" customFormat="1" ht="21" customHeight="1">
      <c r="A298" s="936" t="s">
        <v>22</v>
      </c>
      <c r="B298" s="952" t="str">
        <f t="shared" si="116"/>
        <v>►</v>
      </c>
      <c r="C298" s="993" cm="1">
        <f t="array" ref="C298">SUMPRODUCT(LEN(D298:J298))</f>
        <v>0</v>
      </c>
      <c r="D298" s="167"/>
      <c r="E298" s="172"/>
      <c r="F298" s="172"/>
      <c r="G298" s="172"/>
      <c r="H298" s="172"/>
      <c r="I298" s="172"/>
      <c r="J298" s="173"/>
      <c r="K298" s="442"/>
      <c r="L298" s="104" t="s">
        <v>16</v>
      </c>
      <c r="M298" s="1172"/>
      <c r="N298" s="1172"/>
      <c r="O298" s="1172"/>
      <c r="P298" s="1173"/>
      <c r="Q298" s="1174"/>
      <c r="R298" s="1175"/>
      <c r="S298" s="1176"/>
      <c r="T298" s="1177"/>
      <c r="U298" s="5248"/>
      <c r="V298" s="1177"/>
      <c r="W298" s="5249"/>
      <c r="X298" s="5208"/>
      <c r="Y298" s="5209"/>
      <c r="Z298" s="5210"/>
      <c r="AA298" s="5211"/>
      <c r="AB298" s="1178"/>
      <c r="AC298" s="1179"/>
      <c r="AD298" s="227" t="s">
        <v>22</v>
      </c>
      <c r="AE298" s="1027" t="str">
        <f t="shared" si="118"/>
        <v>►</v>
      </c>
      <c r="AF298" s="1028" t="str">
        <f t="shared" si="119"/>
        <v/>
      </c>
      <c r="AG298" s="1029" t="str">
        <f t="shared" si="120"/>
        <v/>
      </c>
      <c r="AH298" s="1028" t="str">
        <f t="shared" si="121"/>
        <v/>
      </c>
      <c r="AI298" s="1029" t="str">
        <f t="shared" si="122"/>
        <v/>
      </c>
      <c r="AJ298" s="1029">
        <f t="shared" si="123"/>
        <v>0</v>
      </c>
      <c r="AK298" s="1043" t="str" cm="1">
        <f t="array" ref="AK298">IF(AE298&lt;&gt;"A","",IFERROR((IFERROR(_xlfn.XLOOKUP(TRIM(SUBSTITUTE(U298,CHAR(160)," ")),$BI$15:$BI$62,$BL$15:$BL$62),IFERROR(_xlfn.XLOOKUP(TRIM(SUBSTITUTE(U298,CHAR(160)," ")),$BJ$15:$BJ$62,$BL$15:$BL$62),_xlfn.XLOOKUP(TRIM(SUBSTITUTE(U298,CHAR(160)," ")),$BK$15:$BK$62,$BL$15:$BL$62))))*T298*IF(ISBLANK(Q298),1,Q298)+IFERROR(_xlfn.XLOOKUP("RECHERCHEX",TRIM(L298:AC298),L298:AC298),0),0))</f>
        <v/>
      </c>
      <c r="AL298" s="1030">
        <f t="shared" si="124"/>
        <v>0</v>
      </c>
      <c r="AM298" s="5254" t="str">
        <f t="shared" si="139"/>
        <v/>
      </c>
      <c r="AN298" s="1031">
        <f t="shared" si="125"/>
        <v>0</v>
      </c>
      <c r="AO298" s="1031">
        <f t="shared" si="126"/>
        <v>0</v>
      </c>
      <c r="AP298" s="1032">
        <f t="shared" si="127"/>
        <v>0</v>
      </c>
      <c r="AQ298" s="5255" t="str">
        <f t="shared" si="128"/>
        <v/>
      </c>
      <c r="AR298" s="1056"/>
      <c r="AS298" s="1056"/>
      <c r="AT298" s="1034">
        <f t="shared" si="129"/>
        <v>0</v>
      </c>
      <c r="AU298" s="1035">
        <f t="shared" si="130"/>
        <v>0</v>
      </c>
      <c r="AV298" s="1057" cm="1">
        <f t="array" ref="AV298">IF(AJ298&lt;&gt;1,0,IF(OR(AT298="",N(AT298)&lt;=0.000000001),"",IF(OR(AN298="",N(AN298)&lt;=0.000000001),0,IF(ISNUMBER(AT298),IFERROR(_xlfn.LET(_xlpm.ai_test,TRIM(AI298),_xlpm.r,IFERROR(_xlfn.XLOOKUP(_xlpm.ai_test,$BI$15:$BI$62,ROW($BI$15:$BI$62),0,1),IFERROR(_xlfn.XLOOKUP(_xlpm.ai_test,$BJ$15:$BJ$62,ROW($BJ$15:$BJ$62),0,1),_xlfn.XLOOKUP(_xlpm.ai_test,$BK$15:$BK$62,ROW($BK$15:$BK$62),0,1))),_xlpm.p,_xlpm.r-MIN(ROW($BI$15:$BI$62))+1,_xlpm.f,INDEX($BL$15:$BL$62,_xlpm.p),_xlpm.u,INDEX($BM$15:$BM$62,_xlpm.p),_xlpm.s,INDEX($BO$15:$BO$62,_xlpm.p),_xlpm.q,N(AT298)/_xlpm.f,IF(_xlpm.q&gt;=_xlpm.s,ROUND(_xlpm.q,1)&amp;" "&amp;_xlpm.ai_test&amp;" = "&amp;ROUND(_xlpm.q*_xlpm.f,1)&amp;" "&amp;_xlpm.u,ROUND(_xlpm.q,1)&amp;" "&amp;_xlpm.ai_test)),""),""))))</f>
        <v>0</v>
      </c>
      <c r="AW298" s="1047"/>
      <c r="AX298" s="1034">
        <f t="shared" si="131"/>
        <v>0</v>
      </c>
      <c r="AY298" s="1035" t="str">
        <f t="shared" si="132"/>
        <v/>
      </c>
      <c r="AZ298" s="1036">
        <f t="shared" si="137"/>
        <v>0</v>
      </c>
      <c r="BA298" s="1037" t="str">
        <f t="shared" si="133"/>
        <v/>
      </c>
      <c r="BB298" s="1038"/>
      <c r="BC298" s="1039">
        <f t="shared" si="138"/>
        <v>0</v>
      </c>
      <c r="BD298" s="1040" t="str">
        <f t="shared" si="134"/>
        <v/>
      </c>
      <c r="BE298" s="227" t="s">
        <v>22</v>
      </c>
      <c r="BF298" s="1019">
        <f t="shared" si="135"/>
        <v>0</v>
      </c>
      <c r="BG298" s="1020">
        <f t="shared" si="136"/>
        <v>0</v>
      </c>
      <c r="BH298"/>
      <c r="BI298" s="709"/>
      <c r="BJ298" s="709"/>
      <c r="BK298" s="709"/>
      <c r="BL298" s="709"/>
      <c r="BM298" s="709"/>
      <c r="BN298" s="709"/>
      <c r="BO298" s="709"/>
      <c r="BP298" s="709"/>
      <c r="BQ298"/>
      <c r="BR298"/>
      <c r="BS298"/>
      <c r="BT298"/>
      <c r="BU298"/>
      <c r="BV298"/>
      <c r="BW298" s="959" t="str">
        <f t="shared" si="117"/>
        <v>►</v>
      </c>
      <c r="BX298"/>
      <c r="BY298"/>
      <c r="BZ298"/>
      <c r="CA298"/>
      <c r="CB298"/>
      <c r="CD298"/>
      <c r="CE298"/>
      <c r="CF298"/>
      <c r="CG298"/>
      <c r="CH298"/>
      <c r="CI298"/>
      <c r="CJ298"/>
      <c r="CL298"/>
      <c r="CM298"/>
      <c r="CN298"/>
      <c r="CO298"/>
      <c r="CP298"/>
      <c r="CQ298"/>
      <c r="CR298"/>
      <c r="CT298"/>
      <c r="CU298"/>
      <c r="CV298"/>
      <c r="CW298"/>
      <c r="CX298"/>
      <c r="CY298"/>
      <c r="CZ298"/>
      <c r="DB298" s="3">
        <v>1</v>
      </c>
      <c r="DC298" s="709"/>
      <c r="DD298" s="709"/>
    </row>
    <row r="299" spans="1:108" s="856" customFormat="1" ht="21" customHeight="1">
      <c r="A299" s="936" t="s">
        <v>22</v>
      </c>
      <c r="B299" s="952" t="str">
        <f t="shared" si="116"/>
        <v>►</v>
      </c>
      <c r="C299" s="993" cm="1">
        <f t="array" ref="C299">SUMPRODUCT(LEN(D299:J299))</f>
        <v>0</v>
      </c>
      <c r="D299" s="167"/>
      <c r="E299" s="172"/>
      <c r="F299" s="172"/>
      <c r="G299" s="172"/>
      <c r="H299" s="172"/>
      <c r="I299" s="172"/>
      <c r="J299" s="173"/>
      <c r="K299" s="442"/>
      <c r="L299" s="104" t="s">
        <v>16</v>
      </c>
      <c r="M299" s="1172"/>
      <c r="N299" s="1172"/>
      <c r="O299" s="1172"/>
      <c r="P299" s="1173"/>
      <c r="Q299" s="1174"/>
      <c r="R299" s="1175"/>
      <c r="S299" s="1176"/>
      <c r="T299" s="1177"/>
      <c r="U299" s="5248"/>
      <c r="V299" s="1177"/>
      <c r="W299" s="5249"/>
      <c r="X299" s="5208"/>
      <c r="Y299" s="5209"/>
      <c r="Z299" s="5210"/>
      <c r="AA299" s="5211"/>
      <c r="AB299" s="1178"/>
      <c r="AC299" s="1179"/>
      <c r="AD299" s="227" t="s">
        <v>22</v>
      </c>
      <c r="AE299" s="1027" t="str">
        <f t="shared" si="118"/>
        <v>►</v>
      </c>
      <c r="AF299" s="1028" t="str">
        <f t="shared" si="119"/>
        <v/>
      </c>
      <c r="AG299" s="1029" t="str">
        <f t="shared" si="120"/>
        <v/>
      </c>
      <c r="AH299" s="1028" t="str">
        <f t="shared" si="121"/>
        <v/>
      </c>
      <c r="AI299" s="1029" t="str">
        <f t="shared" si="122"/>
        <v/>
      </c>
      <c r="AJ299" s="1029">
        <f t="shared" si="123"/>
        <v>0</v>
      </c>
      <c r="AK299" s="1043" t="str" cm="1">
        <f t="array" ref="AK299">IF(AE299&lt;&gt;"A","",IFERROR((IFERROR(_xlfn.XLOOKUP(TRIM(SUBSTITUTE(U299,CHAR(160)," ")),$BI$15:$BI$62,$BL$15:$BL$62),IFERROR(_xlfn.XLOOKUP(TRIM(SUBSTITUTE(U299,CHAR(160)," ")),$BJ$15:$BJ$62,$BL$15:$BL$62),_xlfn.XLOOKUP(TRIM(SUBSTITUTE(U299,CHAR(160)," ")),$BK$15:$BK$62,$BL$15:$BL$62))))*T299*IF(ISBLANK(Q299),1,Q299)+IFERROR(_xlfn.XLOOKUP("RECHERCHEX",TRIM(L299:AC299),L299:AC299),0),0))</f>
        <v/>
      </c>
      <c r="AL299" s="1030">
        <f t="shared" si="124"/>
        <v>0</v>
      </c>
      <c r="AM299" s="5254" t="str">
        <f t="shared" si="139"/>
        <v/>
      </c>
      <c r="AN299" s="1031">
        <f t="shared" si="125"/>
        <v>0</v>
      </c>
      <c r="AO299" s="1031">
        <f t="shared" si="126"/>
        <v>0</v>
      </c>
      <c r="AP299" s="1044">
        <f t="shared" si="127"/>
        <v>0</v>
      </c>
      <c r="AQ299" s="5257" t="str">
        <f t="shared" si="128"/>
        <v/>
      </c>
      <c r="AR299" s="1056"/>
      <c r="AS299" s="1056"/>
      <c r="AT299" s="1045">
        <f t="shared" si="129"/>
        <v>0</v>
      </c>
      <c r="AU299" s="1046">
        <f t="shared" si="130"/>
        <v>0</v>
      </c>
      <c r="AV299" s="1059" cm="1">
        <f t="array" ref="AV299">IF(AJ299&lt;&gt;1,0,IF(OR(AT299="",N(AT299)&lt;=0.000000001),"",IF(OR(AN299="",N(AN299)&lt;=0.000000001),0,IF(ISNUMBER(AT299),IFERROR(_xlfn.LET(_xlpm.ai_test,TRIM(AI299),_xlpm.r,IFERROR(_xlfn.XLOOKUP(_xlpm.ai_test,$BI$15:$BI$62,ROW($BI$15:$BI$62),0,1),IFERROR(_xlfn.XLOOKUP(_xlpm.ai_test,$BJ$15:$BJ$62,ROW($BJ$15:$BJ$62),0,1),_xlfn.XLOOKUP(_xlpm.ai_test,$BK$15:$BK$62,ROW($BK$15:$BK$62),0,1))),_xlpm.p,_xlpm.r-MIN(ROW($BI$15:$BI$62))+1,_xlpm.f,INDEX($BL$15:$BL$62,_xlpm.p),_xlpm.u,INDEX($BM$15:$BM$62,_xlpm.p),_xlpm.s,INDEX($BO$15:$BO$62,_xlpm.p),_xlpm.q,N(AT299)/_xlpm.f,IF(_xlpm.q&gt;=_xlpm.s,ROUND(_xlpm.q,1)&amp;" "&amp;_xlpm.ai_test&amp;" = "&amp;ROUND(_xlpm.q*_xlpm.f,1)&amp;" "&amp;_xlpm.u,ROUND(_xlpm.q,1)&amp;" "&amp;_xlpm.ai_test)),""),""))))</f>
        <v>0</v>
      </c>
      <c r="AW299" s="1047"/>
      <c r="AX299" s="1045">
        <f t="shared" si="131"/>
        <v>0</v>
      </c>
      <c r="AY299" s="1046" t="str">
        <f t="shared" si="132"/>
        <v/>
      </c>
      <c r="AZ299" s="1048">
        <f t="shared" si="137"/>
        <v>0</v>
      </c>
      <c r="BA299" s="1049" t="str">
        <f t="shared" si="133"/>
        <v/>
      </c>
      <c r="BB299" s="1038"/>
      <c r="BC299" s="1050">
        <f t="shared" si="138"/>
        <v>0</v>
      </c>
      <c r="BD299" s="1040" t="str">
        <f t="shared" si="134"/>
        <v/>
      </c>
      <c r="BE299" s="227" t="s">
        <v>22</v>
      </c>
      <c r="BF299" s="1019">
        <f t="shared" si="135"/>
        <v>0</v>
      </c>
      <c r="BG299" s="1020">
        <f t="shared" si="136"/>
        <v>0</v>
      </c>
      <c r="BH299"/>
      <c r="BI299" s="709"/>
      <c r="BJ299" s="709"/>
      <c r="BK299" s="709"/>
      <c r="BL299" s="709"/>
      <c r="BM299" s="709"/>
      <c r="BN299" s="709"/>
      <c r="BO299" s="709"/>
      <c r="BP299" s="709"/>
      <c r="BQ299"/>
      <c r="BR299"/>
      <c r="BS299"/>
      <c r="BT299"/>
      <c r="BU299"/>
      <c r="BV299"/>
      <c r="BW299" s="959" t="str">
        <f t="shared" si="117"/>
        <v>►</v>
      </c>
      <c r="BX299"/>
      <c r="BY299"/>
      <c r="BZ299"/>
      <c r="CA299"/>
      <c r="CB299"/>
      <c r="CD299"/>
      <c r="CE299"/>
      <c r="CF299"/>
      <c r="CG299"/>
      <c r="CH299"/>
      <c r="CI299"/>
      <c r="CJ299"/>
      <c r="CL299"/>
      <c r="CM299"/>
      <c r="CN299"/>
      <c r="CO299"/>
      <c r="CP299"/>
      <c r="CQ299"/>
      <c r="CR299"/>
      <c r="CT299"/>
      <c r="CU299"/>
      <c r="CV299"/>
      <c r="CW299"/>
      <c r="CX299"/>
      <c r="CY299"/>
      <c r="CZ299"/>
      <c r="DB299" s="3">
        <v>1</v>
      </c>
      <c r="DC299" s="709"/>
      <c r="DD299" s="709"/>
    </row>
    <row r="300" spans="1:108" s="856" customFormat="1" ht="21" customHeight="1">
      <c r="A300" s="936" t="s">
        <v>22</v>
      </c>
      <c r="B300" s="952" t="str">
        <f t="shared" si="116"/>
        <v>►</v>
      </c>
      <c r="C300" s="993" cm="1">
        <f t="array" ref="C300">SUMPRODUCT(LEN(D300:J300))</f>
        <v>0</v>
      </c>
      <c r="D300" s="167"/>
      <c r="E300" s="172"/>
      <c r="F300" s="172"/>
      <c r="G300" s="172"/>
      <c r="H300" s="172"/>
      <c r="I300" s="172"/>
      <c r="J300" s="173"/>
      <c r="K300" s="442"/>
      <c r="L300" s="104" t="s">
        <v>16</v>
      </c>
      <c r="M300" s="1172"/>
      <c r="N300" s="1172"/>
      <c r="O300" s="1172"/>
      <c r="P300" s="1173"/>
      <c r="Q300" s="1174"/>
      <c r="R300" s="1175"/>
      <c r="S300" s="1176"/>
      <c r="T300" s="1177"/>
      <c r="U300" s="5248"/>
      <c r="V300" s="1177"/>
      <c r="W300" s="5249"/>
      <c r="X300" s="5208"/>
      <c r="Y300" s="5209"/>
      <c r="Z300" s="5210"/>
      <c r="AA300" s="5211"/>
      <c r="AB300" s="1178"/>
      <c r="AC300" s="1179"/>
      <c r="AD300" s="227" t="s">
        <v>22</v>
      </c>
      <c r="AE300" s="1027" t="str">
        <f t="shared" si="118"/>
        <v>►</v>
      </c>
      <c r="AF300" s="1028" t="str">
        <f t="shared" si="119"/>
        <v/>
      </c>
      <c r="AG300" s="1029" t="str">
        <f t="shared" si="120"/>
        <v/>
      </c>
      <c r="AH300" s="1028" t="str">
        <f t="shared" si="121"/>
        <v/>
      </c>
      <c r="AI300" s="1029" t="str">
        <f t="shared" si="122"/>
        <v/>
      </c>
      <c r="AJ300" s="1029">
        <f t="shared" si="123"/>
        <v>0</v>
      </c>
      <c r="AK300" s="1043" t="str" cm="1">
        <f t="array" ref="AK300">IF(AE300&lt;&gt;"A","",IFERROR((IFERROR(_xlfn.XLOOKUP(TRIM(SUBSTITUTE(U300,CHAR(160)," ")),$BI$15:$BI$62,$BL$15:$BL$62),IFERROR(_xlfn.XLOOKUP(TRIM(SUBSTITUTE(U300,CHAR(160)," ")),$BJ$15:$BJ$62,$BL$15:$BL$62),_xlfn.XLOOKUP(TRIM(SUBSTITUTE(U300,CHAR(160)," ")),$BK$15:$BK$62,$BL$15:$BL$62))))*T300*IF(ISBLANK(Q300),1,Q300)+IFERROR(_xlfn.XLOOKUP("RECHERCHEX",TRIM(L300:AC300),L300:AC300),0),0))</f>
        <v/>
      </c>
      <c r="AL300" s="1030">
        <f t="shared" si="124"/>
        <v>0</v>
      </c>
      <c r="AM300" s="5254" t="str">
        <f t="shared" si="139"/>
        <v/>
      </c>
      <c r="AN300" s="1031">
        <f t="shared" si="125"/>
        <v>0</v>
      </c>
      <c r="AO300" s="1031">
        <f t="shared" si="126"/>
        <v>0</v>
      </c>
      <c r="AP300" s="1032">
        <f t="shared" si="127"/>
        <v>0</v>
      </c>
      <c r="AQ300" s="5255" t="str">
        <f t="shared" si="128"/>
        <v/>
      </c>
      <c r="AR300" s="1056"/>
      <c r="AS300" s="1056"/>
      <c r="AT300" s="1034">
        <f t="shared" si="129"/>
        <v>0</v>
      </c>
      <c r="AU300" s="1035">
        <f t="shared" si="130"/>
        <v>0</v>
      </c>
      <c r="AV300" s="1057" cm="1">
        <f t="array" ref="AV300">IF(AJ300&lt;&gt;1,0,IF(OR(AT300="",N(AT300)&lt;=0.000000001),"",IF(OR(AN300="",N(AN300)&lt;=0.000000001),0,IF(ISNUMBER(AT300),IFERROR(_xlfn.LET(_xlpm.ai_test,TRIM(AI300),_xlpm.r,IFERROR(_xlfn.XLOOKUP(_xlpm.ai_test,$BI$15:$BI$62,ROW($BI$15:$BI$62),0,1),IFERROR(_xlfn.XLOOKUP(_xlpm.ai_test,$BJ$15:$BJ$62,ROW($BJ$15:$BJ$62),0,1),_xlfn.XLOOKUP(_xlpm.ai_test,$BK$15:$BK$62,ROW($BK$15:$BK$62),0,1))),_xlpm.p,_xlpm.r-MIN(ROW($BI$15:$BI$62))+1,_xlpm.f,INDEX($BL$15:$BL$62,_xlpm.p),_xlpm.u,INDEX($BM$15:$BM$62,_xlpm.p),_xlpm.s,INDEX($BO$15:$BO$62,_xlpm.p),_xlpm.q,N(AT300)/_xlpm.f,IF(_xlpm.q&gt;=_xlpm.s,ROUND(_xlpm.q,1)&amp;" "&amp;_xlpm.ai_test&amp;" = "&amp;ROUND(_xlpm.q*_xlpm.f,1)&amp;" "&amp;_xlpm.u,ROUND(_xlpm.q,1)&amp;" "&amp;_xlpm.ai_test)),""),""))))</f>
        <v>0</v>
      </c>
      <c r="AW300" s="1047"/>
      <c r="AX300" s="1034">
        <f t="shared" si="131"/>
        <v>0</v>
      </c>
      <c r="AY300" s="1035" t="str">
        <f t="shared" si="132"/>
        <v/>
      </c>
      <c r="AZ300" s="1036">
        <f t="shared" si="137"/>
        <v>0</v>
      </c>
      <c r="BA300" s="1037" t="str">
        <f t="shared" si="133"/>
        <v/>
      </c>
      <c r="BB300" s="1038"/>
      <c r="BC300" s="1039">
        <f t="shared" si="138"/>
        <v>0</v>
      </c>
      <c r="BD300" s="1040" t="str">
        <f t="shared" si="134"/>
        <v/>
      </c>
      <c r="BE300" s="227" t="s">
        <v>22</v>
      </c>
      <c r="BF300" s="1019">
        <f t="shared" si="135"/>
        <v>0</v>
      </c>
      <c r="BG300" s="1020">
        <f t="shared" si="136"/>
        <v>0</v>
      </c>
      <c r="BH300"/>
      <c r="BI300" s="709"/>
      <c r="BJ300" s="709"/>
      <c r="BK300" s="709"/>
      <c r="BL300" s="709"/>
      <c r="BM300" s="709"/>
      <c r="BN300" s="709"/>
      <c r="BO300" s="709"/>
      <c r="BP300" s="709"/>
      <c r="BQ300"/>
      <c r="BR300"/>
      <c r="BS300"/>
      <c r="BT300"/>
      <c r="BU300"/>
      <c r="BV300"/>
      <c r="BW300" s="959" t="str">
        <f t="shared" si="117"/>
        <v>►</v>
      </c>
      <c r="BX300"/>
      <c r="BY300"/>
      <c r="BZ300"/>
      <c r="CA300"/>
      <c r="CB300"/>
      <c r="CD300"/>
      <c r="CE300"/>
      <c r="CF300"/>
      <c r="CG300"/>
      <c r="CH300"/>
      <c r="CI300"/>
      <c r="CJ300"/>
      <c r="CL300"/>
      <c r="CM300"/>
      <c r="CN300"/>
      <c r="CO300"/>
      <c r="CP300"/>
      <c r="CQ300"/>
      <c r="CR300"/>
      <c r="CT300"/>
      <c r="CU300"/>
      <c r="CV300"/>
      <c r="CW300"/>
      <c r="CX300"/>
      <c r="CY300"/>
      <c r="CZ300"/>
      <c r="DB300" s="3">
        <v>1</v>
      </c>
      <c r="DC300" s="709"/>
      <c r="DD300" s="709"/>
    </row>
    <row r="301" spans="1:108" s="856" customFormat="1" ht="21" customHeight="1">
      <c r="A301" s="936" t="s">
        <v>22</v>
      </c>
      <c r="B301" s="952" t="str">
        <f t="shared" si="116"/>
        <v>►</v>
      </c>
      <c r="C301" s="993" cm="1">
        <f t="array" ref="C301">SUMPRODUCT(LEN(D301:J301))</f>
        <v>0</v>
      </c>
      <c r="D301" s="167"/>
      <c r="E301" s="172"/>
      <c r="F301" s="172"/>
      <c r="G301" s="172"/>
      <c r="H301" s="172"/>
      <c r="I301" s="172"/>
      <c r="J301" s="173"/>
      <c r="K301" s="442"/>
      <c r="L301" s="104" t="s">
        <v>16</v>
      </c>
      <c r="M301" s="1172"/>
      <c r="N301" s="1172"/>
      <c r="O301" s="1172"/>
      <c r="P301" s="1173"/>
      <c r="Q301" s="1174"/>
      <c r="R301" s="1175"/>
      <c r="S301" s="1176"/>
      <c r="T301" s="1177"/>
      <c r="U301" s="5248"/>
      <c r="V301" s="1177"/>
      <c r="W301" s="5249"/>
      <c r="X301" s="5208"/>
      <c r="Y301" s="5209"/>
      <c r="Z301" s="5210"/>
      <c r="AA301" s="5211"/>
      <c r="AB301" s="1178"/>
      <c r="AC301" s="1179"/>
      <c r="AD301" s="227" t="s">
        <v>22</v>
      </c>
      <c r="AE301" s="1027" t="str">
        <f t="shared" si="118"/>
        <v>►</v>
      </c>
      <c r="AF301" s="1028" t="str">
        <f t="shared" si="119"/>
        <v/>
      </c>
      <c r="AG301" s="1029" t="str">
        <f t="shared" si="120"/>
        <v/>
      </c>
      <c r="AH301" s="1028" t="str">
        <f t="shared" si="121"/>
        <v/>
      </c>
      <c r="AI301" s="1029" t="str">
        <f t="shared" si="122"/>
        <v/>
      </c>
      <c r="AJ301" s="1029">
        <f t="shared" si="123"/>
        <v>0</v>
      </c>
      <c r="AK301" s="1043" t="str" cm="1">
        <f t="array" ref="AK301">IF(AE301&lt;&gt;"A","",IFERROR((IFERROR(_xlfn.XLOOKUP(TRIM(SUBSTITUTE(U301,CHAR(160)," ")),$BI$15:$BI$62,$BL$15:$BL$62),IFERROR(_xlfn.XLOOKUP(TRIM(SUBSTITUTE(U301,CHAR(160)," ")),$BJ$15:$BJ$62,$BL$15:$BL$62),_xlfn.XLOOKUP(TRIM(SUBSTITUTE(U301,CHAR(160)," ")),$BK$15:$BK$62,$BL$15:$BL$62))))*T301*IF(ISBLANK(Q301),1,Q301)+IFERROR(_xlfn.XLOOKUP("RECHERCHEX",TRIM(L301:AC301),L301:AC301),0),0))</f>
        <v/>
      </c>
      <c r="AL301" s="1030">
        <f t="shared" si="124"/>
        <v>0</v>
      </c>
      <c r="AM301" s="5254" t="str">
        <f t="shared" si="139"/>
        <v/>
      </c>
      <c r="AN301" s="1031">
        <f t="shared" si="125"/>
        <v>0</v>
      </c>
      <c r="AO301" s="1031">
        <f t="shared" si="126"/>
        <v>0</v>
      </c>
      <c r="AP301" s="1044">
        <f t="shared" si="127"/>
        <v>0</v>
      </c>
      <c r="AQ301" s="5257" t="str">
        <f t="shared" si="128"/>
        <v/>
      </c>
      <c r="AR301" s="1056"/>
      <c r="AS301" s="1056"/>
      <c r="AT301" s="1045">
        <f t="shared" si="129"/>
        <v>0</v>
      </c>
      <c r="AU301" s="1046">
        <f t="shared" si="130"/>
        <v>0</v>
      </c>
      <c r="AV301" s="1059" cm="1">
        <f t="array" ref="AV301">IF(AJ301&lt;&gt;1,0,IF(OR(AT301="",N(AT301)&lt;=0.000000001),"",IF(OR(AN301="",N(AN301)&lt;=0.000000001),0,IF(ISNUMBER(AT301),IFERROR(_xlfn.LET(_xlpm.ai_test,TRIM(AI301),_xlpm.r,IFERROR(_xlfn.XLOOKUP(_xlpm.ai_test,$BI$15:$BI$62,ROW($BI$15:$BI$62),0,1),IFERROR(_xlfn.XLOOKUP(_xlpm.ai_test,$BJ$15:$BJ$62,ROW($BJ$15:$BJ$62),0,1),_xlfn.XLOOKUP(_xlpm.ai_test,$BK$15:$BK$62,ROW($BK$15:$BK$62),0,1))),_xlpm.p,_xlpm.r-MIN(ROW($BI$15:$BI$62))+1,_xlpm.f,INDEX($BL$15:$BL$62,_xlpm.p),_xlpm.u,INDEX($BM$15:$BM$62,_xlpm.p),_xlpm.s,INDEX($BO$15:$BO$62,_xlpm.p),_xlpm.q,N(AT301)/_xlpm.f,IF(_xlpm.q&gt;=_xlpm.s,ROUND(_xlpm.q,1)&amp;" "&amp;_xlpm.ai_test&amp;" = "&amp;ROUND(_xlpm.q*_xlpm.f,1)&amp;" "&amp;_xlpm.u,ROUND(_xlpm.q,1)&amp;" "&amp;_xlpm.ai_test)),""),""))))</f>
        <v>0</v>
      </c>
      <c r="AW301" s="1047"/>
      <c r="AX301" s="1045">
        <f t="shared" si="131"/>
        <v>0</v>
      </c>
      <c r="AY301" s="1046" t="str">
        <f t="shared" si="132"/>
        <v/>
      </c>
      <c r="AZ301" s="1048">
        <f t="shared" si="137"/>
        <v>0</v>
      </c>
      <c r="BA301" s="1049" t="str">
        <f t="shared" si="133"/>
        <v/>
      </c>
      <c r="BB301" s="1038"/>
      <c r="BC301" s="1050">
        <f t="shared" si="138"/>
        <v>0</v>
      </c>
      <c r="BD301" s="1040" t="str">
        <f t="shared" si="134"/>
        <v/>
      </c>
      <c r="BE301" s="227" t="s">
        <v>22</v>
      </c>
      <c r="BF301" s="1019">
        <f t="shared" si="135"/>
        <v>0</v>
      </c>
      <c r="BG301" s="1020">
        <f t="shared" si="136"/>
        <v>0</v>
      </c>
      <c r="BH301"/>
      <c r="BI301" s="709"/>
      <c r="BJ301" s="709"/>
      <c r="BK301" s="709"/>
      <c r="BL301" s="709"/>
      <c r="BM301" s="709"/>
      <c r="BN301" s="709"/>
      <c r="BO301" s="709"/>
      <c r="BP301" s="709"/>
      <c r="BQ301"/>
      <c r="BR301"/>
      <c r="BS301"/>
      <c r="BT301"/>
      <c r="BU301"/>
      <c r="BV301"/>
      <c r="BW301" s="959" t="str">
        <f t="shared" si="117"/>
        <v>►</v>
      </c>
      <c r="BX301"/>
      <c r="BY301"/>
      <c r="BZ301"/>
      <c r="CA301"/>
      <c r="CB301"/>
      <c r="CD301"/>
      <c r="CE301"/>
      <c r="CF301"/>
      <c r="CG301"/>
      <c r="CH301"/>
      <c r="CI301"/>
      <c r="CJ301"/>
      <c r="CL301"/>
      <c r="CM301"/>
      <c r="CN301"/>
      <c r="CO301"/>
      <c r="CP301"/>
      <c r="CQ301"/>
      <c r="CR301"/>
      <c r="CT301"/>
      <c r="CU301"/>
      <c r="CV301"/>
      <c r="CW301"/>
      <c r="CX301"/>
      <c r="CY301"/>
      <c r="CZ301"/>
      <c r="DB301" s="3">
        <v>1</v>
      </c>
      <c r="DC301" s="709"/>
      <c r="DD301" s="709"/>
    </row>
    <row r="302" spans="1:108" s="856" customFormat="1" ht="21" customHeight="1">
      <c r="A302" s="936" t="s">
        <v>22</v>
      </c>
      <c r="B302" s="952" t="str">
        <f t="shared" si="116"/>
        <v>►</v>
      </c>
      <c r="C302" s="993" cm="1">
        <f t="array" ref="C302">SUMPRODUCT(LEN(D302:J302))</f>
        <v>0</v>
      </c>
      <c r="D302" s="167"/>
      <c r="E302" s="172"/>
      <c r="F302" s="172"/>
      <c r="G302" s="172"/>
      <c r="H302" s="172"/>
      <c r="I302" s="172"/>
      <c r="J302" s="173"/>
      <c r="K302" s="442"/>
      <c r="L302" s="104" t="s">
        <v>16</v>
      </c>
      <c r="M302" s="1172"/>
      <c r="N302" s="1172"/>
      <c r="O302" s="1172"/>
      <c r="P302" s="1173"/>
      <c r="Q302" s="1174"/>
      <c r="R302" s="1175"/>
      <c r="S302" s="1176"/>
      <c r="T302" s="1177"/>
      <c r="U302" s="5248"/>
      <c r="V302" s="1177"/>
      <c r="W302" s="5249"/>
      <c r="X302" s="5208"/>
      <c r="Y302" s="5209"/>
      <c r="Z302" s="5210"/>
      <c r="AA302" s="5211"/>
      <c r="AB302" s="1178"/>
      <c r="AC302" s="1179"/>
      <c r="AD302" s="227" t="s">
        <v>22</v>
      </c>
      <c r="AE302" s="1027" t="str">
        <f t="shared" si="118"/>
        <v>►</v>
      </c>
      <c r="AF302" s="1028" t="str">
        <f t="shared" si="119"/>
        <v/>
      </c>
      <c r="AG302" s="1029" t="str">
        <f t="shared" si="120"/>
        <v/>
      </c>
      <c r="AH302" s="1028" t="str">
        <f t="shared" si="121"/>
        <v/>
      </c>
      <c r="AI302" s="1029" t="str">
        <f t="shared" si="122"/>
        <v/>
      </c>
      <c r="AJ302" s="1029">
        <f t="shared" si="123"/>
        <v>0</v>
      </c>
      <c r="AK302" s="1043" t="str" cm="1">
        <f t="array" ref="AK302">IF(AE302&lt;&gt;"A","",IFERROR((IFERROR(_xlfn.XLOOKUP(TRIM(SUBSTITUTE(U302,CHAR(160)," ")),$BI$15:$BI$62,$BL$15:$BL$62),IFERROR(_xlfn.XLOOKUP(TRIM(SUBSTITUTE(U302,CHAR(160)," ")),$BJ$15:$BJ$62,$BL$15:$BL$62),_xlfn.XLOOKUP(TRIM(SUBSTITUTE(U302,CHAR(160)," ")),$BK$15:$BK$62,$BL$15:$BL$62))))*T302*IF(ISBLANK(Q302),1,Q302)+IFERROR(_xlfn.XLOOKUP("RECHERCHEX",TRIM(L302:AC302),L302:AC302),0),0))</f>
        <v/>
      </c>
      <c r="AL302" s="1030">
        <f t="shared" si="124"/>
        <v>0</v>
      </c>
      <c r="AM302" s="5254" t="str">
        <f t="shared" si="139"/>
        <v/>
      </c>
      <c r="AN302" s="1031">
        <f t="shared" si="125"/>
        <v>0</v>
      </c>
      <c r="AO302" s="1031">
        <f t="shared" si="126"/>
        <v>0</v>
      </c>
      <c r="AP302" s="1032">
        <f t="shared" si="127"/>
        <v>0</v>
      </c>
      <c r="AQ302" s="5255" t="str">
        <f t="shared" si="128"/>
        <v/>
      </c>
      <c r="AR302" s="1056"/>
      <c r="AS302" s="1056"/>
      <c r="AT302" s="1034">
        <f t="shared" si="129"/>
        <v>0</v>
      </c>
      <c r="AU302" s="1035">
        <f t="shared" si="130"/>
        <v>0</v>
      </c>
      <c r="AV302" s="1057" cm="1">
        <f t="array" ref="AV302">IF(AJ302&lt;&gt;1,0,IF(OR(AT302="",N(AT302)&lt;=0.000000001),"",IF(OR(AN302="",N(AN302)&lt;=0.000000001),0,IF(ISNUMBER(AT302),IFERROR(_xlfn.LET(_xlpm.ai_test,TRIM(AI302),_xlpm.r,IFERROR(_xlfn.XLOOKUP(_xlpm.ai_test,$BI$15:$BI$62,ROW($BI$15:$BI$62),0,1),IFERROR(_xlfn.XLOOKUP(_xlpm.ai_test,$BJ$15:$BJ$62,ROW($BJ$15:$BJ$62),0,1),_xlfn.XLOOKUP(_xlpm.ai_test,$BK$15:$BK$62,ROW($BK$15:$BK$62),0,1))),_xlpm.p,_xlpm.r-MIN(ROW($BI$15:$BI$62))+1,_xlpm.f,INDEX($BL$15:$BL$62,_xlpm.p),_xlpm.u,INDEX($BM$15:$BM$62,_xlpm.p),_xlpm.s,INDEX($BO$15:$BO$62,_xlpm.p),_xlpm.q,N(AT302)/_xlpm.f,IF(_xlpm.q&gt;=_xlpm.s,ROUND(_xlpm.q,1)&amp;" "&amp;_xlpm.ai_test&amp;" = "&amp;ROUND(_xlpm.q*_xlpm.f,1)&amp;" "&amp;_xlpm.u,ROUND(_xlpm.q,1)&amp;" "&amp;_xlpm.ai_test)),""),""))))</f>
        <v>0</v>
      </c>
      <c r="AW302" s="1047"/>
      <c r="AX302" s="1034">
        <f t="shared" si="131"/>
        <v>0</v>
      </c>
      <c r="AY302" s="1035" t="str">
        <f t="shared" si="132"/>
        <v/>
      </c>
      <c r="AZ302" s="1036">
        <f t="shared" si="137"/>
        <v>0</v>
      </c>
      <c r="BA302" s="1037" t="str">
        <f t="shared" si="133"/>
        <v/>
      </c>
      <c r="BB302" s="1038"/>
      <c r="BC302" s="1039">
        <f t="shared" si="138"/>
        <v>0</v>
      </c>
      <c r="BD302" s="1040" t="str">
        <f t="shared" si="134"/>
        <v/>
      </c>
      <c r="BE302" s="227" t="s">
        <v>22</v>
      </c>
      <c r="BF302" s="1019">
        <f t="shared" si="135"/>
        <v>0</v>
      </c>
      <c r="BG302" s="1020">
        <f t="shared" si="136"/>
        <v>0</v>
      </c>
      <c r="BH302"/>
      <c r="BI302" s="709"/>
      <c r="BJ302" s="709"/>
      <c r="BK302" s="709"/>
      <c r="BL302" s="709"/>
      <c r="BM302" s="709"/>
      <c r="BN302" s="709"/>
      <c r="BO302" s="709"/>
      <c r="BP302" s="709"/>
      <c r="BQ302"/>
      <c r="BR302"/>
      <c r="BS302"/>
      <c r="BT302"/>
      <c r="BU302"/>
      <c r="BV302"/>
      <c r="BW302" s="959" t="str">
        <f t="shared" si="117"/>
        <v>►</v>
      </c>
      <c r="BX302"/>
      <c r="BY302"/>
      <c r="BZ302"/>
      <c r="CA302"/>
      <c r="CB302"/>
      <c r="CD302"/>
      <c r="CE302"/>
      <c r="CF302"/>
      <c r="CG302"/>
      <c r="CH302"/>
      <c r="CI302"/>
      <c r="CJ302"/>
      <c r="CL302"/>
      <c r="CM302"/>
      <c r="CN302"/>
      <c r="CO302"/>
      <c r="CP302"/>
      <c r="CQ302"/>
      <c r="CR302"/>
      <c r="CT302"/>
      <c r="CU302"/>
      <c r="CV302"/>
      <c r="CW302"/>
      <c r="CX302"/>
      <c r="CY302"/>
      <c r="CZ302"/>
      <c r="DB302" s="3">
        <v>1</v>
      </c>
      <c r="DC302" s="709"/>
      <c r="DD302" s="709"/>
    </row>
    <row r="303" spans="1:108" s="856" customFormat="1" ht="21" customHeight="1">
      <c r="A303" s="936" t="s">
        <v>22</v>
      </c>
      <c r="B303" s="952" t="str">
        <f t="shared" si="116"/>
        <v>►</v>
      </c>
      <c r="C303" s="993" cm="1">
        <f t="array" ref="C303">SUMPRODUCT(LEN(D303:J303))</f>
        <v>0</v>
      </c>
      <c r="D303" s="167"/>
      <c r="E303" s="172"/>
      <c r="F303" s="172"/>
      <c r="G303" s="172"/>
      <c r="H303" s="172"/>
      <c r="I303" s="172"/>
      <c r="J303" s="173"/>
      <c r="K303" s="442"/>
      <c r="L303" s="104" t="s">
        <v>16</v>
      </c>
      <c r="M303" s="1172"/>
      <c r="N303" s="1172"/>
      <c r="O303" s="1172"/>
      <c r="P303" s="1173"/>
      <c r="Q303" s="1174"/>
      <c r="R303" s="1175"/>
      <c r="S303" s="1176"/>
      <c r="T303" s="1177"/>
      <c r="U303" s="5248"/>
      <c r="V303" s="1177"/>
      <c r="W303" s="5249"/>
      <c r="X303" s="5208"/>
      <c r="Y303" s="5209"/>
      <c r="Z303" s="5210"/>
      <c r="AA303" s="5211"/>
      <c r="AB303" s="1178"/>
      <c r="AC303" s="1179"/>
      <c r="AD303" s="227" t="s">
        <v>22</v>
      </c>
      <c r="AE303" s="1027" t="str">
        <f t="shared" si="118"/>
        <v>►</v>
      </c>
      <c r="AF303" s="1028" t="str">
        <f t="shared" si="119"/>
        <v/>
      </c>
      <c r="AG303" s="1029" t="str">
        <f t="shared" si="120"/>
        <v/>
      </c>
      <c r="AH303" s="1028" t="str">
        <f t="shared" si="121"/>
        <v/>
      </c>
      <c r="AI303" s="1029" t="str">
        <f t="shared" si="122"/>
        <v/>
      </c>
      <c r="AJ303" s="1029">
        <f t="shared" si="123"/>
        <v>0</v>
      </c>
      <c r="AK303" s="1043" t="str" cm="1">
        <f t="array" ref="AK303">IF(AE303&lt;&gt;"A","",IFERROR((IFERROR(_xlfn.XLOOKUP(TRIM(SUBSTITUTE(U303,CHAR(160)," ")),$BI$15:$BI$62,$BL$15:$BL$62),IFERROR(_xlfn.XLOOKUP(TRIM(SUBSTITUTE(U303,CHAR(160)," ")),$BJ$15:$BJ$62,$BL$15:$BL$62),_xlfn.XLOOKUP(TRIM(SUBSTITUTE(U303,CHAR(160)," ")),$BK$15:$BK$62,$BL$15:$BL$62))))*T303*IF(ISBLANK(Q303),1,Q303)+IFERROR(_xlfn.XLOOKUP("RECHERCHEX",TRIM(L303:AC303),L303:AC303),0),0))</f>
        <v/>
      </c>
      <c r="AL303" s="1030">
        <f t="shared" si="124"/>
        <v>0</v>
      </c>
      <c r="AM303" s="5254" t="str">
        <f t="shared" si="139"/>
        <v/>
      </c>
      <c r="AN303" s="1031">
        <f t="shared" si="125"/>
        <v>0</v>
      </c>
      <c r="AO303" s="1031">
        <f t="shared" si="126"/>
        <v>0</v>
      </c>
      <c r="AP303" s="1044">
        <f t="shared" si="127"/>
        <v>0</v>
      </c>
      <c r="AQ303" s="5257" t="str">
        <f t="shared" si="128"/>
        <v/>
      </c>
      <c r="AR303" s="1056"/>
      <c r="AS303" s="1056"/>
      <c r="AT303" s="1045">
        <f t="shared" si="129"/>
        <v>0</v>
      </c>
      <c r="AU303" s="1046">
        <f t="shared" si="130"/>
        <v>0</v>
      </c>
      <c r="AV303" s="1059" cm="1">
        <f t="array" ref="AV303">IF(AJ303&lt;&gt;1,0,IF(OR(AT303="",N(AT303)&lt;=0.000000001),"",IF(OR(AN303="",N(AN303)&lt;=0.000000001),0,IF(ISNUMBER(AT303),IFERROR(_xlfn.LET(_xlpm.ai_test,TRIM(AI303),_xlpm.r,IFERROR(_xlfn.XLOOKUP(_xlpm.ai_test,$BI$15:$BI$62,ROW($BI$15:$BI$62),0,1),IFERROR(_xlfn.XLOOKUP(_xlpm.ai_test,$BJ$15:$BJ$62,ROW($BJ$15:$BJ$62),0,1),_xlfn.XLOOKUP(_xlpm.ai_test,$BK$15:$BK$62,ROW($BK$15:$BK$62),0,1))),_xlpm.p,_xlpm.r-MIN(ROW($BI$15:$BI$62))+1,_xlpm.f,INDEX($BL$15:$BL$62,_xlpm.p),_xlpm.u,INDEX($BM$15:$BM$62,_xlpm.p),_xlpm.s,INDEX($BO$15:$BO$62,_xlpm.p),_xlpm.q,N(AT303)/_xlpm.f,IF(_xlpm.q&gt;=_xlpm.s,ROUND(_xlpm.q,1)&amp;" "&amp;_xlpm.ai_test&amp;" = "&amp;ROUND(_xlpm.q*_xlpm.f,1)&amp;" "&amp;_xlpm.u,ROUND(_xlpm.q,1)&amp;" "&amp;_xlpm.ai_test)),""),""))))</f>
        <v>0</v>
      </c>
      <c r="AW303" s="1047"/>
      <c r="AX303" s="1045">
        <f t="shared" si="131"/>
        <v>0</v>
      </c>
      <c r="AY303" s="1046" t="str">
        <f t="shared" si="132"/>
        <v/>
      </c>
      <c r="AZ303" s="1048">
        <f t="shared" si="137"/>
        <v>0</v>
      </c>
      <c r="BA303" s="1049" t="str">
        <f t="shared" si="133"/>
        <v/>
      </c>
      <c r="BB303" s="1038"/>
      <c r="BC303" s="1050">
        <f t="shared" si="138"/>
        <v>0</v>
      </c>
      <c r="BD303" s="1040" t="str">
        <f t="shared" si="134"/>
        <v/>
      </c>
      <c r="BE303" s="227" t="s">
        <v>22</v>
      </c>
      <c r="BF303" s="1019">
        <f t="shared" si="135"/>
        <v>0</v>
      </c>
      <c r="BG303" s="1020">
        <f t="shared" si="136"/>
        <v>0</v>
      </c>
      <c r="BH303"/>
      <c r="BI303" s="709"/>
      <c r="BJ303" s="709"/>
      <c r="BK303" s="709"/>
      <c r="BL303" s="709"/>
      <c r="BM303" s="709"/>
      <c r="BN303" s="709"/>
      <c r="BO303" s="709"/>
      <c r="BP303" s="709"/>
      <c r="BQ303"/>
      <c r="BR303"/>
      <c r="BS303"/>
      <c r="BT303"/>
      <c r="BU303"/>
      <c r="BV303"/>
      <c r="BW303" s="959" t="str">
        <f t="shared" si="117"/>
        <v>►</v>
      </c>
      <c r="BX303"/>
      <c r="BY303"/>
      <c r="BZ303"/>
      <c r="CA303"/>
      <c r="CB303"/>
      <c r="CD303"/>
      <c r="CE303"/>
      <c r="CF303"/>
      <c r="CG303"/>
      <c r="CH303"/>
      <c r="CI303"/>
      <c r="CJ303"/>
      <c r="CL303"/>
      <c r="CM303"/>
      <c r="CN303"/>
      <c r="CO303"/>
      <c r="CP303"/>
      <c r="CQ303"/>
      <c r="CR303"/>
      <c r="CT303"/>
      <c r="CU303"/>
      <c r="CV303"/>
      <c r="CW303"/>
      <c r="CX303"/>
      <c r="CY303"/>
      <c r="CZ303"/>
      <c r="DB303" s="3">
        <v>1</v>
      </c>
      <c r="DC303" s="709"/>
      <c r="DD303" s="709"/>
    </row>
    <row r="304" spans="1:108" s="856" customFormat="1" ht="21" customHeight="1">
      <c r="A304" s="936" t="s">
        <v>22</v>
      </c>
      <c r="B304" s="952" t="str">
        <f t="shared" si="116"/>
        <v>►</v>
      </c>
      <c r="C304" s="993" cm="1">
        <f t="array" ref="C304">SUMPRODUCT(LEN(D304:J304))</f>
        <v>0</v>
      </c>
      <c r="D304" s="167"/>
      <c r="E304" s="172"/>
      <c r="F304" s="172"/>
      <c r="G304" s="172"/>
      <c r="H304" s="172"/>
      <c r="I304" s="172"/>
      <c r="J304" s="173"/>
      <c r="K304" s="442"/>
      <c r="L304" s="104" t="s">
        <v>16</v>
      </c>
      <c r="M304" s="1172"/>
      <c r="N304" s="1172"/>
      <c r="O304" s="1172"/>
      <c r="P304" s="1173"/>
      <c r="Q304" s="1174"/>
      <c r="R304" s="1175"/>
      <c r="S304" s="1176"/>
      <c r="T304" s="1177"/>
      <c r="U304" s="5248"/>
      <c r="V304" s="1177"/>
      <c r="W304" s="5249"/>
      <c r="X304" s="5208"/>
      <c r="Y304" s="5209"/>
      <c r="Z304" s="5210"/>
      <c r="AA304" s="5211"/>
      <c r="AB304" s="1178"/>
      <c r="AC304" s="1179"/>
      <c r="AD304" s="227" t="s">
        <v>22</v>
      </c>
      <c r="AE304" s="1027" t="str">
        <f t="shared" si="118"/>
        <v>►</v>
      </c>
      <c r="AF304" s="1028" t="str">
        <f t="shared" si="119"/>
        <v/>
      </c>
      <c r="AG304" s="1029" t="str">
        <f t="shared" si="120"/>
        <v/>
      </c>
      <c r="AH304" s="1028" t="str">
        <f t="shared" si="121"/>
        <v/>
      </c>
      <c r="AI304" s="1029" t="str">
        <f t="shared" si="122"/>
        <v/>
      </c>
      <c r="AJ304" s="1029">
        <f t="shared" si="123"/>
        <v>0</v>
      </c>
      <c r="AK304" s="1043" t="str" cm="1">
        <f t="array" ref="AK304">IF(AE304&lt;&gt;"A","",IFERROR((IFERROR(_xlfn.XLOOKUP(TRIM(SUBSTITUTE(U304,CHAR(160)," ")),$BI$15:$BI$62,$BL$15:$BL$62),IFERROR(_xlfn.XLOOKUP(TRIM(SUBSTITUTE(U304,CHAR(160)," ")),$BJ$15:$BJ$62,$BL$15:$BL$62),_xlfn.XLOOKUP(TRIM(SUBSTITUTE(U304,CHAR(160)," ")),$BK$15:$BK$62,$BL$15:$BL$62))))*T304*IF(ISBLANK(Q304),1,Q304)+IFERROR(_xlfn.XLOOKUP("RECHERCHEX",TRIM(L304:AC304),L304:AC304),0),0))</f>
        <v/>
      </c>
      <c r="AL304" s="1030">
        <f t="shared" si="124"/>
        <v>0</v>
      </c>
      <c r="AM304" s="5254" t="str">
        <f t="shared" si="139"/>
        <v/>
      </c>
      <c r="AN304" s="1031">
        <f t="shared" si="125"/>
        <v>0</v>
      </c>
      <c r="AO304" s="1031">
        <f t="shared" si="126"/>
        <v>0</v>
      </c>
      <c r="AP304" s="1032">
        <f t="shared" si="127"/>
        <v>0</v>
      </c>
      <c r="AQ304" s="5255" t="str">
        <f t="shared" si="128"/>
        <v/>
      </c>
      <c r="AR304" s="1056"/>
      <c r="AS304" s="1056"/>
      <c r="AT304" s="1034">
        <f t="shared" si="129"/>
        <v>0</v>
      </c>
      <c r="AU304" s="1035">
        <f t="shared" si="130"/>
        <v>0</v>
      </c>
      <c r="AV304" s="1057" cm="1">
        <f t="array" ref="AV304">IF(AJ304&lt;&gt;1,0,IF(OR(AT304="",N(AT304)&lt;=0.000000001),"",IF(OR(AN304="",N(AN304)&lt;=0.000000001),0,IF(ISNUMBER(AT304),IFERROR(_xlfn.LET(_xlpm.ai_test,TRIM(AI304),_xlpm.r,IFERROR(_xlfn.XLOOKUP(_xlpm.ai_test,$BI$15:$BI$62,ROW($BI$15:$BI$62),0,1),IFERROR(_xlfn.XLOOKUP(_xlpm.ai_test,$BJ$15:$BJ$62,ROW($BJ$15:$BJ$62),0,1),_xlfn.XLOOKUP(_xlpm.ai_test,$BK$15:$BK$62,ROW($BK$15:$BK$62),0,1))),_xlpm.p,_xlpm.r-MIN(ROW($BI$15:$BI$62))+1,_xlpm.f,INDEX($BL$15:$BL$62,_xlpm.p),_xlpm.u,INDEX($BM$15:$BM$62,_xlpm.p),_xlpm.s,INDEX($BO$15:$BO$62,_xlpm.p),_xlpm.q,N(AT304)/_xlpm.f,IF(_xlpm.q&gt;=_xlpm.s,ROUND(_xlpm.q,1)&amp;" "&amp;_xlpm.ai_test&amp;" = "&amp;ROUND(_xlpm.q*_xlpm.f,1)&amp;" "&amp;_xlpm.u,ROUND(_xlpm.q,1)&amp;" "&amp;_xlpm.ai_test)),""),""))))</f>
        <v>0</v>
      </c>
      <c r="AW304" s="1047"/>
      <c r="AX304" s="1034">
        <f t="shared" si="131"/>
        <v>0</v>
      </c>
      <c r="AY304" s="1035" t="str">
        <f t="shared" si="132"/>
        <v/>
      </c>
      <c r="AZ304" s="1036">
        <f t="shared" si="137"/>
        <v>0</v>
      </c>
      <c r="BA304" s="1037" t="str">
        <f t="shared" si="133"/>
        <v/>
      </c>
      <c r="BB304" s="1038"/>
      <c r="BC304" s="1039">
        <f t="shared" si="138"/>
        <v>0</v>
      </c>
      <c r="BD304" s="1040" t="str">
        <f t="shared" si="134"/>
        <v/>
      </c>
      <c r="BE304" s="227" t="s">
        <v>22</v>
      </c>
      <c r="BF304" s="1019">
        <f t="shared" si="135"/>
        <v>0</v>
      </c>
      <c r="BG304" s="1020">
        <f t="shared" si="136"/>
        <v>0</v>
      </c>
      <c r="BH304"/>
      <c r="BI304" s="709"/>
      <c r="BJ304" s="709"/>
      <c r="BK304" s="709"/>
      <c r="BL304" s="709"/>
      <c r="BM304" s="709"/>
      <c r="BN304" s="709"/>
      <c r="BO304" s="709"/>
      <c r="BP304" s="709"/>
      <c r="BQ304"/>
      <c r="BR304"/>
      <c r="BS304"/>
      <c r="BT304"/>
      <c r="BU304"/>
      <c r="BV304"/>
      <c r="BW304" s="959" t="str">
        <f t="shared" si="117"/>
        <v>►</v>
      </c>
      <c r="BX304"/>
      <c r="BY304"/>
      <c r="BZ304"/>
      <c r="CA304"/>
      <c r="CB304"/>
      <c r="CD304"/>
      <c r="CE304"/>
      <c r="CF304"/>
      <c r="CG304"/>
      <c r="CH304"/>
      <c r="CI304"/>
      <c r="CJ304"/>
      <c r="CL304"/>
      <c r="CM304"/>
      <c r="CN304"/>
      <c r="CO304"/>
      <c r="CP304"/>
      <c r="CQ304"/>
      <c r="CR304"/>
      <c r="CT304"/>
      <c r="CU304"/>
      <c r="CV304"/>
      <c r="CW304"/>
      <c r="CX304"/>
      <c r="CY304"/>
      <c r="CZ304"/>
      <c r="DB304" s="3">
        <v>1</v>
      </c>
      <c r="DC304" s="709"/>
      <c r="DD304" s="709"/>
    </row>
    <row r="305" spans="1:108" s="856" customFormat="1" ht="21" customHeight="1">
      <c r="A305" s="936" t="s">
        <v>22</v>
      </c>
      <c r="B305" s="1124">
        <v>3</v>
      </c>
      <c r="C305" s="1124">
        <v>9</v>
      </c>
      <c r="D305" s="1124">
        <v>12</v>
      </c>
      <c r="E305" s="1124">
        <v>12</v>
      </c>
      <c r="F305" s="1124">
        <v>3</v>
      </c>
      <c r="G305" s="1124">
        <v>9</v>
      </c>
      <c r="H305" s="1124">
        <v>12</v>
      </c>
      <c r="I305" s="1124">
        <v>13</v>
      </c>
      <c r="J305" s="1124">
        <v>40</v>
      </c>
      <c r="K305" s="442" t="s">
        <v>22</v>
      </c>
      <c r="L305" s="104" t="s">
        <v>16</v>
      </c>
      <c r="M305" s="1172"/>
      <c r="N305" s="1172"/>
      <c r="O305" s="1172"/>
      <c r="P305" s="1173"/>
      <c r="Q305" s="1174"/>
      <c r="R305" s="1175"/>
      <c r="S305" s="1176"/>
      <c r="T305" s="1177"/>
      <c r="U305" s="5248"/>
      <c r="V305" s="1177"/>
      <c r="W305" s="5249"/>
      <c r="X305" s="5208"/>
      <c r="Y305" s="5209"/>
      <c r="Z305" s="5210"/>
      <c r="AA305" s="5211"/>
      <c r="AB305" s="1178"/>
      <c r="AC305" s="1179"/>
      <c r="AD305" s="227" t="s">
        <v>22</v>
      </c>
      <c r="AE305" s="1027" t="str">
        <f t="shared" si="118"/>
        <v>►</v>
      </c>
      <c r="AF305" s="1028" t="str">
        <f t="shared" si="119"/>
        <v/>
      </c>
      <c r="AG305" s="1029" t="str">
        <f t="shared" si="120"/>
        <v/>
      </c>
      <c r="AH305" s="1028" t="str">
        <f t="shared" si="121"/>
        <v/>
      </c>
      <c r="AI305" s="1029" t="str">
        <f t="shared" si="122"/>
        <v/>
      </c>
      <c r="AJ305" s="1029">
        <f t="shared" si="123"/>
        <v>0</v>
      </c>
      <c r="AK305" s="1043" t="str" cm="1">
        <f t="array" ref="AK305">IF(AE305&lt;&gt;"A","",IFERROR((IFERROR(_xlfn.XLOOKUP(TRIM(SUBSTITUTE(U305,CHAR(160)," ")),$BI$15:$BI$62,$BL$15:$BL$62),IFERROR(_xlfn.XLOOKUP(TRIM(SUBSTITUTE(U305,CHAR(160)," ")),$BJ$15:$BJ$62,$BL$15:$BL$62),_xlfn.XLOOKUP(TRIM(SUBSTITUTE(U305,CHAR(160)," ")),$BK$15:$BK$62,$BL$15:$BL$62))))*T305*IF(ISBLANK(Q305),1,Q305)+IFERROR(_xlfn.XLOOKUP("RECHERCHEX",TRIM(L305:AC305),L305:AC305),0),0))</f>
        <v/>
      </c>
      <c r="AL305" s="1030">
        <f t="shared" si="124"/>
        <v>0</v>
      </c>
      <c r="AM305" s="5254" t="str">
        <f t="shared" si="139"/>
        <v/>
      </c>
      <c r="AN305" s="1031">
        <f t="shared" si="125"/>
        <v>0</v>
      </c>
      <c r="AO305" s="1031">
        <f t="shared" si="126"/>
        <v>0</v>
      </c>
      <c r="AP305" s="1044">
        <f t="shared" si="127"/>
        <v>0</v>
      </c>
      <c r="AQ305" s="5257" t="str">
        <f t="shared" si="128"/>
        <v/>
      </c>
      <c r="AR305" s="1056"/>
      <c r="AS305" s="1056"/>
      <c r="AT305" s="1045">
        <f t="shared" si="129"/>
        <v>0</v>
      </c>
      <c r="AU305" s="1046">
        <f t="shared" si="130"/>
        <v>0</v>
      </c>
      <c r="AV305" s="1059" cm="1">
        <f t="array" ref="AV305">IF(AJ305&lt;&gt;1,0,IF(OR(AT305="",N(AT305)&lt;=0.000000001),"",IF(OR(AN305="",N(AN305)&lt;=0.000000001),0,IF(ISNUMBER(AT305),IFERROR(_xlfn.LET(_xlpm.ai_test,TRIM(AI305),_xlpm.r,IFERROR(_xlfn.XLOOKUP(_xlpm.ai_test,$BI$15:$BI$62,ROW($BI$15:$BI$62),0,1),IFERROR(_xlfn.XLOOKUP(_xlpm.ai_test,$BJ$15:$BJ$62,ROW($BJ$15:$BJ$62),0,1),_xlfn.XLOOKUP(_xlpm.ai_test,$BK$15:$BK$62,ROW($BK$15:$BK$62),0,1))),_xlpm.p,_xlpm.r-MIN(ROW($BI$15:$BI$62))+1,_xlpm.f,INDEX($BL$15:$BL$62,_xlpm.p),_xlpm.u,INDEX($BM$15:$BM$62,_xlpm.p),_xlpm.s,INDEX($BO$15:$BO$62,_xlpm.p),_xlpm.q,N(AT305)/_xlpm.f,IF(_xlpm.q&gt;=_xlpm.s,ROUND(_xlpm.q,1)&amp;" "&amp;_xlpm.ai_test&amp;" = "&amp;ROUND(_xlpm.q*_xlpm.f,1)&amp;" "&amp;_xlpm.u,ROUND(_xlpm.q,1)&amp;" "&amp;_xlpm.ai_test)),""),""))))</f>
        <v>0</v>
      </c>
      <c r="AW305" s="1047"/>
      <c r="AX305" s="1045">
        <f t="shared" si="131"/>
        <v>0</v>
      </c>
      <c r="AY305" s="1046" t="str">
        <f t="shared" si="132"/>
        <v/>
      </c>
      <c r="AZ305" s="1048">
        <f t="shared" si="137"/>
        <v>0</v>
      </c>
      <c r="BA305" s="1049" t="str">
        <f t="shared" si="133"/>
        <v/>
      </c>
      <c r="BB305" s="1038"/>
      <c r="BC305" s="1050">
        <f t="shared" si="138"/>
        <v>0</v>
      </c>
      <c r="BD305" s="1040" t="str">
        <f t="shared" si="134"/>
        <v/>
      </c>
      <c r="BE305" s="227" t="s">
        <v>22</v>
      </c>
      <c r="BF305" s="1019">
        <f t="shared" si="135"/>
        <v>0</v>
      </c>
      <c r="BG305" s="1020">
        <f t="shared" si="136"/>
        <v>0</v>
      </c>
      <c r="BH305"/>
      <c r="BI305" s="709"/>
      <c r="BJ305" s="709"/>
      <c r="BK305" s="709"/>
      <c r="BL305" s="709"/>
      <c r="BM305" s="709"/>
      <c r="BN305" s="709"/>
      <c r="BO305" s="709"/>
      <c r="BP305" s="709"/>
      <c r="BQ305"/>
      <c r="BR305"/>
      <c r="BS305"/>
      <c r="BT305"/>
      <c r="BU305"/>
      <c r="BV305"/>
      <c r="BW305" s="959" t="str">
        <f t="shared" si="117"/>
        <v>►</v>
      </c>
      <c r="BX305"/>
      <c r="BY305"/>
      <c r="BZ305"/>
      <c r="CA305"/>
      <c r="CB305"/>
      <c r="CD305"/>
      <c r="CE305"/>
      <c r="CF305"/>
      <c r="CG305"/>
      <c r="CH305"/>
      <c r="CI305"/>
      <c r="CJ305"/>
      <c r="CL305"/>
      <c r="CM305"/>
      <c r="CN305"/>
      <c r="CO305"/>
      <c r="CP305"/>
      <c r="CQ305"/>
      <c r="CR305"/>
      <c r="CT305"/>
      <c r="CU305"/>
      <c r="CV305"/>
      <c r="CW305"/>
      <c r="CX305"/>
      <c r="CY305"/>
      <c r="CZ305"/>
      <c r="DB305" s="3">
        <v>1</v>
      </c>
      <c r="DC305" s="709"/>
      <c r="DD305" s="709"/>
    </row>
    <row r="306" spans="1:108" s="856" customFormat="1" ht="21" customHeight="1" thickBot="1">
      <c r="A306" s="936" t="s">
        <v>22</v>
      </c>
      <c r="B306" s="706" t="str">
        <f>L306</f>
        <v>►</v>
      </c>
      <c r="C306" s="706">
        <f t="shared" ref="C306:J306" ca="1" si="140">CELL("largeur",C306)</f>
        <v>9</v>
      </c>
      <c r="D306" s="706">
        <f t="shared" ca="1" si="140"/>
        <v>12</v>
      </c>
      <c r="E306" s="706">
        <f t="shared" ca="1" si="140"/>
        <v>12</v>
      </c>
      <c r="F306" s="706">
        <f t="shared" ca="1" si="140"/>
        <v>3</v>
      </c>
      <c r="G306" s="706">
        <f t="shared" ca="1" si="140"/>
        <v>9</v>
      </c>
      <c r="H306" s="706">
        <f t="shared" ca="1" si="140"/>
        <v>12</v>
      </c>
      <c r="I306" s="706">
        <f t="shared" ca="1" si="140"/>
        <v>13</v>
      </c>
      <c r="J306" s="706">
        <f t="shared" ca="1" si="140"/>
        <v>40</v>
      </c>
      <c r="K306" s="442" t="s">
        <v>22</v>
      </c>
      <c r="L306" s="104" t="s">
        <v>16</v>
      </c>
      <c r="M306" s="1172"/>
      <c r="N306" s="1172"/>
      <c r="O306" s="1172"/>
      <c r="P306" s="1173"/>
      <c r="Q306" s="1174"/>
      <c r="R306" s="1175"/>
      <c r="S306" s="1176"/>
      <c r="T306" s="1177"/>
      <c r="U306" s="5248"/>
      <c r="V306" s="1177"/>
      <c r="W306" s="5249"/>
      <c r="X306" s="5208"/>
      <c r="Y306" s="5209"/>
      <c r="Z306" s="5210"/>
      <c r="AA306" s="5211"/>
      <c r="AB306" s="1178"/>
      <c r="AC306" s="1179"/>
      <c r="AD306" s="227" t="s">
        <v>22</v>
      </c>
      <c r="AE306" s="1027" t="str">
        <f t="shared" si="118"/>
        <v>►</v>
      </c>
      <c r="AF306" s="1028" t="str">
        <f t="shared" si="119"/>
        <v/>
      </c>
      <c r="AG306" s="1029" t="str">
        <f t="shared" si="120"/>
        <v/>
      </c>
      <c r="AH306" s="1028" t="str">
        <f t="shared" si="121"/>
        <v/>
      </c>
      <c r="AI306" s="1029" t="str">
        <f t="shared" si="122"/>
        <v/>
      </c>
      <c r="AJ306" s="1029">
        <f t="shared" si="123"/>
        <v>0</v>
      </c>
      <c r="AK306" s="1043" t="str" cm="1">
        <f t="array" ref="AK306">IF(AE306&lt;&gt;"A","",IFERROR((IFERROR(_xlfn.XLOOKUP(TRIM(SUBSTITUTE(U306,CHAR(160)," ")),$BI$15:$BI$62,$BL$15:$BL$62),IFERROR(_xlfn.XLOOKUP(TRIM(SUBSTITUTE(U306,CHAR(160)," ")),$BJ$15:$BJ$62,$BL$15:$BL$62),_xlfn.XLOOKUP(TRIM(SUBSTITUTE(U306,CHAR(160)," ")),$BK$15:$BK$62,$BL$15:$BL$62))))*T306*IF(ISBLANK(Q306),1,Q306)+IFERROR(_xlfn.XLOOKUP("RECHERCHEX",TRIM(L306:AC306),L306:AC306),0),0))</f>
        <v/>
      </c>
      <c r="AL306" s="1030">
        <f t="shared" si="124"/>
        <v>0</v>
      </c>
      <c r="AM306" s="5254" t="str">
        <f t="shared" si="139"/>
        <v/>
      </c>
      <c r="AN306" s="1031">
        <f t="shared" si="125"/>
        <v>0</v>
      </c>
      <c r="AO306" s="1031">
        <f t="shared" si="126"/>
        <v>0</v>
      </c>
      <c r="AP306" s="1032">
        <f t="shared" si="127"/>
        <v>0</v>
      </c>
      <c r="AQ306" s="5255" t="str">
        <f t="shared" si="128"/>
        <v/>
      </c>
      <c r="AR306" s="1056"/>
      <c r="AS306" s="1056"/>
      <c r="AT306" s="1034">
        <f t="shared" si="129"/>
        <v>0</v>
      </c>
      <c r="AU306" s="1035">
        <f t="shared" si="130"/>
        <v>0</v>
      </c>
      <c r="AV306" s="1057" cm="1">
        <f t="array" ref="AV306">IF(AJ306&lt;&gt;1,0,IF(OR(AT306="",N(AT306)&lt;=0.000000001),"",IF(OR(AN306="",N(AN306)&lt;=0.000000001),0,IF(ISNUMBER(AT306),IFERROR(_xlfn.LET(_xlpm.ai_test,TRIM(AI306),_xlpm.r,IFERROR(_xlfn.XLOOKUP(_xlpm.ai_test,$BI$15:$BI$62,ROW($BI$15:$BI$62),0,1),IFERROR(_xlfn.XLOOKUP(_xlpm.ai_test,$BJ$15:$BJ$62,ROW($BJ$15:$BJ$62),0,1),_xlfn.XLOOKUP(_xlpm.ai_test,$BK$15:$BK$62,ROW($BK$15:$BK$62),0,1))),_xlpm.p,_xlpm.r-MIN(ROW($BI$15:$BI$62))+1,_xlpm.f,INDEX($BL$15:$BL$62,_xlpm.p),_xlpm.u,INDEX($BM$15:$BM$62,_xlpm.p),_xlpm.s,INDEX($BO$15:$BO$62,_xlpm.p),_xlpm.q,N(AT306)/_xlpm.f,IF(_xlpm.q&gt;=_xlpm.s,ROUND(_xlpm.q,1)&amp;" "&amp;_xlpm.ai_test&amp;" = "&amp;ROUND(_xlpm.q*_xlpm.f,1)&amp;" "&amp;_xlpm.u,ROUND(_xlpm.q,1)&amp;" "&amp;_xlpm.ai_test)),""),""))))</f>
        <v>0</v>
      </c>
      <c r="AW306" s="1047"/>
      <c r="AX306" s="1034">
        <f t="shared" si="131"/>
        <v>0</v>
      </c>
      <c r="AY306" s="1035" t="str">
        <f t="shared" si="132"/>
        <v/>
      </c>
      <c r="AZ306" s="1036">
        <f t="shared" si="137"/>
        <v>0</v>
      </c>
      <c r="BA306" s="1037" t="str">
        <f t="shared" si="133"/>
        <v/>
      </c>
      <c r="BB306" s="1038"/>
      <c r="BC306" s="1039">
        <f t="shared" si="138"/>
        <v>0</v>
      </c>
      <c r="BD306" s="1040" t="str">
        <f t="shared" si="134"/>
        <v/>
      </c>
      <c r="BE306" s="227" t="s">
        <v>22</v>
      </c>
      <c r="BF306" s="1019">
        <f t="shared" si="135"/>
        <v>0</v>
      </c>
      <c r="BG306" s="1020">
        <f t="shared" si="136"/>
        <v>0</v>
      </c>
      <c r="BH306"/>
      <c r="BI306" s="709"/>
      <c r="BJ306" s="709"/>
      <c r="BK306" s="709"/>
      <c r="BL306" s="709"/>
      <c r="BM306" s="709"/>
      <c r="BN306" s="709"/>
      <c r="BO306" s="709"/>
      <c r="BP306" s="709"/>
      <c r="BQ306"/>
      <c r="BR306"/>
      <c r="BS306"/>
      <c r="BT306"/>
      <c r="BU306"/>
      <c r="BV306"/>
      <c r="BW306" s="959" t="str">
        <f t="shared" si="117"/>
        <v>►</v>
      </c>
      <c r="BX306"/>
      <c r="BY306"/>
      <c r="BZ306"/>
      <c r="CA306"/>
      <c r="CB306"/>
      <c r="CD306"/>
      <c r="CE306"/>
      <c r="CF306"/>
      <c r="CG306"/>
      <c r="CH306"/>
      <c r="CI306"/>
      <c r="CJ306"/>
      <c r="CL306"/>
      <c r="CM306"/>
      <c r="CN306"/>
      <c r="CO306"/>
      <c r="CP306"/>
      <c r="CQ306"/>
      <c r="CR306"/>
      <c r="CT306"/>
      <c r="CU306"/>
      <c r="CV306"/>
      <c r="CW306"/>
      <c r="CX306"/>
      <c r="CY306"/>
      <c r="CZ306"/>
      <c r="DB306" s="3">
        <v>1</v>
      </c>
    </row>
    <row r="307" spans="1:108" s="709" customFormat="1" ht="21" customHeight="1">
      <c r="A307" s="936" t="s">
        <v>22</v>
      </c>
      <c r="B307" s="227" t="str">
        <f>L307</f>
        <v>►</v>
      </c>
      <c r="C307" s="227"/>
      <c r="D307" s="870"/>
      <c r="E307" s="870"/>
      <c r="F307" s="870"/>
      <c r="G307" s="870"/>
      <c r="H307" s="870"/>
      <c r="I307" s="870"/>
      <c r="J307" s="870"/>
      <c r="K307" s="442" t="s">
        <v>22</v>
      </c>
      <c r="L307" s="104" t="s">
        <v>16</v>
      </c>
      <c r="M307" s="1172"/>
      <c r="N307" s="1172"/>
      <c r="O307" s="1172"/>
      <c r="P307" s="1173"/>
      <c r="Q307" s="1174"/>
      <c r="R307" s="1175"/>
      <c r="S307" s="1176"/>
      <c r="T307" s="1177"/>
      <c r="U307" s="5248"/>
      <c r="V307" s="1177"/>
      <c r="W307" s="5249"/>
      <c r="X307" s="5208"/>
      <c r="Y307" s="5209"/>
      <c r="Z307" s="5210"/>
      <c r="AA307" s="5211"/>
      <c r="AB307" s="1178"/>
      <c r="AC307" s="1179"/>
      <c r="AD307" s="227" t="s">
        <v>22</v>
      </c>
      <c r="AE307" s="1027" t="str">
        <f t="shared" si="118"/>
        <v>►</v>
      </c>
      <c r="AF307" s="1028" t="str">
        <f t="shared" si="119"/>
        <v/>
      </c>
      <c r="AG307" s="1029" t="str">
        <f t="shared" si="120"/>
        <v/>
      </c>
      <c r="AH307" s="1028" t="str">
        <f t="shared" si="121"/>
        <v/>
      </c>
      <c r="AI307" s="1029" t="str">
        <f t="shared" si="122"/>
        <v/>
      </c>
      <c r="AJ307" s="1029">
        <f t="shared" si="123"/>
        <v>0</v>
      </c>
      <c r="AK307" s="1043" t="str" cm="1">
        <f t="array" ref="AK307">IF(AE307&lt;&gt;"A","",IFERROR((IFERROR(_xlfn.XLOOKUP(TRIM(SUBSTITUTE(U307,CHAR(160)," ")),$BI$15:$BI$62,$BL$15:$BL$62),IFERROR(_xlfn.XLOOKUP(TRIM(SUBSTITUTE(U307,CHAR(160)," ")),$BJ$15:$BJ$62,$BL$15:$BL$62),_xlfn.XLOOKUP(TRIM(SUBSTITUTE(U307,CHAR(160)," ")),$BK$15:$BK$62,$BL$15:$BL$62))))*T307*IF(ISBLANK(Q307),1,Q307)+IFERROR(_xlfn.XLOOKUP("RECHERCHEX",TRIM(L307:AC307),L307:AC307),0),0))</f>
        <v/>
      </c>
      <c r="AL307" s="1030">
        <f t="shared" si="124"/>
        <v>0</v>
      </c>
      <c r="AM307" s="5254" t="str">
        <f t="shared" si="139"/>
        <v/>
      </c>
      <c r="AN307" s="1031">
        <f t="shared" si="125"/>
        <v>0</v>
      </c>
      <c r="AO307" s="1031">
        <f t="shared" si="126"/>
        <v>0</v>
      </c>
      <c r="AP307" s="1044">
        <f t="shared" si="127"/>
        <v>0</v>
      </c>
      <c r="AQ307" s="5257" t="str">
        <f t="shared" si="128"/>
        <v/>
      </c>
      <c r="AR307" s="1056"/>
      <c r="AS307" s="1056"/>
      <c r="AT307" s="1045">
        <f t="shared" si="129"/>
        <v>0</v>
      </c>
      <c r="AU307" s="1046">
        <f t="shared" si="130"/>
        <v>0</v>
      </c>
      <c r="AV307" s="1059" cm="1">
        <f t="array" ref="AV307">IF(AJ307&lt;&gt;1,0,IF(OR(AT307="",N(AT307)&lt;=0.000000001),"",IF(OR(AN307="",N(AN307)&lt;=0.000000001),0,IF(ISNUMBER(AT307),IFERROR(_xlfn.LET(_xlpm.ai_test,TRIM(AI307),_xlpm.r,IFERROR(_xlfn.XLOOKUP(_xlpm.ai_test,$BI$15:$BI$62,ROW($BI$15:$BI$62),0,1),IFERROR(_xlfn.XLOOKUP(_xlpm.ai_test,$BJ$15:$BJ$62,ROW($BJ$15:$BJ$62),0,1),_xlfn.XLOOKUP(_xlpm.ai_test,$BK$15:$BK$62,ROW($BK$15:$BK$62),0,1))),_xlpm.p,_xlpm.r-MIN(ROW($BI$15:$BI$62))+1,_xlpm.f,INDEX($BL$15:$BL$62,_xlpm.p),_xlpm.u,INDEX($BM$15:$BM$62,_xlpm.p),_xlpm.s,INDEX($BO$15:$BO$62,_xlpm.p),_xlpm.q,N(AT307)/_xlpm.f,IF(_xlpm.q&gt;=_xlpm.s,ROUND(_xlpm.q,1)&amp;" "&amp;_xlpm.ai_test&amp;" = "&amp;ROUND(_xlpm.q*_xlpm.f,1)&amp;" "&amp;_xlpm.u,ROUND(_xlpm.q,1)&amp;" "&amp;_xlpm.ai_test)),""),""))))</f>
        <v>0</v>
      </c>
      <c r="AW307" s="1047"/>
      <c r="AX307" s="1045">
        <f t="shared" si="131"/>
        <v>0</v>
      </c>
      <c r="AY307" s="1046" t="str">
        <f t="shared" si="132"/>
        <v/>
      </c>
      <c r="AZ307" s="1048">
        <f t="shared" si="137"/>
        <v>0</v>
      </c>
      <c r="BA307" s="1049" t="str">
        <f t="shared" si="133"/>
        <v/>
      </c>
      <c r="BB307" s="1038"/>
      <c r="BC307" s="1050">
        <f t="shared" si="138"/>
        <v>0</v>
      </c>
      <c r="BD307" s="1040" t="str">
        <f t="shared" si="134"/>
        <v/>
      </c>
      <c r="BE307" s="227" t="s">
        <v>22</v>
      </c>
      <c r="BF307" s="1019">
        <f t="shared" si="135"/>
        <v>0</v>
      </c>
      <c r="BG307" s="1020">
        <f t="shared" si="136"/>
        <v>0</v>
      </c>
      <c r="BH307"/>
      <c r="BQ307"/>
      <c r="BR307"/>
      <c r="BS307"/>
      <c r="BT307"/>
      <c r="BU307"/>
      <c r="BV307"/>
      <c r="BW307" s="959" t="str">
        <f t="shared" si="117"/>
        <v>►</v>
      </c>
      <c r="BX307"/>
      <c r="BY307"/>
      <c r="BZ307"/>
      <c r="CA307"/>
      <c r="CB307"/>
      <c r="CC307" s="856"/>
      <c r="CD307"/>
      <c r="CE307"/>
      <c r="CF307"/>
      <c r="CG307"/>
      <c r="CH307"/>
      <c r="CI307"/>
      <c r="CJ307"/>
      <c r="CK307" s="856"/>
      <c r="CL307"/>
      <c r="CM307"/>
      <c r="CN307"/>
      <c r="CO307"/>
      <c r="CP307"/>
      <c r="CQ307"/>
      <c r="CR307"/>
      <c r="CS307" s="856"/>
      <c r="CT307"/>
      <c r="CU307"/>
      <c r="CV307"/>
      <c r="CW307"/>
      <c r="CX307"/>
      <c r="CY307"/>
      <c r="CZ307"/>
      <c r="DA307" s="856"/>
      <c r="DB307" s="3">
        <v>1</v>
      </c>
    </row>
    <row r="308" spans="1:108" ht="21" customHeight="1">
      <c r="L308" s="104" t="s">
        <v>16</v>
      </c>
      <c r="M308" s="1172"/>
      <c r="N308" s="1172"/>
      <c r="O308" s="1172"/>
      <c r="P308" s="1173"/>
      <c r="Q308" s="1174"/>
      <c r="R308" s="1175"/>
      <c r="S308" s="1176"/>
      <c r="T308" s="1177"/>
      <c r="U308" s="5248"/>
      <c r="V308" s="1177"/>
      <c r="W308" s="5249"/>
      <c r="X308" s="5208"/>
      <c r="Y308" s="5209"/>
      <c r="Z308" s="5210"/>
      <c r="AA308" s="5211"/>
      <c r="AB308" s="1178"/>
      <c r="AC308" s="1179"/>
      <c r="AD308" s="227" t="s">
        <v>22</v>
      </c>
      <c r="AE308" s="1027" t="str">
        <f t="shared" si="118"/>
        <v>►</v>
      </c>
      <c r="AF308" s="1028" t="str">
        <f t="shared" si="119"/>
        <v/>
      </c>
      <c r="AG308" s="1029" t="str">
        <f t="shared" si="120"/>
        <v/>
      </c>
      <c r="AH308" s="1028" t="str">
        <f t="shared" si="121"/>
        <v/>
      </c>
      <c r="AI308" s="1029" t="str">
        <f t="shared" si="122"/>
        <v/>
      </c>
      <c r="AJ308" s="1029">
        <f t="shared" si="123"/>
        <v>0</v>
      </c>
      <c r="AK308" s="1043" t="str" cm="1">
        <f t="array" ref="AK308">IF(AE308&lt;&gt;"A","",IFERROR((IFERROR(_xlfn.XLOOKUP(TRIM(SUBSTITUTE(U308,CHAR(160)," ")),$BI$15:$BI$62,$BL$15:$BL$62),IFERROR(_xlfn.XLOOKUP(TRIM(SUBSTITUTE(U308,CHAR(160)," ")),$BJ$15:$BJ$62,$BL$15:$BL$62),_xlfn.XLOOKUP(TRIM(SUBSTITUTE(U308,CHAR(160)," ")),$BK$15:$BK$62,$BL$15:$BL$62))))*T308*IF(ISBLANK(Q308),1,Q308)+IFERROR(_xlfn.XLOOKUP("RECHERCHEX",TRIM(L308:AC308),L308:AC308),0),0))</f>
        <v/>
      </c>
      <c r="AL308" s="1030">
        <f t="shared" si="124"/>
        <v>0</v>
      </c>
      <c r="AM308" s="5254" t="str">
        <f t="shared" si="139"/>
        <v/>
      </c>
      <c r="AN308" s="1031">
        <f t="shared" si="125"/>
        <v>0</v>
      </c>
      <c r="AO308" s="1031">
        <f t="shared" si="126"/>
        <v>0</v>
      </c>
      <c r="AP308" s="1032">
        <f t="shared" si="127"/>
        <v>0</v>
      </c>
      <c r="AQ308" s="5255" t="str">
        <f t="shared" si="128"/>
        <v/>
      </c>
      <c r="AR308" s="1056"/>
      <c r="AS308" s="1056"/>
      <c r="AT308" s="1034">
        <f t="shared" si="129"/>
        <v>0</v>
      </c>
      <c r="AU308" s="1035">
        <f t="shared" si="130"/>
        <v>0</v>
      </c>
      <c r="AV308" s="1057" cm="1">
        <f t="array" ref="AV308">IF(AJ308&lt;&gt;1,0,IF(OR(AT308="",N(AT308)&lt;=0.000000001),"",IF(OR(AN308="",N(AN308)&lt;=0.000000001),0,IF(ISNUMBER(AT308),IFERROR(_xlfn.LET(_xlpm.ai_test,TRIM(AI308),_xlpm.r,IFERROR(_xlfn.XLOOKUP(_xlpm.ai_test,$BI$15:$BI$62,ROW($BI$15:$BI$62),0,1),IFERROR(_xlfn.XLOOKUP(_xlpm.ai_test,$BJ$15:$BJ$62,ROW($BJ$15:$BJ$62),0,1),_xlfn.XLOOKUP(_xlpm.ai_test,$BK$15:$BK$62,ROW($BK$15:$BK$62),0,1))),_xlpm.p,_xlpm.r-MIN(ROW($BI$15:$BI$62))+1,_xlpm.f,INDEX($BL$15:$BL$62,_xlpm.p),_xlpm.u,INDEX($BM$15:$BM$62,_xlpm.p),_xlpm.s,INDEX($BO$15:$BO$62,_xlpm.p),_xlpm.q,N(AT308)/_xlpm.f,IF(_xlpm.q&gt;=_xlpm.s,ROUND(_xlpm.q,1)&amp;" "&amp;_xlpm.ai_test&amp;" = "&amp;ROUND(_xlpm.q*_xlpm.f,1)&amp;" "&amp;_xlpm.u,ROUND(_xlpm.q,1)&amp;" "&amp;_xlpm.ai_test)),""),""))))</f>
        <v>0</v>
      </c>
      <c r="AW308" s="1047"/>
      <c r="AX308" s="1034">
        <f t="shared" si="131"/>
        <v>0</v>
      </c>
      <c r="AY308" s="1035" t="str">
        <f t="shared" si="132"/>
        <v/>
      </c>
      <c r="AZ308" s="1036">
        <f t="shared" si="137"/>
        <v>0</v>
      </c>
      <c r="BA308" s="1037" t="str">
        <f t="shared" si="133"/>
        <v/>
      </c>
      <c r="BB308" s="1038"/>
      <c r="BC308" s="1039">
        <f t="shared" si="138"/>
        <v>0</v>
      </c>
      <c r="BD308" s="1040" t="str">
        <f t="shared" si="134"/>
        <v/>
      </c>
      <c r="BE308" s="227" t="s">
        <v>22</v>
      </c>
      <c r="BF308" s="1019">
        <f t="shared" si="135"/>
        <v>0</v>
      </c>
      <c r="BG308" s="1020">
        <f t="shared" si="136"/>
        <v>0</v>
      </c>
      <c r="BH308"/>
      <c r="BI308" s="709"/>
      <c r="BJ308" s="709"/>
      <c r="BK308" s="709"/>
      <c r="BL308" s="709"/>
      <c r="BM308" s="709"/>
      <c r="BN308" s="709"/>
      <c r="BO308" s="709"/>
      <c r="BP308" s="709"/>
      <c r="BW308" s="959" t="str">
        <f t="shared" si="117"/>
        <v>►</v>
      </c>
      <c r="CB308"/>
      <c r="CC308" s="856"/>
      <c r="CK308" s="856"/>
      <c r="CS308" s="856"/>
      <c r="DA308" s="856"/>
      <c r="DB308" s="3">
        <v>1</v>
      </c>
    </row>
    <row r="309" spans="1:108" ht="21" customHeight="1">
      <c r="L309" s="104" t="s">
        <v>16</v>
      </c>
      <c r="M309" s="1172"/>
      <c r="N309" s="1172"/>
      <c r="O309" s="1172"/>
      <c r="P309" s="1173"/>
      <c r="Q309" s="1174"/>
      <c r="R309" s="1175"/>
      <c r="S309" s="1176"/>
      <c r="T309" s="1177"/>
      <c r="U309" s="5248"/>
      <c r="V309" s="1177"/>
      <c r="W309" s="5249"/>
      <c r="X309" s="5208"/>
      <c r="Y309" s="5209"/>
      <c r="Z309" s="5210"/>
      <c r="AA309" s="5211"/>
      <c r="AB309" s="1178"/>
      <c r="AC309" s="1179"/>
      <c r="AD309" s="227" t="s">
        <v>22</v>
      </c>
      <c r="AE309" s="1027" t="str">
        <f t="shared" si="118"/>
        <v>►</v>
      </c>
      <c r="AF309" s="1028" t="str">
        <f t="shared" si="119"/>
        <v/>
      </c>
      <c r="AG309" s="1029" t="str">
        <f t="shared" si="120"/>
        <v/>
      </c>
      <c r="AH309" s="1028" t="str">
        <f t="shared" si="121"/>
        <v/>
      </c>
      <c r="AI309" s="1029" t="str">
        <f t="shared" si="122"/>
        <v/>
      </c>
      <c r="AJ309" s="1029">
        <f t="shared" si="123"/>
        <v>0</v>
      </c>
      <c r="AK309" s="1043" t="str" cm="1">
        <f t="array" ref="AK309">IF(AE309&lt;&gt;"A","",IFERROR((IFERROR(_xlfn.XLOOKUP(TRIM(SUBSTITUTE(U309,CHAR(160)," ")),$BI$15:$BI$62,$BL$15:$BL$62),IFERROR(_xlfn.XLOOKUP(TRIM(SUBSTITUTE(U309,CHAR(160)," ")),$BJ$15:$BJ$62,$BL$15:$BL$62),_xlfn.XLOOKUP(TRIM(SUBSTITUTE(U309,CHAR(160)," ")),$BK$15:$BK$62,$BL$15:$BL$62))))*T309*IF(ISBLANK(Q309),1,Q309)+IFERROR(_xlfn.XLOOKUP("RECHERCHEX",TRIM(L309:AC309),L309:AC309),0),0))</f>
        <v/>
      </c>
      <c r="AL309" s="1030">
        <f t="shared" si="124"/>
        <v>0</v>
      </c>
      <c r="AM309" s="5254" t="str">
        <f t="shared" si="139"/>
        <v/>
      </c>
      <c r="AN309" s="1031">
        <f t="shared" si="125"/>
        <v>0</v>
      </c>
      <c r="AO309" s="1031">
        <f t="shared" si="126"/>
        <v>0</v>
      </c>
      <c r="AP309" s="1044">
        <f t="shared" si="127"/>
        <v>0</v>
      </c>
      <c r="AQ309" s="5257" t="str">
        <f t="shared" si="128"/>
        <v/>
      </c>
      <c r="AR309" s="1056"/>
      <c r="AS309" s="1056"/>
      <c r="AT309" s="1045">
        <f t="shared" si="129"/>
        <v>0</v>
      </c>
      <c r="AU309" s="1046">
        <f t="shared" si="130"/>
        <v>0</v>
      </c>
      <c r="AV309" s="1059" cm="1">
        <f t="array" ref="AV309">IF(AJ309&lt;&gt;1,0,IF(OR(AT309="",N(AT309)&lt;=0.000000001),"",IF(OR(AN309="",N(AN309)&lt;=0.000000001),0,IF(ISNUMBER(AT309),IFERROR(_xlfn.LET(_xlpm.ai_test,TRIM(AI309),_xlpm.r,IFERROR(_xlfn.XLOOKUP(_xlpm.ai_test,$BI$15:$BI$62,ROW($BI$15:$BI$62),0,1),IFERROR(_xlfn.XLOOKUP(_xlpm.ai_test,$BJ$15:$BJ$62,ROW($BJ$15:$BJ$62),0,1),_xlfn.XLOOKUP(_xlpm.ai_test,$BK$15:$BK$62,ROW($BK$15:$BK$62),0,1))),_xlpm.p,_xlpm.r-MIN(ROW($BI$15:$BI$62))+1,_xlpm.f,INDEX($BL$15:$BL$62,_xlpm.p),_xlpm.u,INDEX($BM$15:$BM$62,_xlpm.p),_xlpm.s,INDEX($BO$15:$BO$62,_xlpm.p),_xlpm.q,N(AT309)/_xlpm.f,IF(_xlpm.q&gt;=_xlpm.s,ROUND(_xlpm.q,1)&amp;" "&amp;_xlpm.ai_test&amp;" = "&amp;ROUND(_xlpm.q*_xlpm.f,1)&amp;" "&amp;_xlpm.u,ROUND(_xlpm.q,1)&amp;" "&amp;_xlpm.ai_test)),""),""))))</f>
        <v>0</v>
      </c>
      <c r="AW309" s="1047"/>
      <c r="AX309" s="1045">
        <f t="shared" si="131"/>
        <v>0</v>
      </c>
      <c r="AY309" s="1046" t="str">
        <f t="shared" si="132"/>
        <v/>
      </c>
      <c r="AZ309" s="1048">
        <f t="shared" si="137"/>
        <v>0</v>
      </c>
      <c r="BA309" s="1049" t="str">
        <f t="shared" si="133"/>
        <v/>
      </c>
      <c r="BB309" s="1038"/>
      <c r="BC309" s="1050">
        <f t="shared" si="138"/>
        <v>0</v>
      </c>
      <c r="BD309" s="1040" t="str">
        <f t="shared" si="134"/>
        <v/>
      </c>
      <c r="BE309" s="227" t="s">
        <v>22</v>
      </c>
      <c r="BF309" s="1019">
        <f t="shared" si="135"/>
        <v>0</v>
      </c>
      <c r="BG309" s="1020">
        <f t="shared" si="136"/>
        <v>0</v>
      </c>
      <c r="BH309"/>
      <c r="BI309" s="709"/>
      <c r="BJ309" s="709"/>
      <c r="BK309" s="709"/>
      <c r="BL309" s="709"/>
      <c r="BM309" s="709"/>
      <c r="BN309" s="709"/>
      <c r="BO309" s="709"/>
      <c r="BP309" s="709"/>
      <c r="BW309" s="959" t="str">
        <f t="shared" si="117"/>
        <v>►</v>
      </c>
      <c r="CB309"/>
      <c r="CC309" s="856"/>
      <c r="CK309" s="856"/>
      <c r="CS309" s="856"/>
      <c r="DA309" s="856"/>
      <c r="DB309" s="3">
        <v>1</v>
      </c>
    </row>
    <row r="310" spans="1:108" ht="21" customHeight="1">
      <c r="L310" s="104" t="s">
        <v>16</v>
      </c>
      <c r="M310" s="1172"/>
      <c r="N310" s="1172"/>
      <c r="O310" s="1172"/>
      <c r="P310" s="1173"/>
      <c r="Q310" s="1174"/>
      <c r="R310" s="1175"/>
      <c r="S310" s="1176"/>
      <c r="T310" s="1177"/>
      <c r="U310" s="5248"/>
      <c r="V310" s="1177"/>
      <c r="W310" s="5249"/>
      <c r="X310" s="5208"/>
      <c r="Y310" s="5209"/>
      <c r="Z310" s="5210"/>
      <c r="AA310" s="5211"/>
      <c r="AB310" s="1178"/>
      <c r="AC310" s="1179"/>
      <c r="AD310" s="227" t="s">
        <v>22</v>
      </c>
      <c r="AE310" s="1027" t="str">
        <f t="shared" si="118"/>
        <v>►</v>
      </c>
      <c r="AF310" s="1028" t="str">
        <f t="shared" si="119"/>
        <v/>
      </c>
      <c r="AG310" s="1029" t="str">
        <f t="shared" si="120"/>
        <v/>
      </c>
      <c r="AH310" s="1028" t="str">
        <f t="shared" si="121"/>
        <v/>
      </c>
      <c r="AI310" s="1029" t="str">
        <f t="shared" si="122"/>
        <v/>
      </c>
      <c r="AJ310" s="1029">
        <f t="shared" si="123"/>
        <v>0</v>
      </c>
      <c r="AK310" s="1043" t="str" cm="1">
        <f t="array" ref="AK310">IF(AE310&lt;&gt;"A","",IFERROR((IFERROR(_xlfn.XLOOKUP(TRIM(SUBSTITUTE(U310,CHAR(160)," ")),$BI$15:$BI$62,$BL$15:$BL$62),IFERROR(_xlfn.XLOOKUP(TRIM(SUBSTITUTE(U310,CHAR(160)," ")),$BJ$15:$BJ$62,$BL$15:$BL$62),_xlfn.XLOOKUP(TRIM(SUBSTITUTE(U310,CHAR(160)," ")),$BK$15:$BK$62,$BL$15:$BL$62))))*T310*IF(ISBLANK(Q310),1,Q310)+IFERROR(_xlfn.XLOOKUP("RECHERCHEX",TRIM(L310:AC310),L310:AC310),0),0))</f>
        <v/>
      </c>
      <c r="AL310" s="1030">
        <f t="shared" si="124"/>
        <v>0</v>
      </c>
      <c r="AM310" s="5254" t="str">
        <f t="shared" si="139"/>
        <v/>
      </c>
      <c r="AN310" s="1031">
        <f t="shared" si="125"/>
        <v>0</v>
      </c>
      <c r="AO310" s="1031">
        <f t="shared" si="126"/>
        <v>0</v>
      </c>
      <c r="AP310" s="1032">
        <f t="shared" si="127"/>
        <v>0</v>
      </c>
      <c r="AQ310" s="5255" t="str">
        <f t="shared" si="128"/>
        <v/>
      </c>
      <c r="AR310" s="1056"/>
      <c r="AS310" s="1056"/>
      <c r="AT310" s="1034">
        <f t="shared" si="129"/>
        <v>0</v>
      </c>
      <c r="AU310" s="1035">
        <f t="shared" si="130"/>
        <v>0</v>
      </c>
      <c r="AV310" s="1057" cm="1">
        <f t="array" ref="AV310">IF(AJ310&lt;&gt;1,0,IF(OR(AT310="",N(AT310)&lt;=0.000000001),"",IF(OR(AN310="",N(AN310)&lt;=0.000000001),0,IF(ISNUMBER(AT310),IFERROR(_xlfn.LET(_xlpm.ai_test,TRIM(AI310),_xlpm.r,IFERROR(_xlfn.XLOOKUP(_xlpm.ai_test,$BI$15:$BI$62,ROW($BI$15:$BI$62),0,1),IFERROR(_xlfn.XLOOKUP(_xlpm.ai_test,$BJ$15:$BJ$62,ROW($BJ$15:$BJ$62),0,1),_xlfn.XLOOKUP(_xlpm.ai_test,$BK$15:$BK$62,ROW($BK$15:$BK$62),0,1))),_xlpm.p,_xlpm.r-MIN(ROW($BI$15:$BI$62))+1,_xlpm.f,INDEX($BL$15:$BL$62,_xlpm.p),_xlpm.u,INDEX($BM$15:$BM$62,_xlpm.p),_xlpm.s,INDEX($BO$15:$BO$62,_xlpm.p),_xlpm.q,N(AT310)/_xlpm.f,IF(_xlpm.q&gt;=_xlpm.s,ROUND(_xlpm.q,1)&amp;" "&amp;_xlpm.ai_test&amp;" = "&amp;ROUND(_xlpm.q*_xlpm.f,1)&amp;" "&amp;_xlpm.u,ROUND(_xlpm.q,1)&amp;" "&amp;_xlpm.ai_test)),""),""))))</f>
        <v>0</v>
      </c>
      <c r="AW310" s="1047"/>
      <c r="AX310" s="1034">
        <f t="shared" si="131"/>
        <v>0</v>
      </c>
      <c r="AY310" s="1035" t="str">
        <f t="shared" si="132"/>
        <v/>
      </c>
      <c r="AZ310" s="1036">
        <f t="shared" si="137"/>
        <v>0</v>
      </c>
      <c r="BA310" s="1037" t="str">
        <f t="shared" si="133"/>
        <v/>
      </c>
      <c r="BB310" s="1038"/>
      <c r="BC310" s="1039">
        <f t="shared" si="138"/>
        <v>0</v>
      </c>
      <c r="BD310" s="1040" t="str">
        <f t="shared" si="134"/>
        <v/>
      </c>
      <c r="BE310" s="227" t="s">
        <v>22</v>
      </c>
      <c r="BF310" s="1019">
        <f t="shared" si="135"/>
        <v>0</v>
      </c>
      <c r="BG310" s="1020">
        <f t="shared" si="136"/>
        <v>0</v>
      </c>
      <c r="BH310"/>
      <c r="BI310" s="709"/>
      <c r="BJ310" s="709"/>
      <c r="BK310" s="709"/>
      <c r="BL310" s="709"/>
      <c r="BM310" s="709"/>
      <c r="BN310" s="709"/>
      <c r="BO310" s="709"/>
      <c r="BP310" s="709"/>
      <c r="BW310" s="959" t="str">
        <f t="shared" si="117"/>
        <v>►</v>
      </c>
      <c r="CB310"/>
      <c r="CC310" s="856"/>
      <c r="CK310" s="856"/>
      <c r="CS310" s="856"/>
      <c r="DA310" s="856"/>
      <c r="DB310" s="3">
        <v>1</v>
      </c>
    </row>
    <row r="311" spans="1:108" ht="21" customHeight="1">
      <c r="L311" s="104" t="s">
        <v>16</v>
      </c>
      <c r="M311" s="1172"/>
      <c r="N311" s="1172"/>
      <c r="O311" s="1172"/>
      <c r="P311" s="1173"/>
      <c r="Q311" s="1174"/>
      <c r="R311" s="1175"/>
      <c r="S311" s="1176"/>
      <c r="T311" s="1177"/>
      <c r="U311" s="5248"/>
      <c r="V311" s="1177"/>
      <c r="W311" s="5249"/>
      <c r="X311" s="5208"/>
      <c r="Y311" s="5209"/>
      <c r="Z311" s="5210"/>
      <c r="AA311" s="5211"/>
      <c r="AB311" s="1178"/>
      <c r="AC311" s="1179"/>
      <c r="AD311" s="227" t="s">
        <v>22</v>
      </c>
      <c r="AE311" s="1027" t="str">
        <f t="shared" si="118"/>
        <v>►</v>
      </c>
      <c r="AF311" s="1028" t="str">
        <f t="shared" si="119"/>
        <v/>
      </c>
      <c r="AG311" s="1029" t="str">
        <f t="shared" si="120"/>
        <v/>
      </c>
      <c r="AH311" s="1028" t="str">
        <f t="shared" si="121"/>
        <v/>
      </c>
      <c r="AI311" s="1029" t="str">
        <f t="shared" si="122"/>
        <v/>
      </c>
      <c r="AJ311" s="1029">
        <f t="shared" si="123"/>
        <v>0</v>
      </c>
      <c r="AK311" s="1043" t="str" cm="1">
        <f t="array" ref="AK311">IF(AE311&lt;&gt;"A","",IFERROR((IFERROR(_xlfn.XLOOKUP(TRIM(SUBSTITUTE(U311,CHAR(160)," ")),$BI$15:$BI$62,$BL$15:$BL$62),IFERROR(_xlfn.XLOOKUP(TRIM(SUBSTITUTE(U311,CHAR(160)," ")),$BJ$15:$BJ$62,$BL$15:$BL$62),_xlfn.XLOOKUP(TRIM(SUBSTITUTE(U311,CHAR(160)," ")),$BK$15:$BK$62,$BL$15:$BL$62))))*T311*IF(ISBLANK(Q311),1,Q311)+IFERROR(_xlfn.XLOOKUP("RECHERCHEX",TRIM(L311:AC311),L311:AC311),0),0))</f>
        <v/>
      </c>
      <c r="AL311" s="1030">
        <f t="shared" si="124"/>
        <v>0</v>
      </c>
      <c r="AM311" s="5254" t="str">
        <f t="shared" si="139"/>
        <v/>
      </c>
      <c r="AN311" s="1031">
        <f t="shared" si="125"/>
        <v>0</v>
      </c>
      <c r="AO311" s="1031">
        <f t="shared" si="126"/>
        <v>0</v>
      </c>
      <c r="AP311" s="1044">
        <f t="shared" si="127"/>
        <v>0</v>
      </c>
      <c r="AQ311" s="5257" t="str">
        <f t="shared" si="128"/>
        <v/>
      </c>
      <c r="AR311" s="1056"/>
      <c r="AS311" s="1056"/>
      <c r="AT311" s="1045">
        <f t="shared" si="129"/>
        <v>0</v>
      </c>
      <c r="AU311" s="1046">
        <f t="shared" si="130"/>
        <v>0</v>
      </c>
      <c r="AV311" s="1059" cm="1">
        <f t="array" ref="AV311">IF(AJ311&lt;&gt;1,0,IF(OR(AT311="",N(AT311)&lt;=0.000000001),"",IF(OR(AN311="",N(AN311)&lt;=0.000000001),0,IF(ISNUMBER(AT311),IFERROR(_xlfn.LET(_xlpm.ai_test,TRIM(AI311),_xlpm.r,IFERROR(_xlfn.XLOOKUP(_xlpm.ai_test,$BI$15:$BI$62,ROW($BI$15:$BI$62),0,1),IFERROR(_xlfn.XLOOKUP(_xlpm.ai_test,$BJ$15:$BJ$62,ROW($BJ$15:$BJ$62),0,1),_xlfn.XLOOKUP(_xlpm.ai_test,$BK$15:$BK$62,ROW($BK$15:$BK$62),0,1))),_xlpm.p,_xlpm.r-MIN(ROW($BI$15:$BI$62))+1,_xlpm.f,INDEX($BL$15:$BL$62,_xlpm.p),_xlpm.u,INDEX($BM$15:$BM$62,_xlpm.p),_xlpm.s,INDEX($BO$15:$BO$62,_xlpm.p),_xlpm.q,N(AT311)/_xlpm.f,IF(_xlpm.q&gt;=_xlpm.s,ROUND(_xlpm.q,1)&amp;" "&amp;_xlpm.ai_test&amp;" = "&amp;ROUND(_xlpm.q*_xlpm.f,1)&amp;" "&amp;_xlpm.u,ROUND(_xlpm.q,1)&amp;" "&amp;_xlpm.ai_test)),""),""))))</f>
        <v>0</v>
      </c>
      <c r="AW311" s="1047"/>
      <c r="AX311" s="1045">
        <f t="shared" si="131"/>
        <v>0</v>
      </c>
      <c r="AY311" s="1046" t="str">
        <f t="shared" si="132"/>
        <v/>
      </c>
      <c r="AZ311" s="1048">
        <f t="shared" si="137"/>
        <v>0</v>
      </c>
      <c r="BA311" s="1049" t="str">
        <f t="shared" si="133"/>
        <v/>
      </c>
      <c r="BB311" s="1038"/>
      <c r="BC311" s="1050">
        <f t="shared" si="138"/>
        <v>0</v>
      </c>
      <c r="BD311" s="1040" t="str">
        <f t="shared" si="134"/>
        <v/>
      </c>
      <c r="BE311" s="227" t="s">
        <v>22</v>
      </c>
      <c r="BF311" s="1019">
        <f t="shared" si="135"/>
        <v>0</v>
      </c>
      <c r="BG311" s="1020">
        <f t="shared" si="136"/>
        <v>0</v>
      </c>
      <c r="BH311"/>
      <c r="BI311" s="709"/>
      <c r="BJ311" s="709"/>
      <c r="BK311" s="709"/>
      <c r="BL311" s="709"/>
      <c r="BM311" s="709"/>
      <c r="BN311" s="709"/>
      <c r="BO311" s="709"/>
      <c r="BP311" s="709"/>
      <c r="BW311" s="959" t="str">
        <f t="shared" si="117"/>
        <v>►</v>
      </c>
      <c r="CB311"/>
      <c r="CC311" s="856"/>
      <c r="CK311" s="856"/>
      <c r="CS311" s="856"/>
      <c r="DA311" s="856"/>
      <c r="DB311" s="3">
        <v>1</v>
      </c>
    </row>
    <row r="312" spans="1:108" ht="21" customHeight="1">
      <c r="L312" s="104" t="s">
        <v>16</v>
      </c>
      <c r="M312" s="1172"/>
      <c r="N312" s="1172"/>
      <c r="O312" s="1172"/>
      <c r="P312" s="1173"/>
      <c r="Q312" s="1174"/>
      <c r="R312" s="1175"/>
      <c r="S312" s="1176"/>
      <c r="T312" s="1177"/>
      <c r="U312" s="5248"/>
      <c r="V312" s="1177"/>
      <c r="W312" s="5249"/>
      <c r="X312" s="5208"/>
      <c r="Y312" s="5209"/>
      <c r="Z312" s="5210"/>
      <c r="AA312" s="5211"/>
      <c r="AB312" s="1178"/>
      <c r="AC312" s="1179"/>
      <c r="AD312" s="227" t="s">
        <v>22</v>
      </c>
      <c r="AE312" s="1027" t="str">
        <f t="shared" si="118"/>
        <v>►</v>
      </c>
      <c r="AF312" s="1028" t="str">
        <f t="shared" si="119"/>
        <v/>
      </c>
      <c r="AG312" s="1029" t="str">
        <f t="shared" si="120"/>
        <v/>
      </c>
      <c r="AH312" s="1028" t="str">
        <f t="shared" si="121"/>
        <v/>
      </c>
      <c r="AI312" s="1029" t="str">
        <f t="shared" si="122"/>
        <v/>
      </c>
      <c r="AJ312" s="1029">
        <f t="shared" si="123"/>
        <v>0</v>
      </c>
      <c r="AK312" s="1043" t="str" cm="1">
        <f t="array" ref="AK312">IF(AE312&lt;&gt;"A","",IFERROR((IFERROR(_xlfn.XLOOKUP(TRIM(SUBSTITUTE(U312,CHAR(160)," ")),$BI$15:$BI$62,$BL$15:$BL$62),IFERROR(_xlfn.XLOOKUP(TRIM(SUBSTITUTE(U312,CHAR(160)," ")),$BJ$15:$BJ$62,$BL$15:$BL$62),_xlfn.XLOOKUP(TRIM(SUBSTITUTE(U312,CHAR(160)," ")),$BK$15:$BK$62,$BL$15:$BL$62))))*T312*IF(ISBLANK(Q312),1,Q312)+IFERROR(_xlfn.XLOOKUP("RECHERCHEX",TRIM(L312:AC312),L312:AC312),0),0))</f>
        <v/>
      </c>
      <c r="AL312" s="1030">
        <f t="shared" si="124"/>
        <v>0</v>
      </c>
      <c r="AM312" s="5254" t="str">
        <f t="shared" si="139"/>
        <v/>
      </c>
      <c r="AN312" s="1031">
        <f t="shared" si="125"/>
        <v>0</v>
      </c>
      <c r="AO312" s="1031">
        <f t="shared" si="126"/>
        <v>0</v>
      </c>
      <c r="AP312" s="1032">
        <f t="shared" si="127"/>
        <v>0</v>
      </c>
      <c r="AQ312" s="5255" t="str">
        <f t="shared" si="128"/>
        <v/>
      </c>
      <c r="AR312" s="1056"/>
      <c r="AS312" s="1056"/>
      <c r="AT312" s="1034">
        <f t="shared" si="129"/>
        <v>0</v>
      </c>
      <c r="AU312" s="1035">
        <f t="shared" si="130"/>
        <v>0</v>
      </c>
      <c r="AV312" s="1057" cm="1">
        <f t="array" ref="AV312">IF(AJ312&lt;&gt;1,0,IF(OR(AT312="",N(AT312)&lt;=0.000000001),"",IF(OR(AN312="",N(AN312)&lt;=0.000000001),0,IF(ISNUMBER(AT312),IFERROR(_xlfn.LET(_xlpm.ai_test,TRIM(AI312),_xlpm.r,IFERROR(_xlfn.XLOOKUP(_xlpm.ai_test,$BI$15:$BI$62,ROW($BI$15:$BI$62),0,1),IFERROR(_xlfn.XLOOKUP(_xlpm.ai_test,$BJ$15:$BJ$62,ROW($BJ$15:$BJ$62),0,1),_xlfn.XLOOKUP(_xlpm.ai_test,$BK$15:$BK$62,ROW($BK$15:$BK$62),0,1))),_xlpm.p,_xlpm.r-MIN(ROW($BI$15:$BI$62))+1,_xlpm.f,INDEX($BL$15:$BL$62,_xlpm.p),_xlpm.u,INDEX($BM$15:$BM$62,_xlpm.p),_xlpm.s,INDEX($BO$15:$BO$62,_xlpm.p),_xlpm.q,N(AT312)/_xlpm.f,IF(_xlpm.q&gt;=_xlpm.s,ROUND(_xlpm.q,1)&amp;" "&amp;_xlpm.ai_test&amp;" = "&amp;ROUND(_xlpm.q*_xlpm.f,1)&amp;" "&amp;_xlpm.u,ROUND(_xlpm.q,1)&amp;" "&amp;_xlpm.ai_test)),""),""))))</f>
        <v>0</v>
      </c>
      <c r="AW312" s="1047"/>
      <c r="AX312" s="1034">
        <f t="shared" si="131"/>
        <v>0</v>
      </c>
      <c r="AY312" s="1035" t="str">
        <f t="shared" si="132"/>
        <v/>
      </c>
      <c r="AZ312" s="1036">
        <f t="shared" si="137"/>
        <v>0</v>
      </c>
      <c r="BA312" s="1037" t="str">
        <f t="shared" si="133"/>
        <v/>
      </c>
      <c r="BB312" s="1038"/>
      <c r="BC312" s="1039">
        <f t="shared" si="138"/>
        <v>0</v>
      </c>
      <c r="BD312" s="1040" t="str">
        <f t="shared" si="134"/>
        <v/>
      </c>
      <c r="BE312" s="227" t="s">
        <v>22</v>
      </c>
      <c r="BF312" s="1019">
        <f t="shared" si="135"/>
        <v>0</v>
      </c>
      <c r="BG312" s="1020">
        <f t="shared" si="136"/>
        <v>0</v>
      </c>
      <c r="BH312"/>
      <c r="BI312" s="709"/>
      <c r="BJ312" s="709"/>
      <c r="BK312" s="709"/>
      <c r="BL312" s="709"/>
      <c r="BM312" s="709"/>
      <c r="BN312" s="709"/>
      <c r="BO312" s="709"/>
      <c r="BP312" s="709"/>
      <c r="BW312" s="959" t="str">
        <f t="shared" si="117"/>
        <v>►</v>
      </c>
      <c r="CB312"/>
      <c r="CC312" s="856"/>
      <c r="CK312" s="856"/>
      <c r="CS312" s="856"/>
      <c r="DA312" s="856"/>
      <c r="DB312" s="3">
        <v>1</v>
      </c>
    </row>
    <row r="313" spans="1:108" ht="21" customHeight="1">
      <c r="L313" s="104" t="s">
        <v>16</v>
      </c>
      <c r="M313" s="1172"/>
      <c r="N313" s="1172"/>
      <c r="O313" s="1172"/>
      <c r="P313" s="1173"/>
      <c r="Q313" s="1174"/>
      <c r="R313" s="1175"/>
      <c r="S313" s="1176"/>
      <c r="T313" s="1177"/>
      <c r="U313" s="5248"/>
      <c r="V313" s="1177"/>
      <c r="W313" s="5249"/>
      <c r="X313" s="5208"/>
      <c r="Y313" s="5209"/>
      <c r="Z313" s="5210"/>
      <c r="AA313" s="5211"/>
      <c r="AB313" s="1178"/>
      <c r="AC313" s="1179"/>
      <c r="AD313" s="227" t="s">
        <v>22</v>
      </c>
      <c r="AE313" s="1027" t="str">
        <f t="shared" si="118"/>
        <v>►</v>
      </c>
      <c r="AF313" s="1028" t="str">
        <f t="shared" si="119"/>
        <v/>
      </c>
      <c r="AG313" s="1029" t="str">
        <f t="shared" si="120"/>
        <v/>
      </c>
      <c r="AH313" s="1028" t="str">
        <f t="shared" si="121"/>
        <v/>
      </c>
      <c r="AI313" s="1029" t="str">
        <f t="shared" si="122"/>
        <v/>
      </c>
      <c r="AJ313" s="1029">
        <f t="shared" si="123"/>
        <v>0</v>
      </c>
      <c r="AK313" s="1043" t="str" cm="1">
        <f t="array" ref="AK313">IF(AE313&lt;&gt;"A","",IFERROR((IFERROR(_xlfn.XLOOKUP(TRIM(SUBSTITUTE(U313,CHAR(160)," ")),$BI$15:$BI$62,$BL$15:$BL$62),IFERROR(_xlfn.XLOOKUP(TRIM(SUBSTITUTE(U313,CHAR(160)," ")),$BJ$15:$BJ$62,$BL$15:$BL$62),_xlfn.XLOOKUP(TRIM(SUBSTITUTE(U313,CHAR(160)," ")),$BK$15:$BK$62,$BL$15:$BL$62))))*T313*IF(ISBLANK(Q313),1,Q313)+IFERROR(_xlfn.XLOOKUP("RECHERCHEX",TRIM(L313:AC313),L313:AC313),0),0))</f>
        <v/>
      </c>
      <c r="AL313" s="1030">
        <f t="shared" si="124"/>
        <v>0</v>
      </c>
      <c r="AM313" s="5254" t="str">
        <f t="shared" si="139"/>
        <v/>
      </c>
      <c r="AN313" s="1031">
        <f t="shared" si="125"/>
        <v>0</v>
      </c>
      <c r="AO313" s="1031">
        <f t="shared" si="126"/>
        <v>0</v>
      </c>
      <c r="AP313" s="1044">
        <f t="shared" si="127"/>
        <v>0</v>
      </c>
      <c r="AQ313" s="5257" t="str">
        <f t="shared" si="128"/>
        <v/>
      </c>
      <c r="AR313" s="1056"/>
      <c r="AS313" s="1056"/>
      <c r="AT313" s="1045">
        <f t="shared" si="129"/>
        <v>0</v>
      </c>
      <c r="AU313" s="1046">
        <f t="shared" si="130"/>
        <v>0</v>
      </c>
      <c r="AV313" s="1059" cm="1">
        <f t="array" ref="AV313">IF(AJ313&lt;&gt;1,0,IF(OR(AT313="",N(AT313)&lt;=0.000000001),"",IF(OR(AN313="",N(AN313)&lt;=0.000000001),0,IF(ISNUMBER(AT313),IFERROR(_xlfn.LET(_xlpm.ai_test,TRIM(AI313),_xlpm.r,IFERROR(_xlfn.XLOOKUP(_xlpm.ai_test,$BI$15:$BI$62,ROW($BI$15:$BI$62),0,1),IFERROR(_xlfn.XLOOKUP(_xlpm.ai_test,$BJ$15:$BJ$62,ROW($BJ$15:$BJ$62),0,1),_xlfn.XLOOKUP(_xlpm.ai_test,$BK$15:$BK$62,ROW($BK$15:$BK$62),0,1))),_xlpm.p,_xlpm.r-MIN(ROW($BI$15:$BI$62))+1,_xlpm.f,INDEX($BL$15:$BL$62,_xlpm.p),_xlpm.u,INDEX($BM$15:$BM$62,_xlpm.p),_xlpm.s,INDEX($BO$15:$BO$62,_xlpm.p),_xlpm.q,N(AT313)/_xlpm.f,IF(_xlpm.q&gt;=_xlpm.s,ROUND(_xlpm.q,1)&amp;" "&amp;_xlpm.ai_test&amp;" = "&amp;ROUND(_xlpm.q*_xlpm.f,1)&amp;" "&amp;_xlpm.u,ROUND(_xlpm.q,1)&amp;" "&amp;_xlpm.ai_test)),""),""))))</f>
        <v>0</v>
      </c>
      <c r="AW313" s="1047"/>
      <c r="AX313" s="1045">
        <f t="shared" si="131"/>
        <v>0</v>
      </c>
      <c r="AY313" s="1046" t="str">
        <f t="shared" si="132"/>
        <v/>
      </c>
      <c r="AZ313" s="1048">
        <f t="shared" si="137"/>
        <v>0</v>
      </c>
      <c r="BA313" s="1049" t="str">
        <f t="shared" si="133"/>
        <v/>
      </c>
      <c r="BB313" s="1038"/>
      <c r="BC313" s="1050">
        <f t="shared" si="138"/>
        <v>0</v>
      </c>
      <c r="BD313" s="1040" t="str">
        <f t="shared" si="134"/>
        <v/>
      </c>
      <c r="BE313" s="227" t="s">
        <v>22</v>
      </c>
      <c r="BF313" s="1019">
        <f t="shared" si="135"/>
        <v>0</v>
      </c>
      <c r="BG313" s="1020">
        <f t="shared" si="136"/>
        <v>0</v>
      </c>
      <c r="BH313"/>
      <c r="BI313" s="709"/>
      <c r="BJ313" s="709"/>
      <c r="BK313" s="709"/>
      <c r="BL313" s="709"/>
      <c r="BM313" s="709"/>
      <c r="BN313" s="709"/>
      <c r="BO313" s="709"/>
      <c r="BP313" s="709"/>
      <c r="BW313" s="959" t="str">
        <f t="shared" si="117"/>
        <v>►</v>
      </c>
      <c r="CB313"/>
      <c r="CC313" s="856"/>
      <c r="CK313" s="856"/>
      <c r="CS313" s="856"/>
      <c r="DA313" s="856"/>
      <c r="DB313" s="3">
        <v>1</v>
      </c>
    </row>
    <row r="314" spans="1:108" ht="21" customHeight="1">
      <c r="L314" s="104" t="s">
        <v>16</v>
      </c>
      <c r="M314" s="1172"/>
      <c r="N314" s="1172"/>
      <c r="O314" s="1172"/>
      <c r="P314" s="1173"/>
      <c r="Q314" s="1174"/>
      <c r="R314" s="1175"/>
      <c r="S314" s="1176"/>
      <c r="T314" s="1177"/>
      <c r="U314" s="5248"/>
      <c r="V314" s="1177"/>
      <c r="W314" s="5249"/>
      <c r="X314" s="5208"/>
      <c r="Y314" s="5209"/>
      <c r="Z314" s="5210"/>
      <c r="AA314" s="5211"/>
      <c r="AB314" s="1178"/>
      <c r="AC314" s="1179"/>
      <c r="AD314" s="227" t="s">
        <v>22</v>
      </c>
      <c r="AE314" s="1027" t="str">
        <f t="shared" si="118"/>
        <v>►</v>
      </c>
      <c r="AF314" s="1028" t="str">
        <f t="shared" si="119"/>
        <v/>
      </c>
      <c r="AG314" s="1029" t="str">
        <f t="shared" si="120"/>
        <v/>
      </c>
      <c r="AH314" s="1028" t="str">
        <f t="shared" si="121"/>
        <v/>
      </c>
      <c r="AI314" s="1029" t="str">
        <f t="shared" si="122"/>
        <v/>
      </c>
      <c r="AJ314" s="1029">
        <f t="shared" si="123"/>
        <v>0</v>
      </c>
      <c r="AK314" s="1043" t="str" cm="1">
        <f t="array" ref="AK314">IF(AE314&lt;&gt;"A","",IFERROR((IFERROR(_xlfn.XLOOKUP(TRIM(SUBSTITUTE(U314,CHAR(160)," ")),$BI$15:$BI$62,$BL$15:$BL$62),IFERROR(_xlfn.XLOOKUP(TRIM(SUBSTITUTE(U314,CHAR(160)," ")),$BJ$15:$BJ$62,$BL$15:$BL$62),_xlfn.XLOOKUP(TRIM(SUBSTITUTE(U314,CHAR(160)," ")),$BK$15:$BK$62,$BL$15:$BL$62))))*T314*IF(ISBLANK(Q314),1,Q314)+IFERROR(_xlfn.XLOOKUP("RECHERCHEX",TRIM(L314:AC314),L314:AC314),0),0))</f>
        <v/>
      </c>
      <c r="AL314" s="1030">
        <f t="shared" si="124"/>
        <v>0</v>
      </c>
      <c r="AM314" s="5254" t="str">
        <f t="shared" si="139"/>
        <v/>
      </c>
      <c r="AN314" s="1031">
        <f t="shared" si="125"/>
        <v>0</v>
      </c>
      <c r="AO314" s="1031">
        <f t="shared" si="126"/>
        <v>0</v>
      </c>
      <c r="AP314" s="1032">
        <f t="shared" si="127"/>
        <v>0</v>
      </c>
      <c r="AQ314" s="5255" t="str">
        <f t="shared" si="128"/>
        <v/>
      </c>
      <c r="AR314" s="1056"/>
      <c r="AS314" s="1056"/>
      <c r="AT314" s="1034">
        <f t="shared" si="129"/>
        <v>0</v>
      </c>
      <c r="AU314" s="1035">
        <f t="shared" si="130"/>
        <v>0</v>
      </c>
      <c r="AV314" s="1057" cm="1">
        <f t="array" ref="AV314">IF(AJ314&lt;&gt;1,0,IF(OR(AT314="",N(AT314)&lt;=0.000000001),"",IF(OR(AN314="",N(AN314)&lt;=0.000000001),0,IF(ISNUMBER(AT314),IFERROR(_xlfn.LET(_xlpm.ai_test,TRIM(AI314),_xlpm.r,IFERROR(_xlfn.XLOOKUP(_xlpm.ai_test,$BI$15:$BI$62,ROW($BI$15:$BI$62),0,1),IFERROR(_xlfn.XLOOKUP(_xlpm.ai_test,$BJ$15:$BJ$62,ROW($BJ$15:$BJ$62),0,1),_xlfn.XLOOKUP(_xlpm.ai_test,$BK$15:$BK$62,ROW($BK$15:$BK$62),0,1))),_xlpm.p,_xlpm.r-MIN(ROW($BI$15:$BI$62))+1,_xlpm.f,INDEX($BL$15:$BL$62,_xlpm.p),_xlpm.u,INDEX($BM$15:$BM$62,_xlpm.p),_xlpm.s,INDEX($BO$15:$BO$62,_xlpm.p),_xlpm.q,N(AT314)/_xlpm.f,IF(_xlpm.q&gt;=_xlpm.s,ROUND(_xlpm.q,1)&amp;" "&amp;_xlpm.ai_test&amp;" = "&amp;ROUND(_xlpm.q*_xlpm.f,1)&amp;" "&amp;_xlpm.u,ROUND(_xlpm.q,1)&amp;" "&amp;_xlpm.ai_test)),""),""))))</f>
        <v>0</v>
      </c>
      <c r="AW314" s="1047"/>
      <c r="AX314" s="1034">
        <f t="shared" si="131"/>
        <v>0</v>
      </c>
      <c r="AY314" s="1035" t="str">
        <f t="shared" si="132"/>
        <v/>
      </c>
      <c r="AZ314" s="1036">
        <f t="shared" si="137"/>
        <v>0</v>
      </c>
      <c r="BA314" s="1037" t="str">
        <f t="shared" si="133"/>
        <v/>
      </c>
      <c r="BB314" s="1038"/>
      <c r="BC314" s="1039">
        <f t="shared" si="138"/>
        <v>0</v>
      </c>
      <c r="BD314" s="1040" t="str">
        <f t="shared" si="134"/>
        <v/>
      </c>
      <c r="BE314" s="227" t="s">
        <v>22</v>
      </c>
      <c r="BF314" s="1019">
        <f t="shared" si="135"/>
        <v>0</v>
      </c>
      <c r="BG314" s="1020">
        <f t="shared" si="136"/>
        <v>0</v>
      </c>
      <c r="BH314"/>
      <c r="BI314" s="709"/>
      <c r="BJ314" s="709"/>
      <c r="BK314" s="709"/>
      <c r="BL314" s="709"/>
      <c r="BM314" s="709"/>
      <c r="BN314" s="709"/>
      <c r="BO314" s="709"/>
      <c r="BP314" s="709"/>
      <c r="BW314" s="959" t="str">
        <f t="shared" si="117"/>
        <v>►</v>
      </c>
      <c r="CB314"/>
      <c r="CC314" s="856"/>
      <c r="CK314" s="856"/>
      <c r="CS314" s="856"/>
      <c r="DA314" s="856"/>
      <c r="DB314" s="3">
        <v>1</v>
      </c>
    </row>
    <row r="315" spans="1:108" ht="21" customHeight="1">
      <c r="L315" s="104" t="s">
        <v>16</v>
      </c>
      <c r="M315" s="1172"/>
      <c r="N315" s="1172"/>
      <c r="O315" s="1172"/>
      <c r="P315" s="1173"/>
      <c r="Q315" s="1174"/>
      <c r="R315" s="1175"/>
      <c r="S315" s="1176"/>
      <c r="T315" s="1177"/>
      <c r="U315" s="5248"/>
      <c r="V315" s="1177"/>
      <c r="W315" s="5249"/>
      <c r="X315" s="5208"/>
      <c r="Y315" s="5209"/>
      <c r="Z315" s="5210"/>
      <c r="AA315" s="5211"/>
      <c r="AB315" s="1178"/>
      <c r="AC315" s="1179"/>
      <c r="AD315" s="227" t="s">
        <v>22</v>
      </c>
      <c r="AE315" s="1027" t="str">
        <f t="shared" si="118"/>
        <v>►</v>
      </c>
      <c r="AF315" s="1028" t="str">
        <f t="shared" si="119"/>
        <v/>
      </c>
      <c r="AG315" s="1029" t="str">
        <f t="shared" si="120"/>
        <v/>
      </c>
      <c r="AH315" s="1028" t="str">
        <f t="shared" si="121"/>
        <v/>
      </c>
      <c r="AI315" s="1029" t="str">
        <f t="shared" si="122"/>
        <v/>
      </c>
      <c r="AJ315" s="1029">
        <f t="shared" si="123"/>
        <v>0</v>
      </c>
      <c r="AK315" s="1043" t="str" cm="1">
        <f t="array" ref="AK315">IF(AE315&lt;&gt;"A","",IFERROR((IFERROR(_xlfn.XLOOKUP(TRIM(SUBSTITUTE(U315,CHAR(160)," ")),$BI$15:$BI$62,$BL$15:$BL$62),IFERROR(_xlfn.XLOOKUP(TRIM(SUBSTITUTE(U315,CHAR(160)," ")),$BJ$15:$BJ$62,$BL$15:$BL$62),_xlfn.XLOOKUP(TRIM(SUBSTITUTE(U315,CHAR(160)," ")),$BK$15:$BK$62,$BL$15:$BL$62))))*T315*IF(ISBLANK(Q315),1,Q315)+IFERROR(_xlfn.XLOOKUP("RECHERCHEX",TRIM(L315:AC315),L315:AC315),0),0))</f>
        <v/>
      </c>
      <c r="AL315" s="1030">
        <f t="shared" si="124"/>
        <v>0</v>
      </c>
      <c r="AM315" s="5254" t="str">
        <f t="shared" si="139"/>
        <v/>
      </c>
      <c r="AN315" s="1031">
        <f t="shared" si="125"/>
        <v>0</v>
      </c>
      <c r="AO315" s="1031">
        <f t="shared" si="126"/>
        <v>0</v>
      </c>
      <c r="AP315" s="1044">
        <f t="shared" si="127"/>
        <v>0</v>
      </c>
      <c r="AQ315" s="5257" t="str">
        <f t="shared" si="128"/>
        <v/>
      </c>
      <c r="AR315" s="1056"/>
      <c r="AS315" s="1056"/>
      <c r="AT315" s="1045">
        <f t="shared" si="129"/>
        <v>0</v>
      </c>
      <c r="AU315" s="1046">
        <f t="shared" si="130"/>
        <v>0</v>
      </c>
      <c r="AV315" s="1059" cm="1">
        <f t="array" ref="AV315">IF(AJ315&lt;&gt;1,0,IF(OR(AT315="",N(AT315)&lt;=0.000000001),"",IF(OR(AN315="",N(AN315)&lt;=0.000000001),0,IF(ISNUMBER(AT315),IFERROR(_xlfn.LET(_xlpm.ai_test,TRIM(AI315),_xlpm.r,IFERROR(_xlfn.XLOOKUP(_xlpm.ai_test,$BI$15:$BI$62,ROW($BI$15:$BI$62),0,1),IFERROR(_xlfn.XLOOKUP(_xlpm.ai_test,$BJ$15:$BJ$62,ROW($BJ$15:$BJ$62),0,1),_xlfn.XLOOKUP(_xlpm.ai_test,$BK$15:$BK$62,ROW($BK$15:$BK$62),0,1))),_xlpm.p,_xlpm.r-MIN(ROW($BI$15:$BI$62))+1,_xlpm.f,INDEX($BL$15:$BL$62,_xlpm.p),_xlpm.u,INDEX($BM$15:$BM$62,_xlpm.p),_xlpm.s,INDEX($BO$15:$BO$62,_xlpm.p),_xlpm.q,N(AT315)/_xlpm.f,IF(_xlpm.q&gt;=_xlpm.s,ROUND(_xlpm.q,1)&amp;" "&amp;_xlpm.ai_test&amp;" = "&amp;ROUND(_xlpm.q*_xlpm.f,1)&amp;" "&amp;_xlpm.u,ROUND(_xlpm.q,1)&amp;" "&amp;_xlpm.ai_test)),""),""))))</f>
        <v>0</v>
      </c>
      <c r="AW315" s="1047"/>
      <c r="AX315" s="1045">
        <f t="shared" si="131"/>
        <v>0</v>
      </c>
      <c r="AY315" s="1046" t="str">
        <f t="shared" si="132"/>
        <v/>
      </c>
      <c r="AZ315" s="1048">
        <f t="shared" si="137"/>
        <v>0</v>
      </c>
      <c r="BA315" s="1049" t="str">
        <f t="shared" si="133"/>
        <v/>
      </c>
      <c r="BB315" s="1038"/>
      <c r="BC315" s="1050">
        <f t="shared" si="138"/>
        <v>0</v>
      </c>
      <c r="BD315" s="1040" t="str">
        <f t="shared" si="134"/>
        <v/>
      </c>
      <c r="BE315" s="227" t="s">
        <v>22</v>
      </c>
      <c r="BF315" s="1019">
        <f t="shared" si="135"/>
        <v>0</v>
      </c>
      <c r="BG315" s="1020">
        <f t="shared" si="136"/>
        <v>0</v>
      </c>
      <c r="BH315"/>
      <c r="BI315" s="709"/>
      <c r="BJ315" s="709"/>
      <c r="BK315" s="709"/>
      <c r="BL315" s="709"/>
      <c r="BM315" s="709"/>
      <c r="BN315" s="709"/>
      <c r="BO315" s="709"/>
      <c r="BP315" s="709"/>
      <c r="BW315" s="959" t="str">
        <f t="shared" si="117"/>
        <v>►</v>
      </c>
      <c r="CB315"/>
      <c r="CC315" s="856"/>
      <c r="CK315" s="856"/>
      <c r="CS315" s="856"/>
      <c r="DA315" s="856"/>
      <c r="DB315" s="3">
        <v>1</v>
      </c>
    </row>
    <row r="316" spans="1:108" ht="21" customHeight="1">
      <c r="L316" s="104" t="s">
        <v>16</v>
      </c>
      <c r="M316" s="1172"/>
      <c r="N316" s="1172"/>
      <c r="O316" s="1172"/>
      <c r="P316" s="1173"/>
      <c r="Q316" s="1174"/>
      <c r="R316" s="1175"/>
      <c r="S316" s="1176"/>
      <c r="T316" s="1177"/>
      <c r="U316" s="5248"/>
      <c r="V316" s="1177"/>
      <c r="W316" s="5249"/>
      <c r="X316" s="5208"/>
      <c r="Y316" s="5209"/>
      <c r="Z316" s="5210"/>
      <c r="AA316" s="5211"/>
      <c r="AB316" s="1178"/>
      <c r="AC316" s="1179"/>
      <c r="AD316" s="227" t="s">
        <v>22</v>
      </c>
      <c r="AE316" s="1027" t="str">
        <f t="shared" si="118"/>
        <v>►</v>
      </c>
      <c r="AF316" s="1028" t="str">
        <f t="shared" si="119"/>
        <v/>
      </c>
      <c r="AG316" s="1029" t="str">
        <f t="shared" si="120"/>
        <v/>
      </c>
      <c r="AH316" s="1028" t="str">
        <f t="shared" si="121"/>
        <v/>
      </c>
      <c r="AI316" s="1029" t="str">
        <f t="shared" si="122"/>
        <v/>
      </c>
      <c r="AJ316" s="1029">
        <f t="shared" si="123"/>
        <v>0</v>
      </c>
      <c r="AK316" s="1043" t="str" cm="1">
        <f t="array" ref="AK316">IF(AE316&lt;&gt;"A","",IFERROR((IFERROR(_xlfn.XLOOKUP(TRIM(SUBSTITUTE(U316,CHAR(160)," ")),$BI$15:$BI$62,$BL$15:$BL$62),IFERROR(_xlfn.XLOOKUP(TRIM(SUBSTITUTE(U316,CHAR(160)," ")),$BJ$15:$BJ$62,$BL$15:$BL$62),_xlfn.XLOOKUP(TRIM(SUBSTITUTE(U316,CHAR(160)," ")),$BK$15:$BK$62,$BL$15:$BL$62))))*T316*IF(ISBLANK(Q316),1,Q316)+IFERROR(_xlfn.XLOOKUP("RECHERCHEX",TRIM(L316:AC316),L316:AC316),0),0))</f>
        <v/>
      </c>
      <c r="AL316" s="1030">
        <f t="shared" si="124"/>
        <v>0</v>
      </c>
      <c r="AM316" s="5254" t="str">
        <f t="shared" si="139"/>
        <v/>
      </c>
      <c r="AN316" s="1031">
        <f t="shared" si="125"/>
        <v>0</v>
      </c>
      <c r="AO316" s="1031">
        <f t="shared" si="126"/>
        <v>0</v>
      </c>
      <c r="AP316" s="1032">
        <f t="shared" si="127"/>
        <v>0</v>
      </c>
      <c r="AQ316" s="5255" t="str">
        <f t="shared" si="128"/>
        <v/>
      </c>
      <c r="AR316" s="1056"/>
      <c r="AS316" s="1056"/>
      <c r="AT316" s="1034">
        <f t="shared" si="129"/>
        <v>0</v>
      </c>
      <c r="AU316" s="1035">
        <f t="shared" si="130"/>
        <v>0</v>
      </c>
      <c r="AV316" s="1057" cm="1">
        <f t="array" ref="AV316">IF(AJ316&lt;&gt;1,0,IF(OR(AT316="",N(AT316)&lt;=0.000000001),"",IF(OR(AN316="",N(AN316)&lt;=0.000000001),0,IF(ISNUMBER(AT316),IFERROR(_xlfn.LET(_xlpm.ai_test,TRIM(AI316),_xlpm.r,IFERROR(_xlfn.XLOOKUP(_xlpm.ai_test,$BI$15:$BI$62,ROW($BI$15:$BI$62),0,1),IFERROR(_xlfn.XLOOKUP(_xlpm.ai_test,$BJ$15:$BJ$62,ROW($BJ$15:$BJ$62),0,1),_xlfn.XLOOKUP(_xlpm.ai_test,$BK$15:$BK$62,ROW($BK$15:$BK$62),0,1))),_xlpm.p,_xlpm.r-MIN(ROW($BI$15:$BI$62))+1,_xlpm.f,INDEX($BL$15:$BL$62,_xlpm.p),_xlpm.u,INDEX($BM$15:$BM$62,_xlpm.p),_xlpm.s,INDEX($BO$15:$BO$62,_xlpm.p),_xlpm.q,N(AT316)/_xlpm.f,IF(_xlpm.q&gt;=_xlpm.s,ROUND(_xlpm.q,1)&amp;" "&amp;_xlpm.ai_test&amp;" = "&amp;ROUND(_xlpm.q*_xlpm.f,1)&amp;" "&amp;_xlpm.u,ROUND(_xlpm.q,1)&amp;" "&amp;_xlpm.ai_test)),""),""))))</f>
        <v>0</v>
      </c>
      <c r="AW316" s="1047"/>
      <c r="AX316" s="1034">
        <f t="shared" si="131"/>
        <v>0</v>
      </c>
      <c r="AY316" s="1035" t="str">
        <f t="shared" si="132"/>
        <v/>
      </c>
      <c r="AZ316" s="1036">
        <f t="shared" si="137"/>
        <v>0</v>
      </c>
      <c r="BA316" s="1037" t="str">
        <f t="shared" si="133"/>
        <v/>
      </c>
      <c r="BB316" s="1038"/>
      <c r="BC316" s="1039">
        <f t="shared" si="138"/>
        <v>0</v>
      </c>
      <c r="BD316" s="1040" t="str">
        <f t="shared" si="134"/>
        <v/>
      </c>
      <c r="BE316" s="227" t="s">
        <v>22</v>
      </c>
      <c r="BF316" s="1019">
        <f t="shared" si="135"/>
        <v>0</v>
      </c>
      <c r="BG316" s="1020">
        <f t="shared" si="136"/>
        <v>0</v>
      </c>
      <c r="BH316"/>
      <c r="BI316" s="709"/>
      <c r="BJ316" s="709"/>
      <c r="BK316" s="709"/>
      <c r="BL316" s="709"/>
      <c r="BM316" s="709"/>
      <c r="BN316" s="709"/>
      <c r="BO316" s="709"/>
      <c r="BP316" s="709"/>
      <c r="BW316" s="959" t="str">
        <f t="shared" si="117"/>
        <v>►</v>
      </c>
      <c r="CB316"/>
      <c r="CC316" s="856"/>
      <c r="CK316" s="856"/>
      <c r="CS316" s="856"/>
      <c r="DA316" s="856"/>
      <c r="DB316" s="3">
        <v>1</v>
      </c>
    </row>
    <row r="317" spans="1:108" ht="21" customHeight="1">
      <c r="L317" s="104" t="s">
        <v>16</v>
      </c>
      <c r="M317" s="1172"/>
      <c r="N317" s="1172"/>
      <c r="O317" s="1172"/>
      <c r="P317" s="1173"/>
      <c r="Q317" s="1174"/>
      <c r="R317" s="1175"/>
      <c r="S317" s="1176"/>
      <c r="T317" s="1177"/>
      <c r="U317" s="5248"/>
      <c r="V317" s="1177"/>
      <c r="W317" s="5249"/>
      <c r="X317" s="5208"/>
      <c r="Y317" s="5209"/>
      <c r="Z317" s="5210"/>
      <c r="AA317" s="5211"/>
      <c r="AB317" s="1178"/>
      <c r="AC317" s="1179"/>
      <c r="AD317" s="227" t="s">
        <v>22</v>
      </c>
      <c r="AE317" s="1027" t="str">
        <f t="shared" si="118"/>
        <v>►</v>
      </c>
      <c r="AF317" s="1028" t="str">
        <f t="shared" si="119"/>
        <v/>
      </c>
      <c r="AG317" s="1029" t="str">
        <f t="shared" si="120"/>
        <v/>
      </c>
      <c r="AH317" s="1028" t="str">
        <f t="shared" si="121"/>
        <v/>
      </c>
      <c r="AI317" s="1029" t="str">
        <f t="shared" si="122"/>
        <v/>
      </c>
      <c r="AJ317" s="1029">
        <f t="shared" si="123"/>
        <v>0</v>
      </c>
      <c r="AK317" s="1043" t="str" cm="1">
        <f t="array" ref="AK317">IF(AE317&lt;&gt;"A","",IFERROR((IFERROR(_xlfn.XLOOKUP(TRIM(SUBSTITUTE(U317,CHAR(160)," ")),$BI$15:$BI$62,$BL$15:$BL$62),IFERROR(_xlfn.XLOOKUP(TRIM(SUBSTITUTE(U317,CHAR(160)," ")),$BJ$15:$BJ$62,$BL$15:$BL$62),_xlfn.XLOOKUP(TRIM(SUBSTITUTE(U317,CHAR(160)," ")),$BK$15:$BK$62,$BL$15:$BL$62))))*T317*IF(ISBLANK(Q317),1,Q317)+IFERROR(_xlfn.XLOOKUP("RECHERCHEX",TRIM(L317:AC317),L317:AC317),0),0))</f>
        <v/>
      </c>
      <c r="AL317" s="1030">
        <f t="shared" si="124"/>
        <v>0</v>
      </c>
      <c r="AM317" s="5254" t="str">
        <f t="shared" si="139"/>
        <v/>
      </c>
      <c r="AN317" s="1031">
        <f t="shared" si="125"/>
        <v>0</v>
      </c>
      <c r="AO317" s="1031">
        <f t="shared" si="126"/>
        <v>0</v>
      </c>
      <c r="AP317" s="1044">
        <f t="shared" si="127"/>
        <v>0</v>
      </c>
      <c r="AQ317" s="5257" t="str">
        <f t="shared" si="128"/>
        <v/>
      </c>
      <c r="AR317" s="1056"/>
      <c r="AS317" s="1056"/>
      <c r="AT317" s="1045">
        <f t="shared" si="129"/>
        <v>0</v>
      </c>
      <c r="AU317" s="1046">
        <f t="shared" si="130"/>
        <v>0</v>
      </c>
      <c r="AV317" s="1059" cm="1">
        <f t="array" ref="AV317">IF(AJ317&lt;&gt;1,0,IF(OR(AT317="",N(AT317)&lt;=0.000000001),"",IF(OR(AN317="",N(AN317)&lt;=0.000000001),0,IF(ISNUMBER(AT317),IFERROR(_xlfn.LET(_xlpm.ai_test,TRIM(AI317),_xlpm.r,IFERROR(_xlfn.XLOOKUP(_xlpm.ai_test,$BI$15:$BI$62,ROW($BI$15:$BI$62),0,1),IFERROR(_xlfn.XLOOKUP(_xlpm.ai_test,$BJ$15:$BJ$62,ROW($BJ$15:$BJ$62),0,1),_xlfn.XLOOKUP(_xlpm.ai_test,$BK$15:$BK$62,ROW($BK$15:$BK$62),0,1))),_xlpm.p,_xlpm.r-MIN(ROW($BI$15:$BI$62))+1,_xlpm.f,INDEX($BL$15:$BL$62,_xlpm.p),_xlpm.u,INDEX($BM$15:$BM$62,_xlpm.p),_xlpm.s,INDEX($BO$15:$BO$62,_xlpm.p),_xlpm.q,N(AT317)/_xlpm.f,IF(_xlpm.q&gt;=_xlpm.s,ROUND(_xlpm.q,1)&amp;" "&amp;_xlpm.ai_test&amp;" = "&amp;ROUND(_xlpm.q*_xlpm.f,1)&amp;" "&amp;_xlpm.u,ROUND(_xlpm.q,1)&amp;" "&amp;_xlpm.ai_test)),""),""))))</f>
        <v>0</v>
      </c>
      <c r="AW317" s="1047"/>
      <c r="AX317" s="1045">
        <f t="shared" si="131"/>
        <v>0</v>
      </c>
      <c r="AY317" s="1046" t="str">
        <f t="shared" si="132"/>
        <v/>
      </c>
      <c r="AZ317" s="1048">
        <f t="shared" si="137"/>
        <v>0</v>
      </c>
      <c r="BA317" s="1049" t="str">
        <f t="shared" si="133"/>
        <v/>
      </c>
      <c r="BB317" s="1038"/>
      <c r="BC317" s="1050">
        <f t="shared" si="138"/>
        <v>0</v>
      </c>
      <c r="BD317" s="1040" t="str">
        <f t="shared" si="134"/>
        <v/>
      </c>
      <c r="BE317" s="227" t="s">
        <v>22</v>
      </c>
      <c r="BF317" s="1019">
        <f t="shared" si="135"/>
        <v>0</v>
      </c>
      <c r="BG317" s="1020">
        <f t="shared" si="136"/>
        <v>0</v>
      </c>
      <c r="BH317"/>
      <c r="BI317" s="709"/>
      <c r="BJ317" s="709"/>
      <c r="BK317" s="709"/>
      <c r="BL317" s="709"/>
      <c r="BM317" s="709"/>
      <c r="BN317" s="709"/>
      <c r="BO317" s="709"/>
      <c r="BP317" s="709"/>
      <c r="BW317" s="959" t="str">
        <f t="shared" si="117"/>
        <v>►</v>
      </c>
      <c r="CB317"/>
      <c r="CC317" s="856"/>
      <c r="CK317" s="856"/>
      <c r="CS317" s="856"/>
      <c r="DA317" s="856"/>
      <c r="DB317" s="3">
        <v>1</v>
      </c>
    </row>
    <row r="318" spans="1:108" ht="21" customHeight="1">
      <c r="L318" s="104" t="s">
        <v>16</v>
      </c>
      <c r="M318" s="1172"/>
      <c r="N318" s="1172"/>
      <c r="O318" s="1172"/>
      <c r="P318" s="1173"/>
      <c r="Q318" s="1174"/>
      <c r="R318" s="1175"/>
      <c r="S318" s="1176"/>
      <c r="T318" s="1177"/>
      <c r="U318" s="5248"/>
      <c r="V318" s="1177"/>
      <c r="W318" s="5249"/>
      <c r="X318" s="5208"/>
      <c r="Y318" s="5209"/>
      <c r="Z318" s="5210"/>
      <c r="AA318" s="5211"/>
      <c r="AB318" s="1178"/>
      <c r="AC318" s="1179"/>
      <c r="AD318" s="227" t="s">
        <v>22</v>
      </c>
      <c r="AE318" s="1027" t="str">
        <f t="shared" si="118"/>
        <v>►</v>
      </c>
      <c r="AF318" s="1028" t="str">
        <f t="shared" si="119"/>
        <v/>
      </c>
      <c r="AG318" s="1029" t="str">
        <f t="shared" si="120"/>
        <v/>
      </c>
      <c r="AH318" s="1028" t="str">
        <f t="shared" si="121"/>
        <v/>
      </c>
      <c r="AI318" s="1029" t="str">
        <f t="shared" si="122"/>
        <v/>
      </c>
      <c r="AJ318" s="1029">
        <f t="shared" si="123"/>
        <v>0</v>
      </c>
      <c r="AK318" s="1043" t="str" cm="1">
        <f t="array" ref="AK318">IF(AE318&lt;&gt;"A","",IFERROR((IFERROR(_xlfn.XLOOKUP(TRIM(SUBSTITUTE(U318,CHAR(160)," ")),$BI$15:$BI$62,$BL$15:$BL$62),IFERROR(_xlfn.XLOOKUP(TRIM(SUBSTITUTE(U318,CHAR(160)," ")),$BJ$15:$BJ$62,$BL$15:$BL$62),_xlfn.XLOOKUP(TRIM(SUBSTITUTE(U318,CHAR(160)," ")),$BK$15:$BK$62,$BL$15:$BL$62))))*T318*IF(ISBLANK(Q318),1,Q318)+IFERROR(_xlfn.XLOOKUP("RECHERCHEX",TRIM(L318:AC318),L318:AC318),0),0))</f>
        <v/>
      </c>
      <c r="AL318" s="1030">
        <f t="shared" si="124"/>
        <v>0</v>
      </c>
      <c r="AM318" s="5254" t="str">
        <f t="shared" si="139"/>
        <v/>
      </c>
      <c r="AN318" s="1031">
        <f t="shared" si="125"/>
        <v>0</v>
      </c>
      <c r="AO318" s="1031">
        <f t="shared" si="126"/>
        <v>0</v>
      </c>
      <c r="AP318" s="1032">
        <f t="shared" si="127"/>
        <v>0</v>
      </c>
      <c r="AQ318" s="5255" t="str">
        <f t="shared" si="128"/>
        <v/>
      </c>
      <c r="AR318" s="1056"/>
      <c r="AS318" s="1056"/>
      <c r="AT318" s="1034">
        <f t="shared" si="129"/>
        <v>0</v>
      </c>
      <c r="AU318" s="1035">
        <f t="shared" si="130"/>
        <v>0</v>
      </c>
      <c r="AV318" s="1057" cm="1">
        <f t="array" ref="AV318">IF(AJ318&lt;&gt;1,0,IF(OR(AT318="",N(AT318)&lt;=0.000000001),"",IF(OR(AN318="",N(AN318)&lt;=0.000000001),0,IF(ISNUMBER(AT318),IFERROR(_xlfn.LET(_xlpm.ai_test,TRIM(AI318),_xlpm.r,IFERROR(_xlfn.XLOOKUP(_xlpm.ai_test,$BI$15:$BI$62,ROW($BI$15:$BI$62),0,1),IFERROR(_xlfn.XLOOKUP(_xlpm.ai_test,$BJ$15:$BJ$62,ROW($BJ$15:$BJ$62),0,1),_xlfn.XLOOKUP(_xlpm.ai_test,$BK$15:$BK$62,ROW($BK$15:$BK$62),0,1))),_xlpm.p,_xlpm.r-MIN(ROW($BI$15:$BI$62))+1,_xlpm.f,INDEX($BL$15:$BL$62,_xlpm.p),_xlpm.u,INDEX($BM$15:$BM$62,_xlpm.p),_xlpm.s,INDEX($BO$15:$BO$62,_xlpm.p),_xlpm.q,N(AT318)/_xlpm.f,IF(_xlpm.q&gt;=_xlpm.s,ROUND(_xlpm.q,1)&amp;" "&amp;_xlpm.ai_test&amp;" = "&amp;ROUND(_xlpm.q*_xlpm.f,1)&amp;" "&amp;_xlpm.u,ROUND(_xlpm.q,1)&amp;" "&amp;_xlpm.ai_test)),""),""))))</f>
        <v>0</v>
      </c>
      <c r="AW318" s="1047"/>
      <c r="AX318" s="1034">
        <f t="shared" si="131"/>
        <v>0</v>
      </c>
      <c r="AY318" s="1035" t="str">
        <f t="shared" si="132"/>
        <v/>
      </c>
      <c r="AZ318" s="1036">
        <f t="shared" si="137"/>
        <v>0</v>
      </c>
      <c r="BA318" s="1037" t="str">
        <f t="shared" si="133"/>
        <v/>
      </c>
      <c r="BB318" s="1038"/>
      <c r="BC318" s="1039">
        <f t="shared" si="138"/>
        <v>0</v>
      </c>
      <c r="BD318" s="1040" t="str">
        <f t="shared" si="134"/>
        <v/>
      </c>
      <c r="BE318" s="227" t="s">
        <v>22</v>
      </c>
      <c r="BF318" s="1019">
        <f t="shared" si="135"/>
        <v>0</v>
      </c>
      <c r="BG318" s="1020">
        <f t="shared" si="136"/>
        <v>0</v>
      </c>
      <c r="BH318"/>
      <c r="BI318" s="709"/>
      <c r="BJ318" s="709"/>
      <c r="BK318" s="709"/>
      <c r="BL318" s="709"/>
      <c r="BM318" s="709"/>
      <c r="BN318" s="709"/>
      <c r="BO318" s="709"/>
      <c r="BP318" s="709"/>
      <c r="BW318" s="959" t="str">
        <f t="shared" si="117"/>
        <v>►</v>
      </c>
      <c r="CB318"/>
      <c r="CC318" s="856"/>
      <c r="CK318" s="856"/>
      <c r="CS318" s="856"/>
      <c r="DA318" s="856"/>
      <c r="DB318" s="3">
        <v>1</v>
      </c>
    </row>
    <row r="319" spans="1:108" ht="21" customHeight="1">
      <c r="L319" s="104" t="s">
        <v>16</v>
      </c>
      <c r="M319" s="1172"/>
      <c r="N319" s="1172"/>
      <c r="O319" s="1172"/>
      <c r="P319" s="1173"/>
      <c r="Q319" s="1174"/>
      <c r="R319" s="1175"/>
      <c r="S319" s="1176"/>
      <c r="T319" s="1177"/>
      <c r="U319" s="5248"/>
      <c r="V319" s="1177"/>
      <c r="W319" s="5249"/>
      <c r="X319" s="5208"/>
      <c r="Y319" s="5209"/>
      <c r="Z319" s="5210"/>
      <c r="AA319" s="5211"/>
      <c r="AB319" s="1178"/>
      <c r="AC319" s="1179"/>
      <c r="AD319" s="227" t="s">
        <v>22</v>
      </c>
      <c r="AE319" s="1027" t="str">
        <f t="shared" si="118"/>
        <v>►</v>
      </c>
      <c r="AF319" s="1028" t="str">
        <f t="shared" si="119"/>
        <v/>
      </c>
      <c r="AG319" s="1029" t="str">
        <f t="shared" si="120"/>
        <v/>
      </c>
      <c r="AH319" s="1028" t="str">
        <f t="shared" si="121"/>
        <v/>
      </c>
      <c r="AI319" s="1029" t="str">
        <f t="shared" si="122"/>
        <v/>
      </c>
      <c r="AJ319" s="1029">
        <f t="shared" si="123"/>
        <v>0</v>
      </c>
      <c r="AK319" s="1043" t="str" cm="1">
        <f t="array" ref="AK319">IF(AE319&lt;&gt;"A","",IFERROR((IFERROR(_xlfn.XLOOKUP(TRIM(SUBSTITUTE(U319,CHAR(160)," ")),$BI$15:$BI$62,$BL$15:$BL$62),IFERROR(_xlfn.XLOOKUP(TRIM(SUBSTITUTE(U319,CHAR(160)," ")),$BJ$15:$BJ$62,$BL$15:$BL$62),_xlfn.XLOOKUP(TRIM(SUBSTITUTE(U319,CHAR(160)," ")),$BK$15:$BK$62,$BL$15:$BL$62))))*T319*IF(ISBLANK(Q319),1,Q319)+IFERROR(_xlfn.XLOOKUP("RECHERCHEX",TRIM(L319:AC319),L319:AC319),0),0))</f>
        <v/>
      </c>
      <c r="AL319" s="1030">
        <f t="shared" si="124"/>
        <v>0</v>
      </c>
      <c r="AM319" s="5254" t="str">
        <f t="shared" si="139"/>
        <v/>
      </c>
      <c r="AN319" s="1031">
        <f t="shared" si="125"/>
        <v>0</v>
      </c>
      <c r="AO319" s="1031">
        <f t="shared" si="126"/>
        <v>0</v>
      </c>
      <c r="AP319" s="1044">
        <f t="shared" si="127"/>
        <v>0</v>
      </c>
      <c r="AQ319" s="5257" t="str">
        <f t="shared" si="128"/>
        <v/>
      </c>
      <c r="AR319" s="1056"/>
      <c r="AS319" s="1056"/>
      <c r="AT319" s="1045">
        <f t="shared" si="129"/>
        <v>0</v>
      </c>
      <c r="AU319" s="1046">
        <f t="shared" si="130"/>
        <v>0</v>
      </c>
      <c r="AV319" s="1059" cm="1">
        <f t="array" ref="AV319">IF(AJ319&lt;&gt;1,0,IF(OR(AT319="",N(AT319)&lt;=0.000000001),"",IF(OR(AN319="",N(AN319)&lt;=0.000000001),0,IF(ISNUMBER(AT319),IFERROR(_xlfn.LET(_xlpm.ai_test,TRIM(AI319),_xlpm.r,IFERROR(_xlfn.XLOOKUP(_xlpm.ai_test,$BI$15:$BI$62,ROW($BI$15:$BI$62),0,1),IFERROR(_xlfn.XLOOKUP(_xlpm.ai_test,$BJ$15:$BJ$62,ROW($BJ$15:$BJ$62),0,1),_xlfn.XLOOKUP(_xlpm.ai_test,$BK$15:$BK$62,ROW($BK$15:$BK$62),0,1))),_xlpm.p,_xlpm.r-MIN(ROW($BI$15:$BI$62))+1,_xlpm.f,INDEX($BL$15:$BL$62,_xlpm.p),_xlpm.u,INDEX($BM$15:$BM$62,_xlpm.p),_xlpm.s,INDEX($BO$15:$BO$62,_xlpm.p),_xlpm.q,N(AT319)/_xlpm.f,IF(_xlpm.q&gt;=_xlpm.s,ROUND(_xlpm.q,1)&amp;" "&amp;_xlpm.ai_test&amp;" = "&amp;ROUND(_xlpm.q*_xlpm.f,1)&amp;" "&amp;_xlpm.u,ROUND(_xlpm.q,1)&amp;" "&amp;_xlpm.ai_test)),""),""))))</f>
        <v>0</v>
      </c>
      <c r="AW319" s="1047"/>
      <c r="AX319" s="1045">
        <f t="shared" si="131"/>
        <v>0</v>
      </c>
      <c r="AY319" s="1046" t="str">
        <f t="shared" si="132"/>
        <v/>
      </c>
      <c r="AZ319" s="1048">
        <f t="shared" si="137"/>
        <v>0</v>
      </c>
      <c r="BA319" s="1049" t="str">
        <f t="shared" si="133"/>
        <v/>
      </c>
      <c r="BB319" s="1038"/>
      <c r="BC319" s="1050">
        <f t="shared" si="138"/>
        <v>0</v>
      </c>
      <c r="BD319" s="1040" t="str">
        <f t="shared" si="134"/>
        <v/>
      </c>
      <c r="BE319" s="227" t="s">
        <v>22</v>
      </c>
      <c r="BF319" s="1019">
        <f t="shared" si="135"/>
        <v>0</v>
      </c>
      <c r="BG319" s="1020">
        <f t="shared" si="136"/>
        <v>0</v>
      </c>
      <c r="BH319"/>
      <c r="BI319" s="709"/>
      <c r="BJ319" s="709"/>
      <c r="BK319" s="709"/>
      <c r="BL319" s="709"/>
      <c r="BM319" s="709"/>
      <c r="BN319" s="709"/>
      <c r="BO319" s="709"/>
      <c r="BP319" s="709"/>
      <c r="BW319" s="959" t="str">
        <f t="shared" si="117"/>
        <v>►</v>
      </c>
      <c r="CB319"/>
      <c r="CC319" s="856"/>
      <c r="CK319" s="856"/>
      <c r="CS319" s="856"/>
      <c r="DA319" s="856"/>
      <c r="DB319" s="3">
        <v>1</v>
      </c>
    </row>
    <row r="320" spans="1:108" ht="21" customHeight="1">
      <c r="L320" s="104" t="s">
        <v>16</v>
      </c>
      <c r="M320" s="1172"/>
      <c r="N320" s="1172"/>
      <c r="O320" s="1172"/>
      <c r="P320" s="1173"/>
      <c r="Q320" s="1174"/>
      <c r="R320" s="1175"/>
      <c r="S320" s="1176"/>
      <c r="T320" s="1177"/>
      <c r="U320" s="5248"/>
      <c r="V320" s="1177"/>
      <c r="W320" s="5249"/>
      <c r="X320" s="5208"/>
      <c r="Y320" s="5209"/>
      <c r="Z320" s="5210"/>
      <c r="AA320" s="5211"/>
      <c r="AB320" s="1178"/>
      <c r="AC320" s="1179"/>
      <c r="AD320" s="227" t="s">
        <v>22</v>
      </c>
      <c r="AE320" s="1027" t="str">
        <f t="shared" si="118"/>
        <v>►</v>
      </c>
      <c r="AF320" s="1028" t="str">
        <f t="shared" si="119"/>
        <v/>
      </c>
      <c r="AG320" s="1029" t="str">
        <f t="shared" si="120"/>
        <v/>
      </c>
      <c r="AH320" s="1028" t="str">
        <f t="shared" si="121"/>
        <v/>
      </c>
      <c r="AI320" s="1029" t="str">
        <f t="shared" si="122"/>
        <v/>
      </c>
      <c r="AJ320" s="1029">
        <f t="shared" si="123"/>
        <v>0</v>
      </c>
      <c r="AK320" s="1043" t="str" cm="1">
        <f t="array" ref="AK320">IF(AE320&lt;&gt;"A","",IFERROR((IFERROR(_xlfn.XLOOKUP(TRIM(SUBSTITUTE(U320,CHAR(160)," ")),$BI$15:$BI$62,$BL$15:$BL$62),IFERROR(_xlfn.XLOOKUP(TRIM(SUBSTITUTE(U320,CHAR(160)," ")),$BJ$15:$BJ$62,$BL$15:$BL$62),_xlfn.XLOOKUP(TRIM(SUBSTITUTE(U320,CHAR(160)," ")),$BK$15:$BK$62,$BL$15:$BL$62))))*T320*IF(ISBLANK(Q320),1,Q320)+IFERROR(_xlfn.XLOOKUP("RECHERCHEX",TRIM(L320:AC320),L320:AC320),0),0))</f>
        <v/>
      </c>
      <c r="AL320" s="1030">
        <f t="shared" si="124"/>
        <v>0</v>
      </c>
      <c r="AM320" s="5254" t="str">
        <f t="shared" si="139"/>
        <v/>
      </c>
      <c r="AN320" s="1031">
        <f t="shared" si="125"/>
        <v>0</v>
      </c>
      <c r="AO320" s="1031">
        <f t="shared" si="126"/>
        <v>0</v>
      </c>
      <c r="AP320" s="1032">
        <f t="shared" si="127"/>
        <v>0</v>
      </c>
      <c r="AQ320" s="5255" t="str">
        <f t="shared" si="128"/>
        <v/>
      </c>
      <c r="AR320" s="1056"/>
      <c r="AS320" s="1056"/>
      <c r="AT320" s="1034">
        <f t="shared" si="129"/>
        <v>0</v>
      </c>
      <c r="AU320" s="1035">
        <f t="shared" si="130"/>
        <v>0</v>
      </c>
      <c r="AV320" s="1057" cm="1">
        <f t="array" ref="AV320">IF(AJ320&lt;&gt;1,0,IF(OR(AT320="",N(AT320)&lt;=0.000000001),"",IF(OR(AN320="",N(AN320)&lt;=0.000000001),0,IF(ISNUMBER(AT320),IFERROR(_xlfn.LET(_xlpm.ai_test,TRIM(AI320),_xlpm.r,IFERROR(_xlfn.XLOOKUP(_xlpm.ai_test,$BI$15:$BI$62,ROW($BI$15:$BI$62),0,1),IFERROR(_xlfn.XLOOKUP(_xlpm.ai_test,$BJ$15:$BJ$62,ROW($BJ$15:$BJ$62),0,1),_xlfn.XLOOKUP(_xlpm.ai_test,$BK$15:$BK$62,ROW($BK$15:$BK$62),0,1))),_xlpm.p,_xlpm.r-MIN(ROW($BI$15:$BI$62))+1,_xlpm.f,INDEX($BL$15:$BL$62,_xlpm.p),_xlpm.u,INDEX($BM$15:$BM$62,_xlpm.p),_xlpm.s,INDEX($BO$15:$BO$62,_xlpm.p),_xlpm.q,N(AT320)/_xlpm.f,IF(_xlpm.q&gt;=_xlpm.s,ROUND(_xlpm.q,1)&amp;" "&amp;_xlpm.ai_test&amp;" = "&amp;ROUND(_xlpm.q*_xlpm.f,1)&amp;" "&amp;_xlpm.u,ROUND(_xlpm.q,1)&amp;" "&amp;_xlpm.ai_test)),""),""))))</f>
        <v>0</v>
      </c>
      <c r="AW320" s="1047"/>
      <c r="AX320" s="1034">
        <f t="shared" si="131"/>
        <v>0</v>
      </c>
      <c r="AY320" s="1035" t="str">
        <f t="shared" si="132"/>
        <v/>
      </c>
      <c r="AZ320" s="1036">
        <f t="shared" si="137"/>
        <v>0</v>
      </c>
      <c r="BA320" s="1037" t="str">
        <f t="shared" si="133"/>
        <v/>
      </c>
      <c r="BB320" s="1038"/>
      <c r="BC320" s="1039">
        <f t="shared" si="138"/>
        <v>0</v>
      </c>
      <c r="BD320" s="1040" t="str">
        <f t="shared" si="134"/>
        <v/>
      </c>
      <c r="BE320" s="227" t="s">
        <v>22</v>
      </c>
      <c r="BF320" s="1019">
        <f t="shared" si="135"/>
        <v>0</v>
      </c>
      <c r="BG320" s="1020">
        <f t="shared" si="136"/>
        <v>0</v>
      </c>
      <c r="BH320"/>
      <c r="BI320" s="709"/>
      <c r="BJ320" s="709"/>
      <c r="BK320" s="709"/>
      <c r="BL320" s="709"/>
      <c r="BM320" s="709"/>
      <c r="BN320" s="709"/>
      <c r="BO320" s="709"/>
      <c r="BP320" s="709"/>
      <c r="BW320" s="959" t="str">
        <f t="shared" si="117"/>
        <v>►</v>
      </c>
      <c r="BX320" s="856"/>
      <c r="BY320" s="856"/>
      <c r="BZ320" s="856"/>
      <c r="CA320" s="856"/>
      <c r="CB320" s="856"/>
      <c r="CC320" s="856"/>
      <c r="CK320" s="856"/>
      <c r="CS320" s="856"/>
      <c r="DA320" s="856"/>
      <c r="DB320" s="3">
        <v>1</v>
      </c>
    </row>
    <row r="321" spans="12:106" ht="21" customHeight="1">
      <c r="L321" s="104" t="s">
        <v>16</v>
      </c>
      <c r="M321" s="1172"/>
      <c r="N321" s="1172"/>
      <c r="O321" s="1172"/>
      <c r="P321" s="1173"/>
      <c r="Q321" s="1174"/>
      <c r="R321" s="1175"/>
      <c r="S321" s="1176"/>
      <c r="T321" s="1177"/>
      <c r="U321" s="5248"/>
      <c r="V321" s="1177"/>
      <c r="W321" s="5249"/>
      <c r="X321" s="5208"/>
      <c r="Y321" s="5209"/>
      <c r="Z321" s="5210"/>
      <c r="AA321" s="5211"/>
      <c r="AB321" s="1178"/>
      <c r="AC321" s="1179"/>
      <c r="AD321" s="227" t="s">
        <v>22</v>
      </c>
      <c r="AE321" s="1027" t="str">
        <f t="shared" si="118"/>
        <v>►</v>
      </c>
      <c r="AF321" s="1028" t="str">
        <f t="shared" si="119"/>
        <v/>
      </c>
      <c r="AG321" s="1029" t="str">
        <f t="shared" si="120"/>
        <v/>
      </c>
      <c r="AH321" s="1028" t="str">
        <f t="shared" si="121"/>
        <v/>
      </c>
      <c r="AI321" s="1029" t="str">
        <f t="shared" si="122"/>
        <v/>
      </c>
      <c r="AJ321" s="1029">
        <f t="shared" si="123"/>
        <v>0</v>
      </c>
      <c r="AK321" s="1043" t="str" cm="1">
        <f t="array" ref="AK321">IF(AE321&lt;&gt;"A","",IFERROR((IFERROR(_xlfn.XLOOKUP(TRIM(SUBSTITUTE(U321,CHAR(160)," ")),$BI$15:$BI$62,$BL$15:$BL$62),IFERROR(_xlfn.XLOOKUP(TRIM(SUBSTITUTE(U321,CHAR(160)," ")),$BJ$15:$BJ$62,$BL$15:$BL$62),_xlfn.XLOOKUP(TRIM(SUBSTITUTE(U321,CHAR(160)," ")),$BK$15:$BK$62,$BL$15:$BL$62))))*T321*IF(ISBLANK(Q321),1,Q321)+IFERROR(_xlfn.XLOOKUP("RECHERCHEX",TRIM(L321:AC321),L321:AC321),0),0))</f>
        <v/>
      </c>
      <c r="AL321" s="1030">
        <f t="shared" si="124"/>
        <v>0</v>
      </c>
      <c r="AM321" s="5254" t="str">
        <f t="shared" si="139"/>
        <v/>
      </c>
      <c r="AN321" s="1031">
        <f t="shared" si="125"/>
        <v>0</v>
      </c>
      <c r="AO321" s="1031">
        <f t="shared" si="126"/>
        <v>0</v>
      </c>
      <c r="AP321" s="1044">
        <f t="shared" si="127"/>
        <v>0</v>
      </c>
      <c r="AQ321" s="5257" t="str">
        <f t="shared" si="128"/>
        <v/>
      </c>
      <c r="AR321" s="1056"/>
      <c r="AS321" s="1056"/>
      <c r="AT321" s="1045">
        <f t="shared" si="129"/>
        <v>0</v>
      </c>
      <c r="AU321" s="1046">
        <f t="shared" si="130"/>
        <v>0</v>
      </c>
      <c r="AV321" s="1059" cm="1">
        <f t="array" ref="AV321">IF(AJ321&lt;&gt;1,0,IF(OR(AT321="",N(AT321)&lt;=0.000000001),"",IF(OR(AN321="",N(AN321)&lt;=0.000000001),0,IF(ISNUMBER(AT321),IFERROR(_xlfn.LET(_xlpm.ai_test,TRIM(AI321),_xlpm.r,IFERROR(_xlfn.XLOOKUP(_xlpm.ai_test,$BI$15:$BI$62,ROW($BI$15:$BI$62),0,1),IFERROR(_xlfn.XLOOKUP(_xlpm.ai_test,$BJ$15:$BJ$62,ROW($BJ$15:$BJ$62),0,1),_xlfn.XLOOKUP(_xlpm.ai_test,$BK$15:$BK$62,ROW($BK$15:$BK$62),0,1))),_xlpm.p,_xlpm.r-MIN(ROW($BI$15:$BI$62))+1,_xlpm.f,INDEX($BL$15:$BL$62,_xlpm.p),_xlpm.u,INDEX($BM$15:$BM$62,_xlpm.p),_xlpm.s,INDEX($BO$15:$BO$62,_xlpm.p),_xlpm.q,N(AT321)/_xlpm.f,IF(_xlpm.q&gt;=_xlpm.s,ROUND(_xlpm.q,1)&amp;" "&amp;_xlpm.ai_test&amp;" = "&amp;ROUND(_xlpm.q*_xlpm.f,1)&amp;" "&amp;_xlpm.u,ROUND(_xlpm.q,1)&amp;" "&amp;_xlpm.ai_test)),""),""))))</f>
        <v>0</v>
      </c>
      <c r="AW321" s="1047"/>
      <c r="AX321" s="1045">
        <f t="shared" si="131"/>
        <v>0</v>
      </c>
      <c r="AY321" s="1046" t="str">
        <f t="shared" si="132"/>
        <v/>
      </c>
      <c r="AZ321" s="1048">
        <f t="shared" si="137"/>
        <v>0</v>
      </c>
      <c r="BA321" s="1049" t="str">
        <f t="shared" si="133"/>
        <v/>
      </c>
      <c r="BB321" s="1038"/>
      <c r="BC321" s="1050">
        <f t="shared" si="138"/>
        <v>0</v>
      </c>
      <c r="BD321" s="1040" t="str">
        <f t="shared" si="134"/>
        <v/>
      </c>
      <c r="BE321" s="227" t="s">
        <v>22</v>
      </c>
      <c r="BF321" s="1019">
        <f t="shared" si="135"/>
        <v>0</v>
      </c>
      <c r="BG321" s="1020">
        <f t="shared" si="136"/>
        <v>0</v>
      </c>
      <c r="BH321"/>
      <c r="BI321" s="709"/>
      <c r="BJ321" s="709"/>
      <c r="BK321" s="709"/>
      <c r="BL321" s="709"/>
      <c r="BM321" s="709"/>
      <c r="BN321" s="709"/>
      <c r="BO321" s="709"/>
      <c r="BP321" s="709"/>
      <c r="BW321" s="959" t="str">
        <f t="shared" si="117"/>
        <v>►</v>
      </c>
      <c r="BX321" s="856"/>
      <c r="BY321" s="856"/>
      <c r="BZ321" s="856"/>
      <c r="CA321" s="856"/>
      <c r="CB321" s="856"/>
      <c r="CC321" s="856"/>
      <c r="CK321" s="856"/>
      <c r="CS321" s="856"/>
      <c r="DA321" s="856"/>
      <c r="DB321" s="3">
        <v>1</v>
      </c>
    </row>
    <row r="322" spans="12:106" ht="21" customHeight="1">
      <c r="L322" s="104" t="s">
        <v>16</v>
      </c>
      <c r="M322" s="1172"/>
      <c r="N322" s="1172"/>
      <c r="O322" s="1172"/>
      <c r="P322" s="1173"/>
      <c r="Q322" s="1174"/>
      <c r="R322" s="1175"/>
      <c r="S322" s="1176"/>
      <c r="T322" s="1177"/>
      <c r="U322" s="5248"/>
      <c r="V322" s="1177"/>
      <c r="W322" s="5249"/>
      <c r="X322" s="5208"/>
      <c r="Y322" s="5209"/>
      <c r="Z322" s="5210"/>
      <c r="AA322" s="5211"/>
      <c r="AB322" s="1178"/>
      <c r="AC322" s="1179"/>
      <c r="AD322" s="227" t="s">
        <v>22</v>
      </c>
      <c r="AE322" s="1027" t="str">
        <f t="shared" si="118"/>
        <v>►</v>
      </c>
      <c r="AF322" s="1028" t="str">
        <f t="shared" si="119"/>
        <v/>
      </c>
      <c r="AG322" s="1029" t="str">
        <f t="shared" si="120"/>
        <v/>
      </c>
      <c r="AH322" s="1028" t="str">
        <f t="shared" si="121"/>
        <v/>
      </c>
      <c r="AI322" s="1029" t="str">
        <f t="shared" si="122"/>
        <v/>
      </c>
      <c r="AJ322" s="1029">
        <f t="shared" si="123"/>
        <v>0</v>
      </c>
      <c r="AK322" s="1043" t="str" cm="1">
        <f t="array" ref="AK322">IF(AE322&lt;&gt;"A","",IFERROR((IFERROR(_xlfn.XLOOKUP(TRIM(SUBSTITUTE(U322,CHAR(160)," ")),$BI$15:$BI$62,$BL$15:$BL$62),IFERROR(_xlfn.XLOOKUP(TRIM(SUBSTITUTE(U322,CHAR(160)," ")),$BJ$15:$BJ$62,$BL$15:$BL$62),_xlfn.XLOOKUP(TRIM(SUBSTITUTE(U322,CHAR(160)," ")),$BK$15:$BK$62,$BL$15:$BL$62))))*T322*IF(ISBLANK(Q322),1,Q322)+IFERROR(_xlfn.XLOOKUP("RECHERCHEX",TRIM(L322:AC322),L322:AC322),0),0))</f>
        <v/>
      </c>
      <c r="AL322" s="1030">
        <f t="shared" si="124"/>
        <v>0</v>
      </c>
      <c r="AM322" s="5254" t="str">
        <f t="shared" si="139"/>
        <v/>
      </c>
      <c r="AN322" s="1031">
        <f t="shared" si="125"/>
        <v>0</v>
      </c>
      <c r="AO322" s="1031">
        <f t="shared" si="126"/>
        <v>0</v>
      </c>
      <c r="AP322" s="1032">
        <f t="shared" si="127"/>
        <v>0</v>
      </c>
      <c r="AQ322" s="5255" t="str">
        <f t="shared" si="128"/>
        <v/>
      </c>
      <c r="AR322" s="1056"/>
      <c r="AS322" s="1056"/>
      <c r="AT322" s="1034">
        <f t="shared" si="129"/>
        <v>0</v>
      </c>
      <c r="AU322" s="1035">
        <f t="shared" si="130"/>
        <v>0</v>
      </c>
      <c r="AV322" s="1057" cm="1">
        <f t="array" ref="AV322">IF(AJ322&lt;&gt;1,0,IF(OR(AT322="",N(AT322)&lt;=0.000000001),"",IF(OR(AN322="",N(AN322)&lt;=0.000000001),0,IF(ISNUMBER(AT322),IFERROR(_xlfn.LET(_xlpm.ai_test,TRIM(AI322),_xlpm.r,IFERROR(_xlfn.XLOOKUP(_xlpm.ai_test,$BI$15:$BI$62,ROW($BI$15:$BI$62),0,1),IFERROR(_xlfn.XLOOKUP(_xlpm.ai_test,$BJ$15:$BJ$62,ROW($BJ$15:$BJ$62),0,1),_xlfn.XLOOKUP(_xlpm.ai_test,$BK$15:$BK$62,ROW($BK$15:$BK$62),0,1))),_xlpm.p,_xlpm.r-MIN(ROW($BI$15:$BI$62))+1,_xlpm.f,INDEX($BL$15:$BL$62,_xlpm.p),_xlpm.u,INDEX($BM$15:$BM$62,_xlpm.p),_xlpm.s,INDEX($BO$15:$BO$62,_xlpm.p),_xlpm.q,N(AT322)/_xlpm.f,IF(_xlpm.q&gt;=_xlpm.s,ROUND(_xlpm.q,1)&amp;" "&amp;_xlpm.ai_test&amp;" = "&amp;ROUND(_xlpm.q*_xlpm.f,1)&amp;" "&amp;_xlpm.u,ROUND(_xlpm.q,1)&amp;" "&amp;_xlpm.ai_test)),""),""))))</f>
        <v>0</v>
      </c>
      <c r="AW322" s="1047"/>
      <c r="AX322" s="1034">
        <f t="shared" si="131"/>
        <v>0</v>
      </c>
      <c r="AY322" s="1035" t="str">
        <f t="shared" si="132"/>
        <v/>
      </c>
      <c r="AZ322" s="1036">
        <f t="shared" si="137"/>
        <v>0</v>
      </c>
      <c r="BA322" s="1037" t="str">
        <f t="shared" si="133"/>
        <v/>
      </c>
      <c r="BB322" s="1038"/>
      <c r="BC322" s="1039">
        <f t="shared" si="138"/>
        <v>0</v>
      </c>
      <c r="BD322" s="1040" t="str">
        <f t="shared" si="134"/>
        <v/>
      </c>
      <c r="BE322" s="227" t="s">
        <v>22</v>
      </c>
      <c r="BF322" s="1019">
        <f t="shared" si="135"/>
        <v>0</v>
      </c>
      <c r="BG322" s="1020">
        <f t="shared" si="136"/>
        <v>0</v>
      </c>
      <c r="BH322"/>
      <c r="BI322" s="709"/>
      <c r="BJ322" s="709"/>
      <c r="BK322" s="709"/>
      <c r="BL322" s="709"/>
      <c r="BM322" s="709"/>
      <c r="BN322" s="709"/>
      <c r="BO322" s="709"/>
      <c r="BP322" s="709"/>
      <c r="BW322" s="959" t="str">
        <f t="shared" si="117"/>
        <v>►</v>
      </c>
      <c r="CB322"/>
      <c r="CC322" s="856"/>
      <c r="CK322" s="856"/>
      <c r="CS322" s="856"/>
      <c r="DA322" s="856"/>
      <c r="DB322" s="3">
        <v>1</v>
      </c>
    </row>
    <row r="323" spans="12:106" ht="21" customHeight="1">
      <c r="L323" s="104" t="s">
        <v>16</v>
      </c>
      <c r="M323" s="1172"/>
      <c r="N323" s="1172"/>
      <c r="O323" s="1172"/>
      <c r="P323" s="1173"/>
      <c r="Q323" s="1174"/>
      <c r="R323" s="1175"/>
      <c r="S323" s="1176"/>
      <c r="T323" s="1177"/>
      <c r="U323" s="5248"/>
      <c r="V323" s="1177"/>
      <c r="W323" s="5249"/>
      <c r="X323" s="5208"/>
      <c r="Y323" s="5209"/>
      <c r="Z323" s="5210"/>
      <c r="AA323" s="5211"/>
      <c r="AB323" s="1178"/>
      <c r="AC323" s="1179"/>
      <c r="AD323" s="227" t="s">
        <v>22</v>
      </c>
      <c r="AE323" s="1027" t="str">
        <f t="shared" si="118"/>
        <v>►</v>
      </c>
      <c r="AF323" s="1028" t="str">
        <f t="shared" si="119"/>
        <v/>
      </c>
      <c r="AG323" s="1029" t="str">
        <f t="shared" si="120"/>
        <v/>
      </c>
      <c r="AH323" s="1028" t="str">
        <f t="shared" si="121"/>
        <v/>
      </c>
      <c r="AI323" s="1029" t="str">
        <f t="shared" si="122"/>
        <v/>
      </c>
      <c r="AJ323" s="1029">
        <f t="shared" si="123"/>
        <v>0</v>
      </c>
      <c r="AK323" s="1043" t="str" cm="1">
        <f t="array" ref="AK323">IF(AE323&lt;&gt;"A","",IFERROR((IFERROR(_xlfn.XLOOKUP(TRIM(SUBSTITUTE(U323,CHAR(160)," ")),$BI$15:$BI$62,$BL$15:$BL$62),IFERROR(_xlfn.XLOOKUP(TRIM(SUBSTITUTE(U323,CHAR(160)," ")),$BJ$15:$BJ$62,$BL$15:$BL$62),_xlfn.XLOOKUP(TRIM(SUBSTITUTE(U323,CHAR(160)," ")),$BK$15:$BK$62,$BL$15:$BL$62))))*T323*IF(ISBLANK(Q323),1,Q323)+IFERROR(_xlfn.XLOOKUP("RECHERCHEX",TRIM(L323:AC323),L323:AC323),0),0))</f>
        <v/>
      </c>
      <c r="AL323" s="1030">
        <f t="shared" si="124"/>
        <v>0</v>
      </c>
      <c r="AM323" s="5254" t="str">
        <f t="shared" si="139"/>
        <v/>
      </c>
      <c r="AN323" s="1031">
        <f t="shared" si="125"/>
        <v>0</v>
      </c>
      <c r="AO323" s="1031">
        <f t="shared" si="126"/>
        <v>0</v>
      </c>
      <c r="AP323" s="1044">
        <f t="shared" si="127"/>
        <v>0</v>
      </c>
      <c r="AQ323" s="5257" t="str">
        <f t="shared" si="128"/>
        <v/>
      </c>
      <c r="AR323" s="1056"/>
      <c r="AS323" s="1056"/>
      <c r="AT323" s="1045">
        <f t="shared" si="129"/>
        <v>0</v>
      </c>
      <c r="AU323" s="1046">
        <f t="shared" si="130"/>
        <v>0</v>
      </c>
      <c r="AV323" s="1059" cm="1">
        <f t="array" ref="AV323">IF(AJ323&lt;&gt;1,0,IF(OR(AT323="",N(AT323)&lt;=0.000000001),"",IF(OR(AN323="",N(AN323)&lt;=0.000000001),0,IF(ISNUMBER(AT323),IFERROR(_xlfn.LET(_xlpm.ai_test,TRIM(AI323),_xlpm.r,IFERROR(_xlfn.XLOOKUP(_xlpm.ai_test,$BI$15:$BI$62,ROW($BI$15:$BI$62),0,1),IFERROR(_xlfn.XLOOKUP(_xlpm.ai_test,$BJ$15:$BJ$62,ROW($BJ$15:$BJ$62),0,1),_xlfn.XLOOKUP(_xlpm.ai_test,$BK$15:$BK$62,ROW($BK$15:$BK$62),0,1))),_xlpm.p,_xlpm.r-MIN(ROW($BI$15:$BI$62))+1,_xlpm.f,INDEX($BL$15:$BL$62,_xlpm.p),_xlpm.u,INDEX($BM$15:$BM$62,_xlpm.p),_xlpm.s,INDEX($BO$15:$BO$62,_xlpm.p),_xlpm.q,N(AT323)/_xlpm.f,IF(_xlpm.q&gt;=_xlpm.s,ROUND(_xlpm.q,1)&amp;" "&amp;_xlpm.ai_test&amp;" = "&amp;ROUND(_xlpm.q*_xlpm.f,1)&amp;" "&amp;_xlpm.u,ROUND(_xlpm.q,1)&amp;" "&amp;_xlpm.ai_test)),""),""))))</f>
        <v>0</v>
      </c>
      <c r="AW323" s="1047"/>
      <c r="AX323" s="1045">
        <f t="shared" si="131"/>
        <v>0</v>
      </c>
      <c r="AY323" s="1046" t="str">
        <f t="shared" si="132"/>
        <v/>
      </c>
      <c r="AZ323" s="1048">
        <f t="shared" si="137"/>
        <v>0</v>
      </c>
      <c r="BA323" s="1049" t="str">
        <f t="shared" si="133"/>
        <v/>
      </c>
      <c r="BB323" s="1038"/>
      <c r="BC323" s="1050">
        <f t="shared" si="138"/>
        <v>0</v>
      </c>
      <c r="BD323" s="1040" t="str">
        <f t="shared" si="134"/>
        <v/>
      </c>
      <c r="BE323" s="227" t="s">
        <v>22</v>
      </c>
      <c r="BF323" s="1019">
        <f t="shared" si="135"/>
        <v>0</v>
      </c>
      <c r="BG323" s="1020">
        <f t="shared" si="136"/>
        <v>0</v>
      </c>
      <c r="BH323"/>
      <c r="BI323" s="709"/>
      <c r="BJ323" s="709"/>
      <c r="BK323" s="709"/>
      <c r="BL323" s="709"/>
      <c r="BM323" s="709"/>
      <c r="BN323" s="709"/>
      <c r="BO323" s="709"/>
      <c r="BP323" s="709"/>
      <c r="BW323" s="959" t="str">
        <f t="shared" si="117"/>
        <v>►</v>
      </c>
      <c r="BX323" s="856"/>
      <c r="BY323" s="856"/>
      <c r="BZ323" s="856"/>
      <c r="CA323" s="856"/>
      <c r="CB323" s="856"/>
      <c r="CC323" s="856"/>
      <c r="CK323" s="856"/>
      <c r="CS323" s="856"/>
      <c r="DA323" s="856"/>
      <c r="DB323" s="3">
        <v>1</v>
      </c>
    </row>
    <row r="324" spans="12:106" ht="21" customHeight="1">
      <c r="L324" s="104" t="s">
        <v>16</v>
      </c>
      <c r="M324" s="1172"/>
      <c r="N324" s="1172"/>
      <c r="O324" s="1172"/>
      <c r="P324" s="1173"/>
      <c r="Q324" s="1174"/>
      <c r="R324" s="1175"/>
      <c r="S324" s="1176"/>
      <c r="T324" s="1177"/>
      <c r="U324" s="5248"/>
      <c r="V324" s="1177"/>
      <c r="W324" s="5249"/>
      <c r="X324" s="5208"/>
      <c r="Y324" s="5209"/>
      <c r="Z324" s="5210"/>
      <c r="AA324" s="5211"/>
      <c r="AB324" s="1178"/>
      <c r="AC324" s="1179"/>
      <c r="AD324" s="227" t="s">
        <v>22</v>
      </c>
      <c r="AE324" s="1027" t="str">
        <f t="shared" si="118"/>
        <v>►</v>
      </c>
      <c r="AF324" s="1028" t="str">
        <f t="shared" si="119"/>
        <v/>
      </c>
      <c r="AG324" s="1029" t="str">
        <f t="shared" si="120"/>
        <v/>
      </c>
      <c r="AH324" s="1028" t="str">
        <f t="shared" si="121"/>
        <v/>
      </c>
      <c r="AI324" s="1029" t="str">
        <f t="shared" si="122"/>
        <v/>
      </c>
      <c r="AJ324" s="1029">
        <f t="shared" si="123"/>
        <v>0</v>
      </c>
      <c r="AK324" s="1043" t="str" cm="1">
        <f t="array" ref="AK324">IF(AE324&lt;&gt;"A","",IFERROR((IFERROR(_xlfn.XLOOKUP(TRIM(SUBSTITUTE(U324,CHAR(160)," ")),$BI$15:$BI$62,$BL$15:$BL$62),IFERROR(_xlfn.XLOOKUP(TRIM(SUBSTITUTE(U324,CHAR(160)," ")),$BJ$15:$BJ$62,$BL$15:$BL$62),_xlfn.XLOOKUP(TRIM(SUBSTITUTE(U324,CHAR(160)," ")),$BK$15:$BK$62,$BL$15:$BL$62))))*T324*IF(ISBLANK(Q324),1,Q324)+IFERROR(_xlfn.XLOOKUP("RECHERCHEX",TRIM(L324:AC324),L324:AC324),0),0))</f>
        <v/>
      </c>
      <c r="AL324" s="1030">
        <f t="shared" si="124"/>
        <v>0</v>
      </c>
      <c r="AM324" s="5254" t="str">
        <f t="shared" si="139"/>
        <v/>
      </c>
      <c r="AN324" s="1031">
        <f t="shared" si="125"/>
        <v>0</v>
      </c>
      <c r="AO324" s="1031">
        <f t="shared" si="126"/>
        <v>0</v>
      </c>
      <c r="AP324" s="1032">
        <f t="shared" si="127"/>
        <v>0</v>
      </c>
      <c r="AQ324" s="5255" t="str">
        <f t="shared" si="128"/>
        <v/>
      </c>
      <c r="AR324" s="1056"/>
      <c r="AS324" s="1056"/>
      <c r="AT324" s="1034">
        <f t="shared" si="129"/>
        <v>0</v>
      </c>
      <c r="AU324" s="1035">
        <f t="shared" si="130"/>
        <v>0</v>
      </c>
      <c r="AV324" s="1057" cm="1">
        <f t="array" ref="AV324">IF(AJ324&lt;&gt;1,0,IF(OR(AT324="",N(AT324)&lt;=0.000000001),"",IF(OR(AN324="",N(AN324)&lt;=0.000000001),0,IF(ISNUMBER(AT324),IFERROR(_xlfn.LET(_xlpm.ai_test,TRIM(AI324),_xlpm.r,IFERROR(_xlfn.XLOOKUP(_xlpm.ai_test,$BI$15:$BI$62,ROW($BI$15:$BI$62),0,1),IFERROR(_xlfn.XLOOKUP(_xlpm.ai_test,$BJ$15:$BJ$62,ROW($BJ$15:$BJ$62),0,1),_xlfn.XLOOKUP(_xlpm.ai_test,$BK$15:$BK$62,ROW($BK$15:$BK$62),0,1))),_xlpm.p,_xlpm.r-MIN(ROW($BI$15:$BI$62))+1,_xlpm.f,INDEX($BL$15:$BL$62,_xlpm.p),_xlpm.u,INDEX($BM$15:$BM$62,_xlpm.p),_xlpm.s,INDEX($BO$15:$BO$62,_xlpm.p),_xlpm.q,N(AT324)/_xlpm.f,IF(_xlpm.q&gt;=_xlpm.s,ROUND(_xlpm.q,1)&amp;" "&amp;_xlpm.ai_test&amp;" = "&amp;ROUND(_xlpm.q*_xlpm.f,1)&amp;" "&amp;_xlpm.u,ROUND(_xlpm.q,1)&amp;" "&amp;_xlpm.ai_test)),""),""))))</f>
        <v>0</v>
      </c>
      <c r="AW324" s="1047"/>
      <c r="AX324" s="1034">
        <f t="shared" si="131"/>
        <v>0</v>
      </c>
      <c r="AY324" s="1035" t="str">
        <f t="shared" si="132"/>
        <v/>
      </c>
      <c r="AZ324" s="1036">
        <f t="shared" si="137"/>
        <v>0</v>
      </c>
      <c r="BA324" s="1037" t="str">
        <f t="shared" si="133"/>
        <v/>
      </c>
      <c r="BB324" s="1038"/>
      <c r="BC324" s="1039">
        <f t="shared" si="138"/>
        <v>0</v>
      </c>
      <c r="BD324" s="1040" t="str">
        <f t="shared" si="134"/>
        <v/>
      </c>
      <c r="BE324" s="227" t="s">
        <v>22</v>
      </c>
      <c r="BF324" s="1019">
        <f t="shared" si="135"/>
        <v>0</v>
      </c>
      <c r="BG324" s="1020">
        <f t="shared" si="136"/>
        <v>0</v>
      </c>
      <c r="BH324"/>
      <c r="BI324" s="709"/>
      <c r="BJ324" s="709"/>
      <c r="BK324" s="709"/>
      <c r="BL324" s="709"/>
      <c r="BM324" s="709"/>
      <c r="BN324" s="709"/>
      <c r="BO324" s="709"/>
      <c r="BP324" s="709"/>
      <c r="BW324" s="959" t="str">
        <f t="shared" si="117"/>
        <v>►</v>
      </c>
      <c r="BX324" s="856"/>
      <c r="BY324" s="856"/>
      <c r="BZ324" s="856"/>
      <c r="CA324" s="856"/>
      <c r="CB324" s="856"/>
      <c r="CC324" s="856"/>
      <c r="CK324" s="856"/>
      <c r="CS324" s="856"/>
      <c r="DA324" s="856"/>
      <c r="DB324" s="3">
        <v>1</v>
      </c>
    </row>
    <row r="325" spans="12:106" ht="21" customHeight="1">
      <c r="L325" s="104" t="s">
        <v>16</v>
      </c>
      <c r="M325" s="1172"/>
      <c r="N325" s="1172"/>
      <c r="O325" s="1172"/>
      <c r="P325" s="1173"/>
      <c r="Q325" s="1174"/>
      <c r="R325" s="1175"/>
      <c r="S325" s="1176"/>
      <c r="T325" s="1177"/>
      <c r="U325" s="5248"/>
      <c r="V325" s="1177"/>
      <c r="W325" s="5249"/>
      <c r="X325" s="5208"/>
      <c r="Y325" s="5209"/>
      <c r="Z325" s="5210"/>
      <c r="AA325" s="5211"/>
      <c r="AB325" s="1178"/>
      <c r="AC325" s="1179"/>
      <c r="AD325" s="227" t="s">
        <v>22</v>
      </c>
      <c r="AE325" s="1027" t="str">
        <f t="shared" si="118"/>
        <v>►</v>
      </c>
      <c r="AF325" s="1028" t="str">
        <f t="shared" si="119"/>
        <v/>
      </c>
      <c r="AG325" s="1029" t="str">
        <f t="shared" si="120"/>
        <v/>
      </c>
      <c r="AH325" s="1028" t="str">
        <f t="shared" si="121"/>
        <v/>
      </c>
      <c r="AI325" s="1029" t="str">
        <f t="shared" si="122"/>
        <v/>
      </c>
      <c r="AJ325" s="1029">
        <f t="shared" si="123"/>
        <v>0</v>
      </c>
      <c r="AK325" s="1043" t="str" cm="1">
        <f t="array" ref="AK325">IF(AE325&lt;&gt;"A","",IFERROR((IFERROR(_xlfn.XLOOKUP(TRIM(SUBSTITUTE(U325,CHAR(160)," ")),$BI$15:$BI$62,$BL$15:$BL$62),IFERROR(_xlfn.XLOOKUP(TRIM(SUBSTITUTE(U325,CHAR(160)," ")),$BJ$15:$BJ$62,$BL$15:$BL$62),_xlfn.XLOOKUP(TRIM(SUBSTITUTE(U325,CHAR(160)," ")),$BK$15:$BK$62,$BL$15:$BL$62))))*T325*IF(ISBLANK(Q325),1,Q325)+IFERROR(_xlfn.XLOOKUP("RECHERCHEX",TRIM(L325:AC325),L325:AC325),0),0))</f>
        <v/>
      </c>
      <c r="AL325" s="1030">
        <f t="shared" si="124"/>
        <v>0</v>
      </c>
      <c r="AM325" s="5254" t="str">
        <f t="shared" si="139"/>
        <v/>
      </c>
      <c r="AN325" s="1031">
        <f t="shared" si="125"/>
        <v>0</v>
      </c>
      <c r="AO325" s="1031">
        <f t="shared" si="126"/>
        <v>0</v>
      </c>
      <c r="AP325" s="1044">
        <f t="shared" si="127"/>
        <v>0</v>
      </c>
      <c r="AQ325" s="5257" t="str">
        <f t="shared" si="128"/>
        <v/>
      </c>
      <c r="AR325" s="1056"/>
      <c r="AS325" s="1056"/>
      <c r="AT325" s="1045">
        <f t="shared" si="129"/>
        <v>0</v>
      </c>
      <c r="AU325" s="1046">
        <f t="shared" si="130"/>
        <v>0</v>
      </c>
      <c r="AV325" s="1059" cm="1">
        <f t="array" ref="AV325">IF(AJ325&lt;&gt;1,0,IF(OR(AT325="",N(AT325)&lt;=0.000000001),"",IF(OR(AN325="",N(AN325)&lt;=0.000000001),0,IF(ISNUMBER(AT325),IFERROR(_xlfn.LET(_xlpm.ai_test,TRIM(AI325),_xlpm.r,IFERROR(_xlfn.XLOOKUP(_xlpm.ai_test,$BI$15:$BI$62,ROW($BI$15:$BI$62),0,1),IFERROR(_xlfn.XLOOKUP(_xlpm.ai_test,$BJ$15:$BJ$62,ROW($BJ$15:$BJ$62),0,1),_xlfn.XLOOKUP(_xlpm.ai_test,$BK$15:$BK$62,ROW($BK$15:$BK$62),0,1))),_xlpm.p,_xlpm.r-MIN(ROW($BI$15:$BI$62))+1,_xlpm.f,INDEX($BL$15:$BL$62,_xlpm.p),_xlpm.u,INDEX($BM$15:$BM$62,_xlpm.p),_xlpm.s,INDEX($BO$15:$BO$62,_xlpm.p),_xlpm.q,N(AT325)/_xlpm.f,IF(_xlpm.q&gt;=_xlpm.s,ROUND(_xlpm.q,1)&amp;" "&amp;_xlpm.ai_test&amp;" = "&amp;ROUND(_xlpm.q*_xlpm.f,1)&amp;" "&amp;_xlpm.u,ROUND(_xlpm.q,1)&amp;" "&amp;_xlpm.ai_test)),""),""))))</f>
        <v>0</v>
      </c>
      <c r="AW325" s="1047"/>
      <c r="AX325" s="1045">
        <f t="shared" si="131"/>
        <v>0</v>
      </c>
      <c r="AY325" s="1046" t="str">
        <f t="shared" si="132"/>
        <v/>
      </c>
      <c r="AZ325" s="1048">
        <f t="shared" si="137"/>
        <v>0</v>
      </c>
      <c r="BA325" s="1049" t="str">
        <f t="shared" si="133"/>
        <v/>
      </c>
      <c r="BB325" s="1038"/>
      <c r="BC325" s="1050">
        <f t="shared" si="138"/>
        <v>0</v>
      </c>
      <c r="BD325" s="1040" t="str">
        <f t="shared" si="134"/>
        <v/>
      </c>
      <c r="BE325" s="227" t="s">
        <v>22</v>
      </c>
      <c r="BF325" s="1019">
        <f t="shared" si="135"/>
        <v>0</v>
      </c>
      <c r="BG325" s="1020">
        <f t="shared" si="136"/>
        <v>0</v>
      </c>
      <c r="BH325"/>
      <c r="BI325" s="709"/>
      <c r="BJ325" s="709"/>
      <c r="BK325" s="709"/>
      <c r="BL325" s="709"/>
      <c r="BM325" s="709"/>
      <c r="BN325" s="709"/>
      <c r="BO325" s="709"/>
      <c r="BP325" s="709"/>
      <c r="BW325" s="959" t="str">
        <f t="shared" ref="BW325:BW388" si="141">AE325</f>
        <v>►</v>
      </c>
      <c r="BX325" s="856"/>
      <c r="BY325" s="856"/>
      <c r="BZ325" s="856"/>
      <c r="CA325" s="856"/>
      <c r="CB325" s="856"/>
      <c r="CC325" s="856"/>
      <c r="CK325" s="856"/>
      <c r="CS325" s="856"/>
      <c r="DA325" s="856"/>
      <c r="DB325" s="3">
        <v>1</v>
      </c>
    </row>
    <row r="326" spans="12:106" ht="21" customHeight="1">
      <c r="L326" s="104" t="s">
        <v>16</v>
      </c>
      <c r="M326" s="1172"/>
      <c r="N326" s="1172"/>
      <c r="O326" s="1172"/>
      <c r="P326" s="1173"/>
      <c r="Q326" s="1174"/>
      <c r="R326" s="1175"/>
      <c r="S326" s="1176"/>
      <c r="T326" s="1177"/>
      <c r="U326" s="5248"/>
      <c r="V326" s="1177"/>
      <c r="W326" s="5249"/>
      <c r="X326" s="5208"/>
      <c r="Y326" s="5209"/>
      <c r="Z326" s="5210"/>
      <c r="AA326" s="5211"/>
      <c r="AB326" s="1178"/>
      <c r="AC326" s="1179"/>
      <c r="AD326" s="227" t="s">
        <v>22</v>
      </c>
      <c r="AE326" s="1027" t="str">
        <f t="shared" si="118"/>
        <v>►</v>
      </c>
      <c r="AF326" s="1028" t="str">
        <f t="shared" si="119"/>
        <v/>
      </c>
      <c r="AG326" s="1029" t="str">
        <f t="shared" si="120"/>
        <v/>
      </c>
      <c r="AH326" s="1028" t="str">
        <f t="shared" si="121"/>
        <v/>
      </c>
      <c r="AI326" s="1029" t="str">
        <f t="shared" si="122"/>
        <v/>
      </c>
      <c r="AJ326" s="1029">
        <f t="shared" si="123"/>
        <v>0</v>
      </c>
      <c r="AK326" s="1043" t="str" cm="1">
        <f t="array" ref="AK326">IF(AE326&lt;&gt;"A","",IFERROR((IFERROR(_xlfn.XLOOKUP(TRIM(SUBSTITUTE(U326,CHAR(160)," ")),$BI$15:$BI$62,$BL$15:$BL$62),IFERROR(_xlfn.XLOOKUP(TRIM(SUBSTITUTE(U326,CHAR(160)," ")),$BJ$15:$BJ$62,$BL$15:$BL$62),_xlfn.XLOOKUP(TRIM(SUBSTITUTE(U326,CHAR(160)," ")),$BK$15:$BK$62,$BL$15:$BL$62))))*T326*IF(ISBLANK(Q326),1,Q326)+IFERROR(_xlfn.XLOOKUP("RECHERCHEX",TRIM(L326:AC326),L326:AC326),0),0))</f>
        <v/>
      </c>
      <c r="AL326" s="1030">
        <f t="shared" si="124"/>
        <v>0</v>
      </c>
      <c r="AM326" s="5254" t="str">
        <f t="shared" si="139"/>
        <v/>
      </c>
      <c r="AN326" s="1031">
        <f t="shared" si="125"/>
        <v>0</v>
      </c>
      <c r="AO326" s="1031">
        <f t="shared" si="126"/>
        <v>0</v>
      </c>
      <c r="AP326" s="1032">
        <f t="shared" si="127"/>
        <v>0</v>
      </c>
      <c r="AQ326" s="5255" t="str">
        <f t="shared" si="128"/>
        <v/>
      </c>
      <c r="AR326" s="1056"/>
      <c r="AS326" s="1056"/>
      <c r="AT326" s="1034">
        <f t="shared" si="129"/>
        <v>0</v>
      </c>
      <c r="AU326" s="1035">
        <f t="shared" si="130"/>
        <v>0</v>
      </c>
      <c r="AV326" s="1057" cm="1">
        <f t="array" ref="AV326">IF(AJ326&lt;&gt;1,0,IF(OR(AT326="",N(AT326)&lt;=0.000000001),"",IF(OR(AN326="",N(AN326)&lt;=0.000000001),0,IF(ISNUMBER(AT326),IFERROR(_xlfn.LET(_xlpm.ai_test,TRIM(AI326),_xlpm.r,IFERROR(_xlfn.XLOOKUP(_xlpm.ai_test,$BI$15:$BI$62,ROW($BI$15:$BI$62),0,1),IFERROR(_xlfn.XLOOKUP(_xlpm.ai_test,$BJ$15:$BJ$62,ROW($BJ$15:$BJ$62),0,1),_xlfn.XLOOKUP(_xlpm.ai_test,$BK$15:$BK$62,ROW($BK$15:$BK$62),0,1))),_xlpm.p,_xlpm.r-MIN(ROW($BI$15:$BI$62))+1,_xlpm.f,INDEX($BL$15:$BL$62,_xlpm.p),_xlpm.u,INDEX($BM$15:$BM$62,_xlpm.p),_xlpm.s,INDEX($BO$15:$BO$62,_xlpm.p),_xlpm.q,N(AT326)/_xlpm.f,IF(_xlpm.q&gt;=_xlpm.s,ROUND(_xlpm.q,1)&amp;" "&amp;_xlpm.ai_test&amp;" = "&amp;ROUND(_xlpm.q*_xlpm.f,1)&amp;" "&amp;_xlpm.u,ROUND(_xlpm.q,1)&amp;" "&amp;_xlpm.ai_test)),""),""))))</f>
        <v>0</v>
      </c>
      <c r="AW326" s="1047"/>
      <c r="AX326" s="1034">
        <f t="shared" si="131"/>
        <v>0</v>
      </c>
      <c r="AY326" s="1035" t="str">
        <f t="shared" si="132"/>
        <v/>
      </c>
      <c r="AZ326" s="1036">
        <f t="shared" si="137"/>
        <v>0</v>
      </c>
      <c r="BA326" s="1037" t="str">
        <f t="shared" si="133"/>
        <v/>
      </c>
      <c r="BB326" s="1038"/>
      <c r="BC326" s="1039">
        <f t="shared" si="138"/>
        <v>0</v>
      </c>
      <c r="BD326" s="1040" t="str">
        <f t="shared" si="134"/>
        <v/>
      </c>
      <c r="BE326" s="227" t="s">
        <v>22</v>
      </c>
      <c r="BF326" s="1019">
        <f t="shared" si="135"/>
        <v>0</v>
      </c>
      <c r="BG326" s="1020">
        <f t="shared" si="136"/>
        <v>0</v>
      </c>
      <c r="BH326"/>
      <c r="BI326" s="709"/>
      <c r="BJ326" s="709"/>
      <c r="BK326" s="709"/>
      <c r="BL326" s="709"/>
      <c r="BM326" s="709"/>
      <c r="BN326" s="709"/>
      <c r="BO326" s="709"/>
      <c r="BP326" s="709"/>
      <c r="BW326" s="959" t="str">
        <f t="shared" si="141"/>
        <v>►</v>
      </c>
      <c r="BX326" s="856"/>
      <c r="BY326" s="856"/>
      <c r="BZ326" s="856"/>
      <c r="CA326" s="856"/>
      <c r="CB326" s="856"/>
      <c r="CC326" s="856"/>
      <c r="CK326" s="856"/>
      <c r="CS326" s="856"/>
      <c r="DA326" s="856"/>
      <c r="DB326" s="3">
        <v>1</v>
      </c>
    </row>
    <row r="327" spans="12:106" ht="21" customHeight="1">
      <c r="L327" s="104" t="s">
        <v>16</v>
      </c>
      <c r="M327" s="1172"/>
      <c r="N327" s="1172"/>
      <c r="O327" s="1172"/>
      <c r="P327" s="1173"/>
      <c r="Q327" s="1174"/>
      <c r="R327" s="1175"/>
      <c r="S327" s="1176"/>
      <c r="T327" s="1177"/>
      <c r="U327" s="5248"/>
      <c r="V327" s="1177"/>
      <c r="W327" s="5249"/>
      <c r="X327" s="5208"/>
      <c r="Y327" s="5209"/>
      <c r="Z327" s="5210"/>
      <c r="AA327" s="5211"/>
      <c r="AB327" s="1178"/>
      <c r="AC327" s="1179"/>
      <c r="AD327" s="227" t="s">
        <v>22</v>
      </c>
      <c r="AE327" s="1027" t="str">
        <f t="shared" si="118"/>
        <v>►</v>
      </c>
      <c r="AF327" s="1028" t="str">
        <f t="shared" si="119"/>
        <v/>
      </c>
      <c r="AG327" s="1029" t="str">
        <f t="shared" si="120"/>
        <v/>
      </c>
      <c r="AH327" s="1028" t="str">
        <f t="shared" si="121"/>
        <v/>
      </c>
      <c r="AI327" s="1029" t="str">
        <f t="shared" si="122"/>
        <v/>
      </c>
      <c r="AJ327" s="1029">
        <f t="shared" si="123"/>
        <v>0</v>
      </c>
      <c r="AK327" s="1043" t="str" cm="1">
        <f t="array" ref="AK327">IF(AE327&lt;&gt;"A","",IFERROR((IFERROR(_xlfn.XLOOKUP(TRIM(SUBSTITUTE(U327,CHAR(160)," ")),$BI$15:$BI$62,$BL$15:$BL$62),IFERROR(_xlfn.XLOOKUP(TRIM(SUBSTITUTE(U327,CHAR(160)," ")),$BJ$15:$BJ$62,$BL$15:$BL$62),_xlfn.XLOOKUP(TRIM(SUBSTITUTE(U327,CHAR(160)," ")),$BK$15:$BK$62,$BL$15:$BL$62))))*T327*IF(ISBLANK(Q327),1,Q327)+IFERROR(_xlfn.XLOOKUP("RECHERCHEX",TRIM(L327:AC327),L327:AC327),0),0))</f>
        <v/>
      </c>
      <c r="AL327" s="1030">
        <f t="shared" si="124"/>
        <v>0</v>
      </c>
      <c r="AM327" s="5254" t="str">
        <f t="shared" si="139"/>
        <v/>
      </c>
      <c r="AN327" s="1031">
        <f t="shared" si="125"/>
        <v>0</v>
      </c>
      <c r="AO327" s="1031">
        <f t="shared" si="126"/>
        <v>0</v>
      </c>
      <c r="AP327" s="1044">
        <f t="shared" si="127"/>
        <v>0</v>
      </c>
      <c r="AQ327" s="5257" t="str">
        <f t="shared" si="128"/>
        <v/>
      </c>
      <c r="AR327" s="1056"/>
      <c r="AS327" s="1056"/>
      <c r="AT327" s="1045">
        <f t="shared" si="129"/>
        <v>0</v>
      </c>
      <c r="AU327" s="1046">
        <f t="shared" si="130"/>
        <v>0</v>
      </c>
      <c r="AV327" s="1059" cm="1">
        <f t="array" ref="AV327">IF(AJ327&lt;&gt;1,0,IF(OR(AT327="",N(AT327)&lt;=0.000000001),"",IF(OR(AN327="",N(AN327)&lt;=0.000000001),0,IF(ISNUMBER(AT327),IFERROR(_xlfn.LET(_xlpm.ai_test,TRIM(AI327),_xlpm.r,IFERROR(_xlfn.XLOOKUP(_xlpm.ai_test,$BI$15:$BI$62,ROW($BI$15:$BI$62),0,1),IFERROR(_xlfn.XLOOKUP(_xlpm.ai_test,$BJ$15:$BJ$62,ROW($BJ$15:$BJ$62),0,1),_xlfn.XLOOKUP(_xlpm.ai_test,$BK$15:$BK$62,ROW($BK$15:$BK$62),0,1))),_xlpm.p,_xlpm.r-MIN(ROW($BI$15:$BI$62))+1,_xlpm.f,INDEX($BL$15:$BL$62,_xlpm.p),_xlpm.u,INDEX($BM$15:$BM$62,_xlpm.p),_xlpm.s,INDEX($BO$15:$BO$62,_xlpm.p),_xlpm.q,N(AT327)/_xlpm.f,IF(_xlpm.q&gt;=_xlpm.s,ROUND(_xlpm.q,1)&amp;" "&amp;_xlpm.ai_test&amp;" = "&amp;ROUND(_xlpm.q*_xlpm.f,1)&amp;" "&amp;_xlpm.u,ROUND(_xlpm.q,1)&amp;" "&amp;_xlpm.ai_test)),""),""))))</f>
        <v>0</v>
      </c>
      <c r="AW327" s="1047"/>
      <c r="AX327" s="1045">
        <f t="shared" si="131"/>
        <v>0</v>
      </c>
      <c r="AY327" s="1046" t="str">
        <f t="shared" si="132"/>
        <v/>
      </c>
      <c r="AZ327" s="1048">
        <f t="shared" si="137"/>
        <v>0</v>
      </c>
      <c r="BA327" s="1049" t="str">
        <f t="shared" si="133"/>
        <v/>
      </c>
      <c r="BB327" s="1038"/>
      <c r="BC327" s="1050">
        <f t="shared" si="138"/>
        <v>0</v>
      </c>
      <c r="BD327" s="1040" t="str">
        <f t="shared" si="134"/>
        <v/>
      </c>
      <c r="BE327" s="227" t="s">
        <v>22</v>
      </c>
      <c r="BF327" s="1019">
        <f t="shared" si="135"/>
        <v>0</v>
      </c>
      <c r="BG327" s="1020">
        <f t="shared" si="136"/>
        <v>0</v>
      </c>
      <c r="BH327"/>
      <c r="BI327" s="709"/>
      <c r="BJ327" s="709"/>
      <c r="BK327" s="709"/>
      <c r="BL327" s="709"/>
      <c r="BM327" s="709"/>
      <c r="BN327" s="709"/>
      <c r="BO327" s="709"/>
      <c r="BP327" s="709"/>
      <c r="BW327" s="959" t="str">
        <f t="shared" si="141"/>
        <v>►</v>
      </c>
      <c r="BX327" s="856"/>
      <c r="BY327" s="856"/>
      <c r="BZ327" s="856"/>
      <c r="CA327" s="856"/>
      <c r="CB327" s="856"/>
      <c r="CC327" s="856"/>
      <c r="CK327" s="856"/>
      <c r="CS327" s="856"/>
      <c r="DA327" s="856"/>
      <c r="DB327" s="3">
        <v>1</v>
      </c>
    </row>
    <row r="328" spans="12:106" ht="21" customHeight="1">
      <c r="L328" s="104" t="s">
        <v>16</v>
      </c>
      <c r="M328" s="1172"/>
      <c r="N328" s="1172"/>
      <c r="O328" s="1172"/>
      <c r="P328" s="1173"/>
      <c r="Q328" s="1174"/>
      <c r="R328" s="1175"/>
      <c r="S328" s="1176"/>
      <c r="T328" s="1177"/>
      <c r="U328" s="5248"/>
      <c r="V328" s="1177"/>
      <c r="W328" s="5249"/>
      <c r="X328" s="5208"/>
      <c r="Y328" s="5209"/>
      <c r="Z328" s="5210"/>
      <c r="AA328" s="5211"/>
      <c r="AB328" s="1178"/>
      <c r="AC328" s="1179"/>
      <c r="AD328" s="227" t="s">
        <v>22</v>
      </c>
      <c r="AE328" s="1027" t="str">
        <f t="shared" si="118"/>
        <v>►</v>
      </c>
      <c r="AF328" s="1028" t="str">
        <f t="shared" si="119"/>
        <v/>
      </c>
      <c r="AG328" s="1029" t="str">
        <f t="shared" si="120"/>
        <v/>
      </c>
      <c r="AH328" s="1028" t="str">
        <f t="shared" si="121"/>
        <v/>
      </c>
      <c r="AI328" s="1029" t="str">
        <f t="shared" si="122"/>
        <v/>
      </c>
      <c r="AJ328" s="1029">
        <f t="shared" si="123"/>
        <v>0</v>
      </c>
      <c r="AK328" s="1043" t="str" cm="1">
        <f t="array" ref="AK328">IF(AE328&lt;&gt;"A","",IFERROR((IFERROR(_xlfn.XLOOKUP(TRIM(SUBSTITUTE(U328,CHAR(160)," ")),$BI$15:$BI$62,$BL$15:$BL$62),IFERROR(_xlfn.XLOOKUP(TRIM(SUBSTITUTE(U328,CHAR(160)," ")),$BJ$15:$BJ$62,$BL$15:$BL$62),_xlfn.XLOOKUP(TRIM(SUBSTITUTE(U328,CHAR(160)," ")),$BK$15:$BK$62,$BL$15:$BL$62))))*T328*IF(ISBLANK(Q328),1,Q328)+IFERROR(_xlfn.XLOOKUP("RECHERCHEX",TRIM(L328:AC328),L328:AC328),0),0))</f>
        <v/>
      </c>
      <c r="AL328" s="1030">
        <f t="shared" si="124"/>
        <v>0</v>
      </c>
      <c r="AM328" s="5254" t="str">
        <f t="shared" si="139"/>
        <v/>
      </c>
      <c r="AN328" s="1031">
        <f t="shared" si="125"/>
        <v>0</v>
      </c>
      <c r="AO328" s="1031">
        <f t="shared" si="126"/>
        <v>0</v>
      </c>
      <c r="AP328" s="1032">
        <f t="shared" si="127"/>
        <v>0</v>
      </c>
      <c r="AQ328" s="5255" t="str">
        <f t="shared" si="128"/>
        <v/>
      </c>
      <c r="AR328" s="1056"/>
      <c r="AS328" s="1056"/>
      <c r="AT328" s="1034">
        <f t="shared" si="129"/>
        <v>0</v>
      </c>
      <c r="AU328" s="1035">
        <f t="shared" si="130"/>
        <v>0</v>
      </c>
      <c r="AV328" s="1057" cm="1">
        <f t="array" ref="AV328">IF(AJ328&lt;&gt;1,0,IF(OR(AT328="",N(AT328)&lt;=0.000000001),"",IF(OR(AN328="",N(AN328)&lt;=0.000000001),0,IF(ISNUMBER(AT328),IFERROR(_xlfn.LET(_xlpm.ai_test,TRIM(AI328),_xlpm.r,IFERROR(_xlfn.XLOOKUP(_xlpm.ai_test,$BI$15:$BI$62,ROW($BI$15:$BI$62),0,1),IFERROR(_xlfn.XLOOKUP(_xlpm.ai_test,$BJ$15:$BJ$62,ROW($BJ$15:$BJ$62),0,1),_xlfn.XLOOKUP(_xlpm.ai_test,$BK$15:$BK$62,ROW($BK$15:$BK$62),0,1))),_xlpm.p,_xlpm.r-MIN(ROW($BI$15:$BI$62))+1,_xlpm.f,INDEX($BL$15:$BL$62,_xlpm.p),_xlpm.u,INDEX($BM$15:$BM$62,_xlpm.p),_xlpm.s,INDEX($BO$15:$BO$62,_xlpm.p),_xlpm.q,N(AT328)/_xlpm.f,IF(_xlpm.q&gt;=_xlpm.s,ROUND(_xlpm.q,1)&amp;" "&amp;_xlpm.ai_test&amp;" = "&amp;ROUND(_xlpm.q*_xlpm.f,1)&amp;" "&amp;_xlpm.u,ROUND(_xlpm.q,1)&amp;" "&amp;_xlpm.ai_test)),""),""))))</f>
        <v>0</v>
      </c>
      <c r="AW328" s="1047"/>
      <c r="AX328" s="1034">
        <f t="shared" si="131"/>
        <v>0</v>
      </c>
      <c r="AY328" s="1035" t="str">
        <f t="shared" si="132"/>
        <v/>
      </c>
      <c r="AZ328" s="1036">
        <f t="shared" si="137"/>
        <v>0</v>
      </c>
      <c r="BA328" s="1037" t="str">
        <f t="shared" si="133"/>
        <v/>
      </c>
      <c r="BB328" s="1038"/>
      <c r="BC328" s="1039">
        <f t="shared" si="138"/>
        <v>0</v>
      </c>
      <c r="BD328" s="1040" t="str">
        <f t="shared" si="134"/>
        <v/>
      </c>
      <c r="BE328" s="227" t="s">
        <v>22</v>
      </c>
      <c r="BF328" s="1019">
        <f t="shared" si="135"/>
        <v>0</v>
      </c>
      <c r="BG328" s="1020">
        <f t="shared" si="136"/>
        <v>0</v>
      </c>
      <c r="BH328"/>
      <c r="BI328" s="709"/>
      <c r="BJ328" s="709"/>
      <c r="BK328" s="709"/>
      <c r="BL328" s="709"/>
      <c r="BM328" s="709"/>
      <c r="BN328" s="709"/>
      <c r="BO328" s="709"/>
      <c r="BP328" s="709"/>
      <c r="BW328" s="959" t="str">
        <f t="shared" si="141"/>
        <v>►</v>
      </c>
      <c r="BX328" s="856"/>
      <c r="BY328" s="856"/>
      <c r="BZ328" s="856"/>
      <c r="CA328" s="856"/>
      <c r="CB328" s="856"/>
      <c r="CC328" s="856"/>
      <c r="CK328" s="856"/>
      <c r="CS328" s="856"/>
      <c r="DA328" s="856"/>
      <c r="DB328" s="3">
        <v>1</v>
      </c>
    </row>
    <row r="329" spans="12:106" ht="21" customHeight="1">
      <c r="L329" s="104" t="s">
        <v>16</v>
      </c>
      <c r="M329" s="1172"/>
      <c r="N329" s="1172"/>
      <c r="O329" s="1172"/>
      <c r="P329" s="1173"/>
      <c r="Q329" s="1174"/>
      <c r="R329" s="1175"/>
      <c r="S329" s="1176"/>
      <c r="T329" s="1177"/>
      <c r="U329" s="5248"/>
      <c r="V329" s="1177"/>
      <c r="W329" s="5249"/>
      <c r="X329" s="5208"/>
      <c r="Y329" s="5209"/>
      <c r="Z329" s="5210"/>
      <c r="AA329" s="5211"/>
      <c r="AB329" s="1178"/>
      <c r="AC329" s="1179"/>
      <c r="AD329" s="227" t="s">
        <v>22</v>
      </c>
      <c r="AE329" s="1027" t="str">
        <f t="shared" si="118"/>
        <v>►</v>
      </c>
      <c r="AF329" s="1028" t="str">
        <f t="shared" si="119"/>
        <v/>
      </c>
      <c r="AG329" s="1029" t="str">
        <f t="shared" si="120"/>
        <v/>
      </c>
      <c r="AH329" s="1028" t="str">
        <f t="shared" si="121"/>
        <v/>
      </c>
      <c r="AI329" s="1029" t="str">
        <f t="shared" si="122"/>
        <v/>
      </c>
      <c r="AJ329" s="1029">
        <f t="shared" si="123"/>
        <v>0</v>
      </c>
      <c r="AK329" s="1043" t="str" cm="1">
        <f t="array" ref="AK329">IF(AE329&lt;&gt;"A","",IFERROR((IFERROR(_xlfn.XLOOKUP(TRIM(SUBSTITUTE(U329,CHAR(160)," ")),$BI$15:$BI$62,$BL$15:$BL$62),IFERROR(_xlfn.XLOOKUP(TRIM(SUBSTITUTE(U329,CHAR(160)," ")),$BJ$15:$BJ$62,$BL$15:$BL$62),_xlfn.XLOOKUP(TRIM(SUBSTITUTE(U329,CHAR(160)," ")),$BK$15:$BK$62,$BL$15:$BL$62))))*T329*IF(ISBLANK(Q329),1,Q329)+IFERROR(_xlfn.XLOOKUP("RECHERCHEX",TRIM(L329:AC329),L329:AC329),0),0))</f>
        <v/>
      </c>
      <c r="AL329" s="1030">
        <f t="shared" si="124"/>
        <v>0</v>
      </c>
      <c r="AM329" s="5254" t="str">
        <f t="shared" si="139"/>
        <v/>
      </c>
      <c r="AN329" s="1031">
        <f t="shared" si="125"/>
        <v>0</v>
      </c>
      <c r="AO329" s="1031">
        <f t="shared" si="126"/>
        <v>0</v>
      </c>
      <c r="AP329" s="1044">
        <f t="shared" si="127"/>
        <v>0</v>
      </c>
      <c r="AQ329" s="5257" t="str">
        <f t="shared" si="128"/>
        <v/>
      </c>
      <c r="AR329" s="1056"/>
      <c r="AS329" s="1056"/>
      <c r="AT329" s="1045">
        <f t="shared" si="129"/>
        <v>0</v>
      </c>
      <c r="AU329" s="1046">
        <f t="shared" si="130"/>
        <v>0</v>
      </c>
      <c r="AV329" s="1059" cm="1">
        <f t="array" ref="AV329">IF(AJ329&lt;&gt;1,0,IF(OR(AT329="",N(AT329)&lt;=0.000000001),"",IF(OR(AN329="",N(AN329)&lt;=0.000000001),0,IF(ISNUMBER(AT329),IFERROR(_xlfn.LET(_xlpm.ai_test,TRIM(AI329),_xlpm.r,IFERROR(_xlfn.XLOOKUP(_xlpm.ai_test,$BI$15:$BI$62,ROW($BI$15:$BI$62),0,1),IFERROR(_xlfn.XLOOKUP(_xlpm.ai_test,$BJ$15:$BJ$62,ROW($BJ$15:$BJ$62),0,1),_xlfn.XLOOKUP(_xlpm.ai_test,$BK$15:$BK$62,ROW($BK$15:$BK$62),0,1))),_xlpm.p,_xlpm.r-MIN(ROW($BI$15:$BI$62))+1,_xlpm.f,INDEX($BL$15:$BL$62,_xlpm.p),_xlpm.u,INDEX($BM$15:$BM$62,_xlpm.p),_xlpm.s,INDEX($BO$15:$BO$62,_xlpm.p),_xlpm.q,N(AT329)/_xlpm.f,IF(_xlpm.q&gt;=_xlpm.s,ROUND(_xlpm.q,1)&amp;" "&amp;_xlpm.ai_test&amp;" = "&amp;ROUND(_xlpm.q*_xlpm.f,1)&amp;" "&amp;_xlpm.u,ROUND(_xlpm.q,1)&amp;" "&amp;_xlpm.ai_test)),""),""))))</f>
        <v>0</v>
      </c>
      <c r="AW329" s="1047"/>
      <c r="AX329" s="1045">
        <f t="shared" si="131"/>
        <v>0</v>
      </c>
      <c r="AY329" s="1046" t="str">
        <f t="shared" si="132"/>
        <v/>
      </c>
      <c r="AZ329" s="1048">
        <f t="shared" si="137"/>
        <v>0</v>
      </c>
      <c r="BA329" s="1049" t="str">
        <f t="shared" si="133"/>
        <v/>
      </c>
      <c r="BB329" s="1038"/>
      <c r="BC329" s="1050">
        <f t="shared" si="138"/>
        <v>0</v>
      </c>
      <c r="BD329" s="1040" t="str">
        <f t="shared" si="134"/>
        <v/>
      </c>
      <c r="BE329" s="227" t="s">
        <v>22</v>
      </c>
      <c r="BF329" s="1019">
        <f t="shared" si="135"/>
        <v>0</v>
      </c>
      <c r="BG329" s="1020">
        <f t="shared" si="136"/>
        <v>0</v>
      </c>
      <c r="BH329"/>
      <c r="BI329" s="709"/>
      <c r="BJ329" s="709"/>
      <c r="BK329" s="709"/>
      <c r="BL329" s="709"/>
      <c r="BM329" s="709"/>
      <c r="BN329" s="709"/>
      <c r="BO329" s="709"/>
      <c r="BP329" s="709"/>
      <c r="BW329" s="959" t="str">
        <f t="shared" si="141"/>
        <v>►</v>
      </c>
      <c r="BX329" s="856"/>
      <c r="BY329" s="856"/>
      <c r="BZ329" s="856"/>
      <c r="CA329" s="856"/>
      <c r="CB329" s="856"/>
      <c r="CC329" s="856"/>
      <c r="CK329" s="856"/>
      <c r="CS329" s="856"/>
      <c r="DA329" s="856"/>
      <c r="DB329" s="3">
        <v>1</v>
      </c>
    </row>
    <row r="330" spans="12:106" ht="21" customHeight="1">
      <c r="L330" s="104" t="s">
        <v>16</v>
      </c>
      <c r="M330" s="1172"/>
      <c r="N330" s="1172"/>
      <c r="O330" s="1172"/>
      <c r="P330" s="1173"/>
      <c r="Q330" s="1174"/>
      <c r="R330" s="1175"/>
      <c r="S330" s="1176"/>
      <c r="T330" s="1177"/>
      <c r="U330" s="5248"/>
      <c r="V330" s="1177"/>
      <c r="W330" s="5249"/>
      <c r="X330" s="5208"/>
      <c r="Y330" s="5209"/>
      <c r="Z330" s="5210"/>
      <c r="AA330" s="5211"/>
      <c r="AB330" s="1178"/>
      <c r="AC330" s="1179"/>
      <c r="AD330" s="227" t="s">
        <v>22</v>
      </c>
      <c r="AE330" s="1027" t="str">
        <f t="shared" si="118"/>
        <v>►</v>
      </c>
      <c r="AF330" s="1028" t="str">
        <f t="shared" si="119"/>
        <v/>
      </c>
      <c r="AG330" s="1029" t="str">
        <f t="shared" si="120"/>
        <v/>
      </c>
      <c r="AH330" s="1028" t="str">
        <f t="shared" si="121"/>
        <v/>
      </c>
      <c r="AI330" s="1029" t="str">
        <f t="shared" si="122"/>
        <v/>
      </c>
      <c r="AJ330" s="1029">
        <f t="shared" si="123"/>
        <v>0</v>
      </c>
      <c r="AK330" s="1043" t="str" cm="1">
        <f t="array" ref="AK330">IF(AE330&lt;&gt;"A","",IFERROR((IFERROR(_xlfn.XLOOKUP(TRIM(SUBSTITUTE(U330,CHAR(160)," ")),$BI$15:$BI$62,$BL$15:$BL$62),IFERROR(_xlfn.XLOOKUP(TRIM(SUBSTITUTE(U330,CHAR(160)," ")),$BJ$15:$BJ$62,$BL$15:$BL$62),_xlfn.XLOOKUP(TRIM(SUBSTITUTE(U330,CHAR(160)," ")),$BK$15:$BK$62,$BL$15:$BL$62))))*T330*IF(ISBLANK(Q330),1,Q330)+IFERROR(_xlfn.XLOOKUP("RECHERCHEX",TRIM(L330:AC330),L330:AC330),0),0))</f>
        <v/>
      </c>
      <c r="AL330" s="1030">
        <f t="shared" si="124"/>
        <v>0</v>
      </c>
      <c r="AM330" s="5254" t="str">
        <f t="shared" si="139"/>
        <v/>
      </c>
      <c r="AN330" s="1031">
        <f t="shared" si="125"/>
        <v>0</v>
      </c>
      <c r="AO330" s="1031">
        <f t="shared" si="126"/>
        <v>0</v>
      </c>
      <c r="AP330" s="1032">
        <f t="shared" si="127"/>
        <v>0</v>
      </c>
      <c r="AQ330" s="5255" t="str">
        <f t="shared" si="128"/>
        <v/>
      </c>
      <c r="AR330" s="1056"/>
      <c r="AS330" s="1056"/>
      <c r="AT330" s="1034">
        <f t="shared" si="129"/>
        <v>0</v>
      </c>
      <c r="AU330" s="1035">
        <f t="shared" si="130"/>
        <v>0</v>
      </c>
      <c r="AV330" s="1057" cm="1">
        <f t="array" ref="AV330">IF(AJ330&lt;&gt;1,0,IF(OR(AT330="",N(AT330)&lt;=0.000000001),"",IF(OR(AN330="",N(AN330)&lt;=0.000000001),0,IF(ISNUMBER(AT330),IFERROR(_xlfn.LET(_xlpm.ai_test,TRIM(AI330),_xlpm.r,IFERROR(_xlfn.XLOOKUP(_xlpm.ai_test,$BI$15:$BI$62,ROW($BI$15:$BI$62),0,1),IFERROR(_xlfn.XLOOKUP(_xlpm.ai_test,$BJ$15:$BJ$62,ROW($BJ$15:$BJ$62),0,1),_xlfn.XLOOKUP(_xlpm.ai_test,$BK$15:$BK$62,ROW($BK$15:$BK$62),0,1))),_xlpm.p,_xlpm.r-MIN(ROW($BI$15:$BI$62))+1,_xlpm.f,INDEX($BL$15:$BL$62,_xlpm.p),_xlpm.u,INDEX($BM$15:$BM$62,_xlpm.p),_xlpm.s,INDEX($BO$15:$BO$62,_xlpm.p),_xlpm.q,N(AT330)/_xlpm.f,IF(_xlpm.q&gt;=_xlpm.s,ROUND(_xlpm.q,1)&amp;" "&amp;_xlpm.ai_test&amp;" = "&amp;ROUND(_xlpm.q*_xlpm.f,1)&amp;" "&amp;_xlpm.u,ROUND(_xlpm.q,1)&amp;" "&amp;_xlpm.ai_test)),""),""))))</f>
        <v>0</v>
      </c>
      <c r="AW330" s="1047"/>
      <c r="AX330" s="1034">
        <f t="shared" si="131"/>
        <v>0</v>
      </c>
      <c r="AY330" s="1035" t="str">
        <f t="shared" si="132"/>
        <v/>
      </c>
      <c r="AZ330" s="1036">
        <f t="shared" si="137"/>
        <v>0</v>
      </c>
      <c r="BA330" s="1037" t="str">
        <f t="shared" si="133"/>
        <v/>
      </c>
      <c r="BB330" s="1038"/>
      <c r="BC330" s="1039">
        <f t="shared" si="138"/>
        <v>0</v>
      </c>
      <c r="BD330" s="1040" t="str">
        <f t="shared" si="134"/>
        <v/>
      </c>
      <c r="BE330" s="227" t="s">
        <v>22</v>
      </c>
      <c r="BF330" s="1019">
        <f t="shared" si="135"/>
        <v>0</v>
      </c>
      <c r="BG330" s="1020">
        <f t="shared" si="136"/>
        <v>0</v>
      </c>
      <c r="BH330"/>
      <c r="BI330" s="709"/>
      <c r="BJ330" s="709"/>
      <c r="BK330" s="709"/>
      <c r="BL330" s="709"/>
      <c r="BM330" s="709"/>
      <c r="BN330" s="709"/>
      <c r="BO330" s="709"/>
      <c r="BP330" s="709"/>
      <c r="BW330" s="959" t="str">
        <f t="shared" si="141"/>
        <v>►</v>
      </c>
      <c r="BX330" s="856"/>
      <c r="BY330" s="856"/>
      <c r="BZ330" s="856"/>
      <c r="CA330" s="856"/>
      <c r="CB330" s="856"/>
      <c r="CC330" s="856"/>
      <c r="CK330" s="856"/>
      <c r="CS330" s="856"/>
      <c r="DA330" s="856"/>
      <c r="DB330" s="3">
        <v>1</v>
      </c>
    </row>
    <row r="331" spans="12:106" ht="21" customHeight="1">
      <c r="L331" s="104" t="s">
        <v>16</v>
      </c>
      <c r="M331" s="1172"/>
      <c r="N331" s="1172"/>
      <c r="O331" s="1172"/>
      <c r="P331" s="1173"/>
      <c r="Q331" s="1174"/>
      <c r="R331" s="1175"/>
      <c r="S331" s="1176"/>
      <c r="T331" s="1177"/>
      <c r="U331" s="5248"/>
      <c r="V331" s="1177"/>
      <c r="W331" s="5249"/>
      <c r="X331" s="5208"/>
      <c r="Y331" s="5209"/>
      <c r="Z331" s="5210"/>
      <c r="AA331" s="5211"/>
      <c r="AB331" s="1178"/>
      <c r="AC331" s="1179"/>
      <c r="AD331" s="227" t="s">
        <v>22</v>
      </c>
      <c r="AE331" s="1027" t="str">
        <f t="shared" si="118"/>
        <v>►</v>
      </c>
      <c r="AF331" s="1028" t="str">
        <f t="shared" si="119"/>
        <v/>
      </c>
      <c r="AG331" s="1029" t="str">
        <f t="shared" si="120"/>
        <v/>
      </c>
      <c r="AH331" s="1028" t="str">
        <f t="shared" si="121"/>
        <v/>
      </c>
      <c r="AI331" s="1029" t="str">
        <f t="shared" si="122"/>
        <v/>
      </c>
      <c r="AJ331" s="1029">
        <f t="shared" si="123"/>
        <v>0</v>
      </c>
      <c r="AK331" s="1043" t="str" cm="1">
        <f t="array" ref="AK331">IF(AE331&lt;&gt;"A","",IFERROR((IFERROR(_xlfn.XLOOKUP(TRIM(SUBSTITUTE(U331,CHAR(160)," ")),$BI$15:$BI$62,$BL$15:$BL$62),IFERROR(_xlfn.XLOOKUP(TRIM(SUBSTITUTE(U331,CHAR(160)," ")),$BJ$15:$BJ$62,$BL$15:$BL$62),_xlfn.XLOOKUP(TRIM(SUBSTITUTE(U331,CHAR(160)," ")),$BK$15:$BK$62,$BL$15:$BL$62))))*T331*IF(ISBLANK(Q331),1,Q331)+IFERROR(_xlfn.XLOOKUP("RECHERCHEX",TRIM(L331:AC331),L331:AC331),0),0))</f>
        <v/>
      </c>
      <c r="AL331" s="1030">
        <f t="shared" si="124"/>
        <v>0</v>
      </c>
      <c r="AM331" s="5254" t="str">
        <f t="shared" si="139"/>
        <v/>
      </c>
      <c r="AN331" s="1031">
        <f t="shared" si="125"/>
        <v>0</v>
      </c>
      <c r="AO331" s="1031">
        <f t="shared" si="126"/>
        <v>0</v>
      </c>
      <c r="AP331" s="1044">
        <f t="shared" si="127"/>
        <v>0</v>
      </c>
      <c r="AQ331" s="5257" t="str">
        <f t="shared" si="128"/>
        <v/>
      </c>
      <c r="AR331" s="1056"/>
      <c r="AS331" s="1056"/>
      <c r="AT331" s="1045">
        <f t="shared" si="129"/>
        <v>0</v>
      </c>
      <c r="AU331" s="1046">
        <f t="shared" si="130"/>
        <v>0</v>
      </c>
      <c r="AV331" s="1059" cm="1">
        <f t="array" ref="AV331">IF(AJ331&lt;&gt;1,0,IF(OR(AT331="",N(AT331)&lt;=0.000000001),"",IF(OR(AN331="",N(AN331)&lt;=0.000000001),0,IF(ISNUMBER(AT331),IFERROR(_xlfn.LET(_xlpm.ai_test,TRIM(AI331),_xlpm.r,IFERROR(_xlfn.XLOOKUP(_xlpm.ai_test,$BI$15:$BI$62,ROW($BI$15:$BI$62),0,1),IFERROR(_xlfn.XLOOKUP(_xlpm.ai_test,$BJ$15:$BJ$62,ROW($BJ$15:$BJ$62),0,1),_xlfn.XLOOKUP(_xlpm.ai_test,$BK$15:$BK$62,ROW($BK$15:$BK$62),0,1))),_xlpm.p,_xlpm.r-MIN(ROW($BI$15:$BI$62))+1,_xlpm.f,INDEX($BL$15:$BL$62,_xlpm.p),_xlpm.u,INDEX($BM$15:$BM$62,_xlpm.p),_xlpm.s,INDEX($BO$15:$BO$62,_xlpm.p),_xlpm.q,N(AT331)/_xlpm.f,IF(_xlpm.q&gt;=_xlpm.s,ROUND(_xlpm.q,1)&amp;" "&amp;_xlpm.ai_test&amp;" = "&amp;ROUND(_xlpm.q*_xlpm.f,1)&amp;" "&amp;_xlpm.u,ROUND(_xlpm.q,1)&amp;" "&amp;_xlpm.ai_test)),""),""))))</f>
        <v>0</v>
      </c>
      <c r="AW331" s="1047"/>
      <c r="AX331" s="1045">
        <f t="shared" si="131"/>
        <v>0</v>
      </c>
      <c r="AY331" s="1046" t="str">
        <f t="shared" si="132"/>
        <v/>
      </c>
      <c r="AZ331" s="1048">
        <f t="shared" si="137"/>
        <v>0</v>
      </c>
      <c r="BA331" s="1049" t="str">
        <f t="shared" si="133"/>
        <v/>
      </c>
      <c r="BB331" s="1038"/>
      <c r="BC331" s="1050">
        <f t="shared" si="138"/>
        <v>0</v>
      </c>
      <c r="BD331" s="1040" t="str">
        <f t="shared" si="134"/>
        <v/>
      </c>
      <c r="BE331" s="227" t="s">
        <v>22</v>
      </c>
      <c r="BF331" s="1019">
        <f t="shared" si="135"/>
        <v>0</v>
      </c>
      <c r="BG331" s="1020">
        <f t="shared" si="136"/>
        <v>0</v>
      </c>
      <c r="BH331"/>
      <c r="BI331" s="709"/>
      <c r="BJ331" s="709"/>
      <c r="BK331" s="709"/>
      <c r="BL331" s="709"/>
      <c r="BM331" s="709"/>
      <c r="BN331" s="709"/>
      <c r="BO331" s="709"/>
      <c r="BP331" s="709"/>
      <c r="BW331" s="959" t="str">
        <f t="shared" si="141"/>
        <v>►</v>
      </c>
      <c r="BX331" s="856"/>
      <c r="BY331" s="856"/>
      <c r="BZ331" s="856"/>
      <c r="CA331" s="856"/>
      <c r="CB331" s="856"/>
      <c r="CC331" s="856"/>
      <c r="CK331" s="856"/>
      <c r="CS331" s="856"/>
      <c r="DA331" s="856"/>
      <c r="DB331" s="3">
        <v>1</v>
      </c>
    </row>
    <row r="332" spans="12:106" ht="21" customHeight="1">
      <c r="L332" s="104" t="s">
        <v>16</v>
      </c>
      <c r="M332" s="1172"/>
      <c r="N332" s="1172"/>
      <c r="O332" s="1172"/>
      <c r="P332" s="1173"/>
      <c r="Q332" s="1174"/>
      <c r="R332" s="1175"/>
      <c r="S332" s="1176"/>
      <c r="T332" s="1177"/>
      <c r="U332" s="5248"/>
      <c r="V332" s="1177"/>
      <c r="W332" s="5249"/>
      <c r="X332" s="5208"/>
      <c r="Y332" s="5209"/>
      <c r="Z332" s="5210"/>
      <c r="AA332" s="5211"/>
      <c r="AB332" s="1178"/>
      <c r="AC332" s="1179"/>
      <c r="AD332" s="227" t="s">
        <v>22</v>
      </c>
      <c r="AE332" s="1027" t="str">
        <f t="shared" si="118"/>
        <v>►</v>
      </c>
      <c r="AF332" s="1028" t="str">
        <f t="shared" si="119"/>
        <v/>
      </c>
      <c r="AG332" s="1029" t="str">
        <f t="shared" si="120"/>
        <v/>
      </c>
      <c r="AH332" s="1028" t="str">
        <f t="shared" si="121"/>
        <v/>
      </c>
      <c r="AI332" s="1029" t="str">
        <f t="shared" si="122"/>
        <v/>
      </c>
      <c r="AJ332" s="1029">
        <f t="shared" si="123"/>
        <v>0</v>
      </c>
      <c r="AK332" s="1043" t="str" cm="1">
        <f t="array" ref="AK332">IF(AE332&lt;&gt;"A","",IFERROR((IFERROR(_xlfn.XLOOKUP(TRIM(SUBSTITUTE(U332,CHAR(160)," ")),$BI$15:$BI$62,$BL$15:$BL$62),IFERROR(_xlfn.XLOOKUP(TRIM(SUBSTITUTE(U332,CHAR(160)," ")),$BJ$15:$BJ$62,$BL$15:$BL$62),_xlfn.XLOOKUP(TRIM(SUBSTITUTE(U332,CHAR(160)," ")),$BK$15:$BK$62,$BL$15:$BL$62))))*T332*IF(ISBLANK(Q332),1,Q332)+IFERROR(_xlfn.XLOOKUP("RECHERCHEX",TRIM(L332:AC332),L332:AC332),0),0))</f>
        <v/>
      </c>
      <c r="AL332" s="1030">
        <f t="shared" si="124"/>
        <v>0</v>
      </c>
      <c r="AM332" s="5254" t="str">
        <f t="shared" si="139"/>
        <v/>
      </c>
      <c r="AN332" s="1031">
        <f t="shared" si="125"/>
        <v>0</v>
      </c>
      <c r="AO332" s="1031">
        <f t="shared" si="126"/>
        <v>0</v>
      </c>
      <c r="AP332" s="1032">
        <f t="shared" si="127"/>
        <v>0</v>
      </c>
      <c r="AQ332" s="5255" t="str">
        <f t="shared" si="128"/>
        <v/>
      </c>
      <c r="AR332" s="1056"/>
      <c r="AS332" s="1056"/>
      <c r="AT332" s="1034">
        <f t="shared" si="129"/>
        <v>0</v>
      </c>
      <c r="AU332" s="1035">
        <f t="shared" si="130"/>
        <v>0</v>
      </c>
      <c r="AV332" s="1057" cm="1">
        <f t="array" ref="AV332">IF(AJ332&lt;&gt;1,0,IF(OR(AT332="",N(AT332)&lt;=0.000000001),"",IF(OR(AN332="",N(AN332)&lt;=0.000000001),0,IF(ISNUMBER(AT332),IFERROR(_xlfn.LET(_xlpm.ai_test,TRIM(AI332),_xlpm.r,IFERROR(_xlfn.XLOOKUP(_xlpm.ai_test,$BI$15:$BI$62,ROW($BI$15:$BI$62),0,1),IFERROR(_xlfn.XLOOKUP(_xlpm.ai_test,$BJ$15:$BJ$62,ROW($BJ$15:$BJ$62),0,1),_xlfn.XLOOKUP(_xlpm.ai_test,$BK$15:$BK$62,ROW($BK$15:$BK$62),0,1))),_xlpm.p,_xlpm.r-MIN(ROW($BI$15:$BI$62))+1,_xlpm.f,INDEX($BL$15:$BL$62,_xlpm.p),_xlpm.u,INDEX($BM$15:$BM$62,_xlpm.p),_xlpm.s,INDEX($BO$15:$BO$62,_xlpm.p),_xlpm.q,N(AT332)/_xlpm.f,IF(_xlpm.q&gt;=_xlpm.s,ROUND(_xlpm.q,1)&amp;" "&amp;_xlpm.ai_test&amp;" = "&amp;ROUND(_xlpm.q*_xlpm.f,1)&amp;" "&amp;_xlpm.u,ROUND(_xlpm.q,1)&amp;" "&amp;_xlpm.ai_test)),""),""))))</f>
        <v>0</v>
      </c>
      <c r="AW332" s="1047"/>
      <c r="AX332" s="1034">
        <f t="shared" si="131"/>
        <v>0</v>
      </c>
      <c r="AY332" s="1035" t="str">
        <f t="shared" si="132"/>
        <v/>
      </c>
      <c r="AZ332" s="1036">
        <f t="shared" si="137"/>
        <v>0</v>
      </c>
      <c r="BA332" s="1037" t="str">
        <f t="shared" si="133"/>
        <v/>
      </c>
      <c r="BB332" s="1038"/>
      <c r="BC332" s="1039">
        <f t="shared" si="138"/>
        <v>0</v>
      </c>
      <c r="BD332" s="1040" t="str">
        <f t="shared" si="134"/>
        <v/>
      </c>
      <c r="BE332" s="227" t="s">
        <v>22</v>
      </c>
      <c r="BF332" s="1019">
        <f t="shared" si="135"/>
        <v>0</v>
      </c>
      <c r="BG332" s="1020">
        <f t="shared" si="136"/>
        <v>0</v>
      </c>
      <c r="BH332"/>
      <c r="BI332" s="709"/>
      <c r="BJ332" s="709"/>
      <c r="BK332" s="709"/>
      <c r="BL332" s="709"/>
      <c r="BM332" s="709"/>
      <c r="BN332" s="709"/>
      <c r="BO332" s="709"/>
      <c r="BP332" s="709"/>
      <c r="BW332" s="959" t="str">
        <f t="shared" si="141"/>
        <v>►</v>
      </c>
      <c r="BX332" s="856"/>
      <c r="BY332" s="856"/>
      <c r="BZ332" s="856"/>
      <c r="CA332" s="856"/>
      <c r="CB332" s="856"/>
      <c r="CC332" s="856"/>
      <c r="DB332" s="3">
        <v>1</v>
      </c>
    </row>
    <row r="333" spans="12:106" ht="21" customHeight="1">
      <c r="L333" s="104" t="s">
        <v>16</v>
      </c>
      <c r="M333" s="1172"/>
      <c r="N333" s="1172"/>
      <c r="O333" s="1172"/>
      <c r="P333" s="1173"/>
      <c r="Q333" s="1174"/>
      <c r="R333" s="1175"/>
      <c r="S333" s="1176"/>
      <c r="T333" s="1177"/>
      <c r="U333" s="5248"/>
      <c r="V333" s="1177"/>
      <c r="W333" s="5249"/>
      <c r="X333" s="5208"/>
      <c r="Y333" s="5209"/>
      <c r="Z333" s="5210"/>
      <c r="AA333" s="5211"/>
      <c r="AB333" s="1178"/>
      <c r="AC333" s="1179"/>
      <c r="AD333" s="227" t="s">
        <v>22</v>
      </c>
      <c r="AE333" s="1027" t="str">
        <f t="shared" si="118"/>
        <v>►</v>
      </c>
      <c r="AF333" s="1028" t="str">
        <f t="shared" si="119"/>
        <v/>
      </c>
      <c r="AG333" s="1029" t="str">
        <f t="shared" si="120"/>
        <v/>
      </c>
      <c r="AH333" s="1028" t="str">
        <f t="shared" si="121"/>
        <v/>
      </c>
      <c r="AI333" s="1029" t="str">
        <f t="shared" si="122"/>
        <v/>
      </c>
      <c r="AJ333" s="1029">
        <f t="shared" si="123"/>
        <v>0</v>
      </c>
      <c r="AK333" s="1043" t="str" cm="1">
        <f t="array" ref="AK333">IF(AE333&lt;&gt;"A","",IFERROR((IFERROR(_xlfn.XLOOKUP(TRIM(SUBSTITUTE(U333,CHAR(160)," ")),$BI$15:$BI$62,$BL$15:$BL$62),IFERROR(_xlfn.XLOOKUP(TRIM(SUBSTITUTE(U333,CHAR(160)," ")),$BJ$15:$BJ$62,$BL$15:$BL$62),_xlfn.XLOOKUP(TRIM(SUBSTITUTE(U333,CHAR(160)," ")),$BK$15:$BK$62,$BL$15:$BL$62))))*T333*IF(ISBLANK(Q333),1,Q333)+IFERROR(_xlfn.XLOOKUP("RECHERCHEX",TRIM(L333:AC333),L333:AC333),0),0))</f>
        <v/>
      </c>
      <c r="AL333" s="1030">
        <f t="shared" si="124"/>
        <v>0</v>
      </c>
      <c r="AM333" s="5254" t="str">
        <f t="shared" si="139"/>
        <v/>
      </c>
      <c r="AN333" s="1031">
        <f t="shared" si="125"/>
        <v>0</v>
      </c>
      <c r="AO333" s="1031">
        <f t="shared" si="126"/>
        <v>0</v>
      </c>
      <c r="AP333" s="1044">
        <f t="shared" si="127"/>
        <v>0</v>
      </c>
      <c r="AQ333" s="5257" t="str">
        <f t="shared" si="128"/>
        <v/>
      </c>
      <c r="AR333" s="1056"/>
      <c r="AS333" s="1056"/>
      <c r="AT333" s="1045">
        <f t="shared" si="129"/>
        <v>0</v>
      </c>
      <c r="AU333" s="1046">
        <f t="shared" si="130"/>
        <v>0</v>
      </c>
      <c r="AV333" s="1059" cm="1">
        <f t="array" ref="AV333">IF(AJ333&lt;&gt;1,0,IF(OR(AT333="",N(AT333)&lt;=0.000000001),"",IF(OR(AN333="",N(AN333)&lt;=0.000000001),0,IF(ISNUMBER(AT333),IFERROR(_xlfn.LET(_xlpm.ai_test,TRIM(AI333),_xlpm.r,IFERROR(_xlfn.XLOOKUP(_xlpm.ai_test,$BI$15:$BI$62,ROW($BI$15:$BI$62),0,1),IFERROR(_xlfn.XLOOKUP(_xlpm.ai_test,$BJ$15:$BJ$62,ROW($BJ$15:$BJ$62),0,1),_xlfn.XLOOKUP(_xlpm.ai_test,$BK$15:$BK$62,ROW($BK$15:$BK$62),0,1))),_xlpm.p,_xlpm.r-MIN(ROW($BI$15:$BI$62))+1,_xlpm.f,INDEX($BL$15:$BL$62,_xlpm.p),_xlpm.u,INDEX($BM$15:$BM$62,_xlpm.p),_xlpm.s,INDEX($BO$15:$BO$62,_xlpm.p),_xlpm.q,N(AT333)/_xlpm.f,IF(_xlpm.q&gt;=_xlpm.s,ROUND(_xlpm.q,1)&amp;" "&amp;_xlpm.ai_test&amp;" = "&amp;ROUND(_xlpm.q*_xlpm.f,1)&amp;" "&amp;_xlpm.u,ROUND(_xlpm.q,1)&amp;" "&amp;_xlpm.ai_test)),""),""))))</f>
        <v>0</v>
      </c>
      <c r="AW333" s="1047"/>
      <c r="AX333" s="1045">
        <f t="shared" si="131"/>
        <v>0</v>
      </c>
      <c r="AY333" s="1046" t="str">
        <f t="shared" si="132"/>
        <v/>
      </c>
      <c r="AZ333" s="1048">
        <f t="shared" si="137"/>
        <v>0</v>
      </c>
      <c r="BA333" s="1049" t="str">
        <f t="shared" si="133"/>
        <v/>
      </c>
      <c r="BB333" s="1038"/>
      <c r="BC333" s="1050">
        <f t="shared" si="138"/>
        <v>0</v>
      </c>
      <c r="BD333" s="1040" t="str">
        <f t="shared" si="134"/>
        <v/>
      </c>
      <c r="BE333" s="227" t="s">
        <v>22</v>
      </c>
      <c r="BF333" s="1019">
        <f t="shared" si="135"/>
        <v>0</v>
      </c>
      <c r="BG333" s="1020">
        <f t="shared" si="136"/>
        <v>0</v>
      </c>
      <c r="BH333"/>
      <c r="BI333" s="709"/>
      <c r="BJ333" s="709"/>
      <c r="BK333" s="709"/>
      <c r="BL333" s="709"/>
      <c r="BM333" s="709"/>
      <c r="BN333" s="709"/>
      <c r="BO333" s="709"/>
      <c r="BP333" s="709"/>
      <c r="BW333" s="959" t="str">
        <f t="shared" si="141"/>
        <v>►</v>
      </c>
      <c r="BX333" s="856"/>
      <c r="BY333" s="856"/>
      <c r="BZ333" s="856"/>
      <c r="CA333" s="856"/>
      <c r="CB333" s="856"/>
      <c r="DB333" s="3">
        <v>1</v>
      </c>
    </row>
    <row r="334" spans="12:106" ht="21" customHeight="1">
      <c r="L334" s="104" t="s">
        <v>16</v>
      </c>
      <c r="M334" s="1172"/>
      <c r="N334" s="1172"/>
      <c r="O334" s="1172"/>
      <c r="P334" s="1173"/>
      <c r="Q334" s="1174"/>
      <c r="R334" s="1175"/>
      <c r="S334" s="1176"/>
      <c r="T334" s="1177"/>
      <c r="U334" s="5248"/>
      <c r="V334" s="1177"/>
      <c r="W334" s="5249"/>
      <c r="X334" s="5208"/>
      <c r="Y334" s="5209"/>
      <c r="Z334" s="5210"/>
      <c r="AA334" s="5211"/>
      <c r="AB334" s="1178"/>
      <c r="AC334" s="1179"/>
      <c r="AD334" s="227" t="s">
        <v>22</v>
      </c>
      <c r="AE334" s="1027" t="str">
        <f t="shared" si="118"/>
        <v>►</v>
      </c>
      <c r="AF334" s="1028" t="str">
        <f t="shared" si="119"/>
        <v/>
      </c>
      <c r="AG334" s="1029" t="str">
        <f t="shared" si="120"/>
        <v/>
      </c>
      <c r="AH334" s="1028" t="str">
        <f t="shared" si="121"/>
        <v/>
      </c>
      <c r="AI334" s="1029" t="str">
        <f t="shared" si="122"/>
        <v/>
      </c>
      <c r="AJ334" s="1029">
        <f t="shared" si="123"/>
        <v>0</v>
      </c>
      <c r="AK334" s="1043" t="str" cm="1">
        <f t="array" ref="AK334">IF(AE334&lt;&gt;"A","",IFERROR((IFERROR(_xlfn.XLOOKUP(TRIM(SUBSTITUTE(U334,CHAR(160)," ")),$BI$15:$BI$62,$BL$15:$BL$62),IFERROR(_xlfn.XLOOKUP(TRIM(SUBSTITUTE(U334,CHAR(160)," ")),$BJ$15:$BJ$62,$BL$15:$BL$62),_xlfn.XLOOKUP(TRIM(SUBSTITUTE(U334,CHAR(160)," ")),$BK$15:$BK$62,$BL$15:$BL$62))))*T334*IF(ISBLANK(Q334),1,Q334)+IFERROR(_xlfn.XLOOKUP("RECHERCHEX",TRIM(L334:AC334),L334:AC334),0),0))</f>
        <v/>
      </c>
      <c r="AL334" s="1030">
        <f t="shared" si="124"/>
        <v>0</v>
      </c>
      <c r="AM334" s="5254" t="str">
        <f t="shared" si="139"/>
        <v/>
      </c>
      <c r="AN334" s="1031">
        <f t="shared" si="125"/>
        <v>0</v>
      </c>
      <c r="AO334" s="1031">
        <f t="shared" si="126"/>
        <v>0</v>
      </c>
      <c r="AP334" s="1032">
        <f t="shared" si="127"/>
        <v>0</v>
      </c>
      <c r="AQ334" s="5255" t="str">
        <f t="shared" si="128"/>
        <v/>
      </c>
      <c r="AR334" s="1056"/>
      <c r="AS334" s="1056"/>
      <c r="AT334" s="1034">
        <f t="shared" si="129"/>
        <v>0</v>
      </c>
      <c r="AU334" s="1035">
        <f t="shared" si="130"/>
        <v>0</v>
      </c>
      <c r="AV334" s="1057" cm="1">
        <f t="array" ref="AV334">IF(AJ334&lt;&gt;1,0,IF(OR(AT334="",N(AT334)&lt;=0.000000001),"",IF(OR(AN334="",N(AN334)&lt;=0.000000001),0,IF(ISNUMBER(AT334),IFERROR(_xlfn.LET(_xlpm.ai_test,TRIM(AI334),_xlpm.r,IFERROR(_xlfn.XLOOKUP(_xlpm.ai_test,$BI$15:$BI$62,ROW($BI$15:$BI$62),0,1),IFERROR(_xlfn.XLOOKUP(_xlpm.ai_test,$BJ$15:$BJ$62,ROW($BJ$15:$BJ$62),0,1),_xlfn.XLOOKUP(_xlpm.ai_test,$BK$15:$BK$62,ROW($BK$15:$BK$62),0,1))),_xlpm.p,_xlpm.r-MIN(ROW($BI$15:$BI$62))+1,_xlpm.f,INDEX($BL$15:$BL$62,_xlpm.p),_xlpm.u,INDEX($BM$15:$BM$62,_xlpm.p),_xlpm.s,INDEX($BO$15:$BO$62,_xlpm.p),_xlpm.q,N(AT334)/_xlpm.f,IF(_xlpm.q&gt;=_xlpm.s,ROUND(_xlpm.q,1)&amp;" "&amp;_xlpm.ai_test&amp;" = "&amp;ROUND(_xlpm.q*_xlpm.f,1)&amp;" "&amp;_xlpm.u,ROUND(_xlpm.q,1)&amp;" "&amp;_xlpm.ai_test)),""),""))))</f>
        <v>0</v>
      </c>
      <c r="AW334" s="1047"/>
      <c r="AX334" s="1034">
        <f t="shared" si="131"/>
        <v>0</v>
      </c>
      <c r="AY334" s="1035" t="str">
        <f t="shared" si="132"/>
        <v/>
      </c>
      <c r="AZ334" s="1036">
        <f t="shared" si="137"/>
        <v>0</v>
      </c>
      <c r="BA334" s="1037" t="str">
        <f t="shared" si="133"/>
        <v/>
      </c>
      <c r="BB334" s="1038"/>
      <c r="BC334" s="1039">
        <f t="shared" si="138"/>
        <v>0</v>
      </c>
      <c r="BD334" s="1040" t="str">
        <f t="shared" si="134"/>
        <v/>
      </c>
      <c r="BE334" s="227" t="s">
        <v>22</v>
      </c>
      <c r="BF334" s="1019">
        <f t="shared" si="135"/>
        <v>0</v>
      </c>
      <c r="BG334" s="1020">
        <f t="shared" si="136"/>
        <v>0</v>
      </c>
      <c r="BH334"/>
      <c r="BI334" s="709"/>
      <c r="BJ334" s="709"/>
      <c r="BK334" s="709"/>
      <c r="BL334" s="709"/>
      <c r="BM334" s="709"/>
      <c r="BN334" s="709"/>
      <c r="BO334" s="709"/>
      <c r="BP334" s="709"/>
      <c r="BW334" s="959" t="str">
        <f t="shared" si="141"/>
        <v>►</v>
      </c>
      <c r="BX334" s="856"/>
      <c r="BY334" s="856"/>
      <c r="BZ334" s="856"/>
      <c r="CA334" s="856"/>
      <c r="CB334" s="856"/>
      <c r="DB334" s="3">
        <v>1</v>
      </c>
    </row>
    <row r="335" spans="12:106" ht="21" customHeight="1">
      <c r="L335" s="104" t="s">
        <v>16</v>
      </c>
      <c r="M335" s="1172"/>
      <c r="N335" s="1172"/>
      <c r="O335" s="1172"/>
      <c r="P335" s="1173"/>
      <c r="Q335" s="1174"/>
      <c r="R335" s="1175"/>
      <c r="S335" s="1176"/>
      <c r="T335" s="1177"/>
      <c r="U335" s="5248"/>
      <c r="V335" s="1177"/>
      <c r="W335" s="5249"/>
      <c r="X335" s="5208"/>
      <c r="Y335" s="5209"/>
      <c r="Z335" s="5210"/>
      <c r="AA335" s="5211"/>
      <c r="AB335" s="1178"/>
      <c r="AC335" s="1179"/>
      <c r="AD335" s="227" t="s">
        <v>22</v>
      </c>
      <c r="AE335" s="1027" t="str">
        <f t="shared" si="118"/>
        <v>►</v>
      </c>
      <c r="AF335" s="1028" t="str">
        <f t="shared" si="119"/>
        <v/>
      </c>
      <c r="AG335" s="1029" t="str">
        <f t="shared" si="120"/>
        <v/>
      </c>
      <c r="AH335" s="1028" t="str">
        <f t="shared" si="121"/>
        <v/>
      </c>
      <c r="AI335" s="1029" t="str">
        <f t="shared" si="122"/>
        <v/>
      </c>
      <c r="AJ335" s="1029">
        <f t="shared" si="123"/>
        <v>0</v>
      </c>
      <c r="AK335" s="1043" t="str" cm="1">
        <f t="array" ref="AK335">IF(AE335&lt;&gt;"A","",IFERROR((IFERROR(_xlfn.XLOOKUP(TRIM(SUBSTITUTE(U335,CHAR(160)," ")),$BI$15:$BI$62,$BL$15:$BL$62),IFERROR(_xlfn.XLOOKUP(TRIM(SUBSTITUTE(U335,CHAR(160)," ")),$BJ$15:$BJ$62,$BL$15:$BL$62),_xlfn.XLOOKUP(TRIM(SUBSTITUTE(U335,CHAR(160)," ")),$BK$15:$BK$62,$BL$15:$BL$62))))*T335*IF(ISBLANK(Q335),1,Q335)+IFERROR(_xlfn.XLOOKUP("RECHERCHEX",TRIM(L335:AC335),L335:AC335),0),0))</f>
        <v/>
      </c>
      <c r="AL335" s="1030">
        <f t="shared" si="124"/>
        <v>0</v>
      </c>
      <c r="AM335" s="5254" t="str">
        <f t="shared" si="139"/>
        <v/>
      </c>
      <c r="AN335" s="1031">
        <f t="shared" si="125"/>
        <v>0</v>
      </c>
      <c r="AO335" s="1031">
        <f t="shared" si="126"/>
        <v>0</v>
      </c>
      <c r="AP335" s="1044">
        <f t="shared" si="127"/>
        <v>0</v>
      </c>
      <c r="AQ335" s="5257" t="str">
        <f t="shared" si="128"/>
        <v/>
      </c>
      <c r="AR335" s="1056"/>
      <c r="AS335" s="1056"/>
      <c r="AT335" s="1045">
        <f t="shared" si="129"/>
        <v>0</v>
      </c>
      <c r="AU335" s="1046">
        <f t="shared" si="130"/>
        <v>0</v>
      </c>
      <c r="AV335" s="1059" cm="1">
        <f t="array" ref="AV335">IF(AJ335&lt;&gt;1,0,IF(OR(AT335="",N(AT335)&lt;=0.000000001),"",IF(OR(AN335="",N(AN335)&lt;=0.000000001),0,IF(ISNUMBER(AT335),IFERROR(_xlfn.LET(_xlpm.ai_test,TRIM(AI335),_xlpm.r,IFERROR(_xlfn.XLOOKUP(_xlpm.ai_test,$BI$15:$BI$62,ROW($BI$15:$BI$62),0,1),IFERROR(_xlfn.XLOOKUP(_xlpm.ai_test,$BJ$15:$BJ$62,ROW($BJ$15:$BJ$62),0,1),_xlfn.XLOOKUP(_xlpm.ai_test,$BK$15:$BK$62,ROW($BK$15:$BK$62),0,1))),_xlpm.p,_xlpm.r-MIN(ROW($BI$15:$BI$62))+1,_xlpm.f,INDEX($BL$15:$BL$62,_xlpm.p),_xlpm.u,INDEX($BM$15:$BM$62,_xlpm.p),_xlpm.s,INDEX($BO$15:$BO$62,_xlpm.p),_xlpm.q,N(AT335)/_xlpm.f,IF(_xlpm.q&gt;=_xlpm.s,ROUND(_xlpm.q,1)&amp;" "&amp;_xlpm.ai_test&amp;" = "&amp;ROUND(_xlpm.q*_xlpm.f,1)&amp;" "&amp;_xlpm.u,ROUND(_xlpm.q,1)&amp;" "&amp;_xlpm.ai_test)),""),""))))</f>
        <v>0</v>
      </c>
      <c r="AW335" s="1047"/>
      <c r="AX335" s="1045">
        <f t="shared" si="131"/>
        <v>0</v>
      </c>
      <c r="AY335" s="1046" t="str">
        <f t="shared" si="132"/>
        <v/>
      </c>
      <c r="AZ335" s="1048">
        <f t="shared" si="137"/>
        <v>0</v>
      </c>
      <c r="BA335" s="1049" t="str">
        <f t="shared" si="133"/>
        <v/>
      </c>
      <c r="BB335" s="1038"/>
      <c r="BC335" s="1050">
        <f t="shared" si="138"/>
        <v>0</v>
      </c>
      <c r="BD335" s="1040" t="str">
        <f t="shared" si="134"/>
        <v/>
      </c>
      <c r="BE335" s="227" t="s">
        <v>22</v>
      </c>
      <c r="BF335" s="1019">
        <f t="shared" si="135"/>
        <v>0</v>
      </c>
      <c r="BG335" s="1020">
        <f t="shared" si="136"/>
        <v>0</v>
      </c>
      <c r="BH335"/>
      <c r="BI335" s="709"/>
      <c r="BJ335" s="709"/>
      <c r="BK335" s="709"/>
      <c r="BL335" s="709"/>
      <c r="BM335" s="709"/>
      <c r="BN335" s="709"/>
      <c r="BO335" s="709"/>
      <c r="BP335" s="709"/>
      <c r="BW335" s="959" t="str">
        <f t="shared" si="141"/>
        <v>►</v>
      </c>
      <c r="BX335" s="856"/>
      <c r="BY335" s="856"/>
      <c r="BZ335" s="856"/>
      <c r="CA335" s="856"/>
      <c r="CB335" s="856"/>
      <c r="DB335" s="3">
        <v>1</v>
      </c>
    </row>
    <row r="336" spans="12:106" ht="21" customHeight="1">
      <c r="L336" s="104" t="s">
        <v>16</v>
      </c>
      <c r="M336" s="1172"/>
      <c r="N336" s="1172"/>
      <c r="O336" s="1172"/>
      <c r="P336" s="1173"/>
      <c r="Q336" s="1174"/>
      <c r="R336" s="1175"/>
      <c r="S336" s="1176"/>
      <c r="T336" s="1177"/>
      <c r="U336" s="5248"/>
      <c r="V336" s="1177"/>
      <c r="W336" s="5249"/>
      <c r="X336" s="5208"/>
      <c r="Y336" s="5209"/>
      <c r="Z336" s="5210"/>
      <c r="AA336" s="5211"/>
      <c r="AB336" s="1178"/>
      <c r="AC336" s="1179"/>
      <c r="AD336" s="227" t="s">
        <v>22</v>
      </c>
      <c r="AE336" s="1027" t="str">
        <f t="shared" si="118"/>
        <v>►</v>
      </c>
      <c r="AF336" s="1028" t="str">
        <f t="shared" si="119"/>
        <v/>
      </c>
      <c r="AG336" s="1029" t="str">
        <f t="shared" si="120"/>
        <v/>
      </c>
      <c r="AH336" s="1028" t="str">
        <f t="shared" si="121"/>
        <v/>
      </c>
      <c r="AI336" s="1029" t="str">
        <f t="shared" si="122"/>
        <v/>
      </c>
      <c r="AJ336" s="1029">
        <f t="shared" si="123"/>
        <v>0</v>
      </c>
      <c r="AK336" s="1043" t="str" cm="1">
        <f t="array" ref="AK336">IF(AE336&lt;&gt;"A","",IFERROR((IFERROR(_xlfn.XLOOKUP(TRIM(SUBSTITUTE(U336,CHAR(160)," ")),$BI$15:$BI$62,$BL$15:$BL$62),IFERROR(_xlfn.XLOOKUP(TRIM(SUBSTITUTE(U336,CHAR(160)," ")),$BJ$15:$BJ$62,$BL$15:$BL$62),_xlfn.XLOOKUP(TRIM(SUBSTITUTE(U336,CHAR(160)," ")),$BK$15:$BK$62,$BL$15:$BL$62))))*T336*IF(ISBLANK(Q336),1,Q336)+IFERROR(_xlfn.XLOOKUP("RECHERCHEX",TRIM(L336:AC336),L336:AC336),0),0))</f>
        <v/>
      </c>
      <c r="AL336" s="1030">
        <f t="shared" si="124"/>
        <v>0</v>
      </c>
      <c r="AM336" s="5254" t="str">
        <f t="shared" si="139"/>
        <v/>
      </c>
      <c r="AN336" s="1031">
        <f t="shared" si="125"/>
        <v>0</v>
      </c>
      <c r="AO336" s="1031">
        <f t="shared" si="126"/>
        <v>0</v>
      </c>
      <c r="AP336" s="1032">
        <f t="shared" si="127"/>
        <v>0</v>
      </c>
      <c r="AQ336" s="5255" t="str">
        <f t="shared" si="128"/>
        <v/>
      </c>
      <c r="AR336" s="1056"/>
      <c r="AS336" s="1056"/>
      <c r="AT336" s="1034">
        <f t="shared" si="129"/>
        <v>0</v>
      </c>
      <c r="AU336" s="1035">
        <f t="shared" si="130"/>
        <v>0</v>
      </c>
      <c r="AV336" s="1057" cm="1">
        <f t="array" ref="AV336">IF(AJ336&lt;&gt;1,0,IF(OR(AT336="",N(AT336)&lt;=0.000000001),"",IF(OR(AN336="",N(AN336)&lt;=0.000000001),0,IF(ISNUMBER(AT336),IFERROR(_xlfn.LET(_xlpm.ai_test,TRIM(AI336),_xlpm.r,IFERROR(_xlfn.XLOOKUP(_xlpm.ai_test,$BI$15:$BI$62,ROW($BI$15:$BI$62),0,1),IFERROR(_xlfn.XLOOKUP(_xlpm.ai_test,$BJ$15:$BJ$62,ROW($BJ$15:$BJ$62),0,1),_xlfn.XLOOKUP(_xlpm.ai_test,$BK$15:$BK$62,ROW($BK$15:$BK$62),0,1))),_xlpm.p,_xlpm.r-MIN(ROW($BI$15:$BI$62))+1,_xlpm.f,INDEX($BL$15:$BL$62,_xlpm.p),_xlpm.u,INDEX($BM$15:$BM$62,_xlpm.p),_xlpm.s,INDEX($BO$15:$BO$62,_xlpm.p),_xlpm.q,N(AT336)/_xlpm.f,IF(_xlpm.q&gt;=_xlpm.s,ROUND(_xlpm.q,1)&amp;" "&amp;_xlpm.ai_test&amp;" = "&amp;ROUND(_xlpm.q*_xlpm.f,1)&amp;" "&amp;_xlpm.u,ROUND(_xlpm.q,1)&amp;" "&amp;_xlpm.ai_test)),""),""))))</f>
        <v>0</v>
      </c>
      <c r="AW336" s="1047"/>
      <c r="AX336" s="1034">
        <f t="shared" si="131"/>
        <v>0</v>
      </c>
      <c r="AY336" s="1035" t="str">
        <f t="shared" si="132"/>
        <v/>
      </c>
      <c r="AZ336" s="1036">
        <f t="shared" si="137"/>
        <v>0</v>
      </c>
      <c r="BA336" s="1037" t="str">
        <f t="shared" si="133"/>
        <v/>
      </c>
      <c r="BB336" s="1038"/>
      <c r="BC336" s="1039">
        <f t="shared" si="138"/>
        <v>0</v>
      </c>
      <c r="BD336" s="1040" t="str">
        <f t="shared" si="134"/>
        <v/>
      </c>
      <c r="BE336" s="227" t="s">
        <v>22</v>
      </c>
      <c r="BF336" s="1019">
        <f t="shared" si="135"/>
        <v>0</v>
      </c>
      <c r="BG336" s="1020">
        <f t="shared" si="136"/>
        <v>0</v>
      </c>
      <c r="BH336"/>
      <c r="BI336" s="709"/>
      <c r="BJ336" s="709"/>
      <c r="BK336" s="709"/>
      <c r="BL336" s="709"/>
      <c r="BM336" s="709"/>
      <c r="BN336" s="709"/>
      <c r="BO336" s="709"/>
      <c r="BP336" s="709"/>
      <c r="BW336" s="959" t="str">
        <f t="shared" si="141"/>
        <v>►</v>
      </c>
      <c r="BX336" s="856"/>
      <c r="BY336" s="856"/>
      <c r="BZ336" s="856"/>
      <c r="CA336" s="856"/>
      <c r="CB336" s="856"/>
      <c r="DB336" s="3">
        <v>1</v>
      </c>
    </row>
    <row r="337" spans="12:106" ht="21" customHeight="1">
      <c r="L337" s="104" t="s">
        <v>16</v>
      </c>
      <c r="M337" s="1172"/>
      <c r="N337" s="1172"/>
      <c r="O337" s="1172"/>
      <c r="P337" s="1173"/>
      <c r="Q337" s="1174"/>
      <c r="R337" s="1175"/>
      <c r="S337" s="1176"/>
      <c r="T337" s="1177"/>
      <c r="U337" s="5248"/>
      <c r="V337" s="1177"/>
      <c r="W337" s="5249"/>
      <c r="X337" s="5208"/>
      <c r="Y337" s="5209"/>
      <c r="Z337" s="5210"/>
      <c r="AA337" s="5211"/>
      <c r="AB337" s="1178"/>
      <c r="AC337" s="1179"/>
      <c r="AD337" s="227" t="s">
        <v>22</v>
      </c>
      <c r="AE337" s="1027" t="str">
        <f t="shared" si="118"/>
        <v>►</v>
      </c>
      <c r="AF337" s="1028" t="str">
        <f t="shared" si="119"/>
        <v/>
      </c>
      <c r="AG337" s="1029" t="str">
        <f t="shared" si="120"/>
        <v/>
      </c>
      <c r="AH337" s="1028" t="str">
        <f t="shared" si="121"/>
        <v/>
      </c>
      <c r="AI337" s="1029" t="str">
        <f t="shared" si="122"/>
        <v/>
      </c>
      <c r="AJ337" s="1029">
        <f t="shared" si="123"/>
        <v>0</v>
      </c>
      <c r="AK337" s="1043" t="str" cm="1">
        <f t="array" ref="AK337">IF(AE337&lt;&gt;"A","",IFERROR((IFERROR(_xlfn.XLOOKUP(TRIM(SUBSTITUTE(U337,CHAR(160)," ")),$BI$15:$BI$62,$BL$15:$BL$62),IFERROR(_xlfn.XLOOKUP(TRIM(SUBSTITUTE(U337,CHAR(160)," ")),$BJ$15:$BJ$62,$BL$15:$BL$62),_xlfn.XLOOKUP(TRIM(SUBSTITUTE(U337,CHAR(160)," ")),$BK$15:$BK$62,$BL$15:$BL$62))))*T337*IF(ISBLANK(Q337),1,Q337)+IFERROR(_xlfn.XLOOKUP("RECHERCHEX",TRIM(L337:AC337),L337:AC337),0),0))</f>
        <v/>
      </c>
      <c r="AL337" s="1030">
        <f t="shared" si="124"/>
        <v>0</v>
      </c>
      <c r="AM337" s="5254" t="str">
        <f t="shared" si="139"/>
        <v/>
      </c>
      <c r="AN337" s="1031">
        <f t="shared" si="125"/>
        <v>0</v>
      </c>
      <c r="AO337" s="1031">
        <f t="shared" si="126"/>
        <v>0</v>
      </c>
      <c r="AP337" s="1044">
        <f t="shared" si="127"/>
        <v>0</v>
      </c>
      <c r="AQ337" s="5257" t="str">
        <f t="shared" si="128"/>
        <v/>
      </c>
      <c r="AR337" s="1056"/>
      <c r="AS337" s="1056"/>
      <c r="AT337" s="1045">
        <f t="shared" si="129"/>
        <v>0</v>
      </c>
      <c r="AU337" s="1046">
        <f t="shared" si="130"/>
        <v>0</v>
      </c>
      <c r="AV337" s="1059" cm="1">
        <f t="array" ref="AV337">IF(AJ337&lt;&gt;1,0,IF(OR(AT337="",N(AT337)&lt;=0.000000001),"",IF(OR(AN337="",N(AN337)&lt;=0.000000001),0,IF(ISNUMBER(AT337),IFERROR(_xlfn.LET(_xlpm.ai_test,TRIM(AI337),_xlpm.r,IFERROR(_xlfn.XLOOKUP(_xlpm.ai_test,$BI$15:$BI$62,ROW($BI$15:$BI$62),0,1),IFERROR(_xlfn.XLOOKUP(_xlpm.ai_test,$BJ$15:$BJ$62,ROW($BJ$15:$BJ$62),0,1),_xlfn.XLOOKUP(_xlpm.ai_test,$BK$15:$BK$62,ROW($BK$15:$BK$62),0,1))),_xlpm.p,_xlpm.r-MIN(ROW($BI$15:$BI$62))+1,_xlpm.f,INDEX($BL$15:$BL$62,_xlpm.p),_xlpm.u,INDEX($BM$15:$BM$62,_xlpm.p),_xlpm.s,INDEX($BO$15:$BO$62,_xlpm.p),_xlpm.q,N(AT337)/_xlpm.f,IF(_xlpm.q&gt;=_xlpm.s,ROUND(_xlpm.q,1)&amp;" "&amp;_xlpm.ai_test&amp;" = "&amp;ROUND(_xlpm.q*_xlpm.f,1)&amp;" "&amp;_xlpm.u,ROUND(_xlpm.q,1)&amp;" "&amp;_xlpm.ai_test)),""),""))))</f>
        <v>0</v>
      </c>
      <c r="AW337" s="1047"/>
      <c r="AX337" s="1045">
        <f t="shared" si="131"/>
        <v>0</v>
      </c>
      <c r="AY337" s="1046" t="str">
        <f t="shared" si="132"/>
        <v/>
      </c>
      <c r="AZ337" s="1048">
        <f t="shared" si="137"/>
        <v>0</v>
      </c>
      <c r="BA337" s="1049" t="str">
        <f t="shared" si="133"/>
        <v/>
      </c>
      <c r="BB337" s="1038"/>
      <c r="BC337" s="1050">
        <f t="shared" si="138"/>
        <v>0</v>
      </c>
      <c r="BD337" s="1040" t="str">
        <f t="shared" si="134"/>
        <v/>
      </c>
      <c r="BE337" s="227" t="s">
        <v>22</v>
      </c>
      <c r="BF337" s="1019">
        <f t="shared" si="135"/>
        <v>0</v>
      </c>
      <c r="BG337" s="1020">
        <f t="shared" si="136"/>
        <v>0</v>
      </c>
      <c r="BH337"/>
      <c r="BI337" s="709"/>
      <c r="BJ337" s="709"/>
      <c r="BK337" s="709"/>
      <c r="BL337" s="709"/>
      <c r="BM337" s="709"/>
      <c r="BN337" s="709"/>
      <c r="BO337" s="709"/>
      <c r="BP337" s="709"/>
      <c r="BW337" s="959" t="str">
        <f t="shared" si="141"/>
        <v>►</v>
      </c>
      <c r="BX337" s="856"/>
      <c r="BY337" s="856"/>
      <c r="BZ337" s="856"/>
      <c r="CA337" s="856"/>
      <c r="CB337" s="856"/>
      <c r="DB337" s="3">
        <v>1</v>
      </c>
    </row>
    <row r="338" spans="12:106" ht="21" customHeight="1">
      <c r="L338" s="104" t="s">
        <v>16</v>
      </c>
      <c r="M338" s="1172"/>
      <c r="N338" s="1172"/>
      <c r="O338" s="1172"/>
      <c r="P338" s="1173"/>
      <c r="Q338" s="1174"/>
      <c r="R338" s="1175"/>
      <c r="S338" s="1176"/>
      <c r="T338" s="1177"/>
      <c r="U338" s="5248"/>
      <c r="V338" s="1177"/>
      <c r="W338" s="5249"/>
      <c r="X338" s="5208"/>
      <c r="Y338" s="5209"/>
      <c r="Z338" s="5210"/>
      <c r="AA338" s="5211"/>
      <c r="AB338" s="1178"/>
      <c r="AC338" s="1179"/>
      <c r="AD338" s="227" t="s">
        <v>22</v>
      </c>
      <c r="AE338" s="1027" t="str">
        <f t="shared" si="118"/>
        <v>►</v>
      </c>
      <c r="AF338" s="1028" t="str">
        <f t="shared" si="119"/>
        <v/>
      </c>
      <c r="AG338" s="1029" t="str">
        <f t="shared" si="120"/>
        <v/>
      </c>
      <c r="AH338" s="1028" t="str">
        <f t="shared" si="121"/>
        <v/>
      </c>
      <c r="AI338" s="1029" t="str">
        <f t="shared" si="122"/>
        <v/>
      </c>
      <c r="AJ338" s="1029">
        <f t="shared" si="123"/>
        <v>0</v>
      </c>
      <c r="AK338" s="1043" t="str" cm="1">
        <f t="array" ref="AK338">IF(AE338&lt;&gt;"A","",IFERROR((IFERROR(_xlfn.XLOOKUP(TRIM(SUBSTITUTE(U338,CHAR(160)," ")),$BI$15:$BI$62,$BL$15:$BL$62),IFERROR(_xlfn.XLOOKUP(TRIM(SUBSTITUTE(U338,CHAR(160)," ")),$BJ$15:$BJ$62,$BL$15:$BL$62),_xlfn.XLOOKUP(TRIM(SUBSTITUTE(U338,CHAR(160)," ")),$BK$15:$BK$62,$BL$15:$BL$62))))*T338*IF(ISBLANK(Q338),1,Q338)+IFERROR(_xlfn.XLOOKUP("RECHERCHEX",TRIM(L338:AC338),L338:AC338),0),0))</f>
        <v/>
      </c>
      <c r="AL338" s="1030">
        <f t="shared" si="124"/>
        <v>0</v>
      </c>
      <c r="AM338" s="5254" t="str">
        <f t="shared" si="139"/>
        <v/>
      </c>
      <c r="AN338" s="1031">
        <f t="shared" si="125"/>
        <v>0</v>
      </c>
      <c r="AO338" s="1031">
        <f t="shared" si="126"/>
        <v>0</v>
      </c>
      <c r="AP338" s="1032">
        <f t="shared" si="127"/>
        <v>0</v>
      </c>
      <c r="AQ338" s="5255" t="str">
        <f t="shared" si="128"/>
        <v/>
      </c>
      <c r="AR338" s="1056"/>
      <c r="AS338" s="1056"/>
      <c r="AT338" s="1034">
        <f t="shared" si="129"/>
        <v>0</v>
      </c>
      <c r="AU338" s="1035">
        <f t="shared" si="130"/>
        <v>0</v>
      </c>
      <c r="AV338" s="1057" cm="1">
        <f t="array" ref="AV338">IF(AJ338&lt;&gt;1,0,IF(OR(AT338="",N(AT338)&lt;=0.000000001),"",IF(OR(AN338="",N(AN338)&lt;=0.000000001),0,IF(ISNUMBER(AT338),IFERROR(_xlfn.LET(_xlpm.ai_test,TRIM(AI338),_xlpm.r,IFERROR(_xlfn.XLOOKUP(_xlpm.ai_test,$BI$15:$BI$62,ROW($BI$15:$BI$62),0,1),IFERROR(_xlfn.XLOOKUP(_xlpm.ai_test,$BJ$15:$BJ$62,ROW($BJ$15:$BJ$62),0,1),_xlfn.XLOOKUP(_xlpm.ai_test,$BK$15:$BK$62,ROW($BK$15:$BK$62),0,1))),_xlpm.p,_xlpm.r-MIN(ROW($BI$15:$BI$62))+1,_xlpm.f,INDEX($BL$15:$BL$62,_xlpm.p),_xlpm.u,INDEX($BM$15:$BM$62,_xlpm.p),_xlpm.s,INDEX($BO$15:$BO$62,_xlpm.p),_xlpm.q,N(AT338)/_xlpm.f,IF(_xlpm.q&gt;=_xlpm.s,ROUND(_xlpm.q,1)&amp;" "&amp;_xlpm.ai_test&amp;" = "&amp;ROUND(_xlpm.q*_xlpm.f,1)&amp;" "&amp;_xlpm.u,ROUND(_xlpm.q,1)&amp;" "&amp;_xlpm.ai_test)),""),""))))</f>
        <v>0</v>
      </c>
      <c r="AW338" s="1047"/>
      <c r="AX338" s="1034">
        <f t="shared" si="131"/>
        <v>0</v>
      </c>
      <c r="AY338" s="1035" t="str">
        <f t="shared" si="132"/>
        <v/>
      </c>
      <c r="AZ338" s="1036">
        <f t="shared" si="137"/>
        <v>0</v>
      </c>
      <c r="BA338" s="1037" t="str">
        <f t="shared" si="133"/>
        <v/>
      </c>
      <c r="BB338" s="1038"/>
      <c r="BC338" s="1039">
        <f t="shared" si="138"/>
        <v>0</v>
      </c>
      <c r="BD338" s="1040" t="str">
        <f t="shared" si="134"/>
        <v/>
      </c>
      <c r="BE338" s="227" t="s">
        <v>22</v>
      </c>
      <c r="BF338" s="1019">
        <f t="shared" si="135"/>
        <v>0</v>
      </c>
      <c r="BG338" s="1020">
        <f t="shared" si="136"/>
        <v>0</v>
      </c>
      <c r="BH338"/>
      <c r="BI338" s="709"/>
      <c r="BJ338" s="709"/>
      <c r="BK338" s="709"/>
      <c r="BL338" s="709"/>
      <c r="BM338" s="709"/>
      <c r="BN338" s="709"/>
      <c r="BO338" s="709"/>
      <c r="BP338" s="709"/>
      <c r="BW338" s="959" t="str">
        <f t="shared" si="141"/>
        <v>►</v>
      </c>
      <c r="BX338" s="856"/>
      <c r="BY338" s="856"/>
      <c r="BZ338" s="856"/>
      <c r="CA338" s="856"/>
      <c r="CB338" s="856"/>
      <c r="DB338" s="3">
        <v>1</v>
      </c>
    </row>
    <row r="339" spans="12:106" ht="21" customHeight="1">
      <c r="L339" s="104" t="s">
        <v>16</v>
      </c>
      <c r="M339" s="1172"/>
      <c r="N339" s="1172"/>
      <c r="O339" s="1172"/>
      <c r="P339" s="1173"/>
      <c r="Q339" s="1174"/>
      <c r="R339" s="1175"/>
      <c r="S339" s="1176"/>
      <c r="T339" s="1177"/>
      <c r="U339" s="5248"/>
      <c r="V339" s="1177"/>
      <c r="W339" s="5249"/>
      <c r="X339" s="5208"/>
      <c r="Y339" s="5209"/>
      <c r="Z339" s="5210"/>
      <c r="AA339" s="5211"/>
      <c r="AB339" s="1178"/>
      <c r="AC339" s="1179"/>
      <c r="AD339" s="227" t="s">
        <v>22</v>
      </c>
      <c r="AE339" s="1027" t="str">
        <f t="shared" si="118"/>
        <v>►</v>
      </c>
      <c r="AF339" s="1028" t="str">
        <f t="shared" si="119"/>
        <v/>
      </c>
      <c r="AG339" s="1029" t="str">
        <f t="shared" si="120"/>
        <v/>
      </c>
      <c r="AH339" s="1028" t="str">
        <f t="shared" si="121"/>
        <v/>
      </c>
      <c r="AI339" s="1029" t="str">
        <f t="shared" si="122"/>
        <v/>
      </c>
      <c r="AJ339" s="1029">
        <f t="shared" si="123"/>
        <v>0</v>
      </c>
      <c r="AK339" s="1043" t="str" cm="1">
        <f t="array" ref="AK339">IF(AE339&lt;&gt;"A","",IFERROR((IFERROR(_xlfn.XLOOKUP(TRIM(SUBSTITUTE(U339,CHAR(160)," ")),$BI$15:$BI$62,$BL$15:$BL$62),IFERROR(_xlfn.XLOOKUP(TRIM(SUBSTITUTE(U339,CHAR(160)," ")),$BJ$15:$BJ$62,$BL$15:$BL$62),_xlfn.XLOOKUP(TRIM(SUBSTITUTE(U339,CHAR(160)," ")),$BK$15:$BK$62,$BL$15:$BL$62))))*T339*IF(ISBLANK(Q339),1,Q339)+IFERROR(_xlfn.XLOOKUP("RECHERCHEX",TRIM(L339:AC339),L339:AC339),0),0))</f>
        <v/>
      </c>
      <c r="AL339" s="1030">
        <f t="shared" si="124"/>
        <v>0</v>
      </c>
      <c r="AM339" s="5254" t="str">
        <f t="shared" si="139"/>
        <v/>
      </c>
      <c r="AN339" s="1031">
        <f t="shared" si="125"/>
        <v>0</v>
      </c>
      <c r="AO339" s="1031">
        <f t="shared" si="126"/>
        <v>0</v>
      </c>
      <c r="AP339" s="1044">
        <f t="shared" si="127"/>
        <v>0</v>
      </c>
      <c r="AQ339" s="5257" t="str">
        <f t="shared" si="128"/>
        <v/>
      </c>
      <c r="AR339" s="1056"/>
      <c r="AS339" s="1056"/>
      <c r="AT339" s="1045">
        <f t="shared" si="129"/>
        <v>0</v>
      </c>
      <c r="AU339" s="1046">
        <f t="shared" si="130"/>
        <v>0</v>
      </c>
      <c r="AV339" s="1059" cm="1">
        <f t="array" ref="AV339">IF(AJ339&lt;&gt;1,0,IF(OR(AT339="",N(AT339)&lt;=0.000000001),"",IF(OR(AN339="",N(AN339)&lt;=0.000000001),0,IF(ISNUMBER(AT339),IFERROR(_xlfn.LET(_xlpm.ai_test,TRIM(AI339),_xlpm.r,IFERROR(_xlfn.XLOOKUP(_xlpm.ai_test,$BI$15:$BI$62,ROW($BI$15:$BI$62),0,1),IFERROR(_xlfn.XLOOKUP(_xlpm.ai_test,$BJ$15:$BJ$62,ROW($BJ$15:$BJ$62),0,1),_xlfn.XLOOKUP(_xlpm.ai_test,$BK$15:$BK$62,ROW($BK$15:$BK$62),0,1))),_xlpm.p,_xlpm.r-MIN(ROW($BI$15:$BI$62))+1,_xlpm.f,INDEX($BL$15:$BL$62,_xlpm.p),_xlpm.u,INDEX($BM$15:$BM$62,_xlpm.p),_xlpm.s,INDEX($BO$15:$BO$62,_xlpm.p),_xlpm.q,N(AT339)/_xlpm.f,IF(_xlpm.q&gt;=_xlpm.s,ROUND(_xlpm.q,1)&amp;" "&amp;_xlpm.ai_test&amp;" = "&amp;ROUND(_xlpm.q*_xlpm.f,1)&amp;" "&amp;_xlpm.u,ROUND(_xlpm.q,1)&amp;" "&amp;_xlpm.ai_test)),""),""))))</f>
        <v>0</v>
      </c>
      <c r="AW339" s="1047"/>
      <c r="AX339" s="1045">
        <f t="shared" si="131"/>
        <v>0</v>
      </c>
      <c r="AY339" s="1046" t="str">
        <f t="shared" si="132"/>
        <v/>
      </c>
      <c r="AZ339" s="1048">
        <f t="shared" si="137"/>
        <v>0</v>
      </c>
      <c r="BA339" s="1049" t="str">
        <f t="shared" si="133"/>
        <v/>
      </c>
      <c r="BB339" s="1038"/>
      <c r="BC339" s="1050">
        <f t="shared" si="138"/>
        <v>0</v>
      </c>
      <c r="BD339" s="1040" t="str">
        <f t="shared" si="134"/>
        <v/>
      </c>
      <c r="BE339" s="227" t="s">
        <v>22</v>
      </c>
      <c r="BF339" s="1019">
        <f t="shared" si="135"/>
        <v>0</v>
      </c>
      <c r="BG339" s="1020">
        <f t="shared" si="136"/>
        <v>0</v>
      </c>
      <c r="BH339"/>
      <c r="BI339" s="709"/>
      <c r="BJ339" s="709"/>
      <c r="BK339" s="709"/>
      <c r="BL339" s="709"/>
      <c r="BM339" s="709"/>
      <c r="BN339" s="709"/>
      <c r="BO339" s="709"/>
      <c r="BP339" s="709"/>
      <c r="BW339" s="959" t="str">
        <f t="shared" si="141"/>
        <v>►</v>
      </c>
      <c r="BX339" s="856"/>
      <c r="BY339" s="856"/>
      <c r="BZ339" s="856"/>
      <c r="CA339" s="856"/>
      <c r="CB339" s="856"/>
      <c r="DB339" s="3">
        <v>1</v>
      </c>
    </row>
    <row r="340" spans="12:106" ht="21" customHeight="1">
      <c r="L340" s="104" t="s">
        <v>16</v>
      </c>
      <c r="M340" s="1172"/>
      <c r="N340" s="1172"/>
      <c r="O340" s="1172"/>
      <c r="P340" s="1173"/>
      <c r="Q340" s="1174"/>
      <c r="R340" s="1175"/>
      <c r="S340" s="1176"/>
      <c r="T340" s="1177"/>
      <c r="U340" s="5248"/>
      <c r="V340" s="1177"/>
      <c r="W340" s="5249"/>
      <c r="X340" s="5208"/>
      <c r="Y340" s="5209"/>
      <c r="Z340" s="5210"/>
      <c r="AA340" s="5211"/>
      <c r="AB340" s="1178"/>
      <c r="AC340" s="1179"/>
      <c r="AD340" s="227" t="s">
        <v>22</v>
      </c>
      <c r="AE340" s="1027" t="str">
        <f t="shared" si="118"/>
        <v>►</v>
      </c>
      <c r="AF340" s="1028" t="str">
        <f t="shared" si="119"/>
        <v/>
      </c>
      <c r="AG340" s="1029" t="str">
        <f t="shared" si="120"/>
        <v/>
      </c>
      <c r="AH340" s="1028" t="str">
        <f t="shared" si="121"/>
        <v/>
      </c>
      <c r="AI340" s="1029" t="str">
        <f t="shared" si="122"/>
        <v/>
      </c>
      <c r="AJ340" s="1029">
        <f t="shared" si="123"/>
        <v>0</v>
      </c>
      <c r="AK340" s="1043" t="str" cm="1">
        <f t="array" ref="AK340">IF(AE340&lt;&gt;"A","",IFERROR((IFERROR(_xlfn.XLOOKUP(TRIM(SUBSTITUTE(U340,CHAR(160)," ")),$BI$15:$BI$62,$BL$15:$BL$62),IFERROR(_xlfn.XLOOKUP(TRIM(SUBSTITUTE(U340,CHAR(160)," ")),$BJ$15:$BJ$62,$BL$15:$BL$62),_xlfn.XLOOKUP(TRIM(SUBSTITUTE(U340,CHAR(160)," ")),$BK$15:$BK$62,$BL$15:$BL$62))))*T340*IF(ISBLANK(Q340),1,Q340)+IFERROR(_xlfn.XLOOKUP("RECHERCHEX",TRIM(L340:AC340),L340:AC340),0),0))</f>
        <v/>
      </c>
      <c r="AL340" s="1030">
        <f t="shared" si="124"/>
        <v>0</v>
      </c>
      <c r="AM340" s="5254" t="str">
        <f t="shared" si="139"/>
        <v/>
      </c>
      <c r="AN340" s="1031">
        <f t="shared" si="125"/>
        <v>0</v>
      </c>
      <c r="AO340" s="1031">
        <f t="shared" si="126"/>
        <v>0</v>
      </c>
      <c r="AP340" s="1032">
        <f t="shared" si="127"/>
        <v>0</v>
      </c>
      <c r="AQ340" s="5255" t="str">
        <f t="shared" si="128"/>
        <v/>
      </c>
      <c r="AR340" s="1056"/>
      <c r="AS340" s="1056"/>
      <c r="AT340" s="1034">
        <f t="shared" si="129"/>
        <v>0</v>
      </c>
      <c r="AU340" s="1035">
        <f t="shared" si="130"/>
        <v>0</v>
      </c>
      <c r="AV340" s="1057" cm="1">
        <f t="array" ref="AV340">IF(AJ340&lt;&gt;1,0,IF(OR(AT340="",N(AT340)&lt;=0.000000001),"",IF(OR(AN340="",N(AN340)&lt;=0.000000001),0,IF(ISNUMBER(AT340),IFERROR(_xlfn.LET(_xlpm.ai_test,TRIM(AI340),_xlpm.r,IFERROR(_xlfn.XLOOKUP(_xlpm.ai_test,$BI$15:$BI$62,ROW($BI$15:$BI$62),0,1),IFERROR(_xlfn.XLOOKUP(_xlpm.ai_test,$BJ$15:$BJ$62,ROW($BJ$15:$BJ$62),0,1),_xlfn.XLOOKUP(_xlpm.ai_test,$BK$15:$BK$62,ROW($BK$15:$BK$62),0,1))),_xlpm.p,_xlpm.r-MIN(ROW($BI$15:$BI$62))+1,_xlpm.f,INDEX($BL$15:$BL$62,_xlpm.p),_xlpm.u,INDEX($BM$15:$BM$62,_xlpm.p),_xlpm.s,INDEX($BO$15:$BO$62,_xlpm.p),_xlpm.q,N(AT340)/_xlpm.f,IF(_xlpm.q&gt;=_xlpm.s,ROUND(_xlpm.q,1)&amp;" "&amp;_xlpm.ai_test&amp;" = "&amp;ROUND(_xlpm.q*_xlpm.f,1)&amp;" "&amp;_xlpm.u,ROUND(_xlpm.q,1)&amp;" "&amp;_xlpm.ai_test)),""),""))))</f>
        <v>0</v>
      </c>
      <c r="AW340" s="1047"/>
      <c r="AX340" s="1034">
        <f t="shared" si="131"/>
        <v>0</v>
      </c>
      <c r="AY340" s="1035" t="str">
        <f t="shared" si="132"/>
        <v/>
      </c>
      <c r="AZ340" s="1036">
        <f t="shared" si="137"/>
        <v>0</v>
      </c>
      <c r="BA340" s="1037" t="str">
        <f t="shared" si="133"/>
        <v/>
      </c>
      <c r="BB340" s="1038"/>
      <c r="BC340" s="1039">
        <f t="shared" si="138"/>
        <v>0</v>
      </c>
      <c r="BD340" s="1040" t="str">
        <f t="shared" si="134"/>
        <v/>
      </c>
      <c r="BE340" s="227" t="s">
        <v>22</v>
      </c>
      <c r="BF340" s="1019">
        <f t="shared" si="135"/>
        <v>0</v>
      </c>
      <c r="BG340" s="1020">
        <f t="shared" si="136"/>
        <v>0</v>
      </c>
      <c r="BH340"/>
      <c r="BI340" s="709"/>
      <c r="BJ340" s="709"/>
      <c r="BK340" s="709"/>
      <c r="BL340" s="709"/>
      <c r="BM340" s="709"/>
      <c r="BN340" s="709"/>
      <c r="BO340" s="709"/>
      <c r="BP340" s="709"/>
      <c r="BW340" s="959" t="str">
        <f t="shared" si="141"/>
        <v>►</v>
      </c>
      <c r="BX340" s="856"/>
      <c r="BY340" s="856"/>
      <c r="BZ340" s="856"/>
      <c r="CA340" s="856"/>
      <c r="CB340" s="856"/>
      <c r="DB340" s="3">
        <v>1</v>
      </c>
    </row>
    <row r="341" spans="12:106" ht="21" customHeight="1">
      <c r="L341" s="104" t="s">
        <v>16</v>
      </c>
      <c r="M341" s="1172"/>
      <c r="N341" s="1172"/>
      <c r="O341" s="1172"/>
      <c r="P341" s="1173"/>
      <c r="Q341" s="1174"/>
      <c r="R341" s="1175"/>
      <c r="S341" s="1176"/>
      <c r="T341" s="1177"/>
      <c r="U341" s="5248"/>
      <c r="V341" s="1177"/>
      <c r="W341" s="5249"/>
      <c r="X341" s="5208"/>
      <c r="Y341" s="5209"/>
      <c r="Z341" s="5210"/>
      <c r="AA341" s="5211"/>
      <c r="AB341" s="1178"/>
      <c r="AC341" s="1179"/>
      <c r="AD341" s="227" t="s">
        <v>22</v>
      </c>
      <c r="AE341" s="1027" t="str">
        <f t="shared" si="118"/>
        <v>►</v>
      </c>
      <c r="AF341" s="1028" t="str">
        <f t="shared" si="119"/>
        <v/>
      </c>
      <c r="AG341" s="1029" t="str">
        <f t="shared" si="120"/>
        <v/>
      </c>
      <c r="AH341" s="1028" t="str">
        <f t="shared" si="121"/>
        <v/>
      </c>
      <c r="AI341" s="1029" t="str">
        <f t="shared" si="122"/>
        <v/>
      </c>
      <c r="AJ341" s="1029">
        <f t="shared" si="123"/>
        <v>0</v>
      </c>
      <c r="AK341" s="1043" t="str" cm="1">
        <f t="array" ref="AK341">IF(AE341&lt;&gt;"A","",IFERROR((IFERROR(_xlfn.XLOOKUP(TRIM(SUBSTITUTE(U341,CHAR(160)," ")),$BI$15:$BI$62,$BL$15:$BL$62),IFERROR(_xlfn.XLOOKUP(TRIM(SUBSTITUTE(U341,CHAR(160)," ")),$BJ$15:$BJ$62,$BL$15:$BL$62),_xlfn.XLOOKUP(TRIM(SUBSTITUTE(U341,CHAR(160)," ")),$BK$15:$BK$62,$BL$15:$BL$62))))*T341*IF(ISBLANK(Q341),1,Q341)+IFERROR(_xlfn.XLOOKUP("RECHERCHEX",TRIM(L341:AC341),L341:AC341),0),0))</f>
        <v/>
      </c>
      <c r="AL341" s="1030">
        <f t="shared" si="124"/>
        <v>0</v>
      </c>
      <c r="AM341" s="5254" t="str">
        <f t="shared" si="139"/>
        <v/>
      </c>
      <c r="AN341" s="1031">
        <f t="shared" si="125"/>
        <v>0</v>
      </c>
      <c r="AO341" s="1031">
        <f t="shared" si="126"/>
        <v>0</v>
      </c>
      <c r="AP341" s="1044">
        <f t="shared" si="127"/>
        <v>0</v>
      </c>
      <c r="AQ341" s="5257" t="str">
        <f t="shared" si="128"/>
        <v/>
      </c>
      <c r="AR341" s="1056"/>
      <c r="AS341" s="1056"/>
      <c r="AT341" s="1045">
        <f t="shared" si="129"/>
        <v>0</v>
      </c>
      <c r="AU341" s="1046">
        <f t="shared" si="130"/>
        <v>0</v>
      </c>
      <c r="AV341" s="1059" cm="1">
        <f t="array" ref="AV341">IF(AJ341&lt;&gt;1,0,IF(OR(AT341="",N(AT341)&lt;=0.000000001),"",IF(OR(AN341="",N(AN341)&lt;=0.000000001),0,IF(ISNUMBER(AT341),IFERROR(_xlfn.LET(_xlpm.ai_test,TRIM(AI341),_xlpm.r,IFERROR(_xlfn.XLOOKUP(_xlpm.ai_test,$BI$15:$BI$62,ROW($BI$15:$BI$62),0,1),IFERROR(_xlfn.XLOOKUP(_xlpm.ai_test,$BJ$15:$BJ$62,ROW($BJ$15:$BJ$62),0,1),_xlfn.XLOOKUP(_xlpm.ai_test,$BK$15:$BK$62,ROW($BK$15:$BK$62),0,1))),_xlpm.p,_xlpm.r-MIN(ROW($BI$15:$BI$62))+1,_xlpm.f,INDEX($BL$15:$BL$62,_xlpm.p),_xlpm.u,INDEX($BM$15:$BM$62,_xlpm.p),_xlpm.s,INDEX($BO$15:$BO$62,_xlpm.p),_xlpm.q,N(AT341)/_xlpm.f,IF(_xlpm.q&gt;=_xlpm.s,ROUND(_xlpm.q,1)&amp;" "&amp;_xlpm.ai_test&amp;" = "&amp;ROUND(_xlpm.q*_xlpm.f,1)&amp;" "&amp;_xlpm.u,ROUND(_xlpm.q,1)&amp;" "&amp;_xlpm.ai_test)),""),""))))</f>
        <v>0</v>
      </c>
      <c r="AW341" s="1047"/>
      <c r="AX341" s="1045">
        <f t="shared" si="131"/>
        <v>0</v>
      </c>
      <c r="AY341" s="1046" t="str">
        <f t="shared" si="132"/>
        <v/>
      </c>
      <c r="AZ341" s="1048">
        <f t="shared" si="137"/>
        <v>0</v>
      </c>
      <c r="BA341" s="1049" t="str">
        <f t="shared" si="133"/>
        <v/>
      </c>
      <c r="BB341" s="1038"/>
      <c r="BC341" s="1050">
        <f t="shared" si="138"/>
        <v>0</v>
      </c>
      <c r="BD341" s="1040" t="str">
        <f t="shared" si="134"/>
        <v/>
      </c>
      <c r="BE341" s="227" t="s">
        <v>22</v>
      </c>
      <c r="BF341" s="1019">
        <f t="shared" si="135"/>
        <v>0</v>
      </c>
      <c r="BG341" s="1020">
        <f t="shared" si="136"/>
        <v>0</v>
      </c>
      <c r="BH341"/>
      <c r="BI341" s="709"/>
      <c r="BJ341" s="709"/>
      <c r="BK341" s="709"/>
      <c r="BL341" s="709"/>
      <c r="BM341" s="709"/>
      <c r="BN341" s="709"/>
      <c r="BO341" s="709"/>
      <c r="BP341" s="709"/>
      <c r="BW341" s="959" t="str">
        <f t="shared" si="141"/>
        <v>►</v>
      </c>
      <c r="BX341" s="856"/>
      <c r="BY341" s="856"/>
      <c r="BZ341" s="856"/>
      <c r="CA341" s="856"/>
      <c r="CB341" s="856"/>
      <c r="DB341" s="3">
        <v>1</v>
      </c>
    </row>
    <row r="342" spans="12:106" ht="21" customHeight="1">
      <c r="L342" s="104" t="s">
        <v>16</v>
      </c>
      <c r="M342" s="1172"/>
      <c r="N342" s="1172"/>
      <c r="O342" s="1172"/>
      <c r="P342" s="1173"/>
      <c r="Q342" s="1174"/>
      <c r="R342" s="1175"/>
      <c r="S342" s="1176"/>
      <c r="T342" s="1177"/>
      <c r="U342" s="5248"/>
      <c r="V342" s="1177"/>
      <c r="W342" s="5249"/>
      <c r="X342" s="5208"/>
      <c r="Y342" s="5209"/>
      <c r="Z342" s="5210"/>
      <c r="AA342" s="5211"/>
      <c r="AB342" s="1178"/>
      <c r="AC342" s="1179"/>
      <c r="AD342" s="227" t="s">
        <v>22</v>
      </c>
      <c r="AE342" s="1027" t="str">
        <f t="shared" ref="AE342:AE405" si="142">IF(OR(AN342&gt;0,TRIM(AF342)="▼ recette suivante"),"A","►")</f>
        <v>►</v>
      </c>
      <c r="AF342" s="1028" t="str">
        <f t="shared" ref="AF342:AF405" si="143">IF(TRIM(Q342)="Adresse PC","▼ recette suivante",IF(AN342&gt;0,M342,""))</f>
        <v/>
      </c>
      <c r="AG342" s="1029" t="str">
        <f t="shared" ref="AG342:AG405" si="144">IF(AE342="A",N342,"")</f>
        <v/>
      </c>
      <c r="AH342" s="1028" t="str">
        <f t="shared" ref="AH342:AH405" si="145">IF(AE342="A",O342,"")</f>
        <v/>
      </c>
      <c r="AI342" s="1029" t="str">
        <f t="shared" ref="AI342:AI405" si="146">IF(AE342="A",U342,"")</f>
        <v/>
      </c>
      <c r="AJ342" s="1029">
        <f t="shared" ref="AJ342:AJ405" si="147">IF(AND(L342="A",COUNTIF($BI$15:$BK$62,TRIM(U342))&gt;0),1,0)</f>
        <v>0</v>
      </c>
      <c r="AK342" s="1043" t="str" cm="1">
        <f t="array" ref="AK342">IF(AE342&lt;&gt;"A","",IFERROR((IFERROR(_xlfn.XLOOKUP(TRIM(SUBSTITUTE(U342,CHAR(160)," ")),$BI$15:$BI$62,$BL$15:$BL$62),IFERROR(_xlfn.XLOOKUP(TRIM(SUBSTITUTE(U342,CHAR(160)," ")),$BJ$15:$BJ$62,$BL$15:$BL$62),_xlfn.XLOOKUP(TRIM(SUBSTITUTE(U342,CHAR(160)," ")),$BK$15:$BK$62,$BL$15:$BL$62))))*T342*IF(ISBLANK(Q342),1,Q342)+IFERROR(_xlfn.XLOOKUP("RECHERCHEX",TRIM(L342:AC342),L342:AC342),0),0))</f>
        <v/>
      </c>
      <c r="AL342" s="1030">
        <f t="shared" ref="AL342:AL405" si="148">IF(AJ342,IF(AK342&gt;0,"Kg",0),0)</f>
        <v>0</v>
      </c>
      <c r="AM342" s="5254" t="str">
        <f t="shared" si="139"/>
        <v/>
      </c>
      <c r="AN342" s="1031">
        <f t="shared" ref="AN342:AN405" si="149">IF(AJ342,N342,0)</f>
        <v>0</v>
      </c>
      <c r="AO342" s="1031">
        <f t="shared" ref="AO342:AO405" si="150">IF(AJ342,O342,0)</f>
        <v>0</v>
      </c>
      <c r="AP342" s="1032">
        <f t="shared" ref="AP342:AP405" si="151">IF(AN342&gt;0,AR$9,0)</f>
        <v>0</v>
      </c>
      <c r="AQ342" s="5255" t="str">
        <f t="shared" ref="AQ342:AQ405" si="152">IF(TRIM(AF342)="▼ recette suivante", AF342, IF(AP342&gt;0, IF(AS$9&lt;&gt;"", AS$9&amp;"-ou.or.o ❾ + or - &gt;", ""), ""))</f>
        <v/>
      </c>
      <c r="AR342" s="1056"/>
      <c r="AS342" s="1056"/>
      <c r="AT342" s="1034">
        <f t="shared" ref="AT342:AT405" si="153">IF(TRIM(AL342)="Kg",N(AK342)*N(BG342),0)</f>
        <v>0</v>
      </c>
      <c r="AU342" s="1035">
        <f t="shared" ref="AU342:AU405" si="154">IF(AJ342,IF(OR(AT342="",N(AT342)&lt;=0.000000001),"",_xlfn.XLOOKUP(AI342,$BI$15:$BI$62,$BM$15:$BM$62,_xlfn.XLOOKUP(AI342,$BJ$15:$BJ$62,$BM$15:$BM$62,_xlfn.XLOOKUP(AI342,$BK$15:$BK$62,$BM$15:$BM$62,"")))),0)</f>
        <v>0</v>
      </c>
      <c r="AV342" s="1057" cm="1">
        <f t="array" ref="AV342">IF(AJ342&lt;&gt;1,0,IF(OR(AT342="",N(AT342)&lt;=0.000000001),"",IF(OR(AN342="",N(AN342)&lt;=0.000000001),0,IF(ISNUMBER(AT342),IFERROR(_xlfn.LET(_xlpm.ai_test,TRIM(AI342),_xlpm.r,IFERROR(_xlfn.XLOOKUP(_xlpm.ai_test,$BI$15:$BI$62,ROW($BI$15:$BI$62),0,1),IFERROR(_xlfn.XLOOKUP(_xlpm.ai_test,$BJ$15:$BJ$62,ROW($BJ$15:$BJ$62),0,1),_xlfn.XLOOKUP(_xlpm.ai_test,$BK$15:$BK$62,ROW($BK$15:$BK$62),0,1))),_xlpm.p,_xlpm.r-MIN(ROW($BI$15:$BI$62))+1,_xlpm.f,INDEX($BL$15:$BL$62,_xlpm.p),_xlpm.u,INDEX($BM$15:$BM$62,_xlpm.p),_xlpm.s,INDEX($BO$15:$BO$62,_xlpm.p),_xlpm.q,N(AT342)/_xlpm.f,IF(_xlpm.q&gt;=_xlpm.s,ROUND(_xlpm.q,1)&amp;" "&amp;_xlpm.ai_test&amp;" = "&amp;ROUND(_xlpm.q*_xlpm.f,1)&amp;" "&amp;_xlpm.u,ROUND(_xlpm.q,1)&amp;" "&amp;_xlpm.ai_test)),""),""))))</f>
        <v>0</v>
      </c>
      <c r="AW342" s="1047"/>
      <c r="AX342" s="1034">
        <f t="shared" ref="AX342:AX405" si="155">IF(TRIM(AF342)="▼ recette suivante","▼next recipe ",IF(AT342="","",IF(ISBLANK(AW342),AT342,ROUND(AT342*(1-MIN(1,MAX(0,IF(AW342&gt;1,AW342/100,AW342)))),3))))</f>
        <v>0</v>
      </c>
      <c r="AY342" s="1035" t="str">
        <f t="shared" ref="AY342:AY405" si="156">IF(AJ342,AU342,"")</f>
        <v/>
      </c>
      <c r="AZ342" s="1036">
        <f t="shared" si="137"/>
        <v>0</v>
      </c>
      <c r="BA342" s="1037" t="str">
        <f t="shared" ref="BA342:BA405" si="157">IF(AJ342,IF(N(AZ342)&gt;0.000000001,R342,""),"")</f>
        <v/>
      </c>
      <c r="BB342" s="1038"/>
      <c r="BC342" s="1039">
        <f t="shared" si="138"/>
        <v>0</v>
      </c>
      <c r="BD342" s="1040" t="str">
        <f t="shared" ref="BD342:BD405" si="158">IF(IFERROR(SEARCH("Adresse PC",TRIM(Q342)),0)&gt;0,"▼ receta siguiente",IF(AX342&gt;0,W342,""))</f>
        <v/>
      </c>
      <c r="BE342" s="227" t="s">
        <v>22</v>
      </c>
      <c r="BF342" s="1019">
        <f t="shared" ref="BF342:BF405" si="159">IFERROR(_xlfn.LET(_xlpm.EPS,0.000000001,_xlpm.b,Q342/AN342,IF(ISNUMBER(AR342),_xlpm.b*AR342,IF(OR(ISBLANK(AR342),AR342=""),_xlpm.b*AP342,IF(AND(BG342=0,ISNUMBER(Q342)),_xlpm.b/AP342,0)))),0)</f>
        <v>0</v>
      </c>
      <c r="BG342" s="1020">
        <f t="shared" ref="BG342:BG405" si="160">IF(AK342&gt;0,IFERROR(IF(OR(ISBLANK(AR342),AR342=""),AP342,AR342)/AN342,0),0)</f>
        <v>0</v>
      </c>
      <c r="BH342"/>
      <c r="BI342" s="709"/>
      <c r="BJ342" s="709"/>
      <c r="BK342" s="709"/>
      <c r="BL342" s="709"/>
      <c r="BM342" s="709"/>
      <c r="BN342" s="709"/>
      <c r="BO342" s="709"/>
      <c r="BP342" s="709"/>
      <c r="BW342" s="959" t="str">
        <f t="shared" si="141"/>
        <v>►</v>
      </c>
      <c r="BX342" s="856"/>
      <c r="BY342" s="856"/>
      <c r="BZ342" s="856"/>
      <c r="CA342" s="856"/>
      <c r="CB342" s="856"/>
      <c r="DB342" s="3">
        <v>1</v>
      </c>
    </row>
    <row r="343" spans="12:106" ht="21" customHeight="1">
      <c r="L343" s="104" t="s">
        <v>16</v>
      </c>
      <c r="M343" s="1172"/>
      <c r="N343" s="1172"/>
      <c r="O343" s="1172"/>
      <c r="P343" s="1173"/>
      <c r="Q343" s="1174"/>
      <c r="R343" s="1175"/>
      <c r="S343" s="1176"/>
      <c r="T343" s="1177"/>
      <c r="U343" s="5248"/>
      <c r="V343" s="1177"/>
      <c r="W343" s="5249"/>
      <c r="X343" s="5208"/>
      <c r="Y343" s="5209"/>
      <c r="Z343" s="5210"/>
      <c r="AA343" s="5211"/>
      <c r="AB343" s="1178"/>
      <c r="AC343" s="1179"/>
      <c r="AD343" s="227" t="s">
        <v>22</v>
      </c>
      <c r="AE343" s="1027" t="str">
        <f t="shared" si="142"/>
        <v>►</v>
      </c>
      <c r="AF343" s="1028" t="str">
        <f t="shared" si="143"/>
        <v/>
      </c>
      <c r="AG343" s="1029" t="str">
        <f t="shared" si="144"/>
        <v/>
      </c>
      <c r="AH343" s="1028" t="str">
        <f t="shared" si="145"/>
        <v/>
      </c>
      <c r="AI343" s="1029" t="str">
        <f t="shared" si="146"/>
        <v/>
      </c>
      <c r="AJ343" s="1029">
        <f t="shared" si="147"/>
        <v>0</v>
      </c>
      <c r="AK343" s="1043" t="str" cm="1">
        <f t="array" ref="AK343">IF(AE343&lt;&gt;"A","",IFERROR((IFERROR(_xlfn.XLOOKUP(TRIM(SUBSTITUTE(U343,CHAR(160)," ")),$BI$15:$BI$62,$BL$15:$BL$62),IFERROR(_xlfn.XLOOKUP(TRIM(SUBSTITUTE(U343,CHAR(160)," ")),$BJ$15:$BJ$62,$BL$15:$BL$62),_xlfn.XLOOKUP(TRIM(SUBSTITUTE(U343,CHAR(160)," ")),$BK$15:$BK$62,$BL$15:$BL$62))))*T343*IF(ISBLANK(Q343),1,Q343)+IFERROR(_xlfn.XLOOKUP("RECHERCHEX",TRIM(L343:AC343),L343:AC343),0),0))</f>
        <v/>
      </c>
      <c r="AL343" s="1030">
        <f t="shared" si="148"/>
        <v>0</v>
      </c>
      <c r="AM343" s="5254" t="str">
        <f t="shared" si="139"/>
        <v/>
      </c>
      <c r="AN343" s="1031">
        <f t="shared" si="149"/>
        <v>0</v>
      </c>
      <c r="AO343" s="1031">
        <f t="shared" si="150"/>
        <v>0</v>
      </c>
      <c r="AP343" s="1044">
        <f t="shared" si="151"/>
        <v>0</v>
      </c>
      <c r="AQ343" s="5257" t="str">
        <f t="shared" si="152"/>
        <v/>
      </c>
      <c r="AR343" s="1056"/>
      <c r="AS343" s="1056"/>
      <c r="AT343" s="1045">
        <f t="shared" si="153"/>
        <v>0</v>
      </c>
      <c r="AU343" s="1046">
        <f t="shared" si="154"/>
        <v>0</v>
      </c>
      <c r="AV343" s="1059" cm="1">
        <f t="array" ref="AV343">IF(AJ343&lt;&gt;1,0,IF(OR(AT343="",N(AT343)&lt;=0.000000001),"",IF(OR(AN343="",N(AN343)&lt;=0.000000001),0,IF(ISNUMBER(AT343),IFERROR(_xlfn.LET(_xlpm.ai_test,TRIM(AI343),_xlpm.r,IFERROR(_xlfn.XLOOKUP(_xlpm.ai_test,$BI$15:$BI$62,ROW($BI$15:$BI$62),0,1),IFERROR(_xlfn.XLOOKUP(_xlpm.ai_test,$BJ$15:$BJ$62,ROW($BJ$15:$BJ$62),0,1),_xlfn.XLOOKUP(_xlpm.ai_test,$BK$15:$BK$62,ROW($BK$15:$BK$62),0,1))),_xlpm.p,_xlpm.r-MIN(ROW($BI$15:$BI$62))+1,_xlpm.f,INDEX($BL$15:$BL$62,_xlpm.p),_xlpm.u,INDEX($BM$15:$BM$62,_xlpm.p),_xlpm.s,INDEX($BO$15:$BO$62,_xlpm.p),_xlpm.q,N(AT343)/_xlpm.f,IF(_xlpm.q&gt;=_xlpm.s,ROUND(_xlpm.q,1)&amp;" "&amp;_xlpm.ai_test&amp;" = "&amp;ROUND(_xlpm.q*_xlpm.f,1)&amp;" "&amp;_xlpm.u,ROUND(_xlpm.q,1)&amp;" "&amp;_xlpm.ai_test)),""),""))))</f>
        <v>0</v>
      </c>
      <c r="AW343" s="1047"/>
      <c r="AX343" s="1045">
        <f t="shared" si="155"/>
        <v>0</v>
      </c>
      <c r="AY343" s="1046" t="str">
        <f t="shared" si="156"/>
        <v/>
      </c>
      <c r="AZ343" s="1048">
        <f t="shared" ref="AZ343:AZ406" si="161">IF(ISNUMBER(BF343),IF(ABS(BF343)&lt;=0.000000001,0,BF343),0)</f>
        <v>0</v>
      </c>
      <c r="BA343" s="1049" t="str">
        <f t="shared" si="157"/>
        <v/>
      </c>
      <c r="BB343" s="1038"/>
      <c r="BC343" s="1050">
        <f t="shared" si="138"/>
        <v>0</v>
      </c>
      <c r="BD343" s="1040" t="str">
        <f t="shared" si="158"/>
        <v/>
      </c>
      <c r="BE343" s="227" t="s">
        <v>22</v>
      </c>
      <c r="BF343" s="1019">
        <f t="shared" si="159"/>
        <v>0</v>
      </c>
      <c r="BG343" s="1020">
        <f t="shared" si="160"/>
        <v>0</v>
      </c>
      <c r="BH343"/>
      <c r="BI343" s="709"/>
      <c r="BJ343" s="709"/>
      <c r="BK343" s="709"/>
      <c r="BL343" s="709"/>
      <c r="BM343" s="709"/>
      <c r="BN343" s="709"/>
      <c r="BO343" s="709"/>
      <c r="BP343" s="709"/>
      <c r="BW343" s="959" t="str">
        <f t="shared" si="141"/>
        <v>►</v>
      </c>
      <c r="BX343" s="856"/>
      <c r="BY343" s="856"/>
      <c r="BZ343" s="856"/>
      <c r="CA343" s="856"/>
      <c r="CB343" s="856"/>
      <c r="DB343" s="3">
        <v>1</v>
      </c>
    </row>
    <row r="344" spans="12:106" ht="21" customHeight="1">
      <c r="L344" s="104" t="s">
        <v>16</v>
      </c>
      <c r="M344" s="1172"/>
      <c r="N344" s="1172"/>
      <c r="O344" s="1172"/>
      <c r="P344" s="1173"/>
      <c r="Q344" s="1174"/>
      <c r="R344" s="1175"/>
      <c r="S344" s="1176"/>
      <c r="T344" s="1177"/>
      <c r="U344" s="5248"/>
      <c r="V344" s="1177"/>
      <c r="W344" s="5249"/>
      <c r="X344" s="5208"/>
      <c r="Y344" s="5209"/>
      <c r="Z344" s="5210"/>
      <c r="AA344" s="5211"/>
      <c r="AB344" s="1178"/>
      <c r="AC344" s="1179"/>
      <c r="AD344" s="227" t="s">
        <v>22</v>
      </c>
      <c r="AE344" s="1027" t="str">
        <f t="shared" si="142"/>
        <v>►</v>
      </c>
      <c r="AF344" s="1028" t="str">
        <f t="shared" si="143"/>
        <v/>
      </c>
      <c r="AG344" s="1029" t="str">
        <f t="shared" si="144"/>
        <v/>
      </c>
      <c r="AH344" s="1028" t="str">
        <f t="shared" si="145"/>
        <v/>
      </c>
      <c r="AI344" s="1029" t="str">
        <f t="shared" si="146"/>
        <v/>
      </c>
      <c r="AJ344" s="1029">
        <f t="shared" si="147"/>
        <v>0</v>
      </c>
      <c r="AK344" s="1043" t="str" cm="1">
        <f t="array" ref="AK344">IF(AE344&lt;&gt;"A","",IFERROR((IFERROR(_xlfn.XLOOKUP(TRIM(SUBSTITUTE(U344,CHAR(160)," ")),$BI$15:$BI$62,$BL$15:$BL$62),IFERROR(_xlfn.XLOOKUP(TRIM(SUBSTITUTE(U344,CHAR(160)," ")),$BJ$15:$BJ$62,$BL$15:$BL$62),_xlfn.XLOOKUP(TRIM(SUBSTITUTE(U344,CHAR(160)," ")),$BK$15:$BK$62,$BL$15:$BL$62))))*T344*IF(ISBLANK(Q344),1,Q344)+IFERROR(_xlfn.XLOOKUP("RECHERCHEX",TRIM(L344:AC344),L344:AC344),0),0))</f>
        <v/>
      </c>
      <c r="AL344" s="1030">
        <f t="shared" si="148"/>
        <v>0</v>
      </c>
      <c r="AM344" s="5254" t="str">
        <f t="shared" si="139"/>
        <v/>
      </c>
      <c r="AN344" s="1031">
        <f t="shared" si="149"/>
        <v>0</v>
      </c>
      <c r="AO344" s="1031">
        <f t="shared" si="150"/>
        <v>0</v>
      </c>
      <c r="AP344" s="1032">
        <f t="shared" si="151"/>
        <v>0</v>
      </c>
      <c r="AQ344" s="5255" t="str">
        <f t="shared" si="152"/>
        <v/>
      </c>
      <c r="AR344" s="1056"/>
      <c r="AS344" s="1056"/>
      <c r="AT344" s="1034">
        <f t="shared" si="153"/>
        <v>0</v>
      </c>
      <c r="AU344" s="1035">
        <f t="shared" si="154"/>
        <v>0</v>
      </c>
      <c r="AV344" s="1057" cm="1">
        <f t="array" ref="AV344">IF(AJ344&lt;&gt;1,0,IF(OR(AT344="",N(AT344)&lt;=0.000000001),"",IF(OR(AN344="",N(AN344)&lt;=0.000000001),0,IF(ISNUMBER(AT344),IFERROR(_xlfn.LET(_xlpm.ai_test,TRIM(AI344),_xlpm.r,IFERROR(_xlfn.XLOOKUP(_xlpm.ai_test,$BI$15:$BI$62,ROW($BI$15:$BI$62),0,1),IFERROR(_xlfn.XLOOKUP(_xlpm.ai_test,$BJ$15:$BJ$62,ROW($BJ$15:$BJ$62),0,1),_xlfn.XLOOKUP(_xlpm.ai_test,$BK$15:$BK$62,ROW($BK$15:$BK$62),0,1))),_xlpm.p,_xlpm.r-MIN(ROW($BI$15:$BI$62))+1,_xlpm.f,INDEX($BL$15:$BL$62,_xlpm.p),_xlpm.u,INDEX($BM$15:$BM$62,_xlpm.p),_xlpm.s,INDEX($BO$15:$BO$62,_xlpm.p),_xlpm.q,N(AT344)/_xlpm.f,IF(_xlpm.q&gt;=_xlpm.s,ROUND(_xlpm.q,1)&amp;" "&amp;_xlpm.ai_test&amp;" = "&amp;ROUND(_xlpm.q*_xlpm.f,1)&amp;" "&amp;_xlpm.u,ROUND(_xlpm.q,1)&amp;" "&amp;_xlpm.ai_test)),""),""))))</f>
        <v>0</v>
      </c>
      <c r="AW344" s="1047"/>
      <c r="AX344" s="1034">
        <f t="shared" si="155"/>
        <v>0</v>
      </c>
      <c r="AY344" s="1035" t="str">
        <f t="shared" si="156"/>
        <v/>
      </c>
      <c r="AZ344" s="1036">
        <f t="shared" si="161"/>
        <v>0</v>
      </c>
      <c r="BA344" s="1037" t="str">
        <f t="shared" si="157"/>
        <v/>
      </c>
      <c r="BB344" s="1038"/>
      <c r="BC344" s="1039">
        <f t="shared" si="138"/>
        <v>0</v>
      </c>
      <c r="BD344" s="1040" t="str">
        <f t="shared" si="158"/>
        <v/>
      </c>
      <c r="BE344" s="227" t="s">
        <v>22</v>
      </c>
      <c r="BF344" s="1019">
        <f t="shared" si="159"/>
        <v>0</v>
      </c>
      <c r="BG344" s="1020">
        <f t="shared" si="160"/>
        <v>0</v>
      </c>
      <c r="BH344"/>
      <c r="BI344" s="709"/>
      <c r="BJ344" s="709"/>
      <c r="BK344" s="709"/>
      <c r="BL344" s="709"/>
      <c r="BM344" s="709"/>
      <c r="BN344" s="709"/>
      <c r="BO344" s="709"/>
      <c r="BP344" s="709"/>
      <c r="BW344" s="959" t="str">
        <f t="shared" si="141"/>
        <v>►</v>
      </c>
      <c r="BX344" s="856"/>
      <c r="BY344" s="856"/>
      <c r="BZ344" s="856"/>
      <c r="CA344" s="856"/>
      <c r="CB344" s="856"/>
      <c r="DB344" s="3">
        <v>1</v>
      </c>
    </row>
    <row r="345" spans="12:106" ht="21" customHeight="1">
      <c r="L345" s="104" t="s">
        <v>16</v>
      </c>
      <c r="M345" s="1172"/>
      <c r="N345" s="1172"/>
      <c r="O345" s="1172"/>
      <c r="P345" s="1173"/>
      <c r="Q345" s="1174"/>
      <c r="R345" s="1175"/>
      <c r="S345" s="1176"/>
      <c r="T345" s="1177"/>
      <c r="U345" s="5248"/>
      <c r="V345" s="1177"/>
      <c r="W345" s="5249"/>
      <c r="X345" s="5208"/>
      <c r="Y345" s="5209"/>
      <c r="Z345" s="5210"/>
      <c r="AA345" s="5211"/>
      <c r="AB345" s="1178"/>
      <c r="AC345" s="1179"/>
      <c r="AD345" s="227" t="s">
        <v>22</v>
      </c>
      <c r="AE345" s="1027" t="str">
        <f t="shared" si="142"/>
        <v>►</v>
      </c>
      <c r="AF345" s="1028" t="str">
        <f t="shared" si="143"/>
        <v/>
      </c>
      <c r="AG345" s="1029" t="str">
        <f t="shared" si="144"/>
        <v/>
      </c>
      <c r="AH345" s="1028" t="str">
        <f t="shared" si="145"/>
        <v/>
      </c>
      <c r="AI345" s="1029" t="str">
        <f t="shared" si="146"/>
        <v/>
      </c>
      <c r="AJ345" s="1029">
        <f t="shared" si="147"/>
        <v>0</v>
      </c>
      <c r="AK345" s="1043" t="str" cm="1">
        <f t="array" ref="AK345">IF(AE345&lt;&gt;"A","",IFERROR((IFERROR(_xlfn.XLOOKUP(TRIM(SUBSTITUTE(U345,CHAR(160)," ")),$BI$15:$BI$62,$BL$15:$BL$62),IFERROR(_xlfn.XLOOKUP(TRIM(SUBSTITUTE(U345,CHAR(160)," ")),$BJ$15:$BJ$62,$BL$15:$BL$62),_xlfn.XLOOKUP(TRIM(SUBSTITUTE(U345,CHAR(160)," ")),$BK$15:$BK$62,$BL$15:$BL$62))))*T345*IF(ISBLANK(Q345),1,Q345)+IFERROR(_xlfn.XLOOKUP("RECHERCHEX",TRIM(L345:AC345),L345:AC345),0),0))</f>
        <v/>
      </c>
      <c r="AL345" s="1030">
        <f t="shared" si="148"/>
        <v>0</v>
      </c>
      <c r="AM345" s="5254" t="str">
        <f t="shared" si="139"/>
        <v/>
      </c>
      <c r="AN345" s="1031">
        <f t="shared" si="149"/>
        <v>0</v>
      </c>
      <c r="AO345" s="1031">
        <f t="shared" si="150"/>
        <v>0</v>
      </c>
      <c r="AP345" s="1044">
        <f t="shared" si="151"/>
        <v>0</v>
      </c>
      <c r="AQ345" s="5257" t="str">
        <f t="shared" si="152"/>
        <v/>
      </c>
      <c r="AR345" s="1056"/>
      <c r="AS345" s="1056"/>
      <c r="AT345" s="1045">
        <f t="shared" si="153"/>
        <v>0</v>
      </c>
      <c r="AU345" s="1046">
        <f t="shared" si="154"/>
        <v>0</v>
      </c>
      <c r="AV345" s="1059" cm="1">
        <f t="array" ref="AV345">IF(AJ345&lt;&gt;1,0,IF(OR(AT345="",N(AT345)&lt;=0.000000001),"",IF(OR(AN345="",N(AN345)&lt;=0.000000001),0,IF(ISNUMBER(AT345),IFERROR(_xlfn.LET(_xlpm.ai_test,TRIM(AI345),_xlpm.r,IFERROR(_xlfn.XLOOKUP(_xlpm.ai_test,$BI$15:$BI$62,ROW($BI$15:$BI$62),0,1),IFERROR(_xlfn.XLOOKUP(_xlpm.ai_test,$BJ$15:$BJ$62,ROW($BJ$15:$BJ$62),0,1),_xlfn.XLOOKUP(_xlpm.ai_test,$BK$15:$BK$62,ROW($BK$15:$BK$62),0,1))),_xlpm.p,_xlpm.r-MIN(ROW($BI$15:$BI$62))+1,_xlpm.f,INDEX($BL$15:$BL$62,_xlpm.p),_xlpm.u,INDEX($BM$15:$BM$62,_xlpm.p),_xlpm.s,INDEX($BO$15:$BO$62,_xlpm.p),_xlpm.q,N(AT345)/_xlpm.f,IF(_xlpm.q&gt;=_xlpm.s,ROUND(_xlpm.q,1)&amp;" "&amp;_xlpm.ai_test&amp;" = "&amp;ROUND(_xlpm.q*_xlpm.f,1)&amp;" "&amp;_xlpm.u,ROUND(_xlpm.q,1)&amp;" "&amp;_xlpm.ai_test)),""),""))))</f>
        <v>0</v>
      </c>
      <c r="AW345" s="1047"/>
      <c r="AX345" s="1045">
        <f t="shared" si="155"/>
        <v>0</v>
      </c>
      <c r="AY345" s="1046" t="str">
        <f t="shared" si="156"/>
        <v/>
      </c>
      <c r="AZ345" s="1048">
        <f t="shared" si="161"/>
        <v>0</v>
      </c>
      <c r="BA345" s="1049" t="str">
        <f t="shared" si="157"/>
        <v/>
      </c>
      <c r="BB345" s="1038"/>
      <c r="BC345" s="1050">
        <f t="shared" si="138"/>
        <v>0</v>
      </c>
      <c r="BD345" s="1040" t="str">
        <f t="shared" si="158"/>
        <v/>
      </c>
      <c r="BE345" s="227" t="s">
        <v>22</v>
      </c>
      <c r="BF345" s="1019">
        <f t="shared" si="159"/>
        <v>0</v>
      </c>
      <c r="BG345" s="1020">
        <f t="shared" si="160"/>
        <v>0</v>
      </c>
      <c r="BH345"/>
      <c r="BI345" s="709"/>
      <c r="BJ345" s="709"/>
      <c r="BK345" s="709"/>
      <c r="BL345" s="709"/>
      <c r="BM345" s="709"/>
      <c r="BN345" s="709"/>
      <c r="BO345" s="709"/>
      <c r="BP345" s="709"/>
      <c r="BW345" s="959" t="str">
        <f t="shared" si="141"/>
        <v>►</v>
      </c>
      <c r="BX345" s="856"/>
      <c r="BY345" s="856"/>
      <c r="BZ345" s="856"/>
      <c r="CA345" s="856"/>
      <c r="CB345" s="856"/>
      <c r="DB345" s="3">
        <v>1</v>
      </c>
    </row>
    <row r="346" spans="12:106" ht="21" customHeight="1">
      <c r="L346" s="104" t="s">
        <v>16</v>
      </c>
      <c r="M346" s="1172"/>
      <c r="N346" s="1172"/>
      <c r="O346" s="1172"/>
      <c r="P346" s="1173"/>
      <c r="Q346" s="1174"/>
      <c r="R346" s="1175"/>
      <c r="S346" s="1176"/>
      <c r="T346" s="1177"/>
      <c r="U346" s="5248"/>
      <c r="V346" s="1177"/>
      <c r="W346" s="5249"/>
      <c r="X346" s="5208"/>
      <c r="Y346" s="5209"/>
      <c r="Z346" s="5210"/>
      <c r="AA346" s="5211"/>
      <c r="AB346" s="1178"/>
      <c r="AC346" s="1179"/>
      <c r="AD346" s="227" t="s">
        <v>22</v>
      </c>
      <c r="AE346" s="1027" t="str">
        <f t="shared" si="142"/>
        <v>►</v>
      </c>
      <c r="AF346" s="1028" t="str">
        <f t="shared" si="143"/>
        <v/>
      </c>
      <c r="AG346" s="1029" t="str">
        <f t="shared" si="144"/>
        <v/>
      </c>
      <c r="AH346" s="1028" t="str">
        <f t="shared" si="145"/>
        <v/>
      </c>
      <c r="AI346" s="1029" t="str">
        <f t="shared" si="146"/>
        <v/>
      </c>
      <c r="AJ346" s="1029">
        <f t="shared" si="147"/>
        <v>0</v>
      </c>
      <c r="AK346" s="1043" t="str" cm="1">
        <f t="array" ref="AK346">IF(AE346&lt;&gt;"A","",IFERROR((IFERROR(_xlfn.XLOOKUP(TRIM(SUBSTITUTE(U346,CHAR(160)," ")),$BI$15:$BI$62,$BL$15:$BL$62),IFERROR(_xlfn.XLOOKUP(TRIM(SUBSTITUTE(U346,CHAR(160)," ")),$BJ$15:$BJ$62,$BL$15:$BL$62),_xlfn.XLOOKUP(TRIM(SUBSTITUTE(U346,CHAR(160)," ")),$BK$15:$BK$62,$BL$15:$BL$62))))*T346*IF(ISBLANK(Q346),1,Q346)+IFERROR(_xlfn.XLOOKUP("RECHERCHEX",TRIM(L346:AC346),L346:AC346),0),0))</f>
        <v/>
      </c>
      <c r="AL346" s="1030">
        <f t="shared" si="148"/>
        <v>0</v>
      </c>
      <c r="AM346" s="5254" t="str">
        <f t="shared" si="139"/>
        <v/>
      </c>
      <c r="AN346" s="1031">
        <f t="shared" si="149"/>
        <v>0</v>
      </c>
      <c r="AO346" s="1031">
        <f t="shared" si="150"/>
        <v>0</v>
      </c>
      <c r="AP346" s="1032">
        <f t="shared" si="151"/>
        <v>0</v>
      </c>
      <c r="AQ346" s="5255" t="str">
        <f t="shared" si="152"/>
        <v/>
      </c>
      <c r="AR346" s="1056"/>
      <c r="AS346" s="1056"/>
      <c r="AT346" s="1034">
        <f t="shared" si="153"/>
        <v>0</v>
      </c>
      <c r="AU346" s="1035">
        <f t="shared" si="154"/>
        <v>0</v>
      </c>
      <c r="AV346" s="1057" cm="1">
        <f t="array" ref="AV346">IF(AJ346&lt;&gt;1,0,IF(OR(AT346="",N(AT346)&lt;=0.000000001),"",IF(OR(AN346="",N(AN346)&lt;=0.000000001),0,IF(ISNUMBER(AT346),IFERROR(_xlfn.LET(_xlpm.ai_test,TRIM(AI346),_xlpm.r,IFERROR(_xlfn.XLOOKUP(_xlpm.ai_test,$BI$15:$BI$62,ROW($BI$15:$BI$62),0,1),IFERROR(_xlfn.XLOOKUP(_xlpm.ai_test,$BJ$15:$BJ$62,ROW($BJ$15:$BJ$62),0,1),_xlfn.XLOOKUP(_xlpm.ai_test,$BK$15:$BK$62,ROW($BK$15:$BK$62),0,1))),_xlpm.p,_xlpm.r-MIN(ROW($BI$15:$BI$62))+1,_xlpm.f,INDEX($BL$15:$BL$62,_xlpm.p),_xlpm.u,INDEX($BM$15:$BM$62,_xlpm.p),_xlpm.s,INDEX($BO$15:$BO$62,_xlpm.p),_xlpm.q,N(AT346)/_xlpm.f,IF(_xlpm.q&gt;=_xlpm.s,ROUND(_xlpm.q,1)&amp;" "&amp;_xlpm.ai_test&amp;" = "&amp;ROUND(_xlpm.q*_xlpm.f,1)&amp;" "&amp;_xlpm.u,ROUND(_xlpm.q,1)&amp;" "&amp;_xlpm.ai_test)),""),""))))</f>
        <v>0</v>
      </c>
      <c r="AW346" s="1047"/>
      <c r="AX346" s="1034">
        <f t="shared" si="155"/>
        <v>0</v>
      </c>
      <c r="AY346" s="1035" t="str">
        <f t="shared" si="156"/>
        <v/>
      </c>
      <c r="AZ346" s="1036">
        <f t="shared" si="161"/>
        <v>0</v>
      </c>
      <c r="BA346" s="1037" t="str">
        <f t="shared" si="157"/>
        <v/>
      </c>
      <c r="BB346" s="1038"/>
      <c r="BC346" s="1039">
        <f t="shared" si="138"/>
        <v>0</v>
      </c>
      <c r="BD346" s="1040" t="str">
        <f t="shared" si="158"/>
        <v/>
      </c>
      <c r="BE346" s="227" t="s">
        <v>22</v>
      </c>
      <c r="BF346" s="1019">
        <f t="shared" si="159"/>
        <v>0</v>
      </c>
      <c r="BG346" s="1020">
        <f t="shared" si="160"/>
        <v>0</v>
      </c>
      <c r="BH346"/>
      <c r="BI346" s="709"/>
      <c r="BJ346" s="709"/>
      <c r="BK346" s="709"/>
      <c r="BL346" s="709"/>
      <c r="BM346" s="709"/>
      <c r="BN346" s="709"/>
      <c r="BO346" s="709"/>
      <c r="BP346" s="709"/>
      <c r="BW346" s="959" t="str">
        <f t="shared" si="141"/>
        <v>►</v>
      </c>
      <c r="BX346" s="856"/>
      <c r="BY346" s="856"/>
      <c r="BZ346" s="856"/>
      <c r="CA346" s="856"/>
      <c r="CB346" s="856"/>
      <c r="DB346" s="3">
        <v>1</v>
      </c>
    </row>
    <row r="347" spans="12:106" ht="21" customHeight="1">
      <c r="L347" s="104" t="s">
        <v>16</v>
      </c>
      <c r="M347" s="1172"/>
      <c r="N347" s="1172"/>
      <c r="O347" s="1172"/>
      <c r="P347" s="1173"/>
      <c r="Q347" s="1174"/>
      <c r="R347" s="1175"/>
      <c r="S347" s="1176"/>
      <c r="T347" s="1177"/>
      <c r="U347" s="5248"/>
      <c r="V347" s="1177"/>
      <c r="W347" s="5249"/>
      <c r="X347" s="5208"/>
      <c r="Y347" s="5209"/>
      <c r="Z347" s="5210"/>
      <c r="AA347" s="5211"/>
      <c r="AB347" s="1178"/>
      <c r="AC347" s="1179"/>
      <c r="AD347" s="227" t="s">
        <v>22</v>
      </c>
      <c r="AE347" s="1027" t="str">
        <f t="shared" si="142"/>
        <v>►</v>
      </c>
      <c r="AF347" s="1028" t="str">
        <f t="shared" si="143"/>
        <v/>
      </c>
      <c r="AG347" s="1029" t="str">
        <f t="shared" si="144"/>
        <v/>
      </c>
      <c r="AH347" s="1028" t="str">
        <f t="shared" si="145"/>
        <v/>
      </c>
      <c r="AI347" s="1029" t="str">
        <f t="shared" si="146"/>
        <v/>
      </c>
      <c r="AJ347" s="1029">
        <f t="shared" si="147"/>
        <v>0</v>
      </c>
      <c r="AK347" s="1043" t="str" cm="1">
        <f t="array" ref="AK347">IF(AE347&lt;&gt;"A","",IFERROR((IFERROR(_xlfn.XLOOKUP(TRIM(SUBSTITUTE(U347,CHAR(160)," ")),$BI$15:$BI$62,$BL$15:$BL$62),IFERROR(_xlfn.XLOOKUP(TRIM(SUBSTITUTE(U347,CHAR(160)," ")),$BJ$15:$BJ$62,$BL$15:$BL$62),_xlfn.XLOOKUP(TRIM(SUBSTITUTE(U347,CHAR(160)," ")),$BK$15:$BK$62,$BL$15:$BL$62))))*T347*IF(ISBLANK(Q347),1,Q347)+IFERROR(_xlfn.XLOOKUP("RECHERCHEX",TRIM(L347:AC347),L347:AC347),0),0))</f>
        <v/>
      </c>
      <c r="AL347" s="1030">
        <f t="shared" si="148"/>
        <v>0</v>
      </c>
      <c r="AM347" s="5254" t="str">
        <f t="shared" si="139"/>
        <v/>
      </c>
      <c r="AN347" s="1031">
        <f t="shared" si="149"/>
        <v>0</v>
      </c>
      <c r="AO347" s="1031">
        <f t="shared" si="150"/>
        <v>0</v>
      </c>
      <c r="AP347" s="1044">
        <f t="shared" si="151"/>
        <v>0</v>
      </c>
      <c r="AQ347" s="5257" t="str">
        <f t="shared" si="152"/>
        <v/>
      </c>
      <c r="AR347" s="1056"/>
      <c r="AS347" s="1056"/>
      <c r="AT347" s="1045">
        <f t="shared" si="153"/>
        <v>0</v>
      </c>
      <c r="AU347" s="1046">
        <f t="shared" si="154"/>
        <v>0</v>
      </c>
      <c r="AV347" s="1059" cm="1">
        <f t="array" ref="AV347">IF(AJ347&lt;&gt;1,0,IF(OR(AT347="",N(AT347)&lt;=0.000000001),"",IF(OR(AN347="",N(AN347)&lt;=0.000000001),0,IF(ISNUMBER(AT347),IFERROR(_xlfn.LET(_xlpm.ai_test,TRIM(AI347),_xlpm.r,IFERROR(_xlfn.XLOOKUP(_xlpm.ai_test,$BI$15:$BI$62,ROW($BI$15:$BI$62),0,1),IFERROR(_xlfn.XLOOKUP(_xlpm.ai_test,$BJ$15:$BJ$62,ROW($BJ$15:$BJ$62),0,1),_xlfn.XLOOKUP(_xlpm.ai_test,$BK$15:$BK$62,ROW($BK$15:$BK$62),0,1))),_xlpm.p,_xlpm.r-MIN(ROW($BI$15:$BI$62))+1,_xlpm.f,INDEX($BL$15:$BL$62,_xlpm.p),_xlpm.u,INDEX($BM$15:$BM$62,_xlpm.p),_xlpm.s,INDEX($BO$15:$BO$62,_xlpm.p),_xlpm.q,N(AT347)/_xlpm.f,IF(_xlpm.q&gt;=_xlpm.s,ROUND(_xlpm.q,1)&amp;" "&amp;_xlpm.ai_test&amp;" = "&amp;ROUND(_xlpm.q*_xlpm.f,1)&amp;" "&amp;_xlpm.u,ROUND(_xlpm.q,1)&amp;" "&amp;_xlpm.ai_test)),""),""))))</f>
        <v>0</v>
      </c>
      <c r="AW347" s="1047"/>
      <c r="AX347" s="1045">
        <f t="shared" si="155"/>
        <v>0</v>
      </c>
      <c r="AY347" s="1046" t="str">
        <f t="shared" si="156"/>
        <v/>
      </c>
      <c r="AZ347" s="1048">
        <f t="shared" si="161"/>
        <v>0</v>
      </c>
      <c r="BA347" s="1049" t="str">
        <f t="shared" si="157"/>
        <v/>
      </c>
      <c r="BB347" s="1038"/>
      <c r="BC347" s="1050">
        <f t="shared" ref="BC347:BC410" si="162">IF(OR(AN347=0,ISBLANK(BB347),ISTEXT(AZ347)),0,(IF(AT347=0,AZ347,AT347)*BB347))</f>
        <v>0</v>
      </c>
      <c r="BD347" s="1040" t="str">
        <f t="shared" si="158"/>
        <v/>
      </c>
      <c r="BE347" s="227" t="s">
        <v>22</v>
      </c>
      <c r="BF347" s="1019">
        <f t="shared" si="159"/>
        <v>0</v>
      </c>
      <c r="BG347" s="1020">
        <f t="shared" si="160"/>
        <v>0</v>
      </c>
      <c r="BH347"/>
      <c r="BI347" s="709"/>
      <c r="BJ347" s="709"/>
      <c r="BK347" s="709"/>
      <c r="BL347" s="709"/>
      <c r="BM347" s="709"/>
      <c r="BN347" s="709"/>
      <c r="BO347" s="709"/>
      <c r="BP347" s="709"/>
      <c r="BW347" s="959" t="str">
        <f t="shared" si="141"/>
        <v>►</v>
      </c>
      <c r="BX347" s="856"/>
      <c r="BY347" s="856"/>
      <c r="BZ347" s="856"/>
      <c r="CA347" s="856"/>
      <c r="CB347" s="856"/>
      <c r="DB347" s="3">
        <v>1</v>
      </c>
    </row>
    <row r="348" spans="12:106" ht="21" customHeight="1">
      <c r="L348" s="104" t="s">
        <v>16</v>
      </c>
      <c r="M348" s="1172"/>
      <c r="N348" s="1172"/>
      <c r="O348" s="1172"/>
      <c r="P348" s="1173"/>
      <c r="Q348" s="1174"/>
      <c r="R348" s="1175"/>
      <c r="S348" s="1176"/>
      <c r="T348" s="1177"/>
      <c r="U348" s="5248"/>
      <c r="V348" s="1177"/>
      <c r="W348" s="5249"/>
      <c r="X348" s="5208"/>
      <c r="Y348" s="5209"/>
      <c r="Z348" s="5210"/>
      <c r="AA348" s="5211"/>
      <c r="AB348" s="1178"/>
      <c r="AC348" s="1179"/>
      <c r="AD348" s="227" t="s">
        <v>22</v>
      </c>
      <c r="AE348" s="1027" t="str">
        <f t="shared" si="142"/>
        <v>►</v>
      </c>
      <c r="AF348" s="1028" t="str">
        <f t="shared" si="143"/>
        <v/>
      </c>
      <c r="AG348" s="1029" t="str">
        <f t="shared" si="144"/>
        <v/>
      </c>
      <c r="AH348" s="1028" t="str">
        <f t="shared" si="145"/>
        <v/>
      </c>
      <c r="AI348" s="1029" t="str">
        <f t="shared" si="146"/>
        <v/>
      </c>
      <c r="AJ348" s="1029">
        <f t="shared" si="147"/>
        <v>0</v>
      </c>
      <c r="AK348" s="1043" t="str" cm="1">
        <f t="array" ref="AK348">IF(AE348&lt;&gt;"A","",IFERROR((IFERROR(_xlfn.XLOOKUP(TRIM(SUBSTITUTE(U348,CHAR(160)," ")),$BI$15:$BI$62,$BL$15:$BL$62),IFERROR(_xlfn.XLOOKUP(TRIM(SUBSTITUTE(U348,CHAR(160)," ")),$BJ$15:$BJ$62,$BL$15:$BL$62),_xlfn.XLOOKUP(TRIM(SUBSTITUTE(U348,CHAR(160)," ")),$BK$15:$BK$62,$BL$15:$BL$62))))*T348*IF(ISBLANK(Q348),1,Q348)+IFERROR(_xlfn.XLOOKUP("RECHERCHEX",TRIM(L348:AC348),L348:AC348),0),0))</f>
        <v/>
      </c>
      <c r="AL348" s="1030">
        <f t="shared" si="148"/>
        <v>0</v>
      </c>
      <c r="AM348" s="5254" t="str">
        <f t="shared" si="139"/>
        <v/>
      </c>
      <c r="AN348" s="1031">
        <f t="shared" si="149"/>
        <v>0</v>
      </c>
      <c r="AO348" s="1031">
        <f t="shared" si="150"/>
        <v>0</v>
      </c>
      <c r="AP348" s="1032">
        <f t="shared" si="151"/>
        <v>0</v>
      </c>
      <c r="AQ348" s="5255" t="str">
        <f t="shared" si="152"/>
        <v/>
      </c>
      <c r="AR348" s="1056"/>
      <c r="AS348" s="1056"/>
      <c r="AT348" s="1034">
        <f t="shared" si="153"/>
        <v>0</v>
      </c>
      <c r="AU348" s="1035">
        <f t="shared" si="154"/>
        <v>0</v>
      </c>
      <c r="AV348" s="1057" cm="1">
        <f t="array" ref="AV348">IF(AJ348&lt;&gt;1,0,IF(OR(AT348="",N(AT348)&lt;=0.000000001),"",IF(OR(AN348="",N(AN348)&lt;=0.000000001),0,IF(ISNUMBER(AT348),IFERROR(_xlfn.LET(_xlpm.ai_test,TRIM(AI348),_xlpm.r,IFERROR(_xlfn.XLOOKUP(_xlpm.ai_test,$BI$15:$BI$62,ROW($BI$15:$BI$62),0,1),IFERROR(_xlfn.XLOOKUP(_xlpm.ai_test,$BJ$15:$BJ$62,ROW($BJ$15:$BJ$62),0,1),_xlfn.XLOOKUP(_xlpm.ai_test,$BK$15:$BK$62,ROW($BK$15:$BK$62),0,1))),_xlpm.p,_xlpm.r-MIN(ROW($BI$15:$BI$62))+1,_xlpm.f,INDEX($BL$15:$BL$62,_xlpm.p),_xlpm.u,INDEX($BM$15:$BM$62,_xlpm.p),_xlpm.s,INDEX($BO$15:$BO$62,_xlpm.p),_xlpm.q,N(AT348)/_xlpm.f,IF(_xlpm.q&gt;=_xlpm.s,ROUND(_xlpm.q,1)&amp;" "&amp;_xlpm.ai_test&amp;" = "&amp;ROUND(_xlpm.q*_xlpm.f,1)&amp;" "&amp;_xlpm.u,ROUND(_xlpm.q,1)&amp;" "&amp;_xlpm.ai_test)),""),""))))</f>
        <v>0</v>
      </c>
      <c r="AW348" s="1047"/>
      <c r="AX348" s="1034">
        <f t="shared" si="155"/>
        <v>0</v>
      </c>
      <c r="AY348" s="1035" t="str">
        <f t="shared" si="156"/>
        <v/>
      </c>
      <c r="AZ348" s="1036">
        <f t="shared" si="161"/>
        <v>0</v>
      </c>
      <c r="BA348" s="1037" t="str">
        <f t="shared" si="157"/>
        <v/>
      </c>
      <c r="BB348" s="1038"/>
      <c r="BC348" s="1039">
        <f t="shared" si="162"/>
        <v>0</v>
      </c>
      <c r="BD348" s="1040" t="str">
        <f t="shared" si="158"/>
        <v/>
      </c>
      <c r="BE348" s="227" t="s">
        <v>22</v>
      </c>
      <c r="BF348" s="1019">
        <f t="shared" si="159"/>
        <v>0</v>
      </c>
      <c r="BG348" s="1020">
        <f t="shared" si="160"/>
        <v>0</v>
      </c>
      <c r="BH348"/>
      <c r="BI348" s="709"/>
      <c r="BJ348" s="709"/>
      <c r="BK348" s="709"/>
      <c r="BL348" s="709"/>
      <c r="BM348" s="709"/>
      <c r="BN348" s="709"/>
      <c r="BO348" s="709"/>
      <c r="BP348" s="709"/>
      <c r="BW348" s="959" t="str">
        <f t="shared" si="141"/>
        <v>►</v>
      </c>
      <c r="BX348" s="856"/>
      <c r="BY348" s="856"/>
      <c r="BZ348" s="856"/>
      <c r="CA348" s="856"/>
      <c r="CB348" s="856"/>
      <c r="DB348" s="3">
        <v>1</v>
      </c>
    </row>
    <row r="349" spans="12:106" ht="21" customHeight="1">
      <c r="L349" s="104" t="s">
        <v>16</v>
      </c>
      <c r="M349" s="1172"/>
      <c r="N349" s="1172"/>
      <c r="O349" s="1172"/>
      <c r="P349" s="1173"/>
      <c r="Q349" s="1174"/>
      <c r="R349" s="1175"/>
      <c r="S349" s="1176"/>
      <c r="T349" s="1177"/>
      <c r="U349" s="5248"/>
      <c r="V349" s="1177"/>
      <c r="W349" s="5249"/>
      <c r="X349" s="5208"/>
      <c r="Y349" s="5209"/>
      <c r="Z349" s="5210"/>
      <c r="AA349" s="5211"/>
      <c r="AB349" s="1178"/>
      <c r="AC349" s="1179"/>
      <c r="AD349" s="227" t="s">
        <v>22</v>
      </c>
      <c r="AE349" s="1027" t="str">
        <f t="shared" si="142"/>
        <v>►</v>
      </c>
      <c r="AF349" s="1028" t="str">
        <f t="shared" si="143"/>
        <v/>
      </c>
      <c r="AG349" s="1029" t="str">
        <f t="shared" si="144"/>
        <v/>
      </c>
      <c r="AH349" s="1028" t="str">
        <f t="shared" si="145"/>
        <v/>
      </c>
      <c r="AI349" s="1029" t="str">
        <f t="shared" si="146"/>
        <v/>
      </c>
      <c r="AJ349" s="1029">
        <f t="shared" si="147"/>
        <v>0</v>
      </c>
      <c r="AK349" s="1043" t="str" cm="1">
        <f t="array" ref="AK349">IF(AE349&lt;&gt;"A","",IFERROR((IFERROR(_xlfn.XLOOKUP(TRIM(SUBSTITUTE(U349,CHAR(160)," ")),$BI$15:$BI$62,$BL$15:$BL$62),IFERROR(_xlfn.XLOOKUP(TRIM(SUBSTITUTE(U349,CHAR(160)," ")),$BJ$15:$BJ$62,$BL$15:$BL$62),_xlfn.XLOOKUP(TRIM(SUBSTITUTE(U349,CHAR(160)," ")),$BK$15:$BK$62,$BL$15:$BL$62))))*T349*IF(ISBLANK(Q349),1,Q349)+IFERROR(_xlfn.XLOOKUP("RECHERCHEX",TRIM(L349:AC349),L349:AC349),0),0))</f>
        <v/>
      </c>
      <c r="AL349" s="1030">
        <f t="shared" si="148"/>
        <v>0</v>
      </c>
      <c r="AM349" s="5254" t="str">
        <f t="shared" si="139"/>
        <v/>
      </c>
      <c r="AN349" s="1031">
        <f t="shared" si="149"/>
        <v>0</v>
      </c>
      <c r="AO349" s="1031">
        <f t="shared" si="150"/>
        <v>0</v>
      </c>
      <c r="AP349" s="1044">
        <f t="shared" si="151"/>
        <v>0</v>
      </c>
      <c r="AQ349" s="5257" t="str">
        <f t="shared" si="152"/>
        <v/>
      </c>
      <c r="AR349" s="1056"/>
      <c r="AS349" s="1056"/>
      <c r="AT349" s="1045">
        <f t="shared" si="153"/>
        <v>0</v>
      </c>
      <c r="AU349" s="1046">
        <f t="shared" si="154"/>
        <v>0</v>
      </c>
      <c r="AV349" s="1059" cm="1">
        <f t="array" ref="AV349">IF(AJ349&lt;&gt;1,0,IF(OR(AT349="",N(AT349)&lt;=0.000000001),"",IF(OR(AN349="",N(AN349)&lt;=0.000000001),0,IF(ISNUMBER(AT349),IFERROR(_xlfn.LET(_xlpm.ai_test,TRIM(AI349),_xlpm.r,IFERROR(_xlfn.XLOOKUP(_xlpm.ai_test,$BI$15:$BI$62,ROW($BI$15:$BI$62),0,1),IFERROR(_xlfn.XLOOKUP(_xlpm.ai_test,$BJ$15:$BJ$62,ROW($BJ$15:$BJ$62),0,1),_xlfn.XLOOKUP(_xlpm.ai_test,$BK$15:$BK$62,ROW($BK$15:$BK$62),0,1))),_xlpm.p,_xlpm.r-MIN(ROW($BI$15:$BI$62))+1,_xlpm.f,INDEX($BL$15:$BL$62,_xlpm.p),_xlpm.u,INDEX($BM$15:$BM$62,_xlpm.p),_xlpm.s,INDEX($BO$15:$BO$62,_xlpm.p),_xlpm.q,N(AT349)/_xlpm.f,IF(_xlpm.q&gt;=_xlpm.s,ROUND(_xlpm.q,1)&amp;" "&amp;_xlpm.ai_test&amp;" = "&amp;ROUND(_xlpm.q*_xlpm.f,1)&amp;" "&amp;_xlpm.u,ROUND(_xlpm.q,1)&amp;" "&amp;_xlpm.ai_test)),""),""))))</f>
        <v>0</v>
      </c>
      <c r="AW349" s="1047"/>
      <c r="AX349" s="1045">
        <f t="shared" si="155"/>
        <v>0</v>
      </c>
      <c r="AY349" s="1046" t="str">
        <f t="shared" si="156"/>
        <v/>
      </c>
      <c r="AZ349" s="1048">
        <f t="shared" si="161"/>
        <v>0</v>
      </c>
      <c r="BA349" s="1049" t="str">
        <f t="shared" si="157"/>
        <v/>
      </c>
      <c r="BB349" s="1038"/>
      <c r="BC349" s="1050">
        <f t="shared" si="162"/>
        <v>0</v>
      </c>
      <c r="BD349" s="1040" t="str">
        <f t="shared" si="158"/>
        <v/>
      </c>
      <c r="BE349" s="227" t="s">
        <v>22</v>
      </c>
      <c r="BF349" s="1019">
        <f t="shared" si="159"/>
        <v>0</v>
      </c>
      <c r="BG349" s="1020">
        <f t="shared" si="160"/>
        <v>0</v>
      </c>
      <c r="BH349"/>
      <c r="BI349" s="709"/>
      <c r="BJ349" s="709"/>
      <c r="BK349" s="709"/>
      <c r="BL349" s="709"/>
      <c r="BM349" s="709"/>
      <c r="BN349" s="709"/>
      <c r="BO349" s="709"/>
      <c r="BP349" s="709"/>
      <c r="BW349" s="959" t="str">
        <f t="shared" si="141"/>
        <v>►</v>
      </c>
      <c r="BX349" s="856"/>
      <c r="BY349" s="856"/>
      <c r="BZ349" s="856"/>
      <c r="CA349" s="856"/>
      <c r="CB349" s="856"/>
      <c r="DB349" s="3">
        <v>1</v>
      </c>
    </row>
    <row r="350" spans="12:106" ht="21" customHeight="1">
      <c r="L350" s="104" t="s">
        <v>16</v>
      </c>
      <c r="M350" s="1172"/>
      <c r="N350" s="1172"/>
      <c r="O350" s="1172"/>
      <c r="P350" s="1173"/>
      <c r="Q350" s="1174"/>
      <c r="R350" s="1175"/>
      <c r="S350" s="1176"/>
      <c r="T350" s="1177"/>
      <c r="U350" s="5248"/>
      <c r="V350" s="1177"/>
      <c r="W350" s="5249"/>
      <c r="X350" s="5208"/>
      <c r="Y350" s="5209"/>
      <c r="Z350" s="5210"/>
      <c r="AA350" s="5211"/>
      <c r="AB350" s="1178"/>
      <c r="AC350" s="1179"/>
      <c r="AD350" s="227" t="s">
        <v>22</v>
      </c>
      <c r="AE350" s="1027" t="str">
        <f t="shared" si="142"/>
        <v>►</v>
      </c>
      <c r="AF350" s="1028" t="str">
        <f t="shared" si="143"/>
        <v/>
      </c>
      <c r="AG350" s="1029" t="str">
        <f t="shared" si="144"/>
        <v/>
      </c>
      <c r="AH350" s="1028" t="str">
        <f t="shared" si="145"/>
        <v/>
      </c>
      <c r="AI350" s="1029" t="str">
        <f t="shared" si="146"/>
        <v/>
      </c>
      <c r="AJ350" s="1029">
        <f t="shared" si="147"/>
        <v>0</v>
      </c>
      <c r="AK350" s="1043" t="str" cm="1">
        <f t="array" ref="AK350">IF(AE350&lt;&gt;"A","",IFERROR((IFERROR(_xlfn.XLOOKUP(TRIM(SUBSTITUTE(U350,CHAR(160)," ")),$BI$15:$BI$62,$BL$15:$BL$62),IFERROR(_xlfn.XLOOKUP(TRIM(SUBSTITUTE(U350,CHAR(160)," ")),$BJ$15:$BJ$62,$BL$15:$BL$62),_xlfn.XLOOKUP(TRIM(SUBSTITUTE(U350,CHAR(160)," ")),$BK$15:$BK$62,$BL$15:$BL$62))))*T350*IF(ISBLANK(Q350),1,Q350)+IFERROR(_xlfn.XLOOKUP("RECHERCHEX",TRIM(L350:AC350),L350:AC350),0),0))</f>
        <v/>
      </c>
      <c r="AL350" s="1030">
        <f t="shared" si="148"/>
        <v>0</v>
      </c>
      <c r="AM350" s="5254" t="str">
        <f t="shared" ref="AM350:AM413" si="163">IF(AE350="A","❾ Author reference &gt;","")</f>
        <v/>
      </c>
      <c r="AN350" s="1031">
        <f t="shared" si="149"/>
        <v>0</v>
      </c>
      <c r="AO350" s="1031">
        <f t="shared" si="150"/>
        <v>0</v>
      </c>
      <c r="AP350" s="1032">
        <f t="shared" si="151"/>
        <v>0</v>
      </c>
      <c r="AQ350" s="5255" t="str">
        <f t="shared" si="152"/>
        <v/>
      </c>
      <c r="AR350" s="1056"/>
      <c r="AS350" s="1056"/>
      <c r="AT350" s="1034">
        <f t="shared" si="153"/>
        <v>0</v>
      </c>
      <c r="AU350" s="1035">
        <f t="shared" si="154"/>
        <v>0</v>
      </c>
      <c r="AV350" s="1057" cm="1">
        <f t="array" ref="AV350">IF(AJ350&lt;&gt;1,0,IF(OR(AT350="",N(AT350)&lt;=0.000000001),"",IF(OR(AN350="",N(AN350)&lt;=0.000000001),0,IF(ISNUMBER(AT350),IFERROR(_xlfn.LET(_xlpm.ai_test,TRIM(AI350),_xlpm.r,IFERROR(_xlfn.XLOOKUP(_xlpm.ai_test,$BI$15:$BI$62,ROW($BI$15:$BI$62),0,1),IFERROR(_xlfn.XLOOKUP(_xlpm.ai_test,$BJ$15:$BJ$62,ROW($BJ$15:$BJ$62),0,1),_xlfn.XLOOKUP(_xlpm.ai_test,$BK$15:$BK$62,ROW($BK$15:$BK$62),0,1))),_xlpm.p,_xlpm.r-MIN(ROW($BI$15:$BI$62))+1,_xlpm.f,INDEX($BL$15:$BL$62,_xlpm.p),_xlpm.u,INDEX($BM$15:$BM$62,_xlpm.p),_xlpm.s,INDEX($BO$15:$BO$62,_xlpm.p),_xlpm.q,N(AT350)/_xlpm.f,IF(_xlpm.q&gt;=_xlpm.s,ROUND(_xlpm.q,1)&amp;" "&amp;_xlpm.ai_test&amp;" = "&amp;ROUND(_xlpm.q*_xlpm.f,1)&amp;" "&amp;_xlpm.u,ROUND(_xlpm.q,1)&amp;" "&amp;_xlpm.ai_test)),""),""))))</f>
        <v>0</v>
      </c>
      <c r="AW350" s="1047"/>
      <c r="AX350" s="1034">
        <f t="shared" si="155"/>
        <v>0</v>
      </c>
      <c r="AY350" s="1035" t="str">
        <f t="shared" si="156"/>
        <v/>
      </c>
      <c r="AZ350" s="1036">
        <f t="shared" si="161"/>
        <v>0</v>
      </c>
      <c r="BA350" s="1037" t="str">
        <f t="shared" si="157"/>
        <v/>
      </c>
      <c r="BB350" s="1038"/>
      <c r="BC350" s="1039">
        <f t="shared" si="162"/>
        <v>0</v>
      </c>
      <c r="BD350" s="1040" t="str">
        <f t="shared" si="158"/>
        <v/>
      </c>
      <c r="BE350" s="227" t="s">
        <v>22</v>
      </c>
      <c r="BF350" s="1019">
        <f t="shared" si="159"/>
        <v>0</v>
      </c>
      <c r="BG350" s="1020">
        <f t="shared" si="160"/>
        <v>0</v>
      </c>
      <c r="BH350"/>
      <c r="BI350" s="709"/>
      <c r="BJ350" s="709"/>
      <c r="BK350" s="709"/>
      <c r="BL350" s="709"/>
      <c r="BM350" s="709"/>
      <c r="BN350" s="709"/>
      <c r="BO350" s="709"/>
      <c r="BP350" s="709"/>
      <c r="BW350" s="959" t="str">
        <f t="shared" si="141"/>
        <v>►</v>
      </c>
      <c r="BX350" s="856"/>
      <c r="BY350" s="856"/>
      <c r="BZ350" s="856"/>
      <c r="CA350" s="856"/>
      <c r="CB350" s="856"/>
      <c r="DB350" s="3">
        <v>1</v>
      </c>
    </row>
    <row r="351" spans="12:106" ht="21" customHeight="1">
      <c r="L351" s="104" t="s">
        <v>16</v>
      </c>
      <c r="M351" s="1172"/>
      <c r="N351" s="1172"/>
      <c r="O351" s="1172"/>
      <c r="P351" s="1173"/>
      <c r="Q351" s="1174"/>
      <c r="R351" s="1175"/>
      <c r="S351" s="1176"/>
      <c r="T351" s="1177"/>
      <c r="U351" s="5248"/>
      <c r="V351" s="1177"/>
      <c r="W351" s="5249"/>
      <c r="X351" s="5208"/>
      <c r="Y351" s="5209"/>
      <c r="Z351" s="5210"/>
      <c r="AA351" s="5211"/>
      <c r="AB351" s="1178"/>
      <c r="AC351" s="1179"/>
      <c r="AD351" s="227" t="s">
        <v>22</v>
      </c>
      <c r="AE351" s="1027" t="str">
        <f t="shared" si="142"/>
        <v>►</v>
      </c>
      <c r="AF351" s="1028" t="str">
        <f t="shared" si="143"/>
        <v/>
      </c>
      <c r="AG351" s="1029" t="str">
        <f t="shared" si="144"/>
        <v/>
      </c>
      <c r="AH351" s="1028" t="str">
        <f t="shared" si="145"/>
        <v/>
      </c>
      <c r="AI351" s="1029" t="str">
        <f t="shared" si="146"/>
        <v/>
      </c>
      <c r="AJ351" s="1029">
        <f t="shared" si="147"/>
        <v>0</v>
      </c>
      <c r="AK351" s="1043" t="str" cm="1">
        <f t="array" ref="AK351">IF(AE351&lt;&gt;"A","",IFERROR((IFERROR(_xlfn.XLOOKUP(TRIM(SUBSTITUTE(U351,CHAR(160)," ")),$BI$15:$BI$62,$BL$15:$BL$62),IFERROR(_xlfn.XLOOKUP(TRIM(SUBSTITUTE(U351,CHAR(160)," ")),$BJ$15:$BJ$62,$BL$15:$BL$62),_xlfn.XLOOKUP(TRIM(SUBSTITUTE(U351,CHAR(160)," ")),$BK$15:$BK$62,$BL$15:$BL$62))))*T351*IF(ISBLANK(Q351),1,Q351)+IFERROR(_xlfn.XLOOKUP("RECHERCHEX",TRIM(L351:AC351),L351:AC351),0),0))</f>
        <v/>
      </c>
      <c r="AL351" s="1030">
        <f t="shared" si="148"/>
        <v>0</v>
      </c>
      <c r="AM351" s="5254" t="str">
        <f t="shared" si="163"/>
        <v/>
      </c>
      <c r="AN351" s="1031">
        <f t="shared" si="149"/>
        <v>0</v>
      </c>
      <c r="AO351" s="1031">
        <f t="shared" si="150"/>
        <v>0</v>
      </c>
      <c r="AP351" s="1044">
        <f t="shared" si="151"/>
        <v>0</v>
      </c>
      <c r="AQ351" s="5257" t="str">
        <f t="shared" si="152"/>
        <v/>
      </c>
      <c r="AR351" s="1056"/>
      <c r="AS351" s="1056"/>
      <c r="AT351" s="1045">
        <f t="shared" si="153"/>
        <v>0</v>
      </c>
      <c r="AU351" s="1046">
        <f t="shared" si="154"/>
        <v>0</v>
      </c>
      <c r="AV351" s="1059" cm="1">
        <f t="array" ref="AV351">IF(AJ351&lt;&gt;1,0,IF(OR(AT351="",N(AT351)&lt;=0.000000001),"",IF(OR(AN351="",N(AN351)&lt;=0.000000001),0,IF(ISNUMBER(AT351),IFERROR(_xlfn.LET(_xlpm.ai_test,TRIM(AI351),_xlpm.r,IFERROR(_xlfn.XLOOKUP(_xlpm.ai_test,$BI$15:$BI$62,ROW($BI$15:$BI$62),0,1),IFERROR(_xlfn.XLOOKUP(_xlpm.ai_test,$BJ$15:$BJ$62,ROW($BJ$15:$BJ$62),0,1),_xlfn.XLOOKUP(_xlpm.ai_test,$BK$15:$BK$62,ROW($BK$15:$BK$62),0,1))),_xlpm.p,_xlpm.r-MIN(ROW($BI$15:$BI$62))+1,_xlpm.f,INDEX($BL$15:$BL$62,_xlpm.p),_xlpm.u,INDEX($BM$15:$BM$62,_xlpm.p),_xlpm.s,INDEX($BO$15:$BO$62,_xlpm.p),_xlpm.q,N(AT351)/_xlpm.f,IF(_xlpm.q&gt;=_xlpm.s,ROUND(_xlpm.q,1)&amp;" "&amp;_xlpm.ai_test&amp;" = "&amp;ROUND(_xlpm.q*_xlpm.f,1)&amp;" "&amp;_xlpm.u,ROUND(_xlpm.q,1)&amp;" "&amp;_xlpm.ai_test)),""),""))))</f>
        <v>0</v>
      </c>
      <c r="AW351" s="1047"/>
      <c r="AX351" s="1045">
        <f t="shared" si="155"/>
        <v>0</v>
      </c>
      <c r="AY351" s="1046" t="str">
        <f t="shared" si="156"/>
        <v/>
      </c>
      <c r="AZ351" s="1048">
        <f t="shared" si="161"/>
        <v>0</v>
      </c>
      <c r="BA351" s="1049" t="str">
        <f t="shared" si="157"/>
        <v/>
      </c>
      <c r="BB351" s="1038"/>
      <c r="BC351" s="1050">
        <f t="shared" si="162"/>
        <v>0</v>
      </c>
      <c r="BD351" s="1040" t="str">
        <f t="shared" si="158"/>
        <v/>
      </c>
      <c r="BE351" s="227" t="s">
        <v>22</v>
      </c>
      <c r="BF351" s="1019">
        <f t="shared" si="159"/>
        <v>0</v>
      </c>
      <c r="BG351" s="1020">
        <f t="shared" si="160"/>
        <v>0</v>
      </c>
      <c r="BH351"/>
      <c r="BI351" s="709"/>
      <c r="BJ351" s="709"/>
      <c r="BK351" s="709"/>
      <c r="BL351" s="709"/>
      <c r="BM351" s="709"/>
      <c r="BN351" s="709"/>
      <c r="BO351" s="709"/>
      <c r="BP351" s="709"/>
      <c r="BW351" s="959" t="str">
        <f t="shared" si="141"/>
        <v>►</v>
      </c>
      <c r="BX351" s="856"/>
      <c r="BY351" s="856"/>
      <c r="BZ351" s="856"/>
      <c r="CA351" s="856"/>
      <c r="CB351" s="856"/>
      <c r="DB351" s="3">
        <v>1</v>
      </c>
    </row>
    <row r="352" spans="12:106" ht="21" customHeight="1">
      <c r="L352" s="104" t="s">
        <v>16</v>
      </c>
      <c r="M352" s="1172"/>
      <c r="N352" s="1172"/>
      <c r="O352" s="1172"/>
      <c r="P352" s="1173"/>
      <c r="Q352" s="1174"/>
      <c r="R352" s="1175"/>
      <c r="S352" s="1176"/>
      <c r="T352" s="1177"/>
      <c r="U352" s="5248"/>
      <c r="V352" s="1177"/>
      <c r="W352" s="5249"/>
      <c r="X352" s="5208"/>
      <c r="Y352" s="5209"/>
      <c r="Z352" s="5210"/>
      <c r="AA352" s="5211"/>
      <c r="AB352" s="1178"/>
      <c r="AC352" s="1179"/>
      <c r="AD352" s="227" t="s">
        <v>22</v>
      </c>
      <c r="AE352" s="1027" t="str">
        <f t="shared" si="142"/>
        <v>►</v>
      </c>
      <c r="AF352" s="1028" t="str">
        <f t="shared" si="143"/>
        <v/>
      </c>
      <c r="AG352" s="1029" t="str">
        <f t="shared" si="144"/>
        <v/>
      </c>
      <c r="AH352" s="1028" t="str">
        <f t="shared" si="145"/>
        <v/>
      </c>
      <c r="AI352" s="1029" t="str">
        <f t="shared" si="146"/>
        <v/>
      </c>
      <c r="AJ352" s="1029">
        <f t="shared" si="147"/>
        <v>0</v>
      </c>
      <c r="AK352" s="1043" t="str" cm="1">
        <f t="array" ref="AK352">IF(AE352&lt;&gt;"A","",IFERROR((IFERROR(_xlfn.XLOOKUP(TRIM(SUBSTITUTE(U352,CHAR(160)," ")),$BI$15:$BI$62,$BL$15:$BL$62),IFERROR(_xlfn.XLOOKUP(TRIM(SUBSTITUTE(U352,CHAR(160)," ")),$BJ$15:$BJ$62,$BL$15:$BL$62),_xlfn.XLOOKUP(TRIM(SUBSTITUTE(U352,CHAR(160)," ")),$BK$15:$BK$62,$BL$15:$BL$62))))*T352*IF(ISBLANK(Q352),1,Q352)+IFERROR(_xlfn.XLOOKUP("RECHERCHEX",TRIM(L352:AC352),L352:AC352),0),0))</f>
        <v/>
      </c>
      <c r="AL352" s="1030">
        <f t="shared" si="148"/>
        <v>0</v>
      </c>
      <c r="AM352" s="5254" t="str">
        <f t="shared" si="163"/>
        <v/>
      </c>
      <c r="AN352" s="1031">
        <f t="shared" si="149"/>
        <v>0</v>
      </c>
      <c r="AO352" s="1031">
        <f t="shared" si="150"/>
        <v>0</v>
      </c>
      <c r="AP352" s="1032">
        <f t="shared" si="151"/>
        <v>0</v>
      </c>
      <c r="AQ352" s="5255" t="str">
        <f t="shared" si="152"/>
        <v/>
      </c>
      <c r="AR352" s="1056"/>
      <c r="AS352" s="1056"/>
      <c r="AT352" s="1034">
        <f t="shared" si="153"/>
        <v>0</v>
      </c>
      <c r="AU352" s="1035">
        <f t="shared" si="154"/>
        <v>0</v>
      </c>
      <c r="AV352" s="1057" cm="1">
        <f t="array" ref="AV352">IF(AJ352&lt;&gt;1,0,IF(OR(AT352="",N(AT352)&lt;=0.000000001),"",IF(OR(AN352="",N(AN352)&lt;=0.000000001),0,IF(ISNUMBER(AT352),IFERROR(_xlfn.LET(_xlpm.ai_test,TRIM(AI352),_xlpm.r,IFERROR(_xlfn.XLOOKUP(_xlpm.ai_test,$BI$15:$BI$62,ROW($BI$15:$BI$62),0,1),IFERROR(_xlfn.XLOOKUP(_xlpm.ai_test,$BJ$15:$BJ$62,ROW($BJ$15:$BJ$62),0,1),_xlfn.XLOOKUP(_xlpm.ai_test,$BK$15:$BK$62,ROW($BK$15:$BK$62),0,1))),_xlpm.p,_xlpm.r-MIN(ROW($BI$15:$BI$62))+1,_xlpm.f,INDEX($BL$15:$BL$62,_xlpm.p),_xlpm.u,INDEX($BM$15:$BM$62,_xlpm.p),_xlpm.s,INDEX($BO$15:$BO$62,_xlpm.p),_xlpm.q,N(AT352)/_xlpm.f,IF(_xlpm.q&gt;=_xlpm.s,ROUND(_xlpm.q,1)&amp;" "&amp;_xlpm.ai_test&amp;" = "&amp;ROUND(_xlpm.q*_xlpm.f,1)&amp;" "&amp;_xlpm.u,ROUND(_xlpm.q,1)&amp;" "&amp;_xlpm.ai_test)),""),""))))</f>
        <v>0</v>
      </c>
      <c r="AW352" s="1047"/>
      <c r="AX352" s="1034">
        <f t="shared" si="155"/>
        <v>0</v>
      </c>
      <c r="AY352" s="1035" t="str">
        <f t="shared" si="156"/>
        <v/>
      </c>
      <c r="AZ352" s="1036">
        <f t="shared" si="161"/>
        <v>0</v>
      </c>
      <c r="BA352" s="1037" t="str">
        <f t="shared" si="157"/>
        <v/>
      </c>
      <c r="BB352" s="1038"/>
      <c r="BC352" s="1039">
        <f t="shared" si="162"/>
        <v>0</v>
      </c>
      <c r="BD352" s="1040" t="str">
        <f t="shared" si="158"/>
        <v/>
      </c>
      <c r="BE352" s="227" t="s">
        <v>22</v>
      </c>
      <c r="BF352" s="1019">
        <f t="shared" si="159"/>
        <v>0</v>
      </c>
      <c r="BG352" s="1020">
        <f t="shared" si="160"/>
        <v>0</v>
      </c>
      <c r="BH352"/>
      <c r="BI352" s="709"/>
      <c r="BJ352" s="709"/>
      <c r="BK352" s="709"/>
      <c r="BL352" s="709"/>
      <c r="BM352" s="709"/>
      <c r="BN352" s="709"/>
      <c r="BO352" s="709"/>
      <c r="BP352" s="709"/>
      <c r="BW352" s="959" t="str">
        <f t="shared" si="141"/>
        <v>►</v>
      </c>
      <c r="BX352" s="856"/>
      <c r="BY352" s="856"/>
      <c r="BZ352" s="856"/>
      <c r="CA352" s="856"/>
      <c r="CB352" s="856"/>
      <c r="DB352" s="3">
        <v>1</v>
      </c>
    </row>
    <row r="353" spans="12:106" ht="21" customHeight="1">
      <c r="L353" s="104" t="s">
        <v>16</v>
      </c>
      <c r="M353" s="1172"/>
      <c r="N353" s="1172"/>
      <c r="O353" s="1172"/>
      <c r="P353" s="1173"/>
      <c r="Q353" s="1174"/>
      <c r="R353" s="1175"/>
      <c r="S353" s="1176"/>
      <c r="T353" s="1177"/>
      <c r="U353" s="5248"/>
      <c r="V353" s="1177"/>
      <c r="W353" s="5249"/>
      <c r="X353" s="5208"/>
      <c r="Y353" s="5209"/>
      <c r="Z353" s="5210"/>
      <c r="AA353" s="5211"/>
      <c r="AB353" s="1178"/>
      <c r="AC353" s="1179"/>
      <c r="AD353" s="227" t="s">
        <v>22</v>
      </c>
      <c r="AE353" s="1027" t="str">
        <f t="shared" si="142"/>
        <v>►</v>
      </c>
      <c r="AF353" s="1028" t="str">
        <f t="shared" si="143"/>
        <v/>
      </c>
      <c r="AG353" s="1029" t="str">
        <f t="shared" si="144"/>
        <v/>
      </c>
      <c r="AH353" s="1028" t="str">
        <f t="shared" si="145"/>
        <v/>
      </c>
      <c r="AI353" s="1029" t="str">
        <f t="shared" si="146"/>
        <v/>
      </c>
      <c r="AJ353" s="1029">
        <f t="shared" si="147"/>
        <v>0</v>
      </c>
      <c r="AK353" s="1043" t="str" cm="1">
        <f t="array" ref="AK353">IF(AE353&lt;&gt;"A","",IFERROR((IFERROR(_xlfn.XLOOKUP(TRIM(SUBSTITUTE(U353,CHAR(160)," ")),$BI$15:$BI$62,$BL$15:$BL$62),IFERROR(_xlfn.XLOOKUP(TRIM(SUBSTITUTE(U353,CHAR(160)," ")),$BJ$15:$BJ$62,$BL$15:$BL$62),_xlfn.XLOOKUP(TRIM(SUBSTITUTE(U353,CHAR(160)," ")),$BK$15:$BK$62,$BL$15:$BL$62))))*T353*IF(ISBLANK(Q353),1,Q353)+IFERROR(_xlfn.XLOOKUP("RECHERCHEX",TRIM(L353:AC353),L353:AC353),0),0))</f>
        <v/>
      </c>
      <c r="AL353" s="1030">
        <f t="shared" si="148"/>
        <v>0</v>
      </c>
      <c r="AM353" s="5254" t="str">
        <f t="shared" si="163"/>
        <v/>
      </c>
      <c r="AN353" s="1031">
        <f t="shared" si="149"/>
        <v>0</v>
      </c>
      <c r="AO353" s="1031">
        <f t="shared" si="150"/>
        <v>0</v>
      </c>
      <c r="AP353" s="1044">
        <f t="shared" si="151"/>
        <v>0</v>
      </c>
      <c r="AQ353" s="5257" t="str">
        <f t="shared" si="152"/>
        <v/>
      </c>
      <c r="AR353" s="1056"/>
      <c r="AS353" s="1056"/>
      <c r="AT353" s="1045">
        <f t="shared" si="153"/>
        <v>0</v>
      </c>
      <c r="AU353" s="1046">
        <f t="shared" si="154"/>
        <v>0</v>
      </c>
      <c r="AV353" s="1059" cm="1">
        <f t="array" ref="AV353">IF(AJ353&lt;&gt;1,0,IF(OR(AT353="",N(AT353)&lt;=0.000000001),"",IF(OR(AN353="",N(AN353)&lt;=0.000000001),0,IF(ISNUMBER(AT353),IFERROR(_xlfn.LET(_xlpm.ai_test,TRIM(AI353),_xlpm.r,IFERROR(_xlfn.XLOOKUP(_xlpm.ai_test,$BI$15:$BI$62,ROW($BI$15:$BI$62),0,1),IFERROR(_xlfn.XLOOKUP(_xlpm.ai_test,$BJ$15:$BJ$62,ROW($BJ$15:$BJ$62),0,1),_xlfn.XLOOKUP(_xlpm.ai_test,$BK$15:$BK$62,ROW($BK$15:$BK$62),0,1))),_xlpm.p,_xlpm.r-MIN(ROW($BI$15:$BI$62))+1,_xlpm.f,INDEX($BL$15:$BL$62,_xlpm.p),_xlpm.u,INDEX($BM$15:$BM$62,_xlpm.p),_xlpm.s,INDEX($BO$15:$BO$62,_xlpm.p),_xlpm.q,N(AT353)/_xlpm.f,IF(_xlpm.q&gt;=_xlpm.s,ROUND(_xlpm.q,1)&amp;" "&amp;_xlpm.ai_test&amp;" = "&amp;ROUND(_xlpm.q*_xlpm.f,1)&amp;" "&amp;_xlpm.u,ROUND(_xlpm.q,1)&amp;" "&amp;_xlpm.ai_test)),""),""))))</f>
        <v>0</v>
      </c>
      <c r="AW353" s="1047"/>
      <c r="AX353" s="1045">
        <f t="shared" si="155"/>
        <v>0</v>
      </c>
      <c r="AY353" s="1046" t="str">
        <f t="shared" si="156"/>
        <v/>
      </c>
      <c r="AZ353" s="1048">
        <f t="shared" si="161"/>
        <v>0</v>
      </c>
      <c r="BA353" s="1049" t="str">
        <f t="shared" si="157"/>
        <v/>
      </c>
      <c r="BB353" s="1038"/>
      <c r="BC353" s="1050">
        <f t="shared" si="162"/>
        <v>0</v>
      </c>
      <c r="BD353" s="1040" t="str">
        <f t="shared" si="158"/>
        <v/>
      </c>
      <c r="BE353" s="227" t="s">
        <v>22</v>
      </c>
      <c r="BF353" s="1019">
        <f t="shared" si="159"/>
        <v>0</v>
      </c>
      <c r="BG353" s="1020">
        <f t="shared" si="160"/>
        <v>0</v>
      </c>
      <c r="BH353"/>
      <c r="BI353" s="709"/>
      <c r="BJ353" s="709"/>
      <c r="BK353" s="709"/>
      <c r="BL353" s="709"/>
      <c r="BM353" s="709"/>
      <c r="BN353" s="709"/>
      <c r="BO353" s="709"/>
      <c r="BP353" s="709"/>
      <c r="BW353" s="959" t="str">
        <f t="shared" si="141"/>
        <v>►</v>
      </c>
      <c r="BX353" s="856"/>
      <c r="BY353" s="856"/>
      <c r="BZ353" s="856"/>
      <c r="CA353" s="856"/>
      <c r="CB353" s="856"/>
      <c r="DB353" s="3">
        <v>1</v>
      </c>
    </row>
    <row r="354" spans="12:106" ht="21" customHeight="1">
      <c r="L354" s="104" t="s">
        <v>16</v>
      </c>
      <c r="M354" s="1172"/>
      <c r="N354" s="1172"/>
      <c r="O354" s="1172"/>
      <c r="P354" s="1173"/>
      <c r="Q354" s="1174"/>
      <c r="R354" s="1175"/>
      <c r="S354" s="1176"/>
      <c r="T354" s="1177"/>
      <c r="U354" s="5248"/>
      <c r="V354" s="1177"/>
      <c r="W354" s="5249"/>
      <c r="X354" s="5208"/>
      <c r="Y354" s="5209"/>
      <c r="Z354" s="5210"/>
      <c r="AA354" s="5211"/>
      <c r="AB354" s="1178"/>
      <c r="AC354" s="1179"/>
      <c r="AD354" s="227" t="s">
        <v>22</v>
      </c>
      <c r="AE354" s="1027" t="str">
        <f t="shared" si="142"/>
        <v>►</v>
      </c>
      <c r="AF354" s="1028" t="str">
        <f t="shared" si="143"/>
        <v/>
      </c>
      <c r="AG354" s="1029" t="str">
        <f t="shared" si="144"/>
        <v/>
      </c>
      <c r="AH354" s="1028" t="str">
        <f t="shared" si="145"/>
        <v/>
      </c>
      <c r="AI354" s="1029" t="str">
        <f t="shared" si="146"/>
        <v/>
      </c>
      <c r="AJ354" s="1029">
        <f t="shared" si="147"/>
        <v>0</v>
      </c>
      <c r="AK354" s="1043" t="str" cm="1">
        <f t="array" ref="AK354">IF(AE354&lt;&gt;"A","",IFERROR((IFERROR(_xlfn.XLOOKUP(TRIM(SUBSTITUTE(U354,CHAR(160)," ")),$BI$15:$BI$62,$BL$15:$BL$62),IFERROR(_xlfn.XLOOKUP(TRIM(SUBSTITUTE(U354,CHAR(160)," ")),$BJ$15:$BJ$62,$BL$15:$BL$62),_xlfn.XLOOKUP(TRIM(SUBSTITUTE(U354,CHAR(160)," ")),$BK$15:$BK$62,$BL$15:$BL$62))))*T354*IF(ISBLANK(Q354),1,Q354)+IFERROR(_xlfn.XLOOKUP("RECHERCHEX",TRIM(L354:AC354),L354:AC354),0),0))</f>
        <v/>
      </c>
      <c r="AL354" s="1030">
        <f t="shared" si="148"/>
        <v>0</v>
      </c>
      <c r="AM354" s="5254" t="str">
        <f t="shared" si="163"/>
        <v/>
      </c>
      <c r="AN354" s="1031">
        <f t="shared" si="149"/>
        <v>0</v>
      </c>
      <c r="AO354" s="1031">
        <f t="shared" si="150"/>
        <v>0</v>
      </c>
      <c r="AP354" s="1032">
        <f t="shared" si="151"/>
        <v>0</v>
      </c>
      <c r="AQ354" s="5255" t="str">
        <f t="shared" si="152"/>
        <v/>
      </c>
      <c r="AR354" s="1056"/>
      <c r="AS354" s="1056"/>
      <c r="AT354" s="1034">
        <f t="shared" si="153"/>
        <v>0</v>
      </c>
      <c r="AU354" s="1035">
        <f t="shared" si="154"/>
        <v>0</v>
      </c>
      <c r="AV354" s="1057" cm="1">
        <f t="array" ref="AV354">IF(AJ354&lt;&gt;1,0,IF(OR(AT354="",N(AT354)&lt;=0.000000001),"",IF(OR(AN354="",N(AN354)&lt;=0.000000001),0,IF(ISNUMBER(AT354),IFERROR(_xlfn.LET(_xlpm.ai_test,TRIM(AI354),_xlpm.r,IFERROR(_xlfn.XLOOKUP(_xlpm.ai_test,$BI$15:$BI$62,ROW($BI$15:$BI$62),0,1),IFERROR(_xlfn.XLOOKUP(_xlpm.ai_test,$BJ$15:$BJ$62,ROW($BJ$15:$BJ$62),0,1),_xlfn.XLOOKUP(_xlpm.ai_test,$BK$15:$BK$62,ROW($BK$15:$BK$62),0,1))),_xlpm.p,_xlpm.r-MIN(ROW($BI$15:$BI$62))+1,_xlpm.f,INDEX($BL$15:$BL$62,_xlpm.p),_xlpm.u,INDEX($BM$15:$BM$62,_xlpm.p),_xlpm.s,INDEX($BO$15:$BO$62,_xlpm.p),_xlpm.q,N(AT354)/_xlpm.f,IF(_xlpm.q&gt;=_xlpm.s,ROUND(_xlpm.q,1)&amp;" "&amp;_xlpm.ai_test&amp;" = "&amp;ROUND(_xlpm.q*_xlpm.f,1)&amp;" "&amp;_xlpm.u,ROUND(_xlpm.q,1)&amp;" "&amp;_xlpm.ai_test)),""),""))))</f>
        <v>0</v>
      </c>
      <c r="AW354" s="1047"/>
      <c r="AX354" s="1034">
        <f t="shared" si="155"/>
        <v>0</v>
      </c>
      <c r="AY354" s="1035" t="str">
        <f t="shared" si="156"/>
        <v/>
      </c>
      <c r="AZ354" s="1036">
        <f t="shared" si="161"/>
        <v>0</v>
      </c>
      <c r="BA354" s="1037" t="str">
        <f t="shared" si="157"/>
        <v/>
      </c>
      <c r="BB354" s="1038"/>
      <c r="BC354" s="1039">
        <f t="shared" si="162"/>
        <v>0</v>
      </c>
      <c r="BD354" s="1040" t="str">
        <f t="shared" si="158"/>
        <v/>
      </c>
      <c r="BE354" s="227" t="s">
        <v>22</v>
      </c>
      <c r="BF354" s="1019">
        <f t="shared" si="159"/>
        <v>0</v>
      </c>
      <c r="BG354" s="1020">
        <f t="shared" si="160"/>
        <v>0</v>
      </c>
      <c r="BH354"/>
      <c r="BI354" s="709"/>
      <c r="BJ354" s="709"/>
      <c r="BK354" s="709"/>
      <c r="BL354" s="709"/>
      <c r="BM354" s="709"/>
      <c r="BN354" s="709"/>
      <c r="BO354" s="709"/>
      <c r="BP354" s="709"/>
      <c r="BW354" s="959" t="str">
        <f t="shared" si="141"/>
        <v>►</v>
      </c>
      <c r="BX354" s="856"/>
      <c r="BY354" s="856"/>
      <c r="BZ354" s="856"/>
      <c r="CA354" s="856"/>
      <c r="CB354" s="856"/>
      <c r="DB354" s="3">
        <v>1</v>
      </c>
    </row>
    <row r="355" spans="12:106" ht="21" customHeight="1">
      <c r="L355" s="104" t="s">
        <v>16</v>
      </c>
      <c r="M355" s="1172"/>
      <c r="N355" s="1172"/>
      <c r="O355" s="1172"/>
      <c r="P355" s="1173"/>
      <c r="Q355" s="1174"/>
      <c r="R355" s="1175"/>
      <c r="S355" s="1176"/>
      <c r="T355" s="1177"/>
      <c r="U355" s="5248"/>
      <c r="V355" s="1177"/>
      <c r="W355" s="5249"/>
      <c r="X355" s="5208"/>
      <c r="Y355" s="5209"/>
      <c r="Z355" s="5210"/>
      <c r="AA355" s="5211"/>
      <c r="AB355" s="1178"/>
      <c r="AC355" s="1179"/>
      <c r="AD355" s="227" t="s">
        <v>22</v>
      </c>
      <c r="AE355" s="1027" t="str">
        <f t="shared" si="142"/>
        <v>►</v>
      </c>
      <c r="AF355" s="1028" t="str">
        <f t="shared" si="143"/>
        <v/>
      </c>
      <c r="AG355" s="1029" t="str">
        <f t="shared" si="144"/>
        <v/>
      </c>
      <c r="AH355" s="1028" t="str">
        <f t="shared" si="145"/>
        <v/>
      </c>
      <c r="AI355" s="1029" t="str">
        <f t="shared" si="146"/>
        <v/>
      </c>
      <c r="AJ355" s="1029">
        <f t="shared" si="147"/>
        <v>0</v>
      </c>
      <c r="AK355" s="1043" t="str" cm="1">
        <f t="array" ref="AK355">IF(AE355&lt;&gt;"A","",IFERROR((IFERROR(_xlfn.XLOOKUP(TRIM(SUBSTITUTE(U355,CHAR(160)," ")),$BI$15:$BI$62,$BL$15:$BL$62),IFERROR(_xlfn.XLOOKUP(TRIM(SUBSTITUTE(U355,CHAR(160)," ")),$BJ$15:$BJ$62,$BL$15:$BL$62),_xlfn.XLOOKUP(TRIM(SUBSTITUTE(U355,CHAR(160)," ")),$BK$15:$BK$62,$BL$15:$BL$62))))*T355*IF(ISBLANK(Q355),1,Q355)+IFERROR(_xlfn.XLOOKUP("RECHERCHEX",TRIM(L355:AC355),L355:AC355),0),0))</f>
        <v/>
      </c>
      <c r="AL355" s="1030">
        <f t="shared" si="148"/>
        <v>0</v>
      </c>
      <c r="AM355" s="5254" t="str">
        <f t="shared" si="163"/>
        <v/>
      </c>
      <c r="AN355" s="1031">
        <f t="shared" si="149"/>
        <v>0</v>
      </c>
      <c r="AO355" s="1031">
        <f t="shared" si="150"/>
        <v>0</v>
      </c>
      <c r="AP355" s="1044">
        <f t="shared" si="151"/>
        <v>0</v>
      </c>
      <c r="AQ355" s="5257" t="str">
        <f t="shared" si="152"/>
        <v/>
      </c>
      <c r="AR355" s="1056"/>
      <c r="AS355" s="1056"/>
      <c r="AT355" s="1045">
        <f t="shared" si="153"/>
        <v>0</v>
      </c>
      <c r="AU355" s="1046">
        <f t="shared" si="154"/>
        <v>0</v>
      </c>
      <c r="AV355" s="1059" cm="1">
        <f t="array" ref="AV355">IF(AJ355&lt;&gt;1,0,IF(OR(AT355="",N(AT355)&lt;=0.000000001),"",IF(OR(AN355="",N(AN355)&lt;=0.000000001),0,IF(ISNUMBER(AT355),IFERROR(_xlfn.LET(_xlpm.ai_test,TRIM(AI355),_xlpm.r,IFERROR(_xlfn.XLOOKUP(_xlpm.ai_test,$BI$15:$BI$62,ROW($BI$15:$BI$62),0,1),IFERROR(_xlfn.XLOOKUP(_xlpm.ai_test,$BJ$15:$BJ$62,ROW($BJ$15:$BJ$62),0,1),_xlfn.XLOOKUP(_xlpm.ai_test,$BK$15:$BK$62,ROW($BK$15:$BK$62),0,1))),_xlpm.p,_xlpm.r-MIN(ROW($BI$15:$BI$62))+1,_xlpm.f,INDEX($BL$15:$BL$62,_xlpm.p),_xlpm.u,INDEX($BM$15:$BM$62,_xlpm.p),_xlpm.s,INDEX($BO$15:$BO$62,_xlpm.p),_xlpm.q,N(AT355)/_xlpm.f,IF(_xlpm.q&gt;=_xlpm.s,ROUND(_xlpm.q,1)&amp;" "&amp;_xlpm.ai_test&amp;" = "&amp;ROUND(_xlpm.q*_xlpm.f,1)&amp;" "&amp;_xlpm.u,ROUND(_xlpm.q,1)&amp;" "&amp;_xlpm.ai_test)),""),""))))</f>
        <v>0</v>
      </c>
      <c r="AW355" s="1047"/>
      <c r="AX355" s="1045">
        <f t="shared" si="155"/>
        <v>0</v>
      </c>
      <c r="AY355" s="1046" t="str">
        <f t="shared" si="156"/>
        <v/>
      </c>
      <c r="AZ355" s="1048">
        <f t="shared" si="161"/>
        <v>0</v>
      </c>
      <c r="BA355" s="1049" t="str">
        <f t="shared" si="157"/>
        <v/>
      </c>
      <c r="BB355" s="1038"/>
      <c r="BC355" s="1050">
        <f t="shared" si="162"/>
        <v>0</v>
      </c>
      <c r="BD355" s="1040" t="str">
        <f t="shared" si="158"/>
        <v/>
      </c>
      <c r="BE355" s="227" t="s">
        <v>22</v>
      </c>
      <c r="BF355" s="1019">
        <f t="shared" si="159"/>
        <v>0</v>
      </c>
      <c r="BG355" s="1020">
        <f t="shared" si="160"/>
        <v>0</v>
      </c>
      <c r="BH355"/>
      <c r="BI355" s="709"/>
      <c r="BJ355" s="709"/>
      <c r="BK355" s="709"/>
      <c r="BL355" s="709"/>
      <c r="BM355" s="709"/>
      <c r="BN355" s="709"/>
      <c r="BO355" s="709"/>
      <c r="BP355" s="709"/>
      <c r="BW355" s="959" t="str">
        <f t="shared" si="141"/>
        <v>►</v>
      </c>
      <c r="BX355" s="856"/>
      <c r="BY355" s="856"/>
      <c r="BZ355" s="856"/>
      <c r="CA355" s="856"/>
      <c r="CB355" s="856"/>
      <c r="DB355" s="3">
        <v>1</v>
      </c>
    </row>
    <row r="356" spans="12:106" ht="21" customHeight="1">
      <c r="L356" s="104" t="s">
        <v>16</v>
      </c>
      <c r="M356" s="1172"/>
      <c r="N356" s="1172"/>
      <c r="O356" s="1172"/>
      <c r="P356" s="1173"/>
      <c r="Q356" s="1174"/>
      <c r="R356" s="1175"/>
      <c r="S356" s="1176"/>
      <c r="T356" s="1177"/>
      <c r="U356" s="5248"/>
      <c r="V356" s="1177"/>
      <c r="W356" s="5249"/>
      <c r="X356" s="5208"/>
      <c r="Y356" s="5209"/>
      <c r="Z356" s="5210"/>
      <c r="AA356" s="5211"/>
      <c r="AB356" s="1178"/>
      <c r="AC356" s="1179"/>
      <c r="AD356" s="227" t="s">
        <v>22</v>
      </c>
      <c r="AE356" s="1027" t="str">
        <f t="shared" si="142"/>
        <v>►</v>
      </c>
      <c r="AF356" s="1028" t="str">
        <f t="shared" si="143"/>
        <v/>
      </c>
      <c r="AG356" s="1029" t="str">
        <f t="shared" si="144"/>
        <v/>
      </c>
      <c r="AH356" s="1028" t="str">
        <f t="shared" si="145"/>
        <v/>
      </c>
      <c r="AI356" s="1029" t="str">
        <f t="shared" si="146"/>
        <v/>
      </c>
      <c r="AJ356" s="1029">
        <f t="shared" si="147"/>
        <v>0</v>
      </c>
      <c r="AK356" s="1043" t="str" cm="1">
        <f t="array" ref="AK356">IF(AE356&lt;&gt;"A","",IFERROR((IFERROR(_xlfn.XLOOKUP(TRIM(SUBSTITUTE(U356,CHAR(160)," ")),$BI$15:$BI$62,$BL$15:$BL$62),IFERROR(_xlfn.XLOOKUP(TRIM(SUBSTITUTE(U356,CHAR(160)," ")),$BJ$15:$BJ$62,$BL$15:$BL$62),_xlfn.XLOOKUP(TRIM(SUBSTITUTE(U356,CHAR(160)," ")),$BK$15:$BK$62,$BL$15:$BL$62))))*T356*IF(ISBLANK(Q356),1,Q356)+IFERROR(_xlfn.XLOOKUP("RECHERCHEX",TRIM(L356:AC356),L356:AC356),0),0))</f>
        <v/>
      </c>
      <c r="AL356" s="1030">
        <f t="shared" si="148"/>
        <v>0</v>
      </c>
      <c r="AM356" s="5254" t="str">
        <f t="shared" si="163"/>
        <v/>
      </c>
      <c r="AN356" s="1031">
        <f t="shared" si="149"/>
        <v>0</v>
      </c>
      <c r="AO356" s="1031">
        <f t="shared" si="150"/>
        <v>0</v>
      </c>
      <c r="AP356" s="1032">
        <f t="shared" si="151"/>
        <v>0</v>
      </c>
      <c r="AQ356" s="5255" t="str">
        <f t="shared" si="152"/>
        <v/>
      </c>
      <c r="AR356" s="1056"/>
      <c r="AS356" s="1056"/>
      <c r="AT356" s="1034">
        <f t="shared" si="153"/>
        <v>0</v>
      </c>
      <c r="AU356" s="1035">
        <f t="shared" si="154"/>
        <v>0</v>
      </c>
      <c r="AV356" s="1057" cm="1">
        <f t="array" ref="AV356">IF(AJ356&lt;&gt;1,0,IF(OR(AT356="",N(AT356)&lt;=0.000000001),"",IF(OR(AN356="",N(AN356)&lt;=0.000000001),0,IF(ISNUMBER(AT356),IFERROR(_xlfn.LET(_xlpm.ai_test,TRIM(AI356),_xlpm.r,IFERROR(_xlfn.XLOOKUP(_xlpm.ai_test,$BI$15:$BI$62,ROW($BI$15:$BI$62),0,1),IFERROR(_xlfn.XLOOKUP(_xlpm.ai_test,$BJ$15:$BJ$62,ROW($BJ$15:$BJ$62),0,1),_xlfn.XLOOKUP(_xlpm.ai_test,$BK$15:$BK$62,ROW($BK$15:$BK$62),0,1))),_xlpm.p,_xlpm.r-MIN(ROW($BI$15:$BI$62))+1,_xlpm.f,INDEX($BL$15:$BL$62,_xlpm.p),_xlpm.u,INDEX($BM$15:$BM$62,_xlpm.p),_xlpm.s,INDEX($BO$15:$BO$62,_xlpm.p),_xlpm.q,N(AT356)/_xlpm.f,IF(_xlpm.q&gt;=_xlpm.s,ROUND(_xlpm.q,1)&amp;" "&amp;_xlpm.ai_test&amp;" = "&amp;ROUND(_xlpm.q*_xlpm.f,1)&amp;" "&amp;_xlpm.u,ROUND(_xlpm.q,1)&amp;" "&amp;_xlpm.ai_test)),""),""))))</f>
        <v>0</v>
      </c>
      <c r="AW356" s="1047"/>
      <c r="AX356" s="1034">
        <f t="shared" si="155"/>
        <v>0</v>
      </c>
      <c r="AY356" s="1035" t="str">
        <f t="shared" si="156"/>
        <v/>
      </c>
      <c r="AZ356" s="1036">
        <f t="shared" si="161"/>
        <v>0</v>
      </c>
      <c r="BA356" s="1037" t="str">
        <f t="shared" si="157"/>
        <v/>
      </c>
      <c r="BB356" s="1038"/>
      <c r="BC356" s="1039">
        <f t="shared" si="162"/>
        <v>0</v>
      </c>
      <c r="BD356" s="1040" t="str">
        <f t="shared" si="158"/>
        <v/>
      </c>
      <c r="BE356" s="227" t="s">
        <v>22</v>
      </c>
      <c r="BF356" s="1019">
        <f t="shared" si="159"/>
        <v>0</v>
      </c>
      <c r="BG356" s="1020">
        <f t="shared" si="160"/>
        <v>0</v>
      </c>
      <c r="BH356"/>
      <c r="BI356" s="709"/>
      <c r="BJ356" s="709"/>
      <c r="BK356" s="709"/>
      <c r="BL356" s="709"/>
      <c r="BM356" s="709"/>
      <c r="BN356" s="709"/>
      <c r="BO356" s="709"/>
      <c r="BP356" s="709"/>
      <c r="BW356" s="959" t="str">
        <f t="shared" si="141"/>
        <v>►</v>
      </c>
      <c r="BX356" s="856"/>
      <c r="BY356" s="856"/>
      <c r="BZ356" s="856"/>
      <c r="CA356" s="856"/>
      <c r="CB356" s="856"/>
      <c r="DB356" s="3">
        <v>1</v>
      </c>
    </row>
    <row r="357" spans="12:106" ht="21" customHeight="1">
      <c r="L357" s="104" t="s">
        <v>16</v>
      </c>
      <c r="M357" s="1172"/>
      <c r="N357" s="1172"/>
      <c r="O357" s="1172"/>
      <c r="P357" s="1173"/>
      <c r="Q357" s="1174"/>
      <c r="R357" s="1175"/>
      <c r="S357" s="1176"/>
      <c r="T357" s="1177"/>
      <c r="U357" s="5248"/>
      <c r="V357" s="1177"/>
      <c r="W357" s="5249"/>
      <c r="X357" s="5208"/>
      <c r="Y357" s="5209"/>
      <c r="Z357" s="5210"/>
      <c r="AA357" s="5211"/>
      <c r="AB357" s="1178"/>
      <c r="AC357" s="1179"/>
      <c r="AD357" s="227" t="s">
        <v>22</v>
      </c>
      <c r="AE357" s="1027" t="str">
        <f t="shared" si="142"/>
        <v>►</v>
      </c>
      <c r="AF357" s="1028" t="str">
        <f t="shared" si="143"/>
        <v/>
      </c>
      <c r="AG357" s="1029" t="str">
        <f t="shared" si="144"/>
        <v/>
      </c>
      <c r="AH357" s="1028" t="str">
        <f t="shared" si="145"/>
        <v/>
      </c>
      <c r="AI357" s="1029" t="str">
        <f t="shared" si="146"/>
        <v/>
      </c>
      <c r="AJ357" s="1029">
        <f t="shared" si="147"/>
        <v>0</v>
      </c>
      <c r="AK357" s="1043" t="str" cm="1">
        <f t="array" ref="AK357">IF(AE357&lt;&gt;"A","",IFERROR((IFERROR(_xlfn.XLOOKUP(TRIM(SUBSTITUTE(U357,CHAR(160)," ")),$BI$15:$BI$62,$BL$15:$BL$62),IFERROR(_xlfn.XLOOKUP(TRIM(SUBSTITUTE(U357,CHAR(160)," ")),$BJ$15:$BJ$62,$BL$15:$BL$62),_xlfn.XLOOKUP(TRIM(SUBSTITUTE(U357,CHAR(160)," ")),$BK$15:$BK$62,$BL$15:$BL$62))))*T357*IF(ISBLANK(Q357),1,Q357)+IFERROR(_xlfn.XLOOKUP("RECHERCHEX",TRIM(L357:AC357),L357:AC357),0),0))</f>
        <v/>
      </c>
      <c r="AL357" s="1030">
        <f t="shared" si="148"/>
        <v>0</v>
      </c>
      <c r="AM357" s="5254" t="str">
        <f t="shared" si="163"/>
        <v/>
      </c>
      <c r="AN357" s="1031">
        <f t="shared" si="149"/>
        <v>0</v>
      </c>
      <c r="AO357" s="1031">
        <f t="shared" si="150"/>
        <v>0</v>
      </c>
      <c r="AP357" s="1044">
        <f t="shared" si="151"/>
        <v>0</v>
      </c>
      <c r="AQ357" s="5257" t="str">
        <f t="shared" si="152"/>
        <v/>
      </c>
      <c r="AR357" s="1056"/>
      <c r="AS357" s="1056"/>
      <c r="AT357" s="1045">
        <f t="shared" si="153"/>
        <v>0</v>
      </c>
      <c r="AU357" s="1046">
        <f t="shared" si="154"/>
        <v>0</v>
      </c>
      <c r="AV357" s="1059" cm="1">
        <f t="array" ref="AV357">IF(AJ357&lt;&gt;1,0,IF(OR(AT357="",N(AT357)&lt;=0.000000001),"",IF(OR(AN357="",N(AN357)&lt;=0.000000001),0,IF(ISNUMBER(AT357),IFERROR(_xlfn.LET(_xlpm.ai_test,TRIM(AI357),_xlpm.r,IFERROR(_xlfn.XLOOKUP(_xlpm.ai_test,$BI$15:$BI$62,ROW($BI$15:$BI$62),0,1),IFERROR(_xlfn.XLOOKUP(_xlpm.ai_test,$BJ$15:$BJ$62,ROW($BJ$15:$BJ$62),0,1),_xlfn.XLOOKUP(_xlpm.ai_test,$BK$15:$BK$62,ROW($BK$15:$BK$62),0,1))),_xlpm.p,_xlpm.r-MIN(ROW($BI$15:$BI$62))+1,_xlpm.f,INDEX($BL$15:$BL$62,_xlpm.p),_xlpm.u,INDEX($BM$15:$BM$62,_xlpm.p),_xlpm.s,INDEX($BO$15:$BO$62,_xlpm.p),_xlpm.q,N(AT357)/_xlpm.f,IF(_xlpm.q&gt;=_xlpm.s,ROUND(_xlpm.q,1)&amp;" "&amp;_xlpm.ai_test&amp;" = "&amp;ROUND(_xlpm.q*_xlpm.f,1)&amp;" "&amp;_xlpm.u,ROUND(_xlpm.q,1)&amp;" "&amp;_xlpm.ai_test)),""),""))))</f>
        <v>0</v>
      </c>
      <c r="AW357" s="1047"/>
      <c r="AX357" s="1045">
        <f t="shared" si="155"/>
        <v>0</v>
      </c>
      <c r="AY357" s="1046" t="str">
        <f t="shared" si="156"/>
        <v/>
      </c>
      <c r="AZ357" s="1048">
        <f t="shared" si="161"/>
        <v>0</v>
      </c>
      <c r="BA357" s="1049" t="str">
        <f t="shared" si="157"/>
        <v/>
      </c>
      <c r="BB357" s="1038"/>
      <c r="BC357" s="1050">
        <f t="shared" si="162"/>
        <v>0</v>
      </c>
      <c r="BD357" s="1040" t="str">
        <f t="shared" si="158"/>
        <v/>
      </c>
      <c r="BE357" s="227" t="s">
        <v>22</v>
      </c>
      <c r="BF357" s="1019">
        <f t="shared" si="159"/>
        <v>0</v>
      </c>
      <c r="BG357" s="1020">
        <f t="shared" si="160"/>
        <v>0</v>
      </c>
      <c r="BH357"/>
      <c r="BI357" s="709"/>
      <c r="BJ357" s="709"/>
      <c r="BK357" s="709"/>
      <c r="BL357" s="709"/>
      <c r="BM357" s="709"/>
      <c r="BN357" s="709"/>
      <c r="BO357" s="709"/>
      <c r="BP357" s="709"/>
      <c r="BW357" s="959" t="str">
        <f t="shared" si="141"/>
        <v>►</v>
      </c>
      <c r="BX357" s="856"/>
      <c r="BY357" s="856"/>
      <c r="BZ357" s="856"/>
      <c r="CA357" s="856"/>
      <c r="CB357" s="856"/>
      <c r="DB357" s="3">
        <v>1</v>
      </c>
    </row>
    <row r="358" spans="12:106" ht="21" customHeight="1">
      <c r="L358" s="104" t="s">
        <v>16</v>
      </c>
      <c r="M358" s="1172"/>
      <c r="N358" s="1172"/>
      <c r="O358" s="1172"/>
      <c r="P358" s="1173"/>
      <c r="Q358" s="1174"/>
      <c r="R358" s="1175"/>
      <c r="S358" s="1176"/>
      <c r="T358" s="1177"/>
      <c r="U358" s="5248"/>
      <c r="V358" s="1177"/>
      <c r="W358" s="5249"/>
      <c r="X358" s="5208"/>
      <c r="Y358" s="5209"/>
      <c r="Z358" s="5210"/>
      <c r="AA358" s="5211"/>
      <c r="AB358" s="1178"/>
      <c r="AC358" s="1179"/>
      <c r="AD358" s="227" t="s">
        <v>22</v>
      </c>
      <c r="AE358" s="1027" t="str">
        <f t="shared" si="142"/>
        <v>►</v>
      </c>
      <c r="AF358" s="1028" t="str">
        <f t="shared" si="143"/>
        <v/>
      </c>
      <c r="AG358" s="1029" t="str">
        <f t="shared" si="144"/>
        <v/>
      </c>
      <c r="AH358" s="1028" t="str">
        <f t="shared" si="145"/>
        <v/>
      </c>
      <c r="AI358" s="1029" t="str">
        <f t="shared" si="146"/>
        <v/>
      </c>
      <c r="AJ358" s="1029">
        <f t="shared" si="147"/>
        <v>0</v>
      </c>
      <c r="AK358" s="1043" t="str" cm="1">
        <f t="array" ref="AK358">IF(AE358&lt;&gt;"A","",IFERROR((IFERROR(_xlfn.XLOOKUP(TRIM(SUBSTITUTE(U358,CHAR(160)," ")),$BI$15:$BI$62,$BL$15:$BL$62),IFERROR(_xlfn.XLOOKUP(TRIM(SUBSTITUTE(U358,CHAR(160)," ")),$BJ$15:$BJ$62,$BL$15:$BL$62),_xlfn.XLOOKUP(TRIM(SUBSTITUTE(U358,CHAR(160)," ")),$BK$15:$BK$62,$BL$15:$BL$62))))*T358*IF(ISBLANK(Q358),1,Q358)+IFERROR(_xlfn.XLOOKUP("RECHERCHEX",TRIM(L358:AC358),L358:AC358),0),0))</f>
        <v/>
      </c>
      <c r="AL358" s="1030">
        <f t="shared" si="148"/>
        <v>0</v>
      </c>
      <c r="AM358" s="5254" t="str">
        <f t="shared" si="163"/>
        <v/>
      </c>
      <c r="AN358" s="1031">
        <f t="shared" si="149"/>
        <v>0</v>
      </c>
      <c r="AO358" s="1031">
        <f t="shared" si="150"/>
        <v>0</v>
      </c>
      <c r="AP358" s="1032">
        <f t="shared" si="151"/>
        <v>0</v>
      </c>
      <c r="AQ358" s="5255" t="str">
        <f t="shared" si="152"/>
        <v/>
      </c>
      <c r="AR358" s="1056"/>
      <c r="AS358" s="1056"/>
      <c r="AT358" s="1034">
        <f t="shared" si="153"/>
        <v>0</v>
      </c>
      <c r="AU358" s="1035">
        <f t="shared" si="154"/>
        <v>0</v>
      </c>
      <c r="AV358" s="1057" cm="1">
        <f t="array" ref="AV358">IF(AJ358&lt;&gt;1,0,IF(OR(AT358="",N(AT358)&lt;=0.000000001),"",IF(OR(AN358="",N(AN358)&lt;=0.000000001),0,IF(ISNUMBER(AT358),IFERROR(_xlfn.LET(_xlpm.ai_test,TRIM(AI358),_xlpm.r,IFERROR(_xlfn.XLOOKUP(_xlpm.ai_test,$BI$15:$BI$62,ROW($BI$15:$BI$62),0,1),IFERROR(_xlfn.XLOOKUP(_xlpm.ai_test,$BJ$15:$BJ$62,ROW($BJ$15:$BJ$62),0,1),_xlfn.XLOOKUP(_xlpm.ai_test,$BK$15:$BK$62,ROW($BK$15:$BK$62),0,1))),_xlpm.p,_xlpm.r-MIN(ROW($BI$15:$BI$62))+1,_xlpm.f,INDEX($BL$15:$BL$62,_xlpm.p),_xlpm.u,INDEX($BM$15:$BM$62,_xlpm.p),_xlpm.s,INDEX($BO$15:$BO$62,_xlpm.p),_xlpm.q,N(AT358)/_xlpm.f,IF(_xlpm.q&gt;=_xlpm.s,ROUND(_xlpm.q,1)&amp;" "&amp;_xlpm.ai_test&amp;" = "&amp;ROUND(_xlpm.q*_xlpm.f,1)&amp;" "&amp;_xlpm.u,ROUND(_xlpm.q,1)&amp;" "&amp;_xlpm.ai_test)),""),""))))</f>
        <v>0</v>
      </c>
      <c r="AW358" s="1047"/>
      <c r="AX358" s="1034">
        <f t="shared" si="155"/>
        <v>0</v>
      </c>
      <c r="AY358" s="1035" t="str">
        <f t="shared" si="156"/>
        <v/>
      </c>
      <c r="AZ358" s="1036">
        <f t="shared" si="161"/>
        <v>0</v>
      </c>
      <c r="BA358" s="1037" t="str">
        <f t="shared" si="157"/>
        <v/>
      </c>
      <c r="BB358" s="1038"/>
      <c r="BC358" s="1039">
        <f t="shared" si="162"/>
        <v>0</v>
      </c>
      <c r="BD358" s="1040" t="str">
        <f t="shared" si="158"/>
        <v/>
      </c>
      <c r="BE358" s="227" t="s">
        <v>22</v>
      </c>
      <c r="BF358" s="1019">
        <f t="shared" si="159"/>
        <v>0</v>
      </c>
      <c r="BG358" s="1020">
        <f t="shared" si="160"/>
        <v>0</v>
      </c>
      <c r="BH358"/>
      <c r="BI358" s="709"/>
      <c r="BJ358" s="709"/>
      <c r="BK358" s="709"/>
      <c r="BL358" s="709"/>
      <c r="BM358" s="709"/>
      <c r="BN358" s="709"/>
      <c r="BO358" s="709"/>
      <c r="BP358" s="709"/>
      <c r="BW358" s="959" t="str">
        <f t="shared" si="141"/>
        <v>►</v>
      </c>
      <c r="BX358" s="856"/>
      <c r="BY358" s="856"/>
      <c r="BZ358" s="856"/>
      <c r="CA358" s="856"/>
      <c r="CB358" s="856"/>
      <c r="DB358" s="3">
        <v>1</v>
      </c>
    </row>
    <row r="359" spans="12:106" ht="21" customHeight="1">
      <c r="L359" s="104" t="s">
        <v>16</v>
      </c>
      <c r="M359" s="1172"/>
      <c r="N359" s="1172"/>
      <c r="O359" s="1172"/>
      <c r="P359" s="1173"/>
      <c r="Q359" s="1174"/>
      <c r="R359" s="1175"/>
      <c r="S359" s="1176"/>
      <c r="T359" s="1177"/>
      <c r="U359" s="5248"/>
      <c r="V359" s="1177"/>
      <c r="W359" s="5249"/>
      <c r="X359" s="5208"/>
      <c r="Y359" s="5209"/>
      <c r="Z359" s="5210"/>
      <c r="AA359" s="5211"/>
      <c r="AB359" s="1178"/>
      <c r="AC359" s="1179"/>
      <c r="AD359" s="227" t="s">
        <v>22</v>
      </c>
      <c r="AE359" s="1027" t="str">
        <f t="shared" si="142"/>
        <v>►</v>
      </c>
      <c r="AF359" s="1028" t="str">
        <f t="shared" si="143"/>
        <v/>
      </c>
      <c r="AG359" s="1029" t="str">
        <f t="shared" si="144"/>
        <v/>
      </c>
      <c r="AH359" s="1028" t="str">
        <f t="shared" si="145"/>
        <v/>
      </c>
      <c r="AI359" s="1029" t="str">
        <f t="shared" si="146"/>
        <v/>
      </c>
      <c r="AJ359" s="1029">
        <f t="shared" si="147"/>
        <v>0</v>
      </c>
      <c r="AK359" s="1043" t="str" cm="1">
        <f t="array" ref="AK359">IF(AE359&lt;&gt;"A","",IFERROR((IFERROR(_xlfn.XLOOKUP(TRIM(SUBSTITUTE(U359,CHAR(160)," ")),$BI$15:$BI$62,$BL$15:$BL$62),IFERROR(_xlfn.XLOOKUP(TRIM(SUBSTITUTE(U359,CHAR(160)," ")),$BJ$15:$BJ$62,$BL$15:$BL$62),_xlfn.XLOOKUP(TRIM(SUBSTITUTE(U359,CHAR(160)," ")),$BK$15:$BK$62,$BL$15:$BL$62))))*T359*IF(ISBLANK(Q359),1,Q359)+IFERROR(_xlfn.XLOOKUP("RECHERCHEX",TRIM(L359:AC359),L359:AC359),0),0))</f>
        <v/>
      </c>
      <c r="AL359" s="1030">
        <f t="shared" si="148"/>
        <v>0</v>
      </c>
      <c r="AM359" s="5254" t="str">
        <f t="shared" si="163"/>
        <v/>
      </c>
      <c r="AN359" s="1031">
        <f t="shared" si="149"/>
        <v>0</v>
      </c>
      <c r="AO359" s="1031">
        <f t="shared" si="150"/>
        <v>0</v>
      </c>
      <c r="AP359" s="1044">
        <f t="shared" si="151"/>
        <v>0</v>
      </c>
      <c r="AQ359" s="5257" t="str">
        <f t="shared" si="152"/>
        <v/>
      </c>
      <c r="AR359" s="1056"/>
      <c r="AS359" s="1056"/>
      <c r="AT359" s="1045">
        <f t="shared" si="153"/>
        <v>0</v>
      </c>
      <c r="AU359" s="1046">
        <f t="shared" si="154"/>
        <v>0</v>
      </c>
      <c r="AV359" s="1059" cm="1">
        <f t="array" ref="AV359">IF(AJ359&lt;&gt;1,0,IF(OR(AT359="",N(AT359)&lt;=0.000000001),"",IF(OR(AN359="",N(AN359)&lt;=0.000000001),0,IF(ISNUMBER(AT359),IFERROR(_xlfn.LET(_xlpm.ai_test,TRIM(AI359),_xlpm.r,IFERROR(_xlfn.XLOOKUP(_xlpm.ai_test,$BI$15:$BI$62,ROW($BI$15:$BI$62),0,1),IFERROR(_xlfn.XLOOKUP(_xlpm.ai_test,$BJ$15:$BJ$62,ROW($BJ$15:$BJ$62),0,1),_xlfn.XLOOKUP(_xlpm.ai_test,$BK$15:$BK$62,ROW($BK$15:$BK$62),0,1))),_xlpm.p,_xlpm.r-MIN(ROW($BI$15:$BI$62))+1,_xlpm.f,INDEX($BL$15:$BL$62,_xlpm.p),_xlpm.u,INDEX($BM$15:$BM$62,_xlpm.p),_xlpm.s,INDEX($BO$15:$BO$62,_xlpm.p),_xlpm.q,N(AT359)/_xlpm.f,IF(_xlpm.q&gt;=_xlpm.s,ROUND(_xlpm.q,1)&amp;" "&amp;_xlpm.ai_test&amp;" = "&amp;ROUND(_xlpm.q*_xlpm.f,1)&amp;" "&amp;_xlpm.u,ROUND(_xlpm.q,1)&amp;" "&amp;_xlpm.ai_test)),""),""))))</f>
        <v>0</v>
      </c>
      <c r="AW359" s="1047"/>
      <c r="AX359" s="1045">
        <f t="shared" si="155"/>
        <v>0</v>
      </c>
      <c r="AY359" s="1046" t="str">
        <f t="shared" si="156"/>
        <v/>
      </c>
      <c r="AZ359" s="1048">
        <f t="shared" si="161"/>
        <v>0</v>
      </c>
      <c r="BA359" s="1049" t="str">
        <f t="shared" si="157"/>
        <v/>
      </c>
      <c r="BB359" s="1038"/>
      <c r="BC359" s="1050">
        <f t="shared" si="162"/>
        <v>0</v>
      </c>
      <c r="BD359" s="1040" t="str">
        <f t="shared" si="158"/>
        <v/>
      </c>
      <c r="BE359" s="227" t="s">
        <v>22</v>
      </c>
      <c r="BF359" s="1019">
        <f t="shared" si="159"/>
        <v>0</v>
      </c>
      <c r="BG359" s="1020">
        <f t="shared" si="160"/>
        <v>0</v>
      </c>
      <c r="BH359"/>
      <c r="BI359" s="709"/>
      <c r="BJ359" s="709"/>
      <c r="BK359" s="709"/>
      <c r="BL359" s="709"/>
      <c r="BM359" s="709"/>
      <c r="BN359" s="709"/>
      <c r="BO359" s="709"/>
      <c r="BP359" s="709"/>
      <c r="BW359" s="959" t="str">
        <f t="shared" si="141"/>
        <v>►</v>
      </c>
      <c r="BX359" s="856"/>
      <c r="BY359" s="856"/>
      <c r="BZ359" s="856"/>
      <c r="CA359" s="856"/>
      <c r="CB359" s="856"/>
      <c r="DB359" s="3">
        <v>1</v>
      </c>
    </row>
    <row r="360" spans="12:106" ht="21" customHeight="1">
      <c r="L360" s="104" t="s">
        <v>16</v>
      </c>
      <c r="M360" s="1172"/>
      <c r="N360" s="1172"/>
      <c r="O360" s="1172"/>
      <c r="P360" s="1173"/>
      <c r="Q360" s="1174"/>
      <c r="R360" s="1175"/>
      <c r="S360" s="1176"/>
      <c r="T360" s="1177"/>
      <c r="U360" s="5248"/>
      <c r="V360" s="1177"/>
      <c r="W360" s="5249"/>
      <c r="X360" s="5208"/>
      <c r="Y360" s="5209"/>
      <c r="Z360" s="5210"/>
      <c r="AA360" s="5211"/>
      <c r="AB360" s="1178"/>
      <c r="AC360" s="1179"/>
      <c r="AD360" s="227" t="s">
        <v>22</v>
      </c>
      <c r="AE360" s="1027" t="str">
        <f t="shared" si="142"/>
        <v>►</v>
      </c>
      <c r="AF360" s="1028" t="str">
        <f t="shared" si="143"/>
        <v/>
      </c>
      <c r="AG360" s="1029" t="str">
        <f t="shared" si="144"/>
        <v/>
      </c>
      <c r="AH360" s="1028" t="str">
        <f t="shared" si="145"/>
        <v/>
      </c>
      <c r="AI360" s="1029" t="str">
        <f t="shared" si="146"/>
        <v/>
      </c>
      <c r="AJ360" s="1029">
        <f t="shared" si="147"/>
        <v>0</v>
      </c>
      <c r="AK360" s="1043" t="str" cm="1">
        <f t="array" ref="AK360">IF(AE360&lt;&gt;"A","",IFERROR((IFERROR(_xlfn.XLOOKUP(TRIM(SUBSTITUTE(U360,CHAR(160)," ")),$BI$15:$BI$62,$BL$15:$BL$62),IFERROR(_xlfn.XLOOKUP(TRIM(SUBSTITUTE(U360,CHAR(160)," ")),$BJ$15:$BJ$62,$BL$15:$BL$62),_xlfn.XLOOKUP(TRIM(SUBSTITUTE(U360,CHAR(160)," ")),$BK$15:$BK$62,$BL$15:$BL$62))))*T360*IF(ISBLANK(Q360),1,Q360)+IFERROR(_xlfn.XLOOKUP("RECHERCHEX",TRIM(L360:AC360),L360:AC360),0),0))</f>
        <v/>
      </c>
      <c r="AL360" s="1030">
        <f t="shared" si="148"/>
        <v>0</v>
      </c>
      <c r="AM360" s="5254" t="str">
        <f t="shared" si="163"/>
        <v/>
      </c>
      <c r="AN360" s="1031">
        <f t="shared" si="149"/>
        <v>0</v>
      </c>
      <c r="AO360" s="1031">
        <f t="shared" si="150"/>
        <v>0</v>
      </c>
      <c r="AP360" s="1032">
        <f t="shared" si="151"/>
        <v>0</v>
      </c>
      <c r="AQ360" s="5255" t="str">
        <f t="shared" si="152"/>
        <v/>
      </c>
      <c r="AR360" s="1056"/>
      <c r="AS360" s="1056"/>
      <c r="AT360" s="1034">
        <f t="shared" si="153"/>
        <v>0</v>
      </c>
      <c r="AU360" s="1035">
        <f t="shared" si="154"/>
        <v>0</v>
      </c>
      <c r="AV360" s="1057" cm="1">
        <f t="array" ref="AV360">IF(AJ360&lt;&gt;1,0,IF(OR(AT360="",N(AT360)&lt;=0.000000001),"",IF(OR(AN360="",N(AN360)&lt;=0.000000001),0,IF(ISNUMBER(AT360),IFERROR(_xlfn.LET(_xlpm.ai_test,TRIM(AI360),_xlpm.r,IFERROR(_xlfn.XLOOKUP(_xlpm.ai_test,$BI$15:$BI$62,ROW($BI$15:$BI$62),0,1),IFERROR(_xlfn.XLOOKUP(_xlpm.ai_test,$BJ$15:$BJ$62,ROW($BJ$15:$BJ$62),0,1),_xlfn.XLOOKUP(_xlpm.ai_test,$BK$15:$BK$62,ROW($BK$15:$BK$62),0,1))),_xlpm.p,_xlpm.r-MIN(ROW($BI$15:$BI$62))+1,_xlpm.f,INDEX($BL$15:$BL$62,_xlpm.p),_xlpm.u,INDEX($BM$15:$BM$62,_xlpm.p),_xlpm.s,INDEX($BO$15:$BO$62,_xlpm.p),_xlpm.q,N(AT360)/_xlpm.f,IF(_xlpm.q&gt;=_xlpm.s,ROUND(_xlpm.q,1)&amp;" "&amp;_xlpm.ai_test&amp;" = "&amp;ROUND(_xlpm.q*_xlpm.f,1)&amp;" "&amp;_xlpm.u,ROUND(_xlpm.q,1)&amp;" "&amp;_xlpm.ai_test)),""),""))))</f>
        <v>0</v>
      </c>
      <c r="AW360" s="1047"/>
      <c r="AX360" s="1034">
        <f t="shared" si="155"/>
        <v>0</v>
      </c>
      <c r="AY360" s="1035" t="str">
        <f t="shared" si="156"/>
        <v/>
      </c>
      <c r="AZ360" s="1036">
        <f t="shared" si="161"/>
        <v>0</v>
      </c>
      <c r="BA360" s="1037" t="str">
        <f t="shared" si="157"/>
        <v/>
      </c>
      <c r="BB360" s="1038"/>
      <c r="BC360" s="1039">
        <f t="shared" si="162"/>
        <v>0</v>
      </c>
      <c r="BD360" s="1040" t="str">
        <f t="shared" si="158"/>
        <v/>
      </c>
      <c r="BE360" s="227" t="s">
        <v>22</v>
      </c>
      <c r="BF360" s="1019">
        <f t="shared" si="159"/>
        <v>0</v>
      </c>
      <c r="BG360" s="1020">
        <f t="shared" si="160"/>
        <v>0</v>
      </c>
      <c r="BH360"/>
      <c r="BI360" s="709"/>
      <c r="BJ360" s="709"/>
      <c r="BK360" s="709"/>
      <c r="BL360" s="709"/>
      <c r="BM360" s="709"/>
      <c r="BN360" s="709"/>
      <c r="BO360" s="709"/>
      <c r="BP360" s="709"/>
      <c r="BW360" s="959" t="str">
        <f t="shared" si="141"/>
        <v>►</v>
      </c>
      <c r="BX360" s="856"/>
      <c r="BY360" s="856"/>
      <c r="BZ360" s="856"/>
      <c r="CA360" s="856"/>
      <c r="CB360" s="856"/>
      <c r="DB360" s="3">
        <v>1</v>
      </c>
    </row>
    <row r="361" spans="12:106" ht="21" customHeight="1">
      <c r="L361" s="104" t="s">
        <v>16</v>
      </c>
      <c r="M361" s="1172"/>
      <c r="N361" s="1172"/>
      <c r="O361" s="1172"/>
      <c r="P361" s="1173"/>
      <c r="Q361" s="1174"/>
      <c r="R361" s="1175"/>
      <c r="S361" s="1176"/>
      <c r="T361" s="1177"/>
      <c r="U361" s="5248"/>
      <c r="V361" s="1177"/>
      <c r="W361" s="5249"/>
      <c r="X361" s="5208"/>
      <c r="Y361" s="5209"/>
      <c r="Z361" s="5210"/>
      <c r="AA361" s="5211"/>
      <c r="AB361" s="1178"/>
      <c r="AC361" s="1179"/>
      <c r="AD361" s="227" t="s">
        <v>22</v>
      </c>
      <c r="AE361" s="1027" t="str">
        <f t="shared" si="142"/>
        <v>►</v>
      </c>
      <c r="AF361" s="1028" t="str">
        <f t="shared" si="143"/>
        <v/>
      </c>
      <c r="AG361" s="1029" t="str">
        <f t="shared" si="144"/>
        <v/>
      </c>
      <c r="AH361" s="1028" t="str">
        <f t="shared" si="145"/>
        <v/>
      </c>
      <c r="AI361" s="1029" t="str">
        <f t="shared" si="146"/>
        <v/>
      </c>
      <c r="AJ361" s="1029">
        <f t="shared" si="147"/>
        <v>0</v>
      </c>
      <c r="AK361" s="1043" t="str" cm="1">
        <f t="array" ref="AK361">IF(AE361&lt;&gt;"A","",IFERROR((IFERROR(_xlfn.XLOOKUP(TRIM(SUBSTITUTE(U361,CHAR(160)," ")),$BI$15:$BI$62,$BL$15:$BL$62),IFERROR(_xlfn.XLOOKUP(TRIM(SUBSTITUTE(U361,CHAR(160)," ")),$BJ$15:$BJ$62,$BL$15:$BL$62),_xlfn.XLOOKUP(TRIM(SUBSTITUTE(U361,CHAR(160)," ")),$BK$15:$BK$62,$BL$15:$BL$62))))*T361*IF(ISBLANK(Q361),1,Q361)+IFERROR(_xlfn.XLOOKUP("RECHERCHEX",TRIM(L361:AC361),L361:AC361),0),0))</f>
        <v/>
      </c>
      <c r="AL361" s="1030">
        <f t="shared" si="148"/>
        <v>0</v>
      </c>
      <c r="AM361" s="5254" t="str">
        <f t="shared" si="163"/>
        <v/>
      </c>
      <c r="AN361" s="1031">
        <f t="shared" si="149"/>
        <v>0</v>
      </c>
      <c r="AO361" s="1031">
        <f t="shared" si="150"/>
        <v>0</v>
      </c>
      <c r="AP361" s="1044">
        <f t="shared" si="151"/>
        <v>0</v>
      </c>
      <c r="AQ361" s="5257" t="str">
        <f t="shared" si="152"/>
        <v/>
      </c>
      <c r="AR361" s="1056"/>
      <c r="AS361" s="1056"/>
      <c r="AT361" s="1045">
        <f t="shared" si="153"/>
        <v>0</v>
      </c>
      <c r="AU361" s="1046">
        <f t="shared" si="154"/>
        <v>0</v>
      </c>
      <c r="AV361" s="1059" cm="1">
        <f t="array" ref="AV361">IF(AJ361&lt;&gt;1,0,IF(OR(AT361="",N(AT361)&lt;=0.000000001),"",IF(OR(AN361="",N(AN361)&lt;=0.000000001),0,IF(ISNUMBER(AT361),IFERROR(_xlfn.LET(_xlpm.ai_test,TRIM(AI361),_xlpm.r,IFERROR(_xlfn.XLOOKUP(_xlpm.ai_test,$BI$15:$BI$62,ROW($BI$15:$BI$62),0,1),IFERROR(_xlfn.XLOOKUP(_xlpm.ai_test,$BJ$15:$BJ$62,ROW($BJ$15:$BJ$62),0,1),_xlfn.XLOOKUP(_xlpm.ai_test,$BK$15:$BK$62,ROW($BK$15:$BK$62),0,1))),_xlpm.p,_xlpm.r-MIN(ROW($BI$15:$BI$62))+1,_xlpm.f,INDEX($BL$15:$BL$62,_xlpm.p),_xlpm.u,INDEX($BM$15:$BM$62,_xlpm.p),_xlpm.s,INDEX($BO$15:$BO$62,_xlpm.p),_xlpm.q,N(AT361)/_xlpm.f,IF(_xlpm.q&gt;=_xlpm.s,ROUND(_xlpm.q,1)&amp;" "&amp;_xlpm.ai_test&amp;" = "&amp;ROUND(_xlpm.q*_xlpm.f,1)&amp;" "&amp;_xlpm.u,ROUND(_xlpm.q,1)&amp;" "&amp;_xlpm.ai_test)),""),""))))</f>
        <v>0</v>
      </c>
      <c r="AW361" s="1047"/>
      <c r="AX361" s="1045">
        <f t="shared" si="155"/>
        <v>0</v>
      </c>
      <c r="AY361" s="1046" t="str">
        <f t="shared" si="156"/>
        <v/>
      </c>
      <c r="AZ361" s="1048">
        <f t="shared" si="161"/>
        <v>0</v>
      </c>
      <c r="BA361" s="1049" t="str">
        <f t="shared" si="157"/>
        <v/>
      </c>
      <c r="BB361" s="1038"/>
      <c r="BC361" s="1050">
        <f t="shared" si="162"/>
        <v>0</v>
      </c>
      <c r="BD361" s="1040" t="str">
        <f t="shared" si="158"/>
        <v/>
      </c>
      <c r="BE361" s="227" t="s">
        <v>22</v>
      </c>
      <c r="BF361" s="1019">
        <f t="shared" si="159"/>
        <v>0</v>
      </c>
      <c r="BG361" s="1020">
        <f t="shared" si="160"/>
        <v>0</v>
      </c>
      <c r="BH361"/>
      <c r="BI361" s="709"/>
      <c r="BJ361" s="709"/>
      <c r="BK361" s="709"/>
      <c r="BL361" s="709"/>
      <c r="BM361" s="709"/>
      <c r="BN361" s="709"/>
      <c r="BO361" s="709"/>
      <c r="BP361" s="709"/>
      <c r="BW361" s="959" t="str">
        <f t="shared" si="141"/>
        <v>►</v>
      </c>
      <c r="BX361" s="856"/>
      <c r="BY361" s="856"/>
      <c r="BZ361" s="856"/>
      <c r="CA361" s="856"/>
      <c r="CB361" s="856"/>
      <c r="DB361" s="3">
        <v>1</v>
      </c>
    </row>
    <row r="362" spans="12:106" ht="21" customHeight="1">
      <c r="L362" s="104" t="s">
        <v>16</v>
      </c>
      <c r="M362" s="1172"/>
      <c r="N362" s="1172"/>
      <c r="O362" s="1172"/>
      <c r="P362" s="1173"/>
      <c r="Q362" s="1174"/>
      <c r="R362" s="1175"/>
      <c r="S362" s="1176"/>
      <c r="T362" s="1177"/>
      <c r="U362" s="5248"/>
      <c r="V362" s="1177"/>
      <c r="W362" s="5249"/>
      <c r="X362" s="5208"/>
      <c r="Y362" s="5209"/>
      <c r="Z362" s="5210"/>
      <c r="AA362" s="5211"/>
      <c r="AB362" s="1178"/>
      <c r="AC362" s="1179"/>
      <c r="AD362" s="227" t="s">
        <v>22</v>
      </c>
      <c r="AE362" s="1027" t="str">
        <f t="shared" si="142"/>
        <v>►</v>
      </c>
      <c r="AF362" s="1028" t="str">
        <f t="shared" si="143"/>
        <v/>
      </c>
      <c r="AG362" s="1029" t="str">
        <f t="shared" si="144"/>
        <v/>
      </c>
      <c r="AH362" s="1028" t="str">
        <f t="shared" si="145"/>
        <v/>
      </c>
      <c r="AI362" s="1029" t="str">
        <f t="shared" si="146"/>
        <v/>
      </c>
      <c r="AJ362" s="1029">
        <f t="shared" si="147"/>
        <v>0</v>
      </c>
      <c r="AK362" s="1043" t="str" cm="1">
        <f t="array" ref="AK362">IF(AE362&lt;&gt;"A","",IFERROR((IFERROR(_xlfn.XLOOKUP(TRIM(SUBSTITUTE(U362,CHAR(160)," ")),$BI$15:$BI$62,$BL$15:$BL$62),IFERROR(_xlfn.XLOOKUP(TRIM(SUBSTITUTE(U362,CHAR(160)," ")),$BJ$15:$BJ$62,$BL$15:$BL$62),_xlfn.XLOOKUP(TRIM(SUBSTITUTE(U362,CHAR(160)," ")),$BK$15:$BK$62,$BL$15:$BL$62))))*T362*IF(ISBLANK(Q362),1,Q362)+IFERROR(_xlfn.XLOOKUP("RECHERCHEX",TRIM(L362:AC362),L362:AC362),0),0))</f>
        <v/>
      </c>
      <c r="AL362" s="1030">
        <f t="shared" si="148"/>
        <v>0</v>
      </c>
      <c r="AM362" s="5254" t="str">
        <f t="shared" si="163"/>
        <v/>
      </c>
      <c r="AN362" s="1031">
        <f t="shared" si="149"/>
        <v>0</v>
      </c>
      <c r="AO362" s="1031">
        <f t="shared" si="150"/>
        <v>0</v>
      </c>
      <c r="AP362" s="1032">
        <f t="shared" si="151"/>
        <v>0</v>
      </c>
      <c r="AQ362" s="5255" t="str">
        <f t="shared" si="152"/>
        <v/>
      </c>
      <c r="AR362" s="1056"/>
      <c r="AS362" s="1056"/>
      <c r="AT362" s="1034">
        <f t="shared" si="153"/>
        <v>0</v>
      </c>
      <c r="AU362" s="1035">
        <f t="shared" si="154"/>
        <v>0</v>
      </c>
      <c r="AV362" s="1057" cm="1">
        <f t="array" ref="AV362">IF(AJ362&lt;&gt;1,0,IF(OR(AT362="",N(AT362)&lt;=0.000000001),"",IF(OR(AN362="",N(AN362)&lt;=0.000000001),0,IF(ISNUMBER(AT362),IFERROR(_xlfn.LET(_xlpm.ai_test,TRIM(AI362),_xlpm.r,IFERROR(_xlfn.XLOOKUP(_xlpm.ai_test,$BI$15:$BI$62,ROW($BI$15:$BI$62),0,1),IFERROR(_xlfn.XLOOKUP(_xlpm.ai_test,$BJ$15:$BJ$62,ROW($BJ$15:$BJ$62),0,1),_xlfn.XLOOKUP(_xlpm.ai_test,$BK$15:$BK$62,ROW($BK$15:$BK$62),0,1))),_xlpm.p,_xlpm.r-MIN(ROW($BI$15:$BI$62))+1,_xlpm.f,INDEX($BL$15:$BL$62,_xlpm.p),_xlpm.u,INDEX($BM$15:$BM$62,_xlpm.p),_xlpm.s,INDEX($BO$15:$BO$62,_xlpm.p),_xlpm.q,N(AT362)/_xlpm.f,IF(_xlpm.q&gt;=_xlpm.s,ROUND(_xlpm.q,1)&amp;" "&amp;_xlpm.ai_test&amp;" = "&amp;ROUND(_xlpm.q*_xlpm.f,1)&amp;" "&amp;_xlpm.u,ROUND(_xlpm.q,1)&amp;" "&amp;_xlpm.ai_test)),""),""))))</f>
        <v>0</v>
      </c>
      <c r="AW362" s="1047"/>
      <c r="AX362" s="1034">
        <f t="shared" si="155"/>
        <v>0</v>
      </c>
      <c r="AY362" s="1035" t="str">
        <f t="shared" si="156"/>
        <v/>
      </c>
      <c r="AZ362" s="1036">
        <f t="shared" si="161"/>
        <v>0</v>
      </c>
      <c r="BA362" s="1037" t="str">
        <f t="shared" si="157"/>
        <v/>
      </c>
      <c r="BB362" s="1038"/>
      <c r="BC362" s="1039">
        <f t="shared" si="162"/>
        <v>0</v>
      </c>
      <c r="BD362" s="1040" t="str">
        <f t="shared" si="158"/>
        <v/>
      </c>
      <c r="BE362" s="227" t="s">
        <v>22</v>
      </c>
      <c r="BF362" s="1019">
        <f t="shared" si="159"/>
        <v>0</v>
      </c>
      <c r="BG362" s="1020">
        <f t="shared" si="160"/>
        <v>0</v>
      </c>
      <c r="BH362"/>
      <c r="BI362" s="709"/>
      <c r="BJ362" s="709"/>
      <c r="BK362" s="709"/>
      <c r="BL362" s="709"/>
      <c r="BM362" s="709"/>
      <c r="BN362" s="709"/>
      <c r="BO362" s="709"/>
      <c r="BP362" s="709"/>
      <c r="BW362" s="959" t="str">
        <f t="shared" si="141"/>
        <v>►</v>
      </c>
      <c r="BX362" s="856"/>
      <c r="BY362" s="856"/>
      <c r="BZ362" s="856"/>
      <c r="CA362" s="856"/>
      <c r="CB362" s="856"/>
      <c r="DB362" s="3">
        <v>1</v>
      </c>
    </row>
    <row r="363" spans="12:106" ht="21" customHeight="1">
      <c r="L363" s="104" t="s">
        <v>16</v>
      </c>
      <c r="M363" s="1172"/>
      <c r="N363" s="1172"/>
      <c r="O363" s="1172"/>
      <c r="P363" s="1173"/>
      <c r="Q363" s="1174"/>
      <c r="R363" s="1175"/>
      <c r="S363" s="1176"/>
      <c r="T363" s="1177"/>
      <c r="U363" s="5248"/>
      <c r="V363" s="1177"/>
      <c r="W363" s="5249"/>
      <c r="X363" s="5208"/>
      <c r="Y363" s="5209"/>
      <c r="Z363" s="5210"/>
      <c r="AA363" s="5211"/>
      <c r="AB363" s="1178"/>
      <c r="AC363" s="1179"/>
      <c r="AD363" s="227" t="s">
        <v>22</v>
      </c>
      <c r="AE363" s="1027" t="str">
        <f t="shared" si="142"/>
        <v>►</v>
      </c>
      <c r="AF363" s="1028" t="str">
        <f t="shared" si="143"/>
        <v/>
      </c>
      <c r="AG363" s="1029" t="str">
        <f t="shared" si="144"/>
        <v/>
      </c>
      <c r="AH363" s="1028" t="str">
        <f t="shared" si="145"/>
        <v/>
      </c>
      <c r="AI363" s="1029" t="str">
        <f t="shared" si="146"/>
        <v/>
      </c>
      <c r="AJ363" s="1029">
        <f t="shared" si="147"/>
        <v>0</v>
      </c>
      <c r="AK363" s="1043" t="str" cm="1">
        <f t="array" ref="AK363">IF(AE363&lt;&gt;"A","",IFERROR((IFERROR(_xlfn.XLOOKUP(TRIM(SUBSTITUTE(U363,CHAR(160)," ")),$BI$15:$BI$62,$BL$15:$BL$62),IFERROR(_xlfn.XLOOKUP(TRIM(SUBSTITUTE(U363,CHAR(160)," ")),$BJ$15:$BJ$62,$BL$15:$BL$62),_xlfn.XLOOKUP(TRIM(SUBSTITUTE(U363,CHAR(160)," ")),$BK$15:$BK$62,$BL$15:$BL$62))))*T363*IF(ISBLANK(Q363),1,Q363)+IFERROR(_xlfn.XLOOKUP("RECHERCHEX",TRIM(L363:AC363),L363:AC363),0),0))</f>
        <v/>
      </c>
      <c r="AL363" s="1030">
        <f t="shared" si="148"/>
        <v>0</v>
      </c>
      <c r="AM363" s="5254" t="str">
        <f t="shared" si="163"/>
        <v/>
      </c>
      <c r="AN363" s="1031">
        <f t="shared" si="149"/>
        <v>0</v>
      </c>
      <c r="AO363" s="1031">
        <f t="shared" si="150"/>
        <v>0</v>
      </c>
      <c r="AP363" s="1044">
        <f t="shared" si="151"/>
        <v>0</v>
      </c>
      <c r="AQ363" s="5257" t="str">
        <f t="shared" si="152"/>
        <v/>
      </c>
      <c r="AR363" s="1056"/>
      <c r="AS363" s="1056"/>
      <c r="AT363" s="1045">
        <f t="shared" si="153"/>
        <v>0</v>
      </c>
      <c r="AU363" s="1046">
        <f t="shared" si="154"/>
        <v>0</v>
      </c>
      <c r="AV363" s="1059" cm="1">
        <f t="array" ref="AV363">IF(AJ363&lt;&gt;1,0,IF(OR(AT363="",N(AT363)&lt;=0.000000001),"",IF(OR(AN363="",N(AN363)&lt;=0.000000001),0,IF(ISNUMBER(AT363),IFERROR(_xlfn.LET(_xlpm.ai_test,TRIM(AI363),_xlpm.r,IFERROR(_xlfn.XLOOKUP(_xlpm.ai_test,$BI$15:$BI$62,ROW($BI$15:$BI$62),0,1),IFERROR(_xlfn.XLOOKUP(_xlpm.ai_test,$BJ$15:$BJ$62,ROW($BJ$15:$BJ$62),0,1),_xlfn.XLOOKUP(_xlpm.ai_test,$BK$15:$BK$62,ROW($BK$15:$BK$62),0,1))),_xlpm.p,_xlpm.r-MIN(ROW($BI$15:$BI$62))+1,_xlpm.f,INDEX($BL$15:$BL$62,_xlpm.p),_xlpm.u,INDEX($BM$15:$BM$62,_xlpm.p),_xlpm.s,INDEX($BO$15:$BO$62,_xlpm.p),_xlpm.q,N(AT363)/_xlpm.f,IF(_xlpm.q&gt;=_xlpm.s,ROUND(_xlpm.q,1)&amp;" "&amp;_xlpm.ai_test&amp;" = "&amp;ROUND(_xlpm.q*_xlpm.f,1)&amp;" "&amp;_xlpm.u,ROUND(_xlpm.q,1)&amp;" "&amp;_xlpm.ai_test)),""),""))))</f>
        <v>0</v>
      </c>
      <c r="AW363" s="1047"/>
      <c r="AX363" s="1045">
        <f t="shared" si="155"/>
        <v>0</v>
      </c>
      <c r="AY363" s="1046" t="str">
        <f t="shared" si="156"/>
        <v/>
      </c>
      <c r="AZ363" s="1048">
        <f t="shared" si="161"/>
        <v>0</v>
      </c>
      <c r="BA363" s="1049" t="str">
        <f t="shared" si="157"/>
        <v/>
      </c>
      <c r="BB363" s="1038"/>
      <c r="BC363" s="1050">
        <f t="shared" si="162"/>
        <v>0</v>
      </c>
      <c r="BD363" s="1040" t="str">
        <f t="shared" si="158"/>
        <v/>
      </c>
      <c r="BE363" s="227" t="s">
        <v>22</v>
      </c>
      <c r="BF363" s="1019">
        <f t="shared" si="159"/>
        <v>0</v>
      </c>
      <c r="BG363" s="1020">
        <f t="shared" si="160"/>
        <v>0</v>
      </c>
      <c r="BH363"/>
      <c r="BI363" s="709"/>
      <c r="BJ363" s="709"/>
      <c r="BK363" s="709"/>
      <c r="BL363" s="709"/>
      <c r="BM363" s="709"/>
      <c r="BN363" s="709"/>
      <c r="BO363" s="709"/>
      <c r="BP363" s="709"/>
      <c r="BW363" s="959" t="str">
        <f t="shared" si="141"/>
        <v>►</v>
      </c>
      <c r="BX363" s="856"/>
      <c r="BY363" s="856"/>
      <c r="BZ363" s="856"/>
      <c r="CA363" s="856"/>
      <c r="CB363" s="856"/>
      <c r="DB363" s="3">
        <v>1</v>
      </c>
    </row>
    <row r="364" spans="12:106" ht="21" customHeight="1">
      <c r="L364" s="104" t="s">
        <v>16</v>
      </c>
      <c r="M364" s="1172"/>
      <c r="N364" s="1172"/>
      <c r="O364" s="1172"/>
      <c r="P364" s="1173"/>
      <c r="Q364" s="1174"/>
      <c r="R364" s="1175"/>
      <c r="S364" s="1176"/>
      <c r="T364" s="1177"/>
      <c r="U364" s="5248"/>
      <c r="V364" s="1177"/>
      <c r="W364" s="5249"/>
      <c r="X364" s="5208"/>
      <c r="Y364" s="5209"/>
      <c r="Z364" s="5210"/>
      <c r="AA364" s="5211"/>
      <c r="AB364" s="1178"/>
      <c r="AC364" s="1179"/>
      <c r="AD364" s="227" t="s">
        <v>22</v>
      </c>
      <c r="AE364" s="1027" t="str">
        <f t="shared" si="142"/>
        <v>►</v>
      </c>
      <c r="AF364" s="1028" t="str">
        <f t="shared" si="143"/>
        <v/>
      </c>
      <c r="AG364" s="1029" t="str">
        <f t="shared" si="144"/>
        <v/>
      </c>
      <c r="AH364" s="1028" t="str">
        <f t="shared" si="145"/>
        <v/>
      </c>
      <c r="AI364" s="1029" t="str">
        <f t="shared" si="146"/>
        <v/>
      </c>
      <c r="AJ364" s="1029">
        <f t="shared" si="147"/>
        <v>0</v>
      </c>
      <c r="AK364" s="1043" t="str" cm="1">
        <f t="array" ref="AK364">IF(AE364&lt;&gt;"A","",IFERROR((IFERROR(_xlfn.XLOOKUP(TRIM(SUBSTITUTE(U364,CHAR(160)," ")),$BI$15:$BI$62,$BL$15:$BL$62),IFERROR(_xlfn.XLOOKUP(TRIM(SUBSTITUTE(U364,CHAR(160)," ")),$BJ$15:$BJ$62,$BL$15:$BL$62),_xlfn.XLOOKUP(TRIM(SUBSTITUTE(U364,CHAR(160)," ")),$BK$15:$BK$62,$BL$15:$BL$62))))*T364*IF(ISBLANK(Q364),1,Q364)+IFERROR(_xlfn.XLOOKUP("RECHERCHEX",TRIM(L364:AC364),L364:AC364),0),0))</f>
        <v/>
      </c>
      <c r="AL364" s="1030">
        <f t="shared" si="148"/>
        <v>0</v>
      </c>
      <c r="AM364" s="5254" t="str">
        <f t="shared" si="163"/>
        <v/>
      </c>
      <c r="AN364" s="1031">
        <f t="shared" si="149"/>
        <v>0</v>
      </c>
      <c r="AO364" s="1031">
        <f t="shared" si="150"/>
        <v>0</v>
      </c>
      <c r="AP364" s="1032">
        <f t="shared" si="151"/>
        <v>0</v>
      </c>
      <c r="AQ364" s="5255" t="str">
        <f t="shared" si="152"/>
        <v/>
      </c>
      <c r="AR364" s="1056"/>
      <c r="AS364" s="1056"/>
      <c r="AT364" s="1034">
        <f t="shared" si="153"/>
        <v>0</v>
      </c>
      <c r="AU364" s="1035">
        <f t="shared" si="154"/>
        <v>0</v>
      </c>
      <c r="AV364" s="1057" cm="1">
        <f t="array" ref="AV364">IF(AJ364&lt;&gt;1,0,IF(OR(AT364="",N(AT364)&lt;=0.000000001),"",IF(OR(AN364="",N(AN364)&lt;=0.000000001),0,IF(ISNUMBER(AT364),IFERROR(_xlfn.LET(_xlpm.ai_test,TRIM(AI364),_xlpm.r,IFERROR(_xlfn.XLOOKUP(_xlpm.ai_test,$BI$15:$BI$62,ROW($BI$15:$BI$62),0,1),IFERROR(_xlfn.XLOOKUP(_xlpm.ai_test,$BJ$15:$BJ$62,ROW($BJ$15:$BJ$62),0,1),_xlfn.XLOOKUP(_xlpm.ai_test,$BK$15:$BK$62,ROW($BK$15:$BK$62),0,1))),_xlpm.p,_xlpm.r-MIN(ROW($BI$15:$BI$62))+1,_xlpm.f,INDEX($BL$15:$BL$62,_xlpm.p),_xlpm.u,INDEX($BM$15:$BM$62,_xlpm.p),_xlpm.s,INDEX($BO$15:$BO$62,_xlpm.p),_xlpm.q,N(AT364)/_xlpm.f,IF(_xlpm.q&gt;=_xlpm.s,ROUND(_xlpm.q,1)&amp;" "&amp;_xlpm.ai_test&amp;" = "&amp;ROUND(_xlpm.q*_xlpm.f,1)&amp;" "&amp;_xlpm.u,ROUND(_xlpm.q,1)&amp;" "&amp;_xlpm.ai_test)),""),""))))</f>
        <v>0</v>
      </c>
      <c r="AW364" s="1047"/>
      <c r="AX364" s="1034">
        <f t="shared" si="155"/>
        <v>0</v>
      </c>
      <c r="AY364" s="1035" t="str">
        <f t="shared" si="156"/>
        <v/>
      </c>
      <c r="AZ364" s="1036">
        <f t="shared" si="161"/>
        <v>0</v>
      </c>
      <c r="BA364" s="1037" t="str">
        <f t="shared" si="157"/>
        <v/>
      </c>
      <c r="BB364" s="1038"/>
      <c r="BC364" s="1039">
        <f t="shared" si="162"/>
        <v>0</v>
      </c>
      <c r="BD364" s="1040" t="str">
        <f t="shared" si="158"/>
        <v/>
      </c>
      <c r="BE364" s="227" t="s">
        <v>22</v>
      </c>
      <c r="BF364" s="1019">
        <f t="shared" si="159"/>
        <v>0</v>
      </c>
      <c r="BG364" s="1020">
        <f t="shared" si="160"/>
        <v>0</v>
      </c>
      <c r="BH364"/>
      <c r="BI364" s="709"/>
      <c r="BJ364" s="709"/>
      <c r="BK364" s="709"/>
      <c r="BL364" s="709"/>
      <c r="BM364" s="709"/>
      <c r="BN364" s="709"/>
      <c r="BO364" s="709"/>
      <c r="BP364" s="709"/>
      <c r="BW364" s="959" t="str">
        <f t="shared" si="141"/>
        <v>►</v>
      </c>
      <c r="BX364" s="856"/>
      <c r="BY364" s="856"/>
      <c r="BZ364" s="856"/>
      <c r="CA364" s="856"/>
      <c r="CB364" s="856"/>
      <c r="DB364" s="3">
        <v>1</v>
      </c>
    </row>
    <row r="365" spans="12:106" ht="21" customHeight="1">
      <c r="L365" s="104" t="s">
        <v>16</v>
      </c>
      <c r="M365" s="1172"/>
      <c r="N365" s="1172"/>
      <c r="O365" s="1172"/>
      <c r="P365" s="1173"/>
      <c r="Q365" s="1174"/>
      <c r="R365" s="1175"/>
      <c r="S365" s="1176"/>
      <c r="T365" s="1177"/>
      <c r="U365" s="5248"/>
      <c r="V365" s="1177"/>
      <c r="W365" s="5249"/>
      <c r="X365" s="5208"/>
      <c r="Y365" s="5209"/>
      <c r="Z365" s="5210"/>
      <c r="AA365" s="5211"/>
      <c r="AB365" s="1178"/>
      <c r="AC365" s="1179"/>
      <c r="AD365" s="227" t="s">
        <v>22</v>
      </c>
      <c r="AE365" s="1027" t="str">
        <f t="shared" si="142"/>
        <v>►</v>
      </c>
      <c r="AF365" s="1028" t="str">
        <f t="shared" si="143"/>
        <v/>
      </c>
      <c r="AG365" s="1029" t="str">
        <f t="shared" si="144"/>
        <v/>
      </c>
      <c r="AH365" s="1028" t="str">
        <f t="shared" si="145"/>
        <v/>
      </c>
      <c r="AI365" s="1029" t="str">
        <f t="shared" si="146"/>
        <v/>
      </c>
      <c r="AJ365" s="1029">
        <f t="shared" si="147"/>
        <v>0</v>
      </c>
      <c r="AK365" s="1043" t="str" cm="1">
        <f t="array" ref="AK365">IF(AE365&lt;&gt;"A","",IFERROR((IFERROR(_xlfn.XLOOKUP(TRIM(SUBSTITUTE(U365,CHAR(160)," ")),$BI$15:$BI$62,$BL$15:$BL$62),IFERROR(_xlfn.XLOOKUP(TRIM(SUBSTITUTE(U365,CHAR(160)," ")),$BJ$15:$BJ$62,$BL$15:$BL$62),_xlfn.XLOOKUP(TRIM(SUBSTITUTE(U365,CHAR(160)," ")),$BK$15:$BK$62,$BL$15:$BL$62))))*T365*IF(ISBLANK(Q365),1,Q365)+IFERROR(_xlfn.XLOOKUP("RECHERCHEX",TRIM(L365:AC365),L365:AC365),0),0))</f>
        <v/>
      </c>
      <c r="AL365" s="1030">
        <f t="shared" si="148"/>
        <v>0</v>
      </c>
      <c r="AM365" s="5254" t="str">
        <f t="shared" si="163"/>
        <v/>
      </c>
      <c r="AN365" s="1031">
        <f t="shared" si="149"/>
        <v>0</v>
      </c>
      <c r="AO365" s="1031">
        <f t="shared" si="150"/>
        <v>0</v>
      </c>
      <c r="AP365" s="1044">
        <f t="shared" si="151"/>
        <v>0</v>
      </c>
      <c r="AQ365" s="5257" t="str">
        <f t="shared" si="152"/>
        <v/>
      </c>
      <c r="AR365" s="1056"/>
      <c r="AS365" s="1056"/>
      <c r="AT365" s="1045">
        <f t="shared" si="153"/>
        <v>0</v>
      </c>
      <c r="AU365" s="1046">
        <f t="shared" si="154"/>
        <v>0</v>
      </c>
      <c r="AV365" s="1059" cm="1">
        <f t="array" ref="AV365">IF(AJ365&lt;&gt;1,0,IF(OR(AT365="",N(AT365)&lt;=0.000000001),"",IF(OR(AN365="",N(AN365)&lt;=0.000000001),0,IF(ISNUMBER(AT365),IFERROR(_xlfn.LET(_xlpm.ai_test,TRIM(AI365),_xlpm.r,IFERROR(_xlfn.XLOOKUP(_xlpm.ai_test,$BI$15:$BI$62,ROW($BI$15:$BI$62),0,1),IFERROR(_xlfn.XLOOKUP(_xlpm.ai_test,$BJ$15:$BJ$62,ROW($BJ$15:$BJ$62),0,1),_xlfn.XLOOKUP(_xlpm.ai_test,$BK$15:$BK$62,ROW($BK$15:$BK$62),0,1))),_xlpm.p,_xlpm.r-MIN(ROW($BI$15:$BI$62))+1,_xlpm.f,INDEX($BL$15:$BL$62,_xlpm.p),_xlpm.u,INDEX($BM$15:$BM$62,_xlpm.p),_xlpm.s,INDEX($BO$15:$BO$62,_xlpm.p),_xlpm.q,N(AT365)/_xlpm.f,IF(_xlpm.q&gt;=_xlpm.s,ROUND(_xlpm.q,1)&amp;" "&amp;_xlpm.ai_test&amp;" = "&amp;ROUND(_xlpm.q*_xlpm.f,1)&amp;" "&amp;_xlpm.u,ROUND(_xlpm.q,1)&amp;" "&amp;_xlpm.ai_test)),""),""))))</f>
        <v>0</v>
      </c>
      <c r="AW365" s="1047"/>
      <c r="AX365" s="1045">
        <f t="shared" si="155"/>
        <v>0</v>
      </c>
      <c r="AY365" s="1046" t="str">
        <f t="shared" si="156"/>
        <v/>
      </c>
      <c r="AZ365" s="1048">
        <f t="shared" si="161"/>
        <v>0</v>
      </c>
      <c r="BA365" s="1049" t="str">
        <f t="shared" si="157"/>
        <v/>
      </c>
      <c r="BB365" s="1038"/>
      <c r="BC365" s="1050">
        <f t="shared" si="162"/>
        <v>0</v>
      </c>
      <c r="BD365" s="1040" t="str">
        <f t="shared" si="158"/>
        <v/>
      </c>
      <c r="BE365" s="227" t="s">
        <v>22</v>
      </c>
      <c r="BF365" s="1019">
        <f t="shared" si="159"/>
        <v>0</v>
      </c>
      <c r="BG365" s="1020">
        <f t="shared" si="160"/>
        <v>0</v>
      </c>
      <c r="BH365"/>
      <c r="BI365" s="709"/>
      <c r="BJ365" s="709"/>
      <c r="BK365" s="709"/>
      <c r="BL365" s="709"/>
      <c r="BM365" s="709"/>
      <c r="BN365" s="709"/>
      <c r="BO365" s="709"/>
      <c r="BP365" s="709"/>
      <c r="BW365" s="959" t="str">
        <f t="shared" si="141"/>
        <v>►</v>
      </c>
      <c r="BX365" s="856"/>
      <c r="BY365" s="856"/>
      <c r="BZ365" s="856"/>
      <c r="CA365" s="856"/>
      <c r="CB365" s="856"/>
      <c r="DB365" s="3">
        <v>1</v>
      </c>
    </row>
    <row r="366" spans="12:106" ht="21" customHeight="1">
      <c r="L366" s="104" t="s">
        <v>16</v>
      </c>
      <c r="M366" s="1172"/>
      <c r="N366" s="1172"/>
      <c r="O366" s="1172"/>
      <c r="P366" s="1173"/>
      <c r="Q366" s="1174"/>
      <c r="R366" s="1175"/>
      <c r="S366" s="1176"/>
      <c r="T366" s="1177"/>
      <c r="U366" s="5248"/>
      <c r="V366" s="1177"/>
      <c r="W366" s="5249"/>
      <c r="X366" s="5208"/>
      <c r="Y366" s="5209"/>
      <c r="Z366" s="5210"/>
      <c r="AA366" s="5211"/>
      <c r="AB366" s="1178"/>
      <c r="AC366" s="1179"/>
      <c r="AD366" s="227" t="s">
        <v>22</v>
      </c>
      <c r="AE366" s="1027" t="str">
        <f t="shared" si="142"/>
        <v>►</v>
      </c>
      <c r="AF366" s="1028" t="str">
        <f t="shared" si="143"/>
        <v/>
      </c>
      <c r="AG366" s="1029" t="str">
        <f t="shared" si="144"/>
        <v/>
      </c>
      <c r="AH366" s="1028" t="str">
        <f t="shared" si="145"/>
        <v/>
      </c>
      <c r="AI366" s="1029" t="str">
        <f t="shared" si="146"/>
        <v/>
      </c>
      <c r="AJ366" s="1029">
        <f t="shared" si="147"/>
        <v>0</v>
      </c>
      <c r="AK366" s="1043" t="str" cm="1">
        <f t="array" ref="AK366">IF(AE366&lt;&gt;"A","",IFERROR((IFERROR(_xlfn.XLOOKUP(TRIM(SUBSTITUTE(U366,CHAR(160)," ")),$BI$15:$BI$62,$BL$15:$BL$62),IFERROR(_xlfn.XLOOKUP(TRIM(SUBSTITUTE(U366,CHAR(160)," ")),$BJ$15:$BJ$62,$BL$15:$BL$62),_xlfn.XLOOKUP(TRIM(SUBSTITUTE(U366,CHAR(160)," ")),$BK$15:$BK$62,$BL$15:$BL$62))))*T366*IF(ISBLANK(Q366),1,Q366)+IFERROR(_xlfn.XLOOKUP("RECHERCHEX",TRIM(L366:AC366),L366:AC366),0),0))</f>
        <v/>
      </c>
      <c r="AL366" s="1030">
        <f t="shared" si="148"/>
        <v>0</v>
      </c>
      <c r="AM366" s="5254" t="str">
        <f t="shared" si="163"/>
        <v/>
      </c>
      <c r="AN366" s="1031">
        <f t="shared" si="149"/>
        <v>0</v>
      </c>
      <c r="AO366" s="1031">
        <f t="shared" si="150"/>
        <v>0</v>
      </c>
      <c r="AP366" s="1032">
        <f t="shared" si="151"/>
        <v>0</v>
      </c>
      <c r="AQ366" s="5255" t="str">
        <f t="shared" si="152"/>
        <v/>
      </c>
      <c r="AR366" s="1056"/>
      <c r="AS366" s="1056"/>
      <c r="AT366" s="1034">
        <f t="shared" si="153"/>
        <v>0</v>
      </c>
      <c r="AU366" s="1035">
        <f t="shared" si="154"/>
        <v>0</v>
      </c>
      <c r="AV366" s="1057" cm="1">
        <f t="array" ref="AV366">IF(AJ366&lt;&gt;1,0,IF(OR(AT366="",N(AT366)&lt;=0.000000001),"",IF(OR(AN366="",N(AN366)&lt;=0.000000001),0,IF(ISNUMBER(AT366),IFERROR(_xlfn.LET(_xlpm.ai_test,TRIM(AI366),_xlpm.r,IFERROR(_xlfn.XLOOKUP(_xlpm.ai_test,$BI$15:$BI$62,ROW($BI$15:$BI$62),0,1),IFERROR(_xlfn.XLOOKUP(_xlpm.ai_test,$BJ$15:$BJ$62,ROW($BJ$15:$BJ$62),0,1),_xlfn.XLOOKUP(_xlpm.ai_test,$BK$15:$BK$62,ROW($BK$15:$BK$62),0,1))),_xlpm.p,_xlpm.r-MIN(ROW($BI$15:$BI$62))+1,_xlpm.f,INDEX($BL$15:$BL$62,_xlpm.p),_xlpm.u,INDEX($BM$15:$BM$62,_xlpm.p),_xlpm.s,INDEX($BO$15:$BO$62,_xlpm.p),_xlpm.q,N(AT366)/_xlpm.f,IF(_xlpm.q&gt;=_xlpm.s,ROUND(_xlpm.q,1)&amp;" "&amp;_xlpm.ai_test&amp;" = "&amp;ROUND(_xlpm.q*_xlpm.f,1)&amp;" "&amp;_xlpm.u,ROUND(_xlpm.q,1)&amp;" "&amp;_xlpm.ai_test)),""),""))))</f>
        <v>0</v>
      </c>
      <c r="AW366" s="1047"/>
      <c r="AX366" s="1034">
        <f t="shared" si="155"/>
        <v>0</v>
      </c>
      <c r="AY366" s="1035" t="str">
        <f t="shared" si="156"/>
        <v/>
      </c>
      <c r="AZ366" s="1036">
        <f t="shared" si="161"/>
        <v>0</v>
      </c>
      <c r="BA366" s="1037" t="str">
        <f t="shared" si="157"/>
        <v/>
      </c>
      <c r="BB366" s="1038"/>
      <c r="BC366" s="1039">
        <f t="shared" si="162"/>
        <v>0</v>
      </c>
      <c r="BD366" s="1040" t="str">
        <f t="shared" si="158"/>
        <v/>
      </c>
      <c r="BE366" s="227" t="s">
        <v>22</v>
      </c>
      <c r="BF366" s="1019">
        <f t="shared" si="159"/>
        <v>0</v>
      </c>
      <c r="BG366" s="1020">
        <f t="shared" si="160"/>
        <v>0</v>
      </c>
      <c r="BH366"/>
      <c r="BI366" s="709"/>
      <c r="BJ366" s="709"/>
      <c r="BK366" s="709"/>
      <c r="BL366" s="709"/>
      <c r="BM366" s="709"/>
      <c r="BN366" s="709"/>
      <c r="BO366" s="709"/>
      <c r="BP366" s="709"/>
      <c r="BW366" s="959" t="str">
        <f t="shared" si="141"/>
        <v>►</v>
      </c>
      <c r="BX366" s="856"/>
      <c r="BY366" s="856"/>
      <c r="BZ366" s="856"/>
      <c r="CA366" s="856"/>
      <c r="CB366" s="856"/>
      <c r="DB366" s="3">
        <v>1</v>
      </c>
    </row>
    <row r="367" spans="12:106" ht="21" customHeight="1">
      <c r="L367" s="104" t="s">
        <v>16</v>
      </c>
      <c r="M367" s="1172"/>
      <c r="N367" s="1172"/>
      <c r="O367" s="1172"/>
      <c r="P367" s="1173"/>
      <c r="Q367" s="1174"/>
      <c r="R367" s="1175"/>
      <c r="S367" s="1176"/>
      <c r="T367" s="1177"/>
      <c r="U367" s="5248"/>
      <c r="V367" s="1177"/>
      <c r="W367" s="5249"/>
      <c r="X367" s="5208"/>
      <c r="Y367" s="5209"/>
      <c r="Z367" s="5210"/>
      <c r="AA367" s="5211"/>
      <c r="AB367" s="1178"/>
      <c r="AC367" s="1179"/>
      <c r="AD367" s="227" t="s">
        <v>22</v>
      </c>
      <c r="AE367" s="1027" t="str">
        <f t="shared" si="142"/>
        <v>►</v>
      </c>
      <c r="AF367" s="1028" t="str">
        <f t="shared" si="143"/>
        <v/>
      </c>
      <c r="AG367" s="1029" t="str">
        <f t="shared" si="144"/>
        <v/>
      </c>
      <c r="AH367" s="1028" t="str">
        <f t="shared" si="145"/>
        <v/>
      </c>
      <c r="AI367" s="1029" t="str">
        <f t="shared" si="146"/>
        <v/>
      </c>
      <c r="AJ367" s="1029">
        <f t="shared" si="147"/>
        <v>0</v>
      </c>
      <c r="AK367" s="1043" t="str" cm="1">
        <f t="array" ref="AK367">IF(AE367&lt;&gt;"A","",IFERROR((IFERROR(_xlfn.XLOOKUP(TRIM(SUBSTITUTE(U367,CHAR(160)," ")),$BI$15:$BI$62,$BL$15:$BL$62),IFERROR(_xlfn.XLOOKUP(TRIM(SUBSTITUTE(U367,CHAR(160)," ")),$BJ$15:$BJ$62,$BL$15:$BL$62),_xlfn.XLOOKUP(TRIM(SUBSTITUTE(U367,CHAR(160)," ")),$BK$15:$BK$62,$BL$15:$BL$62))))*T367*IF(ISBLANK(Q367),1,Q367)+IFERROR(_xlfn.XLOOKUP("RECHERCHEX",TRIM(L367:AC367),L367:AC367),0),0))</f>
        <v/>
      </c>
      <c r="AL367" s="1030">
        <f t="shared" si="148"/>
        <v>0</v>
      </c>
      <c r="AM367" s="5254" t="str">
        <f t="shared" si="163"/>
        <v/>
      </c>
      <c r="AN367" s="1031">
        <f t="shared" si="149"/>
        <v>0</v>
      </c>
      <c r="AO367" s="1031">
        <f t="shared" si="150"/>
        <v>0</v>
      </c>
      <c r="AP367" s="1044">
        <f t="shared" si="151"/>
        <v>0</v>
      </c>
      <c r="AQ367" s="5257" t="str">
        <f t="shared" si="152"/>
        <v/>
      </c>
      <c r="AR367" s="1056"/>
      <c r="AS367" s="1056"/>
      <c r="AT367" s="1045">
        <f t="shared" si="153"/>
        <v>0</v>
      </c>
      <c r="AU367" s="1046">
        <f t="shared" si="154"/>
        <v>0</v>
      </c>
      <c r="AV367" s="1059" cm="1">
        <f t="array" ref="AV367">IF(AJ367&lt;&gt;1,0,IF(OR(AT367="",N(AT367)&lt;=0.000000001),"",IF(OR(AN367="",N(AN367)&lt;=0.000000001),0,IF(ISNUMBER(AT367),IFERROR(_xlfn.LET(_xlpm.ai_test,TRIM(AI367),_xlpm.r,IFERROR(_xlfn.XLOOKUP(_xlpm.ai_test,$BI$15:$BI$62,ROW($BI$15:$BI$62),0,1),IFERROR(_xlfn.XLOOKUP(_xlpm.ai_test,$BJ$15:$BJ$62,ROW($BJ$15:$BJ$62),0,1),_xlfn.XLOOKUP(_xlpm.ai_test,$BK$15:$BK$62,ROW($BK$15:$BK$62),0,1))),_xlpm.p,_xlpm.r-MIN(ROW($BI$15:$BI$62))+1,_xlpm.f,INDEX($BL$15:$BL$62,_xlpm.p),_xlpm.u,INDEX($BM$15:$BM$62,_xlpm.p),_xlpm.s,INDEX($BO$15:$BO$62,_xlpm.p),_xlpm.q,N(AT367)/_xlpm.f,IF(_xlpm.q&gt;=_xlpm.s,ROUND(_xlpm.q,1)&amp;" "&amp;_xlpm.ai_test&amp;" = "&amp;ROUND(_xlpm.q*_xlpm.f,1)&amp;" "&amp;_xlpm.u,ROUND(_xlpm.q,1)&amp;" "&amp;_xlpm.ai_test)),""),""))))</f>
        <v>0</v>
      </c>
      <c r="AW367" s="1047"/>
      <c r="AX367" s="1045">
        <f t="shared" si="155"/>
        <v>0</v>
      </c>
      <c r="AY367" s="1046" t="str">
        <f t="shared" si="156"/>
        <v/>
      </c>
      <c r="AZ367" s="1048">
        <f t="shared" si="161"/>
        <v>0</v>
      </c>
      <c r="BA367" s="1049" t="str">
        <f t="shared" si="157"/>
        <v/>
      </c>
      <c r="BB367" s="1038"/>
      <c r="BC367" s="1050">
        <f t="shared" si="162"/>
        <v>0</v>
      </c>
      <c r="BD367" s="1040" t="str">
        <f t="shared" si="158"/>
        <v/>
      </c>
      <c r="BE367" s="227" t="s">
        <v>22</v>
      </c>
      <c r="BF367" s="1019">
        <f t="shared" si="159"/>
        <v>0</v>
      </c>
      <c r="BG367" s="1020">
        <f t="shared" si="160"/>
        <v>0</v>
      </c>
      <c r="BH367"/>
      <c r="BI367" s="709"/>
      <c r="BJ367" s="709"/>
      <c r="BK367" s="709"/>
      <c r="BL367" s="709"/>
      <c r="BM367" s="709"/>
      <c r="BN367" s="709"/>
      <c r="BO367" s="709"/>
      <c r="BP367" s="709"/>
      <c r="BW367" s="959" t="str">
        <f t="shared" si="141"/>
        <v>►</v>
      </c>
      <c r="BX367" s="856"/>
      <c r="BY367" s="856"/>
      <c r="BZ367" s="856"/>
      <c r="CA367" s="856"/>
      <c r="CB367" s="856"/>
      <c r="DB367" s="3">
        <v>1</v>
      </c>
    </row>
    <row r="368" spans="12:106" ht="21" customHeight="1">
      <c r="L368" s="104" t="s">
        <v>16</v>
      </c>
      <c r="M368" s="1172"/>
      <c r="N368" s="1172"/>
      <c r="O368" s="1172"/>
      <c r="P368" s="1173"/>
      <c r="Q368" s="1174"/>
      <c r="R368" s="1175"/>
      <c r="S368" s="1176"/>
      <c r="T368" s="1177"/>
      <c r="U368" s="5248"/>
      <c r="V368" s="1177"/>
      <c r="W368" s="5249"/>
      <c r="X368" s="5208"/>
      <c r="Y368" s="5209"/>
      <c r="Z368" s="5210"/>
      <c r="AA368" s="5211"/>
      <c r="AB368" s="1178"/>
      <c r="AC368" s="1179"/>
      <c r="AD368" s="227" t="s">
        <v>22</v>
      </c>
      <c r="AE368" s="1027" t="str">
        <f t="shared" si="142"/>
        <v>►</v>
      </c>
      <c r="AF368" s="1028" t="str">
        <f t="shared" si="143"/>
        <v/>
      </c>
      <c r="AG368" s="1029" t="str">
        <f t="shared" si="144"/>
        <v/>
      </c>
      <c r="AH368" s="1028" t="str">
        <f t="shared" si="145"/>
        <v/>
      </c>
      <c r="AI368" s="1029" t="str">
        <f t="shared" si="146"/>
        <v/>
      </c>
      <c r="AJ368" s="1029">
        <f t="shared" si="147"/>
        <v>0</v>
      </c>
      <c r="AK368" s="1043" t="str" cm="1">
        <f t="array" ref="AK368">IF(AE368&lt;&gt;"A","",IFERROR((IFERROR(_xlfn.XLOOKUP(TRIM(SUBSTITUTE(U368,CHAR(160)," ")),$BI$15:$BI$62,$BL$15:$BL$62),IFERROR(_xlfn.XLOOKUP(TRIM(SUBSTITUTE(U368,CHAR(160)," ")),$BJ$15:$BJ$62,$BL$15:$BL$62),_xlfn.XLOOKUP(TRIM(SUBSTITUTE(U368,CHAR(160)," ")),$BK$15:$BK$62,$BL$15:$BL$62))))*T368*IF(ISBLANK(Q368),1,Q368)+IFERROR(_xlfn.XLOOKUP("RECHERCHEX",TRIM(L368:AC368),L368:AC368),0),0))</f>
        <v/>
      </c>
      <c r="AL368" s="1030">
        <f t="shared" si="148"/>
        <v>0</v>
      </c>
      <c r="AM368" s="5254" t="str">
        <f t="shared" si="163"/>
        <v/>
      </c>
      <c r="AN368" s="1031">
        <f t="shared" si="149"/>
        <v>0</v>
      </c>
      <c r="AO368" s="1031">
        <f t="shared" si="150"/>
        <v>0</v>
      </c>
      <c r="AP368" s="1032">
        <f t="shared" si="151"/>
        <v>0</v>
      </c>
      <c r="AQ368" s="5255" t="str">
        <f t="shared" si="152"/>
        <v/>
      </c>
      <c r="AR368" s="1056"/>
      <c r="AS368" s="1056"/>
      <c r="AT368" s="1034">
        <f t="shared" si="153"/>
        <v>0</v>
      </c>
      <c r="AU368" s="1035">
        <f t="shared" si="154"/>
        <v>0</v>
      </c>
      <c r="AV368" s="1057" cm="1">
        <f t="array" ref="AV368">IF(AJ368&lt;&gt;1,0,IF(OR(AT368="",N(AT368)&lt;=0.000000001),"",IF(OR(AN368="",N(AN368)&lt;=0.000000001),0,IF(ISNUMBER(AT368),IFERROR(_xlfn.LET(_xlpm.ai_test,TRIM(AI368),_xlpm.r,IFERROR(_xlfn.XLOOKUP(_xlpm.ai_test,$BI$15:$BI$62,ROW($BI$15:$BI$62),0,1),IFERROR(_xlfn.XLOOKUP(_xlpm.ai_test,$BJ$15:$BJ$62,ROW($BJ$15:$BJ$62),0,1),_xlfn.XLOOKUP(_xlpm.ai_test,$BK$15:$BK$62,ROW($BK$15:$BK$62),0,1))),_xlpm.p,_xlpm.r-MIN(ROW($BI$15:$BI$62))+1,_xlpm.f,INDEX($BL$15:$BL$62,_xlpm.p),_xlpm.u,INDEX($BM$15:$BM$62,_xlpm.p),_xlpm.s,INDEX($BO$15:$BO$62,_xlpm.p),_xlpm.q,N(AT368)/_xlpm.f,IF(_xlpm.q&gt;=_xlpm.s,ROUND(_xlpm.q,1)&amp;" "&amp;_xlpm.ai_test&amp;" = "&amp;ROUND(_xlpm.q*_xlpm.f,1)&amp;" "&amp;_xlpm.u,ROUND(_xlpm.q,1)&amp;" "&amp;_xlpm.ai_test)),""),""))))</f>
        <v>0</v>
      </c>
      <c r="AW368" s="1047"/>
      <c r="AX368" s="1034">
        <f t="shared" si="155"/>
        <v>0</v>
      </c>
      <c r="AY368" s="1035" t="str">
        <f t="shared" si="156"/>
        <v/>
      </c>
      <c r="AZ368" s="1036">
        <f t="shared" si="161"/>
        <v>0</v>
      </c>
      <c r="BA368" s="1037" t="str">
        <f t="shared" si="157"/>
        <v/>
      </c>
      <c r="BB368" s="1038"/>
      <c r="BC368" s="1039">
        <f t="shared" si="162"/>
        <v>0</v>
      </c>
      <c r="BD368" s="1040" t="str">
        <f t="shared" si="158"/>
        <v/>
      </c>
      <c r="BE368" s="227" t="s">
        <v>22</v>
      </c>
      <c r="BF368" s="1019">
        <f t="shared" si="159"/>
        <v>0</v>
      </c>
      <c r="BG368" s="1020">
        <f t="shared" si="160"/>
        <v>0</v>
      </c>
      <c r="BH368"/>
      <c r="BI368" s="709"/>
      <c r="BJ368" s="709"/>
      <c r="BK368" s="709"/>
      <c r="BL368" s="709"/>
      <c r="BM368" s="709"/>
      <c r="BN368" s="709"/>
      <c r="BO368" s="709"/>
      <c r="BP368" s="709"/>
      <c r="BW368" s="959" t="str">
        <f t="shared" si="141"/>
        <v>►</v>
      </c>
      <c r="BX368" s="856"/>
      <c r="BY368" s="856"/>
      <c r="BZ368" s="856"/>
      <c r="CA368" s="856"/>
      <c r="CB368" s="856"/>
      <c r="DB368" s="3">
        <v>1</v>
      </c>
    </row>
    <row r="369" spans="12:106" ht="21" customHeight="1">
      <c r="L369" s="104" t="s">
        <v>16</v>
      </c>
      <c r="M369" s="1172"/>
      <c r="N369" s="1172"/>
      <c r="O369" s="1172"/>
      <c r="P369" s="1173"/>
      <c r="Q369" s="1174"/>
      <c r="R369" s="1175"/>
      <c r="S369" s="1176"/>
      <c r="T369" s="1177"/>
      <c r="U369" s="5248"/>
      <c r="V369" s="1177"/>
      <c r="W369" s="5249"/>
      <c r="X369" s="5208"/>
      <c r="Y369" s="5209"/>
      <c r="Z369" s="5210"/>
      <c r="AA369" s="5211"/>
      <c r="AB369" s="1178"/>
      <c r="AC369" s="1179"/>
      <c r="AD369" s="227" t="s">
        <v>22</v>
      </c>
      <c r="AE369" s="1027" t="str">
        <f t="shared" si="142"/>
        <v>►</v>
      </c>
      <c r="AF369" s="1028" t="str">
        <f t="shared" si="143"/>
        <v/>
      </c>
      <c r="AG369" s="1029" t="str">
        <f t="shared" si="144"/>
        <v/>
      </c>
      <c r="AH369" s="1028" t="str">
        <f t="shared" si="145"/>
        <v/>
      </c>
      <c r="AI369" s="1029" t="str">
        <f t="shared" si="146"/>
        <v/>
      </c>
      <c r="AJ369" s="1029">
        <f t="shared" si="147"/>
        <v>0</v>
      </c>
      <c r="AK369" s="1043" t="str" cm="1">
        <f t="array" ref="AK369">IF(AE369&lt;&gt;"A","",IFERROR((IFERROR(_xlfn.XLOOKUP(TRIM(SUBSTITUTE(U369,CHAR(160)," ")),$BI$15:$BI$62,$BL$15:$BL$62),IFERROR(_xlfn.XLOOKUP(TRIM(SUBSTITUTE(U369,CHAR(160)," ")),$BJ$15:$BJ$62,$BL$15:$BL$62),_xlfn.XLOOKUP(TRIM(SUBSTITUTE(U369,CHAR(160)," ")),$BK$15:$BK$62,$BL$15:$BL$62))))*T369*IF(ISBLANK(Q369),1,Q369)+IFERROR(_xlfn.XLOOKUP("RECHERCHEX",TRIM(L369:AC369),L369:AC369),0),0))</f>
        <v/>
      </c>
      <c r="AL369" s="1030">
        <f t="shared" si="148"/>
        <v>0</v>
      </c>
      <c r="AM369" s="5254" t="str">
        <f t="shared" si="163"/>
        <v/>
      </c>
      <c r="AN369" s="1031">
        <f t="shared" si="149"/>
        <v>0</v>
      </c>
      <c r="AO369" s="1031">
        <f t="shared" si="150"/>
        <v>0</v>
      </c>
      <c r="AP369" s="1044">
        <f t="shared" si="151"/>
        <v>0</v>
      </c>
      <c r="AQ369" s="5257" t="str">
        <f t="shared" si="152"/>
        <v/>
      </c>
      <c r="AR369" s="1056"/>
      <c r="AS369" s="1056"/>
      <c r="AT369" s="1045">
        <f t="shared" si="153"/>
        <v>0</v>
      </c>
      <c r="AU369" s="1046">
        <f t="shared" si="154"/>
        <v>0</v>
      </c>
      <c r="AV369" s="1059" cm="1">
        <f t="array" ref="AV369">IF(AJ369&lt;&gt;1,0,IF(OR(AT369="",N(AT369)&lt;=0.000000001),"",IF(OR(AN369="",N(AN369)&lt;=0.000000001),0,IF(ISNUMBER(AT369),IFERROR(_xlfn.LET(_xlpm.ai_test,TRIM(AI369),_xlpm.r,IFERROR(_xlfn.XLOOKUP(_xlpm.ai_test,$BI$15:$BI$62,ROW($BI$15:$BI$62),0,1),IFERROR(_xlfn.XLOOKUP(_xlpm.ai_test,$BJ$15:$BJ$62,ROW($BJ$15:$BJ$62),0,1),_xlfn.XLOOKUP(_xlpm.ai_test,$BK$15:$BK$62,ROW($BK$15:$BK$62),0,1))),_xlpm.p,_xlpm.r-MIN(ROW($BI$15:$BI$62))+1,_xlpm.f,INDEX($BL$15:$BL$62,_xlpm.p),_xlpm.u,INDEX($BM$15:$BM$62,_xlpm.p),_xlpm.s,INDEX($BO$15:$BO$62,_xlpm.p),_xlpm.q,N(AT369)/_xlpm.f,IF(_xlpm.q&gt;=_xlpm.s,ROUND(_xlpm.q,1)&amp;" "&amp;_xlpm.ai_test&amp;" = "&amp;ROUND(_xlpm.q*_xlpm.f,1)&amp;" "&amp;_xlpm.u,ROUND(_xlpm.q,1)&amp;" "&amp;_xlpm.ai_test)),""),""))))</f>
        <v>0</v>
      </c>
      <c r="AW369" s="1047"/>
      <c r="AX369" s="1045">
        <f t="shared" si="155"/>
        <v>0</v>
      </c>
      <c r="AY369" s="1046" t="str">
        <f t="shared" si="156"/>
        <v/>
      </c>
      <c r="AZ369" s="1048">
        <f t="shared" si="161"/>
        <v>0</v>
      </c>
      <c r="BA369" s="1049" t="str">
        <f t="shared" si="157"/>
        <v/>
      </c>
      <c r="BB369" s="1038"/>
      <c r="BC369" s="1050">
        <f t="shared" si="162"/>
        <v>0</v>
      </c>
      <c r="BD369" s="1040" t="str">
        <f t="shared" si="158"/>
        <v/>
      </c>
      <c r="BE369" s="227" t="s">
        <v>22</v>
      </c>
      <c r="BF369" s="1019">
        <f t="shared" si="159"/>
        <v>0</v>
      </c>
      <c r="BG369" s="1020">
        <f t="shared" si="160"/>
        <v>0</v>
      </c>
      <c r="BH369"/>
      <c r="BI369" s="709"/>
      <c r="BJ369" s="709"/>
      <c r="BK369" s="709"/>
      <c r="BL369" s="709"/>
      <c r="BM369" s="709"/>
      <c r="BN369" s="709"/>
      <c r="BO369" s="709"/>
      <c r="BP369" s="709"/>
      <c r="BW369" s="959" t="str">
        <f t="shared" si="141"/>
        <v>►</v>
      </c>
      <c r="BX369" s="856"/>
      <c r="BY369" s="856"/>
      <c r="BZ369" s="856"/>
      <c r="CA369" s="856"/>
      <c r="CB369" s="856"/>
      <c r="DB369" s="3">
        <v>1</v>
      </c>
    </row>
    <row r="370" spans="12:106" ht="21" customHeight="1">
      <c r="L370" s="104" t="s">
        <v>16</v>
      </c>
      <c r="M370" s="1172"/>
      <c r="N370" s="1172"/>
      <c r="O370" s="1172"/>
      <c r="P370" s="1173"/>
      <c r="Q370" s="1174"/>
      <c r="R370" s="1175"/>
      <c r="S370" s="1176"/>
      <c r="T370" s="1177"/>
      <c r="U370" s="5248"/>
      <c r="V370" s="1177"/>
      <c r="W370" s="5249"/>
      <c r="X370" s="5208"/>
      <c r="Y370" s="5209"/>
      <c r="Z370" s="5210"/>
      <c r="AA370" s="5211"/>
      <c r="AB370" s="1178"/>
      <c r="AC370" s="1179"/>
      <c r="AD370" s="227" t="s">
        <v>22</v>
      </c>
      <c r="AE370" s="1027" t="str">
        <f t="shared" si="142"/>
        <v>►</v>
      </c>
      <c r="AF370" s="1028" t="str">
        <f t="shared" si="143"/>
        <v/>
      </c>
      <c r="AG370" s="1029" t="str">
        <f t="shared" si="144"/>
        <v/>
      </c>
      <c r="AH370" s="1028" t="str">
        <f t="shared" si="145"/>
        <v/>
      </c>
      <c r="AI370" s="1029" t="str">
        <f t="shared" si="146"/>
        <v/>
      </c>
      <c r="AJ370" s="1029">
        <f t="shared" si="147"/>
        <v>0</v>
      </c>
      <c r="AK370" s="1043" t="str" cm="1">
        <f t="array" ref="AK370">IF(AE370&lt;&gt;"A","",IFERROR((IFERROR(_xlfn.XLOOKUP(TRIM(SUBSTITUTE(U370,CHAR(160)," ")),$BI$15:$BI$62,$BL$15:$BL$62),IFERROR(_xlfn.XLOOKUP(TRIM(SUBSTITUTE(U370,CHAR(160)," ")),$BJ$15:$BJ$62,$BL$15:$BL$62),_xlfn.XLOOKUP(TRIM(SUBSTITUTE(U370,CHAR(160)," ")),$BK$15:$BK$62,$BL$15:$BL$62))))*T370*IF(ISBLANK(Q370),1,Q370)+IFERROR(_xlfn.XLOOKUP("RECHERCHEX",TRIM(L370:AC370),L370:AC370),0),0))</f>
        <v/>
      </c>
      <c r="AL370" s="1030">
        <f t="shared" si="148"/>
        <v>0</v>
      </c>
      <c r="AM370" s="5254" t="str">
        <f t="shared" si="163"/>
        <v/>
      </c>
      <c r="AN370" s="1031">
        <f t="shared" si="149"/>
        <v>0</v>
      </c>
      <c r="AO370" s="1031">
        <f t="shared" si="150"/>
        <v>0</v>
      </c>
      <c r="AP370" s="1032">
        <f t="shared" si="151"/>
        <v>0</v>
      </c>
      <c r="AQ370" s="5255" t="str">
        <f t="shared" si="152"/>
        <v/>
      </c>
      <c r="AR370" s="1056"/>
      <c r="AS370" s="1056"/>
      <c r="AT370" s="1034">
        <f t="shared" si="153"/>
        <v>0</v>
      </c>
      <c r="AU370" s="1035">
        <f t="shared" si="154"/>
        <v>0</v>
      </c>
      <c r="AV370" s="1057" cm="1">
        <f t="array" ref="AV370">IF(AJ370&lt;&gt;1,0,IF(OR(AT370="",N(AT370)&lt;=0.000000001),"",IF(OR(AN370="",N(AN370)&lt;=0.000000001),0,IF(ISNUMBER(AT370),IFERROR(_xlfn.LET(_xlpm.ai_test,TRIM(AI370),_xlpm.r,IFERROR(_xlfn.XLOOKUP(_xlpm.ai_test,$BI$15:$BI$62,ROW($BI$15:$BI$62),0,1),IFERROR(_xlfn.XLOOKUP(_xlpm.ai_test,$BJ$15:$BJ$62,ROW($BJ$15:$BJ$62),0,1),_xlfn.XLOOKUP(_xlpm.ai_test,$BK$15:$BK$62,ROW($BK$15:$BK$62),0,1))),_xlpm.p,_xlpm.r-MIN(ROW($BI$15:$BI$62))+1,_xlpm.f,INDEX($BL$15:$BL$62,_xlpm.p),_xlpm.u,INDEX($BM$15:$BM$62,_xlpm.p),_xlpm.s,INDEX($BO$15:$BO$62,_xlpm.p),_xlpm.q,N(AT370)/_xlpm.f,IF(_xlpm.q&gt;=_xlpm.s,ROUND(_xlpm.q,1)&amp;" "&amp;_xlpm.ai_test&amp;" = "&amp;ROUND(_xlpm.q*_xlpm.f,1)&amp;" "&amp;_xlpm.u,ROUND(_xlpm.q,1)&amp;" "&amp;_xlpm.ai_test)),""),""))))</f>
        <v>0</v>
      </c>
      <c r="AW370" s="1047"/>
      <c r="AX370" s="1034">
        <f t="shared" si="155"/>
        <v>0</v>
      </c>
      <c r="AY370" s="1035" t="str">
        <f t="shared" si="156"/>
        <v/>
      </c>
      <c r="AZ370" s="1036">
        <f t="shared" si="161"/>
        <v>0</v>
      </c>
      <c r="BA370" s="1037" t="str">
        <f t="shared" si="157"/>
        <v/>
      </c>
      <c r="BB370" s="1038"/>
      <c r="BC370" s="1039">
        <f t="shared" si="162"/>
        <v>0</v>
      </c>
      <c r="BD370" s="1040" t="str">
        <f t="shared" si="158"/>
        <v/>
      </c>
      <c r="BE370" s="227" t="s">
        <v>22</v>
      </c>
      <c r="BF370" s="1019">
        <f t="shared" si="159"/>
        <v>0</v>
      </c>
      <c r="BG370" s="1020">
        <f t="shared" si="160"/>
        <v>0</v>
      </c>
      <c r="BH370"/>
      <c r="BI370" s="709"/>
      <c r="BJ370" s="709"/>
      <c r="BK370" s="709"/>
      <c r="BL370" s="709"/>
      <c r="BM370" s="709"/>
      <c r="BN370" s="709"/>
      <c r="BO370" s="709"/>
      <c r="BP370" s="709"/>
      <c r="BW370" s="959" t="str">
        <f t="shared" si="141"/>
        <v>►</v>
      </c>
      <c r="BX370" s="856"/>
      <c r="BY370" s="856"/>
      <c r="BZ370" s="856"/>
      <c r="CA370" s="856"/>
      <c r="CB370" s="856"/>
      <c r="DB370" s="3">
        <v>1</v>
      </c>
    </row>
    <row r="371" spans="12:106" ht="21" customHeight="1">
      <c r="L371" s="104" t="s">
        <v>16</v>
      </c>
      <c r="M371" s="1172"/>
      <c r="N371" s="1172"/>
      <c r="O371" s="1172"/>
      <c r="P371" s="1173"/>
      <c r="Q371" s="1174"/>
      <c r="R371" s="1175"/>
      <c r="S371" s="1176"/>
      <c r="T371" s="1177"/>
      <c r="U371" s="5248"/>
      <c r="V371" s="1177"/>
      <c r="W371" s="5249"/>
      <c r="X371" s="5208"/>
      <c r="Y371" s="5209"/>
      <c r="Z371" s="5210"/>
      <c r="AA371" s="5211"/>
      <c r="AB371" s="1178"/>
      <c r="AC371" s="1179"/>
      <c r="AD371" s="227" t="s">
        <v>22</v>
      </c>
      <c r="AE371" s="1027" t="str">
        <f t="shared" si="142"/>
        <v>►</v>
      </c>
      <c r="AF371" s="1028" t="str">
        <f t="shared" si="143"/>
        <v/>
      </c>
      <c r="AG371" s="1029" t="str">
        <f t="shared" si="144"/>
        <v/>
      </c>
      <c r="AH371" s="1028" t="str">
        <f t="shared" si="145"/>
        <v/>
      </c>
      <c r="AI371" s="1029" t="str">
        <f t="shared" si="146"/>
        <v/>
      </c>
      <c r="AJ371" s="1029">
        <f t="shared" si="147"/>
        <v>0</v>
      </c>
      <c r="AK371" s="1043" t="str" cm="1">
        <f t="array" ref="AK371">IF(AE371&lt;&gt;"A","",IFERROR((IFERROR(_xlfn.XLOOKUP(TRIM(SUBSTITUTE(U371,CHAR(160)," ")),$BI$15:$BI$62,$BL$15:$BL$62),IFERROR(_xlfn.XLOOKUP(TRIM(SUBSTITUTE(U371,CHAR(160)," ")),$BJ$15:$BJ$62,$BL$15:$BL$62),_xlfn.XLOOKUP(TRIM(SUBSTITUTE(U371,CHAR(160)," ")),$BK$15:$BK$62,$BL$15:$BL$62))))*T371*IF(ISBLANK(Q371),1,Q371)+IFERROR(_xlfn.XLOOKUP("RECHERCHEX",TRIM(L371:AC371),L371:AC371),0),0))</f>
        <v/>
      </c>
      <c r="AL371" s="1030">
        <f t="shared" si="148"/>
        <v>0</v>
      </c>
      <c r="AM371" s="5254" t="str">
        <f t="shared" si="163"/>
        <v/>
      </c>
      <c r="AN371" s="1031">
        <f t="shared" si="149"/>
        <v>0</v>
      </c>
      <c r="AO371" s="1031">
        <f t="shared" si="150"/>
        <v>0</v>
      </c>
      <c r="AP371" s="1044">
        <f t="shared" si="151"/>
        <v>0</v>
      </c>
      <c r="AQ371" s="5257" t="str">
        <f t="shared" si="152"/>
        <v/>
      </c>
      <c r="AR371" s="1056"/>
      <c r="AS371" s="1056"/>
      <c r="AT371" s="1045">
        <f t="shared" si="153"/>
        <v>0</v>
      </c>
      <c r="AU371" s="1046">
        <f t="shared" si="154"/>
        <v>0</v>
      </c>
      <c r="AV371" s="1059" cm="1">
        <f t="array" ref="AV371">IF(AJ371&lt;&gt;1,0,IF(OR(AT371="",N(AT371)&lt;=0.000000001),"",IF(OR(AN371="",N(AN371)&lt;=0.000000001),0,IF(ISNUMBER(AT371),IFERROR(_xlfn.LET(_xlpm.ai_test,TRIM(AI371),_xlpm.r,IFERROR(_xlfn.XLOOKUP(_xlpm.ai_test,$BI$15:$BI$62,ROW($BI$15:$BI$62),0,1),IFERROR(_xlfn.XLOOKUP(_xlpm.ai_test,$BJ$15:$BJ$62,ROW($BJ$15:$BJ$62),0,1),_xlfn.XLOOKUP(_xlpm.ai_test,$BK$15:$BK$62,ROW($BK$15:$BK$62),0,1))),_xlpm.p,_xlpm.r-MIN(ROW($BI$15:$BI$62))+1,_xlpm.f,INDEX($BL$15:$BL$62,_xlpm.p),_xlpm.u,INDEX($BM$15:$BM$62,_xlpm.p),_xlpm.s,INDEX($BO$15:$BO$62,_xlpm.p),_xlpm.q,N(AT371)/_xlpm.f,IF(_xlpm.q&gt;=_xlpm.s,ROUND(_xlpm.q,1)&amp;" "&amp;_xlpm.ai_test&amp;" = "&amp;ROUND(_xlpm.q*_xlpm.f,1)&amp;" "&amp;_xlpm.u,ROUND(_xlpm.q,1)&amp;" "&amp;_xlpm.ai_test)),""),""))))</f>
        <v>0</v>
      </c>
      <c r="AW371" s="1047"/>
      <c r="AX371" s="1045">
        <f t="shared" si="155"/>
        <v>0</v>
      </c>
      <c r="AY371" s="1046" t="str">
        <f t="shared" si="156"/>
        <v/>
      </c>
      <c r="AZ371" s="1048">
        <f t="shared" si="161"/>
        <v>0</v>
      </c>
      <c r="BA371" s="1049" t="str">
        <f t="shared" si="157"/>
        <v/>
      </c>
      <c r="BB371" s="1038"/>
      <c r="BC371" s="1050">
        <f t="shared" si="162"/>
        <v>0</v>
      </c>
      <c r="BD371" s="1040" t="str">
        <f t="shared" si="158"/>
        <v/>
      </c>
      <c r="BE371" s="227" t="s">
        <v>22</v>
      </c>
      <c r="BF371" s="1019">
        <f t="shared" si="159"/>
        <v>0</v>
      </c>
      <c r="BG371" s="1020">
        <f t="shared" si="160"/>
        <v>0</v>
      </c>
      <c r="BH371"/>
      <c r="BI371" s="709"/>
      <c r="BJ371" s="709"/>
      <c r="BK371" s="709"/>
      <c r="BL371" s="709"/>
      <c r="BM371" s="709"/>
      <c r="BN371" s="709"/>
      <c r="BO371" s="709"/>
      <c r="BP371" s="709"/>
      <c r="BW371" s="959" t="str">
        <f t="shared" si="141"/>
        <v>►</v>
      </c>
      <c r="BX371" s="856"/>
      <c r="BY371" s="856"/>
      <c r="BZ371" s="856"/>
      <c r="CA371" s="856"/>
      <c r="CB371" s="856"/>
      <c r="DB371" s="3">
        <v>1</v>
      </c>
    </row>
    <row r="372" spans="12:106" ht="21" customHeight="1">
      <c r="L372" s="104" t="s">
        <v>16</v>
      </c>
      <c r="M372" s="1172"/>
      <c r="N372" s="1172"/>
      <c r="O372" s="1172"/>
      <c r="P372" s="1173"/>
      <c r="Q372" s="1174"/>
      <c r="R372" s="1175"/>
      <c r="S372" s="1176"/>
      <c r="T372" s="1177"/>
      <c r="U372" s="5248"/>
      <c r="V372" s="1177"/>
      <c r="W372" s="5249"/>
      <c r="X372" s="5208"/>
      <c r="Y372" s="5209"/>
      <c r="Z372" s="5210"/>
      <c r="AA372" s="5211"/>
      <c r="AB372" s="1178"/>
      <c r="AC372" s="1179"/>
      <c r="AD372" s="227" t="s">
        <v>22</v>
      </c>
      <c r="AE372" s="1027" t="str">
        <f t="shared" si="142"/>
        <v>►</v>
      </c>
      <c r="AF372" s="1028" t="str">
        <f t="shared" si="143"/>
        <v/>
      </c>
      <c r="AG372" s="1029" t="str">
        <f t="shared" si="144"/>
        <v/>
      </c>
      <c r="AH372" s="1028" t="str">
        <f t="shared" si="145"/>
        <v/>
      </c>
      <c r="AI372" s="1029" t="str">
        <f t="shared" si="146"/>
        <v/>
      </c>
      <c r="AJ372" s="1029">
        <f t="shared" si="147"/>
        <v>0</v>
      </c>
      <c r="AK372" s="1043" t="str" cm="1">
        <f t="array" ref="AK372">IF(AE372&lt;&gt;"A","",IFERROR((IFERROR(_xlfn.XLOOKUP(TRIM(SUBSTITUTE(U372,CHAR(160)," ")),$BI$15:$BI$62,$BL$15:$BL$62),IFERROR(_xlfn.XLOOKUP(TRIM(SUBSTITUTE(U372,CHAR(160)," ")),$BJ$15:$BJ$62,$BL$15:$BL$62),_xlfn.XLOOKUP(TRIM(SUBSTITUTE(U372,CHAR(160)," ")),$BK$15:$BK$62,$BL$15:$BL$62))))*T372*IF(ISBLANK(Q372),1,Q372)+IFERROR(_xlfn.XLOOKUP("RECHERCHEX",TRIM(L372:AC372),L372:AC372),0),0))</f>
        <v/>
      </c>
      <c r="AL372" s="1030">
        <f t="shared" si="148"/>
        <v>0</v>
      </c>
      <c r="AM372" s="5254" t="str">
        <f t="shared" si="163"/>
        <v/>
      </c>
      <c r="AN372" s="1031">
        <f t="shared" si="149"/>
        <v>0</v>
      </c>
      <c r="AO372" s="1031">
        <f t="shared" si="150"/>
        <v>0</v>
      </c>
      <c r="AP372" s="1032">
        <f t="shared" si="151"/>
        <v>0</v>
      </c>
      <c r="AQ372" s="5255" t="str">
        <f t="shared" si="152"/>
        <v/>
      </c>
      <c r="AR372" s="1056"/>
      <c r="AS372" s="1056"/>
      <c r="AT372" s="1034">
        <f t="shared" si="153"/>
        <v>0</v>
      </c>
      <c r="AU372" s="1035">
        <f t="shared" si="154"/>
        <v>0</v>
      </c>
      <c r="AV372" s="1057" cm="1">
        <f t="array" ref="AV372">IF(AJ372&lt;&gt;1,0,IF(OR(AT372="",N(AT372)&lt;=0.000000001),"",IF(OR(AN372="",N(AN372)&lt;=0.000000001),0,IF(ISNUMBER(AT372),IFERROR(_xlfn.LET(_xlpm.ai_test,TRIM(AI372),_xlpm.r,IFERROR(_xlfn.XLOOKUP(_xlpm.ai_test,$BI$15:$BI$62,ROW($BI$15:$BI$62),0,1),IFERROR(_xlfn.XLOOKUP(_xlpm.ai_test,$BJ$15:$BJ$62,ROW($BJ$15:$BJ$62),0,1),_xlfn.XLOOKUP(_xlpm.ai_test,$BK$15:$BK$62,ROW($BK$15:$BK$62),0,1))),_xlpm.p,_xlpm.r-MIN(ROW($BI$15:$BI$62))+1,_xlpm.f,INDEX($BL$15:$BL$62,_xlpm.p),_xlpm.u,INDEX($BM$15:$BM$62,_xlpm.p),_xlpm.s,INDEX($BO$15:$BO$62,_xlpm.p),_xlpm.q,N(AT372)/_xlpm.f,IF(_xlpm.q&gt;=_xlpm.s,ROUND(_xlpm.q,1)&amp;" "&amp;_xlpm.ai_test&amp;" = "&amp;ROUND(_xlpm.q*_xlpm.f,1)&amp;" "&amp;_xlpm.u,ROUND(_xlpm.q,1)&amp;" "&amp;_xlpm.ai_test)),""),""))))</f>
        <v>0</v>
      </c>
      <c r="AW372" s="1047"/>
      <c r="AX372" s="1034">
        <f t="shared" si="155"/>
        <v>0</v>
      </c>
      <c r="AY372" s="1035" t="str">
        <f t="shared" si="156"/>
        <v/>
      </c>
      <c r="AZ372" s="1036">
        <f t="shared" si="161"/>
        <v>0</v>
      </c>
      <c r="BA372" s="1037" t="str">
        <f t="shared" si="157"/>
        <v/>
      </c>
      <c r="BB372" s="1038"/>
      <c r="BC372" s="1039">
        <f t="shared" si="162"/>
        <v>0</v>
      </c>
      <c r="BD372" s="1040" t="str">
        <f t="shared" si="158"/>
        <v/>
      </c>
      <c r="BE372" s="227" t="s">
        <v>22</v>
      </c>
      <c r="BF372" s="1019">
        <f t="shared" si="159"/>
        <v>0</v>
      </c>
      <c r="BG372" s="1020">
        <f t="shared" si="160"/>
        <v>0</v>
      </c>
      <c r="BH372"/>
      <c r="BI372" s="709"/>
      <c r="BJ372" s="709"/>
      <c r="BK372" s="709"/>
      <c r="BL372" s="709"/>
      <c r="BM372" s="709"/>
      <c r="BN372" s="709"/>
      <c r="BO372" s="709"/>
      <c r="BP372" s="709"/>
      <c r="BW372" s="959" t="str">
        <f t="shared" si="141"/>
        <v>►</v>
      </c>
      <c r="BX372" s="856"/>
      <c r="BY372" s="856"/>
      <c r="BZ372" s="856"/>
      <c r="CA372" s="856"/>
      <c r="CB372" s="856"/>
      <c r="DB372" s="3">
        <v>1</v>
      </c>
    </row>
    <row r="373" spans="12:106" ht="21" customHeight="1">
      <c r="L373" s="104" t="s">
        <v>16</v>
      </c>
      <c r="M373" s="1172"/>
      <c r="N373" s="1172"/>
      <c r="O373" s="1172"/>
      <c r="P373" s="1173"/>
      <c r="Q373" s="1174"/>
      <c r="R373" s="1175"/>
      <c r="S373" s="1176"/>
      <c r="T373" s="1177"/>
      <c r="U373" s="5248"/>
      <c r="V373" s="1177"/>
      <c r="W373" s="5249"/>
      <c r="X373" s="5208"/>
      <c r="Y373" s="5209"/>
      <c r="Z373" s="5210"/>
      <c r="AA373" s="5211"/>
      <c r="AB373" s="1178"/>
      <c r="AC373" s="1179"/>
      <c r="AD373" s="227" t="s">
        <v>22</v>
      </c>
      <c r="AE373" s="1027" t="str">
        <f t="shared" si="142"/>
        <v>►</v>
      </c>
      <c r="AF373" s="1028" t="str">
        <f t="shared" si="143"/>
        <v/>
      </c>
      <c r="AG373" s="1029" t="str">
        <f t="shared" si="144"/>
        <v/>
      </c>
      <c r="AH373" s="1028" t="str">
        <f t="shared" si="145"/>
        <v/>
      </c>
      <c r="AI373" s="1029" t="str">
        <f t="shared" si="146"/>
        <v/>
      </c>
      <c r="AJ373" s="1029">
        <f t="shared" si="147"/>
        <v>0</v>
      </c>
      <c r="AK373" s="1043" t="str" cm="1">
        <f t="array" ref="AK373">IF(AE373&lt;&gt;"A","",IFERROR((IFERROR(_xlfn.XLOOKUP(TRIM(SUBSTITUTE(U373,CHAR(160)," ")),$BI$15:$BI$62,$BL$15:$BL$62),IFERROR(_xlfn.XLOOKUP(TRIM(SUBSTITUTE(U373,CHAR(160)," ")),$BJ$15:$BJ$62,$BL$15:$BL$62),_xlfn.XLOOKUP(TRIM(SUBSTITUTE(U373,CHAR(160)," ")),$BK$15:$BK$62,$BL$15:$BL$62))))*T373*IF(ISBLANK(Q373),1,Q373)+IFERROR(_xlfn.XLOOKUP("RECHERCHEX",TRIM(L373:AC373),L373:AC373),0),0))</f>
        <v/>
      </c>
      <c r="AL373" s="1030">
        <f t="shared" si="148"/>
        <v>0</v>
      </c>
      <c r="AM373" s="5254" t="str">
        <f t="shared" si="163"/>
        <v/>
      </c>
      <c r="AN373" s="1031">
        <f t="shared" si="149"/>
        <v>0</v>
      </c>
      <c r="AO373" s="1031">
        <f t="shared" si="150"/>
        <v>0</v>
      </c>
      <c r="AP373" s="1044">
        <f t="shared" si="151"/>
        <v>0</v>
      </c>
      <c r="AQ373" s="5257" t="str">
        <f t="shared" si="152"/>
        <v/>
      </c>
      <c r="AR373" s="1056"/>
      <c r="AS373" s="1056"/>
      <c r="AT373" s="1045">
        <f t="shared" si="153"/>
        <v>0</v>
      </c>
      <c r="AU373" s="1046">
        <f t="shared" si="154"/>
        <v>0</v>
      </c>
      <c r="AV373" s="1059" cm="1">
        <f t="array" ref="AV373">IF(AJ373&lt;&gt;1,0,IF(OR(AT373="",N(AT373)&lt;=0.000000001),"",IF(OR(AN373="",N(AN373)&lt;=0.000000001),0,IF(ISNUMBER(AT373),IFERROR(_xlfn.LET(_xlpm.ai_test,TRIM(AI373),_xlpm.r,IFERROR(_xlfn.XLOOKUP(_xlpm.ai_test,$BI$15:$BI$62,ROW($BI$15:$BI$62),0,1),IFERROR(_xlfn.XLOOKUP(_xlpm.ai_test,$BJ$15:$BJ$62,ROW($BJ$15:$BJ$62),0,1),_xlfn.XLOOKUP(_xlpm.ai_test,$BK$15:$BK$62,ROW($BK$15:$BK$62),0,1))),_xlpm.p,_xlpm.r-MIN(ROW($BI$15:$BI$62))+1,_xlpm.f,INDEX($BL$15:$BL$62,_xlpm.p),_xlpm.u,INDEX($BM$15:$BM$62,_xlpm.p),_xlpm.s,INDEX($BO$15:$BO$62,_xlpm.p),_xlpm.q,N(AT373)/_xlpm.f,IF(_xlpm.q&gt;=_xlpm.s,ROUND(_xlpm.q,1)&amp;" "&amp;_xlpm.ai_test&amp;" = "&amp;ROUND(_xlpm.q*_xlpm.f,1)&amp;" "&amp;_xlpm.u,ROUND(_xlpm.q,1)&amp;" "&amp;_xlpm.ai_test)),""),""))))</f>
        <v>0</v>
      </c>
      <c r="AW373" s="1047"/>
      <c r="AX373" s="1045">
        <f t="shared" si="155"/>
        <v>0</v>
      </c>
      <c r="AY373" s="1046" t="str">
        <f t="shared" si="156"/>
        <v/>
      </c>
      <c r="AZ373" s="1048">
        <f t="shared" si="161"/>
        <v>0</v>
      </c>
      <c r="BA373" s="1049" t="str">
        <f t="shared" si="157"/>
        <v/>
      </c>
      <c r="BB373" s="1038"/>
      <c r="BC373" s="1050">
        <f t="shared" si="162"/>
        <v>0</v>
      </c>
      <c r="BD373" s="1040" t="str">
        <f t="shared" si="158"/>
        <v/>
      </c>
      <c r="BE373" s="227" t="s">
        <v>22</v>
      </c>
      <c r="BF373" s="1019">
        <f t="shared" si="159"/>
        <v>0</v>
      </c>
      <c r="BG373" s="1020">
        <f t="shared" si="160"/>
        <v>0</v>
      </c>
      <c r="BH373"/>
      <c r="BI373" s="709"/>
      <c r="BJ373" s="709"/>
      <c r="BK373" s="709"/>
      <c r="BL373" s="709"/>
      <c r="BM373" s="709"/>
      <c r="BN373" s="709"/>
      <c r="BO373" s="709"/>
      <c r="BP373" s="709"/>
      <c r="BW373" s="959" t="str">
        <f t="shared" si="141"/>
        <v>►</v>
      </c>
      <c r="BX373" s="856"/>
      <c r="BY373" s="856"/>
      <c r="BZ373" s="856"/>
      <c r="CA373" s="856"/>
      <c r="CB373" s="856"/>
      <c r="DB373" s="3">
        <v>1</v>
      </c>
    </row>
    <row r="374" spans="12:106" ht="21" customHeight="1">
      <c r="L374" s="104" t="s">
        <v>16</v>
      </c>
      <c r="M374" s="1172"/>
      <c r="N374" s="1172"/>
      <c r="O374" s="1172"/>
      <c r="P374" s="1173"/>
      <c r="Q374" s="1174"/>
      <c r="R374" s="1175"/>
      <c r="S374" s="1176"/>
      <c r="T374" s="1177"/>
      <c r="U374" s="5248"/>
      <c r="V374" s="1177"/>
      <c r="W374" s="5249"/>
      <c r="X374" s="5208"/>
      <c r="Y374" s="5209"/>
      <c r="Z374" s="5210"/>
      <c r="AA374" s="5211"/>
      <c r="AB374" s="1178"/>
      <c r="AC374" s="1179"/>
      <c r="AD374" s="227" t="s">
        <v>22</v>
      </c>
      <c r="AE374" s="1027" t="str">
        <f t="shared" si="142"/>
        <v>►</v>
      </c>
      <c r="AF374" s="1028" t="str">
        <f t="shared" si="143"/>
        <v/>
      </c>
      <c r="AG374" s="1029" t="str">
        <f t="shared" si="144"/>
        <v/>
      </c>
      <c r="AH374" s="1028" t="str">
        <f t="shared" si="145"/>
        <v/>
      </c>
      <c r="AI374" s="1029" t="str">
        <f t="shared" si="146"/>
        <v/>
      </c>
      <c r="AJ374" s="1029">
        <f t="shared" si="147"/>
        <v>0</v>
      </c>
      <c r="AK374" s="1043" t="str" cm="1">
        <f t="array" ref="AK374">IF(AE374&lt;&gt;"A","",IFERROR((IFERROR(_xlfn.XLOOKUP(TRIM(SUBSTITUTE(U374,CHAR(160)," ")),$BI$15:$BI$62,$BL$15:$BL$62),IFERROR(_xlfn.XLOOKUP(TRIM(SUBSTITUTE(U374,CHAR(160)," ")),$BJ$15:$BJ$62,$BL$15:$BL$62),_xlfn.XLOOKUP(TRIM(SUBSTITUTE(U374,CHAR(160)," ")),$BK$15:$BK$62,$BL$15:$BL$62))))*T374*IF(ISBLANK(Q374),1,Q374)+IFERROR(_xlfn.XLOOKUP("RECHERCHEX",TRIM(L374:AC374),L374:AC374),0),0))</f>
        <v/>
      </c>
      <c r="AL374" s="1030">
        <f t="shared" si="148"/>
        <v>0</v>
      </c>
      <c r="AM374" s="5254" t="str">
        <f t="shared" si="163"/>
        <v/>
      </c>
      <c r="AN374" s="1031">
        <f t="shared" si="149"/>
        <v>0</v>
      </c>
      <c r="AO374" s="1031">
        <f t="shared" si="150"/>
        <v>0</v>
      </c>
      <c r="AP374" s="1032">
        <f t="shared" si="151"/>
        <v>0</v>
      </c>
      <c r="AQ374" s="5255" t="str">
        <f t="shared" si="152"/>
        <v/>
      </c>
      <c r="AR374" s="1056"/>
      <c r="AS374" s="1056"/>
      <c r="AT374" s="1034">
        <f t="shared" si="153"/>
        <v>0</v>
      </c>
      <c r="AU374" s="1035">
        <f t="shared" si="154"/>
        <v>0</v>
      </c>
      <c r="AV374" s="1057" cm="1">
        <f t="array" ref="AV374">IF(AJ374&lt;&gt;1,0,IF(OR(AT374="",N(AT374)&lt;=0.000000001),"",IF(OR(AN374="",N(AN374)&lt;=0.000000001),0,IF(ISNUMBER(AT374),IFERROR(_xlfn.LET(_xlpm.ai_test,TRIM(AI374),_xlpm.r,IFERROR(_xlfn.XLOOKUP(_xlpm.ai_test,$BI$15:$BI$62,ROW($BI$15:$BI$62),0,1),IFERROR(_xlfn.XLOOKUP(_xlpm.ai_test,$BJ$15:$BJ$62,ROW($BJ$15:$BJ$62),0,1),_xlfn.XLOOKUP(_xlpm.ai_test,$BK$15:$BK$62,ROW($BK$15:$BK$62),0,1))),_xlpm.p,_xlpm.r-MIN(ROW($BI$15:$BI$62))+1,_xlpm.f,INDEX($BL$15:$BL$62,_xlpm.p),_xlpm.u,INDEX($BM$15:$BM$62,_xlpm.p),_xlpm.s,INDEX($BO$15:$BO$62,_xlpm.p),_xlpm.q,N(AT374)/_xlpm.f,IF(_xlpm.q&gt;=_xlpm.s,ROUND(_xlpm.q,1)&amp;" "&amp;_xlpm.ai_test&amp;" = "&amp;ROUND(_xlpm.q*_xlpm.f,1)&amp;" "&amp;_xlpm.u,ROUND(_xlpm.q,1)&amp;" "&amp;_xlpm.ai_test)),""),""))))</f>
        <v>0</v>
      </c>
      <c r="AW374" s="1047"/>
      <c r="AX374" s="1034">
        <f t="shared" si="155"/>
        <v>0</v>
      </c>
      <c r="AY374" s="1035" t="str">
        <f t="shared" si="156"/>
        <v/>
      </c>
      <c r="AZ374" s="1036">
        <f t="shared" si="161"/>
        <v>0</v>
      </c>
      <c r="BA374" s="1037" t="str">
        <f t="shared" si="157"/>
        <v/>
      </c>
      <c r="BB374" s="1038"/>
      <c r="BC374" s="1039">
        <f t="shared" si="162"/>
        <v>0</v>
      </c>
      <c r="BD374" s="1040" t="str">
        <f t="shared" si="158"/>
        <v/>
      </c>
      <c r="BE374" s="227" t="s">
        <v>22</v>
      </c>
      <c r="BF374" s="1019">
        <f t="shared" si="159"/>
        <v>0</v>
      </c>
      <c r="BG374" s="1020">
        <f t="shared" si="160"/>
        <v>0</v>
      </c>
      <c r="BH374"/>
      <c r="BI374" s="709"/>
      <c r="BJ374" s="709"/>
      <c r="BK374" s="709"/>
      <c r="BL374" s="709"/>
      <c r="BM374" s="709"/>
      <c r="BN374" s="709"/>
      <c r="BO374" s="709"/>
      <c r="BP374" s="709"/>
      <c r="BW374" s="959" t="str">
        <f t="shared" si="141"/>
        <v>►</v>
      </c>
      <c r="BX374" s="856"/>
      <c r="BY374" s="856"/>
      <c r="BZ374" s="856"/>
      <c r="CA374" s="856"/>
      <c r="CB374" s="856"/>
      <c r="DB374" s="3">
        <v>1</v>
      </c>
    </row>
    <row r="375" spans="12:106" ht="21" customHeight="1">
      <c r="L375" s="104" t="s">
        <v>16</v>
      </c>
      <c r="M375" s="1172"/>
      <c r="N375" s="1172"/>
      <c r="O375" s="1172"/>
      <c r="P375" s="1173"/>
      <c r="Q375" s="1174"/>
      <c r="R375" s="1175"/>
      <c r="S375" s="1176"/>
      <c r="T375" s="1177"/>
      <c r="U375" s="5248"/>
      <c r="V375" s="1177"/>
      <c r="W375" s="5249"/>
      <c r="X375" s="5208"/>
      <c r="Y375" s="5209"/>
      <c r="Z375" s="5210"/>
      <c r="AA375" s="5211"/>
      <c r="AB375" s="1178"/>
      <c r="AC375" s="1179"/>
      <c r="AD375" s="227" t="s">
        <v>22</v>
      </c>
      <c r="AE375" s="1027" t="str">
        <f t="shared" si="142"/>
        <v>►</v>
      </c>
      <c r="AF375" s="1028" t="str">
        <f t="shared" si="143"/>
        <v/>
      </c>
      <c r="AG375" s="1029" t="str">
        <f t="shared" si="144"/>
        <v/>
      </c>
      <c r="AH375" s="1028" t="str">
        <f t="shared" si="145"/>
        <v/>
      </c>
      <c r="AI375" s="1029" t="str">
        <f t="shared" si="146"/>
        <v/>
      </c>
      <c r="AJ375" s="1029">
        <f t="shared" si="147"/>
        <v>0</v>
      </c>
      <c r="AK375" s="1043" t="str" cm="1">
        <f t="array" ref="AK375">IF(AE375&lt;&gt;"A","",IFERROR((IFERROR(_xlfn.XLOOKUP(TRIM(SUBSTITUTE(U375,CHAR(160)," ")),$BI$15:$BI$62,$BL$15:$BL$62),IFERROR(_xlfn.XLOOKUP(TRIM(SUBSTITUTE(U375,CHAR(160)," ")),$BJ$15:$BJ$62,$BL$15:$BL$62),_xlfn.XLOOKUP(TRIM(SUBSTITUTE(U375,CHAR(160)," ")),$BK$15:$BK$62,$BL$15:$BL$62))))*T375*IF(ISBLANK(Q375),1,Q375)+IFERROR(_xlfn.XLOOKUP("RECHERCHEX",TRIM(L375:AC375),L375:AC375),0),0))</f>
        <v/>
      </c>
      <c r="AL375" s="1030">
        <f t="shared" si="148"/>
        <v>0</v>
      </c>
      <c r="AM375" s="5254" t="str">
        <f t="shared" si="163"/>
        <v/>
      </c>
      <c r="AN375" s="1031">
        <f t="shared" si="149"/>
        <v>0</v>
      </c>
      <c r="AO375" s="1031">
        <f t="shared" si="150"/>
        <v>0</v>
      </c>
      <c r="AP375" s="1044">
        <f t="shared" si="151"/>
        <v>0</v>
      </c>
      <c r="AQ375" s="5257" t="str">
        <f t="shared" si="152"/>
        <v/>
      </c>
      <c r="AR375" s="1056"/>
      <c r="AS375" s="1056"/>
      <c r="AT375" s="1045">
        <f t="shared" si="153"/>
        <v>0</v>
      </c>
      <c r="AU375" s="1046">
        <f t="shared" si="154"/>
        <v>0</v>
      </c>
      <c r="AV375" s="1059" cm="1">
        <f t="array" ref="AV375">IF(AJ375&lt;&gt;1,0,IF(OR(AT375="",N(AT375)&lt;=0.000000001),"",IF(OR(AN375="",N(AN375)&lt;=0.000000001),0,IF(ISNUMBER(AT375),IFERROR(_xlfn.LET(_xlpm.ai_test,TRIM(AI375),_xlpm.r,IFERROR(_xlfn.XLOOKUP(_xlpm.ai_test,$BI$15:$BI$62,ROW($BI$15:$BI$62),0,1),IFERROR(_xlfn.XLOOKUP(_xlpm.ai_test,$BJ$15:$BJ$62,ROW($BJ$15:$BJ$62),0,1),_xlfn.XLOOKUP(_xlpm.ai_test,$BK$15:$BK$62,ROW($BK$15:$BK$62),0,1))),_xlpm.p,_xlpm.r-MIN(ROW($BI$15:$BI$62))+1,_xlpm.f,INDEX($BL$15:$BL$62,_xlpm.p),_xlpm.u,INDEX($BM$15:$BM$62,_xlpm.p),_xlpm.s,INDEX($BO$15:$BO$62,_xlpm.p),_xlpm.q,N(AT375)/_xlpm.f,IF(_xlpm.q&gt;=_xlpm.s,ROUND(_xlpm.q,1)&amp;" "&amp;_xlpm.ai_test&amp;" = "&amp;ROUND(_xlpm.q*_xlpm.f,1)&amp;" "&amp;_xlpm.u,ROUND(_xlpm.q,1)&amp;" "&amp;_xlpm.ai_test)),""),""))))</f>
        <v>0</v>
      </c>
      <c r="AW375" s="1047"/>
      <c r="AX375" s="1045">
        <f t="shared" si="155"/>
        <v>0</v>
      </c>
      <c r="AY375" s="1046" t="str">
        <f t="shared" si="156"/>
        <v/>
      </c>
      <c r="AZ375" s="1048">
        <f t="shared" si="161"/>
        <v>0</v>
      </c>
      <c r="BA375" s="1049" t="str">
        <f t="shared" si="157"/>
        <v/>
      </c>
      <c r="BB375" s="1038"/>
      <c r="BC375" s="1050">
        <f t="shared" si="162"/>
        <v>0</v>
      </c>
      <c r="BD375" s="1040" t="str">
        <f t="shared" si="158"/>
        <v/>
      </c>
      <c r="BE375" s="227" t="s">
        <v>22</v>
      </c>
      <c r="BF375" s="1019">
        <f t="shared" si="159"/>
        <v>0</v>
      </c>
      <c r="BG375" s="1020">
        <f t="shared" si="160"/>
        <v>0</v>
      </c>
      <c r="BH375"/>
      <c r="BI375" s="709"/>
      <c r="BJ375" s="709"/>
      <c r="BK375" s="709"/>
      <c r="BL375" s="709"/>
      <c r="BM375" s="709"/>
      <c r="BN375" s="709"/>
      <c r="BO375" s="709"/>
      <c r="BP375" s="709"/>
      <c r="BW375" s="959" t="str">
        <f t="shared" si="141"/>
        <v>►</v>
      </c>
      <c r="BX375" s="856"/>
      <c r="BY375" s="856"/>
      <c r="BZ375" s="856"/>
      <c r="CA375" s="856"/>
      <c r="CB375" s="856"/>
      <c r="DB375" s="3">
        <v>1</v>
      </c>
    </row>
    <row r="376" spans="12:106" ht="21" customHeight="1">
      <c r="L376" s="104" t="s">
        <v>16</v>
      </c>
      <c r="M376" s="1172"/>
      <c r="N376" s="1172"/>
      <c r="O376" s="1172"/>
      <c r="P376" s="1173"/>
      <c r="Q376" s="1174"/>
      <c r="R376" s="1175"/>
      <c r="S376" s="1176"/>
      <c r="T376" s="1177"/>
      <c r="U376" s="5248"/>
      <c r="V376" s="1177"/>
      <c r="W376" s="5249"/>
      <c r="X376" s="5208"/>
      <c r="Y376" s="5209"/>
      <c r="Z376" s="5210"/>
      <c r="AA376" s="5211"/>
      <c r="AB376" s="1178"/>
      <c r="AC376" s="1179"/>
      <c r="AD376" s="227" t="s">
        <v>22</v>
      </c>
      <c r="AE376" s="1027" t="str">
        <f t="shared" si="142"/>
        <v>►</v>
      </c>
      <c r="AF376" s="1028" t="str">
        <f t="shared" si="143"/>
        <v/>
      </c>
      <c r="AG376" s="1029" t="str">
        <f t="shared" si="144"/>
        <v/>
      </c>
      <c r="AH376" s="1028" t="str">
        <f t="shared" si="145"/>
        <v/>
      </c>
      <c r="AI376" s="1029" t="str">
        <f t="shared" si="146"/>
        <v/>
      </c>
      <c r="AJ376" s="1029">
        <f t="shared" si="147"/>
        <v>0</v>
      </c>
      <c r="AK376" s="1043" t="str" cm="1">
        <f t="array" ref="AK376">IF(AE376&lt;&gt;"A","",IFERROR((IFERROR(_xlfn.XLOOKUP(TRIM(SUBSTITUTE(U376,CHAR(160)," ")),$BI$15:$BI$62,$BL$15:$BL$62),IFERROR(_xlfn.XLOOKUP(TRIM(SUBSTITUTE(U376,CHAR(160)," ")),$BJ$15:$BJ$62,$BL$15:$BL$62),_xlfn.XLOOKUP(TRIM(SUBSTITUTE(U376,CHAR(160)," ")),$BK$15:$BK$62,$BL$15:$BL$62))))*T376*IF(ISBLANK(Q376),1,Q376)+IFERROR(_xlfn.XLOOKUP("RECHERCHEX",TRIM(L376:AC376),L376:AC376),0),0))</f>
        <v/>
      </c>
      <c r="AL376" s="1030">
        <f t="shared" si="148"/>
        <v>0</v>
      </c>
      <c r="AM376" s="5254" t="str">
        <f t="shared" si="163"/>
        <v/>
      </c>
      <c r="AN376" s="1031">
        <f t="shared" si="149"/>
        <v>0</v>
      </c>
      <c r="AO376" s="1031">
        <f t="shared" si="150"/>
        <v>0</v>
      </c>
      <c r="AP376" s="1032">
        <f t="shared" si="151"/>
        <v>0</v>
      </c>
      <c r="AQ376" s="5255" t="str">
        <f t="shared" si="152"/>
        <v/>
      </c>
      <c r="AR376" s="1056"/>
      <c r="AS376" s="1056"/>
      <c r="AT376" s="1034">
        <f t="shared" si="153"/>
        <v>0</v>
      </c>
      <c r="AU376" s="1035">
        <f t="shared" si="154"/>
        <v>0</v>
      </c>
      <c r="AV376" s="1057" cm="1">
        <f t="array" ref="AV376">IF(AJ376&lt;&gt;1,0,IF(OR(AT376="",N(AT376)&lt;=0.000000001),"",IF(OR(AN376="",N(AN376)&lt;=0.000000001),0,IF(ISNUMBER(AT376),IFERROR(_xlfn.LET(_xlpm.ai_test,TRIM(AI376),_xlpm.r,IFERROR(_xlfn.XLOOKUP(_xlpm.ai_test,$BI$15:$BI$62,ROW($BI$15:$BI$62),0,1),IFERROR(_xlfn.XLOOKUP(_xlpm.ai_test,$BJ$15:$BJ$62,ROW($BJ$15:$BJ$62),0,1),_xlfn.XLOOKUP(_xlpm.ai_test,$BK$15:$BK$62,ROW($BK$15:$BK$62),0,1))),_xlpm.p,_xlpm.r-MIN(ROW($BI$15:$BI$62))+1,_xlpm.f,INDEX($BL$15:$BL$62,_xlpm.p),_xlpm.u,INDEX($BM$15:$BM$62,_xlpm.p),_xlpm.s,INDEX($BO$15:$BO$62,_xlpm.p),_xlpm.q,N(AT376)/_xlpm.f,IF(_xlpm.q&gt;=_xlpm.s,ROUND(_xlpm.q,1)&amp;" "&amp;_xlpm.ai_test&amp;" = "&amp;ROUND(_xlpm.q*_xlpm.f,1)&amp;" "&amp;_xlpm.u,ROUND(_xlpm.q,1)&amp;" "&amp;_xlpm.ai_test)),""),""))))</f>
        <v>0</v>
      </c>
      <c r="AW376" s="1047"/>
      <c r="AX376" s="1034">
        <f t="shared" si="155"/>
        <v>0</v>
      </c>
      <c r="AY376" s="1035" t="str">
        <f t="shared" si="156"/>
        <v/>
      </c>
      <c r="AZ376" s="1036">
        <f t="shared" si="161"/>
        <v>0</v>
      </c>
      <c r="BA376" s="1037" t="str">
        <f t="shared" si="157"/>
        <v/>
      </c>
      <c r="BB376" s="1038"/>
      <c r="BC376" s="1039">
        <f t="shared" si="162"/>
        <v>0</v>
      </c>
      <c r="BD376" s="1040" t="str">
        <f t="shared" si="158"/>
        <v/>
      </c>
      <c r="BE376" s="227" t="s">
        <v>22</v>
      </c>
      <c r="BF376" s="1019">
        <f t="shared" si="159"/>
        <v>0</v>
      </c>
      <c r="BG376" s="1020">
        <f t="shared" si="160"/>
        <v>0</v>
      </c>
      <c r="BH376"/>
      <c r="BI376" s="709"/>
      <c r="BJ376" s="709"/>
      <c r="BK376" s="709"/>
      <c r="BL376" s="709"/>
      <c r="BM376" s="709"/>
      <c r="BN376" s="709"/>
      <c r="BO376" s="709"/>
      <c r="BP376" s="709"/>
      <c r="BW376" s="959" t="str">
        <f t="shared" si="141"/>
        <v>►</v>
      </c>
      <c r="BX376" s="856"/>
      <c r="BY376" s="856"/>
      <c r="BZ376" s="856"/>
      <c r="CA376" s="856"/>
      <c r="CB376" s="856"/>
      <c r="DB376" s="3">
        <v>1</v>
      </c>
    </row>
    <row r="377" spans="12:106" ht="21" customHeight="1">
      <c r="L377" s="104" t="s">
        <v>16</v>
      </c>
      <c r="M377" s="1172"/>
      <c r="N377" s="1172"/>
      <c r="O377" s="1172"/>
      <c r="P377" s="1173"/>
      <c r="Q377" s="1174"/>
      <c r="R377" s="1175"/>
      <c r="S377" s="1176"/>
      <c r="T377" s="1177"/>
      <c r="U377" s="5248"/>
      <c r="V377" s="1177"/>
      <c r="W377" s="5249"/>
      <c r="X377" s="5208"/>
      <c r="Y377" s="5209"/>
      <c r="Z377" s="5210"/>
      <c r="AA377" s="5211"/>
      <c r="AB377" s="1178"/>
      <c r="AC377" s="1179"/>
      <c r="AD377" s="227" t="s">
        <v>22</v>
      </c>
      <c r="AE377" s="1027" t="str">
        <f t="shared" si="142"/>
        <v>►</v>
      </c>
      <c r="AF377" s="1028" t="str">
        <f t="shared" si="143"/>
        <v/>
      </c>
      <c r="AG377" s="1029" t="str">
        <f t="shared" si="144"/>
        <v/>
      </c>
      <c r="AH377" s="1028" t="str">
        <f t="shared" si="145"/>
        <v/>
      </c>
      <c r="AI377" s="1029" t="str">
        <f t="shared" si="146"/>
        <v/>
      </c>
      <c r="AJ377" s="1029">
        <f t="shared" si="147"/>
        <v>0</v>
      </c>
      <c r="AK377" s="1043" t="str" cm="1">
        <f t="array" ref="AK377">IF(AE377&lt;&gt;"A","",IFERROR((IFERROR(_xlfn.XLOOKUP(TRIM(SUBSTITUTE(U377,CHAR(160)," ")),$BI$15:$BI$62,$BL$15:$BL$62),IFERROR(_xlfn.XLOOKUP(TRIM(SUBSTITUTE(U377,CHAR(160)," ")),$BJ$15:$BJ$62,$BL$15:$BL$62),_xlfn.XLOOKUP(TRIM(SUBSTITUTE(U377,CHAR(160)," ")),$BK$15:$BK$62,$BL$15:$BL$62))))*T377*IF(ISBLANK(Q377),1,Q377)+IFERROR(_xlfn.XLOOKUP("RECHERCHEX",TRIM(L377:AC377),L377:AC377),0),0))</f>
        <v/>
      </c>
      <c r="AL377" s="1030">
        <f t="shared" si="148"/>
        <v>0</v>
      </c>
      <c r="AM377" s="5254" t="str">
        <f t="shared" si="163"/>
        <v/>
      </c>
      <c r="AN377" s="1031">
        <f t="shared" si="149"/>
        <v>0</v>
      </c>
      <c r="AO377" s="1031">
        <f t="shared" si="150"/>
        <v>0</v>
      </c>
      <c r="AP377" s="1044">
        <f t="shared" si="151"/>
        <v>0</v>
      </c>
      <c r="AQ377" s="5257" t="str">
        <f t="shared" si="152"/>
        <v/>
      </c>
      <c r="AR377" s="1056"/>
      <c r="AS377" s="1056"/>
      <c r="AT377" s="1045">
        <f t="shared" si="153"/>
        <v>0</v>
      </c>
      <c r="AU377" s="1046">
        <f t="shared" si="154"/>
        <v>0</v>
      </c>
      <c r="AV377" s="1059" cm="1">
        <f t="array" ref="AV377">IF(AJ377&lt;&gt;1,0,IF(OR(AT377="",N(AT377)&lt;=0.000000001),"",IF(OR(AN377="",N(AN377)&lt;=0.000000001),0,IF(ISNUMBER(AT377),IFERROR(_xlfn.LET(_xlpm.ai_test,TRIM(AI377),_xlpm.r,IFERROR(_xlfn.XLOOKUP(_xlpm.ai_test,$BI$15:$BI$62,ROW($BI$15:$BI$62),0,1),IFERROR(_xlfn.XLOOKUP(_xlpm.ai_test,$BJ$15:$BJ$62,ROW($BJ$15:$BJ$62),0,1),_xlfn.XLOOKUP(_xlpm.ai_test,$BK$15:$BK$62,ROW($BK$15:$BK$62),0,1))),_xlpm.p,_xlpm.r-MIN(ROW($BI$15:$BI$62))+1,_xlpm.f,INDEX($BL$15:$BL$62,_xlpm.p),_xlpm.u,INDEX($BM$15:$BM$62,_xlpm.p),_xlpm.s,INDEX($BO$15:$BO$62,_xlpm.p),_xlpm.q,N(AT377)/_xlpm.f,IF(_xlpm.q&gt;=_xlpm.s,ROUND(_xlpm.q,1)&amp;" "&amp;_xlpm.ai_test&amp;" = "&amp;ROUND(_xlpm.q*_xlpm.f,1)&amp;" "&amp;_xlpm.u,ROUND(_xlpm.q,1)&amp;" "&amp;_xlpm.ai_test)),""),""))))</f>
        <v>0</v>
      </c>
      <c r="AW377" s="1047"/>
      <c r="AX377" s="1045">
        <f t="shared" si="155"/>
        <v>0</v>
      </c>
      <c r="AY377" s="1046" t="str">
        <f t="shared" si="156"/>
        <v/>
      </c>
      <c r="AZ377" s="1048">
        <f t="shared" si="161"/>
        <v>0</v>
      </c>
      <c r="BA377" s="1049" t="str">
        <f t="shared" si="157"/>
        <v/>
      </c>
      <c r="BB377" s="1038"/>
      <c r="BC377" s="1050">
        <f t="shared" si="162"/>
        <v>0</v>
      </c>
      <c r="BD377" s="1040" t="str">
        <f t="shared" si="158"/>
        <v/>
      </c>
      <c r="BE377" s="227" t="s">
        <v>22</v>
      </c>
      <c r="BF377" s="1019">
        <f t="shared" si="159"/>
        <v>0</v>
      </c>
      <c r="BG377" s="1020">
        <f t="shared" si="160"/>
        <v>0</v>
      </c>
      <c r="BH377"/>
      <c r="BI377" s="709"/>
      <c r="BJ377" s="709"/>
      <c r="BK377" s="709"/>
      <c r="BL377" s="709"/>
      <c r="BM377" s="709"/>
      <c r="BN377" s="709"/>
      <c r="BO377" s="709"/>
      <c r="BP377" s="709"/>
      <c r="BW377" s="959" t="str">
        <f t="shared" si="141"/>
        <v>►</v>
      </c>
      <c r="BX377" s="856"/>
      <c r="BY377" s="856"/>
      <c r="BZ377" s="856"/>
      <c r="CA377" s="856"/>
      <c r="CB377" s="856"/>
      <c r="DB377" s="3">
        <v>1</v>
      </c>
    </row>
    <row r="378" spans="12:106" ht="21" customHeight="1">
      <c r="L378" s="104" t="s">
        <v>16</v>
      </c>
      <c r="M378" s="1172"/>
      <c r="N378" s="1172"/>
      <c r="O378" s="1172"/>
      <c r="P378" s="1173"/>
      <c r="Q378" s="1174"/>
      <c r="R378" s="1175"/>
      <c r="S378" s="1176"/>
      <c r="T378" s="1177"/>
      <c r="U378" s="5248"/>
      <c r="V378" s="1177"/>
      <c r="W378" s="5249"/>
      <c r="X378" s="5208"/>
      <c r="Y378" s="5209"/>
      <c r="Z378" s="5210"/>
      <c r="AA378" s="5211"/>
      <c r="AB378" s="1178"/>
      <c r="AC378" s="1179"/>
      <c r="AD378" s="227" t="s">
        <v>22</v>
      </c>
      <c r="AE378" s="1027" t="str">
        <f t="shared" si="142"/>
        <v>►</v>
      </c>
      <c r="AF378" s="1028" t="str">
        <f t="shared" si="143"/>
        <v/>
      </c>
      <c r="AG378" s="1029" t="str">
        <f t="shared" si="144"/>
        <v/>
      </c>
      <c r="AH378" s="1028" t="str">
        <f t="shared" si="145"/>
        <v/>
      </c>
      <c r="AI378" s="1029" t="str">
        <f t="shared" si="146"/>
        <v/>
      </c>
      <c r="AJ378" s="1029">
        <f t="shared" si="147"/>
        <v>0</v>
      </c>
      <c r="AK378" s="1043" t="str" cm="1">
        <f t="array" ref="AK378">IF(AE378&lt;&gt;"A","",IFERROR((IFERROR(_xlfn.XLOOKUP(TRIM(SUBSTITUTE(U378,CHAR(160)," ")),$BI$15:$BI$62,$BL$15:$BL$62),IFERROR(_xlfn.XLOOKUP(TRIM(SUBSTITUTE(U378,CHAR(160)," ")),$BJ$15:$BJ$62,$BL$15:$BL$62),_xlfn.XLOOKUP(TRIM(SUBSTITUTE(U378,CHAR(160)," ")),$BK$15:$BK$62,$BL$15:$BL$62))))*T378*IF(ISBLANK(Q378),1,Q378)+IFERROR(_xlfn.XLOOKUP("RECHERCHEX",TRIM(L378:AC378),L378:AC378),0),0))</f>
        <v/>
      </c>
      <c r="AL378" s="1030">
        <f t="shared" si="148"/>
        <v>0</v>
      </c>
      <c r="AM378" s="5254" t="str">
        <f t="shared" si="163"/>
        <v/>
      </c>
      <c r="AN378" s="1031">
        <f t="shared" si="149"/>
        <v>0</v>
      </c>
      <c r="AO378" s="1031">
        <f t="shared" si="150"/>
        <v>0</v>
      </c>
      <c r="AP378" s="1032">
        <f t="shared" si="151"/>
        <v>0</v>
      </c>
      <c r="AQ378" s="5255" t="str">
        <f t="shared" si="152"/>
        <v/>
      </c>
      <c r="AR378" s="1056"/>
      <c r="AS378" s="1056"/>
      <c r="AT378" s="1034">
        <f t="shared" si="153"/>
        <v>0</v>
      </c>
      <c r="AU378" s="1035">
        <f t="shared" si="154"/>
        <v>0</v>
      </c>
      <c r="AV378" s="1057" cm="1">
        <f t="array" ref="AV378">IF(AJ378&lt;&gt;1,0,IF(OR(AT378="",N(AT378)&lt;=0.000000001),"",IF(OR(AN378="",N(AN378)&lt;=0.000000001),0,IF(ISNUMBER(AT378),IFERROR(_xlfn.LET(_xlpm.ai_test,TRIM(AI378),_xlpm.r,IFERROR(_xlfn.XLOOKUP(_xlpm.ai_test,$BI$15:$BI$62,ROW($BI$15:$BI$62),0,1),IFERROR(_xlfn.XLOOKUP(_xlpm.ai_test,$BJ$15:$BJ$62,ROW($BJ$15:$BJ$62),0,1),_xlfn.XLOOKUP(_xlpm.ai_test,$BK$15:$BK$62,ROW($BK$15:$BK$62),0,1))),_xlpm.p,_xlpm.r-MIN(ROW($BI$15:$BI$62))+1,_xlpm.f,INDEX($BL$15:$BL$62,_xlpm.p),_xlpm.u,INDEX($BM$15:$BM$62,_xlpm.p),_xlpm.s,INDEX($BO$15:$BO$62,_xlpm.p),_xlpm.q,N(AT378)/_xlpm.f,IF(_xlpm.q&gt;=_xlpm.s,ROUND(_xlpm.q,1)&amp;" "&amp;_xlpm.ai_test&amp;" = "&amp;ROUND(_xlpm.q*_xlpm.f,1)&amp;" "&amp;_xlpm.u,ROUND(_xlpm.q,1)&amp;" "&amp;_xlpm.ai_test)),""),""))))</f>
        <v>0</v>
      </c>
      <c r="AW378" s="1047"/>
      <c r="AX378" s="1034">
        <f t="shared" si="155"/>
        <v>0</v>
      </c>
      <c r="AY378" s="1035" t="str">
        <f t="shared" si="156"/>
        <v/>
      </c>
      <c r="AZ378" s="1036">
        <f t="shared" si="161"/>
        <v>0</v>
      </c>
      <c r="BA378" s="1037" t="str">
        <f t="shared" si="157"/>
        <v/>
      </c>
      <c r="BB378" s="1038"/>
      <c r="BC378" s="1039">
        <f t="shared" si="162"/>
        <v>0</v>
      </c>
      <c r="BD378" s="1040" t="str">
        <f t="shared" si="158"/>
        <v/>
      </c>
      <c r="BE378" s="227" t="s">
        <v>22</v>
      </c>
      <c r="BF378" s="1019">
        <f t="shared" si="159"/>
        <v>0</v>
      </c>
      <c r="BG378" s="1020">
        <f t="shared" si="160"/>
        <v>0</v>
      </c>
      <c r="BH378"/>
      <c r="BI378" s="709"/>
      <c r="BJ378" s="709"/>
      <c r="BK378" s="709"/>
      <c r="BL378" s="709"/>
      <c r="BM378" s="709"/>
      <c r="BN378" s="709"/>
      <c r="BO378" s="709"/>
      <c r="BP378" s="709"/>
      <c r="BW378" s="959" t="str">
        <f t="shared" si="141"/>
        <v>►</v>
      </c>
      <c r="BX378" s="856"/>
      <c r="BY378" s="856"/>
      <c r="BZ378" s="856"/>
      <c r="CA378" s="856"/>
      <c r="CB378" s="856"/>
      <c r="DB378" s="3">
        <v>1</v>
      </c>
    </row>
    <row r="379" spans="12:106" ht="21" customHeight="1">
      <c r="L379" s="104" t="s">
        <v>16</v>
      </c>
      <c r="M379" s="1172"/>
      <c r="N379" s="1172"/>
      <c r="O379" s="1172"/>
      <c r="P379" s="1173"/>
      <c r="Q379" s="1174"/>
      <c r="R379" s="1175"/>
      <c r="S379" s="1176"/>
      <c r="T379" s="1177"/>
      <c r="U379" s="5248"/>
      <c r="V379" s="1177"/>
      <c r="W379" s="5249"/>
      <c r="X379" s="5208"/>
      <c r="Y379" s="5209"/>
      <c r="Z379" s="5210"/>
      <c r="AA379" s="5211"/>
      <c r="AB379" s="1178"/>
      <c r="AC379" s="1179"/>
      <c r="AD379" s="227" t="s">
        <v>22</v>
      </c>
      <c r="AE379" s="1027" t="str">
        <f t="shared" si="142"/>
        <v>►</v>
      </c>
      <c r="AF379" s="1028" t="str">
        <f t="shared" si="143"/>
        <v/>
      </c>
      <c r="AG379" s="1029" t="str">
        <f t="shared" si="144"/>
        <v/>
      </c>
      <c r="AH379" s="1028" t="str">
        <f t="shared" si="145"/>
        <v/>
      </c>
      <c r="AI379" s="1029" t="str">
        <f t="shared" si="146"/>
        <v/>
      </c>
      <c r="AJ379" s="1029">
        <f t="shared" si="147"/>
        <v>0</v>
      </c>
      <c r="AK379" s="1043" t="str" cm="1">
        <f t="array" ref="AK379">IF(AE379&lt;&gt;"A","",IFERROR((IFERROR(_xlfn.XLOOKUP(TRIM(SUBSTITUTE(U379,CHAR(160)," ")),$BI$15:$BI$62,$BL$15:$BL$62),IFERROR(_xlfn.XLOOKUP(TRIM(SUBSTITUTE(U379,CHAR(160)," ")),$BJ$15:$BJ$62,$BL$15:$BL$62),_xlfn.XLOOKUP(TRIM(SUBSTITUTE(U379,CHAR(160)," ")),$BK$15:$BK$62,$BL$15:$BL$62))))*T379*IF(ISBLANK(Q379),1,Q379)+IFERROR(_xlfn.XLOOKUP("RECHERCHEX",TRIM(L379:AC379),L379:AC379),0),0))</f>
        <v/>
      </c>
      <c r="AL379" s="1030">
        <f t="shared" si="148"/>
        <v>0</v>
      </c>
      <c r="AM379" s="5254" t="str">
        <f t="shared" si="163"/>
        <v/>
      </c>
      <c r="AN379" s="1031">
        <f t="shared" si="149"/>
        <v>0</v>
      </c>
      <c r="AO379" s="1031">
        <f t="shared" si="150"/>
        <v>0</v>
      </c>
      <c r="AP379" s="1044">
        <f t="shared" si="151"/>
        <v>0</v>
      </c>
      <c r="AQ379" s="5257" t="str">
        <f t="shared" si="152"/>
        <v/>
      </c>
      <c r="AR379" s="1056"/>
      <c r="AS379" s="1056"/>
      <c r="AT379" s="1045">
        <f t="shared" si="153"/>
        <v>0</v>
      </c>
      <c r="AU379" s="1046">
        <f t="shared" si="154"/>
        <v>0</v>
      </c>
      <c r="AV379" s="1059" cm="1">
        <f t="array" ref="AV379">IF(AJ379&lt;&gt;1,0,IF(OR(AT379="",N(AT379)&lt;=0.000000001),"",IF(OR(AN379="",N(AN379)&lt;=0.000000001),0,IF(ISNUMBER(AT379),IFERROR(_xlfn.LET(_xlpm.ai_test,TRIM(AI379),_xlpm.r,IFERROR(_xlfn.XLOOKUP(_xlpm.ai_test,$BI$15:$BI$62,ROW($BI$15:$BI$62),0,1),IFERROR(_xlfn.XLOOKUP(_xlpm.ai_test,$BJ$15:$BJ$62,ROW($BJ$15:$BJ$62),0,1),_xlfn.XLOOKUP(_xlpm.ai_test,$BK$15:$BK$62,ROW($BK$15:$BK$62),0,1))),_xlpm.p,_xlpm.r-MIN(ROW($BI$15:$BI$62))+1,_xlpm.f,INDEX($BL$15:$BL$62,_xlpm.p),_xlpm.u,INDEX($BM$15:$BM$62,_xlpm.p),_xlpm.s,INDEX($BO$15:$BO$62,_xlpm.p),_xlpm.q,N(AT379)/_xlpm.f,IF(_xlpm.q&gt;=_xlpm.s,ROUND(_xlpm.q,1)&amp;" "&amp;_xlpm.ai_test&amp;" = "&amp;ROUND(_xlpm.q*_xlpm.f,1)&amp;" "&amp;_xlpm.u,ROUND(_xlpm.q,1)&amp;" "&amp;_xlpm.ai_test)),""),""))))</f>
        <v>0</v>
      </c>
      <c r="AW379" s="1047"/>
      <c r="AX379" s="1045">
        <f t="shared" si="155"/>
        <v>0</v>
      </c>
      <c r="AY379" s="1046" t="str">
        <f t="shared" si="156"/>
        <v/>
      </c>
      <c r="AZ379" s="1048">
        <f t="shared" si="161"/>
        <v>0</v>
      </c>
      <c r="BA379" s="1049" t="str">
        <f t="shared" si="157"/>
        <v/>
      </c>
      <c r="BB379" s="1038"/>
      <c r="BC379" s="1050">
        <f t="shared" si="162"/>
        <v>0</v>
      </c>
      <c r="BD379" s="1040" t="str">
        <f t="shared" si="158"/>
        <v/>
      </c>
      <c r="BE379" s="227" t="s">
        <v>22</v>
      </c>
      <c r="BF379" s="1019">
        <f t="shared" si="159"/>
        <v>0</v>
      </c>
      <c r="BG379" s="1020">
        <f t="shared" si="160"/>
        <v>0</v>
      </c>
      <c r="BH379"/>
      <c r="BI379" s="709"/>
      <c r="BJ379" s="709"/>
      <c r="BK379" s="709"/>
      <c r="BL379" s="709"/>
      <c r="BM379" s="709"/>
      <c r="BN379" s="709"/>
      <c r="BO379" s="709"/>
      <c r="BP379" s="709"/>
      <c r="BW379" s="959" t="str">
        <f t="shared" si="141"/>
        <v>►</v>
      </c>
      <c r="BX379" s="856"/>
      <c r="BY379" s="856"/>
      <c r="BZ379" s="856"/>
      <c r="CA379" s="856"/>
      <c r="CB379" s="856"/>
      <c r="DB379" s="3">
        <v>1</v>
      </c>
    </row>
    <row r="380" spans="12:106" ht="21" customHeight="1">
      <c r="L380" s="104" t="s">
        <v>16</v>
      </c>
      <c r="M380" s="1172"/>
      <c r="N380" s="1172"/>
      <c r="O380" s="1172"/>
      <c r="P380" s="1173"/>
      <c r="Q380" s="1174"/>
      <c r="R380" s="1175"/>
      <c r="S380" s="1176"/>
      <c r="T380" s="1177"/>
      <c r="U380" s="5248"/>
      <c r="V380" s="1177"/>
      <c r="W380" s="5249"/>
      <c r="X380" s="5208"/>
      <c r="Y380" s="5209"/>
      <c r="Z380" s="5210"/>
      <c r="AA380" s="5211"/>
      <c r="AB380" s="1178"/>
      <c r="AC380" s="1179"/>
      <c r="AD380" s="227" t="s">
        <v>22</v>
      </c>
      <c r="AE380" s="1027" t="str">
        <f t="shared" si="142"/>
        <v>►</v>
      </c>
      <c r="AF380" s="1028" t="str">
        <f t="shared" si="143"/>
        <v/>
      </c>
      <c r="AG380" s="1029" t="str">
        <f t="shared" si="144"/>
        <v/>
      </c>
      <c r="AH380" s="1028" t="str">
        <f t="shared" si="145"/>
        <v/>
      </c>
      <c r="AI380" s="1029" t="str">
        <f t="shared" si="146"/>
        <v/>
      </c>
      <c r="AJ380" s="1029">
        <f t="shared" si="147"/>
        <v>0</v>
      </c>
      <c r="AK380" s="1043" t="str" cm="1">
        <f t="array" ref="AK380">IF(AE380&lt;&gt;"A","",IFERROR((IFERROR(_xlfn.XLOOKUP(TRIM(SUBSTITUTE(U380,CHAR(160)," ")),$BI$15:$BI$62,$BL$15:$BL$62),IFERROR(_xlfn.XLOOKUP(TRIM(SUBSTITUTE(U380,CHAR(160)," ")),$BJ$15:$BJ$62,$BL$15:$BL$62),_xlfn.XLOOKUP(TRIM(SUBSTITUTE(U380,CHAR(160)," ")),$BK$15:$BK$62,$BL$15:$BL$62))))*T380*IF(ISBLANK(Q380),1,Q380)+IFERROR(_xlfn.XLOOKUP("RECHERCHEX",TRIM(L380:AC380),L380:AC380),0),0))</f>
        <v/>
      </c>
      <c r="AL380" s="1030">
        <f t="shared" si="148"/>
        <v>0</v>
      </c>
      <c r="AM380" s="5254" t="str">
        <f t="shared" si="163"/>
        <v/>
      </c>
      <c r="AN380" s="1031">
        <f t="shared" si="149"/>
        <v>0</v>
      </c>
      <c r="AO380" s="1031">
        <f t="shared" si="150"/>
        <v>0</v>
      </c>
      <c r="AP380" s="1032">
        <f t="shared" si="151"/>
        <v>0</v>
      </c>
      <c r="AQ380" s="5255" t="str">
        <f t="shared" si="152"/>
        <v/>
      </c>
      <c r="AR380" s="1056"/>
      <c r="AS380" s="1056"/>
      <c r="AT380" s="1034">
        <f t="shared" si="153"/>
        <v>0</v>
      </c>
      <c r="AU380" s="1035">
        <f t="shared" si="154"/>
        <v>0</v>
      </c>
      <c r="AV380" s="1057" cm="1">
        <f t="array" ref="AV380">IF(AJ380&lt;&gt;1,0,IF(OR(AT380="",N(AT380)&lt;=0.000000001),"",IF(OR(AN380="",N(AN380)&lt;=0.000000001),0,IF(ISNUMBER(AT380),IFERROR(_xlfn.LET(_xlpm.ai_test,TRIM(AI380),_xlpm.r,IFERROR(_xlfn.XLOOKUP(_xlpm.ai_test,$BI$15:$BI$62,ROW($BI$15:$BI$62),0,1),IFERROR(_xlfn.XLOOKUP(_xlpm.ai_test,$BJ$15:$BJ$62,ROW($BJ$15:$BJ$62),0,1),_xlfn.XLOOKUP(_xlpm.ai_test,$BK$15:$BK$62,ROW($BK$15:$BK$62),0,1))),_xlpm.p,_xlpm.r-MIN(ROW($BI$15:$BI$62))+1,_xlpm.f,INDEX($BL$15:$BL$62,_xlpm.p),_xlpm.u,INDEX($BM$15:$BM$62,_xlpm.p),_xlpm.s,INDEX($BO$15:$BO$62,_xlpm.p),_xlpm.q,N(AT380)/_xlpm.f,IF(_xlpm.q&gt;=_xlpm.s,ROUND(_xlpm.q,1)&amp;" "&amp;_xlpm.ai_test&amp;" = "&amp;ROUND(_xlpm.q*_xlpm.f,1)&amp;" "&amp;_xlpm.u,ROUND(_xlpm.q,1)&amp;" "&amp;_xlpm.ai_test)),""),""))))</f>
        <v>0</v>
      </c>
      <c r="AW380" s="1047"/>
      <c r="AX380" s="1034">
        <f t="shared" si="155"/>
        <v>0</v>
      </c>
      <c r="AY380" s="1035" t="str">
        <f t="shared" si="156"/>
        <v/>
      </c>
      <c r="AZ380" s="1036">
        <f t="shared" si="161"/>
        <v>0</v>
      </c>
      <c r="BA380" s="1037" t="str">
        <f t="shared" si="157"/>
        <v/>
      </c>
      <c r="BB380" s="1038"/>
      <c r="BC380" s="1039">
        <f t="shared" si="162"/>
        <v>0</v>
      </c>
      <c r="BD380" s="1040" t="str">
        <f t="shared" si="158"/>
        <v/>
      </c>
      <c r="BE380" s="227" t="s">
        <v>22</v>
      </c>
      <c r="BF380" s="1019">
        <f t="shared" si="159"/>
        <v>0</v>
      </c>
      <c r="BG380" s="1020">
        <f t="shared" si="160"/>
        <v>0</v>
      </c>
      <c r="BH380"/>
      <c r="BI380" s="709"/>
      <c r="BJ380" s="709"/>
      <c r="BK380" s="709"/>
      <c r="BL380" s="709"/>
      <c r="BM380" s="709"/>
      <c r="BN380" s="709"/>
      <c r="BO380" s="709"/>
      <c r="BP380" s="709"/>
      <c r="BW380" s="959" t="str">
        <f t="shared" si="141"/>
        <v>►</v>
      </c>
      <c r="BX380" s="856"/>
      <c r="BY380" s="856"/>
      <c r="BZ380" s="856"/>
      <c r="CA380" s="856"/>
      <c r="CB380" s="856"/>
      <c r="DB380" s="3">
        <v>1</v>
      </c>
    </row>
    <row r="381" spans="12:106" ht="21" customHeight="1">
      <c r="L381" s="104" t="s">
        <v>16</v>
      </c>
      <c r="M381" s="1172"/>
      <c r="N381" s="1172"/>
      <c r="O381" s="1172"/>
      <c r="P381" s="1173"/>
      <c r="Q381" s="1174"/>
      <c r="R381" s="1175"/>
      <c r="S381" s="1176"/>
      <c r="T381" s="1177"/>
      <c r="U381" s="5248"/>
      <c r="V381" s="1177"/>
      <c r="W381" s="5249"/>
      <c r="X381" s="5208"/>
      <c r="Y381" s="5209"/>
      <c r="Z381" s="5210"/>
      <c r="AA381" s="5211"/>
      <c r="AB381" s="1178"/>
      <c r="AC381" s="1179"/>
      <c r="AD381" s="227" t="s">
        <v>22</v>
      </c>
      <c r="AE381" s="1027" t="str">
        <f t="shared" si="142"/>
        <v>►</v>
      </c>
      <c r="AF381" s="1028" t="str">
        <f t="shared" si="143"/>
        <v/>
      </c>
      <c r="AG381" s="1029" t="str">
        <f t="shared" si="144"/>
        <v/>
      </c>
      <c r="AH381" s="1028" t="str">
        <f t="shared" si="145"/>
        <v/>
      </c>
      <c r="AI381" s="1029" t="str">
        <f t="shared" si="146"/>
        <v/>
      </c>
      <c r="AJ381" s="1029">
        <f t="shared" si="147"/>
        <v>0</v>
      </c>
      <c r="AK381" s="1043" t="str" cm="1">
        <f t="array" ref="AK381">IF(AE381&lt;&gt;"A","",IFERROR((IFERROR(_xlfn.XLOOKUP(TRIM(SUBSTITUTE(U381,CHAR(160)," ")),$BI$15:$BI$62,$BL$15:$BL$62),IFERROR(_xlfn.XLOOKUP(TRIM(SUBSTITUTE(U381,CHAR(160)," ")),$BJ$15:$BJ$62,$BL$15:$BL$62),_xlfn.XLOOKUP(TRIM(SUBSTITUTE(U381,CHAR(160)," ")),$BK$15:$BK$62,$BL$15:$BL$62))))*T381*IF(ISBLANK(Q381),1,Q381)+IFERROR(_xlfn.XLOOKUP("RECHERCHEX",TRIM(L381:AC381),L381:AC381),0),0))</f>
        <v/>
      </c>
      <c r="AL381" s="1030">
        <f t="shared" si="148"/>
        <v>0</v>
      </c>
      <c r="AM381" s="5254" t="str">
        <f t="shared" si="163"/>
        <v/>
      </c>
      <c r="AN381" s="1031">
        <f t="shared" si="149"/>
        <v>0</v>
      </c>
      <c r="AO381" s="1031">
        <f t="shared" si="150"/>
        <v>0</v>
      </c>
      <c r="AP381" s="1044">
        <f t="shared" si="151"/>
        <v>0</v>
      </c>
      <c r="AQ381" s="5257" t="str">
        <f t="shared" si="152"/>
        <v/>
      </c>
      <c r="AR381" s="1056"/>
      <c r="AS381" s="1056"/>
      <c r="AT381" s="1045">
        <f t="shared" si="153"/>
        <v>0</v>
      </c>
      <c r="AU381" s="1046">
        <f t="shared" si="154"/>
        <v>0</v>
      </c>
      <c r="AV381" s="1059" cm="1">
        <f t="array" ref="AV381">IF(AJ381&lt;&gt;1,0,IF(OR(AT381="",N(AT381)&lt;=0.000000001),"",IF(OR(AN381="",N(AN381)&lt;=0.000000001),0,IF(ISNUMBER(AT381),IFERROR(_xlfn.LET(_xlpm.ai_test,TRIM(AI381),_xlpm.r,IFERROR(_xlfn.XLOOKUP(_xlpm.ai_test,$BI$15:$BI$62,ROW($BI$15:$BI$62),0,1),IFERROR(_xlfn.XLOOKUP(_xlpm.ai_test,$BJ$15:$BJ$62,ROW($BJ$15:$BJ$62),0,1),_xlfn.XLOOKUP(_xlpm.ai_test,$BK$15:$BK$62,ROW($BK$15:$BK$62),0,1))),_xlpm.p,_xlpm.r-MIN(ROW($BI$15:$BI$62))+1,_xlpm.f,INDEX($BL$15:$BL$62,_xlpm.p),_xlpm.u,INDEX($BM$15:$BM$62,_xlpm.p),_xlpm.s,INDEX($BO$15:$BO$62,_xlpm.p),_xlpm.q,N(AT381)/_xlpm.f,IF(_xlpm.q&gt;=_xlpm.s,ROUND(_xlpm.q,1)&amp;" "&amp;_xlpm.ai_test&amp;" = "&amp;ROUND(_xlpm.q*_xlpm.f,1)&amp;" "&amp;_xlpm.u,ROUND(_xlpm.q,1)&amp;" "&amp;_xlpm.ai_test)),""),""))))</f>
        <v>0</v>
      </c>
      <c r="AW381" s="1047"/>
      <c r="AX381" s="1045">
        <f t="shared" si="155"/>
        <v>0</v>
      </c>
      <c r="AY381" s="1046" t="str">
        <f t="shared" si="156"/>
        <v/>
      </c>
      <c r="AZ381" s="1048">
        <f t="shared" si="161"/>
        <v>0</v>
      </c>
      <c r="BA381" s="1049" t="str">
        <f t="shared" si="157"/>
        <v/>
      </c>
      <c r="BB381" s="1038"/>
      <c r="BC381" s="1050">
        <f t="shared" si="162"/>
        <v>0</v>
      </c>
      <c r="BD381" s="1040" t="str">
        <f t="shared" si="158"/>
        <v/>
      </c>
      <c r="BE381" s="227" t="s">
        <v>22</v>
      </c>
      <c r="BF381" s="1019">
        <f t="shared" si="159"/>
        <v>0</v>
      </c>
      <c r="BG381" s="1020">
        <f t="shared" si="160"/>
        <v>0</v>
      </c>
      <c r="BH381"/>
      <c r="BI381" s="709"/>
      <c r="BJ381" s="709"/>
      <c r="BK381" s="709"/>
      <c r="BL381" s="709"/>
      <c r="BM381" s="709"/>
      <c r="BN381" s="709"/>
      <c r="BO381" s="709"/>
      <c r="BP381" s="709"/>
      <c r="BW381" s="959" t="str">
        <f t="shared" si="141"/>
        <v>►</v>
      </c>
      <c r="BX381" s="856"/>
      <c r="BY381" s="856"/>
      <c r="BZ381" s="856"/>
      <c r="CA381" s="856"/>
      <c r="CB381" s="856"/>
      <c r="DB381" s="3">
        <v>1</v>
      </c>
    </row>
    <row r="382" spans="12:106" ht="21" customHeight="1">
      <c r="L382" s="104" t="s">
        <v>16</v>
      </c>
      <c r="M382" s="1172"/>
      <c r="N382" s="1172"/>
      <c r="O382" s="1172"/>
      <c r="P382" s="1173"/>
      <c r="Q382" s="1174"/>
      <c r="R382" s="1175"/>
      <c r="S382" s="1176"/>
      <c r="T382" s="1177"/>
      <c r="U382" s="5248"/>
      <c r="V382" s="1177"/>
      <c r="W382" s="5249"/>
      <c r="X382" s="5208"/>
      <c r="Y382" s="5209"/>
      <c r="Z382" s="5210"/>
      <c r="AA382" s="5211"/>
      <c r="AB382" s="1178"/>
      <c r="AC382" s="1179"/>
      <c r="AD382" s="227" t="s">
        <v>22</v>
      </c>
      <c r="AE382" s="1027" t="str">
        <f t="shared" si="142"/>
        <v>►</v>
      </c>
      <c r="AF382" s="1028" t="str">
        <f t="shared" si="143"/>
        <v/>
      </c>
      <c r="AG382" s="1029" t="str">
        <f t="shared" si="144"/>
        <v/>
      </c>
      <c r="AH382" s="1028" t="str">
        <f t="shared" si="145"/>
        <v/>
      </c>
      <c r="AI382" s="1029" t="str">
        <f t="shared" si="146"/>
        <v/>
      </c>
      <c r="AJ382" s="1029">
        <f t="shared" si="147"/>
        <v>0</v>
      </c>
      <c r="AK382" s="1043" t="str" cm="1">
        <f t="array" ref="AK382">IF(AE382&lt;&gt;"A","",IFERROR((IFERROR(_xlfn.XLOOKUP(TRIM(SUBSTITUTE(U382,CHAR(160)," ")),$BI$15:$BI$62,$BL$15:$BL$62),IFERROR(_xlfn.XLOOKUP(TRIM(SUBSTITUTE(U382,CHAR(160)," ")),$BJ$15:$BJ$62,$BL$15:$BL$62),_xlfn.XLOOKUP(TRIM(SUBSTITUTE(U382,CHAR(160)," ")),$BK$15:$BK$62,$BL$15:$BL$62))))*T382*IF(ISBLANK(Q382),1,Q382)+IFERROR(_xlfn.XLOOKUP("RECHERCHEX",TRIM(L382:AC382),L382:AC382),0),0))</f>
        <v/>
      </c>
      <c r="AL382" s="1030">
        <f t="shared" si="148"/>
        <v>0</v>
      </c>
      <c r="AM382" s="5254" t="str">
        <f t="shared" si="163"/>
        <v/>
      </c>
      <c r="AN382" s="1031">
        <f t="shared" si="149"/>
        <v>0</v>
      </c>
      <c r="AO382" s="1031">
        <f t="shared" si="150"/>
        <v>0</v>
      </c>
      <c r="AP382" s="1032">
        <f t="shared" si="151"/>
        <v>0</v>
      </c>
      <c r="AQ382" s="5255" t="str">
        <f t="shared" si="152"/>
        <v/>
      </c>
      <c r="AR382" s="1056"/>
      <c r="AS382" s="1056"/>
      <c r="AT382" s="1034">
        <f t="shared" si="153"/>
        <v>0</v>
      </c>
      <c r="AU382" s="1035">
        <f t="shared" si="154"/>
        <v>0</v>
      </c>
      <c r="AV382" s="1057" cm="1">
        <f t="array" ref="AV382">IF(AJ382&lt;&gt;1,0,IF(OR(AT382="",N(AT382)&lt;=0.000000001),"",IF(OR(AN382="",N(AN382)&lt;=0.000000001),0,IF(ISNUMBER(AT382),IFERROR(_xlfn.LET(_xlpm.ai_test,TRIM(AI382),_xlpm.r,IFERROR(_xlfn.XLOOKUP(_xlpm.ai_test,$BI$15:$BI$62,ROW($BI$15:$BI$62),0,1),IFERROR(_xlfn.XLOOKUP(_xlpm.ai_test,$BJ$15:$BJ$62,ROW($BJ$15:$BJ$62),0,1),_xlfn.XLOOKUP(_xlpm.ai_test,$BK$15:$BK$62,ROW($BK$15:$BK$62),0,1))),_xlpm.p,_xlpm.r-MIN(ROW($BI$15:$BI$62))+1,_xlpm.f,INDEX($BL$15:$BL$62,_xlpm.p),_xlpm.u,INDEX($BM$15:$BM$62,_xlpm.p),_xlpm.s,INDEX($BO$15:$BO$62,_xlpm.p),_xlpm.q,N(AT382)/_xlpm.f,IF(_xlpm.q&gt;=_xlpm.s,ROUND(_xlpm.q,1)&amp;" "&amp;_xlpm.ai_test&amp;" = "&amp;ROUND(_xlpm.q*_xlpm.f,1)&amp;" "&amp;_xlpm.u,ROUND(_xlpm.q,1)&amp;" "&amp;_xlpm.ai_test)),""),""))))</f>
        <v>0</v>
      </c>
      <c r="AW382" s="1047"/>
      <c r="AX382" s="1034">
        <f t="shared" si="155"/>
        <v>0</v>
      </c>
      <c r="AY382" s="1035" t="str">
        <f t="shared" si="156"/>
        <v/>
      </c>
      <c r="AZ382" s="1036">
        <f t="shared" si="161"/>
        <v>0</v>
      </c>
      <c r="BA382" s="1037" t="str">
        <f t="shared" si="157"/>
        <v/>
      </c>
      <c r="BB382" s="1038"/>
      <c r="BC382" s="1039">
        <f t="shared" si="162"/>
        <v>0</v>
      </c>
      <c r="BD382" s="1040" t="str">
        <f t="shared" si="158"/>
        <v/>
      </c>
      <c r="BE382" s="227" t="s">
        <v>22</v>
      </c>
      <c r="BF382" s="1019">
        <f t="shared" si="159"/>
        <v>0</v>
      </c>
      <c r="BG382" s="1020">
        <f t="shared" si="160"/>
        <v>0</v>
      </c>
      <c r="BH382"/>
      <c r="BI382" s="709"/>
      <c r="BJ382" s="709"/>
      <c r="BK382" s="709"/>
      <c r="BL382" s="709"/>
      <c r="BM382" s="709"/>
      <c r="BN382" s="709"/>
      <c r="BO382" s="709"/>
      <c r="BP382" s="709"/>
      <c r="BW382" s="959" t="str">
        <f t="shared" si="141"/>
        <v>►</v>
      </c>
      <c r="BX382" s="856"/>
      <c r="BY382" s="856"/>
      <c r="BZ382" s="856"/>
      <c r="CA382" s="856"/>
      <c r="CB382" s="856"/>
      <c r="DB382" s="3">
        <v>1</v>
      </c>
    </row>
    <row r="383" spans="12:106" ht="21" customHeight="1">
      <c r="L383" s="104" t="s">
        <v>16</v>
      </c>
      <c r="M383" s="1172"/>
      <c r="N383" s="1172"/>
      <c r="O383" s="1172"/>
      <c r="P383" s="1173"/>
      <c r="Q383" s="1174"/>
      <c r="R383" s="1175"/>
      <c r="S383" s="1176"/>
      <c r="T383" s="1177"/>
      <c r="U383" s="5248"/>
      <c r="V383" s="1177"/>
      <c r="W383" s="5249"/>
      <c r="X383" s="5208"/>
      <c r="Y383" s="5209"/>
      <c r="Z383" s="5210"/>
      <c r="AA383" s="5211"/>
      <c r="AB383" s="1178"/>
      <c r="AC383" s="1179"/>
      <c r="AD383" s="227" t="s">
        <v>22</v>
      </c>
      <c r="AE383" s="1027" t="str">
        <f t="shared" si="142"/>
        <v>►</v>
      </c>
      <c r="AF383" s="1028" t="str">
        <f t="shared" si="143"/>
        <v/>
      </c>
      <c r="AG383" s="1029" t="str">
        <f t="shared" si="144"/>
        <v/>
      </c>
      <c r="AH383" s="1028" t="str">
        <f t="shared" si="145"/>
        <v/>
      </c>
      <c r="AI383" s="1029" t="str">
        <f t="shared" si="146"/>
        <v/>
      </c>
      <c r="AJ383" s="1029">
        <f t="shared" si="147"/>
        <v>0</v>
      </c>
      <c r="AK383" s="1043" t="str" cm="1">
        <f t="array" ref="AK383">IF(AE383&lt;&gt;"A","",IFERROR((IFERROR(_xlfn.XLOOKUP(TRIM(SUBSTITUTE(U383,CHAR(160)," ")),$BI$15:$BI$62,$BL$15:$BL$62),IFERROR(_xlfn.XLOOKUP(TRIM(SUBSTITUTE(U383,CHAR(160)," ")),$BJ$15:$BJ$62,$BL$15:$BL$62),_xlfn.XLOOKUP(TRIM(SUBSTITUTE(U383,CHAR(160)," ")),$BK$15:$BK$62,$BL$15:$BL$62))))*T383*IF(ISBLANK(Q383),1,Q383)+IFERROR(_xlfn.XLOOKUP("RECHERCHEX",TRIM(L383:AC383),L383:AC383),0),0))</f>
        <v/>
      </c>
      <c r="AL383" s="1030">
        <f t="shared" si="148"/>
        <v>0</v>
      </c>
      <c r="AM383" s="5254" t="str">
        <f t="shared" si="163"/>
        <v/>
      </c>
      <c r="AN383" s="1031">
        <f t="shared" si="149"/>
        <v>0</v>
      </c>
      <c r="AO383" s="1031">
        <f t="shared" si="150"/>
        <v>0</v>
      </c>
      <c r="AP383" s="1044">
        <f t="shared" si="151"/>
        <v>0</v>
      </c>
      <c r="AQ383" s="5257" t="str">
        <f t="shared" si="152"/>
        <v/>
      </c>
      <c r="AR383" s="1056"/>
      <c r="AS383" s="1056"/>
      <c r="AT383" s="1045">
        <f t="shared" si="153"/>
        <v>0</v>
      </c>
      <c r="AU383" s="1046">
        <f t="shared" si="154"/>
        <v>0</v>
      </c>
      <c r="AV383" s="1059" cm="1">
        <f t="array" ref="AV383">IF(AJ383&lt;&gt;1,0,IF(OR(AT383="",N(AT383)&lt;=0.000000001),"",IF(OR(AN383="",N(AN383)&lt;=0.000000001),0,IF(ISNUMBER(AT383),IFERROR(_xlfn.LET(_xlpm.ai_test,TRIM(AI383),_xlpm.r,IFERROR(_xlfn.XLOOKUP(_xlpm.ai_test,$BI$15:$BI$62,ROW($BI$15:$BI$62),0,1),IFERROR(_xlfn.XLOOKUP(_xlpm.ai_test,$BJ$15:$BJ$62,ROW($BJ$15:$BJ$62),0,1),_xlfn.XLOOKUP(_xlpm.ai_test,$BK$15:$BK$62,ROW($BK$15:$BK$62),0,1))),_xlpm.p,_xlpm.r-MIN(ROW($BI$15:$BI$62))+1,_xlpm.f,INDEX($BL$15:$BL$62,_xlpm.p),_xlpm.u,INDEX($BM$15:$BM$62,_xlpm.p),_xlpm.s,INDEX($BO$15:$BO$62,_xlpm.p),_xlpm.q,N(AT383)/_xlpm.f,IF(_xlpm.q&gt;=_xlpm.s,ROUND(_xlpm.q,1)&amp;" "&amp;_xlpm.ai_test&amp;" = "&amp;ROUND(_xlpm.q*_xlpm.f,1)&amp;" "&amp;_xlpm.u,ROUND(_xlpm.q,1)&amp;" "&amp;_xlpm.ai_test)),""),""))))</f>
        <v>0</v>
      </c>
      <c r="AW383" s="1047"/>
      <c r="AX383" s="1045">
        <f t="shared" si="155"/>
        <v>0</v>
      </c>
      <c r="AY383" s="1046" t="str">
        <f t="shared" si="156"/>
        <v/>
      </c>
      <c r="AZ383" s="1048">
        <f t="shared" si="161"/>
        <v>0</v>
      </c>
      <c r="BA383" s="1049" t="str">
        <f t="shared" si="157"/>
        <v/>
      </c>
      <c r="BB383" s="1038"/>
      <c r="BC383" s="1050">
        <f t="shared" si="162"/>
        <v>0</v>
      </c>
      <c r="BD383" s="1040" t="str">
        <f t="shared" si="158"/>
        <v/>
      </c>
      <c r="BE383" s="227" t="s">
        <v>22</v>
      </c>
      <c r="BF383" s="1019">
        <f t="shared" si="159"/>
        <v>0</v>
      </c>
      <c r="BG383" s="1020">
        <f t="shared" si="160"/>
        <v>0</v>
      </c>
      <c r="BH383"/>
      <c r="BI383" s="709"/>
      <c r="BJ383" s="709"/>
      <c r="BK383" s="709"/>
      <c r="BL383" s="709"/>
      <c r="BM383" s="709"/>
      <c r="BN383" s="709"/>
      <c r="BO383" s="709"/>
      <c r="BP383" s="709"/>
      <c r="BW383" s="959" t="str">
        <f t="shared" si="141"/>
        <v>►</v>
      </c>
      <c r="BX383" s="856"/>
      <c r="BY383" s="856"/>
      <c r="BZ383" s="856"/>
      <c r="CA383" s="856"/>
      <c r="CB383" s="856"/>
      <c r="DB383" s="3">
        <v>1</v>
      </c>
    </row>
    <row r="384" spans="12:106" ht="21" customHeight="1">
      <c r="L384" s="104" t="s">
        <v>16</v>
      </c>
      <c r="M384" s="1172"/>
      <c r="N384" s="1172"/>
      <c r="O384" s="1172"/>
      <c r="P384" s="1173"/>
      <c r="Q384" s="1174"/>
      <c r="R384" s="1175"/>
      <c r="S384" s="1176"/>
      <c r="T384" s="1177"/>
      <c r="U384" s="5248"/>
      <c r="V384" s="1177"/>
      <c r="W384" s="5249"/>
      <c r="X384" s="5208"/>
      <c r="Y384" s="5209"/>
      <c r="Z384" s="5210"/>
      <c r="AA384" s="5211"/>
      <c r="AB384" s="1178"/>
      <c r="AC384" s="1179"/>
      <c r="AD384" s="227" t="s">
        <v>22</v>
      </c>
      <c r="AE384" s="1027" t="str">
        <f t="shared" si="142"/>
        <v>►</v>
      </c>
      <c r="AF384" s="1028" t="str">
        <f t="shared" si="143"/>
        <v/>
      </c>
      <c r="AG384" s="1029" t="str">
        <f t="shared" si="144"/>
        <v/>
      </c>
      <c r="AH384" s="1028" t="str">
        <f t="shared" si="145"/>
        <v/>
      </c>
      <c r="AI384" s="1029" t="str">
        <f t="shared" si="146"/>
        <v/>
      </c>
      <c r="AJ384" s="1029">
        <f t="shared" si="147"/>
        <v>0</v>
      </c>
      <c r="AK384" s="1043" t="str" cm="1">
        <f t="array" ref="AK384">IF(AE384&lt;&gt;"A","",IFERROR((IFERROR(_xlfn.XLOOKUP(TRIM(SUBSTITUTE(U384,CHAR(160)," ")),$BI$15:$BI$62,$BL$15:$BL$62),IFERROR(_xlfn.XLOOKUP(TRIM(SUBSTITUTE(U384,CHAR(160)," ")),$BJ$15:$BJ$62,$BL$15:$BL$62),_xlfn.XLOOKUP(TRIM(SUBSTITUTE(U384,CHAR(160)," ")),$BK$15:$BK$62,$BL$15:$BL$62))))*T384*IF(ISBLANK(Q384),1,Q384)+IFERROR(_xlfn.XLOOKUP("RECHERCHEX",TRIM(L384:AC384),L384:AC384),0),0))</f>
        <v/>
      </c>
      <c r="AL384" s="1030">
        <f t="shared" si="148"/>
        <v>0</v>
      </c>
      <c r="AM384" s="5254" t="str">
        <f t="shared" si="163"/>
        <v/>
      </c>
      <c r="AN384" s="1031">
        <f t="shared" si="149"/>
        <v>0</v>
      </c>
      <c r="AO384" s="1031">
        <f t="shared" si="150"/>
        <v>0</v>
      </c>
      <c r="AP384" s="1032">
        <f t="shared" si="151"/>
        <v>0</v>
      </c>
      <c r="AQ384" s="5255" t="str">
        <f t="shared" si="152"/>
        <v/>
      </c>
      <c r="AR384" s="1056"/>
      <c r="AS384" s="1056"/>
      <c r="AT384" s="1034">
        <f t="shared" si="153"/>
        <v>0</v>
      </c>
      <c r="AU384" s="1035">
        <f t="shared" si="154"/>
        <v>0</v>
      </c>
      <c r="AV384" s="1057" cm="1">
        <f t="array" ref="AV384">IF(AJ384&lt;&gt;1,0,IF(OR(AT384="",N(AT384)&lt;=0.000000001),"",IF(OR(AN384="",N(AN384)&lt;=0.000000001),0,IF(ISNUMBER(AT384),IFERROR(_xlfn.LET(_xlpm.ai_test,TRIM(AI384),_xlpm.r,IFERROR(_xlfn.XLOOKUP(_xlpm.ai_test,$BI$15:$BI$62,ROW($BI$15:$BI$62),0,1),IFERROR(_xlfn.XLOOKUP(_xlpm.ai_test,$BJ$15:$BJ$62,ROW($BJ$15:$BJ$62),0,1),_xlfn.XLOOKUP(_xlpm.ai_test,$BK$15:$BK$62,ROW($BK$15:$BK$62),0,1))),_xlpm.p,_xlpm.r-MIN(ROW($BI$15:$BI$62))+1,_xlpm.f,INDEX($BL$15:$BL$62,_xlpm.p),_xlpm.u,INDEX($BM$15:$BM$62,_xlpm.p),_xlpm.s,INDEX($BO$15:$BO$62,_xlpm.p),_xlpm.q,N(AT384)/_xlpm.f,IF(_xlpm.q&gt;=_xlpm.s,ROUND(_xlpm.q,1)&amp;" "&amp;_xlpm.ai_test&amp;" = "&amp;ROUND(_xlpm.q*_xlpm.f,1)&amp;" "&amp;_xlpm.u,ROUND(_xlpm.q,1)&amp;" "&amp;_xlpm.ai_test)),""),""))))</f>
        <v>0</v>
      </c>
      <c r="AW384" s="1047"/>
      <c r="AX384" s="1034">
        <f t="shared" si="155"/>
        <v>0</v>
      </c>
      <c r="AY384" s="1035" t="str">
        <f t="shared" si="156"/>
        <v/>
      </c>
      <c r="AZ384" s="1036">
        <f t="shared" si="161"/>
        <v>0</v>
      </c>
      <c r="BA384" s="1037" t="str">
        <f t="shared" si="157"/>
        <v/>
      </c>
      <c r="BB384" s="1038"/>
      <c r="BC384" s="1039">
        <f t="shared" si="162"/>
        <v>0</v>
      </c>
      <c r="BD384" s="1040" t="str">
        <f t="shared" si="158"/>
        <v/>
      </c>
      <c r="BE384" s="227" t="s">
        <v>22</v>
      </c>
      <c r="BF384" s="1019">
        <f t="shared" si="159"/>
        <v>0</v>
      </c>
      <c r="BG384" s="1020">
        <f t="shared" si="160"/>
        <v>0</v>
      </c>
      <c r="BH384"/>
      <c r="BI384" s="709"/>
      <c r="BJ384" s="709"/>
      <c r="BK384" s="709"/>
      <c r="BL384" s="709"/>
      <c r="BM384" s="709"/>
      <c r="BN384" s="709"/>
      <c r="BO384" s="709"/>
      <c r="BP384" s="709"/>
      <c r="BW384" s="959" t="str">
        <f t="shared" si="141"/>
        <v>►</v>
      </c>
      <c r="BX384" s="856"/>
      <c r="BY384" s="856"/>
      <c r="BZ384" s="856"/>
      <c r="CA384" s="856"/>
      <c r="CB384" s="856"/>
      <c r="DB384" s="3">
        <v>1</v>
      </c>
    </row>
    <row r="385" spans="12:106" ht="21" customHeight="1">
      <c r="L385" s="104" t="s">
        <v>16</v>
      </c>
      <c r="M385" s="1172"/>
      <c r="N385" s="1172"/>
      <c r="O385" s="1172"/>
      <c r="P385" s="1173"/>
      <c r="Q385" s="1174"/>
      <c r="R385" s="1175"/>
      <c r="S385" s="1176"/>
      <c r="T385" s="1177"/>
      <c r="U385" s="5248"/>
      <c r="V385" s="1177"/>
      <c r="W385" s="5249"/>
      <c r="X385" s="5208"/>
      <c r="Y385" s="5209"/>
      <c r="Z385" s="5210"/>
      <c r="AA385" s="5211"/>
      <c r="AB385" s="1178"/>
      <c r="AC385" s="1179"/>
      <c r="AD385" s="227" t="s">
        <v>22</v>
      </c>
      <c r="AE385" s="1027" t="str">
        <f t="shared" si="142"/>
        <v>►</v>
      </c>
      <c r="AF385" s="1028" t="str">
        <f t="shared" si="143"/>
        <v/>
      </c>
      <c r="AG385" s="1029" t="str">
        <f t="shared" si="144"/>
        <v/>
      </c>
      <c r="AH385" s="1028" t="str">
        <f t="shared" si="145"/>
        <v/>
      </c>
      <c r="AI385" s="1029" t="str">
        <f t="shared" si="146"/>
        <v/>
      </c>
      <c r="AJ385" s="1029">
        <f t="shared" si="147"/>
        <v>0</v>
      </c>
      <c r="AK385" s="1043" t="str" cm="1">
        <f t="array" ref="AK385">IF(AE385&lt;&gt;"A","",IFERROR((IFERROR(_xlfn.XLOOKUP(TRIM(SUBSTITUTE(U385,CHAR(160)," ")),$BI$15:$BI$62,$BL$15:$BL$62),IFERROR(_xlfn.XLOOKUP(TRIM(SUBSTITUTE(U385,CHAR(160)," ")),$BJ$15:$BJ$62,$BL$15:$BL$62),_xlfn.XLOOKUP(TRIM(SUBSTITUTE(U385,CHAR(160)," ")),$BK$15:$BK$62,$BL$15:$BL$62))))*T385*IF(ISBLANK(Q385),1,Q385)+IFERROR(_xlfn.XLOOKUP("RECHERCHEX",TRIM(L385:AC385),L385:AC385),0),0))</f>
        <v/>
      </c>
      <c r="AL385" s="1030">
        <f t="shared" si="148"/>
        <v>0</v>
      </c>
      <c r="AM385" s="5254" t="str">
        <f t="shared" si="163"/>
        <v/>
      </c>
      <c r="AN385" s="1031">
        <f t="shared" si="149"/>
        <v>0</v>
      </c>
      <c r="AO385" s="1031">
        <f t="shared" si="150"/>
        <v>0</v>
      </c>
      <c r="AP385" s="1044">
        <f t="shared" si="151"/>
        <v>0</v>
      </c>
      <c r="AQ385" s="5257" t="str">
        <f t="shared" si="152"/>
        <v/>
      </c>
      <c r="AR385" s="1056"/>
      <c r="AS385" s="1056"/>
      <c r="AT385" s="1045">
        <f t="shared" si="153"/>
        <v>0</v>
      </c>
      <c r="AU385" s="1046">
        <f t="shared" si="154"/>
        <v>0</v>
      </c>
      <c r="AV385" s="1059" cm="1">
        <f t="array" ref="AV385">IF(AJ385&lt;&gt;1,0,IF(OR(AT385="",N(AT385)&lt;=0.000000001),"",IF(OR(AN385="",N(AN385)&lt;=0.000000001),0,IF(ISNUMBER(AT385),IFERROR(_xlfn.LET(_xlpm.ai_test,TRIM(AI385),_xlpm.r,IFERROR(_xlfn.XLOOKUP(_xlpm.ai_test,$BI$15:$BI$62,ROW($BI$15:$BI$62),0,1),IFERROR(_xlfn.XLOOKUP(_xlpm.ai_test,$BJ$15:$BJ$62,ROW($BJ$15:$BJ$62),0,1),_xlfn.XLOOKUP(_xlpm.ai_test,$BK$15:$BK$62,ROW($BK$15:$BK$62),0,1))),_xlpm.p,_xlpm.r-MIN(ROW($BI$15:$BI$62))+1,_xlpm.f,INDEX($BL$15:$BL$62,_xlpm.p),_xlpm.u,INDEX($BM$15:$BM$62,_xlpm.p),_xlpm.s,INDEX($BO$15:$BO$62,_xlpm.p),_xlpm.q,N(AT385)/_xlpm.f,IF(_xlpm.q&gt;=_xlpm.s,ROUND(_xlpm.q,1)&amp;" "&amp;_xlpm.ai_test&amp;" = "&amp;ROUND(_xlpm.q*_xlpm.f,1)&amp;" "&amp;_xlpm.u,ROUND(_xlpm.q,1)&amp;" "&amp;_xlpm.ai_test)),""),""))))</f>
        <v>0</v>
      </c>
      <c r="AW385" s="1047"/>
      <c r="AX385" s="1045">
        <f t="shared" si="155"/>
        <v>0</v>
      </c>
      <c r="AY385" s="1046" t="str">
        <f t="shared" si="156"/>
        <v/>
      </c>
      <c r="AZ385" s="1048">
        <f t="shared" si="161"/>
        <v>0</v>
      </c>
      <c r="BA385" s="1049" t="str">
        <f t="shared" si="157"/>
        <v/>
      </c>
      <c r="BB385" s="1038"/>
      <c r="BC385" s="1050">
        <f t="shared" si="162"/>
        <v>0</v>
      </c>
      <c r="BD385" s="1040" t="str">
        <f t="shared" si="158"/>
        <v/>
      </c>
      <c r="BE385" s="227" t="s">
        <v>22</v>
      </c>
      <c r="BF385" s="1019">
        <f t="shared" si="159"/>
        <v>0</v>
      </c>
      <c r="BG385" s="1020">
        <f t="shared" si="160"/>
        <v>0</v>
      </c>
      <c r="BH385"/>
      <c r="BI385" s="709"/>
      <c r="BJ385" s="709"/>
      <c r="BK385" s="709"/>
      <c r="BL385" s="709"/>
      <c r="BM385" s="709"/>
      <c r="BN385" s="709"/>
      <c r="BO385" s="709"/>
      <c r="BP385" s="709"/>
      <c r="BW385" s="959" t="str">
        <f t="shared" si="141"/>
        <v>►</v>
      </c>
      <c r="BX385" s="856"/>
      <c r="BY385" s="856"/>
      <c r="BZ385" s="856"/>
      <c r="CA385" s="856"/>
      <c r="CB385" s="856"/>
      <c r="DB385" s="3">
        <v>1</v>
      </c>
    </row>
    <row r="386" spans="12:106" ht="21" customHeight="1">
      <c r="L386" s="104" t="s">
        <v>16</v>
      </c>
      <c r="M386" s="1172"/>
      <c r="N386" s="1172"/>
      <c r="O386" s="1172"/>
      <c r="P386" s="1173"/>
      <c r="Q386" s="1174"/>
      <c r="R386" s="1175"/>
      <c r="S386" s="1176"/>
      <c r="T386" s="1177"/>
      <c r="U386" s="5248"/>
      <c r="V386" s="1177"/>
      <c r="W386" s="5249"/>
      <c r="X386" s="5208"/>
      <c r="Y386" s="5209"/>
      <c r="Z386" s="5210"/>
      <c r="AA386" s="5211"/>
      <c r="AB386" s="1178"/>
      <c r="AC386" s="1179"/>
      <c r="AD386" s="227" t="s">
        <v>22</v>
      </c>
      <c r="AE386" s="1027" t="str">
        <f t="shared" si="142"/>
        <v>►</v>
      </c>
      <c r="AF386" s="1028" t="str">
        <f t="shared" si="143"/>
        <v/>
      </c>
      <c r="AG386" s="1029" t="str">
        <f t="shared" si="144"/>
        <v/>
      </c>
      <c r="AH386" s="1028" t="str">
        <f t="shared" si="145"/>
        <v/>
      </c>
      <c r="AI386" s="1029" t="str">
        <f t="shared" si="146"/>
        <v/>
      </c>
      <c r="AJ386" s="1029">
        <f t="shared" si="147"/>
        <v>0</v>
      </c>
      <c r="AK386" s="1043" t="str" cm="1">
        <f t="array" ref="AK386">IF(AE386&lt;&gt;"A","",IFERROR((IFERROR(_xlfn.XLOOKUP(TRIM(SUBSTITUTE(U386,CHAR(160)," ")),$BI$15:$BI$62,$BL$15:$BL$62),IFERROR(_xlfn.XLOOKUP(TRIM(SUBSTITUTE(U386,CHAR(160)," ")),$BJ$15:$BJ$62,$BL$15:$BL$62),_xlfn.XLOOKUP(TRIM(SUBSTITUTE(U386,CHAR(160)," ")),$BK$15:$BK$62,$BL$15:$BL$62))))*T386*IF(ISBLANK(Q386),1,Q386)+IFERROR(_xlfn.XLOOKUP("RECHERCHEX",TRIM(L386:AC386),L386:AC386),0),0))</f>
        <v/>
      </c>
      <c r="AL386" s="1030">
        <f t="shared" si="148"/>
        <v>0</v>
      </c>
      <c r="AM386" s="5254" t="str">
        <f t="shared" si="163"/>
        <v/>
      </c>
      <c r="AN386" s="1031">
        <f t="shared" si="149"/>
        <v>0</v>
      </c>
      <c r="AO386" s="1031">
        <f t="shared" si="150"/>
        <v>0</v>
      </c>
      <c r="AP386" s="1032">
        <f t="shared" si="151"/>
        <v>0</v>
      </c>
      <c r="AQ386" s="5255" t="str">
        <f t="shared" si="152"/>
        <v/>
      </c>
      <c r="AR386" s="1056"/>
      <c r="AS386" s="1056"/>
      <c r="AT386" s="1034">
        <f t="shared" si="153"/>
        <v>0</v>
      </c>
      <c r="AU386" s="1035">
        <f t="shared" si="154"/>
        <v>0</v>
      </c>
      <c r="AV386" s="1057" cm="1">
        <f t="array" ref="AV386">IF(AJ386&lt;&gt;1,0,IF(OR(AT386="",N(AT386)&lt;=0.000000001),"",IF(OR(AN386="",N(AN386)&lt;=0.000000001),0,IF(ISNUMBER(AT386),IFERROR(_xlfn.LET(_xlpm.ai_test,TRIM(AI386),_xlpm.r,IFERROR(_xlfn.XLOOKUP(_xlpm.ai_test,$BI$15:$BI$62,ROW($BI$15:$BI$62),0,1),IFERROR(_xlfn.XLOOKUP(_xlpm.ai_test,$BJ$15:$BJ$62,ROW($BJ$15:$BJ$62),0,1),_xlfn.XLOOKUP(_xlpm.ai_test,$BK$15:$BK$62,ROW($BK$15:$BK$62),0,1))),_xlpm.p,_xlpm.r-MIN(ROW($BI$15:$BI$62))+1,_xlpm.f,INDEX($BL$15:$BL$62,_xlpm.p),_xlpm.u,INDEX($BM$15:$BM$62,_xlpm.p),_xlpm.s,INDEX($BO$15:$BO$62,_xlpm.p),_xlpm.q,N(AT386)/_xlpm.f,IF(_xlpm.q&gt;=_xlpm.s,ROUND(_xlpm.q,1)&amp;" "&amp;_xlpm.ai_test&amp;" = "&amp;ROUND(_xlpm.q*_xlpm.f,1)&amp;" "&amp;_xlpm.u,ROUND(_xlpm.q,1)&amp;" "&amp;_xlpm.ai_test)),""),""))))</f>
        <v>0</v>
      </c>
      <c r="AW386" s="1047"/>
      <c r="AX386" s="1034">
        <f t="shared" si="155"/>
        <v>0</v>
      </c>
      <c r="AY386" s="1035" t="str">
        <f t="shared" si="156"/>
        <v/>
      </c>
      <c r="AZ386" s="1036">
        <f t="shared" si="161"/>
        <v>0</v>
      </c>
      <c r="BA386" s="1037" t="str">
        <f t="shared" si="157"/>
        <v/>
      </c>
      <c r="BB386" s="1038"/>
      <c r="BC386" s="1039">
        <f t="shared" si="162"/>
        <v>0</v>
      </c>
      <c r="BD386" s="1040" t="str">
        <f t="shared" si="158"/>
        <v/>
      </c>
      <c r="BE386" s="227" t="s">
        <v>22</v>
      </c>
      <c r="BF386" s="1019">
        <f t="shared" si="159"/>
        <v>0</v>
      </c>
      <c r="BG386" s="1020">
        <f t="shared" si="160"/>
        <v>0</v>
      </c>
      <c r="BH386"/>
      <c r="BI386" s="709"/>
      <c r="BJ386" s="709"/>
      <c r="BK386" s="709"/>
      <c r="BL386" s="709"/>
      <c r="BM386" s="709"/>
      <c r="BN386" s="709"/>
      <c r="BO386" s="709"/>
      <c r="BP386" s="709"/>
      <c r="BW386" s="959" t="str">
        <f t="shared" si="141"/>
        <v>►</v>
      </c>
      <c r="BX386" s="856"/>
      <c r="BY386" s="856"/>
      <c r="BZ386" s="856"/>
      <c r="CA386" s="856"/>
      <c r="CB386" s="856"/>
      <c r="DB386" s="3">
        <v>1</v>
      </c>
    </row>
    <row r="387" spans="12:106" ht="21" customHeight="1">
      <c r="L387" s="104" t="s">
        <v>16</v>
      </c>
      <c r="M387" s="1172"/>
      <c r="N387" s="1172"/>
      <c r="O387" s="1172"/>
      <c r="P387" s="1173"/>
      <c r="Q387" s="1174"/>
      <c r="R387" s="1175"/>
      <c r="S387" s="1176"/>
      <c r="T387" s="1177"/>
      <c r="U387" s="5248"/>
      <c r="V387" s="1177"/>
      <c r="W387" s="5249"/>
      <c r="X387" s="5208"/>
      <c r="Y387" s="5209"/>
      <c r="Z387" s="5210"/>
      <c r="AA387" s="5211"/>
      <c r="AB387" s="1178"/>
      <c r="AC387" s="1179"/>
      <c r="AD387" s="227" t="s">
        <v>22</v>
      </c>
      <c r="AE387" s="1027" t="str">
        <f t="shared" si="142"/>
        <v>►</v>
      </c>
      <c r="AF387" s="1028" t="str">
        <f t="shared" si="143"/>
        <v/>
      </c>
      <c r="AG387" s="1029" t="str">
        <f t="shared" si="144"/>
        <v/>
      </c>
      <c r="AH387" s="1028" t="str">
        <f t="shared" si="145"/>
        <v/>
      </c>
      <c r="AI387" s="1029" t="str">
        <f t="shared" si="146"/>
        <v/>
      </c>
      <c r="AJ387" s="1029">
        <f t="shared" si="147"/>
        <v>0</v>
      </c>
      <c r="AK387" s="1043" t="str" cm="1">
        <f t="array" ref="AK387">IF(AE387&lt;&gt;"A","",IFERROR((IFERROR(_xlfn.XLOOKUP(TRIM(SUBSTITUTE(U387,CHAR(160)," ")),$BI$15:$BI$62,$BL$15:$BL$62),IFERROR(_xlfn.XLOOKUP(TRIM(SUBSTITUTE(U387,CHAR(160)," ")),$BJ$15:$BJ$62,$BL$15:$BL$62),_xlfn.XLOOKUP(TRIM(SUBSTITUTE(U387,CHAR(160)," ")),$BK$15:$BK$62,$BL$15:$BL$62))))*T387*IF(ISBLANK(Q387),1,Q387)+IFERROR(_xlfn.XLOOKUP("RECHERCHEX",TRIM(L387:AC387),L387:AC387),0),0))</f>
        <v/>
      </c>
      <c r="AL387" s="1030">
        <f t="shared" si="148"/>
        <v>0</v>
      </c>
      <c r="AM387" s="5254" t="str">
        <f t="shared" si="163"/>
        <v/>
      </c>
      <c r="AN387" s="1031">
        <f t="shared" si="149"/>
        <v>0</v>
      </c>
      <c r="AO387" s="1031">
        <f t="shared" si="150"/>
        <v>0</v>
      </c>
      <c r="AP387" s="1044">
        <f t="shared" si="151"/>
        <v>0</v>
      </c>
      <c r="AQ387" s="5257" t="str">
        <f t="shared" si="152"/>
        <v/>
      </c>
      <c r="AR387" s="1056"/>
      <c r="AS387" s="1056"/>
      <c r="AT387" s="1045">
        <f t="shared" si="153"/>
        <v>0</v>
      </c>
      <c r="AU387" s="1046">
        <f t="shared" si="154"/>
        <v>0</v>
      </c>
      <c r="AV387" s="1059" cm="1">
        <f t="array" ref="AV387">IF(AJ387&lt;&gt;1,0,IF(OR(AT387="",N(AT387)&lt;=0.000000001),"",IF(OR(AN387="",N(AN387)&lt;=0.000000001),0,IF(ISNUMBER(AT387),IFERROR(_xlfn.LET(_xlpm.ai_test,TRIM(AI387),_xlpm.r,IFERROR(_xlfn.XLOOKUP(_xlpm.ai_test,$BI$15:$BI$62,ROW($BI$15:$BI$62),0,1),IFERROR(_xlfn.XLOOKUP(_xlpm.ai_test,$BJ$15:$BJ$62,ROW($BJ$15:$BJ$62),0,1),_xlfn.XLOOKUP(_xlpm.ai_test,$BK$15:$BK$62,ROW($BK$15:$BK$62),0,1))),_xlpm.p,_xlpm.r-MIN(ROW($BI$15:$BI$62))+1,_xlpm.f,INDEX($BL$15:$BL$62,_xlpm.p),_xlpm.u,INDEX($BM$15:$BM$62,_xlpm.p),_xlpm.s,INDEX($BO$15:$BO$62,_xlpm.p),_xlpm.q,N(AT387)/_xlpm.f,IF(_xlpm.q&gt;=_xlpm.s,ROUND(_xlpm.q,1)&amp;" "&amp;_xlpm.ai_test&amp;" = "&amp;ROUND(_xlpm.q*_xlpm.f,1)&amp;" "&amp;_xlpm.u,ROUND(_xlpm.q,1)&amp;" "&amp;_xlpm.ai_test)),""),""))))</f>
        <v>0</v>
      </c>
      <c r="AW387" s="1047"/>
      <c r="AX387" s="1045">
        <f t="shared" si="155"/>
        <v>0</v>
      </c>
      <c r="AY387" s="1046" t="str">
        <f t="shared" si="156"/>
        <v/>
      </c>
      <c r="AZ387" s="1048">
        <f t="shared" si="161"/>
        <v>0</v>
      </c>
      <c r="BA387" s="1049" t="str">
        <f t="shared" si="157"/>
        <v/>
      </c>
      <c r="BB387" s="1038"/>
      <c r="BC387" s="1050">
        <f t="shared" si="162"/>
        <v>0</v>
      </c>
      <c r="BD387" s="1040" t="str">
        <f t="shared" si="158"/>
        <v/>
      </c>
      <c r="BE387" s="227" t="s">
        <v>22</v>
      </c>
      <c r="BF387" s="1019">
        <f t="shared" si="159"/>
        <v>0</v>
      </c>
      <c r="BG387" s="1020">
        <f t="shared" si="160"/>
        <v>0</v>
      </c>
      <c r="BH387"/>
      <c r="BI387" s="709"/>
      <c r="BJ387" s="709"/>
      <c r="BK387" s="709"/>
      <c r="BL387" s="709"/>
      <c r="BM387" s="709"/>
      <c r="BN387" s="709"/>
      <c r="BO387" s="709"/>
      <c r="BP387" s="709"/>
      <c r="BW387" s="959" t="str">
        <f t="shared" si="141"/>
        <v>►</v>
      </c>
      <c r="BX387" s="856"/>
      <c r="BY387" s="856"/>
      <c r="BZ387" s="856"/>
      <c r="CA387" s="856"/>
      <c r="CB387" s="856"/>
      <c r="DB387" s="3">
        <v>1</v>
      </c>
    </row>
    <row r="388" spans="12:106" ht="21" customHeight="1">
      <c r="L388" s="104" t="s">
        <v>16</v>
      </c>
      <c r="M388" s="1172"/>
      <c r="N388" s="1172"/>
      <c r="O388" s="1172"/>
      <c r="P388" s="1173"/>
      <c r="Q388" s="1174"/>
      <c r="R388" s="1175"/>
      <c r="S388" s="1176"/>
      <c r="T388" s="1177"/>
      <c r="U388" s="5248"/>
      <c r="V388" s="1177"/>
      <c r="W388" s="5249"/>
      <c r="X388" s="5208"/>
      <c r="Y388" s="5209"/>
      <c r="Z388" s="5210"/>
      <c r="AA388" s="5211"/>
      <c r="AB388" s="1178"/>
      <c r="AC388" s="1179"/>
      <c r="AD388" s="227" t="s">
        <v>22</v>
      </c>
      <c r="AE388" s="1027" t="str">
        <f t="shared" si="142"/>
        <v>►</v>
      </c>
      <c r="AF388" s="1028" t="str">
        <f t="shared" si="143"/>
        <v/>
      </c>
      <c r="AG388" s="1029" t="str">
        <f t="shared" si="144"/>
        <v/>
      </c>
      <c r="AH388" s="1028" t="str">
        <f t="shared" si="145"/>
        <v/>
      </c>
      <c r="AI388" s="1029" t="str">
        <f t="shared" si="146"/>
        <v/>
      </c>
      <c r="AJ388" s="1029">
        <f t="shared" si="147"/>
        <v>0</v>
      </c>
      <c r="AK388" s="1043" t="str" cm="1">
        <f t="array" ref="AK388">IF(AE388&lt;&gt;"A","",IFERROR((IFERROR(_xlfn.XLOOKUP(TRIM(SUBSTITUTE(U388,CHAR(160)," ")),$BI$15:$BI$62,$BL$15:$BL$62),IFERROR(_xlfn.XLOOKUP(TRIM(SUBSTITUTE(U388,CHAR(160)," ")),$BJ$15:$BJ$62,$BL$15:$BL$62),_xlfn.XLOOKUP(TRIM(SUBSTITUTE(U388,CHAR(160)," ")),$BK$15:$BK$62,$BL$15:$BL$62))))*T388*IF(ISBLANK(Q388),1,Q388)+IFERROR(_xlfn.XLOOKUP("RECHERCHEX",TRIM(L388:AC388),L388:AC388),0),0))</f>
        <v/>
      </c>
      <c r="AL388" s="1030">
        <f t="shared" si="148"/>
        <v>0</v>
      </c>
      <c r="AM388" s="5254" t="str">
        <f t="shared" si="163"/>
        <v/>
      </c>
      <c r="AN388" s="1031">
        <f t="shared" si="149"/>
        <v>0</v>
      </c>
      <c r="AO388" s="1031">
        <f t="shared" si="150"/>
        <v>0</v>
      </c>
      <c r="AP388" s="1032">
        <f t="shared" si="151"/>
        <v>0</v>
      </c>
      <c r="AQ388" s="5255" t="str">
        <f t="shared" si="152"/>
        <v/>
      </c>
      <c r="AR388" s="1056"/>
      <c r="AS388" s="1056"/>
      <c r="AT388" s="1034">
        <f t="shared" si="153"/>
        <v>0</v>
      </c>
      <c r="AU388" s="1035">
        <f t="shared" si="154"/>
        <v>0</v>
      </c>
      <c r="AV388" s="1057" cm="1">
        <f t="array" ref="AV388">IF(AJ388&lt;&gt;1,0,IF(OR(AT388="",N(AT388)&lt;=0.000000001),"",IF(OR(AN388="",N(AN388)&lt;=0.000000001),0,IF(ISNUMBER(AT388),IFERROR(_xlfn.LET(_xlpm.ai_test,TRIM(AI388),_xlpm.r,IFERROR(_xlfn.XLOOKUP(_xlpm.ai_test,$BI$15:$BI$62,ROW($BI$15:$BI$62),0,1),IFERROR(_xlfn.XLOOKUP(_xlpm.ai_test,$BJ$15:$BJ$62,ROW($BJ$15:$BJ$62),0,1),_xlfn.XLOOKUP(_xlpm.ai_test,$BK$15:$BK$62,ROW($BK$15:$BK$62),0,1))),_xlpm.p,_xlpm.r-MIN(ROW($BI$15:$BI$62))+1,_xlpm.f,INDEX($BL$15:$BL$62,_xlpm.p),_xlpm.u,INDEX($BM$15:$BM$62,_xlpm.p),_xlpm.s,INDEX($BO$15:$BO$62,_xlpm.p),_xlpm.q,N(AT388)/_xlpm.f,IF(_xlpm.q&gt;=_xlpm.s,ROUND(_xlpm.q,1)&amp;" "&amp;_xlpm.ai_test&amp;" = "&amp;ROUND(_xlpm.q*_xlpm.f,1)&amp;" "&amp;_xlpm.u,ROUND(_xlpm.q,1)&amp;" "&amp;_xlpm.ai_test)),""),""))))</f>
        <v>0</v>
      </c>
      <c r="AW388" s="1047"/>
      <c r="AX388" s="1034">
        <f t="shared" si="155"/>
        <v>0</v>
      </c>
      <c r="AY388" s="1035" t="str">
        <f t="shared" si="156"/>
        <v/>
      </c>
      <c r="AZ388" s="1036">
        <f t="shared" si="161"/>
        <v>0</v>
      </c>
      <c r="BA388" s="1037" t="str">
        <f t="shared" si="157"/>
        <v/>
      </c>
      <c r="BB388" s="1038"/>
      <c r="BC388" s="1039">
        <f t="shared" si="162"/>
        <v>0</v>
      </c>
      <c r="BD388" s="1040" t="str">
        <f t="shared" si="158"/>
        <v/>
      </c>
      <c r="BE388" s="227" t="s">
        <v>22</v>
      </c>
      <c r="BF388" s="1019">
        <f t="shared" si="159"/>
        <v>0</v>
      </c>
      <c r="BG388" s="1020">
        <f t="shared" si="160"/>
        <v>0</v>
      </c>
      <c r="BH388"/>
      <c r="BI388" s="709"/>
      <c r="BJ388" s="709"/>
      <c r="BK388" s="709"/>
      <c r="BL388" s="709"/>
      <c r="BM388" s="709"/>
      <c r="BN388" s="709"/>
      <c r="BO388" s="709"/>
      <c r="BP388" s="709"/>
      <c r="BW388" s="959" t="str">
        <f t="shared" si="141"/>
        <v>►</v>
      </c>
      <c r="BX388" s="856"/>
      <c r="BY388" s="856"/>
      <c r="BZ388" s="856"/>
      <c r="CA388" s="856"/>
      <c r="CB388" s="856"/>
      <c r="DB388" s="3">
        <v>1</v>
      </c>
    </row>
    <row r="389" spans="12:106" ht="21" customHeight="1">
      <c r="L389" s="104" t="s">
        <v>16</v>
      </c>
      <c r="M389" s="1172"/>
      <c r="N389" s="1172"/>
      <c r="O389" s="1172"/>
      <c r="P389" s="1173"/>
      <c r="Q389" s="1174"/>
      <c r="R389" s="1175"/>
      <c r="S389" s="1176"/>
      <c r="T389" s="1177"/>
      <c r="U389" s="5248"/>
      <c r="V389" s="1177"/>
      <c r="W389" s="5249"/>
      <c r="X389" s="5208"/>
      <c r="Y389" s="5209"/>
      <c r="Z389" s="5210"/>
      <c r="AA389" s="5211"/>
      <c r="AB389" s="1178"/>
      <c r="AC389" s="1179"/>
      <c r="AD389" s="227" t="s">
        <v>22</v>
      </c>
      <c r="AE389" s="1027" t="str">
        <f t="shared" si="142"/>
        <v>►</v>
      </c>
      <c r="AF389" s="1028" t="str">
        <f t="shared" si="143"/>
        <v/>
      </c>
      <c r="AG389" s="1029" t="str">
        <f t="shared" si="144"/>
        <v/>
      </c>
      <c r="AH389" s="1028" t="str">
        <f t="shared" si="145"/>
        <v/>
      </c>
      <c r="AI389" s="1029" t="str">
        <f t="shared" si="146"/>
        <v/>
      </c>
      <c r="AJ389" s="1029">
        <f t="shared" si="147"/>
        <v>0</v>
      </c>
      <c r="AK389" s="1043" t="str" cm="1">
        <f t="array" ref="AK389">IF(AE389&lt;&gt;"A","",IFERROR((IFERROR(_xlfn.XLOOKUP(TRIM(SUBSTITUTE(U389,CHAR(160)," ")),$BI$15:$BI$62,$BL$15:$BL$62),IFERROR(_xlfn.XLOOKUP(TRIM(SUBSTITUTE(U389,CHAR(160)," ")),$BJ$15:$BJ$62,$BL$15:$BL$62),_xlfn.XLOOKUP(TRIM(SUBSTITUTE(U389,CHAR(160)," ")),$BK$15:$BK$62,$BL$15:$BL$62))))*T389*IF(ISBLANK(Q389),1,Q389)+IFERROR(_xlfn.XLOOKUP("RECHERCHEX",TRIM(L389:AC389),L389:AC389),0),0))</f>
        <v/>
      </c>
      <c r="AL389" s="1030">
        <f t="shared" si="148"/>
        <v>0</v>
      </c>
      <c r="AM389" s="5254" t="str">
        <f t="shared" si="163"/>
        <v/>
      </c>
      <c r="AN389" s="1031">
        <f t="shared" si="149"/>
        <v>0</v>
      </c>
      <c r="AO389" s="1031">
        <f t="shared" si="150"/>
        <v>0</v>
      </c>
      <c r="AP389" s="1044">
        <f t="shared" si="151"/>
        <v>0</v>
      </c>
      <c r="AQ389" s="5257" t="str">
        <f t="shared" si="152"/>
        <v/>
      </c>
      <c r="AR389" s="1056"/>
      <c r="AS389" s="1056"/>
      <c r="AT389" s="1045">
        <f t="shared" si="153"/>
        <v>0</v>
      </c>
      <c r="AU389" s="1046">
        <f t="shared" si="154"/>
        <v>0</v>
      </c>
      <c r="AV389" s="1059" cm="1">
        <f t="array" ref="AV389">IF(AJ389&lt;&gt;1,0,IF(OR(AT389="",N(AT389)&lt;=0.000000001),"",IF(OR(AN389="",N(AN389)&lt;=0.000000001),0,IF(ISNUMBER(AT389),IFERROR(_xlfn.LET(_xlpm.ai_test,TRIM(AI389),_xlpm.r,IFERROR(_xlfn.XLOOKUP(_xlpm.ai_test,$BI$15:$BI$62,ROW($BI$15:$BI$62),0,1),IFERROR(_xlfn.XLOOKUP(_xlpm.ai_test,$BJ$15:$BJ$62,ROW($BJ$15:$BJ$62),0,1),_xlfn.XLOOKUP(_xlpm.ai_test,$BK$15:$BK$62,ROW($BK$15:$BK$62),0,1))),_xlpm.p,_xlpm.r-MIN(ROW($BI$15:$BI$62))+1,_xlpm.f,INDEX($BL$15:$BL$62,_xlpm.p),_xlpm.u,INDEX($BM$15:$BM$62,_xlpm.p),_xlpm.s,INDEX($BO$15:$BO$62,_xlpm.p),_xlpm.q,N(AT389)/_xlpm.f,IF(_xlpm.q&gt;=_xlpm.s,ROUND(_xlpm.q,1)&amp;" "&amp;_xlpm.ai_test&amp;" = "&amp;ROUND(_xlpm.q*_xlpm.f,1)&amp;" "&amp;_xlpm.u,ROUND(_xlpm.q,1)&amp;" "&amp;_xlpm.ai_test)),""),""))))</f>
        <v>0</v>
      </c>
      <c r="AW389" s="1047"/>
      <c r="AX389" s="1045">
        <f t="shared" si="155"/>
        <v>0</v>
      </c>
      <c r="AY389" s="1046" t="str">
        <f t="shared" si="156"/>
        <v/>
      </c>
      <c r="AZ389" s="1048">
        <f t="shared" si="161"/>
        <v>0</v>
      </c>
      <c r="BA389" s="1049" t="str">
        <f t="shared" si="157"/>
        <v/>
      </c>
      <c r="BB389" s="1038"/>
      <c r="BC389" s="1050">
        <f t="shared" si="162"/>
        <v>0</v>
      </c>
      <c r="BD389" s="1040" t="str">
        <f t="shared" si="158"/>
        <v/>
      </c>
      <c r="BE389" s="227" t="s">
        <v>22</v>
      </c>
      <c r="BF389" s="1019">
        <f t="shared" si="159"/>
        <v>0</v>
      </c>
      <c r="BG389" s="1020">
        <f t="shared" si="160"/>
        <v>0</v>
      </c>
      <c r="BH389"/>
      <c r="BI389" s="709"/>
      <c r="BJ389" s="709"/>
      <c r="BK389" s="709"/>
      <c r="BL389" s="709"/>
      <c r="BM389" s="709"/>
      <c r="BN389" s="709"/>
      <c r="BO389" s="709"/>
      <c r="BP389" s="709"/>
      <c r="BW389" s="959" t="str">
        <f t="shared" ref="BW389:BW452" si="164">AE389</f>
        <v>►</v>
      </c>
      <c r="BX389" s="856"/>
      <c r="BY389" s="856"/>
      <c r="BZ389" s="856"/>
      <c r="CA389" s="856"/>
      <c r="CB389" s="856"/>
      <c r="DB389" s="3">
        <v>1</v>
      </c>
    </row>
    <row r="390" spans="12:106" ht="21" customHeight="1">
      <c r="L390" s="104" t="s">
        <v>16</v>
      </c>
      <c r="M390" s="1172"/>
      <c r="N390" s="1172"/>
      <c r="O390" s="1172"/>
      <c r="P390" s="1173"/>
      <c r="Q390" s="1174"/>
      <c r="R390" s="1175"/>
      <c r="S390" s="1176"/>
      <c r="T390" s="1177"/>
      <c r="U390" s="5248"/>
      <c r="V390" s="1177"/>
      <c r="W390" s="5249"/>
      <c r="X390" s="5208"/>
      <c r="Y390" s="5209"/>
      <c r="Z390" s="5210"/>
      <c r="AA390" s="5211"/>
      <c r="AB390" s="1178"/>
      <c r="AC390" s="1179"/>
      <c r="AD390" s="227" t="s">
        <v>22</v>
      </c>
      <c r="AE390" s="1027" t="str">
        <f t="shared" si="142"/>
        <v>►</v>
      </c>
      <c r="AF390" s="1028" t="str">
        <f t="shared" si="143"/>
        <v/>
      </c>
      <c r="AG390" s="1029" t="str">
        <f t="shared" si="144"/>
        <v/>
      </c>
      <c r="AH390" s="1028" t="str">
        <f t="shared" si="145"/>
        <v/>
      </c>
      <c r="AI390" s="1029" t="str">
        <f t="shared" si="146"/>
        <v/>
      </c>
      <c r="AJ390" s="1029">
        <f t="shared" si="147"/>
        <v>0</v>
      </c>
      <c r="AK390" s="1043" t="str" cm="1">
        <f t="array" ref="AK390">IF(AE390&lt;&gt;"A","",IFERROR((IFERROR(_xlfn.XLOOKUP(TRIM(SUBSTITUTE(U390,CHAR(160)," ")),$BI$15:$BI$62,$BL$15:$BL$62),IFERROR(_xlfn.XLOOKUP(TRIM(SUBSTITUTE(U390,CHAR(160)," ")),$BJ$15:$BJ$62,$BL$15:$BL$62),_xlfn.XLOOKUP(TRIM(SUBSTITUTE(U390,CHAR(160)," ")),$BK$15:$BK$62,$BL$15:$BL$62))))*T390*IF(ISBLANK(Q390),1,Q390)+IFERROR(_xlfn.XLOOKUP("RECHERCHEX",TRIM(L390:AC390),L390:AC390),0),0))</f>
        <v/>
      </c>
      <c r="AL390" s="1030">
        <f t="shared" si="148"/>
        <v>0</v>
      </c>
      <c r="AM390" s="5254" t="str">
        <f t="shared" si="163"/>
        <v/>
      </c>
      <c r="AN390" s="1031">
        <f t="shared" si="149"/>
        <v>0</v>
      </c>
      <c r="AO390" s="1031">
        <f t="shared" si="150"/>
        <v>0</v>
      </c>
      <c r="AP390" s="1032">
        <f t="shared" si="151"/>
        <v>0</v>
      </c>
      <c r="AQ390" s="5255" t="str">
        <f t="shared" si="152"/>
        <v/>
      </c>
      <c r="AR390" s="1056"/>
      <c r="AS390" s="1056"/>
      <c r="AT390" s="1034">
        <f t="shared" si="153"/>
        <v>0</v>
      </c>
      <c r="AU390" s="1035">
        <f t="shared" si="154"/>
        <v>0</v>
      </c>
      <c r="AV390" s="1057" cm="1">
        <f t="array" ref="AV390">IF(AJ390&lt;&gt;1,0,IF(OR(AT390="",N(AT390)&lt;=0.000000001),"",IF(OR(AN390="",N(AN390)&lt;=0.000000001),0,IF(ISNUMBER(AT390),IFERROR(_xlfn.LET(_xlpm.ai_test,TRIM(AI390),_xlpm.r,IFERROR(_xlfn.XLOOKUP(_xlpm.ai_test,$BI$15:$BI$62,ROW($BI$15:$BI$62),0,1),IFERROR(_xlfn.XLOOKUP(_xlpm.ai_test,$BJ$15:$BJ$62,ROW($BJ$15:$BJ$62),0,1),_xlfn.XLOOKUP(_xlpm.ai_test,$BK$15:$BK$62,ROW($BK$15:$BK$62),0,1))),_xlpm.p,_xlpm.r-MIN(ROW($BI$15:$BI$62))+1,_xlpm.f,INDEX($BL$15:$BL$62,_xlpm.p),_xlpm.u,INDEX($BM$15:$BM$62,_xlpm.p),_xlpm.s,INDEX($BO$15:$BO$62,_xlpm.p),_xlpm.q,N(AT390)/_xlpm.f,IF(_xlpm.q&gt;=_xlpm.s,ROUND(_xlpm.q,1)&amp;" "&amp;_xlpm.ai_test&amp;" = "&amp;ROUND(_xlpm.q*_xlpm.f,1)&amp;" "&amp;_xlpm.u,ROUND(_xlpm.q,1)&amp;" "&amp;_xlpm.ai_test)),""),""))))</f>
        <v>0</v>
      </c>
      <c r="AW390" s="1047"/>
      <c r="AX390" s="1034">
        <f t="shared" si="155"/>
        <v>0</v>
      </c>
      <c r="AY390" s="1035" t="str">
        <f t="shared" si="156"/>
        <v/>
      </c>
      <c r="AZ390" s="1036">
        <f t="shared" si="161"/>
        <v>0</v>
      </c>
      <c r="BA390" s="1037" t="str">
        <f t="shared" si="157"/>
        <v/>
      </c>
      <c r="BB390" s="1038"/>
      <c r="BC390" s="1039">
        <f t="shared" si="162"/>
        <v>0</v>
      </c>
      <c r="BD390" s="1040" t="str">
        <f t="shared" si="158"/>
        <v/>
      </c>
      <c r="BE390" s="227" t="s">
        <v>22</v>
      </c>
      <c r="BF390" s="1019">
        <f t="shared" si="159"/>
        <v>0</v>
      </c>
      <c r="BG390" s="1020">
        <f t="shared" si="160"/>
        <v>0</v>
      </c>
      <c r="BH390"/>
      <c r="BI390" s="709"/>
      <c r="BJ390" s="709"/>
      <c r="BK390" s="709"/>
      <c r="BL390" s="709"/>
      <c r="BM390" s="709"/>
      <c r="BN390" s="709"/>
      <c r="BO390" s="709"/>
      <c r="BP390" s="709"/>
      <c r="BW390" s="959" t="str">
        <f t="shared" si="164"/>
        <v>►</v>
      </c>
      <c r="BX390" s="856"/>
      <c r="BY390" s="856"/>
      <c r="BZ390" s="856"/>
      <c r="CA390" s="856"/>
      <c r="CB390" s="856"/>
      <c r="DB390" s="3">
        <v>1</v>
      </c>
    </row>
    <row r="391" spans="12:106" ht="21" customHeight="1">
      <c r="L391" s="104" t="s">
        <v>16</v>
      </c>
      <c r="M391" s="1172"/>
      <c r="N391" s="1172"/>
      <c r="O391" s="1172"/>
      <c r="P391" s="1173"/>
      <c r="Q391" s="1174"/>
      <c r="R391" s="1175"/>
      <c r="S391" s="1176"/>
      <c r="T391" s="1177"/>
      <c r="U391" s="5248"/>
      <c r="V391" s="1177"/>
      <c r="W391" s="5249"/>
      <c r="X391" s="5208"/>
      <c r="Y391" s="5209"/>
      <c r="Z391" s="5210"/>
      <c r="AA391" s="5211"/>
      <c r="AB391" s="1178"/>
      <c r="AC391" s="1179"/>
      <c r="AD391" s="227" t="s">
        <v>22</v>
      </c>
      <c r="AE391" s="1027" t="str">
        <f t="shared" si="142"/>
        <v>►</v>
      </c>
      <c r="AF391" s="1028" t="str">
        <f t="shared" si="143"/>
        <v/>
      </c>
      <c r="AG391" s="1029" t="str">
        <f t="shared" si="144"/>
        <v/>
      </c>
      <c r="AH391" s="1028" t="str">
        <f t="shared" si="145"/>
        <v/>
      </c>
      <c r="AI391" s="1029" t="str">
        <f t="shared" si="146"/>
        <v/>
      </c>
      <c r="AJ391" s="1029">
        <f t="shared" si="147"/>
        <v>0</v>
      </c>
      <c r="AK391" s="1043" t="str" cm="1">
        <f t="array" ref="AK391">IF(AE391&lt;&gt;"A","",IFERROR((IFERROR(_xlfn.XLOOKUP(TRIM(SUBSTITUTE(U391,CHAR(160)," ")),$BI$15:$BI$62,$BL$15:$BL$62),IFERROR(_xlfn.XLOOKUP(TRIM(SUBSTITUTE(U391,CHAR(160)," ")),$BJ$15:$BJ$62,$BL$15:$BL$62),_xlfn.XLOOKUP(TRIM(SUBSTITUTE(U391,CHAR(160)," ")),$BK$15:$BK$62,$BL$15:$BL$62))))*T391*IF(ISBLANK(Q391),1,Q391)+IFERROR(_xlfn.XLOOKUP("RECHERCHEX",TRIM(L391:AC391),L391:AC391),0),0))</f>
        <v/>
      </c>
      <c r="AL391" s="1030">
        <f t="shared" si="148"/>
        <v>0</v>
      </c>
      <c r="AM391" s="5254" t="str">
        <f t="shared" si="163"/>
        <v/>
      </c>
      <c r="AN391" s="1031">
        <f t="shared" si="149"/>
        <v>0</v>
      </c>
      <c r="AO391" s="1031">
        <f t="shared" si="150"/>
        <v>0</v>
      </c>
      <c r="AP391" s="1044">
        <f t="shared" si="151"/>
        <v>0</v>
      </c>
      <c r="AQ391" s="5257" t="str">
        <f t="shared" si="152"/>
        <v/>
      </c>
      <c r="AR391" s="1056"/>
      <c r="AS391" s="1056"/>
      <c r="AT391" s="1045">
        <f t="shared" si="153"/>
        <v>0</v>
      </c>
      <c r="AU391" s="1046">
        <f t="shared" si="154"/>
        <v>0</v>
      </c>
      <c r="AV391" s="1059" cm="1">
        <f t="array" ref="AV391">IF(AJ391&lt;&gt;1,0,IF(OR(AT391="",N(AT391)&lt;=0.000000001),"",IF(OR(AN391="",N(AN391)&lt;=0.000000001),0,IF(ISNUMBER(AT391),IFERROR(_xlfn.LET(_xlpm.ai_test,TRIM(AI391),_xlpm.r,IFERROR(_xlfn.XLOOKUP(_xlpm.ai_test,$BI$15:$BI$62,ROW($BI$15:$BI$62),0,1),IFERROR(_xlfn.XLOOKUP(_xlpm.ai_test,$BJ$15:$BJ$62,ROW($BJ$15:$BJ$62),0,1),_xlfn.XLOOKUP(_xlpm.ai_test,$BK$15:$BK$62,ROW($BK$15:$BK$62),0,1))),_xlpm.p,_xlpm.r-MIN(ROW($BI$15:$BI$62))+1,_xlpm.f,INDEX($BL$15:$BL$62,_xlpm.p),_xlpm.u,INDEX($BM$15:$BM$62,_xlpm.p),_xlpm.s,INDEX($BO$15:$BO$62,_xlpm.p),_xlpm.q,N(AT391)/_xlpm.f,IF(_xlpm.q&gt;=_xlpm.s,ROUND(_xlpm.q,1)&amp;" "&amp;_xlpm.ai_test&amp;" = "&amp;ROUND(_xlpm.q*_xlpm.f,1)&amp;" "&amp;_xlpm.u,ROUND(_xlpm.q,1)&amp;" "&amp;_xlpm.ai_test)),""),""))))</f>
        <v>0</v>
      </c>
      <c r="AW391" s="1047"/>
      <c r="AX391" s="1045">
        <f t="shared" si="155"/>
        <v>0</v>
      </c>
      <c r="AY391" s="1046" t="str">
        <f t="shared" si="156"/>
        <v/>
      </c>
      <c r="AZ391" s="1048">
        <f t="shared" si="161"/>
        <v>0</v>
      </c>
      <c r="BA391" s="1049" t="str">
        <f t="shared" si="157"/>
        <v/>
      </c>
      <c r="BB391" s="1038"/>
      <c r="BC391" s="1050">
        <f t="shared" si="162"/>
        <v>0</v>
      </c>
      <c r="BD391" s="1040" t="str">
        <f t="shared" si="158"/>
        <v/>
      </c>
      <c r="BE391" s="227" t="s">
        <v>22</v>
      </c>
      <c r="BF391" s="1019">
        <f t="shared" si="159"/>
        <v>0</v>
      </c>
      <c r="BG391" s="1020">
        <f t="shared" si="160"/>
        <v>0</v>
      </c>
      <c r="BH391"/>
      <c r="BI391" s="709"/>
      <c r="BJ391" s="709"/>
      <c r="BK391" s="709"/>
      <c r="BL391" s="709"/>
      <c r="BM391" s="709"/>
      <c r="BN391" s="709"/>
      <c r="BO391" s="709"/>
      <c r="BP391" s="709"/>
      <c r="BW391" s="959" t="str">
        <f t="shared" si="164"/>
        <v>►</v>
      </c>
      <c r="BX391" s="856"/>
      <c r="BY391" s="856"/>
      <c r="BZ391" s="856"/>
      <c r="CA391" s="856"/>
      <c r="CB391" s="856"/>
      <c r="DB391" s="3">
        <v>1</v>
      </c>
    </row>
    <row r="392" spans="12:106" ht="21" customHeight="1">
      <c r="L392" s="104" t="s">
        <v>16</v>
      </c>
      <c r="M392" s="1172"/>
      <c r="N392" s="1172"/>
      <c r="O392" s="1172"/>
      <c r="P392" s="1173"/>
      <c r="Q392" s="1174"/>
      <c r="R392" s="1175"/>
      <c r="S392" s="1176"/>
      <c r="T392" s="1177"/>
      <c r="U392" s="5248"/>
      <c r="V392" s="1177"/>
      <c r="W392" s="5249"/>
      <c r="X392" s="5208"/>
      <c r="Y392" s="5209"/>
      <c r="Z392" s="5210"/>
      <c r="AA392" s="5211"/>
      <c r="AB392" s="1178"/>
      <c r="AC392" s="1179"/>
      <c r="AD392" s="227" t="s">
        <v>22</v>
      </c>
      <c r="AE392" s="1027" t="str">
        <f t="shared" si="142"/>
        <v>►</v>
      </c>
      <c r="AF392" s="1028" t="str">
        <f t="shared" si="143"/>
        <v/>
      </c>
      <c r="AG392" s="1029" t="str">
        <f t="shared" si="144"/>
        <v/>
      </c>
      <c r="AH392" s="1028" t="str">
        <f t="shared" si="145"/>
        <v/>
      </c>
      <c r="AI392" s="1029" t="str">
        <f t="shared" si="146"/>
        <v/>
      </c>
      <c r="AJ392" s="1029">
        <f t="shared" si="147"/>
        <v>0</v>
      </c>
      <c r="AK392" s="1043" t="str" cm="1">
        <f t="array" ref="AK392">IF(AE392&lt;&gt;"A","",IFERROR((IFERROR(_xlfn.XLOOKUP(TRIM(SUBSTITUTE(U392,CHAR(160)," ")),$BI$15:$BI$62,$BL$15:$BL$62),IFERROR(_xlfn.XLOOKUP(TRIM(SUBSTITUTE(U392,CHAR(160)," ")),$BJ$15:$BJ$62,$BL$15:$BL$62),_xlfn.XLOOKUP(TRIM(SUBSTITUTE(U392,CHAR(160)," ")),$BK$15:$BK$62,$BL$15:$BL$62))))*T392*IF(ISBLANK(Q392),1,Q392)+IFERROR(_xlfn.XLOOKUP("RECHERCHEX",TRIM(L392:AC392),L392:AC392),0),0))</f>
        <v/>
      </c>
      <c r="AL392" s="1030">
        <f t="shared" si="148"/>
        <v>0</v>
      </c>
      <c r="AM392" s="5254" t="str">
        <f t="shared" si="163"/>
        <v/>
      </c>
      <c r="AN392" s="1031">
        <f t="shared" si="149"/>
        <v>0</v>
      </c>
      <c r="AO392" s="1031">
        <f t="shared" si="150"/>
        <v>0</v>
      </c>
      <c r="AP392" s="1032">
        <f t="shared" si="151"/>
        <v>0</v>
      </c>
      <c r="AQ392" s="5255" t="str">
        <f t="shared" si="152"/>
        <v/>
      </c>
      <c r="AR392" s="1056"/>
      <c r="AS392" s="1056"/>
      <c r="AT392" s="1034">
        <f t="shared" si="153"/>
        <v>0</v>
      </c>
      <c r="AU392" s="1035">
        <f t="shared" si="154"/>
        <v>0</v>
      </c>
      <c r="AV392" s="1057" cm="1">
        <f t="array" ref="AV392">IF(AJ392&lt;&gt;1,0,IF(OR(AT392="",N(AT392)&lt;=0.000000001),"",IF(OR(AN392="",N(AN392)&lt;=0.000000001),0,IF(ISNUMBER(AT392),IFERROR(_xlfn.LET(_xlpm.ai_test,TRIM(AI392),_xlpm.r,IFERROR(_xlfn.XLOOKUP(_xlpm.ai_test,$BI$15:$BI$62,ROW($BI$15:$BI$62),0,1),IFERROR(_xlfn.XLOOKUP(_xlpm.ai_test,$BJ$15:$BJ$62,ROW($BJ$15:$BJ$62),0,1),_xlfn.XLOOKUP(_xlpm.ai_test,$BK$15:$BK$62,ROW($BK$15:$BK$62),0,1))),_xlpm.p,_xlpm.r-MIN(ROW($BI$15:$BI$62))+1,_xlpm.f,INDEX($BL$15:$BL$62,_xlpm.p),_xlpm.u,INDEX($BM$15:$BM$62,_xlpm.p),_xlpm.s,INDEX($BO$15:$BO$62,_xlpm.p),_xlpm.q,N(AT392)/_xlpm.f,IF(_xlpm.q&gt;=_xlpm.s,ROUND(_xlpm.q,1)&amp;" "&amp;_xlpm.ai_test&amp;" = "&amp;ROUND(_xlpm.q*_xlpm.f,1)&amp;" "&amp;_xlpm.u,ROUND(_xlpm.q,1)&amp;" "&amp;_xlpm.ai_test)),""),""))))</f>
        <v>0</v>
      </c>
      <c r="AW392" s="1047"/>
      <c r="AX392" s="1034">
        <f t="shared" si="155"/>
        <v>0</v>
      </c>
      <c r="AY392" s="1035" t="str">
        <f t="shared" si="156"/>
        <v/>
      </c>
      <c r="AZ392" s="1036">
        <f t="shared" si="161"/>
        <v>0</v>
      </c>
      <c r="BA392" s="1037" t="str">
        <f t="shared" si="157"/>
        <v/>
      </c>
      <c r="BB392" s="1038"/>
      <c r="BC392" s="1039">
        <f t="shared" si="162"/>
        <v>0</v>
      </c>
      <c r="BD392" s="1040" t="str">
        <f t="shared" si="158"/>
        <v/>
      </c>
      <c r="BE392" s="227" t="s">
        <v>22</v>
      </c>
      <c r="BF392" s="1019">
        <f t="shared" si="159"/>
        <v>0</v>
      </c>
      <c r="BG392" s="1020">
        <f t="shared" si="160"/>
        <v>0</v>
      </c>
      <c r="BH392"/>
      <c r="BI392" s="709"/>
      <c r="BJ392" s="709"/>
      <c r="BK392" s="709"/>
      <c r="BL392" s="709"/>
      <c r="BM392" s="709"/>
      <c r="BN392" s="709"/>
      <c r="BO392" s="709"/>
      <c r="BP392" s="709"/>
      <c r="BW392" s="959" t="str">
        <f t="shared" si="164"/>
        <v>►</v>
      </c>
      <c r="BX392" s="856"/>
      <c r="BY392" s="856"/>
      <c r="BZ392" s="856"/>
      <c r="CA392" s="856"/>
      <c r="CB392" s="856"/>
      <c r="DB392" s="3">
        <v>1</v>
      </c>
    </row>
    <row r="393" spans="12:106" ht="21" customHeight="1">
      <c r="L393" s="104" t="s">
        <v>16</v>
      </c>
      <c r="M393" s="1172"/>
      <c r="N393" s="1172"/>
      <c r="O393" s="1172"/>
      <c r="P393" s="1173"/>
      <c r="Q393" s="1174"/>
      <c r="R393" s="1175"/>
      <c r="S393" s="1176"/>
      <c r="T393" s="1177"/>
      <c r="U393" s="5248"/>
      <c r="V393" s="1177"/>
      <c r="W393" s="5249"/>
      <c r="X393" s="5208"/>
      <c r="Y393" s="5209"/>
      <c r="Z393" s="5210"/>
      <c r="AA393" s="5211"/>
      <c r="AB393" s="1178"/>
      <c r="AC393" s="1179"/>
      <c r="AD393" s="227" t="s">
        <v>22</v>
      </c>
      <c r="AE393" s="1027" t="str">
        <f t="shared" si="142"/>
        <v>►</v>
      </c>
      <c r="AF393" s="1028" t="str">
        <f t="shared" si="143"/>
        <v/>
      </c>
      <c r="AG393" s="1029" t="str">
        <f t="shared" si="144"/>
        <v/>
      </c>
      <c r="AH393" s="1028" t="str">
        <f t="shared" si="145"/>
        <v/>
      </c>
      <c r="AI393" s="1029" t="str">
        <f t="shared" si="146"/>
        <v/>
      </c>
      <c r="AJ393" s="1029">
        <f t="shared" si="147"/>
        <v>0</v>
      </c>
      <c r="AK393" s="1043" t="str" cm="1">
        <f t="array" ref="AK393">IF(AE393&lt;&gt;"A","",IFERROR((IFERROR(_xlfn.XLOOKUP(TRIM(SUBSTITUTE(U393,CHAR(160)," ")),$BI$15:$BI$62,$BL$15:$BL$62),IFERROR(_xlfn.XLOOKUP(TRIM(SUBSTITUTE(U393,CHAR(160)," ")),$BJ$15:$BJ$62,$BL$15:$BL$62),_xlfn.XLOOKUP(TRIM(SUBSTITUTE(U393,CHAR(160)," ")),$BK$15:$BK$62,$BL$15:$BL$62))))*T393*IF(ISBLANK(Q393),1,Q393)+IFERROR(_xlfn.XLOOKUP("RECHERCHEX",TRIM(L393:AC393),L393:AC393),0),0))</f>
        <v/>
      </c>
      <c r="AL393" s="1030">
        <f t="shared" si="148"/>
        <v>0</v>
      </c>
      <c r="AM393" s="5254" t="str">
        <f t="shared" si="163"/>
        <v/>
      </c>
      <c r="AN393" s="1031">
        <f t="shared" si="149"/>
        <v>0</v>
      </c>
      <c r="AO393" s="1031">
        <f t="shared" si="150"/>
        <v>0</v>
      </c>
      <c r="AP393" s="1044">
        <f t="shared" si="151"/>
        <v>0</v>
      </c>
      <c r="AQ393" s="5257" t="str">
        <f t="shared" si="152"/>
        <v/>
      </c>
      <c r="AR393" s="1056"/>
      <c r="AS393" s="1056"/>
      <c r="AT393" s="1045">
        <f t="shared" si="153"/>
        <v>0</v>
      </c>
      <c r="AU393" s="1046">
        <f t="shared" si="154"/>
        <v>0</v>
      </c>
      <c r="AV393" s="1059" cm="1">
        <f t="array" ref="AV393">IF(AJ393&lt;&gt;1,0,IF(OR(AT393="",N(AT393)&lt;=0.000000001),"",IF(OR(AN393="",N(AN393)&lt;=0.000000001),0,IF(ISNUMBER(AT393),IFERROR(_xlfn.LET(_xlpm.ai_test,TRIM(AI393),_xlpm.r,IFERROR(_xlfn.XLOOKUP(_xlpm.ai_test,$BI$15:$BI$62,ROW($BI$15:$BI$62),0,1),IFERROR(_xlfn.XLOOKUP(_xlpm.ai_test,$BJ$15:$BJ$62,ROW($BJ$15:$BJ$62),0,1),_xlfn.XLOOKUP(_xlpm.ai_test,$BK$15:$BK$62,ROW($BK$15:$BK$62),0,1))),_xlpm.p,_xlpm.r-MIN(ROW($BI$15:$BI$62))+1,_xlpm.f,INDEX($BL$15:$BL$62,_xlpm.p),_xlpm.u,INDEX($BM$15:$BM$62,_xlpm.p),_xlpm.s,INDEX($BO$15:$BO$62,_xlpm.p),_xlpm.q,N(AT393)/_xlpm.f,IF(_xlpm.q&gt;=_xlpm.s,ROUND(_xlpm.q,1)&amp;" "&amp;_xlpm.ai_test&amp;" = "&amp;ROUND(_xlpm.q*_xlpm.f,1)&amp;" "&amp;_xlpm.u,ROUND(_xlpm.q,1)&amp;" "&amp;_xlpm.ai_test)),""),""))))</f>
        <v>0</v>
      </c>
      <c r="AW393" s="1047"/>
      <c r="AX393" s="1045">
        <f t="shared" si="155"/>
        <v>0</v>
      </c>
      <c r="AY393" s="1046" t="str">
        <f t="shared" si="156"/>
        <v/>
      </c>
      <c r="AZ393" s="1048">
        <f t="shared" si="161"/>
        <v>0</v>
      </c>
      <c r="BA393" s="1049" t="str">
        <f t="shared" si="157"/>
        <v/>
      </c>
      <c r="BB393" s="1038"/>
      <c r="BC393" s="1050">
        <f t="shared" si="162"/>
        <v>0</v>
      </c>
      <c r="BD393" s="1040" t="str">
        <f t="shared" si="158"/>
        <v/>
      </c>
      <c r="BE393" s="227" t="s">
        <v>22</v>
      </c>
      <c r="BF393" s="1019">
        <f t="shared" si="159"/>
        <v>0</v>
      </c>
      <c r="BG393" s="1020">
        <f t="shared" si="160"/>
        <v>0</v>
      </c>
      <c r="BH393"/>
      <c r="BI393" s="709"/>
      <c r="BJ393" s="709"/>
      <c r="BK393" s="709"/>
      <c r="BL393" s="709"/>
      <c r="BM393" s="709"/>
      <c r="BN393" s="709"/>
      <c r="BO393" s="709"/>
      <c r="BP393" s="709"/>
      <c r="BW393" s="959" t="str">
        <f t="shared" si="164"/>
        <v>►</v>
      </c>
      <c r="BX393" s="856"/>
      <c r="BY393" s="856"/>
      <c r="BZ393" s="856"/>
      <c r="CA393" s="856"/>
      <c r="CB393" s="856"/>
      <c r="DB393" s="3">
        <v>1</v>
      </c>
    </row>
    <row r="394" spans="12:106" ht="21" customHeight="1">
      <c r="L394" s="104" t="s">
        <v>16</v>
      </c>
      <c r="M394" s="1172"/>
      <c r="N394" s="1172"/>
      <c r="O394" s="1172"/>
      <c r="P394" s="1173"/>
      <c r="Q394" s="1174"/>
      <c r="R394" s="1175"/>
      <c r="S394" s="1176"/>
      <c r="T394" s="1177"/>
      <c r="U394" s="5248"/>
      <c r="V394" s="1177"/>
      <c r="W394" s="5249"/>
      <c r="X394" s="5208"/>
      <c r="Y394" s="5209"/>
      <c r="Z394" s="5210"/>
      <c r="AA394" s="5211"/>
      <c r="AB394" s="1178"/>
      <c r="AC394" s="1179"/>
      <c r="AD394" s="227" t="s">
        <v>22</v>
      </c>
      <c r="AE394" s="1027" t="str">
        <f t="shared" si="142"/>
        <v>►</v>
      </c>
      <c r="AF394" s="1028" t="str">
        <f t="shared" si="143"/>
        <v/>
      </c>
      <c r="AG394" s="1029" t="str">
        <f t="shared" si="144"/>
        <v/>
      </c>
      <c r="AH394" s="1028" t="str">
        <f t="shared" si="145"/>
        <v/>
      </c>
      <c r="AI394" s="1029" t="str">
        <f t="shared" si="146"/>
        <v/>
      </c>
      <c r="AJ394" s="1029">
        <f t="shared" si="147"/>
        <v>0</v>
      </c>
      <c r="AK394" s="1043" t="str" cm="1">
        <f t="array" ref="AK394">IF(AE394&lt;&gt;"A","",IFERROR((IFERROR(_xlfn.XLOOKUP(TRIM(SUBSTITUTE(U394,CHAR(160)," ")),$BI$15:$BI$62,$BL$15:$BL$62),IFERROR(_xlfn.XLOOKUP(TRIM(SUBSTITUTE(U394,CHAR(160)," ")),$BJ$15:$BJ$62,$BL$15:$BL$62),_xlfn.XLOOKUP(TRIM(SUBSTITUTE(U394,CHAR(160)," ")),$BK$15:$BK$62,$BL$15:$BL$62))))*T394*IF(ISBLANK(Q394),1,Q394)+IFERROR(_xlfn.XLOOKUP("RECHERCHEX",TRIM(L394:AC394),L394:AC394),0),0))</f>
        <v/>
      </c>
      <c r="AL394" s="1030">
        <f t="shared" si="148"/>
        <v>0</v>
      </c>
      <c r="AM394" s="5254" t="str">
        <f t="shared" si="163"/>
        <v/>
      </c>
      <c r="AN394" s="1031">
        <f t="shared" si="149"/>
        <v>0</v>
      </c>
      <c r="AO394" s="1031">
        <f t="shared" si="150"/>
        <v>0</v>
      </c>
      <c r="AP394" s="1032">
        <f t="shared" si="151"/>
        <v>0</v>
      </c>
      <c r="AQ394" s="5255" t="str">
        <f t="shared" si="152"/>
        <v/>
      </c>
      <c r="AR394" s="1056"/>
      <c r="AS394" s="1056"/>
      <c r="AT394" s="1034">
        <f t="shared" si="153"/>
        <v>0</v>
      </c>
      <c r="AU394" s="1035">
        <f t="shared" si="154"/>
        <v>0</v>
      </c>
      <c r="AV394" s="1057" cm="1">
        <f t="array" ref="AV394">IF(AJ394&lt;&gt;1,0,IF(OR(AT394="",N(AT394)&lt;=0.000000001),"",IF(OR(AN394="",N(AN394)&lt;=0.000000001),0,IF(ISNUMBER(AT394),IFERROR(_xlfn.LET(_xlpm.ai_test,TRIM(AI394),_xlpm.r,IFERROR(_xlfn.XLOOKUP(_xlpm.ai_test,$BI$15:$BI$62,ROW($BI$15:$BI$62),0,1),IFERROR(_xlfn.XLOOKUP(_xlpm.ai_test,$BJ$15:$BJ$62,ROW($BJ$15:$BJ$62),0,1),_xlfn.XLOOKUP(_xlpm.ai_test,$BK$15:$BK$62,ROW($BK$15:$BK$62),0,1))),_xlpm.p,_xlpm.r-MIN(ROW($BI$15:$BI$62))+1,_xlpm.f,INDEX($BL$15:$BL$62,_xlpm.p),_xlpm.u,INDEX($BM$15:$BM$62,_xlpm.p),_xlpm.s,INDEX($BO$15:$BO$62,_xlpm.p),_xlpm.q,N(AT394)/_xlpm.f,IF(_xlpm.q&gt;=_xlpm.s,ROUND(_xlpm.q,1)&amp;" "&amp;_xlpm.ai_test&amp;" = "&amp;ROUND(_xlpm.q*_xlpm.f,1)&amp;" "&amp;_xlpm.u,ROUND(_xlpm.q,1)&amp;" "&amp;_xlpm.ai_test)),""),""))))</f>
        <v>0</v>
      </c>
      <c r="AW394" s="1047"/>
      <c r="AX394" s="1034">
        <f t="shared" si="155"/>
        <v>0</v>
      </c>
      <c r="AY394" s="1035" t="str">
        <f t="shared" si="156"/>
        <v/>
      </c>
      <c r="AZ394" s="1036">
        <f t="shared" si="161"/>
        <v>0</v>
      </c>
      <c r="BA394" s="1037" t="str">
        <f t="shared" si="157"/>
        <v/>
      </c>
      <c r="BB394" s="1038"/>
      <c r="BC394" s="1039">
        <f t="shared" si="162"/>
        <v>0</v>
      </c>
      <c r="BD394" s="1040" t="str">
        <f t="shared" si="158"/>
        <v/>
      </c>
      <c r="BE394" s="227" t="s">
        <v>22</v>
      </c>
      <c r="BF394" s="1019">
        <f t="shared" si="159"/>
        <v>0</v>
      </c>
      <c r="BG394" s="1020">
        <f t="shared" si="160"/>
        <v>0</v>
      </c>
      <c r="BH394"/>
      <c r="BI394" s="709"/>
      <c r="BJ394" s="709"/>
      <c r="BK394" s="709"/>
      <c r="BL394" s="709"/>
      <c r="BM394" s="709"/>
      <c r="BN394" s="709"/>
      <c r="BO394" s="709"/>
      <c r="BP394" s="709"/>
      <c r="BW394" s="959" t="str">
        <f t="shared" si="164"/>
        <v>►</v>
      </c>
      <c r="BX394" s="856"/>
      <c r="BY394" s="856"/>
      <c r="BZ394" s="856"/>
      <c r="CA394" s="856"/>
      <c r="CB394" s="856"/>
      <c r="DB394" s="3">
        <v>1</v>
      </c>
    </row>
    <row r="395" spans="12:106" ht="21" customHeight="1">
      <c r="L395" s="104" t="s">
        <v>16</v>
      </c>
      <c r="M395" s="1172"/>
      <c r="N395" s="1172"/>
      <c r="O395" s="1172"/>
      <c r="P395" s="1173"/>
      <c r="Q395" s="1174"/>
      <c r="R395" s="1175"/>
      <c r="S395" s="1176"/>
      <c r="T395" s="1177"/>
      <c r="U395" s="5248"/>
      <c r="V395" s="1177"/>
      <c r="W395" s="5249"/>
      <c r="X395" s="5208"/>
      <c r="Y395" s="5209"/>
      <c r="Z395" s="5210"/>
      <c r="AA395" s="5211"/>
      <c r="AB395" s="1178"/>
      <c r="AC395" s="1179"/>
      <c r="AD395" s="227" t="s">
        <v>22</v>
      </c>
      <c r="AE395" s="1027" t="str">
        <f t="shared" si="142"/>
        <v>►</v>
      </c>
      <c r="AF395" s="1028" t="str">
        <f t="shared" si="143"/>
        <v/>
      </c>
      <c r="AG395" s="1029" t="str">
        <f t="shared" si="144"/>
        <v/>
      </c>
      <c r="AH395" s="1028" t="str">
        <f t="shared" si="145"/>
        <v/>
      </c>
      <c r="AI395" s="1029" t="str">
        <f t="shared" si="146"/>
        <v/>
      </c>
      <c r="AJ395" s="1029">
        <f t="shared" si="147"/>
        <v>0</v>
      </c>
      <c r="AK395" s="1043" t="str" cm="1">
        <f t="array" ref="AK395">IF(AE395&lt;&gt;"A","",IFERROR((IFERROR(_xlfn.XLOOKUP(TRIM(SUBSTITUTE(U395,CHAR(160)," ")),$BI$15:$BI$62,$BL$15:$BL$62),IFERROR(_xlfn.XLOOKUP(TRIM(SUBSTITUTE(U395,CHAR(160)," ")),$BJ$15:$BJ$62,$BL$15:$BL$62),_xlfn.XLOOKUP(TRIM(SUBSTITUTE(U395,CHAR(160)," ")),$BK$15:$BK$62,$BL$15:$BL$62))))*T395*IF(ISBLANK(Q395),1,Q395)+IFERROR(_xlfn.XLOOKUP("RECHERCHEX",TRIM(L395:AC395),L395:AC395),0),0))</f>
        <v/>
      </c>
      <c r="AL395" s="1030">
        <f t="shared" si="148"/>
        <v>0</v>
      </c>
      <c r="AM395" s="5254" t="str">
        <f t="shared" si="163"/>
        <v/>
      </c>
      <c r="AN395" s="1031">
        <f t="shared" si="149"/>
        <v>0</v>
      </c>
      <c r="AO395" s="1031">
        <f t="shared" si="150"/>
        <v>0</v>
      </c>
      <c r="AP395" s="1044">
        <f t="shared" si="151"/>
        <v>0</v>
      </c>
      <c r="AQ395" s="5257" t="str">
        <f t="shared" si="152"/>
        <v/>
      </c>
      <c r="AR395" s="1056"/>
      <c r="AS395" s="1056"/>
      <c r="AT395" s="1045">
        <f t="shared" si="153"/>
        <v>0</v>
      </c>
      <c r="AU395" s="1046">
        <f t="shared" si="154"/>
        <v>0</v>
      </c>
      <c r="AV395" s="1059" cm="1">
        <f t="array" ref="AV395">IF(AJ395&lt;&gt;1,0,IF(OR(AT395="",N(AT395)&lt;=0.000000001),"",IF(OR(AN395="",N(AN395)&lt;=0.000000001),0,IF(ISNUMBER(AT395),IFERROR(_xlfn.LET(_xlpm.ai_test,TRIM(AI395),_xlpm.r,IFERROR(_xlfn.XLOOKUP(_xlpm.ai_test,$BI$15:$BI$62,ROW($BI$15:$BI$62),0,1),IFERROR(_xlfn.XLOOKUP(_xlpm.ai_test,$BJ$15:$BJ$62,ROW($BJ$15:$BJ$62),0,1),_xlfn.XLOOKUP(_xlpm.ai_test,$BK$15:$BK$62,ROW($BK$15:$BK$62),0,1))),_xlpm.p,_xlpm.r-MIN(ROW($BI$15:$BI$62))+1,_xlpm.f,INDEX($BL$15:$BL$62,_xlpm.p),_xlpm.u,INDEX($BM$15:$BM$62,_xlpm.p),_xlpm.s,INDEX($BO$15:$BO$62,_xlpm.p),_xlpm.q,N(AT395)/_xlpm.f,IF(_xlpm.q&gt;=_xlpm.s,ROUND(_xlpm.q,1)&amp;" "&amp;_xlpm.ai_test&amp;" = "&amp;ROUND(_xlpm.q*_xlpm.f,1)&amp;" "&amp;_xlpm.u,ROUND(_xlpm.q,1)&amp;" "&amp;_xlpm.ai_test)),""),""))))</f>
        <v>0</v>
      </c>
      <c r="AW395" s="1047"/>
      <c r="AX395" s="1045">
        <f t="shared" si="155"/>
        <v>0</v>
      </c>
      <c r="AY395" s="1046" t="str">
        <f t="shared" si="156"/>
        <v/>
      </c>
      <c r="AZ395" s="1048">
        <f t="shared" si="161"/>
        <v>0</v>
      </c>
      <c r="BA395" s="1049" t="str">
        <f t="shared" si="157"/>
        <v/>
      </c>
      <c r="BB395" s="1038"/>
      <c r="BC395" s="1050">
        <f t="shared" si="162"/>
        <v>0</v>
      </c>
      <c r="BD395" s="1040" t="str">
        <f t="shared" si="158"/>
        <v/>
      </c>
      <c r="BE395" s="227" t="s">
        <v>22</v>
      </c>
      <c r="BF395" s="1019">
        <f t="shared" si="159"/>
        <v>0</v>
      </c>
      <c r="BG395" s="1020">
        <f t="shared" si="160"/>
        <v>0</v>
      </c>
      <c r="BH395"/>
      <c r="BI395" s="709"/>
      <c r="BJ395" s="709"/>
      <c r="BK395" s="709"/>
      <c r="BL395" s="709"/>
      <c r="BM395" s="709"/>
      <c r="BN395" s="709"/>
      <c r="BO395" s="709"/>
      <c r="BP395" s="709"/>
      <c r="BW395" s="959" t="str">
        <f t="shared" si="164"/>
        <v>►</v>
      </c>
      <c r="BX395" s="856"/>
      <c r="BY395" s="856"/>
      <c r="BZ395" s="856"/>
      <c r="CA395" s="856"/>
      <c r="CB395" s="856"/>
      <c r="DB395" s="3">
        <v>1</v>
      </c>
    </row>
    <row r="396" spans="12:106" ht="21" customHeight="1">
      <c r="L396" s="104" t="s">
        <v>16</v>
      </c>
      <c r="M396" s="1172"/>
      <c r="N396" s="1172"/>
      <c r="O396" s="1172"/>
      <c r="P396" s="1173"/>
      <c r="Q396" s="1174"/>
      <c r="R396" s="1175"/>
      <c r="S396" s="1176"/>
      <c r="T396" s="1177"/>
      <c r="U396" s="5248"/>
      <c r="V396" s="1177"/>
      <c r="W396" s="5249"/>
      <c r="X396" s="5208"/>
      <c r="Y396" s="5209"/>
      <c r="Z396" s="5210"/>
      <c r="AA396" s="5211"/>
      <c r="AB396" s="1178"/>
      <c r="AC396" s="1179"/>
      <c r="AD396" s="227" t="s">
        <v>22</v>
      </c>
      <c r="AE396" s="1027" t="str">
        <f t="shared" si="142"/>
        <v>►</v>
      </c>
      <c r="AF396" s="1028" t="str">
        <f t="shared" si="143"/>
        <v/>
      </c>
      <c r="AG396" s="1029" t="str">
        <f t="shared" si="144"/>
        <v/>
      </c>
      <c r="AH396" s="1028" t="str">
        <f t="shared" si="145"/>
        <v/>
      </c>
      <c r="AI396" s="1029" t="str">
        <f t="shared" si="146"/>
        <v/>
      </c>
      <c r="AJ396" s="1029">
        <f t="shared" si="147"/>
        <v>0</v>
      </c>
      <c r="AK396" s="1043" t="str" cm="1">
        <f t="array" ref="AK396">IF(AE396&lt;&gt;"A","",IFERROR((IFERROR(_xlfn.XLOOKUP(TRIM(SUBSTITUTE(U396,CHAR(160)," ")),$BI$15:$BI$62,$BL$15:$BL$62),IFERROR(_xlfn.XLOOKUP(TRIM(SUBSTITUTE(U396,CHAR(160)," ")),$BJ$15:$BJ$62,$BL$15:$BL$62),_xlfn.XLOOKUP(TRIM(SUBSTITUTE(U396,CHAR(160)," ")),$BK$15:$BK$62,$BL$15:$BL$62))))*T396*IF(ISBLANK(Q396),1,Q396)+IFERROR(_xlfn.XLOOKUP("RECHERCHEX",TRIM(L396:AC396),L396:AC396),0),0))</f>
        <v/>
      </c>
      <c r="AL396" s="1030">
        <f t="shared" si="148"/>
        <v>0</v>
      </c>
      <c r="AM396" s="5254" t="str">
        <f t="shared" si="163"/>
        <v/>
      </c>
      <c r="AN396" s="1031">
        <f t="shared" si="149"/>
        <v>0</v>
      </c>
      <c r="AO396" s="1031">
        <f t="shared" si="150"/>
        <v>0</v>
      </c>
      <c r="AP396" s="1032">
        <f t="shared" si="151"/>
        <v>0</v>
      </c>
      <c r="AQ396" s="5255" t="str">
        <f t="shared" si="152"/>
        <v/>
      </c>
      <c r="AR396" s="1056"/>
      <c r="AS396" s="1056"/>
      <c r="AT396" s="1034">
        <f t="shared" si="153"/>
        <v>0</v>
      </c>
      <c r="AU396" s="1035">
        <f t="shared" si="154"/>
        <v>0</v>
      </c>
      <c r="AV396" s="1057" cm="1">
        <f t="array" ref="AV396">IF(AJ396&lt;&gt;1,0,IF(OR(AT396="",N(AT396)&lt;=0.000000001),"",IF(OR(AN396="",N(AN396)&lt;=0.000000001),0,IF(ISNUMBER(AT396),IFERROR(_xlfn.LET(_xlpm.ai_test,TRIM(AI396),_xlpm.r,IFERROR(_xlfn.XLOOKUP(_xlpm.ai_test,$BI$15:$BI$62,ROW($BI$15:$BI$62),0,1),IFERROR(_xlfn.XLOOKUP(_xlpm.ai_test,$BJ$15:$BJ$62,ROW($BJ$15:$BJ$62),0,1),_xlfn.XLOOKUP(_xlpm.ai_test,$BK$15:$BK$62,ROW($BK$15:$BK$62),0,1))),_xlpm.p,_xlpm.r-MIN(ROW($BI$15:$BI$62))+1,_xlpm.f,INDEX($BL$15:$BL$62,_xlpm.p),_xlpm.u,INDEX($BM$15:$BM$62,_xlpm.p),_xlpm.s,INDEX($BO$15:$BO$62,_xlpm.p),_xlpm.q,N(AT396)/_xlpm.f,IF(_xlpm.q&gt;=_xlpm.s,ROUND(_xlpm.q,1)&amp;" "&amp;_xlpm.ai_test&amp;" = "&amp;ROUND(_xlpm.q*_xlpm.f,1)&amp;" "&amp;_xlpm.u,ROUND(_xlpm.q,1)&amp;" "&amp;_xlpm.ai_test)),""),""))))</f>
        <v>0</v>
      </c>
      <c r="AW396" s="1047"/>
      <c r="AX396" s="1034">
        <f t="shared" si="155"/>
        <v>0</v>
      </c>
      <c r="AY396" s="1035" t="str">
        <f t="shared" si="156"/>
        <v/>
      </c>
      <c r="AZ396" s="1036">
        <f t="shared" si="161"/>
        <v>0</v>
      </c>
      <c r="BA396" s="1037" t="str">
        <f t="shared" si="157"/>
        <v/>
      </c>
      <c r="BB396" s="1038"/>
      <c r="BC396" s="1039">
        <f t="shared" si="162"/>
        <v>0</v>
      </c>
      <c r="BD396" s="1040" t="str">
        <f t="shared" si="158"/>
        <v/>
      </c>
      <c r="BE396" s="227" t="s">
        <v>22</v>
      </c>
      <c r="BF396" s="1019">
        <f t="shared" si="159"/>
        <v>0</v>
      </c>
      <c r="BG396" s="1020">
        <f t="shared" si="160"/>
        <v>0</v>
      </c>
      <c r="BH396"/>
      <c r="BI396" s="709"/>
      <c r="BJ396" s="709"/>
      <c r="BK396" s="709"/>
      <c r="BL396" s="709"/>
      <c r="BM396" s="709"/>
      <c r="BN396" s="709"/>
      <c r="BO396" s="709"/>
      <c r="BP396" s="709"/>
      <c r="BW396" s="959" t="str">
        <f t="shared" si="164"/>
        <v>►</v>
      </c>
      <c r="BX396" s="856"/>
      <c r="BY396" s="856"/>
      <c r="BZ396" s="856"/>
      <c r="CA396" s="856"/>
      <c r="CB396" s="856"/>
      <c r="DB396" s="3">
        <v>1</v>
      </c>
    </row>
    <row r="397" spans="12:106" ht="21" customHeight="1">
      <c r="L397" s="104" t="s">
        <v>16</v>
      </c>
      <c r="M397" s="1172"/>
      <c r="N397" s="1172"/>
      <c r="O397" s="1172"/>
      <c r="P397" s="1173"/>
      <c r="Q397" s="1174"/>
      <c r="R397" s="1175"/>
      <c r="S397" s="1176"/>
      <c r="T397" s="1177"/>
      <c r="U397" s="5248"/>
      <c r="V397" s="1177"/>
      <c r="W397" s="5249"/>
      <c r="X397" s="5208"/>
      <c r="Y397" s="5209"/>
      <c r="Z397" s="5210"/>
      <c r="AA397" s="5211"/>
      <c r="AB397" s="1178"/>
      <c r="AC397" s="1179"/>
      <c r="AD397" s="227" t="s">
        <v>22</v>
      </c>
      <c r="AE397" s="1027" t="str">
        <f t="shared" si="142"/>
        <v>►</v>
      </c>
      <c r="AF397" s="1028" t="str">
        <f t="shared" si="143"/>
        <v/>
      </c>
      <c r="AG397" s="1029" t="str">
        <f t="shared" si="144"/>
        <v/>
      </c>
      <c r="AH397" s="1028" t="str">
        <f t="shared" si="145"/>
        <v/>
      </c>
      <c r="AI397" s="1029" t="str">
        <f t="shared" si="146"/>
        <v/>
      </c>
      <c r="AJ397" s="1029">
        <f t="shared" si="147"/>
        <v>0</v>
      </c>
      <c r="AK397" s="1043" t="str" cm="1">
        <f t="array" ref="AK397">IF(AE397&lt;&gt;"A","",IFERROR((IFERROR(_xlfn.XLOOKUP(TRIM(SUBSTITUTE(U397,CHAR(160)," ")),$BI$15:$BI$62,$BL$15:$BL$62),IFERROR(_xlfn.XLOOKUP(TRIM(SUBSTITUTE(U397,CHAR(160)," ")),$BJ$15:$BJ$62,$BL$15:$BL$62),_xlfn.XLOOKUP(TRIM(SUBSTITUTE(U397,CHAR(160)," ")),$BK$15:$BK$62,$BL$15:$BL$62))))*T397*IF(ISBLANK(Q397),1,Q397)+IFERROR(_xlfn.XLOOKUP("RECHERCHEX",TRIM(L397:AC397),L397:AC397),0),0))</f>
        <v/>
      </c>
      <c r="AL397" s="1030">
        <f t="shared" si="148"/>
        <v>0</v>
      </c>
      <c r="AM397" s="5254" t="str">
        <f t="shared" si="163"/>
        <v/>
      </c>
      <c r="AN397" s="1031">
        <f t="shared" si="149"/>
        <v>0</v>
      </c>
      <c r="AO397" s="1031">
        <f t="shared" si="150"/>
        <v>0</v>
      </c>
      <c r="AP397" s="1044">
        <f t="shared" si="151"/>
        <v>0</v>
      </c>
      <c r="AQ397" s="5257" t="str">
        <f t="shared" si="152"/>
        <v/>
      </c>
      <c r="AR397" s="1056"/>
      <c r="AS397" s="1056"/>
      <c r="AT397" s="1045">
        <f t="shared" si="153"/>
        <v>0</v>
      </c>
      <c r="AU397" s="1046">
        <f t="shared" si="154"/>
        <v>0</v>
      </c>
      <c r="AV397" s="1059" cm="1">
        <f t="array" ref="AV397">IF(AJ397&lt;&gt;1,0,IF(OR(AT397="",N(AT397)&lt;=0.000000001),"",IF(OR(AN397="",N(AN397)&lt;=0.000000001),0,IF(ISNUMBER(AT397),IFERROR(_xlfn.LET(_xlpm.ai_test,TRIM(AI397),_xlpm.r,IFERROR(_xlfn.XLOOKUP(_xlpm.ai_test,$BI$15:$BI$62,ROW($BI$15:$BI$62),0,1),IFERROR(_xlfn.XLOOKUP(_xlpm.ai_test,$BJ$15:$BJ$62,ROW($BJ$15:$BJ$62),0,1),_xlfn.XLOOKUP(_xlpm.ai_test,$BK$15:$BK$62,ROW($BK$15:$BK$62),0,1))),_xlpm.p,_xlpm.r-MIN(ROW($BI$15:$BI$62))+1,_xlpm.f,INDEX($BL$15:$BL$62,_xlpm.p),_xlpm.u,INDEX($BM$15:$BM$62,_xlpm.p),_xlpm.s,INDEX($BO$15:$BO$62,_xlpm.p),_xlpm.q,N(AT397)/_xlpm.f,IF(_xlpm.q&gt;=_xlpm.s,ROUND(_xlpm.q,1)&amp;" "&amp;_xlpm.ai_test&amp;" = "&amp;ROUND(_xlpm.q*_xlpm.f,1)&amp;" "&amp;_xlpm.u,ROUND(_xlpm.q,1)&amp;" "&amp;_xlpm.ai_test)),""),""))))</f>
        <v>0</v>
      </c>
      <c r="AW397" s="1047"/>
      <c r="AX397" s="1045">
        <f t="shared" si="155"/>
        <v>0</v>
      </c>
      <c r="AY397" s="1046" t="str">
        <f t="shared" si="156"/>
        <v/>
      </c>
      <c r="AZ397" s="1048">
        <f t="shared" si="161"/>
        <v>0</v>
      </c>
      <c r="BA397" s="1049" t="str">
        <f t="shared" si="157"/>
        <v/>
      </c>
      <c r="BB397" s="1038"/>
      <c r="BC397" s="1050">
        <f t="shared" si="162"/>
        <v>0</v>
      </c>
      <c r="BD397" s="1040" t="str">
        <f t="shared" si="158"/>
        <v/>
      </c>
      <c r="BE397" s="227" t="s">
        <v>22</v>
      </c>
      <c r="BF397" s="1019">
        <f t="shared" si="159"/>
        <v>0</v>
      </c>
      <c r="BG397" s="1020">
        <f t="shared" si="160"/>
        <v>0</v>
      </c>
      <c r="BH397"/>
      <c r="BI397" s="709"/>
      <c r="BJ397" s="709"/>
      <c r="BK397" s="709"/>
      <c r="BL397" s="709"/>
      <c r="BM397" s="709"/>
      <c r="BN397" s="709"/>
      <c r="BO397" s="709"/>
      <c r="BP397" s="709"/>
      <c r="BW397" s="959" t="str">
        <f t="shared" si="164"/>
        <v>►</v>
      </c>
      <c r="BX397" s="856"/>
      <c r="BY397" s="856"/>
      <c r="BZ397" s="856"/>
      <c r="CA397" s="856"/>
      <c r="CB397" s="856"/>
      <c r="DB397" s="3">
        <v>1</v>
      </c>
    </row>
    <row r="398" spans="12:106" ht="21" customHeight="1">
      <c r="L398" s="104" t="s">
        <v>16</v>
      </c>
      <c r="M398" s="1172"/>
      <c r="N398" s="1172"/>
      <c r="O398" s="1172"/>
      <c r="P398" s="1173"/>
      <c r="Q398" s="1174"/>
      <c r="R398" s="1175"/>
      <c r="S398" s="1176"/>
      <c r="T398" s="1177"/>
      <c r="U398" s="5248"/>
      <c r="V398" s="1177"/>
      <c r="W398" s="5249"/>
      <c r="X398" s="5208"/>
      <c r="Y398" s="5209"/>
      <c r="Z398" s="5210"/>
      <c r="AA398" s="5211"/>
      <c r="AB398" s="1178"/>
      <c r="AC398" s="1179"/>
      <c r="AD398" s="227" t="s">
        <v>22</v>
      </c>
      <c r="AE398" s="1027" t="str">
        <f t="shared" si="142"/>
        <v>►</v>
      </c>
      <c r="AF398" s="1028" t="str">
        <f t="shared" si="143"/>
        <v/>
      </c>
      <c r="AG398" s="1029" t="str">
        <f t="shared" si="144"/>
        <v/>
      </c>
      <c r="AH398" s="1028" t="str">
        <f t="shared" si="145"/>
        <v/>
      </c>
      <c r="AI398" s="1029" t="str">
        <f t="shared" si="146"/>
        <v/>
      </c>
      <c r="AJ398" s="1029">
        <f t="shared" si="147"/>
        <v>0</v>
      </c>
      <c r="AK398" s="1043" t="str" cm="1">
        <f t="array" ref="AK398">IF(AE398&lt;&gt;"A","",IFERROR((IFERROR(_xlfn.XLOOKUP(TRIM(SUBSTITUTE(U398,CHAR(160)," ")),$BI$15:$BI$62,$BL$15:$BL$62),IFERROR(_xlfn.XLOOKUP(TRIM(SUBSTITUTE(U398,CHAR(160)," ")),$BJ$15:$BJ$62,$BL$15:$BL$62),_xlfn.XLOOKUP(TRIM(SUBSTITUTE(U398,CHAR(160)," ")),$BK$15:$BK$62,$BL$15:$BL$62))))*T398*IF(ISBLANK(Q398),1,Q398)+IFERROR(_xlfn.XLOOKUP("RECHERCHEX",TRIM(L398:AC398),L398:AC398),0),0))</f>
        <v/>
      </c>
      <c r="AL398" s="1030">
        <f t="shared" si="148"/>
        <v>0</v>
      </c>
      <c r="AM398" s="5254" t="str">
        <f t="shared" si="163"/>
        <v/>
      </c>
      <c r="AN398" s="1031">
        <f t="shared" si="149"/>
        <v>0</v>
      </c>
      <c r="AO398" s="1031">
        <f t="shared" si="150"/>
        <v>0</v>
      </c>
      <c r="AP398" s="1032">
        <f t="shared" si="151"/>
        <v>0</v>
      </c>
      <c r="AQ398" s="5255" t="str">
        <f t="shared" si="152"/>
        <v/>
      </c>
      <c r="AR398" s="1056"/>
      <c r="AS398" s="1056"/>
      <c r="AT398" s="1034">
        <f t="shared" si="153"/>
        <v>0</v>
      </c>
      <c r="AU398" s="1035">
        <f t="shared" si="154"/>
        <v>0</v>
      </c>
      <c r="AV398" s="1057" cm="1">
        <f t="array" ref="AV398">IF(AJ398&lt;&gt;1,0,IF(OR(AT398="",N(AT398)&lt;=0.000000001),"",IF(OR(AN398="",N(AN398)&lt;=0.000000001),0,IF(ISNUMBER(AT398),IFERROR(_xlfn.LET(_xlpm.ai_test,TRIM(AI398),_xlpm.r,IFERROR(_xlfn.XLOOKUP(_xlpm.ai_test,$BI$15:$BI$62,ROW($BI$15:$BI$62),0,1),IFERROR(_xlfn.XLOOKUP(_xlpm.ai_test,$BJ$15:$BJ$62,ROW($BJ$15:$BJ$62),0,1),_xlfn.XLOOKUP(_xlpm.ai_test,$BK$15:$BK$62,ROW($BK$15:$BK$62),0,1))),_xlpm.p,_xlpm.r-MIN(ROW($BI$15:$BI$62))+1,_xlpm.f,INDEX($BL$15:$BL$62,_xlpm.p),_xlpm.u,INDEX($BM$15:$BM$62,_xlpm.p),_xlpm.s,INDEX($BO$15:$BO$62,_xlpm.p),_xlpm.q,N(AT398)/_xlpm.f,IF(_xlpm.q&gt;=_xlpm.s,ROUND(_xlpm.q,1)&amp;" "&amp;_xlpm.ai_test&amp;" = "&amp;ROUND(_xlpm.q*_xlpm.f,1)&amp;" "&amp;_xlpm.u,ROUND(_xlpm.q,1)&amp;" "&amp;_xlpm.ai_test)),""),""))))</f>
        <v>0</v>
      </c>
      <c r="AW398" s="1047"/>
      <c r="AX398" s="1034">
        <f t="shared" si="155"/>
        <v>0</v>
      </c>
      <c r="AY398" s="1035" t="str">
        <f t="shared" si="156"/>
        <v/>
      </c>
      <c r="AZ398" s="1036">
        <f t="shared" si="161"/>
        <v>0</v>
      </c>
      <c r="BA398" s="1037" t="str">
        <f t="shared" si="157"/>
        <v/>
      </c>
      <c r="BB398" s="1038"/>
      <c r="BC398" s="1039">
        <f t="shared" si="162"/>
        <v>0</v>
      </c>
      <c r="BD398" s="1040" t="str">
        <f t="shared" si="158"/>
        <v/>
      </c>
      <c r="BE398" s="227" t="s">
        <v>22</v>
      </c>
      <c r="BF398" s="1019">
        <f t="shared" si="159"/>
        <v>0</v>
      </c>
      <c r="BG398" s="1020">
        <f t="shared" si="160"/>
        <v>0</v>
      </c>
      <c r="BH398"/>
      <c r="BI398" s="709"/>
      <c r="BJ398" s="709"/>
      <c r="BK398" s="709"/>
      <c r="BL398" s="709"/>
      <c r="BM398" s="709"/>
      <c r="BN398" s="709"/>
      <c r="BO398" s="709"/>
      <c r="BP398" s="709"/>
      <c r="BW398" s="959" t="str">
        <f t="shared" si="164"/>
        <v>►</v>
      </c>
      <c r="BX398" s="856"/>
      <c r="BY398" s="856"/>
      <c r="BZ398" s="856"/>
      <c r="CA398" s="856"/>
      <c r="CB398" s="856"/>
      <c r="DB398" s="3">
        <v>1</v>
      </c>
    </row>
    <row r="399" spans="12:106" ht="21" customHeight="1">
      <c r="L399" s="104" t="s">
        <v>16</v>
      </c>
      <c r="M399" s="1172"/>
      <c r="N399" s="1172"/>
      <c r="O399" s="1172"/>
      <c r="P399" s="1173"/>
      <c r="Q399" s="1174"/>
      <c r="R399" s="1175"/>
      <c r="S399" s="1176"/>
      <c r="T399" s="1177"/>
      <c r="U399" s="5248"/>
      <c r="V399" s="1177"/>
      <c r="W399" s="5249"/>
      <c r="X399" s="5208"/>
      <c r="Y399" s="5209"/>
      <c r="Z399" s="5210"/>
      <c r="AA399" s="5211"/>
      <c r="AB399" s="1178"/>
      <c r="AC399" s="1179"/>
      <c r="AD399" s="227" t="s">
        <v>22</v>
      </c>
      <c r="AE399" s="1027" t="str">
        <f t="shared" si="142"/>
        <v>►</v>
      </c>
      <c r="AF399" s="1028" t="str">
        <f t="shared" si="143"/>
        <v/>
      </c>
      <c r="AG399" s="1029" t="str">
        <f t="shared" si="144"/>
        <v/>
      </c>
      <c r="AH399" s="1028" t="str">
        <f t="shared" si="145"/>
        <v/>
      </c>
      <c r="AI399" s="1029" t="str">
        <f t="shared" si="146"/>
        <v/>
      </c>
      <c r="AJ399" s="1029">
        <f t="shared" si="147"/>
        <v>0</v>
      </c>
      <c r="AK399" s="1043" t="str" cm="1">
        <f t="array" ref="AK399">IF(AE399&lt;&gt;"A","",IFERROR((IFERROR(_xlfn.XLOOKUP(TRIM(SUBSTITUTE(U399,CHAR(160)," ")),$BI$15:$BI$62,$BL$15:$BL$62),IFERROR(_xlfn.XLOOKUP(TRIM(SUBSTITUTE(U399,CHAR(160)," ")),$BJ$15:$BJ$62,$BL$15:$BL$62),_xlfn.XLOOKUP(TRIM(SUBSTITUTE(U399,CHAR(160)," ")),$BK$15:$BK$62,$BL$15:$BL$62))))*T399*IF(ISBLANK(Q399),1,Q399)+IFERROR(_xlfn.XLOOKUP("RECHERCHEX",TRIM(L399:AC399),L399:AC399),0),0))</f>
        <v/>
      </c>
      <c r="AL399" s="1030">
        <f t="shared" si="148"/>
        <v>0</v>
      </c>
      <c r="AM399" s="5254" t="str">
        <f t="shared" si="163"/>
        <v/>
      </c>
      <c r="AN399" s="1031">
        <f t="shared" si="149"/>
        <v>0</v>
      </c>
      <c r="AO399" s="1031">
        <f t="shared" si="150"/>
        <v>0</v>
      </c>
      <c r="AP399" s="1044">
        <f t="shared" si="151"/>
        <v>0</v>
      </c>
      <c r="AQ399" s="5257" t="str">
        <f t="shared" si="152"/>
        <v/>
      </c>
      <c r="AR399" s="1056"/>
      <c r="AS399" s="1056"/>
      <c r="AT399" s="1045">
        <f t="shared" si="153"/>
        <v>0</v>
      </c>
      <c r="AU399" s="1046">
        <f t="shared" si="154"/>
        <v>0</v>
      </c>
      <c r="AV399" s="1059" cm="1">
        <f t="array" ref="AV399">IF(AJ399&lt;&gt;1,0,IF(OR(AT399="",N(AT399)&lt;=0.000000001),"",IF(OR(AN399="",N(AN399)&lt;=0.000000001),0,IF(ISNUMBER(AT399),IFERROR(_xlfn.LET(_xlpm.ai_test,TRIM(AI399),_xlpm.r,IFERROR(_xlfn.XLOOKUP(_xlpm.ai_test,$BI$15:$BI$62,ROW($BI$15:$BI$62),0,1),IFERROR(_xlfn.XLOOKUP(_xlpm.ai_test,$BJ$15:$BJ$62,ROW($BJ$15:$BJ$62),0,1),_xlfn.XLOOKUP(_xlpm.ai_test,$BK$15:$BK$62,ROW($BK$15:$BK$62),0,1))),_xlpm.p,_xlpm.r-MIN(ROW($BI$15:$BI$62))+1,_xlpm.f,INDEX($BL$15:$BL$62,_xlpm.p),_xlpm.u,INDEX($BM$15:$BM$62,_xlpm.p),_xlpm.s,INDEX($BO$15:$BO$62,_xlpm.p),_xlpm.q,N(AT399)/_xlpm.f,IF(_xlpm.q&gt;=_xlpm.s,ROUND(_xlpm.q,1)&amp;" "&amp;_xlpm.ai_test&amp;" = "&amp;ROUND(_xlpm.q*_xlpm.f,1)&amp;" "&amp;_xlpm.u,ROUND(_xlpm.q,1)&amp;" "&amp;_xlpm.ai_test)),""),""))))</f>
        <v>0</v>
      </c>
      <c r="AW399" s="1047"/>
      <c r="AX399" s="1045">
        <f t="shared" si="155"/>
        <v>0</v>
      </c>
      <c r="AY399" s="1046" t="str">
        <f t="shared" si="156"/>
        <v/>
      </c>
      <c r="AZ399" s="1048">
        <f t="shared" si="161"/>
        <v>0</v>
      </c>
      <c r="BA399" s="1049" t="str">
        <f t="shared" si="157"/>
        <v/>
      </c>
      <c r="BB399" s="1038"/>
      <c r="BC399" s="1050">
        <f t="shared" si="162"/>
        <v>0</v>
      </c>
      <c r="BD399" s="1040" t="str">
        <f t="shared" si="158"/>
        <v/>
      </c>
      <c r="BE399" s="227" t="s">
        <v>22</v>
      </c>
      <c r="BF399" s="1019">
        <f t="shared" si="159"/>
        <v>0</v>
      </c>
      <c r="BG399" s="1020">
        <f t="shared" si="160"/>
        <v>0</v>
      </c>
      <c r="BH399"/>
      <c r="BI399" s="709"/>
      <c r="BJ399" s="709"/>
      <c r="BK399" s="709"/>
      <c r="BL399" s="709"/>
      <c r="BM399" s="709"/>
      <c r="BN399" s="709"/>
      <c r="BO399" s="709"/>
      <c r="BP399" s="709"/>
      <c r="BW399" s="959" t="str">
        <f t="shared" si="164"/>
        <v>►</v>
      </c>
      <c r="BX399" s="856"/>
      <c r="BY399" s="856"/>
      <c r="BZ399" s="856"/>
      <c r="CA399" s="856"/>
      <c r="CB399" s="856"/>
      <c r="DB399" s="3">
        <v>1</v>
      </c>
    </row>
    <row r="400" spans="12:106" ht="21" customHeight="1">
      <c r="L400" s="104" t="s">
        <v>16</v>
      </c>
      <c r="M400" s="1172"/>
      <c r="N400" s="1172"/>
      <c r="O400" s="1172"/>
      <c r="P400" s="1173"/>
      <c r="Q400" s="1174"/>
      <c r="R400" s="1175"/>
      <c r="S400" s="1176"/>
      <c r="T400" s="1177"/>
      <c r="U400" s="5248"/>
      <c r="V400" s="1177"/>
      <c r="W400" s="5249"/>
      <c r="X400" s="5208"/>
      <c r="Y400" s="5209"/>
      <c r="Z400" s="5210"/>
      <c r="AA400" s="5211"/>
      <c r="AB400" s="1178"/>
      <c r="AC400" s="1179"/>
      <c r="AD400" s="227" t="s">
        <v>22</v>
      </c>
      <c r="AE400" s="1027" t="str">
        <f t="shared" si="142"/>
        <v>►</v>
      </c>
      <c r="AF400" s="1028" t="str">
        <f t="shared" si="143"/>
        <v/>
      </c>
      <c r="AG400" s="1029" t="str">
        <f t="shared" si="144"/>
        <v/>
      </c>
      <c r="AH400" s="1028" t="str">
        <f t="shared" si="145"/>
        <v/>
      </c>
      <c r="AI400" s="1029" t="str">
        <f t="shared" si="146"/>
        <v/>
      </c>
      <c r="AJ400" s="1029">
        <f t="shared" si="147"/>
        <v>0</v>
      </c>
      <c r="AK400" s="1043" t="str" cm="1">
        <f t="array" ref="AK400">IF(AE400&lt;&gt;"A","",IFERROR((IFERROR(_xlfn.XLOOKUP(TRIM(SUBSTITUTE(U400,CHAR(160)," ")),$BI$15:$BI$62,$BL$15:$BL$62),IFERROR(_xlfn.XLOOKUP(TRIM(SUBSTITUTE(U400,CHAR(160)," ")),$BJ$15:$BJ$62,$BL$15:$BL$62),_xlfn.XLOOKUP(TRIM(SUBSTITUTE(U400,CHAR(160)," ")),$BK$15:$BK$62,$BL$15:$BL$62))))*T400*IF(ISBLANK(Q400),1,Q400)+IFERROR(_xlfn.XLOOKUP("RECHERCHEX",TRIM(L400:AC400),L400:AC400),0),0))</f>
        <v/>
      </c>
      <c r="AL400" s="1030">
        <f t="shared" si="148"/>
        <v>0</v>
      </c>
      <c r="AM400" s="5254" t="str">
        <f t="shared" si="163"/>
        <v/>
      </c>
      <c r="AN400" s="1031">
        <f t="shared" si="149"/>
        <v>0</v>
      </c>
      <c r="AO400" s="1031">
        <f t="shared" si="150"/>
        <v>0</v>
      </c>
      <c r="AP400" s="1032">
        <f t="shared" si="151"/>
        <v>0</v>
      </c>
      <c r="AQ400" s="5255" t="str">
        <f t="shared" si="152"/>
        <v/>
      </c>
      <c r="AR400" s="1056"/>
      <c r="AS400" s="1056"/>
      <c r="AT400" s="1034">
        <f t="shared" si="153"/>
        <v>0</v>
      </c>
      <c r="AU400" s="1035">
        <f t="shared" si="154"/>
        <v>0</v>
      </c>
      <c r="AV400" s="1057" cm="1">
        <f t="array" ref="AV400">IF(AJ400&lt;&gt;1,0,IF(OR(AT400="",N(AT400)&lt;=0.000000001),"",IF(OR(AN400="",N(AN400)&lt;=0.000000001),0,IF(ISNUMBER(AT400),IFERROR(_xlfn.LET(_xlpm.ai_test,TRIM(AI400),_xlpm.r,IFERROR(_xlfn.XLOOKUP(_xlpm.ai_test,$BI$15:$BI$62,ROW($BI$15:$BI$62),0,1),IFERROR(_xlfn.XLOOKUP(_xlpm.ai_test,$BJ$15:$BJ$62,ROW($BJ$15:$BJ$62),0,1),_xlfn.XLOOKUP(_xlpm.ai_test,$BK$15:$BK$62,ROW($BK$15:$BK$62),0,1))),_xlpm.p,_xlpm.r-MIN(ROW($BI$15:$BI$62))+1,_xlpm.f,INDEX($BL$15:$BL$62,_xlpm.p),_xlpm.u,INDEX($BM$15:$BM$62,_xlpm.p),_xlpm.s,INDEX($BO$15:$BO$62,_xlpm.p),_xlpm.q,N(AT400)/_xlpm.f,IF(_xlpm.q&gt;=_xlpm.s,ROUND(_xlpm.q,1)&amp;" "&amp;_xlpm.ai_test&amp;" = "&amp;ROUND(_xlpm.q*_xlpm.f,1)&amp;" "&amp;_xlpm.u,ROUND(_xlpm.q,1)&amp;" "&amp;_xlpm.ai_test)),""),""))))</f>
        <v>0</v>
      </c>
      <c r="AW400" s="1047"/>
      <c r="AX400" s="1034">
        <f t="shared" si="155"/>
        <v>0</v>
      </c>
      <c r="AY400" s="1035" t="str">
        <f t="shared" si="156"/>
        <v/>
      </c>
      <c r="AZ400" s="1036">
        <f t="shared" si="161"/>
        <v>0</v>
      </c>
      <c r="BA400" s="1037" t="str">
        <f t="shared" si="157"/>
        <v/>
      </c>
      <c r="BB400" s="1038"/>
      <c r="BC400" s="1039">
        <f t="shared" si="162"/>
        <v>0</v>
      </c>
      <c r="BD400" s="1040" t="str">
        <f t="shared" si="158"/>
        <v/>
      </c>
      <c r="BE400" s="227" t="s">
        <v>22</v>
      </c>
      <c r="BF400" s="1019">
        <f t="shared" si="159"/>
        <v>0</v>
      </c>
      <c r="BG400" s="1020">
        <f t="shared" si="160"/>
        <v>0</v>
      </c>
      <c r="BH400"/>
      <c r="BI400" s="709"/>
      <c r="BJ400" s="709"/>
      <c r="BK400" s="709"/>
      <c r="BL400" s="709"/>
      <c r="BM400" s="709"/>
      <c r="BN400" s="709"/>
      <c r="BO400" s="709"/>
      <c r="BP400" s="709"/>
      <c r="BW400" s="959" t="str">
        <f t="shared" si="164"/>
        <v>►</v>
      </c>
      <c r="BX400" s="856"/>
      <c r="BY400" s="856"/>
      <c r="BZ400" s="856"/>
      <c r="CA400" s="856"/>
      <c r="CB400" s="856"/>
      <c r="DB400" s="3">
        <v>1</v>
      </c>
    </row>
    <row r="401" spans="12:106" ht="21" customHeight="1">
      <c r="L401" s="104" t="s">
        <v>16</v>
      </c>
      <c r="M401" s="1172"/>
      <c r="N401" s="1172"/>
      <c r="O401" s="1172"/>
      <c r="P401" s="1173"/>
      <c r="Q401" s="1174"/>
      <c r="R401" s="1175"/>
      <c r="S401" s="1176"/>
      <c r="T401" s="1177"/>
      <c r="U401" s="5248"/>
      <c r="V401" s="1177"/>
      <c r="W401" s="5249"/>
      <c r="X401" s="5208"/>
      <c r="Y401" s="5209"/>
      <c r="Z401" s="5210"/>
      <c r="AA401" s="5211"/>
      <c r="AB401" s="1178"/>
      <c r="AC401" s="1179"/>
      <c r="AD401" s="227" t="s">
        <v>22</v>
      </c>
      <c r="AE401" s="1027" t="str">
        <f t="shared" si="142"/>
        <v>►</v>
      </c>
      <c r="AF401" s="1028" t="str">
        <f t="shared" si="143"/>
        <v/>
      </c>
      <c r="AG401" s="1029" t="str">
        <f t="shared" si="144"/>
        <v/>
      </c>
      <c r="AH401" s="1028" t="str">
        <f t="shared" si="145"/>
        <v/>
      </c>
      <c r="AI401" s="1029" t="str">
        <f t="shared" si="146"/>
        <v/>
      </c>
      <c r="AJ401" s="1029">
        <f t="shared" si="147"/>
        <v>0</v>
      </c>
      <c r="AK401" s="1043" t="str" cm="1">
        <f t="array" ref="AK401">IF(AE401&lt;&gt;"A","",IFERROR((IFERROR(_xlfn.XLOOKUP(TRIM(SUBSTITUTE(U401,CHAR(160)," ")),$BI$15:$BI$62,$BL$15:$BL$62),IFERROR(_xlfn.XLOOKUP(TRIM(SUBSTITUTE(U401,CHAR(160)," ")),$BJ$15:$BJ$62,$BL$15:$BL$62),_xlfn.XLOOKUP(TRIM(SUBSTITUTE(U401,CHAR(160)," ")),$BK$15:$BK$62,$BL$15:$BL$62))))*T401*IF(ISBLANK(Q401),1,Q401)+IFERROR(_xlfn.XLOOKUP("RECHERCHEX",TRIM(L401:AC401),L401:AC401),0),0))</f>
        <v/>
      </c>
      <c r="AL401" s="1030">
        <f t="shared" si="148"/>
        <v>0</v>
      </c>
      <c r="AM401" s="5254" t="str">
        <f t="shared" si="163"/>
        <v/>
      </c>
      <c r="AN401" s="1031">
        <f t="shared" si="149"/>
        <v>0</v>
      </c>
      <c r="AO401" s="1031">
        <f t="shared" si="150"/>
        <v>0</v>
      </c>
      <c r="AP401" s="1044">
        <f t="shared" si="151"/>
        <v>0</v>
      </c>
      <c r="AQ401" s="5257" t="str">
        <f t="shared" si="152"/>
        <v/>
      </c>
      <c r="AR401" s="1056"/>
      <c r="AS401" s="1056"/>
      <c r="AT401" s="1045">
        <f t="shared" si="153"/>
        <v>0</v>
      </c>
      <c r="AU401" s="1046">
        <f t="shared" si="154"/>
        <v>0</v>
      </c>
      <c r="AV401" s="1059" cm="1">
        <f t="array" ref="AV401">IF(AJ401&lt;&gt;1,0,IF(OR(AT401="",N(AT401)&lt;=0.000000001),"",IF(OR(AN401="",N(AN401)&lt;=0.000000001),0,IF(ISNUMBER(AT401),IFERROR(_xlfn.LET(_xlpm.ai_test,TRIM(AI401),_xlpm.r,IFERROR(_xlfn.XLOOKUP(_xlpm.ai_test,$BI$15:$BI$62,ROW($BI$15:$BI$62),0,1),IFERROR(_xlfn.XLOOKUP(_xlpm.ai_test,$BJ$15:$BJ$62,ROW($BJ$15:$BJ$62),0,1),_xlfn.XLOOKUP(_xlpm.ai_test,$BK$15:$BK$62,ROW($BK$15:$BK$62),0,1))),_xlpm.p,_xlpm.r-MIN(ROW($BI$15:$BI$62))+1,_xlpm.f,INDEX($BL$15:$BL$62,_xlpm.p),_xlpm.u,INDEX($BM$15:$BM$62,_xlpm.p),_xlpm.s,INDEX($BO$15:$BO$62,_xlpm.p),_xlpm.q,N(AT401)/_xlpm.f,IF(_xlpm.q&gt;=_xlpm.s,ROUND(_xlpm.q,1)&amp;" "&amp;_xlpm.ai_test&amp;" = "&amp;ROUND(_xlpm.q*_xlpm.f,1)&amp;" "&amp;_xlpm.u,ROUND(_xlpm.q,1)&amp;" "&amp;_xlpm.ai_test)),""),""))))</f>
        <v>0</v>
      </c>
      <c r="AW401" s="1047"/>
      <c r="AX401" s="1045">
        <f t="shared" si="155"/>
        <v>0</v>
      </c>
      <c r="AY401" s="1046" t="str">
        <f t="shared" si="156"/>
        <v/>
      </c>
      <c r="AZ401" s="1048">
        <f t="shared" si="161"/>
        <v>0</v>
      </c>
      <c r="BA401" s="1049" t="str">
        <f t="shared" si="157"/>
        <v/>
      </c>
      <c r="BB401" s="1038"/>
      <c r="BC401" s="1050">
        <f t="shared" si="162"/>
        <v>0</v>
      </c>
      <c r="BD401" s="1040" t="str">
        <f t="shared" si="158"/>
        <v/>
      </c>
      <c r="BE401" s="227" t="s">
        <v>22</v>
      </c>
      <c r="BF401" s="1019">
        <f t="shared" si="159"/>
        <v>0</v>
      </c>
      <c r="BG401" s="1020">
        <f t="shared" si="160"/>
        <v>0</v>
      </c>
      <c r="BH401"/>
      <c r="BI401" s="709"/>
      <c r="BJ401" s="709"/>
      <c r="BK401" s="709"/>
      <c r="BL401" s="709"/>
      <c r="BM401" s="709"/>
      <c r="BN401" s="709"/>
      <c r="BO401" s="709"/>
      <c r="BP401" s="709"/>
      <c r="BW401" s="959" t="str">
        <f t="shared" si="164"/>
        <v>►</v>
      </c>
      <c r="BX401" s="856"/>
      <c r="BY401" s="856"/>
      <c r="BZ401" s="856"/>
      <c r="CA401" s="856"/>
      <c r="CB401" s="856"/>
      <c r="DB401" s="3">
        <v>1</v>
      </c>
    </row>
    <row r="402" spans="12:106" ht="21" customHeight="1">
      <c r="L402" s="104" t="s">
        <v>16</v>
      </c>
      <c r="M402" s="1172"/>
      <c r="N402" s="1172"/>
      <c r="O402" s="1172"/>
      <c r="P402" s="1173"/>
      <c r="Q402" s="1174"/>
      <c r="R402" s="1175"/>
      <c r="S402" s="1176"/>
      <c r="T402" s="1177"/>
      <c r="U402" s="5248"/>
      <c r="V402" s="1177"/>
      <c r="W402" s="5249"/>
      <c r="X402" s="5208"/>
      <c r="Y402" s="5209"/>
      <c r="Z402" s="5210"/>
      <c r="AA402" s="5211"/>
      <c r="AB402" s="1178"/>
      <c r="AC402" s="1179"/>
      <c r="AD402" s="227" t="s">
        <v>22</v>
      </c>
      <c r="AE402" s="1027" t="str">
        <f t="shared" si="142"/>
        <v>►</v>
      </c>
      <c r="AF402" s="1028" t="str">
        <f t="shared" si="143"/>
        <v/>
      </c>
      <c r="AG402" s="1029" t="str">
        <f t="shared" si="144"/>
        <v/>
      </c>
      <c r="AH402" s="1028" t="str">
        <f t="shared" si="145"/>
        <v/>
      </c>
      <c r="AI402" s="1029" t="str">
        <f t="shared" si="146"/>
        <v/>
      </c>
      <c r="AJ402" s="1029">
        <f t="shared" si="147"/>
        <v>0</v>
      </c>
      <c r="AK402" s="1043" t="str" cm="1">
        <f t="array" ref="AK402">IF(AE402&lt;&gt;"A","",IFERROR((IFERROR(_xlfn.XLOOKUP(TRIM(SUBSTITUTE(U402,CHAR(160)," ")),$BI$15:$BI$62,$BL$15:$BL$62),IFERROR(_xlfn.XLOOKUP(TRIM(SUBSTITUTE(U402,CHAR(160)," ")),$BJ$15:$BJ$62,$BL$15:$BL$62),_xlfn.XLOOKUP(TRIM(SUBSTITUTE(U402,CHAR(160)," ")),$BK$15:$BK$62,$BL$15:$BL$62))))*T402*IF(ISBLANK(Q402),1,Q402)+IFERROR(_xlfn.XLOOKUP("RECHERCHEX",TRIM(L402:AC402),L402:AC402),0),0))</f>
        <v/>
      </c>
      <c r="AL402" s="1030">
        <f t="shared" si="148"/>
        <v>0</v>
      </c>
      <c r="AM402" s="5254" t="str">
        <f t="shared" si="163"/>
        <v/>
      </c>
      <c r="AN402" s="1031">
        <f t="shared" si="149"/>
        <v>0</v>
      </c>
      <c r="AO402" s="1031">
        <f t="shared" si="150"/>
        <v>0</v>
      </c>
      <c r="AP402" s="1032">
        <f t="shared" si="151"/>
        <v>0</v>
      </c>
      <c r="AQ402" s="5255" t="str">
        <f t="shared" si="152"/>
        <v/>
      </c>
      <c r="AR402" s="1056"/>
      <c r="AS402" s="1056"/>
      <c r="AT402" s="1034">
        <f t="shared" si="153"/>
        <v>0</v>
      </c>
      <c r="AU402" s="1035">
        <f t="shared" si="154"/>
        <v>0</v>
      </c>
      <c r="AV402" s="1057" cm="1">
        <f t="array" ref="AV402">IF(AJ402&lt;&gt;1,0,IF(OR(AT402="",N(AT402)&lt;=0.000000001),"",IF(OR(AN402="",N(AN402)&lt;=0.000000001),0,IF(ISNUMBER(AT402),IFERROR(_xlfn.LET(_xlpm.ai_test,TRIM(AI402),_xlpm.r,IFERROR(_xlfn.XLOOKUP(_xlpm.ai_test,$BI$15:$BI$62,ROW($BI$15:$BI$62),0,1),IFERROR(_xlfn.XLOOKUP(_xlpm.ai_test,$BJ$15:$BJ$62,ROW($BJ$15:$BJ$62),0,1),_xlfn.XLOOKUP(_xlpm.ai_test,$BK$15:$BK$62,ROW($BK$15:$BK$62),0,1))),_xlpm.p,_xlpm.r-MIN(ROW($BI$15:$BI$62))+1,_xlpm.f,INDEX($BL$15:$BL$62,_xlpm.p),_xlpm.u,INDEX($BM$15:$BM$62,_xlpm.p),_xlpm.s,INDEX($BO$15:$BO$62,_xlpm.p),_xlpm.q,N(AT402)/_xlpm.f,IF(_xlpm.q&gt;=_xlpm.s,ROUND(_xlpm.q,1)&amp;" "&amp;_xlpm.ai_test&amp;" = "&amp;ROUND(_xlpm.q*_xlpm.f,1)&amp;" "&amp;_xlpm.u,ROUND(_xlpm.q,1)&amp;" "&amp;_xlpm.ai_test)),""),""))))</f>
        <v>0</v>
      </c>
      <c r="AW402" s="1047"/>
      <c r="AX402" s="1034">
        <f t="shared" si="155"/>
        <v>0</v>
      </c>
      <c r="AY402" s="1035" t="str">
        <f t="shared" si="156"/>
        <v/>
      </c>
      <c r="AZ402" s="1036">
        <f t="shared" si="161"/>
        <v>0</v>
      </c>
      <c r="BA402" s="1037" t="str">
        <f t="shared" si="157"/>
        <v/>
      </c>
      <c r="BB402" s="1038"/>
      <c r="BC402" s="1039">
        <f t="shared" si="162"/>
        <v>0</v>
      </c>
      <c r="BD402" s="1040" t="str">
        <f t="shared" si="158"/>
        <v/>
      </c>
      <c r="BE402" s="227" t="s">
        <v>22</v>
      </c>
      <c r="BF402" s="1019">
        <f t="shared" si="159"/>
        <v>0</v>
      </c>
      <c r="BG402" s="1020">
        <f t="shared" si="160"/>
        <v>0</v>
      </c>
      <c r="BH402"/>
      <c r="BI402" s="709"/>
      <c r="BJ402" s="709"/>
      <c r="BK402" s="709"/>
      <c r="BL402" s="709"/>
      <c r="BM402" s="709"/>
      <c r="BN402" s="709"/>
      <c r="BO402" s="709"/>
      <c r="BP402" s="709"/>
      <c r="BW402" s="959" t="str">
        <f t="shared" si="164"/>
        <v>►</v>
      </c>
      <c r="BX402" s="856"/>
      <c r="BY402" s="856"/>
      <c r="BZ402" s="856"/>
      <c r="CA402" s="856"/>
      <c r="CB402" s="856"/>
      <c r="DB402" s="3">
        <v>1</v>
      </c>
    </row>
    <row r="403" spans="12:106" ht="21" customHeight="1">
      <c r="L403" s="104" t="s">
        <v>16</v>
      </c>
      <c r="M403" s="1172"/>
      <c r="N403" s="1172"/>
      <c r="O403" s="1172"/>
      <c r="P403" s="1173"/>
      <c r="Q403" s="1174"/>
      <c r="R403" s="1175"/>
      <c r="S403" s="1176"/>
      <c r="T403" s="1177"/>
      <c r="U403" s="5248"/>
      <c r="V403" s="1177"/>
      <c r="W403" s="5249"/>
      <c r="X403" s="5208"/>
      <c r="Y403" s="5209"/>
      <c r="Z403" s="5210"/>
      <c r="AA403" s="5211"/>
      <c r="AB403" s="1178"/>
      <c r="AC403" s="1179"/>
      <c r="AD403" s="227" t="s">
        <v>22</v>
      </c>
      <c r="AE403" s="1027" t="str">
        <f t="shared" si="142"/>
        <v>►</v>
      </c>
      <c r="AF403" s="1028" t="str">
        <f t="shared" si="143"/>
        <v/>
      </c>
      <c r="AG403" s="1029" t="str">
        <f t="shared" si="144"/>
        <v/>
      </c>
      <c r="AH403" s="1028" t="str">
        <f t="shared" si="145"/>
        <v/>
      </c>
      <c r="AI403" s="1029" t="str">
        <f t="shared" si="146"/>
        <v/>
      </c>
      <c r="AJ403" s="1029">
        <f t="shared" si="147"/>
        <v>0</v>
      </c>
      <c r="AK403" s="1043" t="str" cm="1">
        <f t="array" ref="AK403">IF(AE403&lt;&gt;"A","",IFERROR((IFERROR(_xlfn.XLOOKUP(TRIM(SUBSTITUTE(U403,CHAR(160)," ")),$BI$15:$BI$62,$BL$15:$BL$62),IFERROR(_xlfn.XLOOKUP(TRIM(SUBSTITUTE(U403,CHAR(160)," ")),$BJ$15:$BJ$62,$BL$15:$BL$62),_xlfn.XLOOKUP(TRIM(SUBSTITUTE(U403,CHAR(160)," ")),$BK$15:$BK$62,$BL$15:$BL$62))))*T403*IF(ISBLANK(Q403),1,Q403)+IFERROR(_xlfn.XLOOKUP("RECHERCHEX",TRIM(L403:AC403),L403:AC403),0),0))</f>
        <v/>
      </c>
      <c r="AL403" s="1030">
        <f t="shared" si="148"/>
        <v>0</v>
      </c>
      <c r="AM403" s="5254" t="str">
        <f t="shared" si="163"/>
        <v/>
      </c>
      <c r="AN403" s="1031">
        <f t="shared" si="149"/>
        <v>0</v>
      </c>
      <c r="AO403" s="1031">
        <f t="shared" si="150"/>
        <v>0</v>
      </c>
      <c r="AP403" s="1044">
        <f t="shared" si="151"/>
        <v>0</v>
      </c>
      <c r="AQ403" s="5257" t="str">
        <f t="shared" si="152"/>
        <v/>
      </c>
      <c r="AR403" s="1056"/>
      <c r="AS403" s="1056"/>
      <c r="AT403" s="1045">
        <f t="shared" si="153"/>
        <v>0</v>
      </c>
      <c r="AU403" s="1046">
        <f t="shared" si="154"/>
        <v>0</v>
      </c>
      <c r="AV403" s="1059" cm="1">
        <f t="array" ref="AV403">IF(AJ403&lt;&gt;1,0,IF(OR(AT403="",N(AT403)&lt;=0.000000001),"",IF(OR(AN403="",N(AN403)&lt;=0.000000001),0,IF(ISNUMBER(AT403),IFERROR(_xlfn.LET(_xlpm.ai_test,TRIM(AI403),_xlpm.r,IFERROR(_xlfn.XLOOKUP(_xlpm.ai_test,$BI$15:$BI$62,ROW($BI$15:$BI$62),0,1),IFERROR(_xlfn.XLOOKUP(_xlpm.ai_test,$BJ$15:$BJ$62,ROW($BJ$15:$BJ$62),0,1),_xlfn.XLOOKUP(_xlpm.ai_test,$BK$15:$BK$62,ROW($BK$15:$BK$62),0,1))),_xlpm.p,_xlpm.r-MIN(ROW($BI$15:$BI$62))+1,_xlpm.f,INDEX($BL$15:$BL$62,_xlpm.p),_xlpm.u,INDEX($BM$15:$BM$62,_xlpm.p),_xlpm.s,INDEX($BO$15:$BO$62,_xlpm.p),_xlpm.q,N(AT403)/_xlpm.f,IF(_xlpm.q&gt;=_xlpm.s,ROUND(_xlpm.q,1)&amp;" "&amp;_xlpm.ai_test&amp;" = "&amp;ROUND(_xlpm.q*_xlpm.f,1)&amp;" "&amp;_xlpm.u,ROUND(_xlpm.q,1)&amp;" "&amp;_xlpm.ai_test)),""),""))))</f>
        <v>0</v>
      </c>
      <c r="AW403" s="1047"/>
      <c r="AX403" s="1045">
        <f t="shared" si="155"/>
        <v>0</v>
      </c>
      <c r="AY403" s="1046" t="str">
        <f t="shared" si="156"/>
        <v/>
      </c>
      <c r="AZ403" s="1048">
        <f t="shared" si="161"/>
        <v>0</v>
      </c>
      <c r="BA403" s="1049" t="str">
        <f t="shared" si="157"/>
        <v/>
      </c>
      <c r="BB403" s="1038"/>
      <c r="BC403" s="1050">
        <f t="shared" si="162"/>
        <v>0</v>
      </c>
      <c r="BD403" s="1040" t="str">
        <f t="shared" si="158"/>
        <v/>
      </c>
      <c r="BE403" s="227" t="s">
        <v>22</v>
      </c>
      <c r="BF403" s="1019">
        <f t="shared" si="159"/>
        <v>0</v>
      </c>
      <c r="BG403" s="1020">
        <f t="shared" si="160"/>
        <v>0</v>
      </c>
      <c r="BH403"/>
      <c r="BI403" s="709"/>
      <c r="BJ403" s="709"/>
      <c r="BK403" s="709"/>
      <c r="BL403" s="709"/>
      <c r="BM403" s="709"/>
      <c r="BN403" s="709"/>
      <c r="BO403" s="709"/>
      <c r="BP403" s="709"/>
      <c r="BW403" s="959" t="str">
        <f t="shared" si="164"/>
        <v>►</v>
      </c>
      <c r="BX403" s="856"/>
      <c r="BY403" s="856"/>
      <c r="BZ403" s="856"/>
      <c r="CA403" s="856"/>
      <c r="CB403" s="856"/>
      <c r="DB403" s="3">
        <v>1</v>
      </c>
    </row>
    <row r="404" spans="12:106" ht="21" customHeight="1">
      <c r="L404" s="104" t="s">
        <v>16</v>
      </c>
      <c r="M404" s="1172"/>
      <c r="N404" s="1172"/>
      <c r="O404" s="1172"/>
      <c r="P404" s="1173"/>
      <c r="Q404" s="1174"/>
      <c r="R404" s="1175"/>
      <c r="S404" s="1176"/>
      <c r="T404" s="1177"/>
      <c r="U404" s="5248"/>
      <c r="V404" s="1177"/>
      <c r="W404" s="5249"/>
      <c r="X404" s="5208"/>
      <c r="Y404" s="5209"/>
      <c r="Z404" s="5210"/>
      <c r="AA404" s="5211"/>
      <c r="AB404" s="1178"/>
      <c r="AC404" s="1179"/>
      <c r="AD404" s="227" t="s">
        <v>22</v>
      </c>
      <c r="AE404" s="1027" t="str">
        <f t="shared" si="142"/>
        <v>►</v>
      </c>
      <c r="AF404" s="1028" t="str">
        <f t="shared" si="143"/>
        <v/>
      </c>
      <c r="AG404" s="1029" t="str">
        <f t="shared" si="144"/>
        <v/>
      </c>
      <c r="AH404" s="1028" t="str">
        <f t="shared" si="145"/>
        <v/>
      </c>
      <c r="AI404" s="1029" t="str">
        <f t="shared" si="146"/>
        <v/>
      </c>
      <c r="AJ404" s="1029">
        <f t="shared" si="147"/>
        <v>0</v>
      </c>
      <c r="AK404" s="1043" t="str" cm="1">
        <f t="array" ref="AK404">IF(AE404&lt;&gt;"A","",IFERROR((IFERROR(_xlfn.XLOOKUP(TRIM(SUBSTITUTE(U404,CHAR(160)," ")),$BI$15:$BI$62,$BL$15:$BL$62),IFERROR(_xlfn.XLOOKUP(TRIM(SUBSTITUTE(U404,CHAR(160)," ")),$BJ$15:$BJ$62,$BL$15:$BL$62),_xlfn.XLOOKUP(TRIM(SUBSTITUTE(U404,CHAR(160)," ")),$BK$15:$BK$62,$BL$15:$BL$62))))*T404*IF(ISBLANK(Q404),1,Q404)+IFERROR(_xlfn.XLOOKUP("RECHERCHEX",TRIM(L404:AC404),L404:AC404),0),0))</f>
        <v/>
      </c>
      <c r="AL404" s="1030">
        <f t="shared" si="148"/>
        <v>0</v>
      </c>
      <c r="AM404" s="5254" t="str">
        <f t="shared" si="163"/>
        <v/>
      </c>
      <c r="AN404" s="1031">
        <f t="shared" si="149"/>
        <v>0</v>
      </c>
      <c r="AO404" s="1031">
        <f t="shared" si="150"/>
        <v>0</v>
      </c>
      <c r="AP404" s="1032">
        <f t="shared" si="151"/>
        <v>0</v>
      </c>
      <c r="AQ404" s="5255" t="str">
        <f t="shared" si="152"/>
        <v/>
      </c>
      <c r="AR404" s="1056"/>
      <c r="AS404" s="1056"/>
      <c r="AT404" s="1034">
        <f t="shared" si="153"/>
        <v>0</v>
      </c>
      <c r="AU404" s="1035">
        <f t="shared" si="154"/>
        <v>0</v>
      </c>
      <c r="AV404" s="1057" cm="1">
        <f t="array" ref="AV404">IF(AJ404&lt;&gt;1,0,IF(OR(AT404="",N(AT404)&lt;=0.000000001),"",IF(OR(AN404="",N(AN404)&lt;=0.000000001),0,IF(ISNUMBER(AT404),IFERROR(_xlfn.LET(_xlpm.ai_test,TRIM(AI404),_xlpm.r,IFERROR(_xlfn.XLOOKUP(_xlpm.ai_test,$BI$15:$BI$62,ROW($BI$15:$BI$62),0,1),IFERROR(_xlfn.XLOOKUP(_xlpm.ai_test,$BJ$15:$BJ$62,ROW($BJ$15:$BJ$62),0,1),_xlfn.XLOOKUP(_xlpm.ai_test,$BK$15:$BK$62,ROW($BK$15:$BK$62),0,1))),_xlpm.p,_xlpm.r-MIN(ROW($BI$15:$BI$62))+1,_xlpm.f,INDEX($BL$15:$BL$62,_xlpm.p),_xlpm.u,INDEX($BM$15:$BM$62,_xlpm.p),_xlpm.s,INDEX($BO$15:$BO$62,_xlpm.p),_xlpm.q,N(AT404)/_xlpm.f,IF(_xlpm.q&gt;=_xlpm.s,ROUND(_xlpm.q,1)&amp;" "&amp;_xlpm.ai_test&amp;" = "&amp;ROUND(_xlpm.q*_xlpm.f,1)&amp;" "&amp;_xlpm.u,ROUND(_xlpm.q,1)&amp;" "&amp;_xlpm.ai_test)),""),""))))</f>
        <v>0</v>
      </c>
      <c r="AW404" s="1047"/>
      <c r="AX404" s="1034">
        <f t="shared" si="155"/>
        <v>0</v>
      </c>
      <c r="AY404" s="1035" t="str">
        <f t="shared" si="156"/>
        <v/>
      </c>
      <c r="AZ404" s="1036">
        <f t="shared" si="161"/>
        <v>0</v>
      </c>
      <c r="BA404" s="1037" t="str">
        <f t="shared" si="157"/>
        <v/>
      </c>
      <c r="BB404" s="1038"/>
      <c r="BC404" s="1039">
        <f t="shared" si="162"/>
        <v>0</v>
      </c>
      <c r="BD404" s="1040" t="str">
        <f t="shared" si="158"/>
        <v/>
      </c>
      <c r="BE404" s="227" t="s">
        <v>22</v>
      </c>
      <c r="BF404" s="1019">
        <f t="shared" si="159"/>
        <v>0</v>
      </c>
      <c r="BG404" s="1020">
        <f t="shared" si="160"/>
        <v>0</v>
      </c>
      <c r="BH404"/>
      <c r="BI404" s="709"/>
      <c r="BJ404" s="709"/>
      <c r="BK404" s="709"/>
      <c r="BL404" s="709"/>
      <c r="BM404" s="709"/>
      <c r="BN404" s="709"/>
      <c r="BO404" s="709"/>
      <c r="BP404" s="709"/>
      <c r="BW404" s="959" t="str">
        <f t="shared" si="164"/>
        <v>►</v>
      </c>
      <c r="BX404" s="856"/>
      <c r="BY404" s="856"/>
      <c r="BZ404" s="856"/>
      <c r="CA404" s="856"/>
      <c r="CB404" s="856"/>
      <c r="DB404" s="3">
        <v>1</v>
      </c>
    </row>
    <row r="405" spans="12:106" ht="21" customHeight="1">
      <c r="L405" s="104" t="s">
        <v>16</v>
      </c>
      <c r="M405" s="1172"/>
      <c r="N405" s="1172"/>
      <c r="O405" s="1172"/>
      <c r="P405" s="1173"/>
      <c r="Q405" s="1174"/>
      <c r="R405" s="1175"/>
      <c r="S405" s="1176"/>
      <c r="T405" s="1177"/>
      <c r="U405" s="5248"/>
      <c r="V405" s="1177"/>
      <c r="W405" s="5249"/>
      <c r="X405" s="5208"/>
      <c r="Y405" s="5209"/>
      <c r="Z405" s="5210"/>
      <c r="AA405" s="5211"/>
      <c r="AB405" s="1178"/>
      <c r="AC405" s="1179"/>
      <c r="AD405" s="227" t="s">
        <v>22</v>
      </c>
      <c r="AE405" s="1027" t="str">
        <f t="shared" si="142"/>
        <v>►</v>
      </c>
      <c r="AF405" s="1028" t="str">
        <f t="shared" si="143"/>
        <v/>
      </c>
      <c r="AG405" s="1029" t="str">
        <f t="shared" si="144"/>
        <v/>
      </c>
      <c r="AH405" s="1028" t="str">
        <f t="shared" si="145"/>
        <v/>
      </c>
      <c r="AI405" s="1029" t="str">
        <f t="shared" si="146"/>
        <v/>
      </c>
      <c r="AJ405" s="1029">
        <f t="shared" si="147"/>
        <v>0</v>
      </c>
      <c r="AK405" s="1043" t="str" cm="1">
        <f t="array" ref="AK405">IF(AE405&lt;&gt;"A","",IFERROR((IFERROR(_xlfn.XLOOKUP(TRIM(SUBSTITUTE(U405,CHAR(160)," ")),$BI$15:$BI$62,$BL$15:$BL$62),IFERROR(_xlfn.XLOOKUP(TRIM(SUBSTITUTE(U405,CHAR(160)," ")),$BJ$15:$BJ$62,$BL$15:$BL$62),_xlfn.XLOOKUP(TRIM(SUBSTITUTE(U405,CHAR(160)," ")),$BK$15:$BK$62,$BL$15:$BL$62))))*T405*IF(ISBLANK(Q405),1,Q405)+IFERROR(_xlfn.XLOOKUP("RECHERCHEX",TRIM(L405:AC405),L405:AC405),0),0))</f>
        <v/>
      </c>
      <c r="AL405" s="1030">
        <f t="shared" si="148"/>
        <v>0</v>
      </c>
      <c r="AM405" s="5254" t="str">
        <f t="shared" si="163"/>
        <v/>
      </c>
      <c r="AN405" s="1031">
        <f t="shared" si="149"/>
        <v>0</v>
      </c>
      <c r="AO405" s="1031">
        <f t="shared" si="150"/>
        <v>0</v>
      </c>
      <c r="AP405" s="1044">
        <f t="shared" si="151"/>
        <v>0</v>
      </c>
      <c r="AQ405" s="5257" t="str">
        <f t="shared" si="152"/>
        <v/>
      </c>
      <c r="AR405" s="1056"/>
      <c r="AS405" s="1056"/>
      <c r="AT405" s="1045">
        <f t="shared" si="153"/>
        <v>0</v>
      </c>
      <c r="AU405" s="1046">
        <f t="shared" si="154"/>
        <v>0</v>
      </c>
      <c r="AV405" s="1059" cm="1">
        <f t="array" ref="AV405">IF(AJ405&lt;&gt;1,0,IF(OR(AT405="",N(AT405)&lt;=0.000000001),"",IF(OR(AN405="",N(AN405)&lt;=0.000000001),0,IF(ISNUMBER(AT405),IFERROR(_xlfn.LET(_xlpm.ai_test,TRIM(AI405),_xlpm.r,IFERROR(_xlfn.XLOOKUP(_xlpm.ai_test,$BI$15:$BI$62,ROW($BI$15:$BI$62),0,1),IFERROR(_xlfn.XLOOKUP(_xlpm.ai_test,$BJ$15:$BJ$62,ROW($BJ$15:$BJ$62),0,1),_xlfn.XLOOKUP(_xlpm.ai_test,$BK$15:$BK$62,ROW($BK$15:$BK$62),0,1))),_xlpm.p,_xlpm.r-MIN(ROW($BI$15:$BI$62))+1,_xlpm.f,INDEX($BL$15:$BL$62,_xlpm.p),_xlpm.u,INDEX($BM$15:$BM$62,_xlpm.p),_xlpm.s,INDEX($BO$15:$BO$62,_xlpm.p),_xlpm.q,N(AT405)/_xlpm.f,IF(_xlpm.q&gt;=_xlpm.s,ROUND(_xlpm.q,1)&amp;" "&amp;_xlpm.ai_test&amp;" = "&amp;ROUND(_xlpm.q*_xlpm.f,1)&amp;" "&amp;_xlpm.u,ROUND(_xlpm.q,1)&amp;" "&amp;_xlpm.ai_test)),""),""))))</f>
        <v>0</v>
      </c>
      <c r="AW405" s="1047"/>
      <c r="AX405" s="1045">
        <f t="shared" si="155"/>
        <v>0</v>
      </c>
      <c r="AY405" s="1046" t="str">
        <f t="shared" si="156"/>
        <v/>
      </c>
      <c r="AZ405" s="1048">
        <f t="shared" si="161"/>
        <v>0</v>
      </c>
      <c r="BA405" s="1049" t="str">
        <f t="shared" si="157"/>
        <v/>
      </c>
      <c r="BB405" s="1038"/>
      <c r="BC405" s="1050">
        <f t="shared" si="162"/>
        <v>0</v>
      </c>
      <c r="BD405" s="1040" t="str">
        <f t="shared" si="158"/>
        <v/>
      </c>
      <c r="BE405" s="227" t="s">
        <v>22</v>
      </c>
      <c r="BF405" s="1019">
        <f t="shared" si="159"/>
        <v>0</v>
      </c>
      <c r="BG405" s="1020">
        <f t="shared" si="160"/>
        <v>0</v>
      </c>
      <c r="BH405"/>
      <c r="BI405" s="709"/>
      <c r="BJ405" s="709"/>
      <c r="BK405" s="709"/>
      <c r="BL405" s="709"/>
      <c r="BM405" s="709"/>
      <c r="BN405" s="709"/>
      <c r="BO405" s="709"/>
      <c r="BP405" s="709"/>
      <c r="BW405" s="959" t="str">
        <f t="shared" si="164"/>
        <v>►</v>
      </c>
      <c r="BX405" s="856"/>
      <c r="BY405" s="856"/>
      <c r="BZ405" s="856"/>
      <c r="CA405" s="856"/>
      <c r="CB405" s="856"/>
      <c r="DB405" s="3">
        <v>1</v>
      </c>
    </row>
    <row r="406" spans="12:106" ht="21" customHeight="1">
      <c r="L406" s="104" t="s">
        <v>16</v>
      </c>
      <c r="M406" s="1172"/>
      <c r="N406" s="1172"/>
      <c r="O406" s="1172"/>
      <c r="P406" s="1173"/>
      <c r="Q406" s="1174"/>
      <c r="R406" s="1175"/>
      <c r="S406" s="1176"/>
      <c r="T406" s="1177"/>
      <c r="U406" s="5248"/>
      <c r="V406" s="1177"/>
      <c r="W406" s="5249"/>
      <c r="X406" s="5208"/>
      <c r="Y406" s="5209"/>
      <c r="Z406" s="5210"/>
      <c r="AA406" s="5211"/>
      <c r="AB406" s="1178"/>
      <c r="AC406" s="1179"/>
      <c r="AD406" s="227" t="s">
        <v>22</v>
      </c>
      <c r="AE406" s="1027" t="str">
        <f t="shared" ref="AE406:AE469" si="165">IF(OR(AN406&gt;0,TRIM(AF406)="▼ recette suivante"),"A","►")</f>
        <v>►</v>
      </c>
      <c r="AF406" s="1028" t="str">
        <f t="shared" ref="AF406:AF469" si="166">IF(TRIM(Q406)="Adresse PC","▼ recette suivante",IF(AN406&gt;0,M406,""))</f>
        <v/>
      </c>
      <c r="AG406" s="1029" t="str">
        <f t="shared" ref="AG406:AG469" si="167">IF(AE406="A",N406,"")</f>
        <v/>
      </c>
      <c r="AH406" s="1028" t="str">
        <f t="shared" ref="AH406:AH469" si="168">IF(AE406="A",O406,"")</f>
        <v/>
      </c>
      <c r="AI406" s="1029" t="str">
        <f t="shared" ref="AI406:AI469" si="169">IF(AE406="A",U406,"")</f>
        <v/>
      </c>
      <c r="AJ406" s="1029">
        <f t="shared" ref="AJ406:AJ469" si="170">IF(AND(L406="A",COUNTIF($BI$15:$BK$62,TRIM(U406))&gt;0),1,0)</f>
        <v>0</v>
      </c>
      <c r="AK406" s="1043" t="str" cm="1">
        <f t="array" ref="AK406">IF(AE406&lt;&gt;"A","",IFERROR((IFERROR(_xlfn.XLOOKUP(TRIM(SUBSTITUTE(U406,CHAR(160)," ")),$BI$15:$BI$62,$BL$15:$BL$62),IFERROR(_xlfn.XLOOKUP(TRIM(SUBSTITUTE(U406,CHAR(160)," ")),$BJ$15:$BJ$62,$BL$15:$BL$62),_xlfn.XLOOKUP(TRIM(SUBSTITUTE(U406,CHAR(160)," ")),$BK$15:$BK$62,$BL$15:$BL$62))))*T406*IF(ISBLANK(Q406),1,Q406)+IFERROR(_xlfn.XLOOKUP("RECHERCHEX",TRIM(L406:AC406),L406:AC406),0),0))</f>
        <v/>
      </c>
      <c r="AL406" s="1030">
        <f t="shared" ref="AL406:AL469" si="171">IF(AJ406,IF(AK406&gt;0,"Kg",0),0)</f>
        <v>0</v>
      </c>
      <c r="AM406" s="5254" t="str">
        <f t="shared" si="163"/>
        <v/>
      </c>
      <c r="AN406" s="1031">
        <f t="shared" ref="AN406:AN469" si="172">IF(AJ406,N406,0)</f>
        <v>0</v>
      </c>
      <c r="AO406" s="1031">
        <f t="shared" ref="AO406:AO469" si="173">IF(AJ406,O406,0)</f>
        <v>0</v>
      </c>
      <c r="AP406" s="1032">
        <f t="shared" ref="AP406:AP469" si="174">IF(AN406&gt;0,AR$9,0)</f>
        <v>0</v>
      </c>
      <c r="AQ406" s="5255" t="str">
        <f t="shared" ref="AQ406:AQ469" si="175">IF(TRIM(AF406)="▼ recette suivante", AF406, IF(AP406&gt;0, IF(AS$9&lt;&gt;"", AS$9&amp;"-ou.or.o ❾ + or - &gt;", ""), ""))</f>
        <v/>
      </c>
      <c r="AR406" s="1056"/>
      <c r="AS406" s="1056"/>
      <c r="AT406" s="1034">
        <f t="shared" ref="AT406:AT469" si="176">IF(TRIM(AL406)="Kg",N(AK406)*N(BG406),0)</f>
        <v>0</v>
      </c>
      <c r="AU406" s="1035">
        <f t="shared" ref="AU406:AU469" si="177">IF(AJ406,IF(OR(AT406="",N(AT406)&lt;=0.000000001),"",_xlfn.XLOOKUP(AI406,$BI$15:$BI$62,$BM$15:$BM$62,_xlfn.XLOOKUP(AI406,$BJ$15:$BJ$62,$BM$15:$BM$62,_xlfn.XLOOKUP(AI406,$BK$15:$BK$62,$BM$15:$BM$62,"")))),0)</f>
        <v>0</v>
      </c>
      <c r="AV406" s="1057" cm="1">
        <f t="array" ref="AV406">IF(AJ406&lt;&gt;1,0,IF(OR(AT406="",N(AT406)&lt;=0.000000001),"",IF(OR(AN406="",N(AN406)&lt;=0.000000001),0,IF(ISNUMBER(AT406),IFERROR(_xlfn.LET(_xlpm.ai_test,TRIM(AI406),_xlpm.r,IFERROR(_xlfn.XLOOKUP(_xlpm.ai_test,$BI$15:$BI$62,ROW($BI$15:$BI$62),0,1),IFERROR(_xlfn.XLOOKUP(_xlpm.ai_test,$BJ$15:$BJ$62,ROW($BJ$15:$BJ$62),0,1),_xlfn.XLOOKUP(_xlpm.ai_test,$BK$15:$BK$62,ROW($BK$15:$BK$62),0,1))),_xlpm.p,_xlpm.r-MIN(ROW($BI$15:$BI$62))+1,_xlpm.f,INDEX($BL$15:$BL$62,_xlpm.p),_xlpm.u,INDEX($BM$15:$BM$62,_xlpm.p),_xlpm.s,INDEX($BO$15:$BO$62,_xlpm.p),_xlpm.q,N(AT406)/_xlpm.f,IF(_xlpm.q&gt;=_xlpm.s,ROUND(_xlpm.q,1)&amp;" "&amp;_xlpm.ai_test&amp;" = "&amp;ROUND(_xlpm.q*_xlpm.f,1)&amp;" "&amp;_xlpm.u,ROUND(_xlpm.q,1)&amp;" "&amp;_xlpm.ai_test)),""),""))))</f>
        <v>0</v>
      </c>
      <c r="AW406" s="1047"/>
      <c r="AX406" s="1034">
        <f t="shared" ref="AX406:AX469" si="178">IF(TRIM(AF406)="▼ recette suivante","▼next recipe ",IF(AT406="","",IF(ISBLANK(AW406),AT406,ROUND(AT406*(1-MIN(1,MAX(0,IF(AW406&gt;1,AW406/100,AW406)))),3))))</f>
        <v>0</v>
      </c>
      <c r="AY406" s="1035" t="str">
        <f t="shared" ref="AY406:AY469" si="179">IF(AJ406,AU406,"")</f>
        <v/>
      </c>
      <c r="AZ406" s="1036">
        <f t="shared" si="161"/>
        <v>0</v>
      </c>
      <c r="BA406" s="1037" t="str">
        <f t="shared" ref="BA406:BA469" si="180">IF(AJ406,IF(N(AZ406)&gt;0.000000001,R406,""),"")</f>
        <v/>
      </c>
      <c r="BB406" s="1038"/>
      <c r="BC406" s="1039">
        <f t="shared" si="162"/>
        <v>0</v>
      </c>
      <c r="BD406" s="1040" t="str">
        <f t="shared" ref="BD406:BD469" si="181">IF(IFERROR(SEARCH("Adresse PC",TRIM(Q406)),0)&gt;0,"▼ receta siguiente",IF(AX406&gt;0,W406,""))</f>
        <v/>
      </c>
      <c r="BE406" s="227" t="s">
        <v>22</v>
      </c>
      <c r="BF406" s="1019">
        <f t="shared" ref="BF406:BF469" si="182">IFERROR(_xlfn.LET(_xlpm.EPS,0.000000001,_xlpm.b,Q406/AN406,IF(ISNUMBER(AR406),_xlpm.b*AR406,IF(OR(ISBLANK(AR406),AR406=""),_xlpm.b*AP406,IF(AND(BG406=0,ISNUMBER(Q406)),_xlpm.b/AP406,0)))),0)</f>
        <v>0</v>
      </c>
      <c r="BG406" s="1020">
        <f t="shared" ref="BG406:BG469" si="183">IF(AK406&gt;0,IFERROR(IF(OR(ISBLANK(AR406),AR406=""),AP406,AR406)/AN406,0),0)</f>
        <v>0</v>
      </c>
      <c r="BH406"/>
      <c r="BI406" s="709"/>
      <c r="BJ406" s="709"/>
      <c r="BK406" s="709"/>
      <c r="BL406" s="709"/>
      <c r="BM406" s="709"/>
      <c r="BN406" s="709"/>
      <c r="BO406" s="709"/>
      <c r="BP406" s="709"/>
      <c r="BW406" s="959" t="str">
        <f t="shared" si="164"/>
        <v>►</v>
      </c>
      <c r="BX406" s="856"/>
      <c r="BY406" s="856"/>
      <c r="BZ406" s="856"/>
      <c r="CA406" s="856"/>
      <c r="CB406" s="856"/>
      <c r="DB406" s="3">
        <v>1</v>
      </c>
    </row>
    <row r="407" spans="12:106" ht="21" customHeight="1">
      <c r="L407" s="104" t="s">
        <v>16</v>
      </c>
      <c r="M407" s="1172"/>
      <c r="N407" s="1172"/>
      <c r="O407" s="1172"/>
      <c r="P407" s="1173"/>
      <c r="Q407" s="1174"/>
      <c r="R407" s="1175"/>
      <c r="S407" s="1176"/>
      <c r="T407" s="1177"/>
      <c r="U407" s="5248"/>
      <c r="V407" s="1177"/>
      <c r="W407" s="5249"/>
      <c r="X407" s="5208"/>
      <c r="Y407" s="5209"/>
      <c r="Z407" s="5210"/>
      <c r="AA407" s="5211"/>
      <c r="AB407" s="1178"/>
      <c r="AC407" s="1179"/>
      <c r="AD407" s="227" t="s">
        <v>22</v>
      </c>
      <c r="AE407" s="1027" t="str">
        <f t="shared" si="165"/>
        <v>►</v>
      </c>
      <c r="AF407" s="1028" t="str">
        <f t="shared" si="166"/>
        <v/>
      </c>
      <c r="AG407" s="1029" t="str">
        <f t="shared" si="167"/>
        <v/>
      </c>
      <c r="AH407" s="1028" t="str">
        <f t="shared" si="168"/>
        <v/>
      </c>
      <c r="AI407" s="1029" t="str">
        <f t="shared" si="169"/>
        <v/>
      </c>
      <c r="AJ407" s="1029">
        <f t="shared" si="170"/>
        <v>0</v>
      </c>
      <c r="AK407" s="1043" t="str" cm="1">
        <f t="array" ref="AK407">IF(AE407&lt;&gt;"A","",IFERROR((IFERROR(_xlfn.XLOOKUP(TRIM(SUBSTITUTE(U407,CHAR(160)," ")),$BI$15:$BI$62,$BL$15:$BL$62),IFERROR(_xlfn.XLOOKUP(TRIM(SUBSTITUTE(U407,CHAR(160)," ")),$BJ$15:$BJ$62,$BL$15:$BL$62),_xlfn.XLOOKUP(TRIM(SUBSTITUTE(U407,CHAR(160)," ")),$BK$15:$BK$62,$BL$15:$BL$62))))*T407*IF(ISBLANK(Q407),1,Q407)+IFERROR(_xlfn.XLOOKUP("RECHERCHEX",TRIM(L407:AC407),L407:AC407),0),0))</f>
        <v/>
      </c>
      <c r="AL407" s="1030">
        <f t="shared" si="171"/>
        <v>0</v>
      </c>
      <c r="AM407" s="5254" t="str">
        <f t="shared" si="163"/>
        <v/>
      </c>
      <c r="AN407" s="1031">
        <f t="shared" si="172"/>
        <v>0</v>
      </c>
      <c r="AO407" s="1031">
        <f t="shared" si="173"/>
        <v>0</v>
      </c>
      <c r="AP407" s="1044">
        <f t="shared" si="174"/>
        <v>0</v>
      </c>
      <c r="AQ407" s="5257" t="str">
        <f t="shared" si="175"/>
        <v/>
      </c>
      <c r="AR407" s="1056"/>
      <c r="AS407" s="1056"/>
      <c r="AT407" s="1045">
        <f t="shared" si="176"/>
        <v>0</v>
      </c>
      <c r="AU407" s="1046">
        <f t="shared" si="177"/>
        <v>0</v>
      </c>
      <c r="AV407" s="1059" cm="1">
        <f t="array" ref="AV407">IF(AJ407&lt;&gt;1,0,IF(OR(AT407="",N(AT407)&lt;=0.000000001),"",IF(OR(AN407="",N(AN407)&lt;=0.000000001),0,IF(ISNUMBER(AT407),IFERROR(_xlfn.LET(_xlpm.ai_test,TRIM(AI407),_xlpm.r,IFERROR(_xlfn.XLOOKUP(_xlpm.ai_test,$BI$15:$BI$62,ROW($BI$15:$BI$62),0,1),IFERROR(_xlfn.XLOOKUP(_xlpm.ai_test,$BJ$15:$BJ$62,ROW($BJ$15:$BJ$62),0,1),_xlfn.XLOOKUP(_xlpm.ai_test,$BK$15:$BK$62,ROW($BK$15:$BK$62),0,1))),_xlpm.p,_xlpm.r-MIN(ROW($BI$15:$BI$62))+1,_xlpm.f,INDEX($BL$15:$BL$62,_xlpm.p),_xlpm.u,INDEX($BM$15:$BM$62,_xlpm.p),_xlpm.s,INDEX($BO$15:$BO$62,_xlpm.p),_xlpm.q,N(AT407)/_xlpm.f,IF(_xlpm.q&gt;=_xlpm.s,ROUND(_xlpm.q,1)&amp;" "&amp;_xlpm.ai_test&amp;" = "&amp;ROUND(_xlpm.q*_xlpm.f,1)&amp;" "&amp;_xlpm.u,ROUND(_xlpm.q,1)&amp;" "&amp;_xlpm.ai_test)),""),""))))</f>
        <v>0</v>
      </c>
      <c r="AW407" s="1047"/>
      <c r="AX407" s="1045">
        <f t="shared" si="178"/>
        <v>0</v>
      </c>
      <c r="AY407" s="1046" t="str">
        <f t="shared" si="179"/>
        <v/>
      </c>
      <c r="AZ407" s="1048">
        <f t="shared" ref="AZ407:AZ470" si="184">IF(ISNUMBER(BF407),IF(ABS(BF407)&lt;=0.000000001,0,BF407),0)</f>
        <v>0</v>
      </c>
      <c r="BA407" s="1049" t="str">
        <f t="shared" si="180"/>
        <v/>
      </c>
      <c r="BB407" s="1038"/>
      <c r="BC407" s="1050">
        <f t="shared" si="162"/>
        <v>0</v>
      </c>
      <c r="BD407" s="1040" t="str">
        <f t="shared" si="181"/>
        <v/>
      </c>
      <c r="BE407" s="227" t="s">
        <v>22</v>
      </c>
      <c r="BF407" s="1019">
        <f t="shared" si="182"/>
        <v>0</v>
      </c>
      <c r="BG407" s="1020">
        <f t="shared" si="183"/>
        <v>0</v>
      </c>
      <c r="BH407"/>
      <c r="BI407" s="709"/>
      <c r="BJ407" s="709"/>
      <c r="BK407" s="709"/>
      <c r="BL407" s="709"/>
      <c r="BM407" s="709"/>
      <c r="BN407" s="709"/>
      <c r="BO407" s="709"/>
      <c r="BP407" s="709"/>
      <c r="BW407" s="959" t="str">
        <f t="shared" si="164"/>
        <v>►</v>
      </c>
      <c r="BX407" s="856"/>
      <c r="BY407" s="856"/>
      <c r="BZ407" s="856"/>
      <c r="CA407" s="856"/>
      <c r="CB407" s="856"/>
      <c r="DB407" s="3">
        <v>1</v>
      </c>
    </row>
    <row r="408" spans="12:106" ht="21" customHeight="1">
      <c r="L408" s="104" t="s">
        <v>16</v>
      </c>
      <c r="M408" s="1172"/>
      <c r="N408" s="1172"/>
      <c r="O408" s="1172"/>
      <c r="P408" s="1173"/>
      <c r="Q408" s="1174"/>
      <c r="R408" s="1175"/>
      <c r="S408" s="1176"/>
      <c r="T408" s="1177"/>
      <c r="U408" s="5248"/>
      <c r="V408" s="1177"/>
      <c r="W408" s="5249"/>
      <c r="X408" s="5208"/>
      <c r="Y408" s="5209"/>
      <c r="Z408" s="5210"/>
      <c r="AA408" s="5211"/>
      <c r="AB408" s="1178"/>
      <c r="AC408" s="1179"/>
      <c r="AD408" s="227" t="s">
        <v>22</v>
      </c>
      <c r="AE408" s="1027" t="str">
        <f t="shared" si="165"/>
        <v>►</v>
      </c>
      <c r="AF408" s="1028" t="str">
        <f t="shared" si="166"/>
        <v/>
      </c>
      <c r="AG408" s="1029" t="str">
        <f t="shared" si="167"/>
        <v/>
      </c>
      <c r="AH408" s="1028" t="str">
        <f t="shared" si="168"/>
        <v/>
      </c>
      <c r="AI408" s="1029" t="str">
        <f t="shared" si="169"/>
        <v/>
      </c>
      <c r="AJ408" s="1029">
        <f t="shared" si="170"/>
        <v>0</v>
      </c>
      <c r="AK408" s="1043" t="str" cm="1">
        <f t="array" ref="AK408">IF(AE408&lt;&gt;"A","",IFERROR((IFERROR(_xlfn.XLOOKUP(TRIM(SUBSTITUTE(U408,CHAR(160)," ")),$BI$15:$BI$62,$BL$15:$BL$62),IFERROR(_xlfn.XLOOKUP(TRIM(SUBSTITUTE(U408,CHAR(160)," ")),$BJ$15:$BJ$62,$BL$15:$BL$62),_xlfn.XLOOKUP(TRIM(SUBSTITUTE(U408,CHAR(160)," ")),$BK$15:$BK$62,$BL$15:$BL$62))))*T408*IF(ISBLANK(Q408),1,Q408)+IFERROR(_xlfn.XLOOKUP("RECHERCHEX",TRIM(L408:AC408),L408:AC408),0),0))</f>
        <v/>
      </c>
      <c r="AL408" s="1030">
        <f t="shared" si="171"/>
        <v>0</v>
      </c>
      <c r="AM408" s="5254" t="str">
        <f t="shared" si="163"/>
        <v/>
      </c>
      <c r="AN408" s="1031">
        <f t="shared" si="172"/>
        <v>0</v>
      </c>
      <c r="AO408" s="1031">
        <f t="shared" si="173"/>
        <v>0</v>
      </c>
      <c r="AP408" s="1032">
        <f t="shared" si="174"/>
        <v>0</v>
      </c>
      <c r="AQ408" s="5255" t="str">
        <f t="shared" si="175"/>
        <v/>
      </c>
      <c r="AR408" s="1056"/>
      <c r="AS408" s="1056"/>
      <c r="AT408" s="1034">
        <f t="shared" si="176"/>
        <v>0</v>
      </c>
      <c r="AU408" s="1035">
        <f t="shared" si="177"/>
        <v>0</v>
      </c>
      <c r="AV408" s="1057" cm="1">
        <f t="array" ref="AV408">IF(AJ408&lt;&gt;1,0,IF(OR(AT408="",N(AT408)&lt;=0.000000001),"",IF(OR(AN408="",N(AN408)&lt;=0.000000001),0,IF(ISNUMBER(AT408),IFERROR(_xlfn.LET(_xlpm.ai_test,TRIM(AI408),_xlpm.r,IFERROR(_xlfn.XLOOKUP(_xlpm.ai_test,$BI$15:$BI$62,ROW($BI$15:$BI$62),0,1),IFERROR(_xlfn.XLOOKUP(_xlpm.ai_test,$BJ$15:$BJ$62,ROW($BJ$15:$BJ$62),0,1),_xlfn.XLOOKUP(_xlpm.ai_test,$BK$15:$BK$62,ROW($BK$15:$BK$62),0,1))),_xlpm.p,_xlpm.r-MIN(ROW($BI$15:$BI$62))+1,_xlpm.f,INDEX($BL$15:$BL$62,_xlpm.p),_xlpm.u,INDEX($BM$15:$BM$62,_xlpm.p),_xlpm.s,INDEX($BO$15:$BO$62,_xlpm.p),_xlpm.q,N(AT408)/_xlpm.f,IF(_xlpm.q&gt;=_xlpm.s,ROUND(_xlpm.q,1)&amp;" "&amp;_xlpm.ai_test&amp;" = "&amp;ROUND(_xlpm.q*_xlpm.f,1)&amp;" "&amp;_xlpm.u,ROUND(_xlpm.q,1)&amp;" "&amp;_xlpm.ai_test)),""),""))))</f>
        <v>0</v>
      </c>
      <c r="AW408" s="1047"/>
      <c r="AX408" s="1034">
        <f t="shared" si="178"/>
        <v>0</v>
      </c>
      <c r="AY408" s="1035" t="str">
        <f t="shared" si="179"/>
        <v/>
      </c>
      <c r="AZ408" s="1036">
        <f t="shared" si="184"/>
        <v>0</v>
      </c>
      <c r="BA408" s="1037" t="str">
        <f t="shared" si="180"/>
        <v/>
      </c>
      <c r="BB408" s="1038"/>
      <c r="BC408" s="1039">
        <f t="shared" si="162"/>
        <v>0</v>
      </c>
      <c r="BD408" s="1040" t="str">
        <f t="shared" si="181"/>
        <v/>
      </c>
      <c r="BE408" s="227" t="s">
        <v>22</v>
      </c>
      <c r="BF408" s="1019">
        <f t="shared" si="182"/>
        <v>0</v>
      </c>
      <c r="BG408" s="1020">
        <f t="shared" si="183"/>
        <v>0</v>
      </c>
      <c r="BH408"/>
      <c r="BI408" s="709"/>
      <c r="BJ408" s="709"/>
      <c r="BK408" s="709"/>
      <c r="BL408" s="709"/>
      <c r="BM408" s="709"/>
      <c r="BN408" s="709"/>
      <c r="BO408" s="709"/>
      <c r="BP408" s="709"/>
      <c r="BW408" s="959" t="str">
        <f t="shared" si="164"/>
        <v>►</v>
      </c>
      <c r="BX408" s="856"/>
      <c r="BY408" s="856"/>
      <c r="BZ408" s="856"/>
      <c r="CA408" s="856"/>
      <c r="CB408" s="856"/>
      <c r="DB408" s="3">
        <v>1</v>
      </c>
    </row>
    <row r="409" spans="12:106" ht="21" customHeight="1">
      <c r="L409" s="104" t="s">
        <v>16</v>
      </c>
      <c r="M409" s="1172"/>
      <c r="N409" s="1172"/>
      <c r="O409" s="1172"/>
      <c r="P409" s="1173"/>
      <c r="Q409" s="1174"/>
      <c r="R409" s="1175"/>
      <c r="S409" s="1176"/>
      <c r="T409" s="1177"/>
      <c r="U409" s="5248"/>
      <c r="V409" s="1177"/>
      <c r="W409" s="5249"/>
      <c r="X409" s="5208"/>
      <c r="Y409" s="5209"/>
      <c r="Z409" s="5210"/>
      <c r="AA409" s="5211"/>
      <c r="AB409" s="1178"/>
      <c r="AC409" s="1179"/>
      <c r="AD409" s="227" t="s">
        <v>22</v>
      </c>
      <c r="AE409" s="1027" t="str">
        <f t="shared" si="165"/>
        <v>►</v>
      </c>
      <c r="AF409" s="1028" t="str">
        <f t="shared" si="166"/>
        <v/>
      </c>
      <c r="AG409" s="1029" t="str">
        <f t="shared" si="167"/>
        <v/>
      </c>
      <c r="AH409" s="1028" t="str">
        <f t="shared" si="168"/>
        <v/>
      </c>
      <c r="AI409" s="1029" t="str">
        <f t="shared" si="169"/>
        <v/>
      </c>
      <c r="AJ409" s="1029">
        <f t="shared" si="170"/>
        <v>0</v>
      </c>
      <c r="AK409" s="1043" t="str" cm="1">
        <f t="array" ref="AK409">IF(AE409&lt;&gt;"A","",IFERROR((IFERROR(_xlfn.XLOOKUP(TRIM(SUBSTITUTE(U409,CHAR(160)," ")),$BI$15:$BI$62,$BL$15:$BL$62),IFERROR(_xlfn.XLOOKUP(TRIM(SUBSTITUTE(U409,CHAR(160)," ")),$BJ$15:$BJ$62,$BL$15:$BL$62),_xlfn.XLOOKUP(TRIM(SUBSTITUTE(U409,CHAR(160)," ")),$BK$15:$BK$62,$BL$15:$BL$62))))*T409*IF(ISBLANK(Q409),1,Q409)+IFERROR(_xlfn.XLOOKUP("RECHERCHEX",TRIM(L409:AC409),L409:AC409),0),0))</f>
        <v/>
      </c>
      <c r="AL409" s="1030">
        <f t="shared" si="171"/>
        <v>0</v>
      </c>
      <c r="AM409" s="5254" t="str">
        <f t="shared" si="163"/>
        <v/>
      </c>
      <c r="AN409" s="1031">
        <f t="shared" si="172"/>
        <v>0</v>
      </c>
      <c r="AO409" s="1031">
        <f t="shared" si="173"/>
        <v>0</v>
      </c>
      <c r="AP409" s="1044">
        <f t="shared" si="174"/>
        <v>0</v>
      </c>
      <c r="AQ409" s="5257" t="str">
        <f t="shared" si="175"/>
        <v/>
      </c>
      <c r="AR409" s="1056"/>
      <c r="AS409" s="1056"/>
      <c r="AT409" s="1045">
        <f t="shared" si="176"/>
        <v>0</v>
      </c>
      <c r="AU409" s="1046">
        <f t="shared" si="177"/>
        <v>0</v>
      </c>
      <c r="AV409" s="1059" cm="1">
        <f t="array" ref="AV409">IF(AJ409&lt;&gt;1,0,IF(OR(AT409="",N(AT409)&lt;=0.000000001),"",IF(OR(AN409="",N(AN409)&lt;=0.000000001),0,IF(ISNUMBER(AT409),IFERROR(_xlfn.LET(_xlpm.ai_test,TRIM(AI409),_xlpm.r,IFERROR(_xlfn.XLOOKUP(_xlpm.ai_test,$BI$15:$BI$62,ROW($BI$15:$BI$62),0,1),IFERROR(_xlfn.XLOOKUP(_xlpm.ai_test,$BJ$15:$BJ$62,ROW($BJ$15:$BJ$62),0,1),_xlfn.XLOOKUP(_xlpm.ai_test,$BK$15:$BK$62,ROW($BK$15:$BK$62),0,1))),_xlpm.p,_xlpm.r-MIN(ROW($BI$15:$BI$62))+1,_xlpm.f,INDEX($BL$15:$BL$62,_xlpm.p),_xlpm.u,INDEX($BM$15:$BM$62,_xlpm.p),_xlpm.s,INDEX($BO$15:$BO$62,_xlpm.p),_xlpm.q,N(AT409)/_xlpm.f,IF(_xlpm.q&gt;=_xlpm.s,ROUND(_xlpm.q,1)&amp;" "&amp;_xlpm.ai_test&amp;" = "&amp;ROUND(_xlpm.q*_xlpm.f,1)&amp;" "&amp;_xlpm.u,ROUND(_xlpm.q,1)&amp;" "&amp;_xlpm.ai_test)),""),""))))</f>
        <v>0</v>
      </c>
      <c r="AW409" s="1047"/>
      <c r="AX409" s="1045">
        <f t="shared" si="178"/>
        <v>0</v>
      </c>
      <c r="AY409" s="1046" t="str">
        <f t="shared" si="179"/>
        <v/>
      </c>
      <c r="AZ409" s="1048">
        <f t="shared" si="184"/>
        <v>0</v>
      </c>
      <c r="BA409" s="1049" t="str">
        <f t="shared" si="180"/>
        <v/>
      </c>
      <c r="BB409" s="1038"/>
      <c r="BC409" s="1050">
        <f t="shared" si="162"/>
        <v>0</v>
      </c>
      <c r="BD409" s="1040" t="str">
        <f t="shared" si="181"/>
        <v/>
      </c>
      <c r="BE409" s="227" t="s">
        <v>22</v>
      </c>
      <c r="BF409" s="1019">
        <f t="shared" si="182"/>
        <v>0</v>
      </c>
      <c r="BG409" s="1020">
        <f t="shared" si="183"/>
        <v>0</v>
      </c>
      <c r="BH409"/>
      <c r="BI409" s="709"/>
      <c r="BJ409" s="709"/>
      <c r="BK409" s="709"/>
      <c r="BL409" s="709"/>
      <c r="BM409" s="709"/>
      <c r="BN409" s="709"/>
      <c r="BO409" s="709"/>
      <c r="BP409" s="709"/>
      <c r="BW409" s="959" t="str">
        <f t="shared" si="164"/>
        <v>►</v>
      </c>
      <c r="BX409" s="856"/>
      <c r="BY409" s="856"/>
      <c r="BZ409" s="856"/>
      <c r="CA409" s="856"/>
      <c r="CB409" s="856"/>
      <c r="DB409" s="3">
        <v>1</v>
      </c>
    </row>
    <row r="410" spans="12:106" ht="21" customHeight="1">
      <c r="L410" s="104" t="s">
        <v>16</v>
      </c>
      <c r="M410" s="1172"/>
      <c r="N410" s="1172"/>
      <c r="O410" s="1172"/>
      <c r="P410" s="1173"/>
      <c r="Q410" s="1174"/>
      <c r="R410" s="1175"/>
      <c r="S410" s="1176"/>
      <c r="T410" s="1177"/>
      <c r="U410" s="5248"/>
      <c r="V410" s="1177"/>
      <c r="W410" s="5249"/>
      <c r="X410" s="5208"/>
      <c r="Y410" s="5209"/>
      <c r="Z410" s="5210"/>
      <c r="AA410" s="5211"/>
      <c r="AB410" s="1178"/>
      <c r="AC410" s="1179"/>
      <c r="AD410" s="227" t="s">
        <v>22</v>
      </c>
      <c r="AE410" s="1027" t="str">
        <f t="shared" si="165"/>
        <v>►</v>
      </c>
      <c r="AF410" s="1028" t="str">
        <f t="shared" si="166"/>
        <v/>
      </c>
      <c r="AG410" s="1029" t="str">
        <f t="shared" si="167"/>
        <v/>
      </c>
      <c r="AH410" s="1028" t="str">
        <f t="shared" si="168"/>
        <v/>
      </c>
      <c r="AI410" s="1029" t="str">
        <f t="shared" si="169"/>
        <v/>
      </c>
      <c r="AJ410" s="1029">
        <f t="shared" si="170"/>
        <v>0</v>
      </c>
      <c r="AK410" s="1043" t="str" cm="1">
        <f t="array" ref="AK410">IF(AE410&lt;&gt;"A","",IFERROR((IFERROR(_xlfn.XLOOKUP(TRIM(SUBSTITUTE(U410,CHAR(160)," ")),$BI$15:$BI$62,$BL$15:$BL$62),IFERROR(_xlfn.XLOOKUP(TRIM(SUBSTITUTE(U410,CHAR(160)," ")),$BJ$15:$BJ$62,$BL$15:$BL$62),_xlfn.XLOOKUP(TRIM(SUBSTITUTE(U410,CHAR(160)," ")),$BK$15:$BK$62,$BL$15:$BL$62))))*T410*IF(ISBLANK(Q410),1,Q410)+IFERROR(_xlfn.XLOOKUP("RECHERCHEX",TRIM(L410:AC410),L410:AC410),0),0))</f>
        <v/>
      </c>
      <c r="AL410" s="1030">
        <f t="shared" si="171"/>
        <v>0</v>
      </c>
      <c r="AM410" s="5254" t="str">
        <f t="shared" si="163"/>
        <v/>
      </c>
      <c r="AN410" s="1031">
        <f t="shared" si="172"/>
        <v>0</v>
      </c>
      <c r="AO410" s="1031">
        <f t="shared" si="173"/>
        <v>0</v>
      </c>
      <c r="AP410" s="1032">
        <f t="shared" si="174"/>
        <v>0</v>
      </c>
      <c r="AQ410" s="5255" t="str">
        <f t="shared" si="175"/>
        <v/>
      </c>
      <c r="AR410" s="1056"/>
      <c r="AS410" s="1056"/>
      <c r="AT410" s="1034">
        <f t="shared" si="176"/>
        <v>0</v>
      </c>
      <c r="AU410" s="1035">
        <f t="shared" si="177"/>
        <v>0</v>
      </c>
      <c r="AV410" s="1057" cm="1">
        <f t="array" ref="AV410">IF(AJ410&lt;&gt;1,0,IF(OR(AT410="",N(AT410)&lt;=0.000000001),"",IF(OR(AN410="",N(AN410)&lt;=0.000000001),0,IF(ISNUMBER(AT410),IFERROR(_xlfn.LET(_xlpm.ai_test,TRIM(AI410),_xlpm.r,IFERROR(_xlfn.XLOOKUP(_xlpm.ai_test,$BI$15:$BI$62,ROW($BI$15:$BI$62),0,1),IFERROR(_xlfn.XLOOKUP(_xlpm.ai_test,$BJ$15:$BJ$62,ROW($BJ$15:$BJ$62),0,1),_xlfn.XLOOKUP(_xlpm.ai_test,$BK$15:$BK$62,ROW($BK$15:$BK$62),0,1))),_xlpm.p,_xlpm.r-MIN(ROW($BI$15:$BI$62))+1,_xlpm.f,INDEX($BL$15:$BL$62,_xlpm.p),_xlpm.u,INDEX($BM$15:$BM$62,_xlpm.p),_xlpm.s,INDEX($BO$15:$BO$62,_xlpm.p),_xlpm.q,N(AT410)/_xlpm.f,IF(_xlpm.q&gt;=_xlpm.s,ROUND(_xlpm.q,1)&amp;" "&amp;_xlpm.ai_test&amp;" = "&amp;ROUND(_xlpm.q*_xlpm.f,1)&amp;" "&amp;_xlpm.u,ROUND(_xlpm.q,1)&amp;" "&amp;_xlpm.ai_test)),""),""))))</f>
        <v>0</v>
      </c>
      <c r="AW410" s="1047"/>
      <c r="AX410" s="1034">
        <f t="shared" si="178"/>
        <v>0</v>
      </c>
      <c r="AY410" s="1035" t="str">
        <f t="shared" si="179"/>
        <v/>
      </c>
      <c r="AZ410" s="1036">
        <f t="shared" si="184"/>
        <v>0</v>
      </c>
      <c r="BA410" s="1037" t="str">
        <f t="shared" si="180"/>
        <v/>
      </c>
      <c r="BB410" s="1038"/>
      <c r="BC410" s="1039">
        <f t="shared" si="162"/>
        <v>0</v>
      </c>
      <c r="BD410" s="1040" t="str">
        <f t="shared" si="181"/>
        <v/>
      </c>
      <c r="BE410" s="227" t="s">
        <v>22</v>
      </c>
      <c r="BF410" s="1019">
        <f t="shared" si="182"/>
        <v>0</v>
      </c>
      <c r="BG410" s="1020">
        <f t="shared" si="183"/>
        <v>0</v>
      </c>
      <c r="BH410"/>
      <c r="BI410" s="709"/>
      <c r="BJ410" s="709"/>
      <c r="BK410" s="709"/>
      <c r="BL410" s="709"/>
      <c r="BM410" s="709"/>
      <c r="BN410" s="709"/>
      <c r="BO410" s="709"/>
      <c r="BP410" s="709"/>
      <c r="BW410" s="959" t="str">
        <f t="shared" si="164"/>
        <v>►</v>
      </c>
      <c r="BX410" s="856"/>
      <c r="BY410" s="856"/>
      <c r="BZ410" s="856"/>
      <c r="CA410" s="856"/>
      <c r="CB410" s="856"/>
      <c r="DB410" s="3">
        <v>1</v>
      </c>
    </row>
    <row r="411" spans="12:106" ht="21" customHeight="1">
      <c r="L411" s="104" t="s">
        <v>16</v>
      </c>
      <c r="M411" s="1172"/>
      <c r="N411" s="1172"/>
      <c r="O411" s="1172"/>
      <c r="P411" s="1173"/>
      <c r="Q411" s="1174"/>
      <c r="R411" s="1175"/>
      <c r="S411" s="1176"/>
      <c r="T411" s="1177"/>
      <c r="U411" s="5248"/>
      <c r="V411" s="1177"/>
      <c r="W411" s="5249"/>
      <c r="X411" s="5208"/>
      <c r="Y411" s="5209"/>
      <c r="Z411" s="5210"/>
      <c r="AA411" s="5211"/>
      <c r="AB411" s="1178"/>
      <c r="AC411" s="1179"/>
      <c r="AD411" s="227" t="s">
        <v>22</v>
      </c>
      <c r="AE411" s="1027" t="str">
        <f t="shared" si="165"/>
        <v>►</v>
      </c>
      <c r="AF411" s="1028" t="str">
        <f t="shared" si="166"/>
        <v/>
      </c>
      <c r="AG411" s="1029" t="str">
        <f t="shared" si="167"/>
        <v/>
      </c>
      <c r="AH411" s="1028" t="str">
        <f t="shared" si="168"/>
        <v/>
      </c>
      <c r="AI411" s="1029" t="str">
        <f t="shared" si="169"/>
        <v/>
      </c>
      <c r="AJ411" s="1029">
        <f t="shared" si="170"/>
        <v>0</v>
      </c>
      <c r="AK411" s="1043" t="str" cm="1">
        <f t="array" ref="AK411">IF(AE411&lt;&gt;"A","",IFERROR((IFERROR(_xlfn.XLOOKUP(TRIM(SUBSTITUTE(U411,CHAR(160)," ")),$BI$15:$BI$62,$BL$15:$BL$62),IFERROR(_xlfn.XLOOKUP(TRIM(SUBSTITUTE(U411,CHAR(160)," ")),$BJ$15:$BJ$62,$BL$15:$BL$62),_xlfn.XLOOKUP(TRIM(SUBSTITUTE(U411,CHAR(160)," ")),$BK$15:$BK$62,$BL$15:$BL$62))))*T411*IF(ISBLANK(Q411),1,Q411)+IFERROR(_xlfn.XLOOKUP("RECHERCHEX",TRIM(L411:AC411),L411:AC411),0),0))</f>
        <v/>
      </c>
      <c r="AL411" s="1030">
        <f t="shared" si="171"/>
        <v>0</v>
      </c>
      <c r="AM411" s="5254" t="str">
        <f t="shared" si="163"/>
        <v/>
      </c>
      <c r="AN411" s="1031">
        <f t="shared" si="172"/>
        <v>0</v>
      </c>
      <c r="AO411" s="1031">
        <f t="shared" si="173"/>
        <v>0</v>
      </c>
      <c r="AP411" s="1044">
        <f t="shared" si="174"/>
        <v>0</v>
      </c>
      <c r="AQ411" s="5257" t="str">
        <f t="shared" si="175"/>
        <v/>
      </c>
      <c r="AR411" s="1056"/>
      <c r="AS411" s="1056"/>
      <c r="AT411" s="1045">
        <f t="shared" si="176"/>
        <v>0</v>
      </c>
      <c r="AU411" s="1046">
        <f t="shared" si="177"/>
        <v>0</v>
      </c>
      <c r="AV411" s="1059" cm="1">
        <f t="array" ref="AV411">IF(AJ411&lt;&gt;1,0,IF(OR(AT411="",N(AT411)&lt;=0.000000001),"",IF(OR(AN411="",N(AN411)&lt;=0.000000001),0,IF(ISNUMBER(AT411),IFERROR(_xlfn.LET(_xlpm.ai_test,TRIM(AI411),_xlpm.r,IFERROR(_xlfn.XLOOKUP(_xlpm.ai_test,$BI$15:$BI$62,ROW($BI$15:$BI$62),0,1),IFERROR(_xlfn.XLOOKUP(_xlpm.ai_test,$BJ$15:$BJ$62,ROW($BJ$15:$BJ$62),0,1),_xlfn.XLOOKUP(_xlpm.ai_test,$BK$15:$BK$62,ROW($BK$15:$BK$62),0,1))),_xlpm.p,_xlpm.r-MIN(ROW($BI$15:$BI$62))+1,_xlpm.f,INDEX($BL$15:$BL$62,_xlpm.p),_xlpm.u,INDEX($BM$15:$BM$62,_xlpm.p),_xlpm.s,INDEX($BO$15:$BO$62,_xlpm.p),_xlpm.q,N(AT411)/_xlpm.f,IF(_xlpm.q&gt;=_xlpm.s,ROUND(_xlpm.q,1)&amp;" "&amp;_xlpm.ai_test&amp;" = "&amp;ROUND(_xlpm.q*_xlpm.f,1)&amp;" "&amp;_xlpm.u,ROUND(_xlpm.q,1)&amp;" "&amp;_xlpm.ai_test)),""),""))))</f>
        <v>0</v>
      </c>
      <c r="AW411" s="1047"/>
      <c r="AX411" s="1045">
        <f t="shared" si="178"/>
        <v>0</v>
      </c>
      <c r="AY411" s="1046" t="str">
        <f t="shared" si="179"/>
        <v/>
      </c>
      <c r="AZ411" s="1048">
        <f t="shared" si="184"/>
        <v>0</v>
      </c>
      <c r="BA411" s="1049" t="str">
        <f t="shared" si="180"/>
        <v/>
      </c>
      <c r="BB411" s="1038"/>
      <c r="BC411" s="1050">
        <f t="shared" ref="BC411:BC474" si="185">IF(OR(AN411=0,ISBLANK(BB411),ISTEXT(AZ411)),0,(IF(AT411=0,AZ411,AT411)*BB411))</f>
        <v>0</v>
      </c>
      <c r="BD411" s="1040" t="str">
        <f t="shared" si="181"/>
        <v/>
      </c>
      <c r="BE411" s="227" t="s">
        <v>22</v>
      </c>
      <c r="BF411" s="1019">
        <f t="shared" si="182"/>
        <v>0</v>
      </c>
      <c r="BG411" s="1020">
        <f t="shared" si="183"/>
        <v>0</v>
      </c>
      <c r="BH411"/>
      <c r="BI411" s="709"/>
      <c r="BJ411" s="709"/>
      <c r="BK411" s="709"/>
      <c r="BL411" s="709"/>
      <c r="BM411" s="709"/>
      <c r="BN411" s="709"/>
      <c r="BO411" s="709"/>
      <c r="BP411" s="709"/>
      <c r="BW411" s="959" t="str">
        <f t="shared" si="164"/>
        <v>►</v>
      </c>
      <c r="BX411" s="856"/>
      <c r="BY411" s="856"/>
      <c r="BZ411" s="856"/>
      <c r="CA411" s="856"/>
      <c r="CB411" s="856"/>
      <c r="DB411" s="3">
        <v>1</v>
      </c>
    </row>
    <row r="412" spans="12:106" ht="21" customHeight="1">
      <c r="L412" s="104" t="s">
        <v>16</v>
      </c>
      <c r="M412" s="1172"/>
      <c r="N412" s="1172"/>
      <c r="O412" s="1172"/>
      <c r="P412" s="1173"/>
      <c r="Q412" s="1174"/>
      <c r="R412" s="1175"/>
      <c r="S412" s="1176"/>
      <c r="T412" s="1177"/>
      <c r="U412" s="5248"/>
      <c r="V412" s="1177"/>
      <c r="W412" s="5249"/>
      <c r="X412" s="5208"/>
      <c r="Y412" s="5209"/>
      <c r="Z412" s="5210"/>
      <c r="AA412" s="5211"/>
      <c r="AB412" s="1178"/>
      <c r="AC412" s="1179"/>
      <c r="AD412" s="227" t="s">
        <v>22</v>
      </c>
      <c r="AE412" s="1027" t="str">
        <f t="shared" si="165"/>
        <v>►</v>
      </c>
      <c r="AF412" s="1028" t="str">
        <f t="shared" si="166"/>
        <v/>
      </c>
      <c r="AG412" s="1029" t="str">
        <f t="shared" si="167"/>
        <v/>
      </c>
      <c r="AH412" s="1028" t="str">
        <f t="shared" si="168"/>
        <v/>
      </c>
      <c r="AI412" s="1029" t="str">
        <f t="shared" si="169"/>
        <v/>
      </c>
      <c r="AJ412" s="1029">
        <f t="shared" si="170"/>
        <v>0</v>
      </c>
      <c r="AK412" s="1043" t="str" cm="1">
        <f t="array" ref="AK412">IF(AE412&lt;&gt;"A","",IFERROR((IFERROR(_xlfn.XLOOKUP(TRIM(SUBSTITUTE(U412,CHAR(160)," ")),$BI$15:$BI$62,$BL$15:$BL$62),IFERROR(_xlfn.XLOOKUP(TRIM(SUBSTITUTE(U412,CHAR(160)," ")),$BJ$15:$BJ$62,$BL$15:$BL$62),_xlfn.XLOOKUP(TRIM(SUBSTITUTE(U412,CHAR(160)," ")),$BK$15:$BK$62,$BL$15:$BL$62))))*T412*IF(ISBLANK(Q412),1,Q412)+IFERROR(_xlfn.XLOOKUP("RECHERCHEX",TRIM(L412:AC412),L412:AC412),0),0))</f>
        <v/>
      </c>
      <c r="AL412" s="1030">
        <f t="shared" si="171"/>
        <v>0</v>
      </c>
      <c r="AM412" s="5254" t="str">
        <f t="shared" si="163"/>
        <v/>
      </c>
      <c r="AN412" s="1031">
        <f t="shared" si="172"/>
        <v>0</v>
      </c>
      <c r="AO412" s="1031">
        <f t="shared" si="173"/>
        <v>0</v>
      </c>
      <c r="AP412" s="1032">
        <f t="shared" si="174"/>
        <v>0</v>
      </c>
      <c r="AQ412" s="5255" t="str">
        <f t="shared" si="175"/>
        <v/>
      </c>
      <c r="AR412" s="1056"/>
      <c r="AS412" s="1056"/>
      <c r="AT412" s="1034">
        <f t="shared" si="176"/>
        <v>0</v>
      </c>
      <c r="AU412" s="1035">
        <f t="shared" si="177"/>
        <v>0</v>
      </c>
      <c r="AV412" s="1057" cm="1">
        <f t="array" ref="AV412">IF(AJ412&lt;&gt;1,0,IF(OR(AT412="",N(AT412)&lt;=0.000000001),"",IF(OR(AN412="",N(AN412)&lt;=0.000000001),0,IF(ISNUMBER(AT412),IFERROR(_xlfn.LET(_xlpm.ai_test,TRIM(AI412),_xlpm.r,IFERROR(_xlfn.XLOOKUP(_xlpm.ai_test,$BI$15:$BI$62,ROW($BI$15:$BI$62),0,1),IFERROR(_xlfn.XLOOKUP(_xlpm.ai_test,$BJ$15:$BJ$62,ROW($BJ$15:$BJ$62),0,1),_xlfn.XLOOKUP(_xlpm.ai_test,$BK$15:$BK$62,ROW($BK$15:$BK$62),0,1))),_xlpm.p,_xlpm.r-MIN(ROW($BI$15:$BI$62))+1,_xlpm.f,INDEX($BL$15:$BL$62,_xlpm.p),_xlpm.u,INDEX($BM$15:$BM$62,_xlpm.p),_xlpm.s,INDEX($BO$15:$BO$62,_xlpm.p),_xlpm.q,N(AT412)/_xlpm.f,IF(_xlpm.q&gt;=_xlpm.s,ROUND(_xlpm.q,1)&amp;" "&amp;_xlpm.ai_test&amp;" = "&amp;ROUND(_xlpm.q*_xlpm.f,1)&amp;" "&amp;_xlpm.u,ROUND(_xlpm.q,1)&amp;" "&amp;_xlpm.ai_test)),""),""))))</f>
        <v>0</v>
      </c>
      <c r="AW412" s="1047"/>
      <c r="AX412" s="1034">
        <f t="shared" si="178"/>
        <v>0</v>
      </c>
      <c r="AY412" s="1035" t="str">
        <f t="shared" si="179"/>
        <v/>
      </c>
      <c r="AZ412" s="1036">
        <f t="shared" si="184"/>
        <v>0</v>
      </c>
      <c r="BA412" s="1037" t="str">
        <f t="shared" si="180"/>
        <v/>
      </c>
      <c r="BB412" s="1038"/>
      <c r="BC412" s="1039">
        <f t="shared" si="185"/>
        <v>0</v>
      </c>
      <c r="BD412" s="1040" t="str">
        <f t="shared" si="181"/>
        <v/>
      </c>
      <c r="BE412" s="227" t="s">
        <v>22</v>
      </c>
      <c r="BF412" s="1019">
        <f t="shared" si="182"/>
        <v>0</v>
      </c>
      <c r="BG412" s="1020">
        <f t="shared" si="183"/>
        <v>0</v>
      </c>
      <c r="BH412"/>
      <c r="BI412" s="709"/>
      <c r="BJ412" s="709"/>
      <c r="BK412" s="709"/>
      <c r="BL412" s="709"/>
      <c r="BM412" s="709"/>
      <c r="BN412" s="709"/>
      <c r="BO412" s="709"/>
      <c r="BP412" s="709"/>
      <c r="BW412" s="959" t="str">
        <f t="shared" si="164"/>
        <v>►</v>
      </c>
      <c r="BX412" s="856"/>
      <c r="BY412" s="856"/>
      <c r="BZ412" s="856"/>
      <c r="CA412" s="856"/>
      <c r="CB412" s="856"/>
      <c r="DB412" s="3">
        <v>1</v>
      </c>
    </row>
    <row r="413" spans="12:106" ht="21" customHeight="1">
      <c r="L413" s="104" t="s">
        <v>16</v>
      </c>
      <c r="M413" s="1172"/>
      <c r="N413" s="1172"/>
      <c r="O413" s="1172"/>
      <c r="P413" s="1173"/>
      <c r="Q413" s="1174"/>
      <c r="R413" s="1175"/>
      <c r="S413" s="1176"/>
      <c r="T413" s="1177"/>
      <c r="U413" s="5248"/>
      <c r="V413" s="1177"/>
      <c r="W413" s="5249"/>
      <c r="X413" s="5208"/>
      <c r="Y413" s="5209"/>
      <c r="Z413" s="5210"/>
      <c r="AA413" s="5211"/>
      <c r="AB413" s="1178"/>
      <c r="AC413" s="1179"/>
      <c r="AD413" s="227" t="s">
        <v>22</v>
      </c>
      <c r="AE413" s="1027" t="str">
        <f t="shared" si="165"/>
        <v>►</v>
      </c>
      <c r="AF413" s="1028" t="str">
        <f t="shared" si="166"/>
        <v/>
      </c>
      <c r="AG413" s="1029" t="str">
        <f t="shared" si="167"/>
        <v/>
      </c>
      <c r="AH413" s="1028" t="str">
        <f t="shared" si="168"/>
        <v/>
      </c>
      <c r="AI413" s="1029" t="str">
        <f t="shared" si="169"/>
        <v/>
      </c>
      <c r="AJ413" s="1029">
        <f t="shared" si="170"/>
        <v>0</v>
      </c>
      <c r="AK413" s="1043" t="str" cm="1">
        <f t="array" ref="AK413">IF(AE413&lt;&gt;"A","",IFERROR((IFERROR(_xlfn.XLOOKUP(TRIM(SUBSTITUTE(U413,CHAR(160)," ")),$BI$15:$BI$62,$BL$15:$BL$62),IFERROR(_xlfn.XLOOKUP(TRIM(SUBSTITUTE(U413,CHAR(160)," ")),$BJ$15:$BJ$62,$BL$15:$BL$62),_xlfn.XLOOKUP(TRIM(SUBSTITUTE(U413,CHAR(160)," ")),$BK$15:$BK$62,$BL$15:$BL$62))))*T413*IF(ISBLANK(Q413),1,Q413)+IFERROR(_xlfn.XLOOKUP("RECHERCHEX",TRIM(L413:AC413),L413:AC413),0),0))</f>
        <v/>
      </c>
      <c r="AL413" s="1030">
        <f t="shared" si="171"/>
        <v>0</v>
      </c>
      <c r="AM413" s="5254" t="str">
        <f t="shared" si="163"/>
        <v/>
      </c>
      <c r="AN413" s="1031">
        <f t="shared" si="172"/>
        <v>0</v>
      </c>
      <c r="AO413" s="1031">
        <f t="shared" si="173"/>
        <v>0</v>
      </c>
      <c r="AP413" s="1044">
        <f t="shared" si="174"/>
        <v>0</v>
      </c>
      <c r="AQ413" s="5257" t="str">
        <f t="shared" si="175"/>
        <v/>
      </c>
      <c r="AR413" s="1056"/>
      <c r="AS413" s="1056"/>
      <c r="AT413" s="1045">
        <f t="shared" si="176"/>
        <v>0</v>
      </c>
      <c r="AU413" s="1046">
        <f t="shared" si="177"/>
        <v>0</v>
      </c>
      <c r="AV413" s="1059" cm="1">
        <f t="array" ref="AV413">IF(AJ413&lt;&gt;1,0,IF(OR(AT413="",N(AT413)&lt;=0.000000001),"",IF(OR(AN413="",N(AN413)&lt;=0.000000001),0,IF(ISNUMBER(AT413),IFERROR(_xlfn.LET(_xlpm.ai_test,TRIM(AI413),_xlpm.r,IFERROR(_xlfn.XLOOKUP(_xlpm.ai_test,$BI$15:$BI$62,ROW($BI$15:$BI$62),0,1),IFERROR(_xlfn.XLOOKUP(_xlpm.ai_test,$BJ$15:$BJ$62,ROW($BJ$15:$BJ$62),0,1),_xlfn.XLOOKUP(_xlpm.ai_test,$BK$15:$BK$62,ROW($BK$15:$BK$62),0,1))),_xlpm.p,_xlpm.r-MIN(ROW($BI$15:$BI$62))+1,_xlpm.f,INDEX($BL$15:$BL$62,_xlpm.p),_xlpm.u,INDEX($BM$15:$BM$62,_xlpm.p),_xlpm.s,INDEX($BO$15:$BO$62,_xlpm.p),_xlpm.q,N(AT413)/_xlpm.f,IF(_xlpm.q&gt;=_xlpm.s,ROUND(_xlpm.q,1)&amp;" "&amp;_xlpm.ai_test&amp;" = "&amp;ROUND(_xlpm.q*_xlpm.f,1)&amp;" "&amp;_xlpm.u,ROUND(_xlpm.q,1)&amp;" "&amp;_xlpm.ai_test)),""),""))))</f>
        <v>0</v>
      </c>
      <c r="AW413" s="1047"/>
      <c r="AX413" s="1045">
        <f t="shared" si="178"/>
        <v>0</v>
      </c>
      <c r="AY413" s="1046" t="str">
        <f t="shared" si="179"/>
        <v/>
      </c>
      <c r="AZ413" s="1048">
        <f t="shared" si="184"/>
        <v>0</v>
      </c>
      <c r="BA413" s="1049" t="str">
        <f t="shared" si="180"/>
        <v/>
      </c>
      <c r="BB413" s="1038"/>
      <c r="BC413" s="1050">
        <f t="shared" si="185"/>
        <v>0</v>
      </c>
      <c r="BD413" s="1040" t="str">
        <f t="shared" si="181"/>
        <v/>
      </c>
      <c r="BE413" s="227" t="s">
        <v>22</v>
      </c>
      <c r="BF413" s="1019">
        <f t="shared" si="182"/>
        <v>0</v>
      </c>
      <c r="BG413" s="1020">
        <f t="shared" si="183"/>
        <v>0</v>
      </c>
      <c r="BH413"/>
      <c r="BI413" s="709"/>
      <c r="BJ413" s="709"/>
      <c r="BK413" s="709"/>
      <c r="BL413" s="709"/>
      <c r="BM413" s="709"/>
      <c r="BN413" s="709"/>
      <c r="BO413" s="709"/>
      <c r="BP413" s="709"/>
      <c r="BW413" s="959" t="str">
        <f t="shared" si="164"/>
        <v>►</v>
      </c>
      <c r="BX413" s="856"/>
      <c r="BY413" s="856"/>
      <c r="BZ413" s="856"/>
      <c r="CA413" s="856"/>
      <c r="CB413" s="856"/>
      <c r="DB413" s="3">
        <v>1</v>
      </c>
    </row>
    <row r="414" spans="12:106" ht="21" customHeight="1">
      <c r="L414" s="104" t="s">
        <v>16</v>
      </c>
      <c r="M414" s="1172"/>
      <c r="N414" s="1172"/>
      <c r="O414" s="1172"/>
      <c r="P414" s="1173"/>
      <c r="Q414" s="1174"/>
      <c r="R414" s="1175"/>
      <c r="S414" s="1176"/>
      <c r="T414" s="1177"/>
      <c r="U414" s="5248"/>
      <c r="V414" s="1177"/>
      <c r="W414" s="5249"/>
      <c r="X414" s="5208"/>
      <c r="Y414" s="5209"/>
      <c r="Z414" s="5210"/>
      <c r="AA414" s="5211"/>
      <c r="AB414" s="1178"/>
      <c r="AC414" s="1179"/>
      <c r="AD414" s="227" t="s">
        <v>22</v>
      </c>
      <c r="AE414" s="1027" t="str">
        <f t="shared" si="165"/>
        <v>►</v>
      </c>
      <c r="AF414" s="1028" t="str">
        <f t="shared" si="166"/>
        <v/>
      </c>
      <c r="AG414" s="1029" t="str">
        <f t="shared" si="167"/>
        <v/>
      </c>
      <c r="AH414" s="1028" t="str">
        <f t="shared" si="168"/>
        <v/>
      </c>
      <c r="AI414" s="1029" t="str">
        <f t="shared" si="169"/>
        <v/>
      </c>
      <c r="AJ414" s="1029">
        <f t="shared" si="170"/>
        <v>0</v>
      </c>
      <c r="AK414" s="1043" t="str" cm="1">
        <f t="array" ref="AK414">IF(AE414&lt;&gt;"A","",IFERROR((IFERROR(_xlfn.XLOOKUP(TRIM(SUBSTITUTE(U414,CHAR(160)," ")),$BI$15:$BI$62,$BL$15:$BL$62),IFERROR(_xlfn.XLOOKUP(TRIM(SUBSTITUTE(U414,CHAR(160)," ")),$BJ$15:$BJ$62,$BL$15:$BL$62),_xlfn.XLOOKUP(TRIM(SUBSTITUTE(U414,CHAR(160)," ")),$BK$15:$BK$62,$BL$15:$BL$62))))*T414*IF(ISBLANK(Q414),1,Q414)+IFERROR(_xlfn.XLOOKUP("RECHERCHEX",TRIM(L414:AC414),L414:AC414),0),0))</f>
        <v/>
      </c>
      <c r="AL414" s="1030">
        <f t="shared" si="171"/>
        <v>0</v>
      </c>
      <c r="AM414" s="5254" t="str">
        <f t="shared" ref="AM414:AM477" si="186">IF(AE414="A","❾ Author reference &gt;","")</f>
        <v/>
      </c>
      <c r="AN414" s="1031">
        <f t="shared" si="172"/>
        <v>0</v>
      </c>
      <c r="AO414" s="1031">
        <f t="shared" si="173"/>
        <v>0</v>
      </c>
      <c r="AP414" s="1032">
        <f t="shared" si="174"/>
        <v>0</v>
      </c>
      <c r="AQ414" s="5255" t="str">
        <f t="shared" si="175"/>
        <v/>
      </c>
      <c r="AR414" s="1056"/>
      <c r="AS414" s="1056"/>
      <c r="AT414" s="1034">
        <f t="shared" si="176"/>
        <v>0</v>
      </c>
      <c r="AU414" s="1035">
        <f t="shared" si="177"/>
        <v>0</v>
      </c>
      <c r="AV414" s="1057" cm="1">
        <f t="array" ref="AV414">IF(AJ414&lt;&gt;1,0,IF(OR(AT414="",N(AT414)&lt;=0.000000001),"",IF(OR(AN414="",N(AN414)&lt;=0.000000001),0,IF(ISNUMBER(AT414),IFERROR(_xlfn.LET(_xlpm.ai_test,TRIM(AI414),_xlpm.r,IFERROR(_xlfn.XLOOKUP(_xlpm.ai_test,$BI$15:$BI$62,ROW($BI$15:$BI$62),0,1),IFERROR(_xlfn.XLOOKUP(_xlpm.ai_test,$BJ$15:$BJ$62,ROW($BJ$15:$BJ$62),0,1),_xlfn.XLOOKUP(_xlpm.ai_test,$BK$15:$BK$62,ROW($BK$15:$BK$62),0,1))),_xlpm.p,_xlpm.r-MIN(ROW($BI$15:$BI$62))+1,_xlpm.f,INDEX($BL$15:$BL$62,_xlpm.p),_xlpm.u,INDEX($BM$15:$BM$62,_xlpm.p),_xlpm.s,INDEX($BO$15:$BO$62,_xlpm.p),_xlpm.q,N(AT414)/_xlpm.f,IF(_xlpm.q&gt;=_xlpm.s,ROUND(_xlpm.q,1)&amp;" "&amp;_xlpm.ai_test&amp;" = "&amp;ROUND(_xlpm.q*_xlpm.f,1)&amp;" "&amp;_xlpm.u,ROUND(_xlpm.q,1)&amp;" "&amp;_xlpm.ai_test)),""),""))))</f>
        <v>0</v>
      </c>
      <c r="AW414" s="1047"/>
      <c r="AX414" s="1034">
        <f t="shared" si="178"/>
        <v>0</v>
      </c>
      <c r="AY414" s="1035" t="str">
        <f t="shared" si="179"/>
        <v/>
      </c>
      <c r="AZ414" s="1036">
        <f t="shared" si="184"/>
        <v>0</v>
      </c>
      <c r="BA414" s="1037" t="str">
        <f t="shared" si="180"/>
        <v/>
      </c>
      <c r="BB414" s="1038"/>
      <c r="BC414" s="1039">
        <f t="shared" si="185"/>
        <v>0</v>
      </c>
      <c r="BD414" s="1040" t="str">
        <f t="shared" si="181"/>
        <v/>
      </c>
      <c r="BE414" s="227" t="s">
        <v>22</v>
      </c>
      <c r="BF414" s="1019">
        <f t="shared" si="182"/>
        <v>0</v>
      </c>
      <c r="BG414" s="1020">
        <f t="shared" si="183"/>
        <v>0</v>
      </c>
      <c r="BH414"/>
      <c r="BI414" s="709"/>
      <c r="BJ414" s="709"/>
      <c r="BK414" s="709"/>
      <c r="BL414" s="709"/>
      <c r="BM414" s="709"/>
      <c r="BN414" s="709"/>
      <c r="BO414" s="709"/>
      <c r="BP414" s="709"/>
      <c r="BW414" s="959" t="str">
        <f t="shared" si="164"/>
        <v>►</v>
      </c>
      <c r="BX414" s="856"/>
      <c r="BY414" s="856"/>
      <c r="BZ414" s="856"/>
      <c r="CA414" s="856"/>
      <c r="CB414" s="856"/>
      <c r="DB414" s="3">
        <v>1</v>
      </c>
    </row>
    <row r="415" spans="12:106" ht="21" customHeight="1">
      <c r="L415" s="104" t="s">
        <v>16</v>
      </c>
      <c r="M415" s="1172"/>
      <c r="N415" s="1172"/>
      <c r="O415" s="1172"/>
      <c r="P415" s="1173"/>
      <c r="Q415" s="1174"/>
      <c r="R415" s="1175"/>
      <c r="S415" s="1176"/>
      <c r="T415" s="1177"/>
      <c r="U415" s="5248"/>
      <c r="V415" s="1177"/>
      <c r="W415" s="5249"/>
      <c r="X415" s="5208"/>
      <c r="Y415" s="5209"/>
      <c r="Z415" s="5210"/>
      <c r="AA415" s="5211"/>
      <c r="AB415" s="1178"/>
      <c r="AC415" s="1179"/>
      <c r="AD415" s="227" t="s">
        <v>22</v>
      </c>
      <c r="AE415" s="1027" t="str">
        <f t="shared" si="165"/>
        <v>►</v>
      </c>
      <c r="AF415" s="1028" t="str">
        <f t="shared" si="166"/>
        <v/>
      </c>
      <c r="AG415" s="1029" t="str">
        <f t="shared" si="167"/>
        <v/>
      </c>
      <c r="AH415" s="1028" t="str">
        <f t="shared" si="168"/>
        <v/>
      </c>
      <c r="AI415" s="1029" t="str">
        <f t="shared" si="169"/>
        <v/>
      </c>
      <c r="AJ415" s="1029">
        <f t="shared" si="170"/>
        <v>0</v>
      </c>
      <c r="AK415" s="1043" t="str" cm="1">
        <f t="array" ref="AK415">IF(AE415&lt;&gt;"A","",IFERROR((IFERROR(_xlfn.XLOOKUP(TRIM(SUBSTITUTE(U415,CHAR(160)," ")),$BI$15:$BI$62,$BL$15:$BL$62),IFERROR(_xlfn.XLOOKUP(TRIM(SUBSTITUTE(U415,CHAR(160)," ")),$BJ$15:$BJ$62,$BL$15:$BL$62),_xlfn.XLOOKUP(TRIM(SUBSTITUTE(U415,CHAR(160)," ")),$BK$15:$BK$62,$BL$15:$BL$62))))*T415*IF(ISBLANK(Q415),1,Q415)+IFERROR(_xlfn.XLOOKUP("RECHERCHEX",TRIM(L415:AC415),L415:AC415),0),0))</f>
        <v/>
      </c>
      <c r="AL415" s="1030">
        <f t="shared" si="171"/>
        <v>0</v>
      </c>
      <c r="AM415" s="5254" t="str">
        <f t="shared" si="186"/>
        <v/>
      </c>
      <c r="AN415" s="1031">
        <f t="shared" si="172"/>
        <v>0</v>
      </c>
      <c r="AO415" s="1031">
        <f t="shared" si="173"/>
        <v>0</v>
      </c>
      <c r="AP415" s="1044">
        <f t="shared" si="174"/>
        <v>0</v>
      </c>
      <c r="AQ415" s="5257" t="str">
        <f t="shared" si="175"/>
        <v/>
      </c>
      <c r="AR415" s="1056"/>
      <c r="AS415" s="1056"/>
      <c r="AT415" s="1045">
        <f t="shared" si="176"/>
        <v>0</v>
      </c>
      <c r="AU415" s="1046">
        <f t="shared" si="177"/>
        <v>0</v>
      </c>
      <c r="AV415" s="1059" cm="1">
        <f t="array" ref="AV415">IF(AJ415&lt;&gt;1,0,IF(OR(AT415="",N(AT415)&lt;=0.000000001),"",IF(OR(AN415="",N(AN415)&lt;=0.000000001),0,IF(ISNUMBER(AT415),IFERROR(_xlfn.LET(_xlpm.ai_test,TRIM(AI415),_xlpm.r,IFERROR(_xlfn.XLOOKUP(_xlpm.ai_test,$BI$15:$BI$62,ROW($BI$15:$BI$62),0,1),IFERROR(_xlfn.XLOOKUP(_xlpm.ai_test,$BJ$15:$BJ$62,ROW($BJ$15:$BJ$62),0,1),_xlfn.XLOOKUP(_xlpm.ai_test,$BK$15:$BK$62,ROW($BK$15:$BK$62),0,1))),_xlpm.p,_xlpm.r-MIN(ROW($BI$15:$BI$62))+1,_xlpm.f,INDEX($BL$15:$BL$62,_xlpm.p),_xlpm.u,INDEX($BM$15:$BM$62,_xlpm.p),_xlpm.s,INDEX($BO$15:$BO$62,_xlpm.p),_xlpm.q,N(AT415)/_xlpm.f,IF(_xlpm.q&gt;=_xlpm.s,ROUND(_xlpm.q,1)&amp;" "&amp;_xlpm.ai_test&amp;" = "&amp;ROUND(_xlpm.q*_xlpm.f,1)&amp;" "&amp;_xlpm.u,ROUND(_xlpm.q,1)&amp;" "&amp;_xlpm.ai_test)),""),""))))</f>
        <v>0</v>
      </c>
      <c r="AW415" s="1047"/>
      <c r="AX415" s="1045">
        <f t="shared" si="178"/>
        <v>0</v>
      </c>
      <c r="AY415" s="1046" t="str">
        <f t="shared" si="179"/>
        <v/>
      </c>
      <c r="AZ415" s="1048">
        <f t="shared" si="184"/>
        <v>0</v>
      </c>
      <c r="BA415" s="1049" t="str">
        <f t="shared" si="180"/>
        <v/>
      </c>
      <c r="BB415" s="1038"/>
      <c r="BC415" s="1050">
        <f t="shared" si="185"/>
        <v>0</v>
      </c>
      <c r="BD415" s="1040" t="str">
        <f t="shared" si="181"/>
        <v/>
      </c>
      <c r="BE415" s="227" t="s">
        <v>22</v>
      </c>
      <c r="BF415" s="1019">
        <f t="shared" si="182"/>
        <v>0</v>
      </c>
      <c r="BG415" s="1020">
        <f t="shared" si="183"/>
        <v>0</v>
      </c>
      <c r="BH415"/>
      <c r="BI415" s="709"/>
      <c r="BJ415" s="709"/>
      <c r="BK415" s="709"/>
      <c r="BL415" s="709"/>
      <c r="BM415" s="709"/>
      <c r="BN415" s="709"/>
      <c r="BO415" s="709"/>
      <c r="BP415" s="709"/>
      <c r="BW415" s="959" t="str">
        <f t="shared" si="164"/>
        <v>►</v>
      </c>
      <c r="BX415" s="856"/>
      <c r="BY415" s="856"/>
      <c r="BZ415" s="856"/>
      <c r="CA415" s="856"/>
      <c r="CB415" s="856"/>
      <c r="DB415" s="3">
        <v>1</v>
      </c>
    </row>
    <row r="416" spans="12:106" ht="21" customHeight="1">
      <c r="L416" s="104" t="s">
        <v>16</v>
      </c>
      <c r="M416" s="1172"/>
      <c r="N416" s="1172"/>
      <c r="O416" s="1172"/>
      <c r="P416" s="1173"/>
      <c r="Q416" s="1174"/>
      <c r="R416" s="1175"/>
      <c r="S416" s="1176"/>
      <c r="T416" s="1177"/>
      <c r="U416" s="5248"/>
      <c r="V416" s="1177"/>
      <c r="W416" s="5249"/>
      <c r="X416" s="5208"/>
      <c r="Y416" s="5209"/>
      <c r="Z416" s="5210"/>
      <c r="AA416" s="5211"/>
      <c r="AB416" s="1178"/>
      <c r="AC416" s="1179"/>
      <c r="AD416" s="227" t="s">
        <v>22</v>
      </c>
      <c r="AE416" s="1027" t="str">
        <f t="shared" si="165"/>
        <v>►</v>
      </c>
      <c r="AF416" s="1028" t="str">
        <f t="shared" si="166"/>
        <v/>
      </c>
      <c r="AG416" s="1029" t="str">
        <f t="shared" si="167"/>
        <v/>
      </c>
      <c r="AH416" s="1028" t="str">
        <f t="shared" si="168"/>
        <v/>
      </c>
      <c r="AI416" s="1029" t="str">
        <f t="shared" si="169"/>
        <v/>
      </c>
      <c r="AJ416" s="1029">
        <f t="shared" si="170"/>
        <v>0</v>
      </c>
      <c r="AK416" s="1043" t="str" cm="1">
        <f t="array" ref="AK416">IF(AE416&lt;&gt;"A","",IFERROR((IFERROR(_xlfn.XLOOKUP(TRIM(SUBSTITUTE(U416,CHAR(160)," ")),$BI$15:$BI$62,$BL$15:$BL$62),IFERROR(_xlfn.XLOOKUP(TRIM(SUBSTITUTE(U416,CHAR(160)," ")),$BJ$15:$BJ$62,$BL$15:$BL$62),_xlfn.XLOOKUP(TRIM(SUBSTITUTE(U416,CHAR(160)," ")),$BK$15:$BK$62,$BL$15:$BL$62))))*T416*IF(ISBLANK(Q416),1,Q416)+IFERROR(_xlfn.XLOOKUP("RECHERCHEX",TRIM(L416:AC416),L416:AC416),0),0))</f>
        <v/>
      </c>
      <c r="AL416" s="1030">
        <f t="shared" si="171"/>
        <v>0</v>
      </c>
      <c r="AM416" s="5254" t="str">
        <f t="shared" si="186"/>
        <v/>
      </c>
      <c r="AN416" s="1031">
        <f t="shared" si="172"/>
        <v>0</v>
      </c>
      <c r="AO416" s="1031">
        <f t="shared" si="173"/>
        <v>0</v>
      </c>
      <c r="AP416" s="1032">
        <f t="shared" si="174"/>
        <v>0</v>
      </c>
      <c r="AQ416" s="5255" t="str">
        <f t="shared" si="175"/>
        <v/>
      </c>
      <c r="AR416" s="1056"/>
      <c r="AS416" s="1056"/>
      <c r="AT416" s="1034">
        <f t="shared" si="176"/>
        <v>0</v>
      </c>
      <c r="AU416" s="1035">
        <f t="shared" si="177"/>
        <v>0</v>
      </c>
      <c r="AV416" s="1057" cm="1">
        <f t="array" ref="AV416">IF(AJ416&lt;&gt;1,0,IF(OR(AT416="",N(AT416)&lt;=0.000000001),"",IF(OR(AN416="",N(AN416)&lt;=0.000000001),0,IF(ISNUMBER(AT416),IFERROR(_xlfn.LET(_xlpm.ai_test,TRIM(AI416),_xlpm.r,IFERROR(_xlfn.XLOOKUP(_xlpm.ai_test,$BI$15:$BI$62,ROW($BI$15:$BI$62),0,1),IFERROR(_xlfn.XLOOKUP(_xlpm.ai_test,$BJ$15:$BJ$62,ROW($BJ$15:$BJ$62),0,1),_xlfn.XLOOKUP(_xlpm.ai_test,$BK$15:$BK$62,ROW($BK$15:$BK$62),0,1))),_xlpm.p,_xlpm.r-MIN(ROW($BI$15:$BI$62))+1,_xlpm.f,INDEX($BL$15:$BL$62,_xlpm.p),_xlpm.u,INDEX($BM$15:$BM$62,_xlpm.p),_xlpm.s,INDEX($BO$15:$BO$62,_xlpm.p),_xlpm.q,N(AT416)/_xlpm.f,IF(_xlpm.q&gt;=_xlpm.s,ROUND(_xlpm.q,1)&amp;" "&amp;_xlpm.ai_test&amp;" = "&amp;ROUND(_xlpm.q*_xlpm.f,1)&amp;" "&amp;_xlpm.u,ROUND(_xlpm.q,1)&amp;" "&amp;_xlpm.ai_test)),""),""))))</f>
        <v>0</v>
      </c>
      <c r="AW416" s="1047"/>
      <c r="AX416" s="1034">
        <f t="shared" si="178"/>
        <v>0</v>
      </c>
      <c r="AY416" s="1035" t="str">
        <f t="shared" si="179"/>
        <v/>
      </c>
      <c r="AZ416" s="1036">
        <f t="shared" si="184"/>
        <v>0</v>
      </c>
      <c r="BA416" s="1037" t="str">
        <f t="shared" si="180"/>
        <v/>
      </c>
      <c r="BB416" s="1038"/>
      <c r="BC416" s="1039">
        <f t="shared" si="185"/>
        <v>0</v>
      </c>
      <c r="BD416" s="1040" t="str">
        <f t="shared" si="181"/>
        <v/>
      </c>
      <c r="BE416" s="227" t="s">
        <v>22</v>
      </c>
      <c r="BF416" s="1019">
        <f t="shared" si="182"/>
        <v>0</v>
      </c>
      <c r="BG416" s="1020">
        <f t="shared" si="183"/>
        <v>0</v>
      </c>
      <c r="BH416"/>
      <c r="BI416" s="709"/>
      <c r="BJ416" s="709"/>
      <c r="BK416" s="709"/>
      <c r="BL416" s="709"/>
      <c r="BM416" s="709"/>
      <c r="BN416" s="709"/>
      <c r="BO416" s="709"/>
      <c r="BP416" s="709"/>
      <c r="BW416" s="959" t="str">
        <f t="shared" si="164"/>
        <v>►</v>
      </c>
      <c r="BX416" s="856"/>
      <c r="BY416" s="856"/>
      <c r="BZ416" s="856"/>
      <c r="CA416" s="856"/>
      <c r="CB416" s="856"/>
      <c r="DB416" s="3">
        <v>1</v>
      </c>
    </row>
    <row r="417" spans="12:106" ht="21" customHeight="1">
      <c r="L417" s="104" t="s">
        <v>16</v>
      </c>
      <c r="M417" s="1172"/>
      <c r="N417" s="1172"/>
      <c r="O417" s="1172"/>
      <c r="P417" s="1173"/>
      <c r="Q417" s="1174"/>
      <c r="R417" s="1175"/>
      <c r="S417" s="1176"/>
      <c r="T417" s="1177"/>
      <c r="U417" s="5248"/>
      <c r="V417" s="1177"/>
      <c r="W417" s="5249"/>
      <c r="X417" s="5208"/>
      <c r="Y417" s="5209"/>
      <c r="Z417" s="5210"/>
      <c r="AA417" s="5211"/>
      <c r="AB417" s="1178"/>
      <c r="AC417" s="1179"/>
      <c r="AD417" s="227" t="s">
        <v>22</v>
      </c>
      <c r="AE417" s="1027" t="str">
        <f t="shared" si="165"/>
        <v>►</v>
      </c>
      <c r="AF417" s="1028" t="str">
        <f t="shared" si="166"/>
        <v/>
      </c>
      <c r="AG417" s="1029" t="str">
        <f t="shared" si="167"/>
        <v/>
      </c>
      <c r="AH417" s="1028" t="str">
        <f t="shared" si="168"/>
        <v/>
      </c>
      <c r="AI417" s="1029" t="str">
        <f t="shared" si="169"/>
        <v/>
      </c>
      <c r="AJ417" s="1029">
        <f t="shared" si="170"/>
        <v>0</v>
      </c>
      <c r="AK417" s="1043" t="str" cm="1">
        <f t="array" ref="AK417">IF(AE417&lt;&gt;"A","",IFERROR((IFERROR(_xlfn.XLOOKUP(TRIM(SUBSTITUTE(U417,CHAR(160)," ")),$BI$15:$BI$62,$BL$15:$BL$62),IFERROR(_xlfn.XLOOKUP(TRIM(SUBSTITUTE(U417,CHAR(160)," ")),$BJ$15:$BJ$62,$BL$15:$BL$62),_xlfn.XLOOKUP(TRIM(SUBSTITUTE(U417,CHAR(160)," ")),$BK$15:$BK$62,$BL$15:$BL$62))))*T417*IF(ISBLANK(Q417),1,Q417)+IFERROR(_xlfn.XLOOKUP("RECHERCHEX",TRIM(L417:AC417),L417:AC417),0),0))</f>
        <v/>
      </c>
      <c r="AL417" s="1030">
        <f t="shared" si="171"/>
        <v>0</v>
      </c>
      <c r="AM417" s="5254" t="str">
        <f t="shared" si="186"/>
        <v/>
      </c>
      <c r="AN417" s="1031">
        <f t="shared" si="172"/>
        <v>0</v>
      </c>
      <c r="AO417" s="1031">
        <f t="shared" si="173"/>
        <v>0</v>
      </c>
      <c r="AP417" s="1044">
        <f t="shared" si="174"/>
        <v>0</v>
      </c>
      <c r="AQ417" s="5257" t="str">
        <f t="shared" si="175"/>
        <v/>
      </c>
      <c r="AR417" s="1056"/>
      <c r="AS417" s="1056"/>
      <c r="AT417" s="1045">
        <f t="shared" si="176"/>
        <v>0</v>
      </c>
      <c r="AU417" s="1046">
        <f t="shared" si="177"/>
        <v>0</v>
      </c>
      <c r="AV417" s="1059" cm="1">
        <f t="array" ref="AV417">IF(AJ417&lt;&gt;1,0,IF(OR(AT417="",N(AT417)&lt;=0.000000001),"",IF(OR(AN417="",N(AN417)&lt;=0.000000001),0,IF(ISNUMBER(AT417),IFERROR(_xlfn.LET(_xlpm.ai_test,TRIM(AI417),_xlpm.r,IFERROR(_xlfn.XLOOKUP(_xlpm.ai_test,$BI$15:$BI$62,ROW($BI$15:$BI$62),0,1),IFERROR(_xlfn.XLOOKUP(_xlpm.ai_test,$BJ$15:$BJ$62,ROW($BJ$15:$BJ$62),0,1),_xlfn.XLOOKUP(_xlpm.ai_test,$BK$15:$BK$62,ROW($BK$15:$BK$62),0,1))),_xlpm.p,_xlpm.r-MIN(ROW($BI$15:$BI$62))+1,_xlpm.f,INDEX($BL$15:$BL$62,_xlpm.p),_xlpm.u,INDEX($BM$15:$BM$62,_xlpm.p),_xlpm.s,INDEX($BO$15:$BO$62,_xlpm.p),_xlpm.q,N(AT417)/_xlpm.f,IF(_xlpm.q&gt;=_xlpm.s,ROUND(_xlpm.q,1)&amp;" "&amp;_xlpm.ai_test&amp;" = "&amp;ROUND(_xlpm.q*_xlpm.f,1)&amp;" "&amp;_xlpm.u,ROUND(_xlpm.q,1)&amp;" "&amp;_xlpm.ai_test)),""),""))))</f>
        <v>0</v>
      </c>
      <c r="AW417" s="1047"/>
      <c r="AX417" s="1045">
        <f t="shared" si="178"/>
        <v>0</v>
      </c>
      <c r="AY417" s="1046" t="str">
        <f t="shared" si="179"/>
        <v/>
      </c>
      <c r="AZ417" s="1048">
        <f t="shared" si="184"/>
        <v>0</v>
      </c>
      <c r="BA417" s="1049" t="str">
        <f t="shared" si="180"/>
        <v/>
      </c>
      <c r="BB417" s="1038"/>
      <c r="BC417" s="1050">
        <f t="shared" si="185"/>
        <v>0</v>
      </c>
      <c r="BD417" s="1040" t="str">
        <f t="shared" si="181"/>
        <v/>
      </c>
      <c r="BE417" s="227" t="s">
        <v>22</v>
      </c>
      <c r="BF417" s="1019">
        <f t="shared" si="182"/>
        <v>0</v>
      </c>
      <c r="BG417" s="1020">
        <f t="shared" si="183"/>
        <v>0</v>
      </c>
      <c r="BH417"/>
      <c r="BI417" s="709"/>
      <c r="BJ417" s="709"/>
      <c r="BK417" s="709"/>
      <c r="BL417" s="709"/>
      <c r="BM417" s="709"/>
      <c r="BN417" s="709"/>
      <c r="BO417" s="709"/>
      <c r="BP417" s="709"/>
      <c r="BW417" s="959" t="str">
        <f t="shared" si="164"/>
        <v>►</v>
      </c>
      <c r="BX417" s="856"/>
      <c r="BY417" s="856"/>
      <c r="BZ417" s="856"/>
      <c r="CA417" s="856"/>
      <c r="CB417" s="856"/>
      <c r="DB417" s="3">
        <v>1</v>
      </c>
    </row>
    <row r="418" spans="12:106" ht="21" customHeight="1">
      <c r="L418" s="104" t="s">
        <v>16</v>
      </c>
      <c r="M418" s="1172"/>
      <c r="N418" s="1172"/>
      <c r="O418" s="1172"/>
      <c r="P418" s="1173"/>
      <c r="Q418" s="1174"/>
      <c r="R418" s="1175"/>
      <c r="S418" s="1176"/>
      <c r="T418" s="1177"/>
      <c r="U418" s="5248"/>
      <c r="V418" s="1177"/>
      <c r="W418" s="5249"/>
      <c r="X418" s="5208"/>
      <c r="Y418" s="5209"/>
      <c r="Z418" s="5210"/>
      <c r="AA418" s="5211"/>
      <c r="AB418" s="1178"/>
      <c r="AC418" s="1179"/>
      <c r="AD418" s="227" t="s">
        <v>22</v>
      </c>
      <c r="AE418" s="1027" t="str">
        <f t="shared" si="165"/>
        <v>►</v>
      </c>
      <c r="AF418" s="1028" t="str">
        <f t="shared" si="166"/>
        <v/>
      </c>
      <c r="AG418" s="1029" t="str">
        <f t="shared" si="167"/>
        <v/>
      </c>
      <c r="AH418" s="1028" t="str">
        <f t="shared" si="168"/>
        <v/>
      </c>
      <c r="AI418" s="1029" t="str">
        <f t="shared" si="169"/>
        <v/>
      </c>
      <c r="AJ418" s="1029">
        <f t="shared" si="170"/>
        <v>0</v>
      </c>
      <c r="AK418" s="1043" t="str" cm="1">
        <f t="array" ref="AK418">IF(AE418&lt;&gt;"A","",IFERROR((IFERROR(_xlfn.XLOOKUP(TRIM(SUBSTITUTE(U418,CHAR(160)," ")),$BI$15:$BI$62,$BL$15:$BL$62),IFERROR(_xlfn.XLOOKUP(TRIM(SUBSTITUTE(U418,CHAR(160)," ")),$BJ$15:$BJ$62,$BL$15:$BL$62),_xlfn.XLOOKUP(TRIM(SUBSTITUTE(U418,CHAR(160)," ")),$BK$15:$BK$62,$BL$15:$BL$62))))*T418*IF(ISBLANK(Q418),1,Q418)+IFERROR(_xlfn.XLOOKUP("RECHERCHEX",TRIM(L418:AC418),L418:AC418),0),0))</f>
        <v/>
      </c>
      <c r="AL418" s="1030">
        <f t="shared" si="171"/>
        <v>0</v>
      </c>
      <c r="AM418" s="5254" t="str">
        <f t="shared" si="186"/>
        <v/>
      </c>
      <c r="AN418" s="1031">
        <f t="shared" si="172"/>
        <v>0</v>
      </c>
      <c r="AO418" s="1031">
        <f t="shared" si="173"/>
        <v>0</v>
      </c>
      <c r="AP418" s="1032">
        <f t="shared" si="174"/>
        <v>0</v>
      </c>
      <c r="AQ418" s="5255" t="str">
        <f t="shared" si="175"/>
        <v/>
      </c>
      <c r="AR418" s="1056"/>
      <c r="AS418" s="1056"/>
      <c r="AT418" s="1034">
        <f t="shared" si="176"/>
        <v>0</v>
      </c>
      <c r="AU418" s="1035">
        <f t="shared" si="177"/>
        <v>0</v>
      </c>
      <c r="AV418" s="1057" cm="1">
        <f t="array" ref="AV418">IF(AJ418&lt;&gt;1,0,IF(OR(AT418="",N(AT418)&lt;=0.000000001),"",IF(OR(AN418="",N(AN418)&lt;=0.000000001),0,IF(ISNUMBER(AT418),IFERROR(_xlfn.LET(_xlpm.ai_test,TRIM(AI418),_xlpm.r,IFERROR(_xlfn.XLOOKUP(_xlpm.ai_test,$BI$15:$BI$62,ROW($BI$15:$BI$62),0,1),IFERROR(_xlfn.XLOOKUP(_xlpm.ai_test,$BJ$15:$BJ$62,ROW($BJ$15:$BJ$62),0,1),_xlfn.XLOOKUP(_xlpm.ai_test,$BK$15:$BK$62,ROW($BK$15:$BK$62),0,1))),_xlpm.p,_xlpm.r-MIN(ROW($BI$15:$BI$62))+1,_xlpm.f,INDEX($BL$15:$BL$62,_xlpm.p),_xlpm.u,INDEX($BM$15:$BM$62,_xlpm.p),_xlpm.s,INDEX($BO$15:$BO$62,_xlpm.p),_xlpm.q,N(AT418)/_xlpm.f,IF(_xlpm.q&gt;=_xlpm.s,ROUND(_xlpm.q,1)&amp;" "&amp;_xlpm.ai_test&amp;" = "&amp;ROUND(_xlpm.q*_xlpm.f,1)&amp;" "&amp;_xlpm.u,ROUND(_xlpm.q,1)&amp;" "&amp;_xlpm.ai_test)),""),""))))</f>
        <v>0</v>
      </c>
      <c r="AW418" s="1047"/>
      <c r="AX418" s="1034">
        <f t="shared" si="178"/>
        <v>0</v>
      </c>
      <c r="AY418" s="1035" t="str">
        <f t="shared" si="179"/>
        <v/>
      </c>
      <c r="AZ418" s="1036">
        <f t="shared" si="184"/>
        <v>0</v>
      </c>
      <c r="BA418" s="1037" t="str">
        <f t="shared" si="180"/>
        <v/>
      </c>
      <c r="BB418" s="1038"/>
      <c r="BC418" s="1039">
        <f t="shared" si="185"/>
        <v>0</v>
      </c>
      <c r="BD418" s="1040" t="str">
        <f t="shared" si="181"/>
        <v/>
      </c>
      <c r="BE418" s="227" t="s">
        <v>22</v>
      </c>
      <c r="BF418" s="1019">
        <f t="shared" si="182"/>
        <v>0</v>
      </c>
      <c r="BG418" s="1020">
        <f t="shared" si="183"/>
        <v>0</v>
      </c>
      <c r="BH418"/>
      <c r="BI418" s="709"/>
      <c r="BJ418" s="709"/>
      <c r="BK418" s="709"/>
      <c r="BL418" s="709"/>
      <c r="BM418" s="709"/>
      <c r="BN418" s="709"/>
      <c r="BO418" s="709"/>
      <c r="BP418" s="709"/>
      <c r="BW418" s="959" t="str">
        <f t="shared" si="164"/>
        <v>►</v>
      </c>
      <c r="BX418" s="856"/>
      <c r="BY418" s="856"/>
      <c r="BZ418" s="856"/>
      <c r="CA418" s="856"/>
      <c r="CB418" s="856"/>
      <c r="DB418" s="3">
        <v>1</v>
      </c>
    </row>
    <row r="419" spans="12:106" ht="21" customHeight="1">
      <c r="L419" s="104" t="s">
        <v>16</v>
      </c>
      <c r="M419" s="1172"/>
      <c r="N419" s="1172"/>
      <c r="O419" s="1172"/>
      <c r="P419" s="1173"/>
      <c r="Q419" s="1174"/>
      <c r="R419" s="1175"/>
      <c r="S419" s="1176"/>
      <c r="T419" s="1177"/>
      <c r="U419" s="5248"/>
      <c r="V419" s="1177"/>
      <c r="W419" s="5249"/>
      <c r="X419" s="5208"/>
      <c r="Y419" s="5209"/>
      <c r="Z419" s="5210"/>
      <c r="AA419" s="5211"/>
      <c r="AB419" s="1178"/>
      <c r="AC419" s="1179"/>
      <c r="AD419" s="227" t="s">
        <v>22</v>
      </c>
      <c r="AE419" s="1027" t="str">
        <f t="shared" si="165"/>
        <v>►</v>
      </c>
      <c r="AF419" s="1028" t="str">
        <f t="shared" si="166"/>
        <v/>
      </c>
      <c r="AG419" s="1029" t="str">
        <f t="shared" si="167"/>
        <v/>
      </c>
      <c r="AH419" s="1028" t="str">
        <f t="shared" si="168"/>
        <v/>
      </c>
      <c r="AI419" s="1029" t="str">
        <f t="shared" si="169"/>
        <v/>
      </c>
      <c r="AJ419" s="1029">
        <f t="shared" si="170"/>
        <v>0</v>
      </c>
      <c r="AK419" s="1043" t="str" cm="1">
        <f t="array" ref="AK419">IF(AE419&lt;&gt;"A","",IFERROR((IFERROR(_xlfn.XLOOKUP(TRIM(SUBSTITUTE(U419,CHAR(160)," ")),$BI$15:$BI$62,$BL$15:$BL$62),IFERROR(_xlfn.XLOOKUP(TRIM(SUBSTITUTE(U419,CHAR(160)," ")),$BJ$15:$BJ$62,$BL$15:$BL$62),_xlfn.XLOOKUP(TRIM(SUBSTITUTE(U419,CHAR(160)," ")),$BK$15:$BK$62,$BL$15:$BL$62))))*T419*IF(ISBLANK(Q419),1,Q419)+IFERROR(_xlfn.XLOOKUP("RECHERCHEX",TRIM(L419:AC419),L419:AC419),0),0))</f>
        <v/>
      </c>
      <c r="AL419" s="1030">
        <f t="shared" si="171"/>
        <v>0</v>
      </c>
      <c r="AM419" s="5254" t="str">
        <f t="shared" si="186"/>
        <v/>
      </c>
      <c r="AN419" s="1031">
        <f t="shared" si="172"/>
        <v>0</v>
      </c>
      <c r="AO419" s="1031">
        <f t="shared" si="173"/>
        <v>0</v>
      </c>
      <c r="AP419" s="1044">
        <f t="shared" si="174"/>
        <v>0</v>
      </c>
      <c r="AQ419" s="5257" t="str">
        <f t="shared" si="175"/>
        <v/>
      </c>
      <c r="AR419" s="1056"/>
      <c r="AS419" s="1056"/>
      <c r="AT419" s="1045">
        <f t="shared" si="176"/>
        <v>0</v>
      </c>
      <c r="AU419" s="1046">
        <f t="shared" si="177"/>
        <v>0</v>
      </c>
      <c r="AV419" s="1059" cm="1">
        <f t="array" ref="AV419">IF(AJ419&lt;&gt;1,0,IF(OR(AT419="",N(AT419)&lt;=0.000000001),"",IF(OR(AN419="",N(AN419)&lt;=0.000000001),0,IF(ISNUMBER(AT419),IFERROR(_xlfn.LET(_xlpm.ai_test,TRIM(AI419),_xlpm.r,IFERROR(_xlfn.XLOOKUP(_xlpm.ai_test,$BI$15:$BI$62,ROW($BI$15:$BI$62),0,1),IFERROR(_xlfn.XLOOKUP(_xlpm.ai_test,$BJ$15:$BJ$62,ROW($BJ$15:$BJ$62),0,1),_xlfn.XLOOKUP(_xlpm.ai_test,$BK$15:$BK$62,ROW($BK$15:$BK$62),0,1))),_xlpm.p,_xlpm.r-MIN(ROW($BI$15:$BI$62))+1,_xlpm.f,INDEX($BL$15:$BL$62,_xlpm.p),_xlpm.u,INDEX($BM$15:$BM$62,_xlpm.p),_xlpm.s,INDEX($BO$15:$BO$62,_xlpm.p),_xlpm.q,N(AT419)/_xlpm.f,IF(_xlpm.q&gt;=_xlpm.s,ROUND(_xlpm.q,1)&amp;" "&amp;_xlpm.ai_test&amp;" = "&amp;ROUND(_xlpm.q*_xlpm.f,1)&amp;" "&amp;_xlpm.u,ROUND(_xlpm.q,1)&amp;" "&amp;_xlpm.ai_test)),""),""))))</f>
        <v>0</v>
      </c>
      <c r="AW419" s="1047"/>
      <c r="AX419" s="1045">
        <f t="shared" si="178"/>
        <v>0</v>
      </c>
      <c r="AY419" s="1046" t="str">
        <f t="shared" si="179"/>
        <v/>
      </c>
      <c r="AZ419" s="1048">
        <f t="shared" si="184"/>
        <v>0</v>
      </c>
      <c r="BA419" s="1049" t="str">
        <f t="shared" si="180"/>
        <v/>
      </c>
      <c r="BB419" s="1038"/>
      <c r="BC419" s="1050">
        <f t="shared" si="185"/>
        <v>0</v>
      </c>
      <c r="BD419" s="1040" t="str">
        <f t="shared" si="181"/>
        <v/>
      </c>
      <c r="BE419" s="227" t="s">
        <v>22</v>
      </c>
      <c r="BF419" s="1019">
        <f t="shared" si="182"/>
        <v>0</v>
      </c>
      <c r="BG419" s="1020">
        <f t="shared" si="183"/>
        <v>0</v>
      </c>
      <c r="BH419"/>
      <c r="BI419" s="709"/>
      <c r="BJ419" s="709"/>
      <c r="BK419" s="709"/>
      <c r="BL419" s="709"/>
      <c r="BM419" s="709"/>
      <c r="BN419" s="709"/>
      <c r="BO419" s="709"/>
      <c r="BP419" s="709"/>
      <c r="BW419" s="959" t="str">
        <f t="shared" si="164"/>
        <v>►</v>
      </c>
      <c r="BX419" s="856"/>
      <c r="BY419" s="856"/>
      <c r="BZ419" s="856"/>
      <c r="CA419" s="856"/>
      <c r="CB419" s="856"/>
      <c r="DB419" s="3">
        <v>1</v>
      </c>
    </row>
    <row r="420" spans="12:106" ht="21" customHeight="1">
      <c r="L420" s="104" t="s">
        <v>16</v>
      </c>
      <c r="M420" s="1172"/>
      <c r="N420" s="1172"/>
      <c r="O420" s="1172"/>
      <c r="P420" s="1173"/>
      <c r="Q420" s="1174"/>
      <c r="R420" s="1175"/>
      <c r="S420" s="1176"/>
      <c r="T420" s="1177"/>
      <c r="U420" s="5248"/>
      <c r="V420" s="1177"/>
      <c r="W420" s="5249"/>
      <c r="X420" s="5208"/>
      <c r="Y420" s="5209"/>
      <c r="Z420" s="5210"/>
      <c r="AA420" s="5211"/>
      <c r="AB420" s="1178"/>
      <c r="AC420" s="1179"/>
      <c r="AD420" s="227" t="s">
        <v>22</v>
      </c>
      <c r="AE420" s="1027" t="str">
        <f t="shared" si="165"/>
        <v>►</v>
      </c>
      <c r="AF420" s="1028" t="str">
        <f t="shared" si="166"/>
        <v/>
      </c>
      <c r="AG420" s="1029" t="str">
        <f t="shared" si="167"/>
        <v/>
      </c>
      <c r="AH420" s="1028" t="str">
        <f t="shared" si="168"/>
        <v/>
      </c>
      <c r="AI420" s="1029" t="str">
        <f t="shared" si="169"/>
        <v/>
      </c>
      <c r="AJ420" s="1029">
        <f t="shared" si="170"/>
        <v>0</v>
      </c>
      <c r="AK420" s="1043" t="str" cm="1">
        <f t="array" ref="AK420">IF(AE420&lt;&gt;"A","",IFERROR((IFERROR(_xlfn.XLOOKUP(TRIM(SUBSTITUTE(U420,CHAR(160)," ")),$BI$15:$BI$62,$BL$15:$BL$62),IFERROR(_xlfn.XLOOKUP(TRIM(SUBSTITUTE(U420,CHAR(160)," ")),$BJ$15:$BJ$62,$BL$15:$BL$62),_xlfn.XLOOKUP(TRIM(SUBSTITUTE(U420,CHAR(160)," ")),$BK$15:$BK$62,$BL$15:$BL$62))))*T420*IF(ISBLANK(Q420),1,Q420)+IFERROR(_xlfn.XLOOKUP("RECHERCHEX",TRIM(L420:AC420),L420:AC420),0),0))</f>
        <v/>
      </c>
      <c r="AL420" s="1030">
        <f t="shared" si="171"/>
        <v>0</v>
      </c>
      <c r="AM420" s="5254" t="str">
        <f t="shared" si="186"/>
        <v/>
      </c>
      <c r="AN420" s="1031">
        <f t="shared" si="172"/>
        <v>0</v>
      </c>
      <c r="AO420" s="1031">
        <f t="shared" si="173"/>
        <v>0</v>
      </c>
      <c r="AP420" s="1032">
        <f t="shared" si="174"/>
        <v>0</v>
      </c>
      <c r="AQ420" s="5255" t="str">
        <f t="shared" si="175"/>
        <v/>
      </c>
      <c r="AR420" s="1056"/>
      <c r="AS420" s="1056"/>
      <c r="AT420" s="1034">
        <f t="shared" si="176"/>
        <v>0</v>
      </c>
      <c r="AU420" s="1035">
        <f t="shared" si="177"/>
        <v>0</v>
      </c>
      <c r="AV420" s="1057" cm="1">
        <f t="array" ref="AV420">IF(AJ420&lt;&gt;1,0,IF(OR(AT420="",N(AT420)&lt;=0.000000001),"",IF(OR(AN420="",N(AN420)&lt;=0.000000001),0,IF(ISNUMBER(AT420),IFERROR(_xlfn.LET(_xlpm.ai_test,TRIM(AI420),_xlpm.r,IFERROR(_xlfn.XLOOKUP(_xlpm.ai_test,$BI$15:$BI$62,ROW($BI$15:$BI$62),0,1),IFERROR(_xlfn.XLOOKUP(_xlpm.ai_test,$BJ$15:$BJ$62,ROW($BJ$15:$BJ$62),0,1),_xlfn.XLOOKUP(_xlpm.ai_test,$BK$15:$BK$62,ROW($BK$15:$BK$62),0,1))),_xlpm.p,_xlpm.r-MIN(ROW($BI$15:$BI$62))+1,_xlpm.f,INDEX($BL$15:$BL$62,_xlpm.p),_xlpm.u,INDEX($BM$15:$BM$62,_xlpm.p),_xlpm.s,INDEX($BO$15:$BO$62,_xlpm.p),_xlpm.q,N(AT420)/_xlpm.f,IF(_xlpm.q&gt;=_xlpm.s,ROUND(_xlpm.q,1)&amp;" "&amp;_xlpm.ai_test&amp;" = "&amp;ROUND(_xlpm.q*_xlpm.f,1)&amp;" "&amp;_xlpm.u,ROUND(_xlpm.q,1)&amp;" "&amp;_xlpm.ai_test)),""),""))))</f>
        <v>0</v>
      </c>
      <c r="AW420" s="1047"/>
      <c r="AX420" s="1034">
        <f t="shared" si="178"/>
        <v>0</v>
      </c>
      <c r="AY420" s="1035" t="str">
        <f t="shared" si="179"/>
        <v/>
      </c>
      <c r="AZ420" s="1036">
        <f t="shared" si="184"/>
        <v>0</v>
      </c>
      <c r="BA420" s="1037" t="str">
        <f t="shared" si="180"/>
        <v/>
      </c>
      <c r="BB420" s="1038"/>
      <c r="BC420" s="1039">
        <f t="shared" si="185"/>
        <v>0</v>
      </c>
      <c r="BD420" s="1040" t="str">
        <f t="shared" si="181"/>
        <v/>
      </c>
      <c r="BE420" s="227" t="s">
        <v>22</v>
      </c>
      <c r="BF420" s="1019">
        <f t="shared" si="182"/>
        <v>0</v>
      </c>
      <c r="BG420" s="1020">
        <f t="shared" si="183"/>
        <v>0</v>
      </c>
      <c r="BH420"/>
      <c r="BI420" s="709"/>
      <c r="BJ420" s="709"/>
      <c r="BK420" s="709"/>
      <c r="BL420" s="709"/>
      <c r="BM420" s="709"/>
      <c r="BN420" s="709"/>
      <c r="BO420" s="709"/>
      <c r="BP420" s="709"/>
      <c r="BW420" s="959" t="str">
        <f t="shared" si="164"/>
        <v>►</v>
      </c>
      <c r="BX420" s="856"/>
      <c r="BY420" s="856"/>
      <c r="BZ420" s="856"/>
      <c r="CA420" s="856"/>
      <c r="CB420" s="856"/>
      <c r="DB420" s="3">
        <v>1</v>
      </c>
    </row>
    <row r="421" spans="12:106" ht="21" customHeight="1">
      <c r="L421" s="104" t="s">
        <v>16</v>
      </c>
      <c r="M421" s="1172"/>
      <c r="N421" s="1172"/>
      <c r="O421" s="1172"/>
      <c r="P421" s="1173"/>
      <c r="Q421" s="1174"/>
      <c r="R421" s="1175"/>
      <c r="S421" s="1176"/>
      <c r="T421" s="1177"/>
      <c r="U421" s="5248"/>
      <c r="V421" s="1177"/>
      <c r="W421" s="5249"/>
      <c r="X421" s="5208"/>
      <c r="Y421" s="5209"/>
      <c r="Z421" s="5210"/>
      <c r="AA421" s="5211"/>
      <c r="AB421" s="1178"/>
      <c r="AC421" s="1179"/>
      <c r="AD421" s="227" t="s">
        <v>22</v>
      </c>
      <c r="AE421" s="1027" t="str">
        <f t="shared" si="165"/>
        <v>►</v>
      </c>
      <c r="AF421" s="1028" t="str">
        <f t="shared" si="166"/>
        <v/>
      </c>
      <c r="AG421" s="1029" t="str">
        <f t="shared" si="167"/>
        <v/>
      </c>
      <c r="AH421" s="1028" t="str">
        <f t="shared" si="168"/>
        <v/>
      </c>
      <c r="AI421" s="1029" t="str">
        <f t="shared" si="169"/>
        <v/>
      </c>
      <c r="AJ421" s="1029">
        <f t="shared" si="170"/>
        <v>0</v>
      </c>
      <c r="AK421" s="1043" t="str" cm="1">
        <f t="array" ref="AK421">IF(AE421&lt;&gt;"A","",IFERROR((IFERROR(_xlfn.XLOOKUP(TRIM(SUBSTITUTE(U421,CHAR(160)," ")),$BI$15:$BI$62,$BL$15:$BL$62),IFERROR(_xlfn.XLOOKUP(TRIM(SUBSTITUTE(U421,CHAR(160)," ")),$BJ$15:$BJ$62,$BL$15:$BL$62),_xlfn.XLOOKUP(TRIM(SUBSTITUTE(U421,CHAR(160)," ")),$BK$15:$BK$62,$BL$15:$BL$62))))*T421*IF(ISBLANK(Q421),1,Q421)+IFERROR(_xlfn.XLOOKUP("RECHERCHEX",TRIM(L421:AC421),L421:AC421),0),0))</f>
        <v/>
      </c>
      <c r="AL421" s="1030">
        <f t="shared" si="171"/>
        <v>0</v>
      </c>
      <c r="AM421" s="5254" t="str">
        <f t="shared" si="186"/>
        <v/>
      </c>
      <c r="AN421" s="1031">
        <f t="shared" si="172"/>
        <v>0</v>
      </c>
      <c r="AO421" s="1031">
        <f t="shared" si="173"/>
        <v>0</v>
      </c>
      <c r="AP421" s="1044">
        <f t="shared" si="174"/>
        <v>0</v>
      </c>
      <c r="AQ421" s="5257" t="str">
        <f t="shared" si="175"/>
        <v/>
      </c>
      <c r="AR421" s="1056"/>
      <c r="AS421" s="1056"/>
      <c r="AT421" s="1045">
        <f t="shared" si="176"/>
        <v>0</v>
      </c>
      <c r="AU421" s="1046">
        <f t="shared" si="177"/>
        <v>0</v>
      </c>
      <c r="AV421" s="1059" cm="1">
        <f t="array" ref="AV421">IF(AJ421&lt;&gt;1,0,IF(OR(AT421="",N(AT421)&lt;=0.000000001),"",IF(OR(AN421="",N(AN421)&lt;=0.000000001),0,IF(ISNUMBER(AT421),IFERROR(_xlfn.LET(_xlpm.ai_test,TRIM(AI421),_xlpm.r,IFERROR(_xlfn.XLOOKUP(_xlpm.ai_test,$BI$15:$BI$62,ROW($BI$15:$BI$62),0,1),IFERROR(_xlfn.XLOOKUP(_xlpm.ai_test,$BJ$15:$BJ$62,ROW($BJ$15:$BJ$62),0,1),_xlfn.XLOOKUP(_xlpm.ai_test,$BK$15:$BK$62,ROW($BK$15:$BK$62),0,1))),_xlpm.p,_xlpm.r-MIN(ROW($BI$15:$BI$62))+1,_xlpm.f,INDEX($BL$15:$BL$62,_xlpm.p),_xlpm.u,INDEX($BM$15:$BM$62,_xlpm.p),_xlpm.s,INDEX($BO$15:$BO$62,_xlpm.p),_xlpm.q,N(AT421)/_xlpm.f,IF(_xlpm.q&gt;=_xlpm.s,ROUND(_xlpm.q,1)&amp;" "&amp;_xlpm.ai_test&amp;" = "&amp;ROUND(_xlpm.q*_xlpm.f,1)&amp;" "&amp;_xlpm.u,ROUND(_xlpm.q,1)&amp;" "&amp;_xlpm.ai_test)),""),""))))</f>
        <v>0</v>
      </c>
      <c r="AW421" s="1047"/>
      <c r="AX421" s="1045">
        <f t="shared" si="178"/>
        <v>0</v>
      </c>
      <c r="AY421" s="1046" t="str">
        <f t="shared" si="179"/>
        <v/>
      </c>
      <c r="AZ421" s="1048">
        <f t="shared" si="184"/>
        <v>0</v>
      </c>
      <c r="BA421" s="1049" t="str">
        <f t="shared" si="180"/>
        <v/>
      </c>
      <c r="BB421" s="1038"/>
      <c r="BC421" s="1050">
        <f t="shared" si="185"/>
        <v>0</v>
      </c>
      <c r="BD421" s="1040" t="str">
        <f t="shared" si="181"/>
        <v/>
      </c>
      <c r="BE421" s="227" t="s">
        <v>22</v>
      </c>
      <c r="BF421" s="1019">
        <f t="shared" si="182"/>
        <v>0</v>
      </c>
      <c r="BG421" s="1020">
        <f t="shared" si="183"/>
        <v>0</v>
      </c>
      <c r="BH421"/>
      <c r="BI421" s="709"/>
      <c r="BJ421" s="709"/>
      <c r="BK421" s="709"/>
      <c r="BL421" s="709"/>
      <c r="BM421" s="709"/>
      <c r="BN421" s="709"/>
      <c r="BO421" s="709"/>
      <c r="BP421" s="709"/>
      <c r="BW421" s="959" t="str">
        <f t="shared" si="164"/>
        <v>►</v>
      </c>
      <c r="BX421" s="856"/>
      <c r="BY421" s="856"/>
      <c r="BZ421" s="856"/>
      <c r="CA421" s="856"/>
      <c r="CB421" s="856"/>
      <c r="DB421" s="3">
        <v>1</v>
      </c>
    </row>
    <row r="422" spans="12:106" ht="21" customHeight="1">
      <c r="L422" s="104" t="s">
        <v>16</v>
      </c>
      <c r="M422" s="1172"/>
      <c r="N422" s="1172"/>
      <c r="O422" s="1172"/>
      <c r="P422" s="1173"/>
      <c r="Q422" s="1174"/>
      <c r="R422" s="1175"/>
      <c r="S422" s="1176"/>
      <c r="T422" s="1177"/>
      <c r="U422" s="5248"/>
      <c r="V422" s="1177"/>
      <c r="W422" s="5249"/>
      <c r="X422" s="5208"/>
      <c r="Y422" s="5209"/>
      <c r="Z422" s="5210"/>
      <c r="AA422" s="5211"/>
      <c r="AB422" s="1178"/>
      <c r="AC422" s="1179"/>
      <c r="AD422" s="227" t="s">
        <v>22</v>
      </c>
      <c r="AE422" s="1027" t="str">
        <f t="shared" si="165"/>
        <v>►</v>
      </c>
      <c r="AF422" s="1028" t="str">
        <f t="shared" si="166"/>
        <v/>
      </c>
      <c r="AG422" s="1029" t="str">
        <f t="shared" si="167"/>
        <v/>
      </c>
      <c r="AH422" s="1028" t="str">
        <f t="shared" si="168"/>
        <v/>
      </c>
      <c r="AI422" s="1029" t="str">
        <f t="shared" si="169"/>
        <v/>
      </c>
      <c r="AJ422" s="1029">
        <f t="shared" si="170"/>
        <v>0</v>
      </c>
      <c r="AK422" s="1043" t="str" cm="1">
        <f t="array" ref="AK422">IF(AE422&lt;&gt;"A","",IFERROR((IFERROR(_xlfn.XLOOKUP(TRIM(SUBSTITUTE(U422,CHAR(160)," ")),$BI$15:$BI$62,$BL$15:$BL$62),IFERROR(_xlfn.XLOOKUP(TRIM(SUBSTITUTE(U422,CHAR(160)," ")),$BJ$15:$BJ$62,$BL$15:$BL$62),_xlfn.XLOOKUP(TRIM(SUBSTITUTE(U422,CHAR(160)," ")),$BK$15:$BK$62,$BL$15:$BL$62))))*T422*IF(ISBLANK(Q422),1,Q422)+IFERROR(_xlfn.XLOOKUP("RECHERCHEX",TRIM(L422:AC422),L422:AC422),0),0))</f>
        <v/>
      </c>
      <c r="AL422" s="1030">
        <f t="shared" si="171"/>
        <v>0</v>
      </c>
      <c r="AM422" s="5254" t="str">
        <f t="shared" si="186"/>
        <v/>
      </c>
      <c r="AN422" s="1031">
        <f t="shared" si="172"/>
        <v>0</v>
      </c>
      <c r="AO422" s="1031">
        <f t="shared" si="173"/>
        <v>0</v>
      </c>
      <c r="AP422" s="1032">
        <f t="shared" si="174"/>
        <v>0</v>
      </c>
      <c r="AQ422" s="5255" t="str">
        <f t="shared" si="175"/>
        <v/>
      </c>
      <c r="AR422" s="1056"/>
      <c r="AS422" s="1056"/>
      <c r="AT422" s="1034">
        <f t="shared" si="176"/>
        <v>0</v>
      </c>
      <c r="AU422" s="1035">
        <f t="shared" si="177"/>
        <v>0</v>
      </c>
      <c r="AV422" s="1057" cm="1">
        <f t="array" ref="AV422">IF(AJ422&lt;&gt;1,0,IF(OR(AT422="",N(AT422)&lt;=0.000000001),"",IF(OR(AN422="",N(AN422)&lt;=0.000000001),0,IF(ISNUMBER(AT422),IFERROR(_xlfn.LET(_xlpm.ai_test,TRIM(AI422),_xlpm.r,IFERROR(_xlfn.XLOOKUP(_xlpm.ai_test,$BI$15:$BI$62,ROW($BI$15:$BI$62),0,1),IFERROR(_xlfn.XLOOKUP(_xlpm.ai_test,$BJ$15:$BJ$62,ROW($BJ$15:$BJ$62),0,1),_xlfn.XLOOKUP(_xlpm.ai_test,$BK$15:$BK$62,ROW($BK$15:$BK$62),0,1))),_xlpm.p,_xlpm.r-MIN(ROW($BI$15:$BI$62))+1,_xlpm.f,INDEX($BL$15:$BL$62,_xlpm.p),_xlpm.u,INDEX($BM$15:$BM$62,_xlpm.p),_xlpm.s,INDEX($BO$15:$BO$62,_xlpm.p),_xlpm.q,N(AT422)/_xlpm.f,IF(_xlpm.q&gt;=_xlpm.s,ROUND(_xlpm.q,1)&amp;" "&amp;_xlpm.ai_test&amp;" = "&amp;ROUND(_xlpm.q*_xlpm.f,1)&amp;" "&amp;_xlpm.u,ROUND(_xlpm.q,1)&amp;" "&amp;_xlpm.ai_test)),""),""))))</f>
        <v>0</v>
      </c>
      <c r="AW422" s="1047"/>
      <c r="AX422" s="1034">
        <f t="shared" si="178"/>
        <v>0</v>
      </c>
      <c r="AY422" s="1035" t="str">
        <f t="shared" si="179"/>
        <v/>
      </c>
      <c r="AZ422" s="1036">
        <f t="shared" si="184"/>
        <v>0</v>
      </c>
      <c r="BA422" s="1037" t="str">
        <f t="shared" si="180"/>
        <v/>
      </c>
      <c r="BB422" s="1038"/>
      <c r="BC422" s="1039">
        <f t="shared" si="185"/>
        <v>0</v>
      </c>
      <c r="BD422" s="1040" t="str">
        <f t="shared" si="181"/>
        <v/>
      </c>
      <c r="BE422" s="227" t="s">
        <v>22</v>
      </c>
      <c r="BF422" s="1019">
        <f t="shared" si="182"/>
        <v>0</v>
      </c>
      <c r="BG422" s="1020">
        <f t="shared" si="183"/>
        <v>0</v>
      </c>
      <c r="BH422"/>
      <c r="BI422" s="709"/>
      <c r="BJ422" s="709"/>
      <c r="BK422" s="709"/>
      <c r="BL422" s="709"/>
      <c r="BM422" s="709"/>
      <c r="BN422" s="709"/>
      <c r="BO422" s="709"/>
      <c r="BP422" s="709"/>
      <c r="BW422" s="959" t="str">
        <f t="shared" si="164"/>
        <v>►</v>
      </c>
      <c r="BX422" s="856"/>
      <c r="BY422" s="856"/>
      <c r="BZ422" s="856"/>
      <c r="CA422" s="856"/>
      <c r="CB422" s="856"/>
      <c r="DB422" s="3">
        <v>1</v>
      </c>
    </row>
    <row r="423" spans="12:106" ht="21" customHeight="1">
      <c r="L423" s="104" t="s">
        <v>16</v>
      </c>
      <c r="M423" s="1172"/>
      <c r="N423" s="1172"/>
      <c r="O423" s="1172"/>
      <c r="P423" s="1173"/>
      <c r="Q423" s="1174"/>
      <c r="R423" s="1175"/>
      <c r="S423" s="1176"/>
      <c r="T423" s="1177"/>
      <c r="U423" s="5248"/>
      <c r="V423" s="1177"/>
      <c r="W423" s="5249"/>
      <c r="X423" s="5208"/>
      <c r="Y423" s="5209"/>
      <c r="Z423" s="5210"/>
      <c r="AA423" s="5211"/>
      <c r="AB423" s="1178"/>
      <c r="AC423" s="1179"/>
      <c r="AD423" s="227" t="s">
        <v>22</v>
      </c>
      <c r="AE423" s="1027" t="str">
        <f t="shared" si="165"/>
        <v>►</v>
      </c>
      <c r="AF423" s="1028" t="str">
        <f t="shared" si="166"/>
        <v/>
      </c>
      <c r="AG423" s="1029" t="str">
        <f t="shared" si="167"/>
        <v/>
      </c>
      <c r="AH423" s="1028" t="str">
        <f t="shared" si="168"/>
        <v/>
      </c>
      <c r="AI423" s="1029" t="str">
        <f t="shared" si="169"/>
        <v/>
      </c>
      <c r="AJ423" s="1029">
        <f t="shared" si="170"/>
        <v>0</v>
      </c>
      <c r="AK423" s="1043" t="str" cm="1">
        <f t="array" ref="AK423">IF(AE423&lt;&gt;"A","",IFERROR((IFERROR(_xlfn.XLOOKUP(TRIM(SUBSTITUTE(U423,CHAR(160)," ")),$BI$15:$BI$62,$BL$15:$BL$62),IFERROR(_xlfn.XLOOKUP(TRIM(SUBSTITUTE(U423,CHAR(160)," ")),$BJ$15:$BJ$62,$BL$15:$BL$62),_xlfn.XLOOKUP(TRIM(SUBSTITUTE(U423,CHAR(160)," ")),$BK$15:$BK$62,$BL$15:$BL$62))))*T423*IF(ISBLANK(Q423),1,Q423)+IFERROR(_xlfn.XLOOKUP("RECHERCHEX",TRIM(L423:AC423),L423:AC423),0),0))</f>
        <v/>
      </c>
      <c r="AL423" s="1030">
        <f t="shared" si="171"/>
        <v>0</v>
      </c>
      <c r="AM423" s="5254" t="str">
        <f t="shared" si="186"/>
        <v/>
      </c>
      <c r="AN423" s="1031">
        <f t="shared" si="172"/>
        <v>0</v>
      </c>
      <c r="AO423" s="1031">
        <f t="shared" si="173"/>
        <v>0</v>
      </c>
      <c r="AP423" s="1044">
        <f t="shared" si="174"/>
        <v>0</v>
      </c>
      <c r="AQ423" s="5257" t="str">
        <f t="shared" si="175"/>
        <v/>
      </c>
      <c r="AR423" s="1056"/>
      <c r="AS423" s="1056"/>
      <c r="AT423" s="1045">
        <f t="shared" si="176"/>
        <v>0</v>
      </c>
      <c r="AU423" s="1046">
        <f t="shared" si="177"/>
        <v>0</v>
      </c>
      <c r="AV423" s="1059" cm="1">
        <f t="array" ref="AV423">IF(AJ423&lt;&gt;1,0,IF(OR(AT423="",N(AT423)&lt;=0.000000001),"",IF(OR(AN423="",N(AN423)&lt;=0.000000001),0,IF(ISNUMBER(AT423),IFERROR(_xlfn.LET(_xlpm.ai_test,TRIM(AI423),_xlpm.r,IFERROR(_xlfn.XLOOKUP(_xlpm.ai_test,$BI$15:$BI$62,ROW($BI$15:$BI$62),0,1),IFERROR(_xlfn.XLOOKUP(_xlpm.ai_test,$BJ$15:$BJ$62,ROW($BJ$15:$BJ$62),0,1),_xlfn.XLOOKUP(_xlpm.ai_test,$BK$15:$BK$62,ROW($BK$15:$BK$62),0,1))),_xlpm.p,_xlpm.r-MIN(ROW($BI$15:$BI$62))+1,_xlpm.f,INDEX($BL$15:$BL$62,_xlpm.p),_xlpm.u,INDEX($BM$15:$BM$62,_xlpm.p),_xlpm.s,INDEX($BO$15:$BO$62,_xlpm.p),_xlpm.q,N(AT423)/_xlpm.f,IF(_xlpm.q&gt;=_xlpm.s,ROUND(_xlpm.q,1)&amp;" "&amp;_xlpm.ai_test&amp;" = "&amp;ROUND(_xlpm.q*_xlpm.f,1)&amp;" "&amp;_xlpm.u,ROUND(_xlpm.q,1)&amp;" "&amp;_xlpm.ai_test)),""),""))))</f>
        <v>0</v>
      </c>
      <c r="AW423" s="1047"/>
      <c r="AX423" s="1045">
        <f t="shared" si="178"/>
        <v>0</v>
      </c>
      <c r="AY423" s="1046" t="str">
        <f t="shared" si="179"/>
        <v/>
      </c>
      <c r="AZ423" s="1048">
        <f t="shared" si="184"/>
        <v>0</v>
      </c>
      <c r="BA423" s="1049" t="str">
        <f t="shared" si="180"/>
        <v/>
      </c>
      <c r="BB423" s="1038"/>
      <c r="BC423" s="1050">
        <f t="shared" si="185"/>
        <v>0</v>
      </c>
      <c r="BD423" s="1040" t="str">
        <f t="shared" si="181"/>
        <v/>
      </c>
      <c r="BE423" s="227" t="s">
        <v>22</v>
      </c>
      <c r="BF423" s="1019">
        <f t="shared" si="182"/>
        <v>0</v>
      </c>
      <c r="BG423" s="1020">
        <f t="shared" si="183"/>
        <v>0</v>
      </c>
      <c r="BH423"/>
      <c r="BI423" s="709"/>
      <c r="BJ423" s="709"/>
      <c r="BK423" s="709"/>
      <c r="BL423" s="709"/>
      <c r="BM423" s="709"/>
      <c r="BN423" s="709"/>
      <c r="BO423" s="709"/>
      <c r="BP423" s="709"/>
      <c r="BW423" s="959" t="str">
        <f t="shared" si="164"/>
        <v>►</v>
      </c>
      <c r="BX423" s="856"/>
      <c r="BY423" s="856"/>
      <c r="BZ423" s="856"/>
      <c r="CA423" s="856"/>
      <c r="CB423" s="856"/>
      <c r="DB423" s="3">
        <v>1</v>
      </c>
    </row>
    <row r="424" spans="12:106" ht="21" customHeight="1">
      <c r="L424" s="104" t="s">
        <v>16</v>
      </c>
      <c r="M424" s="1172"/>
      <c r="N424" s="1172"/>
      <c r="O424" s="1172"/>
      <c r="P424" s="1173"/>
      <c r="Q424" s="1174"/>
      <c r="R424" s="1175"/>
      <c r="S424" s="1176"/>
      <c r="T424" s="1177"/>
      <c r="U424" s="5248"/>
      <c r="V424" s="1177"/>
      <c r="W424" s="5249"/>
      <c r="X424" s="5208"/>
      <c r="Y424" s="5209"/>
      <c r="Z424" s="5210"/>
      <c r="AA424" s="5211"/>
      <c r="AB424" s="1178"/>
      <c r="AC424" s="1179"/>
      <c r="AD424" s="227" t="s">
        <v>22</v>
      </c>
      <c r="AE424" s="1027" t="str">
        <f t="shared" si="165"/>
        <v>►</v>
      </c>
      <c r="AF424" s="1028" t="str">
        <f t="shared" si="166"/>
        <v/>
      </c>
      <c r="AG424" s="1029" t="str">
        <f t="shared" si="167"/>
        <v/>
      </c>
      <c r="AH424" s="1028" t="str">
        <f t="shared" si="168"/>
        <v/>
      </c>
      <c r="AI424" s="1029" t="str">
        <f t="shared" si="169"/>
        <v/>
      </c>
      <c r="AJ424" s="1029">
        <f t="shared" si="170"/>
        <v>0</v>
      </c>
      <c r="AK424" s="1043" t="str" cm="1">
        <f t="array" ref="AK424">IF(AE424&lt;&gt;"A","",IFERROR((IFERROR(_xlfn.XLOOKUP(TRIM(SUBSTITUTE(U424,CHAR(160)," ")),$BI$15:$BI$62,$BL$15:$BL$62),IFERROR(_xlfn.XLOOKUP(TRIM(SUBSTITUTE(U424,CHAR(160)," ")),$BJ$15:$BJ$62,$BL$15:$BL$62),_xlfn.XLOOKUP(TRIM(SUBSTITUTE(U424,CHAR(160)," ")),$BK$15:$BK$62,$BL$15:$BL$62))))*T424*IF(ISBLANK(Q424),1,Q424)+IFERROR(_xlfn.XLOOKUP("RECHERCHEX",TRIM(L424:AC424),L424:AC424),0),0))</f>
        <v/>
      </c>
      <c r="AL424" s="1030">
        <f t="shared" si="171"/>
        <v>0</v>
      </c>
      <c r="AM424" s="5254" t="str">
        <f t="shared" si="186"/>
        <v/>
      </c>
      <c r="AN424" s="1031">
        <f t="shared" si="172"/>
        <v>0</v>
      </c>
      <c r="AO424" s="1031">
        <f t="shared" si="173"/>
        <v>0</v>
      </c>
      <c r="AP424" s="1032">
        <f t="shared" si="174"/>
        <v>0</v>
      </c>
      <c r="AQ424" s="5255" t="str">
        <f t="shared" si="175"/>
        <v/>
      </c>
      <c r="AR424" s="1056"/>
      <c r="AS424" s="1056"/>
      <c r="AT424" s="1034">
        <f t="shared" si="176"/>
        <v>0</v>
      </c>
      <c r="AU424" s="1035">
        <f t="shared" si="177"/>
        <v>0</v>
      </c>
      <c r="AV424" s="1057" cm="1">
        <f t="array" ref="AV424">IF(AJ424&lt;&gt;1,0,IF(OR(AT424="",N(AT424)&lt;=0.000000001),"",IF(OR(AN424="",N(AN424)&lt;=0.000000001),0,IF(ISNUMBER(AT424),IFERROR(_xlfn.LET(_xlpm.ai_test,TRIM(AI424),_xlpm.r,IFERROR(_xlfn.XLOOKUP(_xlpm.ai_test,$BI$15:$BI$62,ROW($BI$15:$BI$62),0,1),IFERROR(_xlfn.XLOOKUP(_xlpm.ai_test,$BJ$15:$BJ$62,ROW($BJ$15:$BJ$62),0,1),_xlfn.XLOOKUP(_xlpm.ai_test,$BK$15:$BK$62,ROW($BK$15:$BK$62),0,1))),_xlpm.p,_xlpm.r-MIN(ROW($BI$15:$BI$62))+1,_xlpm.f,INDEX($BL$15:$BL$62,_xlpm.p),_xlpm.u,INDEX($BM$15:$BM$62,_xlpm.p),_xlpm.s,INDEX($BO$15:$BO$62,_xlpm.p),_xlpm.q,N(AT424)/_xlpm.f,IF(_xlpm.q&gt;=_xlpm.s,ROUND(_xlpm.q,1)&amp;" "&amp;_xlpm.ai_test&amp;" = "&amp;ROUND(_xlpm.q*_xlpm.f,1)&amp;" "&amp;_xlpm.u,ROUND(_xlpm.q,1)&amp;" "&amp;_xlpm.ai_test)),""),""))))</f>
        <v>0</v>
      </c>
      <c r="AW424" s="1047"/>
      <c r="AX424" s="1034">
        <f t="shared" si="178"/>
        <v>0</v>
      </c>
      <c r="AY424" s="1035" t="str">
        <f t="shared" si="179"/>
        <v/>
      </c>
      <c r="AZ424" s="1036">
        <f t="shared" si="184"/>
        <v>0</v>
      </c>
      <c r="BA424" s="1037" t="str">
        <f t="shared" si="180"/>
        <v/>
      </c>
      <c r="BB424" s="1038"/>
      <c r="BC424" s="1039">
        <f t="shared" si="185"/>
        <v>0</v>
      </c>
      <c r="BD424" s="1040" t="str">
        <f t="shared" si="181"/>
        <v/>
      </c>
      <c r="BE424" s="227" t="s">
        <v>22</v>
      </c>
      <c r="BF424" s="1019">
        <f t="shared" si="182"/>
        <v>0</v>
      </c>
      <c r="BG424" s="1020">
        <f t="shared" si="183"/>
        <v>0</v>
      </c>
      <c r="BH424"/>
      <c r="BI424" s="709"/>
      <c r="BJ424" s="709"/>
      <c r="BK424" s="709"/>
      <c r="BL424" s="709"/>
      <c r="BM424" s="709"/>
      <c r="BN424" s="709"/>
      <c r="BO424" s="709"/>
      <c r="BP424" s="709"/>
      <c r="BW424" s="959" t="str">
        <f t="shared" si="164"/>
        <v>►</v>
      </c>
      <c r="BX424" s="856"/>
      <c r="BY424" s="856"/>
      <c r="BZ424" s="856"/>
      <c r="CA424" s="856"/>
      <c r="CB424" s="856"/>
      <c r="DB424" s="3">
        <v>1</v>
      </c>
    </row>
    <row r="425" spans="12:106" ht="21" customHeight="1">
      <c r="L425" s="104" t="s">
        <v>16</v>
      </c>
      <c r="M425" s="1172"/>
      <c r="N425" s="1172"/>
      <c r="O425" s="1172"/>
      <c r="P425" s="1173"/>
      <c r="Q425" s="1174"/>
      <c r="R425" s="1175"/>
      <c r="S425" s="1176"/>
      <c r="T425" s="1177"/>
      <c r="U425" s="5248"/>
      <c r="V425" s="1177"/>
      <c r="W425" s="5249"/>
      <c r="X425" s="5208"/>
      <c r="Y425" s="5209"/>
      <c r="Z425" s="5210"/>
      <c r="AA425" s="5211"/>
      <c r="AB425" s="1178"/>
      <c r="AC425" s="1179"/>
      <c r="AD425" s="227" t="s">
        <v>22</v>
      </c>
      <c r="AE425" s="1027" t="str">
        <f t="shared" si="165"/>
        <v>►</v>
      </c>
      <c r="AF425" s="1028" t="str">
        <f t="shared" si="166"/>
        <v/>
      </c>
      <c r="AG425" s="1029" t="str">
        <f t="shared" si="167"/>
        <v/>
      </c>
      <c r="AH425" s="1028" t="str">
        <f t="shared" si="168"/>
        <v/>
      </c>
      <c r="AI425" s="1029" t="str">
        <f t="shared" si="169"/>
        <v/>
      </c>
      <c r="AJ425" s="1029">
        <f t="shared" si="170"/>
        <v>0</v>
      </c>
      <c r="AK425" s="1043" t="str" cm="1">
        <f t="array" ref="AK425">IF(AE425&lt;&gt;"A","",IFERROR((IFERROR(_xlfn.XLOOKUP(TRIM(SUBSTITUTE(U425,CHAR(160)," ")),$BI$15:$BI$62,$BL$15:$BL$62),IFERROR(_xlfn.XLOOKUP(TRIM(SUBSTITUTE(U425,CHAR(160)," ")),$BJ$15:$BJ$62,$BL$15:$BL$62),_xlfn.XLOOKUP(TRIM(SUBSTITUTE(U425,CHAR(160)," ")),$BK$15:$BK$62,$BL$15:$BL$62))))*T425*IF(ISBLANK(Q425),1,Q425)+IFERROR(_xlfn.XLOOKUP("RECHERCHEX",TRIM(L425:AC425),L425:AC425),0),0))</f>
        <v/>
      </c>
      <c r="AL425" s="1030">
        <f t="shared" si="171"/>
        <v>0</v>
      </c>
      <c r="AM425" s="5254" t="str">
        <f t="shared" si="186"/>
        <v/>
      </c>
      <c r="AN425" s="1031">
        <f t="shared" si="172"/>
        <v>0</v>
      </c>
      <c r="AO425" s="1031">
        <f t="shared" si="173"/>
        <v>0</v>
      </c>
      <c r="AP425" s="1044">
        <f t="shared" si="174"/>
        <v>0</v>
      </c>
      <c r="AQ425" s="5257" t="str">
        <f t="shared" si="175"/>
        <v/>
      </c>
      <c r="AR425" s="1056"/>
      <c r="AS425" s="1056"/>
      <c r="AT425" s="1045">
        <f t="shared" si="176"/>
        <v>0</v>
      </c>
      <c r="AU425" s="1046">
        <f t="shared" si="177"/>
        <v>0</v>
      </c>
      <c r="AV425" s="1059" cm="1">
        <f t="array" ref="AV425">IF(AJ425&lt;&gt;1,0,IF(OR(AT425="",N(AT425)&lt;=0.000000001),"",IF(OR(AN425="",N(AN425)&lt;=0.000000001),0,IF(ISNUMBER(AT425),IFERROR(_xlfn.LET(_xlpm.ai_test,TRIM(AI425),_xlpm.r,IFERROR(_xlfn.XLOOKUP(_xlpm.ai_test,$BI$15:$BI$62,ROW($BI$15:$BI$62),0,1),IFERROR(_xlfn.XLOOKUP(_xlpm.ai_test,$BJ$15:$BJ$62,ROW($BJ$15:$BJ$62),0,1),_xlfn.XLOOKUP(_xlpm.ai_test,$BK$15:$BK$62,ROW($BK$15:$BK$62),0,1))),_xlpm.p,_xlpm.r-MIN(ROW($BI$15:$BI$62))+1,_xlpm.f,INDEX($BL$15:$BL$62,_xlpm.p),_xlpm.u,INDEX($BM$15:$BM$62,_xlpm.p),_xlpm.s,INDEX($BO$15:$BO$62,_xlpm.p),_xlpm.q,N(AT425)/_xlpm.f,IF(_xlpm.q&gt;=_xlpm.s,ROUND(_xlpm.q,1)&amp;" "&amp;_xlpm.ai_test&amp;" = "&amp;ROUND(_xlpm.q*_xlpm.f,1)&amp;" "&amp;_xlpm.u,ROUND(_xlpm.q,1)&amp;" "&amp;_xlpm.ai_test)),""),""))))</f>
        <v>0</v>
      </c>
      <c r="AW425" s="1047"/>
      <c r="AX425" s="1045">
        <f t="shared" si="178"/>
        <v>0</v>
      </c>
      <c r="AY425" s="1046" t="str">
        <f t="shared" si="179"/>
        <v/>
      </c>
      <c r="AZ425" s="1048">
        <f t="shared" si="184"/>
        <v>0</v>
      </c>
      <c r="BA425" s="1049" t="str">
        <f t="shared" si="180"/>
        <v/>
      </c>
      <c r="BB425" s="1038"/>
      <c r="BC425" s="1050">
        <f t="shared" si="185"/>
        <v>0</v>
      </c>
      <c r="BD425" s="1040" t="str">
        <f t="shared" si="181"/>
        <v/>
      </c>
      <c r="BE425" s="227" t="s">
        <v>22</v>
      </c>
      <c r="BF425" s="1019">
        <f t="shared" si="182"/>
        <v>0</v>
      </c>
      <c r="BG425" s="1020">
        <f t="shared" si="183"/>
        <v>0</v>
      </c>
      <c r="BH425"/>
      <c r="BI425" s="709"/>
      <c r="BJ425" s="709"/>
      <c r="BK425" s="709"/>
      <c r="BL425" s="709"/>
      <c r="BM425" s="709"/>
      <c r="BN425" s="709"/>
      <c r="BO425" s="709"/>
      <c r="BP425" s="709"/>
      <c r="BW425" s="959" t="str">
        <f t="shared" si="164"/>
        <v>►</v>
      </c>
      <c r="BX425" s="856"/>
      <c r="BY425" s="856"/>
      <c r="BZ425" s="856"/>
      <c r="CA425" s="856"/>
      <c r="CB425" s="856"/>
      <c r="DB425" s="3">
        <v>1</v>
      </c>
    </row>
    <row r="426" spans="12:106" ht="21" customHeight="1">
      <c r="L426" s="104" t="s">
        <v>16</v>
      </c>
      <c r="M426" s="1172"/>
      <c r="N426" s="1172"/>
      <c r="O426" s="1172"/>
      <c r="P426" s="1173"/>
      <c r="Q426" s="1174"/>
      <c r="R426" s="1175"/>
      <c r="S426" s="1176"/>
      <c r="T426" s="1177"/>
      <c r="U426" s="5248"/>
      <c r="V426" s="1177"/>
      <c r="W426" s="5249"/>
      <c r="X426" s="5208"/>
      <c r="Y426" s="5209"/>
      <c r="Z426" s="5210"/>
      <c r="AA426" s="5211"/>
      <c r="AB426" s="1178"/>
      <c r="AC426" s="1179"/>
      <c r="AD426" s="227" t="s">
        <v>22</v>
      </c>
      <c r="AE426" s="1027" t="str">
        <f t="shared" si="165"/>
        <v>►</v>
      </c>
      <c r="AF426" s="1028" t="str">
        <f t="shared" si="166"/>
        <v/>
      </c>
      <c r="AG426" s="1029" t="str">
        <f t="shared" si="167"/>
        <v/>
      </c>
      <c r="AH426" s="1028" t="str">
        <f t="shared" si="168"/>
        <v/>
      </c>
      <c r="AI426" s="1029" t="str">
        <f t="shared" si="169"/>
        <v/>
      </c>
      <c r="AJ426" s="1029">
        <f t="shared" si="170"/>
        <v>0</v>
      </c>
      <c r="AK426" s="1043" t="str" cm="1">
        <f t="array" ref="AK426">IF(AE426&lt;&gt;"A","",IFERROR((IFERROR(_xlfn.XLOOKUP(TRIM(SUBSTITUTE(U426,CHAR(160)," ")),$BI$15:$BI$62,$BL$15:$BL$62),IFERROR(_xlfn.XLOOKUP(TRIM(SUBSTITUTE(U426,CHAR(160)," ")),$BJ$15:$BJ$62,$BL$15:$BL$62),_xlfn.XLOOKUP(TRIM(SUBSTITUTE(U426,CHAR(160)," ")),$BK$15:$BK$62,$BL$15:$BL$62))))*T426*IF(ISBLANK(Q426),1,Q426)+IFERROR(_xlfn.XLOOKUP("RECHERCHEX",TRIM(L426:AC426),L426:AC426),0),0))</f>
        <v/>
      </c>
      <c r="AL426" s="1030">
        <f t="shared" si="171"/>
        <v>0</v>
      </c>
      <c r="AM426" s="5254" t="str">
        <f t="shared" si="186"/>
        <v/>
      </c>
      <c r="AN426" s="1031">
        <f t="shared" si="172"/>
        <v>0</v>
      </c>
      <c r="AO426" s="1031">
        <f t="shared" si="173"/>
        <v>0</v>
      </c>
      <c r="AP426" s="1032">
        <f t="shared" si="174"/>
        <v>0</v>
      </c>
      <c r="AQ426" s="5255" t="str">
        <f t="shared" si="175"/>
        <v/>
      </c>
      <c r="AR426" s="1056"/>
      <c r="AS426" s="1056"/>
      <c r="AT426" s="1034">
        <f t="shared" si="176"/>
        <v>0</v>
      </c>
      <c r="AU426" s="1035">
        <f t="shared" si="177"/>
        <v>0</v>
      </c>
      <c r="AV426" s="1057" cm="1">
        <f t="array" ref="AV426">IF(AJ426&lt;&gt;1,0,IF(OR(AT426="",N(AT426)&lt;=0.000000001),"",IF(OR(AN426="",N(AN426)&lt;=0.000000001),0,IF(ISNUMBER(AT426),IFERROR(_xlfn.LET(_xlpm.ai_test,TRIM(AI426),_xlpm.r,IFERROR(_xlfn.XLOOKUP(_xlpm.ai_test,$BI$15:$BI$62,ROW($BI$15:$BI$62),0,1),IFERROR(_xlfn.XLOOKUP(_xlpm.ai_test,$BJ$15:$BJ$62,ROW($BJ$15:$BJ$62),0,1),_xlfn.XLOOKUP(_xlpm.ai_test,$BK$15:$BK$62,ROW($BK$15:$BK$62),0,1))),_xlpm.p,_xlpm.r-MIN(ROW($BI$15:$BI$62))+1,_xlpm.f,INDEX($BL$15:$BL$62,_xlpm.p),_xlpm.u,INDEX($BM$15:$BM$62,_xlpm.p),_xlpm.s,INDEX($BO$15:$BO$62,_xlpm.p),_xlpm.q,N(AT426)/_xlpm.f,IF(_xlpm.q&gt;=_xlpm.s,ROUND(_xlpm.q,1)&amp;" "&amp;_xlpm.ai_test&amp;" = "&amp;ROUND(_xlpm.q*_xlpm.f,1)&amp;" "&amp;_xlpm.u,ROUND(_xlpm.q,1)&amp;" "&amp;_xlpm.ai_test)),""),""))))</f>
        <v>0</v>
      </c>
      <c r="AW426" s="1047"/>
      <c r="AX426" s="1034">
        <f t="shared" si="178"/>
        <v>0</v>
      </c>
      <c r="AY426" s="1035" t="str">
        <f t="shared" si="179"/>
        <v/>
      </c>
      <c r="AZ426" s="1036">
        <f t="shared" si="184"/>
        <v>0</v>
      </c>
      <c r="BA426" s="1037" t="str">
        <f t="shared" si="180"/>
        <v/>
      </c>
      <c r="BB426" s="1038"/>
      <c r="BC426" s="1039">
        <f t="shared" si="185"/>
        <v>0</v>
      </c>
      <c r="BD426" s="1040" t="str">
        <f t="shared" si="181"/>
        <v/>
      </c>
      <c r="BE426" s="227" t="s">
        <v>22</v>
      </c>
      <c r="BF426" s="1019">
        <f t="shared" si="182"/>
        <v>0</v>
      </c>
      <c r="BG426" s="1020">
        <f t="shared" si="183"/>
        <v>0</v>
      </c>
      <c r="BH426"/>
      <c r="BI426" s="709"/>
      <c r="BJ426" s="709"/>
      <c r="BK426" s="709"/>
      <c r="BL426" s="709"/>
      <c r="BM426" s="709"/>
      <c r="BN426" s="709"/>
      <c r="BO426" s="709"/>
      <c r="BP426" s="709"/>
      <c r="BW426" s="959" t="str">
        <f t="shared" si="164"/>
        <v>►</v>
      </c>
      <c r="BX426" s="856"/>
      <c r="BY426" s="856"/>
      <c r="BZ426" s="856"/>
      <c r="CA426" s="856"/>
      <c r="CB426" s="856"/>
      <c r="DB426" s="3">
        <v>1</v>
      </c>
    </row>
    <row r="427" spans="12:106" ht="21" customHeight="1">
      <c r="L427" s="104" t="s">
        <v>16</v>
      </c>
      <c r="M427" s="1172"/>
      <c r="N427" s="1172"/>
      <c r="O427" s="1172"/>
      <c r="P427" s="1173"/>
      <c r="Q427" s="1174"/>
      <c r="R427" s="1175"/>
      <c r="S427" s="1176"/>
      <c r="T427" s="1177"/>
      <c r="U427" s="5248"/>
      <c r="V427" s="1177"/>
      <c r="W427" s="5249"/>
      <c r="X427" s="5208"/>
      <c r="Y427" s="5209"/>
      <c r="Z427" s="5210"/>
      <c r="AA427" s="5211"/>
      <c r="AB427" s="1178"/>
      <c r="AC427" s="1179"/>
      <c r="AD427" s="227" t="s">
        <v>22</v>
      </c>
      <c r="AE427" s="1027" t="str">
        <f t="shared" si="165"/>
        <v>►</v>
      </c>
      <c r="AF427" s="1028" t="str">
        <f t="shared" si="166"/>
        <v/>
      </c>
      <c r="AG427" s="1029" t="str">
        <f t="shared" si="167"/>
        <v/>
      </c>
      <c r="AH427" s="1028" t="str">
        <f t="shared" si="168"/>
        <v/>
      </c>
      <c r="AI427" s="1029" t="str">
        <f t="shared" si="169"/>
        <v/>
      </c>
      <c r="AJ427" s="1029">
        <f t="shared" si="170"/>
        <v>0</v>
      </c>
      <c r="AK427" s="1043" t="str" cm="1">
        <f t="array" ref="AK427">IF(AE427&lt;&gt;"A","",IFERROR((IFERROR(_xlfn.XLOOKUP(TRIM(SUBSTITUTE(U427,CHAR(160)," ")),$BI$15:$BI$62,$BL$15:$BL$62),IFERROR(_xlfn.XLOOKUP(TRIM(SUBSTITUTE(U427,CHAR(160)," ")),$BJ$15:$BJ$62,$BL$15:$BL$62),_xlfn.XLOOKUP(TRIM(SUBSTITUTE(U427,CHAR(160)," ")),$BK$15:$BK$62,$BL$15:$BL$62))))*T427*IF(ISBLANK(Q427),1,Q427)+IFERROR(_xlfn.XLOOKUP("RECHERCHEX",TRIM(L427:AC427),L427:AC427),0),0))</f>
        <v/>
      </c>
      <c r="AL427" s="1030">
        <f t="shared" si="171"/>
        <v>0</v>
      </c>
      <c r="AM427" s="5254" t="str">
        <f t="shared" si="186"/>
        <v/>
      </c>
      <c r="AN427" s="1031">
        <f t="shared" si="172"/>
        <v>0</v>
      </c>
      <c r="AO427" s="1031">
        <f t="shared" si="173"/>
        <v>0</v>
      </c>
      <c r="AP427" s="1044">
        <f t="shared" si="174"/>
        <v>0</v>
      </c>
      <c r="AQ427" s="5257" t="str">
        <f t="shared" si="175"/>
        <v/>
      </c>
      <c r="AR427" s="1056"/>
      <c r="AS427" s="1056"/>
      <c r="AT427" s="1045">
        <f t="shared" si="176"/>
        <v>0</v>
      </c>
      <c r="AU427" s="1046">
        <f t="shared" si="177"/>
        <v>0</v>
      </c>
      <c r="AV427" s="1059" cm="1">
        <f t="array" ref="AV427">IF(AJ427&lt;&gt;1,0,IF(OR(AT427="",N(AT427)&lt;=0.000000001),"",IF(OR(AN427="",N(AN427)&lt;=0.000000001),0,IF(ISNUMBER(AT427),IFERROR(_xlfn.LET(_xlpm.ai_test,TRIM(AI427),_xlpm.r,IFERROR(_xlfn.XLOOKUP(_xlpm.ai_test,$BI$15:$BI$62,ROW($BI$15:$BI$62),0,1),IFERROR(_xlfn.XLOOKUP(_xlpm.ai_test,$BJ$15:$BJ$62,ROW($BJ$15:$BJ$62),0,1),_xlfn.XLOOKUP(_xlpm.ai_test,$BK$15:$BK$62,ROW($BK$15:$BK$62),0,1))),_xlpm.p,_xlpm.r-MIN(ROW($BI$15:$BI$62))+1,_xlpm.f,INDEX($BL$15:$BL$62,_xlpm.p),_xlpm.u,INDEX($BM$15:$BM$62,_xlpm.p),_xlpm.s,INDEX($BO$15:$BO$62,_xlpm.p),_xlpm.q,N(AT427)/_xlpm.f,IF(_xlpm.q&gt;=_xlpm.s,ROUND(_xlpm.q,1)&amp;" "&amp;_xlpm.ai_test&amp;" = "&amp;ROUND(_xlpm.q*_xlpm.f,1)&amp;" "&amp;_xlpm.u,ROUND(_xlpm.q,1)&amp;" "&amp;_xlpm.ai_test)),""),""))))</f>
        <v>0</v>
      </c>
      <c r="AW427" s="1047"/>
      <c r="AX427" s="1045">
        <f t="shared" si="178"/>
        <v>0</v>
      </c>
      <c r="AY427" s="1046" t="str">
        <f t="shared" si="179"/>
        <v/>
      </c>
      <c r="AZ427" s="1048">
        <f t="shared" si="184"/>
        <v>0</v>
      </c>
      <c r="BA427" s="1049" t="str">
        <f t="shared" si="180"/>
        <v/>
      </c>
      <c r="BB427" s="1038"/>
      <c r="BC427" s="1050">
        <f t="shared" si="185"/>
        <v>0</v>
      </c>
      <c r="BD427" s="1040" t="str">
        <f t="shared" si="181"/>
        <v/>
      </c>
      <c r="BE427" s="227" t="s">
        <v>22</v>
      </c>
      <c r="BF427" s="1019">
        <f t="shared" si="182"/>
        <v>0</v>
      </c>
      <c r="BG427" s="1020">
        <f t="shared" si="183"/>
        <v>0</v>
      </c>
      <c r="BH427"/>
      <c r="BI427" s="709"/>
      <c r="BJ427" s="709"/>
      <c r="BK427" s="709"/>
      <c r="BL427" s="709"/>
      <c r="BM427" s="709"/>
      <c r="BN427" s="709"/>
      <c r="BO427" s="709"/>
      <c r="BP427" s="709"/>
      <c r="BW427" s="959" t="str">
        <f t="shared" si="164"/>
        <v>►</v>
      </c>
      <c r="BX427" s="856"/>
      <c r="BY427" s="856"/>
      <c r="BZ427" s="856"/>
      <c r="CA427" s="856"/>
      <c r="CB427" s="856"/>
      <c r="DB427" s="3">
        <v>1</v>
      </c>
    </row>
    <row r="428" spans="12:106" ht="21" customHeight="1">
      <c r="L428" s="104" t="s">
        <v>16</v>
      </c>
      <c r="M428" s="1172"/>
      <c r="N428" s="1172"/>
      <c r="O428" s="1172"/>
      <c r="P428" s="1173"/>
      <c r="Q428" s="1174"/>
      <c r="R428" s="1175"/>
      <c r="S428" s="1176"/>
      <c r="T428" s="1177"/>
      <c r="U428" s="5248"/>
      <c r="V428" s="1177"/>
      <c r="W428" s="5249"/>
      <c r="X428" s="5208"/>
      <c r="Y428" s="5209"/>
      <c r="Z428" s="5210"/>
      <c r="AA428" s="5211"/>
      <c r="AB428" s="1178"/>
      <c r="AC428" s="1179"/>
      <c r="AD428" s="227" t="s">
        <v>22</v>
      </c>
      <c r="AE428" s="1027" t="str">
        <f t="shared" si="165"/>
        <v>►</v>
      </c>
      <c r="AF428" s="1028" t="str">
        <f t="shared" si="166"/>
        <v/>
      </c>
      <c r="AG428" s="1029" t="str">
        <f t="shared" si="167"/>
        <v/>
      </c>
      <c r="AH428" s="1028" t="str">
        <f t="shared" si="168"/>
        <v/>
      </c>
      <c r="AI428" s="1029" t="str">
        <f t="shared" si="169"/>
        <v/>
      </c>
      <c r="AJ428" s="1029">
        <f t="shared" si="170"/>
        <v>0</v>
      </c>
      <c r="AK428" s="1043" t="str" cm="1">
        <f t="array" ref="AK428">IF(AE428&lt;&gt;"A","",IFERROR((IFERROR(_xlfn.XLOOKUP(TRIM(SUBSTITUTE(U428,CHAR(160)," ")),$BI$15:$BI$62,$BL$15:$BL$62),IFERROR(_xlfn.XLOOKUP(TRIM(SUBSTITUTE(U428,CHAR(160)," ")),$BJ$15:$BJ$62,$BL$15:$BL$62),_xlfn.XLOOKUP(TRIM(SUBSTITUTE(U428,CHAR(160)," ")),$BK$15:$BK$62,$BL$15:$BL$62))))*T428*IF(ISBLANK(Q428),1,Q428)+IFERROR(_xlfn.XLOOKUP("RECHERCHEX",TRIM(L428:AC428),L428:AC428),0),0))</f>
        <v/>
      </c>
      <c r="AL428" s="1030">
        <f t="shared" si="171"/>
        <v>0</v>
      </c>
      <c r="AM428" s="5254" t="str">
        <f t="shared" si="186"/>
        <v/>
      </c>
      <c r="AN428" s="1031">
        <f t="shared" si="172"/>
        <v>0</v>
      </c>
      <c r="AO428" s="1031">
        <f t="shared" si="173"/>
        <v>0</v>
      </c>
      <c r="AP428" s="1032">
        <f t="shared" si="174"/>
        <v>0</v>
      </c>
      <c r="AQ428" s="5255" t="str">
        <f t="shared" si="175"/>
        <v/>
      </c>
      <c r="AR428" s="1056"/>
      <c r="AS428" s="1056"/>
      <c r="AT428" s="1034">
        <f t="shared" si="176"/>
        <v>0</v>
      </c>
      <c r="AU428" s="1035">
        <f t="shared" si="177"/>
        <v>0</v>
      </c>
      <c r="AV428" s="1057" cm="1">
        <f t="array" ref="AV428">IF(AJ428&lt;&gt;1,0,IF(OR(AT428="",N(AT428)&lt;=0.000000001),"",IF(OR(AN428="",N(AN428)&lt;=0.000000001),0,IF(ISNUMBER(AT428),IFERROR(_xlfn.LET(_xlpm.ai_test,TRIM(AI428),_xlpm.r,IFERROR(_xlfn.XLOOKUP(_xlpm.ai_test,$BI$15:$BI$62,ROW($BI$15:$BI$62),0,1),IFERROR(_xlfn.XLOOKUP(_xlpm.ai_test,$BJ$15:$BJ$62,ROW($BJ$15:$BJ$62),0,1),_xlfn.XLOOKUP(_xlpm.ai_test,$BK$15:$BK$62,ROW($BK$15:$BK$62),0,1))),_xlpm.p,_xlpm.r-MIN(ROW($BI$15:$BI$62))+1,_xlpm.f,INDEX($BL$15:$BL$62,_xlpm.p),_xlpm.u,INDEX($BM$15:$BM$62,_xlpm.p),_xlpm.s,INDEX($BO$15:$BO$62,_xlpm.p),_xlpm.q,N(AT428)/_xlpm.f,IF(_xlpm.q&gt;=_xlpm.s,ROUND(_xlpm.q,1)&amp;" "&amp;_xlpm.ai_test&amp;" = "&amp;ROUND(_xlpm.q*_xlpm.f,1)&amp;" "&amp;_xlpm.u,ROUND(_xlpm.q,1)&amp;" "&amp;_xlpm.ai_test)),""),""))))</f>
        <v>0</v>
      </c>
      <c r="AW428" s="1047"/>
      <c r="AX428" s="1034">
        <f t="shared" si="178"/>
        <v>0</v>
      </c>
      <c r="AY428" s="1035" t="str">
        <f t="shared" si="179"/>
        <v/>
      </c>
      <c r="AZ428" s="1036">
        <f t="shared" si="184"/>
        <v>0</v>
      </c>
      <c r="BA428" s="1037" t="str">
        <f t="shared" si="180"/>
        <v/>
      </c>
      <c r="BB428" s="1038"/>
      <c r="BC428" s="1039">
        <f t="shared" si="185"/>
        <v>0</v>
      </c>
      <c r="BD428" s="1040" t="str">
        <f t="shared" si="181"/>
        <v/>
      </c>
      <c r="BE428" s="227" t="s">
        <v>22</v>
      </c>
      <c r="BF428" s="1019">
        <f t="shared" si="182"/>
        <v>0</v>
      </c>
      <c r="BG428" s="1020">
        <f t="shared" si="183"/>
        <v>0</v>
      </c>
      <c r="BH428"/>
      <c r="BI428" s="709"/>
      <c r="BJ428" s="709"/>
      <c r="BK428" s="709"/>
      <c r="BL428" s="709"/>
      <c r="BM428" s="709"/>
      <c r="BN428" s="709"/>
      <c r="BO428" s="709"/>
      <c r="BP428" s="709"/>
      <c r="BW428" s="959" t="str">
        <f t="shared" si="164"/>
        <v>►</v>
      </c>
      <c r="BX428" s="856"/>
      <c r="BY428" s="856"/>
      <c r="BZ428" s="856"/>
      <c r="CA428" s="856"/>
      <c r="CB428" s="856"/>
      <c r="DB428" s="3">
        <v>1</v>
      </c>
    </row>
    <row r="429" spans="12:106" ht="21" customHeight="1">
      <c r="L429" s="104" t="s">
        <v>16</v>
      </c>
      <c r="M429" s="1172"/>
      <c r="N429" s="1172"/>
      <c r="O429" s="1172"/>
      <c r="P429" s="1173"/>
      <c r="Q429" s="1174"/>
      <c r="R429" s="1175"/>
      <c r="S429" s="1176"/>
      <c r="T429" s="1177"/>
      <c r="U429" s="5248"/>
      <c r="V429" s="1177"/>
      <c r="W429" s="5249"/>
      <c r="X429" s="5208"/>
      <c r="Y429" s="5209"/>
      <c r="Z429" s="5210"/>
      <c r="AA429" s="5211"/>
      <c r="AB429" s="1178"/>
      <c r="AC429" s="1179"/>
      <c r="AD429" s="227" t="s">
        <v>22</v>
      </c>
      <c r="AE429" s="1027" t="str">
        <f t="shared" si="165"/>
        <v>►</v>
      </c>
      <c r="AF429" s="1028" t="str">
        <f t="shared" si="166"/>
        <v/>
      </c>
      <c r="AG429" s="1029" t="str">
        <f t="shared" si="167"/>
        <v/>
      </c>
      <c r="AH429" s="1028" t="str">
        <f t="shared" si="168"/>
        <v/>
      </c>
      <c r="AI429" s="1029" t="str">
        <f t="shared" si="169"/>
        <v/>
      </c>
      <c r="AJ429" s="1029">
        <f t="shared" si="170"/>
        <v>0</v>
      </c>
      <c r="AK429" s="1043" t="str" cm="1">
        <f t="array" ref="AK429">IF(AE429&lt;&gt;"A","",IFERROR((IFERROR(_xlfn.XLOOKUP(TRIM(SUBSTITUTE(U429,CHAR(160)," ")),$BI$15:$BI$62,$BL$15:$BL$62),IFERROR(_xlfn.XLOOKUP(TRIM(SUBSTITUTE(U429,CHAR(160)," ")),$BJ$15:$BJ$62,$BL$15:$BL$62),_xlfn.XLOOKUP(TRIM(SUBSTITUTE(U429,CHAR(160)," ")),$BK$15:$BK$62,$BL$15:$BL$62))))*T429*IF(ISBLANK(Q429),1,Q429)+IFERROR(_xlfn.XLOOKUP("RECHERCHEX",TRIM(L429:AC429),L429:AC429),0),0))</f>
        <v/>
      </c>
      <c r="AL429" s="1030">
        <f t="shared" si="171"/>
        <v>0</v>
      </c>
      <c r="AM429" s="5254" t="str">
        <f t="shared" si="186"/>
        <v/>
      </c>
      <c r="AN429" s="1031">
        <f t="shared" si="172"/>
        <v>0</v>
      </c>
      <c r="AO429" s="1031">
        <f t="shared" si="173"/>
        <v>0</v>
      </c>
      <c r="AP429" s="1044">
        <f t="shared" si="174"/>
        <v>0</v>
      </c>
      <c r="AQ429" s="5257" t="str">
        <f t="shared" si="175"/>
        <v/>
      </c>
      <c r="AR429" s="1056"/>
      <c r="AS429" s="1056"/>
      <c r="AT429" s="1045">
        <f t="shared" si="176"/>
        <v>0</v>
      </c>
      <c r="AU429" s="1046">
        <f t="shared" si="177"/>
        <v>0</v>
      </c>
      <c r="AV429" s="1059" cm="1">
        <f t="array" ref="AV429">IF(AJ429&lt;&gt;1,0,IF(OR(AT429="",N(AT429)&lt;=0.000000001),"",IF(OR(AN429="",N(AN429)&lt;=0.000000001),0,IF(ISNUMBER(AT429),IFERROR(_xlfn.LET(_xlpm.ai_test,TRIM(AI429),_xlpm.r,IFERROR(_xlfn.XLOOKUP(_xlpm.ai_test,$BI$15:$BI$62,ROW($BI$15:$BI$62),0,1),IFERROR(_xlfn.XLOOKUP(_xlpm.ai_test,$BJ$15:$BJ$62,ROW($BJ$15:$BJ$62),0,1),_xlfn.XLOOKUP(_xlpm.ai_test,$BK$15:$BK$62,ROW($BK$15:$BK$62),0,1))),_xlpm.p,_xlpm.r-MIN(ROW($BI$15:$BI$62))+1,_xlpm.f,INDEX($BL$15:$BL$62,_xlpm.p),_xlpm.u,INDEX($BM$15:$BM$62,_xlpm.p),_xlpm.s,INDEX($BO$15:$BO$62,_xlpm.p),_xlpm.q,N(AT429)/_xlpm.f,IF(_xlpm.q&gt;=_xlpm.s,ROUND(_xlpm.q,1)&amp;" "&amp;_xlpm.ai_test&amp;" = "&amp;ROUND(_xlpm.q*_xlpm.f,1)&amp;" "&amp;_xlpm.u,ROUND(_xlpm.q,1)&amp;" "&amp;_xlpm.ai_test)),""),""))))</f>
        <v>0</v>
      </c>
      <c r="AW429" s="1047"/>
      <c r="AX429" s="1045">
        <f t="shared" si="178"/>
        <v>0</v>
      </c>
      <c r="AY429" s="1046" t="str">
        <f t="shared" si="179"/>
        <v/>
      </c>
      <c r="AZ429" s="1048">
        <f t="shared" si="184"/>
        <v>0</v>
      </c>
      <c r="BA429" s="1049" t="str">
        <f t="shared" si="180"/>
        <v/>
      </c>
      <c r="BB429" s="1038"/>
      <c r="BC429" s="1050">
        <f t="shared" si="185"/>
        <v>0</v>
      </c>
      <c r="BD429" s="1040" t="str">
        <f t="shared" si="181"/>
        <v/>
      </c>
      <c r="BE429" s="227" t="s">
        <v>22</v>
      </c>
      <c r="BF429" s="1019">
        <f t="shared" si="182"/>
        <v>0</v>
      </c>
      <c r="BG429" s="1020">
        <f t="shared" si="183"/>
        <v>0</v>
      </c>
      <c r="BH429"/>
      <c r="BI429" s="709"/>
      <c r="BJ429" s="709"/>
      <c r="BK429" s="709"/>
      <c r="BL429" s="709"/>
      <c r="BM429" s="709"/>
      <c r="BN429" s="709"/>
      <c r="BO429" s="709"/>
      <c r="BP429" s="709"/>
      <c r="BW429" s="959" t="str">
        <f t="shared" si="164"/>
        <v>►</v>
      </c>
      <c r="BX429" s="856"/>
      <c r="BY429" s="856"/>
      <c r="BZ429" s="856"/>
      <c r="CA429" s="856"/>
      <c r="CB429" s="856"/>
      <c r="DB429" s="3">
        <v>1</v>
      </c>
    </row>
    <row r="430" spans="12:106" ht="21" customHeight="1">
      <c r="L430" s="104" t="s">
        <v>16</v>
      </c>
      <c r="M430" s="1172"/>
      <c r="N430" s="1172"/>
      <c r="O430" s="1172"/>
      <c r="P430" s="1173"/>
      <c r="Q430" s="1174"/>
      <c r="R430" s="1175"/>
      <c r="S430" s="1176"/>
      <c r="T430" s="1177"/>
      <c r="U430" s="5248"/>
      <c r="V430" s="1177"/>
      <c r="W430" s="5249"/>
      <c r="X430" s="5208"/>
      <c r="Y430" s="5209"/>
      <c r="Z430" s="5210"/>
      <c r="AA430" s="5211"/>
      <c r="AB430" s="1178"/>
      <c r="AC430" s="1179"/>
      <c r="AD430" s="227" t="s">
        <v>22</v>
      </c>
      <c r="AE430" s="1027" t="str">
        <f t="shared" si="165"/>
        <v>►</v>
      </c>
      <c r="AF430" s="1028" t="str">
        <f t="shared" si="166"/>
        <v/>
      </c>
      <c r="AG430" s="1029" t="str">
        <f t="shared" si="167"/>
        <v/>
      </c>
      <c r="AH430" s="1028" t="str">
        <f t="shared" si="168"/>
        <v/>
      </c>
      <c r="AI430" s="1029" t="str">
        <f t="shared" si="169"/>
        <v/>
      </c>
      <c r="AJ430" s="1029">
        <f t="shared" si="170"/>
        <v>0</v>
      </c>
      <c r="AK430" s="1043" t="str" cm="1">
        <f t="array" ref="AK430">IF(AE430&lt;&gt;"A","",IFERROR((IFERROR(_xlfn.XLOOKUP(TRIM(SUBSTITUTE(U430,CHAR(160)," ")),$BI$15:$BI$62,$BL$15:$BL$62),IFERROR(_xlfn.XLOOKUP(TRIM(SUBSTITUTE(U430,CHAR(160)," ")),$BJ$15:$BJ$62,$BL$15:$BL$62),_xlfn.XLOOKUP(TRIM(SUBSTITUTE(U430,CHAR(160)," ")),$BK$15:$BK$62,$BL$15:$BL$62))))*T430*IF(ISBLANK(Q430),1,Q430)+IFERROR(_xlfn.XLOOKUP("RECHERCHEX",TRIM(L430:AC430),L430:AC430),0),0))</f>
        <v/>
      </c>
      <c r="AL430" s="1030">
        <f t="shared" si="171"/>
        <v>0</v>
      </c>
      <c r="AM430" s="5254" t="str">
        <f t="shared" si="186"/>
        <v/>
      </c>
      <c r="AN430" s="1031">
        <f t="shared" si="172"/>
        <v>0</v>
      </c>
      <c r="AO430" s="1031">
        <f t="shared" si="173"/>
        <v>0</v>
      </c>
      <c r="AP430" s="1032">
        <f t="shared" si="174"/>
        <v>0</v>
      </c>
      <c r="AQ430" s="5255" t="str">
        <f t="shared" si="175"/>
        <v/>
      </c>
      <c r="AR430" s="1056"/>
      <c r="AS430" s="1056"/>
      <c r="AT430" s="1034">
        <f t="shared" si="176"/>
        <v>0</v>
      </c>
      <c r="AU430" s="1035">
        <f t="shared" si="177"/>
        <v>0</v>
      </c>
      <c r="AV430" s="1057" cm="1">
        <f t="array" ref="AV430">IF(AJ430&lt;&gt;1,0,IF(OR(AT430="",N(AT430)&lt;=0.000000001),"",IF(OR(AN430="",N(AN430)&lt;=0.000000001),0,IF(ISNUMBER(AT430),IFERROR(_xlfn.LET(_xlpm.ai_test,TRIM(AI430),_xlpm.r,IFERROR(_xlfn.XLOOKUP(_xlpm.ai_test,$BI$15:$BI$62,ROW($BI$15:$BI$62),0,1),IFERROR(_xlfn.XLOOKUP(_xlpm.ai_test,$BJ$15:$BJ$62,ROW($BJ$15:$BJ$62),0,1),_xlfn.XLOOKUP(_xlpm.ai_test,$BK$15:$BK$62,ROW($BK$15:$BK$62),0,1))),_xlpm.p,_xlpm.r-MIN(ROW($BI$15:$BI$62))+1,_xlpm.f,INDEX($BL$15:$BL$62,_xlpm.p),_xlpm.u,INDEX($BM$15:$BM$62,_xlpm.p),_xlpm.s,INDEX($BO$15:$BO$62,_xlpm.p),_xlpm.q,N(AT430)/_xlpm.f,IF(_xlpm.q&gt;=_xlpm.s,ROUND(_xlpm.q,1)&amp;" "&amp;_xlpm.ai_test&amp;" = "&amp;ROUND(_xlpm.q*_xlpm.f,1)&amp;" "&amp;_xlpm.u,ROUND(_xlpm.q,1)&amp;" "&amp;_xlpm.ai_test)),""),""))))</f>
        <v>0</v>
      </c>
      <c r="AW430" s="1047"/>
      <c r="AX430" s="1034">
        <f t="shared" si="178"/>
        <v>0</v>
      </c>
      <c r="AY430" s="1035" t="str">
        <f t="shared" si="179"/>
        <v/>
      </c>
      <c r="AZ430" s="1036">
        <f t="shared" si="184"/>
        <v>0</v>
      </c>
      <c r="BA430" s="1037" t="str">
        <f t="shared" si="180"/>
        <v/>
      </c>
      <c r="BB430" s="1038"/>
      <c r="BC430" s="1039">
        <f t="shared" si="185"/>
        <v>0</v>
      </c>
      <c r="BD430" s="1040" t="str">
        <f t="shared" si="181"/>
        <v/>
      </c>
      <c r="BE430" s="227" t="s">
        <v>22</v>
      </c>
      <c r="BF430" s="1019">
        <f t="shared" si="182"/>
        <v>0</v>
      </c>
      <c r="BG430" s="1020">
        <f t="shared" si="183"/>
        <v>0</v>
      </c>
      <c r="BH430"/>
      <c r="BI430" s="709"/>
      <c r="BJ430" s="709"/>
      <c r="BK430" s="709"/>
      <c r="BL430" s="709"/>
      <c r="BM430" s="709"/>
      <c r="BN430" s="709"/>
      <c r="BO430" s="709"/>
      <c r="BP430" s="709"/>
      <c r="BW430" s="959" t="str">
        <f t="shared" si="164"/>
        <v>►</v>
      </c>
      <c r="BX430" s="856"/>
      <c r="BY430" s="856"/>
      <c r="BZ430" s="856"/>
      <c r="CA430" s="856"/>
      <c r="CB430" s="856"/>
      <c r="DB430" s="3">
        <v>1</v>
      </c>
    </row>
    <row r="431" spans="12:106" ht="21" customHeight="1">
      <c r="L431" s="104" t="s">
        <v>16</v>
      </c>
      <c r="M431" s="1172"/>
      <c r="N431" s="1172"/>
      <c r="O431" s="1172"/>
      <c r="P431" s="1173"/>
      <c r="Q431" s="1174"/>
      <c r="R431" s="1175"/>
      <c r="S431" s="1176"/>
      <c r="T431" s="1177"/>
      <c r="U431" s="5248"/>
      <c r="V431" s="1177"/>
      <c r="W431" s="5249"/>
      <c r="X431" s="5208"/>
      <c r="Y431" s="5209"/>
      <c r="Z431" s="5210"/>
      <c r="AA431" s="5211"/>
      <c r="AB431" s="1178"/>
      <c r="AC431" s="1179"/>
      <c r="AD431" s="227" t="s">
        <v>22</v>
      </c>
      <c r="AE431" s="1027" t="str">
        <f t="shared" si="165"/>
        <v>►</v>
      </c>
      <c r="AF431" s="1028" t="str">
        <f t="shared" si="166"/>
        <v/>
      </c>
      <c r="AG431" s="1029" t="str">
        <f t="shared" si="167"/>
        <v/>
      </c>
      <c r="AH431" s="1028" t="str">
        <f t="shared" si="168"/>
        <v/>
      </c>
      <c r="AI431" s="1029" t="str">
        <f t="shared" si="169"/>
        <v/>
      </c>
      <c r="AJ431" s="1029">
        <f t="shared" si="170"/>
        <v>0</v>
      </c>
      <c r="AK431" s="1043" t="str" cm="1">
        <f t="array" ref="AK431">IF(AE431&lt;&gt;"A","",IFERROR((IFERROR(_xlfn.XLOOKUP(TRIM(SUBSTITUTE(U431,CHAR(160)," ")),$BI$15:$BI$62,$BL$15:$BL$62),IFERROR(_xlfn.XLOOKUP(TRIM(SUBSTITUTE(U431,CHAR(160)," ")),$BJ$15:$BJ$62,$BL$15:$BL$62),_xlfn.XLOOKUP(TRIM(SUBSTITUTE(U431,CHAR(160)," ")),$BK$15:$BK$62,$BL$15:$BL$62))))*T431*IF(ISBLANK(Q431),1,Q431)+IFERROR(_xlfn.XLOOKUP("RECHERCHEX",TRIM(L431:AC431),L431:AC431),0),0))</f>
        <v/>
      </c>
      <c r="AL431" s="1030">
        <f t="shared" si="171"/>
        <v>0</v>
      </c>
      <c r="AM431" s="5254" t="str">
        <f t="shared" si="186"/>
        <v/>
      </c>
      <c r="AN431" s="1031">
        <f t="shared" si="172"/>
        <v>0</v>
      </c>
      <c r="AO431" s="1031">
        <f t="shared" si="173"/>
        <v>0</v>
      </c>
      <c r="AP431" s="1044">
        <f t="shared" si="174"/>
        <v>0</v>
      </c>
      <c r="AQ431" s="5257" t="str">
        <f t="shared" si="175"/>
        <v/>
      </c>
      <c r="AR431" s="1056"/>
      <c r="AS431" s="1056"/>
      <c r="AT431" s="1045">
        <f t="shared" si="176"/>
        <v>0</v>
      </c>
      <c r="AU431" s="1046">
        <f t="shared" si="177"/>
        <v>0</v>
      </c>
      <c r="AV431" s="1059" cm="1">
        <f t="array" ref="AV431">IF(AJ431&lt;&gt;1,0,IF(OR(AT431="",N(AT431)&lt;=0.000000001),"",IF(OR(AN431="",N(AN431)&lt;=0.000000001),0,IF(ISNUMBER(AT431),IFERROR(_xlfn.LET(_xlpm.ai_test,TRIM(AI431),_xlpm.r,IFERROR(_xlfn.XLOOKUP(_xlpm.ai_test,$BI$15:$BI$62,ROW($BI$15:$BI$62),0,1),IFERROR(_xlfn.XLOOKUP(_xlpm.ai_test,$BJ$15:$BJ$62,ROW($BJ$15:$BJ$62),0,1),_xlfn.XLOOKUP(_xlpm.ai_test,$BK$15:$BK$62,ROW($BK$15:$BK$62),0,1))),_xlpm.p,_xlpm.r-MIN(ROW($BI$15:$BI$62))+1,_xlpm.f,INDEX($BL$15:$BL$62,_xlpm.p),_xlpm.u,INDEX($BM$15:$BM$62,_xlpm.p),_xlpm.s,INDEX($BO$15:$BO$62,_xlpm.p),_xlpm.q,N(AT431)/_xlpm.f,IF(_xlpm.q&gt;=_xlpm.s,ROUND(_xlpm.q,1)&amp;" "&amp;_xlpm.ai_test&amp;" = "&amp;ROUND(_xlpm.q*_xlpm.f,1)&amp;" "&amp;_xlpm.u,ROUND(_xlpm.q,1)&amp;" "&amp;_xlpm.ai_test)),""),""))))</f>
        <v>0</v>
      </c>
      <c r="AW431" s="1047"/>
      <c r="AX431" s="1045">
        <f t="shared" si="178"/>
        <v>0</v>
      </c>
      <c r="AY431" s="1046" t="str">
        <f t="shared" si="179"/>
        <v/>
      </c>
      <c r="AZ431" s="1048">
        <f t="shared" si="184"/>
        <v>0</v>
      </c>
      <c r="BA431" s="1049" t="str">
        <f t="shared" si="180"/>
        <v/>
      </c>
      <c r="BB431" s="1038"/>
      <c r="BC431" s="1050">
        <f t="shared" si="185"/>
        <v>0</v>
      </c>
      <c r="BD431" s="1040" t="str">
        <f t="shared" si="181"/>
        <v/>
      </c>
      <c r="BE431" s="227" t="s">
        <v>22</v>
      </c>
      <c r="BF431" s="1019">
        <f t="shared" si="182"/>
        <v>0</v>
      </c>
      <c r="BG431" s="1020">
        <f t="shared" si="183"/>
        <v>0</v>
      </c>
      <c r="BH431"/>
      <c r="BI431" s="709"/>
      <c r="BJ431" s="709"/>
      <c r="BK431" s="709"/>
      <c r="BL431" s="709"/>
      <c r="BM431" s="709"/>
      <c r="BN431" s="709"/>
      <c r="BO431" s="709"/>
      <c r="BP431" s="709"/>
      <c r="BW431" s="959" t="str">
        <f t="shared" si="164"/>
        <v>►</v>
      </c>
      <c r="BX431" s="856"/>
      <c r="BY431" s="856"/>
      <c r="BZ431" s="856"/>
      <c r="CA431" s="856"/>
      <c r="CB431" s="856"/>
      <c r="DB431" s="3">
        <v>1</v>
      </c>
    </row>
    <row r="432" spans="12:106" ht="21" customHeight="1">
      <c r="L432" s="104" t="s">
        <v>16</v>
      </c>
      <c r="M432" s="1172"/>
      <c r="N432" s="1172"/>
      <c r="O432" s="1172"/>
      <c r="P432" s="1173"/>
      <c r="Q432" s="1174"/>
      <c r="R432" s="1175"/>
      <c r="S432" s="1176"/>
      <c r="T432" s="1177"/>
      <c r="U432" s="5248"/>
      <c r="V432" s="1177"/>
      <c r="W432" s="5249"/>
      <c r="X432" s="5208"/>
      <c r="Y432" s="5209"/>
      <c r="Z432" s="5210"/>
      <c r="AA432" s="5211"/>
      <c r="AB432" s="1178"/>
      <c r="AC432" s="1179"/>
      <c r="AD432" s="227" t="s">
        <v>22</v>
      </c>
      <c r="AE432" s="1027" t="str">
        <f t="shared" si="165"/>
        <v>►</v>
      </c>
      <c r="AF432" s="1028" t="str">
        <f t="shared" si="166"/>
        <v/>
      </c>
      <c r="AG432" s="1029" t="str">
        <f t="shared" si="167"/>
        <v/>
      </c>
      <c r="AH432" s="1028" t="str">
        <f t="shared" si="168"/>
        <v/>
      </c>
      <c r="AI432" s="1029" t="str">
        <f t="shared" si="169"/>
        <v/>
      </c>
      <c r="AJ432" s="1029">
        <f t="shared" si="170"/>
        <v>0</v>
      </c>
      <c r="AK432" s="1043" t="str" cm="1">
        <f t="array" ref="AK432">IF(AE432&lt;&gt;"A","",IFERROR((IFERROR(_xlfn.XLOOKUP(TRIM(SUBSTITUTE(U432,CHAR(160)," ")),$BI$15:$BI$62,$BL$15:$BL$62),IFERROR(_xlfn.XLOOKUP(TRIM(SUBSTITUTE(U432,CHAR(160)," ")),$BJ$15:$BJ$62,$BL$15:$BL$62),_xlfn.XLOOKUP(TRIM(SUBSTITUTE(U432,CHAR(160)," ")),$BK$15:$BK$62,$BL$15:$BL$62))))*T432*IF(ISBLANK(Q432),1,Q432)+IFERROR(_xlfn.XLOOKUP("RECHERCHEX",TRIM(L432:AC432),L432:AC432),0),0))</f>
        <v/>
      </c>
      <c r="AL432" s="1030">
        <f t="shared" si="171"/>
        <v>0</v>
      </c>
      <c r="AM432" s="5254" t="str">
        <f t="shared" si="186"/>
        <v/>
      </c>
      <c r="AN432" s="1031">
        <f t="shared" si="172"/>
        <v>0</v>
      </c>
      <c r="AO432" s="1031">
        <f t="shared" si="173"/>
        <v>0</v>
      </c>
      <c r="AP432" s="1032">
        <f t="shared" si="174"/>
        <v>0</v>
      </c>
      <c r="AQ432" s="5255" t="str">
        <f t="shared" si="175"/>
        <v/>
      </c>
      <c r="AR432" s="1056"/>
      <c r="AS432" s="1056"/>
      <c r="AT432" s="1034">
        <f t="shared" si="176"/>
        <v>0</v>
      </c>
      <c r="AU432" s="1035">
        <f t="shared" si="177"/>
        <v>0</v>
      </c>
      <c r="AV432" s="1057" cm="1">
        <f t="array" ref="AV432">IF(AJ432&lt;&gt;1,0,IF(OR(AT432="",N(AT432)&lt;=0.000000001),"",IF(OR(AN432="",N(AN432)&lt;=0.000000001),0,IF(ISNUMBER(AT432),IFERROR(_xlfn.LET(_xlpm.ai_test,TRIM(AI432),_xlpm.r,IFERROR(_xlfn.XLOOKUP(_xlpm.ai_test,$BI$15:$BI$62,ROW($BI$15:$BI$62),0,1),IFERROR(_xlfn.XLOOKUP(_xlpm.ai_test,$BJ$15:$BJ$62,ROW($BJ$15:$BJ$62),0,1),_xlfn.XLOOKUP(_xlpm.ai_test,$BK$15:$BK$62,ROW($BK$15:$BK$62),0,1))),_xlpm.p,_xlpm.r-MIN(ROW($BI$15:$BI$62))+1,_xlpm.f,INDEX($BL$15:$BL$62,_xlpm.p),_xlpm.u,INDEX($BM$15:$BM$62,_xlpm.p),_xlpm.s,INDEX($BO$15:$BO$62,_xlpm.p),_xlpm.q,N(AT432)/_xlpm.f,IF(_xlpm.q&gt;=_xlpm.s,ROUND(_xlpm.q,1)&amp;" "&amp;_xlpm.ai_test&amp;" = "&amp;ROUND(_xlpm.q*_xlpm.f,1)&amp;" "&amp;_xlpm.u,ROUND(_xlpm.q,1)&amp;" "&amp;_xlpm.ai_test)),""),""))))</f>
        <v>0</v>
      </c>
      <c r="AW432" s="1047"/>
      <c r="AX432" s="1034">
        <f t="shared" si="178"/>
        <v>0</v>
      </c>
      <c r="AY432" s="1035" t="str">
        <f t="shared" si="179"/>
        <v/>
      </c>
      <c r="AZ432" s="1036">
        <f t="shared" si="184"/>
        <v>0</v>
      </c>
      <c r="BA432" s="1037" t="str">
        <f t="shared" si="180"/>
        <v/>
      </c>
      <c r="BB432" s="1038"/>
      <c r="BC432" s="1039">
        <f t="shared" si="185"/>
        <v>0</v>
      </c>
      <c r="BD432" s="1040" t="str">
        <f t="shared" si="181"/>
        <v/>
      </c>
      <c r="BE432" s="227" t="s">
        <v>22</v>
      </c>
      <c r="BF432" s="1019">
        <f t="shared" si="182"/>
        <v>0</v>
      </c>
      <c r="BG432" s="1020">
        <f t="shared" si="183"/>
        <v>0</v>
      </c>
      <c r="BH432"/>
      <c r="BI432" s="709"/>
      <c r="BJ432" s="709"/>
      <c r="BK432" s="709"/>
      <c r="BL432" s="709"/>
      <c r="BM432" s="709"/>
      <c r="BN432" s="709"/>
      <c r="BO432" s="709"/>
      <c r="BP432" s="709"/>
      <c r="BW432" s="959" t="str">
        <f t="shared" si="164"/>
        <v>►</v>
      </c>
      <c r="BX432" s="856"/>
      <c r="BY432" s="856"/>
      <c r="BZ432" s="856"/>
      <c r="CA432" s="856"/>
      <c r="CB432" s="856"/>
      <c r="DB432" s="3">
        <v>1</v>
      </c>
    </row>
    <row r="433" spans="12:106" ht="21" customHeight="1">
      <c r="L433" s="104" t="s">
        <v>16</v>
      </c>
      <c r="M433" s="1172"/>
      <c r="N433" s="1172"/>
      <c r="O433" s="1172"/>
      <c r="P433" s="1173"/>
      <c r="Q433" s="1174"/>
      <c r="R433" s="1175"/>
      <c r="S433" s="1176"/>
      <c r="T433" s="1177"/>
      <c r="U433" s="5248"/>
      <c r="V433" s="1177"/>
      <c r="W433" s="5249"/>
      <c r="X433" s="5208"/>
      <c r="Y433" s="5209"/>
      <c r="Z433" s="5210"/>
      <c r="AA433" s="5211"/>
      <c r="AB433" s="1178"/>
      <c r="AC433" s="1179"/>
      <c r="AD433" s="227" t="s">
        <v>22</v>
      </c>
      <c r="AE433" s="1027" t="str">
        <f t="shared" si="165"/>
        <v>►</v>
      </c>
      <c r="AF433" s="1028" t="str">
        <f t="shared" si="166"/>
        <v/>
      </c>
      <c r="AG433" s="1029" t="str">
        <f t="shared" si="167"/>
        <v/>
      </c>
      <c r="AH433" s="1028" t="str">
        <f t="shared" si="168"/>
        <v/>
      </c>
      <c r="AI433" s="1029" t="str">
        <f t="shared" si="169"/>
        <v/>
      </c>
      <c r="AJ433" s="1029">
        <f t="shared" si="170"/>
        <v>0</v>
      </c>
      <c r="AK433" s="1043" t="str" cm="1">
        <f t="array" ref="AK433">IF(AE433&lt;&gt;"A","",IFERROR((IFERROR(_xlfn.XLOOKUP(TRIM(SUBSTITUTE(U433,CHAR(160)," ")),$BI$15:$BI$62,$BL$15:$BL$62),IFERROR(_xlfn.XLOOKUP(TRIM(SUBSTITUTE(U433,CHAR(160)," ")),$BJ$15:$BJ$62,$BL$15:$BL$62),_xlfn.XLOOKUP(TRIM(SUBSTITUTE(U433,CHAR(160)," ")),$BK$15:$BK$62,$BL$15:$BL$62))))*T433*IF(ISBLANK(Q433),1,Q433)+IFERROR(_xlfn.XLOOKUP("RECHERCHEX",TRIM(L433:AC433),L433:AC433),0),0))</f>
        <v/>
      </c>
      <c r="AL433" s="1030">
        <f t="shared" si="171"/>
        <v>0</v>
      </c>
      <c r="AM433" s="5254" t="str">
        <f t="shared" si="186"/>
        <v/>
      </c>
      <c r="AN433" s="1031">
        <f t="shared" si="172"/>
        <v>0</v>
      </c>
      <c r="AO433" s="1031">
        <f t="shared" si="173"/>
        <v>0</v>
      </c>
      <c r="AP433" s="1044">
        <f t="shared" si="174"/>
        <v>0</v>
      </c>
      <c r="AQ433" s="5257" t="str">
        <f t="shared" si="175"/>
        <v/>
      </c>
      <c r="AR433" s="1056"/>
      <c r="AS433" s="1056"/>
      <c r="AT433" s="1045">
        <f t="shared" si="176"/>
        <v>0</v>
      </c>
      <c r="AU433" s="1046">
        <f t="shared" si="177"/>
        <v>0</v>
      </c>
      <c r="AV433" s="1059" cm="1">
        <f t="array" ref="AV433">IF(AJ433&lt;&gt;1,0,IF(OR(AT433="",N(AT433)&lt;=0.000000001),"",IF(OR(AN433="",N(AN433)&lt;=0.000000001),0,IF(ISNUMBER(AT433),IFERROR(_xlfn.LET(_xlpm.ai_test,TRIM(AI433),_xlpm.r,IFERROR(_xlfn.XLOOKUP(_xlpm.ai_test,$BI$15:$BI$62,ROW($BI$15:$BI$62),0,1),IFERROR(_xlfn.XLOOKUP(_xlpm.ai_test,$BJ$15:$BJ$62,ROW($BJ$15:$BJ$62),0,1),_xlfn.XLOOKUP(_xlpm.ai_test,$BK$15:$BK$62,ROW($BK$15:$BK$62),0,1))),_xlpm.p,_xlpm.r-MIN(ROW($BI$15:$BI$62))+1,_xlpm.f,INDEX($BL$15:$BL$62,_xlpm.p),_xlpm.u,INDEX($BM$15:$BM$62,_xlpm.p),_xlpm.s,INDEX($BO$15:$BO$62,_xlpm.p),_xlpm.q,N(AT433)/_xlpm.f,IF(_xlpm.q&gt;=_xlpm.s,ROUND(_xlpm.q,1)&amp;" "&amp;_xlpm.ai_test&amp;" = "&amp;ROUND(_xlpm.q*_xlpm.f,1)&amp;" "&amp;_xlpm.u,ROUND(_xlpm.q,1)&amp;" "&amp;_xlpm.ai_test)),""),""))))</f>
        <v>0</v>
      </c>
      <c r="AW433" s="1047"/>
      <c r="AX433" s="1045">
        <f t="shared" si="178"/>
        <v>0</v>
      </c>
      <c r="AY433" s="1046" t="str">
        <f t="shared" si="179"/>
        <v/>
      </c>
      <c r="AZ433" s="1048">
        <f t="shared" si="184"/>
        <v>0</v>
      </c>
      <c r="BA433" s="1049" t="str">
        <f t="shared" si="180"/>
        <v/>
      </c>
      <c r="BB433" s="1038"/>
      <c r="BC433" s="1050">
        <f t="shared" si="185"/>
        <v>0</v>
      </c>
      <c r="BD433" s="1040" t="str">
        <f t="shared" si="181"/>
        <v/>
      </c>
      <c r="BE433" s="227" t="s">
        <v>22</v>
      </c>
      <c r="BF433" s="1019">
        <f t="shared" si="182"/>
        <v>0</v>
      </c>
      <c r="BG433" s="1020">
        <f t="shared" si="183"/>
        <v>0</v>
      </c>
      <c r="BH433"/>
      <c r="BI433" s="709"/>
      <c r="BJ433" s="709"/>
      <c r="BK433" s="709"/>
      <c r="BL433" s="709"/>
      <c r="BM433" s="709"/>
      <c r="BN433" s="709"/>
      <c r="BO433" s="709"/>
      <c r="BP433" s="709"/>
      <c r="BW433" s="959" t="str">
        <f t="shared" si="164"/>
        <v>►</v>
      </c>
      <c r="BX433" s="856"/>
      <c r="BY433" s="856"/>
      <c r="BZ433" s="856"/>
      <c r="CA433" s="856"/>
      <c r="CB433" s="856"/>
      <c r="DB433" s="3">
        <v>1</v>
      </c>
    </row>
    <row r="434" spans="12:106" ht="21" customHeight="1">
      <c r="L434" s="104" t="s">
        <v>16</v>
      </c>
      <c r="M434" s="1172"/>
      <c r="N434" s="1172"/>
      <c r="O434" s="1172"/>
      <c r="P434" s="1173"/>
      <c r="Q434" s="1174"/>
      <c r="R434" s="1175"/>
      <c r="S434" s="1176"/>
      <c r="T434" s="1177"/>
      <c r="U434" s="5248"/>
      <c r="V434" s="1177"/>
      <c r="W434" s="5249"/>
      <c r="X434" s="5208"/>
      <c r="Y434" s="5209"/>
      <c r="Z434" s="5210"/>
      <c r="AA434" s="5211"/>
      <c r="AB434" s="1178"/>
      <c r="AC434" s="1179"/>
      <c r="AD434" s="227" t="s">
        <v>22</v>
      </c>
      <c r="AE434" s="1027" t="str">
        <f t="shared" si="165"/>
        <v>►</v>
      </c>
      <c r="AF434" s="1028" t="str">
        <f t="shared" si="166"/>
        <v/>
      </c>
      <c r="AG434" s="1029" t="str">
        <f t="shared" si="167"/>
        <v/>
      </c>
      <c r="AH434" s="1028" t="str">
        <f t="shared" si="168"/>
        <v/>
      </c>
      <c r="AI434" s="1029" t="str">
        <f t="shared" si="169"/>
        <v/>
      </c>
      <c r="AJ434" s="1029">
        <f t="shared" si="170"/>
        <v>0</v>
      </c>
      <c r="AK434" s="1043" t="str" cm="1">
        <f t="array" ref="AK434">IF(AE434&lt;&gt;"A","",IFERROR((IFERROR(_xlfn.XLOOKUP(TRIM(SUBSTITUTE(U434,CHAR(160)," ")),$BI$15:$BI$62,$BL$15:$BL$62),IFERROR(_xlfn.XLOOKUP(TRIM(SUBSTITUTE(U434,CHAR(160)," ")),$BJ$15:$BJ$62,$BL$15:$BL$62),_xlfn.XLOOKUP(TRIM(SUBSTITUTE(U434,CHAR(160)," ")),$BK$15:$BK$62,$BL$15:$BL$62))))*T434*IF(ISBLANK(Q434),1,Q434)+IFERROR(_xlfn.XLOOKUP("RECHERCHEX",TRIM(L434:AC434),L434:AC434),0),0))</f>
        <v/>
      </c>
      <c r="AL434" s="1030">
        <f t="shared" si="171"/>
        <v>0</v>
      </c>
      <c r="AM434" s="5254" t="str">
        <f t="shared" si="186"/>
        <v/>
      </c>
      <c r="AN434" s="1031">
        <f t="shared" si="172"/>
        <v>0</v>
      </c>
      <c r="AO434" s="1031">
        <f t="shared" si="173"/>
        <v>0</v>
      </c>
      <c r="AP434" s="1032">
        <f t="shared" si="174"/>
        <v>0</v>
      </c>
      <c r="AQ434" s="5255" t="str">
        <f t="shared" si="175"/>
        <v/>
      </c>
      <c r="AR434" s="1056"/>
      <c r="AS434" s="1056"/>
      <c r="AT434" s="1034">
        <f t="shared" si="176"/>
        <v>0</v>
      </c>
      <c r="AU434" s="1035">
        <f t="shared" si="177"/>
        <v>0</v>
      </c>
      <c r="AV434" s="1057" cm="1">
        <f t="array" ref="AV434">IF(AJ434&lt;&gt;1,0,IF(OR(AT434="",N(AT434)&lt;=0.000000001),"",IF(OR(AN434="",N(AN434)&lt;=0.000000001),0,IF(ISNUMBER(AT434),IFERROR(_xlfn.LET(_xlpm.ai_test,TRIM(AI434),_xlpm.r,IFERROR(_xlfn.XLOOKUP(_xlpm.ai_test,$BI$15:$BI$62,ROW($BI$15:$BI$62),0,1),IFERROR(_xlfn.XLOOKUP(_xlpm.ai_test,$BJ$15:$BJ$62,ROW($BJ$15:$BJ$62),0,1),_xlfn.XLOOKUP(_xlpm.ai_test,$BK$15:$BK$62,ROW($BK$15:$BK$62),0,1))),_xlpm.p,_xlpm.r-MIN(ROW($BI$15:$BI$62))+1,_xlpm.f,INDEX($BL$15:$BL$62,_xlpm.p),_xlpm.u,INDEX($BM$15:$BM$62,_xlpm.p),_xlpm.s,INDEX($BO$15:$BO$62,_xlpm.p),_xlpm.q,N(AT434)/_xlpm.f,IF(_xlpm.q&gt;=_xlpm.s,ROUND(_xlpm.q,1)&amp;" "&amp;_xlpm.ai_test&amp;" = "&amp;ROUND(_xlpm.q*_xlpm.f,1)&amp;" "&amp;_xlpm.u,ROUND(_xlpm.q,1)&amp;" "&amp;_xlpm.ai_test)),""),""))))</f>
        <v>0</v>
      </c>
      <c r="AW434" s="1047"/>
      <c r="AX434" s="1034">
        <f t="shared" si="178"/>
        <v>0</v>
      </c>
      <c r="AY434" s="1035" t="str">
        <f t="shared" si="179"/>
        <v/>
      </c>
      <c r="AZ434" s="1036">
        <f t="shared" si="184"/>
        <v>0</v>
      </c>
      <c r="BA434" s="1037" t="str">
        <f t="shared" si="180"/>
        <v/>
      </c>
      <c r="BB434" s="1038"/>
      <c r="BC434" s="1039">
        <f t="shared" si="185"/>
        <v>0</v>
      </c>
      <c r="BD434" s="1040" t="str">
        <f t="shared" si="181"/>
        <v/>
      </c>
      <c r="BE434" s="227" t="s">
        <v>22</v>
      </c>
      <c r="BF434" s="1019">
        <f t="shared" si="182"/>
        <v>0</v>
      </c>
      <c r="BG434" s="1020">
        <f t="shared" si="183"/>
        <v>0</v>
      </c>
      <c r="BH434"/>
      <c r="BI434" s="709"/>
      <c r="BJ434" s="709"/>
      <c r="BK434" s="709"/>
      <c r="BL434" s="709"/>
      <c r="BM434" s="709"/>
      <c r="BN434" s="709"/>
      <c r="BO434" s="709"/>
      <c r="BP434" s="709"/>
      <c r="BW434" s="959" t="str">
        <f t="shared" si="164"/>
        <v>►</v>
      </c>
      <c r="BX434" s="856"/>
      <c r="BY434" s="856"/>
      <c r="BZ434" s="856"/>
      <c r="CA434" s="856"/>
      <c r="CB434" s="856"/>
      <c r="DB434" s="3">
        <v>1</v>
      </c>
    </row>
    <row r="435" spans="12:106" ht="21" customHeight="1">
      <c r="L435" s="104" t="s">
        <v>16</v>
      </c>
      <c r="M435" s="1172"/>
      <c r="N435" s="1172"/>
      <c r="O435" s="1172"/>
      <c r="P435" s="1173"/>
      <c r="Q435" s="1174"/>
      <c r="R435" s="1175"/>
      <c r="S435" s="1176"/>
      <c r="T435" s="1177"/>
      <c r="U435" s="5248"/>
      <c r="V435" s="1177"/>
      <c r="W435" s="5249"/>
      <c r="X435" s="5208"/>
      <c r="Y435" s="5209"/>
      <c r="Z435" s="5210"/>
      <c r="AA435" s="5211"/>
      <c r="AB435" s="1178"/>
      <c r="AC435" s="1179"/>
      <c r="AD435" s="227" t="s">
        <v>22</v>
      </c>
      <c r="AE435" s="1027" t="str">
        <f t="shared" si="165"/>
        <v>►</v>
      </c>
      <c r="AF435" s="1028" t="str">
        <f t="shared" si="166"/>
        <v/>
      </c>
      <c r="AG435" s="1029" t="str">
        <f t="shared" si="167"/>
        <v/>
      </c>
      <c r="AH435" s="1028" t="str">
        <f t="shared" si="168"/>
        <v/>
      </c>
      <c r="AI435" s="1029" t="str">
        <f t="shared" si="169"/>
        <v/>
      </c>
      <c r="AJ435" s="1029">
        <f t="shared" si="170"/>
        <v>0</v>
      </c>
      <c r="AK435" s="1043" t="str" cm="1">
        <f t="array" ref="AK435">IF(AE435&lt;&gt;"A","",IFERROR((IFERROR(_xlfn.XLOOKUP(TRIM(SUBSTITUTE(U435,CHAR(160)," ")),$BI$15:$BI$62,$BL$15:$BL$62),IFERROR(_xlfn.XLOOKUP(TRIM(SUBSTITUTE(U435,CHAR(160)," ")),$BJ$15:$BJ$62,$BL$15:$BL$62),_xlfn.XLOOKUP(TRIM(SUBSTITUTE(U435,CHAR(160)," ")),$BK$15:$BK$62,$BL$15:$BL$62))))*T435*IF(ISBLANK(Q435),1,Q435)+IFERROR(_xlfn.XLOOKUP("RECHERCHEX",TRIM(L435:AC435),L435:AC435),0),0))</f>
        <v/>
      </c>
      <c r="AL435" s="1030">
        <f t="shared" si="171"/>
        <v>0</v>
      </c>
      <c r="AM435" s="5254" t="str">
        <f t="shared" si="186"/>
        <v/>
      </c>
      <c r="AN435" s="1031">
        <f t="shared" si="172"/>
        <v>0</v>
      </c>
      <c r="AO435" s="1031">
        <f t="shared" si="173"/>
        <v>0</v>
      </c>
      <c r="AP435" s="1044">
        <f t="shared" si="174"/>
        <v>0</v>
      </c>
      <c r="AQ435" s="5257" t="str">
        <f t="shared" si="175"/>
        <v/>
      </c>
      <c r="AR435" s="1056"/>
      <c r="AS435" s="1056"/>
      <c r="AT435" s="1045">
        <f t="shared" si="176"/>
        <v>0</v>
      </c>
      <c r="AU435" s="1046">
        <f t="shared" si="177"/>
        <v>0</v>
      </c>
      <c r="AV435" s="1059" cm="1">
        <f t="array" ref="AV435">IF(AJ435&lt;&gt;1,0,IF(OR(AT435="",N(AT435)&lt;=0.000000001),"",IF(OR(AN435="",N(AN435)&lt;=0.000000001),0,IF(ISNUMBER(AT435),IFERROR(_xlfn.LET(_xlpm.ai_test,TRIM(AI435),_xlpm.r,IFERROR(_xlfn.XLOOKUP(_xlpm.ai_test,$BI$15:$BI$62,ROW($BI$15:$BI$62),0,1),IFERROR(_xlfn.XLOOKUP(_xlpm.ai_test,$BJ$15:$BJ$62,ROW($BJ$15:$BJ$62),0,1),_xlfn.XLOOKUP(_xlpm.ai_test,$BK$15:$BK$62,ROW($BK$15:$BK$62),0,1))),_xlpm.p,_xlpm.r-MIN(ROW($BI$15:$BI$62))+1,_xlpm.f,INDEX($BL$15:$BL$62,_xlpm.p),_xlpm.u,INDEX($BM$15:$BM$62,_xlpm.p),_xlpm.s,INDEX($BO$15:$BO$62,_xlpm.p),_xlpm.q,N(AT435)/_xlpm.f,IF(_xlpm.q&gt;=_xlpm.s,ROUND(_xlpm.q,1)&amp;" "&amp;_xlpm.ai_test&amp;" = "&amp;ROUND(_xlpm.q*_xlpm.f,1)&amp;" "&amp;_xlpm.u,ROUND(_xlpm.q,1)&amp;" "&amp;_xlpm.ai_test)),""),""))))</f>
        <v>0</v>
      </c>
      <c r="AW435" s="1047"/>
      <c r="AX435" s="1045">
        <f t="shared" si="178"/>
        <v>0</v>
      </c>
      <c r="AY435" s="1046" t="str">
        <f t="shared" si="179"/>
        <v/>
      </c>
      <c r="AZ435" s="1048">
        <f t="shared" si="184"/>
        <v>0</v>
      </c>
      <c r="BA435" s="1049" t="str">
        <f t="shared" si="180"/>
        <v/>
      </c>
      <c r="BB435" s="1038"/>
      <c r="BC435" s="1050">
        <f t="shared" si="185"/>
        <v>0</v>
      </c>
      <c r="BD435" s="1040" t="str">
        <f t="shared" si="181"/>
        <v/>
      </c>
      <c r="BE435" s="227" t="s">
        <v>22</v>
      </c>
      <c r="BF435" s="1019">
        <f t="shared" si="182"/>
        <v>0</v>
      </c>
      <c r="BG435" s="1020">
        <f t="shared" si="183"/>
        <v>0</v>
      </c>
      <c r="BH435"/>
      <c r="BI435" s="709"/>
      <c r="BJ435" s="709"/>
      <c r="BK435" s="709"/>
      <c r="BL435" s="709"/>
      <c r="BM435" s="709"/>
      <c r="BN435" s="709"/>
      <c r="BO435" s="709"/>
      <c r="BP435" s="709"/>
      <c r="BW435" s="959" t="str">
        <f t="shared" si="164"/>
        <v>►</v>
      </c>
      <c r="BX435" s="856"/>
      <c r="BY435" s="856"/>
      <c r="BZ435" s="856"/>
      <c r="CA435" s="856"/>
      <c r="CB435" s="856"/>
      <c r="CK435"/>
      <c r="CS435"/>
      <c r="DA435"/>
      <c r="DB435" s="3">
        <v>1</v>
      </c>
    </row>
    <row r="436" spans="12:106" ht="21" customHeight="1">
      <c r="L436" s="104" t="s">
        <v>16</v>
      </c>
      <c r="M436" s="1172"/>
      <c r="N436" s="1172"/>
      <c r="O436" s="1172"/>
      <c r="P436" s="1173"/>
      <c r="Q436" s="1174"/>
      <c r="R436" s="1175"/>
      <c r="S436" s="1176"/>
      <c r="T436" s="1177"/>
      <c r="U436" s="5248"/>
      <c r="V436" s="1177"/>
      <c r="W436" s="5249"/>
      <c r="X436" s="5208"/>
      <c r="Y436" s="5209"/>
      <c r="Z436" s="5210"/>
      <c r="AA436" s="5211"/>
      <c r="AB436" s="1178"/>
      <c r="AC436" s="1179"/>
      <c r="AD436" s="227" t="s">
        <v>22</v>
      </c>
      <c r="AE436" s="1027" t="str">
        <f t="shared" si="165"/>
        <v>►</v>
      </c>
      <c r="AF436" s="1028" t="str">
        <f t="shared" si="166"/>
        <v/>
      </c>
      <c r="AG436" s="1029" t="str">
        <f t="shared" si="167"/>
        <v/>
      </c>
      <c r="AH436" s="1028" t="str">
        <f t="shared" si="168"/>
        <v/>
      </c>
      <c r="AI436" s="1029" t="str">
        <f t="shared" si="169"/>
        <v/>
      </c>
      <c r="AJ436" s="1029">
        <f t="shared" si="170"/>
        <v>0</v>
      </c>
      <c r="AK436" s="1043" t="str" cm="1">
        <f t="array" ref="AK436">IF(AE436&lt;&gt;"A","",IFERROR((IFERROR(_xlfn.XLOOKUP(TRIM(SUBSTITUTE(U436,CHAR(160)," ")),$BI$15:$BI$62,$BL$15:$BL$62),IFERROR(_xlfn.XLOOKUP(TRIM(SUBSTITUTE(U436,CHAR(160)," ")),$BJ$15:$BJ$62,$BL$15:$BL$62),_xlfn.XLOOKUP(TRIM(SUBSTITUTE(U436,CHAR(160)," ")),$BK$15:$BK$62,$BL$15:$BL$62))))*T436*IF(ISBLANK(Q436),1,Q436)+IFERROR(_xlfn.XLOOKUP("RECHERCHEX",TRIM(L436:AC436),L436:AC436),0),0))</f>
        <v/>
      </c>
      <c r="AL436" s="1030">
        <f t="shared" si="171"/>
        <v>0</v>
      </c>
      <c r="AM436" s="5254" t="str">
        <f t="shared" si="186"/>
        <v/>
      </c>
      <c r="AN436" s="1031">
        <f t="shared" si="172"/>
        <v>0</v>
      </c>
      <c r="AO436" s="1031">
        <f t="shared" si="173"/>
        <v>0</v>
      </c>
      <c r="AP436" s="1032">
        <f t="shared" si="174"/>
        <v>0</v>
      </c>
      <c r="AQ436" s="5255" t="str">
        <f t="shared" si="175"/>
        <v/>
      </c>
      <c r="AR436" s="1056"/>
      <c r="AS436" s="1056"/>
      <c r="AT436" s="1034">
        <f t="shared" si="176"/>
        <v>0</v>
      </c>
      <c r="AU436" s="1035">
        <f t="shared" si="177"/>
        <v>0</v>
      </c>
      <c r="AV436" s="1057" cm="1">
        <f t="array" ref="AV436">IF(AJ436&lt;&gt;1,0,IF(OR(AT436="",N(AT436)&lt;=0.000000001),"",IF(OR(AN436="",N(AN436)&lt;=0.000000001),0,IF(ISNUMBER(AT436),IFERROR(_xlfn.LET(_xlpm.ai_test,TRIM(AI436),_xlpm.r,IFERROR(_xlfn.XLOOKUP(_xlpm.ai_test,$BI$15:$BI$62,ROW($BI$15:$BI$62),0,1),IFERROR(_xlfn.XLOOKUP(_xlpm.ai_test,$BJ$15:$BJ$62,ROW($BJ$15:$BJ$62),0,1),_xlfn.XLOOKUP(_xlpm.ai_test,$BK$15:$BK$62,ROW($BK$15:$BK$62),0,1))),_xlpm.p,_xlpm.r-MIN(ROW($BI$15:$BI$62))+1,_xlpm.f,INDEX($BL$15:$BL$62,_xlpm.p),_xlpm.u,INDEX($BM$15:$BM$62,_xlpm.p),_xlpm.s,INDEX($BO$15:$BO$62,_xlpm.p),_xlpm.q,N(AT436)/_xlpm.f,IF(_xlpm.q&gt;=_xlpm.s,ROUND(_xlpm.q,1)&amp;" "&amp;_xlpm.ai_test&amp;" = "&amp;ROUND(_xlpm.q*_xlpm.f,1)&amp;" "&amp;_xlpm.u,ROUND(_xlpm.q,1)&amp;" "&amp;_xlpm.ai_test)),""),""))))</f>
        <v>0</v>
      </c>
      <c r="AW436" s="1047"/>
      <c r="AX436" s="1034">
        <f t="shared" si="178"/>
        <v>0</v>
      </c>
      <c r="AY436" s="1035" t="str">
        <f t="shared" si="179"/>
        <v/>
      </c>
      <c r="AZ436" s="1036">
        <f t="shared" si="184"/>
        <v>0</v>
      </c>
      <c r="BA436" s="1037" t="str">
        <f t="shared" si="180"/>
        <v/>
      </c>
      <c r="BB436" s="1038"/>
      <c r="BC436" s="1039">
        <f t="shared" si="185"/>
        <v>0</v>
      </c>
      <c r="BD436" s="1040" t="str">
        <f t="shared" si="181"/>
        <v/>
      </c>
      <c r="BE436" s="227" t="s">
        <v>22</v>
      </c>
      <c r="BF436" s="1019">
        <f t="shared" si="182"/>
        <v>0</v>
      </c>
      <c r="BG436" s="1020">
        <f t="shared" si="183"/>
        <v>0</v>
      </c>
      <c r="BH436"/>
      <c r="BI436" s="709"/>
      <c r="BJ436" s="709"/>
      <c r="BK436" s="709"/>
      <c r="BL436" s="709"/>
      <c r="BM436" s="709"/>
      <c r="BN436" s="709"/>
      <c r="BO436" s="709"/>
      <c r="BP436" s="709"/>
      <c r="BW436" s="959" t="str">
        <f t="shared" si="164"/>
        <v>►</v>
      </c>
      <c r="BX436" s="856"/>
      <c r="BY436" s="856"/>
      <c r="BZ436" s="856"/>
      <c r="CA436" s="856"/>
      <c r="CB436" s="856"/>
      <c r="DB436" s="3">
        <v>1</v>
      </c>
    </row>
    <row r="437" spans="12:106" ht="21" customHeight="1">
      <c r="L437" s="104" t="s">
        <v>16</v>
      </c>
      <c r="M437" s="1172"/>
      <c r="N437" s="1172"/>
      <c r="O437" s="1172"/>
      <c r="P437" s="1173"/>
      <c r="Q437" s="1174"/>
      <c r="R437" s="1175"/>
      <c r="S437" s="1176"/>
      <c r="T437" s="1177"/>
      <c r="U437" s="5248"/>
      <c r="V437" s="1177"/>
      <c r="W437" s="5249"/>
      <c r="X437" s="5208"/>
      <c r="Y437" s="5209"/>
      <c r="Z437" s="5210"/>
      <c r="AA437" s="5211"/>
      <c r="AB437" s="1178"/>
      <c r="AC437" s="1179"/>
      <c r="AD437" s="227" t="s">
        <v>22</v>
      </c>
      <c r="AE437" s="1027" t="str">
        <f t="shared" si="165"/>
        <v>►</v>
      </c>
      <c r="AF437" s="1028" t="str">
        <f t="shared" si="166"/>
        <v/>
      </c>
      <c r="AG437" s="1029" t="str">
        <f t="shared" si="167"/>
        <v/>
      </c>
      <c r="AH437" s="1028" t="str">
        <f t="shared" si="168"/>
        <v/>
      </c>
      <c r="AI437" s="1029" t="str">
        <f t="shared" si="169"/>
        <v/>
      </c>
      <c r="AJ437" s="1029">
        <f t="shared" si="170"/>
        <v>0</v>
      </c>
      <c r="AK437" s="1043" t="str" cm="1">
        <f t="array" ref="AK437">IF(AE437&lt;&gt;"A","",IFERROR((IFERROR(_xlfn.XLOOKUP(TRIM(SUBSTITUTE(U437,CHAR(160)," ")),$BI$15:$BI$62,$BL$15:$BL$62),IFERROR(_xlfn.XLOOKUP(TRIM(SUBSTITUTE(U437,CHAR(160)," ")),$BJ$15:$BJ$62,$BL$15:$BL$62),_xlfn.XLOOKUP(TRIM(SUBSTITUTE(U437,CHAR(160)," ")),$BK$15:$BK$62,$BL$15:$BL$62))))*T437*IF(ISBLANK(Q437),1,Q437)+IFERROR(_xlfn.XLOOKUP("RECHERCHEX",TRIM(L437:AC437),L437:AC437),0),0))</f>
        <v/>
      </c>
      <c r="AL437" s="1030">
        <f t="shared" si="171"/>
        <v>0</v>
      </c>
      <c r="AM437" s="5254" t="str">
        <f t="shared" si="186"/>
        <v/>
      </c>
      <c r="AN437" s="1031">
        <f t="shared" si="172"/>
        <v>0</v>
      </c>
      <c r="AO437" s="1031">
        <f t="shared" si="173"/>
        <v>0</v>
      </c>
      <c r="AP437" s="1044">
        <f t="shared" si="174"/>
        <v>0</v>
      </c>
      <c r="AQ437" s="5257" t="str">
        <f t="shared" si="175"/>
        <v/>
      </c>
      <c r="AR437" s="1056"/>
      <c r="AS437" s="1056"/>
      <c r="AT437" s="1045">
        <f t="shared" si="176"/>
        <v>0</v>
      </c>
      <c r="AU437" s="1046">
        <f t="shared" si="177"/>
        <v>0</v>
      </c>
      <c r="AV437" s="1059" cm="1">
        <f t="array" ref="AV437">IF(AJ437&lt;&gt;1,0,IF(OR(AT437="",N(AT437)&lt;=0.000000001),"",IF(OR(AN437="",N(AN437)&lt;=0.000000001),0,IF(ISNUMBER(AT437),IFERROR(_xlfn.LET(_xlpm.ai_test,TRIM(AI437),_xlpm.r,IFERROR(_xlfn.XLOOKUP(_xlpm.ai_test,$BI$15:$BI$62,ROW($BI$15:$BI$62),0,1),IFERROR(_xlfn.XLOOKUP(_xlpm.ai_test,$BJ$15:$BJ$62,ROW($BJ$15:$BJ$62),0,1),_xlfn.XLOOKUP(_xlpm.ai_test,$BK$15:$BK$62,ROW($BK$15:$BK$62),0,1))),_xlpm.p,_xlpm.r-MIN(ROW($BI$15:$BI$62))+1,_xlpm.f,INDEX($BL$15:$BL$62,_xlpm.p),_xlpm.u,INDEX($BM$15:$BM$62,_xlpm.p),_xlpm.s,INDEX($BO$15:$BO$62,_xlpm.p),_xlpm.q,N(AT437)/_xlpm.f,IF(_xlpm.q&gt;=_xlpm.s,ROUND(_xlpm.q,1)&amp;" "&amp;_xlpm.ai_test&amp;" = "&amp;ROUND(_xlpm.q*_xlpm.f,1)&amp;" "&amp;_xlpm.u,ROUND(_xlpm.q,1)&amp;" "&amp;_xlpm.ai_test)),""),""))))</f>
        <v>0</v>
      </c>
      <c r="AW437" s="1047"/>
      <c r="AX437" s="1045">
        <f t="shared" si="178"/>
        <v>0</v>
      </c>
      <c r="AY437" s="1046" t="str">
        <f t="shared" si="179"/>
        <v/>
      </c>
      <c r="AZ437" s="1048">
        <f t="shared" si="184"/>
        <v>0</v>
      </c>
      <c r="BA437" s="1049" t="str">
        <f t="shared" si="180"/>
        <v/>
      </c>
      <c r="BB437" s="1038"/>
      <c r="BC437" s="1050">
        <f t="shared" si="185"/>
        <v>0</v>
      </c>
      <c r="BD437" s="1040" t="str">
        <f t="shared" si="181"/>
        <v/>
      </c>
      <c r="BE437" s="227" t="s">
        <v>22</v>
      </c>
      <c r="BF437" s="1019">
        <f t="shared" si="182"/>
        <v>0</v>
      </c>
      <c r="BG437" s="1020">
        <f t="shared" si="183"/>
        <v>0</v>
      </c>
      <c r="BH437"/>
      <c r="BI437" s="709"/>
      <c r="BJ437" s="709"/>
      <c r="BK437" s="709"/>
      <c r="BL437" s="709"/>
      <c r="BM437" s="709"/>
      <c r="BN437" s="709"/>
      <c r="BO437" s="709"/>
      <c r="BP437" s="709"/>
      <c r="BW437" s="959" t="str">
        <f t="shared" si="164"/>
        <v>►</v>
      </c>
      <c r="BX437" s="856"/>
      <c r="BY437" s="856"/>
      <c r="BZ437" s="856"/>
      <c r="CA437" s="856"/>
      <c r="CB437" s="856"/>
      <c r="DB437" s="3">
        <v>1</v>
      </c>
    </row>
    <row r="438" spans="12:106" ht="21" customHeight="1">
      <c r="L438" s="104" t="s">
        <v>16</v>
      </c>
      <c r="M438" s="1172"/>
      <c r="N438" s="1172"/>
      <c r="O438" s="1172"/>
      <c r="P438" s="1173"/>
      <c r="Q438" s="1174"/>
      <c r="R438" s="1175"/>
      <c r="S438" s="1176"/>
      <c r="T438" s="1177"/>
      <c r="U438" s="5248"/>
      <c r="V438" s="1177"/>
      <c r="W438" s="5249"/>
      <c r="X438" s="5208"/>
      <c r="Y438" s="5209"/>
      <c r="Z438" s="5210"/>
      <c r="AA438" s="5211"/>
      <c r="AB438" s="1178"/>
      <c r="AC438" s="1179"/>
      <c r="AD438" s="227" t="s">
        <v>22</v>
      </c>
      <c r="AE438" s="1027" t="str">
        <f t="shared" si="165"/>
        <v>►</v>
      </c>
      <c r="AF438" s="1028" t="str">
        <f t="shared" si="166"/>
        <v/>
      </c>
      <c r="AG438" s="1029" t="str">
        <f t="shared" si="167"/>
        <v/>
      </c>
      <c r="AH438" s="1028" t="str">
        <f t="shared" si="168"/>
        <v/>
      </c>
      <c r="AI438" s="1029" t="str">
        <f t="shared" si="169"/>
        <v/>
      </c>
      <c r="AJ438" s="1029">
        <f t="shared" si="170"/>
        <v>0</v>
      </c>
      <c r="AK438" s="1043" t="str" cm="1">
        <f t="array" ref="AK438">IF(AE438&lt;&gt;"A","",IFERROR((IFERROR(_xlfn.XLOOKUP(TRIM(SUBSTITUTE(U438,CHAR(160)," ")),$BI$15:$BI$62,$BL$15:$BL$62),IFERROR(_xlfn.XLOOKUP(TRIM(SUBSTITUTE(U438,CHAR(160)," ")),$BJ$15:$BJ$62,$BL$15:$BL$62),_xlfn.XLOOKUP(TRIM(SUBSTITUTE(U438,CHAR(160)," ")),$BK$15:$BK$62,$BL$15:$BL$62))))*T438*IF(ISBLANK(Q438),1,Q438)+IFERROR(_xlfn.XLOOKUP("RECHERCHEX",TRIM(L438:AC438),L438:AC438),0),0))</f>
        <v/>
      </c>
      <c r="AL438" s="1030">
        <f t="shared" si="171"/>
        <v>0</v>
      </c>
      <c r="AM438" s="5254" t="str">
        <f t="shared" si="186"/>
        <v/>
      </c>
      <c r="AN438" s="1031">
        <f t="shared" si="172"/>
        <v>0</v>
      </c>
      <c r="AO438" s="1031">
        <f t="shared" si="173"/>
        <v>0</v>
      </c>
      <c r="AP438" s="1032">
        <f t="shared" si="174"/>
        <v>0</v>
      </c>
      <c r="AQ438" s="5255" t="str">
        <f t="shared" si="175"/>
        <v/>
      </c>
      <c r="AR438" s="1056"/>
      <c r="AS438" s="1056"/>
      <c r="AT438" s="1034">
        <f t="shared" si="176"/>
        <v>0</v>
      </c>
      <c r="AU438" s="1035">
        <f t="shared" si="177"/>
        <v>0</v>
      </c>
      <c r="AV438" s="1057" cm="1">
        <f t="array" ref="AV438">IF(AJ438&lt;&gt;1,0,IF(OR(AT438="",N(AT438)&lt;=0.000000001),"",IF(OR(AN438="",N(AN438)&lt;=0.000000001),0,IF(ISNUMBER(AT438),IFERROR(_xlfn.LET(_xlpm.ai_test,TRIM(AI438),_xlpm.r,IFERROR(_xlfn.XLOOKUP(_xlpm.ai_test,$BI$15:$BI$62,ROW($BI$15:$BI$62),0,1),IFERROR(_xlfn.XLOOKUP(_xlpm.ai_test,$BJ$15:$BJ$62,ROW($BJ$15:$BJ$62),0,1),_xlfn.XLOOKUP(_xlpm.ai_test,$BK$15:$BK$62,ROW($BK$15:$BK$62),0,1))),_xlpm.p,_xlpm.r-MIN(ROW($BI$15:$BI$62))+1,_xlpm.f,INDEX($BL$15:$BL$62,_xlpm.p),_xlpm.u,INDEX($BM$15:$BM$62,_xlpm.p),_xlpm.s,INDEX($BO$15:$BO$62,_xlpm.p),_xlpm.q,N(AT438)/_xlpm.f,IF(_xlpm.q&gt;=_xlpm.s,ROUND(_xlpm.q,1)&amp;" "&amp;_xlpm.ai_test&amp;" = "&amp;ROUND(_xlpm.q*_xlpm.f,1)&amp;" "&amp;_xlpm.u,ROUND(_xlpm.q,1)&amp;" "&amp;_xlpm.ai_test)),""),""))))</f>
        <v>0</v>
      </c>
      <c r="AW438" s="1047"/>
      <c r="AX438" s="1034">
        <f t="shared" si="178"/>
        <v>0</v>
      </c>
      <c r="AY438" s="1035" t="str">
        <f t="shared" si="179"/>
        <v/>
      </c>
      <c r="AZ438" s="1036">
        <f t="shared" si="184"/>
        <v>0</v>
      </c>
      <c r="BA438" s="1037" t="str">
        <f t="shared" si="180"/>
        <v/>
      </c>
      <c r="BB438" s="1038"/>
      <c r="BC438" s="1039">
        <f t="shared" si="185"/>
        <v>0</v>
      </c>
      <c r="BD438" s="1040" t="str">
        <f t="shared" si="181"/>
        <v/>
      </c>
      <c r="BE438" s="227" t="s">
        <v>22</v>
      </c>
      <c r="BF438" s="1019">
        <f t="shared" si="182"/>
        <v>0</v>
      </c>
      <c r="BG438" s="1020">
        <f t="shared" si="183"/>
        <v>0</v>
      </c>
      <c r="BH438"/>
      <c r="BI438" s="709"/>
      <c r="BJ438" s="709"/>
      <c r="BK438" s="709"/>
      <c r="BL438" s="709"/>
      <c r="BM438" s="709"/>
      <c r="BN438" s="709"/>
      <c r="BO438" s="709"/>
      <c r="BP438" s="709"/>
      <c r="BW438" s="959" t="str">
        <f t="shared" si="164"/>
        <v>►</v>
      </c>
      <c r="BX438" s="856"/>
      <c r="BY438" s="856"/>
      <c r="BZ438" s="856"/>
      <c r="CA438" s="856"/>
      <c r="CB438" s="856"/>
      <c r="DB438" s="3">
        <v>1</v>
      </c>
    </row>
    <row r="439" spans="12:106" ht="21" customHeight="1">
      <c r="L439" s="104" t="s">
        <v>16</v>
      </c>
      <c r="M439" s="1172"/>
      <c r="N439" s="1172"/>
      <c r="O439" s="1172"/>
      <c r="P439" s="1173"/>
      <c r="Q439" s="1174"/>
      <c r="R439" s="1175"/>
      <c r="S439" s="1176"/>
      <c r="T439" s="1177"/>
      <c r="U439" s="5248"/>
      <c r="V439" s="1177"/>
      <c r="W439" s="5249"/>
      <c r="X439" s="5208"/>
      <c r="Y439" s="5209"/>
      <c r="Z439" s="5210"/>
      <c r="AA439" s="5211"/>
      <c r="AB439" s="1178"/>
      <c r="AC439" s="1179"/>
      <c r="AD439" s="227" t="s">
        <v>22</v>
      </c>
      <c r="AE439" s="1027" t="str">
        <f t="shared" si="165"/>
        <v>►</v>
      </c>
      <c r="AF439" s="1028" t="str">
        <f t="shared" si="166"/>
        <v/>
      </c>
      <c r="AG439" s="1029" t="str">
        <f t="shared" si="167"/>
        <v/>
      </c>
      <c r="AH439" s="1028" t="str">
        <f t="shared" si="168"/>
        <v/>
      </c>
      <c r="AI439" s="1029" t="str">
        <f t="shared" si="169"/>
        <v/>
      </c>
      <c r="AJ439" s="1029">
        <f t="shared" si="170"/>
        <v>0</v>
      </c>
      <c r="AK439" s="1043" t="str" cm="1">
        <f t="array" ref="AK439">IF(AE439&lt;&gt;"A","",IFERROR((IFERROR(_xlfn.XLOOKUP(TRIM(SUBSTITUTE(U439,CHAR(160)," ")),$BI$15:$BI$62,$BL$15:$BL$62),IFERROR(_xlfn.XLOOKUP(TRIM(SUBSTITUTE(U439,CHAR(160)," ")),$BJ$15:$BJ$62,$BL$15:$BL$62),_xlfn.XLOOKUP(TRIM(SUBSTITUTE(U439,CHAR(160)," ")),$BK$15:$BK$62,$BL$15:$BL$62))))*T439*IF(ISBLANK(Q439),1,Q439)+IFERROR(_xlfn.XLOOKUP("RECHERCHEX",TRIM(L439:AC439),L439:AC439),0),0))</f>
        <v/>
      </c>
      <c r="AL439" s="1030">
        <f t="shared" si="171"/>
        <v>0</v>
      </c>
      <c r="AM439" s="5254" t="str">
        <f t="shared" si="186"/>
        <v/>
      </c>
      <c r="AN439" s="1031">
        <f t="shared" si="172"/>
        <v>0</v>
      </c>
      <c r="AO439" s="1031">
        <f t="shared" si="173"/>
        <v>0</v>
      </c>
      <c r="AP439" s="1044">
        <f t="shared" si="174"/>
        <v>0</v>
      </c>
      <c r="AQ439" s="5257" t="str">
        <f t="shared" si="175"/>
        <v/>
      </c>
      <c r="AR439" s="1056"/>
      <c r="AS439" s="1056"/>
      <c r="AT439" s="1045">
        <f t="shared" si="176"/>
        <v>0</v>
      </c>
      <c r="AU439" s="1046">
        <f t="shared" si="177"/>
        <v>0</v>
      </c>
      <c r="AV439" s="1059" cm="1">
        <f t="array" ref="AV439">IF(AJ439&lt;&gt;1,0,IF(OR(AT439="",N(AT439)&lt;=0.000000001),"",IF(OR(AN439="",N(AN439)&lt;=0.000000001),0,IF(ISNUMBER(AT439),IFERROR(_xlfn.LET(_xlpm.ai_test,TRIM(AI439),_xlpm.r,IFERROR(_xlfn.XLOOKUP(_xlpm.ai_test,$BI$15:$BI$62,ROW($BI$15:$BI$62),0,1),IFERROR(_xlfn.XLOOKUP(_xlpm.ai_test,$BJ$15:$BJ$62,ROW($BJ$15:$BJ$62),0,1),_xlfn.XLOOKUP(_xlpm.ai_test,$BK$15:$BK$62,ROW($BK$15:$BK$62),0,1))),_xlpm.p,_xlpm.r-MIN(ROW($BI$15:$BI$62))+1,_xlpm.f,INDEX($BL$15:$BL$62,_xlpm.p),_xlpm.u,INDEX($BM$15:$BM$62,_xlpm.p),_xlpm.s,INDEX($BO$15:$BO$62,_xlpm.p),_xlpm.q,N(AT439)/_xlpm.f,IF(_xlpm.q&gt;=_xlpm.s,ROUND(_xlpm.q,1)&amp;" "&amp;_xlpm.ai_test&amp;" = "&amp;ROUND(_xlpm.q*_xlpm.f,1)&amp;" "&amp;_xlpm.u,ROUND(_xlpm.q,1)&amp;" "&amp;_xlpm.ai_test)),""),""))))</f>
        <v>0</v>
      </c>
      <c r="AW439" s="1047"/>
      <c r="AX439" s="1045">
        <f t="shared" si="178"/>
        <v>0</v>
      </c>
      <c r="AY439" s="1046" t="str">
        <f t="shared" si="179"/>
        <v/>
      </c>
      <c r="AZ439" s="1048">
        <f t="shared" si="184"/>
        <v>0</v>
      </c>
      <c r="BA439" s="1049" t="str">
        <f t="shared" si="180"/>
        <v/>
      </c>
      <c r="BB439" s="1038"/>
      <c r="BC439" s="1050">
        <f t="shared" si="185"/>
        <v>0</v>
      </c>
      <c r="BD439" s="1040" t="str">
        <f t="shared" si="181"/>
        <v/>
      </c>
      <c r="BE439" s="227" t="s">
        <v>22</v>
      </c>
      <c r="BF439" s="1019">
        <f t="shared" si="182"/>
        <v>0</v>
      </c>
      <c r="BG439" s="1020">
        <f t="shared" si="183"/>
        <v>0</v>
      </c>
      <c r="BH439"/>
      <c r="BI439" s="709"/>
      <c r="BJ439" s="709"/>
      <c r="BK439" s="709"/>
      <c r="BL439" s="709"/>
      <c r="BM439" s="709"/>
      <c r="BN439" s="709"/>
      <c r="BO439" s="709"/>
      <c r="BP439" s="709"/>
      <c r="BW439" s="959" t="str">
        <f t="shared" si="164"/>
        <v>►</v>
      </c>
      <c r="BX439" s="856"/>
      <c r="BY439" s="856"/>
      <c r="BZ439" s="856"/>
      <c r="CA439" s="856"/>
      <c r="CB439" s="856"/>
      <c r="DB439" s="3">
        <v>1</v>
      </c>
    </row>
    <row r="440" spans="12:106" ht="21" customHeight="1">
      <c r="L440" s="104" t="s">
        <v>16</v>
      </c>
      <c r="M440" s="1172"/>
      <c r="N440" s="1172"/>
      <c r="O440" s="1172"/>
      <c r="P440" s="1173"/>
      <c r="Q440" s="1174"/>
      <c r="R440" s="1175"/>
      <c r="S440" s="1176"/>
      <c r="T440" s="1177"/>
      <c r="U440" s="5248"/>
      <c r="V440" s="1177"/>
      <c r="W440" s="5249"/>
      <c r="X440" s="5208"/>
      <c r="Y440" s="5209"/>
      <c r="Z440" s="5210"/>
      <c r="AA440" s="5211"/>
      <c r="AB440" s="1178"/>
      <c r="AC440" s="1179"/>
      <c r="AD440" s="227" t="s">
        <v>22</v>
      </c>
      <c r="AE440" s="1027" t="str">
        <f t="shared" si="165"/>
        <v>►</v>
      </c>
      <c r="AF440" s="1028" t="str">
        <f t="shared" si="166"/>
        <v/>
      </c>
      <c r="AG440" s="1029" t="str">
        <f t="shared" si="167"/>
        <v/>
      </c>
      <c r="AH440" s="1028" t="str">
        <f t="shared" si="168"/>
        <v/>
      </c>
      <c r="AI440" s="1029" t="str">
        <f t="shared" si="169"/>
        <v/>
      </c>
      <c r="AJ440" s="1029">
        <f t="shared" si="170"/>
        <v>0</v>
      </c>
      <c r="AK440" s="1043" t="str" cm="1">
        <f t="array" ref="AK440">IF(AE440&lt;&gt;"A","",IFERROR((IFERROR(_xlfn.XLOOKUP(TRIM(SUBSTITUTE(U440,CHAR(160)," ")),$BI$15:$BI$62,$BL$15:$BL$62),IFERROR(_xlfn.XLOOKUP(TRIM(SUBSTITUTE(U440,CHAR(160)," ")),$BJ$15:$BJ$62,$BL$15:$BL$62),_xlfn.XLOOKUP(TRIM(SUBSTITUTE(U440,CHAR(160)," ")),$BK$15:$BK$62,$BL$15:$BL$62))))*T440*IF(ISBLANK(Q440),1,Q440)+IFERROR(_xlfn.XLOOKUP("RECHERCHEX",TRIM(L440:AC440),L440:AC440),0),0))</f>
        <v/>
      </c>
      <c r="AL440" s="1030">
        <f t="shared" si="171"/>
        <v>0</v>
      </c>
      <c r="AM440" s="5254" t="str">
        <f t="shared" si="186"/>
        <v/>
      </c>
      <c r="AN440" s="1031">
        <f t="shared" si="172"/>
        <v>0</v>
      </c>
      <c r="AO440" s="1031">
        <f t="shared" si="173"/>
        <v>0</v>
      </c>
      <c r="AP440" s="1032">
        <f t="shared" si="174"/>
        <v>0</v>
      </c>
      <c r="AQ440" s="5255" t="str">
        <f t="shared" si="175"/>
        <v/>
      </c>
      <c r="AR440" s="1056"/>
      <c r="AS440" s="1056"/>
      <c r="AT440" s="1034">
        <f t="shared" si="176"/>
        <v>0</v>
      </c>
      <c r="AU440" s="1035">
        <f t="shared" si="177"/>
        <v>0</v>
      </c>
      <c r="AV440" s="1057" cm="1">
        <f t="array" ref="AV440">IF(AJ440&lt;&gt;1,0,IF(OR(AT440="",N(AT440)&lt;=0.000000001),"",IF(OR(AN440="",N(AN440)&lt;=0.000000001),0,IF(ISNUMBER(AT440),IFERROR(_xlfn.LET(_xlpm.ai_test,TRIM(AI440),_xlpm.r,IFERROR(_xlfn.XLOOKUP(_xlpm.ai_test,$BI$15:$BI$62,ROW($BI$15:$BI$62),0,1),IFERROR(_xlfn.XLOOKUP(_xlpm.ai_test,$BJ$15:$BJ$62,ROW($BJ$15:$BJ$62),0,1),_xlfn.XLOOKUP(_xlpm.ai_test,$BK$15:$BK$62,ROW($BK$15:$BK$62),0,1))),_xlpm.p,_xlpm.r-MIN(ROW($BI$15:$BI$62))+1,_xlpm.f,INDEX($BL$15:$BL$62,_xlpm.p),_xlpm.u,INDEX($BM$15:$BM$62,_xlpm.p),_xlpm.s,INDEX($BO$15:$BO$62,_xlpm.p),_xlpm.q,N(AT440)/_xlpm.f,IF(_xlpm.q&gt;=_xlpm.s,ROUND(_xlpm.q,1)&amp;" "&amp;_xlpm.ai_test&amp;" = "&amp;ROUND(_xlpm.q*_xlpm.f,1)&amp;" "&amp;_xlpm.u,ROUND(_xlpm.q,1)&amp;" "&amp;_xlpm.ai_test)),""),""))))</f>
        <v>0</v>
      </c>
      <c r="AW440" s="1047"/>
      <c r="AX440" s="1034">
        <f t="shared" si="178"/>
        <v>0</v>
      </c>
      <c r="AY440" s="1035" t="str">
        <f t="shared" si="179"/>
        <v/>
      </c>
      <c r="AZ440" s="1036">
        <f t="shared" si="184"/>
        <v>0</v>
      </c>
      <c r="BA440" s="1037" t="str">
        <f t="shared" si="180"/>
        <v/>
      </c>
      <c r="BB440" s="1038"/>
      <c r="BC440" s="1039">
        <f t="shared" si="185"/>
        <v>0</v>
      </c>
      <c r="BD440" s="1040" t="str">
        <f t="shared" si="181"/>
        <v/>
      </c>
      <c r="BE440" s="227" t="s">
        <v>22</v>
      </c>
      <c r="BF440" s="1019">
        <f t="shared" si="182"/>
        <v>0</v>
      </c>
      <c r="BG440" s="1020">
        <f t="shared" si="183"/>
        <v>0</v>
      </c>
      <c r="BH440"/>
      <c r="BI440" s="709"/>
      <c r="BJ440" s="709"/>
      <c r="BK440" s="709"/>
      <c r="BL440" s="709"/>
      <c r="BM440" s="709"/>
      <c r="BN440" s="709"/>
      <c r="BO440" s="709"/>
      <c r="BP440" s="709"/>
      <c r="BW440" s="959" t="str">
        <f t="shared" si="164"/>
        <v>►</v>
      </c>
      <c r="BX440" s="856"/>
      <c r="BY440" s="856"/>
      <c r="BZ440" s="856"/>
      <c r="CA440" s="856"/>
      <c r="CB440" s="856"/>
      <c r="DB440" s="3">
        <v>1</v>
      </c>
    </row>
    <row r="441" spans="12:106" ht="21" customHeight="1">
      <c r="L441" s="104" t="s">
        <v>16</v>
      </c>
      <c r="M441" s="1172"/>
      <c r="N441" s="1172"/>
      <c r="O441" s="1172"/>
      <c r="P441" s="1173"/>
      <c r="Q441" s="1174"/>
      <c r="R441" s="1175"/>
      <c r="S441" s="1176"/>
      <c r="T441" s="1177"/>
      <c r="U441" s="5248"/>
      <c r="V441" s="1177"/>
      <c r="W441" s="5249"/>
      <c r="X441" s="5208"/>
      <c r="Y441" s="5209"/>
      <c r="Z441" s="5210"/>
      <c r="AA441" s="5211"/>
      <c r="AB441" s="1178"/>
      <c r="AC441" s="1179"/>
      <c r="AD441" s="227" t="s">
        <v>22</v>
      </c>
      <c r="AE441" s="1027" t="str">
        <f t="shared" si="165"/>
        <v>►</v>
      </c>
      <c r="AF441" s="1028" t="str">
        <f t="shared" si="166"/>
        <v/>
      </c>
      <c r="AG441" s="1029" t="str">
        <f t="shared" si="167"/>
        <v/>
      </c>
      <c r="AH441" s="1028" t="str">
        <f t="shared" si="168"/>
        <v/>
      </c>
      <c r="AI441" s="1029" t="str">
        <f t="shared" si="169"/>
        <v/>
      </c>
      <c r="AJ441" s="1029">
        <f t="shared" si="170"/>
        <v>0</v>
      </c>
      <c r="AK441" s="1043" t="str" cm="1">
        <f t="array" ref="AK441">IF(AE441&lt;&gt;"A","",IFERROR((IFERROR(_xlfn.XLOOKUP(TRIM(SUBSTITUTE(U441,CHAR(160)," ")),$BI$15:$BI$62,$BL$15:$BL$62),IFERROR(_xlfn.XLOOKUP(TRIM(SUBSTITUTE(U441,CHAR(160)," ")),$BJ$15:$BJ$62,$BL$15:$BL$62),_xlfn.XLOOKUP(TRIM(SUBSTITUTE(U441,CHAR(160)," ")),$BK$15:$BK$62,$BL$15:$BL$62))))*T441*IF(ISBLANK(Q441),1,Q441)+IFERROR(_xlfn.XLOOKUP("RECHERCHEX",TRIM(L441:AC441),L441:AC441),0),0))</f>
        <v/>
      </c>
      <c r="AL441" s="1030">
        <f t="shared" si="171"/>
        <v>0</v>
      </c>
      <c r="AM441" s="5254" t="str">
        <f t="shared" si="186"/>
        <v/>
      </c>
      <c r="AN441" s="1031">
        <f t="shared" si="172"/>
        <v>0</v>
      </c>
      <c r="AO441" s="1031">
        <f t="shared" si="173"/>
        <v>0</v>
      </c>
      <c r="AP441" s="1044">
        <f t="shared" si="174"/>
        <v>0</v>
      </c>
      <c r="AQ441" s="5257" t="str">
        <f t="shared" si="175"/>
        <v/>
      </c>
      <c r="AR441" s="1056"/>
      <c r="AS441" s="1056"/>
      <c r="AT441" s="1045">
        <f t="shared" si="176"/>
        <v>0</v>
      </c>
      <c r="AU441" s="1046">
        <f t="shared" si="177"/>
        <v>0</v>
      </c>
      <c r="AV441" s="1059" cm="1">
        <f t="array" ref="AV441">IF(AJ441&lt;&gt;1,0,IF(OR(AT441="",N(AT441)&lt;=0.000000001),"",IF(OR(AN441="",N(AN441)&lt;=0.000000001),0,IF(ISNUMBER(AT441),IFERROR(_xlfn.LET(_xlpm.ai_test,TRIM(AI441),_xlpm.r,IFERROR(_xlfn.XLOOKUP(_xlpm.ai_test,$BI$15:$BI$62,ROW($BI$15:$BI$62),0,1),IFERROR(_xlfn.XLOOKUP(_xlpm.ai_test,$BJ$15:$BJ$62,ROW($BJ$15:$BJ$62),0,1),_xlfn.XLOOKUP(_xlpm.ai_test,$BK$15:$BK$62,ROW($BK$15:$BK$62),0,1))),_xlpm.p,_xlpm.r-MIN(ROW($BI$15:$BI$62))+1,_xlpm.f,INDEX($BL$15:$BL$62,_xlpm.p),_xlpm.u,INDEX($BM$15:$BM$62,_xlpm.p),_xlpm.s,INDEX($BO$15:$BO$62,_xlpm.p),_xlpm.q,N(AT441)/_xlpm.f,IF(_xlpm.q&gt;=_xlpm.s,ROUND(_xlpm.q,1)&amp;" "&amp;_xlpm.ai_test&amp;" = "&amp;ROUND(_xlpm.q*_xlpm.f,1)&amp;" "&amp;_xlpm.u,ROUND(_xlpm.q,1)&amp;" "&amp;_xlpm.ai_test)),""),""))))</f>
        <v>0</v>
      </c>
      <c r="AW441" s="1047"/>
      <c r="AX441" s="1045">
        <f t="shared" si="178"/>
        <v>0</v>
      </c>
      <c r="AY441" s="1046" t="str">
        <f t="shared" si="179"/>
        <v/>
      </c>
      <c r="AZ441" s="1048">
        <f t="shared" si="184"/>
        <v>0</v>
      </c>
      <c r="BA441" s="1049" t="str">
        <f t="shared" si="180"/>
        <v/>
      </c>
      <c r="BB441" s="1038"/>
      <c r="BC441" s="1050">
        <f t="shared" si="185"/>
        <v>0</v>
      </c>
      <c r="BD441" s="1040" t="str">
        <f t="shared" si="181"/>
        <v/>
      </c>
      <c r="BE441" s="227" t="s">
        <v>22</v>
      </c>
      <c r="BF441" s="1019">
        <f t="shared" si="182"/>
        <v>0</v>
      </c>
      <c r="BG441" s="1020">
        <f t="shared" si="183"/>
        <v>0</v>
      </c>
      <c r="BH441"/>
      <c r="BI441" s="709"/>
      <c r="BJ441" s="709"/>
      <c r="BK441" s="709"/>
      <c r="BL441" s="709"/>
      <c r="BM441" s="709"/>
      <c r="BN441" s="709"/>
      <c r="BO441" s="709"/>
      <c r="BP441" s="709"/>
      <c r="BW441" s="959" t="str">
        <f t="shared" si="164"/>
        <v>►</v>
      </c>
      <c r="BX441" s="856"/>
      <c r="BY441" s="856"/>
      <c r="BZ441" s="856"/>
      <c r="CA441" s="856"/>
      <c r="CB441" s="856"/>
      <c r="DB441" s="3">
        <v>1</v>
      </c>
    </row>
    <row r="442" spans="12:106" ht="21" customHeight="1">
      <c r="L442" s="104" t="s">
        <v>16</v>
      </c>
      <c r="M442" s="1172"/>
      <c r="N442" s="1172"/>
      <c r="O442" s="1172"/>
      <c r="P442" s="1173"/>
      <c r="Q442" s="1174"/>
      <c r="R442" s="1175"/>
      <c r="S442" s="1176"/>
      <c r="T442" s="1177"/>
      <c r="U442" s="5248"/>
      <c r="V442" s="1177"/>
      <c r="W442" s="5249"/>
      <c r="X442" s="5208"/>
      <c r="Y442" s="5209"/>
      <c r="Z442" s="5210"/>
      <c r="AA442" s="5211"/>
      <c r="AB442" s="1178"/>
      <c r="AC442" s="1179"/>
      <c r="AD442" s="227" t="s">
        <v>22</v>
      </c>
      <c r="AE442" s="1027" t="str">
        <f t="shared" si="165"/>
        <v>►</v>
      </c>
      <c r="AF442" s="1028" t="str">
        <f t="shared" si="166"/>
        <v/>
      </c>
      <c r="AG442" s="1029" t="str">
        <f t="shared" si="167"/>
        <v/>
      </c>
      <c r="AH442" s="1028" t="str">
        <f t="shared" si="168"/>
        <v/>
      </c>
      <c r="AI442" s="1029" t="str">
        <f t="shared" si="169"/>
        <v/>
      </c>
      <c r="AJ442" s="1029">
        <f t="shared" si="170"/>
        <v>0</v>
      </c>
      <c r="AK442" s="1043" t="str" cm="1">
        <f t="array" ref="AK442">IF(AE442&lt;&gt;"A","",IFERROR((IFERROR(_xlfn.XLOOKUP(TRIM(SUBSTITUTE(U442,CHAR(160)," ")),$BI$15:$BI$62,$BL$15:$BL$62),IFERROR(_xlfn.XLOOKUP(TRIM(SUBSTITUTE(U442,CHAR(160)," ")),$BJ$15:$BJ$62,$BL$15:$BL$62),_xlfn.XLOOKUP(TRIM(SUBSTITUTE(U442,CHAR(160)," ")),$BK$15:$BK$62,$BL$15:$BL$62))))*T442*IF(ISBLANK(Q442),1,Q442)+IFERROR(_xlfn.XLOOKUP("RECHERCHEX",TRIM(L442:AC442),L442:AC442),0),0))</f>
        <v/>
      </c>
      <c r="AL442" s="1030">
        <f t="shared" si="171"/>
        <v>0</v>
      </c>
      <c r="AM442" s="5254" t="str">
        <f t="shared" si="186"/>
        <v/>
      </c>
      <c r="AN442" s="1031">
        <f t="shared" si="172"/>
        <v>0</v>
      </c>
      <c r="AO442" s="1031">
        <f t="shared" si="173"/>
        <v>0</v>
      </c>
      <c r="AP442" s="1032">
        <f t="shared" si="174"/>
        <v>0</v>
      </c>
      <c r="AQ442" s="5255" t="str">
        <f t="shared" si="175"/>
        <v/>
      </c>
      <c r="AR442" s="1056"/>
      <c r="AS442" s="1056"/>
      <c r="AT442" s="1034">
        <f t="shared" si="176"/>
        <v>0</v>
      </c>
      <c r="AU442" s="1035">
        <f t="shared" si="177"/>
        <v>0</v>
      </c>
      <c r="AV442" s="1057" cm="1">
        <f t="array" ref="AV442">IF(AJ442&lt;&gt;1,0,IF(OR(AT442="",N(AT442)&lt;=0.000000001),"",IF(OR(AN442="",N(AN442)&lt;=0.000000001),0,IF(ISNUMBER(AT442),IFERROR(_xlfn.LET(_xlpm.ai_test,TRIM(AI442),_xlpm.r,IFERROR(_xlfn.XLOOKUP(_xlpm.ai_test,$BI$15:$BI$62,ROW($BI$15:$BI$62),0,1),IFERROR(_xlfn.XLOOKUP(_xlpm.ai_test,$BJ$15:$BJ$62,ROW($BJ$15:$BJ$62),0,1),_xlfn.XLOOKUP(_xlpm.ai_test,$BK$15:$BK$62,ROW($BK$15:$BK$62),0,1))),_xlpm.p,_xlpm.r-MIN(ROW($BI$15:$BI$62))+1,_xlpm.f,INDEX($BL$15:$BL$62,_xlpm.p),_xlpm.u,INDEX($BM$15:$BM$62,_xlpm.p),_xlpm.s,INDEX($BO$15:$BO$62,_xlpm.p),_xlpm.q,N(AT442)/_xlpm.f,IF(_xlpm.q&gt;=_xlpm.s,ROUND(_xlpm.q,1)&amp;" "&amp;_xlpm.ai_test&amp;" = "&amp;ROUND(_xlpm.q*_xlpm.f,1)&amp;" "&amp;_xlpm.u,ROUND(_xlpm.q,1)&amp;" "&amp;_xlpm.ai_test)),""),""))))</f>
        <v>0</v>
      </c>
      <c r="AW442" s="1047"/>
      <c r="AX442" s="1034">
        <f t="shared" si="178"/>
        <v>0</v>
      </c>
      <c r="AY442" s="1035" t="str">
        <f t="shared" si="179"/>
        <v/>
      </c>
      <c r="AZ442" s="1036">
        <f t="shared" si="184"/>
        <v>0</v>
      </c>
      <c r="BA442" s="1037" t="str">
        <f t="shared" si="180"/>
        <v/>
      </c>
      <c r="BB442" s="1038"/>
      <c r="BC442" s="1039">
        <f t="shared" si="185"/>
        <v>0</v>
      </c>
      <c r="BD442" s="1040" t="str">
        <f t="shared" si="181"/>
        <v/>
      </c>
      <c r="BE442" s="227" t="s">
        <v>22</v>
      </c>
      <c r="BF442" s="1019">
        <f t="shared" si="182"/>
        <v>0</v>
      </c>
      <c r="BG442" s="1020">
        <f t="shared" si="183"/>
        <v>0</v>
      </c>
      <c r="BH442"/>
      <c r="BI442" s="709"/>
      <c r="BJ442" s="709"/>
      <c r="BK442" s="709"/>
      <c r="BL442" s="709"/>
      <c r="BM442" s="709"/>
      <c r="BN442" s="709"/>
      <c r="BO442" s="709"/>
      <c r="BP442" s="709"/>
      <c r="BW442" s="959" t="str">
        <f t="shared" si="164"/>
        <v>►</v>
      </c>
      <c r="BX442" s="856"/>
      <c r="BY442" s="856"/>
      <c r="BZ442" s="856"/>
      <c r="CA442" s="856"/>
      <c r="CB442" s="856"/>
      <c r="DB442" s="3">
        <v>1</v>
      </c>
    </row>
    <row r="443" spans="12:106" ht="21" customHeight="1">
      <c r="L443" s="104" t="s">
        <v>16</v>
      </c>
      <c r="M443" s="1172"/>
      <c r="N443" s="1172"/>
      <c r="O443" s="1172"/>
      <c r="P443" s="1173"/>
      <c r="Q443" s="1174"/>
      <c r="R443" s="1175"/>
      <c r="S443" s="1176"/>
      <c r="T443" s="1177"/>
      <c r="U443" s="5248"/>
      <c r="V443" s="1177"/>
      <c r="W443" s="5249"/>
      <c r="X443" s="5208"/>
      <c r="Y443" s="5209"/>
      <c r="Z443" s="5210"/>
      <c r="AA443" s="5211"/>
      <c r="AB443" s="1178"/>
      <c r="AC443" s="1179"/>
      <c r="AD443" s="227" t="s">
        <v>22</v>
      </c>
      <c r="AE443" s="1027" t="str">
        <f t="shared" si="165"/>
        <v>►</v>
      </c>
      <c r="AF443" s="1028" t="str">
        <f t="shared" si="166"/>
        <v/>
      </c>
      <c r="AG443" s="1029" t="str">
        <f t="shared" si="167"/>
        <v/>
      </c>
      <c r="AH443" s="1028" t="str">
        <f t="shared" si="168"/>
        <v/>
      </c>
      <c r="AI443" s="1029" t="str">
        <f t="shared" si="169"/>
        <v/>
      </c>
      <c r="AJ443" s="1029">
        <f t="shared" si="170"/>
        <v>0</v>
      </c>
      <c r="AK443" s="1043" t="str" cm="1">
        <f t="array" ref="AK443">IF(AE443&lt;&gt;"A","",IFERROR((IFERROR(_xlfn.XLOOKUP(TRIM(SUBSTITUTE(U443,CHAR(160)," ")),$BI$15:$BI$62,$BL$15:$BL$62),IFERROR(_xlfn.XLOOKUP(TRIM(SUBSTITUTE(U443,CHAR(160)," ")),$BJ$15:$BJ$62,$BL$15:$BL$62),_xlfn.XLOOKUP(TRIM(SUBSTITUTE(U443,CHAR(160)," ")),$BK$15:$BK$62,$BL$15:$BL$62))))*T443*IF(ISBLANK(Q443),1,Q443)+IFERROR(_xlfn.XLOOKUP("RECHERCHEX",TRIM(L443:AC443),L443:AC443),0),0))</f>
        <v/>
      </c>
      <c r="AL443" s="1030">
        <f t="shared" si="171"/>
        <v>0</v>
      </c>
      <c r="AM443" s="5254" t="str">
        <f t="shared" si="186"/>
        <v/>
      </c>
      <c r="AN443" s="1031">
        <f t="shared" si="172"/>
        <v>0</v>
      </c>
      <c r="AO443" s="1031">
        <f t="shared" si="173"/>
        <v>0</v>
      </c>
      <c r="AP443" s="1044">
        <f t="shared" si="174"/>
        <v>0</v>
      </c>
      <c r="AQ443" s="5257" t="str">
        <f t="shared" si="175"/>
        <v/>
      </c>
      <c r="AR443" s="1056"/>
      <c r="AS443" s="1056"/>
      <c r="AT443" s="1045">
        <f t="shared" si="176"/>
        <v>0</v>
      </c>
      <c r="AU443" s="1046">
        <f t="shared" si="177"/>
        <v>0</v>
      </c>
      <c r="AV443" s="1059" cm="1">
        <f t="array" ref="AV443">IF(AJ443&lt;&gt;1,0,IF(OR(AT443="",N(AT443)&lt;=0.000000001),"",IF(OR(AN443="",N(AN443)&lt;=0.000000001),0,IF(ISNUMBER(AT443),IFERROR(_xlfn.LET(_xlpm.ai_test,TRIM(AI443),_xlpm.r,IFERROR(_xlfn.XLOOKUP(_xlpm.ai_test,$BI$15:$BI$62,ROW($BI$15:$BI$62),0,1),IFERROR(_xlfn.XLOOKUP(_xlpm.ai_test,$BJ$15:$BJ$62,ROW($BJ$15:$BJ$62),0,1),_xlfn.XLOOKUP(_xlpm.ai_test,$BK$15:$BK$62,ROW($BK$15:$BK$62),0,1))),_xlpm.p,_xlpm.r-MIN(ROW($BI$15:$BI$62))+1,_xlpm.f,INDEX($BL$15:$BL$62,_xlpm.p),_xlpm.u,INDEX($BM$15:$BM$62,_xlpm.p),_xlpm.s,INDEX($BO$15:$BO$62,_xlpm.p),_xlpm.q,N(AT443)/_xlpm.f,IF(_xlpm.q&gt;=_xlpm.s,ROUND(_xlpm.q,1)&amp;" "&amp;_xlpm.ai_test&amp;" = "&amp;ROUND(_xlpm.q*_xlpm.f,1)&amp;" "&amp;_xlpm.u,ROUND(_xlpm.q,1)&amp;" "&amp;_xlpm.ai_test)),""),""))))</f>
        <v>0</v>
      </c>
      <c r="AW443" s="1047"/>
      <c r="AX443" s="1045">
        <f t="shared" si="178"/>
        <v>0</v>
      </c>
      <c r="AY443" s="1046" t="str">
        <f t="shared" si="179"/>
        <v/>
      </c>
      <c r="AZ443" s="1048">
        <f t="shared" si="184"/>
        <v>0</v>
      </c>
      <c r="BA443" s="1049" t="str">
        <f t="shared" si="180"/>
        <v/>
      </c>
      <c r="BB443" s="1038"/>
      <c r="BC443" s="1050">
        <f t="shared" si="185"/>
        <v>0</v>
      </c>
      <c r="BD443" s="1040" t="str">
        <f t="shared" si="181"/>
        <v/>
      </c>
      <c r="BE443" s="227" t="s">
        <v>22</v>
      </c>
      <c r="BF443" s="1019">
        <f t="shared" si="182"/>
        <v>0</v>
      </c>
      <c r="BG443" s="1020">
        <f t="shared" si="183"/>
        <v>0</v>
      </c>
      <c r="BH443"/>
      <c r="BI443" s="709"/>
      <c r="BJ443" s="709"/>
      <c r="BK443" s="709"/>
      <c r="BL443" s="709"/>
      <c r="BM443" s="709"/>
      <c r="BN443" s="709"/>
      <c r="BO443" s="709"/>
      <c r="BP443" s="709"/>
      <c r="BW443" s="959" t="str">
        <f t="shared" si="164"/>
        <v>►</v>
      </c>
      <c r="BX443" s="856"/>
      <c r="BY443" s="856"/>
      <c r="BZ443" s="856"/>
      <c r="CA443" s="856"/>
      <c r="CB443" s="856"/>
      <c r="DB443" s="3">
        <v>1</v>
      </c>
    </row>
    <row r="444" spans="12:106" ht="21" customHeight="1">
      <c r="L444" s="104" t="s">
        <v>16</v>
      </c>
      <c r="M444" s="1172"/>
      <c r="N444" s="1172"/>
      <c r="O444" s="1172"/>
      <c r="P444" s="1173"/>
      <c r="Q444" s="1174"/>
      <c r="R444" s="1175"/>
      <c r="S444" s="1176"/>
      <c r="T444" s="1177"/>
      <c r="U444" s="5248"/>
      <c r="V444" s="1177"/>
      <c r="W444" s="5249"/>
      <c r="X444" s="5208"/>
      <c r="Y444" s="5209"/>
      <c r="Z444" s="5210"/>
      <c r="AA444" s="5211"/>
      <c r="AB444" s="1178"/>
      <c r="AC444" s="1179"/>
      <c r="AD444" s="227" t="s">
        <v>22</v>
      </c>
      <c r="AE444" s="1027" t="str">
        <f t="shared" si="165"/>
        <v>►</v>
      </c>
      <c r="AF444" s="1028" t="str">
        <f t="shared" si="166"/>
        <v/>
      </c>
      <c r="AG444" s="1029" t="str">
        <f t="shared" si="167"/>
        <v/>
      </c>
      <c r="AH444" s="1028" t="str">
        <f t="shared" si="168"/>
        <v/>
      </c>
      <c r="AI444" s="1029" t="str">
        <f t="shared" si="169"/>
        <v/>
      </c>
      <c r="AJ444" s="1029">
        <f t="shared" si="170"/>
        <v>0</v>
      </c>
      <c r="AK444" s="1043" t="str" cm="1">
        <f t="array" ref="AK444">IF(AE444&lt;&gt;"A","",IFERROR((IFERROR(_xlfn.XLOOKUP(TRIM(SUBSTITUTE(U444,CHAR(160)," ")),$BI$15:$BI$62,$BL$15:$BL$62),IFERROR(_xlfn.XLOOKUP(TRIM(SUBSTITUTE(U444,CHAR(160)," ")),$BJ$15:$BJ$62,$BL$15:$BL$62),_xlfn.XLOOKUP(TRIM(SUBSTITUTE(U444,CHAR(160)," ")),$BK$15:$BK$62,$BL$15:$BL$62))))*T444*IF(ISBLANK(Q444),1,Q444)+IFERROR(_xlfn.XLOOKUP("RECHERCHEX",TRIM(L444:AC444),L444:AC444),0),0))</f>
        <v/>
      </c>
      <c r="AL444" s="1030">
        <f t="shared" si="171"/>
        <v>0</v>
      </c>
      <c r="AM444" s="5254" t="str">
        <f t="shared" si="186"/>
        <v/>
      </c>
      <c r="AN444" s="1031">
        <f t="shared" si="172"/>
        <v>0</v>
      </c>
      <c r="AO444" s="1031">
        <f t="shared" si="173"/>
        <v>0</v>
      </c>
      <c r="AP444" s="1032">
        <f t="shared" si="174"/>
        <v>0</v>
      </c>
      <c r="AQ444" s="5255" t="str">
        <f t="shared" si="175"/>
        <v/>
      </c>
      <c r="AR444" s="1056"/>
      <c r="AS444" s="1056"/>
      <c r="AT444" s="1034">
        <f t="shared" si="176"/>
        <v>0</v>
      </c>
      <c r="AU444" s="1035">
        <f t="shared" si="177"/>
        <v>0</v>
      </c>
      <c r="AV444" s="1057" cm="1">
        <f t="array" ref="AV444">IF(AJ444&lt;&gt;1,0,IF(OR(AT444="",N(AT444)&lt;=0.000000001),"",IF(OR(AN444="",N(AN444)&lt;=0.000000001),0,IF(ISNUMBER(AT444),IFERROR(_xlfn.LET(_xlpm.ai_test,TRIM(AI444),_xlpm.r,IFERROR(_xlfn.XLOOKUP(_xlpm.ai_test,$BI$15:$BI$62,ROW($BI$15:$BI$62),0,1),IFERROR(_xlfn.XLOOKUP(_xlpm.ai_test,$BJ$15:$BJ$62,ROW($BJ$15:$BJ$62),0,1),_xlfn.XLOOKUP(_xlpm.ai_test,$BK$15:$BK$62,ROW($BK$15:$BK$62),0,1))),_xlpm.p,_xlpm.r-MIN(ROW($BI$15:$BI$62))+1,_xlpm.f,INDEX($BL$15:$BL$62,_xlpm.p),_xlpm.u,INDEX($BM$15:$BM$62,_xlpm.p),_xlpm.s,INDEX($BO$15:$BO$62,_xlpm.p),_xlpm.q,N(AT444)/_xlpm.f,IF(_xlpm.q&gt;=_xlpm.s,ROUND(_xlpm.q,1)&amp;" "&amp;_xlpm.ai_test&amp;" = "&amp;ROUND(_xlpm.q*_xlpm.f,1)&amp;" "&amp;_xlpm.u,ROUND(_xlpm.q,1)&amp;" "&amp;_xlpm.ai_test)),""),""))))</f>
        <v>0</v>
      </c>
      <c r="AW444" s="1047"/>
      <c r="AX444" s="1034">
        <f t="shared" si="178"/>
        <v>0</v>
      </c>
      <c r="AY444" s="1035" t="str">
        <f t="shared" si="179"/>
        <v/>
      </c>
      <c r="AZ444" s="1036">
        <f t="shared" si="184"/>
        <v>0</v>
      </c>
      <c r="BA444" s="1037" t="str">
        <f t="shared" si="180"/>
        <v/>
      </c>
      <c r="BB444" s="1038"/>
      <c r="BC444" s="1039">
        <f t="shared" si="185"/>
        <v>0</v>
      </c>
      <c r="BD444" s="1040" t="str">
        <f t="shared" si="181"/>
        <v/>
      </c>
      <c r="BE444" s="227" t="s">
        <v>22</v>
      </c>
      <c r="BF444" s="1019">
        <f t="shared" si="182"/>
        <v>0</v>
      </c>
      <c r="BG444" s="1020">
        <f t="shared" si="183"/>
        <v>0</v>
      </c>
      <c r="BH444"/>
      <c r="BI444" s="709"/>
      <c r="BJ444" s="709"/>
      <c r="BK444" s="709"/>
      <c r="BL444" s="709"/>
      <c r="BM444" s="709"/>
      <c r="BN444" s="709"/>
      <c r="BO444" s="709"/>
      <c r="BP444" s="709"/>
      <c r="BW444" s="959" t="str">
        <f t="shared" si="164"/>
        <v>►</v>
      </c>
      <c r="BX444" s="856"/>
      <c r="BY444" s="856"/>
      <c r="BZ444" s="856"/>
      <c r="CA444" s="856"/>
      <c r="CB444" s="856"/>
      <c r="DB444" s="3">
        <v>1</v>
      </c>
    </row>
    <row r="445" spans="12:106" ht="21" customHeight="1">
      <c r="L445" s="104" t="s">
        <v>16</v>
      </c>
      <c r="M445" s="1172"/>
      <c r="N445" s="1172"/>
      <c r="O445" s="1172"/>
      <c r="P445" s="1173"/>
      <c r="Q445" s="1174"/>
      <c r="R445" s="1175"/>
      <c r="S445" s="1176"/>
      <c r="T445" s="1177"/>
      <c r="U445" s="5248"/>
      <c r="V445" s="1177"/>
      <c r="W445" s="5249"/>
      <c r="X445" s="5208"/>
      <c r="Y445" s="5209"/>
      <c r="Z445" s="5210"/>
      <c r="AA445" s="5211"/>
      <c r="AB445" s="1178"/>
      <c r="AC445" s="1179"/>
      <c r="AD445" s="227" t="s">
        <v>22</v>
      </c>
      <c r="AE445" s="1027" t="str">
        <f t="shared" si="165"/>
        <v>►</v>
      </c>
      <c r="AF445" s="1028" t="str">
        <f t="shared" si="166"/>
        <v/>
      </c>
      <c r="AG445" s="1029" t="str">
        <f t="shared" si="167"/>
        <v/>
      </c>
      <c r="AH445" s="1028" t="str">
        <f t="shared" si="168"/>
        <v/>
      </c>
      <c r="AI445" s="1029" t="str">
        <f t="shared" si="169"/>
        <v/>
      </c>
      <c r="AJ445" s="1029">
        <f t="shared" si="170"/>
        <v>0</v>
      </c>
      <c r="AK445" s="1043" t="str" cm="1">
        <f t="array" ref="AK445">IF(AE445&lt;&gt;"A","",IFERROR((IFERROR(_xlfn.XLOOKUP(TRIM(SUBSTITUTE(U445,CHAR(160)," ")),$BI$15:$BI$62,$BL$15:$BL$62),IFERROR(_xlfn.XLOOKUP(TRIM(SUBSTITUTE(U445,CHAR(160)," ")),$BJ$15:$BJ$62,$BL$15:$BL$62),_xlfn.XLOOKUP(TRIM(SUBSTITUTE(U445,CHAR(160)," ")),$BK$15:$BK$62,$BL$15:$BL$62))))*T445*IF(ISBLANK(Q445),1,Q445)+IFERROR(_xlfn.XLOOKUP("RECHERCHEX",TRIM(L445:AC445),L445:AC445),0),0))</f>
        <v/>
      </c>
      <c r="AL445" s="1030">
        <f t="shared" si="171"/>
        <v>0</v>
      </c>
      <c r="AM445" s="5254" t="str">
        <f t="shared" si="186"/>
        <v/>
      </c>
      <c r="AN445" s="1031">
        <f t="shared" si="172"/>
        <v>0</v>
      </c>
      <c r="AO445" s="1031">
        <f t="shared" si="173"/>
        <v>0</v>
      </c>
      <c r="AP445" s="1044">
        <f t="shared" si="174"/>
        <v>0</v>
      </c>
      <c r="AQ445" s="5257" t="str">
        <f t="shared" si="175"/>
        <v/>
      </c>
      <c r="AR445" s="1056"/>
      <c r="AS445" s="1056"/>
      <c r="AT445" s="1045">
        <f t="shared" si="176"/>
        <v>0</v>
      </c>
      <c r="AU445" s="1046">
        <f t="shared" si="177"/>
        <v>0</v>
      </c>
      <c r="AV445" s="1059" cm="1">
        <f t="array" ref="AV445">IF(AJ445&lt;&gt;1,0,IF(OR(AT445="",N(AT445)&lt;=0.000000001),"",IF(OR(AN445="",N(AN445)&lt;=0.000000001),0,IF(ISNUMBER(AT445),IFERROR(_xlfn.LET(_xlpm.ai_test,TRIM(AI445),_xlpm.r,IFERROR(_xlfn.XLOOKUP(_xlpm.ai_test,$BI$15:$BI$62,ROW($BI$15:$BI$62),0,1),IFERROR(_xlfn.XLOOKUP(_xlpm.ai_test,$BJ$15:$BJ$62,ROW($BJ$15:$BJ$62),0,1),_xlfn.XLOOKUP(_xlpm.ai_test,$BK$15:$BK$62,ROW($BK$15:$BK$62),0,1))),_xlpm.p,_xlpm.r-MIN(ROW($BI$15:$BI$62))+1,_xlpm.f,INDEX($BL$15:$BL$62,_xlpm.p),_xlpm.u,INDEX($BM$15:$BM$62,_xlpm.p),_xlpm.s,INDEX($BO$15:$BO$62,_xlpm.p),_xlpm.q,N(AT445)/_xlpm.f,IF(_xlpm.q&gt;=_xlpm.s,ROUND(_xlpm.q,1)&amp;" "&amp;_xlpm.ai_test&amp;" = "&amp;ROUND(_xlpm.q*_xlpm.f,1)&amp;" "&amp;_xlpm.u,ROUND(_xlpm.q,1)&amp;" "&amp;_xlpm.ai_test)),""),""))))</f>
        <v>0</v>
      </c>
      <c r="AW445" s="1047"/>
      <c r="AX445" s="1045">
        <f t="shared" si="178"/>
        <v>0</v>
      </c>
      <c r="AY445" s="1046" t="str">
        <f t="shared" si="179"/>
        <v/>
      </c>
      <c r="AZ445" s="1048">
        <f t="shared" si="184"/>
        <v>0</v>
      </c>
      <c r="BA445" s="1049" t="str">
        <f t="shared" si="180"/>
        <v/>
      </c>
      <c r="BB445" s="1038"/>
      <c r="BC445" s="1050">
        <f t="shared" si="185"/>
        <v>0</v>
      </c>
      <c r="BD445" s="1040" t="str">
        <f t="shared" si="181"/>
        <v/>
      </c>
      <c r="BE445" s="227" t="s">
        <v>22</v>
      </c>
      <c r="BF445" s="1019">
        <f t="shared" si="182"/>
        <v>0</v>
      </c>
      <c r="BG445" s="1020">
        <f t="shared" si="183"/>
        <v>0</v>
      </c>
      <c r="BH445"/>
      <c r="BI445" s="709"/>
      <c r="BJ445" s="709"/>
      <c r="BK445" s="709"/>
      <c r="BL445" s="709"/>
      <c r="BM445" s="709"/>
      <c r="BN445" s="709"/>
      <c r="BO445" s="709"/>
      <c r="BP445" s="709"/>
      <c r="BW445" s="959" t="str">
        <f t="shared" si="164"/>
        <v>►</v>
      </c>
      <c r="BX445" s="856"/>
      <c r="BY445" s="856"/>
      <c r="BZ445" s="856"/>
      <c r="CA445" s="856"/>
      <c r="CB445" s="856"/>
      <c r="DB445" s="3">
        <v>1</v>
      </c>
    </row>
    <row r="446" spans="12:106" ht="21" customHeight="1">
      <c r="L446" s="104" t="s">
        <v>16</v>
      </c>
      <c r="M446" s="1172"/>
      <c r="N446" s="1172"/>
      <c r="O446" s="1172"/>
      <c r="P446" s="1173"/>
      <c r="Q446" s="1174"/>
      <c r="R446" s="1175"/>
      <c r="S446" s="1176"/>
      <c r="T446" s="1177"/>
      <c r="U446" s="5248"/>
      <c r="V446" s="1177"/>
      <c r="W446" s="5249"/>
      <c r="X446" s="5208"/>
      <c r="Y446" s="5209"/>
      <c r="Z446" s="5210"/>
      <c r="AA446" s="5211"/>
      <c r="AB446" s="1178"/>
      <c r="AC446" s="1179"/>
      <c r="AD446" s="227" t="s">
        <v>22</v>
      </c>
      <c r="AE446" s="1027" t="str">
        <f t="shared" si="165"/>
        <v>►</v>
      </c>
      <c r="AF446" s="1028" t="str">
        <f t="shared" si="166"/>
        <v/>
      </c>
      <c r="AG446" s="1029" t="str">
        <f t="shared" si="167"/>
        <v/>
      </c>
      <c r="AH446" s="1028" t="str">
        <f t="shared" si="168"/>
        <v/>
      </c>
      <c r="AI446" s="1029" t="str">
        <f t="shared" si="169"/>
        <v/>
      </c>
      <c r="AJ446" s="1029">
        <f t="shared" si="170"/>
        <v>0</v>
      </c>
      <c r="AK446" s="1043" t="str" cm="1">
        <f t="array" ref="AK446">IF(AE446&lt;&gt;"A","",IFERROR((IFERROR(_xlfn.XLOOKUP(TRIM(SUBSTITUTE(U446,CHAR(160)," ")),$BI$15:$BI$62,$BL$15:$BL$62),IFERROR(_xlfn.XLOOKUP(TRIM(SUBSTITUTE(U446,CHAR(160)," ")),$BJ$15:$BJ$62,$BL$15:$BL$62),_xlfn.XLOOKUP(TRIM(SUBSTITUTE(U446,CHAR(160)," ")),$BK$15:$BK$62,$BL$15:$BL$62))))*T446*IF(ISBLANK(Q446),1,Q446)+IFERROR(_xlfn.XLOOKUP("RECHERCHEX",TRIM(L446:AC446),L446:AC446),0),0))</f>
        <v/>
      </c>
      <c r="AL446" s="1030">
        <f t="shared" si="171"/>
        <v>0</v>
      </c>
      <c r="AM446" s="5254" t="str">
        <f t="shared" si="186"/>
        <v/>
      </c>
      <c r="AN446" s="1031">
        <f t="shared" si="172"/>
        <v>0</v>
      </c>
      <c r="AO446" s="1031">
        <f t="shared" si="173"/>
        <v>0</v>
      </c>
      <c r="AP446" s="1032">
        <f t="shared" si="174"/>
        <v>0</v>
      </c>
      <c r="AQ446" s="5255" t="str">
        <f t="shared" si="175"/>
        <v/>
      </c>
      <c r="AR446" s="1056"/>
      <c r="AS446" s="1056"/>
      <c r="AT446" s="1034">
        <f t="shared" si="176"/>
        <v>0</v>
      </c>
      <c r="AU446" s="1035">
        <f t="shared" si="177"/>
        <v>0</v>
      </c>
      <c r="AV446" s="1057" cm="1">
        <f t="array" ref="AV446">IF(AJ446&lt;&gt;1,0,IF(OR(AT446="",N(AT446)&lt;=0.000000001),"",IF(OR(AN446="",N(AN446)&lt;=0.000000001),0,IF(ISNUMBER(AT446),IFERROR(_xlfn.LET(_xlpm.ai_test,TRIM(AI446),_xlpm.r,IFERROR(_xlfn.XLOOKUP(_xlpm.ai_test,$BI$15:$BI$62,ROW($BI$15:$BI$62),0,1),IFERROR(_xlfn.XLOOKUP(_xlpm.ai_test,$BJ$15:$BJ$62,ROW($BJ$15:$BJ$62),0,1),_xlfn.XLOOKUP(_xlpm.ai_test,$BK$15:$BK$62,ROW($BK$15:$BK$62),0,1))),_xlpm.p,_xlpm.r-MIN(ROW($BI$15:$BI$62))+1,_xlpm.f,INDEX($BL$15:$BL$62,_xlpm.p),_xlpm.u,INDEX($BM$15:$BM$62,_xlpm.p),_xlpm.s,INDEX($BO$15:$BO$62,_xlpm.p),_xlpm.q,N(AT446)/_xlpm.f,IF(_xlpm.q&gt;=_xlpm.s,ROUND(_xlpm.q,1)&amp;" "&amp;_xlpm.ai_test&amp;" = "&amp;ROUND(_xlpm.q*_xlpm.f,1)&amp;" "&amp;_xlpm.u,ROUND(_xlpm.q,1)&amp;" "&amp;_xlpm.ai_test)),""),""))))</f>
        <v>0</v>
      </c>
      <c r="AW446" s="1047"/>
      <c r="AX446" s="1034">
        <f t="shared" si="178"/>
        <v>0</v>
      </c>
      <c r="AY446" s="1035" t="str">
        <f t="shared" si="179"/>
        <v/>
      </c>
      <c r="AZ446" s="1036">
        <f t="shared" si="184"/>
        <v>0</v>
      </c>
      <c r="BA446" s="1037" t="str">
        <f t="shared" si="180"/>
        <v/>
      </c>
      <c r="BB446" s="1038"/>
      <c r="BC446" s="1039">
        <f t="shared" si="185"/>
        <v>0</v>
      </c>
      <c r="BD446" s="1040" t="str">
        <f t="shared" si="181"/>
        <v/>
      </c>
      <c r="BE446" s="227" t="s">
        <v>22</v>
      </c>
      <c r="BF446" s="1019">
        <f t="shared" si="182"/>
        <v>0</v>
      </c>
      <c r="BG446" s="1020">
        <f t="shared" si="183"/>
        <v>0</v>
      </c>
      <c r="BH446"/>
      <c r="BI446" s="709"/>
      <c r="BJ446" s="709"/>
      <c r="BK446" s="709"/>
      <c r="BL446" s="709"/>
      <c r="BM446" s="709"/>
      <c r="BN446" s="709"/>
      <c r="BO446" s="709"/>
      <c r="BP446" s="709"/>
      <c r="BW446" s="959" t="str">
        <f t="shared" si="164"/>
        <v>►</v>
      </c>
      <c r="BX446" s="856"/>
      <c r="BY446" s="856"/>
      <c r="BZ446" s="856"/>
      <c r="CA446" s="856"/>
      <c r="CB446" s="856"/>
      <c r="DB446" s="3">
        <v>1</v>
      </c>
    </row>
    <row r="447" spans="12:106" ht="21" customHeight="1">
      <c r="L447" s="104" t="s">
        <v>16</v>
      </c>
      <c r="M447" s="1172"/>
      <c r="N447" s="1172"/>
      <c r="O447" s="1172"/>
      <c r="P447" s="1173"/>
      <c r="Q447" s="1174"/>
      <c r="R447" s="1175"/>
      <c r="S447" s="1176"/>
      <c r="T447" s="1177"/>
      <c r="U447" s="5248"/>
      <c r="V447" s="1177"/>
      <c r="W447" s="5249"/>
      <c r="X447" s="5208"/>
      <c r="Y447" s="5209"/>
      <c r="Z447" s="5210"/>
      <c r="AA447" s="5211"/>
      <c r="AB447" s="1178"/>
      <c r="AC447" s="1179"/>
      <c r="AD447" s="227" t="s">
        <v>22</v>
      </c>
      <c r="AE447" s="1027" t="str">
        <f t="shared" si="165"/>
        <v>►</v>
      </c>
      <c r="AF447" s="1028" t="str">
        <f t="shared" si="166"/>
        <v/>
      </c>
      <c r="AG447" s="1029" t="str">
        <f t="shared" si="167"/>
        <v/>
      </c>
      <c r="AH447" s="1028" t="str">
        <f t="shared" si="168"/>
        <v/>
      </c>
      <c r="AI447" s="1029" t="str">
        <f t="shared" si="169"/>
        <v/>
      </c>
      <c r="AJ447" s="1029">
        <f t="shared" si="170"/>
        <v>0</v>
      </c>
      <c r="AK447" s="1043" t="str" cm="1">
        <f t="array" ref="AK447">IF(AE447&lt;&gt;"A","",IFERROR((IFERROR(_xlfn.XLOOKUP(TRIM(SUBSTITUTE(U447,CHAR(160)," ")),$BI$15:$BI$62,$BL$15:$BL$62),IFERROR(_xlfn.XLOOKUP(TRIM(SUBSTITUTE(U447,CHAR(160)," ")),$BJ$15:$BJ$62,$BL$15:$BL$62),_xlfn.XLOOKUP(TRIM(SUBSTITUTE(U447,CHAR(160)," ")),$BK$15:$BK$62,$BL$15:$BL$62))))*T447*IF(ISBLANK(Q447),1,Q447)+IFERROR(_xlfn.XLOOKUP("RECHERCHEX",TRIM(L447:AC447),L447:AC447),0),0))</f>
        <v/>
      </c>
      <c r="AL447" s="1030">
        <f t="shared" si="171"/>
        <v>0</v>
      </c>
      <c r="AM447" s="5254" t="str">
        <f t="shared" si="186"/>
        <v/>
      </c>
      <c r="AN447" s="1031">
        <f t="shared" si="172"/>
        <v>0</v>
      </c>
      <c r="AO447" s="1031">
        <f t="shared" si="173"/>
        <v>0</v>
      </c>
      <c r="AP447" s="1044">
        <f t="shared" si="174"/>
        <v>0</v>
      </c>
      <c r="AQ447" s="5257" t="str">
        <f t="shared" si="175"/>
        <v/>
      </c>
      <c r="AR447" s="1056"/>
      <c r="AS447" s="1056"/>
      <c r="AT447" s="1045">
        <f t="shared" si="176"/>
        <v>0</v>
      </c>
      <c r="AU447" s="1046">
        <f t="shared" si="177"/>
        <v>0</v>
      </c>
      <c r="AV447" s="1059" cm="1">
        <f t="array" ref="AV447">IF(AJ447&lt;&gt;1,0,IF(OR(AT447="",N(AT447)&lt;=0.000000001),"",IF(OR(AN447="",N(AN447)&lt;=0.000000001),0,IF(ISNUMBER(AT447),IFERROR(_xlfn.LET(_xlpm.ai_test,TRIM(AI447),_xlpm.r,IFERROR(_xlfn.XLOOKUP(_xlpm.ai_test,$BI$15:$BI$62,ROW($BI$15:$BI$62),0,1),IFERROR(_xlfn.XLOOKUP(_xlpm.ai_test,$BJ$15:$BJ$62,ROW($BJ$15:$BJ$62),0,1),_xlfn.XLOOKUP(_xlpm.ai_test,$BK$15:$BK$62,ROW($BK$15:$BK$62),0,1))),_xlpm.p,_xlpm.r-MIN(ROW($BI$15:$BI$62))+1,_xlpm.f,INDEX($BL$15:$BL$62,_xlpm.p),_xlpm.u,INDEX($BM$15:$BM$62,_xlpm.p),_xlpm.s,INDEX($BO$15:$BO$62,_xlpm.p),_xlpm.q,N(AT447)/_xlpm.f,IF(_xlpm.q&gt;=_xlpm.s,ROUND(_xlpm.q,1)&amp;" "&amp;_xlpm.ai_test&amp;" = "&amp;ROUND(_xlpm.q*_xlpm.f,1)&amp;" "&amp;_xlpm.u,ROUND(_xlpm.q,1)&amp;" "&amp;_xlpm.ai_test)),""),""))))</f>
        <v>0</v>
      </c>
      <c r="AW447" s="1047"/>
      <c r="AX447" s="1045">
        <f t="shared" si="178"/>
        <v>0</v>
      </c>
      <c r="AY447" s="1046" t="str">
        <f t="shared" si="179"/>
        <v/>
      </c>
      <c r="AZ447" s="1048">
        <f t="shared" si="184"/>
        <v>0</v>
      </c>
      <c r="BA447" s="1049" t="str">
        <f t="shared" si="180"/>
        <v/>
      </c>
      <c r="BB447" s="1038"/>
      <c r="BC447" s="1050">
        <f t="shared" si="185"/>
        <v>0</v>
      </c>
      <c r="BD447" s="1040" t="str">
        <f t="shared" si="181"/>
        <v/>
      </c>
      <c r="BE447" s="227" t="s">
        <v>22</v>
      </c>
      <c r="BF447" s="1019">
        <f t="shared" si="182"/>
        <v>0</v>
      </c>
      <c r="BG447" s="1020">
        <f t="shared" si="183"/>
        <v>0</v>
      </c>
      <c r="BH447"/>
      <c r="BI447" s="709"/>
      <c r="BJ447" s="709"/>
      <c r="BK447" s="709"/>
      <c r="BL447" s="709"/>
      <c r="BM447" s="709"/>
      <c r="BN447" s="709"/>
      <c r="BO447" s="709"/>
      <c r="BP447" s="709"/>
      <c r="BW447" s="959" t="str">
        <f t="shared" si="164"/>
        <v>►</v>
      </c>
      <c r="BX447" s="856"/>
      <c r="BY447" s="856"/>
      <c r="BZ447" s="856"/>
      <c r="CA447" s="856"/>
      <c r="CB447" s="856"/>
      <c r="DB447" s="3">
        <v>1</v>
      </c>
    </row>
    <row r="448" spans="12:106" ht="21" customHeight="1">
      <c r="L448" s="104" t="s">
        <v>16</v>
      </c>
      <c r="M448" s="1172"/>
      <c r="N448" s="1172"/>
      <c r="O448" s="1172"/>
      <c r="P448" s="1173"/>
      <c r="Q448" s="1174"/>
      <c r="R448" s="1175"/>
      <c r="S448" s="1176"/>
      <c r="T448" s="1177"/>
      <c r="U448" s="5248"/>
      <c r="V448" s="1177"/>
      <c r="W448" s="5249"/>
      <c r="X448" s="5208"/>
      <c r="Y448" s="5209"/>
      <c r="Z448" s="5210"/>
      <c r="AA448" s="5211"/>
      <c r="AB448" s="1178"/>
      <c r="AC448" s="1179"/>
      <c r="AD448" s="227" t="s">
        <v>22</v>
      </c>
      <c r="AE448" s="1027" t="str">
        <f t="shared" si="165"/>
        <v>►</v>
      </c>
      <c r="AF448" s="1028" t="str">
        <f t="shared" si="166"/>
        <v/>
      </c>
      <c r="AG448" s="1029" t="str">
        <f t="shared" si="167"/>
        <v/>
      </c>
      <c r="AH448" s="1028" t="str">
        <f t="shared" si="168"/>
        <v/>
      </c>
      <c r="AI448" s="1029" t="str">
        <f t="shared" si="169"/>
        <v/>
      </c>
      <c r="AJ448" s="1029">
        <f t="shared" si="170"/>
        <v>0</v>
      </c>
      <c r="AK448" s="1043" t="str" cm="1">
        <f t="array" ref="AK448">IF(AE448&lt;&gt;"A","",IFERROR((IFERROR(_xlfn.XLOOKUP(TRIM(SUBSTITUTE(U448,CHAR(160)," ")),$BI$15:$BI$62,$BL$15:$BL$62),IFERROR(_xlfn.XLOOKUP(TRIM(SUBSTITUTE(U448,CHAR(160)," ")),$BJ$15:$BJ$62,$BL$15:$BL$62),_xlfn.XLOOKUP(TRIM(SUBSTITUTE(U448,CHAR(160)," ")),$BK$15:$BK$62,$BL$15:$BL$62))))*T448*IF(ISBLANK(Q448),1,Q448)+IFERROR(_xlfn.XLOOKUP("RECHERCHEX",TRIM(L448:AC448),L448:AC448),0),0))</f>
        <v/>
      </c>
      <c r="AL448" s="1030">
        <f t="shared" si="171"/>
        <v>0</v>
      </c>
      <c r="AM448" s="5254" t="str">
        <f t="shared" si="186"/>
        <v/>
      </c>
      <c r="AN448" s="1031">
        <f t="shared" si="172"/>
        <v>0</v>
      </c>
      <c r="AO448" s="1031">
        <f t="shared" si="173"/>
        <v>0</v>
      </c>
      <c r="AP448" s="1032">
        <f t="shared" si="174"/>
        <v>0</v>
      </c>
      <c r="AQ448" s="5255" t="str">
        <f t="shared" si="175"/>
        <v/>
      </c>
      <c r="AR448" s="1056"/>
      <c r="AS448" s="1056"/>
      <c r="AT448" s="1034">
        <f t="shared" si="176"/>
        <v>0</v>
      </c>
      <c r="AU448" s="1035">
        <f t="shared" si="177"/>
        <v>0</v>
      </c>
      <c r="AV448" s="1057" cm="1">
        <f t="array" ref="AV448">IF(AJ448&lt;&gt;1,0,IF(OR(AT448="",N(AT448)&lt;=0.000000001),"",IF(OR(AN448="",N(AN448)&lt;=0.000000001),0,IF(ISNUMBER(AT448),IFERROR(_xlfn.LET(_xlpm.ai_test,TRIM(AI448),_xlpm.r,IFERROR(_xlfn.XLOOKUP(_xlpm.ai_test,$BI$15:$BI$62,ROW($BI$15:$BI$62),0,1),IFERROR(_xlfn.XLOOKUP(_xlpm.ai_test,$BJ$15:$BJ$62,ROW($BJ$15:$BJ$62),0,1),_xlfn.XLOOKUP(_xlpm.ai_test,$BK$15:$BK$62,ROW($BK$15:$BK$62),0,1))),_xlpm.p,_xlpm.r-MIN(ROW($BI$15:$BI$62))+1,_xlpm.f,INDEX($BL$15:$BL$62,_xlpm.p),_xlpm.u,INDEX($BM$15:$BM$62,_xlpm.p),_xlpm.s,INDEX($BO$15:$BO$62,_xlpm.p),_xlpm.q,N(AT448)/_xlpm.f,IF(_xlpm.q&gt;=_xlpm.s,ROUND(_xlpm.q,1)&amp;" "&amp;_xlpm.ai_test&amp;" = "&amp;ROUND(_xlpm.q*_xlpm.f,1)&amp;" "&amp;_xlpm.u,ROUND(_xlpm.q,1)&amp;" "&amp;_xlpm.ai_test)),""),""))))</f>
        <v>0</v>
      </c>
      <c r="AW448" s="1047"/>
      <c r="AX448" s="1034">
        <f t="shared" si="178"/>
        <v>0</v>
      </c>
      <c r="AY448" s="1035" t="str">
        <f t="shared" si="179"/>
        <v/>
      </c>
      <c r="AZ448" s="1036">
        <f t="shared" si="184"/>
        <v>0</v>
      </c>
      <c r="BA448" s="1037" t="str">
        <f t="shared" si="180"/>
        <v/>
      </c>
      <c r="BB448" s="1038"/>
      <c r="BC448" s="1039">
        <f t="shared" si="185"/>
        <v>0</v>
      </c>
      <c r="BD448" s="1040" t="str">
        <f t="shared" si="181"/>
        <v/>
      </c>
      <c r="BE448" s="227" t="s">
        <v>22</v>
      </c>
      <c r="BF448" s="1019">
        <f t="shared" si="182"/>
        <v>0</v>
      </c>
      <c r="BG448" s="1020">
        <f t="shared" si="183"/>
        <v>0</v>
      </c>
      <c r="BH448"/>
      <c r="BI448" s="709"/>
      <c r="BJ448" s="709"/>
      <c r="BK448" s="709"/>
      <c r="BL448" s="709"/>
      <c r="BM448" s="709"/>
      <c r="BN448" s="709"/>
      <c r="BO448" s="709"/>
      <c r="BP448" s="709"/>
      <c r="BW448" s="959" t="str">
        <f t="shared" si="164"/>
        <v>►</v>
      </c>
      <c r="BX448" s="856"/>
      <c r="BY448" s="856"/>
      <c r="BZ448" s="856"/>
      <c r="CA448" s="856"/>
      <c r="CB448" s="856"/>
      <c r="DB448" s="3">
        <v>1</v>
      </c>
    </row>
    <row r="449" spans="12:106" ht="21" customHeight="1">
      <c r="L449" s="104" t="s">
        <v>16</v>
      </c>
      <c r="M449" s="1172"/>
      <c r="N449" s="1172"/>
      <c r="O449" s="1172"/>
      <c r="P449" s="1173"/>
      <c r="Q449" s="1174"/>
      <c r="R449" s="1175"/>
      <c r="S449" s="1176"/>
      <c r="T449" s="1177"/>
      <c r="U449" s="5248"/>
      <c r="V449" s="1177"/>
      <c r="W449" s="5249"/>
      <c r="X449" s="5208"/>
      <c r="Y449" s="5209"/>
      <c r="Z449" s="5210"/>
      <c r="AA449" s="5211"/>
      <c r="AB449" s="1178"/>
      <c r="AC449" s="1179"/>
      <c r="AD449" s="227" t="s">
        <v>22</v>
      </c>
      <c r="AE449" s="1027" t="str">
        <f t="shared" si="165"/>
        <v>►</v>
      </c>
      <c r="AF449" s="1028" t="str">
        <f t="shared" si="166"/>
        <v/>
      </c>
      <c r="AG449" s="1029" t="str">
        <f t="shared" si="167"/>
        <v/>
      </c>
      <c r="AH449" s="1028" t="str">
        <f t="shared" si="168"/>
        <v/>
      </c>
      <c r="AI449" s="1029" t="str">
        <f t="shared" si="169"/>
        <v/>
      </c>
      <c r="AJ449" s="1029">
        <f t="shared" si="170"/>
        <v>0</v>
      </c>
      <c r="AK449" s="1043" t="str" cm="1">
        <f t="array" ref="AK449">IF(AE449&lt;&gt;"A","",IFERROR((IFERROR(_xlfn.XLOOKUP(TRIM(SUBSTITUTE(U449,CHAR(160)," ")),$BI$15:$BI$62,$BL$15:$BL$62),IFERROR(_xlfn.XLOOKUP(TRIM(SUBSTITUTE(U449,CHAR(160)," ")),$BJ$15:$BJ$62,$BL$15:$BL$62),_xlfn.XLOOKUP(TRIM(SUBSTITUTE(U449,CHAR(160)," ")),$BK$15:$BK$62,$BL$15:$BL$62))))*T449*IF(ISBLANK(Q449),1,Q449)+IFERROR(_xlfn.XLOOKUP("RECHERCHEX",TRIM(L449:AC449),L449:AC449),0),0))</f>
        <v/>
      </c>
      <c r="AL449" s="1030">
        <f t="shared" si="171"/>
        <v>0</v>
      </c>
      <c r="AM449" s="5254" t="str">
        <f t="shared" si="186"/>
        <v/>
      </c>
      <c r="AN449" s="1031">
        <f t="shared" si="172"/>
        <v>0</v>
      </c>
      <c r="AO449" s="1031">
        <f t="shared" si="173"/>
        <v>0</v>
      </c>
      <c r="AP449" s="1044">
        <f t="shared" si="174"/>
        <v>0</v>
      </c>
      <c r="AQ449" s="5257" t="str">
        <f t="shared" si="175"/>
        <v/>
      </c>
      <c r="AR449" s="1056"/>
      <c r="AS449" s="1056"/>
      <c r="AT449" s="1045">
        <f t="shared" si="176"/>
        <v>0</v>
      </c>
      <c r="AU449" s="1046">
        <f t="shared" si="177"/>
        <v>0</v>
      </c>
      <c r="AV449" s="1059" cm="1">
        <f t="array" ref="AV449">IF(AJ449&lt;&gt;1,0,IF(OR(AT449="",N(AT449)&lt;=0.000000001),"",IF(OR(AN449="",N(AN449)&lt;=0.000000001),0,IF(ISNUMBER(AT449),IFERROR(_xlfn.LET(_xlpm.ai_test,TRIM(AI449),_xlpm.r,IFERROR(_xlfn.XLOOKUP(_xlpm.ai_test,$BI$15:$BI$62,ROW($BI$15:$BI$62),0,1),IFERROR(_xlfn.XLOOKUP(_xlpm.ai_test,$BJ$15:$BJ$62,ROW($BJ$15:$BJ$62),0,1),_xlfn.XLOOKUP(_xlpm.ai_test,$BK$15:$BK$62,ROW($BK$15:$BK$62),0,1))),_xlpm.p,_xlpm.r-MIN(ROW($BI$15:$BI$62))+1,_xlpm.f,INDEX($BL$15:$BL$62,_xlpm.p),_xlpm.u,INDEX($BM$15:$BM$62,_xlpm.p),_xlpm.s,INDEX($BO$15:$BO$62,_xlpm.p),_xlpm.q,N(AT449)/_xlpm.f,IF(_xlpm.q&gt;=_xlpm.s,ROUND(_xlpm.q,1)&amp;" "&amp;_xlpm.ai_test&amp;" = "&amp;ROUND(_xlpm.q*_xlpm.f,1)&amp;" "&amp;_xlpm.u,ROUND(_xlpm.q,1)&amp;" "&amp;_xlpm.ai_test)),""),""))))</f>
        <v>0</v>
      </c>
      <c r="AW449" s="1047"/>
      <c r="AX449" s="1045">
        <f t="shared" si="178"/>
        <v>0</v>
      </c>
      <c r="AY449" s="1046" t="str">
        <f t="shared" si="179"/>
        <v/>
      </c>
      <c r="AZ449" s="1048">
        <f t="shared" si="184"/>
        <v>0</v>
      </c>
      <c r="BA449" s="1049" t="str">
        <f t="shared" si="180"/>
        <v/>
      </c>
      <c r="BB449" s="1038"/>
      <c r="BC449" s="1050">
        <f t="shared" si="185"/>
        <v>0</v>
      </c>
      <c r="BD449" s="1040" t="str">
        <f t="shared" si="181"/>
        <v/>
      </c>
      <c r="BE449" s="227" t="s">
        <v>22</v>
      </c>
      <c r="BF449" s="1019">
        <f t="shared" si="182"/>
        <v>0</v>
      </c>
      <c r="BG449" s="1020">
        <f t="shared" si="183"/>
        <v>0</v>
      </c>
      <c r="BH449"/>
      <c r="BI449" s="709"/>
      <c r="BJ449" s="709"/>
      <c r="BK449" s="709"/>
      <c r="BL449" s="709"/>
      <c r="BM449" s="709"/>
      <c r="BN449" s="709"/>
      <c r="BO449" s="709"/>
      <c r="BP449" s="709"/>
      <c r="BW449" s="959" t="str">
        <f t="shared" si="164"/>
        <v>►</v>
      </c>
      <c r="BX449" s="856"/>
      <c r="BY449" s="856"/>
      <c r="BZ449" s="856"/>
      <c r="CA449" s="856"/>
      <c r="CB449" s="856"/>
      <c r="DB449" s="3">
        <v>1</v>
      </c>
    </row>
    <row r="450" spans="12:106" ht="21" customHeight="1">
      <c r="L450" s="104" t="s">
        <v>16</v>
      </c>
      <c r="M450" s="1172"/>
      <c r="N450" s="1172"/>
      <c r="O450" s="1172"/>
      <c r="P450" s="1173"/>
      <c r="Q450" s="1174"/>
      <c r="R450" s="1175"/>
      <c r="S450" s="1176"/>
      <c r="T450" s="1177"/>
      <c r="U450" s="5248"/>
      <c r="V450" s="1177"/>
      <c r="W450" s="5249"/>
      <c r="X450" s="5208"/>
      <c r="Y450" s="5209"/>
      <c r="Z450" s="5210"/>
      <c r="AA450" s="5211"/>
      <c r="AB450" s="1178"/>
      <c r="AC450" s="1179"/>
      <c r="AD450" s="227" t="s">
        <v>22</v>
      </c>
      <c r="AE450" s="1027" t="str">
        <f t="shared" si="165"/>
        <v>►</v>
      </c>
      <c r="AF450" s="1028" t="str">
        <f t="shared" si="166"/>
        <v/>
      </c>
      <c r="AG450" s="1029" t="str">
        <f t="shared" si="167"/>
        <v/>
      </c>
      <c r="AH450" s="1028" t="str">
        <f t="shared" si="168"/>
        <v/>
      </c>
      <c r="AI450" s="1029" t="str">
        <f t="shared" si="169"/>
        <v/>
      </c>
      <c r="AJ450" s="1029">
        <f t="shared" si="170"/>
        <v>0</v>
      </c>
      <c r="AK450" s="1043" t="str" cm="1">
        <f t="array" ref="AK450">IF(AE450&lt;&gt;"A","",IFERROR((IFERROR(_xlfn.XLOOKUP(TRIM(SUBSTITUTE(U450,CHAR(160)," ")),$BI$15:$BI$62,$BL$15:$BL$62),IFERROR(_xlfn.XLOOKUP(TRIM(SUBSTITUTE(U450,CHAR(160)," ")),$BJ$15:$BJ$62,$BL$15:$BL$62),_xlfn.XLOOKUP(TRIM(SUBSTITUTE(U450,CHAR(160)," ")),$BK$15:$BK$62,$BL$15:$BL$62))))*T450*IF(ISBLANK(Q450),1,Q450)+IFERROR(_xlfn.XLOOKUP("RECHERCHEX",TRIM(L450:AC450),L450:AC450),0),0))</f>
        <v/>
      </c>
      <c r="AL450" s="1030">
        <f t="shared" si="171"/>
        <v>0</v>
      </c>
      <c r="AM450" s="5254" t="str">
        <f t="shared" si="186"/>
        <v/>
      </c>
      <c r="AN450" s="1031">
        <f t="shared" si="172"/>
        <v>0</v>
      </c>
      <c r="AO450" s="1031">
        <f t="shared" si="173"/>
        <v>0</v>
      </c>
      <c r="AP450" s="1032">
        <f t="shared" si="174"/>
        <v>0</v>
      </c>
      <c r="AQ450" s="5255" t="str">
        <f t="shared" si="175"/>
        <v/>
      </c>
      <c r="AR450" s="1056"/>
      <c r="AS450" s="1056"/>
      <c r="AT450" s="1034">
        <f t="shared" si="176"/>
        <v>0</v>
      </c>
      <c r="AU450" s="1035">
        <f t="shared" si="177"/>
        <v>0</v>
      </c>
      <c r="AV450" s="1057" cm="1">
        <f t="array" ref="AV450">IF(AJ450&lt;&gt;1,0,IF(OR(AT450="",N(AT450)&lt;=0.000000001),"",IF(OR(AN450="",N(AN450)&lt;=0.000000001),0,IF(ISNUMBER(AT450),IFERROR(_xlfn.LET(_xlpm.ai_test,TRIM(AI450),_xlpm.r,IFERROR(_xlfn.XLOOKUP(_xlpm.ai_test,$BI$15:$BI$62,ROW($BI$15:$BI$62),0,1),IFERROR(_xlfn.XLOOKUP(_xlpm.ai_test,$BJ$15:$BJ$62,ROW($BJ$15:$BJ$62),0,1),_xlfn.XLOOKUP(_xlpm.ai_test,$BK$15:$BK$62,ROW($BK$15:$BK$62),0,1))),_xlpm.p,_xlpm.r-MIN(ROW($BI$15:$BI$62))+1,_xlpm.f,INDEX($BL$15:$BL$62,_xlpm.p),_xlpm.u,INDEX($BM$15:$BM$62,_xlpm.p),_xlpm.s,INDEX($BO$15:$BO$62,_xlpm.p),_xlpm.q,N(AT450)/_xlpm.f,IF(_xlpm.q&gt;=_xlpm.s,ROUND(_xlpm.q,1)&amp;" "&amp;_xlpm.ai_test&amp;" = "&amp;ROUND(_xlpm.q*_xlpm.f,1)&amp;" "&amp;_xlpm.u,ROUND(_xlpm.q,1)&amp;" "&amp;_xlpm.ai_test)),""),""))))</f>
        <v>0</v>
      </c>
      <c r="AW450" s="1047"/>
      <c r="AX450" s="1034">
        <f t="shared" si="178"/>
        <v>0</v>
      </c>
      <c r="AY450" s="1035" t="str">
        <f t="shared" si="179"/>
        <v/>
      </c>
      <c r="AZ450" s="1036">
        <f t="shared" si="184"/>
        <v>0</v>
      </c>
      <c r="BA450" s="1037" t="str">
        <f t="shared" si="180"/>
        <v/>
      </c>
      <c r="BB450" s="1038"/>
      <c r="BC450" s="1039">
        <f t="shared" si="185"/>
        <v>0</v>
      </c>
      <c r="BD450" s="1040" t="str">
        <f t="shared" si="181"/>
        <v/>
      </c>
      <c r="BE450" s="227" t="s">
        <v>22</v>
      </c>
      <c r="BF450" s="1019">
        <f t="shared" si="182"/>
        <v>0</v>
      </c>
      <c r="BG450" s="1020">
        <f t="shared" si="183"/>
        <v>0</v>
      </c>
      <c r="BH450"/>
      <c r="BI450" s="709"/>
      <c r="BJ450" s="709"/>
      <c r="BK450" s="709"/>
      <c r="BL450" s="709"/>
      <c r="BM450" s="709"/>
      <c r="BN450" s="709"/>
      <c r="BO450" s="709"/>
      <c r="BP450" s="709"/>
      <c r="BW450" s="959" t="str">
        <f t="shared" si="164"/>
        <v>►</v>
      </c>
      <c r="BX450" s="856"/>
      <c r="BY450" s="856"/>
      <c r="BZ450" s="856"/>
      <c r="CA450" s="856"/>
      <c r="CB450" s="856"/>
      <c r="DB450" s="3">
        <v>1</v>
      </c>
    </row>
    <row r="451" spans="12:106" ht="21" customHeight="1">
      <c r="L451" s="104" t="s">
        <v>16</v>
      </c>
      <c r="M451" s="1172"/>
      <c r="N451" s="1172"/>
      <c r="O451" s="1172"/>
      <c r="P451" s="1173"/>
      <c r="Q451" s="1174"/>
      <c r="R451" s="1175"/>
      <c r="S451" s="1176"/>
      <c r="T451" s="1177"/>
      <c r="U451" s="5248"/>
      <c r="V451" s="1177"/>
      <c r="W451" s="5249"/>
      <c r="X451" s="5208"/>
      <c r="Y451" s="5209"/>
      <c r="Z451" s="5210"/>
      <c r="AA451" s="5211"/>
      <c r="AB451" s="1178"/>
      <c r="AC451" s="1179"/>
      <c r="AD451" s="227" t="s">
        <v>22</v>
      </c>
      <c r="AE451" s="1027" t="str">
        <f t="shared" si="165"/>
        <v>►</v>
      </c>
      <c r="AF451" s="1028" t="str">
        <f t="shared" si="166"/>
        <v/>
      </c>
      <c r="AG451" s="1029" t="str">
        <f t="shared" si="167"/>
        <v/>
      </c>
      <c r="AH451" s="1028" t="str">
        <f t="shared" si="168"/>
        <v/>
      </c>
      <c r="AI451" s="1029" t="str">
        <f t="shared" si="169"/>
        <v/>
      </c>
      <c r="AJ451" s="1029">
        <f t="shared" si="170"/>
        <v>0</v>
      </c>
      <c r="AK451" s="1043" t="str" cm="1">
        <f t="array" ref="AK451">IF(AE451&lt;&gt;"A","",IFERROR((IFERROR(_xlfn.XLOOKUP(TRIM(SUBSTITUTE(U451,CHAR(160)," ")),$BI$15:$BI$62,$BL$15:$BL$62),IFERROR(_xlfn.XLOOKUP(TRIM(SUBSTITUTE(U451,CHAR(160)," ")),$BJ$15:$BJ$62,$BL$15:$BL$62),_xlfn.XLOOKUP(TRIM(SUBSTITUTE(U451,CHAR(160)," ")),$BK$15:$BK$62,$BL$15:$BL$62))))*T451*IF(ISBLANK(Q451),1,Q451)+IFERROR(_xlfn.XLOOKUP("RECHERCHEX",TRIM(L451:AC451),L451:AC451),0),0))</f>
        <v/>
      </c>
      <c r="AL451" s="1030">
        <f t="shared" si="171"/>
        <v>0</v>
      </c>
      <c r="AM451" s="5254" t="str">
        <f t="shared" si="186"/>
        <v/>
      </c>
      <c r="AN451" s="1031">
        <f t="shared" si="172"/>
        <v>0</v>
      </c>
      <c r="AO451" s="1031">
        <f t="shared" si="173"/>
        <v>0</v>
      </c>
      <c r="AP451" s="1044">
        <f t="shared" si="174"/>
        <v>0</v>
      </c>
      <c r="AQ451" s="5257" t="str">
        <f t="shared" si="175"/>
        <v/>
      </c>
      <c r="AR451" s="1056"/>
      <c r="AS451" s="1056"/>
      <c r="AT451" s="1045">
        <f t="shared" si="176"/>
        <v>0</v>
      </c>
      <c r="AU451" s="1046">
        <f t="shared" si="177"/>
        <v>0</v>
      </c>
      <c r="AV451" s="1059" cm="1">
        <f t="array" ref="AV451">IF(AJ451&lt;&gt;1,0,IF(OR(AT451="",N(AT451)&lt;=0.000000001),"",IF(OR(AN451="",N(AN451)&lt;=0.000000001),0,IF(ISNUMBER(AT451),IFERROR(_xlfn.LET(_xlpm.ai_test,TRIM(AI451),_xlpm.r,IFERROR(_xlfn.XLOOKUP(_xlpm.ai_test,$BI$15:$BI$62,ROW($BI$15:$BI$62),0,1),IFERROR(_xlfn.XLOOKUP(_xlpm.ai_test,$BJ$15:$BJ$62,ROW($BJ$15:$BJ$62),0,1),_xlfn.XLOOKUP(_xlpm.ai_test,$BK$15:$BK$62,ROW($BK$15:$BK$62),0,1))),_xlpm.p,_xlpm.r-MIN(ROW($BI$15:$BI$62))+1,_xlpm.f,INDEX($BL$15:$BL$62,_xlpm.p),_xlpm.u,INDEX($BM$15:$BM$62,_xlpm.p),_xlpm.s,INDEX($BO$15:$BO$62,_xlpm.p),_xlpm.q,N(AT451)/_xlpm.f,IF(_xlpm.q&gt;=_xlpm.s,ROUND(_xlpm.q,1)&amp;" "&amp;_xlpm.ai_test&amp;" = "&amp;ROUND(_xlpm.q*_xlpm.f,1)&amp;" "&amp;_xlpm.u,ROUND(_xlpm.q,1)&amp;" "&amp;_xlpm.ai_test)),""),""))))</f>
        <v>0</v>
      </c>
      <c r="AW451" s="1047"/>
      <c r="AX451" s="1045">
        <f t="shared" si="178"/>
        <v>0</v>
      </c>
      <c r="AY451" s="1046" t="str">
        <f t="shared" si="179"/>
        <v/>
      </c>
      <c r="AZ451" s="1048">
        <f t="shared" si="184"/>
        <v>0</v>
      </c>
      <c r="BA451" s="1049" t="str">
        <f t="shared" si="180"/>
        <v/>
      </c>
      <c r="BB451" s="1038"/>
      <c r="BC451" s="1050">
        <f t="shared" si="185"/>
        <v>0</v>
      </c>
      <c r="BD451" s="1040" t="str">
        <f t="shared" si="181"/>
        <v/>
      </c>
      <c r="BE451" s="227" t="s">
        <v>22</v>
      </c>
      <c r="BF451" s="1019">
        <f t="shared" si="182"/>
        <v>0</v>
      </c>
      <c r="BG451" s="1020">
        <f t="shared" si="183"/>
        <v>0</v>
      </c>
      <c r="BH451"/>
      <c r="BI451" s="709"/>
      <c r="BJ451" s="709"/>
      <c r="BK451" s="709"/>
      <c r="BL451" s="709"/>
      <c r="BM451" s="709"/>
      <c r="BN451" s="709"/>
      <c r="BO451" s="709"/>
      <c r="BP451" s="709"/>
      <c r="BW451" s="959" t="str">
        <f t="shared" si="164"/>
        <v>►</v>
      </c>
      <c r="BX451" s="856"/>
      <c r="BY451" s="856"/>
      <c r="BZ451" s="856"/>
      <c r="CA451" s="856"/>
      <c r="CB451" s="856"/>
      <c r="DB451" s="3">
        <v>1</v>
      </c>
    </row>
    <row r="452" spans="12:106" ht="21" customHeight="1">
      <c r="L452" s="104" t="s">
        <v>16</v>
      </c>
      <c r="M452" s="1172"/>
      <c r="N452" s="1172"/>
      <c r="O452" s="1172"/>
      <c r="P452" s="1173"/>
      <c r="Q452" s="1174"/>
      <c r="R452" s="1175"/>
      <c r="S452" s="1176"/>
      <c r="T452" s="1177"/>
      <c r="U452" s="5248"/>
      <c r="V452" s="1177"/>
      <c r="W452" s="5249"/>
      <c r="X452" s="5208"/>
      <c r="Y452" s="5209"/>
      <c r="Z452" s="5210"/>
      <c r="AA452" s="5211"/>
      <c r="AB452" s="1178"/>
      <c r="AC452" s="1179"/>
      <c r="AD452" s="227" t="s">
        <v>22</v>
      </c>
      <c r="AE452" s="1027" t="str">
        <f t="shared" si="165"/>
        <v>►</v>
      </c>
      <c r="AF452" s="1028" t="str">
        <f t="shared" si="166"/>
        <v/>
      </c>
      <c r="AG452" s="1029" t="str">
        <f t="shared" si="167"/>
        <v/>
      </c>
      <c r="AH452" s="1028" t="str">
        <f t="shared" si="168"/>
        <v/>
      </c>
      <c r="AI452" s="1029" t="str">
        <f t="shared" si="169"/>
        <v/>
      </c>
      <c r="AJ452" s="1029">
        <f t="shared" si="170"/>
        <v>0</v>
      </c>
      <c r="AK452" s="1043" t="str" cm="1">
        <f t="array" ref="AK452">IF(AE452&lt;&gt;"A","",IFERROR((IFERROR(_xlfn.XLOOKUP(TRIM(SUBSTITUTE(U452,CHAR(160)," ")),$BI$15:$BI$62,$BL$15:$BL$62),IFERROR(_xlfn.XLOOKUP(TRIM(SUBSTITUTE(U452,CHAR(160)," ")),$BJ$15:$BJ$62,$BL$15:$BL$62),_xlfn.XLOOKUP(TRIM(SUBSTITUTE(U452,CHAR(160)," ")),$BK$15:$BK$62,$BL$15:$BL$62))))*T452*IF(ISBLANK(Q452),1,Q452)+IFERROR(_xlfn.XLOOKUP("RECHERCHEX",TRIM(L452:AC452),L452:AC452),0),0))</f>
        <v/>
      </c>
      <c r="AL452" s="1030">
        <f t="shared" si="171"/>
        <v>0</v>
      </c>
      <c r="AM452" s="5254" t="str">
        <f t="shared" si="186"/>
        <v/>
      </c>
      <c r="AN452" s="1031">
        <f t="shared" si="172"/>
        <v>0</v>
      </c>
      <c r="AO452" s="1031">
        <f t="shared" si="173"/>
        <v>0</v>
      </c>
      <c r="AP452" s="1032">
        <f t="shared" si="174"/>
        <v>0</v>
      </c>
      <c r="AQ452" s="5255" t="str">
        <f t="shared" si="175"/>
        <v/>
      </c>
      <c r="AR452" s="1056"/>
      <c r="AS452" s="1056"/>
      <c r="AT452" s="1034">
        <f t="shared" si="176"/>
        <v>0</v>
      </c>
      <c r="AU452" s="1035">
        <f t="shared" si="177"/>
        <v>0</v>
      </c>
      <c r="AV452" s="1057" cm="1">
        <f t="array" ref="AV452">IF(AJ452&lt;&gt;1,0,IF(OR(AT452="",N(AT452)&lt;=0.000000001),"",IF(OR(AN452="",N(AN452)&lt;=0.000000001),0,IF(ISNUMBER(AT452),IFERROR(_xlfn.LET(_xlpm.ai_test,TRIM(AI452),_xlpm.r,IFERROR(_xlfn.XLOOKUP(_xlpm.ai_test,$BI$15:$BI$62,ROW($BI$15:$BI$62),0,1),IFERROR(_xlfn.XLOOKUP(_xlpm.ai_test,$BJ$15:$BJ$62,ROW($BJ$15:$BJ$62),0,1),_xlfn.XLOOKUP(_xlpm.ai_test,$BK$15:$BK$62,ROW($BK$15:$BK$62),0,1))),_xlpm.p,_xlpm.r-MIN(ROW($BI$15:$BI$62))+1,_xlpm.f,INDEX($BL$15:$BL$62,_xlpm.p),_xlpm.u,INDEX($BM$15:$BM$62,_xlpm.p),_xlpm.s,INDEX($BO$15:$BO$62,_xlpm.p),_xlpm.q,N(AT452)/_xlpm.f,IF(_xlpm.q&gt;=_xlpm.s,ROUND(_xlpm.q,1)&amp;" "&amp;_xlpm.ai_test&amp;" = "&amp;ROUND(_xlpm.q*_xlpm.f,1)&amp;" "&amp;_xlpm.u,ROUND(_xlpm.q,1)&amp;" "&amp;_xlpm.ai_test)),""),""))))</f>
        <v>0</v>
      </c>
      <c r="AW452" s="1047"/>
      <c r="AX452" s="1034">
        <f t="shared" si="178"/>
        <v>0</v>
      </c>
      <c r="AY452" s="1035" t="str">
        <f t="shared" si="179"/>
        <v/>
      </c>
      <c r="AZ452" s="1036">
        <f t="shared" si="184"/>
        <v>0</v>
      </c>
      <c r="BA452" s="1037" t="str">
        <f t="shared" si="180"/>
        <v/>
      </c>
      <c r="BB452" s="1038"/>
      <c r="BC452" s="1039">
        <f t="shared" si="185"/>
        <v>0</v>
      </c>
      <c r="BD452" s="1040" t="str">
        <f t="shared" si="181"/>
        <v/>
      </c>
      <c r="BE452" s="227" t="s">
        <v>22</v>
      </c>
      <c r="BF452" s="1019">
        <f t="shared" si="182"/>
        <v>0</v>
      </c>
      <c r="BG452" s="1020">
        <f t="shared" si="183"/>
        <v>0</v>
      </c>
      <c r="BH452"/>
      <c r="BI452" s="709"/>
      <c r="BJ452" s="709"/>
      <c r="BK452" s="709"/>
      <c r="BL452" s="709"/>
      <c r="BM452" s="709"/>
      <c r="BN452" s="709"/>
      <c r="BO452" s="709"/>
      <c r="BP452" s="709"/>
      <c r="BW452" s="959" t="str">
        <f t="shared" si="164"/>
        <v>►</v>
      </c>
      <c r="BX452" s="856"/>
      <c r="BY452" s="856"/>
      <c r="BZ452" s="856"/>
      <c r="CA452" s="856"/>
      <c r="CB452" s="856"/>
      <c r="DB452" s="3">
        <v>1</v>
      </c>
    </row>
    <row r="453" spans="12:106" ht="21" customHeight="1">
      <c r="L453" s="104" t="s">
        <v>16</v>
      </c>
      <c r="M453" s="1172"/>
      <c r="N453" s="1172"/>
      <c r="O453" s="1172"/>
      <c r="P453" s="1173"/>
      <c r="Q453" s="1174"/>
      <c r="R453" s="1175"/>
      <c r="S453" s="1176"/>
      <c r="T453" s="1177"/>
      <c r="U453" s="5248"/>
      <c r="V453" s="1177"/>
      <c r="W453" s="5249"/>
      <c r="X453" s="5208"/>
      <c r="Y453" s="5209"/>
      <c r="Z453" s="5210"/>
      <c r="AA453" s="5211"/>
      <c r="AB453" s="1178"/>
      <c r="AC453" s="1179"/>
      <c r="AD453" s="227" t="s">
        <v>22</v>
      </c>
      <c r="AE453" s="1027" t="str">
        <f t="shared" si="165"/>
        <v>►</v>
      </c>
      <c r="AF453" s="1028" t="str">
        <f t="shared" si="166"/>
        <v/>
      </c>
      <c r="AG453" s="1029" t="str">
        <f t="shared" si="167"/>
        <v/>
      </c>
      <c r="AH453" s="1028" t="str">
        <f t="shared" si="168"/>
        <v/>
      </c>
      <c r="AI453" s="1029" t="str">
        <f t="shared" si="169"/>
        <v/>
      </c>
      <c r="AJ453" s="1029">
        <f t="shared" si="170"/>
        <v>0</v>
      </c>
      <c r="AK453" s="1043" t="str" cm="1">
        <f t="array" ref="AK453">IF(AE453&lt;&gt;"A","",IFERROR((IFERROR(_xlfn.XLOOKUP(TRIM(SUBSTITUTE(U453,CHAR(160)," ")),$BI$15:$BI$62,$BL$15:$BL$62),IFERROR(_xlfn.XLOOKUP(TRIM(SUBSTITUTE(U453,CHAR(160)," ")),$BJ$15:$BJ$62,$BL$15:$BL$62),_xlfn.XLOOKUP(TRIM(SUBSTITUTE(U453,CHAR(160)," ")),$BK$15:$BK$62,$BL$15:$BL$62))))*T453*IF(ISBLANK(Q453),1,Q453)+IFERROR(_xlfn.XLOOKUP("RECHERCHEX",TRIM(L453:AC453),L453:AC453),0),0))</f>
        <v/>
      </c>
      <c r="AL453" s="1030">
        <f t="shared" si="171"/>
        <v>0</v>
      </c>
      <c r="AM453" s="5254" t="str">
        <f t="shared" si="186"/>
        <v/>
      </c>
      <c r="AN453" s="1031">
        <f t="shared" si="172"/>
        <v>0</v>
      </c>
      <c r="AO453" s="1031">
        <f t="shared" si="173"/>
        <v>0</v>
      </c>
      <c r="AP453" s="1044">
        <f t="shared" si="174"/>
        <v>0</v>
      </c>
      <c r="AQ453" s="5257" t="str">
        <f t="shared" si="175"/>
        <v/>
      </c>
      <c r="AR453" s="1056"/>
      <c r="AS453" s="1056"/>
      <c r="AT453" s="1045">
        <f t="shared" si="176"/>
        <v>0</v>
      </c>
      <c r="AU453" s="1046">
        <f t="shared" si="177"/>
        <v>0</v>
      </c>
      <c r="AV453" s="1059" cm="1">
        <f t="array" ref="AV453">IF(AJ453&lt;&gt;1,0,IF(OR(AT453="",N(AT453)&lt;=0.000000001),"",IF(OR(AN453="",N(AN453)&lt;=0.000000001),0,IF(ISNUMBER(AT453),IFERROR(_xlfn.LET(_xlpm.ai_test,TRIM(AI453),_xlpm.r,IFERROR(_xlfn.XLOOKUP(_xlpm.ai_test,$BI$15:$BI$62,ROW($BI$15:$BI$62),0,1),IFERROR(_xlfn.XLOOKUP(_xlpm.ai_test,$BJ$15:$BJ$62,ROW($BJ$15:$BJ$62),0,1),_xlfn.XLOOKUP(_xlpm.ai_test,$BK$15:$BK$62,ROW($BK$15:$BK$62),0,1))),_xlpm.p,_xlpm.r-MIN(ROW($BI$15:$BI$62))+1,_xlpm.f,INDEX($BL$15:$BL$62,_xlpm.p),_xlpm.u,INDEX($BM$15:$BM$62,_xlpm.p),_xlpm.s,INDEX($BO$15:$BO$62,_xlpm.p),_xlpm.q,N(AT453)/_xlpm.f,IF(_xlpm.q&gt;=_xlpm.s,ROUND(_xlpm.q,1)&amp;" "&amp;_xlpm.ai_test&amp;" = "&amp;ROUND(_xlpm.q*_xlpm.f,1)&amp;" "&amp;_xlpm.u,ROUND(_xlpm.q,1)&amp;" "&amp;_xlpm.ai_test)),""),""))))</f>
        <v>0</v>
      </c>
      <c r="AW453" s="1047"/>
      <c r="AX453" s="1045">
        <f t="shared" si="178"/>
        <v>0</v>
      </c>
      <c r="AY453" s="1046" t="str">
        <f t="shared" si="179"/>
        <v/>
      </c>
      <c r="AZ453" s="1048">
        <f t="shared" si="184"/>
        <v>0</v>
      </c>
      <c r="BA453" s="1049" t="str">
        <f t="shared" si="180"/>
        <v/>
      </c>
      <c r="BB453" s="1038"/>
      <c r="BC453" s="1050">
        <f t="shared" si="185"/>
        <v>0</v>
      </c>
      <c r="BD453" s="1040" t="str">
        <f t="shared" si="181"/>
        <v/>
      </c>
      <c r="BE453" s="227" t="s">
        <v>22</v>
      </c>
      <c r="BF453" s="1019">
        <f t="shared" si="182"/>
        <v>0</v>
      </c>
      <c r="BG453" s="1020">
        <f t="shared" si="183"/>
        <v>0</v>
      </c>
      <c r="BH453"/>
      <c r="BI453" s="709"/>
      <c r="BJ453" s="709"/>
      <c r="BK453" s="709"/>
      <c r="BL453" s="709"/>
      <c r="BM453" s="709"/>
      <c r="BN453" s="709"/>
      <c r="BO453" s="709"/>
      <c r="BP453" s="709"/>
      <c r="BW453" s="959" t="str">
        <f t="shared" ref="BW453:BW516" si="187">AE453</f>
        <v>►</v>
      </c>
      <c r="BX453" s="856"/>
      <c r="BY453" s="856"/>
      <c r="BZ453" s="856"/>
      <c r="CA453" s="856"/>
      <c r="CB453" s="856"/>
      <c r="DB453" s="3">
        <v>1</v>
      </c>
    </row>
    <row r="454" spans="12:106" ht="21" customHeight="1">
      <c r="L454" s="104" t="s">
        <v>16</v>
      </c>
      <c r="M454" s="1172"/>
      <c r="N454" s="1172"/>
      <c r="O454" s="1172"/>
      <c r="P454" s="1173"/>
      <c r="Q454" s="1174"/>
      <c r="R454" s="1175"/>
      <c r="S454" s="1176"/>
      <c r="T454" s="1177"/>
      <c r="U454" s="5248"/>
      <c r="V454" s="1177"/>
      <c r="W454" s="5249"/>
      <c r="X454" s="5208"/>
      <c r="Y454" s="5209"/>
      <c r="Z454" s="5210"/>
      <c r="AA454" s="5211"/>
      <c r="AB454" s="1178"/>
      <c r="AC454" s="1179"/>
      <c r="AD454" s="227" t="s">
        <v>22</v>
      </c>
      <c r="AE454" s="1027" t="str">
        <f t="shared" si="165"/>
        <v>►</v>
      </c>
      <c r="AF454" s="1028" t="str">
        <f t="shared" si="166"/>
        <v/>
      </c>
      <c r="AG454" s="1029" t="str">
        <f t="shared" si="167"/>
        <v/>
      </c>
      <c r="AH454" s="1028" t="str">
        <f t="shared" si="168"/>
        <v/>
      </c>
      <c r="AI454" s="1029" t="str">
        <f t="shared" si="169"/>
        <v/>
      </c>
      <c r="AJ454" s="1029">
        <f t="shared" si="170"/>
        <v>0</v>
      </c>
      <c r="AK454" s="1043" t="str" cm="1">
        <f t="array" ref="AK454">IF(AE454&lt;&gt;"A","",IFERROR((IFERROR(_xlfn.XLOOKUP(TRIM(SUBSTITUTE(U454,CHAR(160)," ")),$BI$15:$BI$62,$BL$15:$BL$62),IFERROR(_xlfn.XLOOKUP(TRIM(SUBSTITUTE(U454,CHAR(160)," ")),$BJ$15:$BJ$62,$BL$15:$BL$62),_xlfn.XLOOKUP(TRIM(SUBSTITUTE(U454,CHAR(160)," ")),$BK$15:$BK$62,$BL$15:$BL$62))))*T454*IF(ISBLANK(Q454),1,Q454)+IFERROR(_xlfn.XLOOKUP("RECHERCHEX",TRIM(L454:AC454),L454:AC454),0),0))</f>
        <v/>
      </c>
      <c r="AL454" s="1030">
        <f t="shared" si="171"/>
        <v>0</v>
      </c>
      <c r="AM454" s="5254" t="str">
        <f t="shared" si="186"/>
        <v/>
      </c>
      <c r="AN454" s="1031">
        <f t="shared" si="172"/>
        <v>0</v>
      </c>
      <c r="AO454" s="1031">
        <f t="shared" si="173"/>
        <v>0</v>
      </c>
      <c r="AP454" s="1032">
        <f t="shared" si="174"/>
        <v>0</v>
      </c>
      <c r="AQ454" s="5255" t="str">
        <f t="shared" si="175"/>
        <v/>
      </c>
      <c r="AR454" s="1056"/>
      <c r="AS454" s="1056"/>
      <c r="AT454" s="1034">
        <f t="shared" si="176"/>
        <v>0</v>
      </c>
      <c r="AU454" s="1035">
        <f t="shared" si="177"/>
        <v>0</v>
      </c>
      <c r="AV454" s="1057" cm="1">
        <f t="array" ref="AV454">IF(AJ454&lt;&gt;1,0,IF(OR(AT454="",N(AT454)&lt;=0.000000001),"",IF(OR(AN454="",N(AN454)&lt;=0.000000001),0,IF(ISNUMBER(AT454),IFERROR(_xlfn.LET(_xlpm.ai_test,TRIM(AI454),_xlpm.r,IFERROR(_xlfn.XLOOKUP(_xlpm.ai_test,$BI$15:$BI$62,ROW($BI$15:$BI$62),0,1),IFERROR(_xlfn.XLOOKUP(_xlpm.ai_test,$BJ$15:$BJ$62,ROW($BJ$15:$BJ$62),0,1),_xlfn.XLOOKUP(_xlpm.ai_test,$BK$15:$BK$62,ROW($BK$15:$BK$62),0,1))),_xlpm.p,_xlpm.r-MIN(ROW($BI$15:$BI$62))+1,_xlpm.f,INDEX($BL$15:$BL$62,_xlpm.p),_xlpm.u,INDEX($BM$15:$BM$62,_xlpm.p),_xlpm.s,INDEX($BO$15:$BO$62,_xlpm.p),_xlpm.q,N(AT454)/_xlpm.f,IF(_xlpm.q&gt;=_xlpm.s,ROUND(_xlpm.q,1)&amp;" "&amp;_xlpm.ai_test&amp;" = "&amp;ROUND(_xlpm.q*_xlpm.f,1)&amp;" "&amp;_xlpm.u,ROUND(_xlpm.q,1)&amp;" "&amp;_xlpm.ai_test)),""),""))))</f>
        <v>0</v>
      </c>
      <c r="AW454" s="1047"/>
      <c r="AX454" s="1034">
        <f t="shared" si="178"/>
        <v>0</v>
      </c>
      <c r="AY454" s="1035" t="str">
        <f t="shared" si="179"/>
        <v/>
      </c>
      <c r="AZ454" s="1036">
        <f t="shared" si="184"/>
        <v>0</v>
      </c>
      <c r="BA454" s="1037" t="str">
        <f t="shared" si="180"/>
        <v/>
      </c>
      <c r="BB454" s="1038"/>
      <c r="BC454" s="1039">
        <f t="shared" si="185"/>
        <v>0</v>
      </c>
      <c r="BD454" s="1040" t="str">
        <f t="shared" si="181"/>
        <v/>
      </c>
      <c r="BE454" s="227" t="s">
        <v>22</v>
      </c>
      <c r="BF454" s="1019">
        <f t="shared" si="182"/>
        <v>0</v>
      </c>
      <c r="BG454" s="1020">
        <f t="shared" si="183"/>
        <v>0</v>
      </c>
      <c r="BH454"/>
      <c r="BI454" s="709"/>
      <c r="BJ454" s="709"/>
      <c r="BK454" s="709"/>
      <c r="BL454" s="709"/>
      <c r="BM454" s="709"/>
      <c r="BN454" s="709"/>
      <c r="BO454" s="709"/>
      <c r="BP454" s="709"/>
      <c r="BW454" s="959" t="str">
        <f t="shared" si="187"/>
        <v>►</v>
      </c>
      <c r="BX454" s="856"/>
      <c r="BY454" s="856"/>
      <c r="BZ454" s="856"/>
      <c r="CA454" s="856"/>
      <c r="CB454" s="856"/>
      <c r="DB454" s="3">
        <v>1</v>
      </c>
    </row>
    <row r="455" spans="12:106" ht="21" customHeight="1">
      <c r="L455" s="104" t="s">
        <v>16</v>
      </c>
      <c r="M455" s="1172"/>
      <c r="N455" s="1172"/>
      <c r="O455" s="1172"/>
      <c r="P455" s="1173"/>
      <c r="Q455" s="1174"/>
      <c r="R455" s="1175"/>
      <c r="S455" s="1176"/>
      <c r="T455" s="1177"/>
      <c r="U455" s="5248"/>
      <c r="V455" s="1177"/>
      <c r="W455" s="5249"/>
      <c r="X455" s="5208"/>
      <c r="Y455" s="5209"/>
      <c r="Z455" s="5210"/>
      <c r="AA455" s="5211"/>
      <c r="AB455" s="1178"/>
      <c r="AC455" s="1179"/>
      <c r="AD455" s="227" t="s">
        <v>22</v>
      </c>
      <c r="AE455" s="1027" t="str">
        <f t="shared" si="165"/>
        <v>►</v>
      </c>
      <c r="AF455" s="1028" t="str">
        <f t="shared" si="166"/>
        <v/>
      </c>
      <c r="AG455" s="1029" t="str">
        <f t="shared" si="167"/>
        <v/>
      </c>
      <c r="AH455" s="1028" t="str">
        <f t="shared" si="168"/>
        <v/>
      </c>
      <c r="AI455" s="1029" t="str">
        <f t="shared" si="169"/>
        <v/>
      </c>
      <c r="AJ455" s="1029">
        <f t="shared" si="170"/>
        <v>0</v>
      </c>
      <c r="AK455" s="1043" t="str" cm="1">
        <f t="array" ref="AK455">IF(AE455&lt;&gt;"A","",IFERROR((IFERROR(_xlfn.XLOOKUP(TRIM(SUBSTITUTE(U455,CHAR(160)," ")),$BI$15:$BI$62,$BL$15:$BL$62),IFERROR(_xlfn.XLOOKUP(TRIM(SUBSTITUTE(U455,CHAR(160)," ")),$BJ$15:$BJ$62,$BL$15:$BL$62),_xlfn.XLOOKUP(TRIM(SUBSTITUTE(U455,CHAR(160)," ")),$BK$15:$BK$62,$BL$15:$BL$62))))*T455*IF(ISBLANK(Q455),1,Q455)+IFERROR(_xlfn.XLOOKUP("RECHERCHEX",TRIM(L455:AC455),L455:AC455),0),0))</f>
        <v/>
      </c>
      <c r="AL455" s="1030">
        <f t="shared" si="171"/>
        <v>0</v>
      </c>
      <c r="AM455" s="5254" t="str">
        <f t="shared" si="186"/>
        <v/>
      </c>
      <c r="AN455" s="1031">
        <f t="shared" si="172"/>
        <v>0</v>
      </c>
      <c r="AO455" s="1031">
        <f t="shared" si="173"/>
        <v>0</v>
      </c>
      <c r="AP455" s="1044">
        <f t="shared" si="174"/>
        <v>0</v>
      </c>
      <c r="AQ455" s="5257" t="str">
        <f t="shared" si="175"/>
        <v/>
      </c>
      <c r="AR455" s="1056"/>
      <c r="AS455" s="1056"/>
      <c r="AT455" s="1045">
        <f t="shared" si="176"/>
        <v>0</v>
      </c>
      <c r="AU455" s="1046">
        <f t="shared" si="177"/>
        <v>0</v>
      </c>
      <c r="AV455" s="1059" cm="1">
        <f t="array" ref="AV455">IF(AJ455&lt;&gt;1,0,IF(OR(AT455="",N(AT455)&lt;=0.000000001),"",IF(OR(AN455="",N(AN455)&lt;=0.000000001),0,IF(ISNUMBER(AT455),IFERROR(_xlfn.LET(_xlpm.ai_test,TRIM(AI455),_xlpm.r,IFERROR(_xlfn.XLOOKUP(_xlpm.ai_test,$BI$15:$BI$62,ROW($BI$15:$BI$62),0,1),IFERROR(_xlfn.XLOOKUP(_xlpm.ai_test,$BJ$15:$BJ$62,ROW($BJ$15:$BJ$62),0,1),_xlfn.XLOOKUP(_xlpm.ai_test,$BK$15:$BK$62,ROW($BK$15:$BK$62),0,1))),_xlpm.p,_xlpm.r-MIN(ROW($BI$15:$BI$62))+1,_xlpm.f,INDEX($BL$15:$BL$62,_xlpm.p),_xlpm.u,INDEX($BM$15:$BM$62,_xlpm.p),_xlpm.s,INDEX($BO$15:$BO$62,_xlpm.p),_xlpm.q,N(AT455)/_xlpm.f,IF(_xlpm.q&gt;=_xlpm.s,ROUND(_xlpm.q,1)&amp;" "&amp;_xlpm.ai_test&amp;" = "&amp;ROUND(_xlpm.q*_xlpm.f,1)&amp;" "&amp;_xlpm.u,ROUND(_xlpm.q,1)&amp;" "&amp;_xlpm.ai_test)),""),""))))</f>
        <v>0</v>
      </c>
      <c r="AW455" s="1047"/>
      <c r="AX455" s="1045">
        <f t="shared" si="178"/>
        <v>0</v>
      </c>
      <c r="AY455" s="1046" t="str">
        <f t="shared" si="179"/>
        <v/>
      </c>
      <c r="AZ455" s="1048">
        <f t="shared" si="184"/>
        <v>0</v>
      </c>
      <c r="BA455" s="1049" t="str">
        <f t="shared" si="180"/>
        <v/>
      </c>
      <c r="BB455" s="1038"/>
      <c r="BC455" s="1050">
        <f t="shared" si="185"/>
        <v>0</v>
      </c>
      <c r="BD455" s="1040" t="str">
        <f t="shared" si="181"/>
        <v/>
      </c>
      <c r="BE455" s="227" t="s">
        <v>22</v>
      </c>
      <c r="BF455" s="1019">
        <f t="shared" si="182"/>
        <v>0</v>
      </c>
      <c r="BG455" s="1020">
        <f t="shared" si="183"/>
        <v>0</v>
      </c>
      <c r="BH455"/>
      <c r="BI455" s="709"/>
      <c r="BJ455" s="709"/>
      <c r="BK455" s="709"/>
      <c r="BL455" s="709"/>
      <c r="BM455" s="709"/>
      <c r="BN455" s="709"/>
      <c r="BO455" s="709"/>
      <c r="BP455" s="709"/>
      <c r="BW455" s="959" t="str">
        <f t="shared" si="187"/>
        <v>►</v>
      </c>
      <c r="BX455" s="856"/>
      <c r="BY455" s="856"/>
      <c r="BZ455" s="856"/>
      <c r="CA455" s="856"/>
      <c r="CB455" s="856"/>
      <c r="DB455" s="3">
        <v>1</v>
      </c>
    </row>
    <row r="456" spans="12:106" ht="21" customHeight="1">
      <c r="L456" s="104" t="s">
        <v>16</v>
      </c>
      <c r="M456" s="1172"/>
      <c r="N456" s="1172"/>
      <c r="O456" s="1172"/>
      <c r="P456" s="1173"/>
      <c r="Q456" s="1174"/>
      <c r="R456" s="1175"/>
      <c r="S456" s="1176"/>
      <c r="T456" s="1177"/>
      <c r="U456" s="5248"/>
      <c r="V456" s="1177"/>
      <c r="W456" s="5249"/>
      <c r="X456" s="5208"/>
      <c r="Y456" s="5209"/>
      <c r="Z456" s="5210"/>
      <c r="AA456" s="5211"/>
      <c r="AB456" s="1178"/>
      <c r="AC456" s="1179"/>
      <c r="AD456" s="227" t="s">
        <v>22</v>
      </c>
      <c r="AE456" s="1027" t="str">
        <f t="shared" si="165"/>
        <v>►</v>
      </c>
      <c r="AF456" s="1028" t="str">
        <f t="shared" si="166"/>
        <v/>
      </c>
      <c r="AG456" s="1029" t="str">
        <f t="shared" si="167"/>
        <v/>
      </c>
      <c r="AH456" s="1028" t="str">
        <f t="shared" si="168"/>
        <v/>
      </c>
      <c r="AI456" s="1029" t="str">
        <f t="shared" si="169"/>
        <v/>
      </c>
      <c r="AJ456" s="1029">
        <f t="shared" si="170"/>
        <v>0</v>
      </c>
      <c r="AK456" s="1043" t="str" cm="1">
        <f t="array" ref="AK456">IF(AE456&lt;&gt;"A","",IFERROR((IFERROR(_xlfn.XLOOKUP(TRIM(SUBSTITUTE(U456,CHAR(160)," ")),$BI$15:$BI$62,$BL$15:$BL$62),IFERROR(_xlfn.XLOOKUP(TRIM(SUBSTITUTE(U456,CHAR(160)," ")),$BJ$15:$BJ$62,$BL$15:$BL$62),_xlfn.XLOOKUP(TRIM(SUBSTITUTE(U456,CHAR(160)," ")),$BK$15:$BK$62,$BL$15:$BL$62))))*T456*IF(ISBLANK(Q456),1,Q456)+IFERROR(_xlfn.XLOOKUP("RECHERCHEX",TRIM(L456:AC456),L456:AC456),0),0))</f>
        <v/>
      </c>
      <c r="AL456" s="1030">
        <f t="shared" si="171"/>
        <v>0</v>
      </c>
      <c r="AM456" s="5254" t="str">
        <f t="shared" si="186"/>
        <v/>
      </c>
      <c r="AN456" s="1031">
        <f t="shared" si="172"/>
        <v>0</v>
      </c>
      <c r="AO456" s="1031">
        <f t="shared" si="173"/>
        <v>0</v>
      </c>
      <c r="AP456" s="1032">
        <f t="shared" si="174"/>
        <v>0</v>
      </c>
      <c r="AQ456" s="5255" t="str">
        <f t="shared" si="175"/>
        <v/>
      </c>
      <c r="AR456" s="1056"/>
      <c r="AS456" s="1056"/>
      <c r="AT456" s="1034">
        <f t="shared" si="176"/>
        <v>0</v>
      </c>
      <c r="AU456" s="1035">
        <f t="shared" si="177"/>
        <v>0</v>
      </c>
      <c r="AV456" s="1057" cm="1">
        <f t="array" ref="AV456">IF(AJ456&lt;&gt;1,0,IF(OR(AT456="",N(AT456)&lt;=0.000000001),"",IF(OR(AN456="",N(AN456)&lt;=0.000000001),0,IF(ISNUMBER(AT456),IFERROR(_xlfn.LET(_xlpm.ai_test,TRIM(AI456),_xlpm.r,IFERROR(_xlfn.XLOOKUP(_xlpm.ai_test,$BI$15:$BI$62,ROW($BI$15:$BI$62),0,1),IFERROR(_xlfn.XLOOKUP(_xlpm.ai_test,$BJ$15:$BJ$62,ROW($BJ$15:$BJ$62),0,1),_xlfn.XLOOKUP(_xlpm.ai_test,$BK$15:$BK$62,ROW($BK$15:$BK$62),0,1))),_xlpm.p,_xlpm.r-MIN(ROW($BI$15:$BI$62))+1,_xlpm.f,INDEX($BL$15:$BL$62,_xlpm.p),_xlpm.u,INDEX($BM$15:$BM$62,_xlpm.p),_xlpm.s,INDEX($BO$15:$BO$62,_xlpm.p),_xlpm.q,N(AT456)/_xlpm.f,IF(_xlpm.q&gt;=_xlpm.s,ROUND(_xlpm.q,1)&amp;" "&amp;_xlpm.ai_test&amp;" = "&amp;ROUND(_xlpm.q*_xlpm.f,1)&amp;" "&amp;_xlpm.u,ROUND(_xlpm.q,1)&amp;" "&amp;_xlpm.ai_test)),""),""))))</f>
        <v>0</v>
      </c>
      <c r="AW456" s="1047"/>
      <c r="AX456" s="1034">
        <f t="shared" si="178"/>
        <v>0</v>
      </c>
      <c r="AY456" s="1035" t="str">
        <f t="shared" si="179"/>
        <v/>
      </c>
      <c r="AZ456" s="1036">
        <f t="shared" si="184"/>
        <v>0</v>
      </c>
      <c r="BA456" s="1037" t="str">
        <f t="shared" si="180"/>
        <v/>
      </c>
      <c r="BB456" s="1038"/>
      <c r="BC456" s="1039">
        <f t="shared" si="185"/>
        <v>0</v>
      </c>
      <c r="BD456" s="1040" t="str">
        <f t="shared" si="181"/>
        <v/>
      </c>
      <c r="BE456" s="227" t="s">
        <v>22</v>
      </c>
      <c r="BF456" s="1019">
        <f t="shared" si="182"/>
        <v>0</v>
      </c>
      <c r="BG456" s="1020">
        <f t="shared" si="183"/>
        <v>0</v>
      </c>
      <c r="BH456"/>
      <c r="BI456" s="709"/>
      <c r="BJ456" s="709"/>
      <c r="BK456" s="709"/>
      <c r="BL456" s="709"/>
      <c r="BM456" s="709"/>
      <c r="BN456" s="709"/>
      <c r="BO456" s="709"/>
      <c r="BP456" s="709"/>
      <c r="BW456" s="959" t="str">
        <f t="shared" si="187"/>
        <v>►</v>
      </c>
      <c r="BX456" s="856"/>
      <c r="BY456" s="856"/>
      <c r="BZ456" s="856"/>
      <c r="CA456" s="856"/>
      <c r="CB456" s="856"/>
      <c r="DB456" s="3">
        <v>1</v>
      </c>
    </row>
    <row r="457" spans="12:106" ht="21" customHeight="1">
      <c r="L457" s="104" t="s">
        <v>16</v>
      </c>
      <c r="M457" s="1172"/>
      <c r="N457" s="1172"/>
      <c r="O457" s="1172"/>
      <c r="P457" s="1173"/>
      <c r="Q457" s="1174"/>
      <c r="R457" s="1175"/>
      <c r="S457" s="1176"/>
      <c r="T457" s="1177"/>
      <c r="U457" s="5248"/>
      <c r="V457" s="1177"/>
      <c r="W457" s="5249"/>
      <c r="X457" s="5208"/>
      <c r="Y457" s="5209"/>
      <c r="Z457" s="5210"/>
      <c r="AA457" s="5211"/>
      <c r="AB457" s="1178"/>
      <c r="AC457" s="1179"/>
      <c r="AD457" s="227" t="s">
        <v>22</v>
      </c>
      <c r="AE457" s="1027" t="str">
        <f t="shared" si="165"/>
        <v>►</v>
      </c>
      <c r="AF457" s="1028" t="str">
        <f t="shared" si="166"/>
        <v/>
      </c>
      <c r="AG457" s="1029" t="str">
        <f t="shared" si="167"/>
        <v/>
      </c>
      <c r="AH457" s="1028" t="str">
        <f t="shared" si="168"/>
        <v/>
      </c>
      <c r="AI457" s="1029" t="str">
        <f t="shared" si="169"/>
        <v/>
      </c>
      <c r="AJ457" s="1029">
        <f t="shared" si="170"/>
        <v>0</v>
      </c>
      <c r="AK457" s="1043" t="str" cm="1">
        <f t="array" ref="AK457">IF(AE457&lt;&gt;"A","",IFERROR((IFERROR(_xlfn.XLOOKUP(TRIM(SUBSTITUTE(U457,CHAR(160)," ")),$BI$15:$BI$62,$BL$15:$BL$62),IFERROR(_xlfn.XLOOKUP(TRIM(SUBSTITUTE(U457,CHAR(160)," ")),$BJ$15:$BJ$62,$BL$15:$BL$62),_xlfn.XLOOKUP(TRIM(SUBSTITUTE(U457,CHAR(160)," ")),$BK$15:$BK$62,$BL$15:$BL$62))))*T457*IF(ISBLANK(Q457),1,Q457)+IFERROR(_xlfn.XLOOKUP("RECHERCHEX",TRIM(L457:AC457),L457:AC457),0),0))</f>
        <v/>
      </c>
      <c r="AL457" s="1030">
        <f t="shared" si="171"/>
        <v>0</v>
      </c>
      <c r="AM457" s="5254" t="str">
        <f t="shared" si="186"/>
        <v/>
      </c>
      <c r="AN457" s="1031">
        <f t="shared" si="172"/>
        <v>0</v>
      </c>
      <c r="AO457" s="1031">
        <f t="shared" si="173"/>
        <v>0</v>
      </c>
      <c r="AP457" s="1044">
        <f t="shared" si="174"/>
        <v>0</v>
      </c>
      <c r="AQ457" s="5257" t="str">
        <f t="shared" si="175"/>
        <v/>
      </c>
      <c r="AR457" s="1056"/>
      <c r="AS457" s="1056"/>
      <c r="AT457" s="1045">
        <f t="shared" si="176"/>
        <v>0</v>
      </c>
      <c r="AU457" s="1046">
        <f t="shared" si="177"/>
        <v>0</v>
      </c>
      <c r="AV457" s="1059" cm="1">
        <f t="array" ref="AV457">IF(AJ457&lt;&gt;1,0,IF(OR(AT457="",N(AT457)&lt;=0.000000001),"",IF(OR(AN457="",N(AN457)&lt;=0.000000001),0,IF(ISNUMBER(AT457),IFERROR(_xlfn.LET(_xlpm.ai_test,TRIM(AI457),_xlpm.r,IFERROR(_xlfn.XLOOKUP(_xlpm.ai_test,$BI$15:$BI$62,ROW($BI$15:$BI$62),0,1),IFERROR(_xlfn.XLOOKUP(_xlpm.ai_test,$BJ$15:$BJ$62,ROW($BJ$15:$BJ$62),0,1),_xlfn.XLOOKUP(_xlpm.ai_test,$BK$15:$BK$62,ROW($BK$15:$BK$62),0,1))),_xlpm.p,_xlpm.r-MIN(ROW($BI$15:$BI$62))+1,_xlpm.f,INDEX($BL$15:$BL$62,_xlpm.p),_xlpm.u,INDEX($BM$15:$BM$62,_xlpm.p),_xlpm.s,INDEX($BO$15:$BO$62,_xlpm.p),_xlpm.q,N(AT457)/_xlpm.f,IF(_xlpm.q&gt;=_xlpm.s,ROUND(_xlpm.q,1)&amp;" "&amp;_xlpm.ai_test&amp;" = "&amp;ROUND(_xlpm.q*_xlpm.f,1)&amp;" "&amp;_xlpm.u,ROUND(_xlpm.q,1)&amp;" "&amp;_xlpm.ai_test)),""),""))))</f>
        <v>0</v>
      </c>
      <c r="AW457" s="1047"/>
      <c r="AX457" s="1045">
        <f t="shared" si="178"/>
        <v>0</v>
      </c>
      <c r="AY457" s="1046" t="str">
        <f t="shared" si="179"/>
        <v/>
      </c>
      <c r="AZ457" s="1048">
        <f t="shared" si="184"/>
        <v>0</v>
      </c>
      <c r="BA457" s="1049" t="str">
        <f t="shared" si="180"/>
        <v/>
      </c>
      <c r="BB457" s="1038"/>
      <c r="BC457" s="1050">
        <f t="shared" si="185"/>
        <v>0</v>
      </c>
      <c r="BD457" s="1040" t="str">
        <f t="shared" si="181"/>
        <v/>
      </c>
      <c r="BE457" s="227" t="s">
        <v>22</v>
      </c>
      <c r="BF457" s="1019">
        <f t="shared" si="182"/>
        <v>0</v>
      </c>
      <c r="BG457" s="1020">
        <f t="shared" si="183"/>
        <v>0</v>
      </c>
      <c r="BH457"/>
      <c r="BI457" s="709"/>
      <c r="BJ457" s="709"/>
      <c r="BK457" s="709"/>
      <c r="BL457" s="709"/>
      <c r="BM457" s="709"/>
      <c r="BN457" s="709"/>
      <c r="BO457" s="709"/>
      <c r="BP457" s="709"/>
      <c r="BW457" s="959" t="str">
        <f t="shared" si="187"/>
        <v>►</v>
      </c>
      <c r="BX457" s="856"/>
      <c r="BY457" s="856"/>
      <c r="BZ457" s="856"/>
      <c r="CA457" s="856"/>
      <c r="CB457" s="856"/>
      <c r="DB457" s="3">
        <v>1</v>
      </c>
    </row>
    <row r="458" spans="12:106" ht="21" customHeight="1">
      <c r="L458" s="104" t="s">
        <v>16</v>
      </c>
      <c r="M458" s="1172"/>
      <c r="N458" s="1172"/>
      <c r="O458" s="1172"/>
      <c r="P458" s="1173"/>
      <c r="Q458" s="1174"/>
      <c r="R458" s="1175"/>
      <c r="S458" s="1176"/>
      <c r="T458" s="1177"/>
      <c r="U458" s="5248"/>
      <c r="V458" s="1177"/>
      <c r="W458" s="5249"/>
      <c r="X458" s="5208"/>
      <c r="Y458" s="5209"/>
      <c r="Z458" s="5210"/>
      <c r="AA458" s="5211"/>
      <c r="AB458" s="1178"/>
      <c r="AC458" s="1179"/>
      <c r="AD458" s="227" t="s">
        <v>22</v>
      </c>
      <c r="AE458" s="1027" t="str">
        <f t="shared" si="165"/>
        <v>►</v>
      </c>
      <c r="AF458" s="1028" t="str">
        <f t="shared" si="166"/>
        <v/>
      </c>
      <c r="AG458" s="1029" t="str">
        <f t="shared" si="167"/>
        <v/>
      </c>
      <c r="AH458" s="1028" t="str">
        <f t="shared" si="168"/>
        <v/>
      </c>
      <c r="AI458" s="1029" t="str">
        <f t="shared" si="169"/>
        <v/>
      </c>
      <c r="AJ458" s="1029">
        <f t="shared" si="170"/>
        <v>0</v>
      </c>
      <c r="AK458" s="1043" t="str" cm="1">
        <f t="array" ref="AK458">IF(AE458&lt;&gt;"A","",IFERROR((IFERROR(_xlfn.XLOOKUP(TRIM(SUBSTITUTE(U458,CHAR(160)," ")),$BI$15:$BI$62,$BL$15:$BL$62),IFERROR(_xlfn.XLOOKUP(TRIM(SUBSTITUTE(U458,CHAR(160)," ")),$BJ$15:$BJ$62,$BL$15:$BL$62),_xlfn.XLOOKUP(TRIM(SUBSTITUTE(U458,CHAR(160)," ")),$BK$15:$BK$62,$BL$15:$BL$62))))*T458*IF(ISBLANK(Q458),1,Q458)+IFERROR(_xlfn.XLOOKUP("RECHERCHEX",TRIM(L458:AC458),L458:AC458),0),0))</f>
        <v/>
      </c>
      <c r="AL458" s="1030">
        <f t="shared" si="171"/>
        <v>0</v>
      </c>
      <c r="AM458" s="5254" t="str">
        <f t="shared" si="186"/>
        <v/>
      </c>
      <c r="AN458" s="1031">
        <f t="shared" si="172"/>
        <v>0</v>
      </c>
      <c r="AO458" s="1031">
        <f t="shared" si="173"/>
        <v>0</v>
      </c>
      <c r="AP458" s="1032">
        <f t="shared" si="174"/>
        <v>0</v>
      </c>
      <c r="AQ458" s="5255" t="str">
        <f t="shared" si="175"/>
        <v/>
      </c>
      <c r="AR458" s="1056"/>
      <c r="AS458" s="1056"/>
      <c r="AT458" s="1034">
        <f t="shared" si="176"/>
        <v>0</v>
      </c>
      <c r="AU458" s="1035">
        <f t="shared" si="177"/>
        <v>0</v>
      </c>
      <c r="AV458" s="1057" cm="1">
        <f t="array" ref="AV458">IF(AJ458&lt;&gt;1,0,IF(OR(AT458="",N(AT458)&lt;=0.000000001),"",IF(OR(AN458="",N(AN458)&lt;=0.000000001),0,IF(ISNUMBER(AT458),IFERROR(_xlfn.LET(_xlpm.ai_test,TRIM(AI458),_xlpm.r,IFERROR(_xlfn.XLOOKUP(_xlpm.ai_test,$BI$15:$BI$62,ROW($BI$15:$BI$62),0,1),IFERROR(_xlfn.XLOOKUP(_xlpm.ai_test,$BJ$15:$BJ$62,ROW($BJ$15:$BJ$62),0,1),_xlfn.XLOOKUP(_xlpm.ai_test,$BK$15:$BK$62,ROW($BK$15:$BK$62),0,1))),_xlpm.p,_xlpm.r-MIN(ROW($BI$15:$BI$62))+1,_xlpm.f,INDEX($BL$15:$BL$62,_xlpm.p),_xlpm.u,INDEX($BM$15:$BM$62,_xlpm.p),_xlpm.s,INDEX($BO$15:$BO$62,_xlpm.p),_xlpm.q,N(AT458)/_xlpm.f,IF(_xlpm.q&gt;=_xlpm.s,ROUND(_xlpm.q,1)&amp;" "&amp;_xlpm.ai_test&amp;" = "&amp;ROUND(_xlpm.q*_xlpm.f,1)&amp;" "&amp;_xlpm.u,ROUND(_xlpm.q,1)&amp;" "&amp;_xlpm.ai_test)),""),""))))</f>
        <v>0</v>
      </c>
      <c r="AW458" s="1047"/>
      <c r="AX458" s="1034">
        <f t="shared" si="178"/>
        <v>0</v>
      </c>
      <c r="AY458" s="1035" t="str">
        <f t="shared" si="179"/>
        <v/>
      </c>
      <c r="AZ458" s="1036">
        <f t="shared" si="184"/>
        <v>0</v>
      </c>
      <c r="BA458" s="1037" t="str">
        <f t="shared" si="180"/>
        <v/>
      </c>
      <c r="BB458" s="1038"/>
      <c r="BC458" s="1039">
        <f t="shared" si="185"/>
        <v>0</v>
      </c>
      <c r="BD458" s="1040" t="str">
        <f t="shared" si="181"/>
        <v/>
      </c>
      <c r="BE458" s="227" t="s">
        <v>22</v>
      </c>
      <c r="BF458" s="1019">
        <f t="shared" si="182"/>
        <v>0</v>
      </c>
      <c r="BG458" s="1020">
        <f t="shared" si="183"/>
        <v>0</v>
      </c>
      <c r="BH458"/>
      <c r="BI458" s="709"/>
      <c r="BJ458" s="709"/>
      <c r="BK458" s="709"/>
      <c r="BL458" s="709"/>
      <c r="BM458" s="709"/>
      <c r="BN458" s="709"/>
      <c r="BO458" s="709"/>
      <c r="BP458" s="709"/>
      <c r="BW458" s="959" t="str">
        <f t="shared" si="187"/>
        <v>►</v>
      </c>
      <c r="BX458" s="856"/>
      <c r="BY458" s="856"/>
      <c r="BZ458" s="856"/>
      <c r="CA458" s="856"/>
      <c r="CB458" s="856"/>
      <c r="DB458" s="3">
        <v>1</v>
      </c>
    </row>
    <row r="459" spans="12:106" ht="21" customHeight="1">
      <c r="L459" s="104" t="s">
        <v>16</v>
      </c>
      <c r="M459" s="1172"/>
      <c r="N459" s="1172"/>
      <c r="O459" s="1172"/>
      <c r="P459" s="1173"/>
      <c r="Q459" s="1174"/>
      <c r="R459" s="1175"/>
      <c r="S459" s="1176"/>
      <c r="T459" s="1177"/>
      <c r="U459" s="5248"/>
      <c r="V459" s="1177"/>
      <c r="W459" s="5249"/>
      <c r="X459" s="5208"/>
      <c r="Y459" s="5209"/>
      <c r="Z459" s="5210"/>
      <c r="AA459" s="5211"/>
      <c r="AB459" s="1178"/>
      <c r="AC459" s="1179"/>
      <c r="AD459" s="227" t="s">
        <v>22</v>
      </c>
      <c r="AE459" s="1027" t="str">
        <f t="shared" si="165"/>
        <v>►</v>
      </c>
      <c r="AF459" s="1028" t="str">
        <f t="shared" si="166"/>
        <v/>
      </c>
      <c r="AG459" s="1029" t="str">
        <f t="shared" si="167"/>
        <v/>
      </c>
      <c r="AH459" s="1028" t="str">
        <f t="shared" si="168"/>
        <v/>
      </c>
      <c r="AI459" s="1029" t="str">
        <f t="shared" si="169"/>
        <v/>
      </c>
      <c r="AJ459" s="1029">
        <f t="shared" si="170"/>
        <v>0</v>
      </c>
      <c r="AK459" s="1043" t="str" cm="1">
        <f t="array" ref="AK459">IF(AE459&lt;&gt;"A","",IFERROR((IFERROR(_xlfn.XLOOKUP(TRIM(SUBSTITUTE(U459,CHAR(160)," ")),$BI$15:$BI$62,$BL$15:$BL$62),IFERROR(_xlfn.XLOOKUP(TRIM(SUBSTITUTE(U459,CHAR(160)," ")),$BJ$15:$BJ$62,$BL$15:$BL$62),_xlfn.XLOOKUP(TRIM(SUBSTITUTE(U459,CHAR(160)," ")),$BK$15:$BK$62,$BL$15:$BL$62))))*T459*IF(ISBLANK(Q459),1,Q459)+IFERROR(_xlfn.XLOOKUP("RECHERCHEX",TRIM(L459:AC459),L459:AC459),0),0))</f>
        <v/>
      </c>
      <c r="AL459" s="1030">
        <f t="shared" si="171"/>
        <v>0</v>
      </c>
      <c r="AM459" s="5254" t="str">
        <f t="shared" si="186"/>
        <v/>
      </c>
      <c r="AN459" s="1031">
        <f t="shared" si="172"/>
        <v>0</v>
      </c>
      <c r="AO459" s="1031">
        <f t="shared" si="173"/>
        <v>0</v>
      </c>
      <c r="AP459" s="1044">
        <f t="shared" si="174"/>
        <v>0</v>
      </c>
      <c r="AQ459" s="5257" t="str">
        <f t="shared" si="175"/>
        <v/>
      </c>
      <c r="AR459" s="1056"/>
      <c r="AS459" s="1056"/>
      <c r="AT459" s="1045">
        <f t="shared" si="176"/>
        <v>0</v>
      </c>
      <c r="AU459" s="1046">
        <f t="shared" si="177"/>
        <v>0</v>
      </c>
      <c r="AV459" s="1059" cm="1">
        <f t="array" ref="AV459">IF(AJ459&lt;&gt;1,0,IF(OR(AT459="",N(AT459)&lt;=0.000000001),"",IF(OR(AN459="",N(AN459)&lt;=0.000000001),0,IF(ISNUMBER(AT459),IFERROR(_xlfn.LET(_xlpm.ai_test,TRIM(AI459),_xlpm.r,IFERROR(_xlfn.XLOOKUP(_xlpm.ai_test,$BI$15:$BI$62,ROW($BI$15:$BI$62),0,1),IFERROR(_xlfn.XLOOKUP(_xlpm.ai_test,$BJ$15:$BJ$62,ROW($BJ$15:$BJ$62),0,1),_xlfn.XLOOKUP(_xlpm.ai_test,$BK$15:$BK$62,ROW($BK$15:$BK$62),0,1))),_xlpm.p,_xlpm.r-MIN(ROW($BI$15:$BI$62))+1,_xlpm.f,INDEX($BL$15:$BL$62,_xlpm.p),_xlpm.u,INDEX($BM$15:$BM$62,_xlpm.p),_xlpm.s,INDEX($BO$15:$BO$62,_xlpm.p),_xlpm.q,N(AT459)/_xlpm.f,IF(_xlpm.q&gt;=_xlpm.s,ROUND(_xlpm.q,1)&amp;" "&amp;_xlpm.ai_test&amp;" = "&amp;ROUND(_xlpm.q*_xlpm.f,1)&amp;" "&amp;_xlpm.u,ROUND(_xlpm.q,1)&amp;" "&amp;_xlpm.ai_test)),""),""))))</f>
        <v>0</v>
      </c>
      <c r="AW459" s="1047"/>
      <c r="AX459" s="1045">
        <f t="shared" si="178"/>
        <v>0</v>
      </c>
      <c r="AY459" s="1046" t="str">
        <f t="shared" si="179"/>
        <v/>
      </c>
      <c r="AZ459" s="1048">
        <f t="shared" si="184"/>
        <v>0</v>
      </c>
      <c r="BA459" s="1049" t="str">
        <f t="shared" si="180"/>
        <v/>
      </c>
      <c r="BB459" s="1038"/>
      <c r="BC459" s="1050">
        <f t="shared" si="185"/>
        <v>0</v>
      </c>
      <c r="BD459" s="1040" t="str">
        <f t="shared" si="181"/>
        <v/>
      </c>
      <c r="BE459" s="227" t="s">
        <v>22</v>
      </c>
      <c r="BF459" s="1019">
        <f t="shared" si="182"/>
        <v>0</v>
      </c>
      <c r="BG459" s="1020">
        <f t="shared" si="183"/>
        <v>0</v>
      </c>
      <c r="BH459"/>
      <c r="BI459" s="709"/>
      <c r="BJ459" s="709"/>
      <c r="BK459" s="709"/>
      <c r="BL459" s="709"/>
      <c r="BM459" s="709"/>
      <c r="BN459" s="709"/>
      <c r="BO459" s="709"/>
      <c r="BP459" s="709"/>
      <c r="BW459" s="959" t="str">
        <f t="shared" si="187"/>
        <v>►</v>
      </c>
      <c r="BX459" s="856"/>
      <c r="BY459" s="856"/>
      <c r="BZ459" s="856"/>
      <c r="CA459" s="856"/>
      <c r="CB459" s="856"/>
      <c r="DB459" s="3">
        <v>1</v>
      </c>
    </row>
    <row r="460" spans="12:106" ht="21" customHeight="1">
      <c r="L460" s="104" t="s">
        <v>16</v>
      </c>
      <c r="M460" s="1172"/>
      <c r="N460" s="1172"/>
      <c r="O460" s="1172"/>
      <c r="P460" s="1173"/>
      <c r="Q460" s="1174"/>
      <c r="R460" s="1175"/>
      <c r="S460" s="1176"/>
      <c r="T460" s="1177"/>
      <c r="U460" s="5248"/>
      <c r="V460" s="1177"/>
      <c r="W460" s="5249"/>
      <c r="X460" s="5208"/>
      <c r="Y460" s="5209"/>
      <c r="Z460" s="5210"/>
      <c r="AA460" s="5211"/>
      <c r="AB460" s="1178"/>
      <c r="AC460" s="1179"/>
      <c r="AD460" s="227" t="s">
        <v>22</v>
      </c>
      <c r="AE460" s="1027" t="str">
        <f t="shared" si="165"/>
        <v>►</v>
      </c>
      <c r="AF460" s="1028" t="str">
        <f t="shared" si="166"/>
        <v/>
      </c>
      <c r="AG460" s="1029" t="str">
        <f t="shared" si="167"/>
        <v/>
      </c>
      <c r="AH460" s="1028" t="str">
        <f t="shared" si="168"/>
        <v/>
      </c>
      <c r="AI460" s="1029" t="str">
        <f t="shared" si="169"/>
        <v/>
      </c>
      <c r="AJ460" s="1029">
        <f t="shared" si="170"/>
        <v>0</v>
      </c>
      <c r="AK460" s="1043" t="str" cm="1">
        <f t="array" ref="AK460">IF(AE460&lt;&gt;"A","",IFERROR((IFERROR(_xlfn.XLOOKUP(TRIM(SUBSTITUTE(U460,CHAR(160)," ")),$BI$15:$BI$62,$BL$15:$BL$62),IFERROR(_xlfn.XLOOKUP(TRIM(SUBSTITUTE(U460,CHAR(160)," ")),$BJ$15:$BJ$62,$BL$15:$BL$62),_xlfn.XLOOKUP(TRIM(SUBSTITUTE(U460,CHAR(160)," ")),$BK$15:$BK$62,$BL$15:$BL$62))))*T460*IF(ISBLANK(Q460),1,Q460)+IFERROR(_xlfn.XLOOKUP("RECHERCHEX",TRIM(L460:AC460),L460:AC460),0),0))</f>
        <v/>
      </c>
      <c r="AL460" s="1030">
        <f t="shared" si="171"/>
        <v>0</v>
      </c>
      <c r="AM460" s="5254" t="str">
        <f t="shared" si="186"/>
        <v/>
      </c>
      <c r="AN460" s="1031">
        <f t="shared" si="172"/>
        <v>0</v>
      </c>
      <c r="AO460" s="1031">
        <f t="shared" si="173"/>
        <v>0</v>
      </c>
      <c r="AP460" s="1032">
        <f t="shared" si="174"/>
        <v>0</v>
      </c>
      <c r="AQ460" s="5255" t="str">
        <f t="shared" si="175"/>
        <v/>
      </c>
      <c r="AR460" s="1056"/>
      <c r="AS460" s="1056"/>
      <c r="AT460" s="1034">
        <f t="shared" si="176"/>
        <v>0</v>
      </c>
      <c r="AU460" s="1035">
        <f t="shared" si="177"/>
        <v>0</v>
      </c>
      <c r="AV460" s="1057" cm="1">
        <f t="array" ref="AV460">IF(AJ460&lt;&gt;1,0,IF(OR(AT460="",N(AT460)&lt;=0.000000001),"",IF(OR(AN460="",N(AN460)&lt;=0.000000001),0,IF(ISNUMBER(AT460),IFERROR(_xlfn.LET(_xlpm.ai_test,TRIM(AI460),_xlpm.r,IFERROR(_xlfn.XLOOKUP(_xlpm.ai_test,$BI$15:$BI$62,ROW($BI$15:$BI$62),0,1),IFERROR(_xlfn.XLOOKUP(_xlpm.ai_test,$BJ$15:$BJ$62,ROW($BJ$15:$BJ$62),0,1),_xlfn.XLOOKUP(_xlpm.ai_test,$BK$15:$BK$62,ROW($BK$15:$BK$62),0,1))),_xlpm.p,_xlpm.r-MIN(ROW($BI$15:$BI$62))+1,_xlpm.f,INDEX($BL$15:$BL$62,_xlpm.p),_xlpm.u,INDEX($BM$15:$BM$62,_xlpm.p),_xlpm.s,INDEX($BO$15:$BO$62,_xlpm.p),_xlpm.q,N(AT460)/_xlpm.f,IF(_xlpm.q&gt;=_xlpm.s,ROUND(_xlpm.q,1)&amp;" "&amp;_xlpm.ai_test&amp;" = "&amp;ROUND(_xlpm.q*_xlpm.f,1)&amp;" "&amp;_xlpm.u,ROUND(_xlpm.q,1)&amp;" "&amp;_xlpm.ai_test)),""),""))))</f>
        <v>0</v>
      </c>
      <c r="AW460" s="1047"/>
      <c r="AX460" s="1034">
        <f t="shared" si="178"/>
        <v>0</v>
      </c>
      <c r="AY460" s="1035" t="str">
        <f t="shared" si="179"/>
        <v/>
      </c>
      <c r="AZ460" s="1036">
        <f t="shared" si="184"/>
        <v>0</v>
      </c>
      <c r="BA460" s="1037" t="str">
        <f t="shared" si="180"/>
        <v/>
      </c>
      <c r="BB460" s="1038"/>
      <c r="BC460" s="1039">
        <f t="shared" si="185"/>
        <v>0</v>
      </c>
      <c r="BD460" s="1040" t="str">
        <f t="shared" si="181"/>
        <v/>
      </c>
      <c r="BE460" s="227" t="s">
        <v>22</v>
      </c>
      <c r="BF460" s="1019">
        <f t="shared" si="182"/>
        <v>0</v>
      </c>
      <c r="BG460" s="1020">
        <f t="shared" si="183"/>
        <v>0</v>
      </c>
      <c r="BH460"/>
      <c r="BI460" s="709"/>
      <c r="BJ460" s="709"/>
      <c r="BK460" s="709"/>
      <c r="BL460" s="709"/>
      <c r="BM460" s="709"/>
      <c r="BN460" s="709"/>
      <c r="BO460" s="709"/>
      <c r="BP460" s="709"/>
      <c r="BW460" s="959" t="str">
        <f t="shared" si="187"/>
        <v>►</v>
      </c>
      <c r="BX460" s="856"/>
      <c r="BY460" s="856"/>
      <c r="BZ460" s="856"/>
      <c r="CA460" s="856"/>
      <c r="CB460" s="856"/>
      <c r="DB460" s="3">
        <v>1</v>
      </c>
    </row>
    <row r="461" spans="12:106" ht="21" customHeight="1">
      <c r="L461" s="104" t="s">
        <v>16</v>
      </c>
      <c r="M461" s="1172"/>
      <c r="N461" s="1172"/>
      <c r="O461" s="1172"/>
      <c r="P461" s="1173"/>
      <c r="Q461" s="1174"/>
      <c r="R461" s="1175"/>
      <c r="S461" s="1176"/>
      <c r="T461" s="1177"/>
      <c r="U461" s="5248"/>
      <c r="V461" s="1177"/>
      <c r="W461" s="5249"/>
      <c r="X461" s="5208"/>
      <c r="Y461" s="5209"/>
      <c r="Z461" s="5210"/>
      <c r="AA461" s="5211"/>
      <c r="AB461" s="1178"/>
      <c r="AC461" s="1179"/>
      <c r="AD461" s="227" t="s">
        <v>22</v>
      </c>
      <c r="AE461" s="1027" t="str">
        <f t="shared" si="165"/>
        <v>►</v>
      </c>
      <c r="AF461" s="1028" t="str">
        <f t="shared" si="166"/>
        <v/>
      </c>
      <c r="AG461" s="1029" t="str">
        <f t="shared" si="167"/>
        <v/>
      </c>
      <c r="AH461" s="1028" t="str">
        <f t="shared" si="168"/>
        <v/>
      </c>
      <c r="AI461" s="1029" t="str">
        <f t="shared" si="169"/>
        <v/>
      </c>
      <c r="AJ461" s="1029">
        <f t="shared" si="170"/>
        <v>0</v>
      </c>
      <c r="AK461" s="1043" t="str" cm="1">
        <f t="array" ref="AK461">IF(AE461&lt;&gt;"A","",IFERROR((IFERROR(_xlfn.XLOOKUP(TRIM(SUBSTITUTE(U461,CHAR(160)," ")),$BI$15:$BI$62,$BL$15:$BL$62),IFERROR(_xlfn.XLOOKUP(TRIM(SUBSTITUTE(U461,CHAR(160)," ")),$BJ$15:$BJ$62,$BL$15:$BL$62),_xlfn.XLOOKUP(TRIM(SUBSTITUTE(U461,CHAR(160)," ")),$BK$15:$BK$62,$BL$15:$BL$62))))*T461*IF(ISBLANK(Q461),1,Q461)+IFERROR(_xlfn.XLOOKUP("RECHERCHEX",TRIM(L461:AC461),L461:AC461),0),0))</f>
        <v/>
      </c>
      <c r="AL461" s="1030">
        <f t="shared" si="171"/>
        <v>0</v>
      </c>
      <c r="AM461" s="5254" t="str">
        <f t="shared" si="186"/>
        <v/>
      </c>
      <c r="AN461" s="1031">
        <f t="shared" si="172"/>
        <v>0</v>
      </c>
      <c r="AO461" s="1031">
        <f t="shared" si="173"/>
        <v>0</v>
      </c>
      <c r="AP461" s="1044">
        <f t="shared" si="174"/>
        <v>0</v>
      </c>
      <c r="AQ461" s="5257" t="str">
        <f t="shared" si="175"/>
        <v/>
      </c>
      <c r="AR461" s="1056"/>
      <c r="AS461" s="1056"/>
      <c r="AT461" s="1045">
        <f t="shared" si="176"/>
        <v>0</v>
      </c>
      <c r="AU461" s="1046">
        <f t="shared" si="177"/>
        <v>0</v>
      </c>
      <c r="AV461" s="1059" cm="1">
        <f t="array" ref="AV461">IF(AJ461&lt;&gt;1,0,IF(OR(AT461="",N(AT461)&lt;=0.000000001),"",IF(OR(AN461="",N(AN461)&lt;=0.000000001),0,IF(ISNUMBER(AT461),IFERROR(_xlfn.LET(_xlpm.ai_test,TRIM(AI461),_xlpm.r,IFERROR(_xlfn.XLOOKUP(_xlpm.ai_test,$BI$15:$BI$62,ROW($BI$15:$BI$62),0,1),IFERROR(_xlfn.XLOOKUP(_xlpm.ai_test,$BJ$15:$BJ$62,ROW($BJ$15:$BJ$62),0,1),_xlfn.XLOOKUP(_xlpm.ai_test,$BK$15:$BK$62,ROW($BK$15:$BK$62),0,1))),_xlpm.p,_xlpm.r-MIN(ROW($BI$15:$BI$62))+1,_xlpm.f,INDEX($BL$15:$BL$62,_xlpm.p),_xlpm.u,INDEX($BM$15:$BM$62,_xlpm.p),_xlpm.s,INDEX($BO$15:$BO$62,_xlpm.p),_xlpm.q,N(AT461)/_xlpm.f,IF(_xlpm.q&gt;=_xlpm.s,ROUND(_xlpm.q,1)&amp;" "&amp;_xlpm.ai_test&amp;" = "&amp;ROUND(_xlpm.q*_xlpm.f,1)&amp;" "&amp;_xlpm.u,ROUND(_xlpm.q,1)&amp;" "&amp;_xlpm.ai_test)),""),""))))</f>
        <v>0</v>
      </c>
      <c r="AW461" s="1047"/>
      <c r="AX461" s="1045">
        <f t="shared" si="178"/>
        <v>0</v>
      </c>
      <c r="AY461" s="1046" t="str">
        <f t="shared" si="179"/>
        <v/>
      </c>
      <c r="AZ461" s="1048">
        <f t="shared" si="184"/>
        <v>0</v>
      </c>
      <c r="BA461" s="1049" t="str">
        <f t="shared" si="180"/>
        <v/>
      </c>
      <c r="BB461" s="1038"/>
      <c r="BC461" s="1050">
        <f t="shared" si="185"/>
        <v>0</v>
      </c>
      <c r="BD461" s="1040" t="str">
        <f t="shared" si="181"/>
        <v/>
      </c>
      <c r="BE461" s="227" t="s">
        <v>22</v>
      </c>
      <c r="BF461" s="1019">
        <f t="shared" si="182"/>
        <v>0</v>
      </c>
      <c r="BG461" s="1020">
        <f t="shared" si="183"/>
        <v>0</v>
      </c>
      <c r="BH461"/>
      <c r="BI461" s="709"/>
      <c r="BJ461" s="709"/>
      <c r="BK461" s="709"/>
      <c r="BL461" s="709"/>
      <c r="BM461" s="709"/>
      <c r="BN461" s="709"/>
      <c r="BO461" s="709"/>
      <c r="BP461" s="709"/>
      <c r="BW461" s="959" t="str">
        <f t="shared" si="187"/>
        <v>►</v>
      </c>
      <c r="BX461" s="856"/>
      <c r="BY461" s="856"/>
      <c r="BZ461" s="856"/>
      <c r="CA461" s="856"/>
      <c r="CB461" s="856"/>
      <c r="DB461" s="3">
        <v>1</v>
      </c>
    </row>
    <row r="462" spans="12:106" ht="21" customHeight="1">
      <c r="L462" s="104" t="s">
        <v>16</v>
      </c>
      <c r="M462" s="1172"/>
      <c r="N462" s="1172"/>
      <c r="O462" s="1172"/>
      <c r="P462" s="1173"/>
      <c r="Q462" s="1174"/>
      <c r="R462" s="1175"/>
      <c r="S462" s="1176"/>
      <c r="T462" s="1177"/>
      <c r="U462" s="5248"/>
      <c r="V462" s="1177"/>
      <c r="W462" s="5249"/>
      <c r="X462" s="5208"/>
      <c r="Y462" s="5209"/>
      <c r="Z462" s="5210"/>
      <c r="AA462" s="5211"/>
      <c r="AB462" s="1178"/>
      <c r="AC462" s="1179"/>
      <c r="AD462" s="227" t="s">
        <v>22</v>
      </c>
      <c r="AE462" s="1027" t="str">
        <f t="shared" si="165"/>
        <v>►</v>
      </c>
      <c r="AF462" s="1028" t="str">
        <f t="shared" si="166"/>
        <v/>
      </c>
      <c r="AG462" s="1029" t="str">
        <f t="shared" si="167"/>
        <v/>
      </c>
      <c r="AH462" s="1028" t="str">
        <f t="shared" si="168"/>
        <v/>
      </c>
      <c r="AI462" s="1029" t="str">
        <f t="shared" si="169"/>
        <v/>
      </c>
      <c r="AJ462" s="1029">
        <f t="shared" si="170"/>
        <v>0</v>
      </c>
      <c r="AK462" s="1043" t="str" cm="1">
        <f t="array" ref="AK462">IF(AE462&lt;&gt;"A","",IFERROR((IFERROR(_xlfn.XLOOKUP(TRIM(SUBSTITUTE(U462,CHAR(160)," ")),$BI$15:$BI$62,$BL$15:$BL$62),IFERROR(_xlfn.XLOOKUP(TRIM(SUBSTITUTE(U462,CHAR(160)," ")),$BJ$15:$BJ$62,$BL$15:$BL$62),_xlfn.XLOOKUP(TRIM(SUBSTITUTE(U462,CHAR(160)," ")),$BK$15:$BK$62,$BL$15:$BL$62))))*T462*IF(ISBLANK(Q462),1,Q462)+IFERROR(_xlfn.XLOOKUP("RECHERCHEX",TRIM(L462:AC462),L462:AC462),0),0))</f>
        <v/>
      </c>
      <c r="AL462" s="1030">
        <f t="shared" si="171"/>
        <v>0</v>
      </c>
      <c r="AM462" s="5254" t="str">
        <f t="shared" si="186"/>
        <v/>
      </c>
      <c r="AN462" s="1031">
        <f t="shared" si="172"/>
        <v>0</v>
      </c>
      <c r="AO462" s="1031">
        <f t="shared" si="173"/>
        <v>0</v>
      </c>
      <c r="AP462" s="1032">
        <f t="shared" si="174"/>
        <v>0</v>
      </c>
      <c r="AQ462" s="5255" t="str">
        <f t="shared" si="175"/>
        <v/>
      </c>
      <c r="AR462" s="1056"/>
      <c r="AS462" s="1056"/>
      <c r="AT462" s="1034">
        <f t="shared" si="176"/>
        <v>0</v>
      </c>
      <c r="AU462" s="1035">
        <f t="shared" si="177"/>
        <v>0</v>
      </c>
      <c r="AV462" s="1057" cm="1">
        <f t="array" ref="AV462">IF(AJ462&lt;&gt;1,0,IF(OR(AT462="",N(AT462)&lt;=0.000000001),"",IF(OR(AN462="",N(AN462)&lt;=0.000000001),0,IF(ISNUMBER(AT462),IFERROR(_xlfn.LET(_xlpm.ai_test,TRIM(AI462),_xlpm.r,IFERROR(_xlfn.XLOOKUP(_xlpm.ai_test,$BI$15:$BI$62,ROW($BI$15:$BI$62),0,1),IFERROR(_xlfn.XLOOKUP(_xlpm.ai_test,$BJ$15:$BJ$62,ROW($BJ$15:$BJ$62),0,1),_xlfn.XLOOKUP(_xlpm.ai_test,$BK$15:$BK$62,ROW($BK$15:$BK$62),0,1))),_xlpm.p,_xlpm.r-MIN(ROW($BI$15:$BI$62))+1,_xlpm.f,INDEX($BL$15:$BL$62,_xlpm.p),_xlpm.u,INDEX($BM$15:$BM$62,_xlpm.p),_xlpm.s,INDEX($BO$15:$BO$62,_xlpm.p),_xlpm.q,N(AT462)/_xlpm.f,IF(_xlpm.q&gt;=_xlpm.s,ROUND(_xlpm.q,1)&amp;" "&amp;_xlpm.ai_test&amp;" = "&amp;ROUND(_xlpm.q*_xlpm.f,1)&amp;" "&amp;_xlpm.u,ROUND(_xlpm.q,1)&amp;" "&amp;_xlpm.ai_test)),""),""))))</f>
        <v>0</v>
      </c>
      <c r="AW462" s="1047"/>
      <c r="AX462" s="1034">
        <f t="shared" si="178"/>
        <v>0</v>
      </c>
      <c r="AY462" s="1035" t="str">
        <f t="shared" si="179"/>
        <v/>
      </c>
      <c r="AZ462" s="1036">
        <f t="shared" si="184"/>
        <v>0</v>
      </c>
      <c r="BA462" s="1037" t="str">
        <f t="shared" si="180"/>
        <v/>
      </c>
      <c r="BB462" s="1038"/>
      <c r="BC462" s="1039">
        <f t="shared" si="185"/>
        <v>0</v>
      </c>
      <c r="BD462" s="1040" t="str">
        <f t="shared" si="181"/>
        <v/>
      </c>
      <c r="BE462" s="227" t="s">
        <v>22</v>
      </c>
      <c r="BF462" s="1019">
        <f t="shared" si="182"/>
        <v>0</v>
      </c>
      <c r="BG462" s="1020">
        <f t="shared" si="183"/>
        <v>0</v>
      </c>
      <c r="BH462"/>
      <c r="BI462" s="709"/>
      <c r="BJ462" s="709"/>
      <c r="BK462" s="709"/>
      <c r="BL462" s="709"/>
      <c r="BM462" s="709"/>
      <c r="BN462" s="709"/>
      <c r="BO462" s="709"/>
      <c r="BP462" s="709"/>
      <c r="BW462" s="959" t="str">
        <f t="shared" si="187"/>
        <v>►</v>
      </c>
      <c r="BX462" s="856"/>
      <c r="BY462" s="856"/>
      <c r="BZ462" s="856"/>
      <c r="CA462" s="856"/>
      <c r="CB462" s="856"/>
      <c r="DB462" s="3">
        <v>1</v>
      </c>
    </row>
    <row r="463" spans="12:106" ht="21" customHeight="1">
      <c r="L463" s="104" t="s">
        <v>16</v>
      </c>
      <c r="M463" s="1172"/>
      <c r="N463" s="1172"/>
      <c r="O463" s="1172"/>
      <c r="P463" s="1173"/>
      <c r="Q463" s="1174"/>
      <c r="R463" s="1175"/>
      <c r="S463" s="1176"/>
      <c r="T463" s="1177"/>
      <c r="U463" s="5248"/>
      <c r="V463" s="1177"/>
      <c r="W463" s="5249"/>
      <c r="X463" s="5208"/>
      <c r="Y463" s="5209"/>
      <c r="Z463" s="5210"/>
      <c r="AA463" s="5211"/>
      <c r="AB463" s="1178"/>
      <c r="AC463" s="1179"/>
      <c r="AD463" s="227" t="s">
        <v>22</v>
      </c>
      <c r="AE463" s="1027" t="str">
        <f t="shared" si="165"/>
        <v>►</v>
      </c>
      <c r="AF463" s="1028" t="str">
        <f t="shared" si="166"/>
        <v/>
      </c>
      <c r="AG463" s="1029" t="str">
        <f t="shared" si="167"/>
        <v/>
      </c>
      <c r="AH463" s="1028" t="str">
        <f t="shared" si="168"/>
        <v/>
      </c>
      <c r="AI463" s="1029" t="str">
        <f t="shared" si="169"/>
        <v/>
      </c>
      <c r="AJ463" s="1029">
        <f t="shared" si="170"/>
        <v>0</v>
      </c>
      <c r="AK463" s="1043" t="str" cm="1">
        <f t="array" ref="AK463">IF(AE463&lt;&gt;"A","",IFERROR((IFERROR(_xlfn.XLOOKUP(TRIM(SUBSTITUTE(U463,CHAR(160)," ")),$BI$15:$BI$62,$BL$15:$BL$62),IFERROR(_xlfn.XLOOKUP(TRIM(SUBSTITUTE(U463,CHAR(160)," ")),$BJ$15:$BJ$62,$BL$15:$BL$62),_xlfn.XLOOKUP(TRIM(SUBSTITUTE(U463,CHAR(160)," ")),$BK$15:$BK$62,$BL$15:$BL$62))))*T463*IF(ISBLANK(Q463),1,Q463)+IFERROR(_xlfn.XLOOKUP("RECHERCHEX",TRIM(L463:AC463),L463:AC463),0),0))</f>
        <v/>
      </c>
      <c r="AL463" s="1030">
        <f t="shared" si="171"/>
        <v>0</v>
      </c>
      <c r="AM463" s="5254" t="str">
        <f t="shared" si="186"/>
        <v/>
      </c>
      <c r="AN463" s="1031">
        <f t="shared" si="172"/>
        <v>0</v>
      </c>
      <c r="AO463" s="1031">
        <f t="shared" si="173"/>
        <v>0</v>
      </c>
      <c r="AP463" s="1044">
        <f t="shared" si="174"/>
        <v>0</v>
      </c>
      <c r="AQ463" s="5257" t="str">
        <f t="shared" si="175"/>
        <v/>
      </c>
      <c r="AR463" s="1056"/>
      <c r="AS463" s="1056"/>
      <c r="AT463" s="1045">
        <f t="shared" si="176"/>
        <v>0</v>
      </c>
      <c r="AU463" s="1046">
        <f t="shared" si="177"/>
        <v>0</v>
      </c>
      <c r="AV463" s="1059" cm="1">
        <f t="array" ref="AV463">IF(AJ463&lt;&gt;1,0,IF(OR(AT463="",N(AT463)&lt;=0.000000001),"",IF(OR(AN463="",N(AN463)&lt;=0.000000001),0,IF(ISNUMBER(AT463),IFERROR(_xlfn.LET(_xlpm.ai_test,TRIM(AI463),_xlpm.r,IFERROR(_xlfn.XLOOKUP(_xlpm.ai_test,$BI$15:$BI$62,ROW($BI$15:$BI$62),0,1),IFERROR(_xlfn.XLOOKUP(_xlpm.ai_test,$BJ$15:$BJ$62,ROW($BJ$15:$BJ$62),0,1),_xlfn.XLOOKUP(_xlpm.ai_test,$BK$15:$BK$62,ROW($BK$15:$BK$62),0,1))),_xlpm.p,_xlpm.r-MIN(ROW($BI$15:$BI$62))+1,_xlpm.f,INDEX($BL$15:$BL$62,_xlpm.p),_xlpm.u,INDEX($BM$15:$BM$62,_xlpm.p),_xlpm.s,INDEX($BO$15:$BO$62,_xlpm.p),_xlpm.q,N(AT463)/_xlpm.f,IF(_xlpm.q&gt;=_xlpm.s,ROUND(_xlpm.q,1)&amp;" "&amp;_xlpm.ai_test&amp;" = "&amp;ROUND(_xlpm.q*_xlpm.f,1)&amp;" "&amp;_xlpm.u,ROUND(_xlpm.q,1)&amp;" "&amp;_xlpm.ai_test)),""),""))))</f>
        <v>0</v>
      </c>
      <c r="AW463" s="1047"/>
      <c r="AX463" s="1045">
        <f t="shared" si="178"/>
        <v>0</v>
      </c>
      <c r="AY463" s="1046" t="str">
        <f t="shared" si="179"/>
        <v/>
      </c>
      <c r="AZ463" s="1048">
        <f t="shared" si="184"/>
        <v>0</v>
      </c>
      <c r="BA463" s="1049" t="str">
        <f t="shared" si="180"/>
        <v/>
      </c>
      <c r="BB463" s="1038"/>
      <c r="BC463" s="1050">
        <f t="shared" si="185"/>
        <v>0</v>
      </c>
      <c r="BD463" s="1040" t="str">
        <f t="shared" si="181"/>
        <v/>
      </c>
      <c r="BE463" s="227" t="s">
        <v>22</v>
      </c>
      <c r="BF463" s="1019">
        <f t="shared" si="182"/>
        <v>0</v>
      </c>
      <c r="BG463" s="1020">
        <f t="shared" si="183"/>
        <v>0</v>
      </c>
      <c r="BH463"/>
      <c r="BI463" s="709"/>
      <c r="BJ463" s="709"/>
      <c r="BK463" s="709"/>
      <c r="BL463" s="709"/>
      <c r="BM463" s="709"/>
      <c r="BN463" s="709"/>
      <c r="BO463" s="709"/>
      <c r="BP463" s="709"/>
      <c r="BW463" s="959" t="str">
        <f t="shared" si="187"/>
        <v>►</v>
      </c>
      <c r="BX463" s="856"/>
      <c r="BY463" s="856"/>
      <c r="BZ463" s="856"/>
      <c r="CA463" s="856"/>
      <c r="CB463" s="856"/>
      <c r="DB463" s="3">
        <v>1</v>
      </c>
    </row>
    <row r="464" spans="12:106" ht="21" customHeight="1">
      <c r="L464" s="104" t="s">
        <v>16</v>
      </c>
      <c r="M464" s="1172"/>
      <c r="N464" s="1172"/>
      <c r="O464" s="1172"/>
      <c r="P464" s="1173"/>
      <c r="Q464" s="1174"/>
      <c r="R464" s="1175"/>
      <c r="S464" s="1176"/>
      <c r="T464" s="1177"/>
      <c r="U464" s="5248"/>
      <c r="V464" s="1177"/>
      <c r="W464" s="5249"/>
      <c r="X464" s="5208"/>
      <c r="Y464" s="5209"/>
      <c r="Z464" s="5210"/>
      <c r="AA464" s="5211"/>
      <c r="AB464" s="1178"/>
      <c r="AC464" s="1179"/>
      <c r="AD464" s="227" t="s">
        <v>22</v>
      </c>
      <c r="AE464" s="1027" t="str">
        <f t="shared" si="165"/>
        <v>►</v>
      </c>
      <c r="AF464" s="1028" t="str">
        <f t="shared" si="166"/>
        <v/>
      </c>
      <c r="AG464" s="1029" t="str">
        <f t="shared" si="167"/>
        <v/>
      </c>
      <c r="AH464" s="1028" t="str">
        <f t="shared" si="168"/>
        <v/>
      </c>
      <c r="AI464" s="1029" t="str">
        <f t="shared" si="169"/>
        <v/>
      </c>
      <c r="AJ464" s="1029">
        <f t="shared" si="170"/>
        <v>0</v>
      </c>
      <c r="AK464" s="1043" t="str" cm="1">
        <f t="array" ref="AK464">IF(AE464&lt;&gt;"A","",IFERROR((IFERROR(_xlfn.XLOOKUP(TRIM(SUBSTITUTE(U464,CHAR(160)," ")),$BI$15:$BI$62,$BL$15:$BL$62),IFERROR(_xlfn.XLOOKUP(TRIM(SUBSTITUTE(U464,CHAR(160)," ")),$BJ$15:$BJ$62,$BL$15:$BL$62),_xlfn.XLOOKUP(TRIM(SUBSTITUTE(U464,CHAR(160)," ")),$BK$15:$BK$62,$BL$15:$BL$62))))*T464*IF(ISBLANK(Q464),1,Q464)+IFERROR(_xlfn.XLOOKUP("RECHERCHEX",TRIM(L464:AC464),L464:AC464),0),0))</f>
        <v/>
      </c>
      <c r="AL464" s="1030">
        <f t="shared" si="171"/>
        <v>0</v>
      </c>
      <c r="AM464" s="5254" t="str">
        <f t="shared" si="186"/>
        <v/>
      </c>
      <c r="AN464" s="1031">
        <f t="shared" si="172"/>
        <v>0</v>
      </c>
      <c r="AO464" s="1031">
        <f t="shared" si="173"/>
        <v>0</v>
      </c>
      <c r="AP464" s="1032">
        <f t="shared" si="174"/>
        <v>0</v>
      </c>
      <c r="AQ464" s="5255" t="str">
        <f t="shared" si="175"/>
        <v/>
      </c>
      <c r="AR464" s="1056"/>
      <c r="AS464" s="1056"/>
      <c r="AT464" s="1034">
        <f t="shared" si="176"/>
        <v>0</v>
      </c>
      <c r="AU464" s="1035">
        <f t="shared" si="177"/>
        <v>0</v>
      </c>
      <c r="AV464" s="1057" cm="1">
        <f t="array" ref="AV464">IF(AJ464&lt;&gt;1,0,IF(OR(AT464="",N(AT464)&lt;=0.000000001),"",IF(OR(AN464="",N(AN464)&lt;=0.000000001),0,IF(ISNUMBER(AT464),IFERROR(_xlfn.LET(_xlpm.ai_test,TRIM(AI464),_xlpm.r,IFERROR(_xlfn.XLOOKUP(_xlpm.ai_test,$BI$15:$BI$62,ROW($BI$15:$BI$62),0,1),IFERROR(_xlfn.XLOOKUP(_xlpm.ai_test,$BJ$15:$BJ$62,ROW($BJ$15:$BJ$62),0,1),_xlfn.XLOOKUP(_xlpm.ai_test,$BK$15:$BK$62,ROW($BK$15:$BK$62),0,1))),_xlpm.p,_xlpm.r-MIN(ROW($BI$15:$BI$62))+1,_xlpm.f,INDEX($BL$15:$BL$62,_xlpm.p),_xlpm.u,INDEX($BM$15:$BM$62,_xlpm.p),_xlpm.s,INDEX($BO$15:$BO$62,_xlpm.p),_xlpm.q,N(AT464)/_xlpm.f,IF(_xlpm.q&gt;=_xlpm.s,ROUND(_xlpm.q,1)&amp;" "&amp;_xlpm.ai_test&amp;" = "&amp;ROUND(_xlpm.q*_xlpm.f,1)&amp;" "&amp;_xlpm.u,ROUND(_xlpm.q,1)&amp;" "&amp;_xlpm.ai_test)),""),""))))</f>
        <v>0</v>
      </c>
      <c r="AW464" s="1047"/>
      <c r="AX464" s="1034">
        <f t="shared" si="178"/>
        <v>0</v>
      </c>
      <c r="AY464" s="1035" t="str">
        <f t="shared" si="179"/>
        <v/>
      </c>
      <c r="AZ464" s="1036">
        <f t="shared" si="184"/>
        <v>0</v>
      </c>
      <c r="BA464" s="1037" t="str">
        <f t="shared" si="180"/>
        <v/>
      </c>
      <c r="BB464" s="1038"/>
      <c r="BC464" s="1039">
        <f t="shared" si="185"/>
        <v>0</v>
      </c>
      <c r="BD464" s="1040" t="str">
        <f t="shared" si="181"/>
        <v/>
      </c>
      <c r="BE464" s="227" t="s">
        <v>22</v>
      </c>
      <c r="BF464" s="1019">
        <f t="shared" si="182"/>
        <v>0</v>
      </c>
      <c r="BG464" s="1020">
        <f t="shared" si="183"/>
        <v>0</v>
      </c>
      <c r="BH464"/>
      <c r="BI464" s="709"/>
      <c r="BJ464" s="709"/>
      <c r="BK464" s="709"/>
      <c r="BL464" s="709"/>
      <c r="BM464" s="709"/>
      <c r="BN464" s="709"/>
      <c r="BO464" s="709"/>
      <c r="BP464" s="709"/>
      <c r="BW464" s="959" t="str">
        <f t="shared" si="187"/>
        <v>►</v>
      </c>
      <c r="BX464" s="856"/>
      <c r="BY464" s="856"/>
      <c r="BZ464" s="856"/>
      <c r="CA464" s="856"/>
      <c r="CB464" s="856"/>
      <c r="DB464" s="3">
        <v>1</v>
      </c>
    </row>
    <row r="465" spans="12:106" ht="21" customHeight="1">
      <c r="L465" s="104" t="s">
        <v>16</v>
      </c>
      <c r="M465" s="1172"/>
      <c r="N465" s="1172"/>
      <c r="O465" s="1172"/>
      <c r="P465" s="1173"/>
      <c r="Q465" s="1174"/>
      <c r="R465" s="1175"/>
      <c r="S465" s="1176"/>
      <c r="T465" s="1177"/>
      <c r="U465" s="5248"/>
      <c r="V465" s="1177"/>
      <c r="W465" s="5249"/>
      <c r="X465" s="5208"/>
      <c r="Y465" s="5209"/>
      <c r="Z465" s="5210"/>
      <c r="AA465" s="5211"/>
      <c r="AB465" s="1178"/>
      <c r="AC465" s="1179"/>
      <c r="AD465" s="227" t="s">
        <v>22</v>
      </c>
      <c r="AE465" s="1027" t="str">
        <f t="shared" si="165"/>
        <v>►</v>
      </c>
      <c r="AF465" s="1028" t="str">
        <f t="shared" si="166"/>
        <v/>
      </c>
      <c r="AG465" s="1029" t="str">
        <f t="shared" si="167"/>
        <v/>
      </c>
      <c r="AH465" s="1028" t="str">
        <f t="shared" si="168"/>
        <v/>
      </c>
      <c r="AI465" s="1029" t="str">
        <f t="shared" si="169"/>
        <v/>
      </c>
      <c r="AJ465" s="1029">
        <f t="shared" si="170"/>
        <v>0</v>
      </c>
      <c r="AK465" s="1043" t="str" cm="1">
        <f t="array" ref="AK465">IF(AE465&lt;&gt;"A","",IFERROR((IFERROR(_xlfn.XLOOKUP(TRIM(SUBSTITUTE(U465,CHAR(160)," ")),$BI$15:$BI$62,$BL$15:$BL$62),IFERROR(_xlfn.XLOOKUP(TRIM(SUBSTITUTE(U465,CHAR(160)," ")),$BJ$15:$BJ$62,$BL$15:$BL$62),_xlfn.XLOOKUP(TRIM(SUBSTITUTE(U465,CHAR(160)," ")),$BK$15:$BK$62,$BL$15:$BL$62))))*T465*IF(ISBLANK(Q465),1,Q465)+IFERROR(_xlfn.XLOOKUP("RECHERCHEX",TRIM(L465:AC465),L465:AC465),0),0))</f>
        <v/>
      </c>
      <c r="AL465" s="1030">
        <f t="shared" si="171"/>
        <v>0</v>
      </c>
      <c r="AM465" s="5254" t="str">
        <f t="shared" si="186"/>
        <v/>
      </c>
      <c r="AN465" s="1031">
        <f t="shared" si="172"/>
        <v>0</v>
      </c>
      <c r="AO465" s="1031">
        <f t="shared" si="173"/>
        <v>0</v>
      </c>
      <c r="AP465" s="1044">
        <f t="shared" si="174"/>
        <v>0</v>
      </c>
      <c r="AQ465" s="5257" t="str">
        <f t="shared" si="175"/>
        <v/>
      </c>
      <c r="AR465" s="1056"/>
      <c r="AS465" s="1056"/>
      <c r="AT465" s="1045">
        <f t="shared" si="176"/>
        <v>0</v>
      </c>
      <c r="AU465" s="1046">
        <f t="shared" si="177"/>
        <v>0</v>
      </c>
      <c r="AV465" s="1059" cm="1">
        <f t="array" ref="AV465">IF(AJ465&lt;&gt;1,0,IF(OR(AT465="",N(AT465)&lt;=0.000000001),"",IF(OR(AN465="",N(AN465)&lt;=0.000000001),0,IF(ISNUMBER(AT465),IFERROR(_xlfn.LET(_xlpm.ai_test,TRIM(AI465),_xlpm.r,IFERROR(_xlfn.XLOOKUP(_xlpm.ai_test,$BI$15:$BI$62,ROW($BI$15:$BI$62),0,1),IFERROR(_xlfn.XLOOKUP(_xlpm.ai_test,$BJ$15:$BJ$62,ROW($BJ$15:$BJ$62),0,1),_xlfn.XLOOKUP(_xlpm.ai_test,$BK$15:$BK$62,ROW($BK$15:$BK$62),0,1))),_xlpm.p,_xlpm.r-MIN(ROW($BI$15:$BI$62))+1,_xlpm.f,INDEX($BL$15:$BL$62,_xlpm.p),_xlpm.u,INDEX($BM$15:$BM$62,_xlpm.p),_xlpm.s,INDEX($BO$15:$BO$62,_xlpm.p),_xlpm.q,N(AT465)/_xlpm.f,IF(_xlpm.q&gt;=_xlpm.s,ROUND(_xlpm.q,1)&amp;" "&amp;_xlpm.ai_test&amp;" = "&amp;ROUND(_xlpm.q*_xlpm.f,1)&amp;" "&amp;_xlpm.u,ROUND(_xlpm.q,1)&amp;" "&amp;_xlpm.ai_test)),""),""))))</f>
        <v>0</v>
      </c>
      <c r="AW465" s="1047"/>
      <c r="AX465" s="1045">
        <f t="shared" si="178"/>
        <v>0</v>
      </c>
      <c r="AY465" s="1046" t="str">
        <f t="shared" si="179"/>
        <v/>
      </c>
      <c r="AZ465" s="1048">
        <f t="shared" si="184"/>
        <v>0</v>
      </c>
      <c r="BA465" s="1049" t="str">
        <f t="shared" si="180"/>
        <v/>
      </c>
      <c r="BB465" s="1038"/>
      <c r="BC465" s="1050">
        <f t="shared" si="185"/>
        <v>0</v>
      </c>
      <c r="BD465" s="1040" t="str">
        <f t="shared" si="181"/>
        <v/>
      </c>
      <c r="BE465" s="227" t="s">
        <v>22</v>
      </c>
      <c r="BF465" s="1019">
        <f t="shared" si="182"/>
        <v>0</v>
      </c>
      <c r="BG465" s="1020">
        <f t="shared" si="183"/>
        <v>0</v>
      </c>
      <c r="BH465"/>
      <c r="BI465" s="709"/>
      <c r="BJ465" s="709"/>
      <c r="BK465" s="709"/>
      <c r="BL465" s="709"/>
      <c r="BM465" s="709"/>
      <c r="BN465" s="709"/>
      <c r="BO465" s="709"/>
      <c r="BP465" s="709"/>
      <c r="BW465" s="959" t="str">
        <f t="shared" si="187"/>
        <v>►</v>
      </c>
      <c r="BX465" s="856"/>
      <c r="BY465" s="856"/>
      <c r="BZ465" s="856"/>
      <c r="CA465" s="856"/>
      <c r="CB465" s="856"/>
      <c r="DB465" s="3">
        <v>1</v>
      </c>
    </row>
    <row r="466" spans="12:106" ht="21" customHeight="1">
      <c r="L466" s="104" t="s">
        <v>16</v>
      </c>
      <c r="M466" s="1172"/>
      <c r="N466" s="1172"/>
      <c r="O466" s="1172"/>
      <c r="P466" s="1173"/>
      <c r="Q466" s="1174"/>
      <c r="R466" s="1175"/>
      <c r="S466" s="1176"/>
      <c r="T466" s="1177"/>
      <c r="U466" s="5248"/>
      <c r="V466" s="1177"/>
      <c r="W466" s="5249"/>
      <c r="X466" s="5208"/>
      <c r="Y466" s="5209"/>
      <c r="Z466" s="5210"/>
      <c r="AA466" s="5211"/>
      <c r="AB466" s="1178"/>
      <c r="AC466" s="1179"/>
      <c r="AD466" s="227" t="s">
        <v>22</v>
      </c>
      <c r="AE466" s="1027" t="str">
        <f t="shared" si="165"/>
        <v>►</v>
      </c>
      <c r="AF466" s="1028" t="str">
        <f t="shared" si="166"/>
        <v/>
      </c>
      <c r="AG466" s="1029" t="str">
        <f t="shared" si="167"/>
        <v/>
      </c>
      <c r="AH466" s="1028" t="str">
        <f t="shared" si="168"/>
        <v/>
      </c>
      <c r="AI466" s="1029" t="str">
        <f t="shared" si="169"/>
        <v/>
      </c>
      <c r="AJ466" s="1029">
        <f t="shared" si="170"/>
        <v>0</v>
      </c>
      <c r="AK466" s="1043" t="str" cm="1">
        <f t="array" ref="AK466">IF(AE466&lt;&gt;"A","",IFERROR((IFERROR(_xlfn.XLOOKUP(TRIM(SUBSTITUTE(U466,CHAR(160)," ")),$BI$15:$BI$62,$BL$15:$BL$62),IFERROR(_xlfn.XLOOKUP(TRIM(SUBSTITUTE(U466,CHAR(160)," ")),$BJ$15:$BJ$62,$BL$15:$BL$62),_xlfn.XLOOKUP(TRIM(SUBSTITUTE(U466,CHAR(160)," ")),$BK$15:$BK$62,$BL$15:$BL$62))))*T466*IF(ISBLANK(Q466),1,Q466)+IFERROR(_xlfn.XLOOKUP("RECHERCHEX",TRIM(L466:AC466),L466:AC466),0),0))</f>
        <v/>
      </c>
      <c r="AL466" s="1030">
        <f t="shared" si="171"/>
        <v>0</v>
      </c>
      <c r="AM466" s="5254" t="str">
        <f t="shared" si="186"/>
        <v/>
      </c>
      <c r="AN466" s="1031">
        <f t="shared" si="172"/>
        <v>0</v>
      </c>
      <c r="AO466" s="1031">
        <f t="shared" si="173"/>
        <v>0</v>
      </c>
      <c r="AP466" s="1032">
        <f t="shared" si="174"/>
        <v>0</v>
      </c>
      <c r="AQ466" s="5255" t="str">
        <f t="shared" si="175"/>
        <v/>
      </c>
      <c r="AR466" s="1056"/>
      <c r="AS466" s="1056"/>
      <c r="AT466" s="1034">
        <f t="shared" si="176"/>
        <v>0</v>
      </c>
      <c r="AU466" s="1035">
        <f t="shared" si="177"/>
        <v>0</v>
      </c>
      <c r="AV466" s="1057" cm="1">
        <f t="array" ref="AV466">IF(AJ466&lt;&gt;1,0,IF(OR(AT466="",N(AT466)&lt;=0.000000001),"",IF(OR(AN466="",N(AN466)&lt;=0.000000001),0,IF(ISNUMBER(AT466),IFERROR(_xlfn.LET(_xlpm.ai_test,TRIM(AI466),_xlpm.r,IFERROR(_xlfn.XLOOKUP(_xlpm.ai_test,$BI$15:$BI$62,ROW($BI$15:$BI$62),0,1),IFERROR(_xlfn.XLOOKUP(_xlpm.ai_test,$BJ$15:$BJ$62,ROW($BJ$15:$BJ$62),0,1),_xlfn.XLOOKUP(_xlpm.ai_test,$BK$15:$BK$62,ROW($BK$15:$BK$62),0,1))),_xlpm.p,_xlpm.r-MIN(ROW($BI$15:$BI$62))+1,_xlpm.f,INDEX($BL$15:$BL$62,_xlpm.p),_xlpm.u,INDEX($BM$15:$BM$62,_xlpm.p),_xlpm.s,INDEX($BO$15:$BO$62,_xlpm.p),_xlpm.q,N(AT466)/_xlpm.f,IF(_xlpm.q&gt;=_xlpm.s,ROUND(_xlpm.q,1)&amp;" "&amp;_xlpm.ai_test&amp;" = "&amp;ROUND(_xlpm.q*_xlpm.f,1)&amp;" "&amp;_xlpm.u,ROUND(_xlpm.q,1)&amp;" "&amp;_xlpm.ai_test)),""),""))))</f>
        <v>0</v>
      </c>
      <c r="AW466" s="1047"/>
      <c r="AX466" s="1034">
        <f t="shared" si="178"/>
        <v>0</v>
      </c>
      <c r="AY466" s="1035" t="str">
        <f t="shared" si="179"/>
        <v/>
      </c>
      <c r="AZ466" s="1036">
        <f t="shared" si="184"/>
        <v>0</v>
      </c>
      <c r="BA466" s="1037" t="str">
        <f t="shared" si="180"/>
        <v/>
      </c>
      <c r="BB466" s="1038"/>
      <c r="BC466" s="1039">
        <f t="shared" si="185"/>
        <v>0</v>
      </c>
      <c r="BD466" s="1040" t="str">
        <f t="shared" si="181"/>
        <v/>
      </c>
      <c r="BE466" s="227" t="s">
        <v>22</v>
      </c>
      <c r="BF466" s="1019">
        <f t="shared" si="182"/>
        <v>0</v>
      </c>
      <c r="BG466" s="1020">
        <f t="shared" si="183"/>
        <v>0</v>
      </c>
      <c r="BH466"/>
      <c r="BI466" s="709"/>
      <c r="BJ466" s="709"/>
      <c r="BK466" s="709"/>
      <c r="BL466" s="709"/>
      <c r="BM466" s="709"/>
      <c r="BN466" s="709"/>
      <c r="BO466" s="709"/>
      <c r="BP466" s="709"/>
      <c r="BW466" s="959" t="str">
        <f t="shared" si="187"/>
        <v>►</v>
      </c>
      <c r="BX466" s="856"/>
      <c r="BY466" s="856"/>
      <c r="BZ466" s="856"/>
      <c r="CA466" s="856"/>
      <c r="CB466" s="856"/>
      <c r="DB466" s="3">
        <v>1</v>
      </c>
    </row>
    <row r="467" spans="12:106" ht="21" customHeight="1">
      <c r="L467" s="104" t="s">
        <v>16</v>
      </c>
      <c r="M467" s="1172"/>
      <c r="N467" s="1172"/>
      <c r="O467" s="1172"/>
      <c r="P467" s="1173"/>
      <c r="Q467" s="1174"/>
      <c r="R467" s="1175"/>
      <c r="S467" s="1176"/>
      <c r="T467" s="1177"/>
      <c r="U467" s="5248"/>
      <c r="V467" s="1177"/>
      <c r="W467" s="5249"/>
      <c r="X467" s="5208"/>
      <c r="Y467" s="5209"/>
      <c r="Z467" s="5210"/>
      <c r="AA467" s="5211"/>
      <c r="AB467" s="1178"/>
      <c r="AC467" s="1179"/>
      <c r="AD467" s="227" t="s">
        <v>22</v>
      </c>
      <c r="AE467" s="1027" t="str">
        <f t="shared" si="165"/>
        <v>►</v>
      </c>
      <c r="AF467" s="1028" t="str">
        <f t="shared" si="166"/>
        <v/>
      </c>
      <c r="AG467" s="1029" t="str">
        <f t="shared" si="167"/>
        <v/>
      </c>
      <c r="AH467" s="1028" t="str">
        <f t="shared" si="168"/>
        <v/>
      </c>
      <c r="AI467" s="1029" t="str">
        <f t="shared" si="169"/>
        <v/>
      </c>
      <c r="AJ467" s="1029">
        <f t="shared" si="170"/>
        <v>0</v>
      </c>
      <c r="AK467" s="1043" t="str" cm="1">
        <f t="array" ref="AK467">IF(AE467&lt;&gt;"A","",IFERROR((IFERROR(_xlfn.XLOOKUP(TRIM(SUBSTITUTE(U467,CHAR(160)," ")),$BI$15:$BI$62,$BL$15:$BL$62),IFERROR(_xlfn.XLOOKUP(TRIM(SUBSTITUTE(U467,CHAR(160)," ")),$BJ$15:$BJ$62,$BL$15:$BL$62),_xlfn.XLOOKUP(TRIM(SUBSTITUTE(U467,CHAR(160)," ")),$BK$15:$BK$62,$BL$15:$BL$62))))*T467*IF(ISBLANK(Q467),1,Q467)+IFERROR(_xlfn.XLOOKUP("RECHERCHEX",TRIM(L467:AC467),L467:AC467),0),0))</f>
        <v/>
      </c>
      <c r="AL467" s="1030">
        <f t="shared" si="171"/>
        <v>0</v>
      </c>
      <c r="AM467" s="5254" t="str">
        <f t="shared" si="186"/>
        <v/>
      </c>
      <c r="AN467" s="1031">
        <f t="shared" si="172"/>
        <v>0</v>
      </c>
      <c r="AO467" s="1031">
        <f t="shared" si="173"/>
        <v>0</v>
      </c>
      <c r="AP467" s="1044">
        <f t="shared" si="174"/>
        <v>0</v>
      </c>
      <c r="AQ467" s="5257" t="str">
        <f t="shared" si="175"/>
        <v/>
      </c>
      <c r="AR467" s="1056"/>
      <c r="AS467" s="1056"/>
      <c r="AT467" s="1045">
        <f t="shared" si="176"/>
        <v>0</v>
      </c>
      <c r="AU467" s="1046">
        <f t="shared" si="177"/>
        <v>0</v>
      </c>
      <c r="AV467" s="1059" cm="1">
        <f t="array" ref="AV467">IF(AJ467&lt;&gt;1,0,IF(OR(AT467="",N(AT467)&lt;=0.000000001),"",IF(OR(AN467="",N(AN467)&lt;=0.000000001),0,IF(ISNUMBER(AT467),IFERROR(_xlfn.LET(_xlpm.ai_test,TRIM(AI467),_xlpm.r,IFERROR(_xlfn.XLOOKUP(_xlpm.ai_test,$BI$15:$BI$62,ROW($BI$15:$BI$62),0,1),IFERROR(_xlfn.XLOOKUP(_xlpm.ai_test,$BJ$15:$BJ$62,ROW($BJ$15:$BJ$62),0,1),_xlfn.XLOOKUP(_xlpm.ai_test,$BK$15:$BK$62,ROW($BK$15:$BK$62),0,1))),_xlpm.p,_xlpm.r-MIN(ROW($BI$15:$BI$62))+1,_xlpm.f,INDEX($BL$15:$BL$62,_xlpm.p),_xlpm.u,INDEX($BM$15:$BM$62,_xlpm.p),_xlpm.s,INDEX($BO$15:$BO$62,_xlpm.p),_xlpm.q,N(AT467)/_xlpm.f,IF(_xlpm.q&gt;=_xlpm.s,ROUND(_xlpm.q,1)&amp;" "&amp;_xlpm.ai_test&amp;" = "&amp;ROUND(_xlpm.q*_xlpm.f,1)&amp;" "&amp;_xlpm.u,ROUND(_xlpm.q,1)&amp;" "&amp;_xlpm.ai_test)),""),""))))</f>
        <v>0</v>
      </c>
      <c r="AW467" s="1047"/>
      <c r="AX467" s="1045">
        <f t="shared" si="178"/>
        <v>0</v>
      </c>
      <c r="AY467" s="1046" t="str">
        <f t="shared" si="179"/>
        <v/>
      </c>
      <c r="AZ467" s="1048">
        <f t="shared" si="184"/>
        <v>0</v>
      </c>
      <c r="BA467" s="1049" t="str">
        <f t="shared" si="180"/>
        <v/>
      </c>
      <c r="BB467" s="1038"/>
      <c r="BC467" s="1050">
        <f t="shared" si="185"/>
        <v>0</v>
      </c>
      <c r="BD467" s="1040" t="str">
        <f t="shared" si="181"/>
        <v/>
      </c>
      <c r="BE467" s="227" t="s">
        <v>22</v>
      </c>
      <c r="BF467" s="1019">
        <f t="shared" si="182"/>
        <v>0</v>
      </c>
      <c r="BG467" s="1020">
        <f t="shared" si="183"/>
        <v>0</v>
      </c>
      <c r="BH467"/>
      <c r="BI467" s="709"/>
      <c r="BJ467" s="709"/>
      <c r="BK467" s="709"/>
      <c r="BL467" s="709"/>
      <c r="BM467" s="709"/>
      <c r="BN467" s="709"/>
      <c r="BO467" s="709"/>
      <c r="BP467" s="709"/>
      <c r="BW467" s="959" t="str">
        <f t="shared" si="187"/>
        <v>►</v>
      </c>
      <c r="BX467" s="856"/>
      <c r="BY467" s="856"/>
      <c r="BZ467" s="856"/>
      <c r="CA467" s="856"/>
      <c r="CB467" s="856"/>
      <c r="DB467" s="3">
        <v>1</v>
      </c>
    </row>
    <row r="468" spans="12:106" ht="21" customHeight="1">
      <c r="L468" s="104" t="s">
        <v>16</v>
      </c>
      <c r="M468" s="1172"/>
      <c r="N468" s="1172"/>
      <c r="O468" s="1172"/>
      <c r="P468" s="1173"/>
      <c r="Q468" s="1174"/>
      <c r="R468" s="1175"/>
      <c r="S468" s="1176"/>
      <c r="T468" s="1177"/>
      <c r="U468" s="5248"/>
      <c r="V468" s="1177"/>
      <c r="W468" s="5249"/>
      <c r="X468" s="5208"/>
      <c r="Y468" s="5209"/>
      <c r="Z468" s="5210"/>
      <c r="AA468" s="5211"/>
      <c r="AB468" s="1178"/>
      <c r="AC468" s="1179"/>
      <c r="AD468" s="227" t="s">
        <v>22</v>
      </c>
      <c r="AE468" s="1027" t="str">
        <f t="shared" si="165"/>
        <v>►</v>
      </c>
      <c r="AF468" s="1028" t="str">
        <f t="shared" si="166"/>
        <v/>
      </c>
      <c r="AG468" s="1029" t="str">
        <f t="shared" si="167"/>
        <v/>
      </c>
      <c r="AH468" s="1028" t="str">
        <f t="shared" si="168"/>
        <v/>
      </c>
      <c r="AI468" s="1029" t="str">
        <f t="shared" si="169"/>
        <v/>
      </c>
      <c r="AJ468" s="1029">
        <f t="shared" si="170"/>
        <v>0</v>
      </c>
      <c r="AK468" s="1043" t="str" cm="1">
        <f t="array" ref="AK468">IF(AE468&lt;&gt;"A","",IFERROR((IFERROR(_xlfn.XLOOKUP(TRIM(SUBSTITUTE(U468,CHAR(160)," ")),$BI$15:$BI$62,$BL$15:$BL$62),IFERROR(_xlfn.XLOOKUP(TRIM(SUBSTITUTE(U468,CHAR(160)," ")),$BJ$15:$BJ$62,$BL$15:$BL$62),_xlfn.XLOOKUP(TRIM(SUBSTITUTE(U468,CHAR(160)," ")),$BK$15:$BK$62,$BL$15:$BL$62))))*T468*IF(ISBLANK(Q468),1,Q468)+IFERROR(_xlfn.XLOOKUP("RECHERCHEX",TRIM(L468:AC468),L468:AC468),0),0))</f>
        <v/>
      </c>
      <c r="AL468" s="1030">
        <f t="shared" si="171"/>
        <v>0</v>
      </c>
      <c r="AM468" s="5254" t="str">
        <f t="shared" si="186"/>
        <v/>
      </c>
      <c r="AN468" s="1031">
        <f t="shared" si="172"/>
        <v>0</v>
      </c>
      <c r="AO468" s="1031">
        <f t="shared" si="173"/>
        <v>0</v>
      </c>
      <c r="AP468" s="1032">
        <f t="shared" si="174"/>
        <v>0</v>
      </c>
      <c r="AQ468" s="5255" t="str">
        <f t="shared" si="175"/>
        <v/>
      </c>
      <c r="AR468" s="1056"/>
      <c r="AS468" s="1056"/>
      <c r="AT468" s="1034">
        <f t="shared" si="176"/>
        <v>0</v>
      </c>
      <c r="AU468" s="1035">
        <f t="shared" si="177"/>
        <v>0</v>
      </c>
      <c r="AV468" s="1057" cm="1">
        <f t="array" ref="AV468">IF(AJ468&lt;&gt;1,0,IF(OR(AT468="",N(AT468)&lt;=0.000000001),"",IF(OR(AN468="",N(AN468)&lt;=0.000000001),0,IF(ISNUMBER(AT468),IFERROR(_xlfn.LET(_xlpm.ai_test,TRIM(AI468),_xlpm.r,IFERROR(_xlfn.XLOOKUP(_xlpm.ai_test,$BI$15:$BI$62,ROW($BI$15:$BI$62),0,1),IFERROR(_xlfn.XLOOKUP(_xlpm.ai_test,$BJ$15:$BJ$62,ROW($BJ$15:$BJ$62),0,1),_xlfn.XLOOKUP(_xlpm.ai_test,$BK$15:$BK$62,ROW($BK$15:$BK$62),0,1))),_xlpm.p,_xlpm.r-MIN(ROW($BI$15:$BI$62))+1,_xlpm.f,INDEX($BL$15:$BL$62,_xlpm.p),_xlpm.u,INDEX($BM$15:$BM$62,_xlpm.p),_xlpm.s,INDEX($BO$15:$BO$62,_xlpm.p),_xlpm.q,N(AT468)/_xlpm.f,IF(_xlpm.q&gt;=_xlpm.s,ROUND(_xlpm.q,1)&amp;" "&amp;_xlpm.ai_test&amp;" = "&amp;ROUND(_xlpm.q*_xlpm.f,1)&amp;" "&amp;_xlpm.u,ROUND(_xlpm.q,1)&amp;" "&amp;_xlpm.ai_test)),""),""))))</f>
        <v>0</v>
      </c>
      <c r="AW468" s="1047"/>
      <c r="AX468" s="1034">
        <f t="shared" si="178"/>
        <v>0</v>
      </c>
      <c r="AY468" s="1035" t="str">
        <f t="shared" si="179"/>
        <v/>
      </c>
      <c r="AZ468" s="1036">
        <f t="shared" si="184"/>
        <v>0</v>
      </c>
      <c r="BA468" s="1037" t="str">
        <f t="shared" si="180"/>
        <v/>
      </c>
      <c r="BB468" s="1038"/>
      <c r="BC468" s="1039">
        <f t="shared" si="185"/>
        <v>0</v>
      </c>
      <c r="BD468" s="1040" t="str">
        <f t="shared" si="181"/>
        <v/>
      </c>
      <c r="BE468" s="227" t="s">
        <v>22</v>
      </c>
      <c r="BF468" s="1019">
        <f t="shared" si="182"/>
        <v>0</v>
      </c>
      <c r="BG468" s="1020">
        <f t="shared" si="183"/>
        <v>0</v>
      </c>
      <c r="BH468"/>
      <c r="BI468" s="709"/>
      <c r="BJ468" s="709"/>
      <c r="BK468" s="709"/>
      <c r="BL468" s="709"/>
      <c r="BM468" s="709"/>
      <c r="BN468" s="709"/>
      <c r="BO468" s="709"/>
      <c r="BP468" s="709"/>
      <c r="BW468" s="959" t="str">
        <f t="shared" si="187"/>
        <v>►</v>
      </c>
      <c r="BX468" s="856"/>
      <c r="BY468" s="856"/>
      <c r="BZ468" s="856"/>
      <c r="CA468" s="856"/>
      <c r="CB468" s="856"/>
      <c r="DB468" s="3">
        <v>1</v>
      </c>
    </row>
    <row r="469" spans="12:106" ht="21" customHeight="1">
      <c r="L469" s="104" t="s">
        <v>16</v>
      </c>
      <c r="M469" s="1172"/>
      <c r="N469" s="1172"/>
      <c r="O469" s="1172"/>
      <c r="P469" s="1173"/>
      <c r="Q469" s="1174"/>
      <c r="R469" s="1175"/>
      <c r="S469" s="1176"/>
      <c r="T469" s="1177"/>
      <c r="U469" s="5248"/>
      <c r="V469" s="1177"/>
      <c r="W469" s="5249"/>
      <c r="X469" s="5208"/>
      <c r="Y469" s="5209"/>
      <c r="Z469" s="5210"/>
      <c r="AA469" s="5211"/>
      <c r="AB469" s="1178"/>
      <c r="AC469" s="1179"/>
      <c r="AD469" s="227" t="s">
        <v>22</v>
      </c>
      <c r="AE469" s="1027" t="str">
        <f t="shared" si="165"/>
        <v>►</v>
      </c>
      <c r="AF469" s="1028" t="str">
        <f t="shared" si="166"/>
        <v/>
      </c>
      <c r="AG469" s="1029" t="str">
        <f t="shared" si="167"/>
        <v/>
      </c>
      <c r="AH469" s="1028" t="str">
        <f t="shared" si="168"/>
        <v/>
      </c>
      <c r="AI469" s="1029" t="str">
        <f t="shared" si="169"/>
        <v/>
      </c>
      <c r="AJ469" s="1029">
        <f t="shared" si="170"/>
        <v>0</v>
      </c>
      <c r="AK469" s="1043" t="str" cm="1">
        <f t="array" ref="AK469">IF(AE469&lt;&gt;"A","",IFERROR((IFERROR(_xlfn.XLOOKUP(TRIM(SUBSTITUTE(U469,CHAR(160)," ")),$BI$15:$BI$62,$BL$15:$BL$62),IFERROR(_xlfn.XLOOKUP(TRIM(SUBSTITUTE(U469,CHAR(160)," ")),$BJ$15:$BJ$62,$BL$15:$BL$62),_xlfn.XLOOKUP(TRIM(SUBSTITUTE(U469,CHAR(160)," ")),$BK$15:$BK$62,$BL$15:$BL$62))))*T469*IF(ISBLANK(Q469),1,Q469)+IFERROR(_xlfn.XLOOKUP("RECHERCHEX",TRIM(L469:AC469),L469:AC469),0),0))</f>
        <v/>
      </c>
      <c r="AL469" s="1030">
        <f t="shared" si="171"/>
        <v>0</v>
      </c>
      <c r="AM469" s="5254" t="str">
        <f t="shared" si="186"/>
        <v/>
      </c>
      <c r="AN469" s="1031">
        <f t="shared" si="172"/>
        <v>0</v>
      </c>
      <c r="AO469" s="1031">
        <f t="shared" si="173"/>
        <v>0</v>
      </c>
      <c r="AP469" s="1044">
        <f t="shared" si="174"/>
        <v>0</v>
      </c>
      <c r="AQ469" s="5257" t="str">
        <f t="shared" si="175"/>
        <v/>
      </c>
      <c r="AR469" s="1056"/>
      <c r="AS469" s="1056"/>
      <c r="AT469" s="1045">
        <f t="shared" si="176"/>
        <v>0</v>
      </c>
      <c r="AU469" s="1046">
        <f t="shared" si="177"/>
        <v>0</v>
      </c>
      <c r="AV469" s="1059" cm="1">
        <f t="array" ref="AV469">IF(AJ469&lt;&gt;1,0,IF(OR(AT469="",N(AT469)&lt;=0.000000001),"",IF(OR(AN469="",N(AN469)&lt;=0.000000001),0,IF(ISNUMBER(AT469),IFERROR(_xlfn.LET(_xlpm.ai_test,TRIM(AI469),_xlpm.r,IFERROR(_xlfn.XLOOKUP(_xlpm.ai_test,$BI$15:$BI$62,ROW($BI$15:$BI$62),0,1),IFERROR(_xlfn.XLOOKUP(_xlpm.ai_test,$BJ$15:$BJ$62,ROW($BJ$15:$BJ$62),0,1),_xlfn.XLOOKUP(_xlpm.ai_test,$BK$15:$BK$62,ROW($BK$15:$BK$62),0,1))),_xlpm.p,_xlpm.r-MIN(ROW($BI$15:$BI$62))+1,_xlpm.f,INDEX($BL$15:$BL$62,_xlpm.p),_xlpm.u,INDEX($BM$15:$BM$62,_xlpm.p),_xlpm.s,INDEX($BO$15:$BO$62,_xlpm.p),_xlpm.q,N(AT469)/_xlpm.f,IF(_xlpm.q&gt;=_xlpm.s,ROUND(_xlpm.q,1)&amp;" "&amp;_xlpm.ai_test&amp;" = "&amp;ROUND(_xlpm.q*_xlpm.f,1)&amp;" "&amp;_xlpm.u,ROUND(_xlpm.q,1)&amp;" "&amp;_xlpm.ai_test)),""),""))))</f>
        <v>0</v>
      </c>
      <c r="AW469" s="1047"/>
      <c r="AX469" s="1045">
        <f t="shared" si="178"/>
        <v>0</v>
      </c>
      <c r="AY469" s="1046" t="str">
        <f t="shared" si="179"/>
        <v/>
      </c>
      <c r="AZ469" s="1048">
        <f t="shared" si="184"/>
        <v>0</v>
      </c>
      <c r="BA469" s="1049" t="str">
        <f t="shared" si="180"/>
        <v/>
      </c>
      <c r="BB469" s="1038"/>
      <c r="BC469" s="1050">
        <f t="shared" si="185"/>
        <v>0</v>
      </c>
      <c r="BD469" s="1040" t="str">
        <f t="shared" si="181"/>
        <v/>
      </c>
      <c r="BE469" s="227" t="s">
        <v>22</v>
      </c>
      <c r="BF469" s="1019">
        <f t="shared" si="182"/>
        <v>0</v>
      </c>
      <c r="BG469" s="1020">
        <f t="shared" si="183"/>
        <v>0</v>
      </c>
      <c r="BH469"/>
      <c r="BI469" s="709"/>
      <c r="BJ469" s="709"/>
      <c r="BK469" s="709"/>
      <c r="BL469" s="709"/>
      <c r="BM469" s="709"/>
      <c r="BN469" s="709"/>
      <c r="BO469" s="709"/>
      <c r="BP469" s="709"/>
      <c r="BW469" s="959" t="str">
        <f t="shared" si="187"/>
        <v>►</v>
      </c>
      <c r="BX469" s="856"/>
      <c r="BY469" s="856"/>
      <c r="BZ469" s="856"/>
      <c r="CA469" s="856"/>
      <c r="CB469" s="856"/>
      <c r="DB469" s="3">
        <v>1</v>
      </c>
    </row>
    <row r="470" spans="12:106" ht="21" customHeight="1">
      <c r="L470" s="104" t="s">
        <v>16</v>
      </c>
      <c r="M470" s="1172"/>
      <c r="N470" s="1172"/>
      <c r="O470" s="1172"/>
      <c r="P470" s="1173"/>
      <c r="Q470" s="1174"/>
      <c r="R470" s="1175"/>
      <c r="S470" s="1176"/>
      <c r="T470" s="1177"/>
      <c r="U470" s="5248"/>
      <c r="V470" s="1177"/>
      <c r="W470" s="5249"/>
      <c r="X470" s="5208"/>
      <c r="Y470" s="5209"/>
      <c r="Z470" s="5210"/>
      <c r="AA470" s="5211"/>
      <c r="AB470" s="1178"/>
      <c r="AC470" s="1179"/>
      <c r="AD470" s="227" t="s">
        <v>22</v>
      </c>
      <c r="AE470" s="1027" t="str">
        <f t="shared" ref="AE470:AE533" si="188">IF(OR(AN470&gt;0,TRIM(AF470)="▼ recette suivante"),"A","►")</f>
        <v>►</v>
      </c>
      <c r="AF470" s="1028" t="str">
        <f t="shared" ref="AF470:AF533" si="189">IF(TRIM(Q470)="Adresse PC","▼ recette suivante",IF(AN470&gt;0,M470,""))</f>
        <v/>
      </c>
      <c r="AG470" s="1029" t="str">
        <f t="shared" ref="AG470:AG533" si="190">IF(AE470="A",N470,"")</f>
        <v/>
      </c>
      <c r="AH470" s="1028" t="str">
        <f t="shared" ref="AH470:AH533" si="191">IF(AE470="A",O470,"")</f>
        <v/>
      </c>
      <c r="AI470" s="1029" t="str">
        <f t="shared" ref="AI470:AI533" si="192">IF(AE470="A",U470,"")</f>
        <v/>
      </c>
      <c r="AJ470" s="1029">
        <f t="shared" ref="AJ470:AJ533" si="193">IF(AND(L470="A",COUNTIF($BI$15:$BK$62,TRIM(U470))&gt;0),1,0)</f>
        <v>0</v>
      </c>
      <c r="AK470" s="1043" t="str" cm="1">
        <f t="array" ref="AK470">IF(AE470&lt;&gt;"A","",IFERROR((IFERROR(_xlfn.XLOOKUP(TRIM(SUBSTITUTE(U470,CHAR(160)," ")),$BI$15:$BI$62,$BL$15:$BL$62),IFERROR(_xlfn.XLOOKUP(TRIM(SUBSTITUTE(U470,CHAR(160)," ")),$BJ$15:$BJ$62,$BL$15:$BL$62),_xlfn.XLOOKUP(TRIM(SUBSTITUTE(U470,CHAR(160)," ")),$BK$15:$BK$62,$BL$15:$BL$62))))*T470*IF(ISBLANK(Q470),1,Q470)+IFERROR(_xlfn.XLOOKUP("RECHERCHEX",TRIM(L470:AC470),L470:AC470),0),0))</f>
        <v/>
      </c>
      <c r="AL470" s="1030">
        <f t="shared" ref="AL470:AL533" si="194">IF(AJ470,IF(AK470&gt;0,"Kg",0),0)</f>
        <v>0</v>
      </c>
      <c r="AM470" s="5254" t="str">
        <f t="shared" si="186"/>
        <v/>
      </c>
      <c r="AN470" s="1031">
        <f t="shared" ref="AN470:AN533" si="195">IF(AJ470,N470,0)</f>
        <v>0</v>
      </c>
      <c r="AO470" s="1031">
        <f t="shared" ref="AO470:AO533" si="196">IF(AJ470,O470,0)</f>
        <v>0</v>
      </c>
      <c r="AP470" s="1032">
        <f t="shared" ref="AP470:AP533" si="197">IF(AN470&gt;0,AR$9,0)</f>
        <v>0</v>
      </c>
      <c r="AQ470" s="5255" t="str">
        <f t="shared" ref="AQ470:AQ533" si="198">IF(TRIM(AF470)="▼ recette suivante", AF470, IF(AP470&gt;0, IF(AS$9&lt;&gt;"", AS$9&amp;"-ou.or.o ❾ + or - &gt;", ""), ""))</f>
        <v/>
      </c>
      <c r="AR470" s="1056"/>
      <c r="AS470" s="1056"/>
      <c r="AT470" s="1034">
        <f t="shared" ref="AT470:AT533" si="199">IF(TRIM(AL470)="Kg",N(AK470)*N(BG470),0)</f>
        <v>0</v>
      </c>
      <c r="AU470" s="1035">
        <f t="shared" ref="AU470:AU533" si="200">IF(AJ470,IF(OR(AT470="",N(AT470)&lt;=0.000000001),"",_xlfn.XLOOKUP(AI470,$BI$15:$BI$62,$BM$15:$BM$62,_xlfn.XLOOKUP(AI470,$BJ$15:$BJ$62,$BM$15:$BM$62,_xlfn.XLOOKUP(AI470,$BK$15:$BK$62,$BM$15:$BM$62,"")))),0)</f>
        <v>0</v>
      </c>
      <c r="AV470" s="1057" cm="1">
        <f t="array" ref="AV470">IF(AJ470&lt;&gt;1,0,IF(OR(AT470="",N(AT470)&lt;=0.000000001),"",IF(OR(AN470="",N(AN470)&lt;=0.000000001),0,IF(ISNUMBER(AT470),IFERROR(_xlfn.LET(_xlpm.ai_test,TRIM(AI470),_xlpm.r,IFERROR(_xlfn.XLOOKUP(_xlpm.ai_test,$BI$15:$BI$62,ROW($BI$15:$BI$62),0,1),IFERROR(_xlfn.XLOOKUP(_xlpm.ai_test,$BJ$15:$BJ$62,ROW($BJ$15:$BJ$62),0,1),_xlfn.XLOOKUP(_xlpm.ai_test,$BK$15:$BK$62,ROW($BK$15:$BK$62),0,1))),_xlpm.p,_xlpm.r-MIN(ROW($BI$15:$BI$62))+1,_xlpm.f,INDEX($BL$15:$BL$62,_xlpm.p),_xlpm.u,INDEX($BM$15:$BM$62,_xlpm.p),_xlpm.s,INDEX($BO$15:$BO$62,_xlpm.p),_xlpm.q,N(AT470)/_xlpm.f,IF(_xlpm.q&gt;=_xlpm.s,ROUND(_xlpm.q,1)&amp;" "&amp;_xlpm.ai_test&amp;" = "&amp;ROUND(_xlpm.q*_xlpm.f,1)&amp;" "&amp;_xlpm.u,ROUND(_xlpm.q,1)&amp;" "&amp;_xlpm.ai_test)),""),""))))</f>
        <v>0</v>
      </c>
      <c r="AW470" s="1047"/>
      <c r="AX470" s="1034">
        <f t="shared" ref="AX470:AX533" si="201">IF(TRIM(AF470)="▼ recette suivante","▼next recipe ",IF(AT470="","",IF(ISBLANK(AW470),AT470,ROUND(AT470*(1-MIN(1,MAX(0,IF(AW470&gt;1,AW470/100,AW470)))),3))))</f>
        <v>0</v>
      </c>
      <c r="AY470" s="1035" t="str">
        <f t="shared" ref="AY470:AY533" si="202">IF(AJ470,AU470,"")</f>
        <v/>
      </c>
      <c r="AZ470" s="1036">
        <f t="shared" si="184"/>
        <v>0</v>
      </c>
      <c r="BA470" s="1037" t="str">
        <f t="shared" ref="BA470:BA533" si="203">IF(AJ470,IF(N(AZ470)&gt;0.000000001,R470,""),"")</f>
        <v/>
      </c>
      <c r="BB470" s="1038"/>
      <c r="BC470" s="1039">
        <f t="shared" si="185"/>
        <v>0</v>
      </c>
      <c r="BD470" s="1040" t="str">
        <f t="shared" ref="BD470:BD533" si="204">IF(IFERROR(SEARCH("Adresse PC",TRIM(Q470)),0)&gt;0,"▼ receta siguiente",IF(AX470&gt;0,W470,""))</f>
        <v/>
      </c>
      <c r="BE470" s="227" t="s">
        <v>22</v>
      </c>
      <c r="BF470" s="1019">
        <f t="shared" ref="BF470:BF533" si="205">IFERROR(_xlfn.LET(_xlpm.EPS,0.000000001,_xlpm.b,Q470/AN470,IF(ISNUMBER(AR470),_xlpm.b*AR470,IF(OR(ISBLANK(AR470),AR470=""),_xlpm.b*AP470,IF(AND(BG470=0,ISNUMBER(Q470)),_xlpm.b/AP470,0)))),0)</f>
        <v>0</v>
      </c>
      <c r="BG470" s="1020">
        <f t="shared" ref="BG470:BG533" si="206">IF(AK470&gt;0,IFERROR(IF(OR(ISBLANK(AR470),AR470=""),AP470,AR470)/AN470,0),0)</f>
        <v>0</v>
      </c>
      <c r="BH470"/>
      <c r="BI470" s="709"/>
      <c r="BJ470" s="709"/>
      <c r="BK470" s="709"/>
      <c r="BL470" s="709"/>
      <c r="BM470" s="709"/>
      <c r="BN470" s="709"/>
      <c r="BO470" s="709"/>
      <c r="BP470" s="709"/>
      <c r="BW470" s="959" t="str">
        <f t="shared" si="187"/>
        <v>►</v>
      </c>
      <c r="BX470" s="856"/>
      <c r="BY470" s="856"/>
      <c r="BZ470" s="856"/>
      <c r="CA470" s="856"/>
      <c r="CB470" s="856"/>
      <c r="DB470" s="3">
        <v>1</v>
      </c>
    </row>
    <row r="471" spans="12:106" ht="21" customHeight="1">
      <c r="L471" s="104" t="s">
        <v>16</v>
      </c>
      <c r="M471" s="1172"/>
      <c r="N471" s="1172"/>
      <c r="O471" s="1172"/>
      <c r="P471" s="1173"/>
      <c r="Q471" s="1174"/>
      <c r="R471" s="1175"/>
      <c r="S471" s="1176"/>
      <c r="T471" s="1177"/>
      <c r="U471" s="5248"/>
      <c r="V471" s="1177"/>
      <c r="W471" s="5249"/>
      <c r="X471" s="5208"/>
      <c r="Y471" s="5209"/>
      <c r="Z471" s="5210"/>
      <c r="AA471" s="5211"/>
      <c r="AB471" s="1178"/>
      <c r="AC471" s="1179"/>
      <c r="AD471" s="227" t="s">
        <v>22</v>
      </c>
      <c r="AE471" s="1027" t="str">
        <f t="shared" si="188"/>
        <v>►</v>
      </c>
      <c r="AF471" s="1028" t="str">
        <f t="shared" si="189"/>
        <v/>
      </c>
      <c r="AG471" s="1029" t="str">
        <f t="shared" si="190"/>
        <v/>
      </c>
      <c r="AH471" s="1028" t="str">
        <f t="shared" si="191"/>
        <v/>
      </c>
      <c r="AI471" s="1029" t="str">
        <f t="shared" si="192"/>
        <v/>
      </c>
      <c r="AJ471" s="1029">
        <f t="shared" si="193"/>
        <v>0</v>
      </c>
      <c r="AK471" s="1043" t="str" cm="1">
        <f t="array" ref="AK471">IF(AE471&lt;&gt;"A","",IFERROR((IFERROR(_xlfn.XLOOKUP(TRIM(SUBSTITUTE(U471,CHAR(160)," ")),$BI$15:$BI$62,$BL$15:$BL$62),IFERROR(_xlfn.XLOOKUP(TRIM(SUBSTITUTE(U471,CHAR(160)," ")),$BJ$15:$BJ$62,$BL$15:$BL$62),_xlfn.XLOOKUP(TRIM(SUBSTITUTE(U471,CHAR(160)," ")),$BK$15:$BK$62,$BL$15:$BL$62))))*T471*IF(ISBLANK(Q471),1,Q471)+IFERROR(_xlfn.XLOOKUP("RECHERCHEX",TRIM(L471:AC471),L471:AC471),0),0))</f>
        <v/>
      </c>
      <c r="AL471" s="1030">
        <f t="shared" si="194"/>
        <v>0</v>
      </c>
      <c r="AM471" s="5254" t="str">
        <f t="shared" si="186"/>
        <v/>
      </c>
      <c r="AN471" s="1031">
        <f t="shared" si="195"/>
        <v>0</v>
      </c>
      <c r="AO471" s="1031">
        <f t="shared" si="196"/>
        <v>0</v>
      </c>
      <c r="AP471" s="1044">
        <f t="shared" si="197"/>
        <v>0</v>
      </c>
      <c r="AQ471" s="5257" t="str">
        <f t="shared" si="198"/>
        <v/>
      </c>
      <c r="AR471" s="1056"/>
      <c r="AS471" s="1056"/>
      <c r="AT471" s="1045">
        <f t="shared" si="199"/>
        <v>0</v>
      </c>
      <c r="AU471" s="1046">
        <f t="shared" si="200"/>
        <v>0</v>
      </c>
      <c r="AV471" s="1059" cm="1">
        <f t="array" ref="AV471">IF(AJ471&lt;&gt;1,0,IF(OR(AT471="",N(AT471)&lt;=0.000000001),"",IF(OR(AN471="",N(AN471)&lt;=0.000000001),0,IF(ISNUMBER(AT471),IFERROR(_xlfn.LET(_xlpm.ai_test,TRIM(AI471),_xlpm.r,IFERROR(_xlfn.XLOOKUP(_xlpm.ai_test,$BI$15:$BI$62,ROW($BI$15:$BI$62),0,1),IFERROR(_xlfn.XLOOKUP(_xlpm.ai_test,$BJ$15:$BJ$62,ROW($BJ$15:$BJ$62),0,1),_xlfn.XLOOKUP(_xlpm.ai_test,$BK$15:$BK$62,ROW($BK$15:$BK$62),0,1))),_xlpm.p,_xlpm.r-MIN(ROW($BI$15:$BI$62))+1,_xlpm.f,INDEX($BL$15:$BL$62,_xlpm.p),_xlpm.u,INDEX($BM$15:$BM$62,_xlpm.p),_xlpm.s,INDEX($BO$15:$BO$62,_xlpm.p),_xlpm.q,N(AT471)/_xlpm.f,IF(_xlpm.q&gt;=_xlpm.s,ROUND(_xlpm.q,1)&amp;" "&amp;_xlpm.ai_test&amp;" = "&amp;ROUND(_xlpm.q*_xlpm.f,1)&amp;" "&amp;_xlpm.u,ROUND(_xlpm.q,1)&amp;" "&amp;_xlpm.ai_test)),""),""))))</f>
        <v>0</v>
      </c>
      <c r="AW471" s="1047"/>
      <c r="AX471" s="1045">
        <f t="shared" si="201"/>
        <v>0</v>
      </c>
      <c r="AY471" s="1046" t="str">
        <f t="shared" si="202"/>
        <v/>
      </c>
      <c r="AZ471" s="1048">
        <f t="shared" ref="AZ471:AZ534" si="207">IF(ISNUMBER(BF471),IF(ABS(BF471)&lt;=0.000000001,0,BF471),0)</f>
        <v>0</v>
      </c>
      <c r="BA471" s="1049" t="str">
        <f t="shared" si="203"/>
        <v/>
      </c>
      <c r="BB471" s="1038"/>
      <c r="BC471" s="1050">
        <f t="shared" si="185"/>
        <v>0</v>
      </c>
      <c r="BD471" s="1040" t="str">
        <f t="shared" si="204"/>
        <v/>
      </c>
      <c r="BE471" s="227" t="s">
        <v>22</v>
      </c>
      <c r="BF471" s="1019">
        <f t="shared" si="205"/>
        <v>0</v>
      </c>
      <c r="BG471" s="1020">
        <f t="shared" si="206"/>
        <v>0</v>
      </c>
      <c r="BH471"/>
      <c r="BI471" s="709"/>
      <c r="BJ471" s="709"/>
      <c r="BK471" s="709"/>
      <c r="BL471" s="709"/>
      <c r="BM471" s="709"/>
      <c r="BN471" s="709"/>
      <c r="BO471" s="709"/>
      <c r="BP471" s="709"/>
      <c r="BW471" s="959" t="str">
        <f t="shared" si="187"/>
        <v>►</v>
      </c>
      <c r="BX471" s="856"/>
      <c r="BY471" s="856"/>
      <c r="BZ471" s="856"/>
      <c r="CA471" s="856"/>
      <c r="CB471" s="856"/>
      <c r="DB471" s="3">
        <v>1</v>
      </c>
    </row>
    <row r="472" spans="12:106" ht="21" customHeight="1">
      <c r="L472" s="104" t="s">
        <v>16</v>
      </c>
      <c r="M472" s="1172"/>
      <c r="N472" s="1172"/>
      <c r="O472" s="1172"/>
      <c r="P472" s="1173"/>
      <c r="Q472" s="1174"/>
      <c r="R472" s="1175"/>
      <c r="S472" s="1176"/>
      <c r="T472" s="1177"/>
      <c r="U472" s="5248"/>
      <c r="V472" s="1177"/>
      <c r="W472" s="5249"/>
      <c r="X472" s="5208"/>
      <c r="Y472" s="5209"/>
      <c r="Z472" s="5210"/>
      <c r="AA472" s="5211"/>
      <c r="AB472" s="1178"/>
      <c r="AC472" s="1179"/>
      <c r="AD472" s="227" t="s">
        <v>22</v>
      </c>
      <c r="AE472" s="1027" t="str">
        <f t="shared" si="188"/>
        <v>►</v>
      </c>
      <c r="AF472" s="1028" t="str">
        <f t="shared" si="189"/>
        <v/>
      </c>
      <c r="AG472" s="1029" t="str">
        <f t="shared" si="190"/>
        <v/>
      </c>
      <c r="AH472" s="1028" t="str">
        <f t="shared" si="191"/>
        <v/>
      </c>
      <c r="AI472" s="1029" t="str">
        <f t="shared" si="192"/>
        <v/>
      </c>
      <c r="AJ472" s="1029">
        <f t="shared" si="193"/>
        <v>0</v>
      </c>
      <c r="AK472" s="1043" t="str" cm="1">
        <f t="array" ref="AK472">IF(AE472&lt;&gt;"A","",IFERROR((IFERROR(_xlfn.XLOOKUP(TRIM(SUBSTITUTE(U472,CHAR(160)," ")),$BI$15:$BI$62,$BL$15:$BL$62),IFERROR(_xlfn.XLOOKUP(TRIM(SUBSTITUTE(U472,CHAR(160)," ")),$BJ$15:$BJ$62,$BL$15:$BL$62),_xlfn.XLOOKUP(TRIM(SUBSTITUTE(U472,CHAR(160)," ")),$BK$15:$BK$62,$BL$15:$BL$62))))*T472*IF(ISBLANK(Q472),1,Q472)+IFERROR(_xlfn.XLOOKUP("RECHERCHEX",TRIM(L472:AC472),L472:AC472),0),0))</f>
        <v/>
      </c>
      <c r="AL472" s="1030">
        <f t="shared" si="194"/>
        <v>0</v>
      </c>
      <c r="AM472" s="5254" t="str">
        <f t="shared" si="186"/>
        <v/>
      </c>
      <c r="AN472" s="1031">
        <f t="shared" si="195"/>
        <v>0</v>
      </c>
      <c r="AO472" s="1031">
        <f t="shared" si="196"/>
        <v>0</v>
      </c>
      <c r="AP472" s="1032">
        <f t="shared" si="197"/>
        <v>0</v>
      </c>
      <c r="AQ472" s="5255" t="str">
        <f t="shared" si="198"/>
        <v/>
      </c>
      <c r="AR472" s="1056"/>
      <c r="AS472" s="1056"/>
      <c r="AT472" s="1034">
        <f t="shared" si="199"/>
        <v>0</v>
      </c>
      <c r="AU472" s="1035">
        <f t="shared" si="200"/>
        <v>0</v>
      </c>
      <c r="AV472" s="1057" cm="1">
        <f t="array" ref="AV472">IF(AJ472&lt;&gt;1,0,IF(OR(AT472="",N(AT472)&lt;=0.000000001),"",IF(OR(AN472="",N(AN472)&lt;=0.000000001),0,IF(ISNUMBER(AT472),IFERROR(_xlfn.LET(_xlpm.ai_test,TRIM(AI472),_xlpm.r,IFERROR(_xlfn.XLOOKUP(_xlpm.ai_test,$BI$15:$BI$62,ROW($BI$15:$BI$62),0,1),IFERROR(_xlfn.XLOOKUP(_xlpm.ai_test,$BJ$15:$BJ$62,ROW($BJ$15:$BJ$62),0,1),_xlfn.XLOOKUP(_xlpm.ai_test,$BK$15:$BK$62,ROW($BK$15:$BK$62),0,1))),_xlpm.p,_xlpm.r-MIN(ROW($BI$15:$BI$62))+1,_xlpm.f,INDEX($BL$15:$BL$62,_xlpm.p),_xlpm.u,INDEX($BM$15:$BM$62,_xlpm.p),_xlpm.s,INDEX($BO$15:$BO$62,_xlpm.p),_xlpm.q,N(AT472)/_xlpm.f,IF(_xlpm.q&gt;=_xlpm.s,ROUND(_xlpm.q,1)&amp;" "&amp;_xlpm.ai_test&amp;" = "&amp;ROUND(_xlpm.q*_xlpm.f,1)&amp;" "&amp;_xlpm.u,ROUND(_xlpm.q,1)&amp;" "&amp;_xlpm.ai_test)),""),""))))</f>
        <v>0</v>
      </c>
      <c r="AW472" s="1047"/>
      <c r="AX472" s="1034">
        <f t="shared" si="201"/>
        <v>0</v>
      </c>
      <c r="AY472" s="1035" t="str">
        <f t="shared" si="202"/>
        <v/>
      </c>
      <c r="AZ472" s="1036">
        <f t="shared" si="207"/>
        <v>0</v>
      </c>
      <c r="BA472" s="1037" t="str">
        <f t="shared" si="203"/>
        <v/>
      </c>
      <c r="BB472" s="1038"/>
      <c r="BC472" s="1039">
        <f t="shared" si="185"/>
        <v>0</v>
      </c>
      <c r="BD472" s="1040" t="str">
        <f t="shared" si="204"/>
        <v/>
      </c>
      <c r="BE472" s="227" t="s">
        <v>22</v>
      </c>
      <c r="BF472" s="1019">
        <f t="shared" si="205"/>
        <v>0</v>
      </c>
      <c r="BG472" s="1020">
        <f t="shared" si="206"/>
        <v>0</v>
      </c>
      <c r="BH472"/>
      <c r="BI472" s="709"/>
      <c r="BJ472" s="709"/>
      <c r="BK472" s="709"/>
      <c r="BL472" s="709"/>
      <c r="BM472" s="709"/>
      <c r="BN472" s="709"/>
      <c r="BO472" s="709"/>
      <c r="BP472" s="709"/>
      <c r="BW472" s="959" t="str">
        <f t="shared" si="187"/>
        <v>►</v>
      </c>
      <c r="BX472" s="856"/>
      <c r="BY472" s="856"/>
      <c r="BZ472" s="856"/>
      <c r="CA472" s="856"/>
      <c r="CB472" s="856"/>
      <c r="DB472" s="3">
        <v>1</v>
      </c>
    </row>
    <row r="473" spans="12:106" ht="21" customHeight="1">
      <c r="L473" s="104" t="s">
        <v>16</v>
      </c>
      <c r="M473" s="1172"/>
      <c r="N473" s="1172"/>
      <c r="O473" s="1172"/>
      <c r="P473" s="1173"/>
      <c r="Q473" s="1174"/>
      <c r="R473" s="1175"/>
      <c r="S473" s="1176"/>
      <c r="T473" s="1177"/>
      <c r="U473" s="5248"/>
      <c r="V473" s="1177"/>
      <c r="W473" s="5249"/>
      <c r="X473" s="5208"/>
      <c r="Y473" s="5209"/>
      <c r="Z473" s="5210"/>
      <c r="AA473" s="5211"/>
      <c r="AB473" s="1178"/>
      <c r="AC473" s="1179"/>
      <c r="AD473" s="227" t="s">
        <v>22</v>
      </c>
      <c r="AE473" s="1027" t="str">
        <f t="shared" si="188"/>
        <v>►</v>
      </c>
      <c r="AF473" s="1028" t="str">
        <f t="shared" si="189"/>
        <v/>
      </c>
      <c r="AG473" s="1029" t="str">
        <f t="shared" si="190"/>
        <v/>
      </c>
      <c r="AH473" s="1028" t="str">
        <f t="shared" si="191"/>
        <v/>
      </c>
      <c r="AI473" s="1029" t="str">
        <f t="shared" si="192"/>
        <v/>
      </c>
      <c r="AJ473" s="1029">
        <f t="shared" si="193"/>
        <v>0</v>
      </c>
      <c r="AK473" s="1043" t="str" cm="1">
        <f t="array" ref="AK473">IF(AE473&lt;&gt;"A","",IFERROR((IFERROR(_xlfn.XLOOKUP(TRIM(SUBSTITUTE(U473,CHAR(160)," ")),$BI$15:$BI$62,$BL$15:$BL$62),IFERROR(_xlfn.XLOOKUP(TRIM(SUBSTITUTE(U473,CHAR(160)," ")),$BJ$15:$BJ$62,$BL$15:$BL$62),_xlfn.XLOOKUP(TRIM(SUBSTITUTE(U473,CHAR(160)," ")),$BK$15:$BK$62,$BL$15:$BL$62))))*T473*IF(ISBLANK(Q473),1,Q473)+IFERROR(_xlfn.XLOOKUP("RECHERCHEX",TRIM(L473:AC473),L473:AC473),0),0))</f>
        <v/>
      </c>
      <c r="AL473" s="1030">
        <f t="shared" si="194"/>
        <v>0</v>
      </c>
      <c r="AM473" s="5254" t="str">
        <f t="shared" si="186"/>
        <v/>
      </c>
      <c r="AN473" s="1031">
        <f t="shared" si="195"/>
        <v>0</v>
      </c>
      <c r="AO473" s="1031">
        <f t="shared" si="196"/>
        <v>0</v>
      </c>
      <c r="AP473" s="1044">
        <f t="shared" si="197"/>
        <v>0</v>
      </c>
      <c r="AQ473" s="5257" t="str">
        <f t="shared" si="198"/>
        <v/>
      </c>
      <c r="AR473" s="1056"/>
      <c r="AS473" s="1056"/>
      <c r="AT473" s="1045">
        <f t="shared" si="199"/>
        <v>0</v>
      </c>
      <c r="AU473" s="1046">
        <f t="shared" si="200"/>
        <v>0</v>
      </c>
      <c r="AV473" s="1059" cm="1">
        <f t="array" ref="AV473">IF(AJ473&lt;&gt;1,0,IF(OR(AT473="",N(AT473)&lt;=0.000000001),"",IF(OR(AN473="",N(AN473)&lt;=0.000000001),0,IF(ISNUMBER(AT473),IFERROR(_xlfn.LET(_xlpm.ai_test,TRIM(AI473),_xlpm.r,IFERROR(_xlfn.XLOOKUP(_xlpm.ai_test,$BI$15:$BI$62,ROW($BI$15:$BI$62),0,1),IFERROR(_xlfn.XLOOKUP(_xlpm.ai_test,$BJ$15:$BJ$62,ROW($BJ$15:$BJ$62),0,1),_xlfn.XLOOKUP(_xlpm.ai_test,$BK$15:$BK$62,ROW($BK$15:$BK$62),0,1))),_xlpm.p,_xlpm.r-MIN(ROW($BI$15:$BI$62))+1,_xlpm.f,INDEX($BL$15:$BL$62,_xlpm.p),_xlpm.u,INDEX($BM$15:$BM$62,_xlpm.p),_xlpm.s,INDEX($BO$15:$BO$62,_xlpm.p),_xlpm.q,N(AT473)/_xlpm.f,IF(_xlpm.q&gt;=_xlpm.s,ROUND(_xlpm.q,1)&amp;" "&amp;_xlpm.ai_test&amp;" = "&amp;ROUND(_xlpm.q*_xlpm.f,1)&amp;" "&amp;_xlpm.u,ROUND(_xlpm.q,1)&amp;" "&amp;_xlpm.ai_test)),""),""))))</f>
        <v>0</v>
      </c>
      <c r="AW473" s="1047"/>
      <c r="AX473" s="1045">
        <f t="shared" si="201"/>
        <v>0</v>
      </c>
      <c r="AY473" s="1046" t="str">
        <f t="shared" si="202"/>
        <v/>
      </c>
      <c r="AZ473" s="1048">
        <f t="shared" si="207"/>
        <v>0</v>
      </c>
      <c r="BA473" s="1049" t="str">
        <f t="shared" si="203"/>
        <v/>
      </c>
      <c r="BB473" s="1038"/>
      <c r="BC473" s="1050">
        <f t="shared" si="185"/>
        <v>0</v>
      </c>
      <c r="BD473" s="1040" t="str">
        <f t="shared" si="204"/>
        <v/>
      </c>
      <c r="BE473" s="227" t="s">
        <v>22</v>
      </c>
      <c r="BF473" s="1019">
        <f t="shared" si="205"/>
        <v>0</v>
      </c>
      <c r="BG473" s="1020">
        <f t="shared" si="206"/>
        <v>0</v>
      </c>
      <c r="BH473"/>
      <c r="BI473" s="709"/>
      <c r="BJ473" s="709"/>
      <c r="BK473" s="709"/>
      <c r="BL473" s="709"/>
      <c r="BM473" s="709"/>
      <c r="BN473" s="709"/>
      <c r="BO473" s="709"/>
      <c r="BP473" s="709"/>
      <c r="BW473" s="959" t="str">
        <f t="shared" si="187"/>
        <v>►</v>
      </c>
      <c r="BX473" s="856"/>
      <c r="BY473" s="856"/>
      <c r="BZ473" s="856"/>
      <c r="CA473" s="856"/>
      <c r="CB473" s="856"/>
      <c r="DB473" s="3">
        <v>1</v>
      </c>
    </row>
    <row r="474" spans="12:106" ht="21" customHeight="1">
      <c r="L474" s="104" t="s">
        <v>16</v>
      </c>
      <c r="M474" s="1172"/>
      <c r="N474" s="1172"/>
      <c r="O474" s="1172"/>
      <c r="P474" s="1173"/>
      <c r="Q474" s="1174"/>
      <c r="R474" s="1175"/>
      <c r="S474" s="1176"/>
      <c r="T474" s="1177"/>
      <c r="U474" s="5248"/>
      <c r="V474" s="1177"/>
      <c r="W474" s="5249"/>
      <c r="X474" s="5208"/>
      <c r="Y474" s="5209"/>
      <c r="Z474" s="5210"/>
      <c r="AA474" s="5211"/>
      <c r="AB474" s="1178"/>
      <c r="AC474" s="1179"/>
      <c r="AD474" s="227" t="s">
        <v>22</v>
      </c>
      <c r="AE474" s="1027" t="str">
        <f t="shared" si="188"/>
        <v>►</v>
      </c>
      <c r="AF474" s="1028" t="str">
        <f t="shared" si="189"/>
        <v/>
      </c>
      <c r="AG474" s="1029" t="str">
        <f t="shared" si="190"/>
        <v/>
      </c>
      <c r="AH474" s="1028" t="str">
        <f t="shared" si="191"/>
        <v/>
      </c>
      <c r="AI474" s="1029" t="str">
        <f t="shared" si="192"/>
        <v/>
      </c>
      <c r="AJ474" s="1029">
        <f t="shared" si="193"/>
        <v>0</v>
      </c>
      <c r="AK474" s="1043" t="str" cm="1">
        <f t="array" ref="AK474">IF(AE474&lt;&gt;"A","",IFERROR((IFERROR(_xlfn.XLOOKUP(TRIM(SUBSTITUTE(U474,CHAR(160)," ")),$BI$15:$BI$62,$BL$15:$BL$62),IFERROR(_xlfn.XLOOKUP(TRIM(SUBSTITUTE(U474,CHAR(160)," ")),$BJ$15:$BJ$62,$BL$15:$BL$62),_xlfn.XLOOKUP(TRIM(SUBSTITUTE(U474,CHAR(160)," ")),$BK$15:$BK$62,$BL$15:$BL$62))))*T474*IF(ISBLANK(Q474),1,Q474)+IFERROR(_xlfn.XLOOKUP("RECHERCHEX",TRIM(L474:AC474),L474:AC474),0),0))</f>
        <v/>
      </c>
      <c r="AL474" s="1030">
        <f t="shared" si="194"/>
        <v>0</v>
      </c>
      <c r="AM474" s="5254" t="str">
        <f t="shared" si="186"/>
        <v/>
      </c>
      <c r="AN474" s="1031">
        <f t="shared" si="195"/>
        <v>0</v>
      </c>
      <c r="AO474" s="1031">
        <f t="shared" si="196"/>
        <v>0</v>
      </c>
      <c r="AP474" s="1032">
        <f t="shared" si="197"/>
        <v>0</v>
      </c>
      <c r="AQ474" s="5255" t="str">
        <f t="shared" si="198"/>
        <v/>
      </c>
      <c r="AR474" s="1056"/>
      <c r="AS474" s="1056"/>
      <c r="AT474" s="1034">
        <f t="shared" si="199"/>
        <v>0</v>
      </c>
      <c r="AU474" s="1035">
        <f t="shared" si="200"/>
        <v>0</v>
      </c>
      <c r="AV474" s="1057" cm="1">
        <f t="array" ref="AV474">IF(AJ474&lt;&gt;1,0,IF(OR(AT474="",N(AT474)&lt;=0.000000001),"",IF(OR(AN474="",N(AN474)&lt;=0.000000001),0,IF(ISNUMBER(AT474),IFERROR(_xlfn.LET(_xlpm.ai_test,TRIM(AI474),_xlpm.r,IFERROR(_xlfn.XLOOKUP(_xlpm.ai_test,$BI$15:$BI$62,ROW($BI$15:$BI$62),0,1),IFERROR(_xlfn.XLOOKUP(_xlpm.ai_test,$BJ$15:$BJ$62,ROW($BJ$15:$BJ$62),0,1),_xlfn.XLOOKUP(_xlpm.ai_test,$BK$15:$BK$62,ROW($BK$15:$BK$62),0,1))),_xlpm.p,_xlpm.r-MIN(ROW($BI$15:$BI$62))+1,_xlpm.f,INDEX($BL$15:$BL$62,_xlpm.p),_xlpm.u,INDEX($BM$15:$BM$62,_xlpm.p),_xlpm.s,INDEX($BO$15:$BO$62,_xlpm.p),_xlpm.q,N(AT474)/_xlpm.f,IF(_xlpm.q&gt;=_xlpm.s,ROUND(_xlpm.q,1)&amp;" "&amp;_xlpm.ai_test&amp;" = "&amp;ROUND(_xlpm.q*_xlpm.f,1)&amp;" "&amp;_xlpm.u,ROUND(_xlpm.q,1)&amp;" "&amp;_xlpm.ai_test)),""),""))))</f>
        <v>0</v>
      </c>
      <c r="AW474" s="1047"/>
      <c r="AX474" s="1034">
        <f t="shared" si="201"/>
        <v>0</v>
      </c>
      <c r="AY474" s="1035" t="str">
        <f t="shared" si="202"/>
        <v/>
      </c>
      <c r="AZ474" s="1036">
        <f t="shared" si="207"/>
        <v>0</v>
      </c>
      <c r="BA474" s="1037" t="str">
        <f t="shared" si="203"/>
        <v/>
      </c>
      <c r="BB474" s="1038"/>
      <c r="BC474" s="1039">
        <f t="shared" si="185"/>
        <v>0</v>
      </c>
      <c r="BD474" s="1040" t="str">
        <f t="shared" si="204"/>
        <v/>
      </c>
      <c r="BE474" s="227" t="s">
        <v>22</v>
      </c>
      <c r="BF474" s="1019">
        <f t="shared" si="205"/>
        <v>0</v>
      </c>
      <c r="BG474" s="1020">
        <f t="shared" si="206"/>
        <v>0</v>
      </c>
      <c r="BH474"/>
      <c r="BI474" s="709"/>
      <c r="BJ474" s="709"/>
      <c r="BK474" s="709"/>
      <c r="BL474" s="709"/>
      <c r="BM474" s="709"/>
      <c r="BN474" s="709"/>
      <c r="BO474" s="709"/>
      <c r="BP474" s="709"/>
      <c r="BW474" s="959" t="str">
        <f t="shared" si="187"/>
        <v>►</v>
      </c>
      <c r="BX474" s="856"/>
      <c r="BY474" s="856"/>
      <c r="BZ474" s="856"/>
      <c r="CA474" s="856"/>
      <c r="CB474" s="856"/>
      <c r="DB474" s="3">
        <v>1</v>
      </c>
    </row>
    <row r="475" spans="12:106" ht="21" customHeight="1">
      <c r="L475" s="104" t="s">
        <v>16</v>
      </c>
      <c r="M475" s="1172"/>
      <c r="N475" s="1172"/>
      <c r="O475" s="1172"/>
      <c r="P475" s="1173"/>
      <c r="Q475" s="1174"/>
      <c r="R475" s="1175"/>
      <c r="S475" s="1176"/>
      <c r="T475" s="1177"/>
      <c r="U475" s="5248"/>
      <c r="V475" s="1177"/>
      <c r="W475" s="5249"/>
      <c r="X475" s="5208"/>
      <c r="Y475" s="5209"/>
      <c r="Z475" s="5210"/>
      <c r="AA475" s="5211"/>
      <c r="AB475" s="1178"/>
      <c r="AC475" s="1179"/>
      <c r="AD475" s="227" t="s">
        <v>22</v>
      </c>
      <c r="AE475" s="1027" t="str">
        <f t="shared" si="188"/>
        <v>►</v>
      </c>
      <c r="AF475" s="1028" t="str">
        <f t="shared" si="189"/>
        <v/>
      </c>
      <c r="AG475" s="1029" t="str">
        <f t="shared" si="190"/>
        <v/>
      </c>
      <c r="AH475" s="1028" t="str">
        <f t="shared" si="191"/>
        <v/>
      </c>
      <c r="AI475" s="1029" t="str">
        <f t="shared" si="192"/>
        <v/>
      </c>
      <c r="AJ475" s="1029">
        <f t="shared" si="193"/>
        <v>0</v>
      </c>
      <c r="AK475" s="1043" t="str" cm="1">
        <f t="array" ref="AK475">IF(AE475&lt;&gt;"A","",IFERROR((IFERROR(_xlfn.XLOOKUP(TRIM(SUBSTITUTE(U475,CHAR(160)," ")),$BI$15:$BI$62,$BL$15:$BL$62),IFERROR(_xlfn.XLOOKUP(TRIM(SUBSTITUTE(U475,CHAR(160)," ")),$BJ$15:$BJ$62,$BL$15:$BL$62),_xlfn.XLOOKUP(TRIM(SUBSTITUTE(U475,CHAR(160)," ")),$BK$15:$BK$62,$BL$15:$BL$62))))*T475*IF(ISBLANK(Q475),1,Q475)+IFERROR(_xlfn.XLOOKUP("RECHERCHEX",TRIM(L475:AC475),L475:AC475),0),0))</f>
        <v/>
      </c>
      <c r="AL475" s="1030">
        <f t="shared" si="194"/>
        <v>0</v>
      </c>
      <c r="AM475" s="5254" t="str">
        <f t="shared" si="186"/>
        <v/>
      </c>
      <c r="AN475" s="1031">
        <f t="shared" si="195"/>
        <v>0</v>
      </c>
      <c r="AO475" s="1031">
        <f t="shared" si="196"/>
        <v>0</v>
      </c>
      <c r="AP475" s="1044">
        <f t="shared" si="197"/>
        <v>0</v>
      </c>
      <c r="AQ475" s="5257" t="str">
        <f t="shared" si="198"/>
        <v/>
      </c>
      <c r="AR475" s="1056"/>
      <c r="AS475" s="1056"/>
      <c r="AT475" s="1045">
        <f t="shared" si="199"/>
        <v>0</v>
      </c>
      <c r="AU475" s="1046">
        <f t="shared" si="200"/>
        <v>0</v>
      </c>
      <c r="AV475" s="1059" cm="1">
        <f t="array" ref="AV475">IF(AJ475&lt;&gt;1,0,IF(OR(AT475="",N(AT475)&lt;=0.000000001),"",IF(OR(AN475="",N(AN475)&lt;=0.000000001),0,IF(ISNUMBER(AT475),IFERROR(_xlfn.LET(_xlpm.ai_test,TRIM(AI475),_xlpm.r,IFERROR(_xlfn.XLOOKUP(_xlpm.ai_test,$BI$15:$BI$62,ROW($BI$15:$BI$62),0,1),IFERROR(_xlfn.XLOOKUP(_xlpm.ai_test,$BJ$15:$BJ$62,ROW($BJ$15:$BJ$62),0,1),_xlfn.XLOOKUP(_xlpm.ai_test,$BK$15:$BK$62,ROW($BK$15:$BK$62),0,1))),_xlpm.p,_xlpm.r-MIN(ROW($BI$15:$BI$62))+1,_xlpm.f,INDEX($BL$15:$BL$62,_xlpm.p),_xlpm.u,INDEX($BM$15:$BM$62,_xlpm.p),_xlpm.s,INDEX($BO$15:$BO$62,_xlpm.p),_xlpm.q,N(AT475)/_xlpm.f,IF(_xlpm.q&gt;=_xlpm.s,ROUND(_xlpm.q,1)&amp;" "&amp;_xlpm.ai_test&amp;" = "&amp;ROUND(_xlpm.q*_xlpm.f,1)&amp;" "&amp;_xlpm.u,ROUND(_xlpm.q,1)&amp;" "&amp;_xlpm.ai_test)),""),""))))</f>
        <v>0</v>
      </c>
      <c r="AW475" s="1047"/>
      <c r="AX475" s="1045">
        <f t="shared" si="201"/>
        <v>0</v>
      </c>
      <c r="AY475" s="1046" t="str">
        <f t="shared" si="202"/>
        <v/>
      </c>
      <c r="AZ475" s="1048">
        <f t="shared" si="207"/>
        <v>0</v>
      </c>
      <c r="BA475" s="1049" t="str">
        <f t="shared" si="203"/>
        <v/>
      </c>
      <c r="BB475" s="1038"/>
      <c r="BC475" s="1050">
        <f t="shared" ref="BC475:BC538" si="208">IF(OR(AN475=0,ISBLANK(BB475),ISTEXT(AZ475)),0,(IF(AT475=0,AZ475,AT475)*BB475))</f>
        <v>0</v>
      </c>
      <c r="BD475" s="1040" t="str">
        <f t="shared" si="204"/>
        <v/>
      </c>
      <c r="BE475" s="227" t="s">
        <v>22</v>
      </c>
      <c r="BF475" s="1019">
        <f t="shared" si="205"/>
        <v>0</v>
      </c>
      <c r="BG475" s="1020">
        <f t="shared" si="206"/>
        <v>0</v>
      </c>
      <c r="BH475"/>
      <c r="BI475" s="709"/>
      <c r="BJ475" s="709"/>
      <c r="BK475" s="709"/>
      <c r="BL475" s="709"/>
      <c r="BM475" s="709"/>
      <c r="BN475" s="709"/>
      <c r="BO475" s="709"/>
      <c r="BP475" s="709"/>
      <c r="BW475" s="959" t="str">
        <f t="shared" si="187"/>
        <v>►</v>
      </c>
      <c r="BX475" s="856"/>
      <c r="BY475" s="856"/>
      <c r="BZ475" s="856"/>
      <c r="CA475" s="856"/>
      <c r="CB475" s="856"/>
      <c r="DB475" s="3">
        <v>1</v>
      </c>
    </row>
    <row r="476" spans="12:106" ht="21" customHeight="1">
      <c r="L476" s="104" t="s">
        <v>16</v>
      </c>
      <c r="M476" s="1172"/>
      <c r="N476" s="1172"/>
      <c r="O476" s="1172"/>
      <c r="P476" s="1173"/>
      <c r="Q476" s="1174"/>
      <c r="R476" s="1175"/>
      <c r="S476" s="1176"/>
      <c r="T476" s="1177"/>
      <c r="U476" s="5248"/>
      <c r="V476" s="1177"/>
      <c r="W476" s="5249"/>
      <c r="X476" s="5208"/>
      <c r="Y476" s="5209"/>
      <c r="Z476" s="5210"/>
      <c r="AA476" s="5211"/>
      <c r="AB476" s="1178"/>
      <c r="AC476" s="1179"/>
      <c r="AD476" s="227" t="s">
        <v>22</v>
      </c>
      <c r="AE476" s="1027" t="str">
        <f t="shared" si="188"/>
        <v>►</v>
      </c>
      <c r="AF476" s="1028" t="str">
        <f t="shared" si="189"/>
        <v/>
      </c>
      <c r="AG476" s="1029" t="str">
        <f t="shared" si="190"/>
        <v/>
      </c>
      <c r="AH476" s="1028" t="str">
        <f t="shared" si="191"/>
        <v/>
      </c>
      <c r="AI476" s="1029" t="str">
        <f t="shared" si="192"/>
        <v/>
      </c>
      <c r="AJ476" s="1029">
        <f t="shared" si="193"/>
        <v>0</v>
      </c>
      <c r="AK476" s="1043" t="str" cm="1">
        <f t="array" ref="AK476">IF(AE476&lt;&gt;"A","",IFERROR((IFERROR(_xlfn.XLOOKUP(TRIM(SUBSTITUTE(U476,CHAR(160)," ")),$BI$15:$BI$62,$BL$15:$BL$62),IFERROR(_xlfn.XLOOKUP(TRIM(SUBSTITUTE(U476,CHAR(160)," ")),$BJ$15:$BJ$62,$BL$15:$BL$62),_xlfn.XLOOKUP(TRIM(SUBSTITUTE(U476,CHAR(160)," ")),$BK$15:$BK$62,$BL$15:$BL$62))))*T476*IF(ISBLANK(Q476),1,Q476)+IFERROR(_xlfn.XLOOKUP("RECHERCHEX",TRIM(L476:AC476),L476:AC476),0),0))</f>
        <v/>
      </c>
      <c r="AL476" s="1030">
        <f t="shared" si="194"/>
        <v>0</v>
      </c>
      <c r="AM476" s="5254" t="str">
        <f t="shared" si="186"/>
        <v/>
      </c>
      <c r="AN476" s="1031">
        <f t="shared" si="195"/>
        <v>0</v>
      </c>
      <c r="AO476" s="1031">
        <f t="shared" si="196"/>
        <v>0</v>
      </c>
      <c r="AP476" s="1032">
        <f t="shared" si="197"/>
        <v>0</v>
      </c>
      <c r="AQ476" s="5255" t="str">
        <f t="shared" si="198"/>
        <v/>
      </c>
      <c r="AR476" s="1056"/>
      <c r="AS476" s="1056"/>
      <c r="AT476" s="1034">
        <f t="shared" si="199"/>
        <v>0</v>
      </c>
      <c r="AU476" s="1035">
        <f t="shared" si="200"/>
        <v>0</v>
      </c>
      <c r="AV476" s="1057" cm="1">
        <f t="array" ref="AV476">IF(AJ476&lt;&gt;1,0,IF(OR(AT476="",N(AT476)&lt;=0.000000001),"",IF(OR(AN476="",N(AN476)&lt;=0.000000001),0,IF(ISNUMBER(AT476),IFERROR(_xlfn.LET(_xlpm.ai_test,TRIM(AI476),_xlpm.r,IFERROR(_xlfn.XLOOKUP(_xlpm.ai_test,$BI$15:$BI$62,ROW($BI$15:$BI$62),0,1),IFERROR(_xlfn.XLOOKUP(_xlpm.ai_test,$BJ$15:$BJ$62,ROW($BJ$15:$BJ$62),0,1),_xlfn.XLOOKUP(_xlpm.ai_test,$BK$15:$BK$62,ROW($BK$15:$BK$62),0,1))),_xlpm.p,_xlpm.r-MIN(ROW($BI$15:$BI$62))+1,_xlpm.f,INDEX($BL$15:$BL$62,_xlpm.p),_xlpm.u,INDEX($BM$15:$BM$62,_xlpm.p),_xlpm.s,INDEX($BO$15:$BO$62,_xlpm.p),_xlpm.q,N(AT476)/_xlpm.f,IF(_xlpm.q&gt;=_xlpm.s,ROUND(_xlpm.q,1)&amp;" "&amp;_xlpm.ai_test&amp;" = "&amp;ROUND(_xlpm.q*_xlpm.f,1)&amp;" "&amp;_xlpm.u,ROUND(_xlpm.q,1)&amp;" "&amp;_xlpm.ai_test)),""),""))))</f>
        <v>0</v>
      </c>
      <c r="AW476" s="1047"/>
      <c r="AX476" s="1034">
        <f t="shared" si="201"/>
        <v>0</v>
      </c>
      <c r="AY476" s="1035" t="str">
        <f t="shared" si="202"/>
        <v/>
      </c>
      <c r="AZ476" s="1036">
        <f t="shared" si="207"/>
        <v>0</v>
      </c>
      <c r="BA476" s="1037" t="str">
        <f t="shared" si="203"/>
        <v/>
      </c>
      <c r="BB476" s="1038"/>
      <c r="BC476" s="1039">
        <f t="shared" si="208"/>
        <v>0</v>
      </c>
      <c r="BD476" s="1040" t="str">
        <f t="shared" si="204"/>
        <v/>
      </c>
      <c r="BE476" s="227" t="s">
        <v>22</v>
      </c>
      <c r="BF476" s="1019">
        <f t="shared" si="205"/>
        <v>0</v>
      </c>
      <c r="BG476" s="1020">
        <f t="shared" si="206"/>
        <v>0</v>
      </c>
      <c r="BH476"/>
      <c r="BI476" s="709"/>
      <c r="BJ476" s="709"/>
      <c r="BK476" s="709"/>
      <c r="BL476" s="709"/>
      <c r="BM476" s="709"/>
      <c r="BN476" s="709"/>
      <c r="BO476" s="709"/>
      <c r="BP476" s="709"/>
      <c r="BW476" s="959" t="str">
        <f t="shared" si="187"/>
        <v>►</v>
      </c>
      <c r="BX476" s="856"/>
      <c r="BY476" s="856"/>
      <c r="BZ476" s="856"/>
      <c r="CA476" s="856"/>
      <c r="CB476" s="856"/>
      <c r="DB476" s="3">
        <v>1</v>
      </c>
    </row>
    <row r="477" spans="12:106" ht="21" customHeight="1">
      <c r="L477" s="104" t="s">
        <v>16</v>
      </c>
      <c r="M477" s="1172"/>
      <c r="N477" s="1172"/>
      <c r="O477" s="1172"/>
      <c r="P477" s="1173"/>
      <c r="Q477" s="1174"/>
      <c r="R477" s="1175"/>
      <c r="S477" s="1176"/>
      <c r="T477" s="1177"/>
      <c r="U477" s="5248"/>
      <c r="V477" s="1177"/>
      <c r="W477" s="5249"/>
      <c r="X477" s="5208"/>
      <c r="Y477" s="5209"/>
      <c r="Z477" s="5210"/>
      <c r="AA477" s="5211"/>
      <c r="AB477" s="1178"/>
      <c r="AC477" s="1179"/>
      <c r="AD477" s="227" t="s">
        <v>22</v>
      </c>
      <c r="AE477" s="1027" t="str">
        <f t="shared" si="188"/>
        <v>►</v>
      </c>
      <c r="AF477" s="1028" t="str">
        <f t="shared" si="189"/>
        <v/>
      </c>
      <c r="AG477" s="1029" t="str">
        <f t="shared" si="190"/>
        <v/>
      </c>
      <c r="AH477" s="1028" t="str">
        <f t="shared" si="191"/>
        <v/>
      </c>
      <c r="AI477" s="1029" t="str">
        <f t="shared" si="192"/>
        <v/>
      </c>
      <c r="AJ477" s="1029">
        <f t="shared" si="193"/>
        <v>0</v>
      </c>
      <c r="AK477" s="1043" t="str" cm="1">
        <f t="array" ref="AK477">IF(AE477&lt;&gt;"A","",IFERROR((IFERROR(_xlfn.XLOOKUP(TRIM(SUBSTITUTE(U477,CHAR(160)," ")),$BI$15:$BI$62,$BL$15:$BL$62),IFERROR(_xlfn.XLOOKUP(TRIM(SUBSTITUTE(U477,CHAR(160)," ")),$BJ$15:$BJ$62,$BL$15:$BL$62),_xlfn.XLOOKUP(TRIM(SUBSTITUTE(U477,CHAR(160)," ")),$BK$15:$BK$62,$BL$15:$BL$62))))*T477*IF(ISBLANK(Q477),1,Q477)+IFERROR(_xlfn.XLOOKUP("RECHERCHEX",TRIM(L477:AC477),L477:AC477),0),0))</f>
        <v/>
      </c>
      <c r="AL477" s="1030">
        <f t="shared" si="194"/>
        <v>0</v>
      </c>
      <c r="AM477" s="5254" t="str">
        <f t="shared" si="186"/>
        <v/>
      </c>
      <c r="AN477" s="1031">
        <f t="shared" si="195"/>
        <v>0</v>
      </c>
      <c r="AO477" s="1031">
        <f t="shared" si="196"/>
        <v>0</v>
      </c>
      <c r="AP477" s="1044">
        <f t="shared" si="197"/>
        <v>0</v>
      </c>
      <c r="AQ477" s="5257" t="str">
        <f t="shared" si="198"/>
        <v/>
      </c>
      <c r="AR477" s="1056"/>
      <c r="AS477" s="1056"/>
      <c r="AT477" s="1045">
        <f t="shared" si="199"/>
        <v>0</v>
      </c>
      <c r="AU477" s="1046">
        <f t="shared" si="200"/>
        <v>0</v>
      </c>
      <c r="AV477" s="1059" cm="1">
        <f t="array" ref="AV477">IF(AJ477&lt;&gt;1,0,IF(OR(AT477="",N(AT477)&lt;=0.000000001),"",IF(OR(AN477="",N(AN477)&lt;=0.000000001),0,IF(ISNUMBER(AT477),IFERROR(_xlfn.LET(_xlpm.ai_test,TRIM(AI477),_xlpm.r,IFERROR(_xlfn.XLOOKUP(_xlpm.ai_test,$BI$15:$BI$62,ROW($BI$15:$BI$62),0,1),IFERROR(_xlfn.XLOOKUP(_xlpm.ai_test,$BJ$15:$BJ$62,ROW($BJ$15:$BJ$62),0,1),_xlfn.XLOOKUP(_xlpm.ai_test,$BK$15:$BK$62,ROW($BK$15:$BK$62),0,1))),_xlpm.p,_xlpm.r-MIN(ROW($BI$15:$BI$62))+1,_xlpm.f,INDEX($BL$15:$BL$62,_xlpm.p),_xlpm.u,INDEX($BM$15:$BM$62,_xlpm.p),_xlpm.s,INDEX($BO$15:$BO$62,_xlpm.p),_xlpm.q,N(AT477)/_xlpm.f,IF(_xlpm.q&gt;=_xlpm.s,ROUND(_xlpm.q,1)&amp;" "&amp;_xlpm.ai_test&amp;" = "&amp;ROUND(_xlpm.q*_xlpm.f,1)&amp;" "&amp;_xlpm.u,ROUND(_xlpm.q,1)&amp;" "&amp;_xlpm.ai_test)),""),""))))</f>
        <v>0</v>
      </c>
      <c r="AW477" s="1047"/>
      <c r="AX477" s="1045">
        <f t="shared" si="201"/>
        <v>0</v>
      </c>
      <c r="AY477" s="1046" t="str">
        <f t="shared" si="202"/>
        <v/>
      </c>
      <c r="AZ477" s="1048">
        <f t="shared" si="207"/>
        <v>0</v>
      </c>
      <c r="BA477" s="1049" t="str">
        <f t="shared" si="203"/>
        <v/>
      </c>
      <c r="BB477" s="1038"/>
      <c r="BC477" s="1050">
        <f t="shared" si="208"/>
        <v>0</v>
      </c>
      <c r="BD477" s="1040" t="str">
        <f t="shared" si="204"/>
        <v/>
      </c>
      <c r="BE477" s="227" t="s">
        <v>22</v>
      </c>
      <c r="BF477" s="1019">
        <f t="shared" si="205"/>
        <v>0</v>
      </c>
      <c r="BG477" s="1020">
        <f t="shared" si="206"/>
        <v>0</v>
      </c>
      <c r="BH477"/>
      <c r="BI477" s="709"/>
      <c r="BJ477" s="709"/>
      <c r="BK477" s="709"/>
      <c r="BL477" s="709"/>
      <c r="BM477" s="709"/>
      <c r="BN477" s="709"/>
      <c r="BO477" s="709"/>
      <c r="BP477" s="709"/>
      <c r="BW477" s="959" t="str">
        <f t="shared" si="187"/>
        <v>►</v>
      </c>
      <c r="BX477" s="856"/>
      <c r="BY477" s="856"/>
      <c r="BZ477" s="856"/>
      <c r="CA477" s="856"/>
      <c r="CB477" s="856"/>
      <c r="DB477" s="3">
        <v>1</v>
      </c>
    </row>
    <row r="478" spans="12:106" ht="21" customHeight="1">
      <c r="L478" s="104" t="s">
        <v>16</v>
      </c>
      <c r="M478" s="1172"/>
      <c r="N478" s="1172"/>
      <c r="O478" s="1172"/>
      <c r="P478" s="1173"/>
      <c r="Q478" s="1174"/>
      <c r="R478" s="1175"/>
      <c r="S478" s="1176"/>
      <c r="T478" s="1177"/>
      <c r="U478" s="5248"/>
      <c r="V478" s="1177"/>
      <c r="W478" s="5249"/>
      <c r="X478" s="5208"/>
      <c r="Y478" s="5209"/>
      <c r="Z478" s="5210"/>
      <c r="AA478" s="5211"/>
      <c r="AB478" s="1178"/>
      <c r="AC478" s="1179"/>
      <c r="AD478" s="227" t="s">
        <v>22</v>
      </c>
      <c r="AE478" s="1027" t="str">
        <f t="shared" si="188"/>
        <v>►</v>
      </c>
      <c r="AF478" s="1028" t="str">
        <f t="shared" si="189"/>
        <v/>
      </c>
      <c r="AG478" s="1029" t="str">
        <f t="shared" si="190"/>
        <v/>
      </c>
      <c r="AH478" s="1028" t="str">
        <f t="shared" si="191"/>
        <v/>
      </c>
      <c r="AI478" s="1029" t="str">
        <f t="shared" si="192"/>
        <v/>
      </c>
      <c r="AJ478" s="1029">
        <f t="shared" si="193"/>
        <v>0</v>
      </c>
      <c r="AK478" s="1043" t="str" cm="1">
        <f t="array" ref="AK478">IF(AE478&lt;&gt;"A","",IFERROR((IFERROR(_xlfn.XLOOKUP(TRIM(SUBSTITUTE(U478,CHAR(160)," ")),$BI$15:$BI$62,$BL$15:$BL$62),IFERROR(_xlfn.XLOOKUP(TRIM(SUBSTITUTE(U478,CHAR(160)," ")),$BJ$15:$BJ$62,$BL$15:$BL$62),_xlfn.XLOOKUP(TRIM(SUBSTITUTE(U478,CHAR(160)," ")),$BK$15:$BK$62,$BL$15:$BL$62))))*T478*IF(ISBLANK(Q478),1,Q478)+IFERROR(_xlfn.XLOOKUP("RECHERCHEX",TRIM(L478:AC478),L478:AC478),0),0))</f>
        <v/>
      </c>
      <c r="AL478" s="1030">
        <f t="shared" si="194"/>
        <v>0</v>
      </c>
      <c r="AM478" s="5254" t="str">
        <f t="shared" ref="AM478:AM541" si="209">IF(AE478="A","❾ Author reference &gt;","")</f>
        <v/>
      </c>
      <c r="AN478" s="1031">
        <f t="shared" si="195"/>
        <v>0</v>
      </c>
      <c r="AO478" s="1031">
        <f t="shared" si="196"/>
        <v>0</v>
      </c>
      <c r="AP478" s="1032">
        <f t="shared" si="197"/>
        <v>0</v>
      </c>
      <c r="AQ478" s="5255" t="str">
        <f t="shared" si="198"/>
        <v/>
      </c>
      <c r="AR478" s="1056"/>
      <c r="AS478" s="1056"/>
      <c r="AT478" s="1034">
        <f t="shared" si="199"/>
        <v>0</v>
      </c>
      <c r="AU478" s="1035">
        <f t="shared" si="200"/>
        <v>0</v>
      </c>
      <c r="AV478" s="1057" cm="1">
        <f t="array" ref="AV478">IF(AJ478&lt;&gt;1,0,IF(OR(AT478="",N(AT478)&lt;=0.000000001),"",IF(OR(AN478="",N(AN478)&lt;=0.000000001),0,IF(ISNUMBER(AT478),IFERROR(_xlfn.LET(_xlpm.ai_test,TRIM(AI478),_xlpm.r,IFERROR(_xlfn.XLOOKUP(_xlpm.ai_test,$BI$15:$BI$62,ROW($BI$15:$BI$62),0,1),IFERROR(_xlfn.XLOOKUP(_xlpm.ai_test,$BJ$15:$BJ$62,ROW($BJ$15:$BJ$62),0,1),_xlfn.XLOOKUP(_xlpm.ai_test,$BK$15:$BK$62,ROW($BK$15:$BK$62),0,1))),_xlpm.p,_xlpm.r-MIN(ROW($BI$15:$BI$62))+1,_xlpm.f,INDEX($BL$15:$BL$62,_xlpm.p),_xlpm.u,INDEX($BM$15:$BM$62,_xlpm.p),_xlpm.s,INDEX($BO$15:$BO$62,_xlpm.p),_xlpm.q,N(AT478)/_xlpm.f,IF(_xlpm.q&gt;=_xlpm.s,ROUND(_xlpm.q,1)&amp;" "&amp;_xlpm.ai_test&amp;" = "&amp;ROUND(_xlpm.q*_xlpm.f,1)&amp;" "&amp;_xlpm.u,ROUND(_xlpm.q,1)&amp;" "&amp;_xlpm.ai_test)),""),""))))</f>
        <v>0</v>
      </c>
      <c r="AW478" s="1047"/>
      <c r="AX478" s="1034">
        <f t="shared" si="201"/>
        <v>0</v>
      </c>
      <c r="AY478" s="1035" t="str">
        <f t="shared" si="202"/>
        <v/>
      </c>
      <c r="AZ478" s="1036">
        <f t="shared" si="207"/>
        <v>0</v>
      </c>
      <c r="BA478" s="1037" t="str">
        <f t="shared" si="203"/>
        <v/>
      </c>
      <c r="BB478" s="1038"/>
      <c r="BC478" s="1039">
        <f t="shared" si="208"/>
        <v>0</v>
      </c>
      <c r="BD478" s="1040" t="str">
        <f t="shared" si="204"/>
        <v/>
      </c>
      <c r="BE478" s="227" t="s">
        <v>22</v>
      </c>
      <c r="BF478" s="1019">
        <f t="shared" si="205"/>
        <v>0</v>
      </c>
      <c r="BG478" s="1020">
        <f t="shared" si="206"/>
        <v>0</v>
      </c>
      <c r="BH478"/>
      <c r="BI478" s="709"/>
      <c r="BJ478" s="709"/>
      <c r="BK478" s="709"/>
      <c r="BL478" s="709"/>
      <c r="BM478" s="709"/>
      <c r="BN478" s="709"/>
      <c r="BO478" s="709"/>
      <c r="BP478" s="709"/>
      <c r="BW478" s="959" t="str">
        <f t="shared" si="187"/>
        <v>►</v>
      </c>
      <c r="BX478" s="856"/>
      <c r="BY478" s="856"/>
      <c r="BZ478" s="856"/>
      <c r="CA478" s="856"/>
      <c r="CB478" s="856"/>
      <c r="DB478" s="3">
        <v>1</v>
      </c>
    </row>
    <row r="479" spans="12:106" ht="21" customHeight="1">
      <c r="L479" s="104" t="s">
        <v>16</v>
      </c>
      <c r="M479" s="1172"/>
      <c r="N479" s="1172"/>
      <c r="O479" s="1172"/>
      <c r="P479" s="1173"/>
      <c r="Q479" s="1174"/>
      <c r="R479" s="1175"/>
      <c r="S479" s="1176"/>
      <c r="T479" s="1177"/>
      <c r="U479" s="5248"/>
      <c r="V479" s="1177"/>
      <c r="W479" s="5249"/>
      <c r="X479" s="5208"/>
      <c r="Y479" s="5209"/>
      <c r="Z479" s="5210"/>
      <c r="AA479" s="5211"/>
      <c r="AB479" s="1178"/>
      <c r="AC479" s="1179"/>
      <c r="AD479" s="227" t="s">
        <v>22</v>
      </c>
      <c r="AE479" s="1027" t="str">
        <f t="shared" si="188"/>
        <v>►</v>
      </c>
      <c r="AF479" s="1028" t="str">
        <f t="shared" si="189"/>
        <v/>
      </c>
      <c r="AG479" s="1029" t="str">
        <f t="shared" si="190"/>
        <v/>
      </c>
      <c r="AH479" s="1028" t="str">
        <f t="shared" si="191"/>
        <v/>
      </c>
      <c r="AI479" s="1029" t="str">
        <f t="shared" si="192"/>
        <v/>
      </c>
      <c r="AJ479" s="1029">
        <f t="shared" si="193"/>
        <v>0</v>
      </c>
      <c r="AK479" s="1043" t="str" cm="1">
        <f t="array" ref="AK479">IF(AE479&lt;&gt;"A","",IFERROR((IFERROR(_xlfn.XLOOKUP(TRIM(SUBSTITUTE(U479,CHAR(160)," ")),$BI$15:$BI$62,$BL$15:$BL$62),IFERROR(_xlfn.XLOOKUP(TRIM(SUBSTITUTE(U479,CHAR(160)," ")),$BJ$15:$BJ$62,$BL$15:$BL$62),_xlfn.XLOOKUP(TRIM(SUBSTITUTE(U479,CHAR(160)," ")),$BK$15:$BK$62,$BL$15:$BL$62))))*T479*IF(ISBLANK(Q479),1,Q479)+IFERROR(_xlfn.XLOOKUP("RECHERCHEX",TRIM(L479:AC479),L479:AC479),0),0))</f>
        <v/>
      </c>
      <c r="AL479" s="1030">
        <f t="shared" si="194"/>
        <v>0</v>
      </c>
      <c r="AM479" s="5254" t="str">
        <f t="shared" si="209"/>
        <v/>
      </c>
      <c r="AN479" s="1031">
        <f t="shared" si="195"/>
        <v>0</v>
      </c>
      <c r="AO479" s="1031">
        <f t="shared" si="196"/>
        <v>0</v>
      </c>
      <c r="AP479" s="1044">
        <f t="shared" si="197"/>
        <v>0</v>
      </c>
      <c r="AQ479" s="5257" t="str">
        <f t="shared" si="198"/>
        <v/>
      </c>
      <c r="AR479" s="1056"/>
      <c r="AS479" s="1056"/>
      <c r="AT479" s="1045">
        <f t="shared" si="199"/>
        <v>0</v>
      </c>
      <c r="AU479" s="1046">
        <f t="shared" si="200"/>
        <v>0</v>
      </c>
      <c r="AV479" s="1059" cm="1">
        <f t="array" ref="AV479">IF(AJ479&lt;&gt;1,0,IF(OR(AT479="",N(AT479)&lt;=0.000000001),"",IF(OR(AN479="",N(AN479)&lt;=0.000000001),0,IF(ISNUMBER(AT479),IFERROR(_xlfn.LET(_xlpm.ai_test,TRIM(AI479),_xlpm.r,IFERROR(_xlfn.XLOOKUP(_xlpm.ai_test,$BI$15:$BI$62,ROW($BI$15:$BI$62),0,1),IFERROR(_xlfn.XLOOKUP(_xlpm.ai_test,$BJ$15:$BJ$62,ROW($BJ$15:$BJ$62),0,1),_xlfn.XLOOKUP(_xlpm.ai_test,$BK$15:$BK$62,ROW($BK$15:$BK$62),0,1))),_xlpm.p,_xlpm.r-MIN(ROW($BI$15:$BI$62))+1,_xlpm.f,INDEX($BL$15:$BL$62,_xlpm.p),_xlpm.u,INDEX($BM$15:$BM$62,_xlpm.p),_xlpm.s,INDEX($BO$15:$BO$62,_xlpm.p),_xlpm.q,N(AT479)/_xlpm.f,IF(_xlpm.q&gt;=_xlpm.s,ROUND(_xlpm.q,1)&amp;" "&amp;_xlpm.ai_test&amp;" = "&amp;ROUND(_xlpm.q*_xlpm.f,1)&amp;" "&amp;_xlpm.u,ROUND(_xlpm.q,1)&amp;" "&amp;_xlpm.ai_test)),""),""))))</f>
        <v>0</v>
      </c>
      <c r="AW479" s="1047"/>
      <c r="AX479" s="1045">
        <f t="shared" si="201"/>
        <v>0</v>
      </c>
      <c r="AY479" s="1046" t="str">
        <f t="shared" si="202"/>
        <v/>
      </c>
      <c r="AZ479" s="1048">
        <f t="shared" si="207"/>
        <v>0</v>
      </c>
      <c r="BA479" s="1049" t="str">
        <f t="shared" si="203"/>
        <v/>
      </c>
      <c r="BB479" s="1038"/>
      <c r="BC479" s="1050">
        <f t="shared" si="208"/>
        <v>0</v>
      </c>
      <c r="BD479" s="1040" t="str">
        <f t="shared" si="204"/>
        <v/>
      </c>
      <c r="BE479" s="227" t="s">
        <v>22</v>
      </c>
      <c r="BF479" s="1019">
        <f t="shared" si="205"/>
        <v>0</v>
      </c>
      <c r="BG479" s="1020">
        <f t="shared" si="206"/>
        <v>0</v>
      </c>
      <c r="BH479"/>
      <c r="BI479" s="709"/>
      <c r="BJ479" s="709"/>
      <c r="BK479" s="709"/>
      <c r="BL479" s="709"/>
      <c r="BM479" s="709"/>
      <c r="BN479" s="709"/>
      <c r="BO479" s="709"/>
      <c r="BP479" s="709"/>
      <c r="BW479" s="959" t="str">
        <f t="shared" si="187"/>
        <v>►</v>
      </c>
      <c r="BX479" s="856"/>
      <c r="BY479" s="856"/>
      <c r="BZ479" s="856"/>
      <c r="CA479" s="856"/>
      <c r="CB479" s="856"/>
      <c r="DB479" s="3">
        <v>1</v>
      </c>
    </row>
    <row r="480" spans="12:106" ht="21" customHeight="1">
      <c r="L480" s="104" t="s">
        <v>16</v>
      </c>
      <c r="M480" s="1172"/>
      <c r="N480" s="1172"/>
      <c r="O480" s="1172"/>
      <c r="P480" s="1173"/>
      <c r="Q480" s="1174"/>
      <c r="R480" s="1175"/>
      <c r="S480" s="1176"/>
      <c r="T480" s="1177"/>
      <c r="U480" s="5248"/>
      <c r="V480" s="1177"/>
      <c r="W480" s="5249"/>
      <c r="X480" s="5208"/>
      <c r="Y480" s="5209"/>
      <c r="Z480" s="5210"/>
      <c r="AA480" s="5211"/>
      <c r="AB480" s="1178"/>
      <c r="AC480" s="1179"/>
      <c r="AD480" s="227" t="s">
        <v>22</v>
      </c>
      <c r="AE480" s="1027" t="str">
        <f t="shared" si="188"/>
        <v>►</v>
      </c>
      <c r="AF480" s="1028" t="str">
        <f t="shared" si="189"/>
        <v/>
      </c>
      <c r="AG480" s="1029" t="str">
        <f t="shared" si="190"/>
        <v/>
      </c>
      <c r="AH480" s="1028" t="str">
        <f t="shared" si="191"/>
        <v/>
      </c>
      <c r="AI480" s="1029" t="str">
        <f t="shared" si="192"/>
        <v/>
      </c>
      <c r="AJ480" s="1029">
        <f t="shared" si="193"/>
        <v>0</v>
      </c>
      <c r="AK480" s="1043" t="str" cm="1">
        <f t="array" ref="AK480">IF(AE480&lt;&gt;"A","",IFERROR((IFERROR(_xlfn.XLOOKUP(TRIM(SUBSTITUTE(U480,CHAR(160)," ")),$BI$15:$BI$62,$BL$15:$BL$62),IFERROR(_xlfn.XLOOKUP(TRIM(SUBSTITUTE(U480,CHAR(160)," ")),$BJ$15:$BJ$62,$BL$15:$BL$62),_xlfn.XLOOKUP(TRIM(SUBSTITUTE(U480,CHAR(160)," ")),$BK$15:$BK$62,$BL$15:$BL$62))))*T480*IF(ISBLANK(Q480),1,Q480)+IFERROR(_xlfn.XLOOKUP("RECHERCHEX",TRIM(L480:AC480),L480:AC480),0),0))</f>
        <v/>
      </c>
      <c r="AL480" s="1030">
        <f t="shared" si="194"/>
        <v>0</v>
      </c>
      <c r="AM480" s="5254" t="str">
        <f t="shared" si="209"/>
        <v/>
      </c>
      <c r="AN480" s="1031">
        <f t="shared" si="195"/>
        <v>0</v>
      </c>
      <c r="AO480" s="1031">
        <f t="shared" si="196"/>
        <v>0</v>
      </c>
      <c r="AP480" s="1032">
        <f t="shared" si="197"/>
        <v>0</v>
      </c>
      <c r="AQ480" s="5255" t="str">
        <f t="shared" si="198"/>
        <v/>
      </c>
      <c r="AR480" s="1056"/>
      <c r="AS480" s="1056"/>
      <c r="AT480" s="1034">
        <f t="shared" si="199"/>
        <v>0</v>
      </c>
      <c r="AU480" s="1035">
        <f t="shared" si="200"/>
        <v>0</v>
      </c>
      <c r="AV480" s="1057" cm="1">
        <f t="array" ref="AV480">IF(AJ480&lt;&gt;1,0,IF(OR(AT480="",N(AT480)&lt;=0.000000001),"",IF(OR(AN480="",N(AN480)&lt;=0.000000001),0,IF(ISNUMBER(AT480),IFERROR(_xlfn.LET(_xlpm.ai_test,TRIM(AI480),_xlpm.r,IFERROR(_xlfn.XLOOKUP(_xlpm.ai_test,$BI$15:$BI$62,ROW($BI$15:$BI$62),0,1),IFERROR(_xlfn.XLOOKUP(_xlpm.ai_test,$BJ$15:$BJ$62,ROW($BJ$15:$BJ$62),0,1),_xlfn.XLOOKUP(_xlpm.ai_test,$BK$15:$BK$62,ROW($BK$15:$BK$62),0,1))),_xlpm.p,_xlpm.r-MIN(ROW($BI$15:$BI$62))+1,_xlpm.f,INDEX($BL$15:$BL$62,_xlpm.p),_xlpm.u,INDEX($BM$15:$BM$62,_xlpm.p),_xlpm.s,INDEX($BO$15:$BO$62,_xlpm.p),_xlpm.q,N(AT480)/_xlpm.f,IF(_xlpm.q&gt;=_xlpm.s,ROUND(_xlpm.q,1)&amp;" "&amp;_xlpm.ai_test&amp;" = "&amp;ROUND(_xlpm.q*_xlpm.f,1)&amp;" "&amp;_xlpm.u,ROUND(_xlpm.q,1)&amp;" "&amp;_xlpm.ai_test)),""),""))))</f>
        <v>0</v>
      </c>
      <c r="AW480" s="1047"/>
      <c r="AX480" s="1034">
        <f t="shared" si="201"/>
        <v>0</v>
      </c>
      <c r="AY480" s="1035" t="str">
        <f t="shared" si="202"/>
        <v/>
      </c>
      <c r="AZ480" s="1036">
        <f t="shared" si="207"/>
        <v>0</v>
      </c>
      <c r="BA480" s="1037" t="str">
        <f t="shared" si="203"/>
        <v/>
      </c>
      <c r="BB480" s="1038"/>
      <c r="BC480" s="1039">
        <f t="shared" si="208"/>
        <v>0</v>
      </c>
      <c r="BD480" s="1040" t="str">
        <f t="shared" si="204"/>
        <v/>
      </c>
      <c r="BE480" s="227" t="s">
        <v>22</v>
      </c>
      <c r="BF480" s="1019">
        <f t="shared" si="205"/>
        <v>0</v>
      </c>
      <c r="BG480" s="1020">
        <f t="shared" si="206"/>
        <v>0</v>
      </c>
      <c r="BH480"/>
      <c r="BI480" s="709"/>
      <c r="BJ480" s="709"/>
      <c r="BK480" s="709"/>
      <c r="BL480" s="709"/>
      <c r="BM480" s="709"/>
      <c r="BN480" s="709"/>
      <c r="BO480" s="709"/>
      <c r="BP480" s="709"/>
      <c r="BW480" s="959" t="str">
        <f t="shared" si="187"/>
        <v>►</v>
      </c>
      <c r="BX480" s="856"/>
      <c r="BY480" s="856"/>
      <c r="BZ480" s="856"/>
      <c r="CA480" s="856"/>
      <c r="CB480" s="856"/>
      <c r="DB480" s="3">
        <v>1</v>
      </c>
    </row>
    <row r="481" spans="12:106" ht="21" customHeight="1">
      <c r="L481" s="104" t="s">
        <v>16</v>
      </c>
      <c r="M481" s="1172"/>
      <c r="N481" s="1172"/>
      <c r="O481" s="1172"/>
      <c r="P481" s="1173"/>
      <c r="Q481" s="1174"/>
      <c r="R481" s="1175"/>
      <c r="S481" s="1176"/>
      <c r="T481" s="1177"/>
      <c r="U481" s="5248"/>
      <c r="V481" s="1177"/>
      <c r="W481" s="5249"/>
      <c r="X481" s="5208"/>
      <c r="Y481" s="5209"/>
      <c r="Z481" s="5210"/>
      <c r="AA481" s="5211"/>
      <c r="AB481" s="1178"/>
      <c r="AC481" s="1179"/>
      <c r="AD481" s="227" t="s">
        <v>22</v>
      </c>
      <c r="AE481" s="1027" t="str">
        <f t="shared" si="188"/>
        <v>►</v>
      </c>
      <c r="AF481" s="1028" t="str">
        <f t="shared" si="189"/>
        <v/>
      </c>
      <c r="AG481" s="1029" t="str">
        <f t="shared" si="190"/>
        <v/>
      </c>
      <c r="AH481" s="1028" t="str">
        <f t="shared" si="191"/>
        <v/>
      </c>
      <c r="AI481" s="1029" t="str">
        <f t="shared" si="192"/>
        <v/>
      </c>
      <c r="AJ481" s="1029">
        <f t="shared" si="193"/>
        <v>0</v>
      </c>
      <c r="AK481" s="1043" t="str" cm="1">
        <f t="array" ref="AK481">IF(AE481&lt;&gt;"A","",IFERROR((IFERROR(_xlfn.XLOOKUP(TRIM(SUBSTITUTE(U481,CHAR(160)," ")),$BI$15:$BI$62,$BL$15:$BL$62),IFERROR(_xlfn.XLOOKUP(TRIM(SUBSTITUTE(U481,CHAR(160)," ")),$BJ$15:$BJ$62,$BL$15:$BL$62),_xlfn.XLOOKUP(TRIM(SUBSTITUTE(U481,CHAR(160)," ")),$BK$15:$BK$62,$BL$15:$BL$62))))*T481*IF(ISBLANK(Q481),1,Q481)+IFERROR(_xlfn.XLOOKUP("RECHERCHEX",TRIM(L481:AC481),L481:AC481),0),0))</f>
        <v/>
      </c>
      <c r="AL481" s="1030">
        <f t="shared" si="194"/>
        <v>0</v>
      </c>
      <c r="AM481" s="5254" t="str">
        <f t="shared" si="209"/>
        <v/>
      </c>
      <c r="AN481" s="1031">
        <f t="shared" si="195"/>
        <v>0</v>
      </c>
      <c r="AO481" s="1031">
        <f t="shared" si="196"/>
        <v>0</v>
      </c>
      <c r="AP481" s="1044">
        <f t="shared" si="197"/>
        <v>0</v>
      </c>
      <c r="AQ481" s="5257" t="str">
        <f t="shared" si="198"/>
        <v/>
      </c>
      <c r="AR481" s="1056"/>
      <c r="AS481" s="1056"/>
      <c r="AT481" s="1045">
        <f t="shared" si="199"/>
        <v>0</v>
      </c>
      <c r="AU481" s="1046">
        <f t="shared" si="200"/>
        <v>0</v>
      </c>
      <c r="AV481" s="1059" cm="1">
        <f t="array" ref="AV481">IF(AJ481&lt;&gt;1,0,IF(OR(AT481="",N(AT481)&lt;=0.000000001),"",IF(OR(AN481="",N(AN481)&lt;=0.000000001),0,IF(ISNUMBER(AT481),IFERROR(_xlfn.LET(_xlpm.ai_test,TRIM(AI481),_xlpm.r,IFERROR(_xlfn.XLOOKUP(_xlpm.ai_test,$BI$15:$BI$62,ROW($BI$15:$BI$62),0,1),IFERROR(_xlfn.XLOOKUP(_xlpm.ai_test,$BJ$15:$BJ$62,ROW($BJ$15:$BJ$62),0,1),_xlfn.XLOOKUP(_xlpm.ai_test,$BK$15:$BK$62,ROW($BK$15:$BK$62),0,1))),_xlpm.p,_xlpm.r-MIN(ROW($BI$15:$BI$62))+1,_xlpm.f,INDEX($BL$15:$BL$62,_xlpm.p),_xlpm.u,INDEX($BM$15:$BM$62,_xlpm.p),_xlpm.s,INDEX($BO$15:$BO$62,_xlpm.p),_xlpm.q,N(AT481)/_xlpm.f,IF(_xlpm.q&gt;=_xlpm.s,ROUND(_xlpm.q,1)&amp;" "&amp;_xlpm.ai_test&amp;" = "&amp;ROUND(_xlpm.q*_xlpm.f,1)&amp;" "&amp;_xlpm.u,ROUND(_xlpm.q,1)&amp;" "&amp;_xlpm.ai_test)),""),""))))</f>
        <v>0</v>
      </c>
      <c r="AW481" s="1047"/>
      <c r="AX481" s="1045">
        <f t="shared" si="201"/>
        <v>0</v>
      </c>
      <c r="AY481" s="1046" t="str">
        <f t="shared" si="202"/>
        <v/>
      </c>
      <c r="AZ481" s="1048">
        <f t="shared" si="207"/>
        <v>0</v>
      </c>
      <c r="BA481" s="1049" t="str">
        <f t="shared" si="203"/>
        <v/>
      </c>
      <c r="BB481" s="1038"/>
      <c r="BC481" s="1050">
        <f t="shared" si="208"/>
        <v>0</v>
      </c>
      <c r="BD481" s="1040" t="str">
        <f t="shared" si="204"/>
        <v/>
      </c>
      <c r="BE481" s="227" t="s">
        <v>22</v>
      </c>
      <c r="BF481" s="1019">
        <f t="shared" si="205"/>
        <v>0</v>
      </c>
      <c r="BG481" s="1020">
        <f t="shared" si="206"/>
        <v>0</v>
      </c>
      <c r="BH481"/>
      <c r="BI481" s="709"/>
      <c r="BJ481" s="709"/>
      <c r="BK481" s="709"/>
      <c r="BL481" s="709"/>
      <c r="BM481" s="709"/>
      <c r="BN481" s="709"/>
      <c r="BO481" s="709"/>
      <c r="BP481" s="709"/>
      <c r="BW481" s="959" t="str">
        <f t="shared" si="187"/>
        <v>►</v>
      </c>
      <c r="BX481" s="856"/>
      <c r="BY481" s="856"/>
      <c r="BZ481" s="856"/>
      <c r="CA481" s="856"/>
      <c r="CB481" s="856"/>
      <c r="DB481" s="3">
        <v>1</v>
      </c>
    </row>
    <row r="482" spans="12:106" ht="21" customHeight="1">
      <c r="L482" s="104" t="s">
        <v>16</v>
      </c>
      <c r="M482" s="1172"/>
      <c r="N482" s="1172"/>
      <c r="O482" s="1172"/>
      <c r="P482" s="1173"/>
      <c r="Q482" s="1174"/>
      <c r="R482" s="1175"/>
      <c r="S482" s="1176"/>
      <c r="T482" s="1177"/>
      <c r="U482" s="5248"/>
      <c r="V482" s="1177"/>
      <c r="W482" s="5249"/>
      <c r="X482" s="5208"/>
      <c r="Y482" s="5209"/>
      <c r="Z482" s="5210"/>
      <c r="AA482" s="5211"/>
      <c r="AB482" s="1178"/>
      <c r="AC482" s="1179"/>
      <c r="AD482" s="227" t="s">
        <v>22</v>
      </c>
      <c r="AE482" s="1027" t="str">
        <f t="shared" si="188"/>
        <v>►</v>
      </c>
      <c r="AF482" s="1028" t="str">
        <f t="shared" si="189"/>
        <v/>
      </c>
      <c r="AG482" s="1029" t="str">
        <f t="shared" si="190"/>
        <v/>
      </c>
      <c r="AH482" s="1028" t="str">
        <f t="shared" si="191"/>
        <v/>
      </c>
      <c r="AI482" s="1029" t="str">
        <f t="shared" si="192"/>
        <v/>
      </c>
      <c r="AJ482" s="1029">
        <f t="shared" si="193"/>
        <v>0</v>
      </c>
      <c r="AK482" s="1043" t="str" cm="1">
        <f t="array" ref="AK482">IF(AE482&lt;&gt;"A","",IFERROR((IFERROR(_xlfn.XLOOKUP(TRIM(SUBSTITUTE(U482,CHAR(160)," ")),$BI$15:$BI$62,$BL$15:$BL$62),IFERROR(_xlfn.XLOOKUP(TRIM(SUBSTITUTE(U482,CHAR(160)," ")),$BJ$15:$BJ$62,$BL$15:$BL$62),_xlfn.XLOOKUP(TRIM(SUBSTITUTE(U482,CHAR(160)," ")),$BK$15:$BK$62,$BL$15:$BL$62))))*T482*IF(ISBLANK(Q482),1,Q482)+IFERROR(_xlfn.XLOOKUP("RECHERCHEX",TRIM(L482:AC482),L482:AC482),0),0))</f>
        <v/>
      </c>
      <c r="AL482" s="1030">
        <f t="shared" si="194"/>
        <v>0</v>
      </c>
      <c r="AM482" s="5254" t="str">
        <f t="shared" si="209"/>
        <v/>
      </c>
      <c r="AN482" s="1031">
        <f t="shared" si="195"/>
        <v>0</v>
      </c>
      <c r="AO482" s="1031">
        <f t="shared" si="196"/>
        <v>0</v>
      </c>
      <c r="AP482" s="1032">
        <f t="shared" si="197"/>
        <v>0</v>
      </c>
      <c r="AQ482" s="5255" t="str">
        <f t="shared" si="198"/>
        <v/>
      </c>
      <c r="AR482" s="1056"/>
      <c r="AS482" s="1056"/>
      <c r="AT482" s="1034">
        <f t="shared" si="199"/>
        <v>0</v>
      </c>
      <c r="AU482" s="1035">
        <f t="shared" si="200"/>
        <v>0</v>
      </c>
      <c r="AV482" s="1057" cm="1">
        <f t="array" ref="AV482">IF(AJ482&lt;&gt;1,0,IF(OR(AT482="",N(AT482)&lt;=0.000000001),"",IF(OR(AN482="",N(AN482)&lt;=0.000000001),0,IF(ISNUMBER(AT482),IFERROR(_xlfn.LET(_xlpm.ai_test,TRIM(AI482),_xlpm.r,IFERROR(_xlfn.XLOOKUP(_xlpm.ai_test,$BI$15:$BI$62,ROW($BI$15:$BI$62),0,1),IFERROR(_xlfn.XLOOKUP(_xlpm.ai_test,$BJ$15:$BJ$62,ROW($BJ$15:$BJ$62),0,1),_xlfn.XLOOKUP(_xlpm.ai_test,$BK$15:$BK$62,ROW($BK$15:$BK$62),0,1))),_xlpm.p,_xlpm.r-MIN(ROW($BI$15:$BI$62))+1,_xlpm.f,INDEX($BL$15:$BL$62,_xlpm.p),_xlpm.u,INDEX($BM$15:$BM$62,_xlpm.p),_xlpm.s,INDEX($BO$15:$BO$62,_xlpm.p),_xlpm.q,N(AT482)/_xlpm.f,IF(_xlpm.q&gt;=_xlpm.s,ROUND(_xlpm.q,1)&amp;" "&amp;_xlpm.ai_test&amp;" = "&amp;ROUND(_xlpm.q*_xlpm.f,1)&amp;" "&amp;_xlpm.u,ROUND(_xlpm.q,1)&amp;" "&amp;_xlpm.ai_test)),""),""))))</f>
        <v>0</v>
      </c>
      <c r="AW482" s="1047"/>
      <c r="AX482" s="1034">
        <f t="shared" si="201"/>
        <v>0</v>
      </c>
      <c r="AY482" s="1035" t="str">
        <f t="shared" si="202"/>
        <v/>
      </c>
      <c r="AZ482" s="1036">
        <f t="shared" si="207"/>
        <v>0</v>
      </c>
      <c r="BA482" s="1037" t="str">
        <f t="shared" si="203"/>
        <v/>
      </c>
      <c r="BB482" s="1038"/>
      <c r="BC482" s="1039">
        <f t="shared" si="208"/>
        <v>0</v>
      </c>
      <c r="BD482" s="1040" t="str">
        <f t="shared" si="204"/>
        <v/>
      </c>
      <c r="BE482" s="227" t="s">
        <v>22</v>
      </c>
      <c r="BF482" s="1019">
        <f t="shared" si="205"/>
        <v>0</v>
      </c>
      <c r="BG482" s="1020">
        <f t="shared" si="206"/>
        <v>0</v>
      </c>
      <c r="BH482"/>
      <c r="BI482" s="709"/>
      <c r="BJ482" s="709"/>
      <c r="BK482" s="709"/>
      <c r="BL482" s="709"/>
      <c r="BM482" s="709"/>
      <c r="BN482" s="709"/>
      <c r="BO482" s="709"/>
      <c r="BP482" s="709"/>
      <c r="BW482" s="959" t="str">
        <f t="shared" si="187"/>
        <v>►</v>
      </c>
      <c r="BX482" s="856"/>
      <c r="BY482" s="856"/>
      <c r="BZ482" s="856"/>
      <c r="CA482" s="856"/>
      <c r="CB482" s="856"/>
      <c r="DB482" s="3">
        <v>1</v>
      </c>
    </row>
    <row r="483" spans="12:106" ht="21" customHeight="1">
      <c r="L483" s="104" t="s">
        <v>16</v>
      </c>
      <c r="M483" s="1172"/>
      <c r="N483" s="1172"/>
      <c r="O483" s="1172"/>
      <c r="P483" s="1173"/>
      <c r="Q483" s="1174"/>
      <c r="R483" s="1175"/>
      <c r="S483" s="1176"/>
      <c r="T483" s="1177"/>
      <c r="U483" s="5248"/>
      <c r="V483" s="1177"/>
      <c r="W483" s="5249"/>
      <c r="X483" s="5208"/>
      <c r="Y483" s="5209"/>
      <c r="Z483" s="5210"/>
      <c r="AA483" s="5211"/>
      <c r="AB483" s="1178"/>
      <c r="AC483" s="1179"/>
      <c r="AD483" s="227" t="s">
        <v>22</v>
      </c>
      <c r="AE483" s="1027" t="str">
        <f t="shared" si="188"/>
        <v>►</v>
      </c>
      <c r="AF483" s="1028" t="str">
        <f t="shared" si="189"/>
        <v/>
      </c>
      <c r="AG483" s="1029" t="str">
        <f t="shared" si="190"/>
        <v/>
      </c>
      <c r="AH483" s="1028" t="str">
        <f t="shared" si="191"/>
        <v/>
      </c>
      <c r="AI483" s="1029" t="str">
        <f t="shared" si="192"/>
        <v/>
      </c>
      <c r="AJ483" s="1029">
        <f t="shared" si="193"/>
        <v>0</v>
      </c>
      <c r="AK483" s="1043" t="str" cm="1">
        <f t="array" ref="AK483">IF(AE483&lt;&gt;"A","",IFERROR((IFERROR(_xlfn.XLOOKUP(TRIM(SUBSTITUTE(U483,CHAR(160)," ")),$BI$15:$BI$62,$BL$15:$BL$62),IFERROR(_xlfn.XLOOKUP(TRIM(SUBSTITUTE(U483,CHAR(160)," ")),$BJ$15:$BJ$62,$BL$15:$BL$62),_xlfn.XLOOKUP(TRIM(SUBSTITUTE(U483,CHAR(160)," ")),$BK$15:$BK$62,$BL$15:$BL$62))))*T483*IF(ISBLANK(Q483),1,Q483)+IFERROR(_xlfn.XLOOKUP("RECHERCHEX",TRIM(L483:AC483),L483:AC483),0),0))</f>
        <v/>
      </c>
      <c r="AL483" s="1030">
        <f t="shared" si="194"/>
        <v>0</v>
      </c>
      <c r="AM483" s="5254" t="str">
        <f t="shared" si="209"/>
        <v/>
      </c>
      <c r="AN483" s="1031">
        <f t="shared" si="195"/>
        <v>0</v>
      </c>
      <c r="AO483" s="1031">
        <f t="shared" si="196"/>
        <v>0</v>
      </c>
      <c r="AP483" s="1044">
        <f t="shared" si="197"/>
        <v>0</v>
      </c>
      <c r="AQ483" s="5257" t="str">
        <f t="shared" si="198"/>
        <v/>
      </c>
      <c r="AR483" s="1056"/>
      <c r="AS483" s="1056"/>
      <c r="AT483" s="1045">
        <f t="shared" si="199"/>
        <v>0</v>
      </c>
      <c r="AU483" s="1046">
        <f t="shared" si="200"/>
        <v>0</v>
      </c>
      <c r="AV483" s="1059" cm="1">
        <f t="array" ref="AV483">IF(AJ483&lt;&gt;1,0,IF(OR(AT483="",N(AT483)&lt;=0.000000001),"",IF(OR(AN483="",N(AN483)&lt;=0.000000001),0,IF(ISNUMBER(AT483),IFERROR(_xlfn.LET(_xlpm.ai_test,TRIM(AI483),_xlpm.r,IFERROR(_xlfn.XLOOKUP(_xlpm.ai_test,$BI$15:$BI$62,ROW($BI$15:$BI$62),0,1),IFERROR(_xlfn.XLOOKUP(_xlpm.ai_test,$BJ$15:$BJ$62,ROW($BJ$15:$BJ$62),0,1),_xlfn.XLOOKUP(_xlpm.ai_test,$BK$15:$BK$62,ROW($BK$15:$BK$62),0,1))),_xlpm.p,_xlpm.r-MIN(ROW($BI$15:$BI$62))+1,_xlpm.f,INDEX($BL$15:$BL$62,_xlpm.p),_xlpm.u,INDEX($BM$15:$BM$62,_xlpm.p),_xlpm.s,INDEX($BO$15:$BO$62,_xlpm.p),_xlpm.q,N(AT483)/_xlpm.f,IF(_xlpm.q&gt;=_xlpm.s,ROUND(_xlpm.q,1)&amp;" "&amp;_xlpm.ai_test&amp;" = "&amp;ROUND(_xlpm.q*_xlpm.f,1)&amp;" "&amp;_xlpm.u,ROUND(_xlpm.q,1)&amp;" "&amp;_xlpm.ai_test)),""),""))))</f>
        <v>0</v>
      </c>
      <c r="AW483" s="1047"/>
      <c r="AX483" s="1045">
        <f t="shared" si="201"/>
        <v>0</v>
      </c>
      <c r="AY483" s="1046" t="str">
        <f t="shared" si="202"/>
        <v/>
      </c>
      <c r="AZ483" s="1048">
        <f t="shared" si="207"/>
        <v>0</v>
      </c>
      <c r="BA483" s="1049" t="str">
        <f t="shared" si="203"/>
        <v/>
      </c>
      <c r="BB483" s="1038"/>
      <c r="BC483" s="1050">
        <f t="shared" si="208"/>
        <v>0</v>
      </c>
      <c r="BD483" s="1040" t="str">
        <f t="shared" si="204"/>
        <v/>
      </c>
      <c r="BE483" s="227" t="s">
        <v>22</v>
      </c>
      <c r="BF483" s="1019">
        <f t="shared" si="205"/>
        <v>0</v>
      </c>
      <c r="BG483" s="1020">
        <f t="shared" si="206"/>
        <v>0</v>
      </c>
      <c r="BH483"/>
      <c r="BI483" s="709"/>
      <c r="BJ483" s="709"/>
      <c r="BK483" s="709"/>
      <c r="BL483" s="709"/>
      <c r="BM483" s="709"/>
      <c r="BN483" s="709"/>
      <c r="BO483" s="709"/>
      <c r="BP483" s="709"/>
      <c r="BW483" s="959" t="str">
        <f t="shared" si="187"/>
        <v>►</v>
      </c>
      <c r="BX483" s="856"/>
      <c r="BY483" s="856"/>
      <c r="BZ483" s="856"/>
      <c r="CA483" s="856"/>
      <c r="CB483" s="856"/>
      <c r="DB483" s="3">
        <v>1</v>
      </c>
    </row>
    <row r="484" spans="12:106" ht="21" customHeight="1">
      <c r="L484" s="104" t="s">
        <v>16</v>
      </c>
      <c r="M484" s="1172"/>
      <c r="N484" s="1172"/>
      <c r="O484" s="1172"/>
      <c r="P484" s="1173"/>
      <c r="Q484" s="1174"/>
      <c r="R484" s="1175"/>
      <c r="S484" s="1176"/>
      <c r="T484" s="1177"/>
      <c r="U484" s="5248"/>
      <c r="V484" s="1177"/>
      <c r="W484" s="5249"/>
      <c r="X484" s="5208"/>
      <c r="Y484" s="5209"/>
      <c r="Z484" s="5210"/>
      <c r="AA484" s="5211"/>
      <c r="AB484" s="1178"/>
      <c r="AC484" s="1179"/>
      <c r="AD484" s="227" t="s">
        <v>22</v>
      </c>
      <c r="AE484" s="1027" t="str">
        <f t="shared" si="188"/>
        <v>►</v>
      </c>
      <c r="AF484" s="1028" t="str">
        <f t="shared" si="189"/>
        <v/>
      </c>
      <c r="AG484" s="1029" t="str">
        <f t="shared" si="190"/>
        <v/>
      </c>
      <c r="AH484" s="1028" t="str">
        <f t="shared" si="191"/>
        <v/>
      </c>
      <c r="AI484" s="1029" t="str">
        <f t="shared" si="192"/>
        <v/>
      </c>
      <c r="AJ484" s="1029">
        <f t="shared" si="193"/>
        <v>0</v>
      </c>
      <c r="AK484" s="1043" t="str" cm="1">
        <f t="array" ref="AK484">IF(AE484&lt;&gt;"A","",IFERROR((IFERROR(_xlfn.XLOOKUP(TRIM(SUBSTITUTE(U484,CHAR(160)," ")),$BI$15:$BI$62,$BL$15:$BL$62),IFERROR(_xlfn.XLOOKUP(TRIM(SUBSTITUTE(U484,CHAR(160)," ")),$BJ$15:$BJ$62,$BL$15:$BL$62),_xlfn.XLOOKUP(TRIM(SUBSTITUTE(U484,CHAR(160)," ")),$BK$15:$BK$62,$BL$15:$BL$62))))*T484*IF(ISBLANK(Q484),1,Q484)+IFERROR(_xlfn.XLOOKUP("RECHERCHEX",TRIM(L484:AC484),L484:AC484),0),0))</f>
        <v/>
      </c>
      <c r="AL484" s="1030">
        <f t="shared" si="194"/>
        <v>0</v>
      </c>
      <c r="AM484" s="5254" t="str">
        <f t="shared" si="209"/>
        <v/>
      </c>
      <c r="AN484" s="1031">
        <f t="shared" si="195"/>
        <v>0</v>
      </c>
      <c r="AO484" s="1031">
        <f t="shared" si="196"/>
        <v>0</v>
      </c>
      <c r="AP484" s="1032">
        <f t="shared" si="197"/>
        <v>0</v>
      </c>
      <c r="AQ484" s="5255" t="str">
        <f t="shared" si="198"/>
        <v/>
      </c>
      <c r="AR484" s="1056"/>
      <c r="AS484" s="1056"/>
      <c r="AT484" s="1034">
        <f t="shared" si="199"/>
        <v>0</v>
      </c>
      <c r="AU484" s="1035">
        <f t="shared" si="200"/>
        <v>0</v>
      </c>
      <c r="AV484" s="1057" cm="1">
        <f t="array" ref="AV484">IF(AJ484&lt;&gt;1,0,IF(OR(AT484="",N(AT484)&lt;=0.000000001),"",IF(OR(AN484="",N(AN484)&lt;=0.000000001),0,IF(ISNUMBER(AT484),IFERROR(_xlfn.LET(_xlpm.ai_test,TRIM(AI484),_xlpm.r,IFERROR(_xlfn.XLOOKUP(_xlpm.ai_test,$BI$15:$BI$62,ROW($BI$15:$BI$62),0,1),IFERROR(_xlfn.XLOOKUP(_xlpm.ai_test,$BJ$15:$BJ$62,ROW($BJ$15:$BJ$62),0,1),_xlfn.XLOOKUP(_xlpm.ai_test,$BK$15:$BK$62,ROW($BK$15:$BK$62),0,1))),_xlpm.p,_xlpm.r-MIN(ROW($BI$15:$BI$62))+1,_xlpm.f,INDEX($BL$15:$BL$62,_xlpm.p),_xlpm.u,INDEX($BM$15:$BM$62,_xlpm.p),_xlpm.s,INDEX($BO$15:$BO$62,_xlpm.p),_xlpm.q,N(AT484)/_xlpm.f,IF(_xlpm.q&gt;=_xlpm.s,ROUND(_xlpm.q,1)&amp;" "&amp;_xlpm.ai_test&amp;" = "&amp;ROUND(_xlpm.q*_xlpm.f,1)&amp;" "&amp;_xlpm.u,ROUND(_xlpm.q,1)&amp;" "&amp;_xlpm.ai_test)),""),""))))</f>
        <v>0</v>
      </c>
      <c r="AW484" s="1047"/>
      <c r="AX484" s="1034">
        <f t="shared" si="201"/>
        <v>0</v>
      </c>
      <c r="AY484" s="1035" t="str">
        <f t="shared" si="202"/>
        <v/>
      </c>
      <c r="AZ484" s="1036">
        <f t="shared" si="207"/>
        <v>0</v>
      </c>
      <c r="BA484" s="1037" t="str">
        <f t="shared" si="203"/>
        <v/>
      </c>
      <c r="BB484" s="1038"/>
      <c r="BC484" s="1039">
        <f t="shared" si="208"/>
        <v>0</v>
      </c>
      <c r="BD484" s="1040" t="str">
        <f t="shared" si="204"/>
        <v/>
      </c>
      <c r="BE484" s="227" t="s">
        <v>22</v>
      </c>
      <c r="BF484" s="1019">
        <f t="shared" si="205"/>
        <v>0</v>
      </c>
      <c r="BG484" s="1020">
        <f t="shared" si="206"/>
        <v>0</v>
      </c>
      <c r="BH484"/>
      <c r="BI484" s="709"/>
      <c r="BJ484" s="709"/>
      <c r="BK484" s="709"/>
      <c r="BL484" s="709"/>
      <c r="BM484" s="709"/>
      <c r="BN484" s="709"/>
      <c r="BO484" s="709"/>
      <c r="BP484" s="709"/>
      <c r="BW484" s="959" t="str">
        <f t="shared" si="187"/>
        <v>►</v>
      </c>
      <c r="BX484" s="856"/>
      <c r="BY484" s="856"/>
      <c r="BZ484" s="856"/>
      <c r="CA484" s="856"/>
      <c r="CB484" s="856"/>
      <c r="DB484" s="3">
        <v>1</v>
      </c>
    </row>
    <row r="485" spans="12:106" ht="21" customHeight="1">
      <c r="L485" s="104" t="s">
        <v>16</v>
      </c>
      <c r="M485" s="1172"/>
      <c r="N485" s="1172"/>
      <c r="O485" s="1172"/>
      <c r="P485" s="1173"/>
      <c r="Q485" s="1174"/>
      <c r="R485" s="1175"/>
      <c r="S485" s="1176"/>
      <c r="T485" s="1177"/>
      <c r="U485" s="5248"/>
      <c r="V485" s="1177"/>
      <c r="W485" s="5249"/>
      <c r="X485" s="5208"/>
      <c r="Y485" s="5209"/>
      <c r="Z485" s="5210"/>
      <c r="AA485" s="5211"/>
      <c r="AB485" s="1178"/>
      <c r="AC485" s="1179"/>
      <c r="AD485" s="227" t="s">
        <v>22</v>
      </c>
      <c r="AE485" s="1027" t="str">
        <f t="shared" si="188"/>
        <v>►</v>
      </c>
      <c r="AF485" s="1028" t="str">
        <f t="shared" si="189"/>
        <v/>
      </c>
      <c r="AG485" s="1029" t="str">
        <f t="shared" si="190"/>
        <v/>
      </c>
      <c r="AH485" s="1028" t="str">
        <f t="shared" si="191"/>
        <v/>
      </c>
      <c r="AI485" s="1029" t="str">
        <f t="shared" si="192"/>
        <v/>
      </c>
      <c r="AJ485" s="1029">
        <f t="shared" si="193"/>
        <v>0</v>
      </c>
      <c r="AK485" s="1043" t="str" cm="1">
        <f t="array" ref="AK485">IF(AE485&lt;&gt;"A","",IFERROR((IFERROR(_xlfn.XLOOKUP(TRIM(SUBSTITUTE(U485,CHAR(160)," ")),$BI$15:$BI$62,$BL$15:$BL$62),IFERROR(_xlfn.XLOOKUP(TRIM(SUBSTITUTE(U485,CHAR(160)," ")),$BJ$15:$BJ$62,$BL$15:$BL$62),_xlfn.XLOOKUP(TRIM(SUBSTITUTE(U485,CHAR(160)," ")),$BK$15:$BK$62,$BL$15:$BL$62))))*T485*IF(ISBLANK(Q485),1,Q485)+IFERROR(_xlfn.XLOOKUP("RECHERCHEX",TRIM(L485:AC485),L485:AC485),0),0))</f>
        <v/>
      </c>
      <c r="AL485" s="1030">
        <f t="shared" si="194"/>
        <v>0</v>
      </c>
      <c r="AM485" s="5254" t="str">
        <f t="shared" si="209"/>
        <v/>
      </c>
      <c r="AN485" s="1031">
        <f t="shared" si="195"/>
        <v>0</v>
      </c>
      <c r="AO485" s="1031">
        <f t="shared" si="196"/>
        <v>0</v>
      </c>
      <c r="AP485" s="1044">
        <f t="shared" si="197"/>
        <v>0</v>
      </c>
      <c r="AQ485" s="5257" t="str">
        <f t="shared" si="198"/>
        <v/>
      </c>
      <c r="AR485" s="1056"/>
      <c r="AS485" s="1056"/>
      <c r="AT485" s="1045">
        <f t="shared" si="199"/>
        <v>0</v>
      </c>
      <c r="AU485" s="1046">
        <f t="shared" si="200"/>
        <v>0</v>
      </c>
      <c r="AV485" s="1059" cm="1">
        <f t="array" ref="AV485">IF(AJ485&lt;&gt;1,0,IF(OR(AT485="",N(AT485)&lt;=0.000000001),"",IF(OR(AN485="",N(AN485)&lt;=0.000000001),0,IF(ISNUMBER(AT485),IFERROR(_xlfn.LET(_xlpm.ai_test,TRIM(AI485),_xlpm.r,IFERROR(_xlfn.XLOOKUP(_xlpm.ai_test,$BI$15:$BI$62,ROW($BI$15:$BI$62),0,1),IFERROR(_xlfn.XLOOKUP(_xlpm.ai_test,$BJ$15:$BJ$62,ROW($BJ$15:$BJ$62),0,1),_xlfn.XLOOKUP(_xlpm.ai_test,$BK$15:$BK$62,ROW($BK$15:$BK$62),0,1))),_xlpm.p,_xlpm.r-MIN(ROW($BI$15:$BI$62))+1,_xlpm.f,INDEX($BL$15:$BL$62,_xlpm.p),_xlpm.u,INDEX($BM$15:$BM$62,_xlpm.p),_xlpm.s,INDEX($BO$15:$BO$62,_xlpm.p),_xlpm.q,N(AT485)/_xlpm.f,IF(_xlpm.q&gt;=_xlpm.s,ROUND(_xlpm.q,1)&amp;" "&amp;_xlpm.ai_test&amp;" = "&amp;ROUND(_xlpm.q*_xlpm.f,1)&amp;" "&amp;_xlpm.u,ROUND(_xlpm.q,1)&amp;" "&amp;_xlpm.ai_test)),""),""))))</f>
        <v>0</v>
      </c>
      <c r="AW485" s="1047"/>
      <c r="AX485" s="1045">
        <f t="shared" si="201"/>
        <v>0</v>
      </c>
      <c r="AY485" s="1046" t="str">
        <f t="shared" si="202"/>
        <v/>
      </c>
      <c r="AZ485" s="1048">
        <f t="shared" si="207"/>
        <v>0</v>
      </c>
      <c r="BA485" s="1049" t="str">
        <f t="shared" si="203"/>
        <v/>
      </c>
      <c r="BB485" s="1038"/>
      <c r="BC485" s="1050">
        <f t="shared" si="208"/>
        <v>0</v>
      </c>
      <c r="BD485" s="1040" t="str">
        <f t="shared" si="204"/>
        <v/>
      </c>
      <c r="BE485" s="227" t="s">
        <v>22</v>
      </c>
      <c r="BF485" s="1019">
        <f t="shared" si="205"/>
        <v>0</v>
      </c>
      <c r="BG485" s="1020">
        <f t="shared" si="206"/>
        <v>0</v>
      </c>
      <c r="BH485"/>
      <c r="BI485" s="709"/>
      <c r="BJ485" s="709"/>
      <c r="BK485" s="709"/>
      <c r="BL485" s="709"/>
      <c r="BM485" s="709"/>
      <c r="BN485" s="709"/>
      <c r="BO485" s="709"/>
      <c r="BP485" s="709"/>
      <c r="BW485" s="959" t="str">
        <f t="shared" si="187"/>
        <v>►</v>
      </c>
      <c r="BX485" s="856"/>
      <c r="BY485" s="856"/>
      <c r="BZ485" s="856"/>
      <c r="CA485" s="856"/>
      <c r="CB485" s="856"/>
      <c r="DB485" s="3">
        <v>1</v>
      </c>
    </row>
    <row r="486" spans="12:106" ht="21" customHeight="1">
      <c r="L486" s="104" t="s">
        <v>16</v>
      </c>
      <c r="M486" s="1172"/>
      <c r="N486" s="1172"/>
      <c r="O486" s="1172"/>
      <c r="P486" s="1173"/>
      <c r="Q486" s="1174"/>
      <c r="R486" s="1175"/>
      <c r="S486" s="1176"/>
      <c r="T486" s="1177"/>
      <c r="U486" s="5248"/>
      <c r="V486" s="1177"/>
      <c r="W486" s="5249"/>
      <c r="X486" s="5208"/>
      <c r="Y486" s="5209"/>
      <c r="Z486" s="5210"/>
      <c r="AA486" s="5211"/>
      <c r="AB486" s="1178"/>
      <c r="AC486" s="1179"/>
      <c r="AD486" s="227" t="s">
        <v>22</v>
      </c>
      <c r="AE486" s="1027" t="str">
        <f t="shared" si="188"/>
        <v>►</v>
      </c>
      <c r="AF486" s="1028" t="str">
        <f t="shared" si="189"/>
        <v/>
      </c>
      <c r="AG486" s="1029" t="str">
        <f t="shared" si="190"/>
        <v/>
      </c>
      <c r="AH486" s="1028" t="str">
        <f t="shared" si="191"/>
        <v/>
      </c>
      <c r="AI486" s="1029" t="str">
        <f t="shared" si="192"/>
        <v/>
      </c>
      <c r="AJ486" s="1029">
        <f t="shared" si="193"/>
        <v>0</v>
      </c>
      <c r="AK486" s="1043" t="str" cm="1">
        <f t="array" ref="AK486">IF(AE486&lt;&gt;"A","",IFERROR((IFERROR(_xlfn.XLOOKUP(TRIM(SUBSTITUTE(U486,CHAR(160)," ")),$BI$15:$BI$62,$BL$15:$BL$62),IFERROR(_xlfn.XLOOKUP(TRIM(SUBSTITUTE(U486,CHAR(160)," ")),$BJ$15:$BJ$62,$BL$15:$BL$62),_xlfn.XLOOKUP(TRIM(SUBSTITUTE(U486,CHAR(160)," ")),$BK$15:$BK$62,$BL$15:$BL$62))))*T486*IF(ISBLANK(Q486),1,Q486)+IFERROR(_xlfn.XLOOKUP("RECHERCHEX",TRIM(L486:AC486),L486:AC486),0),0))</f>
        <v/>
      </c>
      <c r="AL486" s="1030">
        <f t="shared" si="194"/>
        <v>0</v>
      </c>
      <c r="AM486" s="5254" t="str">
        <f t="shared" si="209"/>
        <v/>
      </c>
      <c r="AN486" s="1031">
        <f t="shared" si="195"/>
        <v>0</v>
      </c>
      <c r="AO486" s="1031">
        <f t="shared" si="196"/>
        <v>0</v>
      </c>
      <c r="AP486" s="1032">
        <f t="shared" si="197"/>
        <v>0</v>
      </c>
      <c r="AQ486" s="5255" t="str">
        <f t="shared" si="198"/>
        <v/>
      </c>
      <c r="AR486" s="1056"/>
      <c r="AS486" s="1056"/>
      <c r="AT486" s="1034">
        <f t="shared" si="199"/>
        <v>0</v>
      </c>
      <c r="AU486" s="1035">
        <f t="shared" si="200"/>
        <v>0</v>
      </c>
      <c r="AV486" s="1057" cm="1">
        <f t="array" ref="AV486">IF(AJ486&lt;&gt;1,0,IF(OR(AT486="",N(AT486)&lt;=0.000000001),"",IF(OR(AN486="",N(AN486)&lt;=0.000000001),0,IF(ISNUMBER(AT486),IFERROR(_xlfn.LET(_xlpm.ai_test,TRIM(AI486),_xlpm.r,IFERROR(_xlfn.XLOOKUP(_xlpm.ai_test,$BI$15:$BI$62,ROW($BI$15:$BI$62),0,1),IFERROR(_xlfn.XLOOKUP(_xlpm.ai_test,$BJ$15:$BJ$62,ROW($BJ$15:$BJ$62),0,1),_xlfn.XLOOKUP(_xlpm.ai_test,$BK$15:$BK$62,ROW($BK$15:$BK$62),0,1))),_xlpm.p,_xlpm.r-MIN(ROW($BI$15:$BI$62))+1,_xlpm.f,INDEX($BL$15:$BL$62,_xlpm.p),_xlpm.u,INDEX($BM$15:$BM$62,_xlpm.p),_xlpm.s,INDEX($BO$15:$BO$62,_xlpm.p),_xlpm.q,N(AT486)/_xlpm.f,IF(_xlpm.q&gt;=_xlpm.s,ROUND(_xlpm.q,1)&amp;" "&amp;_xlpm.ai_test&amp;" = "&amp;ROUND(_xlpm.q*_xlpm.f,1)&amp;" "&amp;_xlpm.u,ROUND(_xlpm.q,1)&amp;" "&amp;_xlpm.ai_test)),""),""))))</f>
        <v>0</v>
      </c>
      <c r="AW486" s="1047"/>
      <c r="AX486" s="1034">
        <f t="shared" si="201"/>
        <v>0</v>
      </c>
      <c r="AY486" s="1035" t="str">
        <f t="shared" si="202"/>
        <v/>
      </c>
      <c r="AZ486" s="1036">
        <f t="shared" si="207"/>
        <v>0</v>
      </c>
      <c r="BA486" s="1037" t="str">
        <f t="shared" si="203"/>
        <v/>
      </c>
      <c r="BB486" s="1038"/>
      <c r="BC486" s="1039">
        <f t="shared" si="208"/>
        <v>0</v>
      </c>
      <c r="BD486" s="1040" t="str">
        <f t="shared" si="204"/>
        <v/>
      </c>
      <c r="BE486" s="227" t="s">
        <v>22</v>
      </c>
      <c r="BF486" s="1019">
        <f t="shared" si="205"/>
        <v>0</v>
      </c>
      <c r="BG486" s="1020">
        <f t="shared" si="206"/>
        <v>0</v>
      </c>
      <c r="BH486"/>
      <c r="BI486" s="709"/>
      <c r="BJ486" s="709"/>
      <c r="BK486" s="709"/>
      <c r="BL486" s="709"/>
      <c r="BM486" s="709"/>
      <c r="BN486" s="709"/>
      <c r="BO486" s="709"/>
      <c r="BP486" s="709"/>
      <c r="BW486" s="959" t="str">
        <f t="shared" si="187"/>
        <v>►</v>
      </c>
      <c r="BX486" s="856"/>
      <c r="BY486" s="856"/>
      <c r="BZ486" s="856"/>
      <c r="CA486" s="856"/>
      <c r="CB486" s="856"/>
      <c r="DB486" s="3">
        <v>1</v>
      </c>
    </row>
    <row r="487" spans="12:106" ht="21" customHeight="1">
      <c r="L487" s="104" t="s">
        <v>16</v>
      </c>
      <c r="M487" s="1172"/>
      <c r="N487" s="1172"/>
      <c r="O487" s="1172"/>
      <c r="P487" s="1173"/>
      <c r="Q487" s="1174"/>
      <c r="R487" s="1175"/>
      <c r="S487" s="1176"/>
      <c r="T487" s="1177"/>
      <c r="U487" s="5248"/>
      <c r="V487" s="1177"/>
      <c r="W487" s="5249"/>
      <c r="X487" s="5208"/>
      <c r="Y487" s="5209"/>
      <c r="Z487" s="5210"/>
      <c r="AA487" s="5211"/>
      <c r="AB487" s="1178"/>
      <c r="AC487" s="1179"/>
      <c r="AD487" s="227" t="s">
        <v>22</v>
      </c>
      <c r="AE487" s="1027" t="str">
        <f t="shared" si="188"/>
        <v>►</v>
      </c>
      <c r="AF487" s="1028" t="str">
        <f t="shared" si="189"/>
        <v/>
      </c>
      <c r="AG487" s="1029" t="str">
        <f t="shared" si="190"/>
        <v/>
      </c>
      <c r="AH487" s="1028" t="str">
        <f t="shared" si="191"/>
        <v/>
      </c>
      <c r="AI487" s="1029" t="str">
        <f t="shared" si="192"/>
        <v/>
      </c>
      <c r="AJ487" s="1029">
        <f t="shared" si="193"/>
        <v>0</v>
      </c>
      <c r="AK487" s="1043" t="str" cm="1">
        <f t="array" ref="AK487">IF(AE487&lt;&gt;"A","",IFERROR((IFERROR(_xlfn.XLOOKUP(TRIM(SUBSTITUTE(U487,CHAR(160)," ")),$BI$15:$BI$62,$BL$15:$BL$62),IFERROR(_xlfn.XLOOKUP(TRIM(SUBSTITUTE(U487,CHAR(160)," ")),$BJ$15:$BJ$62,$BL$15:$BL$62),_xlfn.XLOOKUP(TRIM(SUBSTITUTE(U487,CHAR(160)," ")),$BK$15:$BK$62,$BL$15:$BL$62))))*T487*IF(ISBLANK(Q487),1,Q487)+IFERROR(_xlfn.XLOOKUP("RECHERCHEX",TRIM(L487:AC487),L487:AC487),0),0))</f>
        <v/>
      </c>
      <c r="AL487" s="1030">
        <f t="shared" si="194"/>
        <v>0</v>
      </c>
      <c r="AM487" s="5254" t="str">
        <f t="shared" si="209"/>
        <v/>
      </c>
      <c r="AN487" s="1031">
        <f t="shared" si="195"/>
        <v>0</v>
      </c>
      <c r="AO487" s="1031">
        <f t="shared" si="196"/>
        <v>0</v>
      </c>
      <c r="AP487" s="1044">
        <f t="shared" si="197"/>
        <v>0</v>
      </c>
      <c r="AQ487" s="5257" t="str">
        <f t="shared" si="198"/>
        <v/>
      </c>
      <c r="AR487" s="1056"/>
      <c r="AS487" s="1056"/>
      <c r="AT487" s="1045">
        <f t="shared" si="199"/>
        <v>0</v>
      </c>
      <c r="AU487" s="1046">
        <f t="shared" si="200"/>
        <v>0</v>
      </c>
      <c r="AV487" s="1059" cm="1">
        <f t="array" ref="AV487">IF(AJ487&lt;&gt;1,0,IF(OR(AT487="",N(AT487)&lt;=0.000000001),"",IF(OR(AN487="",N(AN487)&lt;=0.000000001),0,IF(ISNUMBER(AT487),IFERROR(_xlfn.LET(_xlpm.ai_test,TRIM(AI487),_xlpm.r,IFERROR(_xlfn.XLOOKUP(_xlpm.ai_test,$BI$15:$BI$62,ROW($BI$15:$BI$62),0,1),IFERROR(_xlfn.XLOOKUP(_xlpm.ai_test,$BJ$15:$BJ$62,ROW($BJ$15:$BJ$62),0,1),_xlfn.XLOOKUP(_xlpm.ai_test,$BK$15:$BK$62,ROW($BK$15:$BK$62),0,1))),_xlpm.p,_xlpm.r-MIN(ROW($BI$15:$BI$62))+1,_xlpm.f,INDEX($BL$15:$BL$62,_xlpm.p),_xlpm.u,INDEX($BM$15:$BM$62,_xlpm.p),_xlpm.s,INDEX($BO$15:$BO$62,_xlpm.p),_xlpm.q,N(AT487)/_xlpm.f,IF(_xlpm.q&gt;=_xlpm.s,ROUND(_xlpm.q,1)&amp;" "&amp;_xlpm.ai_test&amp;" = "&amp;ROUND(_xlpm.q*_xlpm.f,1)&amp;" "&amp;_xlpm.u,ROUND(_xlpm.q,1)&amp;" "&amp;_xlpm.ai_test)),""),""))))</f>
        <v>0</v>
      </c>
      <c r="AW487" s="1047"/>
      <c r="AX487" s="1045">
        <f t="shared" si="201"/>
        <v>0</v>
      </c>
      <c r="AY487" s="1046" t="str">
        <f t="shared" si="202"/>
        <v/>
      </c>
      <c r="AZ487" s="1048">
        <f t="shared" si="207"/>
        <v>0</v>
      </c>
      <c r="BA487" s="1049" t="str">
        <f t="shared" si="203"/>
        <v/>
      </c>
      <c r="BB487" s="1038"/>
      <c r="BC487" s="1050">
        <f t="shared" si="208"/>
        <v>0</v>
      </c>
      <c r="BD487" s="1040" t="str">
        <f t="shared" si="204"/>
        <v/>
      </c>
      <c r="BE487" s="227" t="s">
        <v>22</v>
      </c>
      <c r="BF487" s="1019">
        <f t="shared" si="205"/>
        <v>0</v>
      </c>
      <c r="BG487" s="1020">
        <f t="shared" si="206"/>
        <v>0</v>
      </c>
      <c r="BH487"/>
      <c r="BI487" s="709"/>
      <c r="BJ487" s="709"/>
      <c r="BK487" s="709"/>
      <c r="BL487" s="709"/>
      <c r="BM487" s="709"/>
      <c r="BN487" s="709"/>
      <c r="BO487" s="709"/>
      <c r="BP487" s="709"/>
      <c r="BW487" s="959" t="str">
        <f t="shared" si="187"/>
        <v>►</v>
      </c>
      <c r="BX487" s="856"/>
      <c r="BY487" s="856"/>
      <c r="BZ487" s="856"/>
      <c r="CA487" s="856"/>
      <c r="CB487" s="856"/>
      <c r="DB487" s="3">
        <v>1</v>
      </c>
    </row>
    <row r="488" spans="12:106" ht="21" customHeight="1">
      <c r="L488" s="104" t="s">
        <v>16</v>
      </c>
      <c r="M488" s="1172"/>
      <c r="N488" s="1172"/>
      <c r="O488" s="1172"/>
      <c r="P488" s="1173"/>
      <c r="Q488" s="1174"/>
      <c r="R488" s="1175"/>
      <c r="S488" s="1176"/>
      <c r="T488" s="1177"/>
      <c r="U488" s="5248"/>
      <c r="V488" s="1177"/>
      <c r="W488" s="5249"/>
      <c r="X488" s="5208"/>
      <c r="Y488" s="5209"/>
      <c r="Z488" s="5210"/>
      <c r="AA488" s="5211"/>
      <c r="AB488" s="1178"/>
      <c r="AC488" s="1179"/>
      <c r="AD488" s="227" t="s">
        <v>22</v>
      </c>
      <c r="AE488" s="1027" t="str">
        <f t="shared" si="188"/>
        <v>►</v>
      </c>
      <c r="AF488" s="1028" t="str">
        <f t="shared" si="189"/>
        <v/>
      </c>
      <c r="AG488" s="1029" t="str">
        <f t="shared" si="190"/>
        <v/>
      </c>
      <c r="AH488" s="1028" t="str">
        <f t="shared" si="191"/>
        <v/>
      </c>
      <c r="AI488" s="1029" t="str">
        <f t="shared" si="192"/>
        <v/>
      </c>
      <c r="AJ488" s="1029">
        <f t="shared" si="193"/>
        <v>0</v>
      </c>
      <c r="AK488" s="1043" t="str" cm="1">
        <f t="array" ref="AK488">IF(AE488&lt;&gt;"A","",IFERROR((IFERROR(_xlfn.XLOOKUP(TRIM(SUBSTITUTE(U488,CHAR(160)," ")),$BI$15:$BI$62,$BL$15:$BL$62),IFERROR(_xlfn.XLOOKUP(TRIM(SUBSTITUTE(U488,CHAR(160)," ")),$BJ$15:$BJ$62,$BL$15:$BL$62),_xlfn.XLOOKUP(TRIM(SUBSTITUTE(U488,CHAR(160)," ")),$BK$15:$BK$62,$BL$15:$BL$62))))*T488*IF(ISBLANK(Q488),1,Q488)+IFERROR(_xlfn.XLOOKUP("RECHERCHEX",TRIM(L488:AC488),L488:AC488),0),0))</f>
        <v/>
      </c>
      <c r="AL488" s="1030">
        <f t="shared" si="194"/>
        <v>0</v>
      </c>
      <c r="AM488" s="5254" t="str">
        <f t="shared" si="209"/>
        <v/>
      </c>
      <c r="AN488" s="1031">
        <f t="shared" si="195"/>
        <v>0</v>
      </c>
      <c r="AO488" s="1031">
        <f t="shared" si="196"/>
        <v>0</v>
      </c>
      <c r="AP488" s="1032">
        <f t="shared" si="197"/>
        <v>0</v>
      </c>
      <c r="AQ488" s="5255" t="str">
        <f t="shared" si="198"/>
        <v/>
      </c>
      <c r="AR488" s="1056"/>
      <c r="AS488" s="1056"/>
      <c r="AT488" s="1034">
        <f t="shared" si="199"/>
        <v>0</v>
      </c>
      <c r="AU488" s="1035">
        <f t="shared" si="200"/>
        <v>0</v>
      </c>
      <c r="AV488" s="1057" cm="1">
        <f t="array" ref="AV488">IF(AJ488&lt;&gt;1,0,IF(OR(AT488="",N(AT488)&lt;=0.000000001),"",IF(OR(AN488="",N(AN488)&lt;=0.000000001),0,IF(ISNUMBER(AT488),IFERROR(_xlfn.LET(_xlpm.ai_test,TRIM(AI488),_xlpm.r,IFERROR(_xlfn.XLOOKUP(_xlpm.ai_test,$BI$15:$BI$62,ROW($BI$15:$BI$62),0,1),IFERROR(_xlfn.XLOOKUP(_xlpm.ai_test,$BJ$15:$BJ$62,ROW($BJ$15:$BJ$62),0,1),_xlfn.XLOOKUP(_xlpm.ai_test,$BK$15:$BK$62,ROW($BK$15:$BK$62),0,1))),_xlpm.p,_xlpm.r-MIN(ROW($BI$15:$BI$62))+1,_xlpm.f,INDEX($BL$15:$BL$62,_xlpm.p),_xlpm.u,INDEX($BM$15:$BM$62,_xlpm.p),_xlpm.s,INDEX($BO$15:$BO$62,_xlpm.p),_xlpm.q,N(AT488)/_xlpm.f,IF(_xlpm.q&gt;=_xlpm.s,ROUND(_xlpm.q,1)&amp;" "&amp;_xlpm.ai_test&amp;" = "&amp;ROUND(_xlpm.q*_xlpm.f,1)&amp;" "&amp;_xlpm.u,ROUND(_xlpm.q,1)&amp;" "&amp;_xlpm.ai_test)),""),""))))</f>
        <v>0</v>
      </c>
      <c r="AW488" s="1047"/>
      <c r="AX488" s="1034">
        <f t="shared" si="201"/>
        <v>0</v>
      </c>
      <c r="AY488" s="1035" t="str">
        <f t="shared" si="202"/>
        <v/>
      </c>
      <c r="AZ488" s="1036">
        <f t="shared" si="207"/>
        <v>0</v>
      </c>
      <c r="BA488" s="1037" t="str">
        <f t="shared" si="203"/>
        <v/>
      </c>
      <c r="BB488" s="1038"/>
      <c r="BC488" s="1039">
        <f t="shared" si="208"/>
        <v>0</v>
      </c>
      <c r="BD488" s="1040" t="str">
        <f t="shared" si="204"/>
        <v/>
      </c>
      <c r="BE488" s="227" t="s">
        <v>22</v>
      </c>
      <c r="BF488" s="1019">
        <f t="shared" si="205"/>
        <v>0</v>
      </c>
      <c r="BG488" s="1020">
        <f t="shared" si="206"/>
        <v>0</v>
      </c>
      <c r="BH488"/>
      <c r="BI488" s="709"/>
      <c r="BJ488" s="709"/>
      <c r="BK488" s="709"/>
      <c r="BL488" s="709"/>
      <c r="BM488" s="709"/>
      <c r="BN488" s="709"/>
      <c r="BO488" s="709"/>
      <c r="BP488" s="709"/>
      <c r="BW488" s="959" t="str">
        <f t="shared" si="187"/>
        <v>►</v>
      </c>
      <c r="BX488" s="856"/>
      <c r="BY488" s="856"/>
      <c r="BZ488" s="856"/>
      <c r="CA488" s="856"/>
      <c r="CB488" s="856"/>
      <c r="DB488" s="3">
        <v>1</v>
      </c>
    </row>
    <row r="489" spans="12:106" ht="21" customHeight="1">
      <c r="L489" s="104" t="s">
        <v>16</v>
      </c>
      <c r="M489" s="1172"/>
      <c r="N489" s="1172"/>
      <c r="O489" s="1172"/>
      <c r="P489" s="1173"/>
      <c r="Q489" s="1174"/>
      <c r="R489" s="1175"/>
      <c r="S489" s="1176"/>
      <c r="T489" s="1177"/>
      <c r="U489" s="5248"/>
      <c r="V489" s="1177"/>
      <c r="W489" s="5249"/>
      <c r="X489" s="5208"/>
      <c r="Y489" s="5209"/>
      <c r="Z489" s="5210"/>
      <c r="AA489" s="5211"/>
      <c r="AB489" s="1178"/>
      <c r="AC489" s="1179"/>
      <c r="AD489" s="227" t="s">
        <v>22</v>
      </c>
      <c r="AE489" s="1027" t="str">
        <f t="shared" si="188"/>
        <v>►</v>
      </c>
      <c r="AF489" s="1028" t="str">
        <f t="shared" si="189"/>
        <v/>
      </c>
      <c r="AG489" s="1029" t="str">
        <f t="shared" si="190"/>
        <v/>
      </c>
      <c r="AH489" s="1028" t="str">
        <f t="shared" si="191"/>
        <v/>
      </c>
      <c r="AI489" s="1029" t="str">
        <f t="shared" si="192"/>
        <v/>
      </c>
      <c r="AJ489" s="1029">
        <f t="shared" si="193"/>
        <v>0</v>
      </c>
      <c r="AK489" s="1043" t="str" cm="1">
        <f t="array" ref="AK489">IF(AE489&lt;&gt;"A","",IFERROR((IFERROR(_xlfn.XLOOKUP(TRIM(SUBSTITUTE(U489,CHAR(160)," ")),$BI$15:$BI$62,$BL$15:$BL$62),IFERROR(_xlfn.XLOOKUP(TRIM(SUBSTITUTE(U489,CHAR(160)," ")),$BJ$15:$BJ$62,$BL$15:$BL$62),_xlfn.XLOOKUP(TRIM(SUBSTITUTE(U489,CHAR(160)," ")),$BK$15:$BK$62,$BL$15:$BL$62))))*T489*IF(ISBLANK(Q489),1,Q489)+IFERROR(_xlfn.XLOOKUP("RECHERCHEX",TRIM(L489:AC489),L489:AC489),0),0))</f>
        <v/>
      </c>
      <c r="AL489" s="1030">
        <f t="shared" si="194"/>
        <v>0</v>
      </c>
      <c r="AM489" s="5254" t="str">
        <f t="shared" si="209"/>
        <v/>
      </c>
      <c r="AN489" s="1031">
        <f t="shared" si="195"/>
        <v>0</v>
      </c>
      <c r="AO489" s="1031">
        <f t="shared" si="196"/>
        <v>0</v>
      </c>
      <c r="AP489" s="1044">
        <f t="shared" si="197"/>
        <v>0</v>
      </c>
      <c r="AQ489" s="5257" t="str">
        <f t="shared" si="198"/>
        <v/>
      </c>
      <c r="AR489" s="1056"/>
      <c r="AS489" s="1056"/>
      <c r="AT489" s="1045">
        <f t="shared" si="199"/>
        <v>0</v>
      </c>
      <c r="AU489" s="1046">
        <f t="shared" si="200"/>
        <v>0</v>
      </c>
      <c r="AV489" s="1059" cm="1">
        <f t="array" ref="AV489">IF(AJ489&lt;&gt;1,0,IF(OR(AT489="",N(AT489)&lt;=0.000000001),"",IF(OR(AN489="",N(AN489)&lt;=0.000000001),0,IF(ISNUMBER(AT489),IFERROR(_xlfn.LET(_xlpm.ai_test,TRIM(AI489),_xlpm.r,IFERROR(_xlfn.XLOOKUP(_xlpm.ai_test,$BI$15:$BI$62,ROW($BI$15:$BI$62),0,1),IFERROR(_xlfn.XLOOKUP(_xlpm.ai_test,$BJ$15:$BJ$62,ROW($BJ$15:$BJ$62),0,1),_xlfn.XLOOKUP(_xlpm.ai_test,$BK$15:$BK$62,ROW($BK$15:$BK$62),0,1))),_xlpm.p,_xlpm.r-MIN(ROW($BI$15:$BI$62))+1,_xlpm.f,INDEX($BL$15:$BL$62,_xlpm.p),_xlpm.u,INDEX($BM$15:$BM$62,_xlpm.p),_xlpm.s,INDEX($BO$15:$BO$62,_xlpm.p),_xlpm.q,N(AT489)/_xlpm.f,IF(_xlpm.q&gt;=_xlpm.s,ROUND(_xlpm.q,1)&amp;" "&amp;_xlpm.ai_test&amp;" = "&amp;ROUND(_xlpm.q*_xlpm.f,1)&amp;" "&amp;_xlpm.u,ROUND(_xlpm.q,1)&amp;" "&amp;_xlpm.ai_test)),""),""))))</f>
        <v>0</v>
      </c>
      <c r="AW489" s="1047"/>
      <c r="AX489" s="1045">
        <f t="shared" si="201"/>
        <v>0</v>
      </c>
      <c r="AY489" s="1046" t="str">
        <f t="shared" si="202"/>
        <v/>
      </c>
      <c r="AZ489" s="1048">
        <f t="shared" si="207"/>
        <v>0</v>
      </c>
      <c r="BA489" s="1049" t="str">
        <f t="shared" si="203"/>
        <v/>
      </c>
      <c r="BB489" s="1038"/>
      <c r="BC489" s="1050">
        <f t="shared" si="208"/>
        <v>0</v>
      </c>
      <c r="BD489" s="1040" t="str">
        <f t="shared" si="204"/>
        <v/>
      </c>
      <c r="BE489" s="227" t="s">
        <v>22</v>
      </c>
      <c r="BF489" s="1019">
        <f t="shared" si="205"/>
        <v>0</v>
      </c>
      <c r="BG489" s="1020">
        <f t="shared" si="206"/>
        <v>0</v>
      </c>
      <c r="BH489"/>
      <c r="BI489" s="709"/>
      <c r="BJ489" s="709"/>
      <c r="BK489" s="709"/>
      <c r="BL489" s="709"/>
      <c r="BM489" s="709"/>
      <c r="BN489" s="709"/>
      <c r="BO489" s="709"/>
      <c r="BP489" s="709"/>
      <c r="BW489" s="959" t="str">
        <f t="shared" si="187"/>
        <v>►</v>
      </c>
      <c r="BX489" s="856"/>
      <c r="BY489" s="856"/>
      <c r="BZ489" s="856"/>
      <c r="CA489" s="856"/>
      <c r="CB489" s="856"/>
      <c r="DB489" s="3">
        <v>1</v>
      </c>
    </row>
    <row r="490" spans="12:106" ht="21" customHeight="1">
      <c r="L490" s="104" t="s">
        <v>16</v>
      </c>
      <c r="M490" s="1172"/>
      <c r="N490" s="1172"/>
      <c r="O490" s="1172"/>
      <c r="P490" s="1173"/>
      <c r="Q490" s="1174"/>
      <c r="R490" s="1175"/>
      <c r="S490" s="1176"/>
      <c r="T490" s="1177"/>
      <c r="U490" s="5248"/>
      <c r="V490" s="1177"/>
      <c r="W490" s="5249"/>
      <c r="X490" s="5208"/>
      <c r="Y490" s="5209"/>
      <c r="Z490" s="5210"/>
      <c r="AA490" s="5211"/>
      <c r="AB490" s="1178"/>
      <c r="AC490" s="1179"/>
      <c r="AD490" s="227" t="s">
        <v>22</v>
      </c>
      <c r="AE490" s="1027" t="str">
        <f t="shared" si="188"/>
        <v>►</v>
      </c>
      <c r="AF490" s="1028" t="str">
        <f t="shared" si="189"/>
        <v/>
      </c>
      <c r="AG490" s="1029" t="str">
        <f t="shared" si="190"/>
        <v/>
      </c>
      <c r="AH490" s="1028" t="str">
        <f t="shared" si="191"/>
        <v/>
      </c>
      <c r="AI490" s="1029" t="str">
        <f t="shared" si="192"/>
        <v/>
      </c>
      <c r="AJ490" s="1029">
        <f t="shared" si="193"/>
        <v>0</v>
      </c>
      <c r="AK490" s="1043" t="str" cm="1">
        <f t="array" ref="AK490">IF(AE490&lt;&gt;"A","",IFERROR((IFERROR(_xlfn.XLOOKUP(TRIM(SUBSTITUTE(U490,CHAR(160)," ")),$BI$15:$BI$62,$BL$15:$BL$62),IFERROR(_xlfn.XLOOKUP(TRIM(SUBSTITUTE(U490,CHAR(160)," ")),$BJ$15:$BJ$62,$BL$15:$BL$62),_xlfn.XLOOKUP(TRIM(SUBSTITUTE(U490,CHAR(160)," ")),$BK$15:$BK$62,$BL$15:$BL$62))))*T490*IF(ISBLANK(Q490),1,Q490)+IFERROR(_xlfn.XLOOKUP("RECHERCHEX",TRIM(L490:AC490),L490:AC490),0),0))</f>
        <v/>
      </c>
      <c r="AL490" s="1030">
        <f t="shared" si="194"/>
        <v>0</v>
      </c>
      <c r="AM490" s="5254" t="str">
        <f t="shared" si="209"/>
        <v/>
      </c>
      <c r="AN490" s="1031">
        <f t="shared" si="195"/>
        <v>0</v>
      </c>
      <c r="AO490" s="1031">
        <f t="shared" si="196"/>
        <v>0</v>
      </c>
      <c r="AP490" s="1032">
        <f t="shared" si="197"/>
        <v>0</v>
      </c>
      <c r="AQ490" s="5255" t="str">
        <f t="shared" si="198"/>
        <v/>
      </c>
      <c r="AR490" s="1056"/>
      <c r="AS490" s="1056"/>
      <c r="AT490" s="1034">
        <f t="shared" si="199"/>
        <v>0</v>
      </c>
      <c r="AU490" s="1035">
        <f t="shared" si="200"/>
        <v>0</v>
      </c>
      <c r="AV490" s="1057" cm="1">
        <f t="array" ref="AV490">IF(AJ490&lt;&gt;1,0,IF(OR(AT490="",N(AT490)&lt;=0.000000001),"",IF(OR(AN490="",N(AN490)&lt;=0.000000001),0,IF(ISNUMBER(AT490),IFERROR(_xlfn.LET(_xlpm.ai_test,TRIM(AI490),_xlpm.r,IFERROR(_xlfn.XLOOKUP(_xlpm.ai_test,$BI$15:$BI$62,ROW($BI$15:$BI$62),0,1),IFERROR(_xlfn.XLOOKUP(_xlpm.ai_test,$BJ$15:$BJ$62,ROW($BJ$15:$BJ$62),0,1),_xlfn.XLOOKUP(_xlpm.ai_test,$BK$15:$BK$62,ROW($BK$15:$BK$62),0,1))),_xlpm.p,_xlpm.r-MIN(ROW($BI$15:$BI$62))+1,_xlpm.f,INDEX($BL$15:$BL$62,_xlpm.p),_xlpm.u,INDEX($BM$15:$BM$62,_xlpm.p),_xlpm.s,INDEX($BO$15:$BO$62,_xlpm.p),_xlpm.q,N(AT490)/_xlpm.f,IF(_xlpm.q&gt;=_xlpm.s,ROUND(_xlpm.q,1)&amp;" "&amp;_xlpm.ai_test&amp;" = "&amp;ROUND(_xlpm.q*_xlpm.f,1)&amp;" "&amp;_xlpm.u,ROUND(_xlpm.q,1)&amp;" "&amp;_xlpm.ai_test)),""),""))))</f>
        <v>0</v>
      </c>
      <c r="AW490" s="1047"/>
      <c r="AX490" s="1034">
        <f t="shared" si="201"/>
        <v>0</v>
      </c>
      <c r="AY490" s="1035" t="str">
        <f t="shared" si="202"/>
        <v/>
      </c>
      <c r="AZ490" s="1036">
        <f t="shared" si="207"/>
        <v>0</v>
      </c>
      <c r="BA490" s="1037" t="str">
        <f t="shared" si="203"/>
        <v/>
      </c>
      <c r="BB490" s="1038"/>
      <c r="BC490" s="1039">
        <f t="shared" si="208"/>
        <v>0</v>
      </c>
      <c r="BD490" s="1040" t="str">
        <f t="shared" si="204"/>
        <v/>
      </c>
      <c r="BE490" s="227" t="s">
        <v>22</v>
      </c>
      <c r="BF490" s="1019">
        <f t="shared" si="205"/>
        <v>0</v>
      </c>
      <c r="BG490" s="1020">
        <f t="shared" si="206"/>
        <v>0</v>
      </c>
      <c r="BH490"/>
      <c r="BI490" s="709"/>
      <c r="BJ490" s="709"/>
      <c r="BK490" s="709"/>
      <c r="BL490" s="709"/>
      <c r="BM490" s="709"/>
      <c r="BN490" s="709"/>
      <c r="BO490" s="709"/>
      <c r="BP490" s="709"/>
      <c r="BW490" s="959" t="str">
        <f t="shared" si="187"/>
        <v>►</v>
      </c>
      <c r="BX490" s="856"/>
      <c r="BY490" s="856"/>
      <c r="BZ490" s="856"/>
      <c r="CA490" s="856"/>
      <c r="CB490" s="856"/>
      <c r="DB490" s="3">
        <v>1</v>
      </c>
    </row>
    <row r="491" spans="12:106" ht="21" customHeight="1">
      <c r="L491" s="104" t="s">
        <v>16</v>
      </c>
      <c r="M491" s="1172"/>
      <c r="N491" s="1172"/>
      <c r="O491" s="1172"/>
      <c r="P491" s="1173"/>
      <c r="Q491" s="1174"/>
      <c r="R491" s="1175"/>
      <c r="S491" s="1176"/>
      <c r="T491" s="1177"/>
      <c r="U491" s="5248"/>
      <c r="V491" s="1177"/>
      <c r="W491" s="5249"/>
      <c r="X491" s="5208"/>
      <c r="Y491" s="5209"/>
      <c r="Z491" s="5210"/>
      <c r="AA491" s="5211"/>
      <c r="AB491" s="1178"/>
      <c r="AC491" s="1179"/>
      <c r="AD491" s="227" t="s">
        <v>22</v>
      </c>
      <c r="AE491" s="1027" t="str">
        <f t="shared" si="188"/>
        <v>►</v>
      </c>
      <c r="AF491" s="1028" t="str">
        <f t="shared" si="189"/>
        <v/>
      </c>
      <c r="AG491" s="1029" t="str">
        <f t="shared" si="190"/>
        <v/>
      </c>
      <c r="AH491" s="1028" t="str">
        <f t="shared" si="191"/>
        <v/>
      </c>
      <c r="AI491" s="1029" t="str">
        <f t="shared" si="192"/>
        <v/>
      </c>
      <c r="AJ491" s="1029">
        <f t="shared" si="193"/>
        <v>0</v>
      </c>
      <c r="AK491" s="1043" t="str" cm="1">
        <f t="array" ref="AK491">IF(AE491&lt;&gt;"A","",IFERROR((IFERROR(_xlfn.XLOOKUP(TRIM(SUBSTITUTE(U491,CHAR(160)," ")),$BI$15:$BI$62,$BL$15:$BL$62),IFERROR(_xlfn.XLOOKUP(TRIM(SUBSTITUTE(U491,CHAR(160)," ")),$BJ$15:$BJ$62,$BL$15:$BL$62),_xlfn.XLOOKUP(TRIM(SUBSTITUTE(U491,CHAR(160)," ")),$BK$15:$BK$62,$BL$15:$BL$62))))*T491*IF(ISBLANK(Q491),1,Q491)+IFERROR(_xlfn.XLOOKUP("RECHERCHEX",TRIM(L491:AC491),L491:AC491),0),0))</f>
        <v/>
      </c>
      <c r="AL491" s="1030">
        <f t="shared" si="194"/>
        <v>0</v>
      </c>
      <c r="AM491" s="5254" t="str">
        <f t="shared" si="209"/>
        <v/>
      </c>
      <c r="AN491" s="1031">
        <f t="shared" si="195"/>
        <v>0</v>
      </c>
      <c r="AO491" s="1031">
        <f t="shared" si="196"/>
        <v>0</v>
      </c>
      <c r="AP491" s="1044">
        <f t="shared" si="197"/>
        <v>0</v>
      </c>
      <c r="AQ491" s="5257" t="str">
        <f t="shared" si="198"/>
        <v/>
      </c>
      <c r="AR491" s="1056"/>
      <c r="AS491" s="1056"/>
      <c r="AT491" s="1045">
        <f t="shared" si="199"/>
        <v>0</v>
      </c>
      <c r="AU491" s="1046">
        <f t="shared" si="200"/>
        <v>0</v>
      </c>
      <c r="AV491" s="1059" cm="1">
        <f t="array" ref="AV491">IF(AJ491&lt;&gt;1,0,IF(OR(AT491="",N(AT491)&lt;=0.000000001),"",IF(OR(AN491="",N(AN491)&lt;=0.000000001),0,IF(ISNUMBER(AT491),IFERROR(_xlfn.LET(_xlpm.ai_test,TRIM(AI491),_xlpm.r,IFERROR(_xlfn.XLOOKUP(_xlpm.ai_test,$BI$15:$BI$62,ROW($BI$15:$BI$62),0,1),IFERROR(_xlfn.XLOOKUP(_xlpm.ai_test,$BJ$15:$BJ$62,ROW($BJ$15:$BJ$62),0,1),_xlfn.XLOOKUP(_xlpm.ai_test,$BK$15:$BK$62,ROW($BK$15:$BK$62),0,1))),_xlpm.p,_xlpm.r-MIN(ROW($BI$15:$BI$62))+1,_xlpm.f,INDEX($BL$15:$BL$62,_xlpm.p),_xlpm.u,INDEX($BM$15:$BM$62,_xlpm.p),_xlpm.s,INDEX($BO$15:$BO$62,_xlpm.p),_xlpm.q,N(AT491)/_xlpm.f,IF(_xlpm.q&gt;=_xlpm.s,ROUND(_xlpm.q,1)&amp;" "&amp;_xlpm.ai_test&amp;" = "&amp;ROUND(_xlpm.q*_xlpm.f,1)&amp;" "&amp;_xlpm.u,ROUND(_xlpm.q,1)&amp;" "&amp;_xlpm.ai_test)),""),""))))</f>
        <v>0</v>
      </c>
      <c r="AW491" s="1047"/>
      <c r="AX491" s="1045">
        <f t="shared" si="201"/>
        <v>0</v>
      </c>
      <c r="AY491" s="1046" t="str">
        <f t="shared" si="202"/>
        <v/>
      </c>
      <c r="AZ491" s="1048">
        <f t="shared" si="207"/>
        <v>0</v>
      </c>
      <c r="BA491" s="1049" t="str">
        <f t="shared" si="203"/>
        <v/>
      </c>
      <c r="BB491" s="1038"/>
      <c r="BC491" s="1050">
        <f t="shared" si="208"/>
        <v>0</v>
      </c>
      <c r="BD491" s="1040" t="str">
        <f t="shared" si="204"/>
        <v/>
      </c>
      <c r="BE491" s="227" t="s">
        <v>22</v>
      </c>
      <c r="BF491" s="1019">
        <f t="shared" si="205"/>
        <v>0</v>
      </c>
      <c r="BG491" s="1020">
        <f t="shared" si="206"/>
        <v>0</v>
      </c>
      <c r="BH491"/>
      <c r="BI491" s="709"/>
      <c r="BJ491" s="709"/>
      <c r="BK491" s="709"/>
      <c r="BL491" s="709"/>
      <c r="BM491" s="709"/>
      <c r="BN491" s="709"/>
      <c r="BO491" s="709"/>
      <c r="BP491" s="709"/>
      <c r="BW491" s="959" t="str">
        <f t="shared" si="187"/>
        <v>►</v>
      </c>
      <c r="BX491" s="856"/>
      <c r="BY491" s="856"/>
      <c r="BZ491" s="856"/>
      <c r="CA491" s="856"/>
      <c r="CB491" s="856"/>
      <c r="DB491" s="3">
        <v>1</v>
      </c>
    </row>
    <row r="492" spans="12:106" ht="21" customHeight="1">
      <c r="L492" s="104" t="s">
        <v>16</v>
      </c>
      <c r="M492" s="1172"/>
      <c r="N492" s="1172"/>
      <c r="O492" s="1172"/>
      <c r="P492" s="1173"/>
      <c r="Q492" s="1174"/>
      <c r="R492" s="1175"/>
      <c r="S492" s="1176"/>
      <c r="T492" s="1177"/>
      <c r="U492" s="5248"/>
      <c r="V492" s="1177"/>
      <c r="W492" s="5249"/>
      <c r="X492" s="5208"/>
      <c r="Y492" s="5209"/>
      <c r="Z492" s="5210"/>
      <c r="AA492" s="5211"/>
      <c r="AB492" s="1178"/>
      <c r="AC492" s="1179"/>
      <c r="AD492" s="227" t="s">
        <v>22</v>
      </c>
      <c r="AE492" s="1027" t="str">
        <f t="shared" si="188"/>
        <v>►</v>
      </c>
      <c r="AF492" s="1028" t="str">
        <f t="shared" si="189"/>
        <v/>
      </c>
      <c r="AG492" s="1029" t="str">
        <f t="shared" si="190"/>
        <v/>
      </c>
      <c r="AH492" s="1028" t="str">
        <f t="shared" si="191"/>
        <v/>
      </c>
      <c r="AI492" s="1029" t="str">
        <f t="shared" si="192"/>
        <v/>
      </c>
      <c r="AJ492" s="1029">
        <f t="shared" si="193"/>
        <v>0</v>
      </c>
      <c r="AK492" s="1043" t="str" cm="1">
        <f t="array" ref="AK492">IF(AE492&lt;&gt;"A","",IFERROR((IFERROR(_xlfn.XLOOKUP(TRIM(SUBSTITUTE(U492,CHAR(160)," ")),$BI$15:$BI$62,$BL$15:$BL$62),IFERROR(_xlfn.XLOOKUP(TRIM(SUBSTITUTE(U492,CHAR(160)," ")),$BJ$15:$BJ$62,$BL$15:$BL$62),_xlfn.XLOOKUP(TRIM(SUBSTITUTE(U492,CHAR(160)," ")),$BK$15:$BK$62,$BL$15:$BL$62))))*T492*IF(ISBLANK(Q492),1,Q492)+IFERROR(_xlfn.XLOOKUP("RECHERCHEX",TRIM(L492:AC492),L492:AC492),0),0))</f>
        <v/>
      </c>
      <c r="AL492" s="1030">
        <f t="shared" si="194"/>
        <v>0</v>
      </c>
      <c r="AM492" s="5254" t="str">
        <f t="shared" si="209"/>
        <v/>
      </c>
      <c r="AN492" s="1031">
        <f t="shared" si="195"/>
        <v>0</v>
      </c>
      <c r="AO492" s="1031">
        <f t="shared" si="196"/>
        <v>0</v>
      </c>
      <c r="AP492" s="1032">
        <f t="shared" si="197"/>
        <v>0</v>
      </c>
      <c r="AQ492" s="5255" t="str">
        <f t="shared" si="198"/>
        <v/>
      </c>
      <c r="AR492" s="1056"/>
      <c r="AS492" s="1056"/>
      <c r="AT492" s="1034">
        <f t="shared" si="199"/>
        <v>0</v>
      </c>
      <c r="AU492" s="1035">
        <f t="shared" si="200"/>
        <v>0</v>
      </c>
      <c r="AV492" s="1057" cm="1">
        <f t="array" ref="AV492">IF(AJ492&lt;&gt;1,0,IF(OR(AT492="",N(AT492)&lt;=0.000000001),"",IF(OR(AN492="",N(AN492)&lt;=0.000000001),0,IF(ISNUMBER(AT492),IFERROR(_xlfn.LET(_xlpm.ai_test,TRIM(AI492),_xlpm.r,IFERROR(_xlfn.XLOOKUP(_xlpm.ai_test,$BI$15:$BI$62,ROW($BI$15:$BI$62),0,1),IFERROR(_xlfn.XLOOKUP(_xlpm.ai_test,$BJ$15:$BJ$62,ROW($BJ$15:$BJ$62),0,1),_xlfn.XLOOKUP(_xlpm.ai_test,$BK$15:$BK$62,ROW($BK$15:$BK$62),0,1))),_xlpm.p,_xlpm.r-MIN(ROW($BI$15:$BI$62))+1,_xlpm.f,INDEX($BL$15:$BL$62,_xlpm.p),_xlpm.u,INDEX($BM$15:$BM$62,_xlpm.p),_xlpm.s,INDEX($BO$15:$BO$62,_xlpm.p),_xlpm.q,N(AT492)/_xlpm.f,IF(_xlpm.q&gt;=_xlpm.s,ROUND(_xlpm.q,1)&amp;" "&amp;_xlpm.ai_test&amp;" = "&amp;ROUND(_xlpm.q*_xlpm.f,1)&amp;" "&amp;_xlpm.u,ROUND(_xlpm.q,1)&amp;" "&amp;_xlpm.ai_test)),""),""))))</f>
        <v>0</v>
      </c>
      <c r="AW492" s="1047"/>
      <c r="AX492" s="1034">
        <f t="shared" si="201"/>
        <v>0</v>
      </c>
      <c r="AY492" s="1035" t="str">
        <f t="shared" si="202"/>
        <v/>
      </c>
      <c r="AZ492" s="1036">
        <f t="shared" si="207"/>
        <v>0</v>
      </c>
      <c r="BA492" s="1037" t="str">
        <f t="shared" si="203"/>
        <v/>
      </c>
      <c r="BB492" s="1038"/>
      <c r="BC492" s="1039">
        <f t="shared" si="208"/>
        <v>0</v>
      </c>
      <c r="BD492" s="1040" t="str">
        <f t="shared" si="204"/>
        <v/>
      </c>
      <c r="BE492" s="227" t="s">
        <v>22</v>
      </c>
      <c r="BF492" s="1019">
        <f t="shared" si="205"/>
        <v>0</v>
      </c>
      <c r="BG492" s="1020">
        <f t="shared" si="206"/>
        <v>0</v>
      </c>
      <c r="BH492"/>
      <c r="BI492" s="709"/>
      <c r="BJ492" s="709"/>
      <c r="BK492" s="709"/>
      <c r="BL492" s="709"/>
      <c r="BM492" s="709"/>
      <c r="BN492" s="709"/>
      <c r="BO492" s="709"/>
      <c r="BP492" s="709"/>
      <c r="BW492" s="959" t="str">
        <f t="shared" si="187"/>
        <v>►</v>
      </c>
      <c r="BX492" s="856"/>
      <c r="BY492" s="856"/>
      <c r="BZ492" s="856"/>
      <c r="CA492" s="856"/>
      <c r="CB492" s="856"/>
      <c r="DB492" s="3">
        <v>1</v>
      </c>
    </row>
    <row r="493" spans="12:106" ht="21" customHeight="1">
      <c r="L493" s="104" t="s">
        <v>16</v>
      </c>
      <c r="M493" s="1172"/>
      <c r="N493" s="1172"/>
      <c r="O493" s="1172"/>
      <c r="P493" s="1173"/>
      <c r="Q493" s="1174"/>
      <c r="R493" s="1175"/>
      <c r="S493" s="1176"/>
      <c r="T493" s="1177"/>
      <c r="U493" s="5248"/>
      <c r="V493" s="1177"/>
      <c r="W493" s="5249"/>
      <c r="X493" s="5208"/>
      <c r="Y493" s="5209"/>
      <c r="Z493" s="5210"/>
      <c r="AA493" s="5211"/>
      <c r="AB493" s="1178"/>
      <c r="AC493" s="1179"/>
      <c r="AD493" s="227" t="s">
        <v>22</v>
      </c>
      <c r="AE493" s="1027" t="str">
        <f t="shared" si="188"/>
        <v>►</v>
      </c>
      <c r="AF493" s="1028" t="str">
        <f t="shared" si="189"/>
        <v/>
      </c>
      <c r="AG493" s="1029" t="str">
        <f t="shared" si="190"/>
        <v/>
      </c>
      <c r="AH493" s="1028" t="str">
        <f t="shared" si="191"/>
        <v/>
      </c>
      <c r="AI493" s="1029" t="str">
        <f t="shared" si="192"/>
        <v/>
      </c>
      <c r="AJ493" s="1029">
        <f t="shared" si="193"/>
        <v>0</v>
      </c>
      <c r="AK493" s="1043" t="str" cm="1">
        <f t="array" ref="AK493">IF(AE493&lt;&gt;"A","",IFERROR((IFERROR(_xlfn.XLOOKUP(TRIM(SUBSTITUTE(U493,CHAR(160)," ")),$BI$15:$BI$62,$BL$15:$BL$62),IFERROR(_xlfn.XLOOKUP(TRIM(SUBSTITUTE(U493,CHAR(160)," ")),$BJ$15:$BJ$62,$BL$15:$BL$62),_xlfn.XLOOKUP(TRIM(SUBSTITUTE(U493,CHAR(160)," ")),$BK$15:$BK$62,$BL$15:$BL$62))))*T493*IF(ISBLANK(Q493),1,Q493)+IFERROR(_xlfn.XLOOKUP("RECHERCHEX",TRIM(L493:AC493),L493:AC493),0),0))</f>
        <v/>
      </c>
      <c r="AL493" s="1030">
        <f t="shared" si="194"/>
        <v>0</v>
      </c>
      <c r="AM493" s="5254" t="str">
        <f t="shared" si="209"/>
        <v/>
      </c>
      <c r="AN493" s="1031">
        <f t="shared" si="195"/>
        <v>0</v>
      </c>
      <c r="AO493" s="1031">
        <f t="shared" si="196"/>
        <v>0</v>
      </c>
      <c r="AP493" s="1044">
        <f t="shared" si="197"/>
        <v>0</v>
      </c>
      <c r="AQ493" s="5257" t="str">
        <f t="shared" si="198"/>
        <v/>
      </c>
      <c r="AR493" s="1056"/>
      <c r="AS493" s="1056"/>
      <c r="AT493" s="1045">
        <f t="shared" si="199"/>
        <v>0</v>
      </c>
      <c r="AU493" s="1046">
        <f t="shared" si="200"/>
        <v>0</v>
      </c>
      <c r="AV493" s="1059" cm="1">
        <f t="array" ref="AV493">IF(AJ493&lt;&gt;1,0,IF(OR(AT493="",N(AT493)&lt;=0.000000001),"",IF(OR(AN493="",N(AN493)&lt;=0.000000001),0,IF(ISNUMBER(AT493),IFERROR(_xlfn.LET(_xlpm.ai_test,TRIM(AI493),_xlpm.r,IFERROR(_xlfn.XLOOKUP(_xlpm.ai_test,$BI$15:$BI$62,ROW($BI$15:$BI$62),0,1),IFERROR(_xlfn.XLOOKUP(_xlpm.ai_test,$BJ$15:$BJ$62,ROW($BJ$15:$BJ$62),0,1),_xlfn.XLOOKUP(_xlpm.ai_test,$BK$15:$BK$62,ROW($BK$15:$BK$62),0,1))),_xlpm.p,_xlpm.r-MIN(ROW($BI$15:$BI$62))+1,_xlpm.f,INDEX($BL$15:$BL$62,_xlpm.p),_xlpm.u,INDEX($BM$15:$BM$62,_xlpm.p),_xlpm.s,INDEX($BO$15:$BO$62,_xlpm.p),_xlpm.q,N(AT493)/_xlpm.f,IF(_xlpm.q&gt;=_xlpm.s,ROUND(_xlpm.q,1)&amp;" "&amp;_xlpm.ai_test&amp;" = "&amp;ROUND(_xlpm.q*_xlpm.f,1)&amp;" "&amp;_xlpm.u,ROUND(_xlpm.q,1)&amp;" "&amp;_xlpm.ai_test)),""),""))))</f>
        <v>0</v>
      </c>
      <c r="AW493" s="1047"/>
      <c r="AX493" s="1045">
        <f t="shared" si="201"/>
        <v>0</v>
      </c>
      <c r="AY493" s="1046" t="str">
        <f t="shared" si="202"/>
        <v/>
      </c>
      <c r="AZ493" s="1048">
        <f t="shared" si="207"/>
        <v>0</v>
      </c>
      <c r="BA493" s="1049" t="str">
        <f t="shared" si="203"/>
        <v/>
      </c>
      <c r="BB493" s="1038"/>
      <c r="BC493" s="1050">
        <f t="shared" si="208"/>
        <v>0</v>
      </c>
      <c r="BD493" s="1040" t="str">
        <f t="shared" si="204"/>
        <v/>
      </c>
      <c r="BE493" s="227" t="s">
        <v>22</v>
      </c>
      <c r="BF493" s="1019">
        <f t="shared" si="205"/>
        <v>0</v>
      </c>
      <c r="BG493" s="1020">
        <f t="shared" si="206"/>
        <v>0</v>
      </c>
      <c r="BH493"/>
      <c r="BI493" s="709"/>
      <c r="BJ493" s="709"/>
      <c r="BK493" s="709"/>
      <c r="BL493" s="709"/>
      <c r="BM493" s="709"/>
      <c r="BN493" s="709"/>
      <c r="BO493" s="709"/>
      <c r="BP493" s="709"/>
      <c r="BW493" s="959" t="str">
        <f t="shared" si="187"/>
        <v>►</v>
      </c>
      <c r="BX493" s="856"/>
      <c r="BY493" s="856"/>
      <c r="BZ493" s="856"/>
      <c r="CA493" s="856"/>
      <c r="CB493" s="856"/>
      <c r="DB493" s="3">
        <v>1</v>
      </c>
    </row>
    <row r="494" spans="12:106" ht="21" customHeight="1">
      <c r="L494" s="104" t="s">
        <v>16</v>
      </c>
      <c r="M494" s="1172"/>
      <c r="N494" s="1172"/>
      <c r="O494" s="1172"/>
      <c r="P494" s="1173"/>
      <c r="Q494" s="1174"/>
      <c r="R494" s="1175"/>
      <c r="S494" s="1176"/>
      <c r="T494" s="1177"/>
      <c r="U494" s="5248"/>
      <c r="V494" s="1177"/>
      <c r="W494" s="5249"/>
      <c r="X494" s="5208"/>
      <c r="Y494" s="5209"/>
      <c r="Z494" s="5210"/>
      <c r="AA494" s="5211"/>
      <c r="AB494" s="1178"/>
      <c r="AC494" s="1179"/>
      <c r="AD494" s="227" t="s">
        <v>22</v>
      </c>
      <c r="AE494" s="1027" t="str">
        <f t="shared" si="188"/>
        <v>►</v>
      </c>
      <c r="AF494" s="1028" t="str">
        <f t="shared" si="189"/>
        <v/>
      </c>
      <c r="AG494" s="1029" t="str">
        <f t="shared" si="190"/>
        <v/>
      </c>
      <c r="AH494" s="1028" t="str">
        <f t="shared" si="191"/>
        <v/>
      </c>
      <c r="AI494" s="1029" t="str">
        <f t="shared" si="192"/>
        <v/>
      </c>
      <c r="AJ494" s="1029">
        <f t="shared" si="193"/>
        <v>0</v>
      </c>
      <c r="AK494" s="1043" t="str" cm="1">
        <f t="array" ref="AK494">IF(AE494&lt;&gt;"A","",IFERROR((IFERROR(_xlfn.XLOOKUP(TRIM(SUBSTITUTE(U494,CHAR(160)," ")),$BI$15:$BI$62,$BL$15:$BL$62),IFERROR(_xlfn.XLOOKUP(TRIM(SUBSTITUTE(U494,CHAR(160)," ")),$BJ$15:$BJ$62,$BL$15:$BL$62),_xlfn.XLOOKUP(TRIM(SUBSTITUTE(U494,CHAR(160)," ")),$BK$15:$BK$62,$BL$15:$BL$62))))*T494*IF(ISBLANK(Q494),1,Q494)+IFERROR(_xlfn.XLOOKUP("RECHERCHEX",TRIM(L494:AC494),L494:AC494),0),0))</f>
        <v/>
      </c>
      <c r="AL494" s="1030">
        <f t="shared" si="194"/>
        <v>0</v>
      </c>
      <c r="AM494" s="5254" t="str">
        <f t="shared" si="209"/>
        <v/>
      </c>
      <c r="AN494" s="1031">
        <f t="shared" si="195"/>
        <v>0</v>
      </c>
      <c r="AO494" s="1031">
        <f t="shared" si="196"/>
        <v>0</v>
      </c>
      <c r="AP494" s="1032">
        <f t="shared" si="197"/>
        <v>0</v>
      </c>
      <c r="AQ494" s="5255" t="str">
        <f t="shared" si="198"/>
        <v/>
      </c>
      <c r="AR494" s="1056"/>
      <c r="AS494" s="1056"/>
      <c r="AT494" s="1034">
        <f t="shared" si="199"/>
        <v>0</v>
      </c>
      <c r="AU494" s="1035">
        <f t="shared" si="200"/>
        <v>0</v>
      </c>
      <c r="AV494" s="1057" cm="1">
        <f t="array" ref="AV494">IF(AJ494&lt;&gt;1,0,IF(OR(AT494="",N(AT494)&lt;=0.000000001),"",IF(OR(AN494="",N(AN494)&lt;=0.000000001),0,IF(ISNUMBER(AT494),IFERROR(_xlfn.LET(_xlpm.ai_test,TRIM(AI494),_xlpm.r,IFERROR(_xlfn.XLOOKUP(_xlpm.ai_test,$BI$15:$BI$62,ROW($BI$15:$BI$62),0,1),IFERROR(_xlfn.XLOOKUP(_xlpm.ai_test,$BJ$15:$BJ$62,ROW($BJ$15:$BJ$62),0,1),_xlfn.XLOOKUP(_xlpm.ai_test,$BK$15:$BK$62,ROW($BK$15:$BK$62),0,1))),_xlpm.p,_xlpm.r-MIN(ROW($BI$15:$BI$62))+1,_xlpm.f,INDEX($BL$15:$BL$62,_xlpm.p),_xlpm.u,INDEX($BM$15:$BM$62,_xlpm.p),_xlpm.s,INDEX($BO$15:$BO$62,_xlpm.p),_xlpm.q,N(AT494)/_xlpm.f,IF(_xlpm.q&gt;=_xlpm.s,ROUND(_xlpm.q,1)&amp;" "&amp;_xlpm.ai_test&amp;" = "&amp;ROUND(_xlpm.q*_xlpm.f,1)&amp;" "&amp;_xlpm.u,ROUND(_xlpm.q,1)&amp;" "&amp;_xlpm.ai_test)),""),""))))</f>
        <v>0</v>
      </c>
      <c r="AW494" s="1047"/>
      <c r="AX494" s="1034">
        <f t="shared" si="201"/>
        <v>0</v>
      </c>
      <c r="AY494" s="1035" t="str">
        <f t="shared" si="202"/>
        <v/>
      </c>
      <c r="AZ494" s="1036">
        <f t="shared" si="207"/>
        <v>0</v>
      </c>
      <c r="BA494" s="1037" t="str">
        <f t="shared" si="203"/>
        <v/>
      </c>
      <c r="BB494" s="1038"/>
      <c r="BC494" s="1039">
        <f t="shared" si="208"/>
        <v>0</v>
      </c>
      <c r="BD494" s="1040" t="str">
        <f t="shared" si="204"/>
        <v/>
      </c>
      <c r="BE494" s="227" t="s">
        <v>22</v>
      </c>
      <c r="BF494" s="1019">
        <f t="shared" si="205"/>
        <v>0</v>
      </c>
      <c r="BG494" s="1020">
        <f t="shared" si="206"/>
        <v>0</v>
      </c>
      <c r="BH494"/>
      <c r="BI494" s="709"/>
      <c r="BJ494" s="709"/>
      <c r="BK494" s="709"/>
      <c r="BL494" s="709"/>
      <c r="BM494" s="709"/>
      <c r="BN494" s="709"/>
      <c r="BO494" s="709"/>
      <c r="BP494" s="709"/>
      <c r="BW494" s="959" t="str">
        <f t="shared" si="187"/>
        <v>►</v>
      </c>
      <c r="BX494" s="856"/>
      <c r="BY494" s="856"/>
      <c r="BZ494" s="856"/>
      <c r="CA494" s="856"/>
      <c r="CB494" s="856"/>
      <c r="DB494" s="3">
        <v>1</v>
      </c>
    </row>
    <row r="495" spans="12:106" ht="21" customHeight="1">
      <c r="L495" s="104" t="s">
        <v>16</v>
      </c>
      <c r="M495" s="1172"/>
      <c r="N495" s="1172"/>
      <c r="O495" s="1172"/>
      <c r="P495" s="1173"/>
      <c r="Q495" s="1174"/>
      <c r="R495" s="1175"/>
      <c r="S495" s="1176"/>
      <c r="T495" s="1177"/>
      <c r="U495" s="5248"/>
      <c r="V495" s="1177"/>
      <c r="W495" s="5249"/>
      <c r="X495" s="5208"/>
      <c r="Y495" s="5209"/>
      <c r="Z495" s="5210"/>
      <c r="AA495" s="5211"/>
      <c r="AB495" s="1178"/>
      <c r="AC495" s="1179"/>
      <c r="AD495" s="227" t="s">
        <v>22</v>
      </c>
      <c r="AE495" s="1027" t="str">
        <f t="shared" si="188"/>
        <v>►</v>
      </c>
      <c r="AF495" s="1028" t="str">
        <f t="shared" si="189"/>
        <v/>
      </c>
      <c r="AG495" s="1029" t="str">
        <f t="shared" si="190"/>
        <v/>
      </c>
      <c r="AH495" s="1028" t="str">
        <f t="shared" si="191"/>
        <v/>
      </c>
      <c r="AI495" s="1029" t="str">
        <f t="shared" si="192"/>
        <v/>
      </c>
      <c r="AJ495" s="1029">
        <f t="shared" si="193"/>
        <v>0</v>
      </c>
      <c r="AK495" s="1043" t="str" cm="1">
        <f t="array" ref="AK495">IF(AE495&lt;&gt;"A","",IFERROR((IFERROR(_xlfn.XLOOKUP(TRIM(SUBSTITUTE(U495,CHAR(160)," ")),$BI$15:$BI$62,$BL$15:$BL$62),IFERROR(_xlfn.XLOOKUP(TRIM(SUBSTITUTE(U495,CHAR(160)," ")),$BJ$15:$BJ$62,$BL$15:$BL$62),_xlfn.XLOOKUP(TRIM(SUBSTITUTE(U495,CHAR(160)," ")),$BK$15:$BK$62,$BL$15:$BL$62))))*T495*IF(ISBLANK(Q495),1,Q495)+IFERROR(_xlfn.XLOOKUP("RECHERCHEX",TRIM(L495:AC495),L495:AC495),0),0))</f>
        <v/>
      </c>
      <c r="AL495" s="1030">
        <f t="shared" si="194"/>
        <v>0</v>
      </c>
      <c r="AM495" s="5254" t="str">
        <f t="shared" si="209"/>
        <v/>
      </c>
      <c r="AN495" s="1031">
        <f t="shared" si="195"/>
        <v>0</v>
      </c>
      <c r="AO495" s="1031">
        <f t="shared" si="196"/>
        <v>0</v>
      </c>
      <c r="AP495" s="1044">
        <f t="shared" si="197"/>
        <v>0</v>
      </c>
      <c r="AQ495" s="5257" t="str">
        <f t="shared" si="198"/>
        <v/>
      </c>
      <c r="AR495" s="1056"/>
      <c r="AS495" s="1056"/>
      <c r="AT495" s="1045">
        <f t="shared" si="199"/>
        <v>0</v>
      </c>
      <c r="AU495" s="1046">
        <f t="shared" si="200"/>
        <v>0</v>
      </c>
      <c r="AV495" s="1059" cm="1">
        <f t="array" ref="AV495">IF(AJ495&lt;&gt;1,0,IF(OR(AT495="",N(AT495)&lt;=0.000000001),"",IF(OR(AN495="",N(AN495)&lt;=0.000000001),0,IF(ISNUMBER(AT495),IFERROR(_xlfn.LET(_xlpm.ai_test,TRIM(AI495),_xlpm.r,IFERROR(_xlfn.XLOOKUP(_xlpm.ai_test,$BI$15:$BI$62,ROW($BI$15:$BI$62),0,1),IFERROR(_xlfn.XLOOKUP(_xlpm.ai_test,$BJ$15:$BJ$62,ROW($BJ$15:$BJ$62),0,1),_xlfn.XLOOKUP(_xlpm.ai_test,$BK$15:$BK$62,ROW($BK$15:$BK$62),0,1))),_xlpm.p,_xlpm.r-MIN(ROW($BI$15:$BI$62))+1,_xlpm.f,INDEX($BL$15:$BL$62,_xlpm.p),_xlpm.u,INDEX($BM$15:$BM$62,_xlpm.p),_xlpm.s,INDEX($BO$15:$BO$62,_xlpm.p),_xlpm.q,N(AT495)/_xlpm.f,IF(_xlpm.q&gt;=_xlpm.s,ROUND(_xlpm.q,1)&amp;" "&amp;_xlpm.ai_test&amp;" = "&amp;ROUND(_xlpm.q*_xlpm.f,1)&amp;" "&amp;_xlpm.u,ROUND(_xlpm.q,1)&amp;" "&amp;_xlpm.ai_test)),""),""))))</f>
        <v>0</v>
      </c>
      <c r="AW495" s="1047"/>
      <c r="AX495" s="1045">
        <f t="shared" si="201"/>
        <v>0</v>
      </c>
      <c r="AY495" s="1046" t="str">
        <f t="shared" si="202"/>
        <v/>
      </c>
      <c r="AZ495" s="1048">
        <f t="shared" si="207"/>
        <v>0</v>
      </c>
      <c r="BA495" s="1049" t="str">
        <f t="shared" si="203"/>
        <v/>
      </c>
      <c r="BB495" s="1038"/>
      <c r="BC495" s="1050">
        <f t="shared" si="208"/>
        <v>0</v>
      </c>
      <c r="BD495" s="1040" t="str">
        <f t="shared" si="204"/>
        <v/>
      </c>
      <c r="BE495" s="227" t="s">
        <v>22</v>
      </c>
      <c r="BF495" s="1019">
        <f t="shared" si="205"/>
        <v>0</v>
      </c>
      <c r="BG495" s="1020">
        <f t="shared" si="206"/>
        <v>0</v>
      </c>
      <c r="BH495"/>
      <c r="BI495" s="709"/>
      <c r="BJ495" s="709"/>
      <c r="BK495" s="709"/>
      <c r="BL495" s="709"/>
      <c r="BM495" s="709"/>
      <c r="BN495" s="709"/>
      <c r="BO495" s="709"/>
      <c r="BP495" s="709"/>
      <c r="BW495" s="959" t="str">
        <f t="shared" si="187"/>
        <v>►</v>
      </c>
      <c r="BX495" s="856"/>
      <c r="BY495" s="856"/>
      <c r="BZ495" s="856"/>
      <c r="CA495" s="856"/>
      <c r="CB495" s="856"/>
      <c r="DB495" s="3">
        <v>1</v>
      </c>
    </row>
    <row r="496" spans="12:106" ht="21" customHeight="1">
      <c r="L496" s="104" t="s">
        <v>16</v>
      </c>
      <c r="M496" s="1172"/>
      <c r="N496" s="1172"/>
      <c r="O496" s="1172"/>
      <c r="P496" s="1173"/>
      <c r="Q496" s="1174"/>
      <c r="R496" s="1175"/>
      <c r="S496" s="1176"/>
      <c r="T496" s="1177"/>
      <c r="U496" s="5248"/>
      <c r="V496" s="1177"/>
      <c r="W496" s="5249"/>
      <c r="X496" s="5208"/>
      <c r="Y496" s="5209"/>
      <c r="Z496" s="5210"/>
      <c r="AA496" s="5211"/>
      <c r="AB496" s="1178"/>
      <c r="AC496" s="1179"/>
      <c r="AD496" s="227" t="s">
        <v>22</v>
      </c>
      <c r="AE496" s="1027" t="str">
        <f t="shared" si="188"/>
        <v>►</v>
      </c>
      <c r="AF496" s="1028" t="str">
        <f t="shared" si="189"/>
        <v/>
      </c>
      <c r="AG496" s="1029" t="str">
        <f t="shared" si="190"/>
        <v/>
      </c>
      <c r="AH496" s="1028" t="str">
        <f t="shared" si="191"/>
        <v/>
      </c>
      <c r="AI496" s="1029" t="str">
        <f t="shared" si="192"/>
        <v/>
      </c>
      <c r="AJ496" s="1029">
        <f t="shared" si="193"/>
        <v>0</v>
      </c>
      <c r="AK496" s="1043" t="str" cm="1">
        <f t="array" ref="AK496">IF(AE496&lt;&gt;"A","",IFERROR((IFERROR(_xlfn.XLOOKUP(TRIM(SUBSTITUTE(U496,CHAR(160)," ")),$BI$15:$BI$62,$BL$15:$BL$62),IFERROR(_xlfn.XLOOKUP(TRIM(SUBSTITUTE(U496,CHAR(160)," ")),$BJ$15:$BJ$62,$BL$15:$BL$62),_xlfn.XLOOKUP(TRIM(SUBSTITUTE(U496,CHAR(160)," ")),$BK$15:$BK$62,$BL$15:$BL$62))))*T496*IF(ISBLANK(Q496),1,Q496)+IFERROR(_xlfn.XLOOKUP("RECHERCHEX",TRIM(L496:AC496),L496:AC496),0),0))</f>
        <v/>
      </c>
      <c r="AL496" s="1030">
        <f t="shared" si="194"/>
        <v>0</v>
      </c>
      <c r="AM496" s="5254" t="str">
        <f t="shared" si="209"/>
        <v/>
      </c>
      <c r="AN496" s="1031">
        <f t="shared" si="195"/>
        <v>0</v>
      </c>
      <c r="AO496" s="1031">
        <f t="shared" si="196"/>
        <v>0</v>
      </c>
      <c r="AP496" s="1032">
        <f t="shared" si="197"/>
        <v>0</v>
      </c>
      <c r="AQ496" s="5255" t="str">
        <f t="shared" si="198"/>
        <v/>
      </c>
      <c r="AR496" s="1056"/>
      <c r="AS496" s="1056"/>
      <c r="AT496" s="1034">
        <f t="shared" si="199"/>
        <v>0</v>
      </c>
      <c r="AU496" s="1035">
        <f t="shared" si="200"/>
        <v>0</v>
      </c>
      <c r="AV496" s="1057" cm="1">
        <f t="array" ref="AV496">IF(AJ496&lt;&gt;1,0,IF(OR(AT496="",N(AT496)&lt;=0.000000001),"",IF(OR(AN496="",N(AN496)&lt;=0.000000001),0,IF(ISNUMBER(AT496),IFERROR(_xlfn.LET(_xlpm.ai_test,TRIM(AI496),_xlpm.r,IFERROR(_xlfn.XLOOKUP(_xlpm.ai_test,$BI$15:$BI$62,ROW($BI$15:$BI$62),0,1),IFERROR(_xlfn.XLOOKUP(_xlpm.ai_test,$BJ$15:$BJ$62,ROW($BJ$15:$BJ$62),0,1),_xlfn.XLOOKUP(_xlpm.ai_test,$BK$15:$BK$62,ROW($BK$15:$BK$62),0,1))),_xlpm.p,_xlpm.r-MIN(ROW($BI$15:$BI$62))+1,_xlpm.f,INDEX($BL$15:$BL$62,_xlpm.p),_xlpm.u,INDEX($BM$15:$BM$62,_xlpm.p),_xlpm.s,INDEX($BO$15:$BO$62,_xlpm.p),_xlpm.q,N(AT496)/_xlpm.f,IF(_xlpm.q&gt;=_xlpm.s,ROUND(_xlpm.q,1)&amp;" "&amp;_xlpm.ai_test&amp;" = "&amp;ROUND(_xlpm.q*_xlpm.f,1)&amp;" "&amp;_xlpm.u,ROUND(_xlpm.q,1)&amp;" "&amp;_xlpm.ai_test)),""),""))))</f>
        <v>0</v>
      </c>
      <c r="AW496" s="1047"/>
      <c r="AX496" s="1034">
        <f t="shared" si="201"/>
        <v>0</v>
      </c>
      <c r="AY496" s="1035" t="str">
        <f t="shared" si="202"/>
        <v/>
      </c>
      <c r="AZ496" s="1036">
        <f t="shared" si="207"/>
        <v>0</v>
      </c>
      <c r="BA496" s="1037" t="str">
        <f t="shared" si="203"/>
        <v/>
      </c>
      <c r="BB496" s="1038"/>
      <c r="BC496" s="1039">
        <f t="shared" si="208"/>
        <v>0</v>
      </c>
      <c r="BD496" s="1040" t="str">
        <f t="shared" si="204"/>
        <v/>
      </c>
      <c r="BE496" s="227" t="s">
        <v>22</v>
      </c>
      <c r="BF496" s="1019">
        <f t="shared" si="205"/>
        <v>0</v>
      </c>
      <c r="BG496" s="1020">
        <f t="shared" si="206"/>
        <v>0</v>
      </c>
      <c r="BH496"/>
      <c r="BI496" s="709"/>
      <c r="BJ496" s="709"/>
      <c r="BK496" s="709"/>
      <c r="BL496" s="709"/>
      <c r="BM496" s="709"/>
      <c r="BN496" s="709"/>
      <c r="BO496" s="709"/>
      <c r="BP496" s="709"/>
      <c r="BW496" s="959" t="str">
        <f t="shared" si="187"/>
        <v>►</v>
      </c>
      <c r="BX496" s="856"/>
      <c r="BY496" s="856"/>
      <c r="BZ496" s="856"/>
      <c r="CA496" s="856"/>
      <c r="CB496" s="856"/>
      <c r="DB496" s="3">
        <v>1</v>
      </c>
    </row>
    <row r="497" spans="12:106" ht="21" customHeight="1">
      <c r="L497" s="104" t="s">
        <v>16</v>
      </c>
      <c r="M497" s="1172"/>
      <c r="N497" s="1172"/>
      <c r="O497" s="1172"/>
      <c r="P497" s="1173"/>
      <c r="Q497" s="1174"/>
      <c r="R497" s="1175"/>
      <c r="S497" s="1176"/>
      <c r="T497" s="1177"/>
      <c r="U497" s="5248"/>
      <c r="V497" s="1177"/>
      <c r="W497" s="5249"/>
      <c r="X497" s="5208"/>
      <c r="Y497" s="5209"/>
      <c r="Z497" s="5210"/>
      <c r="AA497" s="5211"/>
      <c r="AB497" s="1178"/>
      <c r="AC497" s="1179"/>
      <c r="AD497" s="227" t="s">
        <v>22</v>
      </c>
      <c r="AE497" s="1027" t="str">
        <f t="shared" si="188"/>
        <v>►</v>
      </c>
      <c r="AF497" s="1028" t="str">
        <f t="shared" si="189"/>
        <v/>
      </c>
      <c r="AG497" s="1029" t="str">
        <f t="shared" si="190"/>
        <v/>
      </c>
      <c r="AH497" s="1028" t="str">
        <f t="shared" si="191"/>
        <v/>
      </c>
      <c r="AI497" s="1029" t="str">
        <f t="shared" si="192"/>
        <v/>
      </c>
      <c r="AJ497" s="1029">
        <f t="shared" si="193"/>
        <v>0</v>
      </c>
      <c r="AK497" s="1043" t="str" cm="1">
        <f t="array" ref="AK497">IF(AE497&lt;&gt;"A","",IFERROR((IFERROR(_xlfn.XLOOKUP(TRIM(SUBSTITUTE(U497,CHAR(160)," ")),$BI$15:$BI$62,$BL$15:$BL$62),IFERROR(_xlfn.XLOOKUP(TRIM(SUBSTITUTE(U497,CHAR(160)," ")),$BJ$15:$BJ$62,$BL$15:$BL$62),_xlfn.XLOOKUP(TRIM(SUBSTITUTE(U497,CHAR(160)," ")),$BK$15:$BK$62,$BL$15:$BL$62))))*T497*IF(ISBLANK(Q497),1,Q497)+IFERROR(_xlfn.XLOOKUP("RECHERCHEX",TRIM(L497:AC497),L497:AC497),0),0))</f>
        <v/>
      </c>
      <c r="AL497" s="1030">
        <f t="shared" si="194"/>
        <v>0</v>
      </c>
      <c r="AM497" s="5254" t="str">
        <f t="shared" si="209"/>
        <v/>
      </c>
      <c r="AN497" s="1031">
        <f t="shared" si="195"/>
        <v>0</v>
      </c>
      <c r="AO497" s="1031">
        <f t="shared" si="196"/>
        <v>0</v>
      </c>
      <c r="AP497" s="1044">
        <f t="shared" si="197"/>
        <v>0</v>
      </c>
      <c r="AQ497" s="5257" t="str">
        <f t="shared" si="198"/>
        <v/>
      </c>
      <c r="AR497" s="1056"/>
      <c r="AS497" s="1056"/>
      <c r="AT497" s="1045">
        <f t="shared" si="199"/>
        <v>0</v>
      </c>
      <c r="AU497" s="1046">
        <f t="shared" si="200"/>
        <v>0</v>
      </c>
      <c r="AV497" s="1059" cm="1">
        <f t="array" ref="AV497">IF(AJ497&lt;&gt;1,0,IF(OR(AT497="",N(AT497)&lt;=0.000000001),"",IF(OR(AN497="",N(AN497)&lt;=0.000000001),0,IF(ISNUMBER(AT497),IFERROR(_xlfn.LET(_xlpm.ai_test,TRIM(AI497),_xlpm.r,IFERROR(_xlfn.XLOOKUP(_xlpm.ai_test,$BI$15:$BI$62,ROW($BI$15:$BI$62),0,1),IFERROR(_xlfn.XLOOKUP(_xlpm.ai_test,$BJ$15:$BJ$62,ROW($BJ$15:$BJ$62),0,1),_xlfn.XLOOKUP(_xlpm.ai_test,$BK$15:$BK$62,ROW($BK$15:$BK$62),0,1))),_xlpm.p,_xlpm.r-MIN(ROW($BI$15:$BI$62))+1,_xlpm.f,INDEX($BL$15:$BL$62,_xlpm.p),_xlpm.u,INDEX($BM$15:$BM$62,_xlpm.p),_xlpm.s,INDEX($BO$15:$BO$62,_xlpm.p),_xlpm.q,N(AT497)/_xlpm.f,IF(_xlpm.q&gt;=_xlpm.s,ROUND(_xlpm.q,1)&amp;" "&amp;_xlpm.ai_test&amp;" = "&amp;ROUND(_xlpm.q*_xlpm.f,1)&amp;" "&amp;_xlpm.u,ROUND(_xlpm.q,1)&amp;" "&amp;_xlpm.ai_test)),""),""))))</f>
        <v>0</v>
      </c>
      <c r="AW497" s="1047"/>
      <c r="AX497" s="1045">
        <f t="shared" si="201"/>
        <v>0</v>
      </c>
      <c r="AY497" s="1046" t="str">
        <f t="shared" si="202"/>
        <v/>
      </c>
      <c r="AZ497" s="1048">
        <f t="shared" si="207"/>
        <v>0</v>
      </c>
      <c r="BA497" s="1049" t="str">
        <f t="shared" si="203"/>
        <v/>
      </c>
      <c r="BB497" s="1038"/>
      <c r="BC497" s="1050">
        <f t="shared" si="208"/>
        <v>0</v>
      </c>
      <c r="BD497" s="1040" t="str">
        <f t="shared" si="204"/>
        <v/>
      </c>
      <c r="BE497" s="227" t="s">
        <v>22</v>
      </c>
      <c r="BF497" s="1019">
        <f t="shared" si="205"/>
        <v>0</v>
      </c>
      <c r="BG497" s="1020">
        <f t="shared" si="206"/>
        <v>0</v>
      </c>
      <c r="BH497"/>
      <c r="BI497" s="709"/>
      <c r="BJ497" s="709"/>
      <c r="BK497" s="709"/>
      <c r="BL497" s="709"/>
      <c r="BM497" s="709"/>
      <c r="BN497" s="709"/>
      <c r="BO497" s="709"/>
      <c r="BP497" s="709"/>
      <c r="BW497" s="959" t="str">
        <f t="shared" si="187"/>
        <v>►</v>
      </c>
      <c r="BX497" s="856"/>
      <c r="BY497" s="856"/>
      <c r="BZ497" s="856"/>
      <c r="CA497" s="856"/>
      <c r="CB497" s="856"/>
      <c r="DB497" s="3">
        <v>1</v>
      </c>
    </row>
    <row r="498" spans="12:106" ht="21" customHeight="1">
      <c r="L498" s="104" t="s">
        <v>16</v>
      </c>
      <c r="M498" s="1172"/>
      <c r="N498" s="1172"/>
      <c r="O498" s="1172"/>
      <c r="P498" s="1173"/>
      <c r="Q498" s="1174"/>
      <c r="R498" s="1175"/>
      <c r="S498" s="1176"/>
      <c r="T498" s="1177"/>
      <c r="U498" s="5248"/>
      <c r="V498" s="1177"/>
      <c r="W498" s="5249"/>
      <c r="X498" s="5208"/>
      <c r="Y498" s="5209"/>
      <c r="Z498" s="5210"/>
      <c r="AA498" s="5211"/>
      <c r="AB498" s="1178"/>
      <c r="AC498" s="1179"/>
      <c r="AD498" s="227" t="s">
        <v>22</v>
      </c>
      <c r="AE498" s="1027" t="str">
        <f t="shared" si="188"/>
        <v>►</v>
      </c>
      <c r="AF498" s="1028" t="str">
        <f t="shared" si="189"/>
        <v/>
      </c>
      <c r="AG498" s="1029" t="str">
        <f t="shared" si="190"/>
        <v/>
      </c>
      <c r="AH498" s="1028" t="str">
        <f t="shared" si="191"/>
        <v/>
      </c>
      <c r="AI498" s="1029" t="str">
        <f t="shared" si="192"/>
        <v/>
      </c>
      <c r="AJ498" s="1029">
        <f t="shared" si="193"/>
        <v>0</v>
      </c>
      <c r="AK498" s="1043" t="str" cm="1">
        <f t="array" ref="AK498">IF(AE498&lt;&gt;"A","",IFERROR((IFERROR(_xlfn.XLOOKUP(TRIM(SUBSTITUTE(U498,CHAR(160)," ")),$BI$15:$BI$62,$BL$15:$BL$62),IFERROR(_xlfn.XLOOKUP(TRIM(SUBSTITUTE(U498,CHAR(160)," ")),$BJ$15:$BJ$62,$BL$15:$BL$62),_xlfn.XLOOKUP(TRIM(SUBSTITUTE(U498,CHAR(160)," ")),$BK$15:$BK$62,$BL$15:$BL$62))))*T498*IF(ISBLANK(Q498),1,Q498)+IFERROR(_xlfn.XLOOKUP("RECHERCHEX",TRIM(L498:AC498),L498:AC498),0),0))</f>
        <v/>
      </c>
      <c r="AL498" s="1030">
        <f t="shared" si="194"/>
        <v>0</v>
      </c>
      <c r="AM498" s="5254" t="str">
        <f t="shared" si="209"/>
        <v/>
      </c>
      <c r="AN498" s="1031">
        <f t="shared" si="195"/>
        <v>0</v>
      </c>
      <c r="AO498" s="1031">
        <f t="shared" si="196"/>
        <v>0</v>
      </c>
      <c r="AP498" s="1032">
        <f t="shared" si="197"/>
        <v>0</v>
      </c>
      <c r="AQ498" s="5255" t="str">
        <f t="shared" si="198"/>
        <v/>
      </c>
      <c r="AR498" s="1056"/>
      <c r="AS498" s="1056"/>
      <c r="AT498" s="1034">
        <f t="shared" si="199"/>
        <v>0</v>
      </c>
      <c r="AU498" s="1035">
        <f t="shared" si="200"/>
        <v>0</v>
      </c>
      <c r="AV498" s="1057" cm="1">
        <f t="array" ref="AV498">IF(AJ498&lt;&gt;1,0,IF(OR(AT498="",N(AT498)&lt;=0.000000001),"",IF(OR(AN498="",N(AN498)&lt;=0.000000001),0,IF(ISNUMBER(AT498),IFERROR(_xlfn.LET(_xlpm.ai_test,TRIM(AI498),_xlpm.r,IFERROR(_xlfn.XLOOKUP(_xlpm.ai_test,$BI$15:$BI$62,ROW($BI$15:$BI$62),0,1),IFERROR(_xlfn.XLOOKUP(_xlpm.ai_test,$BJ$15:$BJ$62,ROW($BJ$15:$BJ$62),0,1),_xlfn.XLOOKUP(_xlpm.ai_test,$BK$15:$BK$62,ROW($BK$15:$BK$62),0,1))),_xlpm.p,_xlpm.r-MIN(ROW($BI$15:$BI$62))+1,_xlpm.f,INDEX($BL$15:$BL$62,_xlpm.p),_xlpm.u,INDEX($BM$15:$BM$62,_xlpm.p),_xlpm.s,INDEX($BO$15:$BO$62,_xlpm.p),_xlpm.q,N(AT498)/_xlpm.f,IF(_xlpm.q&gt;=_xlpm.s,ROUND(_xlpm.q,1)&amp;" "&amp;_xlpm.ai_test&amp;" = "&amp;ROUND(_xlpm.q*_xlpm.f,1)&amp;" "&amp;_xlpm.u,ROUND(_xlpm.q,1)&amp;" "&amp;_xlpm.ai_test)),""),""))))</f>
        <v>0</v>
      </c>
      <c r="AW498" s="1047"/>
      <c r="AX498" s="1034">
        <f t="shared" si="201"/>
        <v>0</v>
      </c>
      <c r="AY498" s="1035" t="str">
        <f t="shared" si="202"/>
        <v/>
      </c>
      <c r="AZ498" s="1036">
        <f t="shared" si="207"/>
        <v>0</v>
      </c>
      <c r="BA498" s="1037" t="str">
        <f t="shared" si="203"/>
        <v/>
      </c>
      <c r="BB498" s="1038"/>
      <c r="BC498" s="1039">
        <f t="shared" si="208"/>
        <v>0</v>
      </c>
      <c r="BD498" s="1040" t="str">
        <f t="shared" si="204"/>
        <v/>
      </c>
      <c r="BE498" s="227" t="s">
        <v>22</v>
      </c>
      <c r="BF498" s="1019">
        <f t="shared" si="205"/>
        <v>0</v>
      </c>
      <c r="BG498" s="1020">
        <f t="shared" si="206"/>
        <v>0</v>
      </c>
      <c r="BH498"/>
      <c r="BI498" s="709"/>
      <c r="BJ498" s="709"/>
      <c r="BK498" s="709"/>
      <c r="BL498" s="709"/>
      <c r="BM498" s="709"/>
      <c r="BN498" s="709"/>
      <c r="BO498" s="709"/>
      <c r="BP498" s="709"/>
      <c r="BW498" s="959" t="str">
        <f t="shared" si="187"/>
        <v>►</v>
      </c>
      <c r="BX498" s="856"/>
      <c r="BY498" s="856"/>
      <c r="BZ498" s="856"/>
      <c r="CA498" s="856"/>
      <c r="CB498" s="856"/>
      <c r="DB498" s="3">
        <v>1</v>
      </c>
    </row>
    <row r="499" spans="12:106" ht="21" customHeight="1">
      <c r="L499" s="104" t="s">
        <v>16</v>
      </c>
      <c r="M499" s="1172"/>
      <c r="N499" s="1172"/>
      <c r="O499" s="1172"/>
      <c r="P499" s="1173"/>
      <c r="Q499" s="1174"/>
      <c r="R499" s="1175"/>
      <c r="S499" s="1176"/>
      <c r="T499" s="1177"/>
      <c r="U499" s="5248"/>
      <c r="V499" s="1177"/>
      <c r="W499" s="5249"/>
      <c r="X499" s="5208"/>
      <c r="Y499" s="5209"/>
      <c r="Z499" s="5210"/>
      <c r="AA499" s="5211"/>
      <c r="AB499" s="1178"/>
      <c r="AC499" s="1179"/>
      <c r="AD499" s="227" t="s">
        <v>22</v>
      </c>
      <c r="AE499" s="1027" t="str">
        <f t="shared" si="188"/>
        <v>►</v>
      </c>
      <c r="AF499" s="1028" t="str">
        <f t="shared" si="189"/>
        <v/>
      </c>
      <c r="AG499" s="1029" t="str">
        <f t="shared" si="190"/>
        <v/>
      </c>
      <c r="AH499" s="1028" t="str">
        <f t="shared" si="191"/>
        <v/>
      </c>
      <c r="AI499" s="1029" t="str">
        <f t="shared" si="192"/>
        <v/>
      </c>
      <c r="AJ499" s="1029">
        <f t="shared" si="193"/>
        <v>0</v>
      </c>
      <c r="AK499" s="1043" t="str" cm="1">
        <f t="array" ref="AK499">IF(AE499&lt;&gt;"A","",IFERROR((IFERROR(_xlfn.XLOOKUP(TRIM(SUBSTITUTE(U499,CHAR(160)," ")),$BI$15:$BI$62,$BL$15:$BL$62),IFERROR(_xlfn.XLOOKUP(TRIM(SUBSTITUTE(U499,CHAR(160)," ")),$BJ$15:$BJ$62,$BL$15:$BL$62),_xlfn.XLOOKUP(TRIM(SUBSTITUTE(U499,CHAR(160)," ")),$BK$15:$BK$62,$BL$15:$BL$62))))*T499*IF(ISBLANK(Q499),1,Q499)+IFERROR(_xlfn.XLOOKUP("RECHERCHEX",TRIM(L499:AC499),L499:AC499),0),0))</f>
        <v/>
      </c>
      <c r="AL499" s="1030">
        <f t="shared" si="194"/>
        <v>0</v>
      </c>
      <c r="AM499" s="5254" t="str">
        <f t="shared" si="209"/>
        <v/>
      </c>
      <c r="AN499" s="1031">
        <f t="shared" si="195"/>
        <v>0</v>
      </c>
      <c r="AO499" s="1031">
        <f t="shared" si="196"/>
        <v>0</v>
      </c>
      <c r="AP499" s="1044">
        <f t="shared" si="197"/>
        <v>0</v>
      </c>
      <c r="AQ499" s="5257" t="str">
        <f t="shared" si="198"/>
        <v/>
      </c>
      <c r="AR499" s="1056"/>
      <c r="AS499" s="1056"/>
      <c r="AT499" s="1045">
        <f t="shared" si="199"/>
        <v>0</v>
      </c>
      <c r="AU499" s="1046">
        <f t="shared" si="200"/>
        <v>0</v>
      </c>
      <c r="AV499" s="1059" cm="1">
        <f t="array" ref="AV499">IF(AJ499&lt;&gt;1,0,IF(OR(AT499="",N(AT499)&lt;=0.000000001),"",IF(OR(AN499="",N(AN499)&lt;=0.000000001),0,IF(ISNUMBER(AT499),IFERROR(_xlfn.LET(_xlpm.ai_test,TRIM(AI499),_xlpm.r,IFERROR(_xlfn.XLOOKUP(_xlpm.ai_test,$BI$15:$BI$62,ROW($BI$15:$BI$62),0,1),IFERROR(_xlfn.XLOOKUP(_xlpm.ai_test,$BJ$15:$BJ$62,ROW($BJ$15:$BJ$62),0,1),_xlfn.XLOOKUP(_xlpm.ai_test,$BK$15:$BK$62,ROW($BK$15:$BK$62),0,1))),_xlpm.p,_xlpm.r-MIN(ROW($BI$15:$BI$62))+1,_xlpm.f,INDEX($BL$15:$BL$62,_xlpm.p),_xlpm.u,INDEX($BM$15:$BM$62,_xlpm.p),_xlpm.s,INDEX($BO$15:$BO$62,_xlpm.p),_xlpm.q,N(AT499)/_xlpm.f,IF(_xlpm.q&gt;=_xlpm.s,ROUND(_xlpm.q,1)&amp;" "&amp;_xlpm.ai_test&amp;" = "&amp;ROUND(_xlpm.q*_xlpm.f,1)&amp;" "&amp;_xlpm.u,ROUND(_xlpm.q,1)&amp;" "&amp;_xlpm.ai_test)),""),""))))</f>
        <v>0</v>
      </c>
      <c r="AW499" s="1047"/>
      <c r="AX499" s="1045">
        <f t="shared" si="201"/>
        <v>0</v>
      </c>
      <c r="AY499" s="1046" t="str">
        <f t="shared" si="202"/>
        <v/>
      </c>
      <c r="AZ499" s="1048">
        <f t="shared" si="207"/>
        <v>0</v>
      </c>
      <c r="BA499" s="1049" t="str">
        <f t="shared" si="203"/>
        <v/>
      </c>
      <c r="BB499" s="1038"/>
      <c r="BC499" s="1050">
        <f t="shared" si="208"/>
        <v>0</v>
      </c>
      <c r="BD499" s="1040" t="str">
        <f t="shared" si="204"/>
        <v/>
      </c>
      <c r="BE499" s="227" t="s">
        <v>22</v>
      </c>
      <c r="BF499" s="1019">
        <f t="shared" si="205"/>
        <v>0</v>
      </c>
      <c r="BG499" s="1020">
        <f t="shared" si="206"/>
        <v>0</v>
      </c>
      <c r="BH499"/>
      <c r="BI499" s="709"/>
      <c r="BJ499" s="709"/>
      <c r="BK499" s="709"/>
      <c r="BL499" s="709"/>
      <c r="BM499" s="709"/>
      <c r="BN499" s="709"/>
      <c r="BO499" s="709"/>
      <c r="BP499" s="709"/>
      <c r="BW499" s="959" t="str">
        <f t="shared" si="187"/>
        <v>►</v>
      </c>
      <c r="BX499" s="856"/>
      <c r="BY499" s="856"/>
      <c r="BZ499" s="856"/>
      <c r="CA499" s="856"/>
      <c r="CB499" s="856"/>
      <c r="DB499" s="3">
        <v>1</v>
      </c>
    </row>
    <row r="500" spans="12:106" ht="21" customHeight="1">
      <c r="L500" s="104" t="s">
        <v>16</v>
      </c>
      <c r="M500" s="1172"/>
      <c r="N500" s="1172"/>
      <c r="O500" s="1172"/>
      <c r="P500" s="1173"/>
      <c r="Q500" s="1174"/>
      <c r="R500" s="1175"/>
      <c r="S500" s="1176"/>
      <c r="T500" s="1177"/>
      <c r="U500" s="5248"/>
      <c r="V500" s="1177"/>
      <c r="W500" s="5249"/>
      <c r="X500" s="5208"/>
      <c r="Y500" s="5209"/>
      <c r="Z500" s="5210"/>
      <c r="AA500" s="5211"/>
      <c r="AB500" s="1178"/>
      <c r="AC500" s="1179"/>
      <c r="AD500" s="227" t="s">
        <v>22</v>
      </c>
      <c r="AE500" s="1027" t="str">
        <f t="shared" si="188"/>
        <v>►</v>
      </c>
      <c r="AF500" s="1028" t="str">
        <f t="shared" si="189"/>
        <v/>
      </c>
      <c r="AG500" s="1029" t="str">
        <f t="shared" si="190"/>
        <v/>
      </c>
      <c r="AH500" s="1028" t="str">
        <f t="shared" si="191"/>
        <v/>
      </c>
      <c r="AI500" s="1029" t="str">
        <f t="shared" si="192"/>
        <v/>
      </c>
      <c r="AJ500" s="1029">
        <f t="shared" si="193"/>
        <v>0</v>
      </c>
      <c r="AK500" s="1043" t="str" cm="1">
        <f t="array" ref="AK500">IF(AE500&lt;&gt;"A","",IFERROR((IFERROR(_xlfn.XLOOKUP(TRIM(SUBSTITUTE(U500,CHAR(160)," ")),$BI$15:$BI$62,$BL$15:$BL$62),IFERROR(_xlfn.XLOOKUP(TRIM(SUBSTITUTE(U500,CHAR(160)," ")),$BJ$15:$BJ$62,$BL$15:$BL$62),_xlfn.XLOOKUP(TRIM(SUBSTITUTE(U500,CHAR(160)," ")),$BK$15:$BK$62,$BL$15:$BL$62))))*T500*IF(ISBLANK(Q500),1,Q500)+IFERROR(_xlfn.XLOOKUP("RECHERCHEX",TRIM(L500:AC500),L500:AC500),0),0))</f>
        <v/>
      </c>
      <c r="AL500" s="1030">
        <f t="shared" si="194"/>
        <v>0</v>
      </c>
      <c r="AM500" s="5254" t="str">
        <f t="shared" si="209"/>
        <v/>
      </c>
      <c r="AN500" s="1031">
        <f t="shared" si="195"/>
        <v>0</v>
      </c>
      <c r="AO500" s="1031">
        <f t="shared" si="196"/>
        <v>0</v>
      </c>
      <c r="AP500" s="1032">
        <f t="shared" si="197"/>
        <v>0</v>
      </c>
      <c r="AQ500" s="5255" t="str">
        <f t="shared" si="198"/>
        <v/>
      </c>
      <c r="AR500" s="1056"/>
      <c r="AS500" s="1056"/>
      <c r="AT500" s="1034">
        <f t="shared" si="199"/>
        <v>0</v>
      </c>
      <c r="AU500" s="1035">
        <f t="shared" si="200"/>
        <v>0</v>
      </c>
      <c r="AV500" s="1057" cm="1">
        <f t="array" ref="AV500">IF(AJ500&lt;&gt;1,0,IF(OR(AT500="",N(AT500)&lt;=0.000000001),"",IF(OR(AN500="",N(AN500)&lt;=0.000000001),0,IF(ISNUMBER(AT500),IFERROR(_xlfn.LET(_xlpm.ai_test,TRIM(AI500),_xlpm.r,IFERROR(_xlfn.XLOOKUP(_xlpm.ai_test,$BI$15:$BI$62,ROW($BI$15:$BI$62),0,1),IFERROR(_xlfn.XLOOKUP(_xlpm.ai_test,$BJ$15:$BJ$62,ROW($BJ$15:$BJ$62),0,1),_xlfn.XLOOKUP(_xlpm.ai_test,$BK$15:$BK$62,ROW($BK$15:$BK$62),0,1))),_xlpm.p,_xlpm.r-MIN(ROW($BI$15:$BI$62))+1,_xlpm.f,INDEX($BL$15:$BL$62,_xlpm.p),_xlpm.u,INDEX($BM$15:$BM$62,_xlpm.p),_xlpm.s,INDEX($BO$15:$BO$62,_xlpm.p),_xlpm.q,N(AT500)/_xlpm.f,IF(_xlpm.q&gt;=_xlpm.s,ROUND(_xlpm.q,1)&amp;" "&amp;_xlpm.ai_test&amp;" = "&amp;ROUND(_xlpm.q*_xlpm.f,1)&amp;" "&amp;_xlpm.u,ROUND(_xlpm.q,1)&amp;" "&amp;_xlpm.ai_test)),""),""))))</f>
        <v>0</v>
      </c>
      <c r="AW500" s="1047"/>
      <c r="AX500" s="1034">
        <f t="shared" si="201"/>
        <v>0</v>
      </c>
      <c r="AY500" s="1035" t="str">
        <f t="shared" si="202"/>
        <v/>
      </c>
      <c r="AZ500" s="1036">
        <f t="shared" si="207"/>
        <v>0</v>
      </c>
      <c r="BA500" s="1037" t="str">
        <f t="shared" si="203"/>
        <v/>
      </c>
      <c r="BB500" s="1038"/>
      <c r="BC500" s="1039">
        <f t="shared" si="208"/>
        <v>0</v>
      </c>
      <c r="BD500" s="1040" t="str">
        <f t="shared" si="204"/>
        <v/>
      </c>
      <c r="BE500" s="227" t="s">
        <v>22</v>
      </c>
      <c r="BF500" s="1019">
        <f t="shared" si="205"/>
        <v>0</v>
      </c>
      <c r="BG500" s="1020">
        <f t="shared" si="206"/>
        <v>0</v>
      </c>
      <c r="BH500"/>
      <c r="BI500" s="709"/>
      <c r="BJ500" s="709"/>
      <c r="BK500" s="709"/>
      <c r="BL500" s="709"/>
      <c r="BM500" s="709"/>
      <c r="BN500" s="709"/>
      <c r="BO500" s="709"/>
      <c r="BP500" s="709"/>
      <c r="BW500" s="959" t="str">
        <f t="shared" si="187"/>
        <v>►</v>
      </c>
      <c r="BX500" s="856"/>
      <c r="BY500" s="856"/>
      <c r="BZ500" s="856"/>
      <c r="CA500" s="856"/>
      <c r="CB500" s="856"/>
      <c r="DB500" s="3">
        <v>1</v>
      </c>
    </row>
    <row r="501" spans="12:106" ht="21" customHeight="1">
      <c r="L501" s="104" t="s">
        <v>16</v>
      </c>
      <c r="M501" s="1172"/>
      <c r="N501" s="1172"/>
      <c r="O501" s="1172"/>
      <c r="P501" s="1173"/>
      <c r="Q501" s="1174"/>
      <c r="R501" s="1175"/>
      <c r="S501" s="1176"/>
      <c r="T501" s="1177"/>
      <c r="U501" s="5248"/>
      <c r="V501" s="1177"/>
      <c r="W501" s="5249"/>
      <c r="X501" s="5208"/>
      <c r="Y501" s="5209"/>
      <c r="Z501" s="5210"/>
      <c r="AA501" s="5211"/>
      <c r="AB501" s="1178"/>
      <c r="AC501" s="1179"/>
      <c r="AD501" s="227" t="s">
        <v>22</v>
      </c>
      <c r="AE501" s="1027" t="str">
        <f t="shared" si="188"/>
        <v>►</v>
      </c>
      <c r="AF501" s="1028" t="str">
        <f t="shared" si="189"/>
        <v/>
      </c>
      <c r="AG501" s="1029" t="str">
        <f t="shared" si="190"/>
        <v/>
      </c>
      <c r="AH501" s="1028" t="str">
        <f t="shared" si="191"/>
        <v/>
      </c>
      <c r="AI501" s="1029" t="str">
        <f t="shared" si="192"/>
        <v/>
      </c>
      <c r="AJ501" s="1029">
        <f t="shared" si="193"/>
        <v>0</v>
      </c>
      <c r="AK501" s="1043" t="str" cm="1">
        <f t="array" ref="AK501">IF(AE501&lt;&gt;"A","",IFERROR((IFERROR(_xlfn.XLOOKUP(TRIM(SUBSTITUTE(U501,CHAR(160)," ")),$BI$15:$BI$62,$BL$15:$BL$62),IFERROR(_xlfn.XLOOKUP(TRIM(SUBSTITUTE(U501,CHAR(160)," ")),$BJ$15:$BJ$62,$BL$15:$BL$62),_xlfn.XLOOKUP(TRIM(SUBSTITUTE(U501,CHAR(160)," ")),$BK$15:$BK$62,$BL$15:$BL$62))))*T501*IF(ISBLANK(Q501),1,Q501)+IFERROR(_xlfn.XLOOKUP("RECHERCHEX",TRIM(L501:AC501),L501:AC501),0),0))</f>
        <v/>
      </c>
      <c r="AL501" s="1030">
        <f t="shared" si="194"/>
        <v>0</v>
      </c>
      <c r="AM501" s="5254" t="str">
        <f t="shared" si="209"/>
        <v/>
      </c>
      <c r="AN501" s="1031">
        <f t="shared" si="195"/>
        <v>0</v>
      </c>
      <c r="AO501" s="1031">
        <f t="shared" si="196"/>
        <v>0</v>
      </c>
      <c r="AP501" s="1044">
        <f t="shared" si="197"/>
        <v>0</v>
      </c>
      <c r="AQ501" s="5257" t="str">
        <f t="shared" si="198"/>
        <v/>
      </c>
      <c r="AR501" s="1056"/>
      <c r="AS501" s="1056"/>
      <c r="AT501" s="1045">
        <f t="shared" si="199"/>
        <v>0</v>
      </c>
      <c r="AU501" s="1046">
        <f t="shared" si="200"/>
        <v>0</v>
      </c>
      <c r="AV501" s="1059" cm="1">
        <f t="array" ref="AV501">IF(AJ501&lt;&gt;1,0,IF(OR(AT501="",N(AT501)&lt;=0.000000001),"",IF(OR(AN501="",N(AN501)&lt;=0.000000001),0,IF(ISNUMBER(AT501),IFERROR(_xlfn.LET(_xlpm.ai_test,TRIM(AI501),_xlpm.r,IFERROR(_xlfn.XLOOKUP(_xlpm.ai_test,$BI$15:$BI$62,ROW($BI$15:$BI$62),0,1),IFERROR(_xlfn.XLOOKUP(_xlpm.ai_test,$BJ$15:$BJ$62,ROW($BJ$15:$BJ$62),0,1),_xlfn.XLOOKUP(_xlpm.ai_test,$BK$15:$BK$62,ROW($BK$15:$BK$62),0,1))),_xlpm.p,_xlpm.r-MIN(ROW($BI$15:$BI$62))+1,_xlpm.f,INDEX($BL$15:$BL$62,_xlpm.p),_xlpm.u,INDEX($BM$15:$BM$62,_xlpm.p),_xlpm.s,INDEX($BO$15:$BO$62,_xlpm.p),_xlpm.q,N(AT501)/_xlpm.f,IF(_xlpm.q&gt;=_xlpm.s,ROUND(_xlpm.q,1)&amp;" "&amp;_xlpm.ai_test&amp;" = "&amp;ROUND(_xlpm.q*_xlpm.f,1)&amp;" "&amp;_xlpm.u,ROUND(_xlpm.q,1)&amp;" "&amp;_xlpm.ai_test)),""),""))))</f>
        <v>0</v>
      </c>
      <c r="AW501" s="1047"/>
      <c r="AX501" s="1045">
        <f t="shared" si="201"/>
        <v>0</v>
      </c>
      <c r="AY501" s="1046" t="str">
        <f t="shared" si="202"/>
        <v/>
      </c>
      <c r="AZ501" s="1048">
        <f t="shared" si="207"/>
        <v>0</v>
      </c>
      <c r="BA501" s="1049" t="str">
        <f t="shared" si="203"/>
        <v/>
      </c>
      <c r="BB501" s="1038"/>
      <c r="BC501" s="1050">
        <f t="shared" si="208"/>
        <v>0</v>
      </c>
      <c r="BD501" s="1040" t="str">
        <f t="shared" si="204"/>
        <v/>
      </c>
      <c r="BE501" s="227" t="s">
        <v>22</v>
      </c>
      <c r="BF501" s="1019">
        <f t="shared" si="205"/>
        <v>0</v>
      </c>
      <c r="BG501" s="1020">
        <f t="shared" si="206"/>
        <v>0</v>
      </c>
      <c r="BH501"/>
      <c r="BI501" s="709"/>
      <c r="BJ501" s="709"/>
      <c r="BK501" s="709"/>
      <c r="BL501" s="709"/>
      <c r="BM501" s="709"/>
      <c r="BN501" s="709"/>
      <c r="BO501" s="709"/>
      <c r="BP501" s="709"/>
      <c r="BW501" s="959" t="str">
        <f t="shared" si="187"/>
        <v>►</v>
      </c>
      <c r="BX501" s="856"/>
      <c r="BY501" s="856"/>
      <c r="BZ501" s="856"/>
      <c r="CA501" s="856"/>
      <c r="CB501" s="856"/>
      <c r="DB501" s="3">
        <v>1</v>
      </c>
    </row>
    <row r="502" spans="12:106" ht="21" customHeight="1">
      <c r="L502" s="104" t="s">
        <v>16</v>
      </c>
      <c r="M502" s="1172"/>
      <c r="N502" s="1172"/>
      <c r="O502" s="1172"/>
      <c r="P502" s="1173"/>
      <c r="Q502" s="1174"/>
      <c r="R502" s="1175"/>
      <c r="S502" s="1176"/>
      <c r="T502" s="1177"/>
      <c r="U502" s="5248"/>
      <c r="V502" s="1177"/>
      <c r="W502" s="5249"/>
      <c r="X502" s="5208"/>
      <c r="Y502" s="5209"/>
      <c r="Z502" s="5210"/>
      <c r="AA502" s="5211"/>
      <c r="AB502" s="1178"/>
      <c r="AC502" s="1179"/>
      <c r="AD502" s="227" t="s">
        <v>22</v>
      </c>
      <c r="AE502" s="1027" t="str">
        <f t="shared" si="188"/>
        <v>►</v>
      </c>
      <c r="AF502" s="1028" t="str">
        <f t="shared" si="189"/>
        <v/>
      </c>
      <c r="AG502" s="1029" t="str">
        <f t="shared" si="190"/>
        <v/>
      </c>
      <c r="AH502" s="1028" t="str">
        <f t="shared" si="191"/>
        <v/>
      </c>
      <c r="AI502" s="1029" t="str">
        <f t="shared" si="192"/>
        <v/>
      </c>
      <c r="AJ502" s="1029">
        <f t="shared" si="193"/>
        <v>0</v>
      </c>
      <c r="AK502" s="1043" t="str" cm="1">
        <f t="array" ref="AK502">IF(AE502&lt;&gt;"A","",IFERROR((IFERROR(_xlfn.XLOOKUP(TRIM(SUBSTITUTE(U502,CHAR(160)," ")),$BI$15:$BI$62,$BL$15:$BL$62),IFERROR(_xlfn.XLOOKUP(TRIM(SUBSTITUTE(U502,CHAR(160)," ")),$BJ$15:$BJ$62,$BL$15:$BL$62),_xlfn.XLOOKUP(TRIM(SUBSTITUTE(U502,CHAR(160)," ")),$BK$15:$BK$62,$BL$15:$BL$62))))*T502*IF(ISBLANK(Q502),1,Q502)+IFERROR(_xlfn.XLOOKUP("RECHERCHEX",TRIM(L502:AC502),L502:AC502),0),0))</f>
        <v/>
      </c>
      <c r="AL502" s="1030">
        <f t="shared" si="194"/>
        <v>0</v>
      </c>
      <c r="AM502" s="5254" t="str">
        <f t="shared" si="209"/>
        <v/>
      </c>
      <c r="AN502" s="1031">
        <f t="shared" si="195"/>
        <v>0</v>
      </c>
      <c r="AO502" s="1031">
        <f t="shared" si="196"/>
        <v>0</v>
      </c>
      <c r="AP502" s="1032">
        <f t="shared" si="197"/>
        <v>0</v>
      </c>
      <c r="AQ502" s="5255" t="str">
        <f t="shared" si="198"/>
        <v/>
      </c>
      <c r="AR502" s="1056"/>
      <c r="AS502" s="1056"/>
      <c r="AT502" s="1034">
        <f t="shared" si="199"/>
        <v>0</v>
      </c>
      <c r="AU502" s="1035">
        <f t="shared" si="200"/>
        <v>0</v>
      </c>
      <c r="AV502" s="1057" cm="1">
        <f t="array" ref="AV502">IF(AJ502&lt;&gt;1,0,IF(OR(AT502="",N(AT502)&lt;=0.000000001),"",IF(OR(AN502="",N(AN502)&lt;=0.000000001),0,IF(ISNUMBER(AT502),IFERROR(_xlfn.LET(_xlpm.ai_test,TRIM(AI502),_xlpm.r,IFERROR(_xlfn.XLOOKUP(_xlpm.ai_test,$BI$15:$BI$62,ROW($BI$15:$BI$62),0,1),IFERROR(_xlfn.XLOOKUP(_xlpm.ai_test,$BJ$15:$BJ$62,ROW($BJ$15:$BJ$62),0,1),_xlfn.XLOOKUP(_xlpm.ai_test,$BK$15:$BK$62,ROW($BK$15:$BK$62),0,1))),_xlpm.p,_xlpm.r-MIN(ROW($BI$15:$BI$62))+1,_xlpm.f,INDEX($BL$15:$BL$62,_xlpm.p),_xlpm.u,INDEX($BM$15:$BM$62,_xlpm.p),_xlpm.s,INDEX($BO$15:$BO$62,_xlpm.p),_xlpm.q,N(AT502)/_xlpm.f,IF(_xlpm.q&gt;=_xlpm.s,ROUND(_xlpm.q,1)&amp;" "&amp;_xlpm.ai_test&amp;" = "&amp;ROUND(_xlpm.q*_xlpm.f,1)&amp;" "&amp;_xlpm.u,ROUND(_xlpm.q,1)&amp;" "&amp;_xlpm.ai_test)),""),""))))</f>
        <v>0</v>
      </c>
      <c r="AW502" s="1047"/>
      <c r="AX502" s="1034">
        <f t="shared" si="201"/>
        <v>0</v>
      </c>
      <c r="AY502" s="1035" t="str">
        <f t="shared" si="202"/>
        <v/>
      </c>
      <c r="AZ502" s="1036">
        <f t="shared" si="207"/>
        <v>0</v>
      </c>
      <c r="BA502" s="1037" t="str">
        <f t="shared" si="203"/>
        <v/>
      </c>
      <c r="BB502" s="1038"/>
      <c r="BC502" s="1039">
        <f t="shared" si="208"/>
        <v>0</v>
      </c>
      <c r="BD502" s="1040" t="str">
        <f t="shared" si="204"/>
        <v/>
      </c>
      <c r="BE502" s="227" t="s">
        <v>22</v>
      </c>
      <c r="BF502" s="1019">
        <f t="shared" si="205"/>
        <v>0</v>
      </c>
      <c r="BG502" s="1020">
        <f t="shared" si="206"/>
        <v>0</v>
      </c>
      <c r="BH502"/>
      <c r="BI502" s="709"/>
      <c r="BJ502" s="709"/>
      <c r="BK502" s="709"/>
      <c r="BL502" s="709"/>
      <c r="BM502" s="709"/>
      <c r="BN502" s="709"/>
      <c r="BO502" s="709"/>
      <c r="BP502" s="709"/>
      <c r="BW502" s="959" t="str">
        <f t="shared" si="187"/>
        <v>►</v>
      </c>
      <c r="BX502" s="856"/>
      <c r="BY502" s="856"/>
      <c r="BZ502" s="856"/>
      <c r="CA502" s="856"/>
      <c r="CB502" s="856"/>
      <c r="DB502" s="3">
        <v>1</v>
      </c>
    </row>
    <row r="503" spans="12:106" ht="21" customHeight="1">
      <c r="L503" s="104" t="s">
        <v>16</v>
      </c>
      <c r="M503" s="1172"/>
      <c r="N503" s="1172"/>
      <c r="O503" s="1172"/>
      <c r="P503" s="1173"/>
      <c r="Q503" s="1174"/>
      <c r="R503" s="1175"/>
      <c r="S503" s="1176"/>
      <c r="T503" s="1177"/>
      <c r="U503" s="5248"/>
      <c r="V503" s="1177"/>
      <c r="W503" s="5249"/>
      <c r="X503" s="5208"/>
      <c r="Y503" s="5209"/>
      <c r="Z503" s="5210"/>
      <c r="AA503" s="5211"/>
      <c r="AB503" s="1178"/>
      <c r="AC503" s="1179"/>
      <c r="AD503" s="227" t="s">
        <v>22</v>
      </c>
      <c r="AE503" s="1027" t="str">
        <f t="shared" si="188"/>
        <v>►</v>
      </c>
      <c r="AF503" s="1028" t="str">
        <f t="shared" si="189"/>
        <v/>
      </c>
      <c r="AG503" s="1029" t="str">
        <f t="shared" si="190"/>
        <v/>
      </c>
      <c r="AH503" s="1028" t="str">
        <f t="shared" si="191"/>
        <v/>
      </c>
      <c r="AI503" s="1029" t="str">
        <f t="shared" si="192"/>
        <v/>
      </c>
      <c r="AJ503" s="1029">
        <f t="shared" si="193"/>
        <v>0</v>
      </c>
      <c r="AK503" s="1043" t="str" cm="1">
        <f t="array" ref="AK503">IF(AE503&lt;&gt;"A","",IFERROR((IFERROR(_xlfn.XLOOKUP(TRIM(SUBSTITUTE(U503,CHAR(160)," ")),$BI$15:$BI$62,$BL$15:$BL$62),IFERROR(_xlfn.XLOOKUP(TRIM(SUBSTITUTE(U503,CHAR(160)," ")),$BJ$15:$BJ$62,$BL$15:$BL$62),_xlfn.XLOOKUP(TRIM(SUBSTITUTE(U503,CHAR(160)," ")),$BK$15:$BK$62,$BL$15:$BL$62))))*T503*IF(ISBLANK(Q503),1,Q503)+IFERROR(_xlfn.XLOOKUP("RECHERCHEX",TRIM(L503:AC503),L503:AC503),0),0))</f>
        <v/>
      </c>
      <c r="AL503" s="1030">
        <f t="shared" si="194"/>
        <v>0</v>
      </c>
      <c r="AM503" s="5254" t="str">
        <f t="shared" si="209"/>
        <v/>
      </c>
      <c r="AN503" s="1031">
        <f t="shared" si="195"/>
        <v>0</v>
      </c>
      <c r="AO503" s="1031">
        <f t="shared" si="196"/>
        <v>0</v>
      </c>
      <c r="AP503" s="1044">
        <f t="shared" si="197"/>
        <v>0</v>
      </c>
      <c r="AQ503" s="5257" t="str">
        <f t="shared" si="198"/>
        <v/>
      </c>
      <c r="AR503" s="1056"/>
      <c r="AS503" s="1056"/>
      <c r="AT503" s="1045">
        <f t="shared" si="199"/>
        <v>0</v>
      </c>
      <c r="AU503" s="1046">
        <f t="shared" si="200"/>
        <v>0</v>
      </c>
      <c r="AV503" s="1059" cm="1">
        <f t="array" ref="AV503">IF(AJ503&lt;&gt;1,0,IF(OR(AT503="",N(AT503)&lt;=0.000000001),"",IF(OR(AN503="",N(AN503)&lt;=0.000000001),0,IF(ISNUMBER(AT503),IFERROR(_xlfn.LET(_xlpm.ai_test,TRIM(AI503),_xlpm.r,IFERROR(_xlfn.XLOOKUP(_xlpm.ai_test,$BI$15:$BI$62,ROW($BI$15:$BI$62),0,1),IFERROR(_xlfn.XLOOKUP(_xlpm.ai_test,$BJ$15:$BJ$62,ROW($BJ$15:$BJ$62),0,1),_xlfn.XLOOKUP(_xlpm.ai_test,$BK$15:$BK$62,ROW($BK$15:$BK$62),0,1))),_xlpm.p,_xlpm.r-MIN(ROW($BI$15:$BI$62))+1,_xlpm.f,INDEX($BL$15:$BL$62,_xlpm.p),_xlpm.u,INDEX($BM$15:$BM$62,_xlpm.p),_xlpm.s,INDEX($BO$15:$BO$62,_xlpm.p),_xlpm.q,N(AT503)/_xlpm.f,IF(_xlpm.q&gt;=_xlpm.s,ROUND(_xlpm.q,1)&amp;" "&amp;_xlpm.ai_test&amp;" = "&amp;ROUND(_xlpm.q*_xlpm.f,1)&amp;" "&amp;_xlpm.u,ROUND(_xlpm.q,1)&amp;" "&amp;_xlpm.ai_test)),""),""))))</f>
        <v>0</v>
      </c>
      <c r="AW503" s="1047"/>
      <c r="AX503" s="1045">
        <f t="shared" si="201"/>
        <v>0</v>
      </c>
      <c r="AY503" s="1046" t="str">
        <f t="shared" si="202"/>
        <v/>
      </c>
      <c r="AZ503" s="1048">
        <f t="shared" si="207"/>
        <v>0</v>
      </c>
      <c r="BA503" s="1049" t="str">
        <f t="shared" si="203"/>
        <v/>
      </c>
      <c r="BB503" s="1038"/>
      <c r="BC503" s="1050">
        <f t="shared" si="208"/>
        <v>0</v>
      </c>
      <c r="BD503" s="1040" t="str">
        <f t="shared" si="204"/>
        <v/>
      </c>
      <c r="BE503" s="227" t="s">
        <v>22</v>
      </c>
      <c r="BF503" s="1019">
        <f t="shared" si="205"/>
        <v>0</v>
      </c>
      <c r="BG503" s="1020">
        <f t="shared" si="206"/>
        <v>0</v>
      </c>
      <c r="BH503"/>
      <c r="BI503" s="709"/>
      <c r="BJ503" s="709"/>
      <c r="BK503" s="709"/>
      <c r="BL503" s="709"/>
      <c r="BM503" s="709"/>
      <c r="BN503" s="709"/>
      <c r="BO503" s="709"/>
      <c r="BP503" s="709"/>
      <c r="BW503" s="959" t="str">
        <f t="shared" si="187"/>
        <v>►</v>
      </c>
      <c r="BX503" s="856"/>
      <c r="BY503" s="856"/>
      <c r="BZ503" s="856"/>
      <c r="CA503" s="856"/>
      <c r="CB503" s="856"/>
      <c r="DB503" s="3">
        <v>1</v>
      </c>
    </row>
    <row r="504" spans="12:106" ht="21" customHeight="1">
      <c r="L504" s="104" t="s">
        <v>16</v>
      </c>
      <c r="M504" s="1172"/>
      <c r="N504" s="1172"/>
      <c r="O504" s="1172"/>
      <c r="P504" s="1173"/>
      <c r="Q504" s="1174"/>
      <c r="R504" s="1175"/>
      <c r="S504" s="1176"/>
      <c r="T504" s="1177"/>
      <c r="U504" s="5248"/>
      <c r="V504" s="1177"/>
      <c r="W504" s="5249"/>
      <c r="X504" s="5208"/>
      <c r="Y504" s="5209"/>
      <c r="Z504" s="5210"/>
      <c r="AA504" s="5211"/>
      <c r="AB504" s="1178"/>
      <c r="AC504" s="1179"/>
      <c r="AD504" s="227" t="s">
        <v>22</v>
      </c>
      <c r="AE504" s="1027" t="str">
        <f t="shared" si="188"/>
        <v>►</v>
      </c>
      <c r="AF504" s="1028" t="str">
        <f t="shared" si="189"/>
        <v/>
      </c>
      <c r="AG504" s="1029" t="str">
        <f t="shared" si="190"/>
        <v/>
      </c>
      <c r="AH504" s="1028" t="str">
        <f t="shared" si="191"/>
        <v/>
      </c>
      <c r="AI504" s="1029" t="str">
        <f t="shared" si="192"/>
        <v/>
      </c>
      <c r="AJ504" s="1029">
        <f t="shared" si="193"/>
        <v>0</v>
      </c>
      <c r="AK504" s="1043" t="str" cm="1">
        <f t="array" ref="AK504">IF(AE504&lt;&gt;"A","",IFERROR((IFERROR(_xlfn.XLOOKUP(TRIM(SUBSTITUTE(U504,CHAR(160)," ")),$BI$15:$BI$62,$BL$15:$BL$62),IFERROR(_xlfn.XLOOKUP(TRIM(SUBSTITUTE(U504,CHAR(160)," ")),$BJ$15:$BJ$62,$BL$15:$BL$62),_xlfn.XLOOKUP(TRIM(SUBSTITUTE(U504,CHAR(160)," ")),$BK$15:$BK$62,$BL$15:$BL$62))))*T504*IF(ISBLANK(Q504),1,Q504)+IFERROR(_xlfn.XLOOKUP("RECHERCHEX",TRIM(L504:AC504),L504:AC504),0),0))</f>
        <v/>
      </c>
      <c r="AL504" s="1030">
        <f t="shared" si="194"/>
        <v>0</v>
      </c>
      <c r="AM504" s="5254" t="str">
        <f t="shared" si="209"/>
        <v/>
      </c>
      <c r="AN504" s="1031">
        <f t="shared" si="195"/>
        <v>0</v>
      </c>
      <c r="AO504" s="1031">
        <f t="shared" si="196"/>
        <v>0</v>
      </c>
      <c r="AP504" s="1032">
        <f t="shared" si="197"/>
        <v>0</v>
      </c>
      <c r="AQ504" s="5255" t="str">
        <f t="shared" si="198"/>
        <v/>
      </c>
      <c r="AR504" s="1056"/>
      <c r="AS504" s="1056"/>
      <c r="AT504" s="1034">
        <f t="shared" si="199"/>
        <v>0</v>
      </c>
      <c r="AU504" s="1035">
        <f t="shared" si="200"/>
        <v>0</v>
      </c>
      <c r="AV504" s="1057" cm="1">
        <f t="array" ref="AV504">IF(AJ504&lt;&gt;1,0,IF(OR(AT504="",N(AT504)&lt;=0.000000001),"",IF(OR(AN504="",N(AN504)&lt;=0.000000001),0,IF(ISNUMBER(AT504),IFERROR(_xlfn.LET(_xlpm.ai_test,TRIM(AI504),_xlpm.r,IFERROR(_xlfn.XLOOKUP(_xlpm.ai_test,$BI$15:$BI$62,ROW($BI$15:$BI$62),0,1),IFERROR(_xlfn.XLOOKUP(_xlpm.ai_test,$BJ$15:$BJ$62,ROW($BJ$15:$BJ$62),0,1),_xlfn.XLOOKUP(_xlpm.ai_test,$BK$15:$BK$62,ROW($BK$15:$BK$62),0,1))),_xlpm.p,_xlpm.r-MIN(ROW($BI$15:$BI$62))+1,_xlpm.f,INDEX($BL$15:$BL$62,_xlpm.p),_xlpm.u,INDEX($BM$15:$BM$62,_xlpm.p),_xlpm.s,INDEX($BO$15:$BO$62,_xlpm.p),_xlpm.q,N(AT504)/_xlpm.f,IF(_xlpm.q&gt;=_xlpm.s,ROUND(_xlpm.q,1)&amp;" "&amp;_xlpm.ai_test&amp;" = "&amp;ROUND(_xlpm.q*_xlpm.f,1)&amp;" "&amp;_xlpm.u,ROUND(_xlpm.q,1)&amp;" "&amp;_xlpm.ai_test)),""),""))))</f>
        <v>0</v>
      </c>
      <c r="AW504" s="1047"/>
      <c r="AX504" s="1034">
        <f t="shared" si="201"/>
        <v>0</v>
      </c>
      <c r="AY504" s="1035" t="str">
        <f t="shared" si="202"/>
        <v/>
      </c>
      <c r="AZ504" s="1036">
        <f t="shared" si="207"/>
        <v>0</v>
      </c>
      <c r="BA504" s="1037" t="str">
        <f t="shared" si="203"/>
        <v/>
      </c>
      <c r="BB504" s="1038"/>
      <c r="BC504" s="1039">
        <f t="shared" si="208"/>
        <v>0</v>
      </c>
      <c r="BD504" s="1040" t="str">
        <f t="shared" si="204"/>
        <v/>
      </c>
      <c r="BE504" s="227" t="s">
        <v>22</v>
      </c>
      <c r="BF504" s="1019">
        <f t="shared" si="205"/>
        <v>0</v>
      </c>
      <c r="BG504" s="1020">
        <f t="shared" si="206"/>
        <v>0</v>
      </c>
      <c r="BH504"/>
      <c r="BI504" s="709"/>
      <c r="BJ504" s="709"/>
      <c r="BK504" s="709"/>
      <c r="BL504" s="709"/>
      <c r="BM504" s="709"/>
      <c r="BN504" s="709"/>
      <c r="BO504" s="709"/>
      <c r="BP504" s="709"/>
      <c r="BW504" s="959" t="str">
        <f t="shared" si="187"/>
        <v>►</v>
      </c>
      <c r="BX504" s="856"/>
      <c r="BY504" s="856"/>
      <c r="BZ504" s="856"/>
      <c r="CA504" s="856"/>
      <c r="CB504" s="856"/>
      <c r="DB504" s="3">
        <v>1</v>
      </c>
    </row>
    <row r="505" spans="12:106" ht="21" customHeight="1">
      <c r="L505" s="104" t="s">
        <v>16</v>
      </c>
      <c r="M505" s="1172"/>
      <c r="N505" s="1172"/>
      <c r="O505" s="1172"/>
      <c r="P505" s="1173"/>
      <c r="Q505" s="1174"/>
      <c r="R505" s="1175"/>
      <c r="S505" s="1176"/>
      <c r="T505" s="1177"/>
      <c r="U505" s="5248"/>
      <c r="V505" s="1177"/>
      <c r="W505" s="5249"/>
      <c r="X505" s="5208"/>
      <c r="Y505" s="5209"/>
      <c r="Z505" s="5210"/>
      <c r="AA505" s="5211"/>
      <c r="AB505" s="1178"/>
      <c r="AC505" s="1179"/>
      <c r="AD505" s="227" t="s">
        <v>22</v>
      </c>
      <c r="AE505" s="1027" t="str">
        <f t="shared" si="188"/>
        <v>►</v>
      </c>
      <c r="AF505" s="1028" t="str">
        <f t="shared" si="189"/>
        <v/>
      </c>
      <c r="AG505" s="1029" t="str">
        <f t="shared" si="190"/>
        <v/>
      </c>
      <c r="AH505" s="1028" t="str">
        <f t="shared" si="191"/>
        <v/>
      </c>
      <c r="AI505" s="1029" t="str">
        <f t="shared" si="192"/>
        <v/>
      </c>
      <c r="AJ505" s="1029">
        <f t="shared" si="193"/>
        <v>0</v>
      </c>
      <c r="AK505" s="1043" t="str" cm="1">
        <f t="array" ref="AK505">IF(AE505&lt;&gt;"A","",IFERROR((IFERROR(_xlfn.XLOOKUP(TRIM(SUBSTITUTE(U505,CHAR(160)," ")),$BI$15:$BI$62,$BL$15:$BL$62),IFERROR(_xlfn.XLOOKUP(TRIM(SUBSTITUTE(U505,CHAR(160)," ")),$BJ$15:$BJ$62,$BL$15:$BL$62),_xlfn.XLOOKUP(TRIM(SUBSTITUTE(U505,CHAR(160)," ")),$BK$15:$BK$62,$BL$15:$BL$62))))*T505*IF(ISBLANK(Q505),1,Q505)+IFERROR(_xlfn.XLOOKUP("RECHERCHEX",TRIM(L505:AC505),L505:AC505),0),0))</f>
        <v/>
      </c>
      <c r="AL505" s="1030">
        <f t="shared" si="194"/>
        <v>0</v>
      </c>
      <c r="AM505" s="5254" t="str">
        <f t="shared" si="209"/>
        <v/>
      </c>
      <c r="AN505" s="1031">
        <f t="shared" si="195"/>
        <v>0</v>
      </c>
      <c r="AO505" s="1031">
        <f t="shared" si="196"/>
        <v>0</v>
      </c>
      <c r="AP505" s="1044">
        <f t="shared" si="197"/>
        <v>0</v>
      </c>
      <c r="AQ505" s="5257" t="str">
        <f t="shared" si="198"/>
        <v/>
      </c>
      <c r="AR505" s="1056"/>
      <c r="AS505" s="1056"/>
      <c r="AT505" s="1045">
        <f t="shared" si="199"/>
        <v>0</v>
      </c>
      <c r="AU505" s="1046">
        <f t="shared" si="200"/>
        <v>0</v>
      </c>
      <c r="AV505" s="1059" cm="1">
        <f t="array" ref="AV505">IF(AJ505&lt;&gt;1,0,IF(OR(AT505="",N(AT505)&lt;=0.000000001),"",IF(OR(AN505="",N(AN505)&lt;=0.000000001),0,IF(ISNUMBER(AT505),IFERROR(_xlfn.LET(_xlpm.ai_test,TRIM(AI505),_xlpm.r,IFERROR(_xlfn.XLOOKUP(_xlpm.ai_test,$BI$15:$BI$62,ROW($BI$15:$BI$62),0,1),IFERROR(_xlfn.XLOOKUP(_xlpm.ai_test,$BJ$15:$BJ$62,ROW($BJ$15:$BJ$62),0,1),_xlfn.XLOOKUP(_xlpm.ai_test,$BK$15:$BK$62,ROW($BK$15:$BK$62),0,1))),_xlpm.p,_xlpm.r-MIN(ROW($BI$15:$BI$62))+1,_xlpm.f,INDEX($BL$15:$BL$62,_xlpm.p),_xlpm.u,INDEX($BM$15:$BM$62,_xlpm.p),_xlpm.s,INDEX($BO$15:$BO$62,_xlpm.p),_xlpm.q,N(AT505)/_xlpm.f,IF(_xlpm.q&gt;=_xlpm.s,ROUND(_xlpm.q,1)&amp;" "&amp;_xlpm.ai_test&amp;" = "&amp;ROUND(_xlpm.q*_xlpm.f,1)&amp;" "&amp;_xlpm.u,ROUND(_xlpm.q,1)&amp;" "&amp;_xlpm.ai_test)),""),""))))</f>
        <v>0</v>
      </c>
      <c r="AW505" s="1047"/>
      <c r="AX505" s="1045">
        <f t="shared" si="201"/>
        <v>0</v>
      </c>
      <c r="AY505" s="1046" t="str">
        <f t="shared" si="202"/>
        <v/>
      </c>
      <c r="AZ505" s="1048">
        <f t="shared" si="207"/>
        <v>0</v>
      </c>
      <c r="BA505" s="1049" t="str">
        <f t="shared" si="203"/>
        <v/>
      </c>
      <c r="BB505" s="1038"/>
      <c r="BC505" s="1050">
        <f t="shared" si="208"/>
        <v>0</v>
      </c>
      <c r="BD505" s="1040" t="str">
        <f t="shared" si="204"/>
        <v/>
      </c>
      <c r="BE505" s="227" t="s">
        <v>22</v>
      </c>
      <c r="BF505" s="1019">
        <f t="shared" si="205"/>
        <v>0</v>
      </c>
      <c r="BG505" s="1020">
        <f t="shared" si="206"/>
        <v>0</v>
      </c>
      <c r="BH505"/>
      <c r="BI505" s="709"/>
      <c r="BJ505" s="709"/>
      <c r="BK505" s="709"/>
      <c r="BL505" s="709"/>
      <c r="BM505" s="709"/>
      <c r="BN505" s="709"/>
      <c r="BO505" s="709"/>
      <c r="BP505" s="709"/>
      <c r="BW505" s="959" t="str">
        <f t="shared" si="187"/>
        <v>►</v>
      </c>
      <c r="BX505" s="856"/>
      <c r="BY505" s="856"/>
      <c r="BZ505" s="856"/>
      <c r="CA505" s="856"/>
      <c r="CB505" s="856"/>
      <c r="DB505" s="3">
        <v>1</v>
      </c>
    </row>
    <row r="506" spans="12:106" ht="21" customHeight="1">
      <c r="L506" s="104" t="s">
        <v>16</v>
      </c>
      <c r="M506" s="1172"/>
      <c r="N506" s="1172"/>
      <c r="O506" s="1172"/>
      <c r="P506" s="1173"/>
      <c r="Q506" s="1174"/>
      <c r="R506" s="1175"/>
      <c r="S506" s="1176"/>
      <c r="T506" s="1177"/>
      <c r="U506" s="5248"/>
      <c r="V506" s="1177"/>
      <c r="W506" s="5249"/>
      <c r="X506" s="5208"/>
      <c r="Y506" s="5209"/>
      <c r="Z506" s="5210"/>
      <c r="AA506" s="5211"/>
      <c r="AB506" s="1178"/>
      <c r="AC506" s="1179"/>
      <c r="AD506" s="227" t="s">
        <v>22</v>
      </c>
      <c r="AE506" s="1027" t="str">
        <f t="shared" si="188"/>
        <v>►</v>
      </c>
      <c r="AF506" s="1028" t="str">
        <f t="shared" si="189"/>
        <v/>
      </c>
      <c r="AG506" s="1029" t="str">
        <f t="shared" si="190"/>
        <v/>
      </c>
      <c r="AH506" s="1028" t="str">
        <f t="shared" si="191"/>
        <v/>
      </c>
      <c r="AI506" s="1029" t="str">
        <f t="shared" si="192"/>
        <v/>
      </c>
      <c r="AJ506" s="1029">
        <f t="shared" si="193"/>
        <v>0</v>
      </c>
      <c r="AK506" s="1043" t="str" cm="1">
        <f t="array" ref="AK506">IF(AE506&lt;&gt;"A","",IFERROR((IFERROR(_xlfn.XLOOKUP(TRIM(SUBSTITUTE(U506,CHAR(160)," ")),$BI$15:$BI$62,$BL$15:$BL$62),IFERROR(_xlfn.XLOOKUP(TRIM(SUBSTITUTE(U506,CHAR(160)," ")),$BJ$15:$BJ$62,$BL$15:$BL$62),_xlfn.XLOOKUP(TRIM(SUBSTITUTE(U506,CHAR(160)," ")),$BK$15:$BK$62,$BL$15:$BL$62))))*T506*IF(ISBLANK(Q506),1,Q506)+IFERROR(_xlfn.XLOOKUP("RECHERCHEX",TRIM(L506:AC506),L506:AC506),0),0))</f>
        <v/>
      </c>
      <c r="AL506" s="1030">
        <f t="shared" si="194"/>
        <v>0</v>
      </c>
      <c r="AM506" s="5254" t="str">
        <f t="shared" si="209"/>
        <v/>
      </c>
      <c r="AN506" s="1031">
        <f t="shared" si="195"/>
        <v>0</v>
      </c>
      <c r="AO506" s="1031">
        <f t="shared" si="196"/>
        <v>0</v>
      </c>
      <c r="AP506" s="1032">
        <f t="shared" si="197"/>
        <v>0</v>
      </c>
      <c r="AQ506" s="5255" t="str">
        <f t="shared" si="198"/>
        <v/>
      </c>
      <c r="AR506" s="1056"/>
      <c r="AS506" s="1056"/>
      <c r="AT506" s="1034">
        <f t="shared" si="199"/>
        <v>0</v>
      </c>
      <c r="AU506" s="1035">
        <f t="shared" si="200"/>
        <v>0</v>
      </c>
      <c r="AV506" s="1057" cm="1">
        <f t="array" ref="AV506">IF(AJ506&lt;&gt;1,0,IF(OR(AT506="",N(AT506)&lt;=0.000000001),"",IF(OR(AN506="",N(AN506)&lt;=0.000000001),0,IF(ISNUMBER(AT506),IFERROR(_xlfn.LET(_xlpm.ai_test,TRIM(AI506),_xlpm.r,IFERROR(_xlfn.XLOOKUP(_xlpm.ai_test,$BI$15:$BI$62,ROW($BI$15:$BI$62),0,1),IFERROR(_xlfn.XLOOKUP(_xlpm.ai_test,$BJ$15:$BJ$62,ROW($BJ$15:$BJ$62),0,1),_xlfn.XLOOKUP(_xlpm.ai_test,$BK$15:$BK$62,ROW($BK$15:$BK$62),0,1))),_xlpm.p,_xlpm.r-MIN(ROW($BI$15:$BI$62))+1,_xlpm.f,INDEX($BL$15:$BL$62,_xlpm.p),_xlpm.u,INDEX($BM$15:$BM$62,_xlpm.p),_xlpm.s,INDEX($BO$15:$BO$62,_xlpm.p),_xlpm.q,N(AT506)/_xlpm.f,IF(_xlpm.q&gt;=_xlpm.s,ROUND(_xlpm.q,1)&amp;" "&amp;_xlpm.ai_test&amp;" = "&amp;ROUND(_xlpm.q*_xlpm.f,1)&amp;" "&amp;_xlpm.u,ROUND(_xlpm.q,1)&amp;" "&amp;_xlpm.ai_test)),""),""))))</f>
        <v>0</v>
      </c>
      <c r="AW506" s="1047"/>
      <c r="AX506" s="1034">
        <f t="shared" si="201"/>
        <v>0</v>
      </c>
      <c r="AY506" s="1035" t="str">
        <f t="shared" si="202"/>
        <v/>
      </c>
      <c r="AZ506" s="1036">
        <f t="shared" si="207"/>
        <v>0</v>
      </c>
      <c r="BA506" s="1037" t="str">
        <f t="shared" si="203"/>
        <v/>
      </c>
      <c r="BB506" s="1038"/>
      <c r="BC506" s="1039">
        <f t="shared" si="208"/>
        <v>0</v>
      </c>
      <c r="BD506" s="1040" t="str">
        <f t="shared" si="204"/>
        <v/>
      </c>
      <c r="BE506" s="227" t="s">
        <v>22</v>
      </c>
      <c r="BF506" s="1019">
        <f t="shared" si="205"/>
        <v>0</v>
      </c>
      <c r="BG506" s="1020">
        <f t="shared" si="206"/>
        <v>0</v>
      </c>
      <c r="BH506"/>
      <c r="BI506" s="709"/>
      <c r="BJ506" s="709"/>
      <c r="BK506" s="709"/>
      <c r="BL506" s="709"/>
      <c r="BM506" s="709"/>
      <c r="BN506" s="709"/>
      <c r="BO506" s="709"/>
      <c r="BP506" s="709"/>
      <c r="BW506" s="959" t="str">
        <f t="shared" si="187"/>
        <v>►</v>
      </c>
      <c r="BX506" s="856"/>
      <c r="BY506" s="856"/>
      <c r="BZ506" s="856"/>
      <c r="CA506" s="856"/>
      <c r="CB506" s="856"/>
      <c r="DB506" s="3">
        <v>1</v>
      </c>
    </row>
    <row r="507" spans="12:106" ht="21" customHeight="1">
      <c r="L507" s="104" t="s">
        <v>16</v>
      </c>
      <c r="M507" s="1172"/>
      <c r="N507" s="1172"/>
      <c r="O507" s="1172"/>
      <c r="P507" s="1173"/>
      <c r="Q507" s="1174"/>
      <c r="R507" s="1175"/>
      <c r="S507" s="1176"/>
      <c r="T507" s="1177"/>
      <c r="U507" s="5248"/>
      <c r="V507" s="1177"/>
      <c r="W507" s="5249"/>
      <c r="X507" s="5208"/>
      <c r="Y507" s="5209"/>
      <c r="Z507" s="5210"/>
      <c r="AA507" s="5211"/>
      <c r="AB507" s="1178"/>
      <c r="AC507" s="1179"/>
      <c r="AD507" s="227" t="s">
        <v>22</v>
      </c>
      <c r="AE507" s="1027" t="str">
        <f t="shared" si="188"/>
        <v>►</v>
      </c>
      <c r="AF507" s="1028" t="str">
        <f t="shared" si="189"/>
        <v/>
      </c>
      <c r="AG507" s="1029" t="str">
        <f t="shared" si="190"/>
        <v/>
      </c>
      <c r="AH507" s="1028" t="str">
        <f t="shared" si="191"/>
        <v/>
      </c>
      <c r="AI507" s="1029" t="str">
        <f t="shared" si="192"/>
        <v/>
      </c>
      <c r="AJ507" s="1029">
        <f t="shared" si="193"/>
        <v>0</v>
      </c>
      <c r="AK507" s="1043" t="str" cm="1">
        <f t="array" ref="AK507">IF(AE507&lt;&gt;"A","",IFERROR((IFERROR(_xlfn.XLOOKUP(TRIM(SUBSTITUTE(U507,CHAR(160)," ")),$BI$15:$BI$62,$BL$15:$BL$62),IFERROR(_xlfn.XLOOKUP(TRIM(SUBSTITUTE(U507,CHAR(160)," ")),$BJ$15:$BJ$62,$BL$15:$BL$62),_xlfn.XLOOKUP(TRIM(SUBSTITUTE(U507,CHAR(160)," ")),$BK$15:$BK$62,$BL$15:$BL$62))))*T507*IF(ISBLANK(Q507),1,Q507)+IFERROR(_xlfn.XLOOKUP("RECHERCHEX",TRIM(L507:AC507),L507:AC507),0),0))</f>
        <v/>
      </c>
      <c r="AL507" s="1030">
        <f t="shared" si="194"/>
        <v>0</v>
      </c>
      <c r="AM507" s="5254" t="str">
        <f t="shared" si="209"/>
        <v/>
      </c>
      <c r="AN507" s="1031">
        <f t="shared" si="195"/>
        <v>0</v>
      </c>
      <c r="AO507" s="1031">
        <f t="shared" si="196"/>
        <v>0</v>
      </c>
      <c r="AP507" s="1044">
        <f t="shared" si="197"/>
        <v>0</v>
      </c>
      <c r="AQ507" s="5257" t="str">
        <f t="shared" si="198"/>
        <v/>
      </c>
      <c r="AR507" s="1056"/>
      <c r="AS507" s="1056"/>
      <c r="AT507" s="1045">
        <f t="shared" si="199"/>
        <v>0</v>
      </c>
      <c r="AU507" s="1046">
        <f t="shared" si="200"/>
        <v>0</v>
      </c>
      <c r="AV507" s="1059" cm="1">
        <f t="array" ref="AV507">IF(AJ507&lt;&gt;1,0,IF(OR(AT507="",N(AT507)&lt;=0.000000001),"",IF(OR(AN507="",N(AN507)&lt;=0.000000001),0,IF(ISNUMBER(AT507),IFERROR(_xlfn.LET(_xlpm.ai_test,TRIM(AI507),_xlpm.r,IFERROR(_xlfn.XLOOKUP(_xlpm.ai_test,$BI$15:$BI$62,ROW($BI$15:$BI$62),0,1),IFERROR(_xlfn.XLOOKUP(_xlpm.ai_test,$BJ$15:$BJ$62,ROW($BJ$15:$BJ$62),0,1),_xlfn.XLOOKUP(_xlpm.ai_test,$BK$15:$BK$62,ROW($BK$15:$BK$62),0,1))),_xlpm.p,_xlpm.r-MIN(ROW($BI$15:$BI$62))+1,_xlpm.f,INDEX($BL$15:$BL$62,_xlpm.p),_xlpm.u,INDEX($BM$15:$BM$62,_xlpm.p),_xlpm.s,INDEX($BO$15:$BO$62,_xlpm.p),_xlpm.q,N(AT507)/_xlpm.f,IF(_xlpm.q&gt;=_xlpm.s,ROUND(_xlpm.q,1)&amp;" "&amp;_xlpm.ai_test&amp;" = "&amp;ROUND(_xlpm.q*_xlpm.f,1)&amp;" "&amp;_xlpm.u,ROUND(_xlpm.q,1)&amp;" "&amp;_xlpm.ai_test)),""),""))))</f>
        <v>0</v>
      </c>
      <c r="AW507" s="1047"/>
      <c r="AX507" s="1045">
        <f t="shared" si="201"/>
        <v>0</v>
      </c>
      <c r="AY507" s="1046" t="str">
        <f t="shared" si="202"/>
        <v/>
      </c>
      <c r="AZ507" s="1048">
        <f t="shared" si="207"/>
        <v>0</v>
      </c>
      <c r="BA507" s="1049" t="str">
        <f t="shared" si="203"/>
        <v/>
      </c>
      <c r="BB507" s="1038"/>
      <c r="BC507" s="1050">
        <f t="shared" si="208"/>
        <v>0</v>
      </c>
      <c r="BD507" s="1040" t="str">
        <f t="shared" si="204"/>
        <v/>
      </c>
      <c r="BE507" s="227" t="s">
        <v>22</v>
      </c>
      <c r="BF507" s="1019">
        <f t="shared" si="205"/>
        <v>0</v>
      </c>
      <c r="BG507" s="1020">
        <f t="shared" si="206"/>
        <v>0</v>
      </c>
      <c r="BH507"/>
      <c r="BI507" s="709"/>
      <c r="BJ507" s="709"/>
      <c r="BK507" s="709"/>
      <c r="BL507" s="709"/>
      <c r="BM507" s="709"/>
      <c r="BN507" s="709"/>
      <c r="BO507" s="709"/>
      <c r="BP507" s="709"/>
      <c r="BW507" s="959" t="str">
        <f t="shared" si="187"/>
        <v>►</v>
      </c>
      <c r="BX507" s="856"/>
      <c r="BY507" s="856"/>
      <c r="BZ507" s="856"/>
      <c r="CA507" s="856"/>
      <c r="CB507" s="856"/>
      <c r="DB507" s="3">
        <v>1</v>
      </c>
    </row>
    <row r="508" spans="12:106" ht="21" customHeight="1">
      <c r="L508" s="104" t="s">
        <v>16</v>
      </c>
      <c r="M508" s="1172"/>
      <c r="N508" s="1172"/>
      <c r="O508" s="1172"/>
      <c r="P508" s="1173"/>
      <c r="Q508" s="1174"/>
      <c r="R508" s="1175"/>
      <c r="S508" s="1176"/>
      <c r="T508" s="1177"/>
      <c r="U508" s="5248"/>
      <c r="V508" s="1177"/>
      <c r="W508" s="5249"/>
      <c r="X508" s="5208"/>
      <c r="Y508" s="5209"/>
      <c r="Z508" s="5210"/>
      <c r="AA508" s="5211"/>
      <c r="AB508" s="1178"/>
      <c r="AC508" s="1179"/>
      <c r="AD508" s="227" t="s">
        <v>22</v>
      </c>
      <c r="AE508" s="1027" t="str">
        <f t="shared" si="188"/>
        <v>►</v>
      </c>
      <c r="AF508" s="1028" t="str">
        <f t="shared" si="189"/>
        <v/>
      </c>
      <c r="AG508" s="1029" t="str">
        <f t="shared" si="190"/>
        <v/>
      </c>
      <c r="AH508" s="1028" t="str">
        <f t="shared" si="191"/>
        <v/>
      </c>
      <c r="AI508" s="1029" t="str">
        <f t="shared" si="192"/>
        <v/>
      </c>
      <c r="AJ508" s="1029">
        <f t="shared" si="193"/>
        <v>0</v>
      </c>
      <c r="AK508" s="1043" t="str" cm="1">
        <f t="array" ref="AK508">IF(AE508&lt;&gt;"A","",IFERROR((IFERROR(_xlfn.XLOOKUP(TRIM(SUBSTITUTE(U508,CHAR(160)," ")),$BI$15:$BI$62,$BL$15:$BL$62),IFERROR(_xlfn.XLOOKUP(TRIM(SUBSTITUTE(U508,CHAR(160)," ")),$BJ$15:$BJ$62,$BL$15:$BL$62),_xlfn.XLOOKUP(TRIM(SUBSTITUTE(U508,CHAR(160)," ")),$BK$15:$BK$62,$BL$15:$BL$62))))*T508*IF(ISBLANK(Q508),1,Q508)+IFERROR(_xlfn.XLOOKUP("RECHERCHEX",TRIM(L508:AC508),L508:AC508),0),0))</f>
        <v/>
      </c>
      <c r="AL508" s="1030">
        <f t="shared" si="194"/>
        <v>0</v>
      </c>
      <c r="AM508" s="5254" t="str">
        <f t="shared" si="209"/>
        <v/>
      </c>
      <c r="AN508" s="1031">
        <f t="shared" si="195"/>
        <v>0</v>
      </c>
      <c r="AO508" s="1031">
        <f t="shared" si="196"/>
        <v>0</v>
      </c>
      <c r="AP508" s="1032">
        <f t="shared" si="197"/>
        <v>0</v>
      </c>
      <c r="AQ508" s="5255" t="str">
        <f t="shared" si="198"/>
        <v/>
      </c>
      <c r="AR508" s="1056"/>
      <c r="AS508" s="1056"/>
      <c r="AT508" s="1034">
        <f t="shared" si="199"/>
        <v>0</v>
      </c>
      <c r="AU508" s="1035">
        <f t="shared" si="200"/>
        <v>0</v>
      </c>
      <c r="AV508" s="1057" cm="1">
        <f t="array" ref="AV508">IF(AJ508&lt;&gt;1,0,IF(OR(AT508="",N(AT508)&lt;=0.000000001),"",IF(OR(AN508="",N(AN508)&lt;=0.000000001),0,IF(ISNUMBER(AT508),IFERROR(_xlfn.LET(_xlpm.ai_test,TRIM(AI508),_xlpm.r,IFERROR(_xlfn.XLOOKUP(_xlpm.ai_test,$BI$15:$BI$62,ROW($BI$15:$BI$62),0,1),IFERROR(_xlfn.XLOOKUP(_xlpm.ai_test,$BJ$15:$BJ$62,ROW($BJ$15:$BJ$62),0,1),_xlfn.XLOOKUP(_xlpm.ai_test,$BK$15:$BK$62,ROW($BK$15:$BK$62),0,1))),_xlpm.p,_xlpm.r-MIN(ROW($BI$15:$BI$62))+1,_xlpm.f,INDEX($BL$15:$BL$62,_xlpm.p),_xlpm.u,INDEX($BM$15:$BM$62,_xlpm.p),_xlpm.s,INDEX($BO$15:$BO$62,_xlpm.p),_xlpm.q,N(AT508)/_xlpm.f,IF(_xlpm.q&gt;=_xlpm.s,ROUND(_xlpm.q,1)&amp;" "&amp;_xlpm.ai_test&amp;" = "&amp;ROUND(_xlpm.q*_xlpm.f,1)&amp;" "&amp;_xlpm.u,ROUND(_xlpm.q,1)&amp;" "&amp;_xlpm.ai_test)),""),""))))</f>
        <v>0</v>
      </c>
      <c r="AW508" s="1047"/>
      <c r="AX508" s="1034">
        <f t="shared" si="201"/>
        <v>0</v>
      </c>
      <c r="AY508" s="1035" t="str">
        <f t="shared" si="202"/>
        <v/>
      </c>
      <c r="AZ508" s="1036">
        <f t="shared" si="207"/>
        <v>0</v>
      </c>
      <c r="BA508" s="1037" t="str">
        <f t="shared" si="203"/>
        <v/>
      </c>
      <c r="BB508" s="1038"/>
      <c r="BC508" s="1039">
        <f t="shared" si="208"/>
        <v>0</v>
      </c>
      <c r="BD508" s="1040" t="str">
        <f t="shared" si="204"/>
        <v/>
      </c>
      <c r="BE508" s="227" t="s">
        <v>22</v>
      </c>
      <c r="BF508" s="1019">
        <f t="shared" si="205"/>
        <v>0</v>
      </c>
      <c r="BG508" s="1020">
        <f t="shared" si="206"/>
        <v>0</v>
      </c>
      <c r="BH508"/>
      <c r="BI508" s="709"/>
      <c r="BJ508" s="709"/>
      <c r="BK508" s="709"/>
      <c r="BL508" s="709"/>
      <c r="BM508" s="709"/>
      <c r="BN508" s="709"/>
      <c r="BO508" s="709"/>
      <c r="BP508" s="709"/>
      <c r="BW508" s="959" t="str">
        <f t="shared" si="187"/>
        <v>►</v>
      </c>
      <c r="BX508" s="856"/>
      <c r="BY508" s="856"/>
      <c r="BZ508" s="856"/>
      <c r="CA508" s="856"/>
      <c r="CB508" s="856"/>
      <c r="DB508" s="3">
        <v>1</v>
      </c>
    </row>
    <row r="509" spans="12:106" ht="21" customHeight="1">
      <c r="L509" s="104" t="s">
        <v>16</v>
      </c>
      <c r="M509" s="1172"/>
      <c r="N509" s="1172"/>
      <c r="O509" s="1172"/>
      <c r="P509" s="1173"/>
      <c r="Q509" s="1174"/>
      <c r="R509" s="1175"/>
      <c r="S509" s="1176"/>
      <c r="T509" s="1177"/>
      <c r="U509" s="5248"/>
      <c r="V509" s="1177"/>
      <c r="W509" s="5249"/>
      <c r="X509" s="5208"/>
      <c r="Y509" s="5209"/>
      <c r="Z509" s="5210"/>
      <c r="AA509" s="5211"/>
      <c r="AB509" s="1178"/>
      <c r="AC509" s="1179"/>
      <c r="AD509" s="227" t="s">
        <v>22</v>
      </c>
      <c r="AE509" s="1027" t="str">
        <f t="shared" si="188"/>
        <v>►</v>
      </c>
      <c r="AF509" s="1028" t="str">
        <f t="shared" si="189"/>
        <v/>
      </c>
      <c r="AG509" s="1029" t="str">
        <f t="shared" si="190"/>
        <v/>
      </c>
      <c r="AH509" s="1028" t="str">
        <f t="shared" si="191"/>
        <v/>
      </c>
      <c r="AI509" s="1029" t="str">
        <f t="shared" si="192"/>
        <v/>
      </c>
      <c r="AJ509" s="1029">
        <f t="shared" si="193"/>
        <v>0</v>
      </c>
      <c r="AK509" s="1043" t="str" cm="1">
        <f t="array" ref="AK509">IF(AE509&lt;&gt;"A","",IFERROR((IFERROR(_xlfn.XLOOKUP(TRIM(SUBSTITUTE(U509,CHAR(160)," ")),$BI$15:$BI$62,$BL$15:$BL$62),IFERROR(_xlfn.XLOOKUP(TRIM(SUBSTITUTE(U509,CHAR(160)," ")),$BJ$15:$BJ$62,$BL$15:$BL$62),_xlfn.XLOOKUP(TRIM(SUBSTITUTE(U509,CHAR(160)," ")),$BK$15:$BK$62,$BL$15:$BL$62))))*T509*IF(ISBLANK(Q509),1,Q509)+IFERROR(_xlfn.XLOOKUP("RECHERCHEX",TRIM(L509:AC509),L509:AC509),0),0))</f>
        <v/>
      </c>
      <c r="AL509" s="1030">
        <f t="shared" si="194"/>
        <v>0</v>
      </c>
      <c r="AM509" s="5254" t="str">
        <f t="shared" si="209"/>
        <v/>
      </c>
      <c r="AN509" s="1031">
        <f t="shared" si="195"/>
        <v>0</v>
      </c>
      <c r="AO509" s="1031">
        <f t="shared" si="196"/>
        <v>0</v>
      </c>
      <c r="AP509" s="1044">
        <f t="shared" si="197"/>
        <v>0</v>
      </c>
      <c r="AQ509" s="5257" t="str">
        <f t="shared" si="198"/>
        <v/>
      </c>
      <c r="AR509" s="1056"/>
      <c r="AS509" s="1056"/>
      <c r="AT509" s="1045">
        <f t="shared" si="199"/>
        <v>0</v>
      </c>
      <c r="AU509" s="1046">
        <f t="shared" si="200"/>
        <v>0</v>
      </c>
      <c r="AV509" s="1059" cm="1">
        <f t="array" ref="AV509">IF(AJ509&lt;&gt;1,0,IF(OR(AT509="",N(AT509)&lt;=0.000000001),"",IF(OR(AN509="",N(AN509)&lt;=0.000000001),0,IF(ISNUMBER(AT509),IFERROR(_xlfn.LET(_xlpm.ai_test,TRIM(AI509),_xlpm.r,IFERROR(_xlfn.XLOOKUP(_xlpm.ai_test,$BI$15:$BI$62,ROW($BI$15:$BI$62),0,1),IFERROR(_xlfn.XLOOKUP(_xlpm.ai_test,$BJ$15:$BJ$62,ROW($BJ$15:$BJ$62),0,1),_xlfn.XLOOKUP(_xlpm.ai_test,$BK$15:$BK$62,ROW($BK$15:$BK$62),0,1))),_xlpm.p,_xlpm.r-MIN(ROW($BI$15:$BI$62))+1,_xlpm.f,INDEX($BL$15:$BL$62,_xlpm.p),_xlpm.u,INDEX($BM$15:$BM$62,_xlpm.p),_xlpm.s,INDEX($BO$15:$BO$62,_xlpm.p),_xlpm.q,N(AT509)/_xlpm.f,IF(_xlpm.q&gt;=_xlpm.s,ROUND(_xlpm.q,1)&amp;" "&amp;_xlpm.ai_test&amp;" = "&amp;ROUND(_xlpm.q*_xlpm.f,1)&amp;" "&amp;_xlpm.u,ROUND(_xlpm.q,1)&amp;" "&amp;_xlpm.ai_test)),""),""))))</f>
        <v>0</v>
      </c>
      <c r="AW509" s="1047"/>
      <c r="AX509" s="1045">
        <f t="shared" si="201"/>
        <v>0</v>
      </c>
      <c r="AY509" s="1046" t="str">
        <f t="shared" si="202"/>
        <v/>
      </c>
      <c r="AZ509" s="1048">
        <f t="shared" si="207"/>
        <v>0</v>
      </c>
      <c r="BA509" s="1049" t="str">
        <f t="shared" si="203"/>
        <v/>
      </c>
      <c r="BB509" s="1038"/>
      <c r="BC509" s="1050">
        <f t="shared" si="208"/>
        <v>0</v>
      </c>
      <c r="BD509" s="1040" t="str">
        <f t="shared" si="204"/>
        <v/>
      </c>
      <c r="BE509" s="227" t="s">
        <v>22</v>
      </c>
      <c r="BF509" s="1019">
        <f t="shared" si="205"/>
        <v>0</v>
      </c>
      <c r="BG509" s="1020">
        <f t="shared" si="206"/>
        <v>0</v>
      </c>
      <c r="BH509"/>
      <c r="BI509" s="709"/>
      <c r="BJ509" s="709"/>
      <c r="BK509" s="709"/>
      <c r="BL509" s="709"/>
      <c r="BM509" s="709"/>
      <c r="BN509" s="709"/>
      <c r="BO509" s="709"/>
      <c r="BP509" s="709"/>
      <c r="BW509" s="959" t="str">
        <f t="shared" si="187"/>
        <v>►</v>
      </c>
      <c r="BX509" s="856"/>
      <c r="BY509" s="856"/>
      <c r="BZ509" s="856"/>
      <c r="CA509" s="856"/>
      <c r="CB509" s="856"/>
      <c r="DB509" s="3">
        <v>1</v>
      </c>
    </row>
    <row r="510" spans="12:106" ht="21" customHeight="1">
      <c r="L510" s="104" t="s">
        <v>16</v>
      </c>
      <c r="M510" s="1172"/>
      <c r="N510" s="1172"/>
      <c r="O510" s="1172"/>
      <c r="P510" s="1173"/>
      <c r="Q510" s="1174"/>
      <c r="R510" s="1175"/>
      <c r="S510" s="1176"/>
      <c r="T510" s="1177"/>
      <c r="U510" s="5248"/>
      <c r="V510" s="1177"/>
      <c r="W510" s="5249"/>
      <c r="X510" s="5208"/>
      <c r="Y510" s="5209"/>
      <c r="Z510" s="5210"/>
      <c r="AA510" s="5211"/>
      <c r="AB510" s="1178"/>
      <c r="AC510" s="1179"/>
      <c r="AD510" s="227" t="s">
        <v>22</v>
      </c>
      <c r="AE510" s="1027" t="str">
        <f t="shared" si="188"/>
        <v>►</v>
      </c>
      <c r="AF510" s="1028" t="str">
        <f t="shared" si="189"/>
        <v/>
      </c>
      <c r="AG510" s="1029" t="str">
        <f t="shared" si="190"/>
        <v/>
      </c>
      <c r="AH510" s="1028" t="str">
        <f t="shared" si="191"/>
        <v/>
      </c>
      <c r="AI510" s="1029" t="str">
        <f t="shared" si="192"/>
        <v/>
      </c>
      <c r="AJ510" s="1029">
        <f t="shared" si="193"/>
        <v>0</v>
      </c>
      <c r="AK510" s="1043" t="str" cm="1">
        <f t="array" ref="AK510">IF(AE510&lt;&gt;"A","",IFERROR((IFERROR(_xlfn.XLOOKUP(TRIM(SUBSTITUTE(U510,CHAR(160)," ")),$BI$15:$BI$62,$BL$15:$BL$62),IFERROR(_xlfn.XLOOKUP(TRIM(SUBSTITUTE(U510,CHAR(160)," ")),$BJ$15:$BJ$62,$BL$15:$BL$62),_xlfn.XLOOKUP(TRIM(SUBSTITUTE(U510,CHAR(160)," ")),$BK$15:$BK$62,$BL$15:$BL$62))))*T510*IF(ISBLANK(Q510),1,Q510)+IFERROR(_xlfn.XLOOKUP("RECHERCHEX",TRIM(L510:AC510),L510:AC510),0),0))</f>
        <v/>
      </c>
      <c r="AL510" s="1030">
        <f t="shared" si="194"/>
        <v>0</v>
      </c>
      <c r="AM510" s="5254" t="str">
        <f t="shared" si="209"/>
        <v/>
      </c>
      <c r="AN510" s="1031">
        <f t="shared" si="195"/>
        <v>0</v>
      </c>
      <c r="AO510" s="1031">
        <f t="shared" si="196"/>
        <v>0</v>
      </c>
      <c r="AP510" s="1032">
        <f t="shared" si="197"/>
        <v>0</v>
      </c>
      <c r="AQ510" s="5255" t="str">
        <f t="shared" si="198"/>
        <v/>
      </c>
      <c r="AR510" s="1056"/>
      <c r="AS510" s="1056"/>
      <c r="AT510" s="1034">
        <f t="shared" si="199"/>
        <v>0</v>
      </c>
      <c r="AU510" s="1035">
        <f t="shared" si="200"/>
        <v>0</v>
      </c>
      <c r="AV510" s="1057" cm="1">
        <f t="array" ref="AV510">IF(AJ510&lt;&gt;1,0,IF(OR(AT510="",N(AT510)&lt;=0.000000001),"",IF(OR(AN510="",N(AN510)&lt;=0.000000001),0,IF(ISNUMBER(AT510),IFERROR(_xlfn.LET(_xlpm.ai_test,TRIM(AI510),_xlpm.r,IFERROR(_xlfn.XLOOKUP(_xlpm.ai_test,$BI$15:$BI$62,ROW($BI$15:$BI$62),0,1),IFERROR(_xlfn.XLOOKUP(_xlpm.ai_test,$BJ$15:$BJ$62,ROW($BJ$15:$BJ$62),0,1),_xlfn.XLOOKUP(_xlpm.ai_test,$BK$15:$BK$62,ROW($BK$15:$BK$62),0,1))),_xlpm.p,_xlpm.r-MIN(ROW($BI$15:$BI$62))+1,_xlpm.f,INDEX($BL$15:$BL$62,_xlpm.p),_xlpm.u,INDEX($BM$15:$BM$62,_xlpm.p),_xlpm.s,INDEX($BO$15:$BO$62,_xlpm.p),_xlpm.q,N(AT510)/_xlpm.f,IF(_xlpm.q&gt;=_xlpm.s,ROUND(_xlpm.q,1)&amp;" "&amp;_xlpm.ai_test&amp;" = "&amp;ROUND(_xlpm.q*_xlpm.f,1)&amp;" "&amp;_xlpm.u,ROUND(_xlpm.q,1)&amp;" "&amp;_xlpm.ai_test)),""),""))))</f>
        <v>0</v>
      </c>
      <c r="AW510" s="1047"/>
      <c r="AX510" s="1034">
        <f t="shared" si="201"/>
        <v>0</v>
      </c>
      <c r="AY510" s="1035" t="str">
        <f t="shared" si="202"/>
        <v/>
      </c>
      <c r="AZ510" s="1036">
        <f t="shared" si="207"/>
        <v>0</v>
      </c>
      <c r="BA510" s="1037" t="str">
        <f t="shared" si="203"/>
        <v/>
      </c>
      <c r="BB510" s="1038"/>
      <c r="BC510" s="1039">
        <f t="shared" si="208"/>
        <v>0</v>
      </c>
      <c r="BD510" s="1040" t="str">
        <f t="shared" si="204"/>
        <v/>
      </c>
      <c r="BE510" s="227" t="s">
        <v>22</v>
      </c>
      <c r="BF510" s="1019">
        <f t="shared" si="205"/>
        <v>0</v>
      </c>
      <c r="BG510" s="1020">
        <f t="shared" si="206"/>
        <v>0</v>
      </c>
      <c r="BH510"/>
      <c r="BI510" s="709"/>
      <c r="BJ510" s="709"/>
      <c r="BK510" s="709"/>
      <c r="BL510" s="709"/>
      <c r="BM510" s="709"/>
      <c r="BN510" s="709"/>
      <c r="BO510" s="709"/>
      <c r="BP510" s="709"/>
      <c r="BW510" s="959" t="str">
        <f t="shared" si="187"/>
        <v>►</v>
      </c>
      <c r="BX510" s="856"/>
      <c r="BY510" s="856"/>
      <c r="BZ510" s="856"/>
      <c r="CA510" s="856"/>
      <c r="CB510" s="856"/>
      <c r="DB510" s="3">
        <v>1</v>
      </c>
    </row>
    <row r="511" spans="12:106" ht="21" customHeight="1">
      <c r="L511" s="104" t="s">
        <v>16</v>
      </c>
      <c r="M511" s="1172"/>
      <c r="N511" s="1172"/>
      <c r="O511" s="1172"/>
      <c r="P511" s="1173"/>
      <c r="Q511" s="1174"/>
      <c r="R511" s="1175"/>
      <c r="S511" s="1176"/>
      <c r="T511" s="1177"/>
      <c r="U511" s="5248"/>
      <c r="V511" s="1177"/>
      <c r="W511" s="5249"/>
      <c r="X511" s="5208"/>
      <c r="Y511" s="5209"/>
      <c r="Z511" s="5210"/>
      <c r="AA511" s="5211"/>
      <c r="AB511" s="1178"/>
      <c r="AC511" s="1179"/>
      <c r="AD511" s="227" t="s">
        <v>22</v>
      </c>
      <c r="AE511" s="1027" t="str">
        <f t="shared" si="188"/>
        <v>►</v>
      </c>
      <c r="AF511" s="1028" t="str">
        <f t="shared" si="189"/>
        <v/>
      </c>
      <c r="AG511" s="1029" t="str">
        <f t="shared" si="190"/>
        <v/>
      </c>
      <c r="AH511" s="1028" t="str">
        <f t="shared" si="191"/>
        <v/>
      </c>
      <c r="AI511" s="1029" t="str">
        <f t="shared" si="192"/>
        <v/>
      </c>
      <c r="AJ511" s="1029">
        <f t="shared" si="193"/>
        <v>0</v>
      </c>
      <c r="AK511" s="1043" t="str" cm="1">
        <f t="array" ref="AK511">IF(AE511&lt;&gt;"A","",IFERROR((IFERROR(_xlfn.XLOOKUP(TRIM(SUBSTITUTE(U511,CHAR(160)," ")),$BI$15:$BI$62,$BL$15:$BL$62),IFERROR(_xlfn.XLOOKUP(TRIM(SUBSTITUTE(U511,CHAR(160)," ")),$BJ$15:$BJ$62,$BL$15:$BL$62),_xlfn.XLOOKUP(TRIM(SUBSTITUTE(U511,CHAR(160)," ")),$BK$15:$BK$62,$BL$15:$BL$62))))*T511*IF(ISBLANK(Q511),1,Q511)+IFERROR(_xlfn.XLOOKUP("RECHERCHEX",TRIM(L511:AC511),L511:AC511),0),0))</f>
        <v/>
      </c>
      <c r="AL511" s="1030">
        <f t="shared" si="194"/>
        <v>0</v>
      </c>
      <c r="AM511" s="5254" t="str">
        <f t="shared" si="209"/>
        <v/>
      </c>
      <c r="AN511" s="1031">
        <f t="shared" si="195"/>
        <v>0</v>
      </c>
      <c r="AO511" s="1031">
        <f t="shared" si="196"/>
        <v>0</v>
      </c>
      <c r="AP511" s="1044">
        <f t="shared" si="197"/>
        <v>0</v>
      </c>
      <c r="AQ511" s="5257" t="str">
        <f t="shared" si="198"/>
        <v/>
      </c>
      <c r="AR511" s="1056"/>
      <c r="AS511" s="1056"/>
      <c r="AT511" s="1045">
        <f t="shared" si="199"/>
        <v>0</v>
      </c>
      <c r="AU511" s="1046">
        <f t="shared" si="200"/>
        <v>0</v>
      </c>
      <c r="AV511" s="1059" cm="1">
        <f t="array" ref="AV511">IF(AJ511&lt;&gt;1,0,IF(OR(AT511="",N(AT511)&lt;=0.000000001),"",IF(OR(AN511="",N(AN511)&lt;=0.000000001),0,IF(ISNUMBER(AT511),IFERROR(_xlfn.LET(_xlpm.ai_test,TRIM(AI511),_xlpm.r,IFERROR(_xlfn.XLOOKUP(_xlpm.ai_test,$BI$15:$BI$62,ROW($BI$15:$BI$62),0,1),IFERROR(_xlfn.XLOOKUP(_xlpm.ai_test,$BJ$15:$BJ$62,ROW($BJ$15:$BJ$62),0,1),_xlfn.XLOOKUP(_xlpm.ai_test,$BK$15:$BK$62,ROW($BK$15:$BK$62),0,1))),_xlpm.p,_xlpm.r-MIN(ROW($BI$15:$BI$62))+1,_xlpm.f,INDEX($BL$15:$BL$62,_xlpm.p),_xlpm.u,INDEX($BM$15:$BM$62,_xlpm.p),_xlpm.s,INDEX($BO$15:$BO$62,_xlpm.p),_xlpm.q,N(AT511)/_xlpm.f,IF(_xlpm.q&gt;=_xlpm.s,ROUND(_xlpm.q,1)&amp;" "&amp;_xlpm.ai_test&amp;" = "&amp;ROUND(_xlpm.q*_xlpm.f,1)&amp;" "&amp;_xlpm.u,ROUND(_xlpm.q,1)&amp;" "&amp;_xlpm.ai_test)),""),""))))</f>
        <v>0</v>
      </c>
      <c r="AW511" s="1047"/>
      <c r="AX511" s="1045">
        <f t="shared" si="201"/>
        <v>0</v>
      </c>
      <c r="AY511" s="1046" t="str">
        <f t="shared" si="202"/>
        <v/>
      </c>
      <c r="AZ511" s="1048">
        <f t="shared" si="207"/>
        <v>0</v>
      </c>
      <c r="BA511" s="1049" t="str">
        <f t="shared" si="203"/>
        <v/>
      </c>
      <c r="BB511" s="1038"/>
      <c r="BC511" s="1050">
        <f t="shared" si="208"/>
        <v>0</v>
      </c>
      <c r="BD511" s="1040" t="str">
        <f t="shared" si="204"/>
        <v/>
      </c>
      <c r="BE511" s="227" t="s">
        <v>22</v>
      </c>
      <c r="BF511" s="1019">
        <f t="shared" si="205"/>
        <v>0</v>
      </c>
      <c r="BG511" s="1020">
        <f t="shared" si="206"/>
        <v>0</v>
      </c>
      <c r="BH511"/>
      <c r="BI511" s="709"/>
      <c r="BJ511" s="709"/>
      <c r="BK511" s="709"/>
      <c r="BL511" s="709"/>
      <c r="BM511" s="709"/>
      <c r="BN511" s="709"/>
      <c r="BO511" s="709"/>
      <c r="BP511" s="709"/>
      <c r="BW511" s="959" t="str">
        <f t="shared" si="187"/>
        <v>►</v>
      </c>
      <c r="BX511" s="856"/>
      <c r="BY511" s="856"/>
      <c r="BZ511" s="856"/>
      <c r="CA511" s="856"/>
      <c r="CB511" s="856"/>
      <c r="DB511" s="3">
        <v>1</v>
      </c>
    </row>
    <row r="512" spans="12:106" ht="21" customHeight="1">
      <c r="L512" s="104" t="s">
        <v>16</v>
      </c>
      <c r="M512" s="1172"/>
      <c r="N512" s="1172"/>
      <c r="O512" s="1172"/>
      <c r="P512" s="1173"/>
      <c r="Q512" s="1174"/>
      <c r="R512" s="1175"/>
      <c r="S512" s="1176"/>
      <c r="T512" s="1177"/>
      <c r="U512" s="5248"/>
      <c r="V512" s="1177"/>
      <c r="W512" s="5249"/>
      <c r="X512" s="5208"/>
      <c r="Y512" s="5209"/>
      <c r="Z512" s="5210"/>
      <c r="AA512" s="5211"/>
      <c r="AB512" s="1178"/>
      <c r="AC512" s="1179"/>
      <c r="AD512" s="227" t="s">
        <v>22</v>
      </c>
      <c r="AE512" s="1027" t="str">
        <f t="shared" si="188"/>
        <v>►</v>
      </c>
      <c r="AF512" s="1028" t="str">
        <f t="shared" si="189"/>
        <v/>
      </c>
      <c r="AG512" s="1029" t="str">
        <f t="shared" si="190"/>
        <v/>
      </c>
      <c r="AH512" s="1028" t="str">
        <f t="shared" si="191"/>
        <v/>
      </c>
      <c r="AI512" s="1029" t="str">
        <f t="shared" si="192"/>
        <v/>
      </c>
      <c r="AJ512" s="1029">
        <f t="shared" si="193"/>
        <v>0</v>
      </c>
      <c r="AK512" s="1043" t="str" cm="1">
        <f t="array" ref="AK512">IF(AE512&lt;&gt;"A","",IFERROR((IFERROR(_xlfn.XLOOKUP(TRIM(SUBSTITUTE(U512,CHAR(160)," ")),$BI$15:$BI$62,$BL$15:$BL$62),IFERROR(_xlfn.XLOOKUP(TRIM(SUBSTITUTE(U512,CHAR(160)," ")),$BJ$15:$BJ$62,$BL$15:$BL$62),_xlfn.XLOOKUP(TRIM(SUBSTITUTE(U512,CHAR(160)," ")),$BK$15:$BK$62,$BL$15:$BL$62))))*T512*IF(ISBLANK(Q512),1,Q512)+IFERROR(_xlfn.XLOOKUP("RECHERCHEX",TRIM(L512:AC512),L512:AC512),0),0))</f>
        <v/>
      </c>
      <c r="AL512" s="1030">
        <f t="shared" si="194"/>
        <v>0</v>
      </c>
      <c r="AM512" s="5254" t="str">
        <f t="shared" si="209"/>
        <v/>
      </c>
      <c r="AN512" s="1031">
        <f t="shared" si="195"/>
        <v>0</v>
      </c>
      <c r="AO512" s="1031">
        <f t="shared" si="196"/>
        <v>0</v>
      </c>
      <c r="AP512" s="1032">
        <f t="shared" si="197"/>
        <v>0</v>
      </c>
      <c r="AQ512" s="5255" t="str">
        <f t="shared" si="198"/>
        <v/>
      </c>
      <c r="AR512" s="1056"/>
      <c r="AS512" s="1056"/>
      <c r="AT512" s="1034">
        <f t="shared" si="199"/>
        <v>0</v>
      </c>
      <c r="AU512" s="1035">
        <f t="shared" si="200"/>
        <v>0</v>
      </c>
      <c r="AV512" s="1057" cm="1">
        <f t="array" ref="AV512">IF(AJ512&lt;&gt;1,0,IF(OR(AT512="",N(AT512)&lt;=0.000000001),"",IF(OR(AN512="",N(AN512)&lt;=0.000000001),0,IF(ISNUMBER(AT512),IFERROR(_xlfn.LET(_xlpm.ai_test,TRIM(AI512),_xlpm.r,IFERROR(_xlfn.XLOOKUP(_xlpm.ai_test,$BI$15:$BI$62,ROW($BI$15:$BI$62),0,1),IFERROR(_xlfn.XLOOKUP(_xlpm.ai_test,$BJ$15:$BJ$62,ROW($BJ$15:$BJ$62),0,1),_xlfn.XLOOKUP(_xlpm.ai_test,$BK$15:$BK$62,ROW($BK$15:$BK$62),0,1))),_xlpm.p,_xlpm.r-MIN(ROW($BI$15:$BI$62))+1,_xlpm.f,INDEX($BL$15:$BL$62,_xlpm.p),_xlpm.u,INDEX($BM$15:$BM$62,_xlpm.p),_xlpm.s,INDEX($BO$15:$BO$62,_xlpm.p),_xlpm.q,N(AT512)/_xlpm.f,IF(_xlpm.q&gt;=_xlpm.s,ROUND(_xlpm.q,1)&amp;" "&amp;_xlpm.ai_test&amp;" = "&amp;ROUND(_xlpm.q*_xlpm.f,1)&amp;" "&amp;_xlpm.u,ROUND(_xlpm.q,1)&amp;" "&amp;_xlpm.ai_test)),""),""))))</f>
        <v>0</v>
      </c>
      <c r="AW512" s="1047"/>
      <c r="AX512" s="1034">
        <f t="shared" si="201"/>
        <v>0</v>
      </c>
      <c r="AY512" s="1035" t="str">
        <f t="shared" si="202"/>
        <v/>
      </c>
      <c r="AZ512" s="1036">
        <f t="shared" si="207"/>
        <v>0</v>
      </c>
      <c r="BA512" s="1037" t="str">
        <f t="shared" si="203"/>
        <v/>
      </c>
      <c r="BB512" s="1038"/>
      <c r="BC512" s="1039">
        <f t="shared" si="208"/>
        <v>0</v>
      </c>
      <c r="BD512" s="1040" t="str">
        <f t="shared" si="204"/>
        <v/>
      </c>
      <c r="BE512" s="227" t="s">
        <v>22</v>
      </c>
      <c r="BF512" s="1019">
        <f t="shared" si="205"/>
        <v>0</v>
      </c>
      <c r="BG512" s="1020">
        <f t="shared" si="206"/>
        <v>0</v>
      </c>
      <c r="BH512"/>
      <c r="BI512" s="709"/>
      <c r="BJ512" s="709"/>
      <c r="BK512" s="709"/>
      <c r="BL512" s="709"/>
      <c r="BM512" s="709"/>
      <c r="BN512" s="709"/>
      <c r="BO512" s="709"/>
      <c r="BP512" s="709"/>
      <c r="BW512" s="959" t="str">
        <f t="shared" si="187"/>
        <v>►</v>
      </c>
      <c r="BX512" s="856"/>
      <c r="BY512" s="856"/>
      <c r="BZ512" s="856"/>
      <c r="CA512" s="856"/>
      <c r="CB512" s="856"/>
      <c r="DB512" s="3">
        <v>1</v>
      </c>
    </row>
    <row r="513" spans="12:106" ht="21" customHeight="1">
      <c r="L513" s="104" t="s">
        <v>16</v>
      </c>
      <c r="M513" s="1172"/>
      <c r="N513" s="1172"/>
      <c r="O513" s="1172"/>
      <c r="P513" s="1173"/>
      <c r="Q513" s="1174"/>
      <c r="R513" s="1175"/>
      <c r="S513" s="1176"/>
      <c r="T513" s="1177"/>
      <c r="U513" s="5248"/>
      <c r="V513" s="1177"/>
      <c r="W513" s="5249"/>
      <c r="X513" s="5208"/>
      <c r="Y513" s="5209"/>
      <c r="Z513" s="5210"/>
      <c r="AA513" s="5211"/>
      <c r="AB513" s="1178"/>
      <c r="AC513" s="1179"/>
      <c r="AD513" s="227" t="s">
        <v>22</v>
      </c>
      <c r="AE513" s="1027" t="str">
        <f t="shared" si="188"/>
        <v>►</v>
      </c>
      <c r="AF513" s="1028" t="str">
        <f t="shared" si="189"/>
        <v/>
      </c>
      <c r="AG513" s="1029" t="str">
        <f t="shared" si="190"/>
        <v/>
      </c>
      <c r="AH513" s="1028" t="str">
        <f t="shared" si="191"/>
        <v/>
      </c>
      <c r="AI513" s="1029" t="str">
        <f t="shared" si="192"/>
        <v/>
      </c>
      <c r="AJ513" s="1029">
        <f t="shared" si="193"/>
        <v>0</v>
      </c>
      <c r="AK513" s="1043" t="str" cm="1">
        <f t="array" ref="AK513">IF(AE513&lt;&gt;"A","",IFERROR((IFERROR(_xlfn.XLOOKUP(TRIM(SUBSTITUTE(U513,CHAR(160)," ")),$BI$15:$BI$62,$BL$15:$BL$62),IFERROR(_xlfn.XLOOKUP(TRIM(SUBSTITUTE(U513,CHAR(160)," ")),$BJ$15:$BJ$62,$BL$15:$BL$62),_xlfn.XLOOKUP(TRIM(SUBSTITUTE(U513,CHAR(160)," ")),$BK$15:$BK$62,$BL$15:$BL$62))))*T513*IF(ISBLANK(Q513),1,Q513)+IFERROR(_xlfn.XLOOKUP("RECHERCHEX",TRIM(L513:AC513),L513:AC513),0),0))</f>
        <v/>
      </c>
      <c r="AL513" s="1030">
        <f t="shared" si="194"/>
        <v>0</v>
      </c>
      <c r="AM513" s="5254" t="str">
        <f t="shared" si="209"/>
        <v/>
      </c>
      <c r="AN513" s="1031">
        <f t="shared" si="195"/>
        <v>0</v>
      </c>
      <c r="AO513" s="1031">
        <f t="shared" si="196"/>
        <v>0</v>
      </c>
      <c r="AP513" s="1044">
        <f t="shared" si="197"/>
        <v>0</v>
      </c>
      <c r="AQ513" s="5257" t="str">
        <f t="shared" si="198"/>
        <v/>
      </c>
      <c r="AR513" s="1056"/>
      <c r="AS513" s="1056"/>
      <c r="AT513" s="1045">
        <f t="shared" si="199"/>
        <v>0</v>
      </c>
      <c r="AU513" s="1046">
        <f t="shared" si="200"/>
        <v>0</v>
      </c>
      <c r="AV513" s="1059" cm="1">
        <f t="array" ref="AV513">IF(AJ513&lt;&gt;1,0,IF(OR(AT513="",N(AT513)&lt;=0.000000001),"",IF(OR(AN513="",N(AN513)&lt;=0.000000001),0,IF(ISNUMBER(AT513),IFERROR(_xlfn.LET(_xlpm.ai_test,TRIM(AI513),_xlpm.r,IFERROR(_xlfn.XLOOKUP(_xlpm.ai_test,$BI$15:$BI$62,ROW($BI$15:$BI$62),0,1),IFERROR(_xlfn.XLOOKUP(_xlpm.ai_test,$BJ$15:$BJ$62,ROW($BJ$15:$BJ$62),0,1),_xlfn.XLOOKUP(_xlpm.ai_test,$BK$15:$BK$62,ROW($BK$15:$BK$62),0,1))),_xlpm.p,_xlpm.r-MIN(ROW($BI$15:$BI$62))+1,_xlpm.f,INDEX($BL$15:$BL$62,_xlpm.p),_xlpm.u,INDEX($BM$15:$BM$62,_xlpm.p),_xlpm.s,INDEX($BO$15:$BO$62,_xlpm.p),_xlpm.q,N(AT513)/_xlpm.f,IF(_xlpm.q&gt;=_xlpm.s,ROUND(_xlpm.q,1)&amp;" "&amp;_xlpm.ai_test&amp;" = "&amp;ROUND(_xlpm.q*_xlpm.f,1)&amp;" "&amp;_xlpm.u,ROUND(_xlpm.q,1)&amp;" "&amp;_xlpm.ai_test)),""),""))))</f>
        <v>0</v>
      </c>
      <c r="AW513" s="1047"/>
      <c r="AX513" s="1045">
        <f t="shared" si="201"/>
        <v>0</v>
      </c>
      <c r="AY513" s="1046" t="str">
        <f t="shared" si="202"/>
        <v/>
      </c>
      <c r="AZ513" s="1048">
        <f t="shared" si="207"/>
        <v>0</v>
      </c>
      <c r="BA513" s="1049" t="str">
        <f t="shared" si="203"/>
        <v/>
      </c>
      <c r="BB513" s="1038"/>
      <c r="BC513" s="1050">
        <f t="shared" si="208"/>
        <v>0</v>
      </c>
      <c r="BD513" s="1040" t="str">
        <f t="shared" si="204"/>
        <v/>
      </c>
      <c r="BE513" s="227" t="s">
        <v>22</v>
      </c>
      <c r="BF513" s="1019">
        <f t="shared" si="205"/>
        <v>0</v>
      </c>
      <c r="BG513" s="1020">
        <f t="shared" si="206"/>
        <v>0</v>
      </c>
      <c r="BH513"/>
      <c r="BI513" s="709"/>
      <c r="BJ513" s="709"/>
      <c r="BK513" s="709"/>
      <c r="BL513" s="709"/>
      <c r="BM513" s="709"/>
      <c r="BN513" s="709"/>
      <c r="BO513" s="709"/>
      <c r="BP513" s="709"/>
      <c r="BW513" s="959" t="str">
        <f t="shared" si="187"/>
        <v>►</v>
      </c>
      <c r="BX513" s="856"/>
      <c r="BY513" s="856"/>
      <c r="BZ513" s="856"/>
      <c r="CA513" s="856"/>
      <c r="CB513" s="856"/>
      <c r="DB513" s="3">
        <v>1</v>
      </c>
    </row>
    <row r="514" spans="12:106" ht="21" customHeight="1">
      <c r="L514" s="104" t="s">
        <v>16</v>
      </c>
      <c r="M514" s="1172"/>
      <c r="N514" s="1172"/>
      <c r="O514" s="1172"/>
      <c r="P514" s="1173"/>
      <c r="Q514" s="1174"/>
      <c r="R514" s="1175"/>
      <c r="S514" s="1176"/>
      <c r="T514" s="1177"/>
      <c r="U514" s="5248"/>
      <c r="V514" s="1177"/>
      <c r="W514" s="5249"/>
      <c r="X514" s="5208"/>
      <c r="Y514" s="5209"/>
      <c r="Z514" s="5210"/>
      <c r="AA514" s="5211"/>
      <c r="AB514" s="1178"/>
      <c r="AC514" s="1179"/>
      <c r="AD514" s="227" t="s">
        <v>22</v>
      </c>
      <c r="AE514" s="1027" t="str">
        <f t="shared" si="188"/>
        <v>►</v>
      </c>
      <c r="AF514" s="1028" t="str">
        <f t="shared" si="189"/>
        <v/>
      </c>
      <c r="AG514" s="1029" t="str">
        <f t="shared" si="190"/>
        <v/>
      </c>
      <c r="AH514" s="1028" t="str">
        <f t="shared" si="191"/>
        <v/>
      </c>
      <c r="AI514" s="1029" t="str">
        <f t="shared" si="192"/>
        <v/>
      </c>
      <c r="AJ514" s="1029">
        <f t="shared" si="193"/>
        <v>0</v>
      </c>
      <c r="AK514" s="1043" t="str" cm="1">
        <f t="array" ref="AK514">IF(AE514&lt;&gt;"A","",IFERROR((IFERROR(_xlfn.XLOOKUP(TRIM(SUBSTITUTE(U514,CHAR(160)," ")),$BI$15:$BI$62,$BL$15:$BL$62),IFERROR(_xlfn.XLOOKUP(TRIM(SUBSTITUTE(U514,CHAR(160)," ")),$BJ$15:$BJ$62,$BL$15:$BL$62),_xlfn.XLOOKUP(TRIM(SUBSTITUTE(U514,CHAR(160)," ")),$BK$15:$BK$62,$BL$15:$BL$62))))*T514*IF(ISBLANK(Q514),1,Q514)+IFERROR(_xlfn.XLOOKUP("RECHERCHEX",TRIM(L514:AC514),L514:AC514),0),0))</f>
        <v/>
      </c>
      <c r="AL514" s="1030">
        <f t="shared" si="194"/>
        <v>0</v>
      </c>
      <c r="AM514" s="5254" t="str">
        <f t="shared" si="209"/>
        <v/>
      </c>
      <c r="AN514" s="1031">
        <f t="shared" si="195"/>
        <v>0</v>
      </c>
      <c r="AO514" s="1031">
        <f t="shared" si="196"/>
        <v>0</v>
      </c>
      <c r="AP514" s="1032">
        <f t="shared" si="197"/>
        <v>0</v>
      </c>
      <c r="AQ514" s="5255" t="str">
        <f t="shared" si="198"/>
        <v/>
      </c>
      <c r="AR514" s="1056"/>
      <c r="AS514" s="1056"/>
      <c r="AT514" s="1034">
        <f t="shared" si="199"/>
        <v>0</v>
      </c>
      <c r="AU514" s="1035">
        <f t="shared" si="200"/>
        <v>0</v>
      </c>
      <c r="AV514" s="1057" cm="1">
        <f t="array" ref="AV514">IF(AJ514&lt;&gt;1,0,IF(OR(AT514="",N(AT514)&lt;=0.000000001),"",IF(OR(AN514="",N(AN514)&lt;=0.000000001),0,IF(ISNUMBER(AT514),IFERROR(_xlfn.LET(_xlpm.ai_test,TRIM(AI514),_xlpm.r,IFERROR(_xlfn.XLOOKUP(_xlpm.ai_test,$BI$15:$BI$62,ROW($BI$15:$BI$62),0,1),IFERROR(_xlfn.XLOOKUP(_xlpm.ai_test,$BJ$15:$BJ$62,ROW($BJ$15:$BJ$62),0,1),_xlfn.XLOOKUP(_xlpm.ai_test,$BK$15:$BK$62,ROW($BK$15:$BK$62),0,1))),_xlpm.p,_xlpm.r-MIN(ROW($BI$15:$BI$62))+1,_xlpm.f,INDEX($BL$15:$BL$62,_xlpm.p),_xlpm.u,INDEX($BM$15:$BM$62,_xlpm.p),_xlpm.s,INDEX($BO$15:$BO$62,_xlpm.p),_xlpm.q,N(AT514)/_xlpm.f,IF(_xlpm.q&gt;=_xlpm.s,ROUND(_xlpm.q,1)&amp;" "&amp;_xlpm.ai_test&amp;" = "&amp;ROUND(_xlpm.q*_xlpm.f,1)&amp;" "&amp;_xlpm.u,ROUND(_xlpm.q,1)&amp;" "&amp;_xlpm.ai_test)),""),""))))</f>
        <v>0</v>
      </c>
      <c r="AW514" s="1047"/>
      <c r="AX514" s="1034">
        <f t="shared" si="201"/>
        <v>0</v>
      </c>
      <c r="AY514" s="1035" t="str">
        <f t="shared" si="202"/>
        <v/>
      </c>
      <c r="AZ514" s="1036">
        <f t="shared" si="207"/>
        <v>0</v>
      </c>
      <c r="BA514" s="1037" t="str">
        <f t="shared" si="203"/>
        <v/>
      </c>
      <c r="BB514" s="1038"/>
      <c r="BC514" s="1039">
        <f t="shared" si="208"/>
        <v>0</v>
      </c>
      <c r="BD514" s="1040" t="str">
        <f t="shared" si="204"/>
        <v/>
      </c>
      <c r="BE514" s="227" t="s">
        <v>22</v>
      </c>
      <c r="BF514" s="1019">
        <f t="shared" si="205"/>
        <v>0</v>
      </c>
      <c r="BG514" s="1020">
        <f t="shared" si="206"/>
        <v>0</v>
      </c>
      <c r="BH514"/>
      <c r="BI514" s="709"/>
      <c r="BJ514" s="709"/>
      <c r="BK514" s="709"/>
      <c r="BL514" s="709"/>
      <c r="BM514" s="709"/>
      <c r="BN514" s="709"/>
      <c r="BO514" s="709"/>
      <c r="BP514" s="709"/>
      <c r="BW514" s="959" t="str">
        <f t="shared" si="187"/>
        <v>►</v>
      </c>
      <c r="BX514" s="856"/>
      <c r="BY514" s="856"/>
      <c r="BZ514" s="856"/>
      <c r="CA514" s="856"/>
      <c r="CB514" s="856"/>
      <c r="DB514" s="3">
        <v>1</v>
      </c>
    </row>
    <row r="515" spans="12:106" ht="21" customHeight="1">
      <c r="L515" s="104" t="s">
        <v>16</v>
      </c>
      <c r="M515" s="1172"/>
      <c r="N515" s="1172"/>
      <c r="O515" s="1172"/>
      <c r="P515" s="1173"/>
      <c r="Q515" s="1174"/>
      <c r="R515" s="1175"/>
      <c r="S515" s="1176"/>
      <c r="T515" s="1177"/>
      <c r="U515" s="5248"/>
      <c r="V515" s="1177"/>
      <c r="W515" s="5249"/>
      <c r="X515" s="5208"/>
      <c r="Y515" s="5209"/>
      <c r="Z515" s="5210"/>
      <c r="AA515" s="5211"/>
      <c r="AB515" s="1178"/>
      <c r="AC515" s="1179"/>
      <c r="AD515" s="227" t="s">
        <v>22</v>
      </c>
      <c r="AE515" s="1027" t="str">
        <f t="shared" si="188"/>
        <v>►</v>
      </c>
      <c r="AF515" s="1028" t="str">
        <f t="shared" si="189"/>
        <v/>
      </c>
      <c r="AG515" s="1029" t="str">
        <f t="shared" si="190"/>
        <v/>
      </c>
      <c r="AH515" s="1028" t="str">
        <f t="shared" si="191"/>
        <v/>
      </c>
      <c r="AI515" s="1029" t="str">
        <f t="shared" si="192"/>
        <v/>
      </c>
      <c r="AJ515" s="1029">
        <f t="shared" si="193"/>
        <v>0</v>
      </c>
      <c r="AK515" s="1043" t="str" cm="1">
        <f t="array" ref="AK515">IF(AE515&lt;&gt;"A","",IFERROR((IFERROR(_xlfn.XLOOKUP(TRIM(SUBSTITUTE(U515,CHAR(160)," ")),$BI$15:$BI$62,$BL$15:$BL$62),IFERROR(_xlfn.XLOOKUP(TRIM(SUBSTITUTE(U515,CHAR(160)," ")),$BJ$15:$BJ$62,$BL$15:$BL$62),_xlfn.XLOOKUP(TRIM(SUBSTITUTE(U515,CHAR(160)," ")),$BK$15:$BK$62,$BL$15:$BL$62))))*T515*IF(ISBLANK(Q515),1,Q515)+IFERROR(_xlfn.XLOOKUP("RECHERCHEX",TRIM(L515:AC515),L515:AC515),0),0))</f>
        <v/>
      </c>
      <c r="AL515" s="1030">
        <f t="shared" si="194"/>
        <v>0</v>
      </c>
      <c r="AM515" s="5254" t="str">
        <f t="shared" si="209"/>
        <v/>
      </c>
      <c r="AN515" s="1031">
        <f t="shared" si="195"/>
        <v>0</v>
      </c>
      <c r="AO515" s="1031">
        <f t="shared" si="196"/>
        <v>0</v>
      </c>
      <c r="AP515" s="1044">
        <f t="shared" si="197"/>
        <v>0</v>
      </c>
      <c r="AQ515" s="5257" t="str">
        <f t="shared" si="198"/>
        <v/>
      </c>
      <c r="AR515" s="1056"/>
      <c r="AS515" s="1056"/>
      <c r="AT515" s="1045">
        <f t="shared" si="199"/>
        <v>0</v>
      </c>
      <c r="AU515" s="1046">
        <f t="shared" si="200"/>
        <v>0</v>
      </c>
      <c r="AV515" s="1059" cm="1">
        <f t="array" ref="AV515">IF(AJ515&lt;&gt;1,0,IF(OR(AT515="",N(AT515)&lt;=0.000000001),"",IF(OR(AN515="",N(AN515)&lt;=0.000000001),0,IF(ISNUMBER(AT515),IFERROR(_xlfn.LET(_xlpm.ai_test,TRIM(AI515),_xlpm.r,IFERROR(_xlfn.XLOOKUP(_xlpm.ai_test,$BI$15:$BI$62,ROW($BI$15:$BI$62),0,1),IFERROR(_xlfn.XLOOKUP(_xlpm.ai_test,$BJ$15:$BJ$62,ROW($BJ$15:$BJ$62),0,1),_xlfn.XLOOKUP(_xlpm.ai_test,$BK$15:$BK$62,ROW($BK$15:$BK$62),0,1))),_xlpm.p,_xlpm.r-MIN(ROW($BI$15:$BI$62))+1,_xlpm.f,INDEX($BL$15:$BL$62,_xlpm.p),_xlpm.u,INDEX($BM$15:$BM$62,_xlpm.p),_xlpm.s,INDEX($BO$15:$BO$62,_xlpm.p),_xlpm.q,N(AT515)/_xlpm.f,IF(_xlpm.q&gt;=_xlpm.s,ROUND(_xlpm.q,1)&amp;" "&amp;_xlpm.ai_test&amp;" = "&amp;ROUND(_xlpm.q*_xlpm.f,1)&amp;" "&amp;_xlpm.u,ROUND(_xlpm.q,1)&amp;" "&amp;_xlpm.ai_test)),""),""))))</f>
        <v>0</v>
      </c>
      <c r="AW515" s="1047"/>
      <c r="AX515" s="1045">
        <f t="shared" si="201"/>
        <v>0</v>
      </c>
      <c r="AY515" s="1046" t="str">
        <f t="shared" si="202"/>
        <v/>
      </c>
      <c r="AZ515" s="1048">
        <f t="shared" si="207"/>
        <v>0</v>
      </c>
      <c r="BA515" s="1049" t="str">
        <f t="shared" si="203"/>
        <v/>
      </c>
      <c r="BB515" s="1038"/>
      <c r="BC515" s="1050">
        <f t="shared" si="208"/>
        <v>0</v>
      </c>
      <c r="BD515" s="1040" t="str">
        <f t="shared" si="204"/>
        <v/>
      </c>
      <c r="BE515" s="227" t="s">
        <v>22</v>
      </c>
      <c r="BF515" s="1019">
        <f t="shared" si="205"/>
        <v>0</v>
      </c>
      <c r="BG515" s="1020">
        <f t="shared" si="206"/>
        <v>0</v>
      </c>
      <c r="BH515"/>
      <c r="BI515" s="709"/>
      <c r="BJ515" s="709"/>
      <c r="BK515" s="709"/>
      <c r="BL515" s="709"/>
      <c r="BM515" s="709"/>
      <c r="BN515" s="709"/>
      <c r="BO515" s="709"/>
      <c r="BP515" s="709"/>
      <c r="BW515" s="959" t="str">
        <f t="shared" si="187"/>
        <v>►</v>
      </c>
      <c r="BX515" s="856"/>
      <c r="BY515" s="856"/>
      <c r="BZ515" s="856"/>
      <c r="CA515" s="856"/>
      <c r="CB515" s="856"/>
      <c r="DB515" s="3">
        <v>1</v>
      </c>
    </row>
    <row r="516" spans="12:106" ht="21" customHeight="1">
      <c r="L516" s="104" t="s">
        <v>16</v>
      </c>
      <c r="M516" s="1172"/>
      <c r="N516" s="1172"/>
      <c r="O516" s="1172"/>
      <c r="P516" s="1173"/>
      <c r="Q516" s="1174"/>
      <c r="R516" s="1175"/>
      <c r="S516" s="1176"/>
      <c r="T516" s="1177"/>
      <c r="U516" s="5248"/>
      <c r="V516" s="1177"/>
      <c r="W516" s="5249"/>
      <c r="X516" s="5208"/>
      <c r="Y516" s="5209"/>
      <c r="Z516" s="5210"/>
      <c r="AA516" s="5211"/>
      <c r="AB516" s="1178"/>
      <c r="AC516" s="1179"/>
      <c r="AD516" s="227" t="s">
        <v>22</v>
      </c>
      <c r="AE516" s="1027" t="str">
        <f t="shared" si="188"/>
        <v>►</v>
      </c>
      <c r="AF516" s="1028" t="str">
        <f t="shared" si="189"/>
        <v/>
      </c>
      <c r="AG516" s="1029" t="str">
        <f t="shared" si="190"/>
        <v/>
      </c>
      <c r="AH516" s="1028" t="str">
        <f t="shared" si="191"/>
        <v/>
      </c>
      <c r="AI516" s="1029" t="str">
        <f t="shared" si="192"/>
        <v/>
      </c>
      <c r="AJ516" s="1029">
        <f t="shared" si="193"/>
        <v>0</v>
      </c>
      <c r="AK516" s="1043" t="str" cm="1">
        <f t="array" ref="AK516">IF(AE516&lt;&gt;"A","",IFERROR((IFERROR(_xlfn.XLOOKUP(TRIM(SUBSTITUTE(U516,CHAR(160)," ")),$BI$15:$BI$62,$BL$15:$BL$62),IFERROR(_xlfn.XLOOKUP(TRIM(SUBSTITUTE(U516,CHAR(160)," ")),$BJ$15:$BJ$62,$BL$15:$BL$62),_xlfn.XLOOKUP(TRIM(SUBSTITUTE(U516,CHAR(160)," ")),$BK$15:$BK$62,$BL$15:$BL$62))))*T516*IF(ISBLANK(Q516),1,Q516)+IFERROR(_xlfn.XLOOKUP("RECHERCHEX",TRIM(L516:AC516),L516:AC516),0),0))</f>
        <v/>
      </c>
      <c r="AL516" s="1030">
        <f t="shared" si="194"/>
        <v>0</v>
      </c>
      <c r="AM516" s="5254" t="str">
        <f t="shared" si="209"/>
        <v/>
      </c>
      <c r="AN516" s="1031">
        <f t="shared" si="195"/>
        <v>0</v>
      </c>
      <c r="AO516" s="1031">
        <f t="shared" si="196"/>
        <v>0</v>
      </c>
      <c r="AP516" s="1032">
        <f t="shared" si="197"/>
        <v>0</v>
      </c>
      <c r="AQ516" s="5255" t="str">
        <f t="shared" si="198"/>
        <v/>
      </c>
      <c r="AR516" s="1056"/>
      <c r="AS516" s="1056"/>
      <c r="AT516" s="1034">
        <f t="shared" si="199"/>
        <v>0</v>
      </c>
      <c r="AU516" s="1035">
        <f t="shared" si="200"/>
        <v>0</v>
      </c>
      <c r="AV516" s="1057" cm="1">
        <f t="array" ref="AV516">IF(AJ516&lt;&gt;1,0,IF(OR(AT516="",N(AT516)&lt;=0.000000001),"",IF(OR(AN516="",N(AN516)&lt;=0.000000001),0,IF(ISNUMBER(AT516),IFERROR(_xlfn.LET(_xlpm.ai_test,TRIM(AI516),_xlpm.r,IFERROR(_xlfn.XLOOKUP(_xlpm.ai_test,$BI$15:$BI$62,ROW($BI$15:$BI$62),0,1),IFERROR(_xlfn.XLOOKUP(_xlpm.ai_test,$BJ$15:$BJ$62,ROW($BJ$15:$BJ$62),0,1),_xlfn.XLOOKUP(_xlpm.ai_test,$BK$15:$BK$62,ROW($BK$15:$BK$62),0,1))),_xlpm.p,_xlpm.r-MIN(ROW($BI$15:$BI$62))+1,_xlpm.f,INDEX($BL$15:$BL$62,_xlpm.p),_xlpm.u,INDEX($BM$15:$BM$62,_xlpm.p),_xlpm.s,INDEX($BO$15:$BO$62,_xlpm.p),_xlpm.q,N(AT516)/_xlpm.f,IF(_xlpm.q&gt;=_xlpm.s,ROUND(_xlpm.q,1)&amp;" "&amp;_xlpm.ai_test&amp;" = "&amp;ROUND(_xlpm.q*_xlpm.f,1)&amp;" "&amp;_xlpm.u,ROUND(_xlpm.q,1)&amp;" "&amp;_xlpm.ai_test)),""),""))))</f>
        <v>0</v>
      </c>
      <c r="AW516" s="1047"/>
      <c r="AX516" s="1034">
        <f t="shared" si="201"/>
        <v>0</v>
      </c>
      <c r="AY516" s="1035" t="str">
        <f t="shared" si="202"/>
        <v/>
      </c>
      <c r="AZ516" s="1036">
        <f t="shared" si="207"/>
        <v>0</v>
      </c>
      <c r="BA516" s="1037" t="str">
        <f t="shared" si="203"/>
        <v/>
      </c>
      <c r="BB516" s="1038"/>
      <c r="BC516" s="1039">
        <f t="shared" si="208"/>
        <v>0</v>
      </c>
      <c r="BD516" s="1040" t="str">
        <f t="shared" si="204"/>
        <v/>
      </c>
      <c r="BE516" s="227" t="s">
        <v>22</v>
      </c>
      <c r="BF516" s="1019">
        <f t="shared" si="205"/>
        <v>0</v>
      </c>
      <c r="BG516" s="1020">
        <f t="shared" si="206"/>
        <v>0</v>
      </c>
      <c r="BH516"/>
      <c r="BI516" s="709"/>
      <c r="BJ516" s="709"/>
      <c r="BK516" s="709"/>
      <c r="BL516" s="709"/>
      <c r="BM516" s="709"/>
      <c r="BN516" s="709"/>
      <c r="BO516" s="709"/>
      <c r="BP516" s="709"/>
      <c r="BW516" s="959" t="str">
        <f t="shared" si="187"/>
        <v>►</v>
      </c>
      <c r="BX516" s="856"/>
      <c r="BY516" s="856"/>
      <c r="BZ516" s="856"/>
      <c r="CA516" s="856"/>
      <c r="CB516" s="856"/>
      <c r="DB516" s="3">
        <v>1</v>
      </c>
    </row>
    <row r="517" spans="12:106" ht="21" customHeight="1">
      <c r="L517" s="104" t="s">
        <v>16</v>
      </c>
      <c r="M517" s="1172"/>
      <c r="N517" s="1172"/>
      <c r="O517" s="1172"/>
      <c r="P517" s="1173"/>
      <c r="Q517" s="1174"/>
      <c r="R517" s="1175"/>
      <c r="S517" s="1176"/>
      <c r="T517" s="1177"/>
      <c r="U517" s="5248"/>
      <c r="V517" s="1177"/>
      <c r="W517" s="5249"/>
      <c r="X517" s="5208"/>
      <c r="Y517" s="5209"/>
      <c r="Z517" s="5210"/>
      <c r="AA517" s="5211"/>
      <c r="AB517" s="1178"/>
      <c r="AC517" s="1179"/>
      <c r="AD517" s="227" t="s">
        <v>22</v>
      </c>
      <c r="AE517" s="1027" t="str">
        <f t="shared" si="188"/>
        <v>►</v>
      </c>
      <c r="AF517" s="1028" t="str">
        <f t="shared" si="189"/>
        <v/>
      </c>
      <c r="AG517" s="1029" t="str">
        <f t="shared" si="190"/>
        <v/>
      </c>
      <c r="AH517" s="1028" t="str">
        <f t="shared" si="191"/>
        <v/>
      </c>
      <c r="AI517" s="1029" t="str">
        <f t="shared" si="192"/>
        <v/>
      </c>
      <c r="AJ517" s="1029">
        <f t="shared" si="193"/>
        <v>0</v>
      </c>
      <c r="AK517" s="1043" t="str" cm="1">
        <f t="array" ref="AK517">IF(AE517&lt;&gt;"A","",IFERROR((IFERROR(_xlfn.XLOOKUP(TRIM(SUBSTITUTE(U517,CHAR(160)," ")),$BI$15:$BI$62,$BL$15:$BL$62),IFERROR(_xlfn.XLOOKUP(TRIM(SUBSTITUTE(U517,CHAR(160)," ")),$BJ$15:$BJ$62,$BL$15:$BL$62),_xlfn.XLOOKUP(TRIM(SUBSTITUTE(U517,CHAR(160)," ")),$BK$15:$BK$62,$BL$15:$BL$62))))*T517*IF(ISBLANK(Q517),1,Q517)+IFERROR(_xlfn.XLOOKUP("RECHERCHEX",TRIM(L517:AC517),L517:AC517),0),0))</f>
        <v/>
      </c>
      <c r="AL517" s="1030">
        <f t="shared" si="194"/>
        <v>0</v>
      </c>
      <c r="AM517" s="5254" t="str">
        <f t="shared" si="209"/>
        <v/>
      </c>
      <c r="AN517" s="1031">
        <f t="shared" si="195"/>
        <v>0</v>
      </c>
      <c r="AO517" s="1031">
        <f t="shared" si="196"/>
        <v>0</v>
      </c>
      <c r="AP517" s="1044">
        <f t="shared" si="197"/>
        <v>0</v>
      </c>
      <c r="AQ517" s="5257" t="str">
        <f t="shared" si="198"/>
        <v/>
      </c>
      <c r="AR517" s="1056"/>
      <c r="AS517" s="1056"/>
      <c r="AT517" s="1045">
        <f t="shared" si="199"/>
        <v>0</v>
      </c>
      <c r="AU517" s="1046">
        <f t="shared" si="200"/>
        <v>0</v>
      </c>
      <c r="AV517" s="1059" cm="1">
        <f t="array" ref="AV517">IF(AJ517&lt;&gt;1,0,IF(OR(AT517="",N(AT517)&lt;=0.000000001),"",IF(OR(AN517="",N(AN517)&lt;=0.000000001),0,IF(ISNUMBER(AT517),IFERROR(_xlfn.LET(_xlpm.ai_test,TRIM(AI517),_xlpm.r,IFERROR(_xlfn.XLOOKUP(_xlpm.ai_test,$BI$15:$BI$62,ROW($BI$15:$BI$62),0,1),IFERROR(_xlfn.XLOOKUP(_xlpm.ai_test,$BJ$15:$BJ$62,ROW($BJ$15:$BJ$62),0,1),_xlfn.XLOOKUP(_xlpm.ai_test,$BK$15:$BK$62,ROW($BK$15:$BK$62),0,1))),_xlpm.p,_xlpm.r-MIN(ROW($BI$15:$BI$62))+1,_xlpm.f,INDEX($BL$15:$BL$62,_xlpm.p),_xlpm.u,INDEX($BM$15:$BM$62,_xlpm.p),_xlpm.s,INDEX($BO$15:$BO$62,_xlpm.p),_xlpm.q,N(AT517)/_xlpm.f,IF(_xlpm.q&gt;=_xlpm.s,ROUND(_xlpm.q,1)&amp;" "&amp;_xlpm.ai_test&amp;" = "&amp;ROUND(_xlpm.q*_xlpm.f,1)&amp;" "&amp;_xlpm.u,ROUND(_xlpm.q,1)&amp;" "&amp;_xlpm.ai_test)),""),""))))</f>
        <v>0</v>
      </c>
      <c r="AW517" s="1047"/>
      <c r="AX517" s="1045">
        <f t="shared" si="201"/>
        <v>0</v>
      </c>
      <c r="AY517" s="1046" t="str">
        <f t="shared" si="202"/>
        <v/>
      </c>
      <c r="AZ517" s="1048">
        <f t="shared" si="207"/>
        <v>0</v>
      </c>
      <c r="BA517" s="1049" t="str">
        <f t="shared" si="203"/>
        <v/>
      </c>
      <c r="BB517" s="1038"/>
      <c r="BC517" s="1050">
        <f t="shared" si="208"/>
        <v>0</v>
      </c>
      <c r="BD517" s="1040" t="str">
        <f t="shared" si="204"/>
        <v/>
      </c>
      <c r="BE517" s="227" t="s">
        <v>22</v>
      </c>
      <c r="BF517" s="1019">
        <f t="shared" si="205"/>
        <v>0</v>
      </c>
      <c r="BG517" s="1020">
        <f t="shared" si="206"/>
        <v>0</v>
      </c>
      <c r="BH517"/>
      <c r="BI517" s="709"/>
      <c r="BJ517" s="709"/>
      <c r="BK517" s="709"/>
      <c r="BL517" s="709"/>
      <c r="BM517" s="709"/>
      <c r="BN517" s="709"/>
      <c r="BO517" s="709"/>
      <c r="BP517" s="709"/>
      <c r="BW517" s="959" t="str">
        <f t="shared" ref="BW517:BW549" si="210">AE517</f>
        <v>►</v>
      </c>
      <c r="BX517" s="856"/>
      <c r="BY517" s="856"/>
      <c r="BZ517" s="856"/>
      <c r="CA517" s="856"/>
      <c r="CB517" s="856"/>
      <c r="DB517" s="3">
        <v>1</v>
      </c>
    </row>
    <row r="518" spans="12:106" ht="21" customHeight="1">
      <c r="L518" s="104" t="s">
        <v>16</v>
      </c>
      <c r="M518" s="1172"/>
      <c r="N518" s="1172"/>
      <c r="O518" s="1172"/>
      <c r="P518" s="1173"/>
      <c r="Q518" s="1174"/>
      <c r="R518" s="1175"/>
      <c r="S518" s="1176"/>
      <c r="T518" s="1177"/>
      <c r="U518" s="5248"/>
      <c r="V518" s="1177"/>
      <c r="W518" s="5249"/>
      <c r="X518" s="5208"/>
      <c r="Y518" s="5209"/>
      <c r="Z518" s="5210"/>
      <c r="AA518" s="5211"/>
      <c r="AB518" s="1178"/>
      <c r="AC518" s="1179"/>
      <c r="AD518" s="227" t="s">
        <v>22</v>
      </c>
      <c r="AE518" s="1027" t="str">
        <f t="shared" si="188"/>
        <v>►</v>
      </c>
      <c r="AF518" s="1028" t="str">
        <f t="shared" si="189"/>
        <v/>
      </c>
      <c r="AG518" s="1029" t="str">
        <f t="shared" si="190"/>
        <v/>
      </c>
      <c r="AH518" s="1028" t="str">
        <f t="shared" si="191"/>
        <v/>
      </c>
      <c r="AI518" s="1029" t="str">
        <f t="shared" si="192"/>
        <v/>
      </c>
      <c r="AJ518" s="1029">
        <f t="shared" si="193"/>
        <v>0</v>
      </c>
      <c r="AK518" s="1043" t="str" cm="1">
        <f t="array" ref="AK518">IF(AE518&lt;&gt;"A","",IFERROR((IFERROR(_xlfn.XLOOKUP(TRIM(SUBSTITUTE(U518,CHAR(160)," ")),$BI$15:$BI$62,$BL$15:$BL$62),IFERROR(_xlfn.XLOOKUP(TRIM(SUBSTITUTE(U518,CHAR(160)," ")),$BJ$15:$BJ$62,$BL$15:$BL$62),_xlfn.XLOOKUP(TRIM(SUBSTITUTE(U518,CHAR(160)," ")),$BK$15:$BK$62,$BL$15:$BL$62))))*T518*IF(ISBLANK(Q518),1,Q518)+IFERROR(_xlfn.XLOOKUP("RECHERCHEX",TRIM(L518:AC518),L518:AC518),0),0))</f>
        <v/>
      </c>
      <c r="AL518" s="1030">
        <f t="shared" si="194"/>
        <v>0</v>
      </c>
      <c r="AM518" s="5254" t="str">
        <f t="shared" si="209"/>
        <v/>
      </c>
      <c r="AN518" s="1031">
        <f t="shared" si="195"/>
        <v>0</v>
      </c>
      <c r="AO518" s="1031">
        <f t="shared" si="196"/>
        <v>0</v>
      </c>
      <c r="AP518" s="1032">
        <f t="shared" si="197"/>
        <v>0</v>
      </c>
      <c r="AQ518" s="5255" t="str">
        <f t="shared" si="198"/>
        <v/>
      </c>
      <c r="AR518" s="1056"/>
      <c r="AS518" s="1056"/>
      <c r="AT518" s="1034">
        <f t="shared" si="199"/>
        <v>0</v>
      </c>
      <c r="AU518" s="1035">
        <f t="shared" si="200"/>
        <v>0</v>
      </c>
      <c r="AV518" s="1057" cm="1">
        <f t="array" ref="AV518">IF(AJ518&lt;&gt;1,0,IF(OR(AT518="",N(AT518)&lt;=0.000000001),"",IF(OR(AN518="",N(AN518)&lt;=0.000000001),0,IF(ISNUMBER(AT518),IFERROR(_xlfn.LET(_xlpm.ai_test,TRIM(AI518),_xlpm.r,IFERROR(_xlfn.XLOOKUP(_xlpm.ai_test,$BI$15:$BI$62,ROW($BI$15:$BI$62),0,1),IFERROR(_xlfn.XLOOKUP(_xlpm.ai_test,$BJ$15:$BJ$62,ROW($BJ$15:$BJ$62),0,1),_xlfn.XLOOKUP(_xlpm.ai_test,$BK$15:$BK$62,ROW($BK$15:$BK$62),0,1))),_xlpm.p,_xlpm.r-MIN(ROW($BI$15:$BI$62))+1,_xlpm.f,INDEX($BL$15:$BL$62,_xlpm.p),_xlpm.u,INDEX($BM$15:$BM$62,_xlpm.p),_xlpm.s,INDEX($BO$15:$BO$62,_xlpm.p),_xlpm.q,N(AT518)/_xlpm.f,IF(_xlpm.q&gt;=_xlpm.s,ROUND(_xlpm.q,1)&amp;" "&amp;_xlpm.ai_test&amp;" = "&amp;ROUND(_xlpm.q*_xlpm.f,1)&amp;" "&amp;_xlpm.u,ROUND(_xlpm.q,1)&amp;" "&amp;_xlpm.ai_test)),""),""))))</f>
        <v>0</v>
      </c>
      <c r="AW518" s="1047"/>
      <c r="AX518" s="1034">
        <f t="shared" si="201"/>
        <v>0</v>
      </c>
      <c r="AY518" s="1035" t="str">
        <f t="shared" si="202"/>
        <v/>
      </c>
      <c r="AZ518" s="1036">
        <f t="shared" si="207"/>
        <v>0</v>
      </c>
      <c r="BA518" s="1037" t="str">
        <f t="shared" si="203"/>
        <v/>
      </c>
      <c r="BB518" s="1038"/>
      <c r="BC518" s="1039">
        <f t="shared" si="208"/>
        <v>0</v>
      </c>
      <c r="BD518" s="1040" t="str">
        <f t="shared" si="204"/>
        <v/>
      </c>
      <c r="BE518" s="227" t="s">
        <v>22</v>
      </c>
      <c r="BF518" s="1019">
        <f t="shared" si="205"/>
        <v>0</v>
      </c>
      <c r="BG518" s="1020">
        <f t="shared" si="206"/>
        <v>0</v>
      </c>
      <c r="BH518"/>
      <c r="BI518" s="709"/>
      <c r="BJ518" s="709"/>
      <c r="BK518" s="709"/>
      <c r="BL518" s="709"/>
      <c r="BM518" s="709"/>
      <c r="BN518" s="709"/>
      <c r="BO518" s="709"/>
      <c r="BP518" s="709"/>
      <c r="BW518" s="959" t="str">
        <f t="shared" si="210"/>
        <v>►</v>
      </c>
      <c r="BX518" s="856"/>
      <c r="BY518" s="856"/>
      <c r="BZ518" s="856"/>
      <c r="CA518" s="856"/>
      <c r="CB518" s="856"/>
      <c r="DB518" s="3">
        <v>1</v>
      </c>
    </row>
    <row r="519" spans="12:106" ht="21" customHeight="1">
      <c r="L519" s="104" t="s">
        <v>16</v>
      </c>
      <c r="M519" s="1172"/>
      <c r="N519" s="1172"/>
      <c r="O519" s="1172"/>
      <c r="P519" s="1173"/>
      <c r="Q519" s="1174"/>
      <c r="R519" s="1175"/>
      <c r="S519" s="1176"/>
      <c r="T519" s="1177"/>
      <c r="U519" s="5248"/>
      <c r="V519" s="1177"/>
      <c r="W519" s="5249"/>
      <c r="X519" s="5208"/>
      <c r="Y519" s="5209"/>
      <c r="Z519" s="5210"/>
      <c r="AA519" s="5211"/>
      <c r="AB519" s="1178"/>
      <c r="AC519" s="1179"/>
      <c r="AD519" s="227" t="s">
        <v>22</v>
      </c>
      <c r="AE519" s="1027" t="str">
        <f t="shared" si="188"/>
        <v>►</v>
      </c>
      <c r="AF519" s="1028" t="str">
        <f t="shared" si="189"/>
        <v/>
      </c>
      <c r="AG519" s="1029" t="str">
        <f t="shared" si="190"/>
        <v/>
      </c>
      <c r="AH519" s="1028" t="str">
        <f t="shared" si="191"/>
        <v/>
      </c>
      <c r="AI519" s="1029" t="str">
        <f t="shared" si="192"/>
        <v/>
      </c>
      <c r="AJ519" s="1029">
        <f t="shared" si="193"/>
        <v>0</v>
      </c>
      <c r="AK519" s="1043" t="str" cm="1">
        <f t="array" ref="AK519">IF(AE519&lt;&gt;"A","",IFERROR((IFERROR(_xlfn.XLOOKUP(TRIM(SUBSTITUTE(U519,CHAR(160)," ")),$BI$15:$BI$62,$BL$15:$BL$62),IFERROR(_xlfn.XLOOKUP(TRIM(SUBSTITUTE(U519,CHAR(160)," ")),$BJ$15:$BJ$62,$BL$15:$BL$62),_xlfn.XLOOKUP(TRIM(SUBSTITUTE(U519,CHAR(160)," ")),$BK$15:$BK$62,$BL$15:$BL$62))))*T519*IF(ISBLANK(Q519),1,Q519)+IFERROR(_xlfn.XLOOKUP("RECHERCHEX",TRIM(L519:AC519),L519:AC519),0),0))</f>
        <v/>
      </c>
      <c r="AL519" s="1030">
        <f t="shared" si="194"/>
        <v>0</v>
      </c>
      <c r="AM519" s="5254" t="str">
        <f t="shared" si="209"/>
        <v/>
      </c>
      <c r="AN519" s="1031">
        <f t="shared" si="195"/>
        <v>0</v>
      </c>
      <c r="AO519" s="1031">
        <f t="shared" si="196"/>
        <v>0</v>
      </c>
      <c r="AP519" s="1044">
        <f t="shared" si="197"/>
        <v>0</v>
      </c>
      <c r="AQ519" s="5257" t="str">
        <f t="shared" si="198"/>
        <v/>
      </c>
      <c r="AR519" s="1056"/>
      <c r="AS519" s="1056"/>
      <c r="AT519" s="1045">
        <f t="shared" si="199"/>
        <v>0</v>
      </c>
      <c r="AU519" s="1046">
        <f t="shared" si="200"/>
        <v>0</v>
      </c>
      <c r="AV519" s="1059" cm="1">
        <f t="array" ref="AV519">IF(AJ519&lt;&gt;1,0,IF(OR(AT519="",N(AT519)&lt;=0.000000001),"",IF(OR(AN519="",N(AN519)&lt;=0.000000001),0,IF(ISNUMBER(AT519),IFERROR(_xlfn.LET(_xlpm.ai_test,TRIM(AI519),_xlpm.r,IFERROR(_xlfn.XLOOKUP(_xlpm.ai_test,$BI$15:$BI$62,ROW($BI$15:$BI$62),0,1),IFERROR(_xlfn.XLOOKUP(_xlpm.ai_test,$BJ$15:$BJ$62,ROW($BJ$15:$BJ$62),0,1),_xlfn.XLOOKUP(_xlpm.ai_test,$BK$15:$BK$62,ROW($BK$15:$BK$62),0,1))),_xlpm.p,_xlpm.r-MIN(ROW($BI$15:$BI$62))+1,_xlpm.f,INDEX($BL$15:$BL$62,_xlpm.p),_xlpm.u,INDEX($BM$15:$BM$62,_xlpm.p),_xlpm.s,INDEX($BO$15:$BO$62,_xlpm.p),_xlpm.q,N(AT519)/_xlpm.f,IF(_xlpm.q&gt;=_xlpm.s,ROUND(_xlpm.q,1)&amp;" "&amp;_xlpm.ai_test&amp;" = "&amp;ROUND(_xlpm.q*_xlpm.f,1)&amp;" "&amp;_xlpm.u,ROUND(_xlpm.q,1)&amp;" "&amp;_xlpm.ai_test)),""),""))))</f>
        <v>0</v>
      </c>
      <c r="AW519" s="1047"/>
      <c r="AX519" s="1045">
        <f t="shared" si="201"/>
        <v>0</v>
      </c>
      <c r="AY519" s="1046" t="str">
        <f t="shared" si="202"/>
        <v/>
      </c>
      <c r="AZ519" s="1048">
        <f t="shared" si="207"/>
        <v>0</v>
      </c>
      <c r="BA519" s="1049" t="str">
        <f t="shared" si="203"/>
        <v/>
      </c>
      <c r="BB519" s="1038"/>
      <c r="BC519" s="1050">
        <f t="shared" si="208"/>
        <v>0</v>
      </c>
      <c r="BD519" s="1040" t="str">
        <f t="shared" si="204"/>
        <v/>
      </c>
      <c r="BE519" s="227" t="s">
        <v>22</v>
      </c>
      <c r="BF519" s="1019">
        <f t="shared" si="205"/>
        <v>0</v>
      </c>
      <c r="BG519" s="1020">
        <f t="shared" si="206"/>
        <v>0</v>
      </c>
      <c r="BH519"/>
      <c r="BI519" s="709"/>
      <c r="BJ519" s="709"/>
      <c r="BK519" s="709"/>
      <c r="BL519" s="709"/>
      <c r="BM519" s="709"/>
      <c r="BN519" s="709"/>
      <c r="BO519" s="709"/>
      <c r="BP519" s="709"/>
      <c r="BW519" s="959" t="str">
        <f t="shared" si="210"/>
        <v>►</v>
      </c>
      <c r="BX519" s="856"/>
      <c r="BY519" s="856"/>
      <c r="BZ519" s="856"/>
      <c r="CA519" s="856"/>
      <c r="CB519" s="856"/>
      <c r="DB519" s="3">
        <v>1</v>
      </c>
    </row>
    <row r="520" spans="12:106" ht="21" customHeight="1">
      <c r="L520" s="104" t="s">
        <v>16</v>
      </c>
      <c r="M520" s="1172"/>
      <c r="N520" s="1172"/>
      <c r="O520" s="1172"/>
      <c r="P520" s="1173"/>
      <c r="Q520" s="1174"/>
      <c r="R520" s="1175"/>
      <c r="S520" s="1176"/>
      <c r="T520" s="1177"/>
      <c r="U520" s="5248"/>
      <c r="V520" s="1177"/>
      <c r="W520" s="5249"/>
      <c r="X520" s="5208"/>
      <c r="Y520" s="5209"/>
      <c r="Z520" s="5210"/>
      <c r="AA520" s="5211"/>
      <c r="AB520" s="1178"/>
      <c r="AC520" s="1179"/>
      <c r="AD520" s="227" t="s">
        <v>22</v>
      </c>
      <c r="AE520" s="1027" t="str">
        <f t="shared" si="188"/>
        <v>►</v>
      </c>
      <c r="AF520" s="1028" t="str">
        <f t="shared" si="189"/>
        <v/>
      </c>
      <c r="AG520" s="1029" t="str">
        <f t="shared" si="190"/>
        <v/>
      </c>
      <c r="AH520" s="1028" t="str">
        <f t="shared" si="191"/>
        <v/>
      </c>
      <c r="AI520" s="1029" t="str">
        <f t="shared" si="192"/>
        <v/>
      </c>
      <c r="AJ520" s="1029">
        <f t="shared" si="193"/>
        <v>0</v>
      </c>
      <c r="AK520" s="1043" t="str" cm="1">
        <f t="array" ref="AK520">IF(AE520&lt;&gt;"A","",IFERROR((IFERROR(_xlfn.XLOOKUP(TRIM(SUBSTITUTE(U520,CHAR(160)," ")),$BI$15:$BI$62,$BL$15:$BL$62),IFERROR(_xlfn.XLOOKUP(TRIM(SUBSTITUTE(U520,CHAR(160)," ")),$BJ$15:$BJ$62,$BL$15:$BL$62),_xlfn.XLOOKUP(TRIM(SUBSTITUTE(U520,CHAR(160)," ")),$BK$15:$BK$62,$BL$15:$BL$62))))*T520*IF(ISBLANK(Q520),1,Q520)+IFERROR(_xlfn.XLOOKUP("RECHERCHEX",TRIM(L520:AC520),L520:AC520),0),0))</f>
        <v/>
      </c>
      <c r="AL520" s="1030">
        <f t="shared" si="194"/>
        <v>0</v>
      </c>
      <c r="AM520" s="5254" t="str">
        <f t="shared" si="209"/>
        <v/>
      </c>
      <c r="AN520" s="1031">
        <f t="shared" si="195"/>
        <v>0</v>
      </c>
      <c r="AO520" s="1031">
        <f t="shared" si="196"/>
        <v>0</v>
      </c>
      <c r="AP520" s="1032">
        <f t="shared" si="197"/>
        <v>0</v>
      </c>
      <c r="AQ520" s="5255" t="str">
        <f t="shared" si="198"/>
        <v/>
      </c>
      <c r="AR520" s="1056"/>
      <c r="AS520" s="1056"/>
      <c r="AT520" s="1034">
        <f t="shared" si="199"/>
        <v>0</v>
      </c>
      <c r="AU520" s="1035">
        <f t="shared" si="200"/>
        <v>0</v>
      </c>
      <c r="AV520" s="1057" cm="1">
        <f t="array" ref="AV520">IF(AJ520&lt;&gt;1,0,IF(OR(AT520="",N(AT520)&lt;=0.000000001),"",IF(OR(AN520="",N(AN520)&lt;=0.000000001),0,IF(ISNUMBER(AT520),IFERROR(_xlfn.LET(_xlpm.ai_test,TRIM(AI520),_xlpm.r,IFERROR(_xlfn.XLOOKUP(_xlpm.ai_test,$BI$15:$BI$62,ROW($BI$15:$BI$62),0,1),IFERROR(_xlfn.XLOOKUP(_xlpm.ai_test,$BJ$15:$BJ$62,ROW($BJ$15:$BJ$62),0,1),_xlfn.XLOOKUP(_xlpm.ai_test,$BK$15:$BK$62,ROW($BK$15:$BK$62),0,1))),_xlpm.p,_xlpm.r-MIN(ROW($BI$15:$BI$62))+1,_xlpm.f,INDEX($BL$15:$BL$62,_xlpm.p),_xlpm.u,INDEX($BM$15:$BM$62,_xlpm.p),_xlpm.s,INDEX($BO$15:$BO$62,_xlpm.p),_xlpm.q,N(AT520)/_xlpm.f,IF(_xlpm.q&gt;=_xlpm.s,ROUND(_xlpm.q,1)&amp;" "&amp;_xlpm.ai_test&amp;" = "&amp;ROUND(_xlpm.q*_xlpm.f,1)&amp;" "&amp;_xlpm.u,ROUND(_xlpm.q,1)&amp;" "&amp;_xlpm.ai_test)),""),""))))</f>
        <v>0</v>
      </c>
      <c r="AW520" s="1047"/>
      <c r="AX520" s="1034">
        <f t="shared" si="201"/>
        <v>0</v>
      </c>
      <c r="AY520" s="1035" t="str">
        <f t="shared" si="202"/>
        <v/>
      </c>
      <c r="AZ520" s="1036">
        <f t="shared" si="207"/>
        <v>0</v>
      </c>
      <c r="BA520" s="1037" t="str">
        <f t="shared" si="203"/>
        <v/>
      </c>
      <c r="BB520" s="1038"/>
      <c r="BC520" s="1039">
        <f t="shared" si="208"/>
        <v>0</v>
      </c>
      <c r="BD520" s="1040" t="str">
        <f t="shared" si="204"/>
        <v/>
      </c>
      <c r="BE520" s="227" t="s">
        <v>22</v>
      </c>
      <c r="BF520" s="1019">
        <f t="shared" si="205"/>
        <v>0</v>
      </c>
      <c r="BG520" s="1020">
        <f t="shared" si="206"/>
        <v>0</v>
      </c>
      <c r="BH520"/>
      <c r="BI520" s="709"/>
      <c r="BJ520" s="709"/>
      <c r="BK520" s="709"/>
      <c r="BL520" s="709"/>
      <c r="BM520" s="709"/>
      <c r="BN520" s="709"/>
      <c r="BO520" s="709"/>
      <c r="BP520" s="709"/>
      <c r="BW520" s="959" t="str">
        <f t="shared" si="210"/>
        <v>►</v>
      </c>
      <c r="BX520" s="856"/>
      <c r="BY520" s="856"/>
      <c r="BZ520" s="856"/>
      <c r="CA520" s="856"/>
      <c r="CB520" s="856"/>
      <c r="DB520" s="3">
        <v>1</v>
      </c>
    </row>
    <row r="521" spans="12:106" ht="21" customHeight="1">
      <c r="L521" s="104" t="s">
        <v>16</v>
      </c>
      <c r="M521" s="1172"/>
      <c r="N521" s="1172"/>
      <c r="O521" s="1172"/>
      <c r="P521" s="1173"/>
      <c r="Q521" s="1174"/>
      <c r="R521" s="1175"/>
      <c r="S521" s="1176"/>
      <c r="T521" s="1177"/>
      <c r="U521" s="5248"/>
      <c r="V521" s="1177"/>
      <c r="W521" s="5249"/>
      <c r="X521" s="5208"/>
      <c r="Y521" s="5209"/>
      <c r="Z521" s="5210"/>
      <c r="AA521" s="5211"/>
      <c r="AB521" s="1178"/>
      <c r="AC521" s="1179"/>
      <c r="AD521" s="227" t="s">
        <v>22</v>
      </c>
      <c r="AE521" s="1027" t="str">
        <f t="shared" si="188"/>
        <v>►</v>
      </c>
      <c r="AF521" s="1028" t="str">
        <f t="shared" si="189"/>
        <v/>
      </c>
      <c r="AG521" s="1029" t="str">
        <f t="shared" si="190"/>
        <v/>
      </c>
      <c r="AH521" s="1028" t="str">
        <f t="shared" si="191"/>
        <v/>
      </c>
      <c r="AI521" s="1029" t="str">
        <f t="shared" si="192"/>
        <v/>
      </c>
      <c r="AJ521" s="1029">
        <f t="shared" si="193"/>
        <v>0</v>
      </c>
      <c r="AK521" s="1043" t="str" cm="1">
        <f t="array" ref="AK521">IF(AE521&lt;&gt;"A","",IFERROR((IFERROR(_xlfn.XLOOKUP(TRIM(SUBSTITUTE(U521,CHAR(160)," ")),$BI$15:$BI$62,$BL$15:$BL$62),IFERROR(_xlfn.XLOOKUP(TRIM(SUBSTITUTE(U521,CHAR(160)," ")),$BJ$15:$BJ$62,$BL$15:$BL$62),_xlfn.XLOOKUP(TRIM(SUBSTITUTE(U521,CHAR(160)," ")),$BK$15:$BK$62,$BL$15:$BL$62))))*T521*IF(ISBLANK(Q521),1,Q521)+IFERROR(_xlfn.XLOOKUP("RECHERCHEX",TRIM(L521:AC521),L521:AC521),0),0))</f>
        <v/>
      </c>
      <c r="AL521" s="1030">
        <f t="shared" si="194"/>
        <v>0</v>
      </c>
      <c r="AM521" s="5254" t="str">
        <f t="shared" si="209"/>
        <v/>
      </c>
      <c r="AN521" s="1031">
        <f t="shared" si="195"/>
        <v>0</v>
      </c>
      <c r="AO521" s="1031">
        <f t="shared" si="196"/>
        <v>0</v>
      </c>
      <c r="AP521" s="1044">
        <f t="shared" si="197"/>
        <v>0</v>
      </c>
      <c r="AQ521" s="5257" t="str">
        <f t="shared" si="198"/>
        <v/>
      </c>
      <c r="AR521" s="1056"/>
      <c r="AS521" s="1056"/>
      <c r="AT521" s="1045">
        <f t="shared" si="199"/>
        <v>0</v>
      </c>
      <c r="AU521" s="1046">
        <f t="shared" si="200"/>
        <v>0</v>
      </c>
      <c r="AV521" s="1059" cm="1">
        <f t="array" ref="AV521">IF(AJ521&lt;&gt;1,0,IF(OR(AT521="",N(AT521)&lt;=0.000000001),"",IF(OR(AN521="",N(AN521)&lt;=0.000000001),0,IF(ISNUMBER(AT521),IFERROR(_xlfn.LET(_xlpm.ai_test,TRIM(AI521),_xlpm.r,IFERROR(_xlfn.XLOOKUP(_xlpm.ai_test,$BI$15:$BI$62,ROW($BI$15:$BI$62),0,1),IFERROR(_xlfn.XLOOKUP(_xlpm.ai_test,$BJ$15:$BJ$62,ROW($BJ$15:$BJ$62),0,1),_xlfn.XLOOKUP(_xlpm.ai_test,$BK$15:$BK$62,ROW($BK$15:$BK$62),0,1))),_xlpm.p,_xlpm.r-MIN(ROW($BI$15:$BI$62))+1,_xlpm.f,INDEX($BL$15:$BL$62,_xlpm.p),_xlpm.u,INDEX($BM$15:$BM$62,_xlpm.p),_xlpm.s,INDEX($BO$15:$BO$62,_xlpm.p),_xlpm.q,N(AT521)/_xlpm.f,IF(_xlpm.q&gt;=_xlpm.s,ROUND(_xlpm.q,1)&amp;" "&amp;_xlpm.ai_test&amp;" = "&amp;ROUND(_xlpm.q*_xlpm.f,1)&amp;" "&amp;_xlpm.u,ROUND(_xlpm.q,1)&amp;" "&amp;_xlpm.ai_test)),""),""))))</f>
        <v>0</v>
      </c>
      <c r="AW521" s="1047"/>
      <c r="AX521" s="1045">
        <f t="shared" si="201"/>
        <v>0</v>
      </c>
      <c r="AY521" s="1046" t="str">
        <f t="shared" si="202"/>
        <v/>
      </c>
      <c r="AZ521" s="1048">
        <f t="shared" si="207"/>
        <v>0</v>
      </c>
      <c r="BA521" s="1049" t="str">
        <f t="shared" si="203"/>
        <v/>
      </c>
      <c r="BB521" s="1038"/>
      <c r="BC521" s="1050">
        <f t="shared" si="208"/>
        <v>0</v>
      </c>
      <c r="BD521" s="1040" t="str">
        <f t="shared" si="204"/>
        <v/>
      </c>
      <c r="BE521" s="227" t="s">
        <v>22</v>
      </c>
      <c r="BF521" s="1019">
        <f t="shared" si="205"/>
        <v>0</v>
      </c>
      <c r="BG521" s="1020">
        <f t="shared" si="206"/>
        <v>0</v>
      </c>
      <c r="BH521"/>
      <c r="BI521" s="709"/>
      <c r="BJ521" s="709"/>
      <c r="BK521" s="709"/>
      <c r="BL521" s="709"/>
      <c r="BM521" s="709"/>
      <c r="BN521" s="709"/>
      <c r="BO521" s="709"/>
      <c r="BP521" s="709"/>
      <c r="BW521" s="959" t="str">
        <f t="shared" si="210"/>
        <v>►</v>
      </c>
      <c r="BX521" s="856"/>
      <c r="BY521" s="856"/>
      <c r="BZ521" s="856"/>
      <c r="CA521" s="856"/>
      <c r="CB521" s="856"/>
      <c r="DB521" s="3">
        <v>1</v>
      </c>
    </row>
    <row r="522" spans="12:106" ht="21" customHeight="1">
      <c r="L522" s="104" t="s">
        <v>16</v>
      </c>
      <c r="M522" s="1172"/>
      <c r="N522" s="1172"/>
      <c r="O522" s="1172"/>
      <c r="P522" s="1173"/>
      <c r="Q522" s="1174"/>
      <c r="R522" s="1175"/>
      <c r="S522" s="1176"/>
      <c r="T522" s="1177"/>
      <c r="U522" s="5248"/>
      <c r="V522" s="1177"/>
      <c r="W522" s="5249"/>
      <c r="X522" s="5208"/>
      <c r="Y522" s="5209"/>
      <c r="Z522" s="5210"/>
      <c r="AA522" s="5211"/>
      <c r="AB522" s="1178"/>
      <c r="AC522" s="1179"/>
      <c r="AD522" s="227" t="s">
        <v>22</v>
      </c>
      <c r="AE522" s="1027" t="str">
        <f t="shared" si="188"/>
        <v>►</v>
      </c>
      <c r="AF522" s="1028" t="str">
        <f t="shared" si="189"/>
        <v/>
      </c>
      <c r="AG522" s="1029" t="str">
        <f t="shared" si="190"/>
        <v/>
      </c>
      <c r="AH522" s="1028" t="str">
        <f t="shared" si="191"/>
        <v/>
      </c>
      <c r="AI522" s="1029" t="str">
        <f t="shared" si="192"/>
        <v/>
      </c>
      <c r="AJ522" s="1029">
        <f t="shared" si="193"/>
        <v>0</v>
      </c>
      <c r="AK522" s="1043" t="str" cm="1">
        <f t="array" ref="AK522">IF(AE522&lt;&gt;"A","",IFERROR((IFERROR(_xlfn.XLOOKUP(TRIM(SUBSTITUTE(U522,CHAR(160)," ")),$BI$15:$BI$62,$BL$15:$BL$62),IFERROR(_xlfn.XLOOKUP(TRIM(SUBSTITUTE(U522,CHAR(160)," ")),$BJ$15:$BJ$62,$BL$15:$BL$62),_xlfn.XLOOKUP(TRIM(SUBSTITUTE(U522,CHAR(160)," ")),$BK$15:$BK$62,$BL$15:$BL$62))))*T522*IF(ISBLANK(Q522),1,Q522)+IFERROR(_xlfn.XLOOKUP("RECHERCHEX",TRIM(L522:AC522),L522:AC522),0),0))</f>
        <v/>
      </c>
      <c r="AL522" s="1030">
        <f t="shared" si="194"/>
        <v>0</v>
      </c>
      <c r="AM522" s="5254" t="str">
        <f t="shared" si="209"/>
        <v/>
      </c>
      <c r="AN522" s="1031">
        <f t="shared" si="195"/>
        <v>0</v>
      </c>
      <c r="AO522" s="1031">
        <f t="shared" si="196"/>
        <v>0</v>
      </c>
      <c r="AP522" s="1032">
        <f t="shared" si="197"/>
        <v>0</v>
      </c>
      <c r="AQ522" s="5255" t="str">
        <f t="shared" si="198"/>
        <v/>
      </c>
      <c r="AR522" s="1056"/>
      <c r="AS522" s="1056"/>
      <c r="AT522" s="1034">
        <f t="shared" si="199"/>
        <v>0</v>
      </c>
      <c r="AU522" s="1035">
        <f t="shared" si="200"/>
        <v>0</v>
      </c>
      <c r="AV522" s="1057" cm="1">
        <f t="array" ref="AV522">IF(AJ522&lt;&gt;1,0,IF(OR(AT522="",N(AT522)&lt;=0.000000001),"",IF(OR(AN522="",N(AN522)&lt;=0.000000001),0,IF(ISNUMBER(AT522),IFERROR(_xlfn.LET(_xlpm.ai_test,TRIM(AI522),_xlpm.r,IFERROR(_xlfn.XLOOKUP(_xlpm.ai_test,$BI$15:$BI$62,ROW($BI$15:$BI$62),0,1),IFERROR(_xlfn.XLOOKUP(_xlpm.ai_test,$BJ$15:$BJ$62,ROW($BJ$15:$BJ$62),0,1),_xlfn.XLOOKUP(_xlpm.ai_test,$BK$15:$BK$62,ROW($BK$15:$BK$62),0,1))),_xlpm.p,_xlpm.r-MIN(ROW($BI$15:$BI$62))+1,_xlpm.f,INDEX($BL$15:$BL$62,_xlpm.p),_xlpm.u,INDEX($BM$15:$BM$62,_xlpm.p),_xlpm.s,INDEX($BO$15:$BO$62,_xlpm.p),_xlpm.q,N(AT522)/_xlpm.f,IF(_xlpm.q&gt;=_xlpm.s,ROUND(_xlpm.q,1)&amp;" "&amp;_xlpm.ai_test&amp;" = "&amp;ROUND(_xlpm.q*_xlpm.f,1)&amp;" "&amp;_xlpm.u,ROUND(_xlpm.q,1)&amp;" "&amp;_xlpm.ai_test)),""),""))))</f>
        <v>0</v>
      </c>
      <c r="AW522" s="1047"/>
      <c r="AX522" s="1034">
        <f t="shared" si="201"/>
        <v>0</v>
      </c>
      <c r="AY522" s="1035" t="str">
        <f t="shared" si="202"/>
        <v/>
      </c>
      <c r="AZ522" s="1036">
        <f t="shared" si="207"/>
        <v>0</v>
      </c>
      <c r="BA522" s="1037" t="str">
        <f t="shared" si="203"/>
        <v/>
      </c>
      <c r="BB522" s="1038"/>
      <c r="BC522" s="1039">
        <f t="shared" si="208"/>
        <v>0</v>
      </c>
      <c r="BD522" s="1040" t="str">
        <f t="shared" si="204"/>
        <v/>
      </c>
      <c r="BE522" s="227" t="s">
        <v>22</v>
      </c>
      <c r="BF522" s="1019">
        <f t="shared" si="205"/>
        <v>0</v>
      </c>
      <c r="BG522" s="1020">
        <f t="shared" si="206"/>
        <v>0</v>
      </c>
      <c r="BH522"/>
      <c r="BI522" s="709"/>
      <c r="BJ522" s="709"/>
      <c r="BK522" s="709"/>
      <c r="BL522" s="709"/>
      <c r="BM522" s="709"/>
      <c r="BN522" s="709"/>
      <c r="BO522" s="709"/>
      <c r="BP522" s="709"/>
      <c r="BW522" s="959" t="str">
        <f t="shared" si="210"/>
        <v>►</v>
      </c>
      <c r="BX522" s="856"/>
      <c r="BY522" s="856"/>
      <c r="BZ522" s="856"/>
      <c r="CA522" s="856"/>
      <c r="CB522" s="856"/>
      <c r="DB522" s="3">
        <v>1</v>
      </c>
    </row>
    <row r="523" spans="12:106" ht="21" customHeight="1">
      <c r="L523" s="104" t="s">
        <v>16</v>
      </c>
      <c r="M523" s="1172"/>
      <c r="N523" s="1172"/>
      <c r="O523" s="1172"/>
      <c r="P523" s="1173"/>
      <c r="Q523" s="1174"/>
      <c r="R523" s="1175"/>
      <c r="S523" s="1176"/>
      <c r="T523" s="1177"/>
      <c r="U523" s="5248"/>
      <c r="V523" s="1177"/>
      <c r="W523" s="5249"/>
      <c r="X523" s="5208"/>
      <c r="Y523" s="5209"/>
      <c r="Z523" s="5210"/>
      <c r="AA523" s="5211"/>
      <c r="AB523" s="1178"/>
      <c r="AC523" s="1179"/>
      <c r="AD523" s="227" t="s">
        <v>22</v>
      </c>
      <c r="AE523" s="1027" t="str">
        <f t="shared" si="188"/>
        <v>►</v>
      </c>
      <c r="AF523" s="1028" t="str">
        <f t="shared" si="189"/>
        <v/>
      </c>
      <c r="AG523" s="1029" t="str">
        <f t="shared" si="190"/>
        <v/>
      </c>
      <c r="AH523" s="1028" t="str">
        <f t="shared" si="191"/>
        <v/>
      </c>
      <c r="AI523" s="1029" t="str">
        <f t="shared" si="192"/>
        <v/>
      </c>
      <c r="AJ523" s="1029">
        <f t="shared" si="193"/>
        <v>0</v>
      </c>
      <c r="AK523" s="1043" t="str" cm="1">
        <f t="array" ref="AK523">IF(AE523&lt;&gt;"A","",IFERROR((IFERROR(_xlfn.XLOOKUP(TRIM(SUBSTITUTE(U523,CHAR(160)," ")),$BI$15:$BI$62,$BL$15:$BL$62),IFERROR(_xlfn.XLOOKUP(TRIM(SUBSTITUTE(U523,CHAR(160)," ")),$BJ$15:$BJ$62,$BL$15:$BL$62),_xlfn.XLOOKUP(TRIM(SUBSTITUTE(U523,CHAR(160)," ")),$BK$15:$BK$62,$BL$15:$BL$62))))*T523*IF(ISBLANK(Q523),1,Q523)+IFERROR(_xlfn.XLOOKUP("RECHERCHEX",TRIM(L523:AC523),L523:AC523),0),0))</f>
        <v/>
      </c>
      <c r="AL523" s="1030">
        <f t="shared" si="194"/>
        <v>0</v>
      </c>
      <c r="AM523" s="5254" t="str">
        <f t="shared" si="209"/>
        <v/>
      </c>
      <c r="AN523" s="1031">
        <f t="shared" si="195"/>
        <v>0</v>
      </c>
      <c r="AO523" s="1031">
        <f t="shared" si="196"/>
        <v>0</v>
      </c>
      <c r="AP523" s="1044">
        <f t="shared" si="197"/>
        <v>0</v>
      </c>
      <c r="AQ523" s="5257" t="str">
        <f t="shared" si="198"/>
        <v/>
      </c>
      <c r="AR523" s="1056"/>
      <c r="AS523" s="1056"/>
      <c r="AT523" s="1045">
        <f t="shared" si="199"/>
        <v>0</v>
      </c>
      <c r="AU523" s="1046">
        <f t="shared" si="200"/>
        <v>0</v>
      </c>
      <c r="AV523" s="1059" cm="1">
        <f t="array" ref="AV523">IF(AJ523&lt;&gt;1,0,IF(OR(AT523="",N(AT523)&lt;=0.000000001),"",IF(OR(AN523="",N(AN523)&lt;=0.000000001),0,IF(ISNUMBER(AT523),IFERROR(_xlfn.LET(_xlpm.ai_test,TRIM(AI523),_xlpm.r,IFERROR(_xlfn.XLOOKUP(_xlpm.ai_test,$BI$15:$BI$62,ROW($BI$15:$BI$62),0,1),IFERROR(_xlfn.XLOOKUP(_xlpm.ai_test,$BJ$15:$BJ$62,ROW($BJ$15:$BJ$62),0,1),_xlfn.XLOOKUP(_xlpm.ai_test,$BK$15:$BK$62,ROW($BK$15:$BK$62),0,1))),_xlpm.p,_xlpm.r-MIN(ROW($BI$15:$BI$62))+1,_xlpm.f,INDEX($BL$15:$BL$62,_xlpm.p),_xlpm.u,INDEX($BM$15:$BM$62,_xlpm.p),_xlpm.s,INDEX($BO$15:$BO$62,_xlpm.p),_xlpm.q,N(AT523)/_xlpm.f,IF(_xlpm.q&gt;=_xlpm.s,ROUND(_xlpm.q,1)&amp;" "&amp;_xlpm.ai_test&amp;" = "&amp;ROUND(_xlpm.q*_xlpm.f,1)&amp;" "&amp;_xlpm.u,ROUND(_xlpm.q,1)&amp;" "&amp;_xlpm.ai_test)),""),""))))</f>
        <v>0</v>
      </c>
      <c r="AW523" s="1047"/>
      <c r="AX523" s="1045">
        <f t="shared" si="201"/>
        <v>0</v>
      </c>
      <c r="AY523" s="1046" t="str">
        <f t="shared" si="202"/>
        <v/>
      </c>
      <c r="AZ523" s="1048">
        <f t="shared" si="207"/>
        <v>0</v>
      </c>
      <c r="BA523" s="1049" t="str">
        <f t="shared" si="203"/>
        <v/>
      </c>
      <c r="BB523" s="1038"/>
      <c r="BC523" s="1050">
        <f t="shared" si="208"/>
        <v>0</v>
      </c>
      <c r="BD523" s="1040" t="str">
        <f t="shared" si="204"/>
        <v/>
      </c>
      <c r="BE523" s="227" t="s">
        <v>22</v>
      </c>
      <c r="BF523" s="1019">
        <f t="shared" si="205"/>
        <v>0</v>
      </c>
      <c r="BG523" s="1020">
        <f t="shared" si="206"/>
        <v>0</v>
      </c>
      <c r="BH523"/>
      <c r="BI523" s="709"/>
      <c r="BJ523" s="709"/>
      <c r="BK523" s="709"/>
      <c r="BL523" s="709"/>
      <c r="BM523" s="709"/>
      <c r="BN523" s="709"/>
      <c r="BO523" s="709"/>
      <c r="BP523" s="709"/>
      <c r="BW523" s="959" t="str">
        <f t="shared" si="210"/>
        <v>►</v>
      </c>
      <c r="BX523" s="856"/>
      <c r="BY523" s="856"/>
      <c r="BZ523" s="856"/>
      <c r="CA523" s="856"/>
      <c r="CB523" s="856"/>
      <c r="DB523" s="3">
        <v>1</v>
      </c>
    </row>
    <row r="524" spans="12:106" ht="21" customHeight="1">
      <c r="L524" s="104" t="s">
        <v>16</v>
      </c>
      <c r="M524" s="1172"/>
      <c r="N524" s="1172"/>
      <c r="O524" s="1172"/>
      <c r="P524" s="1173"/>
      <c r="Q524" s="1174"/>
      <c r="R524" s="1175"/>
      <c r="S524" s="1176"/>
      <c r="T524" s="1177"/>
      <c r="U524" s="5248"/>
      <c r="V524" s="1177"/>
      <c r="W524" s="5249"/>
      <c r="X524" s="5208"/>
      <c r="Y524" s="5209"/>
      <c r="Z524" s="5210"/>
      <c r="AA524" s="5211"/>
      <c r="AB524" s="1178"/>
      <c r="AC524" s="1179"/>
      <c r="AD524" s="227" t="s">
        <v>22</v>
      </c>
      <c r="AE524" s="1027" t="str">
        <f t="shared" si="188"/>
        <v>►</v>
      </c>
      <c r="AF524" s="1028" t="str">
        <f t="shared" si="189"/>
        <v/>
      </c>
      <c r="AG524" s="1029" t="str">
        <f t="shared" si="190"/>
        <v/>
      </c>
      <c r="AH524" s="1028" t="str">
        <f t="shared" si="191"/>
        <v/>
      </c>
      <c r="AI524" s="1029" t="str">
        <f t="shared" si="192"/>
        <v/>
      </c>
      <c r="AJ524" s="1029">
        <f t="shared" si="193"/>
        <v>0</v>
      </c>
      <c r="AK524" s="1043" t="str" cm="1">
        <f t="array" ref="AK524">IF(AE524&lt;&gt;"A","",IFERROR((IFERROR(_xlfn.XLOOKUP(TRIM(SUBSTITUTE(U524,CHAR(160)," ")),$BI$15:$BI$62,$BL$15:$BL$62),IFERROR(_xlfn.XLOOKUP(TRIM(SUBSTITUTE(U524,CHAR(160)," ")),$BJ$15:$BJ$62,$BL$15:$BL$62),_xlfn.XLOOKUP(TRIM(SUBSTITUTE(U524,CHAR(160)," ")),$BK$15:$BK$62,$BL$15:$BL$62))))*T524*IF(ISBLANK(Q524),1,Q524)+IFERROR(_xlfn.XLOOKUP("RECHERCHEX",TRIM(L524:AC524),L524:AC524),0),0))</f>
        <v/>
      </c>
      <c r="AL524" s="1030">
        <f t="shared" si="194"/>
        <v>0</v>
      </c>
      <c r="AM524" s="5254" t="str">
        <f t="shared" si="209"/>
        <v/>
      </c>
      <c r="AN524" s="1031">
        <f t="shared" si="195"/>
        <v>0</v>
      </c>
      <c r="AO524" s="1031">
        <f t="shared" si="196"/>
        <v>0</v>
      </c>
      <c r="AP524" s="1032">
        <f t="shared" si="197"/>
        <v>0</v>
      </c>
      <c r="AQ524" s="5255" t="str">
        <f t="shared" si="198"/>
        <v/>
      </c>
      <c r="AR524" s="1056"/>
      <c r="AS524" s="1056"/>
      <c r="AT524" s="1034">
        <f t="shared" si="199"/>
        <v>0</v>
      </c>
      <c r="AU524" s="1035">
        <f t="shared" si="200"/>
        <v>0</v>
      </c>
      <c r="AV524" s="1057" cm="1">
        <f t="array" ref="AV524">IF(AJ524&lt;&gt;1,0,IF(OR(AT524="",N(AT524)&lt;=0.000000001),"",IF(OR(AN524="",N(AN524)&lt;=0.000000001),0,IF(ISNUMBER(AT524),IFERROR(_xlfn.LET(_xlpm.ai_test,TRIM(AI524),_xlpm.r,IFERROR(_xlfn.XLOOKUP(_xlpm.ai_test,$BI$15:$BI$62,ROW($BI$15:$BI$62),0,1),IFERROR(_xlfn.XLOOKUP(_xlpm.ai_test,$BJ$15:$BJ$62,ROW($BJ$15:$BJ$62),0,1),_xlfn.XLOOKUP(_xlpm.ai_test,$BK$15:$BK$62,ROW($BK$15:$BK$62),0,1))),_xlpm.p,_xlpm.r-MIN(ROW($BI$15:$BI$62))+1,_xlpm.f,INDEX($BL$15:$BL$62,_xlpm.p),_xlpm.u,INDEX($BM$15:$BM$62,_xlpm.p),_xlpm.s,INDEX($BO$15:$BO$62,_xlpm.p),_xlpm.q,N(AT524)/_xlpm.f,IF(_xlpm.q&gt;=_xlpm.s,ROUND(_xlpm.q,1)&amp;" "&amp;_xlpm.ai_test&amp;" = "&amp;ROUND(_xlpm.q*_xlpm.f,1)&amp;" "&amp;_xlpm.u,ROUND(_xlpm.q,1)&amp;" "&amp;_xlpm.ai_test)),""),""))))</f>
        <v>0</v>
      </c>
      <c r="AW524" s="1047"/>
      <c r="AX524" s="1034">
        <f t="shared" si="201"/>
        <v>0</v>
      </c>
      <c r="AY524" s="1035" t="str">
        <f t="shared" si="202"/>
        <v/>
      </c>
      <c r="AZ524" s="1036">
        <f t="shared" si="207"/>
        <v>0</v>
      </c>
      <c r="BA524" s="1037" t="str">
        <f t="shared" si="203"/>
        <v/>
      </c>
      <c r="BB524" s="1038"/>
      <c r="BC524" s="1039">
        <f t="shared" si="208"/>
        <v>0</v>
      </c>
      <c r="BD524" s="1040" t="str">
        <f t="shared" si="204"/>
        <v/>
      </c>
      <c r="BE524" s="227" t="s">
        <v>22</v>
      </c>
      <c r="BF524" s="1019">
        <f t="shared" si="205"/>
        <v>0</v>
      </c>
      <c r="BG524" s="1020">
        <f t="shared" si="206"/>
        <v>0</v>
      </c>
      <c r="BH524"/>
      <c r="BI524" s="709"/>
      <c r="BJ524" s="709"/>
      <c r="BK524" s="709"/>
      <c r="BL524" s="709"/>
      <c r="BM524" s="709"/>
      <c r="BN524" s="709"/>
      <c r="BO524" s="709"/>
      <c r="BP524" s="709"/>
      <c r="BW524" s="959" t="str">
        <f t="shared" si="210"/>
        <v>►</v>
      </c>
      <c r="BX524" s="856"/>
      <c r="BY524" s="856"/>
      <c r="BZ524" s="856"/>
      <c r="CA524" s="856"/>
      <c r="CB524" s="856"/>
      <c r="DB524" s="3">
        <v>1</v>
      </c>
    </row>
    <row r="525" spans="12:106" ht="21" customHeight="1">
      <c r="L525" s="104" t="s">
        <v>16</v>
      </c>
      <c r="M525" s="1172"/>
      <c r="N525" s="1172"/>
      <c r="O525" s="1172"/>
      <c r="P525" s="1173"/>
      <c r="Q525" s="1174"/>
      <c r="R525" s="1175"/>
      <c r="S525" s="1176"/>
      <c r="T525" s="1177"/>
      <c r="U525" s="5248"/>
      <c r="V525" s="1177"/>
      <c r="W525" s="5249"/>
      <c r="X525" s="5208"/>
      <c r="Y525" s="5209"/>
      <c r="Z525" s="5210"/>
      <c r="AA525" s="5211"/>
      <c r="AB525" s="1178"/>
      <c r="AC525" s="1179"/>
      <c r="AD525" s="227" t="s">
        <v>22</v>
      </c>
      <c r="AE525" s="1027" t="str">
        <f t="shared" si="188"/>
        <v>►</v>
      </c>
      <c r="AF525" s="1028" t="str">
        <f t="shared" si="189"/>
        <v/>
      </c>
      <c r="AG525" s="1029" t="str">
        <f t="shared" si="190"/>
        <v/>
      </c>
      <c r="AH525" s="1028" t="str">
        <f t="shared" si="191"/>
        <v/>
      </c>
      <c r="AI525" s="1029" t="str">
        <f t="shared" si="192"/>
        <v/>
      </c>
      <c r="AJ525" s="1029">
        <f t="shared" si="193"/>
        <v>0</v>
      </c>
      <c r="AK525" s="1043" t="str" cm="1">
        <f t="array" ref="AK525">IF(AE525&lt;&gt;"A","",IFERROR((IFERROR(_xlfn.XLOOKUP(TRIM(SUBSTITUTE(U525,CHAR(160)," ")),$BI$15:$BI$62,$BL$15:$BL$62),IFERROR(_xlfn.XLOOKUP(TRIM(SUBSTITUTE(U525,CHAR(160)," ")),$BJ$15:$BJ$62,$BL$15:$BL$62),_xlfn.XLOOKUP(TRIM(SUBSTITUTE(U525,CHAR(160)," ")),$BK$15:$BK$62,$BL$15:$BL$62))))*T525*IF(ISBLANK(Q525),1,Q525)+IFERROR(_xlfn.XLOOKUP("RECHERCHEX",TRIM(L525:AC525),L525:AC525),0),0))</f>
        <v/>
      </c>
      <c r="AL525" s="1030">
        <f t="shared" si="194"/>
        <v>0</v>
      </c>
      <c r="AM525" s="5254" t="str">
        <f t="shared" si="209"/>
        <v/>
      </c>
      <c r="AN525" s="1031">
        <f t="shared" si="195"/>
        <v>0</v>
      </c>
      <c r="AO525" s="1031">
        <f t="shared" si="196"/>
        <v>0</v>
      </c>
      <c r="AP525" s="1044">
        <f t="shared" si="197"/>
        <v>0</v>
      </c>
      <c r="AQ525" s="5257" t="str">
        <f t="shared" si="198"/>
        <v/>
      </c>
      <c r="AR525" s="1056"/>
      <c r="AS525" s="1056"/>
      <c r="AT525" s="1045">
        <f t="shared" si="199"/>
        <v>0</v>
      </c>
      <c r="AU525" s="1046">
        <f t="shared" si="200"/>
        <v>0</v>
      </c>
      <c r="AV525" s="1059" cm="1">
        <f t="array" ref="AV525">IF(AJ525&lt;&gt;1,0,IF(OR(AT525="",N(AT525)&lt;=0.000000001),"",IF(OR(AN525="",N(AN525)&lt;=0.000000001),0,IF(ISNUMBER(AT525),IFERROR(_xlfn.LET(_xlpm.ai_test,TRIM(AI525),_xlpm.r,IFERROR(_xlfn.XLOOKUP(_xlpm.ai_test,$BI$15:$BI$62,ROW($BI$15:$BI$62),0,1),IFERROR(_xlfn.XLOOKUP(_xlpm.ai_test,$BJ$15:$BJ$62,ROW($BJ$15:$BJ$62),0,1),_xlfn.XLOOKUP(_xlpm.ai_test,$BK$15:$BK$62,ROW($BK$15:$BK$62),0,1))),_xlpm.p,_xlpm.r-MIN(ROW($BI$15:$BI$62))+1,_xlpm.f,INDEX($BL$15:$BL$62,_xlpm.p),_xlpm.u,INDEX($BM$15:$BM$62,_xlpm.p),_xlpm.s,INDEX($BO$15:$BO$62,_xlpm.p),_xlpm.q,N(AT525)/_xlpm.f,IF(_xlpm.q&gt;=_xlpm.s,ROUND(_xlpm.q,1)&amp;" "&amp;_xlpm.ai_test&amp;" = "&amp;ROUND(_xlpm.q*_xlpm.f,1)&amp;" "&amp;_xlpm.u,ROUND(_xlpm.q,1)&amp;" "&amp;_xlpm.ai_test)),""),""))))</f>
        <v>0</v>
      </c>
      <c r="AW525" s="1047"/>
      <c r="AX525" s="1045">
        <f t="shared" si="201"/>
        <v>0</v>
      </c>
      <c r="AY525" s="1046" t="str">
        <f t="shared" si="202"/>
        <v/>
      </c>
      <c r="AZ525" s="1048">
        <f t="shared" si="207"/>
        <v>0</v>
      </c>
      <c r="BA525" s="1049" t="str">
        <f t="shared" si="203"/>
        <v/>
      </c>
      <c r="BB525" s="1038"/>
      <c r="BC525" s="1050">
        <f t="shared" si="208"/>
        <v>0</v>
      </c>
      <c r="BD525" s="1040" t="str">
        <f t="shared" si="204"/>
        <v/>
      </c>
      <c r="BE525" s="227" t="s">
        <v>22</v>
      </c>
      <c r="BF525" s="1019">
        <f t="shared" si="205"/>
        <v>0</v>
      </c>
      <c r="BG525" s="1020">
        <f t="shared" si="206"/>
        <v>0</v>
      </c>
      <c r="BH525"/>
      <c r="BI525" s="709"/>
      <c r="BJ525" s="709"/>
      <c r="BK525" s="709"/>
      <c r="BL525" s="709"/>
      <c r="BM525" s="709"/>
      <c r="BN525" s="709"/>
      <c r="BO525" s="709"/>
      <c r="BP525" s="709"/>
      <c r="BW525" s="959" t="str">
        <f t="shared" si="210"/>
        <v>►</v>
      </c>
      <c r="BX525" s="856"/>
      <c r="BY525" s="856"/>
      <c r="BZ525" s="856"/>
      <c r="CA525" s="856"/>
      <c r="CB525" s="856"/>
      <c r="DB525" s="3">
        <v>1</v>
      </c>
    </row>
    <row r="526" spans="12:106" ht="21" customHeight="1">
      <c r="L526" s="104" t="s">
        <v>16</v>
      </c>
      <c r="M526" s="1172"/>
      <c r="N526" s="1172"/>
      <c r="O526" s="1172"/>
      <c r="P526" s="1173"/>
      <c r="Q526" s="1174"/>
      <c r="R526" s="1175"/>
      <c r="S526" s="1176"/>
      <c r="T526" s="1177"/>
      <c r="U526" s="5248"/>
      <c r="V526" s="1177"/>
      <c r="W526" s="5249"/>
      <c r="X526" s="5208"/>
      <c r="Y526" s="5209"/>
      <c r="Z526" s="5210"/>
      <c r="AA526" s="5211"/>
      <c r="AB526" s="1178"/>
      <c r="AC526" s="1179"/>
      <c r="AD526" s="227" t="s">
        <v>22</v>
      </c>
      <c r="AE526" s="1027" t="str">
        <f t="shared" si="188"/>
        <v>►</v>
      </c>
      <c r="AF526" s="1028" t="str">
        <f t="shared" si="189"/>
        <v/>
      </c>
      <c r="AG526" s="1029" t="str">
        <f t="shared" si="190"/>
        <v/>
      </c>
      <c r="AH526" s="1028" t="str">
        <f t="shared" si="191"/>
        <v/>
      </c>
      <c r="AI526" s="1029" t="str">
        <f t="shared" si="192"/>
        <v/>
      </c>
      <c r="AJ526" s="1029">
        <f t="shared" si="193"/>
        <v>0</v>
      </c>
      <c r="AK526" s="1043" t="str" cm="1">
        <f t="array" ref="AK526">IF(AE526&lt;&gt;"A","",IFERROR((IFERROR(_xlfn.XLOOKUP(TRIM(SUBSTITUTE(U526,CHAR(160)," ")),$BI$15:$BI$62,$BL$15:$BL$62),IFERROR(_xlfn.XLOOKUP(TRIM(SUBSTITUTE(U526,CHAR(160)," ")),$BJ$15:$BJ$62,$BL$15:$BL$62),_xlfn.XLOOKUP(TRIM(SUBSTITUTE(U526,CHAR(160)," ")),$BK$15:$BK$62,$BL$15:$BL$62))))*T526*IF(ISBLANK(Q526),1,Q526)+IFERROR(_xlfn.XLOOKUP("RECHERCHEX",TRIM(L526:AC526),L526:AC526),0),0))</f>
        <v/>
      </c>
      <c r="AL526" s="1030">
        <f t="shared" si="194"/>
        <v>0</v>
      </c>
      <c r="AM526" s="5254" t="str">
        <f t="shared" si="209"/>
        <v/>
      </c>
      <c r="AN526" s="1031">
        <f t="shared" si="195"/>
        <v>0</v>
      </c>
      <c r="AO526" s="1031">
        <f t="shared" si="196"/>
        <v>0</v>
      </c>
      <c r="AP526" s="1032">
        <f t="shared" si="197"/>
        <v>0</v>
      </c>
      <c r="AQ526" s="5255" t="str">
        <f t="shared" si="198"/>
        <v/>
      </c>
      <c r="AR526" s="1056"/>
      <c r="AS526" s="1056"/>
      <c r="AT526" s="1034">
        <f t="shared" si="199"/>
        <v>0</v>
      </c>
      <c r="AU526" s="1035">
        <f t="shared" si="200"/>
        <v>0</v>
      </c>
      <c r="AV526" s="1057" cm="1">
        <f t="array" ref="AV526">IF(AJ526&lt;&gt;1,0,IF(OR(AT526="",N(AT526)&lt;=0.000000001),"",IF(OR(AN526="",N(AN526)&lt;=0.000000001),0,IF(ISNUMBER(AT526),IFERROR(_xlfn.LET(_xlpm.ai_test,TRIM(AI526),_xlpm.r,IFERROR(_xlfn.XLOOKUP(_xlpm.ai_test,$BI$15:$BI$62,ROW($BI$15:$BI$62),0,1),IFERROR(_xlfn.XLOOKUP(_xlpm.ai_test,$BJ$15:$BJ$62,ROW($BJ$15:$BJ$62),0,1),_xlfn.XLOOKUP(_xlpm.ai_test,$BK$15:$BK$62,ROW($BK$15:$BK$62),0,1))),_xlpm.p,_xlpm.r-MIN(ROW($BI$15:$BI$62))+1,_xlpm.f,INDEX($BL$15:$BL$62,_xlpm.p),_xlpm.u,INDEX($BM$15:$BM$62,_xlpm.p),_xlpm.s,INDEX($BO$15:$BO$62,_xlpm.p),_xlpm.q,N(AT526)/_xlpm.f,IF(_xlpm.q&gt;=_xlpm.s,ROUND(_xlpm.q,1)&amp;" "&amp;_xlpm.ai_test&amp;" = "&amp;ROUND(_xlpm.q*_xlpm.f,1)&amp;" "&amp;_xlpm.u,ROUND(_xlpm.q,1)&amp;" "&amp;_xlpm.ai_test)),""),""))))</f>
        <v>0</v>
      </c>
      <c r="AW526" s="1047"/>
      <c r="AX526" s="1034">
        <f t="shared" si="201"/>
        <v>0</v>
      </c>
      <c r="AY526" s="1035" t="str">
        <f t="shared" si="202"/>
        <v/>
      </c>
      <c r="AZ526" s="1036">
        <f t="shared" si="207"/>
        <v>0</v>
      </c>
      <c r="BA526" s="1037" t="str">
        <f t="shared" si="203"/>
        <v/>
      </c>
      <c r="BB526" s="1038"/>
      <c r="BC526" s="1039">
        <f t="shared" si="208"/>
        <v>0</v>
      </c>
      <c r="BD526" s="1040" t="str">
        <f t="shared" si="204"/>
        <v/>
      </c>
      <c r="BE526" s="227" t="s">
        <v>22</v>
      </c>
      <c r="BF526" s="1019">
        <f t="shared" si="205"/>
        <v>0</v>
      </c>
      <c r="BG526" s="1020">
        <f t="shared" si="206"/>
        <v>0</v>
      </c>
      <c r="BH526"/>
      <c r="BI526" s="709"/>
      <c r="BJ526" s="709"/>
      <c r="BK526" s="709"/>
      <c r="BL526" s="709"/>
      <c r="BM526" s="709"/>
      <c r="BN526" s="709"/>
      <c r="BO526" s="709"/>
      <c r="BP526" s="709"/>
      <c r="BW526" s="959" t="str">
        <f t="shared" si="210"/>
        <v>►</v>
      </c>
      <c r="BX526" s="856"/>
      <c r="BY526" s="856"/>
      <c r="BZ526" s="856"/>
      <c r="CA526" s="856"/>
      <c r="CB526" s="856"/>
      <c r="DB526" s="3">
        <v>1</v>
      </c>
    </row>
    <row r="527" spans="12:106" ht="21" customHeight="1">
      <c r="L527" s="104" t="s">
        <v>16</v>
      </c>
      <c r="M527" s="1172"/>
      <c r="N527" s="1172"/>
      <c r="O527" s="1172"/>
      <c r="P527" s="1173"/>
      <c r="Q527" s="1174"/>
      <c r="R527" s="1175"/>
      <c r="S527" s="1176"/>
      <c r="T527" s="1177"/>
      <c r="U527" s="5248"/>
      <c r="V527" s="1177"/>
      <c r="W527" s="5249"/>
      <c r="X527" s="5208"/>
      <c r="Y527" s="5209"/>
      <c r="Z527" s="5210"/>
      <c r="AA527" s="5211"/>
      <c r="AB527" s="1178"/>
      <c r="AC527" s="1179"/>
      <c r="AD527" s="227" t="s">
        <v>22</v>
      </c>
      <c r="AE527" s="1027" t="str">
        <f t="shared" si="188"/>
        <v>►</v>
      </c>
      <c r="AF527" s="1028" t="str">
        <f t="shared" si="189"/>
        <v/>
      </c>
      <c r="AG527" s="1029" t="str">
        <f t="shared" si="190"/>
        <v/>
      </c>
      <c r="AH527" s="1028" t="str">
        <f t="shared" si="191"/>
        <v/>
      </c>
      <c r="AI527" s="1029" t="str">
        <f t="shared" si="192"/>
        <v/>
      </c>
      <c r="AJ527" s="1029">
        <f t="shared" si="193"/>
        <v>0</v>
      </c>
      <c r="AK527" s="1043" t="str" cm="1">
        <f t="array" ref="AK527">IF(AE527&lt;&gt;"A","",IFERROR((IFERROR(_xlfn.XLOOKUP(TRIM(SUBSTITUTE(U527,CHAR(160)," ")),$BI$15:$BI$62,$BL$15:$BL$62),IFERROR(_xlfn.XLOOKUP(TRIM(SUBSTITUTE(U527,CHAR(160)," ")),$BJ$15:$BJ$62,$BL$15:$BL$62),_xlfn.XLOOKUP(TRIM(SUBSTITUTE(U527,CHAR(160)," ")),$BK$15:$BK$62,$BL$15:$BL$62))))*T527*IF(ISBLANK(Q527),1,Q527)+IFERROR(_xlfn.XLOOKUP("RECHERCHEX",TRIM(L527:AC527),L527:AC527),0),0))</f>
        <v/>
      </c>
      <c r="AL527" s="1030">
        <f t="shared" si="194"/>
        <v>0</v>
      </c>
      <c r="AM527" s="5254" t="str">
        <f t="shared" si="209"/>
        <v/>
      </c>
      <c r="AN527" s="1031">
        <f t="shared" si="195"/>
        <v>0</v>
      </c>
      <c r="AO527" s="1031">
        <f t="shared" si="196"/>
        <v>0</v>
      </c>
      <c r="AP527" s="1044">
        <f t="shared" si="197"/>
        <v>0</v>
      </c>
      <c r="AQ527" s="5257" t="str">
        <f t="shared" si="198"/>
        <v/>
      </c>
      <c r="AR527" s="1056"/>
      <c r="AS527" s="1056"/>
      <c r="AT527" s="1045">
        <f t="shared" si="199"/>
        <v>0</v>
      </c>
      <c r="AU527" s="1046">
        <f t="shared" si="200"/>
        <v>0</v>
      </c>
      <c r="AV527" s="1059" cm="1">
        <f t="array" ref="AV527">IF(AJ527&lt;&gt;1,0,IF(OR(AT527="",N(AT527)&lt;=0.000000001),"",IF(OR(AN527="",N(AN527)&lt;=0.000000001),0,IF(ISNUMBER(AT527),IFERROR(_xlfn.LET(_xlpm.ai_test,TRIM(AI527),_xlpm.r,IFERROR(_xlfn.XLOOKUP(_xlpm.ai_test,$BI$15:$BI$62,ROW($BI$15:$BI$62),0,1),IFERROR(_xlfn.XLOOKUP(_xlpm.ai_test,$BJ$15:$BJ$62,ROW($BJ$15:$BJ$62),0,1),_xlfn.XLOOKUP(_xlpm.ai_test,$BK$15:$BK$62,ROW($BK$15:$BK$62),0,1))),_xlpm.p,_xlpm.r-MIN(ROW($BI$15:$BI$62))+1,_xlpm.f,INDEX($BL$15:$BL$62,_xlpm.p),_xlpm.u,INDEX($BM$15:$BM$62,_xlpm.p),_xlpm.s,INDEX($BO$15:$BO$62,_xlpm.p),_xlpm.q,N(AT527)/_xlpm.f,IF(_xlpm.q&gt;=_xlpm.s,ROUND(_xlpm.q,1)&amp;" "&amp;_xlpm.ai_test&amp;" = "&amp;ROUND(_xlpm.q*_xlpm.f,1)&amp;" "&amp;_xlpm.u,ROUND(_xlpm.q,1)&amp;" "&amp;_xlpm.ai_test)),""),""))))</f>
        <v>0</v>
      </c>
      <c r="AW527" s="1047"/>
      <c r="AX527" s="1045">
        <f t="shared" si="201"/>
        <v>0</v>
      </c>
      <c r="AY527" s="1046" t="str">
        <f t="shared" si="202"/>
        <v/>
      </c>
      <c r="AZ527" s="1048">
        <f t="shared" si="207"/>
        <v>0</v>
      </c>
      <c r="BA527" s="1049" t="str">
        <f t="shared" si="203"/>
        <v/>
      </c>
      <c r="BB527" s="1038"/>
      <c r="BC527" s="1050">
        <f t="shared" si="208"/>
        <v>0</v>
      </c>
      <c r="BD527" s="1040" t="str">
        <f t="shared" si="204"/>
        <v/>
      </c>
      <c r="BE527" s="227" t="s">
        <v>22</v>
      </c>
      <c r="BF527" s="1019">
        <f t="shared" si="205"/>
        <v>0</v>
      </c>
      <c r="BG527" s="1020">
        <f t="shared" si="206"/>
        <v>0</v>
      </c>
      <c r="BH527"/>
      <c r="BI527" s="709"/>
      <c r="BJ527" s="709"/>
      <c r="BK527" s="709"/>
      <c r="BL527" s="709"/>
      <c r="BM527" s="709"/>
      <c r="BN527" s="709"/>
      <c r="BO527" s="709"/>
      <c r="BP527" s="709"/>
      <c r="BW527" s="959" t="str">
        <f t="shared" si="210"/>
        <v>►</v>
      </c>
      <c r="BX527" s="856"/>
      <c r="BY527" s="856"/>
      <c r="BZ527" s="856"/>
      <c r="CA527" s="856"/>
      <c r="CB527" s="856"/>
      <c r="DB527" s="3">
        <v>1</v>
      </c>
    </row>
    <row r="528" spans="12:106" ht="21" customHeight="1">
      <c r="L528" s="104" t="s">
        <v>16</v>
      </c>
      <c r="M528" s="1172"/>
      <c r="N528" s="1172"/>
      <c r="O528" s="1172"/>
      <c r="P528" s="1173"/>
      <c r="Q528" s="1174"/>
      <c r="R528" s="1175"/>
      <c r="S528" s="1176"/>
      <c r="T528" s="1177"/>
      <c r="U528" s="5248"/>
      <c r="V528" s="1177"/>
      <c r="W528" s="5249"/>
      <c r="X528" s="5208"/>
      <c r="Y528" s="5209"/>
      <c r="Z528" s="5210"/>
      <c r="AA528" s="5211"/>
      <c r="AB528" s="1178"/>
      <c r="AC528" s="1179"/>
      <c r="AD528" s="227" t="s">
        <v>22</v>
      </c>
      <c r="AE528" s="1027" t="str">
        <f t="shared" si="188"/>
        <v>►</v>
      </c>
      <c r="AF528" s="1028" t="str">
        <f t="shared" si="189"/>
        <v/>
      </c>
      <c r="AG528" s="1029" t="str">
        <f t="shared" si="190"/>
        <v/>
      </c>
      <c r="AH528" s="1028" t="str">
        <f t="shared" si="191"/>
        <v/>
      </c>
      <c r="AI528" s="1029" t="str">
        <f t="shared" si="192"/>
        <v/>
      </c>
      <c r="AJ528" s="1029">
        <f t="shared" si="193"/>
        <v>0</v>
      </c>
      <c r="AK528" s="1043" t="str" cm="1">
        <f t="array" ref="AK528">IF(AE528&lt;&gt;"A","",IFERROR((IFERROR(_xlfn.XLOOKUP(TRIM(SUBSTITUTE(U528,CHAR(160)," ")),$BI$15:$BI$62,$BL$15:$BL$62),IFERROR(_xlfn.XLOOKUP(TRIM(SUBSTITUTE(U528,CHAR(160)," ")),$BJ$15:$BJ$62,$BL$15:$BL$62),_xlfn.XLOOKUP(TRIM(SUBSTITUTE(U528,CHAR(160)," ")),$BK$15:$BK$62,$BL$15:$BL$62))))*T528*IF(ISBLANK(Q528),1,Q528)+IFERROR(_xlfn.XLOOKUP("RECHERCHEX",TRIM(L528:AC528),L528:AC528),0),0))</f>
        <v/>
      </c>
      <c r="AL528" s="1030">
        <f t="shared" si="194"/>
        <v>0</v>
      </c>
      <c r="AM528" s="5254" t="str">
        <f t="shared" si="209"/>
        <v/>
      </c>
      <c r="AN528" s="1031">
        <f t="shared" si="195"/>
        <v>0</v>
      </c>
      <c r="AO528" s="1031">
        <f t="shared" si="196"/>
        <v>0</v>
      </c>
      <c r="AP528" s="1032">
        <f t="shared" si="197"/>
        <v>0</v>
      </c>
      <c r="AQ528" s="5255" t="str">
        <f t="shared" si="198"/>
        <v/>
      </c>
      <c r="AR528" s="1056"/>
      <c r="AS528" s="1056"/>
      <c r="AT528" s="1034">
        <f t="shared" si="199"/>
        <v>0</v>
      </c>
      <c r="AU528" s="1035">
        <f t="shared" si="200"/>
        <v>0</v>
      </c>
      <c r="AV528" s="1057" cm="1">
        <f t="array" ref="AV528">IF(AJ528&lt;&gt;1,0,IF(OR(AT528="",N(AT528)&lt;=0.000000001),"",IF(OR(AN528="",N(AN528)&lt;=0.000000001),0,IF(ISNUMBER(AT528),IFERROR(_xlfn.LET(_xlpm.ai_test,TRIM(AI528),_xlpm.r,IFERROR(_xlfn.XLOOKUP(_xlpm.ai_test,$BI$15:$BI$62,ROW($BI$15:$BI$62),0,1),IFERROR(_xlfn.XLOOKUP(_xlpm.ai_test,$BJ$15:$BJ$62,ROW($BJ$15:$BJ$62),0,1),_xlfn.XLOOKUP(_xlpm.ai_test,$BK$15:$BK$62,ROW($BK$15:$BK$62),0,1))),_xlpm.p,_xlpm.r-MIN(ROW($BI$15:$BI$62))+1,_xlpm.f,INDEX($BL$15:$BL$62,_xlpm.p),_xlpm.u,INDEX($BM$15:$BM$62,_xlpm.p),_xlpm.s,INDEX($BO$15:$BO$62,_xlpm.p),_xlpm.q,N(AT528)/_xlpm.f,IF(_xlpm.q&gt;=_xlpm.s,ROUND(_xlpm.q,1)&amp;" "&amp;_xlpm.ai_test&amp;" = "&amp;ROUND(_xlpm.q*_xlpm.f,1)&amp;" "&amp;_xlpm.u,ROUND(_xlpm.q,1)&amp;" "&amp;_xlpm.ai_test)),""),""))))</f>
        <v>0</v>
      </c>
      <c r="AW528" s="1047"/>
      <c r="AX528" s="1034">
        <f t="shared" si="201"/>
        <v>0</v>
      </c>
      <c r="AY528" s="1035" t="str">
        <f t="shared" si="202"/>
        <v/>
      </c>
      <c r="AZ528" s="1036">
        <f t="shared" si="207"/>
        <v>0</v>
      </c>
      <c r="BA528" s="1037" t="str">
        <f t="shared" si="203"/>
        <v/>
      </c>
      <c r="BB528" s="1038"/>
      <c r="BC528" s="1039">
        <f t="shared" si="208"/>
        <v>0</v>
      </c>
      <c r="BD528" s="1040" t="str">
        <f t="shared" si="204"/>
        <v/>
      </c>
      <c r="BE528" s="227" t="s">
        <v>22</v>
      </c>
      <c r="BF528" s="1019">
        <f t="shared" si="205"/>
        <v>0</v>
      </c>
      <c r="BG528" s="1020">
        <f t="shared" si="206"/>
        <v>0</v>
      </c>
      <c r="BH528"/>
      <c r="BI528" s="709"/>
      <c r="BJ528" s="709"/>
      <c r="BK528" s="709"/>
      <c r="BL528" s="709"/>
      <c r="BM528" s="709"/>
      <c r="BN528" s="709"/>
      <c r="BO528" s="709"/>
      <c r="BP528" s="709"/>
      <c r="BW528" s="959" t="str">
        <f t="shared" si="210"/>
        <v>►</v>
      </c>
      <c r="BX528" s="856"/>
      <c r="BY528" s="856"/>
      <c r="BZ528" s="856"/>
      <c r="CA528" s="856"/>
      <c r="CB528" s="856"/>
      <c r="DB528" s="3">
        <v>1</v>
      </c>
    </row>
    <row r="529" spans="12:106" ht="21" customHeight="1">
      <c r="L529" s="104" t="s">
        <v>16</v>
      </c>
      <c r="M529" s="1172"/>
      <c r="N529" s="1172"/>
      <c r="O529" s="1172"/>
      <c r="P529" s="1173"/>
      <c r="Q529" s="1174"/>
      <c r="R529" s="1175"/>
      <c r="S529" s="1176"/>
      <c r="T529" s="1177"/>
      <c r="U529" s="5248"/>
      <c r="V529" s="1177"/>
      <c r="W529" s="5249"/>
      <c r="X529" s="5208"/>
      <c r="Y529" s="5209"/>
      <c r="Z529" s="5210"/>
      <c r="AA529" s="5211"/>
      <c r="AB529" s="1178"/>
      <c r="AC529" s="1179"/>
      <c r="AD529" s="227" t="s">
        <v>22</v>
      </c>
      <c r="AE529" s="1027" t="str">
        <f t="shared" si="188"/>
        <v>►</v>
      </c>
      <c r="AF529" s="1028" t="str">
        <f t="shared" si="189"/>
        <v/>
      </c>
      <c r="AG529" s="1029" t="str">
        <f t="shared" si="190"/>
        <v/>
      </c>
      <c r="AH529" s="1028" t="str">
        <f t="shared" si="191"/>
        <v/>
      </c>
      <c r="AI529" s="1029" t="str">
        <f t="shared" si="192"/>
        <v/>
      </c>
      <c r="AJ529" s="1029">
        <f t="shared" si="193"/>
        <v>0</v>
      </c>
      <c r="AK529" s="1043" t="str" cm="1">
        <f t="array" ref="AK529">IF(AE529&lt;&gt;"A","",IFERROR((IFERROR(_xlfn.XLOOKUP(TRIM(SUBSTITUTE(U529,CHAR(160)," ")),$BI$15:$BI$62,$BL$15:$BL$62),IFERROR(_xlfn.XLOOKUP(TRIM(SUBSTITUTE(U529,CHAR(160)," ")),$BJ$15:$BJ$62,$BL$15:$BL$62),_xlfn.XLOOKUP(TRIM(SUBSTITUTE(U529,CHAR(160)," ")),$BK$15:$BK$62,$BL$15:$BL$62))))*T529*IF(ISBLANK(Q529),1,Q529)+IFERROR(_xlfn.XLOOKUP("RECHERCHEX",TRIM(L529:AC529),L529:AC529),0),0))</f>
        <v/>
      </c>
      <c r="AL529" s="1030">
        <f t="shared" si="194"/>
        <v>0</v>
      </c>
      <c r="AM529" s="5254" t="str">
        <f t="shared" si="209"/>
        <v/>
      </c>
      <c r="AN529" s="1031">
        <f t="shared" si="195"/>
        <v>0</v>
      </c>
      <c r="AO529" s="1031">
        <f t="shared" si="196"/>
        <v>0</v>
      </c>
      <c r="AP529" s="1044">
        <f t="shared" si="197"/>
        <v>0</v>
      </c>
      <c r="AQ529" s="5257" t="str">
        <f t="shared" si="198"/>
        <v/>
      </c>
      <c r="AR529" s="1056"/>
      <c r="AS529" s="1056"/>
      <c r="AT529" s="1045">
        <f t="shared" si="199"/>
        <v>0</v>
      </c>
      <c r="AU529" s="1046">
        <f t="shared" si="200"/>
        <v>0</v>
      </c>
      <c r="AV529" s="1059" cm="1">
        <f t="array" ref="AV529">IF(AJ529&lt;&gt;1,0,IF(OR(AT529="",N(AT529)&lt;=0.000000001),"",IF(OR(AN529="",N(AN529)&lt;=0.000000001),0,IF(ISNUMBER(AT529),IFERROR(_xlfn.LET(_xlpm.ai_test,TRIM(AI529),_xlpm.r,IFERROR(_xlfn.XLOOKUP(_xlpm.ai_test,$BI$15:$BI$62,ROW($BI$15:$BI$62),0,1),IFERROR(_xlfn.XLOOKUP(_xlpm.ai_test,$BJ$15:$BJ$62,ROW($BJ$15:$BJ$62),0,1),_xlfn.XLOOKUP(_xlpm.ai_test,$BK$15:$BK$62,ROW($BK$15:$BK$62),0,1))),_xlpm.p,_xlpm.r-MIN(ROW($BI$15:$BI$62))+1,_xlpm.f,INDEX($BL$15:$BL$62,_xlpm.p),_xlpm.u,INDEX($BM$15:$BM$62,_xlpm.p),_xlpm.s,INDEX($BO$15:$BO$62,_xlpm.p),_xlpm.q,N(AT529)/_xlpm.f,IF(_xlpm.q&gt;=_xlpm.s,ROUND(_xlpm.q,1)&amp;" "&amp;_xlpm.ai_test&amp;" = "&amp;ROUND(_xlpm.q*_xlpm.f,1)&amp;" "&amp;_xlpm.u,ROUND(_xlpm.q,1)&amp;" "&amp;_xlpm.ai_test)),""),""))))</f>
        <v>0</v>
      </c>
      <c r="AW529" s="1047"/>
      <c r="AX529" s="1045">
        <f t="shared" si="201"/>
        <v>0</v>
      </c>
      <c r="AY529" s="1046" t="str">
        <f t="shared" si="202"/>
        <v/>
      </c>
      <c r="AZ529" s="1048">
        <f t="shared" si="207"/>
        <v>0</v>
      </c>
      <c r="BA529" s="1049" t="str">
        <f t="shared" si="203"/>
        <v/>
      </c>
      <c r="BB529" s="1038"/>
      <c r="BC529" s="1050">
        <f t="shared" si="208"/>
        <v>0</v>
      </c>
      <c r="BD529" s="1040" t="str">
        <f t="shared" si="204"/>
        <v/>
      </c>
      <c r="BE529" s="227" t="s">
        <v>22</v>
      </c>
      <c r="BF529" s="1019">
        <f t="shared" si="205"/>
        <v>0</v>
      </c>
      <c r="BG529" s="1020">
        <f t="shared" si="206"/>
        <v>0</v>
      </c>
      <c r="BH529"/>
      <c r="BI529" s="709"/>
      <c r="BJ529" s="709"/>
      <c r="BK529" s="709"/>
      <c r="BL529" s="709"/>
      <c r="BM529" s="709"/>
      <c r="BN529" s="709"/>
      <c r="BO529" s="709"/>
      <c r="BP529" s="709"/>
      <c r="BW529" s="959" t="str">
        <f t="shared" si="210"/>
        <v>►</v>
      </c>
      <c r="BX529" s="856"/>
      <c r="BY529" s="856"/>
      <c r="BZ529" s="856"/>
      <c r="CA529" s="856"/>
      <c r="CB529" s="856"/>
      <c r="DB529" s="3">
        <v>1</v>
      </c>
    </row>
    <row r="530" spans="12:106" ht="21" customHeight="1">
      <c r="L530" s="104" t="s">
        <v>16</v>
      </c>
      <c r="M530" s="1172"/>
      <c r="N530" s="1172"/>
      <c r="O530" s="1172"/>
      <c r="P530" s="1173"/>
      <c r="Q530" s="1174"/>
      <c r="R530" s="1175"/>
      <c r="S530" s="1176"/>
      <c r="T530" s="1177"/>
      <c r="U530" s="5248"/>
      <c r="V530" s="1177"/>
      <c r="W530" s="5249"/>
      <c r="X530" s="5208"/>
      <c r="Y530" s="5209"/>
      <c r="Z530" s="5210"/>
      <c r="AA530" s="5211"/>
      <c r="AB530" s="1178"/>
      <c r="AC530" s="1179"/>
      <c r="AD530" s="227" t="s">
        <v>22</v>
      </c>
      <c r="AE530" s="1027" t="str">
        <f t="shared" si="188"/>
        <v>►</v>
      </c>
      <c r="AF530" s="1028" t="str">
        <f t="shared" si="189"/>
        <v/>
      </c>
      <c r="AG530" s="1029" t="str">
        <f t="shared" si="190"/>
        <v/>
      </c>
      <c r="AH530" s="1028" t="str">
        <f t="shared" si="191"/>
        <v/>
      </c>
      <c r="AI530" s="1029" t="str">
        <f t="shared" si="192"/>
        <v/>
      </c>
      <c r="AJ530" s="1029">
        <f t="shared" si="193"/>
        <v>0</v>
      </c>
      <c r="AK530" s="1043" t="str" cm="1">
        <f t="array" ref="AK530">IF(AE530&lt;&gt;"A","",IFERROR((IFERROR(_xlfn.XLOOKUP(TRIM(SUBSTITUTE(U530,CHAR(160)," ")),$BI$15:$BI$62,$BL$15:$BL$62),IFERROR(_xlfn.XLOOKUP(TRIM(SUBSTITUTE(U530,CHAR(160)," ")),$BJ$15:$BJ$62,$BL$15:$BL$62),_xlfn.XLOOKUP(TRIM(SUBSTITUTE(U530,CHAR(160)," ")),$BK$15:$BK$62,$BL$15:$BL$62))))*T530*IF(ISBLANK(Q530),1,Q530)+IFERROR(_xlfn.XLOOKUP("RECHERCHEX",TRIM(L530:AC530),L530:AC530),0),0))</f>
        <v/>
      </c>
      <c r="AL530" s="1030">
        <f t="shared" si="194"/>
        <v>0</v>
      </c>
      <c r="AM530" s="5254" t="str">
        <f t="shared" si="209"/>
        <v/>
      </c>
      <c r="AN530" s="1031">
        <f t="shared" si="195"/>
        <v>0</v>
      </c>
      <c r="AO530" s="1031">
        <f t="shared" si="196"/>
        <v>0</v>
      </c>
      <c r="AP530" s="1032">
        <f t="shared" si="197"/>
        <v>0</v>
      </c>
      <c r="AQ530" s="5255" t="str">
        <f t="shared" si="198"/>
        <v/>
      </c>
      <c r="AR530" s="1056"/>
      <c r="AS530" s="1056"/>
      <c r="AT530" s="1034">
        <f t="shared" si="199"/>
        <v>0</v>
      </c>
      <c r="AU530" s="1035">
        <f t="shared" si="200"/>
        <v>0</v>
      </c>
      <c r="AV530" s="1057" cm="1">
        <f t="array" ref="AV530">IF(AJ530&lt;&gt;1,0,IF(OR(AT530="",N(AT530)&lt;=0.000000001),"",IF(OR(AN530="",N(AN530)&lt;=0.000000001),0,IF(ISNUMBER(AT530),IFERROR(_xlfn.LET(_xlpm.ai_test,TRIM(AI530),_xlpm.r,IFERROR(_xlfn.XLOOKUP(_xlpm.ai_test,$BI$15:$BI$62,ROW($BI$15:$BI$62),0,1),IFERROR(_xlfn.XLOOKUP(_xlpm.ai_test,$BJ$15:$BJ$62,ROW($BJ$15:$BJ$62),0,1),_xlfn.XLOOKUP(_xlpm.ai_test,$BK$15:$BK$62,ROW($BK$15:$BK$62),0,1))),_xlpm.p,_xlpm.r-MIN(ROW($BI$15:$BI$62))+1,_xlpm.f,INDEX($BL$15:$BL$62,_xlpm.p),_xlpm.u,INDEX($BM$15:$BM$62,_xlpm.p),_xlpm.s,INDEX($BO$15:$BO$62,_xlpm.p),_xlpm.q,N(AT530)/_xlpm.f,IF(_xlpm.q&gt;=_xlpm.s,ROUND(_xlpm.q,1)&amp;" "&amp;_xlpm.ai_test&amp;" = "&amp;ROUND(_xlpm.q*_xlpm.f,1)&amp;" "&amp;_xlpm.u,ROUND(_xlpm.q,1)&amp;" "&amp;_xlpm.ai_test)),""),""))))</f>
        <v>0</v>
      </c>
      <c r="AW530" s="1047"/>
      <c r="AX530" s="1034">
        <f t="shared" si="201"/>
        <v>0</v>
      </c>
      <c r="AY530" s="1035" t="str">
        <f t="shared" si="202"/>
        <v/>
      </c>
      <c r="AZ530" s="1036">
        <f t="shared" si="207"/>
        <v>0</v>
      </c>
      <c r="BA530" s="1037" t="str">
        <f t="shared" si="203"/>
        <v/>
      </c>
      <c r="BB530" s="1038"/>
      <c r="BC530" s="1039">
        <f t="shared" si="208"/>
        <v>0</v>
      </c>
      <c r="BD530" s="1040" t="str">
        <f t="shared" si="204"/>
        <v/>
      </c>
      <c r="BE530" s="227" t="s">
        <v>22</v>
      </c>
      <c r="BF530" s="1019">
        <f t="shared" si="205"/>
        <v>0</v>
      </c>
      <c r="BG530" s="1020">
        <f t="shared" si="206"/>
        <v>0</v>
      </c>
      <c r="BH530"/>
      <c r="BI530" s="709"/>
      <c r="BJ530" s="709"/>
      <c r="BK530" s="709"/>
      <c r="BL530" s="709"/>
      <c r="BM530" s="709"/>
      <c r="BN530" s="709"/>
      <c r="BO530" s="709"/>
      <c r="BP530" s="709"/>
      <c r="BW530" s="959" t="str">
        <f t="shared" si="210"/>
        <v>►</v>
      </c>
      <c r="BX530" s="856"/>
      <c r="BY530" s="856"/>
      <c r="BZ530" s="856"/>
      <c r="CA530" s="856"/>
      <c r="CB530" s="856"/>
      <c r="DB530" s="3">
        <v>1</v>
      </c>
    </row>
    <row r="531" spans="12:106" ht="21" customHeight="1">
      <c r="L531" s="104" t="s">
        <v>16</v>
      </c>
      <c r="M531" s="1172"/>
      <c r="N531" s="1172"/>
      <c r="O531" s="1172"/>
      <c r="P531" s="1173"/>
      <c r="Q531" s="1174"/>
      <c r="R531" s="1175"/>
      <c r="S531" s="1176"/>
      <c r="T531" s="1177"/>
      <c r="U531" s="5248"/>
      <c r="V531" s="1177"/>
      <c r="W531" s="5249"/>
      <c r="X531" s="5208"/>
      <c r="Y531" s="5209"/>
      <c r="Z531" s="5210"/>
      <c r="AA531" s="5211"/>
      <c r="AB531" s="1178"/>
      <c r="AC531" s="1179"/>
      <c r="AD531" s="227" t="s">
        <v>22</v>
      </c>
      <c r="AE531" s="1027" t="str">
        <f t="shared" si="188"/>
        <v>►</v>
      </c>
      <c r="AF531" s="1028" t="str">
        <f t="shared" si="189"/>
        <v/>
      </c>
      <c r="AG531" s="1029" t="str">
        <f t="shared" si="190"/>
        <v/>
      </c>
      <c r="AH531" s="1028" t="str">
        <f t="shared" si="191"/>
        <v/>
      </c>
      <c r="AI531" s="1029" t="str">
        <f t="shared" si="192"/>
        <v/>
      </c>
      <c r="AJ531" s="1029">
        <f t="shared" si="193"/>
        <v>0</v>
      </c>
      <c r="AK531" s="1043" t="str" cm="1">
        <f t="array" ref="AK531">IF(AE531&lt;&gt;"A","",IFERROR((IFERROR(_xlfn.XLOOKUP(TRIM(SUBSTITUTE(U531,CHAR(160)," ")),$BI$15:$BI$62,$BL$15:$BL$62),IFERROR(_xlfn.XLOOKUP(TRIM(SUBSTITUTE(U531,CHAR(160)," ")),$BJ$15:$BJ$62,$BL$15:$BL$62),_xlfn.XLOOKUP(TRIM(SUBSTITUTE(U531,CHAR(160)," ")),$BK$15:$BK$62,$BL$15:$BL$62))))*T531*IF(ISBLANK(Q531),1,Q531)+IFERROR(_xlfn.XLOOKUP("RECHERCHEX",TRIM(L531:AC531),L531:AC531),0),0))</f>
        <v/>
      </c>
      <c r="AL531" s="1030">
        <f t="shared" si="194"/>
        <v>0</v>
      </c>
      <c r="AM531" s="5254" t="str">
        <f t="shared" si="209"/>
        <v/>
      </c>
      <c r="AN531" s="1031">
        <f t="shared" si="195"/>
        <v>0</v>
      </c>
      <c r="AO531" s="1031">
        <f t="shared" si="196"/>
        <v>0</v>
      </c>
      <c r="AP531" s="1044">
        <f t="shared" si="197"/>
        <v>0</v>
      </c>
      <c r="AQ531" s="5257" t="str">
        <f t="shared" si="198"/>
        <v/>
      </c>
      <c r="AR531" s="1056"/>
      <c r="AS531" s="1056"/>
      <c r="AT531" s="1045">
        <f t="shared" si="199"/>
        <v>0</v>
      </c>
      <c r="AU531" s="1046">
        <f t="shared" si="200"/>
        <v>0</v>
      </c>
      <c r="AV531" s="1059" cm="1">
        <f t="array" ref="AV531">IF(AJ531&lt;&gt;1,0,IF(OR(AT531="",N(AT531)&lt;=0.000000001),"",IF(OR(AN531="",N(AN531)&lt;=0.000000001),0,IF(ISNUMBER(AT531),IFERROR(_xlfn.LET(_xlpm.ai_test,TRIM(AI531),_xlpm.r,IFERROR(_xlfn.XLOOKUP(_xlpm.ai_test,$BI$15:$BI$62,ROW($BI$15:$BI$62),0,1),IFERROR(_xlfn.XLOOKUP(_xlpm.ai_test,$BJ$15:$BJ$62,ROW($BJ$15:$BJ$62),0,1),_xlfn.XLOOKUP(_xlpm.ai_test,$BK$15:$BK$62,ROW($BK$15:$BK$62),0,1))),_xlpm.p,_xlpm.r-MIN(ROW($BI$15:$BI$62))+1,_xlpm.f,INDEX($BL$15:$BL$62,_xlpm.p),_xlpm.u,INDEX($BM$15:$BM$62,_xlpm.p),_xlpm.s,INDEX($BO$15:$BO$62,_xlpm.p),_xlpm.q,N(AT531)/_xlpm.f,IF(_xlpm.q&gt;=_xlpm.s,ROUND(_xlpm.q,1)&amp;" "&amp;_xlpm.ai_test&amp;" = "&amp;ROUND(_xlpm.q*_xlpm.f,1)&amp;" "&amp;_xlpm.u,ROUND(_xlpm.q,1)&amp;" "&amp;_xlpm.ai_test)),""),""))))</f>
        <v>0</v>
      </c>
      <c r="AW531" s="1047"/>
      <c r="AX531" s="1045">
        <f t="shared" si="201"/>
        <v>0</v>
      </c>
      <c r="AY531" s="1046" t="str">
        <f t="shared" si="202"/>
        <v/>
      </c>
      <c r="AZ531" s="1048">
        <f t="shared" si="207"/>
        <v>0</v>
      </c>
      <c r="BA531" s="1049" t="str">
        <f t="shared" si="203"/>
        <v/>
      </c>
      <c r="BB531" s="1038"/>
      <c r="BC531" s="1050">
        <f t="shared" si="208"/>
        <v>0</v>
      </c>
      <c r="BD531" s="1040" t="str">
        <f t="shared" si="204"/>
        <v/>
      </c>
      <c r="BE531" s="227" t="s">
        <v>22</v>
      </c>
      <c r="BF531" s="1019">
        <f t="shared" si="205"/>
        <v>0</v>
      </c>
      <c r="BG531" s="1020">
        <f t="shared" si="206"/>
        <v>0</v>
      </c>
      <c r="BH531"/>
      <c r="BI531" s="709"/>
      <c r="BJ531" s="709"/>
      <c r="BK531" s="709"/>
      <c r="BL531" s="709"/>
      <c r="BM531" s="709"/>
      <c r="BN531" s="709"/>
      <c r="BO531" s="709"/>
      <c r="BP531" s="709"/>
      <c r="BW531" s="959" t="str">
        <f t="shared" si="210"/>
        <v>►</v>
      </c>
      <c r="BX531" s="856"/>
      <c r="BY531" s="856"/>
      <c r="BZ531" s="856"/>
      <c r="CA531" s="856"/>
      <c r="CB531" s="856"/>
      <c r="DB531" s="3">
        <v>1</v>
      </c>
    </row>
    <row r="532" spans="12:106" ht="21" customHeight="1">
      <c r="L532" s="104" t="s">
        <v>16</v>
      </c>
      <c r="M532" s="1172"/>
      <c r="N532" s="1172"/>
      <c r="O532" s="1172"/>
      <c r="P532" s="1173"/>
      <c r="Q532" s="1174"/>
      <c r="R532" s="1175"/>
      <c r="S532" s="1176"/>
      <c r="T532" s="1177"/>
      <c r="U532" s="5248"/>
      <c r="V532" s="1177"/>
      <c r="W532" s="5249"/>
      <c r="X532" s="5208"/>
      <c r="Y532" s="5209"/>
      <c r="Z532" s="5210"/>
      <c r="AA532" s="5211"/>
      <c r="AB532" s="1178"/>
      <c r="AC532" s="1179"/>
      <c r="AD532" s="227" t="s">
        <v>22</v>
      </c>
      <c r="AE532" s="1027" t="str">
        <f t="shared" si="188"/>
        <v>►</v>
      </c>
      <c r="AF532" s="1028" t="str">
        <f t="shared" si="189"/>
        <v/>
      </c>
      <c r="AG532" s="1029" t="str">
        <f t="shared" si="190"/>
        <v/>
      </c>
      <c r="AH532" s="1028" t="str">
        <f t="shared" si="191"/>
        <v/>
      </c>
      <c r="AI532" s="1029" t="str">
        <f t="shared" si="192"/>
        <v/>
      </c>
      <c r="AJ532" s="1029">
        <f t="shared" si="193"/>
        <v>0</v>
      </c>
      <c r="AK532" s="1043" t="str" cm="1">
        <f t="array" ref="AK532">IF(AE532&lt;&gt;"A","",IFERROR((IFERROR(_xlfn.XLOOKUP(TRIM(SUBSTITUTE(U532,CHAR(160)," ")),$BI$15:$BI$62,$BL$15:$BL$62),IFERROR(_xlfn.XLOOKUP(TRIM(SUBSTITUTE(U532,CHAR(160)," ")),$BJ$15:$BJ$62,$BL$15:$BL$62),_xlfn.XLOOKUP(TRIM(SUBSTITUTE(U532,CHAR(160)," ")),$BK$15:$BK$62,$BL$15:$BL$62))))*T532*IF(ISBLANK(Q532),1,Q532)+IFERROR(_xlfn.XLOOKUP("RECHERCHEX",TRIM(L532:AC532),L532:AC532),0),0))</f>
        <v/>
      </c>
      <c r="AL532" s="1030">
        <f t="shared" si="194"/>
        <v>0</v>
      </c>
      <c r="AM532" s="5254" t="str">
        <f t="shared" si="209"/>
        <v/>
      </c>
      <c r="AN532" s="1031">
        <f t="shared" si="195"/>
        <v>0</v>
      </c>
      <c r="AO532" s="1031">
        <f t="shared" si="196"/>
        <v>0</v>
      </c>
      <c r="AP532" s="1032">
        <f t="shared" si="197"/>
        <v>0</v>
      </c>
      <c r="AQ532" s="5255" t="str">
        <f t="shared" si="198"/>
        <v/>
      </c>
      <c r="AR532" s="1056"/>
      <c r="AS532" s="1056"/>
      <c r="AT532" s="1034">
        <f t="shared" si="199"/>
        <v>0</v>
      </c>
      <c r="AU532" s="1035">
        <f t="shared" si="200"/>
        <v>0</v>
      </c>
      <c r="AV532" s="1057" cm="1">
        <f t="array" ref="AV532">IF(AJ532&lt;&gt;1,0,IF(OR(AT532="",N(AT532)&lt;=0.000000001),"",IF(OR(AN532="",N(AN532)&lt;=0.000000001),0,IF(ISNUMBER(AT532),IFERROR(_xlfn.LET(_xlpm.ai_test,TRIM(AI532),_xlpm.r,IFERROR(_xlfn.XLOOKUP(_xlpm.ai_test,$BI$15:$BI$62,ROW($BI$15:$BI$62),0,1),IFERROR(_xlfn.XLOOKUP(_xlpm.ai_test,$BJ$15:$BJ$62,ROW($BJ$15:$BJ$62),0,1),_xlfn.XLOOKUP(_xlpm.ai_test,$BK$15:$BK$62,ROW($BK$15:$BK$62),0,1))),_xlpm.p,_xlpm.r-MIN(ROW($BI$15:$BI$62))+1,_xlpm.f,INDEX($BL$15:$BL$62,_xlpm.p),_xlpm.u,INDEX($BM$15:$BM$62,_xlpm.p),_xlpm.s,INDEX($BO$15:$BO$62,_xlpm.p),_xlpm.q,N(AT532)/_xlpm.f,IF(_xlpm.q&gt;=_xlpm.s,ROUND(_xlpm.q,1)&amp;" "&amp;_xlpm.ai_test&amp;" = "&amp;ROUND(_xlpm.q*_xlpm.f,1)&amp;" "&amp;_xlpm.u,ROUND(_xlpm.q,1)&amp;" "&amp;_xlpm.ai_test)),""),""))))</f>
        <v>0</v>
      </c>
      <c r="AW532" s="1047"/>
      <c r="AX532" s="1034">
        <f t="shared" si="201"/>
        <v>0</v>
      </c>
      <c r="AY532" s="1035" t="str">
        <f t="shared" si="202"/>
        <v/>
      </c>
      <c r="AZ532" s="1036">
        <f t="shared" si="207"/>
        <v>0</v>
      </c>
      <c r="BA532" s="1037" t="str">
        <f t="shared" si="203"/>
        <v/>
      </c>
      <c r="BB532" s="1038"/>
      <c r="BC532" s="1039">
        <f t="shared" si="208"/>
        <v>0</v>
      </c>
      <c r="BD532" s="1040" t="str">
        <f t="shared" si="204"/>
        <v/>
      </c>
      <c r="BE532" s="227" t="s">
        <v>22</v>
      </c>
      <c r="BF532" s="1019">
        <f t="shared" si="205"/>
        <v>0</v>
      </c>
      <c r="BG532" s="1020">
        <f t="shared" si="206"/>
        <v>0</v>
      </c>
      <c r="BH532"/>
      <c r="BI532" s="709"/>
      <c r="BJ532" s="709"/>
      <c r="BK532" s="709"/>
      <c r="BL532" s="709"/>
      <c r="BM532" s="709"/>
      <c r="BN532" s="709"/>
      <c r="BO532" s="709"/>
      <c r="BP532" s="709"/>
      <c r="BW532" s="959" t="str">
        <f t="shared" si="210"/>
        <v>►</v>
      </c>
      <c r="BX532" s="856"/>
      <c r="BY532" s="856"/>
      <c r="BZ532" s="856"/>
      <c r="CA532" s="856"/>
      <c r="CB532" s="856"/>
      <c r="DB532" s="3">
        <v>1</v>
      </c>
    </row>
    <row r="533" spans="12:106" ht="21" customHeight="1">
      <c r="L533" s="104" t="s">
        <v>16</v>
      </c>
      <c r="M533" s="1172"/>
      <c r="N533" s="1172"/>
      <c r="O533" s="1172"/>
      <c r="P533" s="1173"/>
      <c r="Q533" s="1174"/>
      <c r="R533" s="1175"/>
      <c r="S533" s="1176"/>
      <c r="T533" s="1177"/>
      <c r="U533" s="5248"/>
      <c r="V533" s="1177"/>
      <c r="W533" s="5249"/>
      <c r="X533" s="5208"/>
      <c r="Y533" s="5209"/>
      <c r="Z533" s="5210"/>
      <c r="AA533" s="5211"/>
      <c r="AB533" s="1178"/>
      <c r="AC533" s="1179"/>
      <c r="AD533" s="227" t="s">
        <v>22</v>
      </c>
      <c r="AE533" s="1027" t="str">
        <f t="shared" si="188"/>
        <v>►</v>
      </c>
      <c r="AF533" s="1028" t="str">
        <f t="shared" si="189"/>
        <v/>
      </c>
      <c r="AG533" s="1029" t="str">
        <f t="shared" si="190"/>
        <v/>
      </c>
      <c r="AH533" s="1028" t="str">
        <f t="shared" si="191"/>
        <v/>
      </c>
      <c r="AI533" s="1029" t="str">
        <f t="shared" si="192"/>
        <v/>
      </c>
      <c r="AJ533" s="1029">
        <f t="shared" si="193"/>
        <v>0</v>
      </c>
      <c r="AK533" s="1043" t="str" cm="1">
        <f t="array" ref="AK533">IF(AE533&lt;&gt;"A","",IFERROR((IFERROR(_xlfn.XLOOKUP(TRIM(SUBSTITUTE(U533,CHAR(160)," ")),$BI$15:$BI$62,$BL$15:$BL$62),IFERROR(_xlfn.XLOOKUP(TRIM(SUBSTITUTE(U533,CHAR(160)," ")),$BJ$15:$BJ$62,$BL$15:$BL$62),_xlfn.XLOOKUP(TRIM(SUBSTITUTE(U533,CHAR(160)," ")),$BK$15:$BK$62,$BL$15:$BL$62))))*T533*IF(ISBLANK(Q533),1,Q533)+IFERROR(_xlfn.XLOOKUP("RECHERCHEX",TRIM(L533:AC533),L533:AC533),0),0))</f>
        <v/>
      </c>
      <c r="AL533" s="1030">
        <f t="shared" si="194"/>
        <v>0</v>
      </c>
      <c r="AM533" s="5254" t="str">
        <f t="shared" si="209"/>
        <v/>
      </c>
      <c r="AN533" s="1031">
        <f t="shared" si="195"/>
        <v>0</v>
      </c>
      <c r="AO533" s="1031">
        <f t="shared" si="196"/>
        <v>0</v>
      </c>
      <c r="AP533" s="1044">
        <f t="shared" si="197"/>
        <v>0</v>
      </c>
      <c r="AQ533" s="5257" t="str">
        <f t="shared" si="198"/>
        <v/>
      </c>
      <c r="AR533" s="1056"/>
      <c r="AS533" s="1056"/>
      <c r="AT533" s="1045">
        <f t="shared" si="199"/>
        <v>0</v>
      </c>
      <c r="AU533" s="1046">
        <f t="shared" si="200"/>
        <v>0</v>
      </c>
      <c r="AV533" s="1059" cm="1">
        <f t="array" ref="AV533">IF(AJ533&lt;&gt;1,0,IF(OR(AT533="",N(AT533)&lt;=0.000000001),"",IF(OR(AN533="",N(AN533)&lt;=0.000000001),0,IF(ISNUMBER(AT533),IFERROR(_xlfn.LET(_xlpm.ai_test,TRIM(AI533),_xlpm.r,IFERROR(_xlfn.XLOOKUP(_xlpm.ai_test,$BI$15:$BI$62,ROW($BI$15:$BI$62),0,1),IFERROR(_xlfn.XLOOKUP(_xlpm.ai_test,$BJ$15:$BJ$62,ROW($BJ$15:$BJ$62),0,1),_xlfn.XLOOKUP(_xlpm.ai_test,$BK$15:$BK$62,ROW($BK$15:$BK$62),0,1))),_xlpm.p,_xlpm.r-MIN(ROW($BI$15:$BI$62))+1,_xlpm.f,INDEX($BL$15:$BL$62,_xlpm.p),_xlpm.u,INDEX($BM$15:$BM$62,_xlpm.p),_xlpm.s,INDEX($BO$15:$BO$62,_xlpm.p),_xlpm.q,N(AT533)/_xlpm.f,IF(_xlpm.q&gt;=_xlpm.s,ROUND(_xlpm.q,1)&amp;" "&amp;_xlpm.ai_test&amp;" = "&amp;ROUND(_xlpm.q*_xlpm.f,1)&amp;" "&amp;_xlpm.u,ROUND(_xlpm.q,1)&amp;" "&amp;_xlpm.ai_test)),""),""))))</f>
        <v>0</v>
      </c>
      <c r="AW533" s="1047"/>
      <c r="AX533" s="1045">
        <f t="shared" si="201"/>
        <v>0</v>
      </c>
      <c r="AY533" s="1046" t="str">
        <f t="shared" si="202"/>
        <v/>
      </c>
      <c r="AZ533" s="1048">
        <f t="shared" si="207"/>
        <v>0</v>
      </c>
      <c r="BA533" s="1049" t="str">
        <f t="shared" si="203"/>
        <v/>
      </c>
      <c r="BB533" s="1038"/>
      <c r="BC533" s="1050">
        <f t="shared" si="208"/>
        <v>0</v>
      </c>
      <c r="BD533" s="1040" t="str">
        <f t="shared" si="204"/>
        <v/>
      </c>
      <c r="BE533" s="227" t="s">
        <v>22</v>
      </c>
      <c r="BF533" s="1019">
        <f t="shared" si="205"/>
        <v>0</v>
      </c>
      <c r="BG533" s="1020">
        <f t="shared" si="206"/>
        <v>0</v>
      </c>
      <c r="BH533"/>
      <c r="BI533" s="709"/>
      <c r="BJ533" s="709"/>
      <c r="BK533" s="709"/>
      <c r="BL533" s="709"/>
      <c r="BM533" s="709"/>
      <c r="BN533" s="709"/>
      <c r="BO533" s="709"/>
      <c r="BP533" s="709"/>
      <c r="BW533" s="959" t="str">
        <f t="shared" si="210"/>
        <v>►</v>
      </c>
      <c r="BX533" s="856"/>
      <c r="BY533" s="856"/>
      <c r="BZ533" s="856"/>
      <c r="CA533" s="856"/>
      <c r="CB533" s="856"/>
      <c r="DB533" s="3">
        <v>1</v>
      </c>
    </row>
    <row r="534" spans="12:106" ht="21" customHeight="1">
      <c r="L534" s="104" t="s">
        <v>16</v>
      </c>
      <c r="M534" s="1172"/>
      <c r="N534" s="1172"/>
      <c r="O534" s="1172"/>
      <c r="P534" s="1173"/>
      <c r="Q534" s="1174"/>
      <c r="R534" s="1175"/>
      <c r="S534" s="1176"/>
      <c r="T534" s="1177"/>
      <c r="U534" s="5248"/>
      <c r="V534" s="1177"/>
      <c r="W534" s="5249"/>
      <c r="X534" s="5208"/>
      <c r="Y534" s="5209"/>
      <c r="Z534" s="5210"/>
      <c r="AA534" s="5211"/>
      <c r="AB534" s="1178"/>
      <c r="AC534" s="1179"/>
      <c r="AD534" s="227" t="s">
        <v>22</v>
      </c>
      <c r="AE534" s="1027" t="str">
        <f t="shared" ref="AE534:AE549" si="211">IF(OR(AN534&gt;0,TRIM(AF534)="▼ recette suivante"),"A","►")</f>
        <v>►</v>
      </c>
      <c r="AF534" s="1028" t="str">
        <f t="shared" ref="AF534:AF549" si="212">IF(TRIM(Q534)="Adresse PC","▼ recette suivante",IF(AN534&gt;0,M534,""))</f>
        <v/>
      </c>
      <c r="AG534" s="1029" t="str">
        <f t="shared" ref="AG534:AG549" si="213">IF(AE534="A",N534,"")</f>
        <v/>
      </c>
      <c r="AH534" s="1028" t="str">
        <f t="shared" ref="AH534:AH549" si="214">IF(AE534="A",O534,"")</f>
        <v/>
      </c>
      <c r="AI534" s="1029" t="str">
        <f t="shared" ref="AI534:AI549" si="215">IF(AE534="A",U534,"")</f>
        <v/>
      </c>
      <c r="AJ534" s="1029">
        <f t="shared" ref="AJ534:AJ549" si="216">IF(AND(L534="A",COUNTIF($BI$15:$BK$62,TRIM(U534))&gt;0),1,0)</f>
        <v>0</v>
      </c>
      <c r="AK534" s="1043" t="str" cm="1">
        <f t="array" ref="AK534">IF(AE534&lt;&gt;"A","",IFERROR((IFERROR(_xlfn.XLOOKUP(TRIM(SUBSTITUTE(U534,CHAR(160)," ")),$BI$15:$BI$62,$BL$15:$BL$62),IFERROR(_xlfn.XLOOKUP(TRIM(SUBSTITUTE(U534,CHAR(160)," ")),$BJ$15:$BJ$62,$BL$15:$BL$62),_xlfn.XLOOKUP(TRIM(SUBSTITUTE(U534,CHAR(160)," ")),$BK$15:$BK$62,$BL$15:$BL$62))))*T534*IF(ISBLANK(Q534),1,Q534)+IFERROR(_xlfn.XLOOKUP("RECHERCHEX",TRIM(L534:AC534),L534:AC534),0),0))</f>
        <v/>
      </c>
      <c r="AL534" s="1030">
        <f t="shared" ref="AL534:AL549" si="217">IF(AJ534,IF(AK534&gt;0,"Kg",0),0)</f>
        <v>0</v>
      </c>
      <c r="AM534" s="5254" t="str">
        <f t="shared" si="209"/>
        <v/>
      </c>
      <c r="AN534" s="1031">
        <f t="shared" ref="AN534:AN543" si="218">IF(AJ534,N534,0)</f>
        <v>0</v>
      </c>
      <c r="AO534" s="1031">
        <f t="shared" ref="AO534:AO549" si="219">IF(AJ534,O534,0)</f>
        <v>0</v>
      </c>
      <c r="AP534" s="1032">
        <f t="shared" ref="AP534:AP549" si="220">IF(AN534&gt;0,AR$9,0)</f>
        <v>0</v>
      </c>
      <c r="AQ534" s="5255" t="str">
        <f t="shared" ref="AQ534:AQ549" si="221">IF(TRIM(AF534)="▼ recette suivante", AF534, IF(AP534&gt;0, IF(AS$9&lt;&gt;"", AS$9&amp;"-ou.or.o ❾ + or - &gt;", ""), ""))</f>
        <v/>
      </c>
      <c r="AR534" s="1056"/>
      <c r="AS534" s="1056"/>
      <c r="AT534" s="1034">
        <f t="shared" ref="AT534:AT549" si="222">IF(TRIM(AL534)="Kg",N(AK534)*N(BG534),0)</f>
        <v>0</v>
      </c>
      <c r="AU534" s="1035">
        <f t="shared" ref="AU534:AU549" si="223">IF(AJ534,IF(OR(AT534="",N(AT534)&lt;=0.000000001),"",_xlfn.XLOOKUP(AI534,$BI$15:$BI$62,$BM$15:$BM$62,_xlfn.XLOOKUP(AI534,$BJ$15:$BJ$62,$BM$15:$BM$62,_xlfn.XLOOKUP(AI534,$BK$15:$BK$62,$BM$15:$BM$62,"")))),0)</f>
        <v>0</v>
      </c>
      <c r="AV534" s="1057" cm="1">
        <f t="array" ref="AV534">IF(AJ534&lt;&gt;1,0,IF(OR(AT534="",N(AT534)&lt;=0.000000001),"",IF(OR(AN534="",N(AN534)&lt;=0.000000001),0,IF(ISNUMBER(AT534),IFERROR(_xlfn.LET(_xlpm.ai_test,TRIM(AI534),_xlpm.r,IFERROR(_xlfn.XLOOKUP(_xlpm.ai_test,$BI$15:$BI$62,ROW($BI$15:$BI$62),0,1),IFERROR(_xlfn.XLOOKUP(_xlpm.ai_test,$BJ$15:$BJ$62,ROW($BJ$15:$BJ$62),0,1),_xlfn.XLOOKUP(_xlpm.ai_test,$BK$15:$BK$62,ROW($BK$15:$BK$62),0,1))),_xlpm.p,_xlpm.r-MIN(ROW($BI$15:$BI$62))+1,_xlpm.f,INDEX($BL$15:$BL$62,_xlpm.p),_xlpm.u,INDEX($BM$15:$BM$62,_xlpm.p),_xlpm.s,INDEX($BO$15:$BO$62,_xlpm.p),_xlpm.q,N(AT534)/_xlpm.f,IF(_xlpm.q&gt;=_xlpm.s,ROUND(_xlpm.q,1)&amp;" "&amp;_xlpm.ai_test&amp;" = "&amp;ROUND(_xlpm.q*_xlpm.f,1)&amp;" "&amp;_xlpm.u,ROUND(_xlpm.q,1)&amp;" "&amp;_xlpm.ai_test)),""),""))))</f>
        <v>0</v>
      </c>
      <c r="AW534" s="1047"/>
      <c r="AX534" s="1034">
        <f t="shared" ref="AX534:AX549" si="224">IF(TRIM(AF534)="▼ recette suivante","▼next recipe ",IF(AT534="","",IF(ISBLANK(AW534),AT534,ROUND(AT534*(1-MIN(1,MAX(0,IF(AW534&gt;1,AW534/100,AW534)))),3))))</f>
        <v>0</v>
      </c>
      <c r="AY534" s="1035" t="str">
        <f t="shared" ref="AY534:AY549" si="225">IF(AJ534,AU534,"")</f>
        <v/>
      </c>
      <c r="AZ534" s="1036">
        <f t="shared" si="207"/>
        <v>0</v>
      </c>
      <c r="BA534" s="1037" t="str">
        <f t="shared" ref="BA534:BA549" si="226">IF(AJ534,IF(N(AZ534)&gt;0.000000001,R534,""),"")</f>
        <v/>
      </c>
      <c r="BB534" s="1038"/>
      <c r="BC534" s="1039">
        <f t="shared" si="208"/>
        <v>0</v>
      </c>
      <c r="BD534" s="1040" t="str">
        <f t="shared" ref="BD534:BD549" si="227">IF(IFERROR(SEARCH("Adresse PC",TRIM(Q534)),0)&gt;0,"▼ receta siguiente",IF(AX534&gt;0,W534,""))</f>
        <v/>
      </c>
      <c r="BE534" s="227" t="s">
        <v>22</v>
      </c>
      <c r="BF534" s="1019">
        <f t="shared" ref="BF534:BF549" si="228">IFERROR(_xlfn.LET(_xlpm.EPS,0.000000001,_xlpm.b,Q534/AN534,IF(ISNUMBER(AR534),_xlpm.b*AR534,IF(OR(ISBLANK(AR534),AR534=""),_xlpm.b*AP534,IF(AND(BG534=0,ISNUMBER(Q534)),_xlpm.b/AP534,0)))),0)</f>
        <v>0</v>
      </c>
      <c r="BG534" s="1020">
        <f t="shared" ref="BG534:BG549" si="229">IF(AK534&gt;0,IFERROR(IF(OR(ISBLANK(AR534),AR534=""),AP534,AR534)/AN534,0),0)</f>
        <v>0</v>
      </c>
      <c r="BH534"/>
      <c r="BI534" s="709"/>
      <c r="BJ534" s="709"/>
      <c r="BK534" s="709"/>
      <c r="BL534" s="709"/>
      <c r="BM534" s="709"/>
      <c r="BN534" s="709"/>
      <c r="BO534" s="709"/>
      <c r="BP534" s="709"/>
      <c r="BW534" s="959" t="str">
        <f t="shared" si="210"/>
        <v>►</v>
      </c>
      <c r="BX534" s="856"/>
      <c r="BY534" s="856"/>
      <c r="BZ534" s="856"/>
      <c r="CA534" s="856"/>
      <c r="CB534" s="856"/>
      <c r="DB534" s="3">
        <v>1</v>
      </c>
    </row>
    <row r="535" spans="12:106" ht="21" customHeight="1">
      <c r="L535" s="104" t="s">
        <v>16</v>
      </c>
      <c r="M535" s="1172"/>
      <c r="N535" s="1172"/>
      <c r="O535" s="1172"/>
      <c r="P535" s="1173"/>
      <c r="Q535" s="1174"/>
      <c r="R535" s="1175"/>
      <c r="S535" s="1176"/>
      <c r="T535" s="1177"/>
      <c r="U535" s="5248"/>
      <c r="V535" s="1177"/>
      <c r="W535" s="5249"/>
      <c r="X535" s="5208"/>
      <c r="Y535" s="5209"/>
      <c r="Z535" s="5210"/>
      <c r="AA535" s="5211"/>
      <c r="AB535" s="1178"/>
      <c r="AC535" s="1179"/>
      <c r="AD535" s="227" t="s">
        <v>22</v>
      </c>
      <c r="AE535" s="1027" t="str">
        <f t="shared" si="211"/>
        <v>►</v>
      </c>
      <c r="AF535" s="1028" t="str">
        <f t="shared" si="212"/>
        <v/>
      </c>
      <c r="AG535" s="1029" t="str">
        <f t="shared" si="213"/>
        <v/>
      </c>
      <c r="AH535" s="1028" t="str">
        <f t="shared" si="214"/>
        <v/>
      </c>
      <c r="AI535" s="1029" t="str">
        <f t="shared" si="215"/>
        <v/>
      </c>
      <c r="AJ535" s="1029">
        <f t="shared" si="216"/>
        <v>0</v>
      </c>
      <c r="AK535" s="1043" t="str" cm="1">
        <f t="array" ref="AK535">IF(AE535&lt;&gt;"A","",IFERROR((IFERROR(_xlfn.XLOOKUP(TRIM(SUBSTITUTE(U535,CHAR(160)," ")),$BI$15:$BI$62,$BL$15:$BL$62),IFERROR(_xlfn.XLOOKUP(TRIM(SUBSTITUTE(U535,CHAR(160)," ")),$BJ$15:$BJ$62,$BL$15:$BL$62),_xlfn.XLOOKUP(TRIM(SUBSTITUTE(U535,CHAR(160)," ")),$BK$15:$BK$62,$BL$15:$BL$62))))*T535*IF(ISBLANK(Q535),1,Q535)+IFERROR(_xlfn.XLOOKUP("RECHERCHEX",TRIM(L535:AC535),L535:AC535),0),0))</f>
        <v/>
      </c>
      <c r="AL535" s="1030">
        <f t="shared" si="217"/>
        <v>0</v>
      </c>
      <c r="AM535" s="5254" t="str">
        <f t="shared" si="209"/>
        <v/>
      </c>
      <c r="AN535" s="1031">
        <f t="shared" si="218"/>
        <v>0</v>
      </c>
      <c r="AO535" s="1031">
        <f t="shared" si="219"/>
        <v>0</v>
      </c>
      <c r="AP535" s="1044">
        <f t="shared" si="220"/>
        <v>0</v>
      </c>
      <c r="AQ535" s="5257" t="str">
        <f t="shared" si="221"/>
        <v/>
      </c>
      <c r="AR535" s="1056"/>
      <c r="AS535" s="1056"/>
      <c r="AT535" s="1045">
        <f t="shared" si="222"/>
        <v>0</v>
      </c>
      <c r="AU535" s="1046">
        <f t="shared" si="223"/>
        <v>0</v>
      </c>
      <c r="AV535" s="1059" cm="1">
        <f t="array" ref="AV535">IF(AJ535&lt;&gt;1,0,IF(OR(AT535="",N(AT535)&lt;=0.000000001),"",IF(OR(AN535="",N(AN535)&lt;=0.000000001),0,IF(ISNUMBER(AT535),IFERROR(_xlfn.LET(_xlpm.ai_test,TRIM(AI535),_xlpm.r,IFERROR(_xlfn.XLOOKUP(_xlpm.ai_test,$BI$15:$BI$62,ROW($BI$15:$BI$62),0,1),IFERROR(_xlfn.XLOOKUP(_xlpm.ai_test,$BJ$15:$BJ$62,ROW($BJ$15:$BJ$62),0,1),_xlfn.XLOOKUP(_xlpm.ai_test,$BK$15:$BK$62,ROW($BK$15:$BK$62),0,1))),_xlpm.p,_xlpm.r-MIN(ROW($BI$15:$BI$62))+1,_xlpm.f,INDEX($BL$15:$BL$62,_xlpm.p),_xlpm.u,INDEX($BM$15:$BM$62,_xlpm.p),_xlpm.s,INDEX($BO$15:$BO$62,_xlpm.p),_xlpm.q,N(AT535)/_xlpm.f,IF(_xlpm.q&gt;=_xlpm.s,ROUND(_xlpm.q,1)&amp;" "&amp;_xlpm.ai_test&amp;" = "&amp;ROUND(_xlpm.q*_xlpm.f,1)&amp;" "&amp;_xlpm.u,ROUND(_xlpm.q,1)&amp;" "&amp;_xlpm.ai_test)),""),""))))</f>
        <v>0</v>
      </c>
      <c r="AW535" s="1047"/>
      <c r="AX535" s="1045">
        <f t="shared" si="224"/>
        <v>0</v>
      </c>
      <c r="AY535" s="1046" t="str">
        <f t="shared" si="225"/>
        <v/>
      </c>
      <c r="AZ535" s="1048">
        <f t="shared" ref="AZ535:AZ549" si="230">IF(ISNUMBER(BF535),IF(ABS(BF535)&lt;=0.000000001,0,BF535),0)</f>
        <v>0</v>
      </c>
      <c r="BA535" s="1049" t="str">
        <f t="shared" si="226"/>
        <v/>
      </c>
      <c r="BB535" s="1038"/>
      <c r="BC535" s="1050">
        <f t="shared" si="208"/>
        <v>0</v>
      </c>
      <c r="BD535" s="1040" t="str">
        <f t="shared" si="227"/>
        <v/>
      </c>
      <c r="BE535" s="227" t="s">
        <v>22</v>
      </c>
      <c r="BF535" s="1019">
        <f t="shared" si="228"/>
        <v>0</v>
      </c>
      <c r="BG535" s="1020">
        <f t="shared" si="229"/>
        <v>0</v>
      </c>
      <c r="BH535"/>
      <c r="BI535" s="709"/>
      <c r="BJ535" s="709"/>
      <c r="BK535" s="709"/>
      <c r="BL535" s="709"/>
      <c r="BM535" s="709"/>
      <c r="BN535" s="709"/>
      <c r="BO535" s="709"/>
      <c r="BP535" s="709"/>
      <c r="BW535" s="959" t="str">
        <f t="shared" si="210"/>
        <v>►</v>
      </c>
      <c r="BX535" s="856"/>
      <c r="BY535" s="856"/>
      <c r="BZ535" s="856"/>
      <c r="CA535" s="856"/>
      <c r="CB535" s="856"/>
      <c r="DB535" s="3">
        <v>1</v>
      </c>
    </row>
    <row r="536" spans="12:106" ht="21" customHeight="1">
      <c r="L536" s="104" t="s">
        <v>16</v>
      </c>
      <c r="M536" s="1172"/>
      <c r="N536" s="1172"/>
      <c r="O536" s="1172"/>
      <c r="P536" s="1173"/>
      <c r="Q536" s="1174"/>
      <c r="R536" s="1175"/>
      <c r="S536" s="1176"/>
      <c r="T536" s="1177"/>
      <c r="U536" s="5248"/>
      <c r="V536" s="1177"/>
      <c r="W536" s="5249"/>
      <c r="X536" s="5208"/>
      <c r="Y536" s="5209"/>
      <c r="Z536" s="5210"/>
      <c r="AA536" s="5211"/>
      <c r="AB536" s="1178"/>
      <c r="AC536" s="1179"/>
      <c r="AD536" s="227" t="s">
        <v>22</v>
      </c>
      <c r="AE536" s="1027" t="str">
        <f t="shared" si="211"/>
        <v>►</v>
      </c>
      <c r="AF536" s="1028" t="str">
        <f t="shared" si="212"/>
        <v/>
      </c>
      <c r="AG536" s="1029" t="str">
        <f t="shared" si="213"/>
        <v/>
      </c>
      <c r="AH536" s="1028" t="str">
        <f t="shared" si="214"/>
        <v/>
      </c>
      <c r="AI536" s="1029" t="str">
        <f t="shared" si="215"/>
        <v/>
      </c>
      <c r="AJ536" s="1029">
        <f t="shared" si="216"/>
        <v>0</v>
      </c>
      <c r="AK536" s="1043" t="str" cm="1">
        <f t="array" ref="AK536">IF(AE536&lt;&gt;"A","",IFERROR((IFERROR(_xlfn.XLOOKUP(TRIM(SUBSTITUTE(U536,CHAR(160)," ")),$BI$15:$BI$62,$BL$15:$BL$62),IFERROR(_xlfn.XLOOKUP(TRIM(SUBSTITUTE(U536,CHAR(160)," ")),$BJ$15:$BJ$62,$BL$15:$BL$62),_xlfn.XLOOKUP(TRIM(SUBSTITUTE(U536,CHAR(160)," ")),$BK$15:$BK$62,$BL$15:$BL$62))))*T536*IF(ISBLANK(Q536),1,Q536)+IFERROR(_xlfn.XLOOKUP("RECHERCHEX",TRIM(L536:AC536),L536:AC536),0),0))</f>
        <v/>
      </c>
      <c r="AL536" s="1030">
        <f t="shared" si="217"/>
        <v>0</v>
      </c>
      <c r="AM536" s="5254" t="str">
        <f t="shared" si="209"/>
        <v/>
      </c>
      <c r="AN536" s="1031">
        <f t="shared" si="218"/>
        <v>0</v>
      </c>
      <c r="AO536" s="1031">
        <f t="shared" si="219"/>
        <v>0</v>
      </c>
      <c r="AP536" s="1032">
        <f t="shared" si="220"/>
        <v>0</v>
      </c>
      <c r="AQ536" s="5255" t="str">
        <f t="shared" si="221"/>
        <v/>
      </c>
      <c r="AR536" s="1056"/>
      <c r="AS536" s="1056"/>
      <c r="AT536" s="1034">
        <f t="shared" si="222"/>
        <v>0</v>
      </c>
      <c r="AU536" s="1035">
        <f t="shared" si="223"/>
        <v>0</v>
      </c>
      <c r="AV536" s="1057" cm="1">
        <f t="array" ref="AV536">IF(AJ536&lt;&gt;1,0,IF(OR(AT536="",N(AT536)&lt;=0.000000001),"",IF(OR(AN536="",N(AN536)&lt;=0.000000001),0,IF(ISNUMBER(AT536),IFERROR(_xlfn.LET(_xlpm.ai_test,TRIM(AI536),_xlpm.r,IFERROR(_xlfn.XLOOKUP(_xlpm.ai_test,$BI$15:$BI$62,ROW($BI$15:$BI$62),0,1),IFERROR(_xlfn.XLOOKUP(_xlpm.ai_test,$BJ$15:$BJ$62,ROW($BJ$15:$BJ$62),0,1),_xlfn.XLOOKUP(_xlpm.ai_test,$BK$15:$BK$62,ROW($BK$15:$BK$62),0,1))),_xlpm.p,_xlpm.r-MIN(ROW($BI$15:$BI$62))+1,_xlpm.f,INDEX($BL$15:$BL$62,_xlpm.p),_xlpm.u,INDEX($BM$15:$BM$62,_xlpm.p),_xlpm.s,INDEX($BO$15:$BO$62,_xlpm.p),_xlpm.q,N(AT536)/_xlpm.f,IF(_xlpm.q&gt;=_xlpm.s,ROUND(_xlpm.q,1)&amp;" "&amp;_xlpm.ai_test&amp;" = "&amp;ROUND(_xlpm.q*_xlpm.f,1)&amp;" "&amp;_xlpm.u,ROUND(_xlpm.q,1)&amp;" "&amp;_xlpm.ai_test)),""),""))))</f>
        <v>0</v>
      </c>
      <c r="AW536" s="1047"/>
      <c r="AX536" s="1034">
        <f t="shared" si="224"/>
        <v>0</v>
      </c>
      <c r="AY536" s="1035" t="str">
        <f t="shared" si="225"/>
        <v/>
      </c>
      <c r="AZ536" s="1036">
        <f t="shared" si="230"/>
        <v>0</v>
      </c>
      <c r="BA536" s="1037" t="str">
        <f t="shared" si="226"/>
        <v/>
      </c>
      <c r="BB536" s="1038"/>
      <c r="BC536" s="1039">
        <f t="shared" si="208"/>
        <v>0</v>
      </c>
      <c r="BD536" s="1040" t="str">
        <f t="shared" si="227"/>
        <v/>
      </c>
      <c r="BE536" s="227" t="s">
        <v>22</v>
      </c>
      <c r="BF536" s="1019">
        <f t="shared" si="228"/>
        <v>0</v>
      </c>
      <c r="BG536" s="1020">
        <f t="shared" si="229"/>
        <v>0</v>
      </c>
      <c r="BH536"/>
      <c r="BI536" s="709"/>
      <c r="BJ536" s="709"/>
      <c r="BK536" s="709"/>
      <c r="BL536" s="709"/>
      <c r="BM536" s="709"/>
      <c r="BN536" s="709"/>
      <c r="BO536" s="709"/>
      <c r="BP536" s="709"/>
      <c r="BW536" s="959" t="str">
        <f t="shared" si="210"/>
        <v>►</v>
      </c>
      <c r="BX536" s="856"/>
      <c r="BY536" s="856"/>
      <c r="BZ536" s="856"/>
      <c r="CA536" s="856"/>
      <c r="CB536" s="856"/>
      <c r="DB536" s="3">
        <v>1</v>
      </c>
    </row>
    <row r="537" spans="12:106" ht="21" customHeight="1">
      <c r="L537" s="104" t="s">
        <v>16</v>
      </c>
      <c r="M537" s="1172"/>
      <c r="N537" s="1172"/>
      <c r="O537" s="1172"/>
      <c r="P537" s="1173"/>
      <c r="Q537" s="1174"/>
      <c r="R537" s="1175"/>
      <c r="S537" s="1176"/>
      <c r="T537" s="1177"/>
      <c r="U537" s="5248"/>
      <c r="V537" s="1177"/>
      <c r="W537" s="5249"/>
      <c r="X537" s="5208"/>
      <c r="Y537" s="5209"/>
      <c r="Z537" s="5210"/>
      <c r="AA537" s="5211"/>
      <c r="AB537" s="1178"/>
      <c r="AC537" s="1179"/>
      <c r="AD537" s="227" t="s">
        <v>22</v>
      </c>
      <c r="AE537" s="1027" t="str">
        <f t="shared" si="211"/>
        <v>►</v>
      </c>
      <c r="AF537" s="1028" t="str">
        <f t="shared" si="212"/>
        <v/>
      </c>
      <c r="AG537" s="1029" t="str">
        <f t="shared" si="213"/>
        <v/>
      </c>
      <c r="AH537" s="1028" t="str">
        <f t="shared" si="214"/>
        <v/>
      </c>
      <c r="AI537" s="1029" t="str">
        <f t="shared" si="215"/>
        <v/>
      </c>
      <c r="AJ537" s="1029">
        <f t="shared" si="216"/>
        <v>0</v>
      </c>
      <c r="AK537" s="1043" t="str" cm="1">
        <f t="array" ref="AK537">IF(AE537&lt;&gt;"A","",IFERROR((IFERROR(_xlfn.XLOOKUP(TRIM(SUBSTITUTE(U537,CHAR(160)," ")),$BI$15:$BI$62,$BL$15:$BL$62),IFERROR(_xlfn.XLOOKUP(TRIM(SUBSTITUTE(U537,CHAR(160)," ")),$BJ$15:$BJ$62,$BL$15:$BL$62),_xlfn.XLOOKUP(TRIM(SUBSTITUTE(U537,CHAR(160)," ")),$BK$15:$BK$62,$BL$15:$BL$62))))*T537*IF(ISBLANK(Q537),1,Q537)+IFERROR(_xlfn.XLOOKUP("RECHERCHEX",TRIM(L537:AC537),L537:AC537),0),0))</f>
        <v/>
      </c>
      <c r="AL537" s="1030">
        <f t="shared" si="217"/>
        <v>0</v>
      </c>
      <c r="AM537" s="5254" t="str">
        <f t="shared" si="209"/>
        <v/>
      </c>
      <c r="AN537" s="1031">
        <f t="shared" si="218"/>
        <v>0</v>
      </c>
      <c r="AO537" s="1031">
        <f t="shared" si="219"/>
        <v>0</v>
      </c>
      <c r="AP537" s="1044">
        <f t="shared" si="220"/>
        <v>0</v>
      </c>
      <c r="AQ537" s="5257" t="str">
        <f t="shared" si="221"/>
        <v/>
      </c>
      <c r="AR537" s="1056"/>
      <c r="AS537" s="1056"/>
      <c r="AT537" s="1045">
        <f t="shared" si="222"/>
        <v>0</v>
      </c>
      <c r="AU537" s="1046">
        <f t="shared" si="223"/>
        <v>0</v>
      </c>
      <c r="AV537" s="1059" cm="1">
        <f t="array" ref="AV537">IF(AJ537&lt;&gt;1,0,IF(OR(AT537="",N(AT537)&lt;=0.000000001),"",IF(OR(AN537="",N(AN537)&lt;=0.000000001),0,IF(ISNUMBER(AT537),IFERROR(_xlfn.LET(_xlpm.ai_test,TRIM(AI537),_xlpm.r,IFERROR(_xlfn.XLOOKUP(_xlpm.ai_test,$BI$15:$BI$62,ROW($BI$15:$BI$62),0,1),IFERROR(_xlfn.XLOOKUP(_xlpm.ai_test,$BJ$15:$BJ$62,ROW($BJ$15:$BJ$62),0,1),_xlfn.XLOOKUP(_xlpm.ai_test,$BK$15:$BK$62,ROW($BK$15:$BK$62),0,1))),_xlpm.p,_xlpm.r-MIN(ROW($BI$15:$BI$62))+1,_xlpm.f,INDEX($BL$15:$BL$62,_xlpm.p),_xlpm.u,INDEX($BM$15:$BM$62,_xlpm.p),_xlpm.s,INDEX($BO$15:$BO$62,_xlpm.p),_xlpm.q,N(AT537)/_xlpm.f,IF(_xlpm.q&gt;=_xlpm.s,ROUND(_xlpm.q,1)&amp;" "&amp;_xlpm.ai_test&amp;" = "&amp;ROUND(_xlpm.q*_xlpm.f,1)&amp;" "&amp;_xlpm.u,ROUND(_xlpm.q,1)&amp;" "&amp;_xlpm.ai_test)),""),""))))</f>
        <v>0</v>
      </c>
      <c r="AW537" s="1047"/>
      <c r="AX537" s="1045">
        <f t="shared" si="224"/>
        <v>0</v>
      </c>
      <c r="AY537" s="1046" t="str">
        <f t="shared" si="225"/>
        <v/>
      </c>
      <c r="AZ537" s="1048">
        <f t="shared" si="230"/>
        <v>0</v>
      </c>
      <c r="BA537" s="1049" t="str">
        <f t="shared" si="226"/>
        <v/>
      </c>
      <c r="BB537" s="1038"/>
      <c r="BC537" s="1050">
        <f t="shared" si="208"/>
        <v>0</v>
      </c>
      <c r="BD537" s="1040" t="str">
        <f t="shared" si="227"/>
        <v/>
      </c>
      <c r="BE537" s="227" t="s">
        <v>22</v>
      </c>
      <c r="BF537" s="1019">
        <f t="shared" si="228"/>
        <v>0</v>
      </c>
      <c r="BG537" s="1020">
        <f t="shared" si="229"/>
        <v>0</v>
      </c>
      <c r="BH537"/>
      <c r="BI537" s="709"/>
      <c r="BJ537" s="709"/>
      <c r="BK537" s="709"/>
      <c r="BL537" s="709"/>
      <c r="BM537" s="709"/>
      <c r="BN537" s="709"/>
      <c r="BO537" s="709"/>
      <c r="BP537" s="709"/>
      <c r="BW537" s="959" t="str">
        <f t="shared" si="210"/>
        <v>►</v>
      </c>
      <c r="BX537" s="856"/>
      <c r="BY537" s="856"/>
      <c r="BZ537" s="856"/>
      <c r="CA537" s="856"/>
      <c r="CB537" s="856"/>
      <c r="DB537" s="3">
        <v>1</v>
      </c>
    </row>
    <row r="538" spans="12:106" ht="21" customHeight="1">
      <c r="L538" s="104" t="s">
        <v>16</v>
      </c>
      <c r="M538" s="1172"/>
      <c r="N538" s="1172"/>
      <c r="O538" s="1172"/>
      <c r="P538" s="1173"/>
      <c r="Q538" s="1174"/>
      <c r="R538" s="1175"/>
      <c r="S538" s="1176"/>
      <c r="T538" s="1177"/>
      <c r="U538" s="5248"/>
      <c r="V538" s="1177"/>
      <c r="W538" s="5249"/>
      <c r="X538" s="5208"/>
      <c r="Y538" s="5209"/>
      <c r="Z538" s="5210"/>
      <c r="AA538" s="5211"/>
      <c r="AB538" s="1178"/>
      <c r="AC538" s="1179"/>
      <c r="AD538" s="227" t="s">
        <v>22</v>
      </c>
      <c r="AE538" s="1027" t="str">
        <f t="shared" si="211"/>
        <v>►</v>
      </c>
      <c r="AF538" s="1028" t="str">
        <f t="shared" si="212"/>
        <v/>
      </c>
      <c r="AG538" s="1029" t="str">
        <f t="shared" si="213"/>
        <v/>
      </c>
      <c r="AH538" s="1028" t="str">
        <f t="shared" si="214"/>
        <v/>
      </c>
      <c r="AI538" s="1029" t="str">
        <f t="shared" si="215"/>
        <v/>
      </c>
      <c r="AJ538" s="1029">
        <f t="shared" si="216"/>
        <v>0</v>
      </c>
      <c r="AK538" s="1043" t="str" cm="1">
        <f t="array" ref="AK538">IF(AE538&lt;&gt;"A","",IFERROR((IFERROR(_xlfn.XLOOKUP(TRIM(SUBSTITUTE(U538,CHAR(160)," ")),$BI$15:$BI$62,$BL$15:$BL$62),IFERROR(_xlfn.XLOOKUP(TRIM(SUBSTITUTE(U538,CHAR(160)," ")),$BJ$15:$BJ$62,$BL$15:$BL$62),_xlfn.XLOOKUP(TRIM(SUBSTITUTE(U538,CHAR(160)," ")),$BK$15:$BK$62,$BL$15:$BL$62))))*T538*IF(ISBLANK(Q538),1,Q538)+IFERROR(_xlfn.XLOOKUP("RECHERCHEX",TRIM(L538:AC538),L538:AC538),0),0))</f>
        <v/>
      </c>
      <c r="AL538" s="1030">
        <f t="shared" si="217"/>
        <v>0</v>
      </c>
      <c r="AM538" s="5254" t="str">
        <f t="shared" si="209"/>
        <v/>
      </c>
      <c r="AN538" s="1031">
        <f t="shared" si="218"/>
        <v>0</v>
      </c>
      <c r="AO538" s="1031">
        <f t="shared" si="219"/>
        <v>0</v>
      </c>
      <c r="AP538" s="1032">
        <f t="shared" si="220"/>
        <v>0</v>
      </c>
      <c r="AQ538" s="5255" t="str">
        <f t="shared" si="221"/>
        <v/>
      </c>
      <c r="AR538" s="1056"/>
      <c r="AS538" s="1056"/>
      <c r="AT538" s="1034">
        <f t="shared" si="222"/>
        <v>0</v>
      </c>
      <c r="AU538" s="1035">
        <f t="shared" si="223"/>
        <v>0</v>
      </c>
      <c r="AV538" s="1057" cm="1">
        <f t="array" ref="AV538">IF(AJ538&lt;&gt;1,0,IF(OR(AT538="",N(AT538)&lt;=0.000000001),"",IF(OR(AN538="",N(AN538)&lt;=0.000000001),0,IF(ISNUMBER(AT538),IFERROR(_xlfn.LET(_xlpm.ai_test,TRIM(AI538),_xlpm.r,IFERROR(_xlfn.XLOOKUP(_xlpm.ai_test,$BI$15:$BI$62,ROW($BI$15:$BI$62),0,1),IFERROR(_xlfn.XLOOKUP(_xlpm.ai_test,$BJ$15:$BJ$62,ROW($BJ$15:$BJ$62),0,1),_xlfn.XLOOKUP(_xlpm.ai_test,$BK$15:$BK$62,ROW($BK$15:$BK$62),0,1))),_xlpm.p,_xlpm.r-MIN(ROW($BI$15:$BI$62))+1,_xlpm.f,INDEX($BL$15:$BL$62,_xlpm.p),_xlpm.u,INDEX($BM$15:$BM$62,_xlpm.p),_xlpm.s,INDEX($BO$15:$BO$62,_xlpm.p),_xlpm.q,N(AT538)/_xlpm.f,IF(_xlpm.q&gt;=_xlpm.s,ROUND(_xlpm.q,1)&amp;" "&amp;_xlpm.ai_test&amp;" = "&amp;ROUND(_xlpm.q*_xlpm.f,1)&amp;" "&amp;_xlpm.u,ROUND(_xlpm.q,1)&amp;" "&amp;_xlpm.ai_test)),""),""))))</f>
        <v>0</v>
      </c>
      <c r="AW538" s="1047"/>
      <c r="AX538" s="1034">
        <f t="shared" si="224"/>
        <v>0</v>
      </c>
      <c r="AY538" s="1035" t="str">
        <f t="shared" si="225"/>
        <v/>
      </c>
      <c r="AZ538" s="1036">
        <f t="shared" si="230"/>
        <v>0</v>
      </c>
      <c r="BA538" s="1037" t="str">
        <f t="shared" si="226"/>
        <v/>
      </c>
      <c r="BB538" s="1038"/>
      <c r="BC538" s="1039">
        <f t="shared" si="208"/>
        <v>0</v>
      </c>
      <c r="BD538" s="1040" t="str">
        <f t="shared" si="227"/>
        <v/>
      </c>
      <c r="BE538" s="227" t="s">
        <v>22</v>
      </c>
      <c r="BF538" s="1019">
        <f t="shared" si="228"/>
        <v>0</v>
      </c>
      <c r="BG538" s="1020">
        <f t="shared" si="229"/>
        <v>0</v>
      </c>
      <c r="BH538"/>
      <c r="BI538" s="709"/>
      <c r="BJ538" s="709"/>
      <c r="BK538" s="709"/>
      <c r="BL538" s="709"/>
      <c r="BM538" s="709"/>
      <c r="BN538" s="709"/>
      <c r="BO538" s="709"/>
      <c r="BP538" s="709"/>
      <c r="BW538" s="959" t="str">
        <f t="shared" si="210"/>
        <v>►</v>
      </c>
      <c r="BX538" s="856"/>
      <c r="BY538" s="856"/>
      <c r="BZ538" s="856"/>
      <c r="CA538" s="856"/>
      <c r="CB538" s="856"/>
      <c r="DB538" s="3">
        <v>1</v>
      </c>
    </row>
    <row r="539" spans="12:106" ht="21" customHeight="1">
      <c r="L539" s="104" t="s">
        <v>16</v>
      </c>
      <c r="M539" s="1172"/>
      <c r="N539" s="1172"/>
      <c r="O539" s="1172"/>
      <c r="P539" s="1173"/>
      <c r="Q539" s="1174"/>
      <c r="R539" s="1175"/>
      <c r="S539" s="1176"/>
      <c r="T539" s="1177"/>
      <c r="U539" s="5248"/>
      <c r="V539" s="1177"/>
      <c r="W539" s="5249"/>
      <c r="X539" s="5208"/>
      <c r="Y539" s="5209"/>
      <c r="Z539" s="5210"/>
      <c r="AA539" s="5211"/>
      <c r="AB539" s="1178"/>
      <c r="AC539" s="1179"/>
      <c r="AD539" s="227" t="s">
        <v>22</v>
      </c>
      <c r="AE539" s="1027" t="str">
        <f t="shared" si="211"/>
        <v>►</v>
      </c>
      <c r="AF539" s="1028" t="str">
        <f t="shared" si="212"/>
        <v/>
      </c>
      <c r="AG539" s="1029" t="str">
        <f t="shared" si="213"/>
        <v/>
      </c>
      <c r="AH539" s="1028" t="str">
        <f t="shared" si="214"/>
        <v/>
      </c>
      <c r="AI539" s="1029" t="str">
        <f t="shared" si="215"/>
        <v/>
      </c>
      <c r="AJ539" s="1029">
        <f t="shared" si="216"/>
        <v>0</v>
      </c>
      <c r="AK539" s="1043" t="str" cm="1">
        <f t="array" ref="AK539">IF(AE539&lt;&gt;"A","",IFERROR((IFERROR(_xlfn.XLOOKUP(TRIM(SUBSTITUTE(U539,CHAR(160)," ")),$BI$15:$BI$62,$BL$15:$BL$62),IFERROR(_xlfn.XLOOKUP(TRIM(SUBSTITUTE(U539,CHAR(160)," ")),$BJ$15:$BJ$62,$BL$15:$BL$62),_xlfn.XLOOKUP(TRIM(SUBSTITUTE(U539,CHAR(160)," ")),$BK$15:$BK$62,$BL$15:$BL$62))))*T539*IF(ISBLANK(Q539),1,Q539)+IFERROR(_xlfn.XLOOKUP("RECHERCHEX",TRIM(L539:AC539),L539:AC539),0),0))</f>
        <v/>
      </c>
      <c r="AL539" s="1030">
        <f t="shared" si="217"/>
        <v>0</v>
      </c>
      <c r="AM539" s="5254" t="str">
        <f t="shared" si="209"/>
        <v/>
      </c>
      <c r="AN539" s="1031">
        <f t="shared" si="218"/>
        <v>0</v>
      </c>
      <c r="AO539" s="1031">
        <f t="shared" si="219"/>
        <v>0</v>
      </c>
      <c r="AP539" s="1044">
        <f t="shared" si="220"/>
        <v>0</v>
      </c>
      <c r="AQ539" s="5257" t="str">
        <f t="shared" si="221"/>
        <v/>
      </c>
      <c r="AR539" s="1056"/>
      <c r="AS539" s="1056"/>
      <c r="AT539" s="1045">
        <f t="shared" si="222"/>
        <v>0</v>
      </c>
      <c r="AU539" s="1046">
        <f t="shared" si="223"/>
        <v>0</v>
      </c>
      <c r="AV539" s="1059" cm="1">
        <f t="array" ref="AV539">IF(AJ539&lt;&gt;1,0,IF(OR(AT539="",N(AT539)&lt;=0.000000001),"",IF(OR(AN539="",N(AN539)&lt;=0.000000001),0,IF(ISNUMBER(AT539),IFERROR(_xlfn.LET(_xlpm.ai_test,TRIM(AI539),_xlpm.r,IFERROR(_xlfn.XLOOKUP(_xlpm.ai_test,$BI$15:$BI$62,ROW($BI$15:$BI$62),0,1),IFERROR(_xlfn.XLOOKUP(_xlpm.ai_test,$BJ$15:$BJ$62,ROW($BJ$15:$BJ$62),0,1),_xlfn.XLOOKUP(_xlpm.ai_test,$BK$15:$BK$62,ROW($BK$15:$BK$62),0,1))),_xlpm.p,_xlpm.r-MIN(ROW($BI$15:$BI$62))+1,_xlpm.f,INDEX($BL$15:$BL$62,_xlpm.p),_xlpm.u,INDEX($BM$15:$BM$62,_xlpm.p),_xlpm.s,INDEX($BO$15:$BO$62,_xlpm.p),_xlpm.q,N(AT539)/_xlpm.f,IF(_xlpm.q&gt;=_xlpm.s,ROUND(_xlpm.q,1)&amp;" "&amp;_xlpm.ai_test&amp;" = "&amp;ROUND(_xlpm.q*_xlpm.f,1)&amp;" "&amp;_xlpm.u,ROUND(_xlpm.q,1)&amp;" "&amp;_xlpm.ai_test)),""),""))))</f>
        <v>0</v>
      </c>
      <c r="AW539" s="1047"/>
      <c r="AX539" s="1045">
        <f t="shared" si="224"/>
        <v>0</v>
      </c>
      <c r="AY539" s="1046" t="str">
        <f t="shared" si="225"/>
        <v/>
      </c>
      <c r="AZ539" s="1048">
        <f t="shared" si="230"/>
        <v>0</v>
      </c>
      <c r="BA539" s="1049" t="str">
        <f t="shared" si="226"/>
        <v/>
      </c>
      <c r="BB539" s="1038"/>
      <c r="BC539" s="1050">
        <f t="shared" ref="BC539:BC549" si="231">IF(OR(AN539=0,ISBLANK(BB539),ISTEXT(AZ539)),0,(IF(AT539=0,AZ539,AT539)*BB539))</f>
        <v>0</v>
      </c>
      <c r="BD539" s="1040" t="str">
        <f t="shared" si="227"/>
        <v/>
      </c>
      <c r="BE539" s="227" t="s">
        <v>22</v>
      </c>
      <c r="BF539" s="1019">
        <f t="shared" si="228"/>
        <v>0</v>
      </c>
      <c r="BG539" s="1020">
        <f t="shared" si="229"/>
        <v>0</v>
      </c>
      <c r="BH539"/>
      <c r="BI539" s="709"/>
      <c r="BJ539" s="709"/>
      <c r="BK539" s="709"/>
      <c r="BL539" s="709"/>
      <c r="BM539" s="709"/>
      <c r="BN539" s="709"/>
      <c r="BO539" s="709"/>
      <c r="BP539" s="709"/>
      <c r="BW539" s="959" t="str">
        <f t="shared" si="210"/>
        <v>►</v>
      </c>
      <c r="BX539" s="856"/>
      <c r="BY539" s="856"/>
      <c r="BZ539" s="856"/>
      <c r="CA539" s="856"/>
      <c r="CB539" s="856"/>
      <c r="DB539" s="3">
        <v>1</v>
      </c>
    </row>
    <row r="540" spans="12:106" ht="21" customHeight="1">
      <c r="L540" s="104" t="s">
        <v>16</v>
      </c>
      <c r="M540" s="1172"/>
      <c r="N540" s="1172"/>
      <c r="O540" s="1172"/>
      <c r="P540" s="1173"/>
      <c r="Q540" s="1174"/>
      <c r="R540" s="1175"/>
      <c r="S540" s="1176"/>
      <c r="T540" s="1177"/>
      <c r="U540" s="5248"/>
      <c r="V540" s="1177"/>
      <c r="W540" s="5249"/>
      <c r="X540" s="5208"/>
      <c r="Y540" s="5209"/>
      <c r="Z540" s="5210"/>
      <c r="AA540" s="5211"/>
      <c r="AB540" s="1178"/>
      <c r="AC540" s="1179"/>
      <c r="AD540" s="227" t="s">
        <v>22</v>
      </c>
      <c r="AE540" s="1027" t="str">
        <f t="shared" si="211"/>
        <v>►</v>
      </c>
      <c r="AF540" s="1028" t="str">
        <f t="shared" si="212"/>
        <v/>
      </c>
      <c r="AG540" s="1029" t="str">
        <f t="shared" si="213"/>
        <v/>
      </c>
      <c r="AH540" s="1028" t="str">
        <f t="shared" si="214"/>
        <v/>
      </c>
      <c r="AI540" s="1029" t="str">
        <f t="shared" si="215"/>
        <v/>
      </c>
      <c r="AJ540" s="1029">
        <f t="shared" si="216"/>
        <v>0</v>
      </c>
      <c r="AK540" s="1043" t="str" cm="1">
        <f t="array" ref="AK540">IF(AE540&lt;&gt;"A","",IFERROR((IFERROR(_xlfn.XLOOKUP(TRIM(SUBSTITUTE(U540,CHAR(160)," ")),$BI$15:$BI$62,$BL$15:$BL$62),IFERROR(_xlfn.XLOOKUP(TRIM(SUBSTITUTE(U540,CHAR(160)," ")),$BJ$15:$BJ$62,$BL$15:$BL$62),_xlfn.XLOOKUP(TRIM(SUBSTITUTE(U540,CHAR(160)," ")),$BK$15:$BK$62,$BL$15:$BL$62))))*T540*IF(ISBLANK(Q540),1,Q540)+IFERROR(_xlfn.XLOOKUP("RECHERCHEX",TRIM(L540:AC540),L540:AC540),0),0))</f>
        <v/>
      </c>
      <c r="AL540" s="1030">
        <f t="shared" si="217"/>
        <v>0</v>
      </c>
      <c r="AM540" s="5254" t="str">
        <f t="shared" si="209"/>
        <v/>
      </c>
      <c r="AN540" s="1031">
        <f t="shared" si="218"/>
        <v>0</v>
      </c>
      <c r="AO540" s="1031">
        <f t="shared" si="219"/>
        <v>0</v>
      </c>
      <c r="AP540" s="1032">
        <f t="shared" si="220"/>
        <v>0</v>
      </c>
      <c r="AQ540" s="5255" t="str">
        <f t="shared" si="221"/>
        <v/>
      </c>
      <c r="AR540" s="1056"/>
      <c r="AS540" s="1056"/>
      <c r="AT540" s="1034">
        <f t="shared" si="222"/>
        <v>0</v>
      </c>
      <c r="AU540" s="1035">
        <f t="shared" si="223"/>
        <v>0</v>
      </c>
      <c r="AV540" s="1057" cm="1">
        <f t="array" ref="AV540">IF(AJ540&lt;&gt;1,0,IF(OR(AT540="",N(AT540)&lt;=0.000000001),"",IF(OR(AN540="",N(AN540)&lt;=0.000000001),0,IF(ISNUMBER(AT540),IFERROR(_xlfn.LET(_xlpm.ai_test,TRIM(AI540),_xlpm.r,IFERROR(_xlfn.XLOOKUP(_xlpm.ai_test,$BI$15:$BI$62,ROW($BI$15:$BI$62),0,1),IFERROR(_xlfn.XLOOKUP(_xlpm.ai_test,$BJ$15:$BJ$62,ROW($BJ$15:$BJ$62),0,1),_xlfn.XLOOKUP(_xlpm.ai_test,$BK$15:$BK$62,ROW($BK$15:$BK$62),0,1))),_xlpm.p,_xlpm.r-MIN(ROW($BI$15:$BI$62))+1,_xlpm.f,INDEX($BL$15:$BL$62,_xlpm.p),_xlpm.u,INDEX($BM$15:$BM$62,_xlpm.p),_xlpm.s,INDEX($BO$15:$BO$62,_xlpm.p),_xlpm.q,N(AT540)/_xlpm.f,IF(_xlpm.q&gt;=_xlpm.s,ROUND(_xlpm.q,1)&amp;" "&amp;_xlpm.ai_test&amp;" = "&amp;ROUND(_xlpm.q*_xlpm.f,1)&amp;" "&amp;_xlpm.u,ROUND(_xlpm.q,1)&amp;" "&amp;_xlpm.ai_test)),""),""))))</f>
        <v>0</v>
      </c>
      <c r="AW540" s="1047"/>
      <c r="AX540" s="1034">
        <f t="shared" si="224"/>
        <v>0</v>
      </c>
      <c r="AY540" s="1035" t="str">
        <f t="shared" si="225"/>
        <v/>
      </c>
      <c r="AZ540" s="1036">
        <f t="shared" si="230"/>
        <v>0</v>
      </c>
      <c r="BA540" s="1037" t="str">
        <f t="shared" si="226"/>
        <v/>
      </c>
      <c r="BB540" s="1038"/>
      <c r="BC540" s="1039">
        <f t="shared" si="231"/>
        <v>0</v>
      </c>
      <c r="BD540" s="1040" t="str">
        <f t="shared" si="227"/>
        <v/>
      </c>
      <c r="BE540" s="227" t="s">
        <v>22</v>
      </c>
      <c r="BF540" s="1019">
        <f t="shared" si="228"/>
        <v>0</v>
      </c>
      <c r="BG540" s="1020">
        <f t="shared" si="229"/>
        <v>0</v>
      </c>
      <c r="BH540"/>
      <c r="BI540" s="709"/>
      <c r="BJ540" s="709"/>
      <c r="BK540" s="709"/>
      <c r="BL540" s="709"/>
      <c r="BM540" s="709"/>
      <c r="BN540" s="709"/>
      <c r="BO540" s="709"/>
      <c r="BP540" s="709"/>
      <c r="BW540" s="959" t="str">
        <f t="shared" si="210"/>
        <v>►</v>
      </c>
      <c r="BX540" s="856"/>
      <c r="BY540" s="856"/>
      <c r="BZ540" s="856"/>
      <c r="CA540" s="856"/>
      <c r="CB540" s="856"/>
      <c r="DB540" s="3">
        <v>1</v>
      </c>
    </row>
    <row r="541" spans="12:106" ht="21" customHeight="1">
      <c r="L541" s="104" t="s">
        <v>16</v>
      </c>
      <c r="M541" s="1172"/>
      <c r="N541" s="1172"/>
      <c r="O541" s="1172"/>
      <c r="P541" s="1173"/>
      <c r="Q541" s="1174"/>
      <c r="R541" s="1175"/>
      <c r="S541" s="1176"/>
      <c r="T541" s="1177"/>
      <c r="U541" s="5248"/>
      <c r="V541" s="1177"/>
      <c r="W541" s="5249"/>
      <c r="X541" s="5208"/>
      <c r="Y541" s="5209"/>
      <c r="Z541" s="5210"/>
      <c r="AA541" s="5211"/>
      <c r="AB541" s="1178"/>
      <c r="AC541" s="1179"/>
      <c r="AD541" s="227" t="s">
        <v>22</v>
      </c>
      <c r="AE541" s="1027" t="str">
        <f t="shared" si="211"/>
        <v>►</v>
      </c>
      <c r="AF541" s="1028" t="str">
        <f t="shared" si="212"/>
        <v/>
      </c>
      <c r="AG541" s="1029" t="str">
        <f t="shared" si="213"/>
        <v/>
      </c>
      <c r="AH541" s="1028" t="str">
        <f t="shared" si="214"/>
        <v/>
      </c>
      <c r="AI541" s="1029" t="str">
        <f t="shared" si="215"/>
        <v/>
      </c>
      <c r="AJ541" s="1029">
        <f t="shared" si="216"/>
        <v>0</v>
      </c>
      <c r="AK541" s="1043" t="str" cm="1">
        <f t="array" ref="AK541">IF(AE541&lt;&gt;"A","",IFERROR((IFERROR(_xlfn.XLOOKUP(TRIM(SUBSTITUTE(U541,CHAR(160)," ")),$BI$15:$BI$62,$BL$15:$BL$62),IFERROR(_xlfn.XLOOKUP(TRIM(SUBSTITUTE(U541,CHAR(160)," ")),$BJ$15:$BJ$62,$BL$15:$BL$62),_xlfn.XLOOKUP(TRIM(SUBSTITUTE(U541,CHAR(160)," ")),$BK$15:$BK$62,$BL$15:$BL$62))))*T541*IF(ISBLANK(Q541),1,Q541)+IFERROR(_xlfn.XLOOKUP("RECHERCHEX",TRIM(L541:AC541),L541:AC541),0),0))</f>
        <v/>
      </c>
      <c r="AL541" s="1030">
        <f t="shared" si="217"/>
        <v>0</v>
      </c>
      <c r="AM541" s="5254" t="str">
        <f t="shared" si="209"/>
        <v/>
      </c>
      <c r="AN541" s="1031">
        <f t="shared" si="218"/>
        <v>0</v>
      </c>
      <c r="AO541" s="1031">
        <f t="shared" si="219"/>
        <v>0</v>
      </c>
      <c r="AP541" s="1044">
        <f t="shared" si="220"/>
        <v>0</v>
      </c>
      <c r="AQ541" s="5257" t="str">
        <f t="shared" si="221"/>
        <v/>
      </c>
      <c r="AR541" s="1056"/>
      <c r="AS541" s="1056"/>
      <c r="AT541" s="1045">
        <f t="shared" si="222"/>
        <v>0</v>
      </c>
      <c r="AU541" s="1046">
        <f t="shared" si="223"/>
        <v>0</v>
      </c>
      <c r="AV541" s="1059" cm="1">
        <f t="array" ref="AV541">IF(AJ541&lt;&gt;1,0,IF(OR(AT541="",N(AT541)&lt;=0.000000001),"",IF(OR(AN541="",N(AN541)&lt;=0.000000001),0,IF(ISNUMBER(AT541),IFERROR(_xlfn.LET(_xlpm.ai_test,TRIM(AI541),_xlpm.r,IFERROR(_xlfn.XLOOKUP(_xlpm.ai_test,$BI$15:$BI$62,ROW($BI$15:$BI$62),0,1),IFERROR(_xlfn.XLOOKUP(_xlpm.ai_test,$BJ$15:$BJ$62,ROW($BJ$15:$BJ$62),0,1),_xlfn.XLOOKUP(_xlpm.ai_test,$BK$15:$BK$62,ROW($BK$15:$BK$62),0,1))),_xlpm.p,_xlpm.r-MIN(ROW($BI$15:$BI$62))+1,_xlpm.f,INDEX($BL$15:$BL$62,_xlpm.p),_xlpm.u,INDEX($BM$15:$BM$62,_xlpm.p),_xlpm.s,INDEX($BO$15:$BO$62,_xlpm.p),_xlpm.q,N(AT541)/_xlpm.f,IF(_xlpm.q&gt;=_xlpm.s,ROUND(_xlpm.q,1)&amp;" "&amp;_xlpm.ai_test&amp;" = "&amp;ROUND(_xlpm.q*_xlpm.f,1)&amp;" "&amp;_xlpm.u,ROUND(_xlpm.q,1)&amp;" "&amp;_xlpm.ai_test)),""),""))))</f>
        <v>0</v>
      </c>
      <c r="AW541" s="1047"/>
      <c r="AX541" s="1045">
        <f t="shared" si="224"/>
        <v>0</v>
      </c>
      <c r="AY541" s="1046" t="str">
        <f t="shared" si="225"/>
        <v/>
      </c>
      <c r="AZ541" s="1048">
        <f t="shared" si="230"/>
        <v>0</v>
      </c>
      <c r="BA541" s="1049" t="str">
        <f t="shared" si="226"/>
        <v/>
      </c>
      <c r="BB541" s="1038"/>
      <c r="BC541" s="1050">
        <f t="shared" si="231"/>
        <v>0</v>
      </c>
      <c r="BD541" s="1040" t="str">
        <f t="shared" si="227"/>
        <v/>
      </c>
      <c r="BE541" s="227" t="s">
        <v>22</v>
      </c>
      <c r="BF541" s="1019">
        <f t="shared" si="228"/>
        <v>0</v>
      </c>
      <c r="BG541" s="1020">
        <f t="shared" si="229"/>
        <v>0</v>
      </c>
      <c r="BH541"/>
      <c r="BI541" s="709"/>
      <c r="BJ541" s="709"/>
      <c r="BK541" s="709"/>
      <c r="BL541" s="709"/>
      <c r="BM541" s="709"/>
      <c r="BN541" s="709"/>
      <c r="BO541" s="709"/>
      <c r="BP541" s="709"/>
      <c r="BW541" s="959" t="str">
        <f t="shared" si="210"/>
        <v>►</v>
      </c>
      <c r="BX541" s="856"/>
      <c r="BY541" s="856"/>
      <c r="BZ541" s="856"/>
      <c r="CA541" s="856"/>
      <c r="CB541" s="856"/>
      <c r="DB541" s="3">
        <v>1</v>
      </c>
    </row>
    <row r="542" spans="12:106" ht="21" customHeight="1">
      <c r="L542" s="104" t="s">
        <v>16</v>
      </c>
      <c r="M542" s="1172"/>
      <c r="N542" s="1172"/>
      <c r="O542" s="1172"/>
      <c r="P542" s="1173"/>
      <c r="Q542" s="1174"/>
      <c r="R542" s="1175"/>
      <c r="S542" s="1176"/>
      <c r="T542" s="1177"/>
      <c r="U542" s="5248"/>
      <c r="V542" s="1177"/>
      <c r="W542" s="5249"/>
      <c r="X542" s="5208"/>
      <c r="Y542" s="5209"/>
      <c r="Z542" s="5210"/>
      <c r="AA542" s="5211"/>
      <c r="AB542" s="1178"/>
      <c r="AC542" s="1179"/>
      <c r="AD542" s="227" t="s">
        <v>22</v>
      </c>
      <c r="AE542" s="1027" t="str">
        <f t="shared" si="211"/>
        <v>►</v>
      </c>
      <c r="AF542" s="1028" t="str">
        <f t="shared" si="212"/>
        <v/>
      </c>
      <c r="AG542" s="1029" t="str">
        <f t="shared" si="213"/>
        <v/>
      </c>
      <c r="AH542" s="1028" t="str">
        <f t="shared" si="214"/>
        <v/>
      </c>
      <c r="AI542" s="1029" t="str">
        <f t="shared" si="215"/>
        <v/>
      </c>
      <c r="AJ542" s="1029">
        <f t="shared" si="216"/>
        <v>0</v>
      </c>
      <c r="AK542" s="1043" t="str" cm="1">
        <f t="array" ref="AK542">IF(AE542&lt;&gt;"A","",IFERROR((IFERROR(_xlfn.XLOOKUP(TRIM(SUBSTITUTE(U542,CHAR(160)," ")),$BI$15:$BI$62,$BL$15:$BL$62),IFERROR(_xlfn.XLOOKUP(TRIM(SUBSTITUTE(U542,CHAR(160)," ")),$BJ$15:$BJ$62,$BL$15:$BL$62),_xlfn.XLOOKUP(TRIM(SUBSTITUTE(U542,CHAR(160)," ")),$BK$15:$BK$62,$BL$15:$BL$62))))*T542*IF(ISBLANK(Q542),1,Q542)+IFERROR(_xlfn.XLOOKUP("RECHERCHEX",TRIM(L542:AC542),L542:AC542),0),0))</f>
        <v/>
      </c>
      <c r="AL542" s="1030">
        <f t="shared" si="217"/>
        <v>0</v>
      </c>
      <c r="AM542" s="5254" t="str">
        <f t="shared" ref="AM542:AM549" si="232">IF(AE542="A","❾ Author reference &gt;","")</f>
        <v/>
      </c>
      <c r="AN542" s="1031">
        <f t="shared" si="218"/>
        <v>0</v>
      </c>
      <c r="AO542" s="1031">
        <f t="shared" si="219"/>
        <v>0</v>
      </c>
      <c r="AP542" s="1032">
        <f t="shared" si="220"/>
        <v>0</v>
      </c>
      <c r="AQ542" s="5255" t="str">
        <f t="shared" si="221"/>
        <v/>
      </c>
      <c r="AR542" s="1056"/>
      <c r="AS542" s="1056"/>
      <c r="AT542" s="1034">
        <f t="shared" si="222"/>
        <v>0</v>
      </c>
      <c r="AU542" s="1035">
        <f t="shared" si="223"/>
        <v>0</v>
      </c>
      <c r="AV542" s="1057" cm="1">
        <f t="array" ref="AV542">IF(AJ542&lt;&gt;1,0,IF(OR(AT542="",N(AT542)&lt;=0.000000001),"",IF(OR(AN542="",N(AN542)&lt;=0.000000001),0,IF(ISNUMBER(AT542),IFERROR(_xlfn.LET(_xlpm.ai_test,TRIM(AI542),_xlpm.r,IFERROR(_xlfn.XLOOKUP(_xlpm.ai_test,$BI$15:$BI$62,ROW($BI$15:$BI$62),0,1),IFERROR(_xlfn.XLOOKUP(_xlpm.ai_test,$BJ$15:$BJ$62,ROW($BJ$15:$BJ$62),0,1),_xlfn.XLOOKUP(_xlpm.ai_test,$BK$15:$BK$62,ROW($BK$15:$BK$62),0,1))),_xlpm.p,_xlpm.r-MIN(ROW($BI$15:$BI$62))+1,_xlpm.f,INDEX($BL$15:$BL$62,_xlpm.p),_xlpm.u,INDEX($BM$15:$BM$62,_xlpm.p),_xlpm.s,INDEX($BO$15:$BO$62,_xlpm.p),_xlpm.q,N(AT542)/_xlpm.f,IF(_xlpm.q&gt;=_xlpm.s,ROUND(_xlpm.q,1)&amp;" "&amp;_xlpm.ai_test&amp;" = "&amp;ROUND(_xlpm.q*_xlpm.f,1)&amp;" "&amp;_xlpm.u,ROUND(_xlpm.q,1)&amp;" "&amp;_xlpm.ai_test)),""),""))))</f>
        <v>0</v>
      </c>
      <c r="AW542" s="1047"/>
      <c r="AX542" s="1034">
        <f t="shared" si="224"/>
        <v>0</v>
      </c>
      <c r="AY542" s="1035" t="str">
        <f t="shared" si="225"/>
        <v/>
      </c>
      <c r="AZ542" s="1036">
        <f t="shared" si="230"/>
        <v>0</v>
      </c>
      <c r="BA542" s="1037" t="str">
        <f t="shared" si="226"/>
        <v/>
      </c>
      <c r="BB542" s="1038"/>
      <c r="BC542" s="1039">
        <f t="shared" si="231"/>
        <v>0</v>
      </c>
      <c r="BD542" s="1040" t="str">
        <f t="shared" si="227"/>
        <v/>
      </c>
      <c r="BE542" s="227" t="s">
        <v>22</v>
      </c>
      <c r="BF542" s="1019">
        <f t="shared" si="228"/>
        <v>0</v>
      </c>
      <c r="BG542" s="1020">
        <f t="shared" si="229"/>
        <v>0</v>
      </c>
      <c r="BH542"/>
      <c r="BI542" s="709"/>
      <c r="BJ542" s="709"/>
      <c r="BK542" s="709"/>
      <c r="BL542" s="709"/>
      <c r="BM542" s="709"/>
      <c r="BN542" s="709"/>
      <c r="BO542" s="709"/>
      <c r="BP542" s="709"/>
      <c r="BW542" s="959" t="str">
        <f t="shared" si="210"/>
        <v>►</v>
      </c>
      <c r="BX542" s="856"/>
      <c r="BY542" s="856"/>
      <c r="BZ542" s="856"/>
      <c r="CA542" s="856"/>
      <c r="CB542" s="856"/>
      <c r="DB542" s="3">
        <v>1</v>
      </c>
    </row>
    <row r="543" spans="12:106" ht="21" customHeight="1">
      <c r="L543" s="104" t="s">
        <v>16</v>
      </c>
      <c r="M543" s="1172"/>
      <c r="N543" s="1172"/>
      <c r="O543" s="1172"/>
      <c r="P543" s="1173"/>
      <c r="Q543" s="1174"/>
      <c r="R543" s="1175"/>
      <c r="S543" s="1176"/>
      <c r="T543" s="1177"/>
      <c r="U543" s="5248"/>
      <c r="V543" s="1177"/>
      <c r="W543" s="5249"/>
      <c r="X543" s="5208"/>
      <c r="Y543" s="5209"/>
      <c r="Z543" s="5210"/>
      <c r="AA543" s="5211"/>
      <c r="AB543" s="1178"/>
      <c r="AC543" s="1179"/>
      <c r="AD543" s="227" t="s">
        <v>22</v>
      </c>
      <c r="AE543" s="1027" t="str">
        <f t="shared" si="211"/>
        <v>►</v>
      </c>
      <c r="AF543" s="1028" t="str">
        <f t="shared" si="212"/>
        <v/>
      </c>
      <c r="AG543" s="1029" t="str">
        <f t="shared" si="213"/>
        <v/>
      </c>
      <c r="AH543" s="1028" t="str">
        <f t="shared" si="214"/>
        <v/>
      </c>
      <c r="AI543" s="1029" t="str">
        <f t="shared" si="215"/>
        <v/>
      </c>
      <c r="AJ543" s="1029">
        <f t="shared" si="216"/>
        <v>0</v>
      </c>
      <c r="AK543" s="1043" t="str" cm="1">
        <f t="array" ref="AK543">IF(AE543&lt;&gt;"A","",IFERROR((IFERROR(_xlfn.XLOOKUP(TRIM(SUBSTITUTE(U543,CHAR(160)," ")),$BI$15:$BI$62,$BL$15:$BL$62),IFERROR(_xlfn.XLOOKUP(TRIM(SUBSTITUTE(U543,CHAR(160)," ")),$BJ$15:$BJ$62,$BL$15:$BL$62),_xlfn.XLOOKUP(TRIM(SUBSTITUTE(U543,CHAR(160)," ")),$BK$15:$BK$62,$BL$15:$BL$62))))*T543*IF(ISBLANK(Q543),1,Q543)+IFERROR(_xlfn.XLOOKUP("RECHERCHEX",TRIM(L543:AC543),L543:AC543),0),0))</f>
        <v/>
      </c>
      <c r="AL543" s="1030">
        <f t="shared" si="217"/>
        <v>0</v>
      </c>
      <c r="AM543" s="5254" t="str">
        <f t="shared" si="232"/>
        <v/>
      </c>
      <c r="AN543" s="1031">
        <f t="shared" si="218"/>
        <v>0</v>
      </c>
      <c r="AO543" s="1031">
        <f t="shared" si="219"/>
        <v>0</v>
      </c>
      <c r="AP543" s="1044">
        <f t="shared" si="220"/>
        <v>0</v>
      </c>
      <c r="AQ543" s="5257" t="str">
        <f t="shared" si="221"/>
        <v/>
      </c>
      <c r="AR543" s="1056"/>
      <c r="AS543" s="1056"/>
      <c r="AT543" s="1045">
        <f t="shared" si="222"/>
        <v>0</v>
      </c>
      <c r="AU543" s="1046">
        <f t="shared" si="223"/>
        <v>0</v>
      </c>
      <c r="AV543" s="1059" cm="1">
        <f t="array" ref="AV543">IF(AJ543&lt;&gt;1,0,IF(OR(AT543="",N(AT543)&lt;=0.000000001),"",IF(OR(AN543="",N(AN543)&lt;=0.000000001),0,IF(ISNUMBER(AT543),IFERROR(_xlfn.LET(_xlpm.ai_test,TRIM(AI543),_xlpm.r,IFERROR(_xlfn.XLOOKUP(_xlpm.ai_test,$BI$15:$BI$62,ROW($BI$15:$BI$62),0,1),IFERROR(_xlfn.XLOOKUP(_xlpm.ai_test,$BJ$15:$BJ$62,ROW($BJ$15:$BJ$62),0,1),_xlfn.XLOOKUP(_xlpm.ai_test,$BK$15:$BK$62,ROW($BK$15:$BK$62),0,1))),_xlpm.p,_xlpm.r-MIN(ROW($BI$15:$BI$62))+1,_xlpm.f,INDEX($BL$15:$BL$62,_xlpm.p),_xlpm.u,INDEX($BM$15:$BM$62,_xlpm.p),_xlpm.s,INDEX($BO$15:$BO$62,_xlpm.p),_xlpm.q,N(AT543)/_xlpm.f,IF(_xlpm.q&gt;=_xlpm.s,ROUND(_xlpm.q,1)&amp;" "&amp;_xlpm.ai_test&amp;" = "&amp;ROUND(_xlpm.q*_xlpm.f,1)&amp;" "&amp;_xlpm.u,ROUND(_xlpm.q,1)&amp;" "&amp;_xlpm.ai_test)),""),""))))</f>
        <v>0</v>
      </c>
      <c r="AW543" s="1047"/>
      <c r="AX543" s="1045">
        <f t="shared" si="224"/>
        <v>0</v>
      </c>
      <c r="AY543" s="1046" t="str">
        <f t="shared" si="225"/>
        <v/>
      </c>
      <c r="AZ543" s="1048">
        <f t="shared" si="230"/>
        <v>0</v>
      </c>
      <c r="BA543" s="1049" t="str">
        <f t="shared" si="226"/>
        <v/>
      </c>
      <c r="BB543" s="1038"/>
      <c r="BC543" s="1050">
        <f t="shared" si="231"/>
        <v>0</v>
      </c>
      <c r="BD543" s="1040" t="str">
        <f t="shared" si="227"/>
        <v/>
      </c>
      <c r="BE543" s="227" t="s">
        <v>22</v>
      </c>
      <c r="BF543" s="1019">
        <f t="shared" si="228"/>
        <v>0</v>
      </c>
      <c r="BG543" s="1020">
        <f t="shared" si="229"/>
        <v>0</v>
      </c>
      <c r="BH543"/>
      <c r="BI543" s="709"/>
      <c r="BJ543" s="709"/>
      <c r="BK543" s="709"/>
      <c r="BL543" s="709"/>
      <c r="BM543" s="709"/>
      <c r="BN543" s="709"/>
      <c r="BO543" s="709"/>
      <c r="BP543" s="709"/>
      <c r="BW543" s="959" t="str">
        <f t="shared" si="210"/>
        <v>►</v>
      </c>
      <c r="BX543" s="856"/>
      <c r="BY543" s="856"/>
      <c r="BZ543" s="856"/>
      <c r="CA543" s="856"/>
      <c r="CB543" s="856"/>
      <c r="DB543" s="3">
        <v>1</v>
      </c>
    </row>
    <row r="544" spans="12:106" ht="21" customHeight="1">
      <c r="L544" s="104" t="s">
        <v>16</v>
      </c>
      <c r="M544" s="1172"/>
      <c r="N544" s="1172"/>
      <c r="O544" s="1172"/>
      <c r="P544" s="1173"/>
      <c r="Q544" s="1174"/>
      <c r="R544" s="1175"/>
      <c r="S544" s="1176"/>
      <c r="T544" s="1177"/>
      <c r="U544" s="5248"/>
      <c r="V544" s="1177"/>
      <c r="W544" s="5249"/>
      <c r="X544" s="5208"/>
      <c r="Y544" s="5209"/>
      <c r="Z544" s="5210"/>
      <c r="AA544" s="5211"/>
      <c r="AB544" s="1178"/>
      <c r="AC544" s="1179"/>
      <c r="AD544" s="227" t="s">
        <v>22</v>
      </c>
      <c r="AE544" s="1027" t="str">
        <f t="shared" si="211"/>
        <v>►</v>
      </c>
      <c r="AF544" s="1028" t="str">
        <f t="shared" si="212"/>
        <v/>
      </c>
      <c r="AG544" s="1029" t="str">
        <f t="shared" si="213"/>
        <v/>
      </c>
      <c r="AH544" s="1028" t="str">
        <f t="shared" si="214"/>
        <v/>
      </c>
      <c r="AI544" s="1029" t="str">
        <f t="shared" si="215"/>
        <v/>
      </c>
      <c r="AJ544" s="1029">
        <f t="shared" si="216"/>
        <v>0</v>
      </c>
      <c r="AK544" s="1043" t="str" cm="1">
        <f t="array" ref="AK544">IF(AE544&lt;&gt;"A","",IFERROR((IFERROR(_xlfn.XLOOKUP(TRIM(SUBSTITUTE(U544,CHAR(160)," ")),$BI$15:$BI$62,$BL$15:$BL$62),IFERROR(_xlfn.XLOOKUP(TRIM(SUBSTITUTE(U544,CHAR(160)," ")),$BJ$15:$BJ$62,$BL$15:$BL$62),_xlfn.XLOOKUP(TRIM(SUBSTITUTE(U544,CHAR(160)," ")),$BK$15:$BK$62,$BL$15:$BL$62))))*T544*IF(ISBLANK(Q544),1,Q544)+IFERROR(_xlfn.XLOOKUP("RECHERCHEX",TRIM(L544:AC544),L544:AC544),0),0))</f>
        <v/>
      </c>
      <c r="AL544" s="1030">
        <f t="shared" si="217"/>
        <v>0</v>
      </c>
      <c r="AM544" s="5254" t="str">
        <f t="shared" si="232"/>
        <v/>
      </c>
      <c r="AN544" s="1031">
        <f t="shared" ref="AN544:AN549" si="233">IF(AJ544,N544,0)</f>
        <v>0</v>
      </c>
      <c r="AO544" s="1031">
        <f t="shared" si="219"/>
        <v>0</v>
      </c>
      <c r="AP544" s="1032">
        <f t="shared" si="220"/>
        <v>0</v>
      </c>
      <c r="AQ544" s="5255" t="str">
        <f t="shared" si="221"/>
        <v/>
      </c>
      <c r="AR544" s="1056"/>
      <c r="AS544" s="1056"/>
      <c r="AT544" s="1034">
        <f t="shared" si="222"/>
        <v>0</v>
      </c>
      <c r="AU544" s="1035">
        <f t="shared" si="223"/>
        <v>0</v>
      </c>
      <c r="AV544" s="1057" cm="1">
        <f t="array" ref="AV544">IF(AJ544&lt;&gt;1,0,IF(OR(AT544="",N(AT544)&lt;=0.000000001),"",IF(OR(AN544="",N(AN544)&lt;=0.000000001),0,IF(ISNUMBER(AT544),IFERROR(_xlfn.LET(_xlpm.ai_test,TRIM(AI544),_xlpm.r,IFERROR(_xlfn.XLOOKUP(_xlpm.ai_test,$BI$15:$BI$62,ROW($BI$15:$BI$62),0,1),IFERROR(_xlfn.XLOOKUP(_xlpm.ai_test,$BJ$15:$BJ$62,ROW($BJ$15:$BJ$62),0,1),_xlfn.XLOOKUP(_xlpm.ai_test,$BK$15:$BK$62,ROW($BK$15:$BK$62),0,1))),_xlpm.p,_xlpm.r-MIN(ROW($BI$15:$BI$62))+1,_xlpm.f,INDEX($BL$15:$BL$62,_xlpm.p),_xlpm.u,INDEX($BM$15:$BM$62,_xlpm.p),_xlpm.s,INDEX($BO$15:$BO$62,_xlpm.p),_xlpm.q,N(AT544)/_xlpm.f,IF(_xlpm.q&gt;=_xlpm.s,ROUND(_xlpm.q,1)&amp;" "&amp;_xlpm.ai_test&amp;" = "&amp;ROUND(_xlpm.q*_xlpm.f,1)&amp;" "&amp;_xlpm.u,ROUND(_xlpm.q,1)&amp;" "&amp;_xlpm.ai_test)),""),""))))</f>
        <v>0</v>
      </c>
      <c r="AW544" s="1047"/>
      <c r="AX544" s="1034">
        <f t="shared" si="224"/>
        <v>0</v>
      </c>
      <c r="AY544" s="1035" t="str">
        <f t="shared" si="225"/>
        <v/>
      </c>
      <c r="AZ544" s="1036">
        <f t="shared" si="230"/>
        <v>0</v>
      </c>
      <c r="BA544" s="1037" t="str">
        <f t="shared" si="226"/>
        <v/>
      </c>
      <c r="BB544" s="1038"/>
      <c r="BC544" s="1039">
        <f t="shared" si="231"/>
        <v>0</v>
      </c>
      <c r="BD544" s="1040" t="str">
        <f t="shared" si="227"/>
        <v/>
      </c>
      <c r="BE544" s="227" t="s">
        <v>22</v>
      </c>
      <c r="BF544" s="1019">
        <f t="shared" si="228"/>
        <v>0</v>
      </c>
      <c r="BG544" s="1020">
        <f t="shared" si="229"/>
        <v>0</v>
      </c>
      <c r="BH544"/>
      <c r="BI544" s="709"/>
      <c r="BJ544" s="709"/>
      <c r="BK544" s="709"/>
      <c r="BL544" s="709"/>
      <c r="BM544" s="709"/>
      <c r="BN544" s="709"/>
      <c r="BO544" s="709"/>
      <c r="BP544" s="709"/>
      <c r="BW544" s="959" t="str">
        <f t="shared" si="210"/>
        <v>►</v>
      </c>
      <c r="BX544" s="856"/>
      <c r="BY544" s="856"/>
      <c r="BZ544" s="856"/>
      <c r="CA544" s="856"/>
      <c r="CB544" s="856"/>
      <c r="DB544" s="3">
        <v>1</v>
      </c>
    </row>
    <row r="545" spans="1:108" ht="21" customHeight="1">
      <c r="L545" s="104" t="s">
        <v>16</v>
      </c>
      <c r="M545" s="1172"/>
      <c r="N545" s="1172"/>
      <c r="O545" s="1172"/>
      <c r="P545" s="1173"/>
      <c r="Q545" s="1174"/>
      <c r="R545" s="1175"/>
      <c r="S545" s="1176"/>
      <c r="T545" s="1177"/>
      <c r="U545" s="5248"/>
      <c r="V545" s="1177"/>
      <c r="W545" s="5249"/>
      <c r="X545" s="5208"/>
      <c r="Y545" s="5209"/>
      <c r="Z545" s="5210"/>
      <c r="AA545" s="5211"/>
      <c r="AB545" s="1178"/>
      <c r="AC545" s="1179"/>
      <c r="AD545" s="227" t="s">
        <v>22</v>
      </c>
      <c r="AE545" s="1027" t="str">
        <f t="shared" si="211"/>
        <v>►</v>
      </c>
      <c r="AF545" s="1028" t="str">
        <f t="shared" si="212"/>
        <v/>
      </c>
      <c r="AG545" s="1029" t="str">
        <f t="shared" si="213"/>
        <v/>
      </c>
      <c r="AH545" s="1028" t="str">
        <f t="shared" si="214"/>
        <v/>
      </c>
      <c r="AI545" s="1029" t="str">
        <f t="shared" si="215"/>
        <v/>
      </c>
      <c r="AJ545" s="1029">
        <f t="shared" si="216"/>
        <v>0</v>
      </c>
      <c r="AK545" s="1043" t="str" cm="1">
        <f t="array" ref="AK545">IF(AE545&lt;&gt;"A","",IFERROR((IFERROR(_xlfn.XLOOKUP(TRIM(SUBSTITUTE(U545,CHAR(160)," ")),$BI$15:$BI$62,$BL$15:$BL$62),IFERROR(_xlfn.XLOOKUP(TRIM(SUBSTITUTE(U545,CHAR(160)," ")),$BJ$15:$BJ$62,$BL$15:$BL$62),_xlfn.XLOOKUP(TRIM(SUBSTITUTE(U545,CHAR(160)," ")),$BK$15:$BK$62,$BL$15:$BL$62))))*T545*IF(ISBLANK(Q545),1,Q545)+IFERROR(_xlfn.XLOOKUP("RECHERCHEX",TRIM(L545:AC545),L545:AC545),0),0))</f>
        <v/>
      </c>
      <c r="AL545" s="1030">
        <f t="shared" si="217"/>
        <v>0</v>
      </c>
      <c r="AM545" s="5254" t="str">
        <f t="shared" si="232"/>
        <v/>
      </c>
      <c r="AN545" s="1031">
        <f t="shared" si="233"/>
        <v>0</v>
      </c>
      <c r="AO545" s="1031">
        <f t="shared" si="219"/>
        <v>0</v>
      </c>
      <c r="AP545" s="1044">
        <f t="shared" si="220"/>
        <v>0</v>
      </c>
      <c r="AQ545" s="5257" t="str">
        <f t="shared" si="221"/>
        <v/>
      </c>
      <c r="AR545" s="1056"/>
      <c r="AS545" s="1056"/>
      <c r="AT545" s="1045">
        <f t="shared" si="222"/>
        <v>0</v>
      </c>
      <c r="AU545" s="1046">
        <f t="shared" si="223"/>
        <v>0</v>
      </c>
      <c r="AV545" s="1059" cm="1">
        <f t="array" ref="AV545">IF(AJ545&lt;&gt;1,0,IF(OR(AT545="",N(AT545)&lt;=0.000000001),"",IF(OR(AN545="",N(AN545)&lt;=0.000000001),0,IF(ISNUMBER(AT545),IFERROR(_xlfn.LET(_xlpm.ai_test,TRIM(AI545),_xlpm.r,IFERROR(_xlfn.XLOOKUP(_xlpm.ai_test,$BI$15:$BI$62,ROW($BI$15:$BI$62),0,1),IFERROR(_xlfn.XLOOKUP(_xlpm.ai_test,$BJ$15:$BJ$62,ROW($BJ$15:$BJ$62),0,1),_xlfn.XLOOKUP(_xlpm.ai_test,$BK$15:$BK$62,ROW($BK$15:$BK$62),0,1))),_xlpm.p,_xlpm.r-MIN(ROW($BI$15:$BI$62))+1,_xlpm.f,INDEX($BL$15:$BL$62,_xlpm.p),_xlpm.u,INDEX($BM$15:$BM$62,_xlpm.p),_xlpm.s,INDEX($BO$15:$BO$62,_xlpm.p),_xlpm.q,N(AT545)/_xlpm.f,IF(_xlpm.q&gt;=_xlpm.s,ROUND(_xlpm.q,1)&amp;" "&amp;_xlpm.ai_test&amp;" = "&amp;ROUND(_xlpm.q*_xlpm.f,1)&amp;" "&amp;_xlpm.u,ROUND(_xlpm.q,1)&amp;" "&amp;_xlpm.ai_test)),""),""))))</f>
        <v>0</v>
      </c>
      <c r="AW545" s="1047"/>
      <c r="AX545" s="1045">
        <f t="shared" si="224"/>
        <v>0</v>
      </c>
      <c r="AY545" s="1046" t="str">
        <f t="shared" si="225"/>
        <v/>
      </c>
      <c r="AZ545" s="1048">
        <f t="shared" si="230"/>
        <v>0</v>
      </c>
      <c r="BA545" s="1049" t="str">
        <f t="shared" si="226"/>
        <v/>
      </c>
      <c r="BB545" s="1038"/>
      <c r="BC545" s="1050">
        <f t="shared" si="231"/>
        <v>0</v>
      </c>
      <c r="BD545" s="1040" t="str">
        <f t="shared" si="227"/>
        <v/>
      </c>
      <c r="BE545" s="227" t="s">
        <v>22</v>
      </c>
      <c r="BF545" s="1019">
        <f t="shared" si="228"/>
        <v>0</v>
      </c>
      <c r="BG545" s="1020">
        <f t="shared" si="229"/>
        <v>0</v>
      </c>
      <c r="BH545"/>
      <c r="BI545" s="709"/>
      <c r="BJ545" s="709"/>
      <c r="BK545" s="709"/>
      <c r="BL545" s="709"/>
      <c r="BM545" s="709"/>
      <c r="BN545" s="709"/>
      <c r="BO545" s="709"/>
      <c r="BP545" s="709"/>
      <c r="BW545" s="959" t="str">
        <f t="shared" si="210"/>
        <v>►</v>
      </c>
      <c r="BX545" s="856"/>
      <c r="BY545" s="856"/>
      <c r="BZ545" s="856"/>
      <c r="CA545" s="856"/>
      <c r="CB545" s="856"/>
      <c r="DB545" s="3">
        <v>1</v>
      </c>
    </row>
    <row r="546" spans="1:108" ht="21" customHeight="1">
      <c r="L546" s="104" t="s">
        <v>16</v>
      </c>
      <c r="M546" s="1172"/>
      <c r="N546" s="1172"/>
      <c r="O546" s="1172"/>
      <c r="P546" s="1173"/>
      <c r="Q546" s="1174"/>
      <c r="R546" s="1175"/>
      <c r="S546" s="1176"/>
      <c r="T546" s="1177"/>
      <c r="U546" s="5248"/>
      <c r="V546" s="1177"/>
      <c r="W546" s="5249"/>
      <c r="X546" s="5208"/>
      <c r="Y546" s="5209"/>
      <c r="Z546" s="5210"/>
      <c r="AA546" s="5211"/>
      <c r="AB546" s="1178"/>
      <c r="AC546" s="1179"/>
      <c r="AD546" s="227" t="s">
        <v>22</v>
      </c>
      <c r="AE546" s="1027" t="str">
        <f t="shared" si="211"/>
        <v>►</v>
      </c>
      <c r="AF546" s="1028" t="str">
        <f t="shared" si="212"/>
        <v/>
      </c>
      <c r="AG546" s="1029" t="str">
        <f t="shared" si="213"/>
        <v/>
      </c>
      <c r="AH546" s="1028" t="str">
        <f t="shared" si="214"/>
        <v/>
      </c>
      <c r="AI546" s="1029" t="str">
        <f t="shared" si="215"/>
        <v/>
      </c>
      <c r="AJ546" s="1029">
        <f t="shared" si="216"/>
        <v>0</v>
      </c>
      <c r="AK546" s="1043" t="str" cm="1">
        <f t="array" ref="AK546">IF(AE546&lt;&gt;"A","",IFERROR((IFERROR(_xlfn.XLOOKUP(TRIM(SUBSTITUTE(U546,CHAR(160)," ")),$BI$15:$BI$62,$BL$15:$BL$62),IFERROR(_xlfn.XLOOKUP(TRIM(SUBSTITUTE(U546,CHAR(160)," ")),$BJ$15:$BJ$62,$BL$15:$BL$62),_xlfn.XLOOKUP(TRIM(SUBSTITUTE(U546,CHAR(160)," ")),$BK$15:$BK$62,$BL$15:$BL$62))))*T546*IF(ISBLANK(Q546),1,Q546)+IFERROR(_xlfn.XLOOKUP("RECHERCHEX",TRIM(L546:AC546),L546:AC546),0),0))</f>
        <v/>
      </c>
      <c r="AL546" s="1030">
        <f t="shared" si="217"/>
        <v>0</v>
      </c>
      <c r="AM546" s="5254" t="str">
        <f t="shared" si="232"/>
        <v/>
      </c>
      <c r="AN546" s="1031">
        <f t="shared" si="233"/>
        <v>0</v>
      </c>
      <c r="AO546" s="1031">
        <f t="shared" si="219"/>
        <v>0</v>
      </c>
      <c r="AP546" s="1032">
        <f t="shared" si="220"/>
        <v>0</v>
      </c>
      <c r="AQ546" s="5255" t="str">
        <f t="shared" si="221"/>
        <v/>
      </c>
      <c r="AR546" s="1056"/>
      <c r="AS546" s="1056"/>
      <c r="AT546" s="1034">
        <f t="shared" si="222"/>
        <v>0</v>
      </c>
      <c r="AU546" s="1035">
        <f t="shared" si="223"/>
        <v>0</v>
      </c>
      <c r="AV546" s="1057" cm="1">
        <f t="array" ref="AV546">IF(AJ546&lt;&gt;1,0,IF(OR(AT546="",N(AT546)&lt;=0.000000001),"",IF(OR(AN546="",N(AN546)&lt;=0.000000001),0,IF(ISNUMBER(AT546),IFERROR(_xlfn.LET(_xlpm.ai_test,TRIM(AI546),_xlpm.r,IFERROR(_xlfn.XLOOKUP(_xlpm.ai_test,$BI$15:$BI$62,ROW($BI$15:$BI$62),0,1),IFERROR(_xlfn.XLOOKUP(_xlpm.ai_test,$BJ$15:$BJ$62,ROW($BJ$15:$BJ$62),0,1),_xlfn.XLOOKUP(_xlpm.ai_test,$BK$15:$BK$62,ROW($BK$15:$BK$62),0,1))),_xlpm.p,_xlpm.r-MIN(ROW($BI$15:$BI$62))+1,_xlpm.f,INDEX($BL$15:$BL$62,_xlpm.p),_xlpm.u,INDEX($BM$15:$BM$62,_xlpm.p),_xlpm.s,INDEX($BO$15:$BO$62,_xlpm.p),_xlpm.q,N(AT546)/_xlpm.f,IF(_xlpm.q&gt;=_xlpm.s,ROUND(_xlpm.q,1)&amp;" "&amp;_xlpm.ai_test&amp;" = "&amp;ROUND(_xlpm.q*_xlpm.f,1)&amp;" "&amp;_xlpm.u,ROUND(_xlpm.q,1)&amp;" "&amp;_xlpm.ai_test)),""),""))))</f>
        <v>0</v>
      </c>
      <c r="AW546" s="1047"/>
      <c r="AX546" s="1034">
        <f t="shared" si="224"/>
        <v>0</v>
      </c>
      <c r="AY546" s="1035" t="str">
        <f t="shared" si="225"/>
        <v/>
      </c>
      <c r="AZ546" s="1036">
        <f t="shared" si="230"/>
        <v>0</v>
      </c>
      <c r="BA546" s="1037" t="str">
        <f t="shared" si="226"/>
        <v/>
      </c>
      <c r="BB546" s="1038"/>
      <c r="BC546" s="1039">
        <f t="shared" si="231"/>
        <v>0</v>
      </c>
      <c r="BD546" s="1040" t="str">
        <f t="shared" si="227"/>
        <v/>
      </c>
      <c r="BE546" s="227" t="s">
        <v>22</v>
      </c>
      <c r="BF546" s="1019">
        <f t="shared" si="228"/>
        <v>0</v>
      </c>
      <c r="BG546" s="1020">
        <f t="shared" si="229"/>
        <v>0</v>
      </c>
      <c r="BH546"/>
      <c r="BI546" s="709"/>
      <c r="BJ546" s="709"/>
      <c r="BK546" s="709"/>
      <c r="BL546" s="709"/>
      <c r="BM546" s="709"/>
      <c r="BN546" s="709"/>
      <c r="BO546" s="709"/>
      <c r="BP546" s="709"/>
      <c r="BW546" s="959" t="str">
        <f t="shared" si="210"/>
        <v>►</v>
      </c>
      <c r="BX546" s="856"/>
      <c r="BY546" s="856"/>
      <c r="BZ546" s="856"/>
      <c r="CA546" s="856"/>
      <c r="CB546" s="856"/>
      <c r="DB546" s="3">
        <v>1</v>
      </c>
    </row>
    <row r="547" spans="1:108" ht="21" customHeight="1">
      <c r="L547" s="104" t="s">
        <v>16</v>
      </c>
      <c r="M547" s="1172"/>
      <c r="N547" s="1172"/>
      <c r="O547" s="1172"/>
      <c r="P547" s="1173"/>
      <c r="Q547" s="1174"/>
      <c r="R547" s="1175"/>
      <c r="S547" s="1176"/>
      <c r="T547" s="1177"/>
      <c r="U547" s="5248"/>
      <c r="V547" s="1177"/>
      <c r="W547" s="5249"/>
      <c r="X547" s="5208"/>
      <c r="Y547" s="5209"/>
      <c r="Z547" s="5210"/>
      <c r="AA547" s="5211"/>
      <c r="AB547" s="1178"/>
      <c r="AC547" s="1179"/>
      <c r="AD547" s="227" t="s">
        <v>22</v>
      </c>
      <c r="AE547" s="1027" t="str">
        <f t="shared" si="211"/>
        <v>►</v>
      </c>
      <c r="AF547" s="1028" t="str">
        <f t="shared" si="212"/>
        <v/>
      </c>
      <c r="AG547" s="1029" t="str">
        <f t="shared" si="213"/>
        <v/>
      </c>
      <c r="AH547" s="1028" t="str">
        <f t="shared" si="214"/>
        <v/>
      </c>
      <c r="AI547" s="1029" t="str">
        <f t="shared" si="215"/>
        <v/>
      </c>
      <c r="AJ547" s="1029">
        <f t="shared" si="216"/>
        <v>0</v>
      </c>
      <c r="AK547" s="1043" t="str" cm="1">
        <f t="array" ref="AK547">IF(AE547&lt;&gt;"A","",IFERROR((IFERROR(_xlfn.XLOOKUP(TRIM(SUBSTITUTE(U547,CHAR(160)," ")),$BI$15:$BI$62,$BL$15:$BL$62),IFERROR(_xlfn.XLOOKUP(TRIM(SUBSTITUTE(U547,CHAR(160)," ")),$BJ$15:$BJ$62,$BL$15:$BL$62),_xlfn.XLOOKUP(TRIM(SUBSTITUTE(U547,CHAR(160)," ")),$BK$15:$BK$62,$BL$15:$BL$62))))*T547*IF(ISBLANK(Q547),1,Q547)+IFERROR(_xlfn.XLOOKUP("RECHERCHEX",TRIM(L547:AC547),L547:AC547),0),0))</f>
        <v/>
      </c>
      <c r="AL547" s="1030">
        <f t="shared" si="217"/>
        <v>0</v>
      </c>
      <c r="AM547" s="5254" t="str">
        <f t="shared" si="232"/>
        <v/>
      </c>
      <c r="AN547" s="1031">
        <f t="shared" si="233"/>
        <v>0</v>
      </c>
      <c r="AO547" s="1031">
        <f t="shared" si="219"/>
        <v>0</v>
      </c>
      <c r="AP547" s="1044">
        <f t="shared" si="220"/>
        <v>0</v>
      </c>
      <c r="AQ547" s="5257" t="str">
        <f t="shared" si="221"/>
        <v/>
      </c>
      <c r="AR547" s="1056"/>
      <c r="AS547" s="1056"/>
      <c r="AT547" s="1045">
        <f t="shared" si="222"/>
        <v>0</v>
      </c>
      <c r="AU547" s="1046">
        <f t="shared" si="223"/>
        <v>0</v>
      </c>
      <c r="AV547" s="1059" cm="1">
        <f t="array" ref="AV547">IF(AJ547&lt;&gt;1,0,IF(OR(AT547="",N(AT547)&lt;=0.000000001),"",IF(OR(AN547="",N(AN547)&lt;=0.000000001),0,IF(ISNUMBER(AT547),IFERROR(_xlfn.LET(_xlpm.ai_test,TRIM(AI547),_xlpm.r,IFERROR(_xlfn.XLOOKUP(_xlpm.ai_test,$BI$15:$BI$62,ROW($BI$15:$BI$62),0,1),IFERROR(_xlfn.XLOOKUP(_xlpm.ai_test,$BJ$15:$BJ$62,ROW($BJ$15:$BJ$62),0,1),_xlfn.XLOOKUP(_xlpm.ai_test,$BK$15:$BK$62,ROW($BK$15:$BK$62),0,1))),_xlpm.p,_xlpm.r-MIN(ROW($BI$15:$BI$62))+1,_xlpm.f,INDEX($BL$15:$BL$62,_xlpm.p),_xlpm.u,INDEX($BM$15:$BM$62,_xlpm.p),_xlpm.s,INDEX($BO$15:$BO$62,_xlpm.p),_xlpm.q,N(AT547)/_xlpm.f,IF(_xlpm.q&gt;=_xlpm.s,ROUND(_xlpm.q,1)&amp;" "&amp;_xlpm.ai_test&amp;" = "&amp;ROUND(_xlpm.q*_xlpm.f,1)&amp;" "&amp;_xlpm.u,ROUND(_xlpm.q,1)&amp;" "&amp;_xlpm.ai_test)),""),""))))</f>
        <v>0</v>
      </c>
      <c r="AW547" s="1047"/>
      <c r="AX547" s="1045">
        <f t="shared" si="224"/>
        <v>0</v>
      </c>
      <c r="AY547" s="1046" t="str">
        <f t="shared" si="225"/>
        <v/>
      </c>
      <c r="AZ547" s="1048">
        <f t="shared" si="230"/>
        <v>0</v>
      </c>
      <c r="BA547" s="1049" t="str">
        <f t="shared" si="226"/>
        <v/>
      </c>
      <c r="BB547" s="1038"/>
      <c r="BC547" s="1050">
        <f t="shared" si="231"/>
        <v>0</v>
      </c>
      <c r="BD547" s="1040" t="str">
        <f t="shared" si="227"/>
        <v/>
      </c>
      <c r="BE547" s="227" t="s">
        <v>22</v>
      </c>
      <c r="BF547" s="1019">
        <f t="shared" si="228"/>
        <v>0</v>
      </c>
      <c r="BG547" s="1020">
        <f t="shared" si="229"/>
        <v>0</v>
      </c>
      <c r="BH547"/>
      <c r="BI547" s="709"/>
      <c r="BJ547" s="709"/>
      <c r="BK547" s="709"/>
      <c r="BL547" s="709"/>
      <c r="BM547" s="709"/>
      <c r="BN547" s="709"/>
      <c r="BO547" s="709"/>
      <c r="BP547" s="709"/>
      <c r="BW547" s="959" t="str">
        <f t="shared" si="210"/>
        <v>►</v>
      </c>
      <c r="BX547" s="856"/>
      <c r="BY547" s="856"/>
      <c r="BZ547" s="856"/>
      <c r="CA547" s="856"/>
      <c r="CB547" s="856"/>
      <c r="DB547" s="3">
        <v>1</v>
      </c>
    </row>
    <row r="548" spans="1:108" ht="21" customHeight="1">
      <c r="L548" s="104" t="s">
        <v>16</v>
      </c>
      <c r="M548" s="1172"/>
      <c r="N548" s="1172"/>
      <c r="O548" s="1172"/>
      <c r="P548" s="1173"/>
      <c r="Q548" s="1174"/>
      <c r="R548" s="1175"/>
      <c r="S548" s="1176"/>
      <c r="T548" s="1177"/>
      <c r="U548" s="5248"/>
      <c r="V548" s="1177"/>
      <c r="W548" s="5249"/>
      <c r="X548" s="5208"/>
      <c r="Y548" s="5209"/>
      <c r="Z548" s="5210"/>
      <c r="AA548" s="5211"/>
      <c r="AB548" s="1178"/>
      <c r="AC548" s="1179"/>
      <c r="AD548" s="227" t="s">
        <v>22</v>
      </c>
      <c r="AE548" s="1027" t="str">
        <f t="shared" si="211"/>
        <v>►</v>
      </c>
      <c r="AF548" s="1028" t="str">
        <f t="shared" si="212"/>
        <v/>
      </c>
      <c r="AG548" s="1029" t="str">
        <f t="shared" si="213"/>
        <v/>
      </c>
      <c r="AH548" s="1028" t="str">
        <f t="shared" si="214"/>
        <v/>
      </c>
      <c r="AI548" s="1029" t="str">
        <f t="shared" si="215"/>
        <v/>
      </c>
      <c r="AJ548" s="1029">
        <f t="shared" si="216"/>
        <v>0</v>
      </c>
      <c r="AK548" s="1043" t="str" cm="1">
        <f t="array" ref="AK548">IF(AE548&lt;&gt;"A","",IFERROR((IFERROR(_xlfn.XLOOKUP(TRIM(SUBSTITUTE(U548,CHAR(160)," ")),$BI$15:$BI$62,$BL$15:$BL$62),IFERROR(_xlfn.XLOOKUP(TRIM(SUBSTITUTE(U548,CHAR(160)," ")),$BJ$15:$BJ$62,$BL$15:$BL$62),_xlfn.XLOOKUP(TRIM(SUBSTITUTE(U548,CHAR(160)," ")),$BK$15:$BK$62,$BL$15:$BL$62))))*T548*IF(ISBLANK(Q548),1,Q548)+IFERROR(_xlfn.XLOOKUP("RECHERCHEX",TRIM(L548:AC548),L548:AC548),0),0))</f>
        <v/>
      </c>
      <c r="AL548" s="1030">
        <f t="shared" si="217"/>
        <v>0</v>
      </c>
      <c r="AM548" s="5254" t="str">
        <f t="shared" si="232"/>
        <v/>
      </c>
      <c r="AN548" s="1031">
        <f t="shared" si="233"/>
        <v>0</v>
      </c>
      <c r="AO548" s="1031">
        <f t="shared" si="219"/>
        <v>0</v>
      </c>
      <c r="AP548" s="1032">
        <f t="shared" si="220"/>
        <v>0</v>
      </c>
      <c r="AQ548" s="5255" t="str">
        <f t="shared" si="221"/>
        <v/>
      </c>
      <c r="AR548" s="1056"/>
      <c r="AS548" s="1056"/>
      <c r="AT548" s="1034">
        <f t="shared" si="222"/>
        <v>0</v>
      </c>
      <c r="AU548" s="1035">
        <f t="shared" si="223"/>
        <v>0</v>
      </c>
      <c r="AV548" s="1057" cm="1">
        <f t="array" ref="AV548">IF(AJ548&lt;&gt;1,0,IF(OR(AT548="",N(AT548)&lt;=0.000000001),"",IF(OR(AN548="",N(AN548)&lt;=0.000000001),0,IF(ISNUMBER(AT548),IFERROR(_xlfn.LET(_xlpm.ai_test,TRIM(AI548),_xlpm.r,IFERROR(_xlfn.XLOOKUP(_xlpm.ai_test,$BI$15:$BI$62,ROW($BI$15:$BI$62),0,1),IFERROR(_xlfn.XLOOKUP(_xlpm.ai_test,$BJ$15:$BJ$62,ROW($BJ$15:$BJ$62),0,1),_xlfn.XLOOKUP(_xlpm.ai_test,$BK$15:$BK$62,ROW($BK$15:$BK$62),0,1))),_xlpm.p,_xlpm.r-MIN(ROW($BI$15:$BI$62))+1,_xlpm.f,INDEX($BL$15:$BL$62,_xlpm.p),_xlpm.u,INDEX($BM$15:$BM$62,_xlpm.p),_xlpm.s,INDEX($BO$15:$BO$62,_xlpm.p),_xlpm.q,N(AT548)/_xlpm.f,IF(_xlpm.q&gt;=_xlpm.s,ROUND(_xlpm.q,1)&amp;" "&amp;_xlpm.ai_test&amp;" = "&amp;ROUND(_xlpm.q*_xlpm.f,1)&amp;" "&amp;_xlpm.u,ROUND(_xlpm.q,1)&amp;" "&amp;_xlpm.ai_test)),""),""))))</f>
        <v>0</v>
      </c>
      <c r="AW548" s="1047"/>
      <c r="AX548" s="1034">
        <f t="shared" si="224"/>
        <v>0</v>
      </c>
      <c r="AY548" s="1035" t="str">
        <f t="shared" si="225"/>
        <v/>
      </c>
      <c r="AZ548" s="1036">
        <f t="shared" si="230"/>
        <v>0</v>
      </c>
      <c r="BA548" s="1037" t="str">
        <f t="shared" si="226"/>
        <v/>
      </c>
      <c r="BB548" s="1038"/>
      <c r="BC548" s="1039">
        <f t="shared" si="231"/>
        <v>0</v>
      </c>
      <c r="BD548" s="1040" t="str">
        <f t="shared" si="227"/>
        <v/>
      </c>
      <c r="BE548" s="227" t="s">
        <v>22</v>
      </c>
      <c r="BF548" s="1019">
        <f t="shared" si="228"/>
        <v>0</v>
      </c>
      <c r="BG548" s="1020">
        <f t="shared" si="229"/>
        <v>0</v>
      </c>
      <c r="BH548"/>
      <c r="BI548" s="709"/>
      <c r="BJ548" s="709"/>
      <c r="BK548" s="709"/>
      <c r="BL548" s="709"/>
      <c r="BM548" s="709"/>
      <c r="BN548" s="709"/>
      <c r="BO548" s="709"/>
      <c r="BP548" s="709"/>
      <c r="BW548" s="959" t="str">
        <f t="shared" si="210"/>
        <v>►</v>
      </c>
      <c r="BX548" s="856"/>
      <c r="BY548" s="856"/>
      <c r="BZ548" s="856"/>
      <c r="CA548" s="856"/>
      <c r="CB548" s="856"/>
      <c r="DB548" s="3">
        <v>1</v>
      </c>
    </row>
    <row r="549" spans="1:108" ht="21" customHeight="1">
      <c r="L549" s="104" t="s">
        <v>16</v>
      </c>
      <c r="M549" s="1172"/>
      <c r="N549" s="1172"/>
      <c r="O549" s="1172"/>
      <c r="P549" s="1173"/>
      <c r="Q549" s="1174"/>
      <c r="R549" s="1175"/>
      <c r="S549" s="1176"/>
      <c r="T549" s="1177"/>
      <c r="U549" s="5248"/>
      <c r="V549" s="1177"/>
      <c r="W549" s="5249"/>
      <c r="X549" s="5208"/>
      <c r="Y549" s="5209"/>
      <c r="Z549" s="5210"/>
      <c r="AA549" s="5211"/>
      <c r="AB549" s="1178"/>
      <c r="AC549" s="1179"/>
      <c r="AD549" s="227" t="s">
        <v>22</v>
      </c>
      <c r="AE549" s="1027" t="str">
        <f t="shared" si="211"/>
        <v>►</v>
      </c>
      <c r="AF549" s="1028" t="str">
        <f t="shared" si="212"/>
        <v/>
      </c>
      <c r="AG549" s="1029" t="str">
        <f t="shared" si="213"/>
        <v/>
      </c>
      <c r="AH549" s="1028" t="str">
        <f t="shared" si="214"/>
        <v/>
      </c>
      <c r="AI549" s="1029" t="str">
        <f t="shared" si="215"/>
        <v/>
      </c>
      <c r="AJ549" s="1029">
        <f t="shared" si="216"/>
        <v>0</v>
      </c>
      <c r="AK549" s="1043" t="str" cm="1">
        <f t="array" ref="AK549">IF(AE549&lt;&gt;"A","",IFERROR((IFERROR(_xlfn.XLOOKUP(TRIM(SUBSTITUTE(U549,CHAR(160)," ")),$BI$15:$BI$62,$BL$15:$BL$62),IFERROR(_xlfn.XLOOKUP(TRIM(SUBSTITUTE(U549,CHAR(160)," ")),$BJ$15:$BJ$62,$BL$15:$BL$62),_xlfn.XLOOKUP(TRIM(SUBSTITUTE(U549,CHAR(160)," ")),$BK$15:$BK$62,$BL$15:$BL$62))))*T549*IF(ISBLANK(Q549),1,Q549)+IFERROR(_xlfn.XLOOKUP("RECHERCHEX",TRIM(L549:AC549),L549:AC549),0),0))</f>
        <v/>
      </c>
      <c r="AL549" s="1030">
        <f t="shared" si="217"/>
        <v>0</v>
      </c>
      <c r="AM549" s="5254" t="str">
        <f t="shared" si="232"/>
        <v/>
      </c>
      <c r="AN549" s="1031">
        <f t="shared" si="233"/>
        <v>0</v>
      </c>
      <c r="AO549" s="1031">
        <f t="shared" si="219"/>
        <v>0</v>
      </c>
      <c r="AP549" s="1044">
        <f t="shared" si="220"/>
        <v>0</v>
      </c>
      <c r="AQ549" s="5257" t="str">
        <f t="shared" si="221"/>
        <v/>
      </c>
      <c r="AR549" s="1056"/>
      <c r="AS549" s="1056"/>
      <c r="AT549" s="1045">
        <f t="shared" si="222"/>
        <v>0</v>
      </c>
      <c r="AU549" s="1046">
        <f t="shared" si="223"/>
        <v>0</v>
      </c>
      <c r="AV549" s="1059" cm="1">
        <f t="array" ref="AV549">IF(AJ549&lt;&gt;1,0,IF(OR(AT549="",N(AT549)&lt;=0.000000001),"",IF(OR(AN549="",N(AN549)&lt;=0.000000001),0,IF(ISNUMBER(AT549),IFERROR(_xlfn.LET(_xlpm.ai_test,TRIM(AI549),_xlpm.r,IFERROR(_xlfn.XLOOKUP(_xlpm.ai_test,$BI$15:$BI$62,ROW($BI$15:$BI$62),0,1),IFERROR(_xlfn.XLOOKUP(_xlpm.ai_test,$BJ$15:$BJ$62,ROW($BJ$15:$BJ$62),0,1),_xlfn.XLOOKUP(_xlpm.ai_test,$BK$15:$BK$62,ROW($BK$15:$BK$62),0,1))),_xlpm.p,_xlpm.r-MIN(ROW($BI$15:$BI$62))+1,_xlpm.f,INDEX($BL$15:$BL$62,_xlpm.p),_xlpm.u,INDEX($BM$15:$BM$62,_xlpm.p),_xlpm.s,INDEX($BO$15:$BO$62,_xlpm.p),_xlpm.q,N(AT549)/_xlpm.f,IF(_xlpm.q&gt;=_xlpm.s,ROUND(_xlpm.q,1)&amp;" "&amp;_xlpm.ai_test&amp;" = "&amp;ROUND(_xlpm.q*_xlpm.f,1)&amp;" "&amp;_xlpm.u,ROUND(_xlpm.q,1)&amp;" "&amp;_xlpm.ai_test)),""),""))))</f>
        <v>0</v>
      </c>
      <c r="AW549" s="1047"/>
      <c r="AX549" s="1045">
        <f t="shared" si="224"/>
        <v>0</v>
      </c>
      <c r="AY549" s="1046" t="str">
        <f t="shared" si="225"/>
        <v/>
      </c>
      <c r="AZ549" s="1048">
        <f t="shared" si="230"/>
        <v>0</v>
      </c>
      <c r="BA549" s="1049" t="str">
        <f t="shared" si="226"/>
        <v/>
      </c>
      <c r="BB549" s="1038"/>
      <c r="BC549" s="1050">
        <f t="shared" si="231"/>
        <v>0</v>
      </c>
      <c r="BD549" s="1040" t="str">
        <f t="shared" si="227"/>
        <v/>
      </c>
      <c r="BE549" s="227" t="s">
        <v>22</v>
      </c>
      <c r="BF549" s="1019">
        <f t="shared" si="228"/>
        <v>0</v>
      </c>
      <c r="BG549" s="1020">
        <f t="shared" si="229"/>
        <v>0</v>
      </c>
      <c r="BH549"/>
      <c r="BI549"/>
      <c r="BJ549"/>
      <c r="BK549"/>
      <c r="BL549"/>
      <c r="BM549"/>
      <c r="BN549"/>
      <c r="BO549"/>
      <c r="BP549"/>
      <c r="BW549" s="959" t="str">
        <f t="shared" si="210"/>
        <v>►</v>
      </c>
      <c r="BX549" s="856"/>
      <c r="BY549" s="856"/>
      <c r="BZ549" s="856"/>
      <c r="CA549" s="856"/>
      <c r="CB549" s="856"/>
      <c r="DB549" s="3">
        <v>1</v>
      </c>
    </row>
    <row r="550" spans="1:108" ht="21" customHeight="1">
      <c r="A550" s="225"/>
      <c r="B550" s="225"/>
      <c r="C550" s="133"/>
      <c r="D550" s="225"/>
      <c r="E550" s="225"/>
      <c r="F550" s="225"/>
      <c r="G550" s="225"/>
      <c r="H550" s="225"/>
      <c r="I550" s="225"/>
      <c r="J550" s="225"/>
      <c r="K550" s="225"/>
      <c r="L550" s="224" t="s">
        <v>11</v>
      </c>
      <c r="M550" s="225"/>
      <c r="N550" s="225"/>
      <c r="O550" s="225"/>
      <c r="P550" s="225"/>
      <c r="Q550" s="225"/>
      <c r="R550" s="225"/>
      <c r="S550" s="225"/>
      <c r="T550" s="225"/>
      <c r="U550" s="225"/>
      <c r="V550" s="225"/>
      <c r="W550" s="225"/>
      <c r="X550" s="225"/>
      <c r="Y550" s="225"/>
      <c r="Z550" s="225"/>
      <c r="AA550" s="225"/>
      <c r="AB550" s="225"/>
      <c r="AC550" s="225"/>
      <c r="AD550" s="225"/>
      <c r="AE550" s="225"/>
      <c r="AF550" s="225"/>
      <c r="AG550" s="225"/>
      <c r="AH550" s="225"/>
      <c r="AI550" s="225"/>
      <c r="AJ550" s="225"/>
      <c r="AK550" s="225"/>
      <c r="AL550" s="225"/>
      <c r="AM550" s="225"/>
      <c r="AN550" s="225"/>
      <c r="AO550" s="225"/>
      <c r="AP550" s="225"/>
      <c r="AQ550" s="225"/>
      <c r="AR550" s="225"/>
      <c r="AS550" s="225"/>
      <c r="AT550" s="225"/>
      <c r="AU550" s="225"/>
      <c r="AV550" s="225"/>
      <c r="AW550" s="225"/>
      <c r="AX550" s="225"/>
      <c r="AY550" s="225"/>
      <c r="AZ550" s="225"/>
      <c r="BA550" s="225"/>
      <c r="BB550" s="225"/>
      <c r="BC550" s="225"/>
      <c r="BD550" s="225"/>
      <c r="BE550" s="225"/>
      <c r="BF550" s="225"/>
      <c r="BG550" s="225"/>
      <c r="BH550" s="225"/>
      <c r="BI550" s="225"/>
      <c r="BJ550" s="225"/>
      <c r="BK550" s="225"/>
      <c r="BL550" s="225"/>
      <c r="BM550" s="225"/>
      <c r="BN550" s="225"/>
      <c r="BO550" s="225"/>
      <c r="BP550" s="225"/>
      <c r="BQ550" s="225"/>
      <c r="BR550" s="225"/>
      <c r="BS550" s="225"/>
      <c r="BT550" s="225"/>
      <c r="BU550" s="225"/>
      <c r="BV550" s="225"/>
      <c r="BW550" s="225"/>
      <c r="BX550" s="1125"/>
      <c r="BY550" s="1125"/>
      <c r="BZ550" s="1125"/>
      <c r="CA550" s="1125"/>
      <c r="CB550" s="1125"/>
      <c r="CC550" s="1125"/>
      <c r="CD550" s="1125"/>
      <c r="CE550" s="1125"/>
      <c r="CF550" s="1125"/>
      <c r="CG550" s="1125"/>
      <c r="CH550" s="1125"/>
      <c r="CI550" s="1125"/>
      <c r="CJ550" s="1125"/>
      <c r="CK550" s="1125"/>
      <c r="CL550" s="1125"/>
      <c r="CM550" s="1125"/>
      <c r="CN550" s="1125"/>
      <c r="CO550" s="1125"/>
      <c r="CP550" s="1125"/>
      <c r="CQ550" s="1125"/>
      <c r="CR550" s="1125"/>
      <c r="CS550" s="1125"/>
      <c r="CT550" s="1125"/>
      <c r="CU550" s="1125"/>
      <c r="CV550" s="1125"/>
      <c r="CW550" s="1125"/>
      <c r="CX550" s="1125"/>
      <c r="CY550" s="1125"/>
      <c r="CZ550" s="1125"/>
      <c r="DA550" s="1125"/>
      <c r="DB550" s="3">
        <v>1</v>
      </c>
    </row>
    <row r="551" spans="1:108">
      <c r="A551" s="3">
        <v>1</v>
      </c>
      <c r="B551" s="3">
        <v>1</v>
      </c>
      <c r="C551" s="3">
        <v>1</v>
      </c>
      <c r="D551" s="3">
        <v>1</v>
      </c>
      <c r="E551" s="3">
        <v>1</v>
      </c>
      <c r="F551" s="3">
        <v>1</v>
      </c>
      <c r="G551" s="3">
        <v>1</v>
      </c>
      <c r="H551" s="3">
        <v>1</v>
      </c>
      <c r="I551" s="3">
        <v>1</v>
      </c>
      <c r="J551" s="3">
        <v>1</v>
      </c>
      <c r="K551" s="3">
        <v>1</v>
      </c>
      <c r="L551" s="3">
        <v>1</v>
      </c>
      <c r="M551" s="3">
        <v>1</v>
      </c>
      <c r="N551" s="3">
        <v>1</v>
      </c>
      <c r="O551" s="3">
        <v>1</v>
      </c>
      <c r="P551" s="3">
        <v>1</v>
      </c>
      <c r="Q551" s="3">
        <v>1</v>
      </c>
      <c r="R551" s="3">
        <v>1</v>
      </c>
      <c r="S551" s="3">
        <v>1</v>
      </c>
      <c r="T551" s="3">
        <v>1</v>
      </c>
      <c r="U551" s="3">
        <v>1</v>
      </c>
      <c r="V551" s="3">
        <v>1</v>
      </c>
      <c r="W551" s="3">
        <v>1</v>
      </c>
      <c r="X551" s="3">
        <v>1</v>
      </c>
      <c r="Y551" s="3">
        <v>1</v>
      </c>
      <c r="Z551" s="3">
        <v>1</v>
      </c>
      <c r="AA551" s="3">
        <v>1</v>
      </c>
      <c r="AB551" s="3">
        <v>1</v>
      </c>
      <c r="AC551" s="3">
        <v>1</v>
      </c>
      <c r="AD551" s="3">
        <v>1</v>
      </c>
      <c r="AE551" s="3">
        <v>1</v>
      </c>
      <c r="AF551" s="3">
        <v>1</v>
      </c>
      <c r="AG551" s="3">
        <v>1</v>
      </c>
      <c r="AH551" s="3">
        <v>1</v>
      </c>
      <c r="AI551" s="3">
        <v>1</v>
      </c>
      <c r="AJ551" s="3">
        <v>1</v>
      </c>
      <c r="AK551" s="3">
        <v>1</v>
      </c>
      <c r="AL551" s="3">
        <v>1</v>
      </c>
      <c r="AM551" s="3">
        <v>1</v>
      </c>
      <c r="AN551" s="3">
        <v>1</v>
      </c>
      <c r="AO551" s="3">
        <v>1</v>
      </c>
      <c r="AP551" s="3">
        <v>1</v>
      </c>
      <c r="AQ551" s="3">
        <v>1</v>
      </c>
      <c r="AR551" s="3">
        <v>1</v>
      </c>
      <c r="AS551" s="3">
        <v>1</v>
      </c>
      <c r="AT551" s="3">
        <v>1</v>
      </c>
      <c r="AU551" s="3">
        <v>1</v>
      </c>
      <c r="AV551" s="3">
        <v>1</v>
      </c>
      <c r="AW551" s="3">
        <v>1</v>
      </c>
      <c r="AX551" s="3">
        <v>1</v>
      </c>
      <c r="AY551" s="3">
        <v>1</v>
      </c>
      <c r="AZ551" s="3">
        <v>1</v>
      </c>
      <c r="BA551" s="3">
        <v>1</v>
      </c>
      <c r="BB551" s="3">
        <v>1</v>
      </c>
      <c r="BC551" s="3">
        <v>1</v>
      </c>
      <c r="BD551" s="3">
        <v>1</v>
      </c>
      <c r="BE551" s="3">
        <v>1</v>
      </c>
      <c r="BF551" s="3">
        <v>1</v>
      </c>
      <c r="BG551" s="3">
        <v>1</v>
      </c>
      <c r="BH551" s="3">
        <v>1</v>
      </c>
      <c r="BI551" s="3">
        <v>1</v>
      </c>
      <c r="BJ551" s="3">
        <v>1</v>
      </c>
      <c r="BK551" s="3">
        <v>1</v>
      </c>
      <c r="BL551" s="3">
        <v>1</v>
      </c>
      <c r="BM551" s="3">
        <v>1</v>
      </c>
      <c r="BN551" s="3">
        <v>1</v>
      </c>
      <c r="BO551" s="3">
        <v>1</v>
      </c>
      <c r="BP551" s="3">
        <v>1</v>
      </c>
      <c r="BQ551" s="3">
        <v>1</v>
      </c>
      <c r="BR551" s="3">
        <v>1</v>
      </c>
      <c r="BS551" s="3">
        <v>1</v>
      </c>
      <c r="BT551" s="3">
        <v>1</v>
      </c>
      <c r="BU551" s="3">
        <v>1</v>
      </c>
      <c r="BV551" s="3">
        <v>1</v>
      </c>
      <c r="BW551" s="3">
        <v>1</v>
      </c>
      <c r="BX551" s="3">
        <v>1</v>
      </c>
      <c r="BY551" s="3">
        <v>1</v>
      </c>
      <c r="BZ551" s="3">
        <v>1</v>
      </c>
      <c r="CA551" s="3">
        <v>1</v>
      </c>
      <c r="CB551" s="3">
        <v>1</v>
      </c>
      <c r="CC551" s="3">
        <v>1</v>
      </c>
      <c r="CD551" s="3">
        <v>1</v>
      </c>
      <c r="CE551" s="3">
        <v>1</v>
      </c>
      <c r="CF551" s="3">
        <v>1</v>
      </c>
      <c r="CG551" s="3">
        <v>1</v>
      </c>
      <c r="CH551" s="3">
        <v>1</v>
      </c>
      <c r="CI551" s="3">
        <v>1</v>
      </c>
      <c r="CJ551" s="3">
        <v>1</v>
      </c>
      <c r="CK551" s="3">
        <v>1</v>
      </c>
      <c r="CL551" s="3">
        <v>1</v>
      </c>
      <c r="CM551" s="3">
        <v>1</v>
      </c>
      <c r="CN551" s="3">
        <v>1</v>
      </c>
      <c r="CO551" s="3">
        <v>1</v>
      </c>
      <c r="CP551" s="3">
        <v>1</v>
      </c>
      <c r="CQ551" s="3">
        <v>1</v>
      </c>
      <c r="CR551" s="3">
        <v>1</v>
      </c>
      <c r="CS551" s="3">
        <v>1</v>
      </c>
      <c r="CT551" s="3">
        <v>1</v>
      </c>
      <c r="CU551" s="3">
        <v>1</v>
      </c>
      <c r="CV551" s="3">
        <v>1</v>
      </c>
      <c r="CW551" s="3">
        <v>1</v>
      </c>
      <c r="CX551" s="3">
        <v>1</v>
      </c>
      <c r="CY551" s="3">
        <v>1</v>
      </c>
      <c r="CZ551" s="3">
        <v>1</v>
      </c>
      <c r="DA551" s="3">
        <v>1</v>
      </c>
      <c r="DB551" s="1" t="str">
        <f>ADDRESS(ROW(),COLUMN(),4)</f>
        <v>DB551</v>
      </c>
      <c r="DC551" s="710"/>
      <c r="DD551" s="711" t="str">
        <f>ADDRESS(ROW(),COLUMN(),4)</f>
        <v>DD551</v>
      </c>
    </row>
  </sheetData>
  <mergeCells count="97">
    <mergeCell ref="AY3:BD4"/>
    <mergeCell ref="C5:J6"/>
    <mergeCell ref="AL5:AZ6"/>
    <mergeCell ref="BA5:BB6"/>
    <mergeCell ref="BC5:BC6"/>
    <mergeCell ref="BD5:BD8"/>
    <mergeCell ref="AJ5:AK6"/>
    <mergeCell ref="AF7:AJ8"/>
    <mergeCell ref="CD5:CJ7"/>
    <mergeCell ref="CL5:CR7"/>
    <mergeCell ref="CT5:CZ7"/>
    <mergeCell ref="BX6:CB7"/>
    <mergeCell ref="C7:J7"/>
    <mergeCell ref="AK7:AK8"/>
    <mergeCell ref="AL7:AZ8"/>
    <mergeCell ref="BA7:BB8"/>
    <mergeCell ref="BC7:BC8"/>
    <mergeCell ref="D8:J8"/>
    <mergeCell ref="CD8:CJ8"/>
    <mergeCell ref="CL8:CR8"/>
    <mergeCell ref="CT8:CZ8"/>
    <mergeCell ref="CT9:CZ10"/>
    <mergeCell ref="CD11:CJ11"/>
    <mergeCell ref="CL11:CR11"/>
    <mergeCell ref="CT11:CZ11"/>
    <mergeCell ref="C12:C13"/>
    <mergeCell ref="AO9:AQ10"/>
    <mergeCell ref="AR9:AR10"/>
    <mergeCell ref="AS9:AT10"/>
    <mergeCell ref="CD9:CJ10"/>
    <mergeCell ref="CL9:CR10"/>
    <mergeCell ref="AF14:AF15"/>
    <mergeCell ref="AK14:AO15"/>
    <mergeCell ref="AP14:AQ15"/>
    <mergeCell ref="AR14:AS15"/>
    <mergeCell ref="AT14:AU15"/>
    <mergeCell ref="AV14:AV15"/>
    <mergeCell ref="BD14:BD15"/>
    <mergeCell ref="AF16:AF17"/>
    <mergeCell ref="AK16:AO17"/>
    <mergeCell ref="AP16:AQ17"/>
    <mergeCell ref="AR16:AS17"/>
    <mergeCell ref="AT16:AU17"/>
    <mergeCell ref="AV16:AV17"/>
    <mergeCell ref="AW16:AW17"/>
    <mergeCell ref="AX16:AY17"/>
    <mergeCell ref="AZ16:AZ17"/>
    <mergeCell ref="AW14:AW15"/>
    <mergeCell ref="AX14:AY15"/>
    <mergeCell ref="AZ14:AZ15"/>
    <mergeCell ref="BA14:BA15"/>
    <mergeCell ref="BB14:BB15"/>
    <mergeCell ref="BC14:BC15"/>
    <mergeCell ref="BA16:BA17"/>
    <mergeCell ref="BB16:BB17"/>
    <mergeCell ref="BC16:BC17"/>
    <mergeCell ref="BD16:BD17"/>
    <mergeCell ref="AF20:AJ21"/>
    <mergeCell ref="AK20:AO21"/>
    <mergeCell ref="AP20:AQ21"/>
    <mergeCell ref="AR20:AS20"/>
    <mergeCell ref="AT20:AU21"/>
    <mergeCell ref="AV20:AV21"/>
    <mergeCell ref="BX33:CB34"/>
    <mergeCell ref="AW20:AW21"/>
    <mergeCell ref="AX20:AY21"/>
    <mergeCell ref="AZ20:AZ21"/>
    <mergeCell ref="BA20:BA21"/>
    <mergeCell ref="BB20:BB21"/>
    <mergeCell ref="BC20:BC21"/>
    <mergeCell ref="BD20:BD21"/>
    <mergeCell ref="CD26:CJ28"/>
    <mergeCell ref="CL26:CR28"/>
    <mergeCell ref="CT26:CZ28"/>
    <mergeCell ref="BX30:CB31"/>
    <mergeCell ref="BI63:BP64"/>
    <mergeCell ref="BX64:CB65"/>
    <mergeCell ref="CT64:CZ65"/>
    <mergeCell ref="BX36:CB37"/>
    <mergeCell ref="CD38:CJ39"/>
    <mergeCell ref="CL38:CR39"/>
    <mergeCell ref="CT38:CZ39"/>
    <mergeCell ref="BX45:CB46"/>
    <mergeCell ref="BX48:CB49"/>
    <mergeCell ref="BX58:CB59"/>
    <mergeCell ref="CD59:CJ60"/>
    <mergeCell ref="CL59:CR60"/>
    <mergeCell ref="CT59:CZ60"/>
    <mergeCell ref="BX61:CB62"/>
    <mergeCell ref="BI99:BU100"/>
    <mergeCell ref="BI107:BU108"/>
    <mergeCell ref="BI67:BP68"/>
    <mergeCell ref="BX67:CB69"/>
    <mergeCell ref="BI69:BP70"/>
    <mergeCell ref="BI74:BU75"/>
    <mergeCell ref="BI82:BU83"/>
    <mergeCell ref="BI90:BU91"/>
  </mergeCells>
  <printOptions horizontalCentered="1"/>
  <pageMargins left="0.31496062992125984" right="0.31496062992125984" top="0.19685039370078741" bottom="0.15748031496062992" header="0.11811023622047245" footer="0.11811023622047245"/>
  <pageSetup paperSize="9" scale="31"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3BD3FA-3163-41DE-9E78-0D036DAA4B34}">
  <dimension ref="A1:BX609"/>
  <sheetViews>
    <sheetView showZeros="0" zoomScaleNormal="100" workbookViewId="0">
      <selection activeCell="Q7" sqref="Q7"/>
    </sheetView>
  </sheetViews>
  <sheetFormatPr baseColWidth="10" defaultRowHeight="15"/>
  <cols>
    <col min="1" max="1" width="5.5703125" customWidth="1"/>
    <col min="2" max="5" width="3.7109375" style="227" customWidth="1"/>
    <col min="6" max="6" width="5.28515625" style="227" customWidth="1"/>
    <col min="7" max="8" width="12.7109375" style="227" customWidth="1"/>
    <col min="9" max="9" width="4" style="227" customWidth="1"/>
    <col min="10" max="10" width="9.7109375" style="227" customWidth="1"/>
    <col min="11" max="11" width="12.85546875" style="227" customWidth="1"/>
    <col min="12" max="12" width="13.42578125" style="227" customWidth="1"/>
    <col min="13" max="13" width="40.7109375" style="227" customWidth="1"/>
    <col min="14" max="14" width="13.7109375" style="227" customWidth="1"/>
    <col min="15" max="16" width="15.7109375" style="227" customWidth="1"/>
    <col min="18" max="21" width="3.7109375" style="227" customWidth="1"/>
    <col min="22" max="22" width="5.28515625" style="227" customWidth="1"/>
    <col min="23" max="24" width="12.7109375" style="227" customWidth="1"/>
    <col min="25" max="25" width="4" style="227" customWidth="1"/>
    <col min="26" max="26" width="9.7109375" style="227" customWidth="1"/>
    <col min="27" max="27" width="12.85546875" style="227" customWidth="1"/>
    <col min="28" max="28" width="13.42578125" style="227" customWidth="1"/>
    <col min="29" max="29" width="40.7109375" style="227" customWidth="1"/>
    <col min="30" max="30" width="13.7109375" style="227" customWidth="1"/>
    <col min="31" max="32" width="15.7109375" style="227" customWidth="1"/>
    <col min="34" max="37" width="3.7109375" style="227" customWidth="1"/>
    <col min="38" max="38" width="5.28515625" style="227" customWidth="1"/>
    <col min="39" max="40" width="12.7109375" style="227" customWidth="1"/>
    <col min="41" max="41" width="4" style="227" customWidth="1"/>
    <col min="42" max="42" width="9.7109375" style="227" customWidth="1"/>
    <col min="43" max="43" width="12.85546875" style="227" customWidth="1"/>
    <col min="44" max="44" width="13.42578125" style="227" customWidth="1"/>
    <col min="45" max="45" width="40.7109375" style="227" customWidth="1"/>
    <col min="46" max="46" width="13.7109375" style="227" customWidth="1"/>
    <col min="47" max="48" width="15.7109375" style="227" customWidth="1"/>
    <col min="50" max="50" width="19.7109375" customWidth="1"/>
    <col min="51" max="51" width="18.7109375" customWidth="1"/>
    <col min="52" max="52" width="25.7109375" customWidth="1"/>
    <col min="53" max="53" width="18.28515625" customWidth="1"/>
    <col min="54" max="54" width="16.7109375" customWidth="1"/>
    <col min="55" max="55" width="31.7109375" customWidth="1"/>
    <col min="56" max="56" width="36.7109375" customWidth="1"/>
    <col min="57" max="57" width="5.42578125" customWidth="1"/>
    <col min="58" max="58" width="19.7109375" customWidth="1"/>
    <col min="59" max="59" width="18.7109375" customWidth="1"/>
    <col min="60" max="60" width="25.7109375" customWidth="1"/>
    <col min="61" max="62" width="16.7109375" customWidth="1"/>
    <col min="63" max="63" width="31.7109375" customWidth="1"/>
    <col min="64" max="64" width="36.7109375" customWidth="1"/>
    <col min="65" max="65" width="4.85546875" customWidth="1"/>
    <col min="66" max="66" width="19.7109375" customWidth="1"/>
    <col min="67" max="67" width="18.7109375" customWidth="1"/>
    <col min="68" max="68" width="25.7109375" customWidth="1"/>
    <col min="69" max="69" width="20.85546875" customWidth="1"/>
    <col min="70" max="70" width="16.7109375" customWidth="1"/>
    <col min="71" max="71" width="31.7109375" customWidth="1"/>
    <col min="72" max="72" width="36.7109375" customWidth="1"/>
    <col min="73" max="73" width="6.7109375" customWidth="1"/>
    <col min="76" max="76" width="86" customWidth="1"/>
  </cols>
  <sheetData>
    <row r="1" spans="1:76" ht="15.75" thickTop="1">
      <c r="A1" s="1" t="str">
        <f>ADDRESS(ROW(),COLUMN(),4)</f>
        <v>A1</v>
      </c>
      <c r="B1" s="2" t="str">
        <f t="shared" ref="B1:AV1" si="0">SUBSTITUTE(ADDRESS(1,COLUMN(),4),"1","")</f>
        <v>B</v>
      </c>
      <c r="C1" s="2" t="str">
        <f t="shared" si="0"/>
        <v>C</v>
      </c>
      <c r="D1" s="2" t="str">
        <f t="shared" si="0"/>
        <v>D</v>
      </c>
      <c r="E1" s="2" t="str">
        <f t="shared" si="0"/>
        <v>E</v>
      </c>
      <c r="F1" s="2" t="str">
        <f t="shared" si="0"/>
        <v>F</v>
      </c>
      <c r="G1" s="2" t="str">
        <f t="shared" si="0"/>
        <v>G</v>
      </c>
      <c r="H1" s="2" t="str">
        <f t="shared" si="0"/>
        <v>H</v>
      </c>
      <c r="I1" s="2" t="str">
        <f t="shared" si="0"/>
        <v>I</v>
      </c>
      <c r="J1" s="2" t="str">
        <f t="shared" si="0"/>
        <v>J</v>
      </c>
      <c r="K1" s="2" t="str">
        <f t="shared" si="0"/>
        <v>K</v>
      </c>
      <c r="L1" s="2" t="str">
        <f t="shared" si="0"/>
        <v>L</v>
      </c>
      <c r="M1" s="2" t="str">
        <f t="shared" si="0"/>
        <v>M</v>
      </c>
      <c r="N1" s="2" t="str">
        <f t="shared" si="0"/>
        <v>N</v>
      </c>
      <c r="O1" s="2" t="str">
        <f t="shared" si="0"/>
        <v>O</v>
      </c>
      <c r="P1" s="2" t="str">
        <f t="shared" si="0"/>
        <v>P</v>
      </c>
      <c r="R1" s="2" t="str">
        <f t="shared" si="0"/>
        <v>R</v>
      </c>
      <c r="S1" s="2" t="str">
        <f t="shared" si="0"/>
        <v>S</v>
      </c>
      <c r="T1" s="2" t="str">
        <f t="shared" si="0"/>
        <v>T</v>
      </c>
      <c r="U1" s="2" t="str">
        <f t="shared" si="0"/>
        <v>U</v>
      </c>
      <c r="V1" s="2" t="str">
        <f t="shared" si="0"/>
        <v>V</v>
      </c>
      <c r="W1" s="2" t="str">
        <f t="shared" si="0"/>
        <v>W</v>
      </c>
      <c r="X1" s="2" t="str">
        <f t="shared" si="0"/>
        <v>X</v>
      </c>
      <c r="Y1" s="2" t="str">
        <f t="shared" si="0"/>
        <v>Y</v>
      </c>
      <c r="Z1" s="2" t="str">
        <f t="shared" si="0"/>
        <v>Z</v>
      </c>
      <c r="AA1" s="2" t="str">
        <f t="shared" si="0"/>
        <v>AA</v>
      </c>
      <c r="AB1" s="2" t="str">
        <f t="shared" si="0"/>
        <v>AB</v>
      </c>
      <c r="AC1" s="2" t="str">
        <f t="shared" si="0"/>
        <v>AC</v>
      </c>
      <c r="AD1" s="2" t="str">
        <f t="shared" si="0"/>
        <v>AD</v>
      </c>
      <c r="AE1" s="2" t="str">
        <f t="shared" si="0"/>
        <v>AE</v>
      </c>
      <c r="AF1" s="2" t="str">
        <f t="shared" si="0"/>
        <v>AF</v>
      </c>
      <c r="AH1" s="2" t="str">
        <f t="shared" si="0"/>
        <v>AH</v>
      </c>
      <c r="AI1" s="2" t="str">
        <f t="shared" si="0"/>
        <v>AI</v>
      </c>
      <c r="AJ1" s="2" t="str">
        <f t="shared" si="0"/>
        <v>AJ</v>
      </c>
      <c r="AK1" s="2" t="str">
        <f t="shared" si="0"/>
        <v>AK</v>
      </c>
      <c r="AL1" s="2" t="str">
        <f t="shared" si="0"/>
        <v>AL</v>
      </c>
      <c r="AM1" s="2" t="str">
        <f t="shared" si="0"/>
        <v>AM</v>
      </c>
      <c r="AN1" s="2" t="str">
        <f t="shared" si="0"/>
        <v>AN</v>
      </c>
      <c r="AO1" s="2" t="str">
        <f t="shared" si="0"/>
        <v>AO</v>
      </c>
      <c r="AP1" s="2" t="str">
        <f t="shared" si="0"/>
        <v>AP</v>
      </c>
      <c r="AQ1" s="2" t="str">
        <f t="shared" si="0"/>
        <v>AQ</v>
      </c>
      <c r="AR1" s="2" t="str">
        <f t="shared" si="0"/>
        <v>AR</v>
      </c>
      <c r="AS1" s="2" t="str">
        <f t="shared" si="0"/>
        <v>AS</v>
      </c>
      <c r="AT1" s="2" t="str">
        <f t="shared" si="0"/>
        <v>AT</v>
      </c>
      <c r="AU1" s="2" t="str">
        <f t="shared" si="0"/>
        <v>AU</v>
      </c>
      <c r="AV1" s="2" t="str">
        <f t="shared" si="0"/>
        <v>AV</v>
      </c>
      <c r="AW1" s="1127"/>
      <c r="AX1" s="2" t="str">
        <f t="shared" ref="AX1:BD1" si="1">SUBSTITUTE(ADDRESS(1,COLUMN(),4),"1","")</f>
        <v>AX</v>
      </c>
      <c r="AY1" s="2" t="str">
        <f t="shared" si="1"/>
        <v>AY</v>
      </c>
      <c r="AZ1" s="2" t="str">
        <f t="shared" si="1"/>
        <v>AZ</v>
      </c>
      <c r="BA1" s="2" t="str">
        <f t="shared" si="1"/>
        <v>BA</v>
      </c>
      <c r="BB1" s="2" t="str">
        <f t="shared" si="1"/>
        <v>BB</v>
      </c>
      <c r="BC1" s="2" t="str">
        <f t="shared" si="1"/>
        <v>BC</v>
      </c>
      <c r="BD1" s="2" t="str">
        <f t="shared" si="1"/>
        <v>BD</v>
      </c>
      <c r="BF1" s="2" t="str">
        <f t="shared" ref="BF1:BL1" si="2">SUBSTITUTE(ADDRESS(1,COLUMN(),4),"1","")</f>
        <v>BF</v>
      </c>
      <c r="BG1" s="2" t="str">
        <f t="shared" si="2"/>
        <v>BG</v>
      </c>
      <c r="BH1" s="2" t="str">
        <f t="shared" si="2"/>
        <v>BH</v>
      </c>
      <c r="BI1" s="2" t="str">
        <f t="shared" si="2"/>
        <v>BI</v>
      </c>
      <c r="BJ1" s="2" t="str">
        <f t="shared" si="2"/>
        <v>BJ</v>
      </c>
      <c r="BK1" s="2" t="str">
        <f t="shared" si="2"/>
        <v>BK</v>
      </c>
      <c r="BL1" s="2" t="str">
        <f t="shared" si="2"/>
        <v>BL</v>
      </c>
      <c r="BN1" s="2" t="str">
        <f t="shared" ref="BN1:BT1" si="3">SUBSTITUTE(ADDRESS(1,COLUMN(),4),"1","")</f>
        <v>BN</v>
      </c>
      <c r="BO1" s="2" t="str">
        <f t="shared" si="3"/>
        <v>BO</v>
      </c>
      <c r="BP1" s="2" t="str">
        <f t="shared" si="3"/>
        <v>BP</v>
      </c>
      <c r="BQ1" s="2" t="str">
        <f t="shared" si="3"/>
        <v>BQ</v>
      </c>
      <c r="BR1" s="2" t="str">
        <f t="shared" si="3"/>
        <v>BR</v>
      </c>
      <c r="BS1" s="2" t="str">
        <f t="shared" si="3"/>
        <v>BS</v>
      </c>
      <c r="BT1" s="2" t="str">
        <f t="shared" si="3"/>
        <v>BT</v>
      </c>
      <c r="BV1" s="3">
        <v>1</v>
      </c>
      <c r="BW1" s="4" t="str">
        <f>SUBSTITUTE(ADDRESS(1,COLUMN(),4),"1","")</f>
        <v>BW</v>
      </c>
      <c r="BX1" s="5" t="str">
        <f>SUBSTITUTE(ADDRESS(1,COLUMN(),4),"1","")</f>
        <v>BX</v>
      </c>
    </row>
    <row r="2" spans="1:76" ht="15.75" thickBot="1">
      <c r="B2" s="922">
        <f t="shared" ref="B2:AV2" ca="1" si="4">CELL("largeur",B2)</f>
        <v>3</v>
      </c>
      <c r="C2" s="922">
        <f t="shared" ca="1" si="4"/>
        <v>3</v>
      </c>
      <c r="D2" s="922">
        <f t="shared" ca="1" si="4"/>
        <v>3</v>
      </c>
      <c r="E2" s="922">
        <f t="shared" ca="1" si="4"/>
        <v>3</v>
      </c>
      <c r="F2" s="922">
        <f t="shared" ca="1" si="4"/>
        <v>5</v>
      </c>
      <c r="G2" s="922">
        <f t="shared" ca="1" si="4"/>
        <v>12</v>
      </c>
      <c r="H2" s="922">
        <f t="shared" ca="1" si="4"/>
        <v>12</v>
      </c>
      <c r="I2" s="922">
        <f t="shared" ca="1" si="4"/>
        <v>3</v>
      </c>
      <c r="J2" s="922">
        <f t="shared" ca="1" si="4"/>
        <v>9</v>
      </c>
      <c r="K2" s="922">
        <f t="shared" ca="1" si="4"/>
        <v>12</v>
      </c>
      <c r="L2" s="922">
        <f t="shared" ca="1" si="4"/>
        <v>13</v>
      </c>
      <c r="M2" s="922">
        <f t="shared" ca="1" si="4"/>
        <v>40</v>
      </c>
      <c r="N2" s="922">
        <f t="shared" ca="1" si="4"/>
        <v>13</v>
      </c>
      <c r="O2" s="922">
        <f t="shared" ca="1" si="4"/>
        <v>15</v>
      </c>
      <c r="P2" s="922">
        <f t="shared" ca="1" si="4"/>
        <v>15</v>
      </c>
      <c r="R2" s="922">
        <f t="shared" ca="1" si="4"/>
        <v>3</v>
      </c>
      <c r="S2" s="922">
        <f t="shared" ca="1" si="4"/>
        <v>3</v>
      </c>
      <c r="T2" s="922">
        <f t="shared" ca="1" si="4"/>
        <v>3</v>
      </c>
      <c r="U2" s="922">
        <f t="shared" ca="1" si="4"/>
        <v>3</v>
      </c>
      <c r="V2" s="922">
        <f t="shared" ca="1" si="4"/>
        <v>5</v>
      </c>
      <c r="W2" s="922">
        <f t="shared" ca="1" si="4"/>
        <v>12</v>
      </c>
      <c r="X2" s="922">
        <f t="shared" ca="1" si="4"/>
        <v>12</v>
      </c>
      <c r="Y2" s="922">
        <f t="shared" ca="1" si="4"/>
        <v>3</v>
      </c>
      <c r="Z2" s="922">
        <f t="shared" ca="1" si="4"/>
        <v>9</v>
      </c>
      <c r="AA2" s="922">
        <f t="shared" ca="1" si="4"/>
        <v>12</v>
      </c>
      <c r="AB2" s="922">
        <f t="shared" ca="1" si="4"/>
        <v>13</v>
      </c>
      <c r="AC2" s="922">
        <f t="shared" ca="1" si="4"/>
        <v>40</v>
      </c>
      <c r="AD2" s="922">
        <f t="shared" ca="1" si="4"/>
        <v>13</v>
      </c>
      <c r="AE2" s="922">
        <f t="shared" ca="1" si="4"/>
        <v>15</v>
      </c>
      <c r="AF2" s="922">
        <f t="shared" ca="1" si="4"/>
        <v>15</v>
      </c>
      <c r="AH2" s="922">
        <f t="shared" ca="1" si="4"/>
        <v>3</v>
      </c>
      <c r="AI2" s="922">
        <f t="shared" ca="1" si="4"/>
        <v>3</v>
      </c>
      <c r="AJ2" s="922">
        <f t="shared" ca="1" si="4"/>
        <v>3</v>
      </c>
      <c r="AK2" s="922">
        <f t="shared" ca="1" si="4"/>
        <v>3</v>
      </c>
      <c r="AL2" s="922">
        <f t="shared" ca="1" si="4"/>
        <v>5</v>
      </c>
      <c r="AM2" s="922">
        <f t="shared" ca="1" si="4"/>
        <v>12</v>
      </c>
      <c r="AN2" s="922">
        <f t="shared" ca="1" si="4"/>
        <v>12</v>
      </c>
      <c r="AO2" s="922">
        <f t="shared" ca="1" si="4"/>
        <v>3</v>
      </c>
      <c r="AP2" s="922">
        <f t="shared" ca="1" si="4"/>
        <v>9</v>
      </c>
      <c r="AQ2" s="922">
        <f t="shared" ca="1" si="4"/>
        <v>12</v>
      </c>
      <c r="AR2" s="922">
        <f t="shared" ca="1" si="4"/>
        <v>13</v>
      </c>
      <c r="AS2" s="922">
        <f t="shared" ca="1" si="4"/>
        <v>40</v>
      </c>
      <c r="AT2" s="922">
        <f t="shared" ca="1" si="4"/>
        <v>13</v>
      </c>
      <c r="AU2" s="922">
        <f t="shared" ca="1" si="4"/>
        <v>15</v>
      </c>
      <c r="AV2" s="922">
        <f t="shared" ca="1" si="4"/>
        <v>15</v>
      </c>
      <c r="AW2" s="1127" t="s">
        <v>1978</v>
      </c>
      <c r="AX2" s="6">
        <f t="shared" ref="AX2:BD2" ca="1" si="5">CELL("largeur",AX2)</f>
        <v>19</v>
      </c>
      <c r="AY2" s="6">
        <f t="shared" ca="1" si="5"/>
        <v>18</v>
      </c>
      <c r="AZ2" s="6">
        <f t="shared" ca="1" si="5"/>
        <v>25</v>
      </c>
      <c r="BA2" s="6">
        <f t="shared" ca="1" si="5"/>
        <v>18</v>
      </c>
      <c r="BB2" s="6">
        <f t="shared" ca="1" si="5"/>
        <v>16</v>
      </c>
      <c r="BC2" s="6">
        <f t="shared" ca="1" si="5"/>
        <v>31</v>
      </c>
      <c r="BD2" s="6">
        <f t="shared" ca="1" si="5"/>
        <v>36</v>
      </c>
      <c r="BF2" s="6">
        <f t="shared" ref="BF2:BL2" ca="1" si="6">CELL("largeur",BF2)</f>
        <v>19</v>
      </c>
      <c r="BG2" s="6">
        <f t="shared" ca="1" si="6"/>
        <v>18</v>
      </c>
      <c r="BH2" s="6">
        <f t="shared" ca="1" si="6"/>
        <v>25</v>
      </c>
      <c r="BI2" s="6">
        <f t="shared" ca="1" si="6"/>
        <v>16</v>
      </c>
      <c r="BJ2" s="6">
        <f t="shared" ca="1" si="6"/>
        <v>16</v>
      </c>
      <c r="BK2" s="6">
        <f t="shared" ca="1" si="6"/>
        <v>31</v>
      </c>
      <c r="BL2" s="6">
        <f t="shared" ca="1" si="6"/>
        <v>36</v>
      </c>
      <c r="BN2" s="6">
        <f t="shared" ref="BN2:BT2" ca="1" si="7">CELL("largeur",BN2)</f>
        <v>19</v>
      </c>
      <c r="BO2" s="6">
        <f t="shared" ca="1" si="7"/>
        <v>18</v>
      </c>
      <c r="BP2" s="6">
        <f t="shared" ca="1" si="7"/>
        <v>25</v>
      </c>
      <c r="BQ2" s="6">
        <f t="shared" ca="1" si="7"/>
        <v>20</v>
      </c>
      <c r="BR2" s="6">
        <f t="shared" ca="1" si="7"/>
        <v>16</v>
      </c>
      <c r="BS2" s="6">
        <f t="shared" ca="1" si="7"/>
        <v>31</v>
      </c>
      <c r="BT2" s="6">
        <f t="shared" ca="1" si="7"/>
        <v>36</v>
      </c>
      <c r="BV2" s="3">
        <v>1</v>
      </c>
      <c r="BW2" s="7" t="s">
        <v>3</v>
      </c>
      <c r="BX2" s="8"/>
    </row>
    <row r="3" spans="1:76" ht="21" customHeight="1" thickBot="1">
      <c r="B3" s="923">
        <v>3</v>
      </c>
      <c r="C3" s="923">
        <v>3</v>
      </c>
      <c r="D3" s="923">
        <v>3</v>
      </c>
      <c r="E3" s="923">
        <v>3</v>
      </c>
      <c r="F3" s="923">
        <v>5</v>
      </c>
      <c r="G3" s="923">
        <v>12</v>
      </c>
      <c r="H3" s="923">
        <v>12</v>
      </c>
      <c r="I3" s="923">
        <v>3</v>
      </c>
      <c r="J3" s="923">
        <v>9</v>
      </c>
      <c r="K3" s="923">
        <v>12</v>
      </c>
      <c r="L3" s="923">
        <v>13</v>
      </c>
      <c r="M3" s="923">
        <v>40</v>
      </c>
      <c r="N3" s="923">
        <v>13</v>
      </c>
      <c r="O3" s="923">
        <v>15</v>
      </c>
      <c r="P3" s="923">
        <v>15</v>
      </c>
      <c r="R3" s="923">
        <v>3</v>
      </c>
      <c r="S3" s="923">
        <v>3</v>
      </c>
      <c r="T3" s="923">
        <v>3</v>
      </c>
      <c r="U3" s="923">
        <v>3</v>
      </c>
      <c r="V3" s="923">
        <v>5</v>
      </c>
      <c r="W3" s="923">
        <v>12</v>
      </c>
      <c r="X3" s="923">
        <v>12</v>
      </c>
      <c r="Y3" s="923">
        <v>3</v>
      </c>
      <c r="Z3" s="923">
        <v>9</v>
      </c>
      <c r="AA3" s="923">
        <v>12</v>
      </c>
      <c r="AB3" s="923">
        <v>13</v>
      </c>
      <c r="AC3" s="923">
        <v>40</v>
      </c>
      <c r="AD3" s="923">
        <v>13</v>
      </c>
      <c r="AE3" s="923">
        <v>15</v>
      </c>
      <c r="AF3" s="923">
        <v>15</v>
      </c>
      <c r="AH3" s="923">
        <v>3</v>
      </c>
      <c r="AI3" s="923">
        <v>3</v>
      </c>
      <c r="AJ3" s="923">
        <v>3</v>
      </c>
      <c r="AK3" s="923">
        <v>3</v>
      </c>
      <c r="AL3" s="923">
        <v>5</v>
      </c>
      <c r="AM3" s="923">
        <v>12</v>
      </c>
      <c r="AN3" s="923">
        <v>12</v>
      </c>
      <c r="AO3" s="923">
        <v>3</v>
      </c>
      <c r="AP3" s="923">
        <v>9</v>
      </c>
      <c r="AQ3" s="923">
        <v>12</v>
      </c>
      <c r="AR3" s="923">
        <v>13</v>
      </c>
      <c r="AS3" s="923">
        <v>40</v>
      </c>
      <c r="AT3" s="923">
        <v>13</v>
      </c>
      <c r="AU3" s="923">
        <v>15</v>
      </c>
      <c r="AV3" s="923">
        <v>15</v>
      </c>
      <c r="AW3" s="1127" t="s">
        <v>1381</v>
      </c>
      <c r="BQ3" s="10" t="s">
        <v>4</v>
      </c>
      <c r="BR3" s="1" t="str">
        <f>BV609</f>
        <v>BV609</v>
      </c>
      <c r="BT3" s="10"/>
      <c r="BV3" s="3">
        <v>1</v>
      </c>
      <c r="BW3" s="11">
        <f ca="1">COUNTA(A1:BV609) + COUNTBLANK(A1:BV609)</f>
        <v>45786</v>
      </c>
      <c r="BX3" s="12" t="str">
        <f>"cellules entre -cells -celdas  "&amp;" " &amp;A1&amp;" et  "&amp;BV609</f>
        <v>cellules entre -cells -celdas   A1 et  BV609</v>
      </c>
    </row>
    <row r="4" spans="1:76" ht="21" customHeight="1">
      <c r="B4" s="13" t="s">
        <v>5</v>
      </c>
      <c r="C4" s="13" t="s">
        <v>6</v>
      </c>
      <c r="D4" s="14" t="s">
        <v>7</v>
      </c>
      <c r="E4" s="14" t="s">
        <v>8</v>
      </c>
      <c r="F4" s="14" t="s">
        <v>9</v>
      </c>
      <c r="G4" s="15"/>
      <c r="H4" s="15"/>
      <c r="I4" s="15"/>
      <c r="J4" s="15"/>
      <c r="K4" s="5047" t="s">
        <v>12936</v>
      </c>
      <c r="L4" s="15"/>
      <c r="M4" s="924"/>
      <c r="N4" s="924"/>
      <c r="O4" s="924"/>
      <c r="P4" s="15"/>
      <c r="R4" s="13" t="s">
        <v>5</v>
      </c>
      <c r="S4" s="13" t="s">
        <v>6</v>
      </c>
      <c r="T4" s="14" t="s">
        <v>7</v>
      </c>
      <c r="U4" s="14" t="s">
        <v>8</v>
      </c>
      <c r="V4" s="14" t="s">
        <v>9</v>
      </c>
      <c r="W4" s="15"/>
      <c r="X4" s="15"/>
      <c r="Y4" s="15"/>
      <c r="Z4" s="15"/>
      <c r="AA4" s="5047" t="s">
        <v>12938</v>
      </c>
      <c r="AB4" s="15"/>
      <c r="AC4" s="924"/>
      <c r="AD4" s="924"/>
      <c r="AE4" s="924"/>
      <c r="AF4" s="15"/>
      <c r="AH4" s="13" t="s">
        <v>5</v>
      </c>
      <c r="AI4" s="13" t="s">
        <v>6</v>
      </c>
      <c r="AJ4" s="14" t="s">
        <v>7</v>
      </c>
      <c r="AK4" s="14" t="s">
        <v>8</v>
      </c>
      <c r="AL4" s="14" t="s">
        <v>9</v>
      </c>
      <c r="AM4" s="15"/>
      <c r="AN4" s="15"/>
      <c r="AO4" s="15"/>
      <c r="AP4" s="15"/>
      <c r="AQ4" s="5047" t="s">
        <v>12940</v>
      </c>
      <c r="AR4" s="15"/>
      <c r="AS4" s="924"/>
      <c r="AT4" s="924"/>
      <c r="AU4" s="924"/>
      <c r="AV4" s="15"/>
      <c r="BQ4" s="951" t="s">
        <v>1680</v>
      </c>
      <c r="BT4" s="951"/>
      <c r="BV4" s="3">
        <v>1</v>
      </c>
      <c r="BW4" s="11">
        <f ca="1">COUNTA(A1:BV609)</f>
        <v>13341</v>
      </c>
      <c r="BX4" s="12" t="s">
        <v>10</v>
      </c>
    </row>
    <row r="5" spans="1:76" ht="21" customHeight="1">
      <c r="B5" s="16" t="s">
        <v>11</v>
      </c>
      <c r="C5" s="17"/>
      <c r="D5" s="18"/>
      <c r="E5" s="18"/>
      <c r="F5" s="18"/>
      <c r="G5" s="19"/>
      <c r="H5" s="19"/>
      <c r="I5" s="19"/>
      <c r="J5" s="19"/>
      <c r="K5" s="1920" t="s">
        <v>12937</v>
      </c>
      <c r="L5" s="5049" t="s">
        <v>436</v>
      </c>
      <c r="N5" s="924" t="s">
        <v>1382</v>
      </c>
      <c r="O5" s="5051"/>
      <c r="P5" s="5051"/>
      <c r="R5" s="16" t="s">
        <v>11</v>
      </c>
      <c r="S5" s="17"/>
      <c r="T5" s="18"/>
      <c r="U5" s="18"/>
      <c r="V5" s="18"/>
      <c r="W5" s="19"/>
      <c r="X5" s="19"/>
      <c r="Y5" s="19"/>
      <c r="Z5" s="19"/>
      <c r="AA5" s="1920" t="s">
        <v>12939</v>
      </c>
      <c r="AB5" s="5049" t="s">
        <v>436</v>
      </c>
      <c r="AD5" s="924" t="s">
        <v>1382</v>
      </c>
      <c r="AE5" s="5052"/>
      <c r="AF5" s="5052"/>
      <c r="AH5" s="16" t="s">
        <v>11</v>
      </c>
      <c r="AI5" s="17"/>
      <c r="AJ5" s="18"/>
      <c r="AK5" s="18"/>
      <c r="AL5" s="18"/>
      <c r="AM5" s="19"/>
      <c r="AN5" s="19"/>
      <c r="AO5" s="19"/>
      <c r="AP5" s="19"/>
      <c r="AQ5" s="1920" t="s">
        <v>12941</v>
      </c>
      <c r="AR5" s="5049" t="s">
        <v>436</v>
      </c>
      <c r="AT5" s="924" t="s">
        <v>1383</v>
      </c>
      <c r="AU5" s="5051"/>
      <c r="AV5" s="5051"/>
      <c r="BU5" s="852"/>
      <c r="BV5" s="3">
        <v>1</v>
      </c>
      <c r="BW5" s="11">
        <f ca="1">COUNTBLANK(A1:BV609)</f>
        <v>32445</v>
      </c>
      <c r="BX5" s="12" t="s">
        <v>13</v>
      </c>
    </row>
    <row r="6" spans="1:76" ht="21" customHeight="1">
      <c r="B6" s="16" t="s">
        <v>11</v>
      </c>
      <c r="C6" s="5319" t="str">
        <f>IF(ISNUMBER(IFERROR(VALUE("0,5"),"")),"sur cet ordi.saisissez une VIRGULE comme séparateur décimal",IF(ISNUMBER(IFERROR(VALUE("0.5"),"")),"sur cet ordi.saisissez un POINT comme séparateur décimal","Impossible de déterminer le séparateur décimal"))</f>
        <v>sur cet ordi.saisissez un POINT comme séparateur décimal</v>
      </c>
      <c r="D6" s="18"/>
      <c r="E6" s="18"/>
      <c r="F6" s="18"/>
      <c r="G6" s="15"/>
      <c r="H6" s="15"/>
      <c r="I6" s="15"/>
      <c r="J6" s="15"/>
      <c r="K6" s="15"/>
      <c r="L6" s="5050">
        <v>1</v>
      </c>
      <c r="M6" s="5738" t="s">
        <v>3340</v>
      </c>
      <c r="N6" s="5738"/>
      <c r="O6" s="5738"/>
      <c r="P6" s="5738"/>
      <c r="R6" s="16" t="s">
        <v>11</v>
      </c>
      <c r="S6" s="5319" t="str">
        <f>IF(ISNUMBER(IFERROR(VALUE("0,5"),"")),"on this computer.enter a COMMA as the decimal separator",IF(ISNUMBER(IFERROR(VALUE("0.5"),"")),"on this computer.enter a DOT as the decimal separator","Unable to determine the decimal separator"))</f>
        <v>on this computer.enter a DOT as the decimal separator</v>
      </c>
      <c r="T6" s="5318"/>
      <c r="U6" s="18"/>
      <c r="V6" s="18"/>
      <c r="W6" s="15"/>
      <c r="X6" s="15"/>
      <c r="Y6" s="15"/>
      <c r="Z6" s="15"/>
      <c r="AA6" s="15"/>
      <c r="AB6" s="5050">
        <v>1</v>
      </c>
      <c r="AC6" s="5738" t="s">
        <v>3341</v>
      </c>
      <c r="AD6" s="5738"/>
      <c r="AE6" s="5738"/>
      <c r="AF6" s="5738"/>
      <c r="AH6" s="16" t="s">
        <v>11</v>
      </c>
      <c r="AI6" s="5319" t="str">
        <f>IF(ISNUMBER(IFERROR(VALUE("0,5"),"")),"en este equipo.escriba una COMA como separador decimal",IF(ISNUMBER(IFERROR(VALUE("0.5"),"")),"en este equipo.escriba un PUNTO como separador decimal","No es posible determinar el separador decimal"))</f>
        <v>en este equipo.escriba un PUNTO como separador decimal</v>
      </c>
      <c r="AJ6" s="18"/>
      <c r="AK6" s="18"/>
      <c r="AL6" s="18"/>
      <c r="AM6" s="15"/>
      <c r="AN6" s="15"/>
      <c r="AO6" s="15"/>
      <c r="AP6" s="15"/>
      <c r="AQ6" s="15"/>
      <c r="AR6" s="5050">
        <v>1</v>
      </c>
      <c r="AS6" s="5738" t="s">
        <v>3342</v>
      </c>
      <c r="AT6" s="5738"/>
      <c r="AU6" s="5738"/>
      <c r="AV6" s="5738"/>
      <c r="BV6" s="3">
        <v>1</v>
      </c>
      <c r="BW6" s="11">
        <f>SUM(BV1:BV607)+2</f>
        <v>609</v>
      </c>
      <c r="BX6" s="12" t="s">
        <v>15</v>
      </c>
    </row>
    <row r="7" spans="1:76" ht="21" customHeight="1" thickBot="1">
      <c r="B7" s="16" t="s">
        <v>16</v>
      </c>
      <c r="C7" s="5317" t="s">
        <v>14</v>
      </c>
      <c r="D7" s="1488"/>
      <c r="E7" s="1488"/>
      <c r="F7" s="1488"/>
      <c r="G7" s="5315"/>
      <c r="H7" s="1488"/>
      <c r="I7" s="1488"/>
      <c r="J7" s="1488"/>
      <c r="K7" s="1488"/>
      <c r="L7" s="5316" t="str" cm="1">
        <f t="array" aca="1" ref="L7" ca="1">IF(COUNTIF(B2:H2,"&lt;0.5")=0,"Aucune colonne masquée ",COUNTIF(B2:H2,"&lt;0.5") &amp; " " &amp; IF(COUNTIF(B2:H2,"&lt;0.5")&gt;1,"colonnes masquées","colonne masquée") &amp; " " &amp; _xlfn.TEXTJOIN(" ", TRUE, IF(B2:H2&lt;0.5,B1:H1,"")))&amp;" "</f>
        <v xml:space="preserve">Aucune colonne masquée  </v>
      </c>
      <c r="M7" s="5739"/>
      <c r="N7" s="5739"/>
      <c r="O7" s="5739"/>
      <c r="P7" s="5739"/>
      <c r="R7" s="16" t="s">
        <v>16</v>
      </c>
      <c r="S7" s="17" t="s">
        <v>1386</v>
      </c>
      <c r="T7" s="9"/>
      <c r="U7" s="9"/>
      <c r="V7" s="9"/>
      <c r="W7" s="9"/>
      <c r="X7" s="9"/>
      <c r="Y7" s="9"/>
      <c r="Z7" s="9"/>
      <c r="AA7" s="9"/>
      <c r="AB7" s="9"/>
      <c r="AC7" s="5739"/>
      <c r="AD7" s="5739"/>
      <c r="AE7" s="5739"/>
      <c r="AF7" s="5739"/>
      <c r="AH7" s="16" t="s">
        <v>16</v>
      </c>
      <c r="AI7" s="1487" t="s">
        <v>1387</v>
      </c>
      <c r="AJ7" s="1488"/>
      <c r="AK7" s="1488"/>
      <c r="AL7" s="1488"/>
      <c r="AM7" s="1488"/>
      <c r="AN7" s="1488"/>
      <c r="AO7" s="1488"/>
      <c r="AP7" s="1488"/>
      <c r="AQ7" s="1488"/>
      <c r="AR7" s="1488"/>
      <c r="AS7" s="5739"/>
      <c r="AT7" s="5739"/>
      <c r="AU7" s="5739"/>
      <c r="AV7" s="5739"/>
      <c r="BV7" s="3">
        <v>1</v>
      </c>
      <c r="BW7" s="11" cm="1">
        <f t="array" ref="BW7">SUM(A609:BU609+1)</f>
        <v>146</v>
      </c>
      <c r="BX7" s="12" t="s">
        <v>18</v>
      </c>
    </row>
    <row r="8" spans="1:76" ht="21" customHeight="1">
      <c r="B8" s="22" t="s">
        <v>11</v>
      </c>
      <c r="C8" s="23" t="str">
        <f>C14</f>
        <v>N NOM DE VOTRE RECETTE | | Auteur &gt; VOUS</v>
      </c>
      <c r="D8" s="24">
        <f>D14</f>
        <v>18</v>
      </c>
      <c r="E8" s="24" t="str">
        <f>E14</f>
        <v>desserts</v>
      </c>
      <c r="F8" s="25" t="str">
        <f>F14</f>
        <v>Recette mère ► Saisir le nom de la recette principale</v>
      </c>
      <c r="G8" s="26" t="s">
        <v>23</v>
      </c>
      <c r="H8" s="5471" t="s">
        <v>1376</v>
      </c>
      <c r="I8" s="5471"/>
      <c r="J8" s="5471"/>
      <c r="K8" s="5471"/>
      <c r="L8" s="5471"/>
      <c r="M8" s="5471"/>
      <c r="N8" s="5496" t="s">
        <v>3309</v>
      </c>
      <c r="O8" s="5496"/>
      <c r="P8" s="5475" t="str">
        <f>UPPER(LEFT(H8,1))</f>
        <v>N</v>
      </c>
      <c r="R8" s="22" t="s">
        <v>11</v>
      </c>
      <c r="S8" s="23" t="str">
        <f>S14</f>
        <v>N NAME OF YOUR RECIPE | |  Author &gt; YOU</v>
      </c>
      <c r="T8" s="24">
        <f>T14</f>
        <v>18</v>
      </c>
      <c r="U8" s="24" t="str">
        <f>U14</f>
        <v>desserts</v>
      </c>
      <c r="V8" s="25" t="str">
        <f>V14</f>
        <v>Master recipe ► Enter the main recipe name</v>
      </c>
      <c r="W8" s="26" t="s">
        <v>23</v>
      </c>
      <c r="X8" s="5471" t="s">
        <v>886</v>
      </c>
      <c r="Y8" s="5471"/>
      <c r="Z8" s="5471"/>
      <c r="AA8" s="5471"/>
      <c r="AB8" s="5471"/>
      <c r="AC8" s="5471"/>
      <c r="AD8" s="5496" t="s">
        <v>3314</v>
      </c>
      <c r="AE8" s="5496"/>
      <c r="AF8" s="5475" t="str">
        <f>UPPER(LEFT(X8,1))</f>
        <v>N</v>
      </c>
      <c r="AH8" s="22" t="s">
        <v>11</v>
      </c>
      <c r="AI8" s="23" t="str">
        <f>AI14</f>
        <v>N NOMBRE DE LA RECETA | | Autor &gt; USTED</v>
      </c>
      <c r="AJ8" s="24">
        <f>AJ14</f>
        <v>18</v>
      </c>
      <c r="AK8" s="24" t="str">
        <f>AK14</f>
        <v>postres</v>
      </c>
      <c r="AL8" s="25" t="str">
        <f>AL14</f>
        <v>Receta madre ► Introduzca el nombre de la receta principal</v>
      </c>
      <c r="AM8" s="26" t="s">
        <v>23</v>
      </c>
      <c r="AN8" s="5471" t="s">
        <v>3320</v>
      </c>
      <c r="AO8" s="5471"/>
      <c r="AP8" s="5471"/>
      <c r="AQ8" s="5471"/>
      <c r="AR8" s="5471"/>
      <c r="AS8" s="5471"/>
      <c r="AT8" s="5496" t="s">
        <v>1389</v>
      </c>
      <c r="AU8" s="5496"/>
      <c r="AV8" s="5475" t="str">
        <f>UPPER(LEFT(AN8,1))</f>
        <v>N</v>
      </c>
      <c r="AX8" s="5582" t="s">
        <v>26</v>
      </c>
      <c r="AY8" s="5583"/>
      <c r="AZ8" s="5583"/>
      <c r="BA8" s="5583"/>
      <c r="BB8" s="5583"/>
      <c r="BC8" s="5583"/>
      <c r="BD8" s="5584"/>
      <c r="BF8" s="5582" t="s">
        <v>27</v>
      </c>
      <c r="BG8" s="5583"/>
      <c r="BH8" s="5583"/>
      <c r="BI8" s="5583"/>
      <c r="BJ8" s="5583"/>
      <c r="BK8" s="5583"/>
      <c r="BL8" s="5584"/>
      <c r="BN8" s="5582" t="s">
        <v>28</v>
      </c>
      <c r="BO8" s="5583"/>
      <c r="BP8" s="5583"/>
      <c r="BQ8" s="5583"/>
      <c r="BR8" s="5583"/>
      <c r="BS8" s="5583"/>
      <c r="BT8" s="5584"/>
      <c r="BV8" s="3">
        <v>1</v>
      </c>
    </row>
    <row r="9" spans="1:76" ht="21" customHeight="1">
      <c r="B9" s="27" t="s">
        <v>11</v>
      </c>
      <c r="C9" s="28" t="str">
        <f>C14</f>
        <v>N NOM DE VOTRE RECETTE | | Auteur &gt; VOUS</v>
      </c>
      <c r="D9" s="29">
        <f>D14</f>
        <v>18</v>
      </c>
      <c r="E9" s="29" t="str">
        <f>E14</f>
        <v>desserts</v>
      </c>
      <c r="F9" s="30" t="str">
        <f>F14</f>
        <v>Recette mère ► Saisir le nom de la recette principale</v>
      </c>
      <c r="G9" s="31" t="s">
        <v>29</v>
      </c>
      <c r="H9" s="5472"/>
      <c r="I9" s="5472"/>
      <c r="J9" s="5472"/>
      <c r="K9" s="5472"/>
      <c r="L9" s="5472"/>
      <c r="M9" s="5472"/>
      <c r="N9" s="5497"/>
      <c r="O9" s="5497"/>
      <c r="P9" s="5476"/>
      <c r="R9" s="27" t="s">
        <v>11</v>
      </c>
      <c r="S9" s="28" t="str">
        <f>S14</f>
        <v>N NAME OF YOUR RECIPE | |  Author &gt; YOU</v>
      </c>
      <c r="T9" s="29">
        <f>T14</f>
        <v>18</v>
      </c>
      <c r="U9" s="29" t="str">
        <f>U14</f>
        <v>desserts</v>
      </c>
      <c r="V9" s="30" t="str">
        <f>V14</f>
        <v>Master recipe ► Enter the main recipe name</v>
      </c>
      <c r="W9" s="31" t="s">
        <v>29</v>
      </c>
      <c r="X9" s="5472"/>
      <c r="Y9" s="5472"/>
      <c r="Z9" s="5472"/>
      <c r="AA9" s="5472"/>
      <c r="AB9" s="5472"/>
      <c r="AC9" s="5472"/>
      <c r="AD9" s="5497"/>
      <c r="AE9" s="5497"/>
      <c r="AF9" s="5476"/>
      <c r="AH9" s="27" t="s">
        <v>11</v>
      </c>
      <c r="AI9" s="28" t="str">
        <f>AI14</f>
        <v>N NOMBRE DE LA RECETA | | Autor &gt; USTED</v>
      </c>
      <c r="AJ9" s="29">
        <f>AJ14</f>
        <v>18</v>
      </c>
      <c r="AK9" s="29" t="str">
        <f>AK14</f>
        <v>postres</v>
      </c>
      <c r="AL9" s="30" t="str">
        <f>AL14</f>
        <v>Receta madre ► Introduzca el nombre de la receta principal</v>
      </c>
      <c r="AM9" s="31" t="s">
        <v>29</v>
      </c>
      <c r="AN9" s="5472"/>
      <c r="AO9" s="5472"/>
      <c r="AP9" s="5472"/>
      <c r="AQ9" s="5472"/>
      <c r="AR9" s="5472"/>
      <c r="AS9" s="5472"/>
      <c r="AT9" s="5497"/>
      <c r="AU9" s="5497"/>
      <c r="AV9" s="5476"/>
      <c r="AX9" s="5585"/>
      <c r="AY9" s="5586"/>
      <c r="AZ9" s="5586"/>
      <c r="BA9" s="5586"/>
      <c r="BB9" s="5586"/>
      <c r="BC9" s="5586"/>
      <c r="BD9" s="5587"/>
      <c r="BF9" s="5585"/>
      <c r="BG9" s="5586"/>
      <c r="BH9" s="5586"/>
      <c r="BI9" s="5586"/>
      <c r="BJ9" s="5586"/>
      <c r="BK9" s="5586"/>
      <c r="BL9" s="5587"/>
      <c r="BN9" s="5585"/>
      <c r="BO9" s="5586"/>
      <c r="BP9" s="5586"/>
      <c r="BQ9" s="5586"/>
      <c r="BR9" s="5586"/>
      <c r="BS9" s="5586"/>
      <c r="BT9" s="5587"/>
      <c r="BV9" s="3">
        <v>1</v>
      </c>
    </row>
    <row r="10" spans="1:76" ht="21" customHeight="1">
      <c r="B10" s="27" t="s">
        <v>11</v>
      </c>
      <c r="C10" s="5310" t="str">
        <f>C14</f>
        <v>N NOM DE VOTRE RECETTE | | Auteur &gt; VOUS</v>
      </c>
      <c r="D10" s="5310">
        <f>D14</f>
        <v>18</v>
      </c>
      <c r="E10" s="5311" t="str">
        <f>E14</f>
        <v>desserts</v>
      </c>
      <c r="F10" s="5312" t="str">
        <f>F14</f>
        <v>Recette mère ► Saisir le nom de la recette principale</v>
      </c>
      <c r="G10" s="5313"/>
      <c r="H10" s="5314" t="s">
        <v>30</v>
      </c>
      <c r="I10" s="37"/>
      <c r="J10" s="38" t="s">
        <v>31</v>
      </c>
      <c r="K10" s="39" t="s">
        <v>58</v>
      </c>
      <c r="L10" s="9"/>
      <c r="M10" s="39"/>
      <c r="N10" s="39"/>
      <c r="O10" s="40"/>
      <c r="P10" s="41"/>
      <c r="R10" s="27" t="s">
        <v>11</v>
      </c>
      <c r="S10" s="5310" t="str">
        <f>S14</f>
        <v>N NAME OF YOUR RECIPE | |  Author &gt; YOU</v>
      </c>
      <c r="T10" s="5310">
        <f>T14</f>
        <v>18</v>
      </c>
      <c r="U10" s="5311" t="str">
        <f>U14</f>
        <v>desserts</v>
      </c>
      <c r="V10" s="5312" t="str">
        <f>V14</f>
        <v>Master recipe ► Enter the main recipe name</v>
      </c>
      <c r="W10" s="5313"/>
      <c r="X10" s="5314" t="s">
        <v>888</v>
      </c>
      <c r="Y10" s="37"/>
      <c r="Z10" s="38" t="s">
        <v>889</v>
      </c>
      <c r="AA10" s="39" t="s">
        <v>61</v>
      </c>
      <c r="AB10" s="9"/>
      <c r="AC10" s="39"/>
      <c r="AD10" s="39"/>
      <c r="AE10" s="40"/>
      <c r="AF10" s="41"/>
      <c r="AH10" s="27" t="s">
        <v>11</v>
      </c>
      <c r="AI10" s="5310" t="str">
        <f>AI14</f>
        <v>N NOMBRE DE LA RECETA | | Autor &gt; USTED</v>
      </c>
      <c r="AJ10" s="5310">
        <f>AJ14</f>
        <v>18</v>
      </c>
      <c r="AK10" s="5311" t="str">
        <f>AK14</f>
        <v>postres</v>
      </c>
      <c r="AL10" s="5312" t="str">
        <f>AL14</f>
        <v>Receta madre ► Introduzca el nombre de la receta principal</v>
      </c>
      <c r="AM10" s="5313"/>
      <c r="AN10" s="5314" t="s">
        <v>903</v>
      </c>
      <c r="AO10" s="37"/>
      <c r="AP10" s="38" t="s">
        <v>904</v>
      </c>
      <c r="AQ10" s="39" t="s">
        <v>64</v>
      </c>
      <c r="AR10" s="9"/>
      <c r="AS10" s="39"/>
      <c r="AT10" s="39"/>
      <c r="AU10" s="40"/>
      <c r="AV10" s="41"/>
      <c r="AX10" s="5585"/>
      <c r="AY10" s="5586"/>
      <c r="AZ10" s="5586"/>
      <c r="BA10" s="5586"/>
      <c r="BB10" s="5586"/>
      <c r="BC10" s="5586"/>
      <c r="BD10" s="5587"/>
      <c r="BF10" s="5585"/>
      <c r="BG10" s="5586"/>
      <c r="BH10" s="5586"/>
      <c r="BI10" s="5586"/>
      <c r="BJ10" s="5586"/>
      <c r="BK10" s="5586"/>
      <c r="BL10" s="5587"/>
      <c r="BN10" s="5585"/>
      <c r="BO10" s="5586"/>
      <c r="BP10" s="5586"/>
      <c r="BQ10" s="5586"/>
      <c r="BR10" s="5586"/>
      <c r="BS10" s="5586"/>
      <c r="BT10" s="5587"/>
      <c r="BV10" s="3">
        <v>1</v>
      </c>
    </row>
    <row r="11" spans="1:76" ht="21" customHeight="1" thickBot="1">
      <c r="B11" s="27" t="s">
        <v>11</v>
      </c>
      <c r="C11" s="32" t="str">
        <f>C14</f>
        <v>N NOM DE VOTRE RECETTE | | Auteur &gt; VOUS</v>
      </c>
      <c r="D11" s="33">
        <f>D14</f>
        <v>18</v>
      </c>
      <c r="E11" s="33" t="str">
        <f>E14</f>
        <v>desserts</v>
      </c>
      <c r="F11" s="34" t="str">
        <f>F14</f>
        <v>Recette mère ► Saisir le nom de la recette principale</v>
      </c>
      <c r="G11" s="42" t="s">
        <v>32</v>
      </c>
      <c r="H11" s="43"/>
      <c r="I11" s="43"/>
      <c r="J11" s="44" t="s">
        <v>33</v>
      </c>
      <c r="K11" s="5477" t="str">
        <f>L14&amp;" "&amp;M14&amp;" ► Famille = "&amp;N8&amp;" ► "&amp;H8&amp;" "&amp; "pour "&amp;N12&amp;" "&amp;O12</f>
        <v>Recette mère ► Saisir le nom de la recette principale ► Famille = famille--COLLEZ ► NOM DE VOTRE RECETTE pour 36 desserts</v>
      </c>
      <c r="L11" s="5477"/>
      <c r="M11" s="5477"/>
      <c r="N11" s="5039" t="s">
        <v>3306</v>
      </c>
      <c r="O11" s="40"/>
      <c r="P11" s="1472"/>
      <c r="R11" s="27" t="s">
        <v>11</v>
      </c>
      <c r="S11" s="32" t="str">
        <f>S14</f>
        <v>N NAME OF YOUR RECIPE | |  Author &gt; YOU</v>
      </c>
      <c r="T11" s="33">
        <f>T14</f>
        <v>18</v>
      </c>
      <c r="U11" s="33" t="str">
        <f>U14</f>
        <v>desserts</v>
      </c>
      <c r="V11" s="34" t="str">
        <f>V14</f>
        <v>Master recipe ► Enter the main recipe name</v>
      </c>
      <c r="W11" s="42" t="s">
        <v>137</v>
      </c>
      <c r="X11" s="43"/>
      <c r="Y11" s="43"/>
      <c r="Z11" s="44" t="s">
        <v>33</v>
      </c>
      <c r="AA11" s="5477" t="str">
        <f>AB14&amp;" "&amp;AC14&amp;" ► category = "&amp;AD8&amp;" ► "&amp;X8&amp;" "&amp; "pour "&amp;AD12&amp;" "&amp;AE12</f>
        <v>Master recipe ► Enter the main recipe name ► category = family--PASTE ► NAME OF YOUR RECIPE pour 36 desserts</v>
      </c>
      <c r="AB11" s="5477"/>
      <c r="AC11" s="5477"/>
      <c r="AD11" s="5039" t="s">
        <v>3324</v>
      </c>
      <c r="AE11" s="40"/>
      <c r="AF11" s="1472"/>
      <c r="AH11" s="27" t="s">
        <v>11</v>
      </c>
      <c r="AI11" s="32" t="str">
        <f>AI14</f>
        <v>N NOMBRE DE LA RECETA | | Autor &gt; USTED</v>
      </c>
      <c r="AJ11" s="33">
        <f>AJ14</f>
        <v>18</v>
      </c>
      <c r="AK11" s="33" t="str">
        <f>AK14</f>
        <v>postres</v>
      </c>
      <c r="AL11" s="34" t="str">
        <f>AL14</f>
        <v>Receta madre ► Introduzca el nombre de la receta principal</v>
      </c>
      <c r="AM11" s="42" t="s">
        <v>905</v>
      </c>
      <c r="AN11" s="43"/>
      <c r="AO11" s="43"/>
      <c r="AP11" s="44" t="s">
        <v>33</v>
      </c>
      <c r="AQ11" s="5477" t="str">
        <f>AR14&amp;" "&amp;AS14&amp;" ► categoría = "&amp;AT8&amp;" ► "&amp;AN8&amp;" "&amp; "pour "&amp;AT12&amp;" "&amp;AU12</f>
        <v>Receta madre ► Introduzca el nombre de la receta principal ► categoría = pegue esto — FAMILIA ► NOMBRE DE LA RECETA pour 36 postres</v>
      </c>
      <c r="AR11" s="5477"/>
      <c r="AS11" s="5477"/>
      <c r="AT11" s="5039" t="s">
        <v>3326</v>
      </c>
      <c r="AU11" s="40"/>
      <c r="AV11" s="1472"/>
      <c r="AX11" s="47" t="s">
        <v>37</v>
      </c>
      <c r="AY11" s="48"/>
      <c r="AZ11" s="48"/>
      <c r="BA11" s="48"/>
      <c r="BB11" s="48"/>
      <c r="BC11" s="48"/>
      <c r="BD11" s="49"/>
      <c r="BF11" s="47" t="s">
        <v>38</v>
      </c>
      <c r="BG11" s="48"/>
      <c r="BH11" s="48"/>
      <c r="BI11" s="48"/>
      <c r="BJ11" s="48"/>
      <c r="BK11" s="48"/>
      <c r="BL11" s="49"/>
      <c r="BN11" s="47" t="s">
        <v>39</v>
      </c>
      <c r="BO11" s="48"/>
      <c r="BP11" s="48"/>
      <c r="BQ11" s="48"/>
      <c r="BR11" s="48"/>
      <c r="BS11" s="48"/>
      <c r="BT11" s="49"/>
      <c r="BV11" s="3">
        <v>1</v>
      </c>
    </row>
    <row r="12" spans="1:76" ht="21" customHeight="1">
      <c r="B12" s="27" t="s">
        <v>11</v>
      </c>
      <c r="C12" s="32" t="str">
        <f>C14</f>
        <v>N NOM DE VOTRE RECETTE | | Auteur &gt; VOUS</v>
      </c>
      <c r="D12" s="33">
        <f>D14</f>
        <v>18</v>
      </c>
      <c r="E12" s="33" t="str">
        <f>E14</f>
        <v>desserts</v>
      </c>
      <c r="F12" s="34" t="str">
        <f>F14</f>
        <v>Recette mère ► Saisir le nom de la recette principale</v>
      </c>
      <c r="G12" s="50">
        <v>18</v>
      </c>
      <c r="H12" s="51" t="s">
        <v>3275</v>
      </c>
      <c r="I12" s="42"/>
      <c r="J12" s="42"/>
      <c r="K12" s="5477"/>
      <c r="L12" s="5477"/>
      <c r="M12" s="5477"/>
      <c r="N12" s="46">
        <v>36</v>
      </c>
      <c r="O12" s="5478" t="str">
        <f>H12</f>
        <v>desserts</v>
      </c>
      <c r="P12" s="5479"/>
      <c r="R12" s="27" t="s">
        <v>11</v>
      </c>
      <c r="S12" s="32" t="str">
        <f>S14</f>
        <v>N NAME OF YOUR RECIPE | |  Author &gt; YOU</v>
      </c>
      <c r="T12" s="33">
        <f>T14</f>
        <v>18</v>
      </c>
      <c r="U12" s="33" t="str">
        <f>U14</f>
        <v>desserts</v>
      </c>
      <c r="V12" s="34" t="str">
        <f>V14</f>
        <v>Master recipe ► Enter the main recipe name</v>
      </c>
      <c r="W12" s="50">
        <v>18</v>
      </c>
      <c r="X12" s="51" t="s">
        <v>3275</v>
      </c>
      <c r="Y12" s="42"/>
      <c r="Z12" s="42"/>
      <c r="AA12" s="5477"/>
      <c r="AB12" s="5477"/>
      <c r="AC12" s="5477"/>
      <c r="AD12" s="46">
        <v>36</v>
      </c>
      <c r="AE12" s="5478" t="str">
        <f>X12</f>
        <v>desserts</v>
      </c>
      <c r="AF12" s="5479"/>
      <c r="AH12" s="27" t="s">
        <v>11</v>
      </c>
      <c r="AI12" s="32" t="str">
        <f>AI14</f>
        <v>N NOMBRE DE LA RECETA | | Autor &gt; USTED</v>
      </c>
      <c r="AJ12" s="33">
        <f>AJ14</f>
        <v>18</v>
      </c>
      <c r="AK12" s="33" t="str">
        <f>AK14</f>
        <v>postres</v>
      </c>
      <c r="AL12" s="34" t="str">
        <f>AL14</f>
        <v>Receta madre ► Introduzca el nombre de la receta principal</v>
      </c>
      <c r="AM12" s="50">
        <v>18</v>
      </c>
      <c r="AN12" s="51" t="s">
        <v>3349</v>
      </c>
      <c r="AO12" s="42"/>
      <c r="AP12" s="42"/>
      <c r="AQ12" s="5477"/>
      <c r="AR12" s="5477"/>
      <c r="AS12" s="5477"/>
      <c r="AT12" s="46">
        <v>36</v>
      </c>
      <c r="AU12" s="5478" t="str">
        <f>AN12</f>
        <v>postres</v>
      </c>
      <c r="AV12" s="5479"/>
      <c r="AX12" s="52" t="s">
        <v>42</v>
      </c>
      <c r="AY12" s="53" t="s">
        <v>43</v>
      </c>
      <c r="AZ12" s="54"/>
      <c r="BA12" s="54"/>
      <c r="BB12" s="54"/>
      <c r="BC12" s="54"/>
      <c r="BD12" s="55" t="s">
        <v>44</v>
      </c>
      <c r="BF12" s="52" t="s">
        <v>45</v>
      </c>
      <c r="BG12" s="53" t="s">
        <v>46</v>
      </c>
      <c r="BH12" s="54"/>
      <c r="BI12" s="54"/>
      <c r="BJ12" s="54"/>
      <c r="BK12" s="54"/>
      <c r="BL12" s="55" t="s">
        <v>47</v>
      </c>
      <c r="BN12" s="52" t="s">
        <v>42</v>
      </c>
      <c r="BO12" s="53" t="s">
        <v>48</v>
      </c>
      <c r="BP12" s="54"/>
      <c r="BQ12" s="54"/>
      <c r="BR12" s="54"/>
      <c r="BS12" s="54"/>
      <c r="BT12" s="55" t="s">
        <v>49</v>
      </c>
      <c r="BV12" s="3">
        <v>1</v>
      </c>
    </row>
    <row r="13" spans="1:76" ht="21" customHeight="1">
      <c r="B13" s="27" t="s">
        <v>16</v>
      </c>
      <c r="C13" s="32" t="str">
        <f>C14</f>
        <v>N NOM DE VOTRE RECETTE | | Auteur &gt; VOUS</v>
      </c>
      <c r="D13" s="33">
        <f>D14</f>
        <v>18</v>
      </c>
      <c r="E13" s="33" t="str">
        <f>E14</f>
        <v>desserts</v>
      </c>
      <c r="F13" s="34" t="str">
        <f>F14</f>
        <v>Recette mère ► Saisir le nom de la recette principale</v>
      </c>
      <c r="G13" s="56"/>
      <c r="H13" s="5165" t="s">
        <v>13098</v>
      </c>
      <c r="I13" s="5468">
        <f>O23/L13</f>
        <v>0</v>
      </c>
      <c r="J13" s="5468"/>
      <c r="K13" s="5054" t="str" cm="1">
        <f t="array" ref="K13">"1= "&amp;IF(OR(G12&lt;=0,I13=""),"",_xlfn.LET(_xlpm.kg,IF(ISNUMBER(I13),I13,VALEUR(SUBSTITUTE(SUBSTITUTE(SUBSTITUTE(LOWER(I13),"kg",""),",",".")," ",""))),TEXT(ROUND(_xlpm.kg*1000/G12,2),"0.##")&amp;" g"))</f>
        <v>1= 0. g</v>
      </c>
      <c r="L13" s="1490">
        <f>IFERROR(N12/G12,0)</f>
        <v>2</v>
      </c>
      <c r="M13" s="45"/>
      <c r="N13" s="5041" t="s">
        <v>50</v>
      </c>
      <c r="O13" s="5042">
        <f>O23</f>
        <v>0</v>
      </c>
      <c r="P13" s="5043"/>
      <c r="R13" s="27"/>
      <c r="S13" s="32"/>
      <c r="T13" s="33">
        <f>T14</f>
        <v>18</v>
      </c>
      <c r="U13" s="33" t="str">
        <f>U14</f>
        <v>desserts</v>
      </c>
      <c r="V13" s="34" t="str">
        <f>V14</f>
        <v>Master recipe ► Enter the main recipe name</v>
      </c>
      <c r="W13" s="56"/>
      <c r="X13" s="5165" t="s">
        <v>13100</v>
      </c>
      <c r="Y13" s="5468">
        <f>AE23/AB13</f>
        <v>0</v>
      </c>
      <c r="Z13" s="5468"/>
      <c r="AA13" s="5054" t="str" cm="1">
        <f t="array" ref="AA13">"1= "&amp;IF(OR(W12&lt;=0,Y13=""),"",_xlfn.LET(_xlpm.kg,IF(ISNUMBER(Y13),Y13,VALEUR(SUBSTITUTE(SUBSTITUTE(SUBSTITUTE(LOWER(Y13),"kg",""),",",".")," ",""))),TEXT(ROUND(_xlpm.kg*1000/W12,2),"0.##")&amp;" g"))</f>
        <v>1= 0. g</v>
      </c>
      <c r="AB13" s="1490">
        <f>IFERROR(AD12/W12,0)</f>
        <v>2</v>
      </c>
      <c r="AC13" s="45"/>
      <c r="AD13" s="5041" t="s">
        <v>153</v>
      </c>
      <c r="AE13" s="5042">
        <f>AE23</f>
        <v>0</v>
      </c>
      <c r="AF13" s="5043"/>
      <c r="AH13" s="27" t="s">
        <v>16</v>
      </c>
      <c r="AI13" s="32" t="str">
        <f>AI14</f>
        <v>N NOMBRE DE LA RECETA | | Autor &gt; USTED</v>
      </c>
      <c r="AJ13" s="33">
        <f>AJ14</f>
        <v>18</v>
      </c>
      <c r="AK13" s="33" t="str">
        <f>AK14</f>
        <v>postres</v>
      </c>
      <c r="AL13" s="34" t="str">
        <f>AL14</f>
        <v>Receta madre ► Introduzca el nombre de la receta principal</v>
      </c>
      <c r="AM13" s="56"/>
      <c r="AN13" s="5165" t="s">
        <v>13101</v>
      </c>
      <c r="AO13" s="5468">
        <f>AU23/AR13</f>
        <v>0</v>
      </c>
      <c r="AP13" s="5468"/>
      <c r="AQ13" s="5054" t="str" cm="1">
        <f t="array" ref="AQ13">"1= "&amp;IF(OR(AM12&lt;=0,AO13=""),"",_xlfn.LET(_xlpm.kg,IF(ISNUMBER(AO13),AO13,VALEUR(SUBSTITUTE(SUBSTITUTE(SUBSTITUTE(LOWER(AO13),"kg",""),",",".")," ",""))),TEXT(ROUND(_xlpm.kg*1000/AM12,2),"0.##")&amp;" g"))</f>
        <v>1= 0. g</v>
      </c>
      <c r="AR13" s="1490">
        <f>IFERROR(AT12/AM12,0)</f>
        <v>2</v>
      </c>
      <c r="AS13" s="45"/>
      <c r="AT13" s="5041" t="s">
        <v>248</v>
      </c>
      <c r="AU13" s="5042">
        <f>AU23</f>
        <v>0</v>
      </c>
      <c r="AV13" s="5043"/>
      <c r="AX13" s="60"/>
      <c r="AY13" s="61"/>
      <c r="AZ13" s="62"/>
      <c r="BA13" s="62"/>
      <c r="BB13" s="62"/>
      <c r="BC13" s="62"/>
      <c r="BD13" s="63" t="s">
        <v>25</v>
      </c>
      <c r="BF13" s="60"/>
      <c r="BG13" s="61"/>
      <c r="BH13" s="62"/>
      <c r="BI13" s="62"/>
      <c r="BJ13" s="62"/>
      <c r="BK13" s="62"/>
      <c r="BL13" s="63" t="s">
        <v>52</v>
      </c>
      <c r="BN13" s="60"/>
      <c r="BO13" s="61"/>
      <c r="BP13" s="62"/>
      <c r="BQ13" s="62"/>
      <c r="BR13" s="62"/>
      <c r="BS13" s="62"/>
      <c r="BT13" s="63" t="s">
        <v>53</v>
      </c>
      <c r="BV13" s="3">
        <v>1</v>
      </c>
    </row>
    <row r="14" spans="1:76" ht="21" customHeight="1">
      <c r="B14" s="64" t="s">
        <v>16</v>
      </c>
      <c r="C14" s="65" t="str">
        <f>G14</f>
        <v>N NOM DE VOTRE RECETTE | | Auteur &gt; VOUS</v>
      </c>
      <c r="D14" s="66">
        <f>G12</f>
        <v>18</v>
      </c>
      <c r="E14" s="65" t="str">
        <f>H12</f>
        <v>desserts</v>
      </c>
      <c r="F14" s="67" t="str">
        <f>L14&amp;" "&amp;M14</f>
        <v>Recette mère ► Saisir le nom de la recette principale</v>
      </c>
      <c r="G14" s="68" t="str">
        <f>UPPER(LEFT(H8,1))&amp;" "&amp;H8&amp;" | "&amp;O8&amp;"| "&amp;J10&amp;" "&amp;K10</f>
        <v>N NOM DE VOTRE RECETTE | | Auteur &gt; VOUS</v>
      </c>
      <c r="H14" s="69" t="s">
        <v>54</v>
      </c>
      <c r="I14" s="5469" t="s">
        <v>55</v>
      </c>
      <c r="J14" s="5469"/>
      <c r="K14" s="5469"/>
      <c r="L14" s="70" t="str">
        <f>IF(ISTEXT(M14),"Recette mère ►",H14)</f>
        <v>Recette mère ►</v>
      </c>
      <c r="M14" s="71" t="s">
        <v>3310</v>
      </c>
      <c r="N14" s="71"/>
      <c r="O14" s="72"/>
      <c r="P14" s="1473"/>
      <c r="R14" s="64" t="s">
        <v>16</v>
      </c>
      <c r="S14" s="65" t="str">
        <f>W14</f>
        <v>N NAME OF YOUR RECIPE | |  Author &gt; YOU</v>
      </c>
      <c r="T14" s="66">
        <f>W12</f>
        <v>18</v>
      </c>
      <c r="U14" s="65" t="str">
        <f>X12</f>
        <v>desserts</v>
      </c>
      <c r="V14" s="67" t="str">
        <f>AB14&amp;" "&amp;AC14</f>
        <v>Master recipe ► Enter the main recipe name</v>
      </c>
      <c r="W14" s="68" t="str">
        <f>UPPER(LEFT(X8,1))&amp;" "&amp;X8&amp;" | "&amp;AE8&amp;"| "&amp;Z10&amp;" "&amp;AA10</f>
        <v>N NAME OF YOUR RECIPE | |  Author &gt; YOU</v>
      </c>
      <c r="X14" s="69" t="s">
        <v>3315</v>
      </c>
      <c r="Y14" s="5469" t="s">
        <v>3316</v>
      </c>
      <c r="Z14" s="5469"/>
      <c r="AA14" s="5469"/>
      <c r="AB14" s="70" t="str">
        <f>IF(ISTEXT(AC14),"Master recipe ►",X14)</f>
        <v>Master recipe ►</v>
      </c>
      <c r="AC14" s="71" t="s">
        <v>3317</v>
      </c>
      <c r="AD14" s="71"/>
      <c r="AE14" s="72"/>
      <c r="AF14" s="1473"/>
      <c r="AH14" s="64" t="s">
        <v>16</v>
      </c>
      <c r="AI14" s="65" t="str">
        <f>AM14</f>
        <v>N NOMBRE DE LA RECETA | | Autor &gt; USTED</v>
      </c>
      <c r="AJ14" s="66">
        <f>AM12</f>
        <v>18</v>
      </c>
      <c r="AK14" s="65" t="str">
        <f>AN12</f>
        <v>postres</v>
      </c>
      <c r="AL14" s="67" t="str">
        <f>AR14&amp;" "&amp;AS14</f>
        <v>Receta madre ► Introduzca el nombre de la receta principal</v>
      </c>
      <c r="AM14" s="68" t="str">
        <f>UPPER(LEFT(AN8,1))&amp;" "&amp;AN8&amp;" | "&amp;AU8&amp;"| "&amp;AP10&amp;" "&amp;AQ10</f>
        <v>N NOMBRE DE LA RECETA | | Autor &gt; USTED</v>
      </c>
      <c r="AN14" s="69" t="s">
        <v>3319</v>
      </c>
      <c r="AO14" s="5469" t="s">
        <v>906</v>
      </c>
      <c r="AP14" s="5469"/>
      <c r="AQ14" s="5469"/>
      <c r="AR14" s="70" t="str">
        <f>IF(ISTEXT(AS14),"Receta madre ►",AN14)</f>
        <v>Receta madre ►</v>
      </c>
      <c r="AS14" s="71" t="s">
        <v>3318</v>
      </c>
      <c r="AT14" s="71"/>
      <c r="AU14" s="72"/>
      <c r="AV14" s="1473"/>
      <c r="AX14" s="73" t="s">
        <v>57</v>
      </c>
      <c r="AY14" s="39" t="s">
        <v>58</v>
      </c>
      <c r="AZ14" s="48"/>
      <c r="BA14" s="48"/>
      <c r="BB14" s="48"/>
      <c r="BC14" s="48"/>
      <c r="BD14" s="5708" t="s">
        <v>59</v>
      </c>
      <c r="BF14" s="73" t="s">
        <v>60</v>
      </c>
      <c r="BG14" s="39" t="s">
        <v>61</v>
      </c>
      <c r="BH14" s="48"/>
      <c r="BI14" s="48"/>
      <c r="BJ14" s="48"/>
      <c r="BK14" s="48"/>
      <c r="BL14" s="5708" t="s">
        <v>62</v>
      </c>
      <c r="BN14" s="73" t="s">
        <v>63</v>
      </c>
      <c r="BO14" s="39" t="s">
        <v>64</v>
      </c>
      <c r="BP14" s="48"/>
      <c r="BQ14" s="48"/>
      <c r="BR14" s="48"/>
      <c r="BS14" s="48"/>
      <c r="BT14" s="5708" t="s">
        <v>65</v>
      </c>
      <c r="BV14" s="3">
        <v>1</v>
      </c>
    </row>
    <row r="15" spans="1:76" ht="21" customHeight="1">
      <c r="B15" s="74" t="s">
        <v>16</v>
      </c>
      <c r="C15" s="75" t="str">
        <f>C14</f>
        <v>N NOM DE VOTRE RECETTE | | Auteur &gt; VOUS</v>
      </c>
      <c r="D15" s="75">
        <f>D14</f>
        <v>18</v>
      </c>
      <c r="E15" s="75" t="str">
        <f>E14</f>
        <v>desserts</v>
      </c>
      <c r="F15" s="76" t="str">
        <f>F14</f>
        <v>Recette mère ► Saisir le nom de la recette principale</v>
      </c>
      <c r="G15" s="13" t="s">
        <v>66</v>
      </c>
      <c r="H15" s="13" t="s">
        <v>67</v>
      </c>
      <c r="I15" s="13" t="s">
        <v>68</v>
      </c>
      <c r="J15" s="13" t="s">
        <v>69</v>
      </c>
      <c r="K15" s="77" t="s">
        <v>70</v>
      </c>
      <c r="L15" s="78" t="s">
        <v>71</v>
      </c>
      <c r="M15" s="79" t="s">
        <v>72</v>
      </c>
      <c r="N15" s="1496" t="s">
        <v>73</v>
      </c>
      <c r="O15" s="13" t="s">
        <v>74</v>
      </c>
      <c r="P15" s="518" t="s">
        <v>75</v>
      </c>
      <c r="R15" s="74" t="s">
        <v>16</v>
      </c>
      <c r="S15" s="75" t="str">
        <f>S14</f>
        <v>N NAME OF YOUR RECIPE | |  Author &gt; YOU</v>
      </c>
      <c r="T15" s="75">
        <f>T14</f>
        <v>18</v>
      </c>
      <c r="U15" s="75" t="str">
        <f>U14</f>
        <v>desserts</v>
      </c>
      <c r="V15" s="76" t="str">
        <f>V14</f>
        <v>Master recipe ► Enter the main recipe name</v>
      </c>
      <c r="W15" s="13" t="s">
        <v>66</v>
      </c>
      <c r="X15" s="13" t="s">
        <v>67</v>
      </c>
      <c r="Y15" s="13" t="s">
        <v>68</v>
      </c>
      <c r="Z15" s="13" t="s">
        <v>69</v>
      </c>
      <c r="AA15" s="77" t="s">
        <v>70</v>
      </c>
      <c r="AB15" s="78" t="s">
        <v>71</v>
      </c>
      <c r="AC15" s="79" t="s">
        <v>72</v>
      </c>
      <c r="AD15" s="1496" t="s">
        <v>73</v>
      </c>
      <c r="AE15" s="13" t="s">
        <v>74</v>
      </c>
      <c r="AF15" s="518" t="s">
        <v>75</v>
      </c>
      <c r="AH15" s="74" t="s">
        <v>16</v>
      </c>
      <c r="AI15" s="75" t="str">
        <f>AI14</f>
        <v>N NOMBRE DE LA RECETA | | Autor &gt; USTED</v>
      </c>
      <c r="AJ15" s="75">
        <f>AJ14</f>
        <v>18</v>
      </c>
      <c r="AK15" s="75" t="str">
        <f>AK14</f>
        <v>postres</v>
      </c>
      <c r="AL15" s="76" t="str">
        <f>AL14</f>
        <v>Receta madre ► Introduzca el nombre de la receta principal</v>
      </c>
      <c r="AM15" s="13" t="s">
        <v>66</v>
      </c>
      <c r="AN15" s="13" t="s">
        <v>67</v>
      </c>
      <c r="AO15" s="13" t="s">
        <v>68</v>
      </c>
      <c r="AP15" s="13" t="s">
        <v>69</v>
      </c>
      <c r="AQ15" s="77" t="s">
        <v>70</v>
      </c>
      <c r="AR15" s="78" t="s">
        <v>71</v>
      </c>
      <c r="AS15" s="79" t="s">
        <v>72</v>
      </c>
      <c r="AT15" s="1496" t="s">
        <v>73</v>
      </c>
      <c r="AU15" s="13" t="s">
        <v>74</v>
      </c>
      <c r="AV15" s="518" t="s">
        <v>75</v>
      </c>
      <c r="AX15" s="73"/>
      <c r="AY15" s="80"/>
      <c r="AZ15" s="48"/>
      <c r="BA15" s="48"/>
      <c r="BB15" s="48"/>
      <c r="BC15" s="48"/>
      <c r="BD15" s="5708"/>
      <c r="BF15" s="73"/>
      <c r="BG15" s="80"/>
      <c r="BH15" s="48"/>
      <c r="BI15" s="48"/>
      <c r="BJ15" s="48"/>
      <c r="BK15" s="48"/>
      <c r="BL15" s="5708"/>
      <c r="BN15" s="73"/>
      <c r="BO15" s="80"/>
      <c r="BP15" s="48"/>
      <c r="BQ15" s="48"/>
      <c r="BR15" s="48"/>
      <c r="BS15" s="48"/>
      <c r="BT15" s="5708"/>
      <c r="BV15" s="3">
        <v>1</v>
      </c>
    </row>
    <row r="16" spans="1:76" ht="21" customHeight="1">
      <c r="B16" s="27" t="s">
        <v>11</v>
      </c>
      <c r="C16" s="32" t="str">
        <f>C14</f>
        <v>N NOM DE VOTRE RECETTE | | Auteur &gt; VOUS</v>
      </c>
      <c r="D16" s="33">
        <f>D14</f>
        <v>18</v>
      </c>
      <c r="E16" s="32" t="str">
        <f>E14</f>
        <v>desserts</v>
      </c>
      <c r="F16" s="34" t="str">
        <f>F14</f>
        <v>Recette mère ► Saisir le nom de la recette principale</v>
      </c>
      <c r="G16" s="81" t="s">
        <v>77</v>
      </c>
      <c r="H16" s="82" t="s">
        <v>78</v>
      </c>
      <c r="I16" s="83"/>
      <c r="J16" s="5454" t="s">
        <v>79</v>
      </c>
      <c r="K16" s="5464" t="s">
        <v>80</v>
      </c>
      <c r="L16" s="5466" t="s">
        <v>81</v>
      </c>
      <c r="M16" s="1491" t="s">
        <v>82</v>
      </c>
      <c r="N16" s="5444" t="s">
        <v>83</v>
      </c>
      <c r="O16" s="5446" t="s">
        <v>3297</v>
      </c>
      <c r="P16" s="5448" t="s">
        <v>86</v>
      </c>
      <c r="R16" s="27" t="s">
        <v>11</v>
      </c>
      <c r="S16" s="32" t="str">
        <f>S14</f>
        <v>N NAME OF YOUR RECIPE | |  Author &gt; YOU</v>
      </c>
      <c r="T16" s="33">
        <f>T14</f>
        <v>18</v>
      </c>
      <c r="U16" s="32" t="str">
        <f>U14</f>
        <v>desserts</v>
      </c>
      <c r="V16" s="34" t="str">
        <f>V14</f>
        <v>Master recipe ► Enter the main recipe name</v>
      </c>
      <c r="W16" s="81" t="s">
        <v>77</v>
      </c>
      <c r="X16" s="82" t="s">
        <v>78</v>
      </c>
      <c r="Y16" s="83"/>
      <c r="Z16" s="5454" t="s">
        <v>228</v>
      </c>
      <c r="AA16" s="5464" t="s">
        <v>80</v>
      </c>
      <c r="AB16" s="5466" t="s">
        <v>81</v>
      </c>
      <c r="AC16" s="84" t="s">
        <v>82</v>
      </c>
      <c r="AD16" s="5444" t="s">
        <v>244</v>
      </c>
      <c r="AE16" s="5446" t="s">
        <v>890</v>
      </c>
      <c r="AF16" s="5448" t="s">
        <v>247</v>
      </c>
      <c r="AH16" s="27" t="s">
        <v>11</v>
      </c>
      <c r="AI16" s="32" t="str">
        <f>AI14</f>
        <v>N NOMBRE DE LA RECETA | | Autor &gt; USTED</v>
      </c>
      <c r="AJ16" s="33">
        <f>AJ14</f>
        <v>18</v>
      </c>
      <c r="AK16" s="32" t="str">
        <f>AK14</f>
        <v>postres</v>
      </c>
      <c r="AL16" s="34" t="str">
        <f>AL14</f>
        <v>Receta madre ► Introduzca el nombre de la receta principal</v>
      </c>
      <c r="AM16" s="81" t="s">
        <v>77</v>
      </c>
      <c r="AN16" s="82" t="s">
        <v>78</v>
      </c>
      <c r="AO16" s="83"/>
      <c r="AP16" s="5470" t="s">
        <v>229</v>
      </c>
      <c r="AQ16" s="5495" t="s">
        <v>80</v>
      </c>
      <c r="AR16" s="5481" t="s">
        <v>396</v>
      </c>
      <c r="AS16" s="84" t="s">
        <v>82</v>
      </c>
      <c r="AT16" s="5444" t="s">
        <v>249</v>
      </c>
      <c r="AU16" s="5446" t="s">
        <v>907</v>
      </c>
      <c r="AV16" s="5448" t="s">
        <v>252</v>
      </c>
      <c r="AX16" s="86" t="s">
        <v>33</v>
      </c>
      <c r="AY16" s="5703" t="s">
        <v>3305</v>
      </c>
      <c r="AZ16" s="5703"/>
      <c r="BA16" s="5703"/>
      <c r="BB16" s="5703"/>
      <c r="BC16" s="48"/>
      <c r="BD16" s="5708"/>
      <c r="BF16" s="86" t="s">
        <v>87</v>
      </c>
      <c r="BG16" s="5703" t="s">
        <v>3304</v>
      </c>
      <c r="BH16" s="5703"/>
      <c r="BI16" s="5703"/>
      <c r="BJ16" s="5703"/>
      <c r="BK16" s="48"/>
      <c r="BL16" s="5708"/>
      <c r="BN16" s="86" t="s">
        <v>89</v>
      </c>
      <c r="BO16" s="5703" t="s">
        <v>3303</v>
      </c>
      <c r="BP16" s="5703"/>
      <c r="BQ16" s="5703"/>
      <c r="BR16" s="5703"/>
      <c r="BS16" s="48"/>
      <c r="BT16" s="5708"/>
      <c r="BV16" s="3">
        <v>1</v>
      </c>
    </row>
    <row r="17" spans="2:74" ht="21" customHeight="1">
      <c r="B17" s="27" t="s">
        <v>11</v>
      </c>
      <c r="C17" s="32" t="str">
        <f>C14</f>
        <v>N NOM DE VOTRE RECETTE | | Auteur &gt; VOUS</v>
      </c>
      <c r="D17" s="33">
        <f>D14</f>
        <v>18</v>
      </c>
      <c r="E17" s="32" t="str">
        <f>E14</f>
        <v>desserts</v>
      </c>
      <c r="F17" s="34" t="str">
        <f>F14</f>
        <v>Recette mère ► Saisir le nom de la recette principale</v>
      </c>
      <c r="G17" s="87" t="s">
        <v>91</v>
      </c>
      <c r="H17" s="88" t="s">
        <v>92</v>
      </c>
      <c r="I17" s="89" t="s">
        <v>93</v>
      </c>
      <c r="J17" s="5455"/>
      <c r="K17" s="5465"/>
      <c r="L17" s="5467"/>
      <c r="M17" s="1492" t="s">
        <v>94</v>
      </c>
      <c r="N17" s="5445"/>
      <c r="O17" s="5447"/>
      <c r="P17" s="5449"/>
      <c r="R17" s="27" t="s">
        <v>11</v>
      </c>
      <c r="S17" s="32" t="str">
        <f>S14</f>
        <v>N NAME OF YOUR RECIPE | |  Author &gt; YOU</v>
      </c>
      <c r="T17" s="33">
        <f>T14</f>
        <v>18</v>
      </c>
      <c r="U17" s="32" t="str">
        <f>U14</f>
        <v>desserts</v>
      </c>
      <c r="V17" s="34" t="str">
        <f>V14</f>
        <v>Master recipe ► Enter the main recipe name</v>
      </c>
      <c r="W17" s="87" t="s">
        <v>231</v>
      </c>
      <c r="X17" s="88" t="s">
        <v>232</v>
      </c>
      <c r="Y17" s="89" t="s">
        <v>891</v>
      </c>
      <c r="Z17" s="5455"/>
      <c r="AA17" s="5465"/>
      <c r="AB17" s="5467"/>
      <c r="AC17" s="90" t="s">
        <v>867</v>
      </c>
      <c r="AD17" s="5445"/>
      <c r="AE17" s="5447"/>
      <c r="AF17" s="5449"/>
      <c r="AH17" s="27" t="s">
        <v>11</v>
      </c>
      <c r="AI17" s="32" t="str">
        <f>AI14</f>
        <v>N NOMBRE DE LA RECETA | | Autor &gt; USTED</v>
      </c>
      <c r="AJ17" s="33">
        <f>AJ14</f>
        <v>18</v>
      </c>
      <c r="AK17" s="32" t="str">
        <f>AK14</f>
        <v>postres</v>
      </c>
      <c r="AL17" s="34" t="str">
        <f>AL14</f>
        <v>Receta madre ► Introduzca el nombre de la receta principal</v>
      </c>
      <c r="AM17" s="87" t="s">
        <v>234</v>
      </c>
      <c r="AN17" s="88" t="s">
        <v>235</v>
      </c>
      <c r="AO17" s="89" t="s">
        <v>93</v>
      </c>
      <c r="AP17" s="5455"/>
      <c r="AQ17" s="5465"/>
      <c r="AR17" s="5467"/>
      <c r="AS17" s="90" t="s">
        <v>869</v>
      </c>
      <c r="AT17" s="5445"/>
      <c r="AU17" s="5447"/>
      <c r="AV17" s="5449"/>
      <c r="AX17" s="73"/>
      <c r="AY17" s="5703"/>
      <c r="AZ17" s="5703"/>
      <c r="BA17" s="5703"/>
      <c r="BB17" s="5703"/>
      <c r="BC17" s="48"/>
      <c r="BD17" s="49"/>
      <c r="BF17" s="73"/>
      <c r="BG17" s="5703"/>
      <c r="BH17" s="5703"/>
      <c r="BI17" s="5703"/>
      <c r="BJ17" s="5703"/>
      <c r="BK17" s="48"/>
      <c r="BL17" s="49"/>
      <c r="BN17" s="73"/>
      <c r="BO17" s="5703"/>
      <c r="BP17" s="5703"/>
      <c r="BQ17" s="5703"/>
      <c r="BR17" s="5703"/>
      <c r="BS17" s="48"/>
      <c r="BT17" s="49"/>
      <c r="BV17" s="3">
        <v>1</v>
      </c>
    </row>
    <row r="18" spans="2:74" ht="21" customHeight="1">
      <c r="B18" s="27" t="s">
        <v>11</v>
      </c>
      <c r="C18" s="32" t="str">
        <f>C14</f>
        <v>N NOM DE VOTRE RECETTE | | Auteur &gt; VOUS</v>
      </c>
      <c r="D18" s="33">
        <f>D14</f>
        <v>18</v>
      </c>
      <c r="E18" s="32" t="str">
        <f>E14</f>
        <v>desserts</v>
      </c>
      <c r="F18" s="34" t="str">
        <f>F14</f>
        <v>Recette mère ► Saisir le nom de la recette principale</v>
      </c>
      <c r="G18" s="92"/>
      <c r="H18" s="93"/>
      <c r="I18" s="94" t="str">
        <f t="shared" ref="I18:I22" si="8">IF(OR(ISTEXT(G18), G18&lt;=0, J18&lt;=0), "", "de")</f>
        <v/>
      </c>
      <c r="J18" s="95"/>
      <c r="K18" s="126"/>
      <c r="L18" s="127">
        <v>1</v>
      </c>
      <c r="M18" s="919"/>
      <c r="N18" s="100">
        <f>IF(OR(ISBLANK(G12),N12=0),0,G18*L13)</f>
        <v>0</v>
      </c>
      <c r="O18" s="101" cm="1">
        <f t="array" ref="O18">IFERROR(_xlfn.LET(_xlpm.k,UPPER(TRIM(K18)),_xlpm.r,_xlfn.XLOOKUP(_xlpm.k,UPPER(TRIM(G24:P24)),G25:P25,_xlfn.XLOOKUP(_xlpm.k,UPPER(TRIM(G26:P26)),G27:P27)),_xlpm.r*J18*L18*L13*IF(ISBLANK(G18),1,G18)),0)</f>
        <v>0</v>
      </c>
      <c r="P18" s="1476" t="str">
        <f>_xlfn.LET(_xlpm.unite,SUBSTITUTE(TRIM(K18)," (s)",""),_xlpm.val,O18,_xlpm.estVol,COUNTIF(J24:P24,_xlpm.unite)+COUNTIF(J26:P26,_xlpm.unite)&gt;0,_xlpm.estPoids,COUNTIF(G24:I24,_xlpm.unite)+COUNTIF(G26:I26,_xlpm.unite)&gt;0,IF(_xlpm.estVol,IF(ROUND(_xlpm.val,3)&gt;=1,ROUND(_xlpm.val,3)&amp;" L",MAX(1,ROUND(_xlpm.val*100,0))&amp;" cl"),IF(_xlpm.estPoids,IF(ROUND(_xlpm.val,3)&gt;=1,ROUND(_xlpm.val,3)&amp;" Kg",MAX(1,ROUND(_xlpm.val*1000,0))&amp;" g"),"")))</f>
        <v/>
      </c>
      <c r="R18" s="27" t="s">
        <v>11</v>
      </c>
      <c r="S18" s="32" t="str">
        <f>S14</f>
        <v>N NAME OF YOUR RECIPE | |  Author &gt; YOU</v>
      </c>
      <c r="T18" s="33">
        <f>T14</f>
        <v>18</v>
      </c>
      <c r="U18" s="32" t="str">
        <f>U14</f>
        <v>desserts</v>
      </c>
      <c r="V18" s="34" t="str">
        <f>V14</f>
        <v>Master recipe ► Enter the main recipe name</v>
      </c>
      <c r="W18" s="92"/>
      <c r="X18" s="93"/>
      <c r="Y18" s="94" t="str">
        <f>IF(OR(ISTEXT(W18), W18&lt;=0, Z18&lt;=0), "", "of")</f>
        <v/>
      </c>
      <c r="Z18" s="95"/>
      <c r="AA18" s="126"/>
      <c r="AB18" s="127">
        <v>1</v>
      </c>
      <c r="AC18" s="919"/>
      <c r="AD18" s="1497">
        <f>IF(OR(ISBLANK(W12),AD12=0),0,W18*AB13)</f>
        <v>0</v>
      </c>
      <c r="AE18" s="101" cm="1">
        <f t="array" ref="AE18">IFERROR(_xlfn.LET(_xlpm.k,UPPER(TRIM(AA18)),_xlpm.r,_xlfn.XLOOKUP(_xlpm.k,UPPER(TRIM(W24:AF24)),W25:AF25,_xlfn.XLOOKUP(_xlpm.k,UPPER(TRIM(W26:AF26)),W27:AF27)),_xlpm.r*Z18*AB18*AB13*IF(ISBLANK(W18),1,W18)),0)</f>
        <v>0</v>
      </c>
      <c r="AF18" s="1476" t="str">
        <f>_xlfn.LET(_xlpm.unite,SUBSTITUTE(TRIM(AA18)," (s)",""),_xlpm.val,AE18,_xlpm.estVol,COUNTIF(Z24:AF24,_xlpm.unite)+COUNTIF(Z26:AF26,_xlpm.unite)&gt;0,_xlpm.estPoids,COUNTIF(W24:Y24,_xlpm.unite)+COUNTIF(W26:Y26,_xlpm.unite)&gt;0,IF(_xlpm.estVol,IF(ROUND(_xlpm.val,3)&gt;=1,ROUND(_xlpm.val,3)&amp;" L",MAX(1,ROUND(_xlpm.val*100,0))&amp;" cl"),IF(_xlpm.estPoids,IF(ROUND(_xlpm.val,3)&gt;=1,ROUND(_xlpm.val,3)&amp;" Kg",MAX(1,ROUND(_xlpm.val*1000,0))&amp;" g"),"")))</f>
        <v/>
      </c>
      <c r="AH18" s="27" t="s">
        <v>11</v>
      </c>
      <c r="AI18" s="32" t="str">
        <f>AI14</f>
        <v>N NOMBRE DE LA RECETA | | Autor &gt; USTED</v>
      </c>
      <c r="AJ18" s="33">
        <f>AJ14</f>
        <v>18</v>
      </c>
      <c r="AK18" s="32" t="str">
        <f>AK14</f>
        <v>postres</v>
      </c>
      <c r="AL18" s="34" t="str">
        <f>AL14</f>
        <v>Receta madre ► Introduzca el nombre de la receta principal</v>
      </c>
      <c r="AM18" s="92"/>
      <c r="AN18" s="93"/>
      <c r="AO18" s="94" t="str">
        <f t="shared" ref="AO18:AO22" si="9">IF(OR(ISTEXT(AM18), AM18&lt;=0, AP18&lt;=0), "", "de")</f>
        <v/>
      </c>
      <c r="AP18" s="95"/>
      <c r="AQ18" s="126"/>
      <c r="AR18" s="127">
        <v>1</v>
      </c>
      <c r="AS18" s="919"/>
      <c r="AT18" s="1497">
        <f>IF(OR(ISBLANK(AM12),AT12=0),0,AM18*AR13)</f>
        <v>0</v>
      </c>
      <c r="AU18" s="101" cm="1">
        <f t="array" ref="AU18">IFERROR(_xlfn.LET(_xlpm.k,UPPER(TRIM(AQ18)),_xlpm.r,_xlfn.XLOOKUP(_xlpm.k,UPPER(TRIM(AM24:AV24)),AM25:AV25,_xlfn.XLOOKUP(_xlpm.k,UPPER(TRIM(AM26:AV26)),AM27:AV27)),_xlpm.r*AP18*AR18*AR13*IF(ISBLANK(AM18),1,AM18)),0)</f>
        <v>0</v>
      </c>
      <c r="AV18" s="1476" t="str">
        <f>_xlfn.LET(_xlpm.unite,SUBSTITUTE(TRIM(AQ18)," (s)",""),_xlpm.val,AU18,_xlpm.estVol,COUNTIF(AP24:AV24,_xlpm.unite)+COUNTIF(AP26:AV26,_xlpm.unite)&gt;0,_xlpm.estPoids,COUNTIF(AM24:AO24,_xlpm.unite)+COUNTIF(AM26:AO26,_xlpm.unite)&gt;0,IF(_xlpm.estVol,IF(ROUND(_xlpm.val,3)&gt;=1,ROUND(_xlpm.val,3)&amp;" L",MAX(1,ROUND(_xlpm.val*100,0))&amp;" cl"),IF(_xlpm.estPoids,IF(ROUND(_xlpm.val,3)&gt;=1,ROUND(_xlpm.val,3)&amp;" Kg",MAX(1,ROUND(_xlpm.val*1000,0))&amp;" g"),"")))</f>
        <v/>
      </c>
      <c r="AX18" s="73"/>
      <c r="AY18" s="102"/>
      <c r="AZ18" s="103"/>
      <c r="BA18" s="103"/>
      <c r="BB18" s="103"/>
      <c r="BC18" s="48"/>
      <c r="BD18" s="49"/>
      <c r="BF18" s="73"/>
      <c r="BG18" s="102"/>
      <c r="BH18" s="103"/>
      <c r="BI18" s="103"/>
      <c r="BJ18" s="103"/>
      <c r="BK18" s="48"/>
      <c r="BL18" s="49"/>
      <c r="BN18" s="73"/>
      <c r="BO18" s="102"/>
      <c r="BP18" s="103"/>
      <c r="BQ18" s="103"/>
      <c r="BR18" s="103"/>
      <c r="BS18" s="48"/>
      <c r="BT18" s="49"/>
      <c r="BV18" s="3">
        <v>1</v>
      </c>
    </row>
    <row r="19" spans="2:74" ht="21" customHeight="1">
      <c r="B19" s="104" t="str">
        <f t="shared" ref="B19:B22" si="10">IF(M19&lt;&gt;"","A","►")</f>
        <v>►</v>
      </c>
      <c r="C19" s="32" t="str">
        <f>C14</f>
        <v>N NOM DE VOTRE RECETTE | | Auteur &gt; VOUS</v>
      </c>
      <c r="D19" s="33">
        <f>D14</f>
        <v>18</v>
      </c>
      <c r="E19" s="32" t="str">
        <f>E14</f>
        <v>desserts</v>
      </c>
      <c r="F19" s="34" t="str">
        <f>F14</f>
        <v>Recette mère ► Saisir le nom de la recette principale</v>
      </c>
      <c r="G19" s="92"/>
      <c r="H19" s="93"/>
      <c r="I19" s="94" t="str">
        <f t="shared" si="8"/>
        <v/>
      </c>
      <c r="J19" s="95"/>
      <c r="K19" s="126"/>
      <c r="L19" s="127">
        <v>1</v>
      </c>
      <c r="M19" s="920"/>
      <c r="N19" s="107">
        <f>IF(OR(ISBLANK(G12),N12=0),0,G19*L13)</f>
        <v>0</v>
      </c>
      <c r="O19" s="101" cm="1">
        <f t="array" ref="O19">IFERROR(_xlfn.LET(_xlpm.k,UPPER(TRIM(K19)),_xlpm.r,_xlfn.XLOOKUP(_xlpm.k,UPPER(TRIM(G24:P24)),G25:P25,_xlfn.XLOOKUP(_xlpm.k,UPPER(TRIM(G26:P26)),G27:P27)),_xlpm.r*J19*L19*L13*IF(ISBLANK(G19),1,G19)),0)</f>
        <v>0</v>
      </c>
      <c r="P19" s="1475" t="str">
        <f>_xlfn.LET(_xlpm.unite,SUBSTITUTE(TRIM(K19)," (s)",""),_xlpm.val,O19,_xlpm.estVol,COUNTIF(J24:P24,_xlpm.unite)+COUNTIF(J26:P26,_xlpm.unite)&gt;0,_xlpm.estPoids,COUNTIF(G24:I24,_xlpm.unite)+COUNTIF(G26:I26,_xlpm.unite)&gt;0,IF(_xlpm.estVol,IF(ROUND(_xlpm.val,3)&gt;=1,ROUND(_xlpm.val,3)&amp;" L",MAX(1,ROUND(_xlpm.val*100,0))&amp;" cl"),IF(_xlpm.estPoids,IF(ROUND(_xlpm.val,3)&gt;=1,ROUND(_xlpm.val,3)&amp;" Kg",MAX(1,ROUND(_xlpm.val*1000,0))&amp;" g"),"")))</f>
        <v/>
      </c>
      <c r="R19" s="104" t="str">
        <f t="shared" ref="R19:R22" si="11">IF(AC19&lt;&gt;"","A","►")</f>
        <v>►</v>
      </c>
      <c r="S19" s="32" t="str">
        <f>S14</f>
        <v>N NAME OF YOUR RECIPE | |  Author &gt; YOU</v>
      </c>
      <c r="T19" s="33">
        <f>T14</f>
        <v>18</v>
      </c>
      <c r="U19" s="32" t="str">
        <f>U14</f>
        <v>desserts</v>
      </c>
      <c r="V19" s="34" t="str">
        <f>V14</f>
        <v>Master recipe ► Enter the main recipe name</v>
      </c>
      <c r="W19" s="92"/>
      <c r="X19" s="93"/>
      <c r="Y19" s="94" t="str">
        <f t="shared" ref="Y19:Y22" si="12">IF(OR(ISTEXT(W19), W19&lt;=0, Z19&lt;=0), "", "of")</f>
        <v/>
      </c>
      <c r="Z19" s="95"/>
      <c r="AA19" s="126"/>
      <c r="AB19" s="127">
        <v>1</v>
      </c>
      <c r="AC19" s="920"/>
      <c r="AD19" s="1498">
        <f>IF(OR(ISBLANK(W12),AD12=0),0,W19*AB13)</f>
        <v>0</v>
      </c>
      <c r="AE19" s="101" cm="1">
        <f t="array" ref="AE19">IFERROR(_xlfn.LET(_xlpm.k,UPPER(TRIM(AA19)),_xlpm.r,_xlfn.XLOOKUP(_xlpm.k,UPPER(TRIM(W24:AF24)),W25:AF25,_xlfn.XLOOKUP(_xlpm.k,UPPER(TRIM(W26:AF26)),W27:AF27)),_xlpm.r*Z19*AB19*AB13*IF(ISBLANK(W19),1,W19)),0)</f>
        <v>0</v>
      </c>
      <c r="AF19" s="1475" t="str">
        <f>_xlfn.LET(_xlpm.unite,SUBSTITUTE(TRIM(AA19)," (s)",""),_xlpm.val,AE19,_xlpm.estVol,COUNTIF(Z24:AF24,_xlpm.unite)+COUNTIF(Z26:AF26,_xlpm.unite)&gt;0,_xlpm.estPoids,COUNTIF(W24:Y24,_xlpm.unite)+COUNTIF(W26:Y26,_xlpm.unite)&gt;0,IF(_xlpm.estVol,IF(ROUND(_xlpm.val,3)&gt;=1,ROUND(_xlpm.val,3)&amp;" L",MAX(1,ROUND(_xlpm.val*100,0))&amp;" cl"),IF(_xlpm.estPoids,IF(ROUND(_xlpm.val,3)&gt;=1,ROUND(_xlpm.val,3)&amp;" Kg",MAX(1,ROUND(_xlpm.val*1000,0))&amp;" g"),"")))</f>
        <v/>
      </c>
      <c r="AH19" s="104" t="str">
        <f t="shared" ref="AH19:AH22" si="13">IF(AS19&lt;&gt;"","A","►")</f>
        <v>►</v>
      </c>
      <c r="AI19" s="32" t="str">
        <f>AI14</f>
        <v>N NOMBRE DE LA RECETA | | Autor &gt; USTED</v>
      </c>
      <c r="AJ19" s="33">
        <f>AJ14</f>
        <v>18</v>
      </c>
      <c r="AK19" s="32" t="str">
        <f>AK14</f>
        <v>postres</v>
      </c>
      <c r="AL19" s="34" t="str">
        <f>AL14</f>
        <v>Receta madre ► Introduzca el nombre de la receta principal</v>
      </c>
      <c r="AM19" s="92"/>
      <c r="AN19" s="93"/>
      <c r="AO19" s="94" t="str">
        <f t="shared" si="9"/>
        <v/>
      </c>
      <c r="AP19" s="95"/>
      <c r="AQ19" s="126"/>
      <c r="AR19" s="127">
        <v>1</v>
      </c>
      <c r="AS19" s="920"/>
      <c r="AT19" s="1498">
        <f>IF(OR(ISBLANK(AM12),AT12=0),0,AM19*AR13)</f>
        <v>0</v>
      </c>
      <c r="AU19" s="101" cm="1">
        <f t="array" ref="AU19">IFERROR(_xlfn.LET(_xlpm.k,UPPER(TRIM(AQ19)),_xlpm.r,_xlfn.XLOOKUP(_xlpm.k,UPPER(TRIM(AM24:AV24)),AM25:AV25,_xlfn.XLOOKUP(_xlpm.k,UPPER(TRIM(AM26:AV26)),AM27:AV27)),_xlpm.r*AP19*AR19*AR13*IF(ISBLANK(AM19),1,AM19)),0)</f>
        <v>0</v>
      </c>
      <c r="AV19" s="1475" t="str">
        <f>_xlfn.LET(_xlpm.unite,SUBSTITUTE(TRIM(AQ19)," (s)",""),_xlpm.val,AU19,_xlpm.estVol,COUNTIF(AP24:AV24,_xlpm.unite)+COUNTIF(AP26:AV26,_xlpm.unite)&gt;0,_xlpm.estPoids,COUNTIF(AM24:AO24,_xlpm.unite)+COUNTIF(AM26:AO26,_xlpm.unite)&gt;0,IF(_xlpm.estVol,IF(ROUND(_xlpm.val,3)&gt;=1,ROUND(_xlpm.val,3)&amp;" L",MAX(1,ROUND(_xlpm.val*100,0))&amp;" cl"),IF(_xlpm.estPoids,IF(ROUND(_xlpm.val,3)&gt;=1,ROUND(_xlpm.val,3)&amp;" Kg",MAX(1,ROUND(_xlpm.val*1000,0))&amp;" g"),"")))</f>
        <v/>
      </c>
      <c r="AX19" s="73"/>
      <c r="AY19" s="102" t="s">
        <v>3300</v>
      </c>
      <c r="AZ19" s="103"/>
      <c r="BA19" s="103"/>
      <c r="BB19" s="103"/>
      <c r="BC19" s="48"/>
      <c r="BD19" s="49"/>
      <c r="BF19" s="73"/>
      <c r="BG19" s="102" t="s">
        <v>3301</v>
      </c>
      <c r="BH19" s="103"/>
      <c r="BI19" s="103"/>
      <c r="BJ19" s="103"/>
      <c r="BK19" s="48"/>
      <c r="BL19" s="49"/>
      <c r="BN19" s="73"/>
      <c r="BO19" s="102" t="s">
        <v>3302</v>
      </c>
      <c r="BP19" s="103"/>
      <c r="BQ19" s="103"/>
      <c r="BR19" s="103"/>
      <c r="BS19" s="48"/>
      <c r="BT19" s="49"/>
      <c r="BV19" s="3">
        <v>1</v>
      </c>
    </row>
    <row r="20" spans="2:74" ht="21" customHeight="1">
      <c r="B20" s="104" t="str">
        <f t="shared" si="10"/>
        <v>A</v>
      </c>
      <c r="C20" s="32" t="str">
        <f>C14</f>
        <v>N NOM DE VOTRE RECETTE | | Auteur &gt; VOUS</v>
      </c>
      <c r="D20" s="33">
        <f>D14</f>
        <v>18</v>
      </c>
      <c r="E20" s="32" t="str">
        <f>E14</f>
        <v>desserts</v>
      </c>
      <c r="F20" s="34" t="str">
        <f>F14</f>
        <v>Recette mère ► Saisir le nom de la recette principale</v>
      </c>
      <c r="G20" s="92"/>
      <c r="H20" s="108"/>
      <c r="I20" s="94" t="str">
        <f t="shared" si="8"/>
        <v/>
      </c>
      <c r="J20" s="95"/>
      <c r="K20" s="126"/>
      <c r="L20" s="127">
        <v>1</v>
      </c>
      <c r="M20" s="920" t="s">
        <v>3311</v>
      </c>
      <c r="N20" s="110">
        <f>IF(OR(ISBLANK(G12),N12=0),0,G20*L13)</f>
        <v>0</v>
      </c>
      <c r="O20" s="101" cm="1">
        <f t="array" ref="O20">IFERROR(_xlfn.LET(_xlpm.k,UPPER(TRIM(K20)),_xlpm.r,_xlfn.XLOOKUP(_xlpm.k,UPPER(TRIM(G24:P24)),G25:P25,_xlfn.XLOOKUP(_xlpm.k,UPPER(TRIM(G26:P26)),G27:P27)),_xlpm.r*J20*L20*L13*IF(ISBLANK(G20),1,G20)),0)</f>
        <v>0</v>
      </c>
      <c r="P20" s="1476" t="str">
        <f>_xlfn.LET(_xlpm.unite,SUBSTITUTE(TRIM(K20)," (s)",""),_xlpm.val,O20,_xlpm.estVol,COUNTIF(J24:P24,_xlpm.unite)+COUNTIF(J26:P26,_xlpm.unite)&gt;0,_xlpm.estPoids,COUNTIF(G24:I24,_xlpm.unite)+COUNTIF(G26:I26,_xlpm.unite)&gt;0,IF(_xlpm.estVol,IF(ROUND(_xlpm.val,3)&gt;=1,ROUND(_xlpm.val,3)&amp;" L",MAX(1,ROUND(_xlpm.val*100,0))&amp;" cl"),IF(_xlpm.estPoids,IF(ROUND(_xlpm.val,3)&gt;=1,ROUND(_xlpm.val,3)&amp;" Kg",MAX(1,ROUND(_xlpm.val*1000,0))&amp;" g"),"")))</f>
        <v/>
      </c>
      <c r="R20" s="104" t="str">
        <f t="shared" si="11"/>
        <v>A</v>
      </c>
      <c r="S20" s="32" t="str">
        <f>S14</f>
        <v>N NAME OF YOUR RECIPE | |  Author &gt; YOU</v>
      </c>
      <c r="T20" s="33">
        <f>T14</f>
        <v>18</v>
      </c>
      <c r="U20" s="32" t="str">
        <f>U14</f>
        <v>desserts</v>
      </c>
      <c r="V20" s="34" t="str">
        <f>V14</f>
        <v>Master recipe ► Enter the main recipe name</v>
      </c>
      <c r="W20" s="92"/>
      <c r="X20" s="108"/>
      <c r="Y20" s="94" t="str">
        <f t="shared" si="12"/>
        <v/>
      </c>
      <c r="Z20" s="95"/>
      <c r="AA20" s="126"/>
      <c r="AB20" s="127">
        <v>1</v>
      </c>
      <c r="AC20" s="920" t="s">
        <v>3343</v>
      </c>
      <c r="AD20" s="1498">
        <f>IF(OR(ISBLANK(W12),AD12=0),0,W20*AB13)</f>
        <v>0</v>
      </c>
      <c r="AE20" s="101" cm="1">
        <f t="array" ref="AE20">IFERROR(_xlfn.LET(_xlpm.k,UPPER(TRIM(AA20)),_xlpm.r,_xlfn.XLOOKUP(_xlpm.k,UPPER(TRIM(W24:AF24)),W25:AF25,_xlfn.XLOOKUP(_xlpm.k,UPPER(TRIM(W26:AF26)),W27:AF27)),_xlpm.r*Z20*AB20*AB13*IF(ISBLANK(W20),1,W20)),0)</f>
        <v>0</v>
      </c>
      <c r="AF20" s="1476" t="str">
        <f>_xlfn.LET(_xlpm.unite,SUBSTITUTE(TRIM(AA20)," (s)",""),_xlpm.val,AE20,_xlpm.estVol,COUNTIF(Z24:AF24,_xlpm.unite)+COUNTIF(Z26:AF26,_xlpm.unite)&gt;0,_xlpm.estPoids,COUNTIF(W24:Y24,_xlpm.unite)+COUNTIF(W26:Y26,_xlpm.unite)&gt;0,IF(_xlpm.estVol,IF(ROUND(_xlpm.val,3)&gt;=1,ROUND(_xlpm.val,3)&amp;" L",MAX(1,ROUND(_xlpm.val*100,0))&amp;" cl"),IF(_xlpm.estPoids,IF(ROUND(_xlpm.val,3)&gt;=1,ROUND(_xlpm.val,3)&amp;" Kg",MAX(1,ROUND(_xlpm.val*1000,0))&amp;" g"),"")))</f>
        <v/>
      </c>
      <c r="AH20" s="104" t="str">
        <f t="shared" si="13"/>
        <v>A</v>
      </c>
      <c r="AI20" s="32" t="str">
        <f>AI14</f>
        <v>N NOMBRE DE LA RECETA | | Autor &gt; USTED</v>
      </c>
      <c r="AJ20" s="33">
        <f>AJ14</f>
        <v>18</v>
      </c>
      <c r="AK20" s="32" t="str">
        <f>AK14</f>
        <v>postres</v>
      </c>
      <c r="AL20" s="34" t="str">
        <f>AL14</f>
        <v>Receta madre ► Introduzca el nombre de la receta principal</v>
      </c>
      <c r="AM20" s="92"/>
      <c r="AN20" s="108"/>
      <c r="AO20" s="94" t="str">
        <f t="shared" si="9"/>
        <v/>
      </c>
      <c r="AP20" s="95"/>
      <c r="AQ20" s="126"/>
      <c r="AR20" s="127">
        <v>1</v>
      </c>
      <c r="AS20" s="920" t="s">
        <v>3344</v>
      </c>
      <c r="AT20" s="1498">
        <f>IF(OR(ISBLANK(AM12),AT12=0),0,AM20*AR13)</f>
        <v>0</v>
      </c>
      <c r="AU20" s="101" cm="1">
        <f t="array" ref="AU20">IFERROR(_xlfn.LET(_xlpm.k,UPPER(TRIM(AQ20)),_xlpm.r,_xlfn.XLOOKUP(_xlpm.k,UPPER(TRIM(AM24:AV24)),AM25:AV25,_xlfn.XLOOKUP(_xlpm.k,UPPER(TRIM(AM26:AV26)),AM27:AV27)),_xlpm.r*AP20*AR20*AR13*IF(ISBLANK(AM20),1,AM20)),0)</f>
        <v>0</v>
      </c>
      <c r="AV20" s="1476" t="str">
        <f>_xlfn.LET(_xlpm.unite,SUBSTITUTE(TRIM(AQ20)," (s)",""),_xlpm.val,AU20,_xlpm.estVol,COUNTIF(AP24:AV24,_xlpm.unite)+COUNTIF(AP26:AV26,_xlpm.unite)&gt;0,_xlpm.estPoids,COUNTIF(AM24:AO24,_xlpm.unite)+COUNTIF(AM26:AO26,_xlpm.unite)&gt;0,IF(_xlpm.estVol,IF(ROUND(_xlpm.val,3)&gt;=1,ROUND(_xlpm.val,3)&amp;" L",MAX(1,ROUND(_xlpm.val*100,0))&amp;" cl"),IF(_xlpm.estPoids,IF(ROUND(_xlpm.val,3)&gt;=1,ROUND(_xlpm.val,3)&amp;" Kg",MAX(1,ROUND(_xlpm.val*1000,0))&amp;" g"),"")))</f>
        <v/>
      </c>
      <c r="AX20" s="111"/>
      <c r="AY20" s="112"/>
      <c r="AZ20" s="48"/>
      <c r="BA20" s="48"/>
      <c r="BB20" s="48"/>
      <c r="BC20" s="48"/>
      <c r="BD20" s="49"/>
      <c r="BF20" s="111"/>
      <c r="BG20" s="112"/>
      <c r="BH20" s="48"/>
      <c r="BI20" s="48"/>
      <c r="BJ20" s="48"/>
      <c r="BK20" s="48"/>
      <c r="BL20" s="49"/>
      <c r="BN20" s="111"/>
      <c r="BO20" s="112"/>
      <c r="BP20" s="48"/>
      <c r="BQ20" s="48"/>
      <c r="BR20" s="48"/>
      <c r="BS20" s="48"/>
      <c r="BT20" s="49"/>
      <c r="BV20" s="3">
        <v>1</v>
      </c>
    </row>
    <row r="21" spans="2:74" ht="21" customHeight="1">
      <c r="B21" s="104" t="str">
        <f t="shared" si="10"/>
        <v>►</v>
      </c>
      <c r="C21" s="32" t="str">
        <f>C14</f>
        <v>N NOM DE VOTRE RECETTE | | Auteur &gt; VOUS</v>
      </c>
      <c r="D21" s="33">
        <f>D14</f>
        <v>18</v>
      </c>
      <c r="E21" s="32" t="str">
        <f>E14</f>
        <v>desserts</v>
      </c>
      <c r="F21" s="34" t="str">
        <f>F14</f>
        <v>Recette mère ► Saisir le nom de la recette principale</v>
      </c>
      <c r="G21" s="92"/>
      <c r="H21" s="108"/>
      <c r="I21" s="94" t="str">
        <f t="shared" si="8"/>
        <v/>
      </c>
      <c r="J21" s="95"/>
      <c r="K21" s="126"/>
      <c r="L21" s="127">
        <v>1</v>
      </c>
      <c r="M21" s="920"/>
      <c r="N21" s="1493">
        <f>IF(OR(ISBLANK(G12),N12=0),0,G21*L13)</f>
        <v>0</v>
      </c>
      <c r="O21" s="101" cm="1">
        <f t="array" ref="O21">IFERROR(_xlfn.LET(_xlpm.k,UPPER(TRIM(K21)),_xlpm.r,_xlfn.XLOOKUP(_xlpm.k,UPPER(TRIM(G24:P24)),G25:P25,_xlfn.XLOOKUP(_xlpm.k,UPPER(TRIM(G26:P26)),G27:P27)),_xlpm.r*J21*L21*L13*IF(ISBLANK(G21),1,G21)),0)</f>
        <v>0</v>
      </c>
      <c r="P21" s="1475" t="str">
        <f>_xlfn.LET(_xlpm.unite,SUBSTITUTE(TRIM(K21)," (s)",""),_xlpm.val,O21,_xlpm.estVol,COUNTIF(J24:P24,_xlpm.unite)+COUNTIF(J26:P26,_xlpm.unite)&gt;0,_xlpm.estPoids,COUNTIF(G24:I24,_xlpm.unite)+COUNTIF(G26:I26,_xlpm.unite)&gt;0,IF(_xlpm.estVol,IF(ROUND(_xlpm.val,3)&gt;=1,ROUND(_xlpm.val,3)&amp;" L",MAX(1,ROUND(_xlpm.val*100,0))&amp;" cl"),IF(_xlpm.estPoids,IF(ROUND(_xlpm.val,3)&gt;=1,ROUND(_xlpm.val,3)&amp;" Kg",MAX(1,ROUND(_xlpm.val*1000,0))&amp;" g"),"")))</f>
        <v/>
      </c>
      <c r="R21" s="104" t="str">
        <f t="shared" si="11"/>
        <v>►</v>
      </c>
      <c r="S21" s="32" t="str">
        <f>S14</f>
        <v>N NAME OF YOUR RECIPE | |  Author &gt; YOU</v>
      </c>
      <c r="T21" s="33">
        <f>T14</f>
        <v>18</v>
      </c>
      <c r="U21" s="32" t="str">
        <f>U14</f>
        <v>desserts</v>
      </c>
      <c r="V21" s="34" t="str">
        <f>V14</f>
        <v>Master recipe ► Enter the main recipe name</v>
      </c>
      <c r="W21" s="92"/>
      <c r="X21" s="108"/>
      <c r="Y21" s="94" t="str">
        <f t="shared" si="12"/>
        <v/>
      </c>
      <c r="Z21" s="95"/>
      <c r="AA21" s="126"/>
      <c r="AB21" s="127">
        <v>1</v>
      </c>
      <c r="AC21" s="920"/>
      <c r="AD21" s="1498">
        <f>IF(OR(ISBLANK(W12),AD12=0),0,W21*AB13)</f>
        <v>0</v>
      </c>
      <c r="AE21" s="101" cm="1">
        <f t="array" ref="AE21">IFERROR(_xlfn.LET(_xlpm.k,UPPER(TRIM(AA21)),_xlpm.r,_xlfn.XLOOKUP(_xlpm.k,UPPER(TRIM(W24:AF24)),W25:AF25,_xlfn.XLOOKUP(_xlpm.k,UPPER(TRIM(W26:AF26)),W27:AF27)),_xlpm.r*Z21*AB21*AB13*IF(ISBLANK(W21),1,W21)),0)</f>
        <v>0</v>
      </c>
      <c r="AF21" s="1475" t="str">
        <f>_xlfn.LET(_xlpm.unite,SUBSTITUTE(TRIM(AA21)," (s)",""),_xlpm.val,AE21,_xlpm.estVol,COUNTIF(Z24:AF24,_xlpm.unite)+COUNTIF(Z26:AF26,_xlpm.unite)&gt;0,_xlpm.estPoids,COUNTIF(W24:Y24,_xlpm.unite)+COUNTIF(W26:Y26,_xlpm.unite)&gt;0,IF(_xlpm.estVol,IF(ROUND(_xlpm.val,3)&gt;=1,ROUND(_xlpm.val,3)&amp;" L",MAX(1,ROUND(_xlpm.val*100,0))&amp;" cl"),IF(_xlpm.estPoids,IF(ROUND(_xlpm.val,3)&gt;=1,ROUND(_xlpm.val,3)&amp;" Kg",MAX(1,ROUND(_xlpm.val*1000,0))&amp;" g"),"")))</f>
        <v/>
      </c>
      <c r="AH21" s="104" t="str">
        <f t="shared" si="13"/>
        <v>►</v>
      </c>
      <c r="AI21" s="32" t="str">
        <f>AI14</f>
        <v>N NOMBRE DE LA RECETA | | Autor &gt; USTED</v>
      </c>
      <c r="AJ21" s="33">
        <f>AJ14</f>
        <v>18</v>
      </c>
      <c r="AK21" s="32" t="str">
        <f>AK14</f>
        <v>postres</v>
      </c>
      <c r="AL21" s="34" t="str">
        <f>AL14</f>
        <v>Receta madre ► Introduzca el nombre de la receta principal</v>
      </c>
      <c r="AM21" s="92"/>
      <c r="AN21" s="108"/>
      <c r="AO21" s="94" t="str">
        <f t="shared" si="9"/>
        <v/>
      </c>
      <c r="AP21" s="95"/>
      <c r="AQ21" s="126"/>
      <c r="AR21" s="127">
        <v>1</v>
      </c>
      <c r="AS21" s="920"/>
      <c r="AT21" s="1498">
        <f>IF(OR(ISBLANK(AM12),AT12=0),0,AM21*AR13)</f>
        <v>0</v>
      </c>
      <c r="AU21" s="101" cm="1">
        <f t="array" ref="AU21">IFERROR(_xlfn.LET(_xlpm.k,UPPER(TRIM(AQ21)),_xlpm.r,_xlfn.XLOOKUP(_xlpm.k,UPPER(TRIM(AM24:AV24)),AM25:AV25,_xlfn.XLOOKUP(_xlpm.k,UPPER(TRIM(AM26:AV26)),AM27:AV27)),_xlpm.r*AP21*AR21*AR13*IF(ISBLANK(AM21),1,AM21)),0)</f>
        <v>0</v>
      </c>
      <c r="AV21" s="1475" t="str">
        <f>_xlfn.LET(_xlpm.unite,SUBSTITUTE(TRIM(AQ21)," (s)",""),_xlpm.val,AU21,_xlpm.estVol,COUNTIF(AP24:AV24,_xlpm.unite)+COUNTIF(AP26:AV26,_xlpm.unite)&gt;0,_xlpm.estPoids,COUNTIF(AM24:AO24,_xlpm.unite)+COUNTIF(AM26:AO26,_xlpm.unite)&gt;0,IF(_xlpm.estVol,IF(ROUND(_xlpm.val,3)&gt;=1,ROUND(_xlpm.val,3)&amp;" L",MAX(1,ROUND(_xlpm.val*100,0))&amp;" cl"),IF(_xlpm.estPoids,IF(ROUND(_xlpm.val,3)&gt;=1,ROUND(_xlpm.val,3)&amp;" Kg",MAX(1,ROUND(_xlpm.val*1000,0))&amp;" g"),"")))</f>
        <v/>
      </c>
      <c r="AX21" s="113" t="s">
        <v>104</v>
      </c>
      <c r="AY21" s="114"/>
      <c r="AZ21" s="115"/>
      <c r="BA21" s="116"/>
      <c r="BB21" s="48"/>
      <c r="BC21" s="48"/>
      <c r="BD21" s="49"/>
      <c r="BF21" s="113" t="s">
        <v>105</v>
      </c>
      <c r="BG21" s="114"/>
      <c r="BH21" s="115"/>
      <c r="BI21" s="116"/>
      <c r="BJ21" s="48"/>
      <c r="BK21" s="48"/>
      <c r="BL21" s="49"/>
      <c r="BN21" s="113" t="s">
        <v>106</v>
      </c>
      <c r="BO21" s="114"/>
      <c r="BP21" s="115"/>
      <c r="BQ21" s="116"/>
      <c r="BR21" s="48"/>
      <c r="BS21" s="48"/>
      <c r="BT21" s="49"/>
      <c r="BV21" s="3">
        <v>1</v>
      </c>
    </row>
    <row r="22" spans="2:74" ht="21" customHeight="1">
      <c r="B22" s="104" t="str">
        <f t="shared" si="10"/>
        <v>►</v>
      </c>
      <c r="C22" s="32" t="str">
        <f>C14</f>
        <v>N NOM DE VOTRE RECETTE | | Auteur &gt; VOUS</v>
      </c>
      <c r="D22" s="33">
        <f>D14</f>
        <v>18</v>
      </c>
      <c r="E22" s="32" t="str">
        <f>E14</f>
        <v>desserts</v>
      </c>
      <c r="F22" s="34" t="str">
        <f>F14</f>
        <v>Recette mère ► Saisir le nom de la recette principale</v>
      </c>
      <c r="G22" s="92"/>
      <c r="H22" s="108"/>
      <c r="I22" s="94" t="str">
        <f t="shared" si="8"/>
        <v/>
      </c>
      <c r="J22" s="95"/>
      <c r="K22" s="126"/>
      <c r="L22" s="127">
        <v>1</v>
      </c>
      <c r="M22" s="920"/>
      <c r="N22" s="1493">
        <f>IF(OR(ISBLANK(G12),N12=0),0,G22*L13)</f>
        <v>0</v>
      </c>
      <c r="O22" s="101" cm="1">
        <f t="array" ref="O22">IFERROR(_xlfn.LET(_xlpm.k,UPPER(TRIM(K22)),_xlpm.r,_xlfn.XLOOKUP(_xlpm.k,UPPER(TRIM(G24:P24)),G25:P25,_xlfn.XLOOKUP(_xlpm.k,UPPER(TRIM(G26:P26)),G27:P27)),_xlpm.r*J22*L22*L13*IF(ISBLANK(G22),1,G22)),0)</f>
        <v>0</v>
      </c>
      <c r="P22" s="1475" t="str">
        <f>_xlfn.LET(_xlpm.unite,SUBSTITUTE(TRIM(K22)," (s)",""),_xlpm.val,O22,_xlpm.estVol,COUNTIF(J24:P24,_xlpm.unite)+COUNTIF(J26:P26,_xlpm.unite)&gt;0,_xlpm.estPoids,COUNTIF(G24:I24,_xlpm.unite)+COUNTIF(G26:I26,_xlpm.unite)&gt;0,IF(_xlpm.estVol,IF(ROUND(_xlpm.val,3)&gt;=1,ROUND(_xlpm.val,3)&amp;" L",MAX(1,ROUND(_xlpm.val*100,0))&amp;" cl"),IF(_xlpm.estPoids,IF(ROUND(_xlpm.val,3)&gt;=1,ROUND(_xlpm.val,3)&amp;" Kg",MAX(1,ROUND(_xlpm.val*1000,0))&amp;" g"),"")))</f>
        <v/>
      </c>
      <c r="R22" s="104" t="str">
        <f t="shared" si="11"/>
        <v>►</v>
      </c>
      <c r="S22" s="32" t="str">
        <f>S14</f>
        <v>N NAME OF YOUR RECIPE | |  Author &gt; YOU</v>
      </c>
      <c r="T22" s="33">
        <f>T14</f>
        <v>18</v>
      </c>
      <c r="U22" s="32" t="str">
        <f>U14</f>
        <v>desserts</v>
      </c>
      <c r="V22" s="34" t="str">
        <f>V14</f>
        <v>Master recipe ► Enter the main recipe name</v>
      </c>
      <c r="W22" s="92"/>
      <c r="X22" s="108"/>
      <c r="Y22" s="94" t="str">
        <f t="shared" si="12"/>
        <v/>
      </c>
      <c r="Z22" s="95"/>
      <c r="AA22" s="126"/>
      <c r="AB22" s="127">
        <v>1</v>
      </c>
      <c r="AC22" s="920"/>
      <c r="AD22" s="1499">
        <f>IF(OR(ISBLANK(W12),AD12=0),0,W22*AB13)</f>
        <v>0</v>
      </c>
      <c r="AE22" s="101" cm="1">
        <f t="array" ref="AE22">IFERROR(_xlfn.LET(_xlpm.k,UPPER(TRIM(AA22)),_xlpm.r,_xlfn.XLOOKUP(_xlpm.k,UPPER(TRIM(W24:AF24)),W25:AF25,_xlfn.XLOOKUP(_xlpm.k,UPPER(TRIM(W26:AF26)),W27:AF27)),_xlpm.r*Z22*AB22*AB13*IF(ISBLANK(W22),1,W22)),0)</f>
        <v>0</v>
      </c>
      <c r="AF22" s="1475" t="str">
        <f>_xlfn.LET(_xlpm.unite,SUBSTITUTE(TRIM(AA22)," (s)",""),_xlpm.val,AE22,_xlpm.estVol,COUNTIF(Z24:AF24,_xlpm.unite)+COUNTIF(Z26:AF26,_xlpm.unite)&gt;0,_xlpm.estPoids,COUNTIF(W24:Y24,_xlpm.unite)+COUNTIF(W26:Y26,_xlpm.unite)&gt;0,IF(_xlpm.estVol,IF(ROUND(_xlpm.val,3)&gt;=1,ROUND(_xlpm.val,3)&amp;" L",MAX(1,ROUND(_xlpm.val*100,0))&amp;" cl"),IF(_xlpm.estPoids,IF(ROUND(_xlpm.val,3)&gt;=1,ROUND(_xlpm.val,3)&amp;" Kg",MAX(1,ROUND(_xlpm.val*1000,0))&amp;" g"),"")))</f>
        <v/>
      </c>
      <c r="AH22" s="104" t="str">
        <f t="shared" si="13"/>
        <v>►</v>
      </c>
      <c r="AI22" s="32" t="str">
        <f>AI14</f>
        <v>N NOMBRE DE LA RECETA | | Autor &gt; USTED</v>
      </c>
      <c r="AJ22" s="33">
        <f>AJ14</f>
        <v>18</v>
      </c>
      <c r="AK22" s="32" t="str">
        <f>AK14</f>
        <v>postres</v>
      </c>
      <c r="AL22" s="34" t="str">
        <f>AL14</f>
        <v>Receta madre ► Introduzca el nombre de la receta principal</v>
      </c>
      <c r="AM22" s="92"/>
      <c r="AN22" s="108"/>
      <c r="AO22" s="94" t="str">
        <f t="shared" si="9"/>
        <v/>
      </c>
      <c r="AP22" s="95"/>
      <c r="AQ22" s="126"/>
      <c r="AR22" s="127">
        <v>1</v>
      </c>
      <c r="AS22" s="920"/>
      <c r="AT22" s="1499">
        <f>IF(OR(ISBLANK(AM12),AT12=0),0,AM22*AR13)</f>
        <v>0</v>
      </c>
      <c r="AU22" s="101" cm="1">
        <f t="array" ref="AU22">IFERROR(_xlfn.LET(_xlpm.k,UPPER(TRIM(AQ22)),_xlpm.r,_xlfn.XLOOKUP(_xlpm.k,UPPER(TRIM(AM24:AV24)),AM25:AV25,_xlfn.XLOOKUP(_xlpm.k,UPPER(TRIM(AM26:AV26)),AM27:AV27)),_xlpm.r*AP22*AR22*AR13*IF(ISBLANK(AM22),1,AM22)),0)</f>
        <v>0</v>
      </c>
      <c r="AV22" s="1475" t="str">
        <f>_xlfn.LET(_xlpm.unite,SUBSTITUTE(TRIM(AQ22)," (s)",""),_xlpm.val,AU22,_xlpm.estVol,COUNTIF(AP24:AV24,_xlpm.unite)+COUNTIF(AP26:AV26,_xlpm.unite)&gt;0,_xlpm.estPoids,COUNTIF(AM24:AO24,_xlpm.unite)+COUNTIF(AM26:AO26,_xlpm.unite)&gt;0,IF(_xlpm.estVol,IF(ROUND(_xlpm.val,3)&gt;=1,ROUND(_xlpm.val,3)&amp;" L",MAX(1,ROUND(_xlpm.val*100,0))&amp;" cl"),IF(_xlpm.estPoids,IF(ROUND(_xlpm.val,3)&gt;=1,ROUND(_xlpm.val,3)&amp;" Kg",MAX(1,ROUND(_xlpm.val*1000,0))&amp;" g"),"")))</f>
        <v/>
      </c>
      <c r="AX22" s="47"/>
      <c r="AY22" s="48"/>
      <c r="AZ22" s="118" t="str">
        <f>IF(ISTEXT(BA22),"Recette mère ►",#REF!)</f>
        <v>Recette mère ►</v>
      </c>
      <c r="BA22" s="119" t="s">
        <v>56</v>
      </c>
      <c r="BB22" s="48"/>
      <c r="BC22" s="48"/>
      <c r="BD22" s="49"/>
      <c r="BF22" s="47"/>
      <c r="BG22" s="48"/>
      <c r="BH22" s="118" t="s">
        <v>108</v>
      </c>
      <c r="BI22" s="119" t="s">
        <v>109</v>
      </c>
      <c r="BJ22" s="48"/>
      <c r="BK22" s="48"/>
      <c r="BL22" s="49"/>
      <c r="BN22" s="47"/>
      <c r="BO22" s="48"/>
      <c r="BP22" s="118" t="s">
        <v>110</v>
      </c>
      <c r="BQ22" s="119" t="s">
        <v>111</v>
      </c>
      <c r="BR22" s="48"/>
      <c r="BS22" s="48"/>
      <c r="BT22" s="49"/>
      <c r="BV22" s="3">
        <v>1</v>
      </c>
    </row>
    <row r="23" spans="2:74" ht="21" customHeight="1">
      <c r="B23" s="104" t="s">
        <v>11</v>
      </c>
      <c r="C23" s="32" t="str">
        <f>C14</f>
        <v>N NOM DE VOTRE RECETTE | | Auteur &gt; VOUS</v>
      </c>
      <c r="D23" s="33">
        <f>D14</f>
        <v>18</v>
      </c>
      <c r="E23" s="32" t="str">
        <f>E14</f>
        <v>desserts</v>
      </c>
      <c r="F23" s="34" t="str">
        <f>F14</f>
        <v>Recette mère ► Saisir le nom de la recette principale</v>
      </c>
      <c r="G23" s="907" t="s">
        <v>136</v>
      </c>
      <c r="H23" s="500"/>
      <c r="I23" s="500"/>
      <c r="J23" s="500"/>
      <c r="K23" s="500"/>
      <c r="L23" s="908"/>
      <c r="M23" s="909"/>
      <c r="N23" s="909"/>
      <c r="O23" s="910">
        <f>SUM(O18:O22)</f>
        <v>0</v>
      </c>
      <c r="P23" s="1489"/>
      <c r="R23" s="104" t="s">
        <v>11</v>
      </c>
      <c r="S23" s="32" t="str">
        <f>S14</f>
        <v>N NAME OF YOUR RECIPE | |  Author &gt; YOU</v>
      </c>
      <c r="T23" s="33">
        <f>T14</f>
        <v>18</v>
      </c>
      <c r="U23" s="32" t="str">
        <f>U14</f>
        <v>desserts</v>
      </c>
      <c r="V23" s="34" t="str">
        <f>V14</f>
        <v>Master recipe ► Enter the main recipe name</v>
      </c>
      <c r="W23" s="907" t="s">
        <v>893</v>
      </c>
      <c r="X23" s="500"/>
      <c r="Y23" s="500"/>
      <c r="Z23" s="500"/>
      <c r="AA23" s="500"/>
      <c r="AB23" s="908"/>
      <c r="AC23" s="909"/>
      <c r="AD23" s="909"/>
      <c r="AE23" s="910">
        <f>SUM(AE18:AE22)</f>
        <v>0</v>
      </c>
      <c r="AF23" s="1489"/>
      <c r="AH23" s="104" t="s">
        <v>11</v>
      </c>
      <c r="AI23" s="32" t="str">
        <f>AI14</f>
        <v>N NOMBRE DE LA RECETA | | Autor &gt; USTED</v>
      </c>
      <c r="AJ23" s="33">
        <f>AJ14</f>
        <v>18</v>
      </c>
      <c r="AK23" s="32" t="str">
        <f>AK14</f>
        <v>postres</v>
      </c>
      <c r="AL23" s="34" t="str">
        <f>AL14</f>
        <v>Receta madre ► Introduzca el nombre de la receta principal</v>
      </c>
      <c r="AM23" s="907" t="s">
        <v>893</v>
      </c>
      <c r="AN23" s="500"/>
      <c r="AO23" s="500"/>
      <c r="AP23" s="500"/>
      <c r="AQ23" s="500"/>
      <c r="AR23" s="908"/>
      <c r="AS23" s="909"/>
      <c r="AT23" s="909"/>
      <c r="AU23" s="910">
        <f>SUM(AU18:AU22)</f>
        <v>0</v>
      </c>
      <c r="AV23" s="1489"/>
      <c r="AX23" s="47"/>
      <c r="AY23" s="48"/>
      <c r="AZ23" s="48"/>
      <c r="BA23" s="48"/>
      <c r="BB23" s="48"/>
      <c r="BC23" s="48"/>
      <c r="BD23" s="49"/>
      <c r="BF23" s="47"/>
      <c r="BG23" s="48"/>
      <c r="BH23" s="48"/>
      <c r="BI23" s="48"/>
      <c r="BJ23" s="48"/>
      <c r="BK23" s="48"/>
      <c r="BL23" s="49"/>
      <c r="BN23" s="47"/>
      <c r="BO23" s="48"/>
      <c r="BP23" s="48"/>
      <c r="BQ23" s="48"/>
      <c r="BR23" s="48"/>
      <c r="BS23" s="48"/>
      <c r="BT23" s="49"/>
      <c r="BV23" s="3">
        <v>1</v>
      </c>
    </row>
    <row r="24" spans="2:74" ht="21" customHeight="1">
      <c r="B24" s="104" t="s">
        <v>16</v>
      </c>
      <c r="C24" s="32" t="str">
        <f>C14</f>
        <v>N NOM DE VOTRE RECETTE | | Auteur &gt; VOUS</v>
      </c>
      <c r="D24" s="33">
        <f>D14</f>
        <v>18</v>
      </c>
      <c r="E24" s="32" t="str">
        <f>E14</f>
        <v>desserts</v>
      </c>
      <c r="F24" s="34" t="str">
        <f>F14</f>
        <v>Recette mère ► Saisir le nom de la recette principale</v>
      </c>
      <c r="G24" s="140" t="s">
        <v>143</v>
      </c>
      <c r="H24" s="105" t="s">
        <v>99</v>
      </c>
      <c r="I24" s="141" t="s">
        <v>144</v>
      </c>
      <c r="J24" s="96" t="s">
        <v>0</v>
      </c>
      <c r="K24" s="96" t="s">
        <v>96</v>
      </c>
      <c r="L24" s="96" t="s">
        <v>147</v>
      </c>
      <c r="M24" s="96" t="s">
        <v>148</v>
      </c>
      <c r="N24" s="109" t="s">
        <v>364</v>
      </c>
      <c r="O24" s="109" t="s">
        <v>102</v>
      </c>
      <c r="P24" s="109" t="s">
        <v>149</v>
      </c>
      <c r="R24" s="104" t="s">
        <v>16</v>
      </c>
      <c r="S24" s="32" t="str">
        <f>S14</f>
        <v>N NAME OF YOUR RECIPE | |  Author &gt; YOU</v>
      </c>
      <c r="T24" s="33">
        <f>T14</f>
        <v>18</v>
      </c>
      <c r="U24" s="32" t="str">
        <f>U14</f>
        <v>desserts</v>
      </c>
      <c r="V24" s="34" t="str">
        <f>V14</f>
        <v>Master recipe ► Enter the main recipe name</v>
      </c>
      <c r="W24" s="140" t="s">
        <v>143</v>
      </c>
      <c r="X24" s="105" t="s">
        <v>99</v>
      </c>
      <c r="Y24" s="141" t="s">
        <v>144</v>
      </c>
      <c r="Z24" s="96" t="s">
        <v>0</v>
      </c>
      <c r="AA24" s="96" t="s">
        <v>96</v>
      </c>
      <c r="AB24" s="96" t="s">
        <v>147</v>
      </c>
      <c r="AC24" s="96" t="s">
        <v>148</v>
      </c>
      <c r="AD24" s="109" t="s">
        <v>1378</v>
      </c>
      <c r="AE24" s="109" t="s">
        <v>1360</v>
      </c>
      <c r="AF24" s="109" t="s">
        <v>1361</v>
      </c>
      <c r="AH24" s="104" t="s">
        <v>16</v>
      </c>
      <c r="AI24" s="32" t="str">
        <f>AI14</f>
        <v>N NOMBRE DE LA RECETA | | Autor &gt; USTED</v>
      </c>
      <c r="AJ24" s="33">
        <f>AJ14</f>
        <v>18</v>
      </c>
      <c r="AK24" s="32" t="str">
        <f>AK14</f>
        <v>postres</v>
      </c>
      <c r="AL24" s="34" t="str">
        <f>AL14</f>
        <v>Receta madre ► Introduzca el nombre de la receta principal</v>
      </c>
      <c r="AM24" s="140" t="s">
        <v>143</v>
      </c>
      <c r="AN24" s="105" t="s">
        <v>99</v>
      </c>
      <c r="AO24" s="141" t="s">
        <v>144</v>
      </c>
      <c r="AP24" s="96" t="s">
        <v>0</v>
      </c>
      <c r="AQ24" s="96" t="s">
        <v>96</v>
      </c>
      <c r="AR24" s="96" t="s">
        <v>147</v>
      </c>
      <c r="AS24" s="96" t="s">
        <v>148</v>
      </c>
      <c r="AT24" s="109" t="s">
        <v>1379</v>
      </c>
      <c r="AU24" s="109" t="s">
        <v>1341</v>
      </c>
      <c r="AV24" s="109" t="s">
        <v>1342</v>
      </c>
      <c r="AX24" s="47"/>
      <c r="AY24" s="120" t="s">
        <v>113</v>
      </c>
      <c r="AZ24" s="121"/>
      <c r="BA24" s="122"/>
      <c r="BB24" s="48"/>
      <c r="BC24" s="48"/>
      <c r="BD24" s="49"/>
      <c r="BF24" s="47"/>
      <c r="BG24" s="120" t="s">
        <v>114</v>
      </c>
      <c r="BH24" s="121"/>
      <c r="BI24" s="122"/>
      <c r="BJ24" s="48"/>
      <c r="BK24" s="48"/>
      <c r="BL24" s="49"/>
      <c r="BN24" s="47"/>
      <c r="BO24" s="120" t="s">
        <v>115</v>
      </c>
      <c r="BP24" s="121"/>
      <c r="BQ24" s="122"/>
      <c r="BR24" s="48"/>
      <c r="BS24" s="48"/>
      <c r="BT24" s="49"/>
      <c r="BV24" s="3">
        <v>1</v>
      </c>
    </row>
    <row r="25" spans="2:74" ht="21" customHeight="1">
      <c r="B25" s="104" t="s">
        <v>16</v>
      </c>
      <c r="C25" s="32" t="str">
        <f>C14</f>
        <v>N NOM DE VOTRE RECETTE | | Auteur &gt; VOUS</v>
      </c>
      <c r="D25" s="33">
        <f>D14</f>
        <v>18</v>
      </c>
      <c r="E25" s="32" t="str">
        <f>E14</f>
        <v>desserts</v>
      </c>
      <c r="F25" s="34" t="str">
        <f>F14</f>
        <v>Recette mère ► Saisir le nom de la recette principale</v>
      </c>
      <c r="G25" s="911">
        <v>1</v>
      </c>
      <c r="H25" s="912">
        <v>1E-3</v>
      </c>
      <c r="I25" s="913">
        <v>0</v>
      </c>
      <c r="J25" s="914">
        <v>1</v>
      </c>
      <c r="K25" s="914">
        <v>0.1</v>
      </c>
      <c r="L25" s="914">
        <v>0.01</v>
      </c>
      <c r="M25" s="914">
        <v>1E-3</v>
      </c>
      <c r="N25" s="914">
        <v>0.25</v>
      </c>
      <c r="O25" s="914">
        <v>0.5</v>
      </c>
      <c r="P25" s="914">
        <v>0.33300000000000002</v>
      </c>
      <c r="R25" s="104" t="s">
        <v>16</v>
      </c>
      <c r="S25" s="32" t="str">
        <f>S14</f>
        <v>N NAME OF YOUR RECIPE | |  Author &gt; YOU</v>
      </c>
      <c r="T25" s="33">
        <f>T14</f>
        <v>18</v>
      </c>
      <c r="U25" s="32" t="str">
        <f>U14</f>
        <v>desserts</v>
      </c>
      <c r="V25" s="34" t="str">
        <f>V14</f>
        <v>Master recipe ► Enter the main recipe name</v>
      </c>
      <c r="W25" s="911">
        <v>1</v>
      </c>
      <c r="X25" s="912">
        <v>1E-3</v>
      </c>
      <c r="Y25" s="913">
        <v>0</v>
      </c>
      <c r="Z25" s="914">
        <v>1</v>
      </c>
      <c r="AA25" s="914">
        <v>0.1</v>
      </c>
      <c r="AB25" s="914">
        <v>0.01</v>
      </c>
      <c r="AC25" s="914">
        <v>1E-3</v>
      </c>
      <c r="AD25" s="914">
        <v>0.25</v>
      </c>
      <c r="AE25" s="914">
        <v>0.5</v>
      </c>
      <c r="AF25" s="914">
        <v>0.33300000000000002</v>
      </c>
      <c r="AH25" s="104" t="s">
        <v>16</v>
      </c>
      <c r="AI25" s="32" t="str">
        <f>AI14</f>
        <v>N NOMBRE DE LA RECETA | | Autor &gt; USTED</v>
      </c>
      <c r="AJ25" s="33">
        <f>AJ14</f>
        <v>18</v>
      </c>
      <c r="AK25" s="32" t="str">
        <f>AK14</f>
        <v>postres</v>
      </c>
      <c r="AL25" s="34" t="str">
        <f>AL14</f>
        <v>Receta madre ► Introduzca el nombre de la receta principal</v>
      </c>
      <c r="AM25" s="911">
        <v>1</v>
      </c>
      <c r="AN25" s="912">
        <v>1E-3</v>
      </c>
      <c r="AO25" s="913">
        <v>0</v>
      </c>
      <c r="AP25" s="914">
        <v>1</v>
      </c>
      <c r="AQ25" s="914">
        <v>0.1</v>
      </c>
      <c r="AR25" s="914">
        <v>0.01</v>
      </c>
      <c r="AS25" s="914">
        <v>1E-3</v>
      </c>
      <c r="AT25" s="914">
        <v>0.25</v>
      </c>
      <c r="AU25" s="914">
        <v>0.5</v>
      </c>
      <c r="AV25" s="914">
        <v>0.33300000000000002</v>
      </c>
      <c r="AX25" s="47"/>
      <c r="AY25" s="5396" t="s">
        <v>118</v>
      </c>
      <c r="AZ25" s="124" t="s">
        <v>119</v>
      </c>
      <c r="BA25" s="125"/>
      <c r="BB25" s="48"/>
      <c r="BC25" s="48"/>
      <c r="BD25" s="49"/>
      <c r="BF25" s="47"/>
      <c r="BG25" s="5396" t="s">
        <v>120</v>
      </c>
      <c r="BH25" s="124" t="s">
        <v>121</v>
      </c>
      <c r="BI25" s="125"/>
      <c r="BJ25" s="48"/>
      <c r="BK25" s="48"/>
      <c r="BL25" s="49"/>
      <c r="BN25" s="47"/>
      <c r="BO25" s="5396" t="s">
        <v>122</v>
      </c>
      <c r="BP25" s="124" t="s">
        <v>123</v>
      </c>
      <c r="BQ25" s="125"/>
      <c r="BR25" s="48"/>
      <c r="BS25" s="48"/>
      <c r="BT25" s="49"/>
      <c r="BV25" s="3">
        <v>1</v>
      </c>
    </row>
    <row r="26" spans="2:74" ht="21" customHeight="1">
      <c r="B26" s="104" t="s">
        <v>16</v>
      </c>
      <c r="C26" s="32" t="str">
        <f>C14</f>
        <v>N NOM DE VOTRE RECETTE | | Auteur &gt; VOUS</v>
      </c>
      <c r="D26" s="33">
        <f>D14</f>
        <v>18</v>
      </c>
      <c r="E26" s="32" t="str">
        <f>E14</f>
        <v>desserts</v>
      </c>
      <c r="F26" s="34" t="str">
        <f>F14</f>
        <v>Recette mère ► Saisir le nom de la recette principale</v>
      </c>
      <c r="G26" s="142" t="s">
        <v>145</v>
      </c>
      <c r="H26" s="117" t="s">
        <v>107</v>
      </c>
      <c r="I26" s="141" t="s">
        <v>144</v>
      </c>
      <c r="J26" s="109" t="s">
        <v>150</v>
      </c>
      <c r="K26" s="109" t="s">
        <v>163</v>
      </c>
      <c r="L26" s="109" t="s">
        <v>103</v>
      </c>
      <c r="M26" s="109" t="s">
        <v>162</v>
      </c>
      <c r="N26" s="149" t="s">
        <v>160</v>
      </c>
      <c r="O26" s="149" t="s">
        <v>117</v>
      </c>
      <c r="P26" s="1061" t="s">
        <v>1831</v>
      </c>
      <c r="R26" s="104" t="s">
        <v>16</v>
      </c>
      <c r="S26" s="32" t="str">
        <f>S14</f>
        <v>N NAME OF YOUR RECIPE | |  Author &gt; YOU</v>
      </c>
      <c r="T26" s="33">
        <f>T14</f>
        <v>18</v>
      </c>
      <c r="U26" s="32" t="str">
        <f>U14</f>
        <v>desserts</v>
      </c>
      <c r="V26" s="34" t="str">
        <f>V14</f>
        <v>Master recipe ► Enter the main recipe name</v>
      </c>
      <c r="W26" s="142" t="s">
        <v>1357</v>
      </c>
      <c r="X26" s="117" t="s">
        <v>1359</v>
      </c>
      <c r="Y26" s="141" t="s">
        <v>144</v>
      </c>
      <c r="Z26" s="109" t="s">
        <v>1362</v>
      </c>
      <c r="AA26" s="109" t="s">
        <v>1371</v>
      </c>
      <c r="AB26" s="109" t="s">
        <v>1372</v>
      </c>
      <c r="AC26" s="109" t="s">
        <v>1370</v>
      </c>
      <c r="AD26" s="149" t="s">
        <v>1368</v>
      </c>
      <c r="AE26" s="149" t="s">
        <v>1367</v>
      </c>
      <c r="AF26" s="1061" t="s">
        <v>1832</v>
      </c>
      <c r="AH26" s="104" t="s">
        <v>16</v>
      </c>
      <c r="AI26" s="32" t="str">
        <f>AI14</f>
        <v>N NOMBRE DE LA RECETA | | Autor &gt; USTED</v>
      </c>
      <c r="AJ26" s="33">
        <f>AJ14</f>
        <v>18</v>
      </c>
      <c r="AK26" s="32" t="str">
        <f>AK14</f>
        <v>postres</v>
      </c>
      <c r="AL26" s="34" t="str">
        <f>AL14</f>
        <v>Receta madre ► Introduzca el nombre de la receta principal</v>
      </c>
      <c r="AM26" s="142" t="s">
        <v>145</v>
      </c>
      <c r="AN26" s="117" t="s">
        <v>107</v>
      </c>
      <c r="AO26" s="141" t="s">
        <v>144</v>
      </c>
      <c r="AP26" s="143" t="s">
        <v>1343</v>
      </c>
      <c r="AQ26" s="109" t="s">
        <v>1354</v>
      </c>
      <c r="AR26" s="109" t="s">
        <v>1355</v>
      </c>
      <c r="AS26" s="109" t="s">
        <v>1353</v>
      </c>
      <c r="AT26" s="149" t="s">
        <v>1351</v>
      </c>
      <c r="AU26" s="123" t="s">
        <v>1350</v>
      </c>
      <c r="AV26" s="1061" t="s">
        <v>1833</v>
      </c>
      <c r="AX26" s="47"/>
      <c r="AY26" s="5396"/>
      <c r="AZ26" s="124" t="s">
        <v>124</v>
      </c>
      <c r="BA26" s="125"/>
      <c r="BB26" s="48"/>
      <c r="BC26" s="48"/>
      <c r="BD26" s="49"/>
      <c r="BF26" s="47"/>
      <c r="BG26" s="5396"/>
      <c r="BH26" s="124" t="s">
        <v>124</v>
      </c>
      <c r="BI26" s="125"/>
      <c r="BJ26" s="48"/>
      <c r="BK26" s="48"/>
      <c r="BL26" s="49"/>
      <c r="BN26" s="47"/>
      <c r="BO26" s="5396"/>
      <c r="BP26" s="124" t="s">
        <v>124</v>
      </c>
      <c r="BQ26" s="125"/>
      <c r="BR26" s="48"/>
      <c r="BS26" s="48"/>
      <c r="BT26" s="49"/>
      <c r="BV26" s="3">
        <v>1</v>
      </c>
    </row>
    <row r="27" spans="2:74" ht="21" customHeight="1">
      <c r="B27" s="104" t="s">
        <v>16</v>
      </c>
      <c r="C27" s="32" t="str">
        <f>C14</f>
        <v>N NOM DE VOTRE RECETTE | | Auteur &gt; VOUS</v>
      </c>
      <c r="D27" s="33">
        <f>D14</f>
        <v>18</v>
      </c>
      <c r="E27" s="32" t="str">
        <f>E14</f>
        <v>desserts</v>
      </c>
      <c r="F27" s="34" t="str">
        <f>F14</f>
        <v>Recette mère ► Saisir le nom de la recette principale</v>
      </c>
      <c r="G27" s="912">
        <v>0.25</v>
      </c>
      <c r="H27" s="912">
        <v>0.5</v>
      </c>
      <c r="I27" s="913">
        <v>0</v>
      </c>
      <c r="J27" s="914">
        <v>0.2</v>
      </c>
      <c r="K27" s="914">
        <v>0.1</v>
      </c>
      <c r="L27" s="914">
        <v>0.22500000000000001</v>
      </c>
      <c r="M27" s="914">
        <v>1.4999999999999999E-2</v>
      </c>
      <c r="N27" s="914">
        <v>4.9299999999999995E-3</v>
      </c>
      <c r="O27" s="914">
        <v>0.35</v>
      </c>
      <c r="P27" s="915">
        <v>0.25</v>
      </c>
      <c r="R27" s="104" t="s">
        <v>16</v>
      </c>
      <c r="S27" s="32" t="str">
        <f>S14</f>
        <v>N NAME OF YOUR RECIPE | |  Author &gt; YOU</v>
      </c>
      <c r="T27" s="33">
        <f>T14</f>
        <v>18</v>
      </c>
      <c r="U27" s="32" t="str">
        <f>U14</f>
        <v>desserts</v>
      </c>
      <c r="V27" s="34" t="str">
        <f>V14</f>
        <v>Master recipe ► Enter the main recipe name</v>
      </c>
      <c r="W27" s="912">
        <v>0.25</v>
      </c>
      <c r="X27" s="912">
        <v>0.5</v>
      </c>
      <c r="Y27" s="913">
        <v>0</v>
      </c>
      <c r="Z27" s="914">
        <v>0.2</v>
      </c>
      <c r="AA27" s="914">
        <v>0.1</v>
      </c>
      <c r="AB27" s="914">
        <v>0.22500000000000001</v>
      </c>
      <c r="AC27" s="914">
        <v>1.4999999999999999E-2</v>
      </c>
      <c r="AD27" s="914">
        <v>4.9299999999999995E-3</v>
      </c>
      <c r="AE27" s="914">
        <v>0.35</v>
      </c>
      <c r="AF27" s="915">
        <v>0.25</v>
      </c>
      <c r="AH27" s="104" t="s">
        <v>16</v>
      </c>
      <c r="AI27" s="32" t="str">
        <f>AI14</f>
        <v>N NOMBRE DE LA RECETA | | Autor &gt; USTED</v>
      </c>
      <c r="AJ27" s="33">
        <f>AJ14</f>
        <v>18</v>
      </c>
      <c r="AK27" s="32" t="str">
        <f>AK14</f>
        <v>postres</v>
      </c>
      <c r="AL27" s="34" t="str">
        <f>AL14</f>
        <v>Receta madre ► Introduzca el nombre de la receta principal</v>
      </c>
      <c r="AM27" s="912">
        <v>0.25</v>
      </c>
      <c r="AN27" s="912">
        <v>0.5</v>
      </c>
      <c r="AO27" s="913">
        <v>0</v>
      </c>
      <c r="AP27" s="914">
        <v>0.2</v>
      </c>
      <c r="AQ27" s="914">
        <v>0.1</v>
      </c>
      <c r="AR27" s="914">
        <v>0.22500000000000001</v>
      </c>
      <c r="AS27" s="914">
        <v>1.4999999999999999E-2</v>
      </c>
      <c r="AT27" s="914">
        <v>4.9299999999999995E-3</v>
      </c>
      <c r="AU27" s="914">
        <v>0.35</v>
      </c>
      <c r="AV27" s="915">
        <v>0.25</v>
      </c>
      <c r="AX27" s="47"/>
      <c r="AY27" s="5396"/>
      <c r="AZ27" s="124" t="s">
        <v>125</v>
      </c>
      <c r="BA27" s="125"/>
      <c r="BB27" s="48"/>
      <c r="BC27" s="48"/>
      <c r="BD27" s="49"/>
      <c r="BF27" s="47"/>
      <c r="BG27" s="5396"/>
      <c r="BH27" s="124" t="s">
        <v>126</v>
      </c>
      <c r="BI27" s="125"/>
      <c r="BJ27" s="48"/>
      <c r="BK27" s="48"/>
      <c r="BL27" s="49"/>
      <c r="BN27" s="47"/>
      <c r="BO27" s="5396"/>
      <c r="BP27" s="124" t="s">
        <v>127</v>
      </c>
      <c r="BQ27" s="125"/>
      <c r="BR27" s="48"/>
      <c r="BS27" s="48"/>
      <c r="BT27" s="49"/>
      <c r="BV27" s="3">
        <v>1</v>
      </c>
    </row>
    <row r="28" spans="2:74" ht="21" customHeight="1">
      <c r="B28" s="104" t="s">
        <v>16</v>
      </c>
      <c r="C28" s="32" t="str">
        <f>C14</f>
        <v>N NOM DE VOTRE RECETTE | | Auteur &gt; VOUS</v>
      </c>
      <c r="D28" s="33">
        <f>D14</f>
        <v>18</v>
      </c>
      <c r="E28" s="32" t="str">
        <f>E14</f>
        <v>desserts</v>
      </c>
      <c r="F28" s="34" t="str">
        <f>F14</f>
        <v>Recette mère ► Saisir le nom de la recette principale</v>
      </c>
      <c r="G28" s="154" t="str">
        <f>G15</f>
        <v>Col.6</v>
      </c>
      <c r="H28" s="154" t="str">
        <f>H15</f>
        <v>Col.7</v>
      </c>
      <c r="I28" s="155" t="s">
        <v>3295</v>
      </c>
      <c r="J28" s="155"/>
      <c r="K28" s="155"/>
      <c r="L28" s="155"/>
      <c r="M28" s="155"/>
      <c r="N28" s="155"/>
      <c r="O28" s="155"/>
      <c r="P28" s="1477"/>
      <c r="R28" s="104" t="s">
        <v>16</v>
      </c>
      <c r="S28" s="32" t="str">
        <f>S14</f>
        <v>N NAME OF YOUR RECIPE | |  Author &gt; YOU</v>
      </c>
      <c r="T28" s="33">
        <f>T14</f>
        <v>18</v>
      </c>
      <c r="U28" s="32" t="str">
        <f>U14</f>
        <v>desserts</v>
      </c>
      <c r="V28" s="34" t="str">
        <f>V14</f>
        <v>Master recipe ► Enter the main recipe name</v>
      </c>
      <c r="W28" s="154" t="str">
        <f>W15</f>
        <v>Col.6</v>
      </c>
      <c r="X28" s="154" t="str">
        <f>X15</f>
        <v>Col.7</v>
      </c>
      <c r="Y28" s="155" t="s">
        <v>3296</v>
      </c>
      <c r="Z28" s="155"/>
      <c r="AA28" s="155"/>
      <c r="AB28" s="155"/>
      <c r="AC28" s="155"/>
      <c r="AD28" s="155"/>
      <c r="AE28" s="155"/>
      <c r="AF28" s="1477"/>
      <c r="AH28" s="104" t="s">
        <v>16</v>
      </c>
      <c r="AI28" s="32" t="str">
        <f>AI14</f>
        <v>N NOMBRE DE LA RECETA | | Autor &gt; USTED</v>
      </c>
      <c r="AJ28" s="33">
        <f>AJ14</f>
        <v>18</v>
      </c>
      <c r="AK28" s="32" t="str">
        <f>AK14</f>
        <v>postres</v>
      </c>
      <c r="AL28" s="34" t="str">
        <f>AL14</f>
        <v>Receta madre ► Introduzca el nombre de la receta principal</v>
      </c>
      <c r="AM28" s="154" t="str">
        <f>AM15</f>
        <v>Col.6</v>
      </c>
      <c r="AN28" s="154" t="str">
        <f>AN15</f>
        <v>Col.7</v>
      </c>
      <c r="AO28" s="155" t="s">
        <v>3298</v>
      </c>
      <c r="AP28" s="155"/>
      <c r="AQ28" s="155"/>
      <c r="AR28" s="155"/>
      <c r="AS28" s="155"/>
      <c r="AT28" s="155"/>
      <c r="AU28" s="155"/>
      <c r="AV28" s="1477"/>
      <c r="AX28" s="47"/>
      <c r="AY28" s="5396"/>
      <c r="AZ28" s="124" t="s">
        <v>128</v>
      </c>
      <c r="BA28" s="125"/>
      <c r="BB28" s="48"/>
      <c r="BC28" s="48"/>
      <c r="BD28" s="49"/>
      <c r="BF28" s="47"/>
      <c r="BG28" s="5396"/>
      <c r="BH28" s="124" t="s">
        <v>129</v>
      </c>
      <c r="BI28" s="125"/>
      <c r="BJ28" s="48"/>
      <c r="BK28" s="48"/>
      <c r="BL28" s="49"/>
      <c r="BN28" s="47"/>
      <c r="BO28" s="5396"/>
      <c r="BP28" s="124" t="s">
        <v>129</v>
      </c>
      <c r="BQ28" s="125"/>
      <c r="BR28" s="48"/>
      <c r="BS28" s="48"/>
      <c r="BT28" s="49"/>
      <c r="BV28" s="3">
        <v>1</v>
      </c>
    </row>
    <row r="29" spans="2:74" ht="21" customHeight="1">
      <c r="B29" s="104" t="s">
        <v>16</v>
      </c>
      <c r="C29" s="157" t="str">
        <f>C14</f>
        <v>N NOM DE VOTRE RECETTE | | Auteur &gt; VOUS</v>
      </c>
      <c r="D29" s="157">
        <f>D14</f>
        <v>18</v>
      </c>
      <c r="E29" s="158" t="str">
        <f>E14</f>
        <v>desserts</v>
      </c>
      <c r="F29" s="159" t="str">
        <f>F14</f>
        <v>Recette mère ► Saisir le nom de la recette principale</v>
      </c>
      <c r="G29" s="160" t="s">
        <v>167</v>
      </c>
      <c r="H29" s="1483" t="s">
        <v>3328</v>
      </c>
      <c r="I29" s="162"/>
      <c r="J29" s="162"/>
      <c r="K29" s="172"/>
      <c r="L29" s="172"/>
      <c r="M29" s="172"/>
      <c r="N29" s="172"/>
      <c r="O29" s="156" t="s">
        <v>165</v>
      </c>
      <c r="P29" s="1484" t="s">
        <v>3276</v>
      </c>
      <c r="Q29" s="555"/>
      <c r="R29" s="104" t="s">
        <v>16</v>
      </c>
      <c r="S29" s="157" t="str">
        <f>S14</f>
        <v>N NAME OF YOUR RECIPE | |  Author &gt; YOU</v>
      </c>
      <c r="T29" s="157">
        <f>T14</f>
        <v>18</v>
      </c>
      <c r="U29" s="158" t="str">
        <f>U14</f>
        <v>desserts</v>
      </c>
      <c r="V29" s="159" t="str">
        <f>V14</f>
        <v>Master recipe ► Enter the main recipe name</v>
      </c>
      <c r="W29" s="232" t="s">
        <v>752</v>
      </c>
      <c r="X29" s="161" t="s">
        <v>3327</v>
      </c>
      <c r="Y29" s="162"/>
      <c r="Z29" s="162"/>
      <c r="AA29" s="172"/>
      <c r="AB29" s="172"/>
      <c r="AC29" s="172"/>
      <c r="AD29" s="172"/>
      <c r="AE29" s="156" t="s">
        <v>894</v>
      </c>
      <c r="AF29" s="1484" t="s">
        <v>3276</v>
      </c>
      <c r="AH29" s="104" t="s">
        <v>16</v>
      </c>
      <c r="AI29" s="157" t="str">
        <f>AI14</f>
        <v>N NOMBRE DE LA RECETA | | Autor &gt; USTED</v>
      </c>
      <c r="AJ29" s="157">
        <f>AJ14</f>
        <v>18</v>
      </c>
      <c r="AK29" s="158" t="str">
        <f>AK14</f>
        <v>postres</v>
      </c>
      <c r="AL29" s="159" t="str">
        <f>AL14</f>
        <v>Receta madre ► Introduzca el nombre de la receta principal</v>
      </c>
      <c r="AM29" s="232" t="s">
        <v>754</v>
      </c>
      <c r="AN29" s="161" t="s">
        <v>3325</v>
      </c>
      <c r="AO29" s="162"/>
      <c r="AP29" s="162"/>
      <c r="AQ29" s="172"/>
      <c r="AR29" s="172"/>
      <c r="AS29" s="172"/>
      <c r="AT29" s="172"/>
      <c r="AU29" s="905" t="s">
        <v>908</v>
      </c>
      <c r="AV29" s="1484" t="s">
        <v>3276</v>
      </c>
      <c r="AX29" s="47"/>
      <c r="AY29" s="5396"/>
      <c r="AZ29" s="124" t="s">
        <v>130</v>
      </c>
      <c r="BA29" s="125"/>
      <c r="BB29" s="48"/>
      <c r="BC29" s="48"/>
      <c r="BD29" s="49"/>
      <c r="BF29" s="47"/>
      <c r="BG29" s="5396"/>
      <c r="BH29" s="124" t="s">
        <v>131</v>
      </c>
      <c r="BI29" s="125"/>
      <c r="BJ29" s="48"/>
      <c r="BK29" s="48"/>
      <c r="BL29" s="49"/>
      <c r="BN29" s="47"/>
      <c r="BO29" s="5396"/>
      <c r="BP29" s="124" t="s">
        <v>132</v>
      </c>
      <c r="BQ29" s="125"/>
      <c r="BR29" s="48"/>
      <c r="BS29" s="48"/>
      <c r="BT29" s="49"/>
      <c r="BV29" s="3">
        <v>1</v>
      </c>
    </row>
    <row r="30" spans="2:74" ht="21" customHeight="1">
      <c r="B30" s="104" t="s">
        <v>16</v>
      </c>
      <c r="C30" s="157" t="str">
        <f>C14</f>
        <v>N NOM DE VOTRE RECETTE | | Auteur &gt; VOUS</v>
      </c>
      <c r="D30" s="157">
        <f>D14</f>
        <v>18</v>
      </c>
      <c r="E30" s="158" t="str">
        <f>E14</f>
        <v>desserts</v>
      </c>
      <c r="F30" s="159" t="str">
        <f>F14</f>
        <v>Recette mère ► Saisir le nom de la recette principale</v>
      </c>
      <c r="G30" s="172"/>
      <c r="H30" s="172"/>
      <c r="I30" s="172"/>
      <c r="J30" s="172"/>
      <c r="K30" s="172"/>
      <c r="L30" s="172"/>
      <c r="M30" s="172"/>
      <c r="N30" s="172"/>
      <c r="O30" s="1474" t="s">
        <v>168</v>
      </c>
      <c r="P30" s="1482" t="s">
        <v>668</v>
      </c>
      <c r="Q30" s="555"/>
      <c r="R30" s="104" t="s">
        <v>16</v>
      </c>
      <c r="S30" s="157" t="str">
        <f>S14</f>
        <v>N NAME OF YOUR RECIPE | |  Author &gt; YOU</v>
      </c>
      <c r="T30" s="157">
        <f>T14</f>
        <v>18</v>
      </c>
      <c r="U30" s="158" t="str">
        <f>U14</f>
        <v>desserts</v>
      </c>
      <c r="V30" s="159" t="str">
        <f>V14</f>
        <v>Master recipe ► Enter the main recipe name</v>
      </c>
      <c r="W30" s="172"/>
      <c r="X30" s="172"/>
      <c r="Y30" s="172"/>
      <c r="Z30" s="172"/>
      <c r="AA30" s="172"/>
      <c r="AB30" s="172"/>
      <c r="AC30" s="172"/>
      <c r="AD30" s="172"/>
      <c r="AE30" s="1474" t="s">
        <v>895</v>
      </c>
      <c r="AF30" s="1482" t="s">
        <v>668</v>
      </c>
      <c r="AH30" s="104" t="s">
        <v>16</v>
      </c>
      <c r="AI30" s="157" t="str">
        <f>AI14</f>
        <v>N NOMBRE DE LA RECETA | | Autor &gt; USTED</v>
      </c>
      <c r="AJ30" s="157">
        <f>AJ14</f>
        <v>18</v>
      </c>
      <c r="AK30" s="158" t="str">
        <f>AK14</f>
        <v>postres</v>
      </c>
      <c r="AL30" s="159" t="str">
        <f>AL14</f>
        <v>Receta madre ► Introduzca el nombre de la receta principal</v>
      </c>
      <c r="AM30" s="172"/>
      <c r="AN30" s="172"/>
      <c r="AO30" s="172"/>
      <c r="AP30" s="172"/>
      <c r="AQ30" s="172"/>
      <c r="AR30" s="172"/>
      <c r="AS30" s="172"/>
      <c r="AT30" s="172"/>
      <c r="AU30" s="1474" t="s">
        <v>909</v>
      </c>
      <c r="AV30" s="1482" t="s">
        <v>668</v>
      </c>
      <c r="AX30" s="47"/>
      <c r="AY30" s="5397"/>
      <c r="AZ30" s="128" t="s">
        <v>133</v>
      </c>
      <c r="BA30" s="129"/>
      <c r="BB30" s="48"/>
      <c r="BC30" s="48"/>
      <c r="BD30" s="49"/>
      <c r="BF30" s="47"/>
      <c r="BG30" s="5397"/>
      <c r="BH30" s="128" t="s">
        <v>134</v>
      </c>
      <c r="BI30" s="129"/>
      <c r="BJ30" s="48"/>
      <c r="BK30" s="48"/>
      <c r="BL30" s="49"/>
      <c r="BN30" s="47"/>
      <c r="BO30" s="5397"/>
      <c r="BP30" s="128" t="s">
        <v>135</v>
      </c>
      <c r="BQ30" s="129"/>
      <c r="BR30" s="48"/>
      <c r="BS30" s="48"/>
      <c r="BT30" s="49"/>
      <c r="BV30" s="3">
        <v>1</v>
      </c>
    </row>
    <row r="31" spans="2:74" ht="21" customHeight="1">
      <c r="B31" s="104" t="s">
        <v>16</v>
      </c>
      <c r="C31" s="157" t="str">
        <f>C14</f>
        <v>N NOM DE VOTRE RECETTE | | Auteur &gt; VOUS</v>
      </c>
      <c r="D31" s="157">
        <f>D14</f>
        <v>18</v>
      </c>
      <c r="E31" s="158" t="str">
        <f>E14</f>
        <v>desserts</v>
      </c>
      <c r="F31" s="159" t="str">
        <f>F14</f>
        <v>Recette mère ► Saisir le nom de la recette principale</v>
      </c>
      <c r="G31" s="172"/>
      <c r="H31" s="172"/>
      <c r="I31" s="172"/>
      <c r="J31" s="172"/>
      <c r="K31" s="172"/>
      <c r="L31" s="172"/>
      <c r="M31" s="172"/>
      <c r="N31" s="172"/>
      <c r="O31" s="172"/>
      <c r="P31" s="555"/>
      <c r="Q31" s="555"/>
      <c r="R31" s="104" t="s">
        <v>16</v>
      </c>
      <c r="S31" s="157" t="str">
        <f>S14</f>
        <v>N NAME OF YOUR RECIPE | |  Author &gt; YOU</v>
      </c>
      <c r="T31" s="157">
        <f>T14</f>
        <v>18</v>
      </c>
      <c r="U31" s="158" t="str">
        <f>U14</f>
        <v>desserts</v>
      </c>
      <c r="V31" s="159" t="str">
        <f>V14</f>
        <v>Master recipe ► Enter the main recipe name</v>
      </c>
      <c r="W31" s="172"/>
      <c r="X31" s="172"/>
      <c r="Y31" s="172"/>
      <c r="Z31" s="172"/>
      <c r="AA31" s="172"/>
      <c r="AB31" s="172"/>
      <c r="AC31" s="172"/>
      <c r="AD31" s="172"/>
      <c r="AE31" s="172"/>
      <c r="AF31" s="555"/>
      <c r="AH31" s="104" t="s">
        <v>16</v>
      </c>
      <c r="AI31" s="157" t="str">
        <f>AI14</f>
        <v>N NOMBRE DE LA RECETA | | Autor &gt; USTED</v>
      </c>
      <c r="AJ31" s="157">
        <f>AJ14</f>
        <v>18</v>
      </c>
      <c r="AK31" s="158" t="str">
        <f>AK14</f>
        <v>postres</v>
      </c>
      <c r="AL31" s="159" t="str">
        <f>AL14</f>
        <v>Receta madre ► Introduzca el nombre de la receta principal</v>
      </c>
      <c r="AM31" s="172"/>
      <c r="AN31" s="172"/>
      <c r="AO31" s="172"/>
      <c r="AP31" s="172"/>
      <c r="AQ31" s="172"/>
      <c r="AR31" s="172"/>
      <c r="AS31" s="172"/>
      <c r="AT31" s="172"/>
      <c r="AU31" s="172"/>
      <c r="AV31" s="555"/>
      <c r="AX31" s="130"/>
      <c r="AY31" s="131"/>
      <c r="AZ31" s="132"/>
      <c r="BA31" s="48"/>
      <c r="BB31" s="48"/>
      <c r="BC31" s="48"/>
      <c r="BD31" s="49"/>
      <c r="BF31" s="130"/>
      <c r="BG31" s="131"/>
      <c r="BH31" s="132"/>
      <c r="BI31" s="48"/>
      <c r="BJ31" s="48"/>
      <c r="BK31" s="48"/>
      <c r="BL31" s="49"/>
      <c r="BN31" s="130"/>
      <c r="BO31" s="131"/>
      <c r="BP31" s="132"/>
      <c r="BQ31" s="48"/>
      <c r="BR31" s="48"/>
      <c r="BS31" s="48"/>
      <c r="BT31" s="49"/>
      <c r="BV31" s="3">
        <v>1</v>
      </c>
    </row>
    <row r="32" spans="2:74" ht="21" customHeight="1">
      <c r="B32" s="104" t="s">
        <v>16</v>
      </c>
      <c r="C32" s="157" t="str">
        <f>C14</f>
        <v>N NOM DE VOTRE RECETTE | | Auteur &gt; VOUS</v>
      </c>
      <c r="D32" s="157">
        <f>D14</f>
        <v>18</v>
      </c>
      <c r="E32" s="158" t="str">
        <f>E14</f>
        <v>desserts</v>
      </c>
      <c r="F32" s="159" t="str">
        <f>F14</f>
        <v>Recette mère ► Saisir le nom de la recette principale</v>
      </c>
      <c r="G32" s="172"/>
      <c r="H32" s="172"/>
      <c r="I32" s="172"/>
      <c r="J32" s="172"/>
      <c r="K32" s="172"/>
      <c r="L32" s="172"/>
      <c r="M32" s="172"/>
      <c r="N32" s="172"/>
      <c r="O32" s="170" t="s">
        <v>172</v>
      </c>
      <c r="P32" s="171">
        <v>3.472222222222222E-3</v>
      </c>
      <c r="Q32" s="555"/>
      <c r="R32" s="104" t="s">
        <v>16</v>
      </c>
      <c r="S32" s="157" t="str">
        <f>S14</f>
        <v>N NAME OF YOUR RECIPE | |  Author &gt; YOU</v>
      </c>
      <c r="T32" s="157">
        <f>T14</f>
        <v>18</v>
      </c>
      <c r="U32" s="158" t="str">
        <f>U14</f>
        <v>desserts</v>
      </c>
      <c r="V32" s="159" t="str">
        <f>V14</f>
        <v>Master recipe ► Enter the main recipe name</v>
      </c>
      <c r="W32" s="172"/>
      <c r="X32" s="172"/>
      <c r="Y32" s="172"/>
      <c r="Z32" s="172"/>
      <c r="AA32" s="172"/>
      <c r="AB32" s="172"/>
      <c r="AC32" s="172"/>
      <c r="AD32" s="172"/>
      <c r="AE32" s="170" t="s">
        <v>676</v>
      </c>
      <c r="AF32" s="171">
        <v>3.472222222222222E-3</v>
      </c>
      <c r="AH32" s="104" t="s">
        <v>16</v>
      </c>
      <c r="AI32" s="157" t="str">
        <f>AI14</f>
        <v>N NOMBRE DE LA RECETA | | Autor &gt; USTED</v>
      </c>
      <c r="AJ32" s="157">
        <f>AJ14</f>
        <v>18</v>
      </c>
      <c r="AK32" s="158" t="str">
        <f>AK14</f>
        <v>postres</v>
      </c>
      <c r="AL32" s="159" t="str">
        <f>AL14</f>
        <v>Receta madre ► Introduzca el nombre de la receta principal</v>
      </c>
      <c r="AM32" s="172"/>
      <c r="AN32" s="172"/>
      <c r="AO32" s="172"/>
      <c r="AP32" s="172"/>
      <c r="AQ32" s="172"/>
      <c r="AR32" s="172"/>
      <c r="AS32" s="172"/>
      <c r="AT32" s="172"/>
      <c r="AU32" s="170" t="s">
        <v>677</v>
      </c>
      <c r="AV32" s="171">
        <v>3.472222222222222E-3</v>
      </c>
      <c r="AX32" s="134" t="s">
        <v>32</v>
      </c>
      <c r="AY32" s="135"/>
      <c r="AZ32" s="136"/>
      <c r="BA32" s="136"/>
      <c r="BB32" s="136"/>
      <c r="BC32" s="136"/>
      <c r="BD32" s="49"/>
      <c r="BF32" s="134" t="s">
        <v>137</v>
      </c>
      <c r="BG32" s="135"/>
      <c r="BH32" s="136"/>
      <c r="BI32" s="136"/>
      <c r="BJ32" s="48"/>
      <c r="BK32" s="48"/>
      <c r="BL32" s="49"/>
      <c r="BN32" s="134" t="s">
        <v>140</v>
      </c>
      <c r="BO32" s="135"/>
      <c r="BP32" s="136"/>
      <c r="BQ32" s="136"/>
      <c r="BR32" s="48"/>
      <c r="BS32" s="48"/>
      <c r="BT32" s="49"/>
      <c r="BV32" s="3">
        <v>1</v>
      </c>
    </row>
    <row r="33" spans="2:74" ht="21" customHeight="1">
      <c r="B33" s="104" t="s">
        <v>16</v>
      </c>
      <c r="C33" s="157" t="str">
        <f>C14</f>
        <v>N NOM DE VOTRE RECETTE | | Auteur &gt; VOUS</v>
      </c>
      <c r="D33" s="157">
        <f>D14</f>
        <v>18</v>
      </c>
      <c r="E33" s="158" t="str">
        <f>E14</f>
        <v>desserts</v>
      </c>
      <c r="F33" s="159" t="str">
        <f>F14</f>
        <v>Recette mère ► Saisir le nom de la recette principale</v>
      </c>
      <c r="G33" s="172"/>
      <c r="H33" s="172"/>
      <c r="I33" s="172"/>
      <c r="J33" s="172"/>
      <c r="K33" s="172"/>
      <c r="L33" s="172"/>
      <c r="M33" s="172"/>
      <c r="N33" s="172"/>
      <c r="O33" s="170" t="s">
        <v>174</v>
      </c>
      <c r="P33" s="174">
        <v>3.472222222222222E-3</v>
      </c>
      <c r="Q33" s="555"/>
      <c r="R33" s="104" t="s">
        <v>16</v>
      </c>
      <c r="S33" s="157" t="str">
        <f>S14</f>
        <v>N NAME OF YOUR RECIPE | |  Author &gt; YOU</v>
      </c>
      <c r="T33" s="157">
        <f>T14</f>
        <v>18</v>
      </c>
      <c r="U33" s="158" t="str">
        <f>U14</f>
        <v>desserts</v>
      </c>
      <c r="V33" s="159" t="str">
        <f>V14</f>
        <v>Master recipe ► Enter the main recipe name</v>
      </c>
      <c r="W33" s="172"/>
      <c r="X33" s="172"/>
      <c r="Y33" s="172"/>
      <c r="Z33" s="172"/>
      <c r="AA33" s="172"/>
      <c r="AB33" s="172"/>
      <c r="AC33" s="172"/>
      <c r="AD33" s="172"/>
      <c r="AE33" s="170" t="s">
        <v>682</v>
      </c>
      <c r="AF33" s="174">
        <v>3.472222222222222E-3</v>
      </c>
      <c r="AH33" s="104" t="s">
        <v>16</v>
      </c>
      <c r="AI33" s="157" t="str">
        <f>AI14</f>
        <v>N NOMBRE DE LA RECETA | | Autor &gt; USTED</v>
      </c>
      <c r="AJ33" s="157">
        <f>AJ14</f>
        <v>18</v>
      </c>
      <c r="AK33" s="158" t="str">
        <f>AK14</f>
        <v>postres</v>
      </c>
      <c r="AL33" s="159" t="str">
        <f>AL14</f>
        <v>Receta madre ► Introduzca el nombre de la receta principal</v>
      </c>
      <c r="AM33" s="172"/>
      <c r="AN33" s="172"/>
      <c r="AO33" s="172"/>
      <c r="AP33" s="172"/>
      <c r="AQ33" s="172"/>
      <c r="AR33" s="172"/>
      <c r="AS33" s="172"/>
      <c r="AT33" s="172"/>
      <c r="AU33" s="170" t="s">
        <v>683</v>
      </c>
      <c r="AV33" s="174">
        <v>3.472222222222222E-3</v>
      </c>
      <c r="AX33" s="144">
        <v>10</v>
      </c>
      <c r="AY33" s="145" t="s">
        <v>20</v>
      </c>
      <c r="AZ33" s="136"/>
      <c r="BA33" s="136"/>
      <c r="BB33" s="146"/>
      <c r="BC33" s="146"/>
      <c r="BD33" s="49"/>
      <c r="BF33" s="144">
        <v>10</v>
      </c>
      <c r="BG33" s="145" t="s">
        <v>139</v>
      </c>
      <c r="BH33" s="136"/>
      <c r="BI33" s="136"/>
      <c r="BJ33" s="48"/>
      <c r="BK33" s="48"/>
      <c r="BL33" s="49"/>
      <c r="BN33" s="144">
        <v>10</v>
      </c>
      <c r="BO33" s="145" t="s">
        <v>142</v>
      </c>
      <c r="BP33" s="136"/>
      <c r="BQ33" s="136"/>
      <c r="BR33" s="48"/>
      <c r="BS33" s="48"/>
      <c r="BT33" s="49"/>
      <c r="BV33" s="3">
        <v>1</v>
      </c>
    </row>
    <row r="34" spans="2:74" ht="21" customHeight="1">
      <c r="B34" s="104" t="s">
        <v>16</v>
      </c>
      <c r="C34" s="157" t="str">
        <f>C14</f>
        <v>N NOM DE VOTRE RECETTE | | Auteur &gt; VOUS</v>
      </c>
      <c r="D34" s="157">
        <f>D14</f>
        <v>18</v>
      </c>
      <c r="E34" s="158" t="str">
        <f>E14</f>
        <v>desserts</v>
      </c>
      <c r="F34" s="159" t="str">
        <f>F14</f>
        <v>Recette mère ► Saisir le nom de la recette principale</v>
      </c>
      <c r="G34" s="172"/>
      <c r="H34" s="172"/>
      <c r="I34" s="172"/>
      <c r="J34" s="172"/>
      <c r="K34" s="172"/>
      <c r="L34" s="172"/>
      <c r="M34" s="172"/>
      <c r="N34" s="172"/>
      <c r="O34" s="170" t="s">
        <v>182</v>
      </c>
      <c r="P34" s="175">
        <v>3.472222222222222E-3</v>
      </c>
      <c r="Q34" s="555"/>
      <c r="R34" s="104" t="s">
        <v>16</v>
      </c>
      <c r="S34" s="157" t="str">
        <f>S14</f>
        <v>N NAME OF YOUR RECIPE | |  Author &gt; YOU</v>
      </c>
      <c r="T34" s="157">
        <f>T14</f>
        <v>18</v>
      </c>
      <c r="U34" s="158" t="str">
        <f>U14</f>
        <v>desserts</v>
      </c>
      <c r="V34" s="159" t="str">
        <f>V14</f>
        <v>Master recipe ► Enter the main recipe name</v>
      </c>
      <c r="W34" s="172"/>
      <c r="X34" s="172"/>
      <c r="Y34" s="172"/>
      <c r="Z34" s="172"/>
      <c r="AA34" s="172"/>
      <c r="AB34" s="172"/>
      <c r="AC34" s="172"/>
      <c r="AD34" s="172"/>
      <c r="AE34" s="170" t="s">
        <v>684</v>
      </c>
      <c r="AF34" s="175">
        <v>3.472222222222222E-3</v>
      </c>
      <c r="AH34" s="104" t="s">
        <v>16</v>
      </c>
      <c r="AI34" s="157" t="str">
        <f>AI14</f>
        <v>N NOMBRE DE LA RECETA | | Autor &gt; USTED</v>
      </c>
      <c r="AJ34" s="157">
        <f>AJ14</f>
        <v>18</v>
      </c>
      <c r="AK34" s="158" t="str">
        <f>AK14</f>
        <v>postres</v>
      </c>
      <c r="AL34" s="159" t="str">
        <f>AL14</f>
        <v>Receta madre ► Introduzca el nombre de la receta principal</v>
      </c>
      <c r="AM34" s="172"/>
      <c r="AN34" s="172"/>
      <c r="AO34" s="172"/>
      <c r="AP34" s="172"/>
      <c r="AQ34" s="172"/>
      <c r="AR34" s="172"/>
      <c r="AS34" s="172"/>
      <c r="AT34" s="172"/>
      <c r="AU34" s="170" t="s">
        <v>911</v>
      </c>
      <c r="AV34" s="175">
        <v>3.472222222222222E-3</v>
      </c>
      <c r="AX34" s="147" t="s">
        <v>50</v>
      </c>
      <c r="AY34" s="148">
        <v>3.4219999999999997</v>
      </c>
      <c r="AZ34" s="136"/>
      <c r="BA34" s="136"/>
      <c r="BB34" s="137" t="s">
        <v>3306</v>
      </c>
      <c r="BC34" s="138">
        <v>20</v>
      </c>
      <c r="BD34" s="139" t="s">
        <v>36</v>
      </c>
      <c r="BF34" s="147" t="s">
        <v>153</v>
      </c>
      <c r="BG34" s="148">
        <v>3.4219999999999997</v>
      </c>
      <c r="BH34" s="136"/>
      <c r="BI34" s="136"/>
      <c r="BJ34" s="137" t="s">
        <v>3307</v>
      </c>
      <c r="BK34" s="138">
        <v>20</v>
      </c>
      <c r="BL34" s="139" t="s">
        <v>139</v>
      </c>
      <c r="BN34" s="147" t="s">
        <v>50</v>
      </c>
      <c r="BO34" s="148">
        <v>3.4219999999999997</v>
      </c>
      <c r="BP34" s="136"/>
      <c r="BQ34" s="136"/>
      <c r="BR34" s="137" t="s">
        <v>3308</v>
      </c>
      <c r="BS34" s="138">
        <v>20</v>
      </c>
      <c r="BT34" s="139" t="s">
        <v>142</v>
      </c>
      <c r="BV34" s="3">
        <v>1</v>
      </c>
    </row>
    <row r="35" spans="2:74" ht="21" customHeight="1">
      <c r="B35" s="104" t="s">
        <v>16</v>
      </c>
      <c r="C35" s="157" t="str">
        <f>C14</f>
        <v>N NOM DE VOTRE RECETTE | | Auteur &gt; VOUS</v>
      </c>
      <c r="D35" s="157">
        <f>D14</f>
        <v>18</v>
      </c>
      <c r="E35" s="158" t="str">
        <f>E14</f>
        <v>desserts</v>
      </c>
      <c r="F35" s="159" t="str">
        <f>F14</f>
        <v>Recette mère ► Saisir le nom de la recette principale</v>
      </c>
      <c r="G35" s="172"/>
      <c r="H35" s="172"/>
      <c r="I35" s="172"/>
      <c r="J35" s="172"/>
      <c r="K35" s="172"/>
      <c r="L35" s="172"/>
      <c r="M35" s="172"/>
      <c r="N35" s="172"/>
      <c r="O35" s="176" t="s">
        <v>183</v>
      </c>
      <c r="P35" s="177">
        <f>P32+P33+P34</f>
        <v>1.0416666666666666E-2</v>
      </c>
      <c r="Q35" s="555"/>
      <c r="R35" s="104" t="s">
        <v>16</v>
      </c>
      <c r="S35" s="157" t="str">
        <f>S14</f>
        <v>N NAME OF YOUR RECIPE | |  Author &gt; YOU</v>
      </c>
      <c r="T35" s="157">
        <f>T14</f>
        <v>18</v>
      </c>
      <c r="U35" s="158" t="str">
        <f>U14</f>
        <v>desserts</v>
      </c>
      <c r="V35" s="159" t="str">
        <f>V14</f>
        <v>Master recipe ► Enter the main recipe name</v>
      </c>
      <c r="W35" s="172"/>
      <c r="X35" s="172"/>
      <c r="Y35" s="172"/>
      <c r="Z35" s="172"/>
      <c r="AA35" s="172"/>
      <c r="AB35" s="172"/>
      <c r="AC35" s="172"/>
      <c r="AD35" s="172"/>
      <c r="AE35" s="176" t="s">
        <v>183</v>
      </c>
      <c r="AF35" s="177">
        <f>AF32+AF33+AF34</f>
        <v>1.0416666666666666E-2</v>
      </c>
      <c r="AH35" s="104" t="s">
        <v>16</v>
      </c>
      <c r="AI35" s="157" t="str">
        <f>AI14</f>
        <v>N NOMBRE DE LA RECETA | | Autor &gt; USTED</v>
      </c>
      <c r="AJ35" s="157">
        <f>AJ14</f>
        <v>18</v>
      </c>
      <c r="AK35" s="158" t="str">
        <f>AK14</f>
        <v>postres</v>
      </c>
      <c r="AL35" s="159" t="str">
        <f>AL14</f>
        <v>Receta madre ► Introduzca el nombre de la receta principal</v>
      </c>
      <c r="AM35" s="172"/>
      <c r="AN35" s="172"/>
      <c r="AO35" s="172"/>
      <c r="AP35" s="172"/>
      <c r="AQ35" s="172"/>
      <c r="AR35" s="172"/>
      <c r="AS35" s="172"/>
      <c r="AT35" s="172"/>
      <c r="AU35" s="176" t="s">
        <v>183</v>
      </c>
      <c r="AV35" s="177">
        <f>AV32+AV33+AV34</f>
        <v>1.0416666666666666E-2</v>
      </c>
      <c r="AX35" s="47"/>
      <c r="AY35" s="48"/>
      <c r="AZ35" s="48"/>
      <c r="BA35" s="48"/>
      <c r="BB35" s="48"/>
      <c r="BC35" s="48"/>
      <c r="BD35" s="49"/>
      <c r="BF35" s="47"/>
      <c r="BG35" s="48"/>
      <c r="BH35" s="48"/>
      <c r="BI35" s="48"/>
      <c r="BJ35" s="48"/>
      <c r="BK35" s="48"/>
      <c r="BL35" s="49"/>
      <c r="BN35" s="47"/>
      <c r="BO35" s="48"/>
      <c r="BP35" s="48"/>
      <c r="BQ35" s="48"/>
      <c r="BR35" s="48"/>
      <c r="BS35" s="48"/>
      <c r="BT35" s="49"/>
      <c r="BV35" s="3">
        <v>1</v>
      </c>
    </row>
    <row r="36" spans="2:74" ht="21" customHeight="1">
      <c r="B36" s="104" t="str">
        <f t="shared" ref="B36:B40" si="14">IF(OR(G36&lt;&gt;"",H36&lt;&gt; "",I36&lt;&gt;"",J36&lt;&gt;""),"A", "►")</f>
        <v>►</v>
      </c>
      <c r="C36" s="157" t="str">
        <f>C14</f>
        <v>N NOM DE VOTRE RECETTE | | Auteur &gt; VOUS</v>
      </c>
      <c r="D36" s="157">
        <f>D14</f>
        <v>18</v>
      </c>
      <c r="E36" s="158" t="str">
        <f>E14</f>
        <v>desserts</v>
      </c>
      <c r="F36" s="159" t="str">
        <f>F14</f>
        <v>Recette mère ► Saisir le nom de la recette principale</v>
      </c>
      <c r="G36" s="172"/>
      <c r="H36" s="172"/>
      <c r="I36" s="172"/>
      <c r="J36" s="172"/>
      <c r="K36" s="172"/>
      <c r="L36" s="172"/>
      <c r="M36" s="172"/>
      <c r="N36" s="172"/>
      <c r="O36" s="172"/>
      <c r="P36" s="555"/>
      <c r="Q36" s="555"/>
      <c r="R36" s="104" t="str">
        <f t="shared" ref="R36:R40" si="15">IF(OR(W36&lt;&gt;"",X36&lt;&gt; "",Y36&lt;&gt;"",Z36&lt;&gt;""),"A", "►")</f>
        <v>►</v>
      </c>
      <c r="S36" s="157" t="str">
        <f>S14</f>
        <v>N NAME OF YOUR RECIPE | |  Author &gt; YOU</v>
      </c>
      <c r="T36" s="157">
        <f>T14</f>
        <v>18</v>
      </c>
      <c r="U36" s="158" t="str">
        <f>U14</f>
        <v>desserts</v>
      </c>
      <c r="V36" s="159" t="str">
        <f>V14</f>
        <v>Master recipe ► Enter the main recipe name</v>
      </c>
      <c r="W36" s="172"/>
      <c r="X36" s="172"/>
      <c r="Y36" s="172"/>
      <c r="Z36" s="172"/>
      <c r="AA36" s="172"/>
      <c r="AB36" s="172"/>
      <c r="AC36" s="172"/>
      <c r="AD36" s="172"/>
      <c r="AE36" s="172"/>
      <c r="AF36" s="555"/>
      <c r="AH36" s="104" t="str">
        <f t="shared" ref="AH36:AH40" si="16">IF(OR(AM36&lt;&gt;"",AN36&lt;&gt; "",AO36&lt;&gt;"",AP36&lt;&gt;""),"A", "►")</f>
        <v>►</v>
      </c>
      <c r="AI36" s="157" t="str">
        <f>AI14</f>
        <v>N NOMBRE DE LA RECETA | | Autor &gt; USTED</v>
      </c>
      <c r="AJ36" s="157">
        <f>AJ14</f>
        <v>18</v>
      </c>
      <c r="AK36" s="158" t="str">
        <f>AK14</f>
        <v>postres</v>
      </c>
      <c r="AL36" s="159" t="str">
        <f>AL14</f>
        <v>Receta madre ► Introduzca el nombre de la receta principal</v>
      </c>
      <c r="AM36" s="172"/>
      <c r="AN36" s="172"/>
      <c r="AO36" s="172"/>
      <c r="AP36" s="172"/>
      <c r="AQ36" s="172"/>
      <c r="AR36" s="172"/>
      <c r="AS36" s="172"/>
      <c r="AT36" s="172"/>
      <c r="AU36" s="172"/>
      <c r="AV36" s="555"/>
      <c r="AX36" s="150"/>
      <c r="AY36" s="151"/>
      <c r="AZ36" s="152"/>
      <c r="BA36" s="151"/>
      <c r="BB36" s="151"/>
      <c r="BC36" s="151"/>
      <c r="BD36" s="153"/>
      <c r="BF36" s="150"/>
      <c r="BG36" s="151"/>
      <c r="BH36" s="152"/>
      <c r="BI36" s="151"/>
      <c r="BJ36" s="151"/>
      <c r="BK36" s="151"/>
      <c r="BL36" s="153"/>
      <c r="BN36" s="150"/>
      <c r="BO36" s="151"/>
      <c r="BP36" s="152"/>
      <c r="BQ36" s="151"/>
      <c r="BR36" s="151"/>
      <c r="BS36" s="151"/>
      <c r="BT36" s="153"/>
      <c r="BV36" s="3">
        <v>1</v>
      </c>
    </row>
    <row r="37" spans="2:74" ht="21" customHeight="1">
      <c r="B37" s="104" t="str">
        <f t="shared" si="14"/>
        <v>A</v>
      </c>
      <c r="C37" s="157" t="str">
        <f>C14</f>
        <v>N NOM DE VOTRE RECETTE | | Auteur &gt; VOUS</v>
      </c>
      <c r="D37" s="157">
        <f>D14</f>
        <v>18</v>
      </c>
      <c r="E37" s="158" t="str">
        <f>E14</f>
        <v>desserts</v>
      </c>
      <c r="F37" s="159" t="str">
        <f>F14</f>
        <v>Recette mère ► Saisir le nom de la recette principale</v>
      </c>
      <c r="G37" s="172" t="s">
        <v>12935</v>
      </c>
      <c r="H37" s="172"/>
      <c r="I37" s="172"/>
      <c r="J37" s="172"/>
      <c r="K37" s="172"/>
      <c r="L37" s="172"/>
      <c r="M37" s="172"/>
      <c r="N37" s="172"/>
      <c r="O37" s="172"/>
      <c r="P37" s="555"/>
      <c r="Q37" s="555"/>
      <c r="R37" s="104" t="str">
        <f t="shared" si="15"/>
        <v>►</v>
      </c>
      <c r="S37" s="157" t="str">
        <f>S14</f>
        <v>N NAME OF YOUR RECIPE | |  Author &gt; YOU</v>
      </c>
      <c r="T37" s="157">
        <f>T14</f>
        <v>18</v>
      </c>
      <c r="U37" s="158" t="str">
        <f>U14</f>
        <v>desserts</v>
      </c>
      <c r="V37" s="159" t="str">
        <f>V14</f>
        <v>Master recipe ► Enter the main recipe name</v>
      </c>
      <c r="W37" s="172"/>
      <c r="X37" s="172"/>
      <c r="Y37" s="172"/>
      <c r="Z37" s="172"/>
      <c r="AA37" s="172"/>
      <c r="AB37" s="172"/>
      <c r="AC37" s="172"/>
      <c r="AD37" s="172"/>
      <c r="AE37" s="172"/>
      <c r="AF37" s="555"/>
      <c r="AH37" s="104" t="str">
        <f t="shared" si="16"/>
        <v>►</v>
      </c>
      <c r="AI37" s="157" t="str">
        <f>AI14</f>
        <v>N NOMBRE DE LA RECETA | | Autor &gt; USTED</v>
      </c>
      <c r="AJ37" s="157">
        <f>AJ14</f>
        <v>18</v>
      </c>
      <c r="AK37" s="158" t="str">
        <f>AK14</f>
        <v>postres</v>
      </c>
      <c r="AL37" s="159" t="str">
        <f>AL14</f>
        <v>Receta madre ► Introduzca el nombre de la receta principal</v>
      </c>
      <c r="AM37" s="172"/>
      <c r="AN37" s="172"/>
      <c r="AO37" s="172"/>
      <c r="AP37" s="172"/>
      <c r="AQ37" s="172"/>
      <c r="AR37" s="172"/>
      <c r="AS37" s="172"/>
      <c r="AT37" s="172"/>
      <c r="AU37" s="172"/>
      <c r="AV37" s="555"/>
      <c r="AX37" s="47"/>
      <c r="AY37" s="48"/>
      <c r="AZ37" s="48"/>
      <c r="BA37" s="48"/>
      <c r="BB37" s="48"/>
      <c r="BC37" s="48"/>
      <c r="BD37" s="49"/>
      <c r="BF37" s="47"/>
      <c r="BG37" s="48"/>
      <c r="BH37" s="48"/>
      <c r="BI37" s="48"/>
      <c r="BJ37" s="48"/>
      <c r="BK37" s="48"/>
      <c r="BL37" s="49"/>
      <c r="BN37" s="47"/>
      <c r="BO37" s="48"/>
      <c r="BP37" s="48"/>
      <c r="BQ37" s="48"/>
      <c r="BR37" s="48"/>
      <c r="BS37" s="48"/>
      <c r="BT37" s="49"/>
      <c r="BV37" s="3">
        <v>1</v>
      </c>
    </row>
    <row r="38" spans="2:74" ht="21" customHeight="1">
      <c r="B38" s="104" t="str">
        <f t="shared" si="14"/>
        <v>►</v>
      </c>
      <c r="C38" s="157" t="str">
        <f>C14</f>
        <v>N NOM DE VOTRE RECETTE | | Auteur &gt; VOUS</v>
      </c>
      <c r="D38" s="157">
        <f>D14</f>
        <v>18</v>
      </c>
      <c r="E38" s="158" t="str">
        <f>E14</f>
        <v>desserts</v>
      </c>
      <c r="F38" s="159" t="str">
        <f>F14</f>
        <v>Recette mère ► Saisir le nom de la recette principale</v>
      </c>
      <c r="G38" s="172"/>
      <c r="H38" s="172"/>
      <c r="I38" s="172"/>
      <c r="J38" s="172"/>
      <c r="K38" s="172"/>
      <c r="L38" s="172"/>
      <c r="M38" s="172"/>
      <c r="N38" s="172"/>
      <c r="O38" s="172"/>
      <c r="P38" s="555"/>
      <c r="Q38" s="555"/>
      <c r="R38" s="104" t="str">
        <f t="shared" si="15"/>
        <v>►</v>
      </c>
      <c r="S38" s="157" t="str">
        <f>S14</f>
        <v>N NAME OF YOUR RECIPE | |  Author &gt; YOU</v>
      </c>
      <c r="T38" s="157">
        <f>T14</f>
        <v>18</v>
      </c>
      <c r="U38" s="158" t="str">
        <f>U14</f>
        <v>desserts</v>
      </c>
      <c r="V38" s="159" t="str">
        <f>V14</f>
        <v>Master recipe ► Enter the main recipe name</v>
      </c>
      <c r="W38" s="172"/>
      <c r="X38" s="172"/>
      <c r="Y38" s="172"/>
      <c r="Z38" s="172"/>
      <c r="AA38" s="172"/>
      <c r="AB38" s="172"/>
      <c r="AC38" s="172"/>
      <c r="AD38" s="172"/>
      <c r="AE38" s="172"/>
      <c r="AF38" s="555"/>
      <c r="AH38" s="104" t="str">
        <f t="shared" si="16"/>
        <v>►</v>
      </c>
      <c r="AI38" s="157" t="str">
        <f>AI14</f>
        <v>N NOMBRE DE LA RECETA | | Autor &gt; USTED</v>
      </c>
      <c r="AJ38" s="157">
        <f>AJ14</f>
        <v>18</v>
      </c>
      <c r="AK38" s="158" t="str">
        <f>AK14</f>
        <v>postres</v>
      </c>
      <c r="AL38" s="159" t="str">
        <f>AL14</f>
        <v>Receta madre ► Introduzca el nombre de la receta principal</v>
      </c>
      <c r="AM38" s="172"/>
      <c r="AN38" s="172"/>
      <c r="AO38" s="172"/>
      <c r="AP38" s="172"/>
      <c r="AQ38" s="172"/>
      <c r="AR38" s="172"/>
      <c r="AS38" s="172"/>
      <c r="AT38" s="172"/>
      <c r="AU38" s="172"/>
      <c r="AV38" s="555"/>
      <c r="AX38" s="166" t="s">
        <v>169</v>
      </c>
      <c r="AY38" s="48"/>
      <c r="AZ38" s="48"/>
      <c r="BA38" s="48"/>
      <c r="BB38" s="48"/>
      <c r="BC38" s="48"/>
      <c r="BD38" s="49"/>
      <c r="BF38" s="166" t="s">
        <v>170</v>
      </c>
      <c r="BG38" s="48"/>
      <c r="BH38" s="48"/>
      <c r="BI38" s="48"/>
      <c r="BJ38" s="48"/>
      <c r="BK38" s="48"/>
      <c r="BL38" s="49"/>
      <c r="BN38" s="166" t="s">
        <v>171</v>
      </c>
      <c r="BO38" s="48"/>
      <c r="BP38" s="48"/>
      <c r="BQ38" s="48"/>
      <c r="BR38" s="48"/>
      <c r="BS38" s="48"/>
      <c r="BT38" s="49"/>
      <c r="BV38" s="3">
        <v>1</v>
      </c>
    </row>
    <row r="39" spans="2:74" ht="21" customHeight="1">
      <c r="B39" s="104" t="str">
        <f t="shared" si="14"/>
        <v>►</v>
      </c>
      <c r="C39" s="157" t="str">
        <f>C14</f>
        <v>N NOM DE VOTRE RECETTE | | Auteur &gt; VOUS</v>
      </c>
      <c r="D39" s="157">
        <f>D14</f>
        <v>18</v>
      </c>
      <c r="E39" s="158" t="str">
        <f>E14</f>
        <v>desserts</v>
      </c>
      <c r="F39" s="159" t="str">
        <f>F14</f>
        <v>Recette mère ► Saisir le nom de la recette principale</v>
      </c>
      <c r="G39" s="172"/>
      <c r="H39" s="172"/>
      <c r="I39" s="172"/>
      <c r="J39" s="172"/>
      <c r="K39" s="172"/>
      <c r="L39" s="172"/>
      <c r="M39" s="172"/>
      <c r="N39" s="172"/>
      <c r="O39" s="172"/>
      <c r="P39" s="555"/>
      <c r="Q39" s="555"/>
      <c r="R39" s="104" t="str">
        <f t="shared" si="15"/>
        <v>►</v>
      </c>
      <c r="S39" s="157" t="str">
        <f>S14</f>
        <v>N NAME OF YOUR RECIPE | |  Author &gt; YOU</v>
      </c>
      <c r="T39" s="157">
        <f>T14</f>
        <v>18</v>
      </c>
      <c r="U39" s="158" t="str">
        <f>U14</f>
        <v>desserts</v>
      </c>
      <c r="V39" s="159" t="str">
        <f>V14</f>
        <v>Master recipe ► Enter the main recipe name</v>
      </c>
      <c r="W39" s="172"/>
      <c r="X39" s="172"/>
      <c r="Y39" s="172"/>
      <c r="Z39" s="172"/>
      <c r="AA39" s="172"/>
      <c r="AB39" s="172"/>
      <c r="AC39" s="172"/>
      <c r="AD39" s="172"/>
      <c r="AE39" s="172"/>
      <c r="AF39" s="555"/>
      <c r="AH39" s="104" t="str">
        <f t="shared" si="16"/>
        <v>►</v>
      </c>
      <c r="AI39" s="157" t="str">
        <f>AI14</f>
        <v>N NOMBRE DE LA RECETA | | Autor &gt; USTED</v>
      </c>
      <c r="AJ39" s="157">
        <f>AJ14</f>
        <v>18</v>
      </c>
      <c r="AK39" s="158" t="str">
        <f>AK14</f>
        <v>postres</v>
      </c>
      <c r="AL39" s="159" t="str">
        <f>AL14</f>
        <v>Receta madre ► Introduzca el nombre de la receta principal</v>
      </c>
      <c r="AM39" s="172"/>
      <c r="AN39" s="172"/>
      <c r="AO39" s="172"/>
      <c r="AP39" s="172"/>
      <c r="AQ39" s="172"/>
      <c r="AR39" s="172"/>
      <c r="AS39" s="172"/>
      <c r="AT39" s="172"/>
      <c r="AU39" s="172"/>
      <c r="AV39" s="555"/>
      <c r="AX39" s="166"/>
      <c r="AY39" s="48"/>
      <c r="AZ39" s="48"/>
      <c r="BA39" s="48"/>
      <c r="BB39" s="48"/>
      <c r="BC39" s="48"/>
      <c r="BD39" s="49"/>
      <c r="BF39" s="166"/>
      <c r="BG39" s="48"/>
      <c r="BH39" s="48"/>
      <c r="BI39" s="48"/>
      <c r="BJ39" s="48"/>
      <c r="BK39" s="48"/>
      <c r="BL39" s="49"/>
      <c r="BN39" s="166"/>
      <c r="BO39" s="48"/>
      <c r="BP39" s="48"/>
      <c r="BQ39" s="48"/>
      <c r="BR39" s="48"/>
      <c r="BS39" s="48"/>
      <c r="BT39" s="49"/>
      <c r="BV39" s="3">
        <v>1</v>
      </c>
    </row>
    <row r="40" spans="2:74" ht="21" customHeight="1">
      <c r="B40" s="104" t="str">
        <f t="shared" si="14"/>
        <v>►</v>
      </c>
      <c r="C40" s="157" t="str">
        <f>C14</f>
        <v>N NOM DE VOTRE RECETTE | | Auteur &gt; VOUS</v>
      </c>
      <c r="D40" s="157">
        <f>D14</f>
        <v>18</v>
      </c>
      <c r="E40" s="158" t="str">
        <f>E14</f>
        <v>desserts</v>
      </c>
      <c r="F40" s="159" t="str">
        <f>F14</f>
        <v>Recette mère ► Saisir le nom de la recette principale</v>
      </c>
      <c r="G40" s="172"/>
      <c r="H40" s="172"/>
      <c r="I40" s="172"/>
      <c r="J40" s="172"/>
      <c r="K40" s="172"/>
      <c r="L40" s="172"/>
      <c r="M40" s="172"/>
      <c r="N40" s="172"/>
      <c r="O40" s="172"/>
      <c r="P40" s="555"/>
      <c r="Q40" s="555"/>
      <c r="R40" s="104" t="str">
        <f t="shared" si="15"/>
        <v>►</v>
      </c>
      <c r="S40" s="157" t="str">
        <f>S14</f>
        <v>N NAME OF YOUR RECIPE | |  Author &gt; YOU</v>
      </c>
      <c r="T40" s="157">
        <f>T14</f>
        <v>18</v>
      </c>
      <c r="U40" s="158" t="str">
        <f>U14</f>
        <v>desserts</v>
      </c>
      <c r="V40" s="159" t="str">
        <f>V14</f>
        <v>Master recipe ► Enter the main recipe name</v>
      </c>
      <c r="W40" s="172"/>
      <c r="X40" s="172"/>
      <c r="Y40" s="172"/>
      <c r="Z40" s="172"/>
      <c r="AA40" s="172"/>
      <c r="AB40" s="172"/>
      <c r="AC40" s="172"/>
      <c r="AD40" s="172"/>
      <c r="AE40" s="172"/>
      <c r="AF40" s="555"/>
      <c r="AH40" s="104" t="str">
        <f t="shared" si="16"/>
        <v>►</v>
      </c>
      <c r="AI40" s="157" t="str">
        <f>AI14</f>
        <v>N NOMBRE DE LA RECETA | | Autor &gt; USTED</v>
      </c>
      <c r="AJ40" s="157">
        <f>AJ14</f>
        <v>18</v>
      </c>
      <c r="AK40" s="158" t="str">
        <f>AK14</f>
        <v>postres</v>
      </c>
      <c r="AL40" s="159" t="str">
        <f>AL14</f>
        <v>Receta madre ► Introduzca el nombre de la receta principal</v>
      </c>
      <c r="AM40" s="172"/>
      <c r="AN40" s="172"/>
      <c r="AO40" s="172"/>
      <c r="AP40" s="172"/>
      <c r="AQ40" s="172"/>
      <c r="AR40" s="172"/>
      <c r="AS40" s="172"/>
      <c r="AT40" s="172"/>
      <c r="AU40" s="172"/>
      <c r="AV40" s="555"/>
      <c r="AX40" s="5704" t="s">
        <v>175</v>
      </c>
      <c r="AY40" s="5705" t="s">
        <v>176</v>
      </c>
      <c r="AZ40" s="5705"/>
      <c r="BA40" s="5705"/>
      <c r="BB40" s="5705"/>
      <c r="BC40" s="5705"/>
      <c r="BD40" s="5706"/>
      <c r="BF40" s="5704" t="s">
        <v>177</v>
      </c>
      <c r="BG40" s="5705" t="s">
        <v>178</v>
      </c>
      <c r="BH40" s="5705"/>
      <c r="BI40" s="5705"/>
      <c r="BJ40" s="5705"/>
      <c r="BK40" s="5705"/>
      <c r="BL40" s="5706"/>
      <c r="BN40" s="5707" t="s">
        <v>179</v>
      </c>
      <c r="BO40" s="5705" t="s">
        <v>180</v>
      </c>
      <c r="BP40" s="5705"/>
      <c r="BQ40" s="5705"/>
      <c r="BR40" s="5705"/>
      <c r="BS40" s="5705"/>
      <c r="BT40" s="5706"/>
      <c r="BV40" s="3">
        <v>1</v>
      </c>
    </row>
    <row r="41" spans="2:74" ht="21" customHeight="1">
      <c r="B41" s="196" t="s">
        <v>16</v>
      </c>
      <c r="C41" s="157" t="str">
        <f>C14</f>
        <v>N NOM DE VOTRE RECETTE | | Auteur &gt; VOUS</v>
      </c>
      <c r="D41" s="157">
        <f>D14</f>
        <v>18</v>
      </c>
      <c r="E41" s="158" t="str">
        <f>E14</f>
        <v>desserts</v>
      </c>
      <c r="F41" s="159" t="str">
        <f>F14</f>
        <v>Recette mère ► Saisir le nom de la recette principale</v>
      </c>
      <c r="G41" s="172"/>
      <c r="H41" s="172"/>
      <c r="I41" s="172"/>
      <c r="J41" s="172"/>
      <c r="K41" s="172"/>
      <c r="L41" s="172"/>
      <c r="M41" s="172"/>
      <c r="N41" s="172"/>
      <c r="O41" s="172"/>
      <c r="P41" s="555"/>
      <c r="Q41" s="555"/>
      <c r="R41" s="196" t="s">
        <v>16</v>
      </c>
      <c r="S41" s="157" t="str">
        <f>S14</f>
        <v>N NAME OF YOUR RECIPE | |  Author &gt; YOU</v>
      </c>
      <c r="T41" s="157">
        <f>T14</f>
        <v>18</v>
      </c>
      <c r="U41" s="158" t="str">
        <f>U14</f>
        <v>desserts</v>
      </c>
      <c r="V41" s="159" t="str">
        <f>V14</f>
        <v>Master recipe ► Enter the main recipe name</v>
      </c>
      <c r="W41" s="172"/>
      <c r="X41" s="172"/>
      <c r="Y41" s="172"/>
      <c r="Z41" s="172"/>
      <c r="AA41" s="172"/>
      <c r="AB41" s="172"/>
      <c r="AC41" s="172"/>
      <c r="AD41" s="172"/>
      <c r="AE41" s="172"/>
      <c r="AF41" s="555"/>
      <c r="AH41" s="196" t="s">
        <v>16</v>
      </c>
      <c r="AI41" s="157" t="str">
        <f>AI14</f>
        <v>N NOMBRE DE LA RECETA | | Autor &gt; USTED</v>
      </c>
      <c r="AJ41" s="157">
        <f>AJ14</f>
        <v>18</v>
      </c>
      <c r="AK41" s="158" t="str">
        <f>AK14</f>
        <v>postres</v>
      </c>
      <c r="AL41" s="159" t="str">
        <f>AL14</f>
        <v>Receta madre ► Introduzca el nombre de la receta principal</v>
      </c>
      <c r="AM41" s="172"/>
      <c r="AN41" s="172"/>
      <c r="AO41" s="172"/>
      <c r="AP41" s="172"/>
      <c r="AQ41" s="172"/>
      <c r="AR41" s="172"/>
      <c r="AS41" s="172"/>
      <c r="AT41" s="172"/>
      <c r="AU41" s="172"/>
      <c r="AV41" s="555"/>
      <c r="AX41" s="5704"/>
      <c r="AY41" s="5705"/>
      <c r="AZ41" s="5705"/>
      <c r="BA41" s="5705"/>
      <c r="BB41" s="5705"/>
      <c r="BC41" s="5705"/>
      <c r="BD41" s="5706"/>
      <c r="BF41" s="5704"/>
      <c r="BG41" s="5705"/>
      <c r="BH41" s="5705"/>
      <c r="BI41" s="5705"/>
      <c r="BJ41" s="5705"/>
      <c r="BK41" s="5705"/>
      <c r="BL41" s="5706"/>
      <c r="BN41" s="5707"/>
      <c r="BO41" s="5705"/>
      <c r="BP41" s="5705"/>
      <c r="BQ41" s="5705"/>
      <c r="BR41" s="5705"/>
      <c r="BS41" s="5705"/>
      <c r="BT41" s="5706"/>
      <c r="BV41" s="3">
        <v>1</v>
      </c>
    </row>
    <row r="42" spans="2:74" ht="21" customHeight="1">
      <c r="B42" s="196" t="s">
        <v>11</v>
      </c>
      <c r="C42" s="157" t="str">
        <f>C14</f>
        <v>N NOM DE VOTRE RECETTE | | Auteur &gt; VOUS</v>
      </c>
      <c r="D42" s="157">
        <f>D14</f>
        <v>18</v>
      </c>
      <c r="E42" s="158" t="str">
        <f>E14</f>
        <v>desserts</v>
      </c>
      <c r="F42" s="159" t="str">
        <f>F14</f>
        <v>Recette mère ► Saisir le nom de la recette principale</v>
      </c>
      <c r="G42" s="172"/>
      <c r="H42" s="172"/>
      <c r="I42" s="172"/>
      <c r="J42" s="172"/>
      <c r="K42" s="172"/>
      <c r="L42" s="172"/>
      <c r="M42" s="172"/>
      <c r="N42" s="172"/>
      <c r="O42" s="172"/>
      <c r="P42" s="555"/>
      <c r="Q42" s="555"/>
      <c r="R42" s="196" t="s">
        <v>11</v>
      </c>
      <c r="S42" s="157" t="str">
        <f>S14</f>
        <v>N NAME OF YOUR RECIPE | |  Author &gt; YOU</v>
      </c>
      <c r="T42" s="157">
        <f>T14</f>
        <v>18</v>
      </c>
      <c r="U42" s="158" t="str">
        <f>U14</f>
        <v>desserts</v>
      </c>
      <c r="V42" s="159" t="str">
        <f>V14</f>
        <v>Master recipe ► Enter the main recipe name</v>
      </c>
      <c r="W42" s="172"/>
      <c r="X42" s="172"/>
      <c r="Y42" s="172"/>
      <c r="Z42" s="172"/>
      <c r="AA42" s="172"/>
      <c r="AB42" s="172"/>
      <c r="AC42" s="172"/>
      <c r="AD42" s="172"/>
      <c r="AE42" s="172"/>
      <c r="AF42" s="555"/>
      <c r="AH42" s="196" t="s">
        <v>11</v>
      </c>
      <c r="AI42" s="157" t="str">
        <f>AI14</f>
        <v>N NOMBRE DE LA RECETA | | Autor &gt; USTED</v>
      </c>
      <c r="AJ42" s="157">
        <f>AJ14</f>
        <v>18</v>
      </c>
      <c r="AK42" s="158" t="str">
        <f>AK14</f>
        <v>postres</v>
      </c>
      <c r="AL42" s="159" t="str">
        <f>AL14</f>
        <v>Receta madre ► Introduzca el nombre de la receta principal</v>
      </c>
      <c r="AM42" s="172"/>
      <c r="AN42" s="172"/>
      <c r="AO42" s="172"/>
      <c r="AP42" s="172"/>
      <c r="AQ42" s="172"/>
      <c r="AR42" s="172"/>
      <c r="AS42" s="172"/>
      <c r="AT42" s="172"/>
      <c r="AU42" s="172"/>
      <c r="AV42" s="555"/>
      <c r="AX42" s="5704"/>
      <c r="AY42" s="178" t="s">
        <v>184</v>
      </c>
      <c r="AZ42" s="178"/>
      <c r="BA42" s="178"/>
      <c r="BB42" s="178"/>
      <c r="BC42" s="179"/>
      <c r="BD42" s="180"/>
      <c r="BF42" s="5704"/>
      <c r="BG42" s="178" t="s">
        <v>185</v>
      </c>
      <c r="BH42" s="178"/>
      <c r="BI42" s="178"/>
      <c r="BJ42" s="178"/>
      <c r="BK42" s="179"/>
      <c r="BL42" s="180"/>
      <c r="BN42" s="5707"/>
      <c r="BO42" s="178" t="s">
        <v>186</v>
      </c>
      <c r="BP42" s="178"/>
      <c r="BQ42" s="178"/>
      <c r="BR42" s="178"/>
      <c r="BS42" s="179"/>
      <c r="BT42" s="180"/>
      <c r="BV42" s="3">
        <v>1</v>
      </c>
    </row>
    <row r="43" spans="2:74" ht="21" customHeight="1">
      <c r="B43" s="196" t="s">
        <v>11</v>
      </c>
      <c r="C43" s="157" t="str">
        <f>C14</f>
        <v>N NOM DE VOTRE RECETTE | | Auteur &gt; VOUS</v>
      </c>
      <c r="D43" s="157">
        <f>D14</f>
        <v>18</v>
      </c>
      <c r="E43" s="158" t="str">
        <f>E14</f>
        <v>desserts</v>
      </c>
      <c r="F43" s="159" t="str">
        <f>F14</f>
        <v>Recette mère ► Saisir le nom de la recette principale</v>
      </c>
      <c r="G43" s="172"/>
      <c r="H43" s="172"/>
      <c r="I43" s="172"/>
      <c r="J43" s="172"/>
      <c r="K43" s="172"/>
      <c r="L43" s="172"/>
      <c r="M43" s="172"/>
      <c r="N43" s="172"/>
      <c r="O43" s="172"/>
      <c r="P43" s="1486" t="s">
        <v>197</v>
      </c>
      <c r="Q43" s="555"/>
      <c r="R43" s="196" t="s">
        <v>11</v>
      </c>
      <c r="S43" s="157" t="str">
        <f>S14</f>
        <v>N NAME OF YOUR RECIPE | |  Author &gt; YOU</v>
      </c>
      <c r="T43" s="157">
        <f>T14</f>
        <v>18</v>
      </c>
      <c r="U43" s="158" t="str">
        <f>U14</f>
        <v>desserts</v>
      </c>
      <c r="V43" s="159" t="str">
        <f>V14</f>
        <v>Master recipe ► Enter the main recipe name</v>
      </c>
      <c r="W43" s="172"/>
      <c r="X43" s="172"/>
      <c r="Y43" s="172"/>
      <c r="Z43" s="172"/>
      <c r="AA43" s="172"/>
      <c r="AB43" s="172"/>
      <c r="AC43" s="172"/>
      <c r="AD43" s="172"/>
      <c r="AE43" s="172"/>
      <c r="AF43" s="1486" t="s">
        <v>899</v>
      </c>
      <c r="AH43" s="196" t="s">
        <v>11</v>
      </c>
      <c r="AI43" s="157" t="str">
        <f>AI14</f>
        <v>N NOMBRE DE LA RECETA | | Autor &gt; USTED</v>
      </c>
      <c r="AJ43" s="157">
        <f>AJ14</f>
        <v>18</v>
      </c>
      <c r="AK43" s="158" t="str">
        <f>AK14</f>
        <v>postres</v>
      </c>
      <c r="AL43" s="159" t="str">
        <f>AL14</f>
        <v>Receta madre ► Introduzca el nombre de la receta principal</v>
      </c>
      <c r="AM43" s="172"/>
      <c r="AN43" s="172"/>
      <c r="AO43" s="172"/>
      <c r="AP43" s="172"/>
      <c r="AQ43" s="172"/>
      <c r="AR43" s="172"/>
      <c r="AS43" s="172"/>
      <c r="AT43" s="172"/>
      <c r="AU43" s="172"/>
      <c r="AV43" s="1486" t="s">
        <v>913</v>
      </c>
      <c r="AX43" s="5704"/>
      <c r="AY43" s="178" t="s">
        <v>188</v>
      </c>
      <c r="AZ43" s="181"/>
      <c r="BA43" s="181"/>
      <c r="BB43" s="181"/>
      <c r="BC43" s="179"/>
      <c r="BD43" s="180"/>
      <c r="BF43" s="5704"/>
      <c r="BG43" s="178" t="s">
        <v>189</v>
      </c>
      <c r="BH43" s="181"/>
      <c r="BI43" s="181"/>
      <c r="BJ43" s="181"/>
      <c r="BK43" s="179"/>
      <c r="BL43" s="180"/>
      <c r="BN43" s="5707"/>
      <c r="BO43" s="178" t="s">
        <v>190</v>
      </c>
      <c r="BP43" s="181"/>
      <c r="BQ43" s="181"/>
      <c r="BR43" s="181"/>
      <c r="BS43" s="179"/>
      <c r="BT43" s="180"/>
      <c r="BV43" s="3">
        <v>1</v>
      </c>
    </row>
    <row r="44" spans="2:74" ht="21" customHeight="1">
      <c r="B44" s="196" t="s">
        <v>11</v>
      </c>
      <c r="C44" s="157" t="str">
        <f>C14</f>
        <v>N NOM DE VOTRE RECETTE | | Auteur &gt; VOUS</v>
      </c>
      <c r="D44" s="157">
        <f>D14</f>
        <v>18</v>
      </c>
      <c r="E44" s="158" t="str">
        <f>E14</f>
        <v>desserts</v>
      </c>
      <c r="F44" s="159" t="str">
        <f>F14</f>
        <v>Recette mère ► Saisir le nom de la recette principale</v>
      </c>
      <c r="G44" s="204"/>
      <c r="H44" s="204"/>
      <c r="I44" s="204" t="s">
        <v>201</v>
      </c>
      <c r="J44" s="205"/>
      <c r="K44" s="206"/>
      <c r="L44" s="206"/>
      <c r="M44" s="206"/>
      <c r="N44" s="206"/>
      <c r="O44" s="206"/>
      <c r="P44" s="567"/>
      <c r="R44" s="196" t="s">
        <v>11</v>
      </c>
      <c r="S44" s="157" t="str">
        <f>S14</f>
        <v>N NAME OF YOUR RECIPE | |  Author &gt; YOU</v>
      </c>
      <c r="T44" s="157">
        <f>T14</f>
        <v>18</v>
      </c>
      <c r="U44" s="158" t="str">
        <f>U14</f>
        <v>desserts</v>
      </c>
      <c r="V44" s="159" t="str">
        <f>V14</f>
        <v>Master recipe ► Enter the main recipe name</v>
      </c>
      <c r="W44" s="204"/>
      <c r="X44" s="204"/>
      <c r="Y44" s="204" t="s">
        <v>661</v>
      </c>
      <c r="Z44" s="205"/>
      <c r="AA44" s="206"/>
      <c r="AB44" s="206"/>
      <c r="AC44" s="206"/>
      <c r="AD44" s="206"/>
      <c r="AE44" s="206"/>
      <c r="AF44" s="567"/>
      <c r="AH44" s="196" t="s">
        <v>11</v>
      </c>
      <c r="AI44" s="157" t="str">
        <f>AI14</f>
        <v>N NOMBRE DE LA RECETA | | Autor &gt; USTED</v>
      </c>
      <c r="AJ44" s="157">
        <f>AJ14</f>
        <v>18</v>
      </c>
      <c r="AK44" s="158" t="str">
        <f>AK14</f>
        <v>postres</v>
      </c>
      <c r="AL44" s="159" t="str">
        <f>AL14</f>
        <v>Receta madre ► Introduzca el nombre de la receta principal</v>
      </c>
      <c r="AM44" s="204"/>
      <c r="AN44" s="204"/>
      <c r="AO44" s="204" t="s">
        <v>915</v>
      </c>
      <c r="AP44" s="205"/>
      <c r="AQ44" s="206"/>
      <c r="AR44" s="206"/>
      <c r="AS44" s="206"/>
      <c r="AT44" s="206"/>
      <c r="AU44" s="206"/>
      <c r="AV44" s="567"/>
      <c r="AX44" s="166"/>
      <c r="AY44" s="178"/>
      <c r="AZ44" s="181"/>
      <c r="BA44" s="181"/>
      <c r="BB44" s="181"/>
      <c r="BC44" s="179"/>
      <c r="BD44" s="180"/>
      <c r="BF44" s="166"/>
      <c r="BG44" s="178"/>
      <c r="BH44" s="181"/>
      <c r="BI44" s="181"/>
      <c r="BJ44" s="181"/>
      <c r="BK44" s="179"/>
      <c r="BL44" s="180"/>
      <c r="BN44" s="166"/>
      <c r="BO44" s="178"/>
      <c r="BP44" s="181"/>
      <c r="BQ44" s="181"/>
      <c r="BR44" s="181"/>
      <c r="BS44" s="179"/>
      <c r="BT44" s="180"/>
      <c r="BV44" s="3">
        <v>1</v>
      </c>
    </row>
    <row r="45" spans="2:74" ht="21" customHeight="1">
      <c r="B45" s="196" t="s">
        <v>11</v>
      </c>
      <c r="C45" s="209" t="str">
        <f>C14</f>
        <v>N NOM DE VOTRE RECETTE | | Auteur &gt; VOUS</v>
      </c>
      <c r="D45" s="209">
        <f>D14</f>
        <v>18</v>
      </c>
      <c r="E45" s="210" t="str">
        <f>E14</f>
        <v>desserts</v>
      </c>
      <c r="F45" s="211" t="str">
        <f>F14</f>
        <v>Recette mère ► Saisir le nom de la recette principale</v>
      </c>
      <c r="G45" s="212"/>
      <c r="H45" s="213"/>
      <c r="I45" s="214"/>
      <c r="J45" s="215"/>
      <c r="K45" s="214"/>
      <c r="L45" s="214"/>
      <c r="M45" s="214"/>
      <c r="N45" s="214"/>
      <c r="O45" s="214"/>
      <c r="P45" s="582"/>
      <c r="R45" s="196" t="s">
        <v>11</v>
      </c>
      <c r="S45" s="209" t="str">
        <f>S14</f>
        <v>N NAME OF YOUR RECIPE | |  Author &gt; YOU</v>
      </c>
      <c r="T45" s="209">
        <f>T14</f>
        <v>18</v>
      </c>
      <c r="U45" s="210" t="str">
        <f>U14</f>
        <v>desserts</v>
      </c>
      <c r="V45" s="211" t="str">
        <f>V14</f>
        <v>Master recipe ► Enter the main recipe name</v>
      </c>
      <c r="W45" s="212"/>
      <c r="X45" s="213"/>
      <c r="Y45" s="214"/>
      <c r="Z45" s="215"/>
      <c r="AA45" s="214"/>
      <c r="AB45" s="214"/>
      <c r="AC45" s="214"/>
      <c r="AD45" s="214"/>
      <c r="AE45" s="214"/>
      <c r="AF45" s="582"/>
      <c r="AH45" s="196" t="s">
        <v>11</v>
      </c>
      <c r="AI45" s="209" t="str">
        <f>AI14</f>
        <v>N NOMBRE DE LA RECETA | | Autor &gt; USTED</v>
      </c>
      <c r="AJ45" s="209">
        <f>AJ14</f>
        <v>18</v>
      </c>
      <c r="AK45" s="210" t="str">
        <f>AK14</f>
        <v>postres</v>
      </c>
      <c r="AL45" s="211" t="str">
        <f>AL14</f>
        <v>Receta madre ► Introduzca el nombre de la receta principal</v>
      </c>
      <c r="AM45" s="212"/>
      <c r="AN45" s="213"/>
      <c r="AO45" s="214"/>
      <c r="AP45" s="215"/>
      <c r="AQ45" s="214"/>
      <c r="AR45" s="214"/>
      <c r="AS45" s="214"/>
      <c r="AT45" s="214"/>
      <c r="AU45" s="214"/>
      <c r="AV45" s="582"/>
      <c r="AX45" s="187" t="s">
        <v>194</v>
      </c>
      <c r="AY45" s="48"/>
      <c r="AZ45" s="48"/>
      <c r="BA45" s="48"/>
      <c r="BB45" s="48"/>
      <c r="BC45" s="48"/>
      <c r="BD45" s="49"/>
      <c r="BF45" s="187" t="s">
        <v>195</v>
      </c>
      <c r="BG45" s="48"/>
      <c r="BH45" s="48"/>
      <c r="BI45" s="48"/>
      <c r="BJ45" s="48"/>
      <c r="BK45" s="48"/>
      <c r="BL45" s="49"/>
      <c r="BN45" s="187" t="s">
        <v>196</v>
      </c>
      <c r="BO45" s="48"/>
      <c r="BP45" s="48"/>
      <c r="BQ45" s="48"/>
      <c r="BR45" s="48"/>
      <c r="BS45" s="48"/>
      <c r="BT45" s="49"/>
      <c r="BV45" s="3">
        <v>1</v>
      </c>
    </row>
    <row r="46" spans="2:74" ht="21" customHeight="1" thickBot="1">
      <c r="B46" s="216" t="s">
        <v>11</v>
      </c>
      <c r="C46" s="217"/>
      <c r="D46" s="217"/>
      <c r="E46" s="217"/>
      <c r="F46" s="218"/>
      <c r="G46" s="219" t="s">
        <v>208</v>
      </c>
      <c r="H46" s="1481" t="str">
        <f ca="1">CELL("nomfichier")</f>
        <v>D:\Données\1.UPRT\0-UPRT.fait\1-UPRT.FR-SITE-WEB\ff-fiches-fabrications\ff.fiches.fabrication.2023\ffr.restaurant.2023\[ff.FICHE.TRILINGUE.15.COLONNES.29.11.2025.xlsx]Notice.utilisateur</v>
      </c>
      <c r="I46" s="220"/>
      <c r="J46" s="220"/>
      <c r="K46" s="220"/>
      <c r="L46" s="220"/>
      <c r="M46" s="220"/>
      <c r="N46" s="220"/>
      <c r="O46" s="220"/>
      <c r="P46" s="221"/>
      <c r="R46" s="216" t="s">
        <v>11</v>
      </c>
      <c r="S46" s="217"/>
      <c r="T46" s="217"/>
      <c r="U46" s="217"/>
      <c r="V46" s="218"/>
      <c r="W46" s="219" t="s">
        <v>208</v>
      </c>
      <c r="X46" s="1481" t="str">
        <f ca="1">CELL("nomfichier")</f>
        <v>D:\Données\1.UPRT\0-UPRT.fait\1-UPRT.FR-SITE-WEB\ff-fiches-fabrications\ff.fiches.fabrication.2023\ffr.restaurant.2023\[ff.FICHE.TRILINGUE.15.COLONNES.29.11.2025.xlsx]Notice.utilisateur</v>
      </c>
      <c r="Y46" s="220"/>
      <c r="Z46" s="220"/>
      <c r="AA46" s="220"/>
      <c r="AB46" s="220"/>
      <c r="AC46" s="220"/>
      <c r="AD46" s="220"/>
      <c r="AE46" s="220"/>
      <c r="AF46" s="221"/>
      <c r="AH46" s="216" t="s">
        <v>11</v>
      </c>
      <c r="AI46" s="217"/>
      <c r="AJ46" s="217"/>
      <c r="AK46" s="217"/>
      <c r="AL46" s="218"/>
      <c r="AM46" s="219" t="s">
        <v>208</v>
      </c>
      <c r="AN46" s="1481" t="str">
        <f ca="1">CELL("nomfichier")</f>
        <v>D:\Données\1.UPRT\0-UPRT.fait\1-UPRT.FR-SITE-WEB\ff-fiches-fabrications\ff.fiches.fabrication.2023\ffr.restaurant.2023\[ff.FICHE.TRILINGUE.15.COLONNES.29.11.2025.xlsx]Notice.utilisateur</v>
      </c>
      <c r="AO46" s="220"/>
      <c r="AP46" s="220"/>
      <c r="AQ46" s="220"/>
      <c r="AR46" s="220"/>
      <c r="AS46" s="220"/>
      <c r="AT46" s="220"/>
      <c r="AU46" s="220"/>
      <c r="AV46" s="221"/>
      <c r="AX46" s="47"/>
      <c r="AY46" s="48"/>
      <c r="AZ46" s="48"/>
      <c r="BA46" s="48"/>
      <c r="BB46" s="48"/>
      <c r="BC46" s="48"/>
      <c r="BD46" s="49"/>
      <c r="BF46" s="47"/>
      <c r="BG46" s="48"/>
      <c r="BH46" s="48"/>
      <c r="BI46" s="48"/>
      <c r="BJ46" s="48"/>
      <c r="BK46" s="48"/>
      <c r="BL46" s="49"/>
      <c r="BN46" s="47"/>
      <c r="BO46" s="48"/>
      <c r="BP46" s="48"/>
      <c r="BQ46" s="48"/>
      <c r="BR46" s="48"/>
      <c r="BS46" s="48"/>
      <c r="BT46" s="49"/>
      <c r="BV46" s="3">
        <v>1</v>
      </c>
    </row>
    <row r="47" spans="2:74" ht="21" customHeight="1" thickBot="1">
      <c r="B47" s="5215" t="s">
        <v>11</v>
      </c>
      <c r="C47" s="5216" t="s">
        <v>11</v>
      </c>
      <c r="D47" s="5216" t="s">
        <v>11</v>
      </c>
      <c r="E47" s="5216" t="s">
        <v>11</v>
      </c>
      <c r="F47" s="5216" t="s">
        <v>11</v>
      </c>
      <c r="G47" s="5217" t="s">
        <v>2613</v>
      </c>
      <c r="H47" s="5218"/>
      <c r="I47" s="5219"/>
      <c r="J47" s="5220"/>
      <c r="K47" s="5221"/>
      <c r="L47" s="5222"/>
      <c r="M47" s="5220"/>
      <c r="N47" s="5220"/>
      <c r="O47" s="5218"/>
      <c r="P47" s="5223" t="s">
        <v>1948</v>
      </c>
      <c r="R47" s="5215" t="s">
        <v>11</v>
      </c>
      <c r="S47" s="5216" t="s">
        <v>11</v>
      </c>
      <c r="T47" s="5216" t="s">
        <v>11</v>
      </c>
      <c r="U47" s="5216" t="s">
        <v>11</v>
      </c>
      <c r="V47" s="5216" t="s">
        <v>11</v>
      </c>
      <c r="W47" s="5217" t="s">
        <v>2613</v>
      </c>
      <c r="X47" s="5218"/>
      <c r="Y47" s="5219"/>
      <c r="Z47" s="5220"/>
      <c r="AA47" s="5221"/>
      <c r="AB47" s="5222"/>
      <c r="AC47" s="5220"/>
      <c r="AD47" s="5220"/>
      <c r="AE47" s="5218"/>
      <c r="AF47" s="5223" t="s">
        <v>1948</v>
      </c>
      <c r="AH47" s="5215" t="s">
        <v>11</v>
      </c>
      <c r="AI47" s="5216" t="s">
        <v>11</v>
      </c>
      <c r="AJ47" s="5216" t="s">
        <v>11</v>
      </c>
      <c r="AK47" s="5216" t="s">
        <v>11</v>
      </c>
      <c r="AL47" s="5216" t="s">
        <v>11</v>
      </c>
      <c r="AM47" s="5217" t="s">
        <v>2613</v>
      </c>
      <c r="AN47" s="5218"/>
      <c r="AO47" s="5219"/>
      <c r="AP47" s="5220"/>
      <c r="AQ47" s="5221"/>
      <c r="AR47" s="5222"/>
      <c r="AS47" s="5220"/>
      <c r="AT47" s="5220"/>
      <c r="AU47" s="5218"/>
      <c r="AV47" s="5223" t="s">
        <v>1948</v>
      </c>
      <c r="AX47" s="47"/>
      <c r="AY47" s="48"/>
      <c r="AZ47" s="48"/>
      <c r="BA47" s="48"/>
      <c r="BB47" s="48"/>
      <c r="BC47" s="48"/>
      <c r="BD47" s="49"/>
      <c r="BF47" s="47"/>
      <c r="BG47" s="48"/>
      <c r="BH47" s="48"/>
      <c r="BI47" s="48"/>
      <c r="BJ47" s="48"/>
      <c r="BK47" s="48"/>
      <c r="BL47" s="49"/>
      <c r="BN47" s="47"/>
      <c r="BO47" s="48"/>
      <c r="BP47" s="48"/>
      <c r="BQ47" s="48"/>
      <c r="BR47" s="48"/>
      <c r="BS47" s="48"/>
      <c r="BT47" s="49"/>
      <c r="BV47" s="3">
        <v>1</v>
      </c>
    </row>
    <row r="48" spans="2:74" ht="21" customHeight="1">
      <c r="B48" s="22" t="s">
        <v>11</v>
      </c>
      <c r="C48" s="23" t="str">
        <f>C54</f>
        <v>N NOM DE VOTRE RECETTE | | Auteur &gt; VOUS</v>
      </c>
      <c r="D48" s="24">
        <f>D54</f>
        <v>18</v>
      </c>
      <c r="E48" s="24" t="str">
        <f>E54</f>
        <v>desserts</v>
      </c>
      <c r="F48" s="25" t="str">
        <f>F54</f>
        <v>Recette mère ► Saisir le nom de la recette principale</v>
      </c>
      <c r="G48" s="26" t="s">
        <v>23</v>
      </c>
      <c r="H48" s="5471" t="s">
        <v>1376</v>
      </c>
      <c r="I48" s="5471"/>
      <c r="J48" s="5471"/>
      <c r="K48" s="5471"/>
      <c r="L48" s="5471"/>
      <c r="M48" s="5471"/>
      <c r="N48" s="5496" t="s">
        <v>3309</v>
      </c>
      <c r="O48" s="5496"/>
      <c r="P48" s="5475" t="str">
        <f>UPPER(LEFT(H48,1))</f>
        <v>N</v>
      </c>
      <c r="R48" s="22" t="s">
        <v>11</v>
      </c>
      <c r="S48" s="23" t="str">
        <f>S54</f>
        <v>N NAME OF YOUR RECIPE | |  Author &gt; YOU</v>
      </c>
      <c r="T48" s="24">
        <f>T54</f>
        <v>18</v>
      </c>
      <c r="U48" s="24" t="str">
        <f>U54</f>
        <v>desserts</v>
      </c>
      <c r="V48" s="25" t="str">
        <f>V54</f>
        <v>Master recipe ► Enter the main recipe name</v>
      </c>
      <c r="W48" s="26" t="s">
        <v>23</v>
      </c>
      <c r="X48" s="5471" t="s">
        <v>886</v>
      </c>
      <c r="Y48" s="5471"/>
      <c r="Z48" s="5471"/>
      <c r="AA48" s="5471"/>
      <c r="AB48" s="5471"/>
      <c r="AC48" s="5471"/>
      <c r="AD48" s="5496" t="s">
        <v>3314</v>
      </c>
      <c r="AE48" s="5496"/>
      <c r="AF48" s="5475" t="str">
        <f>UPPER(LEFT(X48,1))</f>
        <v>N</v>
      </c>
      <c r="AH48" s="22" t="s">
        <v>11</v>
      </c>
      <c r="AI48" s="23" t="str">
        <f>AI54</f>
        <v>N NOMBRE DE LA RECETA | | Autor &gt; USTED</v>
      </c>
      <c r="AJ48" s="24">
        <f>AJ54</f>
        <v>18</v>
      </c>
      <c r="AK48" s="24" t="str">
        <f>AK54</f>
        <v>postres</v>
      </c>
      <c r="AL48" s="25" t="str">
        <f>AL54</f>
        <v>Receta madre ► Introduzca el nombre de la receta principal</v>
      </c>
      <c r="AM48" s="26" t="s">
        <v>23</v>
      </c>
      <c r="AN48" s="5471" t="s">
        <v>3320</v>
      </c>
      <c r="AO48" s="5471"/>
      <c r="AP48" s="5471"/>
      <c r="AQ48" s="5471"/>
      <c r="AR48" s="5471"/>
      <c r="AS48" s="5471"/>
      <c r="AT48" s="5496" t="s">
        <v>1389</v>
      </c>
      <c r="AU48" s="5496"/>
      <c r="AV48" s="5475" t="str">
        <f>UPPER(LEFT(AN48,1))</f>
        <v>N</v>
      </c>
      <c r="AX48" s="47"/>
      <c r="AY48" s="48"/>
      <c r="AZ48" s="48"/>
      <c r="BA48" s="48"/>
      <c r="BB48" s="48"/>
      <c r="BC48" s="48"/>
      <c r="BD48" s="49"/>
      <c r="BF48" s="47"/>
      <c r="BG48" s="48"/>
      <c r="BH48" s="48"/>
      <c r="BI48" s="48"/>
      <c r="BJ48" s="48"/>
      <c r="BK48" s="48"/>
      <c r="BL48" s="49"/>
      <c r="BN48" s="47"/>
      <c r="BO48" s="48"/>
      <c r="BP48" s="48"/>
      <c r="BQ48" s="48"/>
      <c r="BR48" s="48"/>
      <c r="BS48" s="48"/>
      <c r="BT48" s="49"/>
      <c r="BV48" s="3">
        <v>1</v>
      </c>
    </row>
    <row r="49" spans="2:74" ht="21" customHeight="1">
      <c r="B49" s="27" t="s">
        <v>11</v>
      </c>
      <c r="C49" s="28" t="str">
        <f>C54</f>
        <v>N NOM DE VOTRE RECETTE | | Auteur &gt; VOUS</v>
      </c>
      <c r="D49" s="29">
        <f>D54</f>
        <v>18</v>
      </c>
      <c r="E49" s="29" t="str">
        <f>E54</f>
        <v>desserts</v>
      </c>
      <c r="F49" s="30" t="str">
        <f>F54</f>
        <v>Recette mère ► Saisir le nom de la recette principale</v>
      </c>
      <c r="G49" s="31" t="s">
        <v>29</v>
      </c>
      <c r="H49" s="5472"/>
      <c r="I49" s="5472"/>
      <c r="J49" s="5472"/>
      <c r="K49" s="5472"/>
      <c r="L49" s="5472"/>
      <c r="M49" s="5472"/>
      <c r="N49" s="5497"/>
      <c r="O49" s="5497"/>
      <c r="P49" s="5476"/>
      <c r="R49" s="27" t="s">
        <v>11</v>
      </c>
      <c r="S49" s="28" t="str">
        <f>S54</f>
        <v>N NAME OF YOUR RECIPE | |  Author &gt; YOU</v>
      </c>
      <c r="T49" s="29">
        <f>T54</f>
        <v>18</v>
      </c>
      <c r="U49" s="29" t="str">
        <f>U54</f>
        <v>desserts</v>
      </c>
      <c r="V49" s="30" t="str">
        <f>V54</f>
        <v>Master recipe ► Enter the main recipe name</v>
      </c>
      <c r="W49" s="31" t="s">
        <v>29</v>
      </c>
      <c r="X49" s="5472"/>
      <c r="Y49" s="5472"/>
      <c r="Z49" s="5472"/>
      <c r="AA49" s="5472"/>
      <c r="AB49" s="5472"/>
      <c r="AC49" s="5472"/>
      <c r="AD49" s="5497"/>
      <c r="AE49" s="5497"/>
      <c r="AF49" s="5476"/>
      <c r="AH49" s="27" t="s">
        <v>11</v>
      </c>
      <c r="AI49" s="28" t="str">
        <f>AI54</f>
        <v>N NOMBRE DE LA RECETA | | Autor &gt; USTED</v>
      </c>
      <c r="AJ49" s="29">
        <f>AJ54</f>
        <v>18</v>
      </c>
      <c r="AK49" s="29" t="str">
        <f>AK54</f>
        <v>postres</v>
      </c>
      <c r="AL49" s="30" t="str">
        <f>AL54</f>
        <v>Receta madre ► Introduzca el nombre de la receta principal</v>
      </c>
      <c r="AM49" s="31" t="s">
        <v>29</v>
      </c>
      <c r="AN49" s="5472"/>
      <c r="AO49" s="5472"/>
      <c r="AP49" s="5472"/>
      <c r="AQ49" s="5472"/>
      <c r="AR49" s="5472"/>
      <c r="AS49" s="5472"/>
      <c r="AT49" s="5497"/>
      <c r="AU49" s="5497"/>
      <c r="AV49" s="5476"/>
      <c r="AX49" s="47"/>
      <c r="AY49" s="48"/>
      <c r="AZ49" s="48"/>
      <c r="BA49" s="48"/>
      <c r="BB49" s="48"/>
      <c r="BC49" s="48"/>
      <c r="BD49" s="49"/>
      <c r="BF49" s="47"/>
      <c r="BG49" s="48"/>
      <c r="BH49" s="48"/>
      <c r="BI49" s="48"/>
      <c r="BJ49" s="48"/>
      <c r="BK49" s="48"/>
      <c r="BL49" s="49"/>
      <c r="BN49" s="47"/>
      <c r="BO49" s="48"/>
      <c r="BP49" s="48"/>
      <c r="BQ49" s="48"/>
      <c r="BR49" s="48"/>
      <c r="BS49" s="48"/>
      <c r="BT49" s="49"/>
      <c r="BV49" s="3">
        <v>1</v>
      </c>
    </row>
    <row r="50" spans="2:74" ht="21" customHeight="1">
      <c r="B50" s="27" t="s">
        <v>11</v>
      </c>
      <c r="C50" s="5310" t="str">
        <f>C54</f>
        <v>N NOM DE VOTRE RECETTE | | Auteur &gt; VOUS</v>
      </c>
      <c r="D50" s="5310">
        <f>D54</f>
        <v>18</v>
      </c>
      <c r="E50" s="5311" t="str">
        <f>E54</f>
        <v>desserts</v>
      </c>
      <c r="F50" s="5312" t="str">
        <f>F54</f>
        <v>Recette mère ► Saisir le nom de la recette principale</v>
      </c>
      <c r="G50" s="5313"/>
      <c r="H50" s="5314" t="s">
        <v>30</v>
      </c>
      <c r="I50" s="37"/>
      <c r="J50" s="38" t="s">
        <v>31</v>
      </c>
      <c r="K50" s="39" t="s">
        <v>58</v>
      </c>
      <c r="L50" s="9"/>
      <c r="M50" s="39"/>
      <c r="N50" s="39"/>
      <c r="O50" s="40"/>
      <c r="P50" s="41"/>
      <c r="R50" s="27" t="s">
        <v>11</v>
      </c>
      <c r="S50" s="5310" t="str">
        <f>S54</f>
        <v>N NAME OF YOUR RECIPE | |  Author &gt; YOU</v>
      </c>
      <c r="T50" s="5310">
        <f>T54</f>
        <v>18</v>
      </c>
      <c r="U50" s="5311" t="str">
        <f>U54</f>
        <v>desserts</v>
      </c>
      <c r="V50" s="5312" t="str">
        <f>V54</f>
        <v>Master recipe ► Enter the main recipe name</v>
      </c>
      <c r="W50" s="5313"/>
      <c r="X50" s="5314" t="s">
        <v>888</v>
      </c>
      <c r="Y50" s="37"/>
      <c r="Z50" s="38" t="s">
        <v>889</v>
      </c>
      <c r="AA50" s="39" t="s">
        <v>61</v>
      </c>
      <c r="AB50" s="9"/>
      <c r="AC50" s="39"/>
      <c r="AD50" s="39"/>
      <c r="AE50" s="40"/>
      <c r="AF50" s="41"/>
      <c r="AH50" s="27" t="s">
        <v>11</v>
      </c>
      <c r="AI50" s="5310" t="str">
        <f>AI54</f>
        <v>N NOMBRE DE LA RECETA | | Autor &gt; USTED</v>
      </c>
      <c r="AJ50" s="5310">
        <f>AJ54</f>
        <v>18</v>
      </c>
      <c r="AK50" s="5311" t="str">
        <f>AK54</f>
        <v>postres</v>
      </c>
      <c r="AL50" s="5312" t="str">
        <f>AL54</f>
        <v>Receta madre ► Introduzca el nombre de la receta principal</v>
      </c>
      <c r="AM50" s="5313"/>
      <c r="AN50" s="5314" t="s">
        <v>903</v>
      </c>
      <c r="AO50" s="37"/>
      <c r="AP50" s="38" t="s">
        <v>904</v>
      </c>
      <c r="AQ50" s="39" t="s">
        <v>64</v>
      </c>
      <c r="AR50" s="9"/>
      <c r="AS50" s="39"/>
      <c r="AT50" s="39"/>
      <c r="AU50" s="40"/>
      <c r="AV50" s="41"/>
      <c r="AX50" s="47"/>
      <c r="AY50" s="48"/>
      <c r="AZ50" s="48"/>
      <c r="BA50" s="48"/>
      <c r="BB50" s="48"/>
      <c r="BC50" s="48"/>
      <c r="BD50" s="49"/>
      <c r="BF50" s="47"/>
      <c r="BG50" s="48"/>
      <c r="BH50" s="48"/>
      <c r="BI50" s="48"/>
      <c r="BJ50" s="48"/>
      <c r="BK50" s="48"/>
      <c r="BL50" s="49"/>
      <c r="BN50" s="47"/>
      <c r="BO50" s="48"/>
      <c r="BP50" s="48"/>
      <c r="BQ50" s="48"/>
      <c r="BR50" s="48"/>
      <c r="BS50" s="48"/>
      <c r="BT50" s="49"/>
      <c r="BV50" s="3">
        <v>1</v>
      </c>
    </row>
    <row r="51" spans="2:74" ht="21" customHeight="1">
      <c r="B51" s="27" t="s">
        <v>11</v>
      </c>
      <c r="C51" s="32" t="str">
        <f>C54</f>
        <v>N NOM DE VOTRE RECETTE | | Auteur &gt; VOUS</v>
      </c>
      <c r="D51" s="33">
        <f>D54</f>
        <v>18</v>
      </c>
      <c r="E51" s="33" t="str">
        <f>E54</f>
        <v>desserts</v>
      </c>
      <c r="F51" s="34" t="str">
        <f>F54</f>
        <v>Recette mère ► Saisir le nom de la recette principale</v>
      </c>
      <c r="G51" s="42" t="s">
        <v>32</v>
      </c>
      <c r="H51" s="43"/>
      <c r="I51" s="43"/>
      <c r="J51" s="44" t="s">
        <v>33</v>
      </c>
      <c r="K51" s="5477" t="str">
        <f>L54&amp;" "&amp;M54&amp;" ► Famille = "&amp;N48&amp;" ► "&amp;H48&amp;" "&amp; "pour "&amp;N52&amp;" "&amp;O52</f>
        <v>Recette mère ► Saisir le nom de la recette principale ► Famille = famille--COLLEZ ► NOM DE VOTRE RECETTE pour 36 desserts</v>
      </c>
      <c r="L51" s="5477"/>
      <c r="M51" s="5477"/>
      <c r="N51" s="5039" t="s">
        <v>3306</v>
      </c>
      <c r="O51" s="40"/>
      <c r="P51" s="1472"/>
      <c r="R51" s="27" t="s">
        <v>11</v>
      </c>
      <c r="S51" s="32" t="str">
        <f>S54</f>
        <v>N NAME OF YOUR RECIPE | |  Author &gt; YOU</v>
      </c>
      <c r="T51" s="33">
        <f>T54</f>
        <v>18</v>
      </c>
      <c r="U51" s="33" t="str">
        <f>U54</f>
        <v>desserts</v>
      </c>
      <c r="V51" s="34" t="str">
        <f>V54</f>
        <v>Master recipe ► Enter the main recipe name</v>
      </c>
      <c r="W51" s="42" t="s">
        <v>137</v>
      </c>
      <c r="X51" s="43"/>
      <c r="Y51" s="43"/>
      <c r="Z51" s="44" t="s">
        <v>33</v>
      </c>
      <c r="AA51" s="5477" t="str">
        <f>AB54&amp;" "&amp;AC54&amp;" ► category = "&amp;AD48&amp;" ► "&amp;X48&amp;" "&amp; "pour "&amp;AD52&amp;" "&amp;AE52</f>
        <v>Master recipe ► Enter the main recipe name ► category = family--PASTE ► NAME OF YOUR RECIPE pour 36 desserts</v>
      </c>
      <c r="AB51" s="5477"/>
      <c r="AC51" s="5477"/>
      <c r="AD51" s="5039" t="s">
        <v>3324</v>
      </c>
      <c r="AE51" s="40"/>
      <c r="AF51" s="1472"/>
      <c r="AH51" s="27" t="s">
        <v>11</v>
      </c>
      <c r="AI51" s="32" t="str">
        <f>AI54</f>
        <v>N NOMBRE DE LA RECETA | | Autor &gt; USTED</v>
      </c>
      <c r="AJ51" s="33">
        <f>AJ54</f>
        <v>18</v>
      </c>
      <c r="AK51" s="33" t="str">
        <f>AK54</f>
        <v>postres</v>
      </c>
      <c r="AL51" s="34" t="str">
        <f>AL54</f>
        <v>Receta madre ► Introduzca el nombre de la receta principal</v>
      </c>
      <c r="AM51" s="42" t="s">
        <v>905</v>
      </c>
      <c r="AN51" s="43"/>
      <c r="AO51" s="43"/>
      <c r="AP51" s="44" t="s">
        <v>33</v>
      </c>
      <c r="AQ51" s="5477" t="str">
        <f>AR54&amp;" "&amp;AS54&amp;" ► categoría = "&amp;AT48&amp;" ► "&amp;AN48&amp;" "&amp; "pour "&amp;AT52&amp;" "&amp;AU52</f>
        <v>Receta madre ► Introduzca el nombre de la receta principal ► categoría = pegue esto — FAMILIA ► NOMBRE DE LA RECETA pour 36 postres</v>
      </c>
      <c r="AR51" s="5477"/>
      <c r="AS51" s="5477"/>
      <c r="AT51" s="5039" t="s">
        <v>3326</v>
      </c>
      <c r="AU51" s="40"/>
      <c r="AV51" s="1472"/>
      <c r="AX51" s="47"/>
      <c r="AY51" s="48"/>
      <c r="AZ51" s="48"/>
      <c r="BA51" s="48"/>
      <c r="BB51" s="48"/>
      <c r="BC51" s="48"/>
      <c r="BD51" s="49"/>
      <c r="BF51" s="47"/>
      <c r="BG51" s="48"/>
      <c r="BH51" s="48"/>
      <c r="BI51" s="48"/>
      <c r="BJ51" s="48"/>
      <c r="BK51" s="48"/>
      <c r="BL51" s="49"/>
      <c r="BN51" s="47"/>
      <c r="BO51" s="48"/>
      <c r="BP51" s="48"/>
      <c r="BQ51" s="48"/>
      <c r="BR51" s="48"/>
      <c r="BS51" s="48"/>
      <c r="BT51" s="49"/>
      <c r="BV51" s="3">
        <v>1</v>
      </c>
    </row>
    <row r="52" spans="2:74" ht="21" customHeight="1">
      <c r="B52" s="27" t="s">
        <v>11</v>
      </c>
      <c r="C52" s="32" t="str">
        <f>C54</f>
        <v>N NOM DE VOTRE RECETTE | | Auteur &gt; VOUS</v>
      </c>
      <c r="D52" s="33">
        <f>D54</f>
        <v>18</v>
      </c>
      <c r="E52" s="33" t="str">
        <f>E54</f>
        <v>desserts</v>
      </c>
      <c r="F52" s="34" t="str">
        <f>F54</f>
        <v>Recette mère ► Saisir le nom de la recette principale</v>
      </c>
      <c r="G52" s="50">
        <v>18</v>
      </c>
      <c r="H52" s="51" t="s">
        <v>3275</v>
      </c>
      <c r="I52" s="42"/>
      <c r="J52" s="42"/>
      <c r="K52" s="5477"/>
      <c r="L52" s="5477"/>
      <c r="M52" s="5477"/>
      <c r="N52" s="46">
        <v>36</v>
      </c>
      <c r="O52" s="5478" t="str">
        <f>H52</f>
        <v>desserts</v>
      </c>
      <c r="P52" s="5479"/>
      <c r="R52" s="27" t="s">
        <v>11</v>
      </c>
      <c r="S52" s="32" t="str">
        <f>S54</f>
        <v>N NAME OF YOUR RECIPE | |  Author &gt; YOU</v>
      </c>
      <c r="T52" s="33">
        <f>T54</f>
        <v>18</v>
      </c>
      <c r="U52" s="33" t="str">
        <f>U54</f>
        <v>desserts</v>
      </c>
      <c r="V52" s="34" t="str">
        <f>V54</f>
        <v>Master recipe ► Enter the main recipe name</v>
      </c>
      <c r="W52" s="50">
        <v>18</v>
      </c>
      <c r="X52" s="51" t="s">
        <v>3275</v>
      </c>
      <c r="Y52" s="42"/>
      <c r="Z52" s="42"/>
      <c r="AA52" s="5477"/>
      <c r="AB52" s="5477"/>
      <c r="AC52" s="5477"/>
      <c r="AD52" s="46">
        <v>36</v>
      </c>
      <c r="AE52" s="5478" t="str">
        <f>X52</f>
        <v>desserts</v>
      </c>
      <c r="AF52" s="5479"/>
      <c r="AH52" s="27" t="s">
        <v>11</v>
      </c>
      <c r="AI52" s="32" t="str">
        <f>AI54</f>
        <v>N NOMBRE DE LA RECETA | | Autor &gt; USTED</v>
      </c>
      <c r="AJ52" s="33">
        <f>AJ54</f>
        <v>18</v>
      </c>
      <c r="AK52" s="33" t="str">
        <f>AK54</f>
        <v>postres</v>
      </c>
      <c r="AL52" s="34" t="str">
        <f>AL54</f>
        <v>Receta madre ► Introduzca el nombre de la receta principal</v>
      </c>
      <c r="AM52" s="50">
        <v>18</v>
      </c>
      <c r="AN52" s="51" t="s">
        <v>3349</v>
      </c>
      <c r="AO52" s="42"/>
      <c r="AP52" s="42"/>
      <c r="AQ52" s="5477"/>
      <c r="AR52" s="5477"/>
      <c r="AS52" s="5477"/>
      <c r="AT52" s="46">
        <v>36</v>
      </c>
      <c r="AU52" s="5478" t="str">
        <f>AN52</f>
        <v>postres</v>
      </c>
      <c r="AV52" s="5479"/>
      <c r="AX52" s="47"/>
      <c r="AY52" s="48"/>
      <c r="AZ52" s="48"/>
      <c r="BA52" s="48"/>
      <c r="BB52" s="48"/>
      <c r="BC52" s="48"/>
      <c r="BD52" s="49"/>
      <c r="BF52" s="47"/>
      <c r="BG52" s="48"/>
      <c r="BH52" s="48"/>
      <c r="BI52" s="48"/>
      <c r="BJ52" s="48"/>
      <c r="BK52" s="48"/>
      <c r="BL52" s="49"/>
      <c r="BN52" s="47"/>
      <c r="BO52" s="48"/>
      <c r="BP52" s="48"/>
      <c r="BQ52" s="48"/>
      <c r="BR52" s="48"/>
      <c r="BS52" s="48"/>
      <c r="BT52" s="49"/>
      <c r="BV52" s="3">
        <v>1</v>
      </c>
    </row>
    <row r="53" spans="2:74" ht="21" customHeight="1">
      <c r="B53" s="27" t="s">
        <v>16</v>
      </c>
      <c r="C53" s="32" t="str">
        <f>C54</f>
        <v>N NOM DE VOTRE RECETTE | | Auteur &gt; VOUS</v>
      </c>
      <c r="D53" s="33">
        <f>D54</f>
        <v>18</v>
      </c>
      <c r="E53" s="33" t="str">
        <f>E54</f>
        <v>desserts</v>
      </c>
      <c r="F53" s="34" t="str">
        <f>F54</f>
        <v>Recette mère ► Saisir le nom de la recette principale</v>
      </c>
      <c r="G53" s="56"/>
      <c r="H53" s="5165" t="s">
        <v>13098</v>
      </c>
      <c r="I53" s="5468">
        <f>O68/L53</f>
        <v>0</v>
      </c>
      <c r="J53" s="5468"/>
      <c r="K53" s="5054" t="str" cm="1">
        <f t="array" ref="K53">"1= "&amp;IF(OR(G52&lt;=0,I53=""),"",_xlfn.LET(_xlpm.kg,IF(ISNUMBER(I53),I53,VALEUR(SUBSTITUTE(SUBSTITUTE(SUBSTITUTE(LOWER(I53),"kg",""),",",".")," ",""))),TEXT(ROUND(_xlpm.kg*1000/G52,2),"0.##")&amp;" g"))</f>
        <v>1= 0. g</v>
      </c>
      <c r="L53" s="1490">
        <f>IFERROR(N52/G52,0)</f>
        <v>2</v>
      </c>
      <c r="M53" s="45"/>
      <c r="N53" s="5041" t="s">
        <v>50</v>
      </c>
      <c r="O53" s="5042">
        <f>O68</f>
        <v>0</v>
      </c>
      <c r="P53" s="5043"/>
      <c r="R53" s="27" t="s">
        <v>16</v>
      </c>
      <c r="S53" s="32"/>
      <c r="T53" s="33">
        <f>T54</f>
        <v>18</v>
      </c>
      <c r="U53" s="33" t="str">
        <f>U54</f>
        <v>desserts</v>
      </c>
      <c r="V53" s="34" t="str">
        <f>V54</f>
        <v>Master recipe ► Enter the main recipe name</v>
      </c>
      <c r="W53" s="56"/>
      <c r="X53" s="5165" t="s">
        <v>13100</v>
      </c>
      <c r="Y53" s="5468">
        <f>AE68/AB53</f>
        <v>0</v>
      </c>
      <c r="Z53" s="5468"/>
      <c r="AA53" s="5054" t="str" cm="1">
        <f t="array" ref="AA53">"1= "&amp;IF(OR(W52&lt;=0,Y53=""),"",_xlfn.LET(_xlpm.kg,IF(ISNUMBER(Y53),Y53,VALEUR(SUBSTITUTE(SUBSTITUTE(SUBSTITUTE(LOWER(Y53),"kg",""),",",".")," ",""))),TEXT(ROUND(_xlpm.kg*1000/W52,2),"0.##")&amp;" g"))</f>
        <v>1= 0. g</v>
      </c>
      <c r="AB53" s="1490">
        <f>IFERROR(AD52/W52,0)</f>
        <v>2</v>
      </c>
      <c r="AC53" s="45"/>
      <c r="AD53" s="5041" t="s">
        <v>153</v>
      </c>
      <c r="AE53" s="5042">
        <f>AE68</f>
        <v>0</v>
      </c>
      <c r="AF53" s="5043"/>
      <c r="AH53" s="27" t="s">
        <v>16</v>
      </c>
      <c r="AI53" s="32" t="str">
        <f>AI54</f>
        <v>N NOMBRE DE LA RECETA | | Autor &gt; USTED</v>
      </c>
      <c r="AJ53" s="33">
        <f>AJ54</f>
        <v>18</v>
      </c>
      <c r="AK53" s="33" t="str">
        <f>AK54</f>
        <v>postres</v>
      </c>
      <c r="AL53" s="34" t="str">
        <f>AL54</f>
        <v>Receta madre ► Introduzca el nombre de la receta principal</v>
      </c>
      <c r="AM53" s="56"/>
      <c r="AN53" s="5165" t="s">
        <v>13101</v>
      </c>
      <c r="AO53" s="5468">
        <f>AU68/AR53</f>
        <v>0</v>
      </c>
      <c r="AP53" s="5468"/>
      <c r="AQ53" s="5054" t="str" cm="1">
        <f t="array" ref="AQ53">"1= "&amp;IF(OR(AM52&lt;=0,AO53=""),"",_xlfn.LET(_xlpm.kg,IF(ISNUMBER(AO53),AO53,VALEUR(SUBSTITUTE(SUBSTITUTE(SUBSTITUTE(LOWER(AO53),"kg",""),",",".")," ",""))),TEXT(ROUND(_xlpm.kg*1000/AM52,2),"0.##")&amp;" g"))</f>
        <v>1= 0. g</v>
      </c>
      <c r="AR53" s="1490">
        <f>IFERROR(AT52/AM52,0)</f>
        <v>2</v>
      </c>
      <c r="AS53" s="45"/>
      <c r="AT53" s="5041" t="s">
        <v>248</v>
      </c>
      <c r="AU53" s="5042">
        <f>AU68</f>
        <v>0</v>
      </c>
      <c r="AV53" s="5043"/>
      <c r="AX53" s="207"/>
      <c r="AY53" s="208" t="s">
        <v>202</v>
      </c>
      <c r="AZ53" s="48"/>
      <c r="BA53" s="48"/>
      <c r="BB53" s="48"/>
      <c r="BC53" s="48"/>
      <c r="BD53" s="49"/>
      <c r="BF53" s="207"/>
      <c r="BG53" s="208" t="s">
        <v>203</v>
      </c>
      <c r="BH53" s="48"/>
      <c r="BI53" s="48"/>
      <c r="BJ53" s="48"/>
      <c r="BK53" s="48"/>
      <c r="BL53" s="49"/>
      <c r="BN53" s="207"/>
      <c r="BO53" s="208" t="s">
        <v>204</v>
      </c>
      <c r="BP53" s="48"/>
      <c r="BQ53" s="48"/>
      <c r="BR53" s="48"/>
      <c r="BS53" s="48"/>
      <c r="BT53" s="49"/>
      <c r="BV53" s="3">
        <v>1</v>
      </c>
    </row>
    <row r="54" spans="2:74" ht="21" customHeight="1">
      <c r="B54" s="64" t="s">
        <v>16</v>
      </c>
      <c r="C54" s="65" t="str">
        <f>G54</f>
        <v>N NOM DE VOTRE RECETTE | | Auteur &gt; VOUS</v>
      </c>
      <c r="D54" s="66">
        <f>G52</f>
        <v>18</v>
      </c>
      <c r="E54" s="65" t="str">
        <f>H52</f>
        <v>desserts</v>
      </c>
      <c r="F54" s="67" t="str">
        <f>L54&amp;" "&amp;M54</f>
        <v>Recette mère ► Saisir le nom de la recette principale</v>
      </c>
      <c r="G54" s="68" t="str">
        <f>UPPER(LEFT(H48,1))&amp;" "&amp;H48&amp;" | "&amp;O48&amp;"| "&amp;J50&amp;" "&amp;K50</f>
        <v>N NOM DE VOTRE RECETTE | | Auteur &gt; VOUS</v>
      </c>
      <c r="H54" s="69" t="s">
        <v>54</v>
      </c>
      <c r="I54" s="5469" t="s">
        <v>55</v>
      </c>
      <c r="J54" s="5469"/>
      <c r="K54" s="5469"/>
      <c r="L54" s="70" t="str">
        <f>IF(ISTEXT(M54),"Recette mère ►",H54)</f>
        <v>Recette mère ►</v>
      </c>
      <c r="M54" s="71" t="s">
        <v>3310</v>
      </c>
      <c r="N54" s="71"/>
      <c r="O54" s="72"/>
      <c r="P54" s="1473"/>
      <c r="R54" s="64" t="s">
        <v>16</v>
      </c>
      <c r="S54" s="65" t="str">
        <f>W54</f>
        <v>N NAME OF YOUR RECIPE | |  Author &gt; YOU</v>
      </c>
      <c r="T54" s="66">
        <f>W52</f>
        <v>18</v>
      </c>
      <c r="U54" s="65" t="str">
        <f>X52</f>
        <v>desserts</v>
      </c>
      <c r="V54" s="67" t="str">
        <f>AB54&amp;" "&amp;AC54</f>
        <v>Master recipe ► Enter the main recipe name</v>
      </c>
      <c r="W54" s="68" t="str">
        <f>UPPER(LEFT(X48,1))&amp;" "&amp;X48&amp;" | "&amp;AE48&amp;"| "&amp;Z50&amp;" "&amp;AA50</f>
        <v>N NAME OF YOUR RECIPE | |  Author &gt; YOU</v>
      </c>
      <c r="X54" s="69" t="s">
        <v>3315</v>
      </c>
      <c r="Y54" s="5469" t="s">
        <v>3316</v>
      </c>
      <c r="Z54" s="5469"/>
      <c r="AA54" s="5469"/>
      <c r="AB54" s="70" t="str">
        <f>IF(ISTEXT(AC54),"Master recipe ►",X54)</f>
        <v>Master recipe ►</v>
      </c>
      <c r="AC54" s="71" t="s">
        <v>3317</v>
      </c>
      <c r="AD54" s="71"/>
      <c r="AE54" s="72"/>
      <c r="AF54" s="1473"/>
      <c r="AH54" s="64" t="s">
        <v>16</v>
      </c>
      <c r="AI54" s="65" t="str">
        <f>AM54</f>
        <v>N NOMBRE DE LA RECETA | | Autor &gt; USTED</v>
      </c>
      <c r="AJ54" s="66">
        <f>AM52</f>
        <v>18</v>
      </c>
      <c r="AK54" s="65" t="str">
        <f>AN52</f>
        <v>postres</v>
      </c>
      <c r="AL54" s="67" t="str">
        <f>AR54&amp;" "&amp;AS54</f>
        <v>Receta madre ► Introduzca el nombre de la receta principal</v>
      </c>
      <c r="AM54" s="68" t="str">
        <f>UPPER(LEFT(AN48,1))&amp;" "&amp;AN48&amp;" | "&amp;AU48&amp;"| "&amp;AP50&amp;" "&amp;AQ50</f>
        <v>N NOMBRE DE LA RECETA | | Autor &gt; USTED</v>
      </c>
      <c r="AN54" s="69" t="s">
        <v>3319</v>
      </c>
      <c r="AO54" s="5469" t="s">
        <v>906</v>
      </c>
      <c r="AP54" s="5469"/>
      <c r="AQ54" s="5469"/>
      <c r="AR54" s="70" t="str">
        <f>IF(ISTEXT(AS54),"Receta madre ►",AN54)</f>
        <v>Receta madre ►</v>
      </c>
      <c r="AS54" s="71" t="s">
        <v>3318</v>
      </c>
      <c r="AT54" s="71"/>
      <c r="AU54" s="72"/>
      <c r="AV54" s="1473"/>
      <c r="AX54" s="207"/>
      <c r="AY54" s="208" t="s">
        <v>205</v>
      </c>
      <c r="AZ54" s="48"/>
      <c r="BA54" s="48"/>
      <c r="BB54" s="48"/>
      <c r="BC54" s="48"/>
      <c r="BD54" s="49"/>
      <c r="BF54" s="207"/>
      <c r="BG54" s="208" t="s">
        <v>206</v>
      </c>
      <c r="BH54" s="48"/>
      <c r="BI54" s="48"/>
      <c r="BJ54" s="48"/>
      <c r="BK54" s="48"/>
      <c r="BL54" s="49"/>
      <c r="BN54" s="207"/>
      <c r="BO54" s="208" t="s">
        <v>207</v>
      </c>
      <c r="BP54" s="48"/>
      <c r="BQ54" s="48"/>
      <c r="BR54" s="48"/>
      <c r="BS54" s="48"/>
      <c r="BT54" s="49"/>
      <c r="BV54" s="3">
        <v>1</v>
      </c>
    </row>
    <row r="55" spans="2:74" ht="21" customHeight="1">
      <c r="B55" s="74" t="s">
        <v>16</v>
      </c>
      <c r="C55" s="75" t="str">
        <f>C54</f>
        <v>N NOM DE VOTRE RECETTE | | Auteur &gt; VOUS</v>
      </c>
      <c r="D55" s="75">
        <f>D54</f>
        <v>18</v>
      </c>
      <c r="E55" s="75" t="str">
        <f>E54</f>
        <v>desserts</v>
      </c>
      <c r="F55" s="76" t="str">
        <f>F54</f>
        <v>Recette mère ► Saisir le nom de la recette principale</v>
      </c>
      <c r="G55" s="13" t="s">
        <v>66</v>
      </c>
      <c r="H55" s="13" t="s">
        <v>67</v>
      </c>
      <c r="I55" s="13" t="s">
        <v>68</v>
      </c>
      <c r="J55" s="13" t="s">
        <v>69</v>
      </c>
      <c r="K55" s="77" t="s">
        <v>70</v>
      </c>
      <c r="L55" s="78" t="s">
        <v>71</v>
      </c>
      <c r="M55" s="79" t="s">
        <v>72</v>
      </c>
      <c r="N55" s="1496" t="s">
        <v>73</v>
      </c>
      <c r="O55" s="13" t="s">
        <v>74</v>
      </c>
      <c r="P55" s="518" t="s">
        <v>75</v>
      </c>
      <c r="R55" s="74" t="s">
        <v>16</v>
      </c>
      <c r="S55" s="75" t="str">
        <f>S54</f>
        <v>N NAME OF YOUR RECIPE | |  Author &gt; YOU</v>
      </c>
      <c r="T55" s="75">
        <f>T54</f>
        <v>18</v>
      </c>
      <c r="U55" s="75" t="str">
        <f>U54</f>
        <v>desserts</v>
      </c>
      <c r="V55" s="76" t="str">
        <f>V54</f>
        <v>Master recipe ► Enter the main recipe name</v>
      </c>
      <c r="W55" s="13" t="s">
        <v>66</v>
      </c>
      <c r="X55" s="13" t="s">
        <v>67</v>
      </c>
      <c r="Y55" s="13" t="s">
        <v>68</v>
      </c>
      <c r="Z55" s="13" t="s">
        <v>69</v>
      </c>
      <c r="AA55" s="77" t="s">
        <v>70</v>
      </c>
      <c r="AB55" s="78" t="s">
        <v>71</v>
      </c>
      <c r="AC55" s="79" t="s">
        <v>72</v>
      </c>
      <c r="AD55" s="1496" t="s">
        <v>73</v>
      </c>
      <c r="AE55" s="13" t="s">
        <v>75</v>
      </c>
      <c r="AF55" s="518" t="s">
        <v>76</v>
      </c>
      <c r="AH55" s="74" t="s">
        <v>16</v>
      </c>
      <c r="AI55" s="75" t="str">
        <f>AI54</f>
        <v>N NOMBRE DE LA RECETA | | Autor &gt; USTED</v>
      </c>
      <c r="AJ55" s="75">
        <f>AJ54</f>
        <v>18</v>
      </c>
      <c r="AK55" s="75" t="str">
        <f>AK54</f>
        <v>postres</v>
      </c>
      <c r="AL55" s="76" t="str">
        <f>AL54</f>
        <v>Receta madre ► Introduzca el nombre de la receta principal</v>
      </c>
      <c r="AM55" s="13" t="s">
        <v>66</v>
      </c>
      <c r="AN55" s="13" t="s">
        <v>67</v>
      </c>
      <c r="AO55" s="13" t="s">
        <v>68</v>
      </c>
      <c r="AP55" s="13" t="s">
        <v>69</v>
      </c>
      <c r="AQ55" s="77" t="s">
        <v>70</v>
      </c>
      <c r="AR55" s="78" t="s">
        <v>71</v>
      </c>
      <c r="AS55" s="79" t="s">
        <v>72</v>
      </c>
      <c r="AT55" s="1496" t="s">
        <v>73</v>
      </c>
      <c r="AU55" s="13" t="s">
        <v>74</v>
      </c>
      <c r="AV55" s="518" t="s">
        <v>75</v>
      </c>
      <c r="AX55" s="222"/>
      <c r="AY55" s="223" t="s">
        <v>209</v>
      </c>
      <c r="AZ55" s="48"/>
      <c r="BA55" s="48"/>
      <c r="BB55" s="48"/>
      <c r="BC55" s="48"/>
      <c r="BD55" s="49"/>
      <c r="BF55" s="222"/>
      <c r="BG55" s="223" t="s">
        <v>210</v>
      </c>
      <c r="BH55" s="48"/>
      <c r="BI55" s="48"/>
      <c r="BJ55" s="48"/>
      <c r="BK55" s="48"/>
      <c r="BL55" s="49"/>
      <c r="BN55" s="222"/>
      <c r="BO55" s="223" t="s">
        <v>211</v>
      </c>
      <c r="BP55" s="48"/>
      <c r="BQ55" s="48"/>
      <c r="BR55" s="48"/>
      <c r="BS55" s="48"/>
      <c r="BT55" s="49"/>
      <c r="BV55" s="3">
        <v>1</v>
      </c>
    </row>
    <row r="56" spans="2:74" ht="21" customHeight="1">
      <c r="B56" s="27" t="s">
        <v>11</v>
      </c>
      <c r="C56" s="32" t="str">
        <f>C54</f>
        <v>N NOM DE VOTRE RECETTE | | Auteur &gt; VOUS</v>
      </c>
      <c r="D56" s="33">
        <f>D54</f>
        <v>18</v>
      </c>
      <c r="E56" s="32" t="str">
        <f>E54</f>
        <v>desserts</v>
      </c>
      <c r="F56" s="34" t="str">
        <f>F54</f>
        <v>Recette mère ► Saisir le nom de la recette principale</v>
      </c>
      <c r="G56" s="81" t="s">
        <v>77</v>
      </c>
      <c r="H56" s="82" t="s">
        <v>78</v>
      </c>
      <c r="I56" s="83"/>
      <c r="J56" s="5454" t="s">
        <v>79</v>
      </c>
      <c r="K56" s="5464" t="s">
        <v>80</v>
      </c>
      <c r="L56" s="5466" t="s">
        <v>81</v>
      </c>
      <c r="M56" s="84" t="s">
        <v>82</v>
      </c>
      <c r="N56" s="5444" t="s">
        <v>83</v>
      </c>
      <c r="O56" s="5446" t="s">
        <v>3297</v>
      </c>
      <c r="P56" s="5448" t="s">
        <v>86</v>
      </c>
      <c r="R56" s="27" t="s">
        <v>11</v>
      </c>
      <c r="S56" s="32" t="str">
        <f>S54</f>
        <v>N NAME OF YOUR RECIPE | |  Author &gt; YOU</v>
      </c>
      <c r="T56" s="33">
        <f>T54</f>
        <v>18</v>
      </c>
      <c r="U56" s="32" t="str">
        <f>U54</f>
        <v>desserts</v>
      </c>
      <c r="V56" s="34" t="str">
        <f>V54</f>
        <v>Master recipe ► Enter the main recipe name</v>
      </c>
      <c r="W56" s="81" t="s">
        <v>77</v>
      </c>
      <c r="X56" s="82" t="s">
        <v>78</v>
      </c>
      <c r="Y56" s="83"/>
      <c r="Z56" s="5454" t="s">
        <v>228</v>
      </c>
      <c r="AA56" s="5464" t="s">
        <v>80</v>
      </c>
      <c r="AB56" s="5466" t="s">
        <v>81</v>
      </c>
      <c r="AC56" s="84" t="s">
        <v>82</v>
      </c>
      <c r="AD56" s="5444" t="s">
        <v>244</v>
      </c>
      <c r="AE56" s="5446" t="s">
        <v>890</v>
      </c>
      <c r="AF56" s="5448" t="s">
        <v>247</v>
      </c>
      <c r="AH56" s="27" t="s">
        <v>11</v>
      </c>
      <c r="AI56" s="32" t="str">
        <f>AI54</f>
        <v>N NOMBRE DE LA RECETA | | Autor &gt; USTED</v>
      </c>
      <c r="AJ56" s="33">
        <f>AJ54</f>
        <v>18</v>
      </c>
      <c r="AK56" s="32" t="str">
        <f>AK54</f>
        <v>postres</v>
      </c>
      <c r="AL56" s="34" t="str">
        <f>AL54</f>
        <v>Receta madre ► Introduzca el nombre de la receta principal</v>
      </c>
      <c r="AM56" s="81" t="s">
        <v>77</v>
      </c>
      <c r="AN56" s="82" t="s">
        <v>78</v>
      </c>
      <c r="AO56" s="83"/>
      <c r="AP56" s="5470" t="s">
        <v>229</v>
      </c>
      <c r="AQ56" s="5495" t="s">
        <v>80</v>
      </c>
      <c r="AR56" s="5481" t="s">
        <v>396</v>
      </c>
      <c r="AS56" s="84" t="s">
        <v>82</v>
      </c>
      <c r="AT56" s="5444" t="s">
        <v>249</v>
      </c>
      <c r="AU56" s="5446" t="s">
        <v>907</v>
      </c>
      <c r="AV56" s="5448" t="s">
        <v>252</v>
      </c>
      <c r="AX56" s="226"/>
      <c r="AY56" s="178" t="s">
        <v>212</v>
      </c>
      <c r="AZ56" s="48"/>
      <c r="BA56" s="48"/>
      <c r="BB56" s="48"/>
      <c r="BC56" s="48"/>
      <c r="BD56" s="49"/>
      <c r="BF56" s="226"/>
      <c r="BG56" s="178" t="s">
        <v>213</v>
      </c>
      <c r="BH56" s="48"/>
      <c r="BI56" s="48"/>
      <c r="BJ56" s="48"/>
      <c r="BK56" s="48"/>
      <c r="BL56" s="49"/>
      <c r="BN56" s="226"/>
      <c r="BO56" s="178" t="s">
        <v>214</v>
      </c>
      <c r="BP56" s="48"/>
      <c r="BQ56" s="48"/>
      <c r="BR56" s="48"/>
      <c r="BS56" s="48"/>
      <c r="BT56" s="49"/>
      <c r="BV56" s="3">
        <v>1</v>
      </c>
    </row>
    <row r="57" spans="2:74" ht="21" customHeight="1">
      <c r="B57" s="27" t="s">
        <v>11</v>
      </c>
      <c r="C57" s="32" t="str">
        <f>C54</f>
        <v>N NOM DE VOTRE RECETTE | | Auteur &gt; VOUS</v>
      </c>
      <c r="D57" s="33">
        <f>D54</f>
        <v>18</v>
      </c>
      <c r="E57" s="32" t="str">
        <f>E54</f>
        <v>desserts</v>
      </c>
      <c r="F57" s="34" t="str">
        <f>F54</f>
        <v>Recette mère ► Saisir le nom de la recette principale</v>
      </c>
      <c r="G57" s="87" t="s">
        <v>91</v>
      </c>
      <c r="H57" s="88" t="s">
        <v>92</v>
      </c>
      <c r="I57" s="89" t="s">
        <v>93</v>
      </c>
      <c r="J57" s="5455"/>
      <c r="K57" s="5465"/>
      <c r="L57" s="5467"/>
      <c r="M57" s="90" t="s">
        <v>94</v>
      </c>
      <c r="N57" s="5445"/>
      <c r="O57" s="5447"/>
      <c r="P57" s="5449"/>
      <c r="R57" s="27" t="s">
        <v>11</v>
      </c>
      <c r="S57" s="32" t="str">
        <f>S54</f>
        <v>N NAME OF YOUR RECIPE | |  Author &gt; YOU</v>
      </c>
      <c r="T57" s="33">
        <f>T54</f>
        <v>18</v>
      </c>
      <c r="U57" s="32" t="str">
        <f>U54</f>
        <v>desserts</v>
      </c>
      <c r="V57" s="34" t="str">
        <f>V54</f>
        <v>Master recipe ► Enter the main recipe name</v>
      </c>
      <c r="W57" s="87" t="s">
        <v>231</v>
      </c>
      <c r="X57" s="88" t="s">
        <v>232</v>
      </c>
      <c r="Y57" s="89" t="s">
        <v>891</v>
      </c>
      <c r="Z57" s="5455"/>
      <c r="AA57" s="5465"/>
      <c r="AB57" s="5467"/>
      <c r="AC57" s="90" t="s">
        <v>867</v>
      </c>
      <c r="AD57" s="5445"/>
      <c r="AE57" s="5447"/>
      <c r="AF57" s="5449"/>
      <c r="AH57" s="27" t="s">
        <v>11</v>
      </c>
      <c r="AI57" s="32" t="str">
        <f>AI54</f>
        <v>N NOMBRE DE LA RECETA | | Autor &gt; USTED</v>
      </c>
      <c r="AJ57" s="33">
        <f>AJ54</f>
        <v>18</v>
      </c>
      <c r="AK57" s="32" t="str">
        <f>AK54</f>
        <v>postres</v>
      </c>
      <c r="AL57" s="34" t="str">
        <f>AL54</f>
        <v>Receta madre ► Introduzca el nombre de la receta principal</v>
      </c>
      <c r="AM57" s="87" t="s">
        <v>234</v>
      </c>
      <c r="AN57" s="88" t="s">
        <v>235</v>
      </c>
      <c r="AO57" s="89" t="s">
        <v>93</v>
      </c>
      <c r="AP57" s="5455"/>
      <c r="AQ57" s="5465"/>
      <c r="AR57" s="5467"/>
      <c r="AS57" s="90" t="s">
        <v>869</v>
      </c>
      <c r="AT57" s="5445"/>
      <c r="AU57" s="5447"/>
      <c r="AV57" s="5449"/>
      <c r="AX57" s="226"/>
      <c r="AY57" s="178" t="s">
        <v>217</v>
      </c>
      <c r="AZ57" s="48"/>
      <c r="BA57" s="48"/>
      <c r="BB57" s="48"/>
      <c r="BC57" s="48"/>
      <c r="BD57" s="49"/>
      <c r="BF57" s="226"/>
      <c r="BG57" s="178" t="s">
        <v>218</v>
      </c>
      <c r="BH57" s="48"/>
      <c r="BI57" s="48"/>
      <c r="BJ57" s="48"/>
      <c r="BK57" s="48"/>
      <c r="BL57" s="49"/>
      <c r="BN57" s="226"/>
      <c r="BO57" s="178" t="s">
        <v>219</v>
      </c>
      <c r="BP57" s="48"/>
      <c r="BQ57" s="48"/>
      <c r="BR57" s="48"/>
      <c r="BS57" s="48"/>
      <c r="BT57" s="49"/>
      <c r="BV57" s="3">
        <v>1</v>
      </c>
    </row>
    <row r="58" spans="2:74" ht="21" customHeight="1">
      <c r="B58" s="27" t="s">
        <v>11</v>
      </c>
      <c r="C58" s="32" t="str">
        <f>C54</f>
        <v>N NOM DE VOTRE RECETTE | | Auteur &gt; VOUS</v>
      </c>
      <c r="D58" s="33">
        <f>D54</f>
        <v>18</v>
      </c>
      <c r="E58" s="32" t="str">
        <f>E54</f>
        <v>desserts</v>
      </c>
      <c r="F58" s="34" t="str">
        <f>F54</f>
        <v>Recette mère ► Saisir le nom de la recette principale</v>
      </c>
      <c r="G58" s="92"/>
      <c r="H58" s="93"/>
      <c r="I58" s="94" t="str">
        <f t="shared" ref="I58:I67" si="17">IF(OR(ISTEXT(G58), G58&lt;=0, J58&lt;=0), "", "de")</f>
        <v/>
      </c>
      <c r="J58" s="95"/>
      <c r="K58" s="126"/>
      <c r="L58" s="127">
        <v>1</v>
      </c>
      <c r="M58" s="919"/>
      <c r="N58" s="100">
        <f>IF(OR(ISBLANK(G52),N52=0),0,G58*L53)</f>
        <v>0</v>
      </c>
      <c r="O58" s="101" cm="1">
        <f t="array" ref="O58">IFERROR(_xlfn.LET(_xlpm.k,UPPER(TRIM(K58)),_xlpm.r,_xlfn.XLOOKUP(_xlpm.k,UPPER(TRIM(G69:P69)),G70:P70,_xlfn.XLOOKUP(_xlpm.k,UPPER(TRIM(G71:P71)),G72:P72)),_xlpm.r*J58*L58*L53*IF(ISBLANK(G58),1,G58)),0)</f>
        <v>0</v>
      </c>
      <c r="P58" s="1476" t="str">
        <f>_xlfn.LET(_xlpm.unite,SUBSTITUTE(TRIM(K58)," (s)",""),_xlpm.val,O58,_xlpm.estVol,COUNTIF(J69:P69,_xlpm.unite)+COUNTIF(J71:P71,_xlpm.unite)&gt;0,_xlpm.estPoids,COUNTIF(G69:I69,_xlpm.unite)+COUNTIF(G71:I71,_xlpm.unite)&gt;0,IF(_xlpm.estVol,IF(ROUND(_xlpm.val,3)&gt;=1,ROUND(_xlpm.val,3)&amp;" L",MAX(1,ROUND(_xlpm.val*100,0))&amp;" cl"),IF(_xlpm.estPoids,IF(ROUND(_xlpm.val,3)&gt;=1,ROUND(_xlpm.val,3)&amp;" Kg",MAX(1,ROUND(_xlpm.val*1000,0))&amp;" g"),"")))</f>
        <v/>
      </c>
      <c r="R58" s="27" t="s">
        <v>11</v>
      </c>
      <c r="S58" s="32" t="str">
        <f>S54</f>
        <v>N NAME OF YOUR RECIPE | |  Author &gt; YOU</v>
      </c>
      <c r="T58" s="33">
        <f>T54</f>
        <v>18</v>
      </c>
      <c r="U58" s="32" t="str">
        <f>U54</f>
        <v>desserts</v>
      </c>
      <c r="V58" s="34" t="str">
        <f>V54</f>
        <v>Master recipe ► Enter the main recipe name</v>
      </c>
      <c r="W58" s="92"/>
      <c r="X58" s="93"/>
      <c r="Y58" s="94" t="str">
        <f t="shared" ref="Y58:Y67" si="18">IF(OR(ISTEXT(W58), W58&lt;=0, Z58&lt;=0), "", "of")</f>
        <v/>
      </c>
      <c r="Z58" s="95"/>
      <c r="AA58" s="126"/>
      <c r="AB58" s="127">
        <v>1</v>
      </c>
      <c r="AC58" s="919"/>
      <c r="AD58" s="100">
        <f>IF(OR(ISBLANK(W52),AD52=0),0,W58*AB53)</f>
        <v>0</v>
      </c>
      <c r="AE58" s="101" cm="1">
        <f t="array" ref="AE58">IFERROR(_xlfn.LET(_xlpm.k,UPPER(TRIM(AA58)),_xlpm.r,_xlfn.XLOOKUP(_xlpm.k,UPPER(TRIM(W69:AF69)),W70:AF70,_xlfn.XLOOKUP(_xlpm.k,UPPER(TRIM(W71:AF71)),W72:AF72)),_xlpm.r*Z58*AB58*AB53*IF(ISBLANK(W58),1,W58)),0)</f>
        <v>0</v>
      </c>
      <c r="AF58" s="1476" t="str">
        <f>_xlfn.LET(_xlpm.unite,SUBSTITUTE(TRIM(AA58)," (s)",""),_xlpm.val,AE58,_xlpm.estVol,COUNTIF(Z69:AF69,_xlpm.unite)+COUNTIF(Z71:AF71,_xlpm.unite)&gt;0,_xlpm.estPoids,COUNTIF(W69:Y69,_xlpm.unite)+COUNTIF(W71:Y71,_xlpm.unite)&gt;0,IF(_xlpm.estVol,IF(ROUND(_xlpm.val,3)&gt;=1,ROUND(_xlpm.val,3)&amp;" L",MAX(1,ROUND(_xlpm.val*100,0))&amp;" cl"),IF(_xlpm.estPoids,IF(ROUND(_xlpm.val,3)&gt;=1,ROUND(_xlpm.val,3)&amp;" Kg",MAX(1,ROUND(_xlpm.val*1000,0))&amp;" g"),"")))</f>
        <v/>
      </c>
      <c r="AH58" s="27" t="s">
        <v>11</v>
      </c>
      <c r="AI58" s="32" t="str">
        <f>AI54</f>
        <v>N NOMBRE DE LA RECETA | | Autor &gt; USTED</v>
      </c>
      <c r="AJ58" s="33">
        <f>AJ54</f>
        <v>18</v>
      </c>
      <c r="AK58" s="32" t="str">
        <f>AK54</f>
        <v>postres</v>
      </c>
      <c r="AL58" s="34" t="str">
        <f>AL54</f>
        <v>Receta madre ► Introduzca el nombre de la receta principal</v>
      </c>
      <c r="AM58" s="92"/>
      <c r="AN58" s="93"/>
      <c r="AO58" s="94" t="str">
        <f t="shared" ref="AO58:AO67" si="19">IF(OR(ISTEXT(AM58), AM58&lt;=0, AP58&lt;=0), "", "de")</f>
        <v/>
      </c>
      <c r="AP58" s="95"/>
      <c r="AQ58" s="126"/>
      <c r="AR58" s="127">
        <v>1</v>
      </c>
      <c r="AS58" s="919"/>
      <c r="AT58" s="100">
        <f>IF(OR(ISBLANK(AM52),AT52=0),0,AM58*AR53)</f>
        <v>0</v>
      </c>
      <c r="AU58" s="101" cm="1">
        <f t="array" ref="AU58">IFERROR(_xlfn.LET(_xlpm.k,UPPER(TRIM(AQ58)),_xlpm.r,_xlfn.XLOOKUP(_xlpm.k,UPPER(TRIM(AM69:AV69)),AM70:AV70,_xlfn.XLOOKUP(_xlpm.k,UPPER(TRIM(AM71:AV71)),AM72:AV72)),_xlpm.r*AP58*AR58*AR53*IF(ISBLANK(AM58),1,AM58)),0)</f>
        <v>0</v>
      </c>
      <c r="AV58" s="1476" t="str">
        <f>_xlfn.LET(_xlpm.unite,SUBSTITUTE(TRIM(AQ58)," (s)",""),_xlpm.val,AU58,_xlpm.estVol,COUNTIF(AP69:AV69,_xlpm.unite)+COUNTIF(AP71:AV71,_xlpm.unite)&gt;0,_xlpm.estPoids,COUNTIF(AM69:AO69,_xlpm.unite)+COUNTIF(AM71:AO71,_xlpm.unite)&gt;0,IF(_xlpm.estVol,IF(ROUND(_xlpm.val,3)&gt;=1,ROUND(_xlpm.val,3)&amp;" L",MAX(1,ROUND(_xlpm.val*100,0))&amp;" cl"),IF(_xlpm.estPoids,IF(ROUND(_xlpm.val,3)&gt;=1,ROUND(_xlpm.val,3)&amp;" Kg",MAX(1,ROUND(_xlpm.val*1000,0))&amp;" g"),"")))</f>
        <v/>
      </c>
      <c r="AX58" s="226"/>
      <c r="AY58" s="178"/>
      <c r="AZ58" s="48"/>
      <c r="BA58" s="48"/>
      <c r="BB58" s="48"/>
      <c r="BC58" s="48"/>
      <c r="BD58" s="49"/>
      <c r="BF58" s="226"/>
      <c r="BG58" s="178"/>
      <c r="BH58" s="48"/>
      <c r="BI58" s="48"/>
      <c r="BJ58" s="48"/>
      <c r="BK58" s="48"/>
      <c r="BL58" s="49"/>
      <c r="BN58" s="226"/>
      <c r="BO58" s="178"/>
      <c r="BP58" s="48"/>
      <c r="BQ58" s="48"/>
      <c r="BR58" s="48"/>
      <c r="BS58" s="48"/>
      <c r="BT58" s="49"/>
      <c r="BV58" s="3">
        <v>1</v>
      </c>
    </row>
    <row r="59" spans="2:74" ht="21" customHeight="1">
      <c r="B59" s="104" t="str">
        <f t="shared" ref="B59:B67" si="20">IF(M59&lt;&gt;"","A","►")</f>
        <v>►</v>
      </c>
      <c r="C59" s="32" t="str">
        <f>C54</f>
        <v>N NOM DE VOTRE RECETTE | | Auteur &gt; VOUS</v>
      </c>
      <c r="D59" s="33">
        <f>D54</f>
        <v>18</v>
      </c>
      <c r="E59" s="32" t="str">
        <f>E54</f>
        <v>desserts</v>
      </c>
      <c r="F59" s="34" t="str">
        <f>F54</f>
        <v>Recette mère ► Saisir le nom de la recette principale</v>
      </c>
      <c r="G59" s="92"/>
      <c r="H59" s="93"/>
      <c r="I59" s="94" t="str">
        <f t="shared" si="17"/>
        <v/>
      </c>
      <c r="J59" s="95"/>
      <c r="K59" s="126"/>
      <c r="L59" s="127">
        <v>1</v>
      </c>
      <c r="M59" s="920"/>
      <c r="N59" s="1494">
        <f>IF(OR(ISBLANK(G52),N52=0),0,G59*L53)</f>
        <v>0</v>
      </c>
      <c r="O59" s="101" cm="1">
        <f t="array" ref="O59">IFERROR(_xlfn.LET(_xlpm.k,UPPER(TRIM(K59)),_xlpm.r,_xlfn.XLOOKUP(_xlpm.k,UPPER(TRIM(G69:P69)),G70:P70,_xlfn.XLOOKUP(_xlpm.k,UPPER(TRIM(G71:P71)),G72:P72)),_xlpm.r*J59*L59*L53*IF(ISBLANK(G59),1,G59)),0)</f>
        <v>0</v>
      </c>
      <c r="P59" s="1475" t="str">
        <f>_xlfn.LET(_xlpm.unite,SUBSTITUTE(TRIM(K59)," (s)",""),_xlpm.val,O59,_xlpm.estVol,COUNTIF(J69:P69,_xlpm.unite)+COUNTIF(J71:P71,_xlpm.unite)&gt;0,_xlpm.estPoids,COUNTIF(G69:I69,_xlpm.unite)+COUNTIF(G71:I71,_xlpm.unite)&gt;0,IF(_xlpm.estVol,IF(ROUND(_xlpm.val,3)&gt;=1,ROUND(_xlpm.val,3)&amp;" L",MAX(1,ROUND(_xlpm.val*100,0))&amp;" cl"),IF(_xlpm.estPoids,IF(ROUND(_xlpm.val,3)&gt;=1,ROUND(_xlpm.val,3)&amp;" Kg",MAX(1,ROUND(_xlpm.val*1000,0))&amp;" g"),"")))</f>
        <v/>
      </c>
      <c r="R59" s="104" t="str">
        <f t="shared" ref="R59:R67" si="21">IF(AC59&lt;&gt;"","A","►")</f>
        <v>►</v>
      </c>
      <c r="S59" s="32" t="str">
        <f>S54</f>
        <v>N NAME OF YOUR RECIPE | |  Author &gt; YOU</v>
      </c>
      <c r="T59" s="33">
        <f>T54</f>
        <v>18</v>
      </c>
      <c r="U59" s="32" t="str">
        <f>U54</f>
        <v>desserts</v>
      </c>
      <c r="V59" s="34" t="str">
        <f>V54</f>
        <v>Master recipe ► Enter the main recipe name</v>
      </c>
      <c r="W59" s="92"/>
      <c r="X59" s="93"/>
      <c r="Y59" s="94" t="str">
        <f t="shared" si="18"/>
        <v/>
      </c>
      <c r="Z59" s="95"/>
      <c r="AA59" s="126"/>
      <c r="AB59" s="127">
        <v>1</v>
      </c>
      <c r="AC59" s="920"/>
      <c r="AD59" s="1494">
        <f>IF(OR(ISBLANK(W52),AD52=0),0,W59*AB53)</f>
        <v>0</v>
      </c>
      <c r="AE59" s="101" cm="1">
        <f t="array" ref="AE59">IFERROR(_xlfn.LET(_xlpm.k,UPPER(TRIM(AA59)),_xlpm.r,_xlfn.XLOOKUP(_xlpm.k,UPPER(TRIM(W69:AF69)),W70:AF70,_xlfn.XLOOKUP(_xlpm.k,UPPER(TRIM(W71:AF71)),W72:AF72)),_xlpm.r*Z59*AB59*AB53*IF(ISBLANK(W59),1,W59)),0)</f>
        <v>0</v>
      </c>
      <c r="AF59" s="1475" t="str">
        <f>_xlfn.LET(_xlpm.unite,SUBSTITUTE(TRIM(AA59)," (s)",""),_xlpm.val,AE59,_xlpm.estVol,COUNTIF(Z69:AF69,_xlpm.unite)+COUNTIF(Z71:AF71,_xlpm.unite)&gt;0,_xlpm.estPoids,COUNTIF(W69:Y69,_xlpm.unite)+COUNTIF(W71:Y71,_xlpm.unite)&gt;0,IF(_xlpm.estVol,IF(ROUND(_xlpm.val,3)&gt;=1,ROUND(_xlpm.val,3)&amp;" L",MAX(1,ROUND(_xlpm.val*100,0))&amp;" cl"),IF(_xlpm.estPoids,IF(ROUND(_xlpm.val,3)&gt;=1,ROUND(_xlpm.val,3)&amp;" Kg",MAX(1,ROUND(_xlpm.val*1000,0))&amp;" g"),"")))</f>
        <v/>
      </c>
      <c r="AH59" s="104" t="str">
        <f t="shared" ref="AH59:AH67" si="22">IF(AS59&lt;&gt;"","A","►")</f>
        <v>►</v>
      </c>
      <c r="AI59" s="32" t="str">
        <f>AI54</f>
        <v>N NOMBRE DE LA RECETA | | Autor &gt; USTED</v>
      </c>
      <c r="AJ59" s="33">
        <f>AJ54</f>
        <v>18</v>
      </c>
      <c r="AK59" s="32" t="str">
        <f>AK54</f>
        <v>postres</v>
      </c>
      <c r="AL59" s="34" t="str">
        <f>AL54</f>
        <v>Receta madre ► Introduzca el nombre de la receta principal</v>
      </c>
      <c r="AM59" s="92"/>
      <c r="AN59" s="93"/>
      <c r="AO59" s="94" t="str">
        <f t="shared" si="19"/>
        <v/>
      </c>
      <c r="AP59" s="95"/>
      <c r="AQ59" s="126"/>
      <c r="AR59" s="127">
        <v>1</v>
      </c>
      <c r="AS59" s="920"/>
      <c r="AT59" s="1494">
        <f>IF(OR(ISBLANK(AM52),AT52=0),0,AM59*AR53)</f>
        <v>0</v>
      </c>
      <c r="AU59" s="101" cm="1">
        <f t="array" ref="AU59">IFERROR(_xlfn.LET(_xlpm.k,UPPER(TRIM(AQ59)),_xlpm.r,_xlfn.XLOOKUP(_xlpm.k,UPPER(TRIM(AM69:AV69)),AM70:AV70,_xlfn.XLOOKUP(_xlpm.k,UPPER(TRIM(AM71:AV71)),AM72:AV72)),_xlpm.r*AP59*AR59*AR53*IF(ISBLANK(AM59),1,AM59)),0)</f>
        <v>0</v>
      </c>
      <c r="AV59" s="1475" t="str">
        <f>_xlfn.LET(_xlpm.unite,SUBSTITUTE(TRIM(AQ59)," (s)",""),_xlpm.val,AU59,_xlpm.estVol,COUNTIF(AP69:AV69,_xlpm.unite)+COUNTIF(AP71:AV71,_xlpm.unite)&gt;0,_xlpm.estPoids,COUNTIF(AM69:AO69,_xlpm.unite)+COUNTIF(AM71:AO71,_xlpm.unite)&gt;0,IF(_xlpm.estVol,IF(ROUND(_xlpm.val,3)&gt;=1,ROUND(_xlpm.val,3)&amp;" L",MAX(1,ROUND(_xlpm.val*100,0))&amp;" cl"),IF(_xlpm.estPoids,IF(ROUND(_xlpm.val,3)&gt;=1,ROUND(_xlpm.val,3)&amp;" Kg",MAX(1,ROUND(_xlpm.val*1000,0))&amp;" g"),"")))</f>
        <v/>
      </c>
      <c r="AX59" s="238"/>
      <c r="AY59" s="239" t="s">
        <v>223</v>
      </c>
      <c r="AZ59" s="48"/>
      <c r="BA59" s="48"/>
      <c r="BB59" s="48"/>
      <c r="BC59" s="48"/>
      <c r="BD59" s="49"/>
      <c r="BF59" s="238"/>
      <c r="BG59" s="239" t="s">
        <v>224</v>
      </c>
      <c r="BH59" s="48"/>
      <c r="BI59" s="48"/>
      <c r="BJ59" s="48"/>
      <c r="BK59" s="48"/>
      <c r="BL59" s="49"/>
      <c r="BN59" s="238"/>
      <c r="BO59" s="240" t="s">
        <v>225</v>
      </c>
      <c r="BP59" s="48"/>
      <c r="BQ59" s="48"/>
      <c r="BR59" s="48"/>
      <c r="BS59" s="48"/>
      <c r="BT59" s="49"/>
      <c r="BV59" s="3">
        <v>1</v>
      </c>
    </row>
    <row r="60" spans="2:74" ht="21" customHeight="1">
      <c r="B60" s="104" t="str">
        <f t="shared" si="20"/>
        <v>►</v>
      </c>
      <c r="C60" s="32" t="str">
        <f>C54</f>
        <v>N NOM DE VOTRE RECETTE | | Auteur &gt; VOUS</v>
      </c>
      <c r="D60" s="33">
        <f>D54</f>
        <v>18</v>
      </c>
      <c r="E60" s="32" t="str">
        <f>E54</f>
        <v>desserts</v>
      </c>
      <c r="F60" s="34" t="str">
        <f>F54</f>
        <v>Recette mère ► Saisir le nom de la recette principale</v>
      </c>
      <c r="G60" s="92"/>
      <c r="H60" s="108"/>
      <c r="I60" s="94" t="str">
        <f t="shared" si="17"/>
        <v/>
      </c>
      <c r="J60" s="95"/>
      <c r="K60" s="126"/>
      <c r="L60" s="127">
        <v>1</v>
      </c>
      <c r="M60" s="920"/>
      <c r="N60" s="1494">
        <f>IF(OR(ISBLANK(G52),N52=0),0,G60*L53)</f>
        <v>0</v>
      </c>
      <c r="O60" s="101" cm="1">
        <f t="array" ref="O60">IFERROR(_xlfn.LET(_xlpm.k,UPPER(TRIM(K60)),_xlpm.r,_xlfn.XLOOKUP(_xlpm.k,UPPER(TRIM(G69:P69)),G70:P70,_xlfn.XLOOKUP(_xlpm.k,UPPER(TRIM(G71:P71)),G72:P72)),_xlpm.r*J60*L60*L53*IF(ISBLANK(G60),1,G60)),0)</f>
        <v>0</v>
      </c>
      <c r="P60" s="1476" t="str">
        <f>_xlfn.LET(_xlpm.unite,SUBSTITUTE(TRIM(K60)," (s)",""),_xlpm.val,O60,_xlpm.estVol,COUNTIF(J69:P69,_xlpm.unite)+COUNTIF(J71:P71,_xlpm.unite)&gt;0,_xlpm.estPoids,COUNTIF(G69:I69,_xlpm.unite)+COUNTIF(G71:I71,_xlpm.unite)&gt;0,IF(_xlpm.estVol,IF(ROUND(_xlpm.val,3)&gt;=1,ROUND(_xlpm.val,3)&amp;" L",MAX(1,ROUND(_xlpm.val*100,0))&amp;" cl"),IF(_xlpm.estPoids,IF(ROUND(_xlpm.val,3)&gt;=1,ROUND(_xlpm.val,3)&amp;" Kg",MAX(1,ROUND(_xlpm.val*1000,0))&amp;" g"),"")))</f>
        <v/>
      </c>
      <c r="R60" s="104" t="str">
        <f t="shared" si="21"/>
        <v>►</v>
      </c>
      <c r="S60" s="32" t="str">
        <f>S54</f>
        <v>N NAME OF YOUR RECIPE | |  Author &gt; YOU</v>
      </c>
      <c r="T60" s="33">
        <f>T54</f>
        <v>18</v>
      </c>
      <c r="U60" s="32" t="str">
        <f>U54</f>
        <v>desserts</v>
      </c>
      <c r="V60" s="34" t="str">
        <f>V54</f>
        <v>Master recipe ► Enter the main recipe name</v>
      </c>
      <c r="W60" s="92"/>
      <c r="X60" s="108"/>
      <c r="Y60" s="94" t="str">
        <f t="shared" si="18"/>
        <v/>
      </c>
      <c r="Z60" s="95"/>
      <c r="AA60" s="126"/>
      <c r="AB60" s="127">
        <v>1</v>
      </c>
      <c r="AC60" s="920"/>
      <c r="AD60" s="1494">
        <f>IF(OR(ISBLANK(W52),AD52=0),0,W60*AB53)</f>
        <v>0</v>
      </c>
      <c r="AE60" s="101" cm="1">
        <f t="array" ref="AE60">IFERROR(_xlfn.LET(_xlpm.k,UPPER(TRIM(AA60)),_xlpm.r,_xlfn.XLOOKUP(_xlpm.k,UPPER(TRIM(W69:AF69)),W70:AF70,_xlfn.XLOOKUP(_xlpm.k,UPPER(TRIM(W71:AF71)),W72:AF72)),_xlpm.r*Z60*AB60*AB53*IF(ISBLANK(W60),1,W60)),0)</f>
        <v>0</v>
      </c>
      <c r="AF60" s="1476" t="str">
        <f>_xlfn.LET(_xlpm.unite,SUBSTITUTE(TRIM(AA60)," (s)",""),_xlpm.val,AE60,_xlpm.estVol,COUNTIF(Z69:AF69,_xlpm.unite)+COUNTIF(Z71:AF71,_xlpm.unite)&gt;0,_xlpm.estPoids,COUNTIF(W69:Y69,_xlpm.unite)+COUNTIF(W71:Y71,_xlpm.unite)&gt;0,IF(_xlpm.estVol,IF(ROUND(_xlpm.val,3)&gt;=1,ROUND(_xlpm.val,3)&amp;" L",MAX(1,ROUND(_xlpm.val*100,0))&amp;" cl"),IF(_xlpm.estPoids,IF(ROUND(_xlpm.val,3)&gt;=1,ROUND(_xlpm.val,3)&amp;" Kg",MAX(1,ROUND(_xlpm.val*1000,0))&amp;" g"),"")))</f>
        <v/>
      </c>
      <c r="AH60" s="104" t="str">
        <f t="shared" si="22"/>
        <v>►</v>
      </c>
      <c r="AI60" s="32" t="str">
        <f>AI54</f>
        <v>N NOMBRE DE LA RECETA | | Autor &gt; USTED</v>
      </c>
      <c r="AJ60" s="33">
        <f>AJ54</f>
        <v>18</v>
      </c>
      <c r="AK60" s="32" t="str">
        <f>AK54</f>
        <v>postres</v>
      </c>
      <c r="AL60" s="34" t="str">
        <f>AL54</f>
        <v>Receta madre ► Introduzca el nombre de la receta principal</v>
      </c>
      <c r="AM60" s="92"/>
      <c r="AN60" s="108"/>
      <c r="AO60" s="94" t="str">
        <f t="shared" si="19"/>
        <v/>
      </c>
      <c r="AP60" s="95"/>
      <c r="AQ60" s="126"/>
      <c r="AR60" s="127">
        <v>1</v>
      </c>
      <c r="AS60" s="920"/>
      <c r="AT60" s="1494">
        <f>IF(OR(ISBLANK(AM52),AT52=0),0,AM60*AR53)</f>
        <v>0</v>
      </c>
      <c r="AU60" s="101" cm="1">
        <f t="array" ref="AU60">IFERROR(_xlfn.LET(_xlpm.k,UPPER(TRIM(AQ60)),_xlpm.r,_xlfn.XLOOKUP(_xlpm.k,UPPER(TRIM(AM69:AV69)),AM70:AV70,_xlfn.XLOOKUP(_xlpm.k,UPPER(TRIM(AM71:AV71)),AM72:AV72)),_xlpm.r*AP60*AR60*AR53*IF(ISBLANK(AM60),1,AM60)),0)</f>
        <v>0</v>
      </c>
      <c r="AV60" s="1476" t="str">
        <f>_xlfn.LET(_xlpm.unite,SUBSTITUTE(TRIM(AQ60)," (s)",""),_xlpm.val,AU60,_xlpm.estVol,COUNTIF(AP69:AV69,_xlpm.unite)+COUNTIF(AP71:AV71,_xlpm.unite)&gt;0,_xlpm.estPoids,COUNTIF(AM69:AO69,_xlpm.unite)+COUNTIF(AM71:AO71,_xlpm.unite)&gt;0,IF(_xlpm.estVol,IF(ROUND(_xlpm.val,3)&gt;=1,ROUND(_xlpm.val,3)&amp;" L",MAX(1,ROUND(_xlpm.val*100,0))&amp;" cl"),IF(_xlpm.estPoids,IF(ROUND(_xlpm.val,3)&gt;=1,ROUND(_xlpm.val,3)&amp;" Kg",MAX(1,ROUND(_xlpm.val*1000,0))&amp;" g"),"")))</f>
        <v/>
      </c>
      <c r="AX60" s="226"/>
      <c r="AY60" s="178"/>
      <c r="AZ60" s="48"/>
      <c r="BA60" s="48"/>
      <c r="BB60" s="48"/>
      <c r="BC60" s="48"/>
      <c r="BD60" s="49"/>
      <c r="BF60" s="226"/>
      <c r="BG60" s="178"/>
      <c r="BH60" s="48"/>
      <c r="BI60" s="48"/>
      <c r="BJ60" s="48"/>
      <c r="BK60" s="48"/>
      <c r="BL60" s="49"/>
      <c r="BN60" s="226"/>
      <c r="BO60" s="178"/>
      <c r="BP60" s="48"/>
      <c r="BQ60" s="48"/>
      <c r="BR60" s="48"/>
      <c r="BS60" s="48"/>
      <c r="BT60" s="49"/>
      <c r="BV60" s="3">
        <v>1</v>
      </c>
    </row>
    <row r="61" spans="2:74" ht="21" customHeight="1">
      <c r="B61" s="104" t="str">
        <f t="shared" si="20"/>
        <v>A</v>
      </c>
      <c r="C61" s="32" t="str">
        <f>C54</f>
        <v>N NOM DE VOTRE RECETTE | | Auteur &gt; VOUS</v>
      </c>
      <c r="D61" s="33">
        <f>D54</f>
        <v>18</v>
      </c>
      <c r="E61" s="32" t="str">
        <f>E54</f>
        <v>desserts</v>
      </c>
      <c r="F61" s="34" t="str">
        <f>F54</f>
        <v>Recette mère ► Saisir le nom de la recette principale</v>
      </c>
      <c r="G61" s="92"/>
      <c r="H61" s="108"/>
      <c r="I61" s="94" t="str">
        <f t="shared" si="17"/>
        <v/>
      </c>
      <c r="J61" s="95"/>
      <c r="K61" s="126"/>
      <c r="L61" s="127">
        <v>1</v>
      </c>
      <c r="M61" s="920" t="s">
        <v>13067</v>
      </c>
      <c r="N61" s="1494">
        <f>IF(OR(ISBLANK(G52),N52=0),0,G61*L53)</f>
        <v>0</v>
      </c>
      <c r="O61" s="101" cm="1">
        <f t="array" ref="O61">IFERROR(_xlfn.LET(_xlpm.k,UPPER(TRIM(K61)),_xlpm.r,_xlfn.XLOOKUP(_xlpm.k,UPPER(TRIM(G69:P69)),G70:P70,_xlfn.XLOOKUP(_xlpm.k,UPPER(TRIM(G71:P71)),G72:P72)),_xlpm.r*J61*L61*L53*IF(ISBLANK(G61),1,G61)),0)</f>
        <v>0</v>
      </c>
      <c r="P61" s="1475" t="str">
        <f>_xlfn.LET(_xlpm.unite,SUBSTITUTE(TRIM(K61)," (s)",""),_xlpm.val,O61,_xlpm.estVol,COUNTIF(J69:P69,_xlpm.unite)+COUNTIF(J71:P71,_xlpm.unite)&gt;0,_xlpm.estPoids,COUNTIF(G69:I69,_xlpm.unite)+COUNTIF(G71:I71,_xlpm.unite)&gt;0,IF(_xlpm.estVol,IF(ROUND(_xlpm.val,3)&gt;=1,ROUND(_xlpm.val,3)&amp;" L",MAX(1,ROUND(_xlpm.val*100,0))&amp;" cl"),IF(_xlpm.estPoids,IF(ROUND(_xlpm.val,3)&gt;=1,ROUND(_xlpm.val,3)&amp;" Kg",MAX(1,ROUND(_xlpm.val*1000,0))&amp;" g"),"")))</f>
        <v/>
      </c>
      <c r="R61" s="104" t="str">
        <f t="shared" si="21"/>
        <v>A</v>
      </c>
      <c r="S61" s="32" t="str">
        <f>S54</f>
        <v>N NAME OF YOUR RECIPE | |  Author &gt; YOU</v>
      </c>
      <c r="T61" s="33">
        <f>T54</f>
        <v>18</v>
      </c>
      <c r="U61" s="32" t="str">
        <f>U54</f>
        <v>desserts</v>
      </c>
      <c r="V61" s="34" t="str">
        <f>V54</f>
        <v>Master recipe ► Enter the main recipe name</v>
      </c>
      <c r="W61" s="92"/>
      <c r="X61" s="108"/>
      <c r="Y61" s="94" t="str">
        <f t="shared" si="18"/>
        <v/>
      </c>
      <c r="Z61" s="95"/>
      <c r="AA61" s="126"/>
      <c r="AB61" s="127">
        <v>1</v>
      </c>
      <c r="AC61" s="920" t="s">
        <v>13068</v>
      </c>
      <c r="AD61" s="1494">
        <f>IF(OR(ISBLANK(W52),AD52=0),0,W61*AB53)</f>
        <v>0</v>
      </c>
      <c r="AE61" s="101" cm="1">
        <f t="array" ref="AE61">IFERROR(_xlfn.LET(_xlpm.k,UPPER(TRIM(AA61)),_xlpm.r,_xlfn.XLOOKUP(_xlpm.k,UPPER(TRIM(W69:AF69)),W70:AF70,_xlfn.XLOOKUP(_xlpm.k,UPPER(TRIM(W71:AF71)),W72:AF72)),_xlpm.r*Z61*AB61*AB53*IF(ISBLANK(W61),1,W61)),0)</f>
        <v>0</v>
      </c>
      <c r="AF61" s="1475" t="str">
        <f>_xlfn.LET(_xlpm.unite,SUBSTITUTE(TRIM(AA61)," (s)",""),_xlpm.val,AE61,_xlpm.estVol,COUNTIF(Z69:AF69,_xlpm.unite)+COUNTIF(Z71:AF71,_xlpm.unite)&gt;0,_xlpm.estPoids,COUNTIF(W69:Y69,_xlpm.unite)+COUNTIF(W71:Y71,_xlpm.unite)&gt;0,IF(_xlpm.estVol,IF(ROUND(_xlpm.val,3)&gt;=1,ROUND(_xlpm.val,3)&amp;" L",MAX(1,ROUND(_xlpm.val*100,0))&amp;" cl"),IF(_xlpm.estPoids,IF(ROUND(_xlpm.val,3)&gt;=1,ROUND(_xlpm.val,3)&amp;" Kg",MAX(1,ROUND(_xlpm.val*1000,0))&amp;" g"),"")))</f>
        <v/>
      </c>
      <c r="AH61" s="104" t="str">
        <f t="shared" si="22"/>
        <v>A</v>
      </c>
      <c r="AI61" s="32" t="str">
        <f>AI54</f>
        <v>N NOMBRE DE LA RECETA | | Autor &gt; USTED</v>
      </c>
      <c r="AJ61" s="33">
        <f>AJ54</f>
        <v>18</v>
      </c>
      <c r="AK61" s="32" t="str">
        <f>AK54</f>
        <v>postres</v>
      </c>
      <c r="AL61" s="34" t="str">
        <f>AL54</f>
        <v>Receta madre ► Introduzca el nombre de la receta principal</v>
      </c>
      <c r="AM61" s="92"/>
      <c r="AN61" s="108"/>
      <c r="AO61" s="94" t="str">
        <f t="shared" si="19"/>
        <v/>
      </c>
      <c r="AP61" s="95"/>
      <c r="AQ61" s="126"/>
      <c r="AR61" s="127">
        <v>1</v>
      </c>
      <c r="AS61" s="920" t="s">
        <v>13069</v>
      </c>
      <c r="AT61" s="1494">
        <f>IF(OR(ISBLANK(AM52),AT52=0),0,AM61*AR53)</f>
        <v>0</v>
      </c>
      <c r="AU61" s="101" cm="1">
        <f t="array" ref="AU61">IFERROR(_xlfn.LET(_xlpm.k,UPPER(TRIM(AQ61)),_xlpm.r,_xlfn.XLOOKUP(_xlpm.k,UPPER(TRIM(AM69:AV69)),AM70:AV70,_xlfn.XLOOKUP(_xlpm.k,UPPER(TRIM(AM71:AV71)),AM72:AV72)),_xlpm.r*AP61*AR61*AR53*IF(ISBLANK(AM61),1,AM61)),0)</f>
        <v>0</v>
      </c>
      <c r="AV61" s="1475" t="str">
        <f>_xlfn.LET(_xlpm.unite,SUBSTITUTE(TRIM(AQ61)," (s)",""),_xlpm.val,AU61,_xlpm.estVol,COUNTIF(AP69:AV69,_xlpm.unite)+COUNTIF(AP71:AV71,_xlpm.unite)&gt;0,_xlpm.estPoids,COUNTIF(AM69:AO69,_xlpm.unite)+COUNTIF(AM71:AO71,_xlpm.unite)&gt;0,IF(_xlpm.estVol,IF(ROUND(_xlpm.val,3)&gt;=1,ROUND(_xlpm.val,3)&amp;" L",MAX(1,ROUND(_xlpm.val*100,0))&amp;" cl"),IF(_xlpm.estPoids,IF(ROUND(_xlpm.val,3)&gt;=1,ROUND(_xlpm.val,3)&amp;" Kg",MAX(1,ROUND(_xlpm.val*1000,0))&amp;" g"),"")))</f>
        <v/>
      </c>
      <c r="AX61" s="242" t="s">
        <v>77</v>
      </c>
      <c r="AY61" s="243" t="s">
        <v>78</v>
      </c>
      <c r="AZ61" s="244"/>
      <c r="BA61" s="5700" t="s">
        <v>79</v>
      </c>
      <c r="BB61" s="5701" t="s">
        <v>80</v>
      </c>
      <c r="BC61" s="5702" t="s">
        <v>81</v>
      </c>
      <c r="BD61" s="245" t="s">
        <v>82</v>
      </c>
      <c r="BF61" s="242" t="s">
        <v>77</v>
      </c>
      <c r="BG61" s="243" t="s">
        <v>78</v>
      </c>
      <c r="BH61" s="244"/>
      <c r="BI61" s="5700" t="s">
        <v>228</v>
      </c>
      <c r="BJ61" s="5701" t="s">
        <v>80</v>
      </c>
      <c r="BK61" s="5702" t="s">
        <v>81</v>
      </c>
      <c r="BL61" s="245" t="s">
        <v>82</v>
      </c>
      <c r="BN61" s="242" t="s">
        <v>77</v>
      </c>
      <c r="BO61" s="243" t="s">
        <v>78</v>
      </c>
      <c r="BP61" s="244"/>
      <c r="BQ61" s="5701" t="s">
        <v>229</v>
      </c>
      <c r="BR61" s="5701" t="s">
        <v>80</v>
      </c>
      <c r="BS61" s="5702" t="s">
        <v>81</v>
      </c>
      <c r="BT61" s="245" t="s">
        <v>82</v>
      </c>
      <c r="BV61" s="3">
        <v>1</v>
      </c>
    </row>
    <row r="62" spans="2:74" ht="21" customHeight="1">
      <c r="B62" s="104" t="str">
        <f t="shared" si="20"/>
        <v>►</v>
      </c>
      <c r="C62" s="32" t="str">
        <f>C54</f>
        <v>N NOM DE VOTRE RECETTE | | Auteur &gt; VOUS</v>
      </c>
      <c r="D62" s="33">
        <f>D54</f>
        <v>18</v>
      </c>
      <c r="E62" s="32" t="str">
        <f>E54</f>
        <v>desserts</v>
      </c>
      <c r="F62" s="34" t="str">
        <f>F54</f>
        <v>Recette mère ► Saisir le nom de la recette principale</v>
      </c>
      <c r="G62" s="92"/>
      <c r="H62" s="108"/>
      <c r="I62" s="94" t="str">
        <f t="shared" si="17"/>
        <v/>
      </c>
      <c r="J62" s="95"/>
      <c r="K62" s="126"/>
      <c r="L62" s="127">
        <v>1</v>
      </c>
      <c r="M62" s="920"/>
      <c r="N62" s="1494">
        <f>IF(OR(ISBLANK(G52),N52=0),0,G62*L53)</f>
        <v>0</v>
      </c>
      <c r="O62" s="101" cm="1">
        <f t="array" ref="O62">IFERROR(_xlfn.LET(_xlpm.k,UPPER(TRIM(K62)),_xlpm.r,_xlfn.XLOOKUP(_xlpm.k,UPPER(TRIM(G69:P69)),G70:P70,_xlfn.XLOOKUP(_xlpm.k,UPPER(TRIM(G71:P71)),G72:P72)),_xlpm.r*J62*L62*L53*IF(ISBLANK(G62),1,G62)),0)</f>
        <v>0</v>
      </c>
      <c r="P62" s="1476" t="str">
        <f>_xlfn.LET(_xlpm.unite,SUBSTITUTE(TRIM(K62)," (s)",""),_xlpm.val,O62,_xlpm.estVol,COUNTIF(J69:P69,_xlpm.unite)+COUNTIF(J71:P71,_xlpm.unite)&gt;0,_xlpm.estPoids,COUNTIF(G69:I69,_xlpm.unite)+COUNTIF(G71:I71,_xlpm.unite)&gt;0,IF(_xlpm.estVol,IF(ROUND(_xlpm.val,3)&gt;=1,ROUND(_xlpm.val,3)&amp;" L",MAX(1,ROUND(_xlpm.val*100,0))&amp;" cl"),IF(_xlpm.estPoids,IF(ROUND(_xlpm.val,3)&gt;=1,ROUND(_xlpm.val,3)&amp;" Kg",MAX(1,ROUND(_xlpm.val*1000,0))&amp;" g"),"")))</f>
        <v/>
      </c>
      <c r="R62" s="104" t="str">
        <f t="shared" si="21"/>
        <v>►</v>
      </c>
      <c r="S62" s="32" t="str">
        <f>S54</f>
        <v>N NAME OF YOUR RECIPE | |  Author &gt; YOU</v>
      </c>
      <c r="T62" s="33">
        <f>T54</f>
        <v>18</v>
      </c>
      <c r="U62" s="32" t="str">
        <f>U54</f>
        <v>desserts</v>
      </c>
      <c r="V62" s="34" t="str">
        <f>V54</f>
        <v>Master recipe ► Enter the main recipe name</v>
      </c>
      <c r="W62" s="92"/>
      <c r="X62" s="108"/>
      <c r="Y62" s="94" t="str">
        <f t="shared" si="18"/>
        <v/>
      </c>
      <c r="Z62" s="95"/>
      <c r="AA62" s="126"/>
      <c r="AB62" s="127">
        <v>1</v>
      </c>
      <c r="AC62" s="920"/>
      <c r="AD62" s="1494">
        <f>IF(OR(ISBLANK(W52),AD52=0),0,W62*AB53)</f>
        <v>0</v>
      </c>
      <c r="AE62" s="101" cm="1">
        <f t="array" ref="AE62">IFERROR(_xlfn.LET(_xlpm.k,UPPER(TRIM(AA62)),_xlpm.r,_xlfn.XLOOKUP(_xlpm.k,UPPER(TRIM(W69:AF69)),W70:AF70,_xlfn.XLOOKUP(_xlpm.k,UPPER(TRIM(W71:AF71)),W72:AF72)),_xlpm.r*Z62*AB62*AB53*IF(ISBLANK(W62),1,W62)),0)</f>
        <v>0</v>
      </c>
      <c r="AF62" s="1476" t="str">
        <f>_xlfn.LET(_xlpm.unite,SUBSTITUTE(TRIM(AA62)," (s)",""),_xlpm.val,AE62,_xlpm.estVol,COUNTIF(Z69:AF69,_xlpm.unite)+COUNTIF(Z71:AF71,_xlpm.unite)&gt;0,_xlpm.estPoids,COUNTIF(W69:Y69,_xlpm.unite)+COUNTIF(W71:Y71,_xlpm.unite)&gt;0,IF(_xlpm.estVol,IF(ROUND(_xlpm.val,3)&gt;=1,ROUND(_xlpm.val,3)&amp;" L",MAX(1,ROUND(_xlpm.val*100,0))&amp;" cl"),IF(_xlpm.estPoids,IF(ROUND(_xlpm.val,3)&gt;=1,ROUND(_xlpm.val,3)&amp;" Kg",MAX(1,ROUND(_xlpm.val*1000,0))&amp;" g"),"")))</f>
        <v/>
      </c>
      <c r="AH62" s="104" t="str">
        <f t="shared" si="22"/>
        <v>►</v>
      </c>
      <c r="AI62" s="32" t="str">
        <f>AI54</f>
        <v>N NOMBRE DE LA RECETA | | Autor &gt; USTED</v>
      </c>
      <c r="AJ62" s="33">
        <f>AJ54</f>
        <v>18</v>
      </c>
      <c r="AK62" s="32" t="str">
        <f>AK54</f>
        <v>postres</v>
      </c>
      <c r="AL62" s="34" t="str">
        <f>AL54</f>
        <v>Receta madre ► Introduzca el nombre de la receta principal</v>
      </c>
      <c r="AM62" s="92"/>
      <c r="AN62" s="108"/>
      <c r="AO62" s="94" t="str">
        <f t="shared" si="19"/>
        <v/>
      </c>
      <c r="AP62" s="95"/>
      <c r="AQ62" s="126"/>
      <c r="AR62" s="127">
        <v>1</v>
      </c>
      <c r="AS62" s="920"/>
      <c r="AT62" s="1494">
        <f>IF(OR(ISBLANK(AM52),AT52=0),0,AM62*AR53)</f>
        <v>0</v>
      </c>
      <c r="AU62" s="101" cm="1">
        <f t="array" ref="AU62">IFERROR(_xlfn.LET(_xlpm.k,UPPER(TRIM(AQ62)),_xlpm.r,_xlfn.XLOOKUP(_xlpm.k,UPPER(TRIM(AM69:AV69)),AM70:AV70,_xlfn.XLOOKUP(_xlpm.k,UPPER(TRIM(AM71:AV71)),AM72:AV72)),_xlpm.r*AP62*AR62*AR53*IF(ISBLANK(AM62),1,AM62)),0)</f>
        <v>0</v>
      </c>
      <c r="AV62" s="1476" t="str">
        <f>_xlfn.LET(_xlpm.unite,SUBSTITUTE(TRIM(AQ62)," (s)",""),_xlpm.val,AU62,_xlpm.estVol,COUNTIF(AP69:AV69,_xlpm.unite)+COUNTIF(AP71:AV71,_xlpm.unite)&gt;0,_xlpm.estPoids,COUNTIF(AM69:AO69,_xlpm.unite)+COUNTIF(AM71:AO71,_xlpm.unite)&gt;0,IF(_xlpm.estVol,IF(ROUND(_xlpm.val,3)&gt;=1,ROUND(_xlpm.val,3)&amp;" L",MAX(1,ROUND(_xlpm.val*100,0))&amp;" cl"),IF(_xlpm.estPoids,IF(ROUND(_xlpm.val,3)&gt;=1,ROUND(_xlpm.val,3)&amp;" Kg",MAX(1,ROUND(_xlpm.val*1000,0))&amp;" g"),"")))</f>
        <v/>
      </c>
      <c r="AX62" s="246" t="s">
        <v>91</v>
      </c>
      <c r="AY62" s="88" t="s">
        <v>92</v>
      </c>
      <c r="AZ62" s="89" t="s">
        <v>93</v>
      </c>
      <c r="BA62" s="5455"/>
      <c r="BB62" s="5465"/>
      <c r="BC62" s="5467"/>
      <c r="BD62" s="247" t="s">
        <v>94</v>
      </c>
      <c r="BF62" s="246" t="s">
        <v>231</v>
      </c>
      <c r="BG62" s="88" t="s">
        <v>232</v>
      </c>
      <c r="BH62" s="89" t="s">
        <v>93</v>
      </c>
      <c r="BI62" s="5455"/>
      <c r="BJ62" s="5465"/>
      <c r="BK62" s="5467"/>
      <c r="BL62" s="247" t="s">
        <v>233</v>
      </c>
      <c r="BN62" s="248" t="s">
        <v>234</v>
      </c>
      <c r="BO62" s="249" t="s">
        <v>235</v>
      </c>
      <c r="BP62" s="89" t="s">
        <v>93</v>
      </c>
      <c r="BQ62" s="5465"/>
      <c r="BR62" s="5465"/>
      <c r="BS62" s="5467"/>
      <c r="BT62" s="247" t="s">
        <v>94</v>
      </c>
      <c r="BV62" s="3">
        <v>1</v>
      </c>
    </row>
    <row r="63" spans="2:74" ht="21" customHeight="1">
      <c r="B63" s="104" t="str">
        <f t="shared" si="20"/>
        <v>►</v>
      </c>
      <c r="C63" s="32" t="str">
        <f>C54</f>
        <v>N NOM DE VOTRE RECETTE | | Auteur &gt; VOUS</v>
      </c>
      <c r="D63" s="33">
        <f>D54</f>
        <v>18</v>
      </c>
      <c r="E63" s="32" t="str">
        <f>E54</f>
        <v>desserts</v>
      </c>
      <c r="F63" s="34" t="str">
        <f>F54</f>
        <v>Recette mère ► Saisir le nom de la recette principale</v>
      </c>
      <c r="G63" s="92"/>
      <c r="H63" s="108"/>
      <c r="I63" s="94" t="str">
        <f t="shared" si="17"/>
        <v/>
      </c>
      <c r="J63" s="95"/>
      <c r="K63" s="126"/>
      <c r="L63" s="127">
        <v>1</v>
      </c>
      <c r="M63" s="920"/>
      <c r="N63" s="1494">
        <f>IF(OR(ISBLANK(G52),N52=0),0,G63*L53)</f>
        <v>0</v>
      </c>
      <c r="O63" s="101" cm="1">
        <f t="array" ref="O63">IFERROR(_xlfn.LET(_xlpm.k,UPPER(TRIM(K63)),_xlpm.r,_xlfn.XLOOKUP(_xlpm.k,UPPER(TRIM(G69:P69)),G70:P70,_xlfn.XLOOKUP(_xlpm.k,UPPER(TRIM(G71:P71)),G72:P72)),_xlpm.r*J63*L63*L53*IF(ISBLANK(G63),1,G63)),0)</f>
        <v>0</v>
      </c>
      <c r="P63" s="1475" t="str">
        <f>_xlfn.LET(_xlpm.unite,SUBSTITUTE(TRIM(K63)," (s)",""),_xlpm.val,O63,_xlpm.estVol,COUNTIF(J69:P69,_xlpm.unite)+COUNTIF(J71:P71,_xlpm.unite)&gt;0,_xlpm.estPoids,COUNTIF(G69:I69,_xlpm.unite)+COUNTIF(G71:I71,_xlpm.unite)&gt;0,IF(_xlpm.estVol,IF(ROUND(_xlpm.val,3)&gt;=1,ROUND(_xlpm.val,3)&amp;" L",MAX(1,ROUND(_xlpm.val*100,0))&amp;" cl"),IF(_xlpm.estPoids,IF(ROUND(_xlpm.val,3)&gt;=1,ROUND(_xlpm.val,3)&amp;" Kg",MAX(1,ROUND(_xlpm.val*1000,0))&amp;" g"),"")))</f>
        <v/>
      </c>
      <c r="R63" s="104" t="str">
        <f t="shared" si="21"/>
        <v>►</v>
      </c>
      <c r="S63" s="32" t="str">
        <f>S54</f>
        <v>N NAME OF YOUR RECIPE | |  Author &gt; YOU</v>
      </c>
      <c r="T63" s="33">
        <f>T54</f>
        <v>18</v>
      </c>
      <c r="U63" s="32" t="str">
        <f>U54</f>
        <v>desserts</v>
      </c>
      <c r="V63" s="34" t="str">
        <f>V54</f>
        <v>Master recipe ► Enter the main recipe name</v>
      </c>
      <c r="W63" s="92"/>
      <c r="X63" s="108"/>
      <c r="Y63" s="94" t="str">
        <f t="shared" si="18"/>
        <v/>
      </c>
      <c r="Z63" s="95"/>
      <c r="AA63" s="126"/>
      <c r="AB63" s="127">
        <v>1</v>
      </c>
      <c r="AC63" s="920"/>
      <c r="AD63" s="1494">
        <f>IF(OR(ISBLANK(W52),AD52=0),0,W63*AB53)</f>
        <v>0</v>
      </c>
      <c r="AE63" s="101" cm="1">
        <f t="array" ref="AE63">IFERROR(_xlfn.LET(_xlpm.k,UPPER(TRIM(AA63)),_xlpm.r,_xlfn.XLOOKUP(_xlpm.k,UPPER(TRIM(W69:AF69)),W70:AF70,_xlfn.XLOOKUP(_xlpm.k,UPPER(TRIM(W71:AF71)),W72:AF72)),_xlpm.r*Z63*AB63*AB53*IF(ISBLANK(W63),1,W63)),0)</f>
        <v>0</v>
      </c>
      <c r="AF63" s="1475" t="str">
        <f>_xlfn.LET(_xlpm.unite,SUBSTITUTE(TRIM(AA63)," (s)",""),_xlpm.val,AE63,_xlpm.estVol,COUNTIF(Z69:AF69,_xlpm.unite)+COUNTIF(Z71:AF71,_xlpm.unite)&gt;0,_xlpm.estPoids,COUNTIF(W69:Y69,_xlpm.unite)+COUNTIF(W71:Y71,_xlpm.unite)&gt;0,IF(_xlpm.estVol,IF(ROUND(_xlpm.val,3)&gt;=1,ROUND(_xlpm.val,3)&amp;" L",MAX(1,ROUND(_xlpm.val*100,0))&amp;" cl"),IF(_xlpm.estPoids,IF(ROUND(_xlpm.val,3)&gt;=1,ROUND(_xlpm.val,3)&amp;" Kg",MAX(1,ROUND(_xlpm.val*1000,0))&amp;" g"),"")))</f>
        <v/>
      </c>
      <c r="AH63" s="104" t="str">
        <f t="shared" si="22"/>
        <v>►</v>
      </c>
      <c r="AI63" s="32" t="str">
        <f>AI54</f>
        <v>N NOMBRE DE LA RECETA | | Autor &gt; USTED</v>
      </c>
      <c r="AJ63" s="33">
        <f>AJ54</f>
        <v>18</v>
      </c>
      <c r="AK63" s="32" t="str">
        <f>AK54</f>
        <v>postres</v>
      </c>
      <c r="AL63" s="34" t="str">
        <f>AL54</f>
        <v>Receta madre ► Introduzca el nombre de la receta principal</v>
      </c>
      <c r="AM63" s="92"/>
      <c r="AN63" s="108"/>
      <c r="AO63" s="94" t="str">
        <f t="shared" si="19"/>
        <v/>
      </c>
      <c r="AP63" s="95"/>
      <c r="AQ63" s="126"/>
      <c r="AR63" s="127">
        <v>1</v>
      </c>
      <c r="AS63" s="920"/>
      <c r="AT63" s="1494">
        <f>IF(OR(ISBLANK(AM52),AT52=0),0,AM63*AR53)</f>
        <v>0</v>
      </c>
      <c r="AU63" s="101" cm="1">
        <f t="array" ref="AU63">IFERROR(_xlfn.LET(_xlpm.k,UPPER(TRIM(AQ63)),_xlpm.r,_xlfn.XLOOKUP(_xlpm.k,UPPER(TRIM(AM69:AV69)),AM70:AV70,_xlfn.XLOOKUP(_xlpm.k,UPPER(TRIM(AM71:AV71)),AM72:AV72)),_xlpm.r*AP63*AR63*AR53*IF(ISBLANK(AM63),1,AM63)),0)</f>
        <v>0</v>
      </c>
      <c r="AV63" s="1475" t="str">
        <f>_xlfn.LET(_xlpm.unite,SUBSTITUTE(TRIM(AQ63)," (s)",""),_xlpm.val,AU63,_xlpm.estVol,COUNTIF(AP69:AV69,_xlpm.unite)+COUNTIF(AP71:AV71,_xlpm.unite)&gt;0,_xlpm.estPoids,COUNTIF(AM69:AO69,_xlpm.unite)+COUNTIF(AM71:AO71,_xlpm.unite)&gt;0,IF(_xlpm.estVol,IF(ROUND(_xlpm.val,3)&gt;=1,ROUND(_xlpm.val,3)&amp;" L",MAX(1,ROUND(_xlpm.val*100,0))&amp;" cl"),IF(_xlpm.estPoids,IF(ROUND(_xlpm.val,3)&gt;=1,ROUND(_xlpm.val,3)&amp;" Kg",MAX(1,ROUND(_xlpm.val*1000,0))&amp;" g"),"")))</f>
        <v/>
      </c>
      <c r="AX63" s="250">
        <v>2</v>
      </c>
      <c r="AY63" s="93"/>
      <c r="AZ63" s="94" t="s">
        <v>93</v>
      </c>
      <c r="BA63" s="95">
        <v>1</v>
      </c>
      <c r="BB63" s="96" t="s">
        <v>96</v>
      </c>
      <c r="BC63" s="97">
        <v>1</v>
      </c>
      <c r="BD63" s="251" t="s">
        <v>97</v>
      </c>
      <c r="BF63" s="250">
        <v>2</v>
      </c>
      <c r="BG63" s="93"/>
      <c r="BH63" s="94" t="s">
        <v>93</v>
      </c>
      <c r="BI63" s="95">
        <v>1</v>
      </c>
      <c r="BJ63" s="96" t="s">
        <v>96</v>
      </c>
      <c r="BK63" s="97">
        <v>1</v>
      </c>
      <c r="BL63" s="251" t="s">
        <v>237</v>
      </c>
      <c r="BN63" s="250">
        <v>2</v>
      </c>
      <c r="BO63" s="93"/>
      <c r="BP63" s="94" t="s">
        <v>93</v>
      </c>
      <c r="BQ63" s="95">
        <v>1</v>
      </c>
      <c r="BR63" s="96" t="s">
        <v>96</v>
      </c>
      <c r="BS63" s="97">
        <v>1</v>
      </c>
      <c r="BT63" s="251" t="s">
        <v>238</v>
      </c>
      <c r="BV63" s="3">
        <v>1</v>
      </c>
    </row>
    <row r="64" spans="2:74" ht="21" customHeight="1">
      <c r="B64" s="104" t="str">
        <f t="shared" si="20"/>
        <v>►</v>
      </c>
      <c r="C64" s="32" t="str">
        <f>C54</f>
        <v>N NOM DE VOTRE RECETTE | | Auteur &gt; VOUS</v>
      </c>
      <c r="D64" s="33">
        <f>D54</f>
        <v>18</v>
      </c>
      <c r="E64" s="32" t="str">
        <f>E54</f>
        <v>desserts</v>
      </c>
      <c r="F64" s="34" t="str">
        <f>F54</f>
        <v>Recette mère ► Saisir le nom de la recette principale</v>
      </c>
      <c r="G64" s="92"/>
      <c r="H64" s="108"/>
      <c r="I64" s="94" t="str">
        <f t="shared" si="17"/>
        <v/>
      </c>
      <c r="J64" s="95"/>
      <c r="K64" s="126"/>
      <c r="L64" s="127">
        <v>1</v>
      </c>
      <c r="M64" s="920"/>
      <c r="N64" s="1494">
        <f>IF(OR(ISBLANK(G52),N52=0),0,G64*L53)</f>
        <v>0</v>
      </c>
      <c r="O64" s="101" cm="1">
        <f t="array" ref="O64">IFERROR(_xlfn.LET(_xlpm.k,UPPER(TRIM(K64)),_xlpm.r,_xlfn.XLOOKUP(_xlpm.k,UPPER(TRIM(G69:P69)),G70:P70,_xlfn.XLOOKUP(_xlpm.k,UPPER(TRIM(G71:P71)),G72:P72)),_xlpm.r*J64*L64*L53*IF(ISBLANK(G64),1,G64)),0)</f>
        <v>0</v>
      </c>
      <c r="P64" s="1476" t="str">
        <f>_xlfn.LET(_xlpm.unite,SUBSTITUTE(TRIM(K64)," (s)",""),_xlpm.val,O64,_xlpm.estVol,COUNTIF(J69:P69,_xlpm.unite)+COUNTIF(J71:P71,_xlpm.unite)&gt;0,_xlpm.estPoids,COUNTIF(G69:I69,_xlpm.unite)+COUNTIF(G71:I71,_xlpm.unite)&gt;0,IF(_xlpm.estVol,IF(ROUND(_xlpm.val,3)&gt;=1,ROUND(_xlpm.val,3)&amp;" L",MAX(1,ROUND(_xlpm.val*100,0))&amp;" cl"),IF(_xlpm.estPoids,IF(ROUND(_xlpm.val,3)&gt;=1,ROUND(_xlpm.val,3)&amp;" Kg",MAX(1,ROUND(_xlpm.val*1000,0))&amp;" g"),"")))</f>
        <v/>
      </c>
      <c r="R64" s="104" t="str">
        <f t="shared" si="21"/>
        <v>►</v>
      </c>
      <c r="S64" s="32" t="str">
        <f>S54</f>
        <v>N NAME OF YOUR RECIPE | |  Author &gt; YOU</v>
      </c>
      <c r="T64" s="33">
        <f>T54</f>
        <v>18</v>
      </c>
      <c r="U64" s="32" t="str">
        <f>U54</f>
        <v>desserts</v>
      </c>
      <c r="V64" s="34" t="str">
        <f>V54</f>
        <v>Master recipe ► Enter the main recipe name</v>
      </c>
      <c r="W64" s="92"/>
      <c r="X64" s="108"/>
      <c r="Y64" s="94" t="str">
        <f t="shared" si="18"/>
        <v/>
      </c>
      <c r="Z64" s="95"/>
      <c r="AA64" s="126"/>
      <c r="AB64" s="127">
        <v>1</v>
      </c>
      <c r="AC64" s="920"/>
      <c r="AD64" s="1494">
        <f>IF(OR(ISBLANK(W52),AD52=0),0,W64*AB53)</f>
        <v>0</v>
      </c>
      <c r="AE64" s="101" cm="1">
        <f t="array" ref="AE64">IFERROR(_xlfn.LET(_xlpm.k,UPPER(TRIM(AA64)),_xlpm.r,_xlfn.XLOOKUP(_xlpm.k,UPPER(TRIM(W69:AF69)),W70:AF70,_xlfn.XLOOKUP(_xlpm.k,UPPER(TRIM(W71:AF71)),W72:AF72)),_xlpm.r*Z64*AB64*AB53*IF(ISBLANK(W64),1,W64)),0)</f>
        <v>0</v>
      </c>
      <c r="AF64" s="1476" t="str">
        <f>_xlfn.LET(_xlpm.unite,SUBSTITUTE(TRIM(AA64)," (s)",""),_xlpm.val,AE64,_xlpm.estVol,COUNTIF(Z69:AF69,_xlpm.unite)+COUNTIF(Z71:AF71,_xlpm.unite)&gt;0,_xlpm.estPoids,COUNTIF(W69:Y69,_xlpm.unite)+COUNTIF(W71:Y71,_xlpm.unite)&gt;0,IF(_xlpm.estVol,IF(ROUND(_xlpm.val,3)&gt;=1,ROUND(_xlpm.val,3)&amp;" L",MAX(1,ROUND(_xlpm.val*100,0))&amp;" cl"),IF(_xlpm.estPoids,IF(ROUND(_xlpm.val,3)&gt;=1,ROUND(_xlpm.val,3)&amp;" Kg",MAX(1,ROUND(_xlpm.val*1000,0))&amp;" g"),"")))</f>
        <v/>
      </c>
      <c r="AH64" s="104" t="str">
        <f t="shared" si="22"/>
        <v>►</v>
      </c>
      <c r="AI64" s="32" t="str">
        <f>AI54</f>
        <v>N NOMBRE DE LA RECETA | | Autor &gt; USTED</v>
      </c>
      <c r="AJ64" s="33">
        <f>AJ54</f>
        <v>18</v>
      </c>
      <c r="AK64" s="32" t="str">
        <f>AK54</f>
        <v>postres</v>
      </c>
      <c r="AL64" s="34" t="str">
        <f>AL54</f>
        <v>Receta madre ► Introduzca el nombre de la receta principal</v>
      </c>
      <c r="AM64" s="92"/>
      <c r="AN64" s="108"/>
      <c r="AO64" s="94" t="str">
        <f t="shared" si="19"/>
        <v/>
      </c>
      <c r="AP64" s="95"/>
      <c r="AQ64" s="126"/>
      <c r="AR64" s="127">
        <v>1</v>
      </c>
      <c r="AS64" s="920"/>
      <c r="AT64" s="1494">
        <f>IF(OR(ISBLANK(AM52),AT52=0),0,AM64*AR53)</f>
        <v>0</v>
      </c>
      <c r="AU64" s="101" cm="1">
        <f t="array" ref="AU64">IFERROR(_xlfn.LET(_xlpm.k,UPPER(TRIM(AQ64)),_xlpm.r,_xlfn.XLOOKUP(_xlpm.k,UPPER(TRIM(AM69:AV69)),AM70:AV70,_xlfn.XLOOKUP(_xlpm.k,UPPER(TRIM(AM71:AV71)),AM72:AV72)),_xlpm.r*AP64*AR64*AR53*IF(ISBLANK(AM64),1,AM64)),0)</f>
        <v>0</v>
      </c>
      <c r="AV64" s="1476" t="str">
        <f>_xlfn.LET(_xlpm.unite,SUBSTITUTE(TRIM(AQ64)," (s)",""),_xlpm.val,AU64,_xlpm.estVol,COUNTIF(AP69:AV69,_xlpm.unite)+COUNTIF(AP71:AV71,_xlpm.unite)&gt;0,_xlpm.estPoids,COUNTIF(AM69:AO69,_xlpm.unite)+COUNTIF(AM71:AO71,_xlpm.unite)&gt;0,IF(_xlpm.estVol,IF(ROUND(_xlpm.val,3)&gt;=1,ROUND(_xlpm.val,3)&amp;" L",MAX(1,ROUND(_xlpm.val*100,0))&amp;" cl"),IF(_xlpm.estPoids,IF(ROUND(_xlpm.val,3)&gt;=1,ROUND(_xlpm.val,3)&amp;" Kg",MAX(1,ROUND(_xlpm.val*1000,0))&amp;" g"),"")))</f>
        <v/>
      </c>
      <c r="AX64" s="250">
        <v>2</v>
      </c>
      <c r="AY64" s="93"/>
      <c r="AZ64" s="94" t="s">
        <v>93</v>
      </c>
      <c r="BA64" s="95">
        <v>10</v>
      </c>
      <c r="BB64" s="105" t="s">
        <v>99</v>
      </c>
      <c r="BC64" s="97">
        <v>1</v>
      </c>
      <c r="BD64" s="251" t="s">
        <v>100</v>
      </c>
      <c r="BF64" s="250">
        <v>2</v>
      </c>
      <c r="BG64" s="93"/>
      <c r="BH64" s="94" t="s">
        <v>93</v>
      </c>
      <c r="BI64" s="95">
        <v>10</v>
      </c>
      <c r="BJ64" s="105" t="s">
        <v>99</v>
      </c>
      <c r="BK64" s="97">
        <v>1</v>
      </c>
      <c r="BL64" s="251" t="s">
        <v>240</v>
      </c>
      <c r="BN64" s="250">
        <v>2</v>
      </c>
      <c r="BO64" s="93"/>
      <c r="BP64" s="94" t="s">
        <v>93</v>
      </c>
      <c r="BQ64" s="95">
        <v>10</v>
      </c>
      <c r="BR64" s="105" t="s">
        <v>99</v>
      </c>
      <c r="BS64" s="97">
        <v>1</v>
      </c>
      <c r="BT64" s="251" t="s">
        <v>241</v>
      </c>
      <c r="BV64" s="3">
        <v>1</v>
      </c>
    </row>
    <row r="65" spans="2:74" ht="21" customHeight="1">
      <c r="B65" s="104" t="str">
        <f t="shared" si="20"/>
        <v>►</v>
      </c>
      <c r="C65" s="32" t="str">
        <f>C54</f>
        <v>N NOM DE VOTRE RECETTE | | Auteur &gt; VOUS</v>
      </c>
      <c r="D65" s="33">
        <f>D54</f>
        <v>18</v>
      </c>
      <c r="E65" s="32" t="str">
        <f>E54</f>
        <v>desserts</v>
      </c>
      <c r="F65" s="34" t="str">
        <f>F54</f>
        <v>Recette mère ► Saisir le nom de la recette principale</v>
      </c>
      <c r="G65" s="92"/>
      <c r="H65" s="108"/>
      <c r="I65" s="94" t="str">
        <f t="shared" si="17"/>
        <v/>
      </c>
      <c r="J65" s="95"/>
      <c r="K65" s="126"/>
      <c r="L65" s="127">
        <v>1</v>
      </c>
      <c r="M65" s="920"/>
      <c r="N65" s="1494">
        <f>IF(OR(ISBLANK(G52),N52=0),0,G65*L53)</f>
        <v>0</v>
      </c>
      <c r="O65" s="101" cm="1">
        <f t="array" ref="O65">IFERROR(_xlfn.LET(_xlpm.k,UPPER(TRIM(K65)),_xlpm.r,_xlfn.XLOOKUP(_xlpm.k,UPPER(TRIM(G69:P69)),G70:P70,_xlfn.XLOOKUP(_xlpm.k,UPPER(TRIM(G71:P71)),G72:P72)),_xlpm.r*J65*L65*L53*IF(ISBLANK(G65),1,G65)),0)</f>
        <v>0</v>
      </c>
      <c r="P65" s="1475" t="str">
        <f>_xlfn.LET(_xlpm.unite,SUBSTITUTE(TRIM(K65)," (s)",""),_xlpm.val,O65,_xlpm.estVol,COUNTIF(J69:P69,_xlpm.unite)+COUNTIF(J71:P71,_xlpm.unite)&gt;0,_xlpm.estPoids,COUNTIF(G69:I69,_xlpm.unite)+COUNTIF(G71:I71,_xlpm.unite)&gt;0,IF(_xlpm.estVol,IF(ROUND(_xlpm.val,3)&gt;=1,ROUND(_xlpm.val,3)&amp;" L",MAX(1,ROUND(_xlpm.val*100,0))&amp;" cl"),IF(_xlpm.estPoids,IF(ROUND(_xlpm.val,3)&gt;=1,ROUND(_xlpm.val,3)&amp;" Kg",MAX(1,ROUND(_xlpm.val*1000,0))&amp;" g"),"")))</f>
        <v/>
      </c>
      <c r="R65" s="104" t="str">
        <f t="shared" si="21"/>
        <v>►</v>
      </c>
      <c r="S65" s="32" t="str">
        <f>S54</f>
        <v>N NAME OF YOUR RECIPE | |  Author &gt; YOU</v>
      </c>
      <c r="T65" s="33">
        <f>T54</f>
        <v>18</v>
      </c>
      <c r="U65" s="32" t="str">
        <f>U54</f>
        <v>desserts</v>
      </c>
      <c r="V65" s="34" t="str">
        <f>V54</f>
        <v>Master recipe ► Enter the main recipe name</v>
      </c>
      <c r="W65" s="92"/>
      <c r="X65" s="108"/>
      <c r="Y65" s="94" t="str">
        <f t="shared" si="18"/>
        <v/>
      </c>
      <c r="Z65" s="95"/>
      <c r="AA65" s="126"/>
      <c r="AB65" s="127">
        <v>1</v>
      </c>
      <c r="AC65" s="920"/>
      <c r="AD65" s="1494">
        <f>IF(OR(ISBLANK(W52),AD52=0),0,W65*AB53)</f>
        <v>0</v>
      </c>
      <c r="AE65" s="101" cm="1">
        <f t="array" ref="AE65">IFERROR(_xlfn.LET(_xlpm.k,UPPER(TRIM(AA65)),_xlpm.r,_xlfn.XLOOKUP(_xlpm.k,UPPER(TRIM(W69:AF69)),W70:AF70,_xlfn.XLOOKUP(_xlpm.k,UPPER(TRIM(W71:AF71)),W72:AF72)),_xlpm.r*Z65*AB65*AB53*IF(ISBLANK(W65),1,W65)),0)</f>
        <v>0</v>
      </c>
      <c r="AF65" s="1475" t="str">
        <f>_xlfn.LET(_xlpm.unite,SUBSTITUTE(TRIM(AA65)," (s)",""),_xlpm.val,AE65,_xlpm.estVol,COUNTIF(Z69:AF69,_xlpm.unite)+COUNTIF(Z71:AF71,_xlpm.unite)&gt;0,_xlpm.estPoids,COUNTIF(W69:Y69,_xlpm.unite)+COUNTIF(W71:Y71,_xlpm.unite)&gt;0,IF(_xlpm.estVol,IF(ROUND(_xlpm.val,3)&gt;=1,ROUND(_xlpm.val,3)&amp;" L",MAX(1,ROUND(_xlpm.val*100,0))&amp;" cl"),IF(_xlpm.estPoids,IF(ROUND(_xlpm.val,3)&gt;=1,ROUND(_xlpm.val,3)&amp;" Kg",MAX(1,ROUND(_xlpm.val*1000,0))&amp;" g"),"")))</f>
        <v/>
      </c>
      <c r="AH65" s="104" t="str">
        <f t="shared" si="22"/>
        <v>►</v>
      </c>
      <c r="AI65" s="32" t="str">
        <f>AI54</f>
        <v>N NOMBRE DE LA RECETA | | Autor &gt; USTED</v>
      </c>
      <c r="AJ65" s="33">
        <f>AJ54</f>
        <v>18</v>
      </c>
      <c r="AK65" s="32" t="str">
        <f>AK54</f>
        <v>postres</v>
      </c>
      <c r="AL65" s="34" t="str">
        <f>AL54</f>
        <v>Receta madre ► Introduzca el nombre de la receta principal</v>
      </c>
      <c r="AM65" s="92"/>
      <c r="AN65" s="108"/>
      <c r="AO65" s="94" t="str">
        <f t="shared" si="19"/>
        <v/>
      </c>
      <c r="AP65" s="95"/>
      <c r="AQ65" s="126"/>
      <c r="AR65" s="127">
        <v>1</v>
      </c>
      <c r="AS65" s="920"/>
      <c r="AT65" s="1494">
        <f>IF(OR(ISBLANK(AM52),AT52=0),0,AM65*AR53)</f>
        <v>0</v>
      </c>
      <c r="AU65" s="101" cm="1">
        <f t="array" ref="AU65">IFERROR(_xlfn.LET(_xlpm.k,UPPER(TRIM(AQ65)),_xlpm.r,_xlfn.XLOOKUP(_xlpm.k,UPPER(TRIM(AM69:AV69)),AM70:AV70,_xlfn.XLOOKUP(_xlpm.k,UPPER(TRIM(AM71:AV71)),AM72:AV72)),_xlpm.r*AP65*AR65*AR53*IF(ISBLANK(AM65),1,AM65)),0)</f>
        <v>0</v>
      </c>
      <c r="AV65" s="1475" t="str">
        <f>_xlfn.LET(_xlpm.unite,SUBSTITUTE(TRIM(AQ65)," (s)",""),_xlpm.val,AU65,_xlpm.estVol,COUNTIF(AP69:AV69,_xlpm.unite)+COUNTIF(AP71:AV71,_xlpm.unite)&gt;0,_xlpm.estPoids,COUNTIF(AM69:AO69,_xlpm.unite)+COUNTIF(AM71:AO71,_xlpm.unite)&gt;0,IF(_xlpm.estVol,IF(ROUND(_xlpm.val,3)&gt;=1,ROUND(_xlpm.val,3)&amp;" L",MAX(1,ROUND(_xlpm.val*100,0))&amp;" cl"),IF(_xlpm.estPoids,IF(ROUND(_xlpm.val,3)&gt;=1,ROUND(_xlpm.val,3)&amp;" Kg",MAX(1,ROUND(_xlpm.val*1000,0))&amp;" g"),"")))</f>
        <v/>
      </c>
      <c r="AX65" s="47"/>
      <c r="AY65" s="48"/>
      <c r="AZ65" s="48"/>
      <c r="BA65" s="48"/>
      <c r="BB65" s="48"/>
      <c r="BC65" s="48"/>
      <c r="BD65" s="49"/>
      <c r="BF65" s="47"/>
      <c r="BG65" s="48"/>
      <c r="BH65" s="48"/>
      <c r="BI65" s="48"/>
      <c r="BJ65" s="48"/>
      <c r="BK65" s="48"/>
      <c r="BL65" s="49"/>
      <c r="BN65" s="47"/>
      <c r="BO65" s="48"/>
      <c r="BP65" s="48"/>
      <c r="BQ65" s="48"/>
      <c r="BR65" s="48"/>
      <c r="BS65" s="48"/>
      <c r="BT65" s="49"/>
      <c r="BV65" s="3">
        <v>1</v>
      </c>
    </row>
    <row r="66" spans="2:74" ht="21" customHeight="1">
      <c r="B66" s="104" t="str">
        <f t="shared" si="20"/>
        <v>►</v>
      </c>
      <c r="C66" s="32" t="str">
        <f>C54</f>
        <v>N NOM DE VOTRE RECETTE | | Auteur &gt; VOUS</v>
      </c>
      <c r="D66" s="33">
        <f>D54</f>
        <v>18</v>
      </c>
      <c r="E66" s="32" t="str">
        <f>E54</f>
        <v>desserts</v>
      </c>
      <c r="F66" s="34" t="str">
        <f>F54</f>
        <v>Recette mère ► Saisir le nom de la recette principale</v>
      </c>
      <c r="G66" s="92"/>
      <c r="H66" s="108"/>
      <c r="I66" s="94" t="str">
        <f t="shared" si="17"/>
        <v/>
      </c>
      <c r="J66" s="95"/>
      <c r="K66" s="126"/>
      <c r="L66" s="127">
        <v>1</v>
      </c>
      <c r="M66" s="920"/>
      <c r="N66" s="1494">
        <f>IF(OR(ISBLANK(G52),N52=0),0,G66*L53)</f>
        <v>0</v>
      </c>
      <c r="O66" s="101" cm="1">
        <f t="array" ref="O66">IFERROR(_xlfn.LET(_xlpm.k,UPPER(TRIM(K66)),_xlpm.r,_xlfn.XLOOKUP(_xlpm.k,UPPER(TRIM(G69:P69)),G70:P70,_xlfn.XLOOKUP(_xlpm.k,UPPER(TRIM(G71:P71)),G72:P72)),_xlpm.r*J66*L66*L53*IF(ISBLANK(G66),1,G66)),0)</f>
        <v>0</v>
      </c>
      <c r="P66" s="1476" t="str">
        <f>_xlfn.LET(_xlpm.unite,SUBSTITUTE(TRIM(K66)," (s)",""),_xlpm.val,O66,_xlpm.estVol,COUNTIF(J69:P69,_xlpm.unite)+COUNTIF(J71:P71,_xlpm.unite)&gt;0,_xlpm.estPoids,COUNTIF(G69:I69,_xlpm.unite)+COUNTIF(G71:I71,_xlpm.unite)&gt;0,IF(_xlpm.estVol,IF(ROUND(_xlpm.val,3)&gt;=1,ROUND(_xlpm.val,3)&amp;" L",MAX(1,ROUND(_xlpm.val*100,0))&amp;" cl"),IF(_xlpm.estPoids,IF(ROUND(_xlpm.val,3)&gt;=1,ROUND(_xlpm.val,3)&amp;" Kg",MAX(1,ROUND(_xlpm.val*1000,0))&amp;" g"),"")))</f>
        <v/>
      </c>
      <c r="R66" s="104" t="str">
        <f t="shared" si="21"/>
        <v>►</v>
      </c>
      <c r="S66" s="32" t="str">
        <f>S54</f>
        <v>N NAME OF YOUR RECIPE | |  Author &gt; YOU</v>
      </c>
      <c r="T66" s="33">
        <f>T54</f>
        <v>18</v>
      </c>
      <c r="U66" s="32" t="str">
        <f>U54</f>
        <v>desserts</v>
      </c>
      <c r="V66" s="34" t="str">
        <f>V54</f>
        <v>Master recipe ► Enter the main recipe name</v>
      </c>
      <c r="W66" s="92"/>
      <c r="X66" s="108"/>
      <c r="Y66" s="94" t="str">
        <f t="shared" si="18"/>
        <v/>
      </c>
      <c r="Z66" s="95"/>
      <c r="AA66" s="126"/>
      <c r="AB66" s="127">
        <v>1</v>
      </c>
      <c r="AC66" s="920"/>
      <c r="AD66" s="1494">
        <f>IF(OR(ISBLANK(W52),AD52=0),0,W66*AB53)</f>
        <v>0</v>
      </c>
      <c r="AE66" s="101" cm="1">
        <f t="array" ref="AE66">IFERROR(_xlfn.LET(_xlpm.k,UPPER(TRIM(AA66)),_xlpm.r,_xlfn.XLOOKUP(_xlpm.k,UPPER(TRIM(W69:AF69)),W70:AF70,_xlfn.XLOOKUP(_xlpm.k,UPPER(TRIM(W71:AF71)),W72:AF72)),_xlpm.r*Z66*AB66*AB53*IF(ISBLANK(W66),1,W66)),0)</f>
        <v>0</v>
      </c>
      <c r="AF66" s="1476" t="str">
        <f>_xlfn.LET(_xlpm.unite,SUBSTITUTE(TRIM(AA66)," (s)",""),_xlpm.val,AE66,_xlpm.estVol,COUNTIF(Z69:AF69,_xlpm.unite)+COUNTIF(Z71:AF71,_xlpm.unite)&gt;0,_xlpm.estPoids,COUNTIF(W69:Y69,_xlpm.unite)+COUNTIF(W71:Y71,_xlpm.unite)&gt;0,IF(_xlpm.estVol,IF(ROUND(_xlpm.val,3)&gt;=1,ROUND(_xlpm.val,3)&amp;" L",MAX(1,ROUND(_xlpm.val*100,0))&amp;" cl"),IF(_xlpm.estPoids,IF(ROUND(_xlpm.val,3)&gt;=1,ROUND(_xlpm.val,3)&amp;" Kg",MAX(1,ROUND(_xlpm.val*1000,0))&amp;" g"),"")))</f>
        <v/>
      </c>
      <c r="AH66" s="104" t="str">
        <f t="shared" si="22"/>
        <v>►</v>
      </c>
      <c r="AI66" s="32" t="str">
        <f>AI54</f>
        <v>N NOMBRE DE LA RECETA | | Autor &gt; USTED</v>
      </c>
      <c r="AJ66" s="33">
        <f>AJ54</f>
        <v>18</v>
      </c>
      <c r="AK66" s="32" t="str">
        <f>AK54</f>
        <v>postres</v>
      </c>
      <c r="AL66" s="34" t="str">
        <f>AL54</f>
        <v>Receta madre ► Introduzca el nombre de la receta principal</v>
      </c>
      <c r="AM66" s="92"/>
      <c r="AN66" s="108"/>
      <c r="AO66" s="94" t="str">
        <f t="shared" si="19"/>
        <v/>
      </c>
      <c r="AP66" s="95"/>
      <c r="AQ66" s="126"/>
      <c r="AR66" s="127">
        <v>1</v>
      </c>
      <c r="AS66" s="920"/>
      <c r="AT66" s="1494">
        <f>IF(OR(ISBLANK(AM52),AT52=0),0,AM66*AR53)</f>
        <v>0</v>
      </c>
      <c r="AU66" s="101" cm="1">
        <f t="array" ref="AU66">IFERROR(_xlfn.LET(_xlpm.k,UPPER(TRIM(AQ66)),_xlpm.r,_xlfn.XLOOKUP(_xlpm.k,UPPER(TRIM(AM69:AV69)),AM70:AV70,_xlfn.XLOOKUP(_xlpm.k,UPPER(TRIM(AM71:AV71)),AM72:AV72)),_xlpm.r*AP66*AR66*AR53*IF(ISBLANK(AM66),1,AM66)),0)</f>
        <v>0</v>
      </c>
      <c r="AV66" s="1476" t="str">
        <f>_xlfn.LET(_xlpm.unite,SUBSTITUTE(TRIM(AQ66)," (s)",""),_xlpm.val,AU66,_xlpm.estVol,COUNTIF(AP69:AV69,_xlpm.unite)+COUNTIF(AP71:AV71,_xlpm.unite)&gt;0,_xlpm.estPoids,COUNTIF(AM69:AO69,_xlpm.unite)+COUNTIF(AM71:AO71,_xlpm.unite)&gt;0,IF(_xlpm.estVol,IF(ROUND(_xlpm.val,3)&gt;=1,ROUND(_xlpm.val,3)&amp;" L",MAX(1,ROUND(_xlpm.val*100,0))&amp;" cl"),IF(_xlpm.estPoids,IF(ROUND(_xlpm.val,3)&gt;=1,ROUND(_xlpm.val,3)&amp;" Kg",MAX(1,ROUND(_xlpm.val*1000,0))&amp;" g"),"")))</f>
        <v/>
      </c>
      <c r="AX66" s="259"/>
      <c r="AY66" s="262"/>
      <c r="AZ66" s="262"/>
      <c r="BA66" s="5696" t="s">
        <v>83</v>
      </c>
      <c r="BB66" s="5692" t="s">
        <v>85</v>
      </c>
      <c r="BC66" s="5694" t="s">
        <v>86</v>
      </c>
      <c r="BD66" s="254"/>
      <c r="BF66" s="253" t="s">
        <v>153</v>
      </c>
      <c r="BG66" s="85" t="s">
        <v>244</v>
      </c>
      <c r="BH66" s="5698" t="s">
        <v>245</v>
      </c>
      <c r="BI66" s="5696" t="s">
        <v>244</v>
      </c>
      <c r="BJ66" s="5692" t="s">
        <v>246</v>
      </c>
      <c r="BK66" s="5694" t="s">
        <v>247</v>
      </c>
      <c r="BL66" s="254"/>
      <c r="BN66" s="253" t="s">
        <v>248</v>
      </c>
      <c r="BO66" s="85" t="s">
        <v>249</v>
      </c>
      <c r="BP66" s="5698" t="s">
        <v>250</v>
      </c>
      <c r="BQ66" s="5696" t="s">
        <v>249</v>
      </c>
      <c r="BR66" s="5692" t="s">
        <v>251</v>
      </c>
      <c r="BS66" s="5694" t="s">
        <v>252</v>
      </c>
      <c r="BT66" s="254"/>
      <c r="BV66" s="3">
        <v>1</v>
      </c>
    </row>
    <row r="67" spans="2:74" ht="21" customHeight="1">
      <c r="B67" s="104" t="str">
        <f t="shared" si="20"/>
        <v>►</v>
      </c>
      <c r="C67" s="32" t="str">
        <f>C54</f>
        <v>N NOM DE VOTRE RECETTE | | Auteur &gt; VOUS</v>
      </c>
      <c r="D67" s="33">
        <f>D54</f>
        <v>18</v>
      </c>
      <c r="E67" s="32" t="str">
        <f>E54</f>
        <v>desserts</v>
      </c>
      <c r="F67" s="34" t="str">
        <f>F54</f>
        <v>Recette mère ► Saisir le nom de la recette principale</v>
      </c>
      <c r="G67" s="92"/>
      <c r="H67" s="108"/>
      <c r="I67" s="94" t="str">
        <f t="shared" si="17"/>
        <v/>
      </c>
      <c r="J67" s="95"/>
      <c r="K67" s="126"/>
      <c r="L67" s="127">
        <v>1</v>
      </c>
      <c r="M67" s="920"/>
      <c r="N67" s="1494">
        <f>IF(OR(ISBLANK(G52),N52=0),0,G67*L53)</f>
        <v>0</v>
      </c>
      <c r="O67" s="101" cm="1">
        <f t="array" ref="O67">IFERROR(_xlfn.LET(_xlpm.k,UPPER(TRIM(K67)),_xlpm.r,_xlfn.XLOOKUP(_xlpm.k,UPPER(TRIM(G69:P69)),G70:P70,_xlfn.XLOOKUP(_xlpm.k,UPPER(TRIM(G71:P71)),G72:P72)),_xlpm.r*J67*L67*L53*IF(ISBLANK(G67),1,G67)),0)</f>
        <v>0</v>
      </c>
      <c r="P67" s="1475" t="str">
        <f>_xlfn.LET(_xlpm.unite,SUBSTITUTE(TRIM(K67)," (s)",""),_xlpm.val,O67,_xlpm.estVol,COUNTIF(J69:P69,_xlpm.unite)+COUNTIF(J71:P71,_xlpm.unite)&gt;0,_xlpm.estPoids,COUNTIF(G69:I69,_xlpm.unite)+COUNTIF(G71:I71,_xlpm.unite)&gt;0,IF(_xlpm.estVol,IF(ROUND(_xlpm.val,3)&gt;=1,ROUND(_xlpm.val,3)&amp;" L",MAX(1,ROUND(_xlpm.val*100,0))&amp;" cl"),IF(_xlpm.estPoids,IF(ROUND(_xlpm.val,3)&gt;=1,ROUND(_xlpm.val,3)&amp;" Kg",MAX(1,ROUND(_xlpm.val*1000,0))&amp;" g"),"")))</f>
        <v/>
      </c>
      <c r="R67" s="104" t="str">
        <f t="shared" si="21"/>
        <v>►</v>
      </c>
      <c r="S67" s="32" t="str">
        <f>S54</f>
        <v>N NAME OF YOUR RECIPE | |  Author &gt; YOU</v>
      </c>
      <c r="T67" s="33">
        <f>T54</f>
        <v>18</v>
      </c>
      <c r="U67" s="32" t="str">
        <f>U54</f>
        <v>desserts</v>
      </c>
      <c r="V67" s="34" t="str">
        <f>V54</f>
        <v>Master recipe ► Enter the main recipe name</v>
      </c>
      <c r="W67" s="92"/>
      <c r="X67" s="108"/>
      <c r="Y67" s="94" t="str">
        <f t="shared" si="18"/>
        <v/>
      </c>
      <c r="Z67" s="95"/>
      <c r="AA67" s="126"/>
      <c r="AB67" s="127">
        <v>1</v>
      </c>
      <c r="AC67" s="920"/>
      <c r="AD67" s="1494">
        <f>IF(OR(ISBLANK(W52),AD52=0),0,W67*AB53)</f>
        <v>0</v>
      </c>
      <c r="AE67" s="101" cm="1">
        <f t="array" ref="AE67">IFERROR(_xlfn.LET(_xlpm.k,UPPER(TRIM(AA67)),_xlpm.r,_xlfn.XLOOKUP(_xlpm.k,UPPER(TRIM(W69:AF69)),W70:AF70,_xlfn.XLOOKUP(_xlpm.k,UPPER(TRIM(W71:AF71)),W72:AF72)),_xlpm.r*Z67*AB67*AB53*IF(ISBLANK(W67),1,W67)),0)</f>
        <v>0</v>
      </c>
      <c r="AF67" s="1475" t="str">
        <f>_xlfn.LET(_xlpm.unite,SUBSTITUTE(TRIM(AA67)," (s)",""),_xlpm.val,AE67,_xlpm.estVol,COUNTIF(Z69:AF69,_xlpm.unite)+COUNTIF(Z71:AF71,_xlpm.unite)&gt;0,_xlpm.estPoids,COUNTIF(W69:Y69,_xlpm.unite)+COUNTIF(W71:Y71,_xlpm.unite)&gt;0,IF(_xlpm.estVol,IF(ROUND(_xlpm.val,3)&gt;=1,ROUND(_xlpm.val,3)&amp;" L",MAX(1,ROUND(_xlpm.val*100,0))&amp;" cl"),IF(_xlpm.estPoids,IF(ROUND(_xlpm.val,3)&gt;=1,ROUND(_xlpm.val,3)&amp;" Kg",MAX(1,ROUND(_xlpm.val*1000,0))&amp;" g"),"")))</f>
        <v/>
      </c>
      <c r="AH67" s="104" t="str">
        <f t="shared" si="22"/>
        <v>►</v>
      </c>
      <c r="AI67" s="32" t="str">
        <f>AI54</f>
        <v>N NOMBRE DE LA RECETA | | Autor &gt; USTED</v>
      </c>
      <c r="AJ67" s="33">
        <f>AJ54</f>
        <v>18</v>
      </c>
      <c r="AK67" s="32" t="str">
        <f>AK54</f>
        <v>postres</v>
      </c>
      <c r="AL67" s="34" t="str">
        <f>AL54</f>
        <v>Receta madre ► Introduzca el nombre de la receta principal</v>
      </c>
      <c r="AM67" s="92"/>
      <c r="AN67" s="108"/>
      <c r="AO67" s="94" t="str">
        <f t="shared" si="19"/>
        <v/>
      </c>
      <c r="AP67" s="95"/>
      <c r="AQ67" s="126"/>
      <c r="AR67" s="127">
        <v>1</v>
      </c>
      <c r="AS67" s="920"/>
      <c r="AT67" s="1494">
        <f>IF(OR(ISBLANK(AM52),AT52=0),0,AM67*AR53)</f>
        <v>0</v>
      </c>
      <c r="AU67" s="101" cm="1">
        <f t="array" ref="AU67">IFERROR(_xlfn.LET(_xlpm.k,UPPER(TRIM(AQ67)),_xlpm.r,_xlfn.XLOOKUP(_xlpm.k,UPPER(TRIM(AM69:AV69)),AM70:AV70,_xlfn.XLOOKUP(_xlpm.k,UPPER(TRIM(AM71:AV71)),AM72:AV72)),_xlpm.r*AP67*AR67*AR53*IF(ISBLANK(AM67),1,AM67)),0)</f>
        <v>0</v>
      </c>
      <c r="AV67" s="1475" t="str">
        <f>_xlfn.LET(_xlpm.unite,SUBSTITUTE(TRIM(AQ67)," (s)",""),_xlpm.val,AU67,_xlpm.estVol,COUNTIF(AP69:AV69,_xlpm.unite)+COUNTIF(AP71:AV71,_xlpm.unite)&gt;0,_xlpm.estPoids,COUNTIF(AM69:AO69,_xlpm.unite)+COUNTIF(AM71:AO71,_xlpm.unite)&gt;0,IF(_xlpm.estVol,IF(ROUND(_xlpm.val,3)&gt;=1,ROUND(_xlpm.val,3)&amp;" L",MAX(1,ROUND(_xlpm.val*100,0))&amp;" cl"),IF(_xlpm.estPoids,IF(ROUND(_xlpm.val,3)&gt;=1,ROUND(_xlpm.val,3)&amp;" Kg",MAX(1,ROUND(_xlpm.val*1000,0))&amp;" g"),"")))</f>
        <v/>
      </c>
      <c r="AX67" s="259"/>
      <c r="AY67" s="262"/>
      <c r="AZ67" s="262"/>
      <c r="BA67" s="5697"/>
      <c r="BB67" s="5693"/>
      <c r="BC67" s="5695"/>
      <c r="BD67" s="254"/>
      <c r="BF67" s="255" t="s">
        <v>95</v>
      </c>
      <c r="BG67" s="91">
        <v>1</v>
      </c>
      <c r="BH67" s="5699"/>
      <c r="BI67" s="5697"/>
      <c r="BJ67" s="5693"/>
      <c r="BK67" s="5695"/>
      <c r="BL67" s="254"/>
      <c r="BN67" s="255" t="s">
        <v>95</v>
      </c>
      <c r="BO67" s="91">
        <v>1</v>
      </c>
      <c r="BP67" s="5699"/>
      <c r="BQ67" s="5697"/>
      <c r="BR67" s="5693"/>
      <c r="BS67" s="5695"/>
      <c r="BT67" s="254"/>
      <c r="BV67" s="3">
        <v>1</v>
      </c>
    </row>
    <row r="68" spans="2:74" ht="21" customHeight="1">
      <c r="B68" s="104" t="s">
        <v>11</v>
      </c>
      <c r="C68" s="32" t="str">
        <f>C54</f>
        <v>N NOM DE VOTRE RECETTE | | Auteur &gt; VOUS</v>
      </c>
      <c r="D68" s="33">
        <f>D54</f>
        <v>18</v>
      </c>
      <c r="E68" s="32" t="str">
        <f>E54</f>
        <v>desserts</v>
      </c>
      <c r="F68" s="34" t="str">
        <f>F54</f>
        <v>Recette mère ► Saisir le nom de la recette principale</v>
      </c>
      <c r="G68" s="907" t="s">
        <v>136</v>
      </c>
      <c r="H68" s="500"/>
      <c r="I68" s="500"/>
      <c r="J68" s="500"/>
      <c r="K68" s="500"/>
      <c r="L68" s="908"/>
      <c r="M68" s="909"/>
      <c r="N68" s="909"/>
      <c r="O68" s="910">
        <f>SUM(O58:O67)</f>
        <v>0</v>
      </c>
      <c r="P68" s="1489"/>
      <c r="R68" s="104" t="s">
        <v>11</v>
      </c>
      <c r="S68" s="32" t="str">
        <f>S54</f>
        <v>N NAME OF YOUR RECIPE | |  Author &gt; YOU</v>
      </c>
      <c r="T68" s="33">
        <f>T54</f>
        <v>18</v>
      </c>
      <c r="U68" s="32" t="str">
        <f>U54</f>
        <v>desserts</v>
      </c>
      <c r="V68" s="34" t="str">
        <f>V54</f>
        <v>Master recipe ► Enter the main recipe name</v>
      </c>
      <c r="W68" s="907" t="s">
        <v>893</v>
      </c>
      <c r="X68" s="500"/>
      <c r="Y68" s="500"/>
      <c r="Z68" s="500"/>
      <c r="AA68" s="500"/>
      <c r="AB68" s="908"/>
      <c r="AC68" s="909"/>
      <c r="AD68" s="909"/>
      <c r="AE68" s="910">
        <f>SUM(AE58:AE67)</f>
        <v>0</v>
      </c>
      <c r="AF68" s="1489"/>
      <c r="AH68" s="104" t="s">
        <v>11</v>
      </c>
      <c r="AI68" s="32" t="str">
        <f>AI54</f>
        <v>N NOMBRE DE LA RECETA | | Autor &gt; USTED</v>
      </c>
      <c r="AJ68" s="33">
        <f>AJ54</f>
        <v>18</v>
      </c>
      <c r="AK68" s="32" t="str">
        <f>AK54</f>
        <v>postres</v>
      </c>
      <c r="AL68" s="34" t="str">
        <f>AL54</f>
        <v>Receta madre ► Introduzca el nombre de la receta principal</v>
      </c>
      <c r="AM68" s="907" t="s">
        <v>893</v>
      </c>
      <c r="AN68" s="500"/>
      <c r="AO68" s="500"/>
      <c r="AP68" s="500"/>
      <c r="AQ68" s="500"/>
      <c r="AR68" s="908"/>
      <c r="AS68" s="909"/>
      <c r="AT68" s="909"/>
      <c r="AU68" s="910">
        <f>SUM(AU58:AU67)</f>
        <v>0</v>
      </c>
      <c r="AV68" s="1489"/>
      <c r="AX68" s="259"/>
      <c r="AY68" s="262"/>
      <c r="AZ68" s="262"/>
      <c r="BA68" s="100">
        <v>4</v>
      </c>
      <c r="BB68" s="101">
        <v>0.4</v>
      </c>
      <c r="BC68" s="257" t="s">
        <v>98</v>
      </c>
      <c r="BD68" s="254"/>
      <c r="BF68" s="256">
        <v>58.445353594389253</v>
      </c>
      <c r="BG68" s="98">
        <v>0.58445353594389249</v>
      </c>
      <c r="BH68" s="99">
        <v>0.2</v>
      </c>
      <c r="BI68" s="100">
        <v>4</v>
      </c>
      <c r="BJ68" s="101">
        <v>0.4</v>
      </c>
      <c r="BK68" s="257" t="s">
        <v>98</v>
      </c>
      <c r="BL68" s="254"/>
      <c r="BN68" s="256">
        <v>58.445353594389253</v>
      </c>
      <c r="BO68" s="98">
        <v>0.58445353594389249</v>
      </c>
      <c r="BP68" s="99">
        <v>0.2</v>
      </c>
      <c r="BQ68" s="100">
        <v>4</v>
      </c>
      <c r="BR68" s="101">
        <v>0.4</v>
      </c>
      <c r="BS68" s="257" t="s">
        <v>98</v>
      </c>
      <c r="BT68" s="254"/>
      <c r="BV68" s="3">
        <v>1</v>
      </c>
    </row>
    <row r="69" spans="2:74" ht="21" customHeight="1">
      <c r="B69" s="104" t="s">
        <v>16</v>
      </c>
      <c r="C69" s="32" t="str">
        <f>C54</f>
        <v>N NOM DE VOTRE RECETTE | | Auteur &gt; VOUS</v>
      </c>
      <c r="D69" s="33">
        <f>D54</f>
        <v>18</v>
      </c>
      <c r="E69" s="32" t="str">
        <f>E54</f>
        <v>desserts</v>
      </c>
      <c r="F69" s="34" t="str">
        <f>F54</f>
        <v>Recette mère ► Saisir le nom de la recette principale</v>
      </c>
      <c r="G69" s="140" t="s">
        <v>143</v>
      </c>
      <c r="H69" s="105" t="s">
        <v>99</v>
      </c>
      <c r="I69" s="141" t="s">
        <v>144</v>
      </c>
      <c r="J69" s="96" t="s">
        <v>0</v>
      </c>
      <c r="K69" s="96" t="s">
        <v>96</v>
      </c>
      <c r="L69" s="96" t="s">
        <v>147</v>
      </c>
      <c r="M69" s="96" t="s">
        <v>148</v>
      </c>
      <c r="N69" s="109" t="s">
        <v>364</v>
      </c>
      <c r="O69" s="109" t="s">
        <v>102</v>
      </c>
      <c r="P69" s="109" t="s">
        <v>149</v>
      </c>
      <c r="R69" s="104" t="s">
        <v>16</v>
      </c>
      <c r="S69" s="32" t="str">
        <f>S54</f>
        <v>N NAME OF YOUR RECIPE | |  Author &gt; YOU</v>
      </c>
      <c r="T69" s="33">
        <f>T54</f>
        <v>18</v>
      </c>
      <c r="U69" s="32" t="str">
        <f>U54</f>
        <v>desserts</v>
      </c>
      <c r="V69" s="34" t="str">
        <f>V54</f>
        <v>Master recipe ► Enter the main recipe name</v>
      </c>
      <c r="W69" s="140" t="s">
        <v>143</v>
      </c>
      <c r="X69" s="105" t="s">
        <v>99</v>
      </c>
      <c r="Y69" s="141" t="s">
        <v>144</v>
      </c>
      <c r="Z69" s="96" t="s">
        <v>0</v>
      </c>
      <c r="AA69" s="96" t="s">
        <v>96</v>
      </c>
      <c r="AB69" s="96" t="s">
        <v>147</v>
      </c>
      <c r="AC69" s="96" t="s">
        <v>148</v>
      </c>
      <c r="AD69" s="109" t="s">
        <v>1378</v>
      </c>
      <c r="AE69" s="109" t="s">
        <v>1360</v>
      </c>
      <c r="AF69" s="109" t="s">
        <v>1361</v>
      </c>
      <c r="AH69" s="104" t="s">
        <v>16</v>
      </c>
      <c r="AI69" s="32" t="str">
        <f>AI54</f>
        <v>N NOMBRE DE LA RECETA | | Autor &gt; USTED</v>
      </c>
      <c r="AJ69" s="33">
        <f>AJ54</f>
        <v>18</v>
      </c>
      <c r="AK69" s="32" t="str">
        <f>AK54</f>
        <v>postres</v>
      </c>
      <c r="AL69" s="34" t="str">
        <f>AL54</f>
        <v>Receta madre ► Introduzca el nombre de la receta principal</v>
      </c>
      <c r="AM69" s="140" t="s">
        <v>143</v>
      </c>
      <c r="AN69" s="105" t="s">
        <v>99</v>
      </c>
      <c r="AO69" s="141" t="s">
        <v>144</v>
      </c>
      <c r="AP69" s="96" t="s">
        <v>0</v>
      </c>
      <c r="AQ69" s="96" t="s">
        <v>96</v>
      </c>
      <c r="AR69" s="96" t="s">
        <v>147</v>
      </c>
      <c r="AS69" s="96" t="s">
        <v>148</v>
      </c>
      <c r="AT69" s="109" t="s">
        <v>1379</v>
      </c>
      <c r="AU69" s="109" t="s">
        <v>1341</v>
      </c>
      <c r="AV69" s="109" t="s">
        <v>1342</v>
      </c>
      <c r="AX69" s="259"/>
      <c r="AY69" s="262"/>
      <c r="AZ69" s="262"/>
      <c r="BA69" s="107">
        <v>4</v>
      </c>
      <c r="BB69" s="101">
        <v>0.04</v>
      </c>
      <c r="BC69" s="258" t="s">
        <v>101</v>
      </c>
      <c r="BD69" s="254"/>
      <c r="BF69" s="256">
        <v>5.8445353594389253</v>
      </c>
      <c r="BG69" s="106">
        <v>0.58445353594389249</v>
      </c>
      <c r="BH69" s="99">
        <v>0.02</v>
      </c>
      <c r="BI69" s="107">
        <v>4</v>
      </c>
      <c r="BJ69" s="101">
        <v>0.04</v>
      </c>
      <c r="BK69" s="258" t="s">
        <v>101</v>
      </c>
      <c r="BL69" s="254"/>
      <c r="BN69" s="256">
        <v>5.8445353594389253</v>
      </c>
      <c r="BO69" s="106">
        <v>0.58445353594389249</v>
      </c>
      <c r="BP69" s="99">
        <v>0.02</v>
      </c>
      <c r="BQ69" s="107">
        <v>4</v>
      </c>
      <c r="BR69" s="101">
        <v>0.04</v>
      </c>
      <c r="BS69" s="258" t="s">
        <v>101</v>
      </c>
      <c r="BT69" s="254"/>
      <c r="BV69" s="3">
        <v>1</v>
      </c>
    </row>
    <row r="70" spans="2:74" ht="21" customHeight="1">
      <c r="B70" s="104" t="s">
        <v>16</v>
      </c>
      <c r="C70" s="32" t="str">
        <f>C54</f>
        <v>N NOM DE VOTRE RECETTE | | Auteur &gt; VOUS</v>
      </c>
      <c r="D70" s="33">
        <f>D54</f>
        <v>18</v>
      </c>
      <c r="E70" s="32" t="str">
        <f>E54</f>
        <v>desserts</v>
      </c>
      <c r="F70" s="34" t="str">
        <f>F54</f>
        <v>Recette mère ► Saisir le nom de la recette principale</v>
      </c>
      <c r="G70" s="911">
        <v>1</v>
      </c>
      <c r="H70" s="912">
        <v>1E-3</v>
      </c>
      <c r="I70" s="913">
        <v>0</v>
      </c>
      <c r="J70" s="914">
        <v>1</v>
      </c>
      <c r="K70" s="914">
        <v>0.1</v>
      </c>
      <c r="L70" s="914">
        <v>0.01</v>
      </c>
      <c r="M70" s="914">
        <v>1E-3</v>
      </c>
      <c r="N70" s="914">
        <v>0.25</v>
      </c>
      <c r="O70" s="914">
        <v>0.5</v>
      </c>
      <c r="P70" s="914">
        <v>0.33300000000000002</v>
      </c>
      <c r="R70" s="104" t="s">
        <v>16</v>
      </c>
      <c r="S70" s="32" t="str">
        <f>S54</f>
        <v>N NAME OF YOUR RECIPE | |  Author &gt; YOU</v>
      </c>
      <c r="T70" s="33">
        <f>T54</f>
        <v>18</v>
      </c>
      <c r="U70" s="32" t="str">
        <f>U54</f>
        <v>desserts</v>
      </c>
      <c r="V70" s="34" t="str">
        <f>V54</f>
        <v>Master recipe ► Enter the main recipe name</v>
      </c>
      <c r="W70" s="911">
        <v>1</v>
      </c>
      <c r="X70" s="912">
        <v>1E-3</v>
      </c>
      <c r="Y70" s="913">
        <v>0</v>
      </c>
      <c r="Z70" s="914">
        <v>1</v>
      </c>
      <c r="AA70" s="914">
        <v>0.1</v>
      </c>
      <c r="AB70" s="914">
        <v>0.01</v>
      </c>
      <c r="AC70" s="914">
        <v>1E-3</v>
      </c>
      <c r="AD70" s="914">
        <v>0.25</v>
      </c>
      <c r="AE70" s="914">
        <v>0.5</v>
      </c>
      <c r="AF70" s="914">
        <v>0.33300000000000002</v>
      </c>
      <c r="AH70" s="104" t="s">
        <v>16</v>
      </c>
      <c r="AI70" s="32" t="str">
        <f>AI54</f>
        <v>N NOMBRE DE LA RECETA | | Autor &gt; USTED</v>
      </c>
      <c r="AJ70" s="33">
        <f>AJ54</f>
        <v>18</v>
      </c>
      <c r="AK70" s="32" t="str">
        <f>AK54</f>
        <v>postres</v>
      </c>
      <c r="AL70" s="34" t="str">
        <f>AL54</f>
        <v>Receta madre ► Introduzca el nombre de la receta principal</v>
      </c>
      <c r="AM70" s="911">
        <v>1</v>
      </c>
      <c r="AN70" s="912">
        <v>1E-3</v>
      </c>
      <c r="AO70" s="913">
        <v>0</v>
      </c>
      <c r="AP70" s="914">
        <v>1</v>
      </c>
      <c r="AQ70" s="914">
        <v>0.1</v>
      </c>
      <c r="AR70" s="914">
        <v>0.01</v>
      </c>
      <c r="AS70" s="914">
        <v>1E-3</v>
      </c>
      <c r="AT70" s="914">
        <v>0.25</v>
      </c>
      <c r="AU70" s="914">
        <v>0.5</v>
      </c>
      <c r="AV70" s="914">
        <v>0.33300000000000002</v>
      </c>
      <c r="AX70" s="259"/>
      <c r="AY70" s="262"/>
      <c r="AZ70" s="262"/>
      <c r="BA70" s="262"/>
      <c r="BB70" s="263"/>
      <c r="BC70" s="260"/>
      <c r="BD70" s="254"/>
      <c r="BF70" s="259"/>
      <c r="BG70" s="260"/>
      <c r="BH70" s="261" t="s">
        <v>258</v>
      </c>
      <c r="BI70" s="262"/>
      <c r="BJ70" s="263"/>
      <c r="BK70" s="260"/>
      <c r="BL70" s="254"/>
      <c r="BN70" s="259"/>
      <c r="BO70" s="260"/>
      <c r="BP70" s="261" t="s">
        <v>259</v>
      </c>
      <c r="BQ70" s="262"/>
      <c r="BR70" s="263"/>
      <c r="BS70" s="260"/>
      <c r="BT70" s="254"/>
      <c r="BV70" s="3">
        <v>1</v>
      </c>
    </row>
    <row r="71" spans="2:74" ht="21" customHeight="1">
      <c r="B71" s="104" t="s">
        <v>16</v>
      </c>
      <c r="C71" s="32" t="str">
        <f>C54</f>
        <v>N NOM DE VOTRE RECETTE | | Auteur &gt; VOUS</v>
      </c>
      <c r="D71" s="33">
        <f>D54</f>
        <v>18</v>
      </c>
      <c r="E71" s="32" t="str">
        <f>E54</f>
        <v>desserts</v>
      </c>
      <c r="F71" s="34" t="str">
        <f>F54</f>
        <v>Recette mère ► Saisir le nom de la recette principale</v>
      </c>
      <c r="G71" s="142" t="s">
        <v>145</v>
      </c>
      <c r="H71" s="117" t="s">
        <v>107</v>
      </c>
      <c r="I71" s="141" t="s">
        <v>144</v>
      </c>
      <c r="J71" s="109" t="s">
        <v>150</v>
      </c>
      <c r="K71" s="109" t="s">
        <v>163</v>
      </c>
      <c r="L71" s="109" t="s">
        <v>103</v>
      </c>
      <c r="M71" s="109" t="s">
        <v>162</v>
      </c>
      <c r="N71" s="149" t="s">
        <v>160</v>
      </c>
      <c r="O71" s="149" t="s">
        <v>117</v>
      </c>
      <c r="P71" s="1061" t="s">
        <v>1831</v>
      </c>
      <c r="R71" s="104" t="s">
        <v>16</v>
      </c>
      <c r="S71" s="32" t="str">
        <f>S54</f>
        <v>N NAME OF YOUR RECIPE | |  Author &gt; YOU</v>
      </c>
      <c r="T71" s="33">
        <f>T54</f>
        <v>18</v>
      </c>
      <c r="U71" s="32" t="str">
        <f>U54</f>
        <v>desserts</v>
      </c>
      <c r="V71" s="34" t="str">
        <f>V54</f>
        <v>Master recipe ► Enter the main recipe name</v>
      </c>
      <c r="W71" s="142" t="s">
        <v>1357</v>
      </c>
      <c r="X71" s="117" t="s">
        <v>1359</v>
      </c>
      <c r="Y71" s="141" t="s">
        <v>144</v>
      </c>
      <c r="Z71" s="109" t="s">
        <v>1362</v>
      </c>
      <c r="AA71" s="109" t="s">
        <v>1371</v>
      </c>
      <c r="AB71" s="109" t="s">
        <v>1372</v>
      </c>
      <c r="AC71" s="109" t="s">
        <v>1370</v>
      </c>
      <c r="AD71" s="149" t="s">
        <v>1368</v>
      </c>
      <c r="AE71" s="149" t="s">
        <v>1367</v>
      </c>
      <c r="AF71" s="1061" t="s">
        <v>1832</v>
      </c>
      <c r="AH71" s="104" t="s">
        <v>16</v>
      </c>
      <c r="AI71" s="32" t="str">
        <f>AI54</f>
        <v>N NOMBRE DE LA RECETA | | Autor &gt; USTED</v>
      </c>
      <c r="AJ71" s="33">
        <f>AJ54</f>
        <v>18</v>
      </c>
      <c r="AK71" s="32" t="str">
        <f>AK54</f>
        <v>postres</v>
      </c>
      <c r="AL71" s="34" t="str">
        <f>AL54</f>
        <v>Receta madre ► Introduzca el nombre de la receta principal</v>
      </c>
      <c r="AM71" s="142" t="s">
        <v>145</v>
      </c>
      <c r="AN71" s="117" t="s">
        <v>107</v>
      </c>
      <c r="AO71" s="141" t="s">
        <v>144</v>
      </c>
      <c r="AP71" s="143" t="s">
        <v>1343</v>
      </c>
      <c r="AQ71" s="109" t="s">
        <v>1354</v>
      </c>
      <c r="AR71" s="109" t="s">
        <v>1355</v>
      </c>
      <c r="AS71" s="109" t="s">
        <v>1353</v>
      </c>
      <c r="AT71" s="149" t="s">
        <v>1351</v>
      </c>
      <c r="AU71" s="123" t="s">
        <v>1350</v>
      </c>
      <c r="AV71" s="1061" t="s">
        <v>1833</v>
      </c>
      <c r="AX71" s="259"/>
      <c r="AY71" s="262"/>
      <c r="AZ71" s="262"/>
      <c r="BA71" s="262"/>
      <c r="BB71" s="263"/>
      <c r="BC71" s="260"/>
      <c r="BD71" s="254"/>
      <c r="BF71" s="259"/>
      <c r="BG71" s="260"/>
      <c r="BH71" s="264" t="s">
        <v>261</v>
      </c>
      <c r="BI71" s="262"/>
      <c r="BJ71" s="263"/>
      <c r="BK71" s="260"/>
      <c r="BL71" s="254"/>
      <c r="BN71" s="259"/>
      <c r="BO71" s="260"/>
      <c r="BP71" s="264" t="s">
        <v>261</v>
      </c>
      <c r="BQ71" s="262"/>
      <c r="BR71" s="263"/>
      <c r="BS71" s="260"/>
      <c r="BT71" s="254"/>
      <c r="BV71" s="3">
        <v>1</v>
      </c>
    </row>
    <row r="72" spans="2:74" ht="21" customHeight="1">
      <c r="B72" s="104" t="s">
        <v>16</v>
      </c>
      <c r="C72" s="32" t="str">
        <f>C54</f>
        <v>N NOM DE VOTRE RECETTE | | Auteur &gt; VOUS</v>
      </c>
      <c r="D72" s="33">
        <f>D54</f>
        <v>18</v>
      </c>
      <c r="E72" s="32" t="str">
        <f>E54</f>
        <v>desserts</v>
      </c>
      <c r="F72" s="34" t="str">
        <f>F54</f>
        <v>Recette mère ► Saisir le nom de la recette principale</v>
      </c>
      <c r="G72" s="912">
        <v>0.25</v>
      </c>
      <c r="H72" s="912">
        <v>0.5</v>
      </c>
      <c r="I72" s="913">
        <v>0</v>
      </c>
      <c r="J72" s="914">
        <v>0.2</v>
      </c>
      <c r="K72" s="914">
        <v>0.1</v>
      </c>
      <c r="L72" s="914">
        <v>0.22500000000000001</v>
      </c>
      <c r="M72" s="914">
        <v>1.4999999999999999E-2</v>
      </c>
      <c r="N72" s="914">
        <v>4.9299999999999995E-3</v>
      </c>
      <c r="O72" s="914">
        <v>0.35</v>
      </c>
      <c r="P72" s="915">
        <v>0.25</v>
      </c>
      <c r="R72" s="104" t="s">
        <v>16</v>
      </c>
      <c r="S72" s="32" t="str">
        <f>S54</f>
        <v>N NAME OF YOUR RECIPE | |  Author &gt; YOU</v>
      </c>
      <c r="T72" s="33">
        <f>T54</f>
        <v>18</v>
      </c>
      <c r="U72" s="32" t="str">
        <f>U54</f>
        <v>desserts</v>
      </c>
      <c r="V72" s="34" t="str">
        <f>V54</f>
        <v>Master recipe ► Enter the main recipe name</v>
      </c>
      <c r="W72" s="912">
        <v>0.25</v>
      </c>
      <c r="X72" s="912">
        <v>0.5</v>
      </c>
      <c r="Y72" s="913">
        <v>0</v>
      </c>
      <c r="Z72" s="914">
        <v>0.2</v>
      </c>
      <c r="AA72" s="914">
        <v>0.1</v>
      </c>
      <c r="AB72" s="914">
        <v>0.22500000000000001</v>
      </c>
      <c r="AC72" s="914">
        <v>1.4999999999999999E-2</v>
      </c>
      <c r="AD72" s="914">
        <v>4.9299999999999995E-3</v>
      </c>
      <c r="AE72" s="914">
        <v>0.35</v>
      </c>
      <c r="AF72" s="915">
        <v>0.25</v>
      </c>
      <c r="AH72" s="104" t="s">
        <v>16</v>
      </c>
      <c r="AI72" s="32" t="str">
        <f>AI54</f>
        <v>N NOMBRE DE LA RECETA | | Autor &gt; USTED</v>
      </c>
      <c r="AJ72" s="33">
        <f>AJ54</f>
        <v>18</v>
      </c>
      <c r="AK72" s="32" t="str">
        <f>AK54</f>
        <v>postres</v>
      </c>
      <c r="AL72" s="34" t="str">
        <f>AL54</f>
        <v>Receta madre ► Introduzca el nombre de la receta principal</v>
      </c>
      <c r="AM72" s="912">
        <v>0.25</v>
      </c>
      <c r="AN72" s="912">
        <v>0.5</v>
      </c>
      <c r="AO72" s="913">
        <v>0</v>
      </c>
      <c r="AP72" s="914">
        <v>0.2</v>
      </c>
      <c r="AQ72" s="914">
        <v>0.1</v>
      </c>
      <c r="AR72" s="914">
        <v>0.22500000000000001</v>
      </c>
      <c r="AS72" s="914">
        <v>1.4999999999999999E-2</v>
      </c>
      <c r="AT72" s="914">
        <v>4.9299999999999995E-3</v>
      </c>
      <c r="AU72" s="914">
        <v>0.35</v>
      </c>
      <c r="AV72" s="915">
        <v>0.25</v>
      </c>
      <c r="AX72" s="259"/>
      <c r="AY72" s="260"/>
      <c r="AZ72" s="267"/>
      <c r="BA72" s="262"/>
      <c r="BB72" s="263"/>
      <c r="BC72" s="268" t="s">
        <v>86</v>
      </c>
      <c r="BD72" s="254"/>
      <c r="BF72" s="259"/>
      <c r="BG72" s="260"/>
      <c r="BH72" s="267"/>
      <c r="BI72" s="262"/>
      <c r="BJ72" s="263"/>
      <c r="BK72" s="268" t="s">
        <v>247</v>
      </c>
      <c r="BL72" s="254"/>
      <c r="BN72" s="259"/>
      <c r="BO72" s="260"/>
      <c r="BP72" s="267"/>
      <c r="BQ72" s="262"/>
      <c r="BR72" s="263"/>
      <c r="BS72" s="268" t="s">
        <v>252</v>
      </c>
      <c r="BT72" s="254"/>
      <c r="BV72" s="3">
        <v>1</v>
      </c>
    </row>
    <row r="73" spans="2:74" ht="21" customHeight="1">
      <c r="B73" s="104" t="s">
        <v>16</v>
      </c>
      <c r="C73" s="32" t="str">
        <f>C54</f>
        <v>N NOM DE VOTRE RECETTE | | Auteur &gt; VOUS</v>
      </c>
      <c r="D73" s="33">
        <f>D54</f>
        <v>18</v>
      </c>
      <c r="E73" s="32" t="str">
        <f>E54</f>
        <v>desserts</v>
      </c>
      <c r="F73" s="34" t="str">
        <f>F54</f>
        <v>Recette mère ► Saisir le nom de la recette principale</v>
      </c>
      <c r="G73" s="154" t="str">
        <f>G55</f>
        <v>Col.6</v>
      </c>
      <c r="H73" s="154" t="str">
        <f>H55</f>
        <v>Col.7</v>
      </c>
      <c r="I73" s="155" t="s">
        <v>3295</v>
      </c>
      <c r="J73" s="155"/>
      <c r="K73" s="155"/>
      <c r="L73" s="155"/>
      <c r="M73" s="155"/>
      <c r="N73" s="155"/>
      <c r="O73" s="155"/>
      <c r="P73" s="1477"/>
      <c r="R73" s="104" t="s">
        <v>16</v>
      </c>
      <c r="S73" s="32" t="str">
        <f>S54</f>
        <v>N NAME OF YOUR RECIPE | |  Author &gt; YOU</v>
      </c>
      <c r="T73" s="33">
        <f>T54</f>
        <v>18</v>
      </c>
      <c r="U73" s="32" t="str">
        <f>U54</f>
        <v>desserts</v>
      </c>
      <c r="V73" s="34" t="str">
        <f>V54</f>
        <v>Master recipe ► Enter the main recipe name</v>
      </c>
      <c r="W73" s="154">
        <f>W64</f>
        <v>0</v>
      </c>
      <c r="X73" s="154">
        <f>X64</f>
        <v>0</v>
      </c>
      <c r="Y73" s="155" t="s">
        <v>3296</v>
      </c>
      <c r="Z73" s="155"/>
      <c r="AA73" s="155"/>
      <c r="AB73" s="155"/>
      <c r="AC73" s="155"/>
      <c r="AD73" s="155"/>
      <c r="AE73" s="155"/>
      <c r="AF73" s="1477"/>
      <c r="AH73" s="104" t="s">
        <v>16</v>
      </c>
      <c r="AI73" s="32" t="str">
        <f>AI54</f>
        <v>N NOMBRE DE LA RECETA | | Autor &gt; USTED</v>
      </c>
      <c r="AJ73" s="33">
        <f>AJ54</f>
        <v>18</v>
      </c>
      <c r="AK73" s="32" t="str">
        <f>AK54</f>
        <v>postres</v>
      </c>
      <c r="AL73" s="34" t="str">
        <f>AL54</f>
        <v>Receta madre ► Introduzca el nombre de la receta principal</v>
      </c>
      <c r="AM73" s="154" t="str">
        <f>AM55</f>
        <v>Col.6</v>
      </c>
      <c r="AN73" s="154" t="str">
        <f>AN55</f>
        <v>Col.7</v>
      </c>
      <c r="AO73" s="155" t="s">
        <v>3298</v>
      </c>
      <c r="AP73" s="155"/>
      <c r="AQ73" s="155"/>
      <c r="AR73" s="155"/>
      <c r="AS73" s="155"/>
      <c r="AT73" s="155"/>
      <c r="AU73" s="155"/>
      <c r="AV73" s="1477"/>
      <c r="AX73" s="259"/>
      <c r="AY73" s="260"/>
      <c r="AZ73" s="267"/>
      <c r="BA73" s="262"/>
      <c r="BB73" s="5690" t="s">
        <v>3323</v>
      </c>
      <c r="BC73" s="5690"/>
      <c r="BD73" s="5691"/>
      <c r="BF73" s="259"/>
      <c r="BG73" s="260"/>
      <c r="BH73" s="267"/>
      <c r="BI73" s="262"/>
      <c r="BJ73" s="5690" t="s">
        <v>262</v>
      </c>
      <c r="BK73" s="5690"/>
      <c r="BL73" s="5691"/>
      <c r="BN73" s="259"/>
      <c r="BO73" s="260"/>
      <c r="BP73" s="267"/>
      <c r="BQ73" s="262"/>
      <c r="BR73" s="5679" t="s">
        <v>262</v>
      </c>
      <c r="BS73" s="5679"/>
      <c r="BT73" s="5680"/>
      <c r="BV73" s="3">
        <v>1</v>
      </c>
    </row>
    <row r="74" spans="2:74" ht="21" customHeight="1">
      <c r="B74" s="104" t="s">
        <v>16</v>
      </c>
      <c r="C74" s="157" t="str">
        <f>C54</f>
        <v>N NOM DE VOTRE RECETTE | | Auteur &gt; VOUS</v>
      </c>
      <c r="D74" s="157">
        <f>D54</f>
        <v>18</v>
      </c>
      <c r="E74" s="158" t="str">
        <f>E54</f>
        <v>desserts</v>
      </c>
      <c r="F74" s="159" t="str">
        <f>F54</f>
        <v>Recette mère ► Saisir le nom de la recette principale</v>
      </c>
      <c r="G74" s="160" t="s">
        <v>167</v>
      </c>
      <c r="H74" s="1483" t="s">
        <v>3328</v>
      </c>
      <c r="I74" s="162"/>
      <c r="J74" s="162"/>
      <c r="K74" s="172"/>
      <c r="L74" s="172"/>
      <c r="M74" s="172"/>
      <c r="N74" s="172"/>
      <c r="O74" s="156" t="s">
        <v>165</v>
      </c>
      <c r="P74" s="1484" t="s">
        <v>3276</v>
      </c>
      <c r="R74" s="104" t="s">
        <v>16</v>
      </c>
      <c r="S74" s="157" t="str">
        <f>S54</f>
        <v>N NAME OF YOUR RECIPE | |  Author &gt; YOU</v>
      </c>
      <c r="T74" s="157">
        <f>T54</f>
        <v>18</v>
      </c>
      <c r="U74" s="158" t="str">
        <f>U54</f>
        <v>desserts</v>
      </c>
      <c r="V74" s="159" t="str">
        <f>V54</f>
        <v>Master recipe ► Enter the main recipe name</v>
      </c>
      <c r="W74" s="232" t="s">
        <v>752</v>
      </c>
      <c r="X74" s="161" t="s">
        <v>3327</v>
      </c>
      <c r="Y74" s="162"/>
      <c r="Z74" s="162"/>
      <c r="AA74" s="172"/>
      <c r="AB74" s="172"/>
      <c r="AC74" s="172"/>
      <c r="AD74" s="172"/>
      <c r="AE74" s="156" t="s">
        <v>894</v>
      </c>
      <c r="AF74" s="1484" t="s">
        <v>3276</v>
      </c>
      <c r="AH74" s="104" t="s">
        <v>16</v>
      </c>
      <c r="AI74" s="157" t="str">
        <f>AI54</f>
        <v>N NOMBRE DE LA RECETA | | Autor &gt; USTED</v>
      </c>
      <c r="AJ74" s="157">
        <f>AJ54</f>
        <v>18</v>
      </c>
      <c r="AK74" s="158" t="str">
        <f>AK54</f>
        <v>postres</v>
      </c>
      <c r="AL74" s="159" t="str">
        <f>AL54</f>
        <v>Receta madre ► Introduzca el nombre de la receta principal</v>
      </c>
      <c r="AM74" s="232" t="s">
        <v>754</v>
      </c>
      <c r="AN74" s="161" t="s">
        <v>3325</v>
      </c>
      <c r="AO74" s="162"/>
      <c r="AP74" s="162"/>
      <c r="AQ74" s="172"/>
      <c r="AR74" s="172"/>
      <c r="AS74" s="172"/>
      <c r="AT74" s="172"/>
      <c r="AU74" s="905" t="s">
        <v>908</v>
      </c>
      <c r="AV74" s="1484" t="s">
        <v>3276</v>
      </c>
      <c r="AX74" s="259"/>
      <c r="AY74" s="260"/>
      <c r="AZ74" s="267"/>
      <c r="BA74" s="262"/>
      <c r="BB74" s="5690"/>
      <c r="BC74" s="5690"/>
      <c r="BD74" s="5691"/>
      <c r="BF74" s="259"/>
      <c r="BG74" s="260"/>
      <c r="BH74" s="267"/>
      <c r="BI74" s="262"/>
      <c r="BJ74" s="5690"/>
      <c r="BK74" s="5690"/>
      <c r="BL74" s="5691"/>
      <c r="BN74" s="259"/>
      <c r="BO74" s="260"/>
      <c r="BP74" s="267"/>
      <c r="BQ74" s="262"/>
      <c r="BR74" s="5679"/>
      <c r="BS74" s="5679"/>
      <c r="BT74" s="5680"/>
      <c r="BV74" s="3">
        <v>1</v>
      </c>
    </row>
    <row r="75" spans="2:74" ht="21" customHeight="1">
      <c r="B75" s="104" t="s">
        <v>16</v>
      </c>
      <c r="C75" s="157" t="str">
        <f>C54</f>
        <v>N NOM DE VOTRE RECETTE | | Auteur &gt; VOUS</v>
      </c>
      <c r="D75" s="157">
        <f>D54</f>
        <v>18</v>
      </c>
      <c r="E75" s="158" t="str">
        <f>E54</f>
        <v>desserts</v>
      </c>
      <c r="F75" s="159" t="str">
        <f>F54</f>
        <v>Recette mère ► Saisir le nom de la recette principale</v>
      </c>
      <c r="G75" s="172"/>
      <c r="H75" s="172"/>
      <c r="I75" s="172"/>
      <c r="J75" s="172"/>
      <c r="K75" s="172"/>
      <c r="L75" s="172"/>
      <c r="M75" s="172"/>
      <c r="N75" s="172"/>
      <c r="O75" s="1474" t="s">
        <v>168</v>
      </c>
      <c r="P75" s="1482" t="s">
        <v>668</v>
      </c>
      <c r="Q75" s="555"/>
      <c r="R75" s="104" t="s">
        <v>16</v>
      </c>
      <c r="S75" s="157" t="str">
        <f>S54</f>
        <v>N NAME OF YOUR RECIPE | |  Author &gt; YOU</v>
      </c>
      <c r="T75" s="157">
        <f>T54</f>
        <v>18</v>
      </c>
      <c r="U75" s="158" t="str">
        <f>U54</f>
        <v>desserts</v>
      </c>
      <c r="V75" s="159" t="str">
        <f>V54</f>
        <v>Master recipe ► Enter the main recipe name</v>
      </c>
      <c r="W75" s="172"/>
      <c r="X75" s="172"/>
      <c r="Y75" s="172"/>
      <c r="Z75" s="172"/>
      <c r="AA75" s="172"/>
      <c r="AB75" s="172"/>
      <c r="AC75" s="172"/>
      <c r="AD75" s="172"/>
      <c r="AE75" s="1474" t="s">
        <v>895</v>
      </c>
      <c r="AF75" s="1482" t="s">
        <v>668</v>
      </c>
      <c r="AH75" s="104" t="s">
        <v>16</v>
      </c>
      <c r="AI75" s="157" t="str">
        <f>AI54</f>
        <v>N NOMBRE DE LA RECETA | | Autor &gt; USTED</v>
      </c>
      <c r="AJ75" s="157">
        <f>AJ54</f>
        <v>18</v>
      </c>
      <c r="AK75" s="158" t="str">
        <f>AK54</f>
        <v>postres</v>
      </c>
      <c r="AL75" s="159" t="str">
        <f>AL54</f>
        <v>Receta madre ► Introduzca el nombre de la receta principal</v>
      </c>
      <c r="AM75" s="172"/>
      <c r="AN75" s="172"/>
      <c r="AO75" s="172"/>
      <c r="AP75" s="172"/>
      <c r="AQ75" s="172"/>
      <c r="AR75" s="172"/>
      <c r="AS75" s="172"/>
      <c r="AT75" s="172"/>
      <c r="AU75" s="1474" t="s">
        <v>909</v>
      </c>
      <c r="AV75" s="1482" t="s">
        <v>668</v>
      </c>
      <c r="AX75" s="259"/>
      <c r="AY75" s="239"/>
      <c r="AZ75" s="267"/>
      <c r="BA75" s="262"/>
      <c r="BB75" s="5690"/>
      <c r="BC75" s="5690"/>
      <c r="BD75" s="5691"/>
      <c r="BF75" s="259"/>
      <c r="BG75" s="239"/>
      <c r="BH75" s="267"/>
      <c r="BI75" s="262"/>
      <c r="BJ75" s="5690"/>
      <c r="BK75" s="5690"/>
      <c r="BL75" s="5691"/>
      <c r="BN75" s="259"/>
      <c r="BO75" s="239"/>
      <c r="BP75" s="267"/>
      <c r="BQ75" s="262"/>
      <c r="BR75" s="5679"/>
      <c r="BS75" s="5679"/>
      <c r="BT75" s="5680"/>
      <c r="BV75" s="3">
        <v>1</v>
      </c>
    </row>
    <row r="76" spans="2:74" ht="21" customHeight="1">
      <c r="B76" s="104" t="s">
        <v>16</v>
      </c>
      <c r="C76" s="157" t="str">
        <f>C54</f>
        <v>N NOM DE VOTRE RECETTE | | Auteur &gt; VOUS</v>
      </c>
      <c r="D76" s="157">
        <f>D54</f>
        <v>18</v>
      </c>
      <c r="E76" s="158" t="str">
        <f>E54</f>
        <v>desserts</v>
      </c>
      <c r="F76" s="159" t="str">
        <f>F54</f>
        <v>Recette mère ► Saisir le nom de la recette principale</v>
      </c>
      <c r="G76" s="172"/>
      <c r="H76" s="172"/>
      <c r="I76" s="172"/>
      <c r="J76" s="172"/>
      <c r="K76" s="172"/>
      <c r="L76" s="172"/>
      <c r="M76" s="172"/>
      <c r="N76" s="172"/>
      <c r="O76" s="172"/>
      <c r="P76" s="555"/>
      <c r="Q76" s="555"/>
      <c r="R76" s="104" t="s">
        <v>16</v>
      </c>
      <c r="S76" s="157" t="str">
        <f>S54</f>
        <v>N NAME OF YOUR RECIPE | |  Author &gt; YOU</v>
      </c>
      <c r="T76" s="157">
        <f>T54</f>
        <v>18</v>
      </c>
      <c r="U76" s="158" t="str">
        <f>U54</f>
        <v>desserts</v>
      </c>
      <c r="V76" s="159" t="str">
        <f>V54</f>
        <v>Master recipe ► Enter the main recipe name</v>
      </c>
      <c r="W76" s="172"/>
      <c r="X76" s="172"/>
      <c r="Y76" s="172"/>
      <c r="Z76" s="172"/>
      <c r="AA76" s="172"/>
      <c r="AB76" s="172"/>
      <c r="AC76" s="172"/>
      <c r="AD76" s="172"/>
      <c r="AE76" s="172"/>
      <c r="AF76" s="555"/>
      <c r="AH76" s="104" t="s">
        <v>16</v>
      </c>
      <c r="AI76" s="157" t="str">
        <f>AI54</f>
        <v>N NOMBRE DE LA RECETA | | Autor &gt; USTED</v>
      </c>
      <c r="AJ76" s="157">
        <f>AJ54</f>
        <v>18</v>
      </c>
      <c r="AK76" s="158" t="str">
        <f>AK54</f>
        <v>postres</v>
      </c>
      <c r="AL76" s="159" t="str">
        <f>AL54</f>
        <v>Receta madre ► Introduzca el nombre de la receta principal</v>
      </c>
      <c r="AM76" s="172"/>
      <c r="AN76" s="172"/>
      <c r="AO76" s="172"/>
      <c r="AP76" s="172"/>
      <c r="AQ76" s="172"/>
      <c r="AR76" s="172"/>
      <c r="AS76" s="172"/>
      <c r="AT76" s="172"/>
      <c r="AU76" s="172"/>
      <c r="AV76" s="555"/>
      <c r="AX76" s="272"/>
      <c r="AY76" s="273" t="s">
        <v>93</v>
      </c>
      <c r="AZ76" s="274" t="s">
        <v>264</v>
      </c>
      <c r="BA76" s="275"/>
      <c r="BB76" s="48"/>
      <c r="BC76" s="48"/>
      <c r="BD76" s="49"/>
      <c r="BF76" s="272"/>
      <c r="BG76" s="273" t="s">
        <v>93</v>
      </c>
      <c r="BH76" s="275"/>
      <c r="BI76" s="48"/>
      <c r="BJ76" s="48"/>
      <c r="BK76" s="48"/>
      <c r="BL76" s="49"/>
      <c r="BN76" s="272"/>
      <c r="BO76" s="273" t="s">
        <v>93</v>
      </c>
      <c r="BP76" s="275"/>
      <c r="BQ76" s="48"/>
      <c r="BR76" s="48"/>
      <c r="BS76" s="48"/>
      <c r="BT76" s="49"/>
      <c r="BV76" s="3">
        <v>1</v>
      </c>
    </row>
    <row r="77" spans="2:74" ht="21" customHeight="1">
      <c r="B77" s="104" t="s">
        <v>16</v>
      </c>
      <c r="C77" s="157" t="str">
        <f>C54</f>
        <v>N NOM DE VOTRE RECETTE | | Auteur &gt; VOUS</v>
      </c>
      <c r="D77" s="157">
        <f>D54</f>
        <v>18</v>
      </c>
      <c r="E77" s="158" t="str">
        <f>E54</f>
        <v>desserts</v>
      </c>
      <c r="F77" s="159" t="str">
        <f>F54</f>
        <v>Recette mère ► Saisir le nom de la recette principale</v>
      </c>
      <c r="G77" s="172"/>
      <c r="H77" s="172"/>
      <c r="I77" s="172"/>
      <c r="J77" s="172"/>
      <c r="K77" s="172"/>
      <c r="L77" s="172"/>
      <c r="M77" s="172"/>
      <c r="N77" s="172"/>
      <c r="O77" s="170" t="s">
        <v>172</v>
      </c>
      <c r="P77" s="171">
        <v>3.472222222222222E-3</v>
      </c>
      <c r="Q77" s="555"/>
      <c r="R77" s="104" t="s">
        <v>16</v>
      </c>
      <c r="S77" s="157" t="str">
        <f>S54</f>
        <v>N NAME OF YOUR RECIPE | |  Author &gt; YOU</v>
      </c>
      <c r="T77" s="157">
        <f>T54</f>
        <v>18</v>
      </c>
      <c r="U77" s="158" t="str">
        <f>U54</f>
        <v>desserts</v>
      </c>
      <c r="V77" s="159" t="str">
        <f>V54</f>
        <v>Master recipe ► Enter the main recipe name</v>
      </c>
      <c r="W77" s="172"/>
      <c r="X77" s="172"/>
      <c r="Y77" s="172"/>
      <c r="Z77" s="172"/>
      <c r="AA77" s="172"/>
      <c r="AB77" s="172"/>
      <c r="AC77" s="172"/>
      <c r="AD77" s="172"/>
      <c r="AE77" s="170" t="s">
        <v>676</v>
      </c>
      <c r="AF77" s="171">
        <v>3.472222222222222E-3</v>
      </c>
      <c r="AH77" s="104" t="s">
        <v>16</v>
      </c>
      <c r="AI77" s="157" t="str">
        <f>AI54</f>
        <v>N NOMBRE DE LA RECETA | | Autor &gt; USTED</v>
      </c>
      <c r="AJ77" s="157">
        <f>AJ54</f>
        <v>18</v>
      </c>
      <c r="AK77" s="158" t="str">
        <f>AK54</f>
        <v>postres</v>
      </c>
      <c r="AL77" s="159" t="str">
        <f>AL54</f>
        <v>Receta madre ► Introduzca el nombre de la receta principal</v>
      </c>
      <c r="AM77" s="172"/>
      <c r="AN77" s="172"/>
      <c r="AO77" s="172"/>
      <c r="AP77" s="172"/>
      <c r="AQ77" s="172"/>
      <c r="AR77" s="172"/>
      <c r="AS77" s="172"/>
      <c r="AT77" s="172"/>
      <c r="AU77" s="170" t="s">
        <v>677</v>
      </c>
      <c r="AV77" s="171">
        <v>3.472222222222222E-3</v>
      </c>
      <c r="AX77" s="272"/>
      <c r="AY77" s="223" t="s">
        <v>266</v>
      </c>
      <c r="AZ77" s="223"/>
      <c r="BA77" s="276"/>
      <c r="BB77" s="48"/>
      <c r="BC77" s="48"/>
      <c r="BD77" s="49"/>
      <c r="BF77" s="272"/>
      <c r="BG77" s="223" t="s">
        <v>267</v>
      </c>
      <c r="BH77" s="276"/>
      <c r="BI77" s="48"/>
      <c r="BJ77" s="48"/>
      <c r="BK77" s="48"/>
      <c r="BL77" s="49"/>
      <c r="BN77" s="272"/>
      <c r="BO77" s="223" t="s">
        <v>268</v>
      </c>
      <c r="BP77" s="276"/>
      <c r="BQ77" s="48"/>
      <c r="BR77" s="48"/>
      <c r="BS77" s="48"/>
      <c r="BT77" s="49"/>
      <c r="BV77" s="3">
        <v>1</v>
      </c>
    </row>
    <row r="78" spans="2:74" ht="21" customHeight="1">
      <c r="B78" s="104" t="s">
        <v>16</v>
      </c>
      <c r="C78" s="157" t="str">
        <f>C54</f>
        <v>N NOM DE VOTRE RECETTE | | Auteur &gt; VOUS</v>
      </c>
      <c r="D78" s="157">
        <f>D54</f>
        <v>18</v>
      </c>
      <c r="E78" s="158" t="str">
        <f>E54</f>
        <v>desserts</v>
      </c>
      <c r="F78" s="159" t="str">
        <f>F54</f>
        <v>Recette mère ► Saisir le nom de la recette principale</v>
      </c>
      <c r="G78" s="172"/>
      <c r="H78" s="172"/>
      <c r="I78" s="172"/>
      <c r="J78" s="172"/>
      <c r="K78" s="172"/>
      <c r="L78" s="172"/>
      <c r="M78" s="172"/>
      <c r="N78" s="172"/>
      <c r="O78" s="170" t="s">
        <v>174</v>
      </c>
      <c r="P78" s="174">
        <v>3.472222222222222E-3</v>
      </c>
      <c r="Q78" s="555"/>
      <c r="R78" s="104" t="s">
        <v>16</v>
      </c>
      <c r="S78" s="157" t="str">
        <f>S54</f>
        <v>N NAME OF YOUR RECIPE | |  Author &gt; YOU</v>
      </c>
      <c r="T78" s="157">
        <f>T54</f>
        <v>18</v>
      </c>
      <c r="U78" s="158" t="str">
        <f>U54</f>
        <v>desserts</v>
      </c>
      <c r="V78" s="159" t="str">
        <f>V54</f>
        <v>Master recipe ► Enter the main recipe name</v>
      </c>
      <c r="W78" s="172"/>
      <c r="X78" s="172"/>
      <c r="Y78" s="172"/>
      <c r="Z78" s="172"/>
      <c r="AA78" s="172"/>
      <c r="AB78" s="172"/>
      <c r="AC78" s="172"/>
      <c r="AD78" s="172"/>
      <c r="AE78" s="170" t="s">
        <v>682</v>
      </c>
      <c r="AF78" s="174">
        <v>3.472222222222222E-3</v>
      </c>
      <c r="AH78" s="104" t="s">
        <v>16</v>
      </c>
      <c r="AI78" s="157" t="str">
        <f>AI54</f>
        <v>N NOMBRE DE LA RECETA | | Autor &gt; USTED</v>
      </c>
      <c r="AJ78" s="157">
        <f>AJ54</f>
        <v>18</v>
      </c>
      <c r="AK78" s="158" t="str">
        <f>AK54</f>
        <v>postres</v>
      </c>
      <c r="AL78" s="159" t="str">
        <f>AL54</f>
        <v>Receta madre ► Introduzca el nombre de la receta principal</v>
      </c>
      <c r="AM78" s="172"/>
      <c r="AN78" s="172"/>
      <c r="AO78" s="172"/>
      <c r="AP78" s="172"/>
      <c r="AQ78" s="172"/>
      <c r="AR78" s="172"/>
      <c r="AS78" s="172"/>
      <c r="AT78" s="172"/>
      <c r="AU78" s="170" t="s">
        <v>683</v>
      </c>
      <c r="AV78" s="174">
        <v>3.472222222222222E-3</v>
      </c>
      <c r="AX78" s="259"/>
      <c r="AY78" s="239"/>
      <c r="AZ78" s="267"/>
      <c r="BA78" s="262"/>
      <c r="BB78" s="279"/>
      <c r="BC78" s="279"/>
      <c r="BD78" s="280"/>
      <c r="BF78" s="259"/>
      <c r="BG78" s="239"/>
      <c r="BH78" s="267"/>
      <c r="BI78" s="262"/>
      <c r="BJ78" s="279"/>
      <c r="BK78" s="279"/>
      <c r="BL78" s="280"/>
      <c r="BN78" s="259"/>
      <c r="BO78" s="239"/>
      <c r="BP78" s="267"/>
      <c r="BQ78" s="262"/>
      <c r="BR78" s="281"/>
      <c r="BS78" s="281"/>
      <c r="BT78" s="282"/>
      <c r="BV78" s="3">
        <v>1</v>
      </c>
    </row>
    <row r="79" spans="2:74" ht="21" customHeight="1">
      <c r="B79" s="104" t="s">
        <v>16</v>
      </c>
      <c r="C79" s="157" t="str">
        <f>C54</f>
        <v>N NOM DE VOTRE RECETTE | | Auteur &gt; VOUS</v>
      </c>
      <c r="D79" s="157">
        <f>D54</f>
        <v>18</v>
      </c>
      <c r="E79" s="158" t="str">
        <f>E54</f>
        <v>desserts</v>
      </c>
      <c r="F79" s="159" t="str">
        <f>F54</f>
        <v>Recette mère ► Saisir le nom de la recette principale</v>
      </c>
      <c r="G79" s="172"/>
      <c r="H79" s="172"/>
      <c r="I79" s="172"/>
      <c r="J79" s="172"/>
      <c r="K79" s="172"/>
      <c r="L79" s="172"/>
      <c r="M79" s="172"/>
      <c r="N79" s="172"/>
      <c r="O79" s="170" t="s">
        <v>182</v>
      </c>
      <c r="P79" s="175">
        <v>3.472222222222222E-3</v>
      </c>
      <c r="Q79" s="555"/>
      <c r="R79" s="104" t="s">
        <v>16</v>
      </c>
      <c r="S79" s="157" t="str">
        <f>S54</f>
        <v>N NAME OF YOUR RECIPE | |  Author &gt; YOU</v>
      </c>
      <c r="T79" s="157">
        <f>T54</f>
        <v>18</v>
      </c>
      <c r="U79" s="158" t="str">
        <f>U54</f>
        <v>desserts</v>
      </c>
      <c r="V79" s="159" t="str">
        <f>V54</f>
        <v>Master recipe ► Enter the main recipe name</v>
      </c>
      <c r="W79" s="172"/>
      <c r="X79" s="172"/>
      <c r="Y79" s="172"/>
      <c r="Z79" s="172"/>
      <c r="AA79" s="172"/>
      <c r="AB79" s="172"/>
      <c r="AC79" s="172"/>
      <c r="AD79" s="172"/>
      <c r="AE79" s="170" t="s">
        <v>684</v>
      </c>
      <c r="AF79" s="175">
        <v>3.472222222222222E-3</v>
      </c>
      <c r="AH79" s="104" t="s">
        <v>16</v>
      </c>
      <c r="AI79" s="157" t="str">
        <f>AI54</f>
        <v>N NOMBRE DE LA RECETA | | Autor &gt; USTED</v>
      </c>
      <c r="AJ79" s="157">
        <f>AJ54</f>
        <v>18</v>
      </c>
      <c r="AK79" s="158" t="str">
        <f>AK54</f>
        <v>postres</v>
      </c>
      <c r="AL79" s="159" t="str">
        <f>AL54</f>
        <v>Receta madre ► Introduzca el nombre de la receta principal</v>
      </c>
      <c r="AM79" s="172"/>
      <c r="AN79" s="172"/>
      <c r="AO79" s="172"/>
      <c r="AP79" s="172"/>
      <c r="AQ79" s="172"/>
      <c r="AR79" s="172"/>
      <c r="AS79" s="172"/>
      <c r="AT79" s="172"/>
      <c r="AU79" s="170" t="s">
        <v>911</v>
      </c>
      <c r="AV79" s="175">
        <v>3.472222222222222E-3</v>
      </c>
      <c r="AX79" s="259"/>
      <c r="AY79" s="239" t="s">
        <v>271</v>
      </c>
      <c r="AZ79" s="267"/>
      <c r="BA79" s="262"/>
      <c r="BB79" s="279"/>
      <c r="BC79" s="279"/>
      <c r="BD79" s="280"/>
      <c r="BF79" s="259"/>
      <c r="BG79" s="239" t="s">
        <v>272</v>
      </c>
      <c r="BH79" s="267"/>
      <c r="BI79" s="262"/>
      <c r="BJ79" s="279"/>
      <c r="BK79" s="279"/>
      <c r="BL79" s="280"/>
      <c r="BN79" s="259"/>
      <c r="BO79" s="239" t="s">
        <v>273</v>
      </c>
      <c r="BP79" s="267"/>
      <c r="BQ79" s="262"/>
      <c r="BR79" s="281"/>
      <c r="BS79" s="281"/>
      <c r="BT79" s="282"/>
      <c r="BV79" s="3">
        <v>1</v>
      </c>
    </row>
    <row r="80" spans="2:74" ht="21" customHeight="1" thickBot="1">
      <c r="B80" s="104" t="s">
        <v>16</v>
      </c>
      <c r="C80" s="157" t="str">
        <f>C54</f>
        <v>N NOM DE VOTRE RECETTE | | Auteur &gt; VOUS</v>
      </c>
      <c r="D80" s="157">
        <f>D54</f>
        <v>18</v>
      </c>
      <c r="E80" s="158" t="str">
        <f>E54</f>
        <v>desserts</v>
      </c>
      <c r="F80" s="159" t="str">
        <f>F54</f>
        <v>Recette mère ► Saisir le nom de la recette principale</v>
      </c>
      <c r="G80" s="172"/>
      <c r="H80" s="172"/>
      <c r="I80" s="172"/>
      <c r="J80" s="172"/>
      <c r="K80" s="172"/>
      <c r="L80" s="172"/>
      <c r="M80" s="172"/>
      <c r="N80" s="172"/>
      <c r="O80" s="176" t="s">
        <v>183</v>
      </c>
      <c r="P80" s="177">
        <f>P77+P78+P79</f>
        <v>1.0416666666666666E-2</v>
      </c>
      <c r="Q80" s="555"/>
      <c r="R80" s="104" t="s">
        <v>16</v>
      </c>
      <c r="S80" s="157" t="str">
        <f>S54</f>
        <v>N NAME OF YOUR RECIPE | |  Author &gt; YOU</v>
      </c>
      <c r="T80" s="157">
        <f>T54</f>
        <v>18</v>
      </c>
      <c r="U80" s="158" t="str">
        <f>U54</f>
        <v>desserts</v>
      </c>
      <c r="V80" s="159" t="str">
        <f>V54</f>
        <v>Master recipe ► Enter the main recipe name</v>
      </c>
      <c r="W80" s="172"/>
      <c r="X80" s="172"/>
      <c r="Y80" s="172"/>
      <c r="Z80" s="172"/>
      <c r="AA80" s="172"/>
      <c r="AB80" s="172"/>
      <c r="AC80" s="172"/>
      <c r="AD80" s="172"/>
      <c r="AE80" s="176" t="s">
        <v>183</v>
      </c>
      <c r="AF80" s="177">
        <f>AF77+AF78+AF79</f>
        <v>1.0416666666666666E-2</v>
      </c>
      <c r="AH80" s="104" t="s">
        <v>16</v>
      </c>
      <c r="AI80" s="157" t="str">
        <f>AI54</f>
        <v>N NOMBRE DE LA RECETA | | Autor &gt; USTED</v>
      </c>
      <c r="AJ80" s="157">
        <f>AJ54</f>
        <v>18</v>
      </c>
      <c r="AK80" s="158" t="str">
        <f>AK54</f>
        <v>postres</v>
      </c>
      <c r="AL80" s="159" t="str">
        <f>AL54</f>
        <v>Receta madre ► Introduzca el nombre de la receta principal</v>
      </c>
      <c r="AM80" s="172"/>
      <c r="AN80" s="172"/>
      <c r="AO80" s="172"/>
      <c r="AP80" s="172"/>
      <c r="AQ80" s="172"/>
      <c r="AR80" s="172"/>
      <c r="AS80" s="172"/>
      <c r="AT80" s="172"/>
      <c r="AU80" s="176" t="s">
        <v>183</v>
      </c>
      <c r="AV80" s="177">
        <f>AV77+AV78+AV79</f>
        <v>1.0416666666666666E-2</v>
      </c>
      <c r="AX80" s="238"/>
      <c r="AY80" s="48"/>
      <c r="AZ80" s="48"/>
      <c r="BA80" s="48"/>
      <c r="BB80" s="48"/>
      <c r="BC80" s="48"/>
      <c r="BD80" s="49"/>
      <c r="BF80" s="238"/>
      <c r="BG80" s="48"/>
      <c r="BH80" s="48"/>
      <c r="BI80" s="48"/>
      <c r="BJ80" s="48"/>
      <c r="BK80" s="48"/>
      <c r="BL80" s="49"/>
      <c r="BN80" s="238"/>
      <c r="BO80" s="48"/>
      <c r="BP80" s="48"/>
      <c r="BQ80" s="48"/>
      <c r="BR80" s="48"/>
      <c r="BS80" s="48"/>
      <c r="BT80" s="49"/>
      <c r="BV80" s="3">
        <v>1</v>
      </c>
    </row>
    <row r="81" spans="2:74" ht="21" customHeight="1" thickTop="1">
      <c r="B81" s="104" t="str">
        <f>IF(OR(G81&lt;&gt;"",H81&lt;&gt; "",I81&lt;&gt;"",J81&lt;&gt;""),"A", "►")</f>
        <v>►</v>
      </c>
      <c r="C81" s="157" t="str">
        <f>C54</f>
        <v>N NOM DE VOTRE RECETTE | | Auteur &gt; VOUS</v>
      </c>
      <c r="D81" s="157">
        <f>D54</f>
        <v>18</v>
      </c>
      <c r="E81" s="158" t="str">
        <f>E54</f>
        <v>desserts</v>
      </c>
      <c r="F81" s="159" t="str">
        <f>F54</f>
        <v>Recette mère ► Saisir le nom de la recette principale</v>
      </c>
      <c r="G81" s="172"/>
      <c r="H81" s="172"/>
      <c r="I81" s="172"/>
      <c r="J81" s="172"/>
      <c r="K81" s="172"/>
      <c r="L81" s="172"/>
      <c r="M81" s="172"/>
      <c r="N81" s="172"/>
      <c r="O81" s="172"/>
      <c r="P81" s="555"/>
      <c r="Q81" s="555"/>
      <c r="R81" s="104" t="str">
        <f>IF(OR(W81&lt;&gt;"",X81&lt;&gt; "",Y81&lt;&gt;"",Z81&lt;&gt;""),"A", "►")</f>
        <v>►</v>
      </c>
      <c r="S81" s="157" t="str">
        <f>S54</f>
        <v>N NAME OF YOUR RECIPE | |  Author &gt; YOU</v>
      </c>
      <c r="T81" s="157">
        <f>T54</f>
        <v>18</v>
      </c>
      <c r="U81" s="158" t="str">
        <f>U54</f>
        <v>desserts</v>
      </c>
      <c r="V81" s="159" t="str">
        <f>V54</f>
        <v>Master recipe ► Enter the main recipe name</v>
      </c>
      <c r="W81" s="172"/>
      <c r="X81" s="172"/>
      <c r="Y81" s="172"/>
      <c r="Z81" s="172"/>
      <c r="AA81" s="172"/>
      <c r="AB81" s="172"/>
      <c r="AC81" s="172"/>
      <c r="AD81" s="172"/>
      <c r="AE81" s="172"/>
      <c r="AF81" s="555"/>
      <c r="AH81" s="104" t="str">
        <f>IF(OR(AM81&lt;&gt;"",AN81&lt;&gt; "",AO81&lt;&gt;"",AP81&lt;&gt;""),"A", "►")</f>
        <v>►</v>
      </c>
      <c r="AI81" s="157" t="str">
        <f>AI54</f>
        <v>N NOMBRE DE LA RECETA | | Autor &gt; USTED</v>
      </c>
      <c r="AJ81" s="157">
        <f>AJ54</f>
        <v>18</v>
      </c>
      <c r="AK81" s="158" t="str">
        <f>AK54</f>
        <v>postres</v>
      </c>
      <c r="AL81" s="159" t="str">
        <f>AL54</f>
        <v>Receta madre ► Introduzca el nombre de la receta principal</v>
      </c>
      <c r="AM81" s="172"/>
      <c r="AN81" s="172"/>
      <c r="AO81" s="172"/>
      <c r="AP81" s="172"/>
      <c r="AQ81" s="172"/>
      <c r="AR81" s="172"/>
      <c r="AS81" s="172"/>
      <c r="AT81" s="172"/>
      <c r="AU81" s="172"/>
      <c r="AV81" s="555"/>
      <c r="AX81" s="283" t="s">
        <v>82</v>
      </c>
      <c r="AY81" s="5681" t="s">
        <v>274</v>
      </c>
      <c r="AZ81" s="5682"/>
      <c r="BA81" s="5682"/>
      <c r="BB81" s="5685" t="s">
        <v>275</v>
      </c>
      <c r="BC81" s="5567" t="s">
        <v>276</v>
      </c>
      <c r="BD81" s="5687"/>
      <c r="BF81" s="283" t="s">
        <v>82</v>
      </c>
      <c r="BG81" s="5681" t="s">
        <v>277</v>
      </c>
      <c r="BH81" s="5682"/>
      <c r="BI81" s="5682"/>
      <c r="BJ81" s="5685" t="s">
        <v>278</v>
      </c>
      <c r="BK81" s="5567" t="s">
        <v>279</v>
      </c>
      <c r="BL81" s="5687"/>
      <c r="BN81" s="283" t="s">
        <v>82</v>
      </c>
      <c r="BO81" s="5681" t="s">
        <v>280</v>
      </c>
      <c r="BP81" s="5682"/>
      <c r="BQ81" s="5682"/>
      <c r="BR81" s="5685" t="s">
        <v>281</v>
      </c>
      <c r="BS81" s="5567" t="s">
        <v>282</v>
      </c>
      <c r="BT81" s="5687"/>
      <c r="BV81" s="3">
        <v>1</v>
      </c>
    </row>
    <row r="82" spans="2:74" ht="21" customHeight="1">
      <c r="B82" s="104" t="str">
        <f>IF(OR(G82&lt;&gt;"",H82&lt;&gt; "",I82&lt;&gt;"",J82&lt;&gt;""),"A", "►")</f>
        <v>►</v>
      </c>
      <c r="C82" s="157" t="str">
        <f>C54</f>
        <v>N NOM DE VOTRE RECETTE | | Auteur &gt; VOUS</v>
      </c>
      <c r="D82" s="157">
        <f>D54</f>
        <v>18</v>
      </c>
      <c r="E82" s="158" t="str">
        <f>E54</f>
        <v>desserts</v>
      </c>
      <c r="F82" s="159" t="str">
        <f>F54</f>
        <v>Recette mère ► Saisir le nom de la recette principale</v>
      </c>
      <c r="G82" s="172"/>
      <c r="H82" s="172"/>
      <c r="I82" s="172"/>
      <c r="J82" s="172"/>
      <c r="K82" s="172"/>
      <c r="L82" s="172"/>
      <c r="M82" s="172"/>
      <c r="N82" s="172"/>
      <c r="O82" s="172"/>
      <c r="P82" s="555"/>
      <c r="Q82" s="555"/>
      <c r="R82" s="104" t="str">
        <f>IF(OR(W82&lt;&gt;"",X82&lt;&gt; "",Y82&lt;&gt;"",Z82&lt;&gt;""),"A", "►")</f>
        <v>►</v>
      </c>
      <c r="S82" s="157" t="str">
        <f>S54</f>
        <v>N NAME OF YOUR RECIPE | |  Author &gt; YOU</v>
      </c>
      <c r="T82" s="157">
        <f>T54</f>
        <v>18</v>
      </c>
      <c r="U82" s="158" t="str">
        <f>U54</f>
        <v>desserts</v>
      </c>
      <c r="V82" s="159" t="str">
        <f>V54</f>
        <v>Master recipe ► Enter the main recipe name</v>
      </c>
      <c r="W82" s="172"/>
      <c r="X82" s="172"/>
      <c r="Y82" s="172"/>
      <c r="Z82" s="172"/>
      <c r="AA82" s="172"/>
      <c r="AB82" s="172"/>
      <c r="AC82" s="172"/>
      <c r="AD82" s="172"/>
      <c r="AE82" s="172"/>
      <c r="AF82" s="555"/>
      <c r="AH82" s="104" t="str">
        <f>IF(OR(AM82&lt;&gt;"",AN82&lt;&gt; "",AO82&lt;&gt;"",AP82&lt;&gt;""),"A", "►")</f>
        <v>►</v>
      </c>
      <c r="AI82" s="157" t="str">
        <f>AI54</f>
        <v>N NOMBRE DE LA RECETA | | Autor &gt; USTED</v>
      </c>
      <c r="AJ82" s="157">
        <f>AJ54</f>
        <v>18</v>
      </c>
      <c r="AK82" s="158" t="str">
        <f>AK54</f>
        <v>postres</v>
      </c>
      <c r="AL82" s="159" t="str">
        <f>AL54</f>
        <v>Receta madre ► Introduzca el nombre de la receta principal</v>
      </c>
      <c r="AM82" s="172"/>
      <c r="AN82" s="172"/>
      <c r="AO82" s="172"/>
      <c r="AP82" s="172"/>
      <c r="AQ82" s="172"/>
      <c r="AR82" s="172"/>
      <c r="AS82" s="172"/>
      <c r="AT82" s="172"/>
      <c r="AU82" s="172"/>
      <c r="AV82" s="555"/>
      <c r="AX82" s="285" t="s">
        <v>94</v>
      </c>
      <c r="AY82" s="5683"/>
      <c r="AZ82" s="5684"/>
      <c r="BA82" s="5684"/>
      <c r="BB82" s="5686"/>
      <c r="BC82" s="5688"/>
      <c r="BD82" s="5689"/>
      <c r="BF82" s="285" t="s">
        <v>233</v>
      </c>
      <c r="BG82" s="5683"/>
      <c r="BH82" s="5684"/>
      <c r="BI82" s="5684"/>
      <c r="BJ82" s="5686"/>
      <c r="BK82" s="5688"/>
      <c r="BL82" s="5689"/>
      <c r="BN82" s="285" t="s">
        <v>284</v>
      </c>
      <c r="BO82" s="5683"/>
      <c r="BP82" s="5684"/>
      <c r="BQ82" s="5684"/>
      <c r="BR82" s="5686"/>
      <c r="BS82" s="5688"/>
      <c r="BT82" s="5689"/>
      <c r="BV82" s="3">
        <v>1</v>
      </c>
    </row>
    <row r="83" spans="2:74" ht="21" customHeight="1">
      <c r="B83" s="104" t="str">
        <f>IF(OR(G83&lt;&gt;"",H83&lt;&gt; "",I83&lt;&gt;"",J83&lt;&gt;""),"A", "►")</f>
        <v>►</v>
      </c>
      <c r="C83" s="157" t="str">
        <f>C54</f>
        <v>N NOM DE VOTRE RECETTE | | Auteur &gt; VOUS</v>
      </c>
      <c r="D83" s="157">
        <f>D54</f>
        <v>18</v>
      </c>
      <c r="E83" s="158" t="str">
        <f>E54</f>
        <v>desserts</v>
      </c>
      <c r="F83" s="159" t="str">
        <f>F54</f>
        <v>Recette mère ► Saisir le nom de la recette principale</v>
      </c>
      <c r="G83" s="172"/>
      <c r="H83" s="172"/>
      <c r="I83" s="172"/>
      <c r="J83" s="172"/>
      <c r="K83" s="172"/>
      <c r="L83" s="172"/>
      <c r="M83" s="172"/>
      <c r="N83" s="172"/>
      <c r="O83" s="172"/>
      <c r="P83" s="555"/>
      <c r="Q83" s="555"/>
      <c r="R83" s="104" t="str">
        <f>IF(OR(W83&lt;&gt;"",X83&lt;&gt; "",Y83&lt;&gt;"",Z83&lt;&gt;""),"A", "►")</f>
        <v>►</v>
      </c>
      <c r="S83" s="157" t="str">
        <f>S54</f>
        <v>N NAME OF YOUR RECIPE | |  Author &gt; YOU</v>
      </c>
      <c r="T83" s="157">
        <f>T54</f>
        <v>18</v>
      </c>
      <c r="U83" s="158" t="str">
        <f>U54</f>
        <v>desserts</v>
      </c>
      <c r="V83" s="159" t="str">
        <f>V54</f>
        <v>Master recipe ► Enter the main recipe name</v>
      </c>
      <c r="W83" s="172"/>
      <c r="X83" s="172"/>
      <c r="Y83" s="172"/>
      <c r="Z83" s="172"/>
      <c r="AA83" s="172"/>
      <c r="AB83" s="172"/>
      <c r="AC83" s="172"/>
      <c r="AD83" s="172"/>
      <c r="AE83" s="172"/>
      <c r="AF83" s="555"/>
      <c r="AH83" s="104" t="str">
        <f>IF(OR(AM83&lt;&gt;"",AN83&lt;&gt; "",AO83&lt;&gt;"",AP83&lt;&gt;""),"A", "►")</f>
        <v>►</v>
      </c>
      <c r="AI83" s="157" t="str">
        <f>AI54</f>
        <v>N NOMBRE DE LA RECETA | | Autor &gt; USTED</v>
      </c>
      <c r="AJ83" s="157">
        <f>AJ54</f>
        <v>18</v>
      </c>
      <c r="AK83" s="158" t="str">
        <f>AK54</f>
        <v>postres</v>
      </c>
      <c r="AL83" s="159" t="str">
        <f>AL54</f>
        <v>Receta madre ► Introduzca el nombre de la receta principal</v>
      </c>
      <c r="AM83" s="172"/>
      <c r="AN83" s="172"/>
      <c r="AO83" s="172"/>
      <c r="AP83" s="172"/>
      <c r="AQ83" s="172"/>
      <c r="AR83" s="172"/>
      <c r="AS83" s="172"/>
      <c r="AT83" s="172"/>
      <c r="AU83" s="172"/>
      <c r="AV83" s="555"/>
      <c r="AX83" s="286" t="s">
        <v>286</v>
      </c>
      <c r="AY83" s="287">
        <v>1.1100000000000001</v>
      </c>
      <c r="AZ83" s="288" t="s">
        <v>287</v>
      </c>
      <c r="BA83" s="289" t="s">
        <v>288</v>
      </c>
      <c r="BB83" s="290">
        <v>20</v>
      </c>
      <c r="BC83" s="291">
        <v>0.88800000000000012</v>
      </c>
      <c r="BD83" s="292" t="s">
        <v>289</v>
      </c>
      <c r="BF83" s="286" t="s">
        <v>290</v>
      </c>
      <c r="BG83" s="287">
        <v>1.1100000000000001</v>
      </c>
      <c r="BH83" s="288" t="s">
        <v>287</v>
      </c>
      <c r="BI83" s="289" t="s">
        <v>288</v>
      </c>
      <c r="BJ83" s="290">
        <v>20</v>
      </c>
      <c r="BK83" s="291">
        <v>0.88800000000000012</v>
      </c>
      <c r="BL83" s="292" t="s">
        <v>289</v>
      </c>
      <c r="BN83" s="286" t="s">
        <v>291</v>
      </c>
      <c r="BO83" s="287">
        <v>1.1100000000000001</v>
      </c>
      <c r="BP83" s="288" t="s">
        <v>287</v>
      </c>
      <c r="BQ83" s="289" t="s">
        <v>288</v>
      </c>
      <c r="BR83" s="290">
        <v>20</v>
      </c>
      <c r="BS83" s="291">
        <v>0.88800000000000012</v>
      </c>
      <c r="BT83" s="292" t="s">
        <v>289</v>
      </c>
      <c r="BV83" s="3">
        <v>1</v>
      </c>
    </row>
    <row r="84" spans="2:74" ht="21" customHeight="1">
      <c r="B84" s="104" t="str">
        <f>IF(OR(G84&lt;&gt;"",H84&lt;&gt; "",I84&lt;&gt;"",J84&lt;&gt;""),"A", "►")</f>
        <v>►</v>
      </c>
      <c r="C84" s="157" t="str">
        <f>C54</f>
        <v>N NOM DE VOTRE RECETTE | | Auteur &gt; VOUS</v>
      </c>
      <c r="D84" s="157">
        <f>D54</f>
        <v>18</v>
      </c>
      <c r="E84" s="158" t="str">
        <f>E54</f>
        <v>desserts</v>
      </c>
      <c r="F84" s="159" t="str">
        <f>F54</f>
        <v>Recette mère ► Saisir le nom de la recette principale</v>
      </c>
      <c r="G84" s="172"/>
      <c r="H84" s="172"/>
      <c r="I84" s="172"/>
      <c r="J84" s="172"/>
      <c r="K84" s="172"/>
      <c r="L84" s="172"/>
      <c r="M84" s="172"/>
      <c r="N84" s="172"/>
      <c r="O84" s="172"/>
      <c r="P84" s="555"/>
      <c r="Q84" s="555"/>
      <c r="R84" s="104" t="str">
        <f>IF(OR(W84&lt;&gt;"",X84&lt;&gt; "",Y84&lt;&gt;"",Z84&lt;&gt;""),"A", "►")</f>
        <v>►</v>
      </c>
      <c r="S84" s="157" t="str">
        <f>S54</f>
        <v>N NAME OF YOUR RECIPE | |  Author &gt; YOU</v>
      </c>
      <c r="T84" s="157">
        <f>T54</f>
        <v>18</v>
      </c>
      <c r="U84" s="158" t="str">
        <f>U54</f>
        <v>desserts</v>
      </c>
      <c r="V84" s="159" t="str">
        <f>V54</f>
        <v>Master recipe ► Enter the main recipe name</v>
      </c>
      <c r="W84" s="172"/>
      <c r="X84" s="172"/>
      <c r="Y84" s="172"/>
      <c r="Z84" s="172"/>
      <c r="AA84" s="172"/>
      <c r="AB84" s="172"/>
      <c r="AC84" s="172"/>
      <c r="AD84" s="172"/>
      <c r="AE84" s="172"/>
      <c r="AF84" s="555"/>
      <c r="AH84" s="104" t="str">
        <f>IF(OR(AM84&lt;&gt;"",AN84&lt;&gt; "",AO84&lt;&gt;"",AP84&lt;&gt;""),"A", "►")</f>
        <v>►</v>
      </c>
      <c r="AI84" s="157" t="str">
        <f>AI54</f>
        <v>N NOMBRE DE LA RECETA | | Autor &gt; USTED</v>
      </c>
      <c r="AJ84" s="157">
        <f>AJ54</f>
        <v>18</v>
      </c>
      <c r="AK84" s="158" t="str">
        <f>AK54</f>
        <v>postres</v>
      </c>
      <c r="AL84" s="159" t="str">
        <f>AL54</f>
        <v>Receta madre ► Introduzca el nombre de la receta principal</v>
      </c>
      <c r="AM84" s="172"/>
      <c r="AN84" s="172"/>
      <c r="AO84" s="172"/>
      <c r="AP84" s="172"/>
      <c r="AQ84" s="172"/>
      <c r="AR84" s="172"/>
      <c r="AS84" s="172"/>
      <c r="AT84" s="172"/>
      <c r="AU84" s="172"/>
      <c r="AV84" s="555"/>
      <c r="AX84" s="286" t="s">
        <v>293</v>
      </c>
      <c r="AY84" s="293">
        <v>0.13319999999999999</v>
      </c>
      <c r="AZ84" s="288" t="s">
        <v>294</v>
      </c>
      <c r="BA84" s="289" t="s">
        <v>295</v>
      </c>
      <c r="BB84" s="290">
        <v>10</v>
      </c>
      <c r="BC84" s="294">
        <v>0.11987999999999999</v>
      </c>
      <c r="BD84" s="295" t="s">
        <v>296</v>
      </c>
      <c r="BF84" s="286" t="s">
        <v>297</v>
      </c>
      <c r="BG84" s="293">
        <v>0.13319999999999999</v>
      </c>
      <c r="BH84" s="288" t="s">
        <v>294</v>
      </c>
      <c r="BI84" s="289" t="s">
        <v>295</v>
      </c>
      <c r="BJ84" s="290">
        <v>10</v>
      </c>
      <c r="BK84" s="294">
        <v>0.11987999999999999</v>
      </c>
      <c r="BL84" s="295" t="s">
        <v>296</v>
      </c>
      <c r="BN84" s="286" t="s">
        <v>297</v>
      </c>
      <c r="BO84" s="293">
        <v>0.13319999999999999</v>
      </c>
      <c r="BP84" s="288" t="s">
        <v>294</v>
      </c>
      <c r="BQ84" s="289" t="s">
        <v>295</v>
      </c>
      <c r="BR84" s="290">
        <v>10</v>
      </c>
      <c r="BS84" s="294">
        <v>0.11987999999999999</v>
      </c>
      <c r="BT84" s="295" t="s">
        <v>296</v>
      </c>
      <c r="BV84" s="3">
        <v>1</v>
      </c>
    </row>
    <row r="85" spans="2:74" ht="21" customHeight="1">
      <c r="B85" s="104" t="str">
        <f>IF(OR(G85&lt;&gt;"",H85&lt;&gt; "",I85&lt;&gt;"",J85&lt;&gt;""),"A", "►")</f>
        <v>►</v>
      </c>
      <c r="C85" s="157" t="str">
        <f>C54</f>
        <v>N NOM DE VOTRE RECETTE | | Auteur &gt; VOUS</v>
      </c>
      <c r="D85" s="157">
        <f>D54</f>
        <v>18</v>
      </c>
      <c r="E85" s="158" t="str">
        <f>E54</f>
        <v>desserts</v>
      </c>
      <c r="F85" s="159" t="str">
        <f>F54</f>
        <v>Recette mère ► Saisir le nom de la recette principale</v>
      </c>
      <c r="G85" s="172"/>
      <c r="H85" s="172"/>
      <c r="I85" s="172"/>
      <c r="J85" s="172"/>
      <c r="K85" s="172"/>
      <c r="L85" s="172"/>
      <c r="M85" s="172"/>
      <c r="N85" s="172"/>
      <c r="O85" s="172"/>
      <c r="P85" s="555"/>
      <c r="Q85" s="555"/>
      <c r="R85" s="104" t="str">
        <f>IF(OR(W85&lt;&gt;"",X85&lt;&gt; "",Y85&lt;&gt;"",Z85&lt;&gt;""),"A", "►")</f>
        <v>►</v>
      </c>
      <c r="S85" s="157" t="str">
        <f>S54</f>
        <v>N NAME OF YOUR RECIPE | |  Author &gt; YOU</v>
      </c>
      <c r="T85" s="157">
        <f>T54</f>
        <v>18</v>
      </c>
      <c r="U85" s="158" t="str">
        <f>U54</f>
        <v>desserts</v>
      </c>
      <c r="V85" s="159" t="str">
        <f>V54</f>
        <v>Master recipe ► Enter the main recipe name</v>
      </c>
      <c r="W85" s="172"/>
      <c r="X85" s="172"/>
      <c r="Y85" s="172"/>
      <c r="Z85" s="172"/>
      <c r="AA85" s="172"/>
      <c r="AB85" s="172"/>
      <c r="AC85" s="172"/>
      <c r="AD85" s="172"/>
      <c r="AE85" s="172"/>
      <c r="AF85" s="555"/>
      <c r="AH85" s="104" t="str">
        <f>IF(OR(AM85&lt;&gt;"",AN85&lt;&gt; "",AO85&lt;&gt;"",AP85&lt;&gt;""),"A", "►")</f>
        <v>►</v>
      </c>
      <c r="AI85" s="157" t="str">
        <f>AI54</f>
        <v>N NOMBRE DE LA RECETA | | Autor &gt; USTED</v>
      </c>
      <c r="AJ85" s="157">
        <f>AJ54</f>
        <v>18</v>
      </c>
      <c r="AK85" s="158" t="str">
        <f>AK54</f>
        <v>postres</v>
      </c>
      <c r="AL85" s="159" t="str">
        <f>AL54</f>
        <v>Receta madre ► Introduzca el nombre de la receta principal</v>
      </c>
      <c r="AM85" s="172"/>
      <c r="AN85" s="172"/>
      <c r="AO85" s="172"/>
      <c r="AP85" s="172"/>
      <c r="AQ85" s="172"/>
      <c r="AR85" s="172"/>
      <c r="AS85" s="172"/>
      <c r="AT85" s="172"/>
      <c r="AU85" s="172"/>
      <c r="AV85" s="555"/>
      <c r="AX85" s="286" t="s">
        <v>298</v>
      </c>
      <c r="AY85" s="293">
        <v>8.3249999999999993</v>
      </c>
      <c r="AZ85" s="288" t="s">
        <v>299</v>
      </c>
      <c r="BA85" s="289" t="s">
        <v>300</v>
      </c>
      <c r="BB85" s="290">
        <v>30</v>
      </c>
      <c r="BC85" s="294">
        <v>5.8274999999999997</v>
      </c>
      <c r="BD85" s="295" t="s">
        <v>301</v>
      </c>
      <c r="BF85" s="286" t="s">
        <v>302</v>
      </c>
      <c r="BG85" s="293">
        <v>8.3249999999999993</v>
      </c>
      <c r="BH85" s="288" t="s">
        <v>299</v>
      </c>
      <c r="BI85" s="289" t="s">
        <v>300</v>
      </c>
      <c r="BJ85" s="290">
        <v>30</v>
      </c>
      <c r="BK85" s="294">
        <v>5.8274999999999997</v>
      </c>
      <c r="BL85" s="295" t="s">
        <v>301</v>
      </c>
      <c r="BN85" s="286" t="s">
        <v>303</v>
      </c>
      <c r="BO85" s="293">
        <v>8.3249999999999993</v>
      </c>
      <c r="BP85" s="288" t="s">
        <v>299</v>
      </c>
      <c r="BQ85" s="289" t="s">
        <v>300</v>
      </c>
      <c r="BR85" s="290">
        <v>30</v>
      </c>
      <c r="BS85" s="294">
        <v>5.8274999999999997</v>
      </c>
      <c r="BT85" s="295" t="s">
        <v>301</v>
      </c>
      <c r="BV85" s="3">
        <v>1</v>
      </c>
    </row>
    <row r="86" spans="2:74" ht="21" customHeight="1">
      <c r="B86" s="196" t="s">
        <v>16</v>
      </c>
      <c r="C86" s="157" t="str">
        <f>C54</f>
        <v>N NOM DE VOTRE RECETTE | | Auteur &gt; VOUS</v>
      </c>
      <c r="D86" s="157">
        <f>D54</f>
        <v>18</v>
      </c>
      <c r="E86" s="158" t="str">
        <f>E54</f>
        <v>desserts</v>
      </c>
      <c r="F86" s="159" t="str">
        <f>F54</f>
        <v>Recette mère ► Saisir le nom de la recette principale</v>
      </c>
      <c r="G86" s="172"/>
      <c r="H86" s="172"/>
      <c r="I86" s="172"/>
      <c r="J86" s="172"/>
      <c r="K86" s="172"/>
      <c r="L86" s="172"/>
      <c r="M86" s="172"/>
      <c r="N86" s="172"/>
      <c r="O86" s="172"/>
      <c r="P86" s="555"/>
      <c r="Q86" s="555"/>
      <c r="R86" s="196" t="s">
        <v>16</v>
      </c>
      <c r="S86" s="157" t="str">
        <f>S54</f>
        <v>N NAME OF YOUR RECIPE | |  Author &gt; YOU</v>
      </c>
      <c r="T86" s="157">
        <f>T54</f>
        <v>18</v>
      </c>
      <c r="U86" s="158" t="str">
        <f>U54</f>
        <v>desserts</v>
      </c>
      <c r="V86" s="159" t="str">
        <f>V54</f>
        <v>Master recipe ► Enter the main recipe name</v>
      </c>
      <c r="W86" s="172"/>
      <c r="X86" s="172"/>
      <c r="Y86" s="172"/>
      <c r="Z86" s="172"/>
      <c r="AA86" s="172"/>
      <c r="AB86" s="172"/>
      <c r="AC86" s="172"/>
      <c r="AD86" s="172"/>
      <c r="AE86" s="172"/>
      <c r="AF86" s="555"/>
      <c r="AH86" s="196" t="s">
        <v>16</v>
      </c>
      <c r="AI86" s="157" t="str">
        <f>AI54</f>
        <v>N NOMBRE DE LA RECETA | | Autor &gt; USTED</v>
      </c>
      <c r="AJ86" s="157">
        <f>AJ54</f>
        <v>18</v>
      </c>
      <c r="AK86" s="158" t="str">
        <f>AK54</f>
        <v>postres</v>
      </c>
      <c r="AL86" s="159" t="str">
        <f>AL54</f>
        <v>Receta madre ► Introduzca el nombre de la receta principal</v>
      </c>
      <c r="AM86" s="172"/>
      <c r="AN86" s="172"/>
      <c r="AO86" s="172"/>
      <c r="AP86" s="172"/>
      <c r="AQ86" s="172"/>
      <c r="AR86" s="172"/>
      <c r="AS86" s="172"/>
      <c r="AT86" s="172"/>
      <c r="AU86" s="172"/>
      <c r="AV86" s="555"/>
      <c r="AX86" s="296"/>
      <c r="AY86" s="297"/>
      <c r="AZ86" s="298"/>
      <c r="BA86" s="289"/>
      <c r="BB86" s="299"/>
      <c r="BC86" s="300"/>
      <c r="BD86" s="301"/>
      <c r="BF86" s="296"/>
      <c r="BG86" s="297"/>
      <c r="BH86" s="298"/>
      <c r="BI86" s="289"/>
      <c r="BJ86" s="299"/>
      <c r="BK86" s="300"/>
      <c r="BL86" s="301"/>
      <c r="BN86" s="296"/>
      <c r="BO86" s="297"/>
      <c r="BP86" s="298"/>
      <c r="BQ86" s="289"/>
      <c r="BR86" s="299"/>
      <c r="BS86" s="300"/>
      <c r="BT86" s="301"/>
      <c r="BV86" s="3">
        <v>1</v>
      </c>
    </row>
    <row r="87" spans="2:74" ht="21" customHeight="1">
      <c r="B87" s="196" t="s">
        <v>11</v>
      </c>
      <c r="C87" s="157" t="str">
        <f>C54</f>
        <v>N NOM DE VOTRE RECETTE | | Auteur &gt; VOUS</v>
      </c>
      <c r="D87" s="157">
        <f>D54</f>
        <v>18</v>
      </c>
      <c r="E87" s="158" t="str">
        <f>E54</f>
        <v>desserts</v>
      </c>
      <c r="F87" s="159" t="str">
        <f>F54</f>
        <v>Recette mère ► Saisir le nom de la recette principale</v>
      </c>
      <c r="G87" s="172"/>
      <c r="H87" s="172"/>
      <c r="I87" s="172"/>
      <c r="J87" s="172"/>
      <c r="K87" s="172"/>
      <c r="L87" s="172"/>
      <c r="M87" s="172"/>
      <c r="N87" s="172"/>
      <c r="O87" s="172"/>
      <c r="P87" s="555"/>
      <c r="Q87" s="555"/>
      <c r="R87" s="196" t="s">
        <v>11</v>
      </c>
      <c r="S87" s="157" t="str">
        <f>S54</f>
        <v>N NAME OF YOUR RECIPE | |  Author &gt; YOU</v>
      </c>
      <c r="T87" s="157">
        <f>T54</f>
        <v>18</v>
      </c>
      <c r="U87" s="158" t="str">
        <f>U54</f>
        <v>desserts</v>
      </c>
      <c r="V87" s="159" t="str">
        <f>V54</f>
        <v>Master recipe ► Enter the main recipe name</v>
      </c>
      <c r="W87" s="172"/>
      <c r="X87" s="172"/>
      <c r="Y87" s="172"/>
      <c r="Z87" s="172"/>
      <c r="AA87" s="172"/>
      <c r="AB87" s="172"/>
      <c r="AC87" s="172"/>
      <c r="AD87" s="172"/>
      <c r="AE87" s="172"/>
      <c r="AF87" s="555"/>
      <c r="AH87" s="196" t="s">
        <v>11</v>
      </c>
      <c r="AI87" s="157" t="str">
        <f>AI54</f>
        <v>N NOMBRE DE LA RECETA | | Autor &gt; USTED</v>
      </c>
      <c r="AJ87" s="157">
        <f>AJ54</f>
        <v>18</v>
      </c>
      <c r="AK87" s="158" t="str">
        <f>AK54</f>
        <v>postres</v>
      </c>
      <c r="AL87" s="159" t="str">
        <f>AL54</f>
        <v>Receta madre ► Introduzca el nombre de la receta principal</v>
      </c>
      <c r="AM87" s="172"/>
      <c r="AN87" s="172"/>
      <c r="AO87" s="172"/>
      <c r="AP87" s="172"/>
      <c r="AQ87" s="172"/>
      <c r="AR87" s="172"/>
      <c r="AS87" s="172"/>
      <c r="AT87" s="172"/>
      <c r="AU87" s="172"/>
      <c r="AV87" s="555"/>
      <c r="AX87" s="272"/>
      <c r="AY87" s="302"/>
      <c r="AZ87" s="303"/>
      <c r="BA87" s="302"/>
      <c r="BB87" s="302"/>
      <c r="BC87" s="302"/>
      <c r="BD87" s="304"/>
      <c r="BF87" s="272"/>
      <c r="BG87" s="302"/>
      <c r="BH87" s="303"/>
      <c r="BI87" s="302"/>
      <c r="BJ87" s="302"/>
      <c r="BK87" s="302"/>
      <c r="BL87" s="304"/>
      <c r="BN87" s="272"/>
      <c r="BO87" s="302"/>
      <c r="BP87" s="303"/>
      <c r="BQ87" s="302"/>
      <c r="BR87" s="302"/>
      <c r="BS87" s="302"/>
      <c r="BT87" s="304"/>
      <c r="BV87" s="3">
        <v>1</v>
      </c>
    </row>
    <row r="88" spans="2:74" ht="21" customHeight="1">
      <c r="B88" s="196" t="s">
        <v>11</v>
      </c>
      <c r="C88" s="157" t="str">
        <f>C54</f>
        <v>N NOM DE VOTRE RECETTE | | Auteur &gt; VOUS</v>
      </c>
      <c r="D88" s="157">
        <f>D54</f>
        <v>18</v>
      </c>
      <c r="E88" s="158" t="str">
        <f>E54</f>
        <v>desserts</v>
      </c>
      <c r="F88" s="159" t="str">
        <f>F54</f>
        <v>Recette mère ► Saisir le nom de la recette principale</v>
      </c>
      <c r="G88" s="172"/>
      <c r="H88" s="172"/>
      <c r="I88" s="172"/>
      <c r="J88" s="172"/>
      <c r="K88" s="172"/>
      <c r="L88" s="172"/>
      <c r="M88" s="172"/>
      <c r="N88" s="172"/>
      <c r="O88" s="172"/>
      <c r="P88" s="1486" t="s">
        <v>197</v>
      </c>
      <c r="Q88" s="555"/>
      <c r="R88" s="196" t="s">
        <v>11</v>
      </c>
      <c r="S88" s="157" t="str">
        <f>S54</f>
        <v>N NAME OF YOUR RECIPE | |  Author &gt; YOU</v>
      </c>
      <c r="T88" s="157">
        <f>T54</f>
        <v>18</v>
      </c>
      <c r="U88" s="158" t="str">
        <f>U54</f>
        <v>desserts</v>
      </c>
      <c r="V88" s="159" t="str">
        <f>V54</f>
        <v>Master recipe ► Enter the main recipe name</v>
      </c>
      <c r="W88" s="172"/>
      <c r="X88" s="172"/>
      <c r="Y88" s="172"/>
      <c r="Z88" s="172"/>
      <c r="AA88" s="172"/>
      <c r="AB88" s="172"/>
      <c r="AC88" s="172"/>
      <c r="AD88" s="172"/>
      <c r="AE88" s="172"/>
      <c r="AF88" s="1486" t="s">
        <v>899</v>
      </c>
      <c r="AH88" s="196" t="s">
        <v>11</v>
      </c>
      <c r="AI88" s="157" t="str">
        <f>AI54</f>
        <v>N NOMBRE DE LA RECETA | | Autor &gt; USTED</v>
      </c>
      <c r="AJ88" s="157">
        <f>AJ54</f>
        <v>18</v>
      </c>
      <c r="AK88" s="158" t="str">
        <f>AK54</f>
        <v>postres</v>
      </c>
      <c r="AL88" s="159" t="str">
        <f>AL54</f>
        <v>Receta madre ► Introduzca el nombre de la receta principal</v>
      </c>
      <c r="AM88" s="172"/>
      <c r="AN88" s="172"/>
      <c r="AO88" s="172"/>
      <c r="AP88" s="172"/>
      <c r="AQ88" s="172"/>
      <c r="AR88" s="172"/>
      <c r="AS88" s="172"/>
      <c r="AT88" s="172"/>
      <c r="AU88" s="172"/>
      <c r="AV88" s="1486" t="s">
        <v>913</v>
      </c>
      <c r="AX88" s="47"/>
      <c r="AY88" s="48"/>
      <c r="AZ88" s="48"/>
      <c r="BA88" s="48"/>
      <c r="BB88" s="48"/>
      <c r="BC88" s="48"/>
      <c r="BD88" s="49"/>
      <c r="BF88" s="47"/>
      <c r="BG88" s="48"/>
      <c r="BH88" s="48"/>
      <c r="BI88" s="48"/>
      <c r="BJ88" s="48"/>
      <c r="BK88" s="48"/>
      <c r="BL88" s="49"/>
      <c r="BN88" s="47"/>
      <c r="BO88" s="48"/>
      <c r="BP88" s="48"/>
      <c r="BQ88" s="48"/>
      <c r="BR88" s="48"/>
      <c r="BS88" s="48"/>
      <c r="BT88" s="49"/>
      <c r="BV88" s="3">
        <v>1</v>
      </c>
    </row>
    <row r="89" spans="2:74" ht="21" customHeight="1">
      <c r="B89" s="196" t="s">
        <v>11</v>
      </c>
      <c r="C89" s="157" t="str">
        <f>C54</f>
        <v>N NOM DE VOTRE RECETTE | | Auteur &gt; VOUS</v>
      </c>
      <c r="D89" s="157">
        <f>D54</f>
        <v>18</v>
      </c>
      <c r="E89" s="158" t="str">
        <f>E54</f>
        <v>desserts</v>
      </c>
      <c r="F89" s="159" t="str">
        <f>F54</f>
        <v>Recette mère ► Saisir le nom de la recette principale</v>
      </c>
      <c r="G89" s="204"/>
      <c r="H89" s="204"/>
      <c r="I89" s="204" t="s">
        <v>201</v>
      </c>
      <c r="J89" s="205"/>
      <c r="K89" s="206"/>
      <c r="L89" s="206"/>
      <c r="M89" s="206"/>
      <c r="N89" s="206"/>
      <c r="O89" s="206"/>
      <c r="P89" s="567"/>
      <c r="Q89" s="555"/>
      <c r="R89" s="196" t="s">
        <v>11</v>
      </c>
      <c r="S89" s="157" t="str">
        <f>S54</f>
        <v>N NAME OF YOUR RECIPE | |  Author &gt; YOU</v>
      </c>
      <c r="T89" s="157">
        <f>T54</f>
        <v>18</v>
      </c>
      <c r="U89" s="158" t="str">
        <f>U54</f>
        <v>desserts</v>
      </c>
      <c r="V89" s="159" t="str">
        <f>V54</f>
        <v>Master recipe ► Enter the main recipe name</v>
      </c>
      <c r="W89" s="204"/>
      <c r="X89" s="204"/>
      <c r="Y89" s="204" t="s">
        <v>661</v>
      </c>
      <c r="Z89" s="205"/>
      <c r="AA89" s="206"/>
      <c r="AB89" s="206"/>
      <c r="AC89" s="206"/>
      <c r="AD89" s="206"/>
      <c r="AE89" s="206"/>
      <c r="AF89" s="567"/>
      <c r="AH89" s="196" t="s">
        <v>11</v>
      </c>
      <c r="AI89" s="157" t="str">
        <f>AI54</f>
        <v>N NOMBRE DE LA RECETA | | Autor &gt; USTED</v>
      </c>
      <c r="AJ89" s="157">
        <f>AJ54</f>
        <v>18</v>
      </c>
      <c r="AK89" s="158" t="str">
        <f>AK54</f>
        <v>postres</v>
      </c>
      <c r="AL89" s="159" t="str">
        <f>AL54</f>
        <v>Receta madre ► Introduzca el nombre de la receta principal</v>
      </c>
      <c r="AM89" s="204"/>
      <c r="AN89" s="204"/>
      <c r="AO89" s="204" t="s">
        <v>915</v>
      </c>
      <c r="AP89" s="205"/>
      <c r="AQ89" s="206"/>
      <c r="AR89" s="206"/>
      <c r="AS89" s="206"/>
      <c r="AT89" s="206"/>
      <c r="AU89" s="206"/>
      <c r="AV89" s="567"/>
      <c r="AX89" s="226"/>
      <c r="AY89" s="305" t="s">
        <v>304</v>
      </c>
      <c r="AZ89" s="151"/>
      <c r="BA89" s="151"/>
      <c r="BB89" s="306"/>
      <c r="BC89" s="276"/>
      <c r="BD89" s="49"/>
      <c r="BF89" s="226"/>
      <c r="BG89" s="305" t="s">
        <v>305</v>
      </c>
      <c r="BH89" s="151"/>
      <c r="BI89" s="151"/>
      <c r="BJ89" s="306"/>
      <c r="BK89" s="276"/>
      <c r="BL89" s="49"/>
      <c r="BN89" s="226"/>
      <c r="BO89" s="305" t="s">
        <v>306</v>
      </c>
      <c r="BP89" s="151"/>
      <c r="BQ89" s="151"/>
      <c r="BR89" s="306"/>
      <c r="BS89" s="276"/>
      <c r="BT89" s="49"/>
      <c r="BV89" s="3">
        <v>1</v>
      </c>
    </row>
    <row r="90" spans="2:74" ht="21" customHeight="1">
      <c r="B90" s="196" t="s">
        <v>11</v>
      </c>
      <c r="C90" s="209" t="str">
        <f>C54</f>
        <v>N NOM DE VOTRE RECETTE | | Auteur &gt; VOUS</v>
      </c>
      <c r="D90" s="209">
        <f>D54</f>
        <v>18</v>
      </c>
      <c r="E90" s="210" t="str">
        <f>E54</f>
        <v>desserts</v>
      </c>
      <c r="F90" s="211" t="str">
        <f>F54</f>
        <v>Recette mère ► Saisir le nom de la recette principale</v>
      </c>
      <c r="G90" s="212"/>
      <c r="H90" s="213"/>
      <c r="I90" s="214"/>
      <c r="J90" s="215"/>
      <c r="K90" s="214"/>
      <c r="L90" s="214"/>
      <c r="M90" s="214"/>
      <c r="N90" s="214"/>
      <c r="O90" s="214"/>
      <c r="P90" s="582"/>
      <c r="R90" s="196" t="s">
        <v>11</v>
      </c>
      <c r="S90" s="209" t="str">
        <f>S54</f>
        <v>N NAME OF YOUR RECIPE | |  Author &gt; YOU</v>
      </c>
      <c r="T90" s="209">
        <f>T54</f>
        <v>18</v>
      </c>
      <c r="U90" s="210" t="str">
        <f>U54</f>
        <v>desserts</v>
      </c>
      <c r="V90" s="211" t="str">
        <f>V54</f>
        <v>Master recipe ► Enter the main recipe name</v>
      </c>
      <c r="W90" s="212"/>
      <c r="X90" s="213"/>
      <c r="Y90" s="214"/>
      <c r="Z90" s="215"/>
      <c r="AA90" s="214"/>
      <c r="AB90" s="214"/>
      <c r="AC90" s="214"/>
      <c r="AD90" s="214"/>
      <c r="AE90" s="214"/>
      <c r="AF90" s="582"/>
      <c r="AH90" s="196" t="s">
        <v>11</v>
      </c>
      <c r="AI90" s="209" t="str">
        <f>AI54</f>
        <v>N NOMBRE DE LA RECETA | | Autor &gt; USTED</v>
      </c>
      <c r="AJ90" s="209">
        <f>AJ54</f>
        <v>18</v>
      </c>
      <c r="AK90" s="210" t="str">
        <f>AK54</f>
        <v>postres</v>
      </c>
      <c r="AL90" s="211" t="str">
        <f>AL54</f>
        <v>Receta madre ► Introduzca el nombre de la receta principal</v>
      </c>
      <c r="AM90" s="212"/>
      <c r="AN90" s="213"/>
      <c r="AO90" s="214"/>
      <c r="AP90" s="215"/>
      <c r="AQ90" s="214"/>
      <c r="AR90" s="214"/>
      <c r="AS90" s="214"/>
      <c r="AT90" s="214"/>
      <c r="AU90" s="214"/>
      <c r="AV90" s="582"/>
      <c r="AX90" s="222" t="s">
        <v>209</v>
      </c>
      <c r="AY90" s="276"/>
      <c r="AZ90" s="276"/>
      <c r="BA90" s="276"/>
      <c r="BB90" s="48"/>
      <c r="BC90" s="276"/>
      <c r="BD90" s="49"/>
      <c r="BF90" s="222" t="s">
        <v>210</v>
      </c>
      <c r="BG90" s="276"/>
      <c r="BH90" s="276"/>
      <c r="BI90" s="276"/>
      <c r="BJ90" s="48"/>
      <c r="BK90" s="276"/>
      <c r="BL90" s="49"/>
      <c r="BN90" s="222" t="s">
        <v>307</v>
      </c>
      <c r="BO90" s="276"/>
      <c r="BP90" s="276"/>
      <c r="BQ90" s="276"/>
      <c r="BR90" s="48"/>
      <c r="BS90" s="276"/>
      <c r="BT90" s="49"/>
      <c r="BV90" s="3">
        <v>1</v>
      </c>
    </row>
    <row r="91" spans="2:74" ht="21" customHeight="1" thickBot="1">
      <c r="B91" s="216" t="s">
        <v>11</v>
      </c>
      <c r="C91" s="217"/>
      <c r="D91" s="217"/>
      <c r="E91" s="217"/>
      <c r="F91" s="218"/>
      <c r="G91" s="219" t="s">
        <v>208</v>
      </c>
      <c r="H91" s="1481" t="str">
        <f ca="1">CELL("nomfichier")</f>
        <v>D:\Données\1.UPRT\0-UPRT.fait\1-UPRT.FR-SITE-WEB\ff-fiches-fabrications\ff.fiches.fabrication.2023\ffr.restaurant.2023\[ff.FICHE.TRILINGUE.15.COLONNES.29.11.2025.xlsx]Notice.utilisateur</v>
      </c>
      <c r="I91" s="220"/>
      <c r="J91" s="220"/>
      <c r="K91" s="220"/>
      <c r="L91" s="220"/>
      <c r="M91" s="220"/>
      <c r="N91" s="220"/>
      <c r="O91" s="220"/>
      <c r="P91" s="221"/>
      <c r="R91" s="216" t="s">
        <v>11</v>
      </c>
      <c r="S91" s="217"/>
      <c r="T91" s="217"/>
      <c r="U91" s="217"/>
      <c r="V91" s="218"/>
      <c r="W91" s="219" t="s">
        <v>208</v>
      </c>
      <c r="X91" s="1481" t="str">
        <f ca="1">CELL("nomfichier")</f>
        <v>D:\Données\1.UPRT\0-UPRT.fait\1-UPRT.FR-SITE-WEB\ff-fiches-fabrications\ff.fiches.fabrication.2023\ffr.restaurant.2023\[ff.FICHE.TRILINGUE.15.COLONNES.29.11.2025.xlsx]Notice.utilisateur</v>
      </c>
      <c r="Y91" s="220"/>
      <c r="Z91" s="220"/>
      <c r="AA91" s="220"/>
      <c r="AB91" s="220"/>
      <c r="AC91" s="220"/>
      <c r="AD91" s="220"/>
      <c r="AE91" s="220"/>
      <c r="AF91" s="221"/>
      <c r="AH91" s="216" t="s">
        <v>11</v>
      </c>
      <c r="AI91" s="217"/>
      <c r="AJ91" s="217"/>
      <c r="AK91" s="217"/>
      <c r="AL91" s="218"/>
      <c r="AM91" s="219" t="s">
        <v>208</v>
      </c>
      <c r="AN91" s="1481" t="str">
        <f ca="1">CELL("nomfichier")</f>
        <v>D:\Données\1.UPRT\0-UPRT.fait\1-UPRT.FR-SITE-WEB\ff-fiches-fabrications\ff.fiches.fabrication.2023\ffr.restaurant.2023\[ff.FICHE.TRILINGUE.15.COLONNES.29.11.2025.xlsx]Notice.utilisateur</v>
      </c>
      <c r="AO91" s="220"/>
      <c r="AP91" s="220"/>
      <c r="AQ91" s="220"/>
      <c r="AR91" s="220"/>
      <c r="AS91" s="220"/>
      <c r="AT91" s="220"/>
      <c r="AU91" s="220"/>
      <c r="AV91" s="221"/>
      <c r="AX91" s="226" t="s">
        <v>212</v>
      </c>
      <c r="AY91" s="48"/>
      <c r="AZ91" s="48"/>
      <c r="BA91" s="48"/>
      <c r="BB91" s="48"/>
      <c r="BC91" s="48"/>
      <c r="BD91" s="49"/>
      <c r="BF91" s="226" t="s">
        <v>213</v>
      </c>
      <c r="BG91" s="48"/>
      <c r="BH91" s="48"/>
      <c r="BI91" s="48"/>
      <c r="BJ91" s="48"/>
      <c r="BK91" s="48"/>
      <c r="BL91" s="49"/>
      <c r="BN91" s="226" t="s">
        <v>214</v>
      </c>
      <c r="BO91" s="48"/>
      <c r="BP91" s="48"/>
      <c r="BQ91" s="48"/>
      <c r="BR91" s="48"/>
      <c r="BS91" s="48"/>
      <c r="BT91" s="49"/>
      <c r="BV91" s="3">
        <v>1</v>
      </c>
    </row>
    <row r="92" spans="2:74" ht="21" customHeight="1" thickTop="1" thickBot="1">
      <c r="B92" s="5215" t="s">
        <v>11</v>
      </c>
      <c r="C92" s="5216" t="s">
        <v>11</v>
      </c>
      <c r="D92" s="5216" t="s">
        <v>11</v>
      </c>
      <c r="E92" s="5216" t="s">
        <v>11</v>
      </c>
      <c r="F92" s="5216" t="s">
        <v>11</v>
      </c>
      <c r="G92" s="5217" t="s">
        <v>2613</v>
      </c>
      <c r="H92" s="5218"/>
      <c r="I92" s="5219"/>
      <c r="J92" s="5220"/>
      <c r="K92" s="5221"/>
      <c r="L92" s="5222"/>
      <c r="M92" s="5220"/>
      <c r="N92" s="5220"/>
      <c r="O92" s="5218"/>
      <c r="P92" s="5223" t="s">
        <v>1948</v>
      </c>
      <c r="R92" s="5215" t="s">
        <v>11</v>
      </c>
      <c r="S92" s="5216" t="s">
        <v>11</v>
      </c>
      <c r="T92" s="5216" t="s">
        <v>11</v>
      </c>
      <c r="U92" s="5216" t="s">
        <v>11</v>
      </c>
      <c r="V92" s="5216" t="s">
        <v>11</v>
      </c>
      <c r="W92" s="5217" t="s">
        <v>2613</v>
      </c>
      <c r="X92" s="5218"/>
      <c r="Y92" s="5219"/>
      <c r="Z92" s="5220"/>
      <c r="AA92" s="5221"/>
      <c r="AB92" s="5222"/>
      <c r="AC92" s="5220"/>
      <c r="AD92" s="5220"/>
      <c r="AE92" s="5218"/>
      <c r="AF92" s="5223" t="s">
        <v>1948</v>
      </c>
      <c r="AH92" s="5215" t="s">
        <v>11</v>
      </c>
      <c r="AI92" s="5216" t="s">
        <v>11</v>
      </c>
      <c r="AJ92" s="5216" t="s">
        <v>11</v>
      </c>
      <c r="AK92" s="5216" t="s">
        <v>11</v>
      </c>
      <c r="AL92" s="5216" t="s">
        <v>11</v>
      </c>
      <c r="AM92" s="5217" t="s">
        <v>2613</v>
      </c>
      <c r="AN92" s="5218"/>
      <c r="AO92" s="5219"/>
      <c r="AP92" s="5220"/>
      <c r="AQ92" s="5221"/>
      <c r="AR92" s="5222"/>
      <c r="AS92" s="5220"/>
      <c r="AT92" s="5220"/>
      <c r="AU92" s="5218"/>
      <c r="AV92" s="5223" t="s">
        <v>1948</v>
      </c>
      <c r="AX92" s="308" t="s">
        <v>77</v>
      </c>
      <c r="AY92" s="309" t="s">
        <v>78</v>
      </c>
      <c r="AZ92" s="310"/>
      <c r="BA92" s="5614" t="s">
        <v>79</v>
      </c>
      <c r="BB92" s="5615" t="s">
        <v>80</v>
      </c>
      <c r="BC92" s="311" t="s">
        <v>82</v>
      </c>
      <c r="BD92" s="49"/>
      <c r="BF92" s="308" t="s">
        <v>77</v>
      </c>
      <c r="BG92" s="309" t="s">
        <v>78</v>
      </c>
      <c r="BH92" s="310"/>
      <c r="BI92" s="5614" t="s">
        <v>228</v>
      </c>
      <c r="BJ92" s="5615" t="s">
        <v>80</v>
      </c>
      <c r="BK92" s="311" t="s">
        <v>82</v>
      </c>
      <c r="BL92" s="49"/>
      <c r="BN92" s="308" t="s">
        <v>77</v>
      </c>
      <c r="BO92" s="309" t="s">
        <v>78</v>
      </c>
      <c r="BP92" s="310"/>
      <c r="BQ92" s="5614" t="s">
        <v>229</v>
      </c>
      <c r="BR92" s="5615" t="s">
        <v>80</v>
      </c>
      <c r="BS92" s="311" t="s">
        <v>82</v>
      </c>
      <c r="BT92" s="49"/>
      <c r="BV92" s="3">
        <v>1</v>
      </c>
    </row>
    <row r="93" spans="2:74" ht="21" customHeight="1">
      <c r="B93" s="22" t="s">
        <v>11</v>
      </c>
      <c r="C93" s="23" t="str">
        <f>C99</f>
        <v>N NOM DE VOTRE RECETTE | | Auteur &gt; VOUS</v>
      </c>
      <c r="D93" s="24">
        <f>D99</f>
        <v>18</v>
      </c>
      <c r="E93" s="24" t="str">
        <f>E99</f>
        <v>desserts</v>
      </c>
      <c r="F93" s="25" t="str">
        <f>F99</f>
        <v>Recette mère ► Saisir le nom de la recette principale</v>
      </c>
      <c r="G93" s="26" t="s">
        <v>23</v>
      </c>
      <c r="H93" s="5471" t="s">
        <v>1376</v>
      </c>
      <c r="I93" s="5471"/>
      <c r="J93" s="5471"/>
      <c r="K93" s="5471"/>
      <c r="L93" s="5471"/>
      <c r="M93" s="5471"/>
      <c r="N93" s="5496" t="s">
        <v>3309</v>
      </c>
      <c r="O93" s="5496"/>
      <c r="P93" s="5475" t="str">
        <f>UPPER(LEFT(H93,1))</f>
        <v>N</v>
      </c>
      <c r="R93" s="22" t="s">
        <v>11</v>
      </c>
      <c r="S93" s="23" t="str">
        <f>S99</f>
        <v>N NAME OF YOUR RECIPE | |  Author &gt; YOU</v>
      </c>
      <c r="T93" s="24">
        <f>T99</f>
        <v>18</v>
      </c>
      <c r="U93" s="24" t="str">
        <f>U99</f>
        <v>desserts</v>
      </c>
      <c r="V93" s="25" t="str">
        <f>V99</f>
        <v>Master recipe ► Enter the main recipe name</v>
      </c>
      <c r="W93" s="26" t="s">
        <v>23</v>
      </c>
      <c r="X93" s="5471" t="s">
        <v>886</v>
      </c>
      <c r="Y93" s="5471"/>
      <c r="Z93" s="5471"/>
      <c r="AA93" s="5471"/>
      <c r="AB93" s="5471"/>
      <c r="AC93" s="5471"/>
      <c r="AD93" s="5496" t="s">
        <v>3314</v>
      </c>
      <c r="AE93" s="5496"/>
      <c r="AF93" s="5475" t="str">
        <f>UPPER(LEFT(X93,1))</f>
        <v>N</v>
      </c>
      <c r="AH93" s="22" t="s">
        <v>11</v>
      </c>
      <c r="AI93" s="23" t="str">
        <f>AI99</f>
        <v>N NOMBRE DE LA RECETA | | Autor &gt; USTED</v>
      </c>
      <c r="AJ93" s="24">
        <f>AJ99</f>
        <v>18</v>
      </c>
      <c r="AK93" s="24" t="str">
        <f>AK99</f>
        <v>postres</v>
      </c>
      <c r="AL93" s="25" t="str">
        <f>AL99</f>
        <v>Receta madre ► Introduzca el nombre de la receta principal</v>
      </c>
      <c r="AM93" s="26" t="s">
        <v>23</v>
      </c>
      <c r="AN93" s="5471" t="s">
        <v>3320</v>
      </c>
      <c r="AO93" s="5471"/>
      <c r="AP93" s="5471"/>
      <c r="AQ93" s="5471"/>
      <c r="AR93" s="5471"/>
      <c r="AS93" s="5471"/>
      <c r="AT93" s="5496" t="s">
        <v>1389</v>
      </c>
      <c r="AU93" s="5496"/>
      <c r="AV93" s="5475" t="str">
        <f>UPPER(LEFT(AN93,1))</f>
        <v>N</v>
      </c>
      <c r="AX93" s="312" t="s">
        <v>91</v>
      </c>
      <c r="AY93" s="249" t="s">
        <v>92</v>
      </c>
      <c r="AZ93" s="94" t="s">
        <v>93</v>
      </c>
      <c r="BA93" s="5470"/>
      <c r="BB93" s="5616"/>
      <c r="BC93" s="313" t="s">
        <v>94</v>
      </c>
      <c r="BD93" s="49"/>
      <c r="BF93" s="246" t="s">
        <v>231</v>
      </c>
      <c r="BG93" s="249" t="s">
        <v>232</v>
      </c>
      <c r="BH93" s="94" t="s">
        <v>93</v>
      </c>
      <c r="BI93" s="5470"/>
      <c r="BJ93" s="5616"/>
      <c r="BK93" s="313" t="s">
        <v>233</v>
      </c>
      <c r="BL93" s="49"/>
      <c r="BN93" s="312" t="s">
        <v>234</v>
      </c>
      <c r="BO93" s="249" t="s">
        <v>235</v>
      </c>
      <c r="BP93" s="94" t="s">
        <v>93</v>
      </c>
      <c r="BQ93" s="5470"/>
      <c r="BR93" s="5616"/>
      <c r="BS93" s="313" t="s">
        <v>284</v>
      </c>
      <c r="BT93" s="49"/>
      <c r="BV93" s="3">
        <v>1</v>
      </c>
    </row>
    <row r="94" spans="2:74" ht="21" customHeight="1">
      <c r="B94" s="27" t="s">
        <v>11</v>
      </c>
      <c r="C94" s="28" t="str">
        <f>C99</f>
        <v>N NOM DE VOTRE RECETTE | | Auteur &gt; VOUS</v>
      </c>
      <c r="D94" s="29">
        <f>D99</f>
        <v>18</v>
      </c>
      <c r="E94" s="29" t="str">
        <f>E99</f>
        <v>desserts</v>
      </c>
      <c r="F94" s="30" t="str">
        <f>F99</f>
        <v>Recette mère ► Saisir le nom de la recette principale</v>
      </c>
      <c r="G94" s="31" t="s">
        <v>29</v>
      </c>
      <c r="H94" s="5472"/>
      <c r="I94" s="5472"/>
      <c r="J94" s="5472"/>
      <c r="K94" s="5472"/>
      <c r="L94" s="5472"/>
      <c r="M94" s="5472"/>
      <c r="N94" s="5497"/>
      <c r="O94" s="5497"/>
      <c r="P94" s="5476"/>
      <c r="R94" s="27" t="s">
        <v>11</v>
      </c>
      <c r="S94" s="28" t="str">
        <f>S99</f>
        <v>N NAME OF YOUR RECIPE | |  Author &gt; YOU</v>
      </c>
      <c r="T94" s="29">
        <f>T99</f>
        <v>18</v>
      </c>
      <c r="U94" s="29" t="str">
        <f>U99</f>
        <v>desserts</v>
      </c>
      <c r="V94" s="30" t="str">
        <f>V99</f>
        <v>Master recipe ► Enter the main recipe name</v>
      </c>
      <c r="W94" s="31" t="s">
        <v>29</v>
      </c>
      <c r="X94" s="5472"/>
      <c r="Y94" s="5472"/>
      <c r="Z94" s="5472"/>
      <c r="AA94" s="5472"/>
      <c r="AB94" s="5472"/>
      <c r="AC94" s="5472"/>
      <c r="AD94" s="5497"/>
      <c r="AE94" s="5497"/>
      <c r="AF94" s="5476"/>
      <c r="AH94" s="27" t="s">
        <v>11</v>
      </c>
      <c r="AI94" s="28" t="str">
        <f>AI99</f>
        <v>N NOMBRE DE LA RECETA | | Autor &gt; USTED</v>
      </c>
      <c r="AJ94" s="29">
        <f>AJ99</f>
        <v>18</v>
      </c>
      <c r="AK94" s="29" t="str">
        <f>AK99</f>
        <v>postres</v>
      </c>
      <c r="AL94" s="30" t="str">
        <f>AL99</f>
        <v>Receta madre ► Introduzca el nombre de la receta principal</v>
      </c>
      <c r="AM94" s="31" t="s">
        <v>29</v>
      </c>
      <c r="AN94" s="5472"/>
      <c r="AO94" s="5472"/>
      <c r="AP94" s="5472"/>
      <c r="AQ94" s="5472"/>
      <c r="AR94" s="5472"/>
      <c r="AS94" s="5472"/>
      <c r="AT94" s="5497"/>
      <c r="AU94" s="5497"/>
      <c r="AV94" s="5476"/>
      <c r="AX94" s="314">
        <v>0.25</v>
      </c>
      <c r="AY94" s="315" t="s">
        <v>308</v>
      </c>
      <c r="AZ94" s="316"/>
      <c r="BA94" s="317"/>
      <c r="BB94" s="318"/>
      <c r="BC94" s="319" t="s">
        <v>309</v>
      </c>
      <c r="BD94" s="49"/>
      <c r="BF94" s="314">
        <v>0.25</v>
      </c>
      <c r="BG94" s="315" t="s">
        <v>310</v>
      </c>
      <c r="BH94" s="316"/>
      <c r="BI94" s="317"/>
      <c r="BJ94" s="318"/>
      <c r="BK94" s="319" t="s">
        <v>311</v>
      </c>
      <c r="BL94" s="49"/>
      <c r="BN94" s="314">
        <v>0.25</v>
      </c>
      <c r="BO94" s="315" t="s">
        <v>312</v>
      </c>
      <c r="BP94" s="316"/>
      <c r="BQ94" s="317"/>
      <c r="BR94" s="318"/>
      <c r="BS94" s="319" t="s">
        <v>313</v>
      </c>
      <c r="BT94" s="49"/>
      <c r="BV94" s="3">
        <v>1</v>
      </c>
    </row>
    <row r="95" spans="2:74" ht="21" customHeight="1">
      <c r="B95" s="27" t="s">
        <v>11</v>
      </c>
      <c r="C95" s="5310" t="str">
        <f>C99</f>
        <v>N NOM DE VOTRE RECETTE | | Auteur &gt; VOUS</v>
      </c>
      <c r="D95" s="5310">
        <f>D99</f>
        <v>18</v>
      </c>
      <c r="E95" s="5311" t="str">
        <f>E99</f>
        <v>desserts</v>
      </c>
      <c r="F95" s="5312" t="str">
        <f>F99</f>
        <v>Recette mère ► Saisir le nom de la recette principale</v>
      </c>
      <c r="G95" s="5313"/>
      <c r="H95" s="5314" t="s">
        <v>30</v>
      </c>
      <c r="I95" s="37"/>
      <c r="J95" s="38" t="s">
        <v>31</v>
      </c>
      <c r="K95" s="39" t="s">
        <v>58</v>
      </c>
      <c r="L95" s="9"/>
      <c r="M95" s="39"/>
      <c r="N95" s="39"/>
      <c r="O95" s="40"/>
      <c r="P95" s="41"/>
      <c r="R95" s="27" t="s">
        <v>11</v>
      </c>
      <c r="S95" s="5310" t="str">
        <f>S99</f>
        <v>N NAME OF YOUR RECIPE | |  Author &gt; YOU</v>
      </c>
      <c r="T95" s="5310">
        <f>T99</f>
        <v>18</v>
      </c>
      <c r="U95" s="5311" t="str">
        <f>U99</f>
        <v>desserts</v>
      </c>
      <c r="V95" s="5312" t="str">
        <f>V99</f>
        <v>Master recipe ► Enter the main recipe name</v>
      </c>
      <c r="W95" s="5313"/>
      <c r="X95" s="5314" t="s">
        <v>888</v>
      </c>
      <c r="Y95" s="37"/>
      <c r="Z95" s="38" t="s">
        <v>889</v>
      </c>
      <c r="AA95" s="39" t="s">
        <v>61</v>
      </c>
      <c r="AB95" s="9"/>
      <c r="AC95" s="39"/>
      <c r="AD95" s="39"/>
      <c r="AE95" s="40"/>
      <c r="AF95" s="41"/>
      <c r="AH95" s="27" t="s">
        <v>11</v>
      </c>
      <c r="AI95" s="5310" t="str">
        <f>AI99</f>
        <v>N NOMBRE DE LA RECETA | | Autor &gt; USTED</v>
      </c>
      <c r="AJ95" s="5310">
        <f>AJ99</f>
        <v>18</v>
      </c>
      <c r="AK95" s="5311" t="str">
        <f>AK99</f>
        <v>postres</v>
      </c>
      <c r="AL95" s="5312" t="str">
        <f>AL99</f>
        <v>Receta madre ► Introduzca el nombre de la receta principal</v>
      </c>
      <c r="AM95" s="5313"/>
      <c r="AN95" s="5314" t="s">
        <v>903</v>
      </c>
      <c r="AO95" s="37"/>
      <c r="AP95" s="38" t="s">
        <v>904</v>
      </c>
      <c r="AQ95" s="39" t="s">
        <v>64</v>
      </c>
      <c r="AR95" s="9"/>
      <c r="AS95" s="39"/>
      <c r="AT95" s="39"/>
      <c r="AU95" s="40"/>
      <c r="AV95" s="41"/>
      <c r="AX95" s="314">
        <v>0.5</v>
      </c>
      <c r="AY95" s="315" t="s">
        <v>314</v>
      </c>
      <c r="AZ95" s="316"/>
      <c r="BA95" s="317"/>
      <c r="BB95" s="318"/>
      <c r="BC95" s="319" t="s">
        <v>315</v>
      </c>
      <c r="BD95" s="49"/>
      <c r="BF95" s="314">
        <v>0.5</v>
      </c>
      <c r="BG95" s="315" t="s">
        <v>316</v>
      </c>
      <c r="BH95" s="316"/>
      <c r="BI95" s="317"/>
      <c r="BJ95" s="318"/>
      <c r="BK95" s="319" t="s">
        <v>317</v>
      </c>
      <c r="BL95" s="49"/>
      <c r="BN95" s="314">
        <v>0.5</v>
      </c>
      <c r="BO95" s="315" t="s">
        <v>318</v>
      </c>
      <c r="BP95" s="316"/>
      <c r="BQ95" s="317"/>
      <c r="BR95" s="318"/>
      <c r="BS95" s="319" t="s">
        <v>319</v>
      </c>
      <c r="BT95" s="49"/>
      <c r="BV95" s="3">
        <v>1</v>
      </c>
    </row>
    <row r="96" spans="2:74" ht="21" customHeight="1">
      <c r="B96" s="27" t="s">
        <v>11</v>
      </c>
      <c r="C96" s="32" t="str">
        <f>C99</f>
        <v>N NOM DE VOTRE RECETTE | | Auteur &gt; VOUS</v>
      </c>
      <c r="D96" s="33">
        <f>D99</f>
        <v>18</v>
      </c>
      <c r="E96" s="33" t="str">
        <f>E99</f>
        <v>desserts</v>
      </c>
      <c r="F96" s="34" t="str">
        <f>F99</f>
        <v>Recette mère ► Saisir le nom de la recette principale</v>
      </c>
      <c r="G96" s="42" t="s">
        <v>32</v>
      </c>
      <c r="H96" s="43"/>
      <c r="I96" s="43"/>
      <c r="J96" s="44" t="s">
        <v>33</v>
      </c>
      <c r="K96" s="5477" t="str">
        <f>L99&amp;" "&amp;M99&amp;" ► Famille = "&amp;N93&amp;" ► "&amp;H93&amp;" "&amp; "pour "&amp;N97&amp;" "&amp;O97</f>
        <v>Recette mère ► Saisir le nom de la recette principale ► Famille = famille--COLLEZ ► NOM DE VOTRE RECETTE pour 36 desserts</v>
      </c>
      <c r="L96" s="5477"/>
      <c r="M96" s="5477"/>
      <c r="N96" s="5039" t="s">
        <v>3306</v>
      </c>
      <c r="O96" s="40"/>
      <c r="P96" s="1472"/>
      <c r="R96" s="27" t="s">
        <v>11</v>
      </c>
      <c r="S96" s="32" t="str">
        <f>S99</f>
        <v>N NAME OF YOUR RECIPE | |  Author &gt; YOU</v>
      </c>
      <c r="T96" s="33">
        <f>T99</f>
        <v>18</v>
      </c>
      <c r="U96" s="33" t="str">
        <f>U99</f>
        <v>desserts</v>
      </c>
      <c r="V96" s="34" t="str">
        <f>V99</f>
        <v>Master recipe ► Enter the main recipe name</v>
      </c>
      <c r="W96" s="42" t="s">
        <v>137</v>
      </c>
      <c r="X96" s="43"/>
      <c r="Y96" s="43"/>
      <c r="Z96" s="44" t="s">
        <v>33</v>
      </c>
      <c r="AA96" s="5477" t="str">
        <f>AB99&amp;" "&amp;AC99&amp;" ► category = "&amp;AD93&amp;" ► "&amp;X93&amp;" "&amp; "pour "&amp;AD97&amp;" "&amp;AE97</f>
        <v>Master recipe ► Enter the main recipe name ► category = family--PASTE ► NAME OF YOUR RECIPE pour 36 desserts</v>
      </c>
      <c r="AB96" s="5477"/>
      <c r="AC96" s="5477"/>
      <c r="AD96" s="5039" t="s">
        <v>3324</v>
      </c>
      <c r="AE96" s="40"/>
      <c r="AF96" s="1472"/>
      <c r="AH96" s="27" t="s">
        <v>11</v>
      </c>
      <c r="AI96" s="32" t="str">
        <f>AI99</f>
        <v>N NOMBRE DE LA RECETA | | Autor &gt; USTED</v>
      </c>
      <c r="AJ96" s="33">
        <f>AJ99</f>
        <v>18</v>
      </c>
      <c r="AK96" s="33" t="str">
        <f>AK99</f>
        <v>postres</v>
      </c>
      <c r="AL96" s="34" t="str">
        <f>AL99</f>
        <v>Receta madre ► Introduzca el nombre de la receta principal</v>
      </c>
      <c r="AM96" s="42" t="s">
        <v>905</v>
      </c>
      <c r="AN96" s="43"/>
      <c r="AO96" s="43"/>
      <c r="AP96" s="44" t="s">
        <v>33</v>
      </c>
      <c r="AQ96" s="5477" t="str">
        <f>AR99&amp;" "&amp;AS99&amp;" ► categoría = "&amp;AT93&amp;" ► "&amp;AN93&amp;" "&amp; "pour "&amp;AT97&amp;" "&amp;AU97</f>
        <v>Receta madre ► Introduzca el nombre de la receta principal ► categoría = pegue esto — FAMILIA ► NOMBRE DE LA RECETA pour 36 postres</v>
      </c>
      <c r="AR96" s="5477"/>
      <c r="AS96" s="5477"/>
      <c r="AT96" s="5039" t="s">
        <v>3326</v>
      </c>
      <c r="AU96" s="40"/>
      <c r="AV96" s="1472"/>
      <c r="AX96" s="314">
        <v>0.75</v>
      </c>
      <c r="AY96" s="315" t="s">
        <v>321</v>
      </c>
      <c r="AZ96" s="316"/>
      <c r="BA96" s="317"/>
      <c r="BB96" s="318"/>
      <c r="BC96" s="319" t="s">
        <v>322</v>
      </c>
      <c r="BD96" s="49"/>
      <c r="BF96" s="314">
        <v>0.75</v>
      </c>
      <c r="BG96" s="315" t="s">
        <v>323</v>
      </c>
      <c r="BH96" s="316"/>
      <c r="BI96" s="317"/>
      <c r="BJ96" s="318"/>
      <c r="BK96" s="319" t="s">
        <v>324</v>
      </c>
      <c r="BL96" s="49"/>
      <c r="BN96" s="314">
        <v>0.75</v>
      </c>
      <c r="BO96" s="315" t="s">
        <v>325</v>
      </c>
      <c r="BP96" s="316"/>
      <c r="BQ96" s="317"/>
      <c r="BR96" s="318"/>
      <c r="BS96" s="319" t="s">
        <v>326</v>
      </c>
      <c r="BT96" s="49"/>
      <c r="BV96" s="3">
        <v>1</v>
      </c>
    </row>
    <row r="97" spans="2:74" ht="21" customHeight="1">
      <c r="B97" s="27" t="s">
        <v>11</v>
      </c>
      <c r="C97" s="32" t="str">
        <f>C99</f>
        <v>N NOM DE VOTRE RECETTE | | Auteur &gt; VOUS</v>
      </c>
      <c r="D97" s="33">
        <f>D99</f>
        <v>18</v>
      </c>
      <c r="E97" s="33" t="str">
        <f>E99</f>
        <v>desserts</v>
      </c>
      <c r="F97" s="34" t="str">
        <f>F99</f>
        <v>Recette mère ► Saisir le nom de la recette principale</v>
      </c>
      <c r="G97" s="50">
        <v>18</v>
      </c>
      <c r="H97" s="51" t="s">
        <v>3275</v>
      </c>
      <c r="I97" s="42"/>
      <c r="J97" s="42"/>
      <c r="K97" s="5477"/>
      <c r="L97" s="5477"/>
      <c r="M97" s="5477"/>
      <c r="N97" s="46">
        <v>36</v>
      </c>
      <c r="O97" s="5478" t="str">
        <f>H97</f>
        <v>desserts</v>
      </c>
      <c r="P97" s="5479"/>
      <c r="R97" s="27" t="s">
        <v>11</v>
      </c>
      <c r="S97" s="32" t="str">
        <f>S99</f>
        <v>N NAME OF YOUR RECIPE | |  Author &gt; YOU</v>
      </c>
      <c r="T97" s="33">
        <f>T99</f>
        <v>18</v>
      </c>
      <c r="U97" s="33" t="str">
        <f>U99</f>
        <v>desserts</v>
      </c>
      <c r="V97" s="34" t="str">
        <f>V99</f>
        <v>Master recipe ► Enter the main recipe name</v>
      </c>
      <c r="W97" s="50">
        <v>18</v>
      </c>
      <c r="X97" s="51" t="s">
        <v>3275</v>
      </c>
      <c r="Y97" s="42"/>
      <c r="Z97" s="42"/>
      <c r="AA97" s="5477"/>
      <c r="AB97" s="5477"/>
      <c r="AC97" s="5477"/>
      <c r="AD97" s="46">
        <v>36</v>
      </c>
      <c r="AE97" s="5478" t="str">
        <f>X97</f>
        <v>desserts</v>
      </c>
      <c r="AF97" s="5479"/>
      <c r="AH97" s="27" t="s">
        <v>11</v>
      </c>
      <c r="AI97" s="32" t="str">
        <f>AI99</f>
        <v>N NOMBRE DE LA RECETA | | Autor &gt; USTED</v>
      </c>
      <c r="AJ97" s="33">
        <f>AJ99</f>
        <v>18</v>
      </c>
      <c r="AK97" s="33" t="str">
        <f>AK99</f>
        <v>postres</v>
      </c>
      <c r="AL97" s="34" t="str">
        <f>AL99</f>
        <v>Receta madre ► Introduzca el nombre de la receta principal</v>
      </c>
      <c r="AM97" s="50">
        <v>18</v>
      </c>
      <c r="AN97" s="51" t="s">
        <v>3349</v>
      </c>
      <c r="AO97" s="42"/>
      <c r="AP97" s="42"/>
      <c r="AQ97" s="5477"/>
      <c r="AR97" s="5477"/>
      <c r="AS97" s="5477"/>
      <c r="AT97" s="46">
        <v>36</v>
      </c>
      <c r="AU97" s="5478" t="str">
        <f>AN97</f>
        <v>postres</v>
      </c>
      <c r="AV97" s="5479"/>
      <c r="AX97" s="325">
        <v>2</v>
      </c>
      <c r="AY97" s="326" t="s">
        <v>298</v>
      </c>
      <c r="AZ97" s="316"/>
      <c r="BA97" s="317"/>
      <c r="BB97" s="318"/>
      <c r="BC97" s="319"/>
      <c r="BD97" s="49"/>
      <c r="BF97" s="325">
        <v>2</v>
      </c>
      <c r="BG97" s="326" t="s">
        <v>302</v>
      </c>
      <c r="BH97" s="316"/>
      <c r="BI97" s="317"/>
      <c r="BJ97" s="318"/>
      <c r="BK97" s="319"/>
      <c r="BL97" s="49"/>
      <c r="BN97" s="325">
        <v>2</v>
      </c>
      <c r="BO97" s="326" t="s">
        <v>303</v>
      </c>
      <c r="BP97" s="316"/>
      <c r="BQ97" s="317"/>
      <c r="BR97" s="318"/>
      <c r="BS97" s="319"/>
      <c r="BT97" s="49"/>
      <c r="BV97" s="3">
        <v>1</v>
      </c>
    </row>
    <row r="98" spans="2:74" ht="21" customHeight="1">
      <c r="B98" s="27" t="s">
        <v>16</v>
      </c>
      <c r="C98" s="32" t="str">
        <f>C99</f>
        <v>N NOM DE VOTRE RECETTE | | Auteur &gt; VOUS</v>
      </c>
      <c r="D98" s="33">
        <f>D99</f>
        <v>18</v>
      </c>
      <c r="E98" s="33" t="str">
        <f>E99</f>
        <v>desserts</v>
      </c>
      <c r="F98" s="34" t="str">
        <f>F99</f>
        <v>Recette mère ► Saisir le nom de la recette principale</v>
      </c>
      <c r="G98" s="56"/>
      <c r="H98" s="5165" t="s">
        <v>13098</v>
      </c>
      <c r="I98" s="5468">
        <f>O118/L98</f>
        <v>0</v>
      </c>
      <c r="J98" s="5468"/>
      <c r="K98" s="5054" t="str" cm="1">
        <f t="array" ref="K98">"1= "&amp;IF(OR(G97&lt;=0,I98=""),"",_xlfn.LET(_xlpm.kg,IF(ISNUMBER(I98),I98,VALEUR(SUBSTITUTE(SUBSTITUTE(SUBSTITUTE(LOWER(I98),"kg",""),",",".")," ",""))),TEXT(ROUND(_xlpm.kg*1000/G97,2),"0.##")&amp;" g"))</f>
        <v>1= 0. g</v>
      </c>
      <c r="L98" s="1490">
        <f>IFERROR(N97/G97,0)</f>
        <v>2</v>
      </c>
      <c r="M98" s="45"/>
      <c r="N98" s="5041" t="s">
        <v>50</v>
      </c>
      <c r="O98" s="5042">
        <f>O118</f>
        <v>0</v>
      </c>
      <c r="P98" s="5043"/>
      <c r="R98" s="27" t="s">
        <v>16</v>
      </c>
      <c r="S98" s="32"/>
      <c r="T98" s="33">
        <f>T99</f>
        <v>18</v>
      </c>
      <c r="U98" s="33" t="str">
        <f>U99</f>
        <v>desserts</v>
      </c>
      <c r="V98" s="34" t="str">
        <f>V99</f>
        <v>Master recipe ► Enter the main recipe name</v>
      </c>
      <c r="W98" s="56"/>
      <c r="X98" s="5165" t="s">
        <v>13100</v>
      </c>
      <c r="Y98" s="5468">
        <f>AE118/AB98</f>
        <v>0</v>
      </c>
      <c r="Z98" s="5468"/>
      <c r="AA98" s="5054" t="str" cm="1">
        <f t="array" ref="AA98">"1= "&amp;IF(OR(W97&lt;=0,Y98=""),"",_xlfn.LET(_xlpm.kg,IF(ISNUMBER(Y98),Y98,VALEUR(SUBSTITUTE(SUBSTITUTE(SUBSTITUTE(LOWER(Y98),"kg",""),",",".")," ",""))),TEXT(ROUND(_xlpm.kg*1000/W97,2),"0.##")&amp;" g"))</f>
        <v>1= 0. g</v>
      </c>
      <c r="AB98" s="1490">
        <f>IFERROR(AD97/W97,0)</f>
        <v>2</v>
      </c>
      <c r="AC98" s="45"/>
      <c r="AD98" s="5041" t="s">
        <v>153</v>
      </c>
      <c r="AE98" s="5042">
        <f>AE118</f>
        <v>0</v>
      </c>
      <c r="AF98" s="5043"/>
      <c r="AH98" s="27" t="s">
        <v>16</v>
      </c>
      <c r="AI98" s="32" t="str">
        <f>AI99</f>
        <v>N NOMBRE DE LA RECETA | | Autor &gt; USTED</v>
      </c>
      <c r="AJ98" s="33">
        <f>AJ99</f>
        <v>18</v>
      </c>
      <c r="AK98" s="33" t="str">
        <f>AK99</f>
        <v>postres</v>
      </c>
      <c r="AL98" s="34" t="str">
        <f>AL99</f>
        <v>Receta madre ► Introduzca el nombre de la receta principal</v>
      </c>
      <c r="AM98" s="56"/>
      <c r="AN98" s="5165" t="s">
        <v>13101</v>
      </c>
      <c r="AO98" s="5468">
        <f>AU118/AR98</f>
        <v>0</v>
      </c>
      <c r="AP98" s="5468"/>
      <c r="AQ98" s="5054" t="str" cm="1">
        <f t="array" ref="AQ98">"1= "&amp;IF(OR(AM97&lt;=0,AO98=""),"",_xlfn.LET(_xlpm.kg,IF(ISNUMBER(AO98),AO98,VALEUR(SUBSTITUTE(SUBSTITUTE(SUBSTITUTE(LOWER(AO98),"kg",""),",",".")," ",""))),TEXT(ROUND(_xlpm.kg*1000/AM97,2),"0.##")&amp;" g"))</f>
        <v>1= 0. g</v>
      </c>
      <c r="AR98" s="1490">
        <f>IFERROR(AT97/AM97,0)</f>
        <v>2</v>
      </c>
      <c r="AS98" s="45"/>
      <c r="AT98" s="5041" t="s">
        <v>248</v>
      </c>
      <c r="AU98" s="5042">
        <f>AU118</f>
        <v>0</v>
      </c>
      <c r="AV98" s="5043"/>
      <c r="AX98" s="329"/>
      <c r="AY98" s="330"/>
      <c r="AZ98" s="331"/>
      <c r="BA98" s="332"/>
      <c r="BB98" s="333"/>
      <c r="BC98" s="334"/>
      <c r="BD98" s="49"/>
      <c r="BF98" s="329"/>
      <c r="BG98" s="330"/>
      <c r="BH98" s="331"/>
      <c r="BI98" s="332"/>
      <c r="BJ98" s="333"/>
      <c r="BK98" s="334"/>
      <c r="BL98" s="49"/>
      <c r="BN98" s="329"/>
      <c r="BO98" s="330"/>
      <c r="BP98" s="331"/>
      <c r="BQ98" s="332"/>
      <c r="BR98" s="333"/>
      <c r="BS98" s="334"/>
      <c r="BT98" s="49"/>
      <c r="BV98" s="3">
        <v>1</v>
      </c>
    </row>
    <row r="99" spans="2:74" ht="21" customHeight="1">
      <c r="B99" s="64" t="s">
        <v>16</v>
      </c>
      <c r="C99" s="65" t="str">
        <f>G99</f>
        <v>N NOM DE VOTRE RECETTE | | Auteur &gt; VOUS</v>
      </c>
      <c r="D99" s="66">
        <f>G97</f>
        <v>18</v>
      </c>
      <c r="E99" s="65" t="str">
        <f>H97</f>
        <v>desserts</v>
      </c>
      <c r="F99" s="67" t="str">
        <f>L99&amp;" "&amp;M99</f>
        <v>Recette mère ► Saisir le nom de la recette principale</v>
      </c>
      <c r="G99" s="68" t="str">
        <f>UPPER(LEFT(H93,1))&amp;" "&amp;H93&amp;" | "&amp;O93&amp;"| "&amp;J95&amp;" "&amp;K95</f>
        <v>N NOM DE VOTRE RECETTE | | Auteur &gt; VOUS</v>
      </c>
      <c r="H99" s="69" t="s">
        <v>54</v>
      </c>
      <c r="I99" s="5469" t="s">
        <v>55</v>
      </c>
      <c r="J99" s="5469"/>
      <c r="K99" s="5469"/>
      <c r="L99" s="70" t="str">
        <f>IF(ISTEXT(M99),"Recette mère ►",H99)</f>
        <v>Recette mère ►</v>
      </c>
      <c r="M99" s="71" t="s">
        <v>3310</v>
      </c>
      <c r="N99" s="71"/>
      <c r="O99" s="72"/>
      <c r="P99" s="1473"/>
      <c r="R99" s="64" t="s">
        <v>16</v>
      </c>
      <c r="S99" s="65" t="str">
        <f>W99</f>
        <v>N NAME OF YOUR RECIPE | |  Author &gt; YOU</v>
      </c>
      <c r="T99" s="66">
        <f>W97</f>
        <v>18</v>
      </c>
      <c r="U99" s="65" t="str">
        <f>X97</f>
        <v>desserts</v>
      </c>
      <c r="V99" s="67" t="str">
        <f>AB99&amp;" "&amp;AC99</f>
        <v>Master recipe ► Enter the main recipe name</v>
      </c>
      <c r="W99" s="68" t="str">
        <f>UPPER(LEFT(X93,1))&amp;" "&amp;X93&amp;" | "&amp;AE93&amp;"| "&amp;Z95&amp;" "&amp;AA95</f>
        <v>N NAME OF YOUR RECIPE | |  Author &gt; YOU</v>
      </c>
      <c r="X99" s="69" t="s">
        <v>3315</v>
      </c>
      <c r="Y99" s="5469" t="s">
        <v>3316</v>
      </c>
      <c r="Z99" s="5469"/>
      <c r="AA99" s="5469"/>
      <c r="AB99" s="70" t="str">
        <f>IF(ISTEXT(AC99),"Master recipe ►",X99)</f>
        <v>Master recipe ►</v>
      </c>
      <c r="AC99" s="71" t="s">
        <v>3317</v>
      </c>
      <c r="AD99" s="71"/>
      <c r="AE99" s="72"/>
      <c r="AF99" s="1473"/>
      <c r="AH99" s="64" t="s">
        <v>16</v>
      </c>
      <c r="AI99" s="65" t="str">
        <f>AM99</f>
        <v>N NOMBRE DE LA RECETA | | Autor &gt; USTED</v>
      </c>
      <c r="AJ99" s="66">
        <f>AM97</f>
        <v>18</v>
      </c>
      <c r="AK99" s="65" t="str">
        <f>AN97</f>
        <v>postres</v>
      </c>
      <c r="AL99" s="67" t="str">
        <f>AR99&amp;" "&amp;AS99</f>
        <v>Receta madre ► Introduzca el nombre de la receta principal</v>
      </c>
      <c r="AM99" s="68" t="str">
        <f>UPPER(LEFT(AN93,1))&amp;" "&amp;AN93&amp;" | "&amp;AU93&amp;"| "&amp;AP95&amp;" "&amp;AQ95</f>
        <v>N NOMBRE DE LA RECETA | | Autor &gt; USTED</v>
      </c>
      <c r="AN99" s="69" t="s">
        <v>3319</v>
      </c>
      <c r="AO99" s="5469" t="s">
        <v>906</v>
      </c>
      <c r="AP99" s="5469"/>
      <c r="AQ99" s="5469"/>
      <c r="AR99" s="70" t="str">
        <f>IF(ISTEXT(AS99),"Receta madre ►",AN99)</f>
        <v>Receta madre ►</v>
      </c>
      <c r="AS99" s="71" t="s">
        <v>3318</v>
      </c>
      <c r="AT99" s="71"/>
      <c r="AU99" s="72"/>
      <c r="AV99" s="1473"/>
      <c r="AX99" s="336" t="s">
        <v>217</v>
      </c>
      <c r="AY99" s="146"/>
      <c r="AZ99" s="146"/>
      <c r="BA99" s="48"/>
      <c r="BB99" s="48"/>
      <c r="BC99" s="48"/>
      <c r="BD99" s="49"/>
      <c r="BF99" s="336" t="s">
        <v>218</v>
      </c>
      <c r="BG99" s="146"/>
      <c r="BH99" s="146"/>
      <c r="BI99" s="48"/>
      <c r="BJ99" s="48"/>
      <c r="BK99" s="48"/>
      <c r="BL99" s="49"/>
      <c r="BN99" s="336" t="s">
        <v>219</v>
      </c>
      <c r="BO99" s="146"/>
      <c r="BP99" s="146"/>
      <c r="BQ99" s="48"/>
      <c r="BR99" s="48"/>
      <c r="BS99" s="48"/>
      <c r="BT99" s="49"/>
      <c r="BV99" s="3">
        <v>1</v>
      </c>
    </row>
    <row r="100" spans="2:74" ht="21" customHeight="1">
      <c r="B100" s="74" t="s">
        <v>16</v>
      </c>
      <c r="C100" s="75" t="str">
        <f>C99</f>
        <v>N NOM DE VOTRE RECETTE | | Auteur &gt; VOUS</v>
      </c>
      <c r="D100" s="75">
        <f>D99</f>
        <v>18</v>
      </c>
      <c r="E100" s="75" t="str">
        <f>E99</f>
        <v>desserts</v>
      </c>
      <c r="F100" s="76" t="str">
        <f>F99</f>
        <v>Recette mère ► Saisir le nom de la recette principale</v>
      </c>
      <c r="G100" s="13" t="s">
        <v>66</v>
      </c>
      <c r="H100" s="13" t="s">
        <v>67</v>
      </c>
      <c r="I100" s="13" t="s">
        <v>68</v>
      </c>
      <c r="J100" s="13" t="s">
        <v>69</v>
      </c>
      <c r="K100" s="77" t="s">
        <v>70</v>
      </c>
      <c r="L100" s="78" t="s">
        <v>71</v>
      </c>
      <c r="M100" s="79" t="s">
        <v>72</v>
      </c>
      <c r="N100" s="1496" t="s">
        <v>73</v>
      </c>
      <c r="O100" s="13" t="s">
        <v>74</v>
      </c>
      <c r="P100" s="518" t="s">
        <v>75</v>
      </c>
      <c r="R100" s="74" t="s">
        <v>16</v>
      </c>
      <c r="S100" s="75" t="str">
        <f>S99</f>
        <v>N NAME OF YOUR RECIPE | |  Author &gt; YOU</v>
      </c>
      <c r="T100" s="75">
        <f>T99</f>
        <v>18</v>
      </c>
      <c r="U100" s="75" t="str">
        <f>U99</f>
        <v>desserts</v>
      </c>
      <c r="V100" s="76" t="str">
        <f>V99</f>
        <v>Master recipe ► Enter the main recipe name</v>
      </c>
      <c r="W100" s="13" t="s">
        <v>66</v>
      </c>
      <c r="X100" s="13" t="s">
        <v>67</v>
      </c>
      <c r="Y100" s="13" t="s">
        <v>68</v>
      </c>
      <c r="Z100" s="13" t="s">
        <v>69</v>
      </c>
      <c r="AA100" s="77" t="s">
        <v>70</v>
      </c>
      <c r="AB100" s="78" t="s">
        <v>71</v>
      </c>
      <c r="AC100" s="79" t="s">
        <v>72</v>
      </c>
      <c r="AD100" s="1496" t="s">
        <v>73</v>
      </c>
      <c r="AE100" s="13" t="s">
        <v>75</v>
      </c>
      <c r="AF100" s="518" t="s">
        <v>76</v>
      </c>
      <c r="AH100" s="74" t="s">
        <v>16</v>
      </c>
      <c r="AI100" s="75" t="str">
        <f>AI99</f>
        <v>N NOMBRE DE LA RECETA | | Autor &gt; USTED</v>
      </c>
      <c r="AJ100" s="75">
        <f>AJ99</f>
        <v>18</v>
      </c>
      <c r="AK100" s="75" t="str">
        <f>AK99</f>
        <v>postres</v>
      </c>
      <c r="AL100" s="76" t="str">
        <f>AL99</f>
        <v>Receta madre ► Introduzca el nombre de la receta principal</v>
      </c>
      <c r="AM100" s="13" t="s">
        <v>66</v>
      </c>
      <c r="AN100" s="13" t="s">
        <v>67</v>
      </c>
      <c r="AO100" s="13" t="s">
        <v>68</v>
      </c>
      <c r="AP100" s="13" t="s">
        <v>69</v>
      </c>
      <c r="AQ100" s="77" t="s">
        <v>70</v>
      </c>
      <c r="AR100" s="78" t="s">
        <v>71</v>
      </c>
      <c r="AS100" s="79" t="s">
        <v>72</v>
      </c>
      <c r="AT100" s="1496" t="s">
        <v>73</v>
      </c>
      <c r="AU100" s="13" t="s">
        <v>74</v>
      </c>
      <c r="AV100" s="518" t="s">
        <v>75</v>
      </c>
      <c r="AX100" s="336"/>
      <c r="AY100" s="146"/>
      <c r="AZ100" s="146"/>
      <c r="BA100" s="48"/>
      <c r="BB100" s="48"/>
      <c r="BC100" s="48"/>
      <c r="BD100" s="49"/>
      <c r="BF100" s="336"/>
      <c r="BG100" s="146"/>
      <c r="BH100" s="146"/>
      <c r="BI100" s="48"/>
      <c r="BJ100" s="48"/>
      <c r="BK100" s="48"/>
      <c r="BL100" s="49"/>
      <c r="BN100" s="336"/>
      <c r="BO100" s="146"/>
      <c r="BP100" s="146"/>
      <c r="BQ100" s="48"/>
      <c r="BR100" s="48"/>
      <c r="BS100" s="48"/>
      <c r="BT100" s="49"/>
      <c r="BV100" s="3">
        <v>1</v>
      </c>
    </row>
    <row r="101" spans="2:74" ht="21" customHeight="1">
      <c r="B101" s="27" t="s">
        <v>11</v>
      </c>
      <c r="C101" s="32" t="str">
        <f>C99</f>
        <v>N NOM DE VOTRE RECETTE | | Auteur &gt; VOUS</v>
      </c>
      <c r="D101" s="33">
        <f>D99</f>
        <v>18</v>
      </c>
      <c r="E101" s="32" t="str">
        <f>E99</f>
        <v>desserts</v>
      </c>
      <c r="F101" s="34" t="str">
        <f>F99</f>
        <v>Recette mère ► Saisir le nom de la recette principale</v>
      </c>
      <c r="G101" s="81" t="s">
        <v>77</v>
      </c>
      <c r="H101" s="82" t="s">
        <v>78</v>
      </c>
      <c r="I101" s="83"/>
      <c r="J101" s="5454" t="s">
        <v>79</v>
      </c>
      <c r="K101" s="5464" t="s">
        <v>80</v>
      </c>
      <c r="L101" s="5466" t="s">
        <v>81</v>
      </c>
      <c r="M101" s="84" t="s">
        <v>82</v>
      </c>
      <c r="N101" s="5444" t="s">
        <v>83</v>
      </c>
      <c r="O101" s="5446" t="s">
        <v>3297</v>
      </c>
      <c r="P101" s="5448" t="s">
        <v>86</v>
      </c>
      <c r="R101" s="27" t="s">
        <v>11</v>
      </c>
      <c r="S101" s="32" t="str">
        <f>S99</f>
        <v>N NAME OF YOUR RECIPE | |  Author &gt; YOU</v>
      </c>
      <c r="T101" s="33">
        <f>T99</f>
        <v>18</v>
      </c>
      <c r="U101" s="32" t="str">
        <f>U99</f>
        <v>desserts</v>
      </c>
      <c r="V101" s="34" t="str">
        <f>V99</f>
        <v>Master recipe ► Enter the main recipe name</v>
      </c>
      <c r="W101" s="81" t="s">
        <v>77</v>
      </c>
      <c r="X101" s="82" t="s">
        <v>78</v>
      </c>
      <c r="Y101" s="83"/>
      <c r="Z101" s="5454" t="s">
        <v>228</v>
      </c>
      <c r="AA101" s="5464" t="s">
        <v>80</v>
      </c>
      <c r="AB101" s="5466" t="s">
        <v>81</v>
      </c>
      <c r="AC101" s="84" t="s">
        <v>82</v>
      </c>
      <c r="AD101" s="5444" t="s">
        <v>244</v>
      </c>
      <c r="AE101" s="5446" t="s">
        <v>890</v>
      </c>
      <c r="AF101" s="5448" t="s">
        <v>247</v>
      </c>
      <c r="AH101" s="27" t="s">
        <v>11</v>
      </c>
      <c r="AI101" s="32" t="str">
        <f>AI99</f>
        <v>N NOMBRE DE LA RECETA | | Autor &gt; USTED</v>
      </c>
      <c r="AJ101" s="33">
        <f>AJ99</f>
        <v>18</v>
      </c>
      <c r="AK101" s="32" t="str">
        <f>AK99</f>
        <v>postres</v>
      </c>
      <c r="AL101" s="34" t="str">
        <f>AL99</f>
        <v>Receta madre ► Introduzca el nombre de la receta principal</v>
      </c>
      <c r="AM101" s="81" t="s">
        <v>77</v>
      </c>
      <c r="AN101" s="82" t="s">
        <v>78</v>
      </c>
      <c r="AO101" s="83"/>
      <c r="AP101" s="5470" t="s">
        <v>229</v>
      </c>
      <c r="AQ101" s="5495" t="s">
        <v>80</v>
      </c>
      <c r="AR101" s="5481" t="s">
        <v>396</v>
      </c>
      <c r="AS101" s="84" t="s">
        <v>82</v>
      </c>
      <c r="AT101" s="5444" t="s">
        <v>249</v>
      </c>
      <c r="AU101" s="5446" t="s">
        <v>907</v>
      </c>
      <c r="AV101" s="5448" t="s">
        <v>252</v>
      </c>
      <c r="AX101" s="339"/>
      <c r="AY101" s="340" t="s">
        <v>336</v>
      </c>
      <c r="AZ101" s="146"/>
      <c r="BA101" s="48"/>
      <c r="BB101" s="48"/>
      <c r="BC101" s="48"/>
      <c r="BD101" s="49"/>
      <c r="BF101" s="339"/>
      <c r="BG101" s="340" t="s">
        <v>337</v>
      </c>
      <c r="BH101" s="146"/>
      <c r="BI101" s="48"/>
      <c r="BJ101" s="48"/>
      <c r="BK101" s="48"/>
      <c r="BL101" s="49"/>
      <c r="BN101" s="339"/>
      <c r="BO101" s="340" t="s">
        <v>338</v>
      </c>
      <c r="BP101" s="146"/>
      <c r="BQ101" s="48"/>
      <c r="BR101" s="48"/>
      <c r="BS101" s="48"/>
      <c r="BT101" s="49"/>
      <c r="BV101" s="3">
        <v>1</v>
      </c>
    </row>
    <row r="102" spans="2:74" ht="21" customHeight="1">
      <c r="B102" s="27" t="s">
        <v>11</v>
      </c>
      <c r="C102" s="32" t="str">
        <f>C99</f>
        <v>N NOM DE VOTRE RECETTE | | Auteur &gt; VOUS</v>
      </c>
      <c r="D102" s="33">
        <f>D99</f>
        <v>18</v>
      </c>
      <c r="E102" s="32" t="str">
        <f>E99</f>
        <v>desserts</v>
      </c>
      <c r="F102" s="34" t="str">
        <f>F99</f>
        <v>Recette mère ► Saisir le nom de la recette principale</v>
      </c>
      <c r="G102" s="87" t="s">
        <v>91</v>
      </c>
      <c r="H102" s="88" t="s">
        <v>92</v>
      </c>
      <c r="I102" s="89" t="s">
        <v>93</v>
      </c>
      <c r="J102" s="5455"/>
      <c r="K102" s="5465"/>
      <c r="L102" s="5467"/>
      <c r="M102" s="90" t="s">
        <v>94</v>
      </c>
      <c r="N102" s="5445"/>
      <c r="O102" s="5447"/>
      <c r="P102" s="5449"/>
      <c r="R102" s="27" t="s">
        <v>11</v>
      </c>
      <c r="S102" s="32" t="str">
        <f>S99</f>
        <v>N NAME OF YOUR RECIPE | |  Author &gt; YOU</v>
      </c>
      <c r="T102" s="33">
        <f>T99</f>
        <v>18</v>
      </c>
      <c r="U102" s="32" t="str">
        <f>U99</f>
        <v>desserts</v>
      </c>
      <c r="V102" s="34" t="str">
        <f>V99</f>
        <v>Master recipe ► Enter the main recipe name</v>
      </c>
      <c r="W102" s="87" t="s">
        <v>231</v>
      </c>
      <c r="X102" s="88" t="s">
        <v>232</v>
      </c>
      <c r="Y102" s="89" t="s">
        <v>891</v>
      </c>
      <c r="Z102" s="5455"/>
      <c r="AA102" s="5465"/>
      <c r="AB102" s="5467"/>
      <c r="AC102" s="90" t="s">
        <v>867</v>
      </c>
      <c r="AD102" s="5445"/>
      <c r="AE102" s="5447"/>
      <c r="AF102" s="5449"/>
      <c r="AH102" s="27" t="s">
        <v>11</v>
      </c>
      <c r="AI102" s="32" t="str">
        <f>AI99</f>
        <v>N NOMBRE DE LA RECETA | | Autor &gt; USTED</v>
      </c>
      <c r="AJ102" s="33">
        <f>AJ99</f>
        <v>18</v>
      </c>
      <c r="AK102" s="32" t="str">
        <f>AK99</f>
        <v>postres</v>
      </c>
      <c r="AL102" s="34" t="str">
        <f>AL99</f>
        <v>Receta madre ► Introduzca el nombre de la receta principal</v>
      </c>
      <c r="AM102" s="87" t="s">
        <v>234</v>
      </c>
      <c r="AN102" s="88" t="s">
        <v>235</v>
      </c>
      <c r="AO102" s="89" t="s">
        <v>93</v>
      </c>
      <c r="AP102" s="5455"/>
      <c r="AQ102" s="5465"/>
      <c r="AR102" s="5467"/>
      <c r="AS102" s="90" t="s">
        <v>869</v>
      </c>
      <c r="AT102" s="5445"/>
      <c r="AU102" s="5447"/>
      <c r="AV102" s="5449"/>
      <c r="AX102" s="341" t="s">
        <v>341</v>
      </c>
      <c r="AY102" s="340"/>
      <c r="AZ102" s="146"/>
      <c r="BA102" s="48"/>
      <c r="BB102" s="48"/>
      <c r="BC102" s="48"/>
      <c r="BD102" s="49"/>
      <c r="BF102" s="341" t="s">
        <v>342</v>
      </c>
      <c r="BG102" s="340"/>
      <c r="BH102" s="146"/>
      <c r="BI102" s="48"/>
      <c r="BJ102" s="48"/>
      <c r="BK102" s="48"/>
      <c r="BL102" s="49"/>
      <c r="BN102" s="341" t="s">
        <v>343</v>
      </c>
      <c r="BO102" s="340"/>
      <c r="BP102" s="146"/>
      <c r="BQ102" s="48"/>
      <c r="BR102" s="48"/>
      <c r="BS102" s="48"/>
      <c r="BT102" s="49"/>
      <c r="BV102" s="3">
        <v>1</v>
      </c>
    </row>
    <row r="103" spans="2:74" ht="21" customHeight="1">
      <c r="B103" s="27" t="s">
        <v>11</v>
      </c>
      <c r="C103" s="32" t="str">
        <f>C99</f>
        <v>N NOM DE VOTRE RECETTE | | Auteur &gt; VOUS</v>
      </c>
      <c r="D103" s="33">
        <f>D99</f>
        <v>18</v>
      </c>
      <c r="E103" s="32" t="str">
        <f>E99</f>
        <v>desserts</v>
      </c>
      <c r="F103" s="34" t="str">
        <f>F99</f>
        <v>Recette mère ► Saisir le nom de la recette principale</v>
      </c>
      <c r="G103" s="92"/>
      <c r="H103" s="93"/>
      <c r="I103" s="94" t="str">
        <f t="shared" ref="I103:I117" si="23">IF(OR(ISTEXT(G103), G103&lt;=0, J103&lt;=0), "", "de")</f>
        <v/>
      </c>
      <c r="J103" s="95"/>
      <c r="K103" s="126"/>
      <c r="L103" s="127">
        <v>1</v>
      </c>
      <c r="M103" s="919"/>
      <c r="N103" s="100">
        <f>IF(OR(ISBLANK(G97),N97=0),0,G103*L98)</f>
        <v>0</v>
      </c>
      <c r="O103" s="101" cm="1">
        <f t="array" ref="O103">IFERROR(_xlfn.LET(_xlpm.k,UPPER(TRIM(K103)),_xlpm.r,_xlfn.XLOOKUP(_xlpm.k,UPPER(TRIM(G119:P119)),G120:P120,_xlfn.XLOOKUP(_xlpm.k,UPPER(TRIM(G121:P121)),G122:P122)),_xlpm.r*J103*L103*L98*IF(ISBLANK(G103),1,G103)),0)</f>
        <v>0</v>
      </c>
      <c r="P103" s="1476" t="str">
        <f>_xlfn.LET(_xlpm.unite,SUBSTITUTE(TRIM(K103)," (s)",""),_xlpm.val,O103,_xlpm.estVol,COUNTIF(J119:P119,_xlpm.unite)+COUNTIF(J121:P121,_xlpm.unite)&gt;0,_xlpm.estPoids,COUNTIF(G119:I119,_xlpm.unite)+COUNTIF(G121:I121,_xlpm.unite)&gt;0,IF(_xlpm.estVol,IF(ROUND(_xlpm.val,3)&gt;=1,ROUND(_xlpm.val,3)&amp;" L",MAX(1,ROUND(_xlpm.val*100,0))&amp;" cl"),IF(_xlpm.estPoids,IF(ROUND(_xlpm.val,3)&gt;=1,ROUND(_xlpm.val,3)&amp;" Kg",MAX(1,ROUND(_xlpm.val*1000,0))&amp;" g"),"")))</f>
        <v/>
      </c>
      <c r="R103" s="27" t="s">
        <v>11</v>
      </c>
      <c r="S103" s="32" t="str">
        <f>S99</f>
        <v>N NAME OF YOUR RECIPE | |  Author &gt; YOU</v>
      </c>
      <c r="T103" s="33">
        <f>T99</f>
        <v>18</v>
      </c>
      <c r="U103" s="32" t="str">
        <f>U99</f>
        <v>desserts</v>
      </c>
      <c r="V103" s="34" t="str">
        <f>V99</f>
        <v>Master recipe ► Enter the main recipe name</v>
      </c>
      <c r="W103" s="92"/>
      <c r="X103" s="93"/>
      <c r="Y103" s="94" t="str">
        <f t="shared" ref="Y103:Y117" si="24">IF(OR(ISTEXT(W103), W103&lt;=0, Z103&lt;=0), "", "of")</f>
        <v/>
      </c>
      <c r="Z103" s="95"/>
      <c r="AA103" s="126"/>
      <c r="AB103" s="127">
        <v>1</v>
      </c>
      <c r="AC103" s="919"/>
      <c r="AD103" s="100">
        <f>IF(OR(ISBLANK(W97),AD97=0),0,W103*AB98)</f>
        <v>0</v>
      </c>
      <c r="AE103" s="101" cm="1">
        <f t="array" ref="AE103">IFERROR(_xlfn.LET(_xlpm.k,UPPER(TRIM(AA103)),_xlpm.r,_xlfn.XLOOKUP(_xlpm.k,UPPER(TRIM(W119:AF119)),W120:AF120,_xlfn.XLOOKUP(_xlpm.k,UPPER(TRIM(W121:AF121)),W122:AF122)),_xlpm.r*Z103*AB103*AB98*IF(ISBLANK(W103),1,W103)),0)</f>
        <v>0</v>
      </c>
      <c r="AF103" s="1476" t="str">
        <f>_xlfn.LET(_xlpm.unite,SUBSTITUTE(TRIM(AA103)," (s)",""),_xlpm.val,AE103,_xlpm.estVol,COUNTIF(Z119:AF119,_xlpm.unite)+COUNTIF(Z121:AF121,_xlpm.unite)&gt;0,_xlpm.estPoids,COUNTIF(W119:Y119,_xlpm.unite)+COUNTIF(W121:Y121,_xlpm.unite)&gt;0,IF(_xlpm.estVol,IF(ROUND(_xlpm.val,3)&gt;=1,ROUND(_xlpm.val,3)&amp;" L",MAX(1,ROUND(_xlpm.val*100,0))&amp;" cl"),IF(_xlpm.estPoids,IF(ROUND(_xlpm.val,3)&gt;=1,ROUND(_xlpm.val,3)&amp;" Kg",MAX(1,ROUND(_xlpm.val*1000,0))&amp;" g"),"")))</f>
        <v/>
      </c>
      <c r="AH103" s="27" t="s">
        <v>11</v>
      </c>
      <c r="AI103" s="32" t="str">
        <f>AI99</f>
        <v>N NOMBRE DE LA RECETA | | Autor &gt; USTED</v>
      </c>
      <c r="AJ103" s="33">
        <f>AJ99</f>
        <v>18</v>
      </c>
      <c r="AK103" s="32" t="str">
        <f>AK99</f>
        <v>postres</v>
      </c>
      <c r="AL103" s="34" t="str">
        <f>AL99</f>
        <v>Receta madre ► Introduzca el nombre de la receta principal</v>
      </c>
      <c r="AM103" s="92"/>
      <c r="AN103" s="93"/>
      <c r="AO103" s="94" t="str">
        <f t="shared" ref="AO103:AO117" si="25">IF(OR(ISTEXT(AM103), AM103&lt;=0, AP103&lt;=0), "", "de")</f>
        <v/>
      </c>
      <c r="AP103" s="95"/>
      <c r="AQ103" s="126"/>
      <c r="AR103" s="127">
        <v>1</v>
      </c>
      <c r="AS103" s="919"/>
      <c r="AT103" s="100">
        <f>IF(OR(ISBLANK(AM97),AT97=0),0,AM103*AR98)</f>
        <v>0</v>
      </c>
      <c r="AU103" s="101" cm="1">
        <f t="array" ref="AU103">IFERROR(_xlfn.LET(_xlpm.k,UPPER(TRIM(AQ103)),_xlpm.r,_xlfn.XLOOKUP(_xlpm.k,UPPER(TRIM(AM119:AV119)),AM120:AV120,_xlfn.XLOOKUP(_xlpm.k,UPPER(TRIM(AM121:AV121)),AM122:AV122)),_xlpm.r*AP103*AR103*AR98*IF(ISBLANK(AM103),1,AM103)),0)</f>
        <v>0</v>
      </c>
      <c r="AV103" s="1476" t="str">
        <f>_xlfn.LET(_xlpm.unite,SUBSTITUTE(TRIM(AQ103)," (s)",""),_xlpm.val,AU103,_xlpm.estVol,COUNTIF(AP119:AV119,_xlpm.unite)+COUNTIF(AP121:AV121,_xlpm.unite)&gt;0,_xlpm.estPoids,COUNTIF(AM119:AO119,_xlpm.unite)+COUNTIF(AM121:AO121,_xlpm.unite)&gt;0,IF(_xlpm.estVol,IF(ROUND(_xlpm.val,3)&gt;=1,ROUND(_xlpm.val,3)&amp;" L",MAX(1,ROUND(_xlpm.val*100,0))&amp;" cl"),IF(_xlpm.estPoids,IF(ROUND(_xlpm.val,3)&gt;=1,ROUND(_xlpm.val,3)&amp;" Kg",MAX(1,ROUND(_xlpm.val*1000,0))&amp;" g"),"")))</f>
        <v/>
      </c>
      <c r="AX103" s="47"/>
      <c r="AY103" s="343" t="s">
        <v>346</v>
      </c>
      <c r="AZ103" s="48"/>
      <c r="BA103" s="48"/>
      <c r="BB103" s="48"/>
      <c r="BC103" s="48"/>
      <c r="BD103" s="49"/>
      <c r="BF103" s="47"/>
      <c r="BG103" s="343" t="s">
        <v>195</v>
      </c>
      <c r="BH103" s="48"/>
      <c r="BI103" s="48"/>
      <c r="BJ103" s="48"/>
      <c r="BK103" s="48"/>
      <c r="BL103" s="49"/>
      <c r="BN103" s="47"/>
      <c r="BO103" s="343" t="s">
        <v>196</v>
      </c>
      <c r="BP103" s="48"/>
      <c r="BQ103" s="48"/>
      <c r="BR103" s="48"/>
      <c r="BS103" s="48"/>
      <c r="BT103" s="49"/>
      <c r="BV103" s="3">
        <v>1</v>
      </c>
    </row>
    <row r="104" spans="2:74" ht="21" customHeight="1">
      <c r="B104" s="104" t="str">
        <f t="shared" ref="B104:B117" si="26">IF(M104&lt;&gt;"","A","►")</f>
        <v>►</v>
      </c>
      <c r="C104" s="32" t="str">
        <f>C99</f>
        <v>N NOM DE VOTRE RECETTE | | Auteur &gt; VOUS</v>
      </c>
      <c r="D104" s="33">
        <f>D99</f>
        <v>18</v>
      </c>
      <c r="E104" s="32" t="str">
        <f>E99</f>
        <v>desserts</v>
      </c>
      <c r="F104" s="34" t="str">
        <f>F99</f>
        <v>Recette mère ► Saisir le nom de la recette principale</v>
      </c>
      <c r="G104" s="92"/>
      <c r="H104" s="93"/>
      <c r="I104" s="94" t="str">
        <f t="shared" si="23"/>
        <v/>
      </c>
      <c r="J104" s="95"/>
      <c r="K104" s="126"/>
      <c r="L104" s="127">
        <v>1</v>
      </c>
      <c r="M104" s="920"/>
      <c r="N104" s="1494">
        <f>IF(OR(ISBLANK(G97),N97=0),0,G104*L98)</f>
        <v>0</v>
      </c>
      <c r="O104" s="101" cm="1">
        <f t="array" ref="O104">IFERROR(_xlfn.LET(_xlpm.k,UPPER(TRIM(K104)),_xlpm.r,_xlfn.XLOOKUP(_xlpm.k,UPPER(TRIM(G119:P119)),G120:P120,_xlfn.XLOOKUP(_xlpm.k,UPPER(TRIM(G121:P121)),G122:P122)),_xlpm.r*J104*L104*L98*IF(ISBLANK(G104),1,G104)),0)</f>
        <v>0</v>
      </c>
      <c r="P104" s="1475" t="str">
        <f>_xlfn.LET(_xlpm.unite,SUBSTITUTE(TRIM(K104)," (s)",""),_xlpm.val,O104,_xlpm.estVol,COUNTIF(J119:P119,_xlpm.unite)+COUNTIF(J121:P121,_xlpm.unite)&gt;0,_xlpm.estPoids,COUNTIF(G119:I119,_xlpm.unite)+COUNTIF(G121:I121,_xlpm.unite)&gt;0,IF(_xlpm.estVol,IF(ROUND(_xlpm.val,3)&gt;=1,ROUND(_xlpm.val,3)&amp;" L",MAX(1,ROUND(_xlpm.val*100,0))&amp;" cl"),IF(_xlpm.estPoids,IF(ROUND(_xlpm.val,3)&gt;=1,ROUND(_xlpm.val,3)&amp;" Kg",MAX(1,ROUND(_xlpm.val*1000,0))&amp;" g"),"")))</f>
        <v/>
      </c>
      <c r="R104" s="104" t="str">
        <f t="shared" ref="R104:R117" si="27">IF(AC104&lt;&gt;"","A","►")</f>
        <v>►</v>
      </c>
      <c r="S104" s="32" t="str">
        <f>S99</f>
        <v>N NAME OF YOUR RECIPE | |  Author &gt; YOU</v>
      </c>
      <c r="T104" s="33">
        <f>T99</f>
        <v>18</v>
      </c>
      <c r="U104" s="32" t="str">
        <f>U99</f>
        <v>desserts</v>
      </c>
      <c r="V104" s="34" t="str">
        <f>V99</f>
        <v>Master recipe ► Enter the main recipe name</v>
      </c>
      <c r="W104" s="92"/>
      <c r="X104" s="93"/>
      <c r="Y104" s="94" t="str">
        <f t="shared" si="24"/>
        <v/>
      </c>
      <c r="Z104" s="95"/>
      <c r="AA104" s="126"/>
      <c r="AB104" s="127">
        <v>1</v>
      </c>
      <c r="AC104" s="920"/>
      <c r="AD104" s="1494">
        <f>IF(OR(ISBLANK(W97),AD97=0),0,W104*AB98)</f>
        <v>0</v>
      </c>
      <c r="AE104" s="101" cm="1">
        <f t="array" ref="AE104">IFERROR(_xlfn.LET(_xlpm.k,UPPER(TRIM(AA104)),_xlpm.r,_xlfn.XLOOKUP(_xlpm.k,UPPER(TRIM(W119:AF119)),W120:AF120,_xlfn.XLOOKUP(_xlpm.k,UPPER(TRIM(W121:AF121)),W122:AF122)),_xlpm.r*Z104*AB104*AB98*IF(ISBLANK(W104),1,W104)),0)</f>
        <v>0</v>
      </c>
      <c r="AF104" s="1475" t="str">
        <f>_xlfn.LET(_xlpm.unite,SUBSTITUTE(TRIM(AA104)," (s)",""),_xlpm.val,AE104,_xlpm.estVol,COUNTIF(Z119:AF119,_xlpm.unite)+COUNTIF(Z121:AF121,_xlpm.unite)&gt;0,_xlpm.estPoids,COUNTIF(W119:Y119,_xlpm.unite)+COUNTIF(W121:Y121,_xlpm.unite)&gt;0,IF(_xlpm.estVol,IF(ROUND(_xlpm.val,3)&gt;=1,ROUND(_xlpm.val,3)&amp;" L",MAX(1,ROUND(_xlpm.val*100,0))&amp;" cl"),IF(_xlpm.estPoids,IF(ROUND(_xlpm.val,3)&gt;=1,ROUND(_xlpm.val,3)&amp;" Kg",MAX(1,ROUND(_xlpm.val*1000,0))&amp;" g"),"")))</f>
        <v/>
      </c>
      <c r="AH104" s="104" t="str">
        <f t="shared" ref="AH104:AH117" si="28">IF(AS104&lt;&gt;"","A","►")</f>
        <v>►</v>
      </c>
      <c r="AI104" s="32" t="str">
        <f>AI99</f>
        <v>N NOMBRE DE LA RECETA | | Autor &gt; USTED</v>
      </c>
      <c r="AJ104" s="33">
        <f>AJ99</f>
        <v>18</v>
      </c>
      <c r="AK104" s="32" t="str">
        <f>AK99</f>
        <v>postres</v>
      </c>
      <c r="AL104" s="34" t="str">
        <f>AL99</f>
        <v>Receta madre ► Introduzca el nombre de la receta principal</v>
      </c>
      <c r="AM104" s="92"/>
      <c r="AN104" s="93"/>
      <c r="AO104" s="94" t="str">
        <f t="shared" si="25"/>
        <v/>
      </c>
      <c r="AP104" s="95"/>
      <c r="AQ104" s="126"/>
      <c r="AR104" s="127">
        <v>1</v>
      </c>
      <c r="AS104" s="920"/>
      <c r="AT104" s="1494">
        <f>IF(OR(ISBLANK(AM97),AT97=0),0,AM104*AR98)</f>
        <v>0</v>
      </c>
      <c r="AU104" s="101" cm="1">
        <f t="array" ref="AU104">IFERROR(_xlfn.LET(_xlpm.k,UPPER(TRIM(AQ104)),_xlpm.r,_xlfn.XLOOKUP(_xlpm.k,UPPER(TRIM(AM119:AV119)),AM120:AV120,_xlfn.XLOOKUP(_xlpm.k,UPPER(TRIM(AM121:AV121)),AM122:AV122)),_xlpm.r*AP104*AR104*AR98*IF(ISBLANK(AM104),1,AM104)),0)</f>
        <v>0</v>
      </c>
      <c r="AV104" s="1475" t="str">
        <f>_xlfn.LET(_xlpm.unite,SUBSTITUTE(TRIM(AQ104)," (s)",""),_xlpm.val,AU104,_xlpm.estVol,COUNTIF(AP119:AV119,_xlpm.unite)+COUNTIF(AP121:AV121,_xlpm.unite)&gt;0,_xlpm.estPoids,COUNTIF(AM119:AO119,_xlpm.unite)+COUNTIF(AM121:AO121,_xlpm.unite)&gt;0,IF(_xlpm.estVol,IF(ROUND(_xlpm.val,3)&gt;=1,ROUND(_xlpm.val,3)&amp;" L",MAX(1,ROUND(_xlpm.val*100,0))&amp;" cl"),IF(_xlpm.estPoids,IF(ROUND(_xlpm.val,3)&gt;=1,ROUND(_xlpm.val,3)&amp;" Kg",MAX(1,ROUND(_xlpm.val*1000,0))&amp;" g"),"")))</f>
        <v/>
      </c>
      <c r="AX104" s="346" t="s">
        <v>349</v>
      </c>
      <c r="AY104" s="48"/>
      <c r="AZ104" s="48"/>
      <c r="BA104" s="48"/>
      <c r="BB104" s="48"/>
      <c r="BC104" s="48"/>
      <c r="BD104" s="49"/>
      <c r="BF104" s="346" t="s">
        <v>350</v>
      </c>
      <c r="BG104" s="48"/>
      <c r="BH104" s="48"/>
      <c r="BI104" s="48"/>
      <c r="BJ104" s="48"/>
      <c r="BK104" s="48"/>
      <c r="BL104" s="49"/>
      <c r="BN104" s="346" t="s">
        <v>351</v>
      </c>
      <c r="BO104" s="48"/>
      <c r="BP104" s="48"/>
      <c r="BQ104" s="48"/>
      <c r="BR104" s="48"/>
      <c r="BS104" s="48"/>
      <c r="BT104" s="49"/>
      <c r="BV104" s="3">
        <v>1</v>
      </c>
    </row>
    <row r="105" spans="2:74" ht="21" customHeight="1" thickBot="1">
      <c r="B105" s="104" t="str">
        <f t="shared" si="26"/>
        <v>►</v>
      </c>
      <c r="C105" s="32" t="str">
        <f>C99</f>
        <v>N NOM DE VOTRE RECETTE | | Auteur &gt; VOUS</v>
      </c>
      <c r="D105" s="33">
        <f>D99</f>
        <v>18</v>
      </c>
      <c r="E105" s="32" t="str">
        <f>E99</f>
        <v>desserts</v>
      </c>
      <c r="F105" s="34" t="str">
        <f>F99</f>
        <v>Recette mère ► Saisir le nom de la recette principale</v>
      </c>
      <c r="G105" s="92"/>
      <c r="H105" s="108"/>
      <c r="I105" s="94" t="str">
        <f t="shared" si="23"/>
        <v/>
      </c>
      <c r="J105" s="95"/>
      <c r="K105" s="126"/>
      <c r="L105" s="127">
        <v>1</v>
      </c>
      <c r="M105" s="920"/>
      <c r="N105" s="1494">
        <f>IF(OR(ISBLANK(G97),N97=0),0,G105*L98)</f>
        <v>0</v>
      </c>
      <c r="O105" s="101" cm="1">
        <f t="array" ref="O105">IFERROR(_xlfn.LET(_xlpm.k,UPPER(TRIM(K105)),_xlpm.r,_xlfn.XLOOKUP(_xlpm.k,UPPER(TRIM(G119:P119)),G120:P120,_xlfn.XLOOKUP(_xlpm.k,UPPER(TRIM(G121:P121)),G122:P122)),_xlpm.r*J105*L105*L98*IF(ISBLANK(G105),1,G105)),0)</f>
        <v>0</v>
      </c>
      <c r="P105" s="1476" t="str">
        <f>_xlfn.LET(_xlpm.unite,SUBSTITUTE(TRIM(K105)," (s)",""),_xlpm.val,O105,_xlpm.estVol,COUNTIF(J119:P119,_xlpm.unite)+COUNTIF(J121:P121,_xlpm.unite)&gt;0,_xlpm.estPoids,COUNTIF(G119:I119,_xlpm.unite)+COUNTIF(G121:I121,_xlpm.unite)&gt;0,IF(_xlpm.estVol,IF(ROUND(_xlpm.val,3)&gt;=1,ROUND(_xlpm.val,3)&amp;" L",MAX(1,ROUND(_xlpm.val*100,0))&amp;" cl"),IF(_xlpm.estPoids,IF(ROUND(_xlpm.val,3)&gt;=1,ROUND(_xlpm.val,3)&amp;" Kg",MAX(1,ROUND(_xlpm.val*1000,0))&amp;" g"),"")))</f>
        <v/>
      </c>
      <c r="R105" s="104" t="str">
        <f t="shared" si="27"/>
        <v>►</v>
      </c>
      <c r="S105" s="32" t="str">
        <f>S99</f>
        <v>N NAME OF YOUR RECIPE | |  Author &gt; YOU</v>
      </c>
      <c r="T105" s="33">
        <f>T99</f>
        <v>18</v>
      </c>
      <c r="U105" s="32" t="str">
        <f>U99</f>
        <v>desserts</v>
      </c>
      <c r="V105" s="34" t="str">
        <f>V99</f>
        <v>Master recipe ► Enter the main recipe name</v>
      </c>
      <c r="W105" s="92"/>
      <c r="X105" s="108"/>
      <c r="Y105" s="94" t="str">
        <f t="shared" si="24"/>
        <v/>
      </c>
      <c r="Z105" s="95"/>
      <c r="AA105" s="126"/>
      <c r="AB105" s="127">
        <v>1</v>
      </c>
      <c r="AC105" s="920"/>
      <c r="AD105" s="1494">
        <f>IF(OR(ISBLANK(W97),AD97=0),0,W105*AB98)</f>
        <v>0</v>
      </c>
      <c r="AE105" s="101" cm="1">
        <f t="array" ref="AE105">IFERROR(_xlfn.LET(_xlpm.k,UPPER(TRIM(AA105)),_xlpm.r,_xlfn.XLOOKUP(_xlpm.k,UPPER(TRIM(W119:AF119)),W120:AF120,_xlfn.XLOOKUP(_xlpm.k,UPPER(TRIM(W121:AF121)),W122:AF122)),_xlpm.r*Z105*AB105*AB98*IF(ISBLANK(W105),1,W105)),0)</f>
        <v>0</v>
      </c>
      <c r="AF105" s="1476" t="str">
        <f>_xlfn.LET(_xlpm.unite,SUBSTITUTE(TRIM(AA105)," (s)",""),_xlpm.val,AE105,_xlpm.estVol,COUNTIF(Z119:AF119,_xlpm.unite)+COUNTIF(Z121:AF121,_xlpm.unite)&gt;0,_xlpm.estPoids,COUNTIF(W119:Y119,_xlpm.unite)+COUNTIF(W121:Y121,_xlpm.unite)&gt;0,IF(_xlpm.estVol,IF(ROUND(_xlpm.val,3)&gt;=1,ROUND(_xlpm.val,3)&amp;" L",MAX(1,ROUND(_xlpm.val*100,0))&amp;" cl"),IF(_xlpm.estPoids,IF(ROUND(_xlpm.val,3)&gt;=1,ROUND(_xlpm.val,3)&amp;" Kg",MAX(1,ROUND(_xlpm.val*1000,0))&amp;" g"),"")))</f>
        <v/>
      </c>
      <c r="AH105" s="104" t="str">
        <f t="shared" si="28"/>
        <v>►</v>
      </c>
      <c r="AI105" s="32" t="str">
        <f>AI99</f>
        <v>N NOMBRE DE LA RECETA | | Autor &gt; USTED</v>
      </c>
      <c r="AJ105" s="33">
        <f>AJ99</f>
        <v>18</v>
      </c>
      <c r="AK105" s="32" t="str">
        <f>AK99</f>
        <v>postres</v>
      </c>
      <c r="AL105" s="34" t="str">
        <f>AL99</f>
        <v>Receta madre ► Introduzca el nombre de la receta principal</v>
      </c>
      <c r="AM105" s="92"/>
      <c r="AN105" s="108"/>
      <c r="AO105" s="94" t="str">
        <f t="shared" si="25"/>
        <v/>
      </c>
      <c r="AP105" s="95"/>
      <c r="AQ105" s="126"/>
      <c r="AR105" s="127">
        <v>1</v>
      </c>
      <c r="AS105" s="920"/>
      <c r="AT105" s="1494">
        <f>IF(OR(ISBLANK(AM97),AT97=0),0,AM105*AR98)</f>
        <v>0</v>
      </c>
      <c r="AU105" s="101" cm="1">
        <f t="array" ref="AU105">IFERROR(_xlfn.LET(_xlpm.k,UPPER(TRIM(AQ105)),_xlpm.r,_xlfn.XLOOKUP(_xlpm.k,UPPER(TRIM(AM119:AV119)),AM120:AV120,_xlfn.XLOOKUP(_xlpm.k,UPPER(TRIM(AM121:AV121)),AM122:AV122)),_xlpm.r*AP105*AR105*AR98*IF(ISBLANK(AM105),1,AM105)),0)</f>
        <v>0</v>
      </c>
      <c r="AV105" s="1476" t="str">
        <f>_xlfn.LET(_xlpm.unite,SUBSTITUTE(TRIM(AQ105)," (s)",""),_xlpm.val,AU105,_xlpm.estVol,COUNTIF(AP119:AV119,_xlpm.unite)+COUNTIF(AP121:AV121,_xlpm.unite)&gt;0,_xlpm.estPoids,COUNTIF(AM119:AO119,_xlpm.unite)+COUNTIF(AM121:AO121,_xlpm.unite)&gt;0,IF(_xlpm.estVol,IF(ROUND(_xlpm.val,3)&gt;=1,ROUND(_xlpm.val,3)&amp;" L",MAX(1,ROUND(_xlpm.val*100,0))&amp;" cl"),IF(_xlpm.estPoids,IF(ROUND(_xlpm.val,3)&gt;=1,ROUND(_xlpm.val,3)&amp;" Kg",MAX(1,ROUND(_xlpm.val*1000,0))&amp;" g"),"")))</f>
        <v/>
      </c>
      <c r="AX105" s="47"/>
      <c r="AY105" s="48"/>
      <c r="AZ105" s="48"/>
      <c r="BA105" s="48"/>
      <c r="BB105" s="48"/>
      <c r="BC105" s="48"/>
      <c r="BD105" s="49"/>
      <c r="BF105" s="47"/>
      <c r="BG105" s="48"/>
      <c r="BH105" s="48"/>
      <c r="BI105" s="48"/>
      <c r="BJ105" s="48"/>
      <c r="BK105" s="48"/>
      <c r="BL105" s="49"/>
      <c r="BN105" s="47"/>
      <c r="BO105" s="48"/>
      <c r="BP105" s="48"/>
      <c r="BQ105" s="48"/>
      <c r="BR105" s="48"/>
      <c r="BS105" s="48"/>
      <c r="BT105" s="49"/>
      <c r="BV105" s="3">
        <v>1</v>
      </c>
    </row>
    <row r="106" spans="2:74" ht="21" customHeight="1" thickTop="1">
      <c r="B106" s="104" t="str">
        <f t="shared" si="26"/>
        <v>A</v>
      </c>
      <c r="C106" s="32" t="str">
        <f>C99</f>
        <v>N NOM DE VOTRE RECETTE | | Auteur &gt; VOUS</v>
      </c>
      <c r="D106" s="33">
        <f>D99</f>
        <v>18</v>
      </c>
      <c r="E106" s="32" t="str">
        <f>E99</f>
        <v>desserts</v>
      </c>
      <c r="F106" s="34" t="str">
        <f>F99</f>
        <v>Recette mère ► Saisir le nom de la recette principale</v>
      </c>
      <c r="G106" s="92"/>
      <c r="H106" s="108"/>
      <c r="I106" s="94" t="str">
        <f t="shared" si="23"/>
        <v/>
      </c>
      <c r="J106" s="95"/>
      <c r="K106" s="126"/>
      <c r="L106" s="127">
        <v>1</v>
      </c>
      <c r="M106" s="920" t="s">
        <v>12932</v>
      </c>
      <c r="N106" s="1494">
        <f>IF(OR(ISBLANK(G97),N97=0),0,G106*L98)</f>
        <v>0</v>
      </c>
      <c r="O106" s="101" cm="1">
        <f t="array" ref="O106">IFERROR(_xlfn.LET(_xlpm.k,UPPER(TRIM(K106)),_xlpm.r,_xlfn.XLOOKUP(_xlpm.k,UPPER(TRIM(G119:P119)),G120:P120,_xlfn.XLOOKUP(_xlpm.k,UPPER(TRIM(G121:P121)),G122:P122)),_xlpm.r*J106*L106*L98*IF(ISBLANK(G106),1,G106)),0)</f>
        <v>0</v>
      </c>
      <c r="P106" s="1475" t="str">
        <f>_xlfn.LET(_xlpm.unite,SUBSTITUTE(TRIM(K106)," (s)",""),_xlpm.val,O106,_xlpm.estVol,COUNTIF(J119:P119,_xlpm.unite)+COUNTIF(J121:P121,_xlpm.unite)&gt;0,_xlpm.estPoids,COUNTIF(G119:I119,_xlpm.unite)+COUNTIF(G121:I121,_xlpm.unite)&gt;0,IF(_xlpm.estVol,IF(ROUND(_xlpm.val,3)&gt;=1,ROUND(_xlpm.val,3)&amp;" L",MAX(1,ROUND(_xlpm.val*100,0))&amp;" cl"),IF(_xlpm.estPoids,IF(ROUND(_xlpm.val,3)&gt;=1,ROUND(_xlpm.val,3)&amp;" Kg",MAX(1,ROUND(_xlpm.val*1000,0))&amp;" g"),"")))</f>
        <v/>
      </c>
      <c r="R106" s="104" t="str">
        <f t="shared" si="27"/>
        <v>A</v>
      </c>
      <c r="S106" s="32" t="str">
        <f>S99</f>
        <v>N NAME OF YOUR RECIPE | |  Author &gt; YOU</v>
      </c>
      <c r="T106" s="33">
        <f>T99</f>
        <v>18</v>
      </c>
      <c r="U106" s="32" t="str">
        <f>U99</f>
        <v>desserts</v>
      </c>
      <c r="V106" s="34" t="str">
        <f>V99</f>
        <v>Master recipe ► Enter the main recipe name</v>
      </c>
      <c r="W106" s="92"/>
      <c r="X106" s="108"/>
      <c r="Y106" s="94" t="str">
        <f t="shared" si="24"/>
        <v/>
      </c>
      <c r="Z106" s="95"/>
      <c r="AA106" s="126"/>
      <c r="AB106" s="127">
        <v>1</v>
      </c>
      <c r="AC106" s="920" t="s">
        <v>12933</v>
      </c>
      <c r="AD106" s="1494">
        <f>IF(OR(ISBLANK(W97),AD97=0),0,W106*AB98)</f>
        <v>0</v>
      </c>
      <c r="AE106" s="101" cm="1">
        <f t="array" ref="AE106">IFERROR(_xlfn.LET(_xlpm.k,UPPER(TRIM(AA106)),_xlpm.r,_xlfn.XLOOKUP(_xlpm.k,UPPER(TRIM(W119:AF119)),W120:AF120,_xlfn.XLOOKUP(_xlpm.k,UPPER(TRIM(W121:AF121)),W122:AF122)),_xlpm.r*Z106*AB106*AB98*IF(ISBLANK(W106),1,W106)),0)</f>
        <v>0</v>
      </c>
      <c r="AF106" s="1475" t="str">
        <f>_xlfn.LET(_xlpm.unite,SUBSTITUTE(TRIM(AA106)," (s)",""),_xlpm.val,AE106,_xlpm.estVol,COUNTIF(Z119:AF119,_xlpm.unite)+COUNTIF(Z121:AF121,_xlpm.unite)&gt;0,_xlpm.estPoids,COUNTIF(W119:Y119,_xlpm.unite)+COUNTIF(W121:Y121,_xlpm.unite)&gt;0,IF(_xlpm.estVol,IF(ROUND(_xlpm.val,3)&gt;=1,ROUND(_xlpm.val,3)&amp;" L",MAX(1,ROUND(_xlpm.val*100,0))&amp;" cl"),IF(_xlpm.estPoids,IF(ROUND(_xlpm.val,3)&gt;=1,ROUND(_xlpm.val,3)&amp;" Kg",MAX(1,ROUND(_xlpm.val*1000,0))&amp;" g"),"")))</f>
        <v/>
      </c>
      <c r="AH106" s="104" t="str">
        <f t="shared" si="28"/>
        <v>A</v>
      </c>
      <c r="AI106" s="32" t="str">
        <f>AI99</f>
        <v>N NOMBRE DE LA RECETA | | Autor &gt; USTED</v>
      </c>
      <c r="AJ106" s="33">
        <f>AJ99</f>
        <v>18</v>
      </c>
      <c r="AK106" s="32" t="str">
        <f>AK99</f>
        <v>postres</v>
      </c>
      <c r="AL106" s="34" t="str">
        <f>AL99</f>
        <v>Receta madre ► Introduzca el nombre de la receta principal</v>
      </c>
      <c r="AM106" s="92"/>
      <c r="AN106" s="108"/>
      <c r="AO106" s="94" t="str">
        <f t="shared" si="25"/>
        <v/>
      </c>
      <c r="AP106" s="95"/>
      <c r="AQ106" s="126"/>
      <c r="AR106" s="127">
        <v>1</v>
      </c>
      <c r="AS106" s="920" t="s">
        <v>12934</v>
      </c>
      <c r="AT106" s="1494">
        <f>IF(OR(ISBLANK(AM97),AT97=0),0,AM106*AR98)</f>
        <v>0</v>
      </c>
      <c r="AU106" s="101" cm="1">
        <f t="array" ref="AU106">IFERROR(_xlfn.LET(_xlpm.k,UPPER(TRIM(AQ106)),_xlpm.r,_xlfn.XLOOKUP(_xlpm.k,UPPER(TRIM(AM119:AV119)),AM120:AV120,_xlfn.XLOOKUP(_xlpm.k,UPPER(TRIM(AM121:AV121)),AM122:AV122)),_xlpm.r*AP106*AR106*AR98*IF(ISBLANK(AM106),1,AM106)),0)</f>
        <v>0</v>
      </c>
      <c r="AV106" s="1475" t="str">
        <f>_xlfn.LET(_xlpm.unite,SUBSTITUTE(TRIM(AQ106)," (s)",""),_xlpm.val,AU106,_xlpm.estVol,COUNTIF(AP119:AV119,_xlpm.unite)+COUNTIF(AP121:AV121,_xlpm.unite)&gt;0,_xlpm.estPoids,COUNTIF(AM119:AO119,_xlpm.unite)+COUNTIF(AM121:AO121,_xlpm.unite)&gt;0,IF(_xlpm.estVol,IF(ROUND(_xlpm.val,3)&gt;=1,ROUND(_xlpm.val,3)&amp;" L",MAX(1,ROUND(_xlpm.val*100,0))&amp;" cl"),IF(_xlpm.estPoids,IF(ROUND(_xlpm.val,3)&gt;=1,ROUND(_xlpm.val,3)&amp;" Kg",MAX(1,ROUND(_xlpm.val*1000,0))&amp;" g"),"")))</f>
        <v/>
      </c>
      <c r="AX106" s="47"/>
      <c r="AY106" s="5612" t="s">
        <v>356</v>
      </c>
      <c r="AZ106" s="5613"/>
      <c r="BA106" s="5513" t="s">
        <v>357</v>
      </c>
      <c r="BB106" s="5513"/>
      <c r="BC106" s="48"/>
      <c r="BD106" s="49"/>
      <c r="BF106" s="47"/>
      <c r="BG106" s="5612" t="s">
        <v>358</v>
      </c>
      <c r="BH106" s="5613"/>
      <c r="BI106" s="5513" t="s">
        <v>359</v>
      </c>
      <c r="BJ106" s="5513"/>
      <c r="BK106" s="48"/>
      <c r="BL106" s="49"/>
      <c r="BN106" s="47"/>
      <c r="BO106" s="5612" t="s">
        <v>360</v>
      </c>
      <c r="BP106" s="5613"/>
      <c r="BQ106" s="5513" t="s">
        <v>361</v>
      </c>
      <c r="BR106" s="5513"/>
      <c r="BS106" s="48"/>
      <c r="BT106" s="49"/>
      <c r="BV106" s="3">
        <v>1</v>
      </c>
    </row>
    <row r="107" spans="2:74" ht="21" customHeight="1">
      <c r="B107" s="104" t="str">
        <f t="shared" si="26"/>
        <v>►</v>
      </c>
      <c r="C107" s="32" t="str">
        <f>C99</f>
        <v>N NOM DE VOTRE RECETTE | | Auteur &gt; VOUS</v>
      </c>
      <c r="D107" s="33">
        <f>D99</f>
        <v>18</v>
      </c>
      <c r="E107" s="32" t="str">
        <f>E99</f>
        <v>desserts</v>
      </c>
      <c r="F107" s="34" t="str">
        <f>F99</f>
        <v>Recette mère ► Saisir le nom de la recette principale</v>
      </c>
      <c r="G107" s="92"/>
      <c r="H107" s="108"/>
      <c r="I107" s="94" t="str">
        <f t="shared" si="23"/>
        <v/>
      </c>
      <c r="J107" s="95"/>
      <c r="K107" s="126"/>
      <c r="L107" s="127">
        <v>1</v>
      </c>
      <c r="M107" s="920"/>
      <c r="N107" s="1494">
        <f>IF(OR(ISBLANK(G97),N97=0),0,G107*L98)</f>
        <v>0</v>
      </c>
      <c r="O107" s="101" cm="1">
        <f t="array" ref="O107">IFERROR(_xlfn.LET(_xlpm.k,UPPER(TRIM(K107)),_xlpm.r,_xlfn.XLOOKUP(_xlpm.k,UPPER(TRIM(G119:P119)),G120:P120,_xlfn.XLOOKUP(_xlpm.k,UPPER(TRIM(G121:P121)),G122:P122)),_xlpm.r*J107*L107*L98*IF(ISBLANK(G107),1,G107)),0)</f>
        <v>0</v>
      </c>
      <c r="P107" s="1476" t="str">
        <f>_xlfn.LET(_xlpm.unite,SUBSTITUTE(TRIM(K107)," (s)",""),_xlpm.val,O107,_xlpm.estVol,COUNTIF(J119:P119,_xlpm.unite)+COUNTIF(J121:P121,_xlpm.unite)&gt;0,_xlpm.estPoids,COUNTIF(G119:I119,_xlpm.unite)+COUNTIF(G121:I121,_xlpm.unite)&gt;0,IF(_xlpm.estVol,IF(ROUND(_xlpm.val,3)&gt;=1,ROUND(_xlpm.val,3)&amp;" L",MAX(1,ROUND(_xlpm.val*100,0))&amp;" cl"),IF(_xlpm.estPoids,IF(ROUND(_xlpm.val,3)&gt;=1,ROUND(_xlpm.val,3)&amp;" Kg",MAX(1,ROUND(_xlpm.val*1000,0))&amp;" g"),"")))</f>
        <v/>
      </c>
      <c r="R107" s="104" t="str">
        <f t="shared" si="27"/>
        <v>►</v>
      </c>
      <c r="S107" s="32" t="str">
        <f>S99</f>
        <v>N NAME OF YOUR RECIPE | |  Author &gt; YOU</v>
      </c>
      <c r="T107" s="33">
        <f>T99</f>
        <v>18</v>
      </c>
      <c r="U107" s="32" t="str">
        <f>U99</f>
        <v>desserts</v>
      </c>
      <c r="V107" s="34" t="str">
        <f>V99</f>
        <v>Master recipe ► Enter the main recipe name</v>
      </c>
      <c r="W107" s="92"/>
      <c r="X107" s="108"/>
      <c r="Y107" s="94" t="str">
        <f t="shared" si="24"/>
        <v/>
      </c>
      <c r="Z107" s="95"/>
      <c r="AA107" s="126"/>
      <c r="AB107" s="127">
        <v>1</v>
      </c>
      <c r="AC107" s="920"/>
      <c r="AD107" s="1494">
        <f>IF(OR(ISBLANK(W97),AD97=0),0,W107*AB98)</f>
        <v>0</v>
      </c>
      <c r="AE107" s="101" cm="1">
        <f t="array" ref="AE107">IFERROR(_xlfn.LET(_xlpm.k,UPPER(TRIM(AA107)),_xlpm.r,_xlfn.XLOOKUP(_xlpm.k,UPPER(TRIM(W119:AF119)),W120:AF120,_xlfn.XLOOKUP(_xlpm.k,UPPER(TRIM(W121:AF121)),W122:AF122)),_xlpm.r*Z107*AB107*AB98*IF(ISBLANK(W107),1,W107)),0)</f>
        <v>0</v>
      </c>
      <c r="AF107" s="1476" t="str">
        <f>_xlfn.LET(_xlpm.unite,SUBSTITUTE(TRIM(AA107)," (s)",""),_xlpm.val,AE107,_xlpm.estVol,COUNTIF(Z119:AF119,_xlpm.unite)+COUNTIF(Z121:AF121,_xlpm.unite)&gt;0,_xlpm.estPoids,COUNTIF(W119:Y119,_xlpm.unite)+COUNTIF(W121:Y121,_xlpm.unite)&gt;0,IF(_xlpm.estVol,IF(ROUND(_xlpm.val,3)&gt;=1,ROUND(_xlpm.val,3)&amp;" L",MAX(1,ROUND(_xlpm.val*100,0))&amp;" cl"),IF(_xlpm.estPoids,IF(ROUND(_xlpm.val,3)&gt;=1,ROUND(_xlpm.val,3)&amp;" Kg",MAX(1,ROUND(_xlpm.val*1000,0))&amp;" g"),"")))</f>
        <v/>
      </c>
      <c r="AH107" s="104" t="str">
        <f t="shared" si="28"/>
        <v>►</v>
      </c>
      <c r="AI107" s="32" t="str">
        <f>AI99</f>
        <v>N NOMBRE DE LA RECETA | | Autor &gt; USTED</v>
      </c>
      <c r="AJ107" s="33">
        <f>AJ99</f>
        <v>18</v>
      </c>
      <c r="AK107" s="32" t="str">
        <f>AK99</f>
        <v>postres</v>
      </c>
      <c r="AL107" s="34" t="str">
        <f>AL99</f>
        <v>Receta madre ► Introduzca el nombre de la receta principal</v>
      </c>
      <c r="AM107" s="92"/>
      <c r="AN107" s="108"/>
      <c r="AO107" s="94" t="str">
        <f t="shared" si="25"/>
        <v/>
      </c>
      <c r="AP107" s="95"/>
      <c r="AQ107" s="126"/>
      <c r="AR107" s="127">
        <v>1</v>
      </c>
      <c r="AS107" s="920"/>
      <c r="AT107" s="1494">
        <f>IF(OR(ISBLANK(AM97),AT97=0),0,AM107*AR98)</f>
        <v>0</v>
      </c>
      <c r="AU107" s="101" cm="1">
        <f t="array" ref="AU107">IFERROR(_xlfn.LET(_xlpm.k,UPPER(TRIM(AQ107)),_xlpm.r,_xlfn.XLOOKUP(_xlpm.k,UPPER(TRIM(AM119:AV119)),AM120:AV120,_xlfn.XLOOKUP(_xlpm.k,UPPER(TRIM(AM121:AV121)),AM122:AV122)),_xlpm.r*AP107*AR107*AR98*IF(ISBLANK(AM107),1,AM107)),0)</f>
        <v>0</v>
      </c>
      <c r="AV107" s="1476" t="str">
        <f>_xlfn.LET(_xlpm.unite,SUBSTITUTE(TRIM(AQ107)," (s)",""),_xlpm.val,AU107,_xlpm.estVol,COUNTIF(AP119:AV119,_xlpm.unite)+COUNTIF(AP121:AV121,_xlpm.unite)&gt;0,_xlpm.estPoids,COUNTIF(AM119:AO119,_xlpm.unite)+COUNTIF(AM121:AO121,_xlpm.unite)&gt;0,IF(_xlpm.estVol,IF(ROUND(_xlpm.val,3)&gt;=1,ROUND(_xlpm.val,3)&amp;" L",MAX(1,ROUND(_xlpm.val*100,0))&amp;" cl"),IF(_xlpm.estPoids,IF(ROUND(_xlpm.val,3)&gt;=1,ROUND(_xlpm.val,3)&amp;" Kg",MAX(1,ROUND(_xlpm.val*1000,0))&amp;" g"),"")))</f>
        <v/>
      </c>
      <c r="AX107" s="47"/>
      <c r="AY107" s="354" t="s">
        <v>102</v>
      </c>
      <c r="AZ107" s="355" t="s">
        <v>364</v>
      </c>
      <c r="BA107" s="356" t="s">
        <v>365</v>
      </c>
      <c r="BB107" s="357" t="s">
        <v>366</v>
      </c>
      <c r="BC107" s="48"/>
      <c r="BD107" s="49"/>
      <c r="BF107" s="47"/>
      <c r="BG107" s="354" t="s">
        <v>102</v>
      </c>
      <c r="BH107" s="355" t="s">
        <v>364</v>
      </c>
      <c r="BI107" s="356" t="s">
        <v>365</v>
      </c>
      <c r="BJ107" s="357" t="s">
        <v>366</v>
      </c>
      <c r="BK107" s="48"/>
      <c r="BL107" s="49"/>
      <c r="BN107" s="47"/>
      <c r="BO107" s="354" t="s">
        <v>1341</v>
      </c>
      <c r="BP107" s="355" t="s">
        <v>364</v>
      </c>
      <c r="BQ107" s="356" t="s">
        <v>365</v>
      </c>
      <c r="BR107" s="357" t="s">
        <v>366</v>
      </c>
      <c r="BS107" s="48"/>
      <c r="BT107" s="49"/>
      <c r="BV107" s="3">
        <v>1</v>
      </c>
    </row>
    <row r="108" spans="2:74" ht="21" customHeight="1">
      <c r="B108" s="104" t="str">
        <f t="shared" si="26"/>
        <v>►</v>
      </c>
      <c r="C108" s="32" t="str">
        <f>C99</f>
        <v>N NOM DE VOTRE RECETTE | | Auteur &gt; VOUS</v>
      </c>
      <c r="D108" s="33">
        <f>D99</f>
        <v>18</v>
      </c>
      <c r="E108" s="32" t="str">
        <f>E99</f>
        <v>desserts</v>
      </c>
      <c r="F108" s="34" t="str">
        <f>F99</f>
        <v>Recette mère ► Saisir le nom de la recette principale</v>
      </c>
      <c r="G108" s="92"/>
      <c r="H108" s="108"/>
      <c r="I108" s="94" t="str">
        <f t="shared" si="23"/>
        <v/>
      </c>
      <c r="J108" s="95"/>
      <c r="K108" s="126"/>
      <c r="L108" s="127">
        <v>1</v>
      </c>
      <c r="M108" s="920"/>
      <c r="N108" s="1494">
        <f>IF(OR(ISBLANK(G97),N97=0),0,G108*L98)</f>
        <v>0</v>
      </c>
      <c r="O108" s="101" cm="1">
        <f t="array" ref="O108">IFERROR(_xlfn.LET(_xlpm.k,UPPER(TRIM(K108)),_xlpm.r,_xlfn.XLOOKUP(_xlpm.k,UPPER(TRIM(G119:P119)),G120:P120,_xlfn.XLOOKUP(_xlpm.k,UPPER(TRIM(G121:P121)),G122:P122)),_xlpm.r*J108*L108*L98*IF(ISBLANK(G108),1,G108)),0)</f>
        <v>0</v>
      </c>
      <c r="P108" s="1475" t="str">
        <f>_xlfn.LET(_xlpm.unite,SUBSTITUTE(TRIM(K108)," (s)",""),_xlpm.val,O108,_xlpm.estVol,COUNTIF(J119:P119,_xlpm.unite)+COUNTIF(J121:P121,_xlpm.unite)&gt;0,_xlpm.estPoids,COUNTIF(G119:I119,_xlpm.unite)+COUNTIF(G121:I121,_xlpm.unite)&gt;0,IF(_xlpm.estVol,IF(ROUND(_xlpm.val,3)&gt;=1,ROUND(_xlpm.val,3)&amp;" L",MAX(1,ROUND(_xlpm.val*100,0))&amp;" cl"),IF(_xlpm.estPoids,IF(ROUND(_xlpm.val,3)&gt;=1,ROUND(_xlpm.val,3)&amp;" Kg",MAX(1,ROUND(_xlpm.val*1000,0))&amp;" g"),"")))</f>
        <v/>
      </c>
      <c r="R108" s="104" t="str">
        <f t="shared" si="27"/>
        <v>►</v>
      </c>
      <c r="S108" s="32" t="str">
        <f>S99</f>
        <v>N NAME OF YOUR RECIPE | |  Author &gt; YOU</v>
      </c>
      <c r="T108" s="33">
        <f>T99</f>
        <v>18</v>
      </c>
      <c r="U108" s="32" t="str">
        <f>U99</f>
        <v>desserts</v>
      </c>
      <c r="V108" s="34" t="str">
        <f>V99</f>
        <v>Master recipe ► Enter the main recipe name</v>
      </c>
      <c r="W108" s="92"/>
      <c r="X108" s="108"/>
      <c r="Y108" s="94" t="str">
        <f t="shared" si="24"/>
        <v/>
      </c>
      <c r="Z108" s="95"/>
      <c r="AA108" s="126"/>
      <c r="AB108" s="127">
        <v>1</v>
      </c>
      <c r="AC108" s="920"/>
      <c r="AD108" s="1494">
        <f>IF(OR(ISBLANK(W97),AD97=0),0,W108*AB98)</f>
        <v>0</v>
      </c>
      <c r="AE108" s="101" cm="1">
        <f t="array" ref="AE108">IFERROR(_xlfn.LET(_xlpm.k,UPPER(TRIM(AA108)),_xlpm.r,_xlfn.XLOOKUP(_xlpm.k,UPPER(TRIM(W119:AF119)),W120:AF120,_xlfn.XLOOKUP(_xlpm.k,UPPER(TRIM(W121:AF121)),W122:AF122)),_xlpm.r*Z108*AB108*AB98*IF(ISBLANK(W108),1,W108)),0)</f>
        <v>0</v>
      </c>
      <c r="AF108" s="1475" t="str">
        <f>_xlfn.LET(_xlpm.unite,SUBSTITUTE(TRIM(AA108)," (s)",""),_xlpm.val,AE108,_xlpm.estVol,COUNTIF(Z119:AF119,_xlpm.unite)+COUNTIF(Z121:AF121,_xlpm.unite)&gt;0,_xlpm.estPoids,COUNTIF(W119:Y119,_xlpm.unite)+COUNTIF(W121:Y121,_xlpm.unite)&gt;0,IF(_xlpm.estVol,IF(ROUND(_xlpm.val,3)&gt;=1,ROUND(_xlpm.val,3)&amp;" L",MAX(1,ROUND(_xlpm.val*100,0))&amp;" cl"),IF(_xlpm.estPoids,IF(ROUND(_xlpm.val,3)&gt;=1,ROUND(_xlpm.val,3)&amp;" Kg",MAX(1,ROUND(_xlpm.val*1000,0))&amp;" g"),"")))</f>
        <v/>
      </c>
      <c r="AH108" s="104" t="str">
        <f t="shared" si="28"/>
        <v>►</v>
      </c>
      <c r="AI108" s="32" t="str">
        <f>AI99</f>
        <v>N NOMBRE DE LA RECETA | | Autor &gt; USTED</v>
      </c>
      <c r="AJ108" s="33">
        <f>AJ99</f>
        <v>18</v>
      </c>
      <c r="AK108" s="32" t="str">
        <f>AK99</f>
        <v>postres</v>
      </c>
      <c r="AL108" s="34" t="str">
        <f>AL99</f>
        <v>Receta madre ► Introduzca el nombre de la receta principal</v>
      </c>
      <c r="AM108" s="92"/>
      <c r="AN108" s="108"/>
      <c r="AO108" s="94" t="str">
        <f t="shared" si="25"/>
        <v/>
      </c>
      <c r="AP108" s="95"/>
      <c r="AQ108" s="126"/>
      <c r="AR108" s="127">
        <v>1</v>
      </c>
      <c r="AS108" s="920"/>
      <c r="AT108" s="1494">
        <f>IF(OR(ISBLANK(AM97),AT97=0),0,AM108*AR98)</f>
        <v>0</v>
      </c>
      <c r="AU108" s="101" cm="1">
        <f t="array" ref="AU108">IFERROR(_xlfn.LET(_xlpm.k,UPPER(TRIM(AQ108)),_xlpm.r,_xlfn.XLOOKUP(_xlpm.k,UPPER(TRIM(AM119:AV119)),AM120:AV120,_xlfn.XLOOKUP(_xlpm.k,UPPER(TRIM(AM121:AV121)),AM122:AV122)),_xlpm.r*AP108*AR108*AR98*IF(ISBLANK(AM108),1,AM108)),0)</f>
        <v>0</v>
      </c>
      <c r="AV108" s="1475" t="str">
        <f>_xlfn.LET(_xlpm.unite,SUBSTITUTE(TRIM(AQ108)," (s)",""),_xlpm.val,AU108,_xlpm.estVol,COUNTIF(AP119:AV119,_xlpm.unite)+COUNTIF(AP121:AV121,_xlpm.unite)&gt;0,_xlpm.estPoids,COUNTIF(AM119:AO119,_xlpm.unite)+COUNTIF(AM121:AO121,_xlpm.unite)&gt;0,IF(_xlpm.estVol,IF(ROUND(_xlpm.val,3)&gt;=1,ROUND(_xlpm.val,3)&amp;" L",MAX(1,ROUND(_xlpm.val*100,0))&amp;" cl"),IF(_xlpm.estPoids,IF(ROUND(_xlpm.val,3)&gt;=1,ROUND(_xlpm.val,3)&amp;" Kg",MAX(1,ROUND(_xlpm.val*1000,0))&amp;" g"),"")))</f>
        <v/>
      </c>
      <c r="AX108" s="47"/>
      <c r="AY108" s="359">
        <v>0.25</v>
      </c>
      <c r="AZ108" s="360">
        <v>0.5</v>
      </c>
      <c r="BA108" s="361" t="s">
        <v>369</v>
      </c>
      <c r="BB108" s="362"/>
      <c r="BC108" s="48"/>
      <c r="BD108" s="49"/>
      <c r="BF108" s="47"/>
      <c r="BG108" s="359">
        <v>0.25</v>
      </c>
      <c r="BH108" s="360">
        <v>0.5</v>
      </c>
      <c r="BI108" s="361" t="s">
        <v>369</v>
      </c>
      <c r="BJ108" s="362"/>
      <c r="BK108" s="48"/>
      <c r="BL108" s="49"/>
      <c r="BN108" s="47"/>
      <c r="BO108" s="359">
        <v>0.25</v>
      </c>
      <c r="BP108" s="360">
        <v>0.5</v>
      </c>
      <c r="BQ108" s="361" t="s">
        <v>369</v>
      </c>
      <c r="BR108" s="362"/>
      <c r="BS108" s="48"/>
      <c r="BT108" s="49"/>
      <c r="BV108" s="3">
        <v>1</v>
      </c>
    </row>
    <row r="109" spans="2:74" ht="21" customHeight="1">
      <c r="B109" s="104" t="str">
        <f t="shared" si="26"/>
        <v>►</v>
      </c>
      <c r="C109" s="32" t="str">
        <f>C99</f>
        <v>N NOM DE VOTRE RECETTE | | Auteur &gt; VOUS</v>
      </c>
      <c r="D109" s="33">
        <f>D99</f>
        <v>18</v>
      </c>
      <c r="E109" s="32" t="str">
        <f>E99</f>
        <v>desserts</v>
      </c>
      <c r="F109" s="34" t="str">
        <f>F99</f>
        <v>Recette mère ► Saisir le nom de la recette principale</v>
      </c>
      <c r="G109" s="92"/>
      <c r="H109" s="108"/>
      <c r="I109" s="94" t="str">
        <f t="shared" si="23"/>
        <v/>
      </c>
      <c r="J109" s="95"/>
      <c r="K109" s="126"/>
      <c r="L109" s="127">
        <v>1</v>
      </c>
      <c r="M109" s="920"/>
      <c r="N109" s="1494">
        <f>IF(OR(ISBLANK(G97),N97=0),0,G109*L98)</f>
        <v>0</v>
      </c>
      <c r="O109" s="101" cm="1">
        <f t="array" ref="O109">IFERROR(_xlfn.LET(_xlpm.k,UPPER(TRIM(K109)),_xlpm.r,_xlfn.XLOOKUP(_xlpm.k,UPPER(TRIM(G119:P119)),G120:P120,_xlfn.XLOOKUP(_xlpm.k,UPPER(TRIM(G121:P121)),G122:P122)),_xlpm.r*J109*L109*L98*IF(ISBLANK(G109),1,G109)),0)</f>
        <v>0</v>
      </c>
      <c r="P109" s="1476" t="str">
        <f>_xlfn.LET(_xlpm.unite,SUBSTITUTE(TRIM(K109)," (s)",""),_xlpm.val,O109,_xlpm.estVol,COUNTIF(J119:P119,_xlpm.unite)+COUNTIF(J121:P121,_xlpm.unite)&gt;0,_xlpm.estPoids,COUNTIF(G119:I119,_xlpm.unite)+COUNTIF(G121:I121,_xlpm.unite)&gt;0,IF(_xlpm.estVol,IF(ROUND(_xlpm.val,3)&gt;=1,ROUND(_xlpm.val,3)&amp;" L",MAX(1,ROUND(_xlpm.val*100,0))&amp;" cl"),IF(_xlpm.estPoids,IF(ROUND(_xlpm.val,3)&gt;=1,ROUND(_xlpm.val,3)&amp;" Kg",MAX(1,ROUND(_xlpm.val*1000,0))&amp;" g"),"")))</f>
        <v/>
      </c>
      <c r="R109" s="104" t="str">
        <f t="shared" si="27"/>
        <v>►</v>
      </c>
      <c r="S109" s="32" t="str">
        <f>S99</f>
        <v>N NAME OF YOUR RECIPE | |  Author &gt; YOU</v>
      </c>
      <c r="T109" s="33">
        <f>T99</f>
        <v>18</v>
      </c>
      <c r="U109" s="32" t="str">
        <f>U99</f>
        <v>desserts</v>
      </c>
      <c r="V109" s="34" t="str">
        <f>V99</f>
        <v>Master recipe ► Enter the main recipe name</v>
      </c>
      <c r="W109" s="92"/>
      <c r="X109" s="108"/>
      <c r="Y109" s="94" t="str">
        <f t="shared" si="24"/>
        <v/>
      </c>
      <c r="Z109" s="95"/>
      <c r="AA109" s="126"/>
      <c r="AB109" s="127">
        <v>1</v>
      </c>
      <c r="AC109" s="920"/>
      <c r="AD109" s="1494">
        <f>IF(OR(ISBLANK(W97),AD97=0),0,W109*AB98)</f>
        <v>0</v>
      </c>
      <c r="AE109" s="101" cm="1">
        <f t="array" ref="AE109">IFERROR(_xlfn.LET(_xlpm.k,UPPER(TRIM(AA109)),_xlpm.r,_xlfn.XLOOKUP(_xlpm.k,UPPER(TRIM(W119:AF119)),W120:AF120,_xlfn.XLOOKUP(_xlpm.k,UPPER(TRIM(W121:AF121)),W122:AF122)),_xlpm.r*Z109*AB109*AB98*IF(ISBLANK(W109),1,W109)),0)</f>
        <v>0</v>
      </c>
      <c r="AF109" s="1476" t="str">
        <f>_xlfn.LET(_xlpm.unite,SUBSTITUTE(TRIM(AA109)," (s)",""),_xlpm.val,AE109,_xlpm.estVol,COUNTIF(Z119:AF119,_xlpm.unite)+COUNTIF(Z121:AF121,_xlpm.unite)&gt;0,_xlpm.estPoids,COUNTIF(W119:Y119,_xlpm.unite)+COUNTIF(W121:Y121,_xlpm.unite)&gt;0,IF(_xlpm.estVol,IF(ROUND(_xlpm.val,3)&gt;=1,ROUND(_xlpm.val,3)&amp;" L",MAX(1,ROUND(_xlpm.val*100,0))&amp;" cl"),IF(_xlpm.estPoids,IF(ROUND(_xlpm.val,3)&gt;=1,ROUND(_xlpm.val,3)&amp;" Kg",MAX(1,ROUND(_xlpm.val*1000,0))&amp;" g"),"")))</f>
        <v/>
      </c>
      <c r="AH109" s="104" t="str">
        <f t="shared" si="28"/>
        <v>►</v>
      </c>
      <c r="AI109" s="32" t="str">
        <f>AI99</f>
        <v>N NOMBRE DE LA RECETA | | Autor &gt; USTED</v>
      </c>
      <c r="AJ109" s="33">
        <f>AJ99</f>
        <v>18</v>
      </c>
      <c r="AK109" s="32" t="str">
        <f>AK99</f>
        <v>postres</v>
      </c>
      <c r="AL109" s="34" t="str">
        <f>AL99</f>
        <v>Receta madre ► Introduzca el nombre de la receta principal</v>
      </c>
      <c r="AM109" s="92"/>
      <c r="AN109" s="108"/>
      <c r="AO109" s="94" t="str">
        <f t="shared" si="25"/>
        <v/>
      </c>
      <c r="AP109" s="95"/>
      <c r="AQ109" s="126"/>
      <c r="AR109" s="127">
        <v>1</v>
      </c>
      <c r="AS109" s="920"/>
      <c r="AT109" s="1494">
        <f>IF(OR(ISBLANK(AM97),AT97=0),0,AM109*AR98)</f>
        <v>0</v>
      </c>
      <c r="AU109" s="101" cm="1">
        <f t="array" ref="AU109">IFERROR(_xlfn.LET(_xlpm.k,UPPER(TRIM(AQ109)),_xlpm.r,_xlfn.XLOOKUP(_xlpm.k,UPPER(TRIM(AM119:AV119)),AM120:AV120,_xlfn.XLOOKUP(_xlpm.k,UPPER(TRIM(AM121:AV121)),AM122:AV122)),_xlpm.r*AP109*AR109*AR98*IF(ISBLANK(AM109),1,AM109)),0)</f>
        <v>0</v>
      </c>
      <c r="AV109" s="1476" t="str">
        <f>_xlfn.LET(_xlpm.unite,SUBSTITUTE(TRIM(AQ109)," (s)",""),_xlpm.val,AU109,_xlpm.estVol,COUNTIF(AP119:AV119,_xlpm.unite)+COUNTIF(AP121:AV121,_xlpm.unite)&gt;0,_xlpm.estPoids,COUNTIF(AM119:AO119,_xlpm.unite)+COUNTIF(AM121:AO121,_xlpm.unite)&gt;0,IF(_xlpm.estVol,IF(ROUND(_xlpm.val,3)&gt;=1,ROUND(_xlpm.val,3)&amp;" L",MAX(1,ROUND(_xlpm.val*100,0))&amp;" cl"),IF(_xlpm.estPoids,IF(ROUND(_xlpm.val,3)&gt;=1,ROUND(_xlpm.val,3)&amp;" Kg",MAX(1,ROUND(_xlpm.val*1000,0))&amp;" g"),"")))</f>
        <v/>
      </c>
      <c r="AX109" s="47"/>
      <c r="AY109" s="364" t="s">
        <v>371</v>
      </c>
      <c r="AZ109" s="365" t="s">
        <v>372</v>
      </c>
      <c r="BA109" s="356" t="s">
        <v>373</v>
      </c>
      <c r="BB109" s="366" t="s">
        <v>374</v>
      </c>
      <c r="BC109" s="48"/>
      <c r="BD109" s="49"/>
      <c r="BF109" s="47"/>
      <c r="BG109" s="364" t="s">
        <v>371</v>
      </c>
      <c r="BH109" s="365" t="s">
        <v>372</v>
      </c>
      <c r="BI109" s="356" t="s">
        <v>373</v>
      </c>
      <c r="BJ109" s="366" t="s">
        <v>374</v>
      </c>
      <c r="BK109" s="48"/>
      <c r="BL109" s="49"/>
      <c r="BN109" s="47"/>
      <c r="BO109" s="364" t="s">
        <v>371</v>
      </c>
      <c r="BP109" s="365" t="s">
        <v>372</v>
      </c>
      <c r="BQ109" s="356" t="s">
        <v>373</v>
      </c>
      <c r="BR109" s="366" t="s">
        <v>374</v>
      </c>
      <c r="BS109" s="48"/>
      <c r="BT109" s="49"/>
      <c r="BV109" s="3">
        <v>1</v>
      </c>
    </row>
    <row r="110" spans="2:74" ht="21" customHeight="1">
      <c r="B110" s="104" t="str">
        <f t="shared" si="26"/>
        <v>►</v>
      </c>
      <c r="C110" s="32" t="str">
        <f>C99</f>
        <v>N NOM DE VOTRE RECETTE | | Auteur &gt; VOUS</v>
      </c>
      <c r="D110" s="33">
        <f>D99</f>
        <v>18</v>
      </c>
      <c r="E110" s="32" t="str">
        <f>E99</f>
        <v>desserts</v>
      </c>
      <c r="F110" s="34" t="str">
        <f>F99</f>
        <v>Recette mère ► Saisir le nom de la recette principale</v>
      </c>
      <c r="G110" s="92"/>
      <c r="H110" s="108"/>
      <c r="I110" s="94" t="str">
        <f t="shared" si="23"/>
        <v/>
      </c>
      <c r="J110" s="95"/>
      <c r="K110" s="126"/>
      <c r="L110" s="127">
        <v>1</v>
      </c>
      <c r="M110" s="920"/>
      <c r="N110" s="1494">
        <f>IF(OR(ISBLANK(G97),N97=0),0,G110*L98)</f>
        <v>0</v>
      </c>
      <c r="O110" s="101" cm="1">
        <f t="array" ref="O110">IFERROR(_xlfn.LET(_xlpm.k,UPPER(TRIM(K110)),_xlpm.r,_xlfn.XLOOKUP(_xlpm.k,UPPER(TRIM(G119:P119)),G120:P120,_xlfn.XLOOKUP(_xlpm.k,UPPER(TRIM(G121:P121)),G122:P122)),_xlpm.r*J110*L110*L98*IF(ISBLANK(G110),1,G110)),0)</f>
        <v>0</v>
      </c>
      <c r="P110" s="1475" t="str">
        <f>_xlfn.LET(_xlpm.unite,SUBSTITUTE(TRIM(K110)," (s)",""),_xlpm.val,O110,_xlpm.estVol,COUNTIF(J119:P119,_xlpm.unite)+COUNTIF(J121:P121,_xlpm.unite)&gt;0,_xlpm.estPoids,COUNTIF(G119:I119,_xlpm.unite)+COUNTIF(G121:I121,_xlpm.unite)&gt;0,IF(_xlpm.estVol,IF(ROUND(_xlpm.val,3)&gt;=1,ROUND(_xlpm.val,3)&amp;" L",MAX(1,ROUND(_xlpm.val*100,0))&amp;" cl"),IF(_xlpm.estPoids,IF(ROUND(_xlpm.val,3)&gt;=1,ROUND(_xlpm.val,3)&amp;" Kg",MAX(1,ROUND(_xlpm.val*1000,0))&amp;" g"),"")))</f>
        <v/>
      </c>
      <c r="R110" s="104" t="str">
        <f t="shared" si="27"/>
        <v>►</v>
      </c>
      <c r="S110" s="32" t="str">
        <f>S99</f>
        <v>N NAME OF YOUR RECIPE | |  Author &gt; YOU</v>
      </c>
      <c r="T110" s="33">
        <f>T99</f>
        <v>18</v>
      </c>
      <c r="U110" s="32" t="str">
        <f>U99</f>
        <v>desserts</v>
      </c>
      <c r="V110" s="34" t="str">
        <f>V99</f>
        <v>Master recipe ► Enter the main recipe name</v>
      </c>
      <c r="W110" s="92"/>
      <c r="X110" s="108"/>
      <c r="Y110" s="94" t="str">
        <f t="shared" si="24"/>
        <v/>
      </c>
      <c r="Z110" s="95"/>
      <c r="AA110" s="126"/>
      <c r="AB110" s="127">
        <v>1</v>
      </c>
      <c r="AC110" s="920"/>
      <c r="AD110" s="1494">
        <f>IF(OR(ISBLANK(W97),AD97=0),0,W110*AB98)</f>
        <v>0</v>
      </c>
      <c r="AE110" s="101" cm="1">
        <f t="array" ref="AE110">IFERROR(_xlfn.LET(_xlpm.k,UPPER(TRIM(AA110)),_xlpm.r,_xlfn.XLOOKUP(_xlpm.k,UPPER(TRIM(W119:AF119)),W120:AF120,_xlfn.XLOOKUP(_xlpm.k,UPPER(TRIM(W121:AF121)),W122:AF122)),_xlpm.r*Z110*AB110*AB98*IF(ISBLANK(W110),1,W110)),0)</f>
        <v>0</v>
      </c>
      <c r="AF110" s="1475" t="str">
        <f>_xlfn.LET(_xlpm.unite,SUBSTITUTE(TRIM(AA110)," (s)",""),_xlpm.val,AE110,_xlpm.estVol,COUNTIF(Z119:AF119,_xlpm.unite)+COUNTIF(Z121:AF121,_xlpm.unite)&gt;0,_xlpm.estPoids,COUNTIF(W119:Y119,_xlpm.unite)+COUNTIF(W121:Y121,_xlpm.unite)&gt;0,IF(_xlpm.estVol,IF(ROUND(_xlpm.val,3)&gt;=1,ROUND(_xlpm.val,3)&amp;" L",MAX(1,ROUND(_xlpm.val*100,0))&amp;" cl"),IF(_xlpm.estPoids,IF(ROUND(_xlpm.val,3)&gt;=1,ROUND(_xlpm.val,3)&amp;" Kg",MAX(1,ROUND(_xlpm.val*1000,0))&amp;" g"),"")))</f>
        <v/>
      </c>
      <c r="AH110" s="104" t="str">
        <f t="shared" si="28"/>
        <v>►</v>
      </c>
      <c r="AI110" s="32" t="str">
        <f>AI99</f>
        <v>N NOMBRE DE LA RECETA | | Autor &gt; USTED</v>
      </c>
      <c r="AJ110" s="33">
        <f>AJ99</f>
        <v>18</v>
      </c>
      <c r="AK110" s="32" t="str">
        <f>AK99</f>
        <v>postres</v>
      </c>
      <c r="AL110" s="34" t="str">
        <f>AL99</f>
        <v>Receta madre ► Introduzca el nombre de la receta principal</v>
      </c>
      <c r="AM110" s="92"/>
      <c r="AN110" s="108"/>
      <c r="AO110" s="94" t="str">
        <f t="shared" si="25"/>
        <v/>
      </c>
      <c r="AP110" s="95"/>
      <c r="AQ110" s="126"/>
      <c r="AR110" s="127">
        <v>1</v>
      </c>
      <c r="AS110" s="920"/>
      <c r="AT110" s="1494">
        <f>IF(OR(ISBLANK(AM97),AT97=0),0,AM110*AR98)</f>
        <v>0</v>
      </c>
      <c r="AU110" s="101" cm="1">
        <f t="array" ref="AU110">IFERROR(_xlfn.LET(_xlpm.k,UPPER(TRIM(AQ110)),_xlpm.r,_xlfn.XLOOKUP(_xlpm.k,UPPER(TRIM(AM119:AV119)),AM120:AV120,_xlfn.XLOOKUP(_xlpm.k,UPPER(TRIM(AM121:AV121)),AM122:AV122)),_xlpm.r*AP110*AR110*AR98*IF(ISBLANK(AM110),1,AM110)),0)</f>
        <v>0</v>
      </c>
      <c r="AV110" s="1475" t="str">
        <f>_xlfn.LET(_xlpm.unite,SUBSTITUTE(TRIM(AQ110)," (s)",""),_xlpm.val,AU110,_xlpm.estVol,COUNTIF(AP119:AV119,_xlpm.unite)+COUNTIF(AP121:AV121,_xlpm.unite)&gt;0,_xlpm.estPoids,COUNTIF(AM119:AO119,_xlpm.unite)+COUNTIF(AM121:AO121,_xlpm.unite)&gt;0,IF(_xlpm.estVol,IF(ROUND(_xlpm.val,3)&gt;=1,ROUND(_xlpm.val,3)&amp;" L",MAX(1,ROUND(_xlpm.val*100,0))&amp;" cl"),IF(_xlpm.estPoids,IF(ROUND(_xlpm.val,3)&gt;=1,ROUND(_xlpm.val,3)&amp;" Kg",MAX(1,ROUND(_xlpm.val*1000,0))&amp;" g"),"")))</f>
        <v/>
      </c>
      <c r="AX110" s="47"/>
      <c r="AY110" s="359">
        <v>0.25</v>
      </c>
      <c r="AZ110" s="360">
        <v>0.5</v>
      </c>
      <c r="BA110" s="361" t="s">
        <v>375</v>
      </c>
      <c r="BB110" s="362"/>
      <c r="BC110" s="48"/>
      <c r="BD110" s="49"/>
      <c r="BF110" s="47"/>
      <c r="BG110" s="359">
        <v>0.25</v>
      </c>
      <c r="BH110" s="360">
        <v>0.5</v>
      </c>
      <c r="BI110" s="361" t="s">
        <v>375</v>
      </c>
      <c r="BJ110" s="362"/>
      <c r="BK110" s="48"/>
      <c r="BL110" s="49"/>
      <c r="BN110" s="47"/>
      <c r="BO110" s="359">
        <v>0.25</v>
      </c>
      <c r="BP110" s="360">
        <v>0.5</v>
      </c>
      <c r="BQ110" s="361" t="s">
        <v>375</v>
      </c>
      <c r="BR110" s="362"/>
      <c r="BS110" s="48"/>
      <c r="BT110" s="49"/>
      <c r="BV110" s="3">
        <v>1</v>
      </c>
    </row>
    <row r="111" spans="2:74" ht="21" customHeight="1">
      <c r="B111" s="104" t="str">
        <f t="shared" si="26"/>
        <v>►</v>
      </c>
      <c r="C111" s="32" t="str">
        <f>C99</f>
        <v>N NOM DE VOTRE RECETTE | | Auteur &gt; VOUS</v>
      </c>
      <c r="D111" s="33">
        <f>D99</f>
        <v>18</v>
      </c>
      <c r="E111" s="32" t="str">
        <f>E99</f>
        <v>desserts</v>
      </c>
      <c r="F111" s="34" t="str">
        <f>F99</f>
        <v>Recette mère ► Saisir le nom de la recette principale</v>
      </c>
      <c r="G111" s="92"/>
      <c r="H111" s="108"/>
      <c r="I111" s="94" t="str">
        <f t="shared" si="23"/>
        <v/>
      </c>
      <c r="J111" s="95"/>
      <c r="K111" s="126"/>
      <c r="L111" s="127">
        <v>1</v>
      </c>
      <c r="M111" s="920"/>
      <c r="N111" s="1494">
        <f>IF(OR(ISBLANK(G97),N97=0),0,G111*L98)</f>
        <v>0</v>
      </c>
      <c r="O111" s="101" cm="1">
        <f t="array" ref="O111">IFERROR(_xlfn.LET(_xlpm.k,UPPER(TRIM(K111)),_xlpm.r,_xlfn.XLOOKUP(_xlpm.k,UPPER(TRIM(G119:P119)),G120:P120,_xlfn.XLOOKUP(_xlpm.k,UPPER(TRIM(G121:P121)),G122:P122)),_xlpm.r*J111*L111*L98*IF(ISBLANK(G111),1,G111)),0)</f>
        <v>0</v>
      </c>
      <c r="P111" s="1476" t="str">
        <f>_xlfn.LET(_xlpm.unite,SUBSTITUTE(TRIM(K111)," (s)",""),_xlpm.val,O111,_xlpm.estVol,COUNTIF(J119:P119,_xlpm.unite)+COUNTIF(J121:P121,_xlpm.unite)&gt;0,_xlpm.estPoids,COUNTIF(G119:I119,_xlpm.unite)+COUNTIF(G121:I121,_xlpm.unite)&gt;0,IF(_xlpm.estVol,IF(ROUND(_xlpm.val,3)&gt;=1,ROUND(_xlpm.val,3)&amp;" L",MAX(1,ROUND(_xlpm.val*100,0))&amp;" cl"),IF(_xlpm.estPoids,IF(ROUND(_xlpm.val,3)&gt;=1,ROUND(_xlpm.val,3)&amp;" Kg",MAX(1,ROUND(_xlpm.val*1000,0))&amp;" g"),"")))</f>
        <v/>
      </c>
      <c r="R111" s="104" t="str">
        <f t="shared" si="27"/>
        <v>►</v>
      </c>
      <c r="S111" s="32" t="str">
        <f>S99</f>
        <v>N NAME OF YOUR RECIPE | |  Author &gt; YOU</v>
      </c>
      <c r="T111" s="33">
        <f>T99</f>
        <v>18</v>
      </c>
      <c r="U111" s="32" t="str">
        <f>U99</f>
        <v>desserts</v>
      </c>
      <c r="V111" s="34" t="str">
        <f>V99</f>
        <v>Master recipe ► Enter the main recipe name</v>
      </c>
      <c r="W111" s="92"/>
      <c r="X111" s="108"/>
      <c r="Y111" s="94" t="str">
        <f t="shared" si="24"/>
        <v/>
      </c>
      <c r="Z111" s="95"/>
      <c r="AA111" s="126"/>
      <c r="AB111" s="127">
        <v>1</v>
      </c>
      <c r="AC111" s="920"/>
      <c r="AD111" s="1494">
        <f>IF(OR(ISBLANK(W97),AD97=0),0,W111*AB98)</f>
        <v>0</v>
      </c>
      <c r="AE111" s="101" cm="1">
        <f t="array" ref="AE111">IFERROR(_xlfn.LET(_xlpm.k,UPPER(TRIM(AA111)),_xlpm.r,_xlfn.XLOOKUP(_xlpm.k,UPPER(TRIM(W119:AF119)),W120:AF120,_xlfn.XLOOKUP(_xlpm.k,UPPER(TRIM(W121:AF121)),W122:AF122)),_xlpm.r*Z111*AB111*AB98*IF(ISBLANK(W111),1,W111)),0)</f>
        <v>0</v>
      </c>
      <c r="AF111" s="1476" t="str">
        <f>_xlfn.LET(_xlpm.unite,SUBSTITUTE(TRIM(AA111)," (s)",""),_xlpm.val,AE111,_xlpm.estVol,COUNTIF(Z119:AF119,_xlpm.unite)+COUNTIF(Z121:AF121,_xlpm.unite)&gt;0,_xlpm.estPoids,COUNTIF(W119:Y119,_xlpm.unite)+COUNTIF(W121:Y121,_xlpm.unite)&gt;0,IF(_xlpm.estVol,IF(ROUND(_xlpm.val,3)&gt;=1,ROUND(_xlpm.val,3)&amp;" L",MAX(1,ROUND(_xlpm.val*100,0))&amp;" cl"),IF(_xlpm.estPoids,IF(ROUND(_xlpm.val,3)&gt;=1,ROUND(_xlpm.val,3)&amp;" Kg",MAX(1,ROUND(_xlpm.val*1000,0))&amp;" g"),"")))</f>
        <v/>
      </c>
      <c r="AH111" s="104" t="str">
        <f t="shared" si="28"/>
        <v>►</v>
      </c>
      <c r="AI111" s="32" t="str">
        <f>AI99</f>
        <v>N NOMBRE DE LA RECETA | | Autor &gt; USTED</v>
      </c>
      <c r="AJ111" s="33">
        <f>AJ99</f>
        <v>18</v>
      </c>
      <c r="AK111" s="32" t="str">
        <f>AK99</f>
        <v>postres</v>
      </c>
      <c r="AL111" s="34" t="str">
        <f>AL99</f>
        <v>Receta madre ► Introduzca el nombre de la receta principal</v>
      </c>
      <c r="AM111" s="92"/>
      <c r="AN111" s="108"/>
      <c r="AO111" s="94" t="str">
        <f t="shared" si="25"/>
        <v/>
      </c>
      <c r="AP111" s="95"/>
      <c r="AQ111" s="126"/>
      <c r="AR111" s="127">
        <v>1</v>
      </c>
      <c r="AS111" s="920"/>
      <c r="AT111" s="1494">
        <f>IF(OR(ISBLANK(AM97),AT97=0),0,AM111*AR98)</f>
        <v>0</v>
      </c>
      <c r="AU111" s="101" cm="1">
        <f t="array" ref="AU111">IFERROR(_xlfn.LET(_xlpm.k,UPPER(TRIM(AQ111)),_xlpm.r,_xlfn.XLOOKUP(_xlpm.k,UPPER(TRIM(AM119:AV119)),AM120:AV120,_xlfn.XLOOKUP(_xlpm.k,UPPER(TRIM(AM121:AV121)),AM122:AV122)),_xlpm.r*AP111*AR111*AR98*IF(ISBLANK(AM111),1,AM111)),0)</f>
        <v>0</v>
      </c>
      <c r="AV111" s="1476" t="str">
        <f>_xlfn.LET(_xlpm.unite,SUBSTITUTE(TRIM(AQ111)," (s)",""),_xlpm.val,AU111,_xlpm.estVol,COUNTIF(AP119:AV119,_xlpm.unite)+COUNTIF(AP121:AV121,_xlpm.unite)&gt;0,_xlpm.estPoids,COUNTIF(AM119:AO119,_xlpm.unite)+COUNTIF(AM121:AO121,_xlpm.unite)&gt;0,IF(_xlpm.estVol,IF(ROUND(_xlpm.val,3)&gt;=1,ROUND(_xlpm.val,3)&amp;" L",MAX(1,ROUND(_xlpm.val*100,0))&amp;" cl"),IF(_xlpm.estPoids,IF(ROUND(_xlpm.val,3)&gt;=1,ROUND(_xlpm.val,3)&amp;" Kg",MAX(1,ROUND(_xlpm.val*1000,0))&amp;" g"),"")))</f>
        <v/>
      </c>
      <c r="AX111" s="47"/>
      <c r="AY111" s="371" t="s">
        <v>376</v>
      </c>
      <c r="AZ111" s="372" t="s">
        <v>377</v>
      </c>
      <c r="BA111" s="372"/>
      <c r="BB111" s="372"/>
      <c r="BC111" s="48"/>
      <c r="BD111" s="49"/>
      <c r="BF111" s="47"/>
      <c r="BG111" s="371" t="s">
        <v>378</v>
      </c>
      <c r="BH111" s="372" t="s">
        <v>379</v>
      </c>
      <c r="BI111" s="372"/>
      <c r="BJ111" s="372"/>
      <c r="BK111" s="48"/>
      <c r="BL111" s="49"/>
      <c r="BN111" s="47"/>
      <c r="BO111" s="371" t="s">
        <v>380</v>
      </c>
      <c r="BP111" s="372" t="s">
        <v>381</v>
      </c>
      <c r="BQ111" s="372"/>
      <c r="BR111" s="372"/>
      <c r="BS111" s="48"/>
      <c r="BT111" s="49"/>
      <c r="BV111" s="3">
        <v>1</v>
      </c>
    </row>
    <row r="112" spans="2:74" ht="21" customHeight="1">
      <c r="B112" s="104" t="str">
        <f t="shared" si="26"/>
        <v>►</v>
      </c>
      <c r="C112" s="32" t="str">
        <f>C99</f>
        <v>N NOM DE VOTRE RECETTE | | Auteur &gt; VOUS</v>
      </c>
      <c r="D112" s="33">
        <f>D99</f>
        <v>18</v>
      </c>
      <c r="E112" s="32" t="str">
        <f>E99</f>
        <v>desserts</v>
      </c>
      <c r="F112" s="34" t="str">
        <f>F99</f>
        <v>Recette mère ► Saisir le nom de la recette principale</v>
      </c>
      <c r="G112" s="92"/>
      <c r="H112" s="108"/>
      <c r="I112" s="94" t="str">
        <f t="shared" si="23"/>
        <v/>
      </c>
      <c r="J112" s="95"/>
      <c r="K112" s="126"/>
      <c r="L112" s="127">
        <v>1</v>
      </c>
      <c r="M112" s="920"/>
      <c r="N112" s="1494">
        <f>IF(OR(ISBLANK(G97),N97=0),0,G112*L98)</f>
        <v>0</v>
      </c>
      <c r="O112" s="101" cm="1">
        <f t="array" ref="O112">IFERROR(_xlfn.LET(_xlpm.k,UPPER(TRIM(K112)),_xlpm.r,_xlfn.XLOOKUP(_xlpm.k,UPPER(TRIM(G119:P119)),G120:P120,_xlfn.XLOOKUP(_xlpm.k,UPPER(TRIM(G121:P121)),G122:P122)),_xlpm.r*J112*L112*L98*IF(ISBLANK(G112),1,G112)),0)</f>
        <v>0</v>
      </c>
      <c r="P112" s="1475" t="str">
        <f>_xlfn.LET(_xlpm.unite,SUBSTITUTE(TRIM(K112)," (s)",""),_xlpm.val,O112,_xlpm.estVol,COUNTIF(J119:P119,_xlpm.unite)+COUNTIF(J121:P121,_xlpm.unite)&gt;0,_xlpm.estPoids,COUNTIF(G119:I119,_xlpm.unite)+COUNTIF(G121:I121,_xlpm.unite)&gt;0,IF(_xlpm.estVol,IF(ROUND(_xlpm.val,3)&gt;=1,ROUND(_xlpm.val,3)&amp;" L",MAX(1,ROUND(_xlpm.val*100,0))&amp;" cl"),IF(_xlpm.estPoids,IF(ROUND(_xlpm.val,3)&gt;=1,ROUND(_xlpm.val,3)&amp;" Kg",MAX(1,ROUND(_xlpm.val*1000,0))&amp;" g"),"")))</f>
        <v/>
      </c>
      <c r="R112" s="104" t="str">
        <f t="shared" si="27"/>
        <v>►</v>
      </c>
      <c r="S112" s="32" t="str">
        <f>S99</f>
        <v>N NAME OF YOUR RECIPE | |  Author &gt; YOU</v>
      </c>
      <c r="T112" s="33">
        <f>T99</f>
        <v>18</v>
      </c>
      <c r="U112" s="32" t="str">
        <f>U99</f>
        <v>desserts</v>
      </c>
      <c r="V112" s="34" t="str">
        <f>V99</f>
        <v>Master recipe ► Enter the main recipe name</v>
      </c>
      <c r="W112" s="92"/>
      <c r="X112" s="108"/>
      <c r="Y112" s="94" t="str">
        <f t="shared" si="24"/>
        <v/>
      </c>
      <c r="Z112" s="95"/>
      <c r="AA112" s="126"/>
      <c r="AB112" s="127">
        <v>1</v>
      </c>
      <c r="AC112" s="920"/>
      <c r="AD112" s="1494">
        <f>IF(OR(ISBLANK(W97),AD97=0),0,W112*AB98)</f>
        <v>0</v>
      </c>
      <c r="AE112" s="101" cm="1">
        <f t="array" ref="AE112">IFERROR(_xlfn.LET(_xlpm.k,UPPER(TRIM(AA112)),_xlpm.r,_xlfn.XLOOKUP(_xlpm.k,UPPER(TRIM(W119:AF119)),W120:AF120,_xlfn.XLOOKUP(_xlpm.k,UPPER(TRIM(W121:AF121)),W122:AF122)),_xlpm.r*Z112*AB112*AB98*IF(ISBLANK(W112),1,W112)),0)</f>
        <v>0</v>
      </c>
      <c r="AF112" s="1475" t="str">
        <f>_xlfn.LET(_xlpm.unite,SUBSTITUTE(TRIM(AA112)," (s)",""),_xlpm.val,AE112,_xlpm.estVol,COUNTIF(Z119:AF119,_xlpm.unite)+COUNTIF(Z121:AF121,_xlpm.unite)&gt;0,_xlpm.estPoids,COUNTIF(W119:Y119,_xlpm.unite)+COUNTIF(W121:Y121,_xlpm.unite)&gt;0,IF(_xlpm.estVol,IF(ROUND(_xlpm.val,3)&gt;=1,ROUND(_xlpm.val,3)&amp;" L",MAX(1,ROUND(_xlpm.val*100,0))&amp;" cl"),IF(_xlpm.estPoids,IF(ROUND(_xlpm.val,3)&gt;=1,ROUND(_xlpm.val,3)&amp;" Kg",MAX(1,ROUND(_xlpm.val*1000,0))&amp;" g"),"")))</f>
        <v/>
      </c>
      <c r="AH112" s="104" t="str">
        <f t="shared" si="28"/>
        <v>►</v>
      </c>
      <c r="AI112" s="32" t="str">
        <f>AI99</f>
        <v>N NOMBRE DE LA RECETA | | Autor &gt; USTED</v>
      </c>
      <c r="AJ112" s="33">
        <f>AJ99</f>
        <v>18</v>
      </c>
      <c r="AK112" s="32" t="str">
        <f>AK99</f>
        <v>postres</v>
      </c>
      <c r="AL112" s="34" t="str">
        <f>AL99</f>
        <v>Receta madre ► Introduzca el nombre de la receta principal</v>
      </c>
      <c r="AM112" s="92"/>
      <c r="AN112" s="108"/>
      <c r="AO112" s="94" t="str">
        <f t="shared" si="25"/>
        <v/>
      </c>
      <c r="AP112" s="95"/>
      <c r="AQ112" s="126"/>
      <c r="AR112" s="127">
        <v>1</v>
      </c>
      <c r="AS112" s="920"/>
      <c r="AT112" s="1494">
        <f>IF(OR(ISBLANK(AM97),AT97=0),0,AM112*AR98)</f>
        <v>0</v>
      </c>
      <c r="AU112" s="101" cm="1">
        <f t="array" ref="AU112">IFERROR(_xlfn.LET(_xlpm.k,UPPER(TRIM(AQ112)),_xlpm.r,_xlfn.XLOOKUP(_xlpm.k,UPPER(TRIM(AM119:AV119)),AM120:AV120,_xlfn.XLOOKUP(_xlpm.k,UPPER(TRIM(AM121:AV121)),AM122:AV122)),_xlpm.r*AP112*AR112*AR98*IF(ISBLANK(AM112),1,AM112)),0)</f>
        <v>0</v>
      </c>
      <c r="AV112" s="1475" t="str">
        <f>_xlfn.LET(_xlpm.unite,SUBSTITUTE(TRIM(AQ112)," (s)",""),_xlpm.val,AU112,_xlpm.estVol,COUNTIF(AP119:AV119,_xlpm.unite)+COUNTIF(AP121:AV121,_xlpm.unite)&gt;0,_xlpm.estPoids,COUNTIF(AM119:AO119,_xlpm.unite)+COUNTIF(AM121:AO121,_xlpm.unite)&gt;0,IF(_xlpm.estVol,IF(ROUND(_xlpm.val,3)&gt;=1,ROUND(_xlpm.val,3)&amp;" L",MAX(1,ROUND(_xlpm.val*100,0))&amp;" cl"),IF(_xlpm.estPoids,IF(ROUND(_xlpm.val,3)&gt;=1,ROUND(_xlpm.val,3)&amp;" Kg",MAX(1,ROUND(_xlpm.val*1000,0))&amp;" g"),"")))</f>
        <v/>
      </c>
      <c r="AX112" s="47"/>
      <c r="AY112" s="373" t="s">
        <v>382</v>
      </c>
      <c r="AZ112" s="374"/>
      <c r="BA112" s="375"/>
      <c r="BB112" s="375"/>
      <c r="BC112" s="48"/>
      <c r="BD112" s="49"/>
      <c r="BF112" s="47"/>
      <c r="BG112" s="373" t="s">
        <v>383</v>
      </c>
      <c r="BH112" s="374"/>
      <c r="BI112" s="375"/>
      <c r="BJ112" s="375"/>
      <c r="BK112" s="48"/>
      <c r="BL112" s="49"/>
      <c r="BN112" s="47"/>
      <c r="BO112" s="373" t="s">
        <v>384</v>
      </c>
      <c r="BP112" s="374"/>
      <c r="BQ112" s="375"/>
      <c r="BR112" s="375"/>
      <c r="BS112" s="48"/>
      <c r="BT112" s="49"/>
      <c r="BV112" s="3">
        <v>1</v>
      </c>
    </row>
    <row r="113" spans="2:74" ht="21" customHeight="1">
      <c r="B113" s="104" t="str">
        <f t="shared" si="26"/>
        <v>►</v>
      </c>
      <c r="C113" s="32" t="str">
        <f>C99</f>
        <v>N NOM DE VOTRE RECETTE | | Auteur &gt; VOUS</v>
      </c>
      <c r="D113" s="33">
        <f>D99</f>
        <v>18</v>
      </c>
      <c r="E113" s="32" t="str">
        <f>E99</f>
        <v>desserts</v>
      </c>
      <c r="F113" s="34" t="str">
        <f>F99</f>
        <v>Recette mère ► Saisir le nom de la recette principale</v>
      </c>
      <c r="G113" s="92"/>
      <c r="H113" s="108"/>
      <c r="I113" s="94" t="str">
        <f t="shared" si="23"/>
        <v/>
      </c>
      <c r="J113" s="95"/>
      <c r="K113" s="126"/>
      <c r="L113" s="127">
        <v>1</v>
      </c>
      <c r="M113" s="920"/>
      <c r="N113" s="1494">
        <f>IF(OR(ISBLANK(G97),N97=0),0,G113*L98)</f>
        <v>0</v>
      </c>
      <c r="O113" s="101" cm="1">
        <f t="array" ref="O113">IFERROR(_xlfn.LET(_xlpm.k,UPPER(TRIM(K113)),_xlpm.r,_xlfn.XLOOKUP(_xlpm.k,UPPER(TRIM(G119:P119)),G120:P120,_xlfn.XLOOKUP(_xlpm.k,UPPER(TRIM(G121:P121)),G122:P122)),_xlpm.r*J113*L113*L98*IF(ISBLANK(G113),1,G113)),0)</f>
        <v>0</v>
      </c>
      <c r="P113" s="1476" t="str">
        <f>_xlfn.LET(_xlpm.unite,SUBSTITUTE(TRIM(K113)," (s)",""),_xlpm.val,O113,_xlpm.estVol,COUNTIF(J119:P119,_xlpm.unite)+COUNTIF(J121:P121,_xlpm.unite)&gt;0,_xlpm.estPoids,COUNTIF(G119:I119,_xlpm.unite)+COUNTIF(G121:I121,_xlpm.unite)&gt;0,IF(_xlpm.estVol,IF(ROUND(_xlpm.val,3)&gt;=1,ROUND(_xlpm.val,3)&amp;" L",MAX(1,ROUND(_xlpm.val*100,0))&amp;" cl"),IF(_xlpm.estPoids,IF(ROUND(_xlpm.val,3)&gt;=1,ROUND(_xlpm.val,3)&amp;" Kg",MAX(1,ROUND(_xlpm.val*1000,0))&amp;" g"),"")))</f>
        <v/>
      </c>
      <c r="R113" s="104" t="str">
        <f t="shared" si="27"/>
        <v>►</v>
      </c>
      <c r="S113" s="32" t="str">
        <f>S99</f>
        <v>N NAME OF YOUR RECIPE | |  Author &gt; YOU</v>
      </c>
      <c r="T113" s="33">
        <f>T99</f>
        <v>18</v>
      </c>
      <c r="U113" s="32" t="str">
        <f>U99</f>
        <v>desserts</v>
      </c>
      <c r="V113" s="34" t="str">
        <f>V99</f>
        <v>Master recipe ► Enter the main recipe name</v>
      </c>
      <c r="W113" s="92"/>
      <c r="X113" s="108"/>
      <c r="Y113" s="94" t="str">
        <f t="shared" si="24"/>
        <v/>
      </c>
      <c r="Z113" s="95"/>
      <c r="AA113" s="126"/>
      <c r="AB113" s="127">
        <v>1</v>
      </c>
      <c r="AC113" s="920"/>
      <c r="AD113" s="1494">
        <f>IF(OR(ISBLANK(W97),AD97=0),0,W113*AB98)</f>
        <v>0</v>
      </c>
      <c r="AE113" s="101" cm="1">
        <f t="array" ref="AE113">IFERROR(_xlfn.LET(_xlpm.k,UPPER(TRIM(AA113)),_xlpm.r,_xlfn.XLOOKUP(_xlpm.k,UPPER(TRIM(W119:AF119)),W120:AF120,_xlfn.XLOOKUP(_xlpm.k,UPPER(TRIM(W121:AF121)),W122:AF122)),_xlpm.r*Z113*AB113*AB98*IF(ISBLANK(W113),1,W113)),0)</f>
        <v>0</v>
      </c>
      <c r="AF113" s="1476" t="str">
        <f>_xlfn.LET(_xlpm.unite,SUBSTITUTE(TRIM(AA113)," (s)",""),_xlpm.val,AE113,_xlpm.estVol,COUNTIF(Z119:AF119,_xlpm.unite)+COUNTIF(Z121:AF121,_xlpm.unite)&gt;0,_xlpm.estPoids,COUNTIF(W119:Y119,_xlpm.unite)+COUNTIF(W121:Y121,_xlpm.unite)&gt;0,IF(_xlpm.estVol,IF(ROUND(_xlpm.val,3)&gt;=1,ROUND(_xlpm.val,3)&amp;" L",MAX(1,ROUND(_xlpm.val*100,0))&amp;" cl"),IF(_xlpm.estPoids,IF(ROUND(_xlpm.val,3)&gt;=1,ROUND(_xlpm.val,3)&amp;" Kg",MAX(1,ROUND(_xlpm.val*1000,0))&amp;" g"),"")))</f>
        <v/>
      </c>
      <c r="AH113" s="104" t="str">
        <f t="shared" si="28"/>
        <v>►</v>
      </c>
      <c r="AI113" s="32" t="str">
        <f>AI99</f>
        <v>N NOMBRE DE LA RECETA | | Autor &gt; USTED</v>
      </c>
      <c r="AJ113" s="33">
        <f>AJ99</f>
        <v>18</v>
      </c>
      <c r="AK113" s="32" t="str">
        <f>AK99</f>
        <v>postres</v>
      </c>
      <c r="AL113" s="34" t="str">
        <f>AL99</f>
        <v>Receta madre ► Introduzca el nombre de la receta principal</v>
      </c>
      <c r="AM113" s="92"/>
      <c r="AN113" s="108"/>
      <c r="AO113" s="94" t="str">
        <f t="shared" si="25"/>
        <v/>
      </c>
      <c r="AP113" s="95"/>
      <c r="AQ113" s="126"/>
      <c r="AR113" s="127">
        <v>1</v>
      </c>
      <c r="AS113" s="920"/>
      <c r="AT113" s="1494">
        <f>IF(OR(ISBLANK(AM97),AT97=0),0,AM113*AR98)</f>
        <v>0</v>
      </c>
      <c r="AU113" s="101" cm="1">
        <f t="array" ref="AU113">IFERROR(_xlfn.LET(_xlpm.k,UPPER(TRIM(AQ113)),_xlpm.r,_xlfn.XLOOKUP(_xlpm.k,UPPER(TRIM(AM119:AV119)),AM120:AV120,_xlfn.XLOOKUP(_xlpm.k,UPPER(TRIM(AM121:AV121)),AM122:AV122)),_xlpm.r*AP113*AR113*AR98*IF(ISBLANK(AM113),1,AM113)),0)</f>
        <v>0</v>
      </c>
      <c r="AV113" s="1476" t="str">
        <f>_xlfn.LET(_xlpm.unite,SUBSTITUTE(TRIM(AQ113)," (s)",""),_xlpm.val,AU113,_xlpm.estVol,COUNTIF(AP119:AV119,_xlpm.unite)+COUNTIF(AP121:AV121,_xlpm.unite)&gt;0,_xlpm.estPoids,COUNTIF(AM119:AO119,_xlpm.unite)+COUNTIF(AM121:AO121,_xlpm.unite)&gt;0,IF(_xlpm.estVol,IF(ROUND(_xlpm.val,3)&gt;=1,ROUND(_xlpm.val,3)&amp;" L",MAX(1,ROUND(_xlpm.val*100,0))&amp;" cl"),IF(_xlpm.estPoids,IF(ROUND(_xlpm.val,3)&gt;=1,ROUND(_xlpm.val,3)&amp;" Kg",MAX(1,ROUND(_xlpm.val*1000,0))&amp;" g"),"")))</f>
        <v/>
      </c>
      <c r="AX113" s="47"/>
      <c r="AY113" s="48"/>
      <c r="AZ113" s="48"/>
      <c r="BA113" s="48"/>
      <c r="BB113" s="48"/>
      <c r="BC113" s="48"/>
      <c r="BD113" s="49"/>
      <c r="BF113" s="47"/>
      <c r="BG113" s="48"/>
      <c r="BH113" s="48"/>
      <c r="BI113" s="48"/>
      <c r="BJ113" s="48"/>
      <c r="BK113" s="48"/>
      <c r="BL113" s="49"/>
      <c r="BN113" s="47"/>
      <c r="BO113" s="48"/>
      <c r="BP113" s="48"/>
      <c r="BQ113" s="48"/>
      <c r="BR113" s="48"/>
      <c r="BS113" s="48"/>
      <c r="BT113" s="49"/>
      <c r="BV113" s="3">
        <v>1</v>
      </c>
    </row>
    <row r="114" spans="2:74" ht="21" customHeight="1">
      <c r="B114" s="104" t="str">
        <f t="shared" si="26"/>
        <v>►</v>
      </c>
      <c r="C114" s="32" t="str">
        <f>C99</f>
        <v>N NOM DE VOTRE RECETTE | | Auteur &gt; VOUS</v>
      </c>
      <c r="D114" s="33">
        <f>D99</f>
        <v>18</v>
      </c>
      <c r="E114" s="32" t="str">
        <f>E99</f>
        <v>desserts</v>
      </c>
      <c r="F114" s="34" t="str">
        <f>F99</f>
        <v>Recette mère ► Saisir le nom de la recette principale</v>
      </c>
      <c r="G114" s="92"/>
      <c r="H114" s="108"/>
      <c r="I114" s="94" t="str">
        <f t="shared" si="23"/>
        <v/>
      </c>
      <c r="J114" s="95"/>
      <c r="K114" s="126"/>
      <c r="L114" s="127">
        <v>1</v>
      </c>
      <c r="M114" s="920"/>
      <c r="N114" s="1494">
        <f>IF(OR(ISBLANK(G97),N97=0),0,G114*L98)</f>
        <v>0</v>
      </c>
      <c r="O114" s="101" cm="1">
        <f t="array" ref="O114">IFERROR(_xlfn.LET(_xlpm.k,UPPER(TRIM(K114)),_xlpm.r,_xlfn.XLOOKUP(_xlpm.k,UPPER(TRIM(G119:P119)),G120:P120,_xlfn.XLOOKUP(_xlpm.k,UPPER(TRIM(G121:P121)),G122:P122)),_xlpm.r*J114*L114*L98*IF(ISBLANK(G114),1,G114)),0)</f>
        <v>0</v>
      </c>
      <c r="P114" s="1475" t="str">
        <f>_xlfn.LET(_xlpm.unite,SUBSTITUTE(TRIM(K114)," (s)",""),_xlpm.val,O114,_xlpm.estVol,COUNTIF(J119:P119,_xlpm.unite)+COUNTIF(J121:P121,_xlpm.unite)&gt;0,_xlpm.estPoids,COUNTIF(G119:I119,_xlpm.unite)+COUNTIF(G121:I121,_xlpm.unite)&gt;0,IF(_xlpm.estVol,IF(ROUND(_xlpm.val,3)&gt;=1,ROUND(_xlpm.val,3)&amp;" L",MAX(1,ROUND(_xlpm.val*100,0))&amp;" cl"),IF(_xlpm.estPoids,IF(ROUND(_xlpm.val,3)&gt;=1,ROUND(_xlpm.val,3)&amp;" Kg",MAX(1,ROUND(_xlpm.val*1000,0))&amp;" g"),"")))</f>
        <v/>
      </c>
      <c r="R114" s="104" t="str">
        <f t="shared" si="27"/>
        <v>►</v>
      </c>
      <c r="S114" s="32" t="str">
        <f>S99</f>
        <v>N NAME OF YOUR RECIPE | |  Author &gt; YOU</v>
      </c>
      <c r="T114" s="33">
        <f>T99</f>
        <v>18</v>
      </c>
      <c r="U114" s="32" t="str">
        <f>U99</f>
        <v>desserts</v>
      </c>
      <c r="V114" s="34" t="str">
        <f>V99</f>
        <v>Master recipe ► Enter the main recipe name</v>
      </c>
      <c r="W114" s="92"/>
      <c r="X114" s="108"/>
      <c r="Y114" s="94" t="str">
        <f t="shared" si="24"/>
        <v/>
      </c>
      <c r="Z114" s="95"/>
      <c r="AA114" s="126"/>
      <c r="AB114" s="127">
        <v>1</v>
      </c>
      <c r="AC114" s="920"/>
      <c r="AD114" s="1494">
        <f>IF(OR(ISBLANK(W97),AD97=0),0,W114*AB98)</f>
        <v>0</v>
      </c>
      <c r="AE114" s="101" cm="1">
        <f t="array" ref="AE114">IFERROR(_xlfn.LET(_xlpm.k,UPPER(TRIM(AA114)),_xlpm.r,_xlfn.XLOOKUP(_xlpm.k,UPPER(TRIM(W119:AF119)),W120:AF120,_xlfn.XLOOKUP(_xlpm.k,UPPER(TRIM(W121:AF121)),W122:AF122)),_xlpm.r*Z114*AB114*AB98*IF(ISBLANK(W114),1,W114)),0)</f>
        <v>0</v>
      </c>
      <c r="AF114" s="1475" t="str">
        <f>_xlfn.LET(_xlpm.unite,SUBSTITUTE(TRIM(AA114)," (s)",""),_xlpm.val,AE114,_xlpm.estVol,COUNTIF(Z119:AF119,_xlpm.unite)+COUNTIF(Z121:AF121,_xlpm.unite)&gt;0,_xlpm.estPoids,COUNTIF(W119:Y119,_xlpm.unite)+COUNTIF(W121:Y121,_xlpm.unite)&gt;0,IF(_xlpm.estVol,IF(ROUND(_xlpm.val,3)&gt;=1,ROUND(_xlpm.val,3)&amp;" L",MAX(1,ROUND(_xlpm.val*100,0))&amp;" cl"),IF(_xlpm.estPoids,IF(ROUND(_xlpm.val,3)&gt;=1,ROUND(_xlpm.val,3)&amp;" Kg",MAX(1,ROUND(_xlpm.val*1000,0))&amp;" g"),"")))</f>
        <v/>
      </c>
      <c r="AH114" s="104" t="str">
        <f t="shared" si="28"/>
        <v>►</v>
      </c>
      <c r="AI114" s="32" t="str">
        <f>AI99</f>
        <v>N NOMBRE DE LA RECETA | | Autor &gt; USTED</v>
      </c>
      <c r="AJ114" s="33">
        <f>AJ99</f>
        <v>18</v>
      </c>
      <c r="AK114" s="32" t="str">
        <f>AK99</f>
        <v>postres</v>
      </c>
      <c r="AL114" s="34" t="str">
        <f>AL99</f>
        <v>Receta madre ► Introduzca el nombre de la receta principal</v>
      </c>
      <c r="AM114" s="92"/>
      <c r="AN114" s="108"/>
      <c r="AO114" s="94" t="str">
        <f t="shared" si="25"/>
        <v/>
      </c>
      <c r="AP114" s="95"/>
      <c r="AQ114" s="126"/>
      <c r="AR114" s="127">
        <v>1</v>
      </c>
      <c r="AS114" s="920"/>
      <c r="AT114" s="1494">
        <f>IF(OR(ISBLANK(AM97),AT97=0),0,AM114*AR98)</f>
        <v>0</v>
      </c>
      <c r="AU114" s="101" cm="1">
        <f t="array" ref="AU114">IFERROR(_xlfn.LET(_xlpm.k,UPPER(TRIM(AQ114)),_xlpm.r,_xlfn.XLOOKUP(_xlpm.k,UPPER(TRIM(AM119:AV119)),AM120:AV120,_xlfn.XLOOKUP(_xlpm.k,UPPER(TRIM(AM121:AV121)),AM122:AV122)),_xlpm.r*AP114*AR114*AR98*IF(ISBLANK(AM114),1,AM114)),0)</f>
        <v>0</v>
      </c>
      <c r="AV114" s="1475" t="str">
        <f>_xlfn.LET(_xlpm.unite,SUBSTITUTE(TRIM(AQ114)," (s)",""),_xlpm.val,AU114,_xlpm.estVol,COUNTIF(AP119:AV119,_xlpm.unite)+COUNTIF(AP121:AV121,_xlpm.unite)&gt;0,_xlpm.estPoids,COUNTIF(AM119:AO119,_xlpm.unite)+COUNTIF(AM121:AO121,_xlpm.unite)&gt;0,IF(_xlpm.estVol,IF(ROUND(_xlpm.val,3)&gt;=1,ROUND(_xlpm.val,3)&amp;" L",MAX(1,ROUND(_xlpm.val*100,0))&amp;" cl"),IF(_xlpm.estPoids,IF(ROUND(_xlpm.val,3)&gt;=1,ROUND(_xlpm.val,3)&amp;" Kg",MAX(1,ROUND(_xlpm.val*1000,0))&amp;" g"),"")))</f>
        <v/>
      </c>
      <c r="AX114" s="150"/>
      <c r="AY114" s="151"/>
      <c r="AZ114" s="152"/>
      <c r="BA114" s="151"/>
      <c r="BB114" s="151"/>
      <c r="BC114" s="151"/>
      <c r="BD114" s="153"/>
      <c r="BF114" s="150"/>
      <c r="BG114" s="151"/>
      <c r="BH114" s="152"/>
      <c r="BI114" s="151"/>
      <c r="BJ114" s="151"/>
      <c r="BK114" s="151"/>
      <c r="BL114" s="153"/>
      <c r="BN114" s="150"/>
      <c r="BO114" s="151"/>
      <c r="BP114" s="152"/>
      <c r="BQ114" s="151"/>
      <c r="BR114" s="151"/>
      <c r="BS114" s="151"/>
      <c r="BT114" s="153"/>
      <c r="BV114" s="3">
        <v>1</v>
      </c>
    </row>
    <row r="115" spans="2:74" ht="21" customHeight="1">
      <c r="B115" s="104" t="str">
        <f t="shared" si="26"/>
        <v>►</v>
      </c>
      <c r="C115" s="32" t="str">
        <f>C99</f>
        <v>N NOM DE VOTRE RECETTE | | Auteur &gt; VOUS</v>
      </c>
      <c r="D115" s="33">
        <f>D99</f>
        <v>18</v>
      </c>
      <c r="E115" s="32" t="str">
        <f>E99</f>
        <v>desserts</v>
      </c>
      <c r="F115" s="34" t="str">
        <f>F99</f>
        <v>Recette mère ► Saisir le nom de la recette principale</v>
      </c>
      <c r="G115" s="92"/>
      <c r="H115" s="108"/>
      <c r="I115" s="94" t="str">
        <f t="shared" si="23"/>
        <v/>
      </c>
      <c r="J115" s="95"/>
      <c r="K115" s="126"/>
      <c r="L115" s="127">
        <v>1</v>
      </c>
      <c r="M115" s="920"/>
      <c r="N115" s="1494">
        <f>IF(OR(ISBLANK(G97),N97=0),0,G115*L98)</f>
        <v>0</v>
      </c>
      <c r="O115" s="101" cm="1">
        <f t="array" ref="O115">IFERROR(_xlfn.LET(_xlpm.k,UPPER(TRIM(K115)),_xlpm.r,_xlfn.XLOOKUP(_xlpm.k,UPPER(TRIM(G119:P119)),G120:P120,_xlfn.XLOOKUP(_xlpm.k,UPPER(TRIM(G121:P121)),G122:P122)),_xlpm.r*J115*L115*L98*IF(ISBLANK(G115),1,G115)),0)</f>
        <v>0</v>
      </c>
      <c r="P115" s="1475" t="str">
        <f>_xlfn.LET(_xlpm.unite,SUBSTITUTE(TRIM(K115)," (s)",""),_xlpm.val,O115,_xlpm.estVol,COUNTIF(J119:P119,_xlpm.unite)+COUNTIF(J121:P121,_xlpm.unite)&gt;0,_xlpm.estPoids,COUNTIF(G119:I119,_xlpm.unite)+COUNTIF(G121:I121,_xlpm.unite)&gt;0,IF(_xlpm.estVol,IF(ROUND(_xlpm.val,3)&gt;=1,ROUND(_xlpm.val,3)&amp;" L",MAX(1,ROUND(_xlpm.val*100,0))&amp;" cl"),IF(_xlpm.estPoids,IF(ROUND(_xlpm.val,3)&gt;=1,ROUND(_xlpm.val,3)&amp;" Kg",MAX(1,ROUND(_xlpm.val*1000,0))&amp;" g"),"")))</f>
        <v/>
      </c>
      <c r="R115" s="104" t="str">
        <f t="shared" si="27"/>
        <v>►</v>
      </c>
      <c r="S115" s="32" t="str">
        <f>S99</f>
        <v>N NAME OF YOUR RECIPE | |  Author &gt; YOU</v>
      </c>
      <c r="T115" s="33">
        <f>T99</f>
        <v>18</v>
      </c>
      <c r="U115" s="32" t="str">
        <f>U99</f>
        <v>desserts</v>
      </c>
      <c r="V115" s="34" t="str">
        <f>V99</f>
        <v>Master recipe ► Enter the main recipe name</v>
      </c>
      <c r="W115" s="92"/>
      <c r="X115" s="108"/>
      <c r="Y115" s="94" t="str">
        <f t="shared" si="24"/>
        <v/>
      </c>
      <c r="Z115" s="95"/>
      <c r="AA115" s="126"/>
      <c r="AB115" s="127">
        <v>1</v>
      </c>
      <c r="AC115" s="920"/>
      <c r="AD115" s="1494">
        <f>IF(OR(ISBLANK(W97),AD97=0),0,W115*AB98)</f>
        <v>0</v>
      </c>
      <c r="AE115" s="101" cm="1">
        <f t="array" ref="AE115">IFERROR(_xlfn.LET(_xlpm.k,UPPER(TRIM(AA115)),_xlpm.r,_xlfn.XLOOKUP(_xlpm.k,UPPER(TRIM(W119:AF119)),W120:AF120,_xlfn.XLOOKUP(_xlpm.k,UPPER(TRIM(W121:AF121)),W122:AF122)),_xlpm.r*Z115*AB115*AB98*IF(ISBLANK(W115),1,W115)),0)</f>
        <v>0</v>
      </c>
      <c r="AF115" s="1475" t="str">
        <f>_xlfn.LET(_xlpm.unite,SUBSTITUTE(TRIM(AA115)," (s)",""),_xlpm.val,AE115,_xlpm.estVol,COUNTIF(Z119:AF119,_xlpm.unite)+COUNTIF(Z121:AF121,_xlpm.unite)&gt;0,_xlpm.estPoids,COUNTIF(W119:Y119,_xlpm.unite)+COUNTIF(W121:Y121,_xlpm.unite)&gt;0,IF(_xlpm.estVol,IF(ROUND(_xlpm.val,3)&gt;=1,ROUND(_xlpm.val,3)&amp;" L",MAX(1,ROUND(_xlpm.val*100,0))&amp;" cl"),IF(_xlpm.estPoids,IF(ROUND(_xlpm.val,3)&gt;=1,ROUND(_xlpm.val,3)&amp;" Kg",MAX(1,ROUND(_xlpm.val*1000,0))&amp;" g"),"")))</f>
        <v/>
      </c>
      <c r="AH115" s="104" t="str">
        <f t="shared" si="28"/>
        <v>►</v>
      </c>
      <c r="AI115" s="32" t="str">
        <f>AI99</f>
        <v>N NOMBRE DE LA RECETA | | Autor &gt; USTED</v>
      </c>
      <c r="AJ115" s="33">
        <f>AJ99</f>
        <v>18</v>
      </c>
      <c r="AK115" s="32" t="str">
        <f>AK99</f>
        <v>postres</v>
      </c>
      <c r="AL115" s="34" t="str">
        <f>AL99</f>
        <v>Receta madre ► Introduzca el nombre de la receta principal</v>
      </c>
      <c r="AM115" s="92"/>
      <c r="AN115" s="108"/>
      <c r="AO115" s="94" t="str">
        <f t="shared" si="25"/>
        <v/>
      </c>
      <c r="AP115" s="95"/>
      <c r="AQ115" s="126"/>
      <c r="AR115" s="127">
        <v>1</v>
      </c>
      <c r="AS115" s="920"/>
      <c r="AT115" s="1494">
        <f>IF(OR(ISBLANK(AM97),AT97=0),0,AM115*AR98)</f>
        <v>0</v>
      </c>
      <c r="AU115" s="101" cm="1">
        <f t="array" ref="AU115">IFERROR(_xlfn.LET(_xlpm.k,UPPER(TRIM(AQ115)),_xlpm.r,_xlfn.XLOOKUP(_xlpm.k,UPPER(TRIM(AM119:AV119)),AM120:AV120,_xlfn.XLOOKUP(_xlpm.k,UPPER(TRIM(AM121:AV121)),AM122:AV122)),_xlpm.r*AP115*AR115*AR98*IF(ISBLANK(AM115),1,AM115)),0)</f>
        <v>0</v>
      </c>
      <c r="AV115" s="1475" t="str">
        <f>_xlfn.LET(_xlpm.unite,SUBSTITUTE(TRIM(AQ115)," (s)",""),_xlpm.val,AU115,_xlpm.estVol,COUNTIF(AP119:AV119,_xlpm.unite)+COUNTIF(AP121:AV121,_xlpm.unite)&gt;0,_xlpm.estPoids,COUNTIF(AM119:AO119,_xlpm.unite)+COUNTIF(AM121:AO121,_xlpm.unite)&gt;0,IF(_xlpm.estVol,IF(ROUND(_xlpm.val,3)&gt;=1,ROUND(_xlpm.val,3)&amp;" L",MAX(1,ROUND(_xlpm.val*100,0))&amp;" cl"),IF(_xlpm.estPoids,IF(ROUND(_xlpm.val,3)&gt;=1,ROUND(_xlpm.val,3)&amp;" Kg",MAX(1,ROUND(_xlpm.val*1000,0))&amp;" g"),"")))</f>
        <v/>
      </c>
      <c r="AX115" s="272"/>
      <c r="AY115" s="302"/>
      <c r="AZ115" s="303"/>
      <c r="BA115" s="302"/>
      <c r="BB115" s="302"/>
      <c r="BC115" s="302"/>
      <c r="BD115" s="304"/>
      <c r="BF115" s="272"/>
      <c r="BG115" s="302"/>
      <c r="BH115" s="303"/>
      <c r="BI115" s="302"/>
      <c r="BJ115" s="302"/>
      <c r="BK115" s="302"/>
      <c r="BL115" s="304"/>
      <c r="BN115" s="272"/>
      <c r="BO115" s="302"/>
      <c r="BP115" s="303"/>
      <c r="BQ115" s="302"/>
      <c r="BR115" s="302"/>
      <c r="BS115" s="302"/>
      <c r="BT115" s="304"/>
      <c r="BV115" s="3">
        <v>1</v>
      </c>
    </row>
    <row r="116" spans="2:74" ht="21" customHeight="1">
      <c r="B116" s="104" t="str">
        <f t="shared" si="26"/>
        <v>►</v>
      </c>
      <c r="C116" s="32" t="str">
        <f>C99</f>
        <v>N NOM DE VOTRE RECETTE | | Auteur &gt; VOUS</v>
      </c>
      <c r="D116" s="33">
        <f>D99</f>
        <v>18</v>
      </c>
      <c r="E116" s="32" t="str">
        <f>E99</f>
        <v>desserts</v>
      </c>
      <c r="F116" s="34" t="str">
        <f>F99</f>
        <v>Recette mère ► Saisir le nom de la recette principale</v>
      </c>
      <c r="G116" s="92"/>
      <c r="H116" s="108"/>
      <c r="I116" s="94" t="str">
        <f t="shared" si="23"/>
        <v/>
      </c>
      <c r="J116" s="95"/>
      <c r="K116" s="126"/>
      <c r="L116" s="127">
        <v>1</v>
      </c>
      <c r="M116" s="920"/>
      <c r="N116" s="1494">
        <f>IF(OR(ISBLANK(G97),N97=0),0,G116*L98)</f>
        <v>0</v>
      </c>
      <c r="O116" s="101" cm="1">
        <f t="array" ref="O116">IFERROR(_xlfn.LET(_xlpm.k,UPPER(TRIM(K116)),_xlpm.r,_xlfn.XLOOKUP(_xlpm.k,UPPER(TRIM(G119:P119)),G120:P120,_xlfn.XLOOKUP(_xlpm.k,UPPER(TRIM(G121:P121)),G122:P122)),_xlpm.r*J116*L116*L98*IF(ISBLANK(G116),1,G116)),0)</f>
        <v>0</v>
      </c>
      <c r="P116" s="1476" t="str">
        <f>_xlfn.LET(_xlpm.unite,SUBSTITUTE(TRIM(K116)," (s)",""),_xlpm.val,O116,_xlpm.estVol,COUNTIF(J119:P119,_xlpm.unite)+COUNTIF(J121:P121,_xlpm.unite)&gt;0,_xlpm.estPoids,COUNTIF(G119:I119,_xlpm.unite)+COUNTIF(G121:I121,_xlpm.unite)&gt;0,IF(_xlpm.estVol,IF(ROUND(_xlpm.val,3)&gt;=1,ROUND(_xlpm.val,3)&amp;" L",MAX(1,ROUND(_xlpm.val*100,0))&amp;" cl"),IF(_xlpm.estPoids,IF(ROUND(_xlpm.val,3)&gt;=1,ROUND(_xlpm.val,3)&amp;" Kg",MAX(1,ROUND(_xlpm.val*1000,0))&amp;" g"),"")))</f>
        <v/>
      </c>
      <c r="R116" s="104" t="str">
        <f t="shared" si="27"/>
        <v>►</v>
      </c>
      <c r="S116" s="32" t="str">
        <f>S99</f>
        <v>N NAME OF YOUR RECIPE | |  Author &gt; YOU</v>
      </c>
      <c r="T116" s="33">
        <f>T99</f>
        <v>18</v>
      </c>
      <c r="U116" s="32" t="str">
        <f>U99</f>
        <v>desserts</v>
      </c>
      <c r="V116" s="34" t="str">
        <f>V99</f>
        <v>Master recipe ► Enter the main recipe name</v>
      </c>
      <c r="W116" s="92"/>
      <c r="X116" s="108"/>
      <c r="Y116" s="94" t="str">
        <f t="shared" si="24"/>
        <v/>
      </c>
      <c r="Z116" s="95"/>
      <c r="AA116" s="126"/>
      <c r="AB116" s="127">
        <v>1</v>
      </c>
      <c r="AC116" s="920"/>
      <c r="AD116" s="1494">
        <f>IF(OR(ISBLANK(W97),AD97=0),0,W116*AB98)</f>
        <v>0</v>
      </c>
      <c r="AE116" s="101" cm="1">
        <f t="array" ref="AE116">IFERROR(_xlfn.LET(_xlpm.k,UPPER(TRIM(AA116)),_xlpm.r,_xlfn.XLOOKUP(_xlpm.k,UPPER(TRIM(W119:AF119)),W120:AF120,_xlfn.XLOOKUP(_xlpm.k,UPPER(TRIM(W121:AF121)),W122:AF122)),_xlpm.r*Z116*AB116*AB98*IF(ISBLANK(W116),1,W116)),0)</f>
        <v>0</v>
      </c>
      <c r="AF116" s="1476" t="str">
        <f>_xlfn.LET(_xlpm.unite,SUBSTITUTE(TRIM(AA116)," (s)",""),_xlpm.val,AE116,_xlpm.estVol,COUNTIF(Z119:AF119,_xlpm.unite)+COUNTIF(Z121:AF121,_xlpm.unite)&gt;0,_xlpm.estPoids,COUNTIF(W119:Y119,_xlpm.unite)+COUNTIF(W121:Y121,_xlpm.unite)&gt;0,IF(_xlpm.estVol,IF(ROUND(_xlpm.val,3)&gt;=1,ROUND(_xlpm.val,3)&amp;" L",MAX(1,ROUND(_xlpm.val*100,0))&amp;" cl"),IF(_xlpm.estPoids,IF(ROUND(_xlpm.val,3)&gt;=1,ROUND(_xlpm.val,3)&amp;" Kg",MAX(1,ROUND(_xlpm.val*1000,0))&amp;" g"),"")))</f>
        <v/>
      </c>
      <c r="AH116" s="104" t="str">
        <f t="shared" si="28"/>
        <v>►</v>
      </c>
      <c r="AI116" s="32" t="str">
        <f>AI99</f>
        <v>N NOMBRE DE LA RECETA | | Autor &gt; USTED</v>
      </c>
      <c r="AJ116" s="33">
        <f>AJ99</f>
        <v>18</v>
      </c>
      <c r="AK116" s="32" t="str">
        <f>AK99</f>
        <v>postres</v>
      </c>
      <c r="AL116" s="34" t="str">
        <f>AL99</f>
        <v>Receta madre ► Introduzca el nombre de la receta principal</v>
      </c>
      <c r="AM116" s="92"/>
      <c r="AN116" s="108"/>
      <c r="AO116" s="94" t="str">
        <f t="shared" si="25"/>
        <v/>
      </c>
      <c r="AP116" s="95"/>
      <c r="AQ116" s="126"/>
      <c r="AR116" s="127">
        <v>1</v>
      </c>
      <c r="AS116" s="920"/>
      <c r="AT116" s="1494">
        <f>IF(OR(ISBLANK(AM97),AT97=0),0,AM116*AR98)</f>
        <v>0</v>
      </c>
      <c r="AU116" s="101" cm="1">
        <f t="array" ref="AU116">IFERROR(_xlfn.LET(_xlpm.k,UPPER(TRIM(AQ116)),_xlpm.r,_xlfn.XLOOKUP(_xlpm.k,UPPER(TRIM(AM119:AV119)),AM120:AV120,_xlfn.XLOOKUP(_xlpm.k,UPPER(TRIM(AM121:AV121)),AM122:AV122)),_xlpm.r*AP116*AR116*AR98*IF(ISBLANK(AM116),1,AM116)),0)</f>
        <v>0</v>
      </c>
      <c r="AV116" s="1476" t="str">
        <f>_xlfn.LET(_xlpm.unite,SUBSTITUTE(TRIM(AQ116)," (s)",""),_xlpm.val,AU116,_xlpm.estVol,COUNTIF(AP119:AV119,_xlpm.unite)+COUNTIF(AP121:AV121,_xlpm.unite)&gt;0,_xlpm.estPoids,COUNTIF(AM119:AO119,_xlpm.unite)+COUNTIF(AM121:AO121,_xlpm.unite)&gt;0,IF(_xlpm.estVol,IF(ROUND(_xlpm.val,3)&gt;=1,ROUND(_xlpm.val,3)&amp;" L",MAX(1,ROUND(_xlpm.val*100,0))&amp;" cl"),IF(_xlpm.estPoids,IF(ROUND(_xlpm.val,3)&gt;=1,ROUND(_xlpm.val,3)&amp;" Kg",MAX(1,ROUND(_xlpm.val*1000,0))&amp;" g"),"")))</f>
        <v/>
      </c>
      <c r="AX116" s="380" t="s">
        <v>70</v>
      </c>
      <c r="AY116" s="381" t="s">
        <v>386</v>
      </c>
      <c r="AZ116" s="48"/>
      <c r="BA116" s="48"/>
      <c r="BB116" s="48"/>
      <c r="BC116" s="48"/>
      <c r="BD116" s="49"/>
      <c r="BF116" s="380" t="s">
        <v>70</v>
      </c>
      <c r="BG116" s="381" t="s">
        <v>387</v>
      </c>
      <c r="BH116" s="48"/>
      <c r="BI116" s="48"/>
      <c r="BJ116" s="48"/>
      <c r="BK116" s="48"/>
      <c r="BL116" s="49"/>
      <c r="BN116" s="380" t="s">
        <v>70</v>
      </c>
      <c r="BO116" s="381" t="s">
        <v>388</v>
      </c>
      <c r="BP116" s="48"/>
      <c r="BQ116" s="48"/>
      <c r="BR116" s="48"/>
      <c r="BS116" s="48"/>
      <c r="BT116" s="49"/>
      <c r="BV116" s="3">
        <v>1</v>
      </c>
    </row>
    <row r="117" spans="2:74" ht="21" customHeight="1">
      <c r="B117" s="104" t="str">
        <f t="shared" si="26"/>
        <v>►</v>
      </c>
      <c r="C117" s="32" t="str">
        <f>C99</f>
        <v>N NOM DE VOTRE RECETTE | | Auteur &gt; VOUS</v>
      </c>
      <c r="D117" s="33">
        <f>D99</f>
        <v>18</v>
      </c>
      <c r="E117" s="32" t="str">
        <f>E99</f>
        <v>desserts</v>
      </c>
      <c r="F117" s="34" t="str">
        <f>F99</f>
        <v>Recette mère ► Saisir le nom de la recette principale</v>
      </c>
      <c r="G117" s="92"/>
      <c r="H117" s="108"/>
      <c r="I117" s="94" t="str">
        <f t="shared" si="23"/>
        <v/>
      </c>
      <c r="J117" s="95"/>
      <c r="K117" s="126"/>
      <c r="L117" s="127">
        <v>1</v>
      </c>
      <c r="M117" s="920"/>
      <c r="N117" s="1494">
        <f>IF(OR(ISBLANK(G97),N97=0),0,G117*L98)</f>
        <v>0</v>
      </c>
      <c r="O117" s="101" cm="1">
        <f t="array" ref="O117">IFERROR(_xlfn.LET(_xlpm.k,UPPER(TRIM(K117)),_xlpm.r,_xlfn.XLOOKUP(_xlpm.k,UPPER(TRIM(G119:P119)),G120:P120,_xlfn.XLOOKUP(_xlpm.k,UPPER(TRIM(G121:P121)),G122:P122)),_xlpm.r*J117*L117*L98*IF(ISBLANK(G117),1,G117)),0)</f>
        <v>0</v>
      </c>
      <c r="P117" s="1475" t="str">
        <f>_xlfn.LET(_xlpm.unite,SUBSTITUTE(TRIM(K117)," (s)",""),_xlpm.val,O117,_xlpm.estVol,COUNTIF(J119:P119,_xlpm.unite)+COUNTIF(J121:P121,_xlpm.unite)&gt;0,_xlpm.estPoids,COUNTIF(G119:I119,_xlpm.unite)+COUNTIF(G121:I121,_xlpm.unite)&gt;0,IF(_xlpm.estVol,IF(ROUND(_xlpm.val,3)&gt;=1,ROUND(_xlpm.val,3)&amp;" L",MAX(1,ROUND(_xlpm.val*100,0))&amp;" cl"),IF(_xlpm.estPoids,IF(ROUND(_xlpm.val,3)&gt;=1,ROUND(_xlpm.val,3)&amp;" Kg",MAX(1,ROUND(_xlpm.val*1000,0))&amp;" g"),"")))</f>
        <v/>
      </c>
      <c r="R117" s="104" t="str">
        <f t="shared" si="27"/>
        <v>►</v>
      </c>
      <c r="S117" s="32" t="str">
        <f>S99</f>
        <v>N NAME OF YOUR RECIPE | |  Author &gt; YOU</v>
      </c>
      <c r="T117" s="33">
        <f>T99</f>
        <v>18</v>
      </c>
      <c r="U117" s="32" t="str">
        <f>U99</f>
        <v>desserts</v>
      </c>
      <c r="V117" s="34" t="str">
        <f>V99</f>
        <v>Master recipe ► Enter the main recipe name</v>
      </c>
      <c r="W117" s="92"/>
      <c r="X117" s="108"/>
      <c r="Y117" s="94" t="str">
        <f t="shared" si="24"/>
        <v/>
      </c>
      <c r="Z117" s="95"/>
      <c r="AA117" s="126"/>
      <c r="AB117" s="127">
        <v>1</v>
      </c>
      <c r="AC117" s="920"/>
      <c r="AD117" s="1494">
        <f>IF(OR(ISBLANK(W97),AD97=0),0,W117*AB98)</f>
        <v>0</v>
      </c>
      <c r="AE117" s="101" cm="1">
        <f t="array" ref="AE117">IFERROR(_xlfn.LET(_xlpm.k,UPPER(TRIM(AA117)),_xlpm.r,_xlfn.XLOOKUP(_xlpm.k,UPPER(TRIM(W119:AF119)),W120:AF120,_xlfn.XLOOKUP(_xlpm.k,UPPER(TRIM(W121:AF121)),W122:AF122)),_xlpm.r*Z117*AB117*AB98*IF(ISBLANK(W117),1,W117)),0)</f>
        <v>0</v>
      </c>
      <c r="AF117" s="1475" t="str">
        <f>_xlfn.LET(_xlpm.unite,SUBSTITUTE(TRIM(AA117)," (s)",""),_xlpm.val,AE117,_xlpm.estVol,COUNTIF(Z119:AF119,_xlpm.unite)+COUNTIF(Z121:AF121,_xlpm.unite)&gt;0,_xlpm.estPoids,COUNTIF(W119:Y119,_xlpm.unite)+COUNTIF(W121:Y121,_xlpm.unite)&gt;0,IF(_xlpm.estVol,IF(ROUND(_xlpm.val,3)&gt;=1,ROUND(_xlpm.val,3)&amp;" L",MAX(1,ROUND(_xlpm.val*100,0))&amp;" cl"),IF(_xlpm.estPoids,IF(ROUND(_xlpm.val,3)&gt;=1,ROUND(_xlpm.val,3)&amp;" Kg",MAX(1,ROUND(_xlpm.val*1000,0))&amp;" g"),"")))</f>
        <v/>
      </c>
      <c r="AH117" s="104" t="str">
        <f t="shared" si="28"/>
        <v>►</v>
      </c>
      <c r="AI117" s="32" t="str">
        <f>AI99</f>
        <v>N NOMBRE DE LA RECETA | | Autor &gt; USTED</v>
      </c>
      <c r="AJ117" s="33">
        <f>AJ99</f>
        <v>18</v>
      </c>
      <c r="AK117" s="32" t="str">
        <f>AK99</f>
        <v>postres</v>
      </c>
      <c r="AL117" s="34" t="str">
        <f>AL99</f>
        <v>Receta madre ► Introduzca el nombre de la receta principal</v>
      </c>
      <c r="AM117" s="92"/>
      <c r="AN117" s="108"/>
      <c r="AO117" s="94" t="str">
        <f t="shared" si="25"/>
        <v/>
      </c>
      <c r="AP117" s="95"/>
      <c r="AQ117" s="126"/>
      <c r="AR117" s="127">
        <v>1</v>
      </c>
      <c r="AS117" s="920"/>
      <c r="AT117" s="1494">
        <f>IF(OR(ISBLANK(AM97),AT97=0),0,AM117*AR98)</f>
        <v>0</v>
      </c>
      <c r="AU117" s="101" cm="1">
        <f t="array" ref="AU117">IFERROR(_xlfn.LET(_xlpm.k,UPPER(TRIM(AQ117)),_xlpm.r,_xlfn.XLOOKUP(_xlpm.k,UPPER(TRIM(AM119:AV119)),AM120:AV120,_xlfn.XLOOKUP(_xlpm.k,UPPER(TRIM(AM121:AV121)),AM122:AV122)),_xlpm.r*AP117*AR117*AR98*IF(ISBLANK(AM117),1,AM117)),0)</f>
        <v>0</v>
      </c>
      <c r="AV117" s="1475" t="str">
        <f>_xlfn.LET(_xlpm.unite,SUBSTITUTE(TRIM(AQ117)," (s)",""),_xlpm.val,AU117,_xlpm.estVol,COUNTIF(AP119:AV119,_xlpm.unite)+COUNTIF(AP121:AV121,_xlpm.unite)&gt;0,_xlpm.estPoids,COUNTIF(AM119:AO119,_xlpm.unite)+COUNTIF(AM121:AO121,_xlpm.unite)&gt;0,IF(_xlpm.estVol,IF(ROUND(_xlpm.val,3)&gt;=1,ROUND(_xlpm.val,3)&amp;" L",MAX(1,ROUND(_xlpm.val*100,0))&amp;" cl"),IF(_xlpm.estPoids,IF(ROUND(_xlpm.val,3)&gt;=1,ROUND(_xlpm.val,3)&amp;" Kg",MAX(1,ROUND(_xlpm.val*1000,0))&amp;" g"),"")))</f>
        <v/>
      </c>
      <c r="AX117" s="341" t="s">
        <v>341</v>
      </c>
      <c r="AY117" s="48"/>
      <c r="AZ117" s="48"/>
      <c r="BA117" s="48"/>
      <c r="BB117" s="48"/>
      <c r="BC117" s="48"/>
      <c r="BD117" s="49"/>
      <c r="BF117" s="341" t="s">
        <v>342</v>
      </c>
      <c r="BG117" s="48"/>
      <c r="BH117" s="48"/>
      <c r="BI117" s="48"/>
      <c r="BJ117" s="48"/>
      <c r="BK117" s="48"/>
      <c r="BL117" s="49"/>
      <c r="BN117" s="341" t="s">
        <v>343</v>
      </c>
      <c r="BO117" s="48"/>
      <c r="BP117" s="48"/>
      <c r="BQ117" s="48"/>
      <c r="BR117" s="48"/>
      <c r="BS117" s="48"/>
      <c r="BT117" s="49"/>
      <c r="BV117" s="3">
        <v>1</v>
      </c>
    </row>
    <row r="118" spans="2:74" ht="21" customHeight="1">
      <c r="B118" s="104" t="s">
        <v>11</v>
      </c>
      <c r="C118" s="32" t="str">
        <f>C99</f>
        <v>N NOM DE VOTRE RECETTE | | Auteur &gt; VOUS</v>
      </c>
      <c r="D118" s="33">
        <f>D99</f>
        <v>18</v>
      </c>
      <c r="E118" s="32" t="str">
        <f>E99</f>
        <v>desserts</v>
      </c>
      <c r="F118" s="34" t="str">
        <f>F99</f>
        <v>Recette mère ► Saisir le nom de la recette principale</v>
      </c>
      <c r="G118" s="907" t="s">
        <v>136</v>
      </c>
      <c r="H118" s="500"/>
      <c r="I118" s="500"/>
      <c r="J118" s="500"/>
      <c r="K118" s="500"/>
      <c r="L118" s="908"/>
      <c r="M118" s="909"/>
      <c r="N118" s="909"/>
      <c r="O118" s="910">
        <f>SUM(O103:O117)</f>
        <v>0</v>
      </c>
      <c r="P118" s="1489"/>
      <c r="R118" s="104" t="s">
        <v>11</v>
      </c>
      <c r="S118" s="32" t="str">
        <f>S99</f>
        <v>N NAME OF YOUR RECIPE | |  Author &gt; YOU</v>
      </c>
      <c r="T118" s="33">
        <f>T99</f>
        <v>18</v>
      </c>
      <c r="U118" s="32" t="str">
        <f>U99</f>
        <v>desserts</v>
      </c>
      <c r="V118" s="34" t="str">
        <f>V99</f>
        <v>Master recipe ► Enter the main recipe name</v>
      </c>
      <c r="W118" s="907" t="s">
        <v>893</v>
      </c>
      <c r="X118" s="500"/>
      <c r="Y118" s="500"/>
      <c r="Z118" s="500"/>
      <c r="AA118" s="500"/>
      <c r="AB118" s="908"/>
      <c r="AC118" s="909"/>
      <c r="AD118" s="909"/>
      <c r="AE118" s="910">
        <f>SUM(AE103:AE117)</f>
        <v>0</v>
      </c>
      <c r="AF118" s="1489"/>
      <c r="AH118" s="104" t="s">
        <v>11</v>
      </c>
      <c r="AI118" s="32" t="str">
        <f>AI99</f>
        <v>N NOMBRE DE LA RECETA | | Autor &gt; USTED</v>
      </c>
      <c r="AJ118" s="33">
        <f>AJ99</f>
        <v>18</v>
      </c>
      <c r="AK118" s="32" t="str">
        <f>AK99</f>
        <v>postres</v>
      </c>
      <c r="AL118" s="34" t="str">
        <f>AL99</f>
        <v>Receta madre ► Introduzca el nombre de la receta principal</v>
      </c>
      <c r="AM118" s="907" t="s">
        <v>893</v>
      </c>
      <c r="AN118" s="500"/>
      <c r="AO118" s="500"/>
      <c r="AP118" s="500"/>
      <c r="AQ118" s="500"/>
      <c r="AR118" s="908"/>
      <c r="AS118" s="909"/>
      <c r="AT118" s="909"/>
      <c r="AU118" s="910">
        <f>SUM(AU103:AU117)</f>
        <v>0</v>
      </c>
      <c r="AV118" s="1489"/>
      <c r="AX118" s="47"/>
      <c r="AY118" s="48"/>
      <c r="AZ118" s="48"/>
      <c r="BA118" s="48"/>
      <c r="BB118" s="48"/>
      <c r="BC118" s="48"/>
      <c r="BD118" s="49"/>
      <c r="BF118" s="47"/>
      <c r="BG118" s="48"/>
      <c r="BH118" s="48"/>
      <c r="BI118" s="48"/>
      <c r="BJ118" s="48"/>
      <c r="BK118" s="48"/>
      <c r="BL118" s="49"/>
      <c r="BN118" s="47"/>
      <c r="BO118" s="48"/>
      <c r="BP118" s="48"/>
      <c r="BQ118" s="48"/>
      <c r="BR118" s="48"/>
      <c r="BS118" s="48"/>
      <c r="BT118" s="49"/>
      <c r="BV118" s="3">
        <v>1</v>
      </c>
    </row>
    <row r="119" spans="2:74" ht="21" customHeight="1">
      <c r="B119" s="104" t="s">
        <v>16</v>
      </c>
      <c r="C119" s="32" t="str">
        <f>C99</f>
        <v>N NOM DE VOTRE RECETTE | | Auteur &gt; VOUS</v>
      </c>
      <c r="D119" s="33">
        <f>D99</f>
        <v>18</v>
      </c>
      <c r="E119" s="32" t="str">
        <f>E99</f>
        <v>desserts</v>
      </c>
      <c r="F119" s="34" t="str">
        <f>F99</f>
        <v>Recette mère ► Saisir le nom de la recette principale</v>
      </c>
      <c r="G119" s="140" t="s">
        <v>143</v>
      </c>
      <c r="H119" s="105" t="s">
        <v>99</v>
      </c>
      <c r="I119" s="141" t="s">
        <v>144</v>
      </c>
      <c r="J119" s="96" t="s">
        <v>0</v>
      </c>
      <c r="K119" s="96" t="s">
        <v>96</v>
      </c>
      <c r="L119" s="96" t="s">
        <v>147</v>
      </c>
      <c r="M119" s="96" t="s">
        <v>148</v>
      </c>
      <c r="N119" s="109" t="s">
        <v>364</v>
      </c>
      <c r="O119" s="109" t="s">
        <v>102</v>
      </c>
      <c r="P119" s="109" t="s">
        <v>149</v>
      </c>
      <c r="R119" s="104" t="s">
        <v>16</v>
      </c>
      <c r="S119" s="32" t="str">
        <f>S99</f>
        <v>N NAME OF YOUR RECIPE | |  Author &gt; YOU</v>
      </c>
      <c r="T119" s="33">
        <f>T99</f>
        <v>18</v>
      </c>
      <c r="U119" s="32" t="str">
        <f>U99</f>
        <v>desserts</v>
      </c>
      <c r="V119" s="34" t="str">
        <f>V99</f>
        <v>Master recipe ► Enter the main recipe name</v>
      </c>
      <c r="W119" s="140" t="s">
        <v>143</v>
      </c>
      <c r="X119" s="105" t="s">
        <v>99</v>
      </c>
      <c r="Y119" s="141" t="s">
        <v>144</v>
      </c>
      <c r="Z119" s="96" t="s">
        <v>0</v>
      </c>
      <c r="AA119" s="96" t="s">
        <v>96</v>
      </c>
      <c r="AB119" s="96" t="s">
        <v>147</v>
      </c>
      <c r="AC119" s="96" t="s">
        <v>148</v>
      </c>
      <c r="AD119" s="109" t="s">
        <v>1378</v>
      </c>
      <c r="AE119" s="109" t="s">
        <v>1360</v>
      </c>
      <c r="AF119" s="109" t="s">
        <v>1361</v>
      </c>
      <c r="AH119" s="104" t="s">
        <v>16</v>
      </c>
      <c r="AI119" s="32" t="str">
        <f>AI99</f>
        <v>N NOMBRE DE LA RECETA | | Autor &gt; USTED</v>
      </c>
      <c r="AJ119" s="33">
        <f>AJ99</f>
        <v>18</v>
      </c>
      <c r="AK119" s="32" t="str">
        <f>AK99</f>
        <v>postres</v>
      </c>
      <c r="AL119" s="34" t="str">
        <f>AL99</f>
        <v>Receta madre ► Introduzca el nombre de la receta principal</v>
      </c>
      <c r="AM119" s="140" t="s">
        <v>143</v>
      </c>
      <c r="AN119" s="105" t="s">
        <v>99</v>
      </c>
      <c r="AO119" s="141" t="s">
        <v>144</v>
      </c>
      <c r="AP119" s="96" t="s">
        <v>0</v>
      </c>
      <c r="AQ119" s="96" t="s">
        <v>96</v>
      </c>
      <c r="AR119" s="96" t="s">
        <v>147</v>
      </c>
      <c r="AS119" s="96" t="s">
        <v>148</v>
      </c>
      <c r="AT119" s="109" t="s">
        <v>1379</v>
      </c>
      <c r="AU119" s="109" t="s">
        <v>1341</v>
      </c>
      <c r="AV119" s="109" t="s">
        <v>1342</v>
      </c>
      <c r="AX119" s="150"/>
      <c r="AY119" s="151"/>
      <c r="AZ119" s="152"/>
      <c r="BA119" s="151"/>
      <c r="BB119" s="151"/>
      <c r="BC119" s="151"/>
      <c r="BD119" s="153"/>
      <c r="BF119" s="150"/>
      <c r="BG119" s="151"/>
      <c r="BH119" s="152"/>
      <c r="BI119" s="151"/>
      <c r="BJ119" s="151"/>
      <c r="BK119" s="151"/>
      <c r="BL119" s="153"/>
      <c r="BN119" s="150"/>
      <c r="BO119" s="151"/>
      <c r="BP119" s="152"/>
      <c r="BQ119" s="151"/>
      <c r="BR119" s="151"/>
      <c r="BS119" s="151"/>
      <c r="BT119" s="153"/>
      <c r="BV119" s="3">
        <v>1</v>
      </c>
    </row>
    <row r="120" spans="2:74" ht="21" customHeight="1">
      <c r="B120" s="104" t="s">
        <v>16</v>
      </c>
      <c r="C120" s="32" t="str">
        <f>C99</f>
        <v>N NOM DE VOTRE RECETTE | | Auteur &gt; VOUS</v>
      </c>
      <c r="D120" s="33">
        <f>D99</f>
        <v>18</v>
      </c>
      <c r="E120" s="32" t="str">
        <f>E99</f>
        <v>desserts</v>
      </c>
      <c r="F120" s="34" t="str">
        <f>F99</f>
        <v>Recette mère ► Saisir le nom de la recette principale</v>
      </c>
      <c r="G120" s="911">
        <v>1</v>
      </c>
      <c r="H120" s="912">
        <v>1E-3</v>
      </c>
      <c r="I120" s="913">
        <v>0</v>
      </c>
      <c r="J120" s="914">
        <v>1</v>
      </c>
      <c r="K120" s="914">
        <v>0.1</v>
      </c>
      <c r="L120" s="914">
        <v>0.01</v>
      </c>
      <c r="M120" s="914">
        <v>1E-3</v>
      </c>
      <c r="N120" s="914">
        <v>0.25</v>
      </c>
      <c r="O120" s="914">
        <v>0.5</v>
      </c>
      <c r="P120" s="914">
        <v>0.33300000000000002</v>
      </c>
      <c r="R120" s="104" t="s">
        <v>16</v>
      </c>
      <c r="S120" s="32" t="str">
        <f>S99</f>
        <v>N NAME OF YOUR RECIPE | |  Author &gt; YOU</v>
      </c>
      <c r="T120" s="33">
        <f>T99</f>
        <v>18</v>
      </c>
      <c r="U120" s="32" t="str">
        <f>U99</f>
        <v>desserts</v>
      </c>
      <c r="V120" s="34" t="str">
        <f>V99</f>
        <v>Master recipe ► Enter the main recipe name</v>
      </c>
      <c r="W120" s="911">
        <v>1</v>
      </c>
      <c r="X120" s="912">
        <v>1E-3</v>
      </c>
      <c r="Y120" s="913">
        <v>0</v>
      </c>
      <c r="Z120" s="914">
        <v>1</v>
      </c>
      <c r="AA120" s="914">
        <v>0.1</v>
      </c>
      <c r="AB120" s="914">
        <v>0.01</v>
      </c>
      <c r="AC120" s="914">
        <v>1E-3</v>
      </c>
      <c r="AD120" s="914">
        <v>0.25</v>
      </c>
      <c r="AE120" s="914">
        <v>0.5</v>
      </c>
      <c r="AF120" s="914">
        <v>0.33300000000000002</v>
      </c>
      <c r="AH120" s="104" t="s">
        <v>16</v>
      </c>
      <c r="AI120" s="32" t="str">
        <f>AI99</f>
        <v>N NOMBRE DE LA RECETA | | Autor &gt; USTED</v>
      </c>
      <c r="AJ120" s="33">
        <f>AJ99</f>
        <v>18</v>
      </c>
      <c r="AK120" s="32" t="str">
        <f>AK99</f>
        <v>postres</v>
      </c>
      <c r="AL120" s="34" t="str">
        <f>AL99</f>
        <v>Receta madre ► Introduzca el nombre de la receta principal</v>
      </c>
      <c r="AM120" s="911">
        <v>1</v>
      </c>
      <c r="AN120" s="912">
        <v>1E-3</v>
      </c>
      <c r="AO120" s="913">
        <v>0</v>
      </c>
      <c r="AP120" s="914">
        <v>1</v>
      </c>
      <c r="AQ120" s="914">
        <v>0.1</v>
      </c>
      <c r="AR120" s="914">
        <v>0.01</v>
      </c>
      <c r="AS120" s="914">
        <v>1E-3</v>
      </c>
      <c r="AT120" s="914">
        <v>0.25</v>
      </c>
      <c r="AU120" s="914">
        <v>0.5</v>
      </c>
      <c r="AV120" s="914">
        <v>0.33300000000000002</v>
      </c>
      <c r="AX120" s="272"/>
      <c r="AY120" s="302"/>
      <c r="AZ120" s="303"/>
      <c r="BA120" s="302"/>
      <c r="BB120" s="302"/>
      <c r="BC120" s="302"/>
      <c r="BD120" s="304"/>
      <c r="BF120" s="272"/>
      <c r="BG120" s="302"/>
      <c r="BH120" s="303"/>
      <c r="BI120" s="302"/>
      <c r="BJ120" s="302"/>
      <c r="BK120" s="302"/>
      <c r="BL120" s="304"/>
      <c r="BN120" s="272"/>
      <c r="BO120" s="302"/>
      <c r="BP120" s="303"/>
      <c r="BQ120" s="302"/>
      <c r="BR120" s="302"/>
      <c r="BS120" s="302"/>
      <c r="BT120" s="304"/>
      <c r="BV120" s="3">
        <v>1</v>
      </c>
    </row>
    <row r="121" spans="2:74" ht="21" customHeight="1">
      <c r="B121" s="104" t="s">
        <v>16</v>
      </c>
      <c r="C121" s="32" t="str">
        <f>C99</f>
        <v>N NOM DE VOTRE RECETTE | | Auteur &gt; VOUS</v>
      </c>
      <c r="D121" s="33">
        <f>D99</f>
        <v>18</v>
      </c>
      <c r="E121" s="32" t="str">
        <f>E99</f>
        <v>desserts</v>
      </c>
      <c r="F121" s="34" t="str">
        <f>F99</f>
        <v>Recette mère ► Saisir le nom de la recette principale</v>
      </c>
      <c r="G121" s="142" t="s">
        <v>145</v>
      </c>
      <c r="H121" s="117" t="s">
        <v>107</v>
      </c>
      <c r="I121" s="141" t="s">
        <v>144</v>
      </c>
      <c r="J121" s="109" t="s">
        <v>150</v>
      </c>
      <c r="K121" s="109" t="s">
        <v>163</v>
      </c>
      <c r="L121" s="109" t="s">
        <v>103</v>
      </c>
      <c r="M121" s="109" t="s">
        <v>162</v>
      </c>
      <c r="N121" s="149" t="s">
        <v>160</v>
      </c>
      <c r="O121" s="149" t="s">
        <v>117</v>
      </c>
      <c r="P121" s="1061" t="s">
        <v>1831</v>
      </c>
      <c r="R121" s="104" t="s">
        <v>16</v>
      </c>
      <c r="S121" s="32" t="str">
        <f>S99</f>
        <v>N NAME OF YOUR RECIPE | |  Author &gt; YOU</v>
      </c>
      <c r="T121" s="33">
        <f>T99</f>
        <v>18</v>
      </c>
      <c r="U121" s="32" t="str">
        <f>U99</f>
        <v>desserts</v>
      </c>
      <c r="V121" s="34" t="str">
        <f>V99</f>
        <v>Master recipe ► Enter the main recipe name</v>
      </c>
      <c r="W121" s="142" t="s">
        <v>1357</v>
      </c>
      <c r="X121" s="117" t="s">
        <v>1359</v>
      </c>
      <c r="Y121" s="141" t="s">
        <v>144</v>
      </c>
      <c r="Z121" s="109" t="s">
        <v>1362</v>
      </c>
      <c r="AA121" s="109" t="s">
        <v>1371</v>
      </c>
      <c r="AB121" s="109" t="s">
        <v>1372</v>
      </c>
      <c r="AC121" s="109" t="s">
        <v>1370</v>
      </c>
      <c r="AD121" s="149" t="s">
        <v>1368</v>
      </c>
      <c r="AE121" s="149" t="s">
        <v>1367</v>
      </c>
      <c r="AF121" s="1061" t="s">
        <v>1832</v>
      </c>
      <c r="AH121" s="104" t="s">
        <v>16</v>
      </c>
      <c r="AI121" s="32" t="str">
        <f>AI99</f>
        <v>N NOMBRE DE LA RECETA | | Autor &gt; USTED</v>
      </c>
      <c r="AJ121" s="33">
        <f>AJ99</f>
        <v>18</v>
      </c>
      <c r="AK121" s="32" t="str">
        <f>AK99</f>
        <v>postres</v>
      </c>
      <c r="AL121" s="34" t="str">
        <f>AL99</f>
        <v>Receta madre ► Introduzca el nombre de la receta principal</v>
      </c>
      <c r="AM121" s="142" t="s">
        <v>145</v>
      </c>
      <c r="AN121" s="117" t="s">
        <v>107</v>
      </c>
      <c r="AO121" s="141" t="s">
        <v>144</v>
      </c>
      <c r="AP121" s="143" t="s">
        <v>1343</v>
      </c>
      <c r="AQ121" s="109" t="s">
        <v>1354</v>
      </c>
      <c r="AR121" s="109" t="s">
        <v>1355</v>
      </c>
      <c r="AS121" s="109" t="s">
        <v>1353</v>
      </c>
      <c r="AT121" s="149" t="s">
        <v>1351</v>
      </c>
      <c r="AU121" s="123" t="s">
        <v>1350</v>
      </c>
      <c r="AV121" s="1061" t="s">
        <v>1833</v>
      </c>
      <c r="AX121" s="5623" t="s">
        <v>393</v>
      </c>
      <c r="AY121" s="391">
        <v>1</v>
      </c>
      <c r="AZ121" s="392" t="s">
        <v>394</v>
      </c>
      <c r="BA121" s="48"/>
      <c r="BB121" s="48"/>
      <c r="BC121" s="48"/>
      <c r="BD121" s="49"/>
      <c r="BF121" s="5623" t="s">
        <v>393</v>
      </c>
      <c r="BG121" s="391">
        <v>1</v>
      </c>
      <c r="BH121" s="392" t="s">
        <v>395</v>
      </c>
      <c r="BI121" s="48"/>
      <c r="BJ121" s="48"/>
      <c r="BK121" s="48"/>
      <c r="BL121" s="49"/>
      <c r="BN121" s="5623" t="s">
        <v>396</v>
      </c>
      <c r="BO121" s="391">
        <v>1</v>
      </c>
      <c r="BP121" s="392" t="s">
        <v>397</v>
      </c>
      <c r="BQ121" s="48"/>
      <c r="BR121" s="48"/>
      <c r="BS121" s="48"/>
      <c r="BT121" s="49"/>
      <c r="BV121" s="3">
        <v>1</v>
      </c>
    </row>
    <row r="122" spans="2:74" ht="21" customHeight="1">
      <c r="B122" s="104" t="s">
        <v>16</v>
      </c>
      <c r="C122" s="32" t="str">
        <f>C99</f>
        <v>N NOM DE VOTRE RECETTE | | Auteur &gt; VOUS</v>
      </c>
      <c r="D122" s="33">
        <f>D99</f>
        <v>18</v>
      </c>
      <c r="E122" s="32" t="str">
        <f>E99</f>
        <v>desserts</v>
      </c>
      <c r="F122" s="34" t="str">
        <f>F99</f>
        <v>Recette mère ► Saisir le nom de la recette principale</v>
      </c>
      <c r="G122" s="912">
        <v>0.25</v>
      </c>
      <c r="H122" s="912">
        <v>0.5</v>
      </c>
      <c r="I122" s="913">
        <v>0</v>
      </c>
      <c r="J122" s="914">
        <v>0.2</v>
      </c>
      <c r="K122" s="914">
        <v>0.1</v>
      </c>
      <c r="L122" s="914">
        <v>0.22500000000000001</v>
      </c>
      <c r="M122" s="914">
        <v>1.4999999999999999E-2</v>
      </c>
      <c r="N122" s="914">
        <v>4.9299999999999995E-3</v>
      </c>
      <c r="O122" s="914">
        <v>0.35</v>
      </c>
      <c r="P122" s="915">
        <v>0.25</v>
      </c>
      <c r="R122" s="104" t="s">
        <v>16</v>
      </c>
      <c r="S122" s="32" t="str">
        <f>S99</f>
        <v>N NAME OF YOUR RECIPE | |  Author &gt; YOU</v>
      </c>
      <c r="T122" s="33">
        <f>T99</f>
        <v>18</v>
      </c>
      <c r="U122" s="32" t="str">
        <f>U99</f>
        <v>desserts</v>
      </c>
      <c r="V122" s="34" t="str">
        <f>V99</f>
        <v>Master recipe ► Enter the main recipe name</v>
      </c>
      <c r="W122" s="912">
        <v>0.25</v>
      </c>
      <c r="X122" s="912">
        <v>0.5</v>
      </c>
      <c r="Y122" s="913">
        <v>0</v>
      </c>
      <c r="Z122" s="914">
        <v>0.2</v>
      </c>
      <c r="AA122" s="914">
        <v>0.1</v>
      </c>
      <c r="AB122" s="914">
        <v>0.22500000000000001</v>
      </c>
      <c r="AC122" s="914">
        <v>1.4999999999999999E-2</v>
      </c>
      <c r="AD122" s="914">
        <v>4.9299999999999995E-3</v>
      </c>
      <c r="AE122" s="914">
        <v>0.35</v>
      </c>
      <c r="AF122" s="915">
        <v>0.25</v>
      </c>
      <c r="AH122" s="104" t="s">
        <v>16</v>
      </c>
      <c r="AI122" s="32" t="str">
        <f>AI99</f>
        <v>N NOMBRE DE LA RECETA | | Autor &gt; USTED</v>
      </c>
      <c r="AJ122" s="33">
        <f>AJ99</f>
        <v>18</v>
      </c>
      <c r="AK122" s="32" t="str">
        <f>AK99</f>
        <v>postres</v>
      </c>
      <c r="AL122" s="34" t="str">
        <f>AL99</f>
        <v>Receta madre ► Introduzca el nombre de la receta principal</v>
      </c>
      <c r="AM122" s="912">
        <v>0.25</v>
      </c>
      <c r="AN122" s="912">
        <v>0.5</v>
      </c>
      <c r="AO122" s="913">
        <v>0</v>
      </c>
      <c r="AP122" s="914">
        <v>0.2</v>
      </c>
      <c r="AQ122" s="914">
        <v>0.1</v>
      </c>
      <c r="AR122" s="914">
        <v>0.22500000000000001</v>
      </c>
      <c r="AS122" s="914">
        <v>1.4999999999999999E-2</v>
      </c>
      <c r="AT122" s="914">
        <v>4.9299999999999995E-3</v>
      </c>
      <c r="AU122" s="914">
        <v>0.35</v>
      </c>
      <c r="AV122" s="915">
        <v>0.25</v>
      </c>
      <c r="AX122" s="5623"/>
      <c r="AY122" s="97">
        <v>2</v>
      </c>
      <c r="AZ122" s="392" t="s">
        <v>398</v>
      </c>
      <c r="BA122" s="48"/>
      <c r="BB122" s="48"/>
      <c r="BC122" s="48"/>
      <c r="BD122" s="49"/>
      <c r="BF122" s="5623"/>
      <c r="BG122" s="97">
        <v>2</v>
      </c>
      <c r="BH122" s="392" t="s">
        <v>399</v>
      </c>
      <c r="BI122" s="48"/>
      <c r="BJ122" s="48"/>
      <c r="BK122" s="48"/>
      <c r="BL122" s="49"/>
      <c r="BN122" s="5623"/>
      <c r="BO122" s="97">
        <v>2</v>
      </c>
      <c r="BP122" s="392" t="s">
        <v>400</v>
      </c>
      <c r="BQ122" s="48"/>
      <c r="BR122" s="48"/>
      <c r="BS122" s="48"/>
      <c r="BT122" s="49"/>
      <c r="BV122" s="3">
        <v>1</v>
      </c>
    </row>
    <row r="123" spans="2:74" ht="21" customHeight="1">
      <c r="B123" s="104" t="s">
        <v>16</v>
      </c>
      <c r="C123" s="32" t="str">
        <f>C99</f>
        <v>N NOM DE VOTRE RECETTE | | Auteur &gt; VOUS</v>
      </c>
      <c r="D123" s="33">
        <f>D99</f>
        <v>18</v>
      </c>
      <c r="E123" s="32" t="str">
        <f>E99</f>
        <v>desserts</v>
      </c>
      <c r="F123" s="34" t="str">
        <f>F99</f>
        <v>Recette mère ► Saisir le nom de la recette principale</v>
      </c>
      <c r="G123" s="154" t="str">
        <f>G100</f>
        <v>Col.6</v>
      </c>
      <c r="H123" s="154" t="str">
        <f>H100</f>
        <v>Col.7</v>
      </c>
      <c r="I123" s="155" t="s">
        <v>3295</v>
      </c>
      <c r="J123" s="155"/>
      <c r="K123" s="155"/>
      <c r="L123" s="155"/>
      <c r="M123" s="155"/>
      <c r="N123" s="155"/>
      <c r="O123" s="155"/>
      <c r="P123" s="1477"/>
      <c r="R123" s="104" t="s">
        <v>16</v>
      </c>
      <c r="S123" s="32" t="str">
        <f>S99</f>
        <v>N NAME OF YOUR RECIPE | |  Author &gt; YOU</v>
      </c>
      <c r="T123" s="33">
        <f>T99</f>
        <v>18</v>
      </c>
      <c r="U123" s="32" t="str">
        <f>U99</f>
        <v>desserts</v>
      </c>
      <c r="V123" s="34" t="str">
        <f>V99</f>
        <v>Master recipe ► Enter the main recipe name</v>
      </c>
      <c r="W123" s="154">
        <f>W109</f>
        <v>0</v>
      </c>
      <c r="X123" s="154">
        <f>X109</f>
        <v>0</v>
      </c>
      <c r="Y123" s="155" t="s">
        <v>3296</v>
      </c>
      <c r="Z123" s="155"/>
      <c r="AA123" s="155"/>
      <c r="AB123" s="155"/>
      <c r="AC123" s="155"/>
      <c r="AD123" s="155"/>
      <c r="AE123" s="155"/>
      <c r="AF123" s="1477"/>
      <c r="AH123" s="104" t="s">
        <v>16</v>
      </c>
      <c r="AI123" s="32" t="str">
        <f>AI99</f>
        <v>N NOMBRE DE LA RECETA | | Autor &gt; USTED</v>
      </c>
      <c r="AJ123" s="33">
        <f>AJ99</f>
        <v>18</v>
      </c>
      <c r="AK123" s="32" t="str">
        <f>AK99</f>
        <v>postres</v>
      </c>
      <c r="AL123" s="34" t="str">
        <f>AL99</f>
        <v>Receta madre ► Introduzca el nombre de la receta principal</v>
      </c>
      <c r="AM123" s="154" t="str">
        <f>AM100</f>
        <v>Col.6</v>
      </c>
      <c r="AN123" s="154" t="str">
        <f>AN100</f>
        <v>Col.7</v>
      </c>
      <c r="AO123" s="155" t="s">
        <v>3298</v>
      </c>
      <c r="AP123" s="155"/>
      <c r="AQ123" s="155"/>
      <c r="AR123" s="155"/>
      <c r="AS123" s="155"/>
      <c r="AT123" s="155"/>
      <c r="AU123" s="155"/>
      <c r="AV123" s="1477"/>
      <c r="AX123" s="5623"/>
      <c r="AY123" s="399" t="s">
        <v>401</v>
      </c>
      <c r="AZ123" s="400"/>
      <c r="BA123" s="48"/>
      <c r="BB123" s="48"/>
      <c r="BC123" s="48"/>
      <c r="BD123" s="49"/>
      <c r="BF123" s="5623"/>
      <c r="BG123" s="399" t="s">
        <v>402</v>
      </c>
      <c r="BH123" s="400"/>
      <c r="BI123" s="48"/>
      <c r="BJ123" s="48"/>
      <c r="BK123" s="48"/>
      <c r="BL123" s="49"/>
      <c r="BN123" s="5623"/>
      <c r="BO123" s="399" t="s">
        <v>403</v>
      </c>
      <c r="BP123" s="400"/>
      <c r="BQ123" s="48"/>
      <c r="BR123" s="48"/>
      <c r="BS123" s="48"/>
      <c r="BT123" s="49"/>
      <c r="BV123" s="3">
        <v>1</v>
      </c>
    </row>
    <row r="124" spans="2:74" ht="21" customHeight="1">
      <c r="B124" s="104" t="s">
        <v>16</v>
      </c>
      <c r="C124" s="157" t="str">
        <f>C99</f>
        <v>N NOM DE VOTRE RECETTE | | Auteur &gt; VOUS</v>
      </c>
      <c r="D124" s="157">
        <f>D99</f>
        <v>18</v>
      </c>
      <c r="E124" s="158" t="str">
        <f>E99</f>
        <v>desserts</v>
      </c>
      <c r="F124" s="159" t="str">
        <f>F99</f>
        <v>Recette mère ► Saisir le nom de la recette principale</v>
      </c>
      <c r="G124" s="160" t="s">
        <v>167</v>
      </c>
      <c r="H124" s="1483" t="s">
        <v>3328</v>
      </c>
      <c r="I124" s="162"/>
      <c r="J124" s="162"/>
      <c r="K124" s="172"/>
      <c r="L124" s="172"/>
      <c r="M124" s="172"/>
      <c r="N124" s="172"/>
      <c r="O124" s="156" t="s">
        <v>165</v>
      </c>
      <c r="P124" s="1484" t="s">
        <v>3276</v>
      </c>
      <c r="R124" s="104" t="s">
        <v>16</v>
      </c>
      <c r="S124" s="157" t="str">
        <f>S99</f>
        <v>N NAME OF YOUR RECIPE | |  Author &gt; YOU</v>
      </c>
      <c r="T124" s="157">
        <f>T99</f>
        <v>18</v>
      </c>
      <c r="U124" s="158" t="str">
        <f>U99</f>
        <v>desserts</v>
      </c>
      <c r="V124" s="159" t="str">
        <f>V99</f>
        <v>Master recipe ► Enter the main recipe name</v>
      </c>
      <c r="W124" s="232" t="s">
        <v>752</v>
      </c>
      <c r="X124" s="161" t="s">
        <v>3327</v>
      </c>
      <c r="Y124" s="162"/>
      <c r="Z124" s="162"/>
      <c r="AA124" s="172"/>
      <c r="AB124" s="172"/>
      <c r="AC124" s="172"/>
      <c r="AD124" s="172"/>
      <c r="AE124" s="156" t="s">
        <v>894</v>
      </c>
      <c r="AF124" s="1484" t="s">
        <v>3276</v>
      </c>
      <c r="AH124" s="104" t="s">
        <v>16</v>
      </c>
      <c r="AI124" s="157" t="str">
        <f>AI99</f>
        <v>N NOMBRE DE LA RECETA | | Autor &gt; USTED</v>
      </c>
      <c r="AJ124" s="157">
        <f>AJ99</f>
        <v>18</v>
      </c>
      <c r="AK124" s="158" t="str">
        <f>AK99</f>
        <v>postres</v>
      </c>
      <c r="AL124" s="159" t="str">
        <f>AL99</f>
        <v>Receta madre ► Introduzca el nombre de la receta principal</v>
      </c>
      <c r="AM124" s="232" t="s">
        <v>754</v>
      </c>
      <c r="AN124" s="161" t="s">
        <v>3325</v>
      </c>
      <c r="AO124" s="162"/>
      <c r="AP124" s="162"/>
      <c r="AQ124" s="172"/>
      <c r="AR124" s="172"/>
      <c r="AS124" s="172"/>
      <c r="AT124" s="172"/>
      <c r="AU124" s="905" t="s">
        <v>908</v>
      </c>
      <c r="AV124" s="1484" t="s">
        <v>3276</v>
      </c>
      <c r="AX124" s="5623"/>
      <c r="AY124" s="403" t="s">
        <v>404</v>
      </c>
      <c r="AZ124" s="404"/>
      <c r="BA124" s="48"/>
      <c r="BB124" s="48"/>
      <c r="BC124" s="48"/>
      <c r="BD124" s="49"/>
      <c r="BF124" s="5623"/>
      <c r="BG124" s="403" t="s">
        <v>405</v>
      </c>
      <c r="BH124" s="404"/>
      <c r="BI124" s="48"/>
      <c r="BJ124" s="48"/>
      <c r="BK124" s="48"/>
      <c r="BL124" s="49"/>
      <c r="BN124" s="5623"/>
      <c r="BO124" s="403" t="s">
        <v>406</v>
      </c>
      <c r="BP124" s="404"/>
      <c r="BQ124" s="48"/>
      <c r="BR124" s="48"/>
      <c r="BS124" s="48"/>
      <c r="BT124" s="49"/>
      <c r="BV124" s="3">
        <v>1</v>
      </c>
    </row>
    <row r="125" spans="2:74" ht="21" customHeight="1">
      <c r="B125" s="104" t="s">
        <v>16</v>
      </c>
      <c r="C125" s="157" t="str">
        <f>C99</f>
        <v>N NOM DE VOTRE RECETTE | | Auteur &gt; VOUS</v>
      </c>
      <c r="D125" s="157">
        <f>D99</f>
        <v>18</v>
      </c>
      <c r="E125" s="158" t="str">
        <f>E99</f>
        <v>desserts</v>
      </c>
      <c r="F125" s="159" t="str">
        <f>F99</f>
        <v>Recette mère ► Saisir le nom de la recette principale</v>
      </c>
      <c r="G125" s="172"/>
      <c r="H125" s="172"/>
      <c r="I125" s="172"/>
      <c r="J125" s="172"/>
      <c r="K125" s="172"/>
      <c r="L125" s="172"/>
      <c r="M125" s="172"/>
      <c r="N125" s="172"/>
      <c r="O125" s="1474" t="s">
        <v>168</v>
      </c>
      <c r="P125" s="1482" t="s">
        <v>668</v>
      </c>
      <c r="Q125" s="555"/>
      <c r="R125" s="104" t="s">
        <v>16</v>
      </c>
      <c r="S125" s="157" t="str">
        <f>S99</f>
        <v>N NAME OF YOUR RECIPE | |  Author &gt; YOU</v>
      </c>
      <c r="T125" s="157">
        <f>T99</f>
        <v>18</v>
      </c>
      <c r="U125" s="158" t="str">
        <f>U99</f>
        <v>desserts</v>
      </c>
      <c r="V125" s="159" t="str">
        <f>V99</f>
        <v>Master recipe ► Enter the main recipe name</v>
      </c>
      <c r="W125" s="172"/>
      <c r="X125" s="172"/>
      <c r="Y125" s="172"/>
      <c r="Z125" s="172"/>
      <c r="AA125" s="172"/>
      <c r="AB125" s="172"/>
      <c r="AC125" s="172"/>
      <c r="AD125" s="172"/>
      <c r="AE125" s="1474" t="s">
        <v>895</v>
      </c>
      <c r="AF125" s="1482" t="s">
        <v>668</v>
      </c>
      <c r="AH125" s="104" t="s">
        <v>16</v>
      </c>
      <c r="AI125" s="157" t="str">
        <f>AI99</f>
        <v>N NOMBRE DE LA RECETA | | Autor &gt; USTED</v>
      </c>
      <c r="AJ125" s="157">
        <f>AJ99</f>
        <v>18</v>
      </c>
      <c r="AK125" s="158" t="str">
        <f>AK99</f>
        <v>postres</v>
      </c>
      <c r="AL125" s="159" t="str">
        <f>AL99</f>
        <v>Receta madre ► Introduzca el nombre de la receta principal</v>
      </c>
      <c r="AM125" s="172"/>
      <c r="AN125" s="172"/>
      <c r="AO125" s="172"/>
      <c r="AP125" s="172"/>
      <c r="AQ125" s="172"/>
      <c r="AR125" s="172"/>
      <c r="AS125" s="172"/>
      <c r="AT125" s="172"/>
      <c r="AU125" s="1474" t="s">
        <v>909</v>
      </c>
      <c r="AV125" s="1482" t="s">
        <v>668</v>
      </c>
      <c r="AX125" s="5623"/>
      <c r="AY125" s="403" t="s">
        <v>407</v>
      </c>
      <c r="AZ125" s="404"/>
      <c r="BA125" s="48"/>
      <c r="BB125" s="48"/>
      <c r="BC125" s="48"/>
      <c r="BD125" s="49"/>
      <c r="BF125" s="5623"/>
      <c r="BG125" s="403" t="s">
        <v>408</v>
      </c>
      <c r="BH125" s="404"/>
      <c r="BI125" s="48"/>
      <c r="BJ125" s="48"/>
      <c r="BK125" s="48"/>
      <c r="BL125" s="49"/>
      <c r="BN125" s="5623"/>
      <c r="BO125" s="403" t="s">
        <v>409</v>
      </c>
      <c r="BP125" s="404"/>
      <c r="BQ125" s="48"/>
      <c r="BR125" s="48"/>
      <c r="BS125" s="48"/>
      <c r="BT125" s="49"/>
      <c r="BV125" s="3">
        <v>1</v>
      </c>
    </row>
    <row r="126" spans="2:74" ht="21" customHeight="1">
      <c r="B126" s="104" t="s">
        <v>16</v>
      </c>
      <c r="C126" s="157" t="str">
        <f>C99</f>
        <v>N NOM DE VOTRE RECETTE | | Auteur &gt; VOUS</v>
      </c>
      <c r="D126" s="157">
        <f>D99</f>
        <v>18</v>
      </c>
      <c r="E126" s="158" t="str">
        <f>E99</f>
        <v>desserts</v>
      </c>
      <c r="F126" s="159" t="str">
        <f>F99</f>
        <v>Recette mère ► Saisir le nom de la recette principale</v>
      </c>
      <c r="G126" s="172"/>
      <c r="H126" s="172"/>
      <c r="I126" s="172"/>
      <c r="J126" s="172"/>
      <c r="K126" s="172"/>
      <c r="L126" s="172"/>
      <c r="M126" s="172"/>
      <c r="N126" s="172"/>
      <c r="O126" s="172"/>
      <c r="P126" s="555"/>
      <c r="Q126" s="555"/>
      <c r="R126" s="104" t="s">
        <v>16</v>
      </c>
      <c r="S126" s="157" t="str">
        <f>S99</f>
        <v>N NAME OF YOUR RECIPE | |  Author &gt; YOU</v>
      </c>
      <c r="T126" s="157">
        <f>T99</f>
        <v>18</v>
      </c>
      <c r="U126" s="158" t="str">
        <f>U99</f>
        <v>desserts</v>
      </c>
      <c r="V126" s="159" t="str">
        <f>V99</f>
        <v>Master recipe ► Enter the main recipe name</v>
      </c>
      <c r="W126" s="172"/>
      <c r="X126" s="172"/>
      <c r="Y126" s="172"/>
      <c r="Z126" s="172"/>
      <c r="AA126" s="172"/>
      <c r="AB126" s="172"/>
      <c r="AC126" s="172"/>
      <c r="AD126" s="172"/>
      <c r="AE126" s="172"/>
      <c r="AF126" s="555"/>
      <c r="AH126" s="104" t="s">
        <v>16</v>
      </c>
      <c r="AI126" s="157" t="str">
        <f>AI99</f>
        <v>N NOMBRE DE LA RECETA | | Autor &gt; USTED</v>
      </c>
      <c r="AJ126" s="157">
        <f>AJ99</f>
        <v>18</v>
      </c>
      <c r="AK126" s="158" t="str">
        <f>AK99</f>
        <v>postres</v>
      </c>
      <c r="AL126" s="159" t="str">
        <f>AL99</f>
        <v>Receta madre ► Introduzca el nombre de la receta principal</v>
      </c>
      <c r="AM126" s="172"/>
      <c r="AN126" s="172"/>
      <c r="AO126" s="172"/>
      <c r="AP126" s="172"/>
      <c r="AQ126" s="172"/>
      <c r="AR126" s="172"/>
      <c r="AS126" s="172"/>
      <c r="AT126" s="172"/>
      <c r="AU126" s="172"/>
      <c r="AV126" s="555"/>
      <c r="AX126" s="5623"/>
      <c r="AY126" s="146" t="s">
        <v>411</v>
      </c>
      <c r="AZ126" s="404"/>
      <c r="BA126" s="48"/>
      <c r="BB126" s="48"/>
      <c r="BC126" s="48"/>
      <c r="BD126" s="49"/>
      <c r="BF126" s="5623"/>
      <c r="BG126" s="146" t="s">
        <v>412</v>
      </c>
      <c r="BH126" s="404"/>
      <c r="BI126" s="48"/>
      <c r="BJ126" s="48"/>
      <c r="BK126" s="48"/>
      <c r="BL126" s="49"/>
      <c r="BN126" s="5623"/>
      <c r="BO126" s="146" t="s">
        <v>413</v>
      </c>
      <c r="BP126" s="404"/>
      <c r="BQ126" s="48"/>
      <c r="BR126" s="48"/>
      <c r="BS126" s="48"/>
      <c r="BT126" s="49"/>
      <c r="BV126" s="3">
        <v>1</v>
      </c>
    </row>
    <row r="127" spans="2:74" ht="21" customHeight="1">
      <c r="B127" s="104" t="s">
        <v>16</v>
      </c>
      <c r="C127" s="157" t="str">
        <f>C99</f>
        <v>N NOM DE VOTRE RECETTE | | Auteur &gt; VOUS</v>
      </c>
      <c r="D127" s="157">
        <f>D99</f>
        <v>18</v>
      </c>
      <c r="E127" s="158" t="str">
        <f>E99</f>
        <v>desserts</v>
      </c>
      <c r="F127" s="159" t="str">
        <f>F99</f>
        <v>Recette mère ► Saisir le nom de la recette principale</v>
      </c>
      <c r="G127" s="172"/>
      <c r="H127" s="172"/>
      <c r="I127" s="172"/>
      <c r="J127" s="172"/>
      <c r="K127" s="172"/>
      <c r="L127" s="172"/>
      <c r="M127" s="172"/>
      <c r="N127" s="172"/>
      <c r="O127" s="170" t="s">
        <v>172</v>
      </c>
      <c r="P127" s="171">
        <v>3.472222222222222E-3</v>
      </c>
      <c r="Q127" s="555"/>
      <c r="R127" s="104" t="s">
        <v>16</v>
      </c>
      <c r="S127" s="157" t="str">
        <f>S99</f>
        <v>N NAME OF YOUR RECIPE | |  Author &gt; YOU</v>
      </c>
      <c r="T127" s="157">
        <f>T99</f>
        <v>18</v>
      </c>
      <c r="U127" s="158" t="str">
        <f>U99</f>
        <v>desserts</v>
      </c>
      <c r="V127" s="159" t="str">
        <f>V99</f>
        <v>Master recipe ► Enter the main recipe name</v>
      </c>
      <c r="W127" s="172"/>
      <c r="X127" s="172"/>
      <c r="Y127" s="172"/>
      <c r="Z127" s="172"/>
      <c r="AA127" s="172"/>
      <c r="AB127" s="172"/>
      <c r="AC127" s="172"/>
      <c r="AD127" s="172"/>
      <c r="AE127" s="170" t="s">
        <v>676</v>
      </c>
      <c r="AF127" s="171">
        <v>3.472222222222222E-3</v>
      </c>
      <c r="AH127" s="104" t="s">
        <v>16</v>
      </c>
      <c r="AI127" s="157" t="str">
        <f>AI99</f>
        <v>N NOMBRE DE LA RECETA | | Autor &gt; USTED</v>
      </c>
      <c r="AJ127" s="157">
        <f>AJ99</f>
        <v>18</v>
      </c>
      <c r="AK127" s="158" t="str">
        <f>AK99</f>
        <v>postres</v>
      </c>
      <c r="AL127" s="159" t="str">
        <f>AL99</f>
        <v>Receta madre ► Introduzca el nombre de la receta principal</v>
      </c>
      <c r="AM127" s="172"/>
      <c r="AN127" s="172"/>
      <c r="AO127" s="172"/>
      <c r="AP127" s="172"/>
      <c r="AQ127" s="172"/>
      <c r="AR127" s="172"/>
      <c r="AS127" s="172"/>
      <c r="AT127" s="172"/>
      <c r="AU127" s="170" t="s">
        <v>677</v>
      </c>
      <c r="AV127" s="171">
        <v>3.472222222222222E-3</v>
      </c>
      <c r="AX127" s="5623"/>
      <c r="AY127" s="410" t="s">
        <v>415</v>
      </c>
      <c r="AZ127" s="404"/>
      <c r="BA127" s="48"/>
      <c r="BB127" s="48"/>
      <c r="BC127" s="48"/>
      <c r="BD127" s="49"/>
      <c r="BF127" s="5623"/>
      <c r="BG127" s="410" t="s">
        <v>416</v>
      </c>
      <c r="BH127" s="404"/>
      <c r="BI127" s="48"/>
      <c r="BJ127" s="48"/>
      <c r="BK127" s="48"/>
      <c r="BL127" s="49"/>
      <c r="BN127" s="5623"/>
      <c r="BO127" s="410" t="s">
        <v>417</v>
      </c>
      <c r="BP127" s="404"/>
      <c r="BQ127" s="48"/>
      <c r="BR127" s="48"/>
      <c r="BS127" s="48"/>
      <c r="BT127" s="49"/>
      <c r="BV127" s="3">
        <v>1</v>
      </c>
    </row>
    <row r="128" spans="2:74" ht="21" customHeight="1">
      <c r="B128" s="104" t="s">
        <v>16</v>
      </c>
      <c r="C128" s="157" t="str">
        <f>C99</f>
        <v>N NOM DE VOTRE RECETTE | | Auteur &gt; VOUS</v>
      </c>
      <c r="D128" s="157">
        <f>D99</f>
        <v>18</v>
      </c>
      <c r="E128" s="158" t="str">
        <f>E99</f>
        <v>desserts</v>
      </c>
      <c r="F128" s="159" t="str">
        <f>F99</f>
        <v>Recette mère ► Saisir le nom de la recette principale</v>
      </c>
      <c r="G128" s="172"/>
      <c r="H128" s="172"/>
      <c r="I128" s="172"/>
      <c r="J128" s="172"/>
      <c r="K128" s="172"/>
      <c r="L128" s="172"/>
      <c r="M128" s="172"/>
      <c r="N128" s="172"/>
      <c r="O128" s="170" t="s">
        <v>174</v>
      </c>
      <c r="P128" s="174">
        <v>3.472222222222222E-3</v>
      </c>
      <c r="Q128" s="555"/>
      <c r="R128" s="104" t="s">
        <v>16</v>
      </c>
      <c r="S128" s="157" t="str">
        <f>S99</f>
        <v>N NAME OF YOUR RECIPE | |  Author &gt; YOU</v>
      </c>
      <c r="T128" s="157">
        <f>T99</f>
        <v>18</v>
      </c>
      <c r="U128" s="158" t="str">
        <f>U99</f>
        <v>desserts</v>
      </c>
      <c r="V128" s="159" t="str">
        <f>V99</f>
        <v>Master recipe ► Enter the main recipe name</v>
      </c>
      <c r="W128" s="172"/>
      <c r="X128" s="172"/>
      <c r="Y128" s="172"/>
      <c r="Z128" s="172"/>
      <c r="AA128" s="172"/>
      <c r="AB128" s="172"/>
      <c r="AC128" s="172"/>
      <c r="AD128" s="172"/>
      <c r="AE128" s="170" t="s">
        <v>682</v>
      </c>
      <c r="AF128" s="174">
        <v>3.472222222222222E-3</v>
      </c>
      <c r="AH128" s="104" t="s">
        <v>16</v>
      </c>
      <c r="AI128" s="157" t="str">
        <f>AI99</f>
        <v>N NOMBRE DE LA RECETA | | Autor &gt; USTED</v>
      </c>
      <c r="AJ128" s="157">
        <f>AJ99</f>
        <v>18</v>
      </c>
      <c r="AK128" s="158" t="str">
        <f>AK99</f>
        <v>postres</v>
      </c>
      <c r="AL128" s="159" t="str">
        <f>AL99</f>
        <v>Receta madre ► Introduzca el nombre de la receta principal</v>
      </c>
      <c r="AM128" s="172"/>
      <c r="AN128" s="172"/>
      <c r="AO128" s="172"/>
      <c r="AP128" s="172"/>
      <c r="AQ128" s="172"/>
      <c r="AR128" s="172"/>
      <c r="AS128" s="172"/>
      <c r="AT128" s="172"/>
      <c r="AU128" s="170" t="s">
        <v>683</v>
      </c>
      <c r="AV128" s="174">
        <v>3.472222222222222E-3</v>
      </c>
      <c r="AX128" s="5623"/>
      <c r="AY128" s="403" t="s">
        <v>419</v>
      </c>
      <c r="AZ128" s="411"/>
      <c r="BA128" s="48"/>
      <c r="BB128" s="48"/>
      <c r="BC128" s="48"/>
      <c r="BD128" s="49"/>
      <c r="BF128" s="5623"/>
      <c r="BG128" s="403" t="s">
        <v>420</v>
      </c>
      <c r="BH128" s="411"/>
      <c r="BI128" s="48"/>
      <c r="BJ128" s="48"/>
      <c r="BK128" s="48"/>
      <c r="BL128" s="49"/>
      <c r="BN128" s="5623"/>
      <c r="BO128" s="403" t="s">
        <v>421</v>
      </c>
      <c r="BP128" s="411"/>
      <c r="BQ128" s="48"/>
      <c r="BR128" s="48"/>
      <c r="BS128" s="48"/>
      <c r="BT128" s="49"/>
      <c r="BV128" s="3">
        <v>1</v>
      </c>
    </row>
    <row r="129" spans="2:74" ht="21" customHeight="1">
      <c r="B129" s="104" t="s">
        <v>16</v>
      </c>
      <c r="C129" s="157" t="str">
        <f>C99</f>
        <v>N NOM DE VOTRE RECETTE | | Auteur &gt; VOUS</v>
      </c>
      <c r="D129" s="157">
        <f>D99</f>
        <v>18</v>
      </c>
      <c r="E129" s="158" t="str">
        <f>E99</f>
        <v>desserts</v>
      </c>
      <c r="F129" s="159" t="str">
        <f>F99</f>
        <v>Recette mère ► Saisir le nom de la recette principale</v>
      </c>
      <c r="G129" s="172"/>
      <c r="H129" s="172"/>
      <c r="I129" s="172"/>
      <c r="J129" s="172"/>
      <c r="K129" s="172"/>
      <c r="L129" s="172"/>
      <c r="M129" s="172"/>
      <c r="N129" s="172"/>
      <c r="O129" s="170" t="s">
        <v>182</v>
      </c>
      <c r="P129" s="175">
        <v>3.472222222222222E-3</v>
      </c>
      <c r="Q129" s="555"/>
      <c r="R129" s="104" t="s">
        <v>16</v>
      </c>
      <c r="S129" s="157" t="str">
        <f>S99</f>
        <v>N NAME OF YOUR RECIPE | |  Author &gt; YOU</v>
      </c>
      <c r="T129" s="157">
        <f>T99</f>
        <v>18</v>
      </c>
      <c r="U129" s="158" t="str">
        <f>U99</f>
        <v>desserts</v>
      </c>
      <c r="V129" s="159" t="str">
        <f>V99</f>
        <v>Master recipe ► Enter the main recipe name</v>
      </c>
      <c r="W129" s="172"/>
      <c r="X129" s="172"/>
      <c r="Y129" s="172"/>
      <c r="Z129" s="172"/>
      <c r="AA129" s="172"/>
      <c r="AB129" s="172"/>
      <c r="AC129" s="172"/>
      <c r="AD129" s="172"/>
      <c r="AE129" s="170" t="s">
        <v>684</v>
      </c>
      <c r="AF129" s="175">
        <v>3.472222222222222E-3</v>
      </c>
      <c r="AH129" s="104" t="s">
        <v>16</v>
      </c>
      <c r="AI129" s="157" t="str">
        <f>AI99</f>
        <v>N NOMBRE DE LA RECETA | | Autor &gt; USTED</v>
      </c>
      <c r="AJ129" s="157">
        <f>AJ99</f>
        <v>18</v>
      </c>
      <c r="AK129" s="158" t="str">
        <f>AK99</f>
        <v>postres</v>
      </c>
      <c r="AL129" s="159" t="str">
        <f>AL99</f>
        <v>Receta madre ► Introduzca el nombre de la receta principal</v>
      </c>
      <c r="AM129" s="172"/>
      <c r="AN129" s="172"/>
      <c r="AO129" s="172"/>
      <c r="AP129" s="172"/>
      <c r="AQ129" s="172"/>
      <c r="AR129" s="172"/>
      <c r="AS129" s="172"/>
      <c r="AT129" s="172"/>
      <c r="AU129" s="170" t="s">
        <v>911</v>
      </c>
      <c r="AV129" s="175">
        <v>3.472222222222222E-3</v>
      </c>
      <c r="AX129" s="47"/>
      <c r="AY129" s="48"/>
      <c r="AZ129" s="48"/>
      <c r="BA129" s="48"/>
      <c r="BB129" s="48"/>
      <c r="BC129" s="48"/>
      <c r="BD129" s="49"/>
      <c r="BF129" s="47"/>
      <c r="BG129" s="48"/>
      <c r="BH129" s="48"/>
      <c r="BI129" s="48"/>
      <c r="BJ129" s="48"/>
      <c r="BK129" s="48"/>
      <c r="BL129" s="49"/>
      <c r="BN129" s="47"/>
      <c r="BO129" s="48"/>
      <c r="BP129" s="48"/>
      <c r="BQ129" s="48"/>
      <c r="BR129" s="48"/>
      <c r="BS129" s="48"/>
      <c r="BT129" s="49"/>
      <c r="BV129" s="3">
        <v>1</v>
      </c>
    </row>
    <row r="130" spans="2:74" ht="21" customHeight="1">
      <c r="B130" s="104" t="s">
        <v>16</v>
      </c>
      <c r="C130" s="157" t="str">
        <f>C99</f>
        <v>N NOM DE VOTRE RECETTE | | Auteur &gt; VOUS</v>
      </c>
      <c r="D130" s="157">
        <f>D99</f>
        <v>18</v>
      </c>
      <c r="E130" s="158" t="str">
        <f>E99</f>
        <v>desserts</v>
      </c>
      <c r="F130" s="159" t="str">
        <f>F99</f>
        <v>Recette mère ► Saisir le nom de la recette principale</v>
      </c>
      <c r="G130" s="172"/>
      <c r="H130" s="172"/>
      <c r="I130" s="172"/>
      <c r="J130" s="172"/>
      <c r="K130" s="172"/>
      <c r="L130" s="172"/>
      <c r="M130" s="172"/>
      <c r="N130" s="172"/>
      <c r="O130" s="176" t="s">
        <v>183</v>
      </c>
      <c r="P130" s="177">
        <f>P127+P128+P129</f>
        <v>1.0416666666666666E-2</v>
      </c>
      <c r="Q130" s="555"/>
      <c r="R130" s="104" t="s">
        <v>16</v>
      </c>
      <c r="S130" s="157" t="str">
        <f>S99</f>
        <v>N NAME OF YOUR RECIPE | |  Author &gt; YOU</v>
      </c>
      <c r="T130" s="157">
        <f>T99</f>
        <v>18</v>
      </c>
      <c r="U130" s="158" t="str">
        <f>U99</f>
        <v>desserts</v>
      </c>
      <c r="V130" s="159" t="str">
        <f>V99</f>
        <v>Master recipe ► Enter the main recipe name</v>
      </c>
      <c r="W130" s="172"/>
      <c r="X130" s="172"/>
      <c r="Y130" s="172"/>
      <c r="Z130" s="172"/>
      <c r="AA130" s="172"/>
      <c r="AB130" s="172"/>
      <c r="AC130" s="172"/>
      <c r="AD130" s="172"/>
      <c r="AE130" s="176" t="s">
        <v>183</v>
      </c>
      <c r="AF130" s="177">
        <f>AF127+AF128+AF129</f>
        <v>1.0416666666666666E-2</v>
      </c>
      <c r="AH130" s="104" t="s">
        <v>16</v>
      </c>
      <c r="AI130" s="157" t="str">
        <f>AI99</f>
        <v>N NOMBRE DE LA RECETA | | Autor &gt; USTED</v>
      </c>
      <c r="AJ130" s="157">
        <f>AJ99</f>
        <v>18</v>
      </c>
      <c r="AK130" s="158" t="str">
        <f>AK99</f>
        <v>postres</v>
      </c>
      <c r="AL130" s="159" t="str">
        <f>AL99</f>
        <v>Receta madre ► Introduzca el nombre de la receta principal</v>
      </c>
      <c r="AM130" s="172"/>
      <c r="AN130" s="172"/>
      <c r="AO130" s="172"/>
      <c r="AP130" s="172"/>
      <c r="AQ130" s="172"/>
      <c r="AR130" s="172"/>
      <c r="AS130" s="172"/>
      <c r="AT130" s="172"/>
      <c r="AU130" s="176" t="s">
        <v>183</v>
      </c>
      <c r="AV130" s="177">
        <f>AV127+AV128+AV129</f>
        <v>1.0416666666666666E-2</v>
      </c>
      <c r="AX130" s="47"/>
      <c r="AY130" s="48"/>
      <c r="AZ130" s="48"/>
      <c r="BA130" s="48"/>
      <c r="BB130" s="48"/>
      <c r="BC130" s="48"/>
      <c r="BD130" s="49"/>
      <c r="BF130" s="47"/>
      <c r="BG130" s="48"/>
      <c r="BH130" s="48"/>
      <c r="BI130" s="48"/>
      <c r="BJ130" s="48"/>
      <c r="BK130" s="48"/>
      <c r="BL130" s="49"/>
      <c r="BN130" s="47"/>
      <c r="BO130" s="48"/>
      <c r="BP130" s="48"/>
      <c r="BQ130" s="48"/>
      <c r="BR130" s="48"/>
      <c r="BS130" s="48"/>
      <c r="BT130" s="49"/>
      <c r="BV130" s="3">
        <v>1</v>
      </c>
    </row>
    <row r="131" spans="2:74" ht="21" customHeight="1">
      <c r="B131" s="104" t="str">
        <f>IF(OR(G131&lt;&gt;"",H131&lt;&gt; "",I131&lt;&gt;"",J131&lt;&gt;""),"A", "►")</f>
        <v>►</v>
      </c>
      <c r="C131" s="157" t="str">
        <f>C99</f>
        <v>N NOM DE VOTRE RECETTE | | Auteur &gt; VOUS</v>
      </c>
      <c r="D131" s="157">
        <f>D99</f>
        <v>18</v>
      </c>
      <c r="E131" s="158" t="str">
        <f>E99</f>
        <v>desserts</v>
      </c>
      <c r="F131" s="159" t="str">
        <f>F99</f>
        <v>Recette mère ► Saisir le nom de la recette principale</v>
      </c>
      <c r="G131" s="172"/>
      <c r="H131" s="172"/>
      <c r="I131" s="172"/>
      <c r="J131" s="172"/>
      <c r="K131" s="172"/>
      <c r="L131" s="172"/>
      <c r="M131" s="172"/>
      <c r="N131" s="172"/>
      <c r="O131" s="172"/>
      <c r="P131" s="555"/>
      <c r="Q131" s="555"/>
      <c r="R131" s="104" t="str">
        <f>IF(OR(W131&lt;&gt;"",X131&lt;&gt; "",Y131&lt;&gt;"",Z131&lt;&gt;""),"A", "►")</f>
        <v>►</v>
      </c>
      <c r="S131" s="157" t="str">
        <f>S99</f>
        <v>N NAME OF YOUR RECIPE | |  Author &gt; YOU</v>
      </c>
      <c r="T131" s="157">
        <f>T99</f>
        <v>18</v>
      </c>
      <c r="U131" s="158" t="str">
        <f>U99</f>
        <v>desserts</v>
      </c>
      <c r="V131" s="159" t="str">
        <f>V99</f>
        <v>Master recipe ► Enter the main recipe name</v>
      </c>
      <c r="W131" s="172"/>
      <c r="X131" s="172"/>
      <c r="Y131" s="172"/>
      <c r="Z131" s="172"/>
      <c r="AA131" s="172"/>
      <c r="AB131" s="172"/>
      <c r="AC131" s="172"/>
      <c r="AD131" s="172"/>
      <c r="AE131" s="172"/>
      <c r="AF131" s="555"/>
      <c r="AH131" s="104" t="str">
        <f>IF(OR(AM131&lt;&gt;"",AN131&lt;&gt; "",AO131&lt;&gt;"",AP131&lt;&gt;""),"A", "►")</f>
        <v>►</v>
      </c>
      <c r="AI131" s="157" t="str">
        <f>AI99</f>
        <v>N NOMBRE DE LA RECETA | | Autor &gt; USTED</v>
      </c>
      <c r="AJ131" s="157">
        <f>AJ99</f>
        <v>18</v>
      </c>
      <c r="AK131" s="158" t="str">
        <f>AK99</f>
        <v>postres</v>
      </c>
      <c r="AL131" s="159" t="str">
        <f>AL99</f>
        <v>Receta madre ► Introduzca el nombre de la receta principal</v>
      </c>
      <c r="AM131" s="172"/>
      <c r="AN131" s="172"/>
      <c r="AO131" s="172"/>
      <c r="AP131" s="172"/>
      <c r="AQ131" s="172"/>
      <c r="AR131" s="172"/>
      <c r="AS131" s="172"/>
      <c r="AT131" s="172"/>
      <c r="AU131" s="172"/>
      <c r="AV131" s="555"/>
      <c r="AX131" s="47"/>
      <c r="AY131" s="48"/>
      <c r="AZ131" s="48"/>
      <c r="BA131" s="48"/>
      <c r="BB131" s="48"/>
      <c r="BC131" s="48"/>
      <c r="BD131" s="49"/>
      <c r="BF131" s="47"/>
      <c r="BG131" s="48"/>
      <c r="BH131" s="48"/>
      <c r="BI131" s="48"/>
      <c r="BJ131" s="48"/>
      <c r="BK131" s="48"/>
      <c r="BL131" s="49"/>
      <c r="BN131" s="47"/>
      <c r="BO131" s="48"/>
      <c r="BP131" s="48"/>
      <c r="BQ131" s="48"/>
      <c r="BR131" s="48"/>
      <c r="BS131" s="48"/>
      <c r="BT131" s="49"/>
      <c r="BV131" s="3">
        <v>1</v>
      </c>
    </row>
    <row r="132" spans="2:74" ht="21" customHeight="1">
      <c r="B132" s="104" t="str">
        <f>IF(OR(G132&lt;&gt;"",H132&lt;&gt; "",I132&lt;&gt;"",J132&lt;&gt;""),"A", "►")</f>
        <v>►</v>
      </c>
      <c r="C132" s="157" t="str">
        <f>C99</f>
        <v>N NOM DE VOTRE RECETTE | | Auteur &gt; VOUS</v>
      </c>
      <c r="D132" s="157">
        <f>D99</f>
        <v>18</v>
      </c>
      <c r="E132" s="158" t="str">
        <f>E99</f>
        <v>desserts</v>
      </c>
      <c r="F132" s="159" t="str">
        <f>F99</f>
        <v>Recette mère ► Saisir le nom de la recette principale</v>
      </c>
      <c r="G132" s="172"/>
      <c r="H132" s="172"/>
      <c r="I132" s="172"/>
      <c r="J132" s="172"/>
      <c r="K132" s="172"/>
      <c r="L132" s="172"/>
      <c r="M132" s="172"/>
      <c r="N132" s="172"/>
      <c r="O132" s="172"/>
      <c r="P132" s="555"/>
      <c r="Q132" s="555"/>
      <c r="R132" s="104" t="str">
        <f>IF(OR(W132&lt;&gt;"",X132&lt;&gt; "",Y132&lt;&gt;"",Z132&lt;&gt;""),"A", "►")</f>
        <v>►</v>
      </c>
      <c r="S132" s="157" t="str">
        <f>S99</f>
        <v>N NAME OF YOUR RECIPE | |  Author &gt; YOU</v>
      </c>
      <c r="T132" s="157">
        <f>T99</f>
        <v>18</v>
      </c>
      <c r="U132" s="158" t="str">
        <f>U99</f>
        <v>desserts</v>
      </c>
      <c r="V132" s="159" t="str">
        <f>V99</f>
        <v>Master recipe ► Enter the main recipe name</v>
      </c>
      <c r="W132" s="172"/>
      <c r="X132" s="172"/>
      <c r="Y132" s="172"/>
      <c r="Z132" s="172"/>
      <c r="AA132" s="172"/>
      <c r="AB132" s="172"/>
      <c r="AC132" s="172"/>
      <c r="AD132" s="172"/>
      <c r="AE132" s="172"/>
      <c r="AF132" s="555"/>
      <c r="AH132" s="104" t="str">
        <f>IF(OR(AM132&lt;&gt;"",AN132&lt;&gt; "",AO132&lt;&gt;"",AP132&lt;&gt;""),"A", "►")</f>
        <v>►</v>
      </c>
      <c r="AI132" s="157" t="str">
        <f>AI99</f>
        <v>N NOMBRE DE LA RECETA | | Autor &gt; USTED</v>
      </c>
      <c r="AJ132" s="157">
        <f>AJ99</f>
        <v>18</v>
      </c>
      <c r="AK132" s="158" t="str">
        <f>AK99</f>
        <v>postres</v>
      </c>
      <c r="AL132" s="159" t="str">
        <f>AL99</f>
        <v>Receta madre ► Introduzca el nombre de la receta principal</v>
      </c>
      <c r="AM132" s="172"/>
      <c r="AN132" s="172"/>
      <c r="AO132" s="172"/>
      <c r="AP132" s="172"/>
      <c r="AQ132" s="172"/>
      <c r="AR132" s="172"/>
      <c r="AS132" s="172"/>
      <c r="AT132" s="172"/>
      <c r="AU132" s="172"/>
      <c r="AV132" s="555"/>
      <c r="AX132" s="47"/>
      <c r="AY132" s="48"/>
      <c r="AZ132" s="48"/>
      <c r="BA132" s="48"/>
      <c r="BB132" s="48"/>
      <c r="BC132" s="48"/>
      <c r="BD132" s="49"/>
      <c r="BF132" s="47"/>
      <c r="BG132" s="48"/>
      <c r="BH132" s="48"/>
      <c r="BI132" s="48"/>
      <c r="BJ132" s="48"/>
      <c r="BK132" s="48"/>
      <c r="BL132" s="49"/>
      <c r="BN132" s="47"/>
      <c r="BO132" s="48"/>
      <c r="BP132" s="48"/>
      <c r="BQ132" s="48"/>
      <c r="BR132" s="48"/>
      <c r="BS132" s="48"/>
      <c r="BT132" s="49"/>
      <c r="BV132" s="3">
        <v>1</v>
      </c>
    </row>
    <row r="133" spans="2:74" ht="21" customHeight="1">
      <c r="B133" s="104" t="str">
        <f>IF(OR(G133&lt;&gt;"",H133&lt;&gt; "",I133&lt;&gt;"",J133&lt;&gt;""),"A", "►")</f>
        <v>►</v>
      </c>
      <c r="C133" s="157" t="str">
        <f>C99</f>
        <v>N NOM DE VOTRE RECETTE | | Auteur &gt; VOUS</v>
      </c>
      <c r="D133" s="157">
        <f>D99</f>
        <v>18</v>
      </c>
      <c r="E133" s="158" t="str">
        <f>E99</f>
        <v>desserts</v>
      </c>
      <c r="F133" s="159" t="str">
        <f>F99</f>
        <v>Recette mère ► Saisir le nom de la recette principale</v>
      </c>
      <c r="G133" s="172"/>
      <c r="H133" s="172"/>
      <c r="I133" s="172"/>
      <c r="J133" s="172"/>
      <c r="K133" s="172"/>
      <c r="L133" s="172"/>
      <c r="M133" s="172"/>
      <c r="N133" s="172"/>
      <c r="O133" s="172"/>
      <c r="P133" s="555"/>
      <c r="Q133" s="555"/>
      <c r="R133" s="104" t="str">
        <f>IF(OR(W133&lt;&gt;"",X133&lt;&gt; "",Y133&lt;&gt;"",Z133&lt;&gt;""),"A", "►")</f>
        <v>►</v>
      </c>
      <c r="S133" s="157" t="str">
        <f>S99</f>
        <v>N NAME OF YOUR RECIPE | |  Author &gt; YOU</v>
      </c>
      <c r="T133" s="157">
        <f>T99</f>
        <v>18</v>
      </c>
      <c r="U133" s="158" t="str">
        <f>U99</f>
        <v>desserts</v>
      </c>
      <c r="V133" s="159" t="str">
        <f>V99</f>
        <v>Master recipe ► Enter the main recipe name</v>
      </c>
      <c r="W133" s="172"/>
      <c r="X133" s="172"/>
      <c r="Y133" s="172"/>
      <c r="Z133" s="172"/>
      <c r="AA133" s="172"/>
      <c r="AB133" s="172"/>
      <c r="AC133" s="172"/>
      <c r="AD133" s="172"/>
      <c r="AE133" s="172"/>
      <c r="AF133" s="555"/>
      <c r="AH133" s="104" t="str">
        <f>IF(OR(AM133&lt;&gt;"",AN133&lt;&gt; "",AO133&lt;&gt;"",AP133&lt;&gt;""),"A", "►")</f>
        <v>►</v>
      </c>
      <c r="AI133" s="157" t="str">
        <f>AI99</f>
        <v>N NOMBRE DE LA RECETA | | Autor &gt; USTED</v>
      </c>
      <c r="AJ133" s="157">
        <f>AJ99</f>
        <v>18</v>
      </c>
      <c r="AK133" s="158" t="str">
        <f>AK99</f>
        <v>postres</v>
      </c>
      <c r="AL133" s="159" t="str">
        <f>AL99</f>
        <v>Receta madre ► Introduzca el nombre de la receta principal</v>
      </c>
      <c r="AM133" s="172"/>
      <c r="AN133" s="172"/>
      <c r="AO133" s="172"/>
      <c r="AP133" s="172"/>
      <c r="AQ133" s="172"/>
      <c r="AR133" s="172"/>
      <c r="AS133" s="172"/>
      <c r="AT133" s="172"/>
      <c r="AU133" s="172"/>
      <c r="AV133" s="555"/>
      <c r="AX133" s="47"/>
      <c r="AY133" s="48"/>
      <c r="AZ133" s="48"/>
      <c r="BA133" s="48"/>
      <c r="BB133" s="48"/>
      <c r="BC133" s="48"/>
      <c r="BD133" s="49"/>
      <c r="BF133" s="47"/>
      <c r="BG133" s="48"/>
      <c r="BH133" s="48"/>
      <c r="BI133" s="48"/>
      <c r="BJ133" s="48"/>
      <c r="BK133" s="48"/>
      <c r="BL133" s="49"/>
      <c r="BN133" s="47"/>
      <c r="BO133" s="48"/>
      <c r="BP133" s="48"/>
      <c r="BQ133" s="48"/>
      <c r="BR133" s="48"/>
      <c r="BS133" s="48"/>
      <c r="BT133" s="49"/>
      <c r="BV133" s="3">
        <v>1</v>
      </c>
    </row>
    <row r="134" spans="2:74" ht="21" customHeight="1">
      <c r="B134" s="104" t="str">
        <f>IF(OR(G134&lt;&gt;"",H134&lt;&gt; "",I134&lt;&gt;"",J134&lt;&gt;""),"A", "►")</f>
        <v>►</v>
      </c>
      <c r="C134" s="157" t="str">
        <f>C99</f>
        <v>N NOM DE VOTRE RECETTE | | Auteur &gt; VOUS</v>
      </c>
      <c r="D134" s="157">
        <f>D99</f>
        <v>18</v>
      </c>
      <c r="E134" s="158" t="str">
        <f>E99</f>
        <v>desserts</v>
      </c>
      <c r="F134" s="159" t="str">
        <f>F99</f>
        <v>Recette mère ► Saisir le nom de la recette principale</v>
      </c>
      <c r="G134" s="172"/>
      <c r="H134" s="172"/>
      <c r="I134" s="172"/>
      <c r="J134" s="172"/>
      <c r="K134" s="172"/>
      <c r="L134" s="172"/>
      <c r="M134" s="172"/>
      <c r="N134" s="172"/>
      <c r="O134" s="172"/>
      <c r="P134" s="555"/>
      <c r="Q134" s="555"/>
      <c r="R134" s="104" t="str">
        <f>IF(OR(W134&lt;&gt;"",X134&lt;&gt; "",Y134&lt;&gt;"",Z134&lt;&gt;""),"A", "►")</f>
        <v>►</v>
      </c>
      <c r="S134" s="157" t="str">
        <f>S99</f>
        <v>N NAME OF YOUR RECIPE | |  Author &gt; YOU</v>
      </c>
      <c r="T134" s="157">
        <f>T99</f>
        <v>18</v>
      </c>
      <c r="U134" s="158" t="str">
        <f>U99</f>
        <v>desserts</v>
      </c>
      <c r="V134" s="159" t="str">
        <f>V99</f>
        <v>Master recipe ► Enter the main recipe name</v>
      </c>
      <c r="W134" s="172"/>
      <c r="X134" s="172"/>
      <c r="Y134" s="172"/>
      <c r="Z134" s="172"/>
      <c r="AA134" s="172"/>
      <c r="AB134" s="172"/>
      <c r="AC134" s="172"/>
      <c r="AD134" s="172"/>
      <c r="AE134" s="172"/>
      <c r="AF134" s="555"/>
      <c r="AH134" s="104" t="str">
        <f>IF(OR(AM134&lt;&gt;"",AN134&lt;&gt; "",AO134&lt;&gt;"",AP134&lt;&gt;""),"A", "►")</f>
        <v>►</v>
      </c>
      <c r="AI134" s="157" t="str">
        <f>AI99</f>
        <v>N NOMBRE DE LA RECETA | | Autor &gt; USTED</v>
      </c>
      <c r="AJ134" s="157">
        <f>AJ99</f>
        <v>18</v>
      </c>
      <c r="AK134" s="158" t="str">
        <f>AK99</f>
        <v>postres</v>
      </c>
      <c r="AL134" s="159" t="str">
        <f>AL99</f>
        <v>Receta madre ► Introduzca el nombre de la receta principal</v>
      </c>
      <c r="AM134" s="172"/>
      <c r="AN134" s="172"/>
      <c r="AO134" s="172"/>
      <c r="AP134" s="172"/>
      <c r="AQ134" s="172"/>
      <c r="AR134" s="172"/>
      <c r="AS134" s="172"/>
      <c r="AT134" s="172"/>
      <c r="AU134" s="172"/>
      <c r="AV134" s="555"/>
      <c r="AX134" s="47"/>
      <c r="AY134" s="48"/>
      <c r="AZ134" s="48"/>
      <c r="BA134" s="48"/>
      <c r="BB134" s="48"/>
      <c r="BC134" s="48"/>
      <c r="BD134" s="49"/>
      <c r="BF134" s="47"/>
      <c r="BG134" s="48"/>
      <c r="BH134" s="48"/>
      <c r="BI134" s="48"/>
      <c r="BJ134" s="48"/>
      <c r="BK134" s="48"/>
      <c r="BL134" s="49"/>
      <c r="BN134" s="47"/>
      <c r="BO134" s="48"/>
      <c r="BP134" s="48"/>
      <c r="BQ134" s="48"/>
      <c r="BR134" s="48"/>
      <c r="BS134" s="48"/>
      <c r="BT134" s="49"/>
      <c r="BV134" s="3">
        <v>1</v>
      </c>
    </row>
    <row r="135" spans="2:74" ht="21" customHeight="1">
      <c r="B135" s="104" t="str">
        <f>IF(OR(G135&lt;&gt;"",H135&lt;&gt; "",I135&lt;&gt;"",J135&lt;&gt;""),"A", "►")</f>
        <v>►</v>
      </c>
      <c r="C135" s="157" t="str">
        <f>C99</f>
        <v>N NOM DE VOTRE RECETTE | | Auteur &gt; VOUS</v>
      </c>
      <c r="D135" s="157">
        <f>D99</f>
        <v>18</v>
      </c>
      <c r="E135" s="158" t="str">
        <f>E99</f>
        <v>desserts</v>
      </c>
      <c r="F135" s="159" t="str">
        <f>F99</f>
        <v>Recette mère ► Saisir le nom de la recette principale</v>
      </c>
      <c r="G135" s="172"/>
      <c r="H135" s="172"/>
      <c r="I135" s="172"/>
      <c r="J135" s="172"/>
      <c r="K135" s="172"/>
      <c r="L135" s="172"/>
      <c r="M135" s="172"/>
      <c r="N135" s="172"/>
      <c r="O135" s="172"/>
      <c r="P135" s="555"/>
      <c r="Q135" s="555"/>
      <c r="R135" s="104" t="str">
        <f>IF(OR(W135&lt;&gt;"",X135&lt;&gt; "",Y135&lt;&gt;"",Z135&lt;&gt;""),"A", "►")</f>
        <v>►</v>
      </c>
      <c r="S135" s="157" t="str">
        <f>S99</f>
        <v>N NAME OF YOUR RECIPE | |  Author &gt; YOU</v>
      </c>
      <c r="T135" s="157">
        <f>T99</f>
        <v>18</v>
      </c>
      <c r="U135" s="158" t="str">
        <f>U99</f>
        <v>desserts</v>
      </c>
      <c r="V135" s="159" t="str">
        <f>V99</f>
        <v>Master recipe ► Enter the main recipe name</v>
      </c>
      <c r="W135" s="172"/>
      <c r="X135" s="172"/>
      <c r="Y135" s="172"/>
      <c r="Z135" s="172"/>
      <c r="AA135" s="172"/>
      <c r="AB135" s="172"/>
      <c r="AC135" s="172"/>
      <c r="AD135" s="172"/>
      <c r="AE135" s="172"/>
      <c r="AF135" s="555"/>
      <c r="AH135" s="104" t="str">
        <f>IF(OR(AM135&lt;&gt;"",AN135&lt;&gt; "",AO135&lt;&gt;"",AP135&lt;&gt;""),"A", "►")</f>
        <v>►</v>
      </c>
      <c r="AI135" s="157" t="str">
        <f>AI99</f>
        <v>N NOMBRE DE LA RECETA | | Autor &gt; USTED</v>
      </c>
      <c r="AJ135" s="157">
        <f>AJ99</f>
        <v>18</v>
      </c>
      <c r="AK135" s="158" t="str">
        <f>AK99</f>
        <v>postres</v>
      </c>
      <c r="AL135" s="159" t="str">
        <f>AL99</f>
        <v>Receta madre ► Introduzca el nombre de la receta principal</v>
      </c>
      <c r="AM135" s="172"/>
      <c r="AN135" s="172"/>
      <c r="AO135" s="172"/>
      <c r="AP135" s="172"/>
      <c r="AQ135" s="172"/>
      <c r="AR135" s="172"/>
      <c r="AS135" s="172"/>
      <c r="AT135" s="172"/>
      <c r="AU135" s="172"/>
      <c r="AV135" s="555"/>
      <c r="AX135" s="47"/>
      <c r="AY135" s="48"/>
      <c r="AZ135" s="48"/>
      <c r="BA135" s="48"/>
      <c r="BB135" s="48"/>
      <c r="BC135" s="48"/>
      <c r="BD135" s="49"/>
      <c r="BF135" s="47"/>
      <c r="BG135" s="48"/>
      <c r="BH135" s="48"/>
      <c r="BI135" s="48"/>
      <c r="BJ135" s="48"/>
      <c r="BK135" s="48"/>
      <c r="BL135" s="49"/>
      <c r="BN135" s="47"/>
      <c r="BO135" s="48"/>
      <c r="BP135" s="48"/>
      <c r="BQ135" s="48"/>
      <c r="BR135" s="48"/>
      <c r="BS135" s="48"/>
      <c r="BT135" s="49"/>
      <c r="BV135" s="3">
        <v>1</v>
      </c>
    </row>
    <row r="136" spans="2:74" ht="21" customHeight="1">
      <c r="B136" s="196" t="s">
        <v>16</v>
      </c>
      <c r="C136" s="157" t="str">
        <f>C99</f>
        <v>N NOM DE VOTRE RECETTE | | Auteur &gt; VOUS</v>
      </c>
      <c r="D136" s="157">
        <f>D99</f>
        <v>18</v>
      </c>
      <c r="E136" s="158" t="str">
        <f>E99</f>
        <v>desserts</v>
      </c>
      <c r="F136" s="159" t="str">
        <f>F99</f>
        <v>Recette mère ► Saisir le nom de la recette principale</v>
      </c>
      <c r="G136" s="172"/>
      <c r="H136" s="172"/>
      <c r="I136" s="172"/>
      <c r="J136" s="172"/>
      <c r="K136" s="172"/>
      <c r="L136" s="172"/>
      <c r="M136" s="172"/>
      <c r="N136" s="172"/>
      <c r="O136" s="172"/>
      <c r="P136" s="555"/>
      <c r="Q136" s="555"/>
      <c r="R136" s="196" t="s">
        <v>16</v>
      </c>
      <c r="S136" s="157" t="str">
        <f>S99</f>
        <v>N NAME OF YOUR RECIPE | |  Author &gt; YOU</v>
      </c>
      <c r="T136" s="157">
        <f>T99</f>
        <v>18</v>
      </c>
      <c r="U136" s="158" t="str">
        <f>U99</f>
        <v>desserts</v>
      </c>
      <c r="V136" s="159" t="str">
        <f>V99</f>
        <v>Master recipe ► Enter the main recipe name</v>
      </c>
      <c r="W136" s="172"/>
      <c r="X136" s="172"/>
      <c r="Y136" s="172"/>
      <c r="Z136" s="172"/>
      <c r="AA136" s="172"/>
      <c r="AB136" s="172"/>
      <c r="AC136" s="172"/>
      <c r="AD136" s="172"/>
      <c r="AE136" s="172"/>
      <c r="AF136" s="555"/>
      <c r="AH136" s="196" t="s">
        <v>16</v>
      </c>
      <c r="AI136" s="157" t="str">
        <f>AI99</f>
        <v>N NOMBRE DE LA RECETA | | Autor &gt; USTED</v>
      </c>
      <c r="AJ136" s="157">
        <f>AJ99</f>
        <v>18</v>
      </c>
      <c r="AK136" s="158" t="str">
        <f>AK99</f>
        <v>postres</v>
      </c>
      <c r="AL136" s="159" t="str">
        <f>AL99</f>
        <v>Receta madre ► Introduzca el nombre de la receta principal</v>
      </c>
      <c r="AM136" s="172"/>
      <c r="AN136" s="172"/>
      <c r="AO136" s="172"/>
      <c r="AP136" s="172"/>
      <c r="AQ136" s="172"/>
      <c r="AR136" s="172"/>
      <c r="AS136" s="172"/>
      <c r="AT136" s="172"/>
      <c r="AU136" s="172"/>
      <c r="AV136" s="555"/>
      <c r="AX136" s="47"/>
      <c r="AY136" s="48"/>
      <c r="AZ136" s="48"/>
      <c r="BA136" s="48"/>
      <c r="BB136" s="48"/>
      <c r="BC136" s="48"/>
      <c r="BD136" s="49"/>
      <c r="BF136" s="47"/>
      <c r="BG136" s="48"/>
      <c r="BH136" s="48"/>
      <c r="BI136" s="48"/>
      <c r="BJ136" s="48"/>
      <c r="BK136" s="48"/>
      <c r="BL136" s="49"/>
      <c r="BN136" s="47"/>
      <c r="BO136" s="48"/>
      <c r="BP136" s="48"/>
      <c r="BQ136" s="48"/>
      <c r="BR136" s="48"/>
      <c r="BS136" s="48"/>
      <c r="BT136" s="49"/>
      <c r="BV136" s="3">
        <v>1</v>
      </c>
    </row>
    <row r="137" spans="2:74" ht="21" customHeight="1">
      <c r="B137" s="196" t="s">
        <v>11</v>
      </c>
      <c r="C137" s="157" t="str">
        <f>C99</f>
        <v>N NOM DE VOTRE RECETTE | | Auteur &gt; VOUS</v>
      </c>
      <c r="D137" s="157">
        <f>D99</f>
        <v>18</v>
      </c>
      <c r="E137" s="158" t="str">
        <f>E99</f>
        <v>desserts</v>
      </c>
      <c r="F137" s="159" t="str">
        <f>F99</f>
        <v>Recette mère ► Saisir le nom de la recette principale</v>
      </c>
      <c r="G137" s="172"/>
      <c r="H137" s="172"/>
      <c r="I137" s="172"/>
      <c r="J137" s="172"/>
      <c r="K137" s="172"/>
      <c r="L137" s="172"/>
      <c r="M137" s="172"/>
      <c r="N137" s="172"/>
      <c r="O137" s="172"/>
      <c r="P137" s="555"/>
      <c r="Q137" s="555"/>
      <c r="R137" s="196" t="s">
        <v>11</v>
      </c>
      <c r="S137" s="157" t="str">
        <f>S99</f>
        <v>N NAME OF YOUR RECIPE | |  Author &gt; YOU</v>
      </c>
      <c r="T137" s="157">
        <f>T99</f>
        <v>18</v>
      </c>
      <c r="U137" s="158" t="str">
        <f>U99</f>
        <v>desserts</v>
      </c>
      <c r="V137" s="159" t="str">
        <f>V99</f>
        <v>Master recipe ► Enter the main recipe name</v>
      </c>
      <c r="W137" s="172"/>
      <c r="X137" s="172"/>
      <c r="Y137" s="172"/>
      <c r="Z137" s="172"/>
      <c r="AA137" s="172"/>
      <c r="AB137" s="172"/>
      <c r="AC137" s="172"/>
      <c r="AD137" s="172"/>
      <c r="AE137" s="172"/>
      <c r="AF137" s="555"/>
      <c r="AH137" s="196" t="s">
        <v>11</v>
      </c>
      <c r="AI137" s="157" t="str">
        <f>AI99</f>
        <v>N NOMBRE DE LA RECETA | | Autor &gt; USTED</v>
      </c>
      <c r="AJ137" s="157">
        <f>AJ99</f>
        <v>18</v>
      </c>
      <c r="AK137" s="158" t="str">
        <f>AK99</f>
        <v>postres</v>
      </c>
      <c r="AL137" s="159" t="str">
        <f>AL99</f>
        <v>Receta madre ► Introduzca el nombre de la receta principal</v>
      </c>
      <c r="AM137" s="172"/>
      <c r="AN137" s="172"/>
      <c r="AO137" s="172"/>
      <c r="AP137" s="172"/>
      <c r="AQ137" s="172"/>
      <c r="AR137" s="172"/>
      <c r="AS137" s="172"/>
      <c r="AT137" s="172"/>
      <c r="AU137" s="172"/>
      <c r="AV137" s="555"/>
      <c r="AX137" s="47"/>
      <c r="AY137" s="48"/>
      <c r="AZ137" s="48"/>
      <c r="BA137" s="48"/>
      <c r="BB137" s="48"/>
      <c r="BC137" s="48"/>
      <c r="BD137" s="49"/>
      <c r="BF137" s="47"/>
      <c r="BG137" s="48"/>
      <c r="BH137" s="48"/>
      <c r="BI137" s="48"/>
      <c r="BJ137" s="48"/>
      <c r="BK137" s="48"/>
      <c r="BL137" s="49"/>
      <c r="BN137" s="47"/>
      <c r="BO137" s="48"/>
      <c r="BP137" s="48"/>
      <c r="BQ137" s="48"/>
      <c r="BR137" s="48"/>
      <c r="BS137" s="48"/>
      <c r="BT137" s="49"/>
      <c r="BV137" s="3">
        <v>1</v>
      </c>
    </row>
    <row r="138" spans="2:74" ht="21" customHeight="1">
      <c r="B138" s="196" t="s">
        <v>11</v>
      </c>
      <c r="C138" s="157" t="str">
        <f>C99</f>
        <v>N NOM DE VOTRE RECETTE | | Auteur &gt; VOUS</v>
      </c>
      <c r="D138" s="157">
        <f>D99</f>
        <v>18</v>
      </c>
      <c r="E138" s="158" t="str">
        <f>E99</f>
        <v>desserts</v>
      </c>
      <c r="F138" s="159" t="str">
        <f>F99</f>
        <v>Recette mère ► Saisir le nom de la recette principale</v>
      </c>
      <c r="G138" s="172"/>
      <c r="H138" s="172"/>
      <c r="I138" s="172"/>
      <c r="J138" s="172"/>
      <c r="K138" s="172"/>
      <c r="L138" s="172"/>
      <c r="M138" s="172"/>
      <c r="N138" s="172"/>
      <c r="O138" s="172"/>
      <c r="P138" s="1486" t="s">
        <v>197</v>
      </c>
      <c r="Q138" s="555"/>
      <c r="R138" s="196" t="s">
        <v>11</v>
      </c>
      <c r="S138" s="157" t="str">
        <f>S99</f>
        <v>N NAME OF YOUR RECIPE | |  Author &gt; YOU</v>
      </c>
      <c r="T138" s="157">
        <f>T99</f>
        <v>18</v>
      </c>
      <c r="U138" s="158" t="str">
        <f>U99</f>
        <v>desserts</v>
      </c>
      <c r="V138" s="159" t="str">
        <f>V99</f>
        <v>Master recipe ► Enter the main recipe name</v>
      </c>
      <c r="W138" s="172"/>
      <c r="X138" s="172"/>
      <c r="Y138" s="172"/>
      <c r="Z138" s="172"/>
      <c r="AA138" s="172"/>
      <c r="AB138" s="172"/>
      <c r="AC138" s="172"/>
      <c r="AD138" s="172"/>
      <c r="AE138" s="172"/>
      <c r="AF138" s="1486" t="s">
        <v>899</v>
      </c>
      <c r="AH138" s="196" t="s">
        <v>11</v>
      </c>
      <c r="AI138" s="157" t="str">
        <f>AI99</f>
        <v>N NOMBRE DE LA RECETA | | Autor &gt; USTED</v>
      </c>
      <c r="AJ138" s="157">
        <f>AJ99</f>
        <v>18</v>
      </c>
      <c r="AK138" s="158" t="str">
        <f>AK99</f>
        <v>postres</v>
      </c>
      <c r="AL138" s="159" t="str">
        <f>AL99</f>
        <v>Receta madre ► Introduzca el nombre de la receta principal</v>
      </c>
      <c r="AM138" s="172"/>
      <c r="AN138" s="172"/>
      <c r="AO138" s="172"/>
      <c r="AP138" s="172"/>
      <c r="AQ138" s="172"/>
      <c r="AR138" s="172"/>
      <c r="AS138" s="172"/>
      <c r="AT138" s="172"/>
      <c r="AU138" s="172"/>
      <c r="AV138" s="1486" t="s">
        <v>913</v>
      </c>
      <c r="AX138" s="47"/>
      <c r="AY138" s="48"/>
      <c r="AZ138" s="48"/>
      <c r="BA138" s="48"/>
      <c r="BB138" s="48"/>
      <c r="BC138" s="48"/>
      <c r="BD138" s="49"/>
      <c r="BF138" s="47"/>
      <c r="BG138" s="48"/>
      <c r="BH138" s="48"/>
      <c r="BI138" s="48"/>
      <c r="BJ138" s="48"/>
      <c r="BK138" s="48"/>
      <c r="BL138" s="49"/>
      <c r="BN138" s="47"/>
      <c r="BO138" s="48"/>
      <c r="BP138" s="48"/>
      <c r="BQ138" s="48"/>
      <c r="BR138" s="48"/>
      <c r="BS138" s="48"/>
      <c r="BT138" s="49"/>
      <c r="BV138" s="3">
        <v>1</v>
      </c>
    </row>
    <row r="139" spans="2:74" ht="21" customHeight="1">
      <c r="B139" s="196" t="s">
        <v>11</v>
      </c>
      <c r="C139" s="157" t="str">
        <f>C99</f>
        <v>N NOM DE VOTRE RECETTE | | Auteur &gt; VOUS</v>
      </c>
      <c r="D139" s="157">
        <f>D99</f>
        <v>18</v>
      </c>
      <c r="E139" s="158" t="str">
        <f>E99</f>
        <v>desserts</v>
      </c>
      <c r="F139" s="159" t="str">
        <f>F99</f>
        <v>Recette mère ► Saisir le nom de la recette principale</v>
      </c>
      <c r="G139" s="204"/>
      <c r="H139" s="204"/>
      <c r="I139" s="204" t="s">
        <v>201</v>
      </c>
      <c r="J139" s="205"/>
      <c r="K139" s="206"/>
      <c r="L139" s="206"/>
      <c r="M139" s="206"/>
      <c r="N139" s="206"/>
      <c r="O139" s="206"/>
      <c r="P139" s="567"/>
      <c r="Q139" s="555"/>
      <c r="R139" s="196" t="s">
        <v>11</v>
      </c>
      <c r="S139" s="157" t="str">
        <f>S99</f>
        <v>N NAME OF YOUR RECIPE | |  Author &gt; YOU</v>
      </c>
      <c r="T139" s="157">
        <f>T99</f>
        <v>18</v>
      </c>
      <c r="U139" s="158" t="str">
        <f>U99</f>
        <v>desserts</v>
      </c>
      <c r="V139" s="159" t="str">
        <f>V99</f>
        <v>Master recipe ► Enter the main recipe name</v>
      </c>
      <c r="W139" s="204"/>
      <c r="X139" s="204"/>
      <c r="Y139" s="204" t="s">
        <v>661</v>
      </c>
      <c r="Z139" s="205"/>
      <c r="AA139" s="206"/>
      <c r="AB139" s="206"/>
      <c r="AC139" s="206"/>
      <c r="AD139" s="206"/>
      <c r="AE139" s="206"/>
      <c r="AF139" s="567"/>
      <c r="AH139" s="196" t="s">
        <v>11</v>
      </c>
      <c r="AI139" s="157" t="str">
        <f>AI99</f>
        <v>N NOMBRE DE LA RECETA | | Autor &gt; USTED</v>
      </c>
      <c r="AJ139" s="157">
        <f>AJ99</f>
        <v>18</v>
      </c>
      <c r="AK139" s="158" t="str">
        <f>AK99</f>
        <v>postres</v>
      </c>
      <c r="AL139" s="159" t="str">
        <f>AL99</f>
        <v>Receta madre ► Introduzca el nombre de la receta principal</v>
      </c>
      <c r="AM139" s="204"/>
      <c r="AN139" s="204"/>
      <c r="AO139" s="204" t="s">
        <v>915</v>
      </c>
      <c r="AP139" s="205"/>
      <c r="AQ139" s="206"/>
      <c r="AR139" s="206"/>
      <c r="AS139" s="206"/>
      <c r="AT139" s="206"/>
      <c r="AU139" s="206"/>
      <c r="AV139" s="567"/>
      <c r="AX139" s="47"/>
      <c r="AY139" s="48"/>
      <c r="AZ139" s="48"/>
      <c r="BA139" s="48"/>
      <c r="BB139" s="48"/>
      <c r="BC139" s="48"/>
      <c r="BD139" s="49"/>
      <c r="BF139" s="47"/>
      <c r="BG139" s="48"/>
      <c r="BH139" s="48"/>
      <c r="BI139" s="48"/>
      <c r="BJ139" s="48"/>
      <c r="BK139" s="48"/>
      <c r="BL139" s="49"/>
      <c r="BN139" s="47"/>
      <c r="BO139" s="48"/>
      <c r="BP139" s="48"/>
      <c r="BQ139" s="48"/>
      <c r="BR139" s="48"/>
      <c r="BS139" s="48"/>
      <c r="BT139" s="49"/>
      <c r="BV139" s="3">
        <v>1</v>
      </c>
    </row>
    <row r="140" spans="2:74" ht="21" customHeight="1">
      <c r="B140" s="196" t="s">
        <v>11</v>
      </c>
      <c r="C140" s="209" t="str">
        <f>C99</f>
        <v>N NOM DE VOTRE RECETTE | | Auteur &gt; VOUS</v>
      </c>
      <c r="D140" s="209">
        <f>D99</f>
        <v>18</v>
      </c>
      <c r="E140" s="210" t="str">
        <f>E99</f>
        <v>desserts</v>
      </c>
      <c r="F140" s="211" t="str">
        <f>F99</f>
        <v>Recette mère ► Saisir le nom de la recette principale</v>
      </c>
      <c r="G140" s="212"/>
      <c r="H140" s="213"/>
      <c r="I140" s="214"/>
      <c r="J140" s="215"/>
      <c r="K140" s="214"/>
      <c r="L140" s="214"/>
      <c r="M140" s="214"/>
      <c r="N140" s="214"/>
      <c r="O140" s="214"/>
      <c r="P140" s="582"/>
      <c r="R140" s="196" t="s">
        <v>11</v>
      </c>
      <c r="S140" s="209" t="str">
        <f>S99</f>
        <v>N NAME OF YOUR RECIPE | |  Author &gt; YOU</v>
      </c>
      <c r="T140" s="209">
        <f>T99</f>
        <v>18</v>
      </c>
      <c r="U140" s="210" t="str">
        <f>U99</f>
        <v>desserts</v>
      </c>
      <c r="V140" s="211" t="str">
        <f>V99</f>
        <v>Master recipe ► Enter the main recipe name</v>
      </c>
      <c r="W140" s="212"/>
      <c r="X140" s="213"/>
      <c r="Y140" s="214"/>
      <c r="Z140" s="215"/>
      <c r="AA140" s="214"/>
      <c r="AB140" s="214"/>
      <c r="AC140" s="214"/>
      <c r="AD140" s="214"/>
      <c r="AE140" s="214"/>
      <c r="AF140" s="582"/>
      <c r="AH140" s="196" t="s">
        <v>11</v>
      </c>
      <c r="AI140" s="209" t="str">
        <f>AI99</f>
        <v>N NOMBRE DE LA RECETA | | Autor &gt; USTED</v>
      </c>
      <c r="AJ140" s="209">
        <f>AJ99</f>
        <v>18</v>
      </c>
      <c r="AK140" s="210" t="str">
        <f>AK99</f>
        <v>postres</v>
      </c>
      <c r="AL140" s="211" t="str">
        <f>AL99</f>
        <v>Receta madre ► Introduzca el nombre de la receta principal</v>
      </c>
      <c r="AM140" s="212"/>
      <c r="AN140" s="213"/>
      <c r="AO140" s="214"/>
      <c r="AP140" s="215"/>
      <c r="AQ140" s="214"/>
      <c r="AR140" s="214"/>
      <c r="AS140" s="214"/>
      <c r="AT140" s="214"/>
      <c r="AU140" s="214"/>
      <c r="AV140" s="582"/>
      <c r="AX140" s="47"/>
      <c r="AY140" s="48"/>
      <c r="AZ140" s="48"/>
      <c r="BA140" s="48"/>
      <c r="BB140" s="48"/>
      <c r="BC140" s="48"/>
      <c r="BD140" s="49"/>
      <c r="BF140" s="47"/>
      <c r="BG140" s="48"/>
      <c r="BH140" s="48"/>
      <c r="BI140" s="48"/>
      <c r="BJ140" s="48"/>
      <c r="BK140" s="48"/>
      <c r="BL140" s="49"/>
      <c r="BN140" s="47"/>
      <c r="BO140" s="48"/>
      <c r="BP140" s="48"/>
      <c r="BQ140" s="48"/>
      <c r="BR140" s="48"/>
      <c r="BS140" s="48"/>
      <c r="BT140" s="49"/>
      <c r="BV140" s="3">
        <v>1</v>
      </c>
    </row>
    <row r="141" spans="2:74" ht="21" customHeight="1" thickBot="1">
      <c r="B141" s="216" t="s">
        <v>11</v>
      </c>
      <c r="C141" s="217"/>
      <c r="D141" s="217"/>
      <c r="E141" s="217"/>
      <c r="F141" s="218"/>
      <c r="G141" s="219" t="s">
        <v>208</v>
      </c>
      <c r="H141" s="1481" t="str">
        <f ca="1">CELL("nomfichier")</f>
        <v>D:\Données\1.UPRT\0-UPRT.fait\1-UPRT.FR-SITE-WEB\ff-fiches-fabrications\ff.fiches.fabrication.2023\ffr.restaurant.2023\[ff.FICHE.TRILINGUE.15.COLONNES.29.11.2025.xlsx]Notice.utilisateur</v>
      </c>
      <c r="I141" s="220"/>
      <c r="J141" s="220"/>
      <c r="K141" s="220"/>
      <c r="L141" s="220"/>
      <c r="M141" s="220"/>
      <c r="N141" s="220"/>
      <c r="O141" s="220"/>
      <c r="P141" s="221"/>
      <c r="R141" s="216" t="s">
        <v>11</v>
      </c>
      <c r="S141" s="217"/>
      <c r="T141" s="217"/>
      <c r="U141" s="217"/>
      <c r="V141" s="218"/>
      <c r="W141" s="219" t="s">
        <v>208</v>
      </c>
      <c r="X141" s="1481" t="str">
        <f ca="1">CELL("nomfichier")</f>
        <v>D:\Données\1.UPRT\0-UPRT.fait\1-UPRT.FR-SITE-WEB\ff-fiches-fabrications\ff.fiches.fabrication.2023\ffr.restaurant.2023\[ff.FICHE.TRILINGUE.15.COLONNES.29.11.2025.xlsx]Notice.utilisateur</v>
      </c>
      <c r="Y141" s="220"/>
      <c r="Z141" s="220"/>
      <c r="AA141" s="220"/>
      <c r="AB141" s="220"/>
      <c r="AC141" s="220"/>
      <c r="AD141" s="220"/>
      <c r="AE141" s="220"/>
      <c r="AF141" s="221"/>
      <c r="AH141" s="216" t="s">
        <v>11</v>
      </c>
      <c r="AI141" s="217"/>
      <c r="AJ141" s="217"/>
      <c r="AK141" s="217"/>
      <c r="AL141" s="218"/>
      <c r="AM141" s="219" t="s">
        <v>208</v>
      </c>
      <c r="AN141" s="1481" t="str">
        <f ca="1">CELL("nomfichier")</f>
        <v>D:\Données\1.UPRT\0-UPRT.fait\1-UPRT.FR-SITE-WEB\ff-fiches-fabrications\ff.fiches.fabrication.2023\ffr.restaurant.2023\[ff.FICHE.TRILINGUE.15.COLONNES.29.11.2025.xlsx]Notice.utilisateur</v>
      </c>
      <c r="AO141" s="220"/>
      <c r="AP141" s="220"/>
      <c r="AQ141" s="220"/>
      <c r="AR141" s="220"/>
      <c r="AS141" s="220"/>
      <c r="AT141" s="220"/>
      <c r="AU141" s="220"/>
      <c r="AV141" s="221"/>
      <c r="AX141" s="47"/>
      <c r="AY141" s="421" t="s">
        <v>71</v>
      </c>
      <c r="AZ141" s="372" t="s">
        <v>81</v>
      </c>
      <c r="BA141" s="48"/>
      <c r="BB141" s="48"/>
      <c r="BC141" s="48"/>
      <c r="BD141" s="49"/>
      <c r="BF141" s="47"/>
      <c r="BG141" s="421" t="s">
        <v>71</v>
      </c>
      <c r="BH141" s="372" t="s">
        <v>81</v>
      </c>
      <c r="BI141" s="48"/>
      <c r="BJ141" s="48"/>
      <c r="BK141" s="48"/>
      <c r="BL141" s="49"/>
      <c r="BN141" s="47"/>
      <c r="BO141" s="421" t="s">
        <v>71</v>
      </c>
      <c r="BP141" s="372" t="s">
        <v>396</v>
      </c>
      <c r="BQ141" s="48"/>
      <c r="BR141" s="48"/>
      <c r="BS141" s="48"/>
      <c r="BT141" s="49"/>
      <c r="BV141" s="3">
        <v>1</v>
      </c>
    </row>
    <row r="142" spans="2:74" ht="21" customHeight="1" thickBot="1">
      <c r="B142" s="5215" t="s">
        <v>11</v>
      </c>
      <c r="C142" s="5216" t="s">
        <v>11</v>
      </c>
      <c r="D142" s="5216" t="s">
        <v>11</v>
      </c>
      <c r="E142" s="5216" t="s">
        <v>11</v>
      </c>
      <c r="F142" s="5216" t="s">
        <v>11</v>
      </c>
      <c r="G142" s="5217" t="s">
        <v>2613</v>
      </c>
      <c r="H142" s="5218"/>
      <c r="I142" s="5219"/>
      <c r="J142" s="5220"/>
      <c r="K142" s="5221"/>
      <c r="L142" s="5222"/>
      <c r="M142" s="5220"/>
      <c r="N142" s="5220"/>
      <c r="O142" s="5218"/>
      <c r="P142" s="5223" t="s">
        <v>1948</v>
      </c>
      <c r="R142" s="5215" t="s">
        <v>11</v>
      </c>
      <c r="S142" s="5216" t="s">
        <v>11</v>
      </c>
      <c r="T142" s="5216" t="s">
        <v>11</v>
      </c>
      <c r="U142" s="5216" t="s">
        <v>11</v>
      </c>
      <c r="V142" s="5216" t="s">
        <v>11</v>
      </c>
      <c r="W142" s="5217" t="s">
        <v>2613</v>
      </c>
      <c r="X142" s="5218"/>
      <c r="Y142" s="5219"/>
      <c r="Z142" s="5220"/>
      <c r="AA142" s="5221"/>
      <c r="AB142" s="5222"/>
      <c r="AC142" s="5220"/>
      <c r="AD142" s="5220"/>
      <c r="AE142" s="5218"/>
      <c r="AF142" s="5223" t="s">
        <v>1948</v>
      </c>
      <c r="AH142" s="5215" t="s">
        <v>11</v>
      </c>
      <c r="AI142" s="5216" t="s">
        <v>11</v>
      </c>
      <c r="AJ142" s="5216" t="s">
        <v>11</v>
      </c>
      <c r="AK142" s="5216" t="s">
        <v>11</v>
      </c>
      <c r="AL142" s="5216" t="s">
        <v>11</v>
      </c>
      <c r="AM142" s="5217" t="s">
        <v>2613</v>
      </c>
      <c r="AN142" s="5218"/>
      <c r="AO142" s="5219"/>
      <c r="AP142" s="5220"/>
      <c r="AQ142" s="5221"/>
      <c r="AR142" s="5222"/>
      <c r="AS142" s="5220"/>
      <c r="AT142" s="5220"/>
      <c r="AU142" s="5218"/>
      <c r="AV142" s="5223" t="s">
        <v>1948</v>
      </c>
      <c r="AX142" s="47"/>
      <c r="AY142" s="372"/>
      <c r="AZ142" s="422"/>
      <c r="BA142" s="48"/>
      <c r="BB142" s="48"/>
      <c r="BC142" s="48"/>
      <c r="BD142" s="49"/>
      <c r="BF142" s="47"/>
      <c r="BG142" s="372"/>
      <c r="BH142" s="422"/>
      <c r="BI142" s="48"/>
      <c r="BJ142" s="48"/>
      <c r="BK142" s="48"/>
      <c r="BL142" s="49"/>
      <c r="BN142" s="47"/>
      <c r="BO142" s="372"/>
      <c r="BP142" s="422"/>
      <c r="BQ142" s="48"/>
      <c r="BR142" s="48"/>
      <c r="BS142" s="48"/>
      <c r="BT142" s="49"/>
      <c r="BV142" s="3">
        <v>1</v>
      </c>
    </row>
    <row r="143" spans="2:74" ht="21" customHeight="1">
      <c r="B143" s="22" t="s">
        <v>11</v>
      </c>
      <c r="C143" s="23" t="str">
        <f>C149</f>
        <v>N NOM DE VOTRE RECETTE | | Auteur &gt; VOUS</v>
      </c>
      <c r="D143" s="24">
        <f>D149</f>
        <v>18</v>
      </c>
      <c r="E143" s="24" t="str">
        <f>E149</f>
        <v>desserts</v>
      </c>
      <c r="F143" s="25" t="str">
        <f>F149</f>
        <v>Recette mère ► Saisir le nom de la recette principale</v>
      </c>
      <c r="G143" s="26" t="s">
        <v>23</v>
      </c>
      <c r="H143" s="5471" t="s">
        <v>1376</v>
      </c>
      <c r="I143" s="5471"/>
      <c r="J143" s="5471"/>
      <c r="K143" s="5471"/>
      <c r="L143" s="5471"/>
      <c r="M143" s="5471"/>
      <c r="N143" s="5496" t="s">
        <v>3309</v>
      </c>
      <c r="O143" s="5496"/>
      <c r="P143" s="5475" t="str">
        <f>UPPER(LEFT(H143,1))</f>
        <v>N</v>
      </c>
      <c r="R143" s="22" t="s">
        <v>11</v>
      </c>
      <c r="S143" s="23" t="str">
        <f>S149</f>
        <v>N NAME OF YOUR RECIPE | |  Author &gt; YOU</v>
      </c>
      <c r="T143" s="24">
        <f>T149</f>
        <v>18</v>
      </c>
      <c r="U143" s="24" t="str">
        <f>U149</f>
        <v>desserts</v>
      </c>
      <c r="V143" s="25" t="str">
        <f>V149</f>
        <v>Master recipe ► Enter the main recipe name</v>
      </c>
      <c r="W143" s="26" t="s">
        <v>23</v>
      </c>
      <c r="X143" s="5471" t="s">
        <v>886</v>
      </c>
      <c r="Y143" s="5471"/>
      <c r="Z143" s="5471"/>
      <c r="AA143" s="5471"/>
      <c r="AB143" s="5471"/>
      <c r="AC143" s="5471"/>
      <c r="AD143" s="5496" t="s">
        <v>3314</v>
      </c>
      <c r="AE143" s="5496"/>
      <c r="AF143" s="5475" t="str">
        <f>UPPER(LEFT(X143,1))</f>
        <v>N</v>
      </c>
      <c r="AH143" s="22" t="s">
        <v>11</v>
      </c>
      <c r="AI143" s="23" t="str">
        <f>AI149</f>
        <v>N NOMBRE DE LA RECETA | | Autor &gt; USTED</v>
      </c>
      <c r="AJ143" s="24">
        <f>AJ149</f>
        <v>18</v>
      </c>
      <c r="AK143" s="24" t="str">
        <f>AK149</f>
        <v>postres</v>
      </c>
      <c r="AL143" s="25" t="str">
        <f>AL149</f>
        <v>Receta madre ► Introduzca el nombre de la receta principal</v>
      </c>
      <c r="AM143" s="26" t="s">
        <v>23</v>
      </c>
      <c r="AN143" s="5471" t="s">
        <v>3320</v>
      </c>
      <c r="AO143" s="5471"/>
      <c r="AP143" s="5471"/>
      <c r="AQ143" s="5471"/>
      <c r="AR143" s="5471"/>
      <c r="AS143" s="5471"/>
      <c r="AT143" s="5496" t="s">
        <v>1389</v>
      </c>
      <c r="AU143" s="5496"/>
      <c r="AV143" s="5475" t="str">
        <f>UPPER(LEFT(AN143,1))</f>
        <v>N</v>
      </c>
      <c r="AX143" s="47"/>
      <c r="AY143" s="5048" t="s">
        <v>436</v>
      </c>
      <c r="AZ143" s="422" t="s">
        <v>12942</v>
      </c>
      <c r="BA143" s="48"/>
      <c r="BB143" s="48"/>
      <c r="BC143" s="48"/>
      <c r="BD143" s="49"/>
      <c r="BF143" s="47"/>
      <c r="BG143" s="5048" t="s">
        <v>436</v>
      </c>
      <c r="BH143" s="422" t="s">
        <v>12944</v>
      </c>
      <c r="BI143" s="48"/>
      <c r="BJ143" s="48"/>
      <c r="BK143" s="48"/>
      <c r="BL143" s="49"/>
      <c r="BN143" s="47"/>
      <c r="BO143" s="5048" t="s">
        <v>436</v>
      </c>
      <c r="BP143" s="422" t="s">
        <v>12946</v>
      </c>
      <c r="BQ143" s="48"/>
      <c r="BR143" s="48"/>
      <c r="BS143" s="48"/>
      <c r="BT143" s="49"/>
      <c r="BV143" s="3">
        <v>1</v>
      </c>
    </row>
    <row r="144" spans="2:74" ht="21" customHeight="1">
      <c r="B144" s="27" t="s">
        <v>11</v>
      </c>
      <c r="C144" s="28" t="str">
        <f>C149</f>
        <v>N NOM DE VOTRE RECETTE | | Auteur &gt; VOUS</v>
      </c>
      <c r="D144" s="29">
        <f>D149</f>
        <v>18</v>
      </c>
      <c r="E144" s="29" t="str">
        <f>E149</f>
        <v>desserts</v>
      </c>
      <c r="F144" s="30" t="str">
        <f>F149</f>
        <v>Recette mère ► Saisir le nom de la recette principale</v>
      </c>
      <c r="G144" s="31" t="s">
        <v>29</v>
      </c>
      <c r="H144" s="5472"/>
      <c r="I144" s="5472"/>
      <c r="J144" s="5472"/>
      <c r="K144" s="5472"/>
      <c r="L144" s="5472"/>
      <c r="M144" s="5472"/>
      <c r="N144" s="5497"/>
      <c r="O144" s="5497"/>
      <c r="P144" s="5476"/>
      <c r="R144" s="27" t="s">
        <v>11</v>
      </c>
      <c r="S144" s="28" t="str">
        <f>S149</f>
        <v>N NAME OF YOUR RECIPE | |  Author &gt; YOU</v>
      </c>
      <c r="T144" s="29">
        <f>T149</f>
        <v>18</v>
      </c>
      <c r="U144" s="29" t="str">
        <f>U149</f>
        <v>desserts</v>
      </c>
      <c r="V144" s="30" t="str">
        <f>V149</f>
        <v>Master recipe ► Enter the main recipe name</v>
      </c>
      <c r="W144" s="31" t="s">
        <v>29</v>
      </c>
      <c r="X144" s="5472"/>
      <c r="Y144" s="5472"/>
      <c r="Z144" s="5472"/>
      <c r="AA144" s="5472"/>
      <c r="AB144" s="5472"/>
      <c r="AC144" s="5472"/>
      <c r="AD144" s="5497"/>
      <c r="AE144" s="5497"/>
      <c r="AF144" s="5476"/>
      <c r="AH144" s="27" t="s">
        <v>11</v>
      </c>
      <c r="AI144" s="28" t="str">
        <f>AI149</f>
        <v>N NOMBRE DE LA RECETA | | Autor &gt; USTED</v>
      </c>
      <c r="AJ144" s="29">
        <f>AJ149</f>
        <v>18</v>
      </c>
      <c r="AK144" s="29" t="str">
        <f>AK149</f>
        <v>postres</v>
      </c>
      <c r="AL144" s="30" t="str">
        <f>AL149</f>
        <v>Receta madre ► Introduzca el nombre de la receta principal</v>
      </c>
      <c r="AM144" s="31" t="s">
        <v>29</v>
      </c>
      <c r="AN144" s="5472"/>
      <c r="AO144" s="5472"/>
      <c r="AP144" s="5472"/>
      <c r="AQ144" s="5472"/>
      <c r="AR144" s="5472"/>
      <c r="AS144" s="5472"/>
      <c r="AT144" s="5497"/>
      <c r="AU144" s="5497"/>
      <c r="AV144" s="5476"/>
      <c r="AX144" s="47"/>
      <c r="AY144" s="423"/>
      <c r="AZ144" s="422" t="s">
        <v>12943</v>
      </c>
      <c r="BA144" s="48"/>
      <c r="BB144" s="48"/>
      <c r="BC144" s="48"/>
      <c r="BD144" s="49"/>
      <c r="BF144" s="47"/>
      <c r="BG144" s="423"/>
      <c r="BH144" s="422" t="s">
        <v>12945</v>
      </c>
      <c r="BI144" s="48"/>
      <c r="BJ144" s="48"/>
      <c r="BK144" s="48"/>
      <c r="BL144" s="49"/>
      <c r="BN144" s="47"/>
      <c r="BO144" s="423"/>
      <c r="BP144" s="422" t="s">
        <v>12947</v>
      </c>
      <c r="BQ144" s="48"/>
      <c r="BR144" s="48"/>
      <c r="BS144" s="48"/>
      <c r="BT144" s="49"/>
      <c r="BV144" s="3">
        <v>1</v>
      </c>
    </row>
    <row r="145" spans="2:74" ht="21" customHeight="1">
      <c r="B145" s="27" t="s">
        <v>11</v>
      </c>
      <c r="C145" s="5310" t="str">
        <f>C149</f>
        <v>N NOM DE VOTRE RECETTE | | Auteur &gt; VOUS</v>
      </c>
      <c r="D145" s="5310">
        <f>D149</f>
        <v>18</v>
      </c>
      <c r="E145" s="5311" t="str">
        <f>E149</f>
        <v>desserts</v>
      </c>
      <c r="F145" s="5312" t="str">
        <f>F149</f>
        <v>Recette mère ► Saisir le nom de la recette principale</v>
      </c>
      <c r="G145" s="5313"/>
      <c r="H145" s="5314" t="s">
        <v>30</v>
      </c>
      <c r="I145" s="37"/>
      <c r="J145" s="38" t="s">
        <v>31</v>
      </c>
      <c r="K145" s="39" t="s">
        <v>58</v>
      </c>
      <c r="L145" s="9"/>
      <c r="M145" s="39"/>
      <c r="N145" s="39"/>
      <c r="O145" s="40"/>
      <c r="P145" s="41"/>
      <c r="R145" s="27" t="s">
        <v>11</v>
      </c>
      <c r="S145" s="5310" t="str">
        <f>S149</f>
        <v>N NAME OF YOUR RECIPE | |  Author &gt; YOU</v>
      </c>
      <c r="T145" s="5310">
        <f>T149</f>
        <v>18</v>
      </c>
      <c r="U145" s="5311" t="str">
        <f>U149</f>
        <v>desserts</v>
      </c>
      <c r="V145" s="5312" t="str">
        <f>V149</f>
        <v>Master recipe ► Enter the main recipe name</v>
      </c>
      <c r="W145" s="5313"/>
      <c r="X145" s="5314" t="s">
        <v>888</v>
      </c>
      <c r="Y145" s="37"/>
      <c r="Z145" s="38" t="s">
        <v>889</v>
      </c>
      <c r="AA145" s="39" t="s">
        <v>61</v>
      </c>
      <c r="AB145" s="9"/>
      <c r="AC145" s="39"/>
      <c r="AD145" s="39"/>
      <c r="AE145" s="40"/>
      <c r="AF145" s="41"/>
      <c r="AH145" s="27" t="s">
        <v>11</v>
      </c>
      <c r="AI145" s="5310" t="str">
        <f>AI149</f>
        <v>N NOMBRE DE LA RECETA | | Autor &gt; USTED</v>
      </c>
      <c r="AJ145" s="5310">
        <f>AJ149</f>
        <v>18</v>
      </c>
      <c r="AK145" s="5311" t="str">
        <f>AK149</f>
        <v>postres</v>
      </c>
      <c r="AL145" s="5312" t="str">
        <f>AL149</f>
        <v>Receta madre ► Introduzca el nombre de la receta principal</v>
      </c>
      <c r="AM145" s="5313"/>
      <c r="AN145" s="5314" t="s">
        <v>903</v>
      </c>
      <c r="AO145" s="37"/>
      <c r="AP145" s="38" t="s">
        <v>904</v>
      </c>
      <c r="AQ145" s="39" t="s">
        <v>64</v>
      </c>
      <c r="AR145" s="9"/>
      <c r="AS145" s="39"/>
      <c r="AT145" s="39"/>
      <c r="AU145" s="40"/>
      <c r="AV145" s="41"/>
      <c r="AX145" s="47"/>
      <c r="AY145" s="422"/>
      <c r="AZ145" s="372"/>
      <c r="BA145" s="48"/>
      <c r="BB145" s="48"/>
      <c r="BC145" s="48"/>
      <c r="BD145" s="49"/>
      <c r="BF145" s="47"/>
      <c r="BG145" s="422"/>
      <c r="BH145" s="372"/>
      <c r="BI145" s="48"/>
      <c r="BJ145" s="48"/>
      <c r="BK145" s="48"/>
      <c r="BL145" s="49"/>
      <c r="BN145" s="47"/>
      <c r="BO145" s="422"/>
      <c r="BP145" s="372"/>
      <c r="BQ145" s="48"/>
      <c r="BR145" s="48"/>
      <c r="BS145" s="48"/>
      <c r="BT145" s="49"/>
      <c r="BV145" s="3">
        <v>1</v>
      </c>
    </row>
    <row r="146" spans="2:74" ht="21" customHeight="1">
      <c r="B146" s="27" t="s">
        <v>11</v>
      </c>
      <c r="C146" s="32" t="str">
        <f>C149</f>
        <v>N NOM DE VOTRE RECETTE | | Auteur &gt; VOUS</v>
      </c>
      <c r="D146" s="33">
        <f>D149</f>
        <v>18</v>
      </c>
      <c r="E146" s="33" t="str">
        <f>E149</f>
        <v>desserts</v>
      </c>
      <c r="F146" s="34" t="str">
        <f>F149</f>
        <v>Recette mère ► Saisir le nom de la recette principale</v>
      </c>
      <c r="G146" s="42" t="s">
        <v>32</v>
      </c>
      <c r="H146" s="43"/>
      <c r="I146" s="43"/>
      <c r="J146" s="44" t="s">
        <v>33</v>
      </c>
      <c r="K146" s="5477" t="str">
        <f>L149&amp;" "&amp;M149&amp;" ► Famille = "&amp;N143&amp;" ► "&amp;H143&amp;" "&amp; "pour "&amp;N147&amp;" "&amp;O147</f>
        <v>Recette mère ► Saisir le nom de la recette principale ► Famille = famille--COLLEZ ► NOM DE VOTRE RECETTE pour 36 desserts</v>
      </c>
      <c r="L146" s="5477"/>
      <c r="M146" s="5477"/>
      <c r="N146" s="5039" t="s">
        <v>3306</v>
      </c>
      <c r="O146" s="40"/>
      <c r="P146" s="1472"/>
      <c r="R146" s="27" t="s">
        <v>11</v>
      </c>
      <c r="S146" s="32" t="str">
        <f>S149</f>
        <v>N NAME OF YOUR RECIPE | |  Author &gt; YOU</v>
      </c>
      <c r="T146" s="33">
        <f>T149</f>
        <v>18</v>
      </c>
      <c r="U146" s="33" t="str">
        <f>U149</f>
        <v>desserts</v>
      </c>
      <c r="V146" s="34" t="str">
        <f>V149</f>
        <v>Master recipe ► Enter the main recipe name</v>
      </c>
      <c r="W146" s="42" t="s">
        <v>137</v>
      </c>
      <c r="X146" s="43"/>
      <c r="Y146" s="43"/>
      <c r="Z146" s="44" t="s">
        <v>33</v>
      </c>
      <c r="AA146" s="5477" t="str">
        <f>AB149&amp;" "&amp;AC149&amp;" ► category = "&amp;AD143&amp;" ► "&amp;X143&amp;" "&amp; "pour "&amp;AD147&amp;" "&amp;AE147</f>
        <v>Master recipe ► Enter the main recipe name ► category = family--PASTE ► NAME OF YOUR RECIPE pour 36 desserts</v>
      </c>
      <c r="AB146" s="5477"/>
      <c r="AC146" s="5477"/>
      <c r="AD146" s="5039" t="s">
        <v>3324</v>
      </c>
      <c r="AE146" s="40"/>
      <c r="AF146" s="1472"/>
      <c r="AH146" s="27" t="s">
        <v>11</v>
      </c>
      <c r="AI146" s="32" t="str">
        <f>AI149</f>
        <v>N NOMBRE DE LA RECETA | | Autor &gt; USTED</v>
      </c>
      <c r="AJ146" s="33">
        <f>AJ149</f>
        <v>18</v>
      </c>
      <c r="AK146" s="33" t="str">
        <f>AK149</f>
        <v>postres</v>
      </c>
      <c r="AL146" s="34" t="str">
        <f>AL149</f>
        <v>Receta madre ► Introduzca el nombre de la receta principal</v>
      </c>
      <c r="AM146" s="42" t="s">
        <v>905</v>
      </c>
      <c r="AN146" s="43"/>
      <c r="AO146" s="43"/>
      <c r="AP146" s="44" t="s">
        <v>33</v>
      </c>
      <c r="AQ146" s="5477" t="str">
        <f>AR149&amp;" "&amp;AS149&amp;" ► categoría = "&amp;AT143&amp;" ► "&amp;AN143&amp;" "&amp; "pour "&amp;AT147&amp;" "&amp;AU147</f>
        <v>Receta madre ► Introduzca el nombre de la receta principal ► categoría = pegue esto — FAMILIA ► NOMBRE DE LA RECETA pour 36 postres</v>
      </c>
      <c r="AR146" s="5477"/>
      <c r="AS146" s="5477"/>
      <c r="AT146" s="5039" t="s">
        <v>3326</v>
      </c>
      <c r="AU146" s="40"/>
      <c r="AV146" s="1472"/>
      <c r="AX146" s="150"/>
      <c r="AY146" s="151"/>
      <c r="AZ146" s="152"/>
      <c r="BA146" s="151"/>
      <c r="BB146" s="151"/>
      <c r="BC146" s="151"/>
      <c r="BD146" s="153"/>
      <c r="BF146" s="150"/>
      <c r="BG146" s="151"/>
      <c r="BH146" s="152"/>
      <c r="BI146" s="151"/>
      <c r="BJ146" s="151"/>
      <c r="BK146" s="151"/>
      <c r="BL146" s="153"/>
      <c r="BN146" s="150"/>
      <c r="BO146" s="151"/>
      <c r="BP146" s="152"/>
      <c r="BQ146" s="151"/>
      <c r="BR146" s="151"/>
      <c r="BS146" s="151"/>
      <c r="BT146" s="153"/>
      <c r="BV146" s="3">
        <v>1</v>
      </c>
    </row>
    <row r="147" spans="2:74" ht="21" customHeight="1">
      <c r="B147" s="27" t="s">
        <v>11</v>
      </c>
      <c r="C147" s="32" t="str">
        <f>C149</f>
        <v>N NOM DE VOTRE RECETTE | | Auteur &gt; VOUS</v>
      </c>
      <c r="D147" s="33">
        <f>D149</f>
        <v>18</v>
      </c>
      <c r="E147" s="33" t="str">
        <f>E149</f>
        <v>desserts</v>
      </c>
      <c r="F147" s="34" t="str">
        <f>F149</f>
        <v>Recette mère ► Saisir le nom de la recette principale</v>
      </c>
      <c r="G147" s="50">
        <v>18</v>
      </c>
      <c r="H147" s="51" t="s">
        <v>3275</v>
      </c>
      <c r="I147" s="42"/>
      <c r="J147" s="42"/>
      <c r="K147" s="5477"/>
      <c r="L147" s="5477"/>
      <c r="M147" s="5477"/>
      <c r="N147" s="46">
        <v>36</v>
      </c>
      <c r="O147" s="5478" t="str">
        <f>H147</f>
        <v>desserts</v>
      </c>
      <c r="P147" s="5479"/>
      <c r="R147" s="27" t="s">
        <v>11</v>
      </c>
      <c r="S147" s="32" t="str">
        <f>S149</f>
        <v>N NAME OF YOUR RECIPE | |  Author &gt; YOU</v>
      </c>
      <c r="T147" s="33">
        <f>T149</f>
        <v>18</v>
      </c>
      <c r="U147" s="33" t="str">
        <f>U149</f>
        <v>desserts</v>
      </c>
      <c r="V147" s="34" t="str">
        <f>V149</f>
        <v>Master recipe ► Enter the main recipe name</v>
      </c>
      <c r="W147" s="50">
        <v>18</v>
      </c>
      <c r="X147" s="51" t="s">
        <v>3275</v>
      </c>
      <c r="Y147" s="42"/>
      <c r="Z147" s="42"/>
      <c r="AA147" s="5477"/>
      <c r="AB147" s="5477"/>
      <c r="AC147" s="5477"/>
      <c r="AD147" s="46">
        <v>36</v>
      </c>
      <c r="AE147" s="5478" t="str">
        <f>X147</f>
        <v>desserts</v>
      </c>
      <c r="AF147" s="5479"/>
      <c r="AH147" s="27" t="s">
        <v>11</v>
      </c>
      <c r="AI147" s="32" t="str">
        <f>AI149</f>
        <v>N NOMBRE DE LA RECETA | | Autor &gt; USTED</v>
      </c>
      <c r="AJ147" s="33">
        <f>AJ149</f>
        <v>18</v>
      </c>
      <c r="AK147" s="33" t="str">
        <f>AK149</f>
        <v>postres</v>
      </c>
      <c r="AL147" s="34" t="str">
        <f>AL149</f>
        <v>Receta madre ► Introduzca el nombre de la receta principal</v>
      </c>
      <c r="AM147" s="50">
        <v>18</v>
      </c>
      <c r="AN147" s="51" t="s">
        <v>3349</v>
      </c>
      <c r="AO147" s="42"/>
      <c r="AP147" s="42"/>
      <c r="AQ147" s="5477"/>
      <c r="AR147" s="5477"/>
      <c r="AS147" s="5477"/>
      <c r="AT147" s="46">
        <v>36</v>
      </c>
      <c r="AU147" s="5478" t="str">
        <f>AN147</f>
        <v>postres</v>
      </c>
      <c r="AV147" s="5479"/>
      <c r="AX147" s="424"/>
      <c r="AY147" s="425"/>
      <c r="AZ147" s="426"/>
      <c r="BA147" s="425"/>
      <c r="BB147" s="425"/>
      <c r="BC147" s="425"/>
      <c r="BD147" s="427"/>
      <c r="BF147" s="424"/>
      <c r="BG147" s="425"/>
      <c r="BH147" s="426"/>
      <c r="BI147" s="425"/>
      <c r="BJ147" s="425"/>
      <c r="BK147" s="425"/>
      <c r="BL147" s="427"/>
      <c r="BN147" s="424"/>
      <c r="BO147" s="425"/>
      <c r="BP147" s="426"/>
      <c r="BQ147" s="425"/>
      <c r="BR147" s="425"/>
      <c r="BS147" s="425"/>
      <c r="BT147" s="427"/>
      <c r="BV147" s="3">
        <v>1</v>
      </c>
    </row>
    <row r="148" spans="2:74" ht="21" customHeight="1">
      <c r="B148" s="27" t="s">
        <v>16</v>
      </c>
      <c r="C148" s="32" t="str">
        <f>C149</f>
        <v>N NOM DE VOTRE RECETTE | | Auteur &gt; VOUS</v>
      </c>
      <c r="D148" s="33">
        <f>D149</f>
        <v>18</v>
      </c>
      <c r="E148" s="33" t="str">
        <f>E149</f>
        <v>desserts</v>
      </c>
      <c r="F148" s="34" t="str">
        <f>F149</f>
        <v>Recette mère ► Saisir le nom de la recette principale</v>
      </c>
      <c r="G148" s="56"/>
      <c r="H148" s="5165" t="s">
        <v>13098</v>
      </c>
      <c r="I148" s="5468">
        <f>O173/L148</f>
        <v>0</v>
      </c>
      <c r="J148" s="5468"/>
      <c r="K148" s="5054" t="str" cm="1">
        <f t="array" ref="K148">"1= "&amp;IF(OR(G147&lt;=0,I148=""),"",_xlfn.LET(_xlpm.kg,IF(ISNUMBER(I148),I148,VALEUR(SUBSTITUTE(SUBSTITUTE(SUBSTITUTE(LOWER(I148),"kg",""),",",".")," ",""))),TEXT(ROUND(_xlpm.kg*1000/G147,2),"0.##")&amp;" g"))</f>
        <v>1= 0. g</v>
      </c>
      <c r="L148" s="1490">
        <f>IFERROR(N147/G147,0)</f>
        <v>2</v>
      </c>
      <c r="M148" s="45"/>
      <c r="N148" s="5041" t="s">
        <v>50</v>
      </c>
      <c r="O148" s="5042">
        <f>O173</f>
        <v>0</v>
      </c>
      <c r="P148" s="5043"/>
      <c r="R148" s="27" t="s">
        <v>16</v>
      </c>
      <c r="S148" s="32"/>
      <c r="T148" s="33">
        <f>T149</f>
        <v>18</v>
      </c>
      <c r="U148" s="33" t="str">
        <f>U149</f>
        <v>desserts</v>
      </c>
      <c r="V148" s="34" t="str">
        <f>V149</f>
        <v>Master recipe ► Enter the main recipe name</v>
      </c>
      <c r="W148" s="56"/>
      <c r="X148" s="5165" t="s">
        <v>13100</v>
      </c>
      <c r="Y148" s="5468">
        <f>AE173/AB148</f>
        <v>0</v>
      </c>
      <c r="Z148" s="5468"/>
      <c r="AA148" s="5054" t="str" cm="1">
        <f t="array" ref="AA148">"1= "&amp;IF(OR(W147&lt;=0,Y148=""),"",_xlfn.LET(_xlpm.kg,IF(ISNUMBER(Y148),Y148,VALEUR(SUBSTITUTE(SUBSTITUTE(SUBSTITUTE(LOWER(Y148),"kg",""),",",".")," ",""))),TEXT(ROUND(_xlpm.kg*1000/W147,2),"0.##")&amp;" g"))</f>
        <v>1= 0. g</v>
      </c>
      <c r="AB148" s="1490">
        <f>IFERROR(AD147/W147,0)</f>
        <v>2</v>
      </c>
      <c r="AC148" s="45"/>
      <c r="AD148" s="5041" t="s">
        <v>153</v>
      </c>
      <c r="AE148" s="5042">
        <f>AE173</f>
        <v>0</v>
      </c>
      <c r="AF148" s="5043"/>
      <c r="AH148" s="27" t="s">
        <v>16</v>
      </c>
      <c r="AI148" s="32" t="str">
        <f>AI149</f>
        <v>N NOMBRE DE LA RECETA | | Autor &gt; USTED</v>
      </c>
      <c r="AJ148" s="33">
        <f>AJ149</f>
        <v>18</v>
      </c>
      <c r="AK148" s="33" t="str">
        <f>AK149</f>
        <v>postres</v>
      </c>
      <c r="AL148" s="34" t="str">
        <f>AL149</f>
        <v>Receta madre ► Introduzca el nombre de la receta principal</v>
      </c>
      <c r="AM148" s="56"/>
      <c r="AN148" s="5165" t="s">
        <v>13101</v>
      </c>
      <c r="AO148" s="5468">
        <f>AU173/AR148</f>
        <v>0</v>
      </c>
      <c r="AP148" s="5468"/>
      <c r="AQ148" s="5054" t="str" cm="1">
        <f t="array" ref="AQ148">"1= "&amp;IF(OR(AM147&lt;=0,AO148=""),"",_xlfn.LET(_xlpm.kg,IF(ISNUMBER(AO148),AO148,VALEUR(SUBSTITUTE(SUBSTITUTE(SUBSTITUTE(LOWER(AO148),"kg",""),",",".")," ",""))),TEXT(ROUND(_xlpm.kg*1000/AM147,2),"0.##")&amp;" g"))</f>
        <v>1= 0. g</v>
      </c>
      <c r="AR148" s="1490">
        <f>IFERROR(AT147/AM147,0)</f>
        <v>2</v>
      </c>
      <c r="AS148" s="45"/>
      <c r="AT148" s="5041" t="s">
        <v>248</v>
      </c>
      <c r="AU148" s="5042">
        <f>AU173</f>
        <v>0</v>
      </c>
      <c r="AV148" s="5043"/>
      <c r="AX148" s="439"/>
      <c r="AY148" s="440" t="s">
        <v>459</v>
      </c>
      <c r="AZ148" s="441"/>
      <c r="BA148" s="442"/>
      <c r="BB148" s="9"/>
      <c r="BC148" s="183"/>
      <c r="BD148" s="189"/>
      <c r="BF148" s="1538"/>
      <c r="BG148" s="440" t="s">
        <v>460</v>
      </c>
      <c r="BH148" s="441"/>
      <c r="BI148" s="442"/>
      <c r="BJ148" s="9"/>
      <c r="BK148" s="183"/>
      <c r="BL148" s="189"/>
      <c r="BN148" s="5624" t="s">
        <v>458</v>
      </c>
      <c r="BO148" s="440" t="s">
        <v>461</v>
      </c>
      <c r="BP148" s="441"/>
      <c r="BQ148" s="442"/>
      <c r="BR148" s="9"/>
      <c r="BS148" s="183"/>
      <c r="BT148" s="189"/>
      <c r="BV148" s="3">
        <v>1</v>
      </c>
    </row>
    <row r="149" spans="2:74" ht="21" customHeight="1">
      <c r="B149" s="64" t="s">
        <v>16</v>
      </c>
      <c r="C149" s="65" t="str">
        <f>G149</f>
        <v>N NOM DE VOTRE RECETTE | | Auteur &gt; VOUS</v>
      </c>
      <c r="D149" s="66">
        <f>G147</f>
        <v>18</v>
      </c>
      <c r="E149" s="65" t="str">
        <f>H147</f>
        <v>desserts</v>
      </c>
      <c r="F149" s="67" t="str">
        <f>L149&amp;" "&amp;M149</f>
        <v>Recette mère ► Saisir le nom de la recette principale</v>
      </c>
      <c r="G149" s="68" t="str">
        <f>UPPER(LEFT(H143,1))&amp;" "&amp;H143&amp;" | "&amp;O143&amp;"| "&amp;J145&amp;" "&amp;K145</f>
        <v>N NOM DE VOTRE RECETTE | | Auteur &gt; VOUS</v>
      </c>
      <c r="H149" s="69" t="s">
        <v>54</v>
      </c>
      <c r="I149" s="5469" t="s">
        <v>55</v>
      </c>
      <c r="J149" s="5469"/>
      <c r="K149" s="5469"/>
      <c r="L149" s="70" t="str">
        <f>IF(ISTEXT(M149),"Recette mère ►",H149)</f>
        <v>Recette mère ►</v>
      </c>
      <c r="M149" s="71" t="s">
        <v>3310</v>
      </c>
      <c r="N149" s="71"/>
      <c r="O149" s="72"/>
      <c r="P149" s="1473"/>
      <c r="R149" s="64" t="s">
        <v>16</v>
      </c>
      <c r="S149" s="65" t="str">
        <f>W149</f>
        <v>N NAME OF YOUR RECIPE | |  Author &gt; YOU</v>
      </c>
      <c r="T149" s="66">
        <f>W147</f>
        <v>18</v>
      </c>
      <c r="U149" s="65" t="str">
        <f>X147</f>
        <v>desserts</v>
      </c>
      <c r="V149" s="67" t="str">
        <f>AB149&amp;" "&amp;AC149</f>
        <v>Master recipe ► Enter the main recipe name</v>
      </c>
      <c r="W149" s="68" t="str">
        <f>UPPER(LEFT(X143,1))&amp;" "&amp;X143&amp;" | "&amp;AE143&amp;"| "&amp;Z145&amp;" "&amp;AA145</f>
        <v>N NAME OF YOUR RECIPE | |  Author &gt; YOU</v>
      </c>
      <c r="X149" s="69" t="s">
        <v>3315</v>
      </c>
      <c r="Y149" s="5469" t="s">
        <v>3316</v>
      </c>
      <c r="Z149" s="5469"/>
      <c r="AA149" s="5469"/>
      <c r="AB149" s="70" t="str">
        <f>IF(ISTEXT(AC149),"Master recipe ►",X149)</f>
        <v>Master recipe ►</v>
      </c>
      <c r="AC149" s="71" t="s">
        <v>3317</v>
      </c>
      <c r="AD149" s="71"/>
      <c r="AE149" s="72"/>
      <c r="AF149" s="1473"/>
      <c r="AH149" s="64" t="s">
        <v>16</v>
      </c>
      <c r="AI149" s="65" t="str">
        <f>AM149</f>
        <v>N NOMBRE DE LA RECETA | | Autor &gt; USTED</v>
      </c>
      <c r="AJ149" s="66">
        <f>AM147</f>
        <v>18</v>
      </c>
      <c r="AK149" s="65" t="str">
        <f>AN147</f>
        <v>postres</v>
      </c>
      <c r="AL149" s="67" t="str">
        <f>AR149&amp;" "&amp;AS149</f>
        <v>Receta madre ► Introduzca el nombre de la receta principal</v>
      </c>
      <c r="AM149" s="68" t="str">
        <f>UPPER(LEFT(AN143,1))&amp;" "&amp;AN143&amp;" | "&amp;AU143&amp;"| "&amp;AP145&amp;" "&amp;AQ145</f>
        <v>N NOMBRE DE LA RECETA | | Autor &gt; USTED</v>
      </c>
      <c r="AN149" s="69" t="s">
        <v>3319</v>
      </c>
      <c r="AO149" s="5469" t="s">
        <v>906</v>
      </c>
      <c r="AP149" s="5469"/>
      <c r="AQ149" s="5469"/>
      <c r="AR149" s="70" t="str">
        <f>IF(ISTEXT(AS149),"Receta madre ►",AN149)</f>
        <v>Receta madre ►</v>
      </c>
      <c r="AS149" s="71" t="s">
        <v>3318</v>
      </c>
      <c r="AT149" s="71"/>
      <c r="AU149" s="72"/>
      <c r="AV149" s="1473"/>
      <c r="AX149" s="439"/>
      <c r="AY149" s="443" t="s">
        <v>32</v>
      </c>
      <c r="AZ149" s="441"/>
      <c r="BA149" s="442"/>
      <c r="BB149" s="9"/>
      <c r="BC149" s="183"/>
      <c r="BD149" s="189"/>
      <c r="BF149" s="1538"/>
      <c r="BG149" s="443" t="s">
        <v>137</v>
      </c>
      <c r="BH149" s="441"/>
      <c r="BI149" s="442"/>
      <c r="BJ149" s="9"/>
      <c r="BK149" s="183"/>
      <c r="BL149" s="189"/>
      <c r="BN149" s="5624"/>
      <c r="BO149" s="444" t="s">
        <v>140</v>
      </c>
      <c r="BP149" s="441"/>
      <c r="BQ149" s="442"/>
      <c r="BR149" s="9"/>
      <c r="BS149" s="183"/>
      <c r="BT149" s="189"/>
      <c r="BV149" s="3">
        <v>1</v>
      </c>
    </row>
    <row r="150" spans="2:74" ht="21" customHeight="1">
      <c r="B150" s="74" t="s">
        <v>16</v>
      </c>
      <c r="C150" s="75" t="str">
        <f>C149</f>
        <v>N NOM DE VOTRE RECETTE | | Auteur &gt; VOUS</v>
      </c>
      <c r="D150" s="75">
        <f>D149</f>
        <v>18</v>
      </c>
      <c r="E150" s="75" t="str">
        <f>E149</f>
        <v>desserts</v>
      </c>
      <c r="F150" s="76" t="str">
        <f>F149</f>
        <v>Recette mère ► Saisir le nom de la recette principale</v>
      </c>
      <c r="G150" s="13" t="s">
        <v>66</v>
      </c>
      <c r="H150" s="13" t="s">
        <v>67</v>
      </c>
      <c r="I150" s="13" t="s">
        <v>68</v>
      </c>
      <c r="J150" s="13" t="s">
        <v>69</v>
      </c>
      <c r="K150" s="77" t="s">
        <v>70</v>
      </c>
      <c r="L150" s="78" t="s">
        <v>71</v>
      </c>
      <c r="M150" s="79" t="s">
        <v>72</v>
      </c>
      <c r="N150" s="1496" t="s">
        <v>73</v>
      </c>
      <c r="O150" s="13" t="s">
        <v>74</v>
      </c>
      <c r="P150" s="518" t="s">
        <v>75</v>
      </c>
      <c r="R150" s="74" t="s">
        <v>16</v>
      </c>
      <c r="S150" s="75" t="str">
        <f>S149</f>
        <v>N NAME OF YOUR RECIPE | |  Author &gt; YOU</v>
      </c>
      <c r="T150" s="75">
        <f>T149</f>
        <v>18</v>
      </c>
      <c r="U150" s="75" t="str">
        <f>U149</f>
        <v>desserts</v>
      </c>
      <c r="V150" s="76" t="str">
        <f>V149</f>
        <v>Master recipe ► Enter the main recipe name</v>
      </c>
      <c r="W150" s="13" t="s">
        <v>66</v>
      </c>
      <c r="X150" s="13" t="s">
        <v>67</v>
      </c>
      <c r="Y150" s="13" t="s">
        <v>68</v>
      </c>
      <c r="Z150" s="13" t="s">
        <v>69</v>
      </c>
      <c r="AA150" s="77" t="s">
        <v>70</v>
      </c>
      <c r="AB150" s="78" t="s">
        <v>71</v>
      </c>
      <c r="AC150" s="79" t="s">
        <v>72</v>
      </c>
      <c r="AD150" s="1496" t="s">
        <v>73</v>
      </c>
      <c r="AE150" s="13" t="s">
        <v>75</v>
      </c>
      <c r="AF150" s="518" t="s">
        <v>76</v>
      </c>
      <c r="AH150" s="74" t="s">
        <v>16</v>
      </c>
      <c r="AI150" s="75" t="str">
        <f>AI149</f>
        <v>N NOMBRE DE LA RECETA | | Autor &gt; USTED</v>
      </c>
      <c r="AJ150" s="75">
        <f>AJ149</f>
        <v>18</v>
      </c>
      <c r="AK150" s="75" t="str">
        <f>AK149</f>
        <v>postres</v>
      </c>
      <c r="AL150" s="76" t="str">
        <f>AL149</f>
        <v>Receta madre ► Introduzca el nombre de la receta principal</v>
      </c>
      <c r="AM150" s="13" t="s">
        <v>66</v>
      </c>
      <c r="AN150" s="13" t="s">
        <v>67</v>
      </c>
      <c r="AO150" s="13" t="s">
        <v>68</v>
      </c>
      <c r="AP150" s="13" t="s">
        <v>69</v>
      </c>
      <c r="AQ150" s="77" t="s">
        <v>70</v>
      </c>
      <c r="AR150" s="78" t="s">
        <v>71</v>
      </c>
      <c r="AS150" s="79" t="s">
        <v>72</v>
      </c>
      <c r="AT150" s="1496" t="s">
        <v>73</v>
      </c>
      <c r="AU150" s="13" t="s">
        <v>74</v>
      </c>
      <c r="AV150" s="518" t="s">
        <v>75</v>
      </c>
      <c r="AX150" s="439"/>
      <c r="AY150" s="445">
        <v>1</v>
      </c>
      <c r="AZ150" s="446" t="s">
        <v>476</v>
      </c>
      <c r="BA150" s="442"/>
      <c r="BB150" s="9"/>
      <c r="BC150" s="183"/>
      <c r="BD150" s="189"/>
      <c r="BF150" s="1538"/>
      <c r="BG150" s="445">
        <v>1</v>
      </c>
      <c r="BH150" s="446" t="s">
        <v>477</v>
      </c>
      <c r="BI150" s="442"/>
      <c r="BJ150" s="9"/>
      <c r="BK150" s="183"/>
      <c r="BL150" s="189"/>
      <c r="BN150" s="5624"/>
      <c r="BO150" s="445">
        <v>1</v>
      </c>
      <c r="BP150" s="446" t="s">
        <v>478</v>
      </c>
      <c r="BQ150" s="442"/>
      <c r="BR150" s="9"/>
      <c r="BS150" s="183"/>
      <c r="BT150" s="189"/>
      <c r="BV150" s="3">
        <v>1</v>
      </c>
    </row>
    <row r="151" spans="2:74" ht="21" customHeight="1">
      <c r="B151" s="27" t="s">
        <v>11</v>
      </c>
      <c r="C151" s="32" t="str">
        <f>C149</f>
        <v>N NOM DE VOTRE RECETTE | | Auteur &gt; VOUS</v>
      </c>
      <c r="D151" s="33">
        <f>D149</f>
        <v>18</v>
      </c>
      <c r="E151" s="32" t="str">
        <f>E149</f>
        <v>desserts</v>
      </c>
      <c r="F151" s="34" t="str">
        <f>F149</f>
        <v>Recette mère ► Saisir le nom de la recette principale</v>
      </c>
      <c r="G151" s="81" t="s">
        <v>77</v>
      </c>
      <c r="H151" s="82" t="s">
        <v>78</v>
      </c>
      <c r="I151" s="83"/>
      <c r="J151" s="5454" t="s">
        <v>79</v>
      </c>
      <c r="K151" s="5464" t="s">
        <v>80</v>
      </c>
      <c r="L151" s="5466" t="s">
        <v>81</v>
      </c>
      <c r="M151" s="84" t="s">
        <v>82</v>
      </c>
      <c r="N151" s="5444" t="s">
        <v>83</v>
      </c>
      <c r="O151" s="5446" t="s">
        <v>3297</v>
      </c>
      <c r="P151" s="5448" t="s">
        <v>86</v>
      </c>
      <c r="R151" s="27" t="s">
        <v>11</v>
      </c>
      <c r="S151" s="32" t="str">
        <f>S149</f>
        <v>N NAME OF YOUR RECIPE | |  Author &gt; YOU</v>
      </c>
      <c r="T151" s="33">
        <f>T149</f>
        <v>18</v>
      </c>
      <c r="U151" s="32" t="str">
        <f>U149</f>
        <v>desserts</v>
      </c>
      <c r="V151" s="34" t="str">
        <f>V149</f>
        <v>Master recipe ► Enter the main recipe name</v>
      </c>
      <c r="W151" s="81" t="s">
        <v>77</v>
      </c>
      <c r="X151" s="82" t="s">
        <v>78</v>
      </c>
      <c r="Y151" s="83"/>
      <c r="Z151" s="5454" t="s">
        <v>228</v>
      </c>
      <c r="AA151" s="5464" t="s">
        <v>80</v>
      </c>
      <c r="AB151" s="5466" t="s">
        <v>81</v>
      </c>
      <c r="AC151" s="84" t="s">
        <v>82</v>
      </c>
      <c r="AD151" s="5444" t="s">
        <v>244</v>
      </c>
      <c r="AE151" s="5446" t="s">
        <v>890</v>
      </c>
      <c r="AF151" s="5448" t="s">
        <v>247</v>
      </c>
      <c r="AH151" s="27" t="s">
        <v>11</v>
      </c>
      <c r="AI151" s="32" t="str">
        <f>AI149</f>
        <v>N NOMBRE DE LA RECETA | | Autor &gt; USTED</v>
      </c>
      <c r="AJ151" s="33">
        <f>AJ149</f>
        <v>18</v>
      </c>
      <c r="AK151" s="32" t="str">
        <f>AK149</f>
        <v>postres</v>
      </c>
      <c r="AL151" s="34" t="str">
        <f>AL149</f>
        <v>Receta madre ► Introduzca el nombre de la receta principal</v>
      </c>
      <c r="AM151" s="81" t="s">
        <v>77</v>
      </c>
      <c r="AN151" s="82" t="s">
        <v>78</v>
      </c>
      <c r="AO151" s="83"/>
      <c r="AP151" s="5470" t="s">
        <v>229</v>
      </c>
      <c r="AQ151" s="5495" t="s">
        <v>80</v>
      </c>
      <c r="AR151" s="5481" t="s">
        <v>396</v>
      </c>
      <c r="AS151" s="84" t="s">
        <v>82</v>
      </c>
      <c r="AT151" s="5444" t="s">
        <v>249</v>
      </c>
      <c r="AU151" s="5446" t="s">
        <v>907</v>
      </c>
      <c r="AV151" s="5448" t="s">
        <v>252</v>
      </c>
      <c r="AX151" s="439"/>
      <c r="AY151" s="445">
        <v>3</v>
      </c>
      <c r="AZ151" s="446" t="s">
        <v>465</v>
      </c>
      <c r="BA151" s="442"/>
      <c r="BB151" s="9"/>
      <c r="BC151" s="183"/>
      <c r="BD151" s="189"/>
      <c r="BF151" s="1538"/>
      <c r="BG151" s="445">
        <v>3</v>
      </c>
      <c r="BH151" s="446" t="s">
        <v>466</v>
      </c>
      <c r="BI151" s="442"/>
      <c r="BJ151" s="9"/>
      <c r="BK151" s="183"/>
      <c r="BL151" s="189"/>
      <c r="BN151" s="5624"/>
      <c r="BO151" s="445">
        <v>3</v>
      </c>
      <c r="BP151" s="446" t="s">
        <v>467</v>
      </c>
      <c r="BQ151" s="442"/>
      <c r="BR151" s="9"/>
      <c r="BS151" s="183"/>
      <c r="BT151" s="189"/>
      <c r="BV151" s="3">
        <v>1</v>
      </c>
    </row>
    <row r="152" spans="2:74" ht="21" customHeight="1">
      <c r="B152" s="27" t="s">
        <v>11</v>
      </c>
      <c r="C152" s="32" t="str">
        <f>C149</f>
        <v>N NOM DE VOTRE RECETTE | | Auteur &gt; VOUS</v>
      </c>
      <c r="D152" s="33">
        <f>D149</f>
        <v>18</v>
      </c>
      <c r="E152" s="32" t="str">
        <f>E149</f>
        <v>desserts</v>
      </c>
      <c r="F152" s="34" t="str">
        <f>F149</f>
        <v>Recette mère ► Saisir le nom de la recette principale</v>
      </c>
      <c r="G152" s="87" t="s">
        <v>91</v>
      </c>
      <c r="H152" s="88" t="s">
        <v>92</v>
      </c>
      <c r="I152" s="89" t="s">
        <v>93</v>
      </c>
      <c r="J152" s="5455"/>
      <c r="K152" s="5465"/>
      <c r="L152" s="5467"/>
      <c r="M152" s="90" t="s">
        <v>94</v>
      </c>
      <c r="N152" s="5445"/>
      <c r="O152" s="5447"/>
      <c r="P152" s="5449"/>
      <c r="R152" s="27" t="s">
        <v>11</v>
      </c>
      <c r="S152" s="32" t="str">
        <f>S149</f>
        <v>N NAME OF YOUR RECIPE | |  Author &gt; YOU</v>
      </c>
      <c r="T152" s="33">
        <f>T149</f>
        <v>18</v>
      </c>
      <c r="U152" s="32" t="str">
        <f>U149</f>
        <v>desserts</v>
      </c>
      <c r="V152" s="34" t="str">
        <f>V149</f>
        <v>Master recipe ► Enter the main recipe name</v>
      </c>
      <c r="W152" s="87" t="s">
        <v>231</v>
      </c>
      <c r="X152" s="88" t="s">
        <v>232</v>
      </c>
      <c r="Y152" s="89" t="s">
        <v>891</v>
      </c>
      <c r="Z152" s="5455"/>
      <c r="AA152" s="5465"/>
      <c r="AB152" s="5467"/>
      <c r="AC152" s="90" t="s">
        <v>867</v>
      </c>
      <c r="AD152" s="5445"/>
      <c r="AE152" s="5447"/>
      <c r="AF152" s="5449"/>
      <c r="AH152" s="27" t="s">
        <v>11</v>
      </c>
      <c r="AI152" s="32" t="str">
        <f>AI149</f>
        <v>N NOMBRE DE LA RECETA | | Autor &gt; USTED</v>
      </c>
      <c r="AJ152" s="33">
        <f>AJ149</f>
        <v>18</v>
      </c>
      <c r="AK152" s="32" t="str">
        <f>AK149</f>
        <v>postres</v>
      </c>
      <c r="AL152" s="34" t="str">
        <f>AL149</f>
        <v>Receta madre ► Introduzca el nombre de la receta principal</v>
      </c>
      <c r="AM152" s="87" t="s">
        <v>234</v>
      </c>
      <c r="AN152" s="88" t="s">
        <v>235</v>
      </c>
      <c r="AO152" s="89" t="s">
        <v>93</v>
      </c>
      <c r="AP152" s="5455"/>
      <c r="AQ152" s="5465"/>
      <c r="AR152" s="5467"/>
      <c r="AS152" s="90" t="s">
        <v>869</v>
      </c>
      <c r="AT152" s="5445"/>
      <c r="AU152" s="5447"/>
      <c r="AV152" s="5449"/>
      <c r="AX152" s="439"/>
      <c r="AY152" s="445">
        <v>1</v>
      </c>
      <c r="AZ152" s="446" t="s">
        <v>473</v>
      </c>
      <c r="BA152" s="442"/>
      <c r="BB152" s="9"/>
      <c r="BC152" s="183"/>
      <c r="BD152" s="189"/>
      <c r="BF152" s="439"/>
      <c r="BG152" s="445">
        <v>1</v>
      </c>
      <c r="BH152" s="446" t="s">
        <v>474</v>
      </c>
      <c r="BI152" s="442"/>
      <c r="BJ152" s="9"/>
      <c r="BK152" s="183"/>
      <c r="BL152" s="189"/>
      <c r="BN152" s="439"/>
      <c r="BO152" s="445">
        <v>1</v>
      </c>
      <c r="BP152" s="446" t="s">
        <v>475</v>
      </c>
      <c r="BQ152" s="442"/>
      <c r="BR152" s="9"/>
      <c r="BS152" s="183"/>
      <c r="BT152" s="189"/>
      <c r="BV152" s="3">
        <v>1</v>
      </c>
    </row>
    <row r="153" spans="2:74" ht="21" customHeight="1">
      <c r="B153" s="27" t="s">
        <v>11</v>
      </c>
      <c r="C153" s="32" t="str">
        <f>C149</f>
        <v>N NOM DE VOTRE RECETTE | | Auteur &gt; VOUS</v>
      </c>
      <c r="D153" s="33">
        <f>D149</f>
        <v>18</v>
      </c>
      <c r="E153" s="32" t="str">
        <f>E149</f>
        <v>desserts</v>
      </c>
      <c r="F153" s="34" t="str">
        <f>F149</f>
        <v>Recette mère ► Saisir le nom de la recette principale</v>
      </c>
      <c r="G153" s="92"/>
      <c r="H153" s="93"/>
      <c r="I153" s="94" t="str">
        <f t="shared" ref="I153:I172" si="29">IF(OR(ISTEXT(G153), G153&lt;=0, J153&lt;=0), "", "de")</f>
        <v/>
      </c>
      <c r="J153" s="95"/>
      <c r="K153" s="126"/>
      <c r="L153" s="127">
        <v>1</v>
      </c>
      <c r="M153" s="919"/>
      <c r="N153" s="100">
        <f>IF(OR(ISBLANK(G147),N147=0),0,G153*L148)</f>
        <v>0</v>
      </c>
      <c r="O153" s="101" cm="1">
        <f t="array" ref="O153">IFERROR(_xlfn.LET(_xlpm.k,UPPER(TRIM(K153)),_xlpm.r,_xlfn.XLOOKUP(_xlpm.k,UPPER(TRIM(G174:P174)),G175:P175,_xlfn.XLOOKUP(_xlpm.k,UPPER(TRIM(G176:P176)),G177:P177)),_xlpm.r*J153*L153*L148*IF(ISBLANK(G153),1,G153)),0)</f>
        <v>0</v>
      </c>
      <c r="P153" s="1476" t="str">
        <f>_xlfn.LET(_xlpm.unite,SUBSTITUTE(TRIM(K153)," (s)",""),_xlpm.val,O153,_xlpm.estVol,COUNTIF(J174:P174,_xlpm.unite)+COUNTIF(J176:P176,_xlpm.unite)&gt;0,_xlpm.estPoids,COUNTIF(G174:I174,_xlpm.unite)+COUNTIF(G176:I176,_xlpm.unite)&gt;0,IF(_xlpm.estVol,IF(ROUND(_xlpm.val,3)&gt;=1,ROUND(_xlpm.val,3)&amp;" L",MAX(1,ROUND(_xlpm.val*100,0))&amp;" cl"),IF(_xlpm.estPoids,IF(ROUND(_xlpm.val,3)&gt;=1,ROUND(_xlpm.val,3)&amp;" Kg",MAX(1,ROUND(_xlpm.val*1000,0))&amp;" g"),"")))</f>
        <v/>
      </c>
      <c r="R153" s="27" t="s">
        <v>11</v>
      </c>
      <c r="S153" s="32" t="str">
        <f>S149</f>
        <v>N NAME OF YOUR RECIPE | |  Author &gt; YOU</v>
      </c>
      <c r="T153" s="33">
        <f>T149</f>
        <v>18</v>
      </c>
      <c r="U153" s="32" t="str">
        <f>U149</f>
        <v>desserts</v>
      </c>
      <c r="V153" s="34" t="str">
        <f>V149</f>
        <v>Master recipe ► Enter the main recipe name</v>
      </c>
      <c r="W153" s="92"/>
      <c r="X153" s="93"/>
      <c r="Y153" s="94" t="str">
        <f t="shared" ref="Y153:Y172" si="30">IF(OR(ISTEXT(W153), W153&lt;=0, Z153&lt;=0), "", "of")</f>
        <v/>
      </c>
      <c r="Z153" s="95"/>
      <c r="AA153" s="126"/>
      <c r="AB153" s="127">
        <v>1</v>
      </c>
      <c r="AC153" s="919"/>
      <c r="AD153" s="100">
        <f>IF(OR(ISBLANK(W147),AD147=0),0,W153*AB148)</f>
        <v>0</v>
      </c>
      <c r="AE153" s="101" cm="1">
        <f t="array" ref="AE153">IFERROR(_xlfn.LET(_xlpm.k,UPPER(TRIM(AA153)),_xlpm.r,_xlfn.XLOOKUP(_xlpm.k,UPPER(TRIM(W174:AF174)),W175:AF175,_xlfn.XLOOKUP(_xlpm.k,UPPER(TRIM(W176:AF176)),W177:AF177)),_xlpm.r*Z153*AB153*AB148*IF(ISBLANK(W153),1,W153)),0)</f>
        <v>0</v>
      </c>
      <c r="AF153" s="1476" t="str">
        <f>_xlfn.LET(_xlpm.unite,SUBSTITUTE(TRIM(AA153)," (s)",""),_xlpm.val,AE153,_xlpm.estVol,COUNTIF(Z174:AF174,_xlpm.unite)+COUNTIF(Z176:AF176,_xlpm.unite)&gt;0,_xlpm.estPoids,COUNTIF(W174:Y174,_xlpm.unite)+COUNTIF(W176:Y176,_xlpm.unite)&gt;0,IF(_xlpm.estVol,IF(ROUND(_xlpm.val,3)&gt;=1,ROUND(_xlpm.val,3)&amp;" L",MAX(1,ROUND(_xlpm.val*100,0))&amp;" cl"),IF(_xlpm.estPoids,IF(ROUND(_xlpm.val,3)&gt;=1,ROUND(_xlpm.val,3)&amp;" Kg",MAX(1,ROUND(_xlpm.val*1000,0))&amp;" g"),"")))</f>
        <v/>
      </c>
      <c r="AH153" s="27" t="s">
        <v>11</v>
      </c>
      <c r="AI153" s="32" t="str">
        <f>AI149</f>
        <v>N NOMBRE DE LA RECETA | | Autor &gt; USTED</v>
      </c>
      <c r="AJ153" s="33">
        <f>AJ149</f>
        <v>18</v>
      </c>
      <c r="AK153" s="32" t="str">
        <f>AK149</f>
        <v>postres</v>
      </c>
      <c r="AL153" s="34" t="str">
        <f>AL149</f>
        <v>Receta madre ► Introduzca el nombre de la receta principal</v>
      </c>
      <c r="AM153" s="92"/>
      <c r="AN153" s="93"/>
      <c r="AO153" s="94" t="str">
        <f t="shared" ref="AO153:AO172" si="31">IF(OR(ISTEXT(AM153), AM153&lt;=0, AP153&lt;=0), "", "de")</f>
        <v/>
      </c>
      <c r="AP153" s="95"/>
      <c r="AQ153" s="126"/>
      <c r="AR153" s="127">
        <v>1</v>
      </c>
      <c r="AS153" s="919"/>
      <c r="AT153" s="100">
        <f>IF(OR(ISBLANK(AM147),AT147=0),0,AM153*AR148)</f>
        <v>0</v>
      </c>
      <c r="AU153" s="101" cm="1">
        <f t="array" ref="AU153">IFERROR(_xlfn.LET(_xlpm.k,UPPER(TRIM(AQ153)),_xlpm.r,_xlfn.XLOOKUP(_xlpm.k,UPPER(TRIM(AM174:AV174)),AM175:AV175,_xlfn.XLOOKUP(_xlpm.k,UPPER(TRIM(AM176:AV176)),AM177:AV177)),_xlpm.r*AP153*AR153*AR148*IF(ISBLANK(AM153),1,AM153)),0)</f>
        <v>0</v>
      </c>
      <c r="AV153" s="1476" t="str">
        <f>_xlfn.LET(_xlpm.unite,SUBSTITUTE(TRIM(AQ153)," (s)",""),_xlpm.val,AU153,_xlpm.estVol,COUNTIF(AP174:AV174,_xlpm.unite)+COUNTIF(AP176:AV176,_xlpm.unite)&gt;0,_xlpm.estPoids,COUNTIF(AM174:AO174,_xlpm.unite)+COUNTIF(AM176:AO176,_xlpm.unite)&gt;0,IF(_xlpm.estVol,IF(ROUND(_xlpm.val,3)&gt;=1,ROUND(_xlpm.val,3)&amp;" L",MAX(1,ROUND(_xlpm.val*100,0))&amp;" cl"),IF(_xlpm.estPoids,IF(ROUND(_xlpm.val,3)&gt;=1,ROUND(_xlpm.val,3)&amp;" Kg",MAX(1,ROUND(_xlpm.val*1000,0))&amp;" g"),"")))</f>
        <v/>
      </c>
      <c r="AX153" s="428"/>
      <c r="AY153" s="429" t="s">
        <v>481</v>
      </c>
      <c r="AZ153" s="447"/>
      <c r="BA153" s="447"/>
      <c r="BB153" s="447"/>
      <c r="BC153" s="447"/>
      <c r="BD153" s="451"/>
      <c r="BF153" s="428"/>
      <c r="BG153" s="429" t="s">
        <v>482</v>
      </c>
      <c r="BH153" s="447"/>
      <c r="BI153" s="447"/>
      <c r="BJ153" s="447"/>
      <c r="BK153" s="447"/>
      <c r="BL153" s="451"/>
      <c r="BN153" s="428"/>
      <c r="BO153" s="429" t="s">
        <v>483</v>
      </c>
      <c r="BP153" s="447"/>
      <c r="BQ153" s="447"/>
      <c r="BR153" s="447"/>
      <c r="BS153" s="447"/>
      <c r="BT153" s="451"/>
      <c r="BV153" s="3">
        <v>1</v>
      </c>
    </row>
    <row r="154" spans="2:74" ht="21" customHeight="1">
      <c r="B154" s="104" t="str">
        <f t="shared" ref="B154:B172" si="32">IF(M154&lt;&gt;"","A","►")</f>
        <v>►</v>
      </c>
      <c r="C154" s="32" t="str">
        <f>C149</f>
        <v>N NOM DE VOTRE RECETTE | | Auteur &gt; VOUS</v>
      </c>
      <c r="D154" s="33">
        <f>D149</f>
        <v>18</v>
      </c>
      <c r="E154" s="32" t="str">
        <f>E149</f>
        <v>desserts</v>
      </c>
      <c r="F154" s="34" t="str">
        <f>F149</f>
        <v>Recette mère ► Saisir le nom de la recette principale</v>
      </c>
      <c r="G154" s="92"/>
      <c r="H154" s="93"/>
      <c r="I154" s="94" t="str">
        <f t="shared" si="29"/>
        <v/>
      </c>
      <c r="J154" s="95"/>
      <c r="K154" s="126"/>
      <c r="L154" s="127">
        <v>1</v>
      </c>
      <c r="M154" s="920"/>
      <c r="N154" s="1495">
        <f>IF(OR(ISBLANK(G147),N147=0),0,G154*L148)</f>
        <v>0</v>
      </c>
      <c r="O154" s="101" cm="1">
        <f t="array" ref="O154">IFERROR(_xlfn.LET(_xlpm.k,UPPER(TRIM(K154)),_xlpm.r,_xlfn.XLOOKUP(_xlpm.k,UPPER(TRIM(G174:P174)),G175:P175,_xlfn.XLOOKUP(_xlpm.k,UPPER(TRIM(G176:P176)),G177:P177)),_xlpm.r*J154*L154*L148*IF(ISBLANK(G154),1,G154)),0)</f>
        <v>0</v>
      </c>
      <c r="P154" s="1475" t="str">
        <f>_xlfn.LET(_xlpm.unite,SUBSTITUTE(TRIM(K154)," (s)",""),_xlpm.val,O154,_xlpm.estVol,COUNTIF(J174:P174,_xlpm.unite)+COUNTIF(J176:P176,_xlpm.unite)&gt;0,_xlpm.estPoids,COUNTIF(G174:I174,_xlpm.unite)+COUNTIF(G176:I176,_xlpm.unite)&gt;0,IF(_xlpm.estVol,IF(ROUND(_xlpm.val,3)&gt;=1,ROUND(_xlpm.val,3)&amp;" L",MAX(1,ROUND(_xlpm.val*100,0))&amp;" cl"),IF(_xlpm.estPoids,IF(ROUND(_xlpm.val,3)&gt;=1,ROUND(_xlpm.val,3)&amp;" Kg",MAX(1,ROUND(_xlpm.val*1000,0))&amp;" g"),"")))</f>
        <v/>
      </c>
      <c r="R154" s="104" t="str">
        <f t="shared" ref="R154:R172" si="33">IF(AC154&lt;&gt;"","A","►")</f>
        <v>►</v>
      </c>
      <c r="S154" s="32" t="str">
        <f>S149</f>
        <v>N NAME OF YOUR RECIPE | |  Author &gt; YOU</v>
      </c>
      <c r="T154" s="33">
        <f>T149</f>
        <v>18</v>
      </c>
      <c r="U154" s="32" t="str">
        <f>U149</f>
        <v>desserts</v>
      </c>
      <c r="V154" s="34" t="str">
        <f>V149</f>
        <v>Master recipe ► Enter the main recipe name</v>
      </c>
      <c r="W154" s="92"/>
      <c r="X154" s="93"/>
      <c r="Y154" s="94" t="str">
        <f t="shared" si="30"/>
        <v/>
      </c>
      <c r="Z154" s="95"/>
      <c r="AA154" s="126"/>
      <c r="AB154" s="127">
        <v>1</v>
      </c>
      <c r="AC154" s="920"/>
      <c r="AD154" s="1495">
        <f>IF(OR(ISBLANK(W147),AD147=0),0,W154*AB148)</f>
        <v>0</v>
      </c>
      <c r="AE154" s="101" cm="1">
        <f t="array" ref="AE154">IFERROR(_xlfn.LET(_xlpm.k,UPPER(TRIM(AA154)),_xlpm.r,_xlfn.XLOOKUP(_xlpm.k,UPPER(TRIM(W174:AF174)),W175:AF175,_xlfn.XLOOKUP(_xlpm.k,UPPER(TRIM(W176:AF176)),W177:AF177)),_xlpm.r*Z154*AB154*AB148*IF(ISBLANK(W154),1,W154)),0)</f>
        <v>0</v>
      </c>
      <c r="AF154" s="1475" t="str">
        <f>_xlfn.LET(_xlpm.unite,SUBSTITUTE(TRIM(AA154)," (s)",""),_xlpm.val,AE154,_xlpm.estVol,COUNTIF(Z174:AF174,_xlpm.unite)+COUNTIF(Z176:AF176,_xlpm.unite)&gt;0,_xlpm.estPoids,COUNTIF(W174:Y174,_xlpm.unite)+COUNTIF(W176:Y176,_xlpm.unite)&gt;0,IF(_xlpm.estVol,IF(ROUND(_xlpm.val,3)&gt;=1,ROUND(_xlpm.val,3)&amp;" L",MAX(1,ROUND(_xlpm.val*100,0))&amp;" cl"),IF(_xlpm.estPoids,IF(ROUND(_xlpm.val,3)&gt;=1,ROUND(_xlpm.val,3)&amp;" Kg",MAX(1,ROUND(_xlpm.val*1000,0))&amp;" g"),"")))</f>
        <v/>
      </c>
      <c r="AH154" s="104" t="str">
        <f t="shared" ref="AH154:AH172" si="34">IF(AS154&lt;&gt;"","A","►")</f>
        <v>►</v>
      </c>
      <c r="AI154" s="32" t="str">
        <f>AI149</f>
        <v>N NOMBRE DE LA RECETA | | Autor &gt; USTED</v>
      </c>
      <c r="AJ154" s="33">
        <f>AJ149</f>
        <v>18</v>
      </c>
      <c r="AK154" s="32" t="str">
        <f>AK149</f>
        <v>postres</v>
      </c>
      <c r="AL154" s="34" t="str">
        <f>AL149</f>
        <v>Receta madre ► Introduzca el nombre de la receta principal</v>
      </c>
      <c r="AM154" s="92"/>
      <c r="AN154" s="93"/>
      <c r="AO154" s="94" t="str">
        <f t="shared" si="31"/>
        <v/>
      </c>
      <c r="AP154" s="95"/>
      <c r="AQ154" s="126"/>
      <c r="AR154" s="127">
        <v>1</v>
      </c>
      <c r="AS154" s="920"/>
      <c r="AT154" s="1495">
        <f>IF(OR(ISBLANK(AM147),AT147=0),0,AM154*AR148)</f>
        <v>0</v>
      </c>
      <c r="AU154" s="101" cm="1">
        <f t="array" ref="AU154">IFERROR(_xlfn.LET(_xlpm.k,UPPER(TRIM(AQ154)),_xlpm.r,_xlfn.XLOOKUP(_xlpm.k,UPPER(TRIM(AM174:AV174)),AM175:AV175,_xlfn.XLOOKUP(_xlpm.k,UPPER(TRIM(AM176:AV176)),AM177:AV177)),_xlpm.r*AP154*AR154*AR148*IF(ISBLANK(AM154),1,AM154)),0)</f>
        <v>0</v>
      </c>
      <c r="AV154" s="1475" t="str">
        <f>_xlfn.LET(_xlpm.unite,SUBSTITUTE(TRIM(AQ154)," (s)",""),_xlpm.val,AU154,_xlpm.estVol,COUNTIF(AP174:AV174,_xlpm.unite)+COUNTIF(AP176:AV176,_xlpm.unite)&gt;0,_xlpm.estPoids,COUNTIF(AM174:AO174,_xlpm.unite)+COUNTIF(AM176:AO176,_xlpm.unite)&gt;0,IF(_xlpm.estVol,IF(ROUND(_xlpm.val,3)&gt;=1,ROUND(_xlpm.val,3)&amp;" L",MAX(1,ROUND(_xlpm.val*100,0))&amp;" cl"),IF(_xlpm.estPoids,IF(ROUND(_xlpm.val,3)&gt;=1,ROUND(_xlpm.val,3)&amp;" Kg",MAX(1,ROUND(_xlpm.val*1000,0))&amp;" g"),"")))</f>
        <v/>
      </c>
      <c r="AX154" s="428"/>
      <c r="AY154" s="5625" t="s">
        <v>484</v>
      </c>
      <c r="AZ154" s="5625"/>
      <c r="BA154" s="5625"/>
      <c r="BB154" s="5625"/>
      <c r="BC154" s="5625"/>
      <c r="BD154" s="5626"/>
      <c r="BF154" s="428"/>
      <c r="BG154" s="452" t="s">
        <v>485</v>
      </c>
      <c r="BH154" s="452"/>
      <c r="BI154" s="452"/>
      <c r="BJ154" s="452"/>
      <c r="BK154" s="452"/>
      <c r="BL154" s="453"/>
      <c r="BN154" s="428"/>
      <c r="BO154" s="452" t="s">
        <v>486</v>
      </c>
      <c r="BP154" s="452"/>
      <c r="BQ154" s="452"/>
      <c r="BR154" s="452"/>
      <c r="BS154" s="452"/>
      <c r="BT154" s="453"/>
      <c r="BV154" s="3">
        <v>1</v>
      </c>
    </row>
    <row r="155" spans="2:74" ht="21" customHeight="1">
      <c r="B155" s="104" t="str">
        <f t="shared" si="32"/>
        <v>►</v>
      </c>
      <c r="C155" s="32" t="str">
        <f>C149</f>
        <v>N NOM DE VOTRE RECETTE | | Auteur &gt; VOUS</v>
      </c>
      <c r="D155" s="33">
        <f>D149</f>
        <v>18</v>
      </c>
      <c r="E155" s="32" t="str">
        <f>E149</f>
        <v>desserts</v>
      </c>
      <c r="F155" s="34" t="str">
        <f>F149</f>
        <v>Recette mère ► Saisir le nom de la recette principale</v>
      </c>
      <c r="G155" s="92"/>
      <c r="H155" s="108"/>
      <c r="I155" s="94" t="str">
        <f t="shared" si="29"/>
        <v/>
      </c>
      <c r="J155" s="95"/>
      <c r="K155" s="126"/>
      <c r="L155" s="127">
        <v>1</v>
      </c>
      <c r="M155" s="920"/>
      <c r="N155" s="1495">
        <f>IF(OR(ISBLANK(G147),N147=0),0,G155*L148)</f>
        <v>0</v>
      </c>
      <c r="O155" s="101" cm="1">
        <f t="array" ref="O155">IFERROR(_xlfn.LET(_xlpm.k,UPPER(TRIM(K155)),_xlpm.r,_xlfn.XLOOKUP(_xlpm.k,UPPER(TRIM(G174:P174)),G175:P175,_xlfn.XLOOKUP(_xlpm.k,UPPER(TRIM(G176:P176)),G177:P177)),_xlpm.r*J155*L155*L148*IF(ISBLANK(G155),1,G155)),0)</f>
        <v>0</v>
      </c>
      <c r="P155" s="1476" t="str">
        <f>_xlfn.LET(_xlpm.unite,SUBSTITUTE(TRIM(K155)," (s)",""),_xlpm.val,O155,_xlpm.estVol,COUNTIF(J174:P174,_xlpm.unite)+COUNTIF(J176:P176,_xlpm.unite)&gt;0,_xlpm.estPoids,COUNTIF(G174:I174,_xlpm.unite)+COUNTIF(G176:I176,_xlpm.unite)&gt;0,IF(_xlpm.estVol,IF(ROUND(_xlpm.val,3)&gt;=1,ROUND(_xlpm.val,3)&amp;" L",MAX(1,ROUND(_xlpm.val*100,0))&amp;" cl"),IF(_xlpm.estPoids,IF(ROUND(_xlpm.val,3)&gt;=1,ROUND(_xlpm.val,3)&amp;" Kg",MAX(1,ROUND(_xlpm.val*1000,0))&amp;" g"),"")))</f>
        <v/>
      </c>
      <c r="R155" s="104" t="str">
        <f t="shared" si="33"/>
        <v>►</v>
      </c>
      <c r="S155" s="32" t="str">
        <f>S149</f>
        <v>N NAME OF YOUR RECIPE | |  Author &gt; YOU</v>
      </c>
      <c r="T155" s="33">
        <f>T149</f>
        <v>18</v>
      </c>
      <c r="U155" s="32" t="str">
        <f>U149</f>
        <v>desserts</v>
      </c>
      <c r="V155" s="34" t="str">
        <f>V149</f>
        <v>Master recipe ► Enter the main recipe name</v>
      </c>
      <c r="W155" s="92"/>
      <c r="X155" s="108"/>
      <c r="Y155" s="94" t="str">
        <f t="shared" si="30"/>
        <v/>
      </c>
      <c r="Z155" s="95"/>
      <c r="AA155" s="126"/>
      <c r="AB155" s="127">
        <v>1</v>
      </c>
      <c r="AC155" s="920"/>
      <c r="AD155" s="1495">
        <f>IF(OR(ISBLANK(W147),AD147=0),0,W155*AB148)</f>
        <v>0</v>
      </c>
      <c r="AE155" s="101" cm="1">
        <f t="array" ref="AE155">IFERROR(_xlfn.LET(_xlpm.k,UPPER(TRIM(AA155)),_xlpm.r,_xlfn.XLOOKUP(_xlpm.k,UPPER(TRIM(W174:AF174)),W175:AF175,_xlfn.XLOOKUP(_xlpm.k,UPPER(TRIM(W176:AF176)),W177:AF177)),_xlpm.r*Z155*AB155*AB148*IF(ISBLANK(W155),1,W155)),0)</f>
        <v>0</v>
      </c>
      <c r="AF155" s="1476" t="str">
        <f>_xlfn.LET(_xlpm.unite,SUBSTITUTE(TRIM(AA155)," (s)",""),_xlpm.val,AE155,_xlpm.estVol,COUNTIF(Z174:AF174,_xlpm.unite)+COUNTIF(Z176:AF176,_xlpm.unite)&gt;0,_xlpm.estPoids,COUNTIF(W174:Y174,_xlpm.unite)+COUNTIF(W176:Y176,_xlpm.unite)&gt;0,IF(_xlpm.estVol,IF(ROUND(_xlpm.val,3)&gt;=1,ROUND(_xlpm.val,3)&amp;" L",MAX(1,ROUND(_xlpm.val*100,0))&amp;" cl"),IF(_xlpm.estPoids,IF(ROUND(_xlpm.val,3)&gt;=1,ROUND(_xlpm.val,3)&amp;" Kg",MAX(1,ROUND(_xlpm.val*1000,0))&amp;" g"),"")))</f>
        <v/>
      </c>
      <c r="AH155" s="104" t="str">
        <f t="shared" si="34"/>
        <v>►</v>
      </c>
      <c r="AI155" s="32" t="str">
        <f>AI149</f>
        <v>N NOMBRE DE LA RECETA | | Autor &gt; USTED</v>
      </c>
      <c r="AJ155" s="33">
        <f>AJ149</f>
        <v>18</v>
      </c>
      <c r="AK155" s="32" t="str">
        <f>AK149</f>
        <v>postres</v>
      </c>
      <c r="AL155" s="34" t="str">
        <f>AL149</f>
        <v>Receta madre ► Introduzca el nombre de la receta principal</v>
      </c>
      <c r="AM155" s="92"/>
      <c r="AN155" s="108"/>
      <c r="AO155" s="94" t="str">
        <f t="shared" si="31"/>
        <v/>
      </c>
      <c r="AP155" s="95"/>
      <c r="AQ155" s="126"/>
      <c r="AR155" s="127">
        <v>1</v>
      </c>
      <c r="AS155" s="920"/>
      <c r="AT155" s="1495">
        <f>IF(OR(ISBLANK(AM147),AT147=0),0,AM155*AR148)</f>
        <v>0</v>
      </c>
      <c r="AU155" s="101" cm="1">
        <f t="array" ref="AU155">IFERROR(_xlfn.LET(_xlpm.k,UPPER(TRIM(AQ155)),_xlpm.r,_xlfn.XLOOKUP(_xlpm.k,UPPER(TRIM(AM174:AV174)),AM175:AV175,_xlfn.XLOOKUP(_xlpm.k,UPPER(TRIM(AM176:AV176)),AM177:AV177)),_xlpm.r*AP155*AR155*AR148*IF(ISBLANK(AM155),1,AM155)),0)</f>
        <v>0</v>
      </c>
      <c r="AV155" s="1476" t="str">
        <f>_xlfn.LET(_xlpm.unite,SUBSTITUTE(TRIM(AQ155)," (s)",""),_xlpm.val,AU155,_xlpm.estVol,COUNTIF(AP174:AV174,_xlpm.unite)+COUNTIF(AP176:AV176,_xlpm.unite)&gt;0,_xlpm.estPoids,COUNTIF(AM174:AO174,_xlpm.unite)+COUNTIF(AM176:AO176,_xlpm.unite)&gt;0,IF(_xlpm.estVol,IF(ROUND(_xlpm.val,3)&gt;=1,ROUND(_xlpm.val,3)&amp;" L",MAX(1,ROUND(_xlpm.val*100,0))&amp;" cl"),IF(_xlpm.estPoids,IF(ROUND(_xlpm.val,3)&gt;=1,ROUND(_xlpm.val,3)&amp;" Kg",MAX(1,ROUND(_xlpm.val*1000,0))&amp;" g"),"")))</f>
        <v/>
      </c>
      <c r="AX155" s="428"/>
      <c r="AY155" s="445">
        <v>10</v>
      </c>
      <c r="AZ155" s="446" t="s">
        <v>36</v>
      </c>
      <c r="BA155" s="9"/>
      <c r="BB155" s="9"/>
      <c r="BC155" s="183"/>
      <c r="BD155" s="189"/>
      <c r="BF155" s="428"/>
      <c r="BG155" s="445">
        <v>10</v>
      </c>
      <c r="BH155" s="446" t="s">
        <v>479</v>
      </c>
      <c r="BI155" s="9"/>
      <c r="BJ155" s="9"/>
      <c r="BK155" s="183"/>
      <c r="BL155" s="189"/>
      <c r="BN155" s="428"/>
      <c r="BO155" s="445">
        <v>10</v>
      </c>
      <c r="BP155" s="446" t="s">
        <v>480</v>
      </c>
      <c r="BQ155" s="9"/>
      <c r="BR155" s="9"/>
      <c r="BS155" s="183"/>
      <c r="BT155" s="189"/>
      <c r="BV155" s="3">
        <v>1</v>
      </c>
    </row>
    <row r="156" spans="2:74" ht="21" customHeight="1">
      <c r="B156" s="104" t="str">
        <f t="shared" si="32"/>
        <v>A</v>
      </c>
      <c r="C156" s="32" t="str">
        <f>C149</f>
        <v>N NOM DE VOTRE RECETTE | | Auteur &gt; VOUS</v>
      </c>
      <c r="D156" s="33">
        <f>D149</f>
        <v>18</v>
      </c>
      <c r="E156" s="32" t="str">
        <f>E149</f>
        <v>desserts</v>
      </c>
      <c r="F156" s="34" t="str">
        <f>F149</f>
        <v>Recette mère ► Saisir le nom de la recette principale</v>
      </c>
      <c r="G156" s="92"/>
      <c r="H156" s="108"/>
      <c r="I156" s="94" t="str">
        <f t="shared" si="29"/>
        <v/>
      </c>
      <c r="J156" s="95"/>
      <c r="K156" s="126"/>
      <c r="L156" s="127">
        <v>1</v>
      </c>
      <c r="M156" s="920" t="s">
        <v>12929</v>
      </c>
      <c r="N156" s="1495">
        <f>IF(OR(ISBLANK(G147),N147=0),0,G156*L148)</f>
        <v>0</v>
      </c>
      <c r="O156" s="101" cm="1">
        <f t="array" ref="O156">IFERROR(_xlfn.LET(_xlpm.k,UPPER(TRIM(K156)),_xlpm.r,_xlfn.XLOOKUP(_xlpm.k,UPPER(TRIM(G174:P174)),G175:P175,_xlfn.XLOOKUP(_xlpm.k,UPPER(TRIM(G176:P176)),G177:P177)),_xlpm.r*J156*L156*L148*IF(ISBLANK(G156),1,G156)),0)</f>
        <v>0</v>
      </c>
      <c r="P156" s="1475" t="str">
        <f>_xlfn.LET(_xlpm.unite,SUBSTITUTE(TRIM(K156)," (s)",""),_xlpm.val,O156,_xlpm.estVol,COUNTIF(J174:P174,_xlpm.unite)+COUNTIF(J176:P176,_xlpm.unite)&gt;0,_xlpm.estPoids,COUNTIF(G174:I174,_xlpm.unite)+COUNTIF(G176:I176,_xlpm.unite)&gt;0,IF(_xlpm.estVol,IF(ROUND(_xlpm.val,3)&gt;=1,ROUND(_xlpm.val,3)&amp;" L",MAX(1,ROUND(_xlpm.val*100,0))&amp;" cl"),IF(_xlpm.estPoids,IF(ROUND(_xlpm.val,3)&gt;=1,ROUND(_xlpm.val,3)&amp;" Kg",MAX(1,ROUND(_xlpm.val*1000,0))&amp;" g"),"")))</f>
        <v/>
      </c>
      <c r="R156" s="104" t="str">
        <f t="shared" si="33"/>
        <v>A</v>
      </c>
      <c r="S156" s="32" t="str">
        <f>S149</f>
        <v>N NAME OF YOUR RECIPE | |  Author &gt; YOU</v>
      </c>
      <c r="T156" s="33">
        <f>T149</f>
        <v>18</v>
      </c>
      <c r="U156" s="32" t="str">
        <f>U149</f>
        <v>desserts</v>
      </c>
      <c r="V156" s="34" t="str">
        <f>V149</f>
        <v>Master recipe ► Enter the main recipe name</v>
      </c>
      <c r="W156" s="92"/>
      <c r="X156" s="108"/>
      <c r="Y156" s="94" t="str">
        <f t="shared" si="30"/>
        <v/>
      </c>
      <c r="Z156" s="95"/>
      <c r="AA156" s="126"/>
      <c r="AB156" s="127">
        <v>1</v>
      </c>
      <c r="AC156" s="920" t="s">
        <v>12930</v>
      </c>
      <c r="AD156" s="1495">
        <f>IF(OR(ISBLANK(W147),AD147=0),0,W156*AB148)</f>
        <v>0</v>
      </c>
      <c r="AE156" s="101" cm="1">
        <f t="array" ref="AE156">IFERROR(_xlfn.LET(_xlpm.k,UPPER(TRIM(AA156)),_xlpm.r,_xlfn.XLOOKUP(_xlpm.k,UPPER(TRIM(W174:AF174)),W175:AF175,_xlfn.XLOOKUP(_xlpm.k,UPPER(TRIM(W176:AF176)),W177:AF177)),_xlpm.r*Z156*AB156*AB148*IF(ISBLANK(W156),1,W156)),0)</f>
        <v>0</v>
      </c>
      <c r="AF156" s="1475" t="str">
        <f>_xlfn.LET(_xlpm.unite,SUBSTITUTE(TRIM(AA156)," (s)",""),_xlpm.val,AE156,_xlpm.estVol,COUNTIF(Z174:AF174,_xlpm.unite)+COUNTIF(Z176:AF176,_xlpm.unite)&gt;0,_xlpm.estPoids,COUNTIF(W174:Y174,_xlpm.unite)+COUNTIF(W176:Y176,_xlpm.unite)&gt;0,IF(_xlpm.estVol,IF(ROUND(_xlpm.val,3)&gt;=1,ROUND(_xlpm.val,3)&amp;" L",MAX(1,ROUND(_xlpm.val*100,0))&amp;" cl"),IF(_xlpm.estPoids,IF(ROUND(_xlpm.val,3)&gt;=1,ROUND(_xlpm.val,3)&amp;" Kg",MAX(1,ROUND(_xlpm.val*1000,0))&amp;" g"),"")))</f>
        <v/>
      </c>
      <c r="AH156" s="104" t="str">
        <f t="shared" si="34"/>
        <v>A</v>
      </c>
      <c r="AI156" s="32" t="str">
        <f>AI149</f>
        <v>N NOMBRE DE LA RECETA | | Autor &gt; USTED</v>
      </c>
      <c r="AJ156" s="33">
        <f>AJ149</f>
        <v>18</v>
      </c>
      <c r="AK156" s="32" t="str">
        <f>AK149</f>
        <v>postres</v>
      </c>
      <c r="AL156" s="34" t="str">
        <f>AL149</f>
        <v>Receta madre ► Introduzca el nombre de la receta principal</v>
      </c>
      <c r="AM156" s="92"/>
      <c r="AN156" s="108"/>
      <c r="AO156" s="94" t="str">
        <f t="shared" si="31"/>
        <v/>
      </c>
      <c r="AP156" s="95"/>
      <c r="AQ156" s="126"/>
      <c r="AR156" s="127">
        <v>1</v>
      </c>
      <c r="AS156" s="920" t="s">
        <v>12931</v>
      </c>
      <c r="AT156" s="1495">
        <f>IF(OR(ISBLANK(AM147),AT147=0),0,AM156*AR148)</f>
        <v>0</v>
      </c>
      <c r="AU156" s="101" cm="1">
        <f t="array" ref="AU156">IFERROR(_xlfn.LET(_xlpm.k,UPPER(TRIM(AQ156)),_xlpm.r,_xlfn.XLOOKUP(_xlpm.k,UPPER(TRIM(AM174:AV174)),AM175:AV175,_xlfn.XLOOKUP(_xlpm.k,UPPER(TRIM(AM176:AV176)),AM177:AV177)),_xlpm.r*AP156*AR156*AR148*IF(ISBLANK(AM156),1,AM156)),0)</f>
        <v>0</v>
      </c>
      <c r="AV156" s="1475" t="str">
        <f>_xlfn.LET(_xlpm.unite,SUBSTITUTE(TRIM(AQ156)," (s)",""),_xlpm.val,AU156,_xlpm.estVol,COUNTIF(AP174:AV174,_xlpm.unite)+COUNTIF(AP176:AV176,_xlpm.unite)&gt;0,_xlpm.estPoids,COUNTIF(AM174:AO174,_xlpm.unite)+COUNTIF(AM176:AO176,_xlpm.unite)&gt;0,IF(_xlpm.estVol,IF(ROUND(_xlpm.val,3)&gt;=1,ROUND(_xlpm.val,3)&amp;" L",MAX(1,ROUND(_xlpm.val*100,0))&amp;" cl"),IF(_xlpm.estPoids,IF(ROUND(_xlpm.val,3)&gt;=1,ROUND(_xlpm.val,3)&amp;" Kg",MAX(1,ROUND(_xlpm.val*1000,0))&amp;" g"),"")))</f>
        <v/>
      </c>
      <c r="AX156" s="428"/>
      <c r="AY156" s="445">
        <v>5</v>
      </c>
      <c r="AZ156" s="446" t="s">
        <v>488</v>
      </c>
      <c r="BA156" s="9"/>
      <c r="BB156" s="9"/>
      <c r="BC156" s="183"/>
      <c r="BD156" s="189"/>
      <c r="BF156" s="428"/>
      <c r="BG156" s="445">
        <v>5</v>
      </c>
      <c r="BH156" s="446" t="s">
        <v>489</v>
      </c>
      <c r="BI156" s="9"/>
      <c r="BJ156" s="9"/>
      <c r="BK156" s="183"/>
      <c r="BL156" s="189"/>
      <c r="BN156" s="428"/>
      <c r="BO156" s="445">
        <v>5</v>
      </c>
      <c r="BP156" s="446" t="s">
        <v>490</v>
      </c>
      <c r="BQ156" s="9"/>
      <c r="BR156" s="9"/>
      <c r="BS156" s="183"/>
      <c r="BT156" s="189"/>
      <c r="BV156" s="3">
        <v>1</v>
      </c>
    </row>
    <row r="157" spans="2:74" ht="21" customHeight="1">
      <c r="B157" s="104" t="str">
        <f t="shared" si="32"/>
        <v>►</v>
      </c>
      <c r="C157" s="32" t="str">
        <f>C149</f>
        <v>N NOM DE VOTRE RECETTE | | Auteur &gt; VOUS</v>
      </c>
      <c r="D157" s="33">
        <f>D149</f>
        <v>18</v>
      </c>
      <c r="E157" s="32" t="str">
        <f>E149</f>
        <v>desserts</v>
      </c>
      <c r="F157" s="34" t="str">
        <f>F149</f>
        <v>Recette mère ► Saisir le nom de la recette principale</v>
      </c>
      <c r="G157" s="92"/>
      <c r="H157" s="108"/>
      <c r="I157" s="94" t="str">
        <f t="shared" si="29"/>
        <v/>
      </c>
      <c r="J157" s="95"/>
      <c r="K157" s="126"/>
      <c r="L157" s="127">
        <v>1</v>
      </c>
      <c r="M157" s="920"/>
      <c r="N157" s="1495">
        <f>IF(OR(ISBLANK(G147),N147=0),0,G157*L148)</f>
        <v>0</v>
      </c>
      <c r="O157" s="101" cm="1">
        <f t="array" ref="O157">IFERROR(_xlfn.LET(_xlpm.k,UPPER(TRIM(K157)),_xlpm.r,_xlfn.XLOOKUP(_xlpm.k,UPPER(TRIM(G174:P174)),G175:P175,_xlfn.XLOOKUP(_xlpm.k,UPPER(TRIM(G176:P176)),G177:P177)),_xlpm.r*J157*L157*L148*IF(ISBLANK(G157),1,G157)),0)</f>
        <v>0</v>
      </c>
      <c r="P157" s="1476" t="str">
        <f>_xlfn.LET(_xlpm.unite,SUBSTITUTE(TRIM(K157)," (s)",""),_xlpm.val,O157,_xlpm.estVol,COUNTIF(J174:P174,_xlpm.unite)+COUNTIF(J176:P176,_xlpm.unite)&gt;0,_xlpm.estPoids,COUNTIF(G174:I174,_xlpm.unite)+COUNTIF(G176:I176,_xlpm.unite)&gt;0,IF(_xlpm.estVol,IF(ROUND(_xlpm.val,3)&gt;=1,ROUND(_xlpm.val,3)&amp;" L",MAX(1,ROUND(_xlpm.val*100,0))&amp;" cl"),IF(_xlpm.estPoids,IF(ROUND(_xlpm.val,3)&gt;=1,ROUND(_xlpm.val,3)&amp;" Kg",MAX(1,ROUND(_xlpm.val*1000,0))&amp;" g"),"")))</f>
        <v/>
      </c>
      <c r="R157" s="104" t="str">
        <f t="shared" si="33"/>
        <v>►</v>
      </c>
      <c r="S157" s="32" t="str">
        <f>S149</f>
        <v>N NAME OF YOUR RECIPE | |  Author &gt; YOU</v>
      </c>
      <c r="T157" s="33">
        <f>T149</f>
        <v>18</v>
      </c>
      <c r="U157" s="32" t="str">
        <f>U149</f>
        <v>desserts</v>
      </c>
      <c r="V157" s="34" t="str">
        <f>V149</f>
        <v>Master recipe ► Enter the main recipe name</v>
      </c>
      <c r="W157" s="92"/>
      <c r="X157" s="108"/>
      <c r="Y157" s="94" t="str">
        <f t="shared" si="30"/>
        <v/>
      </c>
      <c r="Z157" s="95"/>
      <c r="AA157" s="126"/>
      <c r="AB157" s="127">
        <v>1</v>
      </c>
      <c r="AC157" s="920"/>
      <c r="AD157" s="1495">
        <f>IF(OR(ISBLANK(W147),AD147=0),0,W157*AB148)</f>
        <v>0</v>
      </c>
      <c r="AE157" s="101" cm="1">
        <f t="array" ref="AE157">IFERROR(_xlfn.LET(_xlpm.k,UPPER(TRIM(AA157)),_xlpm.r,_xlfn.XLOOKUP(_xlpm.k,UPPER(TRIM(W174:AF174)),W175:AF175,_xlfn.XLOOKUP(_xlpm.k,UPPER(TRIM(W176:AF176)),W177:AF177)),_xlpm.r*Z157*AB157*AB148*IF(ISBLANK(W157),1,W157)),0)</f>
        <v>0</v>
      </c>
      <c r="AF157" s="1476" t="str">
        <f>_xlfn.LET(_xlpm.unite,SUBSTITUTE(TRIM(AA157)," (s)",""),_xlpm.val,AE157,_xlpm.estVol,COUNTIF(Z174:AF174,_xlpm.unite)+COUNTIF(Z176:AF176,_xlpm.unite)&gt;0,_xlpm.estPoids,COUNTIF(W174:Y174,_xlpm.unite)+COUNTIF(W176:Y176,_xlpm.unite)&gt;0,IF(_xlpm.estVol,IF(ROUND(_xlpm.val,3)&gt;=1,ROUND(_xlpm.val,3)&amp;" L",MAX(1,ROUND(_xlpm.val*100,0))&amp;" cl"),IF(_xlpm.estPoids,IF(ROUND(_xlpm.val,3)&gt;=1,ROUND(_xlpm.val,3)&amp;" Kg",MAX(1,ROUND(_xlpm.val*1000,0))&amp;" g"),"")))</f>
        <v/>
      </c>
      <c r="AH157" s="104" t="str">
        <f t="shared" si="34"/>
        <v>►</v>
      </c>
      <c r="AI157" s="32" t="str">
        <f>AI149</f>
        <v>N NOMBRE DE LA RECETA | | Autor &gt; USTED</v>
      </c>
      <c r="AJ157" s="33">
        <f>AJ149</f>
        <v>18</v>
      </c>
      <c r="AK157" s="32" t="str">
        <f>AK149</f>
        <v>postres</v>
      </c>
      <c r="AL157" s="34" t="str">
        <f>AL149</f>
        <v>Receta madre ► Introduzca el nombre de la receta principal</v>
      </c>
      <c r="AM157" s="92"/>
      <c r="AN157" s="108"/>
      <c r="AO157" s="94" t="str">
        <f t="shared" si="31"/>
        <v/>
      </c>
      <c r="AP157" s="95"/>
      <c r="AQ157" s="126"/>
      <c r="AR157" s="127">
        <v>1</v>
      </c>
      <c r="AS157" s="920"/>
      <c r="AT157" s="1495">
        <f>IF(OR(ISBLANK(AM147),AT147=0),0,AM157*AR148)</f>
        <v>0</v>
      </c>
      <c r="AU157" s="101" cm="1">
        <f t="array" ref="AU157">IFERROR(_xlfn.LET(_xlpm.k,UPPER(TRIM(AQ157)),_xlpm.r,_xlfn.XLOOKUP(_xlpm.k,UPPER(TRIM(AM174:AV174)),AM175:AV175,_xlfn.XLOOKUP(_xlpm.k,UPPER(TRIM(AM176:AV176)),AM177:AV177)),_xlpm.r*AP157*AR157*AR148*IF(ISBLANK(AM157),1,AM157)),0)</f>
        <v>0</v>
      </c>
      <c r="AV157" s="1476" t="str">
        <f>_xlfn.LET(_xlpm.unite,SUBSTITUTE(TRIM(AQ157)," (s)",""),_xlpm.val,AU157,_xlpm.estVol,COUNTIF(AP174:AV174,_xlpm.unite)+COUNTIF(AP176:AV176,_xlpm.unite)&gt;0,_xlpm.estPoids,COUNTIF(AM174:AO174,_xlpm.unite)+COUNTIF(AM176:AO176,_xlpm.unite)&gt;0,IF(_xlpm.estVol,IF(ROUND(_xlpm.val,3)&gt;=1,ROUND(_xlpm.val,3)&amp;" L",MAX(1,ROUND(_xlpm.val*100,0))&amp;" cl"),IF(_xlpm.estPoids,IF(ROUND(_xlpm.val,3)&gt;=1,ROUND(_xlpm.val,3)&amp;" Kg",MAX(1,ROUND(_xlpm.val*1000,0))&amp;" g"),"")))</f>
        <v/>
      </c>
      <c r="AX157" s="428"/>
      <c r="AY157" s="445">
        <v>8</v>
      </c>
      <c r="AZ157" s="446" t="s">
        <v>493</v>
      </c>
      <c r="BA157" s="9"/>
      <c r="BB157" s="9"/>
      <c r="BC157" s="183"/>
      <c r="BD157" s="189"/>
      <c r="BF157" s="428"/>
      <c r="BG157" s="445">
        <v>8</v>
      </c>
      <c r="BH157" s="446" t="s">
        <v>494</v>
      </c>
      <c r="BI157" s="9"/>
      <c r="BJ157" s="9"/>
      <c r="BK157" s="183"/>
      <c r="BL157" s="189"/>
      <c r="BN157" s="428"/>
      <c r="BO157" s="445">
        <v>8</v>
      </c>
      <c r="BP157" s="446" t="s">
        <v>495</v>
      </c>
      <c r="BQ157" s="9"/>
      <c r="BR157" s="9"/>
      <c r="BS157" s="183"/>
      <c r="BT157" s="189"/>
      <c r="BV157" s="3">
        <v>1</v>
      </c>
    </row>
    <row r="158" spans="2:74" ht="21" customHeight="1">
      <c r="B158" s="104" t="str">
        <f t="shared" si="32"/>
        <v>►</v>
      </c>
      <c r="C158" s="32" t="str">
        <f>C149</f>
        <v>N NOM DE VOTRE RECETTE | | Auteur &gt; VOUS</v>
      </c>
      <c r="D158" s="33">
        <f>D149</f>
        <v>18</v>
      </c>
      <c r="E158" s="32" t="str">
        <f>E149</f>
        <v>desserts</v>
      </c>
      <c r="F158" s="34" t="str">
        <f>F149</f>
        <v>Recette mère ► Saisir le nom de la recette principale</v>
      </c>
      <c r="G158" s="92"/>
      <c r="H158" s="108"/>
      <c r="I158" s="94" t="str">
        <f t="shared" si="29"/>
        <v/>
      </c>
      <c r="J158" s="95"/>
      <c r="K158" s="126"/>
      <c r="L158" s="127">
        <v>1</v>
      </c>
      <c r="M158" s="920"/>
      <c r="N158" s="1495">
        <f>IF(OR(ISBLANK(G147),N147=0),0,G158*L148)</f>
        <v>0</v>
      </c>
      <c r="O158" s="101" cm="1">
        <f t="array" ref="O158">IFERROR(_xlfn.LET(_xlpm.k,UPPER(TRIM(K158)),_xlpm.r,_xlfn.XLOOKUP(_xlpm.k,UPPER(TRIM(G174:P174)),G175:P175,_xlfn.XLOOKUP(_xlpm.k,UPPER(TRIM(G176:P176)),G177:P177)),_xlpm.r*J158*L158*L148*IF(ISBLANK(G158),1,G158)),0)</f>
        <v>0</v>
      </c>
      <c r="P158" s="1475" t="str">
        <f>_xlfn.LET(_xlpm.unite,SUBSTITUTE(TRIM(K158)," (s)",""),_xlpm.val,O158,_xlpm.estVol,COUNTIF(J174:P174,_xlpm.unite)+COUNTIF(J176:P176,_xlpm.unite)&gt;0,_xlpm.estPoids,COUNTIF(G174:I174,_xlpm.unite)+COUNTIF(G176:I176,_xlpm.unite)&gt;0,IF(_xlpm.estVol,IF(ROUND(_xlpm.val,3)&gt;=1,ROUND(_xlpm.val,3)&amp;" L",MAX(1,ROUND(_xlpm.val*100,0))&amp;" cl"),IF(_xlpm.estPoids,IF(ROUND(_xlpm.val,3)&gt;=1,ROUND(_xlpm.val,3)&amp;" Kg",MAX(1,ROUND(_xlpm.val*1000,0))&amp;" g"),"")))</f>
        <v/>
      </c>
      <c r="R158" s="104" t="str">
        <f t="shared" si="33"/>
        <v>►</v>
      </c>
      <c r="S158" s="32" t="str">
        <f>S149</f>
        <v>N NAME OF YOUR RECIPE | |  Author &gt; YOU</v>
      </c>
      <c r="T158" s="33">
        <f>T149</f>
        <v>18</v>
      </c>
      <c r="U158" s="32" t="str">
        <f>U149</f>
        <v>desserts</v>
      </c>
      <c r="V158" s="34" t="str">
        <f>V149</f>
        <v>Master recipe ► Enter the main recipe name</v>
      </c>
      <c r="W158" s="92"/>
      <c r="X158" s="108"/>
      <c r="Y158" s="94" t="str">
        <f t="shared" si="30"/>
        <v/>
      </c>
      <c r="Z158" s="95"/>
      <c r="AA158" s="126"/>
      <c r="AB158" s="127">
        <v>1</v>
      </c>
      <c r="AC158" s="920"/>
      <c r="AD158" s="1495">
        <f>IF(OR(ISBLANK(W147),AD147=0),0,W158*AB148)</f>
        <v>0</v>
      </c>
      <c r="AE158" s="101" cm="1">
        <f t="array" ref="AE158">IFERROR(_xlfn.LET(_xlpm.k,UPPER(TRIM(AA158)),_xlpm.r,_xlfn.XLOOKUP(_xlpm.k,UPPER(TRIM(W174:AF174)),W175:AF175,_xlfn.XLOOKUP(_xlpm.k,UPPER(TRIM(W176:AF176)),W177:AF177)),_xlpm.r*Z158*AB158*AB148*IF(ISBLANK(W158),1,W158)),0)</f>
        <v>0</v>
      </c>
      <c r="AF158" s="1475" t="str">
        <f>_xlfn.LET(_xlpm.unite,SUBSTITUTE(TRIM(AA158)," (s)",""),_xlpm.val,AE158,_xlpm.estVol,COUNTIF(Z174:AF174,_xlpm.unite)+COUNTIF(Z176:AF176,_xlpm.unite)&gt;0,_xlpm.estPoids,COUNTIF(W174:Y174,_xlpm.unite)+COUNTIF(W176:Y176,_xlpm.unite)&gt;0,IF(_xlpm.estVol,IF(ROUND(_xlpm.val,3)&gt;=1,ROUND(_xlpm.val,3)&amp;" L",MAX(1,ROUND(_xlpm.val*100,0))&amp;" cl"),IF(_xlpm.estPoids,IF(ROUND(_xlpm.val,3)&gt;=1,ROUND(_xlpm.val,3)&amp;" Kg",MAX(1,ROUND(_xlpm.val*1000,0))&amp;" g"),"")))</f>
        <v/>
      </c>
      <c r="AH158" s="104" t="str">
        <f t="shared" si="34"/>
        <v>►</v>
      </c>
      <c r="AI158" s="32" t="str">
        <f>AI149</f>
        <v>N NOMBRE DE LA RECETA | | Autor &gt; USTED</v>
      </c>
      <c r="AJ158" s="33">
        <f>AJ149</f>
        <v>18</v>
      </c>
      <c r="AK158" s="32" t="str">
        <f>AK149</f>
        <v>postres</v>
      </c>
      <c r="AL158" s="34" t="str">
        <f>AL149</f>
        <v>Receta madre ► Introduzca el nombre de la receta principal</v>
      </c>
      <c r="AM158" s="92"/>
      <c r="AN158" s="108"/>
      <c r="AO158" s="94" t="str">
        <f t="shared" si="31"/>
        <v/>
      </c>
      <c r="AP158" s="95"/>
      <c r="AQ158" s="126"/>
      <c r="AR158" s="127">
        <v>1</v>
      </c>
      <c r="AS158" s="920"/>
      <c r="AT158" s="1495">
        <f>IF(OR(ISBLANK(AM147),AT147=0),0,AM158*AR148)</f>
        <v>0</v>
      </c>
      <c r="AU158" s="101" cm="1">
        <f t="array" ref="AU158">IFERROR(_xlfn.LET(_xlpm.k,UPPER(TRIM(AQ158)),_xlpm.r,_xlfn.XLOOKUP(_xlpm.k,UPPER(TRIM(AM174:AV174)),AM175:AV175,_xlfn.XLOOKUP(_xlpm.k,UPPER(TRIM(AM176:AV176)),AM177:AV177)),_xlpm.r*AP158*AR158*AR148*IF(ISBLANK(AM158),1,AM158)),0)</f>
        <v>0</v>
      </c>
      <c r="AV158" s="1475" t="str">
        <f>_xlfn.LET(_xlpm.unite,SUBSTITUTE(TRIM(AQ158)," (s)",""),_xlpm.val,AU158,_xlpm.estVol,COUNTIF(AP174:AV174,_xlpm.unite)+COUNTIF(AP176:AV176,_xlpm.unite)&gt;0,_xlpm.estPoids,COUNTIF(AM174:AO174,_xlpm.unite)+COUNTIF(AM176:AO176,_xlpm.unite)&gt;0,IF(_xlpm.estVol,IF(ROUND(_xlpm.val,3)&gt;=1,ROUND(_xlpm.val,3)&amp;" L",MAX(1,ROUND(_xlpm.val*100,0))&amp;" cl"),IF(_xlpm.estPoids,IF(ROUND(_xlpm.val,3)&gt;=1,ROUND(_xlpm.val,3)&amp;" Kg",MAX(1,ROUND(_xlpm.val*1000,0))&amp;" g"),"")))</f>
        <v/>
      </c>
      <c r="AX158" s="428"/>
      <c r="AY158" s="445">
        <v>1.5</v>
      </c>
      <c r="AZ158" s="446" t="s">
        <v>496</v>
      </c>
      <c r="BA158" s="9"/>
      <c r="BB158" s="9"/>
      <c r="BC158" s="183"/>
      <c r="BD158" s="189"/>
      <c r="BF158" s="428"/>
      <c r="BG158" s="445">
        <v>1.5</v>
      </c>
      <c r="BH158" s="446" t="s">
        <v>497</v>
      </c>
      <c r="BI158" s="9"/>
      <c r="BJ158" s="9"/>
      <c r="BK158" s="183"/>
      <c r="BL158" s="189"/>
      <c r="BN158" s="428"/>
      <c r="BO158" s="445">
        <v>1.5</v>
      </c>
      <c r="BP158" s="446" t="s">
        <v>498</v>
      </c>
      <c r="BQ158" s="9"/>
      <c r="BR158" s="9"/>
      <c r="BS158" s="183"/>
      <c r="BT158" s="189"/>
      <c r="BV158" s="3">
        <v>1</v>
      </c>
    </row>
    <row r="159" spans="2:74" ht="21" customHeight="1">
      <c r="B159" s="104" t="str">
        <f t="shared" si="32"/>
        <v>►</v>
      </c>
      <c r="C159" s="32" t="str">
        <f>C149</f>
        <v>N NOM DE VOTRE RECETTE | | Auteur &gt; VOUS</v>
      </c>
      <c r="D159" s="33">
        <f>D149</f>
        <v>18</v>
      </c>
      <c r="E159" s="32" t="str">
        <f>E149</f>
        <v>desserts</v>
      </c>
      <c r="F159" s="34" t="str">
        <f>F149</f>
        <v>Recette mère ► Saisir le nom de la recette principale</v>
      </c>
      <c r="G159" s="92"/>
      <c r="H159" s="108"/>
      <c r="I159" s="94" t="str">
        <f t="shared" si="29"/>
        <v/>
      </c>
      <c r="J159" s="95"/>
      <c r="K159" s="126"/>
      <c r="L159" s="127">
        <v>1</v>
      </c>
      <c r="M159" s="920"/>
      <c r="N159" s="1495">
        <f>IF(OR(ISBLANK(G147),N147=0),0,G159*L148)</f>
        <v>0</v>
      </c>
      <c r="O159" s="101" cm="1">
        <f t="array" ref="O159">IFERROR(_xlfn.LET(_xlpm.k,UPPER(TRIM(K159)),_xlpm.r,_xlfn.XLOOKUP(_xlpm.k,UPPER(TRIM(G174:P174)),G175:P175,_xlfn.XLOOKUP(_xlpm.k,UPPER(TRIM(G176:P176)),G177:P177)),_xlpm.r*J159*L159*L148*IF(ISBLANK(G159),1,G159)),0)</f>
        <v>0</v>
      </c>
      <c r="P159" s="1476" t="str">
        <f>_xlfn.LET(_xlpm.unite,SUBSTITUTE(TRIM(K159)," (s)",""),_xlpm.val,O159,_xlpm.estVol,COUNTIF(J174:P174,_xlpm.unite)+COUNTIF(J176:P176,_xlpm.unite)&gt;0,_xlpm.estPoids,COUNTIF(G174:I174,_xlpm.unite)+COUNTIF(G176:I176,_xlpm.unite)&gt;0,IF(_xlpm.estVol,IF(ROUND(_xlpm.val,3)&gt;=1,ROUND(_xlpm.val,3)&amp;" L",MAX(1,ROUND(_xlpm.val*100,0))&amp;" cl"),IF(_xlpm.estPoids,IF(ROUND(_xlpm.val,3)&gt;=1,ROUND(_xlpm.val,3)&amp;" Kg",MAX(1,ROUND(_xlpm.val*1000,0))&amp;" g"),"")))</f>
        <v/>
      </c>
      <c r="R159" s="104" t="str">
        <f t="shared" si="33"/>
        <v>►</v>
      </c>
      <c r="S159" s="32" t="str">
        <f>S149</f>
        <v>N NAME OF YOUR RECIPE | |  Author &gt; YOU</v>
      </c>
      <c r="T159" s="33">
        <f>T149</f>
        <v>18</v>
      </c>
      <c r="U159" s="32" t="str">
        <f>U149</f>
        <v>desserts</v>
      </c>
      <c r="V159" s="34" t="str">
        <f>V149</f>
        <v>Master recipe ► Enter the main recipe name</v>
      </c>
      <c r="W159" s="92"/>
      <c r="X159" s="108"/>
      <c r="Y159" s="94" t="str">
        <f t="shared" si="30"/>
        <v/>
      </c>
      <c r="Z159" s="95"/>
      <c r="AA159" s="126"/>
      <c r="AB159" s="127">
        <v>1</v>
      </c>
      <c r="AC159" s="920"/>
      <c r="AD159" s="1495">
        <f>IF(OR(ISBLANK(W147),AD147=0),0,W159*AB148)</f>
        <v>0</v>
      </c>
      <c r="AE159" s="101" cm="1">
        <f t="array" ref="AE159">IFERROR(_xlfn.LET(_xlpm.k,UPPER(TRIM(AA159)),_xlpm.r,_xlfn.XLOOKUP(_xlpm.k,UPPER(TRIM(W174:AF174)),W175:AF175,_xlfn.XLOOKUP(_xlpm.k,UPPER(TRIM(W176:AF176)),W177:AF177)),_xlpm.r*Z159*AB159*AB148*IF(ISBLANK(W159),1,W159)),0)</f>
        <v>0</v>
      </c>
      <c r="AF159" s="1476" t="str">
        <f>_xlfn.LET(_xlpm.unite,SUBSTITUTE(TRIM(AA159)," (s)",""),_xlpm.val,AE159,_xlpm.estVol,COUNTIF(Z174:AF174,_xlpm.unite)+COUNTIF(Z176:AF176,_xlpm.unite)&gt;0,_xlpm.estPoids,COUNTIF(W174:Y174,_xlpm.unite)+COUNTIF(W176:Y176,_xlpm.unite)&gt;0,IF(_xlpm.estVol,IF(ROUND(_xlpm.val,3)&gt;=1,ROUND(_xlpm.val,3)&amp;" L",MAX(1,ROUND(_xlpm.val*100,0))&amp;" cl"),IF(_xlpm.estPoids,IF(ROUND(_xlpm.val,3)&gt;=1,ROUND(_xlpm.val,3)&amp;" Kg",MAX(1,ROUND(_xlpm.val*1000,0))&amp;" g"),"")))</f>
        <v/>
      </c>
      <c r="AH159" s="104" t="str">
        <f t="shared" si="34"/>
        <v>►</v>
      </c>
      <c r="AI159" s="32" t="str">
        <f>AI149</f>
        <v>N NOMBRE DE LA RECETA | | Autor &gt; USTED</v>
      </c>
      <c r="AJ159" s="33">
        <f>AJ149</f>
        <v>18</v>
      </c>
      <c r="AK159" s="32" t="str">
        <f>AK149</f>
        <v>postres</v>
      </c>
      <c r="AL159" s="34" t="str">
        <f>AL149</f>
        <v>Receta madre ► Introduzca el nombre de la receta principal</v>
      </c>
      <c r="AM159" s="92"/>
      <c r="AN159" s="108"/>
      <c r="AO159" s="94" t="str">
        <f t="shared" si="31"/>
        <v/>
      </c>
      <c r="AP159" s="95"/>
      <c r="AQ159" s="126"/>
      <c r="AR159" s="127">
        <v>1</v>
      </c>
      <c r="AS159" s="920"/>
      <c r="AT159" s="1495">
        <f>IF(OR(ISBLANK(AM147),AT147=0),0,AM159*AR148)</f>
        <v>0</v>
      </c>
      <c r="AU159" s="101" cm="1">
        <f t="array" ref="AU159">IFERROR(_xlfn.LET(_xlpm.k,UPPER(TRIM(AQ159)),_xlpm.r,_xlfn.XLOOKUP(_xlpm.k,UPPER(TRIM(AM174:AV174)),AM175:AV175,_xlfn.XLOOKUP(_xlpm.k,UPPER(TRIM(AM176:AV176)),AM177:AV177)),_xlpm.r*AP159*AR159*AR148*IF(ISBLANK(AM159),1,AM159)),0)</f>
        <v>0</v>
      </c>
      <c r="AV159" s="1476" t="str">
        <f>_xlfn.LET(_xlpm.unite,SUBSTITUTE(TRIM(AQ159)," (s)",""),_xlpm.val,AU159,_xlpm.estVol,COUNTIF(AP174:AV174,_xlpm.unite)+COUNTIF(AP176:AV176,_xlpm.unite)&gt;0,_xlpm.estPoids,COUNTIF(AM174:AO174,_xlpm.unite)+COUNTIF(AM176:AO176,_xlpm.unite)&gt;0,IF(_xlpm.estVol,IF(ROUND(_xlpm.val,3)&gt;=1,ROUND(_xlpm.val,3)&amp;" L",MAX(1,ROUND(_xlpm.val*100,0))&amp;" cl"),IF(_xlpm.estPoids,IF(ROUND(_xlpm.val,3)&gt;=1,ROUND(_xlpm.val,3)&amp;" Kg",MAX(1,ROUND(_xlpm.val*1000,0))&amp;" g"),"")))</f>
        <v/>
      </c>
      <c r="AX159" s="428"/>
      <c r="AY159" s="445">
        <v>3</v>
      </c>
      <c r="AZ159" s="446" t="s">
        <v>500</v>
      </c>
      <c r="BA159" s="9"/>
      <c r="BB159" s="9"/>
      <c r="BC159" s="183"/>
      <c r="BD159" s="189"/>
      <c r="BF159" s="428"/>
      <c r="BG159" s="445">
        <v>3</v>
      </c>
      <c r="BH159" s="446" t="s">
        <v>501</v>
      </c>
      <c r="BI159" s="9"/>
      <c r="BJ159" s="9"/>
      <c r="BK159" s="183"/>
      <c r="BL159" s="189"/>
      <c r="BN159" s="428"/>
      <c r="BO159" s="445">
        <v>3</v>
      </c>
      <c r="BP159" s="446" t="s">
        <v>502</v>
      </c>
      <c r="BQ159" s="9"/>
      <c r="BR159" s="9"/>
      <c r="BS159" s="183"/>
      <c r="BT159" s="189"/>
      <c r="BV159" s="3">
        <v>1</v>
      </c>
    </row>
    <row r="160" spans="2:74" ht="21" customHeight="1">
      <c r="B160" s="104" t="str">
        <f t="shared" si="32"/>
        <v>►</v>
      </c>
      <c r="C160" s="32" t="str">
        <f>C149</f>
        <v>N NOM DE VOTRE RECETTE | | Auteur &gt; VOUS</v>
      </c>
      <c r="D160" s="33">
        <f>D149</f>
        <v>18</v>
      </c>
      <c r="E160" s="32" t="str">
        <f>E149</f>
        <v>desserts</v>
      </c>
      <c r="F160" s="34" t="str">
        <f>F149</f>
        <v>Recette mère ► Saisir le nom de la recette principale</v>
      </c>
      <c r="G160" s="92"/>
      <c r="H160" s="108"/>
      <c r="I160" s="94" t="str">
        <f t="shared" si="29"/>
        <v/>
      </c>
      <c r="J160" s="95"/>
      <c r="K160" s="126"/>
      <c r="L160" s="127">
        <v>1</v>
      </c>
      <c r="M160" s="920"/>
      <c r="N160" s="1495">
        <f>IF(OR(ISBLANK(G147),N147=0),0,G160*L148)</f>
        <v>0</v>
      </c>
      <c r="O160" s="101" cm="1">
        <f t="array" ref="O160">IFERROR(_xlfn.LET(_xlpm.k,UPPER(TRIM(K160)),_xlpm.r,_xlfn.XLOOKUP(_xlpm.k,UPPER(TRIM(G174:P174)),G175:P175,_xlfn.XLOOKUP(_xlpm.k,UPPER(TRIM(G176:P176)),G177:P177)),_xlpm.r*J160*L160*L148*IF(ISBLANK(G160),1,G160)),0)</f>
        <v>0</v>
      </c>
      <c r="P160" s="1475" t="str">
        <f>_xlfn.LET(_xlpm.unite,SUBSTITUTE(TRIM(K160)," (s)",""),_xlpm.val,O160,_xlpm.estVol,COUNTIF(J174:P174,_xlpm.unite)+COUNTIF(J176:P176,_xlpm.unite)&gt;0,_xlpm.estPoids,COUNTIF(G174:I174,_xlpm.unite)+COUNTIF(G176:I176,_xlpm.unite)&gt;0,IF(_xlpm.estVol,IF(ROUND(_xlpm.val,3)&gt;=1,ROUND(_xlpm.val,3)&amp;" L",MAX(1,ROUND(_xlpm.val*100,0))&amp;" cl"),IF(_xlpm.estPoids,IF(ROUND(_xlpm.val,3)&gt;=1,ROUND(_xlpm.val,3)&amp;" Kg",MAX(1,ROUND(_xlpm.val*1000,0))&amp;" g"),"")))</f>
        <v/>
      </c>
      <c r="R160" s="104" t="str">
        <f t="shared" si="33"/>
        <v>►</v>
      </c>
      <c r="S160" s="32" t="str">
        <f>S149</f>
        <v>N NAME OF YOUR RECIPE | |  Author &gt; YOU</v>
      </c>
      <c r="T160" s="33">
        <f>T149</f>
        <v>18</v>
      </c>
      <c r="U160" s="32" t="str">
        <f>U149</f>
        <v>desserts</v>
      </c>
      <c r="V160" s="34" t="str">
        <f>V149</f>
        <v>Master recipe ► Enter the main recipe name</v>
      </c>
      <c r="W160" s="92"/>
      <c r="X160" s="108"/>
      <c r="Y160" s="94" t="str">
        <f t="shared" si="30"/>
        <v/>
      </c>
      <c r="Z160" s="95"/>
      <c r="AA160" s="126"/>
      <c r="AB160" s="127">
        <v>1</v>
      </c>
      <c r="AC160" s="920"/>
      <c r="AD160" s="1495">
        <f>IF(OR(ISBLANK(W147),AD147=0),0,W160*AB148)</f>
        <v>0</v>
      </c>
      <c r="AE160" s="101" cm="1">
        <f t="array" ref="AE160">IFERROR(_xlfn.LET(_xlpm.k,UPPER(TRIM(AA160)),_xlpm.r,_xlfn.XLOOKUP(_xlpm.k,UPPER(TRIM(W174:AF174)),W175:AF175,_xlfn.XLOOKUP(_xlpm.k,UPPER(TRIM(W176:AF176)),W177:AF177)),_xlpm.r*Z160*AB160*AB148*IF(ISBLANK(W160),1,W160)),0)</f>
        <v>0</v>
      </c>
      <c r="AF160" s="1475" t="str">
        <f>_xlfn.LET(_xlpm.unite,SUBSTITUTE(TRIM(AA160)," (s)",""),_xlpm.val,AE160,_xlpm.estVol,COUNTIF(Z174:AF174,_xlpm.unite)+COUNTIF(Z176:AF176,_xlpm.unite)&gt;0,_xlpm.estPoids,COUNTIF(W174:Y174,_xlpm.unite)+COUNTIF(W176:Y176,_xlpm.unite)&gt;0,IF(_xlpm.estVol,IF(ROUND(_xlpm.val,3)&gt;=1,ROUND(_xlpm.val,3)&amp;" L",MAX(1,ROUND(_xlpm.val*100,0))&amp;" cl"),IF(_xlpm.estPoids,IF(ROUND(_xlpm.val,3)&gt;=1,ROUND(_xlpm.val,3)&amp;" Kg",MAX(1,ROUND(_xlpm.val*1000,0))&amp;" g"),"")))</f>
        <v/>
      </c>
      <c r="AH160" s="104" t="str">
        <f t="shared" si="34"/>
        <v>►</v>
      </c>
      <c r="AI160" s="32" t="str">
        <f>AI149</f>
        <v>N NOMBRE DE LA RECETA | | Autor &gt; USTED</v>
      </c>
      <c r="AJ160" s="33">
        <f>AJ149</f>
        <v>18</v>
      </c>
      <c r="AK160" s="32" t="str">
        <f>AK149</f>
        <v>postres</v>
      </c>
      <c r="AL160" s="34" t="str">
        <f>AL149</f>
        <v>Receta madre ► Introduzca el nombre de la receta principal</v>
      </c>
      <c r="AM160" s="92"/>
      <c r="AN160" s="108"/>
      <c r="AO160" s="94" t="str">
        <f t="shared" si="31"/>
        <v/>
      </c>
      <c r="AP160" s="95"/>
      <c r="AQ160" s="126"/>
      <c r="AR160" s="127">
        <v>1</v>
      </c>
      <c r="AS160" s="920"/>
      <c r="AT160" s="1495">
        <f>IF(OR(ISBLANK(AM147),AT147=0),0,AM160*AR148)</f>
        <v>0</v>
      </c>
      <c r="AU160" s="101" cm="1">
        <f t="array" ref="AU160">IFERROR(_xlfn.LET(_xlpm.k,UPPER(TRIM(AQ160)),_xlpm.r,_xlfn.XLOOKUP(_xlpm.k,UPPER(TRIM(AM174:AV174)),AM175:AV175,_xlfn.XLOOKUP(_xlpm.k,UPPER(TRIM(AM176:AV176)),AM177:AV177)),_xlpm.r*AP160*AR160*AR148*IF(ISBLANK(AM160),1,AM160)),0)</f>
        <v>0</v>
      </c>
      <c r="AV160" s="1475" t="str">
        <f>_xlfn.LET(_xlpm.unite,SUBSTITUTE(TRIM(AQ160)," (s)",""),_xlpm.val,AU160,_xlpm.estVol,COUNTIF(AP174:AV174,_xlpm.unite)+COUNTIF(AP176:AV176,_xlpm.unite)&gt;0,_xlpm.estPoids,COUNTIF(AM174:AO174,_xlpm.unite)+COUNTIF(AM176:AO176,_xlpm.unite)&gt;0,IF(_xlpm.estVol,IF(ROUND(_xlpm.val,3)&gt;=1,ROUND(_xlpm.val,3)&amp;" L",MAX(1,ROUND(_xlpm.val*100,0))&amp;" cl"),IF(_xlpm.estPoids,IF(ROUND(_xlpm.val,3)&gt;=1,ROUND(_xlpm.val,3)&amp;" Kg",MAX(1,ROUND(_xlpm.val*1000,0))&amp;" g"),"")))</f>
        <v/>
      </c>
      <c r="AX160" s="428"/>
      <c r="AY160" s="429"/>
      <c r="AZ160" s="9"/>
      <c r="BA160" s="9"/>
      <c r="BB160" s="9"/>
      <c r="BC160" s="183"/>
      <c r="BD160" s="189"/>
      <c r="BF160" s="428"/>
      <c r="BG160" s="429"/>
      <c r="BH160" s="9"/>
      <c r="BI160" s="9"/>
      <c r="BJ160" s="9"/>
      <c r="BK160" s="183"/>
      <c r="BL160" s="189"/>
      <c r="BN160" s="428"/>
      <c r="BO160" s="429"/>
      <c r="BP160" s="9"/>
      <c r="BQ160" s="9"/>
      <c r="BR160" s="9"/>
      <c r="BS160" s="183"/>
      <c r="BT160" s="189"/>
      <c r="BV160" s="3">
        <v>1</v>
      </c>
    </row>
    <row r="161" spans="2:74" ht="21" customHeight="1">
      <c r="B161" s="104" t="str">
        <f t="shared" si="32"/>
        <v>►</v>
      </c>
      <c r="C161" s="32" t="str">
        <f>C149</f>
        <v>N NOM DE VOTRE RECETTE | | Auteur &gt; VOUS</v>
      </c>
      <c r="D161" s="33">
        <f>D149</f>
        <v>18</v>
      </c>
      <c r="E161" s="32" t="str">
        <f>E149</f>
        <v>desserts</v>
      </c>
      <c r="F161" s="34" t="str">
        <f>F149</f>
        <v>Recette mère ► Saisir le nom de la recette principale</v>
      </c>
      <c r="G161" s="92"/>
      <c r="H161" s="108"/>
      <c r="I161" s="94" t="str">
        <f t="shared" si="29"/>
        <v/>
      </c>
      <c r="J161" s="95"/>
      <c r="K161" s="126"/>
      <c r="L161" s="127">
        <v>1</v>
      </c>
      <c r="M161" s="920"/>
      <c r="N161" s="1495">
        <f>IF(OR(ISBLANK(G147),N147=0),0,G161*L148)</f>
        <v>0</v>
      </c>
      <c r="O161" s="101" cm="1">
        <f t="array" ref="O161">IFERROR(_xlfn.LET(_xlpm.k,UPPER(TRIM(K161)),_xlpm.r,_xlfn.XLOOKUP(_xlpm.k,UPPER(TRIM(G174:P174)),G175:P175,_xlfn.XLOOKUP(_xlpm.k,UPPER(TRIM(G176:P176)),G177:P177)),_xlpm.r*J161*L161*L148*IF(ISBLANK(G161),1,G161)),0)</f>
        <v>0</v>
      </c>
      <c r="P161" s="1476" t="str">
        <f>_xlfn.LET(_xlpm.unite,SUBSTITUTE(TRIM(K161)," (s)",""),_xlpm.val,O161,_xlpm.estVol,COUNTIF(J174:P174,_xlpm.unite)+COUNTIF(J176:P176,_xlpm.unite)&gt;0,_xlpm.estPoids,COUNTIF(G174:I174,_xlpm.unite)+COUNTIF(G176:I176,_xlpm.unite)&gt;0,IF(_xlpm.estVol,IF(ROUND(_xlpm.val,3)&gt;=1,ROUND(_xlpm.val,3)&amp;" L",MAX(1,ROUND(_xlpm.val*100,0))&amp;" cl"),IF(_xlpm.estPoids,IF(ROUND(_xlpm.val,3)&gt;=1,ROUND(_xlpm.val,3)&amp;" Kg",MAX(1,ROUND(_xlpm.val*1000,0))&amp;" g"),"")))</f>
        <v/>
      </c>
      <c r="R161" s="104" t="str">
        <f t="shared" si="33"/>
        <v>►</v>
      </c>
      <c r="S161" s="32" t="str">
        <f>S149</f>
        <v>N NAME OF YOUR RECIPE | |  Author &gt; YOU</v>
      </c>
      <c r="T161" s="33">
        <f>T149</f>
        <v>18</v>
      </c>
      <c r="U161" s="32" t="str">
        <f>U149</f>
        <v>desserts</v>
      </c>
      <c r="V161" s="34" t="str">
        <f>V149</f>
        <v>Master recipe ► Enter the main recipe name</v>
      </c>
      <c r="W161" s="92"/>
      <c r="X161" s="108"/>
      <c r="Y161" s="94" t="str">
        <f t="shared" si="30"/>
        <v/>
      </c>
      <c r="Z161" s="95"/>
      <c r="AA161" s="126"/>
      <c r="AB161" s="127">
        <v>1</v>
      </c>
      <c r="AC161" s="920"/>
      <c r="AD161" s="1495">
        <f>IF(OR(ISBLANK(W147),AD147=0),0,W161*AB148)</f>
        <v>0</v>
      </c>
      <c r="AE161" s="101" cm="1">
        <f t="array" ref="AE161">IFERROR(_xlfn.LET(_xlpm.k,UPPER(TRIM(AA161)),_xlpm.r,_xlfn.XLOOKUP(_xlpm.k,UPPER(TRIM(W174:AF174)),W175:AF175,_xlfn.XLOOKUP(_xlpm.k,UPPER(TRIM(W176:AF176)),W177:AF177)),_xlpm.r*Z161*AB161*AB148*IF(ISBLANK(W161),1,W161)),0)</f>
        <v>0</v>
      </c>
      <c r="AF161" s="1476" t="str">
        <f>_xlfn.LET(_xlpm.unite,SUBSTITUTE(TRIM(AA161)," (s)",""),_xlpm.val,AE161,_xlpm.estVol,COUNTIF(Z174:AF174,_xlpm.unite)+COUNTIF(Z176:AF176,_xlpm.unite)&gt;0,_xlpm.estPoids,COUNTIF(W174:Y174,_xlpm.unite)+COUNTIF(W176:Y176,_xlpm.unite)&gt;0,IF(_xlpm.estVol,IF(ROUND(_xlpm.val,3)&gt;=1,ROUND(_xlpm.val,3)&amp;" L",MAX(1,ROUND(_xlpm.val*100,0))&amp;" cl"),IF(_xlpm.estPoids,IF(ROUND(_xlpm.val,3)&gt;=1,ROUND(_xlpm.val,3)&amp;" Kg",MAX(1,ROUND(_xlpm.val*1000,0))&amp;" g"),"")))</f>
        <v/>
      </c>
      <c r="AH161" s="104" t="str">
        <f t="shared" si="34"/>
        <v>►</v>
      </c>
      <c r="AI161" s="32" t="str">
        <f>AI149</f>
        <v>N NOMBRE DE LA RECETA | | Autor &gt; USTED</v>
      </c>
      <c r="AJ161" s="33">
        <f>AJ149</f>
        <v>18</v>
      </c>
      <c r="AK161" s="32" t="str">
        <f>AK149</f>
        <v>postres</v>
      </c>
      <c r="AL161" s="34" t="str">
        <f>AL149</f>
        <v>Receta madre ► Introduzca el nombre de la receta principal</v>
      </c>
      <c r="AM161" s="92"/>
      <c r="AN161" s="108"/>
      <c r="AO161" s="94" t="str">
        <f t="shared" si="31"/>
        <v/>
      </c>
      <c r="AP161" s="95"/>
      <c r="AQ161" s="126"/>
      <c r="AR161" s="127">
        <v>1</v>
      </c>
      <c r="AS161" s="920"/>
      <c r="AT161" s="1495">
        <f>IF(OR(ISBLANK(AM147),AT147=0),0,AM161*AR148)</f>
        <v>0</v>
      </c>
      <c r="AU161" s="101" cm="1">
        <f t="array" ref="AU161">IFERROR(_xlfn.LET(_xlpm.k,UPPER(TRIM(AQ161)),_xlpm.r,_xlfn.XLOOKUP(_xlpm.k,UPPER(TRIM(AM174:AV174)),AM175:AV175,_xlfn.XLOOKUP(_xlpm.k,UPPER(TRIM(AM176:AV176)),AM177:AV177)),_xlpm.r*AP161*AR161*AR148*IF(ISBLANK(AM161),1,AM161)),0)</f>
        <v>0</v>
      </c>
      <c r="AV161" s="1476" t="str">
        <f>_xlfn.LET(_xlpm.unite,SUBSTITUTE(TRIM(AQ161)," (s)",""),_xlpm.val,AU161,_xlpm.estVol,COUNTIF(AP174:AV174,_xlpm.unite)+COUNTIF(AP176:AV176,_xlpm.unite)&gt;0,_xlpm.estPoids,COUNTIF(AM174:AO174,_xlpm.unite)+COUNTIF(AM176:AO176,_xlpm.unite)&gt;0,IF(_xlpm.estVol,IF(ROUND(_xlpm.val,3)&gt;=1,ROUND(_xlpm.val,3)&amp;" L",MAX(1,ROUND(_xlpm.val*100,0))&amp;" cl"),IF(_xlpm.estPoids,IF(ROUND(_xlpm.val,3)&gt;=1,ROUND(_xlpm.val,3)&amp;" Kg",MAX(1,ROUND(_xlpm.val*1000,0))&amp;" g"),"")))</f>
        <v/>
      </c>
      <c r="AX161" s="5628" t="s">
        <v>2858</v>
      </c>
      <c r="AY161" s="470" t="s">
        <v>520</v>
      </c>
      <c r="AZ161" s="471"/>
      <c r="BA161" s="472"/>
      <c r="BB161" s="472"/>
      <c r="BC161" s="9"/>
      <c r="BD161" s="189"/>
      <c r="BF161" s="5628" t="s">
        <v>2858</v>
      </c>
      <c r="BG161" s="470" t="s">
        <v>521</v>
      </c>
      <c r="BH161" s="471"/>
      <c r="BI161" s="472"/>
      <c r="BJ161" s="472"/>
      <c r="BK161" s="9"/>
      <c r="BL161" s="189"/>
      <c r="BN161" s="5628" t="s">
        <v>2858</v>
      </c>
      <c r="BO161" s="470" t="s">
        <v>522</v>
      </c>
      <c r="BP161" s="471"/>
      <c r="BQ161" s="472"/>
      <c r="BR161" s="472"/>
      <c r="BS161" s="9"/>
      <c r="BT161" s="189"/>
      <c r="BV161" s="3">
        <v>1</v>
      </c>
    </row>
    <row r="162" spans="2:74" ht="21" customHeight="1">
      <c r="B162" s="104" t="str">
        <f t="shared" si="32"/>
        <v>►</v>
      </c>
      <c r="C162" s="32" t="str">
        <f>C149</f>
        <v>N NOM DE VOTRE RECETTE | | Auteur &gt; VOUS</v>
      </c>
      <c r="D162" s="33">
        <f>D149</f>
        <v>18</v>
      </c>
      <c r="E162" s="32" t="str">
        <f>E149</f>
        <v>desserts</v>
      </c>
      <c r="F162" s="34" t="str">
        <f>F149</f>
        <v>Recette mère ► Saisir le nom de la recette principale</v>
      </c>
      <c r="G162" s="92"/>
      <c r="H162" s="108"/>
      <c r="I162" s="94" t="str">
        <f t="shared" si="29"/>
        <v/>
      </c>
      <c r="J162" s="95"/>
      <c r="K162" s="126"/>
      <c r="L162" s="127">
        <v>1</v>
      </c>
      <c r="M162" s="920"/>
      <c r="N162" s="1495">
        <f>IF(OR(ISBLANK(G147),N147=0),0,G162*L148)</f>
        <v>0</v>
      </c>
      <c r="O162" s="101" cm="1">
        <f t="array" ref="O162">IFERROR(_xlfn.LET(_xlpm.k,UPPER(TRIM(K162)),_xlpm.r,_xlfn.XLOOKUP(_xlpm.k,UPPER(TRIM(G174:P174)),G175:P175,_xlfn.XLOOKUP(_xlpm.k,UPPER(TRIM(G176:P176)),G177:P177)),_xlpm.r*J162*L162*L148*IF(ISBLANK(G162),1,G162)),0)</f>
        <v>0</v>
      </c>
      <c r="P162" s="1475" t="str">
        <f>_xlfn.LET(_xlpm.unite,SUBSTITUTE(TRIM(K162)," (s)",""),_xlpm.val,O162,_xlpm.estVol,COUNTIF(J174:P174,_xlpm.unite)+COUNTIF(J176:P176,_xlpm.unite)&gt;0,_xlpm.estPoids,COUNTIF(G174:I174,_xlpm.unite)+COUNTIF(G176:I176,_xlpm.unite)&gt;0,IF(_xlpm.estVol,IF(ROUND(_xlpm.val,3)&gt;=1,ROUND(_xlpm.val,3)&amp;" L",MAX(1,ROUND(_xlpm.val*100,0))&amp;" cl"),IF(_xlpm.estPoids,IF(ROUND(_xlpm.val,3)&gt;=1,ROUND(_xlpm.val,3)&amp;" Kg",MAX(1,ROUND(_xlpm.val*1000,0))&amp;" g"),"")))</f>
        <v/>
      </c>
      <c r="R162" s="104" t="str">
        <f t="shared" si="33"/>
        <v>►</v>
      </c>
      <c r="S162" s="32" t="str">
        <f>S149</f>
        <v>N NAME OF YOUR RECIPE | |  Author &gt; YOU</v>
      </c>
      <c r="T162" s="33">
        <f>T149</f>
        <v>18</v>
      </c>
      <c r="U162" s="32" t="str">
        <f>U149</f>
        <v>desserts</v>
      </c>
      <c r="V162" s="34" t="str">
        <f>V149</f>
        <v>Master recipe ► Enter the main recipe name</v>
      </c>
      <c r="W162" s="92"/>
      <c r="X162" s="108"/>
      <c r="Y162" s="94" t="str">
        <f t="shared" si="30"/>
        <v/>
      </c>
      <c r="Z162" s="95"/>
      <c r="AA162" s="126"/>
      <c r="AB162" s="127">
        <v>1</v>
      </c>
      <c r="AC162" s="920"/>
      <c r="AD162" s="1495">
        <f>IF(OR(ISBLANK(W147),AD147=0),0,W162*AB148)</f>
        <v>0</v>
      </c>
      <c r="AE162" s="101" cm="1">
        <f t="array" ref="AE162">IFERROR(_xlfn.LET(_xlpm.k,UPPER(TRIM(AA162)),_xlpm.r,_xlfn.XLOOKUP(_xlpm.k,UPPER(TRIM(W174:AF174)),W175:AF175,_xlfn.XLOOKUP(_xlpm.k,UPPER(TRIM(W176:AF176)),W177:AF177)),_xlpm.r*Z162*AB162*AB148*IF(ISBLANK(W162),1,W162)),0)</f>
        <v>0</v>
      </c>
      <c r="AF162" s="1475" t="str">
        <f>_xlfn.LET(_xlpm.unite,SUBSTITUTE(TRIM(AA162)," (s)",""),_xlpm.val,AE162,_xlpm.estVol,COUNTIF(Z174:AF174,_xlpm.unite)+COUNTIF(Z176:AF176,_xlpm.unite)&gt;0,_xlpm.estPoids,COUNTIF(W174:Y174,_xlpm.unite)+COUNTIF(W176:Y176,_xlpm.unite)&gt;0,IF(_xlpm.estVol,IF(ROUND(_xlpm.val,3)&gt;=1,ROUND(_xlpm.val,3)&amp;" L",MAX(1,ROUND(_xlpm.val*100,0))&amp;" cl"),IF(_xlpm.estPoids,IF(ROUND(_xlpm.val,3)&gt;=1,ROUND(_xlpm.val,3)&amp;" Kg",MAX(1,ROUND(_xlpm.val*1000,0))&amp;" g"),"")))</f>
        <v/>
      </c>
      <c r="AH162" s="104" t="str">
        <f t="shared" si="34"/>
        <v>►</v>
      </c>
      <c r="AI162" s="32" t="str">
        <f>AI149</f>
        <v>N NOMBRE DE LA RECETA | | Autor &gt; USTED</v>
      </c>
      <c r="AJ162" s="33">
        <f>AJ149</f>
        <v>18</v>
      </c>
      <c r="AK162" s="32" t="str">
        <f>AK149</f>
        <v>postres</v>
      </c>
      <c r="AL162" s="34" t="str">
        <f>AL149</f>
        <v>Receta madre ► Introduzca el nombre de la receta principal</v>
      </c>
      <c r="AM162" s="92"/>
      <c r="AN162" s="108"/>
      <c r="AO162" s="94" t="str">
        <f t="shared" si="31"/>
        <v/>
      </c>
      <c r="AP162" s="95"/>
      <c r="AQ162" s="126"/>
      <c r="AR162" s="127">
        <v>1</v>
      </c>
      <c r="AS162" s="920"/>
      <c r="AT162" s="1495">
        <f>IF(OR(ISBLANK(AM147),AT147=0),0,AM162*AR148)</f>
        <v>0</v>
      </c>
      <c r="AU162" s="101" cm="1">
        <f t="array" ref="AU162">IFERROR(_xlfn.LET(_xlpm.k,UPPER(TRIM(AQ162)),_xlpm.r,_xlfn.XLOOKUP(_xlpm.k,UPPER(TRIM(AM174:AV174)),AM175:AV175,_xlfn.XLOOKUP(_xlpm.k,UPPER(TRIM(AM176:AV176)),AM177:AV177)),_xlpm.r*AP162*AR162*AR148*IF(ISBLANK(AM162),1,AM162)),0)</f>
        <v>0</v>
      </c>
      <c r="AV162" s="1475" t="str">
        <f>_xlfn.LET(_xlpm.unite,SUBSTITUTE(TRIM(AQ162)," (s)",""),_xlpm.val,AU162,_xlpm.estVol,COUNTIF(AP174:AV174,_xlpm.unite)+COUNTIF(AP176:AV176,_xlpm.unite)&gt;0,_xlpm.estPoids,COUNTIF(AM174:AO174,_xlpm.unite)+COUNTIF(AM176:AO176,_xlpm.unite)&gt;0,IF(_xlpm.estVol,IF(ROUND(_xlpm.val,3)&gt;=1,ROUND(_xlpm.val,3)&amp;" L",MAX(1,ROUND(_xlpm.val*100,0))&amp;" cl"),IF(_xlpm.estPoids,IF(ROUND(_xlpm.val,3)&gt;=1,ROUND(_xlpm.val,3)&amp;" Kg",MAX(1,ROUND(_xlpm.val*1000,0))&amp;" g"),"")))</f>
        <v/>
      </c>
      <c r="AX162" s="5628"/>
      <c r="AY162" s="473" t="s">
        <v>523</v>
      </c>
      <c r="AZ162" s="474"/>
      <c r="BA162" s="474"/>
      <c r="BB162" s="475"/>
      <c r="BC162" s="9"/>
      <c r="BD162" s="189"/>
      <c r="BF162" s="5628"/>
      <c r="BG162" s="473" t="s">
        <v>524</v>
      </c>
      <c r="BH162" s="474"/>
      <c r="BI162" s="474"/>
      <c r="BJ162" s="475"/>
      <c r="BK162" s="9"/>
      <c r="BL162" s="189"/>
      <c r="BN162" s="5628"/>
      <c r="BO162" s="473" t="s">
        <v>525</v>
      </c>
      <c r="BP162" s="474"/>
      <c r="BQ162" s="474"/>
      <c r="BR162" s="475"/>
      <c r="BS162" s="9"/>
      <c r="BT162" s="189"/>
      <c r="BV162" s="3">
        <v>1</v>
      </c>
    </row>
    <row r="163" spans="2:74" ht="21" customHeight="1">
      <c r="B163" s="104" t="str">
        <f t="shared" si="32"/>
        <v>►</v>
      </c>
      <c r="C163" s="32" t="str">
        <f>C149</f>
        <v>N NOM DE VOTRE RECETTE | | Auteur &gt; VOUS</v>
      </c>
      <c r="D163" s="33">
        <f>D149</f>
        <v>18</v>
      </c>
      <c r="E163" s="32" t="str">
        <f>E149</f>
        <v>desserts</v>
      </c>
      <c r="F163" s="34" t="str">
        <f>F149</f>
        <v>Recette mère ► Saisir le nom de la recette principale</v>
      </c>
      <c r="G163" s="92"/>
      <c r="H163" s="108"/>
      <c r="I163" s="94" t="str">
        <f t="shared" si="29"/>
        <v/>
      </c>
      <c r="J163" s="95"/>
      <c r="K163" s="126"/>
      <c r="L163" s="127">
        <v>1</v>
      </c>
      <c r="M163" s="920"/>
      <c r="N163" s="1495">
        <f>IF(OR(ISBLANK(G147),N147=0),0,G163*L148)</f>
        <v>0</v>
      </c>
      <c r="O163" s="101" cm="1">
        <f t="array" ref="O163">IFERROR(_xlfn.LET(_xlpm.k,UPPER(TRIM(K163)),_xlpm.r,_xlfn.XLOOKUP(_xlpm.k,UPPER(TRIM(G174:P174)),G175:P175,_xlfn.XLOOKUP(_xlpm.k,UPPER(TRIM(G176:P176)),G177:P177)),_xlpm.r*J163*L163*L148*IF(ISBLANK(G163),1,G163)),0)</f>
        <v>0</v>
      </c>
      <c r="P163" s="1476" t="str">
        <f>_xlfn.LET(_xlpm.unite,SUBSTITUTE(TRIM(K163)," (s)",""),_xlpm.val,O163,_xlpm.estVol,COUNTIF(J174:P174,_xlpm.unite)+COUNTIF(J176:P176,_xlpm.unite)&gt;0,_xlpm.estPoids,COUNTIF(G174:I174,_xlpm.unite)+COUNTIF(G176:I176,_xlpm.unite)&gt;0,IF(_xlpm.estVol,IF(ROUND(_xlpm.val,3)&gt;=1,ROUND(_xlpm.val,3)&amp;" L",MAX(1,ROUND(_xlpm.val*100,0))&amp;" cl"),IF(_xlpm.estPoids,IF(ROUND(_xlpm.val,3)&gt;=1,ROUND(_xlpm.val,3)&amp;" Kg",MAX(1,ROUND(_xlpm.val*1000,0))&amp;" g"),"")))</f>
        <v/>
      </c>
      <c r="R163" s="104" t="str">
        <f t="shared" si="33"/>
        <v>►</v>
      </c>
      <c r="S163" s="32" t="str">
        <f>S149</f>
        <v>N NAME OF YOUR RECIPE | |  Author &gt; YOU</v>
      </c>
      <c r="T163" s="33">
        <f>T149</f>
        <v>18</v>
      </c>
      <c r="U163" s="32" t="str">
        <f>U149</f>
        <v>desserts</v>
      </c>
      <c r="V163" s="34" t="str">
        <f>V149</f>
        <v>Master recipe ► Enter the main recipe name</v>
      </c>
      <c r="W163" s="92"/>
      <c r="X163" s="108"/>
      <c r="Y163" s="94" t="str">
        <f t="shared" si="30"/>
        <v/>
      </c>
      <c r="Z163" s="95"/>
      <c r="AA163" s="126"/>
      <c r="AB163" s="127">
        <v>1</v>
      </c>
      <c r="AC163" s="920"/>
      <c r="AD163" s="1495">
        <f>IF(OR(ISBLANK(W147),AD147=0),0,W163*AB148)</f>
        <v>0</v>
      </c>
      <c r="AE163" s="101" cm="1">
        <f t="array" ref="AE163">IFERROR(_xlfn.LET(_xlpm.k,UPPER(TRIM(AA163)),_xlpm.r,_xlfn.XLOOKUP(_xlpm.k,UPPER(TRIM(W174:AF174)),W175:AF175,_xlfn.XLOOKUP(_xlpm.k,UPPER(TRIM(W176:AF176)),W177:AF177)),_xlpm.r*Z163*AB163*AB148*IF(ISBLANK(W163),1,W163)),0)</f>
        <v>0</v>
      </c>
      <c r="AF163" s="1476" t="str">
        <f>_xlfn.LET(_xlpm.unite,SUBSTITUTE(TRIM(AA163)," (s)",""),_xlpm.val,AE163,_xlpm.estVol,COUNTIF(Z174:AF174,_xlpm.unite)+COUNTIF(Z176:AF176,_xlpm.unite)&gt;0,_xlpm.estPoids,COUNTIF(W174:Y174,_xlpm.unite)+COUNTIF(W176:Y176,_xlpm.unite)&gt;0,IF(_xlpm.estVol,IF(ROUND(_xlpm.val,3)&gt;=1,ROUND(_xlpm.val,3)&amp;" L",MAX(1,ROUND(_xlpm.val*100,0))&amp;" cl"),IF(_xlpm.estPoids,IF(ROUND(_xlpm.val,3)&gt;=1,ROUND(_xlpm.val,3)&amp;" Kg",MAX(1,ROUND(_xlpm.val*1000,0))&amp;" g"),"")))</f>
        <v/>
      </c>
      <c r="AH163" s="104" t="str">
        <f t="shared" si="34"/>
        <v>►</v>
      </c>
      <c r="AI163" s="32" t="str">
        <f>AI149</f>
        <v>N NOMBRE DE LA RECETA | | Autor &gt; USTED</v>
      </c>
      <c r="AJ163" s="33">
        <f>AJ149</f>
        <v>18</v>
      </c>
      <c r="AK163" s="32" t="str">
        <f>AK149</f>
        <v>postres</v>
      </c>
      <c r="AL163" s="34" t="str">
        <f>AL149</f>
        <v>Receta madre ► Introduzca el nombre de la receta principal</v>
      </c>
      <c r="AM163" s="92"/>
      <c r="AN163" s="108"/>
      <c r="AO163" s="94" t="str">
        <f t="shared" si="31"/>
        <v/>
      </c>
      <c r="AP163" s="95"/>
      <c r="AQ163" s="126"/>
      <c r="AR163" s="127">
        <v>1</v>
      </c>
      <c r="AS163" s="920"/>
      <c r="AT163" s="1495">
        <f>IF(OR(ISBLANK(AM147),AT147=0),0,AM163*AR148)</f>
        <v>0</v>
      </c>
      <c r="AU163" s="101" cm="1">
        <f t="array" ref="AU163">IFERROR(_xlfn.LET(_xlpm.k,UPPER(TRIM(AQ163)),_xlpm.r,_xlfn.XLOOKUP(_xlpm.k,UPPER(TRIM(AM174:AV174)),AM175:AV175,_xlfn.XLOOKUP(_xlpm.k,UPPER(TRIM(AM176:AV176)),AM177:AV177)),_xlpm.r*AP163*AR163*AR148*IF(ISBLANK(AM163),1,AM163)),0)</f>
        <v>0</v>
      </c>
      <c r="AV163" s="1476" t="str">
        <f>_xlfn.LET(_xlpm.unite,SUBSTITUTE(TRIM(AQ163)," (s)",""),_xlpm.val,AU163,_xlpm.estVol,COUNTIF(AP174:AV174,_xlpm.unite)+COUNTIF(AP176:AV176,_xlpm.unite)&gt;0,_xlpm.estPoids,COUNTIF(AM174:AO174,_xlpm.unite)+COUNTIF(AM176:AO176,_xlpm.unite)&gt;0,IF(_xlpm.estVol,IF(ROUND(_xlpm.val,3)&gt;=1,ROUND(_xlpm.val,3)&amp;" L",MAX(1,ROUND(_xlpm.val*100,0))&amp;" cl"),IF(_xlpm.estPoids,IF(ROUND(_xlpm.val,3)&gt;=1,ROUND(_xlpm.val,3)&amp;" Kg",MAX(1,ROUND(_xlpm.val*1000,0))&amp;" g"),"")))</f>
        <v/>
      </c>
      <c r="AX163" s="5628"/>
      <c r="AY163" s="476">
        <v>16</v>
      </c>
      <c r="AZ163" s="477" t="s">
        <v>488</v>
      </c>
      <c r="BA163" s="475"/>
      <c r="BB163" s="475"/>
      <c r="BC163" s="9"/>
      <c r="BD163" s="189"/>
      <c r="BF163" s="5628"/>
      <c r="BG163" s="476">
        <v>16</v>
      </c>
      <c r="BH163" s="477" t="s">
        <v>489</v>
      </c>
      <c r="BI163" s="475"/>
      <c r="BJ163" s="475"/>
      <c r="BK163" s="9"/>
      <c r="BL163" s="189"/>
      <c r="BN163" s="5628"/>
      <c r="BO163" s="476">
        <v>16</v>
      </c>
      <c r="BP163" s="477" t="s">
        <v>490</v>
      </c>
      <c r="BQ163" s="475"/>
      <c r="BR163" s="475"/>
      <c r="BS163" s="9"/>
      <c r="BT163" s="189"/>
      <c r="BV163" s="3">
        <v>1</v>
      </c>
    </row>
    <row r="164" spans="2:74" ht="21" customHeight="1">
      <c r="B164" s="104" t="str">
        <f t="shared" si="32"/>
        <v>►</v>
      </c>
      <c r="C164" s="32" t="str">
        <f>C149</f>
        <v>N NOM DE VOTRE RECETTE | | Auteur &gt; VOUS</v>
      </c>
      <c r="D164" s="33">
        <f>D149</f>
        <v>18</v>
      </c>
      <c r="E164" s="32" t="str">
        <f>E149</f>
        <v>desserts</v>
      </c>
      <c r="F164" s="34" t="str">
        <f>F149</f>
        <v>Recette mère ► Saisir le nom de la recette principale</v>
      </c>
      <c r="G164" s="92"/>
      <c r="H164" s="108"/>
      <c r="I164" s="94" t="str">
        <f t="shared" si="29"/>
        <v/>
      </c>
      <c r="J164" s="95"/>
      <c r="K164" s="126"/>
      <c r="L164" s="127">
        <v>1</v>
      </c>
      <c r="M164" s="920"/>
      <c r="N164" s="1495">
        <f>IF(OR(ISBLANK(G147),N147=0),0,G164*L148)</f>
        <v>0</v>
      </c>
      <c r="O164" s="101" cm="1">
        <f t="array" ref="O164">IFERROR(_xlfn.LET(_xlpm.k,UPPER(TRIM(K164)),_xlpm.r,_xlfn.XLOOKUP(_xlpm.k,UPPER(TRIM(G174:P174)),G175:P175,_xlfn.XLOOKUP(_xlpm.k,UPPER(TRIM(G176:P176)),G177:P177)),_xlpm.r*J164*L164*L148*IF(ISBLANK(G164),1,G164)),0)</f>
        <v>0</v>
      </c>
      <c r="P164" s="1475" t="str">
        <f>_xlfn.LET(_xlpm.unite,SUBSTITUTE(TRIM(K164)," (s)",""),_xlpm.val,O164,_xlpm.estVol,COUNTIF(J174:P174,_xlpm.unite)+COUNTIF(J176:P176,_xlpm.unite)&gt;0,_xlpm.estPoids,COUNTIF(G174:I174,_xlpm.unite)+COUNTIF(G176:I176,_xlpm.unite)&gt;0,IF(_xlpm.estVol,IF(ROUND(_xlpm.val,3)&gt;=1,ROUND(_xlpm.val,3)&amp;" L",MAX(1,ROUND(_xlpm.val*100,0))&amp;" cl"),IF(_xlpm.estPoids,IF(ROUND(_xlpm.val,3)&gt;=1,ROUND(_xlpm.val,3)&amp;" Kg",MAX(1,ROUND(_xlpm.val*1000,0))&amp;" g"),"")))</f>
        <v/>
      </c>
      <c r="R164" s="104" t="str">
        <f t="shared" si="33"/>
        <v>►</v>
      </c>
      <c r="S164" s="32" t="str">
        <f>S149</f>
        <v>N NAME OF YOUR RECIPE | |  Author &gt; YOU</v>
      </c>
      <c r="T164" s="33">
        <f>T149</f>
        <v>18</v>
      </c>
      <c r="U164" s="32" t="str">
        <f>U149</f>
        <v>desserts</v>
      </c>
      <c r="V164" s="34" t="str">
        <f>V149</f>
        <v>Master recipe ► Enter the main recipe name</v>
      </c>
      <c r="W164" s="92"/>
      <c r="X164" s="108"/>
      <c r="Y164" s="94" t="str">
        <f t="shared" si="30"/>
        <v/>
      </c>
      <c r="Z164" s="95"/>
      <c r="AA164" s="126"/>
      <c r="AB164" s="127">
        <v>1</v>
      </c>
      <c r="AC164" s="920"/>
      <c r="AD164" s="1495">
        <f>IF(OR(ISBLANK(W147),AD147=0),0,W164*AB148)</f>
        <v>0</v>
      </c>
      <c r="AE164" s="101" cm="1">
        <f t="array" ref="AE164">IFERROR(_xlfn.LET(_xlpm.k,UPPER(TRIM(AA164)),_xlpm.r,_xlfn.XLOOKUP(_xlpm.k,UPPER(TRIM(W174:AF174)),W175:AF175,_xlfn.XLOOKUP(_xlpm.k,UPPER(TRIM(W176:AF176)),W177:AF177)),_xlpm.r*Z164*AB164*AB148*IF(ISBLANK(W164),1,W164)),0)</f>
        <v>0</v>
      </c>
      <c r="AF164" s="1475" t="str">
        <f>_xlfn.LET(_xlpm.unite,SUBSTITUTE(TRIM(AA164)," (s)",""),_xlpm.val,AE164,_xlpm.estVol,COUNTIF(Z174:AF174,_xlpm.unite)+COUNTIF(Z176:AF176,_xlpm.unite)&gt;0,_xlpm.estPoids,COUNTIF(W174:Y174,_xlpm.unite)+COUNTIF(W176:Y176,_xlpm.unite)&gt;0,IF(_xlpm.estVol,IF(ROUND(_xlpm.val,3)&gt;=1,ROUND(_xlpm.val,3)&amp;" L",MAX(1,ROUND(_xlpm.val*100,0))&amp;" cl"),IF(_xlpm.estPoids,IF(ROUND(_xlpm.val,3)&gt;=1,ROUND(_xlpm.val,3)&amp;" Kg",MAX(1,ROUND(_xlpm.val*1000,0))&amp;" g"),"")))</f>
        <v/>
      </c>
      <c r="AH164" s="104" t="str">
        <f t="shared" si="34"/>
        <v>►</v>
      </c>
      <c r="AI164" s="32" t="str">
        <f>AI149</f>
        <v>N NOMBRE DE LA RECETA | | Autor &gt; USTED</v>
      </c>
      <c r="AJ164" s="33">
        <f>AJ149</f>
        <v>18</v>
      </c>
      <c r="AK164" s="32" t="str">
        <f>AK149</f>
        <v>postres</v>
      </c>
      <c r="AL164" s="34" t="str">
        <f>AL149</f>
        <v>Receta madre ► Introduzca el nombre de la receta principal</v>
      </c>
      <c r="AM164" s="92"/>
      <c r="AN164" s="108"/>
      <c r="AO164" s="94" t="str">
        <f t="shared" si="31"/>
        <v/>
      </c>
      <c r="AP164" s="95"/>
      <c r="AQ164" s="126"/>
      <c r="AR164" s="127">
        <v>1</v>
      </c>
      <c r="AS164" s="920"/>
      <c r="AT164" s="1495">
        <f>IF(OR(ISBLANK(AM147),AT147=0),0,AM164*AR148)</f>
        <v>0</v>
      </c>
      <c r="AU164" s="101" cm="1">
        <f t="array" ref="AU164">IFERROR(_xlfn.LET(_xlpm.k,UPPER(TRIM(AQ164)),_xlpm.r,_xlfn.XLOOKUP(_xlpm.k,UPPER(TRIM(AM174:AV174)),AM175:AV175,_xlfn.XLOOKUP(_xlpm.k,UPPER(TRIM(AM176:AV176)),AM177:AV177)),_xlpm.r*AP164*AR164*AR148*IF(ISBLANK(AM164),1,AM164)),0)</f>
        <v>0</v>
      </c>
      <c r="AV164" s="1475" t="str">
        <f>_xlfn.LET(_xlpm.unite,SUBSTITUTE(TRIM(AQ164)," (s)",""),_xlpm.val,AU164,_xlpm.estVol,COUNTIF(AP174:AV174,_xlpm.unite)+COUNTIF(AP176:AV176,_xlpm.unite)&gt;0,_xlpm.estPoids,COUNTIF(AM174:AO174,_xlpm.unite)+COUNTIF(AM176:AO176,_xlpm.unite)&gt;0,IF(_xlpm.estVol,IF(ROUND(_xlpm.val,3)&gt;=1,ROUND(_xlpm.val,3)&amp;" L",MAX(1,ROUND(_xlpm.val*100,0))&amp;" cl"),IF(_xlpm.estPoids,IF(ROUND(_xlpm.val,3)&gt;=1,ROUND(_xlpm.val,3)&amp;" Kg",MAX(1,ROUND(_xlpm.val*1000,0))&amp;" g"),"")))</f>
        <v/>
      </c>
      <c r="AX164" s="5628"/>
      <c r="AY164" s="476">
        <v>25</v>
      </c>
      <c r="AZ164" s="477" t="s">
        <v>493</v>
      </c>
      <c r="BA164" s="475"/>
      <c r="BB164" s="475"/>
      <c r="BC164" s="9"/>
      <c r="BD164" s="189"/>
      <c r="BF164" s="5628"/>
      <c r="BG164" s="476">
        <v>25</v>
      </c>
      <c r="BH164" s="477" t="s">
        <v>494</v>
      </c>
      <c r="BI164" s="475"/>
      <c r="BJ164" s="475"/>
      <c r="BK164" s="9"/>
      <c r="BL164" s="189"/>
      <c r="BN164" s="5628"/>
      <c r="BO164" s="476">
        <v>25</v>
      </c>
      <c r="BP164" s="477" t="s">
        <v>495</v>
      </c>
      <c r="BQ164" s="475"/>
      <c r="BR164" s="475"/>
      <c r="BS164" s="9"/>
      <c r="BT164" s="189"/>
      <c r="BV164" s="3">
        <v>1</v>
      </c>
    </row>
    <row r="165" spans="2:74" ht="21" customHeight="1">
      <c r="B165" s="104" t="str">
        <f t="shared" si="32"/>
        <v>►</v>
      </c>
      <c r="C165" s="32" t="str">
        <f>C149</f>
        <v>N NOM DE VOTRE RECETTE | | Auteur &gt; VOUS</v>
      </c>
      <c r="D165" s="33">
        <f>D149</f>
        <v>18</v>
      </c>
      <c r="E165" s="32" t="str">
        <f>E149</f>
        <v>desserts</v>
      </c>
      <c r="F165" s="34" t="str">
        <f>F149</f>
        <v>Recette mère ► Saisir le nom de la recette principale</v>
      </c>
      <c r="G165" s="92"/>
      <c r="H165" s="108"/>
      <c r="I165" s="94" t="str">
        <f t="shared" si="29"/>
        <v/>
      </c>
      <c r="J165" s="95"/>
      <c r="K165" s="126"/>
      <c r="L165" s="127">
        <v>1</v>
      </c>
      <c r="M165" s="920"/>
      <c r="N165" s="1495">
        <f>IF(OR(ISBLANK(G147),N147=0),0,G165*L148)</f>
        <v>0</v>
      </c>
      <c r="O165" s="101" cm="1">
        <f t="array" ref="O165">IFERROR(_xlfn.LET(_xlpm.k,UPPER(TRIM(K165)),_xlpm.r,_xlfn.XLOOKUP(_xlpm.k,UPPER(TRIM(G174:P174)),G175:P175,_xlfn.XLOOKUP(_xlpm.k,UPPER(TRIM(G176:P176)),G177:P177)),_xlpm.r*J165*L165*L148*IF(ISBLANK(G165),1,G165)),0)</f>
        <v>0</v>
      </c>
      <c r="P165" s="1476" t="str">
        <f>_xlfn.LET(_xlpm.unite,SUBSTITUTE(TRIM(K165)," (s)",""),_xlpm.val,O165,_xlpm.estVol,COUNTIF(J174:P174,_xlpm.unite)+COUNTIF(J176:P176,_xlpm.unite)&gt;0,_xlpm.estPoids,COUNTIF(G174:I174,_xlpm.unite)+COUNTIF(G176:I176,_xlpm.unite)&gt;0,IF(_xlpm.estVol,IF(ROUND(_xlpm.val,3)&gt;=1,ROUND(_xlpm.val,3)&amp;" L",MAX(1,ROUND(_xlpm.val*100,0))&amp;" cl"),IF(_xlpm.estPoids,IF(ROUND(_xlpm.val,3)&gt;=1,ROUND(_xlpm.val,3)&amp;" Kg",MAX(1,ROUND(_xlpm.val*1000,0))&amp;" g"),"")))</f>
        <v/>
      </c>
      <c r="R165" s="104" t="str">
        <f t="shared" si="33"/>
        <v>►</v>
      </c>
      <c r="S165" s="32" t="str">
        <f>S149</f>
        <v>N NAME OF YOUR RECIPE | |  Author &gt; YOU</v>
      </c>
      <c r="T165" s="33">
        <f>T149</f>
        <v>18</v>
      </c>
      <c r="U165" s="32" t="str">
        <f>U149</f>
        <v>desserts</v>
      </c>
      <c r="V165" s="34" t="str">
        <f>V149</f>
        <v>Master recipe ► Enter the main recipe name</v>
      </c>
      <c r="W165" s="92"/>
      <c r="X165" s="108"/>
      <c r="Y165" s="94" t="str">
        <f t="shared" si="30"/>
        <v/>
      </c>
      <c r="Z165" s="95"/>
      <c r="AA165" s="126"/>
      <c r="AB165" s="127">
        <v>1</v>
      </c>
      <c r="AC165" s="920"/>
      <c r="AD165" s="1495">
        <f>IF(OR(ISBLANK(W147),AD147=0),0,W165*AB148)</f>
        <v>0</v>
      </c>
      <c r="AE165" s="101" cm="1">
        <f t="array" ref="AE165">IFERROR(_xlfn.LET(_xlpm.k,UPPER(TRIM(AA165)),_xlpm.r,_xlfn.XLOOKUP(_xlpm.k,UPPER(TRIM(W174:AF174)),W175:AF175,_xlfn.XLOOKUP(_xlpm.k,UPPER(TRIM(W176:AF176)),W177:AF177)),_xlpm.r*Z165*AB165*AB148*IF(ISBLANK(W165),1,W165)),0)</f>
        <v>0</v>
      </c>
      <c r="AF165" s="1476" t="str">
        <f>_xlfn.LET(_xlpm.unite,SUBSTITUTE(TRIM(AA165)," (s)",""),_xlpm.val,AE165,_xlpm.estVol,COUNTIF(Z174:AF174,_xlpm.unite)+COUNTIF(Z176:AF176,_xlpm.unite)&gt;0,_xlpm.estPoids,COUNTIF(W174:Y174,_xlpm.unite)+COUNTIF(W176:Y176,_xlpm.unite)&gt;0,IF(_xlpm.estVol,IF(ROUND(_xlpm.val,3)&gt;=1,ROUND(_xlpm.val,3)&amp;" L",MAX(1,ROUND(_xlpm.val*100,0))&amp;" cl"),IF(_xlpm.estPoids,IF(ROUND(_xlpm.val,3)&gt;=1,ROUND(_xlpm.val,3)&amp;" Kg",MAX(1,ROUND(_xlpm.val*1000,0))&amp;" g"),"")))</f>
        <v/>
      </c>
      <c r="AH165" s="104" t="str">
        <f t="shared" si="34"/>
        <v>►</v>
      </c>
      <c r="AI165" s="32" t="str">
        <f>AI149</f>
        <v>N NOMBRE DE LA RECETA | | Autor &gt; USTED</v>
      </c>
      <c r="AJ165" s="33">
        <f>AJ149</f>
        <v>18</v>
      </c>
      <c r="AK165" s="32" t="str">
        <f>AK149</f>
        <v>postres</v>
      </c>
      <c r="AL165" s="34" t="str">
        <f>AL149</f>
        <v>Receta madre ► Introduzca el nombre de la receta principal</v>
      </c>
      <c r="AM165" s="92"/>
      <c r="AN165" s="108"/>
      <c r="AO165" s="94" t="str">
        <f t="shared" si="31"/>
        <v/>
      </c>
      <c r="AP165" s="95"/>
      <c r="AQ165" s="126"/>
      <c r="AR165" s="127">
        <v>1</v>
      </c>
      <c r="AS165" s="920"/>
      <c r="AT165" s="1495">
        <f>IF(OR(ISBLANK(AM147),AT147=0),0,AM165*AR148)</f>
        <v>0</v>
      </c>
      <c r="AU165" s="101" cm="1">
        <f t="array" ref="AU165">IFERROR(_xlfn.LET(_xlpm.k,UPPER(TRIM(AQ165)),_xlpm.r,_xlfn.XLOOKUP(_xlpm.k,UPPER(TRIM(AM174:AV174)),AM175:AV175,_xlfn.XLOOKUP(_xlpm.k,UPPER(TRIM(AM176:AV176)),AM177:AV177)),_xlpm.r*AP165*AR165*AR148*IF(ISBLANK(AM165),1,AM165)),0)</f>
        <v>0</v>
      </c>
      <c r="AV165" s="1476" t="str">
        <f>_xlfn.LET(_xlpm.unite,SUBSTITUTE(TRIM(AQ165)," (s)",""),_xlpm.val,AU165,_xlpm.estVol,COUNTIF(AP174:AV174,_xlpm.unite)+COUNTIF(AP176:AV176,_xlpm.unite)&gt;0,_xlpm.estPoids,COUNTIF(AM174:AO174,_xlpm.unite)+COUNTIF(AM176:AO176,_xlpm.unite)&gt;0,IF(_xlpm.estVol,IF(ROUND(_xlpm.val,3)&gt;=1,ROUND(_xlpm.val,3)&amp;" L",MAX(1,ROUND(_xlpm.val*100,0))&amp;" cl"),IF(_xlpm.estPoids,IF(ROUND(_xlpm.val,3)&gt;=1,ROUND(_xlpm.val,3)&amp;" Kg",MAX(1,ROUND(_xlpm.val*1000,0))&amp;" g"),"")))</f>
        <v/>
      </c>
      <c r="AX165" s="5628"/>
      <c r="AY165" s="476">
        <v>12</v>
      </c>
      <c r="AZ165" s="479" t="s">
        <v>496</v>
      </c>
      <c r="BA165" s="475"/>
      <c r="BB165" s="475"/>
      <c r="BC165" s="9"/>
      <c r="BD165" s="189"/>
      <c r="BF165" s="5628"/>
      <c r="BG165" s="476">
        <v>12</v>
      </c>
      <c r="BH165" s="479" t="s">
        <v>497</v>
      </c>
      <c r="BI165" s="475"/>
      <c r="BJ165" s="475"/>
      <c r="BK165" s="9"/>
      <c r="BL165" s="189"/>
      <c r="BN165" s="5628"/>
      <c r="BO165" s="476">
        <v>12</v>
      </c>
      <c r="BP165" s="479" t="s">
        <v>498</v>
      </c>
      <c r="BQ165" s="475"/>
      <c r="BR165" s="475"/>
      <c r="BS165" s="9"/>
      <c r="BT165" s="189"/>
      <c r="BV165" s="3">
        <v>1</v>
      </c>
    </row>
    <row r="166" spans="2:74" ht="21" customHeight="1">
      <c r="B166" s="104" t="str">
        <f t="shared" si="32"/>
        <v>►</v>
      </c>
      <c r="C166" s="32" t="str">
        <f>C149</f>
        <v>N NOM DE VOTRE RECETTE | | Auteur &gt; VOUS</v>
      </c>
      <c r="D166" s="33">
        <f>D149</f>
        <v>18</v>
      </c>
      <c r="E166" s="32" t="str">
        <f>E149</f>
        <v>desserts</v>
      </c>
      <c r="F166" s="34" t="str">
        <f>F149</f>
        <v>Recette mère ► Saisir le nom de la recette principale</v>
      </c>
      <c r="G166" s="92"/>
      <c r="H166" s="108"/>
      <c r="I166" s="94" t="str">
        <f t="shared" si="29"/>
        <v/>
      </c>
      <c r="J166" s="95"/>
      <c r="K166" s="126"/>
      <c r="L166" s="127">
        <v>1</v>
      </c>
      <c r="M166" s="920"/>
      <c r="N166" s="1495">
        <f>IF(OR(ISBLANK(G147),N147=0),0,G166*L148)</f>
        <v>0</v>
      </c>
      <c r="O166" s="101" cm="1">
        <f t="array" ref="O166">IFERROR(_xlfn.LET(_xlpm.k,UPPER(TRIM(K166)),_xlpm.r,_xlfn.XLOOKUP(_xlpm.k,UPPER(TRIM(G174:P174)),G175:P175,_xlfn.XLOOKUP(_xlpm.k,UPPER(TRIM(G176:P176)),G177:P177)),_xlpm.r*J166*L166*L148*IF(ISBLANK(G166),1,G166)),0)</f>
        <v>0</v>
      </c>
      <c r="P166" s="1475" t="str">
        <f>_xlfn.LET(_xlpm.unite,SUBSTITUTE(TRIM(K166)," (s)",""),_xlpm.val,O166,_xlpm.estVol,COUNTIF(J174:P174,_xlpm.unite)+COUNTIF(J176:P176,_xlpm.unite)&gt;0,_xlpm.estPoids,COUNTIF(G174:I174,_xlpm.unite)+COUNTIF(G176:I176,_xlpm.unite)&gt;0,IF(_xlpm.estVol,IF(ROUND(_xlpm.val,3)&gt;=1,ROUND(_xlpm.val,3)&amp;" L",MAX(1,ROUND(_xlpm.val*100,0))&amp;" cl"),IF(_xlpm.estPoids,IF(ROUND(_xlpm.val,3)&gt;=1,ROUND(_xlpm.val,3)&amp;" Kg",MAX(1,ROUND(_xlpm.val*1000,0))&amp;" g"),"")))</f>
        <v/>
      </c>
      <c r="R166" s="104" t="str">
        <f t="shared" si="33"/>
        <v>►</v>
      </c>
      <c r="S166" s="32" t="str">
        <f>S149</f>
        <v>N NAME OF YOUR RECIPE | |  Author &gt; YOU</v>
      </c>
      <c r="T166" s="33">
        <f>T149</f>
        <v>18</v>
      </c>
      <c r="U166" s="32" t="str">
        <f>U149</f>
        <v>desserts</v>
      </c>
      <c r="V166" s="34" t="str">
        <f>V149</f>
        <v>Master recipe ► Enter the main recipe name</v>
      </c>
      <c r="W166" s="92"/>
      <c r="X166" s="108"/>
      <c r="Y166" s="94" t="str">
        <f t="shared" si="30"/>
        <v/>
      </c>
      <c r="Z166" s="95"/>
      <c r="AA166" s="126"/>
      <c r="AB166" s="127">
        <v>1</v>
      </c>
      <c r="AC166" s="920"/>
      <c r="AD166" s="1495">
        <f>IF(OR(ISBLANK(W147),AD147=0),0,W166*AB148)</f>
        <v>0</v>
      </c>
      <c r="AE166" s="101" cm="1">
        <f t="array" ref="AE166">IFERROR(_xlfn.LET(_xlpm.k,UPPER(TRIM(AA166)),_xlpm.r,_xlfn.XLOOKUP(_xlpm.k,UPPER(TRIM(W174:AF174)),W175:AF175,_xlfn.XLOOKUP(_xlpm.k,UPPER(TRIM(W176:AF176)),W177:AF177)),_xlpm.r*Z166*AB166*AB148*IF(ISBLANK(W166),1,W166)),0)</f>
        <v>0</v>
      </c>
      <c r="AF166" s="1475" t="str">
        <f>_xlfn.LET(_xlpm.unite,SUBSTITUTE(TRIM(AA166)," (s)",""),_xlpm.val,AE166,_xlpm.estVol,COUNTIF(Z174:AF174,_xlpm.unite)+COUNTIF(Z176:AF176,_xlpm.unite)&gt;0,_xlpm.estPoids,COUNTIF(W174:Y174,_xlpm.unite)+COUNTIF(W176:Y176,_xlpm.unite)&gt;0,IF(_xlpm.estVol,IF(ROUND(_xlpm.val,3)&gt;=1,ROUND(_xlpm.val,3)&amp;" L",MAX(1,ROUND(_xlpm.val*100,0))&amp;" cl"),IF(_xlpm.estPoids,IF(ROUND(_xlpm.val,3)&gt;=1,ROUND(_xlpm.val,3)&amp;" Kg",MAX(1,ROUND(_xlpm.val*1000,0))&amp;" g"),"")))</f>
        <v/>
      </c>
      <c r="AH166" s="104" t="str">
        <f t="shared" si="34"/>
        <v>►</v>
      </c>
      <c r="AI166" s="32" t="str">
        <f>AI149</f>
        <v>N NOMBRE DE LA RECETA | | Autor &gt; USTED</v>
      </c>
      <c r="AJ166" s="33">
        <f>AJ149</f>
        <v>18</v>
      </c>
      <c r="AK166" s="32" t="str">
        <f>AK149</f>
        <v>postres</v>
      </c>
      <c r="AL166" s="34" t="str">
        <f>AL149</f>
        <v>Receta madre ► Introduzca el nombre de la receta principal</v>
      </c>
      <c r="AM166" s="92"/>
      <c r="AN166" s="108"/>
      <c r="AO166" s="94" t="str">
        <f t="shared" si="31"/>
        <v/>
      </c>
      <c r="AP166" s="95"/>
      <c r="AQ166" s="126"/>
      <c r="AR166" s="127">
        <v>1</v>
      </c>
      <c r="AS166" s="920"/>
      <c r="AT166" s="1495">
        <f>IF(OR(ISBLANK(AM147),AT147=0),0,AM166*AR148)</f>
        <v>0</v>
      </c>
      <c r="AU166" s="101" cm="1">
        <f t="array" ref="AU166">IFERROR(_xlfn.LET(_xlpm.k,UPPER(TRIM(AQ166)),_xlpm.r,_xlfn.XLOOKUP(_xlpm.k,UPPER(TRIM(AM174:AV174)),AM175:AV175,_xlfn.XLOOKUP(_xlpm.k,UPPER(TRIM(AM176:AV176)),AM177:AV177)),_xlpm.r*AP166*AR166*AR148*IF(ISBLANK(AM166),1,AM166)),0)</f>
        <v>0</v>
      </c>
      <c r="AV166" s="1475" t="str">
        <f>_xlfn.LET(_xlpm.unite,SUBSTITUTE(TRIM(AQ166)," (s)",""),_xlpm.val,AU166,_xlpm.estVol,COUNTIF(AP174:AV174,_xlpm.unite)+COUNTIF(AP176:AV176,_xlpm.unite)&gt;0,_xlpm.estPoids,COUNTIF(AM174:AO174,_xlpm.unite)+COUNTIF(AM176:AO176,_xlpm.unite)&gt;0,IF(_xlpm.estVol,IF(ROUND(_xlpm.val,3)&gt;=1,ROUND(_xlpm.val,3)&amp;" L",MAX(1,ROUND(_xlpm.val*100,0))&amp;" cl"),IF(_xlpm.estPoids,IF(ROUND(_xlpm.val,3)&gt;=1,ROUND(_xlpm.val,3)&amp;" Kg",MAX(1,ROUND(_xlpm.val*1000,0))&amp;" g"),"")))</f>
        <v/>
      </c>
      <c r="AX166" s="5628"/>
      <c r="AY166" s="476">
        <v>7</v>
      </c>
      <c r="AZ166" s="479" t="s">
        <v>500</v>
      </c>
      <c r="BA166" s="475"/>
      <c r="BB166" s="475"/>
      <c r="BC166" s="9"/>
      <c r="BD166" s="189"/>
      <c r="BF166" s="5628"/>
      <c r="BG166" s="476">
        <v>7</v>
      </c>
      <c r="BH166" s="479" t="s">
        <v>501</v>
      </c>
      <c r="BI166" s="475"/>
      <c r="BJ166" s="475"/>
      <c r="BK166" s="9"/>
      <c r="BL166" s="189"/>
      <c r="BN166" s="5628"/>
      <c r="BO166" s="476">
        <v>7</v>
      </c>
      <c r="BP166" s="479" t="s">
        <v>502</v>
      </c>
      <c r="BQ166" s="475"/>
      <c r="BR166" s="475"/>
      <c r="BS166" s="9"/>
      <c r="BT166" s="189"/>
      <c r="BV166" s="3">
        <v>1</v>
      </c>
    </row>
    <row r="167" spans="2:74" ht="21" customHeight="1">
      <c r="B167" s="104" t="str">
        <f t="shared" si="32"/>
        <v>►</v>
      </c>
      <c r="C167" s="32" t="str">
        <f>C149</f>
        <v>N NOM DE VOTRE RECETTE | | Auteur &gt; VOUS</v>
      </c>
      <c r="D167" s="33">
        <f>D149</f>
        <v>18</v>
      </c>
      <c r="E167" s="32" t="str">
        <f>E149</f>
        <v>desserts</v>
      </c>
      <c r="F167" s="34" t="str">
        <f>F149</f>
        <v>Recette mère ► Saisir le nom de la recette principale</v>
      </c>
      <c r="G167" s="92"/>
      <c r="H167" s="108"/>
      <c r="I167" s="94" t="str">
        <f t="shared" si="29"/>
        <v/>
      </c>
      <c r="J167" s="95"/>
      <c r="K167" s="126"/>
      <c r="L167" s="127">
        <v>1</v>
      </c>
      <c r="M167" s="920"/>
      <c r="N167" s="1495">
        <f>IF(OR(ISBLANK(G147),N147=0),0,G167*L148)</f>
        <v>0</v>
      </c>
      <c r="O167" s="101" cm="1">
        <f t="array" ref="O167">IFERROR(_xlfn.LET(_xlpm.k,UPPER(TRIM(K167)),_xlpm.r,_xlfn.XLOOKUP(_xlpm.k,UPPER(TRIM(G174:P174)),G175:P175,_xlfn.XLOOKUP(_xlpm.k,UPPER(TRIM(G176:P176)),G177:P177)),_xlpm.r*J167*L167*L148*IF(ISBLANK(G167),1,G167)),0)</f>
        <v>0</v>
      </c>
      <c r="P167" s="1476" t="str">
        <f>_xlfn.LET(_xlpm.unite,SUBSTITUTE(TRIM(K167)," (s)",""),_xlpm.val,O167,_xlpm.estVol,COUNTIF(J174:P174,_xlpm.unite)+COUNTIF(J176:P176,_xlpm.unite)&gt;0,_xlpm.estPoids,COUNTIF(G174:I174,_xlpm.unite)+COUNTIF(G176:I176,_xlpm.unite)&gt;0,IF(_xlpm.estVol,IF(ROUND(_xlpm.val,3)&gt;=1,ROUND(_xlpm.val,3)&amp;" L",MAX(1,ROUND(_xlpm.val*100,0))&amp;" cl"),IF(_xlpm.estPoids,IF(ROUND(_xlpm.val,3)&gt;=1,ROUND(_xlpm.val,3)&amp;" Kg",MAX(1,ROUND(_xlpm.val*1000,0))&amp;" g"),"")))</f>
        <v/>
      </c>
      <c r="R167" s="104" t="str">
        <f t="shared" si="33"/>
        <v>►</v>
      </c>
      <c r="S167" s="32" t="str">
        <f>S149</f>
        <v>N NAME OF YOUR RECIPE | |  Author &gt; YOU</v>
      </c>
      <c r="T167" s="33">
        <f>T149</f>
        <v>18</v>
      </c>
      <c r="U167" s="32" t="str">
        <f>U149</f>
        <v>desserts</v>
      </c>
      <c r="V167" s="34" t="str">
        <f>V149</f>
        <v>Master recipe ► Enter the main recipe name</v>
      </c>
      <c r="W167" s="92"/>
      <c r="X167" s="108"/>
      <c r="Y167" s="94" t="str">
        <f t="shared" si="30"/>
        <v/>
      </c>
      <c r="Z167" s="95"/>
      <c r="AA167" s="126"/>
      <c r="AB167" s="127">
        <v>1</v>
      </c>
      <c r="AC167" s="920"/>
      <c r="AD167" s="1495">
        <f>IF(OR(ISBLANK(W147),AD147=0),0,W167*AB148)</f>
        <v>0</v>
      </c>
      <c r="AE167" s="101" cm="1">
        <f t="array" ref="AE167">IFERROR(_xlfn.LET(_xlpm.k,UPPER(TRIM(AA167)),_xlpm.r,_xlfn.XLOOKUP(_xlpm.k,UPPER(TRIM(W174:AF174)),W175:AF175,_xlfn.XLOOKUP(_xlpm.k,UPPER(TRIM(W176:AF176)),W177:AF177)),_xlpm.r*Z167*AB167*AB148*IF(ISBLANK(W167),1,W167)),0)</f>
        <v>0</v>
      </c>
      <c r="AF167" s="1476" t="str">
        <f>_xlfn.LET(_xlpm.unite,SUBSTITUTE(TRIM(AA167)," (s)",""),_xlpm.val,AE167,_xlpm.estVol,COUNTIF(Z174:AF174,_xlpm.unite)+COUNTIF(Z176:AF176,_xlpm.unite)&gt;0,_xlpm.estPoids,COUNTIF(W174:Y174,_xlpm.unite)+COUNTIF(W176:Y176,_xlpm.unite)&gt;0,IF(_xlpm.estVol,IF(ROUND(_xlpm.val,3)&gt;=1,ROUND(_xlpm.val,3)&amp;" L",MAX(1,ROUND(_xlpm.val*100,0))&amp;" cl"),IF(_xlpm.estPoids,IF(ROUND(_xlpm.val,3)&gt;=1,ROUND(_xlpm.val,3)&amp;" Kg",MAX(1,ROUND(_xlpm.val*1000,0))&amp;" g"),"")))</f>
        <v/>
      </c>
      <c r="AH167" s="104" t="str">
        <f t="shared" si="34"/>
        <v>►</v>
      </c>
      <c r="AI167" s="32" t="str">
        <f>AI149</f>
        <v>N NOMBRE DE LA RECETA | | Autor &gt; USTED</v>
      </c>
      <c r="AJ167" s="33">
        <f>AJ149</f>
        <v>18</v>
      </c>
      <c r="AK167" s="32" t="str">
        <f>AK149</f>
        <v>postres</v>
      </c>
      <c r="AL167" s="34" t="str">
        <f>AL149</f>
        <v>Receta madre ► Introduzca el nombre de la receta principal</v>
      </c>
      <c r="AM167" s="92"/>
      <c r="AN167" s="108"/>
      <c r="AO167" s="94" t="str">
        <f t="shared" si="31"/>
        <v/>
      </c>
      <c r="AP167" s="95"/>
      <c r="AQ167" s="126"/>
      <c r="AR167" s="127">
        <v>1</v>
      </c>
      <c r="AS167" s="920"/>
      <c r="AT167" s="1495">
        <f>IF(OR(ISBLANK(AM147),AT147=0),0,AM167*AR148)</f>
        <v>0</v>
      </c>
      <c r="AU167" s="101" cm="1">
        <f t="array" ref="AU167">IFERROR(_xlfn.LET(_xlpm.k,UPPER(TRIM(AQ167)),_xlpm.r,_xlfn.XLOOKUP(_xlpm.k,UPPER(TRIM(AM174:AV174)),AM175:AV175,_xlfn.XLOOKUP(_xlpm.k,UPPER(TRIM(AM176:AV176)),AM177:AV177)),_xlpm.r*AP167*AR167*AR148*IF(ISBLANK(AM167),1,AM167)),0)</f>
        <v>0</v>
      </c>
      <c r="AV167" s="1476" t="str">
        <f>_xlfn.LET(_xlpm.unite,SUBSTITUTE(TRIM(AQ167)," (s)",""),_xlpm.val,AU167,_xlpm.estVol,COUNTIF(AP174:AV174,_xlpm.unite)+COUNTIF(AP176:AV176,_xlpm.unite)&gt;0,_xlpm.estPoids,COUNTIF(AM174:AO174,_xlpm.unite)+COUNTIF(AM176:AO176,_xlpm.unite)&gt;0,IF(_xlpm.estVol,IF(ROUND(_xlpm.val,3)&gt;=1,ROUND(_xlpm.val,3)&amp;" L",MAX(1,ROUND(_xlpm.val*100,0))&amp;" cl"),IF(_xlpm.estPoids,IF(ROUND(_xlpm.val,3)&gt;=1,ROUND(_xlpm.val,3)&amp;" Kg",MAX(1,ROUND(_xlpm.val*1000,0))&amp;" g"),"")))</f>
        <v/>
      </c>
      <c r="AX167" s="5628"/>
      <c r="AY167" s="480" t="s">
        <v>526</v>
      </c>
      <c r="AZ167" s="480"/>
      <c r="BA167" s="480"/>
      <c r="BB167" s="480"/>
      <c r="BC167" s="9"/>
      <c r="BD167" s="189"/>
      <c r="BF167" s="5628"/>
      <c r="BG167" s="480" t="s">
        <v>527</v>
      </c>
      <c r="BH167" s="480"/>
      <c r="BI167" s="480"/>
      <c r="BJ167" s="480"/>
      <c r="BK167" s="9"/>
      <c r="BL167" s="189"/>
      <c r="BN167" s="5628"/>
      <c r="BO167" s="480" t="s">
        <v>528</v>
      </c>
      <c r="BP167" s="480"/>
      <c r="BQ167" s="480"/>
      <c r="BR167" s="480"/>
      <c r="BS167" s="9"/>
      <c r="BT167" s="189"/>
      <c r="BV167" s="3">
        <v>1</v>
      </c>
    </row>
    <row r="168" spans="2:74" ht="21" customHeight="1">
      <c r="B168" s="104" t="str">
        <f t="shared" si="32"/>
        <v>►</v>
      </c>
      <c r="C168" s="32" t="str">
        <f>C149</f>
        <v>N NOM DE VOTRE RECETTE | | Auteur &gt; VOUS</v>
      </c>
      <c r="D168" s="33">
        <f>D149</f>
        <v>18</v>
      </c>
      <c r="E168" s="32" t="str">
        <f>E149</f>
        <v>desserts</v>
      </c>
      <c r="F168" s="34" t="str">
        <f>F149</f>
        <v>Recette mère ► Saisir le nom de la recette principale</v>
      </c>
      <c r="G168" s="92"/>
      <c r="H168" s="108"/>
      <c r="I168" s="94" t="str">
        <f t="shared" si="29"/>
        <v/>
      </c>
      <c r="J168" s="95"/>
      <c r="K168" s="126"/>
      <c r="L168" s="127">
        <v>1</v>
      </c>
      <c r="M168" s="920"/>
      <c r="N168" s="1495">
        <f>IF(OR(ISBLANK(G147),N147=0),0,G168*L148)</f>
        <v>0</v>
      </c>
      <c r="O168" s="101" cm="1">
        <f t="array" ref="O168">IFERROR(_xlfn.LET(_xlpm.k,UPPER(TRIM(K168)),_xlpm.r,_xlfn.XLOOKUP(_xlpm.k,UPPER(TRIM(G174:P174)),G175:P175,_xlfn.XLOOKUP(_xlpm.k,UPPER(TRIM(G176:P176)),G177:P177)),_xlpm.r*J168*L168*L148*IF(ISBLANK(G168),1,G168)),0)</f>
        <v>0</v>
      </c>
      <c r="P168" s="1475" t="str">
        <f>_xlfn.LET(_xlpm.unite,SUBSTITUTE(TRIM(K168)," (s)",""),_xlpm.val,O168,_xlpm.estVol,COUNTIF(J174:P174,_xlpm.unite)+COUNTIF(J176:P176,_xlpm.unite)&gt;0,_xlpm.estPoids,COUNTIF(G174:I174,_xlpm.unite)+COUNTIF(G176:I176,_xlpm.unite)&gt;0,IF(_xlpm.estVol,IF(ROUND(_xlpm.val,3)&gt;=1,ROUND(_xlpm.val,3)&amp;" L",MAX(1,ROUND(_xlpm.val*100,0))&amp;" cl"),IF(_xlpm.estPoids,IF(ROUND(_xlpm.val,3)&gt;=1,ROUND(_xlpm.val,3)&amp;" Kg",MAX(1,ROUND(_xlpm.val*1000,0))&amp;" g"),"")))</f>
        <v/>
      </c>
      <c r="R168" s="104" t="str">
        <f t="shared" si="33"/>
        <v>►</v>
      </c>
      <c r="S168" s="32" t="str">
        <f>S149</f>
        <v>N NAME OF YOUR RECIPE | |  Author &gt; YOU</v>
      </c>
      <c r="T168" s="33">
        <f>T149</f>
        <v>18</v>
      </c>
      <c r="U168" s="32" t="str">
        <f>U149</f>
        <v>desserts</v>
      </c>
      <c r="V168" s="34" t="str">
        <f>V149</f>
        <v>Master recipe ► Enter the main recipe name</v>
      </c>
      <c r="W168" s="92"/>
      <c r="X168" s="108"/>
      <c r="Y168" s="94" t="str">
        <f t="shared" si="30"/>
        <v/>
      </c>
      <c r="Z168" s="95"/>
      <c r="AA168" s="126"/>
      <c r="AB168" s="127">
        <v>1</v>
      </c>
      <c r="AC168" s="920"/>
      <c r="AD168" s="1495">
        <f>IF(OR(ISBLANK(W147),AD147=0),0,W168*AB148)</f>
        <v>0</v>
      </c>
      <c r="AE168" s="101" cm="1">
        <f t="array" ref="AE168">IFERROR(_xlfn.LET(_xlpm.k,UPPER(TRIM(AA168)),_xlpm.r,_xlfn.XLOOKUP(_xlpm.k,UPPER(TRIM(W174:AF174)),W175:AF175,_xlfn.XLOOKUP(_xlpm.k,UPPER(TRIM(W176:AF176)),W177:AF177)),_xlpm.r*Z168*AB168*AB148*IF(ISBLANK(W168),1,W168)),0)</f>
        <v>0</v>
      </c>
      <c r="AF168" s="1475" t="str">
        <f>_xlfn.LET(_xlpm.unite,SUBSTITUTE(TRIM(AA168)," (s)",""),_xlpm.val,AE168,_xlpm.estVol,COUNTIF(Z174:AF174,_xlpm.unite)+COUNTIF(Z176:AF176,_xlpm.unite)&gt;0,_xlpm.estPoids,COUNTIF(W174:Y174,_xlpm.unite)+COUNTIF(W176:Y176,_xlpm.unite)&gt;0,IF(_xlpm.estVol,IF(ROUND(_xlpm.val,3)&gt;=1,ROUND(_xlpm.val,3)&amp;" L",MAX(1,ROUND(_xlpm.val*100,0))&amp;" cl"),IF(_xlpm.estPoids,IF(ROUND(_xlpm.val,3)&gt;=1,ROUND(_xlpm.val,3)&amp;" Kg",MAX(1,ROUND(_xlpm.val*1000,0))&amp;" g"),"")))</f>
        <v/>
      </c>
      <c r="AH168" s="104" t="str">
        <f t="shared" si="34"/>
        <v>►</v>
      </c>
      <c r="AI168" s="32" t="str">
        <f>AI149</f>
        <v>N NOMBRE DE LA RECETA | | Autor &gt; USTED</v>
      </c>
      <c r="AJ168" s="33">
        <f>AJ149</f>
        <v>18</v>
      </c>
      <c r="AK168" s="32" t="str">
        <f>AK149</f>
        <v>postres</v>
      </c>
      <c r="AL168" s="34" t="str">
        <f>AL149</f>
        <v>Receta madre ► Introduzca el nombre de la receta principal</v>
      </c>
      <c r="AM168" s="92"/>
      <c r="AN168" s="108"/>
      <c r="AO168" s="94" t="str">
        <f t="shared" si="31"/>
        <v/>
      </c>
      <c r="AP168" s="95"/>
      <c r="AQ168" s="126"/>
      <c r="AR168" s="127">
        <v>1</v>
      </c>
      <c r="AS168" s="920"/>
      <c r="AT168" s="1495">
        <f>IF(OR(ISBLANK(AM147),AT147=0),0,AM168*AR148)</f>
        <v>0</v>
      </c>
      <c r="AU168" s="101" cm="1">
        <f t="array" ref="AU168">IFERROR(_xlfn.LET(_xlpm.k,UPPER(TRIM(AQ168)),_xlpm.r,_xlfn.XLOOKUP(_xlpm.k,UPPER(TRIM(AM174:AV174)),AM175:AV175,_xlfn.XLOOKUP(_xlpm.k,UPPER(TRIM(AM176:AV176)),AM177:AV177)),_xlpm.r*AP168*AR168*AR148*IF(ISBLANK(AM168),1,AM168)),0)</f>
        <v>0</v>
      </c>
      <c r="AV168" s="1475" t="str">
        <f>_xlfn.LET(_xlpm.unite,SUBSTITUTE(TRIM(AQ168)," (s)",""),_xlpm.val,AU168,_xlpm.estVol,COUNTIF(AP174:AV174,_xlpm.unite)+COUNTIF(AP176:AV176,_xlpm.unite)&gt;0,_xlpm.estPoids,COUNTIF(AM174:AO174,_xlpm.unite)+COUNTIF(AM176:AO176,_xlpm.unite)&gt;0,IF(_xlpm.estVol,IF(ROUND(_xlpm.val,3)&gt;=1,ROUND(_xlpm.val,3)&amp;" L",MAX(1,ROUND(_xlpm.val*100,0))&amp;" cl"),IF(_xlpm.estPoids,IF(ROUND(_xlpm.val,3)&gt;=1,ROUND(_xlpm.val,3)&amp;" Kg",MAX(1,ROUND(_xlpm.val*1000,0))&amp;" g"),"")))</f>
        <v/>
      </c>
      <c r="AX168" s="469"/>
      <c r="AY168" s="480"/>
      <c r="AZ168" s="480"/>
      <c r="BA168" s="480"/>
      <c r="BB168" s="480"/>
      <c r="BC168" s="9"/>
      <c r="BD168" s="189"/>
      <c r="BF168" s="469"/>
      <c r="BG168" s="480"/>
      <c r="BH168" s="480"/>
      <c r="BI168" s="480"/>
      <c r="BJ168" s="480"/>
      <c r="BK168" s="9"/>
      <c r="BL168" s="189"/>
      <c r="BN168" s="469"/>
      <c r="BO168" s="480"/>
      <c r="BP168" s="480"/>
      <c r="BQ168" s="480"/>
      <c r="BR168" s="480"/>
      <c r="BS168" s="9"/>
      <c r="BT168" s="189"/>
      <c r="BV168" s="3">
        <v>1</v>
      </c>
    </row>
    <row r="169" spans="2:74" ht="21" customHeight="1">
      <c r="B169" s="104" t="str">
        <f t="shared" si="32"/>
        <v>►</v>
      </c>
      <c r="C169" s="32" t="str">
        <f>C149</f>
        <v>N NOM DE VOTRE RECETTE | | Auteur &gt; VOUS</v>
      </c>
      <c r="D169" s="33">
        <f>D149</f>
        <v>18</v>
      </c>
      <c r="E169" s="32" t="str">
        <f>E149</f>
        <v>desserts</v>
      </c>
      <c r="F169" s="34" t="str">
        <f>F149</f>
        <v>Recette mère ► Saisir le nom de la recette principale</v>
      </c>
      <c r="G169" s="92"/>
      <c r="H169" s="108"/>
      <c r="I169" s="94" t="str">
        <f t="shared" si="29"/>
        <v/>
      </c>
      <c r="J169" s="95"/>
      <c r="K169" s="126"/>
      <c r="L169" s="127">
        <v>1</v>
      </c>
      <c r="M169" s="920"/>
      <c r="N169" s="1495">
        <f>IF(OR(ISBLANK(G147),N147=0),0,G169*L148)</f>
        <v>0</v>
      </c>
      <c r="O169" s="101" cm="1">
        <f t="array" ref="O169">IFERROR(_xlfn.LET(_xlpm.k,UPPER(TRIM(K169)),_xlpm.r,_xlfn.XLOOKUP(_xlpm.k,UPPER(TRIM(G174:P174)),G175:P175,_xlfn.XLOOKUP(_xlpm.k,UPPER(TRIM(G176:P176)),G177:P177)),_xlpm.r*J169*L169*L148*IF(ISBLANK(G169),1,G169)),0)</f>
        <v>0</v>
      </c>
      <c r="P169" s="1476" t="str">
        <f>_xlfn.LET(_xlpm.unite,SUBSTITUTE(TRIM(K169)," (s)",""),_xlpm.val,O169,_xlpm.estVol,COUNTIF(J174:P174,_xlpm.unite)+COUNTIF(J176:P176,_xlpm.unite)&gt;0,_xlpm.estPoids,COUNTIF(G174:I174,_xlpm.unite)+COUNTIF(G176:I176,_xlpm.unite)&gt;0,IF(_xlpm.estVol,IF(ROUND(_xlpm.val,3)&gt;=1,ROUND(_xlpm.val,3)&amp;" L",MAX(1,ROUND(_xlpm.val*100,0))&amp;" cl"),IF(_xlpm.estPoids,IF(ROUND(_xlpm.val,3)&gt;=1,ROUND(_xlpm.val,3)&amp;" Kg",MAX(1,ROUND(_xlpm.val*1000,0))&amp;" g"),"")))</f>
        <v/>
      </c>
      <c r="R169" s="104" t="str">
        <f t="shared" si="33"/>
        <v>►</v>
      </c>
      <c r="S169" s="32" t="str">
        <f>S149</f>
        <v>N NAME OF YOUR RECIPE | |  Author &gt; YOU</v>
      </c>
      <c r="T169" s="33">
        <f>T149</f>
        <v>18</v>
      </c>
      <c r="U169" s="32" t="str">
        <f>U149</f>
        <v>desserts</v>
      </c>
      <c r="V169" s="34" t="str">
        <f>V149</f>
        <v>Master recipe ► Enter the main recipe name</v>
      </c>
      <c r="W169" s="92"/>
      <c r="X169" s="108"/>
      <c r="Y169" s="94" t="str">
        <f t="shared" si="30"/>
        <v/>
      </c>
      <c r="Z169" s="95"/>
      <c r="AA169" s="126"/>
      <c r="AB169" s="127">
        <v>1</v>
      </c>
      <c r="AC169" s="920"/>
      <c r="AD169" s="1495">
        <f>IF(OR(ISBLANK(W147),AD147=0),0,W169*AB148)</f>
        <v>0</v>
      </c>
      <c r="AE169" s="101" cm="1">
        <f t="array" ref="AE169">IFERROR(_xlfn.LET(_xlpm.k,UPPER(TRIM(AA169)),_xlpm.r,_xlfn.XLOOKUP(_xlpm.k,UPPER(TRIM(W174:AF174)),W175:AF175,_xlfn.XLOOKUP(_xlpm.k,UPPER(TRIM(W176:AF176)),W177:AF177)),_xlpm.r*Z169*AB169*AB148*IF(ISBLANK(W169),1,W169)),0)</f>
        <v>0</v>
      </c>
      <c r="AF169" s="1476" t="str">
        <f>_xlfn.LET(_xlpm.unite,SUBSTITUTE(TRIM(AA169)," (s)",""),_xlpm.val,AE169,_xlpm.estVol,COUNTIF(Z174:AF174,_xlpm.unite)+COUNTIF(Z176:AF176,_xlpm.unite)&gt;0,_xlpm.estPoids,COUNTIF(W174:Y174,_xlpm.unite)+COUNTIF(W176:Y176,_xlpm.unite)&gt;0,IF(_xlpm.estVol,IF(ROUND(_xlpm.val,3)&gt;=1,ROUND(_xlpm.val,3)&amp;" L",MAX(1,ROUND(_xlpm.val*100,0))&amp;" cl"),IF(_xlpm.estPoids,IF(ROUND(_xlpm.val,3)&gt;=1,ROUND(_xlpm.val,3)&amp;" Kg",MAX(1,ROUND(_xlpm.val*1000,0))&amp;" g"),"")))</f>
        <v/>
      </c>
      <c r="AH169" s="104" t="str">
        <f t="shared" si="34"/>
        <v>►</v>
      </c>
      <c r="AI169" s="32" t="str">
        <f>AI149</f>
        <v>N NOMBRE DE LA RECETA | | Autor &gt; USTED</v>
      </c>
      <c r="AJ169" s="33">
        <f>AJ149</f>
        <v>18</v>
      </c>
      <c r="AK169" s="32" t="str">
        <f>AK149</f>
        <v>postres</v>
      </c>
      <c r="AL169" s="34" t="str">
        <f>AL149</f>
        <v>Receta madre ► Introduzca el nombre de la receta principal</v>
      </c>
      <c r="AM169" s="92"/>
      <c r="AN169" s="108"/>
      <c r="AO169" s="94" t="str">
        <f t="shared" si="31"/>
        <v/>
      </c>
      <c r="AP169" s="95"/>
      <c r="AQ169" s="126"/>
      <c r="AR169" s="127">
        <v>1</v>
      </c>
      <c r="AS169" s="920"/>
      <c r="AT169" s="1495">
        <f>IF(OR(ISBLANK(AM147),AT147=0),0,AM169*AR148)</f>
        <v>0</v>
      </c>
      <c r="AU169" s="101" cm="1">
        <f t="array" ref="AU169">IFERROR(_xlfn.LET(_xlpm.k,UPPER(TRIM(AQ169)),_xlpm.r,_xlfn.XLOOKUP(_xlpm.k,UPPER(TRIM(AM174:AV174)),AM175:AV175,_xlfn.XLOOKUP(_xlpm.k,UPPER(TRIM(AM176:AV176)),AM177:AV177)),_xlpm.r*AP169*AR169*AR148*IF(ISBLANK(AM169),1,AM169)),0)</f>
        <v>0</v>
      </c>
      <c r="AV169" s="1476" t="str">
        <f>_xlfn.LET(_xlpm.unite,SUBSTITUTE(TRIM(AQ169)," (s)",""),_xlpm.val,AU169,_xlpm.estVol,COUNTIF(AP174:AV174,_xlpm.unite)+COUNTIF(AP176:AV176,_xlpm.unite)&gt;0,_xlpm.estPoids,COUNTIF(AM174:AO174,_xlpm.unite)+COUNTIF(AM176:AO176,_xlpm.unite)&gt;0,IF(_xlpm.estVol,IF(ROUND(_xlpm.val,3)&gt;=1,ROUND(_xlpm.val,3)&amp;" L",MAX(1,ROUND(_xlpm.val*100,0))&amp;" cl"),IF(_xlpm.estPoids,IF(ROUND(_xlpm.val,3)&gt;=1,ROUND(_xlpm.val,3)&amp;" Kg",MAX(1,ROUND(_xlpm.val*1000,0))&amp;" g"),"")))</f>
        <v/>
      </c>
      <c r="AX169" s="150"/>
      <c r="AY169" s="151"/>
      <c r="AZ169" s="152"/>
      <c r="BA169" s="151"/>
      <c r="BB169" s="151"/>
      <c r="BC169" s="151"/>
      <c r="BD169" s="153"/>
      <c r="BF169" s="150"/>
      <c r="BG169" s="151"/>
      <c r="BH169" s="152"/>
      <c r="BI169" s="151"/>
      <c r="BJ169" s="151"/>
      <c r="BK169" s="151"/>
      <c r="BL169" s="153"/>
      <c r="BN169" s="150"/>
      <c r="BO169" s="151"/>
      <c r="BP169" s="152"/>
      <c r="BQ169" s="151"/>
      <c r="BR169" s="151"/>
      <c r="BS169" s="151"/>
      <c r="BT169" s="153"/>
      <c r="BV169" s="3">
        <v>1</v>
      </c>
    </row>
    <row r="170" spans="2:74" ht="21" customHeight="1">
      <c r="B170" s="104" t="str">
        <f t="shared" si="32"/>
        <v>►</v>
      </c>
      <c r="C170" s="32" t="str">
        <f>C149</f>
        <v>N NOM DE VOTRE RECETTE | | Auteur &gt; VOUS</v>
      </c>
      <c r="D170" s="33">
        <f>D149</f>
        <v>18</v>
      </c>
      <c r="E170" s="32" t="str">
        <f>E149</f>
        <v>desserts</v>
      </c>
      <c r="F170" s="34" t="str">
        <f>F149</f>
        <v>Recette mère ► Saisir le nom de la recette principale</v>
      </c>
      <c r="G170" s="92"/>
      <c r="H170" s="108"/>
      <c r="I170" s="94" t="str">
        <f t="shared" si="29"/>
        <v/>
      </c>
      <c r="J170" s="95"/>
      <c r="K170" s="126"/>
      <c r="L170" s="127">
        <v>1</v>
      </c>
      <c r="M170" s="920"/>
      <c r="N170" s="1495">
        <f>IF(OR(ISBLANK(G147),N147=0),0,G170*L148)</f>
        <v>0</v>
      </c>
      <c r="O170" s="101" cm="1">
        <f t="array" ref="O170">IFERROR(_xlfn.LET(_xlpm.k,UPPER(TRIM(K170)),_xlpm.r,_xlfn.XLOOKUP(_xlpm.k,UPPER(TRIM(G174:P174)),G175:P175,_xlfn.XLOOKUP(_xlpm.k,UPPER(TRIM(G176:P176)),G177:P177)),_xlpm.r*J170*L170*L148*IF(ISBLANK(G170),1,G170)),0)</f>
        <v>0</v>
      </c>
      <c r="P170" s="1476" t="str">
        <f>_xlfn.LET(_xlpm.unite,SUBSTITUTE(TRIM(K170)," (s)",""),_xlpm.val,O170,_xlpm.estVol,COUNTIF(J174:P174,_xlpm.unite)+COUNTIF(J176:P176,_xlpm.unite)&gt;0,_xlpm.estPoids,COUNTIF(G174:I174,_xlpm.unite)+COUNTIF(G176:I176,_xlpm.unite)&gt;0,IF(_xlpm.estVol,IF(ROUND(_xlpm.val,3)&gt;=1,ROUND(_xlpm.val,3)&amp;" L",MAX(1,ROUND(_xlpm.val*100,0))&amp;" cl"),IF(_xlpm.estPoids,IF(ROUND(_xlpm.val,3)&gt;=1,ROUND(_xlpm.val,3)&amp;" Kg",MAX(1,ROUND(_xlpm.val*1000,0))&amp;" g"),"")))</f>
        <v/>
      </c>
      <c r="R170" s="104" t="str">
        <f t="shared" si="33"/>
        <v>►</v>
      </c>
      <c r="S170" s="32" t="str">
        <f>S149</f>
        <v>N NAME OF YOUR RECIPE | |  Author &gt; YOU</v>
      </c>
      <c r="T170" s="33">
        <f>T149</f>
        <v>18</v>
      </c>
      <c r="U170" s="32" t="str">
        <f>U149</f>
        <v>desserts</v>
      </c>
      <c r="V170" s="34" t="str">
        <f>V149</f>
        <v>Master recipe ► Enter the main recipe name</v>
      </c>
      <c r="W170" s="92"/>
      <c r="X170" s="108"/>
      <c r="Y170" s="94" t="str">
        <f t="shared" si="30"/>
        <v/>
      </c>
      <c r="Z170" s="95"/>
      <c r="AA170" s="126"/>
      <c r="AB170" s="127">
        <v>1</v>
      </c>
      <c r="AC170" s="920"/>
      <c r="AD170" s="1495">
        <f>IF(OR(ISBLANK(W147),AD147=0),0,W170*AB148)</f>
        <v>0</v>
      </c>
      <c r="AE170" s="101" cm="1">
        <f t="array" ref="AE170">IFERROR(_xlfn.LET(_xlpm.k,UPPER(TRIM(AA170)),_xlpm.r,_xlfn.XLOOKUP(_xlpm.k,UPPER(TRIM(W174:AF174)),W175:AF175,_xlfn.XLOOKUP(_xlpm.k,UPPER(TRIM(W176:AF176)),W177:AF177)),_xlpm.r*Z170*AB170*AB148*IF(ISBLANK(W170),1,W170)),0)</f>
        <v>0</v>
      </c>
      <c r="AF170" s="1476" t="str">
        <f>_xlfn.LET(_xlpm.unite,SUBSTITUTE(TRIM(AA170)," (s)",""),_xlpm.val,AE170,_xlpm.estVol,COUNTIF(Z174:AF174,_xlpm.unite)+COUNTIF(Z176:AF176,_xlpm.unite)&gt;0,_xlpm.estPoids,COUNTIF(W174:Y174,_xlpm.unite)+COUNTIF(W176:Y176,_xlpm.unite)&gt;0,IF(_xlpm.estVol,IF(ROUND(_xlpm.val,3)&gt;=1,ROUND(_xlpm.val,3)&amp;" L",MAX(1,ROUND(_xlpm.val*100,0))&amp;" cl"),IF(_xlpm.estPoids,IF(ROUND(_xlpm.val,3)&gt;=1,ROUND(_xlpm.val,3)&amp;" Kg",MAX(1,ROUND(_xlpm.val*1000,0))&amp;" g"),"")))</f>
        <v/>
      </c>
      <c r="AH170" s="104" t="str">
        <f t="shared" si="34"/>
        <v>►</v>
      </c>
      <c r="AI170" s="32" t="str">
        <f>AI149</f>
        <v>N NOMBRE DE LA RECETA | | Autor &gt; USTED</v>
      </c>
      <c r="AJ170" s="33">
        <f>AJ149</f>
        <v>18</v>
      </c>
      <c r="AK170" s="32" t="str">
        <f>AK149</f>
        <v>postres</v>
      </c>
      <c r="AL170" s="34" t="str">
        <f>AL149</f>
        <v>Receta madre ► Introduzca el nombre de la receta principal</v>
      </c>
      <c r="AM170" s="92"/>
      <c r="AN170" s="108"/>
      <c r="AO170" s="94" t="str">
        <f t="shared" si="31"/>
        <v/>
      </c>
      <c r="AP170" s="95"/>
      <c r="AQ170" s="126"/>
      <c r="AR170" s="127">
        <v>1</v>
      </c>
      <c r="AS170" s="920"/>
      <c r="AT170" s="1495">
        <f>IF(OR(ISBLANK(AM147),AT147=0),0,AM170*AR148)</f>
        <v>0</v>
      </c>
      <c r="AU170" s="101" cm="1">
        <f t="array" ref="AU170">IFERROR(_xlfn.LET(_xlpm.k,UPPER(TRIM(AQ170)),_xlpm.r,_xlfn.XLOOKUP(_xlpm.k,UPPER(TRIM(AM174:AV174)),AM175:AV175,_xlfn.XLOOKUP(_xlpm.k,UPPER(TRIM(AM176:AV176)),AM177:AV177)),_xlpm.r*AP170*AR170*AR148*IF(ISBLANK(AM170),1,AM170)),0)</f>
        <v>0</v>
      </c>
      <c r="AV170" s="1476" t="str">
        <f>_xlfn.LET(_xlpm.unite,SUBSTITUTE(TRIM(AQ170)," (s)",""),_xlpm.val,AU170,_xlpm.estVol,COUNTIF(AP174:AV174,_xlpm.unite)+COUNTIF(AP176:AV176,_xlpm.unite)&gt;0,_xlpm.estPoids,COUNTIF(AM174:AO174,_xlpm.unite)+COUNTIF(AM176:AO176,_xlpm.unite)&gt;0,IF(_xlpm.estVol,IF(ROUND(_xlpm.val,3)&gt;=1,ROUND(_xlpm.val,3)&amp;" L",MAX(1,ROUND(_xlpm.val*100,0))&amp;" cl"),IF(_xlpm.estPoids,IF(ROUND(_xlpm.val,3)&gt;=1,ROUND(_xlpm.val,3)&amp;" Kg",MAX(1,ROUND(_xlpm.val*1000,0))&amp;" g"),"")))</f>
        <v/>
      </c>
      <c r="AX170" s="1539"/>
      <c r="AY170" s="1541"/>
      <c r="AZ170" s="1541"/>
      <c r="BA170" s="1541"/>
      <c r="BB170" s="1541"/>
      <c r="BC170" s="1541"/>
      <c r="BD170" s="1540"/>
      <c r="BF170" s="1539"/>
      <c r="BG170" s="1541"/>
      <c r="BH170" s="1541"/>
      <c r="BI170" s="1541"/>
      <c r="BJ170" s="1541"/>
      <c r="BK170" s="1541"/>
      <c r="BL170" s="1540"/>
      <c r="BN170" s="1539"/>
      <c r="BO170" s="1541"/>
      <c r="BP170" s="1541"/>
      <c r="BQ170" s="1541"/>
      <c r="BR170" s="1541"/>
      <c r="BS170" s="1541"/>
      <c r="BT170" s="1540"/>
      <c r="BV170" s="3">
        <v>1</v>
      </c>
    </row>
    <row r="171" spans="2:74" ht="21" customHeight="1">
      <c r="B171" s="104" t="str">
        <f t="shared" si="32"/>
        <v>►</v>
      </c>
      <c r="C171" s="32" t="str">
        <f>C149</f>
        <v>N NOM DE VOTRE RECETTE | | Auteur &gt; VOUS</v>
      </c>
      <c r="D171" s="33">
        <f>D149</f>
        <v>18</v>
      </c>
      <c r="E171" s="32" t="str">
        <f>E149</f>
        <v>desserts</v>
      </c>
      <c r="F171" s="34" t="str">
        <f>F149</f>
        <v>Recette mère ► Saisir le nom de la recette principale</v>
      </c>
      <c r="G171" s="92"/>
      <c r="H171" s="108"/>
      <c r="I171" s="94" t="str">
        <f t="shared" si="29"/>
        <v/>
      </c>
      <c r="J171" s="95"/>
      <c r="K171" s="126"/>
      <c r="L171" s="127">
        <v>1</v>
      </c>
      <c r="M171" s="920"/>
      <c r="N171" s="1495">
        <f>IF(OR(ISBLANK(G147),N147=0),0,G171*L148)</f>
        <v>0</v>
      </c>
      <c r="O171" s="101" cm="1">
        <f t="array" ref="O171">IFERROR(_xlfn.LET(_xlpm.k,UPPER(TRIM(K171)),_xlpm.r,_xlfn.XLOOKUP(_xlpm.k,UPPER(TRIM(G174:P174)),G175:P175,_xlfn.XLOOKUP(_xlpm.k,UPPER(TRIM(G176:P176)),G177:P177)),_xlpm.r*J171*L171*L148*IF(ISBLANK(G171),1,G171)),0)</f>
        <v>0</v>
      </c>
      <c r="P171" s="1475" t="str">
        <f>_xlfn.LET(_xlpm.unite,SUBSTITUTE(TRIM(K171)," (s)",""),_xlpm.val,O171,_xlpm.estVol,COUNTIF(J174:P174,_xlpm.unite)+COUNTIF(J176:P176,_xlpm.unite)&gt;0,_xlpm.estPoids,COUNTIF(G174:I174,_xlpm.unite)+COUNTIF(G176:I176,_xlpm.unite)&gt;0,IF(_xlpm.estVol,IF(ROUND(_xlpm.val,3)&gt;=1,ROUND(_xlpm.val,3)&amp;" L",MAX(1,ROUND(_xlpm.val*100,0))&amp;" cl"),IF(_xlpm.estPoids,IF(ROUND(_xlpm.val,3)&gt;=1,ROUND(_xlpm.val,3)&amp;" Kg",MAX(1,ROUND(_xlpm.val*1000,0))&amp;" g"),"")))</f>
        <v/>
      </c>
      <c r="R171" s="104" t="str">
        <f t="shared" si="33"/>
        <v>►</v>
      </c>
      <c r="S171" s="32" t="str">
        <f>S149</f>
        <v>N NAME OF YOUR RECIPE | |  Author &gt; YOU</v>
      </c>
      <c r="T171" s="33">
        <f>T149</f>
        <v>18</v>
      </c>
      <c r="U171" s="32" t="str">
        <f>U149</f>
        <v>desserts</v>
      </c>
      <c r="V171" s="34" t="str">
        <f>V149</f>
        <v>Master recipe ► Enter the main recipe name</v>
      </c>
      <c r="W171" s="92"/>
      <c r="X171" s="108"/>
      <c r="Y171" s="94" t="str">
        <f t="shared" si="30"/>
        <v/>
      </c>
      <c r="Z171" s="95"/>
      <c r="AA171" s="126"/>
      <c r="AB171" s="127">
        <v>1</v>
      </c>
      <c r="AC171" s="920"/>
      <c r="AD171" s="1495">
        <f>IF(OR(ISBLANK(W147),AD147=0),0,W171*AB148)</f>
        <v>0</v>
      </c>
      <c r="AE171" s="101" cm="1">
        <f t="array" ref="AE171">IFERROR(_xlfn.LET(_xlpm.k,UPPER(TRIM(AA171)),_xlpm.r,_xlfn.XLOOKUP(_xlpm.k,UPPER(TRIM(W174:AF174)),W175:AF175,_xlfn.XLOOKUP(_xlpm.k,UPPER(TRIM(W176:AF176)),W177:AF177)),_xlpm.r*Z171*AB171*AB148*IF(ISBLANK(W171),1,W171)),0)</f>
        <v>0</v>
      </c>
      <c r="AF171" s="1475" t="str">
        <f>_xlfn.LET(_xlpm.unite,SUBSTITUTE(TRIM(AA171)," (s)",""),_xlpm.val,AE171,_xlpm.estVol,COUNTIF(Z174:AF174,_xlpm.unite)+COUNTIF(Z176:AF176,_xlpm.unite)&gt;0,_xlpm.estPoids,COUNTIF(W174:Y174,_xlpm.unite)+COUNTIF(W176:Y176,_xlpm.unite)&gt;0,IF(_xlpm.estVol,IF(ROUND(_xlpm.val,3)&gt;=1,ROUND(_xlpm.val,3)&amp;" L",MAX(1,ROUND(_xlpm.val*100,0))&amp;" cl"),IF(_xlpm.estPoids,IF(ROUND(_xlpm.val,3)&gt;=1,ROUND(_xlpm.val,3)&amp;" Kg",MAX(1,ROUND(_xlpm.val*1000,0))&amp;" g"),"")))</f>
        <v/>
      </c>
      <c r="AH171" s="104" t="str">
        <f t="shared" si="34"/>
        <v>►</v>
      </c>
      <c r="AI171" s="32" t="str">
        <f>AI149</f>
        <v>N NOMBRE DE LA RECETA | | Autor &gt; USTED</v>
      </c>
      <c r="AJ171" s="33">
        <f>AJ149</f>
        <v>18</v>
      </c>
      <c r="AK171" s="32" t="str">
        <f>AK149</f>
        <v>postres</v>
      </c>
      <c r="AL171" s="34" t="str">
        <f>AL149</f>
        <v>Receta madre ► Introduzca el nombre de la receta principal</v>
      </c>
      <c r="AM171" s="92"/>
      <c r="AN171" s="108"/>
      <c r="AO171" s="94" t="str">
        <f t="shared" si="31"/>
        <v/>
      </c>
      <c r="AP171" s="95"/>
      <c r="AQ171" s="126"/>
      <c r="AR171" s="127">
        <v>1</v>
      </c>
      <c r="AS171" s="920"/>
      <c r="AT171" s="1495">
        <f>IF(OR(ISBLANK(AM147),AT147=0),0,AM171*AR148)</f>
        <v>0</v>
      </c>
      <c r="AU171" s="101" cm="1">
        <f t="array" ref="AU171">IFERROR(_xlfn.LET(_xlpm.k,UPPER(TRIM(AQ171)),_xlpm.r,_xlfn.XLOOKUP(_xlpm.k,UPPER(TRIM(AM174:AV174)),AM175:AV175,_xlfn.XLOOKUP(_xlpm.k,UPPER(TRIM(AM176:AV176)),AM177:AV177)),_xlpm.r*AP171*AR171*AR148*IF(ISBLANK(AM171),1,AM171)),0)</f>
        <v>0</v>
      </c>
      <c r="AV171" s="1475" t="str">
        <f>_xlfn.LET(_xlpm.unite,SUBSTITUTE(TRIM(AQ171)," (s)",""),_xlpm.val,AU171,_xlpm.estVol,COUNTIF(AP174:AV174,_xlpm.unite)+COUNTIF(AP176:AV176,_xlpm.unite)&gt;0,_xlpm.estPoids,COUNTIF(AM174:AO174,_xlpm.unite)+COUNTIF(AM176:AO176,_xlpm.unite)&gt;0,IF(_xlpm.estVol,IF(ROUND(_xlpm.val,3)&gt;=1,ROUND(_xlpm.val,3)&amp;" L",MAX(1,ROUND(_xlpm.val*100,0))&amp;" cl"),IF(_xlpm.estPoids,IF(ROUND(_xlpm.val,3)&gt;=1,ROUND(_xlpm.val,3)&amp;" Kg",MAX(1,ROUND(_xlpm.val*1000,0))&amp;" g"),"")))</f>
        <v/>
      </c>
      <c r="AX171" s="499" t="s">
        <v>574</v>
      </c>
      <c r="AY171" s="500"/>
      <c r="AZ171" s="500"/>
      <c r="BA171" s="500"/>
      <c r="BB171" s="500"/>
      <c r="BC171" s="500"/>
      <c r="BD171" s="511"/>
      <c r="BF171" s="499" t="s">
        <v>574</v>
      </c>
      <c r="BG171" s="500"/>
      <c r="BH171" s="500"/>
      <c r="BI171" s="500"/>
      <c r="BJ171" s="500"/>
      <c r="BK171" s="500"/>
      <c r="BL171" s="511"/>
      <c r="BN171" s="499" t="s">
        <v>574</v>
      </c>
      <c r="BO171" s="500"/>
      <c r="BP171" s="500"/>
      <c r="BQ171" s="500"/>
      <c r="BR171" s="500"/>
      <c r="BS171" s="500"/>
      <c r="BT171" s="511"/>
      <c r="BV171" s="3">
        <v>1</v>
      </c>
    </row>
    <row r="172" spans="2:74" ht="21" customHeight="1">
      <c r="B172" s="104" t="str">
        <f t="shared" si="32"/>
        <v>►</v>
      </c>
      <c r="C172" s="32" t="str">
        <f>C149</f>
        <v>N NOM DE VOTRE RECETTE | | Auteur &gt; VOUS</v>
      </c>
      <c r="D172" s="33">
        <f>D149</f>
        <v>18</v>
      </c>
      <c r="E172" s="32" t="str">
        <f>E149</f>
        <v>desserts</v>
      </c>
      <c r="F172" s="34" t="str">
        <f>F149</f>
        <v>Recette mère ► Saisir le nom de la recette principale</v>
      </c>
      <c r="G172" s="92"/>
      <c r="H172" s="108"/>
      <c r="I172" s="94" t="str">
        <f t="shared" si="29"/>
        <v/>
      </c>
      <c r="J172" s="95"/>
      <c r="K172" s="126"/>
      <c r="L172" s="127">
        <v>1</v>
      </c>
      <c r="M172" s="920"/>
      <c r="N172" s="1495">
        <f>IF(OR(ISBLANK(G147),N147=0),0,G172*L148)</f>
        <v>0</v>
      </c>
      <c r="O172" s="101" cm="1">
        <f t="array" ref="O172">IFERROR(_xlfn.LET(_xlpm.k,UPPER(TRIM(K172)),_xlpm.r,_xlfn.XLOOKUP(_xlpm.k,UPPER(TRIM(G174:P174)),G175:P175,_xlfn.XLOOKUP(_xlpm.k,UPPER(TRIM(G176:P176)),G177:P177)),_xlpm.r*J172*L172*L148*IF(ISBLANK(G172),1,G172)),0)</f>
        <v>0</v>
      </c>
      <c r="P172" s="1475" t="str">
        <f>_xlfn.LET(_xlpm.unite,SUBSTITUTE(TRIM(K172)," (s)",""),_xlpm.val,O172,_xlpm.estVol,COUNTIF(J174:P174,_xlpm.unite)+COUNTIF(J176:P176,_xlpm.unite)&gt;0,_xlpm.estPoids,COUNTIF(G174:I174,_xlpm.unite)+COUNTIF(G176:I176,_xlpm.unite)&gt;0,IF(_xlpm.estVol,IF(ROUND(_xlpm.val,3)&gt;=1,ROUND(_xlpm.val,3)&amp;" L",MAX(1,ROUND(_xlpm.val*100,0))&amp;" cl"),IF(_xlpm.estPoids,IF(ROUND(_xlpm.val,3)&gt;=1,ROUND(_xlpm.val,3)&amp;" Kg",MAX(1,ROUND(_xlpm.val*1000,0))&amp;" g"),"")))</f>
        <v/>
      </c>
      <c r="R172" s="104" t="str">
        <f t="shared" si="33"/>
        <v>►</v>
      </c>
      <c r="S172" s="32" t="str">
        <f>S149</f>
        <v>N NAME OF YOUR RECIPE | |  Author &gt; YOU</v>
      </c>
      <c r="T172" s="33">
        <f>T149</f>
        <v>18</v>
      </c>
      <c r="U172" s="32" t="str">
        <f>U149</f>
        <v>desserts</v>
      </c>
      <c r="V172" s="34" t="str">
        <f>V149</f>
        <v>Master recipe ► Enter the main recipe name</v>
      </c>
      <c r="W172" s="92"/>
      <c r="X172" s="108"/>
      <c r="Y172" s="94" t="str">
        <f t="shared" si="30"/>
        <v/>
      </c>
      <c r="Z172" s="95"/>
      <c r="AA172" s="126"/>
      <c r="AB172" s="127">
        <v>1</v>
      </c>
      <c r="AC172" s="920"/>
      <c r="AD172" s="1495">
        <f>IF(OR(ISBLANK(W147),AD147=0),0,W172*AB148)</f>
        <v>0</v>
      </c>
      <c r="AE172" s="101" cm="1">
        <f t="array" ref="AE172">IFERROR(_xlfn.LET(_xlpm.k,UPPER(TRIM(AA172)),_xlpm.r,_xlfn.XLOOKUP(_xlpm.k,UPPER(TRIM(W174:AF174)),W175:AF175,_xlfn.XLOOKUP(_xlpm.k,UPPER(TRIM(W176:AF176)),W177:AF177)),_xlpm.r*Z172*AB172*AB148*IF(ISBLANK(W172),1,W172)),0)</f>
        <v>0</v>
      </c>
      <c r="AF172" s="1475" t="str">
        <f>_xlfn.LET(_xlpm.unite,SUBSTITUTE(TRIM(AA172)," (s)",""),_xlpm.val,AE172,_xlpm.estVol,COUNTIF(Z174:AF174,_xlpm.unite)+COUNTIF(Z176:AF176,_xlpm.unite)&gt;0,_xlpm.estPoids,COUNTIF(W174:Y174,_xlpm.unite)+COUNTIF(W176:Y176,_xlpm.unite)&gt;0,IF(_xlpm.estVol,IF(ROUND(_xlpm.val,3)&gt;=1,ROUND(_xlpm.val,3)&amp;" L",MAX(1,ROUND(_xlpm.val*100,0))&amp;" cl"),IF(_xlpm.estPoids,IF(ROUND(_xlpm.val,3)&gt;=1,ROUND(_xlpm.val,3)&amp;" Kg",MAX(1,ROUND(_xlpm.val*1000,0))&amp;" g"),"")))</f>
        <v/>
      </c>
      <c r="AH172" s="104" t="str">
        <f t="shared" si="34"/>
        <v>►</v>
      </c>
      <c r="AI172" s="32" t="str">
        <f>AI149</f>
        <v>N NOMBRE DE LA RECETA | | Autor &gt; USTED</v>
      </c>
      <c r="AJ172" s="33">
        <f>AJ149</f>
        <v>18</v>
      </c>
      <c r="AK172" s="32" t="str">
        <f>AK149</f>
        <v>postres</v>
      </c>
      <c r="AL172" s="34" t="str">
        <f>AL149</f>
        <v>Receta madre ► Introduzca el nombre de la receta principal</v>
      </c>
      <c r="AM172" s="92"/>
      <c r="AN172" s="108"/>
      <c r="AO172" s="94" t="str">
        <f t="shared" si="31"/>
        <v/>
      </c>
      <c r="AP172" s="95"/>
      <c r="AQ172" s="126"/>
      <c r="AR172" s="127">
        <v>1</v>
      </c>
      <c r="AS172" s="920"/>
      <c r="AT172" s="1495">
        <f>IF(OR(ISBLANK(AM147),AT147=0),0,AM172*AR148)</f>
        <v>0</v>
      </c>
      <c r="AU172" s="101" cm="1">
        <f t="array" ref="AU172">IFERROR(_xlfn.LET(_xlpm.k,UPPER(TRIM(AQ172)),_xlpm.r,_xlfn.XLOOKUP(_xlpm.k,UPPER(TRIM(AM174:AV174)),AM175:AV175,_xlfn.XLOOKUP(_xlpm.k,UPPER(TRIM(AM176:AV176)),AM177:AV177)),_xlpm.r*AP172*AR172*AR148*IF(ISBLANK(AM172),1,AM172)),0)</f>
        <v>0</v>
      </c>
      <c r="AV172" s="1475" t="str">
        <f>_xlfn.LET(_xlpm.unite,SUBSTITUTE(TRIM(AQ172)," (s)",""),_xlpm.val,AU172,_xlpm.estVol,COUNTIF(AP174:AV174,_xlpm.unite)+COUNTIF(AP176:AV176,_xlpm.unite)&gt;0,_xlpm.estPoids,COUNTIF(AM174:AO174,_xlpm.unite)+COUNTIF(AM176:AO176,_xlpm.unite)&gt;0,IF(_xlpm.estVol,IF(ROUND(_xlpm.val,3)&gt;=1,ROUND(_xlpm.val,3)&amp;" L",MAX(1,ROUND(_xlpm.val*100,0))&amp;" cl"),IF(_xlpm.estPoids,IF(ROUND(_xlpm.val,3)&gt;=1,ROUND(_xlpm.val,3)&amp;" Kg",MAX(1,ROUND(_xlpm.val*1000,0))&amp;" g"),"")))</f>
        <v/>
      </c>
      <c r="AX172" s="1539"/>
      <c r="AY172" s="1541"/>
      <c r="AZ172" s="1541"/>
      <c r="BA172" s="1541"/>
      <c r="BB172" s="1541"/>
      <c r="BC172" s="1541"/>
      <c r="BD172" s="1540"/>
      <c r="BF172" s="1539"/>
      <c r="BG172" s="1541"/>
      <c r="BH172" s="1541"/>
      <c r="BI172" s="1541"/>
      <c r="BJ172" s="1541"/>
      <c r="BK172" s="1541"/>
      <c r="BL172" s="1540"/>
      <c r="BN172" s="1539"/>
      <c r="BO172" s="1541"/>
      <c r="BP172" s="1541"/>
      <c r="BQ172" s="1541"/>
      <c r="BR172" s="1541"/>
      <c r="BS172" s="1541"/>
      <c r="BT172" s="1540"/>
      <c r="BV172" s="3">
        <v>1</v>
      </c>
    </row>
    <row r="173" spans="2:74" ht="21" customHeight="1">
      <c r="B173" s="104" t="s">
        <v>11</v>
      </c>
      <c r="C173" s="32" t="str">
        <f>C149</f>
        <v>N NOM DE VOTRE RECETTE | | Auteur &gt; VOUS</v>
      </c>
      <c r="D173" s="33">
        <f>D149</f>
        <v>18</v>
      </c>
      <c r="E173" s="32" t="str">
        <f>E149</f>
        <v>desserts</v>
      </c>
      <c r="F173" s="34" t="str">
        <f>F149</f>
        <v>Recette mère ► Saisir le nom de la recette principale</v>
      </c>
      <c r="G173" s="907" t="s">
        <v>136</v>
      </c>
      <c r="H173" s="500"/>
      <c r="I173" s="500"/>
      <c r="J173" s="500"/>
      <c r="K173" s="500"/>
      <c r="L173" s="908"/>
      <c r="M173" s="909"/>
      <c r="N173" s="909"/>
      <c r="O173" s="910">
        <f>SUM(O153:O172)</f>
        <v>0</v>
      </c>
      <c r="P173" s="1489"/>
      <c r="R173" s="104" t="s">
        <v>11</v>
      </c>
      <c r="S173" s="32" t="str">
        <f>S149</f>
        <v>N NAME OF YOUR RECIPE | |  Author &gt; YOU</v>
      </c>
      <c r="T173" s="33">
        <f>T149</f>
        <v>18</v>
      </c>
      <c r="U173" s="32" t="str">
        <f>U149</f>
        <v>desserts</v>
      </c>
      <c r="V173" s="34" t="str">
        <f>V149</f>
        <v>Master recipe ► Enter the main recipe name</v>
      </c>
      <c r="W173" s="907" t="s">
        <v>893</v>
      </c>
      <c r="X173" s="500"/>
      <c r="Y173" s="500"/>
      <c r="Z173" s="500"/>
      <c r="AA173" s="500"/>
      <c r="AB173" s="908"/>
      <c r="AC173" s="909"/>
      <c r="AD173" s="909"/>
      <c r="AE173" s="910">
        <f>SUM(AE153:AE172)</f>
        <v>0</v>
      </c>
      <c r="AF173" s="1489"/>
      <c r="AH173" s="104" t="s">
        <v>11</v>
      </c>
      <c r="AI173" s="32" t="str">
        <f>AI149</f>
        <v>N NOMBRE DE LA RECETA | | Autor &gt; USTED</v>
      </c>
      <c r="AJ173" s="33">
        <f>AJ149</f>
        <v>18</v>
      </c>
      <c r="AK173" s="32" t="str">
        <f>AK149</f>
        <v>postres</v>
      </c>
      <c r="AL173" s="34" t="str">
        <f>AL149</f>
        <v>Receta madre ► Introduzca el nombre de la receta principal</v>
      </c>
      <c r="AM173" s="907" t="s">
        <v>893</v>
      </c>
      <c r="AN173" s="500"/>
      <c r="AO173" s="500"/>
      <c r="AP173" s="500"/>
      <c r="AQ173" s="500"/>
      <c r="AR173" s="908"/>
      <c r="AS173" s="909"/>
      <c r="AT173" s="909"/>
      <c r="AU173" s="910">
        <f>SUM(AU153:AU172)</f>
        <v>0</v>
      </c>
      <c r="AV173" s="1489"/>
      <c r="AX173" s="501" t="s">
        <v>3330</v>
      </c>
      <c r="AY173" s="48"/>
      <c r="AZ173" s="48"/>
      <c r="BA173" s="381" t="s">
        <v>3335</v>
      </c>
      <c r="BB173" s="48"/>
      <c r="BC173" s="48"/>
      <c r="BD173" s="49"/>
      <c r="BF173" s="501" t="s">
        <v>3329</v>
      </c>
      <c r="BG173" s="48"/>
      <c r="BH173" s="48"/>
      <c r="BI173" s="48"/>
      <c r="BJ173" s="381" t="s">
        <v>601</v>
      </c>
      <c r="BK173" s="48"/>
      <c r="BL173" s="49"/>
      <c r="BN173" s="501" t="s">
        <v>3331</v>
      </c>
      <c r="BO173" s="48"/>
      <c r="BP173" s="48"/>
      <c r="BQ173" s="48"/>
      <c r="BR173" s="381" t="s">
        <v>602</v>
      </c>
      <c r="BS173" s="48"/>
      <c r="BT173" s="49"/>
      <c r="BV173" s="3">
        <v>1</v>
      </c>
    </row>
    <row r="174" spans="2:74" ht="21" customHeight="1">
      <c r="B174" s="104" t="s">
        <v>16</v>
      </c>
      <c r="C174" s="32" t="str">
        <f>C149</f>
        <v>N NOM DE VOTRE RECETTE | | Auteur &gt; VOUS</v>
      </c>
      <c r="D174" s="33">
        <f>D149</f>
        <v>18</v>
      </c>
      <c r="E174" s="32" t="str">
        <f>E149</f>
        <v>desserts</v>
      </c>
      <c r="F174" s="34" t="str">
        <f>F149</f>
        <v>Recette mère ► Saisir le nom de la recette principale</v>
      </c>
      <c r="G174" s="140" t="s">
        <v>143</v>
      </c>
      <c r="H174" s="105" t="s">
        <v>99</v>
      </c>
      <c r="I174" s="141" t="s">
        <v>144</v>
      </c>
      <c r="J174" s="96" t="s">
        <v>0</v>
      </c>
      <c r="K174" s="96" t="s">
        <v>96</v>
      </c>
      <c r="L174" s="96" t="s">
        <v>147</v>
      </c>
      <c r="M174" s="96" t="s">
        <v>148</v>
      </c>
      <c r="N174" s="109" t="s">
        <v>364</v>
      </c>
      <c r="O174" s="109" t="s">
        <v>102</v>
      </c>
      <c r="P174" s="109" t="s">
        <v>149</v>
      </c>
      <c r="R174" s="104" t="s">
        <v>16</v>
      </c>
      <c r="S174" s="32" t="str">
        <f>S149</f>
        <v>N NAME OF YOUR RECIPE | |  Author &gt; YOU</v>
      </c>
      <c r="T174" s="33">
        <f>T149</f>
        <v>18</v>
      </c>
      <c r="U174" s="32" t="str">
        <f>U149</f>
        <v>desserts</v>
      </c>
      <c r="V174" s="34" t="str">
        <f>V149</f>
        <v>Master recipe ► Enter the main recipe name</v>
      </c>
      <c r="W174" s="140" t="s">
        <v>143</v>
      </c>
      <c r="X174" s="105" t="s">
        <v>99</v>
      </c>
      <c r="Y174" s="141" t="s">
        <v>144</v>
      </c>
      <c r="Z174" s="96" t="s">
        <v>0</v>
      </c>
      <c r="AA174" s="96" t="s">
        <v>96</v>
      </c>
      <c r="AB174" s="96" t="s">
        <v>147</v>
      </c>
      <c r="AC174" s="96" t="s">
        <v>148</v>
      </c>
      <c r="AD174" s="109" t="s">
        <v>1378</v>
      </c>
      <c r="AE174" s="109" t="s">
        <v>1360</v>
      </c>
      <c r="AF174" s="109" t="s">
        <v>1361</v>
      </c>
      <c r="AH174" s="104" t="s">
        <v>16</v>
      </c>
      <c r="AI174" s="32" t="str">
        <f>AI149</f>
        <v>N NOMBRE DE LA RECETA | | Autor &gt; USTED</v>
      </c>
      <c r="AJ174" s="33">
        <f>AJ149</f>
        <v>18</v>
      </c>
      <c r="AK174" s="32" t="str">
        <f>AK149</f>
        <v>postres</v>
      </c>
      <c r="AL174" s="34" t="str">
        <f>AL149</f>
        <v>Receta madre ► Introduzca el nombre de la receta principal</v>
      </c>
      <c r="AM174" s="140" t="s">
        <v>143</v>
      </c>
      <c r="AN174" s="105" t="s">
        <v>99</v>
      </c>
      <c r="AO174" s="141" t="s">
        <v>144</v>
      </c>
      <c r="AP174" s="96" t="s">
        <v>0</v>
      </c>
      <c r="AQ174" s="96" t="s">
        <v>96</v>
      </c>
      <c r="AR174" s="96" t="s">
        <v>147</v>
      </c>
      <c r="AS174" s="96" t="s">
        <v>148</v>
      </c>
      <c r="AT174" s="109" t="s">
        <v>1379</v>
      </c>
      <c r="AU174" s="109" t="s">
        <v>1341</v>
      </c>
      <c r="AV174" s="109" t="s">
        <v>1342</v>
      </c>
      <c r="AX174" s="47"/>
      <c r="AY174" s="48"/>
      <c r="AZ174" s="48"/>
      <c r="BA174" s="48"/>
      <c r="BB174" s="48"/>
      <c r="BC174" s="48"/>
      <c r="BD174" s="49"/>
      <c r="BF174" s="47"/>
      <c r="BG174" s="48"/>
      <c r="BH174" s="48"/>
      <c r="BI174" s="48"/>
      <c r="BJ174" s="48"/>
      <c r="BK174" s="48"/>
      <c r="BL174" s="49"/>
      <c r="BN174" s="47"/>
      <c r="BO174" s="48"/>
      <c r="BP174" s="48"/>
      <c r="BQ174" s="48"/>
      <c r="BR174" s="48"/>
      <c r="BS174" s="48"/>
      <c r="BT174" s="49"/>
      <c r="BV174" s="3">
        <v>1</v>
      </c>
    </row>
    <row r="175" spans="2:74" ht="21" customHeight="1">
      <c r="B175" s="104" t="s">
        <v>16</v>
      </c>
      <c r="C175" s="32" t="str">
        <f>C149</f>
        <v>N NOM DE VOTRE RECETTE | | Auteur &gt; VOUS</v>
      </c>
      <c r="D175" s="33">
        <f>D149</f>
        <v>18</v>
      </c>
      <c r="E175" s="32" t="str">
        <f>E149</f>
        <v>desserts</v>
      </c>
      <c r="F175" s="34" t="str">
        <f>F149</f>
        <v>Recette mère ► Saisir le nom de la recette principale</v>
      </c>
      <c r="G175" s="911">
        <v>1</v>
      </c>
      <c r="H175" s="912">
        <v>1E-3</v>
      </c>
      <c r="I175" s="913">
        <v>0</v>
      </c>
      <c r="J175" s="914">
        <v>1</v>
      </c>
      <c r="K175" s="914">
        <v>0.1</v>
      </c>
      <c r="L175" s="914">
        <v>0.01</v>
      </c>
      <c r="M175" s="914">
        <v>1E-3</v>
      </c>
      <c r="N175" s="914">
        <v>0.25</v>
      </c>
      <c r="O175" s="914">
        <v>0.5</v>
      </c>
      <c r="P175" s="914">
        <v>0.33300000000000002</v>
      </c>
      <c r="R175" s="104" t="s">
        <v>16</v>
      </c>
      <c r="S175" s="32" t="str">
        <f>S149</f>
        <v>N NAME OF YOUR RECIPE | |  Author &gt; YOU</v>
      </c>
      <c r="T175" s="33">
        <f>T149</f>
        <v>18</v>
      </c>
      <c r="U175" s="32" t="str">
        <f>U149</f>
        <v>desserts</v>
      </c>
      <c r="V175" s="34" t="str">
        <f>V149</f>
        <v>Master recipe ► Enter the main recipe name</v>
      </c>
      <c r="W175" s="911">
        <v>1</v>
      </c>
      <c r="X175" s="912">
        <v>1E-3</v>
      </c>
      <c r="Y175" s="913">
        <v>0</v>
      </c>
      <c r="Z175" s="914">
        <v>1</v>
      </c>
      <c r="AA175" s="914">
        <v>0.1</v>
      </c>
      <c r="AB175" s="914">
        <v>0.01</v>
      </c>
      <c r="AC175" s="914">
        <v>1E-3</v>
      </c>
      <c r="AD175" s="914">
        <v>0.25</v>
      </c>
      <c r="AE175" s="914">
        <v>0.5</v>
      </c>
      <c r="AF175" s="914">
        <v>0.33300000000000002</v>
      </c>
      <c r="AH175" s="104" t="s">
        <v>16</v>
      </c>
      <c r="AI175" s="32" t="str">
        <f>AI149</f>
        <v>N NOMBRE DE LA RECETA | | Autor &gt; USTED</v>
      </c>
      <c r="AJ175" s="33">
        <f>AJ149</f>
        <v>18</v>
      </c>
      <c r="AK175" s="32" t="str">
        <f>AK149</f>
        <v>postres</v>
      </c>
      <c r="AL175" s="34" t="str">
        <f>AL149</f>
        <v>Receta madre ► Introduzca el nombre de la receta principal</v>
      </c>
      <c r="AM175" s="911">
        <v>1</v>
      </c>
      <c r="AN175" s="912">
        <v>1E-3</v>
      </c>
      <c r="AO175" s="913">
        <v>0</v>
      </c>
      <c r="AP175" s="914">
        <v>1</v>
      </c>
      <c r="AQ175" s="914">
        <v>0.1</v>
      </c>
      <c r="AR175" s="914">
        <v>0.01</v>
      </c>
      <c r="AS175" s="914">
        <v>1E-3</v>
      </c>
      <c r="AT175" s="914">
        <v>0.25</v>
      </c>
      <c r="AU175" s="914">
        <v>0.5</v>
      </c>
      <c r="AV175" s="914">
        <v>0.33300000000000002</v>
      </c>
      <c r="AX175" s="1542" t="s">
        <v>66</v>
      </c>
      <c r="AY175" s="154" t="s">
        <v>67</v>
      </c>
      <c r="AZ175" s="155" t="s">
        <v>3295</v>
      </c>
      <c r="BA175" s="155"/>
      <c r="BB175" s="155"/>
      <c r="BC175" s="155"/>
      <c r="BD175" s="189"/>
      <c r="BF175" s="1542" t="s">
        <v>66</v>
      </c>
      <c r="BG175" s="154" t="s">
        <v>67</v>
      </c>
      <c r="BH175" s="155" t="s">
        <v>3296</v>
      </c>
      <c r="BI175" s="155"/>
      <c r="BJ175" s="155"/>
      <c r="BK175" s="155"/>
      <c r="BL175" s="189"/>
      <c r="BN175" s="1542" t="s">
        <v>66</v>
      </c>
      <c r="BO175" s="154" t="s">
        <v>67</v>
      </c>
      <c r="BP175" s="155"/>
      <c r="BQ175" s="155"/>
      <c r="BR175" s="155"/>
      <c r="BS175" s="155"/>
      <c r="BT175" s="189"/>
      <c r="BV175" s="3">
        <v>1</v>
      </c>
    </row>
    <row r="176" spans="2:74" ht="21" customHeight="1">
      <c r="B176" s="104" t="s">
        <v>16</v>
      </c>
      <c r="C176" s="32" t="str">
        <f>C149</f>
        <v>N NOM DE VOTRE RECETTE | | Auteur &gt; VOUS</v>
      </c>
      <c r="D176" s="33">
        <f>D149</f>
        <v>18</v>
      </c>
      <c r="E176" s="32" t="str">
        <f>E149</f>
        <v>desserts</v>
      </c>
      <c r="F176" s="34" t="str">
        <f>F149</f>
        <v>Recette mère ► Saisir le nom de la recette principale</v>
      </c>
      <c r="G176" s="142" t="s">
        <v>145</v>
      </c>
      <c r="H176" s="117" t="s">
        <v>107</v>
      </c>
      <c r="I176" s="141" t="s">
        <v>144</v>
      </c>
      <c r="J176" s="109" t="s">
        <v>150</v>
      </c>
      <c r="K176" s="109" t="s">
        <v>163</v>
      </c>
      <c r="L176" s="109" t="s">
        <v>103</v>
      </c>
      <c r="M176" s="109" t="s">
        <v>162</v>
      </c>
      <c r="N176" s="149" t="s">
        <v>160</v>
      </c>
      <c r="O176" s="149" t="s">
        <v>117</v>
      </c>
      <c r="P176" s="1061" t="s">
        <v>1831</v>
      </c>
      <c r="R176" s="104" t="s">
        <v>16</v>
      </c>
      <c r="S176" s="32" t="str">
        <f>S149</f>
        <v>N NAME OF YOUR RECIPE | |  Author &gt; YOU</v>
      </c>
      <c r="T176" s="33">
        <f>T149</f>
        <v>18</v>
      </c>
      <c r="U176" s="32" t="str">
        <f>U149</f>
        <v>desserts</v>
      </c>
      <c r="V176" s="34" t="str">
        <f>V149</f>
        <v>Master recipe ► Enter the main recipe name</v>
      </c>
      <c r="W176" s="142" t="s">
        <v>1357</v>
      </c>
      <c r="X176" s="117" t="s">
        <v>1359</v>
      </c>
      <c r="Y176" s="141" t="s">
        <v>144</v>
      </c>
      <c r="Z176" s="109" t="s">
        <v>1362</v>
      </c>
      <c r="AA176" s="109" t="s">
        <v>1371</v>
      </c>
      <c r="AB176" s="109" t="s">
        <v>1372</v>
      </c>
      <c r="AC176" s="109" t="s">
        <v>1370</v>
      </c>
      <c r="AD176" s="149" t="s">
        <v>1368</v>
      </c>
      <c r="AE176" s="149" t="s">
        <v>1367</v>
      </c>
      <c r="AF176" s="1061" t="s">
        <v>1832</v>
      </c>
      <c r="AH176" s="104" t="s">
        <v>16</v>
      </c>
      <c r="AI176" s="32" t="str">
        <f>AI149</f>
        <v>N NOMBRE DE LA RECETA | | Autor &gt; USTED</v>
      </c>
      <c r="AJ176" s="33">
        <f>AJ149</f>
        <v>18</v>
      </c>
      <c r="AK176" s="32" t="str">
        <f>AK149</f>
        <v>postres</v>
      </c>
      <c r="AL176" s="34" t="str">
        <f>AL149</f>
        <v>Receta madre ► Introduzca el nombre de la receta principal</v>
      </c>
      <c r="AM176" s="142" t="s">
        <v>145</v>
      </c>
      <c r="AN176" s="117" t="s">
        <v>107</v>
      </c>
      <c r="AO176" s="141" t="s">
        <v>144</v>
      </c>
      <c r="AP176" s="143" t="s">
        <v>1343</v>
      </c>
      <c r="AQ176" s="109" t="s">
        <v>1354</v>
      </c>
      <c r="AR176" s="109" t="s">
        <v>1355</v>
      </c>
      <c r="AS176" s="109" t="s">
        <v>1353</v>
      </c>
      <c r="AT176" s="149" t="s">
        <v>1351</v>
      </c>
      <c r="AU176" s="123" t="s">
        <v>1350</v>
      </c>
      <c r="AV176" s="1061" t="s">
        <v>1833</v>
      </c>
      <c r="AX176" s="508" t="s">
        <v>143</v>
      </c>
      <c r="AY176" s="105" t="s">
        <v>99</v>
      </c>
      <c r="AZ176" s="141" t="s">
        <v>144</v>
      </c>
      <c r="BA176" s="96" t="s">
        <v>0</v>
      </c>
      <c r="BB176" s="96" t="s">
        <v>96</v>
      </c>
      <c r="BC176" s="96" t="s">
        <v>147</v>
      </c>
      <c r="BD176" s="1543" t="s">
        <v>148</v>
      </c>
      <c r="BF176" s="508" t="s">
        <v>143</v>
      </c>
      <c r="BG176" s="105" t="s">
        <v>99</v>
      </c>
      <c r="BH176" s="141" t="s">
        <v>144</v>
      </c>
      <c r="BI176" s="96" t="s">
        <v>0</v>
      </c>
      <c r="BJ176" s="96" t="s">
        <v>96</v>
      </c>
      <c r="BK176" s="96" t="s">
        <v>147</v>
      </c>
      <c r="BL176" s="1543" t="s">
        <v>148</v>
      </c>
      <c r="BN176" s="508" t="s">
        <v>143</v>
      </c>
      <c r="BO176" s="105" t="s">
        <v>99</v>
      </c>
      <c r="BP176" s="141" t="s">
        <v>144</v>
      </c>
      <c r="BQ176" s="96" t="s">
        <v>0</v>
      </c>
      <c r="BR176" s="96" t="s">
        <v>96</v>
      </c>
      <c r="BS176" s="96" t="s">
        <v>147</v>
      </c>
      <c r="BT176" s="1543" t="s">
        <v>148</v>
      </c>
      <c r="BV176" s="3">
        <v>1</v>
      </c>
    </row>
    <row r="177" spans="2:74" ht="21" customHeight="1">
      <c r="B177" s="104" t="s">
        <v>16</v>
      </c>
      <c r="C177" s="32" t="str">
        <f>C149</f>
        <v>N NOM DE VOTRE RECETTE | | Auteur &gt; VOUS</v>
      </c>
      <c r="D177" s="33">
        <f>D149</f>
        <v>18</v>
      </c>
      <c r="E177" s="32" t="str">
        <f>E149</f>
        <v>desserts</v>
      </c>
      <c r="F177" s="34" t="str">
        <f>F149</f>
        <v>Recette mère ► Saisir le nom de la recette principale</v>
      </c>
      <c r="G177" s="912">
        <v>0.25</v>
      </c>
      <c r="H177" s="912">
        <v>0.5</v>
      </c>
      <c r="I177" s="913">
        <v>0</v>
      </c>
      <c r="J177" s="914">
        <v>0.2</v>
      </c>
      <c r="K177" s="914">
        <v>0.1</v>
      </c>
      <c r="L177" s="914">
        <v>0.22500000000000001</v>
      </c>
      <c r="M177" s="914">
        <v>1.4999999999999999E-2</v>
      </c>
      <c r="N177" s="914">
        <v>4.9299999999999995E-3</v>
      </c>
      <c r="O177" s="914">
        <v>0.35</v>
      </c>
      <c r="P177" s="915">
        <v>0.25</v>
      </c>
      <c r="R177" s="104" t="s">
        <v>16</v>
      </c>
      <c r="S177" s="32" t="str">
        <f>S149</f>
        <v>N NAME OF YOUR RECIPE | |  Author &gt; YOU</v>
      </c>
      <c r="T177" s="33">
        <f>T149</f>
        <v>18</v>
      </c>
      <c r="U177" s="32" t="str">
        <f>U149</f>
        <v>desserts</v>
      </c>
      <c r="V177" s="34" t="str">
        <f>V149</f>
        <v>Master recipe ► Enter the main recipe name</v>
      </c>
      <c r="W177" s="912">
        <v>0.25</v>
      </c>
      <c r="X177" s="912">
        <v>0.5</v>
      </c>
      <c r="Y177" s="913">
        <v>0</v>
      </c>
      <c r="Z177" s="914">
        <v>0.2</v>
      </c>
      <c r="AA177" s="914">
        <v>0.1</v>
      </c>
      <c r="AB177" s="914">
        <v>0.22500000000000001</v>
      </c>
      <c r="AC177" s="914">
        <v>1.4999999999999999E-2</v>
      </c>
      <c r="AD177" s="914">
        <v>4.9299999999999995E-3</v>
      </c>
      <c r="AE177" s="914">
        <v>0.35</v>
      </c>
      <c r="AF177" s="915">
        <v>0.25</v>
      </c>
      <c r="AH177" s="104" t="s">
        <v>16</v>
      </c>
      <c r="AI177" s="32" t="str">
        <f>AI149</f>
        <v>N NOMBRE DE LA RECETA | | Autor &gt; USTED</v>
      </c>
      <c r="AJ177" s="33">
        <f>AJ149</f>
        <v>18</v>
      </c>
      <c r="AK177" s="32" t="str">
        <f>AK149</f>
        <v>postres</v>
      </c>
      <c r="AL177" s="34" t="str">
        <f>AL149</f>
        <v>Receta madre ► Introduzca el nombre de la receta principal</v>
      </c>
      <c r="AM177" s="912">
        <v>0.25</v>
      </c>
      <c r="AN177" s="912">
        <v>0.5</v>
      </c>
      <c r="AO177" s="913">
        <v>0</v>
      </c>
      <c r="AP177" s="914">
        <v>0.2</v>
      </c>
      <c r="AQ177" s="914">
        <v>0.1</v>
      </c>
      <c r="AR177" s="914">
        <v>0.22500000000000001</v>
      </c>
      <c r="AS177" s="914">
        <v>1.4999999999999999E-2</v>
      </c>
      <c r="AT177" s="914">
        <v>4.9299999999999995E-3</v>
      </c>
      <c r="AU177" s="914">
        <v>0.35</v>
      </c>
      <c r="AV177" s="915">
        <v>0.25</v>
      </c>
      <c r="AX177" s="1544">
        <v>1</v>
      </c>
      <c r="AY177" s="912">
        <v>1E-3</v>
      </c>
      <c r="AZ177" s="913">
        <v>0</v>
      </c>
      <c r="BA177" s="914">
        <v>1</v>
      </c>
      <c r="BB177" s="914">
        <v>0.1</v>
      </c>
      <c r="BC177" s="914">
        <v>0.01</v>
      </c>
      <c r="BD177" s="915">
        <v>1E-3</v>
      </c>
      <c r="BF177" s="1544">
        <v>1</v>
      </c>
      <c r="BG177" s="912">
        <v>1E-3</v>
      </c>
      <c r="BH177" s="913">
        <v>0</v>
      </c>
      <c r="BI177" s="914">
        <v>1</v>
      </c>
      <c r="BJ177" s="914">
        <v>0.1</v>
      </c>
      <c r="BK177" s="914">
        <v>0.01</v>
      </c>
      <c r="BL177" s="915">
        <v>1E-3</v>
      </c>
      <c r="BN177" s="1544">
        <v>1</v>
      </c>
      <c r="BO177" s="912">
        <v>1E-3</v>
      </c>
      <c r="BP177" s="913">
        <v>0</v>
      </c>
      <c r="BQ177" s="914">
        <v>1</v>
      </c>
      <c r="BR177" s="914">
        <v>0.1</v>
      </c>
      <c r="BS177" s="914">
        <v>0.01</v>
      </c>
      <c r="BT177" s="915">
        <v>1E-3</v>
      </c>
      <c r="BV177" s="3">
        <v>1</v>
      </c>
    </row>
    <row r="178" spans="2:74" ht="21" customHeight="1">
      <c r="B178" s="104" t="s">
        <v>16</v>
      </c>
      <c r="C178" s="32" t="str">
        <f>C149</f>
        <v>N NOM DE VOTRE RECETTE | | Auteur &gt; VOUS</v>
      </c>
      <c r="D178" s="33">
        <f>D149</f>
        <v>18</v>
      </c>
      <c r="E178" s="32" t="str">
        <f>E149</f>
        <v>desserts</v>
      </c>
      <c r="F178" s="34" t="str">
        <f>F149</f>
        <v>Recette mère ► Saisir le nom de la recette principale</v>
      </c>
      <c r="G178" s="154" t="str">
        <f>G150</f>
        <v>Col.6</v>
      </c>
      <c r="H178" s="154" t="str">
        <f>H150</f>
        <v>Col.7</v>
      </c>
      <c r="I178" s="155" t="s">
        <v>3295</v>
      </c>
      <c r="J178" s="155"/>
      <c r="K178" s="155"/>
      <c r="L178" s="155"/>
      <c r="M178" s="155"/>
      <c r="N178" s="155"/>
      <c r="O178" s="155"/>
      <c r="P178" s="1477"/>
      <c r="R178" s="104" t="s">
        <v>16</v>
      </c>
      <c r="S178" s="32" t="str">
        <f>S149</f>
        <v>N NAME OF YOUR RECIPE | |  Author &gt; YOU</v>
      </c>
      <c r="T178" s="33">
        <f>T149</f>
        <v>18</v>
      </c>
      <c r="U178" s="32" t="str">
        <f>U149</f>
        <v>desserts</v>
      </c>
      <c r="V178" s="34" t="str">
        <f>V149</f>
        <v>Master recipe ► Enter the main recipe name</v>
      </c>
      <c r="W178" s="154" t="str">
        <f>W150</f>
        <v>Col.6</v>
      </c>
      <c r="X178" s="154" t="str">
        <f>X150</f>
        <v>Col.7</v>
      </c>
      <c r="Y178" s="155" t="s">
        <v>3296</v>
      </c>
      <c r="Z178" s="155"/>
      <c r="AA178" s="155"/>
      <c r="AB178" s="155"/>
      <c r="AC178" s="155"/>
      <c r="AD178" s="155"/>
      <c r="AE178" s="155"/>
      <c r="AF178" s="1477"/>
      <c r="AH178" s="104" t="s">
        <v>16</v>
      </c>
      <c r="AI178" s="32" t="str">
        <f>AI149</f>
        <v>N NOMBRE DE LA RECETA | | Autor &gt; USTED</v>
      </c>
      <c r="AJ178" s="33">
        <f>AJ149</f>
        <v>18</v>
      </c>
      <c r="AK178" s="32" t="str">
        <f>AK149</f>
        <v>postres</v>
      </c>
      <c r="AL178" s="34" t="str">
        <f>AL149</f>
        <v>Receta madre ► Introduzca el nombre de la receta principal</v>
      </c>
      <c r="AM178" s="154" t="str">
        <f>AM150</f>
        <v>Col.6</v>
      </c>
      <c r="AN178" s="154" t="str">
        <f>AN150</f>
        <v>Col.7</v>
      </c>
      <c r="AO178" s="155" t="s">
        <v>3298</v>
      </c>
      <c r="AP178" s="155"/>
      <c r="AQ178" s="155"/>
      <c r="AR178" s="155"/>
      <c r="AS178" s="155"/>
      <c r="AT178" s="155"/>
      <c r="AU178" s="155"/>
      <c r="AV178" s="1477"/>
      <c r="AX178" s="1545" t="s">
        <v>145</v>
      </c>
      <c r="AY178" s="117" t="s">
        <v>107</v>
      </c>
      <c r="AZ178" s="141" t="s">
        <v>144</v>
      </c>
      <c r="BA178" s="109" t="s">
        <v>150</v>
      </c>
      <c r="BB178" s="109" t="s">
        <v>163</v>
      </c>
      <c r="BC178" s="109" t="s">
        <v>103</v>
      </c>
      <c r="BD178" s="519" t="s">
        <v>162</v>
      </c>
      <c r="BF178" s="1545" t="s">
        <v>1357</v>
      </c>
      <c r="BG178" s="117" t="s">
        <v>1359</v>
      </c>
      <c r="BH178" s="141" t="s">
        <v>144</v>
      </c>
      <c r="BI178" s="109" t="s">
        <v>1362</v>
      </c>
      <c r="BJ178" s="109" t="s">
        <v>1371</v>
      </c>
      <c r="BK178" s="109" t="s">
        <v>1372</v>
      </c>
      <c r="BL178" s="519" t="s">
        <v>1370</v>
      </c>
      <c r="BN178" s="1545" t="s">
        <v>145</v>
      </c>
      <c r="BO178" s="117" t="s">
        <v>107</v>
      </c>
      <c r="BP178" s="141" t="s">
        <v>144</v>
      </c>
      <c r="BQ178" s="109" t="s">
        <v>1343</v>
      </c>
      <c r="BR178" s="109" t="s">
        <v>1354</v>
      </c>
      <c r="BS178" s="109" t="s">
        <v>1355</v>
      </c>
      <c r="BT178" s="519" t="s">
        <v>1353</v>
      </c>
      <c r="BV178" s="3">
        <v>1</v>
      </c>
    </row>
    <row r="179" spans="2:74" ht="21" customHeight="1">
      <c r="B179" s="104" t="s">
        <v>16</v>
      </c>
      <c r="C179" s="157" t="str">
        <f>C149</f>
        <v>N NOM DE VOTRE RECETTE | | Auteur &gt; VOUS</v>
      </c>
      <c r="D179" s="157">
        <f>D149</f>
        <v>18</v>
      </c>
      <c r="E179" s="158" t="str">
        <f>E149</f>
        <v>desserts</v>
      </c>
      <c r="F179" s="159" t="str">
        <f>F149</f>
        <v>Recette mère ► Saisir le nom de la recette principale</v>
      </c>
      <c r="G179" s="160" t="s">
        <v>167</v>
      </c>
      <c r="H179" s="1483" t="s">
        <v>3328</v>
      </c>
      <c r="I179" s="162"/>
      <c r="J179" s="162"/>
      <c r="K179" s="172"/>
      <c r="L179" s="172"/>
      <c r="M179" s="172"/>
      <c r="N179" s="172"/>
      <c r="O179" s="156" t="s">
        <v>165</v>
      </c>
      <c r="P179" s="1484" t="s">
        <v>3276</v>
      </c>
      <c r="R179" s="104" t="s">
        <v>16</v>
      </c>
      <c r="S179" s="157" t="str">
        <f>S149</f>
        <v>N NAME OF YOUR RECIPE | |  Author &gt; YOU</v>
      </c>
      <c r="T179" s="157">
        <f>T149</f>
        <v>18</v>
      </c>
      <c r="U179" s="158" t="str">
        <f>U149</f>
        <v>desserts</v>
      </c>
      <c r="V179" s="159" t="str">
        <f>V149</f>
        <v>Master recipe ► Enter the main recipe name</v>
      </c>
      <c r="W179" s="232" t="s">
        <v>752</v>
      </c>
      <c r="X179" s="161" t="s">
        <v>3327</v>
      </c>
      <c r="Y179" s="162"/>
      <c r="Z179" s="162"/>
      <c r="AA179" s="172"/>
      <c r="AB179" s="172"/>
      <c r="AC179" s="172"/>
      <c r="AD179" s="172"/>
      <c r="AE179" s="156" t="s">
        <v>894</v>
      </c>
      <c r="AF179" s="1484" t="s">
        <v>3276</v>
      </c>
      <c r="AH179" s="104" t="s">
        <v>16</v>
      </c>
      <c r="AI179" s="157" t="str">
        <f>AI149</f>
        <v>N NOMBRE DE LA RECETA | | Autor &gt; USTED</v>
      </c>
      <c r="AJ179" s="157">
        <f>AJ149</f>
        <v>18</v>
      </c>
      <c r="AK179" s="158" t="str">
        <f>AK149</f>
        <v>postres</v>
      </c>
      <c r="AL179" s="159" t="str">
        <f>AL149</f>
        <v>Receta madre ► Introduzca el nombre de la receta principal</v>
      </c>
      <c r="AM179" s="232" t="s">
        <v>754</v>
      </c>
      <c r="AN179" s="161" t="s">
        <v>3325</v>
      </c>
      <c r="AO179" s="162"/>
      <c r="AP179" s="162"/>
      <c r="AQ179" s="172"/>
      <c r="AR179" s="172"/>
      <c r="AS179" s="172"/>
      <c r="AT179" s="172"/>
      <c r="AU179" s="905" t="s">
        <v>908</v>
      </c>
      <c r="AV179" s="1484" t="s">
        <v>3276</v>
      </c>
      <c r="AX179" s="1544">
        <v>0.25</v>
      </c>
      <c r="AY179" s="912">
        <v>0.5</v>
      </c>
      <c r="AZ179" s="913">
        <v>0</v>
      </c>
      <c r="BA179" s="914">
        <v>0.2</v>
      </c>
      <c r="BB179" s="914">
        <v>0.1</v>
      </c>
      <c r="BC179" s="914">
        <v>0.22500000000000001</v>
      </c>
      <c r="BD179" s="915">
        <v>1.4999999999999999E-2</v>
      </c>
      <c r="BF179" s="1544">
        <v>0.25</v>
      </c>
      <c r="BG179" s="912">
        <v>0.5</v>
      </c>
      <c r="BH179" s="913">
        <v>0</v>
      </c>
      <c r="BI179" s="914">
        <v>0.2</v>
      </c>
      <c r="BJ179" s="914">
        <v>0.1</v>
      </c>
      <c r="BK179" s="914">
        <v>0.22500000000000001</v>
      </c>
      <c r="BL179" s="915">
        <v>1.4999999999999999E-2</v>
      </c>
      <c r="BN179" s="1544">
        <v>0.25</v>
      </c>
      <c r="BO179" s="912">
        <v>0.5</v>
      </c>
      <c r="BP179" s="913">
        <v>0</v>
      </c>
      <c r="BQ179" s="914">
        <v>0.2</v>
      </c>
      <c r="BR179" s="914">
        <v>0.1</v>
      </c>
      <c r="BS179" s="914">
        <v>0.22500000000000001</v>
      </c>
      <c r="BT179" s="915">
        <v>1.4999999999999999E-2</v>
      </c>
      <c r="BV179" s="3">
        <v>1</v>
      </c>
    </row>
    <row r="180" spans="2:74" ht="21" customHeight="1">
      <c r="B180" s="104" t="s">
        <v>16</v>
      </c>
      <c r="C180" s="157" t="str">
        <f>C149</f>
        <v>N NOM DE VOTRE RECETTE | | Auteur &gt; VOUS</v>
      </c>
      <c r="D180" s="157">
        <f>D149</f>
        <v>18</v>
      </c>
      <c r="E180" s="158" t="str">
        <f>E149</f>
        <v>desserts</v>
      </c>
      <c r="F180" s="159" t="str">
        <f>F149</f>
        <v>Recette mère ► Saisir le nom de la recette principale</v>
      </c>
      <c r="G180" s="172"/>
      <c r="H180" s="172"/>
      <c r="I180" s="172"/>
      <c r="J180" s="172"/>
      <c r="K180" s="172"/>
      <c r="L180" s="172"/>
      <c r="M180" s="172"/>
      <c r="N180" s="172"/>
      <c r="O180" s="1474" t="s">
        <v>168</v>
      </c>
      <c r="P180" s="1482" t="s">
        <v>668</v>
      </c>
      <c r="R180" s="104" t="s">
        <v>16</v>
      </c>
      <c r="S180" s="157" t="str">
        <f>S149</f>
        <v>N NAME OF YOUR RECIPE | |  Author &gt; YOU</v>
      </c>
      <c r="T180" s="157">
        <f>T149</f>
        <v>18</v>
      </c>
      <c r="U180" s="158" t="str">
        <f>U149</f>
        <v>desserts</v>
      </c>
      <c r="V180" s="159" t="str">
        <f>V149</f>
        <v>Master recipe ► Enter the main recipe name</v>
      </c>
      <c r="W180" s="172"/>
      <c r="X180" s="172"/>
      <c r="Y180" s="172"/>
      <c r="Z180" s="172"/>
      <c r="AA180" s="172"/>
      <c r="AB180" s="172"/>
      <c r="AC180" s="172"/>
      <c r="AD180" s="172"/>
      <c r="AE180" s="1474" t="s">
        <v>895</v>
      </c>
      <c r="AF180" s="1482" t="s">
        <v>668</v>
      </c>
      <c r="AH180" s="104" t="s">
        <v>16</v>
      </c>
      <c r="AI180" s="157" t="str">
        <f>AI149</f>
        <v>N NOMBRE DE LA RECETA | | Autor &gt; USTED</v>
      </c>
      <c r="AJ180" s="157">
        <f>AJ149</f>
        <v>18</v>
      </c>
      <c r="AK180" s="158" t="str">
        <f>AK149</f>
        <v>postres</v>
      </c>
      <c r="AL180" s="159" t="str">
        <f>AL149</f>
        <v>Receta madre ► Introduzca el nombre de la receta principal</v>
      </c>
      <c r="AM180" s="172"/>
      <c r="AN180" s="172"/>
      <c r="AO180" s="172"/>
      <c r="AP180" s="172"/>
      <c r="AQ180" s="172"/>
      <c r="AR180" s="172"/>
      <c r="AS180" s="172"/>
      <c r="AT180" s="172"/>
      <c r="AU180" s="1474" t="s">
        <v>909</v>
      </c>
      <c r="AV180" s="1482" t="s">
        <v>668</v>
      </c>
      <c r="AX180" s="47"/>
      <c r="AY180" s="48"/>
      <c r="AZ180" s="48"/>
      <c r="BA180" s="48"/>
      <c r="BB180" s="48"/>
      <c r="BC180" s="48"/>
      <c r="BD180" s="49"/>
      <c r="BF180" s="47"/>
      <c r="BG180" s="48"/>
      <c r="BH180" s="48"/>
      <c r="BI180" s="48"/>
      <c r="BJ180" s="48"/>
      <c r="BK180" s="48"/>
      <c r="BL180" s="49"/>
      <c r="BN180" s="47"/>
      <c r="BO180" s="48"/>
      <c r="BP180" s="48"/>
      <c r="BQ180" s="48"/>
      <c r="BR180" s="48"/>
      <c r="BS180" s="48"/>
      <c r="BT180" s="49"/>
      <c r="BV180" s="3">
        <v>1</v>
      </c>
    </row>
    <row r="181" spans="2:74" ht="21" customHeight="1">
      <c r="B181" s="104" t="s">
        <v>16</v>
      </c>
      <c r="C181" s="157" t="str">
        <f>C149</f>
        <v>N NOM DE VOTRE RECETTE | | Auteur &gt; VOUS</v>
      </c>
      <c r="D181" s="157">
        <f>D149</f>
        <v>18</v>
      </c>
      <c r="E181" s="158" t="str">
        <f>E149</f>
        <v>desserts</v>
      </c>
      <c r="F181" s="159" t="str">
        <f>F149</f>
        <v>Recette mère ► Saisir le nom de la recette principale</v>
      </c>
      <c r="G181" s="172"/>
      <c r="H181" s="172"/>
      <c r="I181" s="172"/>
      <c r="J181" s="172"/>
      <c r="K181" s="172"/>
      <c r="L181" s="172"/>
      <c r="M181" s="172"/>
      <c r="N181" s="172"/>
      <c r="O181" s="172"/>
      <c r="P181" s="555"/>
      <c r="R181" s="104" t="s">
        <v>16</v>
      </c>
      <c r="S181" s="157" t="str">
        <f>S149</f>
        <v>N NAME OF YOUR RECIPE | |  Author &gt; YOU</v>
      </c>
      <c r="T181" s="157">
        <f>T149</f>
        <v>18</v>
      </c>
      <c r="U181" s="158" t="str">
        <f>U149</f>
        <v>desserts</v>
      </c>
      <c r="V181" s="159" t="str">
        <f>V149</f>
        <v>Master recipe ► Enter the main recipe name</v>
      </c>
      <c r="W181" s="172"/>
      <c r="X181" s="172"/>
      <c r="Y181" s="172"/>
      <c r="Z181" s="172"/>
      <c r="AA181" s="172"/>
      <c r="AB181" s="172"/>
      <c r="AC181" s="172"/>
      <c r="AD181" s="172"/>
      <c r="AE181" s="172"/>
      <c r="AF181" s="555"/>
      <c r="AH181" s="104" t="s">
        <v>16</v>
      </c>
      <c r="AI181" s="157" t="str">
        <f>AI149</f>
        <v>N NOMBRE DE LA RECETA | | Autor &gt; USTED</v>
      </c>
      <c r="AJ181" s="157">
        <f>AJ149</f>
        <v>18</v>
      </c>
      <c r="AK181" s="158" t="str">
        <f>AK149</f>
        <v>postres</v>
      </c>
      <c r="AL181" s="159" t="str">
        <f>AL149</f>
        <v>Receta madre ► Introduzca el nombre de la receta principal</v>
      </c>
      <c r="AM181" s="172"/>
      <c r="AN181" s="172"/>
      <c r="AO181" s="172"/>
      <c r="AP181" s="172"/>
      <c r="AQ181" s="172"/>
      <c r="AR181" s="172"/>
      <c r="AS181" s="172"/>
      <c r="AT181" s="172"/>
      <c r="AU181" s="172"/>
      <c r="AV181" s="555"/>
      <c r="AX181" s="47"/>
      <c r="AY181" s="381" t="s">
        <v>3332</v>
      </c>
      <c r="AZ181" s="48"/>
      <c r="BA181" s="48"/>
      <c r="BB181" s="109" t="s">
        <v>364</v>
      </c>
      <c r="BC181" s="109" t="s">
        <v>102</v>
      </c>
      <c r="BD181" s="519" t="s">
        <v>149</v>
      </c>
      <c r="BF181" s="47"/>
      <c r="BG181" s="381" t="s">
        <v>3333</v>
      </c>
      <c r="BH181" s="48"/>
      <c r="BI181" s="48"/>
      <c r="BJ181" s="109" t="s">
        <v>1378</v>
      </c>
      <c r="BK181" s="109" t="s">
        <v>1360</v>
      </c>
      <c r="BL181" s="519" t="s">
        <v>1361</v>
      </c>
      <c r="BN181" s="47"/>
      <c r="BO181" s="381" t="s">
        <v>3334</v>
      </c>
      <c r="BP181" s="48"/>
      <c r="BQ181" s="48"/>
      <c r="BR181" s="109" t="s">
        <v>1379</v>
      </c>
      <c r="BS181" s="109" t="s">
        <v>1341</v>
      </c>
      <c r="BT181" s="519" t="s">
        <v>1342</v>
      </c>
      <c r="BV181" s="3">
        <v>1</v>
      </c>
    </row>
    <row r="182" spans="2:74" ht="21" customHeight="1">
      <c r="B182" s="104" t="s">
        <v>16</v>
      </c>
      <c r="C182" s="157" t="str">
        <f>C149</f>
        <v>N NOM DE VOTRE RECETTE | | Auteur &gt; VOUS</v>
      </c>
      <c r="D182" s="157">
        <f>D149</f>
        <v>18</v>
      </c>
      <c r="E182" s="158" t="str">
        <f>E149</f>
        <v>desserts</v>
      </c>
      <c r="F182" s="159" t="str">
        <f>F149</f>
        <v>Recette mère ► Saisir le nom de la recette principale</v>
      </c>
      <c r="G182" s="172"/>
      <c r="H182" s="172"/>
      <c r="I182" s="172"/>
      <c r="J182" s="172"/>
      <c r="K182" s="172"/>
      <c r="L182" s="172"/>
      <c r="M182" s="172"/>
      <c r="N182" s="172"/>
      <c r="O182" s="170" t="s">
        <v>172</v>
      </c>
      <c r="P182" s="171">
        <v>3.472222222222222E-3</v>
      </c>
      <c r="R182" s="104" t="s">
        <v>16</v>
      </c>
      <c r="S182" s="157" t="str">
        <f>S149</f>
        <v>N NAME OF YOUR RECIPE | |  Author &gt; YOU</v>
      </c>
      <c r="T182" s="157">
        <f>T149</f>
        <v>18</v>
      </c>
      <c r="U182" s="158" t="str">
        <f>U149</f>
        <v>desserts</v>
      </c>
      <c r="V182" s="159" t="str">
        <f>V149</f>
        <v>Master recipe ► Enter the main recipe name</v>
      </c>
      <c r="W182" s="172"/>
      <c r="X182" s="172"/>
      <c r="Y182" s="172"/>
      <c r="Z182" s="172"/>
      <c r="AA182" s="172"/>
      <c r="AB182" s="172"/>
      <c r="AC182" s="172"/>
      <c r="AD182" s="172"/>
      <c r="AE182" s="170" t="s">
        <v>676</v>
      </c>
      <c r="AF182" s="171">
        <v>3.472222222222222E-3</v>
      </c>
      <c r="AH182" s="104" t="s">
        <v>16</v>
      </c>
      <c r="AI182" s="157" t="str">
        <f>AI149</f>
        <v>N NOMBRE DE LA RECETA | | Autor &gt; USTED</v>
      </c>
      <c r="AJ182" s="157">
        <f>AJ149</f>
        <v>18</v>
      </c>
      <c r="AK182" s="158" t="str">
        <f>AK149</f>
        <v>postres</v>
      </c>
      <c r="AL182" s="159" t="str">
        <f>AL149</f>
        <v>Receta madre ► Introduzca el nombre de la receta principal</v>
      </c>
      <c r="AM182" s="172"/>
      <c r="AN182" s="172"/>
      <c r="AO182" s="172"/>
      <c r="AP182" s="172"/>
      <c r="AQ182" s="172"/>
      <c r="AR182" s="172"/>
      <c r="AS182" s="172"/>
      <c r="AT182" s="172"/>
      <c r="AU182" s="170" t="s">
        <v>677</v>
      </c>
      <c r="AV182" s="171">
        <v>3.472222222222222E-3</v>
      </c>
      <c r="AX182" s="47"/>
      <c r="AY182" s="276" t="s">
        <v>585</v>
      </c>
      <c r="AZ182" s="48"/>
      <c r="BA182" s="48"/>
      <c r="BB182" s="914">
        <v>0.25</v>
      </c>
      <c r="BC182" s="914">
        <v>0.5</v>
      </c>
      <c r="BD182" s="915">
        <v>0.33300000000000002</v>
      </c>
      <c r="BF182" s="47"/>
      <c r="BG182" s="276" t="s">
        <v>586</v>
      </c>
      <c r="BH182" s="48"/>
      <c r="BI182" s="48"/>
      <c r="BJ182" s="914">
        <v>0.25</v>
      </c>
      <c r="BK182" s="914">
        <v>0.5</v>
      </c>
      <c r="BL182" s="915">
        <v>0.33300000000000002</v>
      </c>
      <c r="BN182" s="47"/>
      <c r="BO182" s="276" t="s">
        <v>587</v>
      </c>
      <c r="BP182" s="48"/>
      <c r="BQ182" s="48"/>
      <c r="BR182" s="914">
        <v>0.25</v>
      </c>
      <c r="BS182" s="914">
        <v>0.5</v>
      </c>
      <c r="BT182" s="915">
        <v>0.33300000000000002</v>
      </c>
      <c r="BV182" s="3">
        <v>1</v>
      </c>
    </row>
    <row r="183" spans="2:74" ht="21" customHeight="1">
      <c r="B183" s="104" t="s">
        <v>16</v>
      </c>
      <c r="C183" s="157" t="str">
        <f>C149</f>
        <v>N NOM DE VOTRE RECETTE | | Auteur &gt; VOUS</v>
      </c>
      <c r="D183" s="157">
        <f>D149</f>
        <v>18</v>
      </c>
      <c r="E183" s="158" t="str">
        <f>E149</f>
        <v>desserts</v>
      </c>
      <c r="F183" s="159" t="str">
        <f>F149</f>
        <v>Recette mère ► Saisir le nom de la recette principale</v>
      </c>
      <c r="G183" s="172"/>
      <c r="H183" s="172"/>
      <c r="I183" s="172"/>
      <c r="J183" s="172"/>
      <c r="K183" s="172"/>
      <c r="L183" s="172"/>
      <c r="M183" s="172"/>
      <c r="N183" s="172"/>
      <c r="O183" s="170" t="s">
        <v>174</v>
      </c>
      <c r="P183" s="174">
        <v>3.472222222222222E-3</v>
      </c>
      <c r="R183" s="104" t="s">
        <v>16</v>
      </c>
      <c r="S183" s="157" t="str">
        <f>S149</f>
        <v>N NAME OF YOUR RECIPE | |  Author &gt; YOU</v>
      </c>
      <c r="T183" s="157">
        <f>T149</f>
        <v>18</v>
      </c>
      <c r="U183" s="158" t="str">
        <f>U149</f>
        <v>desserts</v>
      </c>
      <c r="V183" s="159" t="str">
        <f>V149</f>
        <v>Master recipe ► Enter the main recipe name</v>
      </c>
      <c r="W183" s="172"/>
      <c r="X183" s="172"/>
      <c r="Y183" s="172"/>
      <c r="Z183" s="172"/>
      <c r="AA183" s="172"/>
      <c r="AB183" s="172"/>
      <c r="AC183" s="172"/>
      <c r="AD183" s="172"/>
      <c r="AE183" s="170" t="s">
        <v>682</v>
      </c>
      <c r="AF183" s="174">
        <v>3.472222222222222E-3</v>
      </c>
      <c r="AH183" s="104" t="s">
        <v>16</v>
      </c>
      <c r="AI183" s="157" t="str">
        <f>AI149</f>
        <v>N NOMBRE DE LA RECETA | | Autor &gt; USTED</v>
      </c>
      <c r="AJ183" s="157">
        <f>AJ149</f>
        <v>18</v>
      </c>
      <c r="AK183" s="158" t="str">
        <f>AK149</f>
        <v>postres</v>
      </c>
      <c r="AL183" s="159" t="str">
        <f>AL149</f>
        <v>Receta madre ► Introduzca el nombre de la receta principal</v>
      </c>
      <c r="AM183" s="172"/>
      <c r="AN183" s="172"/>
      <c r="AO183" s="172"/>
      <c r="AP183" s="172"/>
      <c r="AQ183" s="172"/>
      <c r="AR183" s="172"/>
      <c r="AS183" s="172"/>
      <c r="AT183" s="172"/>
      <c r="AU183" s="170" t="s">
        <v>683</v>
      </c>
      <c r="AV183" s="174">
        <v>3.472222222222222E-3</v>
      </c>
      <c r="AX183" s="47"/>
      <c r="AY183" s="510" t="s">
        <v>588</v>
      </c>
      <c r="AZ183" s="48"/>
      <c r="BA183" s="48"/>
      <c r="BB183" s="149" t="s">
        <v>160</v>
      </c>
      <c r="BC183" s="123" t="s">
        <v>117</v>
      </c>
      <c r="BD183" s="1546" t="s">
        <v>1831</v>
      </c>
      <c r="BF183" s="47"/>
      <c r="BG183" s="510" t="s">
        <v>589</v>
      </c>
      <c r="BH183" s="48"/>
      <c r="BI183" s="48"/>
      <c r="BJ183" s="149" t="s">
        <v>1368</v>
      </c>
      <c r="BK183" s="123" t="s">
        <v>1367</v>
      </c>
      <c r="BL183" s="1546" t="s">
        <v>1832</v>
      </c>
      <c r="BN183" s="47"/>
      <c r="BO183" s="510" t="s">
        <v>590</v>
      </c>
      <c r="BP183" s="48"/>
      <c r="BQ183" s="48"/>
      <c r="BR183" s="149" t="s">
        <v>1351</v>
      </c>
      <c r="BS183" s="123" t="s">
        <v>1350</v>
      </c>
      <c r="BT183" s="1546" t="s">
        <v>1833</v>
      </c>
      <c r="BV183" s="3">
        <v>1</v>
      </c>
    </row>
    <row r="184" spans="2:74" ht="21" customHeight="1">
      <c r="B184" s="104" t="s">
        <v>16</v>
      </c>
      <c r="C184" s="157" t="str">
        <f>C149</f>
        <v>N NOM DE VOTRE RECETTE | | Auteur &gt; VOUS</v>
      </c>
      <c r="D184" s="157">
        <f>D149</f>
        <v>18</v>
      </c>
      <c r="E184" s="158" t="str">
        <f>E149</f>
        <v>desserts</v>
      </c>
      <c r="F184" s="159" t="str">
        <f>F149</f>
        <v>Recette mère ► Saisir le nom de la recette principale</v>
      </c>
      <c r="G184" s="172"/>
      <c r="H184" s="172"/>
      <c r="I184" s="172"/>
      <c r="J184" s="172"/>
      <c r="K184" s="172"/>
      <c r="L184" s="172"/>
      <c r="M184" s="172"/>
      <c r="N184" s="172"/>
      <c r="O184" s="170" t="s">
        <v>182</v>
      </c>
      <c r="P184" s="175">
        <v>3.472222222222222E-3</v>
      </c>
      <c r="R184" s="104" t="s">
        <v>16</v>
      </c>
      <c r="S184" s="157" t="str">
        <f>S149</f>
        <v>N NAME OF YOUR RECIPE | |  Author &gt; YOU</v>
      </c>
      <c r="T184" s="157">
        <f>T149</f>
        <v>18</v>
      </c>
      <c r="U184" s="158" t="str">
        <f>U149</f>
        <v>desserts</v>
      </c>
      <c r="V184" s="159" t="str">
        <f>V149</f>
        <v>Master recipe ► Enter the main recipe name</v>
      </c>
      <c r="W184" s="172"/>
      <c r="X184" s="172"/>
      <c r="Y184" s="172"/>
      <c r="Z184" s="172"/>
      <c r="AA184" s="172"/>
      <c r="AB184" s="172"/>
      <c r="AC184" s="172"/>
      <c r="AD184" s="172"/>
      <c r="AE184" s="170" t="s">
        <v>684</v>
      </c>
      <c r="AF184" s="175">
        <v>3.472222222222222E-3</v>
      </c>
      <c r="AH184" s="104" t="s">
        <v>16</v>
      </c>
      <c r="AI184" s="157" t="str">
        <f>AI149</f>
        <v>N NOMBRE DE LA RECETA | | Autor &gt; USTED</v>
      </c>
      <c r="AJ184" s="157">
        <f>AJ149</f>
        <v>18</v>
      </c>
      <c r="AK184" s="158" t="str">
        <f>AK149</f>
        <v>postres</v>
      </c>
      <c r="AL184" s="159" t="str">
        <f>AL149</f>
        <v>Receta madre ► Introduzca el nombre de la receta principal</v>
      </c>
      <c r="AM184" s="172"/>
      <c r="AN184" s="172"/>
      <c r="AO184" s="172"/>
      <c r="AP184" s="172"/>
      <c r="AQ184" s="172"/>
      <c r="AR184" s="172"/>
      <c r="AS184" s="172"/>
      <c r="AT184" s="172"/>
      <c r="AU184" s="170" t="s">
        <v>911</v>
      </c>
      <c r="AV184" s="175">
        <v>3.472222222222222E-3</v>
      </c>
      <c r="AX184" s="47"/>
      <c r="AY184" s="510" t="s">
        <v>592</v>
      </c>
      <c r="AZ184" s="48"/>
      <c r="BA184" s="48"/>
      <c r="BB184" s="914">
        <v>4.9299999999999995E-3</v>
      </c>
      <c r="BC184" s="914">
        <v>0.35</v>
      </c>
      <c r="BD184" s="915">
        <v>0.25</v>
      </c>
      <c r="BF184" s="47"/>
      <c r="BG184" s="510" t="s">
        <v>593</v>
      </c>
      <c r="BH184" s="48"/>
      <c r="BI184" s="48"/>
      <c r="BJ184" s="914">
        <v>4.9299999999999995E-3</v>
      </c>
      <c r="BK184" s="914">
        <v>0.35</v>
      </c>
      <c r="BL184" s="915">
        <v>0.25</v>
      </c>
      <c r="BN184" s="47"/>
      <c r="BO184" s="510" t="s">
        <v>594</v>
      </c>
      <c r="BP184" s="48"/>
      <c r="BQ184" s="48"/>
      <c r="BR184" s="914">
        <v>4.9299999999999995E-3</v>
      </c>
      <c r="BS184" s="914">
        <v>0.35</v>
      </c>
      <c r="BT184" s="915">
        <v>0.25</v>
      </c>
      <c r="BV184" s="3">
        <v>1</v>
      </c>
    </row>
    <row r="185" spans="2:74" ht="21" customHeight="1">
      <c r="B185" s="104" t="s">
        <v>16</v>
      </c>
      <c r="C185" s="157" t="str">
        <f>C149</f>
        <v>N NOM DE VOTRE RECETTE | | Auteur &gt; VOUS</v>
      </c>
      <c r="D185" s="157">
        <f>D149</f>
        <v>18</v>
      </c>
      <c r="E185" s="158" t="str">
        <f>E149</f>
        <v>desserts</v>
      </c>
      <c r="F185" s="159" t="str">
        <f>F149</f>
        <v>Recette mère ► Saisir le nom de la recette principale</v>
      </c>
      <c r="G185" s="172"/>
      <c r="H185" s="172"/>
      <c r="I185" s="172"/>
      <c r="J185" s="172"/>
      <c r="K185" s="172"/>
      <c r="L185" s="172"/>
      <c r="M185" s="172"/>
      <c r="N185" s="172"/>
      <c r="O185" s="176" t="s">
        <v>183</v>
      </c>
      <c r="P185" s="177">
        <f>P182+P183+P184</f>
        <v>1.0416666666666666E-2</v>
      </c>
      <c r="R185" s="104" t="s">
        <v>16</v>
      </c>
      <c r="S185" s="157" t="str">
        <f>S149</f>
        <v>N NAME OF YOUR RECIPE | |  Author &gt; YOU</v>
      </c>
      <c r="T185" s="157">
        <f>T149</f>
        <v>18</v>
      </c>
      <c r="U185" s="158" t="str">
        <f>U149</f>
        <v>desserts</v>
      </c>
      <c r="V185" s="159" t="str">
        <f>V149</f>
        <v>Master recipe ► Enter the main recipe name</v>
      </c>
      <c r="W185" s="172"/>
      <c r="X185" s="172"/>
      <c r="Y185" s="172"/>
      <c r="Z185" s="172"/>
      <c r="AA185" s="172"/>
      <c r="AB185" s="172"/>
      <c r="AC185" s="172"/>
      <c r="AD185" s="172"/>
      <c r="AE185" s="176" t="s">
        <v>183</v>
      </c>
      <c r="AF185" s="177">
        <f>AF182+AF183+AF184</f>
        <v>1.0416666666666666E-2</v>
      </c>
      <c r="AH185" s="104" t="s">
        <v>16</v>
      </c>
      <c r="AI185" s="157" t="str">
        <f>AI149</f>
        <v>N NOMBRE DE LA RECETA | | Autor &gt; USTED</v>
      </c>
      <c r="AJ185" s="157">
        <f>AJ149</f>
        <v>18</v>
      </c>
      <c r="AK185" s="158" t="str">
        <f>AK149</f>
        <v>postres</v>
      </c>
      <c r="AL185" s="159" t="str">
        <f>AL149</f>
        <v>Receta madre ► Introduzca el nombre de la receta principal</v>
      </c>
      <c r="AM185" s="172"/>
      <c r="AN185" s="172"/>
      <c r="AO185" s="172"/>
      <c r="AP185" s="172"/>
      <c r="AQ185" s="172"/>
      <c r="AR185" s="172"/>
      <c r="AS185" s="172"/>
      <c r="AT185" s="172"/>
      <c r="AU185" s="176" t="s">
        <v>183</v>
      </c>
      <c r="AV185" s="177">
        <f>AV182+AV183+AV184</f>
        <v>1.0416666666666666E-2</v>
      </c>
      <c r="AX185" s="47"/>
      <c r="AY185" s="48"/>
      <c r="AZ185" s="48"/>
      <c r="BA185" s="48"/>
      <c r="BB185" s="48"/>
      <c r="BC185" s="48"/>
      <c r="BD185" s="49"/>
      <c r="BF185" s="47"/>
      <c r="BG185" s="48"/>
      <c r="BH185" s="48"/>
      <c r="BI185" s="48"/>
      <c r="BJ185" s="48"/>
      <c r="BK185" s="48"/>
      <c r="BL185" s="49"/>
      <c r="BN185" s="47"/>
      <c r="BO185" s="48"/>
      <c r="BP185" s="48"/>
      <c r="BQ185" s="48"/>
      <c r="BR185" s="48"/>
      <c r="BS185" s="48"/>
      <c r="BT185" s="49"/>
      <c r="BV185" s="3">
        <v>1</v>
      </c>
    </row>
    <row r="186" spans="2:74" ht="21" customHeight="1">
      <c r="B186" s="104" t="s">
        <v>16</v>
      </c>
      <c r="C186" s="157" t="str">
        <f>C149</f>
        <v>N NOM DE VOTRE RECETTE | | Auteur &gt; VOUS</v>
      </c>
      <c r="D186" s="157">
        <f>D149</f>
        <v>18</v>
      </c>
      <c r="E186" s="158" t="str">
        <f>E149</f>
        <v>desserts</v>
      </c>
      <c r="F186" s="159" t="str">
        <f>F149</f>
        <v>Recette mère ► Saisir le nom de la recette principale</v>
      </c>
      <c r="G186" s="172"/>
      <c r="H186" s="172"/>
      <c r="I186" s="172"/>
      <c r="J186" s="172"/>
      <c r="K186" s="172"/>
      <c r="L186" s="172"/>
      <c r="M186" s="172"/>
      <c r="N186" s="172"/>
      <c r="O186" s="172"/>
      <c r="P186" s="555"/>
      <c r="R186" s="104" t="s">
        <v>16</v>
      </c>
      <c r="S186" s="157" t="str">
        <f>S149</f>
        <v>N NAME OF YOUR RECIPE | |  Author &gt; YOU</v>
      </c>
      <c r="T186" s="157">
        <f>T149</f>
        <v>18</v>
      </c>
      <c r="U186" s="158" t="str">
        <f>U149</f>
        <v>desserts</v>
      </c>
      <c r="V186" s="159" t="str">
        <f>V149</f>
        <v>Master recipe ► Enter the main recipe name</v>
      </c>
      <c r="W186" s="172"/>
      <c r="X186" s="172"/>
      <c r="Y186" s="172"/>
      <c r="Z186" s="172"/>
      <c r="AA186" s="172"/>
      <c r="AB186" s="172"/>
      <c r="AC186" s="172"/>
      <c r="AD186" s="172"/>
      <c r="AE186" s="172"/>
      <c r="AF186" s="555"/>
      <c r="AH186" s="104" t="s">
        <v>16</v>
      </c>
      <c r="AI186" s="157" t="str">
        <f>AI149</f>
        <v>N NOMBRE DE LA RECETA | | Autor &gt; USTED</v>
      </c>
      <c r="AJ186" s="157">
        <f>AJ149</f>
        <v>18</v>
      </c>
      <c r="AK186" s="158" t="str">
        <f>AK149</f>
        <v>postres</v>
      </c>
      <c r="AL186" s="159" t="str">
        <f>AL149</f>
        <v>Receta madre ► Introduzca el nombre de la receta principal</v>
      </c>
      <c r="AM186" s="172"/>
      <c r="AN186" s="172"/>
      <c r="AO186" s="172"/>
      <c r="AP186" s="172"/>
      <c r="AQ186" s="172"/>
      <c r="AR186" s="172"/>
      <c r="AS186" s="172"/>
      <c r="AT186" s="172"/>
      <c r="AU186" s="172"/>
      <c r="AV186" s="555"/>
      <c r="AX186" s="150"/>
      <c r="AY186" s="151"/>
      <c r="AZ186" s="152"/>
      <c r="BA186" s="151"/>
      <c r="BB186" s="151"/>
      <c r="BC186" s="151"/>
      <c r="BD186" s="153"/>
      <c r="BF186" s="150"/>
      <c r="BG186" s="151"/>
      <c r="BH186" s="152"/>
      <c r="BI186" s="151"/>
      <c r="BJ186" s="151"/>
      <c r="BK186" s="151"/>
      <c r="BL186" s="153"/>
      <c r="BN186" s="150"/>
      <c r="BO186" s="151"/>
      <c r="BP186" s="152"/>
      <c r="BQ186" s="151"/>
      <c r="BR186" s="151"/>
      <c r="BS186" s="151"/>
      <c r="BT186" s="153"/>
      <c r="BV186" s="3">
        <v>1</v>
      </c>
    </row>
    <row r="187" spans="2:74" ht="21" customHeight="1">
      <c r="B187" s="104" t="s">
        <v>16</v>
      </c>
      <c r="C187" s="157" t="str">
        <f>C149</f>
        <v>N NOM DE VOTRE RECETTE | | Auteur &gt; VOUS</v>
      </c>
      <c r="D187" s="157">
        <f>D149</f>
        <v>18</v>
      </c>
      <c r="E187" s="158" t="str">
        <f>E149</f>
        <v>desserts</v>
      </c>
      <c r="F187" s="159" t="str">
        <f>F149</f>
        <v>Recette mère ► Saisir le nom de la recette principale</v>
      </c>
      <c r="G187" s="172"/>
      <c r="H187" s="172"/>
      <c r="I187" s="172"/>
      <c r="J187" s="172"/>
      <c r="K187" s="172"/>
      <c r="L187" s="172"/>
      <c r="M187" s="172"/>
      <c r="N187" s="172"/>
      <c r="O187" s="172"/>
      <c r="P187" s="555"/>
      <c r="R187" s="104" t="s">
        <v>16</v>
      </c>
      <c r="S187" s="157" t="str">
        <f>S149</f>
        <v>N NAME OF YOUR RECIPE | |  Author &gt; YOU</v>
      </c>
      <c r="T187" s="157">
        <f>T149</f>
        <v>18</v>
      </c>
      <c r="U187" s="158" t="str">
        <f>U149</f>
        <v>desserts</v>
      </c>
      <c r="V187" s="159" t="str">
        <f>V149</f>
        <v>Master recipe ► Enter the main recipe name</v>
      </c>
      <c r="W187" s="172"/>
      <c r="X187" s="172"/>
      <c r="Y187" s="172"/>
      <c r="Z187" s="172"/>
      <c r="AA187" s="172"/>
      <c r="AB187" s="172"/>
      <c r="AC187" s="172"/>
      <c r="AD187" s="172"/>
      <c r="AE187" s="172"/>
      <c r="AF187" s="555"/>
      <c r="AH187" s="104" t="s">
        <v>16</v>
      </c>
      <c r="AI187" s="157" t="str">
        <f>AI149</f>
        <v>N NOMBRE DE LA RECETA | | Autor &gt; USTED</v>
      </c>
      <c r="AJ187" s="157">
        <f>AJ149</f>
        <v>18</v>
      </c>
      <c r="AK187" s="158" t="str">
        <f>AK149</f>
        <v>postres</v>
      </c>
      <c r="AL187" s="159" t="str">
        <f>AL149</f>
        <v>Receta madre ► Introduzca el nombre de la receta principal</v>
      </c>
      <c r="AM187" s="172"/>
      <c r="AN187" s="172"/>
      <c r="AO187" s="172"/>
      <c r="AP187" s="172"/>
      <c r="AQ187" s="172"/>
      <c r="AR187" s="172"/>
      <c r="AS187" s="172"/>
      <c r="AT187" s="172"/>
      <c r="AU187" s="172"/>
      <c r="AV187" s="555"/>
      <c r="AX187" s="525" t="s">
        <v>622</v>
      </c>
      <c r="AY187" s="48"/>
      <c r="AZ187" s="48"/>
      <c r="BA187" s="48"/>
      <c r="BB187" s="48"/>
      <c r="BC187" s="48"/>
      <c r="BD187" s="49"/>
      <c r="BF187" s="525" t="s">
        <v>622</v>
      </c>
      <c r="BG187" s="48"/>
      <c r="BH187" s="48"/>
      <c r="BI187" s="48"/>
      <c r="BJ187" s="48"/>
      <c r="BK187" s="48"/>
      <c r="BL187" s="49"/>
      <c r="BN187" s="525" t="s">
        <v>623</v>
      </c>
      <c r="BO187" s="48"/>
      <c r="BP187" s="48"/>
      <c r="BQ187" s="48"/>
      <c r="BR187" s="48"/>
      <c r="BS187" s="48"/>
      <c r="BT187" s="49"/>
      <c r="BV187" s="3">
        <v>1</v>
      </c>
    </row>
    <row r="188" spans="2:74" ht="21" customHeight="1">
      <c r="B188" s="104" t="s">
        <v>16</v>
      </c>
      <c r="C188" s="157" t="str">
        <f>C149</f>
        <v>N NOM DE VOTRE RECETTE | | Auteur &gt; VOUS</v>
      </c>
      <c r="D188" s="157">
        <f>D149</f>
        <v>18</v>
      </c>
      <c r="E188" s="158" t="str">
        <f>E149</f>
        <v>desserts</v>
      </c>
      <c r="F188" s="159" t="str">
        <f>F149</f>
        <v>Recette mère ► Saisir le nom de la recette principale</v>
      </c>
      <c r="G188" s="172"/>
      <c r="H188" s="172"/>
      <c r="I188" s="172"/>
      <c r="J188" s="172"/>
      <c r="K188" s="172"/>
      <c r="L188" s="172"/>
      <c r="M188" s="172"/>
      <c r="N188" s="172"/>
      <c r="O188" s="172"/>
      <c r="P188" s="555"/>
      <c r="R188" s="104" t="s">
        <v>16</v>
      </c>
      <c r="S188" s="157" t="str">
        <f>S149</f>
        <v>N NAME OF YOUR RECIPE | |  Author &gt; YOU</v>
      </c>
      <c r="T188" s="157">
        <f>T149</f>
        <v>18</v>
      </c>
      <c r="U188" s="158" t="str">
        <f>U149</f>
        <v>desserts</v>
      </c>
      <c r="V188" s="159" t="str">
        <f>V149</f>
        <v>Master recipe ► Enter the main recipe name</v>
      </c>
      <c r="W188" s="172"/>
      <c r="X188" s="172"/>
      <c r="Y188" s="172"/>
      <c r="Z188" s="172"/>
      <c r="AA188" s="172"/>
      <c r="AB188" s="172"/>
      <c r="AC188" s="172"/>
      <c r="AD188" s="172"/>
      <c r="AE188" s="172"/>
      <c r="AF188" s="555"/>
      <c r="AH188" s="104" t="s">
        <v>16</v>
      </c>
      <c r="AI188" s="157" t="str">
        <f>AI149</f>
        <v>N NOMBRE DE LA RECETA | | Autor &gt; USTED</v>
      </c>
      <c r="AJ188" s="157">
        <f>AJ149</f>
        <v>18</v>
      </c>
      <c r="AK188" s="158" t="str">
        <f>AK149</f>
        <v>postres</v>
      </c>
      <c r="AL188" s="159" t="str">
        <f>AL149</f>
        <v>Receta madre ► Introduzca el nombre de la receta principal</v>
      </c>
      <c r="AM188" s="172"/>
      <c r="AN188" s="172"/>
      <c r="AO188" s="172"/>
      <c r="AP188" s="172"/>
      <c r="AQ188" s="172"/>
      <c r="AR188" s="172"/>
      <c r="AS188" s="172"/>
      <c r="AT188" s="172"/>
      <c r="AU188" s="172"/>
      <c r="AV188" s="555"/>
      <c r="AX188" s="530" t="s">
        <v>626</v>
      </c>
      <c r="AY188" s="506" t="s">
        <v>6</v>
      </c>
      <c r="AZ188" s="506" t="s">
        <v>7</v>
      </c>
      <c r="BA188" s="506" t="s">
        <v>8</v>
      </c>
      <c r="BB188" s="506" t="s">
        <v>9</v>
      </c>
      <c r="BC188" s="531" t="s">
        <v>627</v>
      </c>
      <c r="BD188" s="49"/>
      <c r="BF188" s="530" t="s">
        <v>628</v>
      </c>
      <c r="BG188" s="506" t="s">
        <v>6</v>
      </c>
      <c r="BH188" s="506" t="s">
        <v>7</v>
      </c>
      <c r="BI188" s="506" t="s">
        <v>8</v>
      </c>
      <c r="BJ188" s="506" t="s">
        <v>9</v>
      </c>
      <c r="BK188" s="531" t="s">
        <v>627</v>
      </c>
      <c r="BL188" s="49"/>
      <c r="BN188" s="530" t="s">
        <v>629</v>
      </c>
      <c r="BO188" s="506" t="s">
        <v>6</v>
      </c>
      <c r="BP188" s="506" t="s">
        <v>7</v>
      </c>
      <c r="BQ188" s="506" t="s">
        <v>8</v>
      </c>
      <c r="BR188" s="506" t="s">
        <v>9</v>
      </c>
      <c r="BS188" s="531" t="s">
        <v>627</v>
      </c>
      <c r="BT188" s="49"/>
      <c r="BV188" s="3">
        <v>1</v>
      </c>
    </row>
    <row r="189" spans="2:74" ht="21" customHeight="1">
      <c r="B189" s="104" t="s">
        <v>16</v>
      </c>
      <c r="C189" s="157" t="str">
        <f>C149</f>
        <v>N NOM DE VOTRE RECETTE | | Auteur &gt; VOUS</v>
      </c>
      <c r="D189" s="157">
        <f>D149</f>
        <v>18</v>
      </c>
      <c r="E189" s="158" t="str">
        <f>E149</f>
        <v>desserts</v>
      </c>
      <c r="F189" s="159" t="str">
        <f>F149</f>
        <v>Recette mère ► Saisir le nom de la recette principale</v>
      </c>
      <c r="G189" s="172"/>
      <c r="H189" s="172"/>
      <c r="I189" s="172"/>
      <c r="J189" s="172"/>
      <c r="K189" s="172"/>
      <c r="L189" s="172"/>
      <c r="M189" s="172"/>
      <c r="N189" s="172"/>
      <c r="O189" s="172"/>
      <c r="P189" s="555"/>
      <c r="R189" s="104" t="s">
        <v>16</v>
      </c>
      <c r="S189" s="157" t="str">
        <f>S149</f>
        <v>N NAME OF YOUR RECIPE | |  Author &gt; YOU</v>
      </c>
      <c r="T189" s="157">
        <f>T149</f>
        <v>18</v>
      </c>
      <c r="U189" s="158" t="str">
        <f>U149</f>
        <v>desserts</v>
      </c>
      <c r="V189" s="159" t="str">
        <f>V149</f>
        <v>Master recipe ► Enter the main recipe name</v>
      </c>
      <c r="W189" s="172"/>
      <c r="X189" s="172"/>
      <c r="Y189" s="172"/>
      <c r="Z189" s="172"/>
      <c r="AA189" s="172"/>
      <c r="AB189" s="172"/>
      <c r="AC189" s="172"/>
      <c r="AD189" s="172"/>
      <c r="AE189" s="172"/>
      <c r="AF189" s="555"/>
      <c r="AH189" s="104" t="s">
        <v>16</v>
      </c>
      <c r="AI189" s="157" t="str">
        <f>AI149</f>
        <v>N NOMBRE DE LA RECETA | | Autor &gt; USTED</v>
      </c>
      <c r="AJ189" s="157">
        <f>AJ149</f>
        <v>18</v>
      </c>
      <c r="AK189" s="158" t="str">
        <f>AK149</f>
        <v>postres</v>
      </c>
      <c r="AL189" s="159" t="str">
        <f>AL149</f>
        <v>Receta madre ► Introduzca el nombre de la receta principal</v>
      </c>
      <c r="AM189" s="172"/>
      <c r="AN189" s="172"/>
      <c r="AO189" s="172"/>
      <c r="AP189" s="172"/>
      <c r="AQ189" s="172"/>
      <c r="AR189" s="172"/>
      <c r="AS189" s="172"/>
      <c r="AT189" s="172"/>
      <c r="AU189" s="172"/>
      <c r="AV189" s="555"/>
      <c r="AX189" s="536"/>
      <c r="AY189" s="537" t="s">
        <v>633</v>
      </c>
      <c r="AZ189" s="538"/>
      <c r="BA189" s="538"/>
      <c r="BB189" s="48"/>
      <c r="BC189" s="48"/>
      <c r="BD189" s="49"/>
      <c r="BF189" s="536"/>
      <c r="BG189" s="537" t="s">
        <v>634</v>
      </c>
      <c r="BH189" s="538"/>
      <c r="BI189" s="538"/>
      <c r="BJ189" s="48"/>
      <c r="BK189" s="48"/>
      <c r="BL189" s="49"/>
      <c r="BN189" s="536"/>
      <c r="BO189" s="537" t="s">
        <v>635</v>
      </c>
      <c r="BP189" s="538"/>
      <c r="BQ189" s="538"/>
      <c r="BR189" s="48"/>
      <c r="BS189" s="48"/>
      <c r="BT189" s="49"/>
      <c r="BV189" s="3">
        <v>1</v>
      </c>
    </row>
    <row r="190" spans="2:74" ht="21" customHeight="1">
      <c r="B190" s="104" t="s">
        <v>16</v>
      </c>
      <c r="C190" s="157" t="str">
        <f>C149</f>
        <v>N NOM DE VOTRE RECETTE | | Auteur &gt; VOUS</v>
      </c>
      <c r="D190" s="157">
        <f>D149</f>
        <v>18</v>
      </c>
      <c r="E190" s="158" t="str">
        <f>E149</f>
        <v>desserts</v>
      </c>
      <c r="F190" s="159" t="str">
        <f>F149</f>
        <v>Recette mère ► Saisir le nom de la recette principale</v>
      </c>
      <c r="G190" s="172"/>
      <c r="H190" s="172"/>
      <c r="I190" s="172"/>
      <c r="J190" s="172"/>
      <c r="K190" s="172"/>
      <c r="L190" s="172"/>
      <c r="M190" s="172"/>
      <c r="N190" s="172"/>
      <c r="O190" s="172"/>
      <c r="P190" s="555"/>
      <c r="R190" s="104" t="s">
        <v>16</v>
      </c>
      <c r="S190" s="157" t="str">
        <f>S149</f>
        <v>N NAME OF YOUR RECIPE | |  Author &gt; YOU</v>
      </c>
      <c r="T190" s="157">
        <f>T149</f>
        <v>18</v>
      </c>
      <c r="U190" s="158" t="str">
        <f>U149</f>
        <v>desserts</v>
      </c>
      <c r="V190" s="159" t="str">
        <f>V149</f>
        <v>Master recipe ► Enter the main recipe name</v>
      </c>
      <c r="W190" s="172"/>
      <c r="X190" s="172"/>
      <c r="Y190" s="172"/>
      <c r="Z190" s="172"/>
      <c r="AA190" s="172"/>
      <c r="AB190" s="172"/>
      <c r="AC190" s="172"/>
      <c r="AD190" s="172"/>
      <c r="AE190" s="172"/>
      <c r="AF190" s="555"/>
      <c r="AH190" s="104" t="s">
        <v>16</v>
      </c>
      <c r="AI190" s="157" t="str">
        <f>AI149</f>
        <v>N NOMBRE DE LA RECETA | | Autor &gt; USTED</v>
      </c>
      <c r="AJ190" s="157">
        <f>AJ149</f>
        <v>18</v>
      </c>
      <c r="AK190" s="158" t="str">
        <f>AK149</f>
        <v>postres</v>
      </c>
      <c r="AL190" s="159" t="str">
        <f>AL149</f>
        <v>Receta madre ► Introduzca el nombre de la receta principal</v>
      </c>
      <c r="AM190" s="172"/>
      <c r="AN190" s="172"/>
      <c r="AO190" s="172"/>
      <c r="AP190" s="172"/>
      <c r="AQ190" s="172"/>
      <c r="AR190" s="172"/>
      <c r="AS190" s="172"/>
      <c r="AT190" s="172"/>
      <c r="AU190" s="172"/>
      <c r="AV190" s="555"/>
      <c r="AX190" s="509"/>
      <c r="AY190" s="5629" t="s">
        <v>19</v>
      </c>
      <c r="AZ190" s="5630">
        <v>10</v>
      </c>
      <c r="BA190" s="5631" t="s">
        <v>20</v>
      </c>
      <c r="BB190" s="5629" t="s">
        <v>21</v>
      </c>
      <c r="BC190" s="48"/>
      <c r="BD190" s="49"/>
      <c r="BF190" s="509"/>
      <c r="BG190" s="5629" t="s">
        <v>19</v>
      </c>
      <c r="BH190" s="5630">
        <v>10</v>
      </c>
      <c r="BI190" s="5631" t="s">
        <v>20</v>
      </c>
      <c r="BJ190" s="5629" t="s">
        <v>21</v>
      </c>
      <c r="BK190" s="48"/>
      <c r="BL190" s="49"/>
      <c r="BN190" s="509"/>
      <c r="BO190" s="5629" t="s">
        <v>19</v>
      </c>
      <c r="BP190" s="5630">
        <v>10</v>
      </c>
      <c r="BQ190" s="5631" t="s">
        <v>20</v>
      </c>
      <c r="BR190" s="5629" t="s">
        <v>21</v>
      </c>
      <c r="BS190" s="48"/>
      <c r="BT190" s="49"/>
      <c r="BV190" s="3">
        <v>1</v>
      </c>
    </row>
    <row r="191" spans="2:74" ht="21" customHeight="1">
      <c r="B191" s="104" t="s">
        <v>16</v>
      </c>
      <c r="C191" s="157" t="str">
        <f>C149</f>
        <v>N NOM DE VOTRE RECETTE | | Auteur &gt; VOUS</v>
      </c>
      <c r="D191" s="157">
        <f>D149</f>
        <v>18</v>
      </c>
      <c r="E191" s="158" t="str">
        <f>E149</f>
        <v>desserts</v>
      </c>
      <c r="F191" s="159" t="str">
        <f>F149</f>
        <v>Recette mère ► Saisir le nom de la recette principale</v>
      </c>
      <c r="G191" s="172"/>
      <c r="H191" s="172"/>
      <c r="I191" s="172"/>
      <c r="J191" s="172"/>
      <c r="K191" s="172"/>
      <c r="L191" s="172"/>
      <c r="M191" s="172"/>
      <c r="N191" s="172"/>
      <c r="O191" s="172"/>
      <c r="P191" s="555"/>
      <c r="R191" s="104" t="s">
        <v>16</v>
      </c>
      <c r="S191" s="157" t="str">
        <f>S149</f>
        <v>N NAME OF YOUR RECIPE | |  Author &gt; YOU</v>
      </c>
      <c r="T191" s="157">
        <f>T149</f>
        <v>18</v>
      </c>
      <c r="U191" s="158" t="str">
        <f>U149</f>
        <v>desserts</v>
      </c>
      <c r="V191" s="159" t="str">
        <f>V149</f>
        <v>Master recipe ► Enter the main recipe name</v>
      </c>
      <c r="W191" s="172"/>
      <c r="X191" s="172"/>
      <c r="Y191" s="172"/>
      <c r="Z191" s="172"/>
      <c r="AA191" s="172"/>
      <c r="AB191" s="172"/>
      <c r="AC191" s="172"/>
      <c r="AD191" s="172"/>
      <c r="AE191" s="172"/>
      <c r="AF191" s="555"/>
      <c r="AH191" s="104" t="s">
        <v>16</v>
      </c>
      <c r="AI191" s="157" t="str">
        <f>AI149</f>
        <v>N NOMBRE DE LA RECETA | | Autor &gt; USTED</v>
      </c>
      <c r="AJ191" s="157">
        <f>AJ149</f>
        <v>18</v>
      </c>
      <c r="AK191" s="158" t="str">
        <f>AK149</f>
        <v>postres</v>
      </c>
      <c r="AL191" s="159" t="str">
        <f>AL149</f>
        <v>Receta madre ► Introduzca el nombre de la receta principal</v>
      </c>
      <c r="AM191" s="172"/>
      <c r="AN191" s="172"/>
      <c r="AO191" s="172"/>
      <c r="AP191" s="172"/>
      <c r="AQ191" s="172"/>
      <c r="AR191" s="172"/>
      <c r="AS191" s="172"/>
      <c r="AT191" s="172"/>
      <c r="AU191" s="172"/>
      <c r="AV191" s="555"/>
      <c r="AX191" s="509"/>
      <c r="AY191" s="5629"/>
      <c r="AZ191" s="5630"/>
      <c r="BA191" s="5631"/>
      <c r="BB191" s="5629"/>
      <c r="BC191" s="48"/>
      <c r="BD191" s="49"/>
      <c r="BF191" s="509"/>
      <c r="BG191" s="5629"/>
      <c r="BH191" s="5630"/>
      <c r="BI191" s="5631"/>
      <c r="BJ191" s="5629"/>
      <c r="BK191" s="48"/>
      <c r="BL191" s="49"/>
      <c r="BN191" s="509"/>
      <c r="BO191" s="5629"/>
      <c r="BP191" s="5630"/>
      <c r="BQ191" s="5631"/>
      <c r="BR191" s="5629"/>
      <c r="BS191" s="48"/>
      <c r="BT191" s="49"/>
      <c r="BV191" s="3">
        <v>1</v>
      </c>
    </row>
    <row r="192" spans="2:74" ht="21" customHeight="1">
      <c r="B192" s="104" t="s">
        <v>16</v>
      </c>
      <c r="C192" s="157" t="str">
        <f>C149</f>
        <v>N NOM DE VOTRE RECETTE | | Auteur &gt; VOUS</v>
      </c>
      <c r="D192" s="157">
        <f>D149</f>
        <v>18</v>
      </c>
      <c r="E192" s="158" t="str">
        <f>E149</f>
        <v>desserts</v>
      </c>
      <c r="F192" s="159" t="str">
        <f>F149</f>
        <v>Recette mère ► Saisir le nom de la recette principale</v>
      </c>
      <c r="G192" s="172"/>
      <c r="H192" s="172"/>
      <c r="I192" s="172"/>
      <c r="J192" s="172"/>
      <c r="K192" s="172"/>
      <c r="L192" s="172"/>
      <c r="M192" s="172"/>
      <c r="N192" s="172"/>
      <c r="O192" s="172"/>
      <c r="P192" s="555"/>
      <c r="R192" s="104" t="s">
        <v>16</v>
      </c>
      <c r="S192" s="157" t="str">
        <f>S149</f>
        <v>N NAME OF YOUR RECIPE | |  Author &gt; YOU</v>
      </c>
      <c r="T192" s="157">
        <f>T149</f>
        <v>18</v>
      </c>
      <c r="U192" s="158" t="str">
        <f>U149</f>
        <v>desserts</v>
      </c>
      <c r="V192" s="159" t="str">
        <f>V149</f>
        <v>Master recipe ► Enter the main recipe name</v>
      </c>
      <c r="W192" s="172"/>
      <c r="X192" s="172"/>
      <c r="Y192" s="172"/>
      <c r="Z192" s="172"/>
      <c r="AA192" s="172"/>
      <c r="AB192" s="172"/>
      <c r="AC192" s="172"/>
      <c r="AD192" s="172"/>
      <c r="AE192" s="172"/>
      <c r="AF192" s="555"/>
      <c r="AH192" s="104" t="s">
        <v>16</v>
      </c>
      <c r="AI192" s="157" t="str">
        <f>AI149</f>
        <v>N NOMBRE DE LA RECETA | | Autor &gt; USTED</v>
      </c>
      <c r="AJ192" s="157">
        <f>AJ149</f>
        <v>18</v>
      </c>
      <c r="AK192" s="158" t="str">
        <f>AK149</f>
        <v>postres</v>
      </c>
      <c r="AL192" s="159" t="str">
        <f>AL149</f>
        <v>Receta madre ► Introduzca el nombre de la receta principal</v>
      </c>
      <c r="AM192" s="172"/>
      <c r="AN192" s="172"/>
      <c r="AO192" s="172"/>
      <c r="AP192" s="172"/>
      <c r="AQ192" s="172"/>
      <c r="AR192" s="172"/>
      <c r="AS192" s="172"/>
      <c r="AT192" s="172"/>
      <c r="AU192" s="172"/>
      <c r="AV192" s="555"/>
      <c r="AX192" s="509"/>
      <c r="AY192" s="5629"/>
      <c r="AZ192" s="5630"/>
      <c r="BA192" s="5631"/>
      <c r="BB192" s="5629"/>
      <c r="BC192" s="48"/>
      <c r="BD192" s="49"/>
      <c r="BF192" s="509"/>
      <c r="BG192" s="5629"/>
      <c r="BH192" s="5630"/>
      <c r="BI192" s="5631"/>
      <c r="BJ192" s="5629"/>
      <c r="BK192" s="48"/>
      <c r="BL192" s="49"/>
      <c r="BN192" s="509"/>
      <c r="BO192" s="5629"/>
      <c r="BP192" s="5630"/>
      <c r="BQ192" s="5631"/>
      <c r="BR192" s="5629"/>
      <c r="BS192" s="48"/>
      <c r="BT192" s="49"/>
      <c r="BV192" s="3">
        <v>1</v>
      </c>
    </row>
    <row r="193" spans="2:74" ht="21" customHeight="1">
      <c r="B193" s="104" t="s">
        <v>16</v>
      </c>
      <c r="C193" s="157" t="str">
        <f>C149</f>
        <v>N NOM DE VOTRE RECETTE | | Auteur &gt; VOUS</v>
      </c>
      <c r="D193" s="157">
        <f>D149</f>
        <v>18</v>
      </c>
      <c r="E193" s="158" t="str">
        <f>E149</f>
        <v>desserts</v>
      </c>
      <c r="F193" s="159" t="str">
        <f>F149</f>
        <v>Recette mère ► Saisir le nom de la recette principale</v>
      </c>
      <c r="G193" s="172"/>
      <c r="H193" s="172"/>
      <c r="I193" s="172"/>
      <c r="J193" s="172"/>
      <c r="K193" s="172"/>
      <c r="L193" s="172"/>
      <c r="M193" s="172"/>
      <c r="N193" s="172"/>
      <c r="O193" s="172"/>
      <c r="P193" s="555"/>
      <c r="R193" s="104" t="s">
        <v>16</v>
      </c>
      <c r="S193" s="157" t="str">
        <f>S149</f>
        <v>N NAME OF YOUR RECIPE | |  Author &gt; YOU</v>
      </c>
      <c r="T193" s="157">
        <f>T149</f>
        <v>18</v>
      </c>
      <c r="U193" s="158" t="str">
        <f>U149</f>
        <v>desserts</v>
      </c>
      <c r="V193" s="159" t="str">
        <f>V149</f>
        <v>Master recipe ► Enter the main recipe name</v>
      </c>
      <c r="W193" s="172"/>
      <c r="X193" s="172"/>
      <c r="Y193" s="172"/>
      <c r="Z193" s="172"/>
      <c r="AA193" s="172"/>
      <c r="AB193" s="172"/>
      <c r="AC193" s="172"/>
      <c r="AD193" s="172"/>
      <c r="AE193" s="172"/>
      <c r="AF193" s="555"/>
      <c r="AH193" s="104" t="s">
        <v>16</v>
      </c>
      <c r="AI193" s="157" t="str">
        <f>AI149</f>
        <v>N NOMBRE DE LA RECETA | | Autor &gt; USTED</v>
      </c>
      <c r="AJ193" s="157">
        <f>AJ149</f>
        <v>18</v>
      </c>
      <c r="AK193" s="158" t="str">
        <f>AK149</f>
        <v>postres</v>
      </c>
      <c r="AL193" s="159" t="str">
        <f>AL149</f>
        <v>Receta madre ► Introduzca el nombre de la receta principal</v>
      </c>
      <c r="AM193" s="172"/>
      <c r="AN193" s="172"/>
      <c r="AO193" s="172"/>
      <c r="AP193" s="172"/>
      <c r="AQ193" s="172"/>
      <c r="AR193" s="172"/>
      <c r="AS193" s="172"/>
      <c r="AT193" s="172"/>
      <c r="AU193" s="172"/>
      <c r="AV193" s="555"/>
      <c r="AX193" s="509"/>
      <c r="AY193" s="5629"/>
      <c r="AZ193" s="5630"/>
      <c r="BA193" s="5631"/>
      <c r="BB193" s="5629"/>
      <c r="BC193" s="48"/>
      <c r="BD193" s="49"/>
      <c r="BF193" s="509"/>
      <c r="BG193" s="5629"/>
      <c r="BH193" s="5630"/>
      <c r="BI193" s="5631"/>
      <c r="BJ193" s="5629"/>
      <c r="BK193" s="48"/>
      <c r="BL193" s="49"/>
      <c r="BN193" s="509"/>
      <c r="BO193" s="5629"/>
      <c r="BP193" s="5630"/>
      <c r="BQ193" s="5631"/>
      <c r="BR193" s="5629"/>
      <c r="BS193" s="48"/>
      <c r="BT193" s="49"/>
      <c r="BV193" s="3">
        <v>1</v>
      </c>
    </row>
    <row r="194" spans="2:74" ht="21" customHeight="1">
      <c r="B194" s="104" t="s">
        <v>16</v>
      </c>
      <c r="C194" s="157" t="str">
        <f>C149</f>
        <v>N NOM DE VOTRE RECETTE | | Auteur &gt; VOUS</v>
      </c>
      <c r="D194" s="157">
        <f>D149</f>
        <v>18</v>
      </c>
      <c r="E194" s="158" t="str">
        <f>E149</f>
        <v>desserts</v>
      </c>
      <c r="F194" s="159" t="str">
        <f>F149</f>
        <v>Recette mère ► Saisir le nom de la recette principale</v>
      </c>
      <c r="G194" s="172"/>
      <c r="H194" s="172"/>
      <c r="I194" s="172"/>
      <c r="J194" s="172"/>
      <c r="K194" s="172"/>
      <c r="L194" s="172"/>
      <c r="M194" s="172"/>
      <c r="N194" s="172"/>
      <c r="O194" s="172"/>
      <c r="P194" s="555"/>
      <c r="R194" s="104" t="s">
        <v>16</v>
      </c>
      <c r="S194" s="157" t="str">
        <f>S149</f>
        <v>N NAME OF YOUR RECIPE | |  Author &gt; YOU</v>
      </c>
      <c r="T194" s="157">
        <f>T149</f>
        <v>18</v>
      </c>
      <c r="U194" s="158" t="str">
        <f>U149</f>
        <v>desserts</v>
      </c>
      <c r="V194" s="159" t="str">
        <f>V149</f>
        <v>Master recipe ► Enter the main recipe name</v>
      </c>
      <c r="W194" s="172"/>
      <c r="X194" s="172"/>
      <c r="Y194" s="172"/>
      <c r="Z194" s="172"/>
      <c r="AA194" s="172"/>
      <c r="AB194" s="172"/>
      <c r="AC194" s="172"/>
      <c r="AD194" s="172"/>
      <c r="AE194" s="172"/>
      <c r="AF194" s="555"/>
      <c r="AH194" s="104" t="s">
        <v>16</v>
      </c>
      <c r="AI194" s="157" t="str">
        <f>AI149</f>
        <v>N NOMBRE DE LA RECETA | | Autor &gt; USTED</v>
      </c>
      <c r="AJ194" s="157">
        <f>AJ149</f>
        <v>18</v>
      </c>
      <c r="AK194" s="158" t="str">
        <f>AK149</f>
        <v>postres</v>
      </c>
      <c r="AL194" s="159" t="str">
        <f>AL149</f>
        <v>Receta madre ► Introduzca el nombre de la receta principal</v>
      </c>
      <c r="AM194" s="172"/>
      <c r="AN194" s="172"/>
      <c r="AO194" s="172"/>
      <c r="AP194" s="172"/>
      <c r="AQ194" s="172"/>
      <c r="AR194" s="172"/>
      <c r="AS194" s="172"/>
      <c r="AT194" s="172"/>
      <c r="AU194" s="172"/>
      <c r="AV194" s="555"/>
      <c r="AX194" s="509"/>
      <c r="AY194" s="5629"/>
      <c r="AZ194" s="5630"/>
      <c r="BA194" s="5631"/>
      <c r="BB194" s="5629"/>
      <c r="BC194" s="48"/>
      <c r="BD194" s="49"/>
      <c r="BF194" s="509"/>
      <c r="BG194" s="5629"/>
      <c r="BH194" s="5630"/>
      <c r="BI194" s="5631"/>
      <c r="BJ194" s="5629"/>
      <c r="BK194" s="48"/>
      <c r="BL194" s="49"/>
      <c r="BN194" s="509"/>
      <c r="BO194" s="5629"/>
      <c r="BP194" s="5630"/>
      <c r="BQ194" s="5631"/>
      <c r="BR194" s="5629"/>
      <c r="BS194" s="48"/>
      <c r="BT194" s="49"/>
      <c r="BV194" s="3">
        <v>1</v>
      </c>
    </row>
    <row r="195" spans="2:74" ht="21" customHeight="1">
      <c r="B195" s="104" t="s">
        <v>16</v>
      </c>
      <c r="C195" s="157" t="str">
        <f>C149</f>
        <v>N NOM DE VOTRE RECETTE | | Auteur &gt; VOUS</v>
      </c>
      <c r="D195" s="157">
        <f>D149</f>
        <v>18</v>
      </c>
      <c r="E195" s="158" t="str">
        <f>E149</f>
        <v>desserts</v>
      </c>
      <c r="F195" s="159" t="str">
        <f>F149</f>
        <v>Recette mère ► Saisir le nom de la recette principale</v>
      </c>
      <c r="G195" s="172"/>
      <c r="H195" s="172"/>
      <c r="I195" s="172"/>
      <c r="J195" s="172"/>
      <c r="K195" s="172"/>
      <c r="L195" s="172"/>
      <c r="M195" s="172"/>
      <c r="N195" s="172"/>
      <c r="O195" s="172"/>
      <c r="P195" s="555"/>
      <c r="R195" s="104" t="s">
        <v>16</v>
      </c>
      <c r="S195" s="157" t="str">
        <f>S149</f>
        <v>N NAME OF YOUR RECIPE | |  Author &gt; YOU</v>
      </c>
      <c r="T195" s="157">
        <f>T149</f>
        <v>18</v>
      </c>
      <c r="U195" s="158" t="str">
        <f>U149</f>
        <v>desserts</v>
      </c>
      <c r="V195" s="159" t="str">
        <f>V149</f>
        <v>Master recipe ► Enter the main recipe name</v>
      </c>
      <c r="W195" s="172"/>
      <c r="X195" s="172"/>
      <c r="Y195" s="172"/>
      <c r="Z195" s="172"/>
      <c r="AA195" s="172"/>
      <c r="AB195" s="172"/>
      <c r="AC195" s="172"/>
      <c r="AD195" s="172"/>
      <c r="AE195" s="172"/>
      <c r="AF195" s="555"/>
      <c r="AH195" s="104" t="s">
        <v>16</v>
      </c>
      <c r="AI195" s="157" t="str">
        <f>AI149</f>
        <v>N NOMBRE DE LA RECETA | | Autor &gt; USTED</v>
      </c>
      <c r="AJ195" s="157">
        <f>AJ149</f>
        <v>18</v>
      </c>
      <c r="AK195" s="158" t="str">
        <f>AK149</f>
        <v>postres</v>
      </c>
      <c r="AL195" s="159" t="str">
        <f>AL149</f>
        <v>Receta madre ► Introduzca el nombre de la receta principal</v>
      </c>
      <c r="AM195" s="172"/>
      <c r="AN195" s="172"/>
      <c r="AO195" s="172"/>
      <c r="AP195" s="172"/>
      <c r="AQ195" s="172"/>
      <c r="AR195" s="172"/>
      <c r="AS195" s="172"/>
      <c r="AT195" s="172"/>
      <c r="AU195" s="172"/>
      <c r="AV195" s="555"/>
      <c r="AX195" s="509"/>
      <c r="AY195" s="5629"/>
      <c r="AZ195" s="5630"/>
      <c r="BA195" s="5631"/>
      <c r="BB195" s="5629"/>
      <c r="BC195" s="48"/>
      <c r="BD195" s="49"/>
      <c r="BF195" s="509"/>
      <c r="BG195" s="5629"/>
      <c r="BH195" s="5630"/>
      <c r="BI195" s="5631"/>
      <c r="BJ195" s="5629"/>
      <c r="BK195" s="48"/>
      <c r="BL195" s="49"/>
      <c r="BN195" s="509"/>
      <c r="BO195" s="5629"/>
      <c r="BP195" s="5630"/>
      <c r="BQ195" s="5631"/>
      <c r="BR195" s="5629"/>
      <c r="BS195" s="48"/>
      <c r="BT195" s="49"/>
      <c r="BV195" s="3">
        <v>1</v>
      </c>
    </row>
    <row r="196" spans="2:74" ht="21" customHeight="1">
      <c r="B196" s="104" t="s">
        <v>16</v>
      </c>
      <c r="C196" s="157" t="str">
        <f>C149</f>
        <v>N NOM DE VOTRE RECETTE | | Auteur &gt; VOUS</v>
      </c>
      <c r="D196" s="157">
        <f>D149</f>
        <v>18</v>
      </c>
      <c r="E196" s="158" t="str">
        <f>E149</f>
        <v>desserts</v>
      </c>
      <c r="F196" s="159" t="str">
        <f>F149</f>
        <v>Recette mère ► Saisir le nom de la recette principale</v>
      </c>
      <c r="G196" s="172"/>
      <c r="H196" s="172"/>
      <c r="I196" s="172"/>
      <c r="J196" s="172"/>
      <c r="K196" s="172"/>
      <c r="L196" s="172"/>
      <c r="M196" s="172"/>
      <c r="N196" s="172"/>
      <c r="O196" s="172"/>
      <c r="P196" s="555"/>
      <c r="R196" s="104" t="s">
        <v>16</v>
      </c>
      <c r="S196" s="157" t="str">
        <f>S149</f>
        <v>N NAME OF YOUR RECIPE | |  Author &gt; YOU</v>
      </c>
      <c r="T196" s="157">
        <f>T149</f>
        <v>18</v>
      </c>
      <c r="U196" s="158" t="str">
        <f>U149</f>
        <v>desserts</v>
      </c>
      <c r="V196" s="159" t="str">
        <f>V149</f>
        <v>Master recipe ► Enter the main recipe name</v>
      </c>
      <c r="W196" s="172"/>
      <c r="X196" s="172"/>
      <c r="Y196" s="172"/>
      <c r="Z196" s="172"/>
      <c r="AA196" s="172"/>
      <c r="AB196" s="172"/>
      <c r="AC196" s="172"/>
      <c r="AD196" s="172"/>
      <c r="AE196" s="172"/>
      <c r="AF196" s="555"/>
      <c r="AH196" s="104" t="s">
        <v>16</v>
      </c>
      <c r="AI196" s="157" t="str">
        <f>AI149</f>
        <v>N NOMBRE DE LA RECETA | | Autor &gt; USTED</v>
      </c>
      <c r="AJ196" s="157">
        <f>AJ149</f>
        <v>18</v>
      </c>
      <c r="AK196" s="158" t="str">
        <f>AK149</f>
        <v>postres</v>
      </c>
      <c r="AL196" s="159" t="str">
        <f>AL149</f>
        <v>Receta madre ► Introduzca el nombre de la receta principal</v>
      </c>
      <c r="AM196" s="172"/>
      <c r="AN196" s="172"/>
      <c r="AO196" s="172"/>
      <c r="AP196" s="172"/>
      <c r="AQ196" s="172"/>
      <c r="AR196" s="172"/>
      <c r="AS196" s="172"/>
      <c r="AT196" s="172"/>
      <c r="AU196" s="172"/>
      <c r="AV196" s="555"/>
      <c r="AX196" s="509"/>
      <c r="AY196" s="5629"/>
      <c r="AZ196" s="5630"/>
      <c r="BA196" s="5631"/>
      <c r="BB196" s="5629"/>
      <c r="BC196" s="48"/>
      <c r="BD196" s="49"/>
      <c r="BF196" s="509"/>
      <c r="BG196" s="5629"/>
      <c r="BH196" s="5630"/>
      <c r="BI196" s="5631"/>
      <c r="BJ196" s="5629"/>
      <c r="BK196" s="48"/>
      <c r="BL196" s="49"/>
      <c r="BN196" s="509"/>
      <c r="BO196" s="5629"/>
      <c r="BP196" s="5630"/>
      <c r="BQ196" s="5631"/>
      <c r="BR196" s="5629"/>
      <c r="BS196" s="48"/>
      <c r="BT196" s="49"/>
      <c r="BV196" s="3">
        <v>1</v>
      </c>
    </row>
    <row r="197" spans="2:74" ht="21" customHeight="1">
      <c r="B197" s="104" t="s">
        <v>16</v>
      </c>
      <c r="C197" s="157" t="str">
        <f>C149</f>
        <v>N NOM DE VOTRE RECETTE | | Auteur &gt; VOUS</v>
      </c>
      <c r="D197" s="157">
        <f>D149</f>
        <v>18</v>
      </c>
      <c r="E197" s="158" t="str">
        <f>E149</f>
        <v>desserts</v>
      </c>
      <c r="F197" s="159" t="str">
        <f>F149</f>
        <v>Recette mère ► Saisir le nom de la recette principale</v>
      </c>
      <c r="G197" s="172"/>
      <c r="H197" s="172"/>
      <c r="I197" s="172"/>
      <c r="J197" s="172"/>
      <c r="K197" s="172"/>
      <c r="L197" s="172"/>
      <c r="M197" s="172"/>
      <c r="N197" s="172"/>
      <c r="O197" s="172"/>
      <c r="P197" s="555"/>
      <c r="R197" s="104" t="s">
        <v>16</v>
      </c>
      <c r="S197" s="157" t="str">
        <f>S149</f>
        <v>N NAME OF YOUR RECIPE | |  Author &gt; YOU</v>
      </c>
      <c r="T197" s="157">
        <f>T149</f>
        <v>18</v>
      </c>
      <c r="U197" s="158" t="str">
        <f>U149</f>
        <v>desserts</v>
      </c>
      <c r="V197" s="159" t="str">
        <f>V149</f>
        <v>Master recipe ► Enter the main recipe name</v>
      </c>
      <c r="W197" s="172"/>
      <c r="X197" s="172"/>
      <c r="Y197" s="172"/>
      <c r="Z197" s="172"/>
      <c r="AA197" s="172"/>
      <c r="AB197" s="172"/>
      <c r="AC197" s="172"/>
      <c r="AD197" s="172"/>
      <c r="AE197" s="172"/>
      <c r="AF197" s="555"/>
      <c r="AH197" s="104" t="s">
        <v>16</v>
      </c>
      <c r="AI197" s="157" t="str">
        <f>AI149</f>
        <v>N NOMBRE DE LA RECETA | | Autor &gt; USTED</v>
      </c>
      <c r="AJ197" s="157">
        <f>AJ149</f>
        <v>18</v>
      </c>
      <c r="AK197" s="158" t="str">
        <f>AK149</f>
        <v>postres</v>
      </c>
      <c r="AL197" s="159" t="str">
        <f>AL149</f>
        <v>Receta madre ► Introduzca el nombre de la receta principal</v>
      </c>
      <c r="AM197" s="172"/>
      <c r="AN197" s="172"/>
      <c r="AO197" s="172"/>
      <c r="AP197" s="172"/>
      <c r="AQ197" s="172"/>
      <c r="AR197" s="172"/>
      <c r="AS197" s="172"/>
      <c r="AT197" s="172"/>
      <c r="AU197" s="172"/>
      <c r="AV197" s="555"/>
      <c r="AX197" s="509"/>
      <c r="AY197" s="5629"/>
      <c r="AZ197" s="542"/>
      <c r="BA197" s="542"/>
      <c r="BB197" s="5629"/>
      <c r="BC197" s="48"/>
      <c r="BD197" s="49"/>
      <c r="BF197" s="509"/>
      <c r="BG197" s="5629"/>
      <c r="BH197" s="542"/>
      <c r="BI197" s="542"/>
      <c r="BJ197" s="5629"/>
      <c r="BK197" s="48"/>
      <c r="BL197" s="49"/>
      <c r="BN197" s="509"/>
      <c r="BO197" s="5629"/>
      <c r="BP197" s="542"/>
      <c r="BQ197" s="542"/>
      <c r="BR197" s="5629"/>
      <c r="BS197" s="48"/>
      <c r="BT197" s="49"/>
      <c r="BV197" s="3">
        <v>1</v>
      </c>
    </row>
    <row r="198" spans="2:74" ht="21" customHeight="1">
      <c r="B198" s="104" t="s">
        <v>16</v>
      </c>
      <c r="C198" s="157" t="str">
        <f>C149</f>
        <v>N NOM DE VOTRE RECETTE | | Auteur &gt; VOUS</v>
      </c>
      <c r="D198" s="157">
        <f>D149</f>
        <v>18</v>
      </c>
      <c r="E198" s="158" t="str">
        <f>E149</f>
        <v>desserts</v>
      </c>
      <c r="F198" s="159" t="str">
        <f>F149</f>
        <v>Recette mère ► Saisir le nom de la recette principale</v>
      </c>
      <c r="G198" s="172"/>
      <c r="H198" s="172"/>
      <c r="I198" s="172"/>
      <c r="J198" s="172"/>
      <c r="K198" s="172"/>
      <c r="L198" s="172"/>
      <c r="M198" s="172"/>
      <c r="N198" s="172"/>
      <c r="O198" s="172"/>
      <c r="P198" s="555"/>
      <c r="R198" s="104" t="s">
        <v>16</v>
      </c>
      <c r="S198" s="157" t="str">
        <f>S149</f>
        <v>N NAME OF YOUR RECIPE | |  Author &gt; YOU</v>
      </c>
      <c r="T198" s="157">
        <f>T149</f>
        <v>18</v>
      </c>
      <c r="U198" s="158" t="str">
        <f>U149</f>
        <v>desserts</v>
      </c>
      <c r="V198" s="159" t="str">
        <f>V149</f>
        <v>Master recipe ► Enter the main recipe name</v>
      </c>
      <c r="W198" s="172"/>
      <c r="X198" s="172"/>
      <c r="Y198" s="172"/>
      <c r="Z198" s="172"/>
      <c r="AA198" s="172"/>
      <c r="AB198" s="172"/>
      <c r="AC198" s="172"/>
      <c r="AD198" s="172"/>
      <c r="AE198" s="172"/>
      <c r="AF198" s="555"/>
      <c r="AH198" s="104" t="s">
        <v>16</v>
      </c>
      <c r="AI198" s="157" t="str">
        <f>AI149</f>
        <v>N NOMBRE DE LA RECETA | | Autor &gt; USTED</v>
      </c>
      <c r="AJ198" s="157">
        <f>AJ149</f>
        <v>18</v>
      </c>
      <c r="AK198" s="158" t="str">
        <f>AK149</f>
        <v>postres</v>
      </c>
      <c r="AL198" s="159" t="str">
        <f>AL149</f>
        <v>Receta madre ► Introduzca el nombre de la receta principal</v>
      </c>
      <c r="AM198" s="172"/>
      <c r="AN198" s="172"/>
      <c r="AO198" s="172"/>
      <c r="AP198" s="172"/>
      <c r="AQ198" s="172"/>
      <c r="AR198" s="172"/>
      <c r="AS198" s="172"/>
      <c r="AT198" s="172"/>
      <c r="AU198" s="172"/>
      <c r="AV198" s="555"/>
      <c r="AX198" s="1128" t="s">
        <v>824</v>
      </c>
      <c r="AY198" s="1459" t="s">
        <v>3277</v>
      </c>
      <c r="AZ198" s="1457"/>
      <c r="BA198" s="1457"/>
      <c r="BB198" s="1458" t="s">
        <v>3274</v>
      </c>
      <c r="BC198" s="1457"/>
      <c r="BD198" s="49"/>
      <c r="BF198" s="1128"/>
      <c r="BG198" s="48"/>
      <c r="BH198" s="48"/>
      <c r="BI198" s="48"/>
      <c r="BJ198" s="48"/>
      <c r="BK198" s="48"/>
      <c r="BL198" s="49"/>
      <c r="BN198" s="1128" t="s">
        <v>826</v>
      </c>
      <c r="BO198" s="48"/>
      <c r="BP198" s="48"/>
      <c r="BQ198" s="48"/>
      <c r="BR198" s="48"/>
      <c r="BS198" s="48"/>
      <c r="BT198" s="49"/>
      <c r="BV198" s="3">
        <v>1</v>
      </c>
    </row>
    <row r="199" spans="2:74" ht="21" customHeight="1">
      <c r="B199" s="104" t="s">
        <v>16</v>
      </c>
      <c r="C199" s="157" t="str">
        <f>C149</f>
        <v>N NOM DE VOTRE RECETTE | | Auteur &gt; VOUS</v>
      </c>
      <c r="D199" s="157">
        <f>D149</f>
        <v>18</v>
      </c>
      <c r="E199" s="158" t="str">
        <f>E149</f>
        <v>desserts</v>
      </c>
      <c r="F199" s="159" t="str">
        <f>F149</f>
        <v>Recette mère ► Saisir le nom de la recette principale</v>
      </c>
      <c r="G199" s="160" t="s">
        <v>167</v>
      </c>
      <c r="H199" s="1536"/>
      <c r="I199" s="1536"/>
      <c r="J199" s="1536"/>
      <c r="K199" s="1536"/>
      <c r="L199" s="1536"/>
      <c r="M199" s="1536"/>
      <c r="N199" s="1536"/>
      <c r="O199" s="1536"/>
      <c r="P199" s="1537"/>
      <c r="R199" s="104" t="s">
        <v>16</v>
      </c>
      <c r="S199" s="157" t="str">
        <f>S149</f>
        <v>N NAME OF YOUR RECIPE | |  Author &gt; YOU</v>
      </c>
      <c r="T199" s="157">
        <f>T149</f>
        <v>18</v>
      </c>
      <c r="U199" s="158" t="str">
        <f>U149</f>
        <v>desserts</v>
      </c>
      <c r="V199" s="159" t="str">
        <f>V149</f>
        <v>Master recipe ► Enter the main recipe name</v>
      </c>
      <c r="W199" s="160" t="s">
        <v>167</v>
      </c>
      <c r="X199" s="1536"/>
      <c r="Y199" s="1536"/>
      <c r="Z199" s="1536"/>
      <c r="AA199" s="1536"/>
      <c r="AB199" s="1536"/>
      <c r="AC199" s="1536"/>
      <c r="AD199" s="1536"/>
      <c r="AE199" s="1536"/>
      <c r="AF199" s="1537"/>
      <c r="AH199" s="104" t="s">
        <v>16</v>
      </c>
      <c r="AI199" s="157" t="str">
        <f>AI149</f>
        <v>N NOMBRE DE LA RECETA | | Autor &gt; USTED</v>
      </c>
      <c r="AJ199" s="157">
        <f>AJ149</f>
        <v>18</v>
      </c>
      <c r="AK199" s="158" t="str">
        <f>AK149</f>
        <v>postres</v>
      </c>
      <c r="AL199" s="159" t="str">
        <f>AL149</f>
        <v>Receta madre ► Introduzca el nombre de la receta principal</v>
      </c>
      <c r="AM199" s="232" t="s">
        <v>754</v>
      </c>
      <c r="AN199" s="1536"/>
      <c r="AO199" s="1536"/>
      <c r="AP199" s="1536"/>
      <c r="AQ199" s="1536"/>
      <c r="AR199" s="1536"/>
      <c r="AS199" s="1536"/>
      <c r="AT199" s="1536"/>
      <c r="AU199" s="1536"/>
      <c r="AV199" s="1537"/>
      <c r="AX199" s="1129" t="s">
        <v>1971</v>
      </c>
      <c r="AY199" s="48"/>
      <c r="AZ199" s="48"/>
      <c r="BA199" s="48"/>
      <c r="BB199" s="48"/>
      <c r="BC199" s="48"/>
      <c r="BD199" s="49"/>
      <c r="BF199" s="1129" t="s">
        <v>1973</v>
      </c>
      <c r="BG199" s="48"/>
      <c r="BH199" s="48"/>
      <c r="BI199" s="48"/>
      <c r="BJ199" s="48"/>
      <c r="BK199" s="48"/>
      <c r="BL199" s="49"/>
      <c r="BN199" s="1129" t="s">
        <v>1975</v>
      </c>
      <c r="BO199" s="48"/>
      <c r="BP199" s="48"/>
      <c r="BQ199" s="48"/>
      <c r="BR199" s="48"/>
      <c r="BS199" s="48"/>
      <c r="BT199" s="49"/>
      <c r="BV199" s="3">
        <v>1</v>
      </c>
    </row>
    <row r="200" spans="2:74" ht="21" customHeight="1">
      <c r="B200" s="104" t="s">
        <v>16</v>
      </c>
      <c r="C200" s="157" t="str">
        <f>C149</f>
        <v>N NOM DE VOTRE RECETTE | | Auteur &gt; VOUS</v>
      </c>
      <c r="D200" s="157">
        <f>D149</f>
        <v>18</v>
      </c>
      <c r="E200" s="158" t="str">
        <f>E149</f>
        <v>desserts</v>
      </c>
      <c r="F200" s="159" t="str">
        <f>F149</f>
        <v>Recette mère ► Saisir le nom de la recette principale</v>
      </c>
      <c r="G200" s="172"/>
      <c r="H200" s="172"/>
      <c r="I200" s="172"/>
      <c r="J200" s="172"/>
      <c r="K200" s="172"/>
      <c r="L200" s="172"/>
      <c r="M200" s="172"/>
      <c r="N200" s="172"/>
      <c r="O200" s="172"/>
      <c r="P200" s="555"/>
      <c r="R200" s="104" t="s">
        <v>16</v>
      </c>
      <c r="S200" s="157" t="str">
        <f>S149</f>
        <v>N NAME OF YOUR RECIPE | |  Author &gt; YOU</v>
      </c>
      <c r="T200" s="157">
        <f>T149</f>
        <v>18</v>
      </c>
      <c r="U200" s="158" t="str">
        <f>U149</f>
        <v>desserts</v>
      </c>
      <c r="V200" s="159" t="str">
        <f>V149</f>
        <v>Master recipe ► Enter the main recipe name</v>
      </c>
      <c r="W200" s="172"/>
      <c r="X200" s="172"/>
      <c r="Y200" s="172"/>
      <c r="Z200" s="172"/>
      <c r="AA200" s="172"/>
      <c r="AB200" s="172"/>
      <c r="AC200" s="172"/>
      <c r="AD200" s="172"/>
      <c r="AE200" s="172"/>
      <c r="AF200" s="555"/>
      <c r="AH200" s="104" t="s">
        <v>16</v>
      </c>
      <c r="AI200" s="157" t="str">
        <f>AI149</f>
        <v>N NOMBRE DE LA RECETA | | Autor &gt; USTED</v>
      </c>
      <c r="AJ200" s="157">
        <f>AJ149</f>
        <v>18</v>
      </c>
      <c r="AK200" s="158" t="str">
        <f>AK149</f>
        <v>postres</v>
      </c>
      <c r="AL200" s="159" t="str">
        <f>AL149</f>
        <v>Receta madre ► Introduzca el nombre de la receta principal</v>
      </c>
      <c r="AM200" s="172"/>
      <c r="AN200" s="172"/>
      <c r="AO200" s="172"/>
      <c r="AP200" s="172"/>
      <c r="AQ200" s="172"/>
      <c r="AR200" s="172"/>
      <c r="AS200" s="172"/>
      <c r="AT200" s="172"/>
      <c r="AU200" s="172"/>
      <c r="AV200" s="555"/>
      <c r="AX200" s="5632" t="s">
        <v>1980</v>
      </c>
      <c r="AY200" s="5633"/>
      <c r="AZ200" s="5633"/>
      <c r="BA200" s="5633"/>
      <c r="BB200" s="5633"/>
      <c r="BC200" s="5633"/>
      <c r="BD200" s="5634"/>
      <c r="BF200" s="5632" t="s">
        <v>1974</v>
      </c>
      <c r="BG200" s="5633"/>
      <c r="BH200" s="5633"/>
      <c r="BI200" s="5633"/>
      <c r="BJ200" s="5633"/>
      <c r="BK200" s="5633"/>
      <c r="BL200" s="5634"/>
      <c r="BN200" s="5632" t="s">
        <v>1976</v>
      </c>
      <c r="BO200" s="5633"/>
      <c r="BP200" s="5633"/>
      <c r="BQ200" s="5633"/>
      <c r="BR200" s="5633"/>
      <c r="BS200" s="5633"/>
      <c r="BT200" s="5634"/>
      <c r="BV200" s="3">
        <v>1</v>
      </c>
    </row>
    <row r="201" spans="2:74" ht="21" customHeight="1">
      <c r="B201" s="104" t="s">
        <v>16</v>
      </c>
      <c r="C201" s="157" t="str">
        <f>C149</f>
        <v>N NOM DE VOTRE RECETTE | | Auteur &gt; VOUS</v>
      </c>
      <c r="D201" s="157">
        <f>D149</f>
        <v>18</v>
      </c>
      <c r="E201" s="158" t="str">
        <f>E149</f>
        <v>desserts</v>
      </c>
      <c r="F201" s="159" t="str">
        <f>F149</f>
        <v>Recette mère ► Saisir le nom de la recette principale</v>
      </c>
      <c r="G201" s="172"/>
      <c r="H201" s="172"/>
      <c r="I201" s="172"/>
      <c r="J201" s="172"/>
      <c r="K201" s="172"/>
      <c r="L201" s="172"/>
      <c r="M201" s="172"/>
      <c r="N201" s="172"/>
      <c r="O201" s="172"/>
      <c r="P201" s="555"/>
      <c r="R201" s="104" t="s">
        <v>16</v>
      </c>
      <c r="S201" s="157" t="str">
        <f>S149</f>
        <v>N NAME OF YOUR RECIPE | |  Author &gt; YOU</v>
      </c>
      <c r="T201" s="157">
        <f>T149</f>
        <v>18</v>
      </c>
      <c r="U201" s="158" t="str">
        <f>U149</f>
        <v>desserts</v>
      </c>
      <c r="V201" s="159" t="str">
        <f>V149</f>
        <v>Master recipe ► Enter the main recipe name</v>
      </c>
      <c r="W201" s="172"/>
      <c r="X201" s="172"/>
      <c r="Y201" s="172"/>
      <c r="Z201" s="172"/>
      <c r="AA201" s="172"/>
      <c r="AB201" s="172"/>
      <c r="AC201" s="172"/>
      <c r="AD201" s="172"/>
      <c r="AE201" s="172"/>
      <c r="AF201" s="555"/>
      <c r="AH201" s="104" t="s">
        <v>16</v>
      </c>
      <c r="AI201" s="157" t="str">
        <f>AI149</f>
        <v>N NOMBRE DE LA RECETA | | Autor &gt; USTED</v>
      </c>
      <c r="AJ201" s="157">
        <f>AJ149</f>
        <v>18</v>
      </c>
      <c r="AK201" s="158" t="str">
        <f>AK149</f>
        <v>postres</v>
      </c>
      <c r="AL201" s="159" t="str">
        <f>AL149</f>
        <v>Receta madre ► Introduzca el nombre de la receta principal</v>
      </c>
      <c r="AM201" s="172"/>
      <c r="AN201" s="172"/>
      <c r="AO201" s="172"/>
      <c r="AP201" s="172"/>
      <c r="AQ201" s="172"/>
      <c r="AR201" s="172"/>
      <c r="AS201" s="172"/>
      <c r="AT201" s="172"/>
      <c r="AU201" s="172"/>
      <c r="AV201" s="555"/>
      <c r="AX201" s="5632"/>
      <c r="AY201" s="5633"/>
      <c r="AZ201" s="5633"/>
      <c r="BA201" s="5633"/>
      <c r="BB201" s="5633"/>
      <c r="BC201" s="5633"/>
      <c r="BD201" s="5634"/>
      <c r="BF201" s="5632"/>
      <c r="BG201" s="5633"/>
      <c r="BH201" s="5633"/>
      <c r="BI201" s="5633"/>
      <c r="BJ201" s="5633"/>
      <c r="BK201" s="5633"/>
      <c r="BL201" s="5634"/>
      <c r="BN201" s="5632"/>
      <c r="BO201" s="5633"/>
      <c r="BP201" s="5633"/>
      <c r="BQ201" s="5633"/>
      <c r="BR201" s="5633"/>
      <c r="BS201" s="5633"/>
      <c r="BT201" s="5634"/>
      <c r="BV201" s="3">
        <v>1</v>
      </c>
    </row>
    <row r="202" spans="2:74" ht="21" customHeight="1">
      <c r="B202" s="104" t="s">
        <v>16</v>
      </c>
      <c r="C202" s="157" t="str">
        <f>C149</f>
        <v>N NOM DE VOTRE RECETTE | | Auteur &gt; VOUS</v>
      </c>
      <c r="D202" s="157">
        <f>D149</f>
        <v>18</v>
      </c>
      <c r="E202" s="158" t="str">
        <f>E149</f>
        <v>desserts</v>
      </c>
      <c r="F202" s="159" t="str">
        <f>F149</f>
        <v>Recette mère ► Saisir le nom de la recette principale</v>
      </c>
      <c r="G202" s="172"/>
      <c r="H202" s="172"/>
      <c r="I202" s="172"/>
      <c r="J202" s="172"/>
      <c r="K202" s="172"/>
      <c r="L202" s="172"/>
      <c r="M202" s="172"/>
      <c r="N202" s="172"/>
      <c r="O202" s="172"/>
      <c r="P202" s="555"/>
      <c r="R202" s="104" t="s">
        <v>16</v>
      </c>
      <c r="S202" s="157" t="str">
        <f>S149</f>
        <v>N NAME OF YOUR RECIPE | |  Author &gt; YOU</v>
      </c>
      <c r="T202" s="157">
        <f>T149</f>
        <v>18</v>
      </c>
      <c r="U202" s="158" t="str">
        <f>U149</f>
        <v>desserts</v>
      </c>
      <c r="V202" s="159" t="str">
        <f>V149</f>
        <v>Master recipe ► Enter the main recipe name</v>
      </c>
      <c r="W202" s="172"/>
      <c r="X202" s="172"/>
      <c r="Y202" s="172"/>
      <c r="Z202" s="172"/>
      <c r="AA202" s="172"/>
      <c r="AB202" s="172"/>
      <c r="AC202" s="172"/>
      <c r="AD202" s="172"/>
      <c r="AE202" s="172"/>
      <c r="AF202" s="555"/>
      <c r="AH202" s="104" t="s">
        <v>16</v>
      </c>
      <c r="AI202" s="157" t="str">
        <f>AI149</f>
        <v>N NOMBRE DE LA RECETA | | Autor &gt; USTED</v>
      </c>
      <c r="AJ202" s="157">
        <f>AJ149</f>
        <v>18</v>
      </c>
      <c r="AK202" s="158" t="str">
        <f>AK149</f>
        <v>postres</v>
      </c>
      <c r="AL202" s="159" t="str">
        <f>AL149</f>
        <v>Receta madre ► Introduzca el nombre de la receta principal</v>
      </c>
      <c r="AM202" s="172"/>
      <c r="AN202" s="172"/>
      <c r="AO202" s="172"/>
      <c r="AP202" s="172"/>
      <c r="AQ202" s="172"/>
      <c r="AR202" s="172"/>
      <c r="AS202" s="172"/>
      <c r="AT202" s="172"/>
      <c r="AU202" s="172"/>
      <c r="AV202" s="555"/>
      <c r="AX202" s="1129" t="s">
        <v>1981</v>
      </c>
      <c r="AY202" s="48"/>
      <c r="AZ202" s="48"/>
      <c r="BA202" s="48"/>
      <c r="BB202" s="48"/>
      <c r="BC202" s="48"/>
      <c r="BD202" s="49"/>
      <c r="BF202" s="1129" t="s">
        <v>1981</v>
      </c>
      <c r="BG202" s="48"/>
      <c r="BH202" s="48"/>
      <c r="BI202" s="48"/>
      <c r="BJ202" s="48"/>
      <c r="BK202" s="48"/>
      <c r="BL202" s="49"/>
      <c r="BN202" s="1129" t="s">
        <v>1981</v>
      </c>
      <c r="BO202" s="48"/>
      <c r="BP202" s="48"/>
      <c r="BQ202" s="48"/>
      <c r="BR202" s="48"/>
      <c r="BS202" s="48"/>
      <c r="BT202" s="49"/>
      <c r="BV202" s="3">
        <v>1</v>
      </c>
    </row>
    <row r="203" spans="2:74" ht="21" customHeight="1">
      <c r="B203" s="104" t="s">
        <v>16</v>
      </c>
      <c r="C203" s="157" t="str">
        <f>C149</f>
        <v>N NOM DE VOTRE RECETTE | | Auteur &gt; VOUS</v>
      </c>
      <c r="D203" s="157">
        <f>D149</f>
        <v>18</v>
      </c>
      <c r="E203" s="158" t="str">
        <f>E149</f>
        <v>desserts</v>
      </c>
      <c r="F203" s="159" t="str">
        <f>F149</f>
        <v>Recette mère ► Saisir le nom de la recette principale</v>
      </c>
      <c r="G203" s="172"/>
      <c r="H203" s="172"/>
      <c r="I203" s="172"/>
      <c r="J203" s="172"/>
      <c r="K203" s="172"/>
      <c r="L203" s="172"/>
      <c r="M203" s="172"/>
      <c r="N203" s="172"/>
      <c r="O203" s="172"/>
      <c r="P203" s="555"/>
      <c r="R203" s="104" t="s">
        <v>16</v>
      </c>
      <c r="S203" s="157" t="str">
        <f>S149</f>
        <v>N NAME OF YOUR RECIPE | |  Author &gt; YOU</v>
      </c>
      <c r="T203" s="157">
        <f>T149</f>
        <v>18</v>
      </c>
      <c r="U203" s="158" t="str">
        <f>U149</f>
        <v>desserts</v>
      </c>
      <c r="V203" s="159" t="str">
        <f>V149</f>
        <v>Master recipe ► Enter the main recipe name</v>
      </c>
      <c r="W203" s="172"/>
      <c r="X203" s="172"/>
      <c r="Y203" s="172"/>
      <c r="Z203" s="172"/>
      <c r="AA203" s="172"/>
      <c r="AB203" s="172"/>
      <c r="AC203" s="172"/>
      <c r="AD203" s="172"/>
      <c r="AE203" s="172"/>
      <c r="AF203" s="555"/>
      <c r="AH203" s="104" t="s">
        <v>16</v>
      </c>
      <c r="AI203" s="157" t="str">
        <f>AI149</f>
        <v>N NOMBRE DE LA RECETA | | Autor &gt; USTED</v>
      </c>
      <c r="AJ203" s="157">
        <f>AJ149</f>
        <v>18</v>
      </c>
      <c r="AK203" s="158" t="str">
        <f>AK149</f>
        <v>postres</v>
      </c>
      <c r="AL203" s="159" t="str">
        <f>AL149</f>
        <v>Receta madre ► Introduzca el nombre de la receta principal</v>
      </c>
      <c r="AM203" s="172"/>
      <c r="AN203" s="172"/>
      <c r="AO203" s="172"/>
      <c r="AP203" s="172"/>
      <c r="AQ203" s="172"/>
      <c r="AR203" s="172"/>
      <c r="AS203" s="172"/>
      <c r="AT203" s="172"/>
      <c r="AU203" s="172"/>
      <c r="AV203" s="555"/>
      <c r="AX203" s="1129" t="s">
        <v>3299</v>
      </c>
      <c r="AY203" s="48"/>
      <c r="AZ203" s="48"/>
      <c r="BA203" s="48"/>
      <c r="BB203" s="48"/>
      <c r="BC203" s="48"/>
      <c r="BD203" s="49"/>
      <c r="BF203" s="1129" t="s">
        <v>3299</v>
      </c>
      <c r="BG203" s="48"/>
      <c r="BH203" s="48"/>
      <c r="BI203" s="48"/>
      <c r="BJ203" s="48"/>
      <c r="BK203" s="48"/>
      <c r="BL203" s="49"/>
      <c r="BN203" s="1129" t="s">
        <v>3299</v>
      </c>
      <c r="BO203" s="48"/>
      <c r="BP203" s="48"/>
      <c r="BQ203" s="48"/>
      <c r="BR203" s="48"/>
      <c r="BS203" s="48"/>
      <c r="BT203" s="49"/>
      <c r="BV203" s="3">
        <v>1</v>
      </c>
    </row>
    <row r="204" spans="2:74" ht="21" customHeight="1">
      <c r="B204" s="104" t="s">
        <v>16</v>
      </c>
      <c r="C204" s="157" t="str">
        <f>C149</f>
        <v>N NOM DE VOTRE RECETTE | | Auteur &gt; VOUS</v>
      </c>
      <c r="D204" s="157">
        <f>D149</f>
        <v>18</v>
      </c>
      <c r="E204" s="158" t="str">
        <f>E149</f>
        <v>desserts</v>
      </c>
      <c r="F204" s="159" t="str">
        <f>F149</f>
        <v>Recette mère ► Saisir le nom de la recette principale</v>
      </c>
      <c r="G204" s="172"/>
      <c r="H204" s="172"/>
      <c r="I204" s="172"/>
      <c r="J204" s="172"/>
      <c r="K204" s="172"/>
      <c r="L204" s="172"/>
      <c r="M204" s="172"/>
      <c r="N204" s="172"/>
      <c r="O204" s="172"/>
      <c r="P204" s="555"/>
      <c r="R204" s="104" t="s">
        <v>16</v>
      </c>
      <c r="S204" s="157" t="str">
        <f>S149</f>
        <v>N NAME OF YOUR RECIPE | |  Author &gt; YOU</v>
      </c>
      <c r="T204" s="157">
        <f>T149</f>
        <v>18</v>
      </c>
      <c r="U204" s="158" t="str">
        <f>U149</f>
        <v>desserts</v>
      </c>
      <c r="V204" s="159" t="str">
        <f>V149</f>
        <v>Master recipe ► Enter the main recipe name</v>
      </c>
      <c r="W204" s="172"/>
      <c r="X204" s="172"/>
      <c r="Y204" s="172"/>
      <c r="Z204" s="172"/>
      <c r="AA204" s="172"/>
      <c r="AB204" s="172"/>
      <c r="AC204" s="172"/>
      <c r="AD204" s="172"/>
      <c r="AE204" s="172"/>
      <c r="AF204" s="555"/>
      <c r="AH204" s="104" t="s">
        <v>16</v>
      </c>
      <c r="AI204" s="157" t="str">
        <f>AI149</f>
        <v>N NOMBRE DE LA RECETA | | Autor &gt; USTED</v>
      </c>
      <c r="AJ204" s="157">
        <f>AJ149</f>
        <v>18</v>
      </c>
      <c r="AK204" s="158" t="str">
        <f>AK149</f>
        <v>postres</v>
      </c>
      <c r="AL204" s="159" t="str">
        <f>AL149</f>
        <v>Receta madre ► Introduzca el nombre de la receta principal</v>
      </c>
      <c r="AM204" s="172"/>
      <c r="AN204" s="172"/>
      <c r="AO204" s="172"/>
      <c r="AP204" s="172"/>
      <c r="AQ204" s="172"/>
      <c r="AR204" s="172"/>
      <c r="AS204" s="172"/>
      <c r="AT204" s="172"/>
      <c r="AU204" s="172"/>
      <c r="AV204" s="555"/>
      <c r="AX204" s="1129" t="s">
        <v>1982</v>
      </c>
      <c r="AY204" s="543"/>
      <c r="AZ204" s="48"/>
      <c r="BA204" s="48"/>
      <c r="BB204" s="48"/>
      <c r="BC204" s="48"/>
      <c r="BD204" s="49"/>
      <c r="BF204" s="1129" t="s">
        <v>1982</v>
      </c>
      <c r="BG204" s="543"/>
      <c r="BH204" s="48"/>
      <c r="BI204" s="48"/>
      <c r="BJ204" s="48"/>
      <c r="BK204" s="48"/>
      <c r="BL204" s="49"/>
      <c r="BN204" s="1129" t="s">
        <v>1982</v>
      </c>
      <c r="BO204" s="543"/>
      <c r="BP204" s="48"/>
      <c r="BQ204" s="48"/>
      <c r="BR204" s="48"/>
      <c r="BS204" s="48"/>
      <c r="BT204" s="49"/>
      <c r="BV204" s="3">
        <v>1</v>
      </c>
    </row>
    <row r="205" spans="2:74" ht="21" customHeight="1">
      <c r="B205" s="104" t="s">
        <v>16</v>
      </c>
      <c r="C205" s="157" t="str">
        <f>C149</f>
        <v>N NOM DE VOTRE RECETTE | | Auteur &gt; VOUS</v>
      </c>
      <c r="D205" s="157">
        <f>D149</f>
        <v>18</v>
      </c>
      <c r="E205" s="158" t="str">
        <f>E149</f>
        <v>desserts</v>
      </c>
      <c r="F205" s="159" t="str">
        <f>F149</f>
        <v>Recette mère ► Saisir le nom de la recette principale</v>
      </c>
      <c r="G205" s="172"/>
      <c r="H205" s="172"/>
      <c r="I205" s="172"/>
      <c r="J205" s="172"/>
      <c r="K205" s="172"/>
      <c r="L205" s="172"/>
      <c r="M205" s="172"/>
      <c r="N205" s="172"/>
      <c r="O205" s="172"/>
      <c r="P205" s="555"/>
      <c r="R205" s="104" t="s">
        <v>16</v>
      </c>
      <c r="S205" s="157" t="str">
        <f>S149</f>
        <v>N NAME OF YOUR RECIPE | |  Author &gt; YOU</v>
      </c>
      <c r="T205" s="157">
        <f>T149</f>
        <v>18</v>
      </c>
      <c r="U205" s="158" t="str">
        <f>U149</f>
        <v>desserts</v>
      </c>
      <c r="V205" s="159" t="str">
        <f>V149</f>
        <v>Master recipe ► Enter the main recipe name</v>
      </c>
      <c r="W205" s="172"/>
      <c r="X205" s="172"/>
      <c r="Y205" s="172"/>
      <c r="Z205" s="172"/>
      <c r="AA205" s="172"/>
      <c r="AB205" s="172"/>
      <c r="AC205" s="172"/>
      <c r="AD205" s="172"/>
      <c r="AE205" s="172"/>
      <c r="AF205" s="555"/>
      <c r="AH205" s="104" t="s">
        <v>16</v>
      </c>
      <c r="AI205" s="157" t="str">
        <f>AI149</f>
        <v>N NOMBRE DE LA RECETA | | Autor &gt; USTED</v>
      </c>
      <c r="AJ205" s="157">
        <f>AJ149</f>
        <v>18</v>
      </c>
      <c r="AK205" s="158" t="str">
        <f>AK149</f>
        <v>postres</v>
      </c>
      <c r="AL205" s="159" t="str">
        <f>AL149</f>
        <v>Receta madre ► Introduzca el nombre de la receta principal</v>
      </c>
      <c r="AM205" s="172"/>
      <c r="AN205" s="172"/>
      <c r="AO205" s="172"/>
      <c r="AP205" s="172"/>
      <c r="AQ205" s="172"/>
      <c r="AR205" s="172"/>
      <c r="AS205" s="172"/>
      <c r="AT205" s="172"/>
      <c r="AU205" s="172"/>
      <c r="AV205" s="555"/>
      <c r="AX205" s="544" t="s">
        <v>9</v>
      </c>
      <c r="AY205" s="545"/>
      <c r="AZ205" s="546"/>
      <c r="BA205" s="547"/>
      <c r="BB205" s="547"/>
      <c r="BC205" s="548"/>
      <c r="BD205" s="549"/>
      <c r="BF205" s="544" t="s">
        <v>9</v>
      </c>
      <c r="BG205" s="545"/>
      <c r="BH205" s="546"/>
      <c r="BI205" s="547"/>
      <c r="BJ205" s="547"/>
      <c r="BK205" s="548"/>
      <c r="BL205" s="549"/>
      <c r="BN205" s="544" t="s">
        <v>9</v>
      </c>
      <c r="BO205" s="545"/>
      <c r="BP205" s="546"/>
      <c r="BQ205" s="547"/>
      <c r="BR205" s="547"/>
      <c r="BS205" s="548"/>
      <c r="BT205" s="549"/>
      <c r="BV205" s="3">
        <v>1</v>
      </c>
    </row>
    <row r="206" spans="2:74" ht="21" customHeight="1">
      <c r="B206" s="104" t="s">
        <v>16</v>
      </c>
      <c r="C206" s="157" t="str">
        <f>C149</f>
        <v>N NOM DE VOTRE RECETTE | | Auteur &gt; VOUS</v>
      </c>
      <c r="D206" s="157">
        <f>D149</f>
        <v>18</v>
      </c>
      <c r="E206" s="158" t="str">
        <f>E149</f>
        <v>desserts</v>
      </c>
      <c r="F206" s="159" t="str">
        <f>F149</f>
        <v>Recette mère ► Saisir le nom de la recette principale</v>
      </c>
      <c r="G206" s="172"/>
      <c r="H206" s="172"/>
      <c r="I206" s="172"/>
      <c r="J206" s="172"/>
      <c r="K206" s="172"/>
      <c r="L206" s="172"/>
      <c r="M206" s="172"/>
      <c r="N206" s="172"/>
      <c r="O206" s="172"/>
      <c r="P206" s="555"/>
      <c r="R206" s="104" t="s">
        <v>16</v>
      </c>
      <c r="S206" s="157" t="str">
        <f>S149</f>
        <v>N NAME OF YOUR RECIPE | |  Author &gt; YOU</v>
      </c>
      <c r="T206" s="157">
        <f>T149</f>
        <v>18</v>
      </c>
      <c r="U206" s="158" t="str">
        <f>U149</f>
        <v>desserts</v>
      </c>
      <c r="V206" s="159" t="str">
        <f>V149</f>
        <v>Master recipe ► Enter the main recipe name</v>
      </c>
      <c r="W206" s="172"/>
      <c r="X206" s="172"/>
      <c r="Y206" s="172"/>
      <c r="Z206" s="172"/>
      <c r="AA206" s="172"/>
      <c r="AB206" s="172"/>
      <c r="AC206" s="172"/>
      <c r="AD206" s="172"/>
      <c r="AE206" s="172"/>
      <c r="AF206" s="555"/>
      <c r="AH206" s="104" t="s">
        <v>16</v>
      </c>
      <c r="AI206" s="157" t="str">
        <f>AI149</f>
        <v>N NOMBRE DE LA RECETA | | Autor &gt; USTED</v>
      </c>
      <c r="AJ206" s="157">
        <f>AJ149</f>
        <v>18</v>
      </c>
      <c r="AK206" s="158" t="str">
        <f>AK149</f>
        <v>postres</v>
      </c>
      <c r="AL206" s="159" t="str">
        <f>AL149</f>
        <v>Receta madre ► Introduzca el nombre de la receta principal</v>
      </c>
      <c r="AM206" s="172"/>
      <c r="AN206" s="172"/>
      <c r="AO206" s="172"/>
      <c r="AP206" s="172"/>
      <c r="AQ206" s="172"/>
      <c r="AR206" s="172"/>
      <c r="AS206" s="172"/>
      <c r="AT206" s="172"/>
      <c r="AU206" s="172"/>
      <c r="AV206" s="555"/>
      <c r="AX206" s="550" t="s">
        <v>167</v>
      </c>
      <c r="AY206" s="161" t="s">
        <v>3328</v>
      </c>
      <c r="AZ206" s="162"/>
      <c r="BA206" s="162"/>
      <c r="BB206" s="162"/>
      <c r="BC206" s="162"/>
      <c r="BD206" s="551"/>
      <c r="BF206" s="650" t="s">
        <v>752</v>
      </c>
      <c r="BG206" s="161" t="s">
        <v>3336</v>
      </c>
      <c r="BH206" s="162"/>
      <c r="BI206" s="162"/>
      <c r="BJ206" s="162"/>
      <c r="BK206" s="162"/>
      <c r="BL206" s="551"/>
      <c r="BN206" s="650" t="s">
        <v>754</v>
      </c>
      <c r="BO206" s="161" t="s">
        <v>3325</v>
      </c>
      <c r="BP206" s="162"/>
      <c r="BQ206" s="162"/>
      <c r="BR206" s="162"/>
      <c r="BS206" s="162"/>
      <c r="BT206" s="551"/>
      <c r="BV206" s="3">
        <v>1</v>
      </c>
    </row>
    <row r="207" spans="2:74" ht="21" customHeight="1">
      <c r="B207" s="104" t="s">
        <v>16</v>
      </c>
      <c r="C207" s="157" t="str">
        <f>C149</f>
        <v>N NOM DE VOTRE RECETTE | | Auteur &gt; VOUS</v>
      </c>
      <c r="D207" s="157">
        <f>D149</f>
        <v>18</v>
      </c>
      <c r="E207" s="158" t="str">
        <f>E149</f>
        <v>desserts</v>
      </c>
      <c r="F207" s="159" t="str">
        <f>F149</f>
        <v>Recette mère ► Saisir le nom de la recette principale</v>
      </c>
      <c r="G207" s="172"/>
      <c r="H207" s="172"/>
      <c r="I207" s="172"/>
      <c r="J207" s="172"/>
      <c r="K207" s="172"/>
      <c r="L207" s="172"/>
      <c r="M207" s="172"/>
      <c r="N207" s="172"/>
      <c r="O207" s="172"/>
      <c r="P207" s="555"/>
      <c r="R207" s="104" t="s">
        <v>16</v>
      </c>
      <c r="S207" s="157" t="str">
        <f>S149</f>
        <v>N NAME OF YOUR RECIPE | |  Author &gt; YOU</v>
      </c>
      <c r="T207" s="157">
        <f>T149</f>
        <v>18</v>
      </c>
      <c r="U207" s="158" t="str">
        <f>U149</f>
        <v>desserts</v>
      </c>
      <c r="V207" s="159" t="str">
        <f>V149</f>
        <v>Master recipe ► Enter the main recipe name</v>
      </c>
      <c r="W207" s="172"/>
      <c r="X207" s="172"/>
      <c r="Y207" s="172"/>
      <c r="Z207" s="172"/>
      <c r="AA207" s="172"/>
      <c r="AB207" s="172"/>
      <c r="AC207" s="172"/>
      <c r="AD207" s="172"/>
      <c r="AE207" s="172"/>
      <c r="AF207" s="555"/>
      <c r="AH207" s="104" t="s">
        <v>16</v>
      </c>
      <c r="AI207" s="157" t="str">
        <f>AI149</f>
        <v>N NOMBRE DE LA RECETA | | Autor &gt; USTED</v>
      </c>
      <c r="AJ207" s="157">
        <f>AJ149</f>
        <v>18</v>
      </c>
      <c r="AK207" s="158" t="str">
        <f>AK149</f>
        <v>postres</v>
      </c>
      <c r="AL207" s="159" t="str">
        <f>AL149</f>
        <v>Receta madre ► Introduzca el nombre de la receta principal</v>
      </c>
      <c r="AM207" s="172"/>
      <c r="AN207" s="172"/>
      <c r="AO207" s="172"/>
      <c r="AP207" s="172"/>
      <c r="AQ207" s="172"/>
      <c r="AR207" s="172"/>
      <c r="AS207" s="172"/>
      <c r="AT207" s="172"/>
      <c r="AU207" s="172"/>
      <c r="AV207" s="555"/>
      <c r="AX207" s="552"/>
      <c r="AY207" s="168"/>
      <c r="AZ207" s="168"/>
      <c r="BA207" s="168"/>
      <c r="BB207" s="168"/>
      <c r="BC207" s="168"/>
      <c r="BD207" s="553"/>
      <c r="BF207" s="552"/>
      <c r="BG207" s="168"/>
      <c r="BH207" s="168"/>
      <c r="BI207" s="168"/>
      <c r="BJ207" s="168"/>
      <c r="BK207" s="168"/>
      <c r="BL207" s="553"/>
      <c r="BN207" s="552"/>
      <c r="BO207" s="168"/>
      <c r="BP207" s="168"/>
      <c r="BQ207" s="168"/>
      <c r="BR207" s="168"/>
      <c r="BS207" s="168"/>
      <c r="BT207" s="553"/>
      <c r="BV207" s="3">
        <v>1</v>
      </c>
    </row>
    <row r="208" spans="2:74" ht="21" customHeight="1">
      <c r="B208" s="104" t="str">
        <f>IF(OR(G208&lt;&gt;"",H208&lt;&gt; "",I208&lt;&gt;"",J208&lt;&gt;""),"A", "►")</f>
        <v>►</v>
      </c>
      <c r="C208" s="157" t="str">
        <f>C149</f>
        <v>N NOM DE VOTRE RECETTE | | Auteur &gt; VOUS</v>
      </c>
      <c r="D208" s="157">
        <f>D149</f>
        <v>18</v>
      </c>
      <c r="E208" s="158" t="str">
        <f>E149</f>
        <v>desserts</v>
      </c>
      <c r="F208" s="159" t="str">
        <f>F149</f>
        <v>Recette mère ► Saisir le nom de la recette principale</v>
      </c>
      <c r="G208" s="172"/>
      <c r="H208" s="172"/>
      <c r="I208" s="172"/>
      <c r="J208" s="172"/>
      <c r="K208" s="172"/>
      <c r="L208" s="172"/>
      <c r="M208" s="172"/>
      <c r="N208" s="172"/>
      <c r="O208" s="172"/>
      <c r="P208" s="555"/>
      <c r="R208" s="104" t="str">
        <f>IF(OR(W208&lt;&gt;"",X208&lt;&gt; "",Y208&lt;&gt;"",Z208&lt;&gt;""),"A", "►")</f>
        <v>►</v>
      </c>
      <c r="S208" s="157" t="str">
        <f>S149</f>
        <v>N NAME OF YOUR RECIPE | |  Author &gt; YOU</v>
      </c>
      <c r="T208" s="157">
        <f>T149</f>
        <v>18</v>
      </c>
      <c r="U208" s="158" t="str">
        <f>U149</f>
        <v>desserts</v>
      </c>
      <c r="V208" s="159" t="str">
        <f>V149</f>
        <v>Master recipe ► Enter the main recipe name</v>
      </c>
      <c r="W208" s="172"/>
      <c r="X208" s="172"/>
      <c r="Y208" s="172"/>
      <c r="Z208" s="172"/>
      <c r="AA208" s="172"/>
      <c r="AB208" s="172"/>
      <c r="AC208" s="172"/>
      <c r="AD208" s="172"/>
      <c r="AE208" s="172"/>
      <c r="AF208" s="555"/>
      <c r="AH208" s="104" t="str">
        <f>IF(OR(AM208&lt;&gt;"",AN208&lt;&gt; "",AO208&lt;&gt;"",AP208&lt;&gt;""),"A", "►")</f>
        <v>►</v>
      </c>
      <c r="AI208" s="157" t="str">
        <f>AI149</f>
        <v>N NOMBRE DE LA RECETA | | Autor &gt; USTED</v>
      </c>
      <c r="AJ208" s="157">
        <f>AJ149</f>
        <v>18</v>
      </c>
      <c r="AK208" s="158" t="str">
        <f>AK149</f>
        <v>postres</v>
      </c>
      <c r="AL208" s="159" t="str">
        <f>AL149</f>
        <v>Receta madre ► Introduzca el nombre de la receta principal</v>
      </c>
      <c r="AM208" s="172"/>
      <c r="AN208" s="172"/>
      <c r="AO208" s="172"/>
      <c r="AP208" s="172"/>
      <c r="AQ208" s="172"/>
      <c r="AR208" s="172"/>
      <c r="AS208" s="172"/>
      <c r="AT208" s="172"/>
      <c r="AU208" s="172"/>
      <c r="AV208" s="555"/>
      <c r="AX208" s="554" t="s">
        <v>173</v>
      </c>
      <c r="AY208" s="172"/>
      <c r="AZ208" s="172"/>
      <c r="BA208" s="172"/>
      <c r="BB208" s="172"/>
      <c r="BC208" s="172"/>
      <c r="BD208" s="555"/>
      <c r="BF208" s="554" t="s">
        <v>650</v>
      </c>
      <c r="BG208" s="172"/>
      <c r="BH208" s="172"/>
      <c r="BI208" s="172"/>
      <c r="BJ208" s="172"/>
      <c r="BK208" s="172"/>
      <c r="BL208" s="555"/>
      <c r="BN208" s="554" t="s">
        <v>651</v>
      </c>
      <c r="BO208" s="172"/>
      <c r="BP208" s="172"/>
      <c r="BQ208" s="172"/>
      <c r="BR208" s="172"/>
      <c r="BS208" s="172"/>
      <c r="BT208" s="555"/>
      <c r="BV208" s="3">
        <v>1</v>
      </c>
    </row>
    <row r="209" spans="2:74" ht="21" customHeight="1">
      <c r="B209" s="104" t="str">
        <f>IF(OR(G209&lt;&gt;"",H209&lt;&gt; "",I209&lt;&gt;"",J209&lt;&gt;""),"A", "►")</f>
        <v>►</v>
      </c>
      <c r="C209" s="157" t="str">
        <f>C149</f>
        <v>N NOM DE VOTRE RECETTE | | Auteur &gt; VOUS</v>
      </c>
      <c r="D209" s="157">
        <f>D149</f>
        <v>18</v>
      </c>
      <c r="E209" s="158" t="str">
        <f>E149</f>
        <v>desserts</v>
      </c>
      <c r="F209" s="159" t="str">
        <f>F149</f>
        <v>Recette mère ► Saisir le nom de la recette principale</v>
      </c>
      <c r="G209" s="172"/>
      <c r="H209" s="172"/>
      <c r="I209" s="172"/>
      <c r="J209" s="172"/>
      <c r="K209" s="172"/>
      <c r="L209" s="172"/>
      <c r="M209" s="172"/>
      <c r="N209" s="172"/>
      <c r="O209" s="172"/>
      <c r="P209" s="555"/>
      <c r="R209" s="104" t="str">
        <f>IF(OR(W209&lt;&gt;"",X209&lt;&gt; "",Y209&lt;&gt;"",Z209&lt;&gt;""),"A", "►")</f>
        <v>►</v>
      </c>
      <c r="S209" s="157" t="str">
        <f>S149</f>
        <v>N NAME OF YOUR RECIPE | |  Author &gt; YOU</v>
      </c>
      <c r="T209" s="157">
        <f>T149</f>
        <v>18</v>
      </c>
      <c r="U209" s="158" t="str">
        <f>U149</f>
        <v>desserts</v>
      </c>
      <c r="V209" s="159" t="str">
        <f>V149</f>
        <v>Master recipe ► Enter the main recipe name</v>
      </c>
      <c r="W209" s="172"/>
      <c r="X209" s="172"/>
      <c r="Y209" s="172"/>
      <c r="Z209" s="172"/>
      <c r="AA209" s="172"/>
      <c r="AB209" s="172"/>
      <c r="AC209" s="172"/>
      <c r="AD209" s="172"/>
      <c r="AE209" s="172"/>
      <c r="AF209" s="555"/>
      <c r="AH209" s="104" t="str">
        <f>IF(OR(AM209&lt;&gt;"",AN209&lt;&gt; "",AO209&lt;&gt;"",AP209&lt;&gt;""),"A", "►")</f>
        <v>►</v>
      </c>
      <c r="AI209" s="157" t="str">
        <f>AI149</f>
        <v>N NOMBRE DE LA RECETA | | Autor &gt; USTED</v>
      </c>
      <c r="AJ209" s="157">
        <f>AJ149</f>
        <v>18</v>
      </c>
      <c r="AK209" s="158" t="str">
        <f>AK149</f>
        <v>postres</v>
      </c>
      <c r="AL209" s="159" t="str">
        <f>AL149</f>
        <v>Receta madre ► Introduzca el nombre de la receta principal</v>
      </c>
      <c r="AM209" s="172"/>
      <c r="AN209" s="172"/>
      <c r="AO209" s="172"/>
      <c r="AP209" s="172"/>
      <c r="AQ209" s="172"/>
      <c r="AR209" s="172"/>
      <c r="AS209" s="172"/>
      <c r="AT209" s="172"/>
      <c r="AU209" s="172"/>
      <c r="AV209" s="555"/>
      <c r="AX209" s="554" t="s">
        <v>181</v>
      </c>
      <c r="AY209" s="172"/>
      <c r="AZ209" s="172"/>
      <c r="BA209" s="172"/>
      <c r="BB209" s="172"/>
      <c r="BC209" s="172"/>
      <c r="BD209" s="555"/>
      <c r="BF209" s="554" t="s">
        <v>652</v>
      </c>
      <c r="BG209" s="172"/>
      <c r="BH209" s="172"/>
      <c r="BI209" s="172"/>
      <c r="BJ209" s="172"/>
      <c r="BK209" s="172"/>
      <c r="BL209" s="555"/>
      <c r="BN209" s="554" t="s">
        <v>653</v>
      </c>
      <c r="BO209" s="172"/>
      <c r="BP209" s="172"/>
      <c r="BQ209" s="172"/>
      <c r="BR209" s="172"/>
      <c r="BS209" s="172"/>
      <c r="BT209" s="555"/>
      <c r="BV209" s="3">
        <v>1</v>
      </c>
    </row>
    <row r="210" spans="2:74" ht="21" customHeight="1">
      <c r="B210" s="104" t="str">
        <f>IF(OR(G210&lt;&gt;"",H210&lt;&gt; "",I210&lt;&gt;"",J210&lt;&gt;""),"A", "►")</f>
        <v>►</v>
      </c>
      <c r="C210" s="157" t="str">
        <f>C149</f>
        <v>N NOM DE VOTRE RECETTE | | Auteur &gt; VOUS</v>
      </c>
      <c r="D210" s="157">
        <f>D149</f>
        <v>18</v>
      </c>
      <c r="E210" s="158" t="str">
        <f>E149</f>
        <v>desserts</v>
      </c>
      <c r="F210" s="159" t="str">
        <f>F149</f>
        <v>Recette mère ► Saisir le nom de la recette principale</v>
      </c>
      <c r="G210" s="172"/>
      <c r="H210" s="172"/>
      <c r="I210" s="172"/>
      <c r="J210" s="172"/>
      <c r="K210" s="172"/>
      <c r="L210" s="172"/>
      <c r="M210" s="172"/>
      <c r="N210" s="172"/>
      <c r="O210" s="172"/>
      <c r="P210" s="555"/>
      <c r="R210" s="104" t="str">
        <f>IF(OR(W210&lt;&gt;"",X210&lt;&gt; "",Y210&lt;&gt;"",Z210&lt;&gt;""),"A", "►")</f>
        <v>►</v>
      </c>
      <c r="S210" s="157" t="str">
        <f>S149</f>
        <v>N NAME OF YOUR RECIPE | |  Author &gt; YOU</v>
      </c>
      <c r="T210" s="157">
        <f>T149</f>
        <v>18</v>
      </c>
      <c r="U210" s="158" t="str">
        <f>U149</f>
        <v>desserts</v>
      </c>
      <c r="V210" s="159" t="str">
        <f>V149</f>
        <v>Master recipe ► Enter the main recipe name</v>
      </c>
      <c r="W210" s="172"/>
      <c r="X210" s="172"/>
      <c r="Y210" s="172"/>
      <c r="Z210" s="172"/>
      <c r="AA210" s="172"/>
      <c r="AB210" s="172"/>
      <c r="AC210" s="172"/>
      <c r="AD210" s="172"/>
      <c r="AE210" s="172"/>
      <c r="AF210" s="555"/>
      <c r="AH210" s="104" t="str">
        <f>IF(OR(AM210&lt;&gt;"",AN210&lt;&gt; "",AO210&lt;&gt;"",AP210&lt;&gt;""),"A", "►")</f>
        <v>►</v>
      </c>
      <c r="AI210" s="157" t="str">
        <f>AI149</f>
        <v>N NOMBRE DE LA RECETA | | Autor &gt; USTED</v>
      </c>
      <c r="AJ210" s="157">
        <f>AJ149</f>
        <v>18</v>
      </c>
      <c r="AK210" s="158" t="str">
        <f>AK149</f>
        <v>postres</v>
      </c>
      <c r="AL210" s="159" t="str">
        <f>AL149</f>
        <v>Receta madre ► Introduzca el nombre de la receta principal</v>
      </c>
      <c r="AM210" s="172"/>
      <c r="AN210" s="172"/>
      <c r="AO210" s="172"/>
      <c r="AP210" s="172"/>
      <c r="AQ210" s="172"/>
      <c r="AR210" s="172"/>
      <c r="AS210" s="172"/>
      <c r="AT210" s="172"/>
      <c r="AU210" s="172"/>
      <c r="AV210" s="555"/>
      <c r="AX210" s="556" t="s">
        <v>197</v>
      </c>
      <c r="AY210" s="172"/>
      <c r="AZ210" s="172"/>
      <c r="BA210" s="172"/>
      <c r="BB210" s="172"/>
      <c r="BC210" s="172"/>
      <c r="BD210" s="557"/>
      <c r="BF210" s="556" t="s">
        <v>655</v>
      </c>
      <c r="BG210" s="172"/>
      <c r="BH210" s="172"/>
      <c r="BI210" s="172"/>
      <c r="BJ210" s="172"/>
      <c r="BK210" s="172"/>
      <c r="BL210" s="557"/>
      <c r="BN210" s="556" t="s">
        <v>656</v>
      </c>
      <c r="BO210" s="172"/>
      <c r="BP210" s="172"/>
      <c r="BQ210" s="172"/>
      <c r="BR210" s="172"/>
      <c r="BS210" s="172"/>
      <c r="BT210" s="557"/>
      <c r="BV210" s="3">
        <v>1</v>
      </c>
    </row>
    <row r="211" spans="2:74" ht="21" customHeight="1">
      <c r="B211" s="104" t="str">
        <f>IF(OR(G211&lt;&gt;"",H211&lt;&gt; "",I211&lt;&gt;"",J211&lt;&gt;""),"A", "►")</f>
        <v>►</v>
      </c>
      <c r="C211" s="157" t="str">
        <f>C149</f>
        <v>N NOM DE VOTRE RECETTE | | Auteur &gt; VOUS</v>
      </c>
      <c r="D211" s="157">
        <f>D149</f>
        <v>18</v>
      </c>
      <c r="E211" s="158" t="str">
        <f>E149</f>
        <v>desserts</v>
      </c>
      <c r="F211" s="159" t="str">
        <f>F149</f>
        <v>Recette mère ► Saisir le nom de la recette principale</v>
      </c>
      <c r="G211" s="172"/>
      <c r="H211" s="172"/>
      <c r="I211" s="172"/>
      <c r="J211" s="172"/>
      <c r="K211" s="172"/>
      <c r="L211" s="172"/>
      <c r="M211" s="172"/>
      <c r="N211" s="172"/>
      <c r="O211" s="172"/>
      <c r="P211" s="555"/>
      <c r="R211" s="104" t="str">
        <f>IF(OR(W211&lt;&gt;"",X211&lt;&gt; "",Y211&lt;&gt;"",Z211&lt;&gt;""),"A", "►")</f>
        <v>►</v>
      </c>
      <c r="S211" s="157" t="str">
        <f>S149</f>
        <v>N NAME OF YOUR RECIPE | |  Author &gt; YOU</v>
      </c>
      <c r="T211" s="157">
        <f>T149</f>
        <v>18</v>
      </c>
      <c r="U211" s="158" t="str">
        <f>U149</f>
        <v>desserts</v>
      </c>
      <c r="V211" s="159" t="str">
        <f>V149</f>
        <v>Master recipe ► Enter the main recipe name</v>
      </c>
      <c r="W211" s="172"/>
      <c r="X211" s="172"/>
      <c r="Y211" s="172"/>
      <c r="Z211" s="172"/>
      <c r="AA211" s="172"/>
      <c r="AB211" s="172"/>
      <c r="AC211" s="172"/>
      <c r="AD211" s="172"/>
      <c r="AE211" s="172"/>
      <c r="AF211" s="555"/>
      <c r="AH211" s="104" t="str">
        <f>IF(OR(AM211&lt;&gt;"",AN211&lt;&gt; "",AO211&lt;&gt;"",AP211&lt;&gt;""),"A", "►")</f>
        <v>►</v>
      </c>
      <c r="AI211" s="157" t="str">
        <f>AI149</f>
        <v>N NOMBRE DE LA RECETA | | Autor &gt; USTED</v>
      </c>
      <c r="AJ211" s="157">
        <f>AJ149</f>
        <v>18</v>
      </c>
      <c r="AK211" s="158" t="str">
        <f>AK149</f>
        <v>postres</v>
      </c>
      <c r="AL211" s="159" t="str">
        <f>AL149</f>
        <v>Receta madre ► Introduzca el nombre de la receta principal</v>
      </c>
      <c r="AM211" s="172"/>
      <c r="AN211" s="172"/>
      <c r="AO211" s="172"/>
      <c r="AP211" s="172"/>
      <c r="AQ211" s="172"/>
      <c r="AR211" s="172"/>
      <c r="AS211" s="172"/>
      <c r="AT211" s="172"/>
      <c r="AU211" s="172"/>
      <c r="AV211" s="555"/>
      <c r="AX211" s="556"/>
      <c r="AY211" s="172"/>
      <c r="AZ211" s="172"/>
      <c r="BA211" s="172"/>
      <c r="BB211" s="172"/>
      <c r="BC211" s="172"/>
      <c r="BD211" s="557"/>
      <c r="BF211" s="556"/>
      <c r="BG211" s="172"/>
      <c r="BH211" s="172"/>
      <c r="BI211" s="172"/>
      <c r="BJ211" s="172"/>
      <c r="BK211" s="172"/>
      <c r="BL211" s="557"/>
      <c r="BN211" s="556"/>
      <c r="BO211" s="172"/>
      <c r="BP211" s="172"/>
      <c r="BQ211" s="172"/>
      <c r="BR211" s="172"/>
      <c r="BS211" s="172"/>
      <c r="BT211" s="557"/>
      <c r="BV211" s="3">
        <v>1</v>
      </c>
    </row>
    <row r="212" spans="2:74" ht="21" customHeight="1">
      <c r="B212" s="196" t="s">
        <v>16</v>
      </c>
      <c r="C212" s="157" t="str">
        <f>C149</f>
        <v>N NOM DE VOTRE RECETTE | | Auteur &gt; VOUS</v>
      </c>
      <c r="D212" s="157">
        <f>D149</f>
        <v>18</v>
      </c>
      <c r="E212" s="158" t="str">
        <f>E149</f>
        <v>desserts</v>
      </c>
      <c r="F212" s="159" t="str">
        <f>F149</f>
        <v>Recette mère ► Saisir le nom de la recette principale</v>
      </c>
      <c r="G212" s="172"/>
      <c r="H212" s="172"/>
      <c r="I212" s="172"/>
      <c r="J212" s="172"/>
      <c r="K212" s="172"/>
      <c r="L212" s="172"/>
      <c r="M212" s="172"/>
      <c r="N212" s="172"/>
      <c r="O212" s="172"/>
      <c r="P212" s="555"/>
      <c r="R212" s="196" t="s">
        <v>16</v>
      </c>
      <c r="S212" s="157" t="str">
        <f>S149</f>
        <v>N NAME OF YOUR RECIPE | |  Author &gt; YOU</v>
      </c>
      <c r="T212" s="157">
        <f>T149</f>
        <v>18</v>
      </c>
      <c r="U212" s="158" t="str">
        <f>U149</f>
        <v>desserts</v>
      </c>
      <c r="V212" s="159" t="str">
        <f>V149</f>
        <v>Master recipe ► Enter the main recipe name</v>
      </c>
      <c r="W212" s="172"/>
      <c r="X212" s="172"/>
      <c r="Y212" s="172"/>
      <c r="Z212" s="172"/>
      <c r="AA212" s="172"/>
      <c r="AB212" s="172"/>
      <c r="AC212" s="172"/>
      <c r="AD212" s="172"/>
      <c r="AE212" s="172"/>
      <c r="AF212" s="555"/>
      <c r="AH212" s="196" t="s">
        <v>16</v>
      </c>
      <c r="AI212" s="157" t="str">
        <f>AI149</f>
        <v>N NOMBRE DE LA RECETA | | Autor &gt; USTED</v>
      </c>
      <c r="AJ212" s="157">
        <f>AJ149</f>
        <v>18</v>
      </c>
      <c r="AK212" s="158" t="str">
        <f>AK149</f>
        <v>postres</v>
      </c>
      <c r="AL212" s="159" t="str">
        <f>AL149</f>
        <v>Receta madre ► Introduzca el nombre de la receta principal</v>
      </c>
      <c r="AM212" s="172"/>
      <c r="AN212" s="172"/>
      <c r="AO212" s="172"/>
      <c r="AP212" s="172"/>
      <c r="AQ212" s="172"/>
      <c r="AR212" s="172"/>
      <c r="AS212" s="172"/>
      <c r="AT212" s="172"/>
      <c r="AU212" s="172"/>
      <c r="AV212" s="555"/>
      <c r="AX212" s="566"/>
      <c r="AY212" s="204"/>
      <c r="AZ212" s="204" t="s">
        <v>201</v>
      </c>
      <c r="BA212" s="1460" t="s">
        <v>660</v>
      </c>
      <c r="BB212" s="206"/>
      <c r="BC212" s="206"/>
      <c r="BD212" s="567"/>
      <c r="BF212" s="566"/>
      <c r="BG212" s="204"/>
      <c r="BH212" s="204" t="s">
        <v>661</v>
      </c>
      <c r="BI212" s="1460" t="s">
        <v>662</v>
      </c>
      <c r="BJ212" s="206"/>
      <c r="BK212" s="206"/>
      <c r="BL212" s="567"/>
      <c r="BN212" s="566"/>
      <c r="BO212" s="204"/>
      <c r="BP212" s="204" t="s">
        <v>663</v>
      </c>
      <c r="BQ212" s="1461" t="s">
        <v>664</v>
      </c>
      <c r="BR212" s="206"/>
      <c r="BS212" s="206"/>
      <c r="BT212" s="567"/>
      <c r="BV212" s="3">
        <v>1</v>
      </c>
    </row>
    <row r="213" spans="2:74" ht="21" customHeight="1">
      <c r="B213" s="196" t="s">
        <v>11</v>
      </c>
      <c r="C213" s="157" t="str">
        <f>C149</f>
        <v>N NOM DE VOTRE RECETTE | | Auteur &gt; VOUS</v>
      </c>
      <c r="D213" s="157">
        <f>D149</f>
        <v>18</v>
      </c>
      <c r="E213" s="158" t="str">
        <f>E149</f>
        <v>desserts</v>
      </c>
      <c r="F213" s="159" t="str">
        <f>F149</f>
        <v>Recette mère ► Saisir le nom de la recette principale</v>
      </c>
      <c r="G213" s="172"/>
      <c r="H213" s="172"/>
      <c r="I213" s="172"/>
      <c r="J213" s="172"/>
      <c r="K213" s="172"/>
      <c r="L213" s="172"/>
      <c r="M213" s="172"/>
      <c r="N213" s="172"/>
      <c r="O213" s="172"/>
      <c r="P213" s="555"/>
      <c r="R213" s="196" t="s">
        <v>11</v>
      </c>
      <c r="S213" s="157" t="str">
        <f>S149</f>
        <v>N NAME OF YOUR RECIPE | |  Author &gt; YOU</v>
      </c>
      <c r="T213" s="157">
        <f>T149</f>
        <v>18</v>
      </c>
      <c r="U213" s="158" t="str">
        <f>U149</f>
        <v>desserts</v>
      </c>
      <c r="V213" s="159" t="str">
        <f>V149</f>
        <v>Master recipe ► Enter the main recipe name</v>
      </c>
      <c r="W213" s="172"/>
      <c r="X213" s="172"/>
      <c r="Y213" s="172"/>
      <c r="Z213" s="172"/>
      <c r="AA213" s="172"/>
      <c r="AB213" s="172"/>
      <c r="AC213" s="172"/>
      <c r="AD213" s="172"/>
      <c r="AE213" s="172"/>
      <c r="AF213" s="555"/>
      <c r="AH213" s="196" t="s">
        <v>11</v>
      </c>
      <c r="AI213" s="157" t="str">
        <f>AI149</f>
        <v>N NOMBRE DE LA RECETA | | Autor &gt; USTED</v>
      </c>
      <c r="AJ213" s="157">
        <f>AJ149</f>
        <v>18</v>
      </c>
      <c r="AK213" s="158" t="str">
        <f>AK149</f>
        <v>postres</v>
      </c>
      <c r="AL213" s="159" t="str">
        <f>AL149</f>
        <v>Receta madre ► Introduzca el nombre de la receta principal</v>
      </c>
      <c r="AM213" s="172"/>
      <c r="AN213" s="172"/>
      <c r="AO213" s="172"/>
      <c r="AP213" s="172"/>
      <c r="AQ213" s="172"/>
      <c r="AR213" s="172"/>
      <c r="AS213" s="172"/>
      <c r="AT213" s="172"/>
      <c r="AU213" s="172"/>
      <c r="AV213" s="555"/>
      <c r="AX213" s="572"/>
      <c r="AY213" s="573"/>
      <c r="AZ213" s="574"/>
      <c r="BA213" s="575"/>
      <c r="BB213" s="498"/>
      <c r="BC213" s="498"/>
      <c r="BD213" s="576"/>
      <c r="BF213" s="572"/>
      <c r="BG213" s="573"/>
      <c r="BH213" s="574"/>
      <c r="BI213" s="575"/>
      <c r="BJ213" s="498"/>
      <c r="BK213" s="498"/>
      <c r="BL213" s="576"/>
      <c r="BN213" s="572"/>
      <c r="BO213" s="573"/>
      <c r="BP213" s="574"/>
      <c r="BQ213" s="575"/>
      <c r="BR213" s="498"/>
      <c r="BS213" s="498"/>
      <c r="BT213" s="576"/>
      <c r="BV213" s="3">
        <v>1</v>
      </c>
    </row>
    <row r="214" spans="2:74" ht="21" customHeight="1">
      <c r="B214" s="196" t="s">
        <v>11</v>
      </c>
      <c r="C214" s="157" t="str">
        <f>C149</f>
        <v>N NOM DE VOTRE RECETTE | | Auteur &gt; VOUS</v>
      </c>
      <c r="D214" s="157">
        <f>D149</f>
        <v>18</v>
      </c>
      <c r="E214" s="158" t="str">
        <f>E149</f>
        <v>desserts</v>
      </c>
      <c r="F214" s="159" t="str">
        <f>F149</f>
        <v>Recette mère ► Saisir le nom de la recette principale</v>
      </c>
      <c r="G214" s="167"/>
      <c r="H214" s="172"/>
      <c r="I214" s="172"/>
      <c r="J214" s="172"/>
      <c r="K214" s="172"/>
      <c r="L214" s="172"/>
      <c r="M214" s="172"/>
      <c r="N214" s="172"/>
      <c r="O214" s="172"/>
      <c r="P214" s="1485" t="s">
        <v>197</v>
      </c>
      <c r="R214" s="196" t="s">
        <v>11</v>
      </c>
      <c r="S214" s="157" t="str">
        <f>S149</f>
        <v>N NAME OF YOUR RECIPE | |  Author &gt; YOU</v>
      </c>
      <c r="T214" s="157">
        <f>T149</f>
        <v>18</v>
      </c>
      <c r="U214" s="158" t="str">
        <f>U149</f>
        <v>desserts</v>
      </c>
      <c r="V214" s="159" t="str">
        <f>V149</f>
        <v>Master recipe ► Enter the main recipe name</v>
      </c>
      <c r="W214" s="167"/>
      <c r="X214" s="172"/>
      <c r="Y214" s="172"/>
      <c r="Z214" s="172"/>
      <c r="AA214" s="172"/>
      <c r="AB214" s="172"/>
      <c r="AC214" s="172"/>
      <c r="AD214" s="172"/>
      <c r="AE214" s="172"/>
      <c r="AF214" s="1486" t="s">
        <v>899</v>
      </c>
      <c r="AH214" s="196" t="s">
        <v>11</v>
      </c>
      <c r="AI214" s="157" t="str">
        <f>AI149</f>
        <v>N NOMBRE DE LA RECETA | | Autor &gt; USTED</v>
      </c>
      <c r="AJ214" s="157">
        <f>AJ149</f>
        <v>18</v>
      </c>
      <c r="AK214" s="158" t="str">
        <f>AK149</f>
        <v>postres</v>
      </c>
      <c r="AL214" s="159" t="str">
        <f>AL149</f>
        <v>Receta madre ► Introduzca el nombre de la receta principal</v>
      </c>
      <c r="AM214" s="167"/>
      <c r="AN214" s="172"/>
      <c r="AO214" s="172"/>
      <c r="AP214" s="172"/>
      <c r="AQ214" s="172"/>
      <c r="AR214" s="172"/>
      <c r="AS214" s="172"/>
      <c r="AT214" s="172"/>
      <c r="AU214" s="172"/>
      <c r="AV214" s="1486" t="s">
        <v>913</v>
      </c>
      <c r="AX214" s="581"/>
      <c r="AY214" s="213"/>
      <c r="AZ214" s="214"/>
      <c r="BA214" s="215"/>
      <c r="BB214" s="214"/>
      <c r="BC214" s="214"/>
      <c r="BD214" s="582"/>
      <c r="BF214" s="581"/>
      <c r="BG214" s="213"/>
      <c r="BH214" s="214"/>
      <c r="BI214" s="215"/>
      <c r="BJ214" s="214"/>
      <c r="BK214" s="214"/>
      <c r="BL214" s="582"/>
      <c r="BN214" s="581"/>
      <c r="BO214" s="213"/>
      <c r="BP214" s="214"/>
      <c r="BQ214" s="215"/>
      <c r="BR214" s="214"/>
      <c r="BS214" s="214"/>
      <c r="BT214" s="582"/>
      <c r="BV214" s="3">
        <v>1</v>
      </c>
    </row>
    <row r="215" spans="2:74" ht="21" customHeight="1">
      <c r="B215" s="196" t="s">
        <v>11</v>
      </c>
      <c r="C215" s="157" t="str">
        <f>C149</f>
        <v>N NOM DE VOTRE RECETTE | | Auteur &gt; VOUS</v>
      </c>
      <c r="D215" s="157">
        <f>D149</f>
        <v>18</v>
      </c>
      <c r="E215" s="158" t="str">
        <f>E149</f>
        <v>desserts</v>
      </c>
      <c r="F215" s="159" t="str">
        <f>F149</f>
        <v>Recette mère ► Saisir le nom de la recette principale</v>
      </c>
      <c r="G215" s="204"/>
      <c r="H215" s="204"/>
      <c r="I215" s="204" t="s">
        <v>201</v>
      </c>
      <c r="J215" s="205"/>
      <c r="K215" s="206"/>
      <c r="L215" s="206"/>
      <c r="M215" s="206"/>
      <c r="N215" s="206"/>
      <c r="O215" s="206"/>
      <c r="P215" s="567"/>
      <c r="R215" s="196" t="s">
        <v>11</v>
      </c>
      <c r="S215" s="157" t="str">
        <f>S149</f>
        <v>N NAME OF YOUR RECIPE | |  Author &gt; YOU</v>
      </c>
      <c r="T215" s="157">
        <f>T149</f>
        <v>18</v>
      </c>
      <c r="U215" s="158" t="str">
        <f>U149</f>
        <v>desserts</v>
      </c>
      <c r="V215" s="159" t="str">
        <f>V149</f>
        <v>Master recipe ► Enter the main recipe name</v>
      </c>
      <c r="W215" s="204"/>
      <c r="X215" s="204"/>
      <c r="Y215" s="204" t="s">
        <v>661</v>
      </c>
      <c r="Z215" s="205"/>
      <c r="AA215" s="206"/>
      <c r="AB215" s="206"/>
      <c r="AC215" s="206"/>
      <c r="AD215" s="206"/>
      <c r="AE215" s="206"/>
      <c r="AF215" s="567"/>
      <c r="AH215" s="196" t="s">
        <v>11</v>
      </c>
      <c r="AI215" s="157" t="str">
        <f>AI149</f>
        <v>N NOMBRE DE LA RECETA | | Autor &gt; USTED</v>
      </c>
      <c r="AJ215" s="157">
        <f>AJ149</f>
        <v>18</v>
      </c>
      <c r="AK215" s="158" t="str">
        <f>AK149</f>
        <v>postres</v>
      </c>
      <c r="AL215" s="159" t="str">
        <f>AL149</f>
        <v>Receta madre ► Introduzca el nombre de la receta principal</v>
      </c>
      <c r="AM215" s="204"/>
      <c r="AN215" s="204"/>
      <c r="AO215" s="204" t="s">
        <v>915</v>
      </c>
      <c r="AP215" s="205"/>
      <c r="AQ215" s="206"/>
      <c r="AR215" s="206"/>
      <c r="AS215" s="206"/>
      <c r="AT215" s="206"/>
      <c r="AU215" s="206"/>
      <c r="AV215" s="567"/>
      <c r="AX215" s="495"/>
      <c r="BC215" s="9"/>
      <c r="BD215" s="41"/>
      <c r="BF215" s="495"/>
      <c r="BK215" s="9"/>
      <c r="BL215" s="41"/>
      <c r="BN215" s="495"/>
      <c r="BS215" s="9"/>
      <c r="BT215" s="41"/>
      <c r="BV215" s="3">
        <v>1</v>
      </c>
    </row>
    <row r="216" spans="2:74" ht="21" customHeight="1">
      <c r="B216" s="196" t="s">
        <v>11</v>
      </c>
      <c r="C216" s="209" t="str">
        <f>C149</f>
        <v>N NOM DE VOTRE RECETTE | | Auteur &gt; VOUS</v>
      </c>
      <c r="D216" s="209">
        <f>D149</f>
        <v>18</v>
      </c>
      <c r="E216" s="210" t="str">
        <f>E149</f>
        <v>desserts</v>
      </c>
      <c r="F216" s="211" t="str">
        <f>F149</f>
        <v>Recette mère ► Saisir le nom de la recette principale</v>
      </c>
      <c r="G216" s="212"/>
      <c r="H216" s="213"/>
      <c r="I216" s="214"/>
      <c r="J216" s="215"/>
      <c r="K216" s="214"/>
      <c r="L216" s="214"/>
      <c r="M216" s="214"/>
      <c r="N216" s="214"/>
      <c r="O216" s="214"/>
      <c r="P216" s="582"/>
      <c r="R216" s="196" t="s">
        <v>11</v>
      </c>
      <c r="S216" s="209" t="str">
        <f>S149</f>
        <v>N NAME OF YOUR RECIPE | |  Author &gt; YOU</v>
      </c>
      <c r="T216" s="209">
        <f>T149</f>
        <v>18</v>
      </c>
      <c r="U216" s="210" t="str">
        <f>U149</f>
        <v>desserts</v>
      </c>
      <c r="V216" s="211" t="str">
        <f>V149</f>
        <v>Master recipe ► Enter the main recipe name</v>
      </c>
      <c r="W216" s="212"/>
      <c r="X216" s="213"/>
      <c r="Y216" s="214"/>
      <c r="Z216" s="215"/>
      <c r="AA216" s="214"/>
      <c r="AB216" s="214"/>
      <c r="AC216" s="214"/>
      <c r="AD216" s="214"/>
      <c r="AE216" s="214"/>
      <c r="AF216" s="582"/>
      <c r="AH216" s="196" t="s">
        <v>11</v>
      </c>
      <c r="AI216" s="209" t="str">
        <f>AI149</f>
        <v>N NOMBRE DE LA RECETA | | Autor &gt; USTED</v>
      </c>
      <c r="AJ216" s="209">
        <f>AJ149</f>
        <v>18</v>
      </c>
      <c r="AK216" s="210" t="str">
        <f>AK149</f>
        <v>postres</v>
      </c>
      <c r="AL216" s="211" t="str">
        <f>AL149</f>
        <v>Receta madre ► Introduzca el nombre de la receta principal</v>
      </c>
      <c r="AM216" s="212"/>
      <c r="AN216" s="213"/>
      <c r="AO216" s="214"/>
      <c r="AP216" s="215"/>
      <c r="AQ216" s="214"/>
      <c r="AR216" s="214"/>
      <c r="AS216" s="214"/>
      <c r="AT216" s="214"/>
      <c r="AU216" s="214"/>
      <c r="AV216" s="582"/>
      <c r="AX216" s="495"/>
      <c r="AY216" s="588"/>
      <c r="AZ216" s="589"/>
      <c r="BA216" s="590" t="s">
        <v>165</v>
      </c>
      <c r="BB216" s="591" t="s">
        <v>668</v>
      </c>
      <c r="BC216" s="9"/>
      <c r="BD216" s="41"/>
      <c r="BF216" s="495"/>
      <c r="BG216" s="588"/>
      <c r="BH216" s="589"/>
      <c r="BI216" s="590" t="s">
        <v>669</v>
      </c>
      <c r="BJ216" s="591" t="s">
        <v>668</v>
      </c>
      <c r="BK216" s="9"/>
      <c r="BL216" s="41"/>
      <c r="BN216" s="495"/>
      <c r="BO216" s="588"/>
      <c r="BP216" s="589"/>
      <c r="BQ216" s="590" t="s">
        <v>670</v>
      </c>
      <c r="BR216" s="591" t="s">
        <v>668</v>
      </c>
      <c r="BS216" s="9"/>
      <c r="BT216" s="41"/>
      <c r="BV216" s="3">
        <v>1</v>
      </c>
    </row>
    <row r="217" spans="2:74" ht="21" customHeight="1" thickBot="1">
      <c r="B217" s="216" t="s">
        <v>11</v>
      </c>
      <c r="C217" s="217"/>
      <c r="D217" s="217"/>
      <c r="E217" s="217"/>
      <c r="F217" s="218"/>
      <c r="G217" s="219" t="s">
        <v>208</v>
      </c>
      <c r="H217" s="1481" t="str">
        <f ca="1">CELL("nomfichier")</f>
        <v>D:\Données\1.UPRT\0-UPRT.fait\1-UPRT.FR-SITE-WEB\ff-fiches-fabrications\ff.fiches.fabrication.2023\ffr.restaurant.2023\[ff.FICHE.TRILINGUE.15.COLONNES.29.11.2025.xlsx]Notice.utilisateur</v>
      </c>
      <c r="I217" s="220"/>
      <c r="J217" s="220"/>
      <c r="K217" s="220"/>
      <c r="L217" s="220"/>
      <c r="M217" s="220"/>
      <c r="N217" s="220"/>
      <c r="O217" s="220"/>
      <c r="P217" s="221"/>
      <c r="R217" s="216" t="s">
        <v>11</v>
      </c>
      <c r="S217" s="217"/>
      <c r="T217" s="217"/>
      <c r="U217" s="217"/>
      <c r="V217" s="218"/>
      <c r="W217" s="219" t="s">
        <v>208</v>
      </c>
      <c r="X217" s="1481" t="str">
        <f ca="1">CELL("nomfichier")</f>
        <v>D:\Données\1.UPRT\0-UPRT.fait\1-UPRT.FR-SITE-WEB\ff-fiches-fabrications\ff.fiches.fabrication.2023\ffr.restaurant.2023\[ff.FICHE.TRILINGUE.15.COLONNES.29.11.2025.xlsx]Notice.utilisateur</v>
      </c>
      <c r="Y217" s="220"/>
      <c r="Z217" s="220"/>
      <c r="AA217" s="220"/>
      <c r="AB217" s="220"/>
      <c r="AC217" s="220"/>
      <c r="AD217" s="220"/>
      <c r="AE217" s="220"/>
      <c r="AF217" s="221"/>
      <c r="AH217" s="216" t="s">
        <v>11</v>
      </c>
      <c r="AI217" s="217"/>
      <c r="AJ217" s="217"/>
      <c r="AK217" s="217"/>
      <c r="AL217" s="218"/>
      <c r="AM217" s="219" t="s">
        <v>208</v>
      </c>
      <c r="AN217" s="1481" t="str">
        <f ca="1">CELL("nomfichier")</f>
        <v>D:\Données\1.UPRT\0-UPRT.fait\1-UPRT.FR-SITE-WEB\ff-fiches-fabrications\ff.fiches.fabrication.2023\ffr.restaurant.2023\[ff.FICHE.TRILINGUE.15.COLONNES.29.11.2025.xlsx]Notice.utilisateur</v>
      </c>
      <c r="AO217" s="220"/>
      <c r="AP217" s="220"/>
      <c r="AQ217" s="220"/>
      <c r="AR217" s="220"/>
      <c r="AS217" s="220"/>
      <c r="AT217" s="220"/>
      <c r="AU217" s="220"/>
      <c r="AV217" s="221"/>
      <c r="AX217" s="495"/>
      <c r="AY217" s="595"/>
      <c r="AZ217" s="164"/>
      <c r="BA217" s="165" t="s">
        <v>168</v>
      </c>
      <c r="BB217" s="596" t="s">
        <v>166</v>
      </c>
      <c r="BC217" s="9"/>
      <c r="BD217" s="41"/>
      <c r="BF217" s="495"/>
      <c r="BG217" s="595"/>
      <c r="BH217" s="164"/>
      <c r="BI217" s="165" t="s">
        <v>672</v>
      </c>
      <c r="BJ217" s="596" t="s">
        <v>166</v>
      </c>
      <c r="BK217" s="9"/>
      <c r="BL217" s="41"/>
      <c r="BN217" s="495"/>
      <c r="BO217" s="595"/>
      <c r="BP217" s="164"/>
      <c r="BQ217" s="165" t="s">
        <v>673</v>
      </c>
      <c r="BR217" s="596" t="s">
        <v>166</v>
      </c>
      <c r="BS217" s="9"/>
      <c r="BT217" s="41"/>
      <c r="BV217" s="3">
        <v>1</v>
      </c>
    </row>
    <row r="218" spans="2:74" ht="21" customHeight="1" thickBot="1">
      <c r="B218" s="5215" t="s">
        <v>11</v>
      </c>
      <c r="C218" s="5216" t="s">
        <v>11</v>
      </c>
      <c r="D218" s="5216" t="s">
        <v>11</v>
      </c>
      <c r="E218" s="5216" t="s">
        <v>11</v>
      </c>
      <c r="F218" s="5216" t="s">
        <v>11</v>
      </c>
      <c r="G218" s="5217" t="s">
        <v>2613</v>
      </c>
      <c r="H218" s="5218"/>
      <c r="I218" s="5219"/>
      <c r="J218" s="5220"/>
      <c r="K218" s="5221"/>
      <c r="L218" s="5222"/>
      <c r="M218" s="5220"/>
      <c r="N218" s="5220"/>
      <c r="O218" s="5218"/>
      <c r="P218" s="5223" t="s">
        <v>1948</v>
      </c>
      <c r="R218" s="5215" t="s">
        <v>11</v>
      </c>
      <c r="S218" s="5216" t="s">
        <v>11</v>
      </c>
      <c r="T218" s="5216" t="s">
        <v>11</v>
      </c>
      <c r="U218" s="5216" t="s">
        <v>11</v>
      </c>
      <c r="V218" s="5216" t="s">
        <v>11</v>
      </c>
      <c r="W218" s="5217" t="s">
        <v>2613</v>
      </c>
      <c r="X218" s="5218"/>
      <c r="Y218" s="5219"/>
      <c r="Z218" s="5220"/>
      <c r="AA218" s="5221"/>
      <c r="AB218" s="5222"/>
      <c r="AC218" s="5220"/>
      <c r="AD218" s="5220"/>
      <c r="AE218" s="5218"/>
      <c r="AF218" s="5223" t="s">
        <v>1948</v>
      </c>
      <c r="AH218" s="5215" t="s">
        <v>11</v>
      </c>
      <c r="AI218" s="5216" t="s">
        <v>11</v>
      </c>
      <c r="AJ218" s="5216" t="s">
        <v>11</v>
      </c>
      <c r="AK218" s="5216" t="s">
        <v>11</v>
      </c>
      <c r="AL218" s="5216" t="s">
        <v>11</v>
      </c>
      <c r="AM218" s="5217" t="s">
        <v>2613</v>
      </c>
      <c r="AN218" s="5218"/>
      <c r="AO218" s="5219"/>
      <c r="AP218" s="5220"/>
      <c r="AQ218" s="5221"/>
      <c r="AR218" s="5222"/>
      <c r="AS218" s="5220"/>
      <c r="AT218" s="5220"/>
      <c r="AU218" s="5218"/>
      <c r="AV218" s="5223" t="s">
        <v>1948</v>
      </c>
      <c r="AX218" s="495"/>
      <c r="AY218" s="600"/>
      <c r="AZ218" s="9"/>
      <c r="BA218" s="170" t="s">
        <v>172</v>
      </c>
      <c r="BB218" s="601">
        <v>1.7361111111111112E-2</v>
      </c>
      <c r="BC218" s="9"/>
      <c r="BD218" s="41"/>
      <c r="BF218" s="495"/>
      <c r="BG218" s="600"/>
      <c r="BH218" s="9"/>
      <c r="BI218" s="170" t="s">
        <v>676</v>
      </c>
      <c r="BJ218" s="601">
        <v>1.7361111111111112E-2</v>
      </c>
      <c r="BK218" s="9"/>
      <c r="BL218" s="41"/>
      <c r="BN218" s="495"/>
      <c r="BO218" s="600"/>
      <c r="BP218" s="9"/>
      <c r="BQ218" s="170" t="s">
        <v>677</v>
      </c>
      <c r="BR218" s="601">
        <v>1.7361111111111112E-2</v>
      </c>
      <c r="BS218" s="9"/>
      <c r="BT218" s="41"/>
      <c r="BV218" s="3">
        <v>1</v>
      </c>
    </row>
    <row r="219" spans="2:74" ht="21" customHeight="1">
      <c r="B219" s="22" t="s">
        <v>11</v>
      </c>
      <c r="C219" s="23" t="str">
        <f>C225</f>
        <v>N NOM DE VOTRE RECETTE | | Auteur &gt; VOUS</v>
      </c>
      <c r="D219" s="24">
        <f>D225</f>
        <v>18</v>
      </c>
      <c r="E219" s="24" t="str">
        <f>E225</f>
        <v>desserts</v>
      </c>
      <c r="F219" s="25" t="str">
        <f>F225</f>
        <v>Recette mère ► Saisir le nom de la recette principale</v>
      </c>
      <c r="G219" s="26" t="s">
        <v>23</v>
      </c>
      <c r="H219" s="5471" t="s">
        <v>1376</v>
      </c>
      <c r="I219" s="5471"/>
      <c r="J219" s="5471"/>
      <c r="K219" s="5471"/>
      <c r="L219" s="5471"/>
      <c r="M219" s="5471"/>
      <c r="N219" s="5496" t="s">
        <v>3309</v>
      </c>
      <c r="O219" s="5496"/>
      <c r="P219" s="5475" t="str">
        <f>UPPER(LEFT(H219,1))</f>
        <v>N</v>
      </c>
      <c r="R219" s="22" t="s">
        <v>11</v>
      </c>
      <c r="S219" s="23" t="str">
        <f>S225</f>
        <v>N NAME OF YOUR RECIPE | |  Author &gt; YOU</v>
      </c>
      <c r="T219" s="24">
        <f>T225</f>
        <v>18</v>
      </c>
      <c r="U219" s="24" t="str">
        <f>U225</f>
        <v>desserts</v>
      </c>
      <c r="V219" s="25" t="str">
        <f>V225</f>
        <v>Master recipe ► Enter the main recipe name</v>
      </c>
      <c r="W219" s="26" t="s">
        <v>23</v>
      </c>
      <c r="X219" s="5471" t="s">
        <v>886</v>
      </c>
      <c r="Y219" s="5471"/>
      <c r="Z219" s="5471"/>
      <c r="AA219" s="5471"/>
      <c r="AB219" s="5471"/>
      <c r="AC219" s="5471"/>
      <c r="AD219" s="5496" t="s">
        <v>3314</v>
      </c>
      <c r="AE219" s="5496"/>
      <c r="AF219" s="5475" t="str">
        <f>UPPER(LEFT(X219,1))</f>
        <v>N</v>
      </c>
      <c r="AH219" s="22" t="s">
        <v>11</v>
      </c>
      <c r="AI219" s="23" t="str">
        <f>AI225</f>
        <v>N NOMBRE DE LA RECETA | | Autor &gt; USTED</v>
      </c>
      <c r="AJ219" s="24">
        <f>AJ225</f>
        <v>18</v>
      </c>
      <c r="AK219" s="24" t="str">
        <f>AK225</f>
        <v>postres</v>
      </c>
      <c r="AL219" s="25" t="str">
        <f>AL225</f>
        <v>Receta madre ► Introduzca el nombre de la receta principal</v>
      </c>
      <c r="AM219" s="26" t="s">
        <v>23</v>
      </c>
      <c r="AN219" s="5471" t="s">
        <v>3320</v>
      </c>
      <c r="AO219" s="5471"/>
      <c r="AP219" s="5471"/>
      <c r="AQ219" s="5471"/>
      <c r="AR219" s="5471"/>
      <c r="AS219" s="5471"/>
      <c r="AT219" s="5496" t="s">
        <v>1389</v>
      </c>
      <c r="AU219" s="5496"/>
      <c r="AV219" s="5475" t="str">
        <f>UPPER(LEFT(AN219,1))</f>
        <v>N</v>
      </c>
      <c r="AX219" s="495"/>
      <c r="AY219" s="600"/>
      <c r="AZ219" s="9"/>
      <c r="BA219" s="170" t="s">
        <v>174</v>
      </c>
      <c r="BB219" s="602">
        <v>1.0416666666666666E-2</v>
      </c>
      <c r="BC219" s="9"/>
      <c r="BD219" s="41"/>
      <c r="BF219" s="495"/>
      <c r="BG219" s="600"/>
      <c r="BH219" s="9"/>
      <c r="BI219" s="170" t="s">
        <v>682</v>
      </c>
      <c r="BJ219" s="602">
        <v>1.0416666666666666E-2</v>
      </c>
      <c r="BK219" s="9"/>
      <c r="BL219" s="41"/>
      <c r="BN219" s="495"/>
      <c r="BO219" s="600"/>
      <c r="BP219" s="9"/>
      <c r="BQ219" s="170" t="s">
        <v>683</v>
      </c>
      <c r="BR219" s="602">
        <v>1.0416666666666666E-2</v>
      </c>
      <c r="BS219" s="9"/>
      <c r="BT219" s="41"/>
      <c r="BV219" s="3">
        <v>1</v>
      </c>
    </row>
    <row r="220" spans="2:74" ht="21" customHeight="1">
      <c r="B220" s="27" t="s">
        <v>11</v>
      </c>
      <c r="C220" s="28" t="str">
        <f>C225</f>
        <v>N NOM DE VOTRE RECETTE | | Auteur &gt; VOUS</v>
      </c>
      <c r="D220" s="29">
        <f>D225</f>
        <v>18</v>
      </c>
      <c r="E220" s="29" t="str">
        <f>E225</f>
        <v>desserts</v>
      </c>
      <c r="F220" s="30" t="str">
        <f>F225</f>
        <v>Recette mère ► Saisir le nom de la recette principale</v>
      </c>
      <c r="G220" s="31" t="s">
        <v>29</v>
      </c>
      <c r="H220" s="5472"/>
      <c r="I220" s="5472"/>
      <c r="J220" s="5472"/>
      <c r="K220" s="5472"/>
      <c r="L220" s="5472"/>
      <c r="M220" s="5472"/>
      <c r="N220" s="5497"/>
      <c r="O220" s="5497"/>
      <c r="P220" s="5476"/>
      <c r="R220" s="27" t="s">
        <v>11</v>
      </c>
      <c r="S220" s="28" t="str">
        <f>S225</f>
        <v>N NAME OF YOUR RECIPE | |  Author &gt; YOU</v>
      </c>
      <c r="T220" s="29">
        <f>T225</f>
        <v>18</v>
      </c>
      <c r="U220" s="29" t="str">
        <f>U225</f>
        <v>desserts</v>
      </c>
      <c r="V220" s="30" t="str">
        <f>V225</f>
        <v>Master recipe ► Enter the main recipe name</v>
      </c>
      <c r="W220" s="31" t="s">
        <v>29</v>
      </c>
      <c r="X220" s="5472"/>
      <c r="Y220" s="5472"/>
      <c r="Z220" s="5472"/>
      <c r="AA220" s="5472"/>
      <c r="AB220" s="5472"/>
      <c r="AC220" s="5472"/>
      <c r="AD220" s="5497"/>
      <c r="AE220" s="5497"/>
      <c r="AF220" s="5476"/>
      <c r="AH220" s="27" t="s">
        <v>11</v>
      </c>
      <c r="AI220" s="28" t="str">
        <f>AI225</f>
        <v>N NOMBRE DE LA RECETA | | Autor &gt; USTED</v>
      </c>
      <c r="AJ220" s="29">
        <f>AJ225</f>
        <v>18</v>
      </c>
      <c r="AK220" s="29" t="str">
        <f>AK225</f>
        <v>postres</v>
      </c>
      <c r="AL220" s="30" t="str">
        <f>AL225</f>
        <v>Receta madre ► Introduzca el nombre de la receta principal</v>
      </c>
      <c r="AM220" s="31" t="s">
        <v>29</v>
      </c>
      <c r="AN220" s="5472"/>
      <c r="AO220" s="5472"/>
      <c r="AP220" s="5472"/>
      <c r="AQ220" s="5472"/>
      <c r="AR220" s="5472"/>
      <c r="AS220" s="5472"/>
      <c r="AT220" s="5497"/>
      <c r="AU220" s="5497"/>
      <c r="AV220" s="5476"/>
      <c r="AX220" s="495"/>
      <c r="AY220" s="600"/>
      <c r="AZ220" s="9"/>
      <c r="BA220" s="170" t="s">
        <v>182</v>
      </c>
      <c r="BB220" s="603">
        <v>6.25E-2</v>
      </c>
      <c r="BC220" s="9"/>
      <c r="BD220" s="41"/>
      <c r="BF220" s="495"/>
      <c r="BG220" s="600"/>
      <c r="BH220" s="9"/>
      <c r="BI220" s="170" t="s">
        <v>684</v>
      </c>
      <c r="BJ220" s="603">
        <v>6.25E-2</v>
      </c>
      <c r="BK220" s="9"/>
      <c r="BL220" s="41"/>
      <c r="BN220" s="495"/>
      <c r="BO220" s="600"/>
      <c r="BP220" s="9"/>
      <c r="BQ220" s="170" t="s">
        <v>685</v>
      </c>
      <c r="BR220" s="603">
        <v>6.25E-2</v>
      </c>
      <c r="BS220" s="9"/>
      <c r="BT220" s="41"/>
      <c r="BV220" s="3">
        <v>1</v>
      </c>
    </row>
    <row r="221" spans="2:74" ht="21" customHeight="1">
      <c r="B221" s="27" t="s">
        <v>11</v>
      </c>
      <c r="C221" s="5310" t="str">
        <f>C225</f>
        <v>N NOM DE VOTRE RECETTE | | Auteur &gt; VOUS</v>
      </c>
      <c r="D221" s="5310">
        <f>D225</f>
        <v>18</v>
      </c>
      <c r="E221" s="5311" t="str">
        <f>E225</f>
        <v>desserts</v>
      </c>
      <c r="F221" s="5312" t="str">
        <f>F225</f>
        <v>Recette mère ► Saisir le nom de la recette principale</v>
      </c>
      <c r="G221" s="5313"/>
      <c r="H221" s="5314" t="s">
        <v>30</v>
      </c>
      <c r="I221" s="37"/>
      <c r="J221" s="38" t="s">
        <v>31</v>
      </c>
      <c r="K221" s="39" t="s">
        <v>58</v>
      </c>
      <c r="L221" s="9"/>
      <c r="M221" s="39"/>
      <c r="N221" s="39"/>
      <c r="O221" s="40"/>
      <c r="P221" s="41"/>
      <c r="R221" s="27" t="s">
        <v>11</v>
      </c>
      <c r="S221" s="5310" t="str">
        <f>S225</f>
        <v>N NAME OF YOUR RECIPE | |  Author &gt; YOU</v>
      </c>
      <c r="T221" s="5310">
        <f>T225</f>
        <v>18</v>
      </c>
      <c r="U221" s="5311" t="str">
        <f>U225</f>
        <v>desserts</v>
      </c>
      <c r="V221" s="5312" t="str">
        <f>V225</f>
        <v>Master recipe ► Enter the main recipe name</v>
      </c>
      <c r="W221" s="5313"/>
      <c r="X221" s="5314" t="s">
        <v>888</v>
      </c>
      <c r="Y221" s="37"/>
      <c r="Z221" s="38" t="s">
        <v>889</v>
      </c>
      <c r="AA221" s="39" t="s">
        <v>61</v>
      </c>
      <c r="AB221" s="9"/>
      <c r="AC221" s="39"/>
      <c r="AD221" s="39"/>
      <c r="AE221" s="40"/>
      <c r="AF221" s="41"/>
      <c r="AH221" s="27" t="s">
        <v>11</v>
      </c>
      <c r="AI221" s="5310" t="str">
        <f>AI225</f>
        <v>N NOMBRE DE LA RECETA | | Autor &gt; USTED</v>
      </c>
      <c r="AJ221" s="5310">
        <f>AJ225</f>
        <v>18</v>
      </c>
      <c r="AK221" s="5311" t="str">
        <f>AK225</f>
        <v>postres</v>
      </c>
      <c r="AL221" s="5312" t="str">
        <f>AL225</f>
        <v>Receta madre ► Introduzca el nombre de la receta principal</v>
      </c>
      <c r="AM221" s="5313"/>
      <c r="AN221" s="5314" t="s">
        <v>903</v>
      </c>
      <c r="AO221" s="37"/>
      <c r="AP221" s="38" t="s">
        <v>904</v>
      </c>
      <c r="AQ221" s="39" t="s">
        <v>64</v>
      </c>
      <c r="AR221" s="9"/>
      <c r="AS221" s="39"/>
      <c r="AT221" s="39"/>
      <c r="AU221" s="40"/>
      <c r="AV221" s="41"/>
      <c r="AX221" s="495"/>
      <c r="AY221" s="600"/>
      <c r="AZ221" s="9"/>
      <c r="BA221" s="176" t="s">
        <v>183</v>
      </c>
      <c r="BB221" s="604">
        <f>BB218+BB219+BB220</f>
        <v>9.0277777777777776E-2</v>
      </c>
      <c r="BC221" s="9"/>
      <c r="BD221" s="41"/>
      <c r="BF221" s="495"/>
      <c r="BG221" s="600"/>
      <c r="BH221" s="9"/>
      <c r="BI221" s="176" t="s">
        <v>183</v>
      </c>
      <c r="BJ221" s="604">
        <f>BJ218+BJ219+BJ220</f>
        <v>9.0277777777777776E-2</v>
      </c>
      <c r="BK221" s="9"/>
      <c r="BL221" s="41"/>
      <c r="BN221" s="495"/>
      <c r="BO221" s="600"/>
      <c r="BP221" s="9"/>
      <c r="BQ221" s="176" t="s">
        <v>183</v>
      </c>
      <c r="BR221" s="604">
        <f>BR218+BR219+BR220</f>
        <v>9.0277777777777776E-2</v>
      </c>
      <c r="BS221" s="9"/>
      <c r="BT221" s="41"/>
      <c r="BV221" s="3">
        <v>1</v>
      </c>
    </row>
    <row r="222" spans="2:74" ht="21" customHeight="1">
      <c r="B222" s="27" t="s">
        <v>11</v>
      </c>
      <c r="C222" s="32" t="str">
        <f>C225</f>
        <v>N NOM DE VOTRE RECETTE | | Auteur &gt; VOUS</v>
      </c>
      <c r="D222" s="33">
        <f>D225</f>
        <v>18</v>
      </c>
      <c r="E222" s="33" t="str">
        <f>E225</f>
        <v>desserts</v>
      </c>
      <c r="F222" s="34" t="str">
        <f>F225</f>
        <v>Recette mère ► Saisir le nom de la recette principale</v>
      </c>
      <c r="G222" s="42" t="s">
        <v>32</v>
      </c>
      <c r="H222" s="43"/>
      <c r="I222" s="43"/>
      <c r="J222" s="44" t="s">
        <v>33</v>
      </c>
      <c r="K222" s="5477" t="str">
        <f>L225&amp;" "&amp;M225&amp;" ► Famille = "&amp;N219&amp;" ► "&amp;H219&amp;" "&amp; "pour "&amp;N223&amp;" "&amp;O223</f>
        <v>Recette mère ► Saisir le nom de la recette principale ► Famille = famille--COLLEZ ► NOM DE VOTRE RECETTE pour 36 desserts</v>
      </c>
      <c r="L222" s="5477"/>
      <c r="M222" s="5477"/>
      <c r="N222" s="5039" t="s">
        <v>3306</v>
      </c>
      <c r="O222" s="40"/>
      <c r="P222" s="1472"/>
      <c r="R222" s="27" t="s">
        <v>11</v>
      </c>
      <c r="S222" s="32" t="str">
        <f>S225</f>
        <v>N NAME OF YOUR RECIPE | |  Author &gt; YOU</v>
      </c>
      <c r="T222" s="33">
        <f>T225</f>
        <v>18</v>
      </c>
      <c r="U222" s="33" t="str">
        <f>U225</f>
        <v>desserts</v>
      </c>
      <c r="V222" s="34" t="str">
        <f>V225</f>
        <v>Master recipe ► Enter the main recipe name</v>
      </c>
      <c r="W222" s="42" t="s">
        <v>137</v>
      </c>
      <c r="X222" s="43"/>
      <c r="Y222" s="43"/>
      <c r="Z222" s="44" t="s">
        <v>33</v>
      </c>
      <c r="AA222" s="5477" t="str">
        <f>AB225&amp;" "&amp;AC225&amp;" ► category = "&amp;AD219&amp;" ► "&amp;X219&amp;" "&amp; "pour "&amp;AD223&amp;" "&amp;AE223</f>
        <v>Master recipe ► Enter the main recipe name ► category = family--PASTE ► NAME OF YOUR RECIPE pour 36 desserts</v>
      </c>
      <c r="AB222" s="5477"/>
      <c r="AC222" s="5477"/>
      <c r="AD222" s="5039" t="s">
        <v>3324</v>
      </c>
      <c r="AE222" s="40"/>
      <c r="AF222" s="1472"/>
      <c r="AH222" s="27" t="s">
        <v>11</v>
      </c>
      <c r="AI222" s="32" t="str">
        <f>AI225</f>
        <v>N NOMBRE DE LA RECETA | | Autor &gt; USTED</v>
      </c>
      <c r="AJ222" s="33">
        <f>AJ225</f>
        <v>18</v>
      </c>
      <c r="AK222" s="33" t="str">
        <f>AK225</f>
        <v>postres</v>
      </c>
      <c r="AL222" s="34" t="str">
        <f>AL225</f>
        <v>Receta madre ► Introduzca el nombre de la receta principal</v>
      </c>
      <c r="AM222" s="42" t="s">
        <v>905</v>
      </c>
      <c r="AN222" s="43"/>
      <c r="AO222" s="43"/>
      <c r="AP222" s="44" t="s">
        <v>33</v>
      </c>
      <c r="AQ222" s="5477" t="str">
        <f>AR225&amp;" "&amp;AS225&amp;" ► categoría = "&amp;AT219&amp;" ► "&amp;AN219&amp;" "&amp; "pour "&amp;AT223&amp;" "&amp;AU223</f>
        <v>Receta madre ► Introduzca el nombre de la receta principal ► categoría = pegue esto — FAMILIA ► NOMBRE DE LA RECETA pour 36 postres</v>
      </c>
      <c r="AR222" s="5477"/>
      <c r="AS222" s="5477"/>
      <c r="AT222" s="5039" t="s">
        <v>3326</v>
      </c>
      <c r="AU222" s="40"/>
      <c r="AV222" s="1472"/>
      <c r="AX222" s="495"/>
      <c r="AY222" s="5635" t="s">
        <v>1844</v>
      </c>
      <c r="AZ222" s="5636"/>
      <c r="BA222" s="5636"/>
      <c r="BB222" s="5637"/>
      <c r="BC222" s="9"/>
      <c r="BD222" s="41"/>
      <c r="BF222" s="495"/>
      <c r="BG222" s="5635" t="s">
        <v>686</v>
      </c>
      <c r="BH222" s="5636"/>
      <c r="BI222" s="5636"/>
      <c r="BJ222" s="5638"/>
      <c r="BK222" s="9"/>
      <c r="BL222" s="41"/>
      <c r="BN222" s="495"/>
      <c r="BO222" s="5635" t="s">
        <v>687</v>
      </c>
      <c r="BP222" s="5636"/>
      <c r="BQ222" s="5636"/>
      <c r="BR222" s="5638"/>
      <c r="BS222" s="9"/>
      <c r="BT222" s="41"/>
      <c r="BV222" s="3">
        <v>1</v>
      </c>
    </row>
    <row r="223" spans="2:74" ht="21" customHeight="1">
      <c r="B223" s="27" t="s">
        <v>11</v>
      </c>
      <c r="C223" s="32" t="str">
        <f>C225</f>
        <v>N NOM DE VOTRE RECETTE | | Auteur &gt; VOUS</v>
      </c>
      <c r="D223" s="33">
        <f>D225</f>
        <v>18</v>
      </c>
      <c r="E223" s="33" t="str">
        <f>E225</f>
        <v>desserts</v>
      </c>
      <c r="F223" s="34" t="str">
        <f>F225</f>
        <v>Recette mère ► Saisir le nom de la recette principale</v>
      </c>
      <c r="G223" s="50">
        <v>18</v>
      </c>
      <c r="H223" s="51" t="s">
        <v>3275</v>
      </c>
      <c r="I223" s="42"/>
      <c r="J223" s="42"/>
      <c r="K223" s="5477"/>
      <c r="L223" s="5477"/>
      <c r="M223" s="5477"/>
      <c r="N223" s="46">
        <v>36</v>
      </c>
      <c r="O223" s="5478" t="str">
        <f>H223</f>
        <v>desserts</v>
      </c>
      <c r="P223" s="5479"/>
      <c r="R223" s="27" t="s">
        <v>11</v>
      </c>
      <c r="S223" s="32" t="str">
        <f>S225</f>
        <v>N NAME OF YOUR RECIPE | |  Author &gt; YOU</v>
      </c>
      <c r="T223" s="33">
        <f>T225</f>
        <v>18</v>
      </c>
      <c r="U223" s="33" t="str">
        <f>U225</f>
        <v>desserts</v>
      </c>
      <c r="V223" s="34" t="str">
        <f>V225</f>
        <v>Master recipe ► Enter the main recipe name</v>
      </c>
      <c r="W223" s="50">
        <v>18</v>
      </c>
      <c r="X223" s="51" t="s">
        <v>3275</v>
      </c>
      <c r="Y223" s="42"/>
      <c r="Z223" s="42"/>
      <c r="AA223" s="5477"/>
      <c r="AB223" s="5477"/>
      <c r="AC223" s="5477"/>
      <c r="AD223" s="46">
        <v>36</v>
      </c>
      <c r="AE223" s="5478" t="str">
        <f>X223</f>
        <v>desserts</v>
      </c>
      <c r="AF223" s="5479"/>
      <c r="AH223" s="27" t="s">
        <v>11</v>
      </c>
      <c r="AI223" s="32" t="str">
        <f>AI225</f>
        <v>N NOMBRE DE LA RECETA | | Autor &gt; USTED</v>
      </c>
      <c r="AJ223" s="33">
        <f>AJ225</f>
        <v>18</v>
      </c>
      <c r="AK223" s="33" t="str">
        <f>AK225</f>
        <v>postres</v>
      </c>
      <c r="AL223" s="34" t="str">
        <f>AL225</f>
        <v>Receta madre ► Introduzca el nombre de la receta principal</v>
      </c>
      <c r="AM223" s="50">
        <v>18</v>
      </c>
      <c r="AN223" s="51" t="s">
        <v>3349</v>
      </c>
      <c r="AO223" s="42"/>
      <c r="AP223" s="42"/>
      <c r="AQ223" s="5477"/>
      <c r="AR223" s="5477"/>
      <c r="AS223" s="5477"/>
      <c r="AT223" s="46">
        <v>36</v>
      </c>
      <c r="AU223" s="5478" t="str">
        <f>AN223</f>
        <v>postres</v>
      </c>
      <c r="AV223" s="5479"/>
      <c r="AX223" s="495"/>
      <c r="AY223" s="182" t="s">
        <v>191</v>
      </c>
      <c r="AZ223" s="183"/>
      <c r="BA223" s="1065" t="s">
        <v>192</v>
      </c>
      <c r="BB223" s="193">
        <f>AY226*AY224</f>
        <v>225</v>
      </c>
      <c r="BC223" s="9"/>
      <c r="BD223" s="41"/>
      <c r="BF223" s="495"/>
      <c r="BG223" s="605" t="s">
        <v>688</v>
      </c>
      <c r="BH223" s="183"/>
      <c r="BI223" s="5639" t="s">
        <v>689</v>
      </c>
      <c r="BJ223" s="5640"/>
      <c r="BK223" s="9"/>
      <c r="BL223" s="41"/>
      <c r="BN223" s="495"/>
      <c r="BO223" s="605" t="s">
        <v>690</v>
      </c>
      <c r="BP223" s="183"/>
      <c r="BQ223" s="5639" t="s">
        <v>691</v>
      </c>
      <c r="BR223" s="5640"/>
      <c r="BS223" s="9"/>
      <c r="BT223" s="41"/>
      <c r="BV223" s="3">
        <v>1</v>
      </c>
    </row>
    <row r="224" spans="2:74" ht="21" customHeight="1">
      <c r="B224" s="27" t="s">
        <v>16</v>
      </c>
      <c r="C224" s="32" t="str">
        <f>C225</f>
        <v>N NOM DE VOTRE RECETTE | | Auteur &gt; VOUS</v>
      </c>
      <c r="D224" s="33">
        <f>D225</f>
        <v>18</v>
      </c>
      <c r="E224" s="33" t="str">
        <f>E225</f>
        <v>desserts</v>
      </c>
      <c r="F224" s="34" t="str">
        <f>F225</f>
        <v>Recette mère ► Saisir le nom de la recette principale</v>
      </c>
      <c r="G224" s="56"/>
      <c r="H224" s="5165" t="s">
        <v>13098</v>
      </c>
      <c r="I224" s="5468">
        <f>O259/L224</f>
        <v>0</v>
      </c>
      <c r="J224" s="5468"/>
      <c r="K224" s="5054" t="str" cm="1">
        <f t="array" ref="K224">"1= "&amp;IF(OR(G223&lt;=0,I224=""),"",_xlfn.LET(_xlpm.kg,IF(ISNUMBER(I224),I224,VALEUR(SUBSTITUTE(SUBSTITUTE(SUBSTITUTE(LOWER(I224),"kg",""),",",".")," ",""))),TEXT(ROUND(_xlpm.kg*1000/G223,2),"0.##")&amp;" g"))</f>
        <v>1= 0. g</v>
      </c>
      <c r="L224" s="1490">
        <f>IFERROR(N223/G223,0)</f>
        <v>2</v>
      </c>
      <c r="M224" s="45"/>
      <c r="N224" s="5041" t="s">
        <v>50</v>
      </c>
      <c r="O224" s="5042">
        <f>O259</f>
        <v>0</v>
      </c>
      <c r="P224" s="5043"/>
      <c r="R224" s="27" t="s">
        <v>16</v>
      </c>
      <c r="S224" s="32"/>
      <c r="T224" s="33">
        <f>T225</f>
        <v>18</v>
      </c>
      <c r="U224" s="33" t="str">
        <f>U225</f>
        <v>desserts</v>
      </c>
      <c r="V224" s="34" t="str">
        <f>V225</f>
        <v>Master recipe ► Enter the main recipe name</v>
      </c>
      <c r="W224" s="56"/>
      <c r="X224" s="5165" t="s">
        <v>13100</v>
      </c>
      <c r="Y224" s="5468">
        <f>AE259/AB224</f>
        <v>0</v>
      </c>
      <c r="Z224" s="5468"/>
      <c r="AA224" s="5054" t="str" cm="1">
        <f t="array" ref="AA224">"1= "&amp;IF(OR(W223&lt;=0,Y224=""),"",_xlfn.LET(_xlpm.kg,IF(ISNUMBER(Y224),Y224,VALEUR(SUBSTITUTE(SUBSTITUTE(SUBSTITUTE(LOWER(Y224),"kg",""),",",".")," ",""))),TEXT(ROUND(_xlpm.kg*1000/W223,2),"0.##")&amp;" g"))</f>
        <v>1= 0. g</v>
      </c>
      <c r="AB224" s="1490">
        <f>IFERROR(AD223/W223,0)</f>
        <v>2</v>
      </c>
      <c r="AC224" s="45"/>
      <c r="AD224" s="5041" t="s">
        <v>153</v>
      </c>
      <c r="AE224" s="5042">
        <f>AE259</f>
        <v>0</v>
      </c>
      <c r="AF224" s="5043"/>
      <c r="AH224" s="27" t="s">
        <v>16</v>
      </c>
      <c r="AI224" s="32" t="str">
        <f>AI225</f>
        <v>N NOMBRE DE LA RECETA | | Autor &gt; USTED</v>
      </c>
      <c r="AJ224" s="33">
        <f>AJ225</f>
        <v>18</v>
      </c>
      <c r="AK224" s="33" t="str">
        <f>AK225</f>
        <v>postres</v>
      </c>
      <c r="AL224" s="34" t="str">
        <f>AL225</f>
        <v>Receta madre ► Introduzca el nombre de la receta principal</v>
      </c>
      <c r="AM224" s="56"/>
      <c r="AN224" s="5165" t="s">
        <v>13101</v>
      </c>
      <c r="AO224" s="5468">
        <f>AU259/AR224</f>
        <v>0</v>
      </c>
      <c r="AP224" s="5468"/>
      <c r="AQ224" s="5054" t="str" cm="1">
        <f t="array" ref="AQ224">"1= "&amp;IF(OR(AM223&lt;=0,AO224=""),"",_xlfn.LET(_xlpm.kg,IF(ISNUMBER(AO224),AO224,VALEUR(SUBSTITUTE(SUBSTITUTE(SUBSTITUTE(LOWER(AO224),"kg",""),",",".")," ",""))),TEXT(ROUND(_xlpm.kg*1000/AM223,2),"0.##")&amp;" g"))</f>
        <v>1= 0. g</v>
      </c>
      <c r="AR224" s="1490">
        <f>IFERROR(AT223/AM223,0)</f>
        <v>2</v>
      </c>
      <c r="AS224" s="45"/>
      <c r="AT224" s="5041" t="s">
        <v>248</v>
      </c>
      <c r="AU224" s="5042">
        <f>AU259</f>
        <v>0</v>
      </c>
      <c r="AV224" s="5043"/>
      <c r="AX224" s="495"/>
      <c r="AY224" s="184">
        <v>150</v>
      </c>
      <c r="AZ224" s="185" t="s">
        <v>193</v>
      </c>
      <c r="BA224" s="5641" t="s">
        <v>919</v>
      </c>
      <c r="BB224" s="5642"/>
      <c r="BC224" s="9"/>
      <c r="BD224" s="41"/>
      <c r="BF224" s="495"/>
      <c r="BG224" s="184">
        <v>100</v>
      </c>
      <c r="BH224" s="183"/>
      <c r="BI224" s="5641" t="s">
        <v>139</v>
      </c>
      <c r="BJ224" s="5676"/>
      <c r="BK224" s="9"/>
      <c r="BL224" s="41"/>
      <c r="BN224" s="495"/>
      <c r="BO224" s="184">
        <v>100</v>
      </c>
      <c r="BP224" s="183"/>
      <c r="BQ224" s="5641" t="s">
        <v>142</v>
      </c>
      <c r="BR224" s="5676"/>
      <c r="BS224" s="9"/>
      <c r="BT224" s="41"/>
      <c r="BV224" s="3">
        <v>1</v>
      </c>
    </row>
    <row r="225" spans="2:74" ht="21" customHeight="1">
      <c r="B225" s="64" t="s">
        <v>16</v>
      </c>
      <c r="C225" s="65" t="str">
        <f>G225</f>
        <v>N NOM DE VOTRE RECETTE | | Auteur &gt; VOUS</v>
      </c>
      <c r="D225" s="66">
        <f>G223</f>
        <v>18</v>
      </c>
      <c r="E225" s="65" t="str">
        <f>H223</f>
        <v>desserts</v>
      </c>
      <c r="F225" s="67" t="str">
        <f>L225&amp;" "&amp;M225</f>
        <v>Recette mère ► Saisir le nom de la recette principale</v>
      </c>
      <c r="G225" s="68" t="str">
        <f>UPPER(LEFT(H219,1))&amp;" "&amp;H219&amp;" | "&amp;O219&amp;"| "&amp;J221&amp;" "&amp;K221</f>
        <v>N NOM DE VOTRE RECETTE | | Auteur &gt; VOUS</v>
      </c>
      <c r="H225" s="69" t="s">
        <v>54</v>
      </c>
      <c r="I225" s="5469" t="s">
        <v>55</v>
      </c>
      <c r="J225" s="5469"/>
      <c r="K225" s="5469"/>
      <c r="L225" s="70" t="str">
        <f>IF(ISTEXT(M225),"Recette mère ►",H225)</f>
        <v>Recette mère ►</v>
      </c>
      <c r="M225" s="71" t="s">
        <v>3310</v>
      </c>
      <c r="N225" s="71"/>
      <c r="O225" s="72"/>
      <c r="P225" s="1473"/>
      <c r="R225" s="64" t="s">
        <v>16</v>
      </c>
      <c r="S225" s="65" t="str">
        <f>W225</f>
        <v>N NAME OF YOUR RECIPE | |  Author &gt; YOU</v>
      </c>
      <c r="T225" s="66">
        <f>W223</f>
        <v>18</v>
      </c>
      <c r="U225" s="65" t="str">
        <f>X223</f>
        <v>desserts</v>
      </c>
      <c r="V225" s="67" t="str">
        <f>AB225&amp;" "&amp;AC225</f>
        <v>Master recipe ► Enter the main recipe name</v>
      </c>
      <c r="W225" s="68" t="str">
        <f>UPPER(LEFT(X219,1))&amp;" "&amp;X219&amp;" | "&amp;AE219&amp;"| "&amp;Z221&amp;" "&amp;AA221</f>
        <v>N NAME OF YOUR RECIPE | |  Author &gt; YOU</v>
      </c>
      <c r="X225" s="69" t="s">
        <v>3315</v>
      </c>
      <c r="Y225" s="5469" t="s">
        <v>3316</v>
      </c>
      <c r="Z225" s="5469"/>
      <c r="AA225" s="5469"/>
      <c r="AB225" s="70" t="str">
        <f>IF(ISTEXT(AC225),"Master recipe ►",X225)</f>
        <v>Master recipe ►</v>
      </c>
      <c r="AC225" s="71" t="s">
        <v>3317</v>
      </c>
      <c r="AD225" s="71"/>
      <c r="AE225" s="72"/>
      <c r="AF225" s="1473"/>
      <c r="AH225" s="64" t="s">
        <v>16</v>
      </c>
      <c r="AI225" s="65" t="str">
        <f>AM225</f>
        <v>N NOMBRE DE LA RECETA | | Autor &gt; USTED</v>
      </c>
      <c r="AJ225" s="66">
        <f>AM223</f>
        <v>18</v>
      </c>
      <c r="AK225" s="65" t="str">
        <f>AN223</f>
        <v>postres</v>
      </c>
      <c r="AL225" s="67" t="str">
        <f>AR225&amp;" "&amp;AS225</f>
        <v>Receta madre ► Introduzca el nombre de la receta principal</v>
      </c>
      <c r="AM225" s="68" t="str">
        <f>UPPER(LEFT(AN219,1))&amp;" "&amp;AN219&amp;" | "&amp;AU219&amp;"| "&amp;AP221&amp;" "&amp;AQ221</f>
        <v>N NOMBRE DE LA RECETA | | Autor &gt; USTED</v>
      </c>
      <c r="AN225" s="69" t="s">
        <v>3319</v>
      </c>
      <c r="AO225" s="5469" t="s">
        <v>906</v>
      </c>
      <c r="AP225" s="5469"/>
      <c r="AQ225" s="5469"/>
      <c r="AR225" s="70" t="str">
        <f>IF(ISTEXT(AS225),"Receta madre ►",AN225)</f>
        <v>Receta madre ►</v>
      </c>
      <c r="AS225" s="71" t="s">
        <v>3318</v>
      </c>
      <c r="AT225" s="71"/>
      <c r="AU225" s="72"/>
      <c r="AV225" s="1473"/>
      <c r="AX225" s="495"/>
      <c r="AY225" s="5660" t="s">
        <v>430</v>
      </c>
      <c r="AZ225" s="5661"/>
      <c r="BA225" s="1067" t="s">
        <v>1845</v>
      </c>
      <c r="BB225" s="189"/>
      <c r="BC225" s="9"/>
      <c r="BD225" s="41"/>
      <c r="BF225" s="495"/>
      <c r="BG225" s="5662" t="s">
        <v>693</v>
      </c>
      <c r="BH225" s="5663"/>
      <c r="BI225" s="188" t="s">
        <v>694</v>
      </c>
      <c r="BJ225" s="606"/>
      <c r="BK225" s="9"/>
      <c r="BL225" s="41"/>
      <c r="BN225" s="495"/>
      <c r="BO225" s="5662" t="s">
        <v>693</v>
      </c>
      <c r="BP225" s="5663"/>
      <c r="BQ225" s="188" t="s">
        <v>695</v>
      </c>
      <c r="BR225" s="606"/>
      <c r="BS225" s="9"/>
      <c r="BT225" s="41"/>
      <c r="BV225" s="3">
        <v>1</v>
      </c>
    </row>
    <row r="226" spans="2:74" ht="21" customHeight="1">
      <c r="B226" s="74" t="s">
        <v>16</v>
      </c>
      <c r="C226" s="75" t="str">
        <f>C225</f>
        <v>N NOM DE VOTRE RECETTE | | Auteur &gt; VOUS</v>
      </c>
      <c r="D226" s="75">
        <f>D225</f>
        <v>18</v>
      </c>
      <c r="E226" s="75" t="str">
        <f>E225</f>
        <v>desserts</v>
      </c>
      <c r="F226" s="76" t="str">
        <f>F225</f>
        <v>Recette mère ► Saisir le nom de la recette principale</v>
      </c>
      <c r="G226" s="13" t="s">
        <v>66</v>
      </c>
      <c r="H226" s="13" t="s">
        <v>67</v>
      </c>
      <c r="I226" s="13" t="s">
        <v>68</v>
      </c>
      <c r="J226" s="13" t="s">
        <v>69</v>
      </c>
      <c r="K226" s="77" t="s">
        <v>70</v>
      </c>
      <c r="L226" s="78" t="s">
        <v>71</v>
      </c>
      <c r="M226" s="79" t="s">
        <v>72</v>
      </c>
      <c r="N226" s="1496" t="s">
        <v>73</v>
      </c>
      <c r="O226" s="13" t="s">
        <v>74</v>
      </c>
      <c r="P226" s="518" t="s">
        <v>75</v>
      </c>
      <c r="R226" s="74" t="s">
        <v>16</v>
      </c>
      <c r="S226" s="75" t="str">
        <f>S225</f>
        <v>N NAME OF YOUR RECIPE | |  Author &gt; YOU</v>
      </c>
      <c r="T226" s="75">
        <f>T225</f>
        <v>18</v>
      </c>
      <c r="U226" s="75" t="str">
        <f>U225</f>
        <v>desserts</v>
      </c>
      <c r="V226" s="76" t="str">
        <f>V225</f>
        <v>Master recipe ► Enter the main recipe name</v>
      </c>
      <c r="W226" s="13" t="s">
        <v>66</v>
      </c>
      <c r="X226" s="13" t="s">
        <v>67</v>
      </c>
      <c r="Y226" s="13" t="s">
        <v>68</v>
      </c>
      <c r="Z226" s="13" t="s">
        <v>69</v>
      </c>
      <c r="AA226" s="77" t="s">
        <v>70</v>
      </c>
      <c r="AB226" s="78" t="s">
        <v>71</v>
      </c>
      <c r="AC226" s="79" t="s">
        <v>72</v>
      </c>
      <c r="AD226" s="1496" t="s">
        <v>73</v>
      </c>
      <c r="AE226" s="13" t="s">
        <v>75</v>
      </c>
      <c r="AF226" s="518" t="s">
        <v>76</v>
      </c>
      <c r="AH226" s="74" t="s">
        <v>16</v>
      </c>
      <c r="AI226" s="75" t="str">
        <f>AI225</f>
        <v>N NOMBRE DE LA RECETA | | Autor &gt; USTED</v>
      </c>
      <c r="AJ226" s="75">
        <f>AJ225</f>
        <v>18</v>
      </c>
      <c r="AK226" s="75" t="str">
        <f>AK225</f>
        <v>postres</v>
      </c>
      <c r="AL226" s="76" t="str">
        <f>AL225</f>
        <v>Receta madre ► Introduzca el nombre de la receta principal</v>
      </c>
      <c r="AM226" s="13" t="s">
        <v>66</v>
      </c>
      <c r="AN226" s="13" t="s">
        <v>67</v>
      </c>
      <c r="AO226" s="13" t="s">
        <v>68</v>
      </c>
      <c r="AP226" s="13" t="s">
        <v>69</v>
      </c>
      <c r="AQ226" s="77" t="s">
        <v>70</v>
      </c>
      <c r="AR226" s="78" t="s">
        <v>71</v>
      </c>
      <c r="AS226" s="79" t="s">
        <v>72</v>
      </c>
      <c r="AT226" s="1496" t="s">
        <v>73</v>
      </c>
      <c r="AU226" s="13" t="s">
        <v>74</v>
      </c>
      <c r="AV226" s="518" t="s">
        <v>75</v>
      </c>
      <c r="AX226" s="495"/>
      <c r="AY226" s="190">
        <v>1.5</v>
      </c>
      <c r="AZ226" s="191" t="str">
        <f>"&lt; Nb de "&amp;BA224&amp;" par personne "</f>
        <v xml:space="preserve">&lt; Nb de tranches par personne </v>
      </c>
      <c r="BA226" s="192"/>
      <c r="BB226" s="670"/>
      <c r="BC226" s="9"/>
      <c r="BD226" s="41"/>
      <c r="BF226" s="495"/>
      <c r="BG226" s="190">
        <v>1</v>
      </c>
      <c r="BH226" s="607" t="s">
        <v>697</v>
      </c>
      <c r="BI226" s="192"/>
      <c r="BJ226" s="608">
        <f>BG226*BG224</f>
        <v>100</v>
      </c>
      <c r="BK226" s="9"/>
      <c r="BL226" s="41"/>
      <c r="BN226" s="495"/>
      <c r="BO226" s="190">
        <v>1</v>
      </c>
      <c r="BP226" s="607" t="s">
        <v>698</v>
      </c>
      <c r="BQ226" s="192"/>
      <c r="BR226" s="608">
        <f>BO226*BO224</f>
        <v>100</v>
      </c>
      <c r="BS226" s="9"/>
      <c r="BT226" s="41"/>
      <c r="BV226" s="3">
        <v>1</v>
      </c>
    </row>
    <row r="227" spans="2:74" ht="21" customHeight="1">
      <c r="B227" s="27" t="s">
        <v>11</v>
      </c>
      <c r="C227" s="32" t="str">
        <f>C225</f>
        <v>N NOM DE VOTRE RECETTE | | Auteur &gt; VOUS</v>
      </c>
      <c r="D227" s="33">
        <f>D225</f>
        <v>18</v>
      </c>
      <c r="E227" s="32" t="str">
        <f>E225</f>
        <v>desserts</v>
      </c>
      <c r="F227" s="34" t="str">
        <f>F225</f>
        <v>Recette mère ► Saisir le nom de la recette principale</v>
      </c>
      <c r="G227" s="81" t="s">
        <v>77</v>
      </c>
      <c r="H227" s="82" t="s">
        <v>78</v>
      </c>
      <c r="I227" s="83"/>
      <c r="J227" s="5454" t="s">
        <v>79</v>
      </c>
      <c r="K227" s="5464" t="s">
        <v>80</v>
      </c>
      <c r="L227" s="5466" t="s">
        <v>81</v>
      </c>
      <c r="M227" s="84" t="s">
        <v>82</v>
      </c>
      <c r="N227" s="5444" t="s">
        <v>83</v>
      </c>
      <c r="O227" s="5446" t="s">
        <v>3297</v>
      </c>
      <c r="P227" s="5448" t="s">
        <v>86</v>
      </c>
      <c r="R227" s="27" t="s">
        <v>11</v>
      </c>
      <c r="S227" s="32" t="str">
        <f>S225</f>
        <v>N NAME OF YOUR RECIPE | |  Author &gt; YOU</v>
      </c>
      <c r="T227" s="33">
        <f>T225</f>
        <v>18</v>
      </c>
      <c r="U227" s="32" t="str">
        <f>U225</f>
        <v>desserts</v>
      </c>
      <c r="V227" s="34" t="str">
        <f>V225</f>
        <v>Master recipe ► Enter the main recipe name</v>
      </c>
      <c r="W227" s="81" t="s">
        <v>77</v>
      </c>
      <c r="X227" s="82" t="s">
        <v>78</v>
      </c>
      <c r="Y227" s="83"/>
      <c r="Z227" s="5454" t="s">
        <v>228</v>
      </c>
      <c r="AA227" s="5464" t="s">
        <v>80</v>
      </c>
      <c r="AB227" s="5466" t="s">
        <v>81</v>
      </c>
      <c r="AC227" s="84" t="s">
        <v>82</v>
      </c>
      <c r="AD227" s="5444" t="s">
        <v>244</v>
      </c>
      <c r="AE227" s="5446" t="s">
        <v>890</v>
      </c>
      <c r="AF227" s="5448" t="s">
        <v>247</v>
      </c>
      <c r="AH227" s="27" t="s">
        <v>11</v>
      </c>
      <c r="AI227" s="32" t="str">
        <f>AI225</f>
        <v>N NOMBRE DE LA RECETA | | Autor &gt; USTED</v>
      </c>
      <c r="AJ227" s="33">
        <f>AJ225</f>
        <v>18</v>
      </c>
      <c r="AK227" s="32" t="str">
        <f>AK225</f>
        <v>postres</v>
      </c>
      <c r="AL227" s="34" t="str">
        <f>AL225</f>
        <v>Receta madre ► Introduzca el nombre de la receta principal</v>
      </c>
      <c r="AM227" s="81" t="s">
        <v>77</v>
      </c>
      <c r="AN227" s="82" t="s">
        <v>78</v>
      </c>
      <c r="AO227" s="83"/>
      <c r="AP227" s="5470" t="s">
        <v>229</v>
      </c>
      <c r="AQ227" s="5495" t="s">
        <v>80</v>
      </c>
      <c r="AR227" s="5481" t="s">
        <v>396</v>
      </c>
      <c r="AS227" s="84" t="s">
        <v>82</v>
      </c>
      <c r="AT227" s="5444" t="s">
        <v>249</v>
      </c>
      <c r="AU227" s="5446" t="s">
        <v>907</v>
      </c>
      <c r="AV227" s="5448" t="s">
        <v>252</v>
      </c>
      <c r="AX227" s="495"/>
      <c r="AY227" s="194">
        <v>27</v>
      </c>
      <c r="AZ227" s="191" t="str">
        <f>"&lt; Nb "&amp;BA224&amp;" dans 1 " &amp;AY225</f>
        <v>&lt; Nb tranches dans 1 Gastro 1/1</v>
      </c>
      <c r="BA227" s="195"/>
      <c r="BB227" s="193"/>
      <c r="BC227" s="9"/>
      <c r="BD227" s="41"/>
      <c r="BF227" s="495"/>
      <c r="BG227" s="194">
        <v>12</v>
      </c>
      <c r="BH227" s="191" t="str">
        <f>"&lt; Nb "&amp;BI224&amp;" dans 1 " &amp;BG225</f>
        <v>&lt; Nb plates dans 1 GN 1/1</v>
      </c>
      <c r="BI227" s="195"/>
      <c r="BJ227" s="608"/>
      <c r="BK227" s="9"/>
      <c r="BL227" s="41"/>
      <c r="BN227" s="495"/>
      <c r="BO227" s="194">
        <v>12</v>
      </c>
      <c r="BP227" s="191" t="str">
        <f>"&lt; Nb "&amp;BQ224&amp;" dans 1 " &amp;BO225</f>
        <v>&lt; Nb platos dans 1 GN 1/1</v>
      </c>
      <c r="BQ227" s="195"/>
      <c r="BR227" s="608"/>
      <c r="BS227" s="9"/>
      <c r="BT227" s="41"/>
      <c r="BV227" s="3">
        <v>1</v>
      </c>
    </row>
    <row r="228" spans="2:74" ht="21" customHeight="1">
      <c r="B228" s="27" t="s">
        <v>11</v>
      </c>
      <c r="C228" s="32" t="str">
        <f>C225</f>
        <v>N NOM DE VOTRE RECETTE | | Auteur &gt; VOUS</v>
      </c>
      <c r="D228" s="33">
        <f>D225</f>
        <v>18</v>
      </c>
      <c r="E228" s="32" t="str">
        <f>E225</f>
        <v>desserts</v>
      </c>
      <c r="F228" s="34" t="str">
        <f>F225</f>
        <v>Recette mère ► Saisir le nom de la recette principale</v>
      </c>
      <c r="G228" s="87" t="s">
        <v>91</v>
      </c>
      <c r="H228" s="88" t="s">
        <v>92</v>
      </c>
      <c r="I228" s="89" t="s">
        <v>93</v>
      </c>
      <c r="J228" s="5455"/>
      <c r="K228" s="5465"/>
      <c r="L228" s="5467"/>
      <c r="M228" s="90" t="s">
        <v>94</v>
      </c>
      <c r="N228" s="5445"/>
      <c r="O228" s="5447"/>
      <c r="P228" s="5449"/>
      <c r="R228" s="27" t="s">
        <v>11</v>
      </c>
      <c r="S228" s="32" t="str">
        <f>S225</f>
        <v>N NAME OF YOUR RECIPE | |  Author &gt; YOU</v>
      </c>
      <c r="T228" s="33">
        <f>T225</f>
        <v>18</v>
      </c>
      <c r="U228" s="32" t="str">
        <f>U225</f>
        <v>desserts</v>
      </c>
      <c r="V228" s="34" t="str">
        <f>V225</f>
        <v>Master recipe ► Enter the main recipe name</v>
      </c>
      <c r="W228" s="87" t="s">
        <v>231</v>
      </c>
      <c r="X228" s="88" t="s">
        <v>232</v>
      </c>
      <c r="Y228" s="89" t="s">
        <v>891</v>
      </c>
      <c r="Z228" s="5455"/>
      <c r="AA228" s="5465"/>
      <c r="AB228" s="5467"/>
      <c r="AC228" s="90" t="s">
        <v>867</v>
      </c>
      <c r="AD228" s="5445"/>
      <c r="AE228" s="5447"/>
      <c r="AF228" s="5449"/>
      <c r="AH228" s="27" t="s">
        <v>11</v>
      </c>
      <c r="AI228" s="32" t="str">
        <f>AI225</f>
        <v>N NOMBRE DE LA RECETA | | Autor &gt; USTED</v>
      </c>
      <c r="AJ228" s="33">
        <f>AJ225</f>
        <v>18</v>
      </c>
      <c r="AK228" s="32" t="str">
        <f>AK225</f>
        <v>postres</v>
      </c>
      <c r="AL228" s="34" t="str">
        <f>AL225</f>
        <v>Receta madre ► Introduzca el nombre de la receta principal</v>
      </c>
      <c r="AM228" s="87" t="s">
        <v>234</v>
      </c>
      <c r="AN228" s="88" t="s">
        <v>235</v>
      </c>
      <c r="AO228" s="89" t="s">
        <v>93</v>
      </c>
      <c r="AP228" s="5455"/>
      <c r="AQ228" s="5465"/>
      <c r="AR228" s="5467"/>
      <c r="AS228" s="90" t="s">
        <v>869</v>
      </c>
      <c r="AT228" s="5445"/>
      <c r="AU228" s="5447"/>
      <c r="AV228" s="5449"/>
      <c r="AX228" s="495"/>
      <c r="AY228" s="5664" t="str">
        <f>IF(OR(AY227="",BB223=0),"",INT(BB223/AY227) &amp; " " &amp; AY225 &amp; " de " &amp; AY227 &amp; " " &amp; BA224 &amp; IF(MOD(BB223,AY227)&gt;0," + 1 " &amp; AY225 &amp; " de " &amp; TEXT(MOD(BB223,AY227),"0.00") &amp; " " &amp; BA224,""))</f>
        <v>8 Gastro 1/1 de 27 tranches + 1 Gastro 1/1 de 9.00 tranches</v>
      </c>
      <c r="AZ228" s="5665"/>
      <c r="BA228" s="5665"/>
      <c r="BB228" s="5666"/>
      <c r="BC228" s="9"/>
      <c r="BD228" s="41"/>
      <c r="BF228" s="495"/>
      <c r="BG228" s="5670" t="str">
        <f>IF(OR(BG227="",BJ226=0),"",INT(BJ226/BG227) &amp; " " &amp; BG225 &amp; " de " &amp; BG227 &amp; " " &amp; BI224 &amp; IF(MOD(BJ226,BG227)&gt;0," + 1 " &amp; BG225 &amp; " de " &amp; TEXT(MOD(BJ226,BG227),"0.00") &amp; " " &amp; BI224,""))</f>
        <v>8 GN 1/1 de 12 plates + 1 GN 1/1 de 4.00 plates</v>
      </c>
      <c r="BH228" s="5671"/>
      <c r="BI228" s="5671"/>
      <c r="BJ228" s="5672"/>
      <c r="BK228" s="9"/>
      <c r="BL228" s="41"/>
      <c r="BN228" s="495"/>
      <c r="BO228" s="5670" t="str">
        <f>IF(OR(BO227="",BR226=0),"",INT(BR226/BO227) &amp; " " &amp; BO225 &amp; " de " &amp; BO227 &amp; " " &amp; BQ224 &amp; IF(MOD(BR226,BO227)&gt;0," + 1 " &amp; BO225 &amp; " de " &amp; TEXT(MOD(BR226,BO227),"0.00") &amp; " " &amp; BQ224,""))</f>
        <v>8 GN 1/1 de 12 platos + 1 GN 1/1 de 4.00 platos</v>
      </c>
      <c r="BP228" s="5671"/>
      <c r="BQ228" s="5671"/>
      <c r="BR228" s="5672"/>
      <c r="BS228" s="9"/>
      <c r="BT228" s="41"/>
      <c r="BV228" s="3">
        <v>1</v>
      </c>
    </row>
    <row r="229" spans="2:74" ht="21" customHeight="1">
      <c r="B229" s="27" t="s">
        <v>11</v>
      </c>
      <c r="C229" s="32" t="str">
        <f>C225</f>
        <v>N NOM DE VOTRE RECETTE | | Auteur &gt; VOUS</v>
      </c>
      <c r="D229" s="33">
        <f>D225</f>
        <v>18</v>
      </c>
      <c r="E229" s="32" t="str">
        <f>E225</f>
        <v>desserts</v>
      </c>
      <c r="F229" s="34" t="str">
        <f>F225</f>
        <v>Recette mère ► Saisir le nom de la recette principale</v>
      </c>
      <c r="G229" s="92"/>
      <c r="H229" s="93"/>
      <c r="I229" s="94" t="str">
        <f t="shared" ref="I229:I258" si="35">IF(OR(ISTEXT(G229), G229&lt;=0, J229&lt;=0), "", "de")</f>
        <v/>
      </c>
      <c r="J229" s="95"/>
      <c r="K229" s="126"/>
      <c r="L229" s="127">
        <v>1</v>
      </c>
      <c r="M229" s="919"/>
      <c r="N229" s="100">
        <f>IF(OR(ISBLANK(G223),N223=0),0,G229*L224)</f>
        <v>0</v>
      </c>
      <c r="O229" s="101" cm="1">
        <f t="array" ref="O229">IFERROR(_xlfn.LET(_xlpm.k,UPPER(TRIM(K229)),_xlpm.r,_xlfn.XLOOKUP(_xlpm.k,UPPER(TRIM(G260:P260)),G261:P261,_xlfn.XLOOKUP(_xlpm.k,UPPER(TRIM(G262:P262)),G263:P263)),_xlpm.r*J229*L229*L224*IF(ISBLANK(G229),1,G229)),0)</f>
        <v>0</v>
      </c>
      <c r="P229" s="1476" t="str">
        <f>_xlfn.LET(_xlpm.unite,SUBSTITUTE(TRIM(K229)," (s)",""),_xlpm.val,O229,_xlpm.estVol,COUNTIF(J260:P260,_xlpm.unite)+COUNTIF(J262:P262,_xlpm.unite)&gt;0,_xlpm.estPoids,COUNTIF(G260:I260,_xlpm.unite)+COUNTIF(G262:I262,_xlpm.unite)&gt;0,IF(_xlpm.estVol,IF(ROUND(_xlpm.val,3)&gt;=1,ROUND(_xlpm.val,3)&amp;" L",MAX(1,ROUND(_xlpm.val*100,0))&amp;" cl"),IF(_xlpm.estPoids,IF(ROUND(_xlpm.val,3)&gt;=1,ROUND(_xlpm.val,3)&amp;" Kg",MAX(1,ROUND(_xlpm.val*1000,0))&amp;" g"),"")))</f>
        <v/>
      </c>
      <c r="R229" s="27" t="s">
        <v>11</v>
      </c>
      <c r="S229" s="32" t="str">
        <f>S225</f>
        <v>N NAME OF YOUR RECIPE | |  Author &gt; YOU</v>
      </c>
      <c r="T229" s="33">
        <f>T225</f>
        <v>18</v>
      </c>
      <c r="U229" s="32" t="str">
        <f>U225</f>
        <v>desserts</v>
      </c>
      <c r="V229" s="34" t="str">
        <f>V225</f>
        <v>Master recipe ► Enter the main recipe name</v>
      </c>
      <c r="W229" s="92"/>
      <c r="X229" s="93"/>
      <c r="Y229" s="94" t="str">
        <f t="shared" ref="Y229:Y258" si="36">IF(OR(ISTEXT(W229), W229&lt;=0, Z229&lt;=0), "", "of")</f>
        <v/>
      </c>
      <c r="Z229" s="95"/>
      <c r="AA229" s="126"/>
      <c r="AB229" s="127">
        <v>1</v>
      </c>
      <c r="AC229" s="919"/>
      <c r="AD229" s="100">
        <f>IF(OR(ISBLANK(W223),AD223=0),0,W229*AB224)</f>
        <v>0</v>
      </c>
      <c r="AE229" s="101" cm="1">
        <f t="array" ref="AE229">IFERROR(_xlfn.LET(_xlpm.k,UPPER(TRIM(AA229)),_xlpm.r,_xlfn.XLOOKUP(_xlpm.k,UPPER(TRIM(W260:AF260)),W261:AF261,_xlfn.XLOOKUP(_xlpm.k,UPPER(TRIM(W262:AF262)),W263:AF263)),_xlpm.r*Z229*AB229*AB224*IF(ISBLANK(W229),1,W229)),0)</f>
        <v>0</v>
      </c>
      <c r="AF229" s="1476" t="str">
        <f>_xlfn.LET(_xlpm.unite,SUBSTITUTE(TRIM(AA229)," (s)",""),_xlpm.val,AE229,_xlpm.estVol,COUNTIF(Z260:AF260,_xlpm.unite)+COUNTIF(Z262:AF262,_xlpm.unite)&gt;0,_xlpm.estPoids,COUNTIF(W260:Y260,_xlpm.unite)+COUNTIF(W262:Y262,_xlpm.unite)&gt;0,IF(_xlpm.estVol,IF(ROUND(_xlpm.val,3)&gt;=1,ROUND(_xlpm.val,3)&amp;" L",MAX(1,ROUND(_xlpm.val*100,0))&amp;" cl"),IF(_xlpm.estPoids,IF(ROUND(_xlpm.val,3)&gt;=1,ROUND(_xlpm.val,3)&amp;" Kg",MAX(1,ROUND(_xlpm.val*1000,0))&amp;" g"),"")))</f>
        <v/>
      </c>
      <c r="AH229" s="27" t="s">
        <v>11</v>
      </c>
      <c r="AI229" s="32" t="str">
        <f>AI225</f>
        <v>N NOMBRE DE LA RECETA | | Autor &gt; USTED</v>
      </c>
      <c r="AJ229" s="33">
        <f>AJ225</f>
        <v>18</v>
      </c>
      <c r="AK229" s="32" t="str">
        <f>AK225</f>
        <v>postres</v>
      </c>
      <c r="AL229" s="34" t="str">
        <f>AL225</f>
        <v>Receta madre ► Introduzca el nombre de la receta principal</v>
      </c>
      <c r="AM229" s="92"/>
      <c r="AN229" s="93"/>
      <c r="AO229" s="94" t="str">
        <f t="shared" ref="AO229:AO258" si="37">IF(OR(ISTEXT(AM229), AM229&lt;=0, AP229&lt;=0), "", "de")</f>
        <v/>
      </c>
      <c r="AP229" s="95"/>
      <c r="AQ229" s="126"/>
      <c r="AR229" s="127">
        <v>1</v>
      </c>
      <c r="AS229" s="919"/>
      <c r="AT229" s="100">
        <f>IF(OR(ISBLANK(AM223),AT223=0),0,AM229*AR224)</f>
        <v>0</v>
      </c>
      <c r="AU229" s="101" cm="1">
        <f t="array" ref="AU229">IFERROR(_xlfn.LET(_xlpm.k,UPPER(TRIM(AQ229)),_xlpm.r,_xlfn.XLOOKUP(_xlpm.k,UPPER(TRIM(AM260:AV260)),AM261:AV261,_xlfn.XLOOKUP(_xlpm.k,UPPER(TRIM(AM262:AV262)),AM263:AV263)),_xlpm.r*AP229*AR229*AR224*IF(ISBLANK(AM229),1,AM229)),0)</f>
        <v>0</v>
      </c>
      <c r="AV229" s="1476" t="str">
        <f>_xlfn.LET(_xlpm.unite,SUBSTITUTE(TRIM(AQ229)," (s)",""),_xlpm.val,AU229,_xlpm.estVol,COUNTIF(AP260:AV260,_xlpm.unite)+COUNTIF(AP262:AV262,_xlpm.unite)&gt;0,_xlpm.estPoids,COUNTIF(AM260:AO260,_xlpm.unite)+COUNTIF(AM262:AO262,_xlpm.unite)&gt;0,IF(_xlpm.estVol,IF(ROUND(_xlpm.val,3)&gt;=1,ROUND(_xlpm.val,3)&amp;" L",MAX(1,ROUND(_xlpm.val*100,0))&amp;" cl"),IF(_xlpm.estPoids,IF(ROUND(_xlpm.val,3)&gt;=1,ROUND(_xlpm.val,3)&amp;" Kg",MAX(1,ROUND(_xlpm.val*1000,0))&amp;" g"),"")))</f>
        <v/>
      </c>
      <c r="AX229" s="495"/>
      <c r="AY229" s="5667"/>
      <c r="AZ229" s="5668"/>
      <c r="BA229" s="5668"/>
      <c r="BB229" s="5669"/>
      <c r="BC229" s="9"/>
      <c r="BD229" s="41"/>
      <c r="BF229" s="495"/>
      <c r="BG229" s="5673"/>
      <c r="BH229" s="5674"/>
      <c r="BI229" s="5674"/>
      <c r="BJ229" s="5675"/>
      <c r="BK229" s="9"/>
      <c r="BL229" s="41"/>
      <c r="BN229" s="495"/>
      <c r="BO229" s="5673"/>
      <c r="BP229" s="5674"/>
      <c r="BQ229" s="5674"/>
      <c r="BR229" s="5675"/>
      <c r="BS229" s="9"/>
      <c r="BT229" s="41"/>
      <c r="BV229" s="3">
        <v>1</v>
      </c>
    </row>
    <row r="230" spans="2:74" ht="21" customHeight="1">
      <c r="B230" s="104" t="str">
        <f t="shared" ref="B230:B258" si="38">IF(M230&lt;&gt;"","A","►")</f>
        <v>►</v>
      </c>
      <c r="C230" s="32" t="str">
        <f>C225</f>
        <v>N NOM DE VOTRE RECETTE | | Auteur &gt; VOUS</v>
      </c>
      <c r="D230" s="33">
        <f>D225</f>
        <v>18</v>
      </c>
      <c r="E230" s="32" t="str">
        <f>E225</f>
        <v>desserts</v>
      </c>
      <c r="F230" s="34" t="str">
        <f>F225</f>
        <v>Recette mère ► Saisir le nom de la recette principale</v>
      </c>
      <c r="G230" s="92"/>
      <c r="H230" s="93"/>
      <c r="I230" s="94" t="str">
        <f t="shared" si="35"/>
        <v/>
      </c>
      <c r="J230" s="95"/>
      <c r="K230" s="126"/>
      <c r="L230" s="127">
        <v>1</v>
      </c>
      <c r="M230" s="920"/>
      <c r="N230" s="1495">
        <f>IF(OR(ISBLANK(G223),N223=0),0,G230*L224)</f>
        <v>0</v>
      </c>
      <c r="O230" s="101" cm="1">
        <f t="array" ref="O230">IFERROR(_xlfn.LET(_xlpm.k,UPPER(TRIM(K230)),_xlpm.r,_xlfn.XLOOKUP(_xlpm.k,UPPER(TRIM(G260:P260)),G261:P261,_xlfn.XLOOKUP(_xlpm.k,UPPER(TRIM(G262:P262)),G263:P263)),_xlpm.r*J230*L230*L224*IF(ISBLANK(G230),1,G230)),0)</f>
        <v>0</v>
      </c>
      <c r="P230" s="1475" t="str">
        <f>_xlfn.LET(_xlpm.unite,SUBSTITUTE(TRIM(K230)," (s)",""),_xlpm.val,O230,_xlpm.estVol,COUNTIF(J260:P260,_xlpm.unite)+COUNTIF(J262:P262,_xlpm.unite)&gt;0,_xlpm.estPoids,COUNTIF(G260:I260,_xlpm.unite)+COUNTIF(G262:I262,_xlpm.unite)&gt;0,IF(_xlpm.estVol,IF(ROUND(_xlpm.val,3)&gt;=1,ROUND(_xlpm.val,3)&amp;" L",MAX(1,ROUND(_xlpm.val*100,0))&amp;" cl"),IF(_xlpm.estPoids,IF(ROUND(_xlpm.val,3)&gt;=1,ROUND(_xlpm.val,3)&amp;" Kg",MAX(1,ROUND(_xlpm.val*1000,0))&amp;" g"),"")))</f>
        <v/>
      </c>
      <c r="R230" s="104" t="str">
        <f t="shared" ref="R230:R258" si="39">IF(AC230&lt;&gt;"","A","►")</f>
        <v>►</v>
      </c>
      <c r="S230" s="32" t="str">
        <f>S225</f>
        <v>N NAME OF YOUR RECIPE | |  Author &gt; YOU</v>
      </c>
      <c r="T230" s="33">
        <f>T225</f>
        <v>18</v>
      </c>
      <c r="U230" s="32" t="str">
        <f>U225</f>
        <v>desserts</v>
      </c>
      <c r="V230" s="34" t="str">
        <f>V225</f>
        <v>Master recipe ► Enter the main recipe name</v>
      </c>
      <c r="W230" s="92"/>
      <c r="X230" s="93"/>
      <c r="Y230" s="94" t="str">
        <f t="shared" si="36"/>
        <v/>
      </c>
      <c r="Z230" s="95"/>
      <c r="AA230" s="126"/>
      <c r="AB230" s="127">
        <v>1</v>
      </c>
      <c r="AC230" s="920"/>
      <c r="AD230" s="1495">
        <f>IF(OR(ISBLANK(W223),AD223=0),0,W230*AB224)</f>
        <v>0</v>
      </c>
      <c r="AE230" s="101" cm="1">
        <f t="array" ref="AE230">IFERROR(_xlfn.LET(_xlpm.k,UPPER(TRIM(AA230)),_xlpm.r,_xlfn.XLOOKUP(_xlpm.k,UPPER(TRIM(W260:AF260)),W261:AF261,_xlfn.XLOOKUP(_xlpm.k,UPPER(TRIM(W262:AF262)),W263:AF263)),_xlpm.r*Z230*AB230*AB224*IF(ISBLANK(W230),1,W230)),0)</f>
        <v>0</v>
      </c>
      <c r="AF230" s="1475" t="str">
        <f>_xlfn.LET(_xlpm.unite,SUBSTITUTE(TRIM(AA230)," (s)",""),_xlpm.val,AE230,_xlpm.estVol,COUNTIF(Z260:AF260,_xlpm.unite)+COUNTIF(Z262:AF262,_xlpm.unite)&gt;0,_xlpm.estPoids,COUNTIF(W260:Y260,_xlpm.unite)+COUNTIF(W262:Y262,_xlpm.unite)&gt;0,IF(_xlpm.estVol,IF(ROUND(_xlpm.val,3)&gt;=1,ROUND(_xlpm.val,3)&amp;" L",MAX(1,ROUND(_xlpm.val*100,0))&amp;" cl"),IF(_xlpm.estPoids,IF(ROUND(_xlpm.val,3)&gt;=1,ROUND(_xlpm.val,3)&amp;" Kg",MAX(1,ROUND(_xlpm.val*1000,0))&amp;" g"),"")))</f>
        <v/>
      </c>
      <c r="AH230" s="104" t="str">
        <f t="shared" ref="AH230:AH258" si="40">IF(AS230&lt;&gt;"","A","►")</f>
        <v>►</v>
      </c>
      <c r="AI230" s="32" t="str">
        <f>AI225</f>
        <v>N NOMBRE DE LA RECETA | | Autor &gt; USTED</v>
      </c>
      <c r="AJ230" s="33">
        <f>AJ225</f>
        <v>18</v>
      </c>
      <c r="AK230" s="32" t="str">
        <f>AK225</f>
        <v>postres</v>
      </c>
      <c r="AL230" s="34" t="str">
        <f>AL225</f>
        <v>Receta madre ► Introduzca el nombre de la receta principal</v>
      </c>
      <c r="AM230" s="92"/>
      <c r="AN230" s="93"/>
      <c r="AO230" s="94" t="str">
        <f t="shared" si="37"/>
        <v/>
      </c>
      <c r="AP230" s="95"/>
      <c r="AQ230" s="126"/>
      <c r="AR230" s="127">
        <v>1</v>
      </c>
      <c r="AS230" s="920"/>
      <c r="AT230" s="1495">
        <f>IF(OR(ISBLANK(AM223),AT223=0),0,AM230*AR224)</f>
        <v>0</v>
      </c>
      <c r="AU230" s="101" cm="1">
        <f t="array" ref="AU230">IFERROR(_xlfn.LET(_xlpm.k,UPPER(TRIM(AQ230)),_xlpm.r,_xlfn.XLOOKUP(_xlpm.k,UPPER(TRIM(AM260:AV260)),AM261:AV261,_xlfn.XLOOKUP(_xlpm.k,UPPER(TRIM(AM262:AV262)),AM263:AV263)),_xlpm.r*AP230*AR230*AR224*IF(ISBLANK(AM230),1,AM230)),0)</f>
        <v>0</v>
      </c>
      <c r="AV230" s="1475" t="str">
        <f>_xlfn.LET(_xlpm.unite,SUBSTITUTE(TRIM(AQ230)," (s)",""),_xlpm.val,AU230,_xlpm.estVol,COUNTIF(AP260:AV260,_xlpm.unite)+COUNTIF(AP262:AV262,_xlpm.unite)&gt;0,_xlpm.estPoids,COUNTIF(AM260:AO260,_xlpm.unite)+COUNTIF(AM262:AO262,_xlpm.unite)&gt;0,IF(_xlpm.estVol,IF(ROUND(_xlpm.val,3)&gt;=1,ROUND(_xlpm.val,3)&amp;" L",MAX(1,ROUND(_xlpm.val*100,0))&amp;" cl"),IF(_xlpm.estPoids,IF(ROUND(_xlpm.val,3)&gt;=1,ROUND(_xlpm.val,3)&amp;" Kg",MAX(1,ROUND(_xlpm.val*1000,0))&amp;" g"),"")))</f>
        <v/>
      </c>
      <c r="AX230" s="495"/>
      <c r="AY230" s="198">
        <v>120</v>
      </c>
      <c r="AZ230" s="199" t="s">
        <v>199</v>
      </c>
      <c r="BA230" s="183"/>
      <c r="BB230" s="200">
        <f>(AY230*AY224)/1000</f>
        <v>18</v>
      </c>
      <c r="BC230" s="9"/>
      <c r="BD230" s="41"/>
      <c r="BF230" s="495"/>
      <c r="BG230" s="198">
        <v>18</v>
      </c>
      <c r="BH230" s="199" t="s">
        <v>701</v>
      </c>
      <c r="BI230" s="183"/>
      <c r="BJ230" s="613">
        <f>(BG230*BG224)/1000</f>
        <v>1.8</v>
      </c>
      <c r="BK230" s="9"/>
      <c r="BL230" s="41"/>
      <c r="BN230" s="495"/>
      <c r="BO230" s="198">
        <v>18</v>
      </c>
      <c r="BP230" s="199" t="s">
        <v>702</v>
      </c>
      <c r="BQ230" s="183"/>
      <c r="BR230" s="613">
        <f>(BO230*BO224)/1000</f>
        <v>1.8</v>
      </c>
      <c r="BS230" s="9"/>
      <c r="BT230" s="41"/>
      <c r="BV230" s="3">
        <v>1</v>
      </c>
    </row>
    <row r="231" spans="2:74" ht="21" customHeight="1">
      <c r="B231" s="104" t="str">
        <f t="shared" si="38"/>
        <v>►</v>
      </c>
      <c r="C231" s="32" t="str">
        <f>C225</f>
        <v>N NOM DE VOTRE RECETTE | | Auteur &gt; VOUS</v>
      </c>
      <c r="D231" s="33">
        <f>D225</f>
        <v>18</v>
      </c>
      <c r="E231" s="32" t="str">
        <f>E225</f>
        <v>desserts</v>
      </c>
      <c r="F231" s="34" t="str">
        <f>F225</f>
        <v>Recette mère ► Saisir le nom de la recette principale</v>
      </c>
      <c r="G231" s="92"/>
      <c r="H231" s="108"/>
      <c r="I231" s="94" t="str">
        <f t="shared" si="35"/>
        <v/>
      </c>
      <c r="J231" s="95"/>
      <c r="K231" s="126"/>
      <c r="L231" s="127">
        <v>1</v>
      </c>
      <c r="M231" s="920"/>
      <c r="N231" s="1495">
        <f>IF(OR(ISBLANK(G223),N223=0),0,G231*L224)</f>
        <v>0</v>
      </c>
      <c r="O231" s="101" cm="1">
        <f t="array" ref="O231">IFERROR(_xlfn.LET(_xlpm.k,UPPER(TRIM(K231)),_xlpm.r,_xlfn.XLOOKUP(_xlpm.k,UPPER(TRIM(G260:P260)),G261:P261,_xlfn.XLOOKUP(_xlpm.k,UPPER(TRIM(G262:P262)),G263:P263)),_xlpm.r*J231*L231*L224*IF(ISBLANK(G231),1,G231)),0)</f>
        <v>0</v>
      </c>
      <c r="P231" s="1476" t="str">
        <f>_xlfn.LET(_xlpm.unite,SUBSTITUTE(TRIM(K231)," (s)",""),_xlpm.val,O231,_xlpm.estVol,COUNTIF(J260:P260,_xlpm.unite)+COUNTIF(J262:P262,_xlpm.unite)&gt;0,_xlpm.estPoids,COUNTIF(G260:I260,_xlpm.unite)+COUNTIF(G262:I262,_xlpm.unite)&gt;0,IF(_xlpm.estVol,IF(ROUND(_xlpm.val,3)&gt;=1,ROUND(_xlpm.val,3)&amp;" L",MAX(1,ROUND(_xlpm.val*100,0))&amp;" cl"),IF(_xlpm.estPoids,IF(ROUND(_xlpm.val,3)&gt;=1,ROUND(_xlpm.val,3)&amp;" Kg",MAX(1,ROUND(_xlpm.val*1000,0))&amp;" g"),"")))</f>
        <v/>
      </c>
      <c r="R231" s="104" t="str">
        <f t="shared" si="39"/>
        <v>►</v>
      </c>
      <c r="S231" s="32" t="str">
        <f>S225</f>
        <v>N NAME OF YOUR RECIPE | |  Author &gt; YOU</v>
      </c>
      <c r="T231" s="33">
        <f>T225</f>
        <v>18</v>
      </c>
      <c r="U231" s="32" t="str">
        <f>U225</f>
        <v>desserts</v>
      </c>
      <c r="V231" s="34" t="str">
        <f>V225</f>
        <v>Master recipe ► Enter the main recipe name</v>
      </c>
      <c r="W231" s="92"/>
      <c r="X231" s="108"/>
      <c r="Y231" s="94" t="str">
        <f t="shared" si="36"/>
        <v/>
      </c>
      <c r="Z231" s="95"/>
      <c r="AA231" s="126"/>
      <c r="AB231" s="127">
        <v>1</v>
      </c>
      <c r="AC231" s="920"/>
      <c r="AD231" s="1495">
        <f>IF(OR(ISBLANK(W223),AD223=0),0,W231*AB224)</f>
        <v>0</v>
      </c>
      <c r="AE231" s="101" cm="1">
        <f t="array" ref="AE231">IFERROR(_xlfn.LET(_xlpm.k,UPPER(TRIM(AA231)),_xlpm.r,_xlfn.XLOOKUP(_xlpm.k,UPPER(TRIM(W260:AF260)),W261:AF261,_xlfn.XLOOKUP(_xlpm.k,UPPER(TRIM(W262:AF262)),W263:AF263)),_xlpm.r*Z231*AB231*AB224*IF(ISBLANK(W231),1,W231)),0)</f>
        <v>0</v>
      </c>
      <c r="AF231" s="1476" t="str">
        <f>_xlfn.LET(_xlpm.unite,SUBSTITUTE(TRIM(AA231)," (s)",""),_xlpm.val,AE231,_xlpm.estVol,COUNTIF(Z260:AF260,_xlpm.unite)+COUNTIF(Z262:AF262,_xlpm.unite)&gt;0,_xlpm.estPoids,COUNTIF(W260:Y260,_xlpm.unite)+COUNTIF(W262:Y262,_xlpm.unite)&gt;0,IF(_xlpm.estVol,IF(ROUND(_xlpm.val,3)&gt;=1,ROUND(_xlpm.val,3)&amp;" L",MAX(1,ROUND(_xlpm.val*100,0))&amp;" cl"),IF(_xlpm.estPoids,IF(ROUND(_xlpm.val,3)&gt;=1,ROUND(_xlpm.val,3)&amp;" Kg",MAX(1,ROUND(_xlpm.val*1000,0))&amp;" g"),"")))</f>
        <v/>
      </c>
      <c r="AH231" s="104" t="str">
        <f t="shared" si="40"/>
        <v>►</v>
      </c>
      <c r="AI231" s="32" t="str">
        <f>AI225</f>
        <v>N NOMBRE DE LA RECETA | | Autor &gt; USTED</v>
      </c>
      <c r="AJ231" s="33">
        <f>AJ225</f>
        <v>18</v>
      </c>
      <c r="AK231" s="32" t="str">
        <f>AK225</f>
        <v>postres</v>
      </c>
      <c r="AL231" s="34" t="str">
        <f>AL225</f>
        <v>Receta madre ► Introduzca el nombre de la receta principal</v>
      </c>
      <c r="AM231" s="92"/>
      <c r="AN231" s="108"/>
      <c r="AO231" s="94" t="str">
        <f t="shared" si="37"/>
        <v/>
      </c>
      <c r="AP231" s="95"/>
      <c r="AQ231" s="126"/>
      <c r="AR231" s="127">
        <v>1</v>
      </c>
      <c r="AS231" s="920"/>
      <c r="AT231" s="1495">
        <f>IF(OR(ISBLANK(AM223),AT223=0),0,AM231*AR224)</f>
        <v>0</v>
      </c>
      <c r="AU231" s="101" cm="1">
        <f t="array" ref="AU231">IFERROR(_xlfn.LET(_xlpm.k,UPPER(TRIM(AQ231)),_xlpm.r,_xlfn.XLOOKUP(_xlpm.k,UPPER(TRIM(AM260:AV260)),AM261:AV261,_xlfn.XLOOKUP(_xlpm.k,UPPER(TRIM(AM262:AV262)),AM263:AV263)),_xlpm.r*AP231*AR231*AR224*IF(ISBLANK(AM231),1,AM231)),0)</f>
        <v>0</v>
      </c>
      <c r="AV231" s="1476" t="str">
        <f>_xlfn.LET(_xlpm.unite,SUBSTITUTE(TRIM(AQ231)," (s)",""),_xlpm.val,AU231,_xlpm.estVol,COUNTIF(AP260:AV260,_xlpm.unite)+COUNTIF(AP262:AV262,_xlpm.unite)&gt;0,_xlpm.estPoids,COUNTIF(AM260:AO260,_xlpm.unite)+COUNTIF(AM262:AO262,_xlpm.unite)&gt;0,IF(_xlpm.estVol,IF(ROUND(_xlpm.val,3)&gt;=1,ROUND(_xlpm.val,3)&amp;" L",MAX(1,ROUND(_xlpm.val*100,0))&amp;" cl"),IF(_xlpm.estPoids,IF(ROUND(_xlpm.val,3)&gt;=1,ROUND(_xlpm.val,3)&amp;" Kg",MAX(1,ROUND(_xlpm.val*1000,0))&amp;" g"),"")))</f>
        <v/>
      </c>
      <c r="AX231" s="495"/>
      <c r="AY231" s="1072">
        <v>2.7</v>
      </c>
      <c r="AZ231" s="203" t="str">
        <f>"poids par "&amp; AY225</f>
        <v>poids par Gastro 1/1</v>
      </c>
      <c r="BA231" s="183"/>
      <c r="BB231" s="189"/>
      <c r="BC231" s="9"/>
      <c r="BD231" s="41"/>
      <c r="BF231" s="495"/>
      <c r="BG231" s="202">
        <v>1.1200000000000001</v>
      </c>
      <c r="BH231" s="203" t="str">
        <f>"poids par "&amp; BG225</f>
        <v>poids par GN 1/1</v>
      </c>
      <c r="BI231" s="183"/>
      <c r="BJ231" s="606"/>
      <c r="BK231" s="9"/>
      <c r="BL231" s="41"/>
      <c r="BN231" s="495"/>
      <c r="BO231" s="202">
        <v>1.1200000000000001</v>
      </c>
      <c r="BP231" s="203" t="str">
        <f>"peso par "&amp; BO225</f>
        <v>peso par GN 1/1</v>
      </c>
      <c r="BQ231" s="183"/>
      <c r="BR231" s="606"/>
      <c r="BS231" s="9"/>
      <c r="BT231" s="41"/>
      <c r="BV231" s="3">
        <v>1</v>
      </c>
    </row>
    <row r="232" spans="2:74" ht="21" customHeight="1">
      <c r="B232" s="104" t="str">
        <f t="shared" si="38"/>
        <v>A</v>
      </c>
      <c r="C232" s="32" t="str">
        <f>C225</f>
        <v>N NOM DE VOTRE RECETTE | | Auteur &gt; VOUS</v>
      </c>
      <c r="D232" s="33">
        <f>D225</f>
        <v>18</v>
      </c>
      <c r="E232" s="32" t="str">
        <f>E225</f>
        <v>desserts</v>
      </c>
      <c r="F232" s="34" t="str">
        <f>F225</f>
        <v>Recette mère ► Saisir le nom de la recette principale</v>
      </c>
      <c r="G232" s="92"/>
      <c r="H232" s="108"/>
      <c r="I232" s="94" t="str">
        <f t="shared" si="35"/>
        <v/>
      </c>
      <c r="J232" s="95"/>
      <c r="K232" s="126"/>
      <c r="L232" s="127">
        <v>1</v>
      </c>
      <c r="M232" s="920" t="s">
        <v>3312</v>
      </c>
      <c r="N232" s="1495">
        <f>IF(OR(ISBLANK(G223),N223=0),0,G232*L224)</f>
        <v>0</v>
      </c>
      <c r="O232" s="101" cm="1">
        <f t="array" ref="O232">IFERROR(_xlfn.LET(_xlpm.k,UPPER(TRIM(K232)),_xlpm.r,_xlfn.XLOOKUP(_xlpm.k,UPPER(TRIM(G260:P260)),G261:P261,_xlfn.XLOOKUP(_xlpm.k,UPPER(TRIM(G262:P262)),G263:P263)),_xlpm.r*J232*L232*L224*IF(ISBLANK(G232),1,G232)),0)</f>
        <v>0</v>
      </c>
      <c r="P232" s="1475" t="str">
        <f>_xlfn.LET(_xlpm.unite,SUBSTITUTE(TRIM(K232)," (s)",""),_xlpm.val,O232,_xlpm.estVol,COUNTIF(J260:P260,_xlpm.unite)+COUNTIF(J262:P262,_xlpm.unite)&gt;0,_xlpm.estPoids,COUNTIF(G260:I260,_xlpm.unite)+COUNTIF(G262:I262,_xlpm.unite)&gt;0,IF(_xlpm.estVol,IF(ROUND(_xlpm.val,3)&gt;=1,ROUND(_xlpm.val,3)&amp;" L",MAX(1,ROUND(_xlpm.val*100,0))&amp;" cl"),IF(_xlpm.estPoids,IF(ROUND(_xlpm.val,3)&gt;=1,ROUND(_xlpm.val,3)&amp;" Kg",MAX(1,ROUND(_xlpm.val*1000,0))&amp;" g"),"")))</f>
        <v/>
      </c>
      <c r="R232" s="104" t="str">
        <f t="shared" si="39"/>
        <v>A</v>
      </c>
      <c r="S232" s="32" t="str">
        <f>S225</f>
        <v>N NAME OF YOUR RECIPE | |  Author &gt; YOU</v>
      </c>
      <c r="T232" s="33">
        <f>T225</f>
        <v>18</v>
      </c>
      <c r="U232" s="32" t="str">
        <f>U225</f>
        <v>desserts</v>
      </c>
      <c r="V232" s="34" t="str">
        <f>V225</f>
        <v>Master recipe ► Enter the main recipe name</v>
      </c>
      <c r="W232" s="92"/>
      <c r="X232" s="108"/>
      <c r="Y232" s="94" t="str">
        <f t="shared" si="36"/>
        <v/>
      </c>
      <c r="Z232" s="95"/>
      <c r="AA232" s="126"/>
      <c r="AB232" s="127">
        <v>1</v>
      </c>
      <c r="AC232" s="920" t="s">
        <v>3347</v>
      </c>
      <c r="AD232" s="1495">
        <f>IF(OR(ISBLANK(W223),AD223=0),0,W232*AB224)</f>
        <v>0</v>
      </c>
      <c r="AE232" s="101" cm="1">
        <f t="array" ref="AE232">IFERROR(_xlfn.LET(_xlpm.k,UPPER(TRIM(AA232)),_xlpm.r,_xlfn.XLOOKUP(_xlpm.k,UPPER(TRIM(W260:AF260)),W261:AF261,_xlfn.XLOOKUP(_xlpm.k,UPPER(TRIM(W262:AF262)),W263:AF263)),_xlpm.r*Z232*AB232*AB224*IF(ISBLANK(W232),1,W232)),0)</f>
        <v>0</v>
      </c>
      <c r="AF232" s="1475" t="str">
        <f>_xlfn.LET(_xlpm.unite,SUBSTITUTE(TRIM(AA232)," (s)",""),_xlpm.val,AE232,_xlpm.estVol,COUNTIF(Z260:AF260,_xlpm.unite)+COUNTIF(Z262:AF262,_xlpm.unite)&gt;0,_xlpm.estPoids,COUNTIF(W260:Y260,_xlpm.unite)+COUNTIF(W262:Y262,_xlpm.unite)&gt;0,IF(_xlpm.estVol,IF(ROUND(_xlpm.val,3)&gt;=1,ROUND(_xlpm.val,3)&amp;" L",MAX(1,ROUND(_xlpm.val*100,0))&amp;" cl"),IF(_xlpm.estPoids,IF(ROUND(_xlpm.val,3)&gt;=1,ROUND(_xlpm.val,3)&amp;" Kg",MAX(1,ROUND(_xlpm.val*1000,0))&amp;" g"),"")))</f>
        <v/>
      </c>
      <c r="AH232" s="104" t="str">
        <f t="shared" si="40"/>
        <v>A</v>
      </c>
      <c r="AI232" s="32" t="str">
        <f>AI225</f>
        <v>N NOMBRE DE LA RECETA | | Autor &gt; USTED</v>
      </c>
      <c r="AJ232" s="33">
        <f>AJ225</f>
        <v>18</v>
      </c>
      <c r="AK232" s="32" t="str">
        <f>AK225</f>
        <v>postres</v>
      </c>
      <c r="AL232" s="34" t="str">
        <f>AL225</f>
        <v>Receta madre ► Introduzca el nombre de la receta principal</v>
      </c>
      <c r="AM232" s="92"/>
      <c r="AN232" s="108"/>
      <c r="AO232" s="94" t="str">
        <f t="shared" si="37"/>
        <v/>
      </c>
      <c r="AP232" s="95"/>
      <c r="AQ232" s="126"/>
      <c r="AR232" s="127">
        <v>1</v>
      </c>
      <c r="AS232" s="920" t="s">
        <v>3345</v>
      </c>
      <c r="AT232" s="1495">
        <f>IF(OR(ISBLANK(AM223),AT223=0),0,AM232*AR224)</f>
        <v>0</v>
      </c>
      <c r="AU232" s="101" cm="1">
        <f t="array" ref="AU232">IFERROR(_xlfn.LET(_xlpm.k,UPPER(TRIM(AQ232)),_xlpm.r,_xlfn.XLOOKUP(_xlpm.k,UPPER(TRIM(AM260:AV260)),AM261:AV261,_xlfn.XLOOKUP(_xlpm.k,UPPER(TRIM(AM262:AV262)),AM263:AV263)),_xlpm.r*AP232*AR232*AR224*IF(ISBLANK(AM232),1,AM232)),0)</f>
        <v>0</v>
      </c>
      <c r="AV232" s="1475" t="str">
        <f>_xlfn.LET(_xlpm.unite,SUBSTITUTE(TRIM(AQ232)," (s)",""),_xlpm.val,AU232,_xlpm.estVol,COUNTIF(AP260:AV260,_xlpm.unite)+COUNTIF(AP262:AV262,_xlpm.unite)&gt;0,_xlpm.estPoids,COUNTIF(AM260:AO260,_xlpm.unite)+COUNTIF(AM262:AO262,_xlpm.unite)&gt;0,IF(_xlpm.estVol,IF(ROUND(_xlpm.val,3)&gt;=1,ROUND(_xlpm.val,3)&amp;" L",MAX(1,ROUND(_xlpm.val*100,0))&amp;" cl"),IF(_xlpm.estPoids,IF(ROUND(_xlpm.val,3)&gt;=1,ROUND(_xlpm.val,3)&amp;" Kg",MAX(1,ROUND(_xlpm.val*1000,0))&amp;" g"),"")))</f>
        <v/>
      </c>
      <c r="AX232" s="495"/>
      <c r="AY232" s="5649" t="str">
        <f>IF(OR(BB230&lt;=0,AY231&lt;=0),"",_xlfn.LET(_xlpm.n,ROUND(BB230/AY231,9),_xlpm.q,INT(_xlpm.n),_xlpm.r,ROUND(BB230-_xlpm.q*AY231,9),_xlpm.base,_xlpm.q&amp;" "&amp;AY225&amp;" de "&amp;TEXT(AY231,"0.000")&amp;" kg",IF(_xlpm.r&lt;=0.000000001,_xlpm.base,_xlpm.base&amp;" + 1 "&amp;AY225&amp;" de "&amp;TEXT(_xlpm.r,"0.000")&amp;" kg")))</f>
        <v>6 Gastro 1/1 de 2.700 kg + 1 Gastro 1/1 de 1.800 kg</v>
      </c>
      <c r="AZ232" s="5650"/>
      <c r="BA232" s="5650"/>
      <c r="BB232" s="5651"/>
      <c r="BC232" s="9"/>
      <c r="BD232" s="41"/>
      <c r="BF232" s="495"/>
      <c r="BG232" s="5655" t="str">
        <f>IF(BJ230=0,"",IF(BG231=0,"",INT(BJ230/BG231) &amp; " " &amp; BG225 &amp; " de " &amp; BG231 &amp; " kg" &amp; IF(MOD(BJ230,BG231)=0,"",IF(MOD(BJ230,BG231)=BG231,""," + 1 " &amp; BG225 &amp; " de " &amp; TEXT(MOD(BJ230,BG231),"0.000") &amp; " kg"))))</f>
        <v>1 GN 1/1 de 1.12 kg + 1 GN 1/1 de 0.680 kg</v>
      </c>
      <c r="BH232" s="5656"/>
      <c r="BI232" s="5656"/>
      <c r="BJ232" s="5657"/>
      <c r="BK232" s="9"/>
      <c r="BL232" s="41"/>
      <c r="BN232" s="495"/>
      <c r="BO232" s="5655" t="str">
        <f>IF(BR230=0,"",IF(BO231=0,"",INT(BR230/BO231) &amp; " " &amp; BO225 &amp; " de " &amp; BO231 &amp; " kg" &amp; IF(MOD(BR230,BO231)=0,"",IF(MOD(BR230,BO231)=BO231,""," + 1 " &amp; BO225 &amp; " de " &amp; TEXT(MOD(BR230,BO231),"0.000") &amp; " kg"))))</f>
        <v>1 GN 1/1 de 1.12 kg + 1 GN 1/1 de 0.680 kg</v>
      </c>
      <c r="BP232" s="5656"/>
      <c r="BQ232" s="5656"/>
      <c r="BR232" s="5657"/>
      <c r="BS232" s="9"/>
      <c r="BT232" s="41"/>
      <c r="BV232" s="3">
        <v>1</v>
      </c>
    </row>
    <row r="233" spans="2:74" ht="21" customHeight="1">
      <c r="B233" s="104" t="str">
        <f t="shared" si="38"/>
        <v>►</v>
      </c>
      <c r="C233" s="32" t="str">
        <f>C225</f>
        <v>N NOM DE VOTRE RECETTE | | Auteur &gt; VOUS</v>
      </c>
      <c r="D233" s="33">
        <f>D225</f>
        <v>18</v>
      </c>
      <c r="E233" s="32" t="str">
        <f>E225</f>
        <v>desserts</v>
      </c>
      <c r="F233" s="34" t="str">
        <f>F225</f>
        <v>Recette mère ► Saisir le nom de la recette principale</v>
      </c>
      <c r="G233" s="92"/>
      <c r="H233" s="108"/>
      <c r="I233" s="94" t="str">
        <f t="shared" si="35"/>
        <v/>
      </c>
      <c r="J233" s="95"/>
      <c r="K233" s="126"/>
      <c r="L233" s="127">
        <v>1</v>
      </c>
      <c r="M233" s="920"/>
      <c r="N233" s="1495">
        <f>IF(OR(ISBLANK(G223),N223=0),0,G233*L224)</f>
        <v>0</v>
      </c>
      <c r="O233" s="101" cm="1">
        <f t="array" ref="O233">IFERROR(_xlfn.LET(_xlpm.k,UPPER(TRIM(K233)),_xlpm.r,_xlfn.XLOOKUP(_xlpm.k,UPPER(TRIM(G260:P260)),G261:P261,_xlfn.XLOOKUP(_xlpm.k,UPPER(TRIM(G262:P262)),G263:P263)),_xlpm.r*J233*L233*L224*IF(ISBLANK(G233),1,G233)),0)</f>
        <v>0</v>
      </c>
      <c r="P233" s="1476" t="str">
        <f>_xlfn.LET(_xlpm.unite,SUBSTITUTE(TRIM(K233)," (s)",""),_xlpm.val,O233,_xlpm.estVol,COUNTIF(J260:P260,_xlpm.unite)+COUNTIF(J262:P262,_xlpm.unite)&gt;0,_xlpm.estPoids,COUNTIF(G260:I260,_xlpm.unite)+COUNTIF(G262:I262,_xlpm.unite)&gt;0,IF(_xlpm.estVol,IF(ROUND(_xlpm.val,3)&gt;=1,ROUND(_xlpm.val,3)&amp;" L",MAX(1,ROUND(_xlpm.val*100,0))&amp;" cl"),IF(_xlpm.estPoids,IF(ROUND(_xlpm.val,3)&gt;=1,ROUND(_xlpm.val,3)&amp;" Kg",MAX(1,ROUND(_xlpm.val*1000,0))&amp;" g"),"")))</f>
        <v/>
      </c>
      <c r="R233" s="104" t="str">
        <f t="shared" si="39"/>
        <v>►</v>
      </c>
      <c r="S233" s="32" t="str">
        <f>S225</f>
        <v>N NAME OF YOUR RECIPE | |  Author &gt; YOU</v>
      </c>
      <c r="T233" s="33">
        <f>T225</f>
        <v>18</v>
      </c>
      <c r="U233" s="32" t="str">
        <f>U225</f>
        <v>desserts</v>
      </c>
      <c r="V233" s="34" t="str">
        <f>V225</f>
        <v>Master recipe ► Enter the main recipe name</v>
      </c>
      <c r="W233" s="92"/>
      <c r="X233" s="108"/>
      <c r="Y233" s="94" t="str">
        <f t="shared" si="36"/>
        <v/>
      </c>
      <c r="Z233" s="95"/>
      <c r="AA233" s="126"/>
      <c r="AB233" s="127">
        <v>1</v>
      </c>
      <c r="AC233" s="920"/>
      <c r="AD233" s="1495">
        <f>IF(OR(ISBLANK(W223),AD223=0),0,W233*AB224)</f>
        <v>0</v>
      </c>
      <c r="AE233" s="101" cm="1">
        <f t="array" ref="AE233">IFERROR(_xlfn.LET(_xlpm.k,UPPER(TRIM(AA233)),_xlpm.r,_xlfn.XLOOKUP(_xlpm.k,UPPER(TRIM(W260:AF260)),W261:AF261,_xlfn.XLOOKUP(_xlpm.k,UPPER(TRIM(W262:AF262)),W263:AF263)),_xlpm.r*Z233*AB233*AB224*IF(ISBLANK(W233),1,W233)),0)</f>
        <v>0</v>
      </c>
      <c r="AF233" s="1476" t="str">
        <f>_xlfn.LET(_xlpm.unite,SUBSTITUTE(TRIM(AA233)," (s)",""),_xlpm.val,AE233,_xlpm.estVol,COUNTIF(Z260:AF260,_xlpm.unite)+COUNTIF(Z262:AF262,_xlpm.unite)&gt;0,_xlpm.estPoids,COUNTIF(W260:Y260,_xlpm.unite)+COUNTIF(W262:Y262,_xlpm.unite)&gt;0,IF(_xlpm.estVol,IF(ROUND(_xlpm.val,3)&gt;=1,ROUND(_xlpm.val,3)&amp;" L",MAX(1,ROUND(_xlpm.val*100,0))&amp;" cl"),IF(_xlpm.estPoids,IF(ROUND(_xlpm.val,3)&gt;=1,ROUND(_xlpm.val,3)&amp;" Kg",MAX(1,ROUND(_xlpm.val*1000,0))&amp;" g"),"")))</f>
        <v/>
      </c>
      <c r="AH233" s="104" t="str">
        <f t="shared" si="40"/>
        <v>►</v>
      </c>
      <c r="AI233" s="32" t="str">
        <f>AI225</f>
        <v>N NOMBRE DE LA RECETA | | Autor &gt; USTED</v>
      </c>
      <c r="AJ233" s="33">
        <f>AJ225</f>
        <v>18</v>
      </c>
      <c r="AK233" s="32" t="str">
        <f>AK225</f>
        <v>postres</v>
      </c>
      <c r="AL233" s="34" t="str">
        <f>AL225</f>
        <v>Receta madre ► Introduzca el nombre de la receta principal</v>
      </c>
      <c r="AM233" s="92"/>
      <c r="AN233" s="108"/>
      <c r="AO233" s="94" t="str">
        <f t="shared" si="37"/>
        <v/>
      </c>
      <c r="AP233" s="95"/>
      <c r="AQ233" s="126"/>
      <c r="AR233" s="127">
        <v>1</v>
      </c>
      <c r="AS233" s="920"/>
      <c r="AT233" s="1495">
        <f>IF(OR(ISBLANK(AM223),AT223=0),0,AM233*AR224)</f>
        <v>0</v>
      </c>
      <c r="AU233" s="101" cm="1">
        <f t="array" ref="AU233">IFERROR(_xlfn.LET(_xlpm.k,UPPER(TRIM(AQ233)),_xlpm.r,_xlfn.XLOOKUP(_xlpm.k,UPPER(TRIM(AM260:AV260)),AM261:AV261,_xlfn.XLOOKUP(_xlpm.k,UPPER(TRIM(AM262:AV262)),AM263:AV263)),_xlpm.r*AP233*AR233*AR224*IF(ISBLANK(AM233),1,AM233)),0)</f>
        <v>0</v>
      </c>
      <c r="AV233" s="1476" t="str">
        <f>_xlfn.LET(_xlpm.unite,SUBSTITUTE(TRIM(AQ233)," (s)",""),_xlpm.val,AU233,_xlpm.estVol,COUNTIF(AP260:AV260,_xlpm.unite)+COUNTIF(AP262:AV262,_xlpm.unite)&gt;0,_xlpm.estPoids,COUNTIF(AM260:AO260,_xlpm.unite)+COUNTIF(AM262:AO262,_xlpm.unite)&gt;0,IF(_xlpm.estVol,IF(ROUND(_xlpm.val,3)&gt;=1,ROUND(_xlpm.val,3)&amp;" L",MAX(1,ROUND(_xlpm.val*100,0))&amp;" cl"),IF(_xlpm.estPoids,IF(ROUND(_xlpm.val,3)&gt;=1,ROUND(_xlpm.val,3)&amp;" Kg",MAX(1,ROUND(_xlpm.val*1000,0))&amp;" g"),"")))</f>
        <v/>
      </c>
      <c r="AX233" s="495"/>
      <c r="AY233" s="5652"/>
      <c r="AZ233" s="5653"/>
      <c r="BA233" s="5653"/>
      <c r="BB233" s="5654"/>
      <c r="BC233" s="9"/>
      <c r="BD233" s="41"/>
      <c r="BF233" s="495"/>
      <c r="BG233" s="5658"/>
      <c r="BH233" s="5653"/>
      <c r="BI233" s="5653"/>
      <c r="BJ233" s="5659"/>
      <c r="BK233" s="9"/>
      <c r="BL233" s="41"/>
      <c r="BN233" s="495"/>
      <c r="BO233" s="5658"/>
      <c r="BP233" s="5653"/>
      <c r="BQ233" s="5653"/>
      <c r="BR233" s="5659"/>
      <c r="BS233" s="9"/>
      <c r="BT233" s="41"/>
      <c r="BV233" s="3">
        <v>1</v>
      </c>
    </row>
    <row r="234" spans="2:74" ht="21" customHeight="1">
      <c r="B234" s="104" t="str">
        <f t="shared" si="38"/>
        <v>►</v>
      </c>
      <c r="C234" s="32" t="str">
        <f>C225</f>
        <v>N NOM DE VOTRE RECETTE | | Auteur &gt; VOUS</v>
      </c>
      <c r="D234" s="33">
        <f>D225</f>
        <v>18</v>
      </c>
      <c r="E234" s="32" t="str">
        <f>E225</f>
        <v>desserts</v>
      </c>
      <c r="F234" s="34" t="str">
        <f>F225</f>
        <v>Recette mère ► Saisir le nom de la recette principale</v>
      </c>
      <c r="G234" s="92"/>
      <c r="H234" s="108"/>
      <c r="I234" s="94" t="str">
        <f t="shared" si="35"/>
        <v/>
      </c>
      <c r="J234" s="95"/>
      <c r="K234" s="126"/>
      <c r="L234" s="127">
        <v>1</v>
      </c>
      <c r="M234" s="920"/>
      <c r="N234" s="1495">
        <f>IF(OR(ISBLANK(G223),N223=0),0,G234*L224)</f>
        <v>0</v>
      </c>
      <c r="O234" s="101" cm="1">
        <f t="array" ref="O234">IFERROR(_xlfn.LET(_xlpm.k,UPPER(TRIM(K234)),_xlpm.r,_xlfn.XLOOKUP(_xlpm.k,UPPER(TRIM(G260:P260)),G261:P261,_xlfn.XLOOKUP(_xlpm.k,UPPER(TRIM(G262:P262)),G263:P263)),_xlpm.r*J234*L234*L224*IF(ISBLANK(G234),1,G234)),0)</f>
        <v>0</v>
      </c>
      <c r="P234" s="1475" t="str">
        <f>_xlfn.LET(_xlpm.unite,SUBSTITUTE(TRIM(K234)," (s)",""),_xlpm.val,O234,_xlpm.estVol,COUNTIF(J260:P260,_xlpm.unite)+COUNTIF(J262:P262,_xlpm.unite)&gt;0,_xlpm.estPoids,COUNTIF(G260:I260,_xlpm.unite)+COUNTIF(G262:I262,_xlpm.unite)&gt;0,IF(_xlpm.estVol,IF(ROUND(_xlpm.val,3)&gt;=1,ROUND(_xlpm.val,3)&amp;" L",MAX(1,ROUND(_xlpm.val*100,0))&amp;" cl"),IF(_xlpm.estPoids,IF(ROUND(_xlpm.val,3)&gt;=1,ROUND(_xlpm.val,3)&amp;" Kg",MAX(1,ROUND(_xlpm.val*1000,0))&amp;" g"),"")))</f>
        <v/>
      </c>
      <c r="R234" s="104" t="str">
        <f t="shared" si="39"/>
        <v>►</v>
      </c>
      <c r="S234" s="32" t="str">
        <f>S225</f>
        <v>N NAME OF YOUR RECIPE | |  Author &gt; YOU</v>
      </c>
      <c r="T234" s="33">
        <f>T225</f>
        <v>18</v>
      </c>
      <c r="U234" s="32" t="str">
        <f>U225</f>
        <v>desserts</v>
      </c>
      <c r="V234" s="34" t="str">
        <f>V225</f>
        <v>Master recipe ► Enter the main recipe name</v>
      </c>
      <c r="W234" s="92"/>
      <c r="X234" s="108"/>
      <c r="Y234" s="94" t="str">
        <f t="shared" si="36"/>
        <v/>
      </c>
      <c r="Z234" s="95"/>
      <c r="AA234" s="126"/>
      <c r="AB234" s="127">
        <v>1</v>
      </c>
      <c r="AC234" s="920"/>
      <c r="AD234" s="1495">
        <f>IF(OR(ISBLANK(W223),AD223=0),0,W234*AB224)</f>
        <v>0</v>
      </c>
      <c r="AE234" s="101" cm="1">
        <f t="array" ref="AE234">IFERROR(_xlfn.LET(_xlpm.k,UPPER(TRIM(AA234)),_xlpm.r,_xlfn.XLOOKUP(_xlpm.k,UPPER(TRIM(W260:AF260)),W261:AF261,_xlfn.XLOOKUP(_xlpm.k,UPPER(TRIM(W262:AF262)),W263:AF263)),_xlpm.r*Z234*AB234*AB224*IF(ISBLANK(W234),1,W234)),0)</f>
        <v>0</v>
      </c>
      <c r="AF234" s="1475" t="str">
        <f>_xlfn.LET(_xlpm.unite,SUBSTITUTE(TRIM(AA234)," (s)",""),_xlpm.val,AE234,_xlpm.estVol,COUNTIF(Z260:AF260,_xlpm.unite)+COUNTIF(Z262:AF262,_xlpm.unite)&gt;0,_xlpm.estPoids,COUNTIF(W260:Y260,_xlpm.unite)+COUNTIF(W262:Y262,_xlpm.unite)&gt;0,IF(_xlpm.estVol,IF(ROUND(_xlpm.val,3)&gt;=1,ROUND(_xlpm.val,3)&amp;" L",MAX(1,ROUND(_xlpm.val*100,0))&amp;" cl"),IF(_xlpm.estPoids,IF(ROUND(_xlpm.val,3)&gt;=1,ROUND(_xlpm.val,3)&amp;" Kg",MAX(1,ROUND(_xlpm.val*1000,0))&amp;" g"),"")))</f>
        <v/>
      </c>
      <c r="AH234" s="104" t="str">
        <f t="shared" si="40"/>
        <v>►</v>
      </c>
      <c r="AI234" s="32" t="str">
        <f>AI225</f>
        <v>N NOMBRE DE LA RECETA | | Autor &gt; USTED</v>
      </c>
      <c r="AJ234" s="33">
        <f>AJ225</f>
        <v>18</v>
      </c>
      <c r="AK234" s="32" t="str">
        <f>AK225</f>
        <v>postres</v>
      </c>
      <c r="AL234" s="34" t="str">
        <f>AL225</f>
        <v>Receta madre ► Introduzca el nombre de la receta principal</v>
      </c>
      <c r="AM234" s="92"/>
      <c r="AN234" s="108"/>
      <c r="AO234" s="94" t="str">
        <f t="shared" si="37"/>
        <v/>
      </c>
      <c r="AP234" s="95"/>
      <c r="AQ234" s="126"/>
      <c r="AR234" s="127">
        <v>1</v>
      </c>
      <c r="AS234" s="920"/>
      <c r="AT234" s="1495">
        <f>IF(OR(ISBLANK(AM223),AT223=0),0,AM234*AR224)</f>
        <v>0</v>
      </c>
      <c r="AU234" s="101" cm="1">
        <f t="array" ref="AU234">IFERROR(_xlfn.LET(_xlpm.k,UPPER(TRIM(AQ234)),_xlpm.r,_xlfn.XLOOKUP(_xlpm.k,UPPER(TRIM(AM260:AV260)),AM261:AV261,_xlfn.XLOOKUP(_xlpm.k,UPPER(TRIM(AM262:AV262)),AM263:AV263)),_xlpm.r*AP234*AR234*AR224*IF(ISBLANK(AM234),1,AM234)),0)</f>
        <v>0</v>
      </c>
      <c r="AV234" s="1475" t="str">
        <f>_xlfn.LET(_xlpm.unite,SUBSTITUTE(TRIM(AQ234)," (s)",""),_xlpm.val,AU234,_xlpm.estVol,COUNTIF(AP260:AV260,_xlpm.unite)+COUNTIF(AP262:AV262,_xlpm.unite)&gt;0,_xlpm.estPoids,COUNTIF(AM260:AO260,_xlpm.unite)+COUNTIF(AM262:AO262,_xlpm.unite)&gt;0,IF(_xlpm.estVol,IF(ROUND(_xlpm.val,3)&gt;=1,ROUND(_xlpm.val,3)&amp;" L",MAX(1,ROUND(_xlpm.val*100,0))&amp;" cl"),IF(_xlpm.estPoids,IF(ROUND(_xlpm.val,3)&gt;=1,ROUND(_xlpm.val,3)&amp;" Kg",MAX(1,ROUND(_xlpm.val*1000,0))&amp;" g"),"")))</f>
        <v/>
      </c>
      <c r="AX234" s="495"/>
      <c r="AY234" s="9"/>
      <c r="AZ234" s="9"/>
      <c r="BA234" s="9"/>
      <c r="BB234" s="9"/>
      <c r="BC234" s="9"/>
      <c r="BD234" s="41"/>
      <c r="BF234" s="495"/>
      <c r="BG234" s="9"/>
      <c r="BH234" s="9"/>
      <c r="BI234" s="9"/>
      <c r="BJ234" s="9"/>
      <c r="BK234" s="9"/>
      <c r="BL234" s="41"/>
      <c r="BN234" s="495"/>
      <c r="BO234" s="9"/>
      <c r="BP234" s="9"/>
      <c r="BQ234" s="9"/>
      <c r="BR234" s="9"/>
      <c r="BS234" s="9"/>
      <c r="BT234" s="41"/>
      <c r="BV234" s="3">
        <v>1</v>
      </c>
    </row>
    <row r="235" spans="2:74" ht="21" customHeight="1">
      <c r="B235" s="104" t="str">
        <f t="shared" si="38"/>
        <v>►</v>
      </c>
      <c r="C235" s="32" t="str">
        <f>C225</f>
        <v>N NOM DE VOTRE RECETTE | | Auteur &gt; VOUS</v>
      </c>
      <c r="D235" s="33">
        <f>D225</f>
        <v>18</v>
      </c>
      <c r="E235" s="32" t="str">
        <f>E225</f>
        <v>desserts</v>
      </c>
      <c r="F235" s="34" t="str">
        <f>F225</f>
        <v>Recette mère ► Saisir le nom de la recette principale</v>
      </c>
      <c r="G235" s="92"/>
      <c r="H235" s="108"/>
      <c r="I235" s="94" t="str">
        <f t="shared" si="35"/>
        <v/>
      </c>
      <c r="J235" s="95"/>
      <c r="K235" s="126"/>
      <c r="L235" s="127">
        <v>1</v>
      </c>
      <c r="M235" s="920"/>
      <c r="N235" s="1495">
        <f>IF(OR(ISBLANK(G223),N223=0),0,G235*L224)</f>
        <v>0</v>
      </c>
      <c r="O235" s="101" cm="1">
        <f t="array" ref="O235">IFERROR(_xlfn.LET(_xlpm.k,UPPER(TRIM(K235)),_xlpm.r,_xlfn.XLOOKUP(_xlpm.k,UPPER(TRIM(G260:P260)),G261:P261,_xlfn.XLOOKUP(_xlpm.k,UPPER(TRIM(G262:P262)),G263:P263)),_xlpm.r*J235*L235*L224*IF(ISBLANK(G235),1,G235)),0)</f>
        <v>0</v>
      </c>
      <c r="P235" s="1476" t="str">
        <f>_xlfn.LET(_xlpm.unite,SUBSTITUTE(TRIM(K235)," (s)",""),_xlpm.val,O235,_xlpm.estVol,COUNTIF(J260:P260,_xlpm.unite)+COUNTIF(J262:P262,_xlpm.unite)&gt;0,_xlpm.estPoids,COUNTIF(G260:I260,_xlpm.unite)+COUNTIF(G262:I262,_xlpm.unite)&gt;0,IF(_xlpm.estVol,IF(ROUND(_xlpm.val,3)&gt;=1,ROUND(_xlpm.val,3)&amp;" L",MAX(1,ROUND(_xlpm.val*100,0))&amp;" cl"),IF(_xlpm.estPoids,IF(ROUND(_xlpm.val,3)&gt;=1,ROUND(_xlpm.val,3)&amp;" Kg",MAX(1,ROUND(_xlpm.val*1000,0))&amp;" g"),"")))</f>
        <v/>
      </c>
      <c r="R235" s="104" t="str">
        <f t="shared" si="39"/>
        <v>►</v>
      </c>
      <c r="S235" s="32" t="str">
        <f>S225</f>
        <v>N NAME OF YOUR RECIPE | |  Author &gt; YOU</v>
      </c>
      <c r="T235" s="33">
        <f>T225</f>
        <v>18</v>
      </c>
      <c r="U235" s="32" t="str">
        <f>U225</f>
        <v>desserts</v>
      </c>
      <c r="V235" s="34" t="str">
        <f>V225</f>
        <v>Master recipe ► Enter the main recipe name</v>
      </c>
      <c r="W235" s="92"/>
      <c r="X235" s="108"/>
      <c r="Y235" s="94" t="str">
        <f t="shared" si="36"/>
        <v/>
      </c>
      <c r="Z235" s="95"/>
      <c r="AA235" s="126"/>
      <c r="AB235" s="127">
        <v>1</v>
      </c>
      <c r="AC235" s="920"/>
      <c r="AD235" s="1495">
        <f>IF(OR(ISBLANK(W223),AD223=0),0,W235*AB224)</f>
        <v>0</v>
      </c>
      <c r="AE235" s="101" cm="1">
        <f t="array" ref="AE235">IFERROR(_xlfn.LET(_xlpm.k,UPPER(TRIM(AA235)),_xlpm.r,_xlfn.XLOOKUP(_xlpm.k,UPPER(TRIM(W260:AF260)),W261:AF261,_xlfn.XLOOKUP(_xlpm.k,UPPER(TRIM(W262:AF262)),W263:AF263)),_xlpm.r*Z235*AB235*AB224*IF(ISBLANK(W235),1,W235)),0)</f>
        <v>0</v>
      </c>
      <c r="AF235" s="1476" t="str">
        <f>_xlfn.LET(_xlpm.unite,SUBSTITUTE(TRIM(AA235)," (s)",""),_xlpm.val,AE235,_xlpm.estVol,COUNTIF(Z260:AF260,_xlpm.unite)+COUNTIF(Z262:AF262,_xlpm.unite)&gt;0,_xlpm.estPoids,COUNTIF(W260:Y260,_xlpm.unite)+COUNTIF(W262:Y262,_xlpm.unite)&gt;0,IF(_xlpm.estVol,IF(ROUND(_xlpm.val,3)&gt;=1,ROUND(_xlpm.val,3)&amp;" L",MAX(1,ROUND(_xlpm.val*100,0))&amp;" cl"),IF(_xlpm.estPoids,IF(ROUND(_xlpm.val,3)&gt;=1,ROUND(_xlpm.val,3)&amp;" Kg",MAX(1,ROUND(_xlpm.val*1000,0))&amp;" g"),"")))</f>
        <v/>
      </c>
      <c r="AH235" s="104" t="str">
        <f t="shared" si="40"/>
        <v>►</v>
      </c>
      <c r="AI235" s="32" t="str">
        <f>AI225</f>
        <v>N NOMBRE DE LA RECETA | | Autor &gt; USTED</v>
      </c>
      <c r="AJ235" s="33">
        <f>AJ225</f>
        <v>18</v>
      </c>
      <c r="AK235" s="32" t="str">
        <f>AK225</f>
        <v>postres</v>
      </c>
      <c r="AL235" s="34" t="str">
        <f>AL225</f>
        <v>Receta madre ► Introduzca el nombre de la receta principal</v>
      </c>
      <c r="AM235" s="92"/>
      <c r="AN235" s="108"/>
      <c r="AO235" s="94" t="str">
        <f t="shared" si="37"/>
        <v/>
      </c>
      <c r="AP235" s="95"/>
      <c r="AQ235" s="126"/>
      <c r="AR235" s="127">
        <v>1</v>
      </c>
      <c r="AS235" s="920"/>
      <c r="AT235" s="1495">
        <f>IF(OR(ISBLANK(AM223),AT223=0),0,AM235*AR224)</f>
        <v>0</v>
      </c>
      <c r="AU235" s="101" cm="1">
        <f t="array" ref="AU235">IFERROR(_xlfn.LET(_xlpm.k,UPPER(TRIM(AQ235)),_xlpm.r,_xlfn.XLOOKUP(_xlpm.k,UPPER(TRIM(AM260:AV260)),AM261:AV261,_xlfn.XLOOKUP(_xlpm.k,UPPER(TRIM(AM262:AV262)),AM263:AV263)),_xlpm.r*AP235*AR235*AR224*IF(ISBLANK(AM235),1,AM235)),0)</f>
        <v>0</v>
      </c>
      <c r="AV235" s="1476" t="str">
        <f>_xlfn.LET(_xlpm.unite,SUBSTITUTE(TRIM(AQ235)," (s)",""),_xlpm.val,AU235,_xlpm.estVol,COUNTIF(AP260:AV260,_xlpm.unite)+COUNTIF(AP262:AV262,_xlpm.unite)&gt;0,_xlpm.estPoids,COUNTIF(AM260:AO260,_xlpm.unite)+COUNTIF(AM262:AO262,_xlpm.unite)&gt;0,IF(_xlpm.estVol,IF(ROUND(_xlpm.val,3)&gt;=1,ROUND(_xlpm.val,3)&amp;" L",MAX(1,ROUND(_xlpm.val*100,0))&amp;" cl"),IF(_xlpm.estPoids,IF(ROUND(_xlpm.val,3)&gt;=1,ROUND(_xlpm.val,3)&amp;" Kg",MAX(1,ROUND(_xlpm.val*1000,0))&amp;" g"),"")))</f>
        <v/>
      </c>
      <c r="AX235" s="495"/>
      <c r="AY235" s="627" t="s">
        <v>187</v>
      </c>
      <c r="AZ235" s="9"/>
      <c r="BA235" s="9"/>
      <c r="BB235" s="185" t="s">
        <v>711</v>
      </c>
      <c r="BC235" s="9"/>
      <c r="BD235" s="41"/>
      <c r="BF235" s="495"/>
      <c r="BG235" s="627" t="s">
        <v>686</v>
      </c>
      <c r="BH235" s="9"/>
      <c r="BI235" s="9"/>
      <c r="BJ235" s="185" t="s">
        <v>712</v>
      </c>
      <c r="BK235" s="9"/>
      <c r="BL235" s="41"/>
      <c r="BN235" s="495"/>
      <c r="BO235" s="627" t="s">
        <v>687</v>
      </c>
      <c r="BP235" s="9"/>
      <c r="BQ235" s="9"/>
      <c r="BR235" s="185" t="s">
        <v>713</v>
      </c>
      <c r="BS235" s="9"/>
      <c r="BT235" s="41"/>
      <c r="BV235" s="3">
        <v>1</v>
      </c>
    </row>
    <row r="236" spans="2:74" ht="21" customHeight="1">
      <c r="B236" s="104" t="str">
        <f t="shared" si="38"/>
        <v>►</v>
      </c>
      <c r="C236" s="32" t="str">
        <f>C225</f>
        <v>N NOM DE VOTRE RECETTE | | Auteur &gt; VOUS</v>
      </c>
      <c r="D236" s="33">
        <f>D225</f>
        <v>18</v>
      </c>
      <c r="E236" s="32" t="str">
        <f>E225</f>
        <v>desserts</v>
      </c>
      <c r="F236" s="34" t="str">
        <f>F225</f>
        <v>Recette mère ► Saisir le nom de la recette principale</v>
      </c>
      <c r="G236" s="92"/>
      <c r="H236" s="108"/>
      <c r="I236" s="94" t="str">
        <f t="shared" si="35"/>
        <v/>
      </c>
      <c r="J236" s="95"/>
      <c r="K236" s="126"/>
      <c r="L236" s="127">
        <v>1</v>
      </c>
      <c r="M236" s="920"/>
      <c r="N236" s="1495">
        <f>IF(OR(ISBLANK(G223),N223=0),0,G236*L224)</f>
        <v>0</v>
      </c>
      <c r="O236" s="101" cm="1">
        <f t="array" ref="O236">IFERROR(_xlfn.LET(_xlpm.k,UPPER(TRIM(K236)),_xlpm.r,_xlfn.XLOOKUP(_xlpm.k,UPPER(TRIM(G260:P260)),G261:P261,_xlfn.XLOOKUP(_xlpm.k,UPPER(TRIM(G262:P262)),G263:P263)),_xlpm.r*J236*L236*L224*IF(ISBLANK(G236),1,G236)),0)</f>
        <v>0</v>
      </c>
      <c r="P236" s="1475" t="str">
        <f>_xlfn.LET(_xlpm.unite,SUBSTITUTE(TRIM(K236)," (s)",""),_xlpm.val,O236,_xlpm.estVol,COUNTIF(J260:P260,_xlpm.unite)+COUNTIF(J262:P262,_xlpm.unite)&gt;0,_xlpm.estPoids,COUNTIF(G260:I260,_xlpm.unite)+COUNTIF(G262:I262,_xlpm.unite)&gt;0,IF(_xlpm.estVol,IF(ROUND(_xlpm.val,3)&gt;=1,ROUND(_xlpm.val,3)&amp;" L",MAX(1,ROUND(_xlpm.val*100,0))&amp;" cl"),IF(_xlpm.estPoids,IF(ROUND(_xlpm.val,3)&gt;=1,ROUND(_xlpm.val,3)&amp;" Kg",MAX(1,ROUND(_xlpm.val*1000,0))&amp;" g"),"")))</f>
        <v/>
      </c>
      <c r="R236" s="104" t="str">
        <f t="shared" si="39"/>
        <v>►</v>
      </c>
      <c r="S236" s="32" t="str">
        <f>S225</f>
        <v>N NAME OF YOUR RECIPE | |  Author &gt; YOU</v>
      </c>
      <c r="T236" s="33">
        <f>T225</f>
        <v>18</v>
      </c>
      <c r="U236" s="32" t="str">
        <f>U225</f>
        <v>desserts</v>
      </c>
      <c r="V236" s="34" t="str">
        <f>V225</f>
        <v>Master recipe ► Enter the main recipe name</v>
      </c>
      <c r="W236" s="92"/>
      <c r="X236" s="108"/>
      <c r="Y236" s="94" t="str">
        <f t="shared" si="36"/>
        <v/>
      </c>
      <c r="Z236" s="95"/>
      <c r="AA236" s="126"/>
      <c r="AB236" s="127">
        <v>1</v>
      </c>
      <c r="AC236" s="920"/>
      <c r="AD236" s="1495">
        <f>IF(OR(ISBLANK(W223),AD223=0),0,W236*AB224)</f>
        <v>0</v>
      </c>
      <c r="AE236" s="101" cm="1">
        <f t="array" ref="AE236">IFERROR(_xlfn.LET(_xlpm.k,UPPER(TRIM(AA236)),_xlpm.r,_xlfn.XLOOKUP(_xlpm.k,UPPER(TRIM(W260:AF260)),W261:AF261,_xlfn.XLOOKUP(_xlpm.k,UPPER(TRIM(W262:AF262)),W263:AF263)),_xlpm.r*Z236*AB236*AB224*IF(ISBLANK(W236),1,W236)),0)</f>
        <v>0</v>
      </c>
      <c r="AF236" s="1475" t="str">
        <f>_xlfn.LET(_xlpm.unite,SUBSTITUTE(TRIM(AA236)," (s)",""),_xlpm.val,AE236,_xlpm.estVol,COUNTIF(Z260:AF260,_xlpm.unite)+COUNTIF(Z262:AF262,_xlpm.unite)&gt;0,_xlpm.estPoids,COUNTIF(W260:Y260,_xlpm.unite)+COUNTIF(W262:Y262,_xlpm.unite)&gt;0,IF(_xlpm.estVol,IF(ROUND(_xlpm.val,3)&gt;=1,ROUND(_xlpm.val,3)&amp;" L",MAX(1,ROUND(_xlpm.val*100,0))&amp;" cl"),IF(_xlpm.estPoids,IF(ROUND(_xlpm.val,3)&gt;=1,ROUND(_xlpm.val,3)&amp;" Kg",MAX(1,ROUND(_xlpm.val*1000,0))&amp;" g"),"")))</f>
        <v/>
      </c>
      <c r="AH236" s="104" t="str">
        <f t="shared" si="40"/>
        <v>►</v>
      </c>
      <c r="AI236" s="32" t="str">
        <f>AI225</f>
        <v>N NOMBRE DE LA RECETA | | Autor &gt; USTED</v>
      </c>
      <c r="AJ236" s="33">
        <f>AJ225</f>
        <v>18</v>
      </c>
      <c r="AK236" s="32" t="str">
        <f>AK225</f>
        <v>postres</v>
      </c>
      <c r="AL236" s="34" t="str">
        <f>AL225</f>
        <v>Receta madre ► Introduzca el nombre de la receta principal</v>
      </c>
      <c r="AM236" s="92"/>
      <c r="AN236" s="108"/>
      <c r="AO236" s="94" t="str">
        <f t="shared" si="37"/>
        <v/>
      </c>
      <c r="AP236" s="95"/>
      <c r="AQ236" s="126"/>
      <c r="AR236" s="127">
        <v>1</v>
      </c>
      <c r="AS236" s="920"/>
      <c r="AT236" s="1495">
        <f>IF(OR(ISBLANK(AM223),AT223=0),0,AM236*AR224)</f>
        <v>0</v>
      </c>
      <c r="AU236" s="101" cm="1">
        <f t="array" ref="AU236">IFERROR(_xlfn.LET(_xlpm.k,UPPER(TRIM(AQ236)),_xlpm.r,_xlfn.XLOOKUP(_xlpm.k,UPPER(TRIM(AM260:AV260)),AM261:AV261,_xlfn.XLOOKUP(_xlpm.k,UPPER(TRIM(AM262:AV262)),AM263:AV263)),_xlpm.r*AP236*AR236*AR224*IF(ISBLANK(AM236),1,AM236)),0)</f>
        <v>0</v>
      </c>
      <c r="AV236" s="1475" t="str">
        <f>_xlfn.LET(_xlpm.unite,SUBSTITUTE(TRIM(AQ236)," (s)",""),_xlpm.val,AU236,_xlpm.estVol,COUNTIF(AP260:AV260,_xlpm.unite)+COUNTIF(AP262:AV262,_xlpm.unite)&gt;0,_xlpm.estPoids,COUNTIF(AM260:AO260,_xlpm.unite)+COUNTIF(AM262:AO262,_xlpm.unite)&gt;0,IF(_xlpm.estVol,IF(ROUND(_xlpm.val,3)&gt;=1,ROUND(_xlpm.val,3)&amp;" L",MAX(1,ROUND(_xlpm.val*100,0))&amp;" cl"),IF(_xlpm.estPoids,IF(ROUND(_xlpm.val,3)&gt;=1,ROUND(_xlpm.val,3)&amp;" Kg",MAX(1,ROUND(_xlpm.val*1000,0))&amp;" g"),"")))</f>
        <v/>
      </c>
      <c r="AX236" s="495"/>
      <c r="AY236" s="629" t="s">
        <v>714</v>
      </c>
      <c r="AZ236" s="9"/>
      <c r="BA236" s="9"/>
      <c r="BB236" s="630" t="s">
        <v>198</v>
      </c>
      <c r="BC236" s="9"/>
      <c r="BD236" s="41"/>
      <c r="BF236" s="495"/>
      <c r="BG236" s="629" t="s">
        <v>715</v>
      </c>
      <c r="BH236" s="9"/>
      <c r="BI236" s="9"/>
      <c r="BJ236" s="630" t="s">
        <v>716</v>
      </c>
      <c r="BK236" s="9"/>
      <c r="BL236" s="41"/>
      <c r="BN236" s="495"/>
      <c r="BO236" s="629" t="s">
        <v>717</v>
      </c>
      <c r="BP236" s="9"/>
      <c r="BQ236" s="9"/>
      <c r="BR236" s="630" t="s">
        <v>3337</v>
      </c>
      <c r="BS236" s="9"/>
      <c r="BT236" s="41"/>
      <c r="BV236" s="3">
        <v>1</v>
      </c>
    </row>
    <row r="237" spans="2:74" ht="21" customHeight="1">
      <c r="B237" s="104" t="str">
        <f t="shared" si="38"/>
        <v>►</v>
      </c>
      <c r="C237" s="32" t="str">
        <f>C225</f>
        <v>N NOM DE VOTRE RECETTE | | Auteur &gt; VOUS</v>
      </c>
      <c r="D237" s="33">
        <f>D225</f>
        <v>18</v>
      </c>
      <c r="E237" s="32" t="str">
        <f>E225</f>
        <v>desserts</v>
      </c>
      <c r="F237" s="34" t="str">
        <f>F225</f>
        <v>Recette mère ► Saisir le nom de la recette principale</v>
      </c>
      <c r="G237" s="92"/>
      <c r="H237" s="108"/>
      <c r="I237" s="94" t="str">
        <f t="shared" si="35"/>
        <v/>
      </c>
      <c r="J237" s="95"/>
      <c r="K237" s="126"/>
      <c r="L237" s="127">
        <v>1</v>
      </c>
      <c r="M237" s="920"/>
      <c r="N237" s="1495">
        <f>IF(OR(ISBLANK(G223),N223=0),0,G237*L224)</f>
        <v>0</v>
      </c>
      <c r="O237" s="101" cm="1">
        <f t="array" ref="O237">IFERROR(_xlfn.LET(_xlpm.k,UPPER(TRIM(K237)),_xlpm.r,_xlfn.XLOOKUP(_xlpm.k,UPPER(TRIM(G260:P260)),G261:P261,_xlfn.XLOOKUP(_xlpm.k,UPPER(TRIM(G262:P262)),G263:P263)),_xlpm.r*J237*L237*L224*IF(ISBLANK(G237),1,G237)),0)</f>
        <v>0</v>
      </c>
      <c r="P237" s="1476" t="str">
        <f>_xlfn.LET(_xlpm.unite,SUBSTITUTE(TRIM(K237)," (s)",""),_xlpm.val,O237,_xlpm.estVol,COUNTIF(J260:P260,_xlpm.unite)+COUNTIF(J262:P262,_xlpm.unite)&gt;0,_xlpm.estPoids,COUNTIF(G260:I260,_xlpm.unite)+COUNTIF(G262:I262,_xlpm.unite)&gt;0,IF(_xlpm.estVol,IF(ROUND(_xlpm.val,3)&gt;=1,ROUND(_xlpm.val,3)&amp;" L",MAX(1,ROUND(_xlpm.val*100,0))&amp;" cl"),IF(_xlpm.estPoids,IF(ROUND(_xlpm.val,3)&gt;=1,ROUND(_xlpm.val,3)&amp;" Kg",MAX(1,ROUND(_xlpm.val*1000,0))&amp;" g"),"")))</f>
        <v/>
      </c>
      <c r="R237" s="104" t="str">
        <f t="shared" si="39"/>
        <v>►</v>
      </c>
      <c r="S237" s="32" t="str">
        <f>S225</f>
        <v>N NAME OF YOUR RECIPE | |  Author &gt; YOU</v>
      </c>
      <c r="T237" s="33">
        <f>T225</f>
        <v>18</v>
      </c>
      <c r="U237" s="32" t="str">
        <f>U225</f>
        <v>desserts</v>
      </c>
      <c r="V237" s="34" t="str">
        <f>V225</f>
        <v>Master recipe ► Enter the main recipe name</v>
      </c>
      <c r="W237" s="92"/>
      <c r="X237" s="108"/>
      <c r="Y237" s="94" t="str">
        <f t="shared" si="36"/>
        <v/>
      </c>
      <c r="Z237" s="95"/>
      <c r="AA237" s="126"/>
      <c r="AB237" s="127">
        <v>1</v>
      </c>
      <c r="AC237" s="920"/>
      <c r="AD237" s="1495">
        <f>IF(OR(ISBLANK(W223),AD223=0),0,W237*AB224)</f>
        <v>0</v>
      </c>
      <c r="AE237" s="101" cm="1">
        <f t="array" ref="AE237">IFERROR(_xlfn.LET(_xlpm.k,UPPER(TRIM(AA237)),_xlpm.r,_xlfn.XLOOKUP(_xlpm.k,UPPER(TRIM(W260:AF260)),W261:AF261,_xlfn.XLOOKUP(_xlpm.k,UPPER(TRIM(W262:AF262)),W263:AF263)),_xlpm.r*Z237*AB237*AB224*IF(ISBLANK(W237),1,W237)),0)</f>
        <v>0</v>
      </c>
      <c r="AF237" s="1476" t="str">
        <f>_xlfn.LET(_xlpm.unite,SUBSTITUTE(TRIM(AA237)," (s)",""),_xlpm.val,AE237,_xlpm.estVol,COUNTIF(Z260:AF260,_xlpm.unite)+COUNTIF(Z262:AF262,_xlpm.unite)&gt;0,_xlpm.estPoids,COUNTIF(W260:Y260,_xlpm.unite)+COUNTIF(W262:Y262,_xlpm.unite)&gt;0,IF(_xlpm.estVol,IF(ROUND(_xlpm.val,3)&gt;=1,ROUND(_xlpm.val,3)&amp;" L",MAX(1,ROUND(_xlpm.val*100,0))&amp;" cl"),IF(_xlpm.estPoids,IF(ROUND(_xlpm.val,3)&gt;=1,ROUND(_xlpm.val,3)&amp;" Kg",MAX(1,ROUND(_xlpm.val*1000,0))&amp;" g"),"")))</f>
        <v/>
      </c>
      <c r="AH237" s="104" t="str">
        <f t="shared" si="40"/>
        <v>►</v>
      </c>
      <c r="AI237" s="32" t="str">
        <f>AI225</f>
        <v>N NOMBRE DE LA RECETA | | Autor &gt; USTED</v>
      </c>
      <c r="AJ237" s="33">
        <f>AJ225</f>
        <v>18</v>
      </c>
      <c r="AK237" s="32" t="str">
        <f>AK225</f>
        <v>postres</v>
      </c>
      <c r="AL237" s="34" t="str">
        <f>AL225</f>
        <v>Receta madre ► Introduzca el nombre de la receta principal</v>
      </c>
      <c r="AM237" s="92"/>
      <c r="AN237" s="108"/>
      <c r="AO237" s="94" t="str">
        <f t="shared" si="37"/>
        <v/>
      </c>
      <c r="AP237" s="95"/>
      <c r="AQ237" s="126"/>
      <c r="AR237" s="127">
        <v>1</v>
      </c>
      <c r="AS237" s="920"/>
      <c r="AT237" s="1495">
        <f>IF(OR(ISBLANK(AM223),AT223=0),0,AM237*AR224)</f>
        <v>0</v>
      </c>
      <c r="AU237" s="101" cm="1">
        <f t="array" ref="AU237">IFERROR(_xlfn.LET(_xlpm.k,UPPER(TRIM(AQ237)),_xlpm.r,_xlfn.XLOOKUP(_xlpm.k,UPPER(TRIM(AM260:AV260)),AM261:AV261,_xlfn.XLOOKUP(_xlpm.k,UPPER(TRIM(AM262:AV262)),AM263:AV263)),_xlpm.r*AP237*AR237*AR224*IF(ISBLANK(AM237),1,AM237)),0)</f>
        <v>0</v>
      </c>
      <c r="AV237" s="1476" t="str">
        <f>_xlfn.LET(_xlpm.unite,SUBSTITUTE(TRIM(AQ237)," (s)",""),_xlpm.val,AU237,_xlpm.estVol,COUNTIF(AP260:AV260,_xlpm.unite)+COUNTIF(AP262:AV262,_xlpm.unite)&gt;0,_xlpm.estPoids,COUNTIF(AM260:AO260,_xlpm.unite)+COUNTIF(AM262:AO262,_xlpm.unite)&gt;0,IF(_xlpm.estVol,IF(ROUND(_xlpm.val,3)&gt;=1,ROUND(_xlpm.val,3)&amp;" L",MAX(1,ROUND(_xlpm.val*100,0))&amp;" cl"),IF(_xlpm.estPoids,IF(ROUND(_xlpm.val,3)&gt;=1,ROUND(_xlpm.val,3)&amp;" Kg",MAX(1,ROUND(_xlpm.val*1000,0))&amp;" g"),"")))</f>
        <v/>
      </c>
      <c r="AX237" s="495"/>
      <c r="AY237" s="631" t="s">
        <v>719</v>
      </c>
      <c r="AZ237" s="9"/>
      <c r="BA237" s="9"/>
      <c r="BB237" s="630" t="s">
        <v>200</v>
      </c>
      <c r="BC237" s="9"/>
      <c r="BD237" s="41"/>
      <c r="BF237" s="495"/>
      <c r="BG237" s="631" t="s">
        <v>720</v>
      </c>
      <c r="BH237" s="9"/>
      <c r="BI237" s="9"/>
      <c r="BJ237" s="630" t="s">
        <v>721</v>
      </c>
      <c r="BK237" s="9"/>
      <c r="BL237" s="41"/>
      <c r="BN237" s="495"/>
      <c r="BO237" s="631" t="s">
        <v>722</v>
      </c>
      <c r="BP237" s="9"/>
      <c r="BQ237" s="9"/>
      <c r="BR237" s="630" t="s">
        <v>723</v>
      </c>
      <c r="BS237" s="9"/>
      <c r="BT237" s="41"/>
      <c r="BV237" s="3">
        <v>1</v>
      </c>
    </row>
    <row r="238" spans="2:74" ht="21" customHeight="1">
      <c r="B238" s="104" t="str">
        <f t="shared" si="38"/>
        <v>►</v>
      </c>
      <c r="C238" s="32" t="str">
        <f>C225</f>
        <v>N NOM DE VOTRE RECETTE | | Auteur &gt; VOUS</v>
      </c>
      <c r="D238" s="33">
        <f>D225</f>
        <v>18</v>
      </c>
      <c r="E238" s="32" t="str">
        <f>E225</f>
        <v>desserts</v>
      </c>
      <c r="F238" s="34" t="str">
        <f>F225</f>
        <v>Recette mère ► Saisir le nom de la recette principale</v>
      </c>
      <c r="G238" s="92"/>
      <c r="H238" s="108"/>
      <c r="I238" s="94" t="str">
        <f t="shared" si="35"/>
        <v/>
      </c>
      <c r="J238" s="95"/>
      <c r="K238" s="126"/>
      <c r="L238" s="127">
        <v>1</v>
      </c>
      <c r="M238" s="920"/>
      <c r="N238" s="1495">
        <f>IF(OR(ISBLANK(G223),N223=0),0,G238*L224)</f>
        <v>0</v>
      </c>
      <c r="O238" s="101" cm="1">
        <f t="array" ref="O238">IFERROR(_xlfn.LET(_xlpm.k,UPPER(TRIM(K238)),_xlpm.r,_xlfn.XLOOKUP(_xlpm.k,UPPER(TRIM(G260:P260)),G261:P261,_xlfn.XLOOKUP(_xlpm.k,UPPER(TRIM(G262:P262)),G263:P263)),_xlpm.r*J238*L238*L224*IF(ISBLANK(G238),1,G238)),0)</f>
        <v>0</v>
      </c>
      <c r="P238" s="1475" t="str">
        <f>_xlfn.LET(_xlpm.unite,SUBSTITUTE(TRIM(K238)," (s)",""),_xlpm.val,O238,_xlpm.estVol,COUNTIF(J260:P260,_xlpm.unite)+COUNTIF(J262:P262,_xlpm.unite)&gt;0,_xlpm.estPoids,COUNTIF(G260:I260,_xlpm.unite)+COUNTIF(G262:I262,_xlpm.unite)&gt;0,IF(_xlpm.estVol,IF(ROUND(_xlpm.val,3)&gt;=1,ROUND(_xlpm.val,3)&amp;" L",MAX(1,ROUND(_xlpm.val*100,0))&amp;" cl"),IF(_xlpm.estPoids,IF(ROUND(_xlpm.val,3)&gt;=1,ROUND(_xlpm.val,3)&amp;" Kg",MAX(1,ROUND(_xlpm.val*1000,0))&amp;" g"),"")))</f>
        <v/>
      </c>
      <c r="R238" s="104" t="str">
        <f t="shared" si="39"/>
        <v>►</v>
      </c>
      <c r="S238" s="32" t="str">
        <f>S225</f>
        <v>N NAME OF YOUR RECIPE | |  Author &gt; YOU</v>
      </c>
      <c r="T238" s="33">
        <f>T225</f>
        <v>18</v>
      </c>
      <c r="U238" s="32" t="str">
        <f>U225</f>
        <v>desserts</v>
      </c>
      <c r="V238" s="34" t="str">
        <f>V225</f>
        <v>Master recipe ► Enter the main recipe name</v>
      </c>
      <c r="W238" s="92"/>
      <c r="X238" s="108"/>
      <c r="Y238" s="94" t="str">
        <f t="shared" si="36"/>
        <v/>
      </c>
      <c r="Z238" s="95"/>
      <c r="AA238" s="126"/>
      <c r="AB238" s="127">
        <v>1</v>
      </c>
      <c r="AC238" s="920"/>
      <c r="AD238" s="1495">
        <f>IF(OR(ISBLANK(W223),AD223=0),0,W238*AB224)</f>
        <v>0</v>
      </c>
      <c r="AE238" s="101" cm="1">
        <f t="array" ref="AE238">IFERROR(_xlfn.LET(_xlpm.k,UPPER(TRIM(AA238)),_xlpm.r,_xlfn.XLOOKUP(_xlpm.k,UPPER(TRIM(W260:AF260)),W261:AF261,_xlfn.XLOOKUP(_xlpm.k,UPPER(TRIM(W262:AF262)),W263:AF263)),_xlpm.r*Z238*AB238*AB224*IF(ISBLANK(W238),1,W238)),0)</f>
        <v>0</v>
      </c>
      <c r="AF238" s="1475" t="str">
        <f>_xlfn.LET(_xlpm.unite,SUBSTITUTE(TRIM(AA238)," (s)",""),_xlpm.val,AE238,_xlpm.estVol,COUNTIF(Z260:AF260,_xlpm.unite)+COUNTIF(Z262:AF262,_xlpm.unite)&gt;0,_xlpm.estPoids,COUNTIF(W260:Y260,_xlpm.unite)+COUNTIF(W262:Y262,_xlpm.unite)&gt;0,IF(_xlpm.estVol,IF(ROUND(_xlpm.val,3)&gt;=1,ROUND(_xlpm.val,3)&amp;" L",MAX(1,ROUND(_xlpm.val*100,0))&amp;" cl"),IF(_xlpm.estPoids,IF(ROUND(_xlpm.val,3)&gt;=1,ROUND(_xlpm.val,3)&amp;" Kg",MAX(1,ROUND(_xlpm.val*1000,0))&amp;" g"),"")))</f>
        <v/>
      </c>
      <c r="AH238" s="104" t="str">
        <f t="shared" si="40"/>
        <v>►</v>
      </c>
      <c r="AI238" s="32" t="str">
        <f>AI225</f>
        <v>N NOMBRE DE LA RECETA | | Autor &gt; USTED</v>
      </c>
      <c r="AJ238" s="33">
        <f>AJ225</f>
        <v>18</v>
      </c>
      <c r="AK238" s="32" t="str">
        <f>AK225</f>
        <v>postres</v>
      </c>
      <c r="AL238" s="34" t="str">
        <f>AL225</f>
        <v>Receta madre ► Introduzca el nombre de la receta principal</v>
      </c>
      <c r="AM238" s="92"/>
      <c r="AN238" s="108"/>
      <c r="AO238" s="94" t="str">
        <f t="shared" si="37"/>
        <v/>
      </c>
      <c r="AP238" s="95"/>
      <c r="AQ238" s="126"/>
      <c r="AR238" s="127">
        <v>1</v>
      </c>
      <c r="AS238" s="920"/>
      <c r="AT238" s="1495">
        <f>IF(OR(ISBLANK(AM223),AT223=0),0,AM238*AR224)</f>
        <v>0</v>
      </c>
      <c r="AU238" s="101" cm="1">
        <f t="array" ref="AU238">IFERROR(_xlfn.LET(_xlpm.k,UPPER(TRIM(AQ238)),_xlpm.r,_xlfn.XLOOKUP(_xlpm.k,UPPER(TRIM(AM260:AV260)),AM261:AV261,_xlfn.XLOOKUP(_xlpm.k,UPPER(TRIM(AM262:AV262)),AM263:AV263)),_xlpm.r*AP238*AR238*AR224*IF(ISBLANK(AM238),1,AM238)),0)</f>
        <v>0</v>
      </c>
      <c r="AV238" s="1475" t="str">
        <f>_xlfn.LET(_xlpm.unite,SUBSTITUTE(TRIM(AQ238)," (s)",""),_xlpm.val,AU238,_xlpm.estVol,COUNTIF(AP260:AV260,_xlpm.unite)+COUNTIF(AP262:AV262,_xlpm.unite)&gt;0,_xlpm.estPoids,COUNTIF(AM260:AO260,_xlpm.unite)+COUNTIF(AM262:AO262,_xlpm.unite)&gt;0,IF(_xlpm.estVol,IF(ROUND(_xlpm.val,3)&gt;=1,ROUND(_xlpm.val,3)&amp;" L",MAX(1,ROUND(_xlpm.val*100,0))&amp;" cl"),IF(_xlpm.estPoids,IF(ROUND(_xlpm.val,3)&gt;=1,ROUND(_xlpm.val,3)&amp;" Kg",MAX(1,ROUND(_xlpm.val*1000,0))&amp;" g"),"")))</f>
        <v/>
      </c>
      <c r="AX238" s="495"/>
      <c r="AY238" s="185" t="s">
        <v>724</v>
      </c>
      <c r="AZ238" s="9"/>
      <c r="BA238" s="9"/>
      <c r="BB238" s="630" t="s">
        <v>725</v>
      </c>
      <c r="BC238" s="9"/>
      <c r="BD238" s="41"/>
      <c r="BF238" s="495"/>
      <c r="BG238" s="185" t="s">
        <v>726</v>
      </c>
      <c r="BH238" s="9"/>
      <c r="BI238" s="9"/>
      <c r="BJ238" s="630" t="s">
        <v>727</v>
      </c>
      <c r="BK238" s="9"/>
      <c r="BL238" s="41"/>
      <c r="BN238" s="495"/>
      <c r="BO238" s="185" t="s">
        <v>728</v>
      </c>
      <c r="BP238" s="9"/>
      <c r="BQ238" s="9"/>
      <c r="BR238" s="630" t="s">
        <v>729</v>
      </c>
      <c r="BS238" s="9"/>
      <c r="BT238" s="41"/>
      <c r="BV238" s="3">
        <v>1</v>
      </c>
    </row>
    <row r="239" spans="2:74" ht="21" customHeight="1">
      <c r="B239" s="104" t="str">
        <f t="shared" si="38"/>
        <v>►</v>
      </c>
      <c r="C239" s="32" t="str">
        <f>C225</f>
        <v>N NOM DE VOTRE RECETTE | | Auteur &gt; VOUS</v>
      </c>
      <c r="D239" s="33">
        <f>D225</f>
        <v>18</v>
      </c>
      <c r="E239" s="32" t="str">
        <f>E225</f>
        <v>desserts</v>
      </c>
      <c r="F239" s="34" t="str">
        <f>F225</f>
        <v>Recette mère ► Saisir le nom de la recette principale</v>
      </c>
      <c r="G239" s="92"/>
      <c r="H239" s="108"/>
      <c r="I239" s="94" t="str">
        <f t="shared" si="35"/>
        <v/>
      </c>
      <c r="J239" s="95"/>
      <c r="K239" s="126"/>
      <c r="L239" s="127">
        <v>1</v>
      </c>
      <c r="M239" s="920"/>
      <c r="N239" s="1495">
        <f>IF(OR(ISBLANK(G223),N223=0),0,G239*L224)</f>
        <v>0</v>
      </c>
      <c r="O239" s="101" cm="1">
        <f t="array" ref="O239">IFERROR(_xlfn.LET(_xlpm.k,UPPER(TRIM(K239)),_xlpm.r,_xlfn.XLOOKUP(_xlpm.k,UPPER(TRIM(G260:P260)),G261:P261,_xlfn.XLOOKUP(_xlpm.k,UPPER(TRIM(G262:P262)),G263:P263)),_xlpm.r*J239*L239*L224*IF(ISBLANK(G239),1,G239)),0)</f>
        <v>0</v>
      </c>
      <c r="P239" s="1476" t="str">
        <f>_xlfn.LET(_xlpm.unite,SUBSTITUTE(TRIM(K239)," (s)",""),_xlpm.val,O239,_xlpm.estVol,COUNTIF(J260:P260,_xlpm.unite)+COUNTIF(J262:P262,_xlpm.unite)&gt;0,_xlpm.estPoids,COUNTIF(G260:I260,_xlpm.unite)+COUNTIF(G262:I262,_xlpm.unite)&gt;0,IF(_xlpm.estVol,IF(ROUND(_xlpm.val,3)&gt;=1,ROUND(_xlpm.val,3)&amp;" L",MAX(1,ROUND(_xlpm.val*100,0))&amp;" cl"),IF(_xlpm.estPoids,IF(ROUND(_xlpm.val,3)&gt;=1,ROUND(_xlpm.val,3)&amp;" Kg",MAX(1,ROUND(_xlpm.val*1000,0))&amp;" g"),"")))</f>
        <v/>
      </c>
      <c r="R239" s="104" t="str">
        <f t="shared" si="39"/>
        <v>►</v>
      </c>
      <c r="S239" s="32" t="str">
        <f>S225</f>
        <v>N NAME OF YOUR RECIPE | |  Author &gt; YOU</v>
      </c>
      <c r="T239" s="33">
        <f>T225</f>
        <v>18</v>
      </c>
      <c r="U239" s="32" t="str">
        <f>U225</f>
        <v>desserts</v>
      </c>
      <c r="V239" s="34" t="str">
        <f>V225</f>
        <v>Master recipe ► Enter the main recipe name</v>
      </c>
      <c r="W239" s="92"/>
      <c r="X239" s="108"/>
      <c r="Y239" s="94" t="str">
        <f t="shared" si="36"/>
        <v/>
      </c>
      <c r="Z239" s="95"/>
      <c r="AA239" s="126"/>
      <c r="AB239" s="127">
        <v>1</v>
      </c>
      <c r="AC239" s="920"/>
      <c r="AD239" s="1495">
        <f>IF(OR(ISBLANK(W223),AD223=0),0,W239*AB224)</f>
        <v>0</v>
      </c>
      <c r="AE239" s="101" cm="1">
        <f t="array" ref="AE239">IFERROR(_xlfn.LET(_xlpm.k,UPPER(TRIM(AA239)),_xlpm.r,_xlfn.XLOOKUP(_xlpm.k,UPPER(TRIM(W260:AF260)),W261:AF261,_xlfn.XLOOKUP(_xlpm.k,UPPER(TRIM(W262:AF262)),W263:AF263)),_xlpm.r*Z239*AB239*AB224*IF(ISBLANK(W239),1,W239)),0)</f>
        <v>0</v>
      </c>
      <c r="AF239" s="1476" t="str">
        <f>_xlfn.LET(_xlpm.unite,SUBSTITUTE(TRIM(AA239)," (s)",""),_xlpm.val,AE239,_xlpm.estVol,COUNTIF(Z260:AF260,_xlpm.unite)+COUNTIF(Z262:AF262,_xlpm.unite)&gt;0,_xlpm.estPoids,COUNTIF(W260:Y260,_xlpm.unite)+COUNTIF(W262:Y262,_xlpm.unite)&gt;0,IF(_xlpm.estVol,IF(ROUND(_xlpm.val,3)&gt;=1,ROUND(_xlpm.val,3)&amp;" L",MAX(1,ROUND(_xlpm.val*100,0))&amp;" cl"),IF(_xlpm.estPoids,IF(ROUND(_xlpm.val,3)&gt;=1,ROUND(_xlpm.val,3)&amp;" Kg",MAX(1,ROUND(_xlpm.val*1000,0))&amp;" g"),"")))</f>
        <v/>
      </c>
      <c r="AH239" s="104" t="str">
        <f t="shared" si="40"/>
        <v>►</v>
      </c>
      <c r="AI239" s="32" t="str">
        <f>AI225</f>
        <v>N NOMBRE DE LA RECETA | | Autor &gt; USTED</v>
      </c>
      <c r="AJ239" s="33">
        <f>AJ225</f>
        <v>18</v>
      </c>
      <c r="AK239" s="32" t="str">
        <f>AK225</f>
        <v>postres</v>
      </c>
      <c r="AL239" s="34" t="str">
        <f>AL225</f>
        <v>Receta madre ► Introduzca el nombre de la receta principal</v>
      </c>
      <c r="AM239" s="92"/>
      <c r="AN239" s="108"/>
      <c r="AO239" s="94" t="str">
        <f t="shared" si="37"/>
        <v/>
      </c>
      <c r="AP239" s="95"/>
      <c r="AQ239" s="126"/>
      <c r="AR239" s="127">
        <v>1</v>
      </c>
      <c r="AS239" s="920"/>
      <c r="AT239" s="1495">
        <f>IF(OR(ISBLANK(AM223),AT223=0),0,AM239*AR224)</f>
        <v>0</v>
      </c>
      <c r="AU239" s="101" cm="1">
        <f t="array" ref="AU239">IFERROR(_xlfn.LET(_xlpm.k,UPPER(TRIM(AQ239)),_xlpm.r,_xlfn.XLOOKUP(_xlpm.k,UPPER(TRIM(AM260:AV260)),AM261:AV261,_xlfn.XLOOKUP(_xlpm.k,UPPER(TRIM(AM262:AV262)),AM263:AV263)),_xlpm.r*AP239*AR239*AR224*IF(ISBLANK(AM239),1,AM239)),0)</f>
        <v>0</v>
      </c>
      <c r="AV239" s="1476" t="str">
        <f>_xlfn.LET(_xlpm.unite,SUBSTITUTE(TRIM(AQ239)," (s)",""),_xlpm.val,AU239,_xlpm.estVol,COUNTIF(AP260:AV260,_xlpm.unite)+COUNTIF(AP262:AV262,_xlpm.unite)&gt;0,_xlpm.estPoids,COUNTIF(AM260:AO260,_xlpm.unite)+COUNTIF(AM262:AO262,_xlpm.unite)&gt;0,IF(_xlpm.estVol,IF(ROUND(_xlpm.val,3)&gt;=1,ROUND(_xlpm.val,3)&amp;" L",MAX(1,ROUND(_xlpm.val*100,0))&amp;" cl"),IF(_xlpm.estPoids,IF(ROUND(_xlpm.val,3)&gt;=1,ROUND(_xlpm.val,3)&amp;" Kg",MAX(1,ROUND(_xlpm.val*1000,0))&amp;" g"),"")))</f>
        <v/>
      </c>
      <c r="AX239" s="495"/>
      <c r="AY239" s="185"/>
      <c r="AZ239" s="9"/>
      <c r="BA239" s="9"/>
      <c r="BB239" s="630" t="s">
        <v>730</v>
      </c>
      <c r="BC239" s="9"/>
      <c r="BD239" s="41"/>
      <c r="BF239" s="495"/>
      <c r="BG239" s="185"/>
      <c r="BH239" s="9"/>
      <c r="BI239" s="9"/>
      <c r="BJ239" s="630" t="s">
        <v>731</v>
      </c>
      <c r="BK239" s="9"/>
      <c r="BL239" s="41"/>
      <c r="BN239" s="495"/>
      <c r="BO239" s="185"/>
      <c r="BP239" s="9"/>
      <c r="BQ239" s="9"/>
      <c r="BR239" s="630" t="s">
        <v>732</v>
      </c>
      <c r="BS239" s="9"/>
      <c r="BT239" s="41"/>
      <c r="BV239" s="3">
        <v>1</v>
      </c>
    </row>
    <row r="240" spans="2:74" ht="21" customHeight="1">
      <c r="B240" s="104" t="str">
        <f t="shared" si="38"/>
        <v>►</v>
      </c>
      <c r="C240" s="32" t="str">
        <f>C225</f>
        <v>N NOM DE VOTRE RECETTE | | Auteur &gt; VOUS</v>
      </c>
      <c r="D240" s="33">
        <f>D225</f>
        <v>18</v>
      </c>
      <c r="E240" s="32" t="str">
        <f>E225</f>
        <v>desserts</v>
      </c>
      <c r="F240" s="34" t="str">
        <f>F225</f>
        <v>Recette mère ► Saisir le nom de la recette principale</v>
      </c>
      <c r="G240" s="92"/>
      <c r="H240" s="108"/>
      <c r="I240" s="94" t="str">
        <f t="shared" si="35"/>
        <v/>
      </c>
      <c r="J240" s="95"/>
      <c r="K240" s="126"/>
      <c r="L240" s="127">
        <v>1</v>
      </c>
      <c r="M240" s="920"/>
      <c r="N240" s="1495">
        <f>IF(OR(ISBLANK(G223),N223=0),0,G240*L224)</f>
        <v>0</v>
      </c>
      <c r="O240" s="101" cm="1">
        <f t="array" ref="O240">IFERROR(_xlfn.LET(_xlpm.k,UPPER(TRIM(K240)),_xlpm.r,_xlfn.XLOOKUP(_xlpm.k,UPPER(TRIM(G260:P260)),G261:P261,_xlfn.XLOOKUP(_xlpm.k,UPPER(TRIM(G262:P262)),G263:P263)),_xlpm.r*J240*L240*L224*IF(ISBLANK(G240),1,G240)),0)</f>
        <v>0</v>
      </c>
      <c r="P240" s="1475" t="str">
        <f>_xlfn.LET(_xlpm.unite,SUBSTITUTE(TRIM(K240)," (s)",""),_xlpm.val,O240,_xlpm.estVol,COUNTIF(J260:P260,_xlpm.unite)+COUNTIF(J262:P262,_xlpm.unite)&gt;0,_xlpm.estPoids,COUNTIF(G260:I260,_xlpm.unite)+COUNTIF(G262:I262,_xlpm.unite)&gt;0,IF(_xlpm.estVol,IF(ROUND(_xlpm.val,3)&gt;=1,ROUND(_xlpm.val,3)&amp;" L",MAX(1,ROUND(_xlpm.val*100,0))&amp;" cl"),IF(_xlpm.estPoids,IF(ROUND(_xlpm.val,3)&gt;=1,ROUND(_xlpm.val,3)&amp;" Kg",MAX(1,ROUND(_xlpm.val*1000,0))&amp;" g"),"")))</f>
        <v/>
      </c>
      <c r="R240" s="104" t="str">
        <f t="shared" si="39"/>
        <v>►</v>
      </c>
      <c r="S240" s="32" t="str">
        <f>S225</f>
        <v>N NAME OF YOUR RECIPE | |  Author &gt; YOU</v>
      </c>
      <c r="T240" s="33">
        <f>T225</f>
        <v>18</v>
      </c>
      <c r="U240" s="32" t="str">
        <f>U225</f>
        <v>desserts</v>
      </c>
      <c r="V240" s="34" t="str">
        <f>V225</f>
        <v>Master recipe ► Enter the main recipe name</v>
      </c>
      <c r="W240" s="92"/>
      <c r="X240" s="108"/>
      <c r="Y240" s="94" t="str">
        <f t="shared" si="36"/>
        <v/>
      </c>
      <c r="Z240" s="95"/>
      <c r="AA240" s="126"/>
      <c r="AB240" s="127">
        <v>1</v>
      </c>
      <c r="AC240" s="920"/>
      <c r="AD240" s="1495">
        <f>IF(OR(ISBLANK(W223),AD223=0),0,W240*AB224)</f>
        <v>0</v>
      </c>
      <c r="AE240" s="101" cm="1">
        <f t="array" ref="AE240">IFERROR(_xlfn.LET(_xlpm.k,UPPER(TRIM(AA240)),_xlpm.r,_xlfn.XLOOKUP(_xlpm.k,UPPER(TRIM(W260:AF260)),W261:AF261,_xlfn.XLOOKUP(_xlpm.k,UPPER(TRIM(W262:AF262)),W263:AF263)),_xlpm.r*Z240*AB240*AB224*IF(ISBLANK(W240),1,W240)),0)</f>
        <v>0</v>
      </c>
      <c r="AF240" s="1475" t="str">
        <f>_xlfn.LET(_xlpm.unite,SUBSTITUTE(TRIM(AA240)," (s)",""),_xlpm.val,AE240,_xlpm.estVol,COUNTIF(Z260:AF260,_xlpm.unite)+COUNTIF(Z262:AF262,_xlpm.unite)&gt;0,_xlpm.estPoids,COUNTIF(W260:Y260,_xlpm.unite)+COUNTIF(W262:Y262,_xlpm.unite)&gt;0,IF(_xlpm.estVol,IF(ROUND(_xlpm.val,3)&gt;=1,ROUND(_xlpm.val,3)&amp;" L",MAX(1,ROUND(_xlpm.val*100,0))&amp;" cl"),IF(_xlpm.estPoids,IF(ROUND(_xlpm.val,3)&gt;=1,ROUND(_xlpm.val,3)&amp;" Kg",MAX(1,ROUND(_xlpm.val*1000,0))&amp;" g"),"")))</f>
        <v/>
      </c>
      <c r="AH240" s="104" t="str">
        <f t="shared" si="40"/>
        <v>►</v>
      </c>
      <c r="AI240" s="32" t="str">
        <f>AI225</f>
        <v>N NOMBRE DE LA RECETA | | Autor &gt; USTED</v>
      </c>
      <c r="AJ240" s="33">
        <f>AJ225</f>
        <v>18</v>
      </c>
      <c r="AK240" s="32" t="str">
        <f>AK225</f>
        <v>postres</v>
      </c>
      <c r="AL240" s="34" t="str">
        <f>AL225</f>
        <v>Receta madre ► Introduzca el nombre de la receta principal</v>
      </c>
      <c r="AM240" s="92"/>
      <c r="AN240" s="108"/>
      <c r="AO240" s="94" t="str">
        <f t="shared" si="37"/>
        <v/>
      </c>
      <c r="AP240" s="95"/>
      <c r="AQ240" s="126"/>
      <c r="AR240" s="127">
        <v>1</v>
      </c>
      <c r="AS240" s="920"/>
      <c r="AT240" s="1495">
        <f>IF(OR(ISBLANK(AM223),AT223=0),0,AM240*AR224)</f>
        <v>0</v>
      </c>
      <c r="AU240" s="101" cm="1">
        <f t="array" ref="AU240">IFERROR(_xlfn.LET(_xlpm.k,UPPER(TRIM(AQ240)),_xlpm.r,_xlfn.XLOOKUP(_xlpm.k,UPPER(TRIM(AM260:AV260)),AM261:AV261,_xlfn.XLOOKUP(_xlpm.k,UPPER(TRIM(AM262:AV262)),AM263:AV263)),_xlpm.r*AP240*AR240*AR224*IF(ISBLANK(AM240),1,AM240)),0)</f>
        <v>0</v>
      </c>
      <c r="AV240" s="1475" t="str">
        <f>_xlfn.LET(_xlpm.unite,SUBSTITUTE(TRIM(AQ240)," (s)",""),_xlpm.val,AU240,_xlpm.estVol,COUNTIF(AP260:AV260,_xlpm.unite)+COUNTIF(AP262:AV262,_xlpm.unite)&gt;0,_xlpm.estPoids,COUNTIF(AM260:AO260,_xlpm.unite)+COUNTIF(AM262:AO262,_xlpm.unite)&gt;0,IF(_xlpm.estVol,IF(ROUND(_xlpm.val,3)&gt;=1,ROUND(_xlpm.val,3)&amp;" L",MAX(1,ROUND(_xlpm.val*100,0))&amp;" cl"),IF(_xlpm.estPoids,IF(ROUND(_xlpm.val,3)&gt;=1,ROUND(_xlpm.val,3)&amp;" Kg",MAX(1,ROUND(_xlpm.val*1000,0))&amp;" g"),"")))</f>
        <v/>
      </c>
      <c r="AX240" s="632"/>
      <c r="AY240" s="9"/>
      <c r="AZ240" s="9"/>
      <c r="BA240" s="9"/>
      <c r="BB240" s="9"/>
      <c r="BC240" s="9"/>
      <c r="BD240" s="41"/>
      <c r="BF240" s="632"/>
      <c r="BG240" s="9"/>
      <c r="BH240" s="9"/>
      <c r="BI240" s="9"/>
      <c r="BJ240" s="9"/>
      <c r="BK240" s="9"/>
      <c r="BL240" s="41"/>
      <c r="BN240" s="632"/>
      <c r="BO240" s="9"/>
      <c r="BP240" s="9"/>
      <c r="BQ240" s="9"/>
      <c r="BR240" s="9"/>
      <c r="BS240" s="9"/>
      <c r="BT240" s="41"/>
      <c r="BV240" s="3">
        <v>1</v>
      </c>
    </row>
    <row r="241" spans="2:74" ht="21" customHeight="1">
      <c r="B241" s="104" t="str">
        <f t="shared" si="38"/>
        <v>►</v>
      </c>
      <c r="C241" s="32" t="str">
        <f>C225</f>
        <v>N NOM DE VOTRE RECETTE | | Auteur &gt; VOUS</v>
      </c>
      <c r="D241" s="33">
        <f>D225</f>
        <v>18</v>
      </c>
      <c r="E241" s="32" t="str">
        <f>E225</f>
        <v>desserts</v>
      </c>
      <c r="F241" s="34" t="str">
        <f>F225</f>
        <v>Recette mère ► Saisir le nom de la recette principale</v>
      </c>
      <c r="G241" s="92"/>
      <c r="H241" s="108"/>
      <c r="I241" s="94" t="str">
        <f t="shared" si="35"/>
        <v/>
      </c>
      <c r="J241" s="95"/>
      <c r="K241" s="126"/>
      <c r="L241" s="127">
        <v>1</v>
      </c>
      <c r="M241" s="920"/>
      <c r="N241" s="1495">
        <f>IF(OR(ISBLANK(G223),N223=0),0,G241*L224)</f>
        <v>0</v>
      </c>
      <c r="O241" s="101" cm="1">
        <f t="array" ref="O241">IFERROR(_xlfn.LET(_xlpm.k,UPPER(TRIM(K241)),_xlpm.r,_xlfn.XLOOKUP(_xlpm.k,UPPER(TRIM(G260:P260)),G261:P261,_xlfn.XLOOKUP(_xlpm.k,UPPER(TRIM(G262:P262)),G263:P263)),_xlpm.r*J241*L241*L224*IF(ISBLANK(G241),1,G241)),0)</f>
        <v>0</v>
      </c>
      <c r="P241" s="1476" t="str">
        <f>_xlfn.LET(_xlpm.unite,SUBSTITUTE(TRIM(K241)," (s)",""),_xlpm.val,O241,_xlpm.estVol,COUNTIF(J260:P260,_xlpm.unite)+COUNTIF(J262:P262,_xlpm.unite)&gt;0,_xlpm.estPoids,COUNTIF(G260:I260,_xlpm.unite)+COUNTIF(G262:I262,_xlpm.unite)&gt;0,IF(_xlpm.estVol,IF(ROUND(_xlpm.val,3)&gt;=1,ROUND(_xlpm.val,3)&amp;" L",MAX(1,ROUND(_xlpm.val*100,0))&amp;" cl"),IF(_xlpm.estPoids,IF(ROUND(_xlpm.val,3)&gt;=1,ROUND(_xlpm.val,3)&amp;" Kg",MAX(1,ROUND(_xlpm.val*1000,0))&amp;" g"),"")))</f>
        <v/>
      </c>
      <c r="R241" s="104" t="str">
        <f t="shared" si="39"/>
        <v>►</v>
      </c>
      <c r="S241" s="32" t="str">
        <f>S225</f>
        <v>N NAME OF YOUR RECIPE | |  Author &gt; YOU</v>
      </c>
      <c r="T241" s="33">
        <f>T225</f>
        <v>18</v>
      </c>
      <c r="U241" s="32" t="str">
        <f>U225</f>
        <v>desserts</v>
      </c>
      <c r="V241" s="34" t="str">
        <f>V225</f>
        <v>Master recipe ► Enter the main recipe name</v>
      </c>
      <c r="W241" s="92"/>
      <c r="X241" s="108"/>
      <c r="Y241" s="94" t="str">
        <f t="shared" si="36"/>
        <v/>
      </c>
      <c r="Z241" s="95"/>
      <c r="AA241" s="126"/>
      <c r="AB241" s="127">
        <v>1</v>
      </c>
      <c r="AC241" s="920"/>
      <c r="AD241" s="1495">
        <f>IF(OR(ISBLANK(W223),AD223=0),0,W241*AB224)</f>
        <v>0</v>
      </c>
      <c r="AE241" s="101" cm="1">
        <f t="array" ref="AE241">IFERROR(_xlfn.LET(_xlpm.k,UPPER(TRIM(AA241)),_xlpm.r,_xlfn.XLOOKUP(_xlpm.k,UPPER(TRIM(W260:AF260)),W261:AF261,_xlfn.XLOOKUP(_xlpm.k,UPPER(TRIM(W262:AF262)),W263:AF263)),_xlpm.r*Z241*AB241*AB224*IF(ISBLANK(W241),1,W241)),0)</f>
        <v>0</v>
      </c>
      <c r="AF241" s="1476" t="str">
        <f>_xlfn.LET(_xlpm.unite,SUBSTITUTE(TRIM(AA241)," (s)",""),_xlpm.val,AE241,_xlpm.estVol,COUNTIF(Z260:AF260,_xlpm.unite)+COUNTIF(Z262:AF262,_xlpm.unite)&gt;0,_xlpm.estPoids,COUNTIF(W260:Y260,_xlpm.unite)+COUNTIF(W262:Y262,_xlpm.unite)&gt;0,IF(_xlpm.estVol,IF(ROUND(_xlpm.val,3)&gt;=1,ROUND(_xlpm.val,3)&amp;" L",MAX(1,ROUND(_xlpm.val*100,0))&amp;" cl"),IF(_xlpm.estPoids,IF(ROUND(_xlpm.val,3)&gt;=1,ROUND(_xlpm.val,3)&amp;" Kg",MAX(1,ROUND(_xlpm.val*1000,0))&amp;" g"),"")))</f>
        <v/>
      </c>
      <c r="AH241" s="104" t="str">
        <f t="shared" si="40"/>
        <v>►</v>
      </c>
      <c r="AI241" s="32" t="str">
        <f>AI225</f>
        <v>N NOMBRE DE LA RECETA | | Autor &gt; USTED</v>
      </c>
      <c r="AJ241" s="33">
        <f>AJ225</f>
        <v>18</v>
      </c>
      <c r="AK241" s="32" t="str">
        <f>AK225</f>
        <v>postres</v>
      </c>
      <c r="AL241" s="34" t="str">
        <f>AL225</f>
        <v>Receta madre ► Introduzca el nombre de la receta principal</v>
      </c>
      <c r="AM241" s="92"/>
      <c r="AN241" s="108"/>
      <c r="AO241" s="94" t="str">
        <f t="shared" si="37"/>
        <v/>
      </c>
      <c r="AP241" s="95"/>
      <c r="AQ241" s="126"/>
      <c r="AR241" s="127">
        <v>1</v>
      </c>
      <c r="AS241" s="920"/>
      <c r="AT241" s="1495">
        <f>IF(OR(ISBLANK(AM223),AT223=0),0,AM241*AR224)</f>
        <v>0</v>
      </c>
      <c r="AU241" s="101" cm="1">
        <f t="array" ref="AU241">IFERROR(_xlfn.LET(_xlpm.k,UPPER(TRIM(AQ241)),_xlpm.r,_xlfn.XLOOKUP(_xlpm.k,UPPER(TRIM(AM260:AV260)),AM261:AV261,_xlfn.XLOOKUP(_xlpm.k,UPPER(TRIM(AM262:AV262)),AM263:AV263)),_xlpm.r*AP241*AR241*AR224*IF(ISBLANK(AM241),1,AM241)),0)</f>
        <v>0</v>
      </c>
      <c r="AV241" s="1476" t="str">
        <f>_xlfn.LET(_xlpm.unite,SUBSTITUTE(TRIM(AQ241)," (s)",""),_xlpm.val,AU241,_xlpm.estVol,COUNTIF(AP260:AV260,_xlpm.unite)+COUNTIF(AP262:AV262,_xlpm.unite)&gt;0,_xlpm.estPoids,COUNTIF(AM260:AO260,_xlpm.unite)+COUNTIF(AM262:AO262,_xlpm.unite)&gt;0,IF(_xlpm.estVol,IF(ROUND(_xlpm.val,3)&gt;=1,ROUND(_xlpm.val,3)&amp;" L",MAX(1,ROUND(_xlpm.val*100,0))&amp;" cl"),IF(_xlpm.estPoids,IF(ROUND(_xlpm.val,3)&gt;=1,ROUND(_xlpm.val,3)&amp;" Kg",MAX(1,ROUND(_xlpm.val*1000,0))&amp;" g"),"")))</f>
        <v/>
      </c>
      <c r="AX241" s="633"/>
      <c r="AY241" s="634"/>
      <c r="AZ241" s="634" t="s">
        <v>208</v>
      </c>
      <c r="BA241" s="635"/>
      <c r="BB241" s="635"/>
      <c r="BC241" s="635"/>
      <c r="BD241" s="41"/>
      <c r="BF241" s="633"/>
      <c r="BG241" s="634"/>
      <c r="BH241" s="634" t="s">
        <v>208</v>
      </c>
      <c r="BI241" s="635"/>
      <c r="BJ241" s="635"/>
      <c r="BK241" s="635"/>
      <c r="BL241" s="41"/>
      <c r="BN241" s="633"/>
      <c r="BO241" s="634"/>
      <c r="BP241" s="634" t="s">
        <v>208</v>
      </c>
      <c r="BQ241" s="635"/>
      <c r="BR241" s="635"/>
      <c r="BS241" s="635"/>
      <c r="BT241" s="41"/>
      <c r="BV241" s="3">
        <v>1</v>
      </c>
    </row>
    <row r="242" spans="2:74" ht="21" customHeight="1">
      <c r="B242" s="104" t="str">
        <f t="shared" si="38"/>
        <v>►</v>
      </c>
      <c r="C242" s="32" t="str">
        <f>C225</f>
        <v>N NOM DE VOTRE RECETTE | | Auteur &gt; VOUS</v>
      </c>
      <c r="D242" s="33">
        <f>D225</f>
        <v>18</v>
      </c>
      <c r="E242" s="32" t="str">
        <f>E225</f>
        <v>desserts</v>
      </c>
      <c r="F242" s="34" t="str">
        <f>F225</f>
        <v>Recette mère ► Saisir le nom de la recette principale</v>
      </c>
      <c r="G242" s="92"/>
      <c r="H242" s="108"/>
      <c r="I242" s="94" t="str">
        <f t="shared" si="35"/>
        <v/>
      </c>
      <c r="J242" s="95"/>
      <c r="K242" s="126"/>
      <c r="L242" s="127">
        <v>1</v>
      </c>
      <c r="M242" s="920"/>
      <c r="N242" s="1495">
        <f>IF(OR(ISBLANK(G223),N223=0),0,G242*L224)</f>
        <v>0</v>
      </c>
      <c r="O242" s="101" cm="1">
        <f t="array" ref="O242">IFERROR(_xlfn.LET(_xlpm.k,UPPER(TRIM(K242)),_xlpm.r,_xlfn.XLOOKUP(_xlpm.k,UPPER(TRIM(G260:P260)),G261:P261,_xlfn.XLOOKUP(_xlpm.k,UPPER(TRIM(G262:P262)),G263:P263)),_xlpm.r*J242*L242*L224*IF(ISBLANK(G242),1,G242)),0)</f>
        <v>0</v>
      </c>
      <c r="P242" s="1475" t="str">
        <f>_xlfn.LET(_xlpm.unite,SUBSTITUTE(TRIM(K242)," (s)",""),_xlpm.val,O242,_xlpm.estVol,COUNTIF(J260:P260,_xlpm.unite)+COUNTIF(J262:P262,_xlpm.unite)&gt;0,_xlpm.estPoids,COUNTIF(G260:I260,_xlpm.unite)+COUNTIF(G262:I262,_xlpm.unite)&gt;0,IF(_xlpm.estVol,IF(ROUND(_xlpm.val,3)&gt;=1,ROUND(_xlpm.val,3)&amp;" L",MAX(1,ROUND(_xlpm.val*100,0))&amp;" cl"),IF(_xlpm.estPoids,IF(ROUND(_xlpm.val,3)&gt;=1,ROUND(_xlpm.val,3)&amp;" Kg",MAX(1,ROUND(_xlpm.val*1000,0))&amp;" g"),"")))</f>
        <v/>
      </c>
      <c r="R242" s="104" t="str">
        <f t="shared" si="39"/>
        <v>►</v>
      </c>
      <c r="S242" s="32" t="str">
        <f>S225</f>
        <v>N NAME OF YOUR RECIPE | |  Author &gt; YOU</v>
      </c>
      <c r="T242" s="33">
        <f>T225</f>
        <v>18</v>
      </c>
      <c r="U242" s="32" t="str">
        <f>U225</f>
        <v>desserts</v>
      </c>
      <c r="V242" s="34" t="str">
        <f>V225</f>
        <v>Master recipe ► Enter the main recipe name</v>
      </c>
      <c r="W242" s="92"/>
      <c r="X242" s="108"/>
      <c r="Y242" s="94" t="str">
        <f t="shared" si="36"/>
        <v/>
      </c>
      <c r="Z242" s="95"/>
      <c r="AA242" s="126"/>
      <c r="AB242" s="127">
        <v>1</v>
      </c>
      <c r="AC242" s="920"/>
      <c r="AD242" s="1495">
        <f>IF(OR(ISBLANK(W223),AD223=0),0,W242*AB224)</f>
        <v>0</v>
      </c>
      <c r="AE242" s="101" cm="1">
        <f t="array" ref="AE242">IFERROR(_xlfn.LET(_xlpm.k,UPPER(TRIM(AA242)),_xlpm.r,_xlfn.XLOOKUP(_xlpm.k,UPPER(TRIM(W260:AF260)),W261:AF261,_xlfn.XLOOKUP(_xlpm.k,UPPER(TRIM(W262:AF262)),W263:AF263)),_xlpm.r*Z242*AB242*AB224*IF(ISBLANK(W242),1,W242)),0)</f>
        <v>0</v>
      </c>
      <c r="AF242" s="1475" t="str">
        <f>_xlfn.LET(_xlpm.unite,SUBSTITUTE(TRIM(AA242)," (s)",""),_xlpm.val,AE242,_xlpm.estVol,COUNTIF(Z260:AF260,_xlpm.unite)+COUNTIF(Z262:AF262,_xlpm.unite)&gt;0,_xlpm.estPoids,COUNTIF(W260:Y260,_xlpm.unite)+COUNTIF(W262:Y262,_xlpm.unite)&gt;0,IF(_xlpm.estVol,IF(ROUND(_xlpm.val,3)&gt;=1,ROUND(_xlpm.val,3)&amp;" L",MAX(1,ROUND(_xlpm.val*100,0))&amp;" cl"),IF(_xlpm.estPoids,IF(ROUND(_xlpm.val,3)&gt;=1,ROUND(_xlpm.val,3)&amp;" Kg",MAX(1,ROUND(_xlpm.val*1000,0))&amp;" g"),"")))</f>
        <v/>
      </c>
      <c r="AH242" s="104" t="str">
        <f t="shared" si="40"/>
        <v>►</v>
      </c>
      <c r="AI242" s="32" t="str">
        <f>AI225</f>
        <v>N NOMBRE DE LA RECETA | | Autor &gt; USTED</v>
      </c>
      <c r="AJ242" s="33">
        <f>AJ225</f>
        <v>18</v>
      </c>
      <c r="AK242" s="32" t="str">
        <f>AK225</f>
        <v>postres</v>
      </c>
      <c r="AL242" s="34" t="str">
        <f>AL225</f>
        <v>Receta madre ► Introduzca el nombre de la receta principal</v>
      </c>
      <c r="AM242" s="92"/>
      <c r="AN242" s="108"/>
      <c r="AO242" s="94" t="str">
        <f t="shared" si="37"/>
        <v/>
      </c>
      <c r="AP242" s="95"/>
      <c r="AQ242" s="126"/>
      <c r="AR242" s="127">
        <v>1</v>
      </c>
      <c r="AS242" s="920"/>
      <c r="AT242" s="1495">
        <f>IF(OR(ISBLANK(AM223),AT223=0),0,AM242*AR224)</f>
        <v>0</v>
      </c>
      <c r="AU242" s="101" cm="1">
        <f t="array" ref="AU242">IFERROR(_xlfn.LET(_xlpm.k,UPPER(TRIM(AQ242)),_xlpm.r,_xlfn.XLOOKUP(_xlpm.k,UPPER(TRIM(AM260:AV260)),AM261:AV261,_xlfn.XLOOKUP(_xlpm.k,UPPER(TRIM(AM262:AV262)),AM263:AV263)),_xlpm.r*AP242*AR242*AR224*IF(ISBLANK(AM242),1,AM242)),0)</f>
        <v>0</v>
      </c>
      <c r="AV242" s="1475" t="str">
        <f>_xlfn.LET(_xlpm.unite,SUBSTITUTE(TRIM(AQ242)," (s)",""),_xlpm.val,AU242,_xlpm.estVol,COUNTIF(AP260:AV260,_xlpm.unite)+COUNTIF(AP262:AV262,_xlpm.unite)&gt;0,_xlpm.estPoids,COUNTIF(AM260:AO260,_xlpm.unite)+COUNTIF(AM262:AO262,_xlpm.unite)&gt;0,IF(_xlpm.estVol,IF(ROUND(_xlpm.val,3)&gt;=1,ROUND(_xlpm.val,3)&amp;" L",MAX(1,ROUND(_xlpm.val*100,0))&amp;" cl"),IF(_xlpm.estPoids,IF(ROUND(_xlpm.val,3)&gt;=1,ROUND(_xlpm.val,3)&amp;" Kg",MAX(1,ROUND(_xlpm.val*1000,0))&amp;" g"),"")))</f>
        <v/>
      </c>
      <c r="AX242" s="632"/>
      <c r="AY242" s="9"/>
      <c r="AZ242" s="574" t="s">
        <v>733</v>
      </c>
      <c r="BA242" s="9"/>
      <c r="BB242" s="9"/>
      <c r="BC242" s="9"/>
      <c r="BD242" s="41"/>
      <c r="BF242" s="632"/>
      <c r="BG242" s="9"/>
      <c r="BH242" s="574" t="s">
        <v>734</v>
      </c>
      <c r="BI242" s="9"/>
      <c r="BJ242" s="9"/>
      <c r="BK242" s="9"/>
      <c r="BL242" s="41"/>
      <c r="BN242" s="632"/>
      <c r="BO242" s="9"/>
      <c r="BP242" s="574" t="s">
        <v>735</v>
      </c>
      <c r="BQ242" s="9"/>
      <c r="BR242" s="9"/>
      <c r="BS242" s="9"/>
      <c r="BT242" s="41"/>
      <c r="BV242" s="3">
        <v>1</v>
      </c>
    </row>
    <row r="243" spans="2:74" ht="21" customHeight="1">
      <c r="B243" s="104" t="str">
        <f t="shared" si="38"/>
        <v>►</v>
      </c>
      <c r="C243" s="32" t="str">
        <f>C225</f>
        <v>N NOM DE VOTRE RECETTE | | Auteur &gt; VOUS</v>
      </c>
      <c r="D243" s="33">
        <f>D225</f>
        <v>18</v>
      </c>
      <c r="E243" s="32" t="str">
        <f>E225</f>
        <v>desserts</v>
      </c>
      <c r="F243" s="34" t="str">
        <f>F225</f>
        <v>Recette mère ► Saisir le nom de la recette principale</v>
      </c>
      <c r="G243" s="92"/>
      <c r="H243" s="108"/>
      <c r="I243" s="94" t="str">
        <f t="shared" si="35"/>
        <v/>
      </c>
      <c r="J243" s="95"/>
      <c r="K243" s="126"/>
      <c r="L243" s="127">
        <v>1</v>
      </c>
      <c r="M243" s="920"/>
      <c r="N243" s="1495">
        <f>IF(OR(ISBLANK(G223),N223=0),0,G243*L224)</f>
        <v>0</v>
      </c>
      <c r="O243" s="101" cm="1">
        <f t="array" ref="O243">IFERROR(_xlfn.LET(_xlpm.k,UPPER(TRIM(K243)),_xlpm.r,_xlfn.XLOOKUP(_xlpm.k,UPPER(TRIM(G260:P260)),G261:P261,_xlfn.XLOOKUP(_xlpm.k,UPPER(TRIM(G262:P262)),G263:P263)),_xlpm.r*J243*L243*L224*IF(ISBLANK(G243),1,G243)),0)</f>
        <v>0</v>
      </c>
      <c r="P243" s="1476" t="str">
        <f>_xlfn.LET(_xlpm.unite,SUBSTITUTE(TRIM(K243)," (s)",""),_xlpm.val,O243,_xlpm.estVol,COUNTIF(J260:P260,_xlpm.unite)+COUNTIF(J262:P262,_xlpm.unite)&gt;0,_xlpm.estPoids,COUNTIF(G260:I260,_xlpm.unite)+COUNTIF(G262:I262,_xlpm.unite)&gt;0,IF(_xlpm.estVol,IF(ROUND(_xlpm.val,3)&gt;=1,ROUND(_xlpm.val,3)&amp;" L",MAX(1,ROUND(_xlpm.val*100,0))&amp;" cl"),IF(_xlpm.estPoids,IF(ROUND(_xlpm.val,3)&gt;=1,ROUND(_xlpm.val,3)&amp;" Kg",MAX(1,ROUND(_xlpm.val*1000,0))&amp;" g"),"")))</f>
        <v/>
      </c>
      <c r="R243" s="104" t="str">
        <f t="shared" si="39"/>
        <v>►</v>
      </c>
      <c r="S243" s="32" t="str">
        <f>S225</f>
        <v>N NAME OF YOUR RECIPE | |  Author &gt; YOU</v>
      </c>
      <c r="T243" s="33">
        <f>T225</f>
        <v>18</v>
      </c>
      <c r="U243" s="32" t="str">
        <f>U225</f>
        <v>desserts</v>
      </c>
      <c r="V243" s="34" t="str">
        <f>V225</f>
        <v>Master recipe ► Enter the main recipe name</v>
      </c>
      <c r="W243" s="92"/>
      <c r="X243" s="108"/>
      <c r="Y243" s="94" t="str">
        <f t="shared" si="36"/>
        <v/>
      </c>
      <c r="Z243" s="95"/>
      <c r="AA243" s="126"/>
      <c r="AB243" s="127">
        <v>1</v>
      </c>
      <c r="AC243" s="920"/>
      <c r="AD243" s="1495">
        <f>IF(OR(ISBLANK(W223),AD223=0),0,W243*AB224)</f>
        <v>0</v>
      </c>
      <c r="AE243" s="101" cm="1">
        <f t="array" ref="AE243">IFERROR(_xlfn.LET(_xlpm.k,UPPER(TRIM(AA243)),_xlpm.r,_xlfn.XLOOKUP(_xlpm.k,UPPER(TRIM(W260:AF260)),W261:AF261,_xlfn.XLOOKUP(_xlpm.k,UPPER(TRIM(W262:AF262)),W263:AF263)),_xlpm.r*Z243*AB243*AB224*IF(ISBLANK(W243),1,W243)),0)</f>
        <v>0</v>
      </c>
      <c r="AF243" s="1476" t="str">
        <f>_xlfn.LET(_xlpm.unite,SUBSTITUTE(TRIM(AA243)," (s)",""),_xlpm.val,AE243,_xlpm.estVol,COUNTIF(Z260:AF260,_xlpm.unite)+COUNTIF(Z262:AF262,_xlpm.unite)&gt;0,_xlpm.estPoids,COUNTIF(W260:Y260,_xlpm.unite)+COUNTIF(W262:Y262,_xlpm.unite)&gt;0,IF(_xlpm.estVol,IF(ROUND(_xlpm.val,3)&gt;=1,ROUND(_xlpm.val,3)&amp;" L",MAX(1,ROUND(_xlpm.val*100,0))&amp;" cl"),IF(_xlpm.estPoids,IF(ROUND(_xlpm.val,3)&gt;=1,ROUND(_xlpm.val,3)&amp;" Kg",MAX(1,ROUND(_xlpm.val*1000,0))&amp;" g"),"")))</f>
        <v/>
      </c>
      <c r="AH243" s="104" t="str">
        <f t="shared" si="40"/>
        <v>►</v>
      </c>
      <c r="AI243" s="32" t="str">
        <f>AI225</f>
        <v>N NOMBRE DE LA RECETA | | Autor &gt; USTED</v>
      </c>
      <c r="AJ243" s="33">
        <f>AJ225</f>
        <v>18</v>
      </c>
      <c r="AK243" s="32" t="str">
        <f>AK225</f>
        <v>postres</v>
      </c>
      <c r="AL243" s="34" t="str">
        <f>AL225</f>
        <v>Receta madre ► Introduzca el nombre de la receta principal</v>
      </c>
      <c r="AM243" s="92"/>
      <c r="AN243" s="108"/>
      <c r="AO243" s="94" t="str">
        <f t="shared" si="37"/>
        <v/>
      </c>
      <c r="AP243" s="95"/>
      <c r="AQ243" s="126"/>
      <c r="AR243" s="127">
        <v>1</v>
      </c>
      <c r="AS243" s="920"/>
      <c r="AT243" s="1495">
        <f>IF(OR(ISBLANK(AM223),AT223=0),0,AM243*AR224)</f>
        <v>0</v>
      </c>
      <c r="AU243" s="101" cm="1">
        <f t="array" ref="AU243">IFERROR(_xlfn.LET(_xlpm.k,UPPER(TRIM(AQ243)),_xlpm.r,_xlfn.XLOOKUP(_xlpm.k,UPPER(TRIM(AM260:AV260)),AM261:AV261,_xlfn.XLOOKUP(_xlpm.k,UPPER(TRIM(AM262:AV262)),AM263:AV263)),_xlpm.r*AP243*AR243*AR224*IF(ISBLANK(AM243),1,AM243)),0)</f>
        <v>0</v>
      </c>
      <c r="AV243" s="1476" t="str">
        <f>_xlfn.LET(_xlpm.unite,SUBSTITUTE(TRIM(AQ243)," (s)",""),_xlpm.val,AU243,_xlpm.estVol,COUNTIF(AP260:AV260,_xlpm.unite)+COUNTIF(AP262:AV262,_xlpm.unite)&gt;0,_xlpm.estPoids,COUNTIF(AM260:AO260,_xlpm.unite)+COUNTIF(AM262:AO262,_xlpm.unite)&gt;0,IF(_xlpm.estVol,IF(ROUND(_xlpm.val,3)&gt;=1,ROUND(_xlpm.val,3)&amp;" L",MAX(1,ROUND(_xlpm.val*100,0))&amp;" cl"),IF(_xlpm.estPoids,IF(ROUND(_xlpm.val,3)&gt;=1,ROUND(_xlpm.val,3)&amp;" Kg",MAX(1,ROUND(_xlpm.val*1000,0))&amp;" g"),"")))</f>
        <v/>
      </c>
      <c r="AX243" s="632"/>
      <c r="AY243" s="9"/>
      <c r="AZ243" s="636" t="s">
        <v>736</v>
      </c>
      <c r="BA243" s="9"/>
      <c r="BB243" s="9"/>
      <c r="BC243" s="9"/>
      <c r="BD243" s="41"/>
      <c r="BF243" s="632"/>
      <c r="BG243" s="9"/>
      <c r="BH243" s="636" t="s">
        <v>737</v>
      </c>
      <c r="BI243" s="9"/>
      <c r="BJ243" s="9"/>
      <c r="BK243" s="9"/>
      <c r="BL243" s="41"/>
      <c r="BN243" s="632"/>
      <c r="BO243" s="9"/>
      <c r="BP243" s="636" t="s">
        <v>738</v>
      </c>
      <c r="BQ243" s="9"/>
      <c r="BR243" s="9"/>
      <c r="BS243" s="9"/>
      <c r="BT243" s="41"/>
      <c r="BV243" s="3">
        <v>1</v>
      </c>
    </row>
    <row r="244" spans="2:74" ht="21" customHeight="1">
      <c r="B244" s="104" t="str">
        <f t="shared" si="38"/>
        <v>►</v>
      </c>
      <c r="C244" s="32" t="str">
        <f>C225</f>
        <v>N NOM DE VOTRE RECETTE | | Auteur &gt; VOUS</v>
      </c>
      <c r="D244" s="33">
        <f>D225</f>
        <v>18</v>
      </c>
      <c r="E244" s="32" t="str">
        <f>E225</f>
        <v>desserts</v>
      </c>
      <c r="F244" s="34" t="str">
        <f>F225</f>
        <v>Recette mère ► Saisir le nom de la recette principale</v>
      </c>
      <c r="G244" s="92"/>
      <c r="H244" s="108"/>
      <c r="I244" s="94" t="str">
        <f t="shared" si="35"/>
        <v/>
      </c>
      <c r="J244" s="95"/>
      <c r="K244" s="126"/>
      <c r="L244" s="127">
        <v>1</v>
      </c>
      <c r="M244" s="920"/>
      <c r="N244" s="1495">
        <f>IF(OR(ISBLANK(G223),N223=0),0,G244*L224)</f>
        <v>0</v>
      </c>
      <c r="O244" s="101" cm="1">
        <f t="array" ref="O244">IFERROR(_xlfn.LET(_xlpm.k,UPPER(TRIM(K244)),_xlpm.r,_xlfn.XLOOKUP(_xlpm.k,UPPER(TRIM(G260:P260)),G261:P261,_xlfn.XLOOKUP(_xlpm.k,UPPER(TRIM(G262:P262)),G263:P263)),_xlpm.r*J244*L244*L224*IF(ISBLANK(G244),1,G244)),0)</f>
        <v>0</v>
      </c>
      <c r="P244" s="1475" t="str">
        <f>_xlfn.LET(_xlpm.unite,SUBSTITUTE(TRIM(K244)," (s)",""),_xlpm.val,O244,_xlpm.estVol,COUNTIF(J260:P260,_xlpm.unite)+COUNTIF(J262:P262,_xlpm.unite)&gt;0,_xlpm.estPoids,COUNTIF(G260:I260,_xlpm.unite)+COUNTIF(G262:I262,_xlpm.unite)&gt;0,IF(_xlpm.estVol,IF(ROUND(_xlpm.val,3)&gt;=1,ROUND(_xlpm.val,3)&amp;" L",MAX(1,ROUND(_xlpm.val*100,0))&amp;" cl"),IF(_xlpm.estPoids,IF(ROUND(_xlpm.val,3)&gt;=1,ROUND(_xlpm.val,3)&amp;" Kg",MAX(1,ROUND(_xlpm.val*1000,0))&amp;" g"),"")))</f>
        <v/>
      </c>
      <c r="R244" s="104" t="str">
        <f t="shared" si="39"/>
        <v>►</v>
      </c>
      <c r="S244" s="32" t="str">
        <f>S225</f>
        <v>N NAME OF YOUR RECIPE | |  Author &gt; YOU</v>
      </c>
      <c r="T244" s="33">
        <f>T225</f>
        <v>18</v>
      </c>
      <c r="U244" s="32" t="str">
        <f>U225</f>
        <v>desserts</v>
      </c>
      <c r="V244" s="34" t="str">
        <f>V225</f>
        <v>Master recipe ► Enter the main recipe name</v>
      </c>
      <c r="W244" s="92"/>
      <c r="X244" s="108"/>
      <c r="Y244" s="94" t="str">
        <f t="shared" si="36"/>
        <v/>
      </c>
      <c r="Z244" s="95"/>
      <c r="AA244" s="126"/>
      <c r="AB244" s="127">
        <v>1</v>
      </c>
      <c r="AC244" s="920"/>
      <c r="AD244" s="1495">
        <f>IF(OR(ISBLANK(W223),AD223=0),0,W244*AB224)</f>
        <v>0</v>
      </c>
      <c r="AE244" s="101" cm="1">
        <f t="array" ref="AE244">IFERROR(_xlfn.LET(_xlpm.k,UPPER(TRIM(AA244)),_xlpm.r,_xlfn.XLOOKUP(_xlpm.k,UPPER(TRIM(W260:AF260)),W261:AF261,_xlfn.XLOOKUP(_xlpm.k,UPPER(TRIM(W262:AF262)),W263:AF263)),_xlpm.r*Z244*AB244*AB224*IF(ISBLANK(W244),1,W244)),0)</f>
        <v>0</v>
      </c>
      <c r="AF244" s="1475" t="str">
        <f>_xlfn.LET(_xlpm.unite,SUBSTITUTE(TRIM(AA244)," (s)",""),_xlpm.val,AE244,_xlpm.estVol,COUNTIF(Z260:AF260,_xlpm.unite)+COUNTIF(Z262:AF262,_xlpm.unite)&gt;0,_xlpm.estPoids,COUNTIF(W260:Y260,_xlpm.unite)+COUNTIF(W262:Y262,_xlpm.unite)&gt;0,IF(_xlpm.estVol,IF(ROUND(_xlpm.val,3)&gt;=1,ROUND(_xlpm.val,3)&amp;" L",MAX(1,ROUND(_xlpm.val*100,0))&amp;" cl"),IF(_xlpm.estPoids,IF(ROUND(_xlpm.val,3)&gt;=1,ROUND(_xlpm.val,3)&amp;" Kg",MAX(1,ROUND(_xlpm.val*1000,0))&amp;" g"),"")))</f>
        <v/>
      </c>
      <c r="AH244" s="104" t="str">
        <f t="shared" si="40"/>
        <v>►</v>
      </c>
      <c r="AI244" s="32" t="str">
        <f>AI225</f>
        <v>N NOMBRE DE LA RECETA | | Autor &gt; USTED</v>
      </c>
      <c r="AJ244" s="33">
        <f>AJ225</f>
        <v>18</v>
      </c>
      <c r="AK244" s="32" t="str">
        <f>AK225</f>
        <v>postres</v>
      </c>
      <c r="AL244" s="34" t="str">
        <f>AL225</f>
        <v>Receta madre ► Introduzca el nombre de la receta principal</v>
      </c>
      <c r="AM244" s="92"/>
      <c r="AN244" s="108"/>
      <c r="AO244" s="94" t="str">
        <f t="shared" si="37"/>
        <v/>
      </c>
      <c r="AP244" s="95"/>
      <c r="AQ244" s="126"/>
      <c r="AR244" s="127">
        <v>1</v>
      </c>
      <c r="AS244" s="920"/>
      <c r="AT244" s="1495">
        <f>IF(OR(ISBLANK(AM223),AT223=0),0,AM244*AR224)</f>
        <v>0</v>
      </c>
      <c r="AU244" s="101" cm="1">
        <f t="array" ref="AU244">IFERROR(_xlfn.LET(_xlpm.k,UPPER(TRIM(AQ244)),_xlpm.r,_xlfn.XLOOKUP(_xlpm.k,UPPER(TRIM(AM260:AV260)),AM261:AV261,_xlfn.XLOOKUP(_xlpm.k,UPPER(TRIM(AM262:AV262)),AM263:AV263)),_xlpm.r*AP244*AR244*AR224*IF(ISBLANK(AM244),1,AM244)),0)</f>
        <v>0</v>
      </c>
      <c r="AV244" s="1475" t="str">
        <f>_xlfn.LET(_xlpm.unite,SUBSTITUTE(TRIM(AQ244)," (s)",""),_xlpm.val,AU244,_xlpm.estVol,COUNTIF(AP260:AV260,_xlpm.unite)+COUNTIF(AP262:AV262,_xlpm.unite)&gt;0,_xlpm.estPoids,COUNTIF(AM260:AO260,_xlpm.unite)+COUNTIF(AM262:AO262,_xlpm.unite)&gt;0,IF(_xlpm.estVol,IF(ROUND(_xlpm.val,3)&gt;=1,ROUND(_xlpm.val,3)&amp;" L",MAX(1,ROUND(_xlpm.val*100,0))&amp;" cl"),IF(_xlpm.estPoids,IF(ROUND(_xlpm.val,3)&gt;=1,ROUND(_xlpm.val,3)&amp;" Kg",MAX(1,ROUND(_xlpm.val*1000,0))&amp;" g"),"")))</f>
        <v/>
      </c>
      <c r="AX244" s="632"/>
      <c r="AY244" s="9"/>
      <c r="AZ244" s="9"/>
      <c r="BA244" s="9"/>
      <c r="BB244" s="9"/>
      <c r="BC244" s="9"/>
      <c r="BD244" s="41"/>
      <c r="BF244" s="632"/>
      <c r="BG244" s="9"/>
      <c r="BH244" s="9"/>
      <c r="BI244" s="9"/>
      <c r="BJ244" s="9"/>
      <c r="BK244" s="9"/>
      <c r="BL244" s="41"/>
      <c r="BN244" s="632"/>
      <c r="BO244" s="9"/>
      <c r="BP244" s="9"/>
      <c r="BQ244" s="9"/>
      <c r="BR244" s="9"/>
      <c r="BS244" s="9"/>
      <c r="BT244" s="41"/>
      <c r="BV244" s="3">
        <v>1</v>
      </c>
    </row>
    <row r="245" spans="2:74" ht="21" customHeight="1">
      <c r="B245" s="104" t="str">
        <f t="shared" si="38"/>
        <v>►</v>
      </c>
      <c r="C245" s="32" t="str">
        <f>C225</f>
        <v>N NOM DE VOTRE RECETTE | | Auteur &gt; VOUS</v>
      </c>
      <c r="D245" s="33">
        <f>D225</f>
        <v>18</v>
      </c>
      <c r="E245" s="32" t="str">
        <f>E225</f>
        <v>desserts</v>
      </c>
      <c r="F245" s="34" t="str">
        <f>F225</f>
        <v>Recette mère ► Saisir le nom de la recette principale</v>
      </c>
      <c r="G245" s="92"/>
      <c r="H245" s="108"/>
      <c r="I245" s="94" t="str">
        <f t="shared" si="35"/>
        <v/>
      </c>
      <c r="J245" s="95"/>
      <c r="K245" s="126"/>
      <c r="L245" s="127">
        <v>1</v>
      </c>
      <c r="M245" s="920"/>
      <c r="N245" s="1495">
        <f>IF(OR(ISBLANK(G223),N223=0),0,G245*L224)</f>
        <v>0</v>
      </c>
      <c r="O245" s="101" cm="1">
        <f t="array" ref="O245">IFERROR(_xlfn.LET(_xlpm.k,UPPER(TRIM(K245)),_xlpm.r,_xlfn.XLOOKUP(_xlpm.k,UPPER(TRIM(G260:P260)),G261:P261,_xlfn.XLOOKUP(_xlpm.k,UPPER(TRIM(G262:P262)),G263:P263)),_xlpm.r*J245*L245*L224*IF(ISBLANK(G245),1,G245)),0)</f>
        <v>0</v>
      </c>
      <c r="P245" s="1476" t="str">
        <f>_xlfn.LET(_xlpm.unite,SUBSTITUTE(TRIM(K245)," (s)",""),_xlpm.val,O245,_xlpm.estVol,COUNTIF(J260:P260,_xlpm.unite)+COUNTIF(J262:P262,_xlpm.unite)&gt;0,_xlpm.estPoids,COUNTIF(G260:I260,_xlpm.unite)+COUNTIF(G262:I262,_xlpm.unite)&gt;0,IF(_xlpm.estVol,IF(ROUND(_xlpm.val,3)&gt;=1,ROUND(_xlpm.val,3)&amp;" L",MAX(1,ROUND(_xlpm.val*100,0))&amp;" cl"),IF(_xlpm.estPoids,IF(ROUND(_xlpm.val,3)&gt;=1,ROUND(_xlpm.val,3)&amp;" Kg",MAX(1,ROUND(_xlpm.val*1000,0))&amp;" g"),"")))</f>
        <v/>
      </c>
      <c r="R245" s="104" t="str">
        <f t="shared" si="39"/>
        <v>►</v>
      </c>
      <c r="S245" s="32" t="str">
        <f>S225</f>
        <v>N NAME OF YOUR RECIPE | |  Author &gt; YOU</v>
      </c>
      <c r="T245" s="33">
        <f>T225</f>
        <v>18</v>
      </c>
      <c r="U245" s="32" t="str">
        <f>U225</f>
        <v>desserts</v>
      </c>
      <c r="V245" s="34" t="str">
        <f>V225</f>
        <v>Master recipe ► Enter the main recipe name</v>
      </c>
      <c r="W245" s="92"/>
      <c r="X245" s="108"/>
      <c r="Y245" s="94" t="str">
        <f t="shared" si="36"/>
        <v/>
      </c>
      <c r="Z245" s="95"/>
      <c r="AA245" s="126"/>
      <c r="AB245" s="127">
        <v>1</v>
      </c>
      <c r="AC245" s="920"/>
      <c r="AD245" s="1495">
        <f>IF(OR(ISBLANK(W223),AD223=0),0,W245*AB224)</f>
        <v>0</v>
      </c>
      <c r="AE245" s="101" cm="1">
        <f t="array" ref="AE245">IFERROR(_xlfn.LET(_xlpm.k,UPPER(TRIM(AA245)),_xlpm.r,_xlfn.XLOOKUP(_xlpm.k,UPPER(TRIM(W260:AF260)),W261:AF261,_xlfn.XLOOKUP(_xlpm.k,UPPER(TRIM(W262:AF262)),W263:AF263)),_xlpm.r*Z245*AB245*AB224*IF(ISBLANK(W245),1,W245)),0)</f>
        <v>0</v>
      </c>
      <c r="AF245" s="1476" t="str">
        <f>_xlfn.LET(_xlpm.unite,SUBSTITUTE(TRIM(AA245)," (s)",""),_xlpm.val,AE245,_xlpm.estVol,COUNTIF(Z260:AF260,_xlpm.unite)+COUNTIF(Z262:AF262,_xlpm.unite)&gt;0,_xlpm.estPoids,COUNTIF(W260:Y260,_xlpm.unite)+COUNTIF(W262:Y262,_xlpm.unite)&gt;0,IF(_xlpm.estVol,IF(ROUND(_xlpm.val,3)&gt;=1,ROUND(_xlpm.val,3)&amp;" L",MAX(1,ROUND(_xlpm.val*100,0))&amp;" cl"),IF(_xlpm.estPoids,IF(ROUND(_xlpm.val,3)&gt;=1,ROUND(_xlpm.val,3)&amp;" Kg",MAX(1,ROUND(_xlpm.val*1000,0))&amp;" g"),"")))</f>
        <v/>
      </c>
      <c r="AH245" s="104" t="str">
        <f t="shared" si="40"/>
        <v>►</v>
      </c>
      <c r="AI245" s="32" t="str">
        <f>AI225</f>
        <v>N NOMBRE DE LA RECETA | | Autor &gt; USTED</v>
      </c>
      <c r="AJ245" s="33">
        <f>AJ225</f>
        <v>18</v>
      </c>
      <c r="AK245" s="32" t="str">
        <f>AK225</f>
        <v>postres</v>
      </c>
      <c r="AL245" s="34" t="str">
        <f>AL225</f>
        <v>Receta madre ► Introduzca el nombre de la receta principal</v>
      </c>
      <c r="AM245" s="92"/>
      <c r="AN245" s="108"/>
      <c r="AO245" s="94" t="str">
        <f t="shared" si="37"/>
        <v/>
      </c>
      <c r="AP245" s="95"/>
      <c r="AQ245" s="126"/>
      <c r="AR245" s="127">
        <v>1</v>
      </c>
      <c r="AS245" s="920"/>
      <c r="AT245" s="1495">
        <f>IF(OR(ISBLANK(AM223),AT223=0),0,AM245*AR224)</f>
        <v>0</v>
      </c>
      <c r="AU245" s="101" cm="1">
        <f t="array" ref="AU245">IFERROR(_xlfn.LET(_xlpm.k,UPPER(TRIM(AQ245)),_xlpm.r,_xlfn.XLOOKUP(_xlpm.k,UPPER(TRIM(AM260:AV260)),AM261:AV261,_xlfn.XLOOKUP(_xlpm.k,UPPER(TRIM(AM262:AV262)),AM263:AV263)),_xlpm.r*AP245*AR245*AR224*IF(ISBLANK(AM245),1,AM245)),0)</f>
        <v>0</v>
      </c>
      <c r="AV245" s="1476" t="str">
        <f>_xlfn.LET(_xlpm.unite,SUBSTITUTE(TRIM(AQ245)," (s)",""),_xlpm.val,AU245,_xlpm.estVol,COUNTIF(AP260:AV260,_xlpm.unite)+COUNTIF(AP262:AV262,_xlpm.unite)&gt;0,_xlpm.estPoids,COUNTIF(AM260:AO260,_xlpm.unite)+COUNTIF(AM262:AO262,_xlpm.unite)&gt;0,IF(_xlpm.estVol,IF(ROUND(_xlpm.val,3)&gt;=1,ROUND(_xlpm.val,3)&amp;" L",MAX(1,ROUND(_xlpm.val*100,0))&amp;" cl"),IF(_xlpm.estPoids,IF(ROUND(_xlpm.val,3)&gt;=1,ROUND(_xlpm.val,3)&amp;" Kg",MAX(1,ROUND(_xlpm.val*1000,0))&amp;" g"),"")))</f>
        <v/>
      </c>
      <c r="AX245" s="150"/>
      <c r="AY245" s="151"/>
      <c r="AZ245" s="152"/>
      <c r="BA245" s="151"/>
      <c r="BB245" s="151"/>
      <c r="BC245" s="151"/>
      <c r="BD245" s="153"/>
      <c r="BF245" s="150"/>
      <c r="BG245" s="151"/>
      <c r="BH245" s="152"/>
      <c r="BI245" s="151"/>
      <c r="BJ245" s="151"/>
      <c r="BK245" s="151"/>
      <c r="BL245" s="153"/>
      <c r="BN245" s="150"/>
      <c r="BO245" s="151"/>
      <c r="BP245" s="152"/>
      <c r="BQ245" s="151"/>
      <c r="BR245" s="151"/>
      <c r="BS245" s="151"/>
      <c r="BT245" s="153"/>
      <c r="BV245" s="3">
        <v>1</v>
      </c>
    </row>
    <row r="246" spans="2:74" ht="21" customHeight="1">
      <c r="B246" s="104" t="str">
        <f t="shared" si="38"/>
        <v>►</v>
      </c>
      <c r="C246" s="32" t="str">
        <f>C225</f>
        <v>N NOM DE VOTRE RECETTE | | Auteur &gt; VOUS</v>
      </c>
      <c r="D246" s="33">
        <f>D225</f>
        <v>18</v>
      </c>
      <c r="E246" s="32" t="str">
        <f>E225</f>
        <v>desserts</v>
      </c>
      <c r="F246" s="34" t="str">
        <f>F225</f>
        <v>Recette mère ► Saisir le nom de la recette principale</v>
      </c>
      <c r="G246" s="92"/>
      <c r="H246" s="108"/>
      <c r="I246" s="94" t="str">
        <f t="shared" si="35"/>
        <v/>
      </c>
      <c r="J246" s="95"/>
      <c r="K246" s="126"/>
      <c r="L246" s="127">
        <v>1</v>
      </c>
      <c r="M246" s="920"/>
      <c r="N246" s="1495">
        <f>IF(OR(ISBLANK(G223),N223=0),0,G246*L224)</f>
        <v>0</v>
      </c>
      <c r="O246" s="101" cm="1">
        <f t="array" ref="O246">IFERROR(_xlfn.LET(_xlpm.k,UPPER(TRIM(K246)),_xlpm.r,_xlfn.XLOOKUP(_xlpm.k,UPPER(TRIM(G260:P260)),G261:P261,_xlfn.XLOOKUP(_xlpm.k,UPPER(TRIM(G262:P262)),G263:P263)),_xlpm.r*J246*L246*L224*IF(ISBLANK(G246),1,G246)),0)</f>
        <v>0</v>
      </c>
      <c r="P246" s="1475" t="str">
        <f>_xlfn.LET(_xlpm.unite,SUBSTITUTE(TRIM(K246)," (s)",""),_xlpm.val,O246,_xlpm.estVol,COUNTIF(J260:P260,_xlpm.unite)+COUNTIF(J262:P262,_xlpm.unite)&gt;0,_xlpm.estPoids,COUNTIF(G260:I260,_xlpm.unite)+COUNTIF(G262:I262,_xlpm.unite)&gt;0,IF(_xlpm.estVol,IF(ROUND(_xlpm.val,3)&gt;=1,ROUND(_xlpm.val,3)&amp;" L",MAX(1,ROUND(_xlpm.val*100,0))&amp;" cl"),IF(_xlpm.estPoids,IF(ROUND(_xlpm.val,3)&gt;=1,ROUND(_xlpm.val,3)&amp;" Kg",MAX(1,ROUND(_xlpm.val*1000,0))&amp;" g"),"")))</f>
        <v/>
      </c>
      <c r="R246" s="104" t="str">
        <f t="shared" si="39"/>
        <v>►</v>
      </c>
      <c r="S246" s="32" t="str">
        <f>S225</f>
        <v>N NAME OF YOUR RECIPE | |  Author &gt; YOU</v>
      </c>
      <c r="T246" s="33">
        <f>T225</f>
        <v>18</v>
      </c>
      <c r="U246" s="32" t="str">
        <f>U225</f>
        <v>desserts</v>
      </c>
      <c r="V246" s="34" t="str">
        <f>V225</f>
        <v>Master recipe ► Enter the main recipe name</v>
      </c>
      <c r="W246" s="92"/>
      <c r="X246" s="108"/>
      <c r="Y246" s="94" t="str">
        <f t="shared" si="36"/>
        <v/>
      </c>
      <c r="Z246" s="95"/>
      <c r="AA246" s="126"/>
      <c r="AB246" s="127">
        <v>1</v>
      </c>
      <c r="AC246" s="920"/>
      <c r="AD246" s="1495">
        <f>IF(OR(ISBLANK(W223),AD223=0),0,W246*AB224)</f>
        <v>0</v>
      </c>
      <c r="AE246" s="101" cm="1">
        <f t="array" ref="AE246">IFERROR(_xlfn.LET(_xlpm.k,UPPER(TRIM(AA246)),_xlpm.r,_xlfn.XLOOKUP(_xlpm.k,UPPER(TRIM(W260:AF260)),W261:AF261,_xlfn.XLOOKUP(_xlpm.k,UPPER(TRIM(W262:AF262)),W263:AF263)),_xlpm.r*Z246*AB246*AB224*IF(ISBLANK(W246),1,W246)),0)</f>
        <v>0</v>
      </c>
      <c r="AF246" s="1475" t="str">
        <f>_xlfn.LET(_xlpm.unite,SUBSTITUTE(TRIM(AA246)," (s)",""),_xlpm.val,AE246,_xlpm.estVol,COUNTIF(Z260:AF260,_xlpm.unite)+COUNTIF(Z262:AF262,_xlpm.unite)&gt;0,_xlpm.estPoids,COUNTIF(W260:Y260,_xlpm.unite)+COUNTIF(W262:Y262,_xlpm.unite)&gt;0,IF(_xlpm.estVol,IF(ROUND(_xlpm.val,3)&gt;=1,ROUND(_xlpm.val,3)&amp;" L",MAX(1,ROUND(_xlpm.val*100,0))&amp;" cl"),IF(_xlpm.estPoids,IF(ROUND(_xlpm.val,3)&gt;=1,ROUND(_xlpm.val,3)&amp;" Kg",MAX(1,ROUND(_xlpm.val*1000,0))&amp;" g"),"")))</f>
        <v/>
      </c>
      <c r="AH246" s="104" t="str">
        <f t="shared" si="40"/>
        <v>►</v>
      </c>
      <c r="AI246" s="32" t="str">
        <f>AI225</f>
        <v>N NOMBRE DE LA RECETA | | Autor &gt; USTED</v>
      </c>
      <c r="AJ246" s="33">
        <f>AJ225</f>
        <v>18</v>
      </c>
      <c r="AK246" s="32" t="str">
        <f>AK225</f>
        <v>postres</v>
      </c>
      <c r="AL246" s="34" t="str">
        <f>AL225</f>
        <v>Receta madre ► Introduzca el nombre de la receta principal</v>
      </c>
      <c r="AM246" s="92"/>
      <c r="AN246" s="108"/>
      <c r="AO246" s="94" t="str">
        <f t="shared" si="37"/>
        <v/>
      </c>
      <c r="AP246" s="95"/>
      <c r="AQ246" s="126"/>
      <c r="AR246" s="127">
        <v>1</v>
      </c>
      <c r="AS246" s="920"/>
      <c r="AT246" s="1495">
        <f>IF(OR(ISBLANK(AM223),AT223=0),0,AM246*AR224)</f>
        <v>0</v>
      </c>
      <c r="AU246" s="101" cm="1">
        <f t="array" ref="AU246">IFERROR(_xlfn.LET(_xlpm.k,UPPER(TRIM(AQ246)),_xlpm.r,_xlfn.XLOOKUP(_xlpm.k,UPPER(TRIM(AM260:AV260)),AM261:AV261,_xlfn.XLOOKUP(_xlpm.k,UPPER(TRIM(AM262:AV262)),AM263:AV263)),_xlpm.r*AP246*AR246*AR224*IF(ISBLANK(AM246),1,AM246)),0)</f>
        <v>0</v>
      </c>
      <c r="AV246" s="1475" t="str">
        <f>_xlfn.LET(_xlpm.unite,SUBSTITUTE(TRIM(AQ246)," (s)",""),_xlpm.val,AU246,_xlpm.estVol,COUNTIF(AP260:AV260,_xlpm.unite)+COUNTIF(AP262:AV262,_xlpm.unite)&gt;0,_xlpm.estPoids,COUNTIF(AM260:AO260,_xlpm.unite)+COUNTIF(AM262:AO262,_xlpm.unite)&gt;0,IF(_xlpm.estVol,IF(ROUND(_xlpm.val,3)&gt;=1,ROUND(_xlpm.val,3)&amp;" L",MAX(1,ROUND(_xlpm.val*100,0))&amp;" cl"),IF(_xlpm.estPoids,IF(ROUND(_xlpm.val,3)&gt;=1,ROUND(_xlpm.val,3)&amp;" Kg",MAX(1,ROUND(_xlpm.val*1000,0))&amp;" g"),"")))</f>
        <v/>
      </c>
      <c r="AX246" s="632"/>
      <c r="AY246" s="9"/>
      <c r="AZ246" s="9"/>
      <c r="BA246" s="9"/>
      <c r="BB246" s="9"/>
      <c r="BC246" s="9"/>
      <c r="BD246" s="41"/>
      <c r="BF246" s="632"/>
      <c r="BG246" s="9"/>
      <c r="BH246" s="9"/>
      <c r="BI246" s="9"/>
      <c r="BJ246" s="9"/>
      <c r="BK246" s="9"/>
      <c r="BL246" s="41"/>
      <c r="BN246" s="632"/>
      <c r="BO246" s="9"/>
      <c r="BP246" s="9"/>
      <c r="BQ246" s="9"/>
      <c r="BR246" s="9"/>
      <c r="BS246" s="9"/>
      <c r="BT246" s="41"/>
      <c r="BV246" s="3">
        <v>1</v>
      </c>
    </row>
    <row r="247" spans="2:74" ht="21" customHeight="1">
      <c r="B247" s="104" t="str">
        <f t="shared" si="38"/>
        <v>►</v>
      </c>
      <c r="C247" s="32" t="str">
        <f>C225</f>
        <v>N NOM DE VOTRE RECETTE | | Auteur &gt; VOUS</v>
      </c>
      <c r="D247" s="33">
        <f>D225</f>
        <v>18</v>
      </c>
      <c r="E247" s="32" t="str">
        <f>E225</f>
        <v>desserts</v>
      </c>
      <c r="F247" s="34" t="str">
        <f>F225</f>
        <v>Recette mère ► Saisir le nom de la recette principale</v>
      </c>
      <c r="G247" s="92"/>
      <c r="H247" s="108"/>
      <c r="I247" s="94" t="str">
        <f t="shared" si="35"/>
        <v/>
      </c>
      <c r="J247" s="95"/>
      <c r="K247" s="126"/>
      <c r="L247" s="127">
        <v>1</v>
      </c>
      <c r="M247" s="920"/>
      <c r="N247" s="1495">
        <f>IF(OR(ISBLANK(G223),N223=0),0,G247*L224)</f>
        <v>0</v>
      </c>
      <c r="O247" s="101" cm="1">
        <f t="array" ref="O247">IFERROR(_xlfn.LET(_xlpm.k,UPPER(TRIM(K247)),_xlpm.r,_xlfn.XLOOKUP(_xlpm.k,UPPER(TRIM(G260:P260)),G261:P261,_xlfn.XLOOKUP(_xlpm.k,UPPER(TRIM(G262:P262)),G263:P263)),_xlpm.r*J247*L247*L224*IF(ISBLANK(G247),1,G247)),0)</f>
        <v>0</v>
      </c>
      <c r="P247" s="1476" t="str">
        <f>_xlfn.LET(_xlpm.unite,SUBSTITUTE(TRIM(K247)," (s)",""),_xlpm.val,O247,_xlpm.estVol,COUNTIF(J260:P260,_xlpm.unite)+COUNTIF(J262:P262,_xlpm.unite)&gt;0,_xlpm.estPoids,COUNTIF(G260:I260,_xlpm.unite)+COUNTIF(G262:I262,_xlpm.unite)&gt;0,IF(_xlpm.estVol,IF(ROUND(_xlpm.val,3)&gt;=1,ROUND(_xlpm.val,3)&amp;" L",MAX(1,ROUND(_xlpm.val*100,0))&amp;" cl"),IF(_xlpm.estPoids,IF(ROUND(_xlpm.val,3)&gt;=1,ROUND(_xlpm.val,3)&amp;" Kg",MAX(1,ROUND(_xlpm.val*1000,0))&amp;" g"),"")))</f>
        <v/>
      </c>
      <c r="R247" s="104" t="str">
        <f t="shared" si="39"/>
        <v>►</v>
      </c>
      <c r="S247" s="32" t="str">
        <f>S225</f>
        <v>N NAME OF YOUR RECIPE | |  Author &gt; YOU</v>
      </c>
      <c r="T247" s="33">
        <f>T225</f>
        <v>18</v>
      </c>
      <c r="U247" s="32" t="str">
        <f>U225</f>
        <v>desserts</v>
      </c>
      <c r="V247" s="34" t="str">
        <f>V225</f>
        <v>Master recipe ► Enter the main recipe name</v>
      </c>
      <c r="W247" s="92"/>
      <c r="X247" s="108"/>
      <c r="Y247" s="94" t="str">
        <f t="shared" si="36"/>
        <v/>
      </c>
      <c r="Z247" s="95"/>
      <c r="AA247" s="126"/>
      <c r="AB247" s="127">
        <v>1</v>
      </c>
      <c r="AC247" s="920"/>
      <c r="AD247" s="1495">
        <f>IF(OR(ISBLANK(W223),AD223=0),0,W247*AB224)</f>
        <v>0</v>
      </c>
      <c r="AE247" s="101" cm="1">
        <f t="array" ref="AE247">IFERROR(_xlfn.LET(_xlpm.k,UPPER(TRIM(AA247)),_xlpm.r,_xlfn.XLOOKUP(_xlpm.k,UPPER(TRIM(W260:AF260)),W261:AF261,_xlfn.XLOOKUP(_xlpm.k,UPPER(TRIM(W262:AF262)),W263:AF263)),_xlpm.r*Z247*AB247*AB224*IF(ISBLANK(W247),1,W247)),0)</f>
        <v>0</v>
      </c>
      <c r="AF247" s="1476" t="str">
        <f>_xlfn.LET(_xlpm.unite,SUBSTITUTE(TRIM(AA247)," (s)",""),_xlpm.val,AE247,_xlpm.estVol,COUNTIF(Z260:AF260,_xlpm.unite)+COUNTIF(Z262:AF262,_xlpm.unite)&gt;0,_xlpm.estPoids,COUNTIF(W260:Y260,_xlpm.unite)+COUNTIF(W262:Y262,_xlpm.unite)&gt;0,IF(_xlpm.estVol,IF(ROUND(_xlpm.val,3)&gt;=1,ROUND(_xlpm.val,3)&amp;" L",MAX(1,ROUND(_xlpm.val*100,0))&amp;" cl"),IF(_xlpm.estPoids,IF(ROUND(_xlpm.val,3)&gt;=1,ROUND(_xlpm.val,3)&amp;" Kg",MAX(1,ROUND(_xlpm.val*1000,0))&amp;" g"),"")))</f>
        <v/>
      </c>
      <c r="AH247" s="104" t="str">
        <f t="shared" si="40"/>
        <v>►</v>
      </c>
      <c r="AI247" s="32" t="str">
        <f>AI225</f>
        <v>N NOMBRE DE LA RECETA | | Autor &gt; USTED</v>
      </c>
      <c r="AJ247" s="33">
        <f>AJ225</f>
        <v>18</v>
      </c>
      <c r="AK247" s="32" t="str">
        <f>AK225</f>
        <v>postres</v>
      </c>
      <c r="AL247" s="34" t="str">
        <f>AL225</f>
        <v>Receta madre ► Introduzca el nombre de la receta principal</v>
      </c>
      <c r="AM247" s="92"/>
      <c r="AN247" s="108"/>
      <c r="AO247" s="94" t="str">
        <f t="shared" si="37"/>
        <v/>
      </c>
      <c r="AP247" s="95"/>
      <c r="AQ247" s="126"/>
      <c r="AR247" s="127">
        <v>1</v>
      </c>
      <c r="AS247" s="920"/>
      <c r="AT247" s="1495">
        <f>IF(OR(ISBLANK(AM223),AT223=0),0,AM247*AR224)</f>
        <v>0</v>
      </c>
      <c r="AU247" s="101" cm="1">
        <f t="array" ref="AU247">IFERROR(_xlfn.LET(_xlpm.k,UPPER(TRIM(AQ247)),_xlpm.r,_xlfn.XLOOKUP(_xlpm.k,UPPER(TRIM(AM260:AV260)),AM261:AV261,_xlfn.XLOOKUP(_xlpm.k,UPPER(TRIM(AM262:AV262)),AM263:AV263)),_xlpm.r*AP247*AR247*AR224*IF(ISBLANK(AM247),1,AM247)),0)</f>
        <v>0</v>
      </c>
      <c r="AV247" s="1476" t="str">
        <f>_xlfn.LET(_xlpm.unite,SUBSTITUTE(TRIM(AQ247)," (s)",""),_xlpm.val,AU247,_xlpm.estVol,COUNTIF(AP260:AV260,_xlpm.unite)+COUNTIF(AP262:AV262,_xlpm.unite)&gt;0,_xlpm.estPoids,COUNTIF(AM260:AO260,_xlpm.unite)+COUNTIF(AM262:AO262,_xlpm.unite)&gt;0,IF(_xlpm.estVol,IF(ROUND(_xlpm.val,3)&gt;=1,ROUND(_xlpm.val,3)&amp;" L",MAX(1,ROUND(_xlpm.val*100,0))&amp;" cl"),IF(_xlpm.estPoids,IF(ROUND(_xlpm.val,3)&gt;=1,ROUND(_xlpm.val,3)&amp;" Kg",MAX(1,ROUND(_xlpm.val*1000,0))&amp;" g"),"")))</f>
        <v/>
      </c>
      <c r="AX247" s="5677" t="s">
        <v>215</v>
      </c>
      <c r="AY247" s="5678"/>
      <c r="AZ247" s="5611" t="s">
        <v>740</v>
      </c>
      <c r="BA247" s="5611"/>
      <c r="BB247" s="9"/>
      <c r="BC247" s="9"/>
      <c r="BD247" s="41"/>
      <c r="BF247" s="5677" t="s">
        <v>3338</v>
      </c>
      <c r="BG247" s="5678"/>
      <c r="BH247" s="5611" t="s">
        <v>742</v>
      </c>
      <c r="BI247" s="5611"/>
      <c r="BJ247" s="9"/>
      <c r="BK247" s="9"/>
      <c r="BL247" s="41"/>
      <c r="BN247" s="5677" t="s">
        <v>3339</v>
      </c>
      <c r="BO247" s="5678"/>
      <c r="BP247" s="5611" t="s">
        <v>744</v>
      </c>
      <c r="BQ247" s="5611"/>
      <c r="BR247" s="9"/>
      <c r="BS247" s="9"/>
      <c r="BT247" s="41"/>
      <c r="BV247" s="3">
        <v>1</v>
      </c>
    </row>
    <row r="248" spans="2:74" ht="21" customHeight="1">
      <c r="B248" s="104" t="str">
        <f t="shared" si="38"/>
        <v>►</v>
      </c>
      <c r="C248" s="32" t="str">
        <f>C225</f>
        <v>N NOM DE VOTRE RECETTE | | Auteur &gt; VOUS</v>
      </c>
      <c r="D248" s="33">
        <f>D225</f>
        <v>18</v>
      </c>
      <c r="E248" s="32" t="str">
        <f>E225</f>
        <v>desserts</v>
      </c>
      <c r="F248" s="34" t="str">
        <f>F225</f>
        <v>Recette mère ► Saisir le nom de la recette principale</v>
      </c>
      <c r="G248" s="92"/>
      <c r="H248" s="108"/>
      <c r="I248" s="94" t="str">
        <f t="shared" si="35"/>
        <v/>
      </c>
      <c r="J248" s="95"/>
      <c r="K248" s="126"/>
      <c r="L248" s="127">
        <v>1</v>
      </c>
      <c r="M248" s="920"/>
      <c r="N248" s="1495">
        <f>IF(OR(ISBLANK(G223),N223=0),0,G248*L224)</f>
        <v>0</v>
      </c>
      <c r="O248" s="101" cm="1">
        <f t="array" ref="O248">IFERROR(_xlfn.LET(_xlpm.k,UPPER(TRIM(K248)),_xlpm.r,_xlfn.XLOOKUP(_xlpm.k,UPPER(TRIM(G260:P260)),G261:P261,_xlfn.XLOOKUP(_xlpm.k,UPPER(TRIM(G262:P262)),G263:P263)),_xlpm.r*J248*L248*L224*IF(ISBLANK(G248),1,G248)),0)</f>
        <v>0</v>
      </c>
      <c r="P248" s="1475" t="str">
        <f>_xlfn.LET(_xlpm.unite,SUBSTITUTE(TRIM(K248)," (s)",""),_xlpm.val,O248,_xlpm.estVol,COUNTIF(J260:P260,_xlpm.unite)+COUNTIF(J262:P262,_xlpm.unite)&gt;0,_xlpm.estPoids,COUNTIF(G260:I260,_xlpm.unite)+COUNTIF(G262:I262,_xlpm.unite)&gt;0,IF(_xlpm.estVol,IF(ROUND(_xlpm.val,3)&gt;=1,ROUND(_xlpm.val,3)&amp;" L",MAX(1,ROUND(_xlpm.val*100,0))&amp;" cl"),IF(_xlpm.estPoids,IF(ROUND(_xlpm.val,3)&gt;=1,ROUND(_xlpm.val,3)&amp;" Kg",MAX(1,ROUND(_xlpm.val*1000,0))&amp;" g"),"")))</f>
        <v/>
      </c>
      <c r="R248" s="104" t="str">
        <f t="shared" si="39"/>
        <v>►</v>
      </c>
      <c r="S248" s="32" t="str">
        <f>S225</f>
        <v>N NAME OF YOUR RECIPE | |  Author &gt; YOU</v>
      </c>
      <c r="T248" s="33">
        <f>T225</f>
        <v>18</v>
      </c>
      <c r="U248" s="32" t="str">
        <f>U225</f>
        <v>desserts</v>
      </c>
      <c r="V248" s="34" t="str">
        <f>V225</f>
        <v>Master recipe ► Enter the main recipe name</v>
      </c>
      <c r="W248" s="92"/>
      <c r="X248" s="108"/>
      <c r="Y248" s="94" t="str">
        <f t="shared" si="36"/>
        <v/>
      </c>
      <c r="Z248" s="95"/>
      <c r="AA248" s="126"/>
      <c r="AB248" s="127">
        <v>1</v>
      </c>
      <c r="AC248" s="920"/>
      <c r="AD248" s="1495">
        <f>IF(OR(ISBLANK(W223),AD223=0),0,W248*AB224)</f>
        <v>0</v>
      </c>
      <c r="AE248" s="101" cm="1">
        <f t="array" ref="AE248">IFERROR(_xlfn.LET(_xlpm.k,UPPER(TRIM(AA248)),_xlpm.r,_xlfn.XLOOKUP(_xlpm.k,UPPER(TRIM(W260:AF260)),W261:AF261,_xlfn.XLOOKUP(_xlpm.k,UPPER(TRIM(W262:AF262)),W263:AF263)),_xlpm.r*Z248*AB248*AB224*IF(ISBLANK(W248),1,W248)),0)</f>
        <v>0</v>
      </c>
      <c r="AF248" s="1475" t="str">
        <f>_xlfn.LET(_xlpm.unite,SUBSTITUTE(TRIM(AA248)," (s)",""),_xlpm.val,AE248,_xlpm.estVol,COUNTIF(Z260:AF260,_xlpm.unite)+COUNTIF(Z262:AF262,_xlpm.unite)&gt;0,_xlpm.estPoids,COUNTIF(W260:Y260,_xlpm.unite)+COUNTIF(W262:Y262,_xlpm.unite)&gt;0,IF(_xlpm.estVol,IF(ROUND(_xlpm.val,3)&gt;=1,ROUND(_xlpm.val,3)&amp;" L",MAX(1,ROUND(_xlpm.val*100,0))&amp;" cl"),IF(_xlpm.estPoids,IF(ROUND(_xlpm.val,3)&gt;=1,ROUND(_xlpm.val,3)&amp;" Kg",MAX(1,ROUND(_xlpm.val*1000,0))&amp;" g"),"")))</f>
        <v/>
      </c>
      <c r="AH248" s="104" t="str">
        <f t="shared" si="40"/>
        <v>►</v>
      </c>
      <c r="AI248" s="32" t="str">
        <f>AI225</f>
        <v>N NOMBRE DE LA RECETA | | Autor &gt; USTED</v>
      </c>
      <c r="AJ248" s="33">
        <f>AJ225</f>
        <v>18</v>
      </c>
      <c r="AK248" s="32" t="str">
        <f>AK225</f>
        <v>postres</v>
      </c>
      <c r="AL248" s="34" t="str">
        <f>AL225</f>
        <v>Receta madre ► Introduzca el nombre de la receta principal</v>
      </c>
      <c r="AM248" s="92"/>
      <c r="AN248" s="108"/>
      <c r="AO248" s="94" t="str">
        <f t="shared" si="37"/>
        <v/>
      </c>
      <c r="AP248" s="95"/>
      <c r="AQ248" s="126"/>
      <c r="AR248" s="127">
        <v>1</v>
      </c>
      <c r="AS248" s="920"/>
      <c r="AT248" s="1495">
        <f>IF(OR(ISBLANK(AM223),AT223=0),0,AM248*AR224)</f>
        <v>0</v>
      </c>
      <c r="AU248" s="101" cm="1">
        <f t="array" ref="AU248">IFERROR(_xlfn.LET(_xlpm.k,UPPER(TRIM(AQ248)),_xlpm.r,_xlfn.XLOOKUP(_xlpm.k,UPPER(TRIM(AM260:AV260)),AM261:AV261,_xlfn.XLOOKUP(_xlpm.k,UPPER(TRIM(AM262:AV262)),AM263:AV263)),_xlpm.r*AP248*AR248*AR224*IF(ISBLANK(AM248),1,AM248)),0)</f>
        <v>0</v>
      </c>
      <c r="AV248" s="1475" t="str">
        <f>_xlfn.LET(_xlpm.unite,SUBSTITUTE(TRIM(AQ248)," (s)",""),_xlpm.val,AU248,_xlpm.estVol,COUNTIF(AP260:AV260,_xlpm.unite)+COUNTIF(AP262:AV262,_xlpm.unite)&gt;0,_xlpm.estPoids,COUNTIF(AM260:AO260,_xlpm.unite)+COUNTIF(AM262:AO262,_xlpm.unite)&gt;0,IF(_xlpm.estVol,IF(ROUND(_xlpm.val,3)&gt;=1,ROUND(_xlpm.val,3)&amp;" L",MAX(1,ROUND(_xlpm.val*100,0))&amp;" cl"),IF(_xlpm.estPoids,IF(ROUND(_xlpm.val,3)&gt;=1,ROUND(_xlpm.val,3)&amp;" Kg",MAX(1,ROUND(_xlpm.val*1000,0))&amp;" g"),"")))</f>
        <v/>
      </c>
      <c r="AX248" s="5677"/>
      <c r="AY248" s="5678"/>
      <c r="AZ248" s="5611"/>
      <c r="BA248" s="5611"/>
      <c r="BB248" s="9"/>
      <c r="BC248" s="9"/>
      <c r="BD248" s="41"/>
      <c r="BF248" s="5677"/>
      <c r="BG248" s="5678"/>
      <c r="BH248" s="5611"/>
      <c r="BI248" s="5611"/>
      <c r="BJ248" s="9"/>
      <c r="BK248" s="9"/>
      <c r="BL248" s="41"/>
      <c r="BN248" s="5677"/>
      <c r="BO248" s="5678"/>
      <c r="BP248" s="5611"/>
      <c r="BQ248" s="5611"/>
      <c r="BR248" s="9"/>
      <c r="BS248" s="9"/>
      <c r="BT248" s="41"/>
      <c r="BV248" s="3">
        <v>1</v>
      </c>
    </row>
    <row r="249" spans="2:74" ht="21" customHeight="1">
      <c r="B249" s="104" t="str">
        <f t="shared" si="38"/>
        <v>►</v>
      </c>
      <c r="C249" s="32" t="str">
        <f>C225</f>
        <v>N NOM DE VOTRE RECETTE | | Auteur &gt; VOUS</v>
      </c>
      <c r="D249" s="33">
        <f>D225</f>
        <v>18</v>
      </c>
      <c r="E249" s="32" t="str">
        <f>E225</f>
        <v>desserts</v>
      </c>
      <c r="F249" s="34" t="str">
        <f>F225</f>
        <v>Recette mère ► Saisir le nom de la recette principale</v>
      </c>
      <c r="G249" s="92"/>
      <c r="H249" s="108"/>
      <c r="I249" s="94" t="str">
        <f t="shared" si="35"/>
        <v/>
      </c>
      <c r="J249" s="95"/>
      <c r="K249" s="126"/>
      <c r="L249" s="127">
        <v>1</v>
      </c>
      <c r="M249" s="920"/>
      <c r="N249" s="1495">
        <f>IF(OR(ISBLANK(G223),N223=0),0,G249*L224)</f>
        <v>0</v>
      </c>
      <c r="O249" s="101" cm="1">
        <f t="array" ref="O249">IFERROR(_xlfn.LET(_xlpm.k,UPPER(TRIM(K249)),_xlpm.r,_xlfn.XLOOKUP(_xlpm.k,UPPER(TRIM(G260:P260)),G261:P261,_xlfn.XLOOKUP(_xlpm.k,UPPER(TRIM(G262:P262)),G263:P263)),_xlpm.r*J249*L249*L224*IF(ISBLANK(G249),1,G249)),0)</f>
        <v>0</v>
      </c>
      <c r="P249" s="1476" t="str">
        <f>_xlfn.LET(_xlpm.unite,SUBSTITUTE(TRIM(K249)," (s)",""),_xlpm.val,O249,_xlpm.estVol,COUNTIF(J260:P260,_xlpm.unite)+COUNTIF(J262:P262,_xlpm.unite)&gt;0,_xlpm.estPoids,COUNTIF(G260:I260,_xlpm.unite)+COUNTIF(G262:I262,_xlpm.unite)&gt;0,IF(_xlpm.estVol,IF(ROUND(_xlpm.val,3)&gt;=1,ROUND(_xlpm.val,3)&amp;" L",MAX(1,ROUND(_xlpm.val*100,0))&amp;" cl"),IF(_xlpm.estPoids,IF(ROUND(_xlpm.val,3)&gt;=1,ROUND(_xlpm.val,3)&amp;" Kg",MAX(1,ROUND(_xlpm.val*1000,0))&amp;" g"),"")))</f>
        <v/>
      </c>
      <c r="R249" s="104" t="str">
        <f t="shared" si="39"/>
        <v>►</v>
      </c>
      <c r="S249" s="32" t="str">
        <f>S225</f>
        <v>N NAME OF YOUR RECIPE | |  Author &gt; YOU</v>
      </c>
      <c r="T249" s="33">
        <f>T225</f>
        <v>18</v>
      </c>
      <c r="U249" s="32" t="str">
        <f>U225</f>
        <v>desserts</v>
      </c>
      <c r="V249" s="34" t="str">
        <f>V225</f>
        <v>Master recipe ► Enter the main recipe name</v>
      </c>
      <c r="W249" s="92"/>
      <c r="X249" s="108"/>
      <c r="Y249" s="94" t="str">
        <f t="shared" si="36"/>
        <v/>
      </c>
      <c r="Z249" s="95"/>
      <c r="AA249" s="126"/>
      <c r="AB249" s="127">
        <v>1</v>
      </c>
      <c r="AC249" s="920"/>
      <c r="AD249" s="1495">
        <f>IF(OR(ISBLANK(W223),AD223=0),0,W249*AB224)</f>
        <v>0</v>
      </c>
      <c r="AE249" s="101" cm="1">
        <f t="array" ref="AE249">IFERROR(_xlfn.LET(_xlpm.k,UPPER(TRIM(AA249)),_xlpm.r,_xlfn.XLOOKUP(_xlpm.k,UPPER(TRIM(W260:AF260)),W261:AF261,_xlfn.XLOOKUP(_xlpm.k,UPPER(TRIM(W262:AF262)),W263:AF263)),_xlpm.r*Z249*AB249*AB224*IF(ISBLANK(W249),1,W249)),0)</f>
        <v>0</v>
      </c>
      <c r="AF249" s="1476" t="str">
        <f>_xlfn.LET(_xlpm.unite,SUBSTITUTE(TRIM(AA249)," (s)",""),_xlpm.val,AE249,_xlpm.estVol,COUNTIF(Z260:AF260,_xlpm.unite)+COUNTIF(Z262:AF262,_xlpm.unite)&gt;0,_xlpm.estPoids,COUNTIF(W260:Y260,_xlpm.unite)+COUNTIF(W262:Y262,_xlpm.unite)&gt;0,IF(_xlpm.estVol,IF(ROUND(_xlpm.val,3)&gt;=1,ROUND(_xlpm.val,3)&amp;" L",MAX(1,ROUND(_xlpm.val*100,0))&amp;" cl"),IF(_xlpm.estPoids,IF(ROUND(_xlpm.val,3)&gt;=1,ROUND(_xlpm.val,3)&amp;" Kg",MAX(1,ROUND(_xlpm.val*1000,0))&amp;" g"),"")))</f>
        <v/>
      </c>
      <c r="AH249" s="104" t="str">
        <f t="shared" si="40"/>
        <v>►</v>
      </c>
      <c r="AI249" s="32" t="str">
        <f>AI225</f>
        <v>N NOMBRE DE LA RECETA | | Autor &gt; USTED</v>
      </c>
      <c r="AJ249" s="33">
        <f>AJ225</f>
        <v>18</v>
      </c>
      <c r="AK249" s="32" t="str">
        <f>AK225</f>
        <v>postres</v>
      </c>
      <c r="AL249" s="34" t="str">
        <f>AL225</f>
        <v>Receta madre ► Introduzca el nombre de la receta principal</v>
      </c>
      <c r="AM249" s="92"/>
      <c r="AN249" s="108"/>
      <c r="AO249" s="94" t="str">
        <f t="shared" si="37"/>
        <v/>
      </c>
      <c r="AP249" s="95"/>
      <c r="AQ249" s="126"/>
      <c r="AR249" s="127">
        <v>1</v>
      </c>
      <c r="AS249" s="920"/>
      <c r="AT249" s="1495">
        <f>IF(OR(ISBLANK(AM223),AT223=0),0,AM249*AR224)</f>
        <v>0</v>
      </c>
      <c r="AU249" s="101" cm="1">
        <f t="array" ref="AU249">IFERROR(_xlfn.LET(_xlpm.k,UPPER(TRIM(AQ249)),_xlpm.r,_xlfn.XLOOKUP(_xlpm.k,UPPER(TRIM(AM260:AV260)),AM261:AV261,_xlfn.XLOOKUP(_xlpm.k,UPPER(TRIM(AM262:AV262)),AM263:AV263)),_xlpm.r*AP249*AR249*AR224*IF(ISBLANK(AM249),1,AM249)),0)</f>
        <v>0</v>
      </c>
      <c r="AV249" s="1476" t="str">
        <f>_xlfn.LET(_xlpm.unite,SUBSTITUTE(TRIM(AQ249)," (s)",""),_xlpm.val,AU249,_xlpm.estVol,COUNTIF(AP260:AV260,_xlpm.unite)+COUNTIF(AP262:AV262,_xlpm.unite)&gt;0,_xlpm.estPoids,COUNTIF(AM260:AO260,_xlpm.unite)+COUNTIF(AM262:AO262,_xlpm.unite)&gt;0,IF(_xlpm.estVol,IF(ROUND(_xlpm.val,3)&gt;=1,ROUND(_xlpm.val,3)&amp;" L",MAX(1,ROUND(_xlpm.val*100,0))&amp;" cl"),IF(_xlpm.estPoids,IF(ROUND(_xlpm.val,3)&gt;=1,ROUND(_xlpm.val,3)&amp;" Kg",MAX(1,ROUND(_xlpm.val*1000,0))&amp;" g"),"")))</f>
        <v/>
      </c>
      <c r="AX249" s="637" t="s">
        <v>216</v>
      </c>
      <c r="AY249" s="9"/>
      <c r="AZ249" s="9"/>
      <c r="BA249" s="9"/>
      <c r="BB249" s="9"/>
      <c r="BC249" s="9"/>
      <c r="BD249" s="41"/>
      <c r="BF249" s="637" t="s">
        <v>746</v>
      </c>
      <c r="BG249" s="9"/>
      <c r="BH249" s="9"/>
      <c r="BI249" s="9"/>
      <c r="BJ249" s="9"/>
      <c r="BK249" s="9"/>
      <c r="BL249" s="41"/>
      <c r="BN249" s="637" t="s">
        <v>747</v>
      </c>
      <c r="BO249" s="9"/>
      <c r="BP249" s="9"/>
      <c r="BQ249" s="9"/>
      <c r="BR249" s="9"/>
      <c r="BS249" s="9"/>
      <c r="BT249" s="41"/>
      <c r="BV249" s="3">
        <v>1</v>
      </c>
    </row>
    <row r="250" spans="2:74" ht="21" customHeight="1">
      <c r="B250" s="104" t="str">
        <f t="shared" si="38"/>
        <v>►</v>
      </c>
      <c r="C250" s="32" t="str">
        <f>C225</f>
        <v>N NOM DE VOTRE RECETTE | | Auteur &gt; VOUS</v>
      </c>
      <c r="D250" s="33">
        <f>D225</f>
        <v>18</v>
      </c>
      <c r="E250" s="32" t="str">
        <f>E225</f>
        <v>desserts</v>
      </c>
      <c r="F250" s="34" t="str">
        <f>F225</f>
        <v>Recette mère ► Saisir le nom de la recette principale</v>
      </c>
      <c r="G250" s="92"/>
      <c r="H250" s="108"/>
      <c r="I250" s="94" t="str">
        <f t="shared" si="35"/>
        <v/>
      </c>
      <c r="J250" s="95"/>
      <c r="K250" s="126"/>
      <c r="L250" s="127">
        <v>1</v>
      </c>
      <c r="M250" s="920"/>
      <c r="N250" s="1495">
        <f>IF(OR(ISBLANK(G223),N223=0),0,G250*L224)</f>
        <v>0</v>
      </c>
      <c r="O250" s="101" cm="1">
        <f t="array" ref="O250">IFERROR(_xlfn.LET(_xlpm.k,UPPER(TRIM(K250)),_xlpm.r,_xlfn.XLOOKUP(_xlpm.k,UPPER(TRIM(G260:P260)),G261:P261,_xlfn.XLOOKUP(_xlpm.k,UPPER(TRIM(G262:P262)),G263:P263)),_xlpm.r*J250*L250*L224*IF(ISBLANK(G250),1,G250)),0)</f>
        <v>0</v>
      </c>
      <c r="P250" s="1475" t="str">
        <f>_xlfn.LET(_xlpm.unite,SUBSTITUTE(TRIM(K250)," (s)",""),_xlpm.val,O250,_xlpm.estVol,COUNTIF(J260:P260,_xlpm.unite)+COUNTIF(J262:P262,_xlpm.unite)&gt;0,_xlpm.estPoids,COUNTIF(G260:I260,_xlpm.unite)+COUNTIF(G262:I262,_xlpm.unite)&gt;0,IF(_xlpm.estVol,IF(ROUND(_xlpm.val,3)&gt;=1,ROUND(_xlpm.val,3)&amp;" L",MAX(1,ROUND(_xlpm.val*100,0))&amp;" cl"),IF(_xlpm.estPoids,IF(ROUND(_xlpm.val,3)&gt;=1,ROUND(_xlpm.val,3)&amp;" Kg",MAX(1,ROUND(_xlpm.val*1000,0))&amp;" g"),"")))</f>
        <v/>
      </c>
      <c r="R250" s="104" t="str">
        <f t="shared" si="39"/>
        <v>►</v>
      </c>
      <c r="S250" s="32" t="str">
        <f>S225</f>
        <v>N NAME OF YOUR RECIPE | |  Author &gt; YOU</v>
      </c>
      <c r="T250" s="33">
        <f>T225</f>
        <v>18</v>
      </c>
      <c r="U250" s="32" t="str">
        <f>U225</f>
        <v>desserts</v>
      </c>
      <c r="V250" s="34" t="str">
        <f>V225</f>
        <v>Master recipe ► Enter the main recipe name</v>
      </c>
      <c r="W250" s="92"/>
      <c r="X250" s="108"/>
      <c r="Y250" s="94" t="str">
        <f t="shared" si="36"/>
        <v/>
      </c>
      <c r="Z250" s="95"/>
      <c r="AA250" s="126"/>
      <c r="AB250" s="127">
        <v>1</v>
      </c>
      <c r="AC250" s="920"/>
      <c r="AD250" s="1495">
        <f>IF(OR(ISBLANK(W223),AD223=0),0,W250*AB224)</f>
        <v>0</v>
      </c>
      <c r="AE250" s="101" cm="1">
        <f t="array" ref="AE250">IFERROR(_xlfn.LET(_xlpm.k,UPPER(TRIM(AA250)),_xlpm.r,_xlfn.XLOOKUP(_xlpm.k,UPPER(TRIM(W260:AF260)),W261:AF261,_xlfn.XLOOKUP(_xlpm.k,UPPER(TRIM(W262:AF262)),W263:AF263)),_xlpm.r*Z250*AB250*AB224*IF(ISBLANK(W250),1,W250)),0)</f>
        <v>0</v>
      </c>
      <c r="AF250" s="1475" t="str">
        <f>_xlfn.LET(_xlpm.unite,SUBSTITUTE(TRIM(AA250)," (s)",""),_xlpm.val,AE250,_xlpm.estVol,COUNTIF(Z260:AF260,_xlpm.unite)+COUNTIF(Z262:AF262,_xlpm.unite)&gt;0,_xlpm.estPoids,COUNTIF(W260:Y260,_xlpm.unite)+COUNTIF(W262:Y262,_xlpm.unite)&gt;0,IF(_xlpm.estVol,IF(ROUND(_xlpm.val,3)&gt;=1,ROUND(_xlpm.val,3)&amp;" L",MAX(1,ROUND(_xlpm.val*100,0))&amp;" cl"),IF(_xlpm.estPoids,IF(ROUND(_xlpm.val,3)&gt;=1,ROUND(_xlpm.val,3)&amp;" Kg",MAX(1,ROUND(_xlpm.val*1000,0))&amp;" g"),"")))</f>
        <v/>
      </c>
      <c r="AH250" s="104" t="str">
        <f t="shared" si="40"/>
        <v>►</v>
      </c>
      <c r="AI250" s="32" t="str">
        <f>AI225</f>
        <v>N NOMBRE DE LA RECETA | | Autor &gt; USTED</v>
      </c>
      <c r="AJ250" s="33">
        <f>AJ225</f>
        <v>18</v>
      </c>
      <c r="AK250" s="32" t="str">
        <f>AK225</f>
        <v>postres</v>
      </c>
      <c r="AL250" s="34" t="str">
        <f>AL225</f>
        <v>Receta madre ► Introduzca el nombre de la receta principal</v>
      </c>
      <c r="AM250" s="92"/>
      <c r="AN250" s="108"/>
      <c r="AO250" s="94" t="str">
        <f t="shared" si="37"/>
        <v/>
      </c>
      <c r="AP250" s="95"/>
      <c r="AQ250" s="126"/>
      <c r="AR250" s="127">
        <v>1</v>
      </c>
      <c r="AS250" s="920"/>
      <c r="AT250" s="1495">
        <f>IF(OR(ISBLANK(AM223),AT223=0),0,AM250*AR224)</f>
        <v>0</v>
      </c>
      <c r="AU250" s="101" cm="1">
        <f t="array" ref="AU250">IFERROR(_xlfn.LET(_xlpm.k,UPPER(TRIM(AQ250)),_xlpm.r,_xlfn.XLOOKUP(_xlpm.k,UPPER(TRIM(AM260:AV260)),AM261:AV261,_xlfn.XLOOKUP(_xlpm.k,UPPER(TRIM(AM262:AV262)),AM263:AV263)),_xlpm.r*AP250*AR250*AR224*IF(ISBLANK(AM250),1,AM250)),0)</f>
        <v>0</v>
      </c>
      <c r="AV250" s="1475" t="str">
        <f>_xlfn.LET(_xlpm.unite,SUBSTITUTE(TRIM(AQ250)," (s)",""),_xlpm.val,AU250,_xlpm.estVol,COUNTIF(AP260:AV260,_xlpm.unite)+COUNTIF(AP262:AV262,_xlpm.unite)&gt;0,_xlpm.estPoids,COUNTIF(AM260:AO260,_xlpm.unite)+COUNTIF(AM262:AO262,_xlpm.unite)&gt;0,IF(_xlpm.estVol,IF(ROUND(_xlpm.val,3)&gt;=1,ROUND(_xlpm.val,3)&amp;" L",MAX(1,ROUND(_xlpm.val*100,0))&amp;" cl"),IF(_xlpm.estPoids,IF(ROUND(_xlpm.val,3)&gt;=1,ROUND(_xlpm.val,3)&amp;" Kg",MAX(1,ROUND(_xlpm.val*1000,0))&amp;" g"),"")))</f>
        <v/>
      </c>
      <c r="AX250" s="495"/>
      <c r="AY250" s="231"/>
      <c r="AZ250" s="9"/>
      <c r="BA250" s="9"/>
      <c r="BB250" s="9"/>
      <c r="BC250" s="9"/>
      <c r="BD250" s="41"/>
      <c r="BF250" s="495"/>
      <c r="BG250" s="231"/>
      <c r="BH250" s="9"/>
      <c r="BI250" s="9"/>
      <c r="BJ250" s="9"/>
      <c r="BK250" s="9"/>
      <c r="BL250" s="41"/>
      <c r="BN250" s="495"/>
      <c r="BO250" s="231"/>
      <c r="BP250" s="9"/>
      <c r="BQ250" s="9"/>
      <c r="BR250" s="9"/>
      <c r="BS250" s="9"/>
      <c r="BT250" s="41"/>
      <c r="BV250" s="3">
        <v>1</v>
      </c>
    </row>
    <row r="251" spans="2:74" ht="21" customHeight="1">
      <c r="B251" s="104" t="str">
        <f t="shared" si="38"/>
        <v>►</v>
      </c>
      <c r="C251" s="32" t="str">
        <f>C225</f>
        <v>N NOM DE VOTRE RECETTE | | Auteur &gt; VOUS</v>
      </c>
      <c r="D251" s="33">
        <f>D225</f>
        <v>18</v>
      </c>
      <c r="E251" s="32" t="str">
        <f>E225</f>
        <v>desserts</v>
      </c>
      <c r="F251" s="34" t="str">
        <f>F225</f>
        <v>Recette mère ► Saisir le nom de la recette principale</v>
      </c>
      <c r="G251" s="92"/>
      <c r="H251" s="108"/>
      <c r="I251" s="94" t="str">
        <f t="shared" si="35"/>
        <v/>
      </c>
      <c r="J251" s="95"/>
      <c r="K251" s="126"/>
      <c r="L251" s="127">
        <v>1</v>
      </c>
      <c r="M251" s="920"/>
      <c r="N251" s="1495">
        <f>IF(OR(ISBLANK(G223),N223=0),0,G251*L224)</f>
        <v>0</v>
      </c>
      <c r="O251" s="101" cm="1">
        <f t="array" ref="O251">IFERROR(_xlfn.LET(_xlpm.k,UPPER(TRIM(K251)),_xlpm.r,_xlfn.XLOOKUP(_xlpm.k,UPPER(TRIM(G260:P260)),G261:P261,_xlfn.XLOOKUP(_xlpm.k,UPPER(TRIM(G262:P262)),G263:P263)),_xlpm.r*J251*L251*L224*IF(ISBLANK(G251),1,G251)),0)</f>
        <v>0</v>
      </c>
      <c r="P251" s="1476" t="str">
        <f>_xlfn.LET(_xlpm.unite,SUBSTITUTE(TRIM(K251)," (s)",""),_xlpm.val,O251,_xlpm.estVol,COUNTIF(J260:P260,_xlpm.unite)+COUNTIF(J262:P262,_xlpm.unite)&gt;0,_xlpm.estPoids,COUNTIF(G260:I260,_xlpm.unite)+COUNTIF(G262:I262,_xlpm.unite)&gt;0,IF(_xlpm.estVol,IF(ROUND(_xlpm.val,3)&gt;=1,ROUND(_xlpm.val,3)&amp;" L",MAX(1,ROUND(_xlpm.val*100,0))&amp;" cl"),IF(_xlpm.estPoids,IF(ROUND(_xlpm.val,3)&gt;=1,ROUND(_xlpm.val,3)&amp;" Kg",MAX(1,ROUND(_xlpm.val*1000,0))&amp;" g"),"")))</f>
        <v/>
      </c>
      <c r="R251" s="104" t="str">
        <f t="shared" si="39"/>
        <v>►</v>
      </c>
      <c r="S251" s="32" t="str">
        <f>S225</f>
        <v>N NAME OF YOUR RECIPE | |  Author &gt; YOU</v>
      </c>
      <c r="T251" s="33">
        <f>T225</f>
        <v>18</v>
      </c>
      <c r="U251" s="32" t="str">
        <f>U225</f>
        <v>desserts</v>
      </c>
      <c r="V251" s="34" t="str">
        <f>V225</f>
        <v>Master recipe ► Enter the main recipe name</v>
      </c>
      <c r="W251" s="92"/>
      <c r="X251" s="108"/>
      <c r="Y251" s="94" t="str">
        <f t="shared" si="36"/>
        <v/>
      </c>
      <c r="Z251" s="95"/>
      <c r="AA251" s="126"/>
      <c r="AB251" s="127">
        <v>1</v>
      </c>
      <c r="AC251" s="920"/>
      <c r="AD251" s="1495">
        <f>IF(OR(ISBLANK(W223),AD223=0),0,W251*AB224)</f>
        <v>0</v>
      </c>
      <c r="AE251" s="101" cm="1">
        <f t="array" ref="AE251">IFERROR(_xlfn.LET(_xlpm.k,UPPER(TRIM(AA251)),_xlpm.r,_xlfn.XLOOKUP(_xlpm.k,UPPER(TRIM(W260:AF260)),W261:AF261,_xlfn.XLOOKUP(_xlpm.k,UPPER(TRIM(W262:AF262)),W263:AF263)),_xlpm.r*Z251*AB251*AB224*IF(ISBLANK(W251),1,W251)),0)</f>
        <v>0</v>
      </c>
      <c r="AF251" s="1476" t="str">
        <f>_xlfn.LET(_xlpm.unite,SUBSTITUTE(TRIM(AA251)," (s)",""),_xlpm.val,AE251,_xlpm.estVol,COUNTIF(Z260:AF260,_xlpm.unite)+COUNTIF(Z262:AF262,_xlpm.unite)&gt;0,_xlpm.estPoids,COUNTIF(W260:Y260,_xlpm.unite)+COUNTIF(W262:Y262,_xlpm.unite)&gt;0,IF(_xlpm.estVol,IF(ROUND(_xlpm.val,3)&gt;=1,ROUND(_xlpm.val,3)&amp;" L",MAX(1,ROUND(_xlpm.val*100,0))&amp;" cl"),IF(_xlpm.estPoids,IF(ROUND(_xlpm.val,3)&gt;=1,ROUND(_xlpm.val,3)&amp;" Kg",MAX(1,ROUND(_xlpm.val*1000,0))&amp;" g"),"")))</f>
        <v/>
      </c>
      <c r="AH251" s="104" t="str">
        <f t="shared" si="40"/>
        <v>►</v>
      </c>
      <c r="AI251" s="32" t="str">
        <f>AI225</f>
        <v>N NOMBRE DE LA RECETA | | Autor &gt; USTED</v>
      </c>
      <c r="AJ251" s="33">
        <f>AJ225</f>
        <v>18</v>
      </c>
      <c r="AK251" s="32" t="str">
        <f>AK225</f>
        <v>postres</v>
      </c>
      <c r="AL251" s="34" t="str">
        <f>AL225</f>
        <v>Receta madre ► Introduzca el nombre de la receta principal</v>
      </c>
      <c r="AM251" s="92"/>
      <c r="AN251" s="108"/>
      <c r="AO251" s="94" t="str">
        <f t="shared" si="37"/>
        <v/>
      </c>
      <c r="AP251" s="95"/>
      <c r="AQ251" s="126"/>
      <c r="AR251" s="127">
        <v>1</v>
      </c>
      <c r="AS251" s="920"/>
      <c r="AT251" s="1495">
        <f>IF(OR(ISBLANK(AM223),AT223=0),0,AM251*AR224)</f>
        <v>0</v>
      </c>
      <c r="AU251" s="101" cm="1">
        <f t="array" ref="AU251">IFERROR(_xlfn.LET(_xlpm.k,UPPER(TRIM(AQ251)),_xlpm.r,_xlfn.XLOOKUP(_xlpm.k,UPPER(TRIM(AM260:AV260)),AM261:AV261,_xlfn.XLOOKUP(_xlpm.k,UPPER(TRIM(AM262:AV262)),AM263:AV263)),_xlpm.r*AP251*AR251*AR224*IF(ISBLANK(AM251),1,AM251)),0)</f>
        <v>0</v>
      </c>
      <c r="AV251" s="1476" t="str">
        <f>_xlfn.LET(_xlpm.unite,SUBSTITUTE(TRIM(AQ251)," (s)",""),_xlpm.val,AU251,_xlpm.estVol,COUNTIF(AP260:AV260,_xlpm.unite)+COUNTIF(AP262:AV262,_xlpm.unite)&gt;0,_xlpm.estPoids,COUNTIF(AM260:AO260,_xlpm.unite)+COUNTIF(AM262:AO262,_xlpm.unite)&gt;0,IF(_xlpm.estVol,IF(ROUND(_xlpm.val,3)&gt;=1,ROUND(_xlpm.val,3)&amp;" L",MAX(1,ROUND(_xlpm.val*100,0))&amp;" cl"),IF(_xlpm.estPoids,IF(ROUND(_xlpm.val,3)&gt;=1,ROUND(_xlpm.val,3)&amp;" Kg",MAX(1,ROUND(_xlpm.val*1000,0))&amp;" g"),"")))</f>
        <v/>
      </c>
      <c r="AX251" s="650" t="s">
        <v>167</v>
      </c>
      <c r="AY251" s="233"/>
      <c r="AZ251" s="233"/>
      <c r="BA251" s="233"/>
      <c r="BB251" s="233"/>
      <c r="BC251" s="234"/>
      <c r="BD251" s="651" t="s">
        <v>220</v>
      </c>
      <c r="BF251" s="650" t="s">
        <v>752</v>
      </c>
      <c r="BG251" s="233"/>
      <c r="BH251" s="233"/>
      <c r="BI251" s="233"/>
      <c r="BJ251" s="233"/>
      <c r="BK251" s="234"/>
      <c r="BL251" s="651" t="s">
        <v>753</v>
      </c>
      <c r="BN251" s="650" t="s">
        <v>754</v>
      </c>
      <c r="BO251" s="233"/>
      <c r="BP251" s="233"/>
      <c r="BQ251" s="233"/>
      <c r="BR251" s="233"/>
      <c r="BS251" s="234"/>
      <c r="BT251" s="651" t="s">
        <v>755</v>
      </c>
      <c r="BV251" s="3">
        <v>1</v>
      </c>
    </row>
    <row r="252" spans="2:74" ht="21" customHeight="1">
      <c r="B252" s="104" t="str">
        <f t="shared" si="38"/>
        <v>►</v>
      </c>
      <c r="C252" s="32" t="str">
        <f>C225</f>
        <v>N NOM DE VOTRE RECETTE | | Auteur &gt; VOUS</v>
      </c>
      <c r="D252" s="33">
        <f>D225</f>
        <v>18</v>
      </c>
      <c r="E252" s="32" t="str">
        <f>E225</f>
        <v>desserts</v>
      </c>
      <c r="F252" s="34" t="str">
        <f>F225</f>
        <v>Recette mère ► Saisir le nom de la recette principale</v>
      </c>
      <c r="G252" s="92"/>
      <c r="H252" s="108"/>
      <c r="I252" s="94" t="str">
        <f t="shared" si="35"/>
        <v/>
      </c>
      <c r="J252" s="95"/>
      <c r="K252" s="126"/>
      <c r="L252" s="127">
        <v>1</v>
      </c>
      <c r="M252" s="920"/>
      <c r="N252" s="1495">
        <f>IF(OR(ISBLANK(G223),N223=0),0,G252*L224)</f>
        <v>0</v>
      </c>
      <c r="O252" s="101" cm="1">
        <f t="array" ref="O252">IFERROR(_xlfn.LET(_xlpm.k,UPPER(TRIM(K252)),_xlpm.r,_xlfn.XLOOKUP(_xlpm.k,UPPER(TRIM(G260:P260)),G261:P261,_xlfn.XLOOKUP(_xlpm.k,UPPER(TRIM(G262:P262)),G263:P263)),_xlpm.r*J252*L252*L224*IF(ISBLANK(G252),1,G252)),0)</f>
        <v>0</v>
      </c>
      <c r="P252" s="1475" t="str">
        <f>_xlfn.LET(_xlpm.unite,SUBSTITUTE(TRIM(K252)," (s)",""),_xlpm.val,O252,_xlpm.estVol,COUNTIF(J260:P260,_xlpm.unite)+COUNTIF(J262:P262,_xlpm.unite)&gt;0,_xlpm.estPoids,COUNTIF(G260:I260,_xlpm.unite)+COUNTIF(G262:I262,_xlpm.unite)&gt;0,IF(_xlpm.estVol,IF(ROUND(_xlpm.val,3)&gt;=1,ROUND(_xlpm.val,3)&amp;" L",MAX(1,ROUND(_xlpm.val*100,0))&amp;" cl"),IF(_xlpm.estPoids,IF(ROUND(_xlpm.val,3)&gt;=1,ROUND(_xlpm.val,3)&amp;" Kg",MAX(1,ROUND(_xlpm.val*1000,0))&amp;" g"),"")))</f>
        <v/>
      </c>
      <c r="R252" s="104" t="str">
        <f t="shared" si="39"/>
        <v>►</v>
      </c>
      <c r="S252" s="32" t="str">
        <f>S225</f>
        <v>N NAME OF YOUR RECIPE | |  Author &gt; YOU</v>
      </c>
      <c r="T252" s="33">
        <f>T225</f>
        <v>18</v>
      </c>
      <c r="U252" s="32" t="str">
        <f>U225</f>
        <v>desserts</v>
      </c>
      <c r="V252" s="34" t="str">
        <f>V225</f>
        <v>Master recipe ► Enter the main recipe name</v>
      </c>
      <c r="W252" s="92"/>
      <c r="X252" s="108"/>
      <c r="Y252" s="94" t="str">
        <f t="shared" si="36"/>
        <v/>
      </c>
      <c r="Z252" s="95"/>
      <c r="AA252" s="126"/>
      <c r="AB252" s="127">
        <v>1</v>
      </c>
      <c r="AC252" s="920"/>
      <c r="AD252" s="1495">
        <f>IF(OR(ISBLANK(W223),AD223=0),0,W252*AB224)</f>
        <v>0</v>
      </c>
      <c r="AE252" s="101" cm="1">
        <f t="array" ref="AE252">IFERROR(_xlfn.LET(_xlpm.k,UPPER(TRIM(AA252)),_xlpm.r,_xlfn.XLOOKUP(_xlpm.k,UPPER(TRIM(W260:AF260)),W261:AF261,_xlfn.XLOOKUP(_xlpm.k,UPPER(TRIM(W262:AF262)),W263:AF263)),_xlpm.r*Z252*AB252*AB224*IF(ISBLANK(W252),1,W252)),0)</f>
        <v>0</v>
      </c>
      <c r="AF252" s="1475" t="str">
        <f>_xlfn.LET(_xlpm.unite,SUBSTITUTE(TRIM(AA252)," (s)",""),_xlpm.val,AE252,_xlpm.estVol,COUNTIF(Z260:AF260,_xlpm.unite)+COUNTIF(Z262:AF262,_xlpm.unite)&gt;0,_xlpm.estPoids,COUNTIF(W260:Y260,_xlpm.unite)+COUNTIF(W262:Y262,_xlpm.unite)&gt;0,IF(_xlpm.estVol,IF(ROUND(_xlpm.val,3)&gt;=1,ROUND(_xlpm.val,3)&amp;" L",MAX(1,ROUND(_xlpm.val*100,0))&amp;" cl"),IF(_xlpm.estPoids,IF(ROUND(_xlpm.val,3)&gt;=1,ROUND(_xlpm.val,3)&amp;" Kg",MAX(1,ROUND(_xlpm.val*1000,0))&amp;" g"),"")))</f>
        <v/>
      </c>
      <c r="AH252" s="104" t="str">
        <f t="shared" si="40"/>
        <v>►</v>
      </c>
      <c r="AI252" s="32" t="str">
        <f>AI225</f>
        <v>N NOMBRE DE LA RECETA | | Autor &gt; USTED</v>
      </c>
      <c r="AJ252" s="33">
        <f>AJ225</f>
        <v>18</v>
      </c>
      <c r="AK252" s="32" t="str">
        <f>AK225</f>
        <v>postres</v>
      </c>
      <c r="AL252" s="34" t="str">
        <f>AL225</f>
        <v>Receta madre ► Introduzca el nombre de la receta principal</v>
      </c>
      <c r="AM252" s="92"/>
      <c r="AN252" s="108"/>
      <c r="AO252" s="94" t="str">
        <f t="shared" si="37"/>
        <v/>
      </c>
      <c r="AP252" s="95"/>
      <c r="AQ252" s="126"/>
      <c r="AR252" s="127">
        <v>1</v>
      </c>
      <c r="AS252" s="920"/>
      <c r="AT252" s="1495">
        <f>IF(OR(ISBLANK(AM223),AT223=0),0,AM252*AR224)</f>
        <v>0</v>
      </c>
      <c r="AU252" s="101" cm="1">
        <f t="array" ref="AU252">IFERROR(_xlfn.LET(_xlpm.k,UPPER(TRIM(AQ252)),_xlpm.r,_xlfn.XLOOKUP(_xlpm.k,UPPER(TRIM(AM260:AV260)),AM261:AV261,_xlfn.XLOOKUP(_xlpm.k,UPPER(TRIM(AM262:AV262)),AM263:AV263)),_xlpm.r*AP252*AR252*AR224*IF(ISBLANK(AM252),1,AM252)),0)</f>
        <v>0</v>
      </c>
      <c r="AV252" s="1475" t="str">
        <f>_xlfn.LET(_xlpm.unite,SUBSTITUTE(TRIM(AQ252)," (s)",""),_xlpm.val,AU252,_xlpm.estVol,COUNTIF(AP260:AV260,_xlpm.unite)+COUNTIF(AP262:AV262,_xlpm.unite)&gt;0,_xlpm.estPoids,COUNTIF(AM260:AO260,_xlpm.unite)+COUNTIF(AM262:AO262,_xlpm.unite)&gt;0,IF(_xlpm.estVol,IF(ROUND(_xlpm.val,3)&gt;=1,ROUND(_xlpm.val,3)&amp;" L",MAX(1,ROUND(_xlpm.val*100,0))&amp;" cl"),IF(_xlpm.estPoids,IF(ROUND(_xlpm.val,3)&gt;=1,ROUND(_xlpm.val,3)&amp;" Kg",MAX(1,ROUND(_xlpm.val*1000,0))&amp;" g"),"")))</f>
        <v/>
      </c>
      <c r="AX252" s="658" t="s">
        <v>221</v>
      </c>
      <c r="AY252" s="237" t="s">
        <v>222</v>
      </c>
      <c r="AZ252" s="183"/>
      <c r="BA252" s="183"/>
      <c r="BB252" s="183"/>
      <c r="BC252" s="183"/>
      <c r="BD252" s="189"/>
      <c r="BF252" s="658" t="s">
        <v>221</v>
      </c>
      <c r="BG252" s="237" t="s">
        <v>758</v>
      </c>
      <c r="BH252" s="183"/>
      <c r="BI252" s="183"/>
      <c r="BJ252" s="183"/>
      <c r="BK252" s="183"/>
      <c r="BL252" s="189"/>
      <c r="BN252" s="658" t="s">
        <v>221</v>
      </c>
      <c r="BO252" s="237" t="s">
        <v>759</v>
      </c>
      <c r="BP252" s="183"/>
      <c r="BQ252" s="183"/>
      <c r="BR252" s="183"/>
      <c r="BS252" s="183"/>
      <c r="BT252" s="189"/>
      <c r="BV252" s="3">
        <v>1</v>
      </c>
    </row>
    <row r="253" spans="2:74" ht="21" customHeight="1">
      <c r="B253" s="104" t="str">
        <f t="shared" si="38"/>
        <v>►</v>
      </c>
      <c r="C253" s="32" t="str">
        <f>C225</f>
        <v>N NOM DE VOTRE RECETTE | | Auteur &gt; VOUS</v>
      </c>
      <c r="D253" s="33">
        <f>D225</f>
        <v>18</v>
      </c>
      <c r="E253" s="32" t="str">
        <f>E225</f>
        <v>desserts</v>
      </c>
      <c r="F253" s="34" t="str">
        <f>F225</f>
        <v>Recette mère ► Saisir le nom de la recette principale</v>
      </c>
      <c r="G253" s="92"/>
      <c r="H253" s="108"/>
      <c r="I253" s="94" t="str">
        <f t="shared" si="35"/>
        <v/>
      </c>
      <c r="J253" s="95"/>
      <c r="K253" s="126"/>
      <c r="L253" s="127">
        <v>1</v>
      </c>
      <c r="M253" s="920"/>
      <c r="N253" s="1495">
        <f>IF(OR(ISBLANK(G223),N223=0),0,G253*L224)</f>
        <v>0</v>
      </c>
      <c r="O253" s="101" cm="1">
        <f t="array" ref="O253">IFERROR(_xlfn.LET(_xlpm.k,UPPER(TRIM(K253)),_xlpm.r,_xlfn.XLOOKUP(_xlpm.k,UPPER(TRIM(G260:P260)),G261:P261,_xlfn.XLOOKUP(_xlpm.k,UPPER(TRIM(G262:P262)),G263:P263)),_xlpm.r*J253*L253*L224*IF(ISBLANK(G253),1,G253)),0)</f>
        <v>0</v>
      </c>
      <c r="P253" s="1476" t="str">
        <f>_xlfn.LET(_xlpm.unite,SUBSTITUTE(TRIM(K253)," (s)",""),_xlpm.val,O253,_xlpm.estVol,COUNTIF(J260:P260,_xlpm.unite)+COUNTIF(J262:P262,_xlpm.unite)&gt;0,_xlpm.estPoids,COUNTIF(G260:I260,_xlpm.unite)+COUNTIF(G262:I262,_xlpm.unite)&gt;0,IF(_xlpm.estVol,IF(ROUND(_xlpm.val,3)&gt;=1,ROUND(_xlpm.val,3)&amp;" L",MAX(1,ROUND(_xlpm.val*100,0))&amp;" cl"),IF(_xlpm.estPoids,IF(ROUND(_xlpm.val,3)&gt;=1,ROUND(_xlpm.val,3)&amp;" Kg",MAX(1,ROUND(_xlpm.val*1000,0))&amp;" g"),"")))</f>
        <v/>
      </c>
      <c r="R253" s="104" t="str">
        <f t="shared" si="39"/>
        <v>►</v>
      </c>
      <c r="S253" s="32" t="str">
        <f>S225</f>
        <v>N NAME OF YOUR RECIPE | |  Author &gt; YOU</v>
      </c>
      <c r="T253" s="33">
        <f>T225</f>
        <v>18</v>
      </c>
      <c r="U253" s="32" t="str">
        <f>U225</f>
        <v>desserts</v>
      </c>
      <c r="V253" s="34" t="str">
        <f>V225</f>
        <v>Master recipe ► Enter the main recipe name</v>
      </c>
      <c r="W253" s="92"/>
      <c r="X253" s="108"/>
      <c r="Y253" s="94" t="str">
        <f t="shared" si="36"/>
        <v/>
      </c>
      <c r="Z253" s="95"/>
      <c r="AA253" s="126"/>
      <c r="AB253" s="127">
        <v>1</v>
      </c>
      <c r="AC253" s="920"/>
      <c r="AD253" s="1495">
        <f>IF(OR(ISBLANK(W223),AD223=0),0,W253*AB224)</f>
        <v>0</v>
      </c>
      <c r="AE253" s="101" cm="1">
        <f t="array" ref="AE253">IFERROR(_xlfn.LET(_xlpm.k,UPPER(TRIM(AA253)),_xlpm.r,_xlfn.XLOOKUP(_xlpm.k,UPPER(TRIM(W260:AF260)),W261:AF261,_xlfn.XLOOKUP(_xlpm.k,UPPER(TRIM(W262:AF262)),W263:AF263)),_xlpm.r*Z253*AB253*AB224*IF(ISBLANK(W253),1,W253)),0)</f>
        <v>0</v>
      </c>
      <c r="AF253" s="1476" t="str">
        <f>_xlfn.LET(_xlpm.unite,SUBSTITUTE(TRIM(AA253)," (s)",""),_xlpm.val,AE253,_xlpm.estVol,COUNTIF(Z260:AF260,_xlpm.unite)+COUNTIF(Z262:AF262,_xlpm.unite)&gt;0,_xlpm.estPoids,COUNTIF(W260:Y260,_xlpm.unite)+COUNTIF(W262:Y262,_xlpm.unite)&gt;0,IF(_xlpm.estVol,IF(ROUND(_xlpm.val,3)&gt;=1,ROUND(_xlpm.val,3)&amp;" L",MAX(1,ROUND(_xlpm.val*100,0))&amp;" cl"),IF(_xlpm.estPoids,IF(ROUND(_xlpm.val,3)&gt;=1,ROUND(_xlpm.val,3)&amp;" Kg",MAX(1,ROUND(_xlpm.val*1000,0))&amp;" g"),"")))</f>
        <v/>
      </c>
      <c r="AH253" s="104" t="str">
        <f t="shared" si="40"/>
        <v>►</v>
      </c>
      <c r="AI253" s="32" t="str">
        <f>AI225</f>
        <v>N NOMBRE DE LA RECETA | | Autor &gt; USTED</v>
      </c>
      <c r="AJ253" s="33">
        <f>AJ225</f>
        <v>18</v>
      </c>
      <c r="AK253" s="32" t="str">
        <f>AK225</f>
        <v>postres</v>
      </c>
      <c r="AL253" s="34" t="str">
        <f>AL225</f>
        <v>Receta madre ► Introduzca el nombre de la receta principal</v>
      </c>
      <c r="AM253" s="92"/>
      <c r="AN253" s="108"/>
      <c r="AO253" s="94" t="str">
        <f t="shared" si="37"/>
        <v/>
      </c>
      <c r="AP253" s="95"/>
      <c r="AQ253" s="126"/>
      <c r="AR253" s="127">
        <v>1</v>
      </c>
      <c r="AS253" s="920"/>
      <c r="AT253" s="1495">
        <f>IF(OR(ISBLANK(AM223),AT223=0),0,AM253*AR224)</f>
        <v>0</v>
      </c>
      <c r="AU253" s="101" cm="1">
        <f t="array" ref="AU253">IFERROR(_xlfn.LET(_xlpm.k,UPPER(TRIM(AQ253)),_xlpm.r,_xlfn.XLOOKUP(_xlpm.k,UPPER(TRIM(AM260:AV260)),AM261:AV261,_xlfn.XLOOKUP(_xlpm.k,UPPER(TRIM(AM262:AV262)),AM263:AV263)),_xlpm.r*AP253*AR253*AR224*IF(ISBLANK(AM253),1,AM253)),0)</f>
        <v>0</v>
      </c>
      <c r="AV253" s="1476" t="str">
        <f>_xlfn.LET(_xlpm.unite,SUBSTITUTE(TRIM(AQ253)," (s)",""),_xlpm.val,AU253,_xlpm.estVol,COUNTIF(AP260:AV260,_xlpm.unite)+COUNTIF(AP262:AV262,_xlpm.unite)&gt;0,_xlpm.estPoids,COUNTIF(AM260:AO260,_xlpm.unite)+COUNTIF(AM262:AO262,_xlpm.unite)&gt;0,IF(_xlpm.estVol,IF(ROUND(_xlpm.val,3)&gt;=1,ROUND(_xlpm.val,3)&amp;" L",MAX(1,ROUND(_xlpm.val*100,0))&amp;" cl"),IF(_xlpm.estPoids,IF(ROUND(_xlpm.val,3)&gt;=1,ROUND(_xlpm.val,3)&amp;" Kg",MAX(1,ROUND(_xlpm.val*1000,0))&amp;" g"),"")))</f>
        <v/>
      </c>
      <c r="AX253" s="658" t="s">
        <v>221</v>
      </c>
      <c r="AY253" s="237" t="s">
        <v>226</v>
      </c>
      <c r="AZ253" s="172"/>
      <c r="BA253" s="172"/>
      <c r="BB253" s="241"/>
      <c r="BC253" s="197"/>
      <c r="BD253" s="662"/>
      <c r="BF253" s="658" t="s">
        <v>221</v>
      </c>
      <c r="BG253" s="237" t="s">
        <v>762</v>
      </c>
      <c r="BH253" s="172"/>
      <c r="BI253" s="172"/>
      <c r="BJ253" s="241"/>
      <c r="BK253" s="197"/>
      <c r="BL253" s="662"/>
      <c r="BN253" s="658" t="s">
        <v>221</v>
      </c>
      <c r="BO253" s="237" t="s">
        <v>763</v>
      </c>
      <c r="BP253" s="172"/>
      <c r="BQ253" s="172"/>
      <c r="BR253" s="241"/>
      <c r="BS253" s="197"/>
      <c r="BT253" s="662"/>
      <c r="BV253" s="3">
        <v>1</v>
      </c>
    </row>
    <row r="254" spans="2:74" ht="21" customHeight="1">
      <c r="B254" s="104" t="str">
        <f t="shared" si="38"/>
        <v>►</v>
      </c>
      <c r="C254" s="32" t="str">
        <f>C225</f>
        <v>N NOM DE VOTRE RECETTE | | Auteur &gt; VOUS</v>
      </c>
      <c r="D254" s="33">
        <f>D225</f>
        <v>18</v>
      </c>
      <c r="E254" s="32" t="str">
        <f>E225</f>
        <v>desserts</v>
      </c>
      <c r="F254" s="34" t="str">
        <f>F225</f>
        <v>Recette mère ► Saisir le nom de la recette principale</v>
      </c>
      <c r="G254" s="92"/>
      <c r="H254" s="108"/>
      <c r="I254" s="94" t="str">
        <f t="shared" si="35"/>
        <v/>
      </c>
      <c r="J254" s="95"/>
      <c r="K254" s="126"/>
      <c r="L254" s="127">
        <v>1</v>
      </c>
      <c r="M254" s="920"/>
      <c r="N254" s="1495">
        <f>IF(OR(ISBLANK(G223),N223=0),0,G254*L224)</f>
        <v>0</v>
      </c>
      <c r="O254" s="101" cm="1">
        <f t="array" ref="O254">IFERROR(_xlfn.LET(_xlpm.k,UPPER(TRIM(K254)),_xlpm.r,_xlfn.XLOOKUP(_xlpm.k,UPPER(TRIM(G260:P260)),G261:P261,_xlfn.XLOOKUP(_xlpm.k,UPPER(TRIM(G262:P262)),G263:P263)),_xlpm.r*J254*L254*L224*IF(ISBLANK(G254),1,G254)),0)</f>
        <v>0</v>
      </c>
      <c r="P254" s="1475" t="str">
        <f>_xlfn.LET(_xlpm.unite,SUBSTITUTE(TRIM(K254)," (s)",""),_xlpm.val,O254,_xlpm.estVol,COUNTIF(J260:P260,_xlpm.unite)+COUNTIF(J262:P262,_xlpm.unite)&gt;0,_xlpm.estPoids,COUNTIF(G260:I260,_xlpm.unite)+COUNTIF(G262:I262,_xlpm.unite)&gt;0,IF(_xlpm.estVol,IF(ROUND(_xlpm.val,3)&gt;=1,ROUND(_xlpm.val,3)&amp;" L",MAX(1,ROUND(_xlpm.val*100,0))&amp;" cl"),IF(_xlpm.estPoids,IF(ROUND(_xlpm.val,3)&gt;=1,ROUND(_xlpm.val,3)&amp;" Kg",MAX(1,ROUND(_xlpm.val*1000,0))&amp;" g"),"")))</f>
        <v/>
      </c>
      <c r="R254" s="104" t="str">
        <f t="shared" si="39"/>
        <v>►</v>
      </c>
      <c r="S254" s="32" t="str">
        <f>S225</f>
        <v>N NAME OF YOUR RECIPE | |  Author &gt; YOU</v>
      </c>
      <c r="T254" s="33">
        <f>T225</f>
        <v>18</v>
      </c>
      <c r="U254" s="32" t="str">
        <f>U225</f>
        <v>desserts</v>
      </c>
      <c r="V254" s="34" t="str">
        <f>V225</f>
        <v>Master recipe ► Enter the main recipe name</v>
      </c>
      <c r="W254" s="92"/>
      <c r="X254" s="108"/>
      <c r="Y254" s="94" t="str">
        <f t="shared" si="36"/>
        <v/>
      </c>
      <c r="Z254" s="95"/>
      <c r="AA254" s="126"/>
      <c r="AB254" s="127">
        <v>1</v>
      </c>
      <c r="AC254" s="920"/>
      <c r="AD254" s="1495">
        <f>IF(OR(ISBLANK(W223),AD223=0),0,W254*AB224)</f>
        <v>0</v>
      </c>
      <c r="AE254" s="101" cm="1">
        <f t="array" ref="AE254">IFERROR(_xlfn.LET(_xlpm.k,UPPER(TRIM(AA254)),_xlpm.r,_xlfn.XLOOKUP(_xlpm.k,UPPER(TRIM(W260:AF260)),W261:AF261,_xlfn.XLOOKUP(_xlpm.k,UPPER(TRIM(W262:AF262)),W263:AF263)),_xlpm.r*Z254*AB254*AB224*IF(ISBLANK(W254),1,W254)),0)</f>
        <v>0</v>
      </c>
      <c r="AF254" s="1475" t="str">
        <f>_xlfn.LET(_xlpm.unite,SUBSTITUTE(TRIM(AA254)," (s)",""),_xlpm.val,AE254,_xlpm.estVol,COUNTIF(Z260:AF260,_xlpm.unite)+COUNTIF(Z262:AF262,_xlpm.unite)&gt;0,_xlpm.estPoids,COUNTIF(W260:Y260,_xlpm.unite)+COUNTIF(W262:Y262,_xlpm.unite)&gt;0,IF(_xlpm.estVol,IF(ROUND(_xlpm.val,3)&gt;=1,ROUND(_xlpm.val,3)&amp;" L",MAX(1,ROUND(_xlpm.val*100,0))&amp;" cl"),IF(_xlpm.estPoids,IF(ROUND(_xlpm.val,3)&gt;=1,ROUND(_xlpm.val,3)&amp;" Kg",MAX(1,ROUND(_xlpm.val*1000,0))&amp;" g"),"")))</f>
        <v/>
      </c>
      <c r="AH254" s="104" t="str">
        <f t="shared" si="40"/>
        <v>►</v>
      </c>
      <c r="AI254" s="32" t="str">
        <f>AI225</f>
        <v>N NOMBRE DE LA RECETA | | Autor &gt; USTED</v>
      </c>
      <c r="AJ254" s="33">
        <f>AJ225</f>
        <v>18</v>
      </c>
      <c r="AK254" s="32" t="str">
        <f>AK225</f>
        <v>postres</v>
      </c>
      <c r="AL254" s="34" t="str">
        <f>AL225</f>
        <v>Receta madre ► Introduzca el nombre de la receta principal</v>
      </c>
      <c r="AM254" s="92"/>
      <c r="AN254" s="108"/>
      <c r="AO254" s="94" t="str">
        <f t="shared" si="37"/>
        <v/>
      </c>
      <c r="AP254" s="95"/>
      <c r="AQ254" s="126"/>
      <c r="AR254" s="127">
        <v>1</v>
      </c>
      <c r="AS254" s="920"/>
      <c r="AT254" s="1495">
        <f>IF(OR(ISBLANK(AM223),AT223=0),0,AM254*AR224)</f>
        <v>0</v>
      </c>
      <c r="AU254" s="101" cm="1">
        <f t="array" ref="AU254">IFERROR(_xlfn.LET(_xlpm.k,UPPER(TRIM(AQ254)),_xlpm.r,_xlfn.XLOOKUP(_xlpm.k,UPPER(TRIM(AM260:AV260)),AM261:AV261,_xlfn.XLOOKUP(_xlpm.k,UPPER(TRIM(AM262:AV262)),AM263:AV263)),_xlpm.r*AP254*AR254*AR224*IF(ISBLANK(AM254),1,AM254)),0)</f>
        <v>0</v>
      </c>
      <c r="AV254" s="1475" t="str">
        <f>_xlfn.LET(_xlpm.unite,SUBSTITUTE(TRIM(AQ254)," (s)",""),_xlpm.val,AU254,_xlpm.estVol,COUNTIF(AP260:AV260,_xlpm.unite)+COUNTIF(AP262:AV262,_xlpm.unite)&gt;0,_xlpm.estPoids,COUNTIF(AM260:AO260,_xlpm.unite)+COUNTIF(AM262:AO262,_xlpm.unite)&gt;0,IF(_xlpm.estVol,IF(ROUND(_xlpm.val,3)&gt;=1,ROUND(_xlpm.val,3)&amp;" L",MAX(1,ROUND(_xlpm.val*100,0))&amp;" cl"),IF(_xlpm.estPoids,IF(ROUND(_xlpm.val,3)&gt;=1,ROUND(_xlpm.val,3)&amp;" Kg",MAX(1,ROUND(_xlpm.val*1000,0))&amp;" g"),"")))</f>
        <v/>
      </c>
      <c r="AX254" s="658" t="s">
        <v>221</v>
      </c>
      <c r="AY254" s="237" t="s">
        <v>227</v>
      </c>
      <c r="AZ254" s="183"/>
      <c r="BA254" s="183"/>
      <c r="BB254" s="197"/>
      <c r="BC254" s="197"/>
      <c r="BD254" s="662"/>
      <c r="BF254" s="658" t="s">
        <v>221</v>
      </c>
      <c r="BG254" s="237" t="s">
        <v>765</v>
      </c>
      <c r="BH254" s="183"/>
      <c r="BI254" s="183"/>
      <c r="BJ254" s="197"/>
      <c r="BK254" s="197"/>
      <c r="BL254" s="662"/>
      <c r="BN254" s="658" t="s">
        <v>221</v>
      </c>
      <c r="BO254" s="237" t="s">
        <v>766</v>
      </c>
      <c r="BP254" s="183"/>
      <c r="BQ254" s="183"/>
      <c r="BR254" s="197"/>
      <c r="BS254" s="197"/>
      <c r="BT254" s="662"/>
      <c r="BV254" s="3">
        <v>1</v>
      </c>
    </row>
    <row r="255" spans="2:74" ht="21" customHeight="1">
      <c r="B255" s="104" t="str">
        <f t="shared" si="38"/>
        <v>►</v>
      </c>
      <c r="C255" s="32" t="str">
        <f>C225</f>
        <v>N NOM DE VOTRE RECETTE | | Auteur &gt; VOUS</v>
      </c>
      <c r="D255" s="33">
        <f>D225</f>
        <v>18</v>
      </c>
      <c r="E255" s="32" t="str">
        <f>E225</f>
        <v>desserts</v>
      </c>
      <c r="F255" s="34" t="str">
        <f>F225</f>
        <v>Recette mère ► Saisir le nom de la recette principale</v>
      </c>
      <c r="G255" s="92"/>
      <c r="H255" s="108"/>
      <c r="I255" s="94" t="str">
        <f t="shared" si="35"/>
        <v/>
      </c>
      <c r="J255" s="95"/>
      <c r="K255" s="126"/>
      <c r="L255" s="127">
        <v>1</v>
      </c>
      <c r="M255" s="920"/>
      <c r="N255" s="1495">
        <f>IF(OR(ISBLANK(G223),N223=0),0,G255*L224)</f>
        <v>0</v>
      </c>
      <c r="O255" s="101" cm="1">
        <f t="array" ref="O255">IFERROR(_xlfn.LET(_xlpm.k,UPPER(TRIM(K255)),_xlpm.r,_xlfn.XLOOKUP(_xlpm.k,UPPER(TRIM(G260:P260)),G261:P261,_xlfn.XLOOKUP(_xlpm.k,UPPER(TRIM(G262:P262)),G263:P263)),_xlpm.r*J255*L255*L224*IF(ISBLANK(G255),1,G255)),0)</f>
        <v>0</v>
      </c>
      <c r="P255" s="1476" t="str">
        <f>_xlfn.LET(_xlpm.unite,SUBSTITUTE(TRIM(K255)," (s)",""),_xlpm.val,O255,_xlpm.estVol,COUNTIF(J260:P260,_xlpm.unite)+COUNTIF(J262:P262,_xlpm.unite)&gt;0,_xlpm.estPoids,COUNTIF(G260:I260,_xlpm.unite)+COUNTIF(G262:I262,_xlpm.unite)&gt;0,IF(_xlpm.estVol,IF(ROUND(_xlpm.val,3)&gt;=1,ROUND(_xlpm.val,3)&amp;" L",MAX(1,ROUND(_xlpm.val*100,0))&amp;" cl"),IF(_xlpm.estPoids,IF(ROUND(_xlpm.val,3)&gt;=1,ROUND(_xlpm.val,3)&amp;" Kg",MAX(1,ROUND(_xlpm.val*1000,0))&amp;" g"),"")))</f>
        <v/>
      </c>
      <c r="R255" s="104" t="str">
        <f t="shared" si="39"/>
        <v>►</v>
      </c>
      <c r="S255" s="32" t="str">
        <f>S225</f>
        <v>N NAME OF YOUR RECIPE | |  Author &gt; YOU</v>
      </c>
      <c r="T255" s="33">
        <f>T225</f>
        <v>18</v>
      </c>
      <c r="U255" s="32" t="str">
        <f>U225</f>
        <v>desserts</v>
      </c>
      <c r="V255" s="34" t="str">
        <f>V225</f>
        <v>Master recipe ► Enter the main recipe name</v>
      </c>
      <c r="W255" s="92"/>
      <c r="X255" s="108"/>
      <c r="Y255" s="94" t="str">
        <f t="shared" si="36"/>
        <v/>
      </c>
      <c r="Z255" s="95"/>
      <c r="AA255" s="126"/>
      <c r="AB255" s="127">
        <v>1</v>
      </c>
      <c r="AC255" s="920"/>
      <c r="AD255" s="1495">
        <f>IF(OR(ISBLANK(W223),AD223=0),0,W255*AB224)</f>
        <v>0</v>
      </c>
      <c r="AE255" s="101" cm="1">
        <f t="array" ref="AE255">IFERROR(_xlfn.LET(_xlpm.k,UPPER(TRIM(AA255)),_xlpm.r,_xlfn.XLOOKUP(_xlpm.k,UPPER(TRIM(W260:AF260)),W261:AF261,_xlfn.XLOOKUP(_xlpm.k,UPPER(TRIM(W262:AF262)),W263:AF263)),_xlpm.r*Z255*AB255*AB224*IF(ISBLANK(W255),1,W255)),0)</f>
        <v>0</v>
      </c>
      <c r="AF255" s="1476" t="str">
        <f>_xlfn.LET(_xlpm.unite,SUBSTITUTE(TRIM(AA255)," (s)",""),_xlpm.val,AE255,_xlpm.estVol,COUNTIF(Z260:AF260,_xlpm.unite)+COUNTIF(Z262:AF262,_xlpm.unite)&gt;0,_xlpm.estPoids,COUNTIF(W260:Y260,_xlpm.unite)+COUNTIF(W262:Y262,_xlpm.unite)&gt;0,IF(_xlpm.estVol,IF(ROUND(_xlpm.val,3)&gt;=1,ROUND(_xlpm.val,3)&amp;" L",MAX(1,ROUND(_xlpm.val*100,0))&amp;" cl"),IF(_xlpm.estPoids,IF(ROUND(_xlpm.val,3)&gt;=1,ROUND(_xlpm.val,3)&amp;" Kg",MAX(1,ROUND(_xlpm.val*1000,0))&amp;" g"),"")))</f>
        <v/>
      </c>
      <c r="AH255" s="104" t="str">
        <f t="shared" si="40"/>
        <v>►</v>
      </c>
      <c r="AI255" s="32" t="str">
        <f>AI225</f>
        <v>N NOMBRE DE LA RECETA | | Autor &gt; USTED</v>
      </c>
      <c r="AJ255" s="33">
        <f>AJ225</f>
        <v>18</v>
      </c>
      <c r="AK255" s="32" t="str">
        <f>AK225</f>
        <v>postres</v>
      </c>
      <c r="AL255" s="34" t="str">
        <f>AL225</f>
        <v>Receta madre ► Introduzca el nombre de la receta principal</v>
      </c>
      <c r="AM255" s="92"/>
      <c r="AN255" s="108"/>
      <c r="AO255" s="94" t="str">
        <f t="shared" si="37"/>
        <v/>
      </c>
      <c r="AP255" s="95"/>
      <c r="AQ255" s="126"/>
      <c r="AR255" s="127">
        <v>1</v>
      </c>
      <c r="AS255" s="920"/>
      <c r="AT255" s="1495">
        <f>IF(OR(ISBLANK(AM223),AT223=0),0,AM255*AR224)</f>
        <v>0</v>
      </c>
      <c r="AU255" s="101" cm="1">
        <f t="array" ref="AU255">IFERROR(_xlfn.LET(_xlpm.k,UPPER(TRIM(AQ255)),_xlpm.r,_xlfn.XLOOKUP(_xlpm.k,UPPER(TRIM(AM260:AV260)),AM261:AV261,_xlfn.XLOOKUP(_xlpm.k,UPPER(TRIM(AM262:AV262)),AM263:AV263)),_xlpm.r*AP255*AR255*AR224*IF(ISBLANK(AM255),1,AM255)),0)</f>
        <v>0</v>
      </c>
      <c r="AV255" s="1476" t="str">
        <f>_xlfn.LET(_xlpm.unite,SUBSTITUTE(TRIM(AQ255)," (s)",""),_xlpm.val,AU255,_xlpm.estVol,COUNTIF(AP260:AV260,_xlpm.unite)+COUNTIF(AP262:AV262,_xlpm.unite)&gt;0,_xlpm.estPoids,COUNTIF(AM260:AO260,_xlpm.unite)+COUNTIF(AM262:AO262,_xlpm.unite)&gt;0,IF(_xlpm.estVol,IF(ROUND(_xlpm.val,3)&gt;=1,ROUND(_xlpm.val,3)&amp;" L",MAX(1,ROUND(_xlpm.val*100,0))&amp;" cl"),IF(_xlpm.estPoids,IF(ROUND(_xlpm.val,3)&gt;=1,ROUND(_xlpm.val,3)&amp;" Kg",MAX(1,ROUND(_xlpm.val*1000,0))&amp;" g"),"")))</f>
        <v/>
      </c>
      <c r="AX255" s="632"/>
      <c r="AY255" s="172"/>
      <c r="AZ255" s="172"/>
      <c r="BA255" s="172"/>
      <c r="BB255" s="172"/>
      <c r="BC255" s="172"/>
      <c r="BD255" s="557" t="s">
        <v>197</v>
      </c>
      <c r="BF255" s="632"/>
      <c r="BG255" s="172"/>
      <c r="BH255" s="172"/>
      <c r="BI255" s="172"/>
      <c r="BJ255" s="172"/>
      <c r="BK255" s="172"/>
      <c r="BL255" s="557" t="s">
        <v>655</v>
      </c>
      <c r="BN255" s="632"/>
      <c r="BO255" s="172"/>
      <c r="BP255" s="172"/>
      <c r="BQ255" s="172"/>
      <c r="BR255" s="172"/>
      <c r="BS255" s="172"/>
      <c r="BT255" s="557" t="s">
        <v>656</v>
      </c>
      <c r="BV255" s="3">
        <v>1</v>
      </c>
    </row>
    <row r="256" spans="2:74" ht="21" customHeight="1">
      <c r="B256" s="104" t="str">
        <f t="shared" si="38"/>
        <v>►</v>
      </c>
      <c r="C256" s="32" t="str">
        <f>C225</f>
        <v>N NOM DE VOTRE RECETTE | | Auteur &gt; VOUS</v>
      </c>
      <c r="D256" s="33">
        <f>D225</f>
        <v>18</v>
      </c>
      <c r="E256" s="32" t="str">
        <f>E225</f>
        <v>desserts</v>
      </c>
      <c r="F256" s="34" t="str">
        <f>F225</f>
        <v>Recette mère ► Saisir le nom de la recette principale</v>
      </c>
      <c r="G256" s="92"/>
      <c r="H256" s="108"/>
      <c r="I256" s="94" t="str">
        <f t="shared" si="35"/>
        <v/>
      </c>
      <c r="J256" s="95"/>
      <c r="K256" s="126"/>
      <c r="L256" s="127">
        <v>1</v>
      </c>
      <c r="M256" s="920"/>
      <c r="N256" s="1495">
        <f>IF(OR(ISBLANK(G223),N223=0),0,G256*L224)</f>
        <v>0</v>
      </c>
      <c r="O256" s="101" cm="1">
        <f t="array" ref="O256">IFERROR(_xlfn.LET(_xlpm.k,UPPER(TRIM(K256)),_xlpm.r,_xlfn.XLOOKUP(_xlpm.k,UPPER(TRIM(G260:P260)),G261:P261,_xlfn.XLOOKUP(_xlpm.k,UPPER(TRIM(G262:P262)),G263:P263)),_xlpm.r*J256*L256*L224*IF(ISBLANK(G256),1,G256)),0)</f>
        <v>0</v>
      </c>
      <c r="P256" s="1475" t="str">
        <f>_xlfn.LET(_xlpm.unite,SUBSTITUTE(TRIM(K256)," (s)",""),_xlpm.val,O256,_xlpm.estVol,COUNTIF(J260:P260,_xlpm.unite)+COUNTIF(J262:P262,_xlpm.unite)&gt;0,_xlpm.estPoids,COUNTIF(G260:I260,_xlpm.unite)+COUNTIF(G262:I262,_xlpm.unite)&gt;0,IF(_xlpm.estVol,IF(ROUND(_xlpm.val,3)&gt;=1,ROUND(_xlpm.val,3)&amp;" L",MAX(1,ROUND(_xlpm.val*100,0))&amp;" cl"),IF(_xlpm.estPoids,IF(ROUND(_xlpm.val,3)&gt;=1,ROUND(_xlpm.val,3)&amp;" Kg",MAX(1,ROUND(_xlpm.val*1000,0))&amp;" g"),"")))</f>
        <v/>
      </c>
      <c r="R256" s="104" t="str">
        <f t="shared" si="39"/>
        <v>►</v>
      </c>
      <c r="S256" s="32" t="str">
        <f>S225</f>
        <v>N NAME OF YOUR RECIPE | |  Author &gt; YOU</v>
      </c>
      <c r="T256" s="33">
        <f>T225</f>
        <v>18</v>
      </c>
      <c r="U256" s="32" t="str">
        <f>U225</f>
        <v>desserts</v>
      </c>
      <c r="V256" s="34" t="str">
        <f>V225</f>
        <v>Master recipe ► Enter the main recipe name</v>
      </c>
      <c r="W256" s="92"/>
      <c r="X256" s="108"/>
      <c r="Y256" s="94" t="str">
        <f t="shared" si="36"/>
        <v/>
      </c>
      <c r="Z256" s="95"/>
      <c r="AA256" s="126"/>
      <c r="AB256" s="127">
        <v>1</v>
      </c>
      <c r="AC256" s="920"/>
      <c r="AD256" s="1495">
        <f>IF(OR(ISBLANK(W223),AD223=0),0,W256*AB224)</f>
        <v>0</v>
      </c>
      <c r="AE256" s="101" cm="1">
        <f t="array" ref="AE256">IFERROR(_xlfn.LET(_xlpm.k,UPPER(TRIM(AA256)),_xlpm.r,_xlfn.XLOOKUP(_xlpm.k,UPPER(TRIM(W260:AF260)),W261:AF261,_xlfn.XLOOKUP(_xlpm.k,UPPER(TRIM(W262:AF262)),W263:AF263)),_xlpm.r*Z256*AB256*AB224*IF(ISBLANK(W256),1,W256)),0)</f>
        <v>0</v>
      </c>
      <c r="AF256" s="1475" t="str">
        <f>_xlfn.LET(_xlpm.unite,SUBSTITUTE(TRIM(AA256)," (s)",""),_xlpm.val,AE256,_xlpm.estVol,COUNTIF(Z260:AF260,_xlpm.unite)+COUNTIF(Z262:AF262,_xlpm.unite)&gt;0,_xlpm.estPoids,COUNTIF(W260:Y260,_xlpm.unite)+COUNTIF(W262:Y262,_xlpm.unite)&gt;0,IF(_xlpm.estVol,IF(ROUND(_xlpm.val,3)&gt;=1,ROUND(_xlpm.val,3)&amp;" L",MAX(1,ROUND(_xlpm.val*100,0))&amp;" cl"),IF(_xlpm.estPoids,IF(ROUND(_xlpm.val,3)&gt;=1,ROUND(_xlpm.val,3)&amp;" Kg",MAX(1,ROUND(_xlpm.val*1000,0))&amp;" g"),"")))</f>
        <v/>
      </c>
      <c r="AH256" s="104" t="str">
        <f t="shared" si="40"/>
        <v>►</v>
      </c>
      <c r="AI256" s="32" t="str">
        <f>AI225</f>
        <v>N NOMBRE DE LA RECETA | | Autor &gt; USTED</v>
      </c>
      <c r="AJ256" s="33">
        <f>AJ225</f>
        <v>18</v>
      </c>
      <c r="AK256" s="32" t="str">
        <f>AK225</f>
        <v>postres</v>
      </c>
      <c r="AL256" s="34" t="str">
        <f>AL225</f>
        <v>Receta madre ► Introduzca el nombre de la receta principal</v>
      </c>
      <c r="AM256" s="92"/>
      <c r="AN256" s="108"/>
      <c r="AO256" s="94" t="str">
        <f t="shared" si="37"/>
        <v/>
      </c>
      <c r="AP256" s="95"/>
      <c r="AQ256" s="126"/>
      <c r="AR256" s="127">
        <v>1</v>
      </c>
      <c r="AS256" s="920"/>
      <c r="AT256" s="1495">
        <f>IF(OR(ISBLANK(AM223),AT223=0),0,AM256*AR224)</f>
        <v>0</v>
      </c>
      <c r="AU256" s="101" cm="1">
        <f t="array" ref="AU256">IFERROR(_xlfn.LET(_xlpm.k,UPPER(TRIM(AQ256)),_xlpm.r,_xlfn.XLOOKUP(_xlpm.k,UPPER(TRIM(AM260:AV260)),AM261:AV261,_xlfn.XLOOKUP(_xlpm.k,UPPER(TRIM(AM262:AV262)),AM263:AV263)),_xlpm.r*AP256*AR256*AR224*IF(ISBLANK(AM256),1,AM256)),0)</f>
        <v>0</v>
      </c>
      <c r="AV256" s="1475" t="str">
        <f>_xlfn.LET(_xlpm.unite,SUBSTITUTE(TRIM(AQ256)," (s)",""),_xlpm.val,AU256,_xlpm.estVol,COUNTIF(AP260:AV260,_xlpm.unite)+COUNTIF(AP262:AV262,_xlpm.unite)&gt;0,_xlpm.estPoids,COUNTIF(AM260:AO260,_xlpm.unite)+COUNTIF(AM262:AO262,_xlpm.unite)&gt;0,IF(_xlpm.estVol,IF(ROUND(_xlpm.val,3)&gt;=1,ROUND(_xlpm.val,3)&amp;" L",MAX(1,ROUND(_xlpm.val*100,0))&amp;" cl"),IF(_xlpm.estPoids,IF(ROUND(_xlpm.val,3)&gt;=1,ROUND(_xlpm.val,3)&amp;" Kg",MAX(1,ROUND(_xlpm.val*1000,0))&amp;" g"),"")))</f>
        <v/>
      </c>
      <c r="AX256" s="566"/>
      <c r="AY256" s="204"/>
      <c r="AZ256" s="204" t="s">
        <v>201</v>
      </c>
      <c r="BA256" s="205"/>
      <c r="BB256" s="206"/>
      <c r="BC256" s="206"/>
      <c r="BD256" s="567"/>
      <c r="BF256" s="566"/>
      <c r="BG256" s="204"/>
      <c r="BH256" s="204" t="s">
        <v>201</v>
      </c>
      <c r="BI256" s="205"/>
      <c r="BJ256" s="206"/>
      <c r="BK256" s="206"/>
      <c r="BL256" s="567"/>
      <c r="BN256" s="566"/>
      <c r="BO256" s="204"/>
      <c r="BP256" s="204" t="s">
        <v>201</v>
      </c>
      <c r="BQ256" s="205"/>
      <c r="BR256" s="206"/>
      <c r="BS256" s="206"/>
      <c r="BT256" s="567"/>
      <c r="BV256" s="3">
        <v>1</v>
      </c>
    </row>
    <row r="257" spans="2:74" ht="21" customHeight="1" thickBot="1">
      <c r="B257" s="104" t="str">
        <f t="shared" si="38"/>
        <v>►</v>
      </c>
      <c r="C257" s="32" t="str">
        <f>C225</f>
        <v>N NOM DE VOTRE RECETTE | | Auteur &gt; VOUS</v>
      </c>
      <c r="D257" s="33">
        <f>D225</f>
        <v>18</v>
      </c>
      <c r="E257" s="32" t="str">
        <f>E225</f>
        <v>desserts</v>
      </c>
      <c r="F257" s="34" t="str">
        <f>F225</f>
        <v>Recette mère ► Saisir le nom de la recette principale</v>
      </c>
      <c r="G257" s="92"/>
      <c r="H257" s="108"/>
      <c r="I257" s="94" t="str">
        <f t="shared" si="35"/>
        <v/>
      </c>
      <c r="J257" s="95"/>
      <c r="K257" s="126"/>
      <c r="L257" s="127">
        <v>1</v>
      </c>
      <c r="M257" s="920"/>
      <c r="N257" s="1495">
        <f>IF(OR(ISBLANK(G223),N223=0),0,G257*L224)</f>
        <v>0</v>
      </c>
      <c r="O257" s="101" cm="1">
        <f t="array" ref="O257">IFERROR(_xlfn.LET(_xlpm.k,UPPER(TRIM(K257)),_xlpm.r,_xlfn.XLOOKUP(_xlpm.k,UPPER(TRIM(G260:P260)),G261:P261,_xlfn.XLOOKUP(_xlpm.k,UPPER(TRIM(G262:P262)),G263:P263)),_xlpm.r*J257*L257*L224*IF(ISBLANK(G257),1,G257)),0)</f>
        <v>0</v>
      </c>
      <c r="P257" s="1476" t="str">
        <f>_xlfn.LET(_xlpm.unite,SUBSTITUTE(TRIM(K257)," (s)",""),_xlpm.val,O257,_xlpm.estVol,COUNTIF(J260:P260,_xlpm.unite)+COUNTIF(J262:P262,_xlpm.unite)&gt;0,_xlpm.estPoids,COUNTIF(G260:I260,_xlpm.unite)+COUNTIF(G262:I262,_xlpm.unite)&gt;0,IF(_xlpm.estVol,IF(ROUND(_xlpm.val,3)&gt;=1,ROUND(_xlpm.val,3)&amp;" L",MAX(1,ROUND(_xlpm.val*100,0))&amp;" cl"),IF(_xlpm.estPoids,IF(ROUND(_xlpm.val,3)&gt;=1,ROUND(_xlpm.val,3)&amp;" Kg",MAX(1,ROUND(_xlpm.val*1000,0))&amp;" g"),"")))</f>
        <v/>
      </c>
      <c r="R257" s="104" t="str">
        <f t="shared" si="39"/>
        <v>►</v>
      </c>
      <c r="S257" s="32" t="str">
        <f>S225</f>
        <v>N NAME OF YOUR RECIPE | |  Author &gt; YOU</v>
      </c>
      <c r="T257" s="33">
        <f>T225</f>
        <v>18</v>
      </c>
      <c r="U257" s="32" t="str">
        <f>U225</f>
        <v>desserts</v>
      </c>
      <c r="V257" s="34" t="str">
        <f>V225</f>
        <v>Master recipe ► Enter the main recipe name</v>
      </c>
      <c r="W257" s="92"/>
      <c r="X257" s="108"/>
      <c r="Y257" s="94" t="str">
        <f t="shared" si="36"/>
        <v/>
      </c>
      <c r="Z257" s="95"/>
      <c r="AA257" s="126"/>
      <c r="AB257" s="127">
        <v>1</v>
      </c>
      <c r="AC257" s="920"/>
      <c r="AD257" s="1495">
        <f>IF(OR(ISBLANK(W223),AD223=0),0,W257*AB224)</f>
        <v>0</v>
      </c>
      <c r="AE257" s="101" cm="1">
        <f t="array" ref="AE257">IFERROR(_xlfn.LET(_xlpm.k,UPPER(TRIM(AA257)),_xlpm.r,_xlfn.XLOOKUP(_xlpm.k,UPPER(TRIM(W260:AF260)),W261:AF261,_xlfn.XLOOKUP(_xlpm.k,UPPER(TRIM(W262:AF262)),W263:AF263)),_xlpm.r*Z257*AB257*AB224*IF(ISBLANK(W257),1,W257)),0)</f>
        <v>0</v>
      </c>
      <c r="AF257" s="1476" t="str">
        <f>_xlfn.LET(_xlpm.unite,SUBSTITUTE(TRIM(AA257)," (s)",""),_xlpm.val,AE257,_xlpm.estVol,COUNTIF(Z260:AF260,_xlpm.unite)+COUNTIF(Z262:AF262,_xlpm.unite)&gt;0,_xlpm.estPoids,COUNTIF(W260:Y260,_xlpm.unite)+COUNTIF(W262:Y262,_xlpm.unite)&gt;0,IF(_xlpm.estVol,IF(ROUND(_xlpm.val,3)&gt;=1,ROUND(_xlpm.val,3)&amp;" L",MAX(1,ROUND(_xlpm.val*100,0))&amp;" cl"),IF(_xlpm.estPoids,IF(ROUND(_xlpm.val,3)&gt;=1,ROUND(_xlpm.val,3)&amp;" Kg",MAX(1,ROUND(_xlpm.val*1000,0))&amp;" g"),"")))</f>
        <v/>
      </c>
      <c r="AH257" s="104" t="str">
        <f t="shared" si="40"/>
        <v>►</v>
      </c>
      <c r="AI257" s="32" t="str">
        <f>AI225</f>
        <v>N NOMBRE DE LA RECETA | | Autor &gt; USTED</v>
      </c>
      <c r="AJ257" s="33">
        <f>AJ225</f>
        <v>18</v>
      </c>
      <c r="AK257" s="32" t="str">
        <f>AK225</f>
        <v>postres</v>
      </c>
      <c r="AL257" s="34" t="str">
        <f>AL225</f>
        <v>Receta madre ► Introduzca el nombre de la receta principal</v>
      </c>
      <c r="AM257" s="92"/>
      <c r="AN257" s="108"/>
      <c r="AO257" s="94" t="str">
        <f t="shared" si="37"/>
        <v/>
      </c>
      <c r="AP257" s="95"/>
      <c r="AQ257" s="126"/>
      <c r="AR257" s="127">
        <v>1</v>
      </c>
      <c r="AS257" s="920"/>
      <c r="AT257" s="1495">
        <f>IF(OR(ISBLANK(AM223),AT223=0),0,AM257*AR224)</f>
        <v>0</v>
      </c>
      <c r="AU257" s="101" cm="1">
        <f t="array" ref="AU257">IFERROR(_xlfn.LET(_xlpm.k,UPPER(TRIM(AQ257)),_xlpm.r,_xlfn.XLOOKUP(_xlpm.k,UPPER(TRIM(AM260:AV260)),AM261:AV261,_xlfn.XLOOKUP(_xlpm.k,UPPER(TRIM(AM262:AV262)),AM263:AV263)),_xlpm.r*AP257*AR257*AR224*IF(ISBLANK(AM257),1,AM257)),0)</f>
        <v>0</v>
      </c>
      <c r="AV257" s="1476" t="str">
        <f>_xlfn.LET(_xlpm.unite,SUBSTITUTE(TRIM(AQ257)," (s)",""),_xlpm.val,AU257,_xlpm.estVol,COUNTIF(AP260:AV260,_xlpm.unite)+COUNTIF(AP262:AV262,_xlpm.unite)&gt;0,_xlpm.estPoids,COUNTIF(AM260:AO260,_xlpm.unite)+COUNTIF(AM262:AO262,_xlpm.unite)&gt;0,IF(_xlpm.estVol,IF(ROUND(_xlpm.val,3)&gt;=1,ROUND(_xlpm.val,3)&amp;" L",MAX(1,ROUND(_xlpm.val*100,0))&amp;" cl"),IF(_xlpm.estPoids,IF(ROUND(_xlpm.val,3)&gt;=1,ROUND(_xlpm.val,3)&amp;" Kg",MAX(1,ROUND(_xlpm.val*1000,0))&amp;" g"),"")))</f>
        <v/>
      </c>
      <c r="AX257" s="668" t="s">
        <v>263</v>
      </c>
      <c r="AY257" s="269"/>
      <c r="AZ257" s="270"/>
      <c r="BA257" s="271"/>
      <c r="BB257" s="270"/>
      <c r="BC257" s="270"/>
      <c r="BD257" s="669"/>
      <c r="BF257" s="668" t="s">
        <v>263</v>
      </c>
      <c r="BG257" s="269"/>
      <c r="BH257" s="270"/>
      <c r="BI257" s="271"/>
      <c r="BJ257" s="270"/>
      <c r="BK257" s="270"/>
      <c r="BL257" s="669"/>
      <c r="BN257" s="668" t="s">
        <v>263</v>
      </c>
      <c r="BO257" s="269"/>
      <c r="BP257" s="270"/>
      <c r="BQ257" s="271"/>
      <c r="BR257" s="270"/>
      <c r="BS257" s="270"/>
      <c r="BT257" s="669"/>
      <c r="BV257" s="3">
        <v>1</v>
      </c>
    </row>
    <row r="258" spans="2:74" ht="21" customHeight="1">
      <c r="B258" s="104" t="str">
        <f t="shared" si="38"/>
        <v>►</v>
      </c>
      <c r="C258" s="32" t="str">
        <f>C225</f>
        <v>N NOM DE VOTRE RECETTE | | Auteur &gt; VOUS</v>
      </c>
      <c r="D258" s="33">
        <f>D225</f>
        <v>18</v>
      </c>
      <c r="E258" s="32" t="str">
        <f>E225</f>
        <v>desserts</v>
      </c>
      <c r="F258" s="34" t="str">
        <f>F225</f>
        <v>Recette mère ► Saisir le nom de la recette principale</v>
      </c>
      <c r="G258" s="92"/>
      <c r="H258" s="108"/>
      <c r="I258" s="94" t="str">
        <f t="shared" si="35"/>
        <v/>
      </c>
      <c r="J258" s="95"/>
      <c r="K258" s="126"/>
      <c r="L258" s="127">
        <v>1</v>
      </c>
      <c r="M258" s="920"/>
      <c r="N258" s="1495">
        <f>IF(OR(ISBLANK(G223),N223=0),0,G258*L224)</f>
        <v>0</v>
      </c>
      <c r="O258" s="101" cm="1">
        <f t="array" ref="O258">IFERROR(_xlfn.LET(_xlpm.k,UPPER(TRIM(K258)),_xlpm.r,_xlfn.XLOOKUP(_xlpm.k,UPPER(TRIM(G260:P260)),G261:P261,_xlfn.XLOOKUP(_xlpm.k,UPPER(TRIM(G262:P262)),G263:P263)),_xlpm.r*J258*L258*L224*IF(ISBLANK(G258),1,G258)),0)</f>
        <v>0</v>
      </c>
      <c r="P258" s="1475" t="str">
        <f>_xlfn.LET(_xlpm.unite,SUBSTITUTE(TRIM(K258)," (s)",""),_xlpm.val,O258,_xlpm.estVol,COUNTIF(J260:P260,_xlpm.unite)+COUNTIF(J262:P262,_xlpm.unite)&gt;0,_xlpm.estPoids,COUNTIF(G260:I260,_xlpm.unite)+COUNTIF(G262:I262,_xlpm.unite)&gt;0,IF(_xlpm.estVol,IF(ROUND(_xlpm.val,3)&gt;=1,ROUND(_xlpm.val,3)&amp;" L",MAX(1,ROUND(_xlpm.val*100,0))&amp;" cl"),IF(_xlpm.estPoids,IF(ROUND(_xlpm.val,3)&gt;=1,ROUND(_xlpm.val,3)&amp;" Kg",MAX(1,ROUND(_xlpm.val*1000,0))&amp;" g"),"")))</f>
        <v/>
      </c>
      <c r="R258" s="104" t="str">
        <f t="shared" si="39"/>
        <v>►</v>
      </c>
      <c r="S258" s="32" t="str">
        <f>S225</f>
        <v>N NAME OF YOUR RECIPE | |  Author &gt; YOU</v>
      </c>
      <c r="T258" s="33">
        <f>T225</f>
        <v>18</v>
      </c>
      <c r="U258" s="32" t="str">
        <f>U225</f>
        <v>desserts</v>
      </c>
      <c r="V258" s="34" t="str">
        <f>V225</f>
        <v>Master recipe ► Enter the main recipe name</v>
      </c>
      <c r="W258" s="92"/>
      <c r="X258" s="108"/>
      <c r="Y258" s="94" t="str">
        <f t="shared" si="36"/>
        <v/>
      </c>
      <c r="Z258" s="95"/>
      <c r="AA258" s="126"/>
      <c r="AB258" s="127">
        <v>1</v>
      </c>
      <c r="AC258" s="920"/>
      <c r="AD258" s="1495">
        <f>IF(OR(ISBLANK(W223),AD223=0),0,W258*AB224)</f>
        <v>0</v>
      </c>
      <c r="AE258" s="101" cm="1">
        <f t="array" ref="AE258">IFERROR(_xlfn.LET(_xlpm.k,UPPER(TRIM(AA258)),_xlpm.r,_xlfn.XLOOKUP(_xlpm.k,UPPER(TRIM(W260:AF260)),W261:AF261,_xlfn.XLOOKUP(_xlpm.k,UPPER(TRIM(W262:AF262)),W263:AF263)),_xlpm.r*Z258*AB258*AB224*IF(ISBLANK(W258),1,W258)),0)</f>
        <v>0</v>
      </c>
      <c r="AF258" s="1475" t="str">
        <f>_xlfn.LET(_xlpm.unite,SUBSTITUTE(TRIM(AA258)," (s)",""),_xlpm.val,AE258,_xlpm.estVol,COUNTIF(Z260:AF260,_xlpm.unite)+COUNTIF(Z262:AF262,_xlpm.unite)&gt;0,_xlpm.estPoids,COUNTIF(W260:Y260,_xlpm.unite)+COUNTIF(W262:Y262,_xlpm.unite)&gt;0,IF(_xlpm.estVol,IF(ROUND(_xlpm.val,3)&gt;=1,ROUND(_xlpm.val,3)&amp;" L",MAX(1,ROUND(_xlpm.val*100,0))&amp;" cl"),IF(_xlpm.estPoids,IF(ROUND(_xlpm.val,3)&gt;=1,ROUND(_xlpm.val,3)&amp;" Kg",MAX(1,ROUND(_xlpm.val*1000,0))&amp;" g"),"")))</f>
        <v/>
      </c>
      <c r="AH258" s="104" t="str">
        <f t="shared" si="40"/>
        <v>►</v>
      </c>
      <c r="AI258" s="32" t="str">
        <f>AI225</f>
        <v>N NOMBRE DE LA RECETA | | Autor &gt; USTED</v>
      </c>
      <c r="AJ258" s="33">
        <f>AJ225</f>
        <v>18</v>
      </c>
      <c r="AK258" s="32" t="str">
        <f>AK225</f>
        <v>postres</v>
      </c>
      <c r="AL258" s="34" t="str">
        <f>AL225</f>
        <v>Receta madre ► Introduzca el nombre de la receta principal</v>
      </c>
      <c r="AM258" s="92"/>
      <c r="AN258" s="108"/>
      <c r="AO258" s="94" t="str">
        <f t="shared" si="37"/>
        <v/>
      </c>
      <c r="AP258" s="95"/>
      <c r="AQ258" s="126"/>
      <c r="AR258" s="127">
        <v>1</v>
      </c>
      <c r="AS258" s="920"/>
      <c r="AT258" s="1495">
        <f>IF(OR(ISBLANK(AM223),AT223=0),0,AM258*AR224)</f>
        <v>0</v>
      </c>
      <c r="AU258" s="101" cm="1">
        <f t="array" ref="AU258">IFERROR(_xlfn.LET(_xlpm.k,UPPER(TRIM(AQ258)),_xlpm.r,_xlfn.XLOOKUP(_xlpm.k,UPPER(TRIM(AM260:AV260)),AM261:AV261,_xlfn.XLOOKUP(_xlpm.k,UPPER(TRIM(AM262:AV262)),AM263:AV263)),_xlpm.r*AP258*AR258*AR224*IF(ISBLANK(AM258),1,AM258)),0)</f>
        <v>0</v>
      </c>
      <c r="AV258" s="1475" t="str">
        <f>_xlfn.LET(_xlpm.unite,SUBSTITUTE(TRIM(AQ258)," (s)",""),_xlpm.val,AU258,_xlpm.estVol,COUNTIF(AP260:AV260,_xlpm.unite)+COUNTIF(AP262:AV262,_xlpm.unite)&gt;0,_xlpm.estPoids,COUNTIF(AM260:AO260,_xlpm.unite)+COUNTIF(AM262:AO262,_xlpm.unite)&gt;0,IF(_xlpm.estVol,IF(ROUND(_xlpm.val,3)&gt;=1,ROUND(_xlpm.val,3)&amp;" L",MAX(1,ROUND(_xlpm.val*100,0))&amp;" cl"),IF(_xlpm.estPoids,IF(ROUND(_xlpm.val,3)&gt;=1,ROUND(_xlpm.val,3)&amp;" Kg",MAX(1,ROUND(_xlpm.val*1000,0))&amp;" g"),"")))</f>
        <v/>
      </c>
      <c r="AX258" s="494"/>
      <c r="BD258" s="670"/>
      <c r="BF258" s="494"/>
      <c r="BL258" s="670"/>
      <c r="BN258" s="494"/>
      <c r="BT258" s="670"/>
      <c r="BV258" s="3">
        <v>1</v>
      </c>
    </row>
    <row r="259" spans="2:74" ht="21" customHeight="1">
      <c r="B259" s="104" t="s">
        <v>11</v>
      </c>
      <c r="C259" s="32" t="str">
        <f>C225</f>
        <v>N NOM DE VOTRE RECETTE | | Auteur &gt; VOUS</v>
      </c>
      <c r="D259" s="33">
        <f>D225</f>
        <v>18</v>
      </c>
      <c r="E259" s="32" t="str">
        <f>E225</f>
        <v>desserts</v>
      </c>
      <c r="F259" s="34" t="str">
        <f>F225</f>
        <v>Recette mère ► Saisir le nom de la recette principale</v>
      </c>
      <c r="G259" s="907" t="s">
        <v>136</v>
      </c>
      <c r="H259" s="500"/>
      <c r="I259" s="500"/>
      <c r="J259" s="500"/>
      <c r="K259" s="500"/>
      <c r="L259" s="908"/>
      <c r="M259" s="909"/>
      <c r="N259" s="909"/>
      <c r="O259" s="910">
        <f>SUM(O229:O258)</f>
        <v>0</v>
      </c>
      <c r="P259" s="1489"/>
      <c r="R259" s="104" t="s">
        <v>11</v>
      </c>
      <c r="S259" s="32" t="str">
        <f>S225</f>
        <v>N NAME OF YOUR RECIPE | |  Author &gt; YOU</v>
      </c>
      <c r="T259" s="33">
        <f>T225</f>
        <v>18</v>
      </c>
      <c r="U259" s="32" t="str">
        <f>U225</f>
        <v>desserts</v>
      </c>
      <c r="V259" s="34" t="str">
        <f>V225</f>
        <v>Master recipe ► Enter the main recipe name</v>
      </c>
      <c r="W259" s="907" t="s">
        <v>893</v>
      </c>
      <c r="X259" s="500"/>
      <c r="Y259" s="500"/>
      <c r="Z259" s="500"/>
      <c r="AA259" s="500"/>
      <c r="AB259" s="908"/>
      <c r="AC259" s="909"/>
      <c r="AD259" s="909"/>
      <c r="AE259" s="910">
        <f>SUM(AE229:AE258)</f>
        <v>0</v>
      </c>
      <c r="AF259" s="1489"/>
      <c r="AH259" s="104" t="s">
        <v>11</v>
      </c>
      <c r="AI259" s="32" t="str">
        <f>AI225</f>
        <v>N NOMBRE DE LA RECETA | | Autor &gt; USTED</v>
      </c>
      <c r="AJ259" s="33">
        <f>AJ225</f>
        <v>18</v>
      </c>
      <c r="AK259" s="32" t="str">
        <f>AK225</f>
        <v>postres</v>
      </c>
      <c r="AL259" s="34" t="str">
        <f>AL225</f>
        <v>Receta madre ► Introduzca el nombre de la receta principal</v>
      </c>
      <c r="AM259" s="907" t="s">
        <v>893</v>
      </c>
      <c r="AN259" s="500"/>
      <c r="AO259" s="500"/>
      <c r="AP259" s="500"/>
      <c r="AQ259" s="500"/>
      <c r="AR259" s="908"/>
      <c r="AS259" s="909"/>
      <c r="AT259" s="909"/>
      <c r="AU259" s="910">
        <f>SUM(AU229:AU258)</f>
        <v>0</v>
      </c>
      <c r="AV259" s="1489"/>
      <c r="AX259" s="650" t="s">
        <v>167</v>
      </c>
      <c r="AY259" s="233"/>
      <c r="AZ259" s="233"/>
      <c r="BA259" s="233"/>
      <c r="BB259" s="233"/>
      <c r="BC259" s="234"/>
      <c r="BD259" s="651" t="s">
        <v>265</v>
      </c>
      <c r="BF259" s="650" t="s">
        <v>752</v>
      </c>
      <c r="BG259" s="233"/>
      <c r="BH259" s="233"/>
      <c r="BI259" s="233"/>
      <c r="BJ259" s="233"/>
      <c r="BK259" s="234"/>
      <c r="BL259" s="651" t="s">
        <v>768</v>
      </c>
      <c r="BN259" s="650" t="s">
        <v>754</v>
      </c>
      <c r="BO259" s="233"/>
      <c r="BP259" s="233"/>
      <c r="BQ259" s="233"/>
      <c r="BR259" s="233"/>
      <c r="BS259" s="234"/>
      <c r="BT259" s="651" t="s">
        <v>769</v>
      </c>
      <c r="BV259" s="3">
        <v>1</v>
      </c>
    </row>
    <row r="260" spans="2:74" ht="21" customHeight="1">
      <c r="B260" s="104" t="s">
        <v>16</v>
      </c>
      <c r="C260" s="32" t="str">
        <f>C225</f>
        <v>N NOM DE VOTRE RECETTE | | Auteur &gt; VOUS</v>
      </c>
      <c r="D260" s="33">
        <f>D225</f>
        <v>18</v>
      </c>
      <c r="E260" s="32" t="str">
        <f>E225</f>
        <v>desserts</v>
      </c>
      <c r="F260" s="34" t="str">
        <f>F225</f>
        <v>Recette mère ► Saisir le nom de la recette principale</v>
      </c>
      <c r="G260" s="140" t="s">
        <v>143</v>
      </c>
      <c r="H260" s="105" t="s">
        <v>99</v>
      </c>
      <c r="I260" s="141" t="s">
        <v>144</v>
      </c>
      <c r="J260" s="96" t="s">
        <v>0</v>
      </c>
      <c r="K260" s="96" t="s">
        <v>96</v>
      </c>
      <c r="L260" s="96" t="s">
        <v>147</v>
      </c>
      <c r="M260" s="96" t="s">
        <v>148</v>
      </c>
      <c r="N260" s="109" t="s">
        <v>364</v>
      </c>
      <c r="O260" s="109" t="s">
        <v>102</v>
      </c>
      <c r="P260" s="109" t="s">
        <v>149</v>
      </c>
      <c r="R260" s="104" t="s">
        <v>16</v>
      </c>
      <c r="S260" s="32" t="str">
        <f>S225</f>
        <v>N NAME OF YOUR RECIPE | |  Author &gt; YOU</v>
      </c>
      <c r="T260" s="33">
        <f>T225</f>
        <v>18</v>
      </c>
      <c r="U260" s="32" t="str">
        <f>U225</f>
        <v>desserts</v>
      </c>
      <c r="V260" s="34" t="str">
        <f>V225</f>
        <v>Master recipe ► Enter the main recipe name</v>
      </c>
      <c r="W260" s="140" t="s">
        <v>143</v>
      </c>
      <c r="X260" s="105" t="s">
        <v>99</v>
      </c>
      <c r="Y260" s="141" t="s">
        <v>144</v>
      </c>
      <c r="Z260" s="96" t="s">
        <v>0</v>
      </c>
      <c r="AA260" s="96" t="s">
        <v>96</v>
      </c>
      <c r="AB260" s="96" t="s">
        <v>147</v>
      </c>
      <c r="AC260" s="96" t="s">
        <v>148</v>
      </c>
      <c r="AD260" s="109" t="s">
        <v>1378</v>
      </c>
      <c r="AE260" s="109" t="s">
        <v>1360</v>
      </c>
      <c r="AF260" s="109" t="s">
        <v>1361</v>
      </c>
      <c r="AH260" s="104" t="s">
        <v>16</v>
      </c>
      <c r="AI260" s="32" t="str">
        <f>AI225</f>
        <v>N NOMBRE DE LA RECETA | | Autor &gt; USTED</v>
      </c>
      <c r="AJ260" s="33">
        <f>AJ225</f>
        <v>18</v>
      </c>
      <c r="AK260" s="32" t="str">
        <f>AK225</f>
        <v>postres</v>
      </c>
      <c r="AL260" s="34" t="str">
        <f>AL225</f>
        <v>Receta madre ► Introduzca el nombre de la receta principal</v>
      </c>
      <c r="AM260" s="140" t="s">
        <v>143</v>
      </c>
      <c r="AN260" s="105" t="s">
        <v>99</v>
      </c>
      <c r="AO260" s="141" t="s">
        <v>144</v>
      </c>
      <c r="AP260" s="96" t="s">
        <v>0</v>
      </c>
      <c r="AQ260" s="96" t="s">
        <v>96</v>
      </c>
      <c r="AR260" s="96" t="s">
        <v>147</v>
      </c>
      <c r="AS260" s="96" t="s">
        <v>148</v>
      </c>
      <c r="AT260" s="109" t="s">
        <v>1379</v>
      </c>
      <c r="AU260" s="109" t="s">
        <v>1341</v>
      </c>
      <c r="AV260" s="109" t="s">
        <v>1342</v>
      </c>
      <c r="AX260" s="671" t="s">
        <v>269</v>
      </c>
      <c r="AY260" s="183"/>
      <c r="AZ260" s="278"/>
      <c r="BA260" s="231"/>
      <c r="BB260" s="231"/>
      <c r="BC260" s="231"/>
      <c r="BD260" s="189"/>
      <c r="BF260" s="671" t="s">
        <v>770</v>
      </c>
      <c r="BG260" s="183"/>
      <c r="BH260" s="278"/>
      <c r="BI260" s="231"/>
      <c r="BJ260" s="231"/>
      <c r="BK260" s="231"/>
      <c r="BL260" s="189"/>
      <c r="BN260" s="671" t="s">
        <v>771</v>
      </c>
      <c r="BO260" s="183"/>
      <c r="BP260" s="278"/>
      <c r="BQ260" s="231"/>
      <c r="BR260" s="231"/>
      <c r="BS260" s="231"/>
      <c r="BT260" s="189"/>
      <c r="BV260" s="3">
        <v>1</v>
      </c>
    </row>
    <row r="261" spans="2:74" ht="21" customHeight="1">
      <c r="B261" s="104" t="s">
        <v>16</v>
      </c>
      <c r="C261" s="32" t="str">
        <f>C225</f>
        <v>N NOM DE VOTRE RECETTE | | Auteur &gt; VOUS</v>
      </c>
      <c r="D261" s="33">
        <f>D225</f>
        <v>18</v>
      </c>
      <c r="E261" s="32" t="str">
        <f>E225</f>
        <v>desserts</v>
      </c>
      <c r="F261" s="34" t="str">
        <f>F225</f>
        <v>Recette mère ► Saisir le nom de la recette principale</v>
      </c>
      <c r="G261" s="911">
        <v>1</v>
      </c>
      <c r="H261" s="912">
        <v>1E-3</v>
      </c>
      <c r="I261" s="913">
        <v>0</v>
      </c>
      <c r="J261" s="914">
        <v>1</v>
      </c>
      <c r="K261" s="914">
        <v>0.1</v>
      </c>
      <c r="L261" s="914">
        <v>0.01</v>
      </c>
      <c r="M261" s="914">
        <v>1E-3</v>
      </c>
      <c r="N261" s="914">
        <v>0.25</v>
      </c>
      <c r="O261" s="914">
        <v>0.5</v>
      </c>
      <c r="P261" s="914">
        <v>0.33300000000000002</v>
      </c>
      <c r="R261" s="104" t="s">
        <v>16</v>
      </c>
      <c r="S261" s="32" t="str">
        <f>S225</f>
        <v>N NAME OF YOUR RECIPE | |  Author &gt; YOU</v>
      </c>
      <c r="T261" s="33">
        <f>T225</f>
        <v>18</v>
      </c>
      <c r="U261" s="32" t="str">
        <f>U225</f>
        <v>desserts</v>
      </c>
      <c r="V261" s="34" t="str">
        <f>V225</f>
        <v>Master recipe ► Enter the main recipe name</v>
      </c>
      <c r="W261" s="911">
        <v>1</v>
      </c>
      <c r="X261" s="912">
        <v>1E-3</v>
      </c>
      <c r="Y261" s="913">
        <v>0</v>
      </c>
      <c r="Z261" s="914">
        <v>1</v>
      </c>
      <c r="AA261" s="914">
        <v>0.1</v>
      </c>
      <c r="AB261" s="914">
        <v>0.01</v>
      </c>
      <c r="AC261" s="914">
        <v>1E-3</v>
      </c>
      <c r="AD261" s="914">
        <v>0.25</v>
      </c>
      <c r="AE261" s="914">
        <v>0.5</v>
      </c>
      <c r="AF261" s="914">
        <v>0.33300000000000002</v>
      </c>
      <c r="AH261" s="104" t="s">
        <v>16</v>
      </c>
      <c r="AI261" s="32" t="str">
        <f>AI225</f>
        <v>N NOMBRE DE LA RECETA | | Autor &gt; USTED</v>
      </c>
      <c r="AJ261" s="33">
        <f>AJ225</f>
        <v>18</v>
      </c>
      <c r="AK261" s="32" t="str">
        <f>AK225</f>
        <v>postres</v>
      </c>
      <c r="AL261" s="34" t="str">
        <f>AL225</f>
        <v>Receta madre ► Introduzca el nombre de la receta principal</v>
      </c>
      <c r="AM261" s="911">
        <v>1</v>
      </c>
      <c r="AN261" s="912">
        <v>1E-3</v>
      </c>
      <c r="AO261" s="913">
        <v>0</v>
      </c>
      <c r="AP261" s="914">
        <v>1</v>
      </c>
      <c r="AQ261" s="914">
        <v>0.1</v>
      </c>
      <c r="AR261" s="914">
        <v>0.01</v>
      </c>
      <c r="AS261" s="914">
        <v>1E-3</v>
      </c>
      <c r="AT261" s="914">
        <v>0.25</v>
      </c>
      <c r="AU261" s="914">
        <v>0.5</v>
      </c>
      <c r="AV261" s="914">
        <v>0.33300000000000002</v>
      </c>
      <c r="AX261" s="5617" t="s">
        <v>270</v>
      </c>
      <c r="AY261" s="5618"/>
      <c r="AZ261" s="5618"/>
      <c r="BA261" s="5618"/>
      <c r="BB261" s="5618"/>
      <c r="BC261" s="5618"/>
      <c r="BD261" s="5619"/>
      <c r="BF261" s="5617" t="s">
        <v>772</v>
      </c>
      <c r="BG261" s="5618"/>
      <c r="BH261" s="5618"/>
      <c r="BI261" s="5618"/>
      <c r="BJ261" s="5618"/>
      <c r="BK261" s="5618"/>
      <c r="BL261" s="5619"/>
      <c r="BN261" s="5620" t="s">
        <v>773</v>
      </c>
      <c r="BO261" s="5621"/>
      <c r="BP261" s="5621"/>
      <c r="BQ261" s="5621"/>
      <c r="BR261" s="5621"/>
      <c r="BS261" s="5621"/>
      <c r="BT261" s="5622"/>
      <c r="BV261" s="3">
        <v>1</v>
      </c>
    </row>
    <row r="262" spans="2:74" ht="21" customHeight="1">
      <c r="B262" s="104" t="s">
        <v>16</v>
      </c>
      <c r="C262" s="32" t="str">
        <f>C225</f>
        <v>N NOM DE VOTRE RECETTE | | Auteur &gt; VOUS</v>
      </c>
      <c r="D262" s="33">
        <f>D225</f>
        <v>18</v>
      </c>
      <c r="E262" s="32" t="str">
        <f>E225</f>
        <v>desserts</v>
      </c>
      <c r="F262" s="34" t="str">
        <f>F225</f>
        <v>Recette mère ► Saisir le nom de la recette principale</v>
      </c>
      <c r="G262" s="142" t="s">
        <v>145</v>
      </c>
      <c r="H262" s="117" t="s">
        <v>107</v>
      </c>
      <c r="I262" s="141" t="s">
        <v>144</v>
      </c>
      <c r="J262" s="109" t="s">
        <v>150</v>
      </c>
      <c r="K262" s="109" t="s">
        <v>163</v>
      </c>
      <c r="L262" s="109" t="s">
        <v>103</v>
      </c>
      <c r="M262" s="109" t="s">
        <v>162</v>
      </c>
      <c r="N262" s="149" t="s">
        <v>160</v>
      </c>
      <c r="O262" s="149" t="s">
        <v>117</v>
      </c>
      <c r="P262" s="1061" t="s">
        <v>1831</v>
      </c>
      <c r="R262" s="104" t="s">
        <v>16</v>
      </c>
      <c r="S262" s="32" t="str">
        <f>S225</f>
        <v>N NAME OF YOUR RECIPE | |  Author &gt; YOU</v>
      </c>
      <c r="T262" s="33">
        <f>T225</f>
        <v>18</v>
      </c>
      <c r="U262" s="32" t="str">
        <f>U225</f>
        <v>desserts</v>
      </c>
      <c r="V262" s="34" t="str">
        <f>V225</f>
        <v>Master recipe ► Enter the main recipe name</v>
      </c>
      <c r="W262" s="142" t="s">
        <v>1357</v>
      </c>
      <c r="X262" s="117" t="s">
        <v>1359</v>
      </c>
      <c r="Y262" s="141" t="s">
        <v>144</v>
      </c>
      <c r="Z262" s="109" t="s">
        <v>1362</v>
      </c>
      <c r="AA262" s="109" t="s">
        <v>1371</v>
      </c>
      <c r="AB262" s="109" t="s">
        <v>1372</v>
      </c>
      <c r="AC262" s="109" t="s">
        <v>1370</v>
      </c>
      <c r="AD262" s="149" t="s">
        <v>1368</v>
      </c>
      <c r="AE262" s="149" t="s">
        <v>1367</v>
      </c>
      <c r="AF262" s="1061" t="s">
        <v>1832</v>
      </c>
      <c r="AH262" s="104" t="s">
        <v>16</v>
      </c>
      <c r="AI262" s="32" t="str">
        <f>AI225</f>
        <v>N NOMBRE DE LA RECETA | | Autor &gt; USTED</v>
      </c>
      <c r="AJ262" s="33">
        <f>AJ225</f>
        <v>18</v>
      </c>
      <c r="AK262" s="32" t="str">
        <f>AK225</f>
        <v>postres</v>
      </c>
      <c r="AL262" s="34" t="str">
        <f>AL225</f>
        <v>Receta madre ► Introduzca el nombre de la receta principal</v>
      </c>
      <c r="AM262" s="142" t="s">
        <v>145</v>
      </c>
      <c r="AN262" s="117" t="s">
        <v>107</v>
      </c>
      <c r="AO262" s="141" t="s">
        <v>144</v>
      </c>
      <c r="AP262" s="143" t="s">
        <v>1343</v>
      </c>
      <c r="AQ262" s="109" t="s">
        <v>1354</v>
      </c>
      <c r="AR262" s="109" t="s">
        <v>1355</v>
      </c>
      <c r="AS262" s="109" t="s">
        <v>1353</v>
      </c>
      <c r="AT262" s="149" t="s">
        <v>1351</v>
      </c>
      <c r="AU262" s="123" t="s">
        <v>1350</v>
      </c>
      <c r="AV262" s="1061" t="s">
        <v>1833</v>
      </c>
      <c r="AX262" s="5617"/>
      <c r="AY262" s="5618"/>
      <c r="AZ262" s="5618"/>
      <c r="BA262" s="5618"/>
      <c r="BB262" s="5618"/>
      <c r="BC262" s="5618"/>
      <c r="BD262" s="5619"/>
      <c r="BF262" s="5617"/>
      <c r="BG262" s="5618"/>
      <c r="BH262" s="5618"/>
      <c r="BI262" s="5618"/>
      <c r="BJ262" s="5618"/>
      <c r="BK262" s="5618"/>
      <c r="BL262" s="5619"/>
      <c r="BN262" s="5620"/>
      <c r="BO262" s="5621"/>
      <c r="BP262" s="5621"/>
      <c r="BQ262" s="5621"/>
      <c r="BR262" s="5621"/>
      <c r="BS262" s="5621"/>
      <c r="BT262" s="5622"/>
      <c r="BV262" s="3">
        <v>1</v>
      </c>
    </row>
    <row r="263" spans="2:74" ht="21" customHeight="1">
      <c r="B263" s="104" t="s">
        <v>16</v>
      </c>
      <c r="C263" s="32" t="str">
        <f>C225</f>
        <v>N NOM DE VOTRE RECETTE | | Auteur &gt; VOUS</v>
      </c>
      <c r="D263" s="33">
        <f>D225</f>
        <v>18</v>
      </c>
      <c r="E263" s="32" t="str">
        <f>E225</f>
        <v>desserts</v>
      </c>
      <c r="F263" s="34" t="str">
        <f>F225</f>
        <v>Recette mère ► Saisir le nom de la recette principale</v>
      </c>
      <c r="G263" s="912">
        <v>0.25</v>
      </c>
      <c r="H263" s="912">
        <v>0.5</v>
      </c>
      <c r="I263" s="913">
        <v>0</v>
      </c>
      <c r="J263" s="914">
        <v>0.2</v>
      </c>
      <c r="K263" s="914">
        <v>0.1</v>
      </c>
      <c r="L263" s="914">
        <v>0.22500000000000001</v>
      </c>
      <c r="M263" s="914">
        <v>1.4999999999999999E-2</v>
      </c>
      <c r="N263" s="914">
        <v>4.9299999999999995E-3</v>
      </c>
      <c r="O263" s="914">
        <v>0.35</v>
      </c>
      <c r="P263" s="915">
        <v>0.25</v>
      </c>
      <c r="R263" s="104" t="s">
        <v>16</v>
      </c>
      <c r="S263" s="32" t="str">
        <f>S225</f>
        <v>N NAME OF YOUR RECIPE | |  Author &gt; YOU</v>
      </c>
      <c r="T263" s="33">
        <f>T225</f>
        <v>18</v>
      </c>
      <c r="U263" s="32" t="str">
        <f>U225</f>
        <v>desserts</v>
      </c>
      <c r="V263" s="34" t="str">
        <f>V225</f>
        <v>Master recipe ► Enter the main recipe name</v>
      </c>
      <c r="W263" s="912">
        <v>0.25</v>
      </c>
      <c r="X263" s="912">
        <v>0.5</v>
      </c>
      <c r="Y263" s="913">
        <v>0</v>
      </c>
      <c r="Z263" s="914">
        <v>0.2</v>
      </c>
      <c r="AA263" s="914">
        <v>0.1</v>
      </c>
      <c r="AB263" s="914">
        <v>0.22500000000000001</v>
      </c>
      <c r="AC263" s="914">
        <v>1.4999999999999999E-2</v>
      </c>
      <c r="AD263" s="914">
        <v>4.9299999999999995E-3</v>
      </c>
      <c r="AE263" s="914">
        <v>0.35</v>
      </c>
      <c r="AF263" s="915">
        <v>0.25</v>
      </c>
      <c r="AH263" s="104" t="s">
        <v>16</v>
      </c>
      <c r="AI263" s="32" t="str">
        <f>AI225</f>
        <v>N NOMBRE DE LA RECETA | | Autor &gt; USTED</v>
      </c>
      <c r="AJ263" s="33">
        <f>AJ225</f>
        <v>18</v>
      </c>
      <c r="AK263" s="32" t="str">
        <f>AK225</f>
        <v>postres</v>
      </c>
      <c r="AL263" s="34" t="str">
        <f>AL225</f>
        <v>Receta madre ► Introduzca el nombre de la receta principal</v>
      </c>
      <c r="AM263" s="912">
        <v>0.25</v>
      </c>
      <c r="AN263" s="912">
        <v>0.5</v>
      </c>
      <c r="AO263" s="913">
        <v>0</v>
      </c>
      <c r="AP263" s="914">
        <v>0.2</v>
      </c>
      <c r="AQ263" s="914">
        <v>0.1</v>
      </c>
      <c r="AR263" s="914">
        <v>0.22500000000000001</v>
      </c>
      <c r="AS263" s="914">
        <v>1.4999999999999999E-2</v>
      </c>
      <c r="AT263" s="914">
        <v>4.9299999999999995E-3</v>
      </c>
      <c r="AU263" s="914">
        <v>0.35</v>
      </c>
      <c r="AV263" s="915">
        <v>0.25</v>
      </c>
      <c r="AX263" s="672" t="s">
        <v>283</v>
      </c>
      <c r="AY263" s="197"/>
      <c r="AZ263" s="197"/>
      <c r="BA263" s="197"/>
      <c r="BB263" s="197"/>
      <c r="BC263" s="197"/>
      <c r="BD263" s="662"/>
      <c r="BF263" s="672" t="s">
        <v>774</v>
      </c>
      <c r="BG263" s="197"/>
      <c r="BH263" s="197"/>
      <c r="BI263" s="197"/>
      <c r="BJ263" s="197"/>
      <c r="BK263" s="197"/>
      <c r="BL263" s="662"/>
      <c r="BN263" s="672" t="s">
        <v>775</v>
      </c>
      <c r="BO263" s="197"/>
      <c r="BP263" s="197"/>
      <c r="BQ263" s="197"/>
      <c r="BR263" s="197"/>
      <c r="BS263" s="197"/>
      <c r="BT263" s="662"/>
      <c r="BV263" s="3">
        <v>1</v>
      </c>
    </row>
    <row r="264" spans="2:74" ht="21" customHeight="1">
      <c r="B264" s="104" t="s">
        <v>16</v>
      </c>
      <c r="C264" s="32" t="str">
        <f>C225</f>
        <v>N NOM DE VOTRE RECETTE | | Auteur &gt; VOUS</v>
      </c>
      <c r="D264" s="33">
        <f>D225</f>
        <v>18</v>
      </c>
      <c r="E264" s="32" t="str">
        <f>E225</f>
        <v>desserts</v>
      </c>
      <c r="F264" s="34" t="str">
        <f>F225</f>
        <v>Recette mère ► Saisir le nom de la recette principale</v>
      </c>
      <c r="G264" s="154" t="str">
        <f>G226</f>
        <v>Col.6</v>
      </c>
      <c r="H264" s="154" t="str">
        <f>H226</f>
        <v>Col.7</v>
      </c>
      <c r="I264" s="155" t="s">
        <v>3295</v>
      </c>
      <c r="J264" s="155"/>
      <c r="K264" s="155"/>
      <c r="L264" s="155"/>
      <c r="M264" s="155"/>
      <c r="N264" s="155"/>
      <c r="O264" s="155"/>
      <c r="P264" s="1477"/>
      <c r="R264" s="104" t="s">
        <v>16</v>
      </c>
      <c r="S264" s="32" t="str">
        <f>S225</f>
        <v>N NAME OF YOUR RECIPE | |  Author &gt; YOU</v>
      </c>
      <c r="T264" s="33">
        <f>T225</f>
        <v>18</v>
      </c>
      <c r="U264" s="32" t="str">
        <f>U225</f>
        <v>desserts</v>
      </c>
      <c r="V264" s="34" t="str">
        <f>V225</f>
        <v>Master recipe ► Enter the main recipe name</v>
      </c>
      <c r="W264" s="154" t="str">
        <f>W226</f>
        <v>Col.6</v>
      </c>
      <c r="X264" s="154" t="str">
        <f>X226</f>
        <v>Col.7</v>
      </c>
      <c r="Y264" s="155" t="s">
        <v>3296</v>
      </c>
      <c r="Z264" s="155"/>
      <c r="AA264" s="155"/>
      <c r="AB264" s="155"/>
      <c r="AC264" s="155"/>
      <c r="AD264" s="155"/>
      <c r="AE264" s="155"/>
      <c r="AF264" s="1477"/>
      <c r="AH264" s="104" t="s">
        <v>16</v>
      </c>
      <c r="AI264" s="32" t="str">
        <f>AI225</f>
        <v>N NOMBRE DE LA RECETA | | Autor &gt; USTED</v>
      </c>
      <c r="AJ264" s="33">
        <f>AJ225</f>
        <v>18</v>
      </c>
      <c r="AK264" s="32" t="str">
        <f>AK225</f>
        <v>postres</v>
      </c>
      <c r="AL264" s="34" t="str">
        <f>AL225</f>
        <v>Receta madre ► Introduzca el nombre de la receta principal</v>
      </c>
      <c r="AM264" s="154" t="str">
        <f>AM226</f>
        <v>Col.6</v>
      </c>
      <c r="AN264" s="154" t="str">
        <f>AN226</f>
        <v>Col.7</v>
      </c>
      <c r="AO264" s="155" t="s">
        <v>3298</v>
      </c>
      <c r="AP264" s="155"/>
      <c r="AQ264" s="155"/>
      <c r="AR264" s="155"/>
      <c r="AS264" s="155"/>
      <c r="AT264" s="155"/>
      <c r="AU264" s="155"/>
      <c r="AV264" s="1477"/>
      <c r="AX264" s="552" t="s">
        <v>285</v>
      </c>
      <c r="AY264" s="168"/>
      <c r="AZ264" s="168"/>
      <c r="BA264" s="168"/>
      <c r="BB264" s="168"/>
      <c r="BC264" s="168"/>
      <c r="BD264" s="673"/>
      <c r="BF264" s="552" t="s">
        <v>776</v>
      </c>
      <c r="BG264" s="168"/>
      <c r="BH264" s="168"/>
      <c r="BI264" s="168"/>
      <c r="BJ264" s="168"/>
      <c r="BK264" s="168"/>
      <c r="BL264" s="673"/>
      <c r="BN264" s="552" t="s">
        <v>777</v>
      </c>
      <c r="BO264" s="168"/>
      <c r="BP264" s="168"/>
      <c r="BQ264" s="168"/>
      <c r="BR264" s="168"/>
      <c r="BS264" s="168"/>
      <c r="BT264" s="673"/>
      <c r="BV264" s="3">
        <v>1</v>
      </c>
    </row>
    <row r="265" spans="2:74" ht="21" customHeight="1">
      <c r="B265" s="104" t="s">
        <v>16</v>
      </c>
      <c r="C265" s="157" t="str">
        <f>C225</f>
        <v>N NOM DE VOTRE RECETTE | | Auteur &gt; VOUS</v>
      </c>
      <c r="D265" s="157">
        <f>D225</f>
        <v>18</v>
      </c>
      <c r="E265" s="158" t="str">
        <f>E225</f>
        <v>desserts</v>
      </c>
      <c r="F265" s="159" t="str">
        <f>F225</f>
        <v>Recette mère ► Saisir le nom de la recette principale</v>
      </c>
      <c r="G265" s="160" t="s">
        <v>167</v>
      </c>
      <c r="H265" s="1483" t="s">
        <v>3328</v>
      </c>
      <c r="I265" s="162"/>
      <c r="J265" s="162"/>
      <c r="K265" s="172"/>
      <c r="L265" s="172"/>
      <c r="M265" s="172"/>
      <c r="N265" s="172"/>
      <c r="O265" s="156" t="s">
        <v>165</v>
      </c>
      <c r="P265" s="1484" t="s">
        <v>3276</v>
      </c>
      <c r="R265" s="104" t="s">
        <v>16</v>
      </c>
      <c r="S265" s="157" t="str">
        <f>S225</f>
        <v>N NAME OF YOUR RECIPE | |  Author &gt; YOU</v>
      </c>
      <c r="T265" s="157">
        <f>T225</f>
        <v>18</v>
      </c>
      <c r="U265" s="158" t="str">
        <f>U225</f>
        <v>desserts</v>
      </c>
      <c r="V265" s="159" t="str">
        <f>V225</f>
        <v>Master recipe ► Enter the main recipe name</v>
      </c>
      <c r="W265" s="232" t="s">
        <v>752</v>
      </c>
      <c r="X265" s="161" t="s">
        <v>3327</v>
      </c>
      <c r="Y265" s="162"/>
      <c r="Z265" s="162"/>
      <c r="AA265" s="172"/>
      <c r="AB265" s="172"/>
      <c r="AC265" s="172"/>
      <c r="AD265" s="172"/>
      <c r="AE265" s="156" t="s">
        <v>894</v>
      </c>
      <c r="AF265" s="1484" t="s">
        <v>3276</v>
      </c>
      <c r="AH265" s="104" t="s">
        <v>16</v>
      </c>
      <c r="AI265" s="157" t="str">
        <f>AI225</f>
        <v>N NOMBRE DE LA RECETA | | Autor &gt; USTED</v>
      </c>
      <c r="AJ265" s="157">
        <f>AJ225</f>
        <v>18</v>
      </c>
      <c r="AK265" s="158" t="str">
        <f>AK225</f>
        <v>postres</v>
      </c>
      <c r="AL265" s="159" t="str">
        <f>AL225</f>
        <v>Receta madre ► Introduzca el nombre de la receta principal</v>
      </c>
      <c r="AM265" s="232" t="s">
        <v>754</v>
      </c>
      <c r="AN265" s="161" t="s">
        <v>3325</v>
      </c>
      <c r="AO265" s="162"/>
      <c r="AP265" s="162"/>
      <c r="AQ265" s="172"/>
      <c r="AR265" s="172"/>
      <c r="AS265" s="172"/>
      <c r="AT265" s="172"/>
      <c r="AU265" s="905" t="s">
        <v>908</v>
      </c>
      <c r="AV265" s="1484" t="s">
        <v>3276</v>
      </c>
      <c r="AX265" s="5643" t="s">
        <v>292</v>
      </c>
      <c r="AY265" s="5644"/>
      <c r="AZ265" s="5644"/>
      <c r="BA265" s="5644"/>
      <c r="BB265" s="5644"/>
      <c r="BC265" s="5644"/>
      <c r="BD265" s="5645"/>
      <c r="BF265" s="5643" t="s">
        <v>778</v>
      </c>
      <c r="BG265" s="5644"/>
      <c r="BH265" s="5644"/>
      <c r="BI265" s="5644"/>
      <c r="BJ265" s="5644"/>
      <c r="BK265" s="5644"/>
      <c r="BL265" s="5645"/>
      <c r="BN265" s="5643" t="s">
        <v>779</v>
      </c>
      <c r="BO265" s="5644"/>
      <c r="BP265" s="5644"/>
      <c r="BQ265" s="5644"/>
      <c r="BR265" s="5644"/>
      <c r="BS265" s="5644"/>
      <c r="BT265" s="5645"/>
      <c r="BV265" s="3">
        <v>1</v>
      </c>
    </row>
    <row r="266" spans="2:74" ht="21" customHeight="1">
      <c r="B266" s="104" t="s">
        <v>16</v>
      </c>
      <c r="C266" s="157" t="str">
        <f>C225</f>
        <v>N NOM DE VOTRE RECETTE | | Auteur &gt; VOUS</v>
      </c>
      <c r="D266" s="157">
        <f>D225</f>
        <v>18</v>
      </c>
      <c r="E266" s="158" t="str">
        <f>E225</f>
        <v>desserts</v>
      </c>
      <c r="F266" s="159" t="str">
        <f>F225</f>
        <v>Recette mère ► Saisir le nom de la recette principale</v>
      </c>
      <c r="G266" s="172"/>
      <c r="H266" s="172"/>
      <c r="I266" s="172"/>
      <c r="J266" s="172"/>
      <c r="K266" s="172"/>
      <c r="L266" s="172"/>
      <c r="M266" s="172"/>
      <c r="N266" s="172"/>
      <c r="O266" s="1474" t="s">
        <v>168</v>
      </c>
      <c r="P266" s="1482" t="s">
        <v>668</v>
      </c>
      <c r="R266" s="104" t="s">
        <v>16</v>
      </c>
      <c r="S266" s="157" t="str">
        <f>S225</f>
        <v>N NAME OF YOUR RECIPE | |  Author &gt; YOU</v>
      </c>
      <c r="T266" s="157">
        <f>T225</f>
        <v>18</v>
      </c>
      <c r="U266" s="158" t="str">
        <f>U225</f>
        <v>desserts</v>
      </c>
      <c r="V266" s="159" t="str">
        <f>V225</f>
        <v>Master recipe ► Enter the main recipe name</v>
      </c>
      <c r="W266" s="172"/>
      <c r="X266" s="172"/>
      <c r="Y266" s="172"/>
      <c r="Z266" s="172"/>
      <c r="AA266" s="172"/>
      <c r="AB266" s="172"/>
      <c r="AC266" s="172"/>
      <c r="AD266" s="172"/>
      <c r="AE266" s="1474" t="s">
        <v>895</v>
      </c>
      <c r="AF266" s="1482" t="s">
        <v>668</v>
      </c>
      <c r="AH266" s="104" t="s">
        <v>16</v>
      </c>
      <c r="AI266" s="157" t="str">
        <f>AI225</f>
        <v>N NOMBRE DE LA RECETA | | Autor &gt; USTED</v>
      </c>
      <c r="AJ266" s="157">
        <f>AJ225</f>
        <v>18</v>
      </c>
      <c r="AK266" s="158" t="str">
        <f>AK225</f>
        <v>postres</v>
      </c>
      <c r="AL266" s="159" t="str">
        <f>AL225</f>
        <v>Receta madre ► Introduzca el nombre de la receta principal</v>
      </c>
      <c r="AM266" s="172"/>
      <c r="AN266" s="172"/>
      <c r="AO266" s="172"/>
      <c r="AP266" s="172"/>
      <c r="AQ266" s="172"/>
      <c r="AR266" s="172"/>
      <c r="AS266" s="172"/>
      <c r="AT266" s="172"/>
      <c r="AU266" s="1474" t="s">
        <v>909</v>
      </c>
      <c r="AV266" s="1482" t="s">
        <v>668</v>
      </c>
      <c r="AX266" s="5643"/>
      <c r="AY266" s="5644"/>
      <c r="AZ266" s="5644"/>
      <c r="BA266" s="5644"/>
      <c r="BB266" s="5644"/>
      <c r="BC266" s="5644"/>
      <c r="BD266" s="5645"/>
      <c r="BF266" s="5643"/>
      <c r="BG266" s="5644"/>
      <c r="BH266" s="5644"/>
      <c r="BI266" s="5644"/>
      <c r="BJ266" s="5644"/>
      <c r="BK266" s="5644"/>
      <c r="BL266" s="5645"/>
      <c r="BN266" s="5643"/>
      <c r="BO266" s="5644"/>
      <c r="BP266" s="5644"/>
      <c r="BQ266" s="5644"/>
      <c r="BR266" s="5644"/>
      <c r="BS266" s="5644"/>
      <c r="BT266" s="5645"/>
      <c r="BV266" s="3">
        <v>1</v>
      </c>
    </row>
    <row r="267" spans="2:74" ht="21" customHeight="1">
      <c r="B267" s="104" t="s">
        <v>16</v>
      </c>
      <c r="C267" s="157" t="str">
        <f>C225</f>
        <v>N NOM DE VOTRE RECETTE | | Auteur &gt; VOUS</v>
      </c>
      <c r="D267" s="157">
        <f>D225</f>
        <v>18</v>
      </c>
      <c r="E267" s="158" t="str">
        <f>E225</f>
        <v>desserts</v>
      </c>
      <c r="F267" s="159" t="str">
        <f>F225</f>
        <v>Recette mère ► Saisir le nom de la recette principale</v>
      </c>
      <c r="G267" s="172"/>
      <c r="H267" s="172"/>
      <c r="I267" s="172"/>
      <c r="J267" s="172"/>
      <c r="K267" s="172"/>
      <c r="L267" s="172"/>
      <c r="M267" s="172"/>
      <c r="N267" s="172"/>
      <c r="O267" s="172"/>
      <c r="P267" s="555"/>
      <c r="R267" s="104" t="s">
        <v>16</v>
      </c>
      <c r="S267" s="157" t="str">
        <f>S225</f>
        <v>N NAME OF YOUR RECIPE | |  Author &gt; YOU</v>
      </c>
      <c r="T267" s="157">
        <f>T225</f>
        <v>18</v>
      </c>
      <c r="U267" s="158" t="str">
        <f>U225</f>
        <v>desserts</v>
      </c>
      <c r="V267" s="159" t="str">
        <f>V225</f>
        <v>Master recipe ► Enter the main recipe name</v>
      </c>
      <c r="W267" s="172"/>
      <c r="X267" s="172"/>
      <c r="Y267" s="172"/>
      <c r="Z267" s="172"/>
      <c r="AA267" s="172"/>
      <c r="AB267" s="172"/>
      <c r="AC267" s="172"/>
      <c r="AD267" s="172"/>
      <c r="AE267" s="172"/>
      <c r="AF267" s="555"/>
      <c r="AH267" s="104" t="s">
        <v>16</v>
      </c>
      <c r="AI267" s="157" t="str">
        <f>AI225</f>
        <v>N NOMBRE DE LA RECETA | | Autor &gt; USTED</v>
      </c>
      <c r="AJ267" s="157">
        <f>AJ225</f>
        <v>18</v>
      </c>
      <c r="AK267" s="158" t="str">
        <f>AK225</f>
        <v>postres</v>
      </c>
      <c r="AL267" s="159" t="str">
        <f>AL225</f>
        <v>Receta madre ► Introduzca el nombre de la receta principal</v>
      </c>
      <c r="AM267" s="172"/>
      <c r="AN267" s="172"/>
      <c r="AO267" s="172"/>
      <c r="AP267" s="172"/>
      <c r="AQ267" s="172"/>
      <c r="AR267" s="172"/>
      <c r="AS267" s="172"/>
      <c r="AT267" s="172"/>
      <c r="AU267" s="172"/>
      <c r="AV267" s="555"/>
      <c r="AX267" s="5643"/>
      <c r="AY267" s="5644"/>
      <c r="AZ267" s="5644"/>
      <c r="BA267" s="5644"/>
      <c r="BB267" s="5644"/>
      <c r="BC267" s="5644"/>
      <c r="BD267" s="5645"/>
      <c r="BF267" s="5643"/>
      <c r="BG267" s="5644"/>
      <c r="BH267" s="5644"/>
      <c r="BI267" s="5644"/>
      <c r="BJ267" s="5644"/>
      <c r="BK267" s="5644"/>
      <c r="BL267" s="5645"/>
      <c r="BN267" s="5643"/>
      <c r="BO267" s="5644"/>
      <c r="BP267" s="5644"/>
      <c r="BQ267" s="5644"/>
      <c r="BR267" s="5644"/>
      <c r="BS267" s="5644"/>
      <c r="BT267" s="5645"/>
      <c r="BV267" s="3">
        <v>1</v>
      </c>
    </row>
    <row r="268" spans="2:74" ht="21" customHeight="1">
      <c r="B268" s="104" t="s">
        <v>16</v>
      </c>
      <c r="C268" s="157" t="str">
        <f>C225</f>
        <v>N NOM DE VOTRE RECETTE | | Auteur &gt; VOUS</v>
      </c>
      <c r="D268" s="157">
        <f>D225</f>
        <v>18</v>
      </c>
      <c r="E268" s="158" t="str">
        <f>E225</f>
        <v>desserts</v>
      </c>
      <c r="F268" s="159" t="str">
        <f>F225</f>
        <v>Recette mère ► Saisir le nom de la recette principale</v>
      </c>
      <c r="G268" s="172"/>
      <c r="H268" s="172"/>
      <c r="I268" s="172"/>
      <c r="J268" s="172"/>
      <c r="K268" s="172"/>
      <c r="L268" s="172"/>
      <c r="M268" s="172"/>
      <c r="N268" s="172"/>
      <c r="O268" s="170" t="s">
        <v>172</v>
      </c>
      <c r="P268" s="171">
        <v>3.472222222222222E-3</v>
      </c>
      <c r="R268" s="104" t="s">
        <v>16</v>
      </c>
      <c r="S268" s="157" t="str">
        <f>S225</f>
        <v>N NAME OF YOUR RECIPE | |  Author &gt; YOU</v>
      </c>
      <c r="T268" s="157">
        <f>T225</f>
        <v>18</v>
      </c>
      <c r="U268" s="158" t="str">
        <f>U225</f>
        <v>desserts</v>
      </c>
      <c r="V268" s="159" t="str">
        <f>V225</f>
        <v>Master recipe ► Enter the main recipe name</v>
      </c>
      <c r="W268" s="172"/>
      <c r="X268" s="172"/>
      <c r="Y268" s="172"/>
      <c r="Z268" s="172"/>
      <c r="AA268" s="172"/>
      <c r="AB268" s="172"/>
      <c r="AC268" s="172"/>
      <c r="AD268" s="172"/>
      <c r="AE268" s="170" t="s">
        <v>676</v>
      </c>
      <c r="AF268" s="171">
        <v>3.472222222222222E-3</v>
      </c>
      <c r="AH268" s="104" t="s">
        <v>16</v>
      </c>
      <c r="AI268" s="157" t="str">
        <f>AI225</f>
        <v>N NOMBRE DE LA RECETA | | Autor &gt; USTED</v>
      </c>
      <c r="AJ268" s="157">
        <f>AJ225</f>
        <v>18</v>
      </c>
      <c r="AK268" s="158" t="str">
        <f>AK225</f>
        <v>postres</v>
      </c>
      <c r="AL268" s="159" t="str">
        <f>AL225</f>
        <v>Receta madre ► Introduzca el nombre de la receta principal</v>
      </c>
      <c r="AM268" s="172"/>
      <c r="AN268" s="172"/>
      <c r="AO268" s="172"/>
      <c r="AP268" s="172"/>
      <c r="AQ268" s="172"/>
      <c r="AR268" s="172"/>
      <c r="AS268" s="172"/>
      <c r="AT268" s="172"/>
      <c r="AU268" s="170" t="s">
        <v>677</v>
      </c>
      <c r="AV268" s="171">
        <v>3.472222222222222E-3</v>
      </c>
      <c r="AX268" s="5646"/>
      <c r="AY268" s="5647"/>
      <c r="AZ268" s="5647"/>
      <c r="BA268" s="5647"/>
      <c r="BB268" s="5647"/>
      <c r="BC268" s="5647"/>
      <c r="BD268" s="5648"/>
      <c r="BF268" s="5646"/>
      <c r="BG268" s="5647"/>
      <c r="BH268" s="5647"/>
      <c r="BI268" s="5647"/>
      <c r="BJ268" s="5647"/>
      <c r="BK268" s="5647"/>
      <c r="BL268" s="5648"/>
      <c r="BN268" s="5646"/>
      <c r="BO268" s="5647"/>
      <c r="BP268" s="5647"/>
      <c r="BQ268" s="5647"/>
      <c r="BR268" s="5647"/>
      <c r="BS268" s="5647"/>
      <c r="BT268" s="5648"/>
      <c r="BV268" s="3">
        <v>1</v>
      </c>
    </row>
    <row r="269" spans="2:74" ht="21" customHeight="1" thickBot="1">
      <c r="B269" s="104" t="s">
        <v>16</v>
      </c>
      <c r="C269" s="157" t="str">
        <f>C225</f>
        <v>N NOM DE VOTRE RECETTE | | Auteur &gt; VOUS</v>
      </c>
      <c r="D269" s="157">
        <f>D225</f>
        <v>18</v>
      </c>
      <c r="E269" s="158" t="str">
        <f>E225</f>
        <v>desserts</v>
      </c>
      <c r="F269" s="159" t="str">
        <f>F225</f>
        <v>Recette mère ► Saisir le nom de la recette principale</v>
      </c>
      <c r="G269" s="172"/>
      <c r="H269" s="172"/>
      <c r="I269" s="172"/>
      <c r="J269" s="172"/>
      <c r="K269" s="172"/>
      <c r="L269" s="172"/>
      <c r="M269" s="172"/>
      <c r="N269" s="172"/>
      <c r="O269" s="170" t="s">
        <v>174</v>
      </c>
      <c r="P269" s="174">
        <v>3.472222222222222E-3</v>
      </c>
      <c r="R269" s="104" t="s">
        <v>16</v>
      </c>
      <c r="S269" s="157" t="str">
        <f>S225</f>
        <v>N NAME OF YOUR RECIPE | |  Author &gt; YOU</v>
      </c>
      <c r="T269" s="157">
        <f>T225</f>
        <v>18</v>
      </c>
      <c r="U269" s="158" t="str">
        <f>U225</f>
        <v>desserts</v>
      </c>
      <c r="V269" s="159" t="str">
        <f>V225</f>
        <v>Master recipe ► Enter the main recipe name</v>
      </c>
      <c r="W269" s="172"/>
      <c r="X269" s="172"/>
      <c r="Y269" s="172"/>
      <c r="Z269" s="172"/>
      <c r="AA269" s="172"/>
      <c r="AB269" s="172"/>
      <c r="AC269" s="172"/>
      <c r="AD269" s="172"/>
      <c r="AE269" s="170" t="s">
        <v>682</v>
      </c>
      <c r="AF269" s="174">
        <v>3.472222222222222E-3</v>
      </c>
      <c r="AH269" s="104" t="s">
        <v>16</v>
      </c>
      <c r="AI269" s="157" t="str">
        <f>AI225</f>
        <v>N NOMBRE DE LA RECETA | | Autor &gt; USTED</v>
      </c>
      <c r="AJ269" s="157">
        <f>AJ225</f>
        <v>18</v>
      </c>
      <c r="AK269" s="158" t="str">
        <f>AK225</f>
        <v>postres</v>
      </c>
      <c r="AL269" s="159" t="str">
        <f>AL225</f>
        <v>Receta madre ► Introduzca el nombre de la receta principal</v>
      </c>
      <c r="AM269" s="172"/>
      <c r="AN269" s="172"/>
      <c r="AO269" s="172"/>
      <c r="AP269" s="172"/>
      <c r="AQ269" s="172"/>
      <c r="AR269" s="172"/>
      <c r="AS269" s="172"/>
      <c r="AT269" s="172"/>
      <c r="AU269" s="170" t="s">
        <v>683</v>
      </c>
      <c r="AV269" s="174">
        <v>3.472222222222222E-3</v>
      </c>
      <c r="AX269" s="668" t="s">
        <v>263</v>
      </c>
      <c r="AY269" s="269"/>
      <c r="AZ269" s="270"/>
      <c r="BA269" s="271"/>
      <c r="BB269" s="270"/>
      <c r="BC269" s="270"/>
      <c r="BD269" s="669"/>
      <c r="BF269" s="668" t="s">
        <v>263</v>
      </c>
      <c r="BG269" s="269"/>
      <c r="BH269" s="270"/>
      <c r="BI269" s="271"/>
      <c r="BJ269" s="270"/>
      <c r="BK269" s="270"/>
      <c r="BL269" s="669"/>
      <c r="BN269" s="668" t="s">
        <v>263</v>
      </c>
      <c r="BO269" s="269"/>
      <c r="BP269" s="270"/>
      <c r="BQ269" s="271"/>
      <c r="BR269" s="270"/>
      <c r="BS269" s="270"/>
      <c r="BT269" s="669"/>
      <c r="BV269" s="3">
        <v>1</v>
      </c>
    </row>
    <row r="270" spans="2:74" ht="21" customHeight="1">
      <c r="B270" s="104" t="s">
        <v>16</v>
      </c>
      <c r="C270" s="157" t="str">
        <f>C225</f>
        <v>N NOM DE VOTRE RECETTE | | Auteur &gt; VOUS</v>
      </c>
      <c r="D270" s="157">
        <f>D225</f>
        <v>18</v>
      </c>
      <c r="E270" s="158" t="str">
        <f>E225</f>
        <v>desserts</v>
      </c>
      <c r="F270" s="159" t="str">
        <f>F225</f>
        <v>Recette mère ► Saisir le nom de la recette principale</v>
      </c>
      <c r="G270" s="172"/>
      <c r="H270" s="172"/>
      <c r="I270" s="172"/>
      <c r="J270" s="172"/>
      <c r="K270" s="172"/>
      <c r="L270" s="172"/>
      <c r="M270" s="172"/>
      <c r="N270" s="172"/>
      <c r="O270" s="170" t="s">
        <v>182</v>
      </c>
      <c r="P270" s="175">
        <v>3.472222222222222E-3</v>
      </c>
      <c r="R270" s="104" t="s">
        <v>16</v>
      </c>
      <c r="S270" s="157" t="str">
        <f>S225</f>
        <v>N NAME OF YOUR RECIPE | |  Author &gt; YOU</v>
      </c>
      <c r="T270" s="157">
        <f>T225</f>
        <v>18</v>
      </c>
      <c r="U270" s="158" t="str">
        <f>U225</f>
        <v>desserts</v>
      </c>
      <c r="V270" s="159" t="str">
        <f>V225</f>
        <v>Master recipe ► Enter the main recipe name</v>
      </c>
      <c r="W270" s="172"/>
      <c r="X270" s="172"/>
      <c r="Y270" s="172"/>
      <c r="Z270" s="172"/>
      <c r="AA270" s="172"/>
      <c r="AB270" s="172"/>
      <c r="AC270" s="172"/>
      <c r="AD270" s="172"/>
      <c r="AE270" s="170" t="s">
        <v>684</v>
      </c>
      <c r="AF270" s="175">
        <v>3.472222222222222E-3</v>
      </c>
      <c r="AH270" s="104" t="s">
        <v>16</v>
      </c>
      <c r="AI270" s="157" t="str">
        <f>AI225</f>
        <v>N NOMBRE DE LA RECETA | | Autor &gt; USTED</v>
      </c>
      <c r="AJ270" s="157">
        <f>AJ225</f>
        <v>18</v>
      </c>
      <c r="AK270" s="158" t="str">
        <f>AK225</f>
        <v>postres</v>
      </c>
      <c r="AL270" s="159" t="str">
        <f>AL225</f>
        <v>Receta madre ► Introduzca el nombre de la receta principal</v>
      </c>
      <c r="AM270" s="172"/>
      <c r="AN270" s="172"/>
      <c r="AO270" s="172"/>
      <c r="AP270" s="172"/>
      <c r="AQ270" s="172"/>
      <c r="AR270" s="172"/>
      <c r="AS270" s="172"/>
      <c r="AT270" s="172"/>
      <c r="AU270" s="170" t="s">
        <v>911</v>
      </c>
      <c r="AV270" s="175">
        <v>3.472222222222222E-3</v>
      </c>
      <c r="AX270" s="494"/>
      <c r="BD270" s="670"/>
      <c r="BF270" s="494"/>
      <c r="BL270" s="670"/>
      <c r="BN270" s="494"/>
      <c r="BT270" s="670"/>
      <c r="BV270" s="3">
        <v>1</v>
      </c>
    </row>
    <row r="271" spans="2:74" ht="21" customHeight="1">
      <c r="B271" s="104" t="s">
        <v>16</v>
      </c>
      <c r="C271" s="157" t="str">
        <f>C225</f>
        <v>N NOM DE VOTRE RECETTE | | Auteur &gt; VOUS</v>
      </c>
      <c r="D271" s="157">
        <f>D225</f>
        <v>18</v>
      </c>
      <c r="E271" s="158" t="str">
        <f>E225</f>
        <v>desserts</v>
      </c>
      <c r="F271" s="159" t="str">
        <f>F225</f>
        <v>Recette mère ► Saisir le nom de la recette principale</v>
      </c>
      <c r="G271" s="172"/>
      <c r="H271" s="172"/>
      <c r="I271" s="172"/>
      <c r="J271" s="172"/>
      <c r="K271" s="172"/>
      <c r="L271" s="172"/>
      <c r="M271" s="172"/>
      <c r="N271" s="172"/>
      <c r="O271" s="176" t="s">
        <v>183</v>
      </c>
      <c r="P271" s="177">
        <f>P268+P269+P270</f>
        <v>1.0416666666666666E-2</v>
      </c>
      <c r="R271" s="104" t="s">
        <v>16</v>
      </c>
      <c r="S271" s="157" t="str">
        <f>S225</f>
        <v>N NAME OF YOUR RECIPE | |  Author &gt; YOU</v>
      </c>
      <c r="T271" s="157">
        <f>T225</f>
        <v>18</v>
      </c>
      <c r="U271" s="158" t="str">
        <f>U225</f>
        <v>desserts</v>
      </c>
      <c r="V271" s="159" t="str">
        <f>V225</f>
        <v>Master recipe ► Enter the main recipe name</v>
      </c>
      <c r="W271" s="172"/>
      <c r="X271" s="172"/>
      <c r="Y271" s="172"/>
      <c r="Z271" s="172"/>
      <c r="AA271" s="172"/>
      <c r="AB271" s="172"/>
      <c r="AC271" s="172"/>
      <c r="AD271" s="172"/>
      <c r="AE271" s="176" t="s">
        <v>183</v>
      </c>
      <c r="AF271" s="177">
        <f>AF268+AF269+AF270</f>
        <v>1.0416666666666666E-2</v>
      </c>
      <c r="AH271" s="104" t="s">
        <v>16</v>
      </c>
      <c r="AI271" s="157" t="str">
        <f>AI225</f>
        <v>N NOMBRE DE LA RECETA | | Autor &gt; USTED</v>
      </c>
      <c r="AJ271" s="157">
        <f>AJ225</f>
        <v>18</v>
      </c>
      <c r="AK271" s="158" t="str">
        <f>AK225</f>
        <v>postres</v>
      </c>
      <c r="AL271" s="159" t="str">
        <f>AL225</f>
        <v>Receta madre ► Introduzca el nombre de la receta principal</v>
      </c>
      <c r="AM271" s="172"/>
      <c r="AN271" s="172"/>
      <c r="AO271" s="172"/>
      <c r="AP271" s="172"/>
      <c r="AQ271" s="172"/>
      <c r="AR271" s="172"/>
      <c r="AS271" s="172"/>
      <c r="AT271" s="172"/>
      <c r="AU271" s="176" t="s">
        <v>183</v>
      </c>
      <c r="AV271" s="177">
        <f>AV268+AV269+AV270</f>
        <v>1.0416666666666666E-2</v>
      </c>
      <c r="AX271" s="650" t="s">
        <v>167</v>
      </c>
      <c r="AY271" s="320"/>
      <c r="AZ271" s="320"/>
      <c r="BA271" s="320"/>
      <c r="BB271" s="320"/>
      <c r="BC271" s="320"/>
      <c r="BD271" s="651" t="s">
        <v>320</v>
      </c>
      <c r="BF271" s="650" t="s">
        <v>752</v>
      </c>
      <c r="BG271" s="320"/>
      <c r="BH271" s="320"/>
      <c r="BI271" s="320"/>
      <c r="BJ271" s="320"/>
      <c r="BK271" s="320"/>
      <c r="BL271" s="651" t="s">
        <v>780</v>
      </c>
      <c r="BN271" s="650" t="s">
        <v>754</v>
      </c>
      <c r="BO271" s="320"/>
      <c r="BP271" s="320"/>
      <c r="BQ271" s="320"/>
      <c r="BR271" s="320"/>
      <c r="BS271" s="320"/>
      <c r="BT271" s="651" t="s">
        <v>781</v>
      </c>
      <c r="BV271" s="3">
        <v>1</v>
      </c>
    </row>
    <row r="272" spans="2:74" ht="21" customHeight="1">
      <c r="B272" s="104" t="s">
        <v>16</v>
      </c>
      <c r="C272" s="157" t="str">
        <f>C225</f>
        <v>N NOM DE VOTRE RECETTE | | Auteur &gt; VOUS</v>
      </c>
      <c r="D272" s="157">
        <f>D225</f>
        <v>18</v>
      </c>
      <c r="E272" s="158" t="str">
        <f>E225</f>
        <v>desserts</v>
      </c>
      <c r="F272" s="159" t="str">
        <f>F225</f>
        <v>Recette mère ► Saisir le nom de la recette principale</v>
      </c>
      <c r="G272" s="172"/>
      <c r="H272" s="172"/>
      <c r="I272" s="172"/>
      <c r="J272" s="172"/>
      <c r="K272" s="172"/>
      <c r="L272" s="172"/>
      <c r="M272" s="172"/>
      <c r="N272" s="172"/>
      <c r="O272" s="172"/>
      <c r="P272" s="555"/>
      <c r="R272" s="104" t="s">
        <v>16</v>
      </c>
      <c r="S272" s="157" t="str">
        <f>S225</f>
        <v>N NAME OF YOUR RECIPE | |  Author &gt; YOU</v>
      </c>
      <c r="T272" s="157">
        <f>T225</f>
        <v>18</v>
      </c>
      <c r="U272" s="158" t="str">
        <f>U225</f>
        <v>desserts</v>
      </c>
      <c r="V272" s="159" t="str">
        <f>V225</f>
        <v>Master recipe ► Enter the main recipe name</v>
      </c>
      <c r="W272" s="172"/>
      <c r="X272" s="172"/>
      <c r="Y272" s="172"/>
      <c r="Z272" s="172"/>
      <c r="AA272" s="172"/>
      <c r="AB272" s="172"/>
      <c r="AC272" s="172"/>
      <c r="AD272" s="172"/>
      <c r="AE272" s="172"/>
      <c r="AF272" s="555"/>
      <c r="AH272" s="104" t="s">
        <v>16</v>
      </c>
      <c r="AI272" s="157" t="str">
        <f>AI225</f>
        <v>N NOMBRE DE LA RECETA | | Autor &gt; USTED</v>
      </c>
      <c r="AJ272" s="157">
        <f>AJ225</f>
        <v>18</v>
      </c>
      <c r="AK272" s="158" t="str">
        <f>AK225</f>
        <v>postres</v>
      </c>
      <c r="AL272" s="159" t="str">
        <f>AL225</f>
        <v>Receta madre ► Introduzca el nombre de la receta principal</v>
      </c>
      <c r="AM272" s="172"/>
      <c r="AN272" s="172"/>
      <c r="AO272" s="172"/>
      <c r="AP272" s="172"/>
      <c r="AQ272" s="172"/>
      <c r="AR272" s="172"/>
      <c r="AS272" s="172"/>
      <c r="AT272" s="172"/>
      <c r="AU272" s="172"/>
      <c r="AV272" s="555"/>
      <c r="AX272" s="674"/>
      <c r="AY272" s="322" t="s">
        <v>327</v>
      </c>
      <c r="AZ272" s="241"/>
      <c r="BA272" s="241"/>
      <c r="BB272" s="241"/>
      <c r="BC272" s="323" t="s">
        <v>328</v>
      </c>
      <c r="BD272" s="675"/>
      <c r="BF272" s="674"/>
      <c r="BG272" s="322" t="s">
        <v>782</v>
      </c>
      <c r="BH272" s="241"/>
      <c r="BI272" s="241"/>
      <c r="BJ272" s="241"/>
      <c r="BK272" s="323" t="s">
        <v>783</v>
      </c>
      <c r="BL272" s="675"/>
      <c r="BN272" s="674"/>
      <c r="BO272" s="322" t="s">
        <v>784</v>
      </c>
      <c r="BP272" s="241"/>
      <c r="BQ272" s="241"/>
      <c r="BR272" s="241"/>
      <c r="BS272" s="323" t="s">
        <v>328</v>
      </c>
      <c r="BT272" s="675"/>
      <c r="BV272" s="3">
        <v>1</v>
      </c>
    </row>
    <row r="273" spans="2:74" ht="21" customHeight="1">
      <c r="B273" s="104" t="s">
        <v>16</v>
      </c>
      <c r="C273" s="157" t="str">
        <f>C225</f>
        <v>N NOM DE VOTRE RECETTE | | Auteur &gt; VOUS</v>
      </c>
      <c r="D273" s="157">
        <f>D225</f>
        <v>18</v>
      </c>
      <c r="E273" s="158" t="str">
        <f>E225</f>
        <v>desserts</v>
      </c>
      <c r="F273" s="159" t="str">
        <f>F225</f>
        <v>Recette mère ► Saisir le nom de la recette principale</v>
      </c>
      <c r="G273" s="172"/>
      <c r="H273" s="172"/>
      <c r="I273" s="172"/>
      <c r="J273" s="172"/>
      <c r="K273" s="172"/>
      <c r="L273" s="172"/>
      <c r="M273" s="172"/>
      <c r="N273" s="172"/>
      <c r="O273" s="172"/>
      <c r="P273" s="555"/>
      <c r="R273" s="104" t="s">
        <v>16</v>
      </c>
      <c r="S273" s="157" t="str">
        <f>S225</f>
        <v>N NAME OF YOUR RECIPE | |  Author &gt; YOU</v>
      </c>
      <c r="T273" s="157">
        <f>T225</f>
        <v>18</v>
      </c>
      <c r="U273" s="158" t="str">
        <f>U225</f>
        <v>desserts</v>
      </c>
      <c r="V273" s="159" t="str">
        <f>V225</f>
        <v>Master recipe ► Enter the main recipe name</v>
      </c>
      <c r="W273" s="172"/>
      <c r="X273" s="172"/>
      <c r="Y273" s="172"/>
      <c r="Z273" s="172"/>
      <c r="AA273" s="172"/>
      <c r="AB273" s="172"/>
      <c r="AC273" s="172"/>
      <c r="AD273" s="172"/>
      <c r="AE273" s="172"/>
      <c r="AF273" s="555"/>
      <c r="AH273" s="104" t="s">
        <v>16</v>
      </c>
      <c r="AI273" s="157" t="str">
        <f>AI225</f>
        <v>N NOMBRE DE LA RECETA | | Autor &gt; USTED</v>
      </c>
      <c r="AJ273" s="157">
        <f>AJ225</f>
        <v>18</v>
      </c>
      <c r="AK273" s="158" t="str">
        <f>AK225</f>
        <v>postres</v>
      </c>
      <c r="AL273" s="159" t="str">
        <f>AL225</f>
        <v>Receta madre ► Introduzca el nombre de la receta principal</v>
      </c>
      <c r="AM273" s="172"/>
      <c r="AN273" s="172"/>
      <c r="AO273" s="172"/>
      <c r="AP273" s="172"/>
      <c r="AQ273" s="172"/>
      <c r="AR273" s="172"/>
      <c r="AS273" s="172"/>
      <c r="AT273" s="172"/>
      <c r="AU273" s="172"/>
      <c r="AV273" s="555"/>
      <c r="AX273" s="674">
        <v>3</v>
      </c>
      <c r="AY273" s="327" t="s">
        <v>329</v>
      </c>
      <c r="AZ273" s="197"/>
      <c r="BA273" s="197"/>
      <c r="BB273" s="197"/>
      <c r="BC273" s="236" t="s">
        <v>221</v>
      </c>
      <c r="BD273" s="676" t="s">
        <v>330</v>
      </c>
      <c r="BF273" s="674">
        <v>3</v>
      </c>
      <c r="BG273" s="327" t="s">
        <v>785</v>
      </c>
      <c r="BH273" s="197"/>
      <c r="BI273" s="197"/>
      <c r="BJ273" s="197"/>
      <c r="BK273" s="236" t="s">
        <v>221</v>
      </c>
      <c r="BL273" s="676" t="s">
        <v>786</v>
      </c>
      <c r="BN273" s="674">
        <v>3</v>
      </c>
      <c r="BO273" s="327" t="s">
        <v>787</v>
      </c>
      <c r="BP273" s="197"/>
      <c r="BQ273" s="197"/>
      <c r="BR273" s="197"/>
      <c r="BS273" s="236" t="s">
        <v>221</v>
      </c>
      <c r="BT273" s="676" t="s">
        <v>788</v>
      </c>
      <c r="BV273" s="3">
        <v>1</v>
      </c>
    </row>
    <row r="274" spans="2:74" ht="21" customHeight="1" thickBot="1">
      <c r="B274" s="104" t="s">
        <v>16</v>
      </c>
      <c r="C274" s="157" t="str">
        <f>C225</f>
        <v>N NOM DE VOTRE RECETTE | | Auteur &gt; VOUS</v>
      </c>
      <c r="D274" s="157">
        <f>D225</f>
        <v>18</v>
      </c>
      <c r="E274" s="158" t="str">
        <f>E225</f>
        <v>desserts</v>
      </c>
      <c r="F274" s="159" t="str">
        <f>F225</f>
        <v>Recette mère ► Saisir le nom de la recette principale</v>
      </c>
      <c r="G274" s="172"/>
      <c r="H274" s="172"/>
      <c r="I274" s="172"/>
      <c r="J274" s="172"/>
      <c r="K274" s="172"/>
      <c r="L274" s="172"/>
      <c r="M274" s="172"/>
      <c r="N274" s="172"/>
      <c r="O274" s="172"/>
      <c r="P274" s="555"/>
      <c r="R274" s="104" t="s">
        <v>16</v>
      </c>
      <c r="S274" s="157" t="str">
        <f>S225</f>
        <v>N NAME OF YOUR RECIPE | |  Author &gt; YOU</v>
      </c>
      <c r="T274" s="157">
        <f>T225</f>
        <v>18</v>
      </c>
      <c r="U274" s="158" t="str">
        <f>U225</f>
        <v>desserts</v>
      </c>
      <c r="V274" s="159" t="str">
        <f>V225</f>
        <v>Master recipe ► Enter the main recipe name</v>
      </c>
      <c r="W274" s="172"/>
      <c r="X274" s="172"/>
      <c r="Y274" s="172"/>
      <c r="Z274" s="172"/>
      <c r="AA274" s="172"/>
      <c r="AB274" s="172"/>
      <c r="AC274" s="172"/>
      <c r="AD274" s="172"/>
      <c r="AE274" s="172"/>
      <c r="AF274" s="555"/>
      <c r="AH274" s="104" t="s">
        <v>16</v>
      </c>
      <c r="AI274" s="157" t="str">
        <f>AI225</f>
        <v>N NOMBRE DE LA RECETA | | Autor &gt; USTED</v>
      </c>
      <c r="AJ274" s="157">
        <f>AJ225</f>
        <v>18</v>
      </c>
      <c r="AK274" s="158" t="str">
        <f>AK225</f>
        <v>postres</v>
      </c>
      <c r="AL274" s="159" t="str">
        <f>AL225</f>
        <v>Receta madre ► Introduzca el nombre de la receta principal</v>
      </c>
      <c r="AM274" s="172"/>
      <c r="AN274" s="172"/>
      <c r="AO274" s="172"/>
      <c r="AP274" s="172"/>
      <c r="AQ274" s="172"/>
      <c r="AR274" s="172"/>
      <c r="AS274" s="172"/>
      <c r="AT274" s="172"/>
      <c r="AU274" s="172"/>
      <c r="AV274" s="555"/>
      <c r="AX274" s="674"/>
      <c r="AY274" s="327" t="s">
        <v>331</v>
      </c>
      <c r="AZ274" s="197"/>
      <c r="BA274" s="197"/>
      <c r="BB274" s="197"/>
      <c r="BC274" s="335"/>
      <c r="BD274" s="676" t="s">
        <v>332</v>
      </c>
      <c r="BF274" s="674"/>
      <c r="BG274" s="327" t="s">
        <v>789</v>
      </c>
      <c r="BH274" s="197"/>
      <c r="BI274" s="197"/>
      <c r="BJ274" s="197"/>
      <c r="BK274" s="335"/>
      <c r="BL274" s="676" t="s">
        <v>790</v>
      </c>
      <c r="BN274" s="674"/>
      <c r="BO274" s="327" t="s">
        <v>791</v>
      </c>
      <c r="BP274" s="197"/>
      <c r="BQ274" s="197"/>
      <c r="BR274" s="197"/>
      <c r="BS274" s="335"/>
      <c r="BT274" s="676" t="s">
        <v>792</v>
      </c>
      <c r="BV274" s="3">
        <v>1</v>
      </c>
    </row>
    <row r="275" spans="2:74" ht="21" customHeight="1" thickTop="1">
      <c r="B275" s="104" t="s">
        <v>16</v>
      </c>
      <c r="C275" s="157" t="str">
        <f>C225</f>
        <v>N NOM DE VOTRE RECETTE | | Auteur &gt; VOUS</v>
      </c>
      <c r="D275" s="157">
        <f>D225</f>
        <v>18</v>
      </c>
      <c r="E275" s="158" t="str">
        <f>E225</f>
        <v>desserts</v>
      </c>
      <c r="F275" s="159" t="str">
        <f>F225</f>
        <v>Recette mère ► Saisir le nom de la recette principale</v>
      </c>
      <c r="G275" s="172"/>
      <c r="H275" s="172"/>
      <c r="I275" s="172"/>
      <c r="J275" s="172"/>
      <c r="K275" s="172"/>
      <c r="L275" s="172"/>
      <c r="M275" s="172"/>
      <c r="N275" s="172"/>
      <c r="O275" s="172"/>
      <c r="P275" s="555"/>
      <c r="R275" s="104" t="s">
        <v>16</v>
      </c>
      <c r="S275" s="157" t="str">
        <f>S225</f>
        <v>N NAME OF YOUR RECIPE | |  Author &gt; YOU</v>
      </c>
      <c r="T275" s="157">
        <f>T225</f>
        <v>18</v>
      </c>
      <c r="U275" s="158" t="str">
        <f>U225</f>
        <v>desserts</v>
      </c>
      <c r="V275" s="159" t="str">
        <f>V225</f>
        <v>Master recipe ► Enter the main recipe name</v>
      </c>
      <c r="W275" s="172"/>
      <c r="X275" s="172"/>
      <c r="Y275" s="172"/>
      <c r="Z275" s="172"/>
      <c r="AA275" s="172"/>
      <c r="AB275" s="172"/>
      <c r="AC275" s="172"/>
      <c r="AD275" s="172"/>
      <c r="AE275" s="172"/>
      <c r="AF275" s="555"/>
      <c r="AH275" s="104" t="s">
        <v>16</v>
      </c>
      <c r="AI275" s="157" t="str">
        <f>AI225</f>
        <v>N NOMBRE DE LA RECETA | | Autor &gt; USTED</v>
      </c>
      <c r="AJ275" s="157">
        <f>AJ225</f>
        <v>18</v>
      </c>
      <c r="AK275" s="158" t="str">
        <f>AK225</f>
        <v>postres</v>
      </c>
      <c r="AL275" s="159" t="str">
        <f>AL225</f>
        <v>Receta madre ► Introduzca el nombre de la receta principal</v>
      </c>
      <c r="AM275" s="172"/>
      <c r="AN275" s="172"/>
      <c r="AO275" s="172"/>
      <c r="AP275" s="172"/>
      <c r="AQ275" s="172"/>
      <c r="AR275" s="172"/>
      <c r="AS275" s="172"/>
      <c r="AT275" s="172"/>
      <c r="AU275" s="172"/>
      <c r="AV275" s="555"/>
      <c r="AX275" s="677" t="str">
        <f>SUM(AX272:AX274) &amp; " / " &amp; (COUNTA(AX272:AX274) * 3)</f>
        <v>3 / 3</v>
      </c>
      <c r="AY275" s="197" t="s">
        <v>352</v>
      </c>
      <c r="AZ275" s="197"/>
      <c r="BA275" s="197"/>
      <c r="BB275" s="197"/>
      <c r="BC275" s="348" t="s">
        <v>353</v>
      </c>
      <c r="BD275" s="676" t="s">
        <v>354</v>
      </c>
      <c r="BF275" s="677" t="str">
        <f>SUM(BF272:BF274) &amp; " / " &amp; (COUNTA(BF272:BF274) * 3)</f>
        <v>3 / 3</v>
      </c>
      <c r="BG275" s="197" t="s">
        <v>793</v>
      </c>
      <c r="BH275" s="197"/>
      <c r="BI275" s="197"/>
      <c r="BJ275" s="197"/>
      <c r="BK275" s="348" t="s">
        <v>353</v>
      </c>
      <c r="BL275" s="676" t="s">
        <v>794</v>
      </c>
      <c r="BN275" s="677" t="str">
        <f>SUM(BN272:BN274) &amp; " / " &amp; (COUNTA(BN272:BN274) * 3)</f>
        <v>3 / 3</v>
      </c>
      <c r="BO275" s="197" t="s">
        <v>795</v>
      </c>
      <c r="BP275" s="197"/>
      <c r="BQ275" s="197"/>
      <c r="BR275" s="197"/>
      <c r="BS275" s="348" t="s">
        <v>353</v>
      </c>
      <c r="BT275" s="676" t="s">
        <v>354</v>
      </c>
      <c r="BV275" s="3">
        <v>1</v>
      </c>
    </row>
    <row r="276" spans="2:74" ht="21" customHeight="1">
      <c r="B276" s="104" t="s">
        <v>16</v>
      </c>
      <c r="C276" s="157" t="str">
        <f>C225</f>
        <v>N NOM DE VOTRE RECETTE | | Auteur &gt; VOUS</v>
      </c>
      <c r="D276" s="157">
        <f>D225</f>
        <v>18</v>
      </c>
      <c r="E276" s="158" t="str">
        <f>E225</f>
        <v>desserts</v>
      </c>
      <c r="F276" s="159" t="str">
        <f>F225</f>
        <v>Recette mère ► Saisir le nom de la recette principale</v>
      </c>
      <c r="G276" s="172"/>
      <c r="H276" s="172"/>
      <c r="I276" s="172"/>
      <c r="J276" s="172"/>
      <c r="K276" s="172"/>
      <c r="L276" s="172"/>
      <c r="M276" s="172"/>
      <c r="N276" s="172"/>
      <c r="O276" s="172"/>
      <c r="P276" s="555"/>
      <c r="R276" s="104" t="s">
        <v>16</v>
      </c>
      <c r="S276" s="157" t="str">
        <f>S225</f>
        <v>N NAME OF YOUR RECIPE | |  Author &gt; YOU</v>
      </c>
      <c r="T276" s="157">
        <f>T225</f>
        <v>18</v>
      </c>
      <c r="U276" s="158" t="str">
        <f>U225</f>
        <v>desserts</v>
      </c>
      <c r="V276" s="159" t="str">
        <f>V225</f>
        <v>Master recipe ► Enter the main recipe name</v>
      </c>
      <c r="W276" s="172"/>
      <c r="X276" s="172"/>
      <c r="Y276" s="172"/>
      <c r="Z276" s="172"/>
      <c r="AA276" s="172"/>
      <c r="AB276" s="172"/>
      <c r="AC276" s="172"/>
      <c r="AD276" s="172"/>
      <c r="AE276" s="172"/>
      <c r="AF276" s="555"/>
      <c r="AH276" s="104" t="s">
        <v>16</v>
      </c>
      <c r="AI276" s="157" t="str">
        <f>AI225</f>
        <v>N NOMBRE DE LA RECETA | | Autor &gt; USTED</v>
      </c>
      <c r="AJ276" s="157">
        <f>AJ225</f>
        <v>18</v>
      </c>
      <c r="AK276" s="158" t="str">
        <f>AK225</f>
        <v>postres</v>
      </c>
      <c r="AL276" s="159" t="str">
        <f>AL225</f>
        <v>Receta madre ► Introduzca el nombre de la receta principal</v>
      </c>
      <c r="AM276" s="172"/>
      <c r="AN276" s="172"/>
      <c r="AO276" s="172"/>
      <c r="AP276" s="172"/>
      <c r="AQ276" s="172"/>
      <c r="AR276" s="172"/>
      <c r="AS276" s="172"/>
      <c r="AT276" s="172"/>
      <c r="AU276" s="172"/>
      <c r="AV276" s="555"/>
      <c r="AX276" s="678" t="str">
        <f>SUM(AX272:AX274) &amp;"/ "&amp;AX277</f>
        <v>3/ 24</v>
      </c>
      <c r="AY276" s="350" t="s">
        <v>355</v>
      </c>
      <c r="AZ276" s="197"/>
      <c r="BA276" s="197"/>
      <c r="BB276" s="197"/>
      <c r="BC276" s="335"/>
      <c r="BD276" s="676" t="s">
        <v>332</v>
      </c>
      <c r="BF276" s="678" t="str">
        <f>SUM(BF272:BF274) &amp;"/ "&amp;BF277</f>
        <v>3/ 24</v>
      </c>
      <c r="BG276" s="350" t="s">
        <v>796</v>
      </c>
      <c r="BH276" s="197"/>
      <c r="BI276" s="197"/>
      <c r="BJ276" s="197"/>
      <c r="BK276" s="335"/>
      <c r="BL276" s="676" t="s">
        <v>790</v>
      </c>
      <c r="BN276" s="678" t="str">
        <f>SUM(BN272:BN274) &amp;"/ "&amp;BN277</f>
        <v>3/ 24</v>
      </c>
      <c r="BO276" s="350" t="s">
        <v>797</v>
      </c>
      <c r="BP276" s="197"/>
      <c r="BQ276" s="197"/>
      <c r="BR276" s="197"/>
      <c r="BS276" s="335"/>
      <c r="BT276" s="676" t="s">
        <v>792</v>
      </c>
      <c r="BV276" s="3">
        <v>1</v>
      </c>
    </row>
    <row r="277" spans="2:74" ht="21" customHeight="1" thickBot="1">
      <c r="B277" s="104" t="s">
        <v>16</v>
      </c>
      <c r="C277" s="157" t="str">
        <f>C225</f>
        <v>N NOM DE VOTRE RECETTE | | Auteur &gt; VOUS</v>
      </c>
      <c r="D277" s="157">
        <f>D225</f>
        <v>18</v>
      </c>
      <c r="E277" s="158" t="str">
        <f>E225</f>
        <v>desserts</v>
      </c>
      <c r="F277" s="159" t="str">
        <f>F225</f>
        <v>Recette mère ► Saisir le nom de la recette principale</v>
      </c>
      <c r="G277" s="172"/>
      <c r="H277" s="172"/>
      <c r="I277" s="172"/>
      <c r="J277" s="172"/>
      <c r="K277" s="172"/>
      <c r="L277" s="172"/>
      <c r="M277" s="172"/>
      <c r="N277" s="172"/>
      <c r="O277" s="172"/>
      <c r="P277" s="555"/>
      <c r="R277" s="104" t="s">
        <v>16</v>
      </c>
      <c r="S277" s="157" t="str">
        <f>S225</f>
        <v>N NAME OF YOUR RECIPE | |  Author &gt; YOU</v>
      </c>
      <c r="T277" s="157">
        <f>T225</f>
        <v>18</v>
      </c>
      <c r="U277" s="158" t="str">
        <f>U225</f>
        <v>desserts</v>
      </c>
      <c r="V277" s="159" t="str">
        <f>V225</f>
        <v>Master recipe ► Enter the main recipe name</v>
      </c>
      <c r="W277" s="172"/>
      <c r="X277" s="172"/>
      <c r="Y277" s="172"/>
      <c r="Z277" s="172"/>
      <c r="AA277" s="172"/>
      <c r="AB277" s="172"/>
      <c r="AC277" s="172"/>
      <c r="AD277" s="172"/>
      <c r="AE277" s="172"/>
      <c r="AF277" s="555"/>
      <c r="AH277" s="104" t="s">
        <v>16</v>
      </c>
      <c r="AI277" s="157" t="str">
        <f>AI225</f>
        <v>N NOMBRE DE LA RECETA | | Autor &gt; USTED</v>
      </c>
      <c r="AJ277" s="157">
        <f>AJ225</f>
        <v>18</v>
      </c>
      <c r="AK277" s="158" t="str">
        <f>AK225</f>
        <v>postres</v>
      </c>
      <c r="AL277" s="159" t="str">
        <f>AL225</f>
        <v>Receta madre ► Introduzca el nombre de la receta principal</v>
      </c>
      <c r="AM277" s="172"/>
      <c r="AN277" s="172"/>
      <c r="AO277" s="172"/>
      <c r="AP277" s="172"/>
      <c r="AQ277" s="172"/>
      <c r="AR277" s="172"/>
      <c r="AS277" s="172"/>
      <c r="AT277" s="172"/>
      <c r="AU277" s="172"/>
      <c r="AV277" s="555"/>
      <c r="AX277" s="679">
        <v>24</v>
      </c>
      <c r="AY277" s="352" t="s">
        <v>362</v>
      </c>
      <c r="AZ277" s="197"/>
      <c r="BA277" s="197"/>
      <c r="BB277" s="197"/>
      <c r="BC277" s="353"/>
      <c r="BD277" s="680" t="s">
        <v>363</v>
      </c>
      <c r="BF277" s="679">
        <v>24</v>
      </c>
      <c r="BG277" s="352" t="s">
        <v>798</v>
      </c>
      <c r="BH277" s="197"/>
      <c r="BI277" s="197"/>
      <c r="BJ277" s="197"/>
      <c r="BK277" s="353"/>
      <c r="BL277" s="680" t="s">
        <v>363</v>
      </c>
      <c r="BN277" s="679">
        <v>24</v>
      </c>
      <c r="BO277" s="352" t="s">
        <v>799</v>
      </c>
      <c r="BP277" s="197"/>
      <c r="BQ277" s="197"/>
      <c r="BR277" s="197"/>
      <c r="BS277" s="353"/>
      <c r="BT277" s="680" t="s">
        <v>800</v>
      </c>
      <c r="BV277" s="3">
        <v>1</v>
      </c>
    </row>
    <row r="278" spans="2:74" ht="21" customHeight="1" thickTop="1">
      <c r="B278" s="104" t="s">
        <v>16</v>
      </c>
      <c r="C278" s="157" t="str">
        <f>C225</f>
        <v>N NOM DE VOTRE RECETTE | | Auteur &gt; VOUS</v>
      </c>
      <c r="D278" s="157">
        <f>D225</f>
        <v>18</v>
      </c>
      <c r="E278" s="158" t="str">
        <f>E225</f>
        <v>desserts</v>
      </c>
      <c r="F278" s="159" t="str">
        <f>F225</f>
        <v>Recette mère ► Saisir le nom de la recette principale</v>
      </c>
      <c r="G278" s="172"/>
      <c r="H278" s="172"/>
      <c r="I278" s="172"/>
      <c r="J278" s="172"/>
      <c r="K278" s="172"/>
      <c r="L278" s="172"/>
      <c r="M278" s="172"/>
      <c r="N278" s="172"/>
      <c r="O278" s="172"/>
      <c r="P278" s="555"/>
      <c r="R278" s="104" t="s">
        <v>16</v>
      </c>
      <c r="S278" s="157" t="str">
        <f>S225</f>
        <v>N NAME OF YOUR RECIPE | |  Author &gt; YOU</v>
      </c>
      <c r="T278" s="157">
        <f>T225</f>
        <v>18</v>
      </c>
      <c r="U278" s="158" t="str">
        <f>U225</f>
        <v>desserts</v>
      </c>
      <c r="V278" s="159" t="str">
        <f>V225</f>
        <v>Master recipe ► Enter the main recipe name</v>
      </c>
      <c r="W278" s="172"/>
      <c r="X278" s="172"/>
      <c r="Y278" s="172"/>
      <c r="Z278" s="172"/>
      <c r="AA278" s="172"/>
      <c r="AB278" s="172"/>
      <c r="AC278" s="172"/>
      <c r="AD278" s="172"/>
      <c r="AE278" s="172"/>
      <c r="AF278" s="555"/>
      <c r="AH278" s="104" t="s">
        <v>16</v>
      </c>
      <c r="AI278" s="157" t="str">
        <f>AI225</f>
        <v>N NOMBRE DE LA RECETA | | Autor &gt; USTED</v>
      </c>
      <c r="AJ278" s="157">
        <f>AJ225</f>
        <v>18</v>
      </c>
      <c r="AK278" s="158" t="str">
        <f>AK225</f>
        <v>postres</v>
      </c>
      <c r="AL278" s="159" t="str">
        <f>AL225</f>
        <v>Receta madre ► Introduzca el nombre de la receta principal</v>
      </c>
      <c r="AM278" s="172"/>
      <c r="AN278" s="172"/>
      <c r="AO278" s="172"/>
      <c r="AP278" s="172"/>
      <c r="AQ278" s="172"/>
      <c r="AR278" s="172"/>
      <c r="AS278" s="172"/>
      <c r="AT278" s="172"/>
      <c r="AU278" s="172"/>
      <c r="AV278" s="555"/>
      <c r="AX278" s="632" t="s">
        <v>367</v>
      </c>
      <c r="AY278" s="197"/>
      <c r="AZ278" s="197"/>
      <c r="BA278" s="197"/>
      <c r="BB278" s="197"/>
      <c r="BC278" s="335"/>
      <c r="BD278" s="676" t="s">
        <v>368</v>
      </c>
      <c r="BF278" s="632" t="s">
        <v>801</v>
      </c>
      <c r="BG278" s="197"/>
      <c r="BH278" s="197"/>
      <c r="BI278" s="197"/>
      <c r="BJ278" s="197"/>
      <c r="BK278" s="335"/>
      <c r="BL278" s="676" t="s">
        <v>802</v>
      </c>
      <c r="BN278" s="632" t="s">
        <v>803</v>
      </c>
      <c r="BO278" s="197"/>
      <c r="BP278" s="197"/>
      <c r="BQ278" s="197"/>
      <c r="BR278" s="197"/>
      <c r="BS278" s="335"/>
      <c r="BT278" s="676" t="s">
        <v>804</v>
      </c>
      <c r="BV278" s="3">
        <v>1</v>
      </c>
    </row>
    <row r="279" spans="2:74" ht="21" customHeight="1">
      <c r="B279" s="104" t="s">
        <v>16</v>
      </c>
      <c r="C279" s="157" t="str">
        <f>C225</f>
        <v>N NOM DE VOTRE RECETTE | | Auteur &gt; VOUS</v>
      </c>
      <c r="D279" s="157">
        <f>D225</f>
        <v>18</v>
      </c>
      <c r="E279" s="158" t="str">
        <f>E225</f>
        <v>desserts</v>
      </c>
      <c r="F279" s="159" t="str">
        <f>F225</f>
        <v>Recette mère ► Saisir le nom de la recette principale</v>
      </c>
      <c r="G279" s="172"/>
      <c r="H279" s="172"/>
      <c r="I279" s="172"/>
      <c r="J279" s="172"/>
      <c r="K279" s="172"/>
      <c r="L279" s="172"/>
      <c r="M279" s="172"/>
      <c r="N279" s="172"/>
      <c r="O279" s="172"/>
      <c r="P279" s="555"/>
      <c r="R279" s="104" t="s">
        <v>16</v>
      </c>
      <c r="S279" s="157" t="str">
        <f>S225</f>
        <v>N NAME OF YOUR RECIPE | |  Author &gt; YOU</v>
      </c>
      <c r="T279" s="157">
        <f>T225</f>
        <v>18</v>
      </c>
      <c r="U279" s="158" t="str">
        <f>U225</f>
        <v>desserts</v>
      </c>
      <c r="V279" s="159" t="str">
        <f>V225</f>
        <v>Master recipe ► Enter the main recipe name</v>
      </c>
      <c r="W279" s="172"/>
      <c r="X279" s="172"/>
      <c r="Y279" s="172"/>
      <c r="Z279" s="172"/>
      <c r="AA279" s="172"/>
      <c r="AB279" s="172"/>
      <c r="AC279" s="172"/>
      <c r="AD279" s="172"/>
      <c r="AE279" s="172"/>
      <c r="AF279" s="555"/>
      <c r="AH279" s="104" t="s">
        <v>16</v>
      </c>
      <c r="AI279" s="157" t="str">
        <f>AI225</f>
        <v>N NOMBRE DE LA RECETA | | Autor &gt; USTED</v>
      </c>
      <c r="AJ279" s="157">
        <f>AJ225</f>
        <v>18</v>
      </c>
      <c r="AK279" s="158" t="str">
        <f>AK225</f>
        <v>postres</v>
      </c>
      <c r="AL279" s="159" t="str">
        <f>AL225</f>
        <v>Receta madre ► Introduzca el nombre de la receta principal</v>
      </c>
      <c r="AM279" s="172"/>
      <c r="AN279" s="172"/>
      <c r="AO279" s="172"/>
      <c r="AP279" s="172"/>
      <c r="AQ279" s="172"/>
      <c r="AR279" s="172"/>
      <c r="AS279" s="172"/>
      <c r="AT279" s="172"/>
      <c r="AU279" s="172"/>
      <c r="AV279" s="555"/>
      <c r="AX279" s="681"/>
      <c r="AY279" s="682"/>
      <c r="AZ279" s="682"/>
      <c r="BA279" s="683"/>
      <c r="BB279" s="683"/>
      <c r="BC279" s="684"/>
      <c r="BD279" s="685" t="s">
        <v>370</v>
      </c>
      <c r="BF279" s="681"/>
      <c r="BG279" s="682"/>
      <c r="BH279" s="682"/>
      <c r="BI279" s="683"/>
      <c r="BJ279" s="683"/>
      <c r="BK279" s="684"/>
      <c r="BL279" s="685" t="s">
        <v>805</v>
      </c>
      <c r="BN279" s="681"/>
      <c r="BO279" s="682"/>
      <c r="BP279" s="682"/>
      <c r="BQ279" s="683"/>
      <c r="BR279" s="683"/>
      <c r="BS279" s="684"/>
      <c r="BT279" s="685" t="s">
        <v>806</v>
      </c>
      <c r="BV279" s="3">
        <v>1</v>
      </c>
    </row>
    <row r="280" spans="2:74" ht="21" customHeight="1" thickBot="1">
      <c r="B280" s="104" t="s">
        <v>16</v>
      </c>
      <c r="C280" s="157" t="str">
        <f>C225</f>
        <v>N NOM DE VOTRE RECETTE | | Auteur &gt; VOUS</v>
      </c>
      <c r="D280" s="157">
        <f>D225</f>
        <v>18</v>
      </c>
      <c r="E280" s="158" t="str">
        <f>E225</f>
        <v>desserts</v>
      </c>
      <c r="F280" s="159" t="str">
        <f>F225</f>
        <v>Recette mère ► Saisir le nom de la recette principale</v>
      </c>
      <c r="G280" s="172"/>
      <c r="H280" s="172"/>
      <c r="I280" s="172"/>
      <c r="J280" s="172"/>
      <c r="K280" s="172"/>
      <c r="L280" s="172"/>
      <c r="M280" s="172"/>
      <c r="N280" s="172"/>
      <c r="O280" s="172"/>
      <c r="P280" s="555"/>
      <c r="R280" s="104" t="s">
        <v>16</v>
      </c>
      <c r="S280" s="157" t="str">
        <f>S225</f>
        <v>N NAME OF YOUR RECIPE | |  Author &gt; YOU</v>
      </c>
      <c r="T280" s="157">
        <f>T225</f>
        <v>18</v>
      </c>
      <c r="U280" s="158" t="str">
        <f>U225</f>
        <v>desserts</v>
      </c>
      <c r="V280" s="159" t="str">
        <f>V225</f>
        <v>Master recipe ► Enter the main recipe name</v>
      </c>
      <c r="W280" s="172"/>
      <c r="X280" s="172"/>
      <c r="Y280" s="172"/>
      <c r="Z280" s="172"/>
      <c r="AA280" s="172"/>
      <c r="AB280" s="172"/>
      <c r="AC280" s="172"/>
      <c r="AD280" s="172"/>
      <c r="AE280" s="172"/>
      <c r="AF280" s="555"/>
      <c r="AH280" s="104" t="s">
        <v>16</v>
      </c>
      <c r="AI280" s="157" t="str">
        <f>AI225</f>
        <v>N NOMBRE DE LA RECETA | | Autor &gt; USTED</v>
      </c>
      <c r="AJ280" s="157">
        <f>AJ225</f>
        <v>18</v>
      </c>
      <c r="AK280" s="158" t="str">
        <f>AK225</f>
        <v>postres</v>
      </c>
      <c r="AL280" s="159" t="str">
        <f>AL225</f>
        <v>Receta madre ► Introduzca el nombre de la receta principal</v>
      </c>
      <c r="AM280" s="172"/>
      <c r="AN280" s="172"/>
      <c r="AO280" s="172"/>
      <c r="AP280" s="172"/>
      <c r="AQ280" s="172"/>
      <c r="AR280" s="172"/>
      <c r="AS280" s="172"/>
      <c r="AT280" s="172"/>
      <c r="AU280" s="172"/>
      <c r="AV280" s="555"/>
      <c r="AX280" s="668" t="s">
        <v>263</v>
      </c>
      <c r="AY280" s="269"/>
      <c r="AZ280" s="270"/>
      <c r="BA280" s="271"/>
      <c r="BB280" s="270"/>
      <c r="BC280" s="270"/>
      <c r="BD280" s="669"/>
      <c r="BF280" s="668" t="s">
        <v>263</v>
      </c>
      <c r="BG280" s="269"/>
      <c r="BH280" s="270"/>
      <c r="BI280" s="271"/>
      <c r="BJ280" s="270"/>
      <c r="BK280" s="270"/>
      <c r="BL280" s="669"/>
      <c r="BN280" s="668" t="s">
        <v>263</v>
      </c>
      <c r="BO280" s="269"/>
      <c r="BP280" s="270"/>
      <c r="BQ280" s="271"/>
      <c r="BR280" s="270"/>
      <c r="BS280" s="270"/>
      <c r="BT280" s="669"/>
      <c r="BV280" s="3">
        <v>1</v>
      </c>
    </row>
    <row r="281" spans="2:74" ht="21" customHeight="1">
      <c r="B281" s="104" t="s">
        <v>16</v>
      </c>
      <c r="C281" s="157" t="str">
        <f>C225</f>
        <v>N NOM DE VOTRE RECETTE | | Auteur &gt; VOUS</v>
      </c>
      <c r="D281" s="157">
        <f>D225</f>
        <v>18</v>
      </c>
      <c r="E281" s="158" t="str">
        <f>E225</f>
        <v>desserts</v>
      </c>
      <c r="F281" s="159" t="str">
        <f>F225</f>
        <v>Recette mère ► Saisir le nom de la recette principale</v>
      </c>
      <c r="G281" s="172"/>
      <c r="H281" s="172"/>
      <c r="I281" s="172"/>
      <c r="J281" s="172"/>
      <c r="K281" s="172"/>
      <c r="L281" s="172"/>
      <c r="M281" s="172"/>
      <c r="N281" s="172"/>
      <c r="O281" s="172"/>
      <c r="P281" s="555"/>
      <c r="R281" s="104" t="s">
        <v>16</v>
      </c>
      <c r="S281" s="157" t="str">
        <f>S225</f>
        <v>N NAME OF YOUR RECIPE | |  Author &gt; YOU</v>
      </c>
      <c r="T281" s="157">
        <f>T225</f>
        <v>18</v>
      </c>
      <c r="U281" s="158" t="str">
        <f>U225</f>
        <v>desserts</v>
      </c>
      <c r="V281" s="159" t="str">
        <f>V225</f>
        <v>Master recipe ► Enter the main recipe name</v>
      </c>
      <c r="W281" s="172"/>
      <c r="X281" s="172"/>
      <c r="Y281" s="172"/>
      <c r="Z281" s="172"/>
      <c r="AA281" s="172"/>
      <c r="AB281" s="172"/>
      <c r="AC281" s="172"/>
      <c r="AD281" s="172"/>
      <c r="AE281" s="172"/>
      <c r="AF281" s="555"/>
      <c r="AH281" s="104" t="s">
        <v>16</v>
      </c>
      <c r="AI281" s="157" t="str">
        <f>AI225</f>
        <v>N NOMBRE DE LA RECETA | | Autor &gt; USTED</v>
      </c>
      <c r="AJ281" s="157">
        <f>AJ225</f>
        <v>18</v>
      </c>
      <c r="AK281" s="158" t="str">
        <f>AK225</f>
        <v>postres</v>
      </c>
      <c r="AL281" s="159" t="str">
        <f>AL225</f>
        <v>Receta madre ► Introduzca el nombre de la receta principal</v>
      </c>
      <c r="AM281" s="172"/>
      <c r="AN281" s="172"/>
      <c r="AO281" s="172"/>
      <c r="AP281" s="172"/>
      <c r="AQ281" s="172"/>
      <c r="AR281" s="172"/>
      <c r="AS281" s="172"/>
      <c r="AT281" s="172"/>
      <c r="AU281" s="172"/>
      <c r="AV281" s="555"/>
      <c r="AX281" s="494"/>
      <c r="BD281" s="670"/>
      <c r="BF281" s="494"/>
      <c r="BL281" s="670"/>
      <c r="BN281" s="494"/>
      <c r="BT281" s="670"/>
      <c r="BV281" s="3">
        <v>1</v>
      </c>
    </row>
    <row r="282" spans="2:74" ht="21" customHeight="1">
      <c r="B282" s="104" t="s">
        <v>16</v>
      </c>
      <c r="C282" s="157" t="str">
        <f>C225</f>
        <v>N NOM DE VOTRE RECETTE | | Auteur &gt; VOUS</v>
      </c>
      <c r="D282" s="157">
        <f>D225</f>
        <v>18</v>
      </c>
      <c r="E282" s="158" t="str">
        <f>E225</f>
        <v>desserts</v>
      </c>
      <c r="F282" s="159" t="str">
        <f>F225</f>
        <v>Recette mère ► Saisir le nom de la recette principale</v>
      </c>
      <c r="G282" s="172"/>
      <c r="H282" s="172"/>
      <c r="I282" s="172"/>
      <c r="J282" s="172"/>
      <c r="K282" s="172"/>
      <c r="L282" s="172"/>
      <c r="M282" s="172"/>
      <c r="N282" s="172"/>
      <c r="O282" s="172"/>
      <c r="P282" s="555"/>
      <c r="R282" s="104" t="s">
        <v>16</v>
      </c>
      <c r="S282" s="157" t="str">
        <f>S225</f>
        <v>N NAME OF YOUR RECIPE | |  Author &gt; YOU</v>
      </c>
      <c r="T282" s="157">
        <f>T225</f>
        <v>18</v>
      </c>
      <c r="U282" s="158" t="str">
        <f>U225</f>
        <v>desserts</v>
      </c>
      <c r="V282" s="159" t="str">
        <f>V225</f>
        <v>Master recipe ► Enter the main recipe name</v>
      </c>
      <c r="W282" s="172"/>
      <c r="X282" s="172"/>
      <c r="Y282" s="172"/>
      <c r="Z282" s="172"/>
      <c r="AA282" s="172"/>
      <c r="AB282" s="172"/>
      <c r="AC282" s="172"/>
      <c r="AD282" s="172"/>
      <c r="AE282" s="172"/>
      <c r="AF282" s="555"/>
      <c r="AH282" s="104" t="s">
        <v>16</v>
      </c>
      <c r="AI282" s="157" t="str">
        <f>AI225</f>
        <v>N NOMBRE DE LA RECETA | | Autor &gt; USTED</v>
      </c>
      <c r="AJ282" s="157">
        <f>AJ225</f>
        <v>18</v>
      </c>
      <c r="AK282" s="158" t="str">
        <f>AK225</f>
        <v>postres</v>
      </c>
      <c r="AL282" s="159" t="str">
        <f>AL225</f>
        <v>Receta madre ► Introduzca el nombre de la receta principal</v>
      </c>
      <c r="AM282" s="172"/>
      <c r="AN282" s="172"/>
      <c r="AO282" s="172"/>
      <c r="AP282" s="172"/>
      <c r="AQ282" s="172"/>
      <c r="AR282" s="172"/>
      <c r="AS282" s="172"/>
      <c r="AT282" s="172"/>
      <c r="AU282" s="172"/>
      <c r="AV282" s="555"/>
      <c r="AX282" s="550" t="s">
        <v>167</v>
      </c>
      <c r="AY282" s="376"/>
      <c r="AZ282" s="376"/>
      <c r="BA282" s="376"/>
      <c r="BB282" s="376"/>
      <c r="BC282" s="376"/>
      <c r="BD282" s="686" t="s">
        <v>320</v>
      </c>
      <c r="BF282" s="650" t="s">
        <v>752</v>
      </c>
      <c r="BG282" s="376"/>
      <c r="BH282" s="376"/>
      <c r="BI282" s="376"/>
      <c r="BJ282" s="376"/>
      <c r="BK282" s="376"/>
      <c r="BL282" s="686" t="s">
        <v>780</v>
      </c>
      <c r="BN282" s="650" t="s">
        <v>754</v>
      </c>
      <c r="BO282" s="376"/>
      <c r="BP282" s="376"/>
      <c r="BQ282" s="376"/>
      <c r="BR282" s="376"/>
      <c r="BS282" s="376"/>
      <c r="BT282" s="686" t="s">
        <v>781</v>
      </c>
      <c r="BV282" s="3">
        <v>1</v>
      </c>
    </row>
    <row r="283" spans="2:74" ht="21" customHeight="1">
      <c r="B283" s="104" t="s">
        <v>16</v>
      </c>
      <c r="C283" s="157" t="str">
        <f>C225</f>
        <v>N NOM DE VOTRE RECETTE | | Auteur &gt; VOUS</v>
      </c>
      <c r="D283" s="157">
        <f>D225</f>
        <v>18</v>
      </c>
      <c r="E283" s="158" t="str">
        <f>E225</f>
        <v>desserts</v>
      </c>
      <c r="F283" s="159" t="str">
        <f>F225</f>
        <v>Recette mère ► Saisir le nom de la recette principale</v>
      </c>
      <c r="G283" s="172"/>
      <c r="H283" s="172"/>
      <c r="I283" s="172"/>
      <c r="J283" s="172"/>
      <c r="K283" s="172"/>
      <c r="L283" s="172"/>
      <c r="M283" s="172"/>
      <c r="N283" s="172"/>
      <c r="O283" s="172"/>
      <c r="P283" s="555"/>
      <c r="R283" s="104" t="s">
        <v>16</v>
      </c>
      <c r="S283" s="157" t="str">
        <f>S225</f>
        <v>N NAME OF YOUR RECIPE | |  Author &gt; YOU</v>
      </c>
      <c r="T283" s="157">
        <f>T225</f>
        <v>18</v>
      </c>
      <c r="U283" s="158" t="str">
        <f>U225</f>
        <v>desserts</v>
      </c>
      <c r="V283" s="159" t="str">
        <f>V225</f>
        <v>Master recipe ► Enter the main recipe name</v>
      </c>
      <c r="W283" s="172"/>
      <c r="X283" s="172"/>
      <c r="Y283" s="172"/>
      <c r="Z283" s="172"/>
      <c r="AA283" s="172"/>
      <c r="AB283" s="172"/>
      <c r="AC283" s="172"/>
      <c r="AD283" s="172"/>
      <c r="AE283" s="172"/>
      <c r="AF283" s="555"/>
      <c r="AH283" s="104" t="s">
        <v>16</v>
      </c>
      <c r="AI283" s="157" t="str">
        <f>AI225</f>
        <v>N NOMBRE DE LA RECETA | | Autor &gt; USTED</v>
      </c>
      <c r="AJ283" s="157">
        <f>AJ225</f>
        <v>18</v>
      </c>
      <c r="AK283" s="158" t="str">
        <f>AK225</f>
        <v>postres</v>
      </c>
      <c r="AL283" s="159" t="str">
        <f>AL225</f>
        <v>Receta madre ► Introduzca el nombre de la receta principal</v>
      </c>
      <c r="AM283" s="172"/>
      <c r="AN283" s="172"/>
      <c r="AO283" s="172"/>
      <c r="AP283" s="172"/>
      <c r="AQ283" s="172"/>
      <c r="AR283" s="172"/>
      <c r="AS283" s="172"/>
      <c r="AT283" s="172"/>
      <c r="AU283" s="172"/>
      <c r="AV283" s="555"/>
      <c r="AX283" s="687"/>
      <c r="AY283" s="378"/>
      <c r="AZ283" s="378"/>
      <c r="BA283" s="378"/>
      <c r="BB283" s="378"/>
      <c r="BC283" s="378"/>
      <c r="BD283" s="688" t="s">
        <v>385</v>
      </c>
      <c r="BF283" s="687"/>
      <c r="BG283" s="378"/>
      <c r="BH283" s="378"/>
      <c r="BI283" s="378"/>
      <c r="BJ283" s="378"/>
      <c r="BK283" s="378"/>
      <c r="BL283" s="688" t="s">
        <v>807</v>
      </c>
      <c r="BN283" s="687"/>
      <c r="BO283" s="378"/>
      <c r="BP283" s="378"/>
      <c r="BQ283" s="378"/>
      <c r="BR283" s="378"/>
      <c r="BS283" s="378"/>
      <c r="BT283" s="688" t="s">
        <v>808</v>
      </c>
      <c r="BV283" s="3">
        <v>1</v>
      </c>
    </row>
    <row r="284" spans="2:74" ht="21" customHeight="1">
      <c r="B284" s="104" t="s">
        <v>16</v>
      </c>
      <c r="C284" s="157" t="str">
        <f>C225</f>
        <v>N NOM DE VOTRE RECETTE | | Auteur &gt; VOUS</v>
      </c>
      <c r="D284" s="157">
        <f>D225</f>
        <v>18</v>
      </c>
      <c r="E284" s="158" t="str">
        <f>E225</f>
        <v>desserts</v>
      </c>
      <c r="F284" s="159" t="str">
        <f>F225</f>
        <v>Recette mère ► Saisir le nom de la recette principale</v>
      </c>
      <c r="G284" s="172"/>
      <c r="H284" s="172"/>
      <c r="I284" s="172"/>
      <c r="J284" s="172"/>
      <c r="K284" s="172"/>
      <c r="L284" s="172"/>
      <c r="M284" s="172"/>
      <c r="N284" s="172"/>
      <c r="O284" s="172"/>
      <c r="P284" s="555"/>
      <c r="R284" s="104" t="s">
        <v>16</v>
      </c>
      <c r="S284" s="157" t="str">
        <f>S225</f>
        <v>N NAME OF YOUR RECIPE | |  Author &gt; YOU</v>
      </c>
      <c r="T284" s="157">
        <f>T225</f>
        <v>18</v>
      </c>
      <c r="U284" s="158" t="str">
        <f>U225</f>
        <v>desserts</v>
      </c>
      <c r="V284" s="159" t="str">
        <f>V225</f>
        <v>Master recipe ► Enter the main recipe name</v>
      </c>
      <c r="W284" s="172"/>
      <c r="X284" s="172"/>
      <c r="Y284" s="172"/>
      <c r="Z284" s="172"/>
      <c r="AA284" s="172"/>
      <c r="AB284" s="172"/>
      <c r="AC284" s="172"/>
      <c r="AD284" s="172"/>
      <c r="AE284" s="172"/>
      <c r="AF284" s="555"/>
      <c r="AH284" s="104" t="s">
        <v>16</v>
      </c>
      <c r="AI284" s="157" t="str">
        <f>AI225</f>
        <v>N NOMBRE DE LA RECETA | | Autor &gt; USTED</v>
      </c>
      <c r="AJ284" s="157">
        <f>AJ225</f>
        <v>18</v>
      </c>
      <c r="AK284" s="158" t="str">
        <f>AK225</f>
        <v>postres</v>
      </c>
      <c r="AL284" s="159" t="str">
        <f>AL225</f>
        <v>Receta madre ► Introduzca el nombre de la receta principal</v>
      </c>
      <c r="AM284" s="172"/>
      <c r="AN284" s="172"/>
      <c r="AO284" s="172"/>
      <c r="AP284" s="172"/>
      <c r="AQ284" s="172"/>
      <c r="AR284" s="172"/>
      <c r="AS284" s="172"/>
      <c r="AT284" s="172"/>
      <c r="AU284" s="172"/>
      <c r="AV284" s="555"/>
      <c r="AX284" s="689" t="s">
        <v>389</v>
      </c>
      <c r="AY284" s="383" t="s">
        <v>390</v>
      </c>
      <c r="AZ284" s="241"/>
      <c r="BA284" s="384" t="s">
        <v>391</v>
      </c>
      <c r="BB284" s="385" t="s">
        <v>392</v>
      </c>
      <c r="BC284" s="197"/>
      <c r="BD284" s="662"/>
      <c r="BF284" s="689" t="s">
        <v>809</v>
      </c>
      <c r="BG284" s="383" t="s">
        <v>810</v>
      </c>
      <c r="BH284" s="241"/>
      <c r="BI284" s="384" t="s">
        <v>811</v>
      </c>
      <c r="BJ284" s="385" t="s">
        <v>392</v>
      </c>
      <c r="BK284" s="197"/>
      <c r="BL284" s="662"/>
      <c r="BN284" s="689" t="s">
        <v>812</v>
      </c>
      <c r="BO284" s="383" t="s">
        <v>813</v>
      </c>
      <c r="BP284" s="241"/>
      <c r="BQ284" s="384" t="s">
        <v>814</v>
      </c>
      <c r="BR284" s="385" t="s">
        <v>815</v>
      </c>
      <c r="BS284" s="197"/>
      <c r="BT284" s="662"/>
      <c r="BV284" s="3">
        <v>1</v>
      </c>
    </row>
    <row r="285" spans="2:74" ht="21" customHeight="1">
      <c r="B285" s="104" t="s">
        <v>16</v>
      </c>
      <c r="C285" s="157" t="str">
        <f>C225</f>
        <v>N NOM DE VOTRE RECETTE | | Auteur &gt; VOUS</v>
      </c>
      <c r="D285" s="157">
        <f>D225</f>
        <v>18</v>
      </c>
      <c r="E285" s="158" t="str">
        <f>E225</f>
        <v>desserts</v>
      </c>
      <c r="F285" s="159" t="str">
        <f>F225</f>
        <v>Recette mère ► Saisir le nom de la recette principale</v>
      </c>
      <c r="G285" s="160" t="s">
        <v>167</v>
      </c>
      <c r="H285" s="1536"/>
      <c r="I285" s="1536"/>
      <c r="J285" s="1536"/>
      <c r="K285" s="1536"/>
      <c r="L285" s="1536"/>
      <c r="M285" s="1536"/>
      <c r="N285" s="1536"/>
      <c r="O285" s="1536"/>
      <c r="P285" s="1537"/>
      <c r="R285" s="104" t="s">
        <v>16</v>
      </c>
      <c r="S285" s="157" t="str">
        <f>S225</f>
        <v>N NAME OF YOUR RECIPE | |  Author &gt; YOU</v>
      </c>
      <c r="T285" s="157">
        <f>T225</f>
        <v>18</v>
      </c>
      <c r="U285" s="158" t="str">
        <f>U225</f>
        <v>desserts</v>
      </c>
      <c r="V285" s="159" t="str">
        <f>V225</f>
        <v>Master recipe ► Enter the main recipe name</v>
      </c>
      <c r="W285" s="160" t="s">
        <v>167</v>
      </c>
      <c r="X285" s="1536"/>
      <c r="Y285" s="1536"/>
      <c r="Z285" s="1536"/>
      <c r="AA285" s="1536"/>
      <c r="AB285" s="1536"/>
      <c r="AC285" s="1536"/>
      <c r="AD285" s="1536"/>
      <c r="AE285" s="1536"/>
      <c r="AF285" s="1537"/>
      <c r="AH285" s="104" t="s">
        <v>16</v>
      </c>
      <c r="AI285" s="157" t="str">
        <f>AI225</f>
        <v>N NOMBRE DE LA RECETA | | Autor &gt; USTED</v>
      </c>
      <c r="AJ285" s="157">
        <f>AJ225</f>
        <v>18</v>
      </c>
      <c r="AK285" s="158" t="str">
        <f>AK225</f>
        <v>postres</v>
      </c>
      <c r="AL285" s="159" t="str">
        <f>AL225</f>
        <v>Receta madre ► Introduzca el nombre de la receta principal</v>
      </c>
      <c r="AM285" s="232" t="s">
        <v>754</v>
      </c>
      <c r="AN285" s="1536"/>
      <c r="AO285" s="1536"/>
      <c r="AP285" s="1536"/>
      <c r="AQ285" s="1536"/>
      <c r="AR285" s="1536"/>
      <c r="AS285" s="1536"/>
      <c r="AT285" s="1536"/>
      <c r="AU285" s="1536"/>
      <c r="AV285" s="1537"/>
      <c r="AX285" s="690"/>
      <c r="AY285" s="387"/>
      <c r="AZ285" s="197"/>
      <c r="BA285" s="388"/>
      <c r="BB285" s="389"/>
      <c r="BC285" s="390" t="s">
        <v>327</v>
      </c>
      <c r="BD285" s="662"/>
      <c r="BF285" s="690"/>
      <c r="BG285" s="387"/>
      <c r="BH285" s="197"/>
      <c r="BI285" s="388"/>
      <c r="BJ285" s="389"/>
      <c r="BK285" s="390" t="s">
        <v>782</v>
      </c>
      <c r="BL285" s="662"/>
      <c r="BN285" s="691"/>
      <c r="BO285" s="692"/>
      <c r="BP285" s="197"/>
      <c r="BQ285" s="693"/>
      <c r="BR285" s="694"/>
      <c r="BS285" s="390" t="s">
        <v>784</v>
      </c>
      <c r="BT285" s="662"/>
      <c r="BV285" s="3">
        <v>1</v>
      </c>
    </row>
    <row r="286" spans="2:74" ht="21" customHeight="1">
      <c r="B286" s="104" t="s">
        <v>16</v>
      </c>
      <c r="C286" s="157" t="str">
        <f>C225</f>
        <v>N NOM DE VOTRE RECETTE | | Auteur &gt; VOUS</v>
      </c>
      <c r="D286" s="157">
        <f>D225</f>
        <v>18</v>
      </c>
      <c r="E286" s="158" t="str">
        <f>E225</f>
        <v>desserts</v>
      </c>
      <c r="F286" s="159" t="str">
        <f>F225</f>
        <v>Recette mère ► Saisir le nom de la recette principale</v>
      </c>
      <c r="G286" s="172"/>
      <c r="H286" s="172"/>
      <c r="I286" s="172"/>
      <c r="J286" s="172"/>
      <c r="K286" s="172"/>
      <c r="L286" s="172"/>
      <c r="M286" s="172"/>
      <c r="N286" s="172"/>
      <c r="O286" s="172"/>
      <c r="P286" s="555"/>
      <c r="R286" s="104" t="s">
        <v>16</v>
      </c>
      <c r="S286" s="157" t="str">
        <f>S225</f>
        <v>N NAME OF YOUR RECIPE | |  Author &gt; YOU</v>
      </c>
      <c r="T286" s="157">
        <f>T225</f>
        <v>18</v>
      </c>
      <c r="U286" s="158" t="str">
        <f>U225</f>
        <v>desserts</v>
      </c>
      <c r="V286" s="159" t="str">
        <f>V225</f>
        <v>Master recipe ► Enter the main recipe name</v>
      </c>
      <c r="W286" s="172"/>
      <c r="X286" s="172"/>
      <c r="Y286" s="172"/>
      <c r="Z286" s="172"/>
      <c r="AA286" s="172"/>
      <c r="AB286" s="172"/>
      <c r="AC286" s="172"/>
      <c r="AD286" s="172"/>
      <c r="AE286" s="172"/>
      <c r="AF286" s="555"/>
      <c r="AH286" s="104" t="s">
        <v>16</v>
      </c>
      <c r="AI286" s="157" t="str">
        <f>AI225</f>
        <v>N NOMBRE DE LA RECETA | | Autor &gt; USTED</v>
      </c>
      <c r="AJ286" s="157">
        <f>AJ225</f>
        <v>18</v>
      </c>
      <c r="AK286" s="158" t="str">
        <f>AK225</f>
        <v>postres</v>
      </c>
      <c r="AL286" s="159" t="str">
        <f>AL225</f>
        <v>Receta madre ► Introduzca el nombre de la receta principal</v>
      </c>
      <c r="AM286" s="172"/>
      <c r="AN286" s="172"/>
      <c r="AO286" s="172"/>
      <c r="AP286" s="172"/>
      <c r="AQ286" s="172"/>
      <c r="AR286" s="172"/>
      <c r="AS286" s="172"/>
      <c r="AT286" s="172"/>
      <c r="AU286" s="172"/>
      <c r="AV286" s="555"/>
      <c r="AX286" s="690">
        <v>3</v>
      </c>
      <c r="AY286" s="387"/>
      <c r="AZ286" s="197"/>
      <c r="BA286" s="388"/>
      <c r="BB286" s="389"/>
      <c r="BC286" s="390" t="s">
        <v>329</v>
      </c>
      <c r="BD286" s="662"/>
      <c r="BF286" s="690">
        <v>3</v>
      </c>
      <c r="BG286" s="387"/>
      <c r="BH286" s="197"/>
      <c r="BI286" s="388"/>
      <c r="BJ286" s="389"/>
      <c r="BK286" s="390" t="s">
        <v>785</v>
      </c>
      <c r="BL286" s="662"/>
      <c r="BN286" s="691">
        <v>3</v>
      </c>
      <c r="BO286" s="692"/>
      <c r="BP286" s="197"/>
      <c r="BQ286" s="693"/>
      <c r="BR286" s="694"/>
      <c r="BS286" s="390" t="s">
        <v>787</v>
      </c>
      <c r="BT286" s="662"/>
      <c r="BV286" s="3">
        <v>1</v>
      </c>
    </row>
    <row r="287" spans="2:74" ht="21" customHeight="1">
      <c r="B287" s="104" t="s">
        <v>16</v>
      </c>
      <c r="C287" s="157" t="str">
        <f>C225</f>
        <v>N NOM DE VOTRE RECETTE | | Auteur &gt; VOUS</v>
      </c>
      <c r="D287" s="157">
        <f>D225</f>
        <v>18</v>
      </c>
      <c r="E287" s="158" t="str">
        <f>E225</f>
        <v>desserts</v>
      </c>
      <c r="F287" s="159" t="str">
        <f>F225</f>
        <v>Recette mère ► Saisir le nom de la recette principale</v>
      </c>
      <c r="G287" s="172"/>
      <c r="H287" s="172"/>
      <c r="I287" s="172"/>
      <c r="J287" s="172"/>
      <c r="K287" s="172"/>
      <c r="L287" s="172"/>
      <c r="M287" s="172"/>
      <c r="N287" s="172"/>
      <c r="O287" s="172"/>
      <c r="P287" s="555"/>
      <c r="R287" s="104" t="s">
        <v>16</v>
      </c>
      <c r="S287" s="157" t="str">
        <f>S225</f>
        <v>N NAME OF YOUR RECIPE | |  Author &gt; YOU</v>
      </c>
      <c r="T287" s="157">
        <f>T225</f>
        <v>18</v>
      </c>
      <c r="U287" s="158" t="str">
        <f>U225</f>
        <v>desserts</v>
      </c>
      <c r="V287" s="159" t="str">
        <f>V225</f>
        <v>Master recipe ► Enter the main recipe name</v>
      </c>
      <c r="W287" s="172"/>
      <c r="X287" s="172"/>
      <c r="Y287" s="172"/>
      <c r="Z287" s="172"/>
      <c r="AA287" s="172"/>
      <c r="AB287" s="172"/>
      <c r="AC287" s="172"/>
      <c r="AD287" s="172"/>
      <c r="AE287" s="172"/>
      <c r="AF287" s="555"/>
      <c r="AH287" s="104" t="s">
        <v>16</v>
      </c>
      <c r="AI287" s="157" t="str">
        <f>AI225</f>
        <v>N NOMBRE DE LA RECETA | | Autor &gt; USTED</v>
      </c>
      <c r="AJ287" s="157">
        <f>AJ225</f>
        <v>18</v>
      </c>
      <c r="AK287" s="158" t="str">
        <f>AK225</f>
        <v>postres</v>
      </c>
      <c r="AL287" s="159" t="str">
        <f>AL225</f>
        <v>Receta madre ► Introduzca el nombre de la receta principal</v>
      </c>
      <c r="AM287" s="172"/>
      <c r="AN287" s="172"/>
      <c r="AO287" s="172"/>
      <c r="AP287" s="172"/>
      <c r="AQ287" s="172"/>
      <c r="AR287" s="172"/>
      <c r="AS287" s="172"/>
      <c r="AT287" s="172"/>
      <c r="AU287" s="172"/>
      <c r="AV287" s="555"/>
      <c r="AX287" s="695" t="str">
        <f>SUM(AX285:AX286) &amp; " / " &amp; (COUNTA(AX285:AX286) * 3)</f>
        <v>3 / 3</v>
      </c>
      <c r="AY287" s="398" t="str">
        <f>SUM(AY285:AY286) &amp; " / " &amp; (COUNTA(AY285:AY286) * 3)</f>
        <v>0 / 0</v>
      </c>
      <c r="AZ287" s="197"/>
      <c r="BA287" s="397" t="str">
        <f>SUM(BA285:BA286) &amp; " / " &amp; (COUNTA(BA285:BA286) * 3)</f>
        <v>0 / 0</v>
      </c>
      <c r="BB287" s="398" t="str">
        <f>SUM(BB285:BB286) &amp; " / " &amp; (COUNTA(BB285:BB286) * 3)</f>
        <v>0 / 0</v>
      </c>
      <c r="BC287" s="197" t="s">
        <v>352</v>
      </c>
      <c r="BD287" s="662"/>
      <c r="BF287" s="695" t="str">
        <f>SUM(BF285:BF286) &amp; " / " &amp; (COUNTA(BF285:BF286) * 3)</f>
        <v>3 / 3</v>
      </c>
      <c r="BG287" s="398" t="str">
        <f>SUM(BG285:BG286) &amp; " / " &amp; (COUNTA(BG285:BG286) * 3)</f>
        <v>0 / 0</v>
      </c>
      <c r="BH287" s="197"/>
      <c r="BI287" s="397" t="str">
        <f>SUM(BI285:BI286) &amp; " / " &amp; (COUNTA(BI285:BI286) * 3)</f>
        <v>0 / 0</v>
      </c>
      <c r="BJ287" s="398" t="str">
        <f>SUM(BJ285:BJ286) &amp; " / " &amp; (COUNTA(BJ285:BJ286) * 3)</f>
        <v>0 / 0</v>
      </c>
      <c r="BK287" s="197" t="s">
        <v>793</v>
      </c>
      <c r="BL287" s="662"/>
      <c r="BN287" s="695" t="str">
        <f>SUM(BN285:BN286) &amp; " / " &amp; (COUNTA(BN285:BN286) * 3)</f>
        <v>3 / 3</v>
      </c>
      <c r="BO287" s="398" t="str">
        <f>SUM(BO285:BO286) &amp; " / " &amp; (COUNTA(BO285:BO286) * 3)</f>
        <v>0 / 0</v>
      </c>
      <c r="BP287" s="197"/>
      <c r="BQ287" s="397" t="str">
        <f>SUM(BQ285:BQ286) &amp; " / " &amp; (COUNTA(BQ285:BQ286) * 3)</f>
        <v>0 / 0</v>
      </c>
      <c r="BR287" s="398" t="str">
        <f>SUM(BR285:BR286) &amp; " / " &amp; (COUNTA(BR285:BR286) * 3)</f>
        <v>0 / 0</v>
      </c>
      <c r="BS287" s="197" t="s">
        <v>795</v>
      </c>
      <c r="BT287" s="662"/>
      <c r="BV287" s="3">
        <v>1</v>
      </c>
    </row>
    <row r="288" spans="2:74" ht="21" customHeight="1">
      <c r="B288" s="104" t="s">
        <v>16</v>
      </c>
      <c r="C288" s="157" t="str">
        <f>C225</f>
        <v>N NOM DE VOTRE RECETTE | | Auteur &gt; VOUS</v>
      </c>
      <c r="D288" s="157">
        <f>D225</f>
        <v>18</v>
      </c>
      <c r="E288" s="158" t="str">
        <f>E225</f>
        <v>desserts</v>
      </c>
      <c r="F288" s="159" t="str">
        <f>F225</f>
        <v>Recette mère ► Saisir le nom de la recette principale</v>
      </c>
      <c r="G288" s="172"/>
      <c r="H288" s="172"/>
      <c r="I288" s="172"/>
      <c r="J288" s="172"/>
      <c r="K288" s="172"/>
      <c r="L288" s="172"/>
      <c r="M288" s="172"/>
      <c r="N288" s="172"/>
      <c r="O288" s="172"/>
      <c r="P288" s="555"/>
      <c r="R288" s="104" t="s">
        <v>16</v>
      </c>
      <c r="S288" s="157" t="str">
        <f>S225</f>
        <v>N NAME OF YOUR RECIPE | |  Author &gt; YOU</v>
      </c>
      <c r="T288" s="157">
        <f>T225</f>
        <v>18</v>
      </c>
      <c r="U288" s="158" t="str">
        <f>U225</f>
        <v>desserts</v>
      </c>
      <c r="V288" s="159" t="str">
        <f>V225</f>
        <v>Master recipe ► Enter the main recipe name</v>
      </c>
      <c r="W288" s="172"/>
      <c r="X288" s="172"/>
      <c r="Y288" s="172"/>
      <c r="Z288" s="172"/>
      <c r="AA288" s="172"/>
      <c r="AB288" s="172"/>
      <c r="AC288" s="172"/>
      <c r="AD288" s="172"/>
      <c r="AE288" s="172"/>
      <c r="AF288" s="555"/>
      <c r="AH288" s="104" t="s">
        <v>16</v>
      </c>
      <c r="AI288" s="157" t="str">
        <f>AI225</f>
        <v>N NOMBRE DE LA RECETA | | Autor &gt; USTED</v>
      </c>
      <c r="AJ288" s="157">
        <f>AJ225</f>
        <v>18</v>
      </c>
      <c r="AK288" s="158" t="str">
        <f>AK225</f>
        <v>postres</v>
      </c>
      <c r="AL288" s="159" t="str">
        <f>AL225</f>
        <v>Receta madre ► Introduzca el nombre de la receta principal</v>
      </c>
      <c r="AM288" s="172"/>
      <c r="AN288" s="172"/>
      <c r="AO288" s="172"/>
      <c r="AP288" s="172"/>
      <c r="AQ288" s="172"/>
      <c r="AR288" s="172"/>
      <c r="AS288" s="172"/>
      <c r="AT288" s="172"/>
      <c r="AU288" s="172"/>
      <c r="AV288" s="555"/>
      <c r="AX288" s="696" t="str">
        <f>SUM(AX285:AX286) &amp;"/ "&amp;AX289</f>
        <v>3/ 15</v>
      </c>
      <c r="AY288" s="402" t="str">
        <f>SUM(AY285:AY286) &amp;"/ "&amp;AY289</f>
        <v>0/ 15</v>
      </c>
      <c r="AZ288" s="197"/>
      <c r="BA288" s="401" t="str">
        <f>SUM(BA285:BA286) &amp;"/ "&amp;BA289</f>
        <v>0/ 15</v>
      </c>
      <c r="BB288" s="402" t="str">
        <f>SUM(BB285:BB286) &amp;"/ "&amp;BB289</f>
        <v>0/ 15</v>
      </c>
      <c r="BC288" s="350" t="s">
        <v>355</v>
      </c>
      <c r="BD288" s="662"/>
      <c r="BF288" s="696" t="str">
        <f>SUM(BF285:BF286) &amp;"/ "&amp;BF289</f>
        <v>3/ 15</v>
      </c>
      <c r="BG288" s="402" t="str">
        <f>SUM(BG285:BG286) &amp;"/ "&amp;BG289</f>
        <v>0/ 15</v>
      </c>
      <c r="BH288" s="197"/>
      <c r="BI288" s="401" t="str">
        <f>SUM(BI285:BI286) &amp;"/ "&amp;BI289</f>
        <v>0/ 15</v>
      </c>
      <c r="BJ288" s="402" t="str">
        <f>SUM(BJ285:BJ286) &amp;"/ "&amp;BJ289</f>
        <v>0/ 15</v>
      </c>
      <c r="BK288" s="350" t="s">
        <v>796</v>
      </c>
      <c r="BL288" s="662"/>
      <c r="BN288" s="696" t="str">
        <f>SUM(BN285:BN286) &amp;"/ "&amp;BN289</f>
        <v>3/ 15</v>
      </c>
      <c r="BO288" s="402" t="str">
        <f>SUM(BO285:BO286) &amp;"/ "&amp;BO289</f>
        <v>0/ 15</v>
      </c>
      <c r="BP288" s="197"/>
      <c r="BQ288" s="401" t="str">
        <f>SUM(BQ285:BQ286) &amp;"/ "&amp;BQ289</f>
        <v>0/ 15</v>
      </c>
      <c r="BR288" s="402" t="str">
        <f>SUM(BR285:BR286) &amp;"/ "&amp;BR289</f>
        <v>0/ 15</v>
      </c>
      <c r="BS288" s="350" t="s">
        <v>797</v>
      </c>
      <c r="BT288" s="662"/>
      <c r="BV288" s="3">
        <v>1</v>
      </c>
    </row>
    <row r="289" spans="2:74" ht="21" customHeight="1">
      <c r="B289" s="104" t="s">
        <v>16</v>
      </c>
      <c r="C289" s="157" t="str">
        <f>C225</f>
        <v>N NOM DE VOTRE RECETTE | | Auteur &gt; VOUS</v>
      </c>
      <c r="D289" s="157">
        <f>D225</f>
        <v>18</v>
      </c>
      <c r="E289" s="158" t="str">
        <f>E225</f>
        <v>desserts</v>
      </c>
      <c r="F289" s="159" t="str">
        <f>F225</f>
        <v>Recette mère ► Saisir le nom de la recette principale</v>
      </c>
      <c r="G289" s="172"/>
      <c r="H289" s="172"/>
      <c r="I289" s="172"/>
      <c r="J289" s="172"/>
      <c r="K289" s="172"/>
      <c r="L289" s="172"/>
      <c r="M289" s="172"/>
      <c r="N289" s="172"/>
      <c r="O289" s="172"/>
      <c r="P289" s="555"/>
      <c r="R289" s="104" t="s">
        <v>16</v>
      </c>
      <c r="S289" s="157" t="str">
        <f>S225</f>
        <v>N NAME OF YOUR RECIPE | |  Author &gt; YOU</v>
      </c>
      <c r="T289" s="157">
        <f>T225</f>
        <v>18</v>
      </c>
      <c r="U289" s="158" t="str">
        <f>U225</f>
        <v>desserts</v>
      </c>
      <c r="V289" s="159" t="str">
        <f>V225</f>
        <v>Master recipe ► Enter the main recipe name</v>
      </c>
      <c r="W289" s="172"/>
      <c r="X289" s="172"/>
      <c r="Y289" s="172"/>
      <c r="Z289" s="172"/>
      <c r="AA289" s="172"/>
      <c r="AB289" s="172"/>
      <c r="AC289" s="172"/>
      <c r="AD289" s="172"/>
      <c r="AE289" s="172"/>
      <c r="AF289" s="555"/>
      <c r="AH289" s="104" t="s">
        <v>16</v>
      </c>
      <c r="AI289" s="157" t="str">
        <f>AI225</f>
        <v>N NOMBRE DE LA RECETA | | Autor &gt; USTED</v>
      </c>
      <c r="AJ289" s="157">
        <f>AJ225</f>
        <v>18</v>
      </c>
      <c r="AK289" s="158" t="str">
        <f>AK225</f>
        <v>postres</v>
      </c>
      <c r="AL289" s="159" t="str">
        <f>AL225</f>
        <v>Receta madre ► Introduzca el nombre de la receta principal</v>
      </c>
      <c r="AM289" s="172"/>
      <c r="AN289" s="172"/>
      <c r="AO289" s="172"/>
      <c r="AP289" s="172"/>
      <c r="AQ289" s="172"/>
      <c r="AR289" s="172"/>
      <c r="AS289" s="172"/>
      <c r="AT289" s="172"/>
      <c r="AU289" s="172"/>
      <c r="AV289" s="555"/>
      <c r="AX289" s="697">
        <v>15</v>
      </c>
      <c r="AY289" s="406">
        <v>15</v>
      </c>
      <c r="AZ289" s="197"/>
      <c r="BA289" s="405">
        <v>15</v>
      </c>
      <c r="BB289" s="406">
        <v>15</v>
      </c>
      <c r="BC289" s="352" t="s">
        <v>362</v>
      </c>
      <c r="BD289" s="662"/>
      <c r="BF289" s="697">
        <v>15</v>
      </c>
      <c r="BG289" s="406">
        <v>15</v>
      </c>
      <c r="BH289" s="197"/>
      <c r="BI289" s="405">
        <v>15</v>
      </c>
      <c r="BJ289" s="406">
        <v>15</v>
      </c>
      <c r="BK289" s="352" t="s">
        <v>798</v>
      </c>
      <c r="BL289" s="662"/>
      <c r="BN289" s="697">
        <v>15</v>
      </c>
      <c r="BO289" s="406">
        <v>15</v>
      </c>
      <c r="BP289" s="197"/>
      <c r="BQ289" s="405">
        <v>15</v>
      </c>
      <c r="BR289" s="406">
        <v>15</v>
      </c>
      <c r="BS289" s="352" t="s">
        <v>799</v>
      </c>
      <c r="BT289" s="662"/>
      <c r="BV289" s="3">
        <v>1</v>
      </c>
    </row>
    <row r="290" spans="2:74" ht="21" customHeight="1">
      <c r="B290" s="104" t="s">
        <v>16</v>
      </c>
      <c r="C290" s="157" t="str">
        <f>C225</f>
        <v>N NOM DE VOTRE RECETTE | | Auteur &gt; VOUS</v>
      </c>
      <c r="D290" s="157">
        <f>D225</f>
        <v>18</v>
      </c>
      <c r="E290" s="158" t="str">
        <f>E225</f>
        <v>desserts</v>
      </c>
      <c r="F290" s="159" t="str">
        <f>F225</f>
        <v>Recette mère ► Saisir le nom de la recette principale</v>
      </c>
      <c r="G290" s="172"/>
      <c r="H290" s="172"/>
      <c r="I290" s="172"/>
      <c r="J290" s="172"/>
      <c r="K290" s="172"/>
      <c r="L290" s="172"/>
      <c r="M290" s="172"/>
      <c r="N290" s="172"/>
      <c r="O290" s="172"/>
      <c r="P290" s="555"/>
      <c r="R290" s="104" t="s">
        <v>16</v>
      </c>
      <c r="S290" s="157" t="str">
        <f>S225</f>
        <v>N NAME OF YOUR RECIPE | |  Author &gt; YOU</v>
      </c>
      <c r="T290" s="157">
        <f>T225</f>
        <v>18</v>
      </c>
      <c r="U290" s="158" t="str">
        <f>U225</f>
        <v>desserts</v>
      </c>
      <c r="V290" s="159" t="str">
        <f>V225</f>
        <v>Master recipe ► Enter the main recipe name</v>
      </c>
      <c r="W290" s="172"/>
      <c r="X290" s="172"/>
      <c r="Y290" s="172"/>
      <c r="Z290" s="172"/>
      <c r="AA290" s="172"/>
      <c r="AB290" s="172"/>
      <c r="AC290" s="172"/>
      <c r="AD290" s="172"/>
      <c r="AE290" s="172"/>
      <c r="AF290" s="555"/>
      <c r="AH290" s="104" t="s">
        <v>16</v>
      </c>
      <c r="AI290" s="157" t="str">
        <f>AI225</f>
        <v>N NOMBRE DE LA RECETA | | Autor &gt; USTED</v>
      </c>
      <c r="AJ290" s="157">
        <f>AJ225</f>
        <v>18</v>
      </c>
      <c r="AK290" s="158" t="str">
        <f>AK225</f>
        <v>postres</v>
      </c>
      <c r="AL290" s="159" t="str">
        <f>AL225</f>
        <v>Receta madre ► Introduzca el nombre de la receta principal</v>
      </c>
      <c r="AM290" s="172"/>
      <c r="AN290" s="172"/>
      <c r="AO290" s="172"/>
      <c r="AP290" s="172"/>
      <c r="AQ290" s="172"/>
      <c r="AR290" s="172"/>
      <c r="AS290" s="172"/>
      <c r="AT290" s="172"/>
      <c r="AU290" s="172"/>
      <c r="AV290" s="555"/>
      <c r="AX290" s="698" t="s">
        <v>410</v>
      </c>
      <c r="BA290" s="408"/>
      <c r="BB290" s="408"/>
      <c r="BC290" s="408"/>
      <c r="BD290" s="699"/>
      <c r="BF290" s="698" t="s">
        <v>816</v>
      </c>
      <c r="BI290" s="408"/>
      <c r="BJ290" s="408"/>
      <c r="BK290" s="408"/>
      <c r="BL290" s="699"/>
      <c r="BN290" s="698" t="s">
        <v>817</v>
      </c>
      <c r="BQ290" s="408"/>
      <c r="BR290" s="408"/>
      <c r="BS290" s="408"/>
      <c r="BT290" s="699"/>
      <c r="BV290" s="3">
        <v>1</v>
      </c>
    </row>
    <row r="291" spans="2:74" ht="21" customHeight="1">
      <c r="B291" s="104" t="s">
        <v>16</v>
      </c>
      <c r="C291" s="157" t="str">
        <f>C225</f>
        <v>N NOM DE VOTRE RECETTE | | Auteur &gt; VOUS</v>
      </c>
      <c r="D291" s="157">
        <f>D225</f>
        <v>18</v>
      </c>
      <c r="E291" s="158" t="str">
        <f>E225</f>
        <v>desserts</v>
      </c>
      <c r="F291" s="159" t="str">
        <f>F225</f>
        <v>Recette mère ► Saisir le nom de la recette principale</v>
      </c>
      <c r="G291" s="172"/>
      <c r="H291" s="172"/>
      <c r="I291" s="172"/>
      <c r="J291" s="172"/>
      <c r="K291" s="172"/>
      <c r="L291" s="172"/>
      <c r="M291" s="172"/>
      <c r="N291" s="172"/>
      <c r="O291" s="172"/>
      <c r="P291" s="555"/>
      <c r="R291" s="104" t="s">
        <v>16</v>
      </c>
      <c r="S291" s="157" t="str">
        <f>S225</f>
        <v>N NAME OF YOUR RECIPE | |  Author &gt; YOU</v>
      </c>
      <c r="T291" s="157">
        <f>T225</f>
        <v>18</v>
      </c>
      <c r="U291" s="158" t="str">
        <f>U225</f>
        <v>desserts</v>
      </c>
      <c r="V291" s="159" t="str">
        <f>V225</f>
        <v>Master recipe ► Enter the main recipe name</v>
      </c>
      <c r="W291" s="172"/>
      <c r="X291" s="172"/>
      <c r="Y291" s="172"/>
      <c r="Z291" s="172"/>
      <c r="AA291" s="172"/>
      <c r="AB291" s="172"/>
      <c r="AC291" s="172"/>
      <c r="AD291" s="172"/>
      <c r="AE291" s="172"/>
      <c r="AF291" s="555"/>
      <c r="AH291" s="104" t="s">
        <v>16</v>
      </c>
      <c r="AI291" s="157" t="str">
        <f>AI225</f>
        <v>N NOMBRE DE LA RECETA | | Autor &gt; USTED</v>
      </c>
      <c r="AJ291" s="157">
        <f>AJ225</f>
        <v>18</v>
      </c>
      <c r="AK291" s="158" t="str">
        <f>AK225</f>
        <v>postres</v>
      </c>
      <c r="AL291" s="159" t="str">
        <f>AL225</f>
        <v>Receta madre ► Introduzca el nombre de la receta principal</v>
      </c>
      <c r="AM291" s="172"/>
      <c r="AN291" s="172"/>
      <c r="AO291" s="172"/>
      <c r="AP291" s="172"/>
      <c r="AQ291" s="172"/>
      <c r="AR291" s="172"/>
      <c r="AS291" s="172"/>
      <c r="AT291" s="172"/>
      <c r="AU291" s="172"/>
      <c r="AV291" s="555"/>
      <c r="AX291" s="700" t="s">
        <v>414</v>
      </c>
      <c r="BA291" s="408"/>
      <c r="BB291" s="408"/>
      <c r="BC291" s="408"/>
      <c r="BD291" s="699"/>
      <c r="BF291" s="700" t="s">
        <v>818</v>
      </c>
      <c r="BI291" s="408"/>
      <c r="BJ291" s="408"/>
      <c r="BK291" s="408"/>
      <c r="BL291" s="699"/>
      <c r="BN291" s="700" t="s">
        <v>819</v>
      </c>
      <c r="BQ291" s="408"/>
      <c r="BR291" s="408"/>
      <c r="BS291" s="408"/>
      <c r="BT291" s="699"/>
      <c r="BV291" s="3">
        <v>1</v>
      </c>
    </row>
    <row r="292" spans="2:74" ht="21" customHeight="1">
      <c r="B292" s="104" t="s">
        <v>16</v>
      </c>
      <c r="C292" s="157" t="str">
        <f>C225</f>
        <v>N NOM DE VOTRE RECETTE | | Auteur &gt; VOUS</v>
      </c>
      <c r="D292" s="157">
        <f>D225</f>
        <v>18</v>
      </c>
      <c r="E292" s="158" t="str">
        <f>E225</f>
        <v>desserts</v>
      </c>
      <c r="F292" s="159" t="str">
        <f>F225</f>
        <v>Recette mère ► Saisir le nom de la recette principale</v>
      </c>
      <c r="G292" s="172"/>
      <c r="H292" s="172"/>
      <c r="I292" s="172"/>
      <c r="J292" s="172"/>
      <c r="K292" s="172"/>
      <c r="L292" s="172"/>
      <c r="M292" s="172"/>
      <c r="N292" s="172"/>
      <c r="O292" s="172"/>
      <c r="P292" s="555"/>
      <c r="R292" s="104" t="s">
        <v>16</v>
      </c>
      <c r="S292" s="157" t="str">
        <f>S225</f>
        <v>N NAME OF YOUR RECIPE | |  Author &gt; YOU</v>
      </c>
      <c r="T292" s="157">
        <f>T225</f>
        <v>18</v>
      </c>
      <c r="U292" s="158" t="str">
        <f>U225</f>
        <v>desserts</v>
      </c>
      <c r="V292" s="159" t="str">
        <f>V225</f>
        <v>Master recipe ► Enter the main recipe name</v>
      </c>
      <c r="W292" s="172"/>
      <c r="X292" s="172"/>
      <c r="Y292" s="172"/>
      <c r="Z292" s="172"/>
      <c r="AA292" s="172"/>
      <c r="AB292" s="172"/>
      <c r="AC292" s="172"/>
      <c r="AD292" s="172"/>
      <c r="AE292" s="172"/>
      <c r="AF292" s="555"/>
      <c r="AH292" s="104" t="s">
        <v>16</v>
      </c>
      <c r="AI292" s="157" t="str">
        <f>AI225</f>
        <v>N NOMBRE DE LA RECETA | | Autor &gt; USTED</v>
      </c>
      <c r="AJ292" s="157">
        <f>AJ225</f>
        <v>18</v>
      </c>
      <c r="AK292" s="158" t="str">
        <f>AK225</f>
        <v>postres</v>
      </c>
      <c r="AL292" s="159" t="str">
        <f>AL225</f>
        <v>Receta madre ► Introduzca el nombre de la receta principal</v>
      </c>
      <c r="AM292" s="172"/>
      <c r="AN292" s="172"/>
      <c r="AO292" s="172"/>
      <c r="AP292" s="172"/>
      <c r="AQ292" s="172"/>
      <c r="AR292" s="172"/>
      <c r="AS292" s="172"/>
      <c r="AT292" s="172"/>
      <c r="AU292" s="172"/>
      <c r="AV292" s="555"/>
      <c r="AX292" s="700" t="s">
        <v>418</v>
      </c>
      <c r="BA292" s="408"/>
      <c r="BB292" s="408"/>
      <c r="BC292" s="408"/>
      <c r="BD292" s="699"/>
      <c r="BF292" s="700" t="s">
        <v>820</v>
      </c>
      <c r="BI292" s="408"/>
      <c r="BJ292" s="408"/>
      <c r="BK292" s="408"/>
      <c r="BL292" s="699"/>
      <c r="BN292" s="700" t="s">
        <v>821</v>
      </c>
      <c r="BQ292" s="408"/>
      <c r="BR292" s="408"/>
      <c r="BS292" s="408"/>
      <c r="BT292" s="699"/>
      <c r="BV292" s="3">
        <v>1</v>
      </c>
    </row>
    <row r="293" spans="2:74" ht="21" customHeight="1" thickBot="1">
      <c r="B293" s="104" t="s">
        <v>16</v>
      </c>
      <c r="C293" s="157" t="str">
        <f>C225</f>
        <v>N NOM DE VOTRE RECETTE | | Auteur &gt; VOUS</v>
      </c>
      <c r="D293" s="157">
        <f>D225</f>
        <v>18</v>
      </c>
      <c r="E293" s="158" t="str">
        <f>E225</f>
        <v>desserts</v>
      </c>
      <c r="F293" s="159" t="str">
        <f>F225</f>
        <v>Recette mère ► Saisir le nom de la recette principale</v>
      </c>
      <c r="G293" s="172"/>
      <c r="H293" s="172"/>
      <c r="I293" s="172"/>
      <c r="J293" s="172"/>
      <c r="K293" s="172"/>
      <c r="L293" s="172"/>
      <c r="M293" s="172"/>
      <c r="N293" s="172"/>
      <c r="O293" s="172"/>
      <c r="P293" s="555"/>
      <c r="R293" s="104" t="s">
        <v>16</v>
      </c>
      <c r="S293" s="157" t="str">
        <f>S225</f>
        <v>N NAME OF YOUR RECIPE | |  Author &gt; YOU</v>
      </c>
      <c r="T293" s="157">
        <f>T225</f>
        <v>18</v>
      </c>
      <c r="U293" s="158" t="str">
        <f>U225</f>
        <v>desserts</v>
      </c>
      <c r="V293" s="159" t="str">
        <f>V225</f>
        <v>Master recipe ► Enter the main recipe name</v>
      </c>
      <c r="W293" s="172"/>
      <c r="X293" s="172"/>
      <c r="Y293" s="172"/>
      <c r="Z293" s="172"/>
      <c r="AA293" s="172"/>
      <c r="AB293" s="172"/>
      <c r="AC293" s="172"/>
      <c r="AD293" s="172"/>
      <c r="AE293" s="172"/>
      <c r="AF293" s="555"/>
      <c r="AH293" s="104" t="s">
        <v>16</v>
      </c>
      <c r="AI293" s="157" t="str">
        <f>AI225</f>
        <v>N NOMBRE DE LA RECETA | | Autor &gt; USTED</v>
      </c>
      <c r="AJ293" s="157">
        <f>AJ225</f>
        <v>18</v>
      </c>
      <c r="AK293" s="158" t="str">
        <f>AK225</f>
        <v>postres</v>
      </c>
      <c r="AL293" s="159" t="str">
        <f>AL225</f>
        <v>Receta madre ► Introduzca el nombre de la receta principal</v>
      </c>
      <c r="AM293" s="172"/>
      <c r="AN293" s="172"/>
      <c r="AO293" s="172"/>
      <c r="AP293" s="172"/>
      <c r="AQ293" s="172"/>
      <c r="AR293" s="172"/>
      <c r="AS293" s="172"/>
      <c r="AT293" s="172"/>
      <c r="AU293" s="172"/>
      <c r="AV293" s="555"/>
      <c r="AX293" s="668" t="s">
        <v>263</v>
      </c>
      <c r="AY293" s="269"/>
      <c r="AZ293" s="270"/>
      <c r="BA293" s="271"/>
      <c r="BB293" s="270"/>
      <c r="BC293" s="270"/>
      <c r="BD293" s="669"/>
      <c r="BF293" s="668" t="s">
        <v>263</v>
      </c>
      <c r="BG293" s="269"/>
      <c r="BH293" s="270"/>
      <c r="BI293" s="271"/>
      <c r="BJ293" s="270"/>
      <c r="BK293" s="270"/>
      <c r="BL293" s="669"/>
      <c r="BN293" s="668" t="s">
        <v>263</v>
      </c>
      <c r="BO293" s="269"/>
      <c r="BP293" s="270"/>
      <c r="BQ293" s="271"/>
      <c r="BR293" s="270"/>
      <c r="BS293" s="270"/>
      <c r="BT293" s="669"/>
      <c r="BV293" s="3">
        <v>1</v>
      </c>
    </row>
    <row r="294" spans="2:74" ht="21" customHeight="1">
      <c r="B294" s="104" t="str">
        <f>IF(OR(G294&lt;&gt;"",H294&lt;&gt; "",I294&lt;&gt;"",J294&lt;&gt;""),"A", "►")</f>
        <v>►</v>
      </c>
      <c r="C294" s="157" t="str">
        <f>C225</f>
        <v>N NOM DE VOTRE RECETTE | | Auteur &gt; VOUS</v>
      </c>
      <c r="D294" s="157">
        <f>D225</f>
        <v>18</v>
      </c>
      <c r="E294" s="158" t="str">
        <f>E225</f>
        <v>desserts</v>
      </c>
      <c r="F294" s="159" t="str">
        <f>F225</f>
        <v>Recette mère ► Saisir le nom de la recette principale</v>
      </c>
      <c r="G294" s="172"/>
      <c r="H294" s="172"/>
      <c r="I294" s="172"/>
      <c r="J294" s="172"/>
      <c r="K294" s="172"/>
      <c r="L294" s="172"/>
      <c r="M294" s="172"/>
      <c r="N294" s="172"/>
      <c r="O294" s="172"/>
      <c r="P294" s="555"/>
      <c r="R294" s="104" t="str">
        <f>IF(OR(W294&lt;&gt;"",X294&lt;&gt; "",Y294&lt;&gt;"",Z294&lt;&gt;""),"A", "►")</f>
        <v>►</v>
      </c>
      <c r="S294" s="157" t="str">
        <f>S225</f>
        <v>N NAME OF YOUR RECIPE | |  Author &gt; YOU</v>
      </c>
      <c r="T294" s="157">
        <f>T225</f>
        <v>18</v>
      </c>
      <c r="U294" s="158" t="str">
        <f>U225</f>
        <v>desserts</v>
      </c>
      <c r="V294" s="159" t="str">
        <f>V225</f>
        <v>Master recipe ► Enter the main recipe name</v>
      </c>
      <c r="W294" s="172"/>
      <c r="X294" s="172"/>
      <c r="Y294" s="172"/>
      <c r="Z294" s="172"/>
      <c r="AA294" s="172"/>
      <c r="AB294" s="172"/>
      <c r="AC294" s="172"/>
      <c r="AD294" s="172"/>
      <c r="AE294" s="172"/>
      <c r="AF294" s="555"/>
      <c r="AH294" s="104" t="str">
        <f>IF(OR(AM294&lt;&gt;"",AN294&lt;&gt; "",AO294&lt;&gt;"",AP294&lt;&gt;""),"A", "►")</f>
        <v>►</v>
      </c>
      <c r="AI294" s="157" t="str">
        <f>AI225</f>
        <v>N NOMBRE DE LA RECETA | | Autor &gt; USTED</v>
      </c>
      <c r="AJ294" s="157">
        <f>AJ225</f>
        <v>18</v>
      </c>
      <c r="AK294" s="158" t="str">
        <f>AK225</f>
        <v>postres</v>
      </c>
      <c r="AL294" s="159" t="str">
        <f>AL225</f>
        <v>Receta madre ► Introduzca el nombre de la receta principal</v>
      </c>
      <c r="AM294" s="172"/>
      <c r="AN294" s="172"/>
      <c r="AO294" s="172"/>
      <c r="AP294" s="172"/>
      <c r="AQ294" s="172"/>
      <c r="AR294" s="172"/>
      <c r="AS294" s="172"/>
      <c r="AT294" s="172"/>
      <c r="AU294" s="172"/>
      <c r="AV294" s="555"/>
      <c r="AX294" s="494"/>
      <c r="BD294" s="670"/>
      <c r="BF294" s="494"/>
      <c r="BL294" s="670"/>
      <c r="BN294" s="494"/>
      <c r="BT294" s="670"/>
      <c r="BV294" s="3">
        <v>1</v>
      </c>
    </row>
    <row r="295" spans="2:74" ht="21" customHeight="1">
      <c r="B295" s="104" t="str">
        <f>IF(OR(G295&lt;&gt;"",H295&lt;&gt; "",I295&lt;&gt;"",J295&lt;&gt;""),"A", "►")</f>
        <v>►</v>
      </c>
      <c r="C295" s="157" t="str">
        <f>C225</f>
        <v>N NOM DE VOTRE RECETTE | | Auteur &gt; VOUS</v>
      </c>
      <c r="D295" s="157">
        <f>D225</f>
        <v>18</v>
      </c>
      <c r="E295" s="158" t="str">
        <f>E225</f>
        <v>desserts</v>
      </c>
      <c r="F295" s="159" t="str">
        <f>F225</f>
        <v>Recette mère ► Saisir le nom de la recette principale</v>
      </c>
      <c r="G295" s="172"/>
      <c r="H295" s="172"/>
      <c r="I295" s="172"/>
      <c r="J295" s="172"/>
      <c r="K295" s="172"/>
      <c r="L295" s="172"/>
      <c r="M295" s="172"/>
      <c r="N295" s="172"/>
      <c r="O295" s="172"/>
      <c r="P295" s="555"/>
      <c r="R295" s="104" t="str">
        <f>IF(OR(W295&lt;&gt;"",X295&lt;&gt; "",Y295&lt;&gt;"",Z295&lt;&gt;""),"A", "►")</f>
        <v>►</v>
      </c>
      <c r="S295" s="157" t="str">
        <f>S225</f>
        <v>N NAME OF YOUR RECIPE | |  Author &gt; YOU</v>
      </c>
      <c r="T295" s="157">
        <f>T225</f>
        <v>18</v>
      </c>
      <c r="U295" s="158" t="str">
        <f>U225</f>
        <v>desserts</v>
      </c>
      <c r="V295" s="159" t="str">
        <f>V225</f>
        <v>Master recipe ► Enter the main recipe name</v>
      </c>
      <c r="W295" s="172"/>
      <c r="X295" s="172"/>
      <c r="Y295" s="172"/>
      <c r="Z295" s="172"/>
      <c r="AA295" s="172"/>
      <c r="AB295" s="172"/>
      <c r="AC295" s="172"/>
      <c r="AD295" s="172"/>
      <c r="AE295" s="172"/>
      <c r="AF295" s="555"/>
      <c r="AH295" s="104" t="str">
        <f>IF(OR(AM295&lt;&gt;"",AN295&lt;&gt; "",AO295&lt;&gt;"",AP295&lt;&gt;""),"A", "►")</f>
        <v>►</v>
      </c>
      <c r="AI295" s="157" t="str">
        <f>AI225</f>
        <v>N NOMBRE DE LA RECETA | | Autor &gt; USTED</v>
      </c>
      <c r="AJ295" s="157">
        <f>AJ225</f>
        <v>18</v>
      </c>
      <c r="AK295" s="158" t="str">
        <f>AK225</f>
        <v>postres</v>
      </c>
      <c r="AL295" s="159" t="str">
        <f>AL225</f>
        <v>Receta madre ► Introduzca el nombre de la receta principal</v>
      </c>
      <c r="AM295" s="172"/>
      <c r="AN295" s="172"/>
      <c r="AO295" s="172"/>
      <c r="AP295" s="172"/>
      <c r="AQ295" s="172"/>
      <c r="AR295" s="172"/>
      <c r="AS295" s="172"/>
      <c r="AT295" s="172"/>
      <c r="AU295" s="172"/>
      <c r="AV295" s="555"/>
      <c r="AX295" s="701" t="s">
        <v>822</v>
      </c>
      <c r="BD295" s="670"/>
      <c r="BF295" s="701" t="s">
        <v>822</v>
      </c>
      <c r="BL295" s="670"/>
      <c r="BN295" s="701" t="s">
        <v>822</v>
      </c>
      <c r="BT295" s="670"/>
      <c r="BV295" s="3">
        <v>1</v>
      </c>
    </row>
    <row r="296" spans="2:74" ht="21" customHeight="1">
      <c r="B296" s="104" t="str">
        <f>IF(OR(G296&lt;&gt;"",H296&lt;&gt; "",I296&lt;&gt;"",J296&lt;&gt;""),"A", "►")</f>
        <v>►</v>
      </c>
      <c r="C296" s="157" t="str">
        <f>C225</f>
        <v>N NOM DE VOTRE RECETTE | | Auteur &gt; VOUS</v>
      </c>
      <c r="D296" s="157">
        <f>D225</f>
        <v>18</v>
      </c>
      <c r="E296" s="158" t="str">
        <f>E225</f>
        <v>desserts</v>
      </c>
      <c r="F296" s="159" t="str">
        <f>F225</f>
        <v>Recette mère ► Saisir le nom de la recette principale</v>
      </c>
      <c r="G296" s="172"/>
      <c r="H296" s="172"/>
      <c r="I296" s="172"/>
      <c r="J296" s="172"/>
      <c r="K296" s="172"/>
      <c r="L296" s="172"/>
      <c r="M296" s="172"/>
      <c r="N296" s="172"/>
      <c r="O296" s="172"/>
      <c r="P296" s="555"/>
      <c r="R296" s="104" t="str">
        <f>IF(OR(W296&lt;&gt;"",X296&lt;&gt; "",Y296&lt;&gt;"",Z296&lt;&gt;""),"A", "►")</f>
        <v>►</v>
      </c>
      <c r="S296" s="157" t="str">
        <f>S225</f>
        <v>N NAME OF YOUR RECIPE | |  Author &gt; YOU</v>
      </c>
      <c r="T296" s="157">
        <f>T225</f>
        <v>18</v>
      </c>
      <c r="U296" s="158" t="str">
        <f>U225</f>
        <v>desserts</v>
      </c>
      <c r="V296" s="159" t="str">
        <f>V225</f>
        <v>Master recipe ► Enter the main recipe name</v>
      </c>
      <c r="W296" s="172"/>
      <c r="X296" s="172"/>
      <c r="Y296" s="172"/>
      <c r="Z296" s="172"/>
      <c r="AA296" s="172"/>
      <c r="AB296" s="172"/>
      <c r="AC296" s="172"/>
      <c r="AD296" s="172"/>
      <c r="AE296" s="172"/>
      <c r="AF296" s="555"/>
      <c r="AH296" s="104" t="str">
        <f>IF(OR(AM296&lt;&gt;"",AN296&lt;&gt; "",AO296&lt;&gt;"",AP296&lt;&gt;""),"A", "►")</f>
        <v>►</v>
      </c>
      <c r="AI296" s="157" t="str">
        <f>AI225</f>
        <v>N NOMBRE DE LA RECETA | | Autor &gt; USTED</v>
      </c>
      <c r="AJ296" s="157">
        <f>AJ225</f>
        <v>18</v>
      </c>
      <c r="AK296" s="158" t="str">
        <f>AK225</f>
        <v>postres</v>
      </c>
      <c r="AL296" s="159" t="str">
        <f>AL225</f>
        <v>Receta madre ► Introduzca el nombre de la receta principal</v>
      </c>
      <c r="AM296" s="172"/>
      <c r="AN296" s="172"/>
      <c r="AO296" s="172"/>
      <c r="AP296" s="172"/>
      <c r="AQ296" s="172"/>
      <c r="AR296" s="172"/>
      <c r="AS296" s="172"/>
      <c r="AT296" s="172"/>
      <c r="AU296" s="172"/>
      <c r="AV296" s="555"/>
      <c r="AX296" s="702">
        <v>19</v>
      </c>
      <c r="AY296" s="703">
        <v>18</v>
      </c>
      <c r="AZ296" s="703">
        <v>25</v>
      </c>
      <c r="BA296" s="703">
        <v>16</v>
      </c>
      <c r="BB296" s="703">
        <v>16</v>
      </c>
      <c r="BC296" s="703">
        <v>31</v>
      </c>
      <c r="BD296" s="704">
        <v>36</v>
      </c>
      <c r="BF296" s="702">
        <v>19</v>
      </c>
      <c r="BG296" s="703">
        <v>18</v>
      </c>
      <c r="BH296" s="703">
        <v>25</v>
      </c>
      <c r="BI296" s="703">
        <v>16</v>
      </c>
      <c r="BJ296" s="703">
        <v>16</v>
      </c>
      <c r="BK296" s="703">
        <v>31</v>
      </c>
      <c r="BL296" s="704">
        <v>36</v>
      </c>
      <c r="BN296" s="702">
        <v>19</v>
      </c>
      <c r="BO296" s="703">
        <v>18</v>
      </c>
      <c r="BP296" s="703">
        <v>25</v>
      </c>
      <c r="BQ296" s="703">
        <v>16</v>
      </c>
      <c r="BR296" s="703">
        <v>16</v>
      </c>
      <c r="BS296" s="703">
        <v>31</v>
      </c>
      <c r="BT296" s="704">
        <v>36</v>
      </c>
      <c r="BV296" s="3">
        <v>1</v>
      </c>
    </row>
    <row r="297" spans="2:74" ht="21" customHeight="1" thickBot="1">
      <c r="B297" s="104" t="str">
        <f>IF(OR(G297&lt;&gt;"",H297&lt;&gt; "",I297&lt;&gt;"",J297&lt;&gt;""),"A", "►")</f>
        <v>►</v>
      </c>
      <c r="C297" s="157" t="str">
        <f>C225</f>
        <v>N NOM DE VOTRE RECETTE | | Auteur &gt; VOUS</v>
      </c>
      <c r="D297" s="157">
        <f>D225</f>
        <v>18</v>
      </c>
      <c r="E297" s="158" t="str">
        <f>E225</f>
        <v>desserts</v>
      </c>
      <c r="F297" s="159" t="str">
        <f>F225</f>
        <v>Recette mère ► Saisir le nom de la recette principale</v>
      </c>
      <c r="G297" s="172"/>
      <c r="H297" s="172"/>
      <c r="I297" s="172"/>
      <c r="J297" s="172"/>
      <c r="K297" s="172"/>
      <c r="L297" s="172"/>
      <c r="M297" s="172"/>
      <c r="N297" s="172"/>
      <c r="O297" s="172"/>
      <c r="P297" s="555"/>
      <c r="R297" s="104" t="str">
        <f>IF(OR(W297&lt;&gt;"",X297&lt;&gt; "",Y297&lt;&gt;"",Z297&lt;&gt;""),"A", "►")</f>
        <v>►</v>
      </c>
      <c r="S297" s="157" t="str">
        <f>S225</f>
        <v>N NAME OF YOUR RECIPE | |  Author &gt; YOU</v>
      </c>
      <c r="T297" s="157">
        <f>T225</f>
        <v>18</v>
      </c>
      <c r="U297" s="158" t="str">
        <f>U225</f>
        <v>desserts</v>
      </c>
      <c r="V297" s="159" t="str">
        <f>V225</f>
        <v>Master recipe ► Enter the main recipe name</v>
      </c>
      <c r="W297" s="172"/>
      <c r="X297" s="172"/>
      <c r="Y297" s="172"/>
      <c r="Z297" s="172"/>
      <c r="AA297" s="172"/>
      <c r="AB297" s="172"/>
      <c r="AC297" s="172"/>
      <c r="AD297" s="172"/>
      <c r="AE297" s="172"/>
      <c r="AF297" s="555"/>
      <c r="AH297" s="104" t="str">
        <f>IF(OR(AM297&lt;&gt;"",AN297&lt;&gt; "",AO297&lt;&gt;"",AP297&lt;&gt;""),"A", "►")</f>
        <v>►</v>
      </c>
      <c r="AI297" s="157" t="str">
        <f>AI225</f>
        <v>N NOMBRE DE LA RECETA | | Autor &gt; USTED</v>
      </c>
      <c r="AJ297" s="157">
        <f>AJ225</f>
        <v>18</v>
      </c>
      <c r="AK297" s="158" t="str">
        <f>AK225</f>
        <v>postres</v>
      </c>
      <c r="AL297" s="159" t="str">
        <f>AL225</f>
        <v>Receta madre ► Introduzca el nombre de la receta principal</v>
      </c>
      <c r="AM297" s="172"/>
      <c r="AN297" s="172"/>
      <c r="AO297" s="172"/>
      <c r="AP297" s="172"/>
      <c r="AQ297" s="172"/>
      <c r="AR297" s="172"/>
      <c r="AS297" s="172"/>
      <c r="AT297" s="172"/>
      <c r="AU297" s="172"/>
      <c r="AV297" s="555"/>
      <c r="AX297" s="705">
        <f t="shared" ref="AX297:BD297" ca="1" si="41">CELL("largeur",AX297)</f>
        <v>19</v>
      </c>
      <c r="AY297" s="706">
        <f t="shared" ca="1" si="41"/>
        <v>18</v>
      </c>
      <c r="AZ297" s="706">
        <f t="shared" ca="1" si="41"/>
        <v>25</v>
      </c>
      <c r="BA297" s="706">
        <f t="shared" ca="1" si="41"/>
        <v>18</v>
      </c>
      <c r="BB297" s="706">
        <f t="shared" ca="1" si="41"/>
        <v>16</v>
      </c>
      <c r="BC297" s="706">
        <f t="shared" ca="1" si="41"/>
        <v>31</v>
      </c>
      <c r="BD297" s="707">
        <f t="shared" ca="1" si="41"/>
        <v>36</v>
      </c>
      <c r="BF297" s="705">
        <f t="shared" ref="BF297:BL297" ca="1" si="42">CELL("largeur",BF297)</f>
        <v>19</v>
      </c>
      <c r="BG297" s="706">
        <f t="shared" ca="1" si="42"/>
        <v>18</v>
      </c>
      <c r="BH297" s="706">
        <f t="shared" ca="1" si="42"/>
        <v>25</v>
      </c>
      <c r="BI297" s="706">
        <f t="shared" ca="1" si="42"/>
        <v>16</v>
      </c>
      <c r="BJ297" s="706">
        <f t="shared" ca="1" si="42"/>
        <v>16</v>
      </c>
      <c r="BK297" s="706">
        <f t="shared" ca="1" si="42"/>
        <v>31</v>
      </c>
      <c r="BL297" s="707">
        <f t="shared" ca="1" si="42"/>
        <v>36</v>
      </c>
      <c r="BN297" s="705">
        <f t="shared" ref="BN297:BT297" ca="1" si="43">CELL("largeur",BN297)</f>
        <v>19</v>
      </c>
      <c r="BO297" s="706">
        <f t="shared" ca="1" si="43"/>
        <v>18</v>
      </c>
      <c r="BP297" s="706">
        <f t="shared" ca="1" si="43"/>
        <v>25</v>
      </c>
      <c r="BQ297" s="706">
        <f t="shared" ca="1" si="43"/>
        <v>20</v>
      </c>
      <c r="BR297" s="706">
        <f t="shared" ca="1" si="43"/>
        <v>16</v>
      </c>
      <c r="BS297" s="706">
        <f t="shared" ca="1" si="43"/>
        <v>31</v>
      </c>
      <c r="BT297" s="707">
        <f t="shared" ca="1" si="43"/>
        <v>36</v>
      </c>
      <c r="BV297" s="3">
        <v>1</v>
      </c>
    </row>
    <row r="298" spans="2:74" ht="21" customHeight="1">
      <c r="B298" s="196" t="s">
        <v>16</v>
      </c>
      <c r="C298" s="157" t="str">
        <f>C225</f>
        <v>N NOM DE VOTRE RECETTE | | Auteur &gt; VOUS</v>
      </c>
      <c r="D298" s="157">
        <f>D225</f>
        <v>18</v>
      </c>
      <c r="E298" s="158" t="str">
        <f>E225</f>
        <v>desserts</v>
      </c>
      <c r="F298" s="159" t="str">
        <f>F225</f>
        <v>Recette mère ► Saisir le nom de la recette principale</v>
      </c>
      <c r="G298" s="172"/>
      <c r="H298" s="172"/>
      <c r="I298" s="172"/>
      <c r="J298" s="172"/>
      <c r="K298" s="172"/>
      <c r="L298" s="172"/>
      <c r="M298" s="172"/>
      <c r="N298" s="172"/>
      <c r="O298" s="172"/>
      <c r="P298" s="555"/>
      <c r="R298" s="196" t="s">
        <v>16</v>
      </c>
      <c r="S298" s="157" t="str">
        <f>S225</f>
        <v>N NAME OF YOUR RECIPE | |  Author &gt; YOU</v>
      </c>
      <c r="T298" s="157">
        <f>T225</f>
        <v>18</v>
      </c>
      <c r="U298" s="158" t="str">
        <f>U225</f>
        <v>desserts</v>
      </c>
      <c r="V298" s="159" t="str">
        <f>V225</f>
        <v>Master recipe ► Enter the main recipe name</v>
      </c>
      <c r="W298" s="172"/>
      <c r="X298" s="172"/>
      <c r="Y298" s="172"/>
      <c r="Z298" s="172"/>
      <c r="AA298" s="172"/>
      <c r="AB298" s="172"/>
      <c r="AC298" s="172"/>
      <c r="AD298" s="172"/>
      <c r="AE298" s="172"/>
      <c r="AF298" s="555"/>
      <c r="AH298" s="196" t="s">
        <v>16</v>
      </c>
      <c r="AI298" s="157" t="str">
        <f>AI225</f>
        <v>N NOMBRE DE LA RECETA | | Autor &gt; USTED</v>
      </c>
      <c r="AJ298" s="157">
        <f>AJ225</f>
        <v>18</v>
      </c>
      <c r="AK298" s="158" t="str">
        <f>AK225</f>
        <v>postres</v>
      </c>
      <c r="AL298" s="159" t="str">
        <f>AL225</f>
        <v>Receta madre ► Introduzca el nombre de la receta principal</v>
      </c>
      <c r="AM298" s="172"/>
      <c r="AN298" s="172"/>
      <c r="AO298" s="172"/>
      <c r="AP298" s="172"/>
      <c r="AQ298" s="172"/>
      <c r="AR298" s="172"/>
      <c r="AS298" s="172"/>
      <c r="AT298" s="172"/>
      <c r="AU298" s="172"/>
      <c r="AV298" s="555"/>
      <c r="BV298" s="3">
        <v>1</v>
      </c>
    </row>
    <row r="299" spans="2:74" ht="21" customHeight="1">
      <c r="B299" s="196" t="s">
        <v>11</v>
      </c>
      <c r="C299" s="157" t="str">
        <f>C225</f>
        <v>N NOM DE VOTRE RECETTE | | Auteur &gt; VOUS</v>
      </c>
      <c r="D299" s="157">
        <f>D225</f>
        <v>18</v>
      </c>
      <c r="E299" s="158" t="str">
        <f>E225</f>
        <v>desserts</v>
      </c>
      <c r="F299" s="159" t="str">
        <f>F225</f>
        <v>Recette mère ► Saisir le nom de la recette principale</v>
      </c>
      <c r="G299" s="172"/>
      <c r="H299" s="172"/>
      <c r="I299" s="172"/>
      <c r="J299" s="172"/>
      <c r="K299" s="172"/>
      <c r="L299" s="172"/>
      <c r="M299" s="172"/>
      <c r="N299" s="172"/>
      <c r="O299" s="172"/>
      <c r="P299" s="555"/>
      <c r="R299" s="196" t="s">
        <v>11</v>
      </c>
      <c r="S299" s="157" t="str">
        <f>S225</f>
        <v>N NAME OF YOUR RECIPE | |  Author &gt; YOU</v>
      </c>
      <c r="T299" s="157">
        <f>T225</f>
        <v>18</v>
      </c>
      <c r="U299" s="158" t="str">
        <f>U225</f>
        <v>desserts</v>
      </c>
      <c r="V299" s="159" t="str">
        <f>V225</f>
        <v>Master recipe ► Enter the main recipe name</v>
      </c>
      <c r="W299" s="172"/>
      <c r="X299" s="172"/>
      <c r="Y299" s="172"/>
      <c r="Z299" s="172"/>
      <c r="AA299" s="172"/>
      <c r="AB299" s="172"/>
      <c r="AC299" s="172"/>
      <c r="AD299" s="172"/>
      <c r="AE299" s="172"/>
      <c r="AF299" s="555"/>
      <c r="AH299" s="196" t="s">
        <v>11</v>
      </c>
      <c r="AI299" s="157" t="str">
        <f>AI225</f>
        <v>N NOMBRE DE LA RECETA | | Autor &gt; USTED</v>
      </c>
      <c r="AJ299" s="157">
        <f>AJ225</f>
        <v>18</v>
      </c>
      <c r="AK299" s="158" t="str">
        <f>AK225</f>
        <v>postres</v>
      </c>
      <c r="AL299" s="159" t="str">
        <f>AL225</f>
        <v>Receta madre ► Introduzca el nombre de la receta principal</v>
      </c>
      <c r="AM299" s="172"/>
      <c r="AN299" s="172"/>
      <c r="AO299" s="172"/>
      <c r="AP299" s="172"/>
      <c r="AQ299" s="172"/>
      <c r="AR299" s="172"/>
      <c r="AS299" s="172"/>
      <c r="AT299" s="172"/>
      <c r="AU299" s="172"/>
      <c r="AV299" s="555"/>
      <c r="BV299" s="3">
        <v>1</v>
      </c>
    </row>
    <row r="300" spans="2:74" ht="21" customHeight="1">
      <c r="B300" s="196" t="s">
        <v>11</v>
      </c>
      <c r="C300" s="157" t="str">
        <f>C225</f>
        <v>N NOM DE VOTRE RECETTE | | Auteur &gt; VOUS</v>
      </c>
      <c r="D300" s="157">
        <f>D225</f>
        <v>18</v>
      </c>
      <c r="E300" s="158" t="str">
        <f>E225</f>
        <v>desserts</v>
      </c>
      <c r="F300" s="159" t="str">
        <f>F225</f>
        <v>Recette mère ► Saisir le nom de la recette principale</v>
      </c>
      <c r="G300" s="167"/>
      <c r="H300" s="172"/>
      <c r="I300" s="172"/>
      <c r="J300" s="172"/>
      <c r="K300" s="172"/>
      <c r="L300" s="172"/>
      <c r="M300" s="172"/>
      <c r="N300" s="172"/>
      <c r="O300" s="172"/>
      <c r="P300" s="1485" t="s">
        <v>197</v>
      </c>
      <c r="R300" s="196" t="s">
        <v>11</v>
      </c>
      <c r="S300" s="157" t="str">
        <f>S225</f>
        <v>N NAME OF YOUR RECIPE | |  Author &gt; YOU</v>
      </c>
      <c r="T300" s="157">
        <f>T225</f>
        <v>18</v>
      </c>
      <c r="U300" s="158" t="str">
        <f>U225</f>
        <v>desserts</v>
      </c>
      <c r="V300" s="159" t="str">
        <f>V225</f>
        <v>Master recipe ► Enter the main recipe name</v>
      </c>
      <c r="W300" s="167"/>
      <c r="X300" s="172"/>
      <c r="Y300" s="172"/>
      <c r="Z300" s="172"/>
      <c r="AA300" s="172"/>
      <c r="AB300" s="172"/>
      <c r="AC300" s="172"/>
      <c r="AD300" s="172"/>
      <c r="AE300" s="172"/>
      <c r="AF300" s="1486" t="s">
        <v>899</v>
      </c>
      <c r="AH300" s="196" t="s">
        <v>11</v>
      </c>
      <c r="AI300" s="157" t="str">
        <f>AI225</f>
        <v>N NOMBRE DE LA RECETA | | Autor &gt; USTED</v>
      </c>
      <c r="AJ300" s="157">
        <f>AJ225</f>
        <v>18</v>
      </c>
      <c r="AK300" s="158" t="str">
        <f>AK225</f>
        <v>postres</v>
      </c>
      <c r="AL300" s="159" t="str">
        <f>AL225</f>
        <v>Receta madre ► Introduzca el nombre de la receta principal</v>
      </c>
      <c r="AM300" s="167"/>
      <c r="AN300" s="172"/>
      <c r="AO300" s="172"/>
      <c r="AP300" s="172"/>
      <c r="AQ300" s="172"/>
      <c r="AR300" s="172"/>
      <c r="AS300" s="172"/>
      <c r="AT300" s="172"/>
      <c r="AU300" s="172"/>
      <c r="AV300" s="1486" t="s">
        <v>913</v>
      </c>
      <c r="BV300" s="3">
        <v>1</v>
      </c>
    </row>
    <row r="301" spans="2:74" ht="21" customHeight="1">
      <c r="B301" s="196" t="s">
        <v>11</v>
      </c>
      <c r="C301" s="157" t="str">
        <f>C225</f>
        <v>N NOM DE VOTRE RECETTE | | Auteur &gt; VOUS</v>
      </c>
      <c r="D301" s="157">
        <f>D225</f>
        <v>18</v>
      </c>
      <c r="E301" s="158" t="str">
        <f>E225</f>
        <v>desserts</v>
      </c>
      <c r="F301" s="159" t="str">
        <f>F225</f>
        <v>Recette mère ► Saisir le nom de la recette principale</v>
      </c>
      <c r="G301" s="204"/>
      <c r="H301" s="204"/>
      <c r="I301" s="204" t="s">
        <v>201</v>
      </c>
      <c r="J301" s="205"/>
      <c r="K301" s="206"/>
      <c r="L301" s="206"/>
      <c r="M301" s="206"/>
      <c r="N301" s="206"/>
      <c r="O301" s="206"/>
      <c r="P301" s="567"/>
      <c r="R301" s="196" t="s">
        <v>11</v>
      </c>
      <c r="S301" s="157" t="str">
        <f>S225</f>
        <v>N NAME OF YOUR RECIPE | |  Author &gt; YOU</v>
      </c>
      <c r="T301" s="157">
        <f>T225</f>
        <v>18</v>
      </c>
      <c r="U301" s="158" t="str">
        <f>U225</f>
        <v>desserts</v>
      </c>
      <c r="V301" s="159" t="str">
        <f>V225</f>
        <v>Master recipe ► Enter the main recipe name</v>
      </c>
      <c r="W301" s="204"/>
      <c r="X301" s="204"/>
      <c r="Y301" s="204" t="s">
        <v>661</v>
      </c>
      <c r="Z301" s="205"/>
      <c r="AA301" s="206"/>
      <c r="AB301" s="206"/>
      <c r="AC301" s="206"/>
      <c r="AD301" s="206"/>
      <c r="AE301" s="206"/>
      <c r="AF301" s="567"/>
      <c r="AH301" s="196" t="s">
        <v>11</v>
      </c>
      <c r="AI301" s="157" t="str">
        <f>AI225</f>
        <v>N NOMBRE DE LA RECETA | | Autor &gt; USTED</v>
      </c>
      <c r="AJ301" s="157">
        <f>AJ225</f>
        <v>18</v>
      </c>
      <c r="AK301" s="158" t="str">
        <f>AK225</f>
        <v>postres</v>
      </c>
      <c r="AL301" s="159" t="str">
        <f>AL225</f>
        <v>Receta madre ► Introduzca el nombre de la receta principal</v>
      </c>
      <c r="AM301" s="204"/>
      <c r="AN301" s="204"/>
      <c r="AO301" s="204" t="s">
        <v>915</v>
      </c>
      <c r="AP301" s="205"/>
      <c r="AQ301" s="206"/>
      <c r="AR301" s="206"/>
      <c r="AS301" s="206"/>
      <c r="AT301" s="206"/>
      <c r="AU301" s="206"/>
      <c r="AV301" s="567"/>
      <c r="BV301" s="3">
        <v>1</v>
      </c>
    </row>
    <row r="302" spans="2:74" ht="21" customHeight="1">
      <c r="B302" s="196" t="s">
        <v>11</v>
      </c>
      <c r="C302" s="209" t="str">
        <f>C225</f>
        <v>N NOM DE VOTRE RECETTE | | Auteur &gt; VOUS</v>
      </c>
      <c r="D302" s="209">
        <f>D225</f>
        <v>18</v>
      </c>
      <c r="E302" s="210" t="str">
        <f>E225</f>
        <v>desserts</v>
      </c>
      <c r="F302" s="211" t="str">
        <f>F225</f>
        <v>Recette mère ► Saisir le nom de la recette principale</v>
      </c>
      <c r="G302" s="212"/>
      <c r="H302" s="213"/>
      <c r="I302" s="214"/>
      <c r="J302" s="215"/>
      <c r="K302" s="214"/>
      <c r="L302" s="214"/>
      <c r="M302" s="214"/>
      <c r="N302" s="214"/>
      <c r="O302" s="214"/>
      <c r="P302" s="582"/>
      <c r="R302" s="196" t="s">
        <v>11</v>
      </c>
      <c r="S302" s="209" t="str">
        <f>S225</f>
        <v>N NAME OF YOUR RECIPE | |  Author &gt; YOU</v>
      </c>
      <c r="T302" s="209">
        <f>T225</f>
        <v>18</v>
      </c>
      <c r="U302" s="210" t="str">
        <f>U225</f>
        <v>desserts</v>
      </c>
      <c r="V302" s="211" t="str">
        <f>V225</f>
        <v>Master recipe ► Enter the main recipe name</v>
      </c>
      <c r="W302" s="212"/>
      <c r="X302" s="213"/>
      <c r="Y302" s="214"/>
      <c r="Z302" s="215"/>
      <c r="AA302" s="214"/>
      <c r="AB302" s="214"/>
      <c r="AC302" s="214"/>
      <c r="AD302" s="214"/>
      <c r="AE302" s="214"/>
      <c r="AF302" s="582"/>
      <c r="AH302" s="196" t="s">
        <v>11</v>
      </c>
      <c r="AI302" s="209" t="str">
        <f>AI225</f>
        <v>N NOMBRE DE LA RECETA | | Autor &gt; USTED</v>
      </c>
      <c r="AJ302" s="209">
        <f>AJ225</f>
        <v>18</v>
      </c>
      <c r="AK302" s="210" t="str">
        <f>AK225</f>
        <v>postres</v>
      </c>
      <c r="AL302" s="211" t="str">
        <f>AL225</f>
        <v>Receta madre ► Introduzca el nombre de la receta principal</v>
      </c>
      <c r="AM302" s="212"/>
      <c r="AN302" s="213"/>
      <c r="AO302" s="214"/>
      <c r="AP302" s="215"/>
      <c r="AQ302" s="214"/>
      <c r="AR302" s="214"/>
      <c r="AS302" s="214"/>
      <c r="AT302" s="214"/>
      <c r="AU302" s="214"/>
      <c r="AV302" s="582"/>
      <c r="BV302" s="3">
        <v>1</v>
      </c>
    </row>
    <row r="303" spans="2:74" ht="21" customHeight="1" thickBot="1">
      <c r="B303" s="216" t="s">
        <v>11</v>
      </c>
      <c r="C303" s="217"/>
      <c r="D303" s="217"/>
      <c r="E303" s="217"/>
      <c r="F303" s="218"/>
      <c r="G303" s="219" t="s">
        <v>208</v>
      </c>
      <c r="H303" s="1481" t="str">
        <f ca="1">CELL("nomfichier")</f>
        <v>D:\Données\1.UPRT\0-UPRT.fait\1-UPRT.FR-SITE-WEB\ff-fiches-fabrications\ff.fiches.fabrication.2023\ffr.restaurant.2023\[ff.FICHE.TRILINGUE.15.COLONNES.29.11.2025.xlsx]Notice.utilisateur</v>
      </c>
      <c r="I303" s="220"/>
      <c r="J303" s="220"/>
      <c r="K303" s="220"/>
      <c r="L303" s="220"/>
      <c r="M303" s="220"/>
      <c r="N303" s="220"/>
      <c r="O303" s="220"/>
      <c r="P303" s="221"/>
      <c r="R303" s="216" t="s">
        <v>11</v>
      </c>
      <c r="S303" s="217"/>
      <c r="T303" s="217"/>
      <c r="U303" s="217"/>
      <c r="V303" s="218"/>
      <c r="W303" s="219" t="s">
        <v>208</v>
      </c>
      <c r="X303" s="1481" t="str">
        <f ca="1">CELL("nomfichier")</f>
        <v>D:\Données\1.UPRT\0-UPRT.fait\1-UPRT.FR-SITE-WEB\ff-fiches-fabrications\ff.fiches.fabrication.2023\ffr.restaurant.2023\[ff.FICHE.TRILINGUE.15.COLONNES.29.11.2025.xlsx]Notice.utilisateur</v>
      </c>
      <c r="Y303" s="220"/>
      <c r="Z303" s="220"/>
      <c r="AA303" s="220"/>
      <c r="AB303" s="220"/>
      <c r="AC303" s="220"/>
      <c r="AD303" s="220"/>
      <c r="AE303" s="220"/>
      <c r="AF303" s="221"/>
      <c r="AH303" s="216" t="s">
        <v>11</v>
      </c>
      <c r="AI303" s="217"/>
      <c r="AJ303" s="217"/>
      <c r="AK303" s="217"/>
      <c r="AL303" s="218"/>
      <c r="AM303" s="219" t="s">
        <v>208</v>
      </c>
      <c r="AN303" s="1481" t="str">
        <f ca="1">CELL("nomfichier")</f>
        <v>D:\Données\1.UPRT\0-UPRT.fait\1-UPRT.FR-SITE-WEB\ff-fiches-fabrications\ff.fiches.fabrication.2023\ffr.restaurant.2023\[ff.FICHE.TRILINGUE.15.COLONNES.29.11.2025.xlsx]Notice.utilisateur</v>
      </c>
      <c r="AO303" s="220"/>
      <c r="AP303" s="220"/>
      <c r="AQ303" s="220"/>
      <c r="AR303" s="220"/>
      <c r="AS303" s="220"/>
      <c r="AT303" s="220"/>
      <c r="AU303" s="220"/>
      <c r="AV303" s="221"/>
      <c r="BV303" s="3">
        <v>1</v>
      </c>
    </row>
    <row r="304" spans="2:74" ht="21" customHeight="1" thickBot="1">
      <c r="B304" s="5215" t="s">
        <v>11</v>
      </c>
      <c r="C304" s="5216" t="s">
        <v>11</v>
      </c>
      <c r="D304" s="5216" t="s">
        <v>11</v>
      </c>
      <c r="E304" s="5216" t="s">
        <v>11</v>
      </c>
      <c r="F304" s="5216" t="s">
        <v>11</v>
      </c>
      <c r="G304" s="5217" t="s">
        <v>2613</v>
      </c>
      <c r="H304" s="5218"/>
      <c r="I304" s="5219"/>
      <c r="J304" s="5220"/>
      <c r="K304" s="5221"/>
      <c r="L304" s="5222"/>
      <c r="M304" s="5220"/>
      <c r="N304" s="5220"/>
      <c r="O304" s="5218"/>
      <c r="P304" s="5223" t="s">
        <v>1948</v>
      </c>
      <c r="R304" s="5215" t="s">
        <v>11</v>
      </c>
      <c r="S304" s="5216" t="s">
        <v>11</v>
      </c>
      <c r="T304" s="5216" t="s">
        <v>11</v>
      </c>
      <c r="U304" s="5216" t="s">
        <v>11</v>
      </c>
      <c r="V304" s="5216" t="s">
        <v>11</v>
      </c>
      <c r="W304" s="5217" t="s">
        <v>2613</v>
      </c>
      <c r="X304" s="5218"/>
      <c r="Y304" s="5219"/>
      <c r="Z304" s="5220"/>
      <c r="AA304" s="5221"/>
      <c r="AB304" s="5222"/>
      <c r="AC304" s="5220"/>
      <c r="AD304" s="5220"/>
      <c r="AE304" s="5218"/>
      <c r="AF304" s="5223" t="s">
        <v>1948</v>
      </c>
      <c r="AH304" s="5215" t="s">
        <v>11</v>
      </c>
      <c r="AI304" s="5216" t="s">
        <v>11</v>
      </c>
      <c r="AJ304" s="5216" t="s">
        <v>11</v>
      </c>
      <c r="AK304" s="5216" t="s">
        <v>11</v>
      </c>
      <c r="AL304" s="5216" t="s">
        <v>11</v>
      </c>
      <c r="AM304" s="5217" t="s">
        <v>2613</v>
      </c>
      <c r="AN304" s="5218"/>
      <c r="AO304" s="5219"/>
      <c r="AP304" s="5220"/>
      <c r="AQ304" s="5221"/>
      <c r="AR304" s="5222"/>
      <c r="AS304" s="5220"/>
      <c r="AT304" s="5220"/>
      <c r="AU304" s="5218"/>
      <c r="AV304" s="5223" t="s">
        <v>1948</v>
      </c>
      <c r="BV304" s="3">
        <v>1</v>
      </c>
    </row>
    <row r="305" spans="2:74" ht="21" customHeight="1">
      <c r="B305" s="22" t="s">
        <v>11</v>
      </c>
      <c r="C305" s="23" t="str">
        <f>C311</f>
        <v>N NOM DE VOTRE RECETTE | | Auteur &gt; VOUS</v>
      </c>
      <c r="D305" s="24">
        <f>D311</f>
        <v>18</v>
      </c>
      <c r="E305" s="24" t="str">
        <f>E311</f>
        <v>desserts</v>
      </c>
      <c r="F305" s="25" t="str">
        <f>F311</f>
        <v>Recette mère ► Saisir le nom de la recette principale</v>
      </c>
      <c r="G305" s="26" t="s">
        <v>23</v>
      </c>
      <c r="H305" s="5471" t="s">
        <v>1376</v>
      </c>
      <c r="I305" s="5471"/>
      <c r="J305" s="5471"/>
      <c r="K305" s="5471"/>
      <c r="L305" s="5471"/>
      <c r="M305" s="5471"/>
      <c r="N305" s="5496" t="s">
        <v>3309</v>
      </c>
      <c r="O305" s="5496"/>
      <c r="P305" s="5475" t="str">
        <f>UPPER(LEFT(H305,1))</f>
        <v>N</v>
      </c>
      <c r="R305" s="22" t="s">
        <v>11</v>
      </c>
      <c r="S305" s="23" t="str">
        <f>S311</f>
        <v>N NAME OF YOUR RECIPE | |  Author &gt; YOU</v>
      </c>
      <c r="T305" s="24">
        <f>T311</f>
        <v>18</v>
      </c>
      <c r="U305" s="24" t="str">
        <f>U311</f>
        <v>desserts</v>
      </c>
      <c r="V305" s="25" t="str">
        <f>V311</f>
        <v>Master recipe ► Enter the main recipe name</v>
      </c>
      <c r="W305" s="26" t="s">
        <v>23</v>
      </c>
      <c r="X305" s="5471" t="s">
        <v>886</v>
      </c>
      <c r="Y305" s="5471"/>
      <c r="Z305" s="5471"/>
      <c r="AA305" s="5471"/>
      <c r="AB305" s="5471"/>
      <c r="AC305" s="5471"/>
      <c r="AD305" s="5496" t="s">
        <v>3314</v>
      </c>
      <c r="AE305" s="5496"/>
      <c r="AF305" s="5475" t="str">
        <f>UPPER(LEFT(X305,1))</f>
        <v>N</v>
      </c>
      <c r="AH305" s="22" t="s">
        <v>11</v>
      </c>
      <c r="AI305" s="23" t="str">
        <f>AI311</f>
        <v>N NOMBRE DE LA RECETA | | Autor &gt; USTED</v>
      </c>
      <c r="AJ305" s="24">
        <f>AJ311</f>
        <v>18</v>
      </c>
      <c r="AK305" s="24" t="str">
        <f>AK311</f>
        <v>postres</v>
      </c>
      <c r="AL305" s="25" t="str">
        <f>AL311</f>
        <v>Receta madre ► Introduzca el nombre de la receta principal</v>
      </c>
      <c r="AM305" s="26" t="s">
        <v>23</v>
      </c>
      <c r="AN305" s="5471" t="s">
        <v>3320</v>
      </c>
      <c r="AO305" s="5471"/>
      <c r="AP305" s="5471"/>
      <c r="AQ305" s="5471"/>
      <c r="AR305" s="5471"/>
      <c r="AS305" s="5471"/>
      <c r="AT305" s="5496" t="s">
        <v>1389</v>
      </c>
      <c r="AU305" s="5496"/>
      <c r="AV305" s="5475" t="str">
        <f>UPPER(LEFT(AN305,1))</f>
        <v>N</v>
      </c>
      <c r="BV305" s="3">
        <v>1</v>
      </c>
    </row>
    <row r="306" spans="2:74" ht="21" customHeight="1">
      <c r="B306" s="27" t="s">
        <v>11</v>
      </c>
      <c r="C306" s="28" t="str">
        <f>C311</f>
        <v>N NOM DE VOTRE RECETTE | | Auteur &gt; VOUS</v>
      </c>
      <c r="D306" s="29">
        <f>D311</f>
        <v>18</v>
      </c>
      <c r="E306" s="29" t="str">
        <f>E311</f>
        <v>desserts</v>
      </c>
      <c r="F306" s="30" t="str">
        <f>F311</f>
        <v>Recette mère ► Saisir le nom de la recette principale</v>
      </c>
      <c r="G306" s="31" t="s">
        <v>29</v>
      </c>
      <c r="H306" s="5472"/>
      <c r="I306" s="5472"/>
      <c r="J306" s="5472"/>
      <c r="K306" s="5472"/>
      <c r="L306" s="5472"/>
      <c r="M306" s="5472"/>
      <c r="N306" s="5497"/>
      <c r="O306" s="5497"/>
      <c r="P306" s="5476"/>
      <c r="R306" s="27" t="s">
        <v>11</v>
      </c>
      <c r="S306" s="28" t="str">
        <f>S311</f>
        <v>N NAME OF YOUR RECIPE | |  Author &gt; YOU</v>
      </c>
      <c r="T306" s="29">
        <f>T311</f>
        <v>18</v>
      </c>
      <c r="U306" s="29" t="str">
        <f>U311</f>
        <v>desserts</v>
      </c>
      <c r="V306" s="30" t="str">
        <f>V311</f>
        <v>Master recipe ► Enter the main recipe name</v>
      </c>
      <c r="W306" s="31" t="s">
        <v>29</v>
      </c>
      <c r="X306" s="5472"/>
      <c r="Y306" s="5472"/>
      <c r="Z306" s="5472"/>
      <c r="AA306" s="5472"/>
      <c r="AB306" s="5472"/>
      <c r="AC306" s="5472"/>
      <c r="AD306" s="5497"/>
      <c r="AE306" s="5497"/>
      <c r="AF306" s="5476"/>
      <c r="AH306" s="27" t="s">
        <v>11</v>
      </c>
      <c r="AI306" s="28" t="str">
        <f>AI311</f>
        <v>N NOMBRE DE LA RECETA | | Autor &gt; USTED</v>
      </c>
      <c r="AJ306" s="29">
        <f>AJ311</f>
        <v>18</v>
      </c>
      <c r="AK306" s="29" t="str">
        <f>AK311</f>
        <v>postres</v>
      </c>
      <c r="AL306" s="30" t="str">
        <f>AL311</f>
        <v>Receta madre ► Introduzca el nombre de la receta principal</v>
      </c>
      <c r="AM306" s="31" t="s">
        <v>29</v>
      </c>
      <c r="AN306" s="5472"/>
      <c r="AO306" s="5472"/>
      <c r="AP306" s="5472"/>
      <c r="AQ306" s="5472"/>
      <c r="AR306" s="5472"/>
      <c r="AS306" s="5472"/>
      <c r="AT306" s="5497"/>
      <c r="AU306" s="5497"/>
      <c r="AV306" s="5476"/>
      <c r="BV306" s="3">
        <v>1</v>
      </c>
    </row>
    <row r="307" spans="2:74" ht="21" customHeight="1">
      <c r="B307" s="27" t="s">
        <v>11</v>
      </c>
      <c r="C307" s="5310" t="str">
        <f>C311</f>
        <v>N NOM DE VOTRE RECETTE | | Auteur &gt; VOUS</v>
      </c>
      <c r="D307" s="5310">
        <f>D311</f>
        <v>18</v>
      </c>
      <c r="E307" s="5311" t="str">
        <f>E311</f>
        <v>desserts</v>
      </c>
      <c r="F307" s="5312" t="str">
        <f>F311</f>
        <v>Recette mère ► Saisir le nom de la recette principale</v>
      </c>
      <c r="G307" s="5313"/>
      <c r="H307" s="5314" t="s">
        <v>30</v>
      </c>
      <c r="I307" s="37"/>
      <c r="J307" s="38" t="s">
        <v>31</v>
      </c>
      <c r="K307" s="39" t="s">
        <v>58</v>
      </c>
      <c r="L307" s="9"/>
      <c r="M307" s="39"/>
      <c r="N307" s="39"/>
      <c r="O307" s="40"/>
      <c r="P307" s="41"/>
      <c r="R307" s="27" t="s">
        <v>11</v>
      </c>
      <c r="S307" s="5310" t="str">
        <f>S311</f>
        <v>N NAME OF YOUR RECIPE | |  Author &gt; YOU</v>
      </c>
      <c r="T307" s="5310">
        <f>T311</f>
        <v>18</v>
      </c>
      <c r="U307" s="5311" t="str">
        <f>U311</f>
        <v>desserts</v>
      </c>
      <c r="V307" s="5312" t="str">
        <f>V311</f>
        <v>Master recipe ► Enter the main recipe name</v>
      </c>
      <c r="W307" s="5313"/>
      <c r="X307" s="5314" t="s">
        <v>888</v>
      </c>
      <c r="Y307" s="37"/>
      <c r="Z307" s="38" t="s">
        <v>889</v>
      </c>
      <c r="AA307" s="39" t="s">
        <v>61</v>
      </c>
      <c r="AB307" s="9"/>
      <c r="AC307" s="39"/>
      <c r="AD307" s="39"/>
      <c r="AE307" s="40"/>
      <c r="AF307" s="41"/>
      <c r="AH307" s="27" t="s">
        <v>11</v>
      </c>
      <c r="AI307" s="5310" t="str">
        <f>AI311</f>
        <v>N NOMBRE DE LA RECETA | | Autor &gt; USTED</v>
      </c>
      <c r="AJ307" s="5310">
        <f>AJ311</f>
        <v>18</v>
      </c>
      <c r="AK307" s="5311" t="str">
        <f>AK311</f>
        <v>postres</v>
      </c>
      <c r="AL307" s="5312" t="str">
        <f>AL311</f>
        <v>Receta madre ► Introduzca el nombre de la receta principal</v>
      </c>
      <c r="AM307" s="5313"/>
      <c r="AN307" s="5314" t="s">
        <v>903</v>
      </c>
      <c r="AO307" s="37"/>
      <c r="AP307" s="38" t="s">
        <v>904</v>
      </c>
      <c r="AQ307" s="39" t="s">
        <v>64</v>
      </c>
      <c r="AR307" s="9"/>
      <c r="AS307" s="39"/>
      <c r="AT307" s="39"/>
      <c r="AU307" s="40"/>
      <c r="AV307" s="41"/>
      <c r="BV307" s="3">
        <v>1</v>
      </c>
    </row>
    <row r="308" spans="2:74" ht="21" customHeight="1">
      <c r="B308" s="27" t="s">
        <v>11</v>
      </c>
      <c r="C308" s="32" t="str">
        <f>C311</f>
        <v>N NOM DE VOTRE RECETTE | | Auteur &gt; VOUS</v>
      </c>
      <c r="D308" s="33">
        <f>D311</f>
        <v>18</v>
      </c>
      <c r="E308" s="33" t="str">
        <f>E311</f>
        <v>desserts</v>
      </c>
      <c r="F308" s="34" t="str">
        <f>F311</f>
        <v>Recette mère ► Saisir le nom de la recette principale</v>
      </c>
      <c r="G308" s="42" t="s">
        <v>32</v>
      </c>
      <c r="H308" s="43"/>
      <c r="I308" s="43"/>
      <c r="J308" s="44" t="s">
        <v>33</v>
      </c>
      <c r="K308" s="5477" t="str">
        <f>L311&amp;" "&amp;M311&amp;" ► Famille = "&amp;N305&amp;" ► "&amp;H305&amp;" "&amp; "pour "&amp;N309&amp;" "&amp;O309</f>
        <v>Recette mère ► Saisir le nom de la recette principale ► Famille = famille--COLLEZ ► NOM DE VOTRE RECETTE pour 36 desserts</v>
      </c>
      <c r="L308" s="5477"/>
      <c r="M308" s="5477"/>
      <c r="N308" s="5039" t="s">
        <v>3306</v>
      </c>
      <c r="O308" s="40"/>
      <c r="P308" s="1472"/>
      <c r="R308" s="27" t="s">
        <v>11</v>
      </c>
      <c r="S308" s="32" t="str">
        <f>S311</f>
        <v>N NAME OF YOUR RECIPE | |  Author &gt; YOU</v>
      </c>
      <c r="T308" s="33">
        <f>T311</f>
        <v>18</v>
      </c>
      <c r="U308" s="33" t="str">
        <f>U311</f>
        <v>desserts</v>
      </c>
      <c r="V308" s="34" t="str">
        <f>V311</f>
        <v>Master recipe ► Enter the main recipe name</v>
      </c>
      <c r="W308" s="42" t="s">
        <v>137</v>
      </c>
      <c r="X308" s="43"/>
      <c r="Y308" s="43"/>
      <c r="Z308" s="44" t="s">
        <v>33</v>
      </c>
      <c r="AA308" s="5477" t="str">
        <f>AB311&amp;" "&amp;AC311&amp;" ► category = "&amp;AD305&amp;" ► "&amp;X305&amp;" "&amp; "pour "&amp;AD309&amp;" "&amp;AE309</f>
        <v>Master recipe ► Enter the main recipe name ► category = family--PASTE ► NAME OF YOUR RECIPE pour 36 desserts</v>
      </c>
      <c r="AB308" s="5477"/>
      <c r="AC308" s="5477"/>
      <c r="AD308" s="5039" t="s">
        <v>3324</v>
      </c>
      <c r="AE308" s="40"/>
      <c r="AF308" s="1472"/>
      <c r="AH308" s="27" t="s">
        <v>11</v>
      </c>
      <c r="AI308" s="32" t="str">
        <f>AI311</f>
        <v>N NOMBRE DE LA RECETA | | Autor &gt; USTED</v>
      </c>
      <c r="AJ308" s="33">
        <f>AJ311</f>
        <v>18</v>
      </c>
      <c r="AK308" s="33" t="str">
        <f>AK311</f>
        <v>postres</v>
      </c>
      <c r="AL308" s="34" t="str">
        <f>AL311</f>
        <v>Receta madre ► Introduzca el nombre de la receta principal</v>
      </c>
      <c r="AM308" s="42" t="s">
        <v>905</v>
      </c>
      <c r="AN308" s="43"/>
      <c r="AO308" s="43"/>
      <c r="AP308" s="44" t="s">
        <v>33</v>
      </c>
      <c r="AQ308" s="5477" t="str">
        <f>AR311&amp;" "&amp;AS311&amp;" ► categoría = "&amp;AT305&amp;" ► "&amp;AN305&amp;" "&amp; "pour "&amp;AT309&amp;" "&amp;AU309</f>
        <v>Receta madre ► Introduzca el nombre de la receta principal ► categoría = pegue esto — FAMILIA ► NOMBRE DE LA RECETA pour 36 postres</v>
      </c>
      <c r="AR308" s="5477"/>
      <c r="AS308" s="5477"/>
      <c r="AT308" s="5039" t="s">
        <v>3326</v>
      </c>
      <c r="AU308" s="40"/>
      <c r="AV308" s="1472"/>
      <c r="BV308" s="3">
        <v>1</v>
      </c>
    </row>
    <row r="309" spans="2:74" ht="21" customHeight="1">
      <c r="B309" s="27" t="s">
        <v>11</v>
      </c>
      <c r="C309" s="32" t="str">
        <f>C311</f>
        <v>N NOM DE VOTRE RECETTE | | Auteur &gt; VOUS</v>
      </c>
      <c r="D309" s="33">
        <f>D311</f>
        <v>18</v>
      </c>
      <c r="E309" s="33" t="str">
        <f>E311</f>
        <v>desserts</v>
      </c>
      <c r="F309" s="34" t="str">
        <f>F311</f>
        <v>Recette mère ► Saisir le nom de la recette principale</v>
      </c>
      <c r="G309" s="50">
        <v>18</v>
      </c>
      <c r="H309" s="51" t="s">
        <v>3275</v>
      </c>
      <c r="I309" s="42"/>
      <c r="J309" s="42"/>
      <c r="K309" s="5477"/>
      <c r="L309" s="5477"/>
      <c r="M309" s="5477"/>
      <c r="N309" s="46">
        <v>36</v>
      </c>
      <c r="O309" s="5478" t="str">
        <f>H309</f>
        <v>desserts</v>
      </c>
      <c r="P309" s="5479"/>
      <c r="R309" s="27" t="s">
        <v>11</v>
      </c>
      <c r="S309" s="32" t="str">
        <f>S311</f>
        <v>N NAME OF YOUR RECIPE | |  Author &gt; YOU</v>
      </c>
      <c r="T309" s="33">
        <f>T311</f>
        <v>18</v>
      </c>
      <c r="U309" s="33" t="str">
        <f>U311</f>
        <v>desserts</v>
      </c>
      <c r="V309" s="34" t="str">
        <f>V311</f>
        <v>Master recipe ► Enter the main recipe name</v>
      </c>
      <c r="W309" s="50">
        <v>18</v>
      </c>
      <c r="X309" s="51" t="s">
        <v>3275</v>
      </c>
      <c r="Y309" s="42"/>
      <c r="Z309" s="42"/>
      <c r="AA309" s="5477"/>
      <c r="AB309" s="5477"/>
      <c r="AC309" s="5477"/>
      <c r="AD309" s="46">
        <v>36</v>
      </c>
      <c r="AE309" s="5478" t="str">
        <f>X309</f>
        <v>desserts</v>
      </c>
      <c r="AF309" s="5479"/>
      <c r="AH309" s="27" t="s">
        <v>11</v>
      </c>
      <c r="AI309" s="32" t="str">
        <f>AI311</f>
        <v>N NOMBRE DE LA RECETA | | Autor &gt; USTED</v>
      </c>
      <c r="AJ309" s="33">
        <f>AJ311</f>
        <v>18</v>
      </c>
      <c r="AK309" s="33" t="str">
        <f>AK311</f>
        <v>postres</v>
      </c>
      <c r="AL309" s="34" t="str">
        <f>AL311</f>
        <v>Receta madre ► Introduzca el nombre de la receta principal</v>
      </c>
      <c r="AM309" s="50">
        <v>18</v>
      </c>
      <c r="AN309" s="51" t="s">
        <v>3349</v>
      </c>
      <c r="AO309" s="42"/>
      <c r="AP309" s="42"/>
      <c r="AQ309" s="5477"/>
      <c r="AR309" s="5477"/>
      <c r="AS309" s="5477"/>
      <c r="AT309" s="46">
        <v>36</v>
      </c>
      <c r="AU309" s="5478" t="str">
        <f>AN309</f>
        <v>postres</v>
      </c>
      <c r="AV309" s="5479"/>
      <c r="BV309" s="3">
        <v>1</v>
      </c>
    </row>
    <row r="310" spans="2:74" ht="21" customHeight="1">
      <c r="B310" s="27" t="s">
        <v>16</v>
      </c>
      <c r="C310" s="32" t="str">
        <f>C311</f>
        <v>N NOM DE VOTRE RECETTE | | Auteur &gt; VOUS</v>
      </c>
      <c r="D310" s="33">
        <f>D311</f>
        <v>18</v>
      </c>
      <c r="E310" s="33" t="str">
        <f>E311</f>
        <v>desserts</v>
      </c>
      <c r="F310" s="34" t="str">
        <f>F311</f>
        <v>Recette mère ► Saisir le nom de la recette principale</v>
      </c>
      <c r="G310" s="56"/>
      <c r="H310" s="5165" t="s">
        <v>13098</v>
      </c>
      <c r="I310" s="5468">
        <f>O355/L310</f>
        <v>0</v>
      </c>
      <c r="J310" s="5468"/>
      <c r="K310" s="5054" t="str" cm="1">
        <f t="array" ref="K310">"1= "&amp;IF(OR(G309&lt;=0,I310=""),"",_xlfn.LET(_xlpm.kg,IF(ISNUMBER(I310),I310,VALEUR(SUBSTITUTE(SUBSTITUTE(SUBSTITUTE(LOWER(I310),"kg",""),",",".")," ",""))),TEXT(ROUND(_xlpm.kg*1000/G309,2),"0.##")&amp;" g"))</f>
        <v>1= 0. g</v>
      </c>
      <c r="L310" s="1490">
        <f>IFERROR(N309/G309,0)</f>
        <v>2</v>
      </c>
      <c r="M310" s="45"/>
      <c r="N310" s="5041" t="s">
        <v>50</v>
      </c>
      <c r="O310" s="5042">
        <f>O355</f>
        <v>0</v>
      </c>
      <c r="P310" s="5043"/>
      <c r="R310" s="27" t="s">
        <v>16</v>
      </c>
      <c r="S310" s="32"/>
      <c r="T310" s="33">
        <f>T311</f>
        <v>18</v>
      </c>
      <c r="U310" s="33" t="str">
        <f>U311</f>
        <v>desserts</v>
      </c>
      <c r="V310" s="34" t="str">
        <f>V311</f>
        <v>Master recipe ► Enter the main recipe name</v>
      </c>
      <c r="W310" s="56"/>
      <c r="X310" s="5165" t="s">
        <v>13100</v>
      </c>
      <c r="Y310" s="5468">
        <f>AE355/AB310</f>
        <v>0</v>
      </c>
      <c r="Z310" s="5468"/>
      <c r="AA310" s="5054" t="str" cm="1">
        <f t="array" ref="AA310">"1= "&amp;IF(OR(W309&lt;=0,Y310=""),"",_xlfn.LET(_xlpm.kg,IF(ISNUMBER(Y310),Y310,VALEUR(SUBSTITUTE(SUBSTITUTE(SUBSTITUTE(LOWER(Y310),"kg",""),",",".")," ",""))),TEXT(ROUND(_xlpm.kg*1000/W309,2),"0.##")&amp;" g"))</f>
        <v>1= 0. g</v>
      </c>
      <c r="AB310" s="1490">
        <f>IFERROR(AD309/W309,0)</f>
        <v>2</v>
      </c>
      <c r="AC310" s="45"/>
      <c r="AD310" s="5041" t="s">
        <v>153</v>
      </c>
      <c r="AE310" s="5042">
        <f>AE355</f>
        <v>0</v>
      </c>
      <c r="AF310" s="5043"/>
      <c r="AH310" s="27" t="s">
        <v>16</v>
      </c>
      <c r="AI310" s="32" t="str">
        <f>AI311</f>
        <v>N NOMBRE DE LA RECETA | | Autor &gt; USTED</v>
      </c>
      <c r="AJ310" s="33">
        <f>AJ311</f>
        <v>18</v>
      </c>
      <c r="AK310" s="33" t="str">
        <f>AK311</f>
        <v>postres</v>
      </c>
      <c r="AL310" s="34" t="str">
        <f>AL311</f>
        <v>Receta madre ► Introduzca el nombre de la receta principal</v>
      </c>
      <c r="AM310" s="56"/>
      <c r="AN310" s="5165" t="s">
        <v>13101</v>
      </c>
      <c r="AO310" s="5468">
        <f>AU355/AR310</f>
        <v>0</v>
      </c>
      <c r="AP310" s="5468"/>
      <c r="AQ310" s="5054" t="str" cm="1">
        <f t="array" ref="AQ310">"1= "&amp;IF(OR(AM309&lt;=0,AO310=""),"",_xlfn.LET(_xlpm.kg,IF(ISNUMBER(AO310),AO310,VALEUR(SUBSTITUTE(SUBSTITUTE(SUBSTITUTE(LOWER(AO310),"kg",""),",",".")," ",""))),TEXT(ROUND(_xlpm.kg*1000/AM309,2),"0.##")&amp;" g"))</f>
        <v>1= 0. g</v>
      </c>
      <c r="AR310" s="1490">
        <f>IFERROR(AT309/AM309,0)</f>
        <v>2</v>
      </c>
      <c r="AS310" s="45"/>
      <c r="AT310" s="5041" t="s">
        <v>248</v>
      </c>
      <c r="AU310" s="5042">
        <f>AU355</f>
        <v>0</v>
      </c>
      <c r="AV310" s="5043"/>
      <c r="BV310" s="3">
        <v>1</v>
      </c>
    </row>
    <row r="311" spans="2:74" ht="15.75">
      <c r="B311" s="64" t="s">
        <v>16</v>
      </c>
      <c r="C311" s="65" t="str">
        <f>G311</f>
        <v>N NOM DE VOTRE RECETTE | | Auteur &gt; VOUS</v>
      </c>
      <c r="D311" s="66">
        <f>G309</f>
        <v>18</v>
      </c>
      <c r="E311" s="65" t="str">
        <f>H309</f>
        <v>desserts</v>
      </c>
      <c r="F311" s="67" t="str">
        <f>L311&amp;" "&amp;M311</f>
        <v>Recette mère ► Saisir le nom de la recette principale</v>
      </c>
      <c r="G311" s="68" t="str">
        <f>UPPER(LEFT(H305,1))&amp;" "&amp;H305&amp;" | "&amp;O305&amp;"| "&amp;J307&amp;" "&amp;K307</f>
        <v>N NOM DE VOTRE RECETTE | | Auteur &gt; VOUS</v>
      </c>
      <c r="H311" s="69" t="s">
        <v>54</v>
      </c>
      <c r="I311" s="5469" t="s">
        <v>55</v>
      </c>
      <c r="J311" s="5469"/>
      <c r="K311" s="5469"/>
      <c r="L311" s="70" t="str">
        <f>IF(ISTEXT(M311),"Recette mère ►",H311)</f>
        <v>Recette mère ►</v>
      </c>
      <c r="M311" s="71" t="s">
        <v>3310</v>
      </c>
      <c r="N311" s="71"/>
      <c r="O311" s="72"/>
      <c r="P311" s="1473"/>
      <c r="R311" s="64" t="s">
        <v>16</v>
      </c>
      <c r="S311" s="65" t="str">
        <f>W311</f>
        <v>N NAME OF YOUR RECIPE | |  Author &gt; YOU</v>
      </c>
      <c r="T311" s="66">
        <f>W309</f>
        <v>18</v>
      </c>
      <c r="U311" s="65" t="str">
        <f>X309</f>
        <v>desserts</v>
      </c>
      <c r="V311" s="67" t="str">
        <f>AB311&amp;" "&amp;AC311</f>
        <v>Master recipe ► Enter the main recipe name</v>
      </c>
      <c r="W311" s="68" t="str">
        <f>UPPER(LEFT(X305,1))&amp;" "&amp;X305&amp;" | "&amp;AE305&amp;"| "&amp;Z307&amp;" "&amp;AA307</f>
        <v>N NAME OF YOUR RECIPE | |  Author &gt; YOU</v>
      </c>
      <c r="X311" s="69" t="s">
        <v>3315</v>
      </c>
      <c r="Y311" s="5469" t="s">
        <v>3316</v>
      </c>
      <c r="Z311" s="5469"/>
      <c r="AA311" s="5469"/>
      <c r="AB311" s="70" t="str">
        <f>IF(ISTEXT(AC311),"Master recipe ►",X311)</f>
        <v>Master recipe ►</v>
      </c>
      <c r="AC311" s="71" t="s">
        <v>3317</v>
      </c>
      <c r="AD311" s="71"/>
      <c r="AE311" s="72"/>
      <c r="AF311" s="1473"/>
      <c r="AH311" s="64" t="s">
        <v>16</v>
      </c>
      <c r="AI311" s="65" t="str">
        <f>AM311</f>
        <v>N NOMBRE DE LA RECETA | | Autor &gt; USTED</v>
      </c>
      <c r="AJ311" s="66">
        <f>AM309</f>
        <v>18</v>
      </c>
      <c r="AK311" s="65" t="str">
        <f>AN309</f>
        <v>postres</v>
      </c>
      <c r="AL311" s="67" t="str">
        <f>AR311&amp;" "&amp;AS311</f>
        <v>Receta madre ► Introduzca el nombre de la receta principal</v>
      </c>
      <c r="AM311" s="68" t="str">
        <f>UPPER(LEFT(AN305,1))&amp;" "&amp;AN305&amp;" | "&amp;AU305&amp;"| "&amp;AP307&amp;" "&amp;AQ307</f>
        <v>N NOMBRE DE LA RECETA | | Autor &gt; USTED</v>
      </c>
      <c r="AN311" s="69" t="s">
        <v>3319</v>
      </c>
      <c r="AO311" s="5469" t="s">
        <v>906</v>
      </c>
      <c r="AP311" s="5469"/>
      <c r="AQ311" s="5469"/>
      <c r="AR311" s="70" t="str">
        <f>IF(ISTEXT(AS311),"Receta madre ►",AN311)</f>
        <v>Receta madre ►</v>
      </c>
      <c r="AS311" s="71" t="s">
        <v>3318</v>
      </c>
      <c r="AT311" s="71"/>
      <c r="AU311" s="72"/>
      <c r="AV311" s="1473"/>
      <c r="BV311" s="3">
        <v>1</v>
      </c>
    </row>
    <row r="312" spans="2:74" ht="15.75">
      <c r="B312" s="74" t="s">
        <v>16</v>
      </c>
      <c r="C312" s="75" t="str">
        <f>C311</f>
        <v>N NOM DE VOTRE RECETTE | | Auteur &gt; VOUS</v>
      </c>
      <c r="D312" s="75">
        <f>D311</f>
        <v>18</v>
      </c>
      <c r="E312" s="75" t="str">
        <f>E311</f>
        <v>desserts</v>
      </c>
      <c r="F312" s="76" t="str">
        <f>F311</f>
        <v>Recette mère ► Saisir le nom de la recette principale</v>
      </c>
      <c r="G312" s="13" t="s">
        <v>66</v>
      </c>
      <c r="H312" s="13" t="s">
        <v>67</v>
      </c>
      <c r="I312" s="13" t="s">
        <v>68</v>
      </c>
      <c r="J312" s="13" t="s">
        <v>69</v>
      </c>
      <c r="K312" s="77" t="s">
        <v>70</v>
      </c>
      <c r="L312" s="78" t="s">
        <v>71</v>
      </c>
      <c r="M312" s="79" t="s">
        <v>72</v>
      </c>
      <c r="N312" s="1496" t="s">
        <v>73</v>
      </c>
      <c r="O312" s="13" t="s">
        <v>74</v>
      </c>
      <c r="P312" s="518" t="s">
        <v>75</v>
      </c>
      <c r="R312" s="74" t="s">
        <v>16</v>
      </c>
      <c r="S312" s="75" t="str">
        <f>S311</f>
        <v>N NAME OF YOUR RECIPE | |  Author &gt; YOU</v>
      </c>
      <c r="T312" s="75">
        <f>T311</f>
        <v>18</v>
      </c>
      <c r="U312" s="75" t="str">
        <f>U311</f>
        <v>desserts</v>
      </c>
      <c r="V312" s="76" t="str">
        <f>V311</f>
        <v>Master recipe ► Enter the main recipe name</v>
      </c>
      <c r="W312" s="13" t="s">
        <v>66</v>
      </c>
      <c r="X312" s="13" t="s">
        <v>67</v>
      </c>
      <c r="Y312" s="13" t="s">
        <v>68</v>
      </c>
      <c r="Z312" s="13" t="s">
        <v>69</v>
      </c>
      <c r="AA312" s="77" t="s">
        <v>70</v>
      </c>
      <c r="AB312" s="78" t="s">
        <v>71</v>
      </c>
      <c r="AC312" s="79" t="s">
        <v>72</v>
      </c>
      <c r="AD312" s="1496" t="s">
        <v>73</v>
      </c>
      <c r="AE312" s="13" t="s">
        <v>75</v>
      </c>
      <c r="AF312" s="518" t="s">
        <v>76</v>
      </c>
      <c r="AH312" s="74" t="s">
        <v>16</v>
      </c>
      <c r="AI312" s="75" t="str">
        <f>AI311</f>
        <v>N NOMBRE DE LA RECETA | | Autor &gt; USTED</v>
      </c>
      <c r="AJ312" s="75">
        <f>AJ311</f>
        <v>18</v>
      </c>
      <c r="AK312" s="75" t="str">
        <f>AK311</f>
        <v>postres</v>
      </c>
      <c r="AL312" s="76" t="str">
        <f>AL311</f>
        <v>Receta madre ► Introduzca el nombre de la receta principal</v>
      </c>
      <c r="AM312" s="13" t="s">
        <v>66</v>
      </c>
      <c r="AN312" s="13" t="s">
        <v>67</v>
      </c>
      <c r="AO312" s="13" t="s">
        <v>68</v>
      </c>
      <c r="AP312" s="13" t="s">
        <v>69</v>
      </c>
      <c r="AQ312" s="77" t="s">
        <v>70</v>
      </c>
      <c r="AR312" s="78" t="s">
        <v>71</v>
      </c>
      <c r="AS312" s="79" t="s">
        <v>72</v>
      </c>
      <c r="AT312" s="1496" t="s">
        <v>73</v>
      </c>
      <c r="AU312" s="13" t="s">
        <v>74</v>
      </c>
      <c r="AV312" s="518" t="s">
        <v>75</v>
      </c>
      <c r="BV312" s="3">
        <v>1</v>
      </c>
    </row>
    <row r="313" spans="2:74" ht="15.75">
      <c r="B313" s="27" t="s">
        <v>11</v>
      </c>
      <c r="C313" s="32" t="str">
        <f>C311</f>
        <v>N NOM DE VOTRE RECETTE | | Auteur &gt; VOUS</v>
      </c>
      <c r="D313" s="33">
        <f>D311</f>
        <v>18</v>
      </c>
      <c r="E313" s="32" t="str">
        <f>E311</f>
        <v>desserts</v>
      </c>
      <c r="F313" s="34" t="str">
        <f>F311</f>
        <v>Recette mère ► Saisir le nom de la recette principale</v>
      </c>
      <c r="G313" s="81" t="s">
        <v>77</v>
      </c>
      <c r="H313" s="82" t="s">
        <v>78</v>
      </c>
      <c r="I313" s="83"/>
      <c r="J313" s="5454" t="s">
        <v>79</v>
      </c>
      <c r="K313" s="5464" t="s">
        <v>80</v>
      </c>
      <c r="L313" s="5466" t="s">
        <v>81</v>
      </c>
      <c r="M313" s="84" t="s">
        <v>82</v>
      </c>
      <c r="N313" s="5444" t="s">
        <v>83</v>
      </c>
      <c r="O313" s="5446" t="s">
        <v>3297</v>
      </c>
      <c r="P313" s="5448" t="s">
        <v>86</v>
      </c>
      <c r="R313" s="27" t="s">
        <v>11</v>
      </c>
      <c r="S313" s="32" t="str">
        <f>S311</f>
        <v>N NAME OF YOUR RECIPE | |  Author &gt; YOU</v>
      </c>
      <c r="T313" s="33">
        <f>T311</f>
        <v>18</v>
      </c>
      <c r="U313" s="32" t="str">
        <f>U311</f>
        <v>desserts</v>
      </c>
      <c r="V313" s="34" t="str">
        <f>V311</f>
        <v>Master recipe ► Enter the main recipe name</v>
      </c>
      <c r="W313" s="81" t="s">
        <v>77</v>
      </c>
      <c r="X313" s="82" t="s">
        <v>78</v>
      </c>
      <c r="Y313" s="83"/>
      <c r="Z313" s="5454" t="s">
        <v>228</v>
      </c>
      <c r="AA313" s="5464" t="s">
        <v>80</v>
      </c>
      <c r="AB313" s="5466" t="s">
        <v>81</v>
      </c>
      <c r="AC313" s="84" t="s">
        <v>82</v>
      </c>
      <c r="AD313" s="5444" t="s">
        <v>244</v>
      </c>
      <c r="AE313" s="5446" t="s">
        <v>890</v>
      </c>
      <c r="AF313" s="5448" t="s">
        <v>247</v>
      </c>
      <c r="AH313" s="27" t="s">
        <v>11</v>
      </c>
      <c r="AI313" s="32" t="str">
        <f>AI311</f>
        <v>N NOMBRE DE LA RECETA | | Autor &gt; USTED</v>
      </c>
      <c r="AJ313" s="33">
        <f>AJ311</f>
        <v>18</v>
      </c>
      <c r="AK313" s="32" t="str">
        <f>AK311</f>
        <v>postres</v>
      </c>
      <c r="AL313" s="34" t="str">
        <f>AL311</f>
        <v>Receta madre ► Introduzca el nombre de la receta principal</v>
      </c>
      <c r="AM313" s="81" t="s">
        <v>77</v>
      </c>
      <c r="AN313" s="82" t="s">
        <v>78</v>
      </c>
      <c r="AO313" s="83"/>
      <c r="AP313" s="5470" t="s">
        <v>229</v>
      </c>
      <c r="AQ313" s="5495" t="s">
        <v>80</v>
      </c>
      <c r="AR313" s="5481" t="s">
        <v>396</v>
      </c>
      <c r="AS313" s="84" t="s">
        <v>82</v>
      </c>
      <c r="AT313" s="5444" t="s">
        <v>249</v>
      </c>
      <c r="AU313" s="5446" t="s">
        <v>907</v>
      </c>
      <c r="AV313" s="5448" t="s">
        <v>252</v>
      </c>
      <c r="BV313" s="3">
        <v>1</v>
      </c>
    </row>
    <row r="314" spans="2:74" ht="15.75">
      <c r="B314" s="27" t="s">
        <v>11</v>
      </c>
      <c r="C314" s="32" t="str">
        <f>C311</f>
        <v>N NOM DE VOTRE RECETTE | | Auteur &gt; VOUS</v>
      </c>
      <c r="D314" s="33">
        <f>D311</f>
        <v>18</v>
      </c>
      <c r="E314" s="32" t="str">
        <f>E311</f>
        <v>desserts</v>
      </c>
      <c r="F314" s="34" t="str">
        <f>F311</f>
        <v>Recette mère ► Saisir le nom de la recette principale</v>
      </c>
      <c r="G314" s="87" t="s">
        <v>91</v>
      </c>
      <c r="H314" s="88" t="s">
        <v>92</v>
      </c>
      <c r="I314" s="89" t="s">
        <v>93</v>
      </c>
      <c r="J314" s="5455"/>
      <c r="K314" s="5465"/>
      <c r="L314" s="5467"/>
      <c r="M314" s="90" t="s">
        <v>94</v>
      </c>
      <c r="N314" s="5445"/>
      <c r="O314" s="5447"/>
      <c r="P314" s="5449"/>
      <c r="R314" s="27" t="s">
        <v>11</v>
      </c>
      <c r="S314" s="32" t="str">
        <f>S311</f>
        <v>N NAME OF YOUR RECIPE | |  Author &gt; YOU</v>
      </c>
      <c r="T314" s="33">
        <f>T311</f>
        <v>18</v>
      </c>
      <c r="U314" s="32" t="str">
        <f>U311</f>
        <v>desserts</v>
      </c>
      <c r="V314" s="34" t="str">
        <f>V311</f>
        <v>Master recipe ► Enter the main recipe name</v>
      </c>
      <c r="W314" s="87" t="s">
        <v>231</v>
      </c>
      <c r="X314" s="88" t="s">
        <v>232</v>
      </c>
      <c r="Y314" s="89" t="s">
        <v>891</v>
      </c>
      <c r="Z314" s="5455"/>
      <c r="AA314" s="5465"/>
      <c r="AB314" s="5467"/>
      <c r="AC314" s="90" t="s">
        <v>867</v>
      </c>
      <c r="AD314" s="5445"/>
      <c r="AE314" s="5447"/>
      <c r="AF314" s="5449"/>
      <c r="AH314" s="27" t="s">
        <v>11</v>
      </c>
      <c r="AI314" s="32" t="str">
        <f>AI311</f>
        <v>N NOMBRE DE LA RECETA | | Autor &gt; USTED</v>
      </c>
      <c r="AJ314" s="33">
        <f>AJ311</f>
        <v>18</v>
      </c>
      <c r="AK314" s="32" t="str">
        <f>AK311</f>
        <v>postres</v>
      </c>
      <c r="AL314" s="34" t="str">
        <f>AL311</f>
        <v>Receta madre ► Introduzca el nombre de la receta principal</v>
      </c>
      <c r="AM314" s="87" t="s">
        <v>234</v>
      </c>
      <c r="AN314" s="88" t="s">
        <v>235</v>
      </c>
      <c r="AO314" s="89" t="s">
        <v>93</v>
      </c>
      <c r="AP314" s="5455"/>
      <c r="AQ314" s="5465"/>
      <c r="AR314" s="5467"/>
      <c r="AS314" s="90" t="s">
        <v>869</v>
      </c>
      <c r="AT314" s="5445"/>
      <c r="AU314" s="5447"/>
      <c r="AV314" s="5449"/>
      <c r="BV314" s="3">
        <v>1</v>
      </c>
    </row>
    <row r="315" spans="2:74" ht="18.75">
      <c r="B315" s="27" t="s">
        <v>11</v>
      </c>
      <c r="C315" s="32" t="str">
        <f>C311</f>
        <v>N NOM DE VOTRE RECETTE | | Auteur &gt; VOUS</v>
      </c>
      <c r="D315" s="33">
        <f>D311</f>
        <v>18</v>
      </c>
      <c r="E315" s="32" t="str">
        <f>E311</f>
        <v>desserts</v>
      </c>
      <c r="F315" s="34" t="str">
        <f>F311</f>
        <v>Recette mère ► Saisir le nom de la recette principale</v>
      </c>
      <c r="G315" s="92"/>
      <c r="H315" s="93"/>
      <c r="I315" s="94" t="str">
        <f t="shared" ref="I315:I354" si="44">IF(OR(ISTEXT(G315), G315&lt;=0, J315&lt;=0), "", "de")</f>
        <v/>
      </c>
      <c r="J315" s="95"/>
      <c r="K315" s="126"/>
      <c r="L315" s="127">
        <v>1</v>
      </c>
      <c r="M315" s="919"/>
      <c r="N315" s="100">
        <f>IF(OR(ISBLANK(G309),N309=0),0,G315*L310)</f>
        <v>0</v>
      </c>
      <c r="O315" s="101" cm="1">
        <f t="array" ref="O315">IFERROR(_xlfn.LET(_xlpm.k,UPPER(TRIM(K315)),_xlpm.r,_xlfn.XLOOKUP(_xlpm.k,UPPER(TRIM(G356:P356)),G357:P357,_xlfn.XLOOKUP(_xlpm.k,UPPER(TRIM(G358:P358)),G359:P359)),_xlpm.r*J315*L315*L310*IF(ISBLANK(G315),1,G315)),0)</f>
        <v>0</v>
      </c>
      <c r="P315" s="1476" t="str">
        <f>_xlfn.LET(_xlpm.unite,SUBSTITUTE(TRIM(K315)," (s)",""),_xlpm.val,O315,_xlpm.estVol,COUNTIF(J356:P356,_xlpm.unite)+COUNTIF(J358:P358,_xlpm.unite)&gt;0,_xlpm.estPoids,COUNTIF(G356:I356,_xlpm.unite)+COUNTIF(G358:I358,_xlpm.unite)&gt;0,IF(_xlpm.estVol,IF(ROUND(_xlpm.val,3)&gt;=1,ROUND(_xlpm.val,3)&amp;" L",MAX(1,ROUND(_xlpm.val*100,0))&amp;" cl"),IF(_xlpm.estPoids,IF(ROUND(_xlpm.val,3)&gt;=1,ROUND(_xlpm.val,3)&amp;" Kg",MAX(1,ROUND(_xlpm.val*1000,0))&amp;" g"),"")))</f>
        <v/>
      </c>
      <c r="R315" s="27" t="s">
        <v>11</v>
      </c>
      <c r="S315" s="32" t="str">
        <f>S311</f>
        <v>N NAME OF YOUR RECIPE | |  Author &gt; YOU</v>
      </c>
      <c r="T315" s="33">
        <f>T311</f>
        <v>18</v>
      </c>
      <c r="U315" s="32" t="str">
        <f>U311</f>
        <v>desserts</v>
      </c>
      <c r="V315" s="34" t="str">
        <f>V311</f>
        <v>Master recipe ► Enter the main recipe name</v>
      </c>
      <c r="W315" s="92"/>
      <c r="X315" s="93"/>
      <c r="Y315" s="94" t="str">
        <f t="shared" ref="Y315:Y354" si="45">IF(OR(ISTEXT(W315), W315&lt;=0, Z315&lt;=0), "", "of")</f>
        <v/>
      </c>
      <c r="Z315" s="95"/>
      <c r="AA315" s="126"/>
      <c r="AB315" s="127">
        <v>1</v>
      </c>
      <c r="AC315" s="919"/>
      <c r="AD315" s="100">
        <f>IF(OR(ISBLANK(W309),AD309=0),0,W315*AB310)</f>
        <v>0</v>
      </c>
      <c r="AE315" s="101" cm="1">
        <f t="array" ref="AE315">IFERROR(_xlfn.LET(_xlpm.k,UPPER(TRIM(AA315)),_xlpm.r,_xlfn.XLOOKUP(_xlpm.k,UPPER(TRIM(W356:AF356)),W357:AF357,_xlfn.XLOOKUP(_xlpm.k,UPPER(TRIM(W358:AF358)),W359:AF359)),_xlpm.r*Z315*AB315*AB310*IF(ISBLANK(W315),1,W315)),0)</f>
        <v>0</v>
      </c>
      <c r="AF315" s="1476" t="str">
        <f>_xlfn.LET(_xlpm.unite,SUBSTITUTE(TRIM(AA315)," (s)",""),_xlpm.val,AE315,_xlpm.estVol,COUNTIF(Z356:AF356,_xlpm.unite)+COUNTIF(Z358:AF358,_xlpm.unite)&gt;0,_xlpm.estPoids,COUNTIF(W356:Y356,_xlpm.unite)+COUNTIF(W358:Y358,_xlpm.unite)&gt;0,IF(_xlpm.estVol,IF(ROUND(_xlpm.val,3)&gt;=1,ROUND(_xlpm.val,3)&amp;" L",MAX(1,ROUND(_xlpm.val*100,0))&amp;" cl"),IF(_xlpm.estPoids,IF(ROUND(_xlpm.val,3)&gt;=1,ROUND(_xlpm.val,3)&amp;" Kg",MAX(1,ROUND(_xlpm.val*1000,0))&amp;" g"),"")))</f>
        <v/>
      </c>
      <c r="AH315" s="27" t="s">
        <v>11</v>
      </c>
      <c r="AI315" s="32" t="str">
        <f>AI311</f>
        <v>N NOMBRE DE LA RECETA | | Autor &gt; USTED</v>
      </c>
      <c r="AJ315" s="33">
        <f>AJ311</f>
        <v>18</v>
      </c>
      <c r="AK315" s="32" t="str">
        <f>AK311</f>
        <v>postres</v>
      </c>
      <c r="AL315" s="34" t="str">
        <f>AL311</f>
        <v>Receta madre ► Introduzca el nombre de la receta principal</v>
      </c>
      <c r="AM315" s="92"/>
      <c r="AN315" s="93"/>
      <c r="AO315" s="94" t="str">
        <f t="shared" ref="AO315:AO354" si="46">IF(OR(ISTEXT(AM315), AM315&lt;=0, AP315&lt;=0), "", "de")</f>
        <v/>
      </c>
      <c r="AP315" s="95"/>
      <c r="AQ315" s="126"/>
      <c r="AR315" s="127">
        <v>1</v>
      </c>
      <c r="AS315" s="919"/>
      <c r="AT315" s="100">
        <f>IF(OR(ISBLANK(AM309),AT309=0),0,AM315*AR310)</f>
        <v>0</v>
      </c>
      <c r="AU315" s="101" cm="1">
        <f t="array" ref="AU315">IFERROR(_xlfn.LET(_xlpm.k,UPPER(TRIM(AQ315)),_xlpm.r,_xlfn.XLOOKUP(_xlpm.k,UPPER(TRIM(AM356:AV356)),AM357:AV357,_xlfn.XLOOKUP(_xlpm.k,UPPER(TRIM(AM358:AV358)),AM359:AV359)),_xlpm.r*AP315*AR315*AR310*IF(ISBLANK(AM315),1,AM315)),0)</f>
        <v>0</v>
      </c>
      <c r="AV315" s="1476" t="str">
        <f>_xlfn.LET(_xlpm.unite,SUBSTITUTE(TRIM(AQ315)," (s)",""),_xlpm.val,AU315,_xlpm.estVol,COUNTIF(AP356:AV356,_xlpm.unite)+COUNTIF(AP358:AV358,_xlpm.unite)&gt;0,_xlpm.estPoids,COUNTIF(AM356:AO356,_xlpm.unite)+COUNTIF(AM358:AO358,_xlpm.unite)&gt;0,IF(_xlpm.estVol,IF(ROUND(_xlpm.val,3)&gt;=1,ROUND(_xlpm.val,3)&amp;" L",MAX(1,ROUND(_xlpm.val*100,0))&amp;" cl"),IF(_xlpm.estPoids,IF(ROUND(_xlpm.val,3)&gt;=1,ROUND(_xlpm.val,3)&amp;" Kg",MAX(1,ROUND(_xlpm.val*1000,0))&amp;" g"),"")))</f>
        <v/>
      </c>
      <c r="BV315" s="3">
        <v>1</v>
      </c>
    </row>
    <row r="316" spans="2:74" ht="18.75">
      <c r="B316" s="104" t="str">
        <f t="shared" ref="B316:B354" si="47">IF(M316&lt;&gt;"","A","►")</f>
        <v>►</v>
      </c>
      <c r="C316" s="32" t="str">
        <f>C311</f>
        <v>N NOM DE VOTRE RECETTE | | Auteur &gt; VOUS</v>
      </c>
      <c r="D316" s="33">
        <f>D311</f>
        <v>18</v>
      </c>
      <c r="E316" s="32" t="str">
        <f>E311</f>
        <v>desserts</v>
      </c>
      <c r="F316" s="34" t="str">
        <f>F311</f>
        <v>Recette mère ► Saisir le nom de la recette principale</v>
      </c>
      <c r="G316" s="92"/>
      <c r="H316" s="93"/>
      <c r="I316" s="94" t="str">
        <f t="shared" si="44"/>
        <v/>
      </c>
      <c r="J316" s="95"/>
      <c r="K316" s="126"/>
      <c r="L316" s="127">
        <v>1</v>
      </c>
      <c r="M316" s="920"/>
      <c r="N316" s="1495">
        <f>IF(OR(ISBLANK(G309),N309=0),0,G316*L310)</f>
        <v>0</v>
      </c>
      <c r="O316" s="101" cm="1">
        <f t="array" ref="O316">IFERROR(_xlfn.LET(_xlpm.k,UPPER(TRIM(K316)),_xlpm.r,_xlfn.XLOOKUP(_xlpm.k,UPPER(TRIM(G356:P356)),G357:P357,_xlfn.XLOOKUP(_xlpm.k,UPPER(TRIM(G358:P358)),G359:P359)),_xlpm.r*J316*L316*L310*IF(ISBLANK(G316),1,G316)),0)</f>
        <v>0</v>
      </c>
      <c r="P316" s="1475" t="str">
        <f>_xlfn.LET(_xlpm.unite,SUBSTITUTE(TRIM(K316)," (s)",""),_xlpm.val,O316,_xlpm.estVol,COUNTIF(J356:P356,_xlpm.unite)+COUNTIF(J358:P358,_xlpm.unite)&gt;0,_xlpm.estPoids,COUNTIF(G356:I356,_xlpm.unite)+COUNTIF(G358:I358,_xlpm.unite)&gt;0,IF(_xlpm.estVol,IF(ROUND(_xlpm.val,3)&gt;=1,ROUND(_xlpm.val,3)&amp;" L",MAX(1,ROUND(_xlpm.val*100,0))&amp;" cl"),IF(_xlpm.estPoids,IF(ROUND(_xlpm.val,3)&gt;=1,ROUND(_xlpm.val,3)&amp;" Kg",MAX(1,ROUND(_xlpm.val*1000,0))&amp;" g"),"")))</f>
        <v/>
      </c>
      <c r="R316" s="104" t="str">
        <f t="shared" ref="R316:R354" si="48">IF(AC316&lt;&gt;"","A","►")</f>
        <v>►</v>
      </c>
      <c r="S316" s="32" t="str">
        <f>S311</f>
        <v>N NAME OF YOUR RECIPE | |  Author &gt; YOU</v>
      </c>
      <c r="T316" s="33">
        <f>T311</f>
        <v>18</v>
      </c>
      <c r="U316" s="32" t="str">
        <f>U311</f>
        <v>desserts</v>
      </c>
      <c r="V316" s="34" t="str">
        <f>V311</f>
        <v>Master recipe ► Enter the main recipe name</v>
      </c>
      <c r="W316" s="92"/>
      <c r="X316" s="93"/>
      <c r="Y316" s="94" t="str">
        <f t="shared" si="45"/>
        <v/>
      </c>
      <c r="Z316" s="95"/>
      <c r="AA316" s="126"/>
      <c r="AB316" s="127">
        <v>1</v>
      </c>
      <c r="AC316" s="920"/>
      <c r="AD316" s="1495">
        <f>IF(OR(ISBLANK(W309),AD309=0),0,W316*AB310)</f>
        <v>0</v>
      </c>
      <c r="AE316" s="101" cm="1">
        <f t="array" ref="AE316">IFERROR(_xlfn.LET(_xlpm.k,UPPER(TRIM(AA316)),_xlpm.r,_xlfn.XLOOKUP(_xlpm.k,UPPER(TRIM(W356:AF356)),W357:AF357,_xlfn.XLOOKUP(_xlpm.k,UPPER(TRIM(W358:AF358)),W359:AF359)),_xlpm.r*Z316*AB316*AB310*IF(ISBLANK(W316),1,W316)),0)</f>
        <v>0</v>
      </c>
      <c r="AF316" s="1475" t="str">
        <f>_xlfn.LET(_xlpm.unite,SUBSTITUTE(TRIM(AA316)," (s)",""),_xlpm.val,AE316,_xlpm.estVol,COUNTIF(Z356:AF356,_xlpm.unite)+COUNTIF(Z358:AF358,_xlpm.unite)&gt;0,_xlpm.estPoids,COUNTIF(W356:Y356,_xlpm.unite)+COUNTIF(W358:Y358,_xlpm.unite)&gt;0,IF(_xlpm.estVol,IF(ROUND(_xlpm.val,3)&gt;=1,ROUND(_xlpm.val,3)&amp;" L",MAX(1,ROUND(_xlpm.val*100,0))&amp;" cl"),IF(_xlpm.estPoids,IF(ROUND(_xlpm.val,3)&gt;=1,ROUND(_xlpm.val,3)&amp;" Kg",MAX(1,ROUND(_xlpm.val*1000,0))&amp;" g"),"")))</f>
        <v/>
      </c>
      <c r="AH316" s="104" t="str">
        <f t="shared" ref="AH316:AH354" si="49">IF(AS316&lt;&gt;"","A","►")</f>
        <v>►</v>
      </c>
      <c r="AI316" s="32" t="str">
        <f>AI311</f>
        <v>N NOMBRE DE LA RECETA | | Autor &gt; USTED</v>
      </c>
      <c r="AJ316" s="33">
        <f>AJ311</f>
        <v>18</v>
      </c>
      <c r="AK316" s="32" t="str">
        <f>AK311</f>
        <v>postres</v>
      </c>
      <c r="AL316" s="34" t="str">
        <f>AL311</f>
        <v>Receta madre ► Introduzca el nombre de la receta principal</v>
      </c>
      <c r="AM316" s="92"/>
      <c r="AN316" s="93"/>
      <c r="AO316" s="94" t="str">
        <f t="shared" si="46"/>
        <v/>
      </c>
      <c r="AP316" s="95"/>
      <c r="AQ316" s="126"/>
      <c r="AR316" s="127">
        <v>1</v>
      </c>
      <c r="AS316" s="920"/>
      <c r="AT316" s="1495">
        <f>IF(OR(ISBLANK(AM309),AT309=0),0,AM316*AR310)</f>
        <v>0</v>
      </c>
      <c r="AU316" s="101" cm="1">
        <f t="array" ref="AU316">IFERROR(_xlfn.LET(_xlpm.k,UPPER(TRIM(AQ316)),_xlpm.r,_xlfn.XLOOKUP(_xlpm.k,UPPER(TRIM(AM356:AV356)),AM357:AV357,_xlfn.XLOOKUP(_xlpm.k,UPPER(TRIM(AM358:AV358)),AM359:AV359)),_xlpm.r*AP316*AR316*AR310*IF(ISBLANK(AM316),1,AM316)),0)</f>
        <v>0</v>
      </c>
      <c r="AV316" s="1475" t="str">
        <f>_xlfn.LET(_xlpm.unite,SUBSTITUTE(TRIM(AQ316)," (s)",""),_xlpm.val,AU316,_xlpm.estVol,COUNTIF(AP356:AV356,_xlpm.unite)+COUNTIF(AP358:AV358,_xlpm.unite)&gt;0,_xlpm.estPoids,COUNTIF(AM356:AO356,_xlpm.unite)+COUNTIF(AM358:AO358,_xlpm.unite)&gt;0,IF(_xlpm.estVol,IF(ROUND(_xlpm.val,3)&gt;=1,ROUND(_xlpm.val,3)&amp;" L",MAX(1,ROUND(_xlpm.val*100,0))&amp;" cl"),IF(_xlpm.estPoids,IF(ROUND(_xlpm.val,3)&gt;=1,ROUND(_xlpm.val,3)&amp;" Kg",MAX(1,ROUND(_xlpm.val*1000,0))&amp;" g"),"")))</f>
        <v/>
      </c>
      <c r="BV316" s="3">
        <v>1</v>
      </c>
    </row>
    <row r="317" spans="2:74" ht="18.75">
      <c r="B317" s="104" t="str">
        <f t="shared" si="47"/>
        <v>►</v>
      </c>
      <c r="C317" s="32" t="str">
        <f>C311</f>
        <v>N NOM DE VOTRE RECETTE | | Auteur &gt; VOUS</v>
      </c>
      <c r="D317" s="33">
        <f>D311</f>
        <v>18</v>
      </c>
      <c r="E317" s="32" t="str">
        <f>E311</f>
        <v>desserts</v>
      </c>
      <c r="F317" s="34" t="str">
        <f>F311</f>
        <v>Recette mère ► Saisir le nom de la recette principale</v>
      </c>
      <c r="G317" s="92"/>
      <c r="H317" s="108"/>
      <c r="I317" s="94" t="str">
        <f t="shared" si="44"/>
        <v/>
      </c>
      <c r="J317" s="95"/>
      <c r="K317" s="126"/>
      <c r="L317" s="127">
        <v>1</v>
      </c>
      <c r="M317" s="920"/>
      <c r="N317" s="1495">
        <f>IF(OR(ISBLANK(G309),N309=0),0,G317*L310)</f>
        <v>0</v>
      </c>
      <c r="O317" s="101" cm="1">
        <f t="array" ref="O317">IFERROR(_xlfn.LET(_xlpm.k,UPPER(TRIM(K317)),_xlpm.r,_xlfn.XLOOKUP(_xlpm.k,UPPER(TRIM(G356:P356)),G357:P357,_xlfn.XLOOKUP(_xlpm.k,UPPER(TRIM(G358:P358)),G359:P359)),_xlpm.r*J317*L317*L310*IF(ISBLANK(G317),1,G317)),0)</f>
        <v>0</v>
      </c>
      <c r="P317" s="1476" t="str">
        <f>_xlfn.LET(_xlpm.unite,SUBSTITUTE(TRIM(K317)," (s)",""),_xlpm.val,O317,_xlpm.estVol,COUNTIF(J356:P356,_xlpm.unite)+COUNTIF(J358:P358,_xlpm.unite)&gt;0,_xlpm.estPoids,COUNTIF(G356:I356,_xlpm.unite)+COUNTIF(G358:I358,_xlpm.unite)&gt;0,IF(_xlpm.estVol,IF(ROUND(_xlpm.val,3)&gt;=1,ROUND(_xlpm.val,3)&amp;" L",MAX(1,ROUND(_xlpm.val*100,0))&amp;" cl"),IF(_xlpm.estPoids,IF(ROUND(_xlpm.val,3)&gt;=1,ROUND(_xlpm.val,3)&amp;" Kg",MAX(1,ROUND(_xlpm.val*1000,0))&amp;" g"),"")))</f>
        <v/>
      </c>
      <c r="R317" s="104" t="str">
        <f t="shared" si="48"/>
        <v>►</v>
      </c>
      <c r="S317" s="32" t="str">
        <f>S311</f>
        <v>N NAME OF YOUR RECIPE | |  Author &gt; YOU</v>
      </c>
      <c r="T317" s="33">
        <f>T311</f>
        <v>18</v>
      </c>
      <c r="U317" s="32" t="str">
        <f>U311</f>
        <v>desserts</v>
      </c>
      <c r="V317" s="34" t="str">
        <f>V311</f>
        <v>Master recipe ► Enter the main recipe name</v>
      </c>
      <c r="W317" s="92"/>
      <c r="X317" s="108"/>
      <c r="Y317" s="94" t="str">
        <f t="shared" si="45"/>
        <v/>
      </c>
      <c r="Z317" s="95"/>
      <c r="AA317" s="126"/>
      <c r="AB317" s="127">
        <v>1</v>
      </c>
      <c r="AC317" s="920"/>
      <c r="AD317" s="1495">
        <f>IF(OR(ISBLANK(W309),AD309=0),0,W317*AB310)</f>
        <v>0</v>
      </c>
      <c r="AE317" s="101" cm="1">
        <f t="array" ref="AE317">IFERROR(_xlfn.LET(_xlpm.k,UPPER(TRIM(AA317)),_xlpm.r,_xlfn.XLOOKUP(_xlpm.k,UPPER(TRIM(W356:AF356)),W357:AF357,_xlfn.XLOOKUP(_xlpm.k,UPPER(TRIM(W358:AF358)),W359:AF359)),_xlpm.r*Z317*AB317*AB310*IF(ISBLANK(W317),1,W317)),0)</f>
        <v>0</v>
      </c>
      <c r="AF317" s="1476" t="str">
        <f>_xlfn.LET(_xlpm.unite,SUBSTITUTE(TRIM(AA317)," (s)",""),_xlpm.val,AE317,_xlpm.estVol,COUNTIF(Z356:AF356,_xlpm.unite)+COUNTIF(Z358:AF358,_xlpm.unite)&gt;0,_xlpm.estPoids,COUNTIF(W356:Y356,_xlpm.unite)+COUNTIF(W358:Y358,_xlpm.unite)&gt;0,IF(_xlpm.estVol,IF(ROUND(_xlpm.val,3)&gt;=1,ROUND(_xlpm.val,3)&amp;" L",MAX(1,ROUND(_xlpm.val*100,0))&amp;" cl"),IF(_xlpm.estPoids,IF(ROUND(_xlpm.val,3)&gt;=1,ROUND(_xlpm.val,3)&amp;" Kg",MAX(1,ROUND(_xlpm.val*1000,0))&amp;" g"),"")))</f>
        <v/>
      </c>
      <c r="AH317" s="104" t="str">
        <f t="shared" si="49"/>
        <v>►</v>
      </c>
      <c r="AI317" s="32" t="str">
        <f>AI311</f>
        <v>N NOMBRE DE LA RECETA | | Autor &gt; USTED</v>
      </c>
      <c r="AJ317" s="33">
        <f>AJ311</f>
        <v>18</v>
      </c>
      <c r="AK317" s="32" t="str">
        <f>AK311</f>
        <v>postres</v>
      </c>
      <c r="AL317" s="34" t="str">
        <f>AL311</f>
        <v>Receta madre ► Introduzca el nombre de la receta principal</v>
      </c>
      <c r="AM317" s="92"/>
      <c r="AN317" s="108"/>
      <c r="AO317" s="94" t="str">
        <f t="shared" si="46"/>
        <v/>
      </c>
      <c r="AP317" s="95"/>
      <c r="AQ317" s="126"/>
      <c r="AR317" s="127">
        <v>1</v>
      </c>
      <c r="AS317" s="920"/>
      <c r="AT317" s="1495">
        <f>IF(OR(ISBLANK(AM309),AT309=0),0,AM317*AR310)</f>
        <v>0</v>
      </c>
      <c r="AU317" s="101" cm="1">
        <f t="array" ref="AU317">IFERROR(_xlfn.LET(_xlpm.k,UPPER(TRIM(AQ317)),_xlpm.r,_xlfn.XLOOKUP(_xlpm.k,UPPER(TRIM(AM356:AV356)),AM357:AV357,_xlfn.XLOOKUP(_xlpm.k,UPPER(TRIM(AM358:AV358)),AM359:AV359)),_xlpm.r*AP317*AR317*AR310*IF(ISBLANK(AM317),1,AM317)),0)</f>
        <v>0</v>
      </c>
      <c r="AV317" s="1476" t="str">
        <f>_xlfn.LET(_xlpm.unite,SUBSTITUTE(TRIM(AQ317)," (s)",""),_xlpm.val,AU317,_xlpm.estVol,COUNTIF(AP356:AV356,_xlpm.unite)+COUNTIF(AP358:AV358,_xlpm.unite)&gt;0,_xlpm.estPoids,COUNTIF(AM356:AO356,_xlpm.unite)+COUNTIF(AM358:AO358,_xlpm.unite)&gt;0,IF(_xlpm.estVol,IF(ROUND(_xlpm.val,3)&gt;=1,ROUND(_xlpm.val,3)&amp;" L",MAX(1,ROUND(_xlpm.val*100,0))&amp;" cl"),IF(_xlpm.estPoids,IF(ROUND(_xlpm.val,3)&gt;=1,ROUND(_xlpm.val,3)&amp;" Kg",MAX(1,ROUND(_xlpm.val*1000,0))&amp;" g"),"")))</f>
        <v/>
      </c>
      <c r="BV317" s="3">
        <v>1</v>
      </c>
    </row>
    <row r="318" spans="2:74" ht="18.75">
      <c r="B318" s="104" t="str">
        <f t="shared" si="47"/>
        <v>A</v>
      </c>
      <c r="C318" s="32" t="str">
        <f>C311</f>
        <v>N NOM DE VOTRE RECETTE | | Auteur &gt; VOUS</v>
      </c>
      <c r="D318" s="33">
        <f>D311</f>
        <v>18</v>
      </c>
      <c r="E318" s="32" t="str">
        <f>E311</f>
        <v>desserts</v>
      </c>
      <c r="F318" s="34" t="str">
        <f>F311</f>
        <v>Recette mère ► Saisir le nom de la recette principale</v>
      </c>
      <c r="G318" s="92"/>
      <c r="H318" s="108"/>
      <c r="I318" s="94" t="str">
        <f t="shared" si="44"/>
        <v/>
      </c>
      <c r="J318" s="95"/>
      <c r="K318" s="126"/>
      <c r="L318" s="127">
        <v>1</v>
      </c>
      <c r="M318" s="920" t="s">
        <v>3313</v>
      </c>
      <c r="N318" s="1495">
        <f>IF(OR(ISBLANK(G309),N309=0),0,G318*L310)</f>
        <v>0</v>
      </c>
      <c r="O318" s="101" cm="1">
        <f t="array" ref="O318">IFERROR(_xlfn.LET(_xlpm.k,UPPER(TRIM(K318)),_xlpm.r,_xlfn.XLOOKUP(_xlpm.k,UPPER(TRIM(G356:P356)),G357:P357,_xlfn.XLOOKUP(_xlpm.k,UPPER(TRIM(G358:P358)),G359:P359)),_xlpm.r*J318*L318*L310*IF(ISBLANK(G318),1,G318)),0)</f>
        <v>0</v>
      </c>
      <c r="P318" s="1475" t="str">
        <f>_xlfn.LET(_xlpm.unite,SUBSTITUTE(TRIM(K318)," (s)",""),_xlpm.val,O318,_xlpm.estVol,COUNTIF(J356:P356,_xlpm.unite)+COUNTIF(J358:P358,_xlpm.unite)&gt;0,_xlpm.estPoids,COUNTIF(G356:I356,_xlpm.unite)+COUNTIF(G358:I358,_xlpm.unite)&gt;0,IF(_xlpm.estVol,IF(ROUND(_xlpm.val,3)&gt;=1,ROUND(_xlpm.val,3)&amp;" L",MAX(1,ROUND(_xlpm.val*100,0))&amp;" cl"),IF(_xlpm.estPoids,IF(ROUND(_xlpm.val,3)&gt;=1,ROUND(_xlpm.val,3)&amp;" Kg",MAX(1,ROUND(_xlpm.val*1000,0))&amp;" g"),"")))</f>
        <v/>
      </c>
      <c r="R318" s="104" t="str">
        <f t="shared" si="48"/>
        <v>A</v>
      </c>
      <c r="S318" s="32" t="str">
        <f>S311</f>
        <v>N NAME OF YOUR RECIPE | |  Author &gt; YOU</v>
      </c>
      <c r="T318" s="33">
        <f>T311</f>
        <v>18</v>
      </c>
      <c r="U318" s="32" t="str">
        <f>U311</f>
        <v>desserts</v>
      </c>
      <c r="V318" s="34" t="str">
        <f>V311</f>
        <v>Master recipe ► Enter the main recipe name</v>
      </c>
      <c r="W318" s="92"/>
      <c r="X318" s="108"/>
      <c r="Y318" s="94" t="str">
        <f t="shared" si="45"/>
        <v/>
      </c>
      <c r="Z318" s="95"/>
      <c r="AA318" s="126"/>
      <c r="AB318" s="127">
        <v>1</v>
      </c>
      <c r="AC318" s="920" t="s">
        <v>3348</v>
      </c>
      <c r="AD318" s="1495">
        <f>IF(OR(ISBLANK(W309),AD309=0),0,W318*AB310)</f>
        <v>0</v>
      </c>
      <c r="AE318" s="101" cm="1">
        <f t="array" ref="AE318">IFERROR(_xlfn.LET(_xlpm.k,UPPER(TRIM(AA318)),_xlpm.r,_xlfn.XLOOKUP(_xlpm.k,UPPER(TRIM(W356:AF356)),W357:AF357,_xlfn.XLOOKUP(_xlpm.k,UPPER(TRIM(W358:AF358)),W359:AF359)),_xlpm.r*Z318*AB318*AB310*IF(ISBLANK(W318),1,W318)),0)</f>
        <v>0</v>
      </c>
      <c r="AF318" s="1475" t="str">
        <f>_xlfn.LET(_xlpm.unite,SUBSTITUTE(TRIM(AA318)," (s)",""),_xlpm.val,AE318,_xlpm.estVol,COUNTIF(Z356:AF356,_xlpm.unite)+COUNTIF(Z358:AF358,_xlpm.unite)&gt;0,_xlpm.estPoids,COUNTIF(W356:Y356,_xlpm.unite)+COUNTIF(W358:Y358,_xlpm.unite)&gt;0,IF(_xlpm.estVol,IF(ROUND(_xlpm.val,3)&gt;=1,ROUND(_xlpm.val,3)&amp;" L",MAX(1,ROUND(_xlpm.val*100,0))&amp;" cl"),IF(_xlpm.estPoids,IF(ROUND(_xlpm.val,3)&gt;=1,ROUND(_xlpm.val,3)&amp;" Kg",MAX(1,ROUND(_xlpm.val*1000,0))&amp;" g"),"")))</f>
        <v/>
      </c>
      <c r="AH318" s="104" t="str">
        <f t="shared" si="49"/>
        <v>A</v>
      </c>
      <c r="AI318" s="32" t="str">
        <f>AI311</f>
        <v>N NOMBRE DE LA RECETA | | Autor &gt; USTED</v>
      </c>
      <c r="AJ318" s="33">
        <f>AJ311</f>
        <v>18</v>
      </c>
      <c r="AK318" s="32" t="str">
        <f>AK311</f>
        <v>postres</v>
      </c>
      <c r="AL318" s="34" t="str">
        <f>AL311</f>
        <v>Receta madre ► Introduzca el nombre de la receta principal</v>
      </c>
      <c r="AM318" s="92"/>
      <c r="AN318" s="108"/>
      <c r="AO318" s="94" t="str">
        <f t="shared" si="46"/>
        <v/>
      </c>
      <c r="AP318" s="95"/>
      <c r="AQ318" s="126"/>
      <c r="AR318" s="127">
        <v>1</v>
      </c>
      <c r="AS318" s="920" t="s">
        <v>3346</v>
      </c>
      <c r="AT318" s="1495">
        <f>IF(OR(ISBLANK(AM309),AT309=0),0,AM318*AR310)</f>
        <v>0</v>
      </c>
      <c r="AU318" s="101" cm="1">
        <f t="array" ref="AU318">IFERROR(_xlfn.LET(_xlpm.k,UPPER(TRIM(AQ318)),_xlpm.r,_xlfn.XLOOKUP(_xlpm.k,UPPER(TRIM(AM356:AV356)),AM357:AV357,_xlfn.XLOOKUP(_xlpm.k,UPPER(TRIM(AM358:AV358)),AM359:AV359)),_xlpm.r*AP318*AR318*AR310*IF(ISBLANK(AM318),1,AM318)),0)</f>
        <v>0</v>
      </c>
      <c r="AV318" s="1475" t="str">
        <f>_xlfn.LET(_xlpm.unite,SUBSTITUTE(TRIM(AQ318)," (s)",""),_xlpm.val,AU318,_xlpm.estVol,COUNTIF(AP356:AV356,_xlpm.unite)+COUNTIF(AP358:AV358,_xlpm.unite)&gt;0,_xlpm.estPoids,COUNTIF(AM356:AO356,_xlpm.unite)+COUNTIF(AM358:AO358,_xlpm.unite)&gt;0,IF(_xlpm.estVol,IF(ROUND(_xlpm.val,3)&gt;=1,ROUND(_xlpm.val,3)&amp;" L",MAX(1,ROUND(_xlpm.val*100,0))&amp;" cl"),IF(_xlpm.estPoids,IF(ROUND(_xlpm.val,3)&gt;=1,ROUND(_xlpm.val,3)&amp;" Kg",MAX(1,ROUND(_xlpm.val*1000,0))&amp;" g"),"")))</f>
        <v/>
      </c>
      <c r="BV318" s="3">
        <v>1</v>
      </c>
    </row>
    <row r="319" spans="2:74" ht="18.75">
      <c r="B319" s="104" t="str">
        <f t="shared" si="47"/>
        <v>►</v>
      </c>
      <c r="C319" s="32" t="str">
        <f>C311</f>
        <v>N NOM DE VOTRE RECETTE | | Auteur &gt; VOUS</v>
      </c>
      <c r="D319" s="33">
        <f>D311</f>
        <v>18</v>
      </c>
      <c r="E319" s="32" t="str">
        <f>E311</f>
        <v>desserts</v>
      </c>
      <c r="F319" s="34" t="str">
        <f>F311</f>
        <v>Recette mère ► Saisir le nom de la recette principale</v>
      </c>
      <c r="G319" s="92"/>
      <c r="H319" s="108"/>
      <c r="I319" s="94" t="str">
        <f t="shared" si="44"/>
        <v/>
      </c>
      <c r="J319" s="95"/>
      <c r="K319" s="126"/>
      <c r="L319" s="127">
        <v>1</v>
      </c>
      <c r="M319" s="920"/>
      <c r="N319" s="1495">
        <f>IF(OR(ISBLANK(G309),N309=0),0,G319*L310)</f>
        <v>0</v>
      </c>
      <c r="O319" s="101" cm="1">
        <f t="array" ref="O319">IFERROR(_xlfn.LET(_xlpm.k,UPPER(TRIM(K319)),_xlpm.r,_xlfn.XLOOKUP(_xlpm.k,UPPER(TRIM(G356:P356)),G357:P357,_xlfn.XLOOKUP(_xlpm.k,UPPER(TRIM(G358:P358)),G359:P359)),_xlpm.r*J319*L319*L310*IF(ISBLANK(G319),1,G319)),0)</f>
        <v>0</v>
      </c>
      <c r="P319" s="1476" t="str">
        <f>_xlfn.LET(_xlpm.unite,SUBSTITUTE(TRIM(K319)," (s)",""),_xlpm.val,O319,_xlpm.estVol,COUNTIF(J356:P356,_xlpm.unite)+COUNTIF(J358:P358,_xlpm.unite)&gt;0,_xlpm.estPoids,COUNTIF(G356:I356,_xlpm.unite)+COUNTIF(G358:I358,_xlpm.unite)&gt;0,IF(_xlpm.estVol,IF(ROUND(_xlpm.val,3)&gt;=1,ROUND(_xlpm.val,3)&amp;" L",MAX(1,ROUND(_xlpm.val*100,0))&amp;" cl"),IF(_xlpm.estPoids,IF(ROUND(_xlpm.val,3)&gt;=1,ROUND(_xlpm.val,3)&amp;" Kg",MAX(1,ROUND(_xlpm.val*1000,0))&amp;" g"),"")))</f>
        <v/>
      </c>
      <c r="R319" s="104" t="str">
        <f t="shared" si="48"/>
        <v>►</v>
      </c>
      <c r="S319" s="32" t="str">
        <f>S311</f>
        <v>N NAME OF YOUR RECIPE | |  Author &gt; YOU</v>
      </c>
      <c r="T319" s="33">
        <f>T311</f>
        <v>18</v>
      </c>
      <c r="U319" s="32" t="str">
        <f>U311</f>
        <v>desserts</v>
      </c>
      <c r="V319" s="34" t="str">
        <f>V311</f>
        <v>Master recipe ► Enter the main recipe name</v>
      </c>
      <c r="W319" s="92"/>
      <c r="X319" s="108"/>
      <c r="Y319" s="94" t="str">
        <f t="shared" si="45"/>
        <v/>
      </c>
      <c r="Z319" s="95"/>
      <c r="AA319" s="126"/>
      <c r="AB319" s="127">
        <v>1</v>
      </c>
      <c r="AC319" s="920"/>
      <c r="AD319" s="1495">
        <f>IF(OR(ISBLANK(W309),AD309=0),0,W319*AB310)</f>
        <v>0</v>
      </c>
      <c r="AE319" s="101" cm="1">
        <f t="array" ref="AE319">IFERROR(_xlfn.LET(_xlpm.k,UPPER(TRIM(AA319)),_xlpm.r,_xlfn.XLOOKUP(_xlpm.k,UPPER(TRIM(W356:AF356)),W357:AF357,_xlfn.XLOOKUP(_xlpm.k,UPPER(TRIM(W358:AF358)),W359:AF359)),_xlpm.r*Z319*AB319*AB310*IF(ISBLANK(W319),1,W319)),0)</f>
        <v>0</v>
      </c>
      <c r="AF319" s="1476" t="str">
        <f>_xlfn.LET(_xlpm.unite,SUBSTITUTE(TRIM(AA319)," (s)",""),_xlpm.val,AE319,_xlpm.estVol,COUNTIF(Z356:AF356,_xlpm.unite)+COUNTIF(Z358:AF358,_xlpm.unite)&gt;0,_xlpm.estPoids,COUNTIF(W356:Y356,_xlpm.unite)+COUNTIF(W358:Y358,_xlpm.unite)&gt;0,IF(_xlpm.estVol,IF(ROUND(_xlpm.val,3)&gt;=1,ROUND(_xlpm.val,3)&amp;" L",MAX(1,ROUND(_xlpm.val*100,0))&amp;" cl"),IF(_xlpm.estPoids,IF(ROUND(_xlpm.val,3)&gt;=1,ROUND(_xlpm.val,3)&amp;" Kg",MAX(1,ROUND(_xlpm.val*1000,0))&amp;" g"),"")))</f>
        <v/>
      </c>
      <c r="AH319" s="104" t="str">
        <f t="shared" si="49"/>
        <v>►</v>
      </c>
      <c r="AI319" s="32" t="str">
        <f>AI311</f>
        <v>N NOMBRE DE LA RECETA | | Autor &gt; USTED</v>
      </c>
      <c r="AJ319" s="33">
        <f>AJ311</f>
        <v>18</v>
      </c>
      <c r="AK319" s="32" t="str">
        <f>AK311</f>
        <v>postres</v>
      </c>
      <c r="AL319" s="34" t="str">
        <f>AL311</f>
        <v>Receta madre ► Introduzca el nombre de la receta principal</v>
      </c>
      <c r="AM319" s="92"/>
      <c r="AN319" s="108"/>
      <c r="AO319" s="94" t="str">
        <f t="shared" si="46"/>
        <v/>
      </c>
      <c r="AP319" s="95"/>
      <c r="AQ319" s="126"/>
      <c r="AR319" s="127">
        <v>1</v>
      </c>
      <c r="AS319" s="920"/>
      <c r="AT319" s="1495">
        <f>IF(OR(ISBLANK(AM309),AT309=0),0,AM319*AR310)</f>
        <v>0</v>
      </c>
      <c r="AU319" s="101" cm="1">
        <f t="array" ref="AU319">IFERROR(_xlfn.LET(_xlpm.k,UPPER(TRIM(AQ319)),_xlpm.r,_xlfn.XLOOKUP(_xlpm.k,UPPER(TRIM(AM356:AV356)),AM357:AV357,_xlfn.XLOOKUP(_xlpm.k,UPPER(TRIM(AM358:AV358)),AM359:AV359)),_xlpm.r*AP319*AR319*AR310*IF(ISBLANK(AM319),1,AM319)),0)</f>
        <v>0</v>
      </c>
      <c r="AV319" s="1476" t="str">
        <f>_xlfn.LET(_xlpm.unite,SUBSTITUTE(TRIM(AQ319)," (s)",""),_xlpm.val,AU319,_xlpm.estVol,COUNTIF(AP356:AV356,_xlpm.unite)+COUNTIF(AP358:AV358,_xlpm.unite)&gt;0,_xlpm.estPoids,COUNTIF(AM356:AO356,_xlpm.unite)+COUNTIF(AM358:AO358,_xlpm.unite)&gt;0,IF(_xlpm.estVol,IF(ROUND(_xlpm.val,3)&gt;=1,ROUND(_xlpm.val,3)&amp;" L",MAX(1,ROUND(_xlpm.val*100,0))&amp;" cl"),IF(_xlpm.estPoids,IF(ROUND(_xlpm.val,3)&gt;=1,ROUND(_xlpm.val,3)&amp;" Kg",MAX(1,ROUND(_xlpm.val*1000,0))&amp;" g"),"")))</f>
        <v/>
      </c>
      <c r="BV319" s="3">
        <v>1</v>
      </c>
    </row>
    <row r="320" spans="2:74" ht="18.75">
      <c r="B320" s="104" t="str">
        <f t="shared" si="47"/>
        <v>►</v>
      </c>
      <c r="C320" s="32" t="str">
        <f>C311</f>
        <v>N NOM DE VOTRE RECETTE | | Auteur &gt; VOUS</v>
      </c>
      <c r="D320" s="33">
        <f>D311</f>
        <v>18</v>
      </c>
      <c r="E320" s="32" t="str">
        <f>E311</f>
        <v>desserts</v>
      </c>
      <c r="F320" s="34" t="str">
        <f>F311</f>
        <v>Recette mère ► Saisir le nom de la recette principale</v>
      </c>
      <c r="G320" s="92"/>
      <c r="H320" s="108"/>
      <c r="I320" s="94" t="str">
        <f t="shared" si="44"/>
        <v/>
      </c>
      <c r="J320" s="95"/>
      <c r="K320" s="126"/>
      <c r="L320" s="127">
        <v>1</v>
      </c>
      <c r="M320" s="920"/>
      <c r="N320" s="1495">
        <f>IF(OR(ISBLANK(G309),N309=0),0,G320*L310)</f>
        <v>0</v>
      </c>
      <c r="O320" s="101" cm="1">
        <f t="array" ref="O320">IFERROR(_xlfn.LET(_xlpm.k,UPPER(TRIM(K320)),_xlpm.r,_xlfn.XLOOKUP(_xlpm.k,UPPER(TRIM(G356:P356)),G357:P357,_xlfn.XLOOKUP(_xlpm.k,UPPER(TRIM(G358:P358)),G359:P359)),_xlpm.r*J320*L320*L310*IF(ISBLANK(G320),1,G320)),0)</f>
        <v>0</v>
      </c>
      <c r="P320" s="1475" t="str">
        <f>_xlfn.LET(_xlpm.unite,SUBSTITUTE(TRIM(K320)," (s)",""),_xlpm.val,O320,_xlpm.estVol,COUNTIF(J356:P356,_xlpm.unite)+COUNTIF(J358:P358,_xlpm.unite)&gt;0,_xlpm.estPoids,COUNTIF(G356:I356,_xlpm.unite)+COUNTIF(G358:I358,_xlpm.unite)&gt;0,IF(_xlpm.estVol,IF(ROUND(_xlpm.val,3)&gt;=1,ROUND(_xlpm.val,3)&amp;" L",MAX(1,ROUND(_xlpm.val*100,0))&amp;" cl"),IF(_xlpm.estPoids,IF(ROUND(_xlpm.val,3)&gt;=1,ROUND(_xlpm.val,3)&amp;" Kg",MAX(1,ROUND(_xlpm.val*1000,0))&amp;" g"),"")))</f>
        <v/>
      </c>
      <c r="R320" s="104" t="str">
        <f t="shared" si="48"/>
        <v>►</v>
      </c>
      <c r="S320" s="32" t="str">
        <f>S311</f>
        <v>N NAME OF YOUR RECIPE | |  Author &gt; YOU</v>
      </c>
      <c r="T320" s="33">
        <f>T311</f>
        <v>18</v>
      </c>
      <c r="U320" s="32" t="str">
        <f>U311</f>
        <v>desserts</v>
      </c>
      <c r="V320" s="34" t="str">
        <f>V311</f>
        <v>Master recipe ► Enter the main recipe name</v>
      </c>
      <c r="W320" s="92"/>
      <c r="X320" s="108"/>
      <c r="Y320" s="94" t="str">
        <f t="shared" si="45"/>
        <v/>
      </c>
      <c r="Z320" s="95"/>
      <c r="AA320" s="126"/>
      <c r="AB320" s="127">
        <v>1</v>
      </c>
      <c r="AC320" s="920"/>
      <c r="AD320" s="1495">
        <f>IF(OR(ISBLANK(W309),AD309=0),0,W320*AB310)</f>
        <v>0</v>
      </c>
      <c r="AE320" s="101" cm="1">
        <f t="array" ref="AE320">IFERROR(_xlfn.LET(_xlpm.k,UPPER(TRIM(AA320)),_xlpm.r,_xlfn.XLOOKUP(_xlpm.k,UPPER(TRIM(W356:AF356)),W357:AF357,_xlfn.XLOOKUP(_xlpm.k,UPPER(TRIM(W358:AF358)),W359:AF359)),_xlpm.r*Z320*AB320*AB310*IF(ISBLANK(W320),1,W320)),0)</f>
        <v>0</v>
      </c>
      <c r="AF320" s="1475" t="str">
        <f>_xlfn.LET(_xlpm.unite,SUBSTITUTE(TRIM(AA320)," (s)",""),_xlpm.val,AE320,_xlpm.estVol,COUNTIF(Z356:AF356,_xlpm.unite)+COUNTIF(Z358:AF358,_xlpm.unite)&gt;0,_xlpm.estPoids,COUNTIF(W356:Y356,_xlpm.unite)+COUNTIF(W358:Y358,_xlpm.unite)&gt;0,IF(_xlpm.estVol,IF(ROUND(_xlpm.val,3)&gt;=1,ROUND(_xlpm.val,3)&amp;" L",MAX(1,ROUND(_xlpm.val*100,0))&amp;" cl"),IF(_xlpm.estPoids,IF(ROUND(_xlpm.val,3)&gt;=1,ROUND(_xlpm.val,3)&amp;" Kg",MAX(1,ROUND(_xlpm.val*1000,0))&amp;" g"),"")))</f>
        <v/>
      </c>
      <c r="AH320" s="104" t="str">
        <f t="shared" si="49"/>
        <v>►</v>
      </c>
      <c r="AI320" s="32" t="str">
        <f>AI311</f>
        <v>N NOMBRE DE LA RECETA | | Autor &gt; USTED</v>
      </c>
      <c r="AJ320" s="33">
        <f>AJ311</f>
        <v>18</v>
      </c>
      <c r="AK320" s="32" t="str">
        <f>AK311</f>
        <v>postres</v>
      </c>
      <c r="AL320" s="34" t="str">
        <f>AL311</f>
        <v>Receta madre ► Introduzca el nombre de la receta principal</v>
      </c>
      <c r="AM320" s="92"/>
      <c r="AN320" s="108"/>
      <c r="AO320" s="94" t="str">
        <f t="shared" si="46"/>
        <v/>
      </c>
      <c r="AP320" s="95"/>
      <c r="AQ320" s="126"/>
      <c r="AR320" s="127">
        <v>1</v>
      </c>
      <c r="AS320" s="920"/>
      <c r="AT320" s="1495">
        <f>IF(OR(ISBLANK(AM309),AT309=0),0,AM320*AR310)</f>
        <v>0</v>
      </c>
      <c r="AU320" s="101" cm="1">
        <f t="array" ref="AU320">IFERROR(_xlfn.LET(_xlpm.k,UPPER(TRIM(AQ320)),_xlpm.r,_xlfn.XLOOKUP(_xlpm.k,UPPER(TRIM(AM356:AV356)),AM357:AV357,_xlfn.XLOOKUP(_xlpm.k,UPPER(TRIM(AM358:AV358)),AM359:AV359)),_xlpm.r*AP320*AR320*AR310*IF(ISBLANK(AM320),1,AM320)),0)</f>
        <v>0</v>
      </c>
      <c r="AV320" s="1475" t="str">
        <f>_xlfn.LET(_xlpm.unite,SUBSTITUTE(TRIM(AQ320)," (s)",""),_xlpm.val,AU320,_xlpm.estVol,COUNTIF(AP356:AV356,_xlpm.unite)+COUNTIF(AP358:AV358,_xlpm.unite)&gt;0,_xlpm.estPoids,COUNTIF(AM356:AO356,_xlpm.unite)+COUNTIF(AM358:AO358,_xlpm.unite)&gt;0,IF(_xlpm.estVol,IF(ROUND(_xlpm.val,3)&gt;=1,ROUND(_xlpm.val,3)&amp;" L",MAX(1,ROUND(_xlpm.val*100,0))&amp;" cl"),IF(_xlpm.estPoids,IF(ROUND(_xlpm.val,3)&gt;=1,ROUND(_xlpm.val,3)&amp;" Kg",MAX(1,ROUND(_xlpm.val*1000,0))&amp;" g"),"")))</f>
        <v/>
      </c>
      <c r="BV320" s="3">
        <v>1</v>
      </c>
    </row>
    <row r="321" spans="2:74" ht="18.75">
      <c r="B321" s="104" t="str">
        <f t="shared" si="47"/>
        <v>►</v>
      </c>
      <c r="C321" s="32" t="str">
        <f>C311</f>
        <v>N NOM DE VOTRE RECETTE | | Auteur &gt; VOUS</v>
      </c>
      <c r="D321" s="33">
        <f>D311</f>
        <v>18</v>
      </c>
      <c r="E321" s="32" t="str">
        <f>E311</f>
        <v>desserts</v>
      </c>
      <c r="F321" s="34" t="str">
        <f>F311</f>
        <v>Recette mère ► Saisir le nom de la recette principale</v>
      </c>
      <c r="G321" s="92"/>
      <c r="H321" s="108"/>
      <c r="I321" s="94" t="str">
        <f t="shared" si="44"/>
        <v/>
      </c>
      <c r="J321" s="95"/>
      <c r="K321" s="126"/>
      <c r="L321" s="127">
        <v>1</v>
      </c>
      <c r="M321" s="920"/>
      <c r="N321" s="1495">
        <f>IF(OR(ISBLANK(G309),N309=0),0,G321*L310)</f>
        <v>0</v>
      </c>
      <c r="O321" s="101" cm="1">
        <f t="array" ref="O321">IFERROR(_xlfn.LET(_xlpm.k,UPPER(TRIM(K321)),_xlpm.r,_xlfn.XLOOKUP(_xlpm.k,UPPER(TRIM(G356:P356)),G357:P357,_xlfn.XLOOKUP(_xlpm.k,UPPER(TRIM(G358:P358)),G359:P359)),_xlpm.r*J321*L321*L310*IF(ISBLANK(G321),1,G321)),0)</f>
        <v>0</v>
      </c>
      <c r="P321" s="1476" t="str">
        <f>_xlfn.LET(_xlpm.unite,SUBSTITUTE(TRIM(K321)," (s)",""),_xlpm.val,O321,_xlpm.estVol,COUNTIF(J356:P356,_xlpm.unite)+COUNTIF(J358:P358,_xlpm.unite)&gt;0,_xlpm.estPoids,COUNTIF(G356:I356,_xlpm.unite)+COUNTIF(G358:I358,_xlpm.unite)&gt;0,IF(_xlpm.estVol,IF(ROUND(_xlpm.val,3)&gt;=1,ROUND(_xlpm.val,3)&amp;" L",MAX(1,ROUND(_xlpm.val*100,0))&amp;" cl"),IF(_xlpm.estPoids,IF(ROUND(_xlpm.val,3)&gt;=1,ROUND(_xlpm.val,3)&amp;" Kg",MAX(1,ROUND(_xlpm.val*1000,0))&amp;" g"),"")))</f>
        <v/>
      </c>
      <c r="R321" s="104" t="str">
        <f t="shared" si="48"/>
        <v>►</v>
      </c>
      <c r="S321" s="32" t="str">
        <f>S311</f>
        <v>N NAME OF YOUR RECIPE | |  Author &gt; YOU</v>
      </c>
      <c r="T321" s="33">
        <f>T311</f>
        <v>18</v>
      </c>
      <c r="U321" s="32" t="str">
        <f>U311</f>
        <v>desserts</v>
      </c>
      <c r="V321" s="34" t="str">
        <f>V311</f>
        <v>Master recipe ► Enter the main recipe name</v>
      </c>
      <c r="W321" s="92"/>
      <c r="X321" s="108"/>
      <c r="Y321" s="94" t="str">
        <f t="shared" si="45"/>
        <v/>
      </c>
      <c r="Z321" s="95"/>
      <c r="AA321" s="126"/>
      <c r="AB321" s="127">
        <v>1</v>
      </c>
      <c r="AC321" s="920"/>
      <c r="AD321" s="1495">
        <f>IF(OR(ISBLANK(W309),AD309=0),0,W321*AB310)</f>
        <v>0</v>
      </c>
      <c r="AE321" s="101" cm="1">
        <f t="array" ref="AE321">IFERROR(_xlfn.LET(_xlpm.k,UPPER(TRIM(AA321)),_xlpm.r,_xlfn.XLOOKUP(_xlpm.k,UPPER(TRIM(W356:AF356)),W357:AF357,_xlfn.XLOOKUP(_xlpm.k,UPPER(TRIM(W358:AF358)),W359:AF359)),_xlpm.r*Z321*AB321*AB310*IF(ISBLANK(W321),1,W321)),0)</f>
        <v>0</v>
      </c>
      <c r="AF321" s="1476" t="str">
        <f>_xlfn.LET(_xlpm.unite,SUBSTITUTE(TRIM(AA321)," (s)",""),_xlpm.val,AE321,_xlpm.estVol,COUNTIF(Z356:AF356,_xlpm.unite)+COUNTIF(Z358:AF358,_xlpm.unite)&gt;0,_xlpm.estPoids,COUNTIF(W356:Y356,_xlpm.unite)+COUNTIF(W358:Y358,_xlpm.unite)&gt;0,IF(_xlpm.estVol,IF(ROUND(_xlpm.val,3)&gt;=1,ROUND(_xlpm.val,3)&amp;" L",MAX(1,ROUND(_xlpm.val*100,0))&amp;" cl"),IF(_xlpm.estPoids,IF(ROUND(_xlpm.val,3)&gt;=1,ROUND(_xlpm.val,3)&amp;" Kg",MAX(1,ROUND(_xlpm.val*1000,0))&amp;" g"),"")))</f>
        <v/>
      </c>
      <c r="AH321" s="104" t="str">
        <f t="shared" si="49"/>
        <v>►</v>
      </c>
      <c r="AI321" s="32" t="str">
        <f>AI311</f>
        <v>N NOMBRE DE LA RECETA | | Autor &gt; USTED</v>
      </c>
      <c r="AJ321" s="33">
        <f>AJ311</f>
        <v>18</v>
      </c>
      <c r="AK321" s="32" t="str">
        <f>AK311</f>
        <v>postres</v>
      </c>
      <c r="AL321" s="34" t="str">
        <f>AL311</f>
        <v>Receta madre ► Introduzca el nombre de la receta principal</v>
      </c>
      <c r="AM321" s="92"/>
      <c r="AN321" s="108"/>
      <c r="AO321" s="94" t="str">
        <f t="shared" si="46"/>
        <v/>
      </c>
      <c r="AP321" s="95"/>
      <c r="AQ321" s="126"/>
      <c r="AR321" s="127">
        <v>1</v>
      </c>
      <c r="AS321" s="920"/>
      <c r="AT321" s="1495">
        <f>IF(OR(ISBLANK(AM309),AT309=0),0,AM321*AR310)</f>
        <v>0</v>
      </c>
      <c r="AU321" s="101" cm="1">
        <f t="array" ref="AU321">IFERROR(_xlfn.LET(_xlpm.k,UPPER(TRIM(AQ321)),_xlpm.r,_xlfn.XLOOKUP(_xlpm.k,UPPER(TRIM(AM356:AV356)),AM357:AV357,_xlfn.XLOOKUP(_xlpm.k,UPPER(TRIM(AM358:AV358)),AM359:AV359)),_xlpm.r*AP321*AR321*AR310*IF(ISBLANK(AM321),1,AM321)),0)</f>
        <v>0</v>
      </c>
      <c r="AV321" s="1476" t="str">
        <f>_xlfn.LET(_xlpm.unite,SUBSTITUTE(TRIM(AQ321)," (s)",""),_xlpm.val,AU321,_xlpm.estVol,COUNTIF(AP356:AV356,_xlpm.unite)+COUNTIF(AP358:AV358,_xlpm.unite)&gt;0,_xlpm.estPoids,COUNTIF(AM356:AO356,_xlpm.unite)+COUNTIF(AM358:AO358,_xlpm.unite)&gt;0,IF(_xlpm.estVol,IF(ROUND(_xlpm.val,3)&gt;=1,ROUND(_xlpm.val,3)&amp;" L",MAX(1,ROUND(_xlpm.val*100,0))&amp;" cl"),IF(_xlpm.estPoids,IF(ROUND(_xlpm.val,3)&gt;=1,ROUND(_xlpm.val,3)&amp;" Kg",MAX(1,ROUND(_xlpm.val*1000,0))&amp;" g"),"")))</f>
        <v/>
      </c>
      <c r="BV321" s="3">
        <v>1</v>
      </c>
    </row>
    <row r="322" spans="2:74" ht="18.75">
      <c r="B322" s="104" t="str">
        <f t="shared" si="47"/>
        <v>►</v>
      </c>
      <c r="C322" s="32" t="str">
        <f>C311</f>
        <v>N NOM DE VOTRE RECETTE | | Auteur &gt; VOUS</v>
      </c>
      <c r="D322" s="33">
        <f>D311</f>
        <v>18</v>
      </c>
      <c r="E322" s="32" t="str">
        <f>E311</f>
        <v>desserts</v>
      </c>
      <c r="F322" s="34" t="str">
        <f>F311</f>
        <v>Recette mère ► Saisir le nom de la recette principale</v>
      </c>
      <c r="G322" s="92"/>
      <c r="H322" s="108"/>
      <c r="I322" s="94" t="str">
        <f t="shared" si="44"/>
        <v/>
      </c>
      <c r="J322" s="95"/>
      <c r="K322" s="126"/>
      <c r="L322" s="127">
        <v>1</v>
      </c>
      <c r="M322" s="920"/>
      <c r="N322" s="1495">
        <f>IF(OR(ISBLANK(G309),N309=0),0,G322*L310)</f>
        <v>0</v>
      </c>
      <c r="O322" s="101" cm="1">
        <f t="array" ref="O322">IFERROR(_xlfn.LET(_xlpm.k,UPPER(TRIM(K322)),_xlpm.r,_xlfn.XLOOKUP(_xlpm.k,UPPER(TRIM(G356:P356)),G357:P357,_xlfn.XLOOKUP(_xlpm.k,UPPER(TRIM(G358:P358)),G359:P359)),_xlpm.r*J322*L322*L310*IF(ISBLANK(G322),1,G322)),0)</f>
        <v>0</v>
      </c>
      <c r="P322" s="1475" t="str">
        <f>_xlfn.LET(_xlpm.unite,SUBSTITUTE(TRIM(K322)," (s)",""),_xlpm.val,O322,_xlpm.estVol,COUNTIF(J356:P356,_xlpm.unite)+COUNTIF(J358:P358,_xlpm.unite)&gt;0,_xlpm.estPoids,COUNTIF(G356:I356,_xlpm.unite)+COUNTIF(G358:I358,_xlpm.unite)&gt;0,IF(_xlpm.estVol,IF(ROUND(_xlpm.val,3)&gt;=1,ROUND(_xlpm.val,3)&amp;" L",MAX(1,ROUND(_xlpm.val*100,0))&amp;" cl"),IF(_xlpm.estPoids,IF(ROUND(_xlpm.val,3)&gt;=1,ROUND(_xlpm.val,3)&amp;" Kg",MAX(1,ROUND(_xlpm.val*1000,0))&amp;" g"),"")))</f>
        <v/>
      </c>
      <c r="R322" s="104" t="str">
        <f t="shared" si="48"/>
        <v>►</v>
      </c>
      <c r="S322" s="32" t="str">
        <f>S311</f>
        <v>N NAME OF YOUR RECIPE | |  Author &gt; YOU</v>
      </c>
      <c r="T322" s="33">
        <f>T311</f>
        <v>18</v>
      </c>
      <c r="U322" s="32" t="str">
        <f>U311</f>
        <v>desserts</v>
      </c>
      <c r="V322" s="34" t="str">
        <f>V311</f>
        <v>Master recipe ► Enter the main recipe name</v>
      </c>
      <c r="W322" s="92"/>
      <c r="X322" s="108"/>
      <c r="Y322" s="94" t="str">
        <f t="shared" si="45"/>
        <v/>
      </c>
      <c r="Z322" s="95"/>
      <c r="AA322" s="126"/>
      <c r="AB322" s="127">
        <v>1</v>
      </c>
      <c r="AC322" s="920"/>
      <c r="AD322" s="1495">
        <f>IF(OR(ISBLANK(W309),AD309=0),0,W322*AB310)</f>
        <v>0</v>
      </c>
      <c r="AE322" s="101" cm="1">
        <f t="array" ref="AE322">IFERROR(_xlfn.LET(_xlpm.k,UPPER(TRIM(AA322)),_xlpm.r,_xlfn.XLOOKUP(_xlpm.k,UPPER(TRIM(W356:AF356)),W357:AF357,_xlfn.XLOOKUP(_xlpm.k,UPPER(TRIM(W358:AF358)),W359:AF359)),_xlpm.r*Z322*AB322*AB310*IF(ISBLANK(W322),1,W322)),0)</f>
        <v>0</v>
      </c>
      <c r="AF322" s="1475" t="str">
        <f>_xlfn.LET(_xlpm.unite,SUBSTITUTE(TRIM(AA322)," (s)",""),_xlpm.val,AE322,_xlpm.estVol,COUNTIF(Z356:AF356,_xlpm.unite)+COUNTIF(Z358:AF358,_xlpm.unite)&gt;0,_xlpm.estPoids,COUNTIF(W356:Y356,_xlpm.unite)+COUNTIF(W358:Y358,_xlpm.unite)&gt;0,IF(_xlpm.estVol,IF(ROUND(_xlpm.val,3)&gt;=1,ROUND(_xlpm.val,3)&amp;" L",MAX(1,ROUND(_xlpm.val*100,0))&amp;" cl"),IF(_xlpm.estPoids,IF(ROUND(_xlpm.val,3)&gt;=1,ROUND(_xlpm.val,3)&amp;" Kg",MAX(1,ROUND(_xlpm.val*1000,0))&amp;" g"),"")))</f>
        <v/>
      </c>
      <c r="AH322" s="104" t="str">
        <f t="shared" si="49"/>
        <v>►</v>
      </c>
      <c r="AI322" s="32" t="str">
        <f>AI311</f>
        <v>N NOMBRE DE LA RECETA | | Autor &gt; USTED</v>
      </c>
      <c r="AJ322" s="33">
        <f>AJ311</f>
        <v>18</v>
      </c>
      <c r="AK322" s="32" t="str">
        <f>AK311</f>
        <v>postres</v>
      </c>
      <c r="AL322" s="34" t="str">
        <f>AL311</f>
        <v>Receta madre ► Introduzca el nombre de la receta principal</v>
      </c>
      <c r="AM322" s="92"/>
      <c r="AN322" s="108"/>
      <c r="AO322" s="94" t="str">
        <f t="shared" si="46"/>
        <v/>
      </c>
      <c r="AP322" s="95"/>
      <c r="AQ322" s="126"/>
      <c r="AR322" s="127">
        <v>1</v>
      </c>
      <c r="AS322" s="920"/>
      <c r="AT322" s="1495">
        <f>IF(OR(ISBLANK(AM309),AT309=0),0,AM322*AR310)</f>
        <v>0</v>
      </c>
      <c r="AU322" s="101" cm="1">
        <f t="array" ref="AU322">IFERROR(_xlfn.LET(_xlpm.k,UPPER(TRIM(AQ322)),_xlpm.r,_xlfn.XLOOKUP(_xlpm.k,UPPER(TRIM(AM356:AV356)),AM357:AV357,_xlfn.XLOOKUP(_xlpm.k,UPPER(TRIM(AM358:AV358)),AM359:AV359)),_xlpm.r*AP322*AR322*AR310*IF(ISBLANK(AM322),1,AM322)),0)</f>
        <v>0</v>
      </c>
      <c r="AV322" s="1475" t="str">
        <f>_xlfn.LET(_xlpm.unite,SUBSTITUTE(TRIM(AQ322)," (s)",""),_xlpm.val,AU322,_xlpm.estVol,COUNTIF(AP356:AV356,_xlpm.unite)+COUNTIF(AP358:AV358,_xlpm.unite)&gt;0,_xlpm.estPoids,COUNTIF(AM356:AO356,_xlpm.unite)+COUNTIF(AM358:AO358,_xlpm.unite)&gt;0,IF(_xlpm.estVol,IF(ROUND(_xlpm.val,3)&gt;=1,ROUND(_xlpm.val,3)&amp;" L",MAX(1,ROUND(_xlpm.val*100,0))&amp;" cl"),IF(_xlpm.estPoids,IF(ROUND(_xlpm.val,3)&gt;=1,ROUND(_xlpm.val,3)&amp;" Kg",MAX(1,ROUND(_xlpm.val*1000,0))&amp;" g"),"")))</f>
        <v/>
      </c>
      <c r="BV322" s="3">
        <v>1</v>
      </c>
    </row>
    <row r="323" spans="2:74" ht="18.75">
      <c r="B323" s="104" t="str">
        <f t="shared" si="47"/>
        <v>►</v>
      </c>
      <c r="C323" s="32" t="str">
        <f>C311</f>
        <v>N NOM DE VOTRE RECETTE | | Auteur &gt; VOUS</v>
      </c>
      <c r="D323" s="33">
        <f>D311</f>
        <v>18</v>
      </c>
      <c r="E323" s="32" t="str">
        <f>E311</f>
        <v>desserts</v>
      </c>
      <c r="F323" s="34" t="str">
        <f>F311</f>
        <v>Recette mère ► Saisir le nom de la recette principale</v>
      </c>
      <c r="G323" s="92"/>
      <c r="H323" s="108"/>
      <c r="I323" s="94" t="str">
        <f t="shared" si="44"/>
        <v/>
      </c>
      <c r="J323" s="95"/>
      <c r="K323" s="126"/>
      <c r="L323" s="127">
        <v>1</v>
      </c>
      <c r="M323" s="920"/>
      <c r="N323" s="1495">
        <f>IF(OR(ISBLANK(G309),N309=0),0,G323*L310)</f>
        <v>0</v>
      </c>
      <c r="O323" s="101" cm="1">
        <f t="array" ref="O323">IFERROR(_xlfn.LET(_xlpm.k,UPPER(TRIM(K323)),_xlpm.r,_xlfn.XLOOKUP(_xlpm.k,UPPER(TRIM(G356:P356)),G357:P357,_xlfn.XLOOKUP(_xlpm.k,UPPER(TRIM(G358:P358)),G359:P359)),_xlpm.r*J323*L323*L310*IF(ISBLANK(G323),1,G323)),0)</f>
        <v>0</v>
      </c>
      <c r="P323" s="1476" t="str">
        <f>_xlfn.LET(_xlpm.unite,SUBSTITUTE(TRIM(K323)," (s)",""),_xlpm.val,O323,_xlpm.estVol,COUNTIF(J356:P356,_xlpm.unite)+COUNTIF(J358:P358,_xlpm.unite)&gt;0,_xlpm.estPoids,COUNTIF(G356:I356,_xlpm.unite)+COUNTIF(G358:I358,_xlpm.unite)&gt;0,IF(_xlpm.estVol,IF(ROUND(_xlpm.val,3)&gt;=1,ROUND(_xlpm.val,3)&amp;" L",MAX(1,ROUND(_xlpm.val*100,0))&amp;" cl"),IF(_xlpm.estPoids,IF(ROUND(_xlpm.val,3)&gt;=1,ROUND(_xlpm.val,3)&amp;" Kg",MAX(1,ROUND(_xlpm.val*1000,0))&amp;" g"),"")))</f>
        <v/>
      </c>
      <c r="R323" s="104" t="str">
        <f t="shared" si="48"/>
        <v>►</v>
      </c>
      <c r="S323" s="32" t="str">
        <f>S311</f>
        <v>N NAME OF YOUR RECIPE | |  Author &gt; YOU</v>
      </c>
      <c r="T323" s="33">
        <f>T311</f>
        <v>18</v>
      </c>
      <c r="U323" s="32" t="str">
        <f>U311</f>
        <v>desserts</v>
      </c>
      <c r="V323" s="34" t="str">
        <f>V311</f>
        <v>Master recipe ► Enter the main recipe name</v>
      </c>
      <c r="W323" s="92"/>
      <c r="X323" s="108"/>
      <c r="Y323" s="94" t="str">
        <f t="shared" si="45"/>
        <v/>
      </c>
      <c r="Z323" s="95"/>
      <c r="AA323" s="126"/>
      <c r="AB323" s="127">
        <v>1</v>
      </c>
      <c r="AC323" s="920"/>
      <c r="AD323" s="1495">
        <f>IF(OR(ISBLANK(W309),AD309=0),0,W323*AB310)</f>
        <v>0</v>
      </c>
      <c r="AE323" s="101" cm="1">
        <f t="array" ref="AE323">IFERROR(_xlfn.LET(_xlpm.k,UPPER(TRIM(AA323)),_xlpm.r,_xlfn.XLOOKUP(_xlpm.k,UPPER(TRIM(W356:AF356)),W357:AF357,_xlfn.XLOOKUP(_xlpm.k,UPPER(TRIM(W358:AF358)),W359:AF359)),_xlpm.r*Z323*AB323*AB310*IF(ISBLANK(W323),1,W323)),0)</f>
        <v>0</v>
      </c>
      <c r="AF323" s="1476" t="str">
        <f>_xlfn.LET(_xlpm.unite,SUBSTITUTE(TRIM(AA323)," (s)",""),_xlpm.val,AE323,_xlpm.estVol,COUNTIF(Z356:AF356,_xlpm.unite)+COUNTIF(Z358:AF358,_xlpm.unite)&gt;0,_xlpm.estPoids,COUNTIF(W356:Y356,_xlpm.unite)+COUNTIF(W358:Y358,_xlpm.unite)&gt;0,IF(_xlpm.estVol,IF(ROUND(_xlpm.val,3)&gt;=1,ROUND(_xlpm.val,3)&amp;" L",MAX(1,ROUND(_xlpm.val*100,0))&amp;" cl"),IF(_xlpm.estPoids,IF(ROUND(_xlpm.val,3)&gt;=1,ROUND(_xlpm.val,3)&amp;" Kg",MAX(1,ROUND(_xlpm.val*1000,0))&amp;" g"),"")))</f>
        <v/>
      </c>
      <c r="AH323" s="104" t="str">
        <f t="shared" si="49"/>
        <v>►</v>
      </c>
      <c r="AI323" s="32" t="str">
        <f>AI311</f>
        <v>N NOMBRE DE LA RECETA | | Autor &gt; USTED</v>
      </c>
      <c r="AJ323" s="33">
        <f>AJ311</f>
        <v>18</v>
      </c>
      <c r="AK323" s="32" t="str">
        <f>AK311</f>
        <v>postres</v>
      </c>
      <c r="AL323" s="34" t="str">
        <f>AL311</f>
        <v>Receta madre ► Introduzca el nombre de la receta principal</v>
      </c>
      <c r="AM323" s="92"/>
      <c r="AN323" s="108"/>
      <c r="AO323" s="94" t="str">
        <f t="shared" si="46"/>
        <v/>
      </c>
      <c r="AP323" s="95"/>
      <c r="AQ323" s="126"/>
      <c r="AR323" s="127">
        <v>1</v>
      </c>
      <c r="AS323" s="920"/>
      <c r="AT323" s="1495">
        <f>IF(OR(ISBLANK(AM309),AT309=0),0,AM323*AR310)</f>
        <v>0</v>
      </c>
      <c r="AU323" s="101" cm="1">
        <f t="array" ref="AU323">IFERROR(_xlfn.LET(_xlpm.k,UPPER(TRIM(AQ323)),_xlpm.r,_xlfn.XLOOKUP(_xlpm.k,UPPER(TRIM(AM356:AV356)),AM357:AV357,_xlfn.XLOOKUP(_xlpm.k,UPPER(TRIM(AM358:AV358)),AM359:AV359)),_xlpm.r*AP323*AR323*AR310*IF(ISBLANK(AM323),1,AM323)),0)</f>
        <v>0</v>
      </c>
      <c r="AV323" s="1476" t="str">
        <f>_xlfn.LET(_xlpm.unite,SUBSTITUTE(TRIM(AQ323)," (s)",""),_xlpm.val,AU323,_xlpm.estVol,COUNTIF(AP356:AV356,_xlpm.unite)+COUNTIF(AP358:AV358,_xlpm.unite)&gt;0,_xlpm.estPoids,COUNTIF(AM356:AO356,_xlpm.unite)+COUNTIF(AM358:AO358,_xlpm.unite)&gt;0,IF(_xlpm.estVol,IF(ROUND(_xlpm.val,3)&gt;=1,ROUND(_xlpm.val,3)&amp;" L",MAX(1,ROUND(_xlpm.val*100,0))&amp;" cl"),IF(_xlpm.estPoids,IF(ROUND(_xlpm.val,3)&gt;=1,ROUND(_xlpm.val,3)&amp;" Kg",MAX(1,ROUND(_xlpm.val*1000,0))&amp;" g"),"")))</f>
        <v/>
      </c>
      <c r="BV323" s="3">
        <v>1</v>
      </c>
    </row>
    <row r="324" spans="2:74" ht="18.75">
      <c r="B324" s="104" t="str">
        <f t="shared" si="47"/>
        <v>►</v>
      </c>
      <c r="C324" s="32" t="str">
        <f>C311</f>
        <v>N NOM DE VOTRE RECETTE | | Auteur &gt; VOUS</v>
      </c>
      <c r="D324" s="33">
        <f>D311</f>
        <v>18</v>
      </c>
      <c r="E324" s="32" t="str">
        <f>E311</f>
        <v>desserts</v>
      </c>
      <c r="F324" s="34" t="str">
        <f>F311</f>
        <v>Recette mère ► Saisir le nom de la recette principale</v>
      </c>
      <c r="G324" s="92"/>
      <c r="H324" s="108"/>
      <c r="I324" s="94" t="str">
        <f t="shared" si="44"/>
        <v/>
      </c>
      <c r="J324" s="95"/>
      <c r="K324" s="126"/>
      <c r="L324" s="127">
        <v>1</v>
      </c>
      <c r="M324" s="920"/>
      <c r="N324" s="1495">
        <f>IF(OR(ISBLANK(G309),N309=0),0,G324*L310)</f>
        <v>0</v>
      </c>
      <c r="O324" s="101" cm="1">
        <f t="array" ref="O324">IFERROR(_xlfn.LET(_xlpm.k,UPPER(TRIM(K324)),_xlpm.r,_xlfn.XLOOKUP(_xlpm.k,UPPER(TRIM(G356:P356)),G357:P357,_xlfn.XLOOKUP(_xlpm.k,UPPER(TRIM(G358:P358)),G359:P359)),_xlpm.r*J324*L324*L310*IF(ISBLANK(G324),1,G324)),0)</f>
        <v>0</v>
      </c>
      <c r="P324" s="1475" t="str">
        <f>_xlfn.LET(_xlpm.unite,SUBSTITUTE(TRIM(K324)," (s)",""),_xlpm.val,O324,_xlpm.estVol,COUNTIF(J356:P356,_xlpm.unite)+COUNTIF(J358:P358,_xlpm.unite)&gt;0,_xlpm.estPoids,COUNTIF(G356:I356,_xlpm.unite)+COUNTIF(G358:I358,_xlpm.unite)&gt;0,IF(_xlpm.estVol,IF(ROUND(_xlpm.val,3)&gt;=1,ROUND(_xlpm.val,3)&amp;" L",MAX(1,ROUND(_xlpm.val*100,0))&amp;" cl"),IF(_xlpm.estPoids,IF(ROUND(_xlpm.val,3)&gt;=1,ROUND(_xlpm.val,3)&amp;" Kg",MAX(1,ROUND(_xlpm.val*1000,0))&amp;" g"),"")))</f>
        <v/>
      </c>
      <c r="R324" s="104" t="str">
        <f t="shared" si="48"/>
        <v>►</v>
      </c>
      <c r="S324" s="32" t="str">
        <f>S311</f>
        <v>N NAME OF YOUR RECIPE | |  Author &gt; YOU</v>
      </c>
      <c r="T324" s="33">
        <f>T311</f>
        <v>18</v>
      </c>
      <c r="U324" s="32" t="str">
        <f>U311</f>
        <v>desserts</v>
      </c>
      <c r="V324" s="34" t="str">
        <f>V311</f>
        <v>Master recipe ► Enter the main recipe name</v>
      </c>
      <c r="W324" s="92"/>
      <c r="X324" s="108"/>
      <c r="Y324" s="94" t="str">
        <f t="shared" si="45"/>
        <v/>
      </c>
      <c r="Z324" s="95"/>
      <c r="AA324" s="126"/>
      <c r="AB324" s="127">
        <v>1</v>
      </c>
      <c r="AC324" s="920"/>
      <c r="AD324" s="1495">
        <f>IF(OR(ISBLANK(W309),AD309=0),0,W324*AB310)</f>
        <v>0</v>
      </c>
      <c r="AE324" s="101" cm="1">
        <f t="array" ref="AE324">IFERROR(_xlfn.LET(_xlpm.k,UPPER(TRIM(AA324)),_xlpm.r,_xlfn.XLOOKUP(_xlpm.k,UPPER(TRIM(W356:AF356)),W357:AF357,_xlfn.XLOOKUP(_xlpm.k,UPPER(TRIM(W358:AF358)),W359:AF359)),_xlpm.r*Z324*AB324*AB310*IF(ISBLANK(W324),1,W324)),0)</f>
        <v>0</v>
      </c>
      <c r="AF324" s="1475" t="str">
        <f>_xlfn.LET(_xlpm.unite,SUBSTITUTE(TRIM(AA324)," (s)",""),_xlpm.val,AE324,_xlpm.estVol,COUNTIF(Z356:AF356,_xlpm.unite)+COUNTIF(Z358:AF358,_xlpm.unite)&gt;0,_xlpm.estPoids,COUNTIF(W356:Y356,_xlpm.unite)+COUNTIF(W358:Y358,_xlpm.unite)&gt;0,IF(_xlpm.estVol,IF(ROUND(_xlpm.val,3)&gt;=1,ROUND(_xlpm.val,3)&amp;" L",MAX(1,ROUND(_xlpm.val*100,0))&amp;" cl"),IF(_xlpm.estPoids,IF(ROUND(_xlpm.val,3)&gt;=1,ROUND(_xlpm.val,3)&amp;" Kg",MAX(1,ROUND(_xlpm.val*1000,0))&amp;" g"),"")))</f>
        <v/>
      </c>
      <c r="AH324" s="104" t="str">
        <f t="shared" si="49"/>
        <v>►</v>
      </c>
      <c r="AI324" s="32" t="str">
        <f>AI311</f>
        <v>N NOMBRE DE LA RECETA | | Autor &gt; USTED</v>
      </c>
      <c r="AJ324" s="33">
        <f>AJ311</f>
        <v>18</v>
      </c>
      <c r="AK324" s="32" t="str">
        <f>AK311</f>
        <v>postres</v>
      </c>
      <c r="AL324" s="34" t="str">
        <f>AL311</f>
        <v>Receta madre ► Introduzca el nombre de la receta principal</v>
      </c>
      <c r="AM324" s="92"/>
      <c r="AN324" s="108"/>
      <c r="AO324" s="94" t="str">
        <f t="shared" si="46"/>
        <v/>
      </c>
      <c r="AP324" s="95"/>
      <c r="AQ324" s="126"/>
      <c r="AR324" s="127">
        <v>1</v>
      </c>
      <c r="AS324" s="920"/>
      <c r="AT324" s="1495">
        <f>IF(OR(ISBLANK(AM309),AT309=0),0,AM324*AR310)</f>
        <v>0</v>
      </c>
      <c r="AU324" s="101" cm="1">
        <f t="array" ref="AU324">IFERROR(_xlfn.LET(_xlpm.k,UPPER(TRIM(AQ324)),_xlpm.r,_xlfn.XLOOKUP(_xlpm.k,UPPER(TRIM(AM356:AV356)),AM357:AV357,_xlfn.XLOOKUP(_xlpm.k,UPPER(TRIM(AM358:AV358)),AM359:AV359)),_xlpm.r*AP324*AR324*AR310*IF(ISBLANK(AM324),1,AM324)),0)</f>
        <v>0</v>
      </c>
      <c r="AV324" s="1475" t="str">
        <f>_xlfn.LET(_xlpm.unite,SUBSTITUTE(TRIM(AQ324)," (s)",""),_xlpm.val,AU324,_xlpm.estVol,COUNTIF(AP356:AV356,_xlpm.unite)+COUNTIF(AP358:AV358,_xlpm.unite)&gt;0,_xlpm.estPoids,COUNTIF(AM356:AO356,_xlpm.unite)+COUNTIF(AM358:AO358,_xlpm.unite)&gt;0,IF(_xlpm.estVol,IF(ROUND(_xlpm.val,3)&gt;=1,ROUND(_xlpm.val,3)&amp;" L",MAX(1,ROUND(_xlpm.val*100,0))&amp;" cl"),IF(_xlpm.estPoids,IF(ROUND(_xlpm.val,3)&gt;=1,ROUND(_xlpm.val,3)&amp;" Kg",MAX(1,ROUND(_xlpm.val*1000,0))&amp;" g"),"")))</f>
        <v/>
      </c>
      <c r="BV324" s="3">
        <v>1</v>
      </c>
    </row>
    <row r="325" spans="2:74" ht="18.75">
      <c r="B325" s="104" t="str">
        <f t="shared" si="47"/>
        <v>►</v>
      </c>
      <c r="C325" s="32" t="str">
        <f>C311</f>
        <v>N NOM DE VOTRE RECETTE | | Auteur &gt; VOUS</v>
      </c>
      <c r="D325" s="33">
        <f>D311</f>
        <v>18</v>
      </c>
      <c r="E325" s="32" t="str">
        <f>E311</f>
        <v>desserts</v>
      </c>
      <c r="F325" s="34" t="str">
        <f>F311</f>
        <v>Recette mère ► Saisir le nom de la recette principale</v>
      </c>
      <c r="G325" s="92"/>
      <c r="H325" s="108"/>
      <c r="I325" s="94" t="str">
        <f t="shared" si="44"/>
        <v/>
      </c>
      <c r="J325" s="95"/>
      <c r="K325" s="126"/>
      <c r="L325" s="127">
        <v>1</v>
      </c>
      <c r="M325" s="920"/>
      <c r="N325" s="1495">
        <f>IF(OR(ISBLANK(G309),N309=0),0,G325*L310)</f>
        <v>0</v>
      </c>
      <c r="O325" s="101" cm="1">
        <f t="array" ref="O325">IFERROR(_xlfn.LET(_xlpm.k,UPPER(TRIM(K325)),_xlpm.r,_xlfn.XLOOKUP(_xlpm.k,UPPER(TRIM(G356:P356)),G357:P357,_xlfn.XLOOKUP(_xlpm.k,UPPER(TRIM(G358:P358)),G359:P359)),_xlpm.r*J325*L325*L310*IF(ISBLANK(G325),1,G325)),0)</f>
        <v>0</v>
      </c>
      <c r="P325" s="1476" t="str">
        <f>_xlfn.LET(_xlpm.unite,SUBSTITUTE(TRIM(K325)," (s)",""),_xlpm.val,O325,_xlpm.estVol,COUNTIF(J356:P356,_xlpm.unite)+COUNTIF(J358:P358,_xlpm.unite)&gt;0,_xlpm.estPoids,COUNTIF(G356:I356,_xlpm.unite)+COUNTIF(G358:I358,_xlpm.unite)&gt;0,IF(_xlpm.estVol,IF(ROUND(_xlpm.val,3)&gt;=1,ROUND(_xlpm.val,3)&amp;" L",MAX(1,ROUND(_xlpm.val*100,0))&amp;" cl"),IF(_xlpm.estPoids,IF(ROUND(_xlpm.val,3)&gt;=1,ROUND(_xlpm.val,3)&amp;" Kg",MAX(1,ROUND(_xlpm.val*1000,0))&amp;" g"),"")))</f>
        <v/>
      </c>
      <c r="R325" s="104" t="str">
        <f t="shared" si="48"/>
        <v>►</v>
      </c>
      <c r="S325" s="32" t="str">
        <f>S311</f>
        <v>N NAME OF YOUR RECIPE | |  Author &gt; YOU</v>
      </c>
      <c r="T325" s="33">
        <f>T311</f>
        <v>18</v>
      </c>
      <c r="U325" s="32" t="str">
        <f>U311</f>
        <v>desserts</v>
      </c>
      <c r="V325" s="34" t="str">
        <f>V311</f>
        <v>Master recipe ► Enter the main recipe name</v>
      </c>
      <c r="W325" s="92"/>
      <c r="X325" s="108"/>
      <c r="Y325" s="94" t="str">
        <f t="shared" si="45"/>
        <v/>
      </c>
      <c r="Z325" s="95"/>
      <c r="AA325" s="126"/>
      <c r="AB325" s="127">
        <v>1</v>
      </c>
      <c r="AC325" s="920"/>
      <c r="AD325" s="1495">
        <f>IF(OR(ISBLANK(W309),AD309=0),0,W325*AB310)</f>
        <v>0</v>
      </c>
      <c r="AE325" s="101" cm="1">
        <f t="array" ref="AE325">IFERROR(_xlfn.LET(_xlpm.k,UPPER(TRIM(AA325)),_xlpm.r,_xlfn.XLOOKUP(_xlpm.k,UPPER(TRIM(W356:AF356)),W357:AF357,_xlfn.XLOOKUP(_xlpm.k,UPPER(TRIM(W358:AF358)),W359:AF359)),_xlpm.r*Z325*AB325*AB310*IF(ISBLANK(W325),1,W325)),0)</f>
        <v>0</v>
      </c>
      <c r="AF325" s="1476" t="str">
        <f>_xlfn.LET(_xlpm.unite,SUBSTITUTE(TRIM(AA325)," (s)",""),_xlpm.val,AE325,_xlpm.estVol,COUNTIF(Z356:AF356,_xlpm.unite)+COUNTIF(Z358:AF358,_xlpm.unite)&gt;0,_xlpm.estPoids,COUNTIF(W356:Y356,_xlpm.unite)+COUNTIF(W358:Y358,_xlpm.unite)&gt;0,IF(_xlpm.estVol,IF(ROUND(_xlpm.val,3)&gt;=1,ROUND(_xlpm.val,3)&amp;" L",MAX(1,ROUND(_xlpm.val*100,0))&amp;" cl"),IF(_xlpm.estPoids,IF(ROUND(_xlpm.val,3)&gt;=1,ROUND(_xlpm.val,3)&amp;" Kg",MAX(1,ROUND(_xlpm.val*1000,0))&amp;" g"),"")))</f>
        <v/>
      </c>
      <c r="AH325" s="104" t="str">
        <f t="shared" si="49"/>
        <v>►</v>
      </c>
      <c r="AI325" s="32" t="str">
        <f>AI311</f>
        <v>N NOMBRE DE LA RECETA | | Autor &gt; USTED</v>
      </c>
      <c r="AJ325" s="33">
        <f>AJ311</f>
        <v>18</v>
      </c>
      <c r="AK325" s="32" t="str">
        <f>AK311</f>
        <v>postres</v>
      </c>
      <c r="AL325" s="34" t="str">
        <f>AL311</f>
        <v>Receta madre ► Introduzca el nombre de la receta principal</v>
      </c>
      <c r="AM325" s="92"/>
      <c r="AN325" s="108"/>
      <c r="AO325" s="94" t="str">
        <f t="shared" si="46"/>
        <v/>
      </c>
      <c r="AP325" s="95"/>
      <c r="AQ325" s="126"/>
      <c r="AR325" s="127">
        <v>1</v>
      </c>
      <c r="AS325" s="920"/>
      <c r="AT325" s="1495">
        <f>IF(OR(ISBLANK(AM309),AT309=0),0,AM325*AR310)</f>
        <v>0</v>
      </c>
      <c r="AU325" s="101" cm="1">
        <f t="array" ref="AU325">IFERROR(_xlfn.LET(_xlpm.k,UPPER(TRIM(AQ325)),_xlpm.r,_xlfn.XLOOKUP(_xlpm.k,UPPER(TRIM(AM356:AV356)),AM357:AV357,_xlfn.XLOOKUP(_xlpm.k,UPPER(TRIM(AM358:AV358)),AM359:AV359)),_xlpm.r*AP325*AR325*AR310*IF(ISBLANK(AM325),1,AM325)),0)</f>
        <v>0</v>
      </c>
      <c r="AV325" s="1476" t="str">
        <f>_xlfn.LET(_xlpm.unite,SUBSTITUTE(TRIM(AQ325)," (s)",""),_xlpm.val,AU325,_xlpm.estVol,COUNTIF(AP356:AV356,_xlpm.unite)+COUNTIF(AP358:AV358,_xlpm.unite)&gt;0,_xlpm.estPoids,COUNTIF(AM356:AO356,_xlpm.unite)+COUNTIF(AM358:AO358,_xlpm.unite)&gt;0,IF(_xlpm.estVol,IF(ROUND(_xlpm.val,3)&gt;=1,ROUND(_xlpm.val,3)&amp;" L",MAX(1,ROUND(_xlpm.val*100,0))&amp;" cl"),IF(_xlpm.estPoids,IF(ROUND(_xlpm.val,3)&gt;=1,ROUND(_xlpm.val,3)&amp;" Kg",MAX(1,ROUND(_xlpm.val*1000,0))&amp;" g"),"")))</f>
        <v/>
      </c>
      <c r="BV325" s="3">
        <v>1</v>
      </c>
    </row>
    <row r="326" spans="2:74" ht="18.75">
      <c r="B326" s="104" t="str">
        <f t="shared" si="47"/>
        <v>►</v>
      </c>
      <c r="C326" s="32" t="str">
        <f>C311</f>
        <v>N NOM DE VOTRE RECETTE | | Auteur &gt; VOUS</v>
      </c>
      <c r="D326" s="33">
        <f>D311</f>
        <v>18</v>
      </c>
      <c r="E326" s="32" t="str">
        <f>E311</f>
        <v>desserts</v>
      </c>
      <c r="F326" s="34" t="str">
        <f>F311</f>
        <v>Recette mère ► Saisir le nom de la recette principale</v>
      </c>
      <c r="G326" s="92"/>
      <c r="H326" s="108"/>
      <c r="I326" s="94" t="str">
        <f t="shared" si="44"/>
        <v/>
      </c>
      <c r="J326" s="95"/>
      <c r="K326" s="126"/>
      <c r="L326" s="127">
        <v>1</v>
      </c>
      <c r="M326" s="920"/>
      <c r="N326" s="1495">
        <f>IF(OR(ISBLANK(G309),N309=0),0,G326*L310)</f>
        <v>0</v>
      </c>
      <c r="O326" s="101" cm="1">
        <f t="array" ref="O326">IFERROR(_xlfn.LET(_xlpm.k,UPPER(TRIM(K326)),_xlpm.r,_xlfn.XLOOKUP(_xlpm.k,UPPER(TRIM(G356:P356)),G357:P357,_xlfn.XLOOKUP(_xlpm.k,UPPER(TRIM(G358:P358)),G359:P359)),_xlpm.r*J326*L326*L310*IF(ISBLANK(G326),1,G326)),0)</f>
        <v>0</v>
      </c>
      <c r="P326" s="1475" t="str">
        <f>_xlfn.LET(_xlpm.unite,SUBSTITUTE(TRIM(K326)," (s)",""),_xlpm.val,O326,_xlpm.estVol,COUNTIF(J356:P356,_xlpm.unite)+COUNTIF(J358:P358,_xlpm.unite)&gt;0,_xlpm.estPoids,COUNTIF(G356:I356,_xlpm.unite)+COUNTIF(G358:I358,_xlpm.unite)&gt;0,IF(_xlpm.estVol,IF(ROUND(_xlpm.val,3)&gt;=1,ROUND(_xlpm.val,3)&amp;" L",MAX(1,ROUND(_xlpm.val*100,0))&amp;" cl"),IF(_xlpm.estPoids,IF(ROUND(_xlpm.val,3)&gt;=1,ROUND(_xlpm.val,3)&amp;" Kg",MAX(1,ROUND(_xlpm.val*1000,0))&amp;" g"),"")))</f>
        <v/>
      </c>
      <c r="R326" s="104" t="str">
        <f t="shared" si="48"/>
        <v>►</v>
      </c>
      <c r="S326" s="32" t="str">
        <f>S311</f>
        <v>N NAME OF YOUR RECIPE | |  Author &gt; YOU</v>
      </c>
      <c r="T326" s="33">
        <f>T311</f>
        <v>18</v>
      </c>
      <c r="U326" s="32" t="str">
        <f>U311</f>
        <v>desserts</v>
      </c>
      <c r="V326" s="34" t="str">
        <f>V311</f>
        <v>Master recipe ► Enter the main recipe name</v>
      </c>
      <c r="W326" s="92"/>
      <c r="X326" s="108"/>
      <c r="Y326" s="94" t="str">
        <f t="shared" si="45"/>
        <v/>
      </c>
      <c r="Z326" s="95"/>
      <c r="AA326" s="126"/>
      <c r="AB326" s="127">
        <v>1</v>
      </c>
      <c r="AC326" s="920"/>
      <c r="AD326" s="1495">
        <f>IF(OR(ISBLANK(W309),AD309=0),0,W326*AB310)</f>
        <v>0</v>
      </c>
      <c r="AE326" s="101" cm="1">
        <f t="array" ref="AE326">IFERROR(_xlfn.LET(_xlpm.k,UPPER(TRIM(AA326)),_xlpm.r,_xlfn.XLOOKUP(_xlpm.k,UPPER(TRIM(W356:AF356)),W357:AF357,_xlfn.XLOOKUP(_xlpm.k,UPPER(TRIM(W358:AF358)),W359:AF359)),_xlpm.r*Z326*AB326*AB310*IF(ISBLANK(W326),1,W326)),0)</f>
        <v>0</v>
      </c>
      <c r="AF326" s="1475" t="str">
        <f>_xlfn.LET(_xlpm.unite,SUBSTITUTE(TRIM(AA326)," (s)",""),_xlpm.val,AE326,_xlpm.estVol,COUNTIF(Z356:AF356,_xlpm.unite)+COUNTIF(Z358:AF358,_xlpm.unite)&gt;0,_xlpm.estPoids,COUNTIF(W356:Y356,_xlpm.unite)+COUNTIF(W358:Y358,_xlpm.unite)&gt;0,IF(_xlpm.estVol,IF(ROUND(_xlpm.val,3)&gt;=1,ROUND(_xlpm.val,3)&amp;" L",MAX(1,ROUND(_xlpm.val*100,0))&amp;" cl"),IF(_xlpm.estPoids,IF(ROUND(_xlpm.val,3)&gt;=1,ROUND(_xlpm.val,3)&amp;" Kg",MAX(1,ROUND(_xlpm.val*1000,0))&amp;" g"),"")))</f>
        <v/>
      </c>
      <c r="AH326" s="104" t="str">
        <f t="shared" si="49"/>
        <v>►</v>
      </c>
      <c r="AI326" s="32" t="str">
        <f>AI311</f>
        <v>N NOMBRE DE LA RECETA | | Autor &gt; USTED</v>
      </c>
      <c r="AJ326" s="33">
        <f>AJ311</f>
        <v>18</v>
      </c>
      <c r="AK326" s="32" t="str">
        <f>AK311</f>
        <v>postres</v>
      </c>
      <c r="AL326" s="34" t="str">
        <f>AL311</f>
        <v>Receta madre ► Introduzca el nombre de la receta principal</v>
      </c>
      <c r="AM326" s="92"/>
      <c r="AN326" s="108"/>
      <c r="AO326" s="94" t="str">
        <f t="shared" si="46"/>
        <v/>
      </c>
      <c r="AP326" s="95"/>
      <c r="AQ326" s="126"/>
      <c r="AR326" s="127">
        <v>1</v>
      </c>
      <c r="AS326" s="920"/>
      <c r="AT326" s="1495">
        <f>IF(OR(ISBLANK(AM309),AT309=0),0,AM326*AR310)</f>
        <v>0</v>
      </c>
      <c r="AU326" s="101" cm="1">
        <f t="array" ref="AU326">IFERROR(_xlfn.LET(_xlpm.k,UPPER(TRIM(AQ326)),_xlpm.r,_xlfn.XLOOKUP(_xlpm.k,UPPER(TRIM(AM356:AV356)),AM357:AV357,_xlfn.XLOOKUP(_xlpm.k,UPPER(TRIM(AM358:AV358)),AM359:AV359)),_xlpm.r*AP326*AR326*AR310*IF(ISBLANK(AM326),1,AM326)),0)</f>
        <v>0</v>
      </c>
      <c r="AV326" s="1475" t="str">
        <f>_xlfn.LET(_xlpm.unite,SUBSTITUTE(TRIM(AQ326)," (s)",""),_xlpm.val,AU326,_xlpm.estVol,COUNTIF(AP356:AV356,_xlpm.unite)+COUNTIF(AP358:AV358,_xlpm.unite)&gt;0,_xlpm.estPoids,COUNTIF(AM356:AO356,_xlpm.unite)+COUNTIF(AM358:AO358,_xlpm.unite)&gt;0,IF(_xlpm.estVol,IF(ROUND(_xlpm.val,3)&gt;=1,ROUND(_xlpm.val,3)&amp;" L",MAX(1,ROUND(_xlpm.val*100,0))&amp;" cl"),IF(_xlpm.estPoids,IF(ROUND(_xlpm.val,3)&gt;=1,ROUND(_xlpm.val,3)&amp;" Kg",MAX(1,ROUND(_xlpm.val*1000,0))&amp;" g"),"")))</f>
        <v/>
      </c>
      <c r="BV326" s="3">
        <v>1</v>
      </c>
    </row>
    <row r="327" spans="2:74" ht="18.75">
      <c r="B327" s="104" t="str">
        <f t="shared" si="47"/>
        <v>►</v>
      </c>
      <c r="C327" s="32" t="str">
        <f>C311</f>
        <v>N NOM DE VOTRE RECETTE | | Auteur &gt; VOUS</v>
      </c>
      <c r="D327" s="33">
        <f>D311</f>
        <v>18</v>
      </c>
      <c r="E327" s="32" t="str">
        <f>E311</f>
        <v>desserts</v>
      </c>
      <c r="F327" s="34" t="str">
        <f>F311</f>
        <v>Recette mère ► Saisir le nom de la recette principale</v>
      </c>
      <c r="G327" s="92"/>
      <c r="H327" s="108"/>
      <c r="I327" s="94" t="str">
        <f t="shared" si="44"/>
        <v/>
      </c>
      <c r="J327" s="95"/>
      <c r="K327" s="126"/>
      <c r="L327" s="127">
        <v>1</v>
      </c>
      <c r="M327" s="920"/>
      <c r="N327" s="1495">
        <f>IF(OR(ISBLANK(G309),N309=0),0,G327*L310)</f>
        <v>0</v>
      </c>
      <c r="O327" s="101" cm="1">
        <f t="array" ref="O327">IFERROR(_xlfn.LET(_xlpm.k,UPPER(TRIM(K327)),_xlpm.r,_xlfn.XLOOKUP(_xlpm.k,UPPER(TRIM(G356:P356)),G357:P357,_xlfn.XLOOKUP(_xlpm.k,UPPER(TRIM(G358:P358)),G359:P359)),_xlpm.r*J327*L327*L310*IF(ISBLANK(G327),1,G327)),0)</f>
        <v>0</v>
      </c>
      <c r="P327" s="1476" t="str">
        <f>_xlfn.LET(_xlpm.unite,SUBSTITUTE(TRIM(K327)," (s)",""),_xlpm.val,O327,_xlpm.estVol,COUNTIF(J356:P356,_xlpm.unite)+COUNTIF(J358:P358,_xlpm.unite)&gt;0,_xlpm.estPoids,COUNTIF(G356:I356,_xlpm.unite)+COUNTIF(G358:I358,_xlpm.unite)&gt;0,IF(_xlpm.estVol,IF(ROUND(_xlpm.val,3)&gt;=1,ROUND(_xlpm.val,3)&amp;" L",MAX(1,ROUND(_xlpm.val*100,0))&amp;" cl"),IF(_xlpm.estPoids,IF(ROUND(_xlpm.val,3)&gt;=1,ROUND(_xlpm.val,3)&amp;" Kg",MAX(1,ROUND(_xlpm.val*1000,0))&amp;" g"),"")))</f>
        <v/>
      </c>
      <c r="R327" s="104" t="str">
        <f t="shared" si="48"/>
        <v>►</v>
      </c>
      <c r="S327" s="32" t="str">
        <f>S311</f>
        <v>N NAME OF YOUR RECIPE | |  Author &gt; YOU</v>
      </c>
      <c r="T327" s="33">
        <f>T311</f>
        <v>18</v>
      </c>
      <c r="U327" s="32" t="str">
        <f>U311</f>
        <v>desserts</v>
      </c>
      <c r="V327" s="34" t="str">
        <f>V311</f>
        <v>Master recipe ► Enter the main recipe name</v>
      </c>
      <c r="W327" s="92"/>
      <c r="X327" s="108"/>
      <c r="Y327" s="94" t="str">
        <f t="shared" si="45"/>
        <v/>
      </c>
      <c r="Z327" s="95"/>
      <c r="AA327" s="126"/>
      <c r="AB327" s="127">
        <v>1</v>
      </c>
      <c r="AC327" s="920"/>
      <c r="AD327" s="1495">
        <f>IF(OR(ISBLANK(W309),AD309=0),0,W327*AB310)</f>
        <v>0</v>
      </c>
      <c r="AE327" s="101" cm="1">
        <f t="array" ref="AE327">IFERROR(_xlfn.LET(_xlpm.k,UPPER(TRIM(AA327)),_xlpm.r,_xlfn.XLOOKUP(_xlpm.k,UPPER(TRIM(W356:AF356)),W357:AF357,_xlfn.XLOOKUP(_xlpm.k,UPPER(TRIM(W358:AF358)),W359:AF359)),_xlpm.r*Z327*AB327*AB310*IF(ISBLANK(W327),1,W327)),0)</f>
        <v>0</v>
      </c>
      <c r="AF327" s="1476" t="str">
        <f>_xlfn.LET(_xlpm.unite,SUBSTITUTE(TRIM(AA327)," (s)",""),_xlpm.val,AE327,_xlpm.estVol,COUNTIF(Z356:AF356,_xlpm.unite)+COUNTIF(Z358:AF358,_xlpm.unite)&gt;0,_xlpm.estPoids,COUNTIF(W356:Y356,_xlpm.unite)+COUNTIF(W358:Y358,_xlpm.unite)&gt;0,IF(_xlpm.estVol,IF(ROUND(_xlpm.val,3)&gt;=1,ROUND(_xlpm.val,3)&amp;" L",MAX(1,ROUND(_xlpm.val*100,0))&amp;" cl"),IF(_xlpm.estPoids,IF(ROUND(_xlpm.val,3)&gt;=1,ROUND(_xlpm.val,3)&amp;" Kg",MAX(1,ROUND(_xlpm.val*1000,0))&amp;" g"),"")))</f>
        <v/>
      </c>
      <c r="AH327" s="104" t="str">
        <f t="shared" si="49"/>
        <v>►</v>
      </c>
      <c r="AI327" s="32" t="str">
        <f>AI311</f>
        <v>N NOMBRE DE LA RECETA | | Autor &gt; USTED</v>
      </c>
      <c r="AJ327" s="33">
        <f>AJ311</f>
        <v>18</v>
      </c>
      <c r="AK327" s="32" t="str">
        <f>AK311</f>
        <v>postres</v>
      </c>
      <c r="AL327" s="34" t="str">
        <f>AL311</f>
        <v>Receta madre ► Introduzca el nombre de la receta principal</v>
      </c>
      <c r="AM327" s="92"/>
      <c r="AN327" s="108"/>
      <c r="AO327" s="94" t="str">
        <f t="shared" si="46"/>
        <v/>
      </c>
      <c r="AP327" s="95"/>
      <c r="AQ327" s="126"/>
      <c r="AR327" s="127">
        <v>1</v>
      </c>
      <c r="AS327" s="920"/>
      <c r="AT327" s="1495">
        <f>IF(OR(ISBLANK(AM309),AT309=0),0,AM327*AR310)</f>
        <v>0</v>
      </c>
      <c r="AU327" s="101" cm="1">
        <f t="array" ref="AU327">IFERROR(_xlfn.LET(_xlpm.k,UPPER(TRIM(AQ327)),_xlpm.r,_xlfn.XLOOKUP(_xlpm.k,UPPER(TRIM(AM356:AV356)),AM357:AV357,_xlfn.XLOOKUP(_xlpm.k,UPPER(TRIM(AM358:AV358)),AM359:AV359)),_xlpm.r*AP327*AR327*AR310*IF(ISBLANK(AM327),1,AM327)),0)</f>
        <v>0</v>
      </c>
      <c r="AV327" s="1476" t="str">
        <f>_xlfn.LET(_xlpm.unite,SUBSTITUTE(TRIM(AQ327)," (s)",""),_xlpm.val,AU327,_xlpm.estVol,COUNTIF(AP356:AV356,_xlpm.unite)+COUNTIF(AP358:AV358,_xlpm.unite)&gt;0,_xlpm.estPoids,COUNTIF(AM356:AO356,_xlpm.unite)+COUNTIF(AM358:AO358,_xlpm.unite)&gt;0,IF(_xlpm.estVol,IF(ROUND(_xlpm.val,3)&gt;=1,ROUND(_xlpm.val,3)&amp;" L",MAX(1,ROUND(_xlpm.val*100,0))&amp;" cl"),IF(_xlpm.estPoids,IF(ROUND(_xlpm.val,3)&gt;=1,ROUND(_xlpm.val,3)&amp;" Kg",MAX(1,ROUND(_xlpm.val*1000,0))&amp;" g"),"")))</f>
        <v/>
      </c>
      <c r="BV327" s="3">
        <v>1</v>
      </c>
    </row>
    <row r="328" spans="2:74" ht="18.75">
      <c r="B328" s="104" t="str">
        <f t="shared" si="47"/>
        <v>►</v>
      </c>
      <c r="C328" s="32" t="str">
        <f>C311</f>
        <v>N NOM DE VOTRE RECETTE | | Auteur &gt; VOUS</v>
      </c>
      <c r="D328" s="33">
        <f>D311</f>
        <v>18</v>
      </c>
      <c r="E328" s="32" t="str">
        <f>E311</f>
        <v>desserts</v>
      </c>
      <c r="F328" s="34" t="str">
        <f>F311</f>
        <v>Recette mère ► Saisir le nom de la recette principale</v>
      </c>
      <c r="G328" s="92"/>
      <c r="H328" s="108"/>
      <c r="I328" s="94" t="str">
        <f t="shared" si="44"/>
        <v/>
      </c>
      <c r="J328" s="95"/>
      <c r="K328" s="126"/>
      <c r="L328" s="127">
        <v>1</v>
      </c>
      <c r="M328" s="920"/>
      <c r="N328" s="1495">
        <f>IF(OR(ISBLANK(G309),N309=0),0,G328*L310)</f>
        <v>0</v>
      </c>
      <c r="O328" s="101" cm="1">
        <f t="array" ref="O328">IFERROR(_xlfn.LET(_xlpm.k,UPPER(TRIM(K328)),_xlpm.r,_xlfn.XLOOKUP(_xlpm.k,UPPER(TRIM(G356:P356)),G357:P357,_xlfn.XLOOKUP(_xlpm.k,UPPER(TRIM(G358:P358)),G359:P359)),_xlpm.r*J328*L328*L310*IF(ISBLANK(G328),1,G328)),0)</f>
        <v>0</v>
      </c>
      <c r="P328" s="1475" t="str">
        <f>_xlfn.LET(_xlpm.unite,SUBSTITUTE(TRIM(K328)," (s)",""),_xlpm.val,O328,_xlpm.estVol,COUNTIF(J356:P356,_xlpm.unite)+COUNTIF(J358:P358,_xlpm.unite)&gt;0,_xlpm.estPoids,COUNTIF(G356:I356,_xlpm.unite)+COUNTIF(G358:I358,_xlpm.unite)&gt;0,IF(_xlpm.estVol,IF(ROUND(_xlpm.val,3)&gt;=1,ROUND(_xlpm.val,3)&amp;" L",MAX(1,ROUND(_xlpm.val*100,0))&amp;" cl"),IF(_xlpm.estPoids,IF(ROUND(_xlpm.val,3)&gt;=1,ROUND(_xlpm.val,3)&amp;" Kg",MAX(1,ROUND(_xlpm.val*1000,0))&amp;" g"),"")))</f>
        <v/>
      </c>
      <c r="R328" s="104" t="str">
        <f t="shared" si="48"/>
        <v>►</v>
      </c>
      <c r="S328" s="32" t="str">
        <f>S311</f>
        <v>N NAME OF YOUR RECIPE | |  Author &gt; YOU</v>
      </c>
      <c r="T328" s="33">
        <f>T311</f>
        <v>18</v>
      </c>
      <c r="U328" s="32" t="str">
        <f>U311</f>
        <v>desserts</v>
      </c>
      <c r="V328" s="34" t="str">
        <f>V311</f>
        <v>Master recipe ► Enter the main recipe name</v>
      </c>
      <c r="W328" s="92"/>
      <c r="X328" s="108"/>
      <c r="Y328" s="94" t="str">
        <f t="shared" si="45"/>
        <v/>
      </c>
      <c r="Z328" s="95"/>
      <c r="AA328" s="126"/>
      <c r="AB328" s="127">
        <v>1</v>
      </c>
      <c r="AC328" s="920"/>
      <c r="AD328" s="1495">
        <f>IF(OR(ISBLANK(W309),AD309=0),0,W328*AB310)</f>
        <v>0</v>
      </c>
      <c r="AE328" s="101" cm="1">
        <f t="array" ref="AE328">IFERROR(_xlfn.LET(_xlpm.k,UPPER(TRIM(AA328)),_xlpm.r,_xlfn.XLOOKUP(_xlpm.k,UPPER(TRIM(W356:AF356)),W357:AF357,_xlfn.XLOOKUP(_xlpm.k,UPPER(TRIM(W358:AF358)),W359:AF359)),_xlpm.r*Z328*AB328*AB310*IF(ISBLANK(W328),1,W328)),0)</f>
        <v>0</v>
      </c>
      <c r="AF328" s="1475" t="str">
        <f>_xlfn.LET(_xlpm.unite,SUBSTITUTE(TRIM(AA328)," (s)",""),_xlpm.val,AE328,_xlpm.estVol,COUNTIF(Z356:AF356,_xlpm.unite)+COUNTIF(Z358:AF358,_xlpm.unite)&gt;0,_xlpm.estPoids,COUNTIF(W356:Y356,_xlpm.unite)+COUNTIF(W358:Y358,_xlpm.unite)&gt;0,IF(_xlpm.estVol,IF(ROUND(_xlpm.val,3)&gt;=1,ROUND(_xlpm.val,3)&amp;" L",MAX(1,ROUND(_xlpm.val*100,0))&amp;" cl"),IF(_xlpm.estPoids,IF(ROUND(_xlpm.val,3)&gt;=1,ROUND(_xlpm.val,3)&amp;" Kg",MAX(1,ROUND(_xlpm.val*1000,0))&amp;" g"),"")))</f>
        <v/>
      </c>
      <c r="AH328" s="104" t="str">
        <f t="shared" si="49"/>
        <v>►</v>
      </c>
      <c r="AI328" s="32" t="str">
        <f>AI311</f>
        <v>N NOMBRE DE LA RECETA | | Autor &gt; USTED</v>
      </c>
      <c r="AJ328" s="33">
        <f>AJ311</f>
        <v>18</v>
      </c>
      <c r="AK328" s="32" t="str">
        <f>AK311</f>
        <v>postres</v>
      </c>
      <c r="AL328" s="34" t="str">
        <f>AL311</f>
        <v>Receta madre ► Introduzca el nombre de la receta principal</v>
      </c>
      <c r="AM328" s="92"/>
      <c r="AN328" s="108"/>
      <c r="AO328" s="94" t="str">
        <f t="shared" si="46"/>
        <v/>
      </c>
      <c r="AP328" s="95"/>
      <c r="AQ328" s="126"/>
      <c r="AR328" s="127">
        <v>1</v>
      </c>
      <c r="AS328" s="920"/>
      <c r="AT328" s="1495">
        <f>IF(OR(ISBLANK(AM309),AT309=0),0,AM328*AR310)</f>
        <v>0</v>
      </c>
      <c r="AU328" s="101" cm="1">
        <f t="array" ref="AU328">IFERROR(_xlfn.LET(_xlpm.k,UPPER(TRIM(AQ328)),_xlpm.r,_xlfn.XLOOKUP(_xlpm.k,UPPER(TRIM(AM356:AV356)),AM357:AV357,_xlfn.XLOOKUP(_xlpm.k,UPPER(TRIM(AM358:AV358)),AM359:AV359)),_xlpm.r*AP328*AR328*AR310*IF(ISBLANK(AM328),1,AM328)),0)</f>
        <v>0</v>
      </c>
      <c r="AV328" s="1475" t="str">
        <f>_xlfn.LET(_xlpm.unite,SUBSTITUTE(TRIM(AQ328)," (s)",""),_xlpm.val,AU328,_xlpm.estVol,COUNTIF(AP356:AV356,_xlpm.unite)+COUNTIF(AP358:AV358,_xlpm.unite)&gt;0,_xlpm.estPoids,COUNTIF(AM356:AO356,_xlpm.unite)+COUNTIF(AM358:AO358,_xlpm.unite)&gt;0,IF(_xlpm.estVol,IF(ROUND(_xlpm.val,3)&gt;=1,ROUND(_xlpm.val,3)&amp;" L",MAX(1,ROUND(_xlpm.val*100,0))&amp;" cl"),IF(_xlpm.estPoids,IF(ROUND(_xlpm.val,3)&gt;=1,ROUND(_xlpm.val,3)&amp;" Kg",MAX(1,ROUND(_xlpm.val*1000,0))&amp;" g"),"")))</f>
        <v/>
      </c>
      <c r="BV328" s="3">
        <v>1</v>
      </c>
    </row>
    <row r="329" spans="2:74" ht="18.75">
      <c r="B329" s="104" t="str">
        <f t="shared" si="47"/>
        <v>►</v>
      </c>
      <c r="C329" s="32" t="str">
        <f>C311</f>
        <v>N NOM DE VOTRE RECETTE | | Auteur &gt; VOUS</v>
      </c>
      <c r="D329" s="33">
        <f>D311</f>
        <v>18</v>
      </c>
      <c r="E329" s="32" t="str">
        <f>E311</f>
        <v>desserts</v>
      </c>
      <c r="F329" s="34" t="str">
        <f>F311</f>
        <v>Recette mère ► Saisir le nom de la recette principale</v>
      </c>
      <c r="G329" s="92"/>
      <c r="H329" s="108"/>
      <c r="I329" s="94" t="str">
        <f t="shared" si="44"/>
        <v/>
      </c>
      <c r="J329" s="95"/>
      <c r="K329" s="126"/>
      <c r="L329" s="127">
        <v>1</v>
      </c>
      <c r="M329" s="920"/>
      <c r="N329" s="1495">
        <f>IF(OR(ISBLANK(G309),N309=0),0,G329*L310)</f>
        <v>0</v>
      </c>
      <c r="O329" s="101" cm="1">
        <f t="array" ref="O329">IFERROR(_xlfn.LET(_xlpm.k,UPPER(TRIM(K329)),_xlpm.r,_xlfn.XLOOKUP(_xlpm.k,UPPER(TRIM(G356:P356)),G357:P357,_xlfn.XLOOKUP(_xlpm.k,UPPER(TRIM(G358:P358)),G359:P359)),_xlpm.r*J329*L329*L310*IF(ISBLANK(G329),1,G329)),0)</f>
        <v>0</v>
      </c>
      <c r="P329" s="1476" t="str">
        <f>_xlfn.LET(_xlpm.unite,SUBSTITUTE(TRIM(K329)," (s)",""),_xlpm.val,O329,_xlpm.estVol,COUNTIF(J356:P356,_xlpm.unite)+COUNTIF(J358:P358,_xlpm.unite)&gt;0,_xlpm.estPoids,COUNTIF(G356:I356,_xlpm.unite)+COUNTIF(G358:I358,_xlpm.unite)&gt;0,IF(_xlpm.estVol,IF(ROUND(_xlpm.val,3)&gt;=1,ROUND(_xlpm.val,3)&amp;" L",MAX(1,ROUND(_xlpm.val*100,0))&amp;" cl"),IF(_xlpm.estPoids,IF(ROUND(_xlpm.val,3)&gt;=1,ROUND(_xlpm.val,3)&amp;" Kg",MAX(1,ROUND(_xlpm.val*1000,0))&amp;" g"),"")))</f>
        <v/>
      </c>
      <c r="R329" s="104" t="str">
        <f t="shared" si="48"/>
        <v>►</v>
      </c>
      <c r="S329" s="32" t="str">
        <f>S311</f>
        <v>N NAME OF YOUR RECIPE | |  Author &gt; YOU</v>
      </c>
      <c r="T329" s="33">
        <f>T311</f>
        <v>18</v>
      </c>
      <c r="U329" s="32" t="str">
        <f>U311</f>
        <v>desserts</v>
      </c>
      <c r="V329" s="34" t="str">
        <f>V311</f>
        <v>Master recipe ► Enter the main recipe name</v>
      </c>
      <c r="W329" s="92"/>
      <c r="X329" s="108"/>
      <c r="Y329" s="94" t="str">
        <f t="shared" si="45"/>
        <v/>
      </c>
      <c r="Z329" s="95"/>
      <c r="AA329" s="126"/>
      <c r="AB329" s="127">
        <v>1</v>
      </c>
      <c r="AC329" s="920"/>
      <c r="AD329" s="1495">
        <f>IF(OR(ISBLANK(W309),AD309=0),0,W329*AB310)</f>
        <v>0</v>
      </c>
      <c r="AE329" s="101" cm="1">
        <f t="array" ref="AE329">IFERROR(_xlfn.LET(_xlpm.k,UPPER(TRIM(AA329)),_xlpm.r,_xlfn.XLOOKUP(_xlpm.k,UPPER(TRIM(W356:AF356)),W357:AF357,_xlfn.XLOOKUP(_xlpm.k,UPPER(TRIM(W358:AF358)),W359:AF359)),_xlpm.r*Z329*AB329*AB310*IF(ISBLANK(W329),1,W329)),0)</f>
        <v>0</v>
      </c>
      <c r="AF329" s="1476" t="str">
        <f>_xlfn.LET(_xlpm.unite,SUBSTITUTE(TRIM(AA329)," (s)",""),_xlpm.val,AE329,_xlpm.estVol,COUNTIF(Z356:AF356,_xlpm.unite)+COUNTIF(Z358:AF358,_xlpm.unite)&gt;0,_xlpm.estPoids,COUNTIF(W356:Y356,_xlpm.unite)+COUNTIF(W358:Y358,_xlpm.unite)&gt;0,IF(_xlpm.estVol,IF(ROUND(_xlpm.val,3)&gt;=1,ROUND(_xlpm.val,3)&amp;" L",MAX(1,ROUND(_xlpm.val*100,0))&amp;" cl"),IF(_xlpm.estPoids,IF(ROUND(_xlpm.val,3)&gt;=1,ROUND(_xlpm.val,3)&amp;" Kg",MAX(1,ROUND(_xlpm.val*1000,0))&amp;" g"),"")))</f>
        <v/>
      </c>
      <c r="AH329" s="104" t="str">
        <f t="shared" si="49"/>
        <v>►</v>
      </c>
      <c r="AI329" s="32" t="str">
        <f>AI311</f>
        <v>N NOMBRE DE LA RECETA | | Autor &gt; USTED</v>
      </c>
      <c r="AJ329" s="33">
        <f>AJ311</f>
        <v>18</v>
      </c>
      <c r="AK329" s="32" t="str">
        <f>AK311</f>
        <v>postres</v>
      </c>
      <c r="AL329" s="34" t="str">
        <f>AL311</f>
        <v>Receta madre ► Introduzca el nombre de la receta principal</v>
      </c>
      <c r="AM329" s="92"/>
      <c r="AN329" s="108"/>
      <c r="AO329" s="94" t="str">
        <f t="shared" si="46"/>
        <v/>
      </c>
      <c r="AP329" s="95"/>
      <c r="AQ329" s="126"/>
      <c r="AR329" s="127">
        <v>1</v>
      </c>
      <c r="AS329" s="920"/>
      <c r="AT329" s="1495">
        <f>IF(OR(ISBLANK(AM309),AT309=0),0,AM329*AR310)</f>
        <v>0</v>
      </c>
      <c r="AU329" s="101" cm="1">
        <f t="array" ref="AU329">IFERROR(_xlfn.LET(_xlpm.k,UPPER(TRIM(AQ329)),_xlpm.r,_xlfn.XLOOKUP(_xlpm.k,UPPER(TRIM(AM356:AV356)),AM357:AV357,_xlfn.XLOOKUP(_xlpm.k,UPPER(TRIM(AM358:AV358)),AM359:AV359)),_xlpm.r*AP329*AR329*AR310*IF(ISBLANK(AM329),1,AM329)),0)</f>
        <v>0</v>
      </c>
      <c r="AV329" s="1476" t="str">
        <f>_xlfn.LET(_xlpm.unite,SUBSTITUTE(TRIM(AQ329)," (s)",""),_xlpm.val,AU329,_xlpm.estVol,COUNTIF(AP356:AV356,_xlpm.unite)+COUNTIF(AP358:AV358,_xlpm.unite)&gt;0,_xlpm.estPoids,COUNTIF(AM356:AO356,_xlpm.unite)+COUNTIF(AM358:AO358,_xlpm.unite)&gt;0,IF(_xlpm.estVol,IF(ROUND(_xlpm.val,3)&gt;=1,ROUND(_xlpm.val,3)&amp;" L",MAX(1,ROUND(_xlpm.val*100,0))&amp;" cl"),IF(_xlpm.estPoids,IF(ROUND(_xlpm.val,3)&gt;=1,ROUND(_xlpm.val,3)&amp;" Kg",MAX(1,ROUND(_xlpm.val*1000,0))&amp;" g"),"")))</f>
        <v/>
      </c>
      <c r="BV329" s="3">
        <v>1</v>
      </c>
    </row>
    <row r="330" spans="2:74" ht="18.75">
      <c r="B330" s="104" t="str">
        <f t="shared" si="47"/>
        <v>►</v>
      </c>
      <c r="C330" s="32" t="str">
        <f>C311</f>
        <v>N NOM DE VOTRE RECETTE | | Auteur &gt; VOUS</v>
      </c>
      <c r="D330" s="33">
        <f>D311</f>
        <v>18</v>
      </c>
      <c r="E330" s="32" t="str">
        <f>E311</f>
        <v>desserts</v>
      </c>
      <c r="F330" s="34" t="str">
        <f>F311</f>
        <v>Recette mère ► Saisir le nom de la recette principale</v>
      </c>
      <c r="G330" s="92"/>
      <c r="H330" s="108"/>
      <c r="I330" s="94" t="str">
        <f t="shared" si="44"/>
        <v/>
      </c>
      <c r="J330" s="95"/>
      <c r="K330" s="126"/>
      <c r="L330" s="127">
        <v>1</v>
      </c>
      <c r="M330" s="920"/>
      <c r="N330" s="1495">
        <f>IF(OR(ISBLANK(G309),N309=0),0,G330*L310)</f>
        <v>0</v>
      </c>
      <c r="O330" s="101" cm="1">
        <f t="array" ref="O330">IFERROR(_xlfn.LET(_xlpm.k,UPPER(TRIM(K330)),_xlpm.r,_xlfn.XLOOKUP(_xlpm.k,UPPER(TRIM(G356:P356)),G357:P357,_xlfn.XLOOKUP(_xlpm.k,UPPER(TRIM(G358:P358)),G359:P359)),_xlpm.r*J330*L330*L310*IF(ISBLANK(G330),1,G330)),0)</f>
        <v>0</v>
      </c>
      <c r="P330" s="1475" t="str">
        <f>_xlfn.LET(_xlpm.unite,SUBSTITUTE(TRIM(K330)," (s)",""),_xlpm.val,O330,_xlpm.estVol,COUNTIF(J356:P356,_xlpm.unite)+COUNTIF(J358:P358,_xlpm.unite)&gt;0,_xlpm.estPoids,COUNTIF(G356:I356,_xlpm.unite)+COUNTIF(G358:I358,_xlpm.unite)&gt;0,IF(_xlpm.estVol,IF(ROUND(_xlpm.val,3)&gt;=1,ROUND(_xlpm.val,3)&amp;" L",MAX(1,ROUND(_xlpm.val*100,0))&amp;" cl"),IF(_xlpm.estPoids,IF(ROUND(_xlpm.val,3)&gt;=1,ROUND(_xlpm.val,3)&amp;" Kg",MAX(1,ROUND(_xlpm.val*1000,0))&amp;" g"),"")))</f>
        <v/>
      </c>
      <c r="R330" s="104" t="str">
        <f t="shared" si="48"/>
        <v>►</v>
      </c>
      <c r="S330" s="32" t="str">
        <f>S311</f>
        <v>N NAME OF YOUR RECIPE | |  Author &gt; YOU</v>
      </c>
      <c r="T330" s="33">
        <f>T311</f>
        <v>18</v>
      </c>
      <c r="U330" s="32" t="str">
        <f>U311</f>
        <v>desserts</v>
      </c>
      <c r="V330" s="34" t="str">
        <f>V311</f>
        <v>Master recipe ► Enter the main recipe name</v>
      </c>
      <c r="W330" s="92"/>
      <c r="X330" s="108"/>
      <c r="Y330" s="94" t="str">
        <f t="shared" si="45"/>
        <v/>
      </c>
      <c r="Z330" s="95"/>
      <c r="AA330" s="126"/>
      <c r="AB330" s="127">
        <v>1</v>
      </c>
      <c r="AC330" s="920"/>
      <c r="AD330" s="1495">
        <f>IF(OR(ISBLANK(W309),AD309=0),0,W330*AB310)</f>
        <v>0</v>
      </c>
      <c r="AE330" s="101" cm="1">
        <f t="array" ref="AE330">IFERROR(_xlfn.LET(_xlpm.k,UPPER(TRIM(AA330)),_xlpm.r,_xlfn.XLOOKUP(_xlpm.k,UPPER(TRIM(W356:AF356)),W357:AF357,_xlfn.XLOOKUP(_xlpm.k,UPPER(TRIM(W358:AF358)),W359:AF359)),_xlpm.r*Z330*AB330*AB310*IF(ISBLANK(W330),1,W330)),0)</f>
        <v>0</v>
      </c>
      <c r="AF330" s="1475" t="str">
        <f>_xlfn.LET(_xlpm.unite,SUBSTITUTE(TRIM(AA330)," (s)",""),_xlpm.val,AE330,_xlpm.estVol,COUNTIF(Z356:AF356,_xlpm.unite)+COUNTIF(Z358:AF358,_xlpm.unite)&gt;0,_xlpm.estPoids,COUNTIF(W356:Y356,_xlpm.unite)+COUNTIF(W358:Y358,_xlpm.unite)&gt;0,IF(_xlpm.estVol,IF(ROUND(_xlpm.val,3)&gt;=1,ROUND(_xlpm.val,3)&amp;" L",MAX(1,ROUND(_xlpm.val*100,0))&amp;" cl"),IF(_xlpm.estPoids,IF(ROUND(_xlpm.val,3)&gt;=1,ROUND(_xlpm.val,3)&amp;" Kg",MAX(1,ROUND(_xlpm.val*1000,0))&amp;" g"),"")))</f>
        <v/>
      </c>
      <c r="AH330" s="104" t="str">
        <f t="shared" si="49"/>
        <v>►</v>
      </c>
      <c r="AI330" s="32" t="str">
        <f>AI311</f>
        <v>N NOMBRE DE LA RECETA | | Autor &gt; USTED</v>
      </c>
      <c r="AJ330" s="33">
        <f>AJ311</f>
        <v>18</v>
      </c>
      <c r="AK330" s="32" t="str">
        <f>AK311</f>
        <v>postres</v>
      </c>
      <c r="AL330" s="34" t="str">
        <f>AL311</f>
        <v>Receta madre ► Introduzca el nombre de la receta principal</v>
      </c>
      <c r="AM330" s="92"/>
      <c r="AN330" s="108"/>
      <c r="AO330" s="94" t="str">
        <f t="shared" si="46"/>
        <v/>
      </c>
      <c r="AP330" s="95"/>
      <c r="AQ330" s="126"/>
      <c r="AR330" s="127">
        <v>1</v>
      </c>
      <c r="AS330" s="920"/>
      <c r="AT330" s="1495">
        <f>IF(OR(ISBLANK(AM309),AT309=0),0,AM330*AR310)</f>
        <v>0</v>
      </c>
      <c r="AU330" s="101" cm="1">
        <f t="array" ref="AU330">IFERROR(_xlfn.LET(_xlpm.k,UPPER(TRIM(AQ330)),_xlpm.r,_xlfn.XLOOKUP(_xlpm.k,UPPER(TRIM(AM356:AV356)),AM357:AV357,_xlfn.XLOOKUP(_xlpm.k,UPPER(TRIM(AM358:AV358)),AM359:AV359)),_xlpm.r*AP330*AR330*AR310*IF(ISBLANK(AM330),1,AM330)),0)</f>
        <v>0</v>
      </c>
      <c r="AV330" s="1475" t="str">
        <f>_xlfn.LET(_xlpm.unite,SUBSTITUTE(TRIM(AQ330)," (s)",""),_xlpm.val,AU330,_xlpm.estVol,COUNTIF(AP356:AV356,_xlpm.unite)+COUNTIF(AP358:AV358,_xlpm.unite)&gt;0,_xlpm.estPoids,COUNTIF(AM356:AO356,_xlpm.unite)+COUNTIF(AM358:AO358,_xlpm.unite)&gt;0,IF(_xlpm.estVol,IF(ROUND(_xlpm.val,3)&gt;=1,ROUND(_xlpm.val,3)&amp;" L",MAX(1,ROUND(_xlpm.val*100,0))&amp;" cl"),IF(_xlpm.estPoids,IF(ROUND(_xlpm.val,3)&gt;=1,ROUND(_xlpm.val,3)&amp;" Kg",MAX(1,ROUND(_xlpm.val*1000,0))&amp;" g"),"")))</f>
        <v/>
      </c>
      <c r="BV330" s="3">
        <v>1</v>
      </c>
    </row>
    <row r="331" spans="2:74" ht="18.75">
      <c r="B331" s="104" t="str">
        <f t="shared" si="47"/>
        <v>►</v>
      </c>
      <c r="C331" s="32" t="str">
        <f>C311</f>
        <v>N NOM DE VOTRE RECETTE | | Auteur &gt; VOUS</v>
      </c>
      <c r="D331" s="33">
        <f>D311</f>
        <v>18</v>
      </c>
      <c r="E331" s="32" t="str">
        <f>E311</f>
        <v>desserts</v>
      </c>
      <c r="F331" s="34" t="str">
        <f>F311</f>
        <v>Recette mère ► Saisir le nom de la recette principale</v>
      </c>
      <c r="G331" s="92"/>
      <c r="H331" s="108"/>
      <c r="I331" s="94" t="str">
        <f t="shared" si="44"/>
        <v/>
      </c>
      <c r="J331" s="95"/>
      <c r="K331" s="126"/>
      <c r="L331" s="127">
        <v>1</v>
      </c>
      <c r="M331" s="920"/>
      <c r="N331" s="1495">
        <f>IF(OR(ISBLANK(G309),N309=0),0,G331*L310)</f>
        <v>0</v>
      </c>
      <c r="O331" s="101" cm="1">
        <f t="array" ref="O331">IFERROR(_xlfn.LET(_xlpm.k,UPPER(TRIM(K331)),_xlpm.r,_xlfn.XLOOKUP(_xlpm.k,UPPER(TRIM(G356:P356)),G357:P357,_xlfn.XLOOKUP(_xlpm.k,UPPER(TRIM(G358:P358)),G359:P359)),_xlpm.r*J331*L331*L310*IF(ISBLANK(G331),1,G331)),0)</f>
        <v>0</v>
      </c>
      <c r="P331" s="1476" t="str">
        <f>_xlfn.LET(_xlpm.unite,SUBSTITUTE(TRIM(K331)," (s)",""),_xlpm.val,O331,_xlpm.estVol,COUNTIF(J356:P356,_xlpm.unite)+COUNTIF(J358:P358,_xlpm.unite)&gt;0,_xlpm.estPoids,COUNTIF(G356:I356,_xlpm.unite)+COUNTIF(G358:I358,_xlpm.unite)&gt;0,IF(_xlpm.estVol,IF(ROUND(_xlpm.val,3)&gt;=1,ROUND(_xlpm.val,3)&amp;" L",MAX(1,ROUND(_xlpm.val*100,0))&amp;" cl"),IF(_xlpm.estPoids,IF(ROUND(_xlpm.val,3)&gt;=1,ROUND(_xlpm.val,3)&amp;" Kg",MAX(1,ROUND(_xlpm.val*1000,0))&amp;" g"),"")))</f>
        <v/>
      </c>
      <c r="R331" s="104" t="str">
        <f t="shared" si="48"/>
        <v>►</v>
      </c>
      <c r="S331" s="32" t="str">
        <f>S311</f>
        <v>N NAME OF YOUR RECIPE | |  Author &gt; YOU</v>
      </c>
      <c r="T331" s="33">
        <f>T311</f>
        <v>18</v>
      </c>
      <c r="U331" s="32" t="str">
        <f>U311</f>
        <v>desserts</v>
      </c>
      <c r="V331" s="34" t="str">
        <f>V311</f>
        <v>Master recipe ► Enter the main recipe name</v>
      </c>
      <c r="W331" s="92"/>
      <c r="X331" s="108"/>
      <c r="Y331" s="94" t="str">
        <f t="shared" si="45"/>
        <v/>
      </c>
      <c r="Z331" s="95"/>
      <c r="AA331" s="126"/>
      <c r="AB331" s="127">
        <v>1</v>
      </c>
      <c r="AC331" s="920"/>
      <c r="AD331" s="1495">
        <f>IF(OR(ISBLANK(W309),AD309=0),0,W331*AB310)</f>
        <v>0</v>
      </c>
      <c r="AE331" s="101" cm="1">
        <f t="array" ref="AE331">IFERROR(_xlfn.LET(_xlpm.k,UPPER(TRIM(AA331)),_xlpm.r,_xlfn.XLOOKUP(_xlpm.k,UPPER(TRIM(W356:AF356)),W357:AF357,_xlfn.XLOOKUP(_xlpm.k,UPPER(TRIM(W358:AF358)),W359:AF359)),_xlpm.r*Z331*AB331*AB310*IF(ISBLANK(W331),1,W331)),0)</f>
        <v>0</v>
      </c>
      <c r="AF331" s="1476" t="str">
        <f>_xlfn.LET(_xlpm.unite,SUBSTITUTE(TRIM(AA331)," (s)",""),_xlpm.val,AE331,_xlpm.estVol,COUNTIF(Z356:AF356,_xlpm.unite)+COUNTIF(Z358:AF358,_xlpm.unite)&gt;0,_xlpm.estPoids,COUNTIF(W356:Y356,_xlpm.unite)+COUNTIF(W358:Y358,_xlpm.unite)&gt;0,IF(_xlpm.estVol,IF(ROUND(_xlpm.val,3)&gt;=1,ROUND(_xlpm.val,3)&amp;" L",MAX(1,ROUND(_xlpm.val*100,0))&amp;" cl"),IF(_xlpm.estPoids,IF(ROUND(_xlpm.val,3)&gt;=1,ROUND(_xlpm.val,3)&amp;" Kg",MAX(1,ROUND(_xlpm.val*1000,0))&amp;" g"),"")))</f>
        <v/>
      </c>
      <c r="AH331" s="104" t="str">
        <f t="shared" si="49"/>
        <v>►</v>
      </c>
      <c r="AI331" s="32" t="str">
        <f>AI311</f>
        <v>N NOMBRE DE LA RECETA | | Autor &gt; USTED</v>
      </c>
      <c r="AJ331" s="33">
        <f>AJ311</f>
        <v>18</v>
      </c>
      <c r="AK331" s="32" t="str">
        <f>AK311</f>
        <v>postres</v>
      </c>
      <c r="AL331" s="34" t="str">
        <f>AL311</f>
        <v>Receta madre ► Introduzca el nombre de la receta principal</v>
      </c>
      <c r="AM331" s="92"/>
      <c r="AN331" s="108"/>
      <c r="AO331" s="94" t="str">
        <f t="shared" si="46"/>
        <v/>
      </c>
      <c r="AP331" s="95"/>
      <c r="AQ331" s="126"/>
      <c r="AR331" s="127">
        <v>1</v>
      </c>
      <c r="AS331" s="920"/>
      <c r="AT331" s="1495">
        <f>IF(OR(ISBLANK(AM309),AT309=0),0,AM331*AR310)</f>
        <v>0</v>
      </c>
      <c r="AU331" s="101" cm="1">
        <f t="array" ref="AU331">IFERROR(_xlfn.LET(_xlpm.k,UPPER(TRIM(AQ331)),_xlpm.r,_xlfn.XLOOKUP(_xlpm.k,UPPER(TRIM(AM356:AV356)),AM357:AV357,_xlfn.XLOOKUP(_xlpm.k,UPPER(TRIM(AM358:AV358)),AM359:AV359)),_xlpm.r*AP331*AR331*AR310*IF(ISBLANK(AM331),1,AM331)),0)</f>
        <v>0</v>
      </c>
      <c r="AV331" s="1476" t="str">
        <f>_xlfn.LET(_xlpm.unite,SUBSTITUTE(TRIM(AQ331)," (s)",""),_xlpm.val,AU331,_xlpm.estVol,COUNTIF(AP356:AV356,_xlpm.unite)+COUNTIF(AP358:AV358,_xlpm.unite)&gt;0,_xlpm.estPoids,COUNTIF(AM356:AO356,_xlpm.unite)+COUNTIF(AM358:AO358,_xlpm.unite)&gt;0,IF(_xlpm.estVol,IF(ROUND(_xlpm.val,3)&gt;=1,ROUND(_xlpm.val,3)&amp;" L",MAX(1,ROUND(_xlpm.val*100,0))&amp;" cl"),IF(_xlpm.estPoids,IF(ROUND(_xlpm.val,3)&gt;=1,ROUND(_xlpm.val,3)&amp;" Kg",MAX(1,ROUND(_xlpm.val*1000,0))&amp;" g"),"")))</f>
        <v/>
      </c>
      <c r="BV331" s="3">
        <v>1</v>
      </c>
    </row>
    <row r="332" spans="2:74" ht="18.75">
      <c r="B332" s="104" t="str">
        <f t="shared" si="47"/>
        <v>►</v>
      </c>
      <c r="C332" s="32" t="str">
        <f>C311</f>
        <v>N NOM DE VOTRE RECETTE | | Auteur &gt; VOUS</v>
      </c>
      <c r="D332" s="33">
        <f>D311</f>
        <v>18</v>
      </c>
      <c r="E332" s="32" t="str">
        <f>E311</f>
        <v>desserts</v>
      </c>
      <c r="F332" s="34" t="str">
        <f>F311</f>
        <v>Recette mère ► Saisir le nom de la recette principale</v>
      </c>
      <c r="G332" s="92"/>
      <c r="H332" s="108"/>
      <c r="I332" s="94" t="str">
        <f t="shared" si="44"/>
        <v/>
      </c>
      <c r="J332" s="95"/>
      <c r="K332" s="126"/>
      <c r="L332" s="127">
        <v>1</v>
      </c>
      <c r="M332" s="920"/>
      <c r="N332" s="1495">
        <f>IF(OR(ISBLANK(G309),N309=0),0,G332*L310)</f>
        <v>0</v>
      </c>
      <c r="O332" s="101" cm="1">
        <f t="array" ref="O332">IFERROR(_xlfn.LET(_xlpm.k,UPPER(TRIM(K332)),_xlpm.r,_xlfn.XLOOKUP(_xlpm.k,UPPER(TRIM(G356:P356)),G357:P357,_xlfn.XLOOKUP(_xlpm.k,UPPER(TRIM(G358:P358)),G359:P359)),_xlpm.r*J332*L332*L310*IF(ISBLANK(G332),1,G332)),0)</f>
        <v>0</v>
      </c>
      <c r="P332" s="1475" t="str">
        <f>_xlfn.LET(_xlpm.unite,SUBSTITUTE(TRIM(K332)," (s)",""),_xlpm.val,O332,_xlpm.estVol,COUNTIF(J356:P356,_xlpm.unite)+COUNTIF(J358:P358,_xlpm.unite)&gt;0,_xlpm.estPoids,COUNTIF(G356:I356,_xlpm.unite)+COUNTIF(G358:I358,_xlpm.unite)&gt;0,IF(_xlpm.estVol,IF(ROUND(_xlpm.val,3)&gt;=1,ROUND(_xlpm.val,3)&amp;" L",MAX(1,ROUND(_xlpm.val*100,0))&amp;" cl"),IF(_xlpm.estPoids,IF(ROUND(_xlpm.val,3)&gt;=1,ROUND(_xlpm.val,3)&amp;" Kg",MAX(1,ROUND(_xlpm.val*1000,0))&amp;" g"),"")))</f>
        <v/>
      </c>
      <c r="R332" s="104" t="str">
        <f t="shared" si="48"/>
        <v>►</v>
      </c>
      <c r="S332" s="32" t="str">
        <f>S311</f>
        <v>N NAME OF YOUR RECIPE | |  Author &gt; YOU</v>
      </c>
      <c r="T332" s="33">
        <f>T311</f>
        <v>18</v>
      </c>
      <c r="U332" s="32" t="str">
        <f>U311</f>
        <v>desserts</v>
      </c>
      <c r="V332" s="34" t="str">
        <f>V311</f>
        <v>Master recipe ► Enter the main recipe name</v>
      </c>
      <c r="W332" s="92"/>
      <c r="X332" s="108"/>
      <c r="Y332" s="94" t="str">
        <f t="shared" si="45"/>
        <v/>
      </c>
      <c r="Z332" s="95"/>
      <c r="AA332" s="126"/>
      <c r="AB332" s="127">
        <v>1</v>
      </c>
      <c r="AC332" s="920"/>
      <c r="AD332" s="1495">
        <f>IF(OR(ISBLANK(W309),AD309=0),0,W332*AB310)</f>
        <v>0</v>
      </c>
      <c r="AE332" s="101" cm="1">
        <f t="array" ref="AE332">IFERROR(_xlfn.LET(_xlpm.k,UPPER(TRIM(AA332)),_xlpm.r,_xlfn.XLOOKUP(_xlpm.k,UPPER(TRIM(W356:AF356)),W357:AF357,_xlfn.XLOOKUP(_xlpm.k,UPPER(TRIM(W358:AF358)),W359:AF359)),_xlpm.r*Z332*AB332*AB310*IF(ISBLANK(W332),1,W332)),0)</f>
        <v>0</v>
      </c>
      <c r="AF332" s="1475" t="str">
        <f>_xlfn.LET(_xlpm.unite,SUBSTITUTE(TRIM(AA332)," (s)",""),_xlpm.val,AE332,_xlpm.estVol,COUNTIF(Z356:AF356,_xlpm.unite)+COUNTIF(Z358:AF358,_xlpm.unite)&gt;0,_xlpm.estPoids,COUNTIF(W356:Y356,_xlpm.unite)+COUNTIF(W358:Y358,_xlpm.unite)&gt;0,IF(_xlpm.estVol,IF(ROUND(_xlpm.val,3)&gt;=1,ROUND(_xlpm.val,3)&amp;" L",MAX(1,ROUND(_xlpm.val*100,0))&amp;" cl"),IF(_xlpm.estPoids,IF(ROUND(_xlpm.val,3)&gt;=1,ROUND(_xlpm.val,3)&amp;" Kg",MAX(1,ROUND(_xlpm.val*1000,0))&amp;" g"),"")))</f>
        <v/>
      </c>
      <c r="AH332" s="104" t="str">
        <f t="shared" si="49"/>
        <v>►</v>
      </c>
      <c r="AI332" s="32" t="str">
        <f>AI311</f>
        <v>N NOMBRE DE LA RECETA | | Autor &gt; USTED</v>
      </c>
      <c r="AJ332" s="33">
        <f>AJ311</f>
        <v>18</v>
      </c>
      <c r="AK332" s="32" t="str">
        <f>AK311</f>
        <v>postres</v>
      </c>
      <c r="AL332" s="34" t="str">
        <f>AL311</f>
        <v>Receta madre ► Introduzca el nombre de la receta principal</v>
      </c>
      <c r="AM332" s="92"/>
      <c r="AN332" s="108"/>
      <c r="AO332" s="94" t="str">
        <f t="shared" si="46"/>
        <v/>
      </c>
      <c r="AP332" s="95"/>
      <c r="AQ332" s="126"/>
      <c r="AR332" s="127">
        <v>1</v>
      </c>
      <c r="AS332" s="920"/>
      <c r="AT332" s="1495">
        <f>IF(OR(ISBLANK(AM309),AT309=0),0,AM332*AR310)</f>
        <v>0</v>
      </c>
      <c r="AU332" s="101" cm="1">
        <f t="array" ref="AU332">IFERROR(_xlfn.LET(_xlpm.k,UPPER(TRIM(AQ332)),_xlpm.r,_xlfn.XLOOKUP(_xlpm.k,UPPER(TRIM(AM356:AV356)),AM357:AV357,_xlfn.XLOOKUP(_xlpm.k,UPPER(TRIM(AM358:AV358)),AM359:AV359)),_xlpm.r*AP332*AR332*AR310*IF(ISBLANK(AM332),1,AM332)),0)</f>
        <v>0</v>
      </c>
      <c r="AV332" s="1475" t="str">
        <f>_xlfn.LET(_xlpm.unite,SUBSTITUTE(TRIM(AQ332)," (s)",""),_xlpm.val,AU332,_xlpm.estVol,COUNTIF(AP356:AV356,_xlpm.unite)+COUNTIF(AP358:AV358,_xlpm.unite)&gt;0,_xlpm.estPoids,COUNTIF(AM356:AO356,_xlpm.unite)+COUNTIF(AM358:AO358,_xlpm.unite)&gt;0,IF(_xlpm.estVol,IF(ROUND(_xlpm.val,3)&gt;=1,ROUND(_xlpm.val,3)&amp;" L",MAX(1,ROUND(_xlpm.val*100,0))&amp;" cl"),IF(_xlpm.estPoids,IF(ROUND(_xlpm.val,3)&gt;=1,ROUND(_xlpm.val,3)&amp;" Kg",MAX(1,ROUND(_xlpm.val*1000,0))&amp;" g"),"")))</f>
        <v/>
      </c>
      <c r="BV332" s="3">
        <v>1</v>
      </c>
    </row>
    <row r="333" spans="2:74" ht="18.75">
      <c r="B333" s="104" t="str">
        <f t="shared" si="47"/>
        <v>►</v>
      </c>
      <c r="C333" s="32" t="str">
        <f>C311</f>
        <v>N NOM DE VOTRE RECETTE | | Auteur &gt; VOUS</v>
      </c>
      <c r="D333" s="33">
        <f>D311</f>
        <v>18</v>
      </c>
      <c r="E333" s="32" t="str">
        <f>E311</f>
        <v>desserts</v>
      </c>
      <c r="F333" s="34" t="str">
        <f>F311</f>
        <v>Recette mère ► Saisir le nom de la recette principale</v>
      </c>
      <c r="G333" s="92"/>
      <c r="H333" s="108"/>
      <c r="I333" s="94" t="str">
        <f t="shared" si="44"/>
        <v/>
      </c>
      <c r="J333" s="95"/>
      <c r="K333" s="126"/>
      <c r="L333" s="127">
        <v>1</v>
      </c>
      <c r="M333" s="920"/>
      <c r="N333" s="1495">
        <f>IF(OR(ISBLANK(G309),N309=0),0,G333*L310)</f>
        <v>0</v>
      </c>
      <c r="O333" s="101" cm="1">
        <f t="array" ref="O333">IFERROR(_xlfn.LET(_xlpm.k,UPPER(TRIM(K333)),_xlpm.r,_xlfn.XLOOKUP(_xlpm.k,UPPER(TRIM(G356:P356)),G357:P357,_xlfn.XLOOKUP(_xlpm.k,UPPER(TRIM(G358:P358)),G359:P359)),_xlpm.r*J333*L333*L310*IF(ISBLANK(G333),1,G333)),0)</f>
        <v>0</v>
      </c>
      <c r="P333" s="1476" t="str">
        <f>_xlfn.LET(_xlpm.unite,SUBSTITUTE(TRIM(K333)," (s)",""),_xlpm.val,O333,_xlpm.estVol,COUNTIF(J356:P356,_xlpm.unite)+COUNTIF(J358:P358,_xlpm.unite)&gt;0,_xlpm.estPoids,COUNTIF(G356:I356,_xlpm.unite)+COUNTIF(G358:I358,_xlpm.unite)&gt;0,IF(_xlpm.estVol,IF(ROUND(_xlpm.val,3)&gt;=1,ROUND(_xlpm.val,3)&amp;" L",MAX(1,ROUND(_xlpm.val*100,0))&amp;" cl"),IF(_xlpm.estPoids,IF(ROUND(_xlpm.val,3)&gt;=1,ROUND(_xlpm.val,3)&amp;" Kg",MAX(1,ROUND(_xlpm.val*1000,0))&amp;" g"),"")))</f>
        <v/>
      </c>
      <c r="R333" s="104" t="str">
        <f t="shared" si="48"/>
        <v>►</v>
      </c>
      <c r="S333" s="32" t="str">
        <f>S311</f>
        <v>N NAME OF YOUR RECIPE | |  Author &gt; YOU</v>
      </c>
      <c r="T333" s="33">
        <f>T311</f>
        <v>18</v>
      </c>
      <c r="U333" s="32" t="str">
        <f>U311</f>
        <v>desserts</v>
      </c>
      <c r="V333" s="34" t="str">
        <f>V311</f>
        <v>Master recipe ► Enter the main recipe name</v>
      </c>
      <c r="W333" s="92"/>
      <c r="X333" s="108"/>
      <c r="Y333" s="94" t="str">
        <f t="shared" si="45"/>
        <v/>
      </c>
      <c r="Z333" s="95"/>
      <c r="AA333" s="126"/>
      <c r="AB333" s="127">
        <v>1</v>
      </c>
      <c r="AC333" s="920"/>
      <c r="AD333" s="1495">
        <f>IF(OR(ISBLANK(W309),AD309=0),0,W333*AB310)</f>
        <v>0</v>
      </c>
      <c r="AE333" s="101" cm="1">
        <f t="array" ref="AE333">IFERROR(_xlfn.LET(_xlpm.k,UPPER(TRIM(AA333)),_xlpm.r,_xlfn.XLOOKUP(_xlpm.k,UPPER(TRIM(W356:AF356)),W357:AF357,_xlfn.XLOOKUP(_xlpm.k,UPPER(TRIM(W358:AF358)),W359:AF359)),_xlpm.r*Z333*AB333*AB310*IF(ISBLANK(W333),1,W333)),0)</f>
        <v>0</v>
      </c>
      <c r="AF333" s="1476" t="str">
        <f>_xlfn.LET(_xlpm.unite,SUBSTITUTE(TRIM(AA333)," (s)",""),_xlpm.val,AE333,_xlpm.estVol,COUNTIF(Z356:AF356,_xlpm.unite)+COUNTIF(Z358:AF358,_xlpm.unite)&gt;0,_xlpm.estPoids,COUNTIF(W356:Y356,_xlpm.unite)+COUNTIF(W358:Y358,_xlpm.unite)&gt;0,IF(_xlpm.estVol,IF(ROUND(_xlpm.val,3)&gt;=1,ROUND(_xlpm.val,3)&amp;" L",MAX(1,ROUND(_xlpm.val*100,0))&amp;" cl"),IF(_xlpm.estPoids,IF(ROUND(_xlpm.val,3)&gt;=1,ROUND(_xlpm.val,3)&amp;" Kg",MAX(1,ROUND(_xlpm.val*1000,0))&amp;" g"),"")))</f>
        <v/>
      </c>
      <c r="AH333" s="104" t="str">
        <f t="shared" si="49"/>
        <v>►</v>
      </c>
      <c r="AI333" s="32" t="str">
        <f>AI311</f>
        <v>N NOMBRE DE LA RECETA | | Autor &gt; USTED</v>
      </c>
      <c r="AJ333" s="33">
        <f>AJ311</f>
        <v>18</v>
      </c>
      <c r="AK333" s="32" t="str">
        <f>AK311</f>
        <v>postres</v>
      </c>
      <c r="AL333" s="34" t="str">
        <f>AL311</f>
        <v>Receta madre ► Introduzca el nombre de la receta principal</v>
      </c>
      <c r="AM333" s="92"/>
      <c r="AN333" s="108"/>
      <c r="AO333" s="94" t="str">
        <f t="shared" si="46"/>
        <v/>
      </c>
      <c r="AP333" s="95"/>
      <c r="AQ333" s="126"/>
      <c r="AR333" s="127">
        <v>1</v>
      </c>
      <c r="AS333" s="920"/>
      <c r="AT333" s="1495">
        <f>IF(OR(ISBLANK(AM309),AT309=0),0,AM333*AR310)</f>
        <v>0</v>
      </c>
      <c r="AU333" s="101" cm="1">
        <f t="array" ref="AU333">IFERROR(_xlfn.LET(_xlpm.k,UPPER(TRIM(AQ333)),_xlpm.r,_xlfn.XLOOKUP(_xlpm.k,UPPER(TRIM(AM356:AV356)),AM357:AV357,_xlfn.XLOOKUP(_xlpm.k,UPPER(TRIM(AM358:AV358)),AM359:AV359)),_xlpm.r*AP333*AR333*AR310*IF(ISBLANK(AM333),1,AM333)),0)</f>
        <v>0</v>
      </c>
      <c r="AV333" s="1476" t="str">
        <f>_xlfn.LET(_xlpm.unite,SUBSTITUTE(TRIM(AQ333)," (s)",""),_xlpm.val,AU333,_xlpm.estVol,COUNTIF(AP356:AV356,_xlpm.unite)+COUNTIF(AP358:AV358,_xlpm.unite)&gt;0,_xlpm.estPoids,COUNTIF(AM356:AO356,_xlpm.unite)+COUNTIF(AM358:AO358,_xlpm.unite)&gt;0,IF(_xlpm.estVol,IF(ROUND(_xlpm.val,3)&gt;=1,ROUND(_xlpm.val,3)&amp;" L",MAX(1,ROUND(_xlpm.val*100,0))&amp;" cl"),IF(_xlpm.estPoids,IF(ROUND(_xlpm.val,3)&gt;=1,ROUND(_xlpm.val,3)&amp;" Kg",MAX(1,ROUND(_xlpm.val*1000,0))&amp;" g"),"")))</f>
        <v/>
      </c>
      <c r="BV333" s="3">
        <v>1</v>
      </c>
    </row>
    <row r="334" spans="2:74" ht="18.75">
      <c r="B334" s="104" t="str">
        <f t="shared" si="47"/>
        <v>►</v>
      </c>
      <c r="C334" s="32" t="str">
        <f>C311</f>
        <v>N NOM DE VOTRE RECETTE | | Auteur &gt; VOUS</v>
      </c>
      <c r="D334" s="33">
        <f>D311</f>
        <v>18</v>
      </c>
      <c r="E334" s="32" t="str">
        <f>E311</f>
        <v>desserts</v>
      </c>
      <c r="F334" s="34" t="str">
        <f>F311</f>
        <v>Recette mère ► Saisir le nom de la recette principale</v>
      </c>
      <c r="G334" s="92"/>
      <c r="H334" s="108"/>
      <c r="I334" s="94" t="str">
        <f t="shared" si="44"/>
        <v/>
      </c>
      <c r="J334" s="95"/>
      <c r="K334" s="126"/>
      <c r="L334" s="127">
        <v>1</v>
      </c>
      <c r="M334" s="920"/>
      <c r="N334" s="1495">
        <f>IF(OR(ISBLANK(G309),N309=0),0,G334*L310)</f>
        <v>0</v>
      </c>
      <c r="O334" s="101" cm="1">
        <f t="array" ref="O334">IFERROR(_xlfn.LET(_xlpm.k,UPPER(TRIM(K334)),_xlpm.r,_xlfn.XLOOKUP(_xlpm.k,UPPER(TRIM(G356:P356)),G357:P357,_xlfn.XLOOKUP(_xlpm.k,UPPER(TRIM(G358:P358)),G359:P359)),_xlpm.r*J334*L334*L310*IF(ISBLANK(G334),1,G334)),0)</f>
        <v>0</v>
      </c>
      <c r="P334" s="1475" t="str">
        <f>_xlfn.LET(_xlpm.unite,SUBSTITUTE(TRIM(K334)," (s)",""),_xlpm.val,O334,_xlpm.estVol,COUNTIF(J356:P356,_xlpm.unite)+COUNTIF(J358:P358,_xlpm.unite)&gt;0,_xlpm.estPoids,COUNTIF(G356:I356,_xlpm.unite)+COUNTIF(G358:I358,_xlpm.unite)&gt;0,IF(_xlpm.estVol,IF(ROUND(_xlpm.val,3)&gt;=1,ROUND(_xlpm.val,3)&amp;" L",MAX(1,ROUND(_xlpm.val*100,0))&amp;" cl"),IF(_xlpm.estPoids,IF(ROUND(_xlpm.val,3)&gt;=1,ROUND(_xlpm.val,3)&amp;" Kg",MAX(1,ROUND(_xlpm.val*1000,0))&amp;" g"),"")))</f>
        <v/>
      </c>
      <c r="R334" s="104" t="str">
        <f t="shared" si="48"/>
        <v>►</v>
      </c>
      <c r="S334" s="32" t="str">
        <f>S311</f>
        <v>N NAME OF YOUR RECIPE | |  Author &gt; YOU</v>
      </c>
      <c r="T334" s="33">
        <f>T311</f>
        <v>18</v>
      </c>
      <c r="U334" s="32" t="str">
        <f>U311</f>
        <v>desserts</v>
      </c>
      <c r="V334" s="34" t="str">
        <f>V311</f>
        <v>Master recipe ► Enter the main recipe name</v>
      </c>
      <c r="W334" s="92"/>
      <c r="X334" s="108"/>
      <c r="Y334" s="94" t="str">
        <f t="shared" si="45"/>
        <v/>
      </c>
      <c r="Z334" s="95"/>
      <c r="AA334" s="126"/>
      <c r="AB334" s="127">
        <v>1</v>
      </c>
      <c r="AC334" s="920"/>
      <c r="AD334" s="1495">
        <f>IF(OR(ISBLANK(W309),AD309=0),0,W334*AB310)</f>
        <v>0</v>
      </c>
      <c r="AE334" s="101" cm="1">
        <f t="array" ref="AE334">IFERROR(_xlfn.LET(_xlpm.k,UPPER(TRIM(AA334)),_xlpm.r,_xlfn.XLOOKUP(_xlpm.k,UPPER(TRIM(W356:AF356)),W357:AF357,_xlfn.XLOOKUP(_xlpm.k,UPPER(TRIM(W358:AF358)),W359:AF359)),_xlpm.r*Z334*AB334*AB310*IF(ISBLANK(W334),1,W334)),0)</f>
        <v>0</v>
      </c>
      <c r="AF334" s="1475" t="str">
        <f>_xlfn.LET(_xlpm.unite,SUBSTITUTE(TRIM(AA334)," (s)",""),_xlpm.val,AE334,_xlpm.estVol,COUNTIF(Z356:AF356,_xlpm.unite)+COUNTIF(Z358:AF358,_xlpm.unite)&gt;0,_xlpm.estPoids,COUNTIF(W356:Y356,_xlpm.unite)+COUNTIF(W358:Y358,_xlpm.unite)&gt;0,IF(_xlpm.estVol,IF(ROUND(_xlpm.val,3)&gt;=1,ROUND(_xlpm.val,3)&amp;" L",MAX(1,ROUND(_xlpm.val*100,0))&amp;" cl"),IF(_xlpm.estPoids,IF(ROUND(_xlpm.val,3)&gt;=1,ROUND(_xlpm.val,3)&amp;" Kg",MAX(1,ROUND(_xlpm.val*1000,0))&amp;" g"),"")))</f>
        <v/>
      </c>
      <c r="AH334" s="104" t="str">
        <f t="shared" si="49"/>
        <v>►</v>
      </c>
      <c r="AI334" s="32" t="str">
        <f>AI311</f>
        <v>N NOMBRE DE LA RECETA | | Autor &gt; USTED</v>
      </c>
      <c r="AJ334" s="33">
        <f>AJ311</f>
        <v>18</v>
      </c>
      <c r="AK334" s="32" t="str">
        <f>AK311</f>
        <v>postres</v>
      </c>
      <c r="AL334" s="34" t="str">
        <f>AL311</f>
        <v>Receta madre ► Introduzca el nombre de la receta principal</v>
      </c>
      <c r="AM334" s="92"/>
      <c r="AN334" s="108"/>
      <c r="AO334" s="94" t="str">
        <f t="shared" si="46"/>
        <v/>
      </c>
      <c r="AP334" s="95"/>
      <c r="AQ334" s="126"/>
      <c r="AR334" s="127">
        <v>1</v>
      </c>
      <c r="AS334" s="920"/>
      <c r="AT334" s="1495">
        <f>IF(OR(ISBLANK(AM309),AT309=0),0,AM334*AR310)</f>
        <v>0</v>
      </c>
      <c r="AU334" s="101" cm="1">
        <f t="array" ref="AU334">IFERROR(_xlfn.LET(_xlpm.k,UPPER(TRIM(AQ334)),_xlpm.r,_xlfn.XLOOKUP(_xlpm.k,UPPER(TRIM(AM356:AV356)),AM357:AV357,_xlfn.XLOOKUP(_xlpm.k,UPPER(TRIM(AM358:AV358)),AM359:AV359)),_xlpm.r*AP334*AR334*AR310*IF(ISBLANK(AM334),1,AM334)),0)</f>
        <v>0</v>
      </c>
      <c r="AV334" s="1475" t="str">
        <f>_xlfn.LET(_xlpm.unite,SUBSTITUTE(TRIM(AQ334)," (s)",""),_xlpm.val,AU334,_xlpm.estVol,COUNTIF(AP356:AV356,_xlpm.unite)+COUNTIF(AP358:AV358,_xlpm.unite)&gt;0,_xlpm.estPoids,COUNTIF(AM356:AO356,_xlpm.unite)+COUNTIF(AM358:AO358,_xlpm.unite)&gt;0,IF(_xlpm.estVol,IF(ROUND(_xlpm.val,3)&gt;=1,ROUND(_xlpm.val,3)&amp;" L",MAX(1,ROUND(_xlpm.val*100,0))&amp;" cl"),IF(_xlpm.estPoids,IF(ROUND(_xlpm.val,3)&gt;=1,ROUND(_xlpm.val,3)&amp;" Kg",MAX(1,ROUND(_xlpm.val*1000,0))&amp;" g"),"")))</f>
        <v/>
      </c>
      <c r="BV334" s="3">
        <v>1</v>
      </c>
    </row>
    <row r="335" spans="2:74" ht="18.75">
      <c r="B335" s="104" t="str">
        <f t="shared" si="47"/>
        <v>►</v>
      </c>
      <c r="C335" s="32" t="str">
        <f>C311</f>
        <v>N NOM DE VOTRE RECETTE | | Auteur &gt; VOUS</v>
      </c>
      <c r="D335" s="33">
        <f>D311</f>
        <v>18</v>
      </c>
      <c r="E335" s="32" t="str">
        <f>E311</f>
        <v>desserts</v>
      </c>
      <c r="F335" s="34" t="str">
        <f>F311</f>
        <v>Recette mère ► Saisir le nom de la recette principale</v>
      </c>
      <c r="G335" s="92"/>
      <c r="H335" s="108"/>
      <c r="I335" s="94" t="str">
        <f t="shared" si="44"/>
        <v/>
      </c>
      <c r="J335" s="95"/>
      <c r="K335" s="126"/>
      <c r="L335" s="127">
        <v>1</v>
      </c>
      <c r="M335" s="920"/>
      <c r="N335" s="1495">
        <f>IF(OR(ISBLANK(G309),N309=0),0,G335*L310)</f>
        <v>0</v>
      </c>
      <c r="O335" s="101" cm="1">
        <f t="array" ref="O335">IFERROR(_xlfn.LET(_xlpm.k,UPPER(TRIM(K335)),_xlpm.r,_xlfn.XLOOKUP(_xlpm.k,UPPER(TRIM(G356:P356)),G357:P357,_xlfn.XLOOKUP(_xlpm.k,UPPER(TRIM(G358:P358)),G359:P359)),_xlpm.r*J335*L335*L310*IF(ISBLANK(G335),1,G335)),0)</f>
        <v>0</v>
      </c>
      <c r="P335" s="1476" t="str">
        <f>_xlfn.LET(_xlpm.unite,SUBSTITUTE(TRIM(K335)," (s)",""),_xlpm.val,O335,_xlpm.estVol,COUNTIF(J356:P356,_xlpm.unite)+COUNTIF(J358:P358,_xlpm.unite)&gt;0,_xlpm.estPoids,COUNTIF(G356:I356,_xlpm.unite)+COUNTIF(G358:I358,_xlpm.unite)&gt;0,IF(_xlpm.estVol,IF(ROUND(_xlpm.val,3)&gt;=1,ROUND(_xlpm.val,3)&amp;" L",MAX(1,ROUND(_xlpm.val*100,0))&amp;" cl"),IF(_xlpm.estPoids,IF(ROUND(_xlpm.val,3)&gt;=1,ROUND(_xlpm.val,3)&amp;" Kg",MAX(1,ROUND(_xlpm.val*1000,0))&amp;" g"),"")))</f>
        <v/>
      </c>
      <c r="R335" s="104" t="str">
        <f t="shared" si="48"/>
        <v>►</v>
      </c>
      <c r="S335" s="32" t="str">
        <f>S311</f>
        <v>N NAME OF YOUR RECIPE | |  Author &gt; YOU</v>
      </c>
      <c r="T335" s="33">
        <f>T311</f>
        <v>18</v>
      </c>
      <c r="U335" s="32" t="str">
        <f>U311</f>
        <v>desserts</v>
      </c>
      <c r="V335" s="34" t="str">
        <f>V311</f>
        <v>Master recipe ► Enter the main recipe name</v>
      </c>
      <c r="W335" s="92"/>
      <c r="X335" s="108"/>
      <c r="Y335" s="94" t="str">
        <f t="shared" si="45"/>
        <v/>
      </c>
      <c r="Z335" s="95"/>
      <c r="AA335" s="126"/>
      <c r="AB335" s="127">
        <v>1</v>
      </c>
      <c r="AC335" s="920"/>
      <c r="AD335" s="1495">
        <f>IF(OR(ISBLANK(W309),AD309=0),0,W335*AB310)</f>
        <v>0</v>
      </c>
      <c r="AE335" s="101" cm="1">
        <f t="array" ref="AE335">IFERROR(_xlfn.LET(_xlpm.k,UPPER(TRIM(AA335)),_xlpm.r,_xlfn.XLOOKUP(_xlpm.k,UPPER(TRIM(W356:AF356)),W357:AF357,_xlfn.XLOOKUP(_xlpm.k,UPPER(TRIM(W358:AF358)),W359:AF359)),_xlpm.r*Z335*AB335*AB310*IF(ISBLANK(W335),1,W335)),0)</f>
        <v>0</v>
      </c>
      <c r="AF335" s="1476" t="str">
        <f>_xlfn.LET(_xlpm.unite,SUBSTITUTE(TRIM(AA335)," (s)",""),_xlpm.val,AE335,_xlpm.estVol,COUNTIF(Z356:AF356,_xlpm.unite)+COUNTIF(Z358:AF358,_xlpm.unite)&gt;0,_xlpm.estPoids,COUNTIF(W356:Y356,_xlpm.unite)+COUNTIF(W358:Y358,_xlpm.unite)&gt;0,IF(_xlpm.estVol,IF(ROUND(_xlpm.val,3)&gt;=1,ROUND(_xlpm.val,3)&amp;" L",MAX(1,ROUND(_xlpm.val*100,0))&amp;" cl"),IF(_xlpm.estPoids,IF(ROUND(_xlpm.val,3)&gt;=1,ROUND(_xlpm.val,3)&amp;" Kg",MAX(1,ROUND(_xlpm.val*1000,0))&amp;" g"),"")))</f>
        <v/>
      </c>
      <c r="AH335" s="104" t="str">
        <f t="shared" si="49"/>
        <v>►</v>
      </c>
      <c r="AI335" s="32" t="str">
        <f>AI311</f>
        <v>N NOMBRE DE LA RECETA | | Autor &gt; USTED</v>
      </c>
      <c r="AJ335" s="33">
        <f>AJ311</f>
        <v>18</v>
      </c>
      <c r="AK335" s="32" t="str">
        <f>AK311</f>
        <v>postres</v>
      </c>
      <c r="AL335" s="34" t="str">
        <f>AL311</f>
        <v>Receta madre ► Introduzca el nombre de la receta principal</v>
      </c>
      <c r="AM335" s="92"/>
      <c r="AN335" s="108"/>
      <c r="AO335" s="94" t="str">
        <f t="shared" si="46"/>
        <v/>
      </c>
      <c r="AP335" s="95"/>
      <c r="AQ335" s="126"/>
      <c r="AR335" s="127">
        <v>1</v>
      </c>
      <c r="AS335" s="920"/>
      <c r="AT335" s="1495">
        <f>IF(OR(ISBLANK(AM309),AT309=0),0,AM335*AR310)</f>
        <v>0</v>
      </c>
      <c r="AU335" s="101" cm="1">
        <f t="array" ref="AU335">IFERROR(_xlfn.LET(_xlpm.k,UPPER(TRIM(AQ335)),_xlpm.r,_xlfn.XLOOKUP(_xlpm.k,UPPER(TRIM(AM356:AV356)),AM357:AV357,_xlfn.XLOOKUP(_xlpm.k,UPPER(TRIM(AM358:AV358)),AM359:AV359)),_xlpm.r*AP335*AR335*AR310*IF(ISBLANK(AM335),1,AM335)),0)</f>
        <v>0</v>
      </c>
      <c r="AV335" s="1476" t="str">
        <f>_xlfn.LET(_xlpm.unite,SUBSTITUTE(TRIM(AQ335)," (s)",""),_xlpm.val,AU335,_xlpm.estVol,COUNTIF(AP356:AV356,_xlpm.unite)+COUNTIF(AP358:AV358,_xlpm.unite)&gt;0,_xlpm.estPoids,COUNTIF(AM356:AO356,_xlpm.unite)+COUNTIF(AM358:AO358,_xlpm.unite)&gt;0,IF(_xlpm.estVol,IF(ROUND(_xlpm.val,3)&gt;=1,ROUND(_xlpm.val,3)&amp;" L",MAX(1,ROUND(_xlpm.val*100,0))&amp;" cl"),IF(_xlpm.estPoids,IF(ROUND(_xlpm.val,3)&gt;=1,ROUND(_xlpm.val,3)&amp;" Kg",MAX(1,ROUND(_xlpm.val*1000,0))&amp;" g"),"")))</f>
        <v/>
      </c>
      <c r="BV335" s="3">
        <v>1</v>
      </c>
    </row>
    <row r="336" spans="2:74" ht="18.75">
      <c r="B336" s="104" t="str">
        <f t="shared" si="47"/>
        <v>►</v>
      </c>
      <c r="C336" s="32" t="str">
        <f>C311</f>
        <v>N NOM DE VOTRE RECETTE | | Auteur &gt; VOUS</v>
      </c>
      <c r="D336" s="33">
        <f>D311</f>
        <v>18</v>
      </c>
      <c r="E336" s="32" t="str">
        <f>E311</f>
        <v>desserts</v>
      </c>
      <c r="F336" s="34" t="str">
        <f>F311</f>
        <v>Recette mère ► Saisir le nom de la recette principale</v>
      </c>
      <c r="G336" s="92"/>
      <c r="H336" s="108"/>
      <c r="I336" s="94" t="str">
        <f t="shared" si="44"/>
        <v/>
      </c>
      <c r="J336" s="95"/>
      <c r="K336" s="126"/>
      <c r="L336" s="127">
        <v>1</v>
      </c>
      <c r="M336" s="920"/>
      <c r="N336" s="1495">
        <f>IF(OR(ISBLANK(G309),N309=0),0,G336*L310)</f>
        <v>0</v>
      </c>
      <c r="O336" s="101" cm="1">
        <f t="array" ref="O336">IFERROR(_xlfn.LET(_xlpm.k,UPPER(TRIM(K336)),_xlpm.r,_xlfn.XLOOKUP(_xlpm.k,UPPER(TRIM(G356:P356)),G357:P357,_xlfn.XLOOKUP(_xlpm.k,UPPER(TRIM(G358:P358)),G359:P359)),_xlpm.r*J336*L336*L310*IF(ISBLANK(G336),1,G336)),0)</f>
        <v>0</v>
      </c>
      <c r="P336" s="1475" t="str">
        <f>_xlfn.LET(_xlpm.unite,SUBSTITUTE(TRIM(K336)," (s)",""),_xlpm.val,O336,_xlpm.estVol,COUNTIF(J356:P356,_xlpm.unite)+COUNTIF(J358:P358,_xlpm.unite)&gt;0,_xlpm.estPoids,COUNTIF(G356:I356,_xlpm.unite)+COUNTIF(G358:I358,_xlpm.unite)&gt;0,IF(_xlpm.estVol,IF(ROUND(_xlpm.val,3)&gt;=1,ROUND(_xlpm.val,3)&amp;" L",MAX(1,ROUND(_xlpm.val*100,0))&amp;" cl"),IF(_xlpm.estPoids,IF(ROUND(_xlpm.val,3)&gt;=1,ROUND(_xlpm.val,3)&amp;" Kg",MAX(1,ROUND(_xlpm.val*1000,0))&amp;" g"),"")))</f>
        <v/>
      </c>
      <c r="R336" s="104" t="str">
        <f t="shared" si="48"/>
        <v>►</v>
      </c>
      <c r="S336" s="32" t="str">
        <f>S311</f>
        <v>N NAME OF YOUR RECIPE | |  Author &gt; YOU</v>
      </c>
      <c r="T336" s="33">
        <f>T311</f>
        <v>18</v>
      </c>
      <c r="U336" s="32" t="str">
        <f>U311</f>
        <v>desserts</v>
      </c>
      <c r="V336" s="34" t="str">
        <f>V311</f>
        <v>Master recipe ► Enter the main recipe name</v>
      </c>
      <c r="W336" s="92"/>
      <c r="X336" s="108"/>
      <c r="Y336" s="94" t="str">
        <f t="shared" si="45"/>
        <v/>
      </c>
      <c r="Z336" s="95"/>
      <c r="AA336" s="126"/>
      <c r="AB336" s="127">
        <v>1</v>
      </c>
      <c r="AC336" s="920"/>
      <c r="AD336" s="1495">
        <f>IF(OR(ISBLANK(W309),AD309=0),0,W336*AB310)</f>
        <v>0</v>
      </c>
      <c r="AE336" s="101" cm="1">
        <f t="array" ref="AE336">IFERROR(_xlfn.LET(_xlpm.k,UPPER(TRIM(AA336)),_xlpm.r,_xlfn.XLOOKUP(_xlpm.k,UPPER(TRIM(W356:AF356)),W357:AF357,_xlfn.XLOOKUP(_xlpm.k,UPPER(TRIM(W358:AF358)),W359:AF359)),_xlpm.r*Z336*AB336*AB310*IF(ISBLANK(W336),1,W336)),0)</f>
        <v>0</v>
      </c>
      <c r="AF336" s="1475" t="str">
        <f>_xlfn.LET(_xlpm.unite,SUBSTITUTE(TRIM(AA336)," (s)",""),_xlpm.val,AE336,_xlpm.estVol,COUNTIF(Z356:AF356,_xlpm.unite)+COUNTIF(Z358:AF358,_xlpm.unite)&gt;0,_xlpm.estPoids,COUNTIF(W356:Y356,_xlpm.unite)+COUNTIF(W358:Y358,_xlpm.unite)&gt;0,IF(_xlpm.estVol,IF(ROUND(_xlpm.val,3)&gt;=1,ROUND(_xlpm.val,3)&amp;" L",MAX(1,ROUND(_xlpm.val*100,0))&amp;" cl"),IF(_xlpm.estPoids,IF(ROUND(_xlpm.val,3)&gt;=1,ROUND(_xlpm.val,3)&amp;" Kg",MAX(1,ROUND(_xlpm.val*1000,0))&amp;" g"),"")))</f>
        <v/>
      </c>
      <c r="AH336" s="104" t="str">
        <f t="shared" si="49"/>
        <v>►</v>
      </c>
      <c r="AI336" s="32" t="str">
        <f>AI311</f>
        <v>N NOMBRE DE LA RECETA | | Autor &gt; USTED</v>
      </c>
      <c r="AJ336" s="33">
        <f>AJ311</f>
        <v>18</v>
      </c>
      <c r="AK336" s="32" t="str">
        <f>AK311</f>
        <v>postres</v>
      </c>
      <c r="AL336" s="34" t="str">
        <f>AL311</f>
        <v>Receta madre ► Introduzca el nombre de la receta principal</v>
      </c>
      <c r="AM336" s="92"/>
      <c r="AN336" s="108"/>
      <c r="AO336" s="94" t="str">
        <f t="shared" si="46"/>
        <v/>
      </c>
      <c r="AP336" s="95"/>
      <c r="AQ336" s="126"/>
      <c r="AR336" s="127">
        <v>1</v>
      </c>
      <c r="AS336" s="920"/>
      <c r="AT336" s="1495">
        <f>IF(OR(ISBLANK(AM309),AT309=0),0,AM336*AR310)</f>
        <v>0</v>
      </c>
      <c r="AU336" s="101" cm="1">
        <f t="array" ref="AU336">IFERROR(_xlfn.LET(_xlpm.k,UPPER(TRIM(AQ336)),_xlpm.r,_xlfn.XLOOKUP(_xlpm.k,UPPER(TRIM(AM356:AV356)),AM357:AV357,_xlfn.XLOOKUP(_xlpm.k,UPPER(TRIM(AM358:AV358)),AM359:AV359)),_xlpm.r*AP336*AR336*AR310*IF(ISBLANK(AM336),1,AM336)),0)</f>
        <v>0</v>
      </c>
      <c r="AV336" s="1475" t="str">
        <f>_xlfn.LET(_xlpm.unite,SUBSTITUTE(TRIM(AQ336)," (s)",""),_xlpm.val,AU336,_xlpm.estVol,COUNTIF(AP356:AV356,_xlpm.unite)+COUNTIF(AP358:AV358,_xlpm.unite)&gt;0,_xlpm.estPoids,COUNTIF(AM356:AO356,_xlpm.unite)+COUNTIF(AM358:AO358,_xlpm.unite)&gt;0,IF(_xlpm.estVol,IF(ROUND(_xlpm.val,3)&gt;=1,ROUND(_xlpm.val,3)&amp;" L",MAX(1,ROUND(_xlpm.val*100,0))&amp;" cl"),IF(_xlpm.estPoids,IF(ROUND(_xlpm.val,3)&gt;=1,ROUND(_xlpm.val,3)&amp;" Kg",MAX(1,ROUND(_xlpm.val*1000,0))&amp;" g"),"")))</f>
        <v/>
      </c>
      <c r="BV336" s="3">
        <v>1</v>
      </c>
    </row>
    <row r="337" spans="2:74" ht="18.75">
      <c r="B337" s="104" t="str">
        <f t="shared" si="47"/>
        <v>►</v>
      </c>
      <c r="C337" s="32" t="str">
        <f>C311</f>
        <v>N NOM DE VOTRE RECETTE | | Auteur &gt; VOUS</v>
      </c>
      <c r="D337" s="33">
        <f>D311</f>
        <v>18</v>
      </c>
      <c r="E337" s="32" t="str">
        <f>E311</f>
        <v>desserts</v>
      </c>
      <c r="F337" s="34" t="str">
        <f>F311</f>
        <v>Recette mère ► Saisir le nom de la recette principale</v>
      </c>
      <c r="G337" s="92"/>
      <c r="H337" s="108"/>
      <c r="I337" s="94" t="str">
        <f t="shared" si="44"/>
        <v/>
      </c>
      <c r="J337" s="95"/>
      <c r="K337" s="126"/>
      <c r="L337" s="127">
        <v>1</v>
      </c>
      <c r="M337" s="920"/>
      <c r="N337" s="1495">
        <f>IF(OR(ISBLANK(G309),N309=0),0,G337*L310)</f>
        <v>0</v>
      </c>
      <c r="O337" s="101" cm="1">
        <f t="array" ref="O337">IFERROR(_xlfn.LET(_xlpm.k,UPPER(TRIM(K337)),_xlpm.r,_xlfn.XLOOKUP(_xlpm.k,UPPER(TRIM(G356:P356)),G357:P357,_xlfn.XLOOKUP(_xlpm.k,UPPER(TRIM(G358:P358)),G359:P359)),_xlpm.r*J337*L337*L310*IF(ISBLANK(G337),1,G337)),0)</f>
        <v>0</v>
      </c>
      <c r="P337" s="1476" t="str">
        <f>_xlfn.LET(_xlpm.unite,SUBSTITUTE(TRIM(K337)," (s)",""),_xlpm.val,O337,_xlpm.estVol,COUNTIF(J356:P356,_xlpm.unite)+COUNTIF(J358:P358,_xlpm.unite)&gt;0,_xlpm.estPoids,COUNTIF(G356:I356,_xlpm.unite)+COUNTIF(G358:I358,_xlpm.unite)&gt;0,IF(_xlpm.estVol,IF(ROUND(_xlpm.val,3)&gt;=1,ROUND(_xlpm.val,3)&amp;" L",MAX(1,ROUND(_xlpm.val*100,0))&amp;" cl"),IF(_xlpm.estPoids,IF(ROUND(_xlpm.val,3)&gt;=1,ROUND(_xlpm.val,3)&amp;" Kg",MAX(1,ROUND(_xlpm.val*1000,0))&amp;" g"),"")))</f>
        <v/>
      </c>
      <c r="R337" s="104" t="str">
        <f t="shared" si="48"/>
        <v>►</v>
      </c>
      <c r="S337" s="32" t="str">
        <f>S311</f>
        <v>N NAME OF YOUR RECIPE | |  Author &gt; YOU</v>
      </c>
      <c r="T337" s="33">
        <f>T311</f>
        <v>18</v>
      </c>
      <c r="U337" s="32" t="str">
        <f>U311</f>
        <v>desserts</v>
      </c>
      <c r="V337" s="34" t="str">
        <f>V311</f>
        <v>Master recipe ► Enter the main recipe name</v>
      </c>
      <c r="W337" s="92"/>
      <c r="X337" s="108"/>
      <c r="Y337" s="94" t="str">
        <f t="shared" si="45"/>
        <v/>
      </c>
      <c r="Z337" s="95"/>
      <c r="AA337" s="126"/>
      <c r="AB337" s="127">
        <v>1</v>
      </c>
      <c r="AC337" s="920"/>
      <c r="AD337" s="1495">
        <f>IF(OR(ISBLANK(W309),AD309=0),0,W337*AB310)</f>
        <v>0</v>
      </c>
      <c r="AE337" s="101" cm="1">
        <f t="array" ref="AE337">IFERROR(_xlfn.LET(_xlpm.k,UPPER(TRIM(AA337)),_xlpm.r,_xlfn.XLOOKUP(_xlpm.k,UPPER(TRIM(W356:AF356)),W357:AF357,_xlfn.XLOOKUP(_xlpm.k,UPPER(TRIM(W358:AF358)),W359:AF359)),_xlpm.r*Z337*AB337*AB310*IF(ISBLANK(W337),1,W337)),0)</f>
        <v>0</v>
      </c>
      <c r="AF337" s="1476" t="str">
        <f>_xlfn.LET(_xlpm.unite,SUBSTITUTE(TRIM(AA337)," (s)",""),_xlpm.val,AE337,_xlpm.estVol,COUNTIF(Z356:AF356,_xlpm.unite)+COUNTIF(Z358:AF358,_xlpm.unite)&gt;0,_xlpm.estPoids,COUNTIF(W356:Y356,_xlpm.unite)+COUNTIF(W358:Y358,_xlpm.unite)&gt;0,IF(_xlpm.estVol,IF(ROUND(_xlpm.val,3)&gt;=1,ROUND(_xlpm.val,3)&amp;" L",MAX(1,ROUND(_xlpm.val*100,0))&amp;" cl"),IF(_xlpm.estPoids,IF(ROUND(_xlpm.val,3)&gt;=1,ROUND(_xlpm.val,3)&amp;" Kg",MAX(1,ROUND(_xlpm.val*1000,0))&amp;" g"),"")))</f>
        <v/>
      </c>
      <c r="AH337" s="104" t="str">
        <f t="shared" si="49"/>
        <v>►</v>
      </c>
      <c r="AI337" s="32" t="str">
        <f>AI311</f>
        <v>N NOMBRE DE LA RECETA | | Autor &gt; USTED</v>
      </c>
      <c r="AJ337" s="33">
        <f>AJ311</f>
        <v>18</v>
      </c>
      <c r="AK337" s="32" t="str">
        <f>AK311</f>
        <v>postres</v>
      </c>
      <c r="AL337" s="34" t="str">
        <f>AL311</f>
        <v>Receta madre ► Introduzca el nombre de la receta principal</v>
      </c>
      <c r="AM337" s="92"/>
      <c r="AN337" s="108"/>
      <c r="AO337" s="94" t="str">
        <f t="shared" si="46"/>
        <v/>
      </c>
      <c r="AP337" s="95"/>
      <c r="AQ337" s="126"/>
      <c r="AR337" s="127">
        <v>1</v>
      </c>
      <c r="AS337" s="920"/>
      <c r="AT337" s="1495">
        <f>IF(OR(ISBLANK(AM309),AT309=0),0,AM337*AR310)</f>
        <v>0</v>
      </c>
      <c r="AU337" s="101" cm="1">
        <f t="array" ref="AU337">IFERROR(_xlfn.LET(_xlpm.k,UPPER(TRIM(AQ337)),_xlpm.r,_xlfn.XLOOKUP(_xlpm.k,UPPER(TRIM(AM356:AV356)),AM357:AV357,_xlfn.XLOOKUP(_xlpm.k,UPPER(TRIM(AM358:AV358)),AM359:AV359)),_xlpm.r*AP337*AR337*AR310*IF(ISBLANK(AM337),1,AM337)),0)</f>
        <v>0</v>
      </c>
      <c r="AV337" s="1476" t="str">
        <f>_xlfn.LET(_xlpm.unite,SUBSTITUTE(TRIM(AQ337)," (s)",""),_xlpm.val,AU337,_xlpm.estVol,COUNTIF(AP356:AV356,_xlpm.unite)+COUNTIF(AP358:AV358,_xlpm.unite)&gt;0,_xlpm.estPoids,COUNTIF(AM356:AO356,_xlpm.unite)+COUNTIF(AM358:AO358,_xlpm.unite)&gt;0,IF(_xlpm.estVol,IF(ROUND(_xlpm.val,3)&gt;=1,ROUND(_xlpm.val,3)&amp;" L",MAX(1,ROUND(_xlpm.val*100,0))&amp;" cl"),IF(_xlpm.estPoids,IF(ROUND(_xlpm.val,3)&gt;=1,ROUND(_xlpm.val,3)&amp;" Kg",MAX(1,ROUND(_xlpm.val*1000,0))&amp;" g"),"")))</f>
        <v/>
      </c>
      <c r="BV337" s="3">
        <v>1</v>
      </c>
    </row>
    <row r="338" spans="2:74" ht="18.75">
      <c r="B338" s="104" t="str">
        <f t="shared" si="47"/>
        <v>►</v>
      </c>
      <c r="C338" s="32" t="str">
        <f>C311</f>
        <v>N NOM DE VOTRE RECETTE | | Auteur &gt; VOUS</v>
      </c>
      <c r="D338" s="33">
        <f>D311</f>
        <v>18</v>
      </c>
      <c r="E338" s="32" t="str">
        <f>E311</f>
        <v>desserts</v>
      </c>
      <c r="F338" s="34" t="str">
        <f>F311</f>
        <v>Recette mère ► Saisir le nom de la recette principale</v>
      </c>
      <c r="G338" s="92"/>
      <c r="H338" s="108"/>
      <c r="I338" s="94" t="str">
        <f t="shared" si="44"/>
        <v/>
      </c>
      <c r="J338" s="95"/>
      <c r="K338" s="126"/>
      <c r="L338" s="127">
        <v>1</v>
      </c>
      <c r="M338" s="920"/>
      <c r="N338" s="1495">
        <f>IF(OR(ISBLANK(G309),N309=0),0,G338*L310)</f>
        <v>0</v>
      </c>
      <c r="O338" s="101" cm="1">
        <f t="array" ref="O338">IFERROR(_xlfn.LET(_xlpm.k,UPPER(TRIM(K338)),_xlpm.r,_xlfn.XLOOKUP(_xlpm.k,UPPER(TRIM(G356:P356)),G357:P357,_xlfn.XLOOKUP(_xlpm.k,UPPER(TRIM(G358:P358)),G359:P359)),_xlpm.r*J338*L338*L310*IF(ISBLANK(G338),1,G338)),0)</f>
        <v>0</v>
      </c>
      <c r="P338" s="1475" t="str">
        <f>_xlfn.LET(_xlpm.unite,SUBSTITUTE(TRIM(K338)," (s)",""),_xlpm.val,O338,_xlpm.estVol,COUNTIF(J356:P356,_xlpm.unite)+COUNTIF(J358:P358,_xlpm.unite)&gt;0,_xlpm.estPoids,COUNTIF(G356:I356,_xlpm.unite)+COUNTIF(G358:I358,_xlpm.unite)&gt;0,IF(_xlpm.estVol,IF(ROUND(_xlpm.val,3)&gt;=1,ROUND(_xlpm.val,3)&amp;" L",MAX(1,ROUND(_xlpm.val*100,0))&amp;" cl"),IF(_xlpm.estPoids,IF(ROUND(_xlpm.val,3)&gt;=1,ROUND(_xlpm.val,3)&amp;" Kg",MAX(1,ROUND(_xlpm.val*1000,0))&amp;" g"),"")))</f>
        <v/>
      </c>
      <c r="R338" s="104" t="str">
        <f t="shared" si="48"/>
        <v>►</v>
      </c>
      <c r="S338" s="32" t="str">
        <f>S311</f>
        <v>N NAME OF YOUR RECIPE | |  Author &gt; YOU</v>
      </c>
      <c r="T338" s="33">
        <f>T311</f>
        <v>18</v>
      </c>
      <c r="U338" s="32" t="str">
        <f>U311</f>
        <v>desserts</v>
      </c>
      <c r="V338" s="34" t="str">
        <f>V311</f>
        <v>Master recipe ► Enter the main recipe name</v>
      </c>
      <c r="W338" s="92"/>
      <c r="X338" s="108"/>
      <c r="Y338" s="94" t="str">
        <f t="shared" si="45"/>
        <v/>
      </c>
      <c r="Z338" s="95"/>
      <c r="AA338" s="126"/>
      <c r="AB338" s="127">
        <v>1</v>
      </c>
      <c r="AC338" s="920"/>
      <c r="AD338" s="1495">
        <f>IF(OR(ISBLANK(W309),AD309=0),0,W338*AB310)</f>
        <v>0</v>
      </c>
      <c r="AE338" s="101" cm="1">
        <f t="array" ref="AE338">IFERROR(_xlfn.LET(_xlpm.k,UPPER(TRIM(AA338)),_xlpm.r,_xlfn.XLOOKUP(_xlpm.k,UPPER(TRIM(W356:AF356)),W357:AF357,_xlfn.XLOOKUP(_xlpm.k,UPPER(TRIM(W358:AF358)),W359:AF359)),_xlpm.r*Z338*AB338*AB310*IF(ISBLANK(W338),1,W338)),0)</f>
        <v>0</v>
      </c>
      <c r="AF338" s="1475" t="str">
        <f>_xlfn.LET(_xlpm.unite,SUBSTITUTE(TRIM(AA338)," (s)",""),_xlpm.val,AE338,_xlpm.estVol,COUNTIF(Z356:AF356,_xlpm.unite)+COUNTIF(Z358:AF358,_xlpm.unite)&gt;0,_xlpm.estPoids,COUNTIF(W356:Y356,_xlpm.unite)+COUNTIF(W358:Y358,_xlpm.unite)&gt;0,IF(_xlpm.estVol,IF(ROUND(_xlpm.val,3)&gt;=1,ROUND(_xlpm.val,3)&amp;" L",MAX(1,ROUND(_xlpm.val*100,0))&amp;" cl"),IF(_xlpm.estPoids,IF(ROUND(_xlpm.val,3)&gt;=1,ROUND(_xlpm.val,3)&amp;" Kg",MAX(1,ROUND(_xlpm.val*1000,0))&amp;" g"),"")))</f>
        <v/>
      </c>
      <c r="AH338" s="104" t="str">
        <f t="shared" si="49"/>
        <v>►</v>
      </c>
      <c r="AI338" s="32" t="str">
        <f>AI311</f>
        <v>N NOMBRE DE LA RECETA | | Autor &gt; USTED</v>
      </c>
      <c r="AJ338" s="33">
        <f>AJ311</f>
        <v>18</v>
      </c>
      <c r="AK338" s="32" t="str">
        <f>AK311</f>
        <v>postres</v>
      </c>
      <c r="AL338" s="34" t="str">
        <f>AL311</f>
        <v>Receta madre ► Introduzca el nombre de la receta principal</v>
      </c>
      <c r="AM338" s="92"/>
      <c r="AN338" s="108"/>
      <c r="AO338" s="94" t="str">
        <f t="shared" si="46"/>
        <v/>
      </c>
      <c r="AP338" s="95"/>
      <c r="AQ338" s="126"/>
      <c r="AR338" s="127">
        <v>1</v>
      </c>
      <c r="AS338" s="920"/>
      <c r="AT338" s="1495">
        <f>IF(OR(ISBLANK(AM309),AT309=0),0,AM338*AR310)</f>
        <v>0</v>
      </c>
      <c r="AU338" s="101" cm="1">
        <f t="array" ref="AU338">IFERROR(_xlfn.LET(_xlpm.k,UPPER(TRIM(AQ338)),_xlpm.r,_xlfn.XLOOKUP(_xlpm.k,UPPER(TRIM(AM356:AV356)),AM357:AV357,_xlfn.XLOOKUP(_xlpm.k,UPPER(TRIM(AM358:AV358)),AM359:AV359)),_xlpm.r*AP338*AR338*AR310*IF(ISBLANK(AM338),1,AM338)),0)</f>
        <v>0</v>
      </c>
      <c r="AV338" s="1475" t="str">
        <f>_xlfn.LET(_xlpm.unite,SUBSTITUTE(TRIM(AQ338)," (s)",""),_xlpm.val,AU338,_xlpm.estVol,COUNTIF(AP356:AV356,_xlpm.unite)+COUNTIF(AP358:AV358,_xlpm.unite)&gt;0,_xlpm.estPoids,COUNTIF(AM356:AO356,_xlpm.unite)+COUNTIF(AM358:AO358,_xlpm.unite)&gt;0,IF(_xlpm.estVol,IF(ROUND(_xlpm.val,3)&gt;=1,ROUND(_xlpm.val,3)&amp;" L",MAX(1,ROUND(_xlpm.val*100,0))&amp;" cl"),IF(_xlpm.estPoids,IF(ROUND(_xlpm.val,3)&gt;=1,ROUND(_xlpm.val,3)&amp;" Kg",MAX(1,ROUND(_xlpm.val*1000,0))&amp;" g"),"")))</f>
        <v/>
      </c>
      <c r="BV338" s="3">
        <v>1</v>
      </c>
    </row>
    <row r="339" spans="2:74" ht="18.75">
      <c r="B339" s="104" t="str">
        <f t="shared" si="47"/>
        <v>►</v>
      </c>
      <c r="C339" s="32" t="str">
        <f>C311</f>
        <v>N NOM DE VOTRE RECETTE | | Auteur &gt; VOUS</v>
      </c>
      <c r="D339" s="33">
        <f>D311</f>
        <v>18</v>
      </c>
      <c r="E339" s="32" t="str">
        <f>E311</f>
        <v>desserts</v>
      </c>
      <c r="F339" s="34" t="str">
        <f>F311</f>
        <v>Recette mère ► Saisir le nom de la recette principale</v>
      </c>
      <c r="G339" s="92"/>
      <c r="H339" s="108"/>
      <c r="I339" s="94" t="str">
        <f t="shared" si="44"/>
        <v/>
      </c>
      <c r="J339" s="95"/>
      <c r="K339" s="126"/>
      <c r="L339" s="127">
        <v>1</v>
      </c>
      <c r="M339" s="920"/>
      <c r="N339" s="1495">
        <f>IF(OR(ISBLANK(G309),N309=0),0,G339*L310)</f>
        <v>0</v>
      </c>
      <c r="O339" s="101" cm="1">
        <f t="array" ref="O339">IFERROR(_xlfn.LET(_xlpm.k,UPPER(TRIM(K339)),_xlpm.r,_xlfn.XLOOKUP(_xlpm.k,UPPER(TRIM(G356:P356)),G357:P357,_xlfn.XLOOKUP(_xlpm.k,UPPER(TRIM(G358:P358)),G359:P359)),_xlpm.r*J339*L339*L310*IF(ISBLANK(G339),1,G339)),0)</f>
        <v>0</v>
      </c>
      <c r="P339" s="1476" t="str">
        <f>_xlfn.LET(_xlpm.unite,SUBSTITUTE(TRIM(K339)," (s)",""),_xlpm.val,O339,_xlpm.estVol,COUNTIF(J356:P356,_xlpm.unite)+COUNTIF(J358:P358,_xlpm.unite)&gt;0,_xlpm.estPoids,COUNTIF(G356:I356,_xlpm.unite)+COUNTIF(G358:I358,_xlpm.unite)&gt;0,IF(_xlpm.estVol,IF(ROUND(_xlpm.val,3)&gt;=1,ROUND(_xlpm.val,3)&amp;" L",MAX(1,ROUND(_xlpm.val*100,0))&amp;" cl"),IF(_xlpm.estPoids,IF(ROUND(_xlpm.val,3)&gt;=1,ROUND(_xlpm.val,3)&amp;" Kg",MAX(1,ROUND(_xlpm.val*1000,0))&amp;" g"),"")))</f>
        <v/>
      </c>
      <c r="R339" s="104" t="str">
        <f t="shared" si="48"/>
        <v>►</v>
      </c>
      <c r="S339" s="32" t="str">
        <f>S311</f>
        <v>N NAME OF YOUR RECIPE | |  Author &gt; YOU</v>
      </c>
      <c r="T339" s="33">
        <f>T311</f>
        <v>18</v>
      </c>
      <c r="U339" s="32" t="str">
        <f>U311</f>
        <v>desserts</v>
      </c>
      <c r="V339" s="34" t="str">
        <f>V311</f>
        <v>Master recipe ► Enter the main recipe name</v>
      </c>
      <c r="W339" s="92"/>
      <c r="X339" s="108"/>
      <c r="Y339" s="94" t="str">
        <f t="shared" si="45"/>
        <v/>
      </c>
      <c r="Z339" s="95"/>
      <c r="AA339" s="126"/>
      <c r="AB339" s="127">
        <v>1</v>
      </c>
      <c r="AC339" s="920"/>
      <c r="AD339" s="1495">
        <f>IF(OR(ISBLANK(W309),AD309=0),0,W339*AB310)</f>
        <v>0</v>
      </c>
      <c r="AE339" s="101" cm="1">
        <f t="array" ref="AE339">IFERROR(_xlfn.LET(_xlpm.k,UPPER(TRIM(AA339)),_xlpm.r,_xlfn.XLOOKUP(_xlpm.k,UPPER(TRIM(W356:AF356)),W357:AF357,_xlfn.XLOOKUP(_xlpm.k,UPPER(TRIM(W358:AF358)),W359:AF359)),_xlpm.r*Z339*AB339*AB310*IF(ISBLANK(W339),1,W339)),0)</f>
        <v>0</v>
      </c>
      <c r="AF339" s="1476" t="str">
        <f>_xlfn.LET(_xlpm.unite,SUBSTITUTE(TRIM(AA339)," (s)",""),_xlpm.val,AE339,_xlpm.estVol,COUNTIF(Z356:AF356,_xlpm.unite)+COUNTIF(Z358:AF358,_xlpm.unite)&gt;0,_xlpm.estPoids,COUNTIF(W356:Y356,_xlpm.unite)+COUNTIF(W358:Y358,_xlpm.unite)&gt;0,IF(_xlpm.estVol,IF(ROUND(_xlpm.val,3)&gt;=1,ROUND(_xlpm.val,3)&amp;" L",MAX(1,ROUND(_xlpm.val*100,0))&amp;" cl"),IF(_xlpm.estPoids,IF(ROUND(_xlpm.val,3)&gt;=1,ROUND(_xlpm.val,3)&amp;" Kg",MAX(1,ROUND(_xlpm.val*1000,0))&amp;" g"),"")))</f>
        <v/>
      </c>
      <c r="AH339" s="104" t="str">
        <f t="shared" si="49"/>
        <v>►</v>
      </c>
      <c r="AI339" s="32" t="str">
        <f>AI311</f>
        <v>N NOMBRE DE LA RECETA | | Autor &gt; USTED</v>
      </c>
      <c r="AJ339" s="33">
        <f>AJ311</f>
        <v>18</v>
      </c>
      <c r="AK339" s="32" t="str">
        <f>AK311</f>
        <v>postres</v>
      </c>
      <c r="AL339" s="34" t="str">
        <f>AL311</f>
        <v>Receta madre ► Introduzca el nombre de la receta principal</v>
      </c>
      <c r="AM339" s="92"/>
      <c r="AN339" s="108"/>
      <c r="AO339" s="94" t="str">
        <f t="shared" si="46"/>
        <v/>
      </c>
      <c r="AP339" s="95"/>
      <c r="AQ339" s="126"/>
      <c r="AR339" s="127">
        <v>1</v>
      </c>
      <c r="AS339" s="920"/>
      <c r="AT339" s="1495">
        <f>IF(OR(ISBLANK(AM309),AT309=0),0,AM339*AR310)</f>
        <v>0</v>
      </c>
      <c r="AU339" s="101" cm="1">
        <f t="array" ref="AU339">IFERROR(_xlfn.LET(_xlpm.k,UPPER(TRIM(AQ339)),_xlpm.r,_xlfn.XLOOKUP(_xlpm.k,UPPER(TRIM(AM356:AV356)),AM357:AV357,_xlfn.XLOOKUP(_xlpm.k,UPPER(TRIM(AM358:AV358)),AM359:AV359)),_xlpm.r*AP339*AR339*AR310*IF(ISBLANK(AM339),1,AM339)),0)</f>
        <v>0</v>
      </c>
      <c r="AV339" s="1476" t="str">
        <f>_xlfn.LET(_xlpm.unite,SUBSTITUTE(TRIM(AQ339)," (s)",""),_xlpm.val,AU339,_xlpm.estVol,COUNTIF(AP356:AV356,_xlpm.unite)+COUNTIF(AP358:AV358,_xlpm.unite)&gt;0,_xlpm.estPoids,COUNTIF(AM356:AO356,_xlpm.unite)+COUNTIF(AM358:AO358,_xlpm.unite)&gt;0,IF(_xlpm.estVol,IF(ROUND(_xlpm.val,3)&gt;=1,ROUND(_xlpm.val,3)&amp;" L",MAX(1,ROUND(_xlpm.val*100,0))&amp;" cl"),IF(_xlpm.estPoids,IF(ROUND(_xlpm.val,3)&gt;=1,ROUND(_xlpm.val,3)&amp;" Kg",MAX(1,ROUND(_xlpm.val*1000,0))&amp;" g"),"")))</f>
        <v/>
      </c>
      <c r="BV339" s="3">
        <v>1</v>
      </c>
    </row>
    <row r="340" spans="2:74" ht="18.75">
      <c r="B340" s="104" t="str">
        <f t="shared" si="47"/>
        <v>►</v>
      </c>
      <c r="C340" s="32" t="str">
        <f>C311</f>
        <v>N NOM DE VOTRE RECETTE | | Auteur &gt; VOUS</v>
      </c>
      <c r="D340" s="33">
        <f>D311</f>
        <v>18</v>
      </c>
      <c r="E340" s="32" t="str">
        <f>E311</f>
        <v>desserts</v>
      </c>
      <c r="F340" s="34" t="str">
        <f>F311</f>
        <v>Recette mère ► Saisir le nom de la recette principale</v>
      </c>
      <c r="G340" s="92"/>
      <c r="H340" s="108"/>
      <c r="I340" s="94" t="str">
        <f t="shared" si="44"/>
        <v/>
      </c>
      <c r="J340" s="95"/>
      <c r="K340" s="126"/>
      <c r="L340" s="127">
        <v>1</v>
      </c>
      <c r="M340" s="920"/>
      <c r="N340" s="1495">
        <f>IF(OR(ISBLANK(G309),N309=0),0,G340*L310)</f>
        <v>0</v>
      </c>
      <c r="O340" s="101" cm="1">
        <f t="array" ref="O340">IFERROR(_xlfn.LET(_xlpm.k,UPPER(TRIM(K340)),_xlpm.r,_xlfn.XLOOKUP(_xlpm.k,UPPER(TRIM(G356:P356)),G357:P357,_xlfn.XLOOKUP(_xlpm.k,UPPER(TRIM(G358:P358)),G359:P359)),_xlpm.r*J340*L340*L310*IF(ISBLANK(G340),1,G340)),0)</f>
        <v>0</v>
      </c>
      <c r="P340" s="1475" t="str">
        <f>_xlfn.LET(_xlpm.unite,SUBSTITUTE(TRIM(K340)," (s)",""),_xlpm.val,O340,_xlpm.estVol,COUNTIF(J356:P356,_xlpm.unite)+COUNTIF(J358:P358,_xlpm.unite)&gt;0,_xlpm.estPoids,COUNTIF(G356:I356,_xlpm.unite)+COUNTIF(G358:I358,_xlpm.unite)&gt;0,IF(_xlpm.estVol,IF(ROUND(_xlpm.val,3)&gt;=1,ROUND(_xlpm.val,3)&amp;" L",MAX(1,ROUND(_xlpm.val*100,0))&amp;" cl"),IF(_xlpm.estPoids,IF(ROUND(_xlpm.val,3)&gt;=1,ROUND(_xlpm.val,3)&amp;" Kg",MAX(1,ROUND(_xlpm.val*1000,0))&amp;" g"),"")))</f>
        <v/>
      </c>
      <c r="R340" s="104" t="str">
        <f t="shared" si="48"/>
        <v>►</v>
      </c>
      <c r="S340" s="32" t="str">
        <f>S311</f>
        <v>N NAME OF YOUR RECIPE | |  Author &gt; YOU</v>
      </c>
      <c r="T340" s="33">
        <f>T311</f>
        <v>18</v>
      </c>
      <c r="U340" s="32" t="str">
        <f>U311</f>
        <v>desserts</v>
      </c>
      <c r="V340" s="34" t="str">
        <f>V311</f>
        <v>Master recipe ► Enter the main recipe name</v>
      </c>
      <c r="W340" s="92"/>
      <c r="X340" s="108"/>
      <c r="Y340" s="94" t="str">
        <f t="shared" si="45"/>
        <v/>
      </c>
      <c r="Z340" s="95"/>
      <c r="AA340" s="126"/>
      <c r="AB340" s="127">
        <v>1</v>
      </c>
      <c r="AC340" s="920"/>
      <c r="AD340" s="1495">
        <f>IF(OR(ISBLANK(W309),AD309=0),0,W340*AB310)</f>
        <v>0</v>
      </c>
      <c r="AE340" s="101" cm="1">
        <f t="array" ref="AE340">IFERROR(_xlfn.LET(_xlpm.k,UPPER(TRIM(AA340)),_xlpm.r,_xlfn.XLOOKUP(_xlpm.k,UPPER(TRIM(W356:AF356)),W357:AF357,_xlfn.XLOOKUP(_xlpm.k,UPPER(TRIM(W358:AF358)),W359:AF359)),_xlpm.r*Z340*AB340*AB310*IF(ISBLANK(W340),1,W340)),0)</f>
        <v>0</v>
      </c>
      <c r="AF340" s="1475" t="str">
        <f>_xlfn.LET(_xlpm.unite,SUBSTITUTE(TRIM(AA340)," (s)",""),_xlpm.val,AE340,_xlpm.estVol,COUNTIF(Z356:AF356,_xlpm.unite)+COUNTIF(Z358:AF358,_xlpm.unite)&gt;0,_xlpm.estPoids,COUNTIF(W356:Y356,_xlpm.unite)+COUNTIF(W358:Y358,_xlpm.unite)&gt;0,IF(_xlpm.estVol,IF(ROUND(_xlpm.val,3)&gt;=1,ROUND(_xlpm.val,3)&amp;" L",MAX(1,ROUND(_xlpm.val*100,0))&amp;" cl"),IF(_xlpm.estPoids,IF(ROUND(_xlpm.val,3)&gt;=1,ROUND(_xlpm.val,3)&amp;" Kg",MAX(1,ROUND(_xlpm.val*1000,0))&amp;" g"),"")))</f>
        <v/>
      </c>
      <c r="AH340" s="104" t="str">
        <f t="shared" si="49"/>
        <v>►</v>
      </c>
      <c r="AI340" s="32" t="str">
        <f>AI311</f>
        <v>N NOMBRE DE LA RECETA | | Autor &gt; USTED</v>
      </c>
      <c r="AJ340" s="33">
        <f>AJ311</f>
        <v>18</v>
      </c>
      <c r="AK340" s="32" t="str">
        <f>AK311</f>
        <v>postres</v>
      </c>
      <c r="AL340" s="34" t="str">
        <f>AL311</f>
        <v>Receta madre ► Introduzca el nombre de la receta principal</v>
      </c>
      <c r="AM340" s="92"/>
      <c r="AN340" s="108"/>
      <c r="AO340" s="94" t="str">
        <f t="shared" si="46"/>
        <v/>
      </c>
      <c r="AP340" s="95"/>
      <c r="AQ340" s="126"/>
      <c r="AR340" s="127">
        <v>1</v>
      </c>
      <c r="AS340" s="920"/>
      <c r="AT340" s="1495">
        <f>IF(OR(ISBLANK(AM309),AT309=0),0,AM340*AR310)</f>
        <v>0</v>
      </c>
      <c r="AU340" s="101" cm="1">
        <f t="array" ref="AU340">IFERROR(_xlfn.LET(_xlpm.k,UPPER(TRIM(AQ340)),_xlpm.r,_xlfn.XLOOKUP(_xlpm.k,UPPER(TRIM(AM356:AV356)),AM357:AV357,_xlfn.XLOOKUP(_xlpm.k,UPPER(TRIM(AM358:AV358)),AM359:AV359)),_xlpm.r*AP340*AR340*AR310*IF(ISBLANK(AM340),1,AM340)),0)</f>
        <v>0</v>
      </c>
      <c r="AV340" s="1475" t="str">
        <f>_xlfn.LET(_xlpm.unite,SUBSTITUTE(TRIM(AQ340)," (s)",""),_xlpm.val,AU340,_xlpm.estVol,COUNTIF(AP356:AV356,_xlpm.unite)+COUNTIF(AP358:AV358,_xlpm.unite)&gt;0,_xlpm.estPoids,COUNTIF(AM356:AO356,_xlpm.unite)+COUNTIF(AM358:AO358,_xlpm.unite)&gt;0,IF(_xlpm.estVol,IF(ROUND(_xlpm.val,3)&gt;=1,ROUND(_xlpm.val,3)&amp;" L",MAX(1,ROUND(_xlpm.val*100,0))&amp;" cl"),IF(_xlpm.estPoids,IF(ROUND(_xlpm.val,3)&gt;=1,ROUND(_xlpm.val,3)&amp;" Kg",MAX(1,ROUND(_xlpm.val*1000,0))&amp;" g"),"")))</f>
        <v/>
      </c>
      <c r="BV340" s="3">
        <v>1</v>
      </c>
    </row>
    <row r="341" spans="2:74" ht="18.75">
      <c r="B341" s="104" t="str">
        <f t="shared" si="47"/>
        <v>►</v>
      </c>
      <c r="C341" s="32" t="str">
        <f>C311</f>
        <v>N NOM DE VOTRE RECETTE | | Auteur &gt; VOUS</v>
      </c>
      <c r="D341" s="33">
        <f>D311</f>
        <v>18</v>
      </c>
      <c r="E341" s="32" t="str">
        <f>E311</f>
        <v>desserts</v>
      </c>
      <c r="F341" s="34" t="str">
        <f>F311</f>
        <v>Recette mère ► Saisir le nom de la recette principale</v>
      </c>
      <c r="G341" s="92"/>
      <c r="H341" s="108"/>
      <c r="I341" s="94" t="str">
        <f t="shared" si="44"/>
        <v/>
      </c>
      <c r="J341" s="95"/>
      <c r="K341" s="126"/>
      <c r="L341" s="127">
        <v>1</v>
      </c>
      <c r="M341" s="920"/>
      <c r="N341" s="1495">
        <f>IF(OR(ISBLANK(G309),N309=0),0,G341*L310)</f>
        <v>0</v>
      </c>
      <c r="O341" s="101" cm="1">
        <f t="array" ref="O341">IFERROR(_xlfn.LET(_xlpm.k,UPPER(TRIM(K341)),_xlpm.r,_xlfn.XLOOKUP(_xlpm.k,UPPER(TRIM(G356:P356)),G357:P357,_xlfn.XLOOKUP(_xlpm.k,UPPER(TRIM(G358:P358)),G359:P359)),_xlpm.r*J341*L341*L310*IF(ISBLANK(G341),1,G341)),0)</f>
        <v>0</v>
      </c>
      <c r="P341" s="1476" t="str">
        <f>_xlfn.LET(_xlpm.unite,SUBSTITUTE(TRIM(K341)," (s)",""),_xlpm.val,O341,_xlpm.estVol,COUNTIF(J356:P356,_xlpm.unite)+COUNTIF(J358:P358,_xlpm.unite)&gt;0,_xlpm.estPoids,COUNTIF(G356:I356,_xlpm.unite)+COUNTIF(G358:I358,_xlpm.unite)&gt;0,IF(_xlpm.estVol,IF(ROUND(_xlpm.val,3)&gt;=1,ROUND(_xlpm.val,3)&amp;" L",MAX(1,ROUND(_xlpm.val*100,0))&amp;" cl"),IF(_xlpm.estPoids,IF(ROUND(_xlpm.val,3)&gt;=1,ROUND(_xlpm.val,3)&amp;" Kg",MAX(1,ROUND(_xlpm.val*1000,0))&amp;" g"),"")))</f>
        <v/>
      </c>
      <c r="R341" s="104" t="str">
        <f t="shared" si="48"/>
        <v>►</v>
      </c>
      <c r="S341" s="32" t="str">
        <f>S311</f>
        <v>N NAME OF YOUR RECIPE | |  Author &gt; YOU</v>
      </c>
      <c r="T341" s="33">
        <f>T311</f>
        <v>18</v>
      </c>
      <c r="U341" s="32" t="str">
        <f>U311</f>
        <v>desserts</v>
      </c>
      <c r="V341" s="34" t="str">
        <f>V311</f>
        <v>Master recipe ► Enter the main recipe name</v>
      </c>
      <c r="W341" s="92"/>
      <c r="X341" s="108"/>
      <c r="Y341" s="94" t="str">
        <f t="shared" si="45"/>
        <v/>
      </c>
      <c r="Z341" s="95"/>
      <c r="AA341" s="126"/>
      <c r="AB341" s="127">
        <v>1</v>
      </c>
      <c r="AC341" s="920"/>
      <c r="AD341" s="1495">
        <f>IF(OR(ISBLANK(W309),AD309=0),0,W341*AB310)</f>
        <v>0</v>
      </c>
      <c r="AE341" s="101" cm="1">
        <f t="array" ref="AE341">IFERROR(_xlfn.LET(_xlpm.k,UPPER(TRIM(AA341)),_xlpm.r,_xlfn.XLOOKUP(_xlpm.k,UPPER(TRIM(W356:AF356)),W357:AF357,_xlfn.XLOOKUP(_xlpm.k,UPPER(TRIM(W358:AF358)),W359:AF359)),_xlpm.r*Z341*AB341*AB310*IF(ISBLANK(W341),1,W341)),0)</f>
        <v>0</v>
      </c>
      <c r="AF341" s="1476" t="str">
        <f>_xlfn.LET(_xlpm.unite,SUBSTITUTE(TRIM(AA341)," (s)",""),_xlpm.val,AE341,_xlpm.estVol,COUNTIF(Z356:AF356,_xlpm.unite)+COUNTIF(Z358:AF358,_xlpm.unite)&gt;0,_xlpm.estPoids,COUNTIF(W356:Y356,_xlpm.unite)+COUNTIF(W358:Y358,_xlpm.unite)&gt;0,IF(_xlpm.estVol,IF(ROUND(_xlpm.val,3)&gt;=1,ROUND(_xlpm.val,3)&amp;" L",MAX(1,ROUND(_xlpm.val*100,0))&amp;" cl"),IF(_xlpm.estPoids,IF(ROUND(_xlpm.val,3)&gt;=1,ROUND(_xlpm.val,3)&amp;" Kg",MAX(1,ROUND(_xlpm.val*1000,0))&amp;" g"),"")))</f>
        <v/>
      </c>
      <c r="AH341" s="104" t="str">
        <f t="shared" si="49"/>
        <v>►</v>
      </c>
      <c r="AI341" s="32" t="str">
        <f>AI311</f>
        <v>N NOMBRE DE LA RECETA | | Autor &gt; USTED</v>
      </c>
      <c r="AJ341" s="33">
        <f>AJ311</f>
        <v>18</v>
      </c>
      <c r="AK341" s="32" t="str">
        <f>AK311</f>
        <v>postres</v>
      </c>
      <c r="AL341" s="34" t="str">
        <f>AL311</f>
        <v>Receta madre ► Introduzca el nombre de la receta principal</v>
      </c>
      <c r="AM341" s="92"/>
      <c r="AN341" s="108"/>
      <c r="AO341" s="94" t="str">
        <f t="shared" si="46"/>
        <v/>
      </c>
      <c r="AP341" s="95"/>
      <c r="AQ341" s="126"/>
      <c r="AR341" s="127">
        <v>1</v>
      </c>
      <c r="AS341" s="920"/>
      <c r="AT341" s="1495">
        <f>IF(OR(ISBLANK(AM309),AT309=0),0,AM341*AR310)</f>
        <v>0</v>
      </c>
      <c r="AU341" s="101" cm="1">
        <f t="array" ref="AU341">IFERROR(_xlfn.LET(_xlpm.k,UPPER(TRIM(AQ341)),_xlpm.r,_xlfn.XLOOKUP(_xlpm.k,UPPER(TRIM(AM356:AV356)),AM357:AV357,_xlfn.XLOOKUP(_xlpm.k,UPPER(TRIM(AM358:AV358)),AM359:AV359)),_xlpm.r*AP341*AR341*AR310*IF(ISBLANK(AM341),1,AM341)),0)</f>
        <v>0</v>
      </c>
      <c r="AV341" s="1476" t="str">
        <f>_xlfn.LET(_xlpm.unite,SUBSTITUTE(TRIM(AQ341)," (s)",""),_xlpm.val,AU341,_xlpm.estVol,COUNTIF(AP356:AV356,_xlpm.unite)+COUNTIF(AP358:AV358,_xlpm.unite)&gt;0,_xlpm.estPoids,COUNTIF(AM356:AO356,_xlpm.unite)+COUNTIF(AM358:AO358,_xlpm.unite)&gt;0,IF(_xlpm.estVol,IF(ROUND(_xlpm.val,3)&gt;=1,ROUND(_xlpm.val,3)&amp;" L",MAX(1,ROUND(_xlpm.val*100,0))&amp;" cl"),IF(_xlpm.estPoids,IF(ROUND(_xlpm.val,3)&gt;=1,ROUND(_xlpm.val,3)&amp;" Kg",MAX(1,ROUND(_xlpm.val*1000,0))&amp;" g"),"")))</f>
        <v/>
      </c>
      <c r="BV341" s="3">
        <v>1</v>
      </c>
    </row>
    <row r="342" spans="2:74" ht="18.75">
      <c r="B342" s="104" t="str">
        <f t="shared" si="47"/>
        <v>►</v>
      </c>
      <c r="C342" s="32" t="str">
        <f>C311</f>
        <v>N NOM DE VOTRE RECETTE | | Auteur &gt; VOUS</v>
      </c>
      <c r="D342" s="33">
        <f>D311</f>
        <v>18</v>
      </c>
      <c r="E342" s="32" t="str">
        <f>E311</f>
        <v>desserts</v>
      </c>
      <c r="F342" s="34" t="str">
        <f>F311</f>
        <v>Recette mère ► Saisir le nom de la recette principale</v>
      </c>
      <c r="G342" s="92"/>
      <c r="H342" s="108"/>
      <c r="I342" s="94" t="str">
        <f t="shared" si="44"/>
        <v/>
      </c>
      <c r="J342" s="95"/>
      <c r="K342" s="126"/>
      <c r="L342" s="127">
        <v>1</v>
      </c>
      <c r="M342" s="920"/>
      <c r="N342" s="1495">
        <f>IF(OR(ISBLANK(G309),N309=0),0,G342*L310)</f>
        <v>0</v>
      </c>
      <c r="O342" s="101" cm="1">
        <f t="array" ref="O342">IFERROR(_xlfn.LET(_xlpm.k,UPPER(TRIM(K342)),_xlpm.r,_xlfn.XLOOKUP(_xlpm.k,UPPER(TRIM(G356:P356)),G357:P357,_xlfn.XLOOKUP(_xlpm.k,UPPER(TRIM(G358:P358)),G359:P359)),_xlpm.r*J342*L342*L310*IF(ISBLANK(G342),1,G342)),0)</f>
        <v>0</v>
      </c>
      <c r="P342" s="1475" t="str">
        <f>_xlfn.LET(_xlpm.unite,SUBSTITUTE(TRIM(K342)," (s)",""),_xlpm.val,O342,_xlpm.estVol,COUNTIF(J356:P356,_xlpm.unite)+COUNTIF(J358:P358,_xlpm.unite)&gt;0,_xlpm.estPoids,COUNTIF(G356:I356,_xlpm.unite)+COUNTIF(G358:I358,_xlpm.unite)&gt;0,IF(_xlpm.estVol,IF(ROUND(_xlpm.val,3)&gt;=1,ROUND(_xlpm.val,3)&amp;" L",MAX(1,ROUND(_xlpm.val*100,0))&amp;" cl"),IF(_xlpm.estPoids,IF(ROUND(_xlpm.val,3)&gt;=1,ROUND(_xlpm.val,3)&amp;" Kg",MAX(1,ROUND(_xlpm.val*1000,0))&amp;" g"),"")))</f>
        <v/>
      </c>
      <c r="R342" s="104" t="str">
        <f t="shared" si="48"/>
        <v>►</v>
      </c>
      <c r="S342" s="32" t="str">
        <f>S311</f>
        <v>N NAME OF YOUR RECIPE | |  Author &gt; YOU</v>
      </c>
      <c r="T342" s="33">
        <f>T311</f>
        <v>18</v>
      </c>
      <c r="U342" s="32" t="str">
        <f>U311</f>
        <v>desserts</v>
      </c>
      <c r="V342" s="34" t="str">
        <f>V311</f>
        <v>Master recipe ► Enter the main recipe name</v>
      </c>
      <c r="W342" s="92"/>
      <c r="X342" s="108"/>
      <c r="Y342" s="94" t="str">
        <f t="shared" si="45"/>
        <v/>
      </c>
      <c r="Z342" s="95"/>
      <c r="AA342" s="126"/>
      <c r="AB342" s="127">
        <v>1</v>
      </c>
      <c r="AC342" s="920"/>
      <c r="AD342" s="1495">
        <f>IF(OR(ISBLANK(W309),AD309=0),0,W342*AB310)</f>
        <v>0</v>
      </c>
      <c r="AE342" s="101" cm="1">
        <f t="array" ref="AE342">IFERROR(_xlfn.LET(_xlpm.k,UPPER(TRIM(AA342)),_xlpm.r,_xlfn.XLOOKUP(_xlpm.k,UPPER(TRIM(W356:AF356)),W357:AF357,_xlfn.XLOOKUP(_xlpm.k,UPPER(TRIM(W358:AF358)),W359:AF359)),_xlpm.r*Z342*AB342*AB310*IF(ISBLANK(W342),1,W342)),0)</f>
        <v>0</v>
      </c>
      <c r="AF342" s="1475" t="str">
        <f>_xlfn.LET(_xlpm.unite,SUBSTITUTE(TRIM(AA342)," (s)",""),_xlpm.val,AE342,_xlpm.estVol,COUNTIF(Z356:AF356,_xlpm.unite)+COUNTIF(Z358:AF358,_xlpm.unite)&gt;0,_xlpm.estPoids,COUNTIF(W356:Y356,_xlpm.unite)+COUNTIF(W358:Y358,_xlpm.unite)&gt;0,IF(_xlpm.estVol,IF(ROUND(_xlpm.val,3)&gt;=1,ROUND(_xlpm.val,3)&amp;" L",MAX(1,ROUND(_xlpm.val*100,0))&amp;" cl"),IF(_xlpm.estPoids,IF(ROUND(_xlpm.val,3)&gt;=1,ROUND(_xlpm.val,3)&amp;" Kg",MAX(1,ROUND(_xlpm.val*1000,0))&amp;" g"),"")))</f>
        <v/>
      </c>
      <c r="AH342" s="104" t="str">
        <f t="shared" si="49"/>
        <v>►</v>
      </c>
      <c r="AI342" s="32" t="str">
        <f>AI311</f>
        <v>N NOMBRE DE LA RECETA | | Autor &gt; USTED</v>
      </c>
      <c r="AJ342" s="33">
        <f>AJ311</f>
        <v>18</v>
      </c>
      <c r="AK342" s="32" t="str">
        <f>AK311</f>
        <v>postres</v>
      </c>
      <c r="AL342" s="34" t="str">
        <f>AL311</f>
        <v>Receta madre ► Introduzca el nombre de la receta principal</v>
      </c>
      <c r="AM342" s="92"/>
      <c r="AN342" s="108"/>
      <c r="AO342" s="94" t="str">
        <f t="shared" si="46"/>
        <v/>
      </c>
      <c r="AP342" s="95"/>
      <c r="AQ342" s="126"/>
      <c r="AR342" s="127">
        <v>1</v>
      </c>
      <c r="AS342" s="920"/>
      <c r="AT342" s="1495">
        <f>IF(OR(ISBLANK(AM309),AT309=0),0,AM342*AR310)</f>
        <v>0</v>
      </c>
      <c r="AU342" s="101" cm="1">
        <f t="array" ref="AU342">IFERROR(_xlfn.LET(_xlpm.k,UPPER(TRIM(AQ342)),_xlpm.r,_xlfn.XLOOKUP(_xlpm.k,UPPER(TRIM(AM356:AV356)),AM357:AV357,_xlfn.XLOOKUP(_xlpm.k,UPPER(TRIM(AM358:AV358)),AM359:AV359)),_xlpm.r*AP342*AR342*AR310*IF(ISBLANK(AM342),1,AM342)),0)</f>
        <v>0</v>
      </c>
      <c r="AV342" s="1475" t="str">
        <f>_xlfn.LET(_xlpm.unite,SUBSTITUTE(TRIM(AQ342)," (s)",""),_xlpm.val,AU342,_xlpm.estVol,COUNTIF(AP356:AV356,_xlpm.unite)+COUNTIF(AP358:AV358,_xlpm.unite)&gt;0,_xlpm.estPoids,COUNTIF(AM356:AO356,_xlpm.unite)+COUNTIF(AM358:AO358,_xlpm.unite)&gt;0,IF(_xlpm.estVol,IF(ROUND(_xlpm.val,3)&gt;=1,ROUND(_xlpm.val,3)&amp;" L",MAX(1,ROUND(_xlpm.val*100,0))&amp;" cl"),IF(_xlpm.estPoids,IF(ROUND(_xlpm.val,3)&gt;=1,ROUND(_xlpm.val,3)&amp;" Kg",MAX(1,ROUND(_xlpm.val*1000,0))&amp;" g"),"")))</f>
        <v/>
      </c>
      <c r="BV342" s="3">
        <v>1</v>
      </c>
    </row>
    <row r="343" spans="2:74" ht="18.75">
      <c r="B343" s="104" t="str">
        <f t="shared" si="47"/>
        <v>►</v>
      </c>
      <c r="C343" s="32" t="str">
        <f>C311</f>
        <v>N NOM DE VOTRE RECETTE | | Auteur &gt; VOUS</v>
      </c>
      <c r="D343" s="33">
        <f>D311</f>
        <v>18</v>
      </c>
      <c r="E343" s="32" t="str">
        <f>E311</f>
        <v>desserts</v>
      </c>
      <c r="F343" s="34" t="str">
        <f>F311</f>
        <v>Recette mère ► Saisir le nom de la recette principale</v>
      </c>
      <c r="G343" s="92"/>
      <c r="H343" s="108"/>
      <c r="I343" s="94" t="str">
        <f t="shared" si="44"/>
        <v/>
      </c>
      <c r="J343" s="95"/>
      <c r="K343" s="126"/>
      <c r="L343" s="127">
        <v>1</v>
      </c>
      <c r="M343" s="920"/>
      <c r="N343" s="1495">
        <f>IF(OR(ISBLANK(G309),N309=0),0,G343*L310)</f>
        <v>0</v>
      </c>
      <c r="O343" s="101" cm="1">
        <f t="array" ref="O343">IFERROR(_xlfn.LET(_xlpm.k,UPPER(TRIM(K343)),_xlpm.r,_xlfn.XLOOKUP(_xlpm.k,UPPER(TRIM(G356:P356)),G357:P357,_xlfn.XLOOKUP(_xlpm.k,UPPER(TRIM(G358:P358)),G359:P359)),_xlpm.r*J343*L343*L310*IF(ISBLANK(G343),1,G343)),0)</f>
        <v>0</v>
      </c>
      <c r="P343" s="1476" t="str">
        <f>_xlfn.LET(_xlpm.unite,SUBSTITUTE(TRIM(K343)," (s)",""),_xlpm.val,O343,_xlpm.estVol,COUNTIF(J356:P356,_xlpm.unite)+COUNTIF(J358:P358,_xlpm.unite)&gt;0,_xlpm.estPoids,COUNTIF(G356:I356,_xlpm.unite)+COUNTIF(G358:I358,_xlpm.unite)&gt;0,IF(_xlpm.estVol,IF(ROUND(_xlpm.val,3)&gt;=1,ROUND(_xlpm.val,3)&amp;" L",MAX(1,ROUND(_xlpm.val*100,0))&amp;" cl"),IF(_xlpm.estPoids,IF(ROUND(_xlpm.val,3)&gt;=1,ROUND(_xlpm.val,3)&amp;" Kg",MAX(1,ROUND(_xlpm.val*1000,0))&amp;" g"),"")))</f>
        <v/>
      </c>
      <c r="R343" s="104" t="str">
        <f t="shared" si="48"/>
        <v>►</v>
      </c>
      <c r="S343" s="32" t="str">
        <f>S311</f>
        <v>N NAME OF YOUR RECIPE | |  Author &gt; YOU</v>
      </c>
      <c r="T343" s="33">
        <f>T311</f>
        <v>18</v>
      </c>
      <c r="U343" s="32" t="str">
        <f>U311</f>
        <v>desserts</v>
      </c>
      <c r="V343" s="34" t="str">
        <f>V311</f>
        <v>Master recipe ► Enter the main recipe name</v>
      </c>
      <c r="W343" s="92"/>
      <c r="X343" s="108"/>
      <c r="Y343" s="94" t="str">
        <f t="shared" si="45"/>
        <v/>
      </c>
      <c r="Z343" s="95"/>
      <c r="AA343" s="126"/>
      <c r="AB343" s="127">
        <v>1</v>
      </c>
      <c r="AC343" s="920"/>
      <c r="AD343" s="1495">
        <f>IF(OR(ISBLANK(W309),AD309=0),0,W343*AB310)</f>
        <v>0</v>
      </c>
      <c r="AE343" s="101" cm="1">
        <f t="array" ref="AE343">IFERROR(_xlfn.LET(_xlpm.k,UPPER(TRIM(AA343)),_xlpm.r,_xlfn.XLOOKUP(_xlpm.k,UPPER(TRIM(W356:AF356)),W357:AF357,_xlfn.XLOOKUP(_xlpm.k,UPPER(TRIM(W358:AF358)),W359:AF359)),_xlpm.r*Z343*AB343*AB310*IF(ISBLANK(W343),1,W343)),0)</f>
        <v>0</v>
      </c>
      <c r="AF343" s="1476" t="str">
        <f>_xlfn.LET(_xlpm.unite,SUBSTITUTE(TRIM(AA343)," (s)",""),_xlpm.val,AE343,_xlpm.estVol,COUNTIF(Z356:AF356,_xlpm.unite)+COUNTIF(Z358:AF358,_xlpm.unite)&gt;0,_xlpm.estPoids,COUNTIF(W356:Y356,_xlpm.unite)+COUNTIF(W358:Y358,_xlpm.unite)&gt;0,IF(_xlpm.estVol,IF(ROUND(_xlpm.val,3)&gt;=1,ROUND(_xlpm.val,3)&amp;" L",MAX(1,ROUND(_xlpm.val*100,0))&amp;" cl"),IF(_xlpm.estPoids,IF(ROUND(_xlpm.val,3)&gt;=1,ROUND(_xlpm.val,3)&amp;" Kg",MAX(1,ROUND(_xlpm.val*1000,0))&amp;" g"),"")))</f>
        <v/>
      </c>
      <c r="AH343" s="104" t="str">
        <f t="shared" si="49"/>
        <v>►</v>
      </c>
      <c r="AI343" s="32" t="str">
        <f>AI311</f>
        <v>N NOMBRE DE LA RECETA | | Autor &gt; USTED</v>
      </c>
      <c r="AJ343" s="33">
        <f>AJ311</f>
        <v>18</v>
      </c>
      <c r="AK343" s="32" t="str">
        <f>AK311</f>
        <v>postres</v>
      </c>
      <c r="AL343" s="34" t="str">
        <f>AL311</f>
        <v>Receta madre ► Introduzca el nombre de la receta principal</v>
      </c>
      <c r="AM343" s="92"/>
      <c r="AN343" s="108"/>
      <c r="AO343" s="94" t="str">
        <f t="shared" si="46"/>
        <v/>
      </c>
      <c r="AP343" s="95"/>
      <c r="AQ343" s="126"/>
      <c r="AR343" s="127">
        <v>1</v>
      </c>
      <c r="AS343" s="920"/>
      <c r="AT343" s="1495">
        <f>IF(OR(ISBLANK(AM309),AT309=0),0,AM343*AR310)</f>
        <v>0</v>
      </c>
      <c r="AU343" s="101" cm="1">
        <f t="array" ref="AU343">IFERROR(_xlfn.LET(_xlpm.k,UPPER(TRIM(AQ343)),_xlpm.r,_xlfn.XLOOKUP(_xlpm.k,UPPER(TRIM(AM356:AV356)),AM357:AV357,_xlfn.XLOOKUP(_xlpm.k,UPPER(TRIM(AM358:AV358)),AM359:AV359)),_xlpm.r*AP343*AR343*AR310*IF(ISBLANK(AM343),1,AM343)),0)</f>
        <v>0</v>
      </c>
      <c r="AV343" s="1476" t="str">
        <f>_xlfn.LET(_xlpm.unite,SUBSTITUTE(TRIM(AQ343)," (s)",""),_xlpm.val,AU343,_xlpm.estVol,COUNTIF(AP356:AV356,_xlpm.unite)+COUNTIF(AP358:AV358,_xlpm.unite)&gt;0,_xlpm.estPoids,COUNTIF(AM356:AO356,_xlpm.unite)+COUNTIF(AM358:AO358,_xlpm.unite)&gt;0,IF(_xlpm.estVol,IF(ROUND(_xlpm.val,3)&gt;=1,ROUND(_xlpm.val,3)&amp;" L",MAX(1,ROUND(_xlpm.val*100,0))&amp;" cl"),IF(_xlpm.estPoids,IF(ROUND(_xlpm.val,3)&gt;=1,ROUND(_xlpm.val,3)&amp;" Kg",MAX(1,ROUND(_xlpm.val*1000,0))&amp;" g"),"")))</f>
        <v/>
      </c>
      <c r="BV343" s="3">
        <v>1</v>
      </c>
    </row>
    <row r="344" spans="2:74" ht="18.75">
      <c r="B344" s="104" t="str">
        <f t="shared" si="47"/>
        <v>►</v>
      </c>
      <c r="C344" s="32" t="str">
        <f>C311</f>
        <v>N NOM DE VOTRE RECETTE | | Auteur &gt; VOUS</v>
      </c>
      <c r="D344" s="33">
        <f>D311</f>
        <v>18</v>
      </c>
      <c r="E344" s="32" t="str">
        <f>E311</f>
        <v>desserts</v>
      </c>
      <c r="F344" s="34" t="str">
        <f>F311</f>
        <v>Recette mère ► Saisir le nom de la recette principale</v>
      </c>
      <c r="G344" s="92"/>
      <c r="H344" s="108"/>
      <c r="I344" s="94" t="str">
        <f t="shared" si="44"/>
        <v/>
      </c>
      <c r="J344" s="95"/>
      <c r="K344" s="126"/>
      <c r="L344" s="127">
        <v>1</v>
      </c>
      <c r="M344" s="920"/>
      <c r="N344" s="1495">
        <f>IF(OR(ISBLANK(G309),N309=0),0,G344*L310)</f>
        <v>0</v>
      </c>
      <c r="O344" s="101" cm="1">
        <f t="array" ref="O344">IFERROR(_xlfn.LET(_xlpm.k,UPPER(TRIM(K344)),_xlpm.r,_xlfn.XLOOKUP(_xlpm.k,UPPER(TRIM(G356:P356)),G357:P357,_xlfn.XLOOKUP(_xlpm.k,UPPER(TRIM(G358:P358)),G359:P359)),_xlpm.r*J344*L344*L310*IF(ISBLANK(G344),1,G344)),0)</f>
        <v>0</v>
      </c>
      <c r="P344" s="1475" t="str">
        <f>_xlfn.LET(_xlpm.unite,SUBSTITUTE(TRIM(K344)," (s)",""),_xlpm.val,O344,_xlpm.estVol,COUNTIF(J356:P356,_xlpm.unite)+COUNTIF(J358:P358,_xlpm.unite)&gt;0,_xlpm.estPoids,COUNTIF(G356:I356,_xlpm.unite)+COUNTIF(G358:I358,_xlpm.unite)&gt;0,IF(_xlpm.estVol,IF(ROUND(_xlpm.val,3)&gt;=1,ROUND(_xlpm.val,3)&amp;" L",MAX(1,ROUND(_xlpm.val*100,0))&amp;" cl"),IF(_xlpm.estPoids,IF(ROUND(_xlpm.val,3)&gt;=1,ROUND(_xlpm.val,3)&amp;" Kg",MAX(1,ROUND(_xlpm.val*1000,0))&amp;" g"),"")))</f>
        <v/>
      </c>
      <c r="R344" s="104" t="str">
        <f t="shared" si="48"/>
        <v>►</v>
      </c>
      <c r="S344" s="32" t="str">
        <f>S311</f>
        <v>N NAME OF YOUR RECIPE | |  Author &gt; YOU</v>
      </c>
      <c r="T344" s="33">
        <f>T311</f>
        <v>18</v>
      </c>
      <c r="U344" s="32" t="str">
        <f>U311</f>
        <v>desserts</v>
      </c>
      <c r="V344" s="34" t="str">
        <f>V311</f>
        <v>Master recipe ► Enter the main recipe name</v>
      </c>
      <c r="W344" s="92"/>
      <c r="X344" s="108"/>
      <c r="Y344" s="94" t="str">
        <f t="shared" si="45"/>
        <v/>
      </c>
      <c r="Z344" s="95"/>
      <c r="AA344" s="126"/>
      <c r="AB344" s="127">
        <v>1</v>
      </c>
      <c r="AC344" s="920"/>
      <c r="AD344" s="1495">
        <f>IF(OR(ISBLANK(W309),AD309=0),0,W344*AB310)</f>
        <v>0</v>
      </c>
      <c r="AE344" s="101" cm="1">
        <f t="array" ref="AE344">IFERROR(_xlfn.LET(_xlpm.k,UPPER(TRIM(AA344)),_xlpm.r,_xlfn.XLOOKUP(_xlpm.k,UPPER(TRIM(W356:AF356)),W357:AF357,_xlfn.XLOOKUP(_xlpm.k,UPPER(TRIM(W358:AF358)),W359:AF359)),_xlpm.r*Z344*AB344*AB310*IF(ISBLANK(W344),1,W344)),0)</f>
        <v>0</v>
      </c>
      <c r="AF344" s="1475" t="str">
        <f>_xlfn.LET(_xlpm.unite,SUBSTITUTE(TRIM(AA344)," (s)",""),_xlpm.val,AE344,_xlpm.estVol,COUNTIF(Z356:AF356,_xlpm.unite)+COUNTIF(Z358:AF358,_xlpm.unite)&gt;0,_xlpm.estPoids,COUNTIF(W356:Y356,_xlpm.unite)+COUNTIF(W358:Y358,_xlpm.unite)&gt;0,IF(_xlpm.estVol,IF(ROUND(_xlpm.val,3)&gt;=1,ROUND(_xlpm.val,3)&amp;" L",MAX(1,ROUND(_xlpm.val*100,0))&amp;" cl"),IF(_xlpm.estPoids,IF(ROUND(_xlpm.val,3)&gt;=1,ROUND(_xlpm.val,3)&amp;" Kg",MAX(1,ROUND(_xlpm.val*1000,0))&amp;" g"),"")))</f>
        <v/>
      </c>
      <c r="AH344" s="104" t="str">
        <f t="shared" si="49"/>
        <v>►</v>
      </c>
      <c r="AI344" s="32" t="str">
        <f>AI311</f>
        <v>N NOMBRE DE LA RECETA | | Autor &gt; USTED</v>
      </c>
      <c r="AJ344" s="33">
        <f>AJ311</f>
        <v>18</v>
      </c>
      <c r="AK344" s="32" t="str">
        <f>AK311</f>
        <v>postres</v>
      </c>
      <c r="AL344" s="34" t="str">
        <f>AL311</f>
        <v>Receta madre ► Introduzca el nombre de la receta principal</v>
      </c>
      <c r="AM344" s="92"/>
      <c r="AN344" s="108"/>
      <c r="AO344" s="94" t="str">
        <f t="shared" si="46"/>
        <v/>
      </c>
      <c r="AP344" s="95"/>
      <c r="AQ344" s="126"/>
      <c r="AR344" s="127">
        <v>1</v>
      </c>
      <c r="AS344" s="920"/>
      <c r="AT344" s="1495">
        <f>IF(OR(ISBLANK(AM309),AT309=0),0,AM344*AR310)</f>
        <v>0</v>
      </c>
      <c r="AU344" s="101" cm="1">
        <f t="array" ref="AU344">IFERROR(_xlfn.LET(_xlpm.k,UPPER(TRIM(AQ344)),_xlpm.r,_xlfn.XLOOKUP(_xlpm.k,UPPER(TRIM(AM356:AV356)),AM357:AV357,_xlfn.XLOOKUP(_xlpm.k,UPPER(TRIM(AM358:AV358)),AM359:AV359)),_xlpm.r*AP344*AR344*AR310*IF(ISBLANK(AM344),1,AM344)),0)</f>
        <v>0</v>
      </c>
      <c r="AV344" s="1475" t="str">
        <f>_xlfn.LET(_xlpm.unite,SUBSTITUTE(TRIM(AQ344)," (s)",""),_xlpm.val,AU344,_xlpm.estVol,COUNTIF(AP356:AV356,_xlpm.unite)+COUNTIF(AP358:AV358,_xlpm.unite)&gt;0,_xlpm.estPoids,COUNTIF(AM356:AO356,_xlpm.unite)+COUNTIF(AM358:AO358,_xlpm.unite)&gt;0,IF(_xlpm.estVol,IF(ROUND(_xlpm.val,3)&gt;=1,ROUND(_xlpm.val,3)&amp;" L",MAX(1,ROUND(_xlpm.val*100,0))&amp;" cl"),IF(_xlpm.estPoids,IF(ROUND(_xlpm.val,3)&gt;=1,ROUND(_xlpm.val,3)&amp;" Kg",MAX(1,ROUND(_xlpm.val*1000,0))&amp;" g"),"")))</f>
        <v/>
      </c>
      <c r="BV344" s="3">
        <v>1</v>
      </c>
    </row>
    <row r="345" spans="2:74" ht="18.75">
      <c r="B345" s="104" t="str">
        <f t="shared" si="47"/>
        <v>►</v>
      </c>
      <c r="C345" s="32" t="str">
        <f>C311</f>
        <v>N NOM DE VOTRE RECETTE | | Auteur &gt; VOUS</v>
      </c>
      <c r="D345" s="33">
        <f>D311</f>
        <v>18</v>
      </c>
      <c r="E345" s="32" t="str">
        <f>E311</f>
        <v>desserts</v>
      </c>
      <c r="F345" s="34" t="str">
        <f>F311</f>
        <v>Recette mère ► Saisir le nom de la recette principale</v>
      </c>
      <c r="G345" s="92"/>
      <c r="H345" s="108"/>
      <c r="I345" s="94" t="str">
        <f t="shared" si="44"/>
        <v/>
      </c>
      <c r="J345" s="95"/>
      <c r="K345" s="126"/>
      <c r="L345" s="127">
        <v>1</v>
      </c>
      <c r="M345" s="920"/>
      <c r="N345" s="1495">
        <f>IF(OR(ISBLANK(G309),N309=0),0,G345*L310)</f>
        <v>0</v>
      </c>
      <c r="O345" s="101" cm="1">
        <f t="array" ref="O345">IFERROR(_xlfn.LET(_xlpm.k,UPPER(TRIM(K345)),_xlpm.r,_xlfn.XLOOKUP(_xlpm.k,UPPER(TRIM(G356:P356)),G357:P357,_xlfn.XLOOKUP(_xlpm.k,UPPER(TRIM(G358:P358)),G359:P359)),_xlpm.r*J345*L345*L310*IF(ISBLANK(G345),1,G345)),0)</f>
        <v>0</v>
      </c>
      <c r="P345" s="1476" t="str">
        <f>_xlfn.LET(_xlpm.unite,SUBSTITUTE(TRIM(K345)," (s)",""),_xlpm.val,O345,_xlpm.estVol,COUNTIF(J356:P356,_xlpm.unite)+COUNTIF(J358:P358,_xlpm.unite)&gt;0,_xlpm.estPoids,COUNTIF(G356:I356,_xlpm.unite)+COUNTIF(G358:I358,_xlpm.unite)&gt;0,IF(_xlpm.estVol,IF(ROUND(_xlpm.val,3)&gt;=1,ROUND(_xlpm.val,3)&amp;" L",MAX(1,ROUND(_xlpm.val*100,0))&amp;" cl"),IF(_xlpm.estPoids,IF(ROUND(_xlpm.val,3)&gt;=1,ROUND(_xlpm.val,3)&amp;" Kg",MAX(1,ROUND(_xlpm.val*1000,0))&amp;" g"),"")))</f>
        <v/>
      </c>
      <c r="R345" s="104" t="str">
        <f t="shared" si="48"/>
        <v>►</v>
      </c>
      <c r="S345" s="32" t="str">
        <f>S311</f>
        <v>N NAME OF YOUR RECIPE | |  Author &gt; YOU</v>
      </c>
      <c r="T345" s="33">
        <f>T311</f>
        <v>18</v>
      </c>
      <c r="U345" s="32" t="str">
        <f>U311</f>
        <v>desserts</v>
      </c>
      <c r="V345" s="34" t="str">
        <f>V311</f>
        <v>Master recipe ► Enter the main recipe name</v>
      </c>
      <c r="W345" s="92"/>
      <c r="X345" s="108"/>
      <c r="Y345" s="94" t="str">
        <f t="shared" si="45"/>
        <v/>
      </c>
      <c r="Z345" s="95"/>
      <c r="AA345" s="126"/>
      <c r="AB345" s="127">
        <v>1</v>
      </c>
      <c r="AC345" s="920"/>
      <c r="AD345" s="1495">
        <f>IF(OR(ISBLANK(W309),AD309=0),0,W345*AB310)</f>
        <v>0</v>
      </c>
      <c r="AE345" s="101" cm="1">
        <f t="array" ref="AE345">IFERROR(_xlfn.LET(_xlpm.k,UPPER(TRIM(AA345)),_xlpm.r,_xlfn.XLOOKUP(_xlpm.k,UPPER(TRIM(W356:AF356)),W357:AF357,_xlfn.XLOOKUP(_xlpm.k,UPPER(TRIM(W358:AF358)),W359:AF359)),_xlpm.r*Z345*AB345*AB310*IF(ISBLANK(W345),1,W345)),0)</f>
        <v>0</v>
      </c>
      <c r="AF345" s="1476" t="str">
        <f>_xlfn.LET(_xlpm.unite,SUBSTITUTE(TRIM(AA345)," (s)",""),_xlpm.val,AE345,_xlpm.estVol,COUNTIF(Z356:AF356,_xlpm.unite)+COUNTIF(Z358:AF358,_xlpm.unite)&gt;0,_xlpm.estPoids,COUNTIF(W356:Y356,_xlpm.unite)+COUNTIF(W358:Y358,_xlpm.unite)&gt;0,IF(_xlpm.estVol,IF(ROUND(_xlpm.val,3)&gt;=1,ROUND(_xlpm.val,3)&amp;" L",MAX(1,ROUND(_xlpm.val*100,0))&amp;" cl"),IF(_xlpm.estPoids,IF(ROUND(_xlpm.val,3)&gt;=1,ROUND(_xlpm.val,3)&amp;" Kg",MAX(1,ROUND(_xlpm.val*1000,0))&amp;" g"),"")))</f>
        <v/>
      </c>
      <c r="AH345" s="104" t="str">
        <f t="shared" si="49"/>
        <v>►</v>
      </c>
      <c r="AI345" s="32" t="str">
        <f>AI311</f>
        <v>N NOMBRE DE LA RECETA | | Autor &gt; USTED</v>
      </c>
      <c r="AJ345" s="33">
        <f>AJ311</f>
        <v>18</v>
      </c>
      <c r="AK345" s="32" t="str">
        <f>AK311</f>
        <v>postres</v>
      </c>
      <c r="AL345" s="34" t="str">
        <f>AL311</f>
        <v>Receta madre ► Introduzca el nombre de la receta principal</v>
      </c>
      <c r="AM345" s="92"/>
      <c r="AN345" s="108"/>
      <c r="AO345" s="94" t="str">
        <f t="shared" si="46"/>
        <v/>
      </c>
      <c r="AP345" s="95"/>
      <c r="AQ345" s="126"/>
      <c r="AR345" s="127">
        <v>1</v>
      </c>
      <c r="AS345" s="920"/>
      <c r="AT345" s="1495">
        <f>IF(OR(ISBLANK(AM309),AT309=0),0,AM345*AR310)</f>
        <v>0</v>
      </c>
      <c r="AU345" s="101" cm="1">
        <f t="array" ref="AU345">IFERROR(_xlfn.LET(_xlpm.k,UPPER(TRIM(AQ345)),_xlpm.r,_xlfn.XLOOKUP(_xlpm.k,UPPER(TRIM(AM356:AV356)),AM357:AV357,_xlfn.XLOOKUP(_xlpm.k,UPPER(TRIM(AM358:AV358)),AM359:AV359)),_xlpm.r*AP345*AR345*AR310*IF(ISBLANK(AM345),1,AM345)),0)</f>
        <v>0</v>
      </c>
      <c r="AV345" s="1476" t="str">
        <f>_xlfn.LET(_xlpm.unite,SUBSTITUTE(TRIM(AQ345)," (s)",""),_xlpm.val,AU345,_xlpm.estVol,COUNTIF(AP356:AV356,_xlpm.unite)+COUNTIF(AP358:AV358,_xlpm.unite)&gt;0,_xlpm.estPoids,COUNTIF(AM356:AO356,_xlpm.unite)+COUNTIF(AM358:AO358,_xlpm.unite)&gt;0,IF(_xlpm.estVol,IF(ROUND(_xlpm.val,3)&gt;=1,ROUND(_xlpm.val,3)&amp;" L",MAX(1,ROUND(_xlpm.val*100,0))&amp;" cl"),IF(_xlpm.estPoids,IF(ROUND(_xlpm.val,3)&gt;=1,ROUND(_xlpm.val,3)&amp;" Kg",MAX(1,ROUND(_xlpm.val*1000,0))&amp;" g"),"")))</f>
        <v/>
      </c>
      <c r="BV345" s="3">
        <v>1</v>
      </c>
    </row>
    <row r="346" spans="2:74" ht="18.75">
      <c r="B346" s="104" t="str">
        <f t="shared" si="47"/>
        <v>►</v>
      </c>
      <c r="C346" s="32" t="str">
        <f>C311</f>
        <v>N NOM DE VOTRE RECETTE | | Auteur &gt; VOUS</v>
      </c>
      <c r="D346" s="33">
        <f>D311</f>
        <v>18</v>
      </c>
      <c r="E346" s="32" t="str">
        <f>E311</f>
        <v>desserts</v>
      </c>
      <c r="F346" s="34" t="str">
        <f>F311</f>
        <v>Recette mère ► Saisir le nom de la recette principale</v>
      </c>
      <c r="G346" s="92"/>
      <c r="H346" s="108"/>
      <c r="I346" s="94" t="str">
        <f t="shared" si="44"/>
        <v/>
      </c>
      <c r="J346" s="95"/>
      <c r="K346" s="126"/>
      <c r="L346" s="127">
        <v>1</v>
      </c>
      <c r="M346" s="920"/>
      <c r="N346" s="1495">
        <f>IF(OR(ISBLANK(G309),N309=0),0,G346*L310)</f>
        <v>0</v>
      </c>
      <c r="O346" s="101" cm="1">
        <f t="array" ref="O346">IFERROR(_xlfn.LET(_xlpm.k,UPPER(TRIM(K346)),_xlpm.r,_xlfn.XLOOKUP(_xlpm.k,UPPER(TRIM(G356:P356)),G357:P357,_xlfn.XLOOKUP(_xlpm.k,UPPER(TRIM(G358:P358)),G359:P359)),_xlpm.r*J346*L346*L310*IF(ISBLANK(G346),1,G346)),0)</f>
        <v>0</v>
      </c>
      <c r="P346" s="1475" t="str">
        <f>_xlfn.LET(_xlpm.unite,SUBSTITUTE(TRIM(K346)," (s)",""),_xlpm.val,O346,_xlpm.estVol,COUNTIF(J356:P356,_xlpm.unite)+COUNTIF(J358:P358,_xlpm.unite)&gt;0,_xlpm.estPoids,COUNTIF(G356:I356,_xlpm.unite)+COUNTIF(G358:I358,_xlpm.unite)&gt;0,IF(_xlpm.estVol,IF(ROUND(_xlpm.val,3)&gt;=1,ROUND(_xlpm.val,3)&amp;" L",MAX(1,ROUND(_xlpm.val*100,0))&amp;" cl"),IF(_xlpm.estPoids,IF(ROUND(_xlpm.val,3)&gt;=1,ROUND(_xlpm.val,3)&amp;" Kg",MAX(1,ROUND(_xlpm.val*1000,0))&amp;" g"),"")))</f>
        <v/>
      </c>
      <c r="R346" s="104" t="str">
        <f t="shared" si="48"/>
        <v>►</v>
      </c>
      <c r="S346" s="32" t="str">
        <f>S311</f>
        <v>N NAME OF YOUR RECIPE | |  Author &gt; YOU</v>
      </c>
      <c r="T346" s="33">
        <f>T311</f>
        <v>18</v>
      </c>
      <c r="U346" s="32" t="str">
        <f>U311</f>
        <v>desserts</v>
      </c>
      <c r="V346" s="34" t="str">
        <f>V311</f>
        <v>Master recipe ► Enter the main recipe name</v>
      </c>
      <c r="W346" s="92"/>
      <c r="X346" s="108"/>
      <c r="Y346" s="94" t="str">
        <f t="shared" si="45"/>
        <v/>
      </c>
      <c r="Z346" s="95"/>
      <c r="AA346" s="126"/>
      <c r="AB346" s="127">
        <v>1</v>
      </c>
      <c r="AC346" s="920"/>
      <c r="AD346" s="1495">
        <f>IF(OR(ISBLANK(W309),AD309=0),0,W346*AB310)</f>
        <v>0</v>
      </c>
      <c r="AE346" s="101" cm="1">
        <f t="array" ref="AE346">IFERROR(_xlfn.LET(_xlpm.k,UPPER(TRIM(AA346)),_xlpm.r,_xlfn.XLOOKUP(_xlpm.k,UPPER(TRIM(W356:AF356)),W357:AF357,_xlfn.XLOOKUP(_xlpm.k,UPPER(TRIM(W358:AF358)),W359:AF359)),_xlpm.r*Z346*AB346*AB310*IF(ISBLANK(W346),1,W346)),0)</f>
        <v>0</v>
      </c>
      <c r="AF346" s="1475" t="str">
        <f>_xlfn.LET(_xlpm.unite,SUBSTITUTE(TRIM(AA346)," (s)",""),_xlpm.val,AE346,_xlpm.estVol,COUNTIF(Z356:AF356,_xlpm.unite)+COUNTIF(Z358:AF358,_xlpm.unite)&gt;0,_xlpm.estPoids,COUNTIF(W356:Y356,_xlpm.unite)+COUNTIF(W358:Y358,_xlpm.unite)&gt;0,IF(_xlpm.estVol,IF(ROUND(_xlpm.val,3)&gt;=1,ROUND(_xlpm.val,3)&amp;" L",MAX(1,ROUND(_xlpm.val*100,0))&amp;" cl"),IF(_xlpm.estPoids,IF(ROUND(_xlpm.val,3)&gt;=1,ROUND(_xlpm.val,3)&amp;" Kg",MAX(1,ROUND(_xlpm.val*1000,0))&amp;" g"),"")))</f>
        <v/>
      </c>
      <c r="AH346" s="104" t="str">
        <f t="shared" si="49"/>
        <v>►</v>
      </c>
      <c r="AI346" s="32" t="str">
        <f>AI311</f>
        <v>N NOMBRE DE LA RECETA | | Autor &gt; USTED</v>
      </c>
      <c r="AJ346" s="33">
        <f>AJ311</f>
        <v>18</v>
      </c>
      <c r="AK346" s="32" t="str">
        <f>AK311</f>
        <v>postres</v>
      </c>
      <c r="AL346" s="34" t="str">
        <f>AL311</f>
        <v>Receta madre ► Introduzca el nombre de la receta principal</v>
      </c>
      <c r="AM346" s="92"/>
      <c r="AN346" s="108"/>
      <c r="AO346" s="94" t="str">
        <f t="shared" si="46"/>
        <v/>
      </c>
      <c r="AP346" s="95"/>
      <c r="AQ346" s="126"/>
      <c r="AR346" s="127">
        <v>1</v>
      </c>
      <c r="AS346" s="920"/>
      <c r="AT346" s="1495">
        <f>IF(OR(ISBLANK(AM309),AT309=0),0,AM346*AR310)</f>
        <v>0</v>
      </c>
      <c r="AU346" s="101" cm="1">
        <f t="array" ref="AU346">IFERROR(_xlfn.LET(_xlpm.k,UPPER(TRIM(AQ346)),_xlpm.r,_xlfn.XLOOKUP(_xlpm.k,UPPER(TRIM(AM356:AV356)),AM357:AV357,_xlfn.XLOOKUP(_xlpm.k,UPPER(TRIM(AM358:AV358)),AM359:AV359)),_xlpm.r*AP346*AR346*AR310*IF(ISBLANK(AM346),1,AM346)),0)</f>
        <v>0</v>
      </c>
      <c r="AV346" s="1475" t="str">
        <f>_xlfn.LET(_xlpm.unite,SUBSTITUTE(TRIM(AQ346)," (s)",""),_xlpm.val,AU346,_xlpm.estVol,COUNTIF(AP356:AV356,_xlpm.unite)+COUNTIF(AP358:AV358,_xlpm.unite)&gt;0,_xlpm.estPoids,COUNTIF(AM356:AO356,_xlpm.unite)+COUNTIF(AM358:AO358,_xlpm.unite)&gt;0,IF(_xlpm.estVol,IF(ROUND(_xlpm.val,3)&gt;=1,ROUND(_xlpm.val,3)&amp;" L",MAX(1,ROUND(_xlpm.val*100,0))&amp;" cl"),IF(_xlpm.estPoids,IF(ROUND(_xlpm.val,3)&gt;=1,ROUND(_xlpm.val,3)&amp;" Kg",MAX(1,ROUND(_xlpm.val*1000,0))&amp;" g"),"")))</f>
        <v/>
      </c>
      <c r="BV346" s="3">
        <v>1</v>
      </c>
    </row>
    <row r="347" spans="2:74" ht="18.75">
      <c r="B347" s="104" t="str">
        <f t="shared" si="47"/>
        <v>►</v>
      </c>
      <c r="C347" s="32" t="str">
        <f>C311</f>
        <v>N NOM DE VOTRE RECETTE | | Auteur &gt; VOUS</v>
      </c>
      <c r="D347" s="33">
        <f>D311</f>
        <v>18</v>
      </c>
      <c r="E347" s="32" t="str">
        <f>E311</f>
        <v>desserts</v>
      </c>
      <c r="F347" s="34" t="str">
        <f>F311</f>
        <v>Recette mère ► Saisir le nom de la recette principale</v>
      </c>
      <c r="G347" s="92"/>
      <c r="H347" s="108"/>
      <c r="I347" s="94" t="str">
        <f t="shared" si="44"/>
        <v/>
      </c>
      <c r="J347" s="95"/>
      <c r="K347" s="126"/>
      <c r="L347" s="127">
        <v>1</v>
      </c>
      <c r="M347" s="920"/>
      <c r="N347" s="1495">
        <f>IF(OR(ISBLANK(G309),N309=0),0,G347*L310)</f>
        <v>0</v>
      </c>
      <c r="O347" s="101" cm="1">
        <f t="array" ref="O347">IFERROR(_xlfn.LET(_xlpm.k,UPPER(TRIM(K347)),_xlpm.r,_xlfn.XLOOKUP(_xlpm.k,UPPER(TRIM(G356:P356)),G357:P357,_xlfn.XLOOKUP(_xlpm.k,UPPER(TRIM(G358:P358)),G359:P359)),_xlpm.r*J347*L347*L310*IF(ISBLANK(G347),1,G347)),0)</f>
        <v>0</v>
      </c>
      <c r="P347" s="1476" t="str">
        <f>_xlfn.LET(_xlpm.unite,SUBSTITUTE(TRIM(K347)," (s)",""),_xlpm.val,O347,_xlpm.estVol,COUNTIF(J356:P356,_xlpm.unite)+COUNTIF(J358:P358,_xlpm.unite)&gt;0,_xlpm.estPoids,COUNTIF(G356:I356,_xlpm.unite)+COUNTIF(G358:I358,_xlpm.unite)&gt;0,IF(_xlpm.estVol,IF(ROUND(_xlpm.val,3)&gt;=1,ROUND(_xlpm.val,3)&amp;" L",MAX(1,ROUND(_xlpm.val*100,0))&amp;" cl"),IF(_xlpm.estPoids,IF(ROUND(_xlpm.val,3)&gt;=1,ROUND(_xlpm.val,3)&amp;" Kg",MAX(1,ROUND(_xlpm.val*1000,0))&amp;" g"),"")))</f>
        <v/>
      </c>
      <c r="R347" s="104" t="str">
        <f t="shared" si="48"/>
        <v>►</v>
      </c>
      <c r="S347" s="32" t="str">
        <f>S311</f>
        <v>N NAME OF YOUR RECIPE | |  Author &gt; YOU</v>
      </c>
      <c r="T347" s="33">
        <f>T311</f>
        <v>18</v>
      </c>
      <c r="U347" s="32" t="str">
        <f>U311</f>
        <v>desserts</v>
      </c>
      <c r="V347" s="34" t="str">
        <f>V311</f>
        <v>Master recipe ► Enter the main recipe name</v>
      </c>
      <c r="W347" s="92"/>
      <c r="X347" s="108"/>
      <c r="Y347" s="94" t="str">
        <f t="shared" si="45"/>
        <v/>
      </c>
      <c r="Z347" s="95"/>
      <c r="AA347" s="126"/>
      <c r="AB347" s="127">
        <v>1</v>
      </c>
      <c r="AC347" s="920"/>
      <c r="AD347" s="1495">
        <f>IF(OR(ISBLANK(W309),AD309=0),0,W347*AB310)</f>
        <v>0</v>
      </c>
      <c r="AE347" s="101" cm="1">
        <f t="array" ref="AE347">IFERROR(_xlfn.LET(_xlpm.k,UPPER(TRIM(AA347)),_xlpm.r,_xlfn.XLOOKUP(_xlpm.k,UPPER(TRIM(W356:AF356)),W357:AF357,_xlfn.XLOOKUP(_xlpm.k,UPPER(TRIM(W358:AF358)),W359:AF359)),_xlpm.r*Z347*AB347*AB310*IF(ISBLANK(W347),1,W347)),0)</f>
        <v>0</v>
      </c>
      <c r="AF347" s="1476" t="str">
        <f>_xlfn.LET(_xlpm.unite,SUBSTITUTE(TRIM(AA347)," (s)",""),_xlpm.val,AE347,_xlpm.estVol,COUNTIF(Z356:AF356,_xlpm.unite)+COUNTIF(Z358:AF358,_xlpm.unite)&gt;0,_xlpm.estPoids,COUNTIF(W356:Y356,_xlpm.unite)+COUNTIF(W358:Y358,_xlpm.unite)&gt;0,IF(_xlpm.estVol,IF(ROUND(_xlpm.val,3)&gt;=1,ROUND(_xlpm.val,3)&amp;" L",MAX(1,ROUND(_xlpm.val*100,0))&amp;" cl"),IF(_xlpm.estPoids,IF(ROUND(_xlpm.val,3)&gt;=1,ROUND(_xlpm.val,3)&amp;" Kg",MAX(1,ROUND(_xlpm.val*1000,0))&amp;" g"),"")))</f>
        <v/>
      </c>
      <c r="AH347" s="104" t="str">
        <f t="shared" si="49"/>
        <v>►</v>
      </c>
      <c r="AI347" s="32" t="str">
        <f>AI311</f>
        <v>N NOMBRE DE LA RECETA | | Autor &gt; USTED</v>
      </c>
      <c r="AJ347" s="33">
        <f>AJ311</f>
        <v>18</v>
      </c>
      <c r="AK347" s="32" t="str">
        <f>AK311</f>
        <v>postres</v>
      </c>
      <c r="AL347" s="34" t="str">
        <f>AL311</f>
        <v>Receta madre ► Introduzca el nombre de la receta principal</v>
      </c>
      <c r="AM347" s="92"/>
      <c r="AN347" s="108"/>
      <c r="AO347" s="94" t="str">
        <f t="shared" si="46"/>
        <v/>
      </c>
      <c r="AP347" s="95"/>
      <c r="AQ347" s="126"/>
      <c r="AR347" s="127">
        <v>1</v>
      </c>
      <c r="AS347" s="920"/>
      <c r="AT347" s="1495">
        <f>IF(OR(ISBLANK(AM309),AT309=0),0,AM347*AR310)</f>
        <v>0</v>
      </c>
      <c r="AU347" s="101" cm="1">
        <f t="array" ref="AU347">IFERROR(_xlfn.LET(_xlpm.k,UPPER(TRIM(AQ347)),_xlpm.r,_xlfn.XLOOKUP(_xlpm.k,UPPER(TRIM(AM356:AV356)),AM357:AV357,_xlfn.XLOOKUP(_xlpm.k,UPPER(TRIM(AM358:AV358)),AM359:AV359)),_xlpm.r*AP347*AR347*AR310*IF(ISBLANK(AM347),1,AM347)),0)</f>
        <v>0</v>
      </c>
      <c r="AV347" s="1476" t="str">
        <f>_xlfn.LET(_xlpm.unite,SUBSTITUTE(TRIM(AQ347)," (s)",""),_xlpm.val,AU347,_xlpm.estVol,COUNTIF(AP356:AV356,_xlpm.unite)+COUNTIF(AP358:AV358,_xlpm.unite)&gt;0,_xlpm.estPoids,COUNTIF(AM356:AO356,_xlpm.unite)+COUNTIF(AM358:AO358,_xlpm.unite)&gt;0,IF(_xlpm.estVol,IF(ROUND(_xlpm.val,3)&gt;=1,ROUND(_xlpm.val,3)&amp;" L",MAX(1,ROUND(_xlpm.val*100,0))&amp;" cl"),IF(_xlpm.estPoids,IF(ROUND(_xlpm.val,3)&gt;=1,ROUND(_xlpm.val,3)&amp;" Kg",MAX(1,ROUND(_xlpm.val*1000,0))&amp;" g"),"")))</f>
        <v/>
      </c>
      <c r="BV347" s="3">
        <v>1</v>
      </c>
    </row>
    <row r="348" spans="2:74" ht="18.75">
      <c r="B348" s="104" t="str">
        <f t="shared" si="47"/>
        <v>►</v>
      </c>
      <c r="C348" s="32" t="str">
        <f>C311</f>
        <v>N NOM DE VOTRE RECETTE | | Auteur &gt; VOUS</v>
      </c>
      <c r="D348" s="33">
        <f>D311</f>
        <v>18</v>
      </c>
      <c r="E348" s="32" t="str">
        <f>E311</f>
        <v>desserts</v>
      </c>
      <c r="F348" s="34" t="str">
        <f>F311</f>
        <v>Recette mère ► Saisir le nom de la recette principale</v>
      </c>
      <c r="G348" s="92"/>
      <c r="H348" s="108"/>
      <c r="I348" s="94" t="str">
        <f t="shared" si="44"/>
        <v/>
      </c>
      <c r="J348" s="95"/>
      <c r="K348" s="126"/>
      <c r="L348" s="127">
        <v>1</v>
      </c>
      <c r="M348" s="920"/>
      <c r="N348" s="1495">
        <f>IF(OR(ISBLANK(G309),N309=0),0,G348*L310)</f>
        <v>0</v>
      </c>
      <c r="O348" s="101" cm="1">
        <f t="array" ref="O348">IFERROR(_xlfn.LET(_xlpm.k,UPPER(TRIM(K348)),_xlpm.r,_xlfn.XLOOKUP(_xlpm.k,UPPER(TRIM(G356:P356)),G357:P357,_xlfn.XLOOKUP(_xlpm.k,UPPER(TRIM(G358:P358)),G359:P359)),_xlpm.r*J348*L348*L310*IF(ISBLANK(G348),1,G348)),0)</f>
        <v>0</v>
      </c>
      <c r="P348" s="1475" t="str">
        <f>_xlfn.LET(_xlpm.unite,SUBSTITUTE(TRIM(K348)," (s)",""),_xlpm.val,O348,_xlpm.estVol,COUNTIF(J356:P356,_xlpm.unite)+COUNTIF(J358:P358,_xlpm.unite)&gt;0,_xlpm.estPoids,COUNTIF(G356:I356,_xlpm.unite)+COUNTIF(G358:I358,_xlpm.unite)&gt;0,IF(_xlpm.estVol,IF(ROUND(_xlpm.val,3)&gt;=1,ROUND(_xlpm.val,3)&amp;" L",MAX(1,ROUND(_xlpm.val*100,0))&amp;" cl"),IF(_xlpm.estPoids,IF(ROUND(_xlpm.val,3)&gt;=1,ROUND(_xlpm.val,3)&amp;" Kg",MAX(1,ROUND(_xlpm.val*1000,0))&amp;" g"),"")))</f>
        <v/>
      </c>
      <c r="R348" s="104" t="str">
        <f t="shared" si="48"/>
        <v>►</v>
      </c>
      <c r="S348" s="32" t="str">
        <f>S311</f>
        <v>N NAME OF YOUR RECIPE | |  Author &gt; YOU</v>
      </c>
      <c r="T348" s="33">
        <f>T311</f>
        <v>18</v>
      </c>
      <c r="U348" s="32" t="str">
        <f>U311</f>
        <v>desserts</v>
      </c>
      <c r="V348" s="34" t="str">
        <f>V311</f>
        <v>Master recipe ► Enter the main recipe name</v>
      </c>
      <c r="W348" s="92"/>
      <c r="X348" s="108"/>
      <c r="Y348" s="94" t="str">
        <f t="shared" si="45"/>
        <v/>
      </c>
      <c r="Z348" s="95"/>
      <c r="AA348" s="126"/>
      <c r="AB348" s="127">
        <v>1</v>
      </c>
      <c r="AC348" s="920"/>
      <c r="AD348" s="1495">
        <f>IF(OR(ISBLANK(W309),AD309=0),0,W348*AB310)</f>
        <v>0</v>
      </c>
      <c r="AE348" s="101" cm="1">
        <f t="array" ref="AE348">IFERROR(_xlfn.LET(_xlpm.k,UPPER(TRIM(AA348)),_xlpm.r,_xlfn.XLOOKUP(_xlpm.k,UPPER(TRIM(W356:AF356)),W357:AF357,_xlfn.XLOOKUP(_xlpm.k,UPPER(TRIM(W358:AF358)),W359:AF359)),_xlpm.r*Z348*AB348*AB310*IF(ISBLANK(W348),1,W348)),0)</f>
        <v>0</v>
      </c>
      <c r="AF348" s="1475" t="str">
        <f>_xlfn.LET(_xlpm.unite,SUBSTITUTE(TRIM(AA348)," (s)",""),_xlpm.val,AE348,_xlpm.estVol,COUNTIF(Z356:AF356,_xlpm.unite)+COUNTIF(Z358:AF358,_xlpm.unite)&gt;0,_xlpm.estPoids,COUNTIF(W356:Y356,_xlpm.unite)+COUNTIF(W358:Y358,_xlpm.unite)&gt;0,IF(_xlpm.estVol,IF(ROUND(_xlpm.val,3)&gt;=1,ROUND(_xlpm.val,3)&amp;" L",MAX(1,ROUND(_xlpm.val*100,0))&amp;" cl"),IF(_xlpm.estPoids,IF(ROUND(_xlpm.val,3)&gt;=1,ROUND(_xlpm.val,3)&amp;" Kg",MAX(1,ROUND(_xlpm.val*1000,0))&amp;" g"),"")))</f>
        <v/>
      </c>
      <c r="AH348" s="104" t="str">
        <f t="shared" si="49"/>
        <v>►</v>
      </c>
      <c r="AI348" s="32" t="str">
        <f>AI311</f>
        <v>N NOMBRE DE LA RECETA | | Autor &gt; USTED</v>
      </c>
      <c r="AJ348" s="33">
        <f>AJ311</f>
        <v>18</v>
      </c>
      <c r="AK348" s="32" t="str">
        <f>AK311</f>
        <v>postres</v>
      </c>
      <c r="AL348" s="34" t="str">
        <f>AL311</f>
        <v>Receta madre ► Introduzca el nombre de la receta principal</v>
      </c>
      <c r="AM348" s="92"/>
      <c r="AN348" s="108"/>
      <c r="AO348" s="94" t="str">
        <f t="shared" si="46"/>
        <v/>
      </c>
      <c r="AP348" s="95"/>
      <c r="AQ348" s="126"/>
      <c r="AR348" s="127">
        <v>1</v>
      </c>
      <c r="AS348" s="920"/>
      <c r="AT348" s="1495">
        <f>IF(OR(ISBLANK(AM309),AT309=0),0,AM348*AR310)</f>
        <v>0</v>
      </c>
      <c r="AU348" s="101" cm="1">
        <f t="array" ref="AU348">IFERROR(_xlfn.LET(_xlpm.k,UPPER(TRIM(AQ348)),_xlpm.r,_xlfn.XLOOKUP(_xlpm.k,UPPER(TRIM(AM356:AV356)),AM357:AV357,_xlfn.XLOOKUP(_xlpm.k,UPPER(TRIM(AM358:AV358)),AM359:AV359)),_xlpm.r*AP348*AR348*AR310*IF(ISBLANK(AM348),1,AM348)),0)</f>
        <v>0</v>
      </c>
      <c r="AV348" s="1475" t="str">
        <f>_xlfn.LET(_xlpm.unite,SUBSTITUTE(TRIM(AQ348)," (s)",""),_xlpm.val,AU348,_xlpm.estVol,COUNTIF(AP356:AV356,_xlpm.unite)+COUNTIF(AP358:AV358,_xlpm.unite)&gt;0,_xlpm.estPoids,COUNTIF(AM356:AO356,_xlpm.unite)+COUNTIF(AM358:AO358,_xlpm.unite)&gt;0,IF(_xlpm.estVol,IF(ROUND(_xlpm.val,3)&gt;=1,ROUND(_xlpm.val,3)&amp;" L",MAX(1,ROUND(_xlpm.val*100,0))&amp;" cl"),IF(_xlpm.estPoids,IF(ROUND(_xlpm.val,3)&gt;=1,ROUND(_xlpm.val,3)&amp;" Kg",MAX(1,ROUND(_xlpm.val*1000,0))&amp;" g"),"")))</f>
        <v/>
      </c>
      <c r="BV348" s="3">
        <v>1</v>
      </c>
    </row>
    <row r="349" spans="2:74" ht="15.75" customHeight="1">
      <c r="B349" s="104" t="str">
        <f t="shared" si="47"/>
        <v>►</v>
      </c>
      <c r="C349" s="32" t="str">
        <f>C311</f>
        <v>N NOM DE VOTRE RECETTE | | Auteur &gt; VOUS</v>
      </c>
      <c r="D349" s="33">
        <f>D311</f>
        <v>18</v>
      </c>
      <c r="E349" s="32" t="str">
        <f>E311</f>
        <v>desserts</v>
      </c>
      <c r="F349" s="34" t="str">
        <f>F311</f>
        <v>Recette mère ► Saisir le nom de la recette principale</v>
      </c>
      <c r="G349" s="92"/>
      <c r="H349" s="108"/>
      <c r="I349" s="94" t="str">
        <f t="shared" si="44"/>
        <v/>
      </c>
      <c r="J349" s="95"/>
      <c r="K349" s="126"/>
      <c r="L349" s="127">
        <v>1</v>
      </c>
      <c r="M349" s="920"/>
      <c r="N349" s="1495">
        <f>IF(OR(ISBLANK(G309),N309=0),0,G349*L310)</f>
        <v>0</v>
      </c>
      <c r="O349" s="101" cm="1">
        <f t="array" ref="O349">IFERROR(_xlfn.LET(_xlpm.k,UPPER(TRIM(K349)),_xlpm.r,_xlfn.XLOOKUP(_xlpm.k,UPPER(TRIM(G356:P356)),G357:P357,_xlfn.XLOOKUP(_xlpm.k,UPPER(TRIM(G358:P358)),G359:P359)),_xlpm.r*J349*L349*L310*IF(ISBLANK(G349),1,G349)),0)</f>
        <v>0</v>
      </c>
      <c r="P349" s="1475" t="str">
        <f>_xlfn.LET(_xlpm.unite,SUBSTITUTE(TRIM(K349)," (s)",""),_xlpm.val,O349,_xlpm.estVol,COUNTIF(J356:P356,_xlpm.unite)+COUNTIF(J358:P358,_xlpm.unite)&gt;0,_xlpm.estPoids,COUNTIF(G356:I356,_xlpm.unite)+COUNTIF(G358:I358,_xlpm.unite)&gt;0,IF(_xlpm.estVol,IF(ROUND(_xlpm.val,3)&gt;=1,ROUND(_xlpm.val,3)&amp;" L",MAX(1,ROUND(_xlpm.val*100,0))&amp;" cl"),IF(_xlpm.estPoids,IF(ROUND(_xlpm.val,3)&gt;=1,ROUND(_xlpm.val,3)&amp;" Kg",MAX(1,ROUND(_xlpm.val*1000,0))&amp;" g"),"")))</f>
        <v/>
      </c>
      <c r="R349" s="104" t="str">
        <f t="shared" si="48"/>
        <v>►</v>
      </c>
      <c r="S349" s="32" t="str">
        <f>S311</f>
        <v>N NAME OF YOUR RECIPE | |  Author &gt; YOU</v>
      </c>
      <c r="T349" s="33">
        <f>T311</f>
        <v>18</v>
      </c>
      <c r="U349" s="32" t="str">
        <f>U311</f>
        <v>desserts</v>
      </c>
      <c r="V349" s="34" t="str">
        <f>V311</f>
        <v>Master recipe ► Enter the main recipe name</v>
      </c>
      <c r="W349" s="92"/>
      <c r="X349" s="108"/>
      <c r="Y349" s="94" t="str">
        <f t="shared" si="45"/>
        <v/>
      </c>
      <c r="Z349" s="95"/>
      <c r="AA349" s="126"/>
      <c r="AB349" s="127">
        <v>1</v>
      </c>
      <c r="AC349" s="920"/>
      <c r="AD349" s="1495">
        <f>IF(OR(ISBLANK(W309),AD309=0),0,W349*AB310)</f>
        <v>0</v>
      </c>
      <c r="AE349" s="101" cm="1">
        <f t="array" ref="AE349">IFERROR(_xlfn.LET(_xlpm.k,UPPER(TRIM(AA349)),_xlpm.r,_xlfn.XLOOKUP(_xlpm.k,UPPER(TRIM(W356:AF356)),W357:AF357,_xlfn.XLOOKUP(_xlpm.k,UPPER(TRIM(W358:AF358)),W359:AF359)),_xlpm.r*Z349*AB349*AB310*IF(ISBLANK(W349),1,W349)),0)</f>
        <v>0</v>
      </c>
      <c r="AF349" s="1475" t="str">
        <f>_xlfn.LET(_xlpm.unite,SUBSTITUTE(TRIM(AA349)," (s)",""),_xlpm.val,AE349,_xlpm.estVol,COUNTIF(Z356:AF356,_xlpm.unite)+COUNTIF(Z358:AF358,_xlpm.unite)&gt;0,_xlpm.estPoids,COUNTIF(W356:Y356,_xlpm.unite)+COUNTIF(W358:Y358,_xlpm.unite)&gt;0,IF(_xlpm.estVol,IF(ROUND(_xlpm.val,3)&gt;=1,ROUND(_xlpm.val,3)&amp;" L",MAX(1,ROUND(_xlpm.val*100,0))&amp;" cl"),IF(_xlpm.estPoids,IF(ROUND(_xlpm.val,3)&gt;=1,ROUND(_xlpm.val,3)&amp;" Kg",MAX(1,ROUND(_xlpm.val*1000,0))&amp;" g"),"")))</f>
        <v/>
      </c>
      <c r="AH349" s="104" t="str">
        <f t="shared" si="49"/>
        <v>►</v>
      </c>
      <c r="AI349" s="32" t="str">
        <f>AI311</f>
        <v>N NOMBRE DE LA RECETA | | Autor &gt; USTED</v>
      </c>
      <c r="AJ349" s="33">
        <f>AJ311</f>
        <v>18</v>
      </c>
      <c r="AK349" s="32" t="str">
        <f>AK311</f>
        <v>postres</v>
      </c>
      <c r="AL349" s="34" t="str">
        <f>AL311</f>
        <v>Receta madre ► Introduzca el nombre de la receta principal</v>
      </c>
      <c r="AM349" s="92"/>
      <c r="AN349" s="108"/>
      <c r="AO349" s="94" t="str">
        <f t="shared" si="46"/>
        <v/>
      </c>
      <c r="AP349" s="95"/>
      <c r="AQ349" s="126"/>
      <c r="AR349" s="127">
        <v>1</v>
      </c>
      <c r="AS349" s="920"/>
      <c r="AT349" s="1495">
        <f>IF(OR(ISBLANK(AM309),AT309=0),0,AM349*AR310)</f>
        <v>0</v>
      </c>
      <c r="AU349" s="101" cm="1">
        <f t="array" ref="AU349">IFERROR(_xlfn.LET(_xlpm.k,UPPER(TRIM(AQ349)),_xlpm.r,_xlfn.XLOOKUP(_xlpm.k,UPPER(TRIM(AM356:AV356)),AM357:AV357,_xlfn.XLOOKUP(_xlpm.k,UPPER(TRIM(AM358:AV358)),AM359:AV359)),_xlpm.r*AP349*AR349*AR310*IF(ISBLANK(AM349),1,AM349)),0)</f>
        <v>0</v>
      </c>
      <c r="AV349" s="1475" t="str">
        <f>_xlfn.LET(_xlpm.unite,SUBSTITUTE(TRIM(AQ349)," (s)",""),_xlpm.val,AU349,_xlpm.estVol,COUNTIF(AP356:AV356,_xlpm.unite)+COUNTIF(AP358:AV358,_xlpm.unite)&gt;0,_xlpm.estPoids,COUNTIF(AM356:AO356,_xlpm.unite)+COUNTIF(AM358:AO358,_xlpm.unite)&gt;0,IF(_xlpm.estVol,IF(ROUND(_xlpm.val,3)&gt;=1,ROUND(_xlpm.val,3)&amp;" L",MAX(1,ROUND(_xlpm.val*100,0))&amp;" cl"),IF(_xlpm.estPoids,IF(ROUND(_xlpm.val,3)&gt;=1,ROUND(_xlpm.val,3)&amp;" Kg",MAX(1,ROUND(_xlpm.val*1000,0))&amp;" g"),"")))</f>
        <v/>
      </c>
      <c r="BV349" s="3">
        <v>1</v>
      </c>
    </row>
    <row r="350" spans="2:74" ht="18.75">
      <c r="B350" s="104" t="str">
        <f t="shared" si="47"/>
        <v>►</v>
      </c>
      <c r="C350" s="32" t="str">
        <f>C311</f>
        <v>N NOM DE VOTRE RECETTE | | Auteur &gt; VOUS</v>
      </c>
      <c r="D350" s="33">
        <f>D311</f>
        <v>18</v>
      </c>
      <c r="E350" s="32" t="str">
        <f>E311</f>
        <v>desserts</v>
      </c>
      <c r="F350" s="34" t="str">
        <f>F311</f>
        <v>Recette mère ► Saisir le nom de la recette principale</v>
      </c>
      <c r="G350" s="92"/>
      <c r="H350" s="108"/>
      <c r="I350" s="94" t="str">
        <f t="shared" si="44"/>
        <v/>
      </c>
      <c r="J350" s="95"/>
      <c r="K350" s="126"/>
      <c r="L350" s="127">
        <v>1</v>
      </c>
      <c r="M350" s="920"/>
      <c r="N350" s="1495">
        <f>IF(OR(ISBLANK(G309),N309=0),0,G350*L310)</f>
        <v>0</v>
      </c>
      <c r="O350" s="101" cm="1">
        <f t="array" ref="O350">IFERROR(_xlfn.LET(_xlpm.k,UPPER(TRIM(K350)),_xlpm.r,_xlfn.XLOOKUP(_xlpm.k,UPPER(TRIM(G356:P356)),G357:P357,_xlfn.XLOOKUP(_xlpm.k,UPPER(TRIM(G358:P358)),G359:P359)),_xlpm.r*J350*L350*L310*IF(ISBLANK(G350),1,G350)),0)</f>
        <v>0</v>
      </c>
      <c r="P350" s="1476" t="str">
        <f>_xlfn.LET(_xlpm.unite,SUBSTITUTE(TRIM(K350)," (s)",""),_xlpm.val,O350,_xlpm.estVol,COUNTIF(J356:P356,_xlpm.unite)+COUNTIF(J358:P358,_xlpm.unite)&gt;0,_xlpm.estPoids,COUNTIF(G356:I356,_xlpm.unite)+COUNTIF(G358:I358,_xlpm.unite)&gt;0,IF(_xlpm.estVol,IF(ROUND(_xlpm.val,3)&gt;=1,ROUND(_xlpm.val,3)&amp;" L",MAX(1,ROUND(_xlpm.val*100,0))&amp;" cl"),IF(_xlpm.estPoids,IF(ROUND(_xlpm.val,3)&gt;=1,ROUND(_xlpm.val,3)&amp;" Kg",MAX(1,ROUND(_xlpm.val*1000,0))&amp;" g"),"")))</f>
        <v/>
      </c>
      <c r="R350" s="104" t="str">
        <f t="shared" si="48"/>
        <v>►</v>
      </c>
      <c r="S350" s="32" t="str">
        <f>S311</f>
        <v>N NAME OF YOUR RECIPE | |  Author &gt; YOU</v>
      </c>
      <c r="T350" s="33">
        <f>T311</f>
        <v>18</v>
      </c>
      <c r="U350" s="32" t="str">
        <f>U311</f>
        <v>desserts</v>
      </c>
      <c r="V350" s="34" t="str">
        <f>V311</f>
        <v>Master recipe ► Enter the main recipe name</v>
      </c>
      <c r="W350" s="92"/>
      <c r="X350" s="108"/>
      <c r="Y350" s="94" t="str">
        <f t="shared" si="45"/>
        <v/>
      </c>
      <c r="Z350" s="95"/>
      <c r="AA350" s="126"/>
      <c r="AB350" s="127">
        <v>1</v>
      </c>
      <c r="AC350" s="920"/>
      <c r="AD350" s="1495">
        <f>IF(OR(ISBLANK(W309),AD309=0),0,W350*AB310)</f>
        <v>0</v>
      </c>
      <c r="AE350" s="101" cm="1">
        <f t="array" ref="AE350">IFERROR(_xlfn.LET(_xlpm.k,UPPER(TRIM(AA350)),_xlpm.r,_xlfn.XLOOKUP(_xlpm.k,UPPER(TRIM(W356:AF356)),W357:AF357,_xlfn.XLOOKUP(_xlpm.k,UPPER(TRIM(W358:AF358)),W359:AF359)),_xlpm.r*Z350*AB350*AB310*IF(ISBLANK(W350),1,W350)),0)</f>
        <v>0</v>
      </c>
      <c r="AF350" s="1476" t="str">
        <f>_xlfn.LET(_xlpm.unite,SUBSTITUTE(TRIM(AA350)," (s)",""),_xlpm.val,AE350,_xlpm.estVol,COUNTIF(Z356:AF356,_xlpm.unite)+COUNTIF(Z358:AF358,_xlpm.unite)&gt;0,_xlpm.estPoids,COUNTIF(W356:Y356,_xlpm.unite)+COUNTIF(W358:Y358,_xlpm.unite)&gt;0,IF(_xlpm.estVol,IF(ROUND(_xlpm.val,3)&gt;=1,ROUND(_xlpm.val,3)&amp;" L",MAX(1,ROUND(_xlpm.val*100,0))&amp;" cl"),IF(_xlpm.estPoids,IF(ROUND(_xlpm.val,3)&gt;=1,ROUND(_xlpm.val,3)&amp;" Kg",MAX(1,ROUND(_xlpm.val*1000,0))&amp;" g"),"")))</f>
        <v/>
      </c>
      <c r="AH350" s="104" t="str">
        <f t="shared" si="49"/>
        <v>►</v>
      </c>
      <c r="AI350" s="32" t="str">
        <f>AI311</f>
        <v>N NOMBRE DE LA RECETA | | Autor &gt; USTED</v>
      </c>
      <c r="AJ350" s="33">
        <f>AJ311</f>
        <v>18</v>
      </c>
      <c r="AK350" s="32" t="str">
        <f>AK311</f>
        <v>postres</v>
      </c>
      <c r="AL350" s="34" t="str">
        <f>AL311</f>
        <v>Receta madre ► Introduzca el nombre de la receta principal</v>
      </c>
      <c r="AM350" s="92"/>
      <c r="AN350" s="108"/>
      <c r="AO350" s="94" t="str">
        <f t="shared" si="46"/>
        <v/>
      </c>
      <c r="AP350" s="95"/>
      <c r="AQ350" s="126"/>
      <c r="AR350" s="127">
        <v>1</v>
      </c>
      <c r="AS350" s="920"/>
      <c r="AT350" s="1495">
        <f>IF(OR(ISBLANK(AM309),AT309=0),0,AM350*AR310)</f>
        <v>0</v>
      </c>
      <c r="AU350" s="101" cm="1">
        <f t="array" ref="AU350">IFERROR(_xlfn.LET(_xlpm.k,UPPER(TRIM(AQ350)),_xlpm.r,_xlfn.XLOOKUP(_xlpm.k,UPPER(TRIM(AM356:AV356)),AM357:AV357,_xlfn.XLOOKUP(_xlpm.k,UPPER(TRIM(AM358:AV358)),AM359:AV359)),_xlpm.r*AP350*AR350*AR310*IF(ISBLANK(AM350),1,AM350)),0)</f>
        <v>0</v>
      </c>
      <c r="AV350" s="1476" t="str">
        <f>_xlfn.LET(_xlpm.unite,SUBSTITUTE(TRIM(AQ350)," (s)",""),_xlpm.val,AU350,_xlpm.estVol,COUNTIF(AP356:AV356,_xlpm.unite)+COUNTIF(AP358:AV358,_xlpm.unite)&gt;0,_xlpm.estPoids,COUNTIF(AM356:AO356,_xlpm.unite)+COUNTIF(AM358:AO358,_xlpm.unite)&gt;0,IF(_xlpm.estVol,IF(ROUND(_xlpm.val,3)&gt;=1,ROUND(_xlpm.val,3)&amp;" L",MAX(1,ROUND(_xlpm.val*100,0))&amp;" cl"),IF(_xlpm.estPoids,IF(ROUND(_xlpm.val,3)&gt;=1,ROUND(_xlpm.val,3)&amp;" Kg",MAX(1,ROUND(_xlpm.val*1000,0))&amp;" g"),"")))</f>
        <v/>
      </c>
      <c r="BV350" s="3">
        <v>1</v>
      </c>
    </row>
    <row r="351" spans="2:74" ht="18.75">
      <c r="B351" s="104" t="str">
        <f t="shared" si="47"/>
        <v>►</v>
      </c>
      <c r="C351" s="32" t="str">
        <f>C311</f>
        <v>N NOM DE VOTRE RECETTE | | Auteur &gt; VOUS</v>
      </c>
      <c r="D351" s="33">
        <f>D311</f>
        <v>18</v>
      </c>
      <c r="E351" s="32" t="str">
        <f>E311</f>
        <v>desserts</v>
      </c>
      <c r="F351" s="34" t="str">
        <f>F311</f>
        <v>Recette mère ► Saisir le nom de la recette principale</v>
      </c>
      <c r="G351" s="92"/>
      <c r="H351" s="108"/>
      <c r="I351" s="94" t="str">
        <f t="shared" si="44"/>
        <v/>
      </c>
      <c r="J351" s="95"/>
      <c r="K351" s="126"/>
      <c r="L351" s="127">
        <v>1</v>
      </c>
      <c r="M351" s="920"/>
      <c r="N351" s="1495">
        <f>IF(OR(ISBLANK(G309),N309=0),0,G351*L310)</f>
        <v>0</v>
      </c>
      <c r="O351" s="101" cm="1">
        <f t="array" ref="O351">IFERROR(_xlfn.LET(_xlpm.k,UPPER(TRIM(K351)),_xlpm.r,_xlfn.XLOOKUP(_xlpm.k,UPPER(TRIM(G356:P356)),G357:P357,_xlfn.XLOOKUP(_xlpm.k,UPPER(TRIM(G358:P358)),G359:P359)),_xlpm.r*J351*L351*L310*IF(ISBLANK(G351),1,G351)),0)</f>
        <v>0</v>
      </c>
      <c r="P351" s="1475" t="str">
        <f>_xlfn.LET(_xlpm.unite,SUBSTITUTE(TRIM(K351)," (s)",""),_xlpm.val,O351,_xlpm.estVol,COUNTIF(J356:P356,_xlpm.unite)+COUNTIF(J358:P358,_xlpm.unite)&gt;0,_xlpm.estPoids,COUNTIF(G356:I356,_xlpm.unite)+COUNTIF(G358:I358,_xlpm.unite)&gt;0,IF(_xlpm.estVol,IF(ROUND(_xlpm.val,3)&gt;=1,ROUND(_xlpm.val,3)&amp;" L",MAX(1,ROUND(_xlpm.val*100,0))&amp;" cl"),IF(_xlpm.estPoids,IF(ROUND(_xlpm.val,3)&gt;=1,ROUND(_xlpm.val,3)&amp;" Kg",MAX(1,ROUND(_xlpm.val*1000,0))&amp;" g"),"")))</f>
        <v/>
      </c>
      <c r="R351" s="104" t="str">
        <f t="shared" si="48"/>
        <v>►</v>
      </c>
      <c r="S351" s="32" t="str">
        <f>S311</f>
        <v>N NAME OF YOUR RECIPE | |  Author &gt; YOU</v>
      </c>
      <c r="T351" s="33">
        <f>T311</f>
        <v>18</v>
      </c>
      <c r="U351" s="32" t="str">
        <f>U311</f>
        <v>desserts</v>
      </c>
      <c r="V351" s="34" t="str">
        <f>V311</f>
        <v>Master recipe ► Enter the main recipe name</v>
      </c>
      <c r="W351" s="92"/>
      <c r="X351" s="108"/>
      <c r="Y351" s="94" t="str">
        <f t="shared" si="45"/>
        <v/>
      </c>
      <c r="Z351" s="95"/>
      <c r="AA351" s="126"/>
      <c r="AB351" s="127">
        <v>1</v>
      </c>
      <c r="AC351" s="920"/>
      <c r="AD351" s="1495">
        <f>IF(OR(ISBLANK(W309),AD309=0),0,W351*AB310)</f>
        <v>0</v>
      </c>
      <c r="AE351" s="101" cm="1">
        <f t="array" ref="AE351">IFERROR(_xlfn.LET(_xlpm.k,UPPER(TRIM(AA351)),_xlpm.r,_xlfn.XLOOKUP(_xlpm.k,UPPER(TRIM(W356:AF356)),W357:AF357,_xlfn.XLOOKUP(_xlpm.k,UPPER(TRIM(W358:AF358)),W359:AF359)),_xlpm.r*Z351*AB351*AB310*IF(ISBLANK(W351),1,W351)),0)</f>
        <v>0</v>
      </c>
      <c r="AF351" s="1475" t="str">
        <f>_xlfn.LET(_xlpm.unite,SUBSTITUTE(TRIM(AA351)," (s)",""),_xlpm.val,AE351,_xlpm.estVol,COUNTIF(Z356:AF356,_xlpm.unite)+COUNTIF(Z358:AF358,_xlpm.unite)&gt;0,_xlpm.estPoids,COUNTIF(W356:Y356,_xlpm.unite)+COUNTIF(W358:Y358,_xlpm.unite)&gt;0,IF(_xlpm.estVol,IF(ROUND(_xlpm.val,3)&gt;=1,ROUND(_xlpm.val,3)&amp;" L",MAX(1,ROUND(_xlpm.val*100,0))&amp;" cl"),IF(_xlpm.estPoids,IF(ROUND(_xlpm.val,3)&gt;=1,ROUND(_xlpm.val,3)&amp;" Kg",MAX(1,ROUND(_xlpm.val*1000,0))&amp;" g"),"")))</f>
        <v/>
      </c>
      <c r="AH351" s="104" t="str">
        <f t="shared" si="49"/>
        <v>►</v>
      </c>
      <c r="AI351" s="32" t="str">
        <f>AI311</f>
        <v>N NOMBRE DE LA RECETA | | Autor &gt; USTED</v>
      </c>
      <c r="AJ351" s="33">
        <f>AJ311</f>
        <v>18</v>
      </c>
      <c r="AK351" s="32" t="str">
        <f>AK311</f>
        <v>postres</v>
      </c>
      <c r="AL351" s="34" t="str">
        <f>AL311</f>
        <v>Receta madre ► Introduzca el nombre de la receta principal</v>
      </c>
      <c r="AM351" s="92"/>
      <c r="AN351" s="108"/>
      <c r="AO351" s="94" t="str">
        <f t="shared" si="46"/>
        <v/>
      </c>
      <c r="AP351" s="95"/>
      <c r="AQ351" s="126"/>
      <c r="AR351" s="127">
        <v>1</v>
      </c>
      <c r="AS351" s="920"/>
      <c r="AT351" s="1495">
        <f>IF(OR(ISBLANK(AM309),AT309=0),0,AM351*AR310)</f>
        <v>0</v>
      </c>
      <c r="AU351" s="101" cm="1">
        <f t="array" ref="AU351">IFERROR(_xlfn.LET(_xlpm.k,UPPER(TRIM(AQ351)),_xlpm.r,_xlfn.XLOOKUP(_xlpm.k,UPPER(TRIM(AM356:AV356)),AM357:AV357,_xlfn.XLOOKUP(_xlpm.k,UPPER(TRIM(AM358:AV358)),AM359:AV359)),_xlpm.r*AP351*AR351*AR310*IF(ISBLANK(AM351),1,AM351)),0)</f>
        <v>0</v>
      </c>
      <c r="AV351" s="1475" t="str">
        <f>_xlfn.LET(_xlpm.unite,SUBSTITUTE(TRIM(AQ351)," (s)",""),_xlpm.val,AU351,_xlpm.estVol,COUNTIF(AP356:AV356,_xlpm.unite)+COUNTIF(AP358:AV358,_xlpm.unite)&gt;0,_xlpm.estPoids,COUNTIF(AM356:AO356,_xlpm.unite)+COUNTIF(AM358:AO358,_xlpm.unite)&gt;0,IF(_xlpm.estVol,IF(ROUND(_xlpm.val,3)&gt;=1,ROUND(_xlpm.val,3)&amp;" L",MAX(1,ROUND(_xlpm.val*100,0))&amp;" cl"),IF(_xlpm.estPoids,IF(ROUND(_xlpm.val,3)&gt;=1,ROUND(_xlpm.val,3)&amp;" Kg",MAX(1,ROUND(_xlpm.val*1000,0))&amp;" g"),"")))</f>
        <v/>
      </c>
      <c r="BV351" s="3">
        <v>1</v>
      </c>
    </row>
    <row r="352" spans="2:74" ht="18.75">
      <c r="B352" s="104" t="str">
        <f t="shared" si="47"/>
        <v>►</v>
      </c>
      <c r="C352" s="32" t="str">
        <f>C311</f>
        <v>N NOM DE VOTRE RECETTE | | Auteur &gt; VOUS</v>
      </c>
      <c r="D352" s="33">
        <f>D311</f>
        <v>18</v>
      </c>
      <c r="E352" s="32" t="str">
        <f>E311</f>
        <v>desserts</v>
      </c>
      <c r="F352" s="34" t="str">
        <f>F311</f>
        <v>Recette mère ► Saisir le nom de la recette principale</v>
      </c>
      <c r="G352" s="92"/>
      <c r="H352" s="108"/>
      <c r="I352" s="94" t="str">
        <f t="shared" si="44"/>
        <v/>
      </c>
      <c r="J352" s="95"/>
      <c r="K352" s="126"/>
      <c r="L352" s="127">
        <v>1</v>
      </c>
      <c r="M352" s="920"/>
      <c r="N352" s="1495">
        <f>IF(OR(ISBLANK(G309),N309=0),0,G352*L310)</f>
        <v>0</v>
      </c>
      <c r="O352" s="101" cm="1">
        <f t="array" ref="O352">IFERROR(_xlfn.LET(_xlpm.k,UPPER(TRIM(K352)),_xlpm.r,_xlfn.XLOOKUP(_xlpm.k,UPPER(TRIM(G356:P356)),G357:P357,_xlfn.XLOOKUP(_xlpm.k,UPPER(TRIM(G358:P358)),G359:P359)),_xlpm.r*J352*L352*L310*IF(ISBLANK(G352),1,G352)),0)</f>
        <v>0</v>
      </c>
      <c r="P352" s="1476" t="str">
        <f>_xlfn.LET(_xlpm.unite,SUBSTITUTE(TRIM(K352)," (s)",""),_xlpm.val,O352,_xlpm.estVol,COUNTIF(J356:P356,_xlpm.unite)+COUNTIF(J358:P358,_xlpm.unite)&gt;0,_xlpm.estPoids,COUNTIF(G356:I356,_xlpm.unite)+COUNTIF(G358:I358,_xlpm.unite)&gt;0,IF(_xlpm.estVol,IF(ROUND(_xlpm.val,3)&gt;=1,ROUND(_xlpm.val,3)&amp;" L",MAX(1,ROUND(_xlpm.val*100,0))&amp;" cl"),IF(_xlpm.estPoids,IF(ROUND(_xlpm.val,3)&gt;=1,ROUND(_xlpm.val,3)&amp;" Kg",MAX(1,ROUND(_xlpm.val*1000,0))&amp;" g"),"")))</f>
        <v/>
      </c>
      <c r="R352" s="104" t="str">
        <f t="shared" si="48"/>
        <v>►</v>
      </c>
      <c r="S352" s="32" t="str">
        <f>S311</f>
        <v>N NAME OF YOUR RECIPE | |  Author &gt; YOU</v>
      </c>
      <c r="T352" s="33">
        <f>T311</f>
        <v>18</v>
      </c>
      <c r="U352" s="32" t="str">
        <f>U311</f>
        <v>desserts</v>
      </c>
      <c r="V352" s="34" t="str">
        <f>V311</f>
        <v>Master recipe ► Enter the main recipe name</v>
      </c>
      <c r="W352" s="92"/>
      <c r="X352" s="108"/>
      <c r="Y352" s="94" t="str">
        <f t="shared" si="45"/>
        <v/>
      </c>
      <c r="Z352" s="95"/>
      <c r="AA352" s="126"/>
      <c r="AB352" s="127">
        <v>1</v>
      </c>
      <c r="AC352" s="920"/>
      <c r="AD352" s="1495">
        <f>IF(OR(ISBLANK(W309),AD309=0),0,W352*AB310)</f>
        <v>0</v>
      </c>
      <c r="AE352" s="101" cm="1">
        <f t="array" ref="AE352">IFERROR(_xlfn.LET(_xlpm.k,UPPER(TRIM(AA352)),_xlpm.r,_xlfn.XLOOKUP(_xlpm.k,UPPER(TRIM(W356:AF356)),W357:AF357,_xlfn.XLOOKUP(_xlpm.k,UPPER(TRIM(W358:AF358)),W359:AF359)),_xlpm.r*Z352*AB352*AB310*IF(ISBLANK(W352),1,W352)),0)</f>
        <v>0</v>
      </c>
      <c r="AF352" s="1476" t="str">
        <f>_xlfn.LET(_xlpm.unite,SUBSTITUTE(TRIM(AA352)," (s)",""),_xlpm.val,AE352,_xlpm.estVol,COUNTIF(Z356:AF356,_xlpm.unite)+COUNTIF(Z358:AF358,_xlpm.unite)&gt;0,_xlpm.estPoids,COUNTIF(W356:Y356,_xlpm.unite)+COUNTIF(W358:Y358,_xlpm.unite)&gt;0,IF(_xlpm.estVol,IF(ROUND(_xlpm.val,3)&gt;=1,ROUND(_xlpm.val,3)&amp;" L",MAX(1,ROUND(_xlpm.val*100,0))&amp;" cl"),IF(_xlpm.estPoids,IF(ROUND(_xlpm.val,3)&gt;=1,ROUND(_xlpm.val,3)&amp;" Kg",MAX(1,ROUND(_xlpm.val*1000,0))&amp;" g"),"")))</f>
        <v/>
      </c>
      <c r="AH352" s="104" t="str">
        <f t="shared" si="49"/>
        <v>►</v>
      </c>
      <c r="AI352" s="32" t="str">
        <f>AI311</f>
        <v>N NOMBRE DE LA RECETA | | Autor &gt; USTED</v>
      </c>
      <c r="AJ352" s="33">
        <f>AJ311</f>
        <v>18</v>
      </c>
      <c r="AK352" s="32" t="str">
        <f>AK311</f>
        <v>postres</v>
      </c>
      <c r="AL352" s="34" t="str">
        <f>AL311</f>
        <v>Receta madre ► Introduzca el nombre de la receta principal</v>
      </c>
      <c r="AM352" s="92"/>
      <c r="AN352" s="108"/>
      <c r="AO352" s="94" t="str">
        <f t="shared" si="46"/>
        <v/>
      </c>
      <c r="AP352" s="95"/>
      <c r="AQ352" s="126"/>
      <c r="AR352" s="127">
        <v>1</v>
      </c>
      <c r="AS352" s="920"/>
      <c r="AT352" s="1495">
        <f>IF(OR(ISBLANK(AM309),AT309=0),0,AM352*AR310)</f>
        <v>0</v>
      </c>
      <c r="AU352" s="101" cm="1">
        <f t="array" ref="AU352">IFERROR(_xlfn.LET(_xlpm.k,UPPER(TRIM(AQ352)),_xlpm.r,_xlfn.XLOOKUP(_xlpm.k,UPPER(TRIM(AM356:AV356)),AM357:AV357,_xlfn.XLOOKUP(_xlpm.k,UPPER(TRIM(AM358:AV358)),AM359:AV359)),_xlpm.r*AP352*AR352*AR310*IF(ISBLANK(AM352),1,AM352)),0)</f>
        <v>0</v>
      </c>
      <c r="AV352" s="1476" t="str">
        <f>_xlfn.LET(_xlpm.unite,SUBSTITUTE(TRIM(AQ352)," (s)",""),_xlpm.val,AU352,_xlpm.estVol,COUNTIF(AP356:AV356,_xlpm.unite)+COUNTIF(AP358:AV358,_xlpm.unite)&gt;0,_xlpm.estPoids,COUNTIF(AM356:AO356,_xlpm.unite)+COUNTIF(AM358:AO358,_xlpm.unite)&gt;0,IF(_xlpm.estVol,IF(ROUND(_xlpm.val,3)&gt;=1,ROUND(_xlpm.val,3)&amp;" L",MAX(1,ROUND(_xlpm.val*100,0))&amp;" cl"),IF(_xlpm.estPoids,IF(ROUND(_xlpm.val,3)&gt;=1,ROUND(_xlpm.val,3)&amp;" Kg",MAX(1,ROUND(_xlpm.val*1000,0))&amp;" g"),"")))</f>
        <v/>
      </c>
      <c r="BV352" s="3">
        <v>1</v>
      </c>
    </row>
    <row r="353" spans="2:74" ht="18.75">
      <c r="B353" s="104" t="str">
        <f t="shared" si="47"/>
        <v>►</v>
      </c>
      <c r="C353" s="32" t="str">
        <f>C311</f>
        <v>N NOM DE VOTRE RECETTE | | Auteur &gt; VOUS</v>
      </c>
      <c r="D353" s="33">
        <f>D311</f>
        <v>18</v>
      </c>
      <c r="E353" s="32" t="str">
        <f>E311</f>
        <v>desserts</v>
      </c>
      <c r="F353" s="34" t="str">
        <f>F311</f>
        <v>Recette mère ► Saisir le nom de la recette principale</v>
      </c>
      <c r="G353" s="92"/>
      <c r="H353" s="108"/>
      <c r="I353" s="94" t="str">
        <f t="shared" si="44"/>
        <v/>
      </c>
      <c r="J353" s="95"/>
      <c r="K353" s="126"/>
      <c r="L353" s="127">
        <v>1</v>
      </c>
      <c r="M353" s="920"/>
      <c r="N353" s="1495">
        <f>IF(OR(ISBLANK(G309),N309=0),0,G353*L310)</f>
        <v>0</v>
      </c>
      <c r="O353" s="101" cm="1">
        <f t="array" ref="O353">IFERROR(_xlfn.LET(_xlpm.k,UPPER(TRIM(K353)),_xlpm.r,_xlfn.XLOOKUP(_xlpm.k,UPPER(TRIM(G356:P356)),G357:P357,_xlfn.XLOOKUP(_xlpm.k,UPPER(TRIM(G358:P358)),G359:P359)),_xlpm.r*J353*L353*L310*IF(ISBLANK(G353),1,G353)),0)</f>
        <v>0</v>
      </c>
      <c r="P353" s="1475" t="str">
        <f>_xlfn.LET(_xlpm.unite,SUBSTITUTE(TRIM(K353)," (s)",""),_xlpm.val,O353,_xlpm.estVol,COUNTIF(J356:P356,_xlpm.unite)+COUNTIF(J358:P358,_xlpm.unite)&gt;0,_xlpm.estPoids,COUNTIF(G356:I356,_xlpm.unite)+COUNTIF(G358:I358,_xlpm.unite)&gt;0,IF(_xlpm.estVol,IF(ROUND(_xlpm.val,3)&gt;=1,ROUND(_xlpm.val,3)&amp;" L",MAX(1,ROUND(_xlpm.val*100,0))&amp;" cl"),IF(_xlpm.estPoids,IF(ROUND(_xlpm.val,3)&gt;=1,ROUND(_xlpm.val,3)&amp;" Kg",MAX(1,ROUND(_xlpm.val*1000,0))&amp;" g"),"")))</f>
        <v/>
      </c>
      <c r="R353" s="104" t="str">
        <f t="shared" si="48"/>
        <v>►</v>
      </c>
      <c r="S353" s="32" t="str">
        <f>S311</f>
        <v>N NAME OF YOUR RECIPE | |  Author &gt; YOU</v>
      </c>
      <c r="T353" s="33">
        <f>T311</f>
        <v>18</v>
      </c>
      <c r="U353" s="32" t="str">
        <f>U311</f>
        <v>desserts</v>
      </c>
      <c r="V353" s="34" t="str">
        <f>V311</f>
        <v>Master recipe ► Enter the main recipe name</v>
      </c>
      <c r="W353" s="92"/>
      <c r="X353" s="108"/>
      <c r="Y353" s="94" t="str">
        <f t="shared" si="45"/>
        <v/>
      </c>
      <c r="Z353" s="95"/>
      <c r="AA353" s="126"/>
      <c r="AB353" s="127">
        <v>1</v>
      </c>
      <c r="AC353" s="920"/>
      <c r="AD353" s="1495">
        <f>IF(OR(ISBLANK(W309),AD309=0),0,W353*AB310)</f>
        <v>0</v>
      </c>
      <c r="AE353" s="101" cm="1">
        <f t="array" ref="AE353">IFERROR(_xlfn.LET(_xlpm.k,UPPER(TRIM(AA353)),_xlpm.r,_xlfn.XLOOKUP(_xlpm.k,UPPER(TRIM(W356:AF356)),W357:AF357,_xlfn.XLOOKUP(_xlpm.k,UPPER(TRIM(W358:AF358)),W359:AF359)),_xlpm.r*Z353*AB353*AB310*IF(ISBLANK(W353),1,W353)),0)</f>
        <v>0</v>
      </c>
      <c r="AF353" s="1475" t="str">
        <f>_xlfn.LET(_xlpm.unite,SUBSTITUTE(TRIM(AA353)," (s)",""),_xlpm.val,AE353,_xlpm.estVol,COUNTIF(Z356:AF356,_xlpm.unite)+COUNTIF(Z358:AF358,_xlpm.unite)&gt;0,_xlpm.estPoids,COUNTIF(W356:Y356,_xlpm.unite)+COUNTIF(W358:Y358,_xlpm.unite)&gt;0,IF(_xlpm.estVol,IF(ROUND(_xlpm.val,3)&gt;=1,ROUND(_xlpm.val,3)&amp;" L",MAX(1,ROUND(_xlpm.val*100,0))&amp;" cl"),IF(_xlpm.estPoids,IF(ROUND(_xlpm.val,3)&gt;=1,ROUND(_xlpm.val,3)&amp;" Kg",MAX(1,ROUND(_xlpm.val*1000,0))&amp;" g"),"")))</f>
        <v/>
      </c>
      <c r="AH353" s="104" t="str">
        <f t="shared" si="49"/>
        <v>►</v>
      </c>
      <c r="AI353" s="32" t="str">
        <f>AI311</f>
        <v>N NOMBRE DE LA RECETA | | Autor &gt; USTED</v>
      </c>
      <c r="AJ353" s="33">
        <f>AJ311</f>
        <v>18</v>
      </c>
      <c r="AK353" s="32" t="str">
        <f>AK311</f>
        <v>postres</v>
      </c>
      <c r="AL353" s="34" t="str">
        <f>AL311</f>
        <v>Receta madre ► Introduzca el nombre de la receta principal</v>
      </c>
      <c r="AM353" s="92"/>
      <c r="AN353" s="108"/>
      <c r="AO353" s="94" t="str">
        <f t="shared" si="46"/>
        <v/>
      </c>
      <c r="AP353" s="95"/>
      <c r="AQ353" s="126"/>
      <c r="AR353" s="127">
        <v>1</v>
      </c>
      <c r="AS353" s="920"/>
      <c r="AT353" s="1495">
        <f>IF(OR(ISBLANK(AM309),AT309=0),0,AM353*AR310)</f>
        <v>0</v>
      </c>
      <c r="AU353" s="101" cm="1">
        <f t="array" ref="AU353">IFERROR(_xlfn.LET(_xlpm.k,UPPER(TRIM(AQ353)),_xlpm.r,_xlfn.XLOOKUP(_xlpm.k,UPPER(TRIM(AM356:AV356)),AM357:AV357,_xlfn.XLOOKUP(_xlpm.k,UPPER(TRIM(AM358:AV358)),AM359:AV359)),_xlpm.r*AP353*AR353*AR310*IF(ISBLANK(AM353),1,AM353)),0)</f>
        <v>0</v>
      </c>
      <c r="AV353" s="1475" t="str">
        <f>_xlfn.LET(_xlpm.unite,SUBSTITUTE(TRIM(AQ353)," (s)",""),_xlpm.val,AU353,_xlpm.estVol,COUNTIF(AP356:AV356,_xlpm.unite)+COUNTIF(AP358:AV358,_xlpm.unite)&gt;0,_xlpm.estPoids,COUNTIF(AM356:AO356,_xlpm.unite)+COUNTIF(AM358:AO358,_xlpm.unite)&gt;0,IF(_xlpm.estVol,IF(ROUND(_xlpm.val,3)&gt;=1,ROUND(_xlpm.val,3)&amp;" L",MAX(1,ROUND(_xlpm.val*100,0))&amp;" cl"),IF(_xlpm.estPoids,IF(ROUND(_xlpm.val,3)&gt;=1,ROUND(_xlpm.val,3)&amp;" Kg",MAX(1,ROUND(_xlpm.val*1000,0))&amp;" g"),"")))</f>
        <v/>
      </c>
      <c r="BV353" s="3">
        <v>1</v>
      </c>
    </row>
    <row r="354" spans="2:74" ht="18.75">
      <c r="B354" s="104" t="str">
        <f t="shared" si="47"/>
        <v>►</v>
      </c>
      <c r="C354" s="32" t="str">
        <f>C311</f>
        <v>N NOM DE VOTRE RECETTE | | Auteur &gt; VOUS</v>
      </c>
      <c r="D354" s="33">
        <f>D311</f>
        <v>18</v>
      </c>
      <c r="E354" s="32" t="str">
        <f>E311</f>
        <v>desserts</v>
      </c>
      <c r="F354" s="34" t="str">
        <f>F311</f>
        <v>Recette mère ► Saisir le nom de la recette principale</v>
      </c>
      <c r="G354" s="92"/>
      <c r="H354" s="108"/>
      <c r="I354" s="94" t="str">
        <f t="shared" si="44"/>
        <v/>
      </c>
      <c r="J354" s="95"/>
      <c r="K354" s="126"/>
      <c r="L354" s="127">
        <v>1</v>
      </c>
      <c r="M354" s="920"/>
      <c r="N354" s="1495">
        <f>IF(OR(ISBLANK(G309),N309=0),0,G354*L310)</f>
        <v>0</v>
      </c>
      <c r="O354" s="101" cm="1">
        <f t="array" ref="O354">IFERROR(_xlfn.LET(_xlpm.k,UPPER(TRIM(K354)),_xlpm.r,_xlfn.XLOOKUP(_xlpm.k,UPPER(TRIM(G356:P356)),G357:P357,_xlfn.XLOOKUP(_xlpm.k,UPPER(TRIM(G358:P358)),G359:P359)),_xlpm.r*J354*L354*L310*IF(ISBLANK(G354),1,G354)),0)</f>
        <v>0</v>
      </c>
      <c r="P354" s="1476" t="str">
        <f>_xlfn.LET(_xlpm.unite,SUBSTITUTE(TRIM(K354)," (s)",""),_xlpm.val,O354,_xlpm.estVol,COUNTIF(J356:P356,_xlpm.unite)+COUNTIF(J358:P358,_xlpm.unite)&gt;0,_xlpm.estPoids,COUNTIF(G356:I356,_xlpm.unite)+COUNTIF(G358:I358,_xlpm.unite)&gt;0,IF(_xlpm.estVol,IF(ROUND(_xlpm.val,3)&gt;=1,ROUND(_xlpm.val,3)&amp;" L",MAX(1,ROUND(_xlpm.val*100,0))&amp;" cl"),IF(_xlpm.estPoids,IF(ROUND(_xlpm.val,3)&gt;=1,ROUND(_xlpm.val,3)&amp;" Kg",MAX(1,ROUND(_xlpm.val*1000,0))&amp;" g"),"")))</f>
        <v/>
      </c>
      <c r="R354" s="104" t="str">
        <f t="shared" si="48"/>
        <v>►</v>
      </c>
      <c r="S354" s="32" t="str">
        <f>S311</f>
        <v>N NAME OF YOUR RECIPE | |  Author &gt; YOU</v>
      </c>
      <c r="T354" s="33">
        <f>T311</f>
        <v>18</v>
      </c>
      <c r="U354" s="32" t="str">
        <f>U311</f>
        <v>desserts</v>
      </c>
      <c r="V354" s="34" t="str">
        <f>V311</f>
        <v>Master recipe ► Enter the main recipe name</v>
      </c>
      <c r="W354" s="92"/>
      <c r="X354" s="108"/>
      <c r="Y354" s="94" t="str">
        <f t="shared" si="45"/>
        <v/>
      </c>
      <c r="Z354" s="95"/>
      <c r="AA354" s="126"/>
      <c r="AB354" s="127">
        <v>1</v>
      </c>
      <c r="AC354" s="920"/>
      <c r="AD354" s="1495">
        <f>IF(OR(ISBLANK(W309),AD309=0),0,W354*AB310)</f>
        <v>0</v>
      </c>
      <c r="AE354" s="101" cm="1">
        <f t="array" ref="AE354">IFERROR(_xlfn.LET(_xlpm.k,UPPER(TRIM(AA354)),_xlpm.r,_xlfn.XLOOKUP(_xlpm.k,UPPER(TRIM(W356:AF356)),W357:AF357,_xlfn.XLOOKUP(_xlpm.k,UPPER(TRIM(W358:AF358)),W359:AF359)),_xlpm.r*Z354*AB354*AB310*IF(ISBLANK(W354),1,W354)),0)</f>
        <v>0</v>
      </c>
      <c r="AF354" s="1476" t="str">
        <f>_xlfn.LET(_xlpm.unite,SUBSTITUTE(TRIM(AA354)," (s)",""),_xlpm.val,AE354,_xlpm.estVol,COUNTIF(Z356:AF356,_xlpm.unite)+COUNTIF(Z358:AF358,_xlpm.unite)&gt;0,_xlpm.estPoids,COUNTIF(W356:Y356,_xlpm.unite)+COUNTIF(W358:Y358,_xlpm.unite)&gt;0,IF(_xlpm.estVol,IF(ROUND(_xlpm.val,3)&gt;=1,ROUND(_xlpm.val,3)&amp;" L",MAX(1,ROUND(_xlpm.val*100,0))&amp;" cl"),IF(_xlpm.estPoids,IF(ROUND(_xlpm.val,3)&gt;=1,ROUND(_xlpm.val,3)&amp;" Kg",MAX(1,ROUND(_xlpm.val*1000,0))&amp;" g"),"")))</f>
        <v/>
      </c>
      <c r="AH354" s="104" t="str">
        <f t="shared" si="49"/>
        <v>►</v>
      </c>
      <c r="AI354" s="32" t="str">
        <f>AI311</f>
        <v>N NOMBRE DE LA RECETA | | Autor &gt; USTED</v>
      </c>
      <c r="AJ354" s="33">
        <f>AJ311</f>
        <v>18</v>
      </c>
      <c r="AK354" s="32" t="str">
        <f>AK311</f>
        <v>postres</v>
      </c>
      <c r="AL354" s="34" t="str">
        <f>AL311</f>
        <v>Receta madre ► Introduzca el nombre de la receta principal</v>
      </c>
      <c r="AM354" s="92"/>
      <c r="AN354" s="108"/>
      <c r="AO354" s="94" t="str">
        <f t="shared" si="46"/>
        <v/>
      </c>
      <c r="AP354" s="95"/>
      <c r="AQ354" s="126"/>
      <c r="AR354" s="127">
        <v>1</v>
      </c>
      <c r="AS354" s="920"/>
      <c r="AT354" s="1495">
        <f>IF(OR(ISBLANK(AM309),AT309=0),0,AM354*AR310)</f>
        <v>0</v>
      </c>
      <c r="AU354" s="101" cm="1">
        <f t="array" ref="AU354">IFERROR(_xlfn.LET(_xlpm.k,UPPER(TRIM(AQ354)),_xlpm.r,_xlfn.XLOOKUP(_xlpm.k,UPPER(TRIM(AM356:AV356)),AM357:AV357,_xlfn.XLOOKUP(_xlpm.k,UPPER(TRIM(AM358:AV358)),AM359:AV359)),_xlpm.r*AP354*AR354*AR310*IF(ISBLANK(AM354),1,AM354)),0)</f>
        <v>0</v>
      </c>
      <c r="AV354" s="1476" t="str">
        <f>_xlfn.LET(_xlpm.unite,SUBSTITUTE(TRIM(AQ354)," (s)",""),_xlpm.val,AU354,_xlpm.estVol,COUNTIF(AP356:AV356,_xlpm.unite)+COUNTIF(AP358:AV358,_xlpm.unite)&gt;0,_xlpm.estPoids,COUNTIF(AM356:AO356,_xlpm.unite)+COUNTIF(AM358:AO358,_xlpm.unite)&gt;0,IF(_xlpm.estVol,IF(ROUND(_xlpm.val,3)&gt;=1,ROUND(_xlpm.val,3)&amp;" L",MAX(1,ROUND(_xlpm.val*100,0))&amp;" cl"),IF(_xlpm.estPoids,IF(ROUND(_xlpm.val,3)&gt;=1,ROUND(_xlpm.val,3)&amp;" Kg",MAX(1,ROUND(_xlpm.val*1000,0))&amp;" g"),"")))</f>
        <v/>
      </c>
      <c r="BV354" s="3">
        <v>1</v>
      </c>
    </row>
    <row r="355" spans="2:74" ht="15.75">
      <c r="B355" s="104" t="s">
        <v>11</v>
      </c>
      <c r="C355" s="32" t="str">
        <f>C311</f>
        <v>N NOM DE VOTRE RECETTE | | Auteur &gt; VOUS</v>
      </c>
      <c r="D355" s="33">
        <f>D311</f>
        <v>18</v>
      </c>
      <c r="E355" s="32" t="str">
        <f>E311</f>
        <v>desserts</v>
      </c>
      <c r="F355" s="34" t="str">
        <f>F311</f>
        <v>Recette mère ► Saisir le nom de la recette principale</v>
      </c>
      <c r="G355" s="907" t="s">
        <v>136</v>
      </c>
      <c r="H355" s="500"/>
      <c r="I355" s="500"/>
      <c r="J355" s="500"/>
      <c r="K355" s="500"/>
      <c r="L355" s="908"/>
      <c r="M355" s="909"/>
      <c r="N355" s="909"/>
      <c r="O355" s="910">
        <f>SUM(O315:O354)</f>
        <v>0</v>
      </c>
      <c r="P355" s="1489"/>
      <c r="R355" s="104" t="s">
        <v>11</v>
      </c>
      <c r="S355" s="32" t="str">
        <f>S311</f>
        <v>N NAME OF YOUR RECIPE | |  Author &gt; YOU</v>
      </c>
      <c r="T355" s="33">
        <f>T311</f>
        <v>18</v>
      </c>
      <c r="U355" s="32" t="str">
        <f>U311</f>
        <v>desserts</v>
      </c>
      <c r="V355" s="34" t="str">
        <f>V311</f>
        <v>Master recipe ► Enter the main recipe name</v>
      </c>
      <c r="W355" s="907" t="s">
        <v>893</v>
      </c>
      <c r="X355" s="500"/>
      <c r="Y355" s="500"/>
      <c r="Z355" s="500"/>
      <c r="AA355" s="500"/>
      <c r="AB355" s="908"/>
      <c r="AC355" s="909"/>
      <c r="AD355" s="909"/>
      <c r="AE355" s="910">
        <f>SUM(AE315:AE354)</f>
        <v>0</v>
      </c>
      <c r="AF355" s="1489"/>
      <c r="AH355" s="104" t="s">
        <v>11</v>
      </c>
      <c r="AI355" s="32" t="str">
        <f>AI311</f>
        <v>N NOMBRE DE LA RECETA | | Autor &gt; USTED</v>
      </c>
      <c r="AJ355" s="33">
        <f>AJ311</f>
        <v>18</v>
      </c>
      <c r="AK355" s="32" t="str">
        <f>AK311</f>
        <v>postres</v>
      </c>
      <c r="AL355" s="34" t="str">
        <f>AL311</f>
        <v>Receta madre ► Introduzca el nombre de la receta principal</v>
      </c>
      <c r="AM355" s="907" t="s">
        <v>893</v>
      </c>
      <c r="AN355" s="500"/>
      <c r="AO355" s="500"/>
      <c r="AP355" s="500"/>
      <c r="AQ355" s="500"/>
      <c r="AR355" s="908"/>
      <c r="AS355" s="909"/>
      <c r="AT355" s="909"/>
      <c r="AU355" s="910">
        <f>SUM(AU315:AU354)</f>
        <v>0</v>
      </c>
      <c r="AV355" s="1489"/>
      <c r="BV355" s="3">
        <v>1</v>
      </c>
    </row>
    <row r="356" spans="2:74" ht="15.75">
      <c r="B356" s="104" t="s">
        <v>16</v>
      </c>
      <c r="C356" s="32" t="str">
        <f>C311</f>
        <v>N NOM DE VOTRE RECETTE | | Auteur &gt; VOUS</v>
      </c>
      <c r="D356" s="33">
        <f>D311</f>
        <v>18</v>
      </c>
      <c r="E356" s="32" t="str">
        <f>E311</f>
        <v>desserts</v>
      </c>
      <c r="F356" s="34" t="str">
        <f>F311</f>
        <v>Recette mère ► Saisir le nom de la recette principale</v>
      </c>
      <c r="G356" s="140" t="s">
        <v>143</v>
      </c>
      <c r="H356" s="105" t="s">
        <v>99</v>
      </c>
      <c r="I356" s="141" t="s">
        <v>144</v>
      </c>
      <c r="J356" s="96" t="s">
        <v>0</v>
      </c>
      <c r="K356" s="96" t="s">
        <v>96</v>
      </c>
      <c r="L356" s="96" t="s">
        <v>147</v>
      </c>
      <c r="M356" s="96" t="s">
        <v>148</v>
      </c>
      <c r="N356" s="109" t="s">
        <v>364</v>
      </c>
      <c r="O356" s="109" t="s">
        <v>102</v>
      </c>
      <c r="P356" s="109" t="s">
        <v>149</v>
      </c>
      <c r="R356" s="104" t="s">
        <v>16</v>
      </c>
      <c r="S356" s="32" t="str">
        <f>S311</f>
        <v>N NAME OF YOUR RECIPE | |  Author &gt; YOU</v>
      </c>
      <c r="T356" s="33">
        <f>T311</f>
        <v>18</v>
      </c>
      <c r="U356" s="32" t="str">
        <f>U311</f>
        <v>desserts</v>
      </c>
      <c r="V356" s="34" t="str">
        <f>V311</f>
        <v>Master recipe ► Enter the main recipe name</v>
      </c>
      <c r="W356" s="140" t="s">
        <v>143</v>
      </c>
      <c r="X356" s="105" t="s">
        <v>99</v>
      </c>
      <c r="Y356" s="141" t="s">
        <v>144</v>
      </c>
      <c r="Z356" s="96" t="s">
        <v>0</v>
      </c>
      <c r="AA356" s="96" t="s">
        <v>96</v>
      </c>
      <c r="AB356" s="96" t="s">
        <v>147</v>
      </c>
      <c r="AC356" s="96" t="s">
        <v>148</v>
      </c>
      <c r="AD356" s="109" t="s">
        <v>1378</v>
      </c>
      <c r="AE356" s="109" t="s">
        <v>1360</v>
      </c>
      <c r="AF356" s="109" t="s">
        <v>1361</v>
      </c>
      <c r="AH356" s="104" t="s">
        <v>16</v>
      </c>
      <c r="AI356" s="32" t="str">
        <f>AI311</f>
        <v>N NOMBRE DE LA RECETA | | Autor &gt; USTED</v>
      </c>
      <c r="AJ356" s="33">
        <f>AJ311</f>
        <v>18</v>
      </c>
      <c r="AK356" s="32" t="str">
        <f>AK311</f>
        <v>postres</v>
      </c>
      <c r="AL356" s="34" t="str">
        <f>AL311</f>
        <v>Receta madre ► Introduzca el nombre de la receta principal</v>
      </c>
      <c r="AM356" s="140" t="s">
        <v>143</v>
      </c>
      <c r="AN356" s="105" t="s">
        <v>99</v>
      </c>
      <c r="AO356" s="141" t="s">
        <v>144</v>
      </c>
      <c r="AP356" s="96" t="s">
        <v>0</v>
      </c>
      <c r="AQ356" s="96" t="s">
        <v>96</v>
      </c>
      <c r="AR356" s="96" t="s">
        <v>147</v>
      </c>
      <c r="AS356" s="96" t="s">
        <v>148</v>
      </c>
      <c r="AT356" s="109" t="s">
        <v>1379</v>
      </c>
      <c r="AU356" s="109" t="s">
        <v>1341</v>
      </c>
      <c r="AV356" s="109" t="s">
        <v>1342</v>
      </c>
      <c r="BV356" s="3">
        <v>1</v>
      </c>
    </row>
    <row r="357" spans="2:74" ht="15.75">
      <c r="B357" s="104" t="s">
        <v>16</v>
      </c>
      <c r="C357" s="32" t="str">
        <f>C311</f>
        <v>N NOM DE VOTRE RECETTE | | Auteur &gt; VOUS</v>
      </c>
      <c r="D357" s="33">
        <f>D311</f>
        <v>18</v>
      </c>
      <c r="E357" s="32" t="str">
        <f>E311</f>
        <v>desserts</v>
      </c>
      <c r="F357" s="34" t="str">
        <f>F311</f>
        <v>Recette mère ► Saisir le nom de la recette principale</v>
      </c>
      <c r="G357" s="911">
        <v>1</v>
      </c>
      <c r="H357" s="912">
        <v>1E-3</v>
      </c>
      <c r="I357" s="913">
        <v>0</v>
      </c>
      <c r="J357" s="914">
        <v>1</v>
      </c>
      <c r="K357" s="914">
        <v>0.1</v>
      </c>
      <c r="L357" s="914">
        <v>0.01</v>
      </c>
      <c r="M357" s="914">
        <v>1E-3</v>
      </c>
      <c r="N357" s="914">
        <v>0.25</v>
      </c>
      <c r="O357" s="914">
        <v>0.5</v>
      </c>
      <c r="P357" s="914">
        <v>0.33300000000000002</v>
      </c>
      <c r="R357" s="104" t="s">
        <v>16</v>
      </c>
      <c r="S357" s="32" t="str">
        <f>S311</f>
        <v>N NAME OF YOUR RECIPE | |  Author &gt; YOU</v>
      </c>
      <c r="T357" s="33">
        <f>T311</f>
        <v>18</v>
      </c>
      <c r="U357" s="32" t="str">
        <f>U311</f>
        <v>desserts</v>
      </c>
      <c r="V357" s="34" t="str">
        <f>V311</f>
        <v>Master recipe ► Enter the main recipe name</v>
      </c>
      <c r="W357" s="911">
        <v>1</v>
      </c>
      <c r="X357" s="912">
        <v>1E-3</v>
      </c>
      <c r="Y357" s="913">
        <v>0</v>
      </c>
      <c r="Z357" s="914">
        <v>1</v>
      </c>
      <c r="AA357" s="914">
        <v>0.1</v>
      </c>
      <c r="AB357" s="914">
        <v>0.01</v>
      </c>
      <c r="AC357" s="914">
        <v>1E-3</v>
      </c>
      <c r="AD357" s="914">
        <v>0.25</v>
      </c>
      <c r="AE357" s="914">
        <v>0.5</v>
      </c>
      <c r="AF357" s="914">
        <v>0.33300000000000002</v>
      </c>
      <c r="AH357" s="104" t="s">
        <v>16</v>
      </c>
      <c r="AI357" s="32" t="str">
        <f>AI311</f>
        <v>N NOMBRE DE LA RECETA | | Autor &gt; USTED</v>
      </c>
      <c r="AJ357" s="33">
        <f>AJ311</f>
        <v>18</v>
      </c>
      <c r="AK357" s="32" t="str">
        <f>AK311</f>
        <v>postres</v>
      </c>
      <c r="AL357" s="34" t="str">
        <f>AL311</f>
        <v>Receta madre ► Introduzca el nombre de la receta principal</v>
      </c>
      <c r="AM357" s="911">
        <v>1</v>
      </c>
      <c r="AN357" s="912">
        <v>1E-3</v>
      </c>
      <c r="AO357" s="913">
        <v>0</v>
      </c>
      <c r="AP357" s="914">
        <v>1</v>
      </c>
      <c r="AQ357" s="914">
        <v>0.1</v>
      </c>
      <c r="AR357" s="914">
        <v>0.01</v>
      </c>
      <c r="AS357" s="914">
        <v>1E-3</v>
      </c>
      <c r="AT357" s="914">
        <v>0.25</v>
      </c>
      <c r="AU357" s="914">
        <v>0.5</v>
      </c>
      <c r="AV357" s="914">
        <v>0.33300000000000002</v>
      </c>
      <c r="BV357" s="3">
        <v>1</v>
      </c>
    </row>
    <row r="358" spans="2:74" ht="15.75">
      <c r="B358" s="104" t="s">
        <v>16</v>
      </c>
      <c r="C358" s="32" t="str">
        <f>C311</f>
        <v>N NOM DE VOTRE RECETTE | | Auteur &gt; VOUS</v>
      </c>
      <c r="D358" s="33">
        <f>D311</f>
        <v>18</v>
      </c>
      <c r="E358" s="32" t="str">
        <f>E311</f>
        <v>desserts</v>
      </c>
      <c r="F358" s="34" t="str">
        <f>F311</f>
        <v>Recette mère ► Saisir le nom de la recette principale</v>
      </c>
      <c r="G358" s="142" t="s">
        <v>145</v>
      </c>
      <c r="H358" s="117" t="s">
        <v>107</v>
      </c>
      <c r="I358" s="141" t="s">
        <v>144</v>
      </c>
      <c r="J358" s="109" t="s">
        <v>150</v>
      </c>
      <c r="K358" s="109" t="s">
        <v>163</v>
      </c>
      <c r="L358" s="109" t="s">
        <v>103</v>
      </c>
      <c r="M358" s="109" t="s">
        <v>162</v>
      </c>
      <c r="N358" s="149" t="s">
        <v>160</v>
      </c>
      <c r="O358" s="149" t="s">
        <v>117</v>
      </c>
      <c r="P358" s="1061" t="s">
        <v>1831</v>
      </c>
      <c r="R358" s="104" t="s">
        <v>16</v>
      </c>
      <c r="S358" s="32" t="str">
        <f>S311</f>
        <v>N NAME OF YOUR RECIPE | |  Author &gt; YOU</v>
      </c>
      <c r="T358" s="33">
        <f>T311</f>
        <v>18</v>
      </c>
      <c r="U358" s="32" t="str">
        <f>U311</f>
        <v>desserts</v>
      </c>
      <c r="V358" s="34" t="str">
        <f>V311</f>
        <v>Master recipe ► Enter the main recipe name</v>
      </c>
      <c r="W358" s="142" t="s">
        <v>1357</v>
      </c>
      <c r="X358" s="117" t="s">
        <v>1359</v>
      </c>
      <c r="Y358" s="141" t="s">
        <v>144</v>
      </c>
      <c r="Z358" s="109" t="s">
        <v>1362</v>
      </c>
      <c r="AA358" s="109" t="s">
        <v>1371</v>
      </c>
      <c r="AB358" s="109" t="s">
        <v>1372</v>
      </c>
      <c r="AC358" s="109" t="s">
        <v>1370</v>
      </c>
      <c r="AD358" s="149" t="s">
        <v>1368</v>
      </c>
      <c r="AE358" s="149" t="s">
        <v>1367</v>
      </c>
      <c r="AF358" s="1061" t="s">
        <v>1832</v>
      </c>
      <c r="AH358" s="104" t="s">
        <v>16</v>
      </c>
      <c r="AI358" s="32" t="str">
        <f>AI311</f>
        <v>N NOMBRE DE LA RECETA | | Autor &gt; USTED</v>
      </c>
      <c r="AJ358" s="33">
        <f>AJ311</f>
        <v>18</v>
      </c>
      <c r="AK358" s="32" t="str">
        <f>AK311</f>
        <v>postres</v>
      </c>
      <c r="AL358" s="34" t="str">
        <f>AL311</f>
        <v>Receta madre ► Introduzca el nombre de la receta principal</v>
      </c>
      <c r="AM358" s="142" t="s">
        <v>145</v>
      </c>
      <c r="AN358" s="117" t="s">
        <v>107</v>
      </c>
      <c r="AO358" s="141" t="s">
        <v>144</v>
      </c>
      <c r="AP358" s="143" t="s">
        <v>1343</v>
      </c>
      <c r="AQ358" s="109" t="s">
        <v>1354</v>
      </c>
      <c r="AR358" s="109" t="s">
        <v>1355</v>
      </c>
      <c r="AS358" s="109" t="s">
        <v>1353</v>
      </c>
      <c r="AT358" s="149" t="s">
        <v>1351</v>
      </c>
      <c r="AU358" s="123" t="s">
        <v>1350</v>
      </c>
      <c r="AV358" s="1061" t="s">
        <v>1833</v>
      </c>
      <c r="BV358" s="3">
        <v>1</v>
      </c>
    </row>
    <row r="359" spans="2:74" ht="15.75">
      <c r="B359" s="104" t="s">
        <v>16</v>
      </c>
      <c r="C359" s="32" t="str">
        <f>C311</f>
        <v>N NOM DE VOTRE RECETTE | | Auteur &gt; VOUS</v>
      </c>
      <c r="D359" s="33">
        <f>D311</f>
        <v>18</v>
      </c>
      <c r="E359" s="32" t="str">
        <f>E311</f>
        <v>desserts</v>
      </c>
      <c r="F359" s="34" t="str">
        <f>F311</f>
        <v>Recette mère ► Saisir le nom de la recette principale</v>
      </c>
      <c r="G359" s="912">
        <v>0.25</v>
      </c>
      <c r="H359" s="912">
        <v>0.5</v>
      </c>
      <c r="I359" s="913">
        <v>0</v>
      </c>
      <c r="J359" s="914">
        <v>0.2</v>
      </c>
      <c r="K359" s="914">
        <v>0.1</v>
      </c>
      <c r="L359" s="914">
        <v>0.22500000000000001</v>
      </c>
      <c r="M359" s="914">
        <v>1.4999999999999999E-2</v>
      </c>
      <c r="N359" s="914">
        <v>4.9299999999999995E-3</v>
      </c>
      <c r="O359" s="914">
        <v>0.35</v>
      </c>
      <c r="P359" s="915">
        <v>0.25</v>
      </c>
      <c r="R359" s="104" t="s">
        <v>16</v>
      </c>
      <c r="S359" s="32" t="str">
        <f>S311</f>
        <v>N NAME OF YOUR RECIPE | |  Author &gt; YOU</v>
      </c>
      <c r="T359" s="33">
        <f>T311</f>
        <v>18</v>
      </c>
      <c r="U359" s="32" t="str">
        <f>U311</f>
        <v>desserts</v>
      </c>
      <c r="V359" s="34" t="str">
        <f>V311</f>
        <v>Master recipe ► Enter the main recipe name</v>
      </c>
      <c r="W359" s="912">
        <v>0.25</v>
      </c>
      <c r="X359" s="912">
        <v>0.5</v>
      </c>
      <c r="Y359" s="913">
        <v>0</v>
      </c>
      <c r="Z359" s="914">
        <v>0.2</v>
      </c>
      <c r="AA359" s="914">
        <v>0.1</v>
      </c>
      <c r="AB359" s="914">
        <v>0.22500000000000001</v>
      </c>
      <c r="AC359" s="914">
        <v>1.4999999999999999E-2</v>
      </c>
      <c r="AD359" s="914">
        <v>4.9299999999999995E-3</v>
      </c>
      <c r="AE359" s="914">
        <v>0.35</v>
      </c>
      <c r="AF359" s="915">
        <v>0.25</v>
      </c>
      <c r="AH359" s="104" t="s">
        <v>16</v>
      </c>
      <c r="AI359" s="32" t="str">
        <f>AI311</f>
        <v>N NOMBRE DE LA RECETA | | Autor &gt; USTED</v>
      </c>
      <c r="AJ359" s="33">
        <f>AJ311</f>
        <v>18</v>
      </c>
      <c r="AK359" s="32" t="str">
        <f>AK311</f>
        <v>postres</v>
      </c>
      <c r="AL359" s="34" t="str">
        <f>AL311</f>
        <v>Receta madre ► Introduzca el nombre de la receta principal</v>
      </c>
      <c r="AM359" s="912">
        <v>0.25</v>
      </c>
      <c r="AN359" s="912">
        <v>0.5</v>
      </c>
      <c r="AO359" s="913">
        <v>0</v>
      </c>
      <c r="AP359" s="914">
        <v>0.2</v>
      </c>
      <c r="AQ359" s="914">
        <v>0.1</v>
      </c>
      <c r="AR359" s="914">
        <v>0.22500000000000001</v>
      </c>
      <c r="AS359" s="914">
        <v>1.4999999999999999E-2</v>
      </c>
      <c r="AT359" s="914">
        <v>4.9299999999999995E-3</v>
      </c>
      <c r="AU359" s="914">
        <v>0.35</v>
      </c>
      <c r="AV359" s="915">
        <v>0.25</v>
      </c>
      <c r="BV359" s="3">
        <v>1</v>
      </c>
    </row>
    <row r="360" spans="2:74" ht="15.75">
      <c r="B360" s="104" t="s">
        <v>16</v>
      </c>
      <c r="C360" s="32" t="str">
        <f>C311</f>
        <v>N NOM DE VOTRE RECETTE | | Auteur &gt; VOUS</v>
      </c>
      <c r="D360" s="33">
        <f>D311</f>
        <v>18</v>
      </c>
      <c r="E360" s="32" t="str">
        <f>E311</f>
        <v>desserts</v>
      </c>
      <c r="F360" s="34" t="str">
        <f>F311</f>
        <v>Recette mère ► Saisir le nom de la recette principale</v>
      </c>
      <c r="G360" s="154" t="str">
        <f>G312</f>
        <v>Col.6</v>
      </c>
      <c r="H360" s="154" t="str">
        <f>H312</f>
        <v>Col.7</v>
      </c>
      <c r="I360" s="155" t="s">
        <v>3295</v>
      </c>
      <c r="J360" s="155"/>
      <c r="K360" s="155"/>
      <c r="L360" s="155"/>
      <c r="M360" s="155"/>
      <c r="N360" s="155"/>
      <c r="O360" s="155"/>
      <c r="P360" s="1477"/>
      <c r="R360" s="104" t="s">
        <v>16</v>
      </c>
      <c r="S360" s="32" t="str">
        <f>S311</f>
        <v>N NAME OF YOUR RECIPE | |  Author &gt; YOU</v>
      </c>
      <c r="T360" s="33">
        <f>T311</f>
        <v>18</v>
      </c>
      <c r="U360" s="32" t="str">
        <f>U311</f>
        <v>desserts</v>
      </c>
      <c r="V360" s="34" t="str">
        <f>V311</f>
        <v>Master recipe ► Enter the main recipe name</v>
      </c>
      <c r="W360" s="154" t="str">
        <f>W312</f>
        <v>Col.6</v>
      </c>
      <c r="X360" s="154" t="str">
        <f>X312</f>
        <v>Col.7</v>
      </c>
      <c r="Y360" s="155" t="s">
        <v>3296</v>
      </c>
      <c r="Z360" s="155"/>
      <c r="AA360" s="155"/>
      <c r="AB360" s="155"/>
      <c r="AC360" s="155"/>
      <c r="AD360" s="155"/>
      <c r="AE360" s="155"/>
      <c r="AF360" s="1477"/>
      <c r="AH360" s="104" t="s">
        <v>16</v>
      </c>
      <c r="AI360" s="32" t="str">
        <f>AI311</f>
        <v>N NOMBRE DE LA RECETA | | Autor &gt; USTED</v>
      </c>
      <c r="AJ360" s="33">
        <f>AJ311</f>
        <v>18</v>
      </c>
      <c r="AK360" s="32" t="str">
        <f>AK311</f>
        <v>postres</v>
      </c>
      <c r="AL360" s="34" t="str">
        <f>AL311</f>
        <v>Receta madre ► Introduzca el nombre de la receta principal</v>
      </c>
      <c r="AM360" s="154" t="str">
        <f>AM312</f>
        <v>Col.6</v>
      </c>
      <c r="AN360" s="154" t="str">
        <f>AN312</f>
        <v>Col.7</v>
      </c>
      <c r="AO360" s="155" t="s">
        <v>3298</v>
      </c>
      <c r="AP360" s="155"/>
      <c r="AQ360" s="155"/>
      <c r="AR360" s="155"/>
      <c r="AS360" s="155"/>
      <c r="AT360" s="155"/>
      <c r="AU360" s="155"/>
      <c r="AV360" s="1477"/>
      <c r="BV360" s="3">
        <v>1</v>
      </c>
    </row>
    <row r="361" spans="2:74" ht="23.25">
      <c r="B361" s="104" t="s">
        <v>16</v>
      </c>
      <c r="C361" s="157" t="str">
        <f>C311</f>
        <v>N NOM DE VOTRE RECETTE | | Auteur &gt; VOUS</v>
      </c>
      <c r="D361" s="157">
        <f>D311</f>
        <v>18</v>
      </c>
      <c r="E361" s="158" t="str">
        <f>E311</f>
        <v>desserts</v>
      </c>
      <c r="F361" s="159" t="str">
        <f>F311</f>
        <v>Recette mère ► Saisir le nom de la recette principale</v>
      </c>
      <c r="G361" s="160" t="s">
        <v>167</v>
      </c>
      <c r="H361" s="1483" t="s">
        <v>3328</v>
      </c>
      <c r="I361" s="162"/>
      <c r="J361" s="162"/>
      <c r="K361" s="172"/>
      <c r="L361" s="172"/>
      <c r="M361" s="172"/>
      <c r="N361" s="172"/>
      <c r="O361" s="156" t="s">
        <v>165</v>
      </c>
      <c r="P361" s="1484" t="s">
        <v>3276</v>
      </c>
      <c r="R361" s="104" t="s">
        <v>16</v>
      </c>
      <c r="S361" s="157" t="str">
        <f>S311</f>
        <v>N NAME OF YOUR RECIPE | |  Author &gt; YOU</v>
      </c>
      <c r="T361" s="157">
        <f>T311</f>
        <v>18</v>
      </c>
      <c r="U361" s="158" t="str">
        <f>U311</f>
        <v>desserts</v>
      </c>
      <c r="V361" s="159" t="str">
        <f>V311</f>
        <v>Master recipe ► Enter the main recipe name</v>
      </c>
      <c r="W361" s="232" t="s">
        <v>752</v>
      </c>
      <c r="X361" s="161" t="s">
        <v>3327</v>
      </c>
      <c r="Y361" s="162"/>
      <c r="Z361" s="162"/>
      <c r="AA361" s="172"/>
      <c r="AB361" s="172"/>
      <c r="AC361" s="172"/>
      <c r="AD361" s="172"/>
      <c r="AE361" s="156" t="s">
        <v>894</v>
      </c>
      <c r="AF361" s="1484" t="s">
        <v>3276</v>
      </c>
      <c r="AH361" s="104" t="s">
        <v>16</v>
      </c>
      <c r="AI361" s="157" t="str">
        <f>AI311</f>
        <v>N NOMBRE DE LA RECETA | | Autor &gt; USTED</v>
      </c>
      <c r="AJ361" s="157">
        <f>AJ311</f>
        <v>18</v>
      </c>
      <c r="AK361" s="158" t="str">
        <f>AK311</f>
        <v>postres</v>
      </c>
      <c r="AL361" s="159" t="str">
        <f>AL311</f>
        <v>Receta madre ► Introduzca el nombre de la receta principal</v>
      </c>
      <c r="AM361" s="232" t="s">
        <v>754</v>
      </c>
      <c r="AN361" s="161" t="s">
        <v>3325</v>
      </c>
      <c r="AO361" s="162"/>
      <c r="AP361" s="162"/>
      <c r="AQ361" s="172"/>
      <c r="AR361" s="172"/>
      <c r="AS361" s="172"/>
      <c r="AT361" s="172"/>
      <c r="AU361" s="905" t="s">
        <v>908</v>
      </c>
      <c r="AV361" s="1484" t="s">
        <v>3276</v>
      </c>
      <c r="BV361" s="3">
        <v>1</v>
      </c>
    </row>
    <row r="362" spans="2:74" ht="23.25">
      <c r="B362" s="104" t="s">
        <v>16</v>
      </c>
      <c r="C362" s="157" t="str">
        <f>C311</f>
        <v>N NOM DE VOTRE RECETTE | | Auteur &gt; VOUS</v>
      </c>
      <c r="D362" s="157">
        <f>D311</f>
        <v>18</v>
      </c>
      <c r="E362" s="158" t="str">
        <f>E311</f>
        <v>desserts</v>
      </c>
      <c r="F362" s="159" t="str">
        <f>F311</f>
        <v>Recette mère ► Saisir le nom de la recette principale</v>
      </c>
      <c r="G362" s="172"/>
      <c r="H362" s="172"/>
      <c r="I362" s="172"/>
      <c r="J362" s="172"/>
      <c r="K362" s="172"/>
      <c r="L362" s="172"/>
      <c r="M362" s="172"/>
      <c r="N362" s="172"/>
      <c r="O362" s="1474" t="s">
        <v>168</v>
      </c>
      <c r="P362" s="1482" t="s">
        <v>668</v>
      </c>
      <c r="R362" s="104" t="s">
        <v>16</v>
      </c>
      <c r="S362" s="157" t="str">
        <f>S311</f>
        <v>N NAME OF YOUR RECIPE | |  Author &gt; YOU</v>
      </c>
      <c r="T362" s="157">
        <f>T311</f>
        <v>18</v>
      </c>
      <c r="U362" s="158" t="str">
        <f>U311</f>
        <v>desserts</v>
      </c>
      <c r="V362" s="159" t="str">
        <f>V311</f>
        <v>Master recipe ► Enter the main recipe name</v>
      </c>
      <c r="W362" s="172"/>
      <c r="X362" s="172"/>
      <c r="Y362" s="172"/>
      <c r="Z362" s="172"/>
      <c r="AA362" s="172"/>
      <c r="AB362" s="172"/>
      <c r="AC362" s="172"/>
      <c r="AD362" s="172"/>
      <c r="AE362" s="1474" t="s">
        <v>895</v>
      </c>
      <c r="AF362" s="1482" t="s">
        <v>668</v>
      </c>
      <c r="AH362" s="104" t="s">
        <v>16</v>
      </c>
      <c r="AI362" s="157" t="str">
        <f>AI311</f>
        <v>N NOMBRE DE LA RECETA | | Autor &gt; USTED</v>
      </c>
      <c r="AJ362" s="157">
        <f>AJ311</f>
        <v>18</v>
      </c>
      <c r="AK362" s="158" t="str">
        <f>AK311</f>
        <v>postres</v>
      </c>
      <c r="AL362" s="159" t="str">
        <f>AL311</f>
        <v>Receta madre ► Introduzca el nombre de la receta principal</v>
      </c>
      <c r="AM362" s="172"/>
      <c r="AN362" s="172"/>
      <c r="AO362" s="172"/>
      <c r="AP362" s="172"/>
      <c r="AQ362" s="172"/>
      <c r="AR362" s="172"/>
      <c r="AS362" s="172"/>
      <c r="AT362" s="172"/>
      <c r="AU362" s="1474" t="s">
        <v>909</v>
      </c>
      <c r="AV362" s="1482" t="s">
        <v>668</v>
      </c>
      <c r="BV362" s="3">
        <v>1</v>
      </c>
    </row>
    <row r="363" spans="2:74" ht="15.75">
      <c r="B363" s="104" t="s">
        <v>16</v>
      </c>
      <c r="C363" s="157" t="str">
        <f>C311</f>
        <v>N NOM DE VOTRE RECETTE | | Auteur &gt; VOUS</v>
      </c>
      <c r="D363" s="157">
        <f>D311</f>
        <v>18</v>
      </c>
      <c r="E363" s="158" t="str">
        <f>E311</f>
        <v>desserts</v>
      </c>
      <c r="F363" s="159" t="str">
        <f>F311</f>
        <v>Recette mère ► Saisir le nom de la recette principale</v>
      </c>
      <c r="G363" s="172"/>
      <c r="H363" s="172"/>
      <c r="I363" s="172"/>
      <c r="J363" s="172"/>
      <c r="K363" s="172"/>
      <c r="L363" s="172"/>
      <c r="M363" s="172"/>
      <c r="N363" s="172"/>
      <c r="O363" s="172"/>
      <c r="P363" s="555"/>
      <c r="R363" s="104" t="s">
        <v>16</v>
      </c>
      <c r="S363" s="157" t="str">
        <f>S311</f>
        <v>N NAME OF YOUR RECIPE | |  Author &gt; YOU</v>
      </c>
      <c r="T363" s="157">
        <f>T311</f>
        <v>18</v>
      </c>
      <c r="U363" s="158" t="str">
        <f>U311</f>
        <v>desserts</v>
      </c>
      <c r="V363" s="159" t="str">
        <f>V311</f>
        <v>Master recipe ► Enter the main recipe name</v>
      </c>
      <c r="W363" s="172"/>
      <c r="X363" s="172"/>
      <c r="Y363" s="172"/>
      <c r="Z363" s="172"/>
      <c r="AA363" s="172"/>
      <c r="AB363" s="172"/>
      <c r="AC363" s="172"/>
      <c r="AD363" s="172"/>
      <c r="AE363" s="172"/>
      <c r="AF363" s="555"/>
      <c r="AH363" s="104" t="s">
        <v>16</v>
      </c>
      <c r="AI363" s="157" t="str">
        <f>AI311</f>
        <v>N NOMBRE DE LA RECETA | | Autor &gt; USTED</v>
      </c>
      <c r="AJ363" s="157">
        <f>AJ311</f>
        <v>18</v>
      </c>
      <c r="AK363" s="158" t="str">
        <f>AK311</f>
        <v>postres</v>
      </c>
      <c r="AL363" s="159" t="str">
        <f>AL311</f>
        <v>Receta madre ► Introduzca el nombre de la receta principal</v>
      </c>
      <c r="AM363" s="172"/>
      <c r="AN363" s="172"/>
      <c r="AO363" s="172"/>
      <c r="AP363" s="172"/>
      <c r="AQ363" s="172"/>
      <c r="AR363" s="172"/>
      <c r="AS363" s="172"/>
      <c r="AT363" s="172"/>
      <c r="AU363" s="172"/>
      <c r="AV363" s="555"/>
      <c r="BV363" s="3">
        <v>1</v>
      </c>
    </row>
    <row r="364" spans="2:74" ht="15.75" customHeight="1">
      <c r="B364" s="104" t="s">
        <v>16</v>
      </c>
      <c r="C364" s="157" t="str">
        <f>C311</f>
        <v>N NOM DE VOTRE RECETTE | | Auteur &gt; VOUS</v>
      </c>
      <c r="D364" s="157">
        <f>D311</f>
        <v>18</v>
      </c>
      <c r="E364" s="158" t="str">
        <f>E311</f>
        <v>desserts</v>
      </c>
      <c r="F364" s="159" t="str">
        <f>F311</f>
        <v>Recette mère ► Saisir le nom de la recette principale</v>
      </c>
      <c r="G364" s="172"/>
      <c r="H364" s="172"/>
      <c r="I364" s="172"/>
      <c r="J364" s="172"/>
      <c r="K364" s="172"/>
      <c r="L364" s="172"/>
      <c r="M364" s="172"/>
      <c r="N364" s="172"/>
      <c r="O364" s="170" t="s">
        <v>172</v>
      </c>
      <c r="P364" s="171">
        <v>3.472222222222222E-3</v>
      </c>
      <c r="R364" s="104" t="s">
        <v>16</v>
      </c>
      <c r="S364" s="157" t="str">
        <f>S311</f>
        <v>N NAME OF YOUR RECIPE | |  Author &gt; YOU</v>
      </c>
      <c r="T364" s="157">
        <f>T311</f>
        <v>18</v>
      </c>
      <c r="U364" s="158" t="str">
        <f>U311</f>
        <v>desserts</v>
      </c>
      <c r="V364" s="159" t="str">
        <f>V311</f>
        <v>Master recipe ► Enter the main recipe name</v>
      </c>
      <c r="W364" s="172"/>
      <c r="X364" s="172"/>
      <c r="Y364" s="172"/>
      <c r="Z364" s="172"/>
      <c r="AA364" s="172"/>
      <c r="AB364" s="172"/>
      <c r="AC364" s="172"/>
      <c r="AD364" s="172"/>
      <c r="AE364" s="170" t="s">
        <v>676</v>
      </c>
      <c r="AF364" s="171">
        <v>3.472222222222222E-3</v>
      </c>
      <c r="AH364" s="104" t="s">
        <v>16</v>
      </c>
      <c r="AI364" s="157" t="str">
        <f>AI311</f>
        <v>N NOMBRE DE LA RECETA | | Autor &gt; USTED</v>
      </c>
      <c r="AJ364" s="157">
        <f>AJ311</f>
        <v>18</v>
      </c>
      <c r="AK364" s="158" t="str">
        <f>AK311</f>
        <v>postres</v>
      </c>
      <c r="AL364" s="159" t="str">
        <f>AL311</f>
        <v>Receta madre ► Introduzca el nombre de la receta principal</v>
      </c>
      <c r="AM364" s="172"/>
      <c r="AN364" s="172"/>
      <c r="AO364" s="172"/>
      <c r="AP364" s="172"/>
      <c r="AQ364" s="172"/>
      <c r="AR364" s="172"/>
      <c r="AS364" s="172"/>
      <c r="AT364" s="172"/>
      <c r="AU364" s="170" t="s">
        <v>677</v>
      </c>
      <c r="AV364" s="171">
        <v>3.472222222222222E-3</v>
      </c>
      <c r="BV364" s="3">
        <v>1</v>
      </c>
    </row>
    <row r="365" spans="2:74" ht="15.75">
      <c r="B365" s="104" t="s">
        <v>16</v>
      </c>
      <c r="C365" s="157" t="str">
        <f>C311</f>
        <v>N NOM DE VOTRE RECETTE | | Auteur &gt; VOUS</v>
      </c>
      <c r="D365" s="157">
        <f>D311</f>
        <v>18</v>
      </c>
      <c r="E365" s="158" t="str">
        <f>E311</f>
        <v>desserts</v>
      </c>
      <c r="F365" s="159" t="str">
        <f>F311</f>
        <v>Recette mère ► Saisir le nom de la recette principale</v>
      </c>
      <c r="G365" s="172"/>
      <c r="H365" s="172"/>
      <c r="I365" s="172"/>
      <c r="J365" s="172"/>
      <c r="K365" s="172"/>
      <c r="L365" s="172"/>
      <c r="M365" s="172"/>
      <c r="N365" s="172"/>
      <c r="O365" s="170" t="s">
        <v>174</v>
      </c>
      <c r="P365" s="174">
        <v>3.472222222222222E-3</v>
      </c>
      <c r="R365" s="104" t="s">
        <v>16</v>
      </c>
      <c r="S365" s="157" t="str">
        <f>S311</f>
        <v>N NAME OF YOUR RECIPE | |  Author &gt; YOU</v>
      </c>
      <c r="T365" s="157">
        <f>T311</f>
        <v>18</v>
      </c>
      <c r="U365" s="158" t="str">
        <f>U311</f>
        <v>desserts</v>
      </c>
      <c r="V365" s="159" t="str">
        <f>V311</f>
        <v>Master recipe ► Enter the main recipe name</v>
      </c>
      <c r="W365" s="172"/>
      <c r="X365" s="172"/>
      <c r="Y365" s="172"/>
      <c r="Z365" s="172"/>
      <c r="AA365" s="172"/>
      <c r="AB365" s="172"/>
      <c r="AC365" s="172"/>
      <c r="AD365" s="172"/>
      <c r="AE365" s="170" t="s">
        <v>682</v>
      </c>
      <c r="AF365" s="174">
        <v>3.472222222222222E-3</v>
      </c>
      <c r="AH365" s="104" t="s">
        <v>16</v>
      </c>
      <c r="AI365" s="157" t="str">
        <f>AI311</f>
        <v>N NOMBRE DE LA RECETA | | Autor &gt; USTED</v>
      </c>
      <c r="AJ365" s="157">
        <f>AJ311</f>
        <v>18</v>
      </c>
      <c r="AK365" s="158" t="str">
        <f>AK311</f>
        <v>postres</v>
      </c>
      <c r="AL365" s="159" t="str">
        <f>AL311</f>
        <v>Receta madre ► Introduzca el nombre de la receta principal</v>
      </c>
      <c r="AM365" s="172"/>
      <c r="AN365" s="172"/>
      <c r="AO365" s="172"/>
      <c r="AP365" s="172"/>
      <c r="AQ365" s="172"/>
      <c r="AR365" s="172"/>
      <c r="AS365" s="172"/>
      <c r="AT365" s="172"/>
      <c r="AU365" s="170" t="s">
        <v>683</v>
      </c>
      <c r="AV365" s="174">
        <v>3.472222222222222E-3</v>
      </c>
      <c r="BV365" s="3">
        <v>1</v>
      </c>
    </row>
    <row r="366" spans="2:74" ht="15.75" customHeight="1">
      <c r="B366" s="104" t="s">
        <v>16</v>
      </c>
      <c r="C366" s="157" t="str">
        <f>C311</f>
        <v>N NOM DE VOTRE RECETTE | | Auteur &gt; VOUS</v>
      </c>
      <c r="D366" s="157">
        <f>D311</f>
        <v>18</v>
      </c>
      <c r="E366" s="158" t="str">
        <f>E311</f>
        <v>desserts</v>
      </c>
      <c r="F366" s="159" t="str">
        <f>F311</f>
        <v>Recette mère ► Saisir le nom de la recette principale</v>
      </c>
      <c r="G366" s="172"/>
      <c r="H366" s="172"/>
      <c r="I366" s="172"/>
      <c r="J366" s="172"/>
      <c r="K366" s="172"/>
      <c r="L366" s="172"/>
      <c r="M366" s="172"/>
      <c r="N366" s="172"/>
      <c r="O366" s="170" t="s">
        <v>182</v>
      </c>
      <c r="P366" s="175">
        <v>3.472222222222222E-3</v>
      </c>
      <c r="R366" s="104" t="s">
        <v>16</v>
      </c>
      <c r="S366" s="157" t="str">
        <f>S311</f>
        <v>N NAME OF YOUR RECIPE | |  Author &gt; YOU</v>
      </c>
      <c r="T366" s="157">
        <f>T311</f>
        <v>18</v>
      </c>
      <c r="U366" s="158" t="str">
        <f>U311</f>
        <v>desserts</v>
      </c>
      <c r="V366" s="159" t="str">
        <f>V311</f>
        <v>Master recipe ► Enter the main recipe name</v>
      </c>
      <c r="W366" s="172"/>
      <c r="X366" s="172"/>
      <c r="Y366" s="172"/>
      <c r="Z366" s="172"/>
      <c r="AA366" s="172"/>
      <c r="AB366" s="172"/>
      <c r="AC366" s="172"/>
      <c r="AD366" s="172"/>
      <c r="AE366" s="170" t="s">
        <v>684</v>
      </c>
      <c r="AF366" s="175">
        <v>3.472222222222222E-3</v>
      </c>
      <c r="AH366" s="104" t="s">
        <v>16</v>
      </c>
      <c r="AI366" s="157" t="str">
        <f>AI311</f>
        <v>N NOMBRE DE LA RECETA | | Autor &gt; USTED</v>
      </c>
      <c r="AJ366" s="157">
        <f>AJ311</f>
        <v>18</v>
      </c>
      <c r="AK366" s="158" t="str">
        <f>AK311</f>
        <v>postres</v>
      </c>
      <c r="AL366" s="159" t="str">
        <f>AL311</f>
        <v>Receta madre ► Introduzca el nombre de la receta principal</v>
      </c>
      <c r="AM366" s="172"/>
      <c r="AN366" s="172"/>
      <c r="AO366" s="172"/>
      <c r="AP366" s="172"/>
      <c r="AQ366" s="172"/>
      <c r="AR366" s="172"/>
      <c r="AS366" s="172"/>
      <c r="AT366" s="172"/>
      <c r="AU366" s="170" t="s">
        <v>911</v>
      </c>
      <c r="AV366" s="175">
        <v>3.472222222222222E-3</v>
      </c>
      <c r="BV366" s="3">
        <v>1</v>
      </c>
    </row>
    <row r="367" spans="2:74" ht="15.75" customHeight="1">
      <c r="B367" s="104" t="s">
        <v>16</v>
      </c>
      <c r="C367" s="157" t="str">
        <f>C311</f>
        <v>N NOM DE VOTRE RECETTE | | Auteur &gt; VOUS</v>
      </c>
      <c r="D367" s="157">
        <f>D311</f>
        <v>18</v>
      </c>
      <c r="E367" s="158" t="str">
        <f>E311</f>
        <v>desserts</v>
      </c>
      <c r="F367" s="159" t="str">
        <f>F311</f>
        <v>Recette mère ► Saisir le nom de la recette principale</v>
      </c>
      <c r="G367" s="172"/>
      <c r="H367" s="172"/>
      <c r="I367" s="172"/>
      <c r="J367" s="172"/>
      <c r="K367" s="172"/>
      <c r="L367" s="172"/>
      <c r="M367" s="172"/>
      <c r="N367" s="172"/>
      <c r="O367" s="176" t="s">
        <v>183</v>
      </c>
      <c r="P367" s="177">
        <f>P364+P365+P366</f>
        <v>1.0416666666666666E-2</v>
      </c>
      <c r="R367" s="104" t="s">
        <v>16</v>
      </c>
      <c r="S367" s="157" t="str">
        <f>S311</f>
        <v>N NAME OF YOUR RECIPE | |  Author &gt; YOU</v>
      </c>
      <c r="T367" s="157">
        <f>T311</f>
        <v>18</v>
      </c>
      <c r="U367" s="158" t="str">
        <f>U311</f>
        <v>desserts</v>
      </c>
      <c r="V367" s="159" t="str">
        <f>V311</f>
        <v>Master recipe ► Enter the main recipe name</v>
      </c>
      <c r="W367" s="172"/>
      <c r="X367" s="172"/>
      <c r="Y367" s="172"/>
      <c r="Z367" s="172"/>
      <c r="AA367" s="172"/>
      <c r="AB367" s="172"/>
      <c r="AC367" s="172"/>
      <c r="AD367" s="172"/>
      <c r="AE367" s="176" t="s">
        <v>183</v>
      </c>
      <c r="AF367" s="177">
        <f>AF364+AF365+AF366</f>
        <v>1.0416666666666666E-2</v>
      </c>
      <c r="AH367" s="104" t="s">
        <v>16</v>
      </c>
      <c r="AI367" s="157" t="str">
        <f>AI311</f>
        <v>N NOMBRE DE LA RECETA | | Autor &gt; USTED</v>
      </c>
      <c r="AJ367" s="157">
        <f>AJ311</f>
        <v>18</v>
      </c>
      <c r="AK367" s="158" t="str">
        <f>AK311</f>
        <v>postres</v>
      </c>
      <c r="AL367" s="159" t="str">
        <f>AL311</f>
        <v>Receta madre ► Introduzca el nombre de la receta principal</v>
      </c>
      <c r="AM367" s="172"/>
      <c r="AN367" s="172"/>
      <c r="AO367" s="172"/>
      <c r="AP367" s="172"/>
      <c r="AQ367" s="172"/>
      <c r="AR367" s="172"/>
      <c r="AS367" s="172"/>
      <c r="AT367" s="172"/>
      <c r="AU367" s="176" t="s">
        <v>183</v>
      </c>
      <c r="AV367" s="177">
        <f>AV364+AV365+AV366</f>
        <v>1.0416666666666666E-2</v>
      </c>
      <c r="BV367" s="3">
        <v>1</v>
      </c>
    </row>
    <row r="368" spans="2:74" ht="15.75">
      <c r="B368" s="104" t="s">
        <v>16</v>
      </c>
      <c r="C368" s="157" t="str">
        <f>C311</f>
        <v>N NOM DE VOTRE RECETTE | | Auteur &gt; VOUS</v>
      </c>
      <c r="D368" s="157">
        <f>D311</f>
        <v>18</v>
      </c>
      <c r="E368" s="158" t="str">
        <f>E311</f>
        <v>desserts</v>
      </c>
      <c r="F368" s="159" t="str">
        <f>F311</f>
        <v>Recette mère ► Saisir le nom de la recette principale</v>
      </c>
      <c r="G368" s="172"/>
      <c r="H368" s="172"/>
      <c r="I368" s="172"/>
      <c r="J368" s="172"/>
      <c r="K368" s="172"/>
      <c r="L368" s="172"/>
      <c r="M368" s="172"/>
      <c r="N368" s="172"/>
      <c r="O368" s="172"/>
      <c r="P368" s="555"/>
      <c r="R368" s="104" t="s">
        <v>16</v>
      </c>
      <c r="S368" s="157" t="str">
        <f>S311</f>
        <v>N NAME OF YOUR RECIPE | |  Author &gt; YOU</v>
      </c>
      <c r="T368" s="157">
        <f>T311</f>
        <v>18</v>
      </c>
      <c r="U368" s="158" t="str">
        <f>U311</f>
        <v>desserts</v>
      </c>
      <c r="V368" s="159" t="str">
        <f>V311</f>
        <v>Master recipe ► Enter the main recipe name</v>
      </c>
      <c r="W368" s="172"/>
      <c r="X368" s="172"/>
      <c r="Y368" s="172"/>
      <c r="Z368" s="172"/>
      <c r="AA368" s="172"/>
      <c r="AB368" s="172"/>
      <c r="AC368" s="172"/>
      <c r="AD368" s="172"/>
      <c r="AE368" s="172"/>
      <c r="AF368" s="555"/>
      <c r="AH368" s="104" t="s">
        <v>16</v>
      </c>
      <c r="AI368" s="157" t="str">
        <f>AI311</f>
        <v>N NOMBRE DE LA RECETA | | Autor &gt; USTED</v>
      </c>
      <c r="AJ368" s="157">
        <f>AJ311</f>
        <v>18</v>
      </c>
      <c r="AK368" s="158" t="str">
        <f>AK311</f>
        <v>postres</v>
      </c>
      <c r="AL368" s="159" t="str">
        <f>AL311</f>
        <v>Receta madre ► Introduzca el nombre de la receta principal</v>
      </c>
      <c r="AM368" s="172"/>
      <c r="AN368" s="172"/>
      <c r="AO368" s="172"/>
      <c r="AP368" s="172"/>
      <c r="AQ368" s="172"/>
      <c r="AR368" s="172"/>
      <c r="AS368" s="172"/>
      <c r="AT368" s="172"/>
      <c r="AU368" s="172"/>
      <c r="AV368" s="555"/>
      <c r="BV368" s="3">
        <v>1</v>
      </c>
    </row>
    <row r="369" spans="2:74" ht="15.75">
      <c r="B369" s="104" t="s">
        <v>16</v>
      </c>
      <c r="C369" s="157" t="str">
        <f>C311</f>
        <v>N NOM DE VOTRE RECETTE | | Auteur &gt; VOUS</v>
      </c>
      <c r="D369" s="157">
        <f>D311</f>
        <v>18</v>
      </c>
      <c r="E369" s="158" t="str">
        <f>E311</f>
        <v>desserts</v>
      </c>
      <c r="F369" s="159" t="str">
        <f>F311</f>
        <v>Recette mère ► Saisir le nom de la recette principale</v>
      </c>
      <c r="G369" s="172"/>
      <c r="H369" s="172"/>
      <c r="I369" s="172"/>
      <c r="J369" s="172"/>
      <c r="K369" s="172"/>
      <c r="L369" s="172"/>
      <c r="M369" s="172"/>
      <c r="N369" s="172"/>
      <c r="O369" s="172"/>
      <c r="P369" s="555"/>
      <c r="R369" s="104" t="s">
        <v>16</v>
      </c>
      <c r="S369" s="157" t="str">
        <f>S311</f>
        <v>N NAME OF YOUR RECIPE | |  Author &gt; YOU</v>
      </c>
      <c r="T369" s="157">
        <f>T311</f>
        <v>18</v>
      </c>
      <c r="U369" s="158" t="str">
        <f>U311</f>
        <v>desserts</v>
      </c>
      <c r="V369" s="159" t="str">
        <f>V311</f>
        <v>Master recipe ► Enter the main recipe name</v>
      </c>
      <c r="W369" s="172"/>
      <c r="X369" s="172"/>
      <c r="Y369" s="172"/>
      <c r="Z369" s="172"/>
      <c r="AA369" s="172"/>
      <c r="AB369" s="172"/>
      <c r="AC369" s="172"/>
      <c r="AD369" s="172"/>
      <c r="AE369" s="172"/>
      <c r="AF369" s="555"/>
      <c r="AH369" s="104" t="s">
        <v>16</v>
      </c>
      <c r="AI369" s="157" t="str">
        <f>AI311</f>
        <v>N NOMBRE DE LA RECETA | | Autor &gt; USTED</v>
      </c>
      <c r="AJ369" s="157">
        <f>AJ311</f>
        <v>18</v>
      </c>
      <c r="AK369" s="158" t="str">
        <f>AK311</f>
        <v>postres</v>
      </c>
      <c r="AL369" s="159" t="str">
        <f>AL311</f>
        <v>Receta madre ► Introduzca el nombre de la receta principal</v>
      </c>
      <c r="AM369" s="172"/>
      <c r="AN369" s="172"/>
      <c r="AO369" s="172"/>
      <c r="AP369" s="172"/>
      <c r="AQ369" s="172"/>
      <c r="AR369" s="172"/>
      <c r="AS369" s="172"/>
      <c r="AT369" s="172"/>
      <c r="AU369" s="172"/>
      <c r="AV369" s="555"/>
      <c r="BV369" s="3">
        <v>1</v>
      </c>
    </row>
    <row r="370" spans="2:74" ht="15.75" customHeight="1">
      <c r="B370" s="104" t="s">
        <v>16</v>
      </c>
      <c r="C370" s="157" t="str">
        <f>C311</f>
        <v>N NOM DE VOTRE RECETTE | | Auteur &gt; VOUS</v>
      </c>
      <c r="D370" s="157">
        <f>D311</f>
        <v>18</v>
      </c>
      <c r="E370" s="158" t="str">
        <f>E311</f>
        <v>desserts</v>
      </c>
      <c r="F370" s="159" t="str">
        <f>F311</f>
        <v>Recette mère ► Saisir le nom de la recette principale</v>
      </c>
      <c r="G370" s="172"/>
      <c r="H370" s="172"/>
      <c r="I370" s="172"/>
      <c r="J370" s="172"/>
      <c r="K370" s="172"/>
      <c r="L370" s="172"/>
      <c r="M370" s="172"/>
      <c r="N370" s="172"/>
      <c r="O370" s="172"/>
      <c r="P370" s="555"/>
      <c r="R370" s="104" t="s">
        <v>16</v>
      </c>
      <c r="S370" s="157" t="str">
        <f>S311</f>
        <v>N NAME OF YOUR RECIPE | |  Author &gt; YOU</v>
      </c>
      <c r="T370" s="157">
        <f>T311</f>
        <v>18</v>
      </c>
      <c r="U370" s="158" t="str">
        <f>U311</f>
        <v>desserts</v>
      </c>
      <c r="V370" s="159" t="str">
        <f>V311</f>
        <v>Master recipe ► Enter the main recipe name</v>
      </c>
      <c r="W370" s="172"/>
      <c r="X370" s="172"/>
      <c r="Y370" s="172"/>
      <c r="Z370" s="172"/>
      <c r="AA370" s="172"/>
      <c r="AB370" s="172"/>
      <c r="AC370" s="172"/>
      <c r="AD370" s="172"/>
      <c r="AE370" s="172"/>
      <c r="AF370" s="555"/>
      <c r="AH370" s="104" t="s">
        <v>16</v>
      </c>
      <c r="AI370" s="157" t="str">
        <f>AI311</f>
        <v>N NOMBRE DE LA RECETA | | Autor &gt; USTED</v>
      </c>
      <c r="AJ370" s="157">
        <f>AJ311</f>
        <v>18</v>
      </c>
      <c r="AK370" s="158" t="str">
        <f>AK311</f>
        <v>postres</v>
      </c>
      <c r="AL370" s="159" t="str">
        <f>AL311</f>
        <v>Receta madre ► Introduzca el nombre de la receta principal</v>
      </c>
      <c r="AM370" s="172"/>
      <c r="AN370" s="172"/>
      <c r="AO370" s="172"/>
      <c r="AP370" s="172"/>
      <c r="AQ370" s="172"/>
      <c r="AR370" s="172"/>
      <c r="AS370" s="172"/>
      <c r="AT370" s="172"/>
      <c r="AU370" s="172"/>
      <c r="AV370" s="555"/>
      <c r="BV370" s="3">
        <v>1</v>
      </c>
    </row>
    <row r="371" spans="2:74" ht="15.75" customHeight="1">
      <c r="B371" s="104" t="s">
        <v>16</v>
      </c>
      <c r="C371" s="157" t="str">
        <f>C311</f>
        <v>N NOM DE VOTRE RECETTE | | Auteur &gt; VOUS</v>
      </c>
      <c r="D371" s="157">
        <f>D311</f>
        <v>18</v>
      </c>
      <c r="E371" s="158" t="str">
        <f>E311</f>
        <v>desserts</v>
      </c>
      <c r="F371" s="159" t="str">
        <f>F311</f>
        <v>Recette mère ► Saisir le nom de la recette principale</v>
      </c>
      <c r="G371" s="172"/>
      <c r="H371" s="172"/>
      <c r="I371" s="172"/>
      <c r="J371" s="172"/>
      <c r="K371" s="172"/>
      <c r="L371" s="172"/>
      <c r="M371" s="172"/>
      <c r="N371" s="172"/>
      <c r="O371" s="172"/>
      <c r="P371" s="555"/>
      <c r="R371" s="104" t="s">
        <v>16</v>
      </c>
      <c r="S371" s="157" t="str">
        <f>S311</f>
        <v>N NAME OF YOUR RECIPE | |  Author &gt; YOU</v>
      </c>
      <c r="T371" s="157">
        <f>T311</f>
        <v>18</v>
      </c>
      <c r="U371" s="158" t="str">
        <f>U311</f>
        <v>desserts</v>
      </c>
      <c r="V371" s="159" t="str">
        <f>V311</f>
        <v>Master recipe ► Enter the main recipe name</v>
      </c>
      <c r="W371" s="172"/>
      <c r="X371" s="172"/>
      <c r="Y371" s="172"/>
      <c r="Z371" s="172"/>
      <c r="AA371" s="172"/>
      <c r="AB371" s="172"/>
      <c r="AC371" s="172"/>
      <c r="AD371" s="172"/>
      <c r="AE371" s="172"/>
      <c r="AF371" s="555"/>
      <c r="AH371" s="104" t="s">
        <v>16</v>
      </c>
      <c r="AI371" s="157" t="str">
        <f>AI311</f>
        <v>N NOMBRE DE LA RECETA | | Autor &gt; USTED</v>
      </c>
      <c r="AJ371" s="157">
        <f>AJ311</f>
        <v>18</v>
      </c>
      <c r="AK371" s="158" t="str">
        <f>AK311</f>
        <v>postres</v>
      </c>
      <c r="AL371" s="159" t="str">
        <f>AL311</f>
        <v>Receta madre ► Introduzca el nombre de la receta principal</v>
      </c>
      <c r="AM371" s="172"/>
      <c r="AN371" s="172"/>
      <c r="AO371" s="172"/>
      <c r="AP371" s="172"/>
      <c r="AQ371" s="172"/>
      <c r="AR371" s="172"/>
      <c r="AS371" s="172"/>
      <c r="AT371" s="172"/>
      <c r="AU371" s="172"/>
      <c r="AV371" s="555"/>
      <c r="BV371" s="3">
        <v>1</v>
      </c>
    </row>
    <row r="372" spans="2:74" ht="15.75">
      <c r="B372" s="104" t="s">
        <v>16</v>
      </c>
      <c r="C372" s="157" t="str">
        <f>C311</f>
        <v>N NOM DE VOTRE RECETTE | | Auteur &gt; VOUS</v>
      </c>
      <c r="D372" s="157">
        <f>D311</f>
        <v>18</v>
      </c>
      <c r="E372" s="158" t="str">
        <f>E311</f>
        <v>desserts</v>
      </c>
      <c r="F372" s="159" t="str">
        <f>F311</f>
        <v>Recette mère ► Saisir le nom de la recette principale</v>
      </c>
      <c r="G372" s="172"/>
      <c r="H372" s="172"/>
      <c r="I372" s="172"/>
      <c r="J372" s="172"/>
      <c r="K372" s="172"/>
      <c r="L372" s="172"/>
      <c r="M372" s="172"/>
      <c r="N372" s="172"/>
      <c r="O372" s="172"/>
      <c r="P372" s="555"/>
      <c r="R372" s="104" t="s">
        <v>16</v>
      </c>
      <c r="S372" s="157" t="str">
        <f>S311</f>
        <v>N NAME OF YOUR RECIPE | |  Author &gt; YOU</v>
      </c>
      <c r="T372" s="157">
        <f>T311</f>
        <v>18</v>
      </c>
      <c r="U372" s="158" t="str">
        <f>U311</f>
        <v>desserts</v>
      </c>
      <c r="V372" s="159" t="str">
        <f>V311</f>
        <v>Master recipe ► Enter the main recipe name</v>
      </c>
      <c r="W372" s="172"/>
      <c r="X372" s="172"/>
      <c r="Y372" s="172"/>
      <c r="Z372" s="172"/>
      <c r="AA372" s="172"/>
      <c r="AB372" s="172"/>
      <c r="AC372" s="172"/>
      <c r="AD372" s="172"/>
      <c r="AE372" s="172"/>
      <c r="AF372" s="555"/>
      <c r="AH372" s="104" t="s">
        <v>16</v>
      </c>
      <c r="AI372" s="157" t="str">
        <f>AI311</f>
        <v>N NOMBRE DE LA RECETA | | Autor &gt; USTED</v>
      </c>
      <c r="AJ372" s="157">
        <f>AJ311</f>
        <v>18</v>
      </c>
      <c r="AK372" s="158" t="str">
        <f>AK311</f>
        <v>postres</v>
      </c>
      <c r="AL372" s="159" t="str">
        <f>AL311</f>
        <v>Receta madre ► Introduzca el nombre de la receta principal</v>
      </c>
      <c r="AM372" s="172"/>
      <c r="AN372" s="172"/>
      <c r="AO372" s="172"/>
      <c r="AP372" s="172"/>
      <c r="AQ372" s="172"/>
      <c r="AR372" s="172"/>
      <c r="AS372" s="172"/>
      <c r="AT372" s="172"/>
      <c r="AU372" s="172"/>
      <c r="AV372" s="555"/>
      <c r="BV372" s="3">
        <v>1</v>
      </c>
    </row>
    <row r="373" spans="2:74" ht="15.75" customHeight="1">
      <c r="B373" s="104" t="s">
        <v>16</v>
      </c>
      <c r="C373" s="157" t="str">
        <f>C311</f>
        <v>N NOM DE VOTRE RECETTE | | Auteur &gt; VOUS</v>
      </c>
      <c r="D373" s="157">
        <f>D311</f>
        <v>18</v>
      </c>
      <c r="E373" s="158" t="str">
        <f>E311</f>
        <v>desserts</v>
      </c>
      <c r="F373" s="159" t="str">
        <f>F311</f>
        <v>Recette mère ► Saisir le nom de la recette principale</v>
      </c>
      <c r="G373" s="172"/>
      <c r="H373" s="172"/>
      <c r="I373" s="172"/>
      <c r="J373" s="172"/>
      <c r="K373" s="172"/>
      <c r="L373" s="172"/>
      <c r="M373" s="172"/>
      <c r="N373" s="172"/>
      <c r="O373" s="172"/>
      <c r="P373" s="555"/>
      <c r="R373" s="104" t="s">
        <v>16</v>
      </c>
      <c r="S373" s="157" t="str">
        <f>S311</f>
        <v>N NAME OF YOUR RECIPE | |  Author &gt; YOU</v>
      </c>
      <c r="T373" s="157">
        <f>T311</f>
        <v>18</v>
      </c>
      <c r="U373" s="158" t="str">
        <f>U311</f>
        <v>desserts</v>
      </c>
      <c r="V373" s="159" t="str">
        <f>V311</f>
        <v>Master recipe ► Enter the main recipe name</v>
      </c>
      <c r="W373" s="172"/>
      <c r="X373" s="172"/>
      <c r="Y373" s="172"/>
      <c r="Z373" s="172"/>
      <c r="AA373" s="172"/>
      <c r="AB373" s="172"/>
      <c r="AC373" s="172"/>
      <c r="AD373" s="172"/>
      <c r="AE373" s="172"/>
      <c r="AF373" s="555"/>
      <c r="AH373" s="104" t="s">
        <v>16</v>
      </c>
      <c r="AI373" s="157" t="str">
        <f>AI311</f>
        <v>N NOMBRE DE LA RECETA | | Autor &gt; USTED</v>
      </c>
      <c r="AJ373" s="157">
        <f>AJ311</f>
        <v>18</v>
      </c>
      <c r="AK373" s="158" t="str">
        <f>AK311</f>
        <v>postres</v>
      </c>
      <c r="AL373" s="159" t="str">
        <f>AL311</f>
        <v>Receta madre ► Introduzca el nombre de la receta principal</v>
      </c>
      <c r="AM373" s="172"/>
      <c r="AN373" s="172"/>
      <c r="AO373" s="172"/>
      <c r="AP373" s="172"/>
      <c r="AQ373" s="172"/>
      <c r="AR373" s="172"/>
      <c r="AS373" s="172"/>
      <c r="AT373" s="172"/>
      <c r="AU373" s="172"/>
      <c r="AV373" s="555"/>
      <c r="BV373" s="3">
        <v>1</v>
      </c>
    </row>
    <row r="374" spans="2:74" ht="15.75">
      <c r="B374" s="104" t="s">
        <v>16</v>
      </c>
      <c r="C374" s="157" t="str">
        <f>C311</f>
        <v>N NOM DE VOTRE RECETTE | | Auteur &gt; VOUS</v>
      </c>
      <c r="D374" s="157">
        <f>D311</f>
        <v>18</v>
      </c>
      <c r="E374" s="158" t="str">
        <f>E311</f>
        <v>desserts</v>
      </c>
      <c r="F374" s="159" t="str">
        <f>F311</f>
        <v>Recette mère ► Saisir le nom de la recette principale</v>
      </c>
      <c r="G374" s="172"/>
      <c r="H374" s="172"/>
      <c r="I374" s="172"/>
      <c r="J374" s="172"/>
      <c r="K374" s="172"/>
      <c r="L374" s="172"/>
      <c r="M374" s="172"/>
      <c r="N374" s="172"/>
      <c r="O374" s="172"/>
      <c r="P374" s="555"/>
      <c r="R374" s="104" t="s">
        <v>16</v>
      </c>
      <c r="S374" s="157" t="str">
        <f>S311</f>
        <v>N NAME OF YOUR RECIPE | |  Author &gt; YOU</v>
      </c>
      <c r="T374" s="157">
        <f>T311</f>
        <v>18</v>
      </c>
      <c r="U374" s="158" t="str">
        <f>U311</f>
        <v>desserts</v>
      </c>
      <c r="V374" s="159" t="str">
        <f>V311</f>
        <v>Master recipe ► Enter the main recipe name</v>
      </c>
      <c r="W374" s="172"/>
      <c r="X374" s="172"/>
      <c r="Y374" s="172"/>
      <c r="Z374" s="172"/>
      <c r="AA374" s="172"/>
      <c r="AB374" s="172"/>
      <c r="AC374" s="172"/>
      <c r="AD374" s="172"/>
      <c r="AE374" s="172"/>
      <c r="AF374" s="555"/>
      <c r="AH374" s="104" t="s">
        <v>16</v>
      </c>
      <c r="AI374" s="157" t="str">
        <f>AI311</f>
        <v>N NOMBRE DE LA RECETA | | Autor &gt; USTED</v>
      </c>
      <c r="AJ374" s="157">
        <f>AJ311</f>
        <v>18</v>
      </c>
      <c r="AK374" s="158" t="str">
        <f>AK311</f>
        <v>postres</v>
      </c>
      <c r="AL374" s="159" t="str">
        <f>AL311</f>
        <v>Receta madre ► Introduzca el nombre de la receta principal</v>
      </c>
      <c r="AM374" s="172"/>
      <c r="AN374" s="172"/>
      <c r="AO374" s="172"/>
      <c r="AP374" s="172"/>
      <c r="AQ374" s="172"/>
      <c r="AR374" s="172"/>
      <c r="AS374" s="172"/>
      <c r="AT374" s="172"/>
      <c r="AU374" s="172"/>
      <c r="AV374" s="555"/>
      <c r="BV374" s="3">
        <v>1</v>
      </c>
    </row>
    <row r="375" spans="2:74" ht="15.75">
      <c r="B375" s="104" t="s">
        <v>16</v>
      </c>
      <c r="C375" s="157" t="str">
        <f>C311</f>
        <v>N NOM DE VOTRE RECETTE | | Auteur &gt; VOUS</v>
      </c>
      <c r="D375" s="157">
        <f>D311</f>
        <v>18</v>
      </c>
      <c r="E375" s="158" t="str">
        <f>E311</f>
        <v>desserts</v>
      </c>
      <c r="F375" s="159" t="str">
        <f>F311</f>
        <v>Recette mère ► Saisir le nom de la recette principale</v>
      </c>
      <c r="G375" s="172"/>
      <c r="H375" s="172"/>
      <c r="I375" s="172"/>
      <c r="J375" s="172"/>
      <c r="K375" s="172"/>
      <c r="L375" s="172"/>
      <c r="M375" s="172"/>
      <c r="N375" s="172"/>
      <c r="O375" s="172"/>
      <c r="P375" s="555"/>
      <c r="R375" s="104" t="s">
        <v>16</v>
      </c>
      <c r="S375" s="157" t="str">
        <f>S311</f>
        <v>N NAME OF YOUR RECIPE | |  Author &gt; YOU</v>
      </c>
      <c r="T375" s="157">
        <f>T311</f>
        <v>18</v>
      </c>
      <c r="U375" s="158" t="str">
        <f>U311</f>
        <v>desserts</v>
      </c>
      <c r="V375" s="159" t="str">
        <f>V311</f>
        <v>Master recipe ► Enter the main recipe name</v>
      </c>
      <c r="W375" s="172"/>
      <c r="X375" s="172"/>
      <c r="Y375" s="172"/>
      <c r="Z375" s="172"/>
      <c r="AA375" s="172"/>
      <c r="AB375" s="172"/>
      <c r="AC375" s="172"/>
      <c r="AD375" s="172"/>
      <c r="AE375" s="172"/>
      <c r="AF375" s="555"/>
      <c r="AH375" s="104" t="s">
        <v>16</v>
      </c>
      <c r="AI375" s="157" t="str">
        <f>AI311</f>
        <v>N NOMBRE DE LA RECETA | | Autor &gt; USTED</v>
      </c>
      <c r="AJ375" s="157">
        <f>AJ311</f>
        <v>18</v>
      </c>
      <c r="AK375" s="158" t="str">
        <f>AK311</f>
        <v>postres</v>
      </c>
      <c r="AL375" s="159" t="str">
        <f>AL311</f>
        <v>Receta madre ► Introduzca el nombre de la receta principal</v>
      </c>
      <c r="AM375" s="172"/>
      <c r="AN375" s="172"/>
      <c r="AO375" s="172"/>
      <c r="AP375" s="172"/>
      <c r="AQ375" s="172"/>
      <c r="AR375" s="172"/>
      <c r="AS375" s="172"/>
      <c r="AT375" s="172"/>
      <c r="AU375" s="172"/>
      <c r="AV375" s="555"/>
      <c r="BV375" s="3">
        <v>1</v>
      </c>
    </row>
    <row r="376" spans="2:74" ht="15" customHeight="1">
      <c r="B376" s="104" t="s">
        <v>16</v>
      </c>
      <c r="C376" s="157" t="str">
        <f>C311</f>
        <v>N NOM DE VOTRE RECETTE | | Auteur &gt; VOUS</v>
      </c>
      <c r="D376" s="157">
        <f>D311</f>
        <v>18</v>
      </c>
      <c r="E376" s="158" t="str">
        <f>E311</f>
        <v>desserts</v>
      </c>
      <c r="F376" s="159" t="str">
        <f>F311</f>
        <v>Recette mère ► Saisir le nom de la recette principale</v>
      </c>
      <c r="G376" s="172"/>
      <c r="H376" s="172"/>
      <c r="I376" s="172"/>
      <c r="J376" s="172"/>
      <c r="K376" s="172"/>
      <c r="L376" s="172"/>
      <c r="M376" s="172"/>
      <c r="N376" s="172"/>
      <c r="O376" s="172"/>
      <c r="P376" s="555"/>
      <c r="R376" s="104" t="s">
        <v>16</v>
      </c>
      <c r="S376" s="157" t="str">
        <f>S311</f>
        <v>N NAME OF YOUR RECIPE | |  Author &gt; YOU</v>
      </c>
      <c r="T376" s="157">
        <f>T311</f>
        <v>18</v>
      </c>
      <c r="U376" s="158" t="str">
        <f>U311</f>
        <v>desserts</v>
      </c>
      <c r="V376" s="159" t="str">
        <f>V311</f>
        <v>Master recipe ► Enter the main recipe name</v>
      </c>
      <c r="W376" s="172"/>
      <c r="X376" s="172"/>
      <c r="Y376" s="172"/>
      <c r="Z376" s="172"/>
      <c r="AA376" s="172"/>
      <c r="AB376" s="172"/>
      <c r="AC376" s="172"/>
      <c r="AD376" s="172"/>
      <c r="AE376" s="172"/>
      <c r="AF376" s="555"/>
      <c r="AH376" s="104" t="s">
        <v>16</v>
      </c>
      <c r="AI376" s="157" t="str">
        <f>AI311</f>
        <v>N NOMBRE DE LA RECETA | | Autor &gt; USTED</v>
      </c>
      <c r="AJ376" s="157">
        <f>AJ311</f>
        <v>18</v>
      </c>
      <c r="AK376" s="158" t="str">
        <f>AK311</f>
        <v>postres</v>
      </c>
      <c r="AL376" s="159" t="str">
        <f>AL311</f>
        <v>Receta madre ► Introduzca el nombre de la receta principal</v>
      </c>
      <c r="AM376" s="172"/>
      <c r="AN376" s="172"/>
      <c r="AO376" s="172"/>
      <c r="AP376" s="172"/>
      <c r="AQ376" s="172"/>
      <c r="AR376" s="172"/>
      <c r="AS376" s="172"/>
      <c r="AT376" s="172"/>
      <c r="AU376" s="172"/>
      <c r="AV376" s="555"/>
      <c r="BV376" s="3">
        <v>1</v>
      </c>
    </row>
    <row r="377" spans="2:74" ht="15" customHeight="1">
      <c r="B377" s="104" t="s">
        <v>16</v>
      </c>
      <c r="C377" s="157" t="str">
        <f>C311</f>
        <v>N NOM DE VOTRE RECETTE | | Auteur &gt; VOUS</v>
      </c>
      <c r="D377" s="157">
        <f>D311</f>
        <v>18</v>
      </c>
      <c r="E377" s="158" t="str">
        <f>E311</f>
        <v>desserts</v>
      </c>
      <c r="F377" s="159" t="str">
        <f>F311</f>
        <v>Recette mère ► Saisir le nom de la recette principale</v>
      </c>
      <c r="G377" s="172"/>
      <c r="H377" s="172"/>
      <c r="I377" s="172"/>
      <c r="J377" s="172"/>
      <c r="K377" s="172"/>
      <c r="L377" s="172"/>
      <c r="M377" s="172"/>
      <c r="N377" s="172"/>
      <c r="O377" s="172"/>
      <c r="P377" s="555"/>
      <c r="R377" s="104" t="s">
        <v>16</v>
      </c>
      <c r="S377" s="157" t="str">
        <f>S311</f>
        <v>N NAME OF YOUR RECIPE | |  Author &gt; YOU</v>
      </c>
      <c r="T377" s="157">
        <f>T311</f>
        <v>18</v>
      </c>
      <c r="U377" s="158" t="str">
        <f>U311</f>
        <v>desserts</v>
      </c>
      <c r="V377" s="159" t="str">
        <f>V311</f>
        <v>Master recipe ► Enter the main recipe name</v>
      </c>
      <c r="W377" s="172"/>
      <c r="X377" s="172"/>
      <c r="Y377" s="172"/>
      <c r="Z377" s="172"/>
      <c r="AA377" s="172"/>
      <c r="AB377" s="172"/>
      <c r="AC377" s="172"/>
      <c r="AD377" s="172"/>
      <c r="AE377" s="172"/>
      <c r="AF377" s="555"/>
      <c r="AH377" s="104" t="s">
        <v>16</v>
      </c>
      <c r="AI377" s="157" t="str">
        <f>AI311</f>
        <v>N NOMBRE DE LA RECETA | | Autor &gt; USTED</v>
      </c>
      <c r="AJ377" s="157">
        <f>AJ311</f>
        <v>18</v>
      </c>
      <c r="AK377" s="158" t="str">
        <f>AK311</f>
        <v>postres</v>
      </c>
      <c r="AL377" s="159" t="str">
        <f>AL311</f>
        <v>Receta madre ► Introduzca el nombre de la receta principal</v>
      </c>
      <c r="AM377" s="172"/>
      <c r="AN377" s="172"/>
      <c r="AO377" s="172"/>
      <c r="AP377" s="172"/>
      <c r="AQ377" s="172"/>
      <c r="AR377" s="172"/>
      <c r="AS377" s="172"/>
      <c r="AT377" s="172"/>
      <c r="AU377" s="172"/>
      <c r="AV377" s="555"/>
      <c r="BV377" s="3">
        <v>1</v>
      </c>
    </row>
    <row r="378" spans="2:74" ht="15.75" customHeight="1">
      <c r="B378" s="104" t="s">
        <v>16</v>
      </c>
      <c r="C378" s="157" t="str">
        <f>C311</f>
        <v>N NOM DE VOTRE RECETTE | | Auteur &gt; VOUS</v>
      </c>
      <c r="D378" s="157">
        <f>D311</f>
        <v>18</v>
      </c>
      <c r="E378" s="158" t="str">
        <f>E311</f>
        <v>desserts</v>
      </c>
      <c r="F378" s="159" t="str">
        <f>F311</f>
        <v>Recette mère ► Saisir le nom de la recette principale</v>
      </c>
      <c r="G378" s="172"/>
      <c r="H378" s="172"/>
      <c r="I378" s="172"/>
      <c r="J378" s="172"/>
      <c r="K378" s="172"/>
      <c r="L378" s="172"/>
      <c r="M378" s="172"/>
      <c r="N378" s="172"/>
      <c r="O378" s="172"/>
      <c r="P378" s="555"/>
      <c r="R378" s="104" t="s">
        <v>16</v>
      </c>
      <c r="S378" s="157" t="str">
        <f>S311</f>
        <v>N NAME OF YOUR RECIPE | |  Author &gt; YOU</v>
      </c>
      <c r="T378" s="157">
        <f>T311</f>
        <v>18</v>
      </c>
      <c r="U378" s="158" t="str">
        <f>U311</f>
        <v>desserts</v>
      </c>
      <c r="V378" s="159" t="str">
        <f>V311</f>
        <v>Master recipe ► Enter the main recipe name</v>
      </c>
      <c r="W378" s="172"/>
      <c r="X378" s="172"/>
      <c r="Y378" s="172"/>
      <c r="Z378" s="172"/>
      <c r="AA378" s="172"/>
      <c r="AB378" s="172"/>
      <c r="AC378" s="172"/>
      <c r="AD378" s="172"/>
      <c r="AE378" s="172"/>
      <c r="AF378" s="555"/>
      <c r="AH378" s="104" t="s">
        <v>16</v>
      </c>
      <c r="AI378" s="157" t="str">
        <f>AI311</f>
        <v>N NOMBRE DE LA RECETA | | Autor &gt; USTED</v>
      </c>
      <c r="AJ378" s="157">
        <f>AJ311</f>
        <v>18</v>
      </c>
      <c r="AK378" s="158" t="str">
        <f>AK311</f>
        <v>postres</v>
      </c>
      <c r="AL378" s="159" t="str">
        <f>AL311</f>
        <v>Receta madre ► Introduzca el nombre de la receta principal</v>
      </c>
      <c r="AM378" s="172"/>
      <c r="AN378" s="172"/>
      <c r="AO378" s="172"/>
      <c r="AP378" s="172"/>
      <c r="AQ378" s="172"/>
      <c r="AR378" s="172"/>
      <c r="AS378" s="172"/>
      <c r="AT378" s="172"/>
      <c r="AU378" s="172"/>
      <c r="AV378" s="555"/>
      <c r="BV378" s="3">
        <v>1</v>
      </c>
    </row>
    <row r="379" spans="2:74" ht="15.75">
      <c r="B379" s="104" t="s">
        <v>16</v>
      </c>
      <c r="C379" s="157" t="str">
        <f>C311</f>
        <v>N NOM DE VOTRE RECETTE | | Auteur &gt; VOUS</v>
      </c>
      <c r="D379" s="157">
        <f>D311</f>
        <v>18</v>
      </c>
      <c r="E379" s="158" t="str">
        <f>E311</f>
        <v>desserts</v>
      </c>
      <c r="F379" s="159" t="str">
        <f>F311</f>
        <v>Recette mère ► Saisir le nom de la recette principale</v>
      </c>
      <c r="G379" s="172"/>
      <c r="H379" s="172"/>
      <c r="I379" s="172"/>
      <c r="J379" s="172"/>
      <c r="K379" s="172"/>
      <c r="L379" s="172"/>
      <c r="M379" s="172"/>
      <c r="N379" s="172"/>
      <c r="O379" s="172"/>
      <c r="P379" s="555"/>
      <c r="R379" s="104" t="s">
        <v>16</v>
      </c>
      <c r="S379" s="157" t="str">
        <f>S311</f>
        <v>N NAME OF YOUR RECIPE | |  Author &gt; YOU</v>
      </c>
      <c r="T379" s="157">
        <f>T311</f>
        <v>18</v>
      </c>
      <c r="U379" s="158" t="str">
        <f>U311</f>
        <v>desserts</v>
      </c>
      <c r="V379" s="159" t="str">
        <f>V311</f>
        <v>Master recipe ► Enter the main recipe name</v>
      </c>
      <c r="W379" s="172"/>
      <c r="X379" s="172"/>
      <c r="Y379" s="172"/>
      <c r="Z379" s="172"/>
      <c r="AA379" s="172"/>
      <c r="AB379" s="172"/>
      <c r="AC379" s="172"/>
      <c r="AD379" s="172"/>
      <c r="AE379" s="172"/>
      <c r="AF379" s="555"/>
      <c r="AH379" s="104" t="s">
        <v>16</v>
      </c>
      <c r="AI379" s="157" t="str">
        <f>AI311</f>
        <v>N NOMBRE DE LA RECETA | | Autor &gt; USTED</v>
      </c>
      <c r="AJ379" s="157">
        <f>AJ311</f>
        <v>18</v>
      </c>
      <c r="AK379" s="158" t="str">
        <f>AK311</f>
        <v>postres</v>
      </c>
      <c r="AL379" s="159" t="str">
        <f>AL311</f>
        <v>Receta madre ► Introduzca el nombre de la receta principal</v>
      </c>
      <c r="AM379" s="172"/>
      <c r="AN379" s="172"/>
      <c r="AO379" s="172"/>
      <c r="AP379" s="172"/>
      <c r="AQ379" s="172"/>
      <c r="AR379" s="172"/>
      <c r="AS379" s="172"/>
      <c r="AT379" s="172"/>
      <c r="AU379" s="172"/>
      <c r="AV379" s="555"/>
      <c r="BV379" s="3">
        <v>1</v>
      </c>
    </row>
    <row r="380" spans="2:74" ht="15.75">
      <c r="B380" s="104" t="s">
        <v>16</v>
      </c>
      <c r="C380" s="157" t="str">
        <f>C311</f>
        <v>N NOM DE VOTRE RECETTE | | Auteur &gt; VOUS</v>
      </c>
      <c r="D380" s="157">
        <f>D311</f>
        <v>18</v>
      </c>
      <c r="E380" s="158" t="str">
        <f>E311</f>
        <v>desserts</v>
      </c>
      <c r="F380" s="159" t="str">
        <f>F311</f>
        <v>Recette mère ► Saisir le nom de la recette principale</v>
      </c>
      <c r="G380" s="172"/>
      <c r="H380" s="172"/>
      <c r="I380" s="172"/>
      <c r="J380" s="172"/>
      <c r="K380" s="172"/>
      <c r="L380" s="172"/>
      <c r="M380" s="172"/>
      <c r="N380" s="172"/>
      <c r="O380" s="172"/>
      <c r="P380" s="555"/>
      <c r="R380" s="104" t="s">
        <v>16</v>
      </c>
      <c r="S380" s="157" t="str">
        <f>S311</f>
        <v>N NAME OF YOUR RECIPE | |  Author &gt; YOU</v>
      </c>
      <c r="T380" s="157">
        <f>T311</f>
        <v>18</v>
      </c>
      <c r="U380" s="158" t="str">
        <f>U311</f>
        <v>desserts</v>
      </c>
      <c r="V380" s="159" t="str">
        <f>V311</f>
        <v>Master recipe ► Enter the main recipe name</v>
      </c>
      <c r="W380" s="172"/>
      <c r="X380" s="172"/>
      <c r="Y380" s="172"/>
      <c r="Z380" s="172"/>
      <c r="AA380" s="172"/>
      <c r="AB380" s="172"/>
      <c r="AC380" s="172"/>
      <c r="AD380" s="172"/>
      <c r="AE380" s="172"/>
      <c r="AF380" s="555"/>
      <c r="AH380" s="104" t="s">
        <v>16</v>
      </c>
      <c r="AI380" s="157" t="str">
        <f>AI311</f>
        <v>N NOMBRE DE LA RECETA | | Autor &gt; USTED</v>
      </c>
      <c r="AJ380" s="157">
        <f>AJ311</f>
        <v>18</v>
      </c>
      <c r="AK380" s="158" t="str">
        <f>AK311</f>
        <v>postres</v>
      </c>
      <c r="AL380" s="159" t="str">
        <f>AL311</f>
        <v>Receta madre ► Introduzca el nombre de la receta principal</v>
      </c>
      <c r="AM380" s="172"/>
      <c r="AN380" s="172"/>
      <c r="AO380" s="172"/>
      <c r="AP380" s="172"/>
      <c r="AQ380" s="172"/>
      <c r="AR380" s="172"/>
      <c r="AS380" s="172"/>
      <c r="AT380" s="172"/>
      <c r="AU380" s="172"/>
      <c r="AV380" s="555"/>
      <c r="BV380" s="3">
        <v>1</v>
      </c>
    </row>
    <row r="381" spans="2:74" ht="15.75">
      <c r="B381" s="104" t="s">
        <v>16</v>
      </c>
      <c r="C381" s="157" t="str">
        <f>C311</f>
        <v>N NOM DE VOTRE RECETTE | | Auteur &gt; VOUS</v>
      </c>
      <c r="D381" s="157">
        <f>D311</f>
        <v>18</v>
      </c>
      <c r="E381" s="158" t="str">
        <f>E311</f>
        <v>desserts</v>
      </c>
      <c r="F381" s="159" t="str">
        <f>F311</f>
        <v>Recette mère ► Saisir le nom de la recette principale</v>
      </c>
      <c r="G381" s="172"/>
      <c r="H381" s="172"/>
      <c r="I381" s="172"/>
      <c r="J381" s="172"/>
      <c r="K381" s="172"/>
      <c r="L381" s="172"/>
      <c r="M381" s="172"/>
      <c r="N381" s="172"/>
      <c r="O381" s="172"/>
      <c r="P381" s="555"/>
      <c r="R381" s="104" t="s">
        <v>16</v>
      </c>
      <c r="S381" s="157" t="str">
        <f>S311</f>
        <v>N NAME OF YOUR RECIPE | |  Author &gt; YOU</v>
      </c>
      <c r="T381" s="157">
        <f>T311</f>
        <v>18</v>
      </c>
      <c r="U381" s="158" t="str">
        <f>U311</f>
        <v>desserts</v>
      </c>
      <c r="V381" s="159" t="str">
        <f>V311</f>
        <v>Master recipe ► Enter the main recipe name</v>
      </c>
      <c r="W381" s="172"/>
      <c r="X381" s="172"/>
      <c r="Y381" s="172"/>
      <c r="Z381" s="172"/>
      <c r="AA381" s="172"/>
      <c r="AB381" s="172"/>
      <c r="AC381" s="172"/>
      <c r="AD381" s="172"/>
      <c r="AE381" s="172"/>
      <c r="AF381" s="555"/>
      <c r="AH381" s="104" t="s">
        <v>16</v>
      </c>
      <c r="AI381" s="157" t="str">
        <f>AI311</f>
        <v>N NOMBRE DE LA RECETA | | Autor &gt; USTED</v>
      </c>
      <c r="AJ381" s="157">
        <f>AJ311</f>
        <v>18</v>
      </c>
      <c r="AK381" s="158" t="str">
        <f>AK311</f>
        <v>postres</v>
      </c>
      <c r="AL381" s="159" t="str">
        <f>AL311</f>
        <v>Receta madre ► Introduzca el nombre de la receta principal</v>
      </c>
      <c r="AM381" s="172"/>
      <c r="AN381" s="172"/>
      <c r="AO381" s="172"/>
      <c r="AP381" s="172"/>
      <c r="AQ381" s="172"/>
      <c r="AR381" s="172"/>
      <c r="AS381" s="172"/>
      <c r="AT381" s="172"/>
      <c r="AU381" s="172"/>
      <c r="AV381" s="555"/>
      <c r="BV381" s="3">
        <v>1</v>
      </c>
    </row>
    <row r="382" spans="2:74" ht="15.75">
      <c r="B382" s="104" t="s">
        <v>16</v>
      </c>
      <c r="C382" s="157" t="str">
        <f>C311</f>
        <v>N NOM DE VOTRE RECETTE | | Auteur &gt; VOUS</v>
      </c>
      <c r="D382" s="157">
        <f>D311</f>
        <v>18</v>
      </c>
      <c r="E382" s="158" t="str">
        <f>E311</f>
        <v>desserts</v>
      </c>
      <c r="F382" s="159" t="str">
        <f>F311</f>
        <v>Recette mère ► Saisir le nom de la recette principale</v>
      </c>
      <c r="G382" s="232" t="s">
        <v>167</v>
      </c>
      <c r="H382" s="1536"/>
      <c r="I382" s="1536"/>
      <c r="J382" s="1536"/>
      <c r="K382" s="1536"/>
      <c r="L382" s="1536"/>
      <c r="M382" s="1536"/>
      <c r="N382" s="1536"/>
      <c r="O382" s="1536"/>
      <c r="P382" s="1537"/>
      <c r="R382" s="104" t="s">
        <v>16</v>
      </c>
      <c r="S382" s="157" t="str">
        <f>S311</f>
        <v>N NAME OF YOUR RECIPE | |  Author &gt; YOU</v>
      </c>
      <c r="T382" s="157">
        <f>T311</f>
        <v>18</v>
      </c>
      <c r="U382" s="158" t="str">
        <f>U311</f>
        <v>desserts</v>
      </c>
      <c r="V382" s="159" t="str">
        <f>V311</f>
        <v>Master recipe ► Enter the main recipe name</v>
      </c>
      <c r="W382" s="232" t="s">
        <v>752</v>
      </c>
      <c r="X382" s="1536"/>
      <c r="Y382" s="1536"/>
      <c r="Z382" s="1536"/>
      <c r="AA382" s="1536"/>
      <c r="AB382" s="1536"/>
      <c r="AC382" s="1536"/>
      <c r="AD382" s="1536"/>
      <c r="AE382" s="1536"/>
      <c r="AF382" s="1537"/>
      <c r="AH382" s="104" t="s">
        <v>16</v>
      </c>
      <c r="AI382" s="157" t="str">
        <f>AI311</f>
        <v>N NOMBRE DE LA RECETA | | Autor &gt; USTED</v>
      </c>
      <c r="AJ382" s="157">
        <f>AJ311</f>
        <v>18</v>
      </c>
      <c r="AK382" s="158" t="str">
        <f>AK311</f>
        <v>postres</v>
      </c>
      <c r="AL382" s="159" t="str">
        <f>AL311</f>
        <v>Receta madre ► Introduzca el nombre de la receta principal</v>
      </c>
      <c r="AM382" s="232" t="s">
        <v>754</v>
      </c>
      <c r="AN382" s="1536"/>
      <c r="AO382" s="1536"/>
      <c r="AP382" s="1536"/>
      <c r="AQ382" s="1536"/>
      <c r="AR382" s="1536"/>
      <c r="AS382" s="1536"/>
      <c r="AT382" s="1536"/>
      <c r="AU382" s="1536"/>
      <c r="AV382" s="1537"/>
      <c r="BV382" s="3">
        <v>1</v>
      </c>
    </row>
    <row r="383" spans="2:74" ht="15.75">
      <c r="B383" s="104" t="s">
        <v>16</v>
      </c>
      <c r="C383" s="157" t="str">
        <f>C311</f>
        <v>N NOM DE VOTRE RECETTE | | Auteur &gt; VOUS</v>
      </c>
      <c r="D383" s="157">
        <f>D311</f>
        <v>18</v>
      </c>
      <c r="E383" s="158" t="str">
        <f>E311</f>
        <v>desserts</v>
      </c>
      <c r="F383" s="159" t="str">
        <f>F311</f>
        <v>Recette mère ► Saisir le nom de la recette principale</v>
      </c>
      <c r="G383" s="172"/>
      <c r="H383" s="172"/>
      <c r="I383" s="172"/>
      <c r="J383" s="172"/>
      <c r="K383" s="172"/>
      <c r="L383" s="172"/>
      <c r="M383" s="172"/>
      <c r="N383" s="172"/>
      <c r="O383" s="172"/>
      <c r="P383" s="555"/>
      <c r="R383" s="104" t="s">
        <v>16</v>
      </c>
      <c r="S383" s="157" t="str">
        <f>S311</f>
        <v>N NAME OF YOUR RECIPE | |  Author &gt; YOU</v>
      </c>
      <c r="T383" s="157">
        <f>T311</f>
        <v>18</v>
      </c>
      <c r="U383" s="158" t="str">
        <f>U311</f>
        <v>desserts</v>
      </c>
      <c r="V383" s="159" t="str">
        <f>V311</f>
        <v>Master recipe ► Enter the main recipe name</v>
      </c>
      <c r="W383" s="172"/>
      <c r="X383" s="172"/>
      <c r="Y383" s="172"/>
      <c r="Z383" s="172"/>
      <c r="AA383" s="172"/>
      <c r="AB383" s="172"/>
      <c r="AC383" s="172"/>
      <c r="AD383" s="172"/>
      <c r="AE383" s="172"/>
      <c r="AF383" s="555"/>
      <c r="AH383" s="104" t="s">
        <v>16</v>
      </c>
      <c r="AI383" s="157" t="str">
        <f>AI311</f>
        <v>N NOMBRE DE LA RECETA | | Autor &gt; USTED</v>
      </c>
      <c r="AJ383" s="157">
        <f>AJ311</f>
        <v>18</v>
      </c>
      <c r="AK383" s="158" t="str">
        <f>AK311</f>
        <v>postres</v>
      </c>
      <c r="AL383" s="159" t="str">
        <f>AL311</f>
        <v>Receta madre ► Introduzca el nombre de la receta principal</v>
      </c>
      <c r="AM383" s="172"/>
      <c r="AN383" s="172"/>
      <c r="AO383" s="172"/>
      <c r="AP383" s="172"/>
      <c r="AQ383" s="172"/>
      <c r="AR383" s="172"/>
      <c r="AS383" s="172"/>
      <c r="AT383" s="172"/>
      <c r="AU383" s="172"/>
      <c r="AV383" s="555"/>
      <c r="BV383" s="3">
        <v>1</v>
      </c>
    </row>
    <row r="384" spans="2:74" ht="15.75">
      <c r="B384" s="104" t="s">
        <v>16</v>
      </c>
      <c r="C384" s="157" t="str">
        <f>C311</f>
        <v>N NOM DE VOTRE RECETTE | | Auteur &gt; VOUS</v>
      </c>
      <c r="D384" s="157">
        <f>D311</f>
        <v>18</v>
      </c>
      <c r="E384" s="158" t="str">
        <f>E311</f>
        <v>desserts</v>
      </c>
      <c r="F384" s="159" t="str">
        <f>F311</f>
        <v>Recette mère ► Saisir le nom de la recette principale</v>
      </c>
      <c r="G384" s="172"/>
      <c r="H384" s="172"/>
      <c r="I384" s="172"/>
      <c r="J384" s="172"/>
      <c r="K384" s="172"/>
      <c r="L384" s="172"/>
      <c r="M384" s="172"/>
      <c r="N384" s="172"/>
      <c r="O384" s="172"/>
      <c r="P384" s="555"/>
      <c r="R384" s="104" t="s">
        <v>16</v>
      </c>
      <c r="S384" s="157" t="str">
        <f>S311</f>
        <v>N NAME OF YOUR RECIPE | |  Author &gt; YOU</v>
      </c>
      <c r="T384" s="157">
        <f>T311</f>
        <v>18</v>
      </c>
      <c r="U384" s="158" t="str">
        <f>U311</f>
        <v>desserts</v>
      </c>
      <c r="V384" s="159" t="str">
        <f>V311</f>
        <v>Master recipe ► Enter the main recipe name</v>
      </c>
      <c r="W384" s="172"/>
      <c r="X384" s="172"/>
      <c r="Y384" s="172"/>
      <c r="Z384" s="172"/>
      <c r="AA384" s="172"/>
      <c r="AB384" s="172"/>
      <c r="AC384" s="172"/>
      <c r="AD384" s="172"/>
      <c r="AE384" s="172"/>
      <c r="AF384" s="555"/>
      <c r="AH384" s="104" t="s">
        <v>16</v>
      </c>
      <c r="AI384" s="157" t="str">
        <f>AI311</f>
        <v>N NOMBRE DE LA RECETA | | Autor &gt; USTED</v>
      </c>
      <c r="AJ384" s="157">
        <f>AJ311</f>
        <v>18</v>
      </c>
      <c r="AK384" s="158" t="str">
        <f>AK311</f>
        <v>postres</v>
      </c>
      <c r="AL384" s="159" t="str">
        <f>AL311</f>
        <v>Receta madre ► Introduzca el nombre de la receta principal</v>
      </c>
      <c r="AM384" s="172"/>
      <c r="AN384" s="172"/>
      <c r="AO384" s="172"/>
      <c r="AP384" s="172"/>
      <c r="AQ384" s="172"/>
      <c r="AR384" s="172"/>
      <c r="AS384" s="172"/>
      <c r="AT384" s="172"/>
      <c r="AU384" s="172"/>
      <c r="AV384" s="555"/>
      <c r="BV384" s="3">
        <v>1</v>
      </c>
    </row>
    <row r="385" spans="2:74" ht="15.75">
      <c r="B385" s="104" t="s">
        <v>16</v>
      </c>
      <c r="C385" s="157" t="str">
        <f>C311</f>
        <v>N NOM DE VOTRE RECETTE | | Auteur &gt; VOUS</v>
      </c>
      <c r="D385" s="157">
        <f>D311</f>
        <v>18</v>
      </c>
      <c r="E385" s="158" t="str">
        <f>E311</f>
        <v>desserts</v>
      </c>
      <c r="F385" s="159" t="str">
        <f>F311</f>
        <v>Recette mère ► Saisir le nom de la recette principale</v>
      </c>
      <c r="G385" s="172"/>
      <c r="H385" s="172"/>
      <c r="I385" s="172"/>
      <c r="J385" s="172"/>
      <c r="K385" s="172"/>
      <c r="L385" s="172"/>
      <c r="M385" s="172"/>
      <c r="N385" s="172"/>
      <c r="O385" s="172"/>
      <c r="P385" s="555"/>
      <c r="R385" s="104" t="s">
        <v>16</v>
      </c>
      <c r="S385" s="157" t="str">
        <f>S311</f>
        <v>N NAME OF YOUR RECIPE | |  Author &gt; YOU</v>
      </c>
      <c r="T385" s="157">
        <f>T311</f>
        <v>18</v>
      </c>
      <c r="U385" s="158" t="str">
        <f>U311</f>
        <v>desserts</v>
      </c>
      <c r="V385" s="159" t="str">
        <f>V311</f>
        <v>Master recipe ► Enter the main recipe name</v>
      </c>
      <c r="W385" s="172"/>
      <c r="X385" s="172"/>
      <c r="Y385" s="172"/>
      <c r="Z385" s="172"/>
      <c r="AA385" s="172"/>
      <c r="AB385" s="172"/>
      <c r="AC385" s="172"/>
      <c r="AD385" s="172"/>
      <c r="AE385" s="172"/>
      <c r="AF385" s="555"/>
      <c r="AH385" s="104" t="s">
        <v>16</v>
      </c>
      <c r="AI385" s="157" t="str">
        <f>AI311</f>
        <v>N NOMBRE DE LA RECETA | | Autor &gt; USTED</v>
      </c>
      <c r="AJ385" s="157">
        <f>AJ311</f>
        <v>18</v>
      </c>
      <c r="AK385" s="158" t="str">
        <f>AK311</f>
        <v>postres</v>
      </c>
      <c r="AL385" s="159" t="str">
        <f>AL311</f>
        <v>Receta madre ► Introduzca el nombre de la receta principal</v>
      </c>
      <c r="AM385" s="172"/>
      <c r="AN385" s="172"/>
      <c r="AO385" s="172"/>
      <c r="AP385" s="172"/>
      <c r="AQ385" s="172"/>
      <c r="AR385" s="172"/>
      <c r="AS385" s="172"/>
      <c r="AT385" s="172"/>
      <c r="AU385" s="172"/>
      <c r="AV385" s="555"/>
      <c r="BV385" s="3">
        <v>1</v>
      </c>
    </row>
    <row r="386" spans="2:74" ht="15.75">
      <c r="B386" s="104" t="s">
        <v>16</v>
      </c>
      <c r="C386" s="157" t="str">
        <f>C311</f>
        <v>N NOM DE VOTRE RECETTE | | Auteur &gt; VOUS</v>
      </c>
      <c r="D386" s="157">
        <f>D311</f>
        <v>18</v>
      </c>
      <c r="E386" s="158" t="str">
        <f>E311</f>
        <v>desserts</v>
      </c>
      <c r="F386" s="159" t="str">
        <f>F311</f>
        <v>Recette mère ► Saisir le nom de la recette principale</v>
      </c>
      <c r="G386" s="172"/>
      <c r="H386" s="172"/>
      <c r="I386" s="172"/>
      <c r="J386" s="172"/>
      <c r="K386" s="172"/>
      <c r="L386" s="172"/>
      <c r="M386" s="172"/>
      <c r="N386" s="172"/>
      <c r="O386" s="172"/>
      <c r="P386" s="555"/>
      <c r="R386" s="104" t="s">
        <v>16</v>
      </c>
      <c r="S386" s="157" t="str">
        <f>S311</f>
        <v>N NAME OF YOUR RECIPE | |  Author &gt; YOU</v>
      </c>
      <c r="T386" s="157">
        <f>T311</f>
        <v>18</v>
      </c>
      <c r="U386" s="158" t="str">
        <f>U311</f>
        <v>desserts</v>
      </c>
      <c r="V386" s="159" t="str">
        <f>V311</f>
        <v>Master recipe ► Enter the main recipe name</v>
      </c>
      <c r="W386" s="172"/>
      <c r="X386" s="172"/>
      <c r="Y386" s="172"/>
      <c r="Z386" s="172"/>
      <c r="AA386" s="172"/>
      <c r="AB386" s="172"/>
      <c r="AC386" s="172"/>
      <c r="AD386" s="172"/>
      <c r="AE386" s="172"/>
      <c r="AF386" s="555"/>
      <c r="AH386" s="104" t="s">
        <v>16</v>
      </c>
      <c r="AI386" s="157" t="str">
        <f>AI311</f>
        <v>N NOMBRE DE LA RECETA | | Autor &gt; USTED</v>
      </c>
      <c r="AJ386" s="157">
        <f>AJ311</f>
        <v>18</v>
      </c>
      <c r="AK386" s="158" t="str">
        <f>AK311</f>
        <v>postres</v>
      </c>
      <c r="AL386" s="159" t="str">
        <f>AL311</f>
        <v>Receta madre ► Introduzca el nombre de la receta principal</v>
      </c>
      <c r="AM386" s="172"/>
      <c r="AN386" s="172"/>
      <c r="AO386" s="172"/>
      <c r="AP386" s="172"/>
      <c r="AQ386" s="172"/>
      <c r="AR386" s="172"/>
      <c r="AS386" s="172"/>
      <c r="AT386" s="172"/>
      <c r="AU386" s="172"/>
      <c r="AV386" s="555"/>
      <c r="BV386" s="3">
        <v>1</v>
      </c>
    </row>
    <row r="387" spans="2:74" ht="15.75">
      <c r="B387" s="104" t="s">
        <v>16</v>
      </c>
      <c r="C387" s="157" t="str">
        <f>C311</f>
        <v>N NOM DE VOTRE RECETTE | | Auteur &gt; VOUS</v>
      </c>
      <c r="D387" s="157">
        <f>D311</f>
        <v>18</v>
      </c>
      <c r="E387" s="158" t="str">
        <f>E311</f>
        <v>desserts</v>
      </c>
      <c r="F387" s="159" t="str">
        <f>F311</f>
        <v>Recette mère ► Saisir le nom de la recette principale</v>
      </c>
      <c r="G387" s="172"/>
      <c r="H387" s="172"/>
      <c r="I387" s="172"/>
      <c r="J387" s="172"/>
      <c r="K387" s="172"/>
      <c r="L387" s="172"/>
      <c r="M387" s="172"/>
      <c r="N387" s="172"/>
      <c r="O387" s="172"/>
      <c r="P387" s="555"/>
      <c r="R387" s="104" t="s">
        <v>16</v>
      </c>
      <c r="S387" s="157" t="str">
        <f>S311</f>
        <v>N NAME OF YOUR RECIPE | |  Author &gt; YOU</v>
      </c>
      <c r="T387" s="157">
        <f>T311</f>
        <v>18</v>
      </c>
      <c r="U387" s="158" t="str">
        <f>U311</f>
        <v>desserts</v>
      </c>
      <c r="V387" s="159" t="str">
        <f>V311</f>
        <v>Master recipe ► Enter the main recipe name</v>
      </c>
      <c r="W387" s="172"/>
      <c r="X387" s="172"/>
      <c r="Y387" s="172"/>
      <c r="Z387" s="172"/>
      <c r="AA387" s="172"/>
      <c r="AB387" s="172"/>
      <c r="AC387" s="172"/>
      <c r="AD387" s="172"/>
      <c r="AE387" s="172"/>
      <c r="AF387" s="555"/>
      <c r="AH387" s="104" t="s">
        <v>16</v>
      </c>
      <c r="AI387" s="157" t="str">
        <f>AI311</f>
        <v>N NOMBRE DE LA RECETA | | Autor &gt; USTED</v>
      </c>
      <c r="AJ387" s="157">
        <f>AJ311</f>
        <v>18</v>
      </c>
      <c r="AK387" s="158" t="str">
        <f>AK311</f>
        <v>postres</v>
      </c>
      <c r="AL387" s="159" t="str">
        <f>AL311</f>
        <v>Receta madre ► Introduzca el nombre de la receta principal</v>
      </c>
      <c r="AM387" s="172"/>
      <c r="AN387" s="172"/>
      <c r="AO387" s="172"/>
      <c r="AP387" s="172"/>
      <c r="AQ387" s="172"/>
      <c r="AR387" s="172"/>
      <c r="AS387" s="172"/>
      <c r="AT387" s="172"/>
      <c r="AU387" s="172"/>
      <c r="AV387" s="555"/>
      <c r="BV387" s="3">
        <v>1</v>
      </c>
    </row>
    <row r="388" spans="2:74" ht="15.75">
      <c r="B388" s="104" t="s">
        <v>16</v>
      </c>
      <c r="C388" s="157" t="str">
        <f>C311</f>
        <v>N NOM DE VOTRE RECETTE | | Auteur &gt; VOUS</v>
      </c>
      <c r="D388" s="157">
        <f>D311</f>
        <v>18</v>
      </c>
      <c r="E388" s="158" t="str">
        <f>E311</f>
        <v>desserts</v>
      </c>
      <c r="F388" s="159" t="str">
        <f>F311</f>
        <v>Recette mère ► Saisir le nom de la recette principale</v>
      </c>
      <c r="G388" s="172"/>
      <c r="H388" s="172"/>
      <c r="I388" s="172"/>
      <c r="J388" s="172"/>
      <c r="K388" s="172"/>
      <c r="L388" s="172"/>
      <c r="M388" s="172"/>
      <c r="N388" s="172"/>
      <c r="O388" s="172"/>
      <c r="P388" s="555"/>
      <c r="R388" s="104" t="s">
        <v>16</v>
      </c>
      <c r="S388" s="157" t="str">
        <f>S311</f>
        <v>N NAME OF YOUR RECIPE | |  Author &gt; YOU</v>
      </c>
      <c r="T388" s="157">
        <f>T311</f>
        <v>18</v>
      </c>
      <c r="U388" s="158" t="str">
        <f>U311</f>
        <v>desserts</v>
      </c>
      <c r="V388" s="159" t="str">
        <f>V311</f>
        <v>Master recipe ► Enter the main recipe name</v>
      </c>
      <c r="W388" s="172"/>
      <c r="X388" s="172"/>
      <c r="Y388" s="172"/>
      <c r="Z388" s="172"/>
      <c r="AA388" s="172"/>
      <c r="AB388" s="172"/>
      <c r="AC388" s="172"/>
      <c r="AD388" s="172"/>
      <c r="AE388" s="172"/>
      <c r="AF388" s="555"/>
      <c r="AH388" s="104" t="s">
        <v>16</v>
      </c>
      <c r="AI388" s="157" t="str">
        <f>AI311</f>
        <v>N NOMBRE DE LA RECETA | | Autor &gt; USTED</v>
      </c>
      <c r="AJ388" s="157">
        <f>AJ311</f>
        <v>18</v>
      </c>
      <c r="AK388" s="158" t="str">
        <f>AK311</f>
        <v>postres</v>
      </c>
      <c r="AL388" s="159" t="str">
        <f>AL311</f>
        <v>Receta madre ► Introduzca el nombre de la receta principal</v>
      </c>
      <c r="AM388" s="172"/>
      <c r="AN388" s="172"/>
      <c r="AO388" s="172"/>
      <c r="AP388" s="172"/>
      <c r="AQ388" s="172"/>
      <c r="AR388" s="172"/>
      <c r="AS388" s="172"/>
      <c r="AT388" s="172"/>
      <c r="AU388" s="172"/>
      <c r="AV388" s="555"/>
      <c r="BV388" s="3">
        <v>1</v>
      </c>
    </row>
    <row r="389" spans="2:74" ht="15.75">
      <c r="B389" s="104" t="s">
        <v>16</v>
      </c>
      <c r="C389" s="157" t="str">
        <f>C311</f>
        <v>N NOM DE VOTRE RECETTE | | Auteur &gt; VOUS</v>
      </c>
      <c r="D389" s="157">
        <f>D311</f>
        <v>18</v>
      </c>
      <c r="E389" s="158" t="str">
        <f>E311</f>
        <v>desserts</v>
      </c>
      <c r="F389" s="159" t="str">
        <f>F311</f>
        <v>Recette mère ► Saisir le nom de la recette principale</v>
      </c>
      <c r="G389" s="172"/>
      <c r="H389" s="172"/>
      <c r="I389" s="172"/>
      <c r="J389" s="172"/>
      <c r="K389" s="172"/>
      <c r="L389" s="172"/>
      <c r="M389" s="172"/>
      <c r="N389" s="172"/>
      <c r="O389" s="172"/>
      <c r="P389" s="555"/>
      <c r="R389" s="104" t="s">
        <v>16</v>
      </c>
      <c r="S389" s="157" t="str">
        <f>S311</f>
        <v>N NAME OF YOUR RECIPE | |  Author &gt; YOU</v>
      </c>
      <c r="T389" s="157">
        <f>T311</f>
        <v>18</v>
      </c>
      <c r="U389" s="158" t="str">
        <f>U311</f>
        <v>desserts</v>
      </c>
      <c r="V389" s="159" t="str">
        <f>V311</f>
        <v>Master recipe ► Enter the main recipe name</v>
      </c>
      <c r="W389" s="172"/>
      <c r="X389" s="172"/>
      <c r="Y389" s="172"/>
      <c r="Z389" s="172"/>
      <c r="AA389" s="172"/>
      <c r="AB389" s="172"/>
      <c r="AC389" s="172"/>
      <c r="AD389" s="172"/>
      <c r="AE389" s="172"/>
      <c r="AF389" s="555"/>
      <c r="AH389" s="104" t="s">
        <v>16</v>
      </c>
      <c r="AI389" s="157" t="str">
        <f>AI311</f>
        <v>N NOMBRE DE LA RECETA | | Autor &gt; USTED</v>
      </c>
      <c r="AJ389" s="157">
        <f>AJ311</f>
        <v>18</v>
      </c>
      <c r="AK389" s="158" t="str">
        <f>AK311</f>
        <v>postres</v>
      </c>
      <c r="AL389" s="159" t="str">
        <f>AL311</f>
        <v>Receta madre ► Introduzca el nombre de la receta principal</v>
      </c>
      <c r="AM389" s="172"/>
      <c r="AN389" s="172"/>
      <c r="AO389" s="172"/>
      <c r="AP389" s="172"/>
      <c r="AQ389" s="172"/>
      <c r="AR389" s="172"/>
      <c r="AS389" s="172"/>
      <c r="AT389" s="172"/>
      <c r="AU389" s="172"/>
      <c r="AV389" s="555"/>
      <c r="BV389" s="3">
        <v>1</v>
      </c>
    </row>
    <row r="390" spans="2:74" ht="15.75">
      <c r="B390" s="104" t="str">
        <f>IF(OR(G390&lt;&gt;"",H390&lt;&gt; "",I390&lt;&gt;"",J390&lt;&gt;""),"A", "►")</f>
        <v>►</v>
      </c>
      <c r="C390" s="157" t="str">
        <f>C311</f>
        <v>N NOM DE VOTRE RECETTE | | Auteur &gt; VOUS</v>
      </c>
      <c r="D390" s="157">
        <f>D311</f>
        <v>18</v>
      </c>
      <c r="E390" s="158" t="str">
        <f>E311</f>
        <v>desserts</v>
      </c>
      <c r="F390" s="159" t="str">
        <f>F311</f>
        <v>Recette mère ► Saisir le nom de la recette principale</v>
      </c>
      <c r="G390" s="172"/>
      <c r="H390" s="172"/>
      <c r="I390" s="172"/>
      <c r="J390" s="172"/>
      <c r="K390" s="172"/>
      <c r="L390" s="172"/>
      <c r="M390" s="172"/>
      <c r="N390" s="172"/>
      <c r="O390" s="172"/>
      <c r="P390" s="555"/>
      <c r="R390" s="104" t="str">
        <f>IF(OR(W390&lt;&gt;"",X390&lt;&gt; "",Y390&lt;&gt;"",Z390&lt;&gt;""),"A", "►")</f>
        <v>►</v>
      </c>
      <c r="S390" s="157" t="str">
        <f>S311</f>
        <v>N NAME OF YOUR RECIPE | |  Author &gt; YOU</v>
      </c>
      <c r="T390" s="157">
        <f>T311</f>
        <v>18</v>
      </c>
      <c r="U390" s="158" t="str">
        <f>U311</f>
        <v>desserts</v>
      </c>
      <c r="V390" s="159" t="str">
        <f>V311</f>
        <v>Master recipe ► Enter the main recipe name</v>
      </c>
      <c r="W390" s="172"/>
      <c r="X390" s="172"/>
      <c r="Y390" s="172"/>
      <c r="Z390" s="172"/>
      <c r="AA390" s="172"/>
      <c r="AB390" s="172"/>
      <c r="AC390" s="172"/>
      <c r="AD390" s="172"/>
      <c r="AE390" s="172"/>
      <c r="AF390" s="555"/>
      <c r="AH390" s="104" t="str">
        <f>IF(OR(AM390&lt;&gt;"",AN390&lt;&gt; "",AO390&lt;&gt;"",AP390&lt;&gt;""),"A", "►")</f>
        <v>►</v>
      </c>
      <c r="AI390" s="157" t="str">
        <f>AI311</f>
        <v>N NOMBRE DE LA RECETA | | Autor &gt; USTED</v>
      </c>
      <c r="AJ390" s="157">
        <f>AJ311</f>
        <v>18</v>
      </c>
      <c r="AK390" s="158" t="str">
        <f>AK311</f>
        <v>postres</v>
      </c>
      <c r="AL390" s="159" t="str">
        <f>AL311</f>
        <v>Receta madre ► Introduzca el nombre de la receta principal</v>
      </c>
      <c r="AM390" s="172"/>
      <c r="AN390" s="172"/>
      <c r="AO390" s="172"/>
      <c r="AP390" s="172"/>
      <c r="AQ390" s="172"/>
      <c r="AR390" s="172"/>
      <c r="AS390" s="172"/>
      <c r="AT390" s="172"/>
      <c r="AU390" s="172"/>
      <c r="AV390" s="555"/>
      <c r="BV390" s="3">
        <v>1</v>
      </c>
    </row>
    <row r="391" spans="2:74" ht="15.75">
      <c r="B391" s="104" t="str">
        <f>IF(OR(G391&lt;&gt;"",H391&lt;&gt; "",I391&lt;&gt;"",J391&lt;&gt;""),"A", "►")</f>
        <v>►</v>
      </c>
      <c r="C391" s="157" t="str">
        <f>C311</f>
        <v>N NOM DE VOTRE RECETTE | | Auteur &gt; VOUS</v>
      </c>
      <c r="D391" s="157">
        <f>D311</f>
        <v>18</v>
      </c>
      <c r="E391" s="158" t="str">
        <f>E311</f>
        <v>desserts</v>
      </c>
      <c r="F391" s="159" t="str">
        <f>F311</f>
        <v>Recette mère ► Saisir le nom de la recette principale</v>
      </c>
      <c r="G391" s="172"/>
      <c r="H391" s="172"/>
      <c r="I391" s="172"/>
      <c r="J391" s="172"/>
      <c r="K391" s="172"/>
      <c r="L391" s="172"/>
      <c r="M391" s="172"/>
      <c r="N391" s="172"/>
      <c r="O391" s="172"/>
      <c r="P391" s="555"/>
      <c r="R391" s="104" t="str">
        <f>IF(OR(W391&lt;&gt;"",X391&lt;&gt; "",Y391&lt;&gt;"",Z391&lt;&gt;""),"A", "►")</f>
        <v>►</v>
      </c>
      <c r="S391" s="157" t="str">
        <f>S311</f>
        <v>N NAME OF YOUR RECIPE | |  Author &gt; YOU</v>
      </c>
      <c r="T391" s="157">
        <f>T311</f>
        <v>18</v>
      </c>
      <c r="U391" s="158" t="str">
        <f>U311</f>
        <v>desserts</v>
      </c>
      <c r="V391" s="159" t="str">
        <f>V311</f>
        <v>Master recipe ► Enter the main recipe name</v>
      </c>
      <c r="W391" s="172"/>
      <c r="X391" s="172"/>
      <c r="Y391" s="172"/>
      <c r="Z391" s="172"/>
      <c r="AA391" s="172"/>
      <c r="AB391" s="172"/>
      <c r="AC391" s="172"/>
      <c r="AD391" s="172"/>
      <c r="AE391" s="172"/>
      <c r="AF391" s="555"/>
      <c r="AH391" s="104" t="str">
        <f>IF(OR(AM391&lt;&gt;"",AN391&lt;&gt; "",AO391&lt;&gt;"",AP391&lt;&gt;""),"A", "►")</f>
        <v>►</v>
      </c>
      <c r="AI391" s="157" t="str">
        <f>AI311</f>
        <v>N NOMBRE DE LA RECETA | | Autor &gt; USTED</v>
      </c>
      <c r="AJ391" s="157">
        <f>AJ311</f>
        <v>18</v>
      </c>
      <c r="AK391" s="158" t="str">
        <f>AK311</f>
        <v>postres</v>
      </c>
      <c r="AL391" s="159" t="str">
        <f>AL311</f>
        <v>Receta madre ► Introduzca el nombre de la receta principal</v>
      </c>
      <c r="AM391" s="172"/>
      <c r="AN391" s="172"/>
      <c r="AO391" s="172"/>
      <c r="AP391" s="172"/>
      <c r="AQ391" s="172"/>
      <c r="AR391" s="172"/>
      <c r="AS391" s="172"/>
      <c r="AT391" s="172"/>
      <c r="AU391" s="172"/>
      <c r="AV391" s="555"/>
      <c r="BV391" s="3">
        <v>1</v>
      </c>
    </row>
    <row r="392" spans="2:74" ht="15.75">
      <c r="B392" s="104" t="str">
        <f>IF(OR(G392&lt;&gt;"",H392&lt;&gt; "",I392&lt;&gt;"",J392&lt;&gt;""),"A", "►")</f>
        <v>►</v>
      </c>
      <c r="C392" s="157" t="str">
        <f>C311</f>
        <v>N NOM DE VOTRE RECETTE | | Auteur &gt; VOUS</v>
      </c>
      <c r="D392" s="157">
        <f>D311</f>
        <v>18</v>
      </c>
      <c r="E392" s="158" t="str">
        <f>E311</f>
        <v>desserts</v>
      </c>
      <c r="F392" s="159" t="str">
        <f>F311</f>
        <v>Recette mère ► Saisir le nom de la recette principale</v>
      </c>
      <c r="G392" s="172"/>
      <c r="H392" s="172"/>
      <c r="I392" s="172"/>
      <c r="J392" s="172"/>
      <c r="K392" s="172"/>
      <c r="L392" s="172"/>
      <c r="M392" s="172"/>
      <c r="N392" s="172"/>
      <c r="O392" s="172"/>
      <c r="P392" s="555"/>
      <c r="R392" s="104" t="str">
        <f>IF(OR(W392&lt;&gt;"",X392&lt;&gt; "",Y392&lt;&gt;"",Z392&lt;&gt;""),"A", "►")</f>
        <v>►</v>
      </c>
      <c r="S392" s="157" t="str">
        <f>S311</f>
        <v>N NAME OF YOUR RECIPE | |  Author &gt; YOU</v>
      </c>
      <c r="T392" s="157">
        <f>T311</f>
        <v>18</v>
      </c>
      <c r="U392" s="158" t="str">
        <f>U311</f>
        <v>desserts</v>
      </c>
      <c r="V392" s="159" t="str">
        <f>V311</f>
        <v>Master recipe ► Enter the main recipe name</v>
      </c>
      <c r="W392" s="172"/>
      <c r="X392" s="172"/>
      <c r="Y392" s="172"/>
      <c r="Z392" s="172"/>
      <c r="AA392" s="172"/>
      <c r="AB392" s="172"/>
      <c r="AC392" s="172"/>
      <c r="AD392" s="172"/>
      <c r="AE392" s="172"/>
      <c r="AF392" s="555"/>
      <c r="AH392" s="104" t="str">
        <f>IF(OR(AM392&lt;&gt;"",AN392&lt;&gt; "",AO392&lt;&gt;"",AP392&lt;&gt;""),"A", "►")</f>
        <v>►</v>
      </c>
      <c r="AI392" s="157" t="str">
        <f>AI311</f>
        <v>N NOMBRE DE LA RECETA | | Autor &gt; USTED</v>
      </c>
      <c r="AJ392" s="157">
        <f>AJ311</f>
        <v>18</v>
      </c>
      <c r="AK392" s="158" t="str">
        <f>AK311</f>
        <v>postres</v>
      </c>
      <c r="AL392" s="159" t="str">
        <f>AL311</f>
        <v>Receta madre ► Introduzca el nombre de la receta principal</v>
      </c>
      <c r="AM392" s="172"/>
      <c r="AN392" s="172"/>
      <c r="AO392" s="172"/>
      <c r="AP392" s="172"/>
      <c r="AQ392" s="172"/>
      <c r="AR392" s="172"/>
      <c r="AS392" s="172"/>
      <c r="AT392" s="172"/>
      <c r="AU392" s="172"/>
      <c r="AV392" s="555"/>
      <c r="BV392" s="3">
        <v>1</v>
      </c>
    </row>
    <row r="393" spans="2:74" ht="15.75">
      <c r="B393" s="104" t="str">
        <f>IF(OR(G393&lt;&gt;"",H393&lt;&gt; "",I393&lt;&gt;"",J393&lt;&gt;""),"A", "►")</f>
        <v>►</v>
      </c>
      <c r="C393" s="157" t="str">
        <f>C311</f>
        <v>N NOM DE VOTRE RECETTE | | Auteur &gt; VOUS</v>
      </c>
      <c r="D393" s="157">
        <f>D311</f>
        <v>18</v>
      </c>
      <c r="E393" s="158" t="str">
        <f>E311</f>
        <v>desserts</v>
      </c>
      <c r="F393" s="159" t="str">
        <f>F311</f>
        <v>Recette mère ► Saisir le nom de la recette principale</v>
      </c>
      <c r="G393" s="172"/>
      <c r="H393" s="172"/>
      <c r="I393" s="172"/>
      <c r="J393" s="172"/>
      <c r="K393" s="172"/>
      <c r="L393" s="172"/>
      <c r="M393" s="172"/>
      <c r="N393" s="172"/>
      <c r="O393" s="172"/>
      <c r="P393" s="555"/>
      <c r="R393" s="104" t="str">
        <f>IF(OR(W393&lt;&gt;"",X393&lt;&gt; "",Y393&lt;&gt;"",Z393&lt;&gt;""),"A", "►")</f>
        <v>►</v>
      </c>
      <c r="S393" s="157" t="str">
        <f>S311</f>
        <v>N NAME OF YOUR RECIPE | |  Author &gt; YOU</v>
      </c>
      <c r="T393" s="157">
        <f>T311</f>
        <v>18</v>
      </c>
      <c r="U393" s="158" t="str">
        <f>U311</f>
        <v>desserts</v>
      </c>
      <c r="V393" s="159" t="str">
        <f>V311</f>
        <v>Master recipe ► Enter the main recipe name</v>
      </c>
      <c r="W393" s="172"/>
      <c r="X393" s="172"/>
      <c r="Y393" s="172"/>
      <c r="Z393" s="172"/>
      <c r="AA393" s="172"/>
      <c r="AB393" s="172"/>
      <c r="AC393" s="172"/>
      <c r="AD393" s="172"/>
      <c r="AE393" s="172"/>
      <c r="AF393" s="555"/>
      <c r="AH393" s="104" t="str">
        <f>IF(OR(AM393&lt;&gt;"",AN393&lt;&gt; "",AO393&lt;&gt;"",AP393&lt;&gt;""),"A", "►")</f>
        <v>►</v>
      </c>
      <c r="AI393" s="157" t="str">
        <f>AI311</f>
        <v>N NOMBRE DE LA RECETA | | Autor &gt; USTED</v>
      </c>
      <c r="AJ393" s="157">
        <f>AJ311</f>
        <v>18</v>
      </c>
      <c r="AK393" s="158" t="str">
        <f>AK311</f>
        <v>postres</v>
      </c>
      <c r="AL393" s="159" t="str">
        <f>AL311</f>
        <v>Receta madre ► Introduzca el nombre de la receta principal</v>
      </c>
      <c r="AM393" s="172"/>
      <c r="AN393" s="172"/>
      <c r="AO393" s="172"/>
      <c r="AP393" s="172"/>
      <c r="AQ393" s="172"/>
      <c r="AR393" s="172"/>
      <c r="AS393" s="172"/>
      <c r="AT393" s="172"/>
      <c r="AU393" s="172"/>
      <c r="AV393" s="555"/>
      <c r="BV393" s="3">
        <v>1</v>
      </c>
    </row>
    <row r="394" spans="2:74" ht="15.75">
      <c r="B394" s="196" t="s">
        <v>16</v>
      </c>
      <c r="C394" s="157" t="str">
        <f>C311</f>
        <v>N NOM DE VOTRE RECETTE | | Auteur &gt; VOUS</v>
      </c>
      <c r="D394" s="157">
        <f>D311</f>
        <v>18</v>
      </c>
      <c r="E394" s="158" t="str">
        <f>E311</f>
        <v>desserts</v>
      </c>
      <c r="F394" s="159" t="str">
        <f>F311</f>
        <v>Recette mère ► Saisir le nom de la recette principale</v>
      </c>
      <c r="G394" s="172"/>
      <c r="H394" s="172"/>
      <c r="I394" s="172"/>
      <c r="J394" s="172"/>
      <c r="K394" s="172"/>
      <c r="L394" s="172"/>
      <c r="M394" s="172"/>
      <c r="N394" s="172"/>
      <c r="O394" s="172"/>
      <c r="P394" s="555"/>
      <c r="R394" s="196" t="s">
        <v>16</v>
      </c>
      <c r="S394" s="157" t="str">
        <f>S311</f>
        <v>N NAME OF YOUR RECIPE | |  Author &gt; YOU</v>
      </c>
      <c r="T394" s="157">
        <f>T311</f>
        <v>18</v>
      </c>
      <c r="U394" s="158" t="str">
        <f>U311</f>
        <v>desserts</v>
      </c>
      <c r="V394" s="159" t="str">
        <f>V311</f>
        <v>Master recipe ► Enter the main recipe name</v>
      </c>
      <c r="W394" s="172"/>
      <c r="X394" s="172"/>
      <c r="Y394" s="172"/>
      <c r="Z394" s="172"/>
      <c r="AA394" s="172"/>
      <c r="AB394" s="172"/>
      <c r="AC394" s="172"/>
      <c r="AD394" s="172"/>
      <c r="AE394" s="172"/>
      <c r="AF394" s="555"/>
      <c r="AH394" s="196" t="s">
        <v>16</v>
      </c>
      <c r="AI394" s="157" t="str">
        <f>AI311</f>
        <v>N NOMBRE DE LA RECETA | | Autor &gt; USTED</v>
      </c>
      <c r="AJ394" s="157">
        <f>AJ311</f>
        <v>18</v>
      </c>
      <c r="AK394" s="158" t="str">
        <f>AK311</f>
        <v>postres</v>
      </c>
      <c r="AL394" s="159" t="str">
        <f>AL311</f>
        <v>Receta madre ► Introduzca el nombre de la receta principal</v>
      </c>
      <c r="AM394" s="172"/>
      <c r="AN394" s="172"/>
      <c r="AO394" s="172"/>
      <c r="AP394" s="172"/>
      <c r="AQ394" s="172"/>
      <c r="AR394" s="172"/>
      <c r="AS394" s="172"/>
      <c r="AT394" s="172"/>
      <c r="AU394" s="172"/>
      <c r="AV394" s="555"/>
      <c r="BV394" s="3">
        <v>1</v>
      </c>
    </row>
    <row r="395" spans="2:74" ht="15.75">
      <c r="B395" s="196" t="s">
        <v>11</v>
      </c>
      <c r="C395" s="157" t="str">
        <f>C311</f>
        <v>N NOM DE VOTRE RECETTE | | Auteur &gt; VOUS</v>
      </c>
      <c r="D395" s="157">
        <f>D311</f>
        <v>18</v>
      </c>
      <c r="E395" s="158" t="str">
        <f>E311</f>
        <v>desserts</v>
      </c>
      <c r="F395" s="159" t="str">
        <f>F311</f>
        <v>Recette mère ► Saisir le nom de la recette principale</v>
      </c>
      <c r="G395" s="172"/>
      <c r="H395" s="172"/>
      <c r="I395" s="172"/>
      <c r="J395" s="172"/>
      <c r="K395" s="172"/>
      <c r="L395" s="172"/>
      <c r="M395" s="172"/>
      <c r="N395" s="172"/>
      <c r="O395" s="172"/>
      <c r="P395" s="555"/>
      <c r="R395" s="196" t="s">
        <v>11</v>
      </c>
      <c r="S395" s="157" t="str">
        <f>S311</f>
        <v>N NAME OF YOUR RECIPE | |  Author &gt; YOU</v>
      </c>
      <c r="T395" s="157">
        <f>T311</f>
        <v>18</v>
      </c>
      <c r="U395" s="158" t="str">
        <f>U311</f>
        <v>desserts</v>
      </c>
      <c r="V395" s="159" t="str">
        <f>V311</f>
        <v>Master recipe ► Enter the main recipe name</v>
      </c>
      <c r="W395" s="172"/>
      <c r="X395" s="172"/>
      <c r="Y395" s="172"/>
      <c r="Z395" s="172"/>
      <c r="AA395" s="172"/>
      <c r="AB395" s="172"/>
      <c r="AC395" s="172"/>
      <c r="AD395" s="172"/>
      <c r="AE395" s="172"/>
      <c r="AF395" s="555"/>
      <c r="AH395" s="196" t="s">
        <v>11</v>
      </c>
      <c r="AI395" s="157" t="str">
        <f>AI311</f>
        <v>N NOMBRE DE LA RECETA | | Autor &gt; USTED</v>
      </c>
      <c r="AJ395" s="157">
        <f>AJ311</f>
        <v>18</v>
      </c>
      <c r="AK395" s="158" t="str">
        <f>AK311</f>
        <v>postres</v>
      </c>
      <c r="AL395" s="159" t="str">
        <f>AL311</f>
        <v>Receta madre ► Introduzca el nombre de la receta principal</v>
      </c>
      <c r="AM395" s="172"/>
      <c r="AN395" s="172"/>
      <c r="AO395" s="172"/>
      <c r="AP395" s="172"/>
      <c r="AQ395" s="172"/>
      <c r="AR395" s="172"/>
      <c r="AS395" s="172"/>
      <c r="AT395" s="172"/>
      <c r="AU395" s="172"/>
      <c r="AV395" s="555"/>
      <c r="BV395" s="3">
        <v>1</v>
      </c>
    </row>
    <row r="396" spans="2:74" ht="15.75" customHeight="1">
      <c r="B396" s="196" t="s">
        <v>11</v>
      </c>
      <c r="C396" s="157" t="str">
        <f>C311</f>
        <v>N NOM DE VOTRE RECETTE | | Auteur &gt; VOUS</v>
      </c>
      <c r="D396" s="157">
        <f>D311</f>
        <v>18</v>
      </c>
      <c r="E396" s="158" t="str">
        <f>E311</f>
        <v>desserts</v>
      </c>
      <c r="F396" s="159" t="str">
        <f>F311</f>
        <v>Recette mère ► Saisir le nom de la recette principale</v>
      </c>
      <c r="G396" s="167"/>
      <c r="H396" s="172"/>
      <c r="I396" s="172"/>
      <c r="J396" s="172"/>
      <c r="K396" s="172"/>
      <c r="L396" s="172"/>
      <c r="M396" s="172"/>
      <c r="N396" s="172"/>
      <c r="O396" s="172"/>
      <c r="P396" s="1485" t="s">
        <v>197</v>
      </c>
      <c r="R396" s="196" t="s">
        <v>11</v>
      </c>
      <c r="S396" s="157" t="str">
        <f>S311</f>
        <v>N NAME OF YOUR RECIPE | |  Author &gt; YOU</v>
      </c>
      <c r="T396" s="157">
        <f>T311</f>
        <v>18</v>
      </c>
      <c r="U396" s="158" t="str">
        <f>U311</f>
        <v>desserts</v>
      </c>
      <c r="V396" s="159" t="str">
        <f>V311</f>
        <v>Master recipe ► Enter the main recipe name</v>
      </c>
      <c r="W396" s="167"/>
      <c r="X396" s="172"/>
      <c r="Y396" s="172"/>
      <c r="Z396" s="172"/>
      <c r="AA396" s="172"/>
      <c r="AB396" s="172"/>
      <c r="AC396" s="172"/>
      <c r="AD396" s="172"/>
      <c r="AE396" s="172"/>
      <c r="AF396" s="1486" t="s">
        <v>899</v>
      </c>
      <c r="AH396" s="196" t="s">
        <v>11</v>
      </c>
      <c r="AI396" s="157" t="str">
        <f>AI311</f>
        <v>N NOMBRE DE LA RECETA | | Autor &gt; USTED</v>
      </c>
      <c r="AJ396" s="157">
        <f>AJ311</f>
        <v>18</v>
      </c>
      <c r="AK396" s="158" t="str">
        <f>AK311</f>
        <v>postres</v>
      </c>
      <c r="AL396" s="159" t="str">
        <f>AL311</f>
        <v>Receta madre ► Introduzca el nombre de la receta principal</v>
      </c>
      <c r="AM396" s="167"/>
      <c r="AN396" s="172"/>
      <c r="AO396" s="172"/>
      <c r="AP396" s="172"/>
      <c r="AQ396" s="172"/>
      <c r="AR396" s="172"/>
      <c r="AS396" s="172"/>
      <c r="AT396" s="172"/>
      <c r="AU396" s="172"/>
      <c r="AV396" s="1486" t="s">
        <v>913</v>
      </c>
      <c r="BV396" s="3">
        <v>1</v>
      </c>
    </row>
    <row r="397" spans="2:74" ht="15.75">
      <c r="B397" s="196" t="s">
        <v>11</v>
      </c>
      <c r="C397" s="157" t="str">
        <f>C311</f>
        <v>N NOM DE VOTRE RECETTE | | Auteur &gt; VOUS</v>
      </c>
      <c r="D397" s="157">
        <f>D311</f>
        <v>18</v>
      </c>
      <c r="E397" s="158" t="str">
        <f>E311</f>
        <v>desserts</v>
      </c>
      <c r="F397" s="159" t="str">
        <f>F311</f>
        <v>Recette mère ► Saisir le nom de la recette principale</v>
      </c>
      <c r="G397" s="204"/>
      <c r="H397" s="204"/>
      <c r="I397" s="204" t="s">
        <v>201</v>
      </c>
      <c r="J397" s="205"/>
      <c r="K397" s="206"/>
      <c r="L397" s="206"/>
      <c r="M397" s="206"/>
      <c r="N397" s="206"/>
      <c r="O397" s="206"/>
      <c r="P397" s="567"/>
      <c r="R397" s="196" t="s">
        <v>11</v>
      </c>
      <c r="S397" s="157" t="str">
        <f>S311</f>
        <v>N NAME OF YOUR RECIPE | |  Author &gt; YOU</v>
      </c>
      <c r="T397" s="157">
        <f>T311</f>
        <v>18</v>
      </c>
      <c r="U397" s="158" t="str">
        <f>U311</f>
        <v>desserts</v>
      </c>
      <c r="V397" s="159" t="str">
        <f>V311</f>
        <v>Master recipe ► Enter the main recipe name</v>
      </c>
      <c r="W397" s="204"/>
      <c r="X397" s="204"/>
      <c r="Y397" s="204" t="s">
        <v>661</v>
      </c>
      <c r="Z397" s="205"/>
      <c r="AA397" s="206"/>
      <c r="AB397" s="206"/>
      <c r="AC397" s="206"/>
      <c r="AD397" s="206"/>
      <c r="AE397" s="206"/>
      <c r="AF397" s="567"/>
      <c r="AH397" s="196" t="s">
        <v>11</v>
      </c>
      <c r="AI397" s="157" t="str">
        <f>AI311</f>
        <v>N NOMBRE DE LA RECETA | | Autor &gt; USTED</v>
      </c>
      <c r="AJ397" s="157">
        <f>AJ311</f>
        <v>18</v>
      </c>
      <c r="AK397" s="158" t="str">
        <f>AK311</f>
        <v>postres</v>
      </c>
      <c r="AL397" s="159" t="str">
        <f>AL311</f>
        <v>Receta madre ► Introduzca el nombre de la receta principal</v>
      </c>
      <c r="AM397" s="204"/>
      <c r="AN397" s="204"/>
      <c r="AO397" s="204" t="s">
        <v>915</v>
      </c>
      <c r="AP397" s="205"/>
      <c r="AQ397" s="206"/>
      <c r="AR397" s="206"/>
      <c r="AS397" s="206"/>
      <c r="AT397" s="206"/>
      <c r="AU397" s="206"/>
      <c r="AV397" s="567"/>
      <c r="BV397" s="3">
        <v>1</v>
      </c>
    </row>
    <row r="398" spans="2:74" ht="15.75">
      <c r="B398" s="196" t="s">
        <v>11</v>
      </c>
      <c r="C398" s="209" t="str">
        <f>C311</f>
        <v>N NOM DE VOTRE RECETTE | | Auteur &gt; VOUS</v>
      </c>
      <c r="D398" s="209">
        <f>D311</f>
        <v>18</v>
      </c>
      <c r="E398" s="210" t="str">
        <f>E311</f>
        <v>desserts</v>
      </c>
      <c r="F398" s="211" t="str">
        <f>F311</f>
        <v>Recette mère ► Saisir le nom de la recette principale</v>
      </c>
      <c r="G398" s="212"/>
      <c r="H398" s="213"/>
      <c r="I398" s="214"/>
      <c r="J398" s="215"/>
      <c r="K398" s="214"/>
      <c r="L398" s="214"/>
      <c r="M398" s="214"/>
      <c r="N398" s="214"/>
      <c r="O398" s="214"/>
      <c r="P398" s="582"/>
      <c r="R398" s="196" t="s">
        <v>11</v>
      </c>
      <c r="S398" s="209" t="str">
        <f>S311</f>
        <v>N NAME OF YOUR RECIPE | |  Author &gt; YOU</v>
      </c>
      <c r="T398" s="209">
        <f>T311</f>
        <v>18</v>
      </c>
      <c r="U398" s="210" t="str">
        <f>U311</f>
        <v>desserts</v>
      </c>
      <c r="V398" s="211" t="str">
        <f>V311</f>
        <v>Master recipe ► Enter the main recipe name</v>
      </c>
      <c r="W398" s="212"/>
      <c r="X398" s="213"/>
      <c r="Y398" s="214"/>
      <c r="Z398" s="215"/>
      <c r="AA398" s="214"/>
      <c r="AB398" s="214"/>
      <c r="AC398" s="214"/>
      <c r="AD398" s="214"/>
      <c r="AE398" s="214"/>
      <c r="AF398" s="582"/>
      <c r="AH398" s="196" t="s">
        <v>11</v>
      </c>
      <c r="AI398" s="209" t="str">
        <f>AI311</f>
        <v>N NOMBRE DE LA RECETA | | Autor &gt; USTED</v>
      </c>
      <c r="AJ398" s="209">
        <f>AJ311</f>
        <v>18</v>
      </c>
      <c r="AK398" s="210" t="str">
        <f>AK311</f>
        <v>postres</v>
      </c>
      <c r="AL398" s="211" t="str">
        <f>AL311</f>
        <v>Receta madre ► Introduzca el nombre de la receta principal</v>
      </c>
      <c r="AM398" s="212"/>
      <c r="AN398" s="213"/>
      <c r="AO398" s="214"/>
      <c r="AP398" s="215"/>
      <c r="AQ398" s="214"/>
      <c r="AR398" s="214"/>
      <c r="AS398" s="214"/>
      <c r="AT398" s="214"/>
      <c r="AU398" s="214"/>
      <c r="AV398" s="582"/>
      <c r="BV398" s="3">
        <v>1</v>
      </c>
    </row>
    <row r="399" spans="2:74" ht="16.5" thickBot="1">
      <c r="B399" s="216" t="s">
        <v>11</v>
      </c>
      <c r="C399" s="217"/>
      <c r="D399" s="217"/>
      <c r="E399" s="217"/>
      <c r="F399" s="218"/>
      <c r="G399" s="219" t="s">
        <v>208</v>
      </c>
      <c r="H399" s="1481" t="str">
        <f ca="1">CELL("nomfichier")</f>
        <v>D:\Données\1.UPRT\0-UPRT.fait\1-UPRT.FR-SITE-WEB\ff-fiches-fabrications\ff.fiches.fabrication.2023\ffr.restaurant.2023\[ff.FICHE.TRILINGUE.15.COLONNES.29.11.2025.xlsx]Notice.utilisateur</v>
      </c>
      <c r="I399" s="220"/>
      <c r="J399" s="220"/>
      <c r="K399" s="220"/>
      <c r="L399" s="220"/>
      <c r="M399" s="220"/>
      <c r="N399" s="220"/>
      <c r="O399" s="220"/>
      <c r="P399" s="221"/>
      <c r="R399" s="216" t="s">
        <v>11</v>
      </c>
      <c r="S399" s="217"/>
      <c r="T399" s="217"/>
      <c r="U399" s="217"/>
      <c r="V399" s="218"/>
      <c r="W399" s="219" t="s">
        <v>208</v>
      </c>
      <c r="X399" s="1481" t="str">
        <f ca="1">CELL("nomfichier")</f>
        <v>D:\Données\1.UPRT\0-UPRT.fait\1-UPRT.FR-SITE-WEB\ff-fiches-fabrications\ff.fiches.fabrication.2023\ffr.restaurant.2023\[ff.FICHE.TRILINGUE.15.COLONNES.29.11.2025.xlsx]Notice.utilisateur</v>
      </c>
      <c r="Y399" s="220"/>
      <c r="Z399" s="220"/>
      <c r="AA399" s="220"/>
      <c r="AB399" s="220"/>
      <c r="AC399" s="220"/>
      <c r="AD399" s="220"/>
      <c r="AE399" s="220"/>
      <c r="AF399" s="221"/>
      <c r="AH399" s="216" t="s">
        <v>11</v>
      </c>
      <c r="AI399" s="217"/>
      <c r="AJ399" s="217"/>
      <c r="AK399" s="217"/>
      <c r="AL399" s="218"/>
      <c r="AM399" s="219" t="s">
        <v>208</v>
      </c>
      <c r="AN399" s="1481" t="str">
        <f ca="1">CELL("nomfichier")</f>
        <v>D:\Données\1.UPRT\0-UPRT.fait\1-UPRT.FR-SITE-WEB\ff-fiches-fabrications\ff.fiches.fabrication.2023\ffr.restaurant.2023\[ff.FICHE.TRILINGUE.15.COLONNES.29.11.2025.xlsx]Notice.utilisateur</v>
      </c>
      <c r="AO399" s="220"/>
      <c r="AP399" s="220"/>
      <c r="AQ399" s="220"/>
      <c r="AR399" s="220"/>
      <c r="AS399" s="220"/>
      <c r="AT399" s="220"/>
      <c r="AU399" s="220"/>
      <c r="AV399" s="221"/>
      <c r="BV399" s="3">
        <v>1</v>
      </c>
    </row>
    <row r="400" spans="2:74" ht="15.75">
      <c r="C400" s="228"/>
      <c r="D400" s="228"/>
      <c r="E400" s="229" t="s">
        <v>215</v>
      </c>
      <c r="F400" s="229"/>
      <c r="G400" s="230" t="s">
        <v>216</v>
      </c>
      <c r="H400"/>
      <c r="I400"/>
      <c r="J400"/>
      <c r="K400"/>
      <c r="L400"/>
      <c r="M400"/>
      <c r="N400"/>
      <c r="O400"/>
      <c r="S400" s="228"/>
      <c r="T400" s="228"/>
      <c r="U400" s="229" t="s">
        <v>1979</v>
      </c>
      <c r="V400" s="229"/>
      <c r="W400" s="230" t="s">
        <v>746</v>
      </c>
      <c r="X400" s="231"/>
      <c r="Y400"/>
      <c r="Z400"/>
      <c r="AA400"/>
      <c r="AB400"/>
      <c r="AC400"/>
      <c r="AD400"/>
      <c r="AE400"/>
      <c r="AF400"/>
      <c r="AI400" s="228"/>
      <c r="AJ400" s="228"/>
      <c r="AK400" s="229" t="s">
        <v>1390</v>
      </c>
      <c r="AL400" s="229"/>
      <c r="AM400" s="230" t="s">
        <v>1391</v>
      </c>
      <c r="AN400" s="231"/>
      <c r="AO400"/>
      <c r="AP400"/>
      <c r="AQ400"/>
      <c r="AR400"/>
      <c r="AS400"/>
      <c r="AT400"/>
      <c r="AU400"/>
      <c r="AV400"/>
      <c r="BV400" s="3">
        <v>1</v>
      </c>
    </row>
    <row r="401" spans="3:74" ht="15.75">
      <c r="C401" s="9"/>
      <c r="D401" s="9"/>
      <c r="E401" s="9"/>
      <c r="G401" s="232" t="s">
        <v>167</v>
      </c>
      <c r="H401" s="233"/>
      <c r="I401" s="233"/>
      <c r="J401" s="233"/>
      <c r="K401" s="233"/>
      <c r="L401" s="234"/>
      <c r="M401" s="235"/>
      <c r="N401" s="235"/>
      <c r="O401" s="235"/>
      <c r="P401" s="651" t="s">
        <v>220</v>
      </c>
      <c r="W401" s="232" t="s">
        <v>752</v>
      </c>
      <c r="X401" s="233"/>
      <c r="Y401" s="233"/>
      <c r="Z401" s="233"/>
      <c r="AA401" s="233"/>
      <c r="AB401" s="234"/>
      <c r="AC401" s="235"/>
      <c r="AD401" s="235"/>
      <c r="AE401" s="235"/>
      <c r="AF401" s="651" t="s">
        <v>1467</v>
      </c>
      <c r="AI401" s="9"/>
      <c r="AJ401" s="9"/>
      <c r="AK401" s="9"/>
      <c r="AL401" s="9"/>
      <c r="AM401" s="232" t="s">
        <v>754</v>
      </c>
      <c r="AN401" s="233"/>
      <c r="AO401" s="233"/>
      <c r="AP401" s="233"/>
      <c r="AQ401" s="233"/>
      <c r="AR401" s="234"/>
      <c r="AS401" s="235"/>
      <c r="AT401" s="235"/>
      <c r="AU401" s="235"/>
      <c r="AV401" s="651" t="s">
        <v>755</v>
      </c>
      <c r="BV401" s="3">
        <v>1</v>
      </c>
    </row>
    <row r="402" spans="3:74" ht="15.75">
      <c r="C402" s="9"/>
      <c r="D402" s="9"/>
      <c r="E402" s="9"/>
      <c r="G402" s="236" t="s">
        <v>221</v>
      </c>
      <c r="H402" s="237" t="s">
        <v>222</v>
      </c>
      <c r="I402" s="183"/>
      <c r="J402" s="183"/>
      <c r="K402" s="183"/>
      <c r="L402" s="183"/>
      <c r="M402" s="1524"/>
      <c r="N402" s="1524"/>
      <c r="O402" s="1524"/>
      <c r="P402" s="1525"/>
      <c r="W402" s="236" t="s">
        <v>221</v>
      </c>
      <c r="X402" s="237" t="s">
        <v>1392</v>
      </c>
      <c r="Y402" s="183"/>
      <c r="Z402" s="183"/>
      <c r="AA402" s="183"/>
      <c r="AB402" s="183"/>
      <c r="AC402" s="1524"/>
      <c r="AD402" s="1524"/>
      <c r="AE402" s="1524"/>
      <c r="AF402" s="1525"/>
      <c r="AI402" s="9"/>
      <c r="AJ402" s="9"/>
      <c r="AK402" s="9"/>
      <c r="AL402" s="9"/>
      <c r="AM402" s="236" t="s">
        <v>221</v>
      </c>
      <c r="AN402" s="237" t="s">
        <v>1393</v>
      </c>
      <c r="AO402" s="183"/>
      <c r="AP402" s="183"/>
      <c r="AQ402" s="183"/>
      <c r="AR402" s="183"/>
      <c r="AS402" s="1524"/>
      <c r="AT402" s="1524"/>
      <c r="AU402" s="1524"/>
      <c r="AV402" s="1525"/>
      <c r="BV402" s="3">
        <v>1</v>
      </c>
    </row>
    <row r="403" spans="3:74" ht="15.75">
      <c r="C403" s="9"/>
      <c r="D403" s="9"/>
      <c r="E403" s="9"/>
      <c r="G403" s="236" t="s">
        <v>221</v>
      </c>
      <c r="H403" s="237" t="s">
        <v>226</v>
      </c>
      <c r="I403" s="172"/>
      <c r="J403" s="172"/>
      <c r="K403" s="241"/>
      <c r="L403" s="197"/>
      <c r="M403" s="1524"/>
      <c r="N403" s="1524"/>
      <c r="O403" s="1524"/>
      <c r="P403" s="1525"/>
      <c r="W403" s="236" t="s">
        <v>221</v>
      </c>
      <c r="X403" s="237" t="s">
        <v>1394</v>
      </c>
      <c r="Y403" s="172"/>
      <c r="Z403" s="172"/>
      <c r="AA403" s="241"/>
      <c r="AB403" s="197"/>
      <c r="AC403" s="1524"/>
      <c r="AD403" s="1524"/>
      <c r="AE403" s="1524"/>
      <c r="AF403" s="1525"/>
      <c r="AI403" s="9"/>
      <c r="AJ403" s="9"/>
      <c r="AK403" s="9"/>
      <c r="AL403" s="9"/>
      <c r="AM403" s="236" t="s">
        <v>221</v>
      </c>
      <c r="AN403" s="237" t="s">
        <v>1395</v>
      </c>
      <c r="AO403" s="172"/>
      <c r="AP403" s="172"/>
      <c r="AQ403" s="241"/>
      <c r="AR403" s="197"/>
      <c r="AS403" s="1524"/>
      <c r="AT403" s="1524"/>
      <c r="AU403" s="1524"/>
      <c r="AV403" s="1525"/>
      <c r="BV403" s="3">
        <v>1</v>
      </c>
    </row>
    <row r="404" spans="3:74" ht="15.75">
      <c r="C404" s="9"/>
      <c r="D404" s="9"/>
      <c r="E404" s="9"/>
      <c r="G404" s="236" t="s">
        <v>221</v>
      </c>
      <c r="H404" s="237" t="s">
        <v>227</v>
      </c>
      <c r="I404" s="183"/>
      <c r="J404" s="183"/>
      <c r="K404" s="197"/>
      <c r="L404" s="197"/>
      <c r="M404" s="1524"/>
      <c r="N404" s="1524"/>
      <c r="O404" s="1524"/>
      <c r="P404" s="1525"/>
      <c r="W404" s="236" t="s">
        <v>221</v>
      </c>
      <c r="X404" s="237" t="s">
        <v>1396</v>
      </c>
      <c r="Y404" s="183"/>
      <c r="Z404" s="183"/>
      <c r="AA404" s="197"/>
      <c r="AB404" s="197"/>
      <c r="AC404" s="1524"/>
      <c r="AD404" s="1524"/>
      <c r="AE404" s="1524"/>
      <c r="AF404" s="1525"/>
      <c r="AI404" s="9"/>
      <c r="AJ404" s="9"/>
      <c r="AK404" s="9"/>
      <c r="AL404" s="9"/>
      <c r="AM404" s="236" t="s">
        <v>221</v>
      </c>
      <c r="AN404" s="237" t="s">
        <v>1397</v>
      </c>
      <c r="AO404" s="183"/>
      <c r="AP404" s="183"/>
      <c r="AQ404" s="197"/>
      <c r="AR404" s="197"/>
      <c r="AS404" s="1524"/>
      <c r="AT404" s="1524"/>
      <c r="AU404" s="1524"/>
      <c r="AV404" s="1525"/>
      <c r="BV404" s="3">
        <v>1</v>
      </c>
    </row>
    <row r="405" spans="3:74" ht="15.75">
      <c r="C405" s="9"/>
      <c r="D405" s="9"/>
      <c r="E405" s="9"/>
      <c r="G405" s="236" t="s">
        <v>221</v>
      </c>
      <c r="H405" s="237" t="s">
        <v>230</v>
      </c>
      <c r="I405" s="183"/>
      <c r="J405" s="183"/>
      <c r="K405" s="197"/>
      <c r="L405" s="197"/>
      <c r="M405" s="1524"/>
      <c r="N405" s="1524"/>
      <c r="O405" s="1524"/>
      <c r="P405" s="1525"/>
      <c r="W405" s="236" t="s">
        <v>221</v>
      </c>
      <c r="X405" s="237" t="s">
        <v>1398</v>
      </c>
      <c r="Y405" s="183"/>
      <c r="Z405" s="183"/>
      <c r="AA405" s="197"/>
      <c r="AB405" s="197"/>
      <c r="AC405" s="1524"/>
      <c r="AD405" s="1524"/>
      <c r="AE405" s="1524"/>
      <c r="AF405" s="1525"/>
      <c r="AI405" s="9"/>
      <c r="AJ405" s="9"/>
      <c r="AK405" s="9"/>
      <c r="AL405" s="9"/>
      <c r="AM405" s="236" t="s">
        <v>221</v>
      </c>
      <c r="AN405" s="237" t="s">
        <v>1399</v>
      </c>
      <c r="AO405" s="183"/>
      <c r="AP405" s="183"/>
      <c r="AQ405" s="197"/>
      <c r="AR405" s="197"/>
      <c r="AS405" s="1524"/>
      <c r="AT405" s="1524"/>
      <c r="AU405" s="1524"/>
      <c r="AV405" s="1525"/>
      <c r="BV405" s="3">
        <v>1</v>
      </c>
    </row>
    <row r="406" spans="3:74" ht="15.75">
      <c r="C406" s="9"/>
      <c r="D406" s="9"/>
      <c r="E406" s="9"/>
      <c r="G406" s="236" t="s">
        <v>221</v>
      </c>
      <c r="H406" s="237" t="s">
        <v>236</v>
      </c>
      <c r="I406" s="183"/>
      <c r="J406" s="183"/>
      <c r="K406" s="197"/>
      <c r="L406" s="197"/>
      <c r="M406" s="1524"/>
      <c r="N406" s="1524"/>
      <c r="O406" s="1524"/>
      <c r="P406" s="1525"/>
      <c r="W406" s="236" t="s">
        <v>221</v>
      </c>
      <c r="X406" s="237" t="s">
        <v>1400</v>
      </c>
      <c r="Y406" s="183"/>
      <c r="Z406" s="183"/>
      <c r="AA406" s="197"/>
      <c r="AB406" s="197"/>
      <c r="AC406" s="1524"/>
      <c r="AD406" s="1524"/>
      <c r="AE406" s="1524"/>
      <c r="AF406" s="1525"/>
      <c r="AI406" s="9"/>
      <c r="AJ406" s="9"/>
      <c r="AK406" s="9"/>
      <c r="AL406" s="9"/>
      <c r="AM406" s="236" t="s">
        <v>221</v>
      </c>
      <c r="AN406" s="237" t="s">
        <v>1401</v>
      </c>
      <c r="AO406" s="183"/>
      <c r="AP406" s="183"/>
      <c r="AQ406" s="197"/>
      <c r="AR406" s="197"/>
      <c r="AS406" s="1524"/>
      <c r="AT406" s="1524"/>
      <c r="AU406" s="1524"/>
      <c r="AV406" s="1525"/>
      <c r="BV406" s="3">
        <v>1</v>
      </c>
    </row>
    <row r="407" spans="3:74" ht="15.75">
      <c r="C407" s="9"/>
      <c r="D407" s="9"/>
      <c r="E407" s="9"/>
      <c r="G407" s="236" t="s">
        <v>221</v>
      </c>
      <c r="H407" s="252" t="s">
        <v>239</v>
      </c>
      <c r="I407" s="183"/>
      <c r="J407" s="172"/>
      <c r="K407" s="197"/>
      <c r="L407" s="197"/>
      <c r="M407" s="1524"/>
      <c r="N407" s="1524"/>
      <c r="O407" s="1524"/>
      <c r="P407" s="1525"/>
      <c r="W407" s="236" t="s">
        <v>221</v>
      </c>
      <c r="X407" s="252" t="s">
        <v>1402</v>
      </c>
      <c r="Y407" s="183"/>
      <c r="Z407" s="172"/>
      <c r="AA407" s="197"/>
      <c r="AB407" s="197"/>
      <c r="AC407" s="1524"/>
      <c r="AD407" s="1524"/>
      <c r="AE407" s="1524"/>
      <c r="AF407" s="1525"/>
      <c r="AI407" s="9"/>
      <c r="AJ407" s="9"/>
      <c r="AK407" s="9"/>
      <c r="AL407" s="9"/>
      <c r="AM407" s="236" t="s">
        <v>221</v>
      </c>
      <c r="AN407" s="252" t="s">
        <v>1403</v>
      </c>
      <c r="AO407" s="183"/>
      <c r="AP407" s="172"/>
      <c r="AQ407" s="197"/>
      <c r="AR407" s="197"/>
      <c r="AS407" s="1524"/>
      <c r="AT407" s="1524"/>
      <c r="AU407" s="1524"/>
      <c r="AV407" s="1525"/>
      <c r="BV407" s="3">
        <v>1</v>
      </c>
    </row>
    <row r="408" spans="3:74" ht="15.75">
      <c r="C408" s="9"/>
      <c r="D408" s="9"/>
      <c r="E408" s="9"/>
      <c r="G408" s="236" t="s">
        <v>221</v>
      </c>
      <c r="H408" s="237" t="s">
        <v>242</v>
      </c>
      <c r="I408" s="183"/>
      <c r="J408" s="183"/>
      <c r="K408" s="197"/>
      <c r="L408" s="197"/>
      <c r="M408" s="1524"/>
      <c r="N408" s="1524"/>
      <c r="O408" s="1524"/>
      <c r="P408" s="1525"/>
      <c r="W408" s="236" t="s">
        <v>221</v>
      </c>
      <c r="X408" s="237" t="s">
        <v>1404</v>
      </c>
      <c r="Y408" s="183"/>
      <c r="Z408" s="183"/>
      <c r="AA408" s="197"/>
      <c r="AB408" s="197"/>
      <c r="AC408" s="1524"/>
      <c r="AD408" s="1524"/>
      <c r="AE408" s="1524"/>
      <c r="AF408" s="1525"/>
      <c r="AI408" s="9"/>
      <c r="AJ408" s="9"/>
      <c r="AK408" s="9"/>
      <c r="AL408" s="9"/>
      <c r="AM408" s="236" t="s">
        <v>221</v>
      </c>
      <c r="AN408" s="237" t="s">
        <v>1405</v>
      </c>
      <c r="AO408" s="183"/>
      <c r="AP408" s="183"/>
      <c r="AQ408" s="197"/>
      <c r="AR408" s="197"/>
      <c r="AS408" s="1524"/>
      <c r="AT408" s="1524"/>
      <c r="AU408" s="1524"/>
      <c r="AV408" s="1525"/>
      <c r="BV408" s="3">
        <v>1</v>
      </c>
    </row>
    <row r="409" spans="3:74" ht="15.75">
      <c r="C409" s="9"/>
      <c r="D409" s="9"/>
      <c r="E409" s="9"/>
      <c r="G409" s="236" t="s">
        <v>221</v>
      </c>
      <c r="H409" s="237" t="s">
        <v>243</v>
      </c>
      <c r="I409" s="183"/>
      <c r="J409" s="183"/>
      <c r="K409" s="197"/>
      <c r="L409" s="197"/>
      <c r="M409" s="1524"/>
      <c r="N409" s="1524"/>
      <c r="O409" s="1524"/>
      <c r="P409" s="1525"/>
      <c r="W409" s="236" t="s">
        <v>221</v>
      </c>
      <c r="X409" s="237" t="s">
        <v>1406</v>
      </c>
      <c r="Y409" s="183"/>
      <c r="Z409" s="183"/>
      <c r="AA409" s="197"/>
      <c r="AB409" s="197"/>
      <c r="AC409" s="1524"/>
      <c r="AD409" s="1524"/>
      <c r="AE409" s="1524"/>
      <c r="AF409" s="1525"/>
      <c r="AI409" s="9"/>
      <c r="AJ409" s="9"/>
      <c r="AK409" s="9"/>
      <c r="AL409" s="9"/>
      <c r="AM409" s="236" t="s">
        <v>221</v>
      </c>
      <c r="AN409" s="237" t="s">
        <v>1407</v>
      </c>
      <c r="AO409" s="183"/>
      <c r="AP409" s="183"/>
      <c r="AQ409" s="197"/>
      <c r="AR409" s="197"/>
      <c r="AS409" s="1524"/>
      <c r="AT409" s="1524"/>
      <c r="AU409" s="1524"/>
      <c r="AV409" s="1525"/>
      <c r="BV409" s="3">
        <v>1</v>
      </c>
    </row>
    <row r="410" spans="3:74" ht="15.75">
      <c r="C410" s="9"/>
      <c r="D410" s="9"/>
      <c r="E410" s="9"/>
      <c r="G410" s="236" t="s">
        <v>221</v>
      </c>
      <c r="H410" s="237" t="s">
        <v>253</v>
      </c>
      <c r="I410" s="183"/>
      <c r="J410" s="183"/>
      <c r="K410" s="197"/>
      <c r="L410" s="197"/>
      <c r="M410" s="1524"/>
      <c r="N410" s="1524"/>
      <c r="O410" s="1524"/>
      <c r="P410" s="1525"/>
      <c r="W410" s="236" t="s">
        <v>221</v>
      </c>
      <c r="X410" s="237" t="s">
        <v>1408</v>
      </c>
      <c r="Y410" s="183"/>
      <c r="Z410" s="183"/>
      <c r="AA410" s="197"/>
      <c r="AB410" s="197"/>
      <c r="AC410" s="1524"/>
      <c r="AD410" s="1524"/>
      <c r="AE410" s="1524"/>
      <c r="AF410" s="1525"/>
      <c r="AI410" s="9"/>
      <c r="AJ410" s="9"/>
      <c r="AK410" s="9"/>
      <c r="AL410" s="9"/>
      <c r="AM410" s="236" t="s">
        <v>221</v>
      </c>
      <c r="AN410" s="237" t="s">
        <v>1409</v>
      </c>
      <c r="AO410" s="183"/>
      <c r="AP410" s="183"/>
      <c r="AQ410" s="197"/>
      <c r="AR410" s="197"/>
      <c r="AS410" s="1524"/>
      <c r="AT410" s="1524"/>
      <c r="AU410" s="1524"/>
      <c r="AV410" s="1525"/>
      <c r="BV410" s="3">
        <v>1</v>
      </c>
    </row>
    <row r="411" spans="3:74" ht="15.75">
      <c r="C411" s="9"/>
      <c r="D411" s="9"/>
      <c r="E411" s="9"/>
      <c r="G411" s="236" t="s">
        <v>221</v>
      </c>
      <c r="H411" s="237" t="s">
        <v>254</v>
      </c>
      <c r="I411" s="183"/>
      <c r="J411" s="183"/>
      <c r="K411" s="197"/>
      <c r="L411" s="197"/>
      <c r="M411" s="1524"/>
      <c r="N411" s="1524"/>
      <c r="O411" s="1524"/>
      <c r="P411" s="1525"/>
      <c r="W411" s="236" t="s">
        <v>221</v>
      </c>
      <c r="X411" s="237" t="s">
        <v>1410</v>
      </c>
      <c r="Y411" s="183"/>
      <c r="Z411" s="183"/>
      <c r="AA411" s="197"/>
      <c r="AB411" s="197"/>
      <c r="AC411" s="1524"/>
      <c r="AD411" s="1524"/>
      <c r="AE411" s="1524"/>
      <c r="AF411" s="1525"/>
      <c r="AI411" s="9"/>
      <c r="AJ411" s="9"/>
      <c r="AK411" s="9"/>
      <c r="AL411" s="9"/>
      <c r="AM411" s="236" t="s">
        <v>221</v>
      </c>
      <c r="AN411" s="237" t="s">
        <v>1411</v>
      </c>
      <c r="AO411" s="183"/>
      <c r="AP411" s="183"/>
      <c r="AQ411" s="197"/>
      <c r="AR411" s="197"/>
      <c r="AS411" s="1524"/>
      <c r="AT411" s="1524"/>
      <c r="AU411" s="1524"/>
      <c r="AV411" s="1525"/>
      <c r="BV411" s="3">
        <v>1</v>
      </c>
    </row>
    <row r="412" spans="3:74" ht="15.75">
      <c r="C412" s="9"/>
      <c r="D412" s="9"/>
      <c r="E412" s="9"/>
      <c r="G412" s="236" t="s">
        <v>221</v>
      </c>
      <c r="H412" s="237" t="s">
        <v>255</v>
      </c>
      <c r="I412" s="183"/>
      <c r="J412" s="183"/>
      <c r="K412" s="197"/>
      <c r="L412" s="197"/>
      <c r="M412" s="1524"/>
      <c r="N412" s="1524"/>
      <c r="O412" s="1524"/>
      <c r="P412" s="1525"/>
      <c r="W412" s="236" t="s">
        <v>221</v>
      </c>
      <c r="X412" s="237" t="s">
        <v>1412</v>
      </c>
      <c r="Y412" s="183"/>
      <c r="Z412" s="183"/>
      <c r="AA412" s="197"/>
      <c r="AB412" s="197"/>
      <c r="AC412" s="1524"/>
      <c r="AD412" s="1524"/>
      <c r="AE412" s="1524"/>
      <c r="AF412" s="1525"/>
      <c r="AI412" s="9"/>
      <c r="AJ412" s="9"/>
      <c r="AK412" s="9"/>
      <c r="AL412" s="9"/>
      <c r="AM412" s="236" t="s">
        <v>221</v>
      </c>
      <c r="AN412" s="237" t="s">
        <v>1413</v>
      </c>
      <c r="AO412" s="183"/>
      <c r="AP412" s="183"/>
      <c r="AQ412" s="197"/>
      <c r="AR412" s="197"/>
      <c r="AS412" s="1524"/>
      <c r="AT412" s="1524"/>
      <c r="AU412" s="1524"/>
      <c r="AV412" s="1525"/>
      <c r="BV412" s="3">
        <v>1</v>
      </c>
    </row>
    <row r="413" spans="3:74" ht="15.75">
      <c r="C413" s="9"/>
      <c r="D413" s="9"/>
      <c r="E413" s="9"/>
      <c r="G413" s="236" t="s">
        <v>221</v>
      </c>
      <c r="H413" s="237" t="s">
        <v>256</v>
      </c>
      <c r="I413" s="183"/>
      <c r="J413" s="183"/>
      <c r="K413" s="197"/>
      <c r="L413" s="197"/>
      <c r="M413" s="1524"/>
      <c r="N413" s="1524"/>
      <c r="O413" s="1524"/>
      <c r="P413" s="1525"/>
      <c r="W413" s="236" t="s">
        <v>221</v>
      </c>
      <c r="X413" s="237" t="s">
        <v>1414</v>
      </c>
      <c r="Y413" s="183"/>
      <c r="Z413" s="183"/>
      <c r="AA413" s="197"/>
      <c r="AB413" s="197"/>
      <c r="AC413" s="1524"/>
      <c r="AD413" s="1524"/>
      <c r="AE413" s="1524"/>
      <c r="AF413" s="1525"/>
      <c r="AI413" s="9"/>
      <c r="AJ413" s="9"/>
      <c r="AK413" s="9"/>
      <c r="AL413" s="9"/>
      <c r="AM413" s="236" t="s">
        <v>221</v>
      </c>
      <c r="AN413" s="237" t="s">
        <v>1415</v>
      </c>
      <c r="AO413" s="183"/>
      <c r="AP413" s="183"/>
      <c r="AQ413" s="197"/>
      <c r="AR413" s="197"/>
      <c r="AS413" s="1524"/>
      <c r="AT413" s="1524"/>
      <c r="AU413" s="1524"/>
      <c r="AV413" s="1525"/>
      <c r="BV413" s="3">
        <v>1</v>
      </c>
    </row>
    <row r="414" spans="3:74" ht="15.75">
      <c r="C414" s="9"/>
      <c r="D414" s="9"/>
      <c r="E414" s="9"/>
      <c r="G414" s="236" t="s">
        <v>221</v>
      </c>
      <c r="H414" s="237" t="s">
        <v>260</v>
      </c>
      <c r="I414" s="183"/>
      <c r="J414" s="183"/>
      <c r="K414" s="197"/>
      <c r="L414" s="197"/>
      <c r="M414" s="1524"/>
      <c r="N414" s="1524"/>
      <c r="O414" s="1524"/>
      <c r="P414" s="1525"/>
      <c r="W414" s="236" t="s">
        <v>221</v>
      </c>
      <c r="X414" s="237" t="s">
        <v>1416</v>
      </c>
      <c r="Y414" s="183"/>
      <c r="Z414" s="183"/>
      <c r="AA414" s="197"/>
      <c r="AB414" s="197"/>
      <c r="AC414" s="1524"/>
      <c r="AD414" s="1524"/>
      <c r="AE414" s="1524"/>
      <c r="AF414" s="1525"/>
      <c r="AI414" s="9"/>
      <c r="AJ414" s="9"/>
      <c r="AK414" s="9"/>
      <c r="AL414" s="9"/>
      <c r="AM414" s="236" t="s">
        <v>221</v>
      </c>
      <c r="AN414" s="237" t="s">
        <v>1417</v>
      </c>
      <c r="AO414" s="183"/>
      <c r="AP414" s="183"/>
      <c r="AQ414" s="197"/>
      <c r="AR414" s="197"/>
      <c r="AS414" s="1524"/>
      <c r="AT414" s="1524"/>
      <c r="AU414" s="1524"/>
      <c r="AV414" s="1525"/>
      <c r="BV414" s="3">
        <v>1</v>
      </c>
    </row>
    <row r="415" spans="3:74" ht="15.75">
      <c r="C415" s="9"/>
      <c r="D415" s="9"/>
      <c r="E415" s="9"/>
      <c r="G415" s="307"/>
      <c r="H415" s="201"/>
      <c r="I415" s="201"/>
      <c r="J415" s="201"/>
      <c r="K415" s="201"/>
      <c r="L415" s="201"/>
      <c r="M415" s="449" t="s">
        <v>197</v>
      </c>
      <c r="N415" s="449"/>
      <c r="O415" s="449" t="s">
        <v>197</v>
      </c>
      <c r="P415" s="1517" t="s">
        <v>197</v>
      </c>
      <c r="W415" s="307"/>
      <c r="X415" s="201"/>
      <c r="Y415" s="201"/>
      <c r="Z415" s="201"/>
      <c r="AA415" s="201"/>
      <c r="AB415" s="201"/>
      <c r="AC415" s="449"/>
      <c r="AD415" s="449"/>
      <c r="AE415" s="449"/>
      <c r="AF415" s="1517" t="s">
        <v>1418</v>
      </c>
      <c r="AI415" s="9"/>
      <c r="AJ415" s="9"/>
      <c r="AK415" s="9"/>
      <c r="AL415" s="9"/>
      <c r="AM415" s="307"/>
      <c r="AN415" s="201"/>
      <c r="AO415" s="201"/>
      <c r="AP415" s="201"/>
      <c r="AQ415" s="201"/>
      <c r="AR415" s="201"/>
      <c r="AS415" s="449"/>
      <c r="AT415" s="449"/>
      <c r="AU415" s="449"/>
      <c r="AV415" s="1517" t="s">
        <v>1419</v>
      </c>
      <c r="BV415" s="3">
        <v>1</v>
      </c>
    </row>
    <row r="416" spans="3:74">
      <c r="C416" s="9"/>
      <c r="D416" s="9"/>
      <c r="E416" s="9"/>
      <c r="G416" s="9"/>
      <c r="H416" s="9"/>
      <c r="I416" s="9"/>
      <c r="J416" s="9"/>
      <c r="K416" s="9"/>
      <c r="L416" s="9"/>
      <c r="M416" s="9"/>
      <c r="N416" s="9"/>
      <c r="O416" s="9"/>
      <c r="P416" s="9"/>
      <c r="W416" s="9"/>
      <c r="X416" s="9"/>
      <c r="Y416" s="9"/>
      <c r="Z416" s="9"/>
      <c r="AA416" s="9"/>
      <c r="AB416" s="9"/>
      <c r="AC416" s="9"/>
      <c r="AD416" s="9"/>
      <c r="AE416" s="9"/>
      <c r="AF416" s="9"/>
      <c r="AI416" s="9"/>
      <c r="AJ416" s="9"/>
      <c r="AK416" s="9"/>
      <c r="AL416" s="9"/>
      <c r="AM416" s="9"/>
      <c r="AN416" s="9"/>
      <c r="AO416" s="9"/>
      <c r="AP416" s="9"/>
      <c r="AQ416" s="9"/>
      <c r="AR416" s="9"/>
      <c r="AS416" s="9"/>
      <c r="AT416" s="9"/>
      <c r="AU416" s="9"/>
      <c r="AV416" s="9"/>
      <c r="BV416" s="3">
        <v>1</v>
      </c>
    </row>
    <row r="417" spans="3:74" ht="15.75">
      <c r="C417" s="9"/>
      <c r="D417" s="9"/>
      <c r="E417" s="9"/>
      <c r="G417" s="232" t="s">
        <v>167</v>
      </c>
      <c r="H417" s="233"/>
      <c r="I417" s="233"/>
      <c r="J417" s="233"/>
      <c r="K417" s="233"/>
      <c r="L417" s="234"/>
      <c r="M417" s="235"/>
      <c r="N417" s="235"/>
      <c r="O417" s="235"/>
      <c r="P417" s="651" t="s">
        <v>265</v>
      </c>
      <c r="W417" s="232" t="s">
        <v>752</v>
      </c>
      <c r="X417" s="233"/>
      <c r="Y417" s="233"/>
      <c r="Z417" s="233"/>
      <c r="AA417" s="233"/>
      <c r="AB417" s="234"/>
      <c r="AC417" s="235"/>
      <c r="AD417" s="235"/>
      <c r="AE417" s="235"/>
      <c r="AF417" s="651" t="s">
        <v>1420</v>
      </c>
      <c r="AI417" s="9"/>
      <c r="AJ417" s="9"/>
      <c r="AK417" s="9"/>
      <c r="AL417" s="9"/>
      <c r="AM417" s="232" t="s">
        <v>754</v>
      </c>
      <c r="AN417" s="233"/>
      <c r="AO417" s="233"/>
      <c r="AP417" s="233"/>
      <c r="AQ417" s="233"/>
      <c r="AR417" s="234"/>
      <c r="AS417" s="235"/>
      <c r="AT417" s="235"/>
      <c r="AU417" s="235"/>
      <c r="AV417" s="651" t="s">
        <v>1421</v>
      </c>
      <c r="BV417" s="3">
        <v>1</v>
      </c>
    </row>
    <row r="418" spans="3:74" ht="15.75">
      <c r="C418" s="9"/>
      <c r="D418" s="9"/>
      <c r="E418" s="9"/>
      <c r="G418" s="277" t="s">
        <v>269</v>
      </c>
      <c r="H418" s="183"/>
      <c r="I418" s="278"/>
      <c r="J418" s="231"/>
      <c r="K418" s="231"/>
      <c r="L418" s="231"/>
      <c r="M418" s="231"/>
      <c r="N418" s="231"/>
      <c r="O418" s="231"/>
      <c r="P418" s="189"/>
      <c r="W418" s="277" t="s">
        <v>1422</v>
      </c>
      <c r="X418" s="183"/>
      <c r="Y418" s="278"/>
      <c r="Z418" s="231"/>
      <c r="AA418" s="231"/>
      <c r="AB418" s="231"/>
      <c r="AC418" s="231"/>
      <c r="AD418" s="231"/>
      <c r="AE418" s="231"/>
      <c r="AF418" s="189"/>
      <c r="AI418" s="9"/>
      <c r="AJ418" s="9"/>
      <c r="AK418" s="9"/>
      <c r="AL418" s="9"/>
      <c r="AM418" s="277" t="s">
        <v>771</v>
      </c>
      <c r="AN418" s="183"/>
      <c r="AO418" s="278"/>
      <c r="AP418" s="231"/>
      <c r="AQ418" s="231"/>
      <c r="AR418" s="231"/>
      <c r="AS418" s="231"/>
      <c r="AT418" s="231"/>
      <c r="AU418" s="231"/>
      <c r="AV418" s="189"/>
      <c r="BV418" s="3">
        <v>1</v>
      </c>
    </row>
    <row r="419" spans="3:74">
      <c r="C419" s="9"/>
      <c r="D419" s="9"/>
      <c r="E419" s="9"/>
      <c r="G419" s="5731" t="s">
        <v>270</v>
      </c>
      <c r="H419" s="5618"/>
      <c r="I419" s="5618"/>
      <c r="J419" s="5618"/>
      <c r="K419" s="5618"/>
      <c r="L419" s="5618"/>
      <c r="M419" s="5618"/>
      <c r="N419" s="5618"/>
      <c r="O419" s="5618"/>
      <c r="P419" s="5619"/>
      <c r="W419" s="5731" t="s">
        <v>1423</v>
      </c>
      <c r="X419" s="5618"/>
      <c r="Y419" s="5618"/>
      <c r="Z419" s="5618"/>
      <c r="AA419" s="5618"/>
      <c r="AB419" s="5618"/>
      <c r="AC419" s="5618"/>
      <c r="AD419" s="5618"/>
      <c r="AE419" s="5618"/>
      <c r="AF419" s="5619"/>
      <c r="AI419" s="9"/>
      <c r="AJ419" s="9"/>
      <c r="AK419" s="9"/>
      <c r="AL419" s="9"/>
      <c r="AM419" s="5731" t="s">
        <v>1424</v>
      </c>
      <c r="AN419" s="5618"/>
      <c r="AO419" s="5618"/>
      <c r="AP419" s="5618"/>
      <c r="AQ419" s="5618"/>
      <c r="AR419" s="5618"/>
      <c r="AS419" s="5618"/>
      <c r="AT419" s="5618"/>
      <c r="AU419" s="5618"/>
      <c r="AV419" s="5619"/>
      <c r="BV419" s="3">
        <v>1</v>
      </c>
    </row>
    <row r="420" spans="3:74">
      <c r="C420" s="9"/>
      <c r="D420" s="9"/>
      <c r="E420" s="9"/>
      <c r="G420" s="5731"/>
      <c r="H420" s="5618"/>
      <c r="I420" s="5618"/>
      <c r="J420" s="5618"/>
      <c r="K420" s="5618"/>
      <c r="L420" s="5618"/>
      <c r="M420" s="5618"/>
      <c r="N420" s="5618"/>
      <c r="O420" s="5618"/>
      <c r="P420" s="5619"/>
      <c r="W420" s="5731"/>
      <c r="X420" s="5618"/>
      <c r="Y420" s="5618"/>
      <c r="Z420" s="5618"/>
      <c r="AA420" s="5618"/>
      <c r="AB420" s="5618"/>
      <c r="AC420" s="5618"/>
      <c r="AD420" s="5618"/>
      <c r="AE420" s="5618"/>
      <c r="AF420" s="5619"/>
      <c r="AI420" s="9"/>
      <c r="AJ420" s="9"/>
      <c r="AK420" s="9"/>
      <c r="AL420" s="9"/>
      <c r="AM420" s="5731"/>
      <c r="AN420" s="5618"/>
      <c r="AO420" s="5618"/>
      <c r="AP420" s="5618"/>
      <c r="AQ420" s="5618"/>
      <c r="AR420" s="5618"/>
      <c r="AS420" s="5618"/>
      <c r="AT420" s="5618"/>
      <c r="AU420" s="5618"/>
      <c r="AV420" s="5619"/>
      <c r="BV420" s="3">
        <v>1</v>
      </c>
    </row>
    <row r="421" spans="3:74">
      <c r="C421" s="9"/>
      <c r="D421" s="9"/>
      <c r="E421" s="9"/>
      <c r="G421" s="5731"/>
      <c r="H421" s="5618"/>
      <c r="I421" s="5618"/>
      <c r="J421" s="5618"/>
      <c r="K421" s="5618"/>
      <c r="L421" s="5618"/>
      <c r="M421" s="5618"/>
      <c r="N421" s="5618"/>
      <c r="O421" s="5618"/>
      <c r="P421" s="5619"/>
      <c r="W421" s="5731"/>
      <c r="X421" s="5618"/>
      <c r="Y421" s="5618"/>
      <c r="Z421" s="5618"/>
      <c r="AA421" s="5618"/>
      <c r="AB421" s="5618"/>
      <c r="AC421" s="5618"/>
      <c r="AD421" s="5618"/>
      <c r="AE421" s="5618"/>
      <c r="AF421" s="5619"/>
      <c r="AI421" s="9"/>
      <c r="AJ421" s="9"/>
      <c r="AK421" s="9"/>
      <c r="AL421" s="9"/>
      <c r="AM421" s="5731"/>
      <c r="AN421" s="5618"/>
      <c r="AO421" s="5618"/>
      <c r="AP421" s="5618"/>
      <c r="AQ421" s="5618"/>
      <c r="AR421" s="5618"/>
      <c r="AS421" s="5618"/>
      <c r="AT421" s="5618"/>
      <c r="AU421" s="5618"/>
      <c r="AV421" s="5619"/>
      <c r="BV421" s="3">
        <v>1</v>
      </c>
    </row>
    <row r="422" spans="3:74" ht="15.75">
      <c r="C422" s="9"/>
      <c r="D422" s="9"/>
      <c r="E422" s="9"/>
      <c r="G422" s="284" t="s">
        <v>283</v>
      </c>
      <c r="H422" s="197"/>
      <c r="I422" s="197"/>
      <c r="J422" s="197"/>
      <c r="K422" s="197"/>
      <c r="L422" s="197"/>
      <c r="M422" s="197"/>
      <c r="N422" s="197"/>
      <c r="O422" s="197"/>
      <c r="P422" s="662"/>
      <c r="W422" s="284" t="s">
        <v>774</v>
      </c>
      <c r="X422" s="197"/>
      <c r="Y422" s="197"/>
      <c r="Z422" s="197"/>
      <c r="AA422" s="197"/>
      <c r="AB422" s="197"/>
      <c r="AC422" s="197"/>
      <c r="AD422" s="197"/>
      <c r="AE422" s="197"/>
      <c r="AF422" s="662"/>
      <c r="AI422" s="9"/>
      <c r="AJ422" s="9"/>
      <c r="AK422" s="9"/>
      <c r="AL422" s="9"/>
      <c r="AM422" s="284" t="s">
        <v>775</v>
      </c>
      <c r="AN422" s="197"/>
      <c r="AO422" s="197"/>
      <c r="AP422" s="197"/>
      <c r="AQ422" s="197"/>
      <c r="AR422" s="197"/>
      <c r="AS422" s="197"/>
      <c r="AT422" s="197"/>
      <c r="AU422" s="197"/>
      <c r="AV422" s="662"/>
      <c r="BV422" s="3">
        <v>1</v>
      </c>
    </row>
    <row r="423" spans="3:74" ht="15.75">
      <c r="C423" s="9"/>
      <c r="D423" s="9"/>
      <c r="E423" s="9"/>
      <c r="G423" s="161" t="s">
        <v>285</v>
      </c>
      <c r="H423" s="168"/>
      <c r="I423" s="168"/>
      <c r="J423" s="168"/>
      <c r="K423" s="168"/>
      <c r="L423" s="168"/>
      <c r="M423" s="168"/>
      <c r="N423" s="168"/>
      <c r="O423" s="168"/>
      <c r="P423" s="673"/>
      <c r="W423" s="161" t="s">
        <v>1425</v>
      </c>
      <c r="X423" s="168"/>
      <c r="Y423" s="168"/>
      <c r="Z423" s="168"/>
      <c r="AA423" s="168"/>
      <c r="AB423" s="168"/>
      <c r="AC423" s="168"/>
      <c r="AD423" s="168"/>
      <c r="AE423" s="168"/>
      <c r="AF423" s="673"/>
      <c r="AI423" s="9"/>
      <c r="AJ423" s="9"/>
      <c r="AK423" s="9"/>
      <c r="AL423" s="9"/>
      <c r="AM423" s="161" t="s">
        <v>1426</v>
      </c>
      <c r="AN423" s="168"/>
      <c r="AO423" s="168"/>
      <c r="AP423" s="168"/>
      <c r="AQ423" s="168"/>
      <c r="AR423" s="168"/>
      <c r="AS423" s="168"/>
      <c r="AT423" s="168"/>
      <c r="AU423" s="168"/>
      <c r="AV423" s="673"/>
      <c r="BV423" s="3">
        <v>1</v>
      </c>
    </row>
    <row r="424" spans="3:74">
      <c r="C424" s="9"/>
      <c r="D424" s="9"/>
      <c r="E424" s="9"/>
      <c r="G424" s="5732" t="s">
        <v>292</v>
      </c>
      <c r="H424" s="5733"/>
      <c r="I424" s="5733"/>
      <c r="J424" s="5733"/>
      <c r="K424" s="5733"/>
      <c r="L424" s="5733"/>
      <c r="M424" s="5733"/>
      <c r="N424" s="5733"/>
      <c r="O424" s="5733"/>
      <c r="P424" s="5734"/>
      <c r="W424" s="5732" t="s">
        <v>1427</v>
      </c>
      <c r="X424" s="5733"/>
      <c r="Y424" s="5733"/>
      <c r="Z424" s="5733"/>
      <c r="AA424" s="5733"/>
      <c r="AB424" s="5733"/>
      <c r="AC424" s="5733"/>
      <c r="AD424" s="5733"/>
      <c r="AE424" s="5733"/>
      <c r="AF424" s="5734"/>
      <c r="AI424" s="9"/>
      <c r="AJ424" s="9"/>
      <c r="AK424" s="9"/>
      <c r="AL424" s="9"/>
      <c r="AM424" s="5732" t="s">
        <v>1428</v>
      </c>
      <c r="AN424" s="5733"/>
      <c r="AO424" s="5733"/>
      <c r="AP424" s="5733"/>
      <c r="AQ424" s="5733"/>
      <c r="AR424" s="5733"/>
      <c r="AS424" s="5733"/>
      <c r="AT424" s="5733"/>
      <c r="AU424" s="5733"/>
      <c r="AV424" s="5734"/>
      <c r="BV424" s="3">
        <v>1</v>
      </c>
    </row>
    <row r="425" spans="3:74">
      <c r="C425" s="9"/>
      <c r="D425" s="9"/>
      <c r="E425" s="9"/>
      <c r="G425" s="5732"/>
      <c r="H425" s="5733"/>
      <c r="I425" s="5733"/>
      <c r="J425" s="5733"/>
      <c r="K425" s="5733"/>
      <c r="L425" s="5733"/>
      <c r="M425" s="5733"/>
      <c r="N425" s="5733"/>
      <c r="O425" s="5733"/>
      <c r="P425" s="5734"/>
      <c r="W425" s="5732"/>
      <c r="X425" s="5733"/>
      <c r="Y425" s="5733"/>
      <c r="Z425" s="5733"/>
      <c r="AA425" s="5733"/>
      <c r="AB425" s="5733"/>
      <c r="AC425" s="5733"/>
      <c r="AD425" s="5733"/>
      <c r="AE425" s="5733"/>
      <c r="AF425" s="5734"/>
      <c r="AI425" s="9"/>
      <c r="AJ425" s="9"/>
      <c r="AK425" s="9"/>
      <c r="AL425" s="9"/>
      <c r="AM425" s="5732"/>
      <c r="AN425" s="5733"/>
      <c r="AO425" s="5733"/>
      <c r="AP425" s="5733"/>
      <c r="AQ425" s="5733"/>
      <c r="AR425" s="5733"/>
      <c r="AS425" s="5733"/>
      <c r="AT425" s="5733"/>
      <c r="AU425" s="5733"/>
      <c r="AV425" s="5734"/>
      <c r="BV425" s="3">
        <v>1</v>
      </c>
    </row>
    <row r="426" spans="3:74">
      <c r="C426" s="9"/>
      <c r="D426" s="9"/>
      <c r="E426" s="9"/>
      <c r="G426" s="5732"/>
      <c r="H426" s="5733"/>
      <c r="I426" s="5733"/>
      <c r="J426" s="5733"/>
      <c r="K426" s="5733"/>
      <c r="L426" s="5733"/>
      <c r="M426" s="5733"/>
      <c r="N426" s="5733"/>
      <c r="O426" s="5733"/>
      <c r="P426" s="5734"/>
      <c r="W426" s="5732"/>
      <c r="X426" s="5733"/>
      <c r="Y426" s="5733"/>
      <c r="Z426" s="5733"/>
      <c r="AA426" s="5733"/>
      <c r="AB426" s="5733"/>
      <c r="AC426" s="5733"/>
      <c r="AD426" s="5733"/>
      <c r="AE426" s="5733"/>
      <c r="AF426" s="5734"/>
      <c r="AI426" s="9"/>
      <c r="AJ426" s="9"/>
      <c r="AK426" s="9"/>
      <c r="AL426" s="9"/>
      <c r="AM426" s="5732"/>
      <c r="AN426" s="5733"/>
      <c r="AO426" s="5733"/>
      <c r="AP426" s="5733"/>
      <c r="AQ426" s="5733"/>
      <c r="AR426" s="5733"/>
      <c r="AS426" s="5733"/>
      <c r="AT426" s="5733"/>
      <c r="AU426" s="5733"/>
      <c r="AV426" s="5734"/>
      <c r="BV426" s="3">
        <v>1</v>
      </c>
    </row>
    <row r="427" spans="3:74">
      <c r="C427" s="9"/>
      <c r="D427" s="9"/>
      <c r="E427" s="9"/>
      <c r="G427" s="5732"/>
      <c r="H427" s="5733"/>
      <c r="I427" s="5733"/>
      <c r="J427" s="5733"/>
      <c r="K427" s="5733"/>
      <c r="L427" s="5733"/>
      <c r="M427" s="5733"/>
      <c r="N427" s="5733"/>
      <c r="O427" s="5733"/>
      <c r="P427" s="5734"/>
      <c r="W427" s="5732"/>
      <c r="X427" s="5733"/>
      <c r="Y427" s="5733"/>
      <c r="Z427" s="5733"/>
      <c r="AA427" s="5733"/>
      <c r="AB427" s="5733"/>
      <c r="AC427" s="5733"/>
      <c r="AD427" s="5733"/>
      <c r="AE427" s="5733"/>
      <c r="AF427" s="5734"/>
      <c r="AI427" s="9"/>
      <c r="AJ427" s="9"/>
      <c r="AK427" s="9"/>
      <c r="AL427" s="9"/>
      <c r="AM427" s="5732"/>
      <c r="AN427" s="5733"/>
      <c r="AO427" s="5733"/>
      <c r="AP427" s="5733"/>
      <c r="AQ427" s="5733"/>
      <c r="AR427" s="5733"/>
      <c r="AS427" s="5733"/>
      <c r="AT427" s="5733"/>
      <c r="AU427" s="5733"/>
      <c r="AV427" s="5734"/>
      <c r="BV427" s="3">
        <v>1</v>
      </c>
    </row>
    <row r="428" spans="3:74">
      <c r="C428" s="9"/>
      <c r="D428" s="9"/>
      <c r="E428" s="9"/>
      <c r="G428" s="5735"/>
      <c r="H428" s="5736"/>
      <c r="I428" s="5736"/>
      <c r="J428" s="5736"/>
      <c r="K428" s="5736"/>
      <c r="L428" s="5736"/>
      <c r="M428" s="5736"/>
      <c r="N428" s="5736"/>
      <c r="O428" s="5736"/>
      <c r="P428" s="5737"/>
      <c r="W428" s="5735"/>
      <c r="X428" s="5736"/>
      <c r="Y428" s="5736"/>
      <c r="Z428" s="5736"/>
      <c r="AA428" s="5736"/>
      <c r="AB428" s="5736"/>
      <c r="AC428" s="5736"/>
      <c r="AD428" s="5736"/>
      <c r="AE428" s="5736"/>
      <c r="AF428" s="5737"/>
      <c r="AI428" s="9"/>
      <c r="AJ428" s="9"/>
      <c r="AK428" s="9"/>
      <c r="AL428" s="9"/>
      <c r="AM428" s="5735"/>
      <c r="AN428" s="5736"/>
      <c r="AO428" s="5736"/>
      <c r="AP428" s="5736"/>
      <c r="AQ428" s="5736"/>
      <c r="AR428" s="5736"/>
      <c r="AS428" s="5736"/>
      <c r="AT428" s="5736"/>
      <c r="AU428" s="5736"/>
      <c r="AV428" s="5737"/>
      <c r="BV428" s="3">
        <v>1</v>
      </c>
    </row>
    <row r="429" spans="3:74" ht="15.75">
      <c r="C429" s="9"/>
      <c r="D429" s="9"/>
      <c r="E429" s="9"/>
      <c r="G429" s="265"/>
      <c r="H429" s="172"/>
      <c r="I429" s="172"/>
      <c r="J429" s="172"/>
      <c r="K429" s="172"/>
      <c r="L429" s="172"/>
      <c r="M429" s="172"/>
      <c r="N429" s="172"/>
      <c r="O429" s="266"/>
      <c r="P429" s="557" t="s">
        <v>197</v>
      </c>
      <c r="W429" s="265"/>
      <c r="X429" s="172"/>
      <c r="Y429" s="172"/>
      <c r="Z429" s="172"/>
      <c r="AA429" s="172"/>
      <c r="AB429" s="172"/>
      <c r="AC429" s="172"/>
      <c r="AD429" s="172"/>
      <c r="AE429" s="266"/>
      <c r="AF429" s="557" t="s">
        <v>1418</v>
      </c>
      <c r="AI429" s="9"/>
      <c r="AJ429" s="9"/>
      <c r="AK429" s="9"/>
      <c r="AL429" s="9"/>
      <c r="AM429" s="265"/>
      <c r="AN429" s="172"/>
      <c r="AO429" s="172"/>
      <c r="AP429" s="172"/>
      <c r="AQ429" s="172"/>
      <c r="AR429" s="172"/>
      <c r="AS429" s="172"/>
      <c r="AT429" s="172"/>
      <c r="AU429" s="266"/>
      <c r="AV429" s="557" t="s">
        <v>1419</v>
      </c>
      <c r="BV429" s="3">
        <v>1</v>
      </c>
    </row>
    <row r="430" spans="3:74" ht="15.75">
      <c r="C430" s="9"/>
      <c r="D430" s="9"/>
      <c r="E430" s="9"/>
      <c r="G430" s="265" t="s">
        <v>198</v>
      </c>
      <c r="H430" s="197"/>
      <c r="I430" s="197"/>
      <c r="J430" s="197"/>
      <c r="K430" s="197"/>
      <c r="L430" s="197"/>
      <c r="M430" s="197"/>
      <c r="N430" s="197"/>
      <c r="O430" s="197"/>
      <c r="P430" s="662"/>
      <c r="W430" s="265" t="s">
        <v>900</v>
      </c>
      <c r="X430" s="197"/>
      <c r="Y430" s="197"/>
      <c r="Z430" s="197"/>
      <c r="AA430" s="197"/>
      <c r="AB430" s="197"/>
      <c r="AC430" s="197"/>
      <c r="AD430" s="197"/>
      <c r="AE430" s="197"/>
      <c r="AF430" s="662"/>
      <c r="AI430" s="9"/>
      <c r="AJ430" s="9"/>
      <c r="AK430" s="9"/>
      <c r="AL430" s="9"/>
      <c r="AM430" s="265" t="s">
        <v>1429</v>
      </c>
      <c r="AN430" s="197"/>
      <c r="AO430" s="197"/>
      <c r="AP430" s="197"/>
      <c r="AQ430" s="197"/>
      <c r="AR430" s="197"/>
      <c r="AS430" s="197"/>
      <c r="AT430" s="197"/>
      <c r="AU430" s="197"/>
      <c r="AV430" s="662"/>
      <c r="BV430" s="3">
        <v>1</v>
      </c>
    </row>
    <row r="431" spans="3:74" ht="15.75">
      <c r="C431" s="9"/>
      <c r="D431" s="9"/>
      <c r="E431" s="9"/>
      <c r="G431" s="307" t="s">
        <v>200</v>
      </c>
      <c r="H431" s="201"/>
      <c r="I431" s="201"/>
      <c r="J431" s="201"/>
      <c r="K431" s="201"/>
      <c r="L431" s="201"/>
      <c r="M431" s="201"/>
      <c r="N431" s="201"/>
      <c r="O431" s="449"/>
      <c r="P431" s="1517"/>
      <c r="W431" s="307" t="s">
        <v>1430</v>
      </c>
      <c r="X431" s="201"/>
      <c r="Y431" s="201"/>
      <c r="Z431" s="201"/>
      <c r="AA431" s="201"/>
      <c r="AB431" s="201"/>
      <c r="AC431" s="201"/>
      <c r="AD431" s="201"/>
      <c r="AE431" s="449"/>
      <c r="AF431" s="1517"/>
      <c r="AI431" s="9"/>
      <c r="AJ431" s="9"/>
      <c r="AK431" s="9"/>
      <c r="AL431" s="9"/>
      <c r="AM431" s="307" t="s">
        <v>1431</v>
      </c>
      <c r="AN431" s="201"/>
      <c r="AO431" s="201"/>
      <c r="AP431" s="201"/>
      <c r="AQ431" s="201"/>
      <c r="AR431" s="201"/>
      <c r="AS431" s="201"/>
      <c r="AT431" s="201"/>
      <c r="AU431" s="449"/>
      <c r="AV431" s="1517"/>
      <c r="BV431" s="3">
        <v>1</v>
      </c>
    </row>
    <row r="432" spans="3:74">
      <c r="C432" s="9"/>
      <c r="D432" s="9"/>
      <c r="E432" s="9"/>
      <c r="G432" s="9"/>
      <c r="H432" s="9"/>
      <c r="I432" s="9"/>
      <c r="J432" s="9"/>
      <c r="K432" s="9"/>
      <c r="L432" s="9"/>
      <c r="M432" s="9"/>
      <c r="N432" s="9"/>
      <c r="O432" s="9"/>
      <c r="P432" s="9"/>
      <c r="W432" s="9"/>
      <c r="X432" s="9"/>
      <c r="Y432" s="9"/>
      <c r="Z432" s="9"/>
      <c r="AA432" s="9"/>
      <c r="AB432" s="9"/>
      <c r="AC432" s="9"/>
      <c r="AD432" s="9"/>
      <c r="AE432" s="9"/>
      <c r="AF432" s="9"/>
      <c r="AI432" s="9"/>
      <c r="AJ432" s="9"/>
      <c r="AK432" s="9"/>
      <c r="AL432" s="9"/>
      <c r="AM432" s="9"/>
      <c r="AN432" s="9"/>
      <c r="AO432" s="9"/>
      <c r="AP432" s="9"/>
      <c r="AQ432" s="9"/>
      <c r="AR432" s="9"/>
      <c r="AS432" s="9"/>
      <c r="AT432" s="9"/>
      <c r="AU432" s="9"/>
      <c r="AV432" s="9"/>
      <c r="BV432" s="3">
        <v>1</v>
      </c>
    </row>
    <row r="433" spans="3:74" ht="15.75">
      <c r="C433" s="9"/>
      <c r="D433" s="9"/>
      <c r="E433" s="9"/>
      <c r="G433" s="232" t="s">
        <v>167</v>
      </c>
      <c r="H433" s="320"/>
      <c r="I433" s="320"/>
      <c r="J433" s="320"/>
      <c r="K433" s="320"/>
      <c r="L433" s="320"/>
      <c r="M433" s="235"/>
      <c r="N433" s="235"/>
      <c r="O433" s="235"/>
      <c r="P433" s="651" t="s">
        <v>320</v>
      </c>
      <c r="W433" s="232" t="s">
        <v>752</v>
      </c>
      <c r="X433" s="320"/>
      <c r="Y433" s="320"/>
      <c r="Z433" s="320"/>
      <c r="AA433" s="320"/>
      <c r="AB433" s="320"/>
      <c r="AC433" s="235"/>
      <c r="AD433" s="235"/>
      <c r="AE433" s="235"/>
      <c r="AF433" s="651" t="s">
        <v>1432</v>
      </c>
      <c r="AI433" s="9"/>
      <c r="AJ433" s="9"/>
      <c r="AK433" s="9"/>
      <c r="AL433" s="9"/>
      <c r="AM433" s="232" t="s">
        <v>754</v>
      </c>
      <c r="AN433" s="320"/>
      <c r="AO433" s="320"/>
      <c r="AP433" s="320"/>
      <c r="AQ433" s="320"/>
      <c r="AR433" s="320"/>
      <c r="AS433" s="235"/>
      <c r="AT433" s="235"/>
      <c r="AU433" s="235"/>
      <c r="AV433" s="651" t="s">
        <v>1433</v>
      </c>
      <c r="BV433" s="3">
        <v>1</v>
      </c>
    </row>
    <row r="434" spans="3:74" ht="15.75">
      <c r="C434" s="9"/>
      <c r="D434" s="9"/>
      <c r="E434" s="9"/>
      <c r="G434" s="321"/>
      <c r="H434" s="322" t="s">
        <v>327</v>
      </c>
      <c r="I434" s="241"/>
      <c r="J434" s="241"/>
      <c r="K434" s="241"/>
      <c r="L434" s="323" t="s">
        <v>328</v>
      </c>
      <c r="M434" s="324"/>
      <c r="N434" s="1524"/>
      <c r="O434" s="1524"/>
      <c r="P434" s="1525"/>
      <c r="W434" s="321"/>
      <c r="X434" s="322" t="s">
        <v>782</v>
      </c>
      <c r="Y434" s="241"/>
      <c r="Z434" s="241"/>
      <c r="AA434" s="241"/>
      <c r="AB434" s="323" t="s">
        <v>1434</v>
      </c>
      <c r="AC434" s="324"/>
      <c r="AD434" s="1524"/>
      <c r="AE434" s="1524"/>
      <c r="AF434" s="1525"/>
      <c r="AI434" s="9"/>
      <c r="AJ434" s="9"/>
      <c r="AK434" s="9"/>
      <c r="AL434" s="9"/>
      <c r="AM434" s="321"/>
      <c r="AN434" s="322" t="s">
        <v>784</v>
      </c>
      <c r="AO434" s="241"/>
      <c r="AP434" s="241"/>
      <c r="AQ434" s="241"/>
      <c r="AR434" s="323" t="s">
        <v>863</v>
      </c>
      <c r="AS434" s="324"/>
      <c r="AT434" s="1524"/>
      <c r="AU434" s="1524"/>
      <c r="AV434" s="1525"/>
      <c r="BV434" s="3">
        <v>1</v>
      </c>
    </row>
    <row r="435" spans="3:74" ht="15.75">
      <c r="C435" s="9"/>
      <c r="D435" s="9"/>
      <c r="E435" s="9"/>
      <c r="G435" s="321">
        <v>3</v>
      </c>
      <c r="H435" s="327" t="s">
        <v>329</v>
      </c>
      <c r="I435" s="197"/>
      <c r="J435" s="197"/>
      <c r="K435" s="197"/>
      <c r="L435" s="236" t="s">
        <v>221</v>
      </c>
      <c r="M435" s="328" t="s">
        <v>330</v>
      </c>
      <c r="N435" s="1524"/>
      <c r="O435" s="1524"/>
      <c r="P435" s="1525"/>
      <c r="W435" s="321">
        <v>3</v>
      </c>
      <c r="X435" s="327" t="s">
        <v>785</v>
      </c>
      <c r="Y435" s="197"/>
      <c r="Z435" s="197"/>
      <c r="AA435" s="197"/>
      <c r="AB435" s="236" t="s">
        <v>221</v>
      </c>
      <c r="AC435" s="328" t="s">
        <v>786</v>
      </c>
      <c r="AD435" s="1524"/>
      <c r="AE435" s="1524"/>
      <c r="AF435" s="1525"/>
      <c r="AI435" s="9"/>
      <c r="AJ435" s="9"/>
      <c r="AK435" s="9"/>
      <c r="AL435" s="9"/>
      <c r="AM435" s="321">
        <v>3</v>
      </c>
      <c r="AN435" s="327" t="s">
        <v>787</v>
      </c>
      <c r="AO435" s="197"/>
      <c r="AP435" s="197"/>
      <c r="AQ435" s="197"/>
      <c r="AR435" s="236" t="s">
        <v>221</v>
      </c>
      <c r="AS435" s="328" t="s">
        <v>788</v>
      </c>
      <c r="AT435" s="1524"/>
      <c r="AU435" s="1524"/>
      <c r="AV435" s="1525"/>
      <c r="BV435" s="3">
        <v>1</v>
      </c>
    </row>
    <row r="436" spans="3:74" ht="18.75">
      <c r="C436" s="9"/>
      <c r="D436" s="9"/>
      <c r="E436" s="9"/>
      <c r="G436" s="321"/>
      <c r="H436" s="327" t="s">
        <v>331</v>
      </c>
      <c r="I436" s="197"/>
      <c r="J436" s="197"/>
      <c r="K436" s="197"/>
      <c r="L436" s="335"/>
      <c r="M436" s="328" t="s">
        <v>332</v>
      </c>
      <c r="N436" s="1524"/>
      <c r="O436" s="1524"/>
      <c r="P436" s="1525"/>
      <c r="W436" s="321"/>
      <c r="X436" s="327" t="s">
        <v>789</v>
      </c>
      <c r="Y436" s="197"/>
      <c r="Z436" s="197"/>
      <c r="AA436" s="197"/>
      <c r="AB436" s="335"/>
      <c r="AC436" s="328" t="s">
        <v>790</v>
      </c>
      <c r="AD436" s="1524"/>
      <c r="AE436" s="1524"/>
      <c r="AF436" s="1525"/>
      <c r="AI436" s="9"/>
      <c r="AJ436" s="9"/>
      <c r="AK436" s="9"/>
      <c r="AL436" s="9"/>
      <c r="AM436" s="321"/>
      <c r="AN436" s="327" t="s">
        <v>791</v>
      </c>
      <c r="AO436" s="197"/>
      <c r="AP436" s="197"/>
      <c r="AQ436" s="197"/>
      <c r="AR436" s="335"/>
      <c r="AS436" s="328" t="s">
        <v>792</v>
      </c>
      <c r="AT436" s="1524"/>
      <c r="AU436" s="1524"/>
      <c r="AV436" s="1525"/>
      <c r="BV436" s="3">
        <v>1</v>
      </c>
    </row>
    <row r="437" spans="3:74" ht="15.75">
      <c r="C437" s="9"/>
      <c r="D437" s="9"/>
      <c r="E437" s="9"/>
      <c r="G437" s="321">
        <v>1</v>
      </c>
      <c r="H437" s="327" t="s">
        <v>333</v>
      </c>
      <c r="I437" s="197"/>
      <c r="J437" s="197"/>
      <c r="K437" s="197"/>
      <c r="L437" s="337"/>
      <c r="M437" s="338" t="s">
        <v>334</v>
      </c>
      <c r="N437" s="1524"/>
      <c r="O437" s="1524"/>
      <c r="P437" s="1525"/>
      <c r="W437" s="321">
        <v>1</v>
      </c>
      <c r="X437" s="327" t="s">
        <v>1435</v>
      </c>
      <c r="Y437" s="197"/>
      <c r="Z437" s="197"/>
      <c r="AA437" s="197"/>
      <c r="AB437" s="337"/>
      <c r="AC437" s="338" t="s">
        <v>1436</v>
      </c>
      <c r="AD437" s="1524"/>
      <c r="AE437" s="1524"/>
      <c r="AF437" s="1525"/>
      <c r="AI437" s="9"/>
      <c r="AJ437" s="9"/>
      <c r="AK437" s="9"/>
      <c r="AL437" s="9"/>
      <c r="AM437" s="321">
        <v>1</v>
      </c>
      <c r="AN437" s="327" t="s">
        <v>1437</v>
      </c>
      <c r="AO437" s="197"/>
      <c r="AP437" s="197"/>
      <c r="AQ437" s="197"/>
      <c r="AR437" s="337"/>
      <c r="AS437" s="338" t="s">
        <v>1438</v>
      </c>
      <c r="AT437" s="1524"/>
      <c r="AU437" s="1524"/>
      <c r="AV437" s="1525"/>
      <c r="BV437" s="3">
        <v>1</v>
      </c>
    </row>
    <row r="438" spans="3:74" ht="18.75">
      <c r="C438" s="9"/>
      <c r="D438" s="9"/>
      <c r="E438" s="9"/>
      <c r="G438" s="321"/>
      <c r="H438" s="327" t="s">
        <v>335</v>
      </c>
      <c r="I438" s="197"/>
      <c r="J438" s="197"/>
      <c r="K438" s="197"/>
      <c r="L438" s="335"/>
      <c r="M438" s="328" t="s">
        <v>330</v>
      </c>
      <c r="N438" s="1524"/>
      <c r="O438" s="1524"/>
      <c r="P438" s="1525"/>
      <c r="W438" s="321"/>
      <c r="X438" s="327" t="s">
        <v>1439</v>
      </c>
      <c r="Y438" s="197"/>
      <c r="Z438" s="197"/>
      <c r="AA438" s="197"/>
      <c r="AB438" s="335"/>
      <c r="AC438" s="328" t="s">
        <v>786</v>
      </c>
      <c r="AD438" s="1524"/>
      <c r="AE438" s="1524"/>
      <c r="AF438" s="1525"/>
      <c r="AI438" s="9"/>
      <c r="AJ438" s="9"/>
      <c r="AK438" s="9"/>
      <c r="AL438" s="9"/>
      <c r="AM438" s="321"/>
      <c r="AN438" s="327" t="s">
        <v>1440</v>
      </c>
      <c r="AO438" s="197"/>
      <c r="AP438" s="197"/>
      <c r="AQ438" s="197"/>
      <c r="AR438" s="335"/>
      <c r="AS438" s="328" t="s">
        <v>788</v>
      </c>
      <c r="AT438" s="1524"/>
      <c r="AU438" s="1524"/>
      <c r="AV438" s="1525"/>
      <c r="BV438" s="3">
        <v>1</v>
      </c>
    </row>
    <row r="439" spans="3:74" ht="18.75">
      <c r="C439" s="9"/>
      <c r="D439" s="9"/>
      <c r="E439" s="9"/>
      <c r="G439" s="321"/>
      <c r="H439" s="327" t="s">
        <v>339</v>
      </c>
      <c r="I439" s="197"/>
      <c r="J439" s="197"/>
      <c r="K439" s="197"/>
      <c r="L439" s="335"/>
      <c r="M439" s="328" t="s">
        <v>340</v>
      </c>
      <c r="N439" s="1524"/>
      <c r="O439" s="1524"/>
      <c r="P439" s="1525"/>
      <c r="W439" s="321"/>
      <c r="X439" s="327" t="s">
        <v>1441</v>
      </c>
      <c r="Y439" s="197"/>
      <c r="Z439" s="197"/>
      <c r="AA439" s="197"/>
      <c r="AB439" s="335"/>
      <c r="AC439" s="328" t="s">
        <v>1442</v>
      </c>
      <c r="AD439" s="1524"/>
      <c r="AE439" s="1524"/>
      <c r="AF439" s="1525"/>
      <c r="AI439" s="9"/>
      <c r="AJ439" s="9"/>
      <c r="AK439" s="9"/>
      <c r="AL439" s="9"/>
      <c r="AM439" s="321"/>
      <c r="AN439" s="327" t="s">
        <v>1443</v>
      </c>
      <c r="AO439" s="197"/>
      <c r="AP439" s="197"/>
      <c r="AQ439" s="197"/>
      <c r="AR439" s="335"/>
      <c r="AS439" s="328" t="s">
        <v>1444</v>
      </c>
      <c r="AT439" s="1524"/>
      <c r="AU439" s="1524"/>
      <c r="AV439" s="1525"/>
      <c r="BV439" s="3">
        <v>1</v>
      </c>
    </row>
    <row r="440" spans="3:74" ht="15.75">
      <c r="C440" s="9"/>
      <c r="D440" s="9"/>
      <c r="E440" s="9"/>
      <c r="G440" s="321"/>
      <c r="H440" s="327" t="s">
        <v>344</v>
      </c>
      <c r="I440" s="197"/>
      <c r="J440" s="197"/>
      <c r="K440" s="197"/>
      <c r="L440" s="342" t="s">
        <v>345</v>
      </c>
      <c r="M440" s="328" t="s">
        <v>332</v>
      </c>
      <c r="N440" s="1524"/>
      <c r="O440" s="1524"/>
      <c r="P440" s="1525"/>
      <c r="W440" s="321"/>
      <c r="X440" s="327" t="s">
        <v>1445</v>
      </c>
      <c r="Y440" s="197"/>
      <c r="Z440" s="197"/>
      <c r="AA440" s="197"/>
      <c r="AB440" s="342" t="s">
        <v>345</v>
      </c>
      <c r="AC440" s="328" t="s">
        <v>790</v>
      </c>
      <c r="AD440" s="1524"/>
      <c r="AE440" s="1524"/>
      <c r="AF440" s="1525"/>
      <c r="AI440" s="9"/>
      <c r="AJ440" s="9"/>
      <c r="AK440" s="9"/>
      <c r="AL440" s="9"/>
      <c r="AM440" s="321"/>
      <c r="AN440" s="327" t="s">
        <v>1446</v>
      </c>
      <c r="AO440" s="197"/>
      <c r="AP440" s="197"/>
      <c r="AQ440" s="197"/>
      <c r="AR440" s="342" t="s">
        <v>345</v>
      </c>
      <c r="AS440" s="328" t="s">
        <v>792</v>
      </c>
      <c r="AT440" s="1524"/>
      <c r="AU440" s="1524"/>
      <c r="AV440" s="1525"/>
      <c r="BV440" s="3">
        <v>1</v>
      </c>
    </row>
    <row r="441" spans="3:74" ht="16.5" thickBot="1">
      <c r="C441" s="9"/>
      <c r="D441" s="9"/>
      <c r="E441" s="9"/>
      <c r="G441" s="344"/>
      <c r="H441" s="327" t="s">
        <v>347</v>
      </c>
      <c r="I441" s="197"/>
      <c r="J441" s="197"/>
      <c r="K441" s="197"/>
      <c r="L441" s="337"/>
      <c r="M441" s="345" t="s">
        <v>348</v>
      </c>
      <c r="N441" s="1524"/>
      <c r="O441" s="1524"/>
      <c r="P441" s="1525"/>
      <c r="W441" s="344"/>
      <c r="X441" s="327" t="s">
        <v>1447</v>
      </c>
      <c r="Y441" s="197"/>
      <c r="Z441" s="197"/>
      <c r="AA441" s="197"/>
      <c r="AB441" s="337"/>
      <c r="AC441" s="345" t="s">
        <v>1448</v>
      </c>
      <c r="AD441" s="1524"/>
      <c r="AE441" s="1524"/>
      <c r="AF441" s="1525"/>
      <c r="AI441" s="9"/>
      <c r="AJ441" s="9"/>
      <c r="AK441" s="9"/>
      <c r="AL441" s="9"/>
      <c r="AM441" s="344"/>
      <c r="AN441" s="327" t="s">
        <v>1449</v>
      </c>
      <c r="AO441" s="197"/>
      <c r="AP441" s="197"/>
      <c r="AQ441" s="197"/>
      <c r="AR441" s="337"/>
      <c r="AS441" s="345" t="s">
        <v>1448</v>
      </c>
      <c r="AT441" s="1524"/>
      <c r="AU441" s="1524"/>
      <c r="AV441" s="1525"/>
      <c r="BV441" s="3">
        <v>1</v>
      </c>
    </row>
    <row r="442" spans="3:74" ht="15.75" customHeight="1" thickTop="1">
      <c r="C442" s="9"/>
      <c r="D442" s="9"/>
      <c r="E442" s="9"/>
      <c r="G442" s="347" t="str">
        <f>SUM(G434:G441) &amp; " / " &amp; (COUNTA(G434:G441) * 3)</f>
        <v>4 / 6</v>
      </c>
      <c r="H442" s="197" t="s">
        <v>352</v>
      </c>
      <c r="I442" s="197"/>
      <c r="J442" s="197"/>
      <c r="K442" s="197"/>
      <c r="L442" s="348" t="s">
        <v>353</v>
      </c>
      <c r="M442" s="328" t="s">
        <v>354</v>
      </c>
      <c r="N442" s="1524"/>
      <c r="O442" s="1524"/>
      <c r="P442" s="1525"/>
      <c r="W442" s="347" t="str">
        <f>SUM(W434:W441) &amp; " / " &amp; (COUNTA(W434:W441) * 3)</f>
        <v>4 / 6</v>
      </c>
      <c r="X442" s="197" t="s">
        <v>793</v>
      </c>
      <c r="Y442" s="197"/>
      <c r="Z442" s="197"/>
      <c r="AA442" s="197"/>
      <c r="AB442" s="348" t="s">
        <v>353</v>
      </c>
      <c r="AC442" s="328" t="s">
        <v>1450</v>
      </c>
      <c r="AD442" s="1524"/>
      <c r="AE442" s="1524"/>
      <c r="AF442" s="1525"/>
      <c r="AI442" s="9"/>
      <c r="AJ442" s="9"/>
      <c r="AK442" s="9"/>
      <c r="AL442" s="9"/>
      <c r="AM442" s="347" t="str">
        <f>SUM(AM434:AM441) &amp; " / " &amp; (COUNTA(AM434:AM441) * 3)</f>
        <v>4 / 6</v>
      </c>
      <c r="AN442" s="197" t="s">
        <v>795</v>
      </c>
      <c r="AO442" s="197"/>
      <c r="AP442" s="197"/>
      <c r="AQ442" s="197"/>
      <c r="AR442" s="348" t="s">
        <v>353</v>
      </c>
      <c r="AS442" s="328" t="s">
        <v>354</v>
      </c>
      <c r="AT442" s="1524"/>
      <c r="AU442" s="1524"/>
      <c r="AV442" s="1525"/>
      <c r="BV442" s="3">
        <v>1</v>
      </c>
    </row>
    <row r="443" spans="3:74" ht="15.75" customHeight="1">
      <c r="C443" s="9"/>
      <c r="D443" s="9"/>
      <c r="E443" s="9"/>
      <c r="G443" s="349" t="str">
        <f>SUM(G434:G441) &amp;"/ "&amp;G444</f>
        <v>4/ 24</v>
      </c>
      <c r="H443" s="350" t="s">
        <v>355</v>
      </c>
      <c r="I443" s="197"/>
      <c r="J443" s="197"/>
      <c r="K443" s="197"/>
      <c r="L443" s="335"/>
      <c r="M443" s="328" t="s">
        <v>332</v>
      </c>
      <c r="N443" s="1524"/>
      <c r="O443" s="1524"/>
      <c r="P443" s="1525"/>
      <c r="W443" s="349" t="str">
        <f>SUM(W434:W441) &amp;"/ "&amp;W444</f>
        <v>4/ 24</v>
      </c>
      <c r="X443" s="350" t="s">
        <v>1451</v>
      </c>
      <c r="Y443" s="197"/>
      <c r="Z443" s="197"/>
      <c r="AA443" s="197"/>
      <c r="AB443" s="335"/>
      <c r="AC443" s="328" t="s">
        <v>790</v>
      </c>
      <c r="AD443" s="1524"/>
      <c r="AE443" s="1524"/>
      <c r="AF443" s="1525"/>
      <c r="AI443" s="9"/>
      <c r="AJ443" s="9"/>
      <c r="AK443" s="9"/>
      <c r="AL443" s="9"/>
      <c r="AM443" s="349" t="str">
        <f>SUM(AM434:AM441) &amp;"/ "&amp;AM444</f>
        <v>4/ 24</v>
      </c>
      <c r="AN443" s="350" t="s">
        <v>797</v>
      </c>
      <c r="AO443" s="197"/>
      <c r="AP443" s="197"/>
      <c r="AQ443" s="197"/>
      <c r="AR443" s="335"/>
      <c r="AS443" s="328" t="s">
        <v>792</v>
      </c>
      <c r="AT443" s="1524"/>
      <c r="AU443" s="1524"/>
      <c r="AV443" s="1525"/>
      <c r="BV443" s="3">
        <v>1</v>
      </c>
    </row>
    <row r="444" spans="3:74" ht="19.5" thickBot="1">
      <c r="C444" s="9"/>
      <c r="D444" s="9"/>
      <c r="E444" s="9"/>
      <c r="G444" s="351">
        <v>24</v>
      </c>
      <c r="H444" s="352" t="s">
        <v>362</v>
      </c>
      <c r="I444" s="197"/>
      <c r="J444" s="197"/>
      <c r="K444" s="197"/>
      <c r="L444" s="353"/>
      <c r="M444" s="345" t="s">
        <v>363</v>
      </c>
      <c r="N444" s="1524"/>
      <c r="O444" s="1524"/>
      <c r="P444" s="1525"/>
      <c r="W444" s="351">
        <v>24</v>
      </c>
      <c r="X444" s="352" t="s">
        <v>1452</v>
      </c>
      <c r="Y444" s="197"/>
      <c r="Z444" s="197"/>
      <c r="AA444" s="197"/>
      <c r="AB444" s="353"/>
      <c r="AC444" s="345" t="s">
        <v>363</v>
      </c>
      <c r="AD444" s="1524"/>
      <c r="AE444" s="1524"/>
      <c r="AF444" s="1525"/>
      <c r="AI444" s="9"/>
      <c r="AJ444" s="9"/>
      <c r="AK444" s="9"/>
      <c r="AL444" s="9"/>
      <c r="AM444" s="351">
        <v>24</v>
      </c>
      <c r="AN444" s="352" t="s">
        <v>1453</v>
      </c>
      <c r="AO444" s="197"/>
      <c r="AP444" s="197"/>
      <c r="AQ444" s="197"/>
      <c r="AR444" s="353"/>
      <c r="AS444" s="345" t="s">
        <v>800</v>
      </c>
      <c r="AT444" s="1524"/>
      <c r="AU444" s="1524"/>
      <c r="AV444" s="1525"/>
      <c r="BV444" s="3">
        <v>1</v>
      </c>
    </row>
    <row r="445" spans="3:74" ht="19.5" thickTop="1">
      <c r="C445" s="9"/>
      <c r="D445" s="9"/>
      <c r="E445" s="9"/>
      <c r="G445" s="358" t="s">
        <v>367</v>
      </c>
      <c r="H445" s="197"/>
      <c r="I445" s="197"/>
      <c r="J445" s="197"/>
      <c r="K445" s="197"/>
      <c r="L445" s="335"/>
      <c r="M445" s="328" t="s">
        <v>368</v>
      </c>
      <c r="N445" s="1524"/>
      <c r="O445" s="1524"/>
      <c r="P445" s="1525"/>
      <c r="W445" s="358" t="s">
        <v>801</v>
      </c>
      <c r="X445" s="197"/>
      <c r="Y445" s="197"/>
      <c r="Z445" s="197"/>
      <c r="AA445" s="197"/>
      <c r="AB445" s="335"/>
      <c r="AC445" s="328" t="s">
        <v>1454</v>
      </c>
      <c r="AD445" s="1524"/>
      <c r="AE445" s="1524"/>
      <c r="AF445" s="1525"/>
      <c r="AI445" s="9"/>
      <c r="AJ445" s="9"/>
      <c r="AK445" s="9"/>
      <c r="AL445" s="9"/>
      <c r="AM445" s="358" t="s">
        <v>803</v>
      </c>
      <c r="AN445" s="197"/>
      <c r="AO445" s="197"/>
      <c r="AP445" s="197"/>
      <c r="AQ445" s="197"/>
      <c r="AR445" s="335"/>
      <c r="AS445" s="328" t="s">
        <v>1455</v>
      </c>
      <c r="AT445" s="1524"/>
      <c r="AU445" s="1524"/>
      <c r="AV445" s="1525"/>
      <c r="BV445" s="3">
        <v>1</v>
      </c>
    </row>
    <row r="446" spans="3:74" ht="15.75" customHeight="1">
      <c r="C446" s="9"/>
      <c r="D446" s="9"/>
      <c r="E446" s="9"/>
      <c r="G446" s="161"/>
      <c r="H446" s="168"/>
      <c r="I446" s="168"/>
      <c r="J446" s="197"/>
      <c r="K446" s="197"/>
      <c r="L446" s="335"/>
      <c r="M446" s="363" t="s">
        <v>370</v>
      </c>
      <c r="N446" s="1524"/>
      <c r="O446" s="1524"/>
      <c r="P446" s="1525"/>
      <c r="W446" s="161"/>
      <c r="X446" s="168"/>
      <c r="Y446" s="168"/>
      <c r="Z446" s="197"/>
      <c r="AA446" s="197"/>
      <c r="AB446" s="335"/>
      <c r="AC446" s="363" t="s">
        <v>1456</v>
      </c>
      <c r="AD446" s="1524"/>
      <c r="AE446" s="1524"/>
      <c r="AF446" s="1525"/>
      <c r="AI446" s="9"/>
      <c r="AJ446" s="9"/>
      <c r="AK446" s="9"/>
      <c r="AL446" s="9"/>
      <c r="AM446" s="161"/>
      <c r="AN446" s="168"/>
      <c r="AO446" s="168"/>
      <c r="AP446" s="197"/>
      <c r="AQ446" s="197"/>
      <c r="AR446" s="335"/>
      <c r="AS446" s="363" t="s">
        <v>806</v>
      </c>
      <c r="AT446" s="1524"/>
      <c r="AU446" s="1524"/>
      <c r="AV446" s="1525"/>
      <c r="BV446" s="3">
        <v>1</v>
      </c>
    </row>
    <row r="447" spans="3:74" ht="15.75" customHeight="1">
      <c r="C447" s="9"/>
      <c r="D447" s="9"/>
      <c r="E447" s="9"/>
      <c r="G447" s="367"/>
      <c r="H447" s="368"/>
      <c r="I447" s="368"/>
      <c r="J447" s="368"/>
      <c r="K447" s="368"/>
      <c r="L447" s="368"/>
      <c r="M447" s="369"/>
      <c r="N447" s="369"/>
      <c r="O447" s="369"/>
      <c r="P447" s="1518" t="s">
        <v>197</v>
      </c>
      <c r="W447" s="367"/>
      <c r="X447" s="368"/>
      <c r="Y447" s="368"/>
      <c r="Z447" s="368"/>
      <c r="AA447" s="368"/>
      <c r="AB447" s="368"/>
      <c r="AC447" s="369"/>
      <c r="AD447" s="369"/>
      <c r="AE447" s="369"/>
      <c r="AF447" s="1518" t="s">
        <v>1418</v>
      </c>
      <c r="AI447" s="9"/>
      <c r="AJ447" s="9"/>
      <c r="AK447" s="9"/>
      <c r="AL447" s="9"/>
      <c r="AM447" s="367"/>
      <c r="AN447" s="368"/>
      <c r="AO447" s="368"/>
      <c r="AP447" s="368"/>
      <c r="AQ447" s="368"/>
      <c r="AR447" s="368"/>
      <c r="AS447" s="369"/>
      <c r="AT447" s="369"/>
      <c r="AU447" s="369"/>
      <c r="AV447" s="1518" t="s">
        <v>1419</v>
      </c>
      <c r="BV447" s="3">
        <v>1</v>
      </c>
    </row>
    <row r="448" spans="3:74">
      <c r="C448" s="9"/>
      <c r="D448" s="9"/>
      <c r="E448" s="9"/>
      <c r="G448" s="9"/>
      <c r="H448" s="9"/>
      <c r="I448" s="9"/>
      <c r="J448" s="9"/>
      <c r="K448" s="9"/>
      <c r="L448" s="9"/>
      <c r="M448" s="9"/>
      <c r="N448" s="9"/>
      <c r="O448" s="9"/>
      <c r="P448" s="9"/>
      <c r="W448" s="9"/>
      <c r="X448" s="9"/>
      <c r="Y448" s="9"/>
      <c r="Z448" s="9"/>
      <c r="AA448" s="9"/>
      <c r="AB448" s="9"/>
      <c r="AC448" s="9"/>
      <c r="AD448" s="9"/>
      <c r="AE448" s="9"/>
      <c r="AF448" s="9"/>
      <c r="AI448" s="9"/>
      <c r="AJ448" s="9"/>
      <c r="AK448" s="9"/>
      <c r="AL448" s="9"/>
      <c r="AM448" s="9"/>
      <c r="AN448" s="9"/>
      <c r="AO448" s="9"/>
      <c r="AP448" s="9"/>
      <c r="AQ448" s="9"/>
      <c r="AR448" s="9"/>
      <c r="AS448" s="9"/>
      <c r="AT448" s="9"/>
      <c r="AU448" s="9"/>
      <c r="AV448" s="9"/>
      <c r="BV448" s="3">
        <v>1</v>
      </c>
    </row>
    <row r="449" spans="3:74" ht="15.75">
      <c r="C449" s="9"/>
      <c r="D449" s="9"/>
      <c r="E449" s="9"/>
      <c r="G449" s="232" t="s">
        <v>167</v>
      </c>
      <c r="H449" s="376"/>
      <c r="I449" s="376"/>
      <c r="J449" s="376"/>
      <c r="K449" s="376"/>
      <c r="L449" s="376"/>
      <c r="M449" s="376"/>
      <c r="N449" s="376"/>
      <c r="O449" s="377"/>
      <c r="P449" s="686" t="s">
        <v>320</v>
      </c>
      <c r="W449" s="232" t="s">
        <v>752</v>
      </c>
      <c r="X449" s="376"/>
      <c r="Y449" s="376"/>
      <c r="Z449" s="376"/>
      <c r="AA449" s="376"/>
      <c r="AB449" s="376"/>
      <c r="AC449" s="376"/>
      <c r="AD449" s="376"/>
      <c r="AE449" s="377"/>
      <c r="AF449" s="686" t="s">
        <v>1432</v>
      </c>
      <c r="AI449" s="9"/>
      <c r="AJ449" s="9"/>
      <c r="AK449" s="9"/>
      <c r="AL449" s="9"/>
      <c r="AM449" s="232" t="s">
        <v>754</v>
      </c>
      <c r="AN449" s="376"/>
      <c r="AO449" s="376"/>
      <c r="AP449" s="376"/>
      <c r="AQ449" s="376"/>
      <c r="AR449" s="376"/>
      <c r="AS449" s="376"/>
      <c r="AT449" s="376"/>
      <c r="AU449" s="377"/>
      <c r="AV449" s="686" t="s">
        <v>1433</v>
      </c>
      <c r="BV449" s="3">
        <v>1</v>
      </c>
    </row>
    <row r="450" spans="3:74">
      <c r="C450" s="9"/>
      <c r="D450" s="9"/>
      <c r="E450" s="9"/>
      <c r="G450" s="378"/>
      <c r="H450" s="378"/>
      <c r="I450" s="378"/>
      <c r="J450" s="378"/>
      <c r="K450" s="378"/>
      <c r="L450" s="378"/>
      <c r="M450" s="378"/>
      <c r="N450" s="378"/>
      <c r="O450" s="379"/>
      <c r="P450" s="688" t="s">
        <v>385</v>
      </c>
      <c r="W450" s="378"/>
      <c r="X450" s="378"/>
      <c r="Y450" s="378"/>
      <c r="Z450" s="378"/>
      <c r="AA450" s="378"/>
      <c r="AB450" s="378"/>
      <c r="AC450" s="378"/>
      <c r="AD450" s="378"/>
      <c r="AE450" s="379"/>
      <c r="AF450" s="688" t="s">
        <v>1457</v>
      </c>
      <c r="AI450" s="9"/>
      <c r="AJ450" s="9"/>
      <c r="AK450" s="9"/>
      <c r="AL450" s="9"/>
      <c r="AM450" s="378"/>
      <c r="AN450" s="378"/>
      <c r="AO450" s="378"/>
      <c r="AP450" s="378"/>
      <c r="AQ450" s="378"/>
      <c r="AR450" s="378"/>
      <c r="AS450" s="378"/>
      <c r="AT450" s="378"/>
      <c r="AU450" s="379"/>
      <c r="AV450" s="688" t="s">
        <v>1458</v>
      </c>
      <c r="BV450" s="3">
        <v>1</v>
      </c>
    </row>
    <row r="451" spans="3:74" ht="30">
      <c r="C451" s="9"/>
      <c r="D451" s="9"/>
      <c r="E451" s="9"/>
      <c r="G451" s="382" t="s">
        <v>389</v>
      </c>
      <c r="H451" s="387" t="s">
        <v>390</v>
      </c>
      <c r="I451" s="241"/>
      <c r="J451" s="384" t="s">
        <v>391</v>
      </c>
      <c r="K451" s="385" t="s">
        <v>392</v>
      </c>
      <c r="L451" s="197"/>
      <c r="M451" s="1524"/>
      <c r="N451" s="1524"/>
      <c r="O451" s="1524"/>
      <c r="P451" s="1525"/>
      <c r="W451" s="382" t="s">
        <v>809</v>
      </c>
      <c r="X451" s="387" t="s">
        <v>810</v>
      </c>
      <c r="Y451" s="241"/>
      <c r="Z451" s="384" t="s">
        <v>811</v>
      </c>
      <c r="AA451" s="385" t="s">
        <v>392</v>
      </c>
      <c r="AB451" s="197"/>
      <c r="AC451" s="1524"/>
      <c r="AD451" s="1524"/>
      <c r="AE451" s="1524"/>
      <c r="AF451" s="1525"/>
      <c r="AI451" s="9"/>
      <c r="AJ451" s="9"/>
      <c r="AK451" s="9"/>
      <c r="AL451" s="9"/>
      <c r="AM451" s="382" t="s">
        <v>1459</v>
      </c>
      <c r="AN451" s="387" t="s">
        <v>1460</v>
      </c>
      <c r="AO451" s="241"/>
      <c r="AP451" s="384" t="s">
        <v>814</v>
      </c>
      <c r="AQ451" s="385" t="s">
        <v>815</v>
      </c>
      <c r="AR451" s="197"/>
      <c r="AS451" s="1524"/>
      <c r="AT451" s="1524"/>
      <c r="AU451" s="1524"/>
      <c r="AV451" s="1525"/>
      <c r="BV451" s="3">
        <v>1</v>
      </c>
    </row>
    <row r="452" spans="3:74" ht="15.75" customHeight="1">
      <c r="C452" s="9"/>
      <c r="D452" s="9"/>
      <c r="E452" s="9"/>
      <c r="G452" s="386"/>
      <c r="H452" s="387"/>
      <c r="I452" s="197"/>
      <c r="J452" s="388"/>
      <c r="K452" s="389"/>
      <c r="L452" s="390" t="s">
        <v>327</v>
      </c>
      <c r="M452" s="1524"/>
      <c r="N452" s="1524"/>
      <c r="O452" s="1524"/>
      <c r="P452" s="1525"/>
      <c r="W452" s="386"/>
      <c r="X452" s="387"/>
      <c r="Y452" s="197"/>
      <c r="Z452" s="388"/>
      <c r="AA452" s="389"/>
      <c r="AB452" s="390" t="s">
        <v>782</v>
      </c>
      <c r="AC452" s="1524"/>
      <c r="AD452" s="1524"/>
      <c r="AE452" s="1524"/>
      <c r="AF452" s="1525"/>
      <c r="AI452" s="9"/>
      <c r="AJ452" s="9"/>
      <c r="AK452" s="9"/>
      <c r="AL452" s="9"/>
      <c r="AM452" s="386"/>
      <c r="AN452" s="387"/>
      <c r="AO452" s="197"/>
      <c r="AP452" s="388"/>
      <c r="AQ452" s="389"/>
      <c r="AR452" s="390" t="s">
        <v>784</v>
      </c>
      <c r="AS452" s="1524"/>
      <c r="AT452" s="1524"/>
      <c r="AU452" s="1524"/>
      <c r="AV452" s="1525"/>
      <c r="BV452" s="3">
        <v>1</v>
      </c>
    </row>
    <row r="453" spans="3:74" ht="15" customHeight="1">
      <c r="C453" s="9"/>
      <c r="D453" s="9"/>
      <c r="E453" s="9"/>
      <c r="G453" s="386">
        <v>3</v>
      </c>
      <c r="H453" s="387"/>
      <c r="I453" s="197"/>
      <c r="J453" s="388"/>
      <c r="K453" s="389"/>
      <c r="L453" s="390" t="s">
        <v>329</v>
      </c>
      <c r="M453" s="1524"/>
      <c r="N453" s="1524"/>
      <c r="O453" s="1524"/>
      <c r="P453" s="1525"/>
      <c r="W453" s="386">
        <v>3</v>
      </c>
      <c r="X453" s="387"/>
      <c r="Y453" s="197"/>
      <c r="Z453" s="388"/>
      <c r="AA453" s="389"/>
      <c r="AB453" s="390" t="s">
        <v>785</v>
      </c>
      <c r="AC453" s="1524"/>
      <c r="AD453" s="1524"/>
      <c r="AE453" s="1524"/>
      <c r="AF453" s="1525"/>
      <c r="AI453" s="9"/>
      <c r="AJ453" s="9"/>
      <c r="AK453" s="9"/>
      <c r="AL453" s="9"/>
      <c r="AM453" s="386">
        <v>3</v>
      </c>
      <c r="AN453" s="387"/>
      <c r="AO453" s="197"/>
      <c r="AP453" s="388"/>
      <c r="AQ453" s="389"/>
      <c r="AR453" s="390" t="s">
        <v>787</v>
      </c>
      <c r="AS453" s="1524"/>
      <c r="AT453" s="1524"/>
      <c r="AU453" s="1524"/>
      <c r="AV453" s="1525"/>
      <c r="BV453" s="3">
        <v>1</v>
      </c>
    </row>
    <row r="454" spans="3:74" ht="15.75">
      <c r="C454" s="9"/>
      <c r="D454" s="9"/>
      <c r="E454" s="9"/>
      <c r="G454" s="386"/>
      <c r="H454" s="387"/>
      <c r="I454" s="197"/>
      <c r="J454" s="388"/>
      <c r="K454" s="389"/>
      <c r="L454" s="390" t="s">
        <v>331</v>
      </c>
      <c r="M454" s="1524"/>
      <c r="N454" s="1524"/>
      <c r="O454" s="1524"/>
      <c r="P454" s="1525"/>
      <c r="W454" s="386"/>
      <c r="X454" s="387"/>
      <c r="Y454" s="197"/>
      <c r="Z454" s="388"/>
      <c r="AA454" s="389"/>
      <c r="AB454" s="390" t="s">
        <v>789</v>
      </c>
      <c r="AC454" s="1524"/>
      <c r="AD454" s="1524"/>
      <c r="AE454" s="1524"/>
      <c r="AF454" s="1525"/>
      <c r="AI454" s="9"/>
      <c r="AJ454" s="9"/>
      <c r="AK454" s="9"/>
      <c r="AL454" s="9"/>
      <c r="AM454" s="386"/>
      <c r="AN454" s="387"/>
      <c r="AO454" s="197"/>
      <c r="AP454" s="388"/>
      <c r="AQ454" s="389"/>
      <c r="AR454" s="390" t="s">
        <v>791</v>
      </c>
      <c r="AS454" s="1524"/>
      <c r="AT454" s="1524"/>
      <c r="AU454" s="1524"/>
      <c r="AV454" s="1525"/>
      <c r="BV454" s="3">
        <v>1</v>
      </c>
    </row>
    <row r="455" spans="3:74" ht="15.75">
      <c r="C455" s="9"/>
      <c r="D455" s="9"/>
      <c r="E455" s="9"/>
      <c r="G455" s="386">
        <v>2</v>
      </c>
      <c r="H455" s="387"/>
      <c r="I455" s="197"/>
      <c r="J455" s="388"/>
      <c r="K455" s="389"/>
      <c r="L455" s="390" t="s">
        <v>333</v>
      </c>
      <c r="M455" s="1524"/>
      <c r="N455" s="1524"/>
      <c r="O455" s="1524"/>
      <c r="P455" s="1525"/>
      <c r="W455" s="386">
        <v>2</v>
      </c>
      <c r="X455" s="387"/>
      <c r="Y455" s="197"/>
      <c r="Z455" s="388"/>
      <c r="AA455" s="389"/>
      <c r="AB455" s="390" t="s">
        <v>1435</v>
      </c>
      <c r="AC455" s="1524"/>
      <c r="AD455" s="1524"/>
      <c r="AE455" s="1524"/>
      <c r="AF455" s="1525"/>
      <c r="AI455" s="9"/>
      <c r="AJ455" s="9"/>
      <c r="AK455" s="9"/>
      <c r="AL455" s="9"/>
      <c r="AM455" s="386">
        <v>2</v>
      </c>
      <c r="AN455" s="387"/>
      <c r="AO455" s="197"/>
      <c r="AP455" s="388"/>
      <c r="AQ455" s="389"/>
      <c r="AR455" s="390" t="s">
        <v>1437</v>
      </c>
      <c r="AS455" s="1524"/>
      <c r="AT455" s="1524"/>
      <c r="AU455" s="1524"/>
      <c r="AV455" s="1525"/>
      <c r="BV455" s="3">
        <v>1</v>
      </c>
    </row>
    <row r="456" spans="3:74" ht="15.75">
      <c r="C456" s="9"/>
      <c r="D456" s="9"/>
      <c r="E456" s="9"/>
      <c r="G456" s="393"/>
      <c r="H456" s="394"/>
      <c r="I456" s="197"/>
      <c r="J456" s="395"/>
      <c r="K456" s="396"/>
      <c r="L456" s="390" t="s">
        <v>339</v>
      </c>
      <c r="M456" s="1524"/>
      <c r="N456" s="1524"/>
      <c r="O456" s="1524"/>
      <c r="P456" s="1525"/>
      <c r="W456" s="393"/>
      <c r="X456" s="394"/>
      <c r="Y456" s="197"/>
      <c r="Z456" s="395"/>
      <c r="AA456" s="396"/>
      <c r="AB456" s="390" t="s">
        <v>1441</v>
      </c>
      <c r="AC456" s="1524"/>
      <c r="AD456" s="1524"/>
      <c r="AE456" s="1524"/>
      <c r="AF456" s="1525"/>
      <c r="AI456" s="9"/>
      <c r="AJ456" s="9"/>
      <c r="AK456" s="9"/>
      <c r="AL456" s="9"/>
      <c r="AM456" s="393"/>
      <c r="AN456" s="394"/>
      <c r="AO456" s="197"/>
      <c r="AP456" s="395"/>
      <c r="AQ456" s="396"/>
      <c r="AR456" s="390" t="s">
        <v>1443</v>
      </c>
      <c r="AS456" s="1524"/>
      <c r="AT456" s="1524"/>
      <c r="AU456" s="1524"/>
      <c r="AV456" s="1525"/>
      <c r="BV456" s="3">
        <v>1</v>
      </c>
    </row>
    <row r="457" spans="3:74" ht="15.75">
      <c r="C457" s="9"/>
      <c r="D457" s="9"/>
      <c r="E457" s="9"/>
      <c r="G457" s="397" t="str">
        <f>SUM(G452:G456) &amp; " / " &amp; (COUNTA(G452:G456) * 3)</f>
        <v>5 / 6</v>
      </c>
      <c r="H457" s="398" t="str">
        <f>SUM(H452:H456) &amp; " / " &amp; (COUNTA(H452:H456) * 3)</f>
        <v>0 / 0</v>
      </c>
      <c r="I457" s="197"/>
      <c r="J457" s="397" t="str">
        <f>SUM(J452:J456) &amp; " / " &amp; (COUNTA(J452:J456) * 3)</f>
        <v>0 / 0</v>
      </c>
      <c r="K457" s="398" t="str">
        <f>SUM(K452:K456) &amp; " / " &amp; (COUNTA(K452:K456) * 3)</f>
        <v>0 / 0</v>
      </c>
      <c r="L457" s="197" t="s">
        <v>352</v>
      </c>
      <c r="M457" s="1524"/>
      <c r="N457" s="1524"/>
      <c r="O457" s="1524"/>
      <c r="P457" s="1525"/>
      <c r="W457" s="397" t="str">
        <f>SUM(W452:W456) &amp; " / " &amp; (COUNTA(W452:W456) * 3)</f>
        <v>5 / 6</v>
      </c>
      <c r="X457" s="398" t="str">
        <f>SUM(X452:X456) &amp; " / " &amp; (COUNTA(X452:X456) * 3)</f>
        <v>0 / 0</v>
      </c>
      <c r="Y457" s="197"/>
      <c r="Z457" s="397" t="str">
        <f>SUM(Z452:Z456) &amp; " / " &amp; (COUNTA(Z452:Z456) * 3)</f>
        <v>0 / 0</v>
      </c>
      <c r="AA457" s="398" t="str">
        <f>SUM(AA452:AA456) &amp; " / " &amp; (COUNTA(AA452:AA456) * 3)</f>
        <v>0 / 0</v>
      </c>
      <c r="AB457" s="197" t="s">
        <v>793</v>
      </c>
      <c r="AC457" s="1524"/>
      <c r="AD457" s="1524"/>
      <c r="AE457" s="1524"/>
      <c r="AF457" s="1525"/>
      <c r="AI457" s="9"/>
      <c r="AJ457" s="9"/>
      <c r="AK457" s="9"/>
      <c r="AL457" s="9"/>
      <c r="AM457" s="397" t="str">
        <f>SUM(AM452:AM456) &amp; " / " &amp; (COUNTA(AM452:AM456) * 3)</f>
        <v>5 / 6</v>
      </c>
      <c r="AN457" s="398" t="str">
        <f>SUM(AN452:AN456) &amp; " / " &amp; (COUNTA(AN452:AN456) * 3)</f>
        <v>0 / 0</v>
      </c>
      <c r="AO457" s="197"/>
      <c r="AP457" s="397" t="str">
        <f>SUM(AP452:AP456) &amp; " / " &amp; (COUNTA(AP452:AP456) * 3)</f>
        <v>0 / 0</v>
      </c>
      <c r="AQ457" s="398" t="str">
        <f>SUM(AQ452:AQ456) &amp; " / " &amp; (COUNTA(AQ452:AQ456) * 3)</f>
        <v>0 / 0</v>
      </c>
      <c r="AR457" s="197" t="s">
        <v>795</v>
      </c>
      <c r="AS457" s="1524"/>
      <c r="AT457" s="1524"/>
      <c r="AU457" s="1524"/>
      <c r="AV457" s="1525"/>
      <c r="BV457" s="3">
        <v>1</v>
      </c>
    </row>
    <row r="458" spans="3:74" ht="15.75">
      <c r="C458" s="9"/>
      <c r="D458" s="9"/>
      <c r="E458" s="9"/>
      <c r="G458" s="401" t="str">
        <f>SUM(G452:G456) &amp;"/ "&amp;G459</f>
        <v>5/ 15</v>
      </c>
      <c r="H458" s="402" t="str">
        <f>SUM(H452:H456) &amp;"/ "&amp;H459</f>
        <v>0/ 15</v>
      </c>
      <c r="I458" s="197"/>
      <c r="J458" s="401" t="str">
        <f>SUM(J452:J456) &amp;"/ "&amp;J459</f>
        <v>0/ 15</v>
      </c>
      <c r="K458" s="402" t="str">
        <f>SUM(K452:K456) &amp;"/ "&amp;K459</f>
        <v>0/ 15</v>
      </c>
      <c r="L458" s="350" t="s">
        <v>355</v>
      </c>
      <c r="M458" s="1524"/>
      <c r="N458" s="1524"/>
      <c r="O458" s="1524"/>
      <c r="P458" s="1525"/>
      <c r="W458" s="401" t="str">
        <f>SUM(W452:W456) &amp;"/ "&amp;W459</f>
        <v>5/ 15</v>
      </c>
      <c r="X458" s="402" t="str">
        <f>SUM(X452:X456) &amp;"/ "&amp;X459</f>
        <v>0/ 15</v>
      </c>
      <c r="Y458" s="197"/>
      <c r="Z458" s="401" t="str">
        <f>SUM(Z452:Z456) &amp;"/ "&amp;Z459</f>
        <v>0/ 15</v>
      </c>
      <c r="AA458" s="402" t="str">
        <f>SUM(AA452:AA456) &amp;"/ "&amp;AA459</f>
        <v>0/ 15</v>
      </c>
      <c r="AB458" s="350" t="s">
        <v>1451</v>
      </c>
      <c r="AC458" s="1524"/>
      <c r="AD458" s="1524"/>
      <c r="AE458" s="1524"/>
      <c r="AF458" s="1525"/>
      <c r="AI458" s="9"/>
      <c r="AJ458" s="9"/>
      <c r="AK458" s="9"/>
      <c r="AL458" s="9"/>
      <c r="AM458" s="401" t="str">
        <f>SUM(AM452:AM456) &amp;"/ "&amp;AM459</f>
        <v>5/ 15</v>
      </c>
      <c r="AN458" s="402" t="str">
        <f>SUM(AN452:AN456) &amp;"/ "&amp;AN459</f>
        <v>0/ 15</v>
      </c>
      <c r="AO458" s="197"/>
      <c r="AP458" s="401" t="str">
        <f>SUM(AP452:AP456) &amp;"/ "&amp;AP459</f>
        <v>0/ 15</v>
      </c>
      <c r="AQ458" s="402" t="str">
        <f>SUM(AQ452:AQ456) &amp;"/ "&amp;AQ459</f>
        <v>0/ 15</v>
      </c>
      <c r="AR458" s="350" t="s">
        <v>797</v>
      </c>
      <c r="AS458" s="1524"/>
      <c r="AT458" s="1524"/>
      <c r="AU458" s="1524"/>
      <c r="AV458" s="1525"/>
      <c r="BV458" s="3">
        <v>1</v>
      </c>
    </row>
    <row r="459" spans="3:74" ht="15.75">
      <c r="C459" s="9"/>
      <c r="D459" s="9"/>
      <c r="E459" s="9"/>
      <c r="G459" s="405">
        <v>15</v>
      </c>
      <c r="H459" s="406">
        <v>15</v>
      </c>
      <c r="I459" s="197"/>
      <c r="J459" s="405">
        <v>15</v>
      </c>
      <c r="K459" s="406">
        <v>15</v>
      </c>
      <c r="L459" s="352" t="s">
        <v>362</v>
      </c>
      <c r="M459" s="1524"/>
      <c r="N459" s="1524"/>
      <c r="O459" s="1524"/>
      <c r="P459" s="1525"/>
      <c r="W459" s="405">
        <v>15</v>
      </c>
      <c r="X459" s="406">
        <v>15</v>
      </c>
      <c r="Y459" s="197"/>
      <c r="Z459" s="405">
        <v>15</v>
      </c>
      <c r="AA459" s="406">
        <v>15</v>
      </c>
      <c r="AB459" s="352" t="s">
        <v>1452</v>
      </c>
      <c r="AC459" s="1524"/>
      <c r="AD459" s="1524"/>
      <c r="AE459" s="1524"/>
      <c r="AF459" s="1525"/>
      <c r="AI459" s="9"/>
      <c r="AJ459" s="9"/>
      <c r="AK459" s="9"/>
      <c r="AL459" s="9"/>
      <c r="AM459" s="405">
        <v>15</v>
      </c>
      <c r="AN459" s="406">
        <v>15</v>
      </c>
      <c r="AO459" s="197"/>
      <c r="AP459" s="405">
        <v>15</v>
      </c>
      <c r="AQ459" s="406">
        <v>15</v>
      </c>
      <c r="AR459" s="352" t="s">
        <v>1453</v>
      </c>
      <c r="AS459" s="1524"/>
      <c r="AT459" s="1524"/>
      <c r="AU459" s="1524"/>
      <c r="AV459" s="1525"/>
      <c r="BV459" s="3">
        <v>1</v>
      </c>
    </row>
    <row r="460" spans="3:74" ht="15.75" customHeight="1">
      <c r="C460" s="9"/>
      <c r="D460" s="9"/>
      <c r="E460" s="9"/>
      <c r="G460" s="407" t="s">
        <v>410</v>
      </c>
      <c r="H460"/>
      <c r="I460"/>
      <c r="J460" s="408"/>
      <c r="K460" s="408"/>
      <c r="L460" s="408"/>
      <c r="M460" s="1524"/>
      <c r="N460" s="1524"/>
      <c r="O460" s="1524"/>
      <c r="P460" s="1525"/>
      <c r="W460" s="407" t="s">
        <v>1461</v>
      </c>
      <c r="X460"/>
      <c r="Y460"/>
      <c r="Z460" s="408"/>
      <c r="AA460" s="408"/>
      <c r="AB460" s="408"/>
      <c r="AC460" s="1524"/>
      <c r="AD460" s="1524"/>
      <c r="AE460" s="1524"/>
      <c r="AF460" s="1525"/>
      <c r="AI460" s="9"/>
      <c r="AJ460" s="9"/>
      <c r="AK460" s="9"/>
      <c r="AL460" s="9"/>
      <c r="AM460" s="407" t="s">
        <v>1462</v>
      </c>
      <c r="AN460"/>
      <c r="AO460"/>
      <c r="AP460" s="408"/>
      <c r="AQ460" s="408"/>
      <c r="AR460" s="408"/>
      <c r="AS460" s="1524"/>
      <c r="AT460" s="1524"/>
      <c r="AU460" s="1524"/>
      <c r="AV460" s="1525"/>
      <c r="BV460" s="3">
        <v>1</v>
      </c>
    </row>
    <row r="461" spans="3:74" ht="15.75">
      <c r="C461" s="9"/>
      <c r="D461" s="9"/>
      <c r="E461" s="9"/>
      <c r="G461" s="409" t="s">
        <v>414</v>
      </c>
      <c r="H461"/>
      <c r="I461"/>
      <c r="J461" s="408"/>
      <c r="K461" s="408"/>
      <c r="L461" s="408"/>
      <c r="M461" s="1524"/>
      <c r="N461" s="1524"/>
      <c r="O461" s="1524"/>
      <c r="P461" s="1525"/>
      <c r="W461" s="409" t="s">
        <v>1463</v>
      </c>
      <c r="X461"/>
      <c r="Y461"/>
      <c r="Z461" s="408"/>
      <c r="AA461" s="408"/>
      <c r="AB461" s="408"/>
      <c r="AC461" s="1524"/>
      <c r="AD461" s="1524"/>
      <c r="AE461" s="1524"/>
      <c r="AF461" s="1525"/>
      <c r="AI461" s="9"/>
      <c r="AJ461" s="9"/>
      <c r="AK461" s="9"/>
      <c r="AL461" s="9"/>
      <c r="AM461" s="409" t="s">
        <v>1464</v>
      </c>
      <c r="AN461"/>
      <c r="AO461"/>
      <c r="AP461" s="408"/>
      <c r="AQ461" s="408"/>
      <c r="AR461" s="408"/>
      <c r="AS461" s="1524"/>
      <c r="AT461" s="1524"/>
      <c r="AU461" s="1524"/>
      <c r="AV461" s="1525"/>
      <c r="BV461" s="3">
        <v>1</v>
      </c>
    </row>
    <row r="462" spans="3:74" ht="15.75">
      <c r="C462" s="9"/>
      <c r="D462" s="9"/>
      <c r="E462" s="9"/>
      <c r="G462" s="409" t="s">
        <v>418</v>
      </c>
      <c r="H462"/>
      <c r="I462"/>
      <c r="J462" s="408"/>
      <c r="K462" s="408"/>
      <c r="L462" s="408"/>
      <c r="M462" s="1524"/>
      <c r="N462" s="1524"/>
      <c r="O462" s="1524"/>
      <c r="P462" s="1525"/>
      <c r="W462" s="409" t="s">
        <v>1465</v>
      </c>
      <c r="X462"/>
      <c r="Y462"/>
      <c r="Z462" s="408"/>
      <c r="AA462" s="408"/>
      <c r="AB462" s="408"/>
      <c r="AC462" s="1524"/>
      <c r="AD462" s="1524"/>
      <c r="AE462" s="1524"/>
      <c r="AF462" s="1525"/>
      <c r="AI462" s="9"/>
      <c r="AJ462" s="9"/>
      <c r="AK462" s="9"/>
      <c r="AL462" s="9"/>
      <c r="AM462" s="409" t="s">
        <v>1466</v>
      </c>
      <c r="AN462"/>
      <c r="AO462"/>
      <c r="AP462" s="408"/>
      <c r="AQ462" s="408"/>
      <c r="AR462" s="408"/>
      <c r="AS462" s="1524"/>
      <c r="AT462" s="1524"/>
      <c r="AU462" s="1524"/>
      <c r="AV462" s="1525"/>
      <c r="BV462" s="3">
        <v>1</v>
      </c>
    </row>
    <row r="463" spans="3:74">
      <c r="C463" s="9"/>
      <c r="D463" s="9"/>
      <c r="E463" s="9"/>
      <c r="G463" s="367"/>
      <c r="H463" s="368"/>
      <c r="I463" s="368"/>
      <c r="J463" s="368"/>
      <c r="K463" s="368"/>
      <c r="L463" s="368"/>
      <c r="M463" s="369"/>
      <c r="N463" s="369"/>
      <c r="O463" s="369"/>
      <c r="P463" s="1518" t="s">
        <v>197</v>
      </c>
      <c r="W463" s="367"/>
      <c r="X463" s="368"/>
      <c r="Y463" s="368"/>
      <c r="Z463" s="368"/>
      <c r="AA463" s="368"/>
      <c r="AB463" s="368"/>
      <c r="AC463" s="369"/>
      <c r="AD463" s="369"/>
      <c r="AE463" s="369"/>
      <c r="AF463" s="1518" t="s">
        <v>1418</v>
      </c>
      <c r="AI463" s="9"/>
      <c r="AJ463" s="9"/>
      <c r="AK463" s="9"/>
      <c r="AL463" s="9"/>
      <c r="AM463" s="367"/>
      <c r="AN463" s="368"/>
      <c r="AO463" s="368"/>
      <c r="AP463" s="368"/>
      <c r="AQ463" s="368"/>
      <c r="AR463" s="368"/>
      <c r="AS463" s="369"/>
      <c r="AT463" s="369"/>
      <c r="AU463" s="369"/>
      <c r="AV463" s="1518" t="s">
        <v>1419</v>
      </c>
      <c r="BV463" s="3">
        <v>1</v>
      </c>
    </row>
    <row r="464" spans="3:74">
      <c r="C464" s="9"/>
      <c r="D464" s="9"/>
      <c r="E464" s="9"/>
      <c r="G464" s="9"/>
      <c r="H464" s="9"/>
      <c r="I464" s="9"/>
      <c r="J464" s="9"/>
      <c r="K464" s="9"/>
      <c r="L464" s="9"/>
      <c r="M464" s="9"/>
      <c r="N464" s="9"/>
      <c r="O464" s="9"/>
      <c r="P464" s="9"/>
      <c r="W464" s="9"/>
      <c r="X464" s="9"/>
      <c r="Y464" s="9"/>
      <c r="Z464" s="9"/>
      <c r="AA464" s="9"/>
      <c r="AB464" s="9"/>
      <c r="AC464" s="9"/>
      <c r="AD464" s="9"/>
      <c r="AE464" s="9"/>
      <c r="AF464" s="9"/>
      <c r="AI464" s="9"/>
      <c r="AJ464" s="9"/>
      <c r="AK464" s="9"/>
      <c r="AL464" s="9"/>
      <c r="AM464" s="9"/>
      <c r="AN464" s="9"/>
      <c r="AO464" s="9"/>
      <c r="AP464" s="9"/>
      <c r="AQ464" s="9"/>
      <c r="AR464" s="9"/>
      <c r="AS464" s="9"/>
      <c r="AT464" s="9"/>
      <c r="AU464" s="9"/>
      <c r="AV464" s="9"/>
      <c r="BV464" s="3">
        <v>1</v>
      </c>
    </row>
    <row r="465" spans="3:74" ht="15.75">
      <c r="C465" s="9"/>
      <c r="D465" s="9"/>
      <c r="E465" s="9"/>
      <c r="G465" s="232" t="s">
        <v>167</v>
      </c>
      <c r="H465" s="233"/>
      <c r="I465" s="233"/>
      <c r="J465" s="233"/>
      <c r="K465" s="233"/>
      <c r="L465" s="234"/>
      <c r="M465" s="455"/>
      <c r="N465" s="455"/>
      <c r="O465" s="455"/>
      <c r="P465" s="686" t="s">
        <v>220</v>
      </c>
      <c r="W465" s="232" t="s">
        <v>167</v>
      </c>
      <c r="X465" s="233"/>
      <c r="Y465" s="233"/>
      <c r="Z465" s="233"/>
      <c r="AA465" s="233"/>
      <c r="AB465" s="234"/>
      <c r="AC465" s="455"/>
      <c r="AD465" s="455"/>
      <c r="AE465" s="455"/>
      <c r="AF465" s="686" t="s">
        <v>1467</v>
      </c>
      <c r="AI465" s="9"/>
      <c r="AJ465" s="9"/>
      <c r="AK465" s="9"/>
      <c r="AL465" s="9"/>
      <c r="AM465" s="232" t="s">
        <v>754</v>
      </c>
      <c r="AN465" s="233"/>
      <c r="AO465" s="233"/>
      <c r="AP465" s="233"/>
      <c r="AQ465" s="233"/>
      <c r="AR465" s="234"/>
      <c r="AS465" s="455"/>
      <c r="AT465" s="455"/>
      <c r="AU465" s="455"/>
      <c r="AV465" s="686" t="s">
        <v>755</v>
      </c>
      <c r="BV465" s="3">
        <v>1</v>
      </c>
    </row>
    <row r="466" spans="3:74" ht="15.75">
      <c r="C466" s="9"/>
      <c r="D466" s="9"/>
      <c r="E466" s="9"/>
      <c r="G466" s="925" t="s">
        <v>422</v>
      </c>
      <c r="H466" s="926" t="s">
        <v>423</v>
      </c>
      <c r="I466" s="412"/>
      <c r="J466" s="927" t="s">
        <v>424</v>
      </c>
      <c r="K466" s="928" t="s">
        <v>425</v>
      </c>
      <c r="L466" s="928" t="s">
        <v>426</v>
      </c>
      <c r="M466" s="1533" t="s">
        <v>427</v>
      </c>
      <c r="N466" s="1534"/>
      <c r="O466" s="1534"/>
      <c r="P466" s="1535"/>
      <c r="W466" s="925" t="s">
        <v>1468</v>
      </c>
      <c r="X466" s="926" t="s">
        <v>1469</v>
      </c>
      <c r="Y466" s="412"/>
      <c r="Z466" s="927" t="s">
        <v>1470</v>
      </c>
      <c r="AA466" s="928" t="s">
        <v>1471</v>
      </c>
      <c r="AB466" s="928" t="s">
        <v>426</v>
      </c>
      <c r="AC466" s="1533" t="s">
        <v>1472</v>
      </c>
      <c r="AD466" s="1534"/>
      <c r="AE466" s="1534"/>
      <c r="AF466" s="1535"/>
      <c r="AI466" s="9"/>
      <c r="AJ466" s="9"/>
      <c r="AK466" s="9"/>
      <c r="AL466" s="9"/>
      <c r="AM466" s="925" t="s">
        <v>1473</v>
      </c>
      <c r="AN466" s="926" t="s">
        <v>1474</v>
      </c>
      <c r="AO466" s="412"/>
      <c r="AP466" s="927" t="s">
        <v>1475</v>
      </c>
      <c r="AQ466" s="928" t="s">
        <v>1476</v>
      </c>
      <c r="AR466" s="928" t="s">
        <v>1477</v>
      </c>
      <c r="AS466" s="1533" t="s">
        <v>1478</v>
      </c>
      <c r="AT466" s="1534"/>
      <c r="AU466" s="1534"/>
      <c r="AV466" s="1535"/>
      <c r="BV466" s="3">
        <v>1</v>
      </c>
    </row>
    <row r="467" spans="3:74" ht="15.75">
      <c r="C467" s="9"/>
      <c r="D467" s="9"/>
      <c r="E467" s="9"/>
      <c r="G467" s="413"/>
      <c r="H467" s="414">
        <v>2.4305555555555556E-2</v>
      </c>
      <c r="I467" s="9"/>
      <c r="J467" s="415">
        <v>100</v>
      </c>
      <c r="K467" s="416">
        <v>0.6</v>
      </c>
      <c r="L467" s="929" t="s">
        <v>428</v>
      </c>
      <c r="M467" s="1524" t="s">
        <v>429</v>
      </c>
      <c r="N467" s="1524"/>
      <c r="O467" s="1524"/>
      <c r="P467" s="1525"/>
      <c r="W467" s="413"/>
      <c r="X467" s="414">
        <v>2.4305555555555556E-2</v>
      </c>
      <c r="Y467" s="9"/>
      <c r="Z467" s="415">
        <v>100</v>
      </c>
      <c r="AA467" s="416">
        <v>0.6</v>
      </c>
      <c r="AB467" s="929" t="s">
        <v>1479</v>
      </c>
      <c r="AC467" s="1524" t="s">
        <v>1480</v>
      </c>
      <c r="AD467" s="1524"/>
      <c r="AE467" s="1524"/>
      <c r="AF467" s="1525"/>
      <c r="AI467" s="9"/>
      <c r="AJ467" s="9"/>
      <c r="AK467" s="9"/>
      <c r="AL467" s="9"/>
      <c r="AM467" s="413"/>
      <c r="AN467" s="414">
        <v>2.4305555555555556E-2</v>
      </c>
      <c r="AO467" s="9"/>
      <c r="AP467" s="415">
        <v>100</v>
      </c>
      <c r="AQ467" s="416">
        <v>0.6</v>
      </c>
      <c r="AR467" s="929" t="s">
        <v>1481</v>
      </c>
      <c r="AS467" s="1524"/>
      <c r="AT467" s="1524"/>
      <c r="AU467" s="1524"/>
      <c r="AV467" s="1525"/>
      <c r="BV467" s="3">
        <v>1</v>
      </c>
    </row>
    <row r="468" spans="3:74" ht="15.75">
      <c r="C468" s="9"/>
      <c r="D468" s="9"/>
      <c r="E468" s="9"/>
      <c r="G468" s="930" t="s">
        <v>430</v>
      </c>
      <c r="H468" s="414">
        <v>1.0416666666666666E-2</v>
      </c>
      <c r="I468" s="9"/>
      <c r="J468" s="415">
        <v>100</v>
      </c>
      <c r="K468" s="416">
        <v>0.6</v>
      </c>
      <c r="L468" s="929" t="s">
        <v>431</v>
      </c>
      <c r="M468" s="1524" t="s">
        <v>432</v>
      </c>
      <c r="N468" s="1524"/>
      <c r="O468" s="1524"/>
      <c r="P468" s="1525"/>
      <c r="W468" s="930" t="s">
        <v>1482</v>
      </c>
      <c r="X468" s="414">
        <v>1.0416666666666666E-2</v>
      </c>
      <c r="Y468" s="9"/>
      <c r="Z468" s="415">
        <v>100</v>
      </c>
      <c r="AA468" s="416">
        <v>0.6</v>
      </c>
      <c r="AB468" s="929" t="s">
        <v>1483</v>
      </c>
      <c r="AC468" s="1524" t="s">
        <v>1484</v>
      </c>
      <c r="AD468" s="1524"/>
      <c r="AE468" s="1524"/>
      <c r="AF468" s="1525"/>
      <c r="AI468" s="9"/>
      <c r="AJ468" s="9"/>
      <c r="AK468" s="9"/>
      <c r="AL468" s="9"/>
      <c r="AM468" s="930" t="s">
        <v>1485</v>
      </c>
      <c r="AN468" s="414">
        <v>1.0416666666666666E-2</v>
      </c>
      <c r="AO468" s="9"/>
      <c r="AP468" s="415">
        <v>100</v>
      </c>
      <c r="AQ468" s="416">
        <v>0.6</v>
      </c>
      <c r="AR468" s="929" t="s">
        <v>1486</v>
      </c>
      <c r="AS468" s="1524"/>
      <c r="AT468" s="1524"/>
      <c r="AU468" s="1524"/>
      <c r="AV468" s="1525"/>
      <c r="BV468" s="3">
        <v>1</v>
      </c>
    </row>
    <row r="469" spans="3:74" ht="15.75">
      <c r="C469" s="9"/>
      <c r="D469" s="9"/>
      <c r="E469" s="9"/>
      <c r="G469" s="930" t="s">
        <v>433</v>
      </c>
      <c r="H469" s="414">
        <v>5.2083333333333301E-2</v>
      </c>
      <c r="I469" s="9"/>
      <c r="J469" s="415">
        <v>100</v>
      </c>
      <c r="K469" s="416">
        <v>0.6</v>
      </c>
      <c r="L469" s="929" t="s">
        <v>428</v>
      </c>
      <c r="M469" s="1524" t="s">
        <v>434</v>
      </c>
      <c r="N469" s="1524"/>
      <c r="O469" s="1524"/>
      <c r="P469" s="1525"/>
      <c r="W469" s="930" t="s">
        <v>1487</v>
      </c>
      <c r="X469" s="414">
        <v>5.2083333333333301E-2</v>
      </c>
      <c r="Y469" s="9"/>
      <c r="Z469" s="415">
        <v>100</v>
      </c>
      <c r="AA469" s="416">
        <v>0.6</v>
      </c>
      <c r="AB469" s="929" t="s">
        <v>1479</v>
      </c>
      <c r="AC469" s="1524" t="s">
        <v>1488</v>
      </c>
      <c r="AD469" s="1524"/>
      <c r="AE469" s="1524"/>
      <c r="AF469" s="1525"/>
      <c r="AI469" s="9"/>
      <c r="AJ469" s="9"/>
      <c r="AK469" s="9"/>
      <c r="AL469" s="9"/>
      <c r="AM469" s="930" t="s">
        <v>1489</v>
      </c>
      <c r="AN469" s="414">
        <v>5.2083333333333301E-2</v>
      </c>
      <c r="AO469" s="9"/>
      <c r="AP469" s="415">
        <v>100</v>
      </c>
      <c r="AQ469" s="416">
        <v>0.6</v>
      </c>
      <c r="AR469" s="929" t="s">
        <v>1481</v>
      </c>
      <c r="AS469" s="1524"/>
      <c r="AT469" s="1524"/>
      <c r="AU469" s="1524"/>
      <c r="AV469" s="1525"/>
      <c r="BV469" s="3">
        <v>1</v>
      </c>
    </row>
    <row r="470" spans="3:74" ht="15.75">
      <c r="C470" s="9"/>
      <c r="D470" s="9"/>
      <c r="E470" s="9"/>
      <c r="G470" s="930" t="s">
        <v>20</v>
      </c>
      <c r="H470" s="414">
        <v>9.375E-2</v>
      </c>
      <c r="I470" s="9"/>
      <c r="J470" s="415">
        <v>100</v>
      </c>
      <c r="K470" s="416">
        <v>0.6</v>
      </c>
      <c r="L470" s="929" t="s">
        <v>431</v>
      </c>
      <c r="M470" s="1524" t="s">
        <v>435</v>
      </c>
      <c r="N470" s="1524"/>
      <c r="O470" s="1524"/>
      <c r="P470" s="1525"/>
      <c r="W470" s="930" t="s">
        <v>139</v>
      </c>
      <c r="X470" s="414">
        <v>9.375E-2</v>
      </c>
      <c r="Y470" s="9"/>
      <c r="Z470" s="415">
        <v>100</v>
      </c>
      <c r="AA470" s="416">
        <v>0.6</v>
      </c>
      <c r="AB470" s="929" t="s">
        <v>1483</v>
      </c>
      <c r="AC470" s="1524" t="s">
        <v>1490</v>
      </c>
      <c r="AD470" s="1524"/>
      <c r="AE470" s="1524"/>
      <c r="AF470" s="1525"/>
      <c r="AI470" s="9"/>
      <c r="AJ470" s="9"/>
      <c r="AK470" s="9"/>
      <c r="AL470" s="9"/>
      <c r="AM470" s="930" t="s">
        <v>142</v>
      </c>
      <c r="AN470" s="414">
        <v>9.375E-2</v>
      </c>
      <c r="AO470" s="9"/>
      <c r="AP470" s="415">
        <v>100</v>
      </c>
      <c r="AQ470" s="416">
        <v>0.6</v>
      </c>
      <c r="AR470" s="929" t="s">
        <v>1486</v>
      </c>
      <c r="AS470" s="1524"/>
      <c r="AT470" s="1524"/>
      <c r="AU470" s="1524"/>
      <c r="AV470" s="1525"/>
      <c r="BV470" s="3">
        <v>1</v>
      </c>
    </row>
    <row r="471" spans="3:74" ht="15.75">
      <c r="C471" s="9"/>
      <c r="D471" s="9"/>
      <c r="E471" s="9"/>
      <c r="G471" s="417"/>
      <c r="H471" s="418">
        <f>SUM(H467:H470)</f>
        <v>0.18055555555555552</v>
      </c>
      <c r="I471" s="419"/>
      <c r="J471" s="419"/>
      <c r="K471" s="419"/>
      <c r="L471" s="419"/>
      <c r="M471" s="1524"/>
      <c r="N471" s="1524"/>
      <c r="O471" s="1524"/>
      <c r="P471" s="1525"/>
      <c r="W471" s="417"/>
      <c r="X471" s="418">
        <f>SUM(X467:X470)</f>
        <v>0.18055555555555552</v>
      </c>
      <c r="Y471" s="419"/>
      <c r="Z471" s="419"/>
      <c r="AA471" s="419"/>
      <c r="AB471" s="419"/>
      <c r="AC471" s="1524"/>
      <c r="AD471" s="1524"/>
      <c r="AE471" s="1524"/>
      <c r="AF471" s="1525"/>
      <c r="AI471" s="9"/>
      <c r="AJ471" s="9"/>
      <c r="AK471" s="9"/>
      <c r="AL471" s="9"/>
      <c r="AM471" s="417"/>
      <c r="AN471" s="418">
        <f>SUM(AN467:AN470)</f>
        <v>0.18055555555555552</v>
      </c>
      <c r="AO471" s="419"/>
      <c r="AP471" s="419"/>
      <c r="AQ471" s="419"/>
      <c r="AR471" s="419"/>
      <c r="AS471" s="1524"/>
      <c r="AT471" s="1524"/>
      <c r="AU471" s="1524"/>
      <c r="AV471" s="1525"/>
      <c r="BV471" s="3">
        <v>1</v>
      </c>
    </row>
    <row r="472" spans="3:74" ht="15.75">
      <c r="C472" s="9"/>
      <c r="D472" s="9"/>
      <c r="E472" s="9"/>
      <c r="G472" s="934" t="s">
        <v>3328</v>
      </c>
      <c r="H472" s="162"/>
      <c r="I472" s="162"/>
      <c r="J472" s="1527"/>
      <c r="K472" s="1527"/>
      <c r="L472" s="1527"/>
      <c r="M472" s="1527"/>
      <c r="N472" s="1527"/>
      <c r="O472" s="1527"/>
      <c r="P472" s="1528"/>
      <c r="W472" s="934" t="s">
        <v>3327</v>
      </c>
      <c r="X472" s="162"/>
      <c r="Y472" s="162"/>
      <c r="Z472" s="1527"/>
      <c r="AA472" s="1527"/>
      <c r="AB472" s="1527"/>
      <c r="AC472" s="1527"/>
      <c r="AD472" s="1527"/>
      <c r="AE472" s="1527"/>
      <c r="AF472" s="1528"/>
      <c r="AI472" s="9"/>
      <c r="AJ472" s="9"/>
      <c r="AK472" s="9"/>
      <c r="AL472" s="9"/>
      <c r="AM472" s="934" t="s">
        <v>3325</v>
      </c>
      <c r="AN472" s="162"/>
      <c r="AO472" s="162"/>
      <c r="AP472" s="1527"/>
      <c r="AQ472" s="1527"/>
      <c r="AR472" s="1527"/>
      <c r="AS472" s="1527"/>
      <c r="AT472" s="1527"/>
      <c r="AU472" s="1527"/>
      <c r="AV472" s="1528"/>
      <c r="BV472" s="3">
        <v>1</v>
      </c>
    </row>
    <row r="473" spans="3:74">
      <c r="C473" s="9"/>
      <c r="D473" s="9"/>
      <c r="E473" s="9"/>
      <c r="G473" s="1523"/>
      <c r="H473" s="1524"/>
      <c r="I473" s="1524"/>
      <c r="J473" s="1524"/>
      <c r="K473" s="1524"/>
      <c r="L473" s="1524"/>
      <c r="M473" s="1524"/>
      <c r="N473" s="1524"/>
      <c r="O473" s="1524"/>
      <c r="P473" s="1525"/>
      <c r="W473" s="1523"/>
      <c r="X473" s="1524"/>
      <c r="Y473" s="1524"/>
      <c r="Z473" s="1524"/>
      <c r="AA473" s="1524"/>
      <c r="AB473" s="1524"/>
      <c r="AC473" s="1524"/>
      <c r="AD473" s="1524"/>
      <c r="AE473" s="1524"/>
      <c r="AF473" s="1525"/>
      <c r="AI473" s="9"/>
      <c r="AJ473" s="9"/>
      <c r="AK473" s="9"/>
      <c r="AL473" s="9"/>
      <c r="AM473" s="1523"/>
      <c r="AN473" s="1524"/>
      <c r="AO473" s="1524"/>
      <c r="AP473" s="1524"/>
      <c r="AQ473" s="1524"/>
      <c r="AR473" s="1524"/>
      <c r="AS473" s="1524"/>
      <c r="AT473" s="1524"/>
      <c r="AU473" s="1524"/>
      <c r="AV473" s="1525"/>
      <c r="BV473" s="3">
        <v>1</v>
      </c>
    </row>
    <row r="474" spans="3:74">
      <c r="C474" s="9"/>
      <c r="D474" s="9"/>
      <c r="E474" s="9"/>
      <c r="G474" s="1523"/>
      <c r="H474" s="1524"/>
      <c r="I474" s="1524"/>
      <c r="J474" s="1524"/>
      <c r="K474" s="1524"/>
      <c r="L474" s="1524"/>
      <c r="M474" s="1524"/>
      <c r="N474" s="1524"/>
      <c r="O474" s="1524"/>
      <c r="P474" s="1525"/>
      <c r="W474" s="1523"/>
      <c r="X474" s="1524"/>
      <c r="Y474" s="1524"/>
      <c r="Z474" s="1524"/>
      <c r="AA474" s="1524"/>
      <c r="AB474" s="1524"/>
      <c r="AC474" s="1524"/>
      <c r="AD474" s="1524"/>
      <c r="AE474" s="1524"/>
      <c r="AF474" s="1525"/>
      <c r="AI474" s="9"/>
      <c r="AJ474" s="9"/>
      <c r="AK474" s="9"/>
      <c r="AL474" s="9"/>
      <c r="AM474" s="1523"/>
      <c r="AN474" s="1524"/>
      <c r="AO474" s="1524"/>
      <c r="AP474" s="1524"/>
      <c r="AQ474" s="1524"/>
      <c r="AR474" s="1524"/>
      <c r="AS474" s="1524"/>
      <c r="AT474" s="1524"/>
      <c r="AU474" s="1524"/>
      <c r="AV474" s="1525"/>
      <c r="BV474" s="3">
        <v>1</v>
      </c>
    </row>
    <row r="475" spans="3:74">
      <c r="C475" s="9"/>
      <c r="D475" s="9"/>
      <c r="E475" s="9"/>
      <c r="G475" s="1523"/>
      <c r="H475" s="1524"/>
      <c r="I475" s="1524"/>
      <c r="J475" s="1524"/>
      <c r="K475" s="1524"/>
      <c r="L475" s="1524"/>
      <c r="M475" s="1524"/>
      <c r="N475" s="1524"/>
      <c r="O475" s="1524"/>
      <c r="P475" s="1525"/>
      <c r="W475" s="1523"/>
      <c r="X475" s="1524"/>
      <c r="Y475" s="1524"/>
      <c r="Z475" s="1524"/>
      <c r="AA475" s="1524"/>
      <c r="AB475" s="1524"/>
      <c r="AC475" s="1524"/>
      <c r="AD475" s="1524"/>
      <c r="AE475" s="1524"/>
      <c r="AF475" s="1525"/>
      <c r="AI475" s="9"/>
      <c r="AJ475" s="9"/>
      <c r="AK475" s="9"/>
      <c r="AL475" s="9"/>
      <c r="AM475" s="1523"/>
      <c r="AN475" s="1524"/>
      <c r="AO475" s="1524"/>
      <c r="AP475" s="1524"/>
      <c r="AQ475" s="1524"/>
      <c r="AR475" s="1524"/>
      <c r="AS475" s="1524"/>
      <c r="AT475" s="1524"/>
      <c r="AU475" s="1524"/>
      <c r="AV475" s="1525"/>
      <c r="BV475" s="3">
        <v>1</v>
      </c>
    </row>
    <row r="476" spans="3:74">
      <c r="C476" s="9"/>
      <c r="D476" s="9"/>
      <c r="E476" s="9"/>
      <c r="G476" s="1523"/>
      <c r="H476" s="1524"/>
      <c r="I476" s="1524"/>
      <c r="J476" s="1524"/>
      <c r="K476" s="1524"/>
      <c r="L476" s="1524"/>
      <c r="M476" s="1524"/>
      <c r="N476" s="1524"/>
      <c r="O476" s="1524"/>
      <c r="P476" s="1525"/>
      <c r="W476" s="1523"/>
      <c r="X476" s="1524"/>
      <c r="Y476" s="1524"/>
      <c r="Z476" s="1524"/>
      <c r="AA476" s="1524"/>
      <c r="AB476" s="1524"/>
      <c r="AC476" s="1524"/>
      <c r="AD476" s="1524"/>
      <c r="AE476" s="1524"/>
      <c r="AF476" s="1525"/>
      <c r="AI476" s="9"/>
      <c r="AJ476" s="9"/>
      <c r="AK476" s="9"/>
      <c r="AL476" s="9"/>
      <c r="AM476" s="1523"/>
      <c r="AN476" s="1524"/>
      <c r="AO476" s="1524"/>
      <c r="AP476" s="1524"/>
      <c r="AQ476" s="1524"/>
      <c r="AR476" s="1524"/>
      <c r="AS476" s="1524"/>
      <c r="AT476" s="1524"/>
      <c r="AU476" s="1524"/>
      <c r="AV476" s="1525"/>
      <c r="BV476" s="3">
        <v>1</v>
      </c>
    </row>
    <row r="477" spans="3:74">
      <c r="C477" s="9"/>
      <c r="D477" s="9"/>
      <c r="E477" s="9"/>
      <c r="G477" s="1523"/>
      <c r="H477" s="1524"/>
      <c r="I477" s="1524"/>
      <c r="J477" s="1524"/>
      <c r="K477" s="1524"/>
      <c r="L477" s="1524"/>
      <c r="M477" s="1524"/>
      <c r="N477" s="1524"/>
      <c r="O477" s="1524"/>
      <c r="P477" s="1525"/>
      <c r="W477" s="1523"/>
      <c r="X477" s="1524"/>
      <c r="Y477" s="1524"/>
      <c r="Z477" s="1524"/>
      <c r="AA477" s="1524"/>
      <c r="AB477" s="1524"/>
      <c r="AC477" s="1524"/>
      <c r="AD477" s="1524"/>
      <c r="AE477" s="1524"/>
      <c r="AF477" s="1525"/>
      <c r="AI477" s="9"/>
      <c r="AJ477" s="9"/>
      <c r="AK477" s="9"/>
      <c r="AL477" s="9"/>
      <c r="AM477" s="1523"/>
      <c r="AN477" s="1524"/>
      <c r="AO477" s="1524"/>
      <c r="AP477" s="1524"/>
      <c r="AQ477" s="1524"/>
      <c r="AR477" s="1524"/>
      <c r="AS477" s="1524"/>
      <c r="AT477" s="1524"/>
      <c r="AU477" s="1524"/>
      <c r="AV477" s="1525"/>
      <c r="BV477" s="3">
        <v>1</v>
      </c>
    </row>
    <row r="478" spans="3:74">
      <c r="C478" s="9"/>
      <c r="D478" s="9"/>
      <c r="E478" s="9"/>
      <c r="G478" s="1523"/>
      <c r="H478" s="1524"/>
      <c r="I478" s="1524"/>
      <c r="J478" s="1524"/>
      <c r="K478" s="1524"/>
      <c r="L478" s="1524"/>
      <c r="M478" s="1524"/>
      <c r="N478" s="1524"/>
      <c r="O478" s="1524"/>
      <c r="P478" s="1525"/>
      <c r="W478" s="1523"/>
      <c r="X478" s="1524"/>
      <c r="Y478" s="1524"/>
      <c r="Z478" s="1524"/>
      <c r="AA478" s="1524"/>
      <c r="AB478" s="1524"/>
      <c r="AC478" s="1524"/>
      <c r="AD478" s="1524"/>
      <c r="AE478" s="1524"/>
      <c r="AF478" s="1525"/>
      <c r="AI478" s="9"/>
      <c r="AJ478" s="9"/>
      <c r="AK478" s="9"/>
      <c r="AL478" s="9"/>
      <c r="AM478" s="1523"/>
      <c r="AN478" s="1524"/>
      <c r="AO478" s="1524"/>
      <c r="AP478" s="1524"/>
      <c r="AQ478" s="1524"/>
      <c r="AR478" s="1524"/>
      <c r="AS478" s="1524"/>
      <c r="AT478" s="1524"/>
      <c r="AU478" s="1524"/>
      <c r="AV478" s="1525"/>
      <c r="BV478" s="3">
        <v>1</v>
      </c>
    </row>
    <row r="479" spans="3:74">
      <c r="C479" s="9"/>
      <c r="D479" s="9"/>
      <c r="E479" s="9"/>
      <c r="G479" s="367"/>
      <c r="H479" s="368"/>
      <c r="I479" s="368"/>
      <c r="J479" s="368"/>
      <c r="K479" s="368"/>
      <c r="L479" s="368"/>
      <c r="M479" s="369"/>
      <c r="N479" s="369"/>
      <c r="O479" s="369"/>
      <c r="P479" s="1518" t="s">
        <v>197</v>
      </c>
      <c r="W479" s="367"/>
      <c r="X479" s="368"/>
      <c r="Y479" s="368"/>
      <c r="Z479" s="368"/>
      <c r="AA479" s="368"/>
      <c r="AB479" s="368"/>
      <c r="AC479" s="369"/>
      <c r="AD479" s="369"/>
      <c r="AE479" s="369"/>
      <c r="AF479" s="1518" t="s">
        <v>1418</v>
      </c>
      <c r="AI479" s="9"/>
      <c r="AJ479" s="9"/>
      <c r="AK479" s="9"/>
      <c r="AL479" s="9"/>
      <c r="AM479" s="367"/>
      <c r="AN479" s="368"/>
      <c r="AO479" s="368"/>
      <c r="AP479" s="368"/>
      <c r="AQ479" s="368"/>
      <c r="AR479" s="368"/>
      <c r="AS479" s="369"/>
      <c r="AT479" s="369"/>
      <c r="AU479" s="369"/>
      <c r="AV479" s="1518" t="s">
        <v>1419</v>
      </c>
      <c r="BV479" s="3">
        <v>1</v>
      </c>
    </row>
    <row r="480" spans="3:74">
      <c r="C480" s="9"/>
      <c r="D480" s="9"/>
      <c r="E480" s="9"/>
      <c r="G480" s="9"/>
      <c r="H480" s="9"/>
      <c r="I480" s="9"/>
      <c r="J480" s="9"/>
      <c r="K480" s="9"/>
      <c r="L480" s="9"/>
      <c r="M480" s="9"/>
      <c r="N480" s="9"/>
      <c r="O480" s="9"/>
      <c r="P480" s="9"/>
      <c r="W480" s="9"/>
      <c r="X480" s="9"/>
      <c r="Y480" s="9"/>
      <c r="Z480" s="9"/>
      <c r="AA480" s="9"/>
      <c r="AB480" s="9"/>
      <c r="AC480" s="9"/>
      <c r="AD480" s="9"/>
      <c r="AE480" s="9"/>
      <c r="AF480" s="9"/>
      <c r="AI480" s="9"/>
      <c r="AJ480" s="9"/>
      <c r="AK480" s="9"/>
      <c r="AL480" s="9"/>
      <c r="AM480" s="9"/>
      <c r="AN480" s="9"/>
      <c r="AO480" s="9"/>
      <c r="AP480" s="9"/>
      <c r="AQ480" s="9"/>
      <c r="AR480" s="9"/>
      <c r="AS480" s="9"/>
      <c r="AT480" s="9"/>
      <c r="AU480" s="9"/>
      <c r="AV480" s="9"/>
      <c r="BV480" s="3">
        <v>1</v>
      </c>
    </row>
    <row r="481" spans="3:74" ht="15.75">
      <c r="C481" s="9"/>
      <c r="D481" s="9"/>
      <c r="E481" s="9"/>
      <c r="G481" s="232" t="s">
        <v>167</v>
      </c>
      <c r="H481" s="233"/>
      <c r="I481" s="233"/>
      <c r="J481" s="233"/>
      <c r="K481" s="233"/>
      <c r="L481" s="234"/>
      <c r="M481" s="455"/>
      <c r="N481" s="455"/>
      <c r="O481" s="455"/>
      <c r="P481" s="686" t="s">
        <v>220</v>
      </c>
      <c r="W481" s="232" t="s">
        <v>752</v>
      </c>
      <c r="X481" s="233"/>
      <c r="Y481" s="233"/>
      <c r="Z481" s="233"/>
      <c r="AA481" s="233"/>
      <c r="AB481" s="234"/>
      <c r="AC481" s="455"/>
      <c r="AD481" s="455"/>
      <c r="AE481" s="455"/>
      <c r="AF481" s="686" t="s">
        <v>1467</v>
      </c>
      <c r="AI481" s="9"/>
      <c r="AJ481" s="9"/>
      <c r="AK481" s="9"/>
      <c r="AL481" s="9"/>
      <c r="AM481" s="232" t="s">
        <v>754</v>
      </c>
      <c r="AN481" s="233"/>
      <c r="AO481" s="233"/>
      <c r="AP481" s="233"/>
      <c r="AQ481" s="233"/>
      <c r="AR481" s="234"/>
      <c r="AS481" s="455"/>
      <c r="AT481" s="455"/>
      <c r="AU481" s="455"/>
      <c r="AV481" s="686" t="s">
        <v>755</v>
      </c>
      <c r="BV481" s="3">
        <v>1</v>
      </c>
    </row>
    <row r="482" spans="3:74" ht="23.25">
      <c r="C482" s="9"/>
      <c r="D482" s="9"/>
      <c r="E482" s="9"/>
      <c r="G482" s="1501" t="s">
        <v>3276</v>
      </c>
      <c r="H482" s="436" t="s">
        <v>165</v>
      </c>
      <c r="I482" s="199"/>
      <c r="J482" s="199"/>
      <c r="K482" s="199"/>
      <c r="L482" s="168"/>
      <c r="M482" s="5728" t="s">
        <v>1844</v>
      </c>
      <c r="N482" s="5729"/>
      <c r="O482" s="5729"/>
      <c r="P482" s="5730"/>
      <c r="W482" s="1501" t="s">
        <v>3276</v>
      </c>
      <c r="X482" s="436" t="s">
        <v>1497</v>
      </c>
      <c r="Y482" s="199"/>
      <c r="Z482" s="199"/>
      <c r="AA482" s="199"/>
      <c r="AB482" s="168"/>
      <c r="AC482" s="5728" t="s">
        <v>1957</v>
      </c>
      <c r="AD482" s="5729"/>
      <c r="AE482" s="5729"/>
      <c r="AF482" s="5730"/>
      <c r="AI482" s="9"/>
      <c r="AJ482" s="9"/>
      <c r="AK482" s="9"/>
      <c r="AL482" s="9"/>
      <c r="AM482" s="1501" t="s">
        <v>3276</v>
      </c>
      <c r="AN482" s="436" t="s">
        <v>1499</v>
      </c>
      <c r="AO482" s="199"/>
      <c r="AP482" s="199"/>
      <c r="AQ482" s="199"/>
      <c r="AR482" s="168"/>
      <c r="AS482" s="5728" t="s">
        <v>1977</v>
      </c>
      <c r="AT482" s="5729"/>
      <c r="AU482" s="5729"/>
      <c r="AV482" s="5730"/>
      <c r="BV482" s="3">
        <v>1</v>
      </c>
    </row>
    <row r="483" spans="3:74" ht="23.25">
      <c r="C483" s="9"/>
      <c r="D483" s="9"/>
      <c r="E483" s="9"/>
      <c r="G483" s="1501" t="s">
        <v>668</v>
      </c>
      <c r="H483" s="1500" t="s">
        <v>168</v>
      </c>
      <c r="I483" s="199"/>
      <c r="J483" s="199"/>
      <c r="K483" s="199"/>
      <c r="L483" s="168"/>
      <c r="M483" s="1505" t="s">
        <v>191</v>
      </c>
      <c r="N483" s="183"/>
      <c r="O483" s="1065" t="s">
        <v>192</v>
      </c>
      <c r="P483" s="193">
        <f>M486*M484</f>
        <v>225</v>
      </c>
      <c r="W483" s="1501" t="s">
        <v>668</v>
      </c>
      <c r="X483" s="1500" t="s">
        <v>895</v>
      </c>
      <c r="Y483" s="199"/>
      <c r="Z483" s="199"/>
      <c r="AA483" s="199"/>
      <c r="AB483" s="168"/>
      <c r="AC483" s="1505" t="s">
        <v>688</v>
      </c>
      <c r="AD483" s="183"/>
      <c r="AE483" s="1065" t="s">
        <v>689</v>
      </c>
      <c r="AF483" s="193">
        <f>AC486*AC484</f>
        <v>225</v>
      </c>
      <c r="AI483" s="9"/>
      <c r="AJ483" s="9"/>
      <c r="AK483" s="9"/>
      <c r="AL483" s="9"/>
      <c r="AM483" s="1501" t="s">
        <v>668</v>
      </c>
      <c r="AN483" s="1500" t="s">
        <v>909</v>
      </c>
      <c r="AO483" s="199"/>
      <c r="AP483" s="199"/>
      <c r="AQ483" s="199"/>
      <c r="AR483" s="168"/>
      <c r="AS483" s="1505" t="s">
        <v>690</v>
      </c>
      <c r="AT483" s="183"/>
      <c r="AU483" s="1065" t="s">
        <v>912</v>
      </c>
      <c r="AV483" s="193">
        <f>AS486*AS484</f>
        <v>225</v>
      </c>
      <c r="BV483" s="3">
        <v>1</v>
      </c>
    </row>
    <row r="484" spans="3:74" ht="18.75">
      <c r="C484" s="9"/>
      <c r="D484" s="9"/>
      <c r="E484" s="9"/>
      <c r="G484" s="1502"/>
      <c r="I484" s="197"/>
      <c r="J484" s="197"/>
      <c r="K484" s="197"/>
      <c r="L484" s="168"/>
      <c r="M484" s="1506">
        <v>150</v>
      </c>
      <c r="N484" s="185" t="s">
        <v>193</v>
      </c>
      <c r="O484" s="5641" t="s">
        <v>919</v>
      </c>
      <c r="P484" s="5642"/>
      <c r="W484" s="1502"/>
      <c r="Y484" s="197"/>
      <c r="Z484" s="197"/>
      <c r="AA484" s="197"/>
      <c r="AB484" s="168"/>
      <c r="AC484" s="1506">
        <v>150</v>
      </c>
      <c r="AD484" s="185" t="s">
        <v>896</v>
      </c>
      <c r="AE484" s="5641" t="s">
        <v>897</v>
      </c>
      <c r="AF484" s="5642"/>
      <c r="AI484" s="9"/>
      <c r="AJ484" s="9"/>
      <c r="AK484" s="9"/>
      <c r="AL484" s="9"/>
      <c r="AM484" s="1502"/>
      <c r="AO484" s="197"/>
      <c r="AP484" s="197"/>
      <c r="AQ484" s="197"/>
      <c r="AR484" s="168"/>
      <c r="AS484" s="1506">
        <v>150</v>
      </c>
      <c r="AT484" s="185" t="s">
        <v>1374</v>
      </c>
      <c r="AU484" s="5641" t="s">
        <v>1375</v>
      </c>
      <c r="AV484" s="5642"/>
      <c r="BV484" s="3">
        <v>1</v>
      </c>
    </row>
    <row r="485" spans="3:74" ht="18.75">
      <c r="C485" s="9"/>
      <c r="D485" s="9"/>
      <c r="E485" s="9"/>
      <c r="G485" s="430">
        <v>3.472222222222222E-3</v>
      </c>
      <c r="H485" s="419" t="s">
        <v>172</v>
      </c>
      <c r="I485" s="197"/>
      <c r="J485" s="197"/>
      <c r="K485" s="197"/>
      <c r="L485" s="168"/>
      <c r="M485" s="1511" t="s">
        <v>3322</v>
      </c>
      <c r="N485" s="1067" t="s">
        <v>1845</v>
      </c>
      <c r="P485" s="189"/>
      <c r="W485" s="430">
        <v>3.472222222222222E-3</v>
      </c>
      <c r="X485" s="419" t="s">
        <v>676</v>
      </c>
      <c r="Y485" s="197"/>
      <c r="Z485" s="197"/>
      <c r="AA485" s="197"/>
      <c r="AB485" s="168"/>
      <c r="AC485" s="1511" t="s">
        <v>898</v>
      </c>
      <c r="AD485" s="1067" t="s">
        <v>1958</v>
      </c>
      <c r="AF485" s="189"/>
      <c r="AI485" s="9"/>
      <c r="AJ485" s="9"/>
      <c r="AK485" s="9"/>
      <c r="AL485" s="9"/>
      <c r="AM485" s="430">
        <v>3.472222222222222E-3</v>
      </c>
      <c r="AN485" s="419" t="s">
        <v>677</v>
      </c>
      <c r="AO485" s="197"/>
      <c r="AP485" s="197"/>
      <c r="AQ485" s="197"/>
      <c r="AR485" s="168"/>
      <c r="AS485" s="1511" t="s">
        <v>898</v>
      </c>
      <c r="AT485" s="1067" t="s">
        <v>695</v>
      </c>
      <c r="AV485" s="189"/>
      <c r="BV485" s="3">
        <v>1</v>
      </c>
    </row>
    <row r="486" spans="3:74" ht="15.75">
      <c r="C486" s="9"/>
      <c r="D486" s="9"/>
      <c r="E486" s="9"/>
      <c r="G486" s="433">
        <v>3.472222222222222E-3</v>
      </c>
      <c r="H486" s="419" t="s">
        <v>174</v>
      </c>
      <c r="I486" s="168"/>
      <c r="J486" s="168"/>
      <c r="K486" s="168"/>
      <c r="L486" s="168"/>
      <c r="M486" s="1507">
        <v>1.5</v>
      </c>
      <c r="N486" s="191" t="str">
        <f>"&lt; Nb de "&amp;O484&amp;" par personne "</f>
        <v xml:space="preserve">&lt; Nb de tranches par personne </v>
      </c>
      <c r="O486" s="192"/>
      <c r="P486" s="670"/>
      <c r="W486" s="433">
        <v>3.472222222222222E-3</v>
      </c>
      <c r="X486" s="419" t="s">
        <v>1493</v>
      </c>
      <c r="Y486" s="168"/>
      <c r="Z486" s="168"/>
      <c r="AA486" s="168"/>
      <c r="AB486" s="168"/>
      <c r="AC486" s="1507">
        <v>1.5</v>
      </c>
      <c r="AD486" s="191" t="str">
        <f>"&lt; Nb of "&amp;AE484&amp;" per person "</f>
        <v xml:space="preserve">&lt; Nb of slices per person </v>
      </c>
      <c r="AE486" s="192"/>
      <c r="AF486" s="670"/>
      <c r="AI486" s="9"/>
      <c r="AJ486" s="9"/>
      <c r="AK486" s="9"/>
      <c r="AL486" s="9"/>
      <c r="AM486" s="433">
        <v>3.472222222222222E-3</v>
      </c>
      <c r="AN486" s="419" t="s">
        <v>683</v>
      </c>
      <c r="AO486" s="168"/>
      <c r="AP486" s="168"/>
      <c r="AQ486" s="168"/>
      <c r="AR486" s="168"/>
      <c r="AS486" s="1507">
        <v>1.5</v>
      </c>
      <c r="AT486" s="191" t="str">
        <f>"&lt; Nb de "&amp;AU484&amp;" por persona "</f>
        <v xml:space="preserve">&lt; Nb de tajadas por persona </v>
      </c>
      <c r="AU486" s="192"/>
      <c r="AV486" s="670"/>
      <c r="BV486" s="3">
        <v>1</v>
      </c>
    </row>
    <row r="487" spans="3:74" ht="15.75">
      <c r="C487" s="9"/>
      <c r="D487" s="9"/>
      <c r="E487" s="9"/>
      <c r="G487" s="435">
        <v>3.472222222222222E-3</v>
      </c>
      <c r="H487" s="419" t="s">
        <v>182</v>
      </c>
      <c r="I487" s="197"/>
      <c r="J487" s="197"/>
      <c r="K487" s="197"/>
      <c r="L487" s="197"/>
      <c r="M487" s="1508">
        <v>27</v>
      </c>
      <c r="N487" s="191" t="str">
        <f>"&lt; Nb "&amp;O484&amp;" dans 1 " &amp;M485</f>
        <v>&lt; Nb tranches dans 1 GN 1/</v>
      </c>
      <c r="O487" s="195"/>
      <c r="P487" s="193"/>
      <c r="W487" s="435">
        <v>3.472222222222222E-3</v>
      </c>
      <c r="X487" s="419" t="s">
        <v>1496</v>
      </c>
      <c r="Y487" s="197"/>
      <c r="Z487" s="197"/>
      <c r="AA487" s="197"/>
      <c r="AB487" s="197"/>
      <c r="AC487" s="1508">
        <v>27</v>
      </c>
      <c r="AD487" s="191" t="str">
        <f>"&lt; Nb "&amp;AE484&amp;" in 1 " &amp;AC485</f>
        <v>&lt; Nb slices in 1 pack(s)</v>
      </c>
      <c r="AE487" s="195"/>
      <c r="AF487" s="193"/>
      <c r="AI487" s="9"/>
      <c r="AJ487" s="9"/>
      <c r="AK487" s="9"/>
      <c r="AL487" s="9"/>
      <c r="AM487" s="435">
        <v>3.472222222222222E-3</v>
      </c>
      <c r="AN487" s="419" t="s">
        <v>1498</v>
      </c>
      <c r="AO487" s="197"/>
      <c r="AP487" s="197"/>
      <c r="AQ487" s="197"/>
      <c r="AR487" s="197"/>
      <c r="AS487" s="1508">
        <v>27</v>
      </c>
      <c r="AT487" s="191" t="str">
        <f>"&lt; Nb "&amp;AU484&amp;" dans 1 " &amp;AS485</f>
        <v>&lt; Nb tajadas dans 1 pack(s)</v>
      </c>
      <c r="AU487" s="195"/>
      <c r="AV487" s="193"/>
      <c r="BV487" s="3">
        <v>1</v>
      </c>
    </row>
    <row r="488" spans="3:74" ht="15.75">
      <c r="C488" s="9"/>
      <c r="D488" s="9"/>
      <c r="E488" s="9"/>
      <c r="G488" s="437">
        <f>G485+G486+G487</f>
        <v>1.0416666666666666E-2</v>
      </c>
      <c r="H488" s="438" t="s">
        <v>183</v>
      </c>
      <c r="I488" s="197"/>
      <c r="J488" s="197"/>
      <c r="K488" s="197"/>
      <c r="L488" s="197"/>
      <c r="M488" s="5722" t="str">
        <f>IF(OR(M487="",P483=0),"",INT(P483/M487) &amp; " " &amp; M485 &amp; " de " &amp; M487 &amp; " " &amp; O484 &amp; IF(MOD(P483,M487)&gt;0," + 1 " &amp; M485 &amp; " de " &amp; TEXT(MOD(P483,M487),"0.00") &amp; " " &amp; O484,""))</f>
        <v>8 GN 1/ de 27 tranches + 1 GN 1/ de 9.00 tranches</v>
      </c>
      <c r="N488" s="5665"/>
      <c r="O488" s="5665"/>
      <c r="P488" s="5666"/>
      <c r="W488" s="437">
        <f>W485+W486+W487</f>
        <v>1.0416666666666666E-2</v>
      </c>
      <c r="X488" s="438" t="s">
        <v>183</v>
      </c>
      <c r="Y488" s="197"/>
      <c r="Z488" s="197"/>
      <c r="AA488" s="197"/>
      <c r="AB488" s="197"/>
      <c r="AC488" s="5722" t="str">
        <f>IF(OR(AC487="",AF483=0),"",INT(AF483/AC487) &amp; " " &amp; AC485 &amp; " de " &amp; AC487 &amp; " " &amp; AE484 &amp; IF(MOD(AF483,AC487)&gt;0," + 1 " &amp; AC485 &amp; " de " &amp; TEXT(MOD(AF483,AC487),"0.00") &amp; " " &amp; AE484,""))</f>
        <v>8 pack(s) de 27 slices + 1 pack(s) de 9.00 slices</v>
      </c>
      <c r="AD488" s="5665"/>
      <c r="AE488" s="5665"/>
      <c r="AF488" s="5666"/>
      <c r="AI488" s="9"/>
      <c r="AJ488" s="9"/>
      <c r="AK488" s="9"/>
      <c r="AL488" s="9"/>
      <c r="AM488" s="437">
        <f>AM485+AM486+AM487</f>
        <v>1.0416666666666666E-2</v>
      </c>
      <c r="AN488" s="438" t="s">
        <v>183</v>
      </c>
      <c r="AO488" s="197"/>
      <c r="AP488" s="197"/>
      <c r="AQ488" s="197"/>
      <c r="AR488" s="197"/>
      <c r="AS488" s="5722" t="str">
        <f>IF(OR(AS487="",AV483=0),"",INT(AV483/AS487) &amp; " " &amp; AS485 &amp; " de " &amp; AS487 &amp; " " &amp; AU484 &amp; IF(MOD(AV483,AS487)&gt;0," + 1 " &amp; AS485 &amp; " de " &amp; TEXT(MOD(AV483,AS487),"0.00") &amp; " " &amp; AU484,""))</f>
        <v>8 pack(s) de 27 tajadas + 1 pack(s) de 9.00 tajadas</v>
      </c>
      <c r="AT488" s="5665"/>
      <c r="AU488" s="5665"/>
      <c r="AV488" s="5666"/>
      <c r="BV488" s="3">
        <v>1</v>
      </c>
    </row>
    <row r="489" spans="3:74" ht="15.75">
      <c r="C489" s="9"/>
      <c r="D489" s="9"/>
      <c r="E489" s="9"/>
      <c r="G489" s="1502"/>
      <c r="I489" s="197"/>
      <c r="J489" s="197"/>
      <c r="K489" s="197"/>
      <c r="L489" s="197"/>
      <c r="M489" s="5723"/>
      <c r="N489" s="5668"/>
      <c r="O489" s="5668"/>
      <c r="P489" s="5669"/>
      <c r="W489" s="1502"/>
      <c r="Y489" s="197"/>
      <c r="Z489" s="197"/>
      <c r="AA489" s="197"/>
      <c r="AB489" s="197"/>
      <c r="AC489" s="5723"/>
      <c r="AD489" s="5668"/>
      <c r="AE489" s="5668"/>
      <c r="AF489" s="5669"/>
      <c r="AI489" s="9"/>
      <c r="AJ489" s="9"/>
      <c r="AK489" s="9"/>
      <c r="AL489" s="9"/>
      <c r="AM489" s="1502"/>
      <c r="AO489" s="197"/>
      <c r="AP489" s="197"/>
      <c r="AQ489" s="197"/>
      <c r="AR489" s="197"/>
      <c r="AS489" s="5723"/>
      <c r="AT489" s="5668"/>
      <c r="AU489" s="5668"/>
      <c r="AV489" s="5669"/>
      <c r="BV489" s="3">
        <v>1</v>
      </c>
    </row>
    <row r="490" spans="3:74" ht="15.75">
      <c r="C490" s="9"/>
      <c r="D490" s="9"/>
      <c r="E490" s="9"/>
      <c r="G490" s="1503">
        <v>100</v>
      </c>
      <c r="H490" s="432" t="s">
        <v>456</v>
      </c>
      <c r="I490" s="197"/>
      <c r="J490" s="197"/>
      <c r="K490" s="197"/>
      <c r="L490" s="197"/>
      <c r="M490" s="1509">
        <v>120</v>
      </c>
      <c r="N490" s="199" t="s">
        <v>199</v>
      </c>
      <c r="O490" s="183"/>
      <c r="P490" s="200">
        <f>(M490*M484)/1000</f>
        <v>18</v>
      </c>
      <c r="W490" s="1503">
        <v>100</v>
      </c>
      <c r="X490" s="432" t="s">
        <v>1491</v>
      </c>
      <c r="Y490" s="197"/>
      <c r="Z490" s="197"/>
      <c r="AA490" s="197"/>
      <c r="AB490" s="197"/>
      <c r="AC490" s="1509">
        <v>120</v>
      </c>
      <c r="AD490" s="199" t="s">
        <v>901</v>
      </c>
      <c r="AE490" s="183"/>
      <c r="AF490" s="200">
        <f>(AC490*AC484)/1000</f>
        <v>18</v>
      </c>
      <c r="AI490" s="9"/>
      <c r="AJ490" s="9"/>
      <c r="AK490" s="9"/>
      <c r="AL490" s="9"/>
      <c r="AM490" s="1503">
        <v>100</v>
      </c>
      <c r="AN490" s="432" t="s">
        <v>1492</v>
      </c>
      <c r="AO490" s="197"/>
      <c r="AP490" s="197"/>
      <c r="AQ490" s="197"/>
      <c r="AR490" s="197"/>
      <c r="AS490" s="1509">
        <v>120</v>
      </c>
      <c r="AT490" s="199" t="s">
        <v>914</v>
      </c>
      <c r="AU490" s="183"/>
      <c r="AV490" s="200">
        <f>(AS490*AS484)/1000</f>
        <v>18</v>
      </c>
      <c r="BV490" s="3">
        <v>1</v>
      </c>
    </row>
    <row r="491" spans="3:74" ht="15.75">
      <c r="C491" s="9"/>
      <c r="D491" s="9"/>
      <c r="E491" s="9"/>
      <c r="G491" s="1504">
        <v>90</v>
      </c>
      <c r="H491" s="434" t="s">
        <v>3321</v>
      </c>
      <c r="I491" s="197"/>
      <c r="J491" s="197"/>
      <c r="K491" s="197"/>
      <c r="L491" s="197"/>
      <c r="M491" s="1510">
        <v>2.7</v>
      </c>
      <c r="N491" s="203" t="str">
        <f>"poids par "&amp; M485</f>
        <v>poids par GN 1/</v>
      </c>
      <c r="O491" s="183"/>
      <c r="P491" s="189"/>
      <c r="W491" s="1504">
        <v>90</v>
      </c>
      <c r="X491" s="434" t="s">
        <v>1494</v>
      </c>
      <c r="Y491" s="197"/>
      <c r="Z491" s="197"/>
      <c r="AA491" s="197"/>
      <c r="AB491" s="197"/>
      <c r="AC491" s="1510">
        <v>2.7</v>
      </c>
      <c r="AD491" s="203" t="str">
        <f>"weight per  "&amp; AC485</f>
        <v>weight per  pack(s)</v>
      </c>
      <c r="AE491" s="183"/>
      <c r="AF491" s="189"/>
      <c r="AI491" s="9"/>
      <c r="AJ491" s="9"/>
      <c r="AK491" s="9"/>
      <c r="AL491" s="9"/>
      <c r="AM491" s="1504">
        <v>90</v>
      </c>
      <c r="AN491" s="434" t="s">
        <v>1495</v>
      </c>
      <c r="AO491" s="197"/>
      <c r="AP491" s="197"/>
      <c r="AQ491" s="197"/>
      <c r="AR491" s="197"/>
      <c r="AS491" s="1510">
        <v>2.7</v>
      </c>
      <c r="AT491" s="203" t="str">
        <f>"peso por  "&amp; AS485</f>
        <v>peso por  pack(s)</v>
      </c>
      <c r="AU491" s="183"/>
      <c r="AV491" s="189"/>
      <c r="BV491" s="3">
        <v>1</v>
      </c>
    </row>
    <row r="492" spans="3:74" ht="15.75">
      <c r="C492" s="9"/>
      <c r="D492" s="9"/>
      <c r="E492" s="9"/>
      <c r="G492" s="265"/>
      <c r="H492" s="197"/>
      <c r="I492" s="197"/>
      <c r="J492" s="197"/>
      <c r="K492" s="197"/>
      <c r="L492" s="197"/>
      <c r="M492" s="5724" t="str">
        <f>IF(OR(P490&lt;=0,M491&lt;=0),"",_xlfn.LET(_xlpm.n,ROUND(P490/M491,9),_xlpm.q,INT(_xlpm.n),_xlpm.r,ROUND(P490-_xlpm.q*M491,9),_xlpm.base,_xlpm.q&amp;" "&amp;M485&amp;" de "&amp;TEXT(M491,"0.000")&amp;" kg",IF(_xlpm.r&lt;=0.000000001,_xlpm.base,_xlpm.base&amp;" + 1 "&amp;M485&amp;" de "&amp;TEXT(_xlpm.r,"0.000")&amp;" kg")))</f>
        <v>6 GN 1/ de 2.700 kg + 1 GN 1/ de 1.800 kg</v>
      </c>
      <c r="N492" s="5650"/>
      <c r="O492" s="5650"/>
      <c r="P492" s="5651"/>
      <c r="W492" s="265"/>
      <c r="X492" s="197"/>
      <c r="Y492" s="197"/>
      <c r="Z492" s="197"/>
      <c r="AA492" s="197"/>
      <c r="AB492" s="197"/>
      <c r="AC492" s="5724" t="str">
        <f>IF(OR(AF490&lt;=0,AC491&lt;=0),"",_xlfn.LET(_xlpm.n,ROUND(AF490/AC491,9),_xlpm.q,INT(_xlpm.n),_xlpm.r,ROUND(AF490-_xlpm.q*AC491,9),_xlpm.base,_xlpm.q&amp;" "&amp;AC485&amp;" de "&amp;TEXT(AC491,"0.000")&amp;" kg",IF(_xlpm.r&lt;=0.000000001,_xlpm.base,_xlpm.base&amp;" + 1 "&amp;AC485&amp;" de "&amp;TEXT(_xlpm.r,"0.000")&amp;" kg")))</f>
        <v>6 pack(s) de 2.700 kg + 1 pack(s) de 1.800 kg</v>
      </c>
      <c r="AD492" s="5650"/>
      <c r="AE492" s="5650"/>
      <c r="AF492" s="5651"/>
      <c r="AI492" s="9"/>
      <c r="AJ492" s="9"/>
      <c r="AK492" s="9"/>
      <c r="AL492" s="9"/>
      <c r="AM492" s="265"/>
      <c r="AN492" s="197"/>
      <c r="AO492" s="197"/>
      <c r="AP492" s="197"/>
      <c r="AQ492" s="197"/>
      <c r="AR492" s="197"/>
      <c r="AS492" s="5724" t="str">
        <f>IF(OR(AV490&lt;=0,AS491&lt;=0),"",_xlfn.LET(_xlpm.n,ROUND(AV490/AS491,9),_xlpm.q,INT(_xlpm.n),_xlpm.r,ROUND(AV490-_xlpm.q*AS491,9),_xlpm.base,_xlpm.q&amp;" "&amp;AS485&amp;" de "&amp;TEXT(AS491,"0.000")&amp;" kg",IF(_xlpm.r&lt;=0.000000001,_xlpm.base,_xlpm.base&amp;" + 1 "&amp;AS485&amp;" de "&amp;TEXT(_xlpm.r,"0.000")&amp;" kg")))</f>
        <v>6 pack(s) de 2.700 kg + 1 pack(s) de 1.800 kg</v>
      </c>
      <c r="AT492" s="5650"/>
      <c r="AU492" s="5650"/>
      <c r="AV492" s="5651"/>
      <c r="BV492" s="3">
        <v>1</v>
      </c>
    </row>
    <row r="493" spans="3:74" ht="15.75">
      <c r="C493" s="9"/>
      <c r="D493" s="9"/>
      <c r="E493" s="9"/>
      <c r="G493" s="265" t="s">
        <v>198</v>
      </c>
      <c r="H493" s="172"/>
      <c r="I493" s="172"/>
      <c r="J493" s="172"/>
      <c r="K493" s="172"/>
      <c r="L493" s="172"/>
      <c r="M493" s="5725"/>
      <c r="N493" s="5726"/>
      <c r="O493" s="5726"/>
      <c r="P493" s="5727"/>
      <c r="W493" s="265" t="s">
        <v>900</v>
      </c>
      <c r="X493" s="172"/>
      <c r="Y493" s="172"/>
      <c r="Z493" s="172"/>
      <c r="AA493" s="172"/>
      <c r="AB493" s="172"/>
      <c r="AC493" s="5725"/>
      <c r="AD493" s="5726"/>
      <c r="AE493" s="5726"/>
      <c r="AF493" s="5727"/>
      <c r="AI493" s="9"/>
      <c r="AJ493" s="9"/>
      <c r="AK493" s="9"/>
      <c r="AL493" s="9"/>
      <c r="AM493" s="265" t="s">
        <v>1429</v>
      </c>
      <c r="AN493" s="172"/>
      <c r="AO493" s="172"/>
      <c r="AP493" s="172"/>
      <c r="AQ493" s="172"/>
      <c r="AR493" s="172"/>
      <c r="AS493" s="5725"/>
      <c r="AT493" s="5726"/>
      <c r="AU493" s="5726"/>
      <c r="AV493" s="5727"/>
      <c r="BV493" s="3">
        <v>1</v>
      </c>
    </row>
    <row r="494" spans="3:74" ht="15.75">
      <c r="C494" s="9"/>
      <c r="D494" s="9"/>
      <c r="E494" s="9"/>
      <c r="G494" s="265" t="s">
        <v>200</v>
      </c>
      <c r="H494" s="197"/>
      <c r="I494" s="197"/>
      <c r="J494" s="197"/>
      <c r="K494" s="197"/>
      <c r="L494" s="197"/>
      <c r="M494" s="197"/>
      <c r="N494" s="197"/>
      <c r="O494" s="197"/>
      <c r="P494" s="557"/>
      <c r="W494" s="265" t="s">
        <v>902</v>
      </c>
      <c r="X494" s="197"/>
      <c r="Y494" s="197"/>
      <c r="Z494" s="197"/>
      <c r="AA494" s="197"/>
      <c r="AB494" s="197"/>
      <c r="AC494" s="197"/>
      <c r="AD494" s="197"/>
      <c r="AE494" s="197"/>
      <c r="AF494" s="557"/>
      <c r="AI494" s="9"/>
      <c r="AJ494" s="9"/>
      <c r="AK494" s="9"/>
      <c r="AL494" s="9"/>
      <c r="AM494" s="265" t="s">
        <v>1431</v>
      </c>
      <c r="AN494" s="197"/>
      <c r="AO494" s="197"/>
      <c r="AP494" s="197"/>
      <c r="AQ494" s="197"/>
      <c r="AR494" s="197"/>
      <c r="AS494" s="197"/>
      <c r="AT494" s="197"/>
      <c r="AU494" s="197"/>
      <c r="AV494" s="557"/>
      <c r="BV494" s="3">
        <v>1</v>
      </c>
    </row>
    <row r="495" spans="3:74" ht="15.75">
      <c r="C495" s="9"/>
      <c r="D495" s="9"/>
      <c r="E495" s="9"/>
      <c r="G495" s="307"/>
      <c r="H495" s="201"/>
      <c r="I495" s="201"/>
      <c r="J495" s="201"/>
      <c r="K495" s="201"/>
      <c r="L495" s="201"/>
      <c r="M495" s="449"/>
      <c r="N495" s="449"/>
      <c r="O495" s="449"/>
      <c r="P495" s="1517" t="s">
        <v>197</v>
      </c>
      <c r="W495" s="307"/>
      <c r="X495" s="201"/>
      <c r="Y495" s="201"/>
      <c r="Z495" s="201"/>
      <c r="AA495" s="201"/>
      <c r="AB495" s="201"/>
      <c r="AC495" s="449"/>
      <c r="AD495" s="449"/>
      <c r="AE495" s="449"/>
      <c r="AF495" s="1517" t="s">
        <v>899</v>
      </c>
      <c r="AI495" s="9"/>
      <c r="AJ495" s="9"/>
      <c r="AK495" s="9"/>
      <c r="AL495" s="9"/>
      <c r="AM495" s="307"/>
      <c r="AN495" s="201"/>
      <c r="AO495" s="201"/>
      <c r="AP495" s="201"/>
      <c r="AQ495" s="201"/>
      <c r="AR495" s="201"/>
      <c r="AS495" s="449"/>
      <c r="AT495" s="449"/>
      <c r="AU495" s="449"/>
      <c r="AV495" s="1517" t="s">
        <v>1419</v>
      </c>
      <c r="BV495" s="3">
        <v>1</v>
      </c>
    </row>
    <row r="496" spans="3:74">
      <c r="C496" s="9"/>
      <c r="D496" s="9"/>
      <c r="E496" s="9"/>
      <c r="G496" s="9"/>
      <c r="H496" s="9"/>
      <c r="I496" s="9"/>
      <c r="J496" s="9"/>
      <c r="K496" s="9"/>
      <c r="L496" s="9"/>
      <c r="M496" s="9"/>
      <c r="N496" s="9"/>
      <c r="O496" s="9"/>
      <c r="P496" s="9"/>
      <c r="W496" s="9"/>
      <c r="X496" s="9"/>
      <c r="Y496" s="9"/>
      <c r="Z496" s="9"/>
      <c r="AA496" s="9"/>
      <c r="AB496" s="9"/>
      <c r="AC496" s="9"/>
      <c r="AD496" s="9"/>
      <c r="AE496" s="9"/>
      <c r="AF496" s="9"/>
      <c r="AI496" s="9"/>
      <c r="AJ496" s="9"/>
      <c r="AK496" s="9"/>
      <c r="AL496" s="9"/>
      <c r="AM496" s="9"/>
      <c r="AN496" s="9"/>
      <c r="AO496" s="9"/>
      <c r="AP496" s="9"/>
      <c r="AQ496" s="9"/>
      <c r="AR496" s="9"/>
      <c r="AS496" s="9"/>
      <c r="AT496" s="9"/>
      <c r="AU496" s="9"/>
      <c r="AV496" s="9"/>
      <c r="BV496" s="3">
        <v>1</v>
      </c>
    </row>
    <row r="497" spans="3:74" ht="15.75">
      <c r="C497" s="9"/>
      <c r="D497" s="9"/>
      <c r="E497" s="9"/>
      <c r="G497" s="160" t="s">
        <v>167</v>
      </c>
      <c r="H497" s="454"/>
      <c r="I497" s="454"/>
      <c r="J497" s="454"/>
      <c r="K497" s="454"/>
      <c r="L497" s="455"/>
      <c r="M497" s="455"/>
      <c r="N497" s="455"/>
      <c r="O497" s="455"/>
      <c r="P497" s="686" t="s">
        <v>487</v>
      </c>
      <c r="W497" s="160" t="s">
        <v>167</v>
      </c>
      <c r="X497" s="454"/>
      <c r="Y497" s="454"/>
      <c r="Z497" s="454"/>
      <c r="AA497" s="454"/>
      <c r="AB497" s="455"/>
      <c r="AC497" s="455"/>
      <c r="AD497" s="455"/>
      <c r="AE497" s="455"/>
      <c r="AF497" s="686" t="s">
        <v>1500</v>
      </c>
      <c r="AI497" s="9"/>
      <c r="AJ497" s="9"/>
      <c r="AK497" s="9"/>
      <c r="AL497" s="9"/>
      <c r="AM497" s="160" t="s">
        <v>754</v>
      </c>
      <c r="AN497" s="454"/>
      <c r="AO497" s="454"/>
      <c r="AP497" s="454"/>
      <c r="AQ497" s="454"/>
      <c r="AR497" s="455"/>
      <c r="AS497" s="455"/>
      <c r="AT497" s="455"/>
      <c r="AU497" s="455"/>
      <c r="AV497" s="686" t="s">
        <v>1501</v>
      </c>
      <c r="BV497" s="3">
        <v>1</v>
      </c>
    </row>
    <row r="498" spans="3:74" ht="15.75">
      <c r="C498" s="9"/>
      <c r="D498" s="9"/>
      <c r="E498" s="9"/>
      <c r="G498" s="1512" t="s">
        <v>77</v>
      </c>
      <c r="H498" s="5454" t="s">
        <v>79</v>
      </c>
      <c r="I498" s="5712" t="s">
        <v>84</v>
      </c>
      <c r="J498" s="5714" t="s">
        <v>80</v>
      </c>
      <c r="K498" s="5716" t="s">
        <v>491</v>
      </c>
      <c r="L498" s="5718" t="s">
        <v>492</v>
      </c>
      <c r="M498" s="5720" t="s">
        <v>94</v>
      </c>
      <c r="N498" s="505"/>
      <c r="O498" s="505"/>
      <c r="P498" s="1521"/>
      <c r="W498" s="1512" t="s">
        <v>77</v>
      </c>
      <c r="X498" s="5454" t="s">
        <v>228</v>
      </c>
      <c r="Y498" s="5712" t="s">
        <v>1502</v>
      </c>
      <c r="Z498" s="5714" t="s">
        <v>1503</v>
      </c>
      <c r="AA498" s="5716" t="s">
        <v>1504</v>
      </c>
      <c r="AB498" s="5718" t="s">
        <v>1505</v>
      </c>
      <c r="AC498" s="5720" t="s">
        <v>867</v>
      </c>
      <c r="AD498" s="505"/>
      <c r="AE498" s="505"/>
      <c r="AF498" s="1521"/>
      <c r="AI498" s="9"/>
      <c r="AJ498" s="9"/>
      <c r="AK498" s="9"/>
      <c r="AL498" s="9"/>
      <c r="AM498" s="1512" t="s">
        <v>77</v>
      </c>
      <c r="AN498" s="5454" t="s">
        <v>229</v>
      </c>
      <c r="AO498" s="5712" t="s">
        <v>1506</v>
      </c>
      <c r="AP498" s="5714" t="s">
        <v>80</v>
      </c>
      <c r="AQ498" s="5716" t="s">
        <v>1507</v>
      </c>
      <c r="AR498" s="5718" t="s">
        <v>1508</v>
      </c>
      <c r="AS498" s="5720" t="s">
        <v>869</v>
      </c>
      <c r="AT498" s="505"/>
      <c r="AU498" s="505"/>
      <c r="AV498" s="1521"/>
      <c r="BV498" s="3">
        <v>1</v>
      </c>
    </row>
    <row r="499" spans="3:74">
      <c r="C499" s="9"/>
      <c r="D499" s="9"/>
      <c r="E499" s="9"/>
      <c r="G499" s="87" t="s">
        <v>83</v>
      </c>
      <c r="H499" s="5455"/>
      <c r="I499" s="5713"/>
      <c r="J499" s="5715"/>
      <c r="K499" s="5717"/>
      <c r="L499" s="5719"/>
      <c r="M499" s="5721"/>
      <c r="N499" s="1524"/>
      <c r="O499" s="1524"/>
      <c r="P499" s="1525"/>
      <c r="W499" s="87" t="s">
        <v>244</v>
      </c>
      <c r="X499" s="5455"/>
      <c r="Y499" s="5713"/>
      <c r="Z499" s="5715"/>
      <c r="AA499" s="5717"/>
      <c r="AB499" s="5719"/>
      <c r="AC499" s="5721"/>
      <c r="AD499" s="1524"/>
      <c r="AE499" s="1524"/>
      <c r="AF499" s="1525"/>
      <c r="AI499" s="9"/>
      <c r="AJ499" s="9"/>
      <c r="AK499" s="9"/>
      <c r="AL499" s="9"/>
      <c r="AM499" s="87" t="s">
        <v>249</v>
      </c>
      <c r="AN499" s="5455"/>
      <c r="AO499" s="5713"/>
      <c r="AP499" s="5715"/>
      <c r="AQ499" s="5717"/>
      <c r="AR499" s="5719"/>
      <c r="AS499" s="5721"/>
      <c r="AT499" s="1524"/>
      <c r="AU499" s="1524"/>
      <c r="AV499" s="1525"/>
      <c r="BV499" s="3">
        <v>1</v>
      </c>
    </row>
    <row r="500" spans="3:74" ht="15.75">
      <c r="C500" s="9"/>
      <c r="D500" s="9"/>
      <c r="E500" s="9"/>
      <c r="G500" s="456"/>
      <c r="H500" s="95">
        <v>350</v>
      </c>
      <c r="I500" s="457">
        <f>IFERROR(INDEX(G506:M506,MATCH(J500,G505:M505,0)) * H500 * IF(ISBLANK(G500), 1, G500), 0)</f>
        <v>0.35000000000000003</v>
      </c>
      <c r="J500" s="105" t="s">
        <v>99</v>
      </c>
      <c r="K500" s="458">
        <v>16</v>
      </c>
      <c r="L500" s="459">
        <f>((I500-(I500*K500%)))</f>
        <v>0.29400000000000004</v>
      </c>
      <c r="M500" s="1513" t="s">
        <v>499</v>
      </c>
      <c r="N500" s="1524"/>
      <c r="O500" s="1524"/>
      <c r="P500" s="1525"/>
      <c r="W500" s="456"/>
      <c r="X500" s="95">
        <v>350</v>
      </c>
      <c r="Y500" s="457">
        <f>IFERROR(INDEX(W506:AC506,MATCH(Z500,W505:AC505,0)) * X500 * IF(ISBLANK(W500), 1, W500), 0)</f>
        <v>0.35000000000000003</v>
      </c>
      <c r="Z500" s="105" t="s">
        <v>99</v>
      </c>
      <c r="AA500" s="458">
        <v>16</v>
      </c>
      <c r="AB500" s="459">
        <f>((Y500-(Y500*AA500%)))</f>
        <v>0.29400000000000004</v>
      </c>
      <c r="AC500" s="1513" t="s">
        <v>1509</v>
      </c>
      <c r="AD500" s="1524"/>
      <c r="AE500" s="1524"/>
      <c r="AF500" s="1525"/>
      <c r="AI500" s="9"/>
      <c r="AJ500" s="9"/>
      <c r="AK500" s="9"/>
      <c r="AL500" s="9"/>
      <c r="AM500" s="456"/>
      <c r="AN500" s="95">
        <v>350</v>
      </c>
      <c r="AO500" s="457">
        <f>IFERROR(INDEX(AM506:AS506,MATCH(AP500,AM505:AS505,0)) * AN500 * IF(ISBLANK(AM500), 1, AM500), 0)</f>
        <v>0.35000000000000003</v>
      </c>
      <c r="AP500" s="105" t="s">
        <v>99</v>
      </c>
      <c r="AQ500" s="458">
        <v>16</v>
      </c>
      <c r="AR500" s="459">
        <f>((AO500-(AO500*AQ500%)))</f>
        <v>0.29400000000000004</v>
      </c>
      <c r="AS500" s="1513" t="s">
        <v>1510</v>
      </c>
      <c r="AT500" s="1524"/>
      <c r="AU500" s="1524"/>
      <c r="AV500" s="1525"/>
      <c r="BV500" s="3">
        <v>1</v>
      </c>
    </row>
    <row r="501" spans="3:74" ht="15.75">
      <c r="C501" s="9"/>
      <c r="D501" s="9"/>
      <c r="E501" s="9"/>
      <c r="G501" s="460"/>
      <c r="H501" s="461">
        <v>1.2</v>
      </c>
      <c r="I501" s="457">
        <f>IFERROR(INDEX(G506:M506,MATCH(J501,G505:M505,0)) * H501 * IF(ISBLANK(G501), 1, G501), 0)</f>
        <v>1.2</v>
      </c>
      <c r="J501" s="462" t="s">
        <v>143</v>
      </c>
      <c r="K501" s="463">
        <v>22</v>
      </c>
      <c r="L501" s="459">
        <f>((I501-(I501*K501%)))</f>
        <v>0.93599999999999994</v>
      </c>
      <c r="M501" s="1514" t="s">
        <v>503</v>
      </c>
      <c r="N501" s="1524"/>
      <c r="O501" s="1524"/>
      <c r="P501" s="1525"/>
      <c r="W501" s="460"/>
      <c r="X501" s="461">
        <v>1.2</v>
      </c>
      <c r="Y501" s="457">
        <f>IFERROR(INDEX(W506:AC506,MATCH(Z501,W505:AC505,0)) * X501 * IF(ISBLANK(W501), 1, W501), 0)</f>
        <v>1.2</v>
      </c>
      <c r="Z501" s="462" t="s">
        <v>143</v>
      </c>
      <c r="AA501" s="463">
        <v>22</v>
      </c>
      <c r="AB501" s="459">
        <f>((Y501-(Y501*AA501%)))</f>
        <v>0.93599999999999994</v>
      </c>
      <c r="AC501" s="1514" t="s">
        <v>892</v>
      </c>
      <c r="AD501" s="1524"/>
      <c r="AE501" s="1524"/>
      <c r="AF501" s="1525"/>
      <c r="AI501" s="9"/>
      <c r="AJ501" s="9"/>
      <c r="AK501" s="9"/>
      <c r="AL501" s="9"/>
      <c r="AM501" s="460"/>
      <c r="AN501" s="461">
        <v>1.2</v>
      </c>
      <c r="AO501" s="457">
        <f>IFERROR(INDEX(AM506:AS506,MATCH(AP501,AM505:AS505,0)) * AN501 * IF(ISBLANK(AM501), 1, AM501), 0)</f>
        <v>1.2</v>
      </c>
      <c r="AP501" s="462" t="s">
        <v>143</v>
      </c>
      <c r="AQ501" s="463">
        <v>22</v>
      </c>
      <c r="AR501" s="459">
        <f>((AO501-(AO501*AQ501%)))</f>
        <v>0.93599999999999994</v>
      </c>
      <c r="AS501" s="1514" t="s">
        <v>1511</v>
      </c>
      <c r="AT501" s="1524"/>
      <c r="AU501" s="1524"/>
      <c r="AV501" s="1525"/>
      <c r="BV501" s="3">
        <v>1</v>
      </c>
    </row>
    <row r="502" spans="3:74" ht="15.75">
      <c r="C502" s="9"/>
      <c r="D502" s="9"/>
      <c r="E502" s="9"/>
      <c r="G502" s="460">
        <v>2</v>
      </c>
      <c r="H502" s="95">
        <v>50</v>
      </c>
      <c r="I502" s="457">
        <f>IFERROR(INDEX(G506:M506,MATCH(J502,G505:M505,0)) * H502 * IF(ISBLANK(G502), 1, G502), 0)</f>
        <v>0.1</v>
      </c>
      <c r="J502" s="105" t="s">
        <v>99</v>
      </c>
      <c r="K502" s="463"/>
      <c r="L502" s="459">
        <f>((I502-(I502*K502%)))</f>
        <v>0.1</v>
      </c>
      <c r="M502" s="1515" t="s">
        <v>500</v>
      </c>
      <c r="N502" s="1524"/>
      <c r="O502" s="1524"/>
      <c r="P502" s="1525"/>
      <c r="W502" s="460">
        <v>2</v>
      </c>
      <c r="X502" s="95">
        <v>50</v>
      </c>
      <c r="Y502" s="457">
        <f>IFERROR(INDEX(W506:AC506,MATCH(Z502,W505:AC505,0)) * X502 * IF(ISBLANK(W502), 1, W502), 0)</f>
        <v>0.1</v>
      </c>
      <c r="Z502" s="105" t="s">
        <v>99</v>
      </c>
      <c r="AA502" s="463"/>
      <c r="AB502" s="459">
        <f>((Y502-(Y502*AA502%)))</f>
        <v>0.1</v>
      </c>
      <c r="AC502" s="1515" t="s">
        <v>501</v>
      </c>
      <c r="AD502" s="1524"/>
      <c r="AE502" s="1524"/>
      <c r="AF502" s="1525"/>
      <c r="AI502" s="9"/>
      <c r="AJ502" s="9"/>
      <c r="AK502" s="9"/>
      <c r="AL502" s="9"/>
      <c r="AM502" s="460">
        <v>2</v>
      </c>
      <c r="AN502" s="95">
        <v>50</v>
      </c>
      <c r="AO502" s="457">
        <f>IFERROR(INDEX(AM506:AS506,MATCH(AP502,AM505:AS505,0)) * AN502 * IF(ISBLANK(AM502), 1, AM502), 0)</f>
        <v>0.1</v>
      </c>
      <c r="AP502" s="105" t="s">
        <v>99</v>
      </c>
      <c r="AQ502" s="463"/>
      <c r="AR502" s="459">
        <f>((AO502-(AO502*AQ502%)))</f>
        <v>0.1</v>
      </c>
      <c r="AS502" s="1515" t="s">
        <v>502</v>
      </c>
      <c r="AT502" s="1524"/>
      <c r="AU502" s="1524"/>
      <c r="AV502" s="1525"/>
      <c r="BV502" s="3">
        <v>1</v>
      </c>
    </row>
    <row r="503" spans="3:74" ht="15.75">
      <c r="C503" s="9"/>
      <c r="D503" s="9"/>
      <c r="E503" s="9"/>
      <c r="G503" s="460"/>
      <c r="H503" s="95">
        <v>1</v>
      </c>
      <c r="I503" s="457">
        <f>IFERROR(INDEX(G506:M506,MATCH(J503,G505:M505,0)) * H503 * IF(ISBLANK(G503), 1, G503), 0)</f>
        <v>0.5</v>
      </c>
      <c r="J503" s="109" t="s">
        <v>102</v>
      </c>
      <c r="K503" s="463"/>
      <c r="L503" s="459">
        <f>((I503-(I503*K503%)))</f>
        <v>0.5</v>
      </c>
      <c r="M503" s="1514" t="s">
        <v>513</v>
      </c>
      <c r="N503" s="1524"/>
      <c r="O503" s="1524"/>
      <c r="P503" s="1525"/>
      <c r="W503" s="460"/>
      <c r="X503" s="95">
        <v>1</v>
      </c>
      <c r="Y503" s="457">
        <f>IFERROR(INDEX(W506:AC506,MATCH(Z503,W505:AC505,0)) * X503 * IF(ISBLANK(W503), 1, W503), 0)</f>
        <v>0.5</v>
      </c>
      <c r="Z503" s="109" t="s">
        <v>1360</v>
      </c>
      <c r="AA503" s="463"/>
      <c r="AB503" s="459">
        <f>((Y503-(Y503*AA503%)))</f>
        <v>0.5</v>
      </c>
      <c r="AC503" s="1514" t="s">
        <v>1512</v>
      </c>
      <c r="AD503" s="1524"/>
      <c r="AE503" s="1524"/>
      <c r="AF503" s="1525"/>
      <c r="AI503" s="9"/>
      <c r="AJ503" s="9"/>
      <c r="AK503" s="9"/>
      <c r="AL503" s="9"/>
      <c r="AM503" s="460"/>
      <c r="AN503" s="95">
        <v>1</v>
      </c>
      <c r="AO503" s="457">
        <f>IFERROR(INDEX(AM506:AS506,MATCH(AP503,AM505:AS505,0)) * AN503 * IF(ISBLANK(AM503), 1, AM503), 0)</f>
        <v>0</v>
      </c>
      <c r="AP503" s="109" t="s">
        <v>102</v>
      </c>
      <c r="AQ503" s="463"/>
      <c r="AR503" s="459">
        <f>((AO503-(AO503*AQ503%)))</f>
        <v>0</v>
      </c>
      <c r="AS503" s="1514" t="s">
        <v>1513</v>
      </c>
      <c r="AT503" s="1524"/>
      <c r="AU503" s="1524"/>
      <c r="AV503" s="1525"/>
      <c r="BV503" s="3">
        <v>1</v>
      </c>
    </row>
    <row r="504" spans="3:74" ht="15.75">
      <c r="C504" s="9"/>
      <c r="D504" s="9"/>
      <c r="E504" s="9"/>
      <c r="G504" s="464" t="s">
        <v>517</v>
      </c>
      <c r="H504" s="197"/>
      <c r="I504" s="197"/>
      <c r="J504" s="197"/>
      <c r="K504" s="197"/>
      <c r="L504" s="197"/>
      <c r="M504" s="1516" t="s">
        <v>518</v>
      </c>
      <c r="N504" s="1524"/>
      <c r="O504" s="1524"/>
      <c r="P504" s="1525"/>
      <c r="W504" s="464" t="s">
        <v>1514</v>
      </c>
      <c r="X504" s="197"/>
      <c r="Y504" s="197"/>
      <c r="Z504" s="197"/>
      <c r="AA504" s="197"/>
      <c r="AB504" s="197"/>
      <c r="AC504" s="1516" t="s">
        <v>1515</v>
      </c>
      <c r="AD504" s="1524"/>
      <c r="AE504" s="1524"/>
      <c r="AF504" s="1525"/>
      <c r="AI504" s="9"/>
      <c r="AJ504" s="9"/>
      <c r="AK504" s="9"/>
      <c r="AL504" s="9"/>
      <c r="AM504" s="464" t="s">
        <v>1516</v>
      </c>
      <c r="AN504" s="197"/>
      <c r="AO504" s="197"/>
      <c r="AP504" s="197"/>
      <c r="AQ504" s="197"/>
      <c r="AR504" s="197"/>
      <c r="AS504" s="1516" t="s">
        <v>1517</v>
      </c>
      <c r="AT504" s="1524"/>
      <c r="AU504" s="1524"/>
      <c r="AV504" s="1525"/>
      <c r="BV504" s="3">
        <v>1</v>
      </c>
    </row>
    <row r="505" spans="3:74" ht="15.75">
      <c r="C505" s="9"/>
      <c r="D505" s="9"/>
      <c r="E505" s="9"/>
      <c r="G505" s="462" t="s">
        <v>143</v>
      </c>
      <c r="H505" s="105" t="s">
        <v>99</v>
      </c>
      <c r="I505" s="465"/>
      <c r="J505" s="109" t="s">
        <v>102</v>
      </c>
      <c r="K505" s="109" t="s">
        <v>364</v>
      </c>
      <c r="L505" s="105" t="s">
        <v>0</v>
      </c>
      <c r="M505" s="105" t="s">
        <v>147</v>
      </c>
      <c r="N505" s="1524"/>
      <c r="O505" s="1524"/>
      <c r="P505" s="1525"/>
      <c r="W505" s="462" t="s">
        <v>143</v>
      </c>
      <c r="X505" s="105" t="s">
        <v>99</v>
      </c>
      <c r="Y505" s="465"/>
      <c r="Z505" s="109" t="s">
        <v>1360</v>
      </c>
      <c r="AA505" s="109" t="s">
        <v>1378</v>
      </c>
      <c r="AB505" s="105" t="s">
        <v>0</v>
      </c>
      <c r="AC505" s="105" t="s">
        <v>147</v>
      </c>
      <c r="AD505" s="1524"/>
      <c r="AE505" s="1524"/>
      <c r="AF505" s="1525"/>
      <c r="AI505" s="9"/>
      <c r="AJ505" s="9"/>
      <c r="AK505" s="9"/>
      <c r="AL505" s="9"/>
      <c r="AM505" s="462" t="s">
        <v>143</v>
      </c>
      <c r="AN505" s="105" t="s">
        <v>99</v>
      </c>
      <c r="AO505" s="465"/>
      <c r="AP505" s="109" t="s">
        <v>1341</v>
      </c>
      <c r="AQ505" s="109" t="s">
        <v>1379</v>
      </c>
      <c r="AR505" s="105" t="s">
        <v>0</v>
      </c>
      <c r="AS505" s="105" t="s">
        <v>147</v>
      </c>
      <c r="AT505" s="1524"/>
      <c r="AU505" s="1524"/>
      <c r="AV505" s="1525"/>
      <c r="BV505" s="3">
        <v>1</v>
      </c>
    </row>
    <row r="506" spans="3:74" ht="15.75">
      <c r="C506" s="9"/>
      <c r="D506" s="9"/>
      <c r="E506" s="9"/>
      <c r="G506" s="466">
        <v>1</v>
      </c>
      <c r="H506" s="466">
        <v>1E-3</v>
      </c>
      <c r="I506" s="465"/>
      <c r="J506" s="467">
        <v>0.5</v>
      </c>
      <c r="K506" s="466">
        <v>0.25</v>
      </c>
      <c r="L506" s="468">
        <v>1</v>
      </c>
      <c r="M506" s="466">
        <v>0.01</v>
      </c>
      <c r="N506" s="1532"/>
      <c r="O506" s="1530"/>
      <c r="P506" s="1531"/>
      <c r="W506" s="466">
        <v>1</v>
      </c>
      <c r="X506" s="466">
        <v>1E-3</v>
      </c>
      <c r="Y506" s="465"/>
      <c r="Z506" s="467">
        <v>0.5</v>
      </c>
      <c r="AA506" s="466">
        <v>0.25</v>
      </c>
      <c r="AB506" s="468">
        <v>1</v>
      </c>
      <c r="AC506" s="466">
        <v>0.01</v>
      </c>
      <c r="AD506" s="1532"/>
      <c r="AE506" s="1530"/>
      <c r="AF506" s="1531"/>
      <c r="AI506" s="9"/>
      <c r="AJ506" s="9"/>
      <c r="AK506" s="9"/>
      <c r="AL506" s="9"/>
      <c r="AM506" s="466">
        <v>1</v>
      </c>
      <c r="AN506" s="466">
        <v>1E-3</v>
      </c>
      <c r="AO506" s="465"/>
      <c r="AP506" s="467">
        <v>0.5</v>
      </c>
      <c r="AQ506" s="466">
        <v>0.25</v>
      </c>
      <c r="AR506" s="468">
        <v>1</v>
      </c>
      <c r="AS506" s="466">
        <v>0.01</v>
      </c>
      <c r="AT506" s="1532"/>
      <c r="AU506" s="1530"/>
      <c r="AV506" s="1531"/>
      <c r="BV506" s="3">
        <v>1</v>
      </c>
    </row>
    <row r="507" spans="3:74" ht="15.75">
      <c r="C507" s="9"/>
      <c r="D507" s="9"/>
      <c r="E507" s="9"/>
      <c r="G507" s="934" t="s">
        <v>3328</v>
      </c>
      <c r="H507" s="162"/>
      <c r="I507" s="162"/>
      <c r="J507" s="1527"/>
      <c r="K507" s="1527"/>
      <c r="L507" s="1527"/>
      <c r="M507" s="1527"/>
      <c r="N507" s="1527"/>
      <c r="O507" s="1527"/>
      <c r="P507" s="1528"/>
      <c r="W507" s="934" t="s">
        <v>3327</v>
      </c>
      <c r="X507" s="162"/>
      <c r="Y507" s="162"/>
      <c r="Z507" s="1527"/>
      <c r="AA507" s="1527"/>
      <c r="AB507" s="1527"/>
      <c r="AC507" s="1527"/>
      <c r="AD507" s="1527"/>
      <c r="AE507" s="1527"/>
      <c r="AF507" s="1528"/>
      <c r="AI507" s="9"/>
      <c r="AJ507" s="9"/>
      <c r="AK507" s="9"/>
      <c r="AL507" s="9"/>
      <c r="AM507" s="934" t="s">
        <v>3325</v>
      </c>
      <c r="AN507" s="162"/>
      <c r="AO507" s="162"/>
      <c r="AP507" s="1527"/>
      <c r="AQ507" s="1527"/>
      <c r="AR507" s="1527"/>
      <c r="AS507" s="1527"/>
      <c r="AT507" s="1527"/>
      <c r="AU507" s="1527"/>
      <c r="AV507" s="1528"/>
      <c r="BV507" s="3">
        <v>1</v>
      </c>
    </row>
    <row r="508" spans="3:74">
      <c r="C508" s="9"/>
      <c r="D508" s="9"/>
      <c r="E508" s="9"/>
      <c r="G508" s="1523"/>
      <c r="H508" s="1524"/>
      <c r="I508" s="1524"/>
      <c r="J508" s="1524"/>
      <c r="K508" s="1524"/>
      <c r="L508" s="1524"/>
      <c r="M508" s="1524"/>
      <c r="N508" s="1524"/>
      <c r="O508" s="1524"/>
      <c r="P508" s="1525"/>
      <c r="W508" s="1523"/>
      <c r="X508" s="1524"/>
      <c r="Y508" s="1524"/>
      <c r="Z508" s="1524"/>
      <c r="AA508" s="1524"/>
      <c r="AB508" s="1524"/>
      <c r="AC508" s="1524"/>
      <c r="AD508" s="1524"/>
      <c r="AE508" s="1524"/>
      <c r="AF508" s="1525"/>
      <c r="AI508" s="9"/>
      <c r="AJ508" s="9"/>
      <c r="AK508" s="9"/>
      <c r="AL508" s="9"/>
      <c r="AM508" s="1523"/>
      <c r="AN508" s="1524"/>
      <c r="AO508" s="1524"/>
      <c r="AP508" s="1524"/>
      <c r="AQ508" s="1524"/>
      <c r="AR508" s="1524"/>
      <c r="AS508" s="1524"/>
      <c r="AT508" s="1524"/>
      <c r="AU508" s="1524"/>
      <c r="AV508" s="1525"/>
      <c r="BV508" s="3">
        <v>1</v>
      </c>
    </row>
    <row r="509" spans="3:74">
      <c r="C509" s="9"/>
      <c r="D509" s="9"/>
      <c r="E509" s="9"/>
      <c r="G509" s="1523"/>
      <c r="H509" s="1524"/>
      <c r="I509" s="1524"/>
      <c r="J509" s="1524"/>
      <c r="K509" s="1524"/>
      <c r="L509" s="1524"/>
      <c r="M509" s="1526"/>
      <c r="N509" s="1524"/>
      <c r="O509" s="1524"/>
      <c r="P509" s="1525"/>
      <c r="W509" s="1523"/>
      <c r="X509" s="1524"/>
      <c r="Y509" s="1524"/>
      <c r="Z509" s="1524"/>
      <c r="AA509" s="1524"/>
      <c r="AB509" s="1524"/>
      <c r="AC509" s="1526"/>
      <c r="AD509" s="1524"/>
      <c r="AE509" s="1524"/>
      <c r="AF509" s="1525"/>
      <c r="AI509" s="9"/>
      <c r="AJ509" s="9"/>
      <c r="AK509" s="9"/>
      <c r="AL509" s="9"/>
      <c r="AM509" s="1523"/>
      <c r="AN509" s="1524"/>
      <c r="AO509" s="1524"/>
      <c r="AP509" s="1524"/>
      <c r="AQ509" s="1524"/>
      <c r="AR509" s="1524"/>
      <c r="AS509" s="1526"/>
      <c r="AT509" s="1524"/>
      <c r="AU509" s="1524"/>
      <c r="AV509" s="1525"/>
      <c r="BV509" s="3">
        <v>1</v>
      </c>
    </row>
    <row r="510" spans="3:74">
      <c r="C510" s="9"/>
      <c r="D510" s="9"/>
      <c r="E510" s="9"/>
      <c r="G510" s="1523"/>
      <c r="H510" s="1524"/>
      <c r="I510" s="1524"/>
      <c r="J510" s="1524"/>
      <c r="K510" s="1524"/>
      <c r="L510" s="1524"/>
      <c r="M510" s="1526"/>
      <c r="N510" s="1524"/>
      <c r="O510" s="1524"/>
      <c r="P510" s="1525"/>
      <c r="W510" s="1523"/>
      <c r="X510" s="1524"/>
      <c r="Y510" s="1524"/>
      <c r="Z510" s="1524"/>
      <c r="AA510" s="1524"/>
      <c r="AB510" s="1524"/>
      <c r="AC510" s="1526"/>
      <c r="AD510" s="1524"/>
      <c r="AE510" s="1524"/>
      <c r="AF510" s="1525"/>
      <c r="AI510" s="9"/>
      <c r="AJ510" s="9"/>
      <c r="AK510" s="9"/>
      <c r="AL510" s="9"/>
      <c r="AM510" s="1523"/>
      <c r="AN510" s="1524"/>
      <c r="AO510" s="1524"/>
      <c r="AP510" s="1524"/>
      <c r="AQ510" s="1524"/>
      <c r="AR510" s="1524"/>
      <c r="AS510" s="1526"/>
      <c r="AT510" s="1524"/>
      <c r="AU510" s="1524"/>
      <c r="AV510" s="1525"/>
      <c r="BV510" s="3">
        <v>1</v>
      </c>
    </row>
    <row r="511" spans="3:74">
      <c r="C511" s="9"/>
      <c r="D511" s="9"/>
      <c r="E511" s="9"/>
      <c r="G511" s="367"/>
      <c r="H511" s="368"/>
      <c r="I511" s="368"/>
      <c r="J511" s="368"/>
      <c r="K511" s="368"/>
      <c r="L511" s="368"/>
      <c r="M511" s="369" t="s">
        <v>197</v>
      </c>
      <c r="N511" s="369"/>
      <c r="O511" s="369" t="s">
        <v>197</v>
      </c>
      <c r="P511" s="1518" t="s">
        <v>197</v>
      </c>
      <c r="W511" s="367"/>
      <c r="X511" s="368"/>
      <c r="Y511" s="368"/>
      <c r="Z511" s="368"/>
      <c r="AA511" s="368"/>
      <c r="AB511" s="368"/>
      <c r="AC511" s="369"/>
      <c r="AD511" s="369"/>
      <c r="AE511" s="369" t="s">
        <v>197</v>
      </c>
      <c r="AF511" s="1518" t="s">
        <v>899</v>
      </c>
      <c r="AI511" s="9"/>
      <c r="AJ511" s="9"/>
      <c r="AK511" s="9"/>
      <c r="AL511" s="9"/>
      <c r="AM511" s="367"/>
      <c r="AN511" s="368"/>
      <c r="AO511" s="368"/>
      <c r="AP511" s="368"/>
      <c r="AQ511" s="368"/>
      <c r="AR511" s="368"/>
      <c r="AS511" s="369"/>
      <c r="AT511" s="369"/>
      <c r="AU511" s="369"/>
      <c r="AV511" s="1518" t="s">
        <v>1419</v>
      </c>
      <c r="BV511" s="3">
        <v>1</v>
      </c>
    </row>
    <row r="512" spans="3:74">
      <c r="C512" s="9"/>
      <c r="D512" s="9"/>
      <c r="E512" s="9"/>
      <c r="G512" s="9"/>
      <c r="H512" s="9"/>
      <c r="I512" s="9"/>
      <c r="J512" s="9"/>
      <c r="K512" s="9"/>
      <c r="L512" s="9"/>
      <c r="M512" s="9"/>
      <c r="N512" s="9"/>
      <c r="O512" s="9"/>
      <c r="P512" s="9"/>
      <c r="W512" s="9"/>
      <c r="X512" s="9"/>
      <c r="Y512" s="9"/>
      <c r="Z512" s="9"/>
      <c r="AA512" s="9"/>
      <c r="AB512" s="9"/>
      <c r="AC512" s="9"/>
      <c r="AD512" s="9"/>
      <c r="AE512" s="9"/>
      <c r="AF512" s="9"/>
      <c r="AI512" s="9"/>
      <c r="AJ512" s="9"/>
      <c r="AK512" s="9"/>
      <c r="AL512" s="9"/>
      <c r="AM512" s="9"/>
      <c r="AN512" s="9"/>
      <c r="AO512" s="9"/>
      <c r="AP512" s="9"/>
      <c r="AQ512" s="9"/>
      <c r="AR512" s="9"/>
      <c r="AS512" s="9"/>
      <c r="AT512" s="9"/>
      <c r="AU512" s="9"/>
      <c r="AV512" s="9"/>
      <c r="BV512" s="3">
        <v>1</v>
      </c>
    </row>
    <row r="513" spans="3:74" ht="15.75">
      <c r="C513" s="9"/>
      <c r="D513" s="9"/>
      <c r="E513" s="9"/>
      <c r="G513" s="232" t="s">
        <v>167</v>
      </c>
      <c r="H513" s="233"/>
      <c r="I513" s="233"/>
      <c r="J513" s="233"/>
      <c r="K513" s="233"/>
      <c r="L513" s="234"/>
      <c r="M513" s="234"/>
      <c r="N513" s="234"/>
      <c r="O513" s="234"/>
      <c r="P513" s="651" t="s">
        <v>220</v>
      </c>
      <c r="W513" s="232" t="s">
        <v>752</v>
      </c>
      <c r="X513" s="233"/>
      <c r="Y513" s="233"/>
      <c r="Z513" s="233"/>
      <c r="AA513" s="233"/>
      <c r="AB513" s="234"/>
      <c r="AC513" s="234"/>
      <c r="AD513" s="234"/>
      <c r="AE513" s="234"/>
      <c r="AF513" s="651" t="s">
        <v>1467</v>
      </c>
      <c r="AI513" s="9"/>
      <c r="AJ513" s="9"/>
      <c r="AK513" s="9"/>
      <c r="AL513" s="9"/>
      <c r="AM513" s="232" t="s">
        <v>754</v>
      </c>
      <c r="AN513" s="233"/>
      <c r="AO513" s="233"/>
      <c r="AP513" s="233"/>
      <c r="AQ513" s="233"/>
      <c r="AR513" s="234"/>
      <c r="AS513" s="234"/>
      <c r="AT513" s="234"/>
      <c r="AU513" s="234"/>
      <c r="AV513" s="651" t="s">
        <v>755</v>
      </c>
      <c r="BV513" s="3">
        <v>1</v>
      </c>
    </row>
    <row r="514" spans="3:74" ht="15.75">
      <c r="C514" s="9"/>
      <c r="D514" s="9"/>
      <c r="E514" s="9"/>
      <c r="G514" s="481" t="s">
        <v>529</v>
      </c>
      <c r="H514" s="482" t="s">
        <v>423</v>
      </c>
      <c r="I514" s="482"/>
      <c r="J514" s="483" t="s">
        <v>530</v>
      </c>
      <c r="K514" s="483" t="s">
        <v>531</v>
      </c>
      <c r="L514" s="478"/>
      <c r="M514" s="483" t="s">
        <v>532</v>
      </c>
      <c r="N514" s="505"/>
      <c r="O514" s="505"/>
      <c r="P514" s="1521"/>
      <c r="W514" s="481" t="s">
        <v>1518</v>
      </c>
      <c r="X514" s="482" t="s">
        <v>1469</v>
      </c>
      <c r="Y514" s="482"/>
      <c r="Z514" s="483" t="s">
        <v>530</v>
      </c>
      <c r="AA514" s="483" t="s">
        <v>531</v>
      </c>
      <c r="AB514" s="478"/>
      <c r="AC514" s="483" t="s">
        <v>1519</v>
      </c>
      <c r="AD514" s="505"/>
      <c r="AE514" s="505"/>
      <c r="AF514" s="1521"/>
      <c r="AI514" s="9"/>
      <c r="AJ514" s="9"/>
      <c r="AK514" s="9"/>
      <c r="AL514" s="9"/>
      <c r="AM514" s="481" t="s">
        <v>1520</v>
      </c>
      <c r="AN514" s="482" t="s">
        <v>1474</v>
      </c>
      <c r="AO514" s="482"/>
      <c r="AP514" s="483" t="s">
        <v>530</v>
      </c>
      <c r="AQ514" s="483" t="s">
        <v>1521</v>
      </c>
      <c r="AR514" s="478"/>
      <c r="AS514" s="483" t="s">
        <v>532</v>
      </c>
      <c r="AT514" s="505"/>
      <c r="AU514" s="505"/>
      <c r="AV514" s="1521"/>
      <c r="BV514" s="3">
        <v>1</v>
      </c>
    </row>
    <row r="515" spans="3:74" ht="15.75">
      <c r="C515" s="9"/>
      <c r="D515" s="9"/>
      <c r="E515" s="9"/>
      <c r="G515" s="931" t="s">
        <v>536</v>
      </c>
      <c r="H515" s="484">
        <v>4.1666666666666699E-2</v>
      </c>
      <c r="I515" s="485"/>
      <c r="J515" s="485">
        <v>220</v>
      </c>
      <c r="K515" s="486" t="s">
        <v>537</v>
      </c>
      <c r="L515" s="478"/>
      <c r="M515" s="487"/>
      <c r="N515" s="1524"/>
      <c r="O515" s="1524"/>
      <c r="P515" s="1525"/>
      <c r="W515" s="931" t="s">
        <v>1522</v>
      </c>
      <c r="X515" s="484">
        <v>4.1666666666666699E-2</v>
      </c>
      <c r="Y515" s="485"/>
      <c r="Z515" s="485">
        <v>220</v>
      </c>
      <c r="AA515" s="486" t="s">
        <v>1523</v>
      </c>
      <c r="AB515" s="478"/>
      <c r="AC515" s="487"/>
      <c r="AD515" s="1524"/>
      <c r="AE515" s="1524"/>
      <c r="AF515" s="1525"/>
      <c r="AI515" s="9"/>
      <c r="AJ515" s="9"/>
      <c r="AK515" s="9"/>
      <c r="AL515" s="9"/>
      <c r="AM515" s="931" t="s">
        <v>1524</v>
      </c>
      <c r="AN515" s="484">
        <v>4.1666666666666699E-2</v>
      </c>
      <c r="AO515" s="485"/>
      <c r="AP515" s="485">
        <v>220</v>
      </c>
      <c r="AQ515" s="486" t="s">
        <v>1525</v>
      </c>
      <c r="AR515" s="478"/>
      <c r="AS515" s="487"/>
      <c r="AT515" s="1524"/>
      <c r="AU515" s="1524"/>
      <c r="AV515" s="1525"/>
      <c r="BV515" s="3">
        <v>1</v>
      </c>
    </row>
    <row r="516" spans="3:74" ht="15.75">
      <c r="C516" s="9"/>
      <c r="D516" s="9"/>
      <c r="E516" s="9"/>
      <c r="G516" s="481" t="s">
        <v>529</v>
      </c>
      <c r="H516" s="488"/>
      <c r="I516" s="488"/>
      <c r="J516" s="488" t="s">
        <v>538</v>
      </c>
      <c r="K516" s="489" t="s">
        <v>539</v>
      </c>
      <c r="L516" s="489"/>
      <c r="M516" s="487"/>
      <c r="N516" s="1524"/>
      <c r="O516" s="1524"/>
      <c r="P516" s="1525"/>
      <c r="W516" s="481" t="s">
        <v>1518</v>
      </c>
      <c r="X516" s="488"/>
      <c r="Y516" s="488"/>
      <c r="Z516" s="488" t="s">
        <v>1526</v>
      </c>
      <c r="AA516" s="489" t="s">
        <v>1527</v>
      </c>
      <c r="AB516" s="489"/>
      <c r="AC516" s="487"/>
      <c r="AD516" s="1524"/>
      <c r="AE516" s="1524"/>
      <c r="AF516" s="1525"/>
      <c r="AI516" s="9"/>
      <c r="AJ516" s="9"/>
      <c r="AK516" s="9"/>
      <c r="AL516" s="9"/>
      <c r="AM516" s="481" t="s">
        <v>1520</v>
      </c>
      <c r="AN516" s="488"/>
      <c r="AO516" s="488"/>
      <c r="AP516" s="488" t="s">
        <v>1528</v>
      </c>
      <c r="AQ516" s="489" t="s">
        <v>1529</v>
      </c>
      <c r="AR516" s="489"/>
      <c r="AS516" s="487"/>
      <c r="AT516" s="1524"/>
      <c r="AU516" s="1524"/>
      <c r="AV516" s="1525"/>
      <c r="BV516" s="3">
        <v>1</v>
      </c>
    </row>
    <row r="517" spans="3:74" ht="15.75">
      <c r="C517" s="9"/>
      <c r="D517" s="9"/>
      <c r="E517" s="9"/>
      <c r="G517" s="490" t="s">
        <v>546</v>
      </c>
      <c r="H517" s="491"/>
      <c r="I517" s="492"/>
      <c r="J517" s="492">
        <v>250</v>
      </c>
      <c r="K517" s="493" t="s">
        <v>547</v>
      </c>
      <c r="L517" s="493"/>
      <c r="M517" s="487"/>
      <c r="N517" s="1524"/>
      <c r="O517" s="1524"/>
      <c r="P517" s="1525"/>
      <c r="W517" s="490" t="s">
        <v>1530</v>
      </c>
      <c r="X517" s="491"/>
      <c r="Y517" s="492"/>
      <c r="Z517" s="492">
        <v>250</v>
      </c>
      <c r="AA517" s="493" t="s">
        <v>1531</v>
      </c>
      <c r="AB517" s="493"/>
      <c r="AC517" s="487"/>
      <c r="AD517" s="1524"/>
      <c r="AE517" s="1524"/>
      <c r="AF517" s="1525"/>
      <c r="AI517" s="9"/>
      <c r="AJ517" s="9"/>
      <c r="AK517" s="9"/>
      <c r="AL517" s="9"/>
      <c r="AM517" s="490" t="s">
        <v>1532</v>
      </c>
      <c r="AN517" s="491"/>
      <c r="AO517" s="492"/>
      <c r="AP517" s="492">
        <v>250</v>
      </c>
      <c r="AQ517" s="493" t="s">
        <v>1533</v>
      </c>
      <c r="AR517" s="493"/>
      <c r="AS517" s="487"/>
      <c r="AT517" s="1524"/>
      <c r="AU517" s="1524"/>
      <c r="AV517" s="1525"/>
      <c r="BV517" s="3">
        <v>1</v>
      </c>
    </row>
    <row r="518" spans="3:74" ht="15.75">
      <c r="C518" s="9"/>
      <c r="D518" s="9"/>
      <c r="E518" s="9"/>
      <c r="G518" s="481" t="s">
        <v>529</v>
      </c>
      <c r="H518" s="488"/>
      <c r="I518" s="488"/>
      <c r="J518" s="488" t="s">
        <v>538</v>
      </c>
      <c r="K518" s="489" t="s">
        <v>539</v>
      </c>
      <c r="L518" s="489"/>
      <c r="M518" s="487"/>
      <c r="N518" s="1524"/>
      <c r="O518" s="1524"/>
      <c r="P518" s="1525"/>
      <c r="W518" s="481" t="s">
        <v>1518</v>
      </c>
      <c r="X518" s="488"/>
      <c r="Y518" s="488"/>
      <c r="Z518" s="488" t="s">
        <v>1526</v>
      </c>
      <c r="AA518" s="489" t="s">
        <v>1527</v>
      </c>
      <c r="AB518" s="489"/>
      <c r="AC518" s="487"/>
      <c r="AD518" s="1524"/>
      <c r="AE518" s="1524"/>
      <c r="AF518" s="1525"/>
      <c r="AI518" s="9"/>
      <c r="AJ518" s="9"/>
      <c r="AK518" s="9"/>
      <c r="AL518" s="9"/>
      <c r="AM518" s="481" t="s">
        <v>1520</v>
      </c>
      <c r="AN518" s="488"/>
      <c r="AO518" s="488"/>
      <c r="AP518" s="488" t="s">
        <v>1528</v>
      </c>
      <c r="AQ518" s="489" t="s">
        <v>1529</v>
      </c>
      <c r="AR518" s="489"/>
      <c r="AS518" s="487"/>
      <c r="AT518" s="1524"/>
      <c r="AU518" s="1524"/>
      <c r="AV518" s="1525"/>
      <c r="BV518" s="3">
        <v>1</v>
      </c>
    </row>
    <row r="519" spans="3:74" ht="15.75">
      <c r="C519" s="9"/>
      <c r="D519" s="9"/>
      <c r="E519" s="9"/>
      <c r="G519" s="490" t="s">
        <v>546</v>
      </c>
      <c r="H519" s="491">
        <v>4.8611111111111112E-3</v>
      </c>
      <c r="I519" s="492"/>
      <c r="J519" s="492">
        <v>250</v>
      </c>
      <c r="K519" s="493" t="s">
        <v>553</v>
      </c>
      <c r="L519" s="493"/>
      <c r="M519" s="487"/>
      <c r="N519" s="1524"/>
      <c r="O519" s="1524"/>
      <c r="P519" s="1525"/>
      <c r="W519" s="490" t="s">
        <v>1530</v>
      </c>
      <c r="X519" s="491">
        <v>4.8611111111111112E-3</v>
      </c>
      <c r="Y519" s="492"/>
      <c r="Z519" s="492">
        <v>250</v>
      </c>
      <c r="AA519" s="493" t="s">
        <v>1534</v>
      </c>
      <c r="AB519" s="493"/>
      <c r="AC519" s="487"/>
      <c r="AD519" s="1524"/>
      <c r="AE519" s="1524"/>
      <c r="AF519" s="1525"/>
      <c r="AI519" s="9"/>
      <c r="AJ519" s="9"/>
      <c r="AK519" s="9"/>
      <c r="AL519" s="9"/>
      <c r="AM519" s="490" t="s">
        <v>1532</v>
      </c>
      <c r="AN519" s="491">
        <v>4.8611111111111112E-3</v>
      </c>
      <c r="AO519" s="492"/>
      <c r="AP519" s="492">
        <v>250</v>
      </c>
      <c r="AQ519" s="493" t="s">
        <v>1535</v>
      </c>
      <c r="AR519" s="493"/>
      <c r="AS519" s="487"/>
      <c r="AT519" s="1524"/>
      <c r="AU519" s="1524"/>
      <c r="AV519" s="1525"/>
      <c r="BV519" s="3">
        <v>1</v>
      </c>
    </row>
    <row r="520" spans="3:74" ht="15.75">
      <c r="C520" s="9"/>
      <c r="D520" s="9"/>
      <c r="E520" s="9"/>
      <c r="G520" s="481" t="s">
        <v>529</v>
      </c>
      <c r="H520" s="488"/>
      <c r="I520" s="488"/>
      <c r="J520" s="488" t="s">
        <v>538</v>
      </c>
      <c r="K520" s="489" t="s">
        <v>539</v>
      </c>
      <c r="L520" s="489"/>
      <c r="M520" s="487"/>
      <c r="N520" s="1524"/>
      <c r="O520" s="1524"/>
      <c r="P520" s="1525"/>
      <c r="W520" s="481" t="s">
        <v>1518</v>
      </c>
      <c r="X520" s="488"/>
      <c r="Y520" s="488"/>
      <c r="Z520" s="488" t="s">
        <v>1526</v>
      </c>
      <c r="AA520" s="489" t="s">
        <v>1527</v>
      </c>
      <c r="AB520" s="489"/>
      <c r="AC520" s="487"/>
      <c r="AD520" s="1524"/>
      <c r="AE520" s="1524"/>
      <c r="AF520" s="1525"/>
      <c r="AI520" s="9"/>
      <c r="AJ520" s="9"/>
      <c r="AK520" s="9"/>
      <c r="AL520" s="9"/>
      <c r="AM520" s="481" t="s">
        <v>1520</v>
      </c>
      <c r="AN520" s="488"/>
      <c r="AO520" s="488"/>
      <c r="AP520" s="488" t="s">
        <v>1528</v>
      </c>
      <c r="AQ520" s="489" t="s">
        <v>1529</v>
      </c>
      <c r="AR520" s="489"/>
      <c r="AS520" s="487"/>
      <c r="AT520" s="1524"/>
      <c r="AU520" s="1524"/>
      <c r="AV520" s="1525"/>
      <c r="BV520" s="3">
        <v>1</v>
      </c>
    </row>
    <row r="521" spans="3:74" ht="15.75">
      <c r="C521" s="9"/>
      <c r="D521" s="9"/>
      <c r="E521" s="9"/>
      <c r="G521" s="490" t="s">
        <v>546</v>
      </c>
      <c r="H521" s="491">
        <v>0.10416666666666667</v>
      </c>
      <c r="I521" s="492"/>
      <c r="J521" s="492">
        <v>170</v>
      </c>
      <c r="K521" s="493" t="s">
        <v>554</v>
      </c>
      <c r="L521" s="493"/>
      <c r="M521" s="487"/>
      <c r="N521" s="1524"/>
      <c r="O521" s="1524"/>
      <c r="P521" s="1525"/>
      <c r="W521" s="490" t="s">
        <v>1530</v>
      </c>
      <c r="X521" s="491">
        <v>0.10416666666666667</v>
      </c>
      <c r="Y521" s="492"/>
      <c r="Z521" s="492">
        <v>170</v>
      </c>
      <c r="AA521" s="493" t="s">
        <v>1536</v>
      </c>
      <c r="AB521" s="493"/>
      <c r="AC521" s="487"/>
      <c r="AD521" s="1524"/>
      <c r="AE521" s="1524"/>
      <c r="AF521" s="1525"/>
      <c r="AI521" s="9"/>
      <c r="AJ521" s="9"/>
      <c r="AK521" s="9"/>
      <c r="AL521" s="9"/>
      <c r="AM521" s="490" t="s">
        <v>1532</v>
      </c>
      <c r="AN521" s="491">
        <v>0.10416666666666667</v>
      </c>
      <c r="AO521" s="492"/>
      <c r="AP521" s="492">
        <v>170</v>
      </c>
      <c r="AQ521" s="493" t="s">
        <v>1537</v>
      </c>
      <c r="AR521" s="493"/>
      <c r="AS521" s="487"/>
      <c r="AT521" s="1524"/>
      <c r="AU521" s="1524"/>
      <c r="AV521" s="1525"/>
      <c r="BV521" s="3">
        <v>1</v>
      </c>
    </row>
    <row r="522" spans="3:74" ht="15.75">
      <c r="C522" s="9"/>
      <c r="D522" s="9"/>
      <c r="E522" s="9"/>
      <c r="G522" s="481" t="s">
        <v>529</v>
      </c>
      <c r="H522" s="488"/>
      <c r="I522" s="488"/>
      <c r="J522" s="488" t="s">
        <v>538</v>
      </c>
      <c r="K522" s="489" t="s">
        <v>558</v>
      </c>
      <c r="L522" s="489"/>
      <c r="M522" s="487"/>
      <c r="N522" s="1524"/>
      <c r="O522" s="1524"/>
      <c r="P522" s="1525"/>
      <c r="W522" s="481" t="s">
        <v>1518</v>
      </c>
      <c r="X522" s="488"/>
      <c r="Y522" s="488"/>
      <c r="Z522" s="488" t="s">
        <v>1526</v>
      </c>
      <c r="AA522" s="489" t="s">
        <v>1538</v>
      </c>
      <c r="AB522" s="489"/>
      <c r="AC522" s="487"/>
      <c r="AD522" s="1524"/>
      <c r="AE522" s="1524"/>
      <c r="AF522" s="1525"/>
      <c r="AI522" s="9"/>
      <c r="AJ522" s="9"/>
      <c r="AK522" s="9"/>
      <c r="AL522" s="9"/>
      <c r="AM522" s="481" t="s">
        <v>1520</v>
      </c>
      <c r="AN522" s="488"/>
      <c r="AO522" s="488"/>
      <c r="AP522" s="488" t="s">
        <v>1528</v>
      </c>
      <c r="AQ522" s="489" t="s">
        <v>1539</v>
      </c>
      <c r="AR522" s="489"/>
      <c r="AS522" s="487"/>
      <c r="AT522" s="1524"/>
      <c r="AU522" s="1524"/>
      <c r="AV522" s="1525"/>
      <c r="BV522" s="3">
        <v>1</v>
      </c>
    </row>
    <row r="523" spans="3:74" ht="15.75">
      <c r="C523" s="9"/>
      <c r="D523" s="9"/>
      <c r="E523" s="9"/>
      <c r="G523" s="490" t="s">
        <v>546</v>
      </c>
      <c r="H523" s="491">
        <v>4.8611111111111112E-3</v>
      </c>
      <c r="I523" s="492"/>
      <c r="J523" s="492">
        <v>100</v>
      </c>
      <c r="K523" s="493"/>
      <c r="L523" s="493"/>
      <c r="M523" s="487"/>
      <c r="N523" s="1524"/>
      <c r="O523" s="1524"/>
      <c r="P523" s="1525"/>
      <c r="W523" s="490" t="s">
        <v>1530</v>
      </c>
      <c r="X523" s="491">
        <v>4.8611111111111112E-3</v>
      </c>
      <c r="Y523" s="492"/>
      <c r="Z523" s="492">
        <v>100</v>
      </c>
      <c r="AA523" s="493"/>
      <c r="AB523" s="493"/>
      <c r="AC523" s="487"/>
      <c r="AD523" s="1524"/>
      <c r="AE523" s="1524"/>
      <c r="AF523" s="1525"/>
      <c r="AI523" s="9"/>
      <c r="AJ523" s="9"/>
      <c r="AK523" s="9"/>
      <c r="AL523" s="9"/>
      <c r="AM523" s="490" t="s">
        <v>1532</v>
      </c>
      <c r="AN523" s="491">
        <v>4.8611111111111112E-3</v>
      </c>
      <c r="AO523" s="492"/>
      <c r="AP523" s="492">
        <v>100</v>
      </c>
      <c r="AQ523" s="493"/>
      <c r="AR523" s="493"/>
      <c r="AS523" s="487"/>
      <c r="AT523" s="1524"/>
      <c r="AU523" s="1524"/>
      <c r="AV523" s="1525"/>
      <c r="BV523" s="3">
        <v>1</v>
      </c>
    </row>
    <row r="524" spans="3:74" ht="15.75">
      <c r="C524" s="9"/>
      <c r="D524" s="9"/>
      <c r="E524" s="9"/>
      <c r="G524" s="481" t="s">
        <v>529</v>
      </c>
      <c r="H524" s="488"/>
      <c r="I524" s="488"/>
      <c r="J524" s="488" t="s">
        <v>538</v>
      </c>
      <c r="K524" s="489" t="s">
        <v>564</v>
      </c>
      <c r="L524" s="489"/>
      <c r="M524" s="487"/>
      <c r="N524" s="1524"/>
      <c r="O524" s="1524"/>
      <c r="P524" s="1525"/>
      <c r="W524" s="481" t="s">
        <v>1518</v>
      </c>
      <c r="X524" s="488"/>
      <c r="Y524" s="488"/>
      <c r="Z524" s="488" t="s">
        <v>1526</v>
      </c>
      <c r="AA524" s="489" t="s">
        <v>1540</v>
      </c>
      <c r="AB524" s="489"/>
      <c r="AC524" s="487"/>
      <c r="AD524" s="1524"/>
      <c r="AE524" s="1524"/>
      <c r="AF524" s="1525"/>
      <c r="AI524" s="9"/>
      <c r="AJ524" s="9"/>
      <c r="AK524" s="9"/>
      <c r="AL524" s="9"/>
      <c r="AM524" s="481" t="s">
        <v>1520</v>
      </c>
      <c r="AN524" s="488"/>
      <c r="AO524" s="488"/>
      <c r="AP524" s="488" t="s">
        <v>1528</v>
      </c>
      <c r="AQ524" s="489" t="s">
        <v>1541</v>
      </c>
      <c r="AR524" s="489"/>
      <c r="AS524" s="487"/>
      <c r="AT524" s="1524"/>
      <c r="AU524" s="1524"/>
      <c r="AV524" s="1525"/>
      <c r="BV524" s="3">
        <v>1</v>
      </c>
    </row>
    <row r="525" spans="3:74" ht="15.75">
      <c r="C525" s="9"/>
      <c r="D525" s="9"/>
      <c r="E525" s="9"/>
      <c r="G525" s="490" t="s">
        <v>546</v>
      </c>
      <c r="H525" s="484">
        <v>4.8611111111111112E-3</v>
      </c>
      <c r="I525" s="485"/>
      <c r="J525" s="485">
        <v>110</v>
      </c>
      <c r="K525" s="486"/>
      <c r="L525" s="486"/>
      <c r="M525" s="487"/>
      <c r="N525" s="1524"/>
      <c r="O525" s="1524"/>
      <c r="P525" s="1525"/>
      <c r="W525" s="490" t="s">
        <v>1530</v>
      </c>
      <c r="X525" s="484">
        <v>4.8611111111111112E-3</v>
      </c>
      <c r="Y525" s="485"/>
      <c r="Z525" s="485">
        <v>110</v>
      </c>
      <c r="AA525" s="486"/>
      <c r="AB525" s="486"/>
      <c r="AC525" s="487"/>
      <c r="AD525" s="1524"/>
      <c r="AE525" s="1524"/>
      <c r="AF525" s="1525"/>
      <c r="AI525" s="9"/>
      <c r="AJ525" s="9"/>
      <c r="AK525" s="9"/>
      <c r="AL525" s="9"/>
      <c r="AM525" s="490" t="s">
        <v>1532</v>
      </c>
      <c r="AN525" s="484">
        <v>4.8611111111111112E-3</v>
      </c>
      <c r="AO525" s="485"/>
      <c r="AP525" s="485">
        <v>110</v>
      </c>
      <c r="AQ525" s="486"/>
      <c r="AR525" s="486"/>
      <c r="AS525" s="487"/>
      <c r="AT525" s="1524"/>
      <c r="AU525" s="1524"/>
      <c r="AV525" s="1525"/>
      <c r="BV525" s="3">
        <v>1</v>
      </c>
    </row>
    <row r="526" spans="3:74" ht="15.75">
      <c r="C526" s="9"/>
      <c r="D526" s="9"/>
      <c r="E526" s="9"/>
      <c r="G526" s="496" t="s">
        <v>198</v>
      </c>
      <c r="H526" s="497"/>
      <c r="I526" s="497"/>
      <c r="J526" s="497"/>
      <c r="K526" s="497"/>
      <c r="L526" s="497"/>
      <c r="M526" s="497"/>
      <c r="N526" s="1527"/>
      <c r="O526" s="1527"/>
      <c r="P526" s="1528"/>
      <c r="W526" s="496" t="s">
        <v>900</v>
      </c>
      <c r="X526" s="497"/>
      <c r="Y526" s="497"/>
      <c r="Z526" s="497"/>
      <c r="AA526" s="497"/>
      <c r="AB526" s="497"/>
      <c r="AC526" s="497"/>
      <c r="AD526" s="1527"/>
      <c r="AE526" s="1527"/>
      <c r="AF526" s="1528"/>
      <c r="AI526" s="9"/>
      <c r="AJ526" s="9"/>
      <c r="AK526" s="9"/>
      <c r="AL526" s="9"/>
      <c r="AM526" s="496" t="s">
        <v>1429</v>
      </c>
      <c r="AN526" s="497"/>
      <c r="AO526" s="497"/>
      <c r="AP526" s="497"/>
      <c r="AQ526" s="497"/>
      <c r="AR526" s="497"/>
      <c r="AS526" s="497"/>
      <c r="AT526" s="1527"/>
      <c r="AU526" s="1527"/>
      <c r="AV526" s="1528"/>
      <c r="BV526" s="3">
        <v>1</v>
      </c>
    </row>
    <row r="527" spans="3:74" ht="15.75">
      <c r="C527" s="9"/>
      <c r="D527" s="9"/>
      <c r="E527" s="9"/>
      <c r="G527" s="307" t="s">
        <v>200</v>
      </c>
      <c r="H527" s="201"/>
      <c r="I527" s="201"/>
      <c r="J527" s="201"/>
      <c r="K527" s="201"/>
      <c r="L527" s="201"/>
      <c r="M527" s="449"/>
      <c r="N527" s="449"/>
      <c r="O527" s="449"/>
      <c r="P527" s="1518"/>
      <c r="W527" s="307" t="s">
        <v>1430</v>
      </c>
      <c r="X527" s="201"/>
      <c r="Y527" s="201"/>
      <c r="Z527" s="201"/>
      <c r="AA527" s="201"/>
      <c r="AB527" s="201"/>
      <c r="AC527" s="449"/>
      <c r="AD527" s="449"/>
      <c r="AE527" s="449"/>
      <c r="AF527" s="1518"/>
      <c r="AI527" s="9"/>
      <c r="AJ527" s="9"/>
      <c r="AK527" s="9"/>
      <c r="AL527" s="9"/>
      <c r="AM527" s="307" t="s">
        <v>1431</v>
      </c>
      <c r="AN527" s="201"/>
      <c r="AO527" s="201"/>
      <c r="AP527" s="201"/>
      <c r="AQ527" s="201"/>
      <c r="AR527" s="201"/>
      <c r="AS527" s="449"/>
      <c r="AT527" s="449"/>
      <c r="AU527" s="449"/>
      <c r="AV527" s="1518" t="s">
        <v>1419</v>
      </c>
      <c r="BV527" s="3">
        <v>1</v>
      </c>
    </row>
    <row r="528" spans="3:74">
      <c r="C528" s="9"/>
      <c r="D528" s="9"/>
      <c r="E528" s="9"/>
      <c r="G528" s="9"/>
      <c r="H528" s="9"/>
      <c r="I528" s="9"/>
      <c r="J528" s="9"/>
      <c r="K528" s="9"/>
      <c r="L528" s="9"/>
      <c r="M528" s="9"/>
      <c r="N528" s="9"/>
      <c r="O528" s="9"/>
      <c r="P528" s="9"/>
      <c r="W528" s="9"/>
      <c r="X528" s="9"/>
      <c r="Y528" s="9"/>
      <c r="Z528" s="9"/>
      <c r="AA528" s="9"/>
      <c r="AB528" s="9"/>
      <c r="AC528" s="9"/>
      <c r="AD528" s="9"/>
      <c r="AE528" s="9"/>
      <c r="AF528" s="9"/>
      <c r="AI528" s="9"/>
      <c r="AJ528" s="9"/>
      <c r="AK528" s="9"/>
      <c r="AL528" s="9"/>
      <c r="AM528" s="9"/>
      <c r="AN528" s="9"/>
      <c r="AO528" s="9"/>
      <c r="AP528" s="9"/>
      <c r="AQ528" s="9"/>
      <c r="AR528" s="9"/>
      <c r="AS528" s="9"/>
      <c r="AT528" s="9"/>
      <c r="AU528" s="9"/>
      <c r="AV528" s="9"/>
      <c r="BV528" s="3">
        <v>1</v>
      </c>
    </row>
    <row r="529" spans="3:74" ht="15.75">
      <c r="C529" s="9"/>
      <c r="D529" s="9"/>
      <c r="E529" s="9"/>
      <c r="G529" s="232" t="s">
        <v>167</v>
      </c>
      <c r="H529" s="233"/>
      <c r="I529" s="233"/>
      <c r="J529" s="233"/>
      <c r="K529" s="233"/>
      <c r="L529" s="234"/>
      <c r="M529" s="234"/>
      <c r="N529" s="234"/>
      <c r="O529" s="234"/>
      <c r="P529" s="651" t="s">
        <v>220</v>
      </c>
      <c r="W529" s="232" t="s">
        <v>752</v>
      </c>
      <c r="X529" s="233"/>
      <c r="Y529" s="233"/>
      <c r="Z529" s="233"/>
      <c r="AA529" s="233"/>
      <c r="AB529" s="234"/>
      <c r="AC529" s="234"/>
      <c r="AD529" s="234"/>
      <c r="AE529" s="234"/>
      <c r="AF529" s="651" t="s">
        <v>1467</v>
      </c>
      <c r="AI529" s="9"/>
      <c r="AJ529" s="9"/>
      <c r="AK529" s="9"/>
      <c r="AL529" s="9"/>
      <c r="AM529" s="232" t="s">
        <v>754</v>
      </c>
      <c r="AN529" s="233"/>
      <c r="AO529" s="233"/>
      <c r="AP529" s="233"/>
      <c r="AQ529" s="233"/>
      <c r="AR529" s="234"/>
      <c r="AS529" s="234"/>
      <c r="AT529" s="234"/>
      <c r="AU529" s="234"/>
      <c r="AV529" s="651" t="s">
        <v>755</v>
      </c>
      <c r="BV529" s="3">
        <v>1</v>
      </c>
    </row>
    <row r="530" spans="3:74" ht="15.75">
      <c r="C530" s="9"/>
      <c r="D530" s="9"/>
      <c r="E530" s="9"/>
      <c r="G530" s="348" t="s">
        <v>353</v>
      </c>
      <c r="H530" s="502">
        <v>1.7361111111111112E-2</v>
      </c>
      <c r="I530" s="503"/>
      <c r="J530" s="503">
        <v>3</v>
      </c>
      <c r="K530" s="504" t="s">
        <v>578</v>
      </c>
      <c r="L530" s="505"/>
      <c r="M530" s="505"/>
      <c r="N530" s="505"/>
      <c r="O530" s="505"/>
      <c r="P530" s="1521"/>
      <c r="W530" s="348" t="s">
        <v>353</v>
      </c>
      <c r="X530" s="502">
        <v>1.7361111111111112E-2</v>
      </c>
      <c r="Y530" s="503"/>
      <c r="Z530" s="503">
        <v>3</v>
      </c>
      <c r="AA530" s="504" t="s">
        <v>1542</v>
      </c>
      <c r="AB530" s="505"/>
      <c r="AC530" s="505"/>
      <c r="AD530" s="505"/>
      <c r="AE530" s="505"/>
      <c r="AF530" s="1521"/>
      <c r="AI530" s="9"/>
      <c r="AJ530" s="9"/>
      <c r="AK530" s="9"/>
      <c r="AL530" s="9"/>
      <c r="AM530" s="348" t="s">
        <v>353</v>
      </c>
      <c r="AN530" s="502">
        <v>1.7361111111111112E-2</v>
      </c>
      <c r="AO530" s="503"/>
      <c r="AP530" s="503">
        <v>3</v>
      </c>
      <c r="AQ530" s="504" t="s">
        <v>1543</v>
      </c>
      <c r="AR530" s="505"/>
      <c r="AS530" s="505"/>
      <c r="AT530" s="505"/>
      <c r="AU530" s="505"/>
      <c r="AV530" s="1521"/>
      <c r="BV530" s="3">
        <v>1</v>
      </c>
    </row>
    <row r="531" spans="3:74" ht="15.75">
      <c r="C531" s="9"/>
      <c r="D531" s="9"/>
      <c r="E531" s="9"/>
      <c r="G531" s="348" t="s">
        <v>353</v>
      </c>
      <c r="H531" s="502">
        <v>1.7361111111111112E-2</v>
      </c>
      <c r="I531" s="503"/>
      <c r="J531" s="503">
        <v>3</v>
      </c>
      <c r="K531" s="507" t="s">
        <v>579</v>
      </c>
      <c r="L531" s="507"/>
      <c r="M531" s="507"/>
      <c r="N531" s="1524"/>
      <c r="O531" s="1524"/>
      <c r="P531" s="1525"/>
      <c r="W531" s="348" t="s">
        <v>353</v>
      </c>
      <c r="X531" s="502">
        <v>1.7361111111111112E-2</v>
      </c>
      <c r="Y531" s="503"/>
      <c r="Z531" s="503">
        <v>3</v>
      </c>
      <c r="AA531" s="507" t="s">
        <v>1544</v>
      </c>
      <c r="AB531" s="507"/>
      <c r="AC531" s="507"/>
      <c r="AD531" s="1524"/>
      <c r="AE531" s="1524"/>
      <c r="AF531" s="1525"/>
      <c r="AI531" s="9"/>
      <c r="AJ531" s="9"/>
      <c r="AK531" s="9"/>
      <c r="AL531" s="9"/>
      <c r="AM531" s="348" t="s">
        <v>353</v>
      </c>
      <c r="AN531" s="502">
        <v>1.7361111111111112E-2</v>
      </c>
      <c r="AO531" s="503"/>
      <c r="AP531" s="503">
        <v>3</v>
      </c>
      <c r="AQ531" s="507" t="s">
        <v>1545</v>
      </c>
      <c r="AR531" s="507"/>
      <c r="AS531" s="507"/>
      <c r="AT531" s="1524"/>
      <c r="AU531" s="1524"/>
      <c r="AV531" s="1525"/>
      <c r="BV531" s="3">
        <v>1</v>
      </c>
    </row>
    <row r="532" spans="3:74" ht="15.75">
      <c r="C532" s="9"/>
      <c r="D532" s="9"/>
      <c r="E532" s="9"/>
      <c r="G532" s="348" t="s">
        <v>353</v>
      </c>
      <c r="H532" s="502">
        <v>5.9027777777777797E-2</v>
      </c>
      <c r="I532" s="503"/>
      <c r="J532" s="503">
        <v>3</v>
      </c>
      <c r="K532" s="507" t="s">
        <v>580</v>
      </c>
      <c r="L532" s="507"/>
      <c r="M532" s="507"/>
      <c r="N532" s="1524"/>
      <c r="O532" s="1524"/>
      <c r="P532" s="1525"/>
      <c r="W532" s="348" t="s">
        <v>353</v>
      </c>
      <c r="X532" s="502">
        <v>5.9027777777777797E-2</v>
      </c>
      <c r="Y532" s="503"/>
      <c r="Z532" s="503">
        <v>3</v>
      </c>
      <c r="AA532" s="507" t="s">
        <v>1546</v>
      </c>
      <c r="AB532" s="507"/>
      <c r="AC532" s="507"/>
      <c r="AD532" s="1524"/>
      <c r="AE532" s="1524"/>
      <c r="AF532" s="1525"/>
      <c r="AI532" s="9"/>
      <c r="AJ532" s="9"/>
      <c r="AK532" s="9"/>
      <c r="AL532" s="9"/>
      <c r="AM532" s="348" t="s">
        <v>353</v>
      </c>
      <c r="AN532" s="502">
        <v>5.9027777777777797E-2</v>
      </c>
      <c r="AO532" s="503"/>
      <c r="AP532" s="503">
        <v>3</v>
      </c>
      <c r="AQ532" s="507" t="s">
        <v>1547</v>
      </c>
      <c r="AR532" s="507"/>
      <c r="AS532" s="507"/>
      <c r="AT532" s="1524"/>
      <c r="AU532" s="1524"/>
      <c r="AV532" s="1525"/>
      <c r="BV532" s="3">
        <v>1</v>
      </c>
    </row>
    <row r="533" spans="3:74" ht="15.75">
      <c r="C533" s="9"/>
      <c r="D533" s="9"/>
      <c r="E533" s="9"/>
      <c r="G533" s="348" t="s">
        <v>353</v>
      </c>
      <c r="H533" s="502">
        <v>2.4305555555555556E-2</v>
      </c>
      <c r="I533" s="503"/>
      <c r="J533" s="503">
        <v>3</v>
      </c>
      <c r="K533" s="507" t="s">
        <v>581</v>
      </c>
      <c r="L533" s="507"/>
      <c r="M533" s="507"/>
      <c r="N533" s="1524"/>
      <c r="O533" s="1524"/>
      <c r="P533" s="1525"/>
      <c r="W533" s="348" t="s">
        <v>353</v>
      </c>
      <c r="X533" s="502">
        <v>2.4305555555555556E-2</v>
      </c>
      <c r="Y533" s="503"/>
      <c r="Z533" s="503">
        <v>3</v>
      </c>
      <c r="AA533" s="507" t="s">
        <v>1548</v>
      </c>
      <c r="AB533" s="507"/>
      <c r="AC533" s="507"/>
      <c r="AD533" s="1524"/>
      <c r="AE533" s="1524"/>
      <c r="AF533" s="1525"/>
      <c r="AI533" s="9"/>
      <c r="AJ533" s="9"/>
      <c r="AK533" s="9"/>
      <c r="AL533" s="9"/>
      <c r="AM533" s="348" t="s">
        <v>353</v>
      </c>
      <c r="AN533" s="502">
        <v>2.4305555555555556E-2</v>
      </c>
      <c r="AO533" s="503"/>
      <c r="AP533" s="503">
        <v>3</v>
      </c>
      <c r="AQ533" s="507" t="s">
        <v>1549</v>
      </c>
      <c r="AR533" s="507"/>
      <c r="AS533" s="507"/>
      <c r="AT533" s="1524"/>
      <c r="AU533" s="1524"/>
      <c r="AV533" s="1525"/>
      <c r="BV533" s="3">
        <v>1</v>
      </c>
    </row>
    <row r="534" spans="3:74" ht="15.75">
      <c r="C534" s="9"/>
      <c r="D534" s="9"/>
      <c r="E534" s="9"/>
      <c r="G534" s="348" t="s">
        <v>353</v>
      </c>
      <c r="H534" s="502">
        <v>1.0416666666666666E-2</v>
      </c>
      <c r="I534" s="503"/>
      <c r="J534" s="503">
        <v>170</v>
      </c>
      <c r="K534" s="507" t="s">
        <v>584</v>
      </c>
      <c r="L534" s="507"/>
      <c r="M534" s="507"/>
      <c r="N534" s="1524"/>
      <c r="O534" s="1524"/>
      <c r="P534" s="1525"/>
      <c r="W534" s="348" t="s">
        <v>353</v>
      </c>
      <c r="X534" s="502">
        <v>1.0416666666666666E-2</v>
      </c>
      <c r="Y534" s="503"/>
      <c r="Z534" s="503">
        <v>170</v>
      </c>
      <c r="AA534" s="507" t="s">
        <v>1550</v>
      </c>
      <c r="AB534" s="507"/>
      <c r="AC534" s="507"/>
      <c r="AD534" s="1524"/>
      <c r="AE534" s="1524"/>
      <c r="AF534" s="1525"/>
      <c r="AI534" s="9"/>
      <c r="AJ534" s="9"/>
      <c r="AK534" s="9"/>
      <c r="AL534" s="9"/>
      <c r="AM534" s="348" t="s">
        <v>353</v>
      </c>
      <c r="AN534" s="502">
        <v>1.0416666666666666E-2</v>
      </c>
      <c r="AO534" s="503"/>
      <c r="AP534" s="503">
        <v>170</v>
      </c>
      <c r="AQ534" s="507" t="s">
        <v>1551</v>
      </c>
      <c r="AR534" s="507"/>
      <c r="AS534" s="507"/>
      <c r="AT534" s="1524"/>
      <c r="AU534" s="1524"/>
      <c r="AV534" s="1525"/>
      <c r="BV534" s="3">
        <v>1</v>
      </c>
    </row>
    <row r="535" spans="3:74" ht="15.75">
      <c r="C535" s="9"/>
      <c r="D535" s="9"/>
      <c r="E535" s="9"/>
      <c r="G535" s="348" t="s">
        <v>353</v>
      </c>
      <c r="H535" s="502">
        <v>6.9444444444444441E-3</v>
      </c>
      <c r="I535" s="503"/>
      <c r="J535" s="503">
        <v>150</v>
      </c>
      <c r="K535" s="507" t="s">
        <v>547</v>
      </c>
      <c r="L535" s="507"/>
      <c r="M535" s="507"/>
      <c r="N535" s="1524"/>
      <c r="O535" s="1524"/>
      <c r="P535" s="1525"/>
      <c r="W535" s="348" t="s">
        <v>353</v>
      </c>
      <c r="X535" s="502">
        <v>6.9444444444444441E-3</v>
      </c>
      <c r="Y535" s="503"/>
      <c r="Z535" s="503">
        <v>150</v>
      </c>
      <c r="AA535" s="507" t="s">
        <v>1531</v>
      </c>
      <c r="AB535" s="507"/>
      <c r="AC535" s="507"/>
      <c r="AD535" s="1524"/>
      <c r="AE535" s="1524"/>
      <c r="AF535" s="1525"/>
      <c r="AI535" s="9"/>
      <c r="AJ535" s="9"/>
      <c r="AK535" s="9"/>
      <c r="AL535" s="9"/>
      <c r="AM535" s="348" t="s">
        <v>353</v>
      </c>
      <c r="AN535" s="502">
        <v>6.9444444444444441E-3</v>
      </c>
      <c r="AO535" s="503"/>
      <c r="AP535" s="503">
        <v>150</v>
      </c>
      <c r="AQ535" s="507" t="s">
        <v>1533</v>
      </c>
      <c r="AR535" s="507"/>
      <c r="AS535" s="507"/>
      <c r="AT535" s="1524"/>
      <c r="AU535" s="1524"/>
      <c r="AV535" s="1525"/>
      <c r="BV535" s="3">
        <v>1</v>
      </c>
    </row>
    <row r="536" spans="3:74" ht="15.75" customHeight="1">
      <c r="C536" s="9"/>
      <c r="D536" s="9"/>
      <c r="E536" s="9"/>
      <c r="G536" s="348" t="s">
        <v>353</v>
      </c>
      <c r="H536" s="502">
        <v>0.10069444444444445</v>
      </c>
      <c r="I536" s="503"/>
      <c r="J536" s="503">
        <v>120</v>
      </c>
      <c r="K536" s="507" t="s">
        <v>591</v>
      </c>
      <c r="L536" s="450"/>
      <c r="M536" s="450"/>
      <c r="N536" s="1524"/>
      <c r="O536" s="1524"/>
      <c r="P536" s="1525"/>
      <c r="W536" s="348" t="s">
        <v>353</v>
      </c>
      <c r="X536" s="502">
        <v>0.10069444444444445</v>
      </c>
      <c r="Y536" s="503"/>
      <c r="Z536" s="503">
        <v>120</v>
      </c>
      <c r="AA536" s="507" t="s">
        <v>1552</v>
      </c>
      <c r="AB536" s="450"/>
      <c r="AC536" s="450"/>
      <c r="AD536" s="1524"/>
      <c r="AE536" s="1524"/>
      <c r="AF536" s="1525"/>
      <c r="AI536" s="9"/>
      <c r="AJ536" s="9"/>
      <c r="AK536" s="9"/>
      <c r="AL536" s="9"/>
      <c r="AM536" s="348" t="s">
        <v>353</v>
      </c>
      <c r="AN536" s="502">
        <v>0.10069444444444445</v>
      </c>
      <c r="AO536" s="503"/>
      <c r="AP536" s="503">
        <v>120</v>
      </c>
      <c r="AQ536" s="507" t="s">
        <v>1553</v>
      </c>
      <c r="AR536" s="450"/>
      <c r="AS536" s="450"/>
      <c r="AT536" s="1524"/>
      <c r="AU536" s="1524"/>
      <c r="AV536" s="1525"/>
      <c r="BV536" s="3">
        <v>1</v>
      </c>
    </row>
    <row r="537" spans="3:74" ht="15.75">
      <c r="C537" s="9"/>
      <c r="D537" s="9"/>
      <c r="E537" s="9"/>
      <c r="G537" s="348" t="s">
        <v>353</v>
      </c>
      <c r="H537" s="502">
        <v>1.3888888888888888E-2</v>
      </c>
      <c r="I537" s="503"/>
      <c r="J537" s="503">
        <v>120</v>
      </c>
      <c r="K537" s="507" t="s">
        <v>595</v>
      </c>
      <c r="L537" s="450"/>
      <c r="M537" s="450"/>
      <c r="N537" s="1524"/>
      <c r="O537" s="1524"/>
      <c r="P537" s="1525"/>
      <c r="W537" s="348" t="s">
        <v>353</v>
      </c>
      <c r="X537" s="502">
        <v>1.3888888888888888E-2</v>
      </c>
      <c r="Y537" s="503"/>
      <c r="Z537" s="503">
        <v>120</v>
      </c>
      <c r="AA537" s="507" t="s">
        <v>1554</v>
      </c>
      <c r="AB537" s="450"/>
      <c r="AC537" s="450"/>
      <c r="AD537" s="1524"/>
      <c r="AE537" s="1524"/>
      <c r="AF537" s="1525"/>
      <c r="AI537" s="9"/>
      <c r="AJ537" s="9"/>
      <c r="AK537" s="9"/>
      <c r="AL537" s="9"/>
      <c r="AM537" s="348" t="s">
        <v>353</v>
      </c>
      <c r="AN537" s="502">
        <v>1.3888888888888888E-2</v>
      </c>
      <c r="AO537" s="503"/>
      <c r="AP537" s="503">
        <v>120</v>
      </c>
      <c r="AQ537" s="507" t="s">
        <v>1555</v>
      </c>
      <c r="AR537" s="450"/>
      <c r="AS537" s="450"/>
      <c r="AT537" s="1524"/>
      <c r="AU537" s="1524"/>
      <c r="AV537" s="1525"/>
      <c r="BV537" s="3">
        <v>1</v>
      </c>
    </row>
    <row r="538" spans="3:74" ht="15.75">
      <c r="C538" s="9"/>
      <c r="D538" s="9"/>
      <c r="E538" s="9"/>
      <c r="G538" s="348" t="s">
        <v>353</v>
      </c>
      <c r="H538" s="502">
        <v>2.4305555555555556E-2</v>
      </c>
      <c r="I538" s="503"/>
      <c r="J538" s="503"/>
      <c r="K538" s="507" t="s">
        <v>596</v>
      </c>
      <c r="L538" s="450"/>
      <c r="M538" s="450"/>
      <c r="N538" s="1524"/>
      <c r="O538" s="1524"/>
      <c r="P538" s="1525"/>
      <c r="W538" s="348" t="s">
        <v>353</v>
      </c>
      <c r="X538" s="502">
        <v>2.4305555555555556E-2</v>
      </c>
      <c r="Y538" s="503"/>
      <c r="Z538" s="503"/>
      <c r="AA538" s="507" t="s">
        <v>1556</v>
      </c>
      <c r="AB538" s="450"/>
      <c r="AC538" s="450"/>
      <c r="AD538" s="1524"/>
      <c r="AE538" s="1524"/>
      <c r="AF538" s="1525"/>
      <c r="AI538" s="9"/>
      <c r="AJ538" s="9"/>
      <c r="AK538" s="9"/>
      <c r="AL538" s="9"/>
      <c r="AM538" s="348" t="s">
        <v>353</v>
      </c>
      <c r="AN538" s="502">
        <v>2.4305555555555556E-2</v>
      </c>
      <c r="AO538" s="503"/>
      <c r="AP538" s="503"/>
      <c r="AQ538" s="507" t="s">
        <v>1557</v>
      </c>
      <c r="AR538" s="450"/>
      <c r="AS538" s="450"/>
      <c r="AT538" s="1524"/>
      <c r="AU538" s="1524"/>
      <c r="AV538" s="1525"/>
      <c r="BV538" s="3">
        <v>1</v>
      </c>
    </row>
    <row r="539" spans="3:74" ht="15.75">
      <c r="C539" s="9"/>
      <c r="D539" s="9"/>
      <c r="E539" s="9"/>
      <c r="G539" s="348" t="s">
        <v>353</v>
      </c>
      <c r="H539" s="502">
        <v>7.2916666666666671E-2</v>
      </c>
      <c r="I539" s="503"/>
      <c r="J539" s="512" t="s">
        <v>597</v>
      </c>
      <c r="K539" s="507" t="s">
        <v>598</v>
      </c>
      <c r="L539" s="450"/>
      <c r="M539" s="450"/>
      <c r="N539" s="1524"/>
      <c r="O539" s="1524"/>
      <c r="P539" s="1525"/>
      <c r="W539" s="348" t="s">
        <v>353</v>
      </c>
      <c r="X539" s="502">
        <v>7.2916666666666671E-2</v>
      </c>
      <c r="Y539" s="503"/>
      <c r="Z539" s="512" t="s">
        <v>597</v>
      </c>
      <c r="AA539" s="507" t="s">
        <v>1558</v>
      </c>
      <c r="AB539" s="450"/>
      <c r="AC539" s="450"/>
      <c r="AD539" s="1524"/>
      <c r="AE539" s="1524"/>
      <c r="AF539" s="1525"/>
      <c r="AI539" s="9"/>
      <c r="AJ539" s="9"/>
      <c r="AK539" s="9"/>
      <c r="AL539" s="9"/>
      <c r="AM539" s="348" t="s">
        <v>353</v>
      </c>
      <c r="AN539" s="502">
        <v>7.2916666666666671E-2</v>
      </c>
      <c r="AO539" s="503"/>
      <c r="AP539" s="512" t="s">
        <v>597</v>
      </c>
      <c r="AQ539" s="507" t="s">
        <v>1559</v>
      </c>
      <c r="AR539" s="450"/>
      <c r="AS539" s="450"/>
      <c r="AT539" s="1524"/>
      <c r="AU539" s="1524"/>
      <c r="AV539" s="1525"/>
      <c r="BV539" s="3">
        <v>1</v>
      </c>
    </row>
    <row r="540" spans="3:74" ht="15.75">
      <c r="C540" s="9"/>
      <c r="D540" s="9"/>
      <c r="E540" s="9"/>
      <c r="G540" s="348" t="s">
        <v>353</v>
      </c>
      <c r="H540" s="502"/>
      <c r="I540" s="513" t="s">
        <v>599</v>
      </c>
      <c r="J540" s="415">
        <v>65</v>
      </c>
      <c r="K540" s="514" t="s">
        <v>600</v>
      </c>
      <c r="L540" s="450"/>
      <c r="M540" s="450"/>
      <c r="N540" s="1524"/>
      <c r="O540" s="1524"/>
      <c r="P540" s="1525"/>
      <c r="W540" s="348" t="s">
        <v>353</v>
      </c>
      <c r="X540" s="502"/>
      <c r="Y540" s="513" t="s">
        <v>1560</v>
      </c>
      <c r="Z540" s="415">
        <v>65</v>
      </c>
      <c r="AA540" s="514" t="s">
        <v>1561</v>
      </c>
      <c r="AB540" s="450"/>
      <c r="AC540" s="450"/>
      <c r="AD540" s="1524"/>
      <c r="AE540" s="1524"/>
      <c r="AF540" s="1525"/>
      <c r="AI540" s="9"/>
      <c r="AJ540" s="9"/>
      <c r="AK540" s="9"/>
      <c r="AL540" s="9"/>
      <c r="AM540" s="348" t="s">
        <v>353</v>
      </c>
      <c r="AN540" s="502"/>
      <c r="AO540" s="513" t="s">
        <v>599</v>
      </c>
      <c r="AP540" s="415">
        <v>65</v>
      </c>
      <c r="AQ540" s="514" t="s">
        <v>1562</v>
      </c>
      <c r="AR540" s="450"/>
      <c r="AS540" s="450"/>
      <c r="AT540" s="1524"/>
      <c r="AU540" s="1524"/>
      <c r="AV540" s="1525"/>
      <c r="BV540" s="3">
        <v>1</v>
      </c>
    </row>
    <row r="541" spans="3:74" ht="15.75">
      <c r="C541" s="9"/>
      <c r="D541" s="9"/>
      <c r="E541" s="9"/>
      <c r="G541" s="348" t="s">
        <v>353</v>
      </c>
      <c r="H541" s="502"/>
      <c r="I541" s="515" t="s">
        <v>599</v>
      </c>
      <c r="J541" s="431">
        <v>3</v>
      </c>
      <c r="K541" s="516" t="s">
        <v>603</v>
      </c>
      <c r="L541" s="450"/>
      <c r="M541" s="450"/>
      <c r="N541" s="1524"/>
      <c r="O541" s="1524"/>
      <c r="P541" s="1525"/>
      <c r="W541" s="348" t="s">
        <v>353</v>
      </c>
      <c r="X541" s="502"/>
      <c r="Y541" s="515" t="s">
        <v>1560</v>
      </c>
      <c r="Z541" s="431">
        <v>3</v>
      </c>
      <c r="AA541" s="516" t="s">
        <v>1563</v>
      </c>
      <c r="AB541" s="450"/>
      <c r="AC541" s="450"/>
      <c r="AD541" s="1524"/>
      <c r="AE541" s="1524"/>
      <c r="AF541" s="1525"/>
      <c r="AI541" s="9"/>
      <c r="AJ541" s="9"/>
      <c r="AK541" s="9"/>
      <c r="AL541" s="9"/>
      <c r="AM541" s="348" t="s">
        <v>353</v>
      </c>
      <c r="AN541" s="502"/>
      <c r="AO541" s="515" t="s">
        <v>599</v>
      </c>
      <c r="AP541" s="431">
        <v>3</v>
      </c>
      <c r="AQ541" s="516" t="s">
        <v>1564</v>
      </c>
      <c r="AR541" s="450"/>
      <c r="AS541" s="450"/>
      <c r="AT541" s="1524"/>
      <c r="AU541" s="1524"/>
      <c r="AV541" s="1525"/>
      <c r="BV541" s="3">
        <v>1</v>
      </c>
    </row>
    <row r="542" spans="3:74" ht="15.75">
      <c r="C542" s="9"/>
      <c r="D542" s="9"/>
      <c r="E542" s="9"/>
      <c r="G542" s="517" t="s">
        <v>183</v>
      </c>
      <c r="H542" s="418">
        <f>SUM(H530:H541)</f>
        <v>0.34722222222222227</v>
      </c>
      <c r="I542"/>
      <c r="J542"/>
      <c r="K542"/>
      <c r="L542" s="450"/>
      <c r="M542" s="450"/>
      <c r="N542" s="1524"/>
      <c r="O542" s="1524"/>
      <c r="P542" s="1525"/>
      <c r="W542" s="517" t="s">
        <v>183</v>
      </c>
      <c r="X542" s="418">
        <f>SUM(X530:X541)</f>
        <v>0.34722222222222227</v>
      </c>
      <c r="Y542"/>
      <c r="Z542"/>
      <c r="AA542"/>
      <c r="AB542" s="450"/>
      <c r="AC542" s="450"/>
      <c r="AD542" s="1524"/>
      <c r="AE542" s="1524"/>
      <c r="AF542" s="1525"/>
      <c r="AI542" s="9"/>
      <c r="AJ542" s="9"/>
      <c r="AK542" s="9"/>
      <c r="AL542" s="9"/>
      <c r="AM542" s="517" t="s">
        <v>183</v>
      </c>
      <c r="AN542" s="418">
        <f>SUM(AN530:AN541)</f>
        <v>0.34722222222222227</v>
      </c>
      <c r="AO542"/>
      <c r="AP542"/>
      <c r="AQ542"/>
      <c r="AR542" s="450"/>
      <c r="AS542" s="450"/>
      <c r="AT542" s="1524"/>
      <c r="AU542" s="1524"/>
      <c r="AV542" s="1525"/>
      <c r="BV542" s="3">
        <v>1</v>
      </c>
    </row>
    <row r="543" spans="3:74">
      <c r="C543" s="9"/>
      <c r="D543" s="9"/>
      <c r="E543" s="9"/>
      <c r="G543" s="367"/>
      <c r="H543" s="368"/>
      <c r="I543" s="368"/>
      <c r="J543" s="368"/>
      <c r="K543" s="368"/>
      <c r="L543" s="368"/>
      <c r="M543" s="369"/>
      <c r="N543" s="369"/>
      <c r="O543" s="369"/>
      <c r="P543" s="1518" t="s">
        <v>197</v>
      </c>
      <c r="W543" s="367"/>
      <c r="X543" s="368"/>
      <c r="Y543" s="368"/>
      <c r="Z543" s="368"/>
      <c r="AA543" s="368"/>
      <c r="AB543" s="368"/>
      <c r="AC543" s="369"/>
      <c r="AD543" s="369"/>
      <c r="AE543" s="369"/>
      <c r="AF543" s="1518" t="s">
        <v>1418</v>
      </c>
      <c r="AI543" s="9"/>
      <c r="AJ543" s="9"/>
      <c r="AK543" s="9"/>
      <c r="AL543" s="9"/>
      <c r="AM543" s="367"/>
      <c r="AN543" s="368"/>
      <c r="AO543" s="368"/>
      <c r="AP543" s="368"/>
      <c r="AQ543" s="368"/>
      <c r="AR543" s="368"/>
      <c r="AS543" s="369"/>
      <c r="AT543" s="369"/>
      <c r="AU543" s="369"/>
      <c r="AV543" s="1518" t="s">
        <v>1419</v>
      </c>
      <c r="BV543" s="3">
        <v>1</v>
      </c>
    </row>
    <row r="544" spans="3:74">
      <c r="C544" s="9"/>
      <c r="D544" s="9"/>
      <c r="E544" s="9"/>
      <c r="G544" s="9"/>
      <c r="H544" s="9"/>
      <c r="I544" s="9"/>
      <c r="J544" s="9"/>
      <c r="K544" s="9"/>
      <c r="L544" s="9"/>
      <c r="M544" s="9"/>
      <c r="N544" s="9"/>
      <c r="O544" s="9"/>
      <c r="P544" s="9"/>
      <c r="W544" s="9"/>
      <c r="X544" s="9"/>
      <c r="Y544" s="9"/>
      <c r="Z544" s="9"/>
      <c r="AA544" s="9"/>
      <c r="AB544" s="9"/>
      <c r="AC544" s="9"/>
      <c r="AD544" s="9"/>
      <c r="AE544" s="9"/>
      <c r="AF544" s="9"/>
      <c r="AI544" s="9"/>
      <c r="AJ544" s="9"/>
      <c r="AK544" s="9"/>
      <c r="AL544" s="9"/>
      <c r="AM544" s="9"/>
      <c r="AN544" s="9"/>
      <c r="AO544" s="9"/>
      <c r="AP544" s="9"/>
      <c r="AQ544" s="9"/>
      <c r="AR544" s="9"/>
      <c r="AS544" s="9"/>
      <c r="AT544" s="9"/>
      <c r="AU544" s="9"/>
      <c r="AV544" s="9"/>
      <c r="BV544" s="3">
        <v>1</v>
      </c>
    </row>
    <row r="545" spans="3:74" ht="15.75">
      <c r="C545" s="9"/>
      <c r="D545" s="9"/>
      <c r="E545" s="9"/>
      <c r="G545" s="232" t="s">
        <v>167</v>
      </c>
      <c r="H545" s="233"/>
      <c r="I545" s="233"/>
      <c r="J545" s="233"/>
      <c r="K545" s="233"/>
      <c r="L545" s="234"/>
      <c r="M545" s="234"/>
      <c r="N545" s="234"/>
      <c r="O545" s="234"/>
      <c r="P545" s="651" t="s">
        <v>613</v>
      </c>
      <c r="W545" s="232" t="s">
        <v>752</v>
      </c>
      <c r="X545" s="233"/>
      <c r="Y545" s="233"/>
      <c r="Z545" s="233"/>
      <c r="AA545" s="233"/>
      <c r="AB545" s="234"/>
      <c r="AC545" s="234"/>
      <c r="AD545" s="234"/>
      <c r="AE545" s="234"/>
      <c r="AF545" s="651" t="s">
        <v>1565</v>
      </c>
      <c r="AI545" s="9"/>
      <c r="AJ545" s="9"/>
      <c r="AK545" s="9"/>
      <c r="AL545" s="9"/>
      <c r="AM545" s="232" t="s">
        <v>754</v>
      </c>
      <c r="AN545" s="233"/>
      <c r="AO545" s="233"/>
      <c r="AP545" s="233"/>
      <c r="AQ545" s="233"/>
      <c r="AR545" s="234"/>
      <c r="AS545" s="234"/>
      <c r="AT545" s="234"/>
      <c r="AU545" s="234"/>
      <c r="AV545" s="651" t="s">
        <v>1566</v>
      </c>
      <c r="BV545" s="3">
        <v>1</v>
      </c>
    </row>
    <row r="546" spans="3:74" ht="15.75">
      <c r="C546" s="9"/>
      <c r="D546" s="9"/>
      <c r="E546" s="9"/>
      <c r="G546" s="161"/>
      <c r="H546" s="520" t="s">
        <v>617</v>
      </c>
      <c r="I546" s="183"/>
      <c r="J546" s="183"/>
      <c r="K546" s="231"/>
      <c r="L546" s="231"/>
      <c r="M546" s="521" t="s">
        <v>618</v>
      </c>
      <c r="N546" s="1524"/>
      <c r="O546" s="1524"/>
      <c r="P546" s="1525"/>
      <c r="W546" s="161"/>
      <c r="X546" s="520" t="s">
        <v>1567</v>
      </c>
      <c r="Y546" s="183"/>
      <c r="Z546" s="183"/>
      <c r="AA546" s="231"/>
      <c r="AB546" s="231"/>
      <c r="AC546" s="521" t="s">
        <v>1568</v>
      </c>
      <c r="AD546" s="1524"/>
      <c r="AE546" s="1524"/>
      <c r="AF546" s="1525"/>
      <c r="AI546" s="9"/>
      <c r="AJ546" s="9"/>
      <c r="AK546" s="9"/>
      <c r="AL546" s="9"/>
      <c r="AM546" s="161"/>
      <c r="AN546" s="520" t="s">
        <v>1569</v>
      </c>
      <c r="AO546" s="183"/>
      <c r="AP546" s="183"/>
      <c r="AQ546" s="231"/>
      <c r="AR546" s="231"/>
      <c r="AS546" s="521" t="s">
        <v>1570</v>
      </c>
      <c r="AT546" s="1524"/>
      <c r="AU546" s="1524"/>
      <c r="AV546" s="1525"/>
      <c r="BV546" s="3">
        <v>1</v>
      </c>
    </row>
    <row r="547" spans="3:74">
      <c r="C547" s="9"/>
      <c r="D547" s="9"/>
      <c r="E547" s="9"/>
      <c r="G547" s="522"/>
      <c r="H547" s="523">
        <v>16</v>
      </c>
      <c r="I547" s="9"/>
      <c r="J547" s="524" t="s">
        <v>619</v>
      </c>
      <c r="K547" t="s">
        <v>620</v>
      </c>
      <c r="L547" s="183"/>
      <c r="M547" s="370" t="s">
        <v>621</v>
      </c>
      <c r="N547" s="1524"/>
      <c r="O547" s="1524"/>
      <c r="P547" s="1525"/>
      <c r="W547" s="522"/>
      <c r="X547" s="523">
        <v>16</v>
      </c>
      <c r="Y547" s="9"/>
      <c r="Z547" s="524" t="s">
        <v>1571</v>
      </c>
      <c r="AA547" t="s">
        <v>1572</v>
      </c>
      <c r="AB547" s="183"/>
      <c r="AC547" s="370" t="s">
        <v>1573</v>
      </c>
      <c r="AD547" s="1524"/>
      <c r="AE547" s="1524"/>
      <c r="AF547" s="1525"/>
      <c r="AI547" s="9"/>
      <c r="AJ547" s="9"/>
      <c r="AK547" s="9"/>
      <c r="AL547" s="9"/>
      <c r="AM547" s="522"/>
      <c r="AN547" s="523">
        <v>16</v>
      </c>
      <c r="AO547" s="9"/>
      <c r="AP547" s="524" t="s">
        <v>1574</v>
      </c>
      <c r="AQ547" t="s">
        <v>1575</v>
      </c>
      <c r="AR547" s="183"/>
      <c r="AS547" s="370" t="s">
        <v>1576</v>
      </c>
      <c r="AT547" s="1524"/>
      <c r="AU547" s="1524"/>
      <c r="AV547" s="1525"/>
      <c r="BV547" s="3">
        <v>1</v>
      </c>
    </row>
    <row r="548" spans="3:74" ht="15.75">
      <c r="C548" s="9"/>
      <c r="D548" s="9"/>
      <c r="E548" s="9"/>
      <c r="G548" s="526"/>
      <c r="H548" s="527" t="s">
        <v>624</v>
      </c>
      <c r="I548" s="527"/>
      <c r="J548" s="528">
        <v>32</v>
      </c>
      <c r="K548" s="529" t="str">
        <f>J547</f>
        <v xml:space="preserve">portions </v>
      </c>
      <c r="L548" s="197"/>
      <c r="M548" s="370" t="s">
        <v>625</v>
      </c>
      <c r="N548" s="1524"/>
      <c r="O548" s="1524"/>
      <c r="P548" s="1525"/>
      <c r="W548" s="526"/>
      <c r="X548" s="527" t="s">
        <v>1577</v>
      </c>
      <c r="Y548" s="527"/>
      <c r="Z548" s="528">
        <v>32</v>
      </c>
      <c r="AA548" s="529" t="str">
        <f>Z547</f>
        <v>portions</v>
      </c>
      <c r="AB548" s="197"/>
      <c r="AC548" s="370" t="s">
        <v>1578</v>
      </c>
      <c r="AD548" s="1524"/>
      <c r="AE548" s="1524"/>
      <c r="AF548" s="1525"/>
      <c r="AI548" s="9"/>
      <c r="AJ548" s="9"/>
      <c r="AK548" s="9"/>
      <c r="AL548" s="9"/>
      <c r="AM548" s="526"/>
      <c r="AN548" s="527" t="s">
        <v>1579</v>
      </c>
      <c r="AO548" s="527"/>
      <c r="AP548" s="528">
        <v>32</v>
      </c>
      <c r="AQ548" s="529" t="str">
        <f>AP547</f>
        <v>raciones</v>
      </c>
      <c r="AR548" s="197"/>
      <c r="AS548" s="370" t="s">
        <v>1580</v>
      </c>
      <c r="AT548" s="1524"/>
      <c r="AU548" s="1524"/>
      <c r="AV548" s="1525"/>
      <c r="BV548" s="3">
        <v>1</v>
      </c>
    </row>
    <row r="549" spans="3:74" ht="15.75">
      <c r="C549" s="9"/>
      <c r="D549" s="9"/>
      <c r="E549" s="9"/>
      <c r="G549" s="532"/>
      <c r="H549" s="533" t="s">
        <v>630</v>
      </c>
      <c r="I549" s="9"/>
      <c r="J549" s="534" t="str">
        <f>H549</f>
        <v>Gastro</v>
      </c>
      <c r="K549" s="535" t="s">
        <v>631</v>
      </c>
      <c r="L549" s="197"/>
      <c r="M549" s="370" t="s">
        <v>632</v>
      </c>
      <c r="N549" s="1524"/>
      <c r="O549" s="1524"/>
      <c r="P549" s="1525"/>
      <c r="W549" s="532"/>
      <c r="X549" s="533" t="s">
        <v>1581</v>
      </c>
      <c r="Y549" s="9"/>
      <c r="Z549" s="534" t="str">
        <f>X549</f>
        <v>GN pan</v>
      </c>
      <c r="AA549" s="535" t="s">
        <v>1518</v>
      </c>
      <c r="AB549" s="197"/>
      <c r="AC549" s="370" t="s">
        <v>1582</v>
      </c>
      <c r="AD549" s="1524"/>
      <c r="AE549" s="1524"/>
      <c r="AF549" s="1525"/>
      <c r="AI549" s="9"/>
      <c r="AJ549" s="9"/>
      <c r="AK549" s="9"/>
      <c r="AL549" s="9"/>
      <c r="AM549" s="532"/>
      <c r="AN549" s="533" t="s">
        <v>1583</v>
      </c>
      <c r="AO549" s="9"/>
      <c r="AP549" s="534" t="str">
        <f>AN549</f>
        <v>Bandeja GN</v>
      </c>
      <c r="AQ549" s="535" t="s">
        <v>1584</v>
      </c>
      <c r="AR549" s="197"/>
      <c r="AS549" s="370" t="s">
        <v>1585</v>
      </c>
      <c r="AT549" s="1524"/>
      <c r="AU549" s="1524"/>
      <c r="AV549" s="1525"/>
      <c r="BV549" s="3">
        <v>1</v>
      </c>
    </row>
    <row r="550" spans="3:74" ht="15.75">
      <c r="C550" s="9"/>
      <c r="D550" s="9"/>
      <c r="E550" s="9"/>
      <c r="G550" s="236" t="s">
        <v>221</v>
      </c>
      <c r="H550" s="533">
        <v>1</v>
      </c>
      <c r="I550" s="9"/>
      <c r="J550" s="539">
        <f>(H550/H547)*J548</f>
        <v>2</v>
      </c>
      <c r="K550" s="540" t="s">
        <v>636</v>
      </c>
      <c r="L550" s="197"/>
      <c r="M550" s="370" t="s">
        <v>637</v>
      </c>
      <c r="N550" s="1524"/>
      <c r="O550" s="1524"/>
      <c r="P550" s="1525"/>
      <c r="W550" s="236" t="s">
        <v>221</v>
      </c>
      <c r="X550" s="533">
        <v>1</v>
      </c>
      <c r="Y550" s="9"/>
      <c r="Z550" s="539">
        <f>(X550/X547)*Z548</f>
        <v>2</v>
      </c>
      <c r="AA550" s="540" t="s">
        <v>1586</v>
      </c>
      <c r="AB550" s="197"/>
      <c r="AC550" s="370" t="s">
        <v>1587</v>
      </c>
      <c r="AD550" s="1524"/>
      <c r="AE550" s="1524"/>
      <c r="AF550" s="1525"/>
      <c r="AI550" s="9"/>
      <c r="AJ550" s="9"/>
      <c r="AK550" s="9"/>
      <c r="AL550" s="9"/>
      <c r="AM550" s="236" t="s">
        <v>221</v>
      </c>
      <c r="AN550" s="533">
        <v>1</v>
      </c>
      <c r="AO550" s="9"/>
      <c r="AP550" s="539">
        <f>(AN550/AN547)*AP548</f>
        <v>2</v>
      </c>
      <c r="AQ550" s="540" t="s">
        <v>1588</v>
      </c>
      <c r="AR550" s="197"/>
      <c r="AS550" s="370" t="s">
        <v>1589</v>
      </c>
      <c r="AT550" s="1524"/>
      <c r="AU550" s="1524"/>
      <c r="AV550" s="1525"/>
      <c r="BV550" s="3">
        <v>1</v>
      </c>
    </row>
    <row r="551" spans="3:74" ht="15.75">
      <c r="C551" s="9"/>
      <c r="D551" s="9"/>
      <c r="E551" s="9"/>
      <c r="G551" s="236" t="s">
        <v>221</v>
      </c>
      <c r="H551" s="533">
        <v>1</v>
      </c>
      <c r="I551" s="9"/>
      <c r="J551" s="539">
        <f>(H551/H547)*J548</f>
        <v>2</v>
      </c>
      <c r="K551" s="540" t="s">
        <v>638</v>
      </c>
      <c r="L551" s="197"/>
      <c r="M551" s="370" t="s">
        <v>639</v>
      </c>
      <c r="N551" s="1524"/>
      <c r="O551" s="1524"/>
      <c r="P551" s="1525"/>
      <c r="W551" s="236" t="s">
        <v>221</v>
      </c>
      <c r="X551" s="533">
        <v>1</v>
      </c>
      <c r="Y551" s="9"/>
      <c r="Z551" s="539">
        <f>(X551/X547)*Z548</f>
        <v>2</v>
      </c>
      <c r="AA551" s="540" t="s">
        <v>1590</v>
      </c>
      <c r="AB551" s="197"/>
      <c r="AC551" s="370" t="s">
        <v>1591</v>
      </c>
      <c r="AD551" s="1524"/>
      <c r="AE551" s="1524"/>
      <c r="AF551" s="1525"/>
      <c r="AI551" s="9"/>
      <c r="AJ551" s="9"/>
      <c r="AK551" s="9"/>
      <c r="AL551" s="9"/>
      <c r="AM551" s="236" t="s">
        <v>221</v>
      </c>
      <c r="AN551" s="533">
        <v>1</v>
      </c>
      <c r="AO551" s="9"/>
      <c r="AP551" s="539">
        <f>(AN551/AN547)*AP548</f>
        <v>2</v>
      </c>
      <c r="AQ551" s="540" t="s">
        <v>1592</v>
      </c>
      <c r="AR551" s="197"/>
      <c r="AS551" s="370" t="s">
        <v>1593</v>
      </c>
      <c r="AT551" s="1524"/>
      <c r="AU551" s="1524"/>
      <c r="AV551" s="1525"/>
      <c r="BV551" s="3">
        <v>1</v>
      </c>
    </row>
    <row r="552" spans="3:74" ht="15.75">
      <c r="C552" s="9"/>
      <c r="D552" s="9"/>
      <c r="E552" s="9"/>
      <c r="G552" s="236" t="s">
        <v>221</v>
      </c>
      <c r="H552" s="533">
        <v>1</v>
      </c>
      <c r="I552" s="9"/>
      <c r="J552" s="539">
        <f>(H552/H547)*J548</f>
        <v>2</v>
      </c>
      <c r="K552" s="540" t="s">
        <v>640</v>
      </c>
      <c r="L552" s="197"/>
      <c r="M552" s="370" t="s">
        <v>641</v>
      </c>
      <c r="N552" s="1524"/>
      <c r="O552" s="1524"/>
      <c r="P552" s="1525"/>
      <c r="W552" s="236" t="s">
        <v>221</v>
      </c>
      <c r="X552" s="533">
        <v>1</v>
      </c>
      <c r="Y552" s="9"/>
      <c r="Z552" s="539">
        <f>(X552/X547)*Z548</f>
        <v>2</v>
      </c>
      <c r="AA552" s="540" t="s">
        <v>1594</v>
      </c>
      <c r="AB552" s="197"/>
      <c r="AC552" s="370" t="s">
        <v>1595</v>
      </c>
      <c r="AD552" s="1524"/>
      <c r="AE552" s="1524"/>
      <c r="AF552" s="1525"/>
      <c r="AI552" s="9"/>
      <c r="AJ552" s="9"/>
      <c r="AK552" s="9"/>
      <c r="AL552" s="9"/>
      <c r="AM552" s="236" t="s">
        <v>221</v>
      </c>
      <c r="AN552" s="533">
        <v>1</v>
      </c>
      <c r="AO552" s="9"/>
      <c r="AP552" s="539">
        <f>(AN552/AN547)*AP548</f>
        <v>2</v>
      </c>
      <c r="AQ552" s="540" t="s">
        <v>1596</v>
      </c>
      <c r="AR552" s="197"/>
      <c r="AS552" s="370" t="s">
        <v>1597</v>
      </c>
      <c r="AT552" s="1524"/>
      <c r="AU552" s="1524"/>
      <c r="AV552" s="1525"/>
      <c r="BV552" s="3">
        <v>1</v>
      </c>
    </row>
    <row r="553" spans="3:74" ht="15.75">
      <c r="C553" s="9"/>
      <c r="D553" s="9"/>
      <c r="E553" s="9"/>
      <c r="G553" s="236" t="s">
        <v>221</v>
      </c>
      <c r="H553" s="533">
        <v>1</v>
      </c>
      <c r="I553" s="9"/>
      <c r="J553" s="539">
        <f>(H553/H547)*J548</f>
        <v>2</v>
      </c>
      <c r="K553" s="540" t="s">
        <v>642</v>
      </c>
      <c r="L553" s="197"/>
      <c r="M553" s="370" t="s">
        <v>643</v>
      </c>
      <c r="N553" s="1524"/>
      <c r="O553" s="1524"/>
      <c r="P553" s="1525"/>
      <c r="W553" s="236" t="s">
        <v>221</v>
      </c>
      <c r="X553" s="533">
        <v>1</v>
      </c>
      <c r="Y553" s="9"/>
      <c r="Z553" s="539">
        <f>(X553/X547)*Z548</f>
        <v>2</v>
      </c>
      <c r="AA553" s="540" t="s">
        <v>1598</v>
      </c>
      <c r="AB553" s="197"/>
      <c r="AC553" s="370" t="s">
        <v>1599</v>
      </c>
      <c r="AD553" s="1524"/>
      <c r="AE553" s="1524"/>
      <c r="AF553" s="1525"/>
      <c r="AI553" s="9"/>
      <c r="AJ553" s="9"/>
      <c r="AK553" s="9"/>
      <c r="AL553" s="9"/>
      <c r="AM553" s="236" t="s">
        <v>221</v>
      </c>
      <c r="AN553" s="533">
        <v>1</v>
      </c>
      <c r="AO553" s="9"/>
      <c r="AP553" s="539">
        <f>(AN553/AN547)*AP548</f>
        <v>2</v>
      </c>
      <c r="AQ553" s="540" t="s">
        <v>1600</v>
      </c>
      <c r="AR553" s="197"/>
      <c r="AS553" s="370" t="s">
        <v>1601</v>
      </c>
      <c r="AT553" s="1524"/>
      <c r="AU553" s="1524"/>
      <c r="AV553" s="1525"/>
      <c r="BV553" s="3">
        <v>1</v>
      </c>
    </row>
    <row r="554" spans="3:74" ht="15.75">
      <c r="C554" s="9"/>
      <c r="D554" s="9"/>
      <c r="E554" s="9"/>
      <c r="G554" s="236" t="s">
        <v>221</v>
      </c>
      <c r="H554" s="533">
        <v>1</v>
      </c>
      <c r="I554" s="9"/>
      <c r="J554" s="539">
        <f>(H554/H547)*J548</f>
        <v>2</v>
      </c>
      <c r="K554" s="540" t="s">
        <v>644</v>
      </c>
      <c r="L554" s="197"/>
      <c r="M554" s="370" t="s">
        <v>645</v>
      </c>
      <c r="N554" s="1524"/>
      <c r="O554" s="1524"/>
      <c r="P554" s="1525"/>
      <c r="W554" s="236" t="s">
        <v>221</v>
      </c>
      <c r="X554" s="533">
        <v>1</v>
      </c>
      <c r="Y554" s="9"/>
      <c r="Z554" s="539">
        <f>(X554/X547)*Z548</f>
        <v>2</v>
      </c>
      <c r="AA554" s="540" t="s">
        <v>1602</v>
      </c>
      <c r="AB554" s="197"/>
      <c r="AC554" s="370" t="s">
        <v>1603</v>
      </c>
      <c r="AD554" s="1524"/>
      <c r="AE554" s="1524"/>
      <c r="AF554" s="1525"/>
      <c r="AI554" s="9"/>
      <c r="AJ554" s="9"/>
      <c r="AK554" s="9"/>
      <c r="AL554" s="9"/>
      <c r="AM554" s="236" t="s">
        <v>221</v>
      </c>
      <c r="AN554" s="533">
        <v>1</v>
      </c>
      <c r="AO554" s="9"/>
      <c r="AP554" s="539">
        <f>(AN554/AN547)*AP548</f>
        <v>2</v>
      </c>
      <c r="AQ554" s="540" t="s">
        <v>1604</v>
      </c>
      <c r="AR554" s="197"/>
      <c r="AS554" s="370" t="s">
        <v>1605</v>
      </c>
      <c r="AT554" s="1524"/>
      <c r="AU554" s="1524"/>
      <c r="AV554" s="1525"/>
      <c r="BV554" s="3">
        <v>1</v>
      </c>
    </row>
    <row r="555" spans="3:74" ht="15.75">
      <c r="C555" s="9"/>
      <c r="D555" s="9"/>
      <c r="E555" s="9"/>
      <c r="G555" s="541" t="s">
        <v>646</v>
      </c>
      <c r="H555" s="533">
        <v>1</v>
      </c>
      <c r="I555" s="9"/>
      <c r="J555" s="539">
        <f>(H555/H547)*J548</f>
        <v>2</v>
      </c>
      <c r="K555" s="197"/>
      <c r="L555" s="197"/>
      <c r="M555" s="370" t="s">
        <v>647</v>
      </c>
      <c r="N555" s="1524"/>
      <c r="O555" s="1524"/>
      <c r="P555" s="1525"/>
      <c r="W555" s="541" t="s">
        <v>646</v>
      </c>
      <c r="X555" s="533">
        <v>1</v>
      </c>
      <c r="Y555" s="9"/>
      <c r="Z555" s="539">
        <f>(X555/X547)*Z548</f>
        <v>2</v>
      </c>
      <c r="AA555" s="197"/>
      <c r="AB555" s="197"/>
      <c r="AC555" s="370" t="s">
        <v>1606</v>
      </c>
      <c r="AD555" s="1524"/>
      <c r="AE555" s="1524"/>
      <c r="AF555" s="1525"/>
      <c r="AI555" s="9"/>
      <c r="AJ555" s="9"/>
      <c r="AK555" s="9"/>
      <c r="AL555" s="9"/>
      <c r="AM555" s="541" t="s">
        <v>646</v>
      </c>
      <c r="AN555" s="533">
        <v>1</v>
      </c>
      <c r="AO555" s="9"/>
      <c r="AP555" s="539">
        <f>(AN555/AN547)*AP548</f>
        <v>2</v>
      </c>
      <c r="AQ555" s="197"/>
      <c r="AR555" s="197"/>
      <c r="AS555" s="370" t="s">
        <v>1607</v>
      </c>
      <c r="AT555" s="1524"/>
      <c r="AU555" s="1524"/>
      <c r="AV555" s="1525"/>
      <c r="BV555" s="3">
        <v>1</v>
      </c>
    </row>
    <row r="556" spans="3:74" ht="15.75">
      <c r="C556" s="9"/>
      <c r="D556" s="9"/>
      <c r="E556" s="9"/>
      <c r="G556" s="541" t="s">
        <v>646</v>
      </c>
      <c r="H556" s="533">
        <v>1</v>
      </c>
      <c r="I556" s="9"/>
      <c r="J556" s="539">
        <f>(H556/H547)*J548</f>
        <v>2</v>
      </c>
      <c r="K556" s="197"/>
      <c r="L556" s="197"/>
      <c r="M556" s="370"/>
      <c r="N556" s="1524"/>
      <c r="O556" s="1524"/>
      <c r="P556" s="1525"/>
      <c r="W556" s="541" t="s">
        <v>646</v>
      </c>
      <c r="X556" s="533">
        <v>1</v>
      </c>
      <c r="Y556" s="9"/>
      <c r="Z556" s="539">
        <f>(X556/X547)*Z548</f>
        <v>2</v>
      </c>
      <c r="AA556" s="197"/>
      <c r="AB556" s="197"/>
      <c r="AC556" s="370"/>
      <c r="AD556" s="1524"/>
      <c r="AE556" s="1524"/>
      <c r="AF556" s="1525"/>
      <c r="AI556" s="9"/>
      <c r="AJ556" s="9"/>
      <c r="AK556" s="9"/>
      <c r="AL556" s="9"/>
      <c r="AM556" s="541" t="s">
        <v>646</v>
      </c>
      <c r="AN556" s="533">
        <v>1</v>
      </c>
      <c r="AO556" s="9"/>
      <c r="AP556" s="539">
        <f>(AN556/AN547)*AP548</f>
        <v>2</v>
      </c>
      <c r="AQ556" s="197"/>
      <c r="AR556" s="197"/>
      <c r="AS556" s="370"/>
      <c r="AT556" s="1524"/>
      <c r="AU556" s="1524"/>
      <c r="AV556" s="1525"/>
      <c r="BV556" s="3">
        <v>1</v>
      </c>
    </row>
    <row r="557" spans="3:74" ht="15.75">
      <c r="C557" s="9"/>
      <c r="D557" s="9"/>
      <c r="E557" s="9"/>
      <c r="G557" s="541" t="s">
        <v>646</v>
      </c>
      <c r="H557" s="533">
        <v>1</v>
      </c>
      <c r="I557" s="9"/>
      <c r="J557" s="539">
        <f>(H557/H547)*J548</f>
        <v>2</v>
      </c>
      <c r="K557" s="197"/>
      <c r="L557" s="197"/>
      <c r="M557" s="370"/>
      <c r="N557" s="370"/>
      <c r="O557" s="370"/>
      <c r="P557" s="1518"/>
      <c r="W557" s="541" t="s">
        <v>646</v>
      </c>
      <c r="X557" s="533">
        <v>1</v>
      </c>
      <c r="Y557" s="9"/>
      <c r="Z557" s="539">
        <f>(X557/X547)*Z548</f>
        <v>2</v>
      </c>
      <c r="AA557" s="197"/>
      <c r="AB557" s="197"/>
      <c r="AC557" s="370"/>
      <c r="AD557" s="370"/>
      <c r="AE557" s="370"/>
      <c r="AF557" s="1518"/>
      <c r="AI557" s="9"/>
      <c r="AJ557" s="9"/>
      <c r="AK557" s="9"/>
      <c r="AL557" s="9"/>
      <c r="AM557" s="541" t="s">
        <v>646</v>
      </c>
      <c r="AN557" s="533">
        <v>1</v>
      </c>
      <c r="AO557" s="9"/>
      <c r="AP557" s="539">
        <f>(AN557/AN547)*AP548</f>
        <v>2</v>
      </c>
      <c r="AQ557" s="197"/>
      <c r="AR557" s="197"/>
      <c r="AS557" s="370"/>
      <c r="AT557" s="370"/>
      <c r="AU557" s="370"/>
      <c r="AV557" s="1518" t="s">
        <v>1419</v>
      </c>
      <c r="BV557" s="3">
        <v>1</v>
      </c>
    </row>
    <row r="558" spans="3:74" ht="15.75">
      <c r="C558" s="9"/>
      <c r="D558" s="9"/>
      <c r="E558" s="9"/>
      <c r="G558" s="496" t="s">
        <v>198</v>
      </c>
      <c r="H558" s="497"/>
      <c r="I558" s="497"/>
      <c r="J558" s="497"/>
      <c r="K558" s="497"/>
      <c r="L558" s="497"/>
      <c r="M558" s="497"/>
      <c r="N558" s="497"/>
      <c r="O558" s="497"/>
      <c r="P558" s="1520"/>
      <c r="W558" s="496" t="s">
        <v>900</v>
      </c>
      <c r="X558" s="497"/>
      <c r="Y558" s="497"/>
      <c r="Z558" s="497"/>
      <c r="AA558" s="497"/>
      <c r="AB558" s="497"/>
      <c r="AC558" s="497"/>
      <c r="AD558" s="497"/>
      <c r="AE558" s="497"/>
      <c r="AF558" s="1520"/>
      <c r="AI558" s="9"/>
      <c r="AJ558" s="9"/>
      <c r="AK558" s="9"/>
      <c r="AL558" s="9"/>
      <c r="AM558" s="496" t="s">
        <v>1429</v>
      </c>
      <c r="AN558" s="497"/>
      <c r="AO558" s="497"/>
      <c r="AP558" s="497"/>
      <c r="AQ558" s="497"/>
      <c r="AR558" s="497"/>
      <c r="AS558" s="497"/>
      <c r="AT558" s="497"/>
      <c r="AU558" s="497"/>
      <c r="AV558" s="1520"/>
      <c r="BV558" s="3">
        <v>1</v>
      </c>
    </row>
    <row r="559" spans="3:74" ht="15.75">
      <c r="C559" s="9"/>
      <c r="D559" s="9"/>
      <c r="E559" s="9"/>
      <c r="G559" s="307" t="s">
        <v>200</v>
      </c>
      <c r="H559" s="201"/>
      <c r="I559" s="201"/>
      <c r="J559" s="201"/>
      <c r="K559" s="201"/>
      <c r="L559" s="201"/>
      <c r="M559" s="449"/>
      <c r="N559" s="449"/>
      <c r="O559" s="449"/>
      <c r="P559" s="1517"/>
      <c r="W559" s="307" t="s">
        <v>1430</v>
      </c>
      <c r="X559" s="201"/>
      <c r="Y559" s="201"/>
      <c r="Z559" s="201"/>
      <c r="AA559" s="201"/>
      <c r="AB559" s="201"/>
      <c r="AC559" s="449"/>
      <c r="AD559" s="449"/>
      <c r="AE559" s="449"/>
      <c r="AF559" s="1517" t="s">
        <v>1418</v>
      </c>
      <c r="AI559" s="9"/>
      <c r="AJ559" s="9"/>
      <c r="AK559" s="9"/>
      <c r="AL559" s="9"/>
      <c r="AM559" s="307" t="s">
        <v>1431</v>
      </c>
      <c r="AN559" s="201"/>
      <c r="AO559" s="201"/>
      <c r="AP559" s="201"/>
      <c r="AQ559" s="201"/>
      <c r="AR559" s="201"/>
      <c r="AS559" s="449"/>
      <c r="AT559" s="449"/>
      <c r="AU559" s="449"/>
      <c r="AV559" s="1517"/>
      <c r="BV559" s="3">
        <v>1</v>
      </c>
    </row>
    <row r="560" spans="3:74">
      <c r="C560" s="9"/>
      <c r="D560" s="9"/>
      <c r="E560" s="9"/>
      <c r="G560"/>
      <c r="H560"/>
      <c r="I560"/>
      <c r="J560"/>
      <c r="K560"/>
      <c r="L560"/>
      <c r="M560"/>
      <c r="N560"/>
      <c r="O560"/>
      <c r="P560"/>
      <c r="V560"/>
      <c r="W560"/>
      <c r="X560"/>
      <c r="Y560"/>
      <c r="Z560"/>
      <c r="AA560"/>
      <c r="AB560"/>
      <c r="AC560"/>
      <c r="AD560"/>
      <c r="AE560"/>
      <c r="AF560"/>
      <c r="AI560" s="9"/>
      <c r="AJ560" s="9"/>
      <c r="AK560" s="9"/>
      <c r="AL560" s="9"/>
      <c r="AM560"/>
      <c r="AN560"/>
      <c r="AO560"/>
      <c r="AP560"/>
      <c r="AQ560"/>
      <c r="AR560"/>
      <c r="AS560"/>
      <c r="AT560"/>
      <c r="AU560"/>
      <c r="AV560"/>
      <c r="BV560" s="3">
        <v>1</v>
      </c>
    </row>
    <row r="561" spans="1:74" ht="15.75">
      <c r="C561" s="9"/>
      <c r="D561" s="9"/>
      <c r="E561" s="9"/>
      <c r="G561" s="232" t="s">
        <v>167</v>
      </c>
      <c r="H561" s="233"/>
      <c r="I561" s="233"/>
      <c r="J561" s="233"/>
      <c r="K561" s="233"/>
      <c r="L561" s="234"/>
      <c r="M561" s="234"/>
      <c r="N561" s="234"/>
      <c r="O561" s="234"/>
      <c r="P561" s="651" t="s">
        <v>654</v>
      </c>
      <c r="W561" s="232" t="s">
        <v>752</v>
      </c>
      <c r="X561" s="233"/>
      <c r="Y561" s="233"/>
      <c r="Z561" s="233"/>
      <c r="AA561" s="233"/>
      <c r="AB561" s="234"/>
      <c r="AC561" s="234"/>
      <c r="AD561" s="234"/>
      <c r="AE561" s="234"/>
      <c r="AF561" s="651" t="s">
        <v>1608</v>
      </c>
      <c r="AI561" s="9"/>
      <c r="AJ561" s="9"/>
      <c r="AK561" s="9"/>
      <c r="AL561" s="9"/>
      <c r="AM561" s="232" t="s">
        <v>754</v>
      </c>
      <c r="AN561" s="233"/>
      <c r="AO561" s="233"/>
      <c r="AP561" s="233"/>
      <c r="AQ561" s="233"/>
      <c r="AR561" s="234"/>
      <c r="AS561" s="234"/>
      <c r="AT561" s="234"/>
      <c r="AU561" s="234"/>
      <c r="AV561" s="651" t="s">
        <v>1609</v>
      </c>
      <c r="BV561" s="3">
        <v>1</v>
      </c>
    </row>
    <row r="562" spans="1:74" ht="15.75">
      <c r="C562" s="9"/>
      <c r="D562" s="9"/>
      <c r="E562" s="9"/>
      <c r="G562" s="558" t="s">
        <v>1</v>
      </c>
      <c r="H562" s="559" t="s">
        <v>2</v>
      </c>
      <c r="I562" s="560"/>
      <c r="J562" s="561" t="s">
        <v>657</v>
      </c>
      <c r="K562" s="559" t="s">
        <v>11</v>
      </c>
      <c r="L562" s="559" t="s">
        <v>658</v>
      </c>
      <c r="M562" s="597" t="s">
        <v>659</v>
      </c>
      <c r="N562" s="1524"/>
      <c r="O562" s="1524"/>
      <c r="P562" s="1525"/>
      <c r="W562" s="558" t="s">
        <v>1</v>
      </c>
      <c r="X562" s="559" t="s">
        <v>2</v>
      </c>
      <c r="Y562" s="560"/>
      <c r="Z562" s="561" t="s">
        <v>657</v>
      </c>
      <c r="AA562" s="559" t="s">
        <v>11</v>
      </c>
      <c r="AB562" s="559" t="s">
        <v>658</v>
      </c>
      <c r="AC562" s="597" t="s">
        <v>1610</v>
      </c>
      <c r="AD562" s="1524"/>
      <c r="AE562" s="1524"/>
      <c r="AF562" s="1525"/>
      <c r="AI562" s="9"/>
      <c r="AJ562" s="9"/>
      <c r="AK562" s="9"/>
      <c r="AL562" s="9"/>
      <c r="AM562" s="558" t="s">
        <v>1</v>
      </c>
      <c r="AN562" s="559" t="s">
        <v>2</v>
      </c>
      <c r="AO562" s="560"/>
      <c r="AP562" s="561" t="s">
        <v>657</v>
      </c>
      <c r="AQ562" s="559" t="s">
        <v>11</v>
      </c>
      <c r="AR562" s="559" t="s">
        <v>658</v>
      </c>
      <c r="AS562" s="597" t="s">
        <v>1611</v>
      </c>
      <c r="AT562" s="1524"/>
      <c r="AU562" s="1524"/>
      <c r="AV562" s="1525"/>
      <c r="BV562" s="3">
        <v>1</v>
      </c>
    </row>
    <row r="563" spans="1:74" ht="15.75">
      <c r="C563" s="9"/>
      <c r="D563" s="9"/>
      <c r="E563" s="9"/>
      <c r="G563" s="562" t="str">
        <f>"cellule "&amp;ADDRESS(ROW(M563),COLUMN(M563),4)&amp;"  vous pouvez saisir un autre poids"</f>
        <v>cellule M563  vous pouvez saisir un autre poids</v>
      </c>
      <c r="H563" s="563"/>
      <c r="I563" s="564"/>
      <c r="J563" s="231"/>
      <c r="K563" s="563"/>
      <c r="L563"/>
      <c r="M563" s="565">
        <v>1</v>
      </c>
      <c r="N563" s="1524"/>
      <c r="O563" s="1524"/>
      <c r="P563" s="1525"/>
      <c r="W563" s="562" t="str">
        <f>"cell "&amp;ADDRESS(ROW(AC563),COLUMN(AC563),4)&amp;"  you can enter another weight"</f>
        <v>cell AC563  you can enter another weight</v>
      </c>
      <c r="X563" s="563"/>
      <c r="Y563" s="564"/>
      <c r="Z563" s="231"/>
      <c r="AA563" s="563"/>
      <c r="AB563"/>
      <c r="AC563" s="565">
        <v>1</v>
      </c>
      <c r="AD563" s="1524"/>
      <c r="AE563" s="1524"/>
      <c r="AF563" s="1525"/>
      <c r="AI563" s="9"/>
      <c r="AJ563" s="9"/>
      <c r="AK563" s="9"/>
      <c r="AL563" s="9"/>
      <c r="AM563" s="562" t="str">
        <f>"celda "&amp;ADDRESS(ROW(AS563),COLUMN(AS563),4)&amp;"  puede introducir otro peso"</f>
        <v>celda AS563  puede introducir otro peso</v>
      </c>
      <c r="AN563" s="563"/>
      <c r="AO563" s="564"/>
      <c r="AP563" s="231"/>
      <c r="AQ563" s="563"/>
      <c r="AR563"/>
      <c r="AS563" s="565">
        <v>1</v>
      </c>
      <c r="AT563" s="1524"/>
      <c r="AU563" s="1524"/>
      <c r="AV563" s="1525"/>
      <c r="BV563" s="3">
        <v>1</v>
      </c>
    </row>
    <row r="564" spans="1:74">
      <c r="A564" s="3">
        <v>1</v>
      </c>
      <c r="C564" s="9"/>
      <c r="D564" s="9"/>
      <c r="E564" s="9"/>
      <c r="G564" s="568">
        <v>100</v>
      </c>
      <c r="H564" s="569">
        <v>120</v>
      </c>
      <c r="I564" s="570"/>
      <c r="J564" s="569">
        <v>180</v>
      </c>
      <c r="K564" s="569">
        <v>180</v>
      </c>
      <c r="L564" s="569">
        <v>200</v>
      </c>
      <c r="M564" s="571" t="s">
        <v>665</v>
      </c>
      <c r="N564" s="1524"/>
      <c r="O564" s="1524"/>
      <c r="P564" s="1525"/>
      <c r="W564" s="568">
        <v>100</v>
      </c>
      <c r="X564" s="569">
        <v>120</v>
      </c>
      <c r="Y564" s="570"/>
      <c r="Z564" s="569">
        <v>180</v>
      </c>
      <c r="AA564" s="569">
        <v>180</v>
      </c>
      <c r="AB564" s="569">
        <v>200</v>
      </c>
      <c r="AC564" s="571" t="s">
        <v>1612</v>
      </c>
      <c r="AD564" s="1524"/>
      <c r="AE564" s="1524"/>
      <c r="AF564" s="1525"/>
      <c r="AI564" s="9"/>
      <c r="AJ564" s="9"/>
      <c r="AK564" s="9"/>
      <c r="AL564" s="9"/>
      <c r="AM564" s="568">
        <v>100</v>
      </c>
      <c r="AN564" s="569">
        <v>120</v>
      </c>
      <c r="AO564" s="570"/>
      <c r="AP564" s="569">
        <v>180</v>
      </c>
      <c r="AQ564" s="569">
        <v>180</v>
      </c>
      <c r="AR564" s="569">
        <v>200</v>
      </c>
      <c r="AS564" s="571" t="s">
        <v>1613</v>
      </c>
      <c r="AT564" s="1524"/>
      <c r="AU564" s="1524"/>
      <c r="AV564" s="1525"/>
      <c r="BV564" s="3">
        <v>1</v>
      </c>
    </row>
    <row r="565" spans="1:74" ht="15.75">
      <c r="C565" s="9"/>
      <c r="D565" s="9"/>
      <c r="E565" s="9"/>
      <c r="G565" s="577">
        <f>IF(MOD(M563*1000/G564,1)=0,M563*1000/G564,IF(MOD(M563*1000/G564,1)&lt;0.5,INT(M563*1000/G564),INT(M563*1000/G564)+1))</f>
        <v>10</v>
      </c>
      <c r="H565" s="578">
        <f>IF(MOD(M563*1000/H564,1)=0,M563*1000/H564,IF(MOD(M563*1000/H564,1)&lt;0.5,INT(M563*1000/H564),INT(M563*1000/H564)+1))</f>
        <v>8</v>
      </c>
      <c r="I565" s="579"/>
      <c r="J565" s="578">
        <f>IF(MOD(M563*1000/J564,1)=0,M563*1000/J564,IF(MOD(M563*1000/J564,1)&lt;0.5,INT(M563*1000/J564),INT(M563*1000/J564)+1))</f>
        <v>6</v>
      </c>
      <c r="K565" s="578">
        <f>IF(MOD(M563*1000/K564,1)=0,M563*1000/K564,IF(MOD(M563*1000/K564,1)&lt;0.5,INT(M563*1000/K564),INT(M563*1000/K564)+1))</f>
        <v>6</v>
      </c>
      <c r="L565" s="578">
        <f>IF(MOD(M563*1000/L564,1)=0,M563*1000/L564,IF(MOD(M563*1000/L564,1)&lt;0.5,INT(M563*1000/L564),INT(M563*1000/L564)+1))</f>
        <v>5</v>
      </c>
      <c r="M565" s="580" t="s">
        <v>666</v>
      </c>
      <c r="N565" s="1524"/>
      <c r="O565" s="1524"/>
      <c r="P565" s="1525"/>
      <c r="W565" s="577">
        <f>IF(MOD(AC563*1000/W564,1)=0,AC563*1000/W564,IF(MOD(AC563*1000/W564,1)&lt;0.5,INT(AC563*1000/W564),INT(AC563*1000/W564)+1))</f>
        <v>10</v>
      </c>
      <c r="X565" s="578">
        <f>IF(MOD(AC563*1000/X564,1)=0,AC563*1000/X564,IF(MOD(AC563*1000/X564,1)&lt;0.5,INT(AC563*1000/X564),INT(AC563*1000/X564)+1))</f>
        <v>8</v>
      </c>
      <c r="Y565" s="579"/>
      <c r="Z565" s="578">
        <f>IF(MOD(AC563*1000/Z564,1)=0,AC563*1000/Z564,IF(MOD(AC563*1000/Z564,1)&lt;0.5,INT(AC563*1000/Z564),INT(AC563*1000/Z564)+1))</f>
        <v>6</v>
      </c>
      <c r="AA565" s="578">
        <f>IF(MOD(AC563*1000/AA564,1)=0,AC563*1000/AA564,IF(MOD(AC563*1000/AA564,1)&lt;0.5,INT(AC563*1000/AA564),INT(AC563*1000/AA564)+1))</f>
        <v>6</v>
      </c>
      <c r="AB565" s="578">
        <f>IF(MOD(AC563*1000/AB564,1)=0,AC563*1000/AB564,IF(MOD(AC563*1000/AB564,1)&lt;0.5,INT(AC563*1000/AB564),INT(AC563*1000/AB564)+1))</f>
        <v>5</v>
      </c>
      <c r="AC565" s="580" t="s">
        <v>666</v>
      </c>
      <c r="AD565" s="1524"/>
      <c r="AE565" s="1524"/>
      <c r="AF565" s="1525"/>
      <c r="AI565" s="9"/>
      <c r="AJ565" s="9"/>
      <c r="AK565" s="9"/>
      <c r="AL565" s="9"/>
      <c r="AM565" s="577">
        <f>IF(MOD(AS563*1000/AM564,1)=0,AS563*1000/AM564,IF(MOD(AS563*1000/AM564,1)&lt;0.5,INT(AS563*1000/AM564),INT(AS563*1000/AM564)+1))</f>
        <v>10</v>
      </c>
      <c r="AN565" s="578">
        <f>IF(MOD(AS563*1000/AN564,1)=0,AS563*1000/AN564,IF(MOD(AS563*1000/AN564,1)&lt;0.5,INT(AS563*1000/AN564),INT(AS563*1000/AN564)+1))</f>
        <v>8</v>
      </c>
      <c r="AO565" s="579"/>
      <c r="AP565" s="578">
        <f>IF(MOD(AS563*1000/AP564,1)=0,AS563*1000/AP564,IF(MOD(AS563*1000/AP564,1)&lt;0.5,INT(AS563*1000/AP564),INT(AS563*1000/AP564)+1))</f>
        <v>6</v>
      </c>
      <c r="AQ565" s="578">
        <f>IF(MOD(AS563*1000/AQ564,1)=0,AS563*1000/AQ564,IF(MOD(AS563*1000/AQ564,1)&lt;0.5,INT(AS563*1000/AQ564),INT(AS563*1000/AQ564)+1))</f>
        <v>6</v>
      </c>
      <c r="AR565" s="578">
        <f>IF(MOD(AS563*1000/AR564,1)=0,AS563*1000/AR564,IF(MOD(AS563*1000/AR564,1)&lt;0.5,INT(AS563*1000/AR564),INT(AS563*1000/AR564)+1))</f>
        <v>5</v>
      </c>
      <c r="AS565" s="580" t="s">
        <v>1614</v>
      </c>
      <c r="AT565" s="1524"/>
      <c r="AU565" s="1524"/>
      <c r="AV565" s="1525"/>
      <c r="BV565" s="3">
        <v>1</v>
      </c>
    </row>
    <row r="566" spans="1:74" ht="15.75">
      <c r="C566" s="9"/>
      <c r="D566" s="9"/>
      <c r="E566" s="9"/>
      <c r="G566" s="562" t="str">
        <f>"cellule "&amp;ADDRESS(ROW(M566),COLUMN(M566),4)&amp;"  vous pouvez saisir un autre poids"</f>
        <v>cellule M566  vous pouvez saisir un autre poids</v>
      </c>
      <c r="H566" s="570"/>
      <c r="I566" s="583"/>
      <c r="J566" s="9"/>
      <c r="K566" s="570"/>
      <c r="L566"/>
      <c r="M566" s="584">
        <v>1</v>
      </c>
      <c r="N566" s="1524"/>
      <c r="O566" s="1524"/>
      <c r="P566" s="1525"/>
      <c r="W566" s="562" t="str">
        <f>"cell "&amp;ADDRESS(ROW(AC566),COLUMN(AC566),4)&amp;"  you can enter another weight"</f>
        <v>cell AC566  you can enter another weight</v>
      </c>
      <c r="X566" s="570"/>
      <c r="Y566" s="583"/>
      <c r="Z566" s="9"/>
      <c r="AA566" s="570"/>
      <c r="AB566"/>
      <c r="AC566" s="584">
        <v>1</v>
      </c>
      <c r="AD566" s="1524"/>
      <c r="AE566" s="1524"/>
      <c r="AF566" s="1525"/>
      <c r="AI566" s="9"/>
      <c r="AJ566" s="9"/>
      <c r="AK566" s="9"/>
      <c r="AL566" s="9"/>
      <c r="AM566" s="562" t="str">
        <f>"celda  "&amp;ADDRESS(ROW(AS566),COLUMN(AS566),4)&amp;"  puede introducir otro peso"</f>
        <v>celda  AS566  puede introducir otro peso</v>
      </c>
      <c r="AN566" s="570"/>
      <c r="AO566" s="583"/>
      <c r="AP566" s="9"/>
      <c r="AQ566" s="570"/>
      <c r="AR566"/>
      <c r="AS566" s="584">
        <v>1</v>
      </c>
      <c r="AT566" s="1524"/>
      <c r="AU566" s="1524"/>
      <c r="AV566" s="1525"/>
      <c r="BV566" s="3">
        <v>1</v>
      </c>
    </row>
    <row r="567" spans="1:74">
      <c r="C567" s="9"/>
      <c r="D567" s="9"/>
      <c r="E567" s="9"/>
      <c r="G567" s="585">
        <v>10</v>
      </c>
      <c r="H567" s="533">
        <v>8</v>
      </c>
      <c r="I567" s="586"/>
      <c r="J567" s="533">
        <v>5</v>
      </c>
      <c r="K567" s="533">
        <v>6</v>
      </c>
      <c r="L567" s="533">
        <v>10</v>
      </c>
      <c r="M567" s="587" t="s">
        <v>667</v>
      </c>
      <c r="N567" s="1524"/>
      <c r="O567" s="1524"/>
      <c r="P567" s="1525"/>
      <c r="W567" s="585">
        <v>10</v>
      </c>
      <c r="X567" s="533">
        <v>8</v>
      </c>
      <c r="Y567" s="586"/>
      <c r="Z567" s="533">
        <v>5</v>
      </c>
      <c r="AA567" s="533">
        <v>6</v>
      </c>
      <c r="AB567" s="533">
        <v>10</v>
      </c>
      <c r="AC567" s="587" t="s">
        <v>1615</v>
      </c>
      <c r="AD567" s="1524"/>
      <c r="AE567" s="1524"/>
      <c r="AF567" s="1525"/>
      <c r="AI567" s="9"/>
      <c r="AJ567" s="9"/>
      <c r="AK567" s="9"/>
      <c r="AL567" s="9"/>
      <c r="AM567" s="585">
        <v>10</v>
      </c>
      <c r="AN567" s="533">
        <v>8</v>
      </c>
      <c r="AO567" s="586"/>
      <c r="AP567" s="533">
        <v>5</v>
      </c>
      <c r="AQ567" s="533">
        <v>6</v>
      </c>
      <c r="AR567" s="533">
        <v>10</v>
      </c>
      <c r="AS567" s="587" t="s">
        <v>1616</v>
      </c>
      <c r="AT567" s="1524"/>
      <c r="AU567" s="1524"/>
      <c r="AV567" s="1525"/>
      <c r="BV567" s="3">
        <v>1</v>
      </c>
    </row>
    <row r="568" spans="1:74">
      <c r="C568" s="9"/>
      <c r="D568" s="9"/>
      <c r="E568" s="9"/>
      <c r="G568" s="592">
        <f>M566/G567*1000</f>
        <v>100</v>
      </c>
      <c r="H568" s="593">
        <f>M566/H567*1000</f>
        <v>125</v>
      </c>
      <c r="I568" s="594"/>
      <c r="J568" s="593">
        <f>M566/J567*1000</f>
        <v>200</v>
      </c>
      <c r="K568" s="593">
        <f>M566/K567*1000</f>
        <v>166.66666666666666</v>
      </c>
      <c r="L568" s="593">
        <f>M566/L567*1000</f>
        <v>100</v>
      </c>
      <c r="M568" s="580" t="s">
        <v>671</v>
      </c>
      <c r="N568" s="1524"/>
      <c r="O568" s="1524"/>
      <c r="P568" s="1525"/>
      <c r="W568" s="592">
        <f>AC566/W567*1000</f>
        <v>100</v>
      </c>
      <c r="X568" s="593">
        <f>AC566/X567*1000</f>
        <v>125</v>
      </c>
      <c r="Y568" s="594"/>
      <c r="Z568" s="593">
        <f>AC566/Z567*1000</f>
        <v>200</v>
      </c>
      <c r="AA568" s="593">
        <f>AC566/AA567*1000</f>
        <v>166.66666666666666</v>
      </c>
      <c r="AB568" s="593">
        <f>AC566/AB567*1000</f>
        <v>100</v>
      </c>
      <c r="AC568" s="580" t="s">
        <v>1617</v>
      </c>
      <c r="AD568" s="1524"/>
      <c r="AE568" s="1524"/>
      <c r="AF568" s="1525"/>
      <c r="AI568" s="9"/>
      <c r="AJ568" s="9"/>
      <c r="AK568" s="9"/>
      <c r="AL568" s="9"/>
      <c r="AM568" s="592">
        <f>AS566/AM567*1000</f>
        <v>100</v>
      </c>
      <c r="AN568" s="593">
        <f>AS566/AN567*1000</f>
        <v>125</v>
      </c>
      <c r="AO568" s="594"/>
      <c r="AP568" s="593">
        <f>AS566/AP567*1000</f>
        <v>200</v>
      </c>
      <c r="AQ568" s="593">
        <f>AS566/AQ567*1000</f>
        <v>166.66666666666666</v>
      </c>
      <c r="AR568" s="593">
        <f>AS566/AR567*1000</f>
        <v>100</v>
      </c>
      <c r="AS568" s="580" t="s">
        <v>1618</v>
      </c>
      <c r="AT568" s="1524"/>
      <c r="AU568" s="1524"/>
      <c r="AV568" s="1525"/>
      <c r="BV568" s="3">
        <v>1</v>
      </c>
    </row>
    <row r="569" spans="1:74" ht="15.75">
      <c r="C569" s="9"/>
      <c r="D569" s="9"/>
      <c r="E569" s="9"/>
      <c r="G569" s="597" t="s">
        <v>659</v>
      </c>
      <c r="H569" s="598"/>
      <c r="I569" s="599" t="s">
        <v>674</v>
      </c>
      <c r="J569" s="598"/>
      <c r="K569" s="598"/>
      <c r="L569" s="599" t="s">
        <v>675</v>
      </c>
      <c r="M569" s="197"/>
      <c r="N569" s="1524"/>
      <c r="O569" s="1524"/>
      <c r="P569" s="1525"/>
      <c r="W569" s="597" t="s">
        <v>1610</v>
      </c>
      <c r="X569" s="598"/>
      <c r="Y569" s="599" t="s">
        <v>1619</v>
      </c>
      <c r="Z569" s="598"/>
      <c r="AA569" s="598"/>
      <c r="AB569" s="599" t="s">
        <v>1620</v>
      </c>
      <c r="AC569" s="197"/>
      <c r="AD569" s="1524"/>
      <c r="AE569" s="1524"/>
      <c r="AF569" s="1525"/>
      <c r="AI569" s="9"/>
      <c r="AJ569" s="9"/>
      <c r="AK569" s="9"/>
      <c r="AL569" s="9"/>
      <c r="AM569" s="597" t="s">
        <v>1611</v>
      </c>
      <c r="AN569" s="598"/>
      <c r="AO569" s="599" t="s">
        <v>1621</v>
      </c>
      <c r="AP569" s="598"/>
      <c r="AQ569" s="598"/>
      <c r="AR569" s="599" t="s">
        <v>1622</v>
      </c>
      <c r="AS569" s="197"/>
      <c r="AT569" s="1524"/>
      <c r="AU569" s="1524"/>
      <c r="AV569" s="1525"/>
      <c r="BV569" s="3">
        <v>1</v>
      </c>
    </row>
    <row r="570" spans="1:74" ht="15.75">
      <c r="C570" s="9"/>
      <c r="D570" s="9"/>
      <c r="E570" s="9"/>
      <c r="G570" s="597" t="s">
        <v>678</v>
      </c>
      <c r="H570" s="598"/>
      <c r="I570" s="932" t="s">
        <v>679</v>
      </c>
      <c r="J570" s="598"/>
      <c r="K570" s="598"/>
      <c r="L570" s="599" t="s">
        <v>680</v>
      </c>
      <c r="M570" s="1529" t="s">
        <v>681</v>
      </c>
      <c r="N570" s="1530"/>
      <c r="O570" s="1530"/>
      <c r="P570" s="1531"/>
      <c r="W570" s="597" t="s">
        <v>1623</v>
      </c>
      <c r="X570" s="598"/>
      <c r="Y570" s="932" t="s">
        <v>1624</v>
      </c>
      <c r="Z570" s="598"/>
      <c r="AA570" s="598"/>
      <c r="AB570" s="599" t="s">
        <v>1625</v>
      </c>
      <c r="AC570" s="1529" t="s">
        <v>1626</v>
      </c>
      <c r="AD570" s="1530"/>
      <c r="AE570" s="1530"/>
      <c r="AF570" s="1531"/>
      <c r="AI570" s="9"/>
      <c r="AJ570" s="9"/>
      <c r="AK570" s="9"/>
      <c r="AL570" s="9"/>
      <c r="AM570" s="597" t="s">
        <v>1627</v>
      </c>
      <c r="AN570" s="598"/>
      <c r="AO570" s="932" t="s">
        <v>1628</v>
      </c>
      <c r="AP570" s="598"/>
      <c r="AQ570" s="598"/>
      <c r="AR570" s="599" t="s">
        <v>1629</v>
      </c>
      <c r="AS570" s="1529" t="s">
        <v>1630</v>
      </c>
      <c r="AT570" s="1530"/>
      <c r="AU570" s="1530"/>
      <c r="AV570" s="1531"/>
      <c r="BV570" s="3">
        <v>1</v>
      </c>
    </row>
    <row r="571" spans="1:74" ht="15.75">
      <c r="C571" s="9"/>
      <c r="D571" s="9"/>
      <c r="E571" s="9"/>
      <c r="G571" s="934" t="s">
        <v>3328</v>
      </c>
      <c r="H571" s="162"/>
      <c r="I571" s="162"/>
      <c r="J571" s="1527"/>
      <c r="K571" s="1527"/>
      <c r="L571" s="1527"/>
      <c r="M571" s="1527"/>
      <c r="N571" s="1527"/>
      <c r="O571" s="1527"/>
      <c r="P571" s="1528"/>
      <c r="W571" s="934" t="s">
        <v>3327</v>
      </c>
      <c r="X571" s="162"/>
      <c r="Y571" s="162"/>
      <c r="Z571" s="1527"/>
      <c r="AA571" s="1527"/>
      <c r="AB571" s="1527"/>
      <c r="AC571" s="1527"/>
      <c r="AD571" s="1527"/>
      <c r="AE571" s="1527"/>
      <c r="AF571" s="1528"/>
      <c r="AI571" s="9"/>
      <c r="AJ571" s="9"/>
      <c r="AK571" s="9"/>
      <c r="AL571" s="9"/>
      <c r="AM571" s="934" t="s">
        <v>3325</v>
      </c>
      <c r="AN571" s="162"/>
      <c r="AO571" s="162"/>
      <c r="AP571" s="1527"/>
      <c r="AQ571" s="1527"/>
      <c r="AR571" s="1527"/>
      <c r="AS571" s="1527"/>
      <c r="AT571" s="1527"/>
      <c r="AU571" s="1527"/>
      <c r="AV571" s="1528"/>
      <c r="BV571" s="3">
        <v>1</v>
      </c>
    </row>
    <row r="572" spans="1:74">
      <c r="C572" s="9"/>
      <c r="D572" s="9"/>
      <c r="E572" s="9"/>
      <c r="G572" s="1523"/>
      <c r="H572" s="1524"/>
      <c r="I572" s="1524"/>
      <c r="J572" s="1524"/>
      <c r="K572" s="1524"/>
      <c r="L572" s="1524"/>
      <c r="M572" s="1524"/>
      <c r="N572" s="1524"/>
      <c r="O572" s="1524"/>
      <c r="P572" s="1525"/>
      <c r="W572" s="1523"/>
      <c r="X572" s="1524"/>
      <c r="Y572" s="1524"/>
      <c r="Z572" s="1524"/>
      <c r="AA572" s="1524"/>
      <c r="AB572" s="1524"/>
      <c r="AC572" s="1524"/>
      <c r="AD572" s="1524"/>
      <c r="AE572" s="1524"/>
      <c r="AF572" s="1525"/>
      <c r="AI572" s="9"/>
      <c r="AJ572" s="9"/>
      <c r="AK572" s="9"/>
      <c r="AL572" s="9"/>
      <c r="AM572" s="1523"/>
      <c r="AN572" s="1524"/>
      <c r="AO572" s="1524"/>
      <c r="AP572" s="1524"/>
      <c r="AQ572" s="1524"/>
      <c r="AR572" s="1524"/>
      <c r="AS572" s="1524"/>
      <c r="AT572" s="1524"/>
      <c r="AU572" s="1524"/>
      <c r="AV572" s="1525"/>
      <c r="BV572" s="3">
        <v>1</v>
      </c>
    </row>
    <row r="573" spans="1:74">
      <c r="C573" s="9"/>
      <c r="D573" s="9"/>
      <c r="E573" s="9"/>
      <c r="G573" s="1523"/>
      <c r="H573" s="1524"/>
      <c r="I573" s="1524"/>
      <c r="J573" s="1524"/>
      <c r="K573" s="1524"/>
      <c r="L573" s="1524"/>
      <c r="M573" s="1526"/>
      <c r="N573" s="1524"/>
      <c r="O573" s="1524"/>
      <c r="P573" s="1525"/>
      <c r="W573" s="1523"/>
      <c r="X573" s="1524"/>
      <c r="Y573" s="1524"/>
      <c r="Z573" s="1524"/>
      <c r="AA573" s="1524"/>
      <c r="AB573" s="1524"/>
      <c r="AC573" s="1526"/>
      <c r="AD573" s="1524"/>
      <c r="AE573" s="1524"/>
      <c r="AF573" s="1525"/>
      <c r="AI573" s="9"/>
      <c r="AJ573" s="9"/>
      <c r="AK573" s="9"/>
      <c r="AL573" s="9"/>
      <c r="AM573" s="1523"/>
      <c r="AN573" s="1524"/>
      <c r="AO573" s="1524"/>
      <c r="AP573" s="1524"/>
      <c r="AQ573" s="1524"/>
      <c r="AR573" s="1524"/>
      <c r="AS573" s="1526"/>
      <c r="AT573" s="1524"/>
      <c r="AU573" s="1524"/>
      <c r="AV573" s="1525"/>
      <c r="BV573" s="3">
        <v>1</v>
      </c>
    </row>
    <row r="574" spans="1:74">
      <c r="C574" s="9"/>
      <c r="D574" s="9"/>
      <c r="E574" s="9"/>
      <c r="G574" s="1523"/>
      <c r="H574" s="1524"/>
      <c r="I574" s="1524"/>
      <c r="J574" s="1524"/>
      <c r="K574" s="1524"/>
      <c r="L574" s="1524"/>
      <c r="M574" s="1526"/>
      <c r="N574" s="1524"/>
      <c r="O574" s="1524"/>
      <c r="P574" s="1525"/>
      <c r="W574" s="1523"/>
      <c r="X574" s="1524"/>
      <c r="Y574" s="1524"/>
      <c r="Z574" s="1524"/>
      <c r="AA574" s="1524"/>
      <c r="AB574" s="1524"/>
      <c r="AC574" s="1526"/>
      <c r="AD574" s="1524"/>
      <c r="AE574" s="1524"/>
      <c r="AF574" s="1525"/>
      <c r="AI574" s="9"/>
      <c r="AJ574" s="9"/>
      <c r="AK574" s="9"/>
      <c r="AL574" s="9"/>
      <c r="AM574" s="1523"/>
      <c r="AN574" s="1524"/>
      <c r="AO574" s="1524"/>
      <c r="AP574" s="1524"/>
      <c r="AQ574" s="1524"/>
      <c r="AR574" s="1524"/>
      <c r="AS574" s="1526"/>
      <c r="AT574" s="1524"/>
      <c r="AU574" s="1524"/>
      <c r="AV574" s="1525"/>
      <c r="BV574" s="3">
        <v>1</v>
      </c>
    </row>
    <row r="575" spans="1:74">
      <c r="C575" s="9"/>
      <c r="D575" s="9"/>
      <c r="E575" s="9"/>
      <c r="G575" s="367"/>
      <c r="H575" s="368"/>
      <c r="I575" s="368"/>
      <c r="J575" s="368"/>
      <c r="K575" s="368"/>
      <c r="L575" s="368"/>
      <c r="M575" s="369" t="s">
        <v>197</v>
      </c>
      <c r="N575" s="369"/>
      <c r="O575" s="369"/>
      <c r="P575" s="1518"/>
      <c r="W575" s="367"/>
      <c r="X575" s="368"/>
      <c r="Y575" s="368"/>
      <c r="Z575" s="368"/>
      <c r="AA575" s="368"/>
      <c r="AB575" s="368"/>
      <c r="AC575" s="369"/>
      <c r="AD575" s="369"/>
      <c r="AE575" s="369"/>
      <c r="AF575" s="1518" t="s">
        <v>1418</v>
      </c>
      <c r="AI575" s="9"/>
      <c r="AJ575" s="9"/>
      <c r="AK575" s="9"/>
      <c r="AL575" s="9"/>
      <c r="AM575" s="367"/>
      <c r="AN575" s="368"/>
      <c r="AO575" s="368"/>
      <c r="AP575" s="368"/>
      <c r="AQ575" s="368"/>
      <c r="AR575" s="368"/>
      <c r="AS575" s="369"/>
      <c r="AT575" s="369"/>
      <c r="AU575" s="369"/>
      <c r="AV575" s="1518" t="s">
        <v>1419</v>
      </c>
      <c r="BV575" s="3">
        <v>1</v>
      </c>
    </row>
    <row r="576" spans="1:74">
      <c r="C576" s="9"/>
      <c r="D576" s="9"/>
      <c r="E576" s="9"/>
      <c r="G576" s="9"/>
      <c r="H576" s="9"/>
      <c r="I576" s="9"/>
      <c r="J576" s="9"/>
      <c r="K576" s="9"/>
      <c r="L576" s="9"/>
      <c r="M576" s="9"/>
      <c r="N576" s="9"/>
      <c r="O576" s="9"/>
      <c r="P576" s="9"/>
      <c r="W576" s="9"/>
      <c r="X576" s="9"/>
      <c r="Y576" s="9"/>
      <c r="Z576" s="9"/>
      <c r="AA576" s="9"/>
      <c r="AB576" s="9"/>
      <c r="AC576" s="9"/>
      <c r="AD576" s="9"/>
      <c r="AE576" s="9"/>
      <c r="AF576" s="9"/>
      <c r="AI576" s="9"/>
      <c r="AJ576" s="9"/>
      <c r="AK576" s="9"/>
      <c r="AL576" s="9"/>
      <c r="AM576" s="9"/>
      <c r="AN576" s="9"/>
      <c r="AO576" s="9"/>
      <c r="AP576" s="9"/>
      <c r="AQ576" s="9"/>
      <c r="AR576" s="9"/>
      <c r="AS576" s="9"/>
      <c r="AT576" s="9"/>
      <c r="AU576" s="9"/>
      <c r="AV576" s="9"/>
      <c r="BV576" s="3">
        <v>1</v>
      </c>
    </row>
    <row r="577" spans="3:74" ht="15.75">
      <c r="C577" s="9"/>
      <c r="D577" s="9"/>
      <c r="E577" s="9"/>
      <c r="G577" s="232" t="s">
        <v>167</v>
      </c>
      <c r="H577" s="454"/>
      <c r="I577" s="454"/>
      <c r="J577" s="454"/>
      <c r="K577" s="454"/>
      <c r="L577" s="455"/>
      <c r="M577" s="455"/>
      <c r="N577" s="455"/>
      <c r="O577" s="455"/>
      <c r="P577" s="686" t="s">
        <v>699</v>
      </c>
      <c r="W577" s="232" t="s">
        <v>752</v>
      </c>
      <c r="X577" s="454"/>
      <c r="Y577" s="454"/>
      <c r="Z577" s="454"/>
      <c r="AA577" s="454"/>
      <c r="AB577" s="455"/>
      <c r="AC577" s="455"/>
      <c r="AD577" s="455"/>
      <c r="AE577" s="455"/>
      <c r="AF577" s="686" t="s">
        <v>1631</v>
      </c>
      <c r="AI577" s="9"/>
      <c r="AJ577" s="9"/>
      <c r="AK577" s="9"/>
      <c r="AL577" s="9"/>
      <c r="AM577" s="232" t="s">
        <v>754</v>
      </c>
      <c r="AN577" s="454"/>
      <c r="AO577" s="454"/>
      <c r="AP577" s="454"/>
      <c r="AQ577" s="454"/>
      <c r="AR577" s="455"/>
      <c r="AS577" s="455"/>
      <c r="AT577" s="455"/>
      <c r="AU577" s="455"/>
      <c r="AV577" s="686" t="s">
        <v>1632</v>
      </c>
      <c r="BV577" s="3">
        <v>1</v>
      </c>
    </row>
    <row r="578" spans="3:74" ht="15.75">
      <c r="C578" s="9"/>
      <c r="D578" s="9"/>
      <c r="E578" s="9"/>
      <c r="G578" s="609" t="s">
        <v>700</v>
      </c>
      <c r="H578" s="610"/>
      <c r="I578" s="611"/>
      <c r="J578" s="612"/>
      <c r="K578" s="611"/>
      <c r="L578" s="611"/>
      <c r="M578" s="612"/>
      <c r="N578" s="612"/>
      <c r="O578" s="612"/>
      <c r="P578" s="1522"/>
      <c r="W578" s="609" t="s">
        <v>1633</v>
      </c>
      <c r="X578" s="610"/>
      <c r="Y578" s="611"/>
      <c r="Z578" s="612"/>
      <c r="AA578" s="611"/>
      <c r="AB578" s="611"/>
      <c r="AC578" s="612"/>
      <c r="AD578" s="612"/>
      <c r="AE578" s="612"/>
      <c r="AF578" s="1522"/>
      <c r="AI578" s="9"/>
      <c r="AJ578" s="9"/>
      <c r="AK578" s="9"/>
      <c r="AL578" s="9"/>
      <c r="AM578" s="609" t="s">
        <v>1634</v>
      </c>
      <c r="AN578" s="610"/>
      <c r="AO578" s="611"/>
      <c r="AP578" s="612"/>
      <c r="AQ578" s="611"/>
      <c r="AR578" s="611"/>
      <c r="AS578" s="612"/>
      <c r="AT578" s="612"/>
      <c r="AU578" s="612"/>
      <c r="AV578" s="1522"/>
      <c r="BV578" s="3">
        <v>1</v>
      </c>
    </row>
    <row r="579" spans="3:74" ht="15.75">
      <c r="C579" s="9"/>
      <c r="D579" s="9"/>
      <c r="E579" s="9"/>
      <c r="G579" s="161"/>
      <c r="H579" s="231"/>
      <c r="I579" s="231"/>
      <c r="J579" s="231"/>
      <c r="K579" s="614" t="s">
        <v>703</v>
      </c>
      <c r="L579" s="231"/>
      <c r="M579" s="615"/>
      <c r="N579" s="1524"/>
      <c r="O579" s="1524"/>
      <c r="P579" s="1525"/>
      <c r="W579" s="161"/>
      <c r="X579" s="231"/>
      <c r="Y579" s="231"/>
      <c r="Z579" s="231"/>
      <c r="AA579" s="614" t="s">
        <v>231</v>
      </c>
      <c r="AB579" s="231"/>
      <c r="AC579" s="615"/>
      <c r="AD579" s="1524"/>
      <c r="AE579" s="1524"/>
      <c r="AF579" s="1525"/>
      <c r="AI579" s="9"/>
      <c r="AJ579" s="9"/>
      <c r="AK579" s="9"/>
      <c r="AL579" s="9"/>
      <c r="AM579" s="161"/>
      <c r="AN579" s="231"/>
      <c r="AO579" s="231"/>
      <c r="AP579" s="231"/>
      <c r="AQ579" s="614" t="s">
        <v>234</v>
      </c>
      <c r="AR579" s="231"/>
      <c r="AS579" s="615"/>
      <c r="AT579" s="1524"/>
      <c r="AU579" s="1524"/>
      <c r="AV579" s="1525"/>
      <c r="BV579" s="3">
        <v>1</v>
      </c>
    </row>
    <row r="580" spans="3:74">
      <c r="C580" s="9"/>
      <c r="D580" s="9"/>
      <c r="E580" s="9"/>
      <c r="G580" s="616" t="s">
        <v>704</v>
      </c>
      <c r="H580" s="617" t="s">
        <v>705</v>
      </c>
      <c r="I580" s="5627" t="s">
        <v>92</v>
      </c>
      <c r="J580" s="5627"/>
      <c r="K580" s="622" t="s">
        <v>706</v>
      </c>
      <c r="L580"/>
      <c r="M580" s="614" t="s">
        <v>422</v>
      </c>
      <c r="N580" s="1524"/>
      <c r="O580" s="1524"/>
      <c r="P580" s="1525"/>
      <c r="W580" s="616" t="s">
        <v>1635</v>
      </c>
      <c r="X580" s="617" t="s">
        <v>1636</v>
      </c>
      <c r="Y580" s="5627" t="s">
        <v>1637</v>
      </c>
      <c r="Z580" s="5627"/>
      <c r="AA580" s="622" t="s">
        <v>706</v>
      </c>
      <c r="AB580"/>
      <c r="AC580" s="614" t="s">
        <v>1468</v>
      </c>
      <c r="AD580" s="1524"/>
      <c r="AE580" s="1524"/>
      <c r="AF580" s="1525"/>
      <c r="AI580" s="9"/>
      <c r="AJ580" s="9"/>
      <c r="AK580" s="9"/>
      <c r="AL580" s="9"/>
      <c r="AM580" s="616" t="s">
        <v>1638</v>
      </c>
      <c r="AN580" s="617" t="s">
        <v>1639</v>
      </c>
      <c r="AO580" s="5627" t="s">
        <v>1640</v>
      </c>
      <c r="AP580" s="5627"/>
      <c r="AQ580" s="622" t="s">
        <v>1641</v>
      </c>
      <c r="AR580"/>
      <c r="AS580" s="614" t="s">
        <v>1473</v>
      </c>
      <c r="AT580" s="1524"/>
      <c r="AU580" s="1524"/>
      <c r="AV580" s="1525"/>
      <c r="BV580" s="3">
        <v>1</v>
      </c>
    </row>
    <row r="581" spans="3:74" ht="15.75">
      <c r="C581" s="9"/>
      <c r="D581" s="9"/>
      <c r="E581" s="9"/>
      <c r="G581" s="5710">
        <v>750</v>
      </c>
      <c r="H581" s="619">
        <v>1</v>
      </c>
      <c r="I581" s="5711" t="s">
        <v>707</v>
      </c>
      <c r="J581" s="5711"/>
      <c r="K581" s="620">
        <v>16</v>
      </c>
      <c r="L581" s="322">
        <f>H581*G581</f>
        <v>750</v>
      </c>
      <c r="M581" s="186" t="s">
        <v>708</v>
      </c>
      <c r="N581" s="1524"/>
      <c r="O581" s="1524"/>
      <c r="P581" s="1525"/>
      <c r="W581" s="5710">
        <v>750</v>
      </c>
      <c r="X581" s="619">
        <v>1</v>
      </c>
      <c r="Y581" s="5711" t="s">
        <v>707</v>
      </c>
      <c r="Z581" s="5711"/>
      <c r="AA581" s="620">
        <v>16</v>
      </c>
      <c r="AB581" s="322">
        <f>X581*W581</f>
        <v>750</v>
      </c>
      <c r="AC581" s="186" t="s">
        <v>1642</v>
      </c>
      <c r="AD581" s="1524"/>
      <c r="AE581" s="1524"/>
      <c r="AF581" s="1525"/>
      <c r="AI581" s="9"/>
      <c r="AJ581" s="9"/>
      <c r="AK581" s="9"/>
      <c r="AL581" s="9"/>
      <c r="AM581" s="5710">
        <v>750</v>
      </c>
      <c r="AN581" s="619">
        <v>1</v>
      </c>
      <c r="AO581" s="5711" t="s">
        <v>1643</v>
      </c>
      <c r="AP581" s="5711"/>
      <c r="AQ581" s="620">
        <v>16</v>
      </c>
      <c r="AR581" s="322">
        <f>AN581*AM581</f>
        <v>750</v>
      </c>
      <c r="AS581" s="186" t="s">
        <v>1644</v>
      </c>
      <c r="AT581" s="1524"/>
      <c r="AU581" s="1524"/>
      <c r="AV581" s="1525"/>
      <c r="BV581" s="3">
        <v>1</v>
      </c>
    </row>
    <row r="582" spans="3:74" ht="15.75">
      <c r="C582" s="9"/>
      <c r="D582" s="9"/>
      <c r="E582" s="9"/>
      <c r="G582" s="5710"/>
      <c r="H582" s="621">
        <v>120</v>
      </c>
      <c r="I582" s="618" t="s">
        <v>709</v>
      </c>
      <c r="J582" s="623"/>
      <c r="K582" s="624">
        <v>1.2</v>
      </c>
      <c r="L582" s="625">
        <f>(H582*G581)/1000</f>
        <v>90</v>
      </c>
      <c r="M582" s="5709" t="s">
        <v>710</v>
      </c>
      <c r="N582" s="1524"/>
      <c r="O582" s="1524"/>
      <c r="P582" s="1525"/>
      <c r="W582" s="5710"/>
      <c r="X582" s="621">
        <v>120</v>
      </c>
      <c r="Y582" s="618" t="s">
        <v>1645</v>
      </c>
      <c r="Z582" s="623"/>
      <c r="AA582" s="624">
        <v>1.2</v>
      </c>
      <c r="AB582" s="625">
        <f>(X582*W581)/1000</f>
        <v>90</v>
      </c>
      <c r="AC582" s="5709" t="s">
        <v>1646</v>
      </c>
      <c r="AD582" s="1524"/>
      <c r="AE582" s="1524"/>
      <c r="AF582" s="1525"/>
      <c r="AI582" s="9"/>
      <c r="AJ582" s="9"/>
      <c r="AK582" s="9"/>
      <c r="AL582" s="9"/>
      <c r="AM582" s="5710"/>
      <c r="AN582" s="621">
        <v>120</v>
      </c>
      <c r="AO582" s="618" t="s">
        <v>1647</v>
      </c>
      <c r="AP582" s="623"/>
      <c r="AQ582" s="624">
        <v>1.2</v>
      </c>
      <c r="AR582" s="625">
        <f>(AN582*AM581)/1000</f>
        <v>90</v>
      </c>
      <c r="AS582" s="5709" t="s">
        <v>1648</v>
      </c>
      <c r="AT582" s="1524"/>
      <c r="AU582" s="1524"/>
      <c r="AV582" s="1525"/>
      <c r="BV582" s="3">
        <v>1</v>
      </c>
    </row>
    <row r="583" spans="3:74" ht="15.75">
      <c r="C583" s="9"/>
      <c r="D583" s="9"/>
      <c r="E583" s="9"/>
      <c r="G583" s="626" t="str">
        <f>INT(L581/K581) &amp; " " &amp; M581 &amp; " de " &amp; K581 &amp; " " &amp; I581 &amp; IF(MOD(L581,K581)&gt;0, " + 1 "&amp;M581&amp;" de " &amp; TEXT(MOD(L581,K581), "0.00") &amp; " " &amp; I581, "")</f>
        <v>46 Assiette(s) de 16 madeleine(s) + 1 Assiette(s) de 14.00 madeleine(s)</v>
      </c>
      <c r="H583" s="9"/>
      <c r="I583" s="9"/>
      <c r="J583" s="9"/>
      <c r="K583" s="9"/>
      <c r="L583" s="197"/>
      <c r="M583" s="5709"/>
      <c r="N583" s="1524"/>
      <c r="O583" s="1524"/>
      <c r="P583" s="1525"/>
      <c r="W583" s="626" t="str">
        <f>INT(AB581/AA581) &amp; " " &amp; AC581 &amp; " of " &amp; AA581 &amp; " " &amp; Y581 &amp; IF(MOD(AB581,AA581)&gt;0, " + 1 "&amp;AC581&amp;" de " &amp; TEXT(MOD(AB581,AA581), "0.00") &amp; " " &amp; Y581, "")</f>
        <v>46 Plate(s) of 16 madeleine(s) + 1 Plate(s) de 14.00 madeleine(s)</v>
      </c>
      <c r="X583" s="9"/>
      <c r="Y583" s="9"/>
      <c r="Z583" s="9"/>
      <c r="AA583" s="9"/>
      <c r="AB583" s="197"/>
      <c r="AC583" s="5709"/>
      <c r="AD583" s="1524"/>
      <c r="AE583" s="1524"/>
      <c r="AF583" s="1525"/>
      <c r="AI583" s="9"/>
      <c r="AJ583" s="9"/>
      <c r="AK583" s="9"/>
      <c r="AL583" s="9"/>
      <c r="AM583" s="626" t="str">
        <f>INT(AR581/AQ581) &amp; " " &amp; AS581 &amp; " de " &amp; AQ581 &amp; " " &amp; AO581 &amp; IF(MOD(AR581,AQ581)&gt;0, " + 1 "&amp;AS581&amp;" de " &amp; TEXT(MOD(AR581,AQ581), "0.00") &amp; " " &amp; AO581, "")</f>
        <v>46 Plato(s) de 16 magdalena(s) + 1 Plato(s) de 14.00 magdalena(s)</v>
      </c>
      <c r="AN583" s="9"/>
      <c r="AO583" s="9"/>
      <c r="AP583" s="9"/>
      <c r="AQ583" s="9"/>
      <c r="AR583" s="197"/>
      <c r="AS583" s="5709"/>
      <c r="AT583" s="1524"/>
      <c r="AU583" s="1524"/>
      <c r="AV583" s="1525"/>
      <c r="BV583" s="3">
        <v>1</v>
      </c>
    </row>
    <row r="584" spans="3:74" ht="15.75">
      <c r="C584" s="9"/>
      <c r="D584" s="9"/>
      <c r="E584" s="9"/>
      <c r="G584" s="628" t="str">
        <f>IF(MOD(L582, K582) = 0, INT(L582/K582) &amp; " " &amp; M581 &amp; " de " &amp; K582 &amp; " kg", INT(L582/K582) &amp; " " &amp; M581 &amp; " de " &amp; K582 &amp; " kg" &amp; " + 1 "&amp;M581&amp;" de " &amp; TEXT(MOD(L582, K582), "0.00") &amp; " kg")</f>
        <v>75 Assiette(s) de 1.2 kg + 1 Assiette(s) de 0.00 kg</v>
      </c>
      <c r="H584" s="9"/>
      <c r="I584" s="9"/>
      <c r="J584" s="9"/>
      <c r="K584" s="9"/>
      <c r="L584" s="197"/>
      <c r="M584" s="5709"/>
      <c r="N584" s="1524"/>
      <c r="O584" s="1524"/>
      <c r="P584" s="1525"/>
      <c r="W584" s="628" t="str">
        <f>IF(MOD(AB582, AA582) = 0, INT(AB582/AA582) &amp; " " &amp; AC581 &amp; " of " &amp; AA582 &amp; " kg", INT(AB582/AA582) &amp; " " &amp; AC581 &amp; " de " &amp; AA582 &amp; " kg" &amp; " + 1 "&amp;AC581&amp;" de " &amp; TEXT(MOD(AB582, AA582), "0.00") &amp; " kg")</f>
        <v>75 Plate(s) de 1.2 kg + 1 Plate(s) de 0.00 kg</v>
      </c>
      <c r="X584" s="9"/>
      <c r="Y584" s="9"/>
      <c r="Z584" s="9"/>
      <c r="AA584" s="9"/>
      <c r="AB584" s="197"/>
      <c r="AC584" s="5709"/>
      <c r="AD584" s="1524"/>
      <c r="AE584" s="1524"/>
      <c r="AF584" s="1525"/>
      <c r="AI584" s="9"/>
      <c r="AJ584" s="9"/>
      <c r="AK584" s="9"/>
      <c r="AL584" s="9"/>
      <c r="AM584" s="628" t="str">
        <f>IF(MOD(AR582, AQ582) = 0, INT(AR582/AQ582) &amp; " " &amp; AS581 &amp; " de " &amp; AQ582 &amp; " kg", INT(AR582/AQ582) &amp; " " &amp; AS581 &amp; " de " &amp; AQ582 &amp; " kg" &amp; " + 1 "&amp;AS581&amp;" de " &amp; TEXT(MOD(AR582, AQ582), "0.00") &amp; " kg")</f>
        <v>75 Plato(s) de 1.2 kg + 1 Plato(s) de 0.00 kg</v>
      </c>
      <c r="AN584" s="9"/>
      <c r="AO584" s="9"/>
      <c r="AP584" s="9"/>
      <c r="AQ584" s="9"/>
      <c r="AR584" s="197"/>
      <c r="AS584" s="5709"/>
      <c r="AT584" s="1524"/>
      <c r="AU584" s="1524"/>
      <c r="AV584" s="1525"/>
      <c r="BV584" s="3">
        <v>1</v>
      </c>
    </row>
    <row r="585" spans="3:74" ht="15.75">
      <c r="C585" s="9"/>
      <c r="D585" s="9"/>
      <c r="E585" s="9"/>
      <c r="G585" s="265"/>
      <c r="H585" s="197"/>
      <c r="I585" s="197"/>
      <c r="J585" s="197"/>
      <c r="K585" s="197"/>
      <c r="L585" s="197"/>
      <c r="M585" s="197"/>
      <c r="N585" s="1524"/>
      <c r="O585" s="1524"/>
      <c r="P585" s="1525"/>
      <c r="W585" s="265"/>
      <c r="X585" s="197"/>
      <c r="Y585" s="197"/>
      <c r="Z585" s="197"/>
      <c r="AA585" s="197"/>
      <c r="AB585" s="197"/>
      <c r="AC585" s="197"/>
      <c r="AD585" s="1524"/>
      <c r="AE585" s="1524"/>
      <c r="AF585" s="1525"/>
      <c r="AI585" s="9"/>
      <c r="AJ585" s="9"/>
      <c r="AK585" s="9"/>
      <c r="AL585" s="9"/>
      <c r="AM585" s="265"/>
      <c r="AN585" s="197"/>
      <c r="AO585" s="197"/>
      <c r="AP585" s="197"/>
      <c r="AQ585" s="197"/>
      <c r="AR585" s="197"/>
      <c r="AS585" s="197"/>
      <c r="AT585" s="1524"/>
      <c r="AU585" s="1524"/>
      <c r="AV585" s="1525"/>
      <c r="BV585" s="3">
        <v>1</v>
      </c>
    </row>
    <row r="586" spans="3:74" ht="15.75">
      <c r="C586" s="9"/>
      <c r="D586" s="9"/>
      <c r="E586" s="9"/>
      <c r="G586" s="934" t="s">
        <v>3328</v>
      </c>
      <c r="H586" s="162"/>
      <c r="I586" s="162"/>
      <c r="J586" s="1527"/>
      <c r="K586" s="1527"/>
      <c r="L586" s="1527"/>
      <c r="M586" s="1527"/>
      <c r="N586" s="1527"/>
      <c r="O586" s="1527"/>
      <c r="P586" s="1528"/>
      <c r="W586" s="934" t="s">
        <v>3327</v>
      </c>
      <c r="X586" s="162"/>
      <c r="Y586" s="162"/>
      <c r="Z586" s="1527"/>
      <c r="AA586" s="1527"/>
      <c r="AB586" s="1527"/>
      <c r="AC586" s="1527"/>
      <c r="AD586" s="1527"/>
      <c r="AE586" s="1527"/>
      <c r="AF586" s="1528"/>
      <c r="AI586" s="9"/>
      <c r="AJ586" s="9"/>
      <c r="AK586" s="9"/>
      <c r="AL586" s="9"/>
      <c r="AM586" s="934" t="s">
        <v>3325</v>
      </c>
      <c r="AN586" s="162"/>
      <c r="AO586" s="162"/>
      <c r="AP586" s="1527"/>
      <c r="AQ586" s="1527"/>
      <c r="AR586" s="1527"/>
      <c r="AS586" s="1527"/>
      <c r="AT586" s="1527"/>
      <c r="AU586" s="1527"/>
      <c r="AV586" s="1528"/>
      <c r="BV586" s="3">
        <v>1</v>
      </c>
    </row>
    <row r="587" spans="3:74">
      <c r="C587" s="9"/>
      <c r="D587" s="9"/>
      <c r="E587" s="9"/>
      <c r="G587" s="1523"/>
      <c r="H587" s="1524"/>
      <c r="I587" s="1524"/>
      <c r="J587" s="1524"/>
      <c r="K587" s="1524"/>
      <c r="L587" s="1524"/>
      <c r="M587" s="1524"/>
      <c r="N587" s="1524"/>
      <c r="O587" s="1524"/>
      <c r="P587" s="1525"/>
      <c r="W587" s="1523"/>
      <c r="X587" s="1524"/>
      <c r="Y587" s="1524"/>
      <c r="Z587" s="1524"/>
      <c r="AA587" s="1524"/>
      <c r="AB587" s="1524"/>
      <c r="AC587" s="1524"/>
      <c r="AD587" s="1524"/>
      <c r="AE587" s="1524"/>
      <c r="AF587" s="1525"/>
      <c r="AI587" s="9"/>
      <c r="AJ587" s="9"/>
      <c r="AK587" s="9"/>
      <c r="AL587" s="9"/>
      <c r="AM587" s="1523"/>
      <c r="AN587" s="1524"/>
      <c r="AO587" s="1524"/>
      <c r="AP587" s="1524"/>
      <c r="AQ587" s="1524"/>
      <c r="AR587" s="1524"/>
      <c r="AS587" s="1524"/>
      <c r="AT587" s="1524"/>
      <c r="AU587" s="1524"/>
      <c r="AV587" s="1525"/>
      <c r="BV587" s="3">
        <v>1</v>
      </c>
    </row>
    <row r="588" spans="3:74">
      <c r="C588" s="9"/>
      <c r="D588" s="9"/>
      <c r="E588" s="9"/>
      <c r="G588" s="1523"/>
      <c r="H588" s="1524"/>
      <c r="I588" s="1524"/>
      <c r="J588" s="1524"/>
      <c r="K588" s="1524"/>
      <c r="L588" s="1524"/>
      <c r="M588" s="1526"/>
      <c r="N588" s="1524"/>
      <c r="O588" s="1524"/>
      <c r="P588" s="1525"/>
      <c r="W588" s="1523"/>
      <c r="X588" s="1524"/>
      <c r="Y588" s="1524"/>
      <c r="Z588" s="1524"/>
      <c r="AA588" s="1524"/>
      <c r="AB588" s="1524"/>
      <c r="AC588" s="1526"/>
      <c r="AD588" s="1524"/>
      <c r="AE588" s="1524"/>
      <c r="AF588" s="1525"/>
      <c r="AI588" s="9"/>
      <c r="AJ588" s="9"/>
      <c r="AK588" s="9"/>
      <c r="AL588" s="9"/>
      <c r="AM588" s="1523"/>
      <c r="AN588" s="1524"/>
      <c r="AO588" s="1524"/>
      <c r="AP588" s="1524"/>
      <c r="AQ588" s="1524"/>
      <c r="AR588" s="1524"/>
      <c r="AS588" s="1526"/>
      <c r="AT588" s="1524"/>
      <c r="AU588" s="1524"/>
      <c r="AV588" s="1525"/>
      <c r="BV588" s="3">
        <v>1</v>
      </c>
    </row>
    <row r="589" spans="3:74">
      <c r="C589" s="9"/>
      <c r="D589" s="9"/>
      <c r="E589" s="9"/>
      <c r="G589" s="1523"/>
      <c r="H589" s="1524"/>
      <c r="I589" s="1524"/>
      <c r="J589" s="1524"/>
      <c r="K589" s="1524"/>
      <c r="L589" s="1524"/>
      <c r="M589" s="1524"/>
      <c r="N589" s="1524"/>
      <c r="O589" s="1524"/>
      <c r="P589" s="1525"/>
      <c r="W589" s="1523"/>
      <c r="X589" s="1524"/>
      <c r="Y589" s="1524"/>
      <c r="Z589" s="1524"/>
      <c r="AA589" s="1524"/>
      <c r="AB589" s="1524"/>
      <c r="AC589" s="1524"/>
      <c r="AD589" s="1524"/>
      <c r="AE589" s="1524"/>
      <c r="AF589" s="1525"/>
      <c r="AI589" s="9"/>
      <c r="AJ589" s="9"/>
      <c r="AK589" s="9"/>
      <c r="AL589" s="9"/>
      <c r="AM589" s="1523"/>
      <c r="AN589" s="1524"/>
      <c r="AO589" s="1524"/>
      <c r="AP589" s="1524"/>
      <c r="AQ589" s="1524"/>
      <c r="AR589" s="1524"/>
      <c r="AS589" s="1524"/>
      <c r="AT589" s="1524"/>
      <c r="AU589" s="1524"/>
      <c r="AV589" s="1525"/>
      <c r="BV589" s="3">
        <v>1</v>
      </c>
    </row>
    <row r="590" spans="3:74">
      <c r="C590" s="9"/>
      <c r="D590" s="9"/>
      <c r="E590" s="9"/>
      <c r="G590" s="1523"/>
      <c r="H590" s="1524"/>
      <c r="I590" s="1524"/>
      <c r="J590" s="1524"/>
      <c r="K590" s="1524"/>
      <c r="L590" s="1524"/>
      <c r="M590" s="1524"/>
      <c r="N590" s="1524"/>
      <c r="O590" s="1524"/>
      <c r="P590" s="1525"/>
      <c r="W590" s="1523"/>
      <c r="X590" s="1524"/>
      <c r="Y590" s="1524"/>
      <c r="Z590" s="1524"/>
      <c r="AA590" s="1524"/>
      <c r="AB590" s="1524"/>
      <c r="AC590" s="1524"/>
      <c r="AD590" s="1524"/>
      <c r="AE590" s="1524"/>
      <c r="AF590" s="1525"/>
      <c r="AI590" s="9"/>
      <c r="AJ590" s="9"/>
      <c r="AK590" s="9"/>
      <c r="AL590" s="9"/>
      <c r="AM590" s="1523"/>
      <c r="AN590" s="1524"/>
      <c r="AO590" s="1524"/>
      <c r="AP590" s="1524"/>
      <c r="AQ590" s="1524"/>
      <c r="AR590" s="1524"/>
      <c r="AS590" s="1524"/>
      <c r="AT590" s="1524"/>
      <c r="AU590" s="1524"/>
      <c r="AV590" s="1525"/>
      <c r="BV590" s="3">
        <v>1</v>
      </c>
    </row>
    <row r="591" spans="3:74">
      <c r="C591" s="9"/>
      <c r="D591" s="9"/>
      <c r="E591" s="9"/>
      <c r="G591" s="367"/>
      <c r="H591" s="368"/>
      <c r="I591" s="368"/>
      <c r="J591" s="368"/>
      <c r="K591" s="368"/>
      <c r="L591" s="368"/>
      <c r="M591" s="369"/>
      <c r="N591" s="369"/>
      <c r="O591" s="369"/>
      <c r="P591" s="1518" t="s">
        <v>197</v>
      </c>
      <c r="W591" s="367"/>
      <c r="X591" s="368"/>
      <c r="Y591" s="368"/>
      <c r="Z591" s="368"/>
      <c r="AA591" s="368"/>
      <c r="AB591" s="368"/>
      <c r="AC591" s="369"/>
      <c r="AD591" s="369"/>
      <c r="AE591" s="369"/>
      <c r="AF591" s="1518" t="s">
        <v>1418</v>
      </c>
      <c r="AI591" s="9"/>
      <c r="AJ591" s="9"/>
      <c r="AK591" s="9"/>
      <c r="AL591" s="9"/>
      <c r="AM591" s="367"/>
      <c r="AN591" s="368"/>
      <c r="AO591" s="368"/>
      <c r="AP591" s="368"/>
      <c r="AQ591" s="368"/>
      <c r="AR591" s="368"/>
      <c r="AS591" s="369"/>
      <c r="AT591" s="369"/>
      <c r="AU591" s="369"/>
      <c r="AV591" s="1518" t="s">
        <v>1419</v>
      </c>
      <c r="BV591" s="3">
        <v>1</v>
      </c>
    </row>
    <row r="592" spans="3:74">
      <c r="C592" s="9"/>
      <c r="D592" s="9"/>
      <c r="E592" s="9"/>
      <c r="G592" s="9"/>
      <c r="H592" s="9"/>
      <c r="I592" s="9"/>
      <c r="J592" s="9"/>
      <c r="K592" s="9"/>
      <c r="L592" s="9"/>
      <c r="M592" s="9"/>
      <c r="N592" s="9"/>
      <c r="O592" s="9"/>
      <c r="P592" s="9"/>
      <c r="W592" s="9"/>
      <c r="X592" s="9"/>
      <c r="Y592" s="9"/>
      <c r="Z592" s="9"/>
      <c r="AA592" s="9"/>
      <c r="AB592" s="9"/>
      <c r="AC592" s="9"/>
      <c r="AD592" s="9"/>
      <c r="AE592" s="9"/>
      <c r="AF592" s="9"/>
      <c r="AI592" s="9"/>
      <c r="AJ592" s="9"/>
      <c r="AK592" s="9"/>
      <c r="AL592" s="9"/>
      <c r="AM592" s="9"/>
      <c r="AN592" s="9"/>
      <c r="AO592" s="9"/>
      <c r="AP592" s="9"/>
      <c r="AQ592" s="9"/>
      <c r="AR592" s="9"/>
      <c r="AS592" s="9"/>
      <c r="AT592" s="9"/>
      <c r="AU592" s="9"/>
      <c r="AV592" s="9"/>
      <c r="BV592" s="3">
        <v>1</v>
      </c>
    </row>
    <row r="593" spans="3:74" ht="15.75">
      <c r="C593" s="9"/>
      <c r="D593" s="9"/>
      <c r="E593" s="9"/>
      <c r="G593" s="232" t="s">
        <v>167</v>
      </c>
      <c r="H593" s="454"/>
      <c r="I593" s="454"/>
      <c r="J593" s="454"/>
      <c r="K593" s="454"/>
      <c r="L593" s="455"/>
      <c r="M593" s="455"/>
      <c r="N593" s="455"/>
      <c r="O593" s="455"/>
      <c r="P593" s="686" t="s">
        <v>745</v>
      </c>
      <c r="W593" s="232" t="s">
        <v>752</v>
      </c>
      <c r="X593" s="454"/>
      <c r="Y593" s="454"/>
      <c r="Z593" s="454"/>
      <c r="AA593" s="454"/>
      <c r="AB593" s="455"/>
      <c r="AC593" s="455"/>
      <c r="AD593" s="455"/>
      <c r="AE593" s="455"/>
      <c r="AF593" s="686" t="s">
        <v>1649</v>
      </c>
      <c r="AI593" s="9"/>
      <c r="AJ593" s="9"/>
      <c r="AK593" s="9"/>
      <c r="AL593" s="9"/>
      <c r="AM593" s="232" t="s">
        <v>754</v>
      </c>
      <c r="AN593" s="454"/>
      <c r="AO593" s="454"/>
      <c r="AP593" s="454"/>
      <c r="AQ593" s="454"/>
      <c r="AR593" s="455"/>
      <c r="AS593" s="455"/>
      <c r="AT593" s="455"/>
      <c r="AU593" s="455"/>
      <c r="AV593" s="686" t="s">
        <v>1650</v>
      </c>
      <c r="BV593" s="3">
        <v>1</v>
      </c>
    </row>
    <row r="594" spans="3:74" ht="15.75">
      <c r="C594" s="9"/>
      <c r="D594" s="9"/>
      <c r="E594" s="9"/>
      <c r="G594" s="161"/>
      <c r="H594" s="183"/>
      <c r="I594" s="183"/>
      <c r="J594" s="183"/>
      <c r="K594" s="183"/>
      <c r="L594" s="183"/>
      <c r="M594" s="933" t="s">
        <v>681</v>
      </c>
      <c r="N594" s="1524"/>
      <c r="O594" s="1524"/>
      <c r="P594" s="1525"/>
      <c r="W594" s="161"/>
      <c r="X594" s="183"/>
      <c r="Y594" s="183"/>
      <c r="Z594" s="183"/>
      <c r="AA594" s="183"/>
      <c r="AB594" s="183"/>
      <c r="AC594" s="933" t="s">
        <v>1626</v>
      </c>
      <c r="AD594" s="1524"/>
      <c r="AE594" s="1524"/>
      <c r="AF594" s="1525"/>
      <c r="AI594" s="9"/>
      <c r="AJ594" s="9"/>
      <c r="AK594" s="9"/>
      <c r="AL594" s="9"/>
      <c r="AM594" s="161"/>
      <c r="AN594" s="183"/>
      <c r="AO594" s="183"/>
      <c r="AP594" s="183"/>
      <c r="AQ594" s="183"/>
      <c r="AR594" s="183"/>
      <c r="AS594" s="933" t="s">
        <v>1630</v>
      </c>
      <c r="AT594" s="1524"/>
      <c r="AU594" s="1524"/>
      <c r="AV594" s="1525"/>
      <c r="BV594" s="3">
        <v>1</v>
      </c>
    </row>
    <row r="595" spans="3:74" ht="15.75">
      <c r="C595" s="9"/>
      <c r="D595" s="9"/>
      <c r="E595" s="9"/>
      <c r="G595" s="638"/>
      <c r="H595" s="639" t="s">
        <v>748</v>
      </c>
      <c r="I595" s="197"/>
      <c r="J595" s="640">
        <v>2</v>
      </c>
      <c r="K595" s="641"/>
      <c r="L595" s="642">
        <v>10</v>
      </c>
      <c r="M595" s="643" t="s">
        <v>749</v>
      </c>
      <c r="N595" s="1524"/>
      <c r="O595" s="1524"/>
      <c r="P595" s="1525"/>
      <c r="W595" s="638"/>
      <c r="X595" s="639" t="s">
        <v>1651</v>
      </c>
      <c r="Y595" s="197"/>
      <c r="Z595" s="640">
        <v>2</v>
      </c>
      <c r="AA595" s="641"/>
      <c r="AB595" s="642">
        <v>10</v>
      </c>
      <c r="AC595" s="643" t="s">
        <v>1652</v>
      </c>
      <c r="AD595" s="1524"/>
      <c r="AE595" s="1524"/>
      <c r="AF595" s="1525"/>
      <c r="AI595" s="9"/>
      <c r="AJ595" s="9"/>
      <c r="AK595" s="9"/>
      <c r="AL595" s="9"/>
      <c r="AM595" s="638"/>
      <c r="AN595" s="639" t="s">
        <v>1653</v>
      </c>
      <c r="AO595" s="197"/>
      <c r="AP595" s="640">
        <v>2</v>
      </c>
      <c r="AQ595" s="641"/>
      <c r="AR595" s="642">
        <v>10</v>
      </c>
      <c r="AS595" s="643" t="s">
        <v>1654</v>
      </c>
      <c r="AT595" s="1524"/>
      <c r="AU595" s="1524"/>
      <c r="AV595" s="1525"/>
      <c r="BV595" s="3">
        <v>1</v>
      </c>
    </row>
    <row r="596" spans="3:74" ht="15.75">
      <c r="C596" s="9"/>
      <c r="D596" s="9"/>
      <c r="E596" s="9"/>
      <c r="G596" s="644"/>
      <c r="H596" s="645" t="s">
        <v>750</v>
      </c>
      <c r="I596" s="197"/>
      <c r="J596" s="646">
        <v>1</v>
      </c>
      <c r="K596" s="647"/>
      <c r="L596" s="648">
        <v>15</v>
      </c>
      <c r="M596" s="649" t="s">
        <v>751</v>
      </c>
      <c r="N596" s="1524"/>
      <c r="O596" s="1524"/>
      <c r="P596" s="1525"/>
      <c r="W596" s="644"/>
      <c r="X596" s="645" t="s">
        <v>1655</v>
      </c>
      <c r="Y596" s="197"/>
      <c r="Z596" s="646">
        <v>1</v>
      </c>
      <c r="AA596" s="647"/>
      <c r="AB596" s="648">
        <v>15</v>
      </c>
      <c r="AC596" s="649" t="s">
        <v>1656</v>
      </c>
      <c r="AD596" s="1524"/>
      <c r="AE596" s="1524"/>
      <c r="AF596" s="1525"/>
      <c r="AI596" s="9"/>
      <c r="AJ596" s="9"/>
      <c r="AK596" s="9"/>
      <c r="AL596" s="9"/>
      <c r="AM596" s="644"/>
      <c r="AN596" s="645" t="s">
        <v>1657</v>
      </c>
      <c r="AO596" s="197"/>
      <c r="AP596" s="646">
        <v>1</v>
      </c>
      <c r="AQ596" s="647"/>
      <c r="AR596" s="648">
        <v>15</v>
      </c>
      <c r="AS596" s="649" t="s">
        <v>1658</v>
      </c>
      <c r="AT596" s="1524"/>
      <c r="AU596" s="1524"/>
      <c r="AV596" s="1525"/>
      <c r="BV596" s="3">
        <v>1</v>
      </c>
    </row>
    <row r="597" spans="3:74" ht="15.75">
      <c r="C597" s="9"/>
      <c r="D597" s="9"/>
      <c r="E597" s="9"/>
      <c r="G597" s="652"/>
      <c r="H597" s="653" t="s">
        <v>756</v>
      </c>
      <c r="I597" s="197"/>
      <c r="J597" s="654">
        <f>IF(J595=0,0,IF(J596=0,0,J595-J596))</f>
        <v>1</v>
      </c>
      <c r="K597" s="655"/>
      <c r="L597" s="656">
        <f>IF(L595=0,0,IF(L596=0,0,L596-L595))</f>
        <v>5</v>
      </c>
      <c r="M597" s="657" t="s">
        <v>757</v>
      </c>
      <c r="N597" s="1524"/>
      <c r="O597" s="1524"/>
      <c r="P597" s="1525"/>
      <c r="W597" s="652"/>
      <c r="X597" s="653" t="s">
        <v>1659</v>
      </c>
      <c r="Y597" s="197"/>
      <c r="Z597" s="654">
        <f>IF(Z595=0,0,IF(Z596=0,0,Z595-Z596))</f>
        <v>1</v>
      </c>
      <c r="AA597" s="655"/>
      <c r="AB597" s="656">
        <f>IF(AB595=0,0,IF(AB596=0,0,AB596-AB595))</f>
        <v>5</v>
      </c>
      <c r="AC597" s="657" t="s">
        <v>1660</v>
      </c>
      <c r="AD597" s="1524"/>
      <c r="AE597" s="1524"/>
      <c r="AF597" s="1525"/>
      <c r="AI597" s="9"/>
      <c r="AJ597" s="9"/>
      <c r="AK597" s="9"/>
      <c r="AL597" s="9"/>
      <c r="AM597" s="652"/>
      <c r="AN597" s="653" t="s">
        <v>1661</v>
      </c>
      <c r="AO597" s="197"/>
      <c r="AP597" s="654">
        <f>IF(AP595=0,0,IF(AP596=0,0,AP595-AP596))</f>
        <v>1</v>
      </c>
      <c r="AQ597" s="655"/>
      <c r="AR597" s="656">
        <f>IF(AR595=0,0,IF(AR596=0,0,AR596-AR595))</f>
        <v>5</v>
      </c>
      <c r="AS597" s="657" t="s">
        <v>1662</v>
      </c>
      <c r="AT597" s="1524"/>
      <c r="AU597" s="1524"/>
      <c r="AV597" s="1525"/>
      <c r="BV597" s="3">
        <v>1</v>
      </c>
    </row>
    <row r="598" spans="3:74" ht="15.75">
      <c r="C598" s="9"/>
      <c r="D598" s="9"/>
      <c r="E598" s="9"/>
      <c r="G598" s="652"/>
      <c r="H598" s="653" t="s">
        <v>760</v>
      </c>
      <c r="I598" s="197"/>
      <c r="J598" s="659">
        <f>IF(J595=0,0,J597/J595)</f>
        <v>0.5</v>
      </c>
      <c r="K598" s="660"/>
      <c r="L598" s="661">
        <f>IF(L595=0,0,IF(ISBLANK(L595),0,(L597/L595)*100))</f>
        <v>50</v>
      </c>
      <c r="M598" s="657" t="s">
        <v>761</v>
      </c>
      <c r="N598" s="1524"/>
      <c r="O598" s="1524"/>
      <c r="P598" s="1525"/>
      <c r="W598" s="652"/>
      <c r="X598" s="653" t="s">
        <v>1663</v>
      </c>
      <c r="Y598" s="197"/>
      <c r="Z598" s="659">
        <f>IF(Z595=0,0,Z597/Z595)</f>
        <v>0.5</v>
      </c>
      <c r="AA598" s="660"/>
      <c r="AB598" s="661">
        <f>IF(AB595=0,0,IF(ISBLANK(AB595),0,(AB597/AB595)*100))</f>
        <v>50</v>
      </c>
      <c r="AC598" s="657" t="s">
        <v>1664</v>
      </c>
      <c r="AD598" s="1524"/>
      <c r="AE598" s="1524"/>
      <c r="AF598" s="1525"/>
      <c r="AI598" s="9"/>
      <c r="AJ598" s="9"/>
      <c r="AK598" s="9"/>
      <c r="AL598" s="9"/>
      <c r="AM598" s="652"/>
      <c r="AN598" s="653" t="s">
        <v>1665</v>
      </c>
      <c r="AO598" s="197"/>
      <c r="AP598" s="659">
        <f>IF(AP595=0,0,AP597/AP595)</f>
        <v>0.5</v>
      </c>
      <c r="AQ598" s="660"/>
      <c r="AR598" s="661">
        <f>IF(AR595=0,0,IF(ISBLANK(AR595),0,(AR597/AR595)*100))</f>
        <v>50</v>
      </c>
      <c r="AS598" s="657" t="s">
        <v>1666</v>
      </c>
      <c r="AT598" s="1524"/>
      <c r="AU598" s="1524"/>
      <c r="AV598" s="1525"/>
      <c r="BV598" s="3">
        <v>1</v>
      </c>
    </row>
    <row r="599" spans="3:74" ht="15.75">
      <c r="C599" s="9"/>
      <c r="D599" s="9"/>
      <c r="E599" s="9"/>
      <c r="G599" s="644"/>
      <c r="H599" s="645" t="s">
        <v>764</v>
      </c>
      <c r="I599" s="197"/>
      <c r="J599" s="663">
        <v>50</v>
      </c>
      <c r="K599" s="641"/>
      <c r="L599" s="642">
        <v>10</v>
      </c>
      <c r="M599" s="643" t="s">
        <v>749</v>
      </c>
      <c r="N599" s="1524"/>
      <c r="O599" s="1524"/>
      <c r="P599" s="1525"/>
      <c r="W599" s="644"/>
      <c r="X599" s="645" t="s">
        <v>1667</v>
      </c>
      <c r="Y599" s="197"/>
      <c r="Z599" s="663">
        <v>50</v>
      </c>
      <c r="AA599" s="641"/>
      <c r="AB599" s="642">
        <v>10</v>
      </c>
      <c r="AC599" s="643" t="s">
        <v>1652</v>
      </c>
      <c r="AD599" s="1524"/>
      <c r="AE599" s="1524"/>
      <c r="AF599" s="1525"/>
      <c r="AI599" s="9"/>
      <c r="AJ599" s="9"/>
      <c r="AK599" s="9"/>
      <c r="AL599" s="9"/>
      <c r="AM599" s="644"/>
      <c r="AN599" s="645" t="s">
        <v>1668</v>
      </c>
      <c r="AO599" s="197"/>
      <c r="AP599" s="663">
        <v>50</v>
      </c>
      <c r="AQ599" s="641"/>
      <c r="AR599" s="642">
        <v>10</v>
      </c>
      <c r="AS599" s="643" t="s">
        <v>1654</v>
      </c>
      <c r="AT599" s="1524"/>
      <c r="AU599" s="1524"/>
      <c r="AV599" s="1525"/>
      <c r="BV599" s="3">
        <v>1</v>
      </c>
    </row>
    <row r="600" spans="3:74" ht="15.75">
      <c r="C600" s="9"/>
      <c r="D600" s="9"/>
      <c r="E600" s="9"/>
      <c r="G600" s="652"/>
      <c r="H600" s="653" t="s">
        <v>756</v>
      </c>
      <c r="I600" s="197"/>
      <c r="J600" s="654">
        <f>J595*J599%</f>
        <v>1</v>
      </c>
      <c r="K600" s="664"/>
      <c r="L600" s="665">
        <v>50</v>
      </c>
      <c r="M600" s="666" t="s">
        <v>761</v>
      </c>
      <c r="N600" s="1524"/>
      <c r="O600" s="1524"/>
      <c r="P600" s="1525"/>
      <c r="W600" s="652"/>
      <c r="X600" s="653" t="s">
        <v>1659</v>
      </c>
      <c r="Y600" s="197"/>
      <c r="Z600" s="654">
        <f>Z595*Z599%</f>
        <v>1</v>
      </c>
      <c r="AA600" s="664"/>
      <c r="AB600" s="665">
        <v>50</v>
      </c>
      <c r="AC600" s="666" t="s">
        <v>1664</v>
      </c>
      <c r="AD600" s="1524"/>
      <c r="AE600" s="1524"/>
      <c r="AF600" s="1525"/>
      <c r="AI600" s="9"/>
      <c r="AJ600" s="9"/>
      <c r="AK600" s="9"/>
      <c r="AL600" s="9"/>
      <c r="AM600" s="652"/>
      <c r="AN600" s="653" t="s">
        <v>1661</v>
      </c>
      <c r="AO600" s="197"/>
      <c r="AP600" s="654">
        <f>AP595*AP599%</f>
        <v>1</v>
      </c>
      <c r="AQ600" s="664"/>
      <c r="AR600" s="665">
        <v>50</v>
      </c>
      <c r="AS600" s="666" t="s">
        <v>1666</v>
      </c>
      <c r="AT600" s="1524"/>
      <c r="AU600" s="1524"/>
      <c r="AV600" s="1525"/>
      <c r="BV600" s="3">
        <v>1</v>
      </c>
    </row>
    <row r="601" spans="3:74" ht="15.75">
      <c r="C601" s="9"/>
      <c r="D601" s="9"/>
      <c r="E601" s="9"/>
      <c r="G601" s="652"/>
      <c r="H601" s="653" t="s">
        <v>767</v>
      </c>
      <c r="I601" s="197"/>
      <c r="J601" s="654">
        <f>J595-J600</f>
        <v>1</v>
      </c>
      <c r="K601" s="655"/>
      <c r="L601" s="656">
        <f>L599*L600%</f>
        <v>5</v>
      </c>
      <c r="M601" s="657" t="s">
        <v>757</v>
      </c>
      <c r="N601" s="1524"/>
      <c r="O601" s="1524"/>
      <c r="P601" s="1525"/>
      <c r="W601" s="652"/>
      <c r="X601" s="653" t="s">
        <v>1505</v>
      </c>
      <c r="Y601" s="197"/>
      <c r="Z601" s="654">
        <f>Z595-Z600</f>
        <v>1</v>
      </c>
      <c r="AA601" s="655"/>
      <c r="AB601" s="656">
        <f>AB599*AB600%</f>
        <v>5</v>
      </c>
      <c r="AC601" s="657" t="s">
        <v>1660</v>
      </c>
      <c r="AD601" s="1524"/>
      <c r="AE601" s="1524"/>
      <c r="AF601" s="1525"/>
      <c r="AI601" s="9"/>
      <c r="AJ601" s="9"/>
      <c r="AK601" s="9"/>
      <c r="AL601" s="9"/>
      <c r="AM601" s="652"/>
      <c r="AN601" s="653" t="s">
        <v>1508</v>
      </c>
      <c r="AO601" s="197"/>
      <c r="AP601" s="654">
        <f>AP595-AP600</f>
        <v>1</v>
      </c>
      <c r="AQ601" s="655"/>
      <c r="AR601" s="656">
        <f>AR599*AR600%</f>
        <v>5</v>
      </c>
      <c r="AS601" s="657" t="s">
        <v>1662</v>
      </c>
      <c r="AT601" s="1524"/>
      <c r="AU601" s="1524"/>
      <c r="AV601" s="1525"/>
      <c r="BV601" s="3">
        <v>1</v>
      </c>
    </row>
    <row r="602" spans="3:74" ht="15.75">
      <c r="C602" s="9"/>
      <c r="D602" s="9"/>
      <c r="E602" s="9"/>
      <c r="G602" s="265"/>
      <c r="H602" s="390"/>
      <c r="I602" s="197"/>
      <c r="J602" s="657"/>
      <c r="K602" s="667"/>
      <c r="L602" s="656">
        <f>((L599*L600)/100)+L599</f>
        <v>15</v>
      </c>
      <c r="M602" s="657" t="s">
        <v>751</v>
      </c>
      <c r="N602" s="1524"/>
      <c r="O602" s="1524"/>
      <c r="P602" s="1525"/>
      <c r="W602" s="265"/>
      <c r="X602" s="390"/>
      <c r="Y602" s="197"/>
      <c r="Z602" s="657"/>
      <c r="AA602" s="667"/>
      <c r="AB602" s="656">
        <f>((AB599*AB600)/100)+AB599</f>
        <v>15</v>
      </c>
      <c r="AC602" s="657" t="s">
        <v>1656</v>
      </c>
      <c r="AD602" s="1524"/>
      <c r="AE602" s="1524"/>
      <c r="AF602" s="1525"/>
      <c r="AI602" s="9"/>
      <c r="AJ602" s="9"/>
      <c r="AK602" s="9"/>
      <c r="AL602" s="9"/>
      <c r="AM602" s="265"/>
      <c r="AN602" s="390"/>
      <c r="AO602" s="197"/>
      <c r="AP602" s="657"/>
      <c r="AQ602" s="667"/>
      <c r="AR602" s="656">
        <f>((AR599*AR600)/100)+AR599</f>
        <v>15</v>
      </c>
      <c r="AS602" s="657" t="s">
        <v>1658</v>
      </c>
      <c r="AT602" s="1524"/>
      <c r="AU602" s="1524"/>
      <c r="AV602" s="1525"/>
      <c r="BV602" s="3">
        <v>1</v>
      </c>
    </row>
    <row r="603" spans="3:74" ht="15.75">
      <c r="C603" s="9"/>
      <c r="D603" s="9"/>
      <c r="E603" s="9"/>
      <c r="G603" s="934" t="s">
        <v>3328</v>
      </c>
      <c r="H603" s="162"/>
      <c r="I603" s="162"/>
      <c r="J603" s="162"/>
      <c r="K603" s="162"/>
      <c r="L603" s="162"/>
      <c r="M603" s="420"/>
      <c r="N603" s="420"/>
      <c r="O603" s="420"/>
      <c r="P603" s="1519"/>
      <c r="W603" s="934" t="s">
        <v>3327</v>
      </c>
      <c r="X603" s="162"/>
      <c r="Y603" s="162"/>
      <c r="Z603" s="162"/>
      <c r="AA603" s="162"/>
      <c r="AB603" s="162"/>
      <c r="AC603" s="420"/>
      <c r="AD603" s="420"/>
      <c r="AE603" s="420"/>
      <c r="AF603" s="1519"/>
      <c r="AI603" s="9"/>
      <c r="AJ603" s="9"/>
      <c r="AK603" s="9"/>
      <c r="AL603" s="9"/>
      <c r="AM603" s="934" t="s">
        <v>3325</v>
      </c>
      <c r="AN603" s="162"/>
      <c r="AO603" s="162"/>
      <c r="AP603" s="162"/>
      <c r="AQ603" s="162"/>
      <c r="AR603" s="162"/>
      <c r="AS603" s="420"/>
      <c r="AT603" s="420"/>
      <c r="AU603" s="420"/>
      <c r="AV603" s="1519"/>
      <c r="BV603" s="3">
        <v>1</v>
      </c>
    </row>
    <row r="604" spans="3:74">
      <c r="C604" s="9"/>
      <c r="D604" s="9"/>
      <c r="E604" s="9"/>
      <c r="G604" s="1523"/>
      <c r="H604" s="1524"/>
      <c r="I604" s="1524"/>
      <c r="J604" s="1524"/>
      <c r="K604" s="1524"/>
      <c r="L604" s="1524"/>
      <c r="M604" s="1524"/>
      <c r="N604" s="1524"/>
      <c r="O604" s="1524"/>
      <c r="P604" s="1525"/>
      <c r="W604" s="1523"/>
      <c r="X604" s="1524"/>
      <c r="Y604" s="1524"/>
      <c r="Z604" s="1524"/>
      <c r="AA604" s="1524"/>
      <c r="AB604" s="1524"/>
      <c r="AC604" s="1524"/>
      <c r="AD604" s="1524"/>
      <c r="AE604" s="1524"/>
      <c r="AF604" s="1525"/>
      <c r="AI604" s="9"/>
      <c r="AJ604" s="9"/>
      <c r="AK604" s="9"/>
      <c r="AL604" s="9"/>
      <c r="AM604" s="1523"/>
      <c r="AN604" s="1524"/>
      <c r="AO604" s="1524"/>
      <c r="AP604" s="1524"/>
      <c r="AQ604" s="1524"/>
      <c r="AR604" s="1524"/>
      <c r="AS604" s="1524"/>
      <c r="AT604" s="1524"/>
      <c r="AU604" s="1524"/>
      <c r="AV604" s="1525"/>
      <c r="BV604" s="3">
        <v>1</v>
      </c>
    </row>
    <row r="605" spans="3:74">
      <c r="C605" s="9"/>
      <c r="D605" s="9"/>
      <c r="E605" s="9"/>
      <c r="G605" s="1523"/>
      <c r="H605" s="1524"/>
      <c r="I605" s="1524"/>
      <c r="J605" s="1524"/>
      <c r="K605" s="1524"/>
      <c r="L605" s="1524"/>
      <c r="M605" s="1526"/>
      <c r="N605" s="1524"/>
      <c r="O605" s="1524"/>
      <c r="P605" s="1525"/>
      <c r="W605" s="1523"/>
      <c r="X605" s="1524"/>
      <c r="Y605" s="1524"/>
      <c r="Z605" s="1524"/>
      <c r="AA605" s="1524"/>
      <c r="AB605" s="1524"/>
      <c r="AC605" s="1526"/>
      <c r="AD605" s="1524"/>
      <c r="AE605" s="1524"/>
      <c r="AF605" s="1525"/>
      <c r="AI605" s="9"/>
      <c r="AJ605" s="9"/>
      <c r="AK605" s="9"/>
      <c r="AL605" s="9"/>
      <c r="AM605" s="1523"/>
      <c r="AN605" s="1524"/>
      <c r="AO605" s="1524"/>
      <c r="AP605" s="1524"/>
      <c r="AQ605" s="1524"/>
      <c r="AR605" s="1524"/>
      <c r="AS605" s="1526"/>
      <c r="AT605" s="1524"/>
      <c r="AU605" s="1524"/>
      <c r="AV605" s="1525"/>
      <c r="BV605" s="3">
        <v>1</v>
      </c>
    </row>
    <row r="606" spans="3:74">
      <c r="C606" s="9"/>
      <c r="D606" s="9"/>
      <c r="E606" s="9"/>
      <c r="G606" s="1523"/>
      <c r="H606" s="1524"/>
      <c r="I606" s="1524"/>
      <c r="J606" s="1524"/>
      <c r="K606" s="1524"/>
      <c r="L606" s="1524"/>
      <c r="M606" s="1524"/>
      <c r="N606" s="1524"/>
      <c r="O606" s="1524"/>
      <c r="P606" s="1525"/>
      <c r="W606" s="1523"/>
      <c r="X606" s="1524"/>
      <c r="Y606" s="1524"/>
      <c r="Z606" s="1524"/>
      <c r="AA606" s="1524"/>
      <c r="AB606" s="1524"/>
      <c r="AC606" s="1524"/>
      <c r="AD606" s="1524"/>
      <c r="AE606" s="1524"/>
      <c r="AF606" s="1525"/>
      <c r="AI606" s="9"/>
      <c r="AJ606" s="9"/>
      <c r="AK606" s="9"/>
      <c r="AL606" s="9"/>
      <c r="AM606" s="1523"/>
      <c r="AN606" s="1524"/>
      <c r="AO606" s="1524"/>
      <c r="AP606" s="1524"/>
      <c r="AQ606" s="1524"/>
      <c r="AR606" s="1524"/>
      <c r="AS606" s="1524"/>
      <c r="AT606" s="1524"/>
      <c r="AU606" s="1524"/>
      <c r="AV606" s="1525"/>
      <c r="BV606" s="3">
        <v>1</v>
      </c>
    </row>
    <row r="607" spans="3:74">
      <c r="C607" s="9"/>
      <c r="D607" s="9"/>
      <c r="E607" s="9"/>
      <c r="G607" s="367"/>
      <c r="H607" s="368"/>
      <c r="I607" s="368"/>
      <c r="J607" s="368"/>
      <c r="K607" s="368"/>
      <c r="L607" s="368"/>
      <c r="M607" s="369"/>
      <c r="N607" s="369"/>
      <c r="O607" s="369"/>
      <c r="P607" s="1518" t="s">
        <v>197</v>
      </c>
      <c r="W607" s="367"/>
      <c r="X607" s="368"/>
      <c r="Y607" s="368"/>
      <c r="Z607" s="368"/>
      <c r="AA607" s="368"/>
      <c r="AB607" s="368"/>
      <c r="AC607" s="369"/>
      <c r="AD607" s="369"/>
      <c r="AE607" s="369"/>
      <c r="AF607" s="1518" t="s">
        <v>1418</v>
      </c>
      <c r="AI607" s="9"/>
      <c r="AJ607" s="9"/>
      <c r="AK607" s="9"/>
      <c r="AL607" s="9"/>
      <c r="AM607" s="367"/>
      <c r="AN607" s="368"/>
      <c r="AO607" s="368"/>
      <c r="AP607" s="368"/>
      <c r="AQ607" s="368"/>
      <c r="AR607" s="368"/>
      <c r="AS607" s="369"/>
      <c r="AT607" s="369"/>
      <c r="AU607" s="369"/>
      <c r="AV607" s="1518" t="s">
        <v>1419</v>
      </c>
      <c r="BV607" s="3">
        <v>1</v>
      </c>
    </row>
    <row r="608" spans="3:74">
      <c r="BV608" s="708" t="s">
        <v>823</v>
      </c>
    </row>
    <row r="609" spans="1:76">
      <c r="A609" s="3">
        <v>1</v>
      </c>
      <c r="B609" s="3">
        <v>1</v>
      </c>
      <c r="C609" s="3">
        <v>1</v>
      </c>
      <c r="D609" s="3">
        <v>1</v>
      </c>
      <c r="E609" s="3">
        <v>1</v>
      </c>
      <c r="F609" s="3">
        <v>1</v>
      </c>
      <c r="G609" s="3">
        <v>1</v>
      </c>
      <c r="H609" s="3">
        <v>1</v>
      </c>
      <c r="I609" s="3">
        <v>1</v>
      </c>
      <c r="J609" s="3">
        <v>1</v>
      </c>
      <c r="K609" s="3">
        <v>1</v>
      </c>
      <c r="L609" s="3">
        <v>1</v>
      </c>
      <c r="M609" s="3">
        <v>1</v>
      </c>
      <c r="N609" s="3">
        <v>1</v>
      </c>
      <c r="O609" s="3">
        <v>1</v>
      </c>
      <c r="P609" s="3">
        <v>1</v>
      </c>
      <c r="Q609" s="3">
        <v>1</v>
      </c>
      <c r="R609" s="3">
        <v>1</v>
      </c>
      <c r="S609" s="3">
        <v>1</v>
      </c>
      <c r="T609" s="3">
        <v>1</v>
      </c>
      <c r="U609" s="3">
        <v>1</v>
      </c>
      <c r="V609" s="3">
        <v>1</v>
      </c>
      <c r="W609" s="3">
        <v>1</v>
      </c>
      <c r="X609" s="3">
        <v>1</v>
      </c>
      <c r="Y609" s="3">
        <v>1</v>
      </c>
      <c r="Z609" s="3">
        <v>1</v>
      </c>
      <c r="AA609" s="3">
        <v>1</v>
      </c>
      <c r="AB609" s="3">
        <v>1</v>
      </c>
      <c r="AC609" s="3">
        <v>1</v>
      </c>
      <c r="AD609" s="3">
        <v>1</v>
      </c>
      <c r="AE609" s="3">
        <v>1</v>
      </c>
      <c r="AF609" s="3">
        <v>1</v>
      </c>
      <c r="AG609" s="3">
        <v>1</v>
      </c>
      <c r="AH609" s="3">
        <v>1</v>
      </c>
      <c r="AI609" s="3">
        <v>1</v>
      </c>
      <c r="AJ609" s="3">
        <v>1</v>
      </c>
      <c r="AK609" s="3">
        <v>1</v>
      </c>
      <c r="AL609" s="3">
        <v>1</v>
      </c>
      <c r="AM609" s="3">
        <v>1</v>
      </c>
      <c r="AN609" s="3">
        <v>1</v>
      </c>
      <c r="AO609" s="3">
        <v>1</v>
      </c>
      <c r="AP609" s="3">
        <v>1</v>
      </c>
      <c r="AQ609" s="3">
        <v>1</v>
      </c>
      <c r="AR609" s="3">
        <v>1</v>
      </c>
      <c r="AS609" s="3">
        <v>1</v>
      </c>
      <c r="AT609" s="3">
        <v>1</v>
      </c>
      <c r="AU609" s="3">
        <v>1</v>
      </c>
      <c r="AV609" s="3">
        <v>1</v>
      </c>
      <c r="AW609" s="3">
        <v>1</v>
      </c>
      <c r="AX609" s="3">
        <v>1</v>
      </c>
      <c r="AY609" s="3">
        <v>1</v>
      </c>
      <c r="AZ609" s="3">
        <v>1</v>
      </c>
      <c r="BA609" s="3">
        <v>1</v>
      </c>
      <c r="BB609" s="3">
        <v>1</v>
      </c>
      <c r="BC609" s="3">
        <v>1</v>
      </c>
      <c r="BD609" s="3">
        <v>1</v>
      </c>
      <c r="BE609" s="3">
        <v>1</v>
      </c>
      <c r="BF609" s="3">
        <v>1</v>
      </c>
      <c r="BG609" s="3">
        <v>1</v>
      </c>
      <c r="BH609" s="3">
        <v>1</v>
      </c>
      <c r="BI609" s="3">
        <v>1</v>
      </c>
      <c r="BJ609" s="3">
        <v>1</v>
      </c>
      <c r="BK609" s="3">
        <v>1</v>
      </c>
      <c r="BL609" s="3">
        <v>1</v>
      </c>
      <c r="BM609" s="3">
        <v>1</v>
      </c>
      <c r="BN609" s="3">
        <v>1</v>
      </c>
      <c r="BO609" s="3">
        <v>1</v>
      </c>
      <c r="BP609" s="3">
        <v>1</v>
      </c>
      <c r="BQ609" s="3">
        <v>1</v>
      </c>
      <c r="BR609" s="3">
        <v>1</v>
      </c>
      <c r="BS609" s="3">
        <v>1</v>
      </c>
      <c r="BT609" s="3">
        <v>1</v>
      </c>
      <c r="BU609" s="3">
        <v>1</v>
      </c>
      <c r="BV609" s="1" t="str">
        <f>ADDRESS(ROW(),COLUMN(),4)</f>
        <v>BV609</v>
      </c>
      <c r="BW609" s="710"/>
      <c r="BX609" s="711" t="str">
        <f>ADDRESS(ROW(),COLUMN(),4)</f>
        <v>BX609</v>
      </c>
    </row>
  </sheetData>
  <mergeCells count="399">
    <mergeCell ref="AS6:AV7"/>
    <mergeCell ref="AC6:AF7"/>
    <mergeCell ref="M6:P7"/>
    <mergeCell ref="I149:K149"/>
    <mergeCell ref="Y149:AA149"/>
    <mergeCell ref="AO149:AQ149"/>
    <mergeCell ref="J151:J152"/>
    <mergeCell ref="K151:K152"/>
    <mergeCell ref="L151:L152"/>
    <mergeCell ref="N151:N152"/>
    <mergeCell ref="O151:O152"/>
    <mergeCell ref="P151:P152"/>
    <mergeCell ref="Z151:Z152"/>
    <mergeCell ref="AQ151:AQ152"/>
    <mergeCell ref="AR151:AR152"/>
    <mergeCell ref="AT151:AT152"/>
    <mergeCell ref="AU151:AU152"/>
    <mergeCell ref="AV151:AV152"/>
    <mergeCell ref="AA151:AA152"/>
    <mergeCell ref="AB151:AB152"/>
    <mergeCell ref="AD151:AD152"/>
    <mergeCell ref="AE151:AE152"/>
    <mergeCell ref="AF151:AF152"/>
    <mergeCell ref="AP151:AP152"/>
    <mergeCell ref="AN219:AS220"/>
    <mergeCell ref="AT219:AU220"/>
    <mergeCell ref="AV219:AV220"/>
    <mergeCell ref="K222:M223"/>
    <mergeCell ref="AA222:AC223"/>
    <mergeCell ref="AQ222:AS223"/>
    <mergeCell ref="O223:P223"/>
    <mergeCell ref="AE223:AF223"/>
    <mergeCell ref="AU223:AV223"/>
    <mergeCell ref="H219:M220"/>
    <mergeCell ref="N219:O220"/>
    <mergeCell ref="P219:P220"/>
    <mergeCell ref="X219:AC220"/>
    <mergeCell ref="AD219:AE220"/>
    <mergeCell ref="I225:K225"/>
    <mergeCell ref="Y225:AA225"/>
    <mergeCell ref="AO225:AQ225"/>
    <mergeCell ref="J227:J228"/>
    <mergeCell ref="K227:K228"/>
    <mergeCell ref="L227:L228"/>
    <mergeCell ref="N227:N228"/>
    <mergeCell ref="O227:O228"/>
    <mergeCell ref="P227:P228"/>
    <mergeCell ref="Z227:Z228"/>
    <mergeCell ref="AA227:AA228"/>
    <mergeCell ref="AB227:AB228"/>
    <mergeCell ref="AD227:AD228"/>
    <mergeCell ref="AE227:AE228"/>
    <mergeCell ref="AF227:AF228"/>
    <mergeCell ref="K308:M309"/>
    <mergeCell ref="AA308:AC309"/>
    <mergeCell ref="AQ308:AS309"/>
    <mergeCell ref="O309:P309"/>
    <mergeCell ref="AE309:AF309"/>
    <mergeCell ref="AU309:AV309"/>
    <mergeCell ref="AN305:AS306"/>
    <mergeCell ref="AT305:AU306"/>
    <mergeCell ref="AV305:AV306"/>
    <mergeCell ref="H305:M306"/>
    <mergeCell ref="N305:O306"/>
    <mergeCell ref="P305:P306"/>
    <mergeCell ref="X305:AC306"/>
    <mergeCell ref="AD305:AE306"/>
    <mergeCell ref="AF305:AF306"/>
    <mergeCell ref="AB313:AB314"/>
    <mergeCell ref="AD313:AD314"/>
    <mergeCell ref="I311:K311"/>
    <mergeCell ref="Y311:AA311"/>
    <mergeCell ref="AO311:AQ311"/>
    <mergeCell ref="J313:J314"/>
    <mergeCell ref="K313:K314"/>
    <mergeCell ref="L313:L314"/>
    <mergeCell ref="N313:N314"/>
    <mergeCell ref="M482:P482"/>
    <mergeCell ref="AC482:AF482"/>
    <mergeCell ref="AS482:AV482"/>
    <mergeCell ref="O484:P484"/>
    <mergeCell ref="AE484:AF484"/>
    <mergeCell ref="AU484:AV484"/>
    <mergeCell ref="AU313:AU314"/>
    <mergeCell ref="AV313:AV314"/>
    <mergeCell ref="G419:P421"/>
    <mergeCell ref="W419:AF421"/>
    <mergeCell ref="AM419:AV421"/>
    <mergeCell ref="G424:P428"/>
    <mergeCell ref="W424:AF428"/>
    <mergeCell ref="AM424:AV428"/>
    <mergeCell ref="AE313:AE314"/>
    <mergeCell ref="AF313:AF314"/>
    <mergeCell ref="AP313:AP314"/>
    <mergeCell ref="AQ313:AQ314"/>
    <mergeCell ref="AR313:AR314"/>
    <mergeCell ref="AT313:AT314"/>
    <mergeCell ref="O313:O314"/>
    <mergeCell ref="P313:P314"/>
    <mergeCell ref="Z313:Z314"/>
    <mergeCell ref="AA313:AA314"/>
    <mergeCell ref="H498:H499"/>
    <mergeCell ref="I498:I499"/>
    <mergeCell ref="J498:J499"/>
    <mergeCell ref="K498:K499"/>
    <mergeCell ref="L498:L499"/>
    <mergeCell ref="M498:M499"/>
    <mergeCell ref="M488:P489"/>
    <mergeCell ref="AC488:AF489"/>
    <mergeCell ref="AS488:AV489"/>
    <mergeCell ref="M492:P493"/>
    <mergeCell ref="AC492:AF493"/>
    <mergeCell ref="AS492:AV493"/>
    <mergeCell ref="AN498:AN499"/>
    <mergeCell ref="AO498:AO499"/>
    <mergeCell ref="AP498:AP499"/>
    <mergeCell ref="AQ498:AQ499"/>
    <mergeCell ref="AR498:AR499"/>
    <mergeCell ref="AS498:AS499"/>
    <mergeCell ref="X498:X499"/>
    <mergeCell ref="Y498:Y499"/>
    <mergeCell ref="Z498:Z499"/>
    <mergeCell ref="AA498:AA499"/>
    <mergeCell ref="AB498:AB499"/>
    <mergeCell ref="AC498:AC499"/>
    <mergeCell ref="AC582:AC584"/>
    <mergeCell ref="AS582:AS584"/>
    <mergeCell ref="G581:G582"/>
    <mergeCell ref="I581:J581"/>
    <mergeCell ref="W581:W582"/>
    <mergeCell ref="Y581:Z581"/>
    <mergeCell ref="AM581:AM582"/>
    <mergeCell ref="AO581:AP581"/>
    <mergeCell ref="M582:M584"/>
    <mergeCell ref="K146:M147"/>
    <mergeCell ref="AA146:AC147"/>
    <mergeCell ref="AQ146:AS147"/>
    <mergeCell ref="O147:P147"/>
    <mergeCell ref="AE147:AF147"/>
    <mergeCell ref="AU147:AV147"/>
    <mergeCell ref="AN143:AS144"/>
    <mergeCell ref="AT143:AU144"/>
    <mergeCell ref="AV143:AV144"/>
    <mergeCell ref="H143:M144"/>
    <mergeCell ref="N143:O144"/>
    <mergeCell ref="P143:P144"/>
    <mergeCell ref="X143:AC144"/>
    <mergeCell ref="AD143:AE144"/>
    <mergeCell ref="AF143:AF144"/>
    <mergeCell ref="P8:P9"/>
    <mergeCell ref="H93:M94"/>
    <mergeCell ref="N93:O94"/>
    <mergeCell ref="P93:P94"/>
    <mergeCell ref="X8:AC9"/>
    <mergeCell ref="AF8:AF9"/>
    <mergeCell ref="AD8:AE9"/>
    <mergeCell ref="AN8:AS9"/>
    <mergeCell ref="AT8:AU9"/>
    <mergeCell ref="N48:O49"/>
    <mergeCell ref="K51:M52"/>
    <mergeCell ref="I54:K54"/>
    <mergeCell ref="Y54:AA54"/>
    <mergeCell ref="AO54:AQ54"/>
    <mergeCell ref="J56:J57"/>
    <mergeCell ref="K56:K57"/>
    <mergeCell ref="L56:L57"/>
    <mergeCell ref="N56:N57"/>
    <mergeCell ref="O56:O57"/>
    <mergeCell ref="P56:P57"/>
    <mergeCell ref="Z56:Z57"/>
    <mergeCell ref="AA56:AA57"/>
    <mergeCell ref="AB56:AB57"/>
    <mergeCell ref="AD56:AD57"/>
    <mergeCell ref="AV8:AV9"/>
    <mergeCell ref="AN93:AS94"/>
    <mergeCell ref="AT93:AU94"/>
    <mergeCell ref="AV93:AV94"/>
    <mergeCell ref="AD16:AD17"/>
    <mergeCell ref="AT16:AT17"/>
    <mergeCell ref="P16:P17"/>
    <mergeCell ref="Z16:Z17"/>
    <mergeCell ref="AA16:AA17"/>
    <mergeCell ref="AB16:AB17"/>
    <mergeCell ref="AE16:AE17"/>
    <mergeCell ref="AF16:AF17"/>
    <mergeCell ref="P48:P49"/>
    <mergeCell ref="X48:AC49"/>
    <mergeCell ref="AD48:AE49"/>
    <mergeCell ref="AF48:AF49"/>
    <mergeCell ref="AN48:AS49"/>
    <mergeCell ref="AT48:AU49"/>
    <mergeCell ref="AV48:AV49"/>
    <mergeCell ref="AA51:AC52"/>
    <mergeCell ref="AQ51:AS52"/>
    <mergeCell ref="O52:P52"/>
    <mergeCell ref="AE52:AF52"/>
    <mergeCell ref="AU52:AV52"/>
    <mergeCell ref="AX8:BD10"/>
    <mergeCell ref="BF8:BL10"/>
    <mergeCell ref="BN8:BT10"/>
    <mergeCell ref="K11:M12"/>
    <mergeCell ref="AA11:AC12"/>
    <mergeCell ref="AQ11:AS12"/>
    <mergeCell ref="N8:O9"/>
    <mergeCell ref="H8:M9"/>
    <mergeCell ref="I14:K14"/>
    <mergeCell ref="Y14:AA14"/>
    <mergeCell ref="AO14:AQ14"/>
    <mergeCell ref="BD14:BD16"/>
    <mergeCell ref="BL14:BL16"/>
    <mergeCell ref="BT14:BT16"/>
    <mergeCell ref="J16:J17"/>
    <mergeCell ref="K16:K17"/>
    <mergeCell ref="L16:L17"/>
    <mergeCell ref="O16:O17"/>
    <mergeCell ref="AP16:AP17"/>
    <mergeCell ref="AQ16:AQ17"/>
    <mergeCell ref="AR16:AR17"/>
    <mergeCell ref="AU16:AU17"/>
    <mergeCell ref="AV16:AV17"/>
    <mergeCell ref="AY16:BB17"/>
    <mergeCell ref="BG16:BJ17"/>
    <mergeCell ref="BO16:BR17"/>
    <mergeCell ref="AY25:AY30"/>
    <mergeCell ref="BG25:BG30"/>
    <mergeCell ref="BO25:BO30"/>
    <mergeCell ref="AX40:AX43"/>
    <mergeCell ref="AY40:BD41"/>
    <mergeCell ref="BF40:BF43"/>
    <mergeCell ref="BG40:BL41"/>
    <mergeCell ref="BN40:BN43"/>
    <mergeCell ref="BO40:BT41"/>
    <mergeCell ref="AP56:AP57"/>
    <mergeCell ref="AQ56:AQ57"/>
    <mergeCell ref="AR56:AR57"/>
    <mergeCell ref="AT56:AT57"/>
    <mergeCell ref="AU56:AU57"/>
    <mergeCell ref="AV56:AV57"/>
    <mergeCell ref="AA101:AA102"/>
    <mergeCell ref="AB101:AB102"/>
    <mergeCell ref="AE101:AE102"/>
    <mergeCell ref="AF101:AF102"/>
    <mergeCell ref="AP101:AP102"/>
    <mergeCell ref="AQ101:AQ102"/>
    <mergeCell ref="AD101:AD102"/>
    <mergeCell ref="AU101:AU102"/>
    <mergeCell ref="AV101:AV102"/>
    <mergeCell ref="AT101:AT102"/>
    <mergeCell ref="K96:M97"/>
    <mergeCell ref="AA96:AC97"/>
    <mergeCell ref="AQ96:AS97"/>
    <mergeCell ref="I99:K99"/>
    <mergeCell ref="Y99:AA99"/>
    <mergeCell ref="AO99:AQ99"/>
    <mergeCell ref="J101:J102"/>
    <mergeCell ref="K101:K102"/>
    <mergeCell ref="L101:L102"/>
    <mergeCell ref="O101:O102"/>
    <mergeCell ref="P101:P102"/>
    <mergeCell ref="Z101:Z102"/>
    <mergeCell ref="AR101:AR102"/>
    <mergeCell ref="BR66:BR67"/>
    <mergeCell ref="BS66:BS67"/>
    <mergeCell ref="BA66:BA67"/>
    <mergeCell ref="BB66:BB67"/>
    <mergeCell ref="BC66:BC67"/>
    <mergeCell ref="BH66:BH67"/>
    <mergeCell ref="BI66:BI67"/>
    <mergeCell ref="BI61:BI62"/>
    <mergeCell ref="BJ61:BJ62"/>
    <mergeCell ref="BK61:BK62"/>
    <mergeCell ref="BQ61:BQ62"/>
    <mergeCell ref="BR61:BR62"/>
    <mergeCell ref="BS61:BS62"/>
    <mergeCell ref="BJ66:BJ67"/>
    <mergeCell ref="BK66:BK67"/>
    <mergeCell ref="BP66:BP67"/>
    <mergeCell ref="BQ66:BQ67"/>
    <mergeCell ref="BA61:BA62"/>
    <mergeCell ref="BB61:BB62"/>
    <mergeCell ref="BC61:BC62"/>
    <mergeCell ref="BR73:BT75"/>
    <mergeCell ref="AY81:BA82"/>
    <mergeCell ref="BB81:BB82"/>
    <mergeCell ref="BC81:BD82"/>
    <mergeCell ref="BG81:BI82"/>
    <mergeCell ref="BJ81:BJ82"/>
    <mergeCell ref="BK81:BL82"/>
    <mergeCell ref="BO81:BQ82"/>
    <mergeCell ref="BR81:BR82"/>
    <mergeCell ref="BS81:BT82"/>
    <mergeCell ref="BB73:BD75"/>
    <mergeCell ref="BJ73:BL75"/>
    <mergeCell ref="AX265:BD268"/>
    <mergeCell ref="BF265:BL268"/>
    <mergeCell ref="BN265:BT268"/>
    <mergeCell ref="BO190:BO197"/>
    <mergeCell ref="BI223:BJ223"/>
    <mergeCell ref="AY232:BB233"/>
    <mergeCell ref="BG232:BJ233"/>
    <mergeCell ref="BO232:BR233"/>
    <mergeCell ref="BP190:BP196"/>
    <mergeCell ref="BQ190:BQ196"/>
    <mergeCell ref="BR190:BR197"/>
    <mergeCell ref="AY225:AZ225"/>
    <mergeCell ref="BG225:BH225"/>
    <mergeCell ref="BO225:BP225"/>
    <mergeCell ref="AY228:BB229"/>
    <mergeCell ref="BG228:BJ229"/>
    <mergeCell ref="BI224:BJ224"/>
    <mergeCell ref="BQ224:BR224"/>
    <mergeCell ref="BO228:BR229"/>
    <mergeCell ref="AX247:AY248"/>
    <mergeCell ref="AZ247:BA248"/>
    <mergeCell ref="BF247:BG248"/>
    <mergeCell ref="BH247:BI248"/>
    <mergeCell ref="BN247:BO248"/>
    <mergeCell ref="I580:J580"/>
    <mergeCell ref="Y580:Z580"/>
    <mergeCell ref="AO580:AP580"/>
    <mergeCell ref="N16:N17"/>
    <mergeCell ref="N101:N102"/>
    <mergeCell ref="AX161:AX167"/>
    <mergeCell ref="BF161:BF167"/>
    <mergeCell ref="BN161:BN167"/>
    <mergeCell ref="AY190:AY197"/>
    <mergeCell ref="AZ190:AZ196"/>
    <mergeCell ref="BA190:BA196"/>
    <mergeCell ref="BB190:BB197"/>
    <mergeCell ref="BG190:BG197"/>
    <mergeCell ref="BH190:BH196"/>
    <mergeCell ref="BI190:BI196"/>
    <mergeCell ref="BJ190:BJ197"/>
    <mergeCell ref="AX200:BD201"/>
    <mergeCell ref="BF200:BL201"/>
    <mergeCell ref="BN200:BT201"/>
    <mergeCell ref="AY222:BB222"/>
    <mergeCell ref="BG222:BJ222"/>
    <mergeCell ref="BO222:BR222"/>
    <mergeCell ref="BQ223:BR223"/>
    <mergeCell ref="BA224:BB224"/>
    <mergeCell ref="AX261:BD262"/>
    <mergeCell ref="BF261:BL262"/>
    <mergeCell ref="BN261:BT262"/>
    <mergeCell ref="O12:P12"/>
    <mergeCell ref="O97:P97"/>
    <mergeCell ref="AE97:AF97"/>
    <mergeCell ref="AE12:AF12"/>
    <mergeCell ref="AU12:AV12"/>
    <mergeCell ref="AU97:AV97"/>
    <mergeCell ref="AP227:AP228"/>
    <mergeCell ref="AF219:AF220"/>
    <mergeCell ref="BF121:BF128"/>
    <mergeCell ref="BN121:BN128"/>
    <mergeCell ref="BN148:BN151"/>
    <mergeCell ref="AY154:BD154"/>
    <mergeCell ref="AX121:AX128"/>
    <mergeCell ref="AQ227:AQ228"/>
    <mergeCell ref="AR227:AR228"/>
    <mergeCell ref="AT227:AT228"/>
    <mergeCell ref="AU227:AU228"/>
    <mergeCell ref="AV227:AV228"/>
    <mergeCell ref="BR92:BR93"/>
    <mergeCell ref="BO106:BP106"/>
    <mergeCell ref="BQ106:BR106"/>
    <mergeCell ref="BP247:BQ248"/>
    <mergeCell ref="AY106:AZ106"/>
    <mergeCell ref="BA106:BB106"/>
    <mergeCell ref="BG106:BH106"/>
    <mergeCell ref="BI106:BJ106"/>
    <mergeCell ref="BI92:BI93"/>
    <mergeCell ref="BJ92:BJ93"/>
    <mergeCell ref="BQ92:BQ93"/>
    <mergeCell ref="BA92:BA93"/>
    <mergeCell ref="BB92:BB93"/>
    <mergeCell ref="I13:J13"/>
    <mergeCell ref="I53:J53"/>
    <mergeCell ref="I98:J98"/>
    <mergeCell ref="I148:J148"/>
    <mergeCell ref="I224:J224"/>
    <mergeCell ref="I310:J310"/>
    <mergeCell ref="Y310:Z310"/>
    <mergeCell ref="AO310:AP310"/>
    <mergeCell ref="Y224:Z224"/>
    <mergeCell ref="AO224:AP224"/>
    <mergeCell ref="Y148:Z148"/>
    <mergeCell ref="AO148:AP148"/>
    <mergeCell ref="Y98:Z98"/>
    <mergeCell ref="AO98:AP98"/>
    <mergeCell ref="Y53:Z53"/>
    <mergeCell ref="AO53:AP53"/>
    <mergeCell ref="Y13:Z13"/>
    <mergeCell ref="AO13:AP13"/>
    <mergeCell ref="X93:AC94"/>
    <mergeCell ref="AD93:AE94"/>
    <mergeCell ref="AF93:AF94"/>
    <mergeCell ref="H48:M49"/>
    <mergeCell ref="AE56:AE57"/>
    <mergeCell ref="AF56:AF57"/>
  </mergeCells>
  <phoneticPr fontId="184" type="noConversion"/>
  <conditionalFormatting sqref="L6">
    <cfRule type="cellIs" dxfId="82" priority="4" operator="notEqual">
      <formula>1</formula>
    </cfRule>
  </conditionalFormatting>
  <conditionalFormatting sqref="L18:L22">
    <cfRule type="cellIs" dxfId="81" priority="37" operator="notEqual">
      <formula>1</formula>
    </cfRule>
  </conditionalFormatting>
  <conditionalFormatting sqref="L58:L67 AB58:AB67 AR58:AR67">
    <cfRule type="cellIs" dxfId="80" priority="1" operator="notEqual">
      <formula>1</formula>
    </cfRule>
  </conditionalFormatting>
  <conditionalFormatting sqref="L103:L117">
    <cfRule type="cellIs" dxfId="79" priority="15" operator="notEqual">
      <formula>1</formula>
    </cfRule>
  </conditionalFormatting>
  <conditionalFormatting sqref="L153:L172 AB153:AB172 AR153:AR172">
    <cfRule type="cellIs" dxfId="78" priority="7" operator="notEqual">
      <formula>1</formula>
    </cfRule>
  </conditionalFormatting>
  <conditionalFormatting sqref="L229:L258">
    <cfRule type="cellIs" dxfId="77" priority="16" operator="notEqual">
      <formula>1</formula>
    </cfRule>
  </conditionalFormatting>
  <conditionalFormatting sqref="L315:L354">
    <cfRule type="cellIs" dxfId="76" priority="14" operator="notEqual">
      <formula>1</formula>
    </cfRule>
  </conditionalFormatting>
  <conditionalFormatting sqref="AB6">
    <cfRule type="cellIs" dxfId="75" priority="3" operator="notEqual">
      <formula>1</formula>
    </cfRule>
  </conditionalFormatting>
  <conditionalFormatting sqref="AB18:AB22">
    <cfRule type="cellIs" dxfId="74" priority="25" operator="notEqual">
      <formula>1</formula>
    </cfRule>
  </conditionalFormatting>
  <conditionalFormatting sqref="AB103:AB117">
    <cfRule type="cellIs" dxfId="73" priority="6" operator="notEqual">
      <formula>1</formula>
    </cfRule>
  </conditionalFormatting>
  <conditionalFormatting sqref="AB229:AB258">
    <cfRule type="cellIs" dxfId="72" priority="11" operator="notEqual">
      <formula>1</formula>
    </cfRule>
  </conditionalFormatting>
  <conditionalFormatting sqref="AB315:AB354">
    <cfRule type="cellIs" dxfId="71" priority="9" operator="notEqual">
      <formula>1</formula>
    </cfRule>
  </conditionalFormatting>
  <conditionalFormatting sqref="AR6">
    <cfRule type="cellIs" dxfId="70" priority="2" operator="notEqual">
      <formula>1</formula>
    </cfRule>
  </conditionalFormatting>
  <conditionalFormatting sqref="AR18:AR22">
    <cfRule type="cellIs" dxfId="69" priority="24" operator="notEqual">
      <formula>1</formula>
    </cfRule>
  </conditionalFormatting>
  <conditionalFormatting sqref="AR103:AR117">
    <cfRule type="cellIs" dxfId="68" priority="5" operator="notEqual">
      <formula>1</formula>
    </cfRule>
  </conditionalFormatting>
  <conditionalFormatting sqref="AR229:AR258">
    <cfRule type="cellIs" dxfId="67" priority="10" operator="notEqual">
      <formula>1</formula>
    </cfRule>
  </conditionalFormatting>
  <conditionalFormatting sqref="AR315:AR354">
    <cfRule type="cellIs" dxfId="66" priority="8" operator="notEqual">
      <formula>1</formula>
    </cfRule>
  </conditionalFormatting>
  <conditionalFormatting sqref="AY121:AY122">
    <cfRule type="cellIs" dxfId="65" priority="43" operator="notEqual">
      <formula>1</formula>
    </cfRule>
  </conditionalFormatting>
  <conditionalFormatting sqref="BC63:BC64">
    <cfRule type="cellIs" dxfId="64" priority="42" operator="notEqual">
      <formula>1</formula>
    </cfRule>
  </conditionalFormatting>
  <conditionalFormatting sqref="BG121:BG122">
    <cfRule type="cellIs" dxfId="63" priority="41" operator="notEqual">
      <formula>1</formula>
    </cfRule>
  </conditionalFormatting>
  <conditionalFormatting sqref="BK63:BK64">
    <cfRule type="cellIs" dxfId="62" priority="40" operator="notEqual">
      <formula>1</formula>
    </cfRule>
  </conditionalFormatting>
  <conditionalFormatting sqref="BO121:BO122">
    <cfRule type="cellIs" dxfId="61" priority="39" operator="notEqual">
      <formula>1</formula>
    </cfRule>
  </conditionalFormatting>
  <conditionalFormatting sqref="BS63:BS64">
    <cfRule type="cellIs" dxfId="60" priority="38" operator="notEqual">
      <formula>1</formula>
    </cfRule>
  </conditionalFormatting>
  <hyperlinks>
    <hyperlink ref="BB198" r:id="rId1" xr:uid="{7DB2A211-6F0F-42D7-A760-1AF38772BEFB}"/>
  </hyperlinks>
  <pageMargins left="0.7" right="0.7" top="0.75" bottom="0.75" header="0.3" footer="0.3"/>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27</vt:i4>
      </vt:variant>
      <vt:variant>
        <vt:lpstr>Plages nommées</vt:lpstr>
      </vt:variant>
      <vt:variant>
        <vt:i4>2</vt:i4>
      </vt:variant>
    </vt:vector>
  </HeadingPairs>
  <TitlesOfParts>
    <vt:vector size="29" baseType="lpstr">
      <vt:lpstr>Nota.FR</vt:lpstr>
      <vt:lpstr>Note.EN</vt:lpstr>
      <vt:lpstr>Nota.ES</vt:lpstr>
      <vt:lpstr>Notice.utilisateur</vt:lpstr>
      <vt:lpstr>tableau.magique.29.11.2025</vt:lpstr>
      <vt:lpstr>Recette.Boudin.CEPROC.2002</vt:lpstr>
      <vt:lpstr>Recette.Boudin.Préformatée</vt:lpstr>
      <vt:lpstr>Fiche.préformatée</vt:lpstr>
      <vt:lpstr>Différents."Postits"FR-EN-ES</vt:lpstr>
      <vt:lpstr>Répertoire.à.dupliquer</vt:lpstr>
      <vt:lpstr>Identité.FR-EN-ES</vt:lpstr>
      <vt:lpstr>Répertoire.15.col.C</vt:lpstr>
      <vt:lpstr>Répertoire.15.col.E</vt:lpstr>
      <vt:lpstr>Répertoire.15.col.N</vt:lpstr>
      <vt:lpstr>Répertoire.15.col.O</vt:lpstr>
      <vt:lpstr>Répertoire.15.col.P</vt:lpstr>
      <vt:lpstr>Répertoire.15.col.S</vt:lpstr>
      <vt:lpstr>Répertoire.15.col.T</vt:lpstr>
      <vt:lpstr>Traductions.FR-EN-ES</vt:lpstr>
      <vt:lpstr>quelques.traductions</vt:lpstr>
      <vt:lpstr>Vocabulaire.2025</vt:lpstr>
      <vt:lpstr>Transmission des savoirs.2025</vt:lpstr>
      <vt:lpstr>peser.sans.balance.31.01.2025</vt:lpstr>
      <vt:lpstr>ChatGPT</vt:lpstr>
      <vt:lpstr>aides cuisine</vt:lpstr>
      <vt:lpstr>pourcentages</vt:lpstr>
      <vt:lpstr>Couleurs</vt:lpstr>
      <vt:lpstr>Fiche.préformatée!Zone_d_impression</vt:lpstr>
      <vt:lpstr>Recette.Boudin.Préformatée!Zone_d_impression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Joël Leboucher</dc:creator>
  <cp:lastModifiedBy>Joël Leboucher</cp:lastModifiedBy>
  <cp:lastPrinted>2025-10-12T16:25:18Z</cp:lastPrinted>
  <dcterms:created xsi:type="dcterms:W3CDTF">2025-10-05T17:27:37Z</dcterms:created>
  <dcterms:modified xsi:type="dcterms:W3CDTF">2025-11-29T17:20:54Z</dcterms:modified>
</cp:coreProperties>
</file>